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es" sheetId="1" state="visible" r:id="rId1"/>
    <sheet name="Shares" sheetId="2" state="visible" r:id="rId2"/>
    <sheet name="Report" sheetId="3" state="visible" r:id="rId3"/>
    <sheet name="GroupReport" sheetId="4" state="visible" r:id="rId4"/>
    <sheet name="Summary" sheetId="5" state="visible" r:id="rId5"/>
    <sheet name="Sync" sheetId="6" state="visible" r:id="rId6"/>
    <sheet name="Ledger" sheetId="7" state="visible" r:id="rId7"/>
    <sheet name="Help" sheetId="8" state="visible" r:id="rId8"/>
  </sheets>
  <externalReferences>
    <externalReference r:id="rId11"/>
    <externalReference r:id="rId12"/>
  </externalReferences>
  <definedNames>
    <definedName name="WGTbl">Sync!$A$6:$C$35</definedName>
    <definedName name="StaffTblE">Sync!$E$6:$I$55</definedName>
    <definedName name="StaffGrpE">Sync!$F$6:$F$55</definedName>
    <definedName name="AcctTblE">Sync!$K$6:$N$565</definedName>
    <definedName name="PkStaffE">Sync!$AC$6:$AC$55</definedName>
    <definedName name="NStaffE">Sync!$AB$55</definedName>
    <definedName name="ListStaffEmp">OFFSET(Sync!$AC$6,0,0,MAX(COUNTIF(Sync!$AC$6:$AC$55,"?*"),1),1)</definedName>
    <definedName name="ListWGEmp">OFFSET(Sync!$AG$6,0,0,MAX(COUNTIF(Sync!$AG$6:$AG$35,"?*"),1),1)</definedName>
    <definedName name="WageKind">Wages!$C$9:$C$2008</definedName>
    <definedName name="WageIds">Wages!$D$9:$D$2008</definedName>
    <definedName name="WageParty">Wages!$E$9:$E$2008</definedName>
    <definedName name="WageDates">Wages!$B$9:$B$2008</definedName>
    <definedName name="ShareLink">Shares!$B$9:$B$2008</definedName>
    <definedName name="ShareMember">Shares!$C$9:$C$2008</definedName>
    <definedName name="ShareAmt">Shares!$E$9:$E$2008</definedName>
    <definedName name="LdAParty">Ledger!$A$6:$A$2005</definedName>
    <definedName name="LdAType">Ledger!$B$6:$B$2005</definedName>
    <definedName name="LdADate">Ledger!$F$6:$F$2005</definedName>
    <definedName name="LdAKey">Ledger!$G$6:$G$2005</definedName>
    <definedName name="LdAKeyM">Ledger!$I$6:$I$2005</definedName>
    <definedName name="LdAKeyG">Ledger!$K$6:$K$2005</definedName>
    <definedName name="LdAAmt">Ledger!$L$6:$L$2005</definedName>
    <definedName name="LdANote">Ledger!$M$6:$M$2005</definedName>
    <definedName name="LdAId">Ledger!$N$6:$N$2005</definedName>
    <definedName name="LdBMember">Ledger!$P$6:$P$2005</definedName>
    <definedName name="LdBId">Ledger!$Q$6:$Q$2005</definedName>
    <definedName name="LdBGroup">Ledger!$R$6:$R$2005</definedName>
    <definedName name="LdBDate">Ledger!$S$6:$S$2005</definedName>
    <definedName name="LdBKey">Ledger!$T$6:$T$2005</definedName>
    <definedName name="LdBKeyM">Ledger!$V$6:$V$2005</definedName>
    <definedName name="LdBKeyG">Ledger!$X$6:$X$2005</definedName>
    <definedName name="LdBAmt">Ledger!$Y$6:$Y$2005</definedName>
    <definedName name="LdBNote">Ledger!$Z$6:$Z$2005</definedName>
    <definedName name="LdCParty">Ledger!$AE$6:$AE$2005</definedName>
    <definedName name="LdCDate">Ledger!$AI$6:$AI$2005</definedName>
    <definedName name="LdCBank">Ledger!$AP$6:$AP$2005</definedName>
    <definedName name="LdCDep">Ledger!$AN$6:$AN$2005</definedName>
    <definedName name="LdCWit">Ledger!$AO$6:$AO$2005</definedName>
    <definedName name="LdCNote">Ledger!$AQ$6:$AQ$2005</definedName>
    <definedName name="LdCKey">Ledger!$AK$6:$AK$2005</definedName>
    <definedName name="LdCKeyM">Ledger!$AM$6:$AM$2005</definedName>
    <definedName name="_xlnm.Print_Titles" localSheetId="0">'Wages'!$7:$8</definedName>
    <definedName name="_xlnm.Print_Area" localSheetId="0">'Wages'!$A$1:$J$2008</definedName>
    <definedName name="_xlnm.Print_Titles" localSheetId="1">'Shares'!$7:$8</definedName>
    <definedName name="_xlnm.Print_Area" localSheetId="1">'Shares'!$A$1:$H$2008</definedName>
    <definedName name="_xlnm.Print_Titles" localSheetId="2">'Report'!$15:$16</definedName>
    <definedName name="_xlnm.Print_Area" localSheetId="2">'Report'!$A$1:$H$2016</definedName>
    <definedName name="_xlnm.Print_Titles" localSheetId="3">'GroupReport'!$15:$16</definedName>
    <definedName name="_xlnm.Print_Area" localSheetId="3">'GroupReport'!$A$1:$G$4020</definedName>
    <definedName name="_xlnm.Print_Titles" localSheetId="4">'Summary'!$8:$9</definedName>
    <definedName name="_xlnm.Print_Area" localSheetId="4">'Summary'!$A$1:$I$60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b val="1"/>
      <color rgb="00263238"/>
      <sz val="9"/>
    </font>
    <font>
      <name val="Tahoma"/>
      <color rgb="00263238"/>
      <sz val="9"/>
    </font>
    <font>
      <name val="Tahoma"/>
      <b val="1"/>
      <color rgb="001B5E20"/>
      <sz val="9"/>
    </font>
    <font>
      <name val="Tahoma"/>
      <b val="1"/>
      <color rgb="00607D8B"/>
      <sz val="9"/>
    </font>
    <font>
      <name val="Tahoma"/>
      <b val="1"/>
      <color rgb="00E65100"/>
      <sz val="12"/>
    </font>
    <font>
      <name val="Tahoma"/>
      <i val="1"/>
      <color rgb="00607D8B"/>
      <sz val="7.5"/>
    </font>
    <font>
      <name val="Tahoma"/>
      <b val="1"/>
      <color rgb="00607D8B"/>
      <sz val="8.5"/>
    </font>
    <font>
      <name val="Tahoma"/>
      <color rgb="00263238"/>
      <sz val="10"/>
    </font>
    <font>
      <name val="Tahoma"/>
      <b val="1"/>
      <color rgb="00FFFFFF"/>
      <sz val="11"/>
    </font>
    <font>
      <name val="Tahoma"/>
      <b val="1"/>
      <color rgb="00FFFFFF"/>
      <sz val="10"/>
    </font>
    <font>
      <name val="Tahoma"/>
      <b val="1"/>
      <color rgb="001B5E20"/>
      <sz val="10"/>
    </font>
    <font>
      <name val="Tahoma"/>
      <b val="1"/>
      <color rgb="00FFFFFF"/>
      <sz val="10.5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3F8F3"/>
      </patternFill>
    </fill>
    <fill>
      <patternFill patternType="solid">
        <fgColor rgb="00607D8B"/>
      </patternFill>
    </fill>
    <fill>
      <patternFill patternType="solid">
        <fgColor rgb="00EEF3F1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3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right" vertical="center"/>
    </xf>
    <xf numFmtId="49" fontId="16" fillId="8" borderId="4" applyAlignment="1" pivotButton="0" quotePrefix="0" xfId="0">
      <alignment horizontal="center" vertical="center"/>
    </xf>
    <xf numFmtId="0" fontId="17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right" vertical="center"/>
    </xf>
    <xf numFmtId="0" fontId="19" fillId="11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right" vertical="center"/>
    </xf>
    <xf numFmtId="3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right" vertical="center"/>
    </xf>
    <xf numFmtId="1" fontId="13" fillId="6" borderId="1" applyAlignment="1" pivotButton="0" quotePrefix="0" xfId="0">
      <alignment horizontal="center" vertical="center"/>
    </xf>
    <xf numFmtId="1" fontId="13" fillId="9" borderId="1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1" fillId="3" borderId="2" applyAlignment="1" pivotButton="0" quotePrefix="0" xfId="0">
      <alignment horizontal="center" vertical="center"/>
    </xf>
    <xf numFmtId="3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</dxf>
    <dxf>
      <font>
        <name val="Tahoma"/>
        <b val="1"/>
        <color rgb="00E651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externalLink" Target="externalLinks/externalLink1.xml"/><Relationship Id="rId12" Type="http://schemas.openxmlformats.org/officeDocument/2006/relationships/externalLink" Target="externalLinks/externalLink2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C7" authorId="0" shapeId="0">
      <text>
        <t>دستمزد فردی ← کد کارمند (E…) | دستمزد گروهی ← کد گروه (WG…).</t>
      </text>
    </comment>
    <comment ref="D7" authorId="0" shapeId="0">
      <text>
        <t>شناسه یکتا برای هر رویداد (مثل W-201) — ریز سهم‌ها در شیت Shares با همین شناسه وصل می‌شوند.</t>
      </text>
    </comment>
    <comment ref="E7" authorId="0" shapeId="0">
      <text>
        <t>کد طرف: کارمند (E…) برای فردی، گروه کاری (WG…) برای گروهی.</t>
      </text>
    </comment>
    <comment ref="G7" authorId="0" shapeId="0">
      <text>
        <t>مبلغ کل — برای گروهی، جمع ریز سهم‌ها باید با آن برابر باشد (وضعیت √ نشان می‌دهد).</t>
      </text>
    </comment>
  </commentList>
</comments>
</file>

<file path=xl/comments/comment2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t>همان شناسه رویدادِ گروهی که در شیت Wages ثبت کردید.</t>
      </text>
    </comment>
    <comment ref="C7" authorId="0" shapeId="0">
      <text>
        <t>کد عضو گروه (E…) — نام و گروه خودکار می‌آیند.</t>
      </text>
    </comment>
    <comment ref="E7" authorId="0" shapeId="0">
      <text>
        <t>مبلغ سهم این عضو — تقسیم دستی است؛ جمع باید برابر مبلغ کل رویداد باشد.</t>
      </text>
    </comment>
  </commentList>
</comments>
</file>

<file path=xl/comments/comment3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کارمند (E…) — دستمزد فردی + سهم از گروه‌ها + پرداخت‌های بانکی + مانده.
برای نفر دیگر: کپی شیت + تغییر همین کد.</t>
      </text>
    </comment>
  </commentList>
</comments>
</file>

<file path=xl/comments/comment4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گروه کاری (WG… از INFO ← WorkGroups) — رویدادهای گروه + ریز سهم تک‌تک اعضا.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J2008"/>
  <sheetViews>
    <sheetView showGridLines="0" rightToLeft="1" zoomScale="9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3" customWidth="1" min="3" max="3"/>
    <col width="10" customWidth="1" min="4" max="4"/>
    <col width="11" customWidth="1" min="5" max="5"/>
    <col width="20" customWidth="1" min="6" max="6"/>
    <col width="15" customWidth="1" min="7" max="7"/>
    <col width="15" customWidth="1" min="8" max="8"/>
    <col width="13" customWidth="1" min="9" max="9"/>
    <col width="28" customWidth="1" min="10" max="10"/>
  </cols>
  <sheetData>
    <row r="1" ht="26" customHeight="1">
      <c r="A1" s="1">
        <f>IF(Sync!$AI$6="","مازندشت",Sync!$AI$6)&amp;" — "&amp;IF(Sync!$AI$9="","سورتینگ و بسته‌بندی مرکبات",Sync!$AI$9)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4" customHeight="1">
      <c r="A2" s="2">
        <f>IF(Sync!$AI$7="","باغدشت، بخش مرکزی، شهرستان قائم‌شهر، استان مازندران، ایران",Sync!$AI$7)&amp;"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دفتر دستمزد — ثبت حقوق، مساعده و دستمزد گروهی (تنها محل ثبت دستمزد)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ستون‌های زرد = ورود دستی. «نوع» را انتخاب کنید: دستمزد فردی ← کد کارمند (E…) | دستمزد گروهی ← کد گروه کاری (WG…)؛ سپس «شناسه» یکتا بنویسید (مثل W-201). برای ردیف گروهی، سهم هر عضو را در شیت Shares با همین شناسه وارد کنید — ستون «جمع ریز» و «وضعیت» کنترل می‌کنند که جمع سهم‌ها با مبلغ کل برابر شود (√). پرداخت واقعی پول در Transactions (برداشت با کد کارمند) ثبت می‌شود و در گزارش همین فایل می‌آید.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3" customHeight="1">
      <c r="A5" s="5" t="inlineStr">
        <is>
          <t>تعداد رویداد دستمزد</t>
        </is>
      </c>
      <c r="B5" s="5" t="n"/>
      <c r="C5" s="5" t="inlineStr">
        <is>
          <t>جمع مبالغ (ریال)</t>
        </is>
      </c>
      <c r="D5" s="5" t="n"/>
      <c r="E5" s="5" t="inlineStr">
        <is>
          <t>جمع ریز گروه‌ها (ریال)</t>
        </is>
      </c>
      <c r="F5" s="5" t="n"/>
      <c r="G5" s="5" t="inlineStr">
        <is>
          <t>ظرفیت باقی‌مانده</t>
        </is>
      </c>
      <c r="H5" s="5" t="n"/>
      <c r="I5" s="5" t="inlineStr">
        <is>
          <t>رویدادهای مغایرت</t>
        </is>
      </c>
      <c r="J5" s="5" t="n"/>
    </row>
    <row r="6" ht="20" customHeight="1">
      <c r="A6" s="6">
        <f>COUNTA($B$9:$B$2008)</f>
        <v/>
      </c>
      <c r="B6" s="6" t="n"/>
      <c r="C6" s="7">
        <f>SUM($G$9:$G$2008)</f>
        <v/>
      </c>
      <c r="D6" s="7" t="n"/>
      <c r="E6" s="7">
        <f>SUM($H$9:$H$2008)</f>
        <v/>
      </c>
      <c r="F6" s="7" t="n"/>
      <c r="G6" s="6">
        <f>2000-COUNTA($B$9:$B$2008)</f>
        <v/>
      </c>
      <c r="H6" s="6" t="n"/>
      <c r="I6" s="6">
        <f>COUNTIF($I$9:$I$2008,"▲*")</f>
        <v/>
      </c>
      <c r="J6" s="6" t="n"/>
    </row>
    <row r="7" ht="30" customHeight="1">
      <c r="A7" s="8" t="inlineStr">
        <is>
          <t>ردیف</t>
        </is>
      </c>
      <c r="B7" s="8" t="inlineStr">
        <is>
          <t>تاریخ</t>
        </is>
      </c>
      <c r="C7" s="8" t="inlineStr">
        <is>
          <t>نوع دستمزد</t>
        </is>
      </c>
      <c r="D7" s="8" t="inlineStr">
        <is>
          <t>شناسه</t>
        </is>
      </c>
      <c r="E7" s="8" t="inlineStr">
        <is>
          <t>کد طرف</t>
        </is>
      </c>
      <c r="F7" s="8" t="inlineStr">
        <is>
          <t>نام / گروه (خودکار)</t>
        </is>
      </c>
      <c r="G7" s="8" t="inlineStr">
        <is>
          <t>مبلغ کل (ریال)</t>
        </is>
      </c>
      <c r="H7" s="8" t="inlineStr">
        <is>
          <t>جمع ریز سهم‌ها (خودکار)</t>
        </is>
      </c>
      <c r="I7" s="8" t="inlineStr">
        <is>
          <t>وضعیت (خودکار)</t>
        </is>
      </c>
      <c r="J7" s="8" t="inlineStr">
        <is>
          <t>توضیحات</t>
        </is>
      </c>
    </row>
    <row r="8" ht="13" customHeight="1">
      <c r="A8" s="9" t="inlineStr">
        <is>
          <t>No.</t>
        </is>
      </c>
      <c r="B8" s="9" t="inlineStr">
        <is>
          <t>Date</t>
        </is>
      </c>
      <c r="C8" s="9" t="inlineStr">
        <is>
          <t>Kind</t>
        </is>
      </c>
      <c r="D8" s="9" t="inlineStr">
        <is>
          <t>Doc ID</t>
        </is>
      </c>
      <c r="E8" s="9" t="inlineStr">
        <is>
          <t>Party Code</t>
        </is>
      </c>
      <c r="F8" s="9" t="inlineStr">
        <is>
          <t>Name (auto)</t>
        </is>
      </c>
      <c r="G8" s="9" t="inlineStr">
        <is>
          <t>Total Amount</t>
        </is>
      </c>
      <c r="H8" s="9" t="inlineStr">
        <is>
          <t>Shares Sum (auto)</t>
        </is>
      </c>
      <c r="I8" s="9" t="inlineStr">
        <is>
          <t>Status (auto)</t>
        </is>
      </c>
      <c r="J8" s="9" t="inlineStr">
        <is>
          <t>Notes</t>
        </is>
      </c>
    </row>
    <row r="9">
      <c r="A9" s="10">
        <f>IF($B9="","",COUNTA($B$9:$B9))</f>
        <v/>
      </c>
      <c r="B9" s="11"/>
      <c r="C9" s="12"/>
      <c r="D9" s="12"/>
      <c r="E9" s="13"/>
      <c r="F9" s="14">
        <f>IF($E9="","",IF($C9="دستمزد گروهی",IFERROR(VLOOKUP($E9,WGTbl,2,0),"کد ناشناخته"),IFERROR(IF(VLOOKUP($E9,AcctTblE,4,0)="","(بدون نام)",VLOOKUP($E9,AcctTblE,4,0)),"کد ناشناخته")))</f>
        <v/>
      </c>
      <c r="G9" s="15"/>
      <c r="H9" s="16">
        <f>IF(OR($C9&lt;&gt;"دستمزد گروهی",$D9=""),"",SUMIFS(ShareAmt,ShareLink,$D9))</f>
        <v/>
      </c>
      <c r="I9" s="17">
        <f>IF($C9&lt;&gt;"دستمزد گروهی","—",IF($H9="","",IF(ROUND($H9-IF($G9="",0,$G9),0)=0,"√","▲ مغایرت "&amp;TEXT(IF($G9="",0,$G9)-$H9,"#,##0"))))</f>
        <v/>
      </c>
      <c r="J9" s="18"/>
    </row>
    <row r="10">
      <c r="A10" s="19">
        <f>IF($B10="","",COUNTA($B$9:$B10))</f>
        <v/>
      </c>
      <c r="B10" s="11"/>
      <c r="C10" s="12"/>
      <c r="D10" s="12"/>
      <c r="E10" s="13"/>
      <c r="F10" s="20">
        <f>IF($E10="","",IF($C10="دستمزد گروهی",IFERROR(VLOOKUP($E10,WGTbl,2,0),"کد ناشناخته"),IFERROR(IF(VLOOKUP($E10,AcctTblE,4,0)="","(بدون نام)",VLOOKUP($E10,AcctTblE,4,0)),"کد ناشناخته")))</f>
        <v/>
      </c>
      <c r="G10" s="15"/>
      <c r="H10" s="21">
        <f>IF(OR($C10&lt;&gt;"دستمزد گروهی",$D10=""),"",SUMIFS(ShareAmt,ShareLink,$D10))</f>
        <v/>
      </c>
      <c r="I10" s="22">
        <f>IF($C10&lt;&gt;"دستمزد گروهی","—",IF($H10="","",IF(ROUND($H10-IF($G10="",0,$G10),0)=0,"√","▲ مغایرت "&amp;TEXT(IF($G10="",0,$G10)-$H10,"#,##0"))))</f>
        <v/>
      </c>
      <c r="J10" s="18"/>
    </row>
    <row r="11">
      <c r="A11" s="10">
        <f>IF($B11="","",COUNTA($B$9:$B11))</f>
        <v/>
      </c>
      <c r="B11" s="11"/>
      <c r="C11" s="12"/>
      <c r="D11" s="12"/>
      <c r="E11" s="13"/>
      <c r="F11" s="14">
        <f>IF($E11="","",IF($C11="دستمزد گروهی",IFERROR(VLOOKUP($E11,WGTbl,2,0),"کد ناشناخته"),IFERROR(IF(VLOOKUP($E11,AcctTblE,4,0)="","(بدون نام)",VLOOKUP($E11,AcctTblE,4,0)),"کد ناشناخته")))</f>
        <v/>
      </c>
      <c r="G11" s="15"/>
      <c r="H11" s="16">
        <f>IF(OR($C11&lt;&gt;"دستمزد گروهی",$D11=""),"",SUMIFS(ShareAmt,ShareLink,$D11))</f>
        <v/>
      </c>
      <c r="I11" s="17">
        <f>IF($C11&lt;&gt;"دستمزد گروهی","—",IF($H11="","",IF(ROUND($H11-IF($G11="",0,$G11),0)=0,"√","▲ مغایرت "&amp;TEXT(IF($G11="",0,$G11)-$H11,"#,##0"))))</f>
        <v/>
      </c>
      <c r="J11" s="18"/>
    </row>
    <row r="12">
      <c r="A12" s="19">
        <f>IF($B12="","",COUNTA($B$9:$B12))</f>
        <v/>
      </c>
      <c r="B12" s="11"/>
      <c r="C12" s="12"/>
      <c r="D12" s="12"/>
      <c r="E12" s="13"/>
      <c r="F12" s="20">
        <f>IF($E12="","",IF($C12="دستمزد گروهی",IFERROR(VLOOKUP($E12,WGTbl,2,0),"کد ناشناخته"),IFERROR(IF(VLOOKUP($E12,AcctTblE,4,0)="","(بدون نام)",VLOOKUP($E12,AcctTblE,4,0)),"کد ناشناخته")))</f>
        <v/>
      </c>
      <c r="G12" s="15"/>
      <c r="H12" s="21">
        <f>IF(OR($C12&lt;&gt;"دستمزد گروهی",$D12=""),"",SUMIFS(ShareAmt,ShareLink,$D12))</f>
        <v/>
      </c>
      <c r="I12" s="22">
        <f>IF($C12&lt;&gt;"دستمزد گروهی","—",IF($H12="","",IF(ROUND($H12-IF($G12="",0,$G12),0)=0,"√","▲ مغایرت "&amp;TEXT(IF($G12="",0,$G12)-$H12,"#,##0"))))</f>
        <v/>
      </c>
      <c r="J12" s="18"/>
    </row>
    <row r="13">
      <c r="A13" s="10">
        <f>IF($B13="","",COUNTA($B$9:$B13))</f>
        <v/>
      </c>
      <c r="B13" s="11" t="n"/>
      <c r="C13" s="12" t="n"/>
      <c r="D13" s="12" t="n"/>
      <c r="E13" s="13" t="n"/>
      <c r="F13" s="14">
        <f>IF($E13="","",IF($C13="دستمزد گروهی",IFERROR(VLOOKUP($E13,WGTbl,2,0),"کد ناشناخته"),IFERROR(IF(VLOOKUP($E13,AcctTblE,4,0)="","(بدون نام)",VLOOKUP($E13,AcctTblE,4,0)),"کد ناشناخته")))</f>
        <v/>
      </c>
      <c r="G13" s="15" t="n"/>
      <c r="H13" s="16">
        <f>IF(OR($C13&lt;&gt;"دستمزد گروهی",$D13=""),"",SUMIFS(ShareAmt,ShareLink,$D13))</f>
        <v/>
      </c>
      <c r="I13" s="17">
        <f>IF($C13&lt;&gt;"دستمزد گروهی","—",IF($H13="","",IF(ROUND($H13-IF($G13="",0,$G13),0)=0,"√","▲ مغایرت "&amp;TEXT(IF($G13="",0,$G13)-$H13,"#,##0"))))</f>
        <v/>
      </c>
      <c r="J13" s="18" t="n"/>
    </row>
    <row r="14">
      <c r="A14" s="19">
        <f>IF($B14="","",COUNTA($B$9:$B14))</f>
        <v/>
      </c>
      <c r="B14" s="11" t="n"/>
      <c r="C14" s="12" t="n"/>
      <c r="D14" s="12" t="n"/>
      <c r="E14" s="13" t="n"/>
      <c r="F14" s="20">
        <f>IF($E14="","",IF($C14="دستمزد گروهی",IFERROR(VLOOKUP($E14,WGTbl,2,0),"کد ناشناخته"),IFERROR(IF(VLOOKUP($E14,AcctTblE,4,0)="","(بدون نام)",VLOOKUP($E14,AcctTblE,4,0)),"کد ناشناخته")))</f>
        <v/>
      </c>
      <c r="G14" s="15" t="n"/>
      <c r="H14" s="21">
        <f>IF(OR($C14&lt;&gt;"دستمزد گروهی",$D14=""),"",SUMIFS(ShareAmt,ShareLink,$D14))</f>
        <v/>
      </c>
      <c r="I14" s="22">
        <f>IF($C14&lt;&gt;"دستمزد گروهی","—",IF($H14="","",IF(ROUND($H14-IF($G14="",0,$G14),0)=0,"√","▲ مغایرت "&amp;TEXT(IF($G14="",0,$G14)-$H14,"#,##0"))))</f>
        <v/>
      </c>
      <c r="J14" s="18" t="n"/>
    </row>
    <row r="15">
      <c r="A15" s="10">
        <f>IF($B15="","",COUNTA($B$9:$B15))</f>
        <v/>
      </c>
      <c r="B15" s="11" t="n"/>
      <c r="C15" s="12" t="n"/>
      <c r="D15" s="12" t="n"/>
      <c r="E15" s="13" t="n"/>
      <c r="F15" s="14">
        <f>IF($E15="","",IF($C15="دستمزد گروهی",IFERROR(VLOOKUP($E15,WGTbl,2,0),"کد ناشناخته"),IFERROR(IF(VLOOKUP($E15,AcctTblE,4,0)="","(بدون نام)",VLOOKUP($E15,AcctTblE,4,0)),"کد ناشناخته")))</f>
        <v/>
      </c>
      <c r="G15" s="15" t="n"/>
      <c r="H15" s="16">
        <f>IF(OR($C15&lt;&gt;"دستمزد گروهی",$D15=""),"",SUMIFS(ShareAmt,ShareLink,$D15))</f>
        <v/>
      </c>
      <c r="I15" s="17">
        <f>IF($C15&lt;&gt;"دستمزد گروهی","—",IF($H15="","",IF(ROUND($H15-IF($G15="",0,$G15),0)=0,"√","▲ مغایرت "&amp;TEXT(IF($G15="",0,$G15)-$H15,"#,##0"))))</f>
        <v/>
      </c>
      <c r="J15" s="18" t="n"/>
    </row>
    <row r="16">
      <c r="A16" s="19">
        <f>IF($B16="","",COUNTA($B$9:$B16))</f>
        <v/>
      </c>
      <c r="B16" s="11" t="n"/>
      <c r="C16" s="12" t="n"/>
      <c r="D16" s="12" t="n"/>
      <c r="E16" s="13" t="n"/>
      <c r="F16" s="20">
        <f>IF($E16="","",IF($C16="دستمزد گروهی",IFERROR(VLOOKUP($E16,WGTbl,2,0),"کد ناشناخته"),IFERROR(IF(VLOOKUP($E16,AcctTblE,4,0)="","(بدون نام)",VLOOKUP($E16,AcctTblE,4,0)),"کد ناشناخته")))</f>
        <v/>
      </c>
      <c r="G16" s="15" t="n"/>
      <c r="H16" s="21">
        <f>IF(OR($C16&lt;&gt;"دستمزد گروهی",$D16=""),"",SUMIFS(ShareAmt,ShareLink,$D16))</f>
        <v/>
      </c>
      <c r="I16" s="22">
        <f>IF($C16&lt;&gt;"دستمزد گروهی","—",IF($H16="","",IF(ROUND($H16-IF($G16="",0,$G16),0)=0,"√","▲ مغایرت "&amp;TEXT(IF($G16="",0,$G16)-$H16,"#,##0"))))</f>
        <v/>
      </c>
      <c r="J16" s="18" t="n"/>
    </row>
    <row r="17">
      <c r="A17" s="10">
        <f>IF($B17="","",COUNTA($B$9:$B17))</f>
        <v/>
      </c>
      <c r="B17" s="11" t="n"/>
      <c r="C17" s="12" t="n"/>
      <c r="D17" s="12" t="n"/>
      <c r="E17" s="13" t="n"/>
      <c r="F17" s="14">
        <f>IF($E17="","",IF($C17="دستمزد گروهی",IFERROR(VLOOKUP($E17,WGTbl,2,0),"کد ناشناخته"),IFERROR(IF(VLOOKUP($E17,AcctTblE,4,0)="","(بدون نام)",VLOOKUP($E17,AcctTblE,4,0)),"کد ناشناخته")))</f>
        <v/>
      </c>
      <c r="G17" s="15" t="n"/>
      <c r="H17" s="16">
        <f>IF(OR($C17&lt;&gt;"دستمزد گروهی",$D17=""),"",SUMIFS(ShareAmt,ShareLink,$D17))</f>
        <v/>
      </c>
      <c r="I17" s="17">
        <f>IF($C17&lt;&gt;"دستمزد گروهی","—",IF($H17="","",IF(ROUND($H17-IF($G17="",0,$G17),0)=0,"√","▲ مغایرت "&amp;TEXT(IF($G17="",0,$G17)-$H17,"#,##0"))))</f>
        <v/>
      </c>
      <c r="J17" s="18" t="n"/>
    </row>
    <row r="18">
      <c r="A18" s="19">
        <f>IF($B18="","",COUNTA($B$9:$B18))</f>
        <v/>
      </c>
      <c r="B18" s="11" t="n"/>
      <c r="C18" s="12" t="n"/>
      <c r="D18" s="12" t="n"/>
      <c r="E18" s="13" t="n"/>
      <c r="F18" s="20">
        <f>IF($E18="","",IF($C18="دستمزد گروهی",IFERROR(VLOOKUP($E18,WGTbl,2,0),"کد ناشناخته"),IFERROR(IF(VLOOKUP($E18,AcctTblE,4,0)="","(بدون نام)",VLOOKUP($E18,AcctTblE,4,0)),"کد ناشناخته")))</f>
        <v/>
      </c>
      <c r="G18" s="15" t="n"/>
      <c r="H18" s="21">
        <f>IF(OR($C18&lt;&gt;"دستمزد گروهی",$D18=""),"",SUMIFS(ShareAmt,ShareLink,$D18))</f>
        <v/>
      </c>
      <c r="I18" s="22">
        <f>IF($C18&lt;&gt;"دستمزد گروهی","—",IF($H18="","",IF(ROUND($H18-IF($G18="",0,$G18),0)=0,"√","▲ مغایرت "&amp;TEXT(IF($G18="",0,$G18)-$H18,"#,##0"))))</f>
        <v/>
      </c>
      <c r="J18" s="18" t="n"/>
    </row>
    <row r="19">
      <c r="A19" s="10">
        <f>IF($B19="","",COUNTA($B$9:$B19))</f>
        <v/>
      </c>
      <c r="B19" s="11" t="n"/>
      <c r="C19" s="12" t="n"/>
      <c r="D19" s="12" t="n"/>
      <c r="E19" s="13" t="n"/>
      <c r="F19" s="14">
        <f>IF($E19="","",IF($C19="دستمزد گروهی",IFERROR(VLOOKUP($E19,WGTbl,2,0),"کد ناشناخته"),IFERROR(IF(VLOOKUP($E19,AcctTblE,4,0)="","(بدون نام)",VLOOKUP($E19,AcctTblE,4,0)),"کد ناشناخته")))</f>
        <v/>
      </c>
      <c r="G19" s="15" t="n"/>
      <c r="H19" s="16">
        <f>IF(OR($C19&lt;&gt;"دستمزد گروهی",$D19=""),"",SUMIFS(ShareAmt,ShareLink,$D19))</f>
        <v/>
      </c>
      <c r="I19" s="17">
        <f>IF($C19&lt;&gt;"دستمزد گروهی","—",IF($H19="","",IF(ROUND($H19-IF($G19="",0,$G19),0)=0,"√","▲ مغایرت "&amp;TEXT(IF($G19="",0,$G19)-$H19,"#,##0"))))</f>
        <v/>
      </c>
      <c r="J19" s="18" t="n"/>
    </row>
    <row r="20">
      <c r="A20" s="19">
        <f>IF($B20="","",COUNTA($B$9:$B20))</f>
        <v/>
      </c>
      <c r="B20" s="11" t="n"/>
      <c r="C20" s="12" t="n"/>
      <c r="D20" s="12" t="n"/>
      <c r="E20" s="13" t="n"/>
      <c r="F20" s="20">
        <f>IF($E20="","",IF($C20="دستمزد گروهی",IFERROR(VLOOKUP($E20,WGTbl,2,0),"کد ناشناخته"),IFERROR(IF(VLOOKUP($E20,AcctTblE,4,0)="","(بدون نام)",VLOOKUP($E20,AcctTblE,4,0)),"کد ناشناخته")))</f>
        <v/>
      </c>
      <c r="G20" s="15" t="n"/>
      <c r="H20" s="21">
        <f>IF(OR($C20&lt;&gt;"دستمزد گروهی",$D20=""),"",SUMIFS(ShareAmt,ShareLink,$D20))</f>
        <v/>
      </c>
      <c r="I20" s="22">
        <f>IF($C20&lt;&gt;"دستمزد گروهی","—",IF($H20="","",IF(ROUND($H20-IF($G20="",0,$G20),0)=0,"√","▲ مغایرت "&amp;TEXT(IF($G20="",0,$G20)-$H20,"#,##0"))))</f>
        <v/>
      </c>
      <c r="J20" s="18" t="n"/>
    </row>
    <row r="21">
      <c r="A21" s="10">
        <f>IF($B21="","",COUNTA($B$9:$B21))</f>
        <v/>
      </c>
      <c r="B21" s="11" t="n"/>
      <c r="C21" s="12" t="n"/>
      <c r="D21" s="12" t="n"/>
      <c r="E21" s="13" t="n"/>
      <c r="F21" s="14">
        <f>IF($E21="","",IF($C21="دستمزد گروهی",IFERROR(VLOOKUP($E21,WGTbl,2,0),"کد ناشناخته"),IFERROR(IF(VLOOKUP($E21,AcctTblE,4,0)="","(بدون نام)",VLOOKUP($E21,AcctTblE,4,0)),"کد ناشناخته")))</f>
        <v/>
      </c>
      <c r="G21" s="15" t="n"/>
      <c r="H21" s="16">
        <f>IF(OR($C21&lt;&gt;"دستمزد گروهی",$D21=""),"",SUMIFS(ShareAmt,ShareLink,$D21))</f>
        <v/>
      </c>
      <c r="I21" s="17">
        <f>IF($C21&lt;&gt;"دستمزد گروهی","—",IF($H21="","",IF(ROUND($H21-IF($G21="",0,$G21),0)=0,"√","▲ مغایرت "&amp;TEXT(IF($G21="",0,$G21)-$H21,"#,##0"))))</f>
        <v/>
      </c>
      <c r="J21" s="18" t="n"/>
    </row>
    <row r="22">
      <c r="A22" s="19">
        <f>IF($B22="","",COUNTA($B$9:$B22))</f>
        <v/>
      </c>
      <c r="B22" s="11" t="n"/>
      <c r="C22" s="12" t="n"/>
      <c r="D22" s="12" t="n"/>
      <c r="E22" s="13" t="n"/>
      <c r="F22" s="20">
        <f>IF($E22="","",IF($C22="دستمزد گروهی",IFERROR(VLOOKUP($E22,WGTbl,2,0),"کد ناشناخته"),IFERROR(IF(VLOOKUP($E22,AcctTblE,4,0)="","(بدون نام)",VLOOKUP($E22,AcctTblE,4,0)),"کد ناشناخته")))</f>
        <v/>
      </c>
      <c r="G22" s="15" t="n"/>
      <c r="H22" s="21">
        <f>IF(OR($C22&lt;&gt;"دستمزد گروهی",$D22=""),"",SUMIFS(ShareAmt,ShareLink,$D22))</f>
        <v/>
      </c>
      <c r="I22" s="22">
        <f>IF($C22&lt;&gt;"دستمزد گروهی","—",IF($H22="","",IF(ROUND($H22-IF($G22="",0,$G22),0)=0,"√","▲ مغایرت "&amp;TEXT(IF($G22="",0,$G22)-$H22,"#,##0"))))</f>
        <v/>
      </c>
      <c r="J22" s="18" t="n"/>
    </row>
    <row r="23">
      <c r="A23" s="10">
        <f>IF($B23="","",COUNTA($B$9:$B23))</f>
        <v/>
      </c>
      <c r="B23" s="11" t="n"/>
      <c r="C23" s="12" t="n"/>
      <c r="D23" s="12" t="n"/>
      <c r="E23" s="13" t="n"/>
      <c r="F23" s="14">
        <f>IF($E23="","",IF($C23="دستمزد گروهی",IFERROR(VLOOKUP($E23,WGTbl,2,0),"کد ناشناخته"),IFERROR(IF(VLOOKUP($E23,AcctTblE,4,0)="","(بدون نام)",VLOOKUP($E23,AcctTblE,4,0)),"کد ناشناخته")))</f>
        <v/>
      </c>
      <c r="G23" s="15" t="n"/>
      <c r="H23" s="16">
        <f>IF(OR($C23&lt;&gt;"دستمزد گروهی",$D23=""),"",SUMIFS(ShareAmt,ShareLink,$D23))</f>
        <v/>
      </c>
      <c r="I23" s="17">
        <f>IF($C23&lt;&gt;"دستمزد گروهی","—",IF($H23="","",IF(ROUND($H23-IF($G23="",0,$G23),0)=0,"√","▲ مغایرت "&amp;TEXT(IF($G23="",0,$G23)-$H23,"#,##0"))))</f>
        <v/>
      </c>
      <c r="J23" s="18" t="n"/>
    </row>
    <row r="24">
      <c r="A24" s="19">
        <f>IF($B24="","",COUNTA($B$9:$B24))</f>
        <v/>
      </c>
      <c r="B24" s="11" t="n"/>
      <c r="C24" s="12" t="n"/>
      <c r="D24" s="12" t="n"/>
      <c r="E24" s="13" t="n"/>
      <c r="F24" s="20">
        <f>IF($E24="","",IF($C24="دستمزد گروهی",IFERROR(VLOOKUP($E24,WGTbl,2,0),"کد ناشناخته"),IFERROR(IF(VLOOKUP($E24,AcctTblE,4,0)="","(بدون نام)",VLOOKUP($E24,AcctTblE,4,0)),"کد ناشناخته")))</f>
        <v/>
      </c>
      <c r="G24" s="15" t="n"/>
      <c r="H24" s="21">
        <f>IF(OR($C24&lt;&gt;"دستمزد گروهی",$D24=""),"",SUMIFS(ShareAmt,ShareLink,$D24))</f>
        <v/>
      </c>
      <c r="I24" s="22">
        <f>IF($C24&lt;&gt;"دستمزد گروهی","—",IF($H24="","",IF(ROUND($H24-IF($G24="",0,$G24),0)=0,"√","▲ مغایرت "&amp;TEXT(IF($G24="",0,$G24)-$H24,"#,##0"))))</f>
        <v/>
      </c>
      <c r="J24" s="18" t="n"/>
    </row>
    <row r="25">
      <c r="A25" s="10">
        <f>IF($B25="","",COUNTA($B$9:$B25))</f>
        <v/>
      </c>
      <c r="B25" s="11" t="n"/>
      <c r="C25" s="12" t="n"/>
      <c r="D25" s="12" t="n"/>
      <c r="E25" s="13" t="n"/>
      <c r="F25" s="14">
        <f>IF($E25="","",IF($C25="دستمزد گروهی",IFERROR(VLOOKUP($E25,WGTbl,2,0),"کد ناشناخته"),IFERROR(IF(VLOOKUP($E25,AcctTblE,4,0)="","(بدون نام)",VLOOKUP($E25,AcctTblE,4,0)),"کد ناشناخته")))</f>
        <v/>
      </c>
      <c r="G25" s="15" t="n"/>
      <c r="H25" s="16">
        <f>IF(OR($C25&lt;&gt;"دستمزد گروهی",$D25=""),"",SUMIFS(ShareAmt,ShareLink,$D25))</f>
        <v/>
      </c>
      <c r="I25" s="17">
        <f>IF($C25&lt;&gt;"دستمزد گروهی","—",IF($H25="","",IF(ROUND($H25-IF($G25="",0,$G25),0)=0,"√","▲ مغایرت "&amp;TEXT(IF($G25="",0,$G25)-$H25,"#,##0"))))</f>
        <v/>
      </c>
      <c r="J25" s="18" t="n"/>
    </row>
    <row r="26">
      <c r="A26" s="19">
        <f>IF($B26="","",COUNTA($B$9:$B26))</f>
        <v/>
      </c>
      <c r="B26" s="11" t="n"/>
      <c r="C26" s="12" t="n"/>
      <c r="D26" s="12" t="n"/>
      <c r="E26" s="13" t="n"/>
      <c r="F26" s="20">
        <f>IF($E26="","",IF($C26="دستمزد گروهی",IFERROR(VLOOKUP($E26,WGTbl,2,0),"کد ناشناخته"),IFERROR(IF(VLOOKUP($E26,AcctTblE,4,0)="","(بدون نام)",VLOOKUP($E26,AcctTblE,4,0)),"کد ناشناخته")))</f>
        <v/>
      </c>
      <c r="G26" s="15" t="n"/>
      <c r="H26" s="21">
        <f>IF(OR($C26&lt;&gt;"دستمزد گروهی",$D26=""),"",SUMIFS(ShareAmt,ShareLink,$D26))</f>
        <v/>
      </c>
      <c r="I26" s="22">
        <f>IF($C26&lt;&gt;"دستمزد گروهی","—",IF($H26="","",IF(ROUND($H26-IF($G26="",0,$G26),0)=0,"√","▲ مغایرت "&amp;TEXT(IF($G26="",0,$G26)-$H26,"#,##0"))))</f>
        <v/>
      </c>
      <c r="J26" s="18" t="n"/>
    </row>
    <row r="27">
      <c r="A27" s="10">
        <f>IF($B27="","",COUNTA($B$9:$B27))</f>
        <v/>
      </c>
      <c r="B27" s="11" t="n"/>
      <c r="C27" s="12" t="n"/>
      <c r="D27" s="12" t="n"/>
      <c r="E27" s="13" t="n"/>
      <c r="F27" s="14">
        <f>IF($E27="","",IF($C27="دستمزد گروهی",IFERROR(VLOOKUP($E27,WGTbl,2,0),"کد ناشناخته"),IFERROR(IF(VLOOKUP($E27,AcctTblE,4,0)="","(بدون نام)",VLOOKUP($E27,AcctTblE,4,0)),"کد ناشناخته")))</f>
        <v/>
      </c>
      <c r="G27" s="15" t="n"/>
      <c r="H27" s="16">
        <f>IF(OR($C27&lt;&gt;"دستمزد گروهی",$D27=""),"",SUMIFS(ShareAmt,ShareLink,$D27))</f>
        <v/>
      </c>
      <c r="I27" s="17">
        <f>IF($C27&lt;&gt;"دستمزد گروهی","—",IF($H27="","",IF(ROUND($H27-IF($G27="",0,$G27),0)=0,"√","▲ مغایرت "&amp;TEXT(IF($G27="",0,$G27)-$H27,"#,##0"))))</f>
        <v/>
      </c>
      <c r="J27" s="18" t="n"/>
    </row>
    <row r="28">
      <c r="A28" s="19">
        <f>IF($B28="","",COUNTA($B$9:$B28))</f>
        <v/>
      </c>
      <c r="B28" s="11" t="n"/>
      <c r="C28" s="12" t="n"/>
      <c r="D28" s="12" t="n"/>
      <c r="E28" s="13" t="n"/>
      <c r="F28" s="20">
        <f>IF($E28="","",IF($C28="دستمزد گروهی",IFERROR(VLOOKUP($E28,WGTbl,2,0),"کد ناشناخته"),IFERROR(IF(VLOOKUP($E28,AcctTblE,4,0)="","(بدون نام)",VLOOKUP($E28,AcctTblE,4,0)),"کد ناشناخته")))</f>
        <v/>
      </c>
      <c r="G28" s="15" t="n"/>
      <c r="H28" s="21">
        <f>IF(OR($C28&lt;&gt;"دستمزد گروهی",$D28=""),"",SUMIFS(ShareAmt,ShareLink,$D28))</f>
        <v/>
      </c>
      <c r="I28" s="22">
        <f>IF($C28&lt;&gt;"دستمزد گروهی","—",IF($H28="","",IF(ROUND($H28-IF($G28="",0,$G28),0)=0,"√","▲ مغایرت "&amp;TEXT(IF($G28="",0,$G28)-$H28,"#,##0"))))</f>
        <v/>
      </c>
      <c r="J28" s="18" t="n"/>
    </row>
    <row r="29">
      <c r="A29" s="10">
        <f>IF($B29="","",COUNTA($B$9:$B29))</f>
        <v/>
      </c>
      <c r="B29" s="11" t="n"/>
      <c r="C29" s="12" t="n"/>
      <c r="D29" s="12" t="n"/>
      <c r="E29" s="13" t="n"/>
      <c r="F29" s="14">
        <f>IF($E29="","",IF($C29="دستمزد گروهی",IFERROR(VLOOKUP($E29,WGTbl,2,0),"کد ناشناخته"),IFERROR(IF(VLOOKUP($E29,AcctTblE,4,0)="","(بدون نام)",VLOOKUP($E29,AcctTblE,4,0)),"کد ناشناخته")))</f>
        <v/>
      </c>
      <c r="G29" s="15" t="n"/>
      <c r="H29" s="16">
        <f>IF(OR($C29&lt;&gt;"دستمزد گروهی",$D29=""),"",SUMIFS(ShareAmt,ShareLink,$D29))</f>
        <v/>
      </c>
      <c r="I29" s="17">
        <f>IF($C29&lt;&gt;"دستمزد گروهی","—",IF($H29="","",IF(ROUND($H29-IF($G29="",0,$G29),0)=0,"√","▲ مغایرت "&amp;TEXT(IF($G29="",0,$G29)-$H29,"#,##0"))))</f>
        <v/>
      </c>
      <c r="J29" s="18" t="n"/>
    </row>
    <row r="30">
      <c r="A30" s="19">
        <f>IF($B30="","",COUNTA($B$9:$B30))</f>
        <v/>
      </c>
      <c r="B30" s="11" t="n"/>
      <c r="C30" s="12" t="n"/>
      <c r="D30" s="12" t="n"/>
      <c r="E30" s="13" t="n"/>
      <c r="F30" s="20">
        <f>IF($E30="","",IF($C30="دستمزد گروهی",IFERROR(VLOOKUP($E30,WGTbl,2,0),"کد ناشناخته"),IFERROR(IF(VLOOKUP($E30,AcctTblE,4,0)="","(بدون نام)",VLOOKUP($E30,AcctTblE,4,0)),"کد ناشناخته")))</f>
        <v/>
      </c>
      <c r="G30" s="15" t="n"/>
      <c r="H30" s="21">
        <f>IF(OR($C30&lt;&gt;"دستمزد گروهی",$D30=""),"",SUMIFS(ShareAmt,ShareLink,$D30))</f>
        <v/>
      </c>
      <c r="I30" s="22">
        <f>IF($C30&lt;&gt;"دستمزد گروهی","—",IF($H30="","",IF(ROUND($H30-IF($G30="",0,$G30),0)=0,"√","▲ مغایرت "&amp;TEXT(IF($G30="",0,$G30)-$H30,"#,##0"))))</f>
        <v/>
      </c>
      <c r="J30" s="18" t="n"/>
    </row>
    <row r="31">
      <c r="A31" s="10">
        <f>IF($B31="","",COUNTA($B$9:$B31))</f>
        <v/>
      </c>
      <c r="B31" s="11" t="n"/>
      <c r="C31" s="12" t="n"/>
      <c r="D31" s="12" t="n"/>
      <c r="E31" s="13" t="n"/>
      <c r="F31" s="14">
        <f>IF($E31="","",IF($C31="دستمزد گروهی",IFERROR(VLOOKUP($E31,WGTbl,2,0),"کد ناشناخته"),IFERROR(IF(VLOOKUP($E31,AcctTblE,4,0)="","(بدون نام)",VLOOKUP($E31,AcctTblE,4,0)),"کد ناشناخته")))</f>
        <v/>
      </c>
      <c r="G31" s="15" t="n"/>
      <c r="H31" s="16">
        <f>IF(OR($C31&lt;&gt;"دستمزد گروهی",$D31=""),"",SUMIFS(ShareAmt,ShareLink,$D31))</f>
        <v/>
      </c>
      <c r="I31" s="17">
        <f>IF($C31&lt;&gt;"دستمزد گروهی","—",IF($H31="","",IF(ROUND($H31-IF($G31="",0,$G31),0)=0,"√","▲ مغایرت "&amp;TEXT(IF($G31="",0,$G31)-$H31,"#,##0"))))</f>
        <v/>
      </c>
      <c r="J31" s="18" t="n"/>
    </row>
    <row r="32">
      <c r="A32" s="19">
        <f>IF($B32="","",COUNTA($B$9:$B32))</f>
        <v/>
      </c>
      <c r="B32" s="11" t="n"/>
      <c r="C32" s="12" t="n"/>
      <c r="D32" s="12" t="n"/>
      <c r="E32" s="13" t="n"/>
      <c r="F32" s="20">
        <f>IF($E32="","",IF($C32="دستمزد گروهی",IFERROR(VLOOKUP($E32,WGTbl,2,0),"کد ناشناخته"),IFERROR(IF(VLOOKUP($E32,AcctTblE,4,0)="","(بدون نام)",VLOOKUP($E32,AcctTblE,4,0)),"کد ناشناخته")))</f>
        <v/>
      </c>
      <c r="G32" s="15" t="n"/>
      <c r="H32" s="21">
        <f>IF(OR($C32&lt;&gt;"دستمزد گروهی",$D32=""),"",SUMIFS(ShareAmt,ShareLink,$D32))</f>
        <v/>
      </c>
      <c r="I32" s="22">
        <f>IF($C32&lt;&gt;"دستمزد گروهی","—",IF($H32="","",IF(ROUND($H32-IF($G32="",0,$G32),0)=0,"√","▲ مغایرت "&amp;TEXT(IF($G32="",0,$G32)-$H32,"#,##0"))))</f>
        <v/>
      </c>
      <c r="J32" s="18" t="n"/>
    </row>
    <row r="33">
      <c r="A33" s="10">
        <f>IF($B33="","",COUNTA($B$9:$B33))</f>
        <v/>
      </c>
      <c r="B33" s="11" t="n"/>
      <c r="C33" s="12" t="n"/>
      <c r="D33" s="12" t="n"/>
      <c r="E33" s="13" t="n"/>
      <c r="F33" s="14">
        <f>IF($E33="","",IF($C33="دستمزد گروهی",IFERROR(VLOOKUP($E33,WGTbl,2,0),"کد ناشناخته"),IFERROR(IF(VLOOKUP($E33,AcctTblE,4,0)="","(بدون نام)",VLOOKUP($E33,AcctTblE,4,0)),"کد ناشناخته")))</f>
        <v/>
      </c>
      <c r="G33" s="15" t="n"/>
      <c r="H33" s="16">
        <f>IF(OR($C33&lt;&gt;"دستمزد گروهی",$D33=""),"",SUMIFS(ShareAmt,ShareLink,$D33))</f>
        <v/>
      </c>
      <c r="I33" s="17">
        <f>IF($C33&lt;&gt;"دستمزد گروهی","—",IF($H33="","",IF(ROUND($H33-IF($G33="",0,$G33),0)=0,"√","▲ مغایرت "&amp;TEXT(IF($G33="",0,$G33)-$H33,"#,##0"))))</f>
        <v/>
      </c>
      <c r="J33" s="18" t="n"/>
    </row>
    <row r="34">
      <c r="A34" s="19">
        <f>IF($B34="","",COUNTA($B$9:$B34))</f>
        <v/>
      </c>
      <c r="B34" s="11" t="n"/>
      <c r="C34" s="12" t="n"/>
      <c r="D34" s="12" t="n"/>
      <c r="E34" s="13" t="n"/>
      <c r="F34" s="20">
        <f>IF($E34="","",IF($C34="دستمزد گروهی",IFERROR(VLOOKUP($E34,WGTbl,2,0),"کد ناشناخته"),IFERROR(IF(VLOOKUP($E34,AcctTblE,4,0)="","(بدون نام)",VLOOKUP($E34,AcctTblE,4,0)),"کد ناشناخته")))</f>
        <v/>
      </c>
      <c r="G34" s="15" t="n"/>
      <c r="H34" s="21">
        <f>IF(OR($C34&lt;&gt;"دستمزد گروهی",$D34=""),"",SUMIFS(ShareAmt,ShareLink,$D34))</f>
        <v/>
      </c>
      <c r="I34" s="22">
        <f>IF($C34&lt;&gt;"دستمزد گروهی","—",IF($H34="","",IF(ROUND($H34-IF($G34="",0,$G34),0)=0,"√","▲ مغایرت "&amp;TEXT(IF($G34="",0,$G34)-$H34,"#,##0"))))</f>
        <v/>
      </c>
      <c r="J34" s="18" t="n"/>
    </row>
    <row r="35">
      <c r="A35" s="10">
        <f>IF($B35="","",COUNTA($B$9:$B35))</f>
        <v/>
      </c>
      <c r="B35" s="11" t="n"/>
      <c r="C35" s="12" t="n"/>
      <c r="D35" s="12" t="n"/>
      <c r="E35" s="13" t="n"/>
      <c r="F35" s="14">
        <f>IF($E35="","",IF($C35="دستمزد گروهی",IFERROR(VLOOKUP($E35,WGTbl,2,0),"کد ناشناخته"),IFERROR(IF(VLOOKUP($E35,AcctTblE,4,0)="","(بدون نام)",VLOOKUP($E35,AcctTblE,4,0)),"کد ناشناخته")))</f>
        <v/>
      </c>
      <c r="G35" s="15" t="n"/>
      <c r="H35" s="16">
        <f>IF(OR($C35&lt;&gt;"دستمزد گروهی",$D35=""),"",SUMIFS(ShareAmt,ShareLink,$D35))</f>
        <v/>
      </c>
      <c r="I35" s="17">
        <f>IF($C35&lt;&gt;"دستمزد گروهی","—",IF($H35="","",IF(ROUND($H35-IF($G35="",0,$G35),0)=0,"√","▲ مغایرت "&amp;TEXT(IF($G35="",0,$G35)-$H35,"#,##0"))))</f>
        <v/>
      </c>
      <c r="J35" s="18" t="n"/>
    </row>
    <row r="36">
      <c r="A36" s="19">
        <f>IF($B36="","",COUNTA($B$9:$B36))</f>
        <v/>
      </c>
      <c r="B36" s="11" t="n"/>
      <c r="C36" s="12" t="n"/>
      <c r="D36" s="12" t="n"/>
      <c r="E36" s="13" t="n"/>
      <c r="F36" s="20">
        <f>IF($E36="","",IF($C36="دستمزد گروهی",IFERROR(VLOOKUP($E36,WGTbl,2,0),"کد ناشناخته"),IFERROR(IF(VLOOKUP($E36,AcctTblE,4,0)="","(بدون نام)",VLOOKUP($E36,AcctTblE,4,0)),"کد ناشناخته")))</f>
        <v/>
      </c>
      <c r="G36" s="15" t="n"/>
      <c r="H36" s="21">
        <f>IF(OR($C36&lt;&gt;"دستمزد گروهی",$D36=""),"",SUMIFS(ShareAmt,ShareLink,$D36))</f>
        <v/>
      </c>
      <c r="I36" s="22">
        <f>IF($C36&lt;&gt;"دستمزد گروهی","—",IF($H36="","",IF(ROUND($H36-IF($G36="",0,$G36),0)=0,"√","▲ مغایرت "&amp;TEXT(IF($G36="",0,$G36)-$H36,"#,##0"))))</f>
        <v/>
      </c>
      <c r="J36" s="18" t="n"/>
    </row>
    <row r="37">
      <c r="A37" s="10">
        <f>IF($B37="","",COUNTA($B$9:$B37))</f>
        <v/>
      </c>
      <c r="B37" s="11" t="n"/>
      <c r="C37" s="12" t="n"/>
      <c r="D37" s="12" t="n"/>
      <c r="E37" s="13" t="n"/>
      <c r="F37" s="14">
        <f>IF($E37="","",IF($C37="دستمزد گروهی",IFERROR(VLOOKUP($E37,WGTbl,2,0),"کد ناشناخته"),IFERROR(IF(VLOOKUP($E37,AcctTblE,4,0)="","(بدون نام)",VLOOKUP($E37,AcctTblE,4,0)),"کد ناشناخته")))</f>
        <v/>
      </c>
      <c r="G37" s="15" t="n"/>
      <c r="H37" s="16">
        <f>IF(OR($C37&lt;&gt;"دستمزد گروهی",$D37=""),"",SUMIFS(ShareAmt,ShareLink,$D37))</f>
        <v/>
      </c>
      <c r="I37" s="17">
        <f>IF($C37&lt;&gt;"دستمزد گروهی","—",IF($H37="","",IF(ROUND($H37-IF($G37="",0,$G37),0)=0,"√","▲ مغایرت "&amp;TEXT(IF($G37="",0,$G37)-$H37,"#,##0"))))</f>
        <v/>
      </c>
      <c r="J37" s="18" t="n"/>
    </row>
    <row r="38">
      <c r="A38" s="19">
        <f>IF($B38="","",COUNTA($B$9:$B38))</f>
        <v/>
      </c>
      <c r="B38" s="11" t="n"/>
      <c r="C38" s="12" t="n"/>
      <c r="D38" s="12" t="n"/>
      <c r="E38" s="13" t="n"/>
      <c r="F38" s="20">
        <f>IF($E38="","",IF($C38="دستمزد گروهی",IFERROR(VLOOKUP($E38,WGTbl,2,0),"کد ناشناخته"),IFERROR(IF(VLOOKUP($E38,AcctTblE,4,0)="","(بدون نام)",VLOOKUP($E38,AcctTblE,4,0)),"کد ناشناخته")))</f>
        <v/>
      </c>
      <c r="G38" s="15" t="n"/>
      <c r="H38" s="21">
        <f>IF(OR($C38&lt;&gt;"دستمزد گروهی",$D38=""),"",SUMIFS(ShareAmt,ShareLink,$D38))</f>
        <v/>
      </c>
      <c r="I38" s="22">
        <f>IF($C38&lt;&gt;"دستمزد گروهی","—",IF($H38="","",IF(ROUND($H38-IF($G38="",0,$G38),0)=0,"√","▲ مغایرت "&amp;TEXT(IF($G38="",0,$G38)-$H38,"#,##0"))))</f>
        <v/>
      </c>
      <c r="J38" s="18" t="n"/>
    </row>
    <row r="39">
      <c r="A39" s="10">
        <f>IF($B39="","",COUNTA($B$9:$B39))</f>
        <v/>
      </c>
      <c r="B39" s="11" t="n"/>
      <c r="C39" s="12" t="n"/>
      <c r="D39" s="12" t="n"/>
      <c r="E39" s="13" t="n"/>
      <c r="F39" s="14">
        <f>IF($E39="","",IF($C39="دستمزد گروهی",IFERROR(VLOOKUP($E39,WGTbl,2,0),"کد ناشناخته"),IFERROR(IF(VLOOKUP($E39,AcctTblE,4,0)="","(بدون نام)",VLOOKUP($E39,AcctTblE,4,0)),"کد ناشناخته")))</f>
        <v/>
      </c>
      <c r="G39" s="15" t="n"/>
      <c r="H39" s="16">
        <f>IF(OR($C39&lt;&gt;"دستمزد گروهی",$D39=""),"",SUMIFS(ShareAmt,ShareLink,$D39))</f>
        <v/>
      </c>
      <c r="I39" s="17">
        <f>IF($C39&lt;&gt;"دستمزد گروهی","—",IF($H39="","",IF(ROUND($H39-IF($G39="",0,$G39),0)=0,"√","▲ مغایرت "&amp;TEXT(IF($G39="",0,$G39)-$H39,"#,##0"))))</f>
        <v/>
      </c>
      <c r="J39" s="18" t="n"/>
    </row>
    <row r="40">
      <c r="A40" s="19">
        <f>IF($B40="","",COUNTA($B$9:$B40))</f>
        <v/>
      </c>
      <c r="B40" s="11" t="n"/>
      <c r="C40" s="12" t="n"/>
      <c r="D40" s="12" t="n"/>
      <c r="E40" s="13" t="n"/>
      <c r="F40" s="20">
        <f>IF($E40="","",IF($C40="دستمزد گروهی",IFERROR(VLOOKUP($E40,WGTbl,2,0),"کد ناشناخته"),IFERROR(IF(VLOOKUP($E40,AcctTblE,4,0)="","(بدون نام)",VLOOKUP($E40,AcctTblE,4,0)),"کد ناشناخته")))</f>
        <v/>
      </c>
      <c r="G40" s="15" t="n"/>
      <c r="H40" s="21">
        <f>IF(OR($C40&lt;&gt;"دستمزد گروهی",$D40=""),"",SUMIFS(ShareAmt,ShareLink,$D40))</f>
        <v/>
      </c>
      <c r="I40" s="22">
        <f>IF($C40&lt;&gt;"دستمزد گروهی","—",IF($H40="","",IF(ROUND($H40-IF($G40="",0,$G40),0)=0,"√","▲ مغایرت "&amp;TEXT(IF($G40="",0,$G40)-$H40,"#,##0"))))</f>
        <v/>
      </c>
      <c r="J40" s="18" t="n"/>
    </row>
    <row r="41">
      <c r="A41" s="10">
        <f>IF($B41="","",COUNTA($B$9:$B41))</f>
        <v/>
      </c>
      <c r="B41" s="11" t="n"/>
      <c r="C41" s="12" t="n"/>
      <c r="D41" s="12" t="n"/>
      <c r="E41" s="13" t="n"/>
      <c r="F41" s="14">
        <f>IF($E41="","",IF($C41="دستمزد گروهی",IFERROR(VLOOKUP($E41,WGTbl,2,0),"کد ناشناخته"),IFERROR(IF(VLOOKUP($E41,AcctTblE,4,0)="","(بدون نام)",VLOOKUP($E41,AcctTblE,4,0)),"کد ناشناخته")))</f>
        <v/>
      </c>
      <c r="G41" s="15" t="n"/>
      <c r="H41" s="16">
        <f>IF(OR($C41&lt;&gt;"دستمزد گروهی",$D41=""),"",SUMIFS(ShareAmt,ShareLink,$D41))</f>
        <v/>
      </c>
      <c r="I41" s="17">
        <f>IF($C41&lt;&gt;"دستمزد گروهی","—",IF($H41="","",IF(ROUND($H41-IF($G41="",0,$G41),0)=0,"√","▲ مغایرت "&amp;TEXT(IF($G41="",0,$G41)-$H41,"#,##0"))))</f>
        <v/>
      </c>
      <c r="J41" s="18" t="n"/>
    </row>
    <row r="42">
      <c r="A42" s="19">
        <f>IF($B42="","",COUNTA($B$9:$B42))</f>
        <v/>
      </c>
      <c r="B42" s="11" t="n"/>
      <c r="C42" s="12" t="n"/>
      <c r="D42" s="12" t="n"/>
      <c r="E42" s="13" t="n"/>
      <c r="F42" s="20">
        <f>IF($E42="","",IF($C42="دستمزد گروهی",IFERROR(VLOOKUP($E42,WGTbl,2,0),"کد ناشناخته"),IFERROR(IF(VLOOKUP($E42,AcctTblE,4,0)="","(بدون نام)",VLOOKUP($E42,AcctTblE,4,0)),"کد ناشناخته")))</f>
        <v/>
      </c>
      <c r="G42" s="15" t="n"/>
      <c r="H42" s="21">
        <f>IF(OR($C42&lt;&gt;"دستمزد گروهی",$D42=""),"",SUMIFS(ShareAmt,ShareLink,$D42))</f>
        <v/>
      </c>
      <c r="I42" s="22">
        <f>IF($C42&lt;&gt;"دستمزد گروهی","—",IF($H42="","",IF(ROUND($H42-IF($G42="",0,$G42),0)=0,"√","▲ مغایرت "&amp;TEXT(IF($G42="",0,$G42)-$H42,"#,##0"))))</f>
        <v/>
      </c>
      <c r="J42" s="18" t="n"/>
    </row>
    <row r="43">
      <c r="A43" s="10">
        <f>IF($B43="","",COUNTA($B$9:$B43))</f>
        <v/>
      </c>
      <c r="B43" s="11" t="n"/>
      <c r="C43" s="12" t="n"/>
      <c r="D43" s="12" t="n"/>
      <c r="E43" s="13" t="n"/>
      <c r="F43" s="14">
        <f>IF($E43="","",IF($C43="دستمزد گروهی",IFERROR(VLOOKUP($E43,WGTbl,2,0),"کد ناشناخته"),IFERROR(IF(VLOOKUP($E43,AcctTblE,4,0)="","(بدون نام)",VLOOKUP($E43,AcctTblE,4,0)),"کد ناشناخته")))</f>
        <v/>
      </c>
      <c r="G43" s="15" t="n"/>
      <c r="H43" s="16">
        <f>IF(OR($C43&lt;&gt;"دستمزد گروهی",$D43=""),"",SUMIFS(ShareAmt,ShareLink,$D43))</f>
        <v/>
      </c>
      <c r="I43" s="17">
        <f>IF($C43&lt;&gt;"دستمزد گروهی","—",IF($H43="","",IF(ROUND($H43-IF($G43="",0,$G43),0)=0,"√","▲ مغایرت "&amp;TEXT(IF($G43="",0,$G43)-$H43,"#,##0"))))</f>
        <v/>
      </c>
      <c r="J43" s="18" t="n"/>
    </row>
    <row r="44">
      <c r="A44" s="19">
        <f>IF($B44="","",COUNTA($B$9:$B44))</f>
        <v/>
      </c>
      <c r="B44" s="11" t="n"/>
      <c r="C44" s="12" t="n"/>
      <c r="D44" s="12" t="n"/>
      <c r="E44" s="13" t="n"/>
      <c r="F44" s="20">
        <f>IF($E44="","",IF($C44="دستمزد گروهی",IFERROR(VLOOKUP($E44,WGTbl,2,0),"کد ناشناخته"),IFERROR(IF(VLOOKUP($E44,AcctTblE,4,0)="","(بدون نام)",VLOOKUP($E44,AcctTblE,4,0)),"کد ناشناخته")))</f>
        <v/>
      </c>
      <c r="G44" s="15" t="n"/>
      <c r="H44" s="21">
        <f>IF(OR($C44&lt;&gt;"دستمزد گروهی",$D44=""),"",SUMIFS(ShareAmt,ShareLink,$D44))</f>
        <v/>
      </c>
      <c r="I44" s="22">
        <f>IF($C44&lt;&gt;"دستمزد گروهی","—",IF($H44="","",IF(ROUND($H44-IF($G44="",0,$G44),0)=0,"√","▲ مغایرت "&amp;TEXT(IF($G44="",0,$G44)-$H44,"#,##0"))))</f>
        <v/>
      </c>
      <c r="J44" s="18" t="n"/>
    </row>
    <row r="45">
      <c r="A45" s="10">
        <f>IF($B45="","",COUNTA($B$9:$B45))</f>
        <v/>
      </c>
      <c r="B45" s="11" t="n"/>
      <c r="C45" s="12" t="n"/>
      <c r="D45" s="12" t="n"/>
      <c r="E45" s="13" t="n"/>
      <c r="F45" s="14">
        <f>IF($E45="","",IF($C45="دستمزد گروهی",IFERROR(VLOOKUP($E45,WGTbl,2,0),"کد ناشناخته"),IFERROR(IF(VLOOKUP($E45,AcctTblE,4,0)="","(بدون نام)",VLOOKUP($E45,AcctTblE,4,0)),"کد ناشناخته")))</f>
        <v/>
      </c>
      <c r="G45" s="15" t="n"/>
      <c r="H45" s="16">
        <f>IF(OR($C45&lt;&gt;"دستمزد گروهی",$D45=""),"",SUMIFS(ShareAmt,ShareLink,$D45))</f>
        <v/>
      </c>
      <c r="I45" s="17">
        <f>IF($C45&lt;&gt;"دستمزد گروهی","—",IF($H45="","",IF(ROUND($H45-IF($G45="",0,$G45),0)=0,"√","▲ مغایرت "&amp;TEXT(IF($G45="",0,$G45)-$H45,"#,##0"))))</f>
        <v/>
      </c>
      <c r="J45" s="18" t="n"/>
    </row>
    <row r="46">
      <c r="A46" s="19">
        <f>IF($B46="","",COUNTA($B$9:$B46))</f>
        <v/>
      </c>
      <c r="B46" s="11" t="n"/>
      <c r="C46" s="12" t="n"/>
      <c r="D46" s="12" t="n"/>
      <c r="E46" s="13" t="n"/>
      <c r="F46" s="20">
        <f>IF($E46="","",IF($C46="دستمزد گروهی",IFERROR(VLOOKUP($E46,WGTbl,2,0),"کد ناشناخته"),IFERROR(IF(VLOOKUP($E46,AcctTblE,4,0)="","(بدون نام)",VLOOKUP($E46,AcctTblE,4,0)),"کد ناشناخته")))</f>
        <v/>
      </c>
      <c r="G46" s="15" t="n"/>
      <c r="H46" s="21">
        <f>IF(OR($C46&lt;&gt;"دستمزد گروهی",$D46=""),"",SUMIFS(ShareAmt,ShareLink,$D46))</f>
        <v/>
      </c>
      <c r="I46" s="22">
        <f>IF($C46&lt;&gt;"دستمزد گروهی","—",IF($H46="","",IF(ROUND($H46-IF($G46="",0,$G46),0)=0,"√","▲ مغایرت "&amp;TEXT(IF($G46="",0,$G46)-$H46,"#,##0"))))</f>
        <v/>
      </c>
      <c r="J46" s="18" t="n"/>
    </row>
    <row r="47">
      <c r="A47" s="10">
        <f>IF($B47="","",COUNTA($B$9:$B47))</f>
        <v/>
      </c>
      <c r="B47" s="11" t="n"/>
      <c r="C47" s="12" t="n"/>
      <c r="D47" s="12" t="n"/>
      <c r="E47" s="13" t="n"/>
      <c r="F47" s="14">
        <f>IF($E47="","",IF($C47="دستمزد گروهی",IFERROR(VLOOKUP($E47,WGTbl,2,0),"کد ناشناخته"),IFERROR(IF(VLOOKUP($E47,AcctTblE,4,0)="","(بدون نام)",VLOOKUP($E47,AcctTblE,4,0)),"کد ناشناخته")))</f>
        <v/>
      </c>
      <c r="G47" s="15" t="n"/>
      <c r="H47" s="16">
        <f>IF(OR($C47&lt;&gt;"دستمزد گروهی",$D47=""),"",SUMIFS(ShareAmt,ShareLink,$D47))</f>
        <v/>
      </c>
      <c r="I47" s="17">
        <f>IF($C47&lt;&gt;"دستمزد گروهی","—",IF($H47="","",IF(ROUND($H47-IF($G47="",0,$G47),0)=0,"√","▲ مغایرت "&amp;TEXT(IF($G47="",0,$G47)-$H47,"#,##0"))))</f>
        <v/>
      </c>
      <c r="J47" s="18" t="n"/>
    </row>
    <row r="48">
      <c r="A48" s="19">
        <f>IF($B48="","",COUNTA($B$9:$B48))</f>
        <v/>
      </c>
      <c r="B48" s="11" t="n"/>
      <c r="C48" s="12" t="n"/>
      <c r="D48" s="12" t="n"/>
      <c r="E48" s="13" t="n"/>
      <c r="F48" s="20">
        <f>IF($E48="","",IF($C48="دستمزد گروهی",IFERROR(VLOOKUP($E48,WGTbl,2,0),"کد ناشناخته"),IFERROR(IF(VLOOKUP($E48,AcctTblE,4,0)="","(بدون نام)",VLOOKUP($E48,AcctTblE,4,0)),"کد ناشناخته")))</f>
        <v/>
      </c>
      <c r="G48" s="15" t="n"/>
      <c r="H48" s="21">
        <f>IF(OR($C48&lt;&gt;"دستمزد گروهی",$D48=""),"",SUMIFS(ShareAmt,ShareLink,$D48))</f>
        <v/>
      </c>
      <c r="I48" s="22">
        <f>IF($C48&lt;&gt;"دستمزد گروهی","—",IF($H48="","",IF(ROUND($H48-IF($G48="",0,$G48),0)=0,"√","▲ مغایرت "&amp;TEXT(IF($G48="",0,$G48)-$H48,"#,##0"))))</f>
        <v/>
      </c>
      <c r="J48" s="18" t="n"/>
    </row>
    <row r="49">
      <c r="A49" s="10">
        <f>IF($B49="","",COUNTA($B$9:$B49))</f>
        <v/>
      </c>
      <c r="B49" s="11" t="n"/>
      <c r="C49" s="12" t="n"/>
      <c r="D49" s="12" t="n"/>
      <c r="E49" s="13" t="n"/>
      <c r="F49" s="14">
        <f>IF($E49="","",IF($C49="دستمزد گروهی",IFERROR(VLOOKUP($E49,WGTbl,2,0),"کد ناشناخته"),IFERROR(IF(VLOOKUP($E49,AcctTblE,4,0)="","(بدون نام)",VLOOKUP($E49,AcctTblE,4,0)),"کد ناشناخته")))</f>
        <v/>
      </c>
      <c r="G49" s="15" t="n"/>
      <c r="H49" s="16">
        <f>IF(OR($C49&lt;&gt;"دستمزد گروهی",$D49=""),"",SUMIFS(ShareAmt,ShareLink,$D49))</f>
        <v/>
      </c>
      <c r="I49" s="17">
        <f>IF($C49&lt;&gt;"دستمزد گروهی","—",IF($H49="","",IF(ROUND($H49-IF($G49="",0,$G49),0)=0,"√","▲ مغایرت "&amp;TEXT(IF($G49="",0,$G49)-$H49,"#,##0"))))</f>
        <v/>
      </c>
      <c r="J49" s="18" t="n"/>
    </row>
    <row r="50">
      <c r="A50" s="19">
        <f>IF($B50="","",COUNTA($B$9:$B50))</f>
        <v/>
      </c>
      <c r="B50" s="11" t="n"/>
      <c r="C50" s="12" t="n"/>
      <c r="D50" s="12" t="n"/>
      <c r="E50" s="13" t="n"/>
      <c r="F50" s="20">
        <f>IF($E50="","",IF($C50="دستمزد گروهی",IFERROR(VLOOKUP($E50,WGTbl,2,0),"کد ناشناخته"),IFERROR(IF(VLOOKUP($E50,AcctTblE,4,0)="","(بدون نام)",VLOOKUP($E50,AcctTblE,4,0)),"کد ناشناخته")))</f>
        <v/>
      </c>
      <c r="G50" s="15" t="n"/>
      <c r="H50" s="21">
        <f>IF(OR($C50&lt;&gt;"دستمزد گروهی",$D50=""),"",SUMIFS(ShareAmt,ShareLink,$D50))</f>
        <v/>
      </c>
      <c r="I50" s="22">
        <f>IF($C50&lt;&gt;"دستمزد گروهی","—",IF($H50="","",IF(ROUND($H50-IF($G50="",0,$G50),0)=0,"√","▲ مغایرت "&amp;TEXT(IF($G50="",0,$G50)-$H50,"#,##0"))))</f>
        <v/>
      </c>
      <c r="J50" s="18" t="n"/>
    </row>
    <row r="51">
      <c r="A51" s="10">
        <f>IF($B51="","",COUNTA($B$9:$B51))</f>
        <v/>
      </c>
      <c r="B51" s="11" t="n"/>
      <c r="C51" s="12" t="n"/>
      <c r="D51" s="12" t="n"/>
      <c r="E51" s="13" t="n"/>
      <c r="F51" s="14">
        <f>IF($E51="","",IF($C51="دستمزد گروهی",IFERROR(VLOOKUP($E51,WGTbl,2,0),"کد ناشناخته"),IFERROR(IF(VLOOKUP($E51,AcctTblE,4,0)="","(بدون نام)",VLOOKUP($E51,AcctTblE,4,0)),"کد ناشناخته")))</f>
        <v/>
      </c>
      <c r="G51" s="15" t="n"/>
      <c r="H51" s="16">
        <f>IF(OR($C51&lt;&gt;"دستمزد گروهی",$D51=""),"",SUMIFS(ShareAmt,ShareLink,$D51))</f>
        <v/>
      </c>
      <c r="I51" s="17">
        <f>IF($C51&lt;&gt;"دستمزد گروهی","—",IF($H51="","",IF(ROUND($H51-IF($G51="",0,$G51),0)=0,"√","▲ مغایرت "&amp;TEXT(IF($G51="",0,$G51)-$H51,"#,##0"))))</f>
        <v/>
      </c>
      <c r="J51" s="18" t="n"/>
    </row>
    <row r="52">
      <c r="A52" s="19">
        <f>IF($B52="","",COUNTA($B$9:$B52))</f>
        <v/>
      </c>
      <c r="B52" s="11" t="n"/>
      <c r="C52" s="12" t="n"/>
      <c r="D52" s="12" t="n"/>
      <c r="E52" s="13" t="n"/>
      <c r="F52" s="20">
        <f>IF($E52="","",IF($C52="دستمزد گروهی",IFERROR(VLOOKUP($E52,WGTbl,2,0),"کد ناشناخته"),IFERROR(IF(VLOOKUP($E52,AcctTblE,4,0)="","(بدون نام)",VLOOKUP($E52,AcctTblE,4,0)),"کد ناشناخته")))</f>
        <v/>
      </c>
      <c r="G52" s="15" t="n"/>
      <c r="H52" s="21">
        <f>IF(OR($C52&lt;&gt;"دستمزد گروهی",$D52=""),"",SUMIFS(ShareAmt,ShareLink,$D52))</f>
        <v/>
      </c>
      <c r="I52" s="22">
        <f>IF($C52&lt;&gt;"دستمزد گروهی","—",IF($H52="","",IF(ROUND($H52-IF($G52="",0,$G52),0)=0,"√","▲ مغایرت "&amp;TEXT(IF($G52="",0,$G52)-$H52,"#,##0"))))</f>
        <v/>
      </c>
      <c r="J52" s="18" t="n"/>
    </row>
    <row r="53">
      <c r="A53" s="10">
        <f>IF($B53="","",COUNTA($B$9:$B53))</f>
        <v/>
      </c>
      <c r="B53" s="11" t="n"/>
      <c r="C53" s="12" t="n"/>
      <c r="D53" s="12" t="n"/>
      <c r="E53" s="13" t="n"/>
      <c r="F53" s="14">
        <f>IF($E53="","",IF($C53="دستمزد گروهی",IFERROR(VLOOKUP($E53,WGTbl,2,0),"کد ناشناخته"),IFERROR(IF(VLOOKUP($E53,AcctTblE,4,0)="","(بدون نام)",VLOOKUP($E53,AcctTblE,4,0)),"کد ناشناخته")))</f>
        <v/>
      </c>
      <c r="G53" s="15" t="n"/>
      <c r="H53" s="16">
        <f>IF(OR($C53&lt;&gt;"دستمزد گروهی",$D53=""),"",SUMIFS(ShareAmt,ShareLink,$D53))</f>
        <v/>
      </c>
      <c r="I53" s="17">
        <f>IF($C53&lt;&gt;"دستمزد گروهی","—",IF($H53="","",IF(ROUND($H53-IF($G53="",0,$G53),0)=0,"√","▲ مغایرت "&amp;TEXT(IF($G53="",0,$G53)-$H53,"#,##0"))))</f>
        <v/>
      </c>
      <c r="J53" s="18" t="n"/>
    </row>
    <row r="54">
      <c r="A54" s="19">
        <f>IF($B54="","",COUNTA($B$9:$B54))</f>
        <v/>
      </c>
      <c r="B54" s="11" t="n"/>
      <c r="C54" s="12" t="n"/>
      <c r="D54" s="12" t="n"/>
      <c r="E54" s="13" t="n"/>
      <c r="F54" s="20">
        <f>IF($E54="","",IF($C54="دستمزد گروهی",IFERROR(VLOOKUP($E54,WGTbl,2,0),"کد ناشناخته"),IFERROR(IF(VLOOKUP($E54,AcctTblE,4,0)="","(بدون نام)",VLOOKUP($E54,AcctTblE,4,0)),"کد ناشناخته")))</f>
        <v/>
      </c>
      <c r="G54" s="15" t="n"/>
      <c r="H54" s="21">
        <f>IF(OR($C54&lt;&gt;"دستمزد گروهی",$D54=""),"",SUMIFS(ShareAmt,ShareLink,$D54))</f>
        <v/>
      </c>
      <c r="I54" s="22">
        <f>IF($C54&lt;&gt;"دستمزد گروهی","—",IF($H54="","",IF(ROUND($H54-IF($G54="",0,$G54),0)=0,"√","▲ مغایرت "&amp;TEXT(IF($G54="",0,$G54)-$H54,"#,##0"))))</f>
        <v/>
      </c>
      <c r="J54" s="18" t="n"/>
    </row>
    <row r="55">
      <c r="A55" s="10">
        <f>IF($B55="","",COUNTA($B$9:$B55))</f>
        <v/>
      </c>
      <c r="B55" s="11" t="n"/>
      <c r="C55" s="12" t="n"/>
      <c r="D55" s="12" t="n"/>
      <c r="E55" s="13" t="n"/>
      <c r="F55" s="14">
        <f>IF($E55="","",IF($C55="دستمزد گروهی",IFERROR(VLOOKUP($E55,WGTbl,2,0),"کد ناشناخته"),IFERROR(IF(VLOOKUP($E55,AcctTblE,4,0)="","(بدون نام)",VLOOKUP($E55,AcctTblE,4,0)),"کد ناشناخته")))</f>
        <v/>
      </c>
      <c r="G55" s="15" t="n"/>
      <c r="H55" s="16">
        <f>IF(OR($C55&lt;&gt;"دستمزد گروهی",$D55=""),"",SUMIFS(ShareAmt,ShareLink,$D55))</f>
        <v/>
      </c>
      <c r="I55" s="17">
        <f>IF($C55&lt;&gt;"دستمزد گروهی","—",IF($H55="","",IF(ROUND($H55-IF($G55="",0,$G55),0)=0,"√","▲ مغایرت "&amp;TEXT(IF($G55="",0,$G55)-$H55,"#,##0"))))</f>
        <v/>
      </c>
      <c r="J55" s="18" t="n"/>
    </row>
    <row r="56">
      <c r="A56" s="19">
        <f>IF($B56="","",COUNTA($B$9:$B56))</f>
        <v/>
      </c>
      <c r="B56" s="11" t="n"/>
      <c r="C56" s="12" t="n"/>
      <c r="D56" s="12" t="n"/>
      <c r="E56" s="13" t="n"/>
      <c r="F56" s="20">
        <f>IF($E56="","",IF($C56="دستمزد گروهی",IFERROR(VLOOKUP($E56,WGTbl,2,0),"کد ناشناخته"),IFERROR(IF(VLOOKUP($E56,AcctTblE,4,0)="","(بدون نام)",VLOOKUP($E56,AcctTblE,4,0)),"کد ناشناخته")))</f>
        <v/>
      </c>
      <c r="G56" s="15" t="n"/>
      <c r="H56" s="21">
        <f>IF(OR($C56&lt;&gt;"دستمزد گروهی",$D56=""),"",SUMIFS(ShareAmt,ShareLink,$D56))</f>
        <v/>
      </c>
      <c r="I56" s="22">
        <f>IF($C56&lt;&gt;"دستمزد گروهی","—",IF($H56="","",IF(ROUND($H56-IF($G56="",0,$G56),0)=0,"√","▲ مغایرت "&amp;TEXT(IF($G56="",0,$G56)-$H56,"#,##0"))))</f>
        <v/>
      </c>
      <c r="J56" s="18" t="n"/>
    </row>
    <row r="57">
      <c r="A57" s="10">
        <f>IF($B57="","",COUNTA($B$9:$B57))</f>
        <v/>
      </c>
      <c r="B57" s="11" t="n"/>
      <c r="C57" s="12" t="n"/>
      <c r="D57" s="12" t="n"/>
      <c r="E57" s="13" t="n"/>
      <c r="F57" s="14">
        <f>IF($E57="","",IF($C57="دستمزد گروهی",IFERROR(VLOOKUP($E57,WGTbl,2,0),"کد ناشناخته"),IFERROR(IF(VLOOKUP($E57,AcctTblE,4,0)="","(بدون نام)",VLOOKUP($E57,AcctTblE,4,0)),"کد ناشناخته")))</f>
        <v/>
      </c>
      <c r="G57" s="15" t="n"/>
      <c r="H57" s="16">
        <f>IF(OR($C57&lt;&gt;"دستمزد گروهی",$D57=""),"",SUMIFS(ShareAmt,ShareLink,$D57))</f>
        <v/>
      </c>
      <c r="I57" s="17">
        <f>IF($C57&lt;&gt;"دستمزد گروهی","—",IF($H57="","",IF(ROUND($H57-IF($G57="",0,$G57),0)=0,"√","▲ مغایرت "&amp;TEXT(IF($G57="",0,$G57)-$H57,"#,##0"))))</f>
        <v/>
      </c>
      <c r="J57" s="18" t="n"/>
    </row>
    <row r="58">
      <c r="A58" s="19">
        <f>IF($B58="","",COUNTA($B$9:$B58))</f>
        <v/>
      </c>
      <c r="B58" s="11" t="n"/>
      <c r="C58" s="12" t="n"/>
      <c r="D58" s="12" t="n"/>
      <c r="E58" s="13" t="n"/>
      <c r="F58" s="20">
        <f>IF($E58="","",IF($C58="دستمزد گروهی",IFERROR(VLOOKUP($E58,WGTbl,2,0),"کد ناشناخته"),IFERROR(IF(VLOOKUP($E58,AcctTblE,4,0)="","(بدون نام)",VLOOKUP($E58,AcctTblE,4,0)),"کد ناشناخته")))</f>
        <v/>
      </c>
      <c r="G58" s="15" t="n"/>
      <c r="H58" s="21">
        <f>IF(OR($C58&lt;&gt;"دستمزد گروهی",$D58=""),"",SUMIFS(ShareAmt,ShareLink,$D58))</f>
        <v/>
      </c>
      <c r="I58" s="22">
        <f>IF($C58&lt;&gt;"دستمزد گروهی","—",IF($H58="","",IF(ROUND($H58-IF($G58="",0,$G58),0)=0,"√","▲ مغایرت "&amp;TEXT(IF($G58="",0,$G58)-$H58,"#,##0"))))</f>
        <v/>
      </c>
      <c r="J58" s="18" t="n"/>
    </row>
    <row r="59">
      <c r="A59" s="10">
        <f>IF($B59="","",COUNTA($B$9:$B59))</f>
        <v/>
      </c>
      <c r="B59" s="11" t="n"/>
      <c r="C59" s="12" t="n"/>
      <c r="D59" s="12" t="n"/>
      <c r="E59" s="13" t="n"/>
      <c r="F59" s="14">
        <f>IF($E59="","",IF($C59="دستمزد گروهی",IFERROR(VLOOKUP($E59,WGTbl,2,0),"کد ناشناخته"),IFERROR(IF(VLOOKUP($E59,AcctTblE,4,0)="","(بدون نام)",VLOOKUP($E59,AcctTblE,4,0)),"کد ناشناخته")))</f>
        <v/>
      </c>
      <c r="G59" s="15" t="n"/>
      <c r="H59" s="16">
        <f>IF(OR($C59&lt;&gt;"دستمزد گروهی",$D59=""),"",SUMIFS(ShareAmt,ShareLink,$D59))</f>
        <v/>
      </c>
      <c r="I59" s="17">
        <f>IF($C59&lt;&gt;"دستمزد گروهی","—",IF($H59="","",IF(ROUND($H59-IF($G59="",0,$G59),0)=0,"√","▲ مغایرت "&amp;TEXT(IF($G59="",0,$G59)-$H59,"#,##0"))))</f>
        <v/>
      </c>
      <c r="J59" s="18" t="n"/>
    </row>
    <row r="60">
      <c r="A60" s="19">
        <f>IF($B60="","",COUNTA($B$9:$B60))</f>
        <v/>
      </c>
      <c r="B60" s="11" t="n"/>
      <c r="C60" s="12" t="n"/>
      <c r="D60" s="12" t="n"/>
      <c r="E60" s="13" t="n"/>
      <c r="F60" s="20">
        <f>IF($E60="","",IF($C60="دستمزد گروهی",IFERROR(VLOOKUP($E60,WGTbl,2,0),"کد ناشناخته"),IFERROR(IF(VLOOKUP($E60,AcctTblE,4,0)="","(بدون نام)",VLOOKUP($E60,AcctTblE,4,0)),"کد ناشناخته")))</f>
        <v/>
      </c>
      <c r="G60" s="15" t="n"/>
      <c r="H60" s="21">
        <f>IF(OR($C60&lt;&gt;"دستمزد گروهی",$D60=""),"",SUMIFS(ShareAmt,ShareLink,$D60))</f>
        <v/>
      </c>
      <c r="I60" s="22">
        <f>IF($C60&lt;&gt;"دستمزد گروهی","—",IF($H60="","",IF(ROUND($H60-IF($G60="",0,$G60),0)=0,"√","▲ مغایرت "&amp;TEXT(IF($G60="",0,$G60)-$H60,"#,##0"))))</f>
        <v/>
      </c>
      <c r="J60" s="18" t="n"/>
    </row>
    <row r="61">
      <c r="A61" s="10">
        <f>IF($B61="","",COUNTA($B$9:$B61))</f>
        <v/>
      </c>
      <c r="B61" s="11" t="n"/>
      <c r="C61" s="12" t="n"/>
      <c r="D61" s="12" t="n"/>
      <c r="E61" s="13" t="n"/>
      <c r="F61" s="14">
        <f>IF($E61="","",IF($C61="دستمزد گروهی",IFERROR(VLOOKUP($E61,WGTbl,2,0),"کد ناشناخته"),IFERROR(IF(VLOOKUP($E61,AcctTblE,4,0)="","(بدون نام)",VLOOKUP($E61,AcctTblE,4,0)),"کد ناشناخته")))</f>
        <v/>
      </c>
      <c r="G61" s="15" t="n"/>
      <c r="H61" s="16">
        <f>IF(OR($C61&lt;&gt;"دستمزد گروهی",$D61=""),"",SUMIFS(ShareAmt,ShareLink,$D61))</f>
        <v/>
      </c>
      <c r="I61" s="17">
        <f>IF($C61&lt;&gt;"دستمزد گروهی","—",IF($H61="","",IF(ROUND($H61-IF($G61="",0,$G61),0)=0,"√","▲ مغایرت "&amp;TEXT(IF($G61="",0,$G61)-$H61,"#,##0"))))</f>
        <v/>
      </c>
      <c r="J61" s="18" t="n"/>
    </row>
    <row r="62">
      <c r="A62" s="19">
        <f>IF($B62="","",COUNTA($B$9:$B62))</f>
        <v/>
      </c>
      <c r="B62" s="11" t="n"/>
      <c r="C62" s="12" t="n"/>
      <c r="D62" s="12" t="n"/>
      <c r="E62" s="13" t="n"/>
      <c r="F62" s="20">
        <f>IF($E62="","",IF($C62="دستمزد گروهی",IFERROR(VLOOKUP($E62,WGTbl,2,0),"کد ناشناخته"),IFERROR(IF(VLOOKUP($E62,AcctTblE,4,0)="","(بدون نام)",VLOOKUP($E62,AcctTblE,4,0)),"کد ناشناخته")))</f>
        <v/>
      </c>
      <c r="G62" s="15" t="n"/>
      <c r="H62" s="21">
        <f>IF(OR($C62&lt;&gt;"دستمزد گروهی",$D62=""),"",SUMIFS(ShareAmt,ShareLink,$D62))</f>
        <v/>
      </c>
      <c r="I62" s="22">
        <f>IF($C62&lt;&gt;"دستمزد گروهی","—",IF($H62="","",IF(ROUND($H62-IF($G62="",0,$G62),0)=0,"√","▲ مغایرت "&amp;TEXT(IF($G62="",0,$G62)-$H62,"#,##0"))))</f>
        <v/>
      </c>
      <c r="J62" s="18" t="n"/>
    </row>
    <row r="63">
      <c r="A63" s="10">
        <f>IF($B63="","",COUNTA($B$9:$B63))</f>
        <v/>
      </c>
      <c r="B63" s="11" t="n"/>
      <c r="C63" s="12" t="n"/>
      <c r="D63" s="12" t="n"/>
      <c r="E63" s="13" t="n"/>
      <c r="F63" s="14">
        <f>IF($E63="","",IF($C63="دستمزد گروهی",IFERROR(VLOOKUP($E63,WGTbl,2,0),"کد ناشناخته"),IFERROR(IF(VLOOKUP($E63,AcctTblE,4,0)="","(بدون نام)",VLOOKUP($E63,AcctTblE,4,0)),"کد ناشناخته")))</f>
        <v/>
      </c>
      <c r="G63" s="15" t="n"/>
      <c r="H63" s="16">
        <f>IF(OR($C63&lt;&gt;"دستمزد گروهی",$D63=""),"",SUMIFS(ShareAmt,ShareLink,$D63))</f>
        <v/>
      </c>
      <c r="I63" s="17">
        <f>IF($C63&lt;&gt;"دستمزد گروهی","—",IF($H63="","",IF(ROUND($H63-IF($G63="",0,$G63),0)=0,"√","▲ مغایرت "&amp;TEXT(IF($G63="",0,$G63)-$H63,"#,##0"))))</f>
        <v/>
      </c>
      <c r="J63" s="18" t="n"/>
    </row>
    <row r="64">
      <c r="A64" s="19">
        <f>IF($B64="","",COUNTA($B$9:$B64))</f>
        <v/>
      </c>
      <c r="B64" s="11" t="n"/>
      <c r="C64" s="12" t="n"/>
      <c r="D64" s="12" t="n"/>
      <c r="E64" s="13" t="n"/>
      <c r="F64" s="20">
        <f>IF($E64="","",IF($C64="دستمزد گروهی",IFERROR(VLOOKUP($E64,WGTbl,2,0),"کد ناشناخته"),IFERROR(IF(VLOOKUP($E64,AcctTblE,4,0)="","(بدون نام)",VLOOKUP($E64,AcctTblE,4,0)),"کد ناشناخته")))</f>
        <v/>
      </c>
      <c r="G64" s="15" t="n"/>
      <c r="H64" s="21">
        <f>IF(OR($C64&lt;&gt;"دستمزد گروهی",$D64=""),"",SUMIFS(ShareAmt,ShareLink,$D64))</f>
        <v/>
      </c>
      <c r="I64" s="22">
        <f>IF($C64&lt;&gt;"دستمزد گروهی","—",IF($H64="","",IF(ROUND($H64-IF($G64="",0,$G64),0)=0,"√","▲ مغایرت "&amp;TEXT(IF($G64="",0,$G64)-$H64,"#,##0"))))</f>
        <v/>
      </c>
      <c r="J64" s="18" t="n"/>
    </row>
    <row r="65">
      <c r="A65" s="10">
        <f>IF($B65="","",COUNTA($B$9:$B65))</f>
        <v/>
      </c>
      <c r="B65" s="11" t="n"/>
      <c r="C65" s="12" t="n"/>
      <c r="D65" s="12" t="n"/>
      <c r="E65" s="13" t="n"/>
      <c r="F65" s="14">
        <f>IF($E65="","",IF($C65="دستمزد گروهی",IFERROR(VLOOKUP($E65,WGTbl,2,0),"کد ناشناخته"),IFERROR(IF(VLOOKUP($E65,AcctTblE,4,0)="","(بدون نام)",VLOOKUP($E65,AcctTblE,4,0)),"کد ناشناخته")))</f>
        <v/>
      </c>
      <c r="G65" s="15" t="n"/>
      <c r="H65" s="16">
        <f>IF(OR($C65&lt;&gt;"دستمزد گروهی",$D65=""),"",SUMIFS(ShareAmt,ShareLink,$D65))</f>
        <v/>
      </c>
      <c r="I65" s="17">
        <f>IF($C65&lt;&gt;"دستمزد گروهی","—",IF($H65="","",IF(ROUND($H65-IF($G65="",0,$G65),0)=0,"√","▲ مغایرت "&amp;TEXT(IF($G65="",0,$G65)-$H65,"#,##0"))))</f>
        <v/>
      </c>
      <c r="J65" s="18" t="n"/>
    </row>
    <row r="66">
      <c r="A66" s="19">
        <f>IF($B66="","",COUNTA($B$9:$B66))</f>
        <v/>
      </c>
      <c r="B66" s="11" t="n"/>
      <c r="C66" s="12" t="n"/>
      <c r="D66" s="12" t="n"/>
      <c r="E66" s="13" t="n"/>
      <c r="F66" s="20">
        <f>IF($E66="","",IF($C66="دستمزد گروهی",IFERROR(VLOOKUP($E66,WGTbl,2,0),"کد ناشناخته"),IFERROR(IF(VLOOKUP($E66,AcctTblE,4,0)="","(بدون نام)",VLOOKUP($E66,AcctTblE,4,0)),"کد ناشناخته")))</f>
        <v/>
      </c>
      <c r="G66" s="15" t="n"/>
      <c r="H66" s="21">
        <f>IF(OR($C66&lt;&gt;"دستمزد گروهی",$D66=""),"",SUMIFS(ShareAmt,ShareLink,$D66))</f>
        <v/>
      </c>
      <c r="I66" s="22">
        <f>IF($C66&lt;&gt;"دستمزد گروهی","—",IF($H66="","",IF(ROUND($H66-IF($G66="",0,$G66),0)=0,"√","▲ مغایرت "&amp;TEXT(IF($G66="",0,$G66)-$H66,"#,##0"))))</f>
        <v/>
      </c>
      <c r="J66" s="18" t="n"/>
    </row>
    <row r="67">
      <c r="A67" s="10">
        <f>IF($B67="","",COUNTA($B$9:$B67))</f>
        <v/>
      </c>
      <c r="B67" s="11" t="n"/>
      <c r="C67" s="12" t="n"/>
      <c r="D67" s="12" t="n"/>
      <c r="E67" s="13" t="n"/>
      <c r="F67" s="14">
        <f>IF($E67="","",IF($C67="دستمزد گروهی",IFERROR(VLOOKUP($E67,WGTbl,2,0),"کد ناشناخته"),IFERROR(IF(VLOOKUP($E67,AcctTblE,4,0)="","(بدون نام)",VLOOKUP($E67,AcctTblE,4,0)),"کد ناشناخته")))</f>
        <v/>
      </c>
      <c r="G67" s="15" t="n"/>
      <c r="H67" s="16">
        <f>IF(OR($C67&lt;&gt;"دستمزد گروهی",$D67=""),"",SUMIFS(ShareAmt,ShareLink,$D67))</f>
        <v/>
      </c>
      <c r="I67" s="17">
        <f>IF($C67&lt;&gt;"دستمزد گروهی","—",IF($H67="","",IF(ROUND($H67-IF($G67="",0,$G67),0)=0,"√","▲ مغایرت "&amp;TEXT(IF($G67="",0,$G67)-$H67,"#,##0"))))</f>
        <v/>
      </c>
      <c r="J67" s="18" t="n"/>
    </row>
    <row r="68">
      <c r="A68" s="19">
        <f>IF($B68="","",COUNTA($B$9:$B68))</f>
        <v/>
      </c>
      <c r="B68" s="11" t="n"/>
      <c r="C68" s="12" t="n"/>
      <c r="D68" s="12" t="n"/>
      <c r="E68" s="13" t="n"/>
      <c r="F68" s="20">
        <f>IF($E68="","",IF($C68="دستمزد گروهی",IFERROR(VLOOKUP($E68,WGTbl,2,0),"کد ناشناخته"),IFERROR(IF(VLOOKUP($E68,AcctTblE,4,0)="","(بدون نام)",VLOOKUP($E68,AcctTblE,4,0)),"کد ناشناخته")))</f>
        <v/>
      </c>
      <c r="G68" s="15" t="n"/>
      <c r="H68" s="21">
        <f>IF(OR($C68&lt;&gt;"دستمزد گروهی",$D68=""),"",SUMIFS(ShareAmt,ShareLink,$D68))</f>
        <v/>
      </c>
      <c r="I68" s="22">
        <f>IF($C68&lt;&gt;"دستمزد گروهی","—",IF($H68="","",IF(ROUND($H68-IF($G68="",0,$G68),0)=0,"√","▲ مغایرت "&amp;TEXT(IF($G68="",0,$G68)-$H68,"#,##0"))))</f>
        <v/>
      </c>
      <c r="J68" s="18" t="n"/>
    </row>
    <row r="69">
      <c r="A69" s="10">
        <f>IF($B69="","",COUNTA($B$9:$B69))</f>
        <v/>
      </c>
      <c r="B69" s="11" t="n"/>
      <c r="C69" s="12" t="n"/>
      <c r="D69" s="12" t="n"/>
      <c r="E69" s="13" t="n"/>
      <c r="F69" s="14">
        <f>IF($E69="","",IF($C69="دستمزد گروهی",IFERROR(VLOOKUP($E69,WGTbl,2,0),"کد ناشناخته"),IFERROR(IF(VLOOKUP($E69,AcctTblE,4,0)="","(بدون نام)",VLOOKUP($E69,AcctTblE,4,0)),"کد ناشناخته")))</f>
        <v/>
      </c>
      <c r="G69" s="15" t="n"/>
      <c r="H69" s="16">
        <f>IF(OR($C69&lt;&gt;"دستمزد گروهی",$D69=""),"",SUMIFS(ShareAmt,ShareLink,$D69))</f>
        <v/>
      </c>
      <c r="I69" s="17">
        <f>IF($C69&lt;&gt;"دستمزد گروهی","—",IF($H69="","",IF(ROUND($H69-IF($G69="",0,$G69),0)=0,"√","▲ مغایرت "&amp;TEXT(IF($G69="",0,$G69)-$H69,"#,##0"))))</f>
        <v/>
      </c>
      <c r="J69" s="18" t="n"/>
    </row>
    <row r="70">
      <c r="A70" s="19">
        <f>IF($B70="","",COUNTA($B$9:$B70))</f>
        <v/>
      </c>
      <c r="B70" s="11" t="n"/>
      <c r="C70" s="12" t="n"/>
      <c r="D70" s="12" t="n"/>
      <c r="E70" s="13" t="n"/>
      <c r="F70" s="20">
        <f>IF($E70="","",IF($C70="دستمزد گروهی",IFERROR(VLOOKUP($E70,WGTbl,2,0),"کد ناشناخته"),IFERROR(IF(VLOOKUP($E70,AcctTblE,4,0)="","(بدون نام)",VLOOKUP($E70,AcctTblE,4,0)),"کد ناشناخته")))</f>
        <v/>
      </c>
      <c r="G70" s="15" t="n"/>
      <c r="H70" s="21">
        <f>IF(OR($C70&lt;&gt;"دستمزد گروهی",$D70=""),"",SUMIFS(ShareAmt,ShareLink,$D70))</f>
        <v/>
      </c>
      <c r="I70" s="22">
        <f>IF($C70&lt;&gt;"دستمزد گروهی","—",IF($H70="","",IF(ROUND($H70-IF($G70="",0,$G70),0)=0,"√","▲ مغایرت "&amp;TEXT(IF($G70="",0,$G70)-$H70,"#,##0"))))</f>
        <v/>
      </c>
      <c r="J70" s="18" t="n"/>
    </row>
    <row r="71">
      <c r="A71" s="10">
        <f>IF($B71="","",COUNTA($B$9:$B71))</f>
        <v/>
      </c>
      <c r="B71" s="11" t="n"/>
      <c r="C71" s="12" t="n"/>
      <c r="D71" s="12" t="n"/>
      <c r="E71" s="13" t="n"/>
      <c r="F71" s="14">
        <f>IF($E71="","",IF($C71="دستمزد گروهی",IFERROR(VLOOKUP($E71,WGTbl,2,0),"کد ناشناخته"),IFERROR(IF(VLOOKUP($E71,AcctTblE,4,0)="","(بدون نام)",VLOOKUP($E71,AcctTblE,4,0)),"کد ناشناخته")))</f>
        <v/>
      </c>
      <c r="G71" s="15" t="n"/>
      <c r="H71" s="16">
        <f>IF(OR($C71&lt;&gt;"دستمزد گروهی",$D71=""),"",SUMIFS(ShareAmt,ShareLink,$D71))</f>
        <v/>
      </c>
      <c r="I71" s="17">
        <f>IF($C71&lt;&gt;"دستمزد گروهی","—",IF($H71="","",IF(ROUND($H71-IF($G71="",0,$G71),0)=0,"√","▲ مغایرت "&amp;TEXT(IF($G71="",0,$G71)-$H71,"#,##0"))))</f>
        <v/>
      </c>
      <c r="J71" s="18" t="n"/>
    </row>
    <row r="72">
      <c r="A72" s="19">
        <f>IF($B72="","",COUNTA($B$9:$B72))</f>
        <v/>
      </c>
      <c r="B72" s="11" t="n"/>
      <c r="C72" s="12" t="n"/>
      <c r="D72" s="12" t="n"/>
      <c r="E72" s="13" t="n"/>
      <c r="F72" s="20">
        <f>IF($E72="","",IF($C72="دستمزد گروهی",IFERROR(VLOOKUP($E72,WGTbl,2,0),"کد ناشناخته"),IFERROR(IF(VLOOKUP($E72,AcctTblE,4,0)="","(بدون نام)",VLOOKUP($E72,AcctTblE,4,0)),"کد ناشناخته")))</f>
        <v/>
      </c>
      <c r="G72" s="15" t="n"/>
      <c r="H72" s="21">
        <f>IF(OR($C72&lt;&gt;"دستمزد گروهی",$D72=""),"",SUMIFS(ShareAmt,ShareLink,$D72))</f>
        <v/>
      </c>
      <c r="I72" s="22">
        <f>IF($C72&lt;&gt;"دستمزد گروهی","—",IF($H72="","",IF(ROUND($H72-IF($G72="",0,$G72),0)=0,"√","▲ مغایرت "&amp;TEXT(IF($G72="",0,$G72)-$H72,"#,##0"))))</f>
        <v/>
      </c>
      <c r="J72" s="18" t="n"/>
    </row>
    <row r="73">
      <c r="A73" s="10">
        <f>IF($B73="","",COUNTA($B$9:$B73))</f>
        <v/>
      </c>
      <c r="B73" s="11" t="n"/>
      <c r="C73" s="12" t="n"/>
      <c r="D73" s="12" t="n"/>
      <c r="E73" s="13" t="n"/>
      <c r="F73" s="14">
        <f>IF($E73="","",IF($C73="دستمزد گروهی",IFERROR(VLOOKUP($E73,WGTbl,2,0),"کد ناشناخته"),IFERROR(IF(VLOOKUP($E73,AcctTblE,4,0)="","(بدون نام)",VLOOKUP($E73,AcctTblE,4,0)),"کد ناشناخته")))</f>
        <v/>
      </c>
      <c r="G73" s="15" t="n"/>
      <c r="H73" s="16">
        <f>IF(OR($C73&lt;&gt;"دستمزد گروهی",$D73=""),"",SUMIFS(ShareAmt,ShareLink,$D73))</f>
        <v/>
      </c>
      <c r="I73" s="17">
        <f>IF($C73&lt;&gt;"دستمزد گروهی","—",IF($H73="","",IF(ROUND($H73-IF($G73="",0,$G73),0)=0,"√","▲ مغایرت "&amp;TEXT(IF($G73="",0,$G73)-$H73,"#,##0"))))</f>
        <v/>
      </c>
      <c r="J73" s="18" t="n"/>
    </row>
    <row r="74">
      <c r="A74" s="19">
        <f>IF($B74="","",COUNTA($B$9:$B74))</f>
        <v/>
      </c>
      <c r="B74" s="11" t="n"/>
      <c r="C74" s="12" t="n"/>
      <c r="D74" s="12" t="n"/>
      <c r="E74" s="13" t="n"/>
      <c r="F74" s="20">
        <f>IF($E74="","",IF($C74="دستمزد گروهی",IFERROR(VLOOKUP($E74,WGTbl,2,0),"کد ناشناخته"),IFERROR(IF(VLOOKUP($E74,AcctTblE,4,0)="","(بدون نام)",VLOOKUP($E74,AcctTblE,4,0)),"کد ناشناخته")))</f>
        <v/>
      </c>
      <c r="G74" s="15" t="n"/>
      <c r="H74" s="21">
        <f>IF(OR($C74&lt;&gt;"دستمزد گروهی",$D74=""),"",SUMIFS(ShareAmt,ShareLink,$D74))</f>
        <v/>
      </c>
      <c r="I74" s="22">
        <f>IF($C74&lt;&gt;"دستمزد گروهی","—",IF($H74="","",IF(ROUND($H74-IF($G74="",0,$G74),0)=0,"√","▲ مغایرت "&amp;TEXT(IF($G74="",0,$G74)-$H74,"#,##0"))))</f>
        <v/>
      </c>
      <c r="J74" s="18" t="n"/>
    </row>
    <row r="75">
      <c r="A75" s="10">
        <f>IF($B75="","",COUNTA($B$9:$B75))</f>
        <v/>
      </c>
      <c r="B75" s="11" t="n"/>
      <c r="C75" s="12" t="n"/>
      <c r="D75" s="12" t="n"/>
      <c r="E75" s="13" t="n"/>
      <c r="F75" s="14">
        <f>IF($E75="","",IF($C75="دستمزد گروهی",IFERROR(VLOOKUP($E75,WGTbl,2,0),"کد ناشناخته"),IFERROR(IF(VLOOKUP($E75,AcctTblE,4,0)="","(بدون نام)",VLOOKUP($E75,AcctTblE,4,0)),"کد ناشناخته")))</f>
        <v/>
      </c>
      <c r="G75" s="15" t="n"/>
      <c r="H75" s="16">
        <f>IF(OR($C75&lt;&gt;"دستمزد گروهی",$D75=""),"",SUMIFS(ShareAmt,ShareLink,$D75))</f>
        <v/>
      </c>
      <c r="I75" s="17">
        <f>IF($C75&lt;&gt;"دستمزد گروهی","—",IF($H75="","",IF(ROUND($H75-IF($G75="",0,$G75),0)=0,"√","▲ مغایرت "&amp;TEXT(IF($G75="",0,$G75)-$H75,"#,##0"))))</f>
        <v/>
      </c>
      <c r="J75" s="18" t="n"/>
    </row>
    <row r="76">
      <c r="A76" s="19">
        <f>IF($B76="","",COUNTA($B$9:$B76))</f>
        <v/>
      </c>
      <c r="B76" s="11" t="n"/>
      <c r="C76" s="12" t="n"/>
      <c r="D76" s="12" t="n"/>
      <c r="E76" s="13" t="n"/>
      <c r="F76" s="20">
        <f>IF($E76="","",IF($C76="دستمزد گروهی",IFERROR(VLOOKUP($E76,WGTbl,2,0),"کد ناشناخته"),IFERROR(IF(VLOOKUP($E76,AcctTblE,4,0)="","(بدون نام)",VLOOKUP($E76,AcctTblE,4,0)),"کد ناشناخته")))</f>
        <v/>
      </c>
      <c r="G76" s="15" t="n"/>
      <c r="H76" s="21">
        <f>IF(OR($C76&lt;&gt;"دستمزد گروهی",$D76=""),"",SUMIFS(ShareAmt,ShareLink,$D76))</f>
        <v/>
      </c>
      <c r="I76" s="22">
        <f>IF($C76&lt;&gt;"دستمزد گروهی","—",IF($H76="","",IF(ROUND($H76-IF($G76="",0,$G76),0)=0,"√","▲ مغایرت "&amp;TEXT(IF($G76="",0,$G76)-$H76,"#,##0"))))</f>
        <v/>
      </c>
      <c r="J76" s="18" t="n"/>
    </row>
    <row r="77">
      <c r="A77" s="10">
        <f>IF($B77="","",COUNTA($B$9:$B77))</f>
        <v/>
      </c>
      <c r="B77" s="11" t="n"/>
      <c r="C77" s="12" t="n"/>
      <c r="D77" s="12" t="n"/>
      <c r="E77" s="13" t="n"/>
      <c r="F77" s="14">
        <f>IF($E77="","",IF($C77="دستمزد گروهی",IFERROR(VLOOKUP($E77,WGTbl,2,0),"کد ناشناخته"),IFERROR(IF(VLOOKUP($E77,AcctTblE,4,0)="","(بدون نام)",VLOOKUP($E77,AcctTblE,4,0)),"کد ناشناخته")))</f>
        <v/>
      </c>
      <c r="G77" s="15" t="n"/>
      <c r="H77" s="16">
        <f>IF(OR($C77&lt;&gt;"دستمزد گروهی",$D77=""),"",SUMIFS(ShareAmt,ShareLink,$D77))</f>
        <v/>
      </c>
      <c r="I77" s="17">
        <f>IF($C77&lt;&gt;"دستمزد گروهی","—",IF($H77="","",IF(ROUND($H77-IF($G77="",0,$G77),0)=0,"√","▲ مغایرت "&amp;TEXT(IF($G77="",0,$G77)-$H77,"#,##0"))))</f>
        <v/>
      </c>
      <c r="J77" s="18" t="n"/>
    </row>
    <row r="78">
      <c r="A78" s="19">
        <f>IF($B78="","",COUNTA($B$9:$B78))</f>
        <v/>
      </c>
      <c r="B78" s="11" t="n"/>
      <c r="C78" s="12" t="n"/>
      <c r="D78" s="12" t="n"/>
      <c r="E78" s="13" t="n"/>
      <c r="F78" s="20">
        <f>IF($E78="","",IF($C78="دستمزد گروهی",IFERROR(VLOOKUP($E78,WGTbl,2,0),"کد ناشناخته"),IFERROR(IF(VLOOKUP($E78,AcctTblE,4,0)="","(بدون نام)",VLOOKUP($E78,AcctTblE,4,0)),"کد ناشناخته")))</f>
        <v/>
      </c>
      <c r="G78" s="15" t="n"/>
      <c r="H78" s="21">
        <f>IF(OR($C78&lt;&gt;"دستمزد گروهی",$D78=""),"",SUMIFS(ShareAmt,ShareLink,$D78))</f>
        <v/>
      </c>
      <c r="I78" s="22">
        <f>IF($C78&lt;&gt;"دستمزد گروهی","—",IF($H78="","",IF(ROUND($H78-IF($G78="",0,$G78),0)=0,"√","▲ مغایرت "&amp;TEXT(IF($G78="",0,$G78)-$H78,"#,##0"))))</f>
        <v/>
      </c>
      <c r="J78" s="18" t="n"/>
    </row>
    <row r="79">
      <c r="A79" s="10">
        <f>IF($B79="","",COUNTA($B$9:$B79))</f>
        <v/>
      </c>
      <c r="B79" s="11" t="n"/>
      <c r="C79" s="12" t="n"/>
      <c r="D79" s="12" t="n"/>
      <c r="E79" s="13" t="n"/>
      <c r="F79" s="14">
        <f>IF($E79="","",IF($C79="دستمزد گروهی",IFERROR(VLOOKUP($E79,WGTbl,2,0),"کد ناشناخته"),IFERROR(IF(VLOOKUP($E79,AcctTblE,4,0)="","(بدون نام)",VLOOKUP($E79,AcctTblE,4,0)),"کد ناشناخته")))</f>
        <v/>
      </c>
      <c r="G79" s="15" t="n"/>
      <c r="H79" s="16">
        <f>IF(OR($C79&lt;&gt;"دستمزد گروهی",$D79=""),"",SUMIFS(ShareAmt,ShareLink,$D79))</f>
        <v/>
      </c>
      <c r="I79" s="17">
        <f>IF($C79&lt;&gt;"دستمزد گروهی","—",IF($H79="","",IF(ROUND($H79-IF($G79="",0,$G79),0)=0,"√","▲ مغایرت "&amp;TEXT(IF($G79="",0,$G79)-$H79,"#,##0"))))</f>
        <v/>
      </c>
      <c r="J79" s="18" t="n"/>
    </row>
    <row r="80">
      <c r="A80" s="19">
        <f>IF($B80="","",COUNTA($B$9:$B80))</f>
        <v/>
      </c>
      <c r="B80" s="11" t="n"/>
      <c r="C80" s="12" t="n"/>
      <c r="D80" s="12" t="n"/>
      <c r="E80" s="13" t="n"/>
      <c r="F80" s="20">
        <f>IF($E80="","",IF($C80="دستمزد گروهی",IFERROR(VLOOKUP($E80,WGTbl,2,0),"کد ناشناخته"),IFERROR(IF(VLOOKUP($E80,AcctTblE,4,0)="","(بدون نام)",VLOOKUP($E80,AcctTblE,4,0)),"کد ناشناخته")))</f>
        <v/>
      </c>
      <c r="G80" s="15" t="n"/>
      <c r="H80" s="21">
        <f>IF(OR($C80&lt;&gt;"دستمزد گروهی",$D80=""),"",SUMIFS(ShareAmt,ShareLink,$D80))</f>
        <v/>
      </c>
      <c r="I80" s="22">
        <f>IF($C80&lt;&gt;"دستمزد گروهی","—",IF($H80="","",IF(ROUND($H80-IF($G80="",0,$G80),0)=0,"√","▲ مغایرت "&amp;TEXT(IF($G80="",0,$G80)-$H80,"#,##0"))))</f>
        <v/>
      </c>
      <c r="J80" s="18" t="n"/>
    </row>
    <row r="81">
      <c r="A81" s="10">
        <f>IF($B81="","",COUNTA($B$9:$B81))</f>
        <v/>
      </c>
      <c r="B81" s="11" t="n"/>
      <c r="C81" s="12" t="n"/>
      <c r="D81" s="12" t="n"/>
      <c r="E81" s="13" t="n"/>
      <c r="F81" s="14">
        <f>IF($E81="","",IF($C81="دستمزد گروهی",IFERROR(VLOOKUP($E81,WGTbl,2,0),"کد ناشناخته"),IFERROR(IF(VLOOKUP($E81,AcctTblE,4,0)="","(بدون نام)",VLOOKUP($E81,AcctTblE,4,0)),"کد ناشناخته")))</f>
        <v/>
      </c>
      <c r="G81" s="15" t="n"/>
      <c r="H81" s="16">
        <f>IF(OR($C81&lt;&gt;"دستمزد گروهی",$D81=""),"",SUMIFS(ShareAmt,ShareLink,$D81))</f>
        <v/>
      </c>
      <c r="I81" s="17">
        <f>IF($C81&lt;&gt;"دستمزد گروهی","—",IF($H81="","",IF(ROUND($H81-IF($G81="",0,$G81),0)=0,"√","▲ مغایرت "&amp;TEXT(IF($G81="",0,$G81)-$H81,"#,##0"))))</f>
        <v/>
      </c>
      <c r="J81" s="18" t="n"/>
    </row>
    <row r="82">
      <c r="A82" s="19">
        <f>IF($B82="","",COUNTA($B$9:$B82))</f>
        <v/>
      </c>
      <c r="B82" s="11" t="n"/>
      <c r="C82" s="12" t="n"/>
      <c r="D82" s="12" t="n"/>
      <c r="E82" s="13" t="n"/>
      <c r="F82" s="20">
        <f>IF($E82="","",IF($C82="دستمزد گروهی",IFERROR(VLOOKUP($E82,WGTbl,2,0),"کد ناشناخته"),IFERROR(IF(VLOOKUP($E82,AcctTblE,4,0)="","(بدون نام)",VLOOKUP($E82,AcctTblE,4,0)),"کد ناشناخته")))</f>
        <v/>
      </c>
      <c r="G82" s="15" t="n"/>
      <c r="H82" s="21">
        <f>IF(OR($C82&lt;&gt;"دستمزد گروهی",$D82=""),"",SUMIFS(ShareAmt,ShareLink,$D82))</f>
        <v/>
      </c>
      <c r="I82" s="22">
        <f>IF($C82&lt;&gt;"دستمزد گروهی","—",IF($H82="","",IF(ROUND($H82-IF($G82="",0,$G82),0)=0,"√","▲ مغایرت "&amp;TEXT(IF($G82="",0,$G82)-$H82,"#,##0"))))</f>
        <v/>
      </c>
      <c r="J82" s="18" t="n"/>
    </row>
    <row r="83">
      <c r="A83" s="10">
        <f>IF($B83="","",COUNTA($B$9:$B83))</f>
        <v/>
      </c>
      <c r="B83" s="11" t="n"/>
      <c r="C83" s="12" t="n"/>
      <c r="D83" s="12" t="n"/>
      <c r="E83" s="13" t="n"/>
      <c r="F83" s="14">
        <f>IF($E83="","",IF($C83="دستمزد گروهی",IFERROR(VLOOKUP($E83,WGTbl,2,0),"کد ناشناخته"),IFERROR(IF(VLOOKUP($E83,AcctTblE,4,0)="","(بدون نام)",VLOOKUP($E83,AcctTblE,4,0)),"کد ناشناخته")))</f>
        <v/>
      </c>
      <c r="G83" s="15" t="n"/>
      <c r="H83" s="16">
        <f>IF(OR($C83&lt;&gt;"دستمزد گروهی",$D83=""),"",SUMIFS(ShareAmt,ShareLink,$D83))</f>
        <v/>
      </c>
      <c r="I83" s="17">
        <f>IF($C83&lt;&gt;"دستمزد گروهی","—",IF($H83="","",IF(ROUND($H83-IF($G83="",0,$G83),0)=0,"√","▲ مغایرت "&amp;TEXT(IF($G83="",0,$G83)-$H83,"#,##0"))))</f>
        <v/>
      </c>
      <c r="J83" s="18" t="n"/>
    </row>
    <row r="84">
      <c r="A84" s="19">
        <f>IF($B84="","",COUNTA($B$9:$B84))</f>
        <v/>
      </c>
      <c r="B84" s="11" t="n"/>
      <c r="C84" s="12" t="n"/>
      <c r="D84" s="12" t="n"/>
      <c r="E84" s="13" t="n"/>
      <c r="F84" s="20">
        <f>IF($E84="","",IF($C84="دستمزد گروهی",IFERROR(VLOOKUP($E84,WGTbl,2,0),"کد ناشناخته"),IFERROR(IF(VLOOKUP($E84,AcctTblE,4,0)="","(بدون نام)",VLOOKUP($E84,AcctTblE,4,0)),"کد ناشناخته")))</f>
        <v/>
      </c>
      <c r="G84" s="15" t="n"/>
      <c r="H84" s="21">
        <f>IF(OR($C84&lt;&gt;"دستمزد گروهی",$D84=""),"",SUMIFS(ShareAmt,ShareLink,$D84))</f>
        <v/>
      </c>
      <c r="I84" s="22">
        <f>IF($C84&lt;&gt;"دستمزد گروهی","—",IF($H84="","",IF(ROUND($H84-IF($G84="",0,$G84),0)=0,"√","▲ مغایرت "&amp;TEXT(IF($G84="",0,$G84)-$H84,"#,##0"))))</f>
        <v/>
      </c>
      <c r="J84" s="18" t="n"/>
    </row>
    <row r="85">
      <c r="A85" s="10">
        <f>IF($B85="","",COUNTA($B$9:$B85))</f>
        <v/>
      </c>
      <c r="B85" s="11" t="n"/>
      <c r="C85" s="12" t="n"/>
      <c r="D85" s="12" t="n"/>
      <c r="E85" s="13" t="n"/>
      <c r="F85" s="14">
        <f>IF($E85="","",IF($C85="دستمزد گروهی",IFERROR(VLOOKUP($E85,WGTbl,2,0),"کد ناشناخته"),IFERROR(IF(VLOOKUP($E85,AcctTblE,4,0)="","(بدون نام)",VLOOKUP($E85,AcctTblE,4,0)),"کد ناشناخته")))</f>
        <v/>
      </c>
      <c r="G85" s="15" t="n"/>
      <c r="H85" s="16">
        <f>IF(OR($C85&lt;&gt;"دستمزد گروهی",$D85=""),"",SUMIFS(ShareAmt,ShareLink,$D85))</f>
        <v/>
      </c>
      <c r="I85" s="17">
        <f>IF($C85&lt;&gt;"دستمزد گروهی","—",IF($H85="","",IF(ROUND($H85-IF($G85="",0,$G85),0)=0,"√","▲ مغایرت "&amp;TEXT(IF($G85="",0,$G85)-$H85,"#,##0"))))</f>
        <v/>
      </c>
      <c r="J85" s="18" t="n"/>
    </row>
    <row r="86">
      <c r="A86" s="19">
        <f>IF($B86="","",COUNTA($B$9:$B86))</f>
        <v/>
      </c>
      <c r="B86" s="11" t="n"/>
      <c r="C86" s="12" t="n"/>
      <c r="D86" s="12" t="n"/>
      <c r="E86" s="13" t="n"/>
      <c r="F86" s="20">
        <f>IF($E86="","",IF($C86="دستمزد گروهی",IFERROR(VLOOKUP($E86,WGTbl,2,0),"کد ناشناخته"),IFERROR(IF(VLOOKUP($E86,AcctTblE,4,0)="","(بدون نام)",VLOOKUP($E86,AcctTblE,4,0)),"کد ناشناخته")))</f>
        <v/>
      </c>
      <c r="G86" s="15" t="n"/>
      <c r="H86" s="21">
        <f>IF(OR($C86&lt;&gt;"دستمزد گروهی",$D86=""),"",SUMIFS(ShareAmt,ShareLink,$D86))</f>
        <v/>
      </c>
      <c r="I86" s="22">
        <f>IF($C86&lt;&gt;"دستمزد گروهی","—",IF($H86="","",IF(ROUND($H86-IF($G86="",0,$G86),0)=0,"√","▲ مغایرت "&amp;TEXT(IF($G86="",0,$G86)-$H86,"#,##0"))))</f>
        <v/>
      </c>
      <c r="J86" s="18" t="n"/>
    </row>
    <row r="87">
      <c r="A87" s="10">
        <f>IF($B87="","",COUNTA($B$9:$B87))</f>
        <v/>
      </c>
      <c r="B87" s="11" t="n"/>
      <c r="C87" s="12" t="n"/>
      <c r="D87" s="12" t="n"/>
      <c r="E87" s="13" t="n"/>
      <c r="F87" s="14">
        <f>IF($E87="","",IF($C87="دستمزد گروهی",IFERROR(VLOOKUP($E87,WGTbl,2,0),"کد ناشناخته"),IFERROR(IF(VLOOKUP($E87,AcctTblE,4,0)="","(بدون نام)",VLOOKUP($E87,AcctTblE,4,0)),"کد ناشناخته")))</f>
        <v/>
      </c>
      <c r="G87" s="15" t="n"/>
      <c r="H87" s="16">
        <f>IF(OR($C87&lt;&gt;"دستمزد گروهی",$D87=""),"",SUMIFS(ShareAmt,ShareLink,$D87))</f>
        <v/>
      </c>
      <c r="I87" s="17">
        <f>IF($C87&lt;&gt;"دستمزد گروهی","—",IF($H87="","",IF(ROUND($H87-IF($G87="",0,$G87),0)=0,"√","▲ مغایرت "&amp;TEXT(IF($G87="",0,$G87)-$H87,"#,##0"))))</f>
        <v/>
      </c>
      <c r="J87" s="18" t="n"/>
    </row>
    <row r="88">
      <c r="A88" s="19">
        <f>IF($B88="","",COUNTA($B$9:$B88))</f>
        <v/>
      </c>
      <c r="B88" s="11" t="n"/>
      <c r="C88" s="12" t="n"/>
      <c r="D88" s="12" t="n"/>
      <c r="E88" s="13" t="n"/>
      <c r="F88" s="20">
        <f>IF($E88="","",IF($C88="دستمزد گروهی",IFERROR(VLOOKUP($E88,WGTbl,2,0),"کد ناشناخته"),IFERROR(IF(VLOOKUP($E88,AcctTblE,4,0)="","(بدون نام)",VLOOKUP($E88,AcctTblE,4,0)),"کد ناشناخته")))</f>
        <v/>
      </c>
      <c r="G88" s="15" t="n"/>
      <c r="H88" s="21">
        <f>IF(OR($C88&lt;&gt;"دستمزد گروهی",$D88=""),"",SUMIFS(ShareAmt,ShareLink,$D88))</f>
        <v/>
      </c>
      <c r="I88" s="22">
        <f>IF($C88&lt;&gt;"دستمزد گروهی","—",IF($H88="","",IF(ROUND($H88-IF($G88="",0,$G88),0)=0,"√","▲ مغایرت "&amp;TEXT(IF($G88="",0,$G88)-$H88,"#,##0"))))</f>
        <v/>
      </c>
      <c r="J88" s="18" t="n"/>
    </row>
    <row r="89">
      <c r="A89" s="10">
        <f>IF($B89="","",COUNTA($B$9:$B89))</f>
        <v/>
      </c>
      <c r="B89" s="11" t="n"/>
      <c r="C89" s="12" t="n"/>
      <c r="D89" s="12" t="n"/>
      <c r="E89" s="13" t="n"/>
      <c r="F89" s="14">
        <f>IF($E89="","",IF($C89="دستمزد گروهی",IFERROR(VLOOKUP($E89,WGTbl,2,0),"کد ناشناخته"),IFERROR(IF(VLOOKUP($E89,AcctTblE,4,0)="","(بدون نام)",VLOOKUP($E89,AcctTblE,4,0)),"کد ناشناخته")))</f>
        <v/>
      </c>
      <c r="G89" s="15" t="n"/>
      <c r="H89" s="16">
        <f>IF(OR($C89&lt;&gt;"دستمزد گروهی",$D89=""),"",SUMIFS(ShareAmt,ShareLink,$D89))</f>
        <v/>
      </c>
      <c r="I89" s="17">
        <f>IF($C89&lt;&gt;"دستمزد گروهی","—",IF($H89="","",IF(ROUND($H89-IF($G89="",0,$G89),0)=0,"√","▲ مغایرت "&amp;TEXT(IF($G89="",0,$G89)-$H89,"#,##0"))))</f>
        <v/>
      </c>
      <c r="J89" s="18" t="n"/>
    </row>
    <row r="90">
      <c r="A90" s="19">
        <f>IF($B90="","",COUNTA($B$9:$B90))</f>
        <v/>
      </c>
      <c r="B90" s="11" t="n"/>
      <c r="C90" s="12" t="n"/>
      <c r="D90" s="12" t="n"/>
      <c r="E90" s="13" t="n"/>
      <c r="F90" s="20">
        <f>IF($E90="","",IF($C90="دستمزد گروهی",IFERROR(VLOOKUP($E90,WGTbl,2,0),"کد ناشناخته"),IFERROR(IF(VLOOKUP($E90,AcctTblE,4,0)="","(بدون نام)",VLOOKUP($E90,AcctTblE,4,0)),"کد ناشناخته")))</f>
        <v/>
      </c>
      <c r="G90" s="15" t="n"/>
      <c r="H90" s="21">
        <f>IF(OR($C90&lt;&gt;"دستمزد گروهی",$D90=""),"",SUMIFS(ShareAmt,ShareLink,$D90))</f>
        <v/>
      </c>
      <c r="I90" s="22">
        <f>IF($C90&lt;&gt;"دستمزد گروهی","—",IF($H90="","",IF(ROUND($H90-IF($G90="",0,$G90),0)=0,"√","▲ مغایرت "&amp;TEXT(IF($G90="",0,$G90)-$H90,"#,##0"))))</f>
        <v/>
      </c>
      <c r="J90" s="18" t="n"/>
    </row>
    <row r="91">
      <c r="A91" s="10">
        <f>IF($B91="","",COUNTA($B$9:$B91))</f>
        <v/>
      </c>
      <c r="B91" s="11" t="n"/>
      <c r="C91" s="12" t="n"/>
      <c r="D91" s="12" t="n"/>
      <c r="E91" s="13" t="n"/>
      <c r="F91" s="14">
        <f>IF($E91="","",IF($C91="دستمزد گروهی",IFERROR(VLOOKUP($E91,WGTbl,2,0),"کد ناشناخته"),IFERROR(IF(VLOOKUP($E91,AcctTblE,4,0)="","(بدون نام)",VLOOKUP($E91,AcctTblE,4,0)),"کد ناشناخته")))</f>
        <v/>
      </c>
      <c r="G91" s="15" t="n"/>
      <c r="H91" s="16">
        <f>IF(OR($C91&lt;&gt;"دستمزد گروهی",$D91=""),"",SUMIFS(ShareAmt,ShareLink,$D91))</f>
        <v/>
      </c>
      <c r="I91" s="17">
        <f>IF($C91&lt;&gt;"دستمزد گروهی","—",IF($H91="","",IF(ROUND($H91-IF($G91="",0,$G91),0)=0,"√","▲ مغایرت "&amp;TEXT(IF($G91="",0,$G91)-$H91,"#,##0"))))</f>
        <v/>
      </c>
      <c r="J91" s="18" t="n"/>
    </row>
    <row r="92">
      <c r="A92" s="19">
        <f>IF($B92="","",COUNTA($B$9:$B92))</f>
        <v/>
      </c>
      <c r="B92" s="11" t="n"/>
      <c r="C92" s="12" t="n"/>
      <c r="D92" s="12" t="n"/>
      <c r="E92" s="13" t="n"/>
      <c r="F92" s="20">
        <f>IF($E92="","",IF($C92="دستمزد گروهی",IFERROR(VLOOKUP($E92,WGTbl,2,0),"کد ناشناخته"),IFERROR(IF(VLOOKUP($E92,AcctTblE,4,0)="","(بدون نام)",VLOOKUP($E92,AcctTblE,4,0)),"کد ناشناخته")))</f>
        <v/>
      </c>
      <c r="G92" s="15" t="n"/>
      <c r="H92" s="21">
        <f>IF(OR($C92&lt;&gt;"دستمزد گروهی",$D92=""),"",SUMIFS(ShareAmt,ShareLink,$D92))</f>
        <v/>
      </c>
      <c r="I92" s="22">
        <f>IF($C92&lt;&gt;"دستمزد گروهی","—",IF($H92="","",IF(ROUND($H92-IF($G92="",0,$G92),0)=0,"√","▲ مغایرت "&amp;TEXT(IF($G92="",0,$G92)-$H92,"#,##0"))))</f>
        <v/>
      </c>
      <c r="J92" s="18" t="n"/>
    </row>
    <row r="93">
      <c r="A93" s="10">
        <f>IF($B93="","",COUNTA($B$9:$B93))</f>
        <v/>
      </c>
      <c r="B93" s="11" t="n"/>
      <c r="C93" s="12" t="n"/>
      <c r="D93" s="12" t="n"/>
      <c r="E93" s="13" t="n"/>
      <c r="F93" s="14">
        <f>IF($E93="","",IF($C93="دستمزد گروهی",IFERROR(VLOOKUP($E93,WGTbl,2,0),"کد ناشناخته"),IFERROR(IF(VLOOKUP($E93,AcctTblE,4,0)="","(بدون نام)",VLOOKUP($E93,AcctTblE,4,0)),"کد ناشناخته")))</f>
        <v/>
      </c>
      <c r="G93" s="15" t="n"/>
      <c r="H93" s="16">
        <f>IF(OR($C93&lt;&gt;"دستمزد گروهی",$D93=""),"",SUMIFS(ShareAmt,ShareLink,$D93))</f>
        <v/>
      </c>
      <c r="I93" s="17">
        <f>IF($C93&lt;&gt;"دستمزد گروهی","—",IF($H93="","",IF(ROUND($H93-IF($G93="",0,$G93),0)=0,"√","▲ مغایرت "&amp;TEXT(IF($G93="",0,$G93)-$H93,"#,##0"))))</f>
        <v/>
      </c>
      <c r="J93" s="18" t="n"/>
    </row>
    <row r="94">
      <c r="A94" s="19">
        <f>IF($B94="","",COUNTA($B$9:$B94))</f>
        <v/>
      </c>
      <c r="B94" s="11" t="n"/>
      <c r="C94" s="12" t="n"/>
      <c r="D94" s="12" t="n"/>
      <c r="E94" s="13" t="n"/>
      <c r="F94" s="20">
        <f>IF($E94="","",IF($C94="دستمزد گروهی",IFERROR(VLOOKUP($E94,WGTbl,2,0),"کد ناشناخته"),IFERROR(IF(VLOOKUP($E94,AcctTblE,4,0)="","(بدون نام)",VLOOKUP($E94,AcctTblE,4,0)),"کد ناشناخته")))</f>
        <v/>
      </c>
      <c r="G94" s="15" t="n"/>
      <c r="H94" s="21">
        <f>IF(OR($C94&lt;&gt;"دستمزد گروهی",$D94=""),"",SUMIFS(ShareAmt,ShareLink,$D94))</f>
        <v/>
      </c>
      <c r="I94" s="22">
        <f>IF($C94&lt;&gt;"دستمزد گروهی","—",IF($H94="","",IF(ROUND($H94-IF($G94="",0,$G94),0)=0,"√","▲ مغایرت "&amp;TEXT(IF($G94="",0,$G94)-$H94,"#,##0"))))</f>
        <v/>
      </c>
      <c r="J94" s="18" t="n"/>
    </row>
    <row r="95">
      <c r="A95" s="10">
        <f>IF($B95="","",COUNTA($B$9:$B95))</f>
        <v/>
      </c>
      <c r="B95" s="11" t="n"/>
      <c r="C95" s="12" t="n"/>
      <c r="D95" s="12" t="n"/>
      <c r="E95" s="13" t="n"/>
      <c r="F95" s="14">
        <f>IF($E95="","",IF($C95="دستمزد گروهی",IFERROR(VLOOKUP($E95,WGTbl,2,0),"کد ناشناخته"),IFERROR(IF(VLOOKUP($E95,AcctTblE,4,0)="","(بدون نام)",VLOOKUP($E95,AcctTblE,4,0)),"کد ناشناخته")))</f>
        <v/>
      </c>
      <c r="G95" s="15" t="n"/>
      <c r="H95" s="16">
        <f>IF(OR($C95&lt;&gt;"دستمزد گروهی",$D95=""),"",SUMIFS(ShareAmt,ShareLink,$D95))</f>
        <v/>
      </c>
      <c r="I95" s="17">
        <f>IF($C95&lt;&gt;"دستمزد گروهی","—",IF($H95="","",IF(ROUND($H95-IF($G95="",0,$G95),0)=0,"√","▲ مغایرت "&amp;TEXT(IF($G95="",0,$G95)-$H95,"#,##0"))))</f>
        <v/>
      </c>
      <c r="J95" s="18" t="n"/>
    </row>
    <row r="96">
      <c r="A96" s="19">
        <f>IF($B96="","",COUNTA($B$9:$B96))</f>
        <v/>
      </c>
      <c r="B96" s="11" t="n"/>
      <c r="C96" s="12" t="n"/>
      <c r="D96" s="12" t="n"/>
      <c r="E96" s="13" t="n"/>
      <c r="F96" s="20">
        <f>IF($E96="","",IF($C96="دستمزد گروهی",IFERROR(VLOOKUP($E96,WGTbl,2,0),"کد ناشناخته"),IFERROR(IF(VLOOKUP($E96,AcctTblE,4,0)="","(بدون نام)",VLOOKUP($E96,AcctTblE,4,0)),"کد ناشناخته")))</f>
        <v/>
      </c>
      <c r="G96" s="15" t="n"/>
      <c r="H96" s="21">
        <f>IF(OR($C96&lt;&gt;"دستمزد گروهی",$D96=""),"",SUMIFS(ShareAmt,ShareLink,$D96))</f>
        <v/>
      </c>
      <c r="I96" s="22">
        <f>IF($C96&lt;&gt;"دستمزد گروهی","—",IF($H96="","",IF(ROUND($H96-IF($G96="",0,$G96),0)=0,"√","▲ مغایرت "&amp;TEXT(IF($G96="",0,$G96)-$H96,"#,##0"))))</f>
        <v/>
      </c>
      <c r="J96" s="18" t="n"/>
    </row>
    <row r="97">
      <c r="A97" s="10">
        <f>IF($B97="","",COUNTA($B$9:$B97))</f>
        <v/>
      </c>
      <c r="B97" s="11" t="n"/>
      <c r="C97" s="12" t="n"/>
      <c r="D97" s="12" t="n"/>
      <c r="E97" s="13" t="n"/>
      <c r="F97" s="14">
        <f>IF($E97="","",IF($C97="دستمزد گروهی",IFERROR(VLOOKUP($E97,WGTbl,2,0),"کد ناشناخته"),IFERROR(IF(VLOOKUP($E97,AcctTblE,4,0)="","(بدون نام)",VLOOKUP($E97,AcctTblE,4,0)),"کد ناشناخته")))</f>
        <v/>
      </c>
      <c r="G97" s="15" t="n"/>
      <c r="H97" s="16">
        <f>IF(OR($C97&lt;&gt;"دستمزد گروهی",$D97=""),"",SUMIFS(ShareAmt,ShareLink,$D97))</f>
        <v/>
      </c>
      <c r="I97" s="17">
        <f>IF($C97&lt;&gt;"دستمزد گروهی","—",IF($H97="","",IF(ROUND($H97-IF($G97="",0,$G97),0)=0,"√","▲ مغایرت "&amp;TEXT(IF($G97="",0,$G97)-$H97,"#,##0"))))</f>
        <v/>
      </c>
      <c r="J97" s="18" t="n"/>
    </row>
    <row r="98">
      <c r="A98" s="19">
        <f>IF($B98="","",COUNTA($B$9:$B98))</f>
        <v/>
      </c>
      <c r="B98" s="11" t="n"/>
      <c r="C98" s="12" t="n"/>
      <c r="D98" s="12" t="n"/>
      <c r="E98" s="13" t="n"/>
      <c r="F98" s="20">
        <f>IF($E98="","",IF($C98="دستمزد گروهی",IFERROR(VLOOKUP($E98,WGTbl,2,0),"کد ناشناخته"),IFERROR(IF(VLOOKUP($E98,AcctTblE,4,0)="","(بدون نام)",VLOOKUP($E98,AcctTblE,4,0)),"کد ناشناخته")))</f>
        <v/>
      </c>
      <c r="G98" s="15" t="n"/>
      <c r="H98" s="21">
        <f>IF(OR($C98&lt;&gt;"دستمزد گروهی",$D98=""),"",SUMIFS(ShareAmt,ShareLink,$D98))</f>
        <v/>
      </c>
      <c r="I98" s="22">
        <f>IF($C98&lt;&gt;"دستمزد گروهی","—",IF($H98="","",IF(ROUND($H98-IF($G98="",0,$G98),0)=0,"√","▲ مغایرت "&amp;TEXT(IF($G98="",0,$G98)-$H98,"#,##0"))))</f>
        <v/>
      </c>
      <c r="J98" s="18" t="n"/>
    </row>
    <row r="99">
      <c r="A99" s="10">
        <f>IF($B99="","",COUNTA($B$9:$B99))</f>
        <v/>
      </c>
      <c r="B99" s="11" t="n"/>
      <c r="C99" s="12" t="n"/>
      <c r="D99" s="12" t="n"/>
      <c r="E99" s="13" t="n"/>
      <c r="F99" s="14">
        <f>IF($E99="","",IF($C99="دستمزد گروهی",IFERROR(VLOOKUP($E99,WGTbl,2,0),"کد ناشناخته"),IFERROR(IF(VLOOKUP($E99,AcctTblE,4,0)="","(بدون نام)",VLOOKUP($E99,AcctTblE,4,0)),"کد ناشناخته")))</f>
        <v/>
      </c>
      <c r="G99" s="15" t="n"/>
      <c r="H99" s="16">
        <f>IF(OR($C99&lt;&gt;"دستمزد گروهی",$D99=""),"",SUMIFS(ShareAmt,ShareLink,$D99))</f>
        <v/>
      </c>
      <c r="I99" s="17">
        <f>IF($C99&lt;&gt;"دستمزد گروهی","—",IF($H99="","",IF(ROUND($H99-IF($G99="",0,$G99),0)=0,"√","▲ مغایرت "&amp;TEXT(IF($G99="",0,$G99)-$H99,"#,##0"))))</f>
        <v/>
      </c>
      <c r="J99" s="18" t="n"/>
    </row>
    <row r="100">
      <c r="A100" s="19">
        <f>IF($B100="","",COUNTA($B$9:$B100))</f>
        <v/>
      </c>
      <c r="B100" s="11" t="n"/>
      <c r="C100" s="12" t="n"/>
      <c r="D100" s="12" t="n"/>
      <c r="E100" s="13" t="n"/>
      <c r="F100" s="20">
        <f>IF($E100="","",IF($C100="دستمزد گروهی",IFERROR(VLOOKUP($E100,WGTbl,2,0),"کد ناشناخته"),IFERROR(IF(VLOOKUP($E100,AcctTblE,4,0)="","(بدون نام)",VLOOKUP($E100,AcctTblE,4,0)),"کد ناشناخته")))</f>
        <v/>
      </c>
      <c r="G100" s="15" t="n"/>
      <c r="H100" s="21">
        <f>IF(OR($C100&lt;&gt;"دستمزد گروهی",$D100=""),"",SUMIFS(ShareAmt,ShareLink,$D100))</f>
        <v/>
      </c>
      <c r="I100" s="22">
        <f>IF($C100&lt;&gt;"دستمزد گروهی","—",IF($H100="","",IF(ROUND($H100-IF($G100="",0,$G100),0)=0,"√","▲ مغایرت "&amp;TEXT(IF($G100="",0,$G100)-$H100,"#,##0"))))</f>
        <v/>
      </c>
      <c r="J100" s="18" t="n"/>
    </row>
    <row r="101">
      <c r="A101" s="10">
        <f>IF($B101="","",COUNTA($B$9:$B101))</f>
        <v/>
      </c>
      <c r="B101" s="11" t="n"/>
      <c r="C101" s="12" t="n"/>
      <c r="D101" s="12" t="n"/>
      <c r="E101" s="13" t="n"/>
      <c r="F101" s="14">
        <f>IF($E101="","",IF($C101="دستمزد گروهی",IFERROR(VLOOKUP($E101,WGTbl,2,0),"کد ناشناخته"),IFERROR(IF(VLOOKUP($E101,AcctTblE,4,0)="","(بدون نام)",VLOOKUP($E101,AcctTblE,4,0)),"کد ناشناخته")))</f>
        <v/>
      </c>
      <c r="G101" s="15" t="n"/>
      <c r="H101" s="16">
        <f>IF(OR($C101&lt;&gt;"دستمزد گروهی",$D101=""),"",SUMIFS(ShareAmt,ShareLink,$D101))</f>
        <v/>
      </c>
      <c r="I101" s="17">
        <f>IF($C101&lt;&gt;"دستمزد گروهی","—",IF($H101="","",IF(ROUND($H101-IF($G101="",0,$G101),0)=0,"√","▲ مغایرت "&amp;TEXT(IF($G101="",0,$G101)-$H101,"#,##0"))))</f>
        <v/>
      </c>
      <c r="J101" s="18" t="n"/>
    </row>
    <row r="102">
      <c r="A102" s="19">
        <f>IF($B102="","",COUNTA($B$9:$B102))</f>
        <v/>
      </c>
      <c r="B102" s="11" t="n"/>
      <c r="C102" s="12" t="n"/>
      <c r="D102" s="12" t="n"/>
      <c r="E102" s="13" t="n"/>
      <c r="F102" s="20">
        <f>IF($E102="","",IF($C102="دستمزد گروهی",IFERROR(VLOOKUP($E102,WGTbl,2,0),"کد ناشناخته"),IFERROR(IF(VLOOKUP($E102,AcctTblE,4,0)="","(بدون نام)",VLOOKUP($E102,AcctTblE,4,0)),"کد ناشناخته")))</f>
        <v/>
      </c>
      <c r="G102" s="15" t="n"/>
      <c r="H102" s="21">
        <f>IF(OR($C102&lt;&gt;"دستمزد گروهی",$D102=""),"",SUMIFS(ShareAmt,ShareLink,$D102))</f>
        <v/>
      </c>
      <c r="I102" s="22">
        <f>IF($C102&lt;&gt;"دستمزد گروهی","—",IF($H102="","",IF(ROUND($H102-IF($G102="",0,$G102),0)=0,"√","▲ مغایرت "&amp;TEXT(IF($G102="",0,$G102)-$H102,"#,##0"))))</f>
        <v/>
      </c>
      <c r="J102" s="18" t="n"/>
    </row>
    <row r="103">
      <c r="A103" s="10">
        <f>IF($B103="","",COUNTA($B$9:$B103))</f>
        <v/>
      </c>
      <c r="B103" s="11" t="n"/>
      <c r="C103" s="12" t="n"/>
      <c r="D103" s="12" t="n"/>
      <c r="E103" s="13" t="n"/>
      <c r="F103" s="14">
        <f>IF($E103="","",IF($C103="دستمزد گروهی",IFERROR(VLOOKUP($E103,WGTbl,2,0),"کد ناشناخته"),IFERROR(IF(VLOOKUP($E103,AcctTblE,4,0)="","(بدون نام)",VLOOKUP($E103,AcctTblE,4,0)),"کد ناشناخته")))</f>
        <v/>
      </c>
      <c r="G103" s="15" t="n"/>
      <c r="H103" s="16">
        <f>IF(OR($C103&lt;&gt;"دستمزد گروهی",$D103=""),"",SUMIFS(ShareAmt,ShareLink,$D103))</f>
        <v/>
      </c>
      <c r="I103" s="17">
        <f>IF($C103&lt;&gt;"دستمزد گروهی","—",IF($H103="","",IF(ROUND($H103-IF($G103="",0,$G103),0)=0,"√","▲ مغایرت "&amp;TEXT(IF($G103="",0,$G103)-$H103,"#,##0"))))</f>
        <v/>
      </c>
      <c r="J103" s="18" t="n"/>
    </row>
    <row r="104">
      <c r="A104" s="19">
        <f>IF($B104="","",COUNTA($B$9:$B104))</f>
        <v/>
      </c>
      <c r="B104" s="11" t="n"/>
      <c r="C104" s="12" t="n"/>
      <c r="D104" s="12" t="n"/>
      <c r="E104" s="13" t="n"/>
      <c r="F104" s="20">
        <f>IF($E104="","",IF($C104="دستمزد گروهی",IFERROR(VLOOKUP($E104,WGTbl,2,0),"کد ناشناخته"),IFERROR(IF(VLOOKUP($E104,AcctTblE,4,0)="","(بدون نام)",VLOOKUP($E104,AcctTblE,4,0)),"کد ناشناخته")))</f>
        <v/>
      </c>
      <c r="G104" s="15" t="n"/>
      <c r="H104" s="21">
        <f>IF(OR($C104&lt;&gt;"دستمزد گروهی",$D104=""),"",SUMIFS(ShareAmt,ShareLink,$D104))</f>
        <v/>
      </c>
      <c r="I104" s="22">
        <f>IF($C104&lt;&gt;"دستمزد گروهی","—",IF($H104="","",IF(ROUND($H104-IF($G104="",0,$G104),0)=0,"√","▲ مغایرت "&amp;TEXT(IF($G104="",0,$G104)-$H104,"#,##0"))))</f>
        <v/>
      </c>
      <c r="J104" s="18" t="n"/>
    </row>
    <row r="105">
      <c r="A105" s="10">
        <f>IF($B105="","",COUNTA($B$9:$B105))</f>
        <v/>
      </c>
      <c r="B105" s="11" t="n"/>
      <c r="C105" s="12" t="n"/>
      <c r="D105" s="12" t="n"/>
      <c r="E105" s="13" t="n"/>
      <c r="F105" s="14">
        <f>IF($E105="","",IF($C105="دستمزد گروهی",IFERROR(VLOOKUP($E105,WGTbl,2,0),"کد ناشناخته"),IFERROR(IF(VLOOKUP($E105,AcctTblE,4,0)="","(بدون نام)",VLOOKUP($E105,AcctTblE,4,0)),"کد ناشناخته")))</f>
        <v/>
      </c>
      <c r="G105" s="15" t="n"/>
      <c r="H105" s="16">
        <f>IF(OR($C105&lt;&gt;"دستمزد گروهی",$D105=""),"",SUMIFS(ShareAmt,ShareLink,$D105))</f>
        <v/>
      </c>
      <c r="I105" s="17">
        <f>IF($C105&lt;&gt;"دستمزد گروهی","—",IF($H105="","",IF(ROUND($H105-IF($G105="",0,$G105),0)=0,"√","▲ مغایرت "&amp;TEXT(IF($G105="",0,$G105)-$H105,"#,##0"))))</f>
        <v/>
      </c>
      <c r="J105" s="18" t="n"/>
    </row>
    <row r="106">
      <c r="A106" s="19">
        <f>IF($B106="","",COUNTA($B$9:$B106))</f>
        <v/>
      </c>
      <c r="B106" s="11" t="n"/>
      <c r="C106" s="12" t="n"/>
      <c r="D106" s="12" t="n"/>
      <c r="E106" s="13" t="n"/>
      <c r="F106" s="20">
        <f>IF($E106="","",IF($C106="دستمزد گروهی",IFERROR(VLOOKUP($E106,WGTbl,2,0),"کد ناشناخته"),IFERROR(IF(VLOOKUP($E106,AcctTblE,4,0)="","(بدون نام)",VLOOKUP($E106,AcctTblE,4,0)),"کد ناشناخته")))</f>
        <v/>
      </c>
      <c r="G106" s="15" t="n"/>
      <c r="H106" s="21">
        <f>IF(OR($C106&lt;&gt;"دستمزد گروهی",$D106=""),"",SUMIFS(ShareAmt,ShareLink,$D106))</f>
        <v/>
      </c>
      <c r="I106" s="22">
        <f>IF($C106&lt;&gt;"دستمزد گروهی","—",IF($H106="","",IF(ROUND($H106-IF($G106="",0,$G106),0)=0,"√","▲ مغایرت "&amp;TEXT(IF($G106="",0,$G106)-$H106,"#,##0"))))</f>
        <v/>
      </c>
      <c r="J106" s="18" t="n"/>
    </row>
    <row r="107">
      <c r="A107" s="10">
        <f>IF($B107="","",COUNTA($B$9:$B107))</f>
        <v/>
      </c>
      <c r="B107" s="11" t="n"/>
      <c r="C107" s="12" t="n"/>
      <c r="D107" s="12" t="n"/>
      <c r="E107" s="13" t="n"/>
      <c r="F107" s="14">
        <f>IF($E107="","",IF($C107="دستمزد گروهی",IFERROR(VLOOKUP($E107,WGTbl,2,0),"کد ناشناخته"),IFERROR(IF(VLOOKUP($E107,AcctTblE,4,0)="","(بدون نام)",VLOOKUP($E107,AcctTblE,4,0)),"کد ناشناخته")))</f>
        <v/>
      </c>
      <c r="G107" s="15" t="n"/>
      <c r="H107" s="16">
        <f>IF(OR($C107&lt;&gt;"دستمزد گروهی",$D107=""),"",SUMIFS(ShareAmt,ShareLink,$D107))</f>
        <v/>
      </c>
      <c r="I107" s="17">
        <f>IF($C107&lt;&gt;"دستمزد گروهی","—",IF($H107="","",IF(ROUND($H107-IF($G107="",0,$G107),0)=0,"√","▲ مغایرت "&amp;TEXT(IF($G107="",0,$G107)-$H107,"#,##0"))))</f>
        <v/>
      </c>
      <c r="J107" s="18" t="n"/>
    </row>
    <row r="108">
      <c r="A108" s="19">
        <f>IF($B108="","",COUNTA($B$9:$B108))</f>
        <v/>
      </c>
      <c r="B108" s="11" t="n"/>
      <c r="C108" s="12" t="n"/>
      <c r="D108" s="12" t="n"/>
      <c r="E108" s="13" t="n"/>
      <c r="F108" s="20">
        <f>IF($E108="","",IF($C108="دستمزد گروهی",IFERROR(VLOOKUP($E108,WGTbl,2,0),"کد ناشناخته"),IFERROR(IF(VLOOKUP($E108,AcctTblE,4,0)="","(بدون نام)",VLOOKUP($E108,AcctTblE,4,0)),"کد ناشناخته")))</f>
        <v/>
      </c>
      <c r="G108" s="15" t="n"/>
      <c r="H108" s="21">
        <f>IF(OR($C108&lt;&gt;"دستمزد گروهی",$D108=""),"",SUMIFS(ShareAmt,ShareLink,$D108))</f>
        <v/>
      </c>
      <c r="I108" s="22">
        <f>IF($C108&lt;&gt;"دستمزد گروهی","—",IF($H108="","",IF(ROUND($H108-IF($G108="",0,$G108),0)=0,"√","▲ مغایرت "&amp;TEXT(IF($G108="",0,$G108)-$H108,"#,##0"))))</f>
        <v/>
      </c>
      <c r="J108" s="18" t="n"/>
    </row>
    <row r="109">
      <c r="A109" s="10">
        <f>IF($B109="","",COUNTA($B$9:$B109))</f>
        <v/>
      </c>
      <c r="B109" s="11" t="n"/>
      <c r="C109" s="12" t="n"/>
      <c r="D109" s="12" t="n"/>
      <c r="E109" s="13" t="n"/>
      <c r="F109" s="14">
        <f>IF($E109="","",IF($C109="دستمزد گروهی",IFERROR(VLOOKUP($E109,WGTbl,2,0),"کد ناشناخته"),IFERROR(IF(VLOOKUP($E109,AcctTblE,4,0)="","(بدون نام)",VLOOKUP($E109,AcctTblE,4,0)),"کد ناشناخته")))</f>
        <v/>
      </c>
      <c r="G109" s="15" t="n"/>
      <c r="H109" s="16">
        <f>IF(OR($C109&lt;&gt;"دستمزد گروهی",$D109=""),"",SUMIFS(ShareAmt,ShareLink,$D109))</f>
        <v/>
      </c>
      <c r="I109" s="17">
        <f>IF($C109&lt;&gt;"دستمزد گروهی","—",IF($H109="","",IF(ROUND($H109-IF($G109="",0,$G109),0)=0,"√","▲ مغایرت "&amp;TEXT(IF($G109="",0,$G109)-$H109,"#,##0"))))</f>
        <v/>
      </c>
      <c r="J109" s="18" t="n"/>
    </row>
    <row r="110">
      <c r="A110" s="19">
        <f>IF($B110="","",COUNTA($B$9:$B110))</f>
        <v/>
      </c>
      <c r="B110" s="11" t="n"/>
      <c r="C110" s="12" t="n"/>
      <c r="D110" s="12" t="n"/>
      <c r="E110" s="13" t="n"/>
      <c r="F110" s="20">
        <f>IF($E110="","",IF($C110="دستمزد گروهی",IFERROR(VLOOKUP($E110,WGTbl,2,0),"کد ناشناخته"),IFERROR(IF(VLOOKUP($E110,AcctTblE,4,0)="","(بدون نام)",VLOOKUP($E110,AcctTblE,4,0)),"کد ناشناخته")))</f>
        <v/>
      </c>
      <c r="G110" s="15" t="n"/>
      <c r="H110" s="21">
        <f>IF(OR($C110&lt;&gt;"دستمزد گروهی",$D110=""),"",SUMIFS(ShareAmt,ShareLink,$D110))</f>
        <v/>
      </c>
      <c r="I110" s="22">
        <f>IF($C110&lt;&gt;"دستمزد گروهی","—",IF($H110="","",IF(ROUND($H110-IF($G110="",0,$G110),0)=0,"√","▲ مغایرت "&amp;TEXT(IF($G110="",0,$G110)-$H110,"#,##0"))))</f>
        <v/>
      </c>
      <c r="J110" s="18" t="n"/>
    </row>
    <row r="111">
      <c r="A111" s="10">
        <f>IF($B111="","",COUNTA($B$9:$B111))</f>
        <v/>
      </c>
      <c r="B111" s="11" t="n"/>
      <c r="C111" s="12" t="n"/>
      <c r="D111" s="12" t="n"/>
      <c r="E111" s="13" t="n"/>
      <c r="F111" s="14">
        <f>IF($E111="","",IF($C111="دستمزد گروهی",IFERROR(VLOOKUP($E111,WGTbl,2,0),"کد ناشناخته"),IFERROR(IF(VLOOKUP($E111,AcctTblE,4,0)="","(بدون نام)",VLOOKUP($E111,AcctTblE,4,0)),"کد ناشناخته")))</f>
        <v/>
      </c>
      <c r="G111" s="15" t="n"/>
      <c r="H111" s="16">
        <f>IF(OR($C111&lt;&gt;"دستمزد گروهی",$D111=""),"",SUMIFS(ShareAmt,ShareLink,$D111))</f>
        <v/>
      </c>
      <c r="I111" s="17">
        <f>IF($C111&lt;&gt;"دستمزد گروهی","—",IF($H111="","",IF(ROUND($H111-IF($G111="",0,$G111),0)=0,"√","▲ مغایرت "&amp;TEXT(IF($G111="",0,$G111)-$H111,"#,##0"))))</f>
        <v/>
      </c>
      <c r="J111" s="18" t="n"/>
    </row>
    <row r="112">
      <c r="A112" s="19">
        <f>IF($B112="","",COUNTA($B$9:$B112))</f>
        <v/>
      </c>
      <c r="B112" s="11" t="n"/>
      <c r="C112" s="12" t="n"/>
      <c r="D112" s="12" t="n"/>
      <c r="E112" s="13" t="n"/>
      <c r="F112" s="20">
        <f>IF($E112="","",IF($C112="دستمزد گروهی",IFERROR(VLOOKUP($E112,WGTbl,2,0),"کد ناشناخته"),IFERROR(IF(VLOOKUP($E112,AcctTblE,4,0)="","(بدون نام)",VLOOKUP($E112,AcctTblE,4,0)),"کد ناشناخته")))</f>
        <v/>
      </c>
      <c r="G112" s="15" t="n"/>
      <c r="H112" s="21">
        <f>IF(OR($C112&lt;&gt;"دستمزد گروهی",$D112=""),"",SUMIFS(ShareAmt,ShareLink,$D112))</f>
        <v/>
      </c>
      <c r="I112" s="22">
        <f>IF($C112&lt;&gt;"دستمزد گروهی","—",IF($H112="","",IF(ROUND($H112-IF($G112="",0,$G112),0)=0,"√","▲ مغایرت "&amp;TEXT(IF($G112="",0,$G112)-$H112,"#,##0"))))</f>
        <v/>
      </c>
      <c r="J112" s="18" t="n"/>
    </row>
    <row r="113">
      <c r="A113" s="10">
        <f>IF($B113="","",COUNTA($B$9:$B113))</f>
        <v/>
      </c>
      <c r="B113" s="11" t="n"/>
      <c r="C113" s="12" t="n"/>
      <c r="D113" s="12" t="n"/>
      <c r="E113" s="13" t="n"/>
      <c r="F113" s="14">
        <f>IF($E113="","",IF($C113="دستمزد گروهی",IFERROR(VLOOKUP($E113,WGTbl,2,0),"کد ناشناخته"),IFERROR(IF(VLOOKUP($E113,AcctTblE,4,0)="","(بدون نام)",VLOOKUP($E113,AcctTblE,4,0)),"کد ناشناخته")))</f>
        <v/>
      </c>
      <c r="G113" s="15" t="n"/>
      <c r="H113" s="16">
        <f>IF(OR($C113&lt;&gt;"دستمزد گروهی",$D113=""),"",SUMIFS(ShareAmt,ShareLink,$D113))</f>
        <v/>
      </c>
      <c r="I113" s="17">
        <f>IF($C113&lt;&gt;"دستمزد گروهی","—",IF($H113="","",IF(ROUND($H113-IF($G113="",0,$G113),0)=0,"√","▲ مغایرت "&amp;TEXT(IF($G113="",0,$G113)-$H113,"#,##0"))))</f>
        <v/>
      </c>
      <c r="J113" s="18" t="n"/>
    </row>
    <row r="114">
      <c r="A114" s="19">
        <f>IF($B114="","",COUNTA($B$9:$B114))</f>
        <v/>
      </c>
      <c r="B114" s="11" t="n"/>
      <c r="C114" s="12" t="n"/>
      <c r="D114" s="12" t="n"/>
      <c r="E114" s="13" t="n"/>
      <c r="F114" s="20">
        <f>IF($E114="","",IF($C114="دستمزد گروهی",IFERROR(VLOOKUP($E114,WGTbl,2,0),"کد ناشناخته"),IFERROR(IF(VLOOKUP($E114,AcctTblE,4,0)="","(بدون نام)",VLOOKUP($E114,AcctTblE,4,0)),"کد ناشناخته")))</f>
        <v/>
      </c>
      <c r="G114" s="15" t="n"/>
      <c r="H114" s="21">
        <f>IF(OR($C114&lt;&gt;"دستمزد گروهی",$D114=""),"",SUMIFS(ShareAmt,ShareLink,$D114))</f>
        <v/>
      </c>
      <c r="I114" s="22">
        <f>IF($C114&lt;&gt;"دستمزد گروهی","—",IF($H114="","",IF(ROUND($H114-IF($G114="",0,$G114),0)=0,"√","▲ مغایرت "&amp;TEXT(IF($G114="",0,$G114)-$H114,"#,##0"))))</f>
        <v/>
      </c>
      <c r="J114" s="18" t="n"/>
    </row>
    <row r="115">
      <c r="A115" s="10">
        <f>IF($B115="","",COUNTA($B$9:$B115))</f>
        <v/>
      </c>
      <c r="B115" s="11" t="n"/>
      <c r="C115" s="12" t="n"/>
      <c r="D115" s="12" t="n"/>
      <c r="E115" s="13" t="n"/>
      <c r="F115" s="14">
        <f>IF($E115="","",IF($C115="دستمزد گروهی",IFERROR(VLOOKUP($E115,WGTbl,2,0),"کد ناشناخته"),IFERROR(IF(VLOOKUP($E115,AcctTblE,4,0)="","(بدون نام)",VLOOKUP($E115,AcctTblE,4,0)),"کد ناشناخته")))</f>
        <v/>
      </c>
      <c r="G115" s="15" t="n"/>
      <c r="H115" s="16">
        <f>IF(OR($C115&lt;&gt;"دستمزد گروهی",$D115=""),"",SUMIFS(ShareAmt,ShareLink,$D115))</f>
        <v/>
      </c>
      <c r="I115" s="17">
        <f>IF($C115&lt;&gt;"دستمزد گروهی","—",IF($H115="","",IF(ROUND($H115-IF($G115="",0,$G115),0)=0,"√","▲ مغایرت "&amp;TEXT(IF($G115="",0,$G115)-$H115,"#,##0"))))</f>
        <v/>
      </c>
      <c r="J115" s="18" t="n"/>
    </row>
    <row r="116">
      <c r="A116" s="19">
        <f>IF($B116="","",COUNTA($B$9:$B116))</f>
        <v/>
      </c>
      <c r="B116" s="11" t="n"/>
      <c r="C116" s="12" t="n"/>
      <c r="D116" s="12" t="n"/>
      <c r="E116" s="13" t="n"/>
      <c r="F116" s="20">
        <f>IF($E116="","",IF($C116="دستمزد گروهی",IFERROR(VLOOKUP($E116,WGTbl,2,0),"کد ناشناخته"),IFERROR(IF(VLOOKUP($E116,AcctTblE,4,0)="","(بدون نام)",VLOOKUP($E116,AcctTblE,4,0)),"کد ناشناخته")))</f>
        <v/>
      </c>
      <c r="G116" s="15" t="n"/>
      <c r="H116" s="21">
        <f>IF(OR($C116&lt;&gt;"دستمزد گروهی",$D116=""),"",SUMIFS(ShareAmt,ShareLink,$D116))</f>
        <v/>
      </c>
      <c r="I116" s="22">
        <f>IF($C116&lt;&gt;"دستمزد گروهی","—",IF($H116="","",IF(ROUND($H116-IF($G116="",0,$G116),0)=0,"√","▲ مغایرت "&amp;TEXT(IF($G116="",0,$G116)-$H116,"#,##0"))))</f>
        <v/>
      </c>
      <c r="J116" s="18" t="n"/>
    </row>
    <row r="117">
      <c r="A117" s="10">
        <f>IF($B117="","",COUNTA($B$9:$B117))</f>
        <v/>
      </c>
      <c r="B117" s="11" t="n"/>
      <c r="C117" s="12" t="n"/>
      <c r="D117" s="12" t="n"/>
      <c r="E117" s="13" t="n"/>
      <c r="F117" s="14">
        <f>IF($E117="","",IF($C117="دستمزد گروهی",IFERROR(VLOOKUP($E117,WGTbl,2,0),"کد ناشناخته"),IFERROR(IF(VLOOKUP($E117,AcctTblE,4,0)="","(بدون نام)",VLOOKUP($E117,AcctTblE,4,0)),"کد ناشناخته")))</f>
        <v/>
      </c>
      <c r="G117" s="15" t="n"/>
      <c r="H117" s="16">
        <f>IF(OR($C117&lt;&gt;"دستمزد گروهی",$D117=""),"",SUMIFS(ShareAmt,ShareLink,$D117))</f>
        <v/>
      </c>
      <c r="I117" s="17">
        <f>IF($C117&lt;&gt;"دستمزد گروهی","—",IF($H117="","",IF(ROUND($H117-IF($G117="",0,$G117),0)=0,"√","▲ مغایرت "&amp;TEXT(IF($G117="",0,$G117)-$H117,"#,##0"))))</f>
        <v/>
      </c>
      <c r="J117" s="18" t="n"/>
    </row>
    <row r="118">
      <c r="A118" s="19">
        <f>IF($B118="","",COUNTA($B$9:$B118))</f>
        <v/>
      </c>
      <c r="B118" s="11" t="n"/>
      <c r="C118" s="12" t="n"/>
      <c r="D118" s="12" t="n"/>
      <c r="E118" s="13" t="n"/>
      <c r="F118" s="20">
        <f>IF($E118="","",IF($C118="دستمزد گروهی",IFERROR(VLOOKUP($E118,WGTbl,2,0),"کد ناشناخته"),IFERROR(IF(VLOOKUP($E118,AcctTblE,4,0)="","(بدون نام)",VLOOKUP($E118,AcctTblE,4,0)),"کد ناشناخته")))</f>
        <v/>
      </c>
      <c r="G118" s="15" t="n"/>
      <c r="H118" s="21">
        <f>IF(OR($C118&lt;&gt;"دستمزد گروهی",$D118=""),"",SUMIFS(ShareAmt,ShareLink,$D118))</f>
        <v/>
      </c>
      <c r="I118" s="22">
        <f>IF($C118&lt;&gt;"دستمزد گروهی","—",IF($H118="","",IF(ROUND($H118-IF($G118="",0,$G118),0)=0,"√","▲ مغایرت "&amp;TEXT(IF($G118="",0,$G118)-$H118,"#,##0"))))</f>
        <v/>
      </c>
      <c r="J118" s="18" t="n"/>
    </row>
    <row r="119">
      <c r="A119" s="10">
        <f>IF($B119="","",COUNTA($B$9:$B119))</f>
        <v/>
      </c>
      <c r="B119" s="11" t="n"/>
      <c r="C119" s="12" t="n"/>
      <c r="D119" s="12" t="n"/>
      <c r="E119" s="13" t="n"/>
      <c r="F119" s="14">
        <f>IF($E119="","",IF($C119="دستمزد گروهی",IFERROR(VLOOKUP($E119,WGTbl,2,0),"کد ناشناخته"),IFERROR(IF(VLOOKUP($E119,AcctTblE,4,0)="","(بدون نام)",VLOOKUP($E119,AcctTblE,4,0)),"کد ناشناخته")))</f>
        <v/>
      </c>
      <c r="G119" s="15" t="n"/>
      <c r="H119" s="16">
        <f>IF(OR($C119&lt;&gt;"دستمزد گروهی",$D119=""),"",SUMIFS(ShareAmt,ShareLink,$D119))</f>
        <v/>
      </c>
      <c r="I119" s="17">
        <f>IF($C119&lt;&gt;"دستمزد گروهی","—",IF($H119="","",IF(ROUND($H119-IF($G119="",0,$G119),0)=0,"√","▲ مغایرت "&amp;TEXT(IF($G119="",0,$G119)-$H119,"#,##0"))))</f>
        <v/>
      </c>
      <c r="J119" s="18" t="n"/>
    </row>
    <row r="120">
      <c r="A120" s="19">
        <f>IF($B120="","",COUNTA($B$9:$B120))</f>
        <v/>
      </c>
      <c r="B120" s="11" t="n"/>
      <c r="C120" s="12" t="n"/>
      <c r="D120" s="12" t="n"/>
      <c r="E120" s="13" t="n"/>
      <c r="F120" s="20">
        <f>IF($E120="","",IF($C120="دستمزد گروهی",IFERROR(VLOOKUP($E120,WGTbl,2,0),"کد ناشناخته"),IFERROR(IF(VLOOKUP($E120,AcctTblE,4,0)="","(بدون نام)",VLOOKUP($E120,AcctTblE,4,0)),"کد ناشناخته")))</f>
        <v/>
      </c>
      <c r="G120" s="15" t="n"/>
      <c r="H120" s="21">
        <f>IF(OR($C120&lt;&gt;"دستمزد گروهی",$D120=""),"",SUMIFS(ShareAmt,ShareLink,$D120))</f>
        <v/>
      </c>
      <c r="I120" s="22">
        <f>IF($C120&lt;&gt;"دستمزد گروهی","—",IF($H120="","",IF(ROUND($H120-IF($G120="",0,$G120),0)=0,"√","▲ مغایرت "&amp;TEXT(IF($G120="",0,$G120)-$H120,"#,##0"))))</f>
        <v/>
      </c>
      <c r="J120" s="18" t="n"/>
    </row>
    <row r="121">
      <c r="A121" s="10">
        <f>IF($B121="","",COUNTA($B$9:$B121))</f>
        <v/>
      </c>
      <c r="B121" s="11" t="n"/>
      <c r="C121" s="12" t="n"/>
      <c r="D121" s="12" t="n"/>
      <c r="E121" s="13" t="n"/>
      <c r="F121" s="14">
        <f>IF($E121="","",IF($C121="دستمزد گروهی",IFERROR(VLOOKUP($E121,WGTbl,2,0),"کد ناشناخته"),IFERROR(IF(VLOOKUP($E121,AcctTblE,4,0)="","(بدون نام)",VLOOKUP($E121,AcctTblE,4,0)),"کد ناشناخته")))</f>
        <v/>
      </c>
      <c r="G121" s="15" t="n"/>
      <c r="H121" s="16">
        <f>IF(OR($C121&lt;&gt;"دستمزد گروهی",$D121=""),"",SUMIFS(ShareAmt,ShareLink,$D121))</f>
        <v/>
      </c>
      <c r="I121" s="17">
        <f>IF($C121&lt;&gt;"دستمزد گروهی","—",IF($H121="","",IF(ROUND($H121-IF($G121="",0,$G121),0)=0,"√","▲ مغایرت "&amp;TEXT(IF($G121="",0,$G121)-$H121,"#,##0"))))</f>
        <v/>
      </c>
      <c r="J121" s="18" t="n"/>
    </row>
    <row r="122">
      <c r="A122" s="19">
        <f>IF($B122="","",COUNTA($B$9:$B122))</f>
        <v/>
      </c>
      <c r="B122" s="11" t="n"/>
      <c r="C122" s="12" t="n"/>
      <c r="D122" s="12" t="n"/>
      <c r="E122" s="13" t="n"/>
      <c r="F122" s="20">
        <f>IF($E122="","",IF($C122="دستمزد گروهی",IFERROR(VLOOKUP($E122,WGTbl,2,0),"کد ناشناخته"),IFERROR(IF(VLOOKUP($E122,AcctTblE,4,0)="","(بدون نام)",VLOOKUP($E122,AcctTblE,4,0)),"کد ناشناخته")))</f>
        <v/>
      </c>
      <c r="G122" s="15" t="n"/>
      <c r="H122" s="21">
        <f>IF(OR($C122&lt;&gt;"دستمزد گروهی",$D122=""),"",SUMIFS(ShareAmt,ShareLink,$D122))</f>
        <v/>
      </c>
      <c r="I122" s="22">
        <f>IF($C122&lt;&gt;"دستمزد گروهی","—",IF($H122="","",IF(ROUND($H122-IF($G122="",0,$G122),0)=0,"√","▲ مغایرت "&amp;TEXT(IF($G122="",0,$G122)-$H122,"#,##0"))))</f>
        <v/>
      </c>
      <c r="J122" s="18" t="n"/>
    </row>
    <row r="123">
      <c r="A123" s="10">
        <f>IF($B123="","",COUNTA($B$9:$B123))</f>
        <v/>
      </c>
      <c r="B123" s="11" t="n"/>
      <c r="C123" s="12" t="n"/>
      <c r="D123" s="12" t="n"/>
      <c r="E123" s="13" t="n"/>
      <c r="F123" s="14">
        <f>IF($E123="","",IF($C123="دستمزد گروهی",IFERROR(VLOOKUP($E123,WGTbl,2,0),"کد ناشناخته"),IFERROR(IF(VLOOKUP($E123,AcctTblE,4,0)="","(بدون نام)",VLOOKUP($E123,AcctTblE,4,0)),"کد ناشناخته")))</f>
        <v/>
      </c>
      <c r="G123" s="15" t="n"/>
      <c r="H123" s="16">
        <f>IF(OR($C123&lt;&gt;"دستمزد گروهی",$D123=""),"",SUMIFS(ShareAmt,ShareLink,$D123))</f>
        <v/>
      </c>
      <c r="I123" s="17">
        <f>IF($C123&lt;&gt;"دستمزد گروهی","—",IF($H123="","",IF(ROUND($H123-IF($G123="",0,$G123),0)=0,"√","▲ مغایرت "&amp;TEXT(IF($G123="",0,$G123)-$H123,"#,##0"))))</f>
        <v/>
      </c>
      <c r="J123" s="18" t="n"/>
    </row>
    <row r="124">
      <c r="A124" s="19">
        <f>IF($B124="","",COUNTA($B$9:$B124))</f>
        <v/>
      </c>
      <c r="B124" s="11" t="n"/>
      <c r="C124" s="12" t="n"/>
      <c r="D124" s="12" t="n"/>
      <c r="E124" s="13" t="n"/>
      <c r="F124" s="20">
        <f>IF($E124="","",IF($C124="دستمزد گروهی",IFERROR(VLOOKUP($E124,WGTbl,2,0),"کد ناشناخته"),IFERROR(IF(VLOOKUP($E124,AcctTblE,4,0)="","(بدون نام)",VLOOKUP($E124,AcctTblE,4,0)),"کد ناشناخته")))</f>
        <v/>
      </c>
      <c r="G124" s="15" t="n"/>
      <c r="H124" s="21">
        <f>IF(OR($C124&lt;&gt;"دستمزد گروهی",$D124=""),"",SUMIFS(ShareAmt,ShareLink,$D124))</f>
        <v/>
      </c>
      <c r="I124" s="22">
        <f>IF($C124&lt;&gt;"دستمزد گروهی","—",IF($H124="","",IF(ROUND($H124-IF($G124="",0,$G124),0)=0,"√","▲ مغایرت "&amp;TEXT(IF($G124="",0,$G124)-$H124,"#,##0"))))</f>
        <v/>
      </c>
      <c r="J124" s="18" t="n"/>
    </row>
    <row r="125">
      <c r="A125" s="10">
        <f>IF($B125="","",COUNTA($B$9:$B125))</f>
        <v/>
      </c>
      <c r="B125" s="11" t="n"/>
      <c r="C125" s="12" t="n"/>
      <c r="D125" s="12" t="n"/>
      <c r="E125" s="13" t="n"/>
      <c r="F125" s="14">
        <f>IF($E125="","",IF($C125="دستمزد گروهی",IFERROR(VLOOKUP($E125,WGTbl,2,0),"کد ناشناخته"),IFERROR(IF(VLOOKUP($E125,AcctTblE,4,0)="","(بدون نام)",VLOOKUP($E125,AcctTblE,4,0)),"کد ناشناخته")))</f>
        <v/>
      </c>
      <c r="G125" s="15" t="n"/>
      <c r="H125" s="16">
        <f>IF(OR($C125&lt;&gt;"دستمزد گروهی",$D125=""),"",SUMIFS(ShareAmt,ShareLink,$D125))</f>
        <v/>
      </c>
      <c r="I125" s="17">
        <f>IF($C125&lt;&gt;"دستمزد گروهی","—",IF($H125="","",IF(ROUND($H125-IF($G125="",0,$G125),0)=0,"√","▲ مغایرت "&amp;TEXT(IF($G125="",0,$G125)-$H125,"#,##0"))))</f>
        <v/>
      </c>
      <c r="J125" s="18" t="n"/>
    </row>
    <row r="126">
      <c r="A126" s="19">
        <f>IF($B126="","",COUNTA($B$9:$B126))</f>
        <v/>
      </c>
      <c r="B126" s="11" t="n"/>
      <c r="C126" s="12" t="n"/>
      <c r="D126" s="12" t="n"/>
      <c r="E126" s="13" t="n"/>
      <c r="F126" s="20">
        <f>IF($E126="","",IF($C126="دستمزد گروهی",IFERROR(VLOOKUP($E126,WGTbl,2,0),"کد ناشناخته"),IFERROR(IF(VLOOKUP($E126,AcctTblE,4,0)="","(بدون نام)",VLOOKUP($E126,AcctTblE,4,0)),"کد ناشناخته")))</f>
        <v/>
      </c>
      <c r="G126" s="15" t="n"/>
      <c r="H126" s="21">
        <f>IF(OR($C126&lt;&gt;"دستمزد گروهی",$D126=""),"",SUMIFS(ShareAmt,ShareLink,$D126))</f>
        <v/>
      </c>
      <c r="I126" s="22">
        <f>IF($C126&lt;&gt;"دستمزد گروهی","—",IF($H126="","",IF(ROUND($H126-IF($G126="",0,$G126),0)=0,"√","▲ مغایرت "&amp;TEXT(IF($G126="",0,$G126)-$H126,"#,##0"))))</f>
        <v/>
      </c>
      <c r="J126" s="18" t="n"/>
    </row>
    <row r="127">
      <c r="A127" s="10">
        <f>IF($B127="","",COUNTA($B$9:$B127))</f>
        <v/>
      </c>
      <c r="B127" s="11" t="n"/>
      <c r="C127" s="12" t="n"/>
      <c r="D127" s="12" t="n"/>
      <c r="E127" s="13" t="n"/>
      <c r="F127" s="14">
        <f>IF($E127="","",IF($C127="دستمزد گروهی",IFERROR(VLOOKUP($E127,WGTbl,2,0),"کد ناشناخته"),IFERROR(IF(VLOOKUP($E127,AcctTblE,4,0)="","(بدون نام)",VLOOKUP($E127,AcctTblE,4,0)),"کد ناشناخته")))</f>
        <v/>
      </c>
      <c r="G127" s="15" t="n"/>
      <c r="H127" s="16">
        <f>IF(OR($C127&lt;&gt;"دستمزد گروهی",$D127=""),"",SUMIFS(ShareAmt,ShareLink,$D127))</f>
        <v/>
      </c>
      <c r="I127" s="17">
        <f>IF($C127&lt;&gt;"دستمزد گروهی","—",IF($H127="","",IF(ROUND($H127-IF($G127="",0,$G127),0)=0,"√","▲ مغایرت "&amp;TEXT(IF($G127="",0,$G127)-$H127,"#,##0"))))</f>
        <v/>
      </c>
      <c r="J127" s="18" t="n"/>
    </row>
    <row r="128">
      <c r="A128" s="19">
        <f>IF($B128="","",COUNTA($B$9:$B128))</f>
        <v/>
      </c>
      <c r="B128" s="11" t="n"/>
      <c r="C128" s="12" t="n"/>
      <c r="D128" s="12" t="n"/>
      <c r="E128" s="13" t="n"/>
      <c r="F128" s="20">
        <f>IF($E128="","",IF($C128="دستمزد گروهی",IFERROR(VLOOKUP($E128,WGTbl,2,0),"کد ناشناخته"),IFERROR(IF(VLOOKUP($E128,AcctTblE,4,0)="","(بدون نام)",VLOOKUP($E128,AcctTblE,4,0)),"کد ناشناخته")))</f>
        <v/>
      </c>
      <c r="G128" s="15" t="n"/>
      <c r="H128" s="21">
        <f>IF(OR($C128&lt;&gt;"دستمزد گروهی",$D128=""),"",SUMIFS(ShareAmt,ShareLink,$D128))</f>
        <v/>
      </c>
      <c r="I128" s="22">
        <f>IF($C128&lt;&gt;"دستمزد گروهی","—",IF($H128="","",IF(ROUND($H128-IF($G128="",0,$G128),0)=0,"√","▲ مغایرت "&amp;TEXT(IF($G128="",0,$G128)-$H128,"#,##0"))))</f>
        <v/>
      </c>
      <c r="J128" s="18" t="n"/>
    </row>
    <row r="129">
      <c r="A129" s="10">
        <f>IF($B129="","",COUNTA($B$9:$B129))</f>
        <v/>
      </c>
      <c r="B129" s="11" t="n"/>
      <c r="C129" s="12" t="n"/>
      <c r="D129" s="12" t="n"/>
      <c r="E129" s="13" t="n"/>
      <c r="F129" s="14">
        <f>IF($E129="","",IF($C129="دستمزد گروهی",IFERROR(VLOOKUP($E129,WGTbl,2,0),"کد ناشناخته"),IFERROR(IF(VLOOKUP($E129,AcctTblE,4,0)="","(بدون نام)",VLOOKUP($E129,AcctTblE,4,0)),"کد ناشناخته")))</f>
        <v/>
      </c>
      <c r="G129" s="15" t="n"/>
      <c r="H129" s="16">
        <f>IF(OR($C129&lt;&gt;"دستمزد گروهی",$D129=""),"",SUMIFS(ShareAmt,ShareLink,$D129))</f>
        <v/>
      </c>
      <c r="I129" s="17">
        <f>IF($C129&lt;&gt;"دستمزد گروهی","—",IF($H129="","",IF(ROUND($H129-IF($G129="",0,$G129),0)=0,"√","▲ مغایرت "&amp;TEXT(IF($G129="",0,$G129)-$H129,"#,##0"))))</f>
        <v/>
      </c>
      <c r="J129" s="18" t="n"/>
    </row>
    <row r="130">
      <c r="A130" s="19">
        <f>IF($B130="","",COUNTA($B$9:$B130))</f>
        <v/>
      </c>
      <c r="B130" s="11" t="n"/>
      <c r="C130" s="12" t="n"/>
      <c r="D130" s="12" t="n"/>
      <c r="E130" s="13" t="n"/>
      <c r="F130" s="20">
        <f>IF($E130="","",IF($C130="دستمزد گروهی",IFERROR(VLOOKUP($E130,WGTbl,2,0),"کد ناشناخته"),IFERROR(IF(VLOOKUP($E130,AcctTblE,4,0)="","(بدون نام)",VLOOKUP($E130,AcctTblE,4,0)),"کد ناشناخته")))</f>
        <v/>
      </c>
      <c r="G130" s="15" t="n"/>
      <c r="H130" s="21">
        <f>IF(OR($C130&lt;&gt;"دستمزد گروهی",$D130=""),"",SUMIFS(ShareAmt,ShareLink,$D130))</f>
        <v/>
      </c>
      <c r="I130" s="22">
        <f>IF($C130&lt;&gt;"دستمزد گروهی","—",IF($H130="","",IF(ROUND($H130-IF($G130="",0,$G130),0)=0,"√","▲ مغایرت "&amp;TEXT(IF($G130="",0,$G130)-$H130,"#,##0"))))</f>
        <v/>
      </c>
      <c r="J130" s="18" t="n"/>
    </row>
    <row r="131">
      <c r="A131" s="10">
        <f>IF($B131="","",COUNTA($B$9:$B131))</f>
        <v/>
      </c>
      <c r="B131" s="11" t="n"/>
      <c r="C131" s="12" t="n"/>
      <c r="D131" s="12" t="n"/>
      <c r="E131" s="13" t="n"/>
      <c r="F131" s="14">
        <f>IF($E131="","",IF($C131="دستمزد گروهی",IFERROR(VLOOKUP($E131,WGTbl,2,0),"کد ناشناخته"),IFERROR(IF(VLOOKUP($E131,AcctTblE,4,0)="","(بدون نام)",VLOOKUP($E131,AcctTblE,4,0)),"کد ناشناخته")))</f>
        <v/>
      </c>
      <c r="G131" s="15" t="n"/>
      <c r="H131" s="16">
        <f>IF(OR($C131&lt;&gt;"دستمزد گروهی",$D131=""),"",SUMIFS(ShareAmt,ShareLink,$D131))</f>
        <v/>
      </c>
      <c r="I131" s="17">
        <f>IF($C131&lt;&gt;"دستمزد گروهی","—",IF($H131="","",IF(ROUND($H131-IF($G131="",0,$G131),0)=0,"√","▲ مغایرت "&amp;TEXT(IF($G131="",0,$G131)-$H131,"#,##0"))))</f>
        <v/>
      </c>
      <c r="J131" s="18" t="n"/>
    </row>
    <row r="132">
      <c r="A132" s="19">
        <f>IF($B132="","",COUNTA($B$9:$B132))</f>
        <v/>
      </c>
      <c r="B132" s="11" t="n"/>
      <c r="C132" s="12" t="n"/>
      <c r="D132" s="12" t="n"/>
      <c r="E132" s="13" t="n"/>
      <c r="F132" s="20">
        <f>IF($E132="","",IF($C132="دستمزد گروهی",IFERROR(VLOOKUP($E132,WGTbl,2,0),"کد ناشناخته"),IFERROR(IF(VLOOKUP($E132,AcctTblE,4,0)="","(بدون نام)",VLOOKUP($E132,AcctTblE,4,0)),"کد ناشناخته")))</f>
        <v/>
      </c>
      <c r="G132" s="15" t="n"/>
      <c r="H132" s="21">
        <f>IF(OR($C132&lt;&gt;"دستمزد گروهی",$D132=""),"",SUMIFS(ShareAmt,ShareLink,$D132))</f>
        <v/>
      </c>
      <c r="I132" s="22">
        <f>IF($C132&lt;&gt;"دستمزد گروهی","—",IF($H132="","",IF(ROUND($H132-IF($G132="",0,$G132),0)=0,"√","▲ مغایرت "&amp;TEXT(IF($G132="",0,$G132)-$H132,"#,##0"))))</f>
        <v/>
      </c>
      <c r="J132" s="18" t="n"/>
    </row>
    <row r="133">
      <c r="A133" s="10">
        <f>IF($B133="","",COUNTA($B$9:$B133))</f>
        <v/>
      </c>
      <c r="B133" s="11" t="n"/>
      <c r="C133" s="12" t="n"/>
      <c r="D133" s="12" t="n"/>
      <c r="E133" s="13" t="n"/>
      <c r="F133" s="14">
        <f>IF($E133="","",IF($C133="دستمزد گروهی",IFERROR(VLOOKUP($E133,WGTbl,2,0),"کد ناشناخته"),IFERROR(IF(VLOOKUP($E133,AcctTblE,4,0)="","(بدون نام)",VLOOKUP($E133,AcctTblE,4,0)),"کد ناشناخته")))</f>
        <v/>
      </c>
      <c r="G133" s="15" t="n"/>
      <c r="H133" s="16">
        <f>IF(OR($C133&lt;&gt;"دستمزد گروهی",$D133=""),"",SUMIFS(ShareAmt,ShareLink,$D133))</f>
        <v/>
      </c>
      <c r="I133" s="17">
        <f>IF($C133&lt;&gt;"دستمزد گروهی","—",IF($H133="","",IF(ROUND($H133-IF($G133="",0,$G133),0)=0,"√","▲ مغایرت "&amp;TEXT(IF($G133="",0,$G133)-$H133,"#,##0"))))</f>
        <v/>
      </c>
      <c r="J133" s="18" t="n"/>
    </row>
    <row r="134">
      <c r="A134" s="19">
        <f>IF($B134="","",COUNTA($B$9:$B134))</f>
        <v/>
      </c>
      <c r="B134" s="11" t="n"/>
      <c r="C134" s="12" t="n"/>
      <c r="D134" s="12" t="n"/>
      <c r="E134" s="13" t="n"/>
      <c r="F134" s="20">
        <f>IF($E134="","",IF($C134="دستمزد گروهی",IFERROR(VLOOKUP($E134,WGTbl,2,0),"کد ناشناخته"),IFERROR(IF(VLOOKUP($E134,AcctTblE,4,0)="","(بدون نام)",VLOOKUP($E134,AcctTblE,4,0)),"کد ناشناخته")))</f>
        <v/>
      </c>
      <c r="G134" s="15" t="n"/>
      <c r="H134" s="21">
        <f>IF(OR($C134&lt;&gt;"دستمزد گروهی",$D134=""),"",SUMIFS(ShareAmt,ShareLink,$D134))</f>
        <v/>
      </c>
      <c r="I134" s="22">
        <f>IF($C134&lt;&gt;"دستمزد گروهی","—",IF($H134="","",IF(ROUND($H134-IF($G134="",0,$G134),0)=0,"√","▲ مغایرت "&amp;TEXT(IF($G134="",0,$G134)-$H134,"#,##0"))))</f>
        <v/>
      </c>
      <c r="J134" s="18" t="n"/>
    </row>
    <row r="135">
      <c r="A135" s="10">
        <f>IF($B135="","",COUNTA($B$9:$B135))</f>
        <v/>
      </c>
      <c r="B135" s="11" t="n"/>
      <c r="C135" s="12" t="n"/>
      <c r="D135" s="12" t="n"/>
      <c r="E135" s="13" t="n"/>
      <c r="F135" s="14">
        <f>IF($E135="","",IF($C135="دستمزد گروهی",IFERROR(VLOOKUP($E135,WGTbl,2,0),"کد ناشناخته"),IFERROR(IF(VLOOKUP($E135,AcctTblE,4,0)="","(بدون نام)",VLOOKUP($E135,AcctTblE,4,0)),"کد ناشناخته")))</f>
        <v/>
      </c>
      <c r="G135" s="15" t="n"/>
      <c r="H135" s="16">
        <f>IF(OR($C135&lt;&gt;"دستمزد گروهی",$D135=""),"",SUMIFS(ShareAmt,ShareLink,$D135))</f>
        <v/>
      </c>
      <c r="I135" s="17">
        <f>IF($C135&lt;&gt;"دستمزد گروهی","—",IF($H135="","",IF(ROUND($H135-IF($G135="",0,$G135),0)=0,"√","▲ مغایرت "&amp;TEXT(IF($G135="",0,$G135)-$H135,"#,##0"))))</f>
        <v/>
      </c>
      <c r="J135" s="18" t="n"/>
    </row>
    <row r="136">
      <c r="A136" s="19">
        <f>IF($B136="","",COUNTA($B$9:$B136))</f>
        <v/>
      </c>
      <c r="B136" s="11" t="n"/>
      <c r="C136" s="12" t="n"/>
      <c r="D136" s="12" t="n"/>
      <c r="E136" s="13" t="n"/>
      <c r="F136" s="20">
        <f>IF($E136="","",IF($C136="دستمزد گروهی",IFERROR(VLOOKUP($E136,WGTbl,2,0),"کد ناشناخته"),IFERROR(IF(VLOOKUP($E136,AcctTblE,4,0)="","(بدون نام)",VLOOKUP($E136,AcctTblE,4,0)),"کد ناشناخته")))</f>
        <v/>
      </c>
      <c r="G136" s="15" t="n"/>
      <c r="H136" s="21">
        <f>IF(OR($C136&lt;&gt;"دستمزد گروهی",$D136=""),"",SUMIFS(ShareAmt,ShareLink,$D136))</f>
        <v/>
      </c>
      <c r="I136" s="22">
        <f>IF($C136&lt;&gt;"دستمزد گروهی","—",IF($H136="","",IF(ROUND($H136-IF($G136="",0,$G136),0)=0,"√","▲ مغایرت "&amp;TEXT(IF($G136="",0,$G136)-$H136,"#,##0"))))</f>
        <v/>
      </c>
      <c r="J136" s="18" t="n"/>
    </row>
    <row r="137">
      <c r="A137" s="10">
        <f>IF($B137="","",COUNTA($B$9:$B137))</f>
        <v/>
      </c>
      <c r="B137" s="11" t="n"/>
      <c r="C137" s="12" t="n"/>
      <c r="D137" s="12" t="n"/>
      <c r="E137" s="13" t="n"/>
      <c r="F137" s="14">
        <f>IF($E137="","",IF($C137="دستمزد گروهی",IFERROR(VLOOKUP($E137,WGTbl,2,0),"کد ناشناخته"),IFERROR(IF(VLOOKUP($E137,AcctTblE,4,0)="","(بدون نام)",VLOOKUP($E137,AcctTblE,4,0)),"کد ناشناخته")))</f>
        <v/>
      </c>
      <c r="G137" s="15" t="n"/>
      <c r="H137" s="16">
        <f>IF(OR($C137&lt;&gt;"دستمزد گروهی",$D137=""),"",SUMIFS(ShareAmt,ShareLink,$D137))</f>
        <v/>
      </c>
      <c r="I137" s="17">
        <f>IF($C137&lt;&gt;"دستمزد گروهی","—",IF($H137="","",IF(ROUND($H137-IF($G137="",0,$G137),0)=0,"√","▲ مغایرت "&amp;TEXT(IF($G137="",0,$G137)-$H137,"#,##0"))))</f>
        <v/>
      </c>
      <c r="J137" s="18" t="n"/>
    </row>
    <row r="138">
      <c r="A138" s="19">
        <f>IF($B138="","",COUNTA($B$9:$B138))</f>
        <v/>
      </c>
      <c r="B138" s="11" t="n"/>
      <c r="C138" s="12" t="n"/>
      <c r="D138" s="12" t="n"/>
      <c r="E138" s="13" t="n"/>
      <c r="F138" s="20">
        <f>IF($E138="","",IF($C138="دستمزد گروهی",IFERROR(VLOOKUP($E138,WGTbl,2,0),"کد ناشناخته"),IFERROR(IF(VLOOKUP($E138,AcctTblE,4,0)="","(بدون نام)",VLOOKUP($E138,AcctTblE,4,0)),"کد ناشناخته")))</f>
        <v/>
      </c>
      <c r="G138" s="15" t="n"/>
      <c r="H138" s="21">
        <f>IF(OR($C138&lt;&gt;"دستمزد گروهی",$D138=""),"",SUMIFS(ShareAmt,ShareLink,$D138))</f>
        <v/>
      </c>
      <c r="I138" s="22">
        <f>IF($C138&lt;&gt;"دستمزد گروهی","—",IF($H138="","",IF(ROUND($H138-IF($G138="",0,$G138),0)=0,"√","▲ مغایرت "&amp;TEXT(IF($G138="",0,$G138)-$H138,"#,##0"))))</f>
        <v/>
      </c>
      <c r="J138" s="18" t="n"/>
    </row>
    <row r="139">
      <c r="A139" s="10">
        <f>IF($B139="","",COUNTA($B$9:$B139))</f>
        <v/>
      </c>
      <c r="B139" s="11" t="n"/>
      <c r="C139" s="12" t="n"/>
      <c r="D139" s="12" t="n"/>
      <c r="E139" s="13" t="n"/>
      <c r="F139" s="14">
        <f>IF($E139="","",IF($C139="دستمزد گروهی",IFERROR(VLOOKUP($E139,WGTbl,2,0),"کد ناشناخته"),IFERROR(IF(VLOOKUP($E139,AcctTblE,4,0)="","(بدون نام)",VLOOKUP($E139,AcctTblE,4,0)),"کد ناشناخته")))</f>
        <v/>
      </c>
      <c r="G139" s="15" t="n"/>
      <c r="H139" s="16">
        <f>IF(OR($C139&lt;&gt;"دستمزد گروهی",$D139=""),"",SUMIFS(ShareAmt,ShareLink,$D139))</f>
        <v/>
      </c>
      <c r="I139" s="17">
        <f>IF($C139&lt;&gt;"دستمزد گروهی","—",IF($H139="","",IF(ROUND($H139-IF($G139="",0,$G139),0)=0,"√","▲ مغایرت "&amp;TEXT(IF($G139="",0,$G139)-$H139,"#,##0"))))</f>
        <v/>
      </c>
      <c r="J139" s="18" t="n"/>
    </row>
    <row r="140">
      <c r="A140" s="19">
        <f>IF($B140="","",COUNTA($B$9:$B140))</f>
        <v/>
      </c>
      <c r="B140" s="11" t="n"/>
      <c r="C140" s="12" t="n"/>
      <c r="D140" s="12" t="n"/>
      <c r="E140" s="13" t="n"/>
      <c r="F140" s="20">
        <f>IF($E140="","",IF($C140="دستمزد گروهی",IFERROR(VLOOKUP($E140,WGTbl,2,0),"کد ناشناخته"),IFERROR(IF(VLOOKUP($E140,AcctTblE,4,0)="","(بدون نام)",VLOOKUP($E140,AcctTblE,4,0)),"کد ناشناخته")))</f>
        <v/>
      </c>
      <c r="G140" s="15" t="n"/>
      <c r="H140" s="21">
        <f>IF(OR($C140&lt;&gt;"دستمزد گروهی",$D140=""),"",SUMIFS(ShareAmt,ShareLink,$D140))</f>
        <v/>
      </c>
      <c r="I140" s="22">
        <f>IF($C140&lt;&gt;"دستمزد گروهی","—",IF($H140="","",IF(ROUND($H140-IF($G140="",0,$G140),0)=0,"√","▲ مغایرت "&amp;TEXT(IF($G140="",0,$G140)-$H140,"#,##0"))))</f>
        <v/>
      </c>
      <c r="J140" s="18" t="n"/>
    </row>
    <row r="141">
      <c r="A141" s="10">
        <f>IF($B141="","",COUNTA($B$9:$B141))</f>
        <v/>
      </c>
      <c r="B141" s="11" t="n"/>
      <c r="C141" s="12" t="n"/>
      <c r="D141" s="12" t="n"/>
      <c r="E141" s="13" t="n"/>
      <c r="F141" s="14">
        <f>IF($E141="","",IF($C141="دستمزد گروهی",IFERROR(VLOOKUP($E141,WGTbl,2,0),"کد ناشناخته"),IFERROR(IF(VLOOKUP($E141,AcctTblE,4,0)="","(بدون نام)",VLOOKUP($E141,AcctTblE,4,0)),"کد ناشناخته")))</f>
        <v/>
      </c>
      <c r="G141" s="15" t="n"/>
      <c r="H141" s="16">
        <f>IF(OR($C141&lt;&gt;"دستمزد گروهی",$D141=""),"",SUMIFS(ShareAmt,ShareLink,$D141))</f>
        <v/>
      </c>
      <c r="I141" s="17">
        <f>IF($C141&lt;&gt;"دستمزد گروهی","—",IF($H141="","",IF(ROUND($H141-IF($G141="",0,$G141),0)=0,"√","▲ مغایرت "&amp;TEXT(IF($G141="",0,$G141)-$H141,"#,##0"))))</f>
        <v/>
      </c>
      <c r="J141" s="18" t="n"/>
    </row>
    <row r="142">
      <c r="A142" s="19">
        <f>IF($B142="","",COUNTA($B$9:$B142))</f>
        <v/>
      </c>
      <c r="B142" s="11" t="n"/>
      <c r="C142" s="12" t="n"/>
      <c r="D142" s="12" t="n"/>
      <c r="E142" s="13" t="n"/>
      <c r="F142" s="20">
        <f>IF($E142="","",IF($C142="دستمزد گروهی",IFERROR(VLOOKUP($E142,WGTbl,2,0),"کد ناشناخته"),IFERROR(IF(VLOOKUP($E142,AcctTblE,4,0)="","(بدون نام)",VLOOKUP($E142,AcctTblE,4,0)),"کد ناشناخته")))</f>
        <v/>
      </c>
      <c r="G142" s="15" t="n"/>
      <c r="H142" s="21">
        <f>IF(OR($C142&lt;&gt;"دستمزد گروهی",$D142=""),"",SUMIFS(ShareAmt,ShareLink,$D142))</f>
        <v/>
      </c>
      <c r="I142" s="22">
        <f>IF($C142&lt;&gt;"دستمزد گروهی","—",IF($H142="","",IF(ROUND($H142-IF($G142="",0,$G142),0)=0,"√","▲ مغایرت "&amp;TEXT(IF($G142="",0,$G142)-$H142,"#,##0"))))</f>
        <v/>
      </c>
      <c r="J142" s="18" t="n"/>
    </row>
    <row r="143">
      <c r="A143" s="10">
        <f>IF($B143="","",COUNTA($B$9:$B143))</f>
        <v/>
      </c>
      <c r="B143" s="11" t="n"/>
      <c r="C143" s="12" t="n"/>
      <c r="D143" s="12" t="n"/>
      <c r="E143" s="13" t="n"/>
      <c r="F143" s="14">
        <f>IF($E143="","",IF($C143="دستمزد گروهی",IFERROR(VLOOKUP($E143,WGTbl,2,0),"کد ناشناخته"),IFERROR(IF(VLOOKUP($E143,AcctTblE,4,0)="","(بدون نام)",VLOOKUP($E143,AcctTblE,4,0)),"کد ناشناخته")))</f>
        <v/>
      </c>
      <c r="G143" s="15" t="n"/>
      <c r="H143" s="16">
        <f>IF(OR($C143&lt;&gt;"دستمزد گروهی",$D143=""),"",SUMIFS(ShareAmt,ShareLink,$D143))</f>
        <v/>
      </c>
      <c r="I143" s="17">
        <f>IF($C143&lt;&gt;"دستمزد گروهی","—",IF($H143="","",IF(ROUND($H143-IF($G143="",0,$G143),0)=0,"√","▲ مغایرت "&amp;TEXT(IF($G143="",0,$G143)-$H143,"#,##0"))))</f>
        <v/>
      </c>
      <c r="J143" s="18" t="n"/>
    </row>
    <row r="144">
      <c r="A144" s="19">
        <f>IF($B144="","",COUNTA($B$9:$B144))</f>
        <v/>
      </c>
      <c r="B144" s="11" t="n"/>
      <c r="C144" s="12" t="n"/>
      <c r="D144" s="12" t="n"/>
      <c r="E144" s="13" t="n"/>
      <c r="F144" s="20">
        <f>IF($E144="","",IF($C144="دستمزد گروهی",IFERROR(VLOOKUP($E144,WGTbl,2,0),"کد ناشناخته"),IFERROR(IF(VLOOKUP($E144,AcctTblE,4,0)="","(بدون نام)",VLOOKUP($E144,AcctTblE,4,0)),"کد ناشناخته")))</f>
        <v/>
      </c>
      <c r="G144" s="15" t="n"/>
      <c r="H144" s="21">
        <f>IF(OR($C144&lt;&gt;"دستمزد گروهی",$D144=""),"",SUMIFS(ShareAmt,ShareLink,$D144))</f>
        <v/>
      </c>
      <c r="I144" s="22">
        <f>IF($C144&lt;&gt;"دستمزد گروهی","—",IF($H144="","",IF(ROUND($H144-IF($G144="",0,$G144),0)=0,"√","▲ مغایرت "&amp;TEXT(IF($G144="",0,$G144)-$H144,"#,##0"))))</f>
        <v/>
      </c>
      <c r="J144" s="18" t="n"/>
    </row>
    <row r="145">
      <c r="A145" s="10">
        <f>IF($B145="","",COUNTA($B$9:$B145))</f>
        <v/>
      </c>
      <c r="B145" s="11" t="n"/>
      <c r="C145" s="12" t="n"/>
      <c r="D145" s="12" t="n"/>
      <c r="E145" s="13" t="n"/>
      <c r="F145" s="14">
        <f>IF($E145="","",IF($C145="دستمزد گروهی",IFERROR(VLOOKUP($E145,WGTbl,2,0),"کد ناشناخته"),IFERROR(IF(VLOOKUP($E145,AcctTblE,4,0)="","(بدون نام)",VLOOKUP($E145,AcctTblE,4,0)),"کد ناشناخته")))</f>
        <v/>
      </c>
      <c r="G145" s="15" t="n"/>
      <c r="H145" s="16">
        <f>IF(OR($C145&lt;&gt;"دستمزد گروهی",$D145=""),"",SUMIFS(ShareAmt,ShareLink,$D145))</f>
        <v/>
      </c>
      <c r="I145" s="17">
        <f>IF($C145&lt;&gt;"دستمزد گروهی","—",IF($H145="","",IF(ROUND($H145-IF($G145="",0,$G145),0)=0,"√","▲ مغایرت "&amp;TEXT(IF($G145="",0,$G145)-$H145,"#,##0"))))</f>
        <v/>
      </c>
      <c r="J145" s="18" t="n"/>
    </row>
    <row r="146">
      <c r="A146" s="19">
        <f>IF($B146="","",COUNTA($B$9:$B146))</f>
        <v/>
      </c>
      <c r="B146" s="11" t="n"/>
      <c r="C146" s="12" t="n"/>
      <c r="D146" s="12" t="n"/>
      <c r="E146" s="13" t="n"/>
      <c r="F146" s="20">
        <f>IF($E146="","",IF($C146="دستمزد گروهی",IFERROR(VLOOKUP($E146,WGTbl,2,0),"کد ناشناخته"),IFERROR(IF(VLOOKUP($E146,AcctTblE,4,0)="","(بدون نام)",VLOOKUP($E146,AcctTblE,4,0)),"کد ناشناخته")))</f>
        <v/>
      </c>
      <c r="G146" s="15" t="n"/>
      <c r="H146" s="21">
        <f>IF(OR($C146&lt;&gt;"دستمزد گروهی",$D146=""),"",SUMIFS(ShareAmt,ShareLink,$D146))</f>
        <v/>
      </c>
      <c r="I146" s="22">
        <f>IF($C146&lt;&gt;"دستمزد گروهی","—",IF($H146="","",IF(ROUND($H146-IF($G146="",0,$G146),0)=0,"√","▲ مغایرت "&amp;TEXT(IF($G146="",0,$G146)-$H146,"#,##0"))))</f>
        <v/>
      </c>
      <c r="J146" s="18" t="n"/>
    </row>
    <row r="147">
      <c r="A147" s="10">
        <f>IF($B147="","",COUNTA($B$9:$B147))</f>
        <v/>
      </c>
      <c r="B147" s="11" t="n"/>
      <c r="C147" s="12" t="n"/>
      <c r="D147" s="12" t="n"/>
      <c r="E147" s="13" t="n"/>
      <c r="F147" s="14">
        <f>IF($E147="","",IF($C147="دستمزد گروهی",IFERROR(VLOOKUP($E147,WGTbl,2,0),"کد ناشناخته"),IFERROR(IF(VLOOKUP($E147,AcctTblE,4,0)="","(بدون نام)",VLOOKUP($E147,AcctTblE,4,0)),"کد ناشناخته")))</f>
        <v/>
      </c>
      <c r="G147" s="15" t="n"/>
      <c r="H147" s="16">
        <f>IF(OR($C147&lt;&gt;"دستمزد گروهی",$D147=""),"",SUMIFS(ShareAmt,ShareLink,$D147))</f>
        <v/>
      </c>
      <c r="I147" s="17">
        <f>IF($C147&lt;&gt;"دستمزد گروهی","—",IF($H147="","",IF(ROUND($H147-IF($G147="",0,$G147),0)=0,"√","▲ مغایرت "&amp;TEXT(IF($G147="",0,$G147)-$H147,"#,##0"))))</f>
        <v/>
      </c>
      <c r="J147" s="18" t="n"/>
    </row>
    <row r="148">
      <c r="A148" s="19">
        <f>IF($B148="","",COUNTA($B$9:$B148))</f>
        <v/>
      </c>
      <c r="B148" s="11" t="n"/>
      <c r="C148" s="12" t="n"/>
      <c r="D148" s="12" t="n"/>
      <c r="E148" s="13" t="n"/>
      <c r="F148" s="20">
        <f>IF($E148="","",IF($C148="دستمزد گروهی",IFERROR(VLOOKUP($E148,WGTbl,2,0),"کد ناشناخته"),IFERROR(IF(VLOOKUP($E148,AcctTblE,4,0)="","(بدون نام)",VLOOKUP($E148,AcctTblE,4,0)),"کد ناشناخته")))</f>
        <v/>
      </c>
      <c r="G148" s="15" t="n"/>
      <c r="H148" s="21">
        <f>IF(OR($C148&lt;&gt;"دستمزد گروهی",$D148=""),"",SUMIFS(ShareAmt,ShareLink,$D148))</f>
        <v/>
      </c>
      <c r="I148" s="22">
        <f>IF($C148&lt;&gt;"دستمزد گروهی","—",IF($H148="","",IF(ROUND($H148-IF($G148="",0,$G148),0)=0,"√","▲ مغایرت "&amp;TEXT(IF($G148="",0,$G148)-$H148,"#,##0"))))</f>
        <v/>
      </c>
      <c r="J148" s="18" t="n"/>
    </row>
    <row r="149">
      <c r="A149" s="10">
        <f>IF($B149="","",COUNTA($B$9:$B149))</f>
        <v/>
      </c>
      <c r="B149" s="11" t="n"/>
      <c r="C149" s="12" t="n"/>
      <c r="D149" s="12" t="n"/>
      <c r="E149" s="13" t="n"/>
      <c r="F149" s="14">
        <f>IF($E149="","",IF($C149="دستمزد گروهی",IFERROR(VLOOKUP($E149,WGTbl,2,0),"کد ناشناخته"),IFERROR(IF(VLOOKUP($E149,AcctTblE,4,0)="","(بدون نام)",VLOOKUP($E149,AcctTblE,4,0)),"کد ناشناخته")))</f>
        <v/>
      </c>
      <c r="G149" s="15" t="n"/>
      <c r="H149" s="16">
        <f>IF(OR($C149&lt;&gt;"دستمزد گروهی",$D149=""),"",SUMIFS(ShareAmt,ShareLink,$D149))</f>
        <v/>
      </c>
      <c r="I149" s="17">
        <f>IF($C149&lt;&gt;"دستمزد گروهی","—",IF($H149="","",IF(ROUND($H149-IF($G149="",0,$G149),0)=0,"√","▲ مغایرت "&amp;TEXT(IF($G149="",0,$G149)-$H149,"#,##0"))))</f>
        <v/>
      </c>
      <c r="J149" s="18" t="n"/>
    </row>
    <row r="150">
      <c r="A150" s="19">
        <f>IF($B150="","",COUNTA($B$9:$B150))</f>
        <v/>
      </c>
      <c r="B150" s="11" t="n"/>
      <c r="C150" s="12" t="n"/>
      <c r="D150" s="12" t="n"/>
      <c r="E150" s="13" t="n"/>
      <c r="F150" s="20">
        <f>IF($E150="","",IF($C150="دستمزد گروهی",IFERROR(VLOOKUP($E150,WGTbl,2,0),"کد ناشناخته"),IFERROR(IF(VLOOKUP($E150,AcctTblE,4,0)="","(بدون نام)",VLOOKUP($E150,AcctTblE,4,0)),"کد ناشناخته")))</f>
        <v/>
      </c>
      <c r="G150" s="15" t="n"/>
      <c r="H150" s="21">
        <f>IF(OR($C150&lt;&gt;"دستمزد گروهی",$D150=""),"",SUMIFS(ShareAmt,ShareLink,$D150))</f>
        <v/>
      </c>
      <c r="I150" s="22">
        <f>IF($C150&lt;&gt;"دستمزد گروهی","—",IF($H150="","",IF(ROUND($H150-IF($G150="",0,$G150),0)=0,"√","▲ مغایرت "&amp;TEXT(IF($G150="",0,$G150)-$H150,"#,##0"))))</f>
        <v/>
      </c>
      <c r="J150" s="18" t="n"/>
    </row>
    <row r="151">
      <c r="A151" s="10">
        <f>IF($B151="","",COUNTA($B$9:$B151))</f>
        <v/>
      </c>
      <c r="B151" s="11" t="n"/>
      <c r="C151" s="12" t="n"/>
      <c r="D151" s="12" t="n"/>
      <c r="E151" s="13" t="n"/>
      <c r="F151" s="14">
        <f>IF($E151="","",IF($C151="دستمزد گروهی",IFERROR(VLOOKUP($E151,WGTbl,2,0),"کد ناشناخته"),IFERROR(IF(VLOOKUP($E151,AcctTblE,4,0)="","(بدون نام)",VLOOKUP($E151,AcctTblE,4,0)),"کد ناشناخته")))</f>
        <v/>
      </c>
      <c r="G151" s="15" t="n"/>
      <c r="H151" s="16">
        <f>IF(OR($C151&lt;&gt;"دستمزد گروهی",$D151=""),"",SUMIFS(ShareAmt,ShareLink,$D151))</f>
        <v/>
      </c>
      <c r="I151" s="17">
        <f>IF($C151&lt;&gt;"دستمزد گروهی","—",IF($H151="","",IF(ROUND($H151-IF($G151="",0,$G151),0)=0,"√","▲ مغایرت "&amp;TEXT(IF($G151="",0,$G151)-$H151,"#,##0"))))</f>
        <v/>
      </c>
      <c r="J151" s="18" t="n"/>
    </row>
    <row r="152">
      <c r="A152" s="19">
        <f>IF($B152="","",COUNTA($B$9:$B152))</f>
        <v/>
      </c>
      <c r="B152" s="11" t="n"/>
      <c r="C152" s="12" t="n"/>
      <c r="D152" s="12" t="n"/>
      <c r="E152" s="13" t="n"/>
      <c r="F152" s="20">
        <f>IF($E152="","",IF($C152="دستمزد گروهی",IFERROR(VLOOKUP($E152,WGTbl,2,0),"کد ناشناخته"),IFERROR(IF(VLOOKUP($E152,AcctTblE,4,0)="","(بدون نام)",VLOOKUP($E152,AcctTblE,4,0)),"کد ناشناخته")))</f>
        <v/>
      </c>
      <c r="G152" s="15" t="n"/>
      <c r="H152" s="21">
        <f>IF(OR($C152&lt;&gt;"دستمزد گروهی",$D152=""),"",SUMIFS(ShareAmt,ShareLink,$D152))</f>
        <v/>
      </c>
      <c r="I152" s="22">
        <f>IF($C152&lt;&gt;"دستمزد گروهی","—",IF($H152="","",IF(ROUND($H152-IF($G152="",0,$G152),0)=0,"√","▲ مغایرت "&amp;TEXT(IF($G152="",0,$G152)-$H152,"#,##0"))))</f>
        <v/>
      </c>
      <c r="J152" s="18" t="n"/>
    </row>
    <row r="153">
      <c r="A153" s="10">
        <f>IF($B153="","",COUNTA($B$9:$B153))</f>
        <v/>
      </c>
      <c r="B153" s="11" t="n"/>
      <c r="C153" s="12" t="n"/>
      <c r="D153" s="12" t="n"/>
      <c r="E153" s="13" t="n"/>
      <c r="F153" s="14">
        <f>IF($E153="","",IF($C153="دستمزد گروهی",IFERROR(VLOOKUP($E153,WGTbl,2,0),"کد ناشناخته"),IFERROR(IF(VLOOKUP($E153,AcctTblE,4,0)="","(بدون نام)",VLOOKUP($E153,AcctTblE,4,0)),"کد ناشناخته")))</f>
        <v/>
      </c>
      <c r="G153" s="15" t="n"/>
      <c r="H153" s="16">
        <f>IF(OR($C153&lt;&gt;"دستمزد گروهی",$D153=""),"",SUMIFS(ShareAmt,ShareLink,$D153))</f>
        <v/>
      </c>
      <c r="I153" s="17">
        <f>IF($C153&lt;&gt;"دستمزد گروهی","—",IF($H153="","",IF(ROUND($H153-IF($G153="",0,$G153),0)=0,"√","▲ مغایرت "&amp;TEXT(IF($G153="",0,$G153)-$H153,"#,##0"))))</f>
        <v/>
      </c>
      <c r="J153" s="18" t="n"/>
    </row>
    <row r="154">
      <c r="A154" s="19">
        <f>IF($B154="","",COUNTA($B$9:$B154))</f>
        <v/>
      </c>
      <c r="B154" s="11" t="n"/>
      <c r="C154" s="12" t="n"/>
      <c r="D154" s="12" t="n"/>
      <c r="E154" s="13" t="n"/>
      <c r="F154" s="20">
        <f>IF($E154="","",IF($C154="دستمزد گروهی",IFERROR(VLOOKUP($E154,WGTbl,2,0),"کد ناشناخته"),IFERROR(IF(VLOOKUP($E154,AcctTblE,4,0)="","(بدون نام)",VLOOKUP($E154,AcctTblE,4,0)),"کد ناشناخته")))</f>
        <v/>
      </c>
      <c r="G154" s="15" t="n"/>
      <c r="H154" s="21">
        <f>IF(OR($C154&lt;&gt;"دستمزد گروهی",$D154=""),"",SUMIFS(ShareAmt,ShareLink,$D154))</f>
        <v/>
      </c>
      <c r="I154" s="22">
        <f>IF($C154&lt;&gt;"دستمزد گروهی","—",IF($H154="","",IF(ROUND($H154-IF($G154="",0,$G154),0)=0,"√","▲ مغایرت "&amp;TEXT(IF($G154="",0,$G154)-$H154,"#,##0"))))</f>
        <v/>
      </c>
      <c r="J154" s="18" t="n"/>
    </row>
    <row r="155">
      <c r="A155" s="10">
        <f>IF($B155="","",COUNTA($B$9:$B155))</f>
        <v/>
      </c>
      <c r="B155" s="11" t="n"/>
      <c r="C155" s="12" t="n"/>
      <c r="D155" s="12" t="n"/>
      <c r="E155" s="13" t="n"/>
      <c r="F155" s="14">
        <f>IF($E155="","",IF($C155="دستمزد گروهی",IFERROR(VLOOKUP($E155,WGTbl,2,0),"کد ناشناخته"),IFERROR(IF(VLOOKUP($E155,AcctTblE,4,0)="","(بدون نام)",VLOOKUP($E155,AcctTblE,4,0)),"کد ناشناخته")))</f>
        <v/>
      </c>
      <c r="G155" s="15" t="n"/>
      <c r="H155" s="16">
        <f>IF(OR($C155&lt;&gt;"دستمزد گروهی",$D155=""),"",SUMIFS(ShareAmt,ShareLink,$D155))</f>
        <v/>
      </c>
      <c r="I155" s="17">
        <f>IF($C155&lt;&gt;"دستمزد گروهی","—",IF($H155="","",IF(ROUND($H155-IF($G155="",0,$G155),0)=0,"√","▲ مغایرت "&amp;TEXT(IF($G155="",0,$G155)-$H155,"#,##0"))))</f>
        <v/>
      </c>
      <c r="J155" s="18" t="n"/>
    </row>
    <row r="156">
      <c r="A156" s="19">
        <f>IF($B156="","",COUNTA($B$9:$B156))</f>
        <v/>
      </c>
      <c r="B156" s="11" t="n"/>
      <c r="C156" s="12" t="n"/>
      <c r="D156" s="12" t="n"/>
      <c r="E156" s="13" t="n"/>
      <c r="F156" s="20">
        <f>IF($E156="","",IF($C156="دستمزد گروهی",IFERROR(VLOOKUP($E156,WGTbl,2,0),"کد ناشناخته"),IFERROR(IF(VLOOKUP($E156,AcctTblE,4,0)="","(بدون نام)",VLOOKUP($E156,AcctTblE,4,0)),"کد ناشناخته")))</f>
        <v/>
      </c>
      <c r="G156" s="15" t="n"/>
      <c r="H156" s="21">
        <f>IF(OR($C156&lt;&gt;"دستمزد گروهی",$D156=""),"",SUMIFS(ShareAmt,ShareLink,$D156))</f>
        <v/>
      </c>
      <c r="I156" s="22">
        <f>IF($C156&lt;&gt;"دستمزد گروهی","—",IF($H156="","",IF(ROUND($H156-IF($G156="",0,$G156),0)=0,"√","▲ مغایرت "&amp;TEXT(IF($G156="",0,$G156)-$H156,"#,##0"))))</f>
        <v/>
      </c>
      <c r="J156" s="18" t="n"/>
    </row>
    <row r="157">
      <c r="A157" s="10">
        <f>IF($B157="","",COUNTA($B$9:$B157))</f>
        <v/>
      </c>
      <c r="B157" s="11" t="n"/>
      <c r="C157" s="12" t="n"/>
      <c r="D157" s="12" t="n"/>
      <c r="E157" s="13" t="n"/>
      <c r="F157" s="14">
        <f>IF($E157="","",IF($C157="دستمزد گروهی",IFERROR(VLOOKUP($E157,WGTbl,2,0),"کد ناشناخته"),IFERROR(IF(VLOOKUP($E157,AcctTblE,4,0)="","(بدون نام)",VLOOKUP($E157,AcctTblE,4,0)),"کد ناشناخته")))</f>
        <v/>
      </c>
      <c r="G157" s="15" t="n"/>
      <c r="H157" s="16">
        <f>IF(OR($C157&lt;&gt;"دستمزد گروهی",$D157=""),"",SUMIFS(ShareAmt,ShareLink,$D157))</f>
        <v/>
      </c>
      <c r="I157" s="17">
        <f>IF($C157&lt;&gt;"دستمزد گروهی","—",IF($H157="","",IF(ROUND($H157-IF($G157="",0,$G157),0)=0,"√","▲ مغایرت "&amp;TEXT(IF($G157="",0,$G157)-$H157,"#,##0"))))</f>
        <v/>
      </c>
      <c r="J157" s="18" t="n"/>
    </row>
    <row r="158">
      <c r="A158" s="19">
        <f>IF($B158="","",COUNTA($B$9:$B158))</f>
        <v/>
      </c>
      <c r="B158" s="11" t="n"/>
      <c r="C158" s="12" t="n"/>
      <c r="D158" s="12" t="n"/>
      <c r="E158" s="13" t="n"/>
      <c r="F158" s="20">
        <f>IF($E158="","",IF($C158="دستمزد گروهی",IFERROR(VLOOKUP($E158,WGTbl,2,0),"کد ناشناخته"),IFERROR(IF(VLOOKUP($E158,AcctTblE,4,0)="","(بدون نام)",VLOOKUP($E158,AcctTblE,4,0)),"کد ناشناخته")))</f>
        <v/>
      </c>
      <c r="G158" s="15" t="n"/>
      <c r="H158" s="21">
        <f>IF(OR($C158&lt;&gt;"دستمزد گروهی",$D158=""),"",SUMIFS(ShareAmt,ShareLink,$D158))</f>
        <v/>
      </c>
      <c r="I158" s="22">
        <f>IF($C158&lt;&gt;"دستمزد گروهی","—",IF($H158="","",IF(ROUND($H158-IF($G158="",0,$G158),0)=0,"√","▲ مغایرت "&amp;TEXT(IF($G158="",0,$G158)-$H158,"#,##0"))))</f>
        <v/>
      </c>
      <c r="J158" s="18" t="n"/>
    </row>
    <row r="159">
      <c r="A159" s="10">
        <f>IF($B159="","",COUNTA($B$9:$B159))</f>
        <v/>
      </c>
      <c r="B159" s="11" t="n"/>
      <c r="C159" s="12" t="n"/>
      <c r="D159" s="12" t="n"/>
      <c r="E159" s="13" t="n"/>
      <c r="F159" s="14">
        <f>IF($E159="","",IF($C159="دستمزد گروهی",IFERROR(VLOOKUP($E159,WGTbl,2,0),"کد ناشناخته"),IFERROR(IF(VLOOKUP($E159,AcctTblE,4,0)="","(بدون نام)",VLOOKUP($E159,AcctTblE,4,0)),"کد ناشناخته")))</f>
        <v/>
      </c>
      <c r="G159" s="15" t="n"/>
      <c r="H159" s="16">
        <f>IF(OR($C159&lt;&gt;"دستمزد گروهی",$D159=""),"",SUMIFS(ShareAmt,ShareLink,$D159))</f>
        <v/>
      </c>
      <c r="I159" s="17">
        <f>IF($C159&lt;&gt;"دستمزد گروهی","—",IF($H159="","",IF(ROUND($H159-IF($G159="",0,$G159),0)=0,"√","▲ مغایرت "&amp;TEXT(IF($G159="",0,$G159)-$H159,"#,##0"))))</f>
        <v/>
      </c>
      <c r="J159" s="18" t="n"/>
    </row>
    <row r="160">
      <c r="A160" s="19">
        <f>IF($B160="","",COUNTA($B$9:$B160))</f>
        <v/>
      </c>
      <c r="B160" s="11" t="n"/>
      <c r="C160" s="12" t="n"/>
      <c r="D160" s="12" t="n"/>
      <c r="E160" s="13" t="n"/>
      <c r="F160" s="20">
        <f>IF($E160="","",IF($C160="دستمزد گروهی",IFERROR(VLOOKUP($E160,WGTbl,2,0),"کد ناشناخته"),IFERROR(IF(VLOOKUP($E160,AcctTblE,4,0)="","(بدون نام)",VLOOKUP($E160,AcctTblE,4,0)),"کد ناشناخته")))</f>
        <v/>
      </c>
      <c r="G160" s="15" t="n"/>
      <c r="H160" s="21">
        <f>IF(OR($C160&lt;&gt;"دستمزد گروهی",$D160=""),"",SUMIFS(ShareAmt,ShareLink,$D160))</f>
        <v/>
      </c>
      <c r="I160" s="22">
        <f>IF($C160&lt;&gt;"دستمزد گروهی","—",IF($H160="","",IF(ROUND($H160-IF($G160="",0,$G160),0)=0,"√","▲ مغایرت "&amp;TEXT(IF($G160="",0,$G160)-$H160,"#,##0"))))</f>
        <v/>
      </c>
      <c r="J160" s="18" t="n"/>
    </row>
    <row r="161">
      <c r="A161" s="10">
        <f>IF($B161="","",COUNTA($B$9:$B161))</f>
        <v/>
      </c>
      <c r="B161" s="11" t="n"/>
      <c r="C161" s="12" t="n"/>
      <c r="D161" s="12" t="n"/>
      <c r="E161" s="13" t="n"/>
      <c r="F161" s="14">
        <f>IF($E161="","",IF($C161="دستمزد گروهی",IFERROR(VLOOKUP($E161,WGTbl,2,0),"کد ناشناخته"),IFERROR(IF(VLOOKUP($E161,AcctTblE,4,0)="","(بدون نام)",VLOOKUP($E161,AcctTblE,4,0)),"کد ناشناخته")))</f>
        <v/>
      </c>
      <c r="G161" s="15" t="n"/>
      <c r="H161" s="16">
        <f>IF(OR($C161&lt;&gt;"دستمزد گروهی",$D161=""),"",SUMIFS(ShareAmt,ShareLink,$D161))</f>
        <v/>
      </c>
      <c r="I161" s="17">
        <f>IF($C161&lt;&gt;"دستمزد گروهی","—",IF($H161="","",IF(ROUND($H161-IF($G161="",0,$G161),0)=0,"√","▲ مغایرت "&amp;TEXT(IF($G161="",0,$G161)-$H161,"#,##0"))))</f>
        <v/>
      </c>
      <c r="J161" s="18" t="n"/>
    </row>
    <row r="162">
      <c r="A162" s="19">
        <f>IF($B162="","",COUNTA($B$9:$B162))</f>
        <v/>
      </c>
      <c r="B162" s="11" t="n"/>
      <c r="C162" s="12" t="n"/>
      <c r="D162" s="12" t="n"/>
      <c r="E162" s="13" t="n"/>
      <c r="F162" s="20">
        <f>IF($E162="","",IF($C162="دستمزد گروهی",IFERROR(VLOOKUP($E162,WGTbl,2,0),"کد ناشناخته"),IFERROR(IF(VLOOKUP($E162,AcctTblE,4,0)="","(بدون نام)",VLOOKUP($E162,AcctTblE,4,0)),"کد ناشناخته")))</f>
        <v/>
      </c>
      <c r="G162" s="15" t="n"/>
      <c r="H162" s="21">
        <f>IF(OR($C162&lt;&gt;"دستمزد گروهی",$D162=""),"",SUMIFS(ShareAmt,ShareLink,$D162))</f>
        <v/>
      </c>
      <c r="I162" s="22">
        <f>IF($C162&lt;&gt;"دستمزد گروهی","—",IF($H162="","",IF(ROUND($H162-IF($G162="",0,$G162),0)=0,"√","▲ مغایرت "&amp;TEXT(IF($G162="",0,$G162)-$H162,"#,##0"))))</f>
        <v/>
      </c>
      <c r="J162" s="18" t="n"/>
    </row>
    <row r="163">
      <c r="A163" s="10">
        <f>IF($B163="","",COUNTA($B$9:$B163))</f>
        <v/>
      </c>
      <c r="B163" s="11" t="n"/>
      <c r="C163" s="12" t="n"/>
      <c r="D163" s="12" t="n"/>
      <c r="E163" s="13" t="n"/>
      <c r="F163" s="14">
        <f>IF($E163="","",IF($C163="دستمزد گروهی",IFERROR(VLOOKUP($E163,WGTbl,2,0),"کد ناشناخته"),IFERROR(IF(VLOOKUP($E163,AcctTblE,4,0)="","(بدون نام)",VLOOKUP($E163,AcctTblE,4,0)),"کد ناشناخته")))</f>
        <v/>
      </c>
      <c r="G163" s="15" t="n"/>
      <c r="H163" s="16">
        <f>IF(OR($C163&lt;&gt;"دستمزد گروهی",$D163=""),"",SUMIFS(ShareAmt,ShareLink,$D163))</f>
        <v/>
      </c>
      <c r="I163" s="17">
        <f>IF($C163&lt;&gt;"دستمزد گروهی","—",IF($H163="","",IF(ROUND($H163-IF($G163="",0,$G163),0)=0,"√","▲ مغایرت "&amp;TEXT(IF($G163="",0,$G163)-$H163,"#,##0"))))</f>
        <v/>
      </c>
      <c r="J163" s="18" t="n"/>
    </row>
    <row r="164">
      <c r="A164" s="19">
        <f>IF($B164="","",COUNTA($B$9:$B164))</f>
        <v/>
      </c>
      <c r="B164" s="11" t="n"/>
      <c r="C164" s="12" t="n"/>
      <c r="D164" s="12" t="n"/>
      <c r="E164" s="13" t="n"/>
      <c r="F164" s="20">
        <f>IF($E164="","",IF($C164="دستمزد گروهی",IFERROR(VLOOKUP($E164,WGTbl,2,0),"کد ناشناخته"),IFERROR(IF(VLOOKUP($E164,AcctTblE,4,0)="","(بدون نام)",VLOOKUP($E164,AcctTblE,4,0)),"کد ناشناخته")))</f>
        <v/>
      </c>
      <c r="G164" s="15" t="n"/>
      <c r="H164" s="21">
        <f>IF(OR($C164&lt;&gt;"دستمزد گروهی",$D164=""),"",SUMIFS(ShareAmt,ShareLink,$D164))</f>
        <v/>
      </c>
      <c r="I164" s="22">
        <f>IF($C164&lt;&gt;"دستمزد گروهی","—",IF($H164="","",IF(ROUND($H164-IF($G164="",0,$G164),0)=0,"√","▲ مغایرت "&amp;TEXT(IF($G164="",0,$G164)-$H164,"#,##0"))))</f>
        <v/>
      </c>
      <c r="J164" s="18" t="n"/>
    </row>
    <row r="165">
      <c r="A165" s="10">
        <f>IF($B165="","",COUNTA($B$9:$B165))</f>
        <v/>
      </c>
      <c r="B165" s="11" t="n"/>
      <c r="C165" s="12" t="n"/>
      <c r="D165" s="12" t="n"/>
      <c r="E165" s="13" t="n"/>
      <c r="F165" s="14">
        <f>IF($E165="","",IF($C165="دستمزد گروهی",IFERROR(VLOOKUP($E165,WGTbl,2,0),"کد ناشناخته"),IFERROR(IF(VLOOKUP($E165,AcctTblE,4,0)="","(بدون نام)",VLOOKUP($E165,AcctTblE,4,0)),"کد ناشناخته")))</f>
        <v/>
      </c>
      <c r="G165" s="15" t="n"/>
      <c r="H165" s="16">
        <f>IF(OR($C165&lt;&gt;"دستمزد گروهی",$D165=""),"",SUMIFS(ShareAmt,ShareLink,$D165))</f>
        <v/>
      </c>
      <c r="I165" s="17">
        <f>IF($C165&lt;&gt;"دستمزد گروهی","—",IF($H165="","",IF(ROUND($H165-IF($G165="",0,$G165),0)=0,"√","▲ مغایرت "&amp;TEXT(IF($G165="",0,$G165)-$H165,"#,##0"))))</f>
        <v/>
      </c>
      <c r="J165" s="18" t="n"/>
    </row>
    <row r="166">
      <c r="A166" s="19">
        <f>IF($B166="","",COUNTA($B$9:$B166))</f>
        <v/>
      </c>
      <c r="B166" s="11" t="n"/>
      <c r="C166" s="12" t="n"/>
      <c r="D166" s="12" t="n"/>
      <c r="E166" s="13" t="n"/>
      <c r="F166" s="20">
        <f>IF($E166="","",IF($C166="دستمزد گروهی",IFERROR(VLOOKUP($E166,WGTbl,2,0),"کد ناشناخته"),IFERROR(IF(VLOOKUP($E166,AcctTblE,4,0)="","(بدون نام)",VLOOKUP($E166,AcctTblE,4,0)),"کد ناشناخته")))</f>
        <v/>
      </c>
      <c r="G166" s="15" t="n"/>
      <c r="H166" s="21">
        <f>IF(OR($C166&lt;&gt;"دستمزد گروهی",$D166=""),"",SUMIFS(ShareAmt,ShareLink,$D166))</f>
        <v/>
      </c>
      <c r="I166" s="22">
        <f>IF($C166&lt;&gt;"دستمزد گروهی","—",IF($H166="","",IF(ROUND($H166-IF($G166="",0,$G166),0)=0,"√","▲ مغایرت "&amp;TEXT(IF($G166="",0,$G166)-$H166,"#,##0"))))</f>
        <v/>
      </c>
      <c r="J166" s="18" t="n"/>
    </row>
    <row r="167">
      <c r="A167" s="10">
        <f>IF($B167="","",COUNTA($B$9:$B167))</f>
        <v/>
      </c>
      <c r="B167" s="11" t="n"/>
      <c r="C167" s="12" t="n"/>
      <c r="D167" s="12" t="n"/>
      <c r="E167" s="13" t="n"/>
      <c r="F167" s="14">
        <f>IF($E167="","",IF($C167="دستمزد گروهی",IFERROR(VLOOKUP($E167,WGTbl,2,0),"کد ناشناخته"),IFERROR(IF(VLOOKUP($E167,AcctTblE,4,0)="","(بدون نام)",VLOOKUP($E167,AcctTblE,4,0)),"کد ناشناخته")))</f>
        <v/>
      </c>
      <c r="G167" s="15" t="n"/>
      <c r="H167" s="16">
        <f>IF(OR($C167&lt;&gt;"دستمزد گروهی",$D167=""),"",SUMIFS(ShareAmt,ShareLink,$D167))</f>
        <v/>
      </c>
      <c r="I167" s="17">
        <f>IF($C167&lt;&gt;"دستمزد گروهی","—",IF($H167="","",IF(ROUND($H167-IF($G167="",0,$G167),0)=0,"√","▲ مغایرت "&amp;TEXT(IF($G167="",0,$G167)-$H167,"#,##0"))))</f>
        <v/>
      </c>
      <c r="J167" s="18" t="n"/>
    </row>
    <row r="168">
      <c r="A168" s="19">
        <f>IF($B168="","",COUNTA($B$9:$B168))</f>
        <v/>
      </c>
      <c r="B168" s="11" t="n"/>
      <c r="C168" s="12" t="n"/>
      <c r="D168" s="12" t="n"/>
      <c r="E168" s="13" t="n"/>
      <c r="F168" s="20">
        <f>IF($E168="","",IF($C168="دستمزد گروهی",IFERROR(VLOOKUP($E168,WGTbl,2,0),"کد ناشناخته"),IFERROR(IF(VLOOKUP($E168,AcctTblE,4,0)="","(بدون نام)",VLOOKUP($E168,AcctTblE,4,0)),"کد ناشناخته")))</f>
        <v/>
      </c>
      <c r="G168" s="15" t="n"/>
      <c r="H168" s="21">
        <f>IF(OR($C168&lt;&gt;"دستمزد گروهی",$D168=""),"",SUMIFS(ShareAmt,ShareLink,$D168))</f>
        <v/>
      </c>
      <c r="I168" s="22">
        <f>IF($C168&lt;&gt;"دستمزد گروهی","—",IF($H168="","",IF(ROUND($H168-IF($G168="",0,$G168),0)=0,"√","▲ مغایرت "&amp;TEXT(IF($G168="",0,$G168)-$H168,"#,##0"))))</f>
        <v/>
      </c>
      <c r="J168" s="18" t="n"/>
    </row>
    <row r="169">
      <c r="A169" s="10">
        <f>IF($B169="","",COUNTA($B$9:$B169))</f>
        <v/>
      </c>
      <c r="B169" s="11" t="n"/>
      <c r="C169" s="12" t="n"/>
      <c r="D169" s="12" t="n"/>
      <c r="E169" s="13" t="n"/>
      <c r="F169" s="14">
        <f>IF($E169="","",IF($C169="دستمزد گروهی",IFERROR(VLOOKUP($E169,WGTbl,2,0),"کد ناشناخته"),IFERROR(IF(VLOOKUP($E169,AcctTblE,4,0)="","(بدون نام)",VLOOKUP($E169,AcctTblE,4,0)),"کد ناشناخته")))</f>
        <v/>
      </c>
      <c r="G169" s="15" t="n"/>
      <c r="H169" s="16">
        <f>IF(OR($C169&lt;&gt;"دستمزد گروهی",$D169=""),"",SUMIFS(ShareAmt,ShareLink,$D169))</f>
        <v/>
      </c>
      <c r="I169" s="17">
        <f>IF($C169&lt;&gt;"دستمزد گروهی","—",IF($H169="","",IF(ROUND($H169-IF($G169="",0,$G169),0)=0,"√","▲ مغایرت "&amp;TEXT(IF($G169="",0,$G169)-$H169,"#,##0"))))</f>
        <v/>
      </c>
      <c r="J169" s="18" t="n"/>
    </row>
    <row r="170">
      <c r="A170" s="19">
        <f>IF($B170="","",COUNTA($B$9:$B170))</f>
        <v/>
      </c>
      <c r="B170" s="11" t="n"/>
      <c r="C170" s="12" t="n"/>
      <c r="D170" s="12" t="n"/>
      <c r="E170" s="13" t="n"/>
      <c r="F170" s="20">
        <f>IF($E170="","",IF($C170="دستمزد گروهی",IFERROR(VLOOKUP($E170,WGTbl,2,0),"کد ناشناخته"),IFERROR(IF(VLOOKUP($E170,AcctTblE,4,0)="","(بدون نام)",VLOOKUP($E170,AcctTblE,4,0)),"کد ناشناخته")))</f>
        <v/>
      </c>
      <c r="G170" s="15" t="n"/>
      <c r="H170" s="21">
        <f>IF(OR($C170&lt;&gt;"دستمزد گروهی",$D170=""),"",SUMIFS(ShareAmt,ShareLink,$D170))</f>
        <v/>
      </c>
      <c r="I170" s="22">
        <f>IF($C170&lt;&gt;"دستمزد گروهی","—",IF($H170="","",IF(ROUND($H170-IF($G170="",0,$G170),0)=0,"√","▲ مغایرت "&amp;TEXT(IF($G170="",0,$G170)-$H170,"#,##0"))))</f>
        <v/>
      </c>
      <c r="J170" s="18" t="n"/>
    </row>
    <row r="171">
      <c r="A171" s="10">
        <f>IF($B171="","",COUNTA($B$9:$B171))</f>
        <v/>
      </c>
      <c r="B171" s="11" t="n"/>
      <c r="C171" s="12" t="n"/>
      <c r="D171" s="12" t="n"/>
      <c r="E171" s="13" t="n"/>
      <c r="F171" s="14">
        <f>IF($E171="","",IF($C171="دستمزد گروهی",IFERROR(VLOOKUP($E171,WGTbl,2,0),"کد ناشناخته"),IFERROR(IF(VLOOKUP($E171,AcctTblE,4,0)="","(بدون نام)",VLOOKUP($E171,AcctTblE,4,0)),"کد ناشناخته")))</f>
        <v/>
      </c>
      <c r="G171" s="15" t="n"/>
      <c r="H171" s="16">
        <f>IF(OR($C171&lt;&gt;"دستمزد گروهی",$D171=""),"",SUMIFS(ShareAmt,ShareLink,$D171))</f>
        <v/>
      </c>
      <c r="I171" s="17">
        <f>IF($C171&lt;&gt;"دستمزد گروهی","—",IF($H171="","",IF(ROUND($H171-IF($G171="",0,$G171),0)=0,"√","▲ مغایرت "&amp;TEXT(IF($G171="",0,$G171)-$H171,"#,##0"))))</f>
        <v/>
      </c>
      <c r="J171" s="18" t="n"/>
    </row>
    <row r="172">
      <c r="A172" s="19">
        <f>IF($B172="","",COUNTA($B$9:$B172))</f>
        <v/>
      </c>
      <c r="B172" s="11" t="n"/>
      <c r="C172" s="12" t="n"/>
      <c r="D172" s="12" t="n"/>
      <c r="E172" s="13" t="n"/>
      <c r="F172" s="20">
        <f>IF($E172="","",IF($C172="دستمزد گروهی",IFERROR(VLOOKUP($E172,WGTbl,2,0),"کد ناشناخته"),IFERROR(IF(VLOOKUP($E172,AcctTblE,4,0)="","(بدون نام)",VLOOKUP($E172,AcctTblE,4,0)),"کد ناشناخته")))</f>
        <v/>
      </c>
      <c r="G172" s="15" t="n"/>
      <c r="H172" s="21">
        <f>IF(OR($C172&lt;&gt;"دستمزد گروهی",$D172=""),"",SUMIFS(ShareAmt,ShareLink,$D172))</f>
        <v/>
      </c>
      <c r="I172" s="22">
        <f>IF($C172&lt;&gt;"دستمزد گروهی","—",IF($H172="","",IF(ROUND($H172-IF($G172="",0,$G172),0)=0,"√","▲ مغایرت "&amp;TEXT(IF($G172="",0,$G172)-$H172,"#,##0"))))</f>
        <v/>
      </c>
      <c r="J172" s="18" t="n"/>
    </row>
    <row r="173">
      <c r="A173" s="10">
        <f>IF($B173="","",COUNTA($B$9:$B173))</f>
        <v/>
      </c>
      <c r="B173" s="11" t="n"/>
      <c r="C173" s="12" t="n"/>
      <c r="D173" s="12" t="n"/>
      <c r="E173" s="13" t="n"/>
      <c r="F173" s="14">
        <f>IF($E173="","",IF($C173="دستمزد گروهی",IFERROR(VLOOKUP($E173,WGTbl,2,0),"کد ناشناخته"),IFERROR(IF(VLOOKUP($E173,AcctTblE,4,0)="","(بدون نام)",VLOOKUP($E173,AcctTblE,4,0)),"کد ناشناخته")))</f>
        <v/>
      </c>
      <c r="G173" s="15" t="n"/>
      <c r="H173" s="16">
        <f>IF(OR($C173&lt;&gt;"دستمزد گروهی",$D173=""),"",SUMIFS(ShareAmt,ShareLink,$D173))</f>
        <v/>
      </c>
      <c r="I173" s="17">
        <f>IF($C173&lt;&gt;"دستمزد گروهی","—",IF($H173="","",IF(ROUND($H173-IF($G173="",0,$G173),0)=0,"√","▲ مغایرت "&amp;TEXT(IF($G173="",0,$G173)-$H173,"#,##0"))))</f>
        <v/>
      </c>
      <c r="J173" s="18" t="n"/>
    </row>
    <row r="174">
      <c r="A174" s="19">
        <f>IF($B174="","",COUNTA($B$9:$B174))</f>
        <v/>
      </c>
      <c r="B174" s="11" t="n"/>
      <c r="C174" s="12" t="n"/>
      <c r="D174" s="12" t="n"/>
      <c r="E174" s="13" t="n"/>
      <c r="F174" s="20">
        <f>IF($E174="","",IF($C174="دستمزد گروهی",IFERROR(VLOOKUP($E174,WGTbl,2,0),"کد ناشناخته"),IFERROR(IF(VLOOKUP($E174,AcctTblE,4,0)="","(بدون نام)",VLOOKUP($E174,AcctTblE,4,0)),"کد ناشناخته")))</f>
        <v/>
      </c>
      <c r="G174" s="15" t="n"/>
      <c r="H174" s="21">
        <f>IF(OR($C174&lt;&gt;"دستمزد گروهی",$D174=""),"",SUMIFS(ShareAmt,ShareLink,$D174))</f>
        <v/>
      </c>
      <c r="I174" s="22">
        <f>IF($C174&lt;&gt;"دستمزد گروهی","—",IF($H174="","",IF(ROUND($H174-IF($G174="",0,$G174),0)=0,"√","▲ مغایرت "&amp;TEXT(IF($G174="",0,$G174)-$H174,"#,##0"))))</f>
        <v/>
      </c>
      <c r="J174" s="18" t="n"/>
    </row>
    <row r="175">
      <c r="A175" s="10">
        <f>IF($B175="","",COUNTA($B$9:$B175))</f>
        <v/>
      </c>
      <c r="B175" s="11" t="n"/>
      <c r="C175" s="12" t="n"/>
      <c r="D175" s="12" t="n"/>
      <c r="E175" s="13" t="n"/>
      <c r="F175" s="14">
        <f>IF($E175="","",IF($C175="دستمزد گروهی",IFERROR(VLOOKUP($E175,WGTbl,2,0),"کد ناشناخته"),IFERROR(IF(VLOOKUP($E175,AcctTblE,4,0)="","(بدون نام)",VLOOKUP($E175,AcctTblE,4,0)),"کد ناشناخته")))</f>
        <v/>
      </c>
      <c r="G175" s="15" t="n"/>
      <c r="H175" s="16">
        <f>IF(OR($C175&lt;&gt;"دستمزد گروهی",$D175=""),"",SUMIFS(ShareAmt,ShareLink,$D175))</f>
        <v/>
      </c>
      <c r="I175" s="17">
        <f>IF($C175&lt;&gt;"دستمزد گروهی","—",IF($H175="","",IF(ROUND($H175-IF($G175="",0,$G175),0)=0,"√","▲ مغایرت "&amp;TEXT(IF($G175="",0,$G175)-$H175,"#,##0"))))</f>
        <v/>
      </c>
      <c r="J175" s="18" t="n"/>
    </row>
    <row r="176">
      <c r="A176" s="19">
        <f>IF($B176="","",COUNTA($B$9:$B176))</f>
        <v/>
      </c>
      <c r="B176" s="11" t="n"/>
      <c r="C176" s="12" t="n"/>
      <c r="D176" s="12" t="n"/>
      <c r="E176" s="13" t="n"/>
      <c r="F176" s="20">
        <f>IF($E176="","",IF($C176="دستمزد گروهی",IFERROR(VLOOKUP($E176,WGTbl,2,0),"کد ناشناخته"),IFERROR(IF(VLOOKUP($E176,AcctTblE,4,0)="","(بدون نام)",VLOOKUP($E176,AcctTblE,4,0)),"کد ناشناخته")))</f>
        <v/>
      </c>
      <c r="G176" s="15" t="n"/>
      <c r="H176" s="21">
        <f>IF(OR($C176&lt;&gt;"دستمزد گروهی",$D176=""),"",SUMIFS(ShareAmt,ShareLink,$D176))</f>
        <v/>
      </c>
      <c r="I176" s="22">
        <f>IF($C176&lt;&gt;"دستمزد گروهی","—",IF($H176="","",IF(ROUND($H176-IF($G176="",0,$G176),0)=0,"√","▲ مغایرت "&amp;TEXT(IF($G176="",0,$G176)-$H176,"#,##0"))))</f>
        <v/>
      </c>
      <c r="J176" s="18" t="n"/>
    </row>
    <row r="177">
      <c r="A177" s="10">
        <f>IF($B177="","",COUNTA($B$9:$B177))</f>
        <v/>
      </c>
      <c r="B177" s="11" t="n"/>
      <c r="C177" s="12" t="n"/>
      <c r="D177" s="12" t="n"/>
      <c r="E177" s="13" t="n"/>
      <c r="F177" s="14">
        <f>IF($E177="","",IF($C177="دستمزد گروهی",IFERROR(VLOOKUP($E177,WGTbl,2,0),"کد ناشناخته"),IFERROR(IF(VLOOKUP($E177,AcctTblE,4,0)="","(بدون نام)",VLOOKUP($E177,AcctTblE,4,0)),"کد ناشناخته")))</f>
        <v/>
      </c>
      <c r="G177" s="15" t="n"/>
      <c r="H177" s="16">
        <f>IF(OR($C177&lt;&gt;"دستمزد گروهی",$D177=""),"",SUMIFS(ShareAmt,ShareLink,$D177))</f>
        <v/>
      </c>
      <c r="I177" s="17">
        <f>IF($C177&lt;&gt;"دستمزد گروهی","—",IF($H177="","",IF(ROUND($H177-IF($G177="",0,$G177),0)=0,"√","▲ مغایرت "&amp;TEXT(IF($G177="",0,$G177)-$H177,"#,##0"))))</f>
        <v/>
      </c>
      <c r="J177" s="18" t="n"/>
    </row>
    <row r="178">
      <c r="A178" s="19">
        <f>IF($B178="","",COUNTA($B$9:$B178))</f>
        <v/>
      </c>
      <c r="B178" s="11" t="n"/>
      <c r="C178" s="12" t="n"/>
      <c r="D178" s="12" t="n"/>
      <c r="E178" s="13" t="n"/>
      <c r="F178" s="20">
        <f>IF($E178="","",IF($C178="دستمزد گروهی",IFERROR(VLOOKUP($E178,WGTbl,2,0),"کد ناشناخته"),IFERROR(IF(VLOOKUP($E178,AcctTblE,4,0)="","(بدون نام)",VLOOKUP($E178,AcctTblE,4,0)),"کد ناشناخته")))</f>
        <v/>
      </c>
      <c r="G178" s="15" t="n"/>
      <c r="H178" s="21">
        <f>IF(OR($C178&lt;&gt;"دستمزد گروهی",$D178=""),"",SUMIFS(ShareAmt,ShareLink,$D178))</f>
        <v/>
      </c>
      <c r="I178" s="22">
        <f>IF($C178&lt;&gt;"دستمزد گروهی","—",IF($H178="","",IF(ROUND($H178-IF($G178="",0,$G178),0)=0,"√","▲ مغایرت "&amp;TEXT(IF($G178="",0,$G178)-$H178,"#,##0"))))</f>
        <v/>
      </c>
      <c r="J178" s="18" t="n"/>
    </row>
    <row r="179">
      <c r="A179" s="10">
        <f>IF($B179="","",COUNTA($B$9:$B179))</f>
        <v/>
      </c>
      <c r="B179" s="11" t="n"/>
      <c r="C179" s="12" t="n"/>
      <c r="D179" s="12" t="n"/>
      <c r="E179" s="13" t="n"/>
      <c r="F179" s="14">
        <f>IF($E179="","",IF($C179="دستمزد گروهی",IFERROR(VLOOKUP($E179,WGTbl,2,0),"کد ناشناخته"),IFERROR(IF(VLOOKUP($E179,AcctTblE,4,0)="","(بدون نام)",VLOOKUP($E179,AcctTblE,4,0)),"کد ناشناخته")))</f>
        <v/>
      </c>
      <c r="G179" s="15" t="n"/>
      <c r="H179" s="16">
        <f>IF(OR($C179&lt;&gt;"دستمزد گروهی",$D179=""),"",SUMIFS(ShareAmt,ShareLink,$D179))</f>
        <v/>
      </c>
      <c r="I179" s="17">
        <f>IF($C179&lt;&gt;"دستمزد گروهی","—",IF($H179="","",IF(ROUND($H179-IF($G179="",0,$G179),0)=0,"√","▲ مغایرت "&amp;TEXT(IF($G179="",0,$G179)-$H179,"#,##0"))))</f>
        <v/>
      </c>
      <c r="J179" s="18" t="n"/>
    </row>
    <row r="180">
      <c r="A180" s="19">
        <f>IF($B180="","",COUNTA($B$9:$B180))</f>
        <v/>
      </c>
      <c r="B180" s="11" t="n"/>
      <c r="C180" s="12" t="n"/>
      <c r="D180" s="12" t="n"/>
      <c r="E180" s="13" t="n"/>
      <c r="F180" s="20">
        <f>IF($E180="","",IF($C180="دستمزد گروهی",IFERROR(VLOOKUP($E180,WGTbl,2,0),"کد ناشناخته"),IFERROR(IF(VLOOKUP($E180,AcctTblE,4,0)="","(بدون نام)",VLOOKUP($E180,AcctTblE,4,0)),"کد ناشناخته")))</f>
        <v/>
      </c>
      <c r="G180" s="15" t="n"/>
      <c r="H180" s="21">
        <f>IF(OR($C180&lt;&gt;"دستمزد گروهی",$D180=""),"",SUMIFS(ShareAmt,ShareLink,$D180))</f>
        <v/>
      </c>
      <c r="I180" s="22">
        <f>IF($C180&lt;&gt;"دستمزد گروهی","—",IF($H180="","",IF(ROUND($H180-IF($G180="",0,$G180),0)=0,"√","▲ مغایرت "&amp;TEXT(IF($G180="",0,$G180)-$H180,"#,##0"))))</f>
        <v/>
      </c>
      <c r="J180" s="18" t="n"/>
    </row>
    <row r="181">
      <c r="A181" s="10">
        <f>IF($B181="","",COUNTA($B$9:$B181))</f>
        <v/>
      </c>
      <c r="B181" s="11" t="n"/>
      <c r="C181" s="12" t="n"/>
      <c r="D181" s="12" t="n"/>
      <c r="E181" s="13" t="n"/>
      <c r="F181" s="14">
        <f>IF($E181="","",IF($C181="دستمزد گروهی",IFERROR(VLOOKUP($E181,WGTbl,2,0),"کد ناشناخته"),IFERROR(IF(VLOOKUP($E181,AcctTblE,4,0)="","(بدون نام)",VLOOKUP($E181,AcctTblE,4,0)),"کد ناشناخته")))</f>
        <v/>
      </c>
      <c r="G181" s="15" t="n"/>
      <c r="H181" s="16">
        <f>IF(OR($C181&lt;&gt;"دستمزد گروهی",$D181=""),"",SUMIFS(ShareAmt,ShareLink,$D181))</f>
        <v/>
      </c>
      <c r="I181" s="17">
        <f>IF($C181&lt;&gt;"دستمزد گروهی","—",IF($H181="","",IF(ROUND($H181-IF($G181="",0,$G181),0)=0,"√","▲ مغایرت "&amp;TEXT(IF($G181="",0,$G181)-$H181,"#,##0"))))</f>
        <v/>
      </c>
      <c r="J181" s="18" t="n"/>
    </row>
    <row r="182">
      <c r="A182" s="19">
        <f>IF($B182="","",COUNTA($B$9:$B182))</f>
        <v/>
      </c>
      <c r="B182" s="11" t="n"/>
      <c r="C182" s="12" t="n"/>
      <c r="D182" s="12" t="n"/>
      <c r="E182" s="13" t="n"/>
      <c r="F182" s="20">
        <f>IF($E182="","",IF($C182="دستمزد گروهی",IFERROR(VLOOKUP($E182,WGTbl,2,0),"کد ناشناخته"),IFERROR(IF(VLOOKUP($E182,AcctTblE,4,0)="","(بدون نام)",VLOOKUP($E182,AcctTblE,4,0)),"کد ناشناخته")))</f>
        <v/>
      </c>
      <c r="G182" s="15" t="n"/>
      <c r="H182" s="21">
        <f>IF(OR($C182&lt;&gt;"دستمزد گروهی",$D182=""),"",SUMIFS(ShareAmt,ShareLink,$D182))</f>
        <v/>
      </c>
      <c r="I182" s="22">
        <f>IF($C182&lt;&gt;"دستمزد گروهی","—",IF($H182="","",IF(ROUND($H182-IF($G182="",0,$G182),0)=0,"√","▲ مغایرت "&amp;TEXT(IF($G182="",0,$G182)-$H182,"#,##0"))))</f>
        <v/>
      </c>
      <c r="J182" s="18" t="n"/>
    </row>
    <row r="183">
      <c r="A183" s="10">
        <f>IF($B183="","",COUNTA($B$9:$B183))</f>
        <v/>
      </c>
      <c r="B183" s="11" t="n"/>
      <c r="C183" s="12" t="n"/>
      <c r="D183" s="12" t="n"/>
      <c r="E183" s="13" t="n"/>
      <c r="F183" s="14">
        <f>IF($E183="","",IF($C183="دستمزد گروهی",IFERROR(VLOOKUP($E183,WGTbl,2,0),"کد ناشناخته"),IFERROR(IF(VLOOKUP($E183,AcctTblE,4,0)="","(بدون نام)",VLOOKUP($E183,AcctTblE,4,0)),"کد ناشناخته")))</f>
        <v/>
      </c>
      <c r="G183" s="15" t="n"/>
      <c r="H183" s="16">
        <f>IF(OR($C183&lt;&gt;"دستمزد گروهی",$D183=""),"",SUMIFS(ShareAmt,ShareLink,$D183))</f>
        <v/>
      </c>
      <c r="I183" s="17">
        <f>IF($C183&lt;&gt;"دستمزد گروهی","—",IF($H183="","",IF(ROUND($H183-IF($G183="",0,$G183),0)=0,"√","▲ مغایرت "&amp;TEXT(IF($G183="",0,$G183)-$H183,"#,##0"))))</f>
        <v/>
      </c>
      <c r="J183" s="18" t="n"/>
    </row>
    <row r="184">
      <c r="A184" s="19">
        <f>IF($B184="","",COUNTA($B$9:$B184))</f>
        <v/>
      </c>
      <c r="B184" s="11" t="n"/>
      <c r="C184" s="12" t="n"/>
      <c r="D184" s="12" t="n"/>
      <c r="E184" s="13" t="n"/>
      <c r="F184" s="20">
        <f>IF($E184="","",IF($C184="دستمزد گروهی",IFERROR(VLOOKUP($E184,WGTbl,2,0),"کد ناشناخته"),IFERROR(IF(VLOOKUP($E184,AcctTblE,4,0)="","(بدون نام)",VLOOKUP($E184,AcctTblE,4,0)),"کد ناشناخته")))</f>
        <v/>
      </c>
      <c r="G184" s="15" t="n"/>
      <c r="H184" s="21">
        <f>IF(OR($C184&lt;&gt;"دستمزد گروهی",$D184=""),"",SUMIFS(ShareAmt,ShareLink,$D184))</f>
        <v/>
      </c>
      <c r="I184" s="22">
        <f>IF($C184&lt;&gt;"دستمزد گروهی","—",IF($H184="","",IF(ROUND($H184-IF($G184="",0,$G184),0)=0,"√","▲ مغایرت "&amp;TEXT(IF($G184="",0,$G184)-$H184,"#,##0"))))</f>
        <v/>
      </c>
      <c r="J184" s="18" t="n"/>
    </row>
    <row r="185">
      <c r="A185" s="10">
        <f>IF($B185="","",COUNTA($B$9:$B185))</f>
        <v/>
      </c>
      <c r="B185" s="11" t="n"/>
      <c r="C185" s="12" t="n"/>
      <c r="D185" s="12" t="n"/>
      <c r="E185" s="13" t="n"/>
      <c r="F185" s="14">
        <f>IF($E185="","",IF($C185="دستمزد گروهی",IFERROR(VLOOKUP($E185,WGTbl,2,0),"کد ناشناخته"),IFERROR(IF(VLOOKUP($E185,AcctTblE,4,0)="","(بدون نام)",VLOOKUP($E185,AcctTblE,4,0)),"کد ناشناخته")))</f>
        <v/>
      </c>
      <c r="G185" s="15" t="n"/>
      <c r="H185" s="16">
        <f>IF(OR($C185&lt;&gt;"دستمزد گروهی",$D185=""),"",SUMIFS(ShareAmt,ShareLink,$D185))</f>
        <v/>
      </c>
      <c r="I185" s="17">
        <f>IF($C185&lt;&gt;"دستمزد گروهی","—",IF($H185="","",IF(ROUND($H185-IF($G185="",0,$G185),0)=0,"√","▲ مغایرت "&amp;TEXT(IF($G185="",0,$G185)-$H185,"#,##0"))))</f>
        <v/>
      </c>
      <c r="J185" s="18" t="n"/>
    </row>
    <row r="186">
      <c r="A186" s="19">
        <f>IF($B186="","",COUNTA($B$9:$B186))</f>
        <v/>
      </c>
      <c r="B186" s="11" t="n"/>
      <c r="C186" s="12" t="n"/>
      <c r="D186" s="12" t="n"/>
      <c r="E186" s="13" t="n"/>
      <c r="F186" s="20">
        <f>IF($E186="","",IF($C186="دستمزد گروهی",IFERROR(VLOOKUP($E186,WGTbl,2,0),"کد ناشناخته"),IFERROR(IF(VLOOKUP($E186,AcctTblE,4,0)="","(بدون نام)",VLOOKUP($E186,AcctTblE,4,0)),"کد ناشناخته")))</f>
        <v/>
      </c>
      <c r="G186" s="15" t="n"/>
      <c r="H186" s="21">
        <f>IF(OR($C186&lt;&gt;"دستمزد گروهی",$D186=""),"",SUMIFS(ShareAmt,ShareLink,$D186))</f>
        <v/>
      </c>
      <c r="I186" s="22">
        <f>IF($C186&lt;&gt;"دستمزد گروهی","—",IF($H186="","",IF(ROUND($H186-IF($G186="",0,$G186),0)=0,"√","▲ مغایرت "&amp;TEXT(IF($G186="",0,$G186)-$H186,"#,##0"))))</f>
        <v/>
      </c>
      <c r="J186" s="18" t="n"/>
    </row>
    <row r="187">
      <c r="A187" s="10">
        <f>IF($B187="","",COUNTA($B$9:$B187))</f>
        <v/>
      </c>
      <c r="B187" s="11" t="n"/>
      <c r="C187" s="12" t="n"/>
      <c r="D187" s="12" t="n"/>
      <c r="E187" s="13" t="n"/>
      <c r="F187" s="14">
        <f>IF($E187="","",IF($C187="دستمزد گروهی",IFERROR(VLOOKUP($E187,WGTbl,2,0),"کد ناشناخته"),IFERROR(IF(VLOOKUP($E187,AcctTblE,4,0)="","(بدون نام)",VLOOKUP($E187,AcctTblE,4,0)),"کد ناشناخته")))</f>
        <v/>
      </c>
      <c r="G187" s="15" t="n"/>
      <c r="H187" s="16">
        <f>IF(OR($C187&lt;&gt;"دستمزد گروهی",$D187=""),"",SUMIFS(ShareAmt,ShareLink,$D187))</f>
        <v/>
      </c>
      <c r="I187" s="17">
        <f>IF($C187&lt;&gt;"دستمزد گروهی","—",IF($H187="","",IF(ROUND($H187-IF($G187="",0,$G187),0)=0,"√","▲ مغایرت "&amp;TEXT(IF($G187="",0,$G187)-$H187,"#,##0"))))</f>
        <v/>
      </c>
      <c r="J187" s="18" t="n"/>
    </row>
    <row r="188">
      <c r="A188" s="19">
        <f>IF($B188="","",COUNTA($B$9:$B188))</f>
        <v/>
      </c>
      <c r="B188" s="11" t="n"/>
      <c r="C188" s="12" t="n"/>
      <c r="D188" s="12" t="n"/>
      <c r="E188" s="13" t="n"/>
      <c r="F188" s="20">
        <f>IF($E188="","",IF($C188="دستمزد گروهی",IFERROR(VLOOKUP($E188,WGTbl,2,0),"کد ناشناخته"),IFERROR(IF(VLOOKUP($E188,AcctTblE,4,0)="","(بدون نام)",VLOOKUP($E188,AcctTblE,4,0)),"کد ناشناخته")))</f>
        <v/>
      </c>
      <c r="G188" s="15" t="n"/>
      <c r="H188" s="21">
        <f>IF(OR($C188&lt;&gt;"دستمزد گروهی",$D188=""),"",SUMIFS(ShareAmt,ShareLink,$D188))</f>
        <v/>
      </c>
      <c r="I188" s="22">
        <f>IF($C188&lt;&gt;"دستمزد گروهی","—",IF($H188="","",IF(ROUND($H188-IF($G188="",0,$G188),0)=0,"√","▲ مغایرت "&amp;TEXT(IF($G188="",0,$G188)-$H188,"#,##0"))))</f>
        <v/>
      </c>
      <c r="J188" s="18" t="n"/>
    </row>
    <row r="189">
      <c r="A189" s="10">
        <f>IF($B189="","",COUNTA($B$9:$B189))</f>
        <v/>
      </c>
      <c r="B189" s="11" t="n"/>
      <c r="C189" s="12" t="n"/>
      <c r="D189" s="12" t="n"/>
      <c r="E189" s="13" t="n"/>
      <c r="F189" s="14">
        <f>IF($E189="","",IF($C189="دستمزد گروهی",IFERROR(VLOOKUP($E189,WGTbl,2,0),"کد ناشناخته"),IFERROR(IF(VLOOKUP($E189,AcctTblE,4,0)="","(بدون نام)",VLOOKUP($E189,AcctTblE,4,0)),"کد ناشناخته")))</f>
        <v/>
      </c>
      <c r="G189" s="15" t="n"/>
      <c r="H189" s="16">
        <f>IF(OR($C189&lt;&gt;"دستمزد گروهی",$D189=""),"",SUMIFS(ShareAmt,ShareLink,$D189))</f>
        <v/>
      </c>
      <c r="I189" s="17">
        <f>IF($C189&lt;&gt;"دستمزد گروهی","—",IF($H189="","",IF(ROUND($H189-IF($G189="",0,$G189),0)=0,"√","▲ مغایرت "&amp;TEXT(IF($G189="",0,$G189)-$H189,"#,##0"))))</f>
        <v/>
      </c>
      <c r="J189" s="18" t="n"/>
    </row>
    <row r="190">
      <c r="A190" s="19">
        <f>IF($B190="","",COUNTA($B$9:$B190))</f>
        <v/>
      </c>
      <c r="B190" s="11" t="n"/>
      <c r="C190" s="12" t="n"/>
      <c r="D190" s="12" t="n"/>
      <c r="E190" s="13" t="n"/>
      <c r="F190" s="20">
        <f>IF($E190="","",IF($C190="دستمزد گروهی",IFERROR(VLOOKUP($E190,WGTbl,2,0),"کد ناشناخته"),IFERROR(IF(VLOOKUP($E190,AcctTblE,4,0)="","(بدون نام)",VLOOKUP($E190,AcctTblE,4,0)),"کد ناشناخته")))</f>
        <v/>
      </c>
      <c r="G190" s="15" t="n"/>
      <c r="H190" s="21">
        <f>IF(OR($C190&lt;&gt;"دستمزد گروهی",$D190=""),"",SUMIFS(ShareAmt,ShareLink,$D190))</f>
        <v/>
      </c>
      <c r="I190" s="22">
        <f>IF($C190&lt;&gt;"دستمزد گروهی","—",IF($H190="","",IF(ROUND($H190-IF($G190="",0,$G190),0)=0,"√","▲ مغایرت "&amp;TEXT(IF($G190="",0,$G190)-$H190,"#,##0"))))</f>
        <v/>
      </c>
      <c r="J190" s="18" t="n"/>
    </row>
    <row r="191">
      <c r="A191" s="10">
        <f>IF($B191="","",COUNTA($B$9:$B191))</f>
        <v/>
      </c>
      <c r="B191" s="11" t="n"/>
      <c r="C191" s="12" t="n"/>
      <c r="D191" s="12" t="n"/>
      <c r="E191" s="13" t="n"/>
      <c r="F191" s="14">
        <f>IF($E191="","",IF($C191="دستمزد گروهی",IFERROR(VLOOKUP($E191,WGTbl,2,0),"کد ناشناخته"),IFERROR(IF(VLOOKUP($E191,AcctTblE,4,0)="","(بدون نام)",VLOOKUP($E191,AcctTblE,4,0)),"کد ناشناخته")))</f>
        <v/>
      </c>
      <c r="G191" s="15" t="n"/>
      <c r="H191" s="16">
        <f>IF(OR($C191&lt;&gt;"دستمزد گروهی",$D191=""),"",SUMIFS(ShareAmt,ShareLink,$D191))</f>
        <v/>
      </c>
      <c r="I191" s="17">
        <f>IF($C191&lt;&gt;"دستمزد گروهی","—",IF($H191="","",IF(ROUND($H191-IF($G191="",0,$G191),0)=0,"√","▲ مغایرت "&amp;TEXT(IF($G191="",0,$G191)-$H191,"#,##0"))))</f>
        <v/>
      </c>
      <c r="J191" s="18" t="n"/>
    </row>
    <row r="192">
      <c r="A192" s="19">
        <f>IF($B192="","",COUNTA($B$9:$B192))</f>
        <v/>
      </c>
      <c r="B192" s="11" t="n"/>
      <c r="C192" s="12" t="n"/>
      <c r="D192" s="12" t="n"/>
      <c r="E192" s="13" t="n"/>
      <c r="F192" s="20">
        <f>IF($E192="","",IF($C192="دستمزد گروهی",IFERROR(VLOOKUP($E192,WGTbl,2,0),"کد ناشناخته"),IFERROR(IF(VLOOKUP($E192,AcctTblE,4,0)="","(بدون نام)",VLOOKUP($E192,AcctTblE,4,0)),"کد ناشناخته")))</f>
        <v/>
      </c>
      <c r="G192" s="15" t="n"/>
      <c r="H192" s="21">
        <f>IF(OR($C192&lt;&gt;"دستمزد گروهی",$D192=""),"",SUMIFS(ShareAmt,ShareLink,$D192))</f>
        <v/>
      </c>
      <c r="I192" s="22">
        <f>IF($C192&lt;&gt;"دستمزد گروهی","—",IF($H192="","",IF(ROUND($H192-IF($G192="",0,$G192),0)=0,"√","▲ مغایرت "&amp;TEXT(IF($G192="",0,$G192)-$H192,"#,##0"))))</f>
        <v/>
      </c>
      <c r="J192" s="18" t="n"/>
    </row>
    <row r="193">
      <c r="A193" s="10">
        <f>IF($B193="","",COUNTA($B$9:$B193))</f>
        <v/>
      </c>
      <c r="B193" s="11" t="n"/>
      <c r="C193" s="12" t="n"/>
      <c r="D193" s="12" t="n"/>
      <c r="E193" s="13" t="n"/>
      <c r="F193" s="14">
        <f>IF($E193="","",IF($C193="دستمزد گروهی",IFERROR(VLOOKUP($E193,WGTbl,2,0),"کد ناشناخته"),IFERROR(IF(VLOOKUP($E193,AcctTblE,4,0)="","(بدون نام)",VLOOKUP($E193,AcctTblE,4,0)),"کد ناشناخته")))</f>
        <v/>
      </c>
      <c r="G193" s="15" t="n"/>
      <c r="H193" s="16">
        <f>IF(OR($C193&lt;&gt;"دستمزد گروهی",$D193=""),"",SUMIFS(ShareAmt,ShareLink,$D193))</f>
        <v/>
      </c>
      <c r="I193" s="17">
        <f>IF($C193&lt;&gt;"دستمزد گروهی","—",IF($H193="","",IF(ROUND($H193-IF($G193="",0,$G193),0)=0,"√","▲ مغایرت "&amp;TEXT(IF($G193="",0,$G193)-$H193,"#,##0"))))</f>
        <v/>
      </c>
      <c r="J193" s="18" t="n"/>
    </row>
    <row r="194">
      <c r="A194" s="19">
        <f>IF($B194="","",COUNTA($B$9:$B194))</f>
        <v/>
      </c>
      <c r="B194" s="11" t="n"/>
      <c r="C194" s="12" t="n"/>
      <c r="D194" s="12" t="n"/>
      <c r="E194" s="13" t="n"/>
      <c r="F194" s="20">
        <f>IF($E194="","",IF($C194="دستمزد گروهی",IFERROR(VLOOKUP($E194,WGTbl,2,0),"کد ناشناخته"),IFERROR(IF(VLOOKUP($E194,AcctTblE,4,0)="","(بدون نام)",VLOOKUP($E194,AcctTblE,4,0)),"کد ناشناخته")))</f>
        <v/>
      </c>
      <c r="G194" s="15" t="n"/>
      <c r="H194" s="21">
        <f>IF(OR($C194&lt;&gt;"دستمزد گروهی",$D194=""),"",SUMIFS(ShareAmt,ShareLink,$D194))</f>
        <v/>
      </c>
      <c r="I194" s="22">
        <f>IF($C194&lt;&gt;"دستمزد گروهی","—",IF($H194="","",IF(ROUND($H194-IF($G194="",0,$G194),0)=0,"√","▲ مغایرت "&amp;TEXT(IF($G194="",0,$G194)-$H194,"#,##0"))))</f>
        <v/>
      </c>
      <c r="J194" s="18" t="n"/>
    </row>
    <row r="195">
      <c r="A195" s="10">
        <f>IF($B195="","",COUNTA($B$9:$B195))</f>
        <v/>
      </c>
      <c r="B195" s="11" t="n"/>
      <c r="C195" s="12" t="n"/>
      <c r="D195" s="12" t="n"/>
      <c r="E195" s="13" t="n"/>
      <c r="F195" s="14">
        <f>IF($E195="","",IF($C195="دستمزد گروهی",IFERROR(VLOOKUP($E195,WGTbl,2,0),"کد ناشناخته"),IFERROR(IF(VLOOKUP($E195,AcctTblE,4,0)="","(بدون نام)",VLOOKUP($E195,AcctTblE,4,0)),"کد ناشناخته")))</f>
        <v/>
      </c>
      <c r="G195" s="15" t="n"/>
      <c r="H195" s="16">
        <f>IF(OR($C195&lt;&gt;"دستمزد گروهی",$D195=""),"",SUMIFS(ShareAmt,ShareLink,$D195))</f>
        <v/>
      </c>
      <c r="I195" s="17">
        <f>IF($C195&lt;&gt;"دستمزد گروهی","—",IF($H195="","",IF(ROUND($H195-IF($G195="",0,$G195),0)=0,"√","▲ مغایرت "&amp;TEXT(IF($G195="",0,$G195)-$H195,"#,##0"))))</f>
        <v/>
      </c>
      <c r="J195" s="18" t="n"/>
    </row>
    <row r="196">
      <c r="A196" s="19">
        <f>IF($B196="","",COUNTA($B$9:$B196))</f>
        <v/>
      </c>
      <c r="B196" s="11" t="n"/>
      <c r="C196" s="12" t="n"/>
      <c r="D196" s="12" t="n"/>
      <c r="E196" s="13" t="n"/>
      <c r="F196" s="20">
        <f>IF($E196="","",IF($C196="دستمزد گروهی",IFERROR(VLOOKUP($E196,WGTbl,2,0),"کد ناشناخته"),IFERROR(IF(VLOOKUP($E196,AcctTblE,4,0)="","(بدون نام)",VLOOKUP($E196,AcctTblE,4,0)),"کد ناشناخته")))</f>
        <v/>
      </c>
      <c r="G196" s="15" t="n"/>
      <c r="H196" s="21">
        <f>IF(OR($C196&lt;&gt;"دستمزد گروهی",$D196=""),"",SUMIFS(ShareAmt,ShareLink,$D196))</f>
        <v/>
      </c>
      <c r="I196" s="22">
        <f>IF($C196&lt;&gt;"دستمزد گروهی","—",IF($H196="","",IF(ROUND($H196-IF($G196="",0,$G196),0)=0,"√","▲ مغایرت "&amp;TEXT(IF($G196="",0,$G196)-$H196,"#,##0"))))</f>
        <v/>
      </c>
      <c r="J196" s="18" t="n"/>
    </row>
    <row r="197">
      <c r="A197" s="10">
        <f>IF($B197="","",COUNTA($B$9:$B197))</f>
        <v/>
      </c>
      <c r="B197" s="11" t="n"/>
      <c r="C197" s="12" t="n"/>
      <c r="D197" s="12" t="n"/>
      <c r="E197" s="13" t="n"/>
      <c r="F197" s="14">
        <f>IF($E197="","",IF($C197="دستمزد گروهی",IFERROR(VLOOKUP($E197,WGTbl,2,0),"کد ناشناخته"),IFERROR(IF(VLOOKUP($E197,AcctTblE,4,0)="","(بدون نام)",VLOOKUP($E197,AcctTblE,4,0)),"کد ناشناخته")))</f>
        <v/>
      </c>
      <c r="G197" s="15" t="n"/>
      <c r="H197" s="16">
        <f>IF(OR($C197&lt;&gt;"دستمزد گروهی",$D197=""),"",SUMIFS(ShareAmt,ShareLink,$D197))</f>
        <v/>
      </c>
      <c r="I197" s="17">
        <f>IF($C197&lt;&gt;"دستمزد گروهی","—",IF($H197="","",IF(ROUND($H197-IF($G197="",0,$G197),0)=0,"√","▲ مغایرت "&amp;TEXT(IF($G197="",0,$G197)-$H197,"#,##0"))))</f>
        <v/>
      </c>
      <c r="J197" s="18" t="n"/>
    </row>
    <row r="198">
      <c r="A198" s="19">
        <f>IF($B198="","",COUNTA($B$9:$B198))</f>
        <v/>
      </c>
      <c r="B198" s="11" t="n"/>
      <c r="C198" s="12" t="n"/>
      <c r="D198" s="12" t="n"/>
      <c r="E198" s="13" t="n"/>
      <c r="F198" s="20">
        <f>IF($E198="","",IF($C198="دستمزد گروهی",IFERROR(VLOOKUP($E198,WGTbl,2,0),"کد ناشناخته"),IFERROR(IF(VLOOKUP($E198,AcctTblE,4,0)="","(بدون نام)",VLOOKUP($E198,AcctTblE,4,0)),"کد ناشناخته")))</f>
        <v/>
      </c>
      <c r="G198" s="15" t="n"/>
      <c r="H198" s="21">
        <f>IF(OR($C198&lt;&gt;"دستمزد گروهی",$D198=""),"",SUMIFS(ShareAmt,ShareLink,$D198))</f>
        <v/>
      </c>
      <c r="I198" s="22">
        <f>IF($C198&lt;&gt;"دستمزد گروهی","—",IF($H198="","",IF(ROUND($H198-IF($G198="",0,$G198),0)=0,"√","▲ مغایرت "&amp;TEXT(IF($G198="",0,$G198)-$H198,"#,##0"))))</f>
        <v/>
      </c>
      <c r="J198" s="18" t="n"/>
    </row>
    <row r="199">
      <c r="A199" s="10">
        <f>IF($B199="","",COUNTA($B$9:$B199))</f>
        <v/>
      </c>
      <c r="B199" s="11" t="n"/>
      <c r="C199" s="12" t="n"/>
      <c r="D199" s="12" t="n"/>
      <c r="E199" s="13" t="n"/>
      <c r="F199" s="14">
        <f>IF($E199="","",IF($C199="دستمزد گروهی",IFERROR(VLOOKUP($E199,WGTbl,2,0),"کد ناشناخته"),IFERROR(IF(VLOOKUP($E199,AcctTblE,4,0)="","(بدون نام)",VLOOKUP($E199,AcctTblE,4,0)),"کد ناشناخته")))</f>
        <v/>
      </c>
      <c r="G199" s="15" t="n"/>
      <c r="H199" s="16">
        <f>IF(OR($C199&lt;&gt;"دستمزد گروهی",$D199=""),"",SUMIFS(ShareAmt,ShareLink,$D199))</f>
        <v/>
      </c>
      <c r="I199" s="17">
        <f>IF($C199&lt;&gt;"دستمزد گروهی","—",IF($H199="","",IF(ROUND($H199-IF($G199="",0,$G199),0)=0,"√","▲ مغایرت "&amp;TEXT(IF($G199="",0,$G199)-$H199,"#,##0"))))</f>
        <v/>
      </c>
      <c r="J199" s="18" t="n"/>
    </row>
    <row r="200">
      <c r="A200" s="19">
        <f>IF($B200="","",COUNTA($B$9:$B200))</f>
        <v/>
      </c>
      <c r="B200" s="11" t="n"/>
      <c r="C200" s="12" t="n"/>
      <c r="D200" s="12" t="n"/>
      <c r="E200" s="13" t="n"/>
      <c r="F200" s="20">
        <f>IF($E200="","",IF($C200="دستمزد گروهی",IFERROR(VLOOKUP($E200,WGTbl,2,0),"کد ناشناخته"),IFERROR(IF(VLOOKUP($E200,AcctTblE,4,0)="","(بدون نام)",VLOOKUP($E200,AcctTblE,4,0)),"کد ناشناخته")))</f>
        <v/>
      </c>
      <c r="G200" s="15" t="n"/>
      <c r="H200" s="21">
        <f>IF(OR($C200&lt;&gt;"دستمزد گروهی",$D200=""),"",SUMIFS(ShareAmt,ShareLink,$D200))</f>
        <v/>
      </c>
      <c r="I200" s="22">
        <f>IF($C200&lt;&gt;"دستمزد گروهی","—",IF($H200="","",IF(ROUND($H200-IF($G200="",0,$G200),0)=0,"√","▲ مغایرت "&amp;TEXT(IF($G200="",0,$G200)-$H200,"#,##0"))))</f>
        <v/>
      </c>
      <c r="J200" s="18" t="n"/>
    </row>
    <row r="201">
      <c r="A201" s="10">
        <f>IF($B201="","",COUNTA($B$9:$B201))</f>
        <v/>
      </c>
      <c r="B201" s="11" t="n"/>
      <c r="C201" s="12" t="n"/>
      <c r="D201" s="12" t="n"/>
      <c r="E201" s="13" t="n"/>
      <c r="F201" s="14">
        <f>IF($E201="","",IF($C201="دستمزد گروهی",IFERROR(VLOOKUP($E201,WGTbl,2,0),"کد ناشناخته"),IFERROR(IF(VLOOKUP($E201,AcctTblE,4,0)="","(بدون نام)",VLOOKUP($E201,AcctTblE,4,0)),"کد ناشناخته")))</f>
        <v/>
      </c>
      <c r="G201" s="15" t="n"/>
      <c r="H201" s="16">
        <f>IF(OR($C201&lt;&gt;"دستمزد گروهی",$D201=""),"",SUMIFS(ShareAmt,ShareLink,$D201))</f>
        <v/>
      </c>
      <c r="I201" s="17">
        <f>IF($C201&lt;&gt;"دستمزد گروهی","—",IF($H201="","",IF(ROUND($H201-IF($G201="",0,$G201),0)=0,"√","▲ مغایرت "&amp;TEXT(IF($G201="",0,$G201)-$H201,"#,##0"))))</f>
        <v/>
      </c>
      <c r="J201" s="18" t="n"/>
    </row>
    <row r="202">
      <c r="A202" s="19">
        <f>IF($B202="","",COUNTA($B$9:$B202))</f>
        <v/>
      </c>
      <c r="B202" s="11" t="n"/>
      <c r="C202" s="12" t="n"/>
      <c r="D202" s="12" t="n"/>
      <c r="E202" s="13" t="n"/>
      <c r="F202" s="20">
        <f>IF($E202="","",IF($C202="دستمزد گروهی",IFERROR(VLOOKUP($E202,WGTbl,2,0),"کد ناشناخته"),IFERROR(IF(VLOOKUP($E202,AcctTblE,4,0)="","(بدون نام)",VLOOKUP($E202,AcctTblE,4,0)),"کد ناشناخته")))</f>
        <v/>
      </c>
      <c r="G202" s="15" t="n"/>
      <c r="H202" s="21">
        <f>IF(OR($C202&lt;&gt;"دستمزد گروهی",$D202=""),"",SUMIFS(ShareAmt,ShareLink,$D202))</f>
        <v/>
      </c>
      <c r="I202" s="22">
        <f>IF($C202&lt;&gt;"دستمزد گروهی","—",IF($H202="","",IF(ROUND($H202-IF($G202="",0,$G202),0)=0,"√","▲ مغایرت "&amp;TEXT(IF($G202="",0,$G202)-$H202,"#,##0"))))</f>
        <v/>
      </c>
      <c r="J202" s="18" t="n"/>
    </row>
    <row r="203">
      <c r="A203" s="10">
        <f>IF($B203="","",COUNTA($B$9:$B203))</f>
        <v/>
      </c>
      <c r="B203" s="11" t="n"/>
      <c r="C203" s="12" t="n"/>
      <c r="D203" s="12" t="n"/>
      <c r="E203" s="13" t="n"/>
      <c r="F203" s="14">
        <f>IF($E203="","",IF($C203="دستمزد گروهی",IFERROR(VLOOKUP($E203,WGTbl,2,0),"کد ناشناخته"),IFERROR(IF(VLOOKUP($E203,AcctTblE,4,0)="","(بدون نام)",VLOOKUP($E203,AcctTblE,4,0)),"کد ناشناخته")))</f>
        <v/>
      </c>
      <c r="G203" s="15" t="n"/>
      <c r="H203" s="16">
        <f>IF(OR($C203&lt;&gt;"دستمزد گروهی",$D203=""),"",SUMIFS(ShareAmt,ShareLink,$D203))</f>
        <v/>
      </c>
      <c r="I203" s="17">
        <f>IF($C203&lt;&gt;"دستمزد گروهی","—",IF($H203="","",IF(ROUND($H203-IF($G203="",0,$G203),0)=0,"√","▲ مغایرت "&amp;TEXT(IF($G203="",0,$G203)-$H203,"#,##0"))))</f>
        <v/>
      </c>
      <c r="J203" s="18" t="n"/>
    </row>
    <row r="204">
      <c r="A204" s="19">
        <f>IF($B204="","",COUNTA($B$9:$B204))</f>
        <v/>
      </c>
      <c r="B204" s="11" t="n"/>
      <c r="C204" s="12" t="n"/>
      <c r="D204" s="12" t="n"/>
      <c r="E204" s="13" t="n"/>
      <c r="F204" s="20">
        <f>IF($E204="","",IF($C204="دستمزد گروهی",IFERROR(VLOOKUP($E204,WGTbl,2,0),"کد ناشناخته"),IFERROR(IF(VLOOKUP($E204,AcctTblE,4,0)="","(بدون نام)",VLOOKUP($E204,AcctTblE,4,0)),"کد ناشناخته")))</f>
        <v/>
      </c>
      <c r="G204" s="15" t="n"/>
      <c r="H204" s="21">
        <f>IF(OR($C204&lt;&gt;"دستمزد گروهی",$D204=""),"",SUMIFS(ShareAmt,ShareLink,$D204))</f>
        <v/>
      </c>
      <c r="I204" s="22">
        <f>IF($C204&lt;&gt;"دستمزد گروهی","—",IF($H204="","",IF(ROUND($H204-IF($G204="",0,$G204),0)=0,"√","▲ مغایرت "&amp;TEXT(IF($G204="",0,$G204)-$H204,"#,##0"))))</f>
        <v/>
      </c>
      <c r="J204" s="18" t="n"/>
    </row>
    <row r="205">
      <c r="A205" s="10">
        <f>IF($B205="","",COUNTA($B$9:$B205))</f>
        <v/>
      </c>
      <c r="B205" s="11" t="n"/>
      <c r="C205" s="12" t="n"/>
      <c r="D205" s="12" t="n"/>
      <c r="E205" s="13" t="n"/>
      <c r="F205" s="14">
        <f>IF($E205="","",IF($C205="دستمزد گروهی",IFERROR(VLOOKUP($E205,WGTbl,2,0),"کد ناشناخته"),IFERROR(IF(VLOOKUP($E205,AcctTblE,4,0)="","(بدون نام)",VLOOKUP($E205,AcctTblE,4,0)),"کد ناشناخته")))</f>
        <v/>
      </c>
      <c r="G205" s="15" t="n"/>
      <c r="H205" s="16">
        <f>IF(OR($C205&lt;&gt;"دستمزد گروهی",$D205=""),"",SUMIFS(ShareAmt,ShareLink,$D205))</f>
        <v/>
      </c>
      <c r="I205" s="17">
        <f>IF($C205&lt;&gt;"دستمزد گروهی","—",IF($H205="","",IF(ROUND($H205-IF($G205="",0,$G205),0)=0,"√","▲ مغایرت "&amp;TEXT(IF($G205="",0,$G205)-$H205,"#,##0"))))</f>
        <v/>
      </c>
      <c r="J205" s="18" t="n"/>
    </row>
    <row r="206">
      <c r="A206" s="19">
        <f>IF($B206="","",COUNTA($B$9:$B206))</f>
        <v/>
      </c>
      <c r="B206" s="11" t="n"/>
      <c r="C206" s="12" t="n"/>
      <c r="D206" s="12" t="n"/>
      <c r="E206" s="13" t="n"/>
      <c r="F206" s="20">
        <f>IF($E206="","",IF($C206="دستمزد گروهی",IFERROR(VLOOKUP($E206,WGTbl,2,0),"کد ناشناخته"),IFERROR(IF(VLOOKUP($E206,AcctTblE,4,0)="","(بدون نام)",VLOOKUP($E206,AcctTblE,4,0)),"کد ناشناخته")))</f>
        <v/>
      </c>
      <c r="G206" s="15" t="n"/>
      <c r="H206" s="21">
        <f>IF(OR($C206&lt;&gt;"دستمزد گروهی",$D206=""),"",SUMIFS(ShareAmt,ShareLink,$D206))</f>
        <v/>
      </c>
      <c r="I206" s="22">
        <f>IF($C206&lt;&gt;"دستمزد گروهی","—",IF($H206="","",IF(ROUND($H206-IF($G206="",0,$G206),0)=0,"√","▲ مغایرت "&amp;TEXT(IF($G206="",0,$G206)-$H206,"#,##0"))))</f>
        <v/>
      </c>
      <c r="J206" s="18" t="n"/>
    </row>
    <row r="207">
      <c r="A207" s="10">
        <f>IF($B207="","",COUNTA($B$9:$B207))</f>
        <v/>
      </c>
      <c r="B207" s="11" t="n"/>
      <c r="C207" s="12" t="n"/>
      <c r="D207" s="12" t="n"/>
      <c r="E207" s="13" t="n"/>
      <c r="F207" s="14">
        <f>IF($E207="","",IF($C207="دستمزد گروهی",IFERROR(VLOOKUP($E207,WGTbl,2,0),"کد ناشناخته"),IFERROR(IF(VLOOKUP($E207,AcctTblE,4,0)="","(بدون نام)",VLOOKUP($E207,AcctTblE,4,0)),"کد ناشناخته")))</f>
        <v/>
      </c>
      <c r="G207" s="15" t="n"/>
      <c r="H207" s="16">
        <f>IF(OR($C207&lt;&gt;"دستمزد گروهی",$D207=""),"",SUMIFS(ShareAmt,ShareLink,$D207))</f>
        <v/>
      </c>
      <c r="I207" s="17">
        <f>IF($C207&lt;&gt;"دستمزد گروهی","—",IF($H207="","",IF(ROUND($H207-IF($G207="",0,$G207),0)=0,"√","▲ مغایرت "&amp;TEXT(IF($G207="",0,$G207)-$H207,"#,##0"))))</f>
        <v/>
      </c>
      <c r="J207" s="18" t="n"/>
    </row>
    <row r="208">
      <c r="A208" s="19">
        <f>IF($B208="","",COUNTA($B$9:$B208))</f>
        <v/>
      </c>
      <c r="B208" s="11" t="n"/>
      <c r="C208" s="12" t="n"/>
      <c r="D208" s="12" t="n"/>
      <c r="E208" s="13" t="n"/>
      <c r="F208" s="20">
        <f>IF($E208="","",IF($C208="دستمزد گروهی",IFERROR(VLOOKUP($E208,WGTbl,2,0),"کد ناشناخته"),IFERROR(IF(VLOOKUP($E208,AcctTblE,4,0)="","(بدون نام)",VLOOKUP($E208,AcctTblE,4,0)),"کد ناشناخته")))</f>
        <v/>
      </c>
      <c r="G208" s="15" t="n"/>
      <c r="H208" s="21">
        <f>IF(OR($C208&lt;&gt;"دستمزد گروهی",$D208=""),"",SUMIFS(ShareAmt,ShareLink,$D208))</f>
        <v/>
      </c>
      <c r="I208" s="22">
        <f>IF($C208&lt;&gt;"دستمزد گروهی","—",IF($H208="","",IF(ROUND($H208-IF($G208="",0,$G208),0)=0,"√","▲ مغایرت "&amp;TEXT(IF($G208="",0,$G208)-$H208,"#,##0"))))</f>
        <v/>
      </c>
      <c r="J208" s="18" t="n"/>
    </row>
    <row r="209">
      <c r="A209" s="10">
        <f>IF($B209="","",COUNTA($B$9:$B209))</f>
        <v/>
      </c>
      <c r="B209" s="11" t="n"/>
      <c r="C209" s="12" t="n"/>
      <c r="D209" s="12" t="n"/>
      <c r="E209" s="13" t="n"/>
      <c r="F209" s="14">
        <f>IF($E209="","",IF($C209="دستمزد گروهی",IFERROR(VLOOKUP($E209,WGTbl,2,0),"کد ناشناخته"),IFERROR(IF(VLOOKUP($E209,AcctTblE,4,0)="","(بدون نام)",VLOOKUP($E209,AcctTblE,4,0)),"کد ناشناخته")))</f>
        <v/>
      </c>
      <c r="G209" s="15" t="n"/>
      <c r="H209" s="16">
        <f>IF(OR($C209&lt;&gt;"دستمزد گروهی",$D209=""),"",SUMIFS(ShareAmt,ShareLink,$D209))</f>
        <v/>
      </c>
      <c r="I209" s="17">
        <f>IF($C209&lt;&gt;"دستمزد گروهی","—",IF($H209="","",IF(ROUND($H209-IF($G209="",0,$G209),0)=0,"√","▲ مغایرت "&amp;TEXT(IF($G209="",0,$G209)-$H209,"#,##0"))))</f>
        <v/>
      </c>
      <c r="J209" s="18" t="n"/>
    </row>
    <row r="210">
      <c r="A210" s="19">
        <f>IF($B210="","",COUNTA($B$9:$B210))</f>
        <v/>
      </c>
      <c r="B210" s="11" t="n"/>
      <c r="C210" s="12" t="n"/>
      <c r="D210" s="12" t="n"/>
      <c r="E210" s="13" t="n"/>
      <c r="F210" s="20">
        <f>IF($E210="","",IF($C210="دستمزد گروهی",IFERROR(VLOOKUP($E210,WGTbl,2,0),"کد ناشناخته"),IFERROR(IF(VLOOKUP($E210,AcctTblE,4,0)="","(بدون نام)",VLOOKUP($E210,AcctTblE,4,0)),"کد ناشناخته")))</f>
        <v/>
      </c>
      <c r="G210" s="15" t="n"/>
      <c r="H210" s="21">
        <f>IF(OR($C210&lt;&gt;"دستمزد گروهی",$D210=""),"",SUMIFS(ShareAmt,ShareLink,$D210))</f>
        <v/>
      </c>
      <c r="I210" s="22">
        <f>IF($C210&lt;&gt;"دستمزد گروهی","—",IF($H210="","",IF(ROUND($H210-IF($G210="",0,$G210),0)=0,"√","▲ مغایرت "&amp;TEXT(IF($G210="",0,$G210)-$H210,"#,##0"))))</f>
        <v/>
      </c>
      <c r="J210" s="18" t="n"/>
    </row>
    <row r="211">
      <c r="A211" s="10">
        <f>IF($B211="","",COUNTA($B$9:$B211))</f>
        <v/>
      </c>
      <c r="B211" s="11" t="n"/>
      <c r="C211" s="12" t="n"/>
      <c r="D211" s="12" t="n"/>
      <c r="E211" s="13" t="n"/>
      <c r="F211" s="14">
        <f>IF($E211="","",IF($C211="دستمزد گروهی",IFERROR(VLOOKUP($E211,WGTbl,2,0),"کد ناشناخته"),IFERROR(IF(VLOOKUP($E211,AcctTblE,4,0)="","(بدون نام)",VLOOKUP($E211,AcctTblE,4,0)),"کد ناشناخته")))</f>
        <v/>
      </c>
      <c r="G211" s="15" t="n"/>
      <c r="H211" s="16">
        <f>IF(OR($C211&lt;&gt;"دستمزد گروهی",$D211=""),"",SUMIFS(ShareAmt,ShareLink,$D211))</f>
        <v/>
      </c>
      <c r="I211" s="17">
        <f>IF($C211&lt;&gt;"دستمزد گروهی","—",IF($H211="","",IF(ROUND($H211-IF($G211="",0,$G211),0)=0,"√","▲ مغایرت "&amp;TEXT(IF($G211="",0,$G211)-$H211,"#,##0"))))</f>
        <v/>
      </c>
      <c r="J211" s="18" t="n"/>
    </row>
    <row r="212">
      <c r="A212" s="19">
        <f>IF($B212="","",COUNTA($B$9:$B212))</f>
        <v/>
      </c>
      <c r="B212" s="11" t="n"/>
      <c r="C212" s="12" t="n"/>
      <c r="D212" s="12" t="n"/>
      <c r="E212" s="13" t="n"/>
      <c r="F212" s="20">
        <f>IF($E212="","",IF($C212="دستمزد گروهی",IFERROR(VLOOKUP($E212,WGTbl,2,0),"کد ناشناخته"),IFERROR(IF(VLOOKUP($E212,AcctTblE,4,0)="","(بدون نام)",VLOOKUP($E212,AcctTblE,4,0)),"کد ناشناخته")))</f>
        <v/>
      </c>
      <c r="G212" s="15" t="n"/>
      <c r="H212" s="21">
        <f>IF(OR($C212&lt;&gt;"دستمزد گروهی",$D212=""),"",SUMIFS(ShareAmt,ShareLink,$D212))</f>
        <v/>
      </c>
      <c r="I212" s="22">
        <f>IF($C212&lt;&gt;"دستمزد گروهی","—",IF($H212="","",IF(ROUND($H212-IF($G212="",0,$G212),0)=0,"√","▲ مغایرت "&amp;TEXT(IF($G212="",0,$G212)-$H212,"#,##0"))))</f>
        <v/>
      </c>
      <c r="J212" s="18" t="n"/>
    </row>
    <row r="213">
      <c r="A213" s="10">
        <f>IF($B213="","",COUNTA($B$9:$B213))</f>
        <v/>
      </c>
      <c r="B213" s="11" t="n"/>
      <c r="C213" s="12" t="n"/>
      <c r="D213" s="12" t="n"/>
      <c r="E213" s="13" t="n"/>
      <c r="F213" s="14">
        <f>IF($E213="","",IF($C213="دستمزد گروهی",IFERROR(VLOOKUP($E213,WGTbl,2,0),"کد ناشناخته"),IFERROR(IF(VLOOKUP($E213,AcctTblE,4,0)="","(بدون نام)",VLOOKUP($E213,AcctTblE,4,0)),"کد ناشناخته")))</f>
        <v/>
      </c>
      <c r="G213" s="15" t="n"/>
      <c r="H213" s="16">
        <f>IF(OR($C213&lt;&gt;"دستمزد گروهی",$D213=""),"",SUMIFS(ShareAmt,ShareLink,$D213))</f>
        <v/>
      </c>
      <c r="I213" s="17">
        <f>IF($C213&lt;&gt;"دستمزد گروهی","—",IF($H213="","",IF(ROUND($H213-IF($G213="",0,$G213),0)=0,"√","▲ مغایرت "&amp;TEXT(IF($G213="",0,$G213)-$H213,"#,##0"))))</f>
        <v/>
      </c>
      <c r="J213" s="18" t="n"/>
    </row>
    <row r="214">
      <c r="A214" s="19">
        <f>IF($B214="","",COUNTA($B$9:$B214))</f>
        <v/>
      </c>
      <c r="B214" s="11" t="n"/>
      <c r="C214" s="12" t="n"/>
      <c r="D214" s="12" t="n"/>
      <c r="E214" s="13" t="n"/>
      <c r="F214" s="20">
        <f>IF($E214="","",IF($C214="دستمزد گروهی",IFERROR(VLOOKUP($E214,WGTbl,2,0),"کد ناشناخته"),IFERROR(IF(VLOOKUP($E214,AcctTblE,4,0)="","(بدون نام)",VLOOKUP($E214,AcctTblE,4,0)),"کد ناشناخته")))</f>
        <v/>
      </c>
      <c r="G214" s="15" t="n"/>
      <c r="H214" s="21">
        <f>IF(OR($C214&lt;&gt;"دستمزد گروهی",$D214=""),"",SUMIFS(ShareAmt,ShareLink,$D214))</f>
        <v/>
      </c>
      <c r="I214" s="22">
        <f>IF($C214&lt;&gt;"دستمزد گروهی","—",IF($H214="","",IF(ROUND($H214-IF($G214="",0,$G214),0)=0,"√","▲ مغایرت "&amp;TEXT(IF($G214="",0,$G214)-$H214,"#,##0"))))</f>
        <v/>
      </c>
      <c r="J214" s="18" t="n"/>
    </row>
    <row r="215">
      <c r="A215" s="10">
        <f>IF($B215="","",COUNTA($B$9:$B215))</f>
        <v/>
      </c>
      <c r="B215" s="11" t="n"/>
      <c r="C215" s="12" t="n"/>
      <c r="D215" s="12" t="n"/>
      <c r="E215" s="13" t="n"/>
      <c r="F215" s="14">
        <f>IF($E215="","",IF($C215="دستمزد گروهی",IFERROR(VLOOKUP($E215,WGTbl,2,0),"کد ناشناخته"),IFERROR(IF(VLOOKUP($E215,AcctTblE,4,0)="","(بدون نام)",VLOOKUP($E215,AcctTblE,4,0)),"کد ناشناخته")))</f>
        <v/>
      </c>
      <c r="G215" s="15" t="n"/>
      <c r="H215" s="16">
        <f>IF(OR($C215&lt;&gt;"دستمزد گروهی",$D215=""),"",SUMIFS(ShareAmt,ShareLink,$D215))</f>
        <v/>
      </c>
      <c r="I215" s="17">
        <f>IF($C215&lt;&gt;"دستمزد گروهی","—",IF($H215="","",IF(ROUND($H215-IF($G215="",0,$G215),0)=0,"√","▲ مغایرت "&amp;TEXT(IF($G215="",0,$G215)-$H215,"#,##0"))))</f>
        <v/>
      </c>
      <c r="J215" s="18" t="n"/>
    </row>
    <row r="216">
      <c r="A216" s="19">
        <f>IF($B216="","",COUNTA($B$9:$B216))</f>
        <v/>
      </c>
      <c r="B216" s="11" t="n"/>
      <c r="C216" s="12" t="n"/>
      <c r="D216" s="12" t="n"/>
      <c r="E216" s="13" t="n"/>
      <c r="F216" s="20">
        <f>IF($E216="","",IF($C216="دستمزد گروهی",IFERROR(VLOOKUP($E216,WGTbl,2,0),"کد ناشناخته"),IFERROR(IF(VLOOKUP($E216,AcctTblE,4,0)="","(بدون نام)",VLOOKUP($E216,AcctTblE,4,0)),"کد ناشناخته")))</f>
        <v/>
      </c>
      <c r="G216" s="15" t="n"/>
      <c r="H216" s="21">
        <f>IF(OR($C216&lt;&gt;"دستمزد گروهی",$D216=""),"",SUMIFS(ShareAmt,ShareLink,$D216))</f>
        <v/>
      </c>
      <c r="I216" s="22">
        <f>IF($C216&lt;&gt;"دستمزد گروهی","—",IF($H216="","",IF(ROUND($H216-IF($G216="",0,$G216),0)=0,"√","▲ مغایرت "&amp;TEXT(IF($G216="",0,$G216)-$H216,"#,##0"))))</f>
        <v/>
      </c>
      <c r="J216" s="18" t="n"/>
    </row>
    <row r="217">
      <c r="A217" s="10">
        <f>IF($B217="","",COUNTA($B$9:$B217))</f>
        <v/>
      </c>
      <c r="B217" s="11" t="n"/>
      <c r="C217" s="12" t="n"/>
      <c r="D217" s="12" t="n"/>
      <c r="E217" s="13" t="n"/>
      <c r="F217" s="14">
        <f>IF($E217="","",IF($C217="دستمزد گروهی",IFERROR(VLOOKUP($E217,WGTbl,2,0),"کد ناشناخته"),IFERROR(IF(VLOOKUP($E217,AcctTblE,4,0)="","(بدون نام)",VLOOKUP($E217,AcctTblE,4,0)),"کد ناشناخته")))</f>
        <v/>
      </c>
      <c r="G217" s="15" t="n"/>
      <c r="H217" s="16">
        <f>IF(OR($C217&lt;&gt;"دستمزد گروهی",$D217=""),"",SUMIFS(ShareAmt,ShareLink,$D217))</f>
        <v/>
      </c>
      <c r="I217" s="17">
        <f>IF($C217&lt;&gt;"دستمزد گروهی","—",IF($H217="","",IF(ROUND($H217-IF($G217="",0,$G217),0)=0,"√","▲ مغایرت "&amp;TEXT(IF($G217="",0,$G217)-$H217,"#,##0"))))</f>
        <v/>
      </c>
      <c r="J217" s="18" t="n"/>
    </row>
    <row r="218">
      <c r="A218" s="19">
        <f>IF($B218="","",COUNTA($B$9:$B218))</f>
        <v/>
      </c>
      <c r="B218" s="11" t="n"/>
      <c r="C218" s="12" t="n"/>
      <c r="D218" s="12" t="n"/>
      <c r="E218" s="13" t="n"/>
      <c r="F218" s="20">
        <f>IF($E218="","",IF($C218="دستمزد گروهی",IFERROR(VLOOKUP($E218,WGTbl,2,0),"کد ناشناخته"),IFERROR(IF(VLOOKUP($E218,AcctTblE,4,0)="","(بدون نام)",VLOOKUP($E218,AcctTblE,4,0)),"کد ناشناخته")))</f>
        <v/>
      </c>
      <c r="G218" s="15" t="n"/>
      <c r="H218" s="21">
        <f>IF(OR($C218&lt;&gt;"دستمزد گروهی",$D218=""),"",SUMIFS(ShareAmt,ShareLink,$D218))</f>
        <v/>
      </c>
      <c r="I218" s="22">
        <f>IF($C218&lt;&gt;"دستمزد گروهی","—",IF($H218="","",IF(ROUND($H218-IF($G218="",0,$G218),0)=0,"√","▲ مغایرت "&amp;TEXT(IF($G218="",0,$G218)-$H218,"#,##0"))))</f>
        <v/>
      </c>
      <c r="J218" s="18" t="n"/>
    </row>
    <row r="219">
      <c r="A219" s="10">
        <f>IF($B219="","",COUNTA($B$9:$B219))</f>
        <v/>
      </c>
      <c r="B219" s="11" t="n"/>
      <c r="C219" s="12" t="n"/>
      <c r="D219" s="12" t="n"/>
      <c r="E219" s="13" t="n"/>
      <c r="F219" s="14">
        <f>IF($E219="","",IF($C219="دستمزد گروهی",IFERROR(VLOOKUP($E219,WGTbl,2,0),"کد ناشناخته"),IFERROR(IF(VLOOKUP($E219,AcctTblE,4,0)="","(بدون نام)",VLOOKUP($E219,AcctTblE,4,0)),"کد ناشناخته")))</f>
        <v/>
      </c>
      <c r="G219" s="15" t="n"/>
      <c r="H219" s="16">
        <f>IF(OR($C219&lt;&gt;"دستمزد گروهی",$D219=""),"",SUMIFS(ShareAmt,ShareLink,$D219))</f>
        <v/>
      </c>
      <c r="I219" s="17">
        <f>IF($C219&lt;&gt;"دستمزد گروهی","—",IF($H219="","",IF(ROUND($H219-IF($G219="",0,$G219),0)=0,"√","▲ مغایرت "&amp;TEXT(IF($G219="",0,$G219)-$H219,"#,##0"))))</f>
        <v/>
      </c>
      <c r="J219" s="18" t="n"/>
    </row>
    <row r="220">
      <c r="A220" s="19">
        <f>IF($B220="","",COUNTA($B$9:$B220))</f>
        <v/>
      </c>
      <c r="B220" s="11" t="n"/>
      <c r="C220" s="12" t="n"/>
      <c r="D220" s="12" t="n"/>
      <c r="E220" s="13" t="n"/>
      <c r="F220" s="20">
        <f>IF($E220="","",IF($C220="دستمزد گروهی",IFERROR(VLOOKUP($E220,WGTbl,2,0),"کد ناشناخته"),IFERROR(IF(VLOOKUP($E220,AcctTblE,4,0)="","(بدون نام)",VLOOKUP($E220,AcctTblE,4,0)),"کد ناشناخته")))</f>
        <v/>
      </c>
      <c r="G220" s="15" t="n"/>
      <c r="H220" s="21">
        <f>IF(OR($C220&lt;&gt;"دستمزد گروهی",$D220=""),"",SUMIFS(ShareAmt,ShareLink,$D220))</f>
        <v/>
      </c>
      <c r="I220" s="22">
        <f>IF($C220&lt;&gt;"دستمزد گروهی","—",IF($H220="","",IF(ROUND($H220-IF($G220="",0,$G220),0)=0,"√","▲ مغایرت "&amp;TEXT(IF($G220="",0,$G220)-$H220,"#,##0"))))</f>
        <v/>
      </c>
      <c r="J220" s="18" t="n"/>
    </row>
    <row r="221">
      <c r="A221" s="10">
        <f>IF($B221="","",COUNTA($B$9:$B221))</f>
        <v/>
      </c>
      <c r="B221" s="11" t="n"/>
      <c r="C221" s="12" t="n"/>
      <c r="D221" s="12" t="n"/>
      <c r="E221" s="13" t="n"/>
      <c r="F221" s="14">
        <f>IF($E221="","",IF($C221="دستمزد گروهی",IFERROR(VLOOKUP($E221,WGTbl,2,0),"کد ناشناخته"),IFERROR(IF(VLOOKUP($E221,AcctTblE,4,0)="","(بدون نام)",VLOOKUP($E221,AcctTblE,4,0)),"کد ناشناخته")))</f>
        <v/>
      </c>
      <c r="G221" s="15" t="n"/>
      <c r="H221" s="16">
        <f>IF(OR($C221&lt;&gt;"دستمزد گروهی",$D221=""),"",SUMIFS(ShareAmt,ShareLink,$D221))</f>
        <v/>
      </c>
      <c r="I221" s="17">
        <f>IF($C221&lt;&gt;"دستمزد گروهی","—",IF($H221="","",IF(ROUND($H221-IF($G221="",0,$G221),0)=0,"√","▲ مغایرت "&amp;TEXT(IF($G221="",0,$G221)-$H221,"#,##0"))))</f>
        <v/>
      </c>
      <c r="J221" s="18" t="n"/>
    </row>
    <row r="222">
      <c r="A222" s="19">
        <f>IF($B222="","",COUNTA($B$9:$B222))</f>
        <v/>
      </c>
      <c r="B222" s="11" t="n"/>
      <c r="C222" s="12" t="n"/>
      <c r="D222" s="12" t="n"/>
      <c r="E222" s="13" t="n"/>
      <c r="F222" s="20">
        <f>IF($E222="","",IF($C222="دستمزد گروهی",IFERROR(VLOOKUP($E222,WGTbl,2,0),"کد ناشناخته"),IFERROR(IF(VLOOKUP($E222,AcctTblE,4,0)="","(بدون نام)",VLOOKUP($E222,AcctTblE,4,0)),"کد ناشناخته")))</f>
        <v/>
      </c>
      <c r="G222" s="15" t="n"/>
      <c r="H222" s="21">
        <f>IF(OR($C222&lt;&gt;"دستمزد گروهی",$D222=""),"",SUMIFS(ShareAmt,ShareLink,$D222))</f>
        <v/>
      </c>
      <c r="I222" s="22">
        <f>IF($C222&lt;&gt;"دستمزد گروهی","—",IF($H222="","",IF(ROUND($H222-IF($G222="",0,$G222),0)=0,"√","▲ مغایرت "&amp;TEXT(IF($G222="",0,$G222)-$H222,"#,##0"))))</f>
        <v/>
      </c>
      <c r="J222" s="18" t="n"/>
    </row>
    <row r="223">
      <c r="A223" s="10">
        <f>IF($B223="","",COUNTA($B$9:$B223))</f>
        <v/>
      </c>
      <c r="B223" s="11" t="n"/>
      <c r="C223" s="12" t="n"/>
      <c r="D223" s="12" t="n"/>
      <c r="E223" s="13" t="n"/>
      <c r="F223" s="14">
        <f>IF($E223="","",IF($C223="دستمزد گروهی",IFERROR(VLOOKUP($E223,WGTbl,2,0),"کد ناشناخته"),IFERROR(IF(VLOOKUP($E223,AcctTblE,4,0)="","(بدون نام)",VLOOKUP($E223,AcctTblE,4,0)),"کد ناشناخته")))</f>
        <v/>
      </c>
      <c r="G223" s="15" t="n"/>
      <c r="H223" s="16">
        <f>IF(OR($C223&lt;&gt;"دستمزد گروهی",$D223=""),"",SUMIFS(ShareAmt,ShareLink,$D223))</f>
        <v/>
      </c>
      <c r="I223" s="17">
        <f>IF($C223&lt;&gt;"دستمزد گروهی","—",IF($H223="","",IF(ROUND($H223-IF($G223="",0,$G223),0)=0,"√","▲ مغایرت "&amp;TEXT(IF($G223="",0,$G223)-$H223,"#,##0"))))</f>
        <v/>
      </c>
      <c r="J223" s="18" t="n"/>
    </row>
    <row r="224">
      <c r="A224" s="19">
        <f>IF($B224="","",COUNTA($B$9:$B224))</f>
        <v/>
      </c>
      <c r="B224" s="11" t="n"/>
      <c r="C224" s="12" t="n"/>
      <c r="D224" s="12" t="n"/>
      <c r="E224" s="13" t="n"/>
      <c r="F224" s="20">
        <f>IF($E224="","",IF($C224="دستمزد گروهی",IFERROR(VLOOKUP($E224,WGTbl,2,0),"کد ناشناخته"),IFERROR(IF(VLOOKUP($E224,AcctTblE,4,0)="","(بدون نام)",VLOOKUP($E224,AcctTblE,4,0)),"کد ناشناخته")))</f>
        <v/>
      </c>
      <c r="G224" s="15" t="n"/>
      <c r="H224" s="21">
        <f>IF(OR($C224&lt;&gt;"دستمزد گروهی",$D224=""),"",SUMIFS(ShareAmt,ShareLink,$D224))</f>
        <v/>
      </c>
      <c r="I224" s="22">
        <f>IF($C224&lt;&gt;"دستمزد گروهی","—",IF($H224="","",IF(ROUND($H224-IF($G224="",0,$G224),0)=0,"√","▲ مغایرت "&amp;TEXT(IF($G224="",0,$G224)-$H224,"#,##0"))))</f>
        <v/>
      </c>
      <c r="J224" s="18" t="n"/>
    </row>
    <row r="225">
      <c r="A225" s="10">
        <f>IF($B225="","",COUNTA($B$9:$B225))</f>
        <v/>
      </c>
      <c r="B225" s="11" t="n"/>
      <c r="C225" s="12" t="n"/>
      <c r="D225" s="12" t="n"/>
      <c r="E225" s="13" t="n"/>
      <c r="F225" s="14">
        <f>IF($E225="","",IF($C225="دستمزد گروهی",IFERROR(VLOOKUP($E225,WGTbl,2,0),"کد ناشناخته"),IFERROR(IF(VLOOKUP($E225,AcctTblE,4,0)="","(بدون نام)",VLOOKUP($E225,AcctTblE,4,0)),"کد ناشناخته")))</f>
        <v/>
      </c>
      <c r="G225" s="15" t="n"/>
      <c r="H225" s="16">
        <f>IF(OR($C225&lt;&gt;"دستمزد گروهی",$D225=""),"",SUMIFS(ShareAmt,ShareLink,$D225))</f>
        <v/>
      </c>
      <c r="I225" s="17">
        <f>IF($C225&lt;&gt;"دستمزد گروهی","—",IF($H225="","",IF(ROUND($H225-IF($G225="",0,$G225),0)=0,"√","▲ مغایرت "&amp;TEXT(IF($G225="",0,$G225)-$H225,"#,##0"))))</f>
        <v/>
      </c>
      <c r="J225" s="18" t="n"/>
    </row>
    <row r="226">
      <c r="A226" s="19">
        <f>IF($B226="","",COUNTA($B$9:$B226))</f>
        <v/>
      </c>
      <c r="B226" s="11" t="n"/>
      <c r="C226" s="12" t="n"/>
      <c r="D226" s="12" t="n"/>
      <c r="E226" s="13" t="n"/>
      <c r="F226" s="20">
        <f>IF($E226="","",IF($C226="دستمزد گروهی",IFERROR(VLOOKUP($E226,WGTbl,2,0),"کد ناشناخته"),IFERROR(IF(VLOOKUP($E226,AcctTblE,4,0)="","(بدون نام)",VLOOKUP($E226,AcctTblE,4,0)),"کد ناشناخته")))</f>
        <v/>
      </c>
      <c r="G226" s="15" t="n"/>
      <c r="H226" s="21">
        <f>IF(OR($C226&lt;&gt;"دستمزد گروهی",$D226=""),"",SUMIFS(ShareAmt,ShareLink,$D226))</f>
        <v/>
      </c>
      <c r="I226" s="22">
        <f>IF($C226&lt;&gt;"دستمزد گروهی","—",IF($H226="","",IF(ROUND($H226-IF($G226="",0,$G226),0)=0,"√","▲ مغایرت "&amp;TEXT(IF($G226="",0,$G226)-$H226,"#,##0"))))</f>
        <v/>
      </c>
      <c r="J226" s="18" t="n"/>
    </row>
    <row r="227">
      <c r="A227" s="10">
        <f>IF($B227="","",COUNTA($B$9:$B227))</f>
        <v/>
      </c>
      <c r="B227" s="11" t="n"/>
      <c r="C227" s="12" t="n"/>
      <c r="D227" s="12" t="n"/>
      <c r="E227" s="13" t="n"/>
      <c r="F227" s="14">
        <f>IF($E227="","",IF($C227="دستمزد گروهی",IFERROR(VLOOKUP($E227,WGTbl,2,0),"کد ناشناخته"),IFERROR(IF(VLOOKUP($E227,AcctTblE,4,0)="","(بدون نام)",VLOOKUP($E227,AcctTblE,4,0)),"کد ناشناخته")))</f>
        <v/>
      </c>
      <c r="G227" s="15" t="n"/>
      <c r="H227" s="16">
        <f>IF(OR($C227&lt;&gt;"دستمزد گروهی",$D227=""),"",SUMIFS(ShareAmt,ShareLink,$D227))</f>
        <v/>
      </c>
      <c r="I227" s="17">
        <f>IF($C227&lt;&gt;"دستمزد گروهی","—",IF($H227="","",IF(ROUND($H227-IF($G227="",0,$G227),0)=0,"√","▲ مغایرت "&amp;TEXT(IF($G227="",0,$G227)-$H227,"#,##0"))))</f>
        <v/>
      </c>
      <c r="J227" s="18" t="n"/>
    </row>
    <row r="228">
      <c r="A228" s="19">
        <f>IF($B228="","",COUNTA($B$9:$B228))</f>
        <v/>
      </c>
      <c r="B228" s="11" t="n"/>
      <c r="C228" s="12" t="n"/>
      <c r="D228" s="12" t="n"/>
      <c r="E228" s="13" t="n"/>
      <c r="F228" s="20">
        <f>IF($E228="","",IF($C228="دستمزد گروهی",IFERROR(VLOOKUP($E228,WGTbl,2,0),"کد ناشناخته"),IFERROR(IF(VLOOKUP($E228,AcctTblE,4,0)="","(بدون نام)",VLOOKUP($E228,AcctTblE,4,0)),"کد ناشناخته")))</f>
        <v/>
      </c>
      <c r="G228" s="15" t="n"/>
      <c r="H228" s="21">
        <f>IF(OR($C228&lt;&gt;"دستمزد گروهی",$D228=""),"",SUMIFS(ShareAmt,ShareLink,$D228))</f>
        <v/>
      </c>
      <c r="I228" s="22">
        <f>IF($C228&lt;&gt;"دستمزد گروهی","—",IF($H228="","",IF(ROUND($H228-IF($G228="",0,$G228),0)=0,"√","▲ مغایرت "&amp;TEXT(IF($G228="",0,$G228)-$H228,"#,##0"))))</f>
        <v/>
      </c>
      <c r="J228" s="18" t="n"/>
    </row>
    <row r="229">
      <c r="A229" s="10">
        <f>IF($B229="","",COUNTA($B$9:$B229))</f>
        <v/>
      </c>
      <c r="B229" s="11" t="n"/>
      <c r="C229" s="12" t="n"/>
      <c r="D229" s="12" t="n"/>
      <c r="E229" s="13" t="n"/>
      <c r="F229" s="14">
        <f>IF($E229="","",IF($C229="دستمزد گروهی",IFERROR(VLOOKUP($E229,WGTbl,2,0),"کد ناشناخته"),IFERROR(IF(VLOOKUP($E229,AcctTblE,4,0)="","(بدون نام)",VLOOKUP($E229,AcctTblE,4,0)),"کد ناشناخته")))</f>
        <v/>
      </c>
      <c r="G229" s="15" t="n"/>
      <c r="H229" s="16">
        <f>IF(OR($C229&lt;&gt;"دستمزد گروهی",$D229=""),"",SUMIFS(ShareAmt,ShareLink,$D229))</f>
        <v/>
      </c>
      <c r="I229" s="17">
        <f>IF($C229&lt;&gt;"دستمزد گروهی","—",IF($H229="","",IF(ROUND($H229-IF($G229="",0,$G229),0)=0,"√","▲ مغایرت "&amp;TEXT(IF($G229="",0,$G229)-$H229,"#,##0"))))</f>
        <v/>
      </c>
      <c r="J229" s="18" t="n"/>
    </row>
    <row r="230">
      <c r="A230" s="19">
        <f>IF($B230="","",COUNTA($B$9:$B230))</f>
        <v/>
      </c>
      <c r="B230" s="11" t="n"/>
      <c r="C230" s="12" t="n"/>
      <c r="D230" s="12" t="n"/>
      <c r="E230" s="13" t="n"/>
      <c r="F230" s="20">
        <f>IF($E230="","",IF($C230="دستمزد گروهی",IFERROR(VLOOKUP($E230,WGTbl,2,0),"کد ناشناخته"),IFERROR(IF(VLOOKUP($E230,AcctTblE,4,0)="","(بدون نام)",VLOOKUP($E230,AcctTblE,4,0)),"کد ناشناخته")))</f>
        <v/>
      </c>
      <c r="G230" s="15" t="n"/>
      <c r="H230" s="21">
        <f>IF(OR($C230&lt;&gt;"دستمزد گروهی",$D230=""),"",SUMIFS(ShareAmt,ShareLink,$D230))</f>
        <v/>
      </c>
      <c r="I230" s="22">
        <f>IF($C230&lt;&gt;"دستمزد گروهی","—",IF($H230="","",IF(ROUND($H230-IF($G230="",0,$G230),0)=0,"√","▲ مغایرت "&amp;TEXT(IF($G230="",0,$G230)-$H230,"#,##0"))))</f>
        <v/>
      </c>
      <c r="J230" s="18" t="n"/>
    </row>
    <row r="231">
      <c r="A231" s="10">
        <f>IF($B231="","",COUNTA($B$9:$B231))</f>
        <v/>
      </c>
      <c r="B231" s="11" t="n"/>
      <c r="C231" s="12" t="n"/>
      <c r="D231" s="12" t="n"/>
      <c r="E231" s="13" t="n"/>
      <c r="F231" s="14">
        <f>IF($E231="","",IF($C231="دستمزد گروهی",IFERROR(VLOOKUP($E231,WGTbl,2,0),"کد ناشناخته"),IFERROR(IF(VLOOKUP($E231,AcctTblE,4,0)="","(بدون نام)",VLOOKUP($E231,AcctTblE,4,0)),"کد ناشناخته")))</f>
        <v/>
      </c>
      <c r="G231" s="15" t="n"/>
      <c r="H231" s="16">
        <f>IF(OR($C231&lt;&gt;"دستمزد گروهی",$D231=""),"",SUMIFS(ShareAmt,ShareLink,$D231))</f>
        <v/>
      </c>
      <c r="I231" s="17">
        <f>IF($C231&lt;&gt;"دستمزد گروهی","—",IF($H231="","",IF(ROUND($H231-IF($G231="",0,$G231),0)=0,"√","▲ مغایرت "&amp;TEXT(IF($G231="",0,$G231)-$H231,"#,##0"))))</f>
        <v/>
      </c>
      <c r="J231" s="18" t="n"/>
    </row>
    <row r="232">
      <c r="A232" s="19">
        <f>IF($B232="","",COUNTA($B$9:$B232))</f>
        <v/>
      </c>
      <c r="B232" s="11" t="n"/>
      <c r="C232" s="12" t="n"/>
      <c r="D232" s="12" t="n"/>
      <c r="E232" s="13" t="n"/>
      <c r="F232" s="20">
        <f>IF($E232="","",IF($C232="دستمزد گروهی",IFERROR(VLOOKUP($E232,WGTbl,2,0),"کد ناشناخته"),IFERROR(IF(VLOOKUP($E232,AcctTblE,4,0)="","(بدون نام)",VLOOKUP($E232,AcctTblE,4,0)),"کد ناشناخته")))</f>
        <v/>
      </c>
      <c r="G232" s="15" t="n"/>
      <c r="H232" s="21">
        <f>IF(OR($C232&lt;&gt;"دستمزد گروهی",$D232=""),"",SUMIFS(ShareAmt,ShareLink,$D232))</f>
        <v/>
      </c>
      <c r="I232" s="22">
        <f>IF($C232&lt;&gt;"دستمزد گروهی","—",IF($H232="","",IF(ROUND($H232-IF($G232="",0,$G232),0)=0,"√","▲ مغایرت "&amp;TEXT(IF($G232="",0,$G232)-$H232,"#,##0"))))</f>
        <v/>
      </c>
      <c r="J232" s="18" t="n"/>
    </row>
    <row r="233">
      <c r="A233" s="10">
        <f>IF($B233="","",COUNTA($B$9:$B233))</f>
        <v/>
      </c>
      <c r="B233" s="11" t="n"/>
      <c r="C233" s="12" t="n"/>
      <c r="D233" s="12" t="n"/>
      <c r="E233" s="13" t="n"/>
      <c r="F233" s="14">
        <f>IF($E233="","",IF($C233="دستمزد گروهی",IFERROR(VLOOKUP($E233,WGTbl,2,0),"کد ناشناخته"),IFERROR(IF(VLOOKUP($E233,AcctTblE,4,0)="","(بدون نام)",VLOOKUP($E233,AcctTblE,4,0)),"کد ناشناخته")))</f>
        <v/>
      </c>
      <c r="G233" s="15" t="n"/>
      <c r="H233" s="16">
        <f>IF(OR($C233&lt;&gt;"دستمزد گروهی",$D233=""),"",SUMIFS(ShareAmt,ShareLink,$D233))</f>
        <v/>
      </c>
      <c r="I233" s="17">
        <f>IF($C233&lt;&gt;"دستمزد گروهی","—",IF($H233="","",IF(ROUND($H233-IF($G233="",0,$G233),0)=0,"√","▲ مغایرت "&amp;TEXT(IF($G233="",0,$G233)-$H233,"#,##0"))))</f>
        <v/>
      </c>
      <c r="J233" s="18" t="n"/>
    </row>
    <row r="234">
      <c r="A234" s="19">
        <f>IF($B234="","",COUNTA($B$9:$B234))</f>
        <v/>
      </c>
      <c r="B234" s="11" t="n"/>
      <c r="C234" s="12" t="n"/>
      <c r="D234" s="12" t="n"/>
      <c r="E234" s="13" t="n"/>
      <c r="F234" s="20">
        <f>IF($E234="","",IF($C234="دستمزد گروهی",IFERROR(VLOOKUP($E234,WGTbl,2,0),"کد ناشناخته"),IFERROR(IF(VLOOKUP($E234,AcctTblE,4,0)="","(بدون نام)",VLOOKUP($E234,AcctTblE,4,0)),"کد ناشناخته")))</f>
        <v/>
      </c>
      <c r="G234" s="15" t="n"/>
      <c r="H234" s="21">
        <f>IF(OR($C234&lt;&gt;"دستمزد گروهی",$D234=""),"",SUMIFS(ShareAmt,ShareLink,$D234))</f>
        <v/>
      </c>
      <c r="I234" s="22">
        <f>IF($C234&lt;&gt;"دستمزد گروهی","—",IF($H234="","",IF(ROUND($H234-IF($G234="",0,$G234),0)=0,"√","▲ مغایرت "&amp;TEXT(IF($G234="",0,$G234)-$H234,"#,##0"))))</f>
        <v/>
      </c>
      <c r="J234" s="18" t="n"/>
    </row>
    <row r="235">
      <c r="A235" s="10">
        <f>IF($B235="","",COUNTA($B$9:$B235))</f>
        <v/>
      </c>
      <c r="B235" s="11" t="n"/>
      <c r="C235" s="12" t="n"/>
      <c r="D235" s="12" t="n"/>
      <c r="E235" s="13" t="n"/>
      <c r="F235" s="14">
        <f>IF($E235="","",IF($C235="دستمزد گروهی",IFERROR(VLOOKUP($E235,WGTbl,2,0),"کد ناشناخته"),IFERROR(IF(VLOOKUP($E235,AcctTblE,4,0)="","(بدون نام)",VLOOKUP($E235,AcctTblE,4,0)),"کد ناشناخته")))</f>
        <v/>
      </c>
      <c r="G235" s="15" t="n"/>
      <c r="H235" s="16">
        <f>IF(OR($C235&lt;&gt;"دستمزد گروهی",$D235=""),"",SUMIFS(ShareAmt,ShareLink,$D235))</f>
        <v/>
      </c>
      <c r="I235" s="17">
        <f>IF($C235&lt;&gt;"دستمزد گروهی","—",IF($H235="","",IF(ROUND($H235-IF($G235="",0,$G235),0)=0,"√","▲ مغایرت "&amp;TEXT(IF($G235="",0,$G235)-$H235,"#,##0"))))</f>
        <v/>
      </c>
      <c r="J235" s="18" t="n"/>
    </row>
    <row r="236">
      <c r="A236" s="19">
        <f>IF($B236="","",COUNTA($B$9:$B236))</f>
        <v/>
      </c>
      <c r="B236" s="11" t="n"/>
      <c r="C236" s="12" t="n"/>
      <c r="D236" s="12" t="n"/>
      <c r="E236" s="13" t="n"/>
      <c r="F236" s="20">
        <f>IF($E236="","",IF($C236="دستمزد گروهی",IFERROR(VLOOKUP($E236,WGTbl,2,0),"کد ناشناخته"),IFERROR(IF(VLOOKUP($E236,AcctTblE,4,0)="","(بدون نام)",VLOOKUP($E236,AcctTblE,4,0)),"کد ناشناخته")))</f>
        <v/>
      </c>
      <c r="G236" s="15" t="n"/>
      <c r="H236" s="21">
        <f>IF(OR($C236&lt;&gt;"دستمزد گروهی",$D236=""),"",SUMIFS(ShareAmt,ShareLink,$D236))</f>
        <v/>
      </c>
      <c r="I236" s="22">
        <f>IF($C236&lt;&gt;"دستمزد گروهی","—",IF($H236="","",IF(ROUND($H236-IF($G236="",0,$G236),0)=0,"√","▲ مغایرت "&amp;TEXT(IF($G236="",0,$G236)-$H236,"#,##0"))))</f>
        <v/>
      </c>
      <c r="J236" s="18" t="n"/>
    </row>
    <row r="237">
      <c r="A237" s="10">
        <f>IF($B237="","",COUNTA($B$9:$B237))</f>
        <v/>
      </c>
      <c r="B237" s="11" t="n"/>
      <c r="C237" s="12" t="n"/>
      <c r="D237" s="12" t="n"/>
      <c r="E237" s="13" t="n"/>
      <c r="F237" s="14">
        <f>IF($E237="","",IF($C237="دستمزد گروهی",IFERROR(VLOOKUP($E237,WGTbl,2,0),"کد ناشناخته"),IFERROR(IF(VLOOKUP($E237,AcctTblE,4,0)="","(بدون نام)",VLOOKUP($E237,AcctTblE,4,0)),"کد ناشناخته")))</f>
        <v/>
      </c>
      <c r="G237" s="15" t="n"/>
      <c r="H237" s="16">
        <f>IF(OR($C237&lt;&gt;"دستمزد گروهی",$D237=""),"",SUMIFS(ShareAmt,ShareLink,$D237))</f>
        <v/>
      </c>
      <c r="I237" s="17">
        <f>IF($C237&lt;&gt;"دستمزد گروهی","—",IF($H237="","",IF(ROUND($H237-IF($G237="",0,$G237),0)=0,"√","▲ مغایرت "&amp;TEXT(IF($G237="",0,$G237)-$H237,"#,##0"))))</f>
        <v/>
      </c>
      <c r="J237" s="18" t="n"/>
    </row>
    <row r="238">
      <c r="A238" s="19">
        <f>IF($B238="","",COUNTA($B$9:$B238))</f>
        <v/>
      </c>
      <c r="B238" s="11" t="n"/>
      <c r="C238" s="12" t="n"/>
      <c r="D238" s="12" t="n"/>
      <c r="E238" s="13" t="n"/>
      <c r="F238" s="20">
        <f>IF($E238="","",IF($C238="دستمزد گروهی",IFERROR(VLOOKUP($E238,WGTbl,2,0),"کد ناشناخته"),IFERROR(IF(VLOOKUP($E238,AcctTblE,4,0)="","(بدون نام)",VLOOKUP($E238,AcctTblE,4,0)),"کد ناشناخته")))</f>
        <v/>
      </c>
      <c r="G238" s="15" t="n"/>
      <c r="H238" s="21">
        <f>IF(OR($C238&lt;&gt;"دستمزد گروهی",$D238=""),"",SUMIFS(ShareAmt,ShareLink,$D238))</f>
        <v/>
      </c>
      <c r="I238" s="22">
        <f>IF($C238&lt;&gt;"دستمزد گروهی","—",IF($H238="","",IF(ROUND($H238-IF($G238="",0,$G238),0)=0,"√","▲ مغایرت "&amp;TEXT(IF($G238="",0,$G238)-$H238,"#,##0"))))</f>
        <v/>
      </c>
      <c r="J238" s="18" t="n"/>
    </row>
    <row r="239">
      <c r="A239" s="10">
        <f>IF($B239="","",COUNTA($B$9:$B239))</f>
        <v/>
      </c>
      <c r="B239" s="11" t="n"/>
      <c r="C239" s="12" t="n"/>
      <c r="D239" s="12" t="n"/>
      <c r="E239" s="13" t="n"/>
      <c r="F239" s="14">
        <f>IF($E239="","",IF($C239="دستمزد گروهی",IFERROR(VLOOKUP($E239,WGTbl,2,0),"کد ناشناخته"),IFERROR(IF(VLOOKUP($E239,AcctTblE,4,0)="","(بدون نام)",VLOOKUP($E239,AcctTblE,4,0)),"کد ناشناخته")))</f>
        <v/>
      </c>
      <c r="G239" s="15" t="n"/>
      <c r="H239" s="16">
        <f>IF(OR($C239&lt;&gt;"دستمزد گروهی",$D239=""),"",SUMIFS(ShareAmt,ShareLink,$D239))</f>
        <v/>
      </c>
      <c r="I239" s="17">
        <f>IF($C239&lt;&gt;"دستمزد گروهی","—",IF($H239="","",IF(ROUND($H239-IF($G239="",0,$G239),0)=0,"√","▲ مغایرت "&amp;TEXT(IF($G239="",0,$G239)-$H239,"#,##0"))))</f>
        <v/>
      </c>
      <c r="J239" s="18" t="n"/>
    </row>
    <row r="240">
      <c r="A240" s="19">
        <f>IF($B240="","",COUNTA($B$9:$B240))</f>
        <v/>
      </c>
      <c r="B240" s="11" t="n"/>
      <c r="C240" s="12" t="n"/>
      <c r="D240" s="12" t="n"/>
      <c r="E240" s="13" t="n"/>
      <c r="F240" s="20">
        <f>IF($E240="","",IF($C240="دستمزد گروهی",IFERROR(VLOOKUP($E240,WGTbl,2,0),"کد ناشناخته"),IFERROR(IF(VLOOKUP($E240,AcctTblE,4,0)="","(بدون نام)",VLOOKUP($E240,AcctTblE,4,0)),"کد ناشناخته")))</f>
        <v/>
      </c>
      <c r="G240" s="15" t="n"/>
      <c r="H240" s="21">
        <f>IF(OR($C240&lt;&gt;"دستمزد گروهی",$D240=""),"",SUMIFS(ShareAmt,ShareLink,$D240))</f>
        <v/>
      </c>
      <c r="I240" s="22">
        <f>IF($C240&lt;&gt;"دستمزد گروهی","—",IF($H240="","",IF(ROUND($H240-IF($G240="",0,$G240),0)=0,"√","▲ مغایرت "&amp;TEXT(IF($G240="",0,$G240)-$H240,"#,##0"))))</f>
        <v/>
      </c>
      <c r="J240" s="18" t="n"/>
    </row>
    <row r="241">
      <c r="A241" s="10">
        <f>IF($B241="","",COUNTA($B$9:$B241))</f>
        <v/>
      </c>
      <c r="B241" s="11" t="n"/>
      <c r="C241" s="12" t="n"/>
      <c r="D241" s="12" t="n"/>
      <c r="E241" s="13" t="n"/>
      <c r="F241" s="14">
        <f>IF($E241="","",IF($C241="دستمزد گروهی",IFERROR(VLOOKUP($E241,WGTbl,2,0),"کد ناشناخته"),IFERROR(IF(VLOOKUP($E241,AcctTblE,4,0)="","(بدون نام)",VLOOKUP($E241,AcctTblE,4,0)),"کد ناشناخته")))</f>
        <v/>
      </c>
      <c r="G241" s="15" t="n"/>
      <c r="H241" s="16">
        <f>IF(OR($C241&lt;&gt;"دستمزد گروهی",$D241=""),"",SUMIFS(ShareAmt,ShareLink,$D241))</f>
        <v/>
      </c>
      <c r="I241" s="17">
        <f>IF($C241&lt;&gt;"دستمزد گروهی","—",IF($H241="","",IF(ROUND($H241-IF($G241="",0,$G241),0)=0,"√","▲ مغایرت "&amp;TEXT(IF($G241="",0,$G241)-$H241,"#,##0"))))</f>
        <v/>
      </c>
      <c r="J241" s="18" t="n"/>
    </row>
    <row r="242">
      <c r="A242" s="19">
        <f>IF($B242="","",COUNTA($B$9:$B242))</f>
        <v/>
      </c>
      <c r="B242" s="11" t="n"/>
      <c r="C242" s="12" t="n"/>
      <c r="D242" s="12" t="n"/>
      <c r="E242" s="13" t="n"/>
      <c r="F242" s="20">
        <f>IF($E242="","",IF($C242="دستمزد گروهی",IFERROR(VLOOKUP($E242,WGTbl,2,0),"کد ناشناخته"),IFERROR(IF(VLOOKUP($E242,AcctTblE,4,0)="","(بدون نام)",VLOOKUP($E242,AcctTblE,4,0)),"کد ناشناخته")))</f>
        <v/>
      </c>
      <c r="G242" s="15" t="n"/>
      <c r="H242" s="21">
        <f>IF(OR($C242&lt;&gt;"دستمزد گروهی",$D242=""),"",SUMIFS(ShareAmt,ShareLink,$D242))</f>
        <v/>
      </c>
      <c r="I242" s="22">
        <f>IF($C242&lt;&gt;"دستمزد گروهی","—",IF($H242="","",IF(ROUND($H242-IF($G242="",0,$G242),0)=0,"√","▲ مغایرت "&amp;TEXT(IF($G242="",0,$G242)-$H242,"#,##0"))))</f>
        <v/>
      </c>
      <c r="J242" s="18" t="n"/>
    </row>
    <row r="243">
      <c r="A243" s="10">
        <f>IF($B243="","",COUNTA($B$9:$B243))</f>
        <v/>
      </c>
      <c r="B243" s="11" t="n"/>
      <c r="C243" s="12" t="n"/>
      <c r="D243" s="12" t="n"/>
      <c r="E243" s="13" t="n"/>
      <c r="F243" s="14">
        <f>IF($E243="","",IF($C243="دستمزد گروهی",IFERROR(VLOOKUP($E243,WGTbl,2,0),"کد ناشناخته"),IFERROR(IF(VLOOKUP($E243,AcctTblE,4,0)="","(بدون نام)",VLOOKUP($E243,AcctTblE,4,0)),"کد ناشناخته")))</f>
        <v/>
      </c>
      <c r="G243" s="15" t="n"/>
      <c r="H243" s="16">
        <f>IF(OR($C243&lt;&gt;"دستمزد گروهی",$D243=""),"",SUMIFS(ShareAmt,ShareLink,$D243))</f>
        <v/>
      </c>
      <c r="I243" s="17">
        <f>IF($C243&lt;&gt;"دستمزد گروهی","—",IF($H243="","",IF(ROUND($H243-IF($G243="",0,$G243),0)=0,"√","▲ مغایرت "&amp;TEXT(IF($G243="",0,$G243)-$H243,"#,##0"))))</f>
        <v/>
      </c>
      <c r="J243" s="18" t="n"/>
    </row>
    <row r="244">
      <c r="A244" s="19">
        <f>IF($B244="","",COUNTA($B$9:$B244))</f>
        <v/>
      </c>
      <c r="B244" s="11" t="n"/>
      <c r="C244" s="12" t="n"/>
      <c r="D244" s="12" t="n"/>
      <c r="E244" s="13" t="n"/>
      <c r="F244" s="20">
        <f>IF($E244="","",IF($C244="دستمزد گروهی",IFERROR(VLOOKUP($E244,WGTbl,2,0),"کد ناشناخته"),IFERROR(IF(VLOOKUP($E244,AcctTblE,4,0)="","(بدون نام)",VLOOKUP($E244,AcctTblE,4,0)),"کد ناشناخته")))</f>
        <v/>
      </c>
      <c r="G244" s="15" t="n"/>
      <c r="H244" s="21">
        <f>IF(OR($C244&lt;&gt;"دستمزد گروهی",$D244=""),"",SUMIFS(ShareAmt,ShareLink,$D244))</f>
        <v/>
      </c>
      <c r="I244" s="22">
        <f>IF($C244&lt;&gt;"دستمزد گروهی","—",IF($H244="","",IF(ROUND($H244-IF($G244="",0,$G244),0)=0,"√","▲ مغایرت "&amp;TEXT(IF($G244="",0,$G244)-$H244,"#,##0"))))</f>
        <v/>
      </c>
      <c r="J244" s="18" t="n"/>
    </row>
    <row r="245">
      <c r="A245" s="10">
        <f>IF($B245="","",COUNTA($B$9:$B245))</f>
        <v/>
      </c>
      <c r="B245" s="11" t="n"/>
      <c r="C245" s="12" t="n"/>
      <c r="D245" s="12" t="n"/>
      <c r="E245" s="13" t="n"/>
      <c r="F245" s="14">
        <f>IF($E245="","",IF($C245="دستمزد گروهی",IFERROR(VLOOKUP($E245,WGTbl,2,0),"کد ناشناخته"),IFERROR(IF(VLOOKUP($E245,AcctTblE,4,0)="","(بدون نام)",VLOOKUP($E245,AcctTblE,4,0)),"کد ناشناخته")))</f>
        <v/>
      </c>
      <c r="G245" s="15" t="n"/>
      <c r="H245" s="16">
        <f>IF(OR($C245&lt;&gt;"دستمزد گروهی",$D245=""),"",SUMIFS(ShareAmt,ShareLink,$D245))</f>
        <v/>
      </c>
      <c r="I245" s="17">
        <f>IF($C245&lt;&gt;"دستمزد گروهی","—",IF($H245="","",IF(ROUND($H245-IF($G245="",0,$G245),0)=0,"√","▲ مغایرت "&amp;TEXT(IF($G245="",0,$G245)-$H245,"#,##0"))))</f>
        <v/>
      </c>
      <c r="J245" s="18" t="n"/>
    </row>
    <row r="246">
      <c r="A246" s="19">
        <f>IF($B246="","",COUNTA($B$9:$B246))</f>
        <v/>
      </c>
      <c r="B246" s="11" t="n"/>
      <c r="C246" s="12" t="n"/>
      <c r="D246" s="12" t="n"/>
      <c r="E246" s="13" t="n"/>
      <c r="F246" s="20">
        <f>IF($E246="","",IF($C246="دستمزد گروهی",IFERROR(VLOOKUP($E246,WGTbl,2,0),"کد ناشناخته"),IFERROR(IF(VLOOKUP($E246,AcctTblE,4,0)="","(بدون نام)",VLOOKUP($E246,AcctTblE,4,0)),"کد ناشناخته")))</f>
        <v/>
      </c>
      <c r="G246" s="15" t="n"/>
      <c r="H246" s="21">
        <f>IF(OR($C246&lt;&gt;"دستمزد گروهی",$D246=""),"",SUMIFS(ShareAmt,ShareLink,$D246))</f>
        <v/>
      </c>
      <c r="I246" s="22">
        <f>IF($C246&lt;&gt;"دستمزد گروهی","—",IF($H246="","",IF(ROUND($H246-IF($G246="",0,$G246),0)=0,"√","▲ مغایرت "&amp;TEXT(IF($G246="",0,$G246)-$H246,"#,##0"))))</f>
        <v/>
      </c>
      <c r="J246" s="18" t="n"/>
    </row>
    <row r="247">
      <c r="A247" s="10">
        <f>IF($B247="","",COUNTA($B$9:$B247))</f>
        <v/>
      </c>
      <c r="B247" s="11" t="n"/>
      <c r="C247" s="12" t="n"/>
      <c r="D247" s="12" t="n"/>
      <c r="E247" s="13" t="n"/>
      <c r="F247" s="14">
        <f>IF($E247="","",IF($C247="دستمزد گروهی",IFERROR(VLOOKUP($E247,WGTbl,2,0),"کد ناشناخته"),IFERROR(IF(VLOOKUP($E247,AcctTblE,4,0)="","(بدون نام)",VLOOKUP($E247,AcctTblE,4,0)),"کد ناشناخته")))</f>
        <v/>
      </c>
      <c r="G247" s="15" t="n"/>
      <c r="H247" s="16">
        <f>IF(OR($C247&lt;&gt;"دستمزد گروهی",$D247=""),"",SUMIFS(ShareAmt,ShareLink,$D247))</f>
        <v/>
      </c>
      <c r="I247" s="17">
        <f>IF($C247&lt;&gt;"دستمزد گروهی","—",IF($H247="","",IF(ROUND($H247-IF($G247="",0,$G247),0)=0,"√","▲ مغایرت "&amp;TEXT(IF($G247="",0,$G247)-$H247,"#,##0"))))</f>
        <v/>
      </c>
      <c r="J247" s="18" t="n"/>
    </row>
    <row r="248">
      <c r="A248" s="19">
        <f>IF($B248="","",COUNTA($B$9:$B248))</f>
        <v/>
      </c>
      <c r="B248" s="11" t="n"/>
      <c r="C248" s="12" t="n"/>
      <c r="D248" s="12" t="n"/>
      <c r="E248" s="13" t="n"/>
      <c r="F248" s="20">
        <f>IF($E248="","",IF($C248="دستمزد گروهی",IFERROR(VLOOKUP($E248,WGTbl,2,0),"کد ناشناخته"),IFERROR(IF(VLOOKUP($E248,AcctTblE,4,0)="","(بدون نام)",VLOOKUP($E248,AcctTblE,4,0)),"کد ناشناخته")))</f>
        <v/>
      </c>
      <c r="G248" s="15" t="n"/>
      <c r="H248" s="21">
        <f>IF(OR($C248&lt;&gt;"دستمزد گروهی",$D248=""),"",SUMIFS(ShareAmt,ShareLink,$D248))</f>
        <v/>
      </c>
      <c r="I248" s="22">
        <f>IF($C248&lt;&gt;"دستمزد گروهی","—",IF($H248="","",IF(ROUND($H248-IF($G248="",0,$G248),0)=0,"√","▲ مغایرت "&amp;TEXT(IF($G248="",0,$G248)-$H248,"#,##0"))))</f>
        <v/>
      </c>
      <c r="J248" s="18" t="n"/>
    </row>
    <row r="249">
      <c r="A249" s="10">
        <f>IF($B249="","",COUNTA($B$9:$B249))</f>
        <v/>
      </c>
      <c r="B249" s="11" t="n"/>
      <c r="C249" s="12" t="n"/>
      <c r="D249" s="12" t="n"/>
      <c r="E249" s="13" t="n"/>
      <c r="F249" s="14">
        <f>IF($E249="","",IF($C249="دستمزد گروهی",IFERROR(VLOOKUP($E249,WGTbl,2,0),"کد ناشناخته"),IFERROR(IF(VLOOKUP($E249,AcctTblE,4,0)="","(بدون نام)",VLOOKUP($E249,AcctTblE,4,0)),"کد ناشناخته")))</f>
        <v/>
      </c>
      <c r="G249" s="15" t="n"/>
      <c r="H249" s="16">
        <f>IF(OR($C249&lt;&gt;"دستمزد گروهی",$D249=""),"",SUMIFS(ShareAmt,ShareLink,$D249))</f>
        <v/>
      </c>
      <c r="I249" s="17">
        <f>IF($C249&lt;&gt;"دستمزد گروهی","—",IF($H249="","",IF(ROUND($H249-IF($G249="",0,$G249),0)=0,"√","▲ مغایرت "&amp;TEXT(IF($G249="",0,$G249)-$H249,"#,##0"))))</f>
        <v/>
      </c>
      <c r="J249" s="18" t="n"/>
    </row>
    <row r="250">
      <c r="A250" s="19">
        <f>IF($B250="","",COUNTA($B$9:$B250))</f>
        <v/>
      </c>
      <c r="B250" s="11" t="n"/>
      <c r="C250" s="12" t="n"/>
      <c r="D250" s="12" t="n"/>
      <c r="E250" s="13" t="n"/>
      <c r="F250" s="20">
        <f>IF($E250="","",IF($C250="دستمزد گروهی",IFERROR(VLOOKUP($E250,WGTbl,2,0),"کد ناشناخته"),IFERROR(IF(VLOOKUP($E250,AcctTblE,4,0)="","(بدون نام)",VLOOKUP($E250,AcctTblE,4,0)),"کد ناشناخته")))</f>
        <v/>
      </c>
      <c r="G250" s="15" t="n"/>
      <c r="H250" s="21">
        <f>IF(OR($C250&lt;&gt;"دستمزد گروهی",$D250=""),"",SUMIFS(ShareAmt,ShareLink,$D250))</f>
        <v/>
      </c>
      <c r="I250" s="22">
        <f>IF($C250&lt;&gt;"دستمزد گروهی","—",IF($H250="","",IF(ROUND($H250-IF($G250="",0,$G250),0)=0,"√","▲ مغایرت "&amp;TEXT(IF($G250="",0,$G250)-$H250,"#,##0"))))</f>
        <v/>
      </c>
      <c r="J250" s="18" t="n"/>
    </row>
    <row r="251">
      <c r="A251" s="10">
        <f>IF($B251="","",COUNTA($B$9:$B251))</f>
        <v/>
      </c>
      <c r="B251" s="11" t="n"/>
      <c r="C251" s="12" t="n"/>
      <c r="D251" s="12" t="n"/>
      <c r="E251" s="13" t="n"/>
      <c r="F251" s="14">
        <f>IF($E251="","",IF($C251="دستمزد گروهی",IFERROR(VLOOKUP($E251,WGTbl,2,0),"کد ناشناخته"),IFERROR(IF(VLOOKUP($E251,AcctTblE,4,0)="","(بدون نام)",VLOOKUP($E251,AcctTblE,4,0)),"کد ناشناخته")))</f>
        <v/>
      </c>
      <c r="G251" s="15" t="n"/>
      <c r="H251" s="16">
        <f>IF(OR($C251&lt;&gt;"دستمزد گروهی",$D251=""),"",SUMIFS(ShareAmt,ShareLink,$D251))</f>
        <v/>
      </c>
      <c r="I251" s="17">
        <f>IF($C251&lt;&gt;"دستمزد گروهی","—",IF($H251="","",IF(ROUND($H251-IF($G251="",0,$G251),0)=0,"√","▲ مغایرت "&amp;TEXT(IF($G251="",0,$G251)-$H251,"#,##0"))))</f>
        <v/>
      </c>
      <c r="J251" s="18" t="n"/>
    </row>
    <row r="252">
      <c r="A252" s="19">
        <f>IF($B252="","",COUNTA($B$9:$B252))</f>
        <v/>
      </c>
      <c r="B252" s="11" t="n"/>
      <c r="C252" s="12" t="n"/>
      <c r="D252" s="12" t="n"/>
      <c r="E252" s="13" t="n"/>
      <c r="F252" s="20">
        <f>IF($E252="","",IF($C252="دستمزد گروهی",IFERROR(VLOOKUP($E252,WGTbl,2,0),"کد ناشناخته"),IFERROR(IF(VLOOKUP($E252,AcctTblE,4,0)="","(بدون نام)",VLOOKUP($E252,AcctTblE,4,0)),"کد ناشناخته")))</f>
        <v/>
      </c>
      <c r="G252" s="15" t="n"/>
      <c r="H252" s="21">
        <f>IF(OR($C252&lt;&gt;"دستمزد گروهی",$D252=""),"",SUMIFS(ShareAmt,ShareLink,$D252))</f>
        <v/>
      </c>
      <c r="I252" s="22">
        <f>IF($C252&lt;&gt;"دستمزد گروهی","—",IF($H252="","",IF(ROUND($H252-IF($G252="",0,$G252),0)=0,"√","▲ مغایرت "&amp;TEXT(IF($G252="",0,$G252)-$H252,"#,##0"))))</f>
        <v/>
      </c>
      <c r="J252" s="18" t="n"/>
    </row>
    <row r="253">
      <c r="A253" s="10">
        <f>IF($B253="","",COUNTA($B$9:$B253))</f>
        <v/>
      </c>
      <c r="B253" s="11" t="n"/>
      <c r="C253" s="12" t="n"/>
      <c r="D253" s="12" t="n"/>
      <c r="E253" s="13" t="n"/>
      <c r="F253" s="14">
        <f>IF($E253="","",IF($C253="دستمزد گروهی",IFERROR(VLOOKUP($E253,WGTbl,2,0),"کد ناشناخته"),IFERROR(IF(VLOOKUP($E253,AcctTblE,4,0)="","(بدون نام)",VLOOKUP($E253,AcctTblE,4,0)),"کد ناشناخته")))</f>
        <v/>
      </c>
      <c r="G253" s="15" t="n"/>
      <c r="H253" s="16">
        <f>IF(OR($C253&lt;&gt;"دستمزد گروهی",$D253=""),"",SUMIFS(ShareAmt,ShareLink,$D253))</f>
        <v/>
      </c>
      <c r="I253" s="17">
        <f>IF($C253&lt;&gt;"دستمزد گروهی","—",IF($H253="","",IF(ROUND($H253-IF($G253="",0,$G253),0)=0,"√","▲ مغایرت "&amp;TEXT(IF($G253="",0,$G253)-$H253,"#,##0"))))</f>
        <v/>
      </c>
      <c r="J253" s="18" t="n"/>
    </row>
    <row r="254">
      <c r="A254" s="19">
        <f>IF($B254="","",COUNTA($B$9:$B254))</f>
        <v/>
      </c>
      <c r="B254" s="11" t="n"/>
      <c r="C254" s="12" t="n"/>
      <c r="D254" s="12" t="n"/>
      <c r="E254" s="13" t="n"/>
      <c r="F254" s="20">
        <f>IF($E254="","",IF($C254="دستمزد گروهی",IFERROR(VLOOKUP($E254,WGTbl,2,0),"کد ناشناخته"),IFERROR(IF(VLOOKUP($E254,AcctTblE,4,0)="","(بدون نام)",VLOOKUP($E254,AcctTblE,4,0)),"کد ناشناخته")))</f>
        <v/>
      </c>
      <c r="G254" s="15" t="n"/>
      <c r="H254" s="21">
        <f>IF(OR($C254&lt;&gt;"دستمزد گروهی",$D254=""),"",SUMIFS(ShareAmt,ShareLink,$D254))</f>
        <v/>
      </c>
      <c r="I254" s="22">
        <f>IF($C254&lt;&gt;"دستمزد گروهی","—",IF($H254="","",IF(ROUND($H254-IF($G254="",0,$G254),0)=0,"√","▲ مغایرت "&amp;TEXT(IF($G254="",0,$G254)-$H254,"#,##0"))))</f>
        <v/>
      </c>
      <c r="J254" s="18" t="n"/>
    </row>
    <row r="255">
      <c r="A255" s="10">
        <f>IF($B255="","",COUNTA($B$9:$B255))</f>
        <v/>
      </c>
      <c r="B255" s="11" t="n"/>
      <c r="C255" s="12" t="n"/>
      <c r="D255" s="12" t="n"/>
      <c r="E255" s="13" t="n"/>
      <c r="F255" s="14">
        <f>IF($E255="","",IF($C255="دستمزد گروهی",IFERROR(VLOOKUP($E255,WGTbl,2,0),"کد ناشناخته"),IFERROR(IF(VLOOKUP($E255,AcctTblE,4,0)="","(بدون نام)",VLOOKUP($E255,AcctTblE,4,0)),"کد ناشناخته")))</f>
        <v/>
      </c>
      <c r="G255" s="15" t="n"/>
      <c r="H255" s="16">
        <f>IF(OR($C255&lt;&gt;"دستمزد گروهی",$D255=""),"",SUMIFS(ShareAmt,ShareLink,$D255))</f>
        <v/>
      </c>
      <c r="I255" s="17">
        <f>IF($C255&lt;&gt;"دستمزد گروهی","—",IF($H255="","",IF(ROUND($H255-IF($G255="",0,$G255),0)=0,"√","▲ مغایرت "&amp;TEXT(IF($G255="",0,$G255)-$H255,"#,##0"))))</f>
        <v/>
      </c>
      <c r="J255" s="18" t="n"/>
    </row>
    <row r="256">
      <c r="A256" s="19">
        <f>IF($B256="","",COUNTA($B$9:$B256))</f>
        <v/>
      </c>
      <c r="B256" s="11" t="n"/>
      <c r="C256" s="12" t="n"/>
      <c r="D256" s="12" t="n"/>
      <c r="E256" s="13" t="n"/>
      <c r="F256" s="20">
        <f>IF($E256="","",IF($C256="دستمزد گروهی",IFERROR(VLOOKUP($E256,WGTbl,2,0),"کد ناشناخته"),IFERROR(IF(VLOOKUP($E256,AcctTblE,4,0)="","(بدون نام)",VLOOKUP($E256,AcctTblE,4,0)),"کد ناشناخته")))</f>
        <v/>
      </c>
      <c r="G256" s="15" t="n"/>
      <c r="H256" s="21">
        <f>IF(OR($C256&lt;&gt;"دستمزد گروهی",$D256=""),"",SUMIFS(ShareAmt,ShareLink,$D256))</f>
        <v/>
      </c>
      <c r="I256" s="22">
        <f>IF($C256&lt;&gt;"دستمزد گروهی","—",IF($H256="","",IF(ROUND($H256-IF($G256="",0,$G256),0)=0,"√","▲ مغایرت "&amp;TEXT(IF($G256="",0,$G256)-$H256,"#,##0"))))</f>
        <v/>
      </c>
      <c r="J256" s="18" t="n"/>
    </row>
    <row r="257">
      <c r="A257" s="10">
        <f>IF($B257="","",COUNTA($B$9:$B257))</f>
        <v/>
      </c>
      <c r="B257" s="11" t="n"/>
      <c r="C257" s="12" t="n"/>
      <c r="D257" s="12" t="n"/>
      <c r="E257" s="13" t="n"/>
      <c r="F257" s="14">
        <f>IF($E257="","",IF($C257="دستمزد گروهی",IFERROR(VLOOKUP($E257,WGTbl,2,0),"کد ناشناخته"),IFERROR(IF(VLOOKUP($E257,AcctTblE,4,0)="","(بدون نام)",VLOOKUP($E257,AcctTblE,4,0)),"کد ناشناخته")))</f>
        <v/>
      </c>
      <c r="G257" s="15" t="n"/>
      <c r="H257" s="16">
        <f>IF(OR($C257&lt;&gt;"دستمزد گروهی",$D257=""),"",SUMIFS(ShareAmt,ShareLink,$D257))</f>
        <v/>
      </c>
      <c r="I257" s="17">
        <f>IF($C257&lt;&gt;"دستمزد گروهی","—",IF($H257="","",IF(ROUND($H257-IF($G257="",0,$G257),0)=0,"√","▲ مغایرت "&amp;TEXT(IF($G257="",0,$G257)-$H257,"#,##0"))))</f>
        <v/>
      </c>
      <c r="J257" s="18" t="n"/>
    </row>
    <row r="258">
      <c r="A258" s="19">
        <f>IF($B258="","",COUNTA($B$9:$B258))</f>
        <v/>
      </c>
      <c r="B258" s="11" t="n"/>
      <c r="C258" s="12" t="n"/>
      <c r="D258" s="12" t="n"/>
      <c r="E258" s="13" t="n"/>
      <c r="F258" s="20">
        <f>IF($E258="","",IF($C258="دستمزد گروهی",IFERROR(VLOOKUP($E258,WGTbl,2,0),"کد ناشناخته"),IFERROR(IF(VLOOKUP($E258,AcctTblE,4,0)="","(بدون نام)",VLOOKUP($E258,AcctTblE,4,0)),"کد ناشناخته")))</f>
        <v/>
      </c>
      <c r="G258" s="15" t="n"/>
      <c r="H258" s="21">
        <f>IF(OR($C258&lt;&gt;"دستمزد گروهی",$D258=""),"",SUMIFS(ShareAmt,ShareLink,$D258))</f>
        <v/>
      </c>
      <c r="I258" s="22">
        <f>IF($C258&lt;&gt;"دستمزد گروهی","—",IF($H258="","",IF(ROUND($H258-IF($G258="",0,$G258),0)=0,"√","▲ مغایرت "&amp;TEXT(IF($G258="",0,$G258)-$H258,"#,##0"))))</f>
        <v/>
      </c>
      <c r="J258" s="18" t="n"/>
    </row>
    <row r="259">
      <c r="A259" s="10">
        <f>IF($B259="","",COUNTA($B$9:$B259))</f>
        <v/>
      </c>
      <c r="B259" s="11" t="n"/>
      <c r="C259" s="12" t="n"/>
      <c r="D259" s="12" t="n"/>
      <c r="E259" s="13" t="n"/>
      <c r="F259" s="14">
        <f>IF($E259="","",IF($C259="دستمزد گروهی",IFERROR(VLOOKUP($E259,WGTbl,2,0),"کد ناشناخته"),IFERROR(IF(VLOOKUP($E259,AcctTblE,4,0)="","(بدون نام)",VLOOKUP($E259,AcctTblE,4,0)),"کد ناشناخته")))</f>
        <v/>
      </c>
      <c r="G259" s="15" t="n"/>
      <c r="H259" s="16">
        <f>IF(OR($C259&lt;&gt;"دستمزد گروهی",$D259=""),"",SUMIFS(ShareAmt,ShareLink,$D259))</f>
        <v/>
      </c>
      <c r="I259" s="17">
        <f>IF($C259&lt;&gt;"دستمزد گروهی","—",IF($H259="","",IF(ROUND($H259-IF($G259="",0,$G259),0)=0,"√","▲ مغایرت "&amp;TEXT(IF($G259="",0,$G259)-$H259,"#,##0"))))</f>
        <v/>
      </c>
      <c r="J259" s="18" t="n"/>
    </row>
    <row r="260">
      <c r="A260" s="19">
        <f>IF($B260="","",COUNTA($B$9:$B260))</f>
        <v/>
      </c>
      <c r="B260" s="11" t="n"/>
      <c r="C260" s="12" t="n"/>
      <c r="D260" s="12" t="n"/>
      <c r="E260" s="13" t="n"/>
      <c r="F260" s="20">
        <f>IF($E260="","",IF($C260="دستمزد گروهی",IFERROR(VLOOKUP($E260,WGTbl,2,0),"کد ناشناخته"),IFERROR(IF(VLOOKUP($E260,AcctTblE,4,0)="","(بدون نام)",VLOOKUP($E260,AcctTblE,4,0)),"کد ناشناخته")))</f>
        <v/>
      </c>
      <c r="G260" s="15" t="n"/>
      <c r="H260" s="21">
        <f>IF(OR($C260&lt;&gt;"دستمزد گروهی",$D260=""),"",SUMIFS(ShareAmt,ShareLink,$D260))</f>
        <v/>
      </c>
      <c r="I260" s="22">
        <f>IF($C260&lt;&gt;"دستمزد گروهی","—",IF($H260="","",IF(ROUND($H260-IF($G260="",0,$G260),0)=0,"√","▲ مغایرت "&amp;TEXT(IF($G260="",0,$G260)-$H260,"#,##0"))))</f>
        <v/>
      </c>
      <c r="J260" s="18" t="n"/>
    </row>
    <row r="261">
      <c r="A261" s="10">
        <f>IF($B261="","",COUNTA($B$9:$B261))</f>
        <v/>
      </c>
      <c r="B261" s="11" t="n"/>
      <c r="C261" s="12" t="n"/>
      <c r="D261" s="12" t="n"/>
      <c r="E261" s="13" t="n"/>
      <c r="F261" s="14">
        <f>IF($E261="","",IF($C261="دستمزد گروهی",IFERROR(VLOOKUP($E261,WGTbl,2,0),"کد ناشناخته"),IFERROR(IF(VLOOKUP($E261,AcctTblE,4,0)="","(بدون نام)",VLOOKUP($E261,AcctTblE,4,0)),"کد ناشناخته")))</f>
        <v/>
      </c>
      <c r="G261" s="15" t="n"/>
      <c r="H261" s="16">
        <f>IF(OR($C261&lt;&gt;"دستمزد گروهی",$D261=""),"",SUMIFS(ShareAmt,ShareLink,$D261))</f>
        <v/>
      </c>
      <c r="I261" s="17">
        <f>IF($C261&lt;&gt;"دستمزد گروهی","—",IF($H261="","",IF(ROUND($H261-IF($G261="",0,$G261),0)=0,"√","▲ مغایرت "&amp;TEXT(IF($G261="",0,$G261)-$H261,"#,##0"))))</f>
        <v/>
      </c>
      <c r="J261" s="18" t="n"/>
    </row>
    <row r="262">
      <c r="A262" s="19">
        <f>IF($B262="","",COUNTA($B$9:$B262))</f>
        <v/>
      </c>
      <c r="B262" s="11" t="n"/>
      <c r="C262" s="12" t="n"/>
      <c r="D262" s="12" t="n"/>
      <c r="E262" s="13" t="n"/>
      <c r="F262" s="20">
        <f>IF($E262="","",IF($C262="دستمزد گروهی",IFERROR(VLOOKUP($E262,WGTbl,2,0),"کد ناشناخته"),IFERROR(IF(VLOOKUP($E262,AcctTblE,4,0)="","(بدون نام)",VLOOKUP($E262,AcctTblE,4,0)),"کد ناشناخته")))</f>
        <v/>
      </c>
      <c r="G262" s="15" t="n"/>
      <c r="H262" s="21">
        <f>IF(OR($C262&lt;&gt;"دستمزد گروهی",$D262=""),"",SUMIFS(ShareAmt,ShareLink,$D262))</f>
        <v/>
      </c>
      <c r="I262" s="22">
        <f>IF($C262&lt;&gt;"دستمزد گروهی","—",IF($H262="","",IF(ROUND($H262-IF($G262="",0,$G262),0)=0,"√","▲ مغایرت "&amp;TEXT(IF($G262="",0,$G262)-$H262,"#,##0"))))</f>
        <v/>
      </c>
      <c r="J262" s="18" t="n"/>
    </row>
    <row r="263">
      <c r="A263" s="10">
        <f>IF($B263="","",COUNTA($B$9:$B263))</f>
        <v/>
      </c>
      <c r="B263" s="11" t="n"/>
      <c r="C263" s="12" t="n"/>
      <c r="D263" s="12" t="n"/>
      <c r="E263" s="13" t="n"/>
      <c r="F263" s="14">
        <f>IF($E263="","",IF($C263="دستمزد گروهی",IFERROR(VLOOKUP($E263,WGTbl,2,0),"کد ناشناخته"),IFERROR(IF(VLOOKUP($E263,AcctTblE,4,0)="","(بدون نام)",VLOOKUP($E263,AcctTblE,4,0)),"کد ناشناخته")))</f>
        <v/>
      </c>
      <c r="G263" s="15" t="n"/>
      <c r="H263" s="16">
        <f>IF(OR($C263&lt;&gt;"دستمزد گروهی",$D263=""),"",SUMIFS(ShareAmt,ShareLink,$D263))</f>
        <v/>
      </c>
      <c r="I263" s="17">
        <f>IF($C263&lt;&gt;"دستمزد گروهی","—",IF($H263="","",IF(ROUND($H263-IF($G263="",0,$G263),0)=0,"√","▲ مغایرت "&amp;TEXT(IF($G263="",0,$G263)-$H263,"#,##0"))))</f>
        <v/>
      </c>
      <c r="J263" s="18" t="n"/>
    </row>
    <row r="264">
      <c r="A264" s="19">
        <f>IF($B264="","",COUNTA($B$9:$B264))</f>
        <v/>
      </c>
      <c r="B264" s="11" t="n"/>
      <c r="C264" s="12" t="n"/>
      <c r="D264" s="12" t="n"/>
      <c r="E264" s="13" t="n"/>
      <c r="F264" s="20">
        <f>IF($E264="","",IF($C264="دستمزد گروهی",IFERROR(VLOOKUP($E264,WGTbl,2,0),"کد ناشناخته"),IFERROR(IF(VLOOKUP($E264,AcctTblE,4,0)="","(بدون نام)",VLOOKUP($E264,AcctTblE,4,0)),"کد ناشناخته")))</f>
        <v/>
      </c>
      <c r="G264" s="15" t="n"/>
      <c r="H264" s="21">
        <f>IF(OR($C264&lt;&gt;"دستمزد گروهی",$D264=""),"",SUMIFS(ShareAmt,ShareLink,$D264))</f>
        <v/>
      </c>
      <c r="I264" s="22">
        <f>IF($C264&lt;&gt;"دستمزد گروهی","—",IF($H264="","",IF(ROUND($H264-IF($G264="",0,$G264),0)=0,"√","▲ مغایرت "&amp;TEXT(IF($G264="",0,$G264)-$H264,"#,##0"))))</f>
        <v/>
      </c>
      <c r="J264" s="18" t="n"/>
    </row>
    <row r="265">
      <c r="A265" s="10">
        <f>IF($B265="","",COUNTA($B$9:$B265))</f>
        <v/>
      </c>
      <c r="B265" s="11" t="n"/>
      <c r="C265" s="12" t="n"/>
      <c r="D265" s="12" t="n"/>
      <c r="E265" s="13" t="n"/>
      <c r="F265" s="14">
        <f>IF($E265="","",IF($C265="دستمزد گروهی",IFERROR(VLOOKUP($E265,WGTbl,2,0),"کد ناشناخته"),IFERROR(IF(VLOOKUP($E265,AcctTblE,4,0)="","(بدون نام)",VLOOKUP($E265,AcctTblE,4,0)),"کد ناشناخته")))</f>
        <v/>
      </c>
      <c r="G265" s="15" t="n"/>
      <c r="H265" s="16">
        <f>IF(OR($C265&lt;&gt;"دستمزد گروهی",$D265=""),"",SUMIFS(ShareAmt,ShareLink,$D265))</f>
        <v/>
      </c>
      <c r="I265" s="17">
        <f>IF($C265&lt;&gt;"دستمزد گروهی","—",IF($H265="","",IF(ROUND($H265-IF($G265="",0,$G265),0)=0,"√","▲ مغایرت "&amp;TEXT(IF($G265="",0,$G265)-$H265,"#,##0"))))</f>
        <v/>
      </c>
      <c r="J265" s="18" t="n"/>
    </row>
    <row r="266">
      <c r="A266" s="19">
        <f>IF($B266="","",COUNTA($B$9:$B266))</f>
        <v/>
      </c>
      <c r="B266" s="11" t="n"/>
      <c r="C266" s="12" t="n"/>
      <c r="D266" s="12" t="n"/>
      <c r="E266" s="13" t="n"/>
      <c r="F266" s="20">
        <f>IF($E266="","",IF($C266="دستمزد گروهی",IFERROR(VLOOKUP($E266,WGTbl,2,0),"کد ناشناخته"),IFERROR(IF(VLOOKUP($E266,AcctTblE,4,0)="","(بدون نام)",VLOOKUP($E266,AcctTblE,4,0)),"کد ناشناخته")))</f>
        <v/>
      </c>
      <c r="G266" s="15" t="n"/>
      <c r="H266" s="21">
        <f>IF(OR($C266&lt;&gt;"دستمزد گروهی",$D266=""),"",SUMIFS(ShareAmt,ShareLink,$D266))</f>
        <v/>
      </c>
      <c r="I266" s="22">
        <f>IF($C266&lt;&gt;"دستمزد گروهی","—",IF($H266="","",IF(ROUND($H266-IF($G266="",0,$G266),0)=0,"√","▲ مغایرت "&amp;TEXT(IF($G266="",0,$G266)-$H266,"#,##0"))))</f>
        <v/>
      </c>
      <c r="J266" s="18" t="n"/>
    </row>
    <row r="267">
      <c r="A267" s="10">
        <f>IF($B267="","",COUNTA($B$9:$B267))</f>
        <v/>
      </c>
      <c r="B267" s="11" t="n"/>
      <c r="C267" s="12" t="n"/>
      <c r="D267" s="12" t="n"/>
      <c r="E267" s="13" t="n"/>
      <c r="F267" s="14">
        <f>IF($E267="","",IF($C267="دستمزد گروهی",IFERROR(VLOOKUP($E267,WGTbl,2,0),"کد ناشناخته"),IFERROR(IF(VLOOKUP($E267,AcctTblE,4,0)="","(بدون نام)",VLOOKUP($E267,AcctTblE,4,0)),"کد ناشناخته")))</f>
        <v/>
      </c>
      <c r="G267" s="15" t="n"/>
      <c r="H267" s="16">
        <f>IF(OR($C267&lt;&gt;"دستمزد گروهی",$D267=""),"",SUMIFS(ShareAmt,ShareLink,$D267))</f>
        <v/>
      </c>
      <c r="I267" s="17">
        <f>IF($C267&lt;&gt;"دستمزد گروهی","—",IF($H267="","",IF(ROUND($H267-IF($G267="",0,$G267),0)=0,"√","▲ مغایرت "&amp;TEXT(IF($G267="",0,$G267)-$H267,"#,##0"))))</f>
        <v/>
      </c>
      <c r="J267" s="18" t="n"/>
    </row>
    <row r="268">
      <c r="A268" s="19">
        <f>IF($B268="","",COUNTA($B$9:$B268))</f>
        <v/>
      </c>
      <c r="B268" s="11" t="n"/>
      <c r="C268" s="12" t="n"/>
      <c r="D268" s="12" t="n"/>
      <c r="E268" s="13" t="n"/>
      <c r="F268" s="20">
        <f>IF($E268="","",IF($C268="دستمزد گروهی",IFERROR(VLOOKUP($E268,WGTbl,2,0),"کد ناشناخته"),IFERROR(IF(VLOOKUP($E268,AcctTblE,4,0)="","(بدون نام)",VLOOKUP($E268,AcctTblE,4,0)),"کد ناشناخته")))</f>
        <v/>
      </c>
      <c r="G268" s="15" t="n"/>
      <c r="H268" s="21">
        <f>IF(OR($C268&lt;&gt;"دستمزد گروهی",$D268=""),"",SUMIFS(ShareAmt,ShareLink,$D268))</f>
        <v/>
      </c>
      <c r="I268" s="22">
        <f>IF($C268&lt;&gt;"دستمزد گروهی","—",IF($H268="","",IF(ROUND($H268-IF($G268="",0,$G268),0)=0,"√","▲ مغایرت "&amp;TEXT(IF($G268="",0,$G268)-$H268,"#,##0"))))</f>
        <v/>
      </c>
      <c r="J268" s="18" t="n"/>
    </row>
    <row r="269">
      <c r="A269" s="10">
        <f>IF($B269="","",COUNTA($B$9:$B269))</f>
        <v/>
      </c>
      <c r="B269" s="11" t="n"/>
      <c r="C269" s="12" t="n"/>
      <c r="D269" s="12" t="n"/>
      <c r="E269" s="13" t="n"/>
      <c r="F269" s="14">
        <f>IF($E269="","",IF($C269="دستمزد گروهی",IFERROR(VLOOKUP($E269,WGTbl,2,0),"کد ناشناخته"),IFERROR(IF(VLOOKUP($E269,AcctTblE,4,0)="","(بدون نام)",VLOOKUP($E269,AcctTblE,4,0)),"کد ناشناخته")))</f>
        <v/>
      </c>
      <c r="G269" s="15" t="n"/>
      <c r="H269" s="16">
        <f>IF(OR($C269&lt;&gt;"دستمزد گروهی",$D269=""),"",SUMIFS(ShareAmt,ShareLink,$D269))</f>
        <v/>
      </c>
      <c r="I269" s="17">
        <f>IF($C269&lt;&gt;"دستمزد گروهی","—",IF($H269="","",IF(ROUND($H269-IF($G269="",0,$G269),0)=0,"√","▲ مغایرت "&amp;TEXT(IF($G269="",0,$G269)-$H269,"#,##0"))))</f>
        <v/>
      </c>
      <c r="J269" s="18" t="n"/>
    </row>
    <row r="270">
      <c r="A270" s="19">
        <f>IF($B270="","",COUNTA($B$9:$B270))</f>
        <v/>
      </c>
      <c r="B270" s="11" t="n"/>
      <c r="C270" s="12" t="n"/>
      <c r="D270" s="12" t="n"/>
      <c r="E270" s="13" t="n"/>
      <c r="F270" s="20">
        <f>IF($E270="","",IF($C270="دستمزد گروهی",IFERROR(VLOOKUP($E270,WGTbl,2,0),"کد ناشناخته"),IFERROR(IF(VLOOKUP($E270,AcctTblE,4,0)="","(بدون نام)",VLOOKUP($E270,AcctTblE,4,0)),"کد ناشناخته")))</f>
        <v/>
      </c>
      <c r="G270" s="15" t="n"/>
      <c r="H270" s="21">
        <f>IF(OR($C270&lt;&gt;"دستمزد گروهی",$D270=""),"",SUMIFS(ShareAmt,ShareLink,$D270))</f>
        <v/>
      </c>
      <c r="I270" s="22">
        <f>IF($C270&lt;&gt;"دستمزد گروهی","—",IF($H270="","",IF(ROUND($H270-IF($G270="",0,$G270),0)=0,"√","▲ مغایرت "&amp;TEXT(IF($G270="",0,$G270)-$H270,"#,##0"))))</f>
        <v/>
      </c>
      <c r="J270" s="18" t="n"/>
    </row>
    <row r="271">
      <c r="A271" s="10">
        <f>IF($B271="","",COUNTA($B$9:$B271))</f>
        <v/>
      </c>
      <c r="B271" s="11" t="n"/>
      <c r="C271" s="12" t="n"/>
      <c r="D271" s="12" t="n"/>
      <c r="E271" s="13" t="n"/>
      <c r="F271" s="14">
        <f>IF($E271="","",IF($C271="دستمزد گروهی",IFERROR(VLOOKUP($E271,WGTbl,2,0),"کد ناشناخته"),IFERROR(IF(VLOOKUP($E271,AcctTblE,4,0)="","(بدون نام)",VLOOKUP($E271,AcctTblE,4,0)),"کد ناشناخته")))</f>
        <v/>
      </c>
      <c r="G271" s="15" t="n"/>
      <c r="H271" s="16">
        <f>IF(OR($C271&lt;&gt;"دستمزد گروهی",$D271=""),"",SUMIFS(ShareAmt,ShareLink,$D271))</f>
        <v/>
      </c>
      <c r="I271" s="17">
        <f>IF($C271&lt;&gt;"دستمزد گروهی","—",IF($H271="","",IF(ROUND($H271-IF($G271="",0,$G271),0)=0,"√","▲ مغایرت "&amp;TEXT(IF($G271="",0,$G271)-$H271,"#,##0"))))</f>
        <v/>
      </c>
      <c r="J271" s="18" t="n"/>
    </row>
    <row r="272">
      <c r="A272" s="19">
        <f>IF($B272="","",COUNTA($B$9:$B272))</f>
        <v/>
      </c>
      <c r="B272" s="11" t="n"/>
      <c r="C272" s="12" t="n"/>
      <c r="D272" s="12" t="n"/>
      <c r="E272" s="13" t="n"/>
      <c r="F272" s="20">
        <f>IF($E272="","",IF($C272="دستمزد گروهی",IFERROR(VLOOKUP($E272,WGTbl,2,0),"کد ناشناخته"),IFERROR(IF(VLOOKUP($E272,AcctTblE,4,0)="","(بدون نام)",VLOOKUP($E272,AcctTblE,4,0)),"کد ناشناخته")))</f>
        <v/>
      </c>
      <c r="G272" s="15" t="n"/>
      <c r="H272" s="21">
        <f>IF(OR($C272&lt;&gt;"دستمزد گروهی",$D272=""),"",SUMIFS(ShareAmt,ShareLink,$D272))</f>
        <v/>
      </c>
      <c r="I272" s="22">
        <f>IF($C272&lt;&gt;"دستمزد گروهی","—",IF($H272="","",IF(ROUND($H272-IF($G272="",0,$G272),0)=0,"√","▲ مغایرت "&amp;TEXT(IF($G272="",0,$G272)-$H272,"#,##0"))))</f>
        <v/>
      </c>
      <c r="J272" s="18" t="n"/>
    </row>
    <row r="273">
      <c r="A273" s="10">
        <f>IF($B273="","",COUNTA($B$9:$B273))</f>
        <v/>
      </c>
      <c r="B273" s="11" t="n"/>
      <c r="C273" s="12" t="n"/>
      <c r="D273" s="12" t="n"/>
      <c r="E273" s="13" t="n"/>
      <c r="F273" s="14">
        <f>IF($E273="","",IF($C273="دستمزد گروهی",IFERROR(VLOOKUP($E273,WGTbl,2,0),"کد ناشناخته"),IFERROR(IF(VLOOKUP($E273,AcctTblE,4,0)="","(بدون نام)",VLOOKUP($E273,AcctTblE,4,0)),"کد ناشناخته")))</f>
        <v/>
      </c>
      <c r="G273" s="15" t="n"/>
      <c r="H273" s="16">
        <f>IF(OR($C273&lt;&gt;"دستمزد گروهی",$D273=""),"",SUMIFS(ShareAmt,ShareLink,$D273))</f>
        <v/>
      </c>
      <c r="I273" s="17">
        <f>IF($C273&lt;&gt;"دستمزد گروهی","—",IF($H273="","",IF(ROUND($H273-IF($G273="",0,$G273),0)=0,"√","▲ مغایرت "&amp;TEXT(IF($G273="",0,$G273)-$H273,"#,##0"))))</f>
        <v/>
      </c>
      <c r="J273" s="18" t="n"/>
    </row>
    <row r="274">
      <c r="A274" s="19">
        <f>IF($B274="","",COUNTA($B$9:$B274))</f>
        <v/>
      </c>
      <c r="B274" s="11" t="n"/>
      <c r="C274" s="12" t="n"/>
      <c r="D274" s="12" t="n"/>
      <c r="E274" s="13" t="n"/>
      <c r="F274" s="20">
        <f>IF($E274="","",IF($C274="دستمزد گروهی",IFERROR(VLOOKUP($E274,WGTbl,2,0),"کد ناشناخته"),IFERROR(IF(VLOOKUP($E274,AcctTblE,4,0)="","(بدون نام)",VLOOKUP($E274,AcctTblE,4,0)),"کد ناشناخته")))</f>
        <v/>
      </c>
      <c r="G274" s="15" t="n"/>
      <c r="H274" s="21">
        <f>IF(OR($C274&lt;&gt;"دستمزد گروهی",$D274=""),"",SUMIFS(ShareAmt,ShareLink,$D274))</f>
        <v/>
      </c>
      <c r="I274" s="22">
        <f>IF($C274&lt;&gt;"دستمزد گروهی","—",IF($H274="","",IF(ROUND($H274-IF($G274="",0,$G274),0)=0,"√","▲ مغایرت "&amp;TEXT(IF($G274="",0,$G274)-$H274,"#,##0"))))</f>
        <v/>
      </c>
      <c r="J274" s="18" t="n"/>
    </row>
    <row r="275">
      <c r="A275" s="10">
        <f>IF($B275="","",COUNTA($B$9:$B275))</f>
        <v/>
      </c>
      <c r="B275" s="11" t="n"/>
      <c r="C275" s="12" t="n"/>
      <c r="D275" s="12" t="n"/>
      <c r="E275" s="13" t="n"/>
      <c r="F275" s="14">
        <f>IF($E275="","",IF($C275="دستمزد گروهی",IFERROR(VLOOKUP($E275,WGTbl,2,0),"کد ناشناخته"),IFERROR(IF(VLOOKUP($E275,AcctTblE,4,0)="","(بدون نام)",VLOOKUP($E275,AcctTblE,4,0)),"کد ناشناخته")))</f>
        <v/>
      </c>
      <c r="G275" s="15" t="n"/>
      <c r="H275" s="16">
        <f>IF(OR($C275&lt;&gt;"دستمزد گروهی",$D275=""),"",SUMIFS(ShareAmt,ShareLink,$D275))</f>
        <v/>
      </c>
      <c r="I275" s="17">
        <f>IF($C275&lt;&gt;"دستمزد گروهی","—",IF($H275="","",IF(ROUND($H275-IF($G275="",0,$G275),0)=0,"√","▲ مغایرت "&amp;TEXT(IF($G275="",0,$G275)-$H275,"#,##0"))))</f>
        <v/>
      </c>
      <c r="J275" s="18" t="n"/>
    </row>
    <row r="276">
      <c r="A276" s="19">
        <f>IF($B276="","",COUNTA($B$9:$B276))</f>
        <v/>
      </c>
      <c r="B276" s="11" t="n"/>
      <c r="C276" s="12" t="n"/>
      <c r="D276" s="12" t="n"/>
      <c r="E276" s="13" t="n"/>
      <c r="F276" s="20">
        <f>IF($E276="","",IF($C276="دستمزد گروهی",IFERROR(VLOOKUP($E276,WGTbl,2,0),"کد ناشناخته"),IFERROR(IF(VLOOKUP($E276,AcctTblE,4,0)="","(بدون نام)",VLOOKUP($E276,AcctTblE,4,0)),"کد ناشناخته")))</f>
        <v/>
      </c>
      <c r="G276" s="15" t="n"/>
      <c r="H276" s="21">
        <f>IF(OR($C276&lt;&gt;"دستمزد گروهی",$D276=""),"",SUMIFS(ShareAmt,ShareLink,$D276))</f>
        <v/>
      </c>
      <c r="I276" s="22">
        <f>IF($C276&lt;&gt;"دستمزد گروهی","—",IF($H276="","",IF(ROUND($H276-IF($G276="",0,$G276),0)=0,"√","▲ مغایرت "&amp;TEXT(IF($G276="",0,$G276)-$H276,"#,##0"))))</f>
        <v/>
      </c>
      <c r="J276" s="18" t="n"/>
    </row>
    <row r="277">
      <c r="A277" s="10">
        <f>IF($B277="","",COUNTA($B$9:$B277))</f>
        <v/>
      </c>
      <c r="B277" s="11" t="n"/>
      <c r="C277" s="12" t="n"/>
      <c r="D277" s="12" t="n"/>
      <c r="E277" s="13" t="n"/>
      <c r="F277" s="14">
        <f>IF($E277="","",IF($C277="دستمزد گروهی",IFERROR(VLOOKUP($E277,WGTbl,2,0),"کد ناشناخته"),IFERROR(IF(VLOOKUP($E277,AcctTblE,4,0)="","(بدون نام)",VLOOKUP($E277,AcctTblE,4,0)),"کد ناشناخته")))</f>
        <v/>
      </c>
      <c r="G277" s="15" t="n"/>
      <c r="H277" s="16">
        <f>IF(OR($C277&lt;&gt;"دستمزد گروهی",$D277=""),"",SUMIFS(ShareAmt,ShareLink,$D277))</f>
        <v/>
      </c>
      <c r="I277" s="17">
        <f>IF($C277&lt;&gt;"دستمزد گروهی","—",IF($H277="","",IF(ROUND($H277-IF($G277="",0,$G277),0)=0,"√","▲ مغایرت "&amp;TEXT(IF($G277="",0,$G277)-$H277,"#,##0"))))</f>
        <v/>
      </c>
      <c r="J277" s="18" t="n"/>
    </row>
    <row r="278">
      <c r="A278" s="19">
        <f>IF($B278="","",COUNTA($B$9:$B278))</f>
        <v/>
      </c>
      <c r="B278" s="11" t="n"/>
      <c r="C278" s="12" t="n"/>
      <c r="D278" s="12" t="n"/>
      <c r="E278" s="13" t="n"/>
      <c r="F278" s="20">
        <f>IF($E278="","",IF($C278="دستمزد گروهی",IFERROR(VLOOKUP($E278,WGTbl,2,0),"کد ناشناخته"),IFERROR(IF(VLOOKUP($E278,AcctTblE,4,0)="","(بدون نام)",VLOOKUP($E278,AcctTblE,4,0)),"کد ناشناخته")))</f>
        <v/>
      </c>
      <c r="G278" s="15" t="n"/>
      <c r="H278" s="21">
        <f>IF(OR($C278&lt;&gt;"دستمزد گروهی",$D278=""),"",SUMIFS(ShareAmt,ShareLink,$D278))</f>
        <v/>
      </c>
      <c r="I278" s="22">
        <f>IF($C278&lt;&gt;"دستمزد گروهی","—",IF($H278="","",IF(ROUND($H278-IF($G278="",0,$G278),0)=0,"√","▲ مغایرت "&amp;TEXT(IF($G278="",0,$G278)-$H278,"#,##0"))))</f>
        <v/>
      </c>
      <c r="J278" s="18" t="n"/>
    </row>
    <row r="279">
      <c r="A279" s="10">
        <f>IF($B279="","",COUNTA($B$9:$B279))</f>
        <v/>
      </c>
      <c r="B279" s="11" t="n"/>
      <c r="C279" s="12" t="n"/>
      <c r="D279" s="12" t="n"/>
      <c r="E279" s="13" t="n"/>
      <c r="F279" s="14">
        <f>IF($E279="","",IF($C279="دستمزد گروهی",IFERROR(VLOOKUP($E279,WGTbl,2,0),"کد ناشناخته"),IFERROR(IF(VLOOKUP($E279,AcctTblE,4,0)="","(بدون نام)",VLOOKUP($E279,AcctTblE,4,0)),"کد ناشناخته")))</f>
        <v/>
      </c>
      <c r="G279" s="15" t="n"/>
      <c r="H279" s="16">
        <f>IF(OR($C279&lt;&gt;"دستمزد گروهی",$D279=""),"",SUMIFS(ShareAmt,ShareLink,$D279))</f>
        <v/>
      </c>
      <c r="I279" s="17">
        <f>IF($C279&lt;&gt;"دستمزد گروهی","—",IF($H279="","",IF(ROUND($H279-IF($G279="",0,$G279),0)=0,"√","▲ مغایرت "&amp;TEXT(IF($G279="",0,$G279)-$H279,"#,##0"))))</f>
        <v/>
      </c>
      <c r="J279" s="18" t="n"/>
    </row>
    <row r="280">
      <c r="A280" s="19">
        <f>IF($B280="","",COUNTA($B$9:$B280))</f>
        <v/>
      </c>
      <c r="B280" s="11" t="n"/>
      <c r="C280" s="12" t="n"/>
      <c r="D280" s="12" t="n"/>
      <c r="E280" s="13" t="n"/>
      <c r="F280" s="20">
        <f>IF($E280="","",IF($C280="دستمزد گروهی",IFERROR(VLOOKUP($E280,WGTbl,2,0),"کد ناشناخته"),IFERROR(IF(VLOOKUP($E280,AcctTblE,4,0)="","(بدون نام)",VLOOKUP($E280,AcctTblE,4,0)),"کد ناشناخته")))</f>
        <v/>
      </c>
      <c r="G280" s="15" t="n"/>
      <c r="H280" s="21">
        <f>IF(OR($C280&lt;&gt;"دستمزد گروهی",$D280=""),"",SUMIFS(ShareAmt,ShareLink,$D280))</f>
        <v/>
      </c>
      <c r="I280" s="22">
        <f>IF($C280&lt;&gt;"دستمزد گروهی","—",IF($H280="","",IF(ROUND($H280-IF($G280="",0,$G280),0)=0,"√","▲ مغایرت "&amp;TEXT(IF($G280="",0,$G280)-$H280,"#,##0"))))</f>
        <v/>
      </c>
      <c r="J280" s="18" t="n"/>
    </row>
    <row r="281">
      <c r="A281" s="10">
        <f>IF($B281="","",COUNTA($B$9:$B281))</f>
        <v/>
      </c>
      <c r="B281" s="11" t="n"/>
      <c r="C281" s="12" t="n"/>
      <c r="D281" s="12" t="n"/>
      <c r="E281" s="13" t="n"/>
      <c r="F281" s="14">
        <f>IF($E281="","",IF($C281="دستمزد گروهی",IFERROR(VLOOKUP($E281,WGTbl,2,0),"کد ناشناخته"),IFERROR(IF(VLOOKUP($E281,AcctTblE,4,0)="","(بدون نام)",VLOOKUP($E281,AcctTblE,4,0)),"کد ناشناخته")))</f>
        <v/>
      </c>
      <c r="G281" s="15" t="n"/>
      <c r="H281" s="16">
        <f>IF(OR($C281&lt;&gt;"دستمزد گروهی",$D281=""),"",SUMIFS(ShareAmt,ShareLink,$D281))</f>
        <v/>
      </c>
      <c r="I281" s="17">
        <f>IF($C281&lt;&gt;"دستمزد گروهی","—",IF($H281="","",IF(ROUND($H281-IF($G281="",0,$G281),0)=0,"√","▲ مغایرت "&amp;TEXT(IF($G281="",0,$G281)-$H281,"#,##0"))))</f>
        <v/>
      </c>
      <c r="J281" s="18" t="n"/>
    </row>
    <row r="282">
      <c r="A282" s="19">
        <f>IF($B282="","",COUNTA($B$9:$B282))</f>
        <v/>
      </c>
      <c r="B282" s="11" t="n"/>
      <c r="C282" s="12" t="n"/>
      <c r="D282" s="12" t="n"/>
      <c r="E282" s="13" t="n"/>
      <c r="F282" s="20">
        <f>IF($E282="","",IF($C282="دستمزد گروهی",IFERROR(VLOOKUP($E282,WGTbl,2,0),"کد ناشناخته"),IFERROR(IF(VLOOKUP($E282,AcctTblE,4,0)="","(بدون نام)",VLOOKUP($E282,AcctTblE,4,0)),"کد ناشناخته")))</f>
        <v/>
      </c>
      <c r="G282" s="15" t="n"/>
      <c r="H282" s="21">
        <f>IF(OR($C282&lt;&gt;"دستمزد گروهی",$D282=""),"",SUMIFS(ShareAmt,ShareLink,$D282))</f>
        <v/>
      </c>
      <c r="I282" s="22">
        <f>IF($C282&lt;&gt;"دستمزد گروهی","—",IF($H282="","",IF(ROUND($H282-IF($G282="",0,$G282),0)=0,"√","▲ مغایرت "&amp;TEXT(IF($G282="",0,$G282)-$H282,"#,##0"))))</f>
        <v/>
      </c>
      <c r="J282" s="18" t="n"/>
    </row>
    <row r="283">
      <c r="A283" s="10">
        <f>IF($B283="","",COUNTA($B$9:$B283))</f>
        <v/>
      </c>
      <c r="B283" s="11" t="n"/>
      <c r="C283" s="12" t="n"/>
      <c r="D283" s="12" t="n"/>
      <c r="E283" s="13" t="n"/>
      <c r="F283" s="14">
        <f>IF($E283="","",IF($C283="دستمزد گروهی",IFERROR(VLOOKUP($E283,WGTbl,2,0),"کد ناشناخته"),IFERROR(IF(VLOOKUP($E283,AcctTblE,4,0)="","(بدون نام)",VLOOKUP($E283,AcctTblE,4,0)),"کد ناشناخته")))</f>
        <v/>
      </c>
      <c r="G283" s="15" t="n"/>
      <c r="H283" s="16">
        <f>IF(OR($C283&lt;&gt;"دستمزد گروهی",$D283=""),"",SUMIFS(ShareAmt,ShareLink,$D283))</f>
        <v/>
      </c>
      <c r="I283" s="17">
        <f>IF($C283&lt;&gt;"دستمزد گروهی","—",IF($H283="","",IF(ROUND($H283-IF($G283="",0,$G283),0)=0,"√","▲ مغایرت "&amp;TEXT(IF($G283="",0,$G283)-$H283,"#,##0"))))</f>
        <v/>
      </c>
      <c r="J283" s="18" t="n"/>
    </row>
    <row r="284">
      <c r="A284" s="19">
        <f>IF($B284="","",COUNTA($B$9:$B284))</f>
        <v/>
      </c>
      <c r="B284" s="11" t="n"/>
      <c r="C284" s="12" t="n"/>
      <c r="D284" s="12" t="n"/>
      <c r="E284" s="13" t="n"/>
      <c r="F284" s="20">
        <f>IF($E284="","",IF($C284="دستمزد گروهی",IFERROR(VLOOKUP($E284,WGTbl,2,0),"کد ناشناخته"),IFERROR(IF(VLOOKUP($E284,AcctTblE,4,0)="","(بدون نام)",VLOOKUP($E284,AcctTblE,4,0)),"کد ناشناخته")))</f>
        <v/>
      </c>
      <c r="G284" s="15" t="n"/>
      <c r="H284" s="21">
        <f>IF(OR($C284&lt;&gt;"دستمزد گروهی",$D284=""),"",SUMIFS(ShareAmt,ShareLink,$D284))</f>
        <v/>
      </c>
      <c r="I284" s="22">
        <f>IF($C284&lt;&gt;"دستمزد گروهی","—",IF($H284="","",IF(ROUND($H284-IF($G284="",0,$G284),0)=0,"√","▲ مغایرت "&amp;TEXT(IF($G284="",0,$G284)-$H284,"#,##0"))))</f>
        <v/>
      </c>
      <c r="J284" s="18" t="n"/>
    </row>
    <row r="285">
      <c r="A285" s="10">
        <f>IF($B285="","",COUNTA($B$9:$B285))</f>
        <v/>
      </c>
      <c r="B285" s="11" t="n"/>
      <c r="C285" s="12" t="n"/>
      <c r="D285" s="12" t="n"/>
      <c r="E285" s="13" t="n"/>
      <c r="F285" s="14">
        <f>IF($E285="","",IF($C285="دستمزد گروهی",IFERROR(VLOOKUP($E285,WGTbl,2,0),"کد ناشناخته"),IFERROR(IF(VLOOKUP($E285,AcctTblE,4,0)="","(بدون نام)",VLOOKUP($E285,AcctTblE,4,0)),"کد ناشناخته")))</f>
        <v/>
      </c>
      <c r="G285" s="15" t="n"/>
      <c r="H285" s="16">
        <f>IF(OR($C285&lt;&gt;"دستمزد گروهی",$D285=""),"",SUMIFS(ShareAmt,ShareLink,$D285))</f>
        <v/>
      </c>
      <c r="I285" s="17">
        <f>IF($C285&lt;&gt;"دستمزد گروهی","—",IF($H285="","",IF(ROUND($H285-IF($G285="",0,$G285),0)=0,"√","▲ مغایرت "&amp;TEXT(IF($G285="",0,$G285)-$H285,"#,##0"))))</f>
        <v/>
      </c>
      <c r="J285" s="18" t="n"/>
    </row>
    <row r="286">
      <c r="A286" s="19">
        <f>IF($B286="","",COUNTA($B$9:$B286))</f>
        <v/>
      </c>
      <c r="B286" s="11" t="n"/>
      <c r="C286" s="12" t="n"/>
      <c r="D286" s="12" t="n"/>
      <c r="E286" s="13" t="n"/>
      <c r="F286" s="20">
        <f>IF($E286="","",IF($C286="دستمزد گروهی",IFERROR(VLOOKUP($E286,WGTbl,2,0),"کد ناشناخته"),IFERROR(IF(VLOOKUP($E286,AcctTblE,4,0)="","(بدون نام)",VLOOKUP($E286,AcctTblE,4,0)),"کد ناشناخته")))</f>
        <v/>
      </c>
      <c r="G286" s="15" t="n"/>
      <c r="H286" s="21">
        <f>IF(OR($C286&lt;&gt;"دستمزد گروهی",$D286=""),"",SUMIFS(ShareAmt,ShareLink,$D286))</f>
        <v/>
      </c>
      <c r="I286" s="22">
        <f>IF($C286&lt;&gt;"دستمزد گروهی","—",IF($H286="","",IF(ROUND($H286-IF($G286="",0,$G286),0)=0,"√","▲ مغایرت "&amp;TEXT(IF($G286="",0,$G286)-$H286,"#,##0"))))</f>
        <v/>
      </c>
      <c r="J286" s="18" t="n"/>
    </row>
    <row r="287">
      <c r="A287" s="10">
        <f>IF($B287="","",COUNTA($B$9:$B287))</f>
        <v/>
      </c>
      <c r="B287" s="11" t="n"/>
      <c r="C287" s="12" t="n"/>
      <c r="D287" s="12" t="n"/>
      <c r="E287" s="13" t="n"/>
      <c r="F287" s="14">
        <f>IF($E287="","",IF($C287="دستمزد گروهی",IFERROR(VLOOKUP($E287,WGTbl,2,0),"کد ناشناخته"),IFERROR(IF(VLOOKUP($E287,AcctTblE,4,0)="","(بدون نام)",VLOOKUP($E287,AcctTblE,4,0)),"کد ناشناخته")))</f>
        <v/>
      </c>
      <c r="G287" s="15" t="n"/>
      <c r="H287" s="16">
        <f>IF(OR($C287&lt;&gt;"دستمزد گروهی",$D287=""),"",SUMIFS(ShareAmt,ShareLink,$D287))</f>
        <v/>
      </c>
      <c r="I287" s="17">
        <f>IF($C287&lt;&gt;"دستمزد گروهی","—",IF($H287="","",IF(ROUND($H287-IF($G287="",0,$G287),0)=0,"√","▲ مغایرت "&amp;TEXT(IF($G287="",0,$G287)-$H287,"#,##0"))))</f>
        <v/>
      </c>
      <c r="J287" s="18" t="n"/>
    </row>
    <row r="288">
      <c r="A288" s="19">
        <f>IF($B288="","",COUNTA($B$9:$B288))</f>
        <v/>
      </c>
      <c r="B288" s="11" t="n"/>
      <c r="C288" s="12" t="n"/>
      <c r="D288" s="12" t="n"/>
      <c r="E288" s="13" t="n"/>
      <c r="F288" s="20">
        <f>IF($E288="","",IF($C288="دستمزد گروهی",IFERROR(VLOOKUP($E288,WGTbl,2,0),"کد ناشناخته"),IFERROR(IF(VLOOKUP($E288,AcctTblE,4,0)="","(بدون نام)",VLOOKUP($E288,AcctTblE,4,0)),"کد ناشناخته")))</f>
        <v/>
      </c>
      <c r="G288" s="15" t="n"/>
      <c r="H288" s="21">
        <f>IF(OR($C288&lt;&gt;"دستمزد گروهی",$D288=""),"",SUMIFS(ShareAmt,ShareLink,$D288))</f>
        <v/>
      </c>
      <c r="I288" s="22">
        <f>IF($C288&lt;&gt;"دستمزد گروهی","—",IF($H288="","",IF(ROUND($H288-IF($G288="",0,$G288),0)=0,"√","▲ مغایرت "&amp;TEXT(IF($G288="",0,$G288)-$H288,"#,##0"))))</f>
        <v/>
      </c>
      <c r="J288" s="18" t="n"/>
    </row>
    <row r="289">
      <c r="A289" s="10">
        <f>IF($B289="","",COUNTA($B$9:$B289))</f>
        <v/>
      </c>
      <c r="B289" s="11" t="n"/>
      <c r="C289" s="12" t="n"/>
      <c r="D289" s="12" t="n"/>
      <c r="E289" s="13" t="n"/>
      <c r="F289" s="14">
        <f>IF($E289="","",IF($C289="دستمزد گروهی",IFERROR(VLOOKUP($E289,WGTbl,2,0),"کد ناشناخته"),IFERROR(IF(VLOOKUP($E289,AcctTblE,4,0)="","(بدون نام)",VLOOKUP($E289,AcctTblE,4,0)),"کد ناشناخته")))</f>
        <v/>
      </c>
      <c r="G289" s="15" t="n"/>
      <c r="H289" s="16">
        <f>IF(OR($C289&lt;&gt;"دستمزد گروهی",$D289=""),"",SUMIFS(ShareAmt,ShareLink,$D289))</f>
        <v/>
      </c>
      <c r="I289" s="17">
        <f>IF($C289&lt;&gt;"دستمزد گروهی","—",IF($H289="","",IF(ROUND($H289-IF($G289="",0,$G289),0)=0,"√","▲ مغایرت "&amp;TEXT(IF($G289="",0,$G289)-$H289,"#,##0"))))</f>
        <v/>
      </c>
      <c r="J289" s="18" t="n"/>
    </row>
    <row r="290">
      <c r="A290" s="19">
        <f>IF($B290="","",COUNTA($B$9:$B290))</f>
        <v/>
      </c>
      <c r="B290" s="11" t="n"/>
      <c r="C290" s="12" t="n"/>
      <c r="D290" s="12" t="n"/>
      <c r="E290" s="13" t="n"/>
      <c r="F290" s="20">
        <f>IF($E290="","",IF($C290="دستمزد گروهی",IFERROR(VLOOKUP($E290,WGTbl,2,0),"کد ناشناخته"),IFERROR(IF(VLOOKUP($E290,AcctTblE,4,0)="","(بدون نام)",VLOOKUP($E290,AcctTblE,4,0)),"کد ناشناخته")))</f>
        <v/>
      </c>
      <c r="G290" s="15" t="n"/>
      <c r="H290" s="21">
        <f>IF(OR($C290&lt;&gt;"دستمزد گروهی",$D290=""),"",SUMIFS(ShareAmt,ShareLink,$D290))</f>
        <v/>
      </c>
      <c r="I290" s="22">
        <f>IF($C290&lt;&gt;"دستمزد گروهی","—",IF($H290="","",IF(ROUND($H290-IF($G290="",0,$G290),0)=0,"√","▲ مغایرت "&amp;TEXT(IF($G290="",0,$G290)-$H290,"#,##0"))))</f>
        <v/>
      </c>
      <c r="J290" s="18" t="n"/>
    </row>
    <row r="291">
      <c r="A291" s="10">
        <f>IF($B291="","",COUNTA($B$9:$B291))</f>
        <v/>
      </c>
      <c r="B291" s="11" t="n"/>
      <c r="C291" s="12" t="n"/>
      <c r="D291" s="12" t="n"/>
      <c r="E291" s="13" t="n"/>
      <c r="F291" s="14">
        <f>IF($E291="","",IF($C291="دستمزد گروهی",IFERROR(VLOOKUP($E291,WGTbl,2,0),"کد ناشناخته"),IFERROR(IF(VLOOKUP($E291,AcctTblE,4,0)="","(بدون نام)",VLOOKUP($E291,AcctTblE,4,0)),"کد ناشناخته")))</f>
        <v/>
      </c>
      <c r="G291" s="15" t="n"/>
      <c r="H291" s="16">
        <f>IF(OR($C291&lt;&gt;"دستمزد گروهی",$D291=""),"",SUMIFS(ShareAmt,ShareLink,$D291))</f>
        <v/>
      </c>
      <c r="I291" s="17">
        <f>IF($C291&lt;&gt;"دستمزد گروهی","—",IF($H291="","",IF(ROUND($H291-IF($G291="",0,$G291),0)=0,"√","▲ مغایرت "&amp;TEXT(IF($G291="",0,$G291)-$H291,"#,##0"))))</f>
        <v/>
      </c>
      <c r="J291" s="18" t="n"/>
    </row>
    <row r="292">
      <c r="A292" s="19">
        <f>IF($B292="","",COUNTA($B$9:$B292))</f>
        <v/>
      </c>
      <c r="B292" s="11" t="n"/>
      <c r="C292" s="12" t="n"/>
      <c r="D292" s="12" t="n"/>
      <c r="E292" s="13" t="n"/>
      <c r="F292" s="20">
        <f>IF($E292="","",IF($C292="دستمزد گروهی",IFERROR(VLOOKUP($E292,WGTbl,2,0),"کد ناشناخته"),IFERROR(IF(VLOOKUP($E292,AcctTblE,4,0)="","(بدون نام)",VLOOKUP($E292,AcctTblE,4,0)),"کد ناشناخته")))</f>
        <v/>
      </c>
      <c r="G292" s="15" t="n"/>
      <c r="H292" s="21">
        <f>IF(OR($C292&lt;&gt;"دستمزد گروهی",$D292=""),"",SUMIFS(ShareAmt,ShareLink,$D292))</f>
        <v/>
      </c>
      <c r="I292" s="22">
        <f>IF($C292&lt;&gt;"دستمزد گروهی","—",IF($H292="","",IF(ROUND($H292-IF($G292="",0,$G292),0)=0,"√","▲ مغایرت "&amp;TEXT(IF($G292="",0,$G292)-$H292,"#,##0"))))</f>
        <v/>
      </c>
      <c r="J292" s="18" t="n"/>
    </row>
    <row r="293">
      <c r="A293" s="10">
        <f>IF($B293="","",COUNTA($B$9:$B293))</f>
        <v/>
      </c>
      <c r="B293" s="11" t="n"/>
      <c r="C293" s="12" t="n"/>
      <c r="D293" s="12" t="n"/>
      <c r="E293" s="13" t="n"/>
      <c r="F293" s="14">
        <f>IF($E293="","",IF($C293="دستمزد گروهی",IFERROR(VLOOKUP($E293,WGTbl,2,0),"کد ناشناخته"),IFERROR(IF(VLOOKUP($E293,AcctTblE,4,0)="","(بدون نام)",VLOOKUP($E293,AcctTblE,4,0)),"کد ناشناخته")))</f>
        <v/>
      </c>
      <c r="G293" s="15" t="n"/>
      <c r="H293" s="16">
        <f>IF(OR($C293&lt;&gt;"دستمزد گروهی",$D293=""),"",SUMIFS(ShareAmt,ShareLink,$D293))</f>
        <v/>
      </c>
      <c r="I293" s="17">
        <f>IF($C293&lt;&gt;"دستمزد گروهی","—",IF($H293="","",IF(ROUND($H293-IF($G293="",0,$G293),0)=0,"√","▲ مغایرت "&amp;TEXT(IF($G293="",0,$G293)-$H293,"#,##0"))))</f>
        <v/>
      </c>
      <c r="J293" s="18" t="n"/>
    </row>
    <row r="294">
      <c r="A294" s="19">
        <f>IF($B294="","",COUNTA($B$9:$B294))</f>
        <v/>
      </c>
      <c r="B294" s="11" t="n"/>
      <c r="C294" s="12" t="n"/>
      <c r="D294" s="12" t="n"/>
      <c r="E294" s="13" t="n"/>
      <c r="F294" s="20">
        <f>IF($E294="","",IF($C294="دستمزد گروهی",IFERROR(VLOOKUP($E294,WGTbl,2,0),"کد ناشناخته"),IFERROR(IF(VLOOKUP($E294,AcctTblE,4,0)="","(بدون نام)",VLOOKUP($E294,AcctTblE,4,0)),"کد ناشناخته")))</f>
        <v/>
      </c>
      <c r="G294" s="15" t="n"/>
      <c r="H294" s="21">
        <f>IF(OR($C294&lt;&gt;"دستمزد گروهی",$D294=""),"",SUMIFS(ShareAmt,ShareLink,$D294))</f>
        <v/>
      </c>
      <c r="I294" s="22">
        <f>IF($C294&lt;&gt;"دستمزد گروهی","—",IF($H294="","",IF(ROUND($H294-IF($G294="",0,$G294),0)=0,"√","▲ مغایرت "&amp;TEXT(IF($G294="",0,$G294)-$H294,"#,##0"))))</f>
        <v/>
      </c>
      <c r="J294" s="18" t="n"/>
    </row>
    <row r="295">
      <c r="A295" s="10">
        <f>IF($B295="","",COUNTA($B$9:$B295))</f>
        <v/>
      </c>
      <c r="B295" s="11" t="n"/>
      <c r="C295" s="12" t="n"/>
      <c r="D295" s="12" t="n"/>
      <c r="E295" s="13" t="n"/>
      <c r="F295" s="14">
        <f>IF($E295="","",IF($C295="دستمزد گروهی",IFERROR(VLOOKUP($E295,WGTbl,2,0),"کد ناشناخته"),IFERROR(IF(VLOOKUP($E295,AcctTblE,4,0)="","(بدون نام)",VLOOKUP($E295,AcctTblE,4,0)),"کد ناشناخته")))</f>
        <v/>
      </c>
      <c r="G295" s="15" t="n"/>
      <c r="H295" s="16">
        <f>IF(OR($C295&lt;&gt;"دستمزد گروهی",$D295=""),"",SUMIFS(ShareAmt,ShareLink,$D295))</f>
        <v/>
      </c>
      <c r="I295" s="17">
        <f>IF($C295&lt;&gt;"دستمزد گروهی","—",IF($H295="","",IF(ROUND($H295-IF($G295="",0,$G295),0)=0,"√","▲ مغایرت "&amp;TEXT(IF($G295="",0,$G295)-$H295,"#,##0"))))</f>
        <v/>
      </c>
      <c r="J295" s="18" t="n"/>
    </row>
    <row r="296">
      <c r="A296" s="19">
        <f>IF($B296="","",COUNTA($B$9:$B296))</f>
        <v/>
      </c>
      <c r="B296" s="11" t="n"/>
      <c r="C296" s="12" t="n"/>
      <c r="D296" s="12" t="n"/>
      <c r="E296" s="13" t="n"/>
      <c r="F296" s="20">
        <f>IF($E296="","",IF($C296="دستمزد گروهی",IFERROR(VLOOKUP($E296,WGTbl,2,0),"کد ناشناخته"),IFERROR(IF(VLOOKUP($E296,AcctTblE,4,0)="","(بدون نام)",VLOOKUP($E296,AcctTblE,4,0)),"کد ناشناخته")))</f>
        <v/>
      </c>
      <c r="G296" s="15" t="n"/>
      <c r="H296" s="21">
        <f>IF(OR($C296&lt;&gt;"دستمزد گروهی",$D296=""),"",SUMIFS(ShareAmt,ShareLink,$D296))</f>
        <v/>
      </c>
      <c r="I296" s="22">
        <f>IF($C296&lt;&gt;"دستمزد گروهی","—",IF($H296="","",IF(ROUND($H296-IF($G296="",0,$G296),0)=0,"√","▲ مغایرت "&amp;TEXT(IF($G296="",0,$G296)-$H296,"#,##0"))))</f>
        <v/>
      </c>
      <c r="J296" s="18" t="n"/>
    </row>
    <row r="297">
      <c r="A297" s="10">
        <f>IF($B297="","",COUNTA($B$9:$B297))</f>
        <v/>
      </c>
      <c r="B297" s="11" t="n"/>
      <c r="C297" s="12" t="n"/>
      <c r="D297" s="12" t="n"/>
      <c r="E297" s="13" t="n"/>
      <c r="F297" s="14">
        <f>IF($E297="","",IF($C297="دستمزد گروهی",IFERROR(VLOOKUP($E297,WGTbl,2,0),"کد ناشناخته"),IFERROR(IF(VLOOKUP($E297,AcctTblE,4,0)="","(بدون نام)",VLOOKUP($E297,AcctTblE,4,0)),"کد ناشناخته")))</f>
        <v/>
      </c>
      <c r="G297" s="15" t="n"/>
      <c r="H297" s="16">
        <f>IF(OR($C297&lt;&gt;"دستمزد گروهی",$D297=""),"",SUMIFS(ShareAmt,ShareLink,$D297))</f>
        <v/>
      </c>
      <c r="I297" s="17">
        <f>IF($C297&lt;&gt;"دستمزد گروهی","—",IF($H297="","",IF(ROUND($H297-IF($G297="",0,$G297),0)=0,"√","▲ مغایرت "&amp;TEXT(IF($G297="",0,$G297)-$H297,"#,##0"))))</f>
        <v/>
      </c>
      <c r="J297" s="18" t="n"/>
    </row>
    <row r="298">
      <c r="A298" s="19">
        <f>IF($B298="","",COUNTA($B$9:$B298))</f>
        <v/>
      </c>
      <c r="B298" s="11" t="n"/>
      <c r="C298" s="12" t="n"/>
      <c r="D298" s="12" t="n"/>
      <c r="E298" s="13" t="n"/>
      <c r="F298" s="20">
        <f>IF($E298="","",IF($C298="دستمزد گروهی",IFERROR(VLOOKUP($E298,WGTbl,2,0),"کد ناشناخته"),IFERROR(IF(VLOOKUP($E298,AcctTblE,4,0)="","(بدون نام)",VLOOKUP($E298,AcctTblE,4,0)),"کد ناشناخته")))</f>
        <v/>
      </c>
      <c r="G298" s="15" t="n"/>
      <c r="H298" s="21">
        <f>IF(OR($C298&lt;&gt;"دستمزد گروهی",$D298=""),"",SUMIFS(ShareAmt,ShareLink,$D298))</f>
        <v/>
      </c>
      <c r="I298" s="22">
        <f>IF($C298&lt;&gt;"دستمزد گروهی","—",IF($H298="","",IF(ROUND($H298-IF($G298="",0,$G298),0)=0,"√","▲ مغایرت "&amp;TEXT(IF($G298="",0,$G298)-$H298,"#,##0"))))</f>
        <v/>
      </c>
      <c r="J298" s="18" t="n"/>
    </row>
    <row r="299">
      <c r="A299" s="10">
        <f>IF($B299="","",COUNTA($B$9:$B299))</f>
        <v/>
      </c>
      <c r="B299" s="11" t="n"/>
      <c r="C299" s="12" t="n"/>
      <c r="D299" s="12" t="n"/>
      <c r="E299" s="13" t="n"/>
      <c r="F299" s="14">
        <f>IF($E299="","",IF($C299="دستمزد گروهی",IFERROR(VLOOKUP($E299,WGTbl,2,0),"کد ناشناخته"),IFERROR(IF(VLOOKUP($E299,AcctTblE,4,0)="","(بدون نام)",VLOOKUP($E299,AcctTblE,4,0)),"کد ناشناخته")))</f>
        <v/>
      </c>
      <c r="G299" s="15" t="n"/>
      <c r="H299" s="16">
        <f>IF(OR($C299&lt;&gt;"دستمزد گروهی",$D299=""),"",SUMIFS(ShareAmt,ShareLink,$D299))</f>
        <v/>
      </c>
      <c r="I299" s="17">
        <f>IF($C299&lt;&gt;"دستمزد گروهی","—",IF($H299="","",IF(ROUND($H299-IF($G299="",0,$G299),0)=0,"√","▲ مغایرت "&amp;TEXT(IF($G299="",0,$G299)-$H299,"#,##0"))))</f>
        <v/>
      </c>
      <c r="J299" s="18" t="n"/>
    </row>
    <row r="300">
      <c r="A300" s="19">
        <f>IF($B300="","",COUNTA($B$9:$B300))</f>
        <v/>
      </c>
      <c r="B300" s="11" t="n"/>
      <c r="C300" s="12" t="n"/>
      <c r="D300" s="12" t="n"/>
      <c r="E300" s="13" t="n"/>
      <c r="F300" s="20">
        <f>IF($E300="","",IF($C300="دستمزد گروهی",IFERROR(VLOOKUP($E300,WGTbl,2,0),"کد ناشناخته"),IFERROR(IF(VLOOKUP($E300,AcctTblE,4,0)="","(بدون نام)",VLOOKUP($E300,AcctTblE,4,0)),"کد ناشناخته")))</f>
        <v/>
      </c>
      <c r="G300" s="15" t="n"/>
      <c r="H300" s="21">
        <f>IF(OR($C300&lt;&gt;"دستمزد گروهی",$D300=""),"",SUMIFS(ShareAmt,ShareLink,$D300))</f>
        <v/>
      </c>
      <c r="I300" s="22">
        <f>IF($C300&lt;&gt;"دستمزد گروهی","—",IF($H300="","",IF(ROUND($H300-IF($G300="",0,$G300),0)=0,"√","▲ مغایرت "&amp;TEXT(IF($G300="",0,$G300)-$H300,"#,##0"))))</f>
        <v/>
      </c>
      <c r="J300" s="18" t="n"/>
    </row>
    <row r="301">
      <c r="A301" s="10">
        <f>IF($B301="","",COUNTA($B$9:$B301))</f>
        <v/>
      </c>
      <c r="B301" s="11" t="n"/>
      <c r="C301" s="12" t="n"/>
      <c r="D301" s="12" t="n"/>
      <c r="E301" s="13" t="n"/>
      <c r="F301" s="14">
        <f>IF($E301="","",IF($C301="دستمزد گروهی",IFERROR(VLOOKUP($E301,WGTbl,2,0),"کد ناشناخته"),IFERROR(IF(VLOOKUP($E301,AcctTblE,4,0)="","(بدون نام)",VLOOKUP($E301,AcctTblE,4,0)),"کد ناشناخته")))</f>
        <v/>
      </c>
      <c r="G301" s="15" t="n"/>
      <c r="H301" s="16">
        <f>IF(OR($C301&lt;&gt;"دستمزد گروهی",$D301=""),"",SUMIFS(ShareAmt,ShareLink,$D301))</f>
        <v/>
      </c>
      <c r="I301" s="17">
        <f>IF($C301&lt;&gt;"دستمزد گروهی","—",IF($H301="","",IF(ROUND($H301-IF($G301="",0,$G301),0)=0,"√","▲ مغایرت "&amp;TEXT(IF($G301="",0,$G301)-$H301,"#,##0"))))</f>
        <v/>
      </c>
      <c r="J301" s="18" t="n"/>
    </row>
    <row r="302">
      <c r="A302" s="19">
        <f>IF($B302="","",COUNTA($B$9:$B302))</f>
        <v/>
      </c>
      <c r="B302" s="11" t="n"/>
      <c r="C302" s="12" t="n"/>
      <c r="D302" s="12" t="n"/>
      <c r="E302" s="13" t="n"/>
      <c r="F302" s="20">
        <f>IF($E302="","",IF($C302="دستمزد گروهی",IFERROR(VLOOKUP($E302,WGTbl,2,0),"کد ناشناخته"),IFERROR(IF(VLOOKUP($E302,AcctTblE,4,0)="","(بدون نام)",VLOOKUP($E302,AcctTblE,4,0)),"کد ناشناخته")))</f>
        <v/>
      </c>
      <c r="G302" s="15" t="n"/>
      <c r="H302" s="21">
        <f>IF(OR($C302&lt;&gt;"دستمزد گروهی",$D302=""),"",SUMIFS(ShareAmt,ShareLink,$D302))</f>
        <v/>
      </c>
      <c r="I302" s="22">
        <f>IF($C302&lt;&gt;"دستمزد گروهی","—",IF($H302="","",IF(ROUND($H302-IF($G302="",0,$G302),0)=0,"√","▲ مغایرت "&amp;TEXT(IF($G302="",0,$G302)-$H302,"#,##0"))))</f>
        <v/>
      </c>
      <c r="J302" s="18" t="n"/>
    </row>
    <row r="303">
      <c r="A303" s="10">
        <f>IF($B303="","",COUNTA($B$9:$B303))</f>
        <v/>
      </c>
      <c r="B303" s="11" t="n"/>
      <c r="C303" s="12" t="n"/>
      <c r="D303" s="12" t="n"/>
      <c r="E303" s="13" t="n"/>
      <c r="F303" s="14">
        <f>IF($E303="","",IF($C303="دستمزد گروهی",IFERROR(VLOOKUP($E303,WGTbl,2,0),"کد ناشناخته"),IFERROR(IF(VLOOKUP($E303,AcctTblE,4,0)="","(بدون نام)",VLOOKUP($E303,AcctTblE,4,0)),"کد ناشناخته")))</f>
        <v/>
      </c>
      <c r="G303" s="15" t="n"/>
      <c r="H303" s="16">
        <f>IF(OR($C303&lt;&gt;"دستمزد گروهی",$D303=""),"",SUMIFS(ShareAmt,ShareLink,$D303))</f>
        <v/>
      </c>
      <c r="I303" s="17">
        <f>IF($C303&lt;&gt;"دستمزد گروهی","—",IF($H303="","",IF(ROUND($H303-IF($G303="",0,$G303),0)=0,"√","▲ مغایرت "&amp;TEXT(IF($G303="",0,$G303)-$H303,"#,##0"))))</f>
        <v/>
      </c>
      <c r="J303" s="18" t="n"/>
    </row>
    <row r="304">
      <c r="A304" s="19">
        <f>IF($B304="","",COUNTA($B$9:$B304))</f>
        <v/>
      </c>
      <c r="B304" s="11" t="n"/>
      <c r="C304" s="12" t="n"/>
      <c r="D304" s="12" t="n"/>
      <c r="E304" s="13" t="n"/>
      <c r="F304" s="20">
        <f>IF($E304="","",IF($C304="دستمزد گروهی",IFERROR(VLOOKUP($E304,WGTbl,2,0),"کد ناشناخته"),IFERROR(IF(VLOOKUP($E304,AcctTblE,4,0)="","(بدون نام)",VLOOKUP($E304,AcctTblE,4,0)),"کد ناشناخته")))</f>
        <v/>
      </c>
      <c r="G304" s="15" t="n"/>
      <c r="H304" s="21">
        <f>IF(OR($C304&lt;&gt;"دستمزد گروهی",$D304=""),"",SUMIFS(ShareAmt,ShareLink,$D304))</f>
        <v/>
      </c>
      <c r="I304" s="22">
        <f>IF($C304&lt;&gt;"دستمزد گروهی","—",IF($H304="","",IF(ROUND($H304-IF($G304="",0,$G304),0)=0,"√","▲ مغایرت "&amp;TEXT(IF($G304="",0,$G304)-$H304,"#,##0"))))</f>
        <v/>
      </c>
      <c r="J304" s="18" t="n"/>
    </row>
    <row r="305">
      <c r="A305" s="10">
        <f>IF($B305="","",COUNTA($B$9:$B305))</f>
        <v/>
      </c>
      <c r="B305" s="11" t="n"/>
      <c r="C305" s="12" t="n"/>
      <c r="D305" s="12" t="n"/>
      <c r="E305" s="13" t="n"/>
      <c r="F305" s="14">
        <f>IF($E305="","",IF($C305="دستمزد گروهی",IFERROR(VLOOKUP($E305,WGTbl,2,0),"کد ناشناخته"),IFERROR(IF(VLOOKUP($E305,AcctTblE,4,0)="","(بدون نام)",VLOOKUP($E305,AcctTblE,4,0)),"کد ناشناخته")))</f>
        <v/>
      </c>
      <c r="G305" s="15" t="n"/>
      <c r="H305" s="16">
        <f>IF(OR($C305&lt;&gt;"دستمزد گروهی",$D305=""),"",SUMIFS(ShareAmt,ShareLink,$D305))</f>
        <v/>
      </c>
      <c r="I305" s="17">
        <f>IF($C305&lt;&gt;"دستمزد گروهی","—",IF($H305="","",IF(ROUND($H305-IF($G305="",0,$G305),0)=0,"√","▲ مغایرت "&amp;TEXT(IF($G305="",0,$G305)-$H305,"#,##0"))))</f>
        <v/>
      </c>
      <c r="J305" s="18" t="n"/>
    </row>
    <row r="306">
      <c r="A306" s="19">
        <f>IF($B306="","",COUNTA($B$9:$B306))</f>
        <v/>
      </c>
      <c r="B306" s="11" t="n"/>
      <c r="C306" s="12" t="n"/>
      <c r="D306" s="12" t="n"/>
      <c r="E306" s="13" t="n"/>
      <c r="F306" s="20">
        <f>IF($E306="","",IF($C306="دستمزد گروهی",IFERROR(VLOOKUP($E306,WGTbl,2,0),"کد ناشناخته"),IFERROR(IF(VLOOKUP($E306,AcctTblE,4,0)="","(بدون نام)",VLOOKUP($E306,AcctTblE,4,0)),"کد ناشناخته")))</f>
        <v/>
      </c>
      <c r="G306" s="15" t="n"/>
      <c r="H306" s="21">
        <f>IF(OR($C306&lt;&gt;"دستمزد گروهی",$D306=""),"",SUMIFS(ShareAmt,ShareLink,$D306))</f>
        <v/>
      </c>
      <c r="I306" s="22">
        <f>IF($C306&lt;&gt;"دستمزد گروهی","—",IF($H306="","",IF(ROUND($H306-IF($G306="",0,$G306),0)=0,"√","▲ مغایرت "&amp;TEXT(IF($G306="",0,$G306)-$H306,"#,##0"))))</f>
        <v/>
      </c>
      <c r="J306" s="18" t="n"/>
    </row>
    <row r="307">
      <c r="A307" s="10">
        <f>IF($B307="","",COUNTA($B$9:$B307))</f>
        <v/>
      </c>
      <c r="B307" s="11" t="n"/>
      <c r="C307" s="12" t="n"/>
      <c r="D307" s="12" t="n"/>
      <c r="E307" s="13" t="n"/>
      <c r="F307" s="14">
        <f>IF($E307="","",IF($C307="دستمزد گروهی",IFERROR(VLOOKUP($E307,WGTbl,2,0),"کد ناشناخته"),IFERROR(IF(VLOOKUP($E307,AcctTblE,4,0)="","(بدون نام)",VLOOKUP($E307,AcctTblE,4,0)),"کد ناشناخته")))</f>
        <v/>
      </c>
      <c r="G307" s="15" t="n"/>
      <c r="H307" s="16">
        <f>IF(OR($C307&lt;&gt;"دستمزد گروهی",$D307=""),"",SUMIFS(ShareAmt,ShareLink,$D307))</f>
        <v/>
      </c>
      <c r="I307" s="17">
        <f>IF($C307&lt;&gt;"دستمزد گروهی","—",IF($H307="","",IF(ROUND($H307-IF($G307="",0,$G307),0)=0,"√","▲ مغایرت "&amp;TEXT(IF($G307="",0,$G307)-$H307,"#,##0"))))</f>
        <v/>
      </c>
      <c r="J307" s="18" t="n"/>
    </row>
    <row r="308">
      <c r="A308" s="19">
        <f>IF($B308="","",COUNTA($B$9:$B308))</f>
        <v/>
      </c>
      <c r="B308" s="11" t="n"/>
      <c r="C308" s="12" t="n"/>
      <c r="D308" s="12" t="n"/>
      <c r="E308" s="13" t="n"/>
      <c r="F308" s="20">
        <f>IF($E308="","",IF($C308="دستمزد گروهی",IFERROR(VLOOKUP($E308,WGTbl,2,0),"کد ناشناخته"),IFERROR(IF(VLOOKUP($E308,AcctTblE,4,0)="","(بدون نام)",VLOOKUP($E308,AcctTblE,4,0)),"کد ناشناخته")))</f>
        <v/>
      </c>
      <c r="G308" s="15" t="n"/>
      <c r="H308" s="21">
        <f>IF(OR($C308&lt;&gt;"دستمزد گروهی",$D308=""),"",SUMIFS(ShareAmt,ShareLink,$D308))</f>
        <v/>
      </c>
      <c r="I308" s="22">
        <f>IF($C308&lt;&gt;"دستمزد گروهی","—",IF($H308="","",IF(ROUND($H308-IF($G308="",0,$G308),0)=0,"√","▲ مغایرت "&amp;TEXT(IF($G308="",0,$G308)-$H308,"#,##0"))))</f>
        <v/>
      </c>
      <c r="J308" s="18" t="n"/>
    </row>
    <row r="309">
      <c r="A309" s="10">
        <f>IF($B309="","",COUNTA($B$9:$B309))</f>
        <v/>
      </c>
      <c r="B309" s="11" t="n"/>
      <c r="C309" s="12" t="n"/>
      <c r="D309" s="12" t="n"/>
      <c r="E309" s="13" t="n"/>
      <c r="F309" s="14">
        <f>IF($E309="","",IF($C309="دستمزد گروهی",IFERROR(VLOOKUP($E309,WGTbl,2,0),"کد ناشناخته"),IFERROR(IF(VLOOKUP($E309,AcctTblE,4,0)="","(بدون نام)",VLOOKUP($E309,AcctTblE,4,0)),"کد ناشناخته")))</f>
        <v/>
      </c>
      <c r="G309" s="15" t="n"/>
      <c r="H309" s="16">
        <f>IF(OR($C309&lt;&gt;"دستمزد گروهی",$D309=""),"",SUMIFS(ShareAmt,ShareLink,$D309))</f>
        <v/>
      </c>
      <c r="I309" s="17">
        <f>IF($C309&lt;&gt;"دستمزد گروهی","—",IF($H309="","",IF(ROUND($H309-IF($G309="",0,$G309),0)=0,"√","▲ مغایرت "&amp;TEXT(IF($G309="",0,$G309)-$H309,"#,##0"))))</f>
        <v/>
      </c>
      <c r="J309" s="18" t="n"/>
    </row>
    <row r="310">
      <c r="A310" s="19">
        <f>IF($B310="","",COUNTA($B$9:$B310))</f>
        <v/>
      </c>
      <c r="B310" s="11" t="n"/>
      <c r="C310" s="12" t="n"/>
      <c r="D310" s="12" t="n"/>
      <c r="E310" s="13" t="n"/>
      <c r="F310" s="20">
        <f>IF($E310="","",IF($C310="دستمزد گروهی",IFERROR(VLOOKUP($E310,WGTbl,2,0),"کد ناشناخته"),IFERROR(IF(VLOOKUP($E310,AcctTblE,4,0)="","(بدون نام)",VLOOKUP($E310,AcctTblE,4,0)),"کد ناشناخته")))</f>
        <v/>
      </c>
      <c r="G310" s="15" t="n"/>
      <c r="H310" s="21">
        <f>IF(OR($C310&lt;&gt;"دستمزد گروهی",$D310=""),"",SUMIFS(ShareAmt,ShareLink,$D310))</f>
        <v/>
      </c>
      <c r="I310" s="22">
        <f>IF($C310&lt;&gt;"دستمزد گروهی","—",IF($H310="","",IF(ROUND($H310-IF($G310="",0,$G310),0)=0,"√","▲ مغایرت "&amp;TEXT(IF($G310="",0,$G310)-$H310,"#,##0"))))</f>
        <v/>
      </c>
      <c r="J310" s="18" t="n"/>
    </row>
    <row r="311">
      <c r="A311" s="10">
        <f>IF($B311="","",COUNTA($B$9:$B311))</f>
        <v/>
      </c>
      <c r="B311" s="11" t="n"/>
      <c r="C311" s="12" t="n"/>
      <c r="D311" s="12" t="n"/>
      <c r="E311" s="13" t="n"/>
      <c r="F311" s="14">
        <f>IF($E311="","",IF($C311="دستمزد گروهی",IFERROR(VLOOKUP($E311,WGTbl,2,0),"کد ناشناخته"),IFERROR(IF(VLOOKUP($E311,AcctTblE,4,0)="","(بدون نام)",VLOOKUP($E311,AcctTblE,4,0)),"کد ناشناخته")))</f>
        <v/>
      </c>
      <c r="G311" s="15" t="n"/>
      <c r="H311" s="16">
        <f>IF(OR($C311&lt;&gt;"دستمزد گروهی",$D311=""),"",SUMIFS(ShareAmt,ShareLink,$D311))</f>
        <v/>
      </c>
      <c r="I311" s="17">
        <f>IF($C311&lt;&gt;"دستمزد گروهی","—",IF($H311="","",IF(ROUND($H311-IF($G311="",0,$G311),0)=0,"√","▲ مغایرت "&amp;TEXT(IF($G311="",0,$G311)-$H311,"#,##0"))))</f>
        <v/>
      </c>
      <c r="J311" s="18" t="n"/>
    </row>
    <row r="312">
      <c r="A312" s="19">
        <f>IF($B312="","",COUNTA($B$9:$B312))</f>
        <v/>
      </c>
      <c r="B312" s="11" t="n"/>
      <c r="C312" s="12" t="n"/>
      <c r="D312" s="12" t="n"/>
      <c r="E312" s="13" t="n"/>
      <c r="F312" s="20">
        <f>IF($E312="","",IF($C312="دستمزد گروهی",IFERROR(VLOOKUP($E312,WGTbl,2,0),"کد ناشناخته"),IFERROR(IF(VLOOKUP($E312,AcctTblE,4,0)="","(بدون نام)",VLOOKUP($E312,AcctTblE,4,0)),"کد ناشناخته")))</f>
        <v/>
      </c>
      <c r="G312" s="15" t="n"/>
      <c r="H312" s="21">
        <f>IF(OR($C312&lt;&gt;"دستمزد گروهی",$D312=""),"",SUMIFS(ShareAmt,ShareLink,$D312))</f>
        <v/>
      </c>
      <c r="I312" s="22">
        <f>IF($C312&lt;&gt;"دستمزد گروهی","—",IF($H312="","",IF(ROUND($H312-IF($G312="",0,$G312),0)=0,"√","▲ مغایرت "&amp;TEXT(IF($G312="",0,$G312)-$H312,"#,##0"))))</f>
        <v/>
      </c>
      <c r="J312" s="18" t="n"/>
    </row>
    <row r="313">
      <c r="A313" s="10">
        <f>IF($B313="","",COUNTA($B$9:$B313))</f>
        <v/>
      </c>
      <c r="B313" s="11" t="n"/>
      <c r="C313" s="12" t="n"/>
      <c r="D313" s="12" t="n"/>
      <c r="E313" s="13" t="n"/>
      <c r="F313" s="14">
        <f>IF($E313="","",IF($C313="دستمزد گروهی",IFERROR(VLOOKUP($E313,WGTbl,2,0),"کد ناشناخته"),IFERROR(IF(VLOOKUP($E313,AcctTblE,4,0)="","(بدون نام)",VLOOKUP($E313,AcctTblE,4,0)),"کد ناشناخته")))</f>
        <v/>
      </c>
      <c r="G313" s="15" t="n"/>
      <c r="H313" s="16">
        <f>IF(OR($C313&lt;&gt;"دستمزد گروهی",$D313=""),"",SUMIFS(ShareAmt,ShareLink,$D313))</f>
        <v/>
      </c>
      <c r="I313" s="17">
        <f>IF($C313&lt;&gt;"دستمزد گروهی","—",IF($H313="","",IF(ROUND($H313-IF($G313="",0,$G313),0)=0,"√","▲ مغایرت "&amp;TEXT(IF($G313="",0,$G313)-$H313,"#,##0"))))</f>
        <v/>
      </c>
      <c r="J313" s="18" t="n"/>
    </row>
    <row r="314">
      <c r="A314" s="19">
        <f>IF($B314="","",COUNTA($B$9:$B314))</f>
        <v/>
      </c>
      <c r="B314" s="11" t="n"/>
      <c r="C314" s="12" t="n"/>
      <c r="D314" s="12" t="n"/>
      <c r="E314" s="13" t="n"/>
      <c r="F314" s="20">
        <f>IF($E314="","",IF($C314="دستمزد گروهی",IFERROR(VLOOKUP($E314,WGTbl,2,0),"کد ناشناخته"),IFERROR(IF(VLOOKUP($E314,AcctTblE,4,0)="","(بدون نام)",VLOOKUP($E314,AcctTblE,4,0)),"کد ناشناخته")))</f>
        <v/>
      </c>
      <c r="G314" s="15" t="n"/>
      <c r="H314" s="21">
        <f>IF(OR($C314&lt;&gt;"دستمزد گروهی",$D314=""),"",SUMIFS(ShareAmt,ShareLink,$D314))</f>
        <v/>
      </c>
      <c r="I314" s="22">
        <f>IF($C314&lt;&gt;"دستمزد گروهی","—",IF($H314="","",IF(ROUND($H314-IF($G314="",0,$G314),0)=0,"√","▲ مغایرت "&amp;TEXT(IF($G314="",0,$G314)-$H314,"#,##0"))))</f>
        <v/>
      </c>
      <c r="J314" s="18" t="n"/>
    </row>
    <row r="315">
      <c r="A315" s="10">
        <f>IF($B315="","",COUNTA($B$9:$B315))</f>
        <v/>
      </c>
      <c r="B315" s="11" t="n"/>
      <c r="C315" s="12" t="n"/>
      <c r="D315" s="12" t="n"/>
      <c r="E315" s="13" t="n"/>
      <c r="F315" s="14">
        <f>IF($E315="","",IF($C315="دستمزد گروهی",IFERROR(VLOOKUP($E315,WGTbl,2,0),"کد ناشناخته"),IFERROR(IF(VLOOKUP($E315,AcctTblE,4,0)="","(بدون نام)",VLOOKUP($E315,AcctTblE,4,0)),"کد ناشناخته")))</f>
        <v/>
      </c>
      <c r="G315" s="15" t="n"/>
      <c r="H315" s="16">
        <f>IF(OR($C315&lt;&gt;"دستمزد گروهی",$D315=""),"",SUMIFS(ShareAmt,ShareLink,$D315))</f>
        <v/>
      </c>
      <c r="I315" s="17">
        <f>IF($C315&lt;&gt;"دستمزد گروهی","—",IF($H315="","",IF(ROUND($H315-IF($G315="",0,$G315),0)=0,"√","▲ مغایرت "&amp;TEXT(IF($G315="",0,$G315)-$H315,"#,##0"))))</f>
        <v/>
      </c>
      <c r="J315" s="18" t="n"/>
    </row>
    <row r="316">
      <c r="A316" s="19">
        <f>IF($B316="","",COUNTA($B$9:$B316))</f>
        <v/>
      </c>
      <c r="B316" s="11" t="n"/>
      <c r="C316" s="12" t="n"/>
      <c r="D316" s="12" t="n"/>
      <c r="E316" s="13" t="n"/>
      <c r="F316" s="20">
        <f>IF($E316="","",IF($C316="دستمزد گروهی",IFERROR(VLOOKUP($E316,WGTbl,2,0),"کد ناشناخته"),IFERROR(IF(VLOOKUP($E316,AcctTblE,4,0)="","(بدون نام)",VLOOKUP($E316,AcctTblE,4,0)),"کد ناشناخته")))</f>
        <v/>
      </c>
      <c r="G316" s="15" t="n"/>
      <c r="H316" s="21">
        <f>IF(OR($C316&lt;&gt;"دستمزد گروهی",$D316=""),"",SUMIFS(ShareAmt,ShareLink,$D316))</f>
        <v/>
      </c>
      <c r="I316" s="22">
        <f>IF($C316&lt;&gt;"دستمزد گروهی","—",IF($H316="","",IF(ROUND($H316-IF($G316="",0,$G316),0)=0,"√","▲ مغایرت "&amp;TEXT(IF($G316="",0,$G316)-$H316,"#,##0"))))</f>
        <v/>
      </c>
      <c r="J316" s="18" t="n"/>
    </row>
    <row r="317">
      <c r="A317" s="10">
        <f>IF($B317="","",COUNTA($B$9:$B317))</f>
        <v/>
      </c>
      <c r="B317" s="11" t="n"/>
      <c r="C317" s="12" t="n"/>
      <c r="D317" s="12" t="n"/>
      <c r="E317" s="13" t="n"/>
      <c r="F317" s="14">
        <f>IF($E317="","",IF($C317="دستمزد گروهی",IFERROR(VLOOKUP($E317,WGTbl,2,0),"کد ناشناخته"),IFERROR(IF(VLOOKUP($E317,AcctTblE,4,0)="","(بدون نام)",VLOOKUP($E317,AcctTblE,4,0)),"کد ناشناخته")))</f>
        <v/>
      </c>
      <c r="G317" s="15" t="n"/>
      <c r="H317" s="16">
        <f>IF(OR($C317&lt;&gt;"دستمزد گروهی",$D317=""),"",SUMIFS(ShareAmt,ShareLink,$D317))</f>
        <v/>
      </c>
      <c r="I317" s="17">
        <f>IF($C317&lt;&gt;"دستمزد گروهی","—",IF($H317="","",IF(ROUND($H317-IF($G317="",0,$G317),0)=0,"√","▲ مغایرت "&amp;TEXT(IF($G317="",0,$G317)-$H317,"#,##0"))))</f>
        <v/>
      </c>
      <c r="J317" s="18" t="n"/>
    </row>
    <row r="318">
      <c r="A318" s="19">
        <f>IF($B318="","",COUNTA($B$9:$B318))</f>
        <v/>
      </c>
      <c r="B318" s="11" t="n"/>
      <c r="C318" s="12" t="n"/>
      <c r="D318" s="12" t="n"/>
      <c r="E318" s="13" t="n"/>
      <c r="F318" s="20">
        <f>IF($E318="","",IF($C318="دستمزد گروهی",IFERROR(VLOOKUP($E318,WGTbl,2,0),"کد ناشناخته"),IFERROR(IF(VLOOKUP($E318,AcctTblE,4,0)="","(بدون نام)",VLOOKUP($E318,AcctTblE,4,0)),"کد ناشناخته")))</f>
        <v/>
      </c>
      <c r="G318" s="15" t="n"/>
      <c r="H318" s="21">
        <f>IF(OR($C318&lt;&gt;"دستمزد گروهی",$D318=""),"",SUMIFS(ShareAmt,ShareLink,$D318))</f>
        <v/>
      </c>
      <c r="I318" s="22">
        <f>IF($C318&lt;&gt;"دستمزد گروهی","—",IF($H318="","",IF(ROUND($H318-IF($G318="",0,$G318),0)=0,"√","▲ مغایرت "&amp;TEXT(IF($G318="",0,$G318)-$H318,"#,##0"))))</f>
        <v/>
      </c>
      <c r="J318" s="18" t="n"/>
    </row>
    <row r="319">
      <c r="A319" s="10">
        <f>IF($B319="","",COUNTA($B$9:$B319))</f>
        <v/>
      </c>
      <c r="B319" s="11" t="n"/>
      <c r="C319" s="12" t="n"/>
      <c r="D319" s="12" t="n"/>
      <c r="E319" s="13" t="n"/>
      <c r="F319" s="14">
        <f>IF($E319="","",IF($C319="دستمزد گروهی",IFERROR(VLOOKUP($E319,WGTbl,2,0),"کد ناشناخته"),IFERROR(IF(VLOOKUP($E319,AcctTblE,4,0)="","(بدون نام)",VLOOKUP($E319,AcctTblE,4,0)),"کد ناشناخته")))</f>
        <v/>
      </c>
      <c r="G319" s="15" t="n"/>
      <c r="H319" s="16">
        <f>IF(OR($C319&lt;&gt;"دستمزد گروهی",$D319=""),"",SUMIFS(ShareAmt,ShareLink,$D319))</f>
        <v/>
      </c>
      <c r="I319" s="17">
        <f>IF($C319&lt;&gt;"دستمزد گروهی","—",IF($H319="","",IF(ROUND($H319-IF($G319="",0,$G319),0)=0,"√","▲ مغایرت "&amp;TEXT(IF($G319="",0,$G319)-$H319,"#,##0"))))</f>
        <v/>
      </c>
      <c r="J319" s="18" t="n"/>
    </row>
    <row r="320">
      <c r="A320" s="19">
        <f>IF($B320="","",COUNTA($B$9:$B320))</f>
        <v/>
      </c>
      <c r="B320" s="11" t="n"/>
      <c r="C320" s="12" t="n"/>
      <c r="D320" s="12" t="n"/>
      <c r="E320" s="13" t="n"/>
      <c r="F320" s="20">
        <f>IF($E320="","",IF($C320="دستمزد گروهی",IFERROR(VLOOKUP($E320,WGTbl,2,0),"کد ناشناخته"),IFERROR(IF(VLOOKUP($E320,AcctTblE,4,0)="","(بدون نام)",VLOOKUP($E320,AcctTblE,4,0)),"کد ناشناخته")))</f>
        <v/>
      </c>
      <c r="G320" s="15" t="n"/>
      <c r="H320" s="21">
        <f>IF(OR($C320&lt;&gt;"دستمزد گروهی",$D320=""),"",SUMIFS(ShareAmt,ShareLink,$D320))</f>
        <v/>
      </c>
      <c r="I320" s="22">
        <f>IF($C320&lt;&gt;"دستمزد گروهی","—",IF($H320="","",IF(ROUND($H320-IF($G320="",0,$G320),0)=0,"√","▲ مغایرت "&amp;TEXT(IF($G320="",0,$G320)-$H320,"#,##0"))))</f>
        <v/>
      </c>
      <c r="J320" s="18" t="n"/>
    </row>
    <row r="321">
      <c r="A321" s="10">
        <f>IF($B321="","",COUNTA($B$9:$B321))</f>
        <v/>
      </c>
      <c r="B321" s="11" t="n"/>
      <c r="C321" s="12" t="n"/>
      <c r="D321" s="12" t="n"/>
      <c r="E321" s="13" t="n"/>
      <c r="F321" s="14">
        <f>IF($E321="","",IF($C321="دستمزد گروهی",IFERROR(VLOOKUP($E321,WGTbl,2,0),"کد ناشناخته"),IFERROR(IF(VLOOKUP($E321,AcctTblE,4,0)="","(بدون نام)",VLOOKUP($E321,AcctTblE,4,0)),"کد ناشناخته")))</f>
        <v/>
      </c>
      <c r="G321" s="15" t="n"/>
      <c r="H321" s="16">
        <f>IF(OR($C321&lt;&gt;"دستمزد گروهی",$D321=""),"",SUMIFS(ShareAmt,ShareLink,$D321))</f>
        <v/>
      </c>
      <c r="I321" s="17">
        <f>IF($C321&lt;&gt;"دستمزد گروهی","—",IF($H321="","",IF(ROUND($H321-IF($G321="",0,$G321),0)=0,"√","▲ مغایرت "&amp;TEXT(IF($G321="",0,$G321)-$H321,"#,##0"))))</f>
        <v/>
      </c>
      <c r="J321" s="18" t="n"/>
    </row>
    <row r="322">
      <c r="A322" s="19">
        <f>IF($B322="","",COUNTA($B$9:$B322))</f>
        <v/>
      </c>
      <c r="B322" s="11" t="n"/>
      <c r="C322" s="12" t="n"/>
      <c r="D322" s="12" t="n"/>
      <c r="E322" s="13" t="n"/>
      <c r="F322" s="20">
        <f>IF($E322="","",IF($C322="دستمزد گروهی",IFERROR(VLOOKUP($E322,WGTbl,2,0),"کد ناشناخته"),IFERROR(IF(VLOOKUP($E322,AcctTblE,4,0)="","(بدون نام)",VLOOKUP($E322,AcctTblE,4,0)),"کد ناشناخته")))</f>
        <v/>
      </c>
      <c r="G322" s="15" t="n"/>
      <c r="H322" s="21">
        <f>IF(OR($C322&lt;&gt;"دستمزد گروهی",$D322=""),"",SUMIFS(ShareAmt,ShareLink,$D322))</f>
        <v/>
      </c>
      <c r="I322" s="22">
        <f>IF($C322&lt;&gt;"دستمزد گروهی","—",IF($H322="","",IF(ROUND($H322-IF($G322="",0,$G322),0)=0,"√","▲ مغایرت "&amp;TEXT(IF($G322="",0,$G322)-$H322,"#,##0"))))</f>
        <v/>
      </c>
      <c r="J322" s="18" t="n"/>
    </row>
    <row r="323">
      <c r="A323" s="10">
        <f>IF($B323="","",COUNTA($B$9:$B323))</f>
        <v/>
      </c>
      <c r="B323" s="11" t="n"/>
      <c r="C323" s="12" t="n"/>
      <c r="D323" s="12" t="n"/>
      <c r="E323" s="13" t="n"/>
      <c r="F323" s="14">
        <f>IF($E323="","",IF($C323="دستمزد گروهی",IFERROR(VLOOKUP($E323,WGTbl,2,0),"کد ناشناخته"),IFERROR(IF(VLOOKUP($E323,AcctTblE,4,0)="","(بدون نام)",VLOOKUP($E323,AcctTblE,4,0)),"کد ناشناخته")))</f>
        <v/>
      </c>
      <c r="G323" s="15" t="n"/>
      <c r="H323" s="16">
        <f>IF(OR($C323&lt;&gt;"دستمزد گروهی",$D323=""),"",SUMIFS(ShareAmt,ShareLink,$D323))</f>
        <v/>
      </c>
      <c r="I323" s="17">
        <f>IF($C323&lt;&gt;"دستمزد گروهی","—",IF($H323="","",IF(ROUND($H323-IF($G323="",0,$G323),0)=0,"√","▲ مغایرت "&amp;TEXT(IF($G323="",0,$G323)-$H323,"#,##0"))))</f>
        <v/>
      </c>
      <c r="J323" s="18" t="n"/>
    </row>
    <row r="324">
      <c r="A324" s="19">
        <f>IF($B324="","",COUNTA($B$9:$B324))</f>
        <v/>
      </c>
      <c r="B324" s="11" t="n"/>
      <c r="C324" s="12" t="n"/>
      <c r="D324" s="12" t="n"/>
      <c r="E324" s="13" t="n"/>
      <c r="F324" s="20">
        <f>IF($E324="","",IF($C324="دستمزد گروهی",IFERROR(VLOOKUP($E324,WGTbl,2,0),"کد ناشناخته"),IFERROR(IF(VLOOKUP($E324,AcctTblE,4,0)="","(بدون نام)",VLOOKUP($E324,AcctTblE,4,0)),"کد ناشناخته")))</f>
        <v/>
      </c>
      <c r="G324" s="15" t="n"/>
      <c r="H324" s="21">
        <f>IF(OR($C324&lt;&gt;"دستمزد گروهی",$D324=""),"",SUMIFS(ShareAmt,ShareLink,$D324))</f>
        <v/>
      </c>
      <c r="I324" s="22">
        <f>IF($C324&lt;&gt;"دستمزد گروهی","—",IF($H324="","",IF(ROUND($H324-IF($G324="",0,$G324),0)=0,"√","▲ مغایرت "&amp;TEXT(IF($G324="",0,$G324)-$H324,"#,##0"))))</f>
        <v/>
      </c>
      <c r="J324" s="18" t="n"/>
    </row>
    <row r="325">
      <c r="A325" s="10">
        <f>IF($B325="","",COUNTA($B$9:$B325))</f>
        <v/>
      </c>
      <c r="B325" s="11" t="n"/>
      <c r="C325" s="12" t="n"/>
      <c r="D325" s="12" t="n"/>
      <c r="E325" s="13" t="n"/>
      <c r="F325" s="14">
        <f>IF($E325="","",IF($C325="دستمزد گروهی",IFERROR(VLOOKUP($E325,WGTbl,2,0),"کد ناشناخته"),IFERROR(IF(VLOOKUP($E325,AcctTblE,4,0)="","(بدون نام)",VLOOKUP($E325,AcctTblE,4,0)),"کد ناشناخته")))</f>
        <v/>
      </c>
      <c r="G325" s="15" t="n"/>
      <c r="H325" s="16">
        <f>IF(OR($C325&lt;&gt;"دستمزد گروهی",$D325=""),"",SUMIFS(ShareAmt,ShareLink,$D325))</f>
        <v/>
      </c>
      <c r="I325" s="17">
        <f>IF($C325&lt;&gt;"دستمزد گروهی","—",IF($H325="","",IF(ROUND($H325-IF($G325="",0,$G325),0)=0,"√","▲ مغایرت "&amp;TEXT(IF($G325="",0,$G325)-$H325,"#,##0"))))</f>
        <v/>
      </c>
      <c r="J325" s="18" t="n"/>
    </row>
    <row r="326">
      <c r="A326" s="19">
        <f>IF($B326="","",COUNTA($B$9:$B326))</f>
        <v/>
      </c>
      <c r="B326" s="11" t="n"/>
      <c r="C326" s="12" t="n"/>
      <c r="D326" s="12" t="n"/>
      <c r="E326" s="13" t="n"/>
      <c r="F326" s="20">
        <f>IF($E326="","",IF($C326="دستمزد گروهی",IFERROR(VLOOKUP($E326,WGTbl,2,0),"کد ناشناخته"),IFERROR(IF(VLOOKUP($E326,AcctTblE,4,0)="","(بدون نام)",VLOOKUP($E326,AcctTblE,4,0)),"کد ناشناخته")))</f>
        <v/>
      </c>
      <c r="G326" s="15" t="n"/>
      <c r="H326" s="21">
        <f>IF(OR($C326&lt;&gt;"دستمزد گروهی",$D326=""),"",SUMIFS(ShareAmt,ShareLink,$D326))</f>
        <v/>
      </c>
      <c r="I326" s="22">
        <f>IF($C326&lt;&gt;"دستمزد گروهی","—",IF($H326="","",IF(ROUND($H326-IF($G326="",0,$G326),0)=0,"√","▲ مغایرت "&amp;TEXT(IF($G326="",0,$G326)-$H326,"#,##0"))))</f>
        <v/>
      </c>
      <c r="J326" s="18" t="n"/>
    </row>
    <row r="327">
      <c r="A327" s="10">
        <f>IF($B327="","",COUNTA($B$9:$B327))</f>
        <v/>
      </c>
      <c r="B327" s="11" t="n"/>
      <c r="C327" s="12" t="n"/>
      <c r="D327" s="12" t="n"/>
      <c r="E327" s="13" t="n"/>
      <c r="F327" s="14">
        <f>IF($E327="","",IF($C327="دستمزد گروهی",IFERROR(VLOOKUP($E327,WGTbl,2,0),"کد ناشناخته"),IFERROR(IF(VLOOKUP($E327,AcctTblE,4,0)="","(بدون نام)",VLOOKUP($E327,AcctTblE,4,0)),"کد ناشناخته")))</f>
        <v/>
      </c>
      <c r="G327" s="15" t="n"/>
      <c r="H327" s="16">
        <f>IF(OR($C327&lt;&gt;"دستمزد گروهی",$D327=""),"",SUMIFS(ShareAmt,ShareLink,$D327))</f>
        <v/>
      </c>
      <c r="I327" s="17">
        <f>IF($C327&lt;&gt;"دستمزد گروهی","—",IF($H327="","",IF(ROUND($H327-IF($G327="",0,$G327),0)=0,"√","▲ مغایرت "&amp;TEXT(IF($G327="",0,$G327)-$H327,"#,##0"))))</f>
        <v/>
      </c>
      <c r="J327" s="18" t="n"/>
    </row>
    <row r="328">
      <c r="A328" s="19">
        <f>IF($B328="","",COUNTA($B$9:$B328))</f>
        <v/>
      </c>
      <c r="B328" s="11" t="n"/>
      <c r="C328" s="12" t="n"/>
      <c r="D328" s="12" t="n"/>
      <c r="E328" s="13" t="n"/>
      <c r="F328" s="20">
        <f>IF($E328="","",IF($C328="دستمزد گروهی",IFERROR(VLOOKUP($E328,WGTbl,2,0),"کد ناشناخته"),IFERROR(IF(VLOOKUP($E328,AcctTblE,4,0)="","(بدون نام)",VLOOKUP($E328,AcctTblE,4,0)),"کد ناشناخته")))</f>
        <v/>
      </c>
      <c r="G328" s="15" t="n"/>
      <c r="H328" s="21">
        <f>IF(OR($C328&lt;&gt;"دستمزد گروهی",$D328=""),"",SUMIFS(ShareAmt,ShareLink,$D328))</f>
        <v/>
      </c>
      <c r="I328" s="22">
        <f>IF($C328&lt;&gt;"دستمزد گروهی","—",IF($H328="","",IF(ROUND($H328-IF($G328="",0,$G328),0)=0,"√","▲ مغایرت "&amp;TEXT(IF($G328="",0,$G328)-$H328,"#,##0"))))</f>
        <v/>
      </c>
      <c r="J328" s="18" t="n"/>
    </row>
    <row r="329">
      <c r="A329" s="10">
        <f>IF($B329="","",COUNTA($B$9:$B329))</f>
        <v/>
      </c>
      <c r="B329" s="11" t="n"/>
      <c r="C329" s="12" t="n"/>
      <c r="D329" s="12" t="n"/>
      <c r="E329" s="13" t="n"/>
      <c r="F329" s="14">
        <f>IF($E329="","",IF($C329="دستمزد گروهی",IFERROR(VLOOKUP($E329,WGTbl,2,0),"کد ناشناخته"),IFERROR(IF(VLOOKUP($E329,AcctTblE,4,0)="","(بدون نام)",VLOOKUP($E329,AcctTblE,4,0)),"کد ناشناخته")))</f>
        <v/>
      </c>
      <c r="G329" s="15" t="n"/>
      <c r="H329" s="16">
        <f>IF(OR($C329&lt;&gt;"دستمزد گروهی",$D329=""),"",SUMIFS(ShareAmt,ShareLink,$D329))</f>
        <v/>
      </c>
      <c r="I329" s="17">
        <f>IF($C329&lt;&gt;"دستمزد گروهی","—",IF($H329="","",IF(ROUND($H329-IF($G329="",0,$G329),0)=0,"√","▲ مغایرت "&amp;TEXT(IF($G329="",0,$G329)-$H329,"#,##0"))))</f>
        <v/>
      </c>
      <c r="J329" s="18" t="n"/>
    </row>
    <row r="330">
      <c r="A330" s="19">
        <f>IF($B330="","",COUNTA($B$9:$B330))</f>
        <v/>
      </c>
      <c r="B330" s="11" t="n"/>
      <c r="C330" s="12" t="n"/>
      <c r="D330" s="12" t="n"/>
      <c r="E330" s="13" t="n"/>
      <c r="F330" s="20">
        <f>IF($E330="","",IF($C330="دستمزد گروهی",IFERROR(VLOOKUP($E330,WGTbl,2,0),"کد ناشناخته"),IFERROR(IF(VLOOKUP($E330,AcctTblE,4,0)="","(بدون نام)",VLOOKUP($E330,AcctTblE,4,0)),"کد ناشناخته")))</f>
        <v/>
      </c>
      <c r="G330" s="15" t="n"/>
      <c r="H330" s="21">
        <f>IF(OR($C330&lt;&gt;"دستمزد گروهی",$D330=""),"",SUMIFS(ShareAmt,ShareLink,$D330))</f>
        <v/>
      </c>
      <c r="I330" s="22">
        <f>IF($C330&lt;&gt;"دستمزد گروهی","—",IF($H330="","",IF(ROUND($H330-IF($G330="",0,$G330),0)=0,"√","▲ مغایرت "&amp;TEXT(IF($G330="",0,$G330)-$H330,"#,##0"))))</f>
        <v/>
      </c>
      <c r="J330" s="18" t="n"/>
    </row>
    <row r="331">
      <c r="A331" s="10">
        <f>IF($B331="","",COUNTA($B$9:$B331))</f>
        <v/>
      </c>
      <c r="B331" s="11" t="n"/>
      <c r="C331" s="12" t="n"/>
      <c r="D331" s="12" t="n"/>
      <c r="E331" s="13" t="n"/>
      <c r="F331" s="14">
        <f>IF($E331="","",IF($C331="دستمزد گروهی",IFERROR(VLOOKUP($E331,WGTbl,2,0),"کد ناشناخته"),IFERROR(IF(VLOOKUP($E331,AcctTblE,4,0)="","(بدون نام)",VLOOKUP($E331,AcctTblE,4,0)),"کد ناشناخته")))</f>
        <v/>
      </c>
      <c r="G331" s="15" t="n"/>
      <c r="H331" s="16">
        <f>IF(OR($C331&lt;&gt;"دستمزد گروهی",$D331=""),"",SUMIFS(ShareAmt,ShareLink,$D331))</f>
        <v/>
      </c>
      <c r="I331" s="17">
        <f>IF($C331&lt;&gt;"دستمزد گروهی","—",IF($H331="","",IF(ROUND($H331-IF($G331="",0,$G331),0)=0,"√","▲ مغایرت "&amp;TEXT(IF($G331="",0,$G331)-$H331,"#,##0"))))</f>
        <v/>
      </c>
      <c r="J331" s="18" t="n"/>
    </row>
    <row r="332">
      <c r="A332" s="19">
        <f>IF($B332="","",COUNTA($B$9:$B332))</f>
        <v/>
      </c>
      <c r="B332" s="11" t="n"/>
      <c r="C332" s="12" t="n"/>
      <c r="D332" s="12" t="n"/>
      <c r="E332" s="13" t="n"/>
      <c r="F332" s="20">
        <f>IF($E332="","",IF($C332="دستمزد گروهی",IFERROR(VLOOKUP($E332,WGTbl,2,0),"کد ناشناخته"),IFERROR(IF(VLOOKUP($E332,AcctTblE,4,0)="","(بدون نام)",VLOOKUP($E332,AcctTblE,4,0)),"کد ناشناخته")))</f>
        <v/>
      </c>
      <c r="G332" s="15" t="n"/>
      <c r="H332" s="21">
        <f>IF(OR($C332&lt;&gt;"دستمزد گروهی",$D332=""),"",SUMIFS(ShareAmt,ShareLink,$D332))</f>
        <v/>
      </c>
      <c r="I332" s="22">
        <f>IF($C332&lt;&gt;"دستمزد گروهی","—",IF($H332="","",IF(ROUND($H332-IF($G332="",0,$G332),0)=0,"√","▲ مغایرت "&amp;TEXT(IF($G332="",0,$G332)-$H332,"#,##0"))))</f>
        <v/>
      </c>
      <c r="J332" s="18" t="n"/>
    </row>
    <row r="333">
      <c r="A333" s="10">
        <f>IF($B333="","",COUNTA($B$9:$B333))</f>
        <v/>
      </c>
      <c r="B333" s="11" t="n"/>
      <c r="C333" s="12" t="n"/>
      <c r="D333" s="12" t="n"/>
      <c r="E333" s="13" t="n"/>
      <c r="F333" s="14">
        <f>IF($E333="","",IF($C333="دستمزد گروهی",IFERROR(VLOOKUP($E333,WGTbl,2,0),"کد ناشناخته"),IFERROR(IF(VLOOKUP($E333,AcctTblE,4,0)="","(بدون نام)",VLOOKUP($E333,AcctTblE,4,0)),"کد ناشناخته")))</f>
        <v/>
      </c>
      <c r="G333" s="15" t="n"/>
      <c r="H333" s="16">
        <f>IF(OR($C333&lt;&gt;"دستمزد گروهی",$D333=""),"",SUMIFS(ShareAmt,ShareLink,$D333))</f>
        <v/>
      </c>
      <c r="I333" s="17">
        <f>IF($C333&lt;&gt;"دستمزد گروهی","—",IF($H333="","",IF(ROUND($H333-IF($G333="",0,$G333),0)=0,"√","▲ مغایرت "&amp;TEXT(IF($G333="",0,$G333)-$H333,"#,##0"))))</f>
        <v/>
      </c>
      <c r="J333" s="18" t="n"/>
    </row>
    <row r="334">
      <c r="A334" s="19">
        <f>IF($B334="","",COUNTA($B$9:$B334))</f>
        <v/>
      </c>
      <c r="B334" s="11" t="n"/>
      <c r="C334" s="12" t="n"/>
      <c r="D334" s="12" t="n"/>
      <c r="E334" s="13" t="n"/>
      <c r="F334" s="20">
        <f>IF($E334="","",IF($C334="دستمزد گروهی",IFERROR(VLOOKUP($E334,WGTbl,2,0),"کد ناشناخته"),IFERROR(IF(VLOOKUP($E334,AcctTblE,4,0)="","(بدون نام)",VLOOKUP($E334,AcctTblE,4,0)),"کد ناشناخته")))</f>
        <v/>
      </c>
      <c r="G334" s="15" t="n"/>
      <c r="H334" s="21">
        <f>IF(OR($C334&lt;&gt;"دستمزد گروهی",$D334=""),"",SUMIFS(ShareAmt,ShareLink,$D334))</f>
        <v/>
      </c>
      <c r="I334" s="22">
        <f>IF($C334&lt;&gt;"دستمزد گروهی","—",IF($H334="","",IF(ROUND($H334-IF($G334="",0,$G334),0)=0,"√","▲ مغایرت "&amp;TEXT(IF($G334="",0,$G334)-$H334,"#,##0"))))</f>
        <v/>
      </c>
      <c r="J334" s="18" t="n"/>
    </row>
    <row r="335">
      <c r="A335" s="10">
        <f>IF($B335="","",COUNTA($B$9:$B335))</f>
        <v/>
      </c>
      <c r="B335" s="11" t="n"/>
      <c r="C335" s="12" t="n"/>
      <c r="D335" s="12" t="n"/>
      <c r="E335" s="13" t="n"/>
      <c r="F335" s="14">
        <f>IF($E335="","",IF($C335="دستمزد گروهی",IFERROR(VLOOKUP($E335,WGTbl,2,0),"کد ناشناخته"),IFERROR(IF(VLOOKUP($E335,AcctTblE,4,0)="","(بدون نام)",VLOOKUP($E335,AcctTblE,4,0)),"کد ناشناخته")))</f>
        <v/>
      </c>
      <c r="G335" s="15" t="n"/>
      <c r="H335" s="16">
        <f>IF(OR($C335&lt;&gt;"دستمزد گروهی",$D335=""),"",SUMIFS(ShareAmt,ShareLink,$D335))</f>
        <v/>
      </c>
      <c r="I335" s="17">
        <f>IF($C335&lt;&gt;"دستمزد گروهی","—",IF($H335="","",IF(ROUND($H335-IF($G335="",0,$G335),0)=0,"√","▲ مغایرت "&amp;TEXT(IF($G335="",0,$G335)-$H335,"#,##0"))))</f>
        <v/>
      </c>
      <c r="J335" s="18" t="n"/>
    </row>
    <row r="336">
      <c r="A336" s="19">
        <f>IF($B336="","",COUNTA($B$9:$B336))</f>
        <v/>
      </c>
      <c r="B336" s="11" t="n"/>
      <c r="C336" s="12" t="n"/>
      <c r="D336" s="12" t="n"/>
      <c r="E336" s="13" t="n"/>
      <c r="F336" s="20">
        <f>IF($E336="","",IF($C336="دستمزد گروهی",IFERROR(VLOOKUP($E336,WGTbl,2,0),"کد ناشناخته"),IFERROR(IF(VLOOKUP($E336,AcctTblE,4,0)="","(بدون نام)",VLOOKUP($E336,AcctTblE,4,0)),"کد ناشناخته")))</f>
        <v/>
      </c>
      <c r="G336" s="15" t="n"/>
      <c r="H336" s="21">
        <f>IF(OR($C336&lt;&gt;"دستمزد گروهی",$D336=""),"",SUMIFS(ShareAmt,ShareLink,$D336))</f>
        <v/>
      </c>
      <c r="I336" s="22">
        <f>IF($C336&lt;&gt;"دستمزد گروهی","—",IF($H336="","",IF(ROUND($H336-IF($G336="",0,$G336),0)=0,"√","▲ مغایرت "&amp;TEXT(IF($G336="",0,$G336)-$H336,"#,##0"))))</f>
        <v/>
      </c>
      <c r="J336" s="18" t="n"/>
    </row>
    <row r="337">
      <c r="A337" s="10">
        <f>IF($B337="","",COUNTA($B$9:$B337))</f>
        <v/>
      </c>
      <c r="B337" s="11" t="n"/>
      <c r="C337" s="12" t="n"/>
      <c r="D337" s="12" t="n"/>
      <c r="E337" s="13" t="n"/>
      <c r="F337" s="14">
        <f>IF($E337="","",IF($C337="دستمزد گروهی",IFERROR(VLOOKUP($E337,WGTbl,2,0),"کد ناشناخته"),IFERROR(IF(VLOOKUP($E337,AcctTblE,4,0)="","(بدون نام)",VLOOKUP($E337,AcctTblE,4,0)),"کد ناشناخته")))</f>
        <v/>
      </c>
      <c r="G337" s="15" t="n"/>
      <c r="H337" s="16">
        <f>IF(OR($C337&lt;&gt;"دستمزد گروهی",$D337=""),"",SUMIFS(ShareAmt,ShareLink,$D337))</f>
        <v/>
      </c>
      <c r="I337" s="17">
        <f>IF($C337&lt;&gt;"دستمزد گروهی","—",IF($H337="","",IF(ROUND($H337-IF($G337="",0,$G337),0)=0,"√","▲ مغایرت "&amp;TEXT(IF($G337="",0,$G337)-$H337,"#,##0"))))</f>
        <v/>
      </c>
      <c r="J337" s="18" t="n"/>
    </row>
    <row r="338">
      <c r="A338" s="19">
        <f>IF($B338="","",COUNTA($B$9:$B338))</f>
        <v/>
      </c>
      <c r="B338" s="11" t="n"/>
      <c r="C338" s="12" t="n"/>
      <c r="D338" s="12" t="n"/>
      <c r="E338" s="13" t="n"/>
      <c r="F338" s="20">
        <f>IF($E338="","",IF($C338="دستمزد گروهی",IFERROR(VLOOKUP($E338,WGTbl,2,0),"کد ناشناخته"),IFERROR(IF(VLOOKUP($E338,AcctTblE,4,0)="","(بدون نام)",VLOOKUP($E338,AcctTblE,4,0)),"کد ناشناخته")))</f>
        <v/>
      </c>
      <c r="G338" s="15" t="n"/>
      <c r="H338" s="21">
        <f>IF(OR($C338&lt;&gt;"دستمزد گروهی",$D338=""),"",SUMIFS(ShareAmt,ShareLink,$D338))</f>
        <v/>
      </c>
      <c r="I338" s="22">
        <f>IF($C338&lt;&gt;"دستمزد گروهی","—",IF($H338="","",IF(ROUND($H338-IF($G338="",0,$G338),0)=0,"√","▲ مغایرت "&amp;TEXT(IF($G338="",0,$G338)-$H338,"#,##0"))))</f>
        <v/>
      </c>
      <c r="J338" s="18" t="n"/>
    </row>
    <row r="339">
      <c r="A339" s="10">
        <f>IF($B339="","",COUNTA($B$9:$B339))</f>
        <v/>
      </c>
      <c r="B339" s="11" t="n"/>
      <c r="C339" s="12" t="n"/>
      <c r="D339" s="12" t="n"/>
      <c r="E339" s="13" t="n"/>
      <c r="F339" s="14">
        <f>IF($E339="","",IF($C339="دستمزد گروهی",IFERROR(VLOOKUP($E339,WGTbl,2,0),"کد ناشناخته"),IFERROR(IF(VLOOKUP($E339,AcctTblE,4,0)="","(بدون نام)",VLOOKUP($E339,AcctTblE,4,0)),"کد ناشناخته")))</f>
        <v/>
      </c>
      <c r="G339" s="15" t="n"/>
      <c r="H339" s="16">
        <f>IF(OR($C339&lt;&gt;"دستمزد گروهی",$D339=""),"",SUMIFS(ShareAmt,ShareLink,$D339))</f>
        <v/>
      </c>
      <c r="I339" s="17">
        <f>IF($C339&lt;&gt;"دستمزد گروهی","—",IF($H339="","",IF(ROUND($H339-IF($G339="",0,$G339),0)=0,"√","▲ مغایرت "&amp;TEXT(IF($G339="",0,$G339)-$H339,"#,##0"))))</f>
        <v/>
      </c>
      <c r="J339" s="18" t="n"/>
    </row>
    <row r="340">
      <c r="A340" s="19">
        <f>IF($B340="","",COUNTA($B$9:$B340))</f>
        <v/>
      </c>
      <c r="B340" s="11" t="n"/>
      <c r="C340" s="12" t="n"/>
      <c r="D340" s="12" t="n"/>
      <c r="E340" s="13" t="n"/>
      <c r="F340" s="20">
        <f>IF($E340="","",IF($C340="دستمزد گروهی",IFERROR(VLOOKUP($E340,WGTbl,2,0),"کد ناشناخته"),IFERROR(IF(VLOOKUP($E340,AcctTblE,4,0)="","(بدون نام)",VLOOKUP($E340,AcctTblE,4,0)),"کد ناشناخته")))</f>
        <v/>
      </c>
      <c r="G340" s="15" t="n"/>
      <c r="H340" s="21">
        <f>IF(OR($C340&lt;&gt;"دستمزد گروهی",$D340=""),"",SUMIFS(ShareAmt,ShareLink,$D340))</f>
        <v/>
      </c>
      <c r="I340" s="22">
        <f>IF($C340&lt;&gt;"دستمزد گروهی","—",IF($H340="","",IF(ROUND($H340-IF($G340="",0,$G340),0)=0,"√","▲ مغایرت "&amp;TEXT(IF($G340="",0,$G340)-$H340,"#,##0"))))</f>
        <v/>
      </c>
      <c r="J340" s="18" t="n"/>
    </row>
    <row r="341">
      <c r="A341" s="10">
        <f>IF($B341="","",COUNTA($B$9:$B341))</f>
        <v/>
      </c>
      <c r="B341" s="11" t="n"/>
      <c r="C341" s="12" t="n"/>
      <c r="D341" s="12" t="n"/>
      <c r="E341" s="13" t="n"/>
      <c r="F341" s="14">
        <f>IF($E341="","",IF($C341="دستمزد گروهی",IFERROR(VLOOKUP($E341,WGTbl,2,0),"کد ناشناخته"),IFERROR(IF(VLOOKUP($E341,AcctTblE,4,0)="","(بدون نام)",VLOOKUP($E341,AcctTblE,4,0)),"کد ناشناخته")))</f>
        <v/>
      </c>
      <c r="G341" s="15" t="n"/>
      <c r="H341" s="16">
        <f>IF(OR($C341&lt;&gt;"دستمزد گروهی",$D341=""),"",SUMIFS(ShareAmt,ShareLink,$D341))</f>
        <v/>
      </c>
      <c r="I341" s="17">
        <f>IF($C341&lt;&gt;"دستمزد گروهی","—",IF($H341="","",IF(ROUND($H341-IF($G341="",0,$G341),0)=0,"√","▲ مغایرت "&amp;TEXT(IF($G341="",0,$G341)-$H341,"#,##0"))))</f>
        <v/>
      </c>
      <c r="J341" s="18" t="n"/>
    </row>
    <row r="342">
      <c r="A342" s="19">
        <f>IF($B342="","",COUNTA($B$9:$B342))</f>
        <v/>
      </c>
      <c r="B342" s="11" t="n"/>
      <c r="C342" s="12" t="n"/>
      <c r="D342" s="12" t="n"/>
      <c r="E342" s="13" t="n"/>
      <c r="F342" s="20">
        <f>IF($E342="","",IF($C342="دستمزد گروهی",IFERROR(VLOOKUP($E342,WGTbl,2,0),"کد ناشناخته"),IFERROR(IF(VLOOKUP($E342,AcctTblE,4,0)="","(بدون نام)",VLOOKUP($E342,AcctTblE,4,0)),"کد ناشناخته")))</f>
        <v/>
      </c>
      <c r="G342" s="15" t="n"/>
      <c r="H342" s="21">
        <f>IF(OR($C342&lt;&gt;"دستمزد گروهی",$D342=""),"",SUMIFS(ShareAmt,ShareLink,$D342))</f>
        <v/>
      </c>
      <c r="I342" s="22">
        <f>IF($C342&lt;&gt;"دستمزد گروهی","—",IF($H342="","",IF(ROUND($H342-IF($G342="",0,$G342),0)=0,"√","▲ مغایرت "&amp;TEXT(IF($G342="",0,$G342)-$H342,"#,##0"))))</f>
        <v/>
      </c>
      <c r="J342" s="18" t="n"/>
    </row>
    <row r="343">
      <c r="A343" s="10">
        <f>IF($B343="","",COUNTA($B$9:$B343))</f>
        <v/>
      </c>
      <c r="B343" s="11" t="n"/>
      <c r="C343" s="12" t="n"/>
      <c r="D343" s="12" t="n"/>
      <c r="E343" s="13" t="n"/>
      <c r="F343" s="14">
        <f>IF($E343="","",IF($C343="دستمزد گروهی",IFERROR(VLOOKUP($E343,WGTbl,2,0),"کد ناشناخته"),IFERROR(IF(VLOOKUP($E343,AcctTblE,4,0)="","(بدون نام)",VLOOKUP($E343,AcctTblE,4,0)),"کد ناشناخته")))</f>
        <v/>
      </c>
      <c r="G343" s="15" t="n"/>
      <c r="H343" s="16">
        <f>IF(OR($C343&lt;&gt;"دستمزد گروهی",$D343=""),"",SUMIFS(ShareAmt,ShareLink,$D343))</f>
        <v/>
      </c>
      <c r="I343" s="17">
        <f>IF($C343&lt;&gt;"دستمزد گروهی","—",IF($H343="","",IF(ROUND($H343-IF($G343="",0,$G343),0)=0,"√","▲ مغایرت "&amp;TEXT(IF($G343="",0,$G343)-$H343,"#,##0"))))</f>
        <v/>
      </c>
      <c r="J343" s="18" t="n"/>
    </row>
    <row r="344">
      <c r="A344" s="19">
        <f>IF($B344="","",COUNTA($B$9:$B344))</f>
        <v/>
      </c>
      <c r="B344" s="11" t="n"/>
      <c r="C344" s="12" t="n"/>
      <c r="D344" s="12" t="n"/>
      <c r="E344" s="13" t="n"/>
      <c r="F344" s="20">
        <f>IF($E344="","",IF($C344="دستمزد گروهی",IFERROR(VLOOKUP($E344,WGTbl,2,0),"کد ناشناخته"),IFERROR(IF(VLOOKUP($E344,AcctTblE,4,0)="","(بدون نام)",VLOOKUP($E344,AcctTblE,4,0)),"کد ناشناخته")))</f>
        <v/>
      </c>
      <c r="G344" s="15" t="n"/>
      <c r="H344" s="21">
        <f>IF(OR($C344&lt;&gt;"دستمزد گروهی",$D344=""),"",SUMIFS(ShareAmt,ShareLink,$D344))</f>
        <v/>
      </c>
      <c r="I344" s="22">
        <f>IF($C344&lt;&gt;"دستمزد گروهی","—",IF($H344="","",IF(ROUND($H344-IF($G344="",0,$G344),0)=0,"√","▲ مغایرت "&amp;TEXT(IF($G344="",0,$G344)-$H344,"#,##0"))))</f>
        <v/>
      </c>
      <c r="J344" s="18" t="n"/>
    </row>
    <row r="345">
      <c r="A345" s="10">
        <f>IF($B345="","",COUNTA($B$9:$B345))</f>
        <v/>
      </c>
      <c r="B345" s="11" t="n"/>
      <c r="C345" s="12" t="n"/>
      <c r="D345" s="12" t="n"/>
      <c r="E345" s="13" t="n"/>
      <c r="F345" s="14">
        <f>IF($E345="","",IF($C345="دستمزد گروهی",IFERROR(VLOOKUP($E345,WGTbl,2,0),"کد ناشناخته"),IFERROR(IF(VLOOKUP($E345,AcctTblE,4,0)="","(بدون نام)",VLOOKUP($E345,AcctTblE,4,0)),"کد ناشناخته")))</f>
        <v/>
      </c>
      <c r="G345" s="15" t="n"/>
      <c r="H345" s="16">
        <f>IF(OR($C345&lt;&gt;"دستمزد گروهی",$D345=""),"",SUMIFS(ShareAmt,ShareLink,$D345))</f>
        <v/>
      </c>
      <c r="I345" s="17">
        <f>IF($C345&lt;&gt;"دستمزد گروهی","—",IF($H345="","",IF(ROUND($H345-IF($G345="",0,$G345),0)=0,"√","▲ مغایرت "&amp;TEXT(IF($G345="",0,$G345)-$H345,"#,##0"))))</f>
        <v/>
      </c>
      <c r="J345" s="18" t="n"/>
    </row>
    <row r="346">
      <c r="A346" s="19">
        <f>IF($B346="","",COUNTA($B$9:$B346))</f>
        <v/>
      </c>
      <c r="B346" s="11" t="n"/>
      <c r="C346" s="12" t="n"/>
      <c r="D346" s="12" t="n"/>
      <c r="E346" s="13" t="n"/>
      <c r="F346" s="20">
        <f>IF($E346="","",IF($C346="دستمزد گروهی",IFERROR(VLOOKUP($E346,WGTbl,2,0),"کد ناشناخته"),IFERROR(IF(VLOOKUP($E346,AcctTblE,4,0)="","(بدون نام)",VLOOKUP($E346,AcctTblE,4,0)),"کد ناشناخته")))</f>
        <v/>
      </c>
      <c r="G346" s="15" t="n"/>
      <c r="H346" s="21">
        <f>IF(OR($C346&lt;&gt;"دستمزد گروهی",$D346=""),"",SUMIFS(ShareAmt,ShareLink,$D346))</f>
        <v/>
      </c>
      <c r="I346" s="22">
        <f>IF($C346&lt;&gt;"دستمزد گروهی","—",IF($H346="","",IF(ROUND($H346-IF($G346="",0,$G346),0)=0,"√","▲ مغایرت "&amp;TEXT(IF($G346="",0,$G346)-$H346,"#,##0"))))</f>
        <v/>
      </c>
      <c r="J346" s="18" t="n"/>
    </row>
    <row r="347">
      <c r="A347" s="10">
        <f>IF($B347="","",COUNTA($B$9:$B347))</f>
        <v/>
      </c>
      <c r="B347" s="11" t="n"/>
      <c r="C347" s="12" t="n"/>
      <c r="D347" s="12" t="n"/>
      <c r="E347" s="13" t="n"/>
      <c r="F347" s="14">
        <f>IF($E347="","",IF($C347="دستمزد گروهی",IFERROR(VLOOKUP($E347,WGTbl,2,0),"کد ناشناخته"),IFERROR(IF(VLOOKUP($E347,AcctTblE,4,0)="","(بدون نام)",VLOOKUP($E347,AcctTblE,4,0)),"کد ناشناخته")))</f>
        <v/>
      </c>
      <c r="G347" s="15" t="n"/>
      <c r="H347" s="16">
        <f>IF(OR($C347&lt;&gt;"دستمزد گروهی",$D347=""),"",SUMIFS(ShareAmt,ShareLink,$D347))</f>
        <v/>
      </c>
      <c r="I347" s="17">
        <f>IF($C347&lt;&gt;"دستمزد گروهی","—",IF($H347="","",IF(ROUND($H347-IF($G347="",0,$G347),0)=0,"√","▲ مغایرت "&amp;TEXT(IF($G347="",0,$G347)-$H347,"#,##0"))))</f>
        <v/>
      </c>
      <c r="J347" s="18" t="n"/>
    </row>
    <row r="348">
      <c r="A348" s="19">
        <f>IF($B348="","",COUNTA($B$9:$B348))</f>
        <v/>
      </c>
      <c r="B348" s="11" t="n"/>
      <c r="C348" s="12" t="n"/>
      <c r="D348" s="12" t="n"/>
      <c r="E348" s="13" t="n"/>
      <c r="F348" s="20">
        <f>IF($E348="","",IF($C348="دستمزد گروهی",IFERROR(VLOOKUP($E348,WGTbl,2,0),"کد ناشناخته"),IFERROR(IF(VLOOKUP($E348,AcctTblE,4,0)="","(بدون نام)",VLOOKUP($E348,AcctTblE,4,0)),"کد ناشناخته")))</f>
        <v/>
      </c>
      <c r="G348" s="15" t="n"/>
      <c r="H348" s="21">
        <f>IF(OR($C348&lt;&gt;"دستمزد گروهی",$D348=""),"",SUMIFS(ShareAmt,ShareLink,$D348))</f>
        <v/>
      </c>
      <c r="I348" s="22">
        <f>IF($C348&lt;&gt;"دستمزد گروهی","—",IF($H348="","",IF(ROUND($H348-IF($G348="",0,$G348),0)=0,"√","▲ مغایرت "&amp;TEXT(IF($G348="",0,$G348)-$H348,"#,##0"))))</f>
        <v/>
      </c>
      <c r="J348" s="18" t="n"/>
    </row>
    <row r="349">
      <c r="A349" s="10">
        <f>IF($B349="","",COUNTA($B$9:$B349))</f>
        <v/>
      </c>
      <c r="B349" s="11" t="n"/>
      <c r="C349" s="12" t="n"/>
      <c r="D349" s="12" t="n"/>
      <c r="E349" s="13" t="n"/>
      <c r="F349" s="14">
        <f>IF($E349="","",IF($C349="دستمزد گروهی",IFERROR(VLOOKUP($E349,WGTbl,2,0),"کد ناشناخته"),IFERROR(IF(VLOOKUP($E349,AcctTblE,4,0)="","(بدون نام)",VLOOKUP($E349,AcctTblE,4,0)),"کد ناشناخته")))</f>
        <v/>
      </c>
      <c r="G349" s="15" t="n"/>
      <c r="H349" s="16">
        <f>IF(OR($C349&lt;&gt;"دستمزد گروهی",$D349=""),"",SUMIFS(ShareAmt,ShareLink,$D349))</f>
        <v/>
      </c>
      <c r="I349" s="17">
        <f>IF($C349&lt;&gt;"دستمزد گروهی","—",IF($H349="","",IF(ROUND($H349-IF($G349="",0,$G349),0)=0,"√","▲ مغایرت "&amp;TEXT(IF($G349="",0,$G349)-$H349,"#,##0"))))</f>
        <v/>
      </c>
      <c r="J349" s="18" t="n"/>
    </row>
    <row r="350">
      <c r="A350" s="19">
        <f>IF($B350="","",COUNTA($B$9:$B350))</f>
        <v/>
      </c>
      <c r="B350" s="11" t="n"/>
      <c r="C350" s="12" t="n"/>
      <c r="D350" s="12" t="n"/>
      <c r="E350" s="13" t="n"/>
      <c r="F350" s="20">
        <f>IF($E350="","",IF($C350="دستمزد گروهی",IFERROR(VLOOKUP($E350,WGTbl,2,0),"کد ناشناخته"),IFERROR(IF(VLOOKUP($E350,AcctTblE,4,0)="","(بدون نام)",VLOOKUP($E350,AcctTblE,4,0)),"کد ناشناخته")))</f>
        <v/>
      </c>
      <c r="G350" s="15" t="n"/>
      <c r="H350" s="21">
        <f>IF(OR($C350&lt;&gt;"دستمزد گروهی",$D350=""),"",SUMIFS(ShareAmt,ShareLink,$D350))</f>
        <v/>
      </c>
      <c r="I350" s="22">
        <f>IF($C350&lt;&gt;"دستمزد گروهی","—",IF($H350="","",IF(ROUND($H350-IF($G350="",0,$G350),0)=0,"√","▲ مغایرت "&amp;TEXT(IF($G350="",0,$G350)-$H350,"#,##0"))))</f>
        <v/>
      </c>
      <c r="J350" s="18" t="n"/>
    </row>
    <row r="351">
      <c r="A351" s="10">
        <f>IF($B351="","",COUNTA($B$9:$B351))</f>
        <v/>
      </c>
      <c r="B351" s="11" t="n"/>
      <c r="C351" s="12" t="n"/>
      <c r="D351" s="12" t="n"/>
      <c r="E351" s="13" t="n"/>
      <c r="F351" s="14">
        <f>IF($E351="","",IF($C351="دستمزد گروهی",IFERROR(VLOOKUP($E351,WGTbl,2,0),"کد ناشناخته"),IFERROR(IF(VLOOKUP($E351,AcctTblE,4,0)="","(بدون نام)",VLOOKUP($E351,AcctTblE,4,0)),"کد ناشناخته")))</f>
        <v/>
      </c>
      <c r="G351" s="15" t="n"/>
      <c r="H351" s="16">
        <f>IF(OR($C351&lt;&gt;"دستمزد گروهی",$D351=""),"",SUMIFS(ShareAmt,ShareLink,$D351))</f>
        <v/>
      </c>
      <c r="I351" s="17">
        <f>IF($C351&lt;&gt;"دستمزد گروهی","—",IF($H351="","",IF(ROUND($H351-IF($G351="",0,$G351),0)=0,"√","▲ مغایرت "&amp;TEXT(IF($G351="",0,$G351)-$H351,"#,##0"))))</f>
        <v/>
      </c>
      <c r="J351" s="18" t="n"/>
    </row>
    <row r="352">
      <c r="A352" s="19">
        <f>IF($B352="","",COUNTA($B$9:$B352))</f>
        <v/>
      </c>
      <c r="B352" s="11" t="n"/>
      <c r="C352" s="12" t="n"/>
      <c r="D352" s="12" t="n"/>
      <c r="E352" s="13" t="n"/>
      <c r="F352" s="20">
        <f>IF($E352="","",IF($C352="دستمزد گروهی",IFERROR(VLOOKUP($E352,WGTbl,2,0),"کد ناشناخته"),IFERROR(IF(VLOOKUP($E352,AcctTblE,4,0)="","(بدون نام)",VLOOKUP($E352,AcctTblE,4,0)),"کد ناشناخته")))</f>
        <v/>
      </c>
      <c r="G352" s="15" t="n"/>
      <c r="H352" s="21">
        <f>IF(OR($C352&lt;&gt;"دستمزد گروهی",$D352=""),"",SUMIFS(ShareAmt,ShareLink,$D352))</f>
        <v/>
      </c>
      <c r="I352" s="22">
        <f>IF($C352&lt;&gt;"دستمزد گروهی","—",IF($H352="","",IF(ROUND($H352-IF($G352="",0,$G352),0)=0,"√","▲ مغایرت "&amp;TEXT(IF($G352="",0,$G352)-$H352,"#,##0"))))</f>
        <v/>
      </c>
      <c r="J352" s="18" t="n"/>
    </row>
    <row r="353">
      <c r="A353" s="10">
        <f>IF($B353="","",COUNTA($B$9:$B353))</f>
        <v/>
      </c>
      <c r="B353" s="11" t="n"/>
      <c r="C353" s="12" t="n"/>
      <c r="D353" s="12" t="n"/>
      <c r="E353" s="13" t="n"/>
      <c r="F353" s="14">
        <f>IF($E353="","",IF($C353="دستمزد گروهی",IFERROR(VLOOKUP($E353,WGTbl,2,0),"کد ناشناخته"),IFERROR(IF(VLOOKUP($E353,AcctTblE,4,0)="","(بدون نام)",VLOOKUP($E353,AcctTblE,4,0)),"کد ناشناخته")))</f>
        <v/>
      </c>
      <c r="G353" s="15" t="n"/>
      <c r="H353" s="16">
        <f>IF(OR($C353&lt;&gt;"دستمزد گروهی",$D353=""),"",SUMIFS(ShareAmt,ShareLink,$D353))</f>
        <v/>
      </c>
      <c r="I353" s="17">
        <f>IF($C353&lt;&gt;"دستمزد گروهی","—",IF($H353="","",IF(ROUND($H353-IF($G353="",0,$G353),0)=0,"√","▲ مغایرت "&amp;TEXT(IF($G353="",0,$G353)-$H353,"#,##0"))))</f>
        <v/>
      </c>
      <c r="J353" s="18" t="n"/>
    </row>
    <row r="354">
      <c r="A354" s="19">
        <f>IF($B354="","",COUNTA($B$9:$B354))</f>
        <v/>
      </c>
      <c r="B354" s="11" t="n"/>
      <c r="C354" s="12" t="n"/>
      <c r="D354" s="12" t="n"/>
      <c r="E354" s="13" t="n"/>
      <c r="F354" s="20">
        <f>IF($E354="","",IF($C354="دستمزد گروهی",IFERROR(VLOOKUP($E354,WGTbl,2,0),"کد ناشناخته"),IFERROR(IF(VLOOKUP($E354,AcctTblE,4,0)="","(بدون نام)",VLOOKUP($E354,AcctTblE,4,0)),"کد ناشناخته")))</f>
        <v/>
      </c>
      <c r="G354" s="15" t="n"/>
      <c r="H354" s="21">
        <f>IF(OR($C354&lt;&gt;"دستمزد گروهی",$D354=""),"",SUMIFS(ShareAmt,ShareLink,$D354))</f>
        <v/>
      </c>
      <c r="I354" s="22">
        <f>IF($C354&lt;&gt;"دستمزد گروهی","—",IF($H354="","",IF(ROUND($H354-IF($G354="",0,$G354),0)=0,"√","▲ مغایرت "&amp;TEXT(IF($G354="",0,$G354)-$H354,"#,##0"))))</f>
        <v/>
      </c>
      <c r="J354" s="18" t="n"/>
    </row>
    <row r="355">
      <c r="A355" s="10">
        <f>IF($B355="","",COUNTA($B$9:$B355))</f>
        <v/>
      </c>
      <c r="B355" s="11" t="n"/>
      <c r="C355" s="12" t="n"/>
      <c r="D355" s="12" t="n"/>
      <c r="E355" s="13" t="n"/>
      <c r="F355" s="14">
        <f>IF($E355="","",IF($C355="دستمزد گروهی",IFERROR(VLOOKUP($E355,WGTbl,2,0),"کد ناشناخته"),IFERROR(IF(VLOOKUP($E355,AcctTblE,4,0)="","(بدون نام)",VLOOKUP($E355,AcctTblE,4,0)),"کد ناشناخته")))</f>
        <v/>
      </c>
      <c r="G355" s="15" t="n"/>
      <c r="H355" s="16">
        <f>IF(OR($C355&lt;&gt;"دستمزد گروهی",$D355=""),"",SUMIFS(ShareAmt,ShareLink,$D355))</f>
        <v/>
      </c>
      <c r="I355" s="17">
        <f>IF($C355&lt;&gt;"دستمزد گروهی","—",IF($H355="","",IF(ROUND($H355-IF($G355="",0,$G355),0)=0,"√","▲ مغایرت "&amp;TEXT(IF($G355="",0,$G355)-$H355,"#,##0"))))</f>
        <v/>
      </c>
      <c r="J355" s="18" t="n"/>
    </row>
    <row r="356">
      <c r="A356" s="19">
        <f>IF($B356="","",COUNTA($B$9:$B356))</f>
        <v/>
      </c>
      <c r="B356" s="11" t="n"/>
      <c r="C356" s="12" t="n"/>
      <c r="D356" s="12" t="n"/>
      <c r="E356" s="13" t="n"/>
      <c r="F356" s="20">
        <f>IF($E356="","",IF($C356="دستمزد گروهی",IFERROR(VLOOKUP($E356,WGTbl,2,0),"کد ناشناخته"),IFERROR(IF(VLOOKUP($E356,AcctTblE,4,0)="","(بدون نام)",VLOOKUP($E356,AcctTblE,4,0)),"کد ناشناخته")))</f>
        <v/>
      </c>
      <c r="G356" s="15" t="n"/>
      <c r="H356" s="21">
        <f>IF(OR($C356&lt;&gt;"دستمزد گروهی",$D356=""),"",SUMIFS(ShareAmt,ShareLink,$D356))</f>
        <v/>
      </c>
      <c r="I356" s="22">
        <f>IF($C356&lt;&gt;"دستمزد گروهی","—",IF($H356="","",IF(ROUND($H356-IF($G356="",0,$G356),0)=0,"√","▲ مغایرت "&amp;TEXT(IF($G356="",0,$G356)-$H356,"#,##0"))))</f>
        <v/>
      </c>
      <c r="J356" s="18" t="n"/>
    </row>
    <row r="357">
      <c r="A357" s="10">
        <f>IF($B357="","",COUNTA($B$9:$B357))</f>
        <v/>
      </c>
      <c r="B357" s="11" t="n"/>
      <c r="C357" s="12" t="n"/>
      <c r="D357" s="12" t="n"/>
      <c r="E357" s="13" t="n"/>
      <c r="F357" s="14">
        <f>IF($E357="","",IF($C357="دستمزد گروهی",IFERROR(VLOOKUP($E357,WGTbl,2,0),"کد ناشناخته"),IFERROR(IF(VLOOKUP($E357,AcctTblE,4,0)="","(بدون نام)",VLOOKUP($E357,AcctTblE,4,0)),"کد ناشناخته")))</f>
        <v/>
      </c>
      <c r="G357" s="15" t="n"/>
      <c r="H357" s="16">
        <f>IF(OR($C357&lt;&gt;"دستمزد گروهی",$D357=""),"",SUMIFS(ShareAmt,ShareLink,$D357))</f>
        <v/>
      </c>
      <c r="I357" s="17">
        <f>IF($C357&lt;&gt;"دستمزد گروهی","—",IF($H357="","",IF(ROUND($H357-IF($G357="",0,$G357),0)=0,"√","▲ مغایرت "&amp;TEXT(IF($G357="",0,$G357)-$H357,"#,##0"))))</f>
        <v/>
      </c>
      <c r="J357" s="18" t="n"/>
    </row>
    <row r="358">
      <c r="A358" s="19">
        <f>IF($B358="","",COUNTA($B$9:$B358))</f>
        <v/>
      </c>
      <c r="B358" s="11" t="n"/>
      <c r="C358" s="12" t="n"/>
      <c r="D358" s="12" t="n"/>
      <c r="E358" s="13" t="n"/>
      <c r="F358" s="20">
        <f>IF($E358="","",IF($C358="دستمزد گروهی",IFERROR(VLOOKUP($E358,WGTbl,2,0),"کد ناشناخته"),IFERROR(IF(VLOOKUP($E358,AcctTblE,4,0)="","(بدون نام)",VLOOKUP($E358,AcctTblE,4,0)),"کد ناشناخته")))</f>
        <v/>
      </c>
      <c r="G358" s="15" t="n"/>
      <c r="H358" s="21">
        <f>IF(OR($C358&lt;&gt;"دستمزد گروهی",$D358=""),"",SUMIFS(ShareAmt,ShareLink,$D358))</f>
        <v/>
      </c>
      <c r="I358" s="22">
        <f>IF($C358&lt;&gt;"دستمزد گروهی","—",IF($H358="","",IF(ROUND($H358-IF($G358="",0,$G358),0)=0,"√","▲ مغایرت "&amp;TEXT(IF($G358="",0,$G358)-$H358,"#,##0"))))</f>
        <v/>
      </c>
      <c r="J358" s="18" t="n"/>
    </row>
    <row r="359">
      <c r="A359" s="10">
        <f>IF($B359="","",COUNTA($B$9:$B359))</f>
        <v/>
      </c>
      <c r="B359" s="11" t="n"/>
      <c r="C359" s="12" t="n"/>
      <c r="D359" s="12" t="n"/>
      <c r="E359" s="13" t="n"/>
      <c r="F359" s="14">
        <f>IF($E359="","",IF($C359="دستمزد گروهی",IFERROR(VLOOKUP($E359,WGTbl,2,0),"کد ناشناخته"),IFERROR(IF(VLOOKUP($E359,AcctTblE,4,0)="","(بدون نام)",VLOOKUP($E359,AcctTblE,4,0)),"کد ناشناخته")))</f>
        <v/>
      </c>
      <c r="G359" s="15" t="n"/>
      <c r="H359" s="16">
        <f>IF(OR($C359&lt;&gt;"دستمزد گروهی",$D359=""),"",SUMIFS(ShareAmt,ShareLink,$D359))</f>
        <v/>
      </c>
      <c r="I359" s="17">
        <f>IF($C359&lt;&gt;"دستمزد گروهی","—",IF($H359="","",IF(ROUND($H359-IF($G359="",0,$G359),0)=0,"√","▲ مغایرت "&amp;TEXT(IF($G359="",0,$G359)-$H359,"#,##0"))))</f>
        <v/>
      </c>
      <c r="J359" s="18" t="n"/>
    </row>
    <row r="360">
      <c r="A360" s="19">
        <f>IF($B360="","",COUNTA($B$9:$B360))</f>
        <v/>
      </c>
      <c r="B360" s="11" t="n"/>
      <c r="C360" s="12" t="n"/>
      <c r="D360" s="12" t="n"/>
      <c r="E360" s="13" t="n"/>
      <c r="F360" s="20">
        <f>IF($E360="","",IF($C360="دستمزد گروهی",IFERROR(VLOOKUP($E360,WGTbl,2,0),"کد ناشناخته"),IFERROR(IF(VLOOKUP($E360,AcctTblE,4,0)="","(بدون نام)",VLOOKUP($E360,AcctTblE,4,0)),"کد ناشناخته")))</f>
        <v/>
      </c>
      <c r="G360" s="15" t="n"/>
      <c r="H360" s="21">
        <f>IF(OR($C360&lt;&gt;"دستمزد گروهی",$D360=""),"",SUMIFS(ShareAmt,ShareLink,$D360))</f>
        <v/>
      </c>
      <c r="I360" s="22">
        <f>IF($C360&lt;&gt;"دستمزد گروهی","—",IF($H360="","",IF(ROUND($H360-IF($G360="",0,$G360),0)=0,"√","▲ مغایرت "&amp;TEXT(IF($G360="",0,$G360)-$H360,"#,##0"))))</f>
        <v/>
      </c>
      <c r="J360" s="18" t="n"/>
    </row>
    <row r="361">
      <c r="A361" s="10">
        <f>IF($B361="","",COUNTA($B$9:$B361))</f>
        <v/>
      </c>
      <c r="B361" s="11" t="n"/>
      <c r="C361" s="12" t="n"/>
      <c r="D361" s="12" t="n"/>
      <c r="E361" s="13" t="n"/>
      <c r="F361" s="14">
        <f>IF($E361="","",IF($C361="دستمزد گروهی",IFERROR(VLOOKUP($E361,WGTbl,2,0),"کد ناشناخته"),IFERROR(IF(VLOOKUP($E361,AcctTblE,4,0)="","(بدون نام)",VLOOKUP($E361,AcctTblE,4,0)),"کد ناشناخته")))</f>
        <v/>
      </c>
      <c r="G361" s="15" t="n"/>
      <c r="H361" s="16">
        <f>IF(OR($C361&lt;&gt;"دستمزد گروهی",$D361=""),"",SUMIFS(ShareAmt,ShareLink,$D361))</f>
        <v/>
      </c>
      <c r="I361" s="17">
        <f>IF($C361&lt;&gt;"دستمزد گروهی","—",IF($H361="","",IF(ROUND($H361-IF($G361="",0,$G361),0)=0,"√","▲ مغایرت "&amp;TEXT(IF($G361="",0,$G361)-$H361,"#,##0"))))</f>
        <v/>
      </c>
      <c r="J361" s="18" t="n"/>
    </row>
    <row r="362">
      <c r="A362" s="19">
        <f>IF($B362="","",COUNTA($B$9:$B362))</f>
        <v/>
      </c>
      <c r="B362" s="11" t="n"/>
      <c r="C362" s="12" t="n"/>
      <c r="D362" s="12" t="n"/>
      <c r="E362" s="13" t="n"/>
      <c r="F362" s="20">
        <f>IF($E362="","",IF($C362="دستمزد گروهی",IFERROR(VLOOKUP($E362,WGTbl,2,0),"کد ناشناخته"),IFERROR(IF(VLOOKUP($E362,AcctTblE,4,0)="","(بدون نام)",VLOOKUP($E362,AcctTblE,4,0)),"کد ناشناخته")))</f>
        <v/>
      </c>
      <c r="G362" s="15" t="n"/>
      <c r="H362" s="21">
        <f>IF(OR($C362&lt;&gt;"دستمزد گروهی",$D362=""),"",SUMIFS(ShareAmt,ShareLink,$D362))</f>
        <v/>
      </c>
      <c r="I362" s="22">
        <f>IF($C362&lt;&gt;"دستمزد گروهی","—",IF($H362="","",IF(ROUND($H362-IF($G362="",0,$G362),0)=0,"√","▲ مغایرت "&amp;TEXT(IF($G362="",0,$G362)-$H362,"#,##0"))))</f>
        <v/>
      </c>
      <c r="J362" s="18" t="n"/>
    </row>
    <row r="363">
      <c r="A363" s="10">
        <f>IF($B363="","",COUNTA($B$9:$B363))</f>
        <v/>
      </c>
      <c r="B363" s="11" t="n"/>
      <c r="C363" s="12" t="n"/>
      <c r="D363" s="12" t="n"/>
      <c r="E363" s="13" t="n"/>
      <c r="F363" s="14">
        <f>IF($E363="","",IF($C363="دستمزد گروهی",IFERROR(VLOOKUP($E363,WGTbl,2,0),"کد ناشناخته"),IFERROR(IF(VLOOKUP($E363,AcctTblE,4,0)="","(بدون نام)",VLOOKUP($E363,AcctTblE,4,0)),"کد ناشناخته")))</f>
        <v/>
      </c>
      <c r="G363" s="15" t="n"/>
      <c r="H363" s="16">
        <f>IF(OR($C363&lt;&gt;"دستمزد گروهی",$D363=""),"",SUMIFS(ShareAmt,ShareLink,$D363))</f>
        <v/>
      </c>
      <c r="I363" s="17">
        <f>IF($C363&lt;&gt;"دستمزد گروهی","—",IF($H363="","",IF(ROUND($H363-IF($G363="",0,$G363),0)=0,"√","▲ مغایرت "&amp;TEXT(IF($G363="",0,$G363)-$H363,"#,##0"))))</f>
        <v/>
      </c>
      <c r="J363" s="18" t="n"/>
    </row>
    <row r="364">
      <c r="A364" s="19">
        <f>IF($B364="","",COUNTA($B$9:$B364))</f>
        <v/>
      </c>
      <c r="B364" s="11" t="n"/>
      <c r="C364" s="12" t="n"/>
      <c r="D364" s="12" t="n"/>
      <c r="E364" s="13" t="n"/>
      <c r="F364" s="20">
        <f>IF($E364="","",IF($C364="دستمزد گروهی",IFERROR(VLOOKUP($E364,WGTbl,2,0),"کد ناشناخته"),IFERROR(IF(VLOOKUP($E364,AcctTblE,4,0)="","(بدون نام)",VLOOKUP($E364,AcctTblE,4,0)),"کد ناشناخته")))</f>
        <v/>
      </c>
      <c r="G364" s="15" t="n"/>
      <c r="H364" s="21">
        <f>IF(OR($C364&lt;&gt;"دستمزد گروهی",$D364=""),"",SUMIFS(ShareAmt,ShareLink,$D364))</f>
        <v/>
      </c>
      <c r="I364" s="22">
        <f>IF($C364&lt;&gt;"دستمزد گروهی","—",IF($H364="","",IF(ROUND($H364-IF($G364="",0,$G364),0)=0,"√","▲ مغایرت "&amp;TEXT(IF($G364="",0,$G364)-$H364,"#,##0"))))</f>
        <v/>
      </c>
      <c r="J364" s="18" t="n"/>
    </row>
    <row r="365">
      <c r="A365" s="10">
        <f>IF($B365="","",COUNTA($B$9:$B365))</f>
        <v/>
      </c>
      <c r="B365" s="11" t="n"/>
      <c r="C365" s="12" t="n"/>
      <c r="D365" s="12" t="n"/>
      <c r="E365" s="13" t="n"/>
      <c r="F365" s="14">
        <f>IF($E365="","",IF($C365="دستمزد گروهی",IFERROR(VLOOKUP($E365,WGTbl,2,0),"کد ناشناخته"),IFERROR(IF(VLOOKUP($E365,AcctTblE,4,0)="","(بدون نام)",VLOOKUP($E365,AcctTblE,4,0)),"کد ناشناخته")))</f>
        <v/>
      </c>
      <c r="G365" s="15" t="n"/>
      <c r="H365" s="16">
        <f>IF(OR($C365&lt;&gt;"دستمزد گروهی",$D365=""),"",SUMIFS(ShareAmt,ShareLink,$D365))</f>
        <v/>
      </c>
      <c r="I365" s="17">
        <f>IF($C365&lt;&gt;"دستمزد گروهی","—",IF($H365="","",IF(ROUND($H365-IF($G365="",0,$G365),0)=0,"√","▲ مغایرت "&amp;TEXT(IF($G365="",0,$G365)-$H365,"#,##0"))))</f>
        <v/>
      </c>
      <c r="J365" s="18" t="n"/>
    </row>
    <row r="366">
      <c r="A366" s="19">
        <f>IF($B366="","",COUNTA($B$9:$B366))</f>
        <v/>
      </c>
      <c r="B366" s="11" t="n"/>
      <c r="C366" s="12" t="n"/>
      <c r="D366" s="12" t="n"/>
      <c r="E366" s="13" t="n"/>
      <c r="F366" s="20">
        <f>IF($E366="","",IF($C366="دستمزد گروهی",IFERROR(VLOOKUP($E366,WGTbl,2,0),"کد ناشناخته"),IFERROR(IF(VLOOKUP($E366,AcctTblE,4,0)="","(بدون نام)",VLOOKUP($E366,AcctTblE,4,0)),"کد ناشناخته")))</f>
        <v/>
      </c>
      <c r="G366" s="15" t="n"/>
      <c r="H366" s="21">
        <f>IF(OR($C366&lt;&gt;"دستمزد گروهی",$D366=""),"",SUMIFS(ShareAmt,ShareLink,$D366))</f>
        <v/>
      </c>
      <c r="I366" s="22">
        <f>IF($C366&lt;&gt;"دستمزد گروهی","—",IF($H366="","",IF(ROUND($H366-IF($G366="",0,$G366),0)=0,"√","▲ مغایرت "&amp;TEXT(IF($G366="",0,$G366)-$H366,"#,##0"))))</f>
        <v/>
      </c>
      <c r="J366" s="18" t="n"/>
    </row>
    <row r="367">
      <c r="A367" s="10">
        <f>IF($B367="","",COUNTA($B$9:$B367))</f>
        <v/>
      </c>
      <c r="B367" s="11" t="n"/>
      <c r="C367" s="12" t="n"/>
      <c r="D367" s="12" t="n"/>
      <c r="E367" s="13" t="n"/>
      <c r="F367" s="14">
        <f>IF($E367="","",IF($C367="دستمزد گروهی",IFERROR(VLOOKUP($E367,WGTbl,2,0),"کد ناشناخته"),IFERROR(IF(VLOOKUP($E367,AcctTblE,4,0)="","(بدون نام)",VLOOKUP($E367,AcctTblE,4,0)),"کد ناشناخته")))</f>
        <v/>
      </c>
      <c r="G367" s="15" t="n"/>
      <c r="H367" s="16">
        <f>IF(OR($C367&lt;&gt;"دستمزد گروهی",$D367=""),"",SUMIFS(ShareAmt,ShareLink,$D367))</f>
        <v/>
      </c>
      <c r="I367" s="17">
        <f>IF($C367&lt;&gt;"دستمزد گروهی","—",IF($H367="","",IF(ROUND($H367-IF($G367="",0,$G367),0)=0,"√","▲ مغایرت "&amp;TEXT(IF($G367="",0,$G367)-$H367,"#,##0"))))</f>
        <v/>
      </c>
      <c r="J367" s="18" t="n"/>
    </row>
    <row r="368">
      <c r="A368" s="19">
        <f>IF($B368="","",COUNTA($B$9:$B368))</f>
        <v/>
      </c>
      <c r="B368" s="11" t="n"/>
      <c r="C368" s="12" t="n"/>
      <c r="D368" s="12" t="n"/>
      <c r="E368" s="13" t="n"/>
      <c r="F368" s="20">
        <f>IF($E368="","",IF($C368="دستمزد گروهی",IFERROR(VLOOKUP($E368,WGTbl,2,0),"کد ناشناخته"),IFERROR(IF(VLOOKUP($E368,AcctTblE,4,0)="","(بدون نام)",VLOOKUP($E368,AcctTblE,4,0)),"کد ناشناخته")))</f>
        <v/>
      </c>
      <c r="G368" s="15" t="n"/>
      <c r="H368" s="21">
        <f>IF(OR($C368&lt;&gt;"دستمزد گروهی",$D368=""),"",SUMIFS(ShareAmt,ShareLink,$D368))</f>
        <v/>
      </c>
      <c r="I368" s="22">
        <f>IF($C368&lt;&gt;"دستمزد گروهی","—",IF($H368="","",IF(ROUND($H368-IF($G368="",0,$G368),0)=0,"√","▲ مغایرت "&amp;TEXT(IF($G368="",0,$G368)-$H368,"#,##0"))))</f>
        <v/>
      </c>
      <c r="J368" s="18" t="n"/>
    </row>
    <row r="369">
      <c r="A369" s="10">
        <f>IF($B369="","",COUNTA($B$9:$B369))</f>
        <v/>
      </c>
      <c r="B369" s="11" t="n"/>
      <c r="C369" s="12" t="n"/>
      <c r="D369" s="12" t="n"/>
      <c r="E369" s="13" t="n"/>
      <c r="F369" s="14">
        <f>IF($E369="","",IF($C369="دستمزد گروهی",IFERROR(VLOOKUP($E369,WGTbl,2,0),"کد ناشناخته"),IFERROR(IF(VLOOKUP($E369,AcctTblE,4,0)="","(بدون نام)",VLOOKUP($E369,AcctTblE,4,0)),"کد ناشناخته")))</f>
        <v/>
      </c>
      <c r="G369" s="15" t="n"/>
      <c r="H369" s="16">
        <f>IF(OR($C369&lt;&gt;"دستمزد گروهی",$D369=""),"",SUMIFS(ShareAmt,ShareLink,$D369))</f>
        <v/>
      </c>
      <c r="I369" s="17">
        <f>IF($C369&lt;&gt;"دستمزد گروهی","—",IF($H369="","",IF(ROUND($H369-IF($G369="",0,$G369),0)=0,"√","▲ مغایرت "&amp;TEXT(IF($G369="",0,$G369)-$H369,"#,##0"))))</f>
        <v/>
      </c>
      <c r="J369" s="18" t="n"/>
    </row>
    <row r="370">
      <c r="A370" s="19">
        <f>IF($B370="","",COUNTA($B$9:$B370))</f>
        <v/>
      </c>
      <c r="B370" s="11" t="n"/>
      <c r="C370" s="12" t="n"/>
      <c r="D370" s="12" t="n"/>
      <c r="E370" s="13" t="n"/>
      <c r="F370" s="20">
        <f>IF($E370="","",IF($C370="دستمزد گروهی",IFERROR(VLOOKUP($E370,WGTbl,2,0),"کد ناشناخته"),IFERROR(IF(VLOOKUP($E370,AcctTblE,4,0)="","(بدون نام)",VLOOKUP($E370,AcctTblE,4,0)),"کد ناشناخته")))</f>
        <v/>
      </c>
      <c r="G370" s="15" t="n"/>
      <c r="H370" s="21">
        <f>IF(OR($C370&lt;&gt;"دستمزد گروهی",$D370=""),"",SUMIFS(ShareAmt,ShareLink,$D370))</f>
        <v/>
      </c>
      <c r="I370" s="22">
        <f>IF($C370&lt;&gt;"دستمزد گروهی","—",IF($H370="","",IF(ROUND($H370-IF($G370="",0,$G370),0)=0,"√","▲ مغایرت "&amp;TEXT(IF($G370="",0,$G370)-$H370,"#,##0"))))</f>
        <v/>
      </c>
      <c r="J370" s="18" t="n"/>
    </row>
    <row r="371">
      <c r="A371" s="10">
        <f>IF($B371="","",COUNTA($B$9:$B371))</f>
        <v/>
      </c>
      <c r="B371" s="11" t="n"/>
      <c r="C371" s="12" t="n"/>
      <c r="D371" s="12" t="n"/>
      <c r="E371" s="13" t="n"/>
      <c r="F371" s="14">
        <f>IF($E371="","",IF($C371="دستمزد گروهی",IFERROR(VLOOKUP($E371,WGTbl,2,0),"کد ناشناخته"),IFERROR(IF(VLOOKUP($E371,AcctTblE,4,0)="","(بدون نام)",VLOOKUP($E371,AcctTblE,4,0)),"کد ناشناخته")))</f>
        <v/>
      </c>
      <c r="G371" s="15" t="n"/>
      <c r="H371" s="16">
        <f>IF(OR($C371&lt;&gt;"دستمزد گروهی",$D371=""),"",SUMIFS(ShareAmt,ShareLink,$D371))</f>
        <v/>
      </c>
      <c r="I371" s="17">
        <f>IF($C371&lt;&gt;"دستمزد گروهی","—",IF($H371="","",IF(ROUND($H371-IF($G371="",0,$G371),0)=0,"√","▲ مغایرت "&amp;TEXT(IF($G371="",0,$G371)-$H371,"#,##0"))))</f>
        <v/>
      </c>
      <c r="J371" s="18" t="n"/>
    </row>
    <row r="372">
      <c r="A372" s="19">
        <f>IF($B372="","",COUNTA($B$9:$B372))</f>
        <v/>
      </c>
      <c r="B372" s="11" t="n"/>
      <c r="C372" s="12" t="n"/>
      <c r="D372" s="12" t="n"/>
      <c r="E372" s="13" t="n"/>
      <c r="F372" s="20">
        <f>IF($E372="","",IF($C372="دستمزد گروهی",IFERROR(VLOOKUP($E372,WGTbl,2,0),"کد ناشناخته"),IFERROR(IF(VLOOKUP($E372,AcctTblE,4,0)="","(بدون نام)",VLOOKUP($E372,AcctTblE,4,0)),"کد ناشناخته")))</f>
        <v/>
      </c>
      <c r="G372" s="15" t="n"/>
      <c r="H372" s="21">
        <f>IF(OR($C372&lt;&gt;"دستمزد گروهی",$D372=""),"",SUMIFS(ShareAmt,ShareLink,$D372))</f>
        <v/>
      </c>
      <c r="I372" s="22">
        <f>IF($C372&lt;&gt;"دستمزد گروهی","—",IF($H372="","",IF(ROUND($H372-IF($G372="",0,$G372),0)=0,"√","▲ مغایرت "&amp;TEXT(IF($G372="",0,$G372)-$H372,"#,##0"))))</f>
        <v/>
      </c>
      <c r="J372" s="18" t="n"/>
    </row>
    <row r="373">
      <c r="A373" s="10">
        <f>IF($B373="","",COUNTA($B$9:$B373))</f>
        <v/>
      </c>
      <c r="B373" s="11" t="n"/>
      <c r="C373" s="12" t="n"/>
      <c r="D373" s="12" t="n"/>
      <c r="E373" s="13" t="n"/>
      <c r="F373" s="14">
        <f>IF($E373="","",IF($C373="دستمزد گروهی",IFERROR(VLOOKUP($E373,WGTbl,2,0),"کد ناشناخته"),IFERROR(IF(VLOOKUP($E373,AcctTblE,4,0)="","(بدون نام)",VLOOKUP($E373,AcctTblE,4,0)),"کد ناشناخته")))</f>
        <v/>
      </c>
      <c r="G373" s="15" t="n"/>
      <c r="H373" s="16">
        <f>IF(OR($C373&lt;&gt;"دستمزد گروهی",$D373=""),"",SUMIFS(ShareAmt,ShareLink,$D373))</f>
        <v/>
      </c>
      <c r="I373" s="17">
        <f>IF($C373&lt;&gt;"دستمزد گروهی","—",IF($H373="","",IF(ROUND($H373-IF($G373="",0,$G373),0)=0,"√","▲ مغایرت "&amp;TEXT(IF($G373="",0,$G373)-$H373,"#,##0"))))</f>
        <v/>
      </c>
      <c r="J373" s="18" t="n"/>
    </row>
    <row r="374">
      <c r="A374" s="19">
        <f>IF($B374="","",COUNTA($B$9:$B374))</f>
        <v/>
      </c>
      <c r="B374" s="11" t="n"/>
      <c r="C374" s="12" t="n"/>
      <c r="D374" s="12" t="n"/>
      <c r="E374" s="13" t="n"/>
      <c r="F374" s="20">
        <f>IF($E374="","",IF($C374="دستمزد گروهی",IFERROR(VLOOKUP($E374,WGTbl,2,0),"کد ناشناخته"),IFERROR(IF(VLOOKUP($E374,AcctTblE,4,0)="","(بدون نام)",VLOOKUP($E374,AcctTblE,4,0)),"کد ناشناخته")))</f>
        <v/>
      </c>
      <c r="G374" s="15" t="n"/>
      <c r="H374" s="21">
        <f>IF(OR($C374&lt;&gt;"دستمزد گروهی",$D374=""),"",SUMIFS(ShareAmt,ShareLink,$D374))</f>
        <v/>
      </c>
      <c r="I374" s="22">
        <f>IF($C374&lt;&gt;"دستمزد گروهی","—",IF($H374="","",IF(ROUND($H374-IF($G374="",0,$G374),0)=0,"√","▲ مغایرت "&amp;TEXT(IF($G374="",0,$G374)-$H374,"#,##0"))))</f>
        <v/>
      </c>
      <c r="J374" s="18" t="n"/>
    </row>
    <row r="375">
      <c r="A375" s="10">
        <f>IF($B375="","",COUNTA($B$9:$B375))</f>
        <v/>
      </c>
      <c r="B375" s="11" t="n"/>
      <c r="C375" s="12" t="n"/>
      <c r="D375" s="12" t="n"/>
      <c r="E375" s="13" t="n"/>
      <c r="F375" s="14">
        <f>IF($E375="","",IF($C375="دستمزد گروهی",IFERROR(VLOOKUP($E375,WGTbl,2,0),"کد ناشناخته"),IFERROR(IF(VLOOKUP($E375,AcctTblE,4,0)="","(بدون نام)",VLOOKUP($E375,AcctTblE,4,0)),"کد ناشناخته")))</f>
        <v/>
      </c>
      <c r="G375" s="15" t="n"/>
      <c r="H375" s="16">
        <f>IF(OR($C375&lt;&gt;"دستمزد گروهی",$D375=""),"",SUMIFS(ShareAmt,ShareLink,$D375))</f>
        <v/>
      </c>
      <c r="I375" s="17">
        <f>IF($C375&lt;&gt;"دستمزد گروهی","—",IF($H375="","",IF(ROUND($H375-IF($G375="",0,$G375),0)=0,"√","▲ مغایرت "&amp;TEXT(IF($G375="",0,$G375)-$H375,"#,##0"))))</f>
        <v/>
      </c>
      <c r="J375" s="18" t="n"/>
    </row>
    <row r="376">
      <c r="A376" s="19">
        <f>IF($B376="","",COUNTA($B$9:$B376))</f>
        <v/>
      </c>
      <c r="B376" s="11" t="n"/>
      <c r="C376" s="12" t="n"/>
      <c r="D376" s="12" t="n"/>
      <c r="E376" s="13" t="n"/>
      <c r="F376" s="20">
        <f>IF($E376="","",IF($C376="دستمزد گروهی",IFERROR(VLOOKUP($E376,WGTbl,2,0),"کد ناشناخته"),IFERROR(IF(VLOOKUP($E376,AcctTblE,4,0)="","(بدون نام)",VLOOKUP($E376,AcctTblE,4,0)),"کد ناشناخته")))</f>
        <v/>
      </c>
      <c r="G376" s="15" t="n"/>
      <c r="H376" s="21">
        <f>IF(OR($C376&lt;&gt;"دستمزد گروهی",$D376=""),"",SUMIFS(ShareAmt,ShareLink,$D376))</f>
        <v/>
      </c>
      <c r="I376" s="22">
        <f>IF($C376&lt;&gt;"دستمزد گروهی","—",IF($H376="","",IF(ROUND($H376-IF($G376="",0,$G376),0)=0,"√","▲ مغایرت "&amp;TEXT(IF($G376="",0,$G376)-$H376,"#,##0"))))</f>
        <v/>
      </c>
      <c r="J376" s="18" t="n"/>
    </row>
    <row r="377">
      <c r="A377" s="10">
        <f>IF($B377="","",COUNTA($B$9:$B377))</f>
        <v/>
      </c>
      <c r="B377" s="11" t="n"/>
      <c r="C377" s="12" t="n"/>
      <c r="D377" s="12" t="n"/>
      <c r="E377" s="13" t="n"/>
      <c r="F377" s="14">
        <f>IF($E377="","",IF($C377="دستمزد گروهی",IFERROR(VLOOKUP($E377,WGTbl,2,0),"کد ناشناخته"),IFERROR(IF(VLOOKUP($E377,AcctTblE,4,0)="","(بدون نام)",VLOOKUP($E377,AcctTblE,4,0)),"کد ناشناخته")))</f>
        <v/>
      </c>
      <c r="G377" s="15" t="n"/>
      <c r="H377" s="16">
        <f>IF(OR($C377&lt;&gt;"دستمزد گروهی",$D377=""),"",SUMIFS(ShareAmt,ShareLink,$D377))</f>
        <v/>
      </c>
      <c r="I377" s="17">
        <f>IF($C377&lt;&gt;"دستمزد گروهی","—",IF($H377="","",IF(ROUND($H377-IF($G377="",0,$G377),0)=0,"√","▲ مغایرت "&amp;TEXT(IF($G377="",0,$G377)-$H377,"#,##0"))))</f>
        <v/>
      </c>
      <c r="J377" s="18" t="n"/>
    </row>
    <row r="378">
      <c r="A378" s="19">
        <f>IF($B378="","",COUNTA($B$9:$B378))</f>
        <v/>
      </c>
      <c r="B378" s="11" t="n"/>
      <c r="C378" s="12" t="n"/>
      <c r="D378" s="12" t="n"/>
      <c r="E378" s="13" t="n"/>
      <c r="F378" s="20">
        <f>IF($E378="","",IF($C378="دستمزد گروهی",IFERROR(VLOOKUP($E378,WGTbl,2,0),"کد ناشناخته"),IFERROR(IF(VLOOKUP($E378,AcctTblE,4,0)="","(بدون نام)",VLOOKUP($E378,AcctTblE,4,0)),"کد ناشناخته")))</f>
        <v/>
      </c>
      <c r="G378" s="15" t="n"/>
      <c r="H378" s="21">
        <f>IF(OR($C378&lt;&gt;"دستمزد گروهی",$D378=""),"",SUMIFS(ShareAmt,ShareLink,$D378))</f>
        <v/>
      </c>
      <c r="I378" s="22">
        <f>IF($C378&lt;&gt;"دستمزد گروهی","—",IF($H378="","",IF(ROUND($H378-IF($G378="",0,$G378),0)=0,"√","▲ مغایرت "&amp;TEXT(IF($G378="",0,$G378)-$H378,"#,##0"))))</f>
        <v/>
      </c>
      <c r="J378" s="18" t="n"/>
    </row>
    <row r="379">
      <c r="A379" s="10">
        <f>IF($B379="","",COUNTA($B$9:$B379))</f>
        <v/>
      </c>
      <c r="B379" s="11" t="n"/>
      <c r="C379" s="12" t="n"/>
      <c r="D379" s="12" t="n"/>
      <c r="E379" s="13" t="n"/>
      <c r="F379" s="14">
        <f>IF($E379="","",IF($C379="دستمزد گروهی",IFERROR(VLOOKUP($E379,WGTbl,2,0),"کد ناشناخته"),IFERROR(IF(VLOOKUP($E379,AcctTblE,4,0)="","(بدون نام)",VLOOKUP($E379,AcctTblE,4,0)),"کد ناشناخته")))</f>
        <v/>
      </c>
      <c r="G379" s="15" t="n"/>
      <c r="H379" s="16">
        <f>IF(OR($C379&lt;&gt;"دستمزد گروهی",$D379=""),"",SUMIFS(ShareAmt,ShareLink,$D379))</f>
        <v/>
      </c>
      <c r="I379" s="17">
        <f>IF($C379&lt;&gt;"دستمزد گروهی","—",IF($H379="","",IF(ROUND($H379-IF($G379="",0,$G379),0)=0,"√","▲ مغایرت "&amp;TEXT(IF($G379="",0,$G379)-$H379,"#,##0"))))</f>
        <v/>
      </c>
      <c r="J379" s="18" t="n"/>
    </row>
    <row r="380">
      <c r="A380" s="19">
        <f>IF($B380="","",COUNTA($B$9:$B380))</f>
        <v/>
      </c>
      <c r="B380" s="11" t="n"/>
      <c r="C380" s="12" t="n"/>
      <c r="D380" s="12" t="n"/>
      <c r="E380" s="13" t="n"/>
      <c r="F380" s="20">
        <f>IF($E380="","",IF($C380="دستمزد گروهی",IFERROR(VLOOKUP($E380,WGTbl,2,0),"کد ناشناخته"),IFERROR(IF(VLOOKUP($E380,AcctTblE,4,0)="","(بدون نام)",VLOOKUP($E380,AcctTblE,4,0)),"کد ناشناخته")))</f>
        <v/>
      </c>
      <c r="G380" s="15" t="n"/>
      <c r="H380" s="21">
        <f>IF(OR($C380&lt;&gt;"دستمزد گروهی",$D380=""),"",SUMIFS(ShareAmt,ShareLink,$D380))</f>
        <v/>
      </c>
      <c r="I380" s="22">
        <f>IF($C380&lt;&gt;"دستمزد گروهی","—",IF($H380="","",IF(ROUND($H380-IF($G380="",0,$G380),0)=0,"√","▲ مغایرت "&amp;TEXT(IF($G380="",0,$G380)-$H380,"#,##0"))))</f>
        <v/>
      </c>
      <c r="J380" s="18" t="n"/>
    </row>
    <row r="381">
      <c r="A381" s="10">
        <f>IF($B381="","",COUNTA($B$9:$B381))</f>
        <v/>
      </c>
      <c r="B381" s="11" t="n"/>
      <c r="C381" s="12" t="n"/>
      <c r="D381" s="12" t="n"/>
      <c r="E381" s="13" t="n"/>
      <c r="F381" s="14">
        <f>IF($E381="","",IF($C381="دستمزد گروهی",IFERROR(VLOOKUP($E381,WGTbl,2,0),"کد ناشناخته"),IFERROR(IF(VLOOKUP($E381,AcctTblE,4,0)="","(بدون نام)",VLOOKUP($E381,AcctTblE,4,0)),"کد ناشناخته")))</f>
        <v/>
      </c>
      <c r="G381" s="15" t="n"/>
      <c r="H381" s="16">
        <f>IF(OR($C381&lt;&gt;"دستمزد گروهی",$D381=""),"",SUMIFS(ShareAmt,ShareLink,$D381))</f>
        <v/>
      </c>
      <c r="I381" s="17">
        <f>IF($C381&lt;&gt;"دستمزد گروهی","—",IF($H381="","",IF(ROUND($H381-IF($G381="",0,$G381),0)=0,"√","▲ مغایرت "&amp;TEXT(IF($G381="",0,$G381)-$H381,"#,##0"))))</f>
        <v/>
      </c>
      <c r="J381" s="18" t="n"/>
    </row>
    <row r="382">
      <c r="A382" s="19">
        <f>IF($B382="","",COUNTA($B$9:$B382))</f>
        <v/>
      </c>
      <c r="B382" s="11" t="n"/>
      <c r="C382" s="12" t="n"/>
      <c r="D382" s="12" t="n"/>
      <c r="E382" s="13" t="n"/>
      <c r="F382" s="20">
        <f>IF($E382="","",IF($C382="دستمزد گروهی",IFERROR(VLOOKUP($E382,WGTbl,2,0),"کد ناشناخته"),IFERROR(IF(VLOOKUP($E382,AcctTblE,4,0)="","(بدون نام)",VLOOKUP($E382,AcctTblE,4,0)),"کد ناشناخته")))</f>
        <v/>
      </c>
      <c r="G382" s="15" t="n"/>
      <c r="H382" s="21">
        <f>IF(OR($C382&lt;&gt;"دستمزد گروهی",$D382=""),"",SUMIFS(ShareAmt,ShareLink,$D382))</f>
        <v/>
      </c>
      <c r="I382" s="22">
        <f>IF($C382&lt;&gt;"دستمزد گروهی","—",IF($H382="","",IF(ROUND($H382-IF($G382="",0,$G382),0)=0,"√","▲ مغایرت "&amp;TEXT(IF($G382="",0,$G382)-$H382,"#,##0"))))</f>
        <v/>
      </c>
      <c r="J382" s="18" t="n"/>
    </row>
    <row r="383">
      <c r="A383" s="10">
        <f>IF($B383="","",COUNTA($B$9:$B383))</f>
        <v/>
      </c>
      <c r="B383" s="11" t="n"/>
      <c r="C383" s="12" t="n"/>
      <c r="D383" s="12" t="n"/>
      <c r="E383" s="13" t="n"/>
      <c r="F383" s="14">
        <f>IF($E383="","",IF($C383="دستمزد گروهی",IFERROR(VLOOKUP($E383,WGTbl,2,0),"کد ناشناخته"),IFERROR(IF(VLOOKUP($E383,AcctTblE,4,0)="","(بدون نام)",VLOOKUP($E383,AcctTblE,4,0)),"کد ناشناخته")))</f>
        <v/>
      </c>
      <c r="G383" s="15" t="n"/>
      <c r="H383" s="16">
        <f>IF(OR($C383&lt;&gt;"دستمزد گروهی",$D383=""),"",SUMIFS(ShareAmt,ShareLink,$D383))</f>
        <v/>
      </c>
      <c r="I383" s="17">
        <f>IF($C383&lt;&gt;"دستمزد گروهی","—",IF($H383="","",IF(ROUND($H383-IF($G383="",0,$G383),0)=0,"√","▲ مغایرت "&amp;TEXT(IF($G383="",0,$G383)-$H383,"#,##0"))))</f>
        <v/>
      </c>
      <c r="J383" s="18" t="n"/>
    </row>
    <row r="384">
      <c r="A384" s="19">
        <f>IF($B384="","",COUNTA($B$9:$B384))</f>
        <v/>
      </c>
      <c r="B384" s="11" t="n"/>
      <c r="C384" s="12" t="n"/>
      <c r="D384" s="12" t="n"/>
      <c r="E384" s="13" t="n"/>
      <c r="F384" s="20">
        <f>IF($E384="","",IF($C384="دستمزد گروهی",IFERROR(VLOOKUP($E384,WGTbl,2,0),"کد ناشناخته"),IFERROR(IF(VLOOKUP($E384,AcctTblE,4,0)="","(بدون نام)",VLOOKUP($E384,AcctTblE,4,0)),"کد ناشناخته")))</f>
        <v/>
      </c>
      <c r="G384" s="15" t="n"/>
      <c r="H384" s="21">
        <f>IF(OR($C384&lt;&gt;"دستمزد گروهی",$D384=""),"",SUMIFS(ShareAmt,ShareLink,$D384))</f>
        <v/>
      </c>
      <c r="I384" s="22">
        <f>IF($C384&lt;&gt;"دستمزد گروهی","—",IF($H384="","",IF(ROUND($H384-IF($G384="",0,$G384),0)=0,"√","▲ مغایرت "&amp;TEXT(IF($G384="",0,$G384)-$H384,"#,##0"))))</f>
        <v/>
      </c>
      <c r="J384" s="18" t="n"/>
    </row>
    <row r="385">
      <c r="A385" s="10">
        <f>IF($B385="","",COUNTA($B$9:$B385))</f>
        <v/>
      </c>
      <c r="B385" s="11" t="n"/>
      <c r="C385" s="12" t="n"/>
      <c r="D385" s="12" t="n"/>
      <c r="E385" s="13" t="n"/>
      <c r="F385" s="14">
        <f>IF($E385="","",IF($C385="دستمزد گروهی",IFERROR(VLOOKUP($E385,WGTbl,2,0),"کد ناشناخته"),IFERROR(IF(VLOOKUP($E385,AcctTblE,4,0)="","(بدون نام)",VLOOKUP($E385,AcctTblE,4,0)),"کد ناشناخته")))</f>
        <v/>
      </c>
      <c r="G385" s="15" t="n"/>
      <c r="H385" s="16">
        <f>IF(OR($C385&lt;&gt;"دستمزد گروهی",$D385=""),"",SUMIFS(ShareAmt,ShareLink,$D385))</f>
        <v/>
      </c>
      <c r="I385" s="17">
        <f>IF($C385&lt;&gt;"دستمزد گروهی","—",IF($H385="","",IF(ROUND($H385-IF($G385="",0,$G385),0)=0,"√","▲ مغایرت "&amp;TEXT(IF($G385="",0,$G385)-$H385,"#,##0"))))</f>
        <v/>
      </c>
      <c r="J385" s="18" t="n"/>
    </row>
    <row r="386">
      <c r="A386" s="19">
        <f>IF($B386="","",COUNTA($B$9:$B386))</f>
        <v/>
      </c>
      <c r="B386" s="11" t="n"/>
      <c r="C386" s="12" t="n"/>
      <c r="D386" s="12" t="n"/>
      <c r="E386" s="13" t="n"/>
      <c r="F386" s="20">
        <f>IF($E386="","",IF($C386="دستمزد گروهی",IFERROR(VLOOKUP($E386,WGTbl,2,0),"کد ناشناخته"),IFERROR(IF(VLOOKUP($E386,AcctTblE,4,0)="","(بدون نام)",VLOOKUP($E386,AcctTblE,4,0)),"کد ناشناخته")))</f>
        <v/>
      </c>
      <c r="G386" s="15" t="n"/>
      <c r="H386" s="21">
        <f>IF(OR($C386&lt;&gt;"دستمزد گروهی",$D386=""),"",SUMIFS(ShareAmt,ShareLink,$D386))</f>
        <v/>
      </c>
      <c r="I386" s="22">
        <f>IF($C386&lt;&gt;"دستمزد گروهی","—",IF($H386="","",IF(ROUND($H386-IF($G386="",0,$G386),0)=0,"√","▲ مغایرت "&amp;TEXT(IF($G386="",0,$G386)-$H386,"#,##0"))))</f>
        <v/>
      </c>
      <c r="J386" s="18" t="n"/>
    </row>
    <row r="387">
      <c r="A387" s="10">
        <f>IF($B387="","",COUNTA($B$9:$B387))</f>
        <v/>
      </c>
      <c r="B387" s="11" t="n"/>
      <c r="C387" s="12" t="n"/>
      <c r="D387" s="12" t="n"/>
      <c r="E387" s="13" t="n"/>
      <c r="F387" s="14">
        <f>IF($E387="","",IF($C387="دستمزد گروهی",IFERROR(VLOOKUP($E387,WGTbl,2,0),"کد ناشناخته"),IFERROR(IF(VLOOKUP($E387,AcctTblE,4,0)="","(بدون نام)",VLOOKUP($E387,AcctTblE,4,0)),"کد ناشناخته")))</f>
        <v/>
      </c>
      <c r="G387" s="15" t="n"/>
      <c r="H387" s="16">
        <f>IF(OR($C387&lt;&gt;"دستمزد گروهی",$D387=""),"",SUMIFS(ShareAmt,ShareLink,$D387))</f>
        <v/>
      </c>
      <c r="I387" s="17">
        <f>IF($C387&lt;&gt;"دستمزد گروهی","—",IF($H387="","",IF(ROUND($H387-IF($G387="",0,$G387),0)=0,"√","▲ مغایرت "&amp;TEXT(IF($G387="",0,$G387)-$H387,"#,##0"))))</f>
        <v/>
      </c>
      <c r="J387" s="18" t="n"/>
    </row>
    <row r="388">
      <c r="A388" s="19">
        <f>IF($B388="","",COUNTA($B$9:$B388))</f>
        <v/>
      </c>
      <c r="B388" s="11" t="n"/>
      <c r="C388" s="12" t="n"/>
      <c r="D388" s="12" t="n"/>
      <c r="E388" s="13" t="n"/>
      <c r="F388" s="20">
        <f>IF($E388="","",IF($C388="دستمزد گروهی",IFERROR(VLOOKUP($E388,WGTbl,2,0),"کد ناشناخته"),IFERROR(IF(VLOOKUP($E388,AcctTblE,4,0)="","(بدون نام)",VLOOKUP($E388,AcctTblE,4,0)),"کد ناشناخته")))</f>
        <v/>
      </c>
      <c r="G388" s="15" t="n"/>
      <c r="H388" s="21">
        <f>IF(OR($C388&lt;&gt;"دستمزد گروهی",$D388=""),"",SUMIFS(ShareAmt,ShareLink,$D388))</f>
        <v/>
      </c>
      <c r="I388" s="22">
        <f>IF($C388&lt;&gt;"دستمزد گروهی","—",IF($H388="","",IF(ROUND($H388-IF($G388="",0,$G388),0)=0,"√","▲ مغایرت "&amp;TEXT(IF($G388="",0,$G388)-$H388,"#,##0"))))</f>
        <v/>
      </c>
      <c r="J388" s="18" t="n"/>
    </row>
    <row r="389">
      <c r="A389" s="10">
        <f>IF($B389="","",COUNTA($B$9:$B389))</f>
        <v/>
      </c>
      <c r="B389" s="11" t="n"/>
      <c r="C389" s="12" t="n"/>
      <c r="D389" s="12" t="n"/>
      <c r="E389" s="13" t="n"/>
      <c r="F389" s="14">
        <f>IF($E389="","",IF($C389="دستمزد گروهی",IFERROR(VLOOKUP($E389,WGTbl,2,0),"کد ناشناخته"),IFERROR(IF(VLOOKUP($E389,AcctTblE,4,0)="","(بدون نام)",VLOOKUP($E389,AcctTblE,4,0)),"کد ناشناخته")))</f>
        <v/>
      </c>
      <c r="G389" s="15" t="n"/>
      <c r="H389" s="16">
        <f>IF(OR($C389&lt;&gt;"دستمزد گروهی",$D389=""),"",SUMIFS(ShareAmt,ShareLink,$D389))</f>
        <v/>
      </c>
      <c r="I389" s="17">
        <f>IF($C389&lt;&gt;"دستمزد گروهی","—",IF($H389="","",IF(ROUND($H389-IF($G389="",0,$G389),0)=0,"√","▲ مغایرت "&amp;TEXT(IF($G389="",0,$G389)-$H389,"#,##0"))))</f>
        <v/>
      </c>
      <c r="J389" s="18" t="n"/>
    </row>
    <row r="390">
      <c r="A390" s="19">
        <f>IF($B390="","",COUNTA($B$9:$B390))</f>
        <v/>
      </c>
      <c r="B390" s="11" t="n"/>
      <c r="C390" s="12" t="n"/>
      <c r="D390" s="12" t="n"/>
      <c r="E390" s="13" t="n"/>
      <c r="F390" s="20">
        <f>IF($E390="","",IF($C390="دستمزد گروهی",IFERROR(VLOOKUP($E390,WGTbl,2,0),"کد ناشناخته"),IFERROR(IF(VLOOKUP($E390,AcctTblE,4,0)="","(بدون نام)",VLOOKUP($E390,AcctTblE,4,0)),"کد ناشناخته")))</f>
        <v/>
      </c>
      <c r="G390" s="15" t="n"/>
      <c r="H390" s="21">
        <f>IF(OR($C390&lt;&gt;"دستمزد گروهی",$D390=""),"",SUMIFS(ShareAmt,ShareLink,$D390))</f>
        <v/>
      </c>
      <c r="I390" s="22">
        <f>IF($C390&lt;&gt;"دستمزد گروهی","—",IF($H390="","",IF(ROUND($H390-IF($G390="",0,$G390),0)=0,"√","▲ مغایرت "&amp;TEXT(IF($G390="",0,$G390)-$H390,"#,##0"))))</f>
        <v/>
      </c>
      <c r="J390" s="18" t="n"/>
    </row>
    <row r="391">
      <c r="A391" s="10">
        <f>IF($B391="","",COUNTA($B$9:$B391))</f>
        <v/>
      </c>
      <c r="B391" s="11" t="n"/>
      <c r="C391" s="12" t="n"/>
      <c r="D391" s="12" t="n"/>
      <c r="E391" s="13" t="n"/>
      <c r="F391" s="14">
        <f>IF($E391="","",IF($C391="دستمزد گروهی",IFERROR(VLOOKUP($E391,WGTbl,2,0),"کد ناشناخته"),IFERROR(IF(VLOOKUP($E391,AcctTblE,4,0)="","(بدون نام)",VLOOKUP($E391,AcctTblE,4,0)),"کد ناشناخته")))</f>
        <v/>
      </c>
      <c r="G391" s="15" t="n"/>
      <c r="H391" s="16">
        <f>IF(OR($C391&lt;&gt;"دستمزد گروهی",$D391=""),"",SUMIFS(ShareAmt,ShareLink,$D391))</f>
        <v/>
      </c>
      <c r="I391" s="17">
        <f>IF($C391&lt;&gt;"دستمزد گروهی","—",IF($H391="","",IF(ROUND($H391-IF($G391="",0,$G391),0)=0,"√","▲ مغایرت "&amp;TEXT(IF($G391="",0,$G391)-$H391,"#,##0"))))</f>
        <v/>
      </c>
      <c r="J391" s="18" t="n"/>
    </row>
    <row r="392">
      <c r="A392" s="19">
        <f>IF($B392="","",COUNTA($B$9:$B392))</f>
        <v/>
      </c>
      <c r="B392" s="11" t="n"/>
      <c r="C392" s="12" t="n"/>
      <c r="D392" s="12" t="n"/>
      <c r="E392" s="13" t="n"/>
      <c r="F392" s="20">
        <f>IF($E392="","",IF($C392="دستمزد گروهی",IFERROR(VLOOKUP($E392,WGTbl,2,0),"کد ناشناخته"),IFERROR(IF(VLOOKUP($E392,AcctTblE,4,0)="","(بدون نام)",VLOOKUP($E392,AcctTblE,4,0)),"کد ناشناخته")))</f>
        <v/>
      </c>
      <c r="G392" s="15" t="n"/>
      <c r="H392" s="21">
        <f>IF(OR($C392&lt;&gt;"دستمزد گروهی",$D392=""),"",SUMIFS(ShareAmt,ShareLink,$D392))</f>
        <v/>
      </c>
      <c r="I392" s="22">
        <f>IF($C392&lt;&gt;"دستمزد گروهی","—",IF($H392="","",IF(ROUND($H392-IF($G392="",0,$G392),0)=0,"√","▲ مغایرت "&amp;TEXT(IF($G392="",0,$G392)-$H392,"#,##0"))))</f>
        <v/>
      </c>
      <c r="J392" s="18" t="n"/>
    </row>
    <row r="393">
      <c r="A393" s="10">
        <f>IF($B393="","",COUNTA($B$9:$B393))</f>
        <v/>
      </c>
      <c r="B393" s="11" t="n"/>
      <c r="C393" s="12" t="n"/>
      <c r="D393" s="12" t="n"/>
      <c r="E393" s="13" t="n"/>
      <c r="F393" s="14">
        <f>IF($E393="","",IF($C393="دستمزد گروهی",IFERROR(VLOOKUP($E393,WGTbl,2,0),"کد ناشناخته"),IFERROR(IF(VLOOKUP($E393,AcctTblE,4,0)="","(بدون نام)",VLOOKUP($E393,AcctTblE,4,0)),"کد ناشناخته")))</f>
        <v/>
      </c>
      <c r="G393" s="15" t="n"/>
      <c r="H393" s="16">
        <f>IF(OR($C393&lt;&gt;"دستمزد گروهی",$D393=""),"",SUMIFS(ShareAmt,ShareLink,$D393))</f>
        <v/>
      </c>
      <c r="I393" s="17">
        <f>IF($C393&lt;&gt;"دستمزد گروهی","—",IF($H393="","",IF(ROUND($H393-IF($G393="",0,$G393),0)=0,"√","▲ مغایرت "&amp;TEXT(IF($G393="",0,$G393)-$H393,"#,##0"))))</f>
        <v/>
      </c>
      <c r="J393" s="18" t="n"/>
    </row>
    <row r="394">
      <c r="A394" s="19">
        <f>IF($B394="","",COUNTA($B$9:$B394))</f>
        <v/>
      </c>
      <c r="B394" s="11" t="n"/>
      <c r="C394" s="12" t="n"/>
      <c r="D394" s="12" t="n"/>
      <c r="E394" s="13" t="n"/>
      <c r="F394" s="20">
        <f>IF($E394="","",IF($C394="دستمزد گروهی",IFERROR(VLOOKUP($E394,WGTbl,2,0),"کد ناشناخته"),IFERROR(IF(VLOOKUP($E394,AcctTblE,4,0)="","(بدون نام)",VLOOKUP($E394,AcctTblE,4,0)),"کد ناشناخته")))</f>
        <v/>
      </c>
      <c r="G394" s="15" t="n"/>
      <c r="H394" s="21">
        <f>IF(OR($C394&lt;&gt;"دستمزد گروهی",$D394=""),"",SUMIFS(ShareAmt,ShareLink,$D394))</f>
        <v/>
      </c>
      <c r="I394" s="22">
        <f>IF($C394&lt;&gt;"دستمزد گروهی","—",IF($H394="","",IF(ROUND($H394-IF($G394="",0,$G394),0)=0,"√","▲ مغایرت "&amp;TEXT(IF($G394="",0,$G394)-$H394,"#,##0"))))</f>
        <v/>
      </c>
      <c r="J394" s="18" t="n"/>
    </row>
    <row r="395">
      <c r="A395" s="10">
        <f>IF($B395="","",COUNTA($B$9:$B395))</f>
        <v/>
      </c>
      <c r="B395" s="11" t="n"/>
      <c r="C395" s="12" t="n"/>
      <c r="D395" s="12" t="n"/>
      <c r="E395" s="13" t="n"/>
      <c r="F395" s="14">
        <f>IF($E395="","",IF($C395="دستمزد گروهی",IFERROR(VLOOKUP($E395,WGTbl,2,0),"کد ناشناخته"),IFERROR(IF(VLOOKUP($E395,AcctTblE,4,0)="","(بدون نام)",VLOOKUP($E395,AcctTblE,4,0)),"کد ناشناخته")))</f>
        <v/>
      </c>
      <c r="G395" s="15" t="n"/>
      <c r="H395" s="16">
        <f>IF(OR($C395&lt;&gt;"دستمزد گروهی",$D395=""),"",SUMIFS(ShareAmt,ShareLink,$D395))</f>
        <v/>
      </c>
      <c r="I395" s="17">
        <f>IF($C395&lt;&gt;"دستمزد گروهی","—",IF($H395="","",IF(ROUND($H395-IF($G395="",0,$G395),0)=0,"√","▲ مغایرت "&amp;TEXT(IF($G395="",0,$G395)-$H395,"#,##0"))))</f>
        <v/>
      </c>
      <c r="J395" s="18" t="n"/>
    </row>
    <row r="396">
      <c r="A396" s="19">
        <f>IF($B396="","",COUNTA($B$9:$B396))</f>
        <v/>
      </c>
      <c r="B396" s="11" t="n"/>
      <c r="C396" s="12" t="n"/>
      <c r="D396" s="12" t="n"/>
      <c r="E396" s="13" t="n"/>
      <c r="F396" s="20">
        <f>IF($E396="","",IF($C396="دستمزد گروهی",IFERROR(VLOOKUP($E396,WGTbl,2,0),"کد ناشناخته"),IFERROR(IF(VLOOKUP($E396,AcctTblE,4,0)="","(بدون نام)",VLOOKUP($E396,AcctTblE,4,0)),"کد ناشناخته")))</f>
        <v/>
      </c>
      <c r="G396" s="15" t="n"/>
      <c r="H396" s="21">
        <f>IF(OR($C396&lt;&gt;"دستمزد گروهی",$D396=""),"",SUMIFS(ShareAmt,ShareLink,$D396))</f>
        <v/>
      </c>
      <c r="I396" s="22">
        <f>IF($C396&lt;&gt;"دستمزد گروهی","—",IF($H396="","",IF(ROUND($H396-IF($G396="",0,$G396),0)=0,"√","▲ مغایرت "&amp;TEXT(IF($G396="",0,$G396)-$H396,"#,##0"))))</f>
        <v/>
      </c>
      <c r="J396" s="18" t="n"/>
    </row>
    <row r="397">
      <c r="A397" s="10">
        <f>IF($B397="","",COUNTA($B$9:$B397))</f>
        <v/>
      </c>
      <c r="B397" s="11" t="n"/>
      <c r="C397" s="12" t="n"/>
      <c r="D397" s="12" t="n"/>
      <c r="E397" s="13" t="n"/>
      <c r="F397" s="14">
        <f>IF($E397="","",IF($C397="دستمزد گروهی",IFERROR(VLOOKUP($E397,WGTbl,2,0),"کد ناشناخته"),IFERROR(IF(VLOOKUP($E397,AcctTblE,4,0)="","(بدون نام)",VLOOKUP($E397,AcctTblE,4,0)),"کد ناشناخته")))</f>
        <v/>
      </c>
      <c r="G397" s="15" t="n"/>
      <c r="H397" s="16">
        <f>IF(OR($C397&lt;&gt;"دستمزد گروهی",$D397=""),"",SUMIFS(ShareAmt,ShareLink,$D397))</f>
        <v/>
      </c>
      <c r="I397" s="17">
        <f>IF($C397&lt;&gt;"دستمزد گروهی","—",IF($H397="","",IF(ROUND($H397-IF($G397="",0,$G397),0)=0,"√","▲ مغایرت "&amp;TEXT(IF($G397="",0,$G397)-$H397,"#,##0"))))</f>
        <v/>
      </c>
      <c r="J397" s="18" t="n"/>
    </row>
    <row r="398">
      <c r="A398" s="19">
        <f>IF($B398="","",COUNTA($B$9:$B398))</f>
        <v/>
      </c>
      <c r="B398" s="11" t="n"/>
      <c r="C398" s="12" t="n"/>
      <c r="D398" s="12" t="n"/>
      <c r="E398" s="13" t="n"/>
      <c r="F398" s="20">
        <f>IF($E398="","",IF($C398="دستمزد گروهی",IFERROR(VLOOKUP($E398,WGTbl,2,0),"کد ناشناخته"),IFERROR(IF(VLOOKUP($E398,AcctTblE,4,0)="","(بدون نام)",VLOOKUP($E398,AcctTblE,4,0)),"کد ناشناخته")))</f>
        <v/>
      </c>
      <c r="G398" s="15" t="n"/>
      <c r="H398" s="21">
        <f>IF(OR($C398&lt;&gt;"دستمزد گروهی",$D398=""),"",SUMIFS(ShareAmt,ShareLink,$D398))</f>
        <v/>
      </c>
      <c r="I398" s="22">
        <f>IF($C398&lt;&gt;"دستمزد گروهی","—",IF($H398="","",IF(ROUND($H398-IF($G398="",0,$G398),0)=0,"√","▲ مغایرت "&amp;TEXT(IF($G398="",0,$G398)-$H398,"#,##0"))))</f>
        <v/>
      </c>
      <c r="J398" s="18" t="n"/>
    </row>
    <row r="399">
      <c r="A399" s="10">
        <f>IF($B399="","",COUNTA($B$9:$B399))</f>
        <v/>
      </c>
      <c r="B399" s="11" t="n"/>
      <c r="C399" s="12" t="n"/>
      <c r="D399" s="12" t="n"/>
      <c r="E399" s="13" t="n"/>
      <c r="F399" s="14">
        <f>IF($E399="","",IF($C399="دستمزد گروهی",IFERROR(VLOOKUP($E399,WGTbl,2,0),"کد ناشناخته"),IFERROR(IF(VLOOKUP($E399,AcctTblE,4,0)="","(بدون نام)",VLOOKUP($E399,AcctTblE,4,0)),"کد ناشناخته")))</f>
        <v/>
      </c>
      <c r="G399" s="15" t="n"/>
      <c r="H399" s="16">
        <f>IF(OR($C399&lt;&gt;"دستمزد گروهی",$D399=""),"",SUMIFS(ShareAmt,ShareLink,$D399))</f>
        <v/>
      </c>
      <c r="I399" s="17">
        <f>IF($C399&lt;&gt;"دستمزد گروهی","—",IF($H399="","",IF(ROUND($H399-IF($G399="",0,$G399),0)=0,"√","▲ مغایرت "&amp;TEXT(IF($G399="",0,$G399)-$H399,"#,##0"))))</f>
        <v/>
      </c>
      <c r="J399" s="18" t="n"/>
    </row>
    <row r="400">
      <c r="A400" s="19">
        <f>IF($B400="","",COUNTA($B$9:$B400))</f>
        <v/>
      </c>
      <c r="B400" s="11" t="n"/>
      <c r="C400" s="12" t="n"/>
      <c r="D400" s="12" t="n"/>
      <c r="E400" s="13" t="n"/>
      <c r="F400" s="20">
        <f>IF($E400="","",IF($C400="دستمزد گروهی",IFERROR(VLOOKUP($E400,WGTbl,2,0),"کد ناشناخته"),IFERROR(IF(VLOOKUP($E400,AcctTblE,4,0)="","(بدون نام)",VLOOKUP($E400,AcctTblE,4,0)),"کد ناشناخته")))</f>
        <v/>
      </c>
      <c r="G400" s="15" t="n"/>
      <c r="H400" s="21">
        <f>IF(OR($C400&lt;&gt;"دستمزد گروهی",$D400=""),"",SUMIFS(ShareAmt,ShareLink,$D400))</f>
        <v/>
      </c>
      <c r="I400" s="22">
        <f>IF($C400&lt;&gt;"دستمزد گروهی","—",IF($H400="","",IF(ROUND($H400-IF($G400="",0,$G400),0)=0,"√","▲ مغایرت "&amp;TEXT(IF($G400="",0,$G400)-$H400,"#,##0"))))</f>
        <v/>
      </c>
      <c r="J400" s="18" t="n"/>
    </row>
    <row r="401">
      <c r="A401" s="10">
        <f>IF($B401="","",COUNTA($B$9:$B401))</f>
        <v/>
      </c>
      <c r="B401" s="11" t="n"/>
      <c r="C401" s="12" t="n"/>
      <c r="D401" s="12" t="n"/>
      <c r="E401" s="13" t="n"/>
      <c r="F401" s="14">
        <f>IF($E401="","",IF($C401="دستمزد گروهی",IFERROR(VLOOKUP($E401,WGTbl,2,0),"کد ناشناخته"),IFERROR(IF(VLOOKUP($E401,AcctTblE,4,0)="","(بدون نام)",VLOOKUP($E401,AcctTblE,4,0)),"کد ناشناخته")))</f>
        <v/>
      </c>
      <c r="G401" s="15" t="n"/>
      <c r="H401" s="16">
        <f>IF(OR($C401&lt;&gt;"دستمزد گروهی",$D401=""),"",SUMIFS(ShareAmt,ShareLink,$D401))</f>
        <v/>
      </c>
      <c r="I401" s="17">
        <f>IF($C401&lt;&gt;"دستمزد گروهی","—",IF($H401="","",IF(ROUND($H401-IF($G401="",0,$G401),0)=0,"√","▲ مغایرت "&amp;TEXT(IF($G401="",0,$G401)-$H401,"#,##0"))))</f>
        <v/>
      </c>
      <c r="J401" s="18" t="n"/>
    </row>
    <row r="402">
      <c r="A402" s="19">
        <f>IF($B402="","",COUNTA($B$9:$B402))</f>
        <v/>
      </c>
      <c r="B402" s="11" t="n"/>
      <c r="C402" s="12" t="n"/>
      <c r="D402" s="12" t="n"/>
      <c r="E402" s="13" t="n"/>
      <c r="F402" s="20">
        <f>IF($E402="","",IF($C402="دستمزد گروهی",IFERROR(VLOOKUP($E402,WGTbl,2,0),"کد ناشناخته"),IFERROR(IF(VLOOKUP($E402,AcctTblE,4,0)="","(بدون نام)",VLOOKUP($E402,AcctTblE,4,0)),"کد ناشناخته")))</f>
        <v/>
      </c>
      <c r="G402" s="15" t="n"/>
      <c r="H402" s="21">
        <f>IF(OR($C402&lt;&gt;"دستمزد گروهی",$D402=""),"",SUMIFS(ShareAmt,ShareLink,$D402))</f>
        <v/>
      </c>
      <c r="I402" s="22">
        <f>IF($C402&lt;&gt;"دستمزد گروهی","—",IF($H402="","",IF(ROUND($H402-IF($G402="",0,$G402),0)=0,"√","▲ مغایرت "&amp;TEXT(IF($G402="",0,$G402)-$H402,"#,##0"))))</f>
        <v/>
      </c>
      <c r="J402" s="18" t="n"/>
    </row>
    <row r="403">
      <c r="A403" s="10">
        <f>IF($B403="","",COUNTA($B$9:$B403))</f>
        <v/>
      </c>
      <c r="B403" s="11" t="n"/>
      <c r="C403" s="12" t="n"/>
      <c r="D403" s="12" t="n"/>
      <c r="E403" s="13" t="n"/>
      <c r="F403" s="14">
        <f>IF($E403="","",IF($C403="دستمزد گروهی",IFERROR(VLOOKUP($E403,WGTbl,2,0),"کد ناشناخته"),IFERROR(IF(VLOOKUP($E403,AcctTblE,4,0)="","(بدون نام)",VLOOKUP($E403,AcctTblE,4,0)),"کد ناشناخته")))</f>
        <v/>
      </c>
      <c r="G403" s="15" t="n"/>
      <c r="H403" s="16">
        <f>IF(OR($C403&lt;&gt;"دستمزد گروهی",$D403=""),"",SUMIFS(ShareAmt,ShareLink,$D403))</f>
        <v/>
      </c>
      <c r="I403" s="17">
        <f>IF($C403&lt;&gt;"دستمزد گروهی","—",IF($H403="","",IF(ROUND($H403-IF($G403="",0,$G403),0)=0,"√","▲ مغایرت "&amp;TEXT(IF($G403="",0,$G403)-$H403,"#,##0"))))</f>
        <v/>
      </c>
      <c r="J403" s="18" t="n"/>
    </row>
    <row r="404">
      <c r="A404" s="19">
        <f>IF($B404="","",COUNTA($B$9:$B404))</f>
        <v/>
      </c>
      <c r="B404" s="11" t="n"/>
      <c r="C404" s="12" t="n"/>
      <c r="D404" s="12" t="n"/>
      <c r="E404" s="13" t="n"/>
      <c r="F404" s="20">
        <f>IF($E404="","",IF($C404="دستمزد گروهی",IFERROR(VLOOKUP($E404,WGTbl,2,0),"کد ناشناخته"),IFERROR(IF(VLOOKUP($E404,AcctTblE,4,0)="","(بدون نام)",VLOOKUP($E404,AcctTblE,4,0)),"کد ناشناخته")))</f>
        <v/>
      </c>
      <c r="G404" s="15" t="n"/>
      <c r="H404" s="21">
        <f>IF(OR($C404&lt;&gt;"دستمزد گروهی",$D404=""),"",SUMIFS(ShareAmt,ShareLink,$D404))</f>
        <v/>
      </c>
      <c r="I404" s="22">
        <f>IF($C404&lt;&gt;"دستمزد گروهی","—",IF($H404="","",IF(ROUND($H404-IF($G404="",0,$G404),0)=0,"√","▲ مغایرت "&amp;TEXT(IF($G404="",0,$G404)-$H404,"#,##0"))))</f>
        <v/>
      </c>
      <c r="J404" s="18" t="n"/>
    </row>
    <row r="405">
      <c r="A405" s="10">
        <f>IF($B405="","",COUNTA($B$9:$B405))</f>
        <v/>
      </c>
      <c r="B405" s="11" t="n"/>
      <c r="C405" s="12" t="n"/>
      <c r="D405" s="12" t="n"/>
      <c r="E405" s="13" t="n"/>
      <c r="F405" s="14">
        <f>IF($E405="","",IF($C405="دستمزد گروهی",IFERROR(VLOOKUP($E405,WGTbl,2,0),"کد ناشناخته"),IFERROR(IF(VLOOKUP($E405,AcctTblE,4,0)="","(بدون نام)",VLOOKUP($E405,AcctTblE,4,0)),"کد ناشناخته")))</f>
        <v/>
      </c>
      <c r="G405" s="15" t="n"/>
      <c r="H405" s="16">
        <f>IF(OR($C405&lt;&gt;"دستمزد گروهی",$D405=""),"",SUMIFS(ShareAmt,ShareLink,$D405))</f>
        <v/>
      </c>
      <c r="I405" s="17">
        <f>IF($C405&lt;&gt;"دستمزد گروهی","—",IF($H405="","",IF(ROUND($H405-IF($G405="",0,$G405),0)=0,"√","▲ مغایرت "&amp;TEXT(IF($G405="",0,$G405)-$H405,"#,##0"))))</f>
        <v/>
      </c>
      <c r="J405" s="18" t="n"/>
    </row>
    <row r="406">
      <c r="A406" s="19">
        <f>IF($B406="","",COUNTA($B$9:$B406))</f>
        <v/>
      </c>
      <c r="B406" s="11" t="n"/>
      <c r="C406" s="12" t="n"/>
      <c r="D406" s="12" t="n"/>
      <c r="E406" s="13" t="n"/>
      <c r="F406" s="20">
        <f>IF($E406="","",IF($C406="دستمزد گروهی",IFERROR(VLOOKUP($E406,WGTbl,2,0),"کد ناشناخته"),IFERROR(IF(VLOOKUP($E406,AcctTblE,4,0)="","(بدون نام)",VLOOKUP($E406,AcctTblE,4,0)),"کد ناشناخته")))</f>
        <v/>
      </c>
      <c r="G406" s="15" t="n"/>
      <c r="H406" s="21">
        <f>IF(OR($C406&lt;&gt;"دستمزد گروهی",$D406=""),"",SUMIFS(ShareAmt,ShareLink,$D406))</f>
        <v/>
      </c>
      <c r="I406" s="22">
        <f>IF($C406&lt;&gt;"دستمزد گروهی","—",IF($H406="","",IF(ROUND($H406-IF($G406="",0,$G406),0)=0,"√","▲ مغایرت "&amp;TEXT(IF($G406="",0,$G406)-$H406,"#,##0"))))</f>
        <v/>
      </c>
      <c r="J406" s="18" t="n"/>
    </row>
    <row r="407">
      <c r="A407" s="10">
        <f>IF($B407="","",COUNTA($B$9:$B407))</f>
        <v/>
      </c>
      <c r="B407" s="11" t="n"/>
      <c r="C407" s="12" t="n"/>
      <c r="D407" s="12" t="n"/>
      <c r="E407" s="13" t="n"/>
      <c r="F407" s="14">
        <f>IF($E407="","",IF($C407="دستمزد گروهی",IFERROR(VLOOKUP($E407,WGTbl,2,0),"کد ناشناخته"),IFERROR(IF(VLOOKUP($E407,AcctTblE,4,0)="","(بدون نام)",VLOOKUP($E407,AcctTblE,4,0)),"کد ناشناخته")))</f>
        <v/>
      </c>
      <c r="G407" s="15" t="n"/>
      <c r="H407" s="16">
        <f>IF(OR($C407&lt;&gt;"دستمزد گروهی",$D407=""),"",SUMIFS(ShareAmt,ShareLink,$D407))</f>
        <v/>
      </c>
      <c r="I407" s="17">
        <f>IF($C407&lt;&gt;"دستمزد گروهی","—",IF($H407="","",IF(ROUND($H407-IF($G407="",0,$G407),0)=0,"√","▲ مغایرت "&amp;TEXT(IF($G407="",0,$G407)-$H407,"#,##0"))))</f>
        <v/>
      </c>
      <c r="J407" s="18" t="n"/>
    </row>
    <row r="408">
      <c r="A408" s="19">
        <f>IF($B408="","",COUNTA($B$9:$B408))</f>
        <v/>
      </c>
      <c r="B408" s="11" t="n"/>
      <c r="C408" s="12" t="n"/>
      <c r="D408" s="12" t="n"/>
      <c r="E408" s="13" t="n"/>
      <c r="F408" s="20">
        <f>IF($E408="","",IF($C408="دستمزد گروهی",IFERROR(VLOOKUP($E408,WGTbl,2,0),"کد ناشناخته"),IFERROR(IF(VLOOKUP($E408,AcctTblE,4,0)="","(بدون نام)",VLOOKUP($E408,AcctTblE,4,0)),"کد ناشناخته")))</f>
        <v/>
      </c>
      <c r="G408" s="15" t="n"/>
      <c r="H408" s="21">
        <f>IF(OR($C408&lt;&gt;"دستمزد گروهی",$D408=""),"",SUMIFS(ShareAmt,ShareLink,$D408))</f>
        <v/>
      </c>
      <c r="I408" s="22">
        <f>IF($C408&lt;&gt;"دستمزد گروهی","—",IF($H408="","",IF(ROUND($H408-IF($G408="",0,$G408),0)=0,"√","▲ مغایرت "&amp;TEXT(IF($G408="",0,$G408)-$H408,"#,##0"))))</f>
        <v/>
      </c>
      <c r="J408" s="18" t="n"/>
    </row>
    <row r="409">
      <c r="A409" s="10">
        <f>IF($B409="","",COUNTA($B$9:$B409))</f>
        <v/>
      </c>
      <c r="B409" s="11" t="n"/>
      <c r="C409" s="12" t="n"/>
      <c r="D409" s="12" t="n"/>
      <c r="E409" s="13" t="n"/>
      <c r="F409" s="14">
        <f>IF($E409="","",IF($C409="دستمزد گروهی",IFERROR(VLOOKUP($E409,WGTbl,2,0),"کد ناشناخته"),IFERROR(IF(VLOOKUP($E409,AcctTblE,4,0)="","(بدون نام)",VLOOKUP($E409,AcctTblE,4,0)),"کد ناشناخته")))</f>
        <v/>
      </c>
      <c r="G409" s="15" t="n"/>
      <c r="H409" s="16">
        <f>IF(OR($C409&lt;&gt;"دستمزد گروهی",$D409=""),"",SUMIFS(ShareAmt,ShareLink,$D409))</f>
        <v/>
      </c>
      <c r="I409" s="17">
        <f>IF($C409&lt;&gt;"دستمزد گروهی","—",IF($H409="","",IF(ROUND($H409-IF($G409="",0,$G409),0)=0,"√","▲ مغایرت "&amp;TEXT(IF($G409="",0,$G409)-$H409,"#,##0"))))</f>
        <v/>
      </c>
      <c r="J409" s="18" t="n"/>
    </row>
    <row r="410">
      <c r="A410" s="19">
        <f>IF($B410="","",COUNTA($B$9:$B410))</f>
        <v/>
      </c>
      <c r="B410" s="11" t="n"/>
      <c r="C410" s="12" t="n"/>
      <c r="D410" s="12" t="n"/>
      <c r="E410" s="13" t="n"/>
      <c r="F410" s="20">
        <f>IF($E410="","",IF($C410="دستمزد گروهی",IFERROR(VLOOKUP($E410,WGTbl,2,0),"کد ناشناخته"),IFERROR(IF(VLOOKUP($E410,AcctTblE,4,0)="","(بدون نام)",VLOOKUP($E410,AcctTblE,4,0)),"کد ناشناخته")))</f>
        <v/>
      </c>
      <c r="G410" s="15" t="n"/>
      <c r="H410" s="21">
        <f>IF(OR($C410&lt;&gt;"دستمزد گروهی",$D410=""),"",SUMIFS(ShareAmt,ShareLink,$D410))</f>
        <v/>
      </c>
      <c r="I410" s="22">
        <f>IF($C410&lt;&gt;"دستمزد گروهی","—",IF($H410="","",IF(ROUND($H410-IF($G410="",0,$G410),0)=0,"√","▲ مغایرت "&amp;TEXT(IF($G410="",0,$G410)-$H410,"#,##0"))))</f>
        <v/>
      </c>
      <c r="J410" s="18" t="n"/>
    </row>
    <row r="411">
      <c r="A411" s="10">
        <f>IF($B411="","",COUNTA($B$9:$B411))</f>
        <v/>
      </c>
      <c r="B411" s="11" t="n"/>
      <c r="C411" s="12" t="n"/>
      <c r="D411" s="12" t="n"/>
      <c r="E411" s="13" t="n"/>
      <c r="F411" s="14">
        <f>IF($E411="","",IF($C411="دستمزد گروهی",IFERROR(VLOOKUP($E411,WGTbl,2,0),"کد ناشناخته"),IFERROR(IF(VLOOKUP($E411,AcctTblE,4,0)="","(بدون نام)",VLOOKUP($E411,AcctTblE,4,0)),"کد ناشناخته")))</f>
        <v/>
      </c>
      <c r="G411" s="15" t="n"/>
      <c r="H411" s="16">
        <f>IF(OR($C411&lt;&gt;"دستمزد گروهی",$D411=""),"",SUMIFS(ShareAmt,ShareLink,$D411))</f>
        <v/>
      </c>
      <c r="I411" s="17">
        <f>IF($C411&lt;&gt;"دستمزد گروهی","—",IF($H411="","",IF(ROUND($H411-IF($G411="",0,$G411),0)=0,"√","▲ مغایرت "&amp;TEXT(IF($G411="",0,$G411)-$H411,"#,##0"))))</f>
        <v/>
      </c>
      <c r="J411" s="18" t="n"/>
    </row>
    <row r="412">
      <c r="A412" s="19">
        <f>IF($B412="","",COUNTA($B$9:$B412))</f>
        <v/>
      </c>
      <c r="B412" s="11" t="n"/>
      <c r="C412" s="12" t="n"/>
      <c r="D412" s="12" t="n"/>
      <c r="E412" s="13" t="n"/>
      <c r="F412" s="20">
        <f>IF($E412="","",IF($C412="دستمزد گروهی",IFERROR(VLOOKUP($E412,WGTbl,2,0),"کد ناشناخته"),IFERROR(IF(VLOOKUP($E412,AcctTblE,4,0)="","(بدون نام)",VLOOKUP($E412,AcctTblE,4,0)),"کد ناشناخته")))</f>
        <v/>
      </c>
      <c r="G412" s="15" t="n"/>
      <c r="H412" s="21">
        <f>IF(OR($C412&lt;&gt;"دستمزد گروهی",$D412=""),"",SUMIFS(ShareAmt,ShareLink,$D412))</f>
        <v/>
      </c>
      <c r="I412" s="22">
        <f>IF($C412&lt;&gt;"دستمزد گروهی","—",IF($H412="","",IF(ROUND($H412-IF($G412="",0,$G412),0)=0,"√","▲ مغایرت "&amp;TEXT(IF($G412="",0,$G412)-$H412,"#,##0"))))</f>
        <v/>
      </c>
      <c r="J412" s="18" t="n"/>
    </row>
    <row r="413">
      <c r="A413" s="10">
        <f>IF($B413="","",COUNTA($B$9:$B413))</f>
        <v/>
      </c>
      <c r="B413" s="11" t="n"/>
      <c r="C413" s="12" t="n"/>
      <c r="D413" s="12" t="n"/>
      <c r="E413" s="13" t="n"/>
      <c r="F413" s="14">
        <f>IF($E413="","",IF($C413="دستمزد گروهی",IFERROR(VLOOKUP($E413,WGTbl,2,0),"کد ناشناخته"),IFERROR(IF(VLOOKUP($E413,AcctTblE,4,0)="","(بدون نام)",VLOOKUP($E413,AcctTblE,4,0)),"کد ناشناخته")))</f>
        <v/>
      </c>
      <c r="G413" s="15" t="n"/>
      <c r="H413" s="16">
        <f>IF(OR($C413&lt;&gt;"دستمزد گروهی",$D413=""),"",SUMIFS(ShareAmt,ShareLink,$D413))</f>
        <v/>
      </c>
      <c r="I413" s="17">
        <f>IF($C413&lt;&gt;"دستمزد گروهی","—",IF($H413="","",IF(ROUND($H413-IF($G413="",0,$G413),0)=0,"√","▲ مغایرت "&amp;TEXT(IF($G413="",0,$G413)-$H413,"#,##0"))))</f>
        <v/>
      </c>
      <c r="J413" s="18" t="n"/>
    </row>
    <row r="414">
      <c r="A414" s="19">
        <f>IF($B414="","",COUNTA($B$9:$B414))</f>
        <v/>
      </c>
      <c r="B414" s="11" t="n"/>
      <c r="C414" s="12" t="n"/>
      <c r="D414" s="12" t="n"/>
      <c r="E414" s="13" t="n"/>
      <c r="F414" s="20">
        <f>IF($E414="","",IF($C414="دستمزد گروهی",IFERROR(VLOOKUP($E414,WGTbl,2,0),"کد ناشناخته"),IFERROR(IF(VLOOKUP($E414,AcctTblE,4,0)="","(بدون نام)",VLOOKUP($E414,AcctTblE,4,0)),"کد ناشناخته")))</f>
        <v/>
      </c>
      <c r="G414" s="15" t="n"/>
      <c r="H414" s="21">
        <f>IF(OR($C414&lt;&gt;"دستمزد گروهی",$D414=""),"",SUMIFS(ShareAmt,ShareLink,$D414))</f>
        <v/>
      </c>
      <c r="I414" s="22">
        <f>IF($C414&lt;&gt;"دستمزد گروهی","—",IF($H414="","",IF(ROUND($H414-IF($G414="",0,$G414),0)=0,"√","▲ مغایرت "&amp;TEXT(IF($G414="",0,$G414)-$H414,"#,##0"))))</f>
        <v/>
      </c>
      <c r="J414" s="18" t="n"/>
    </row>
    <row r="415">
      <c r="A415" s="10">
        <f>IF($B415="","",COUNTA($B$9:$B415))</f>
        <v/>
      </c>
      <c r="B415" s="11" t="n"/>
      <c r="C415" s="12" t="n"/>
      <c r="D415" s="12" t="n"/>
      <c r="E415" s="13" t="n"/>
      <c r="F415" s="14">
        <f>IF($E415="","",IF($C415="دستمزد گروهی",IFERROR(VLOOKUP($E415,WGTbl,2,0),"کد ناشناخته"),IFERROR(IF(VLOOKUP($E415,AcctTblE,4,0)="","(بدون نام)",VLOOKUP($E415,AcctTblE,4,0)),"کد ناشناخته")))</f>
        <v/>
      </c>
      <c r="G415" s="15" t="n"/>
      <c r="H415" s="16">
        <f>IF(OR($C415&lt;&gt;"دستمزد گروهی",$D415=""),"",SUMIFS(ShareAmt,ShareLink,$D415))</f>
        <v/>
      </c>
      <c r="I415" s="17">
        <f>IF($C415&lt;&gt;"دستمزد گروهی","—",IF($H415="","",IF(ROUND($H415-IF($G415="",0,$G415),0)=0,"√","▲ مغایرت "&amp;TEXT(IF($G415="",0,$G415)-$H415,"#,##0"))))</f>
        <v/>
      </c>
      <c r="J415" s="18" t="n"/>
    </row>
    <row r="416">
      <c r="A416" s="19">
        <f>IF($B416="","",COUNTA($B$9:$B416))</f>
        <v/>
      </c>
      <c r="B416" s="11" t="n"/>
      <c r="C416" s="12" t="n"/>
      <c r="D416" s="12" t="n"/>
      <c r="E416" s="13" t="n"/>
      <c r="F416" s="20">
        <f>IF($E416="","",IF($C416="دستمزد گروهی",IFERROR(VLOOKUP($E416,WGTbl,2,0),"کد ناشناخته"),IFERROR(IF(VLOOKUP($E416,AcctTblE,4,0)="","(بدون نام)",VLOOKUP($E416,AcctTblE,4,0)),"کد ناشناخته")))</f>
        <v/>
      </c>
      <c r="G416" s="15" t="n"/>
      <c r="H416" s="21">
        <f>IF(OR($C416&lt;&gt;"دستمزد گروهی",$D416=""),"",SUMIFS(ShareAmt,ShareLink,$D416))</f>
        <v/>
      </c>
      <c r="I416" s="22">
        <f>IF($C416&lt;&gt;"دستمزد گروهی","—",IF($H416="","",IF(ROUND($H416-IF($G416="",0,$G416),0)=0,"√","▲ مغایرت "&amp;TEXT(IF($G416="",0,$G416)-$H416,"#,##0"))))</f>
        <v/>
      </c>
      <c r="J416" s="18" t="n"/>
    </row>
    <row r="417">
      <c r="A417" s="10">
        <f>IF($B417="","",COUNTA($B$9:$B417))</f>
        <v/>
      </c>
      <c r="B417" s="11" t="n"/>
      <c r="C417" s="12" t="n"/>
      <c r="D417" s="12" t="n"/>
      <c r="E417" s="13" t="n"/>
      <c r="F417" s="14">
        <f>IF($E417="","",IF($C417="دستمزد گروهی",IFERROR(VLOOKUP($E417,WGTbl,2,0),"کد ناشناخته"),IFERROR(IF(VLOOKUP($E417,AcctTblE,4,0)="","(بدون نام)",VLOOKUP($E417,AcctTblE,4,0)),"کد ناشناخته")))</f>
        <v/>
      </c>
      <c r="G417" s="15" t="n"/>
      <c r="H417" s="16">
        <f>IF(OR($C417&lt;&gt;"دستمزد گروهی",$D417=""),"",SUMIFS(ShareAmt,ShareLink,$D417))</f>
        <v/>
      </c>
      <c r="I417" s="17">
        <f>IF($C417&lt;&gt;"دستمزد گروهی","—",IF($H417="","",IF(ROUND($H417-IF($G417="",0,$G417),0)=0,"√","▲ مغایرت "&amp;TEXT(IF($G417="",0,$G417)-$H417,"#,##0"))))</f>
        <v/>
      </c>
      <c r="J417" s="18" t="n"/>
    </row>
    <row r="418">
      <c r="A418" s="19">
        <f>IF($B418="","",COUNTA($B$9:$B418))</f>
        <v/>
      </c>
      <c r="B418" s="11" t="n"/>
      <c r="C418" s="12" t="n"/>
      <c r="D418" s="12" t="n"/>
      <c r="E418" s="13" t="n"/>
      <c r="F418" s="20">
        <f>IF($E418="","",IF($C418="دستمزد گروهی",IFERROR(VLOOKUP($E418,WGTbl,2,0),"کد ناشناخته"),IFERROR(IF(VLOOKUP($E418,AcctTblE,4,0)="","(بدون نام)",VLOOKUP($E418,AcctTblE,4,0)),"کد ناشناخته")))</f>
        <v/>
      </c>
      <c r="G418" s="15" t="n"/>
      <c r="H418" s="21">
        <f>IF(OR($C418&lt;&gt;"دستمزد گروهی",$D418=""),"",SUMIFS(ShareAmt,ShareLink,$D418))</f>
        <v/>
      </c>
      <c r="I418" s="22">
        <f>IF($C418&lt;&gt;"دستمزد گروهی","—",IF($H418="","",IF(ROUND($H418-IF($G418="",0,$G418),0)=0,"√","▲ مغایرت "&amp;TEXT(IF($G418="",0,$G418)-$H418,"#,##0"))))</f>
        <v/>
      </c>
      <c r="J418" s="18" t="n"/>
    </row>
    <row r="419">
      <c r="A419" s="10">
        <f>IF($B419="","",COUNTA($B$9:$B419))</f>
        <v/>
      </c>
      <c r="B419" s="11" t="n"/>
      <c r="C419" s="12" t="n"/>
      <c r="D419" s="12" t="n"/>
      <c r="E419" s="13" t="n"/>
      <c r="F419" s="14">
        <f>IF($E419="","",IF($C419="دستمزد گروهی",IFERROR(VLOOKUP($E419,WGTbl,2,0),"کد ناشناخته"),IFERROR(IF(VLOOKUP($E419,AcctTblE,4,0)="","(بدون نام)",VLOOKUP($E419,AcctTblE,4,0)),"کد ناشناخته")))</f>
        <v/>
      </c>
      <c r="G419" s="15" t="n"/>
      <c r="H419" s="16">
        <f>IF(OR($C419&lt;&gt;"دستمزد گروهی",$D419=""),"",SUMIFS(ShareAmt,ShareLink,$D419))</f>
        <v/>
      </c>
      <c r="I419" s="17">
        <f>IF($C419&lt;&gt;"دستمزد گروهی","—",IF($H419="","",IF(ROUND($H419-IF($G419="",0,$G419),0)=0,"√","▲ مغایرت "&amp;TEXT(IF($G419="",0,$G419)-$H419,"#,##0"))))</f>
        <v/>
      </c>
      <c r="J419" s="18" t="n"/>
    </row>
    <row r="420">
      <c r="A420" s="19">
        <f>IF($B420="","",COUNTA($B$9:$B420))</f>
        <v/>
      </c>
      <c r="B420" s="11" t="n"/>
      <c r="C420" s="12" t="n"/>
      <c r="D420" s="12" t="n"/>
      <c r="E420" s="13" t="n"/>
      <c r="F420" s="20">
        <f>IF($E420="","",IF($C420="دستمزد گروهی",IFERROR(VLOOKUP($E420,WGTbl,2,0),"کد ناشناخته"),IFERROR(IF(VLOOKUP($E420,AcctTblE,4,0)="","(بدون نام)",VLOOKUP($E420,AcctTblE,4,0)),"کد ناشناخته")))</f>
        <v/>
      </c>
      <c r="G420" s="15" t="n"/>
      <c r="H420" s="21">
        <f>IF(OR($C420&lt;&gt;"دستمزد گروهی",$D420=""),"",SUMIFS(ShareAmt,ShareLink,$D420))</f>
        <v/>
      </c>
      <c r="I420" s="22">
        <f>IF($C420&lt;&gt;"دستمزد گروهی","—",IF($H420="","",IF(ROUND($H420-IF($G420="",0,$G420),0)=0,"√","▲ مغایرت "&amp;TEXT(IF($G420="",0,$G420)-$H420,"#,##0"))))</f>
        <v/>
      </c>
      <c r="J420" s="18" t="n"/>
    </row>
    <row r="421">
      <c r="A421" s="10">
        <f>IF($B421="","",COUNTA($B$9:$B421))</f>
        <v/>
      </c>
      <c r="B421" s="11" t="n"/>
      <c r="C421" s="12" t="n"/>
      <c r="D421" s="12" t="n"/>
      <c r="E421" s="13" t="n"/>
      <c r="F421" s="14">
        <f>IF($E421="","",IF($C421="دستمزد گروهی",IFERROR(VLOOKUP($E421,WGTbl,2,0),"کد ناشناخته"),IFERROR(IF(VLOOKUP($E421,AcctTblE,4,0)="","(بدون نام)",VLOOKUP($E421,AcctTblE,4,0)),"کد ناشناخته")))</f>
        <v/>
      </c>
      <c r="G421" s="15" t="n"/>
      <c r="H421" s="16">
        <f>IF(OR($C421&lt;&gt;"دستمزد گروهی",$D421=""),"",SUMIFS(ShareAmt,ShareLink,$D421))</f>
        <v/>
      </c>
      <c r="I421" s="17">
        <f>IF($C421&lt;&gt;"دستمزد گروهی","—",IF($H421="","",IF(ROUND($H421-IF($G421="",0,$G421),0)=0,"√","▲ مغایرت "&amp;TEXT(IF($G421="",0,$G421)-$H421,"#,##0"))))</f>
        <v/>
      </c>
      <c r="J421" s="18" t="n"/>
    </row>
    <row r="422">
      <c r="A422" s="19">
        <f>IF($B422="","",COUNTA($B$9:$B422))</f>
        <v/>
      </c>
      <c r="B422" s="11" t="n"/>
      <c r="C422" s="12" t="n"/>
      <c r="D422" s="12" t="n"/>
      <c r="E422" s="13" t="n"/>
      <c r="F422" s="20">
        <f>IF($E422="","",IF($C422="دستمزد گروهی",IFERROR(VLOOKUP($E422,WGTbl,2,0),"کد ناشناخته"),IFERROR(IF(VLOOKUP($E422,AcctTblE,4,0)="","(بدون نام)",VLOOKUP($E422,AcctTblE,4,0)),"کد ناشناخته")))</f>
        <v/>
      </c>
      <c r="G422" s="15" t="n"/>
      <c r="H422" s="21">
        <f>IF(OR($C422&lt;&gt;"دستمزد گروهی",$D422=""),"",SUMIFS(ShareAmt,ShareLink,$D422))</f>
        <v/>
      </c>
      <c r="I422" s="22">
        <f>IF($C422&lt;&gt;"دستمزد گروهی","—",IF($H422="","",IF(ROUND($H422-IF($G422="",0,$G422),0)=0,"√","▲ مغایرت "&amp;TEXT(IF($G422="",0,$G422)-$H422,"#,##0"))))</f>
        <v/>
      </c>
      <c r="J422" s="18" t="n"/>
    </row>
    <row r="423">
      <c r="A423" s="10">
        <f>IF($B423="","",COUNTA($B$9:$B423))</f>
        <v/>
      </c>
      <c r="B423" s="11" t="n"/>
      <c r="C423" s="12" t="n"/>
      <c r="D423" s="12" t="n"/>
      <c r="E423" s="13" t="n"/>
      <c r="F423" s="14">
        <f>IF($E423="","",IF($C423="دستمزد گروهی",IFERROR(VLOOKUP($E423,WGTbl,2,0),"کد ناشناخته"),IFERROR(IF(VLOOKUP($E423,AcctTblE,4,0)="","(بدون نام)",VLOOKUP($E423,AcctTblE,4,0)),"کد ناشناخته")))</f>
        <v/>
      </c>
      <c r="G423" s="15" t="n"/>
      <c r="H423" s="16">
        <f>IF(OR($C423&lt;&gt;"دستمزد گروهی",$D423=""),"",SUMIFS(ShareAmt,ShareLink,$D423))</f>
        <v/>
      </c>
      <c r="I423" s="17">
        <f>IF($C423&lt;&gt;"دستمزد گروهی","—",IF($H423="","",IF(ROUND($H423-IF($G423="",0,$G423),0)=0,"√","▲ مغایرت "&amp;TEXT(IF($G423="",0,$G423)-$H423,"#,##0"))))</f>
        <v/>
      </c>
      <c r="J423" s="18" t="n"/>
    </row>
    <row r="424">
      <c r="A424" s="19">
        <f>IF($B424="","",COUNTA($B$9:$B424))</f>
        <v/>
      </c>
      <c r="B424" s="11" t="n"/>
      <c r="C424" s="12" t="n"/>
      <c r="D424" s="12" t="n"/>
      <c r="E424" s="13" t="n"/>
      <c r="F424" s="20">
        <f>IF($E424="","",IF($C424="دستمزد گروهی",IFERROR(VLOOKUP($E424,WGTbl,2,0),"کد ناشناخته"),IFERROR(IF(VLOOKUP($E424,AcctTblE,4,0)="","(بدون نام)",VLOOKUP($E424,AcctTblE,4,0)),"کد ناشناخته")))</f>
        <v/>
      </c>
      <c r="G424" s="15" t="n"/>
      <c r="H424" s="21">
        <f>IF(OR($C424&lt;&gt;"دستمزد گروهی",$D424=""),"",SUMIFS(ShareAmt,ShareLink,$D424))</f>
        <v/>
      </c>
      <c r="I424" s="22">
        <f>IF($C424&lt;&gt;"دستمزد گروهی","—",IF($H424="","",IF(ROUND($H424-IF($G424="",0,$G424),0)=0,"√","▲ مغایرت "&amp;TEXT(IF($G424="",0,$G424)-$H424,"#,##0"))))</f>
        <v/>
      </c>
      <c r="J424" s="18" t="n"/>
    </row>
    <row r="425">
      <c r="A425" s="10">
        <f>IF($B425="","",COUNTA($B$9:$B425))</f>
        <v/>
      </c>
      <c r="B425" s="11" t="n"/>
      <c r="C425" s="12" t="n"/>
      <c r="D425" s="12" t="n"/>
      <c r="E425" s="13" t="n"/>
      <c r="F425" s="14">
        <f>IF($E425="","",IF($C425="دستمزد گروهی",IFERROR(VLOOKUP($E425,WGTbl,2,0),"کد ناشناخته"),IFERROR(IF(VLOOKUP($E425,AcctTblE,4,0)="","(بدون نام)",VLOOKUP($E425,AcctTblE,4,0)),"کد ناشناخته")))</f>
        <v/>
      </c>
      <c r="G425" s="15" t="n"/>
      <c r="H425" s="16">
        <f>IF(OR($C425&lt;&gt;"دستمزد گروهی",$D425=""),"",SUMIFS(ShareAmt,ShareLink,$D425))</f>
        <v/>
      </c>
      <c r="I425" s="17">
        <f>IF($C425&lt;&gt;"دستمزد گروهی","—",IF($H425="","",IF(ROUND($H425-IF($G425="",0,$G425),0)=0,"√","▲ مغایرت "&amp;TEXT(IF($G425="",0,$G425)-$H425,"#,##0"))))</f>
        <v/>
      </c>
      <c r="J425" s="18" t="n"/>
    </row>
    <row r="426">
      <c r="A426" s="19">
        <f>IF($B426="","",COUNTA($B$9:$B426))</f>
        <v/>
      </c>
      <c r="B426" s="11" t="n"/>
      <c r="C426" s="12" t="n"/>
      <c r="D426" s="12" t="n"/>
      <c r="E426" s="13" t="n"/>
      <c r="F426" s="20">
        <f>IF($E426="","",IF($C426="دستمزد گروهی",IFERROR(VLOOKUP($E426,WGTbl,2,0),"کد ناشناخته"),IFERROR(IF(VLOOKUP($E426,AcctTblE,4,0)="","(بدون نام)",VLOOKUP($E426,AcctTblE,4,0)),"کد ناشناخته")))</f>
        <v/>
      </c>
      <c r="G426" s="15" t="n"/>
      <c r="H426" s="21">
        <f>IF(OR($C426&lt;&gt;"دستمزد گروهی",$D426=""),"",SUMIFS(ShareAmt,ShareLink,$D426))</f>
        <v/>
      </c>
      <c r="I426" s="22">
        <f>IF($C426&lt;&gt;"دستمزد گروهی","—",IF($H426="","",IF(ROUND($H426-IF($G426="",0,$G426),0)=0,"√","▲ مغایرت "&amp;TEXT(IF($G426="",0,$G426)-$H426,"#,##0"))))</f>
        <v/>
      </c>
      <c r="J426" s="18" t="n"/>
    </row>
    <row r="427">
      <c r="A427" s="10">
        <f>IF($B427="","",COUNTA($B$9:$B427))</f>
        <v/>
      </c>
      <c r="B427" s="11" t="n"/>
      <c r="C427" s="12" t="n"/>
      <c r="D427" s="12" t="n"/>
      <c r="E427" s="13" t="n"/>
      <c r="F427" s="14">
        <f>IF($E427="","",IF($C427="دستمزد گروهی",IFERROR(VLOOKUP($E427,WGTbl,2,0),"کد ناشناخته"),IFERROR(IF(VLOOKUP($E427,AcctTblE,4,0)="","(بدون نام)",VLOOKUP($E427,AcctTblE,4,0)),"کد ناشناخته")))</f>
        <v/>
      </c>
      <c r="G427" s="15" t="n"/>
      <c r="H427" s="16">
        <f>IF(OR($C427&lt;&gt;"دستمزد گروهی",$D427=""),"",SUMIFS(ShareAmt,ShareLink,$D427))</f>
        <v/>
      </c>
      <c r="I427" s="17">
        <f>IF($C427&lt;&gt;"دستمزد گروهی","—",IF($H427="","",IF(ROUND($H427-IF($G427="",0,$G427),0)=0,"√","▲ مغایرت "&amp;TEXT(IF($G427="",0,$G427)-$H427,"#,##0"))))</f>
        <v/>
      </c>
      <c r="J427" s="18" t="n"/>
    </row>
    <row r="428">
      <c r="A428" s="19">
        <f>IF($B428="","",COUNTA($B$9:$B428))</f>
        <v/>
      </c>
      <c r="B428" s="11" t="n"/>
      <c r="C428" s="12" t="n"/>
      <c r="D428" s="12" t="n"/>
      <c r="E428" s="13" t="n"/>
      <c r="F428" s="20">
        <f>IF($E428="","",IF($C428="دستمزد گروهی",IFERROR(VLOOKUP($E428,WGTbl,2,0),"کد ناشناخته"),IFERROR(IF(VLOOKUP($E428,AcctTblE,4,0)="","(بدون نام)",VLOOKUP($E428,AcctTblE,4,0)),"کد ناشناخته")))</f>
        <v/>
      </c>
      <c r="G428" s="15" t="n"/>
      <c r="H428" s="21">
        <f>IF(OR($C428&lt;&gt;"دستمزد گروهی",$D428=""),"",SUMIFS(ShareAmt,ShareLink,$D428))</f>
        <v/>
      </c>
      <c r="I428" s="22">
        <f>IF($C428&lt;&gt;"دستمزد گروهی","—",IF($H428="","",IF(ROUND($H428-IF($G428="",0,$G428),0)=0,"√","▲ مغایرت "&amp;TEXT(IF($G428="",0,$G428)-$H428,"#,##0"))))</f>
        <v/>
      </c>
      <c r="J428" s="18" t="n"/>
    </row>
    <row r="429">
      <c r="A429" s="10">
        <f>IF($B429="","",COUNTA($B$9:$B429))</f>
        <v/>
      </c>
      <c r="B429" s="11" t="n"/>
      <c r="C429" s="12" t="n"/>
      <c r="D429" s="12" t="n"/>
      <c r="E429" s="13" t="n"/>
      <c r="F429" s="14">
        <f>IF($E429="","",IF($C429="دستمزد گروهی",IFERROR(VLOOKUP($E429,WGTbl,2,0),"کد ناشناخته"),IFERROR(IF(VLOOKUP($E429,AcctTblE,4,0)="","(بدون نام)",VLOOKUP($E429,AcctTblE,4,0)),"کد ناشناخته")))</f>
        <v/>
      </c>
      <c r="G429" s="15" t="n"/>
      <c r="H429" s="16">
        <f>IF(OR($C429&lt;&gt;"دستمزد گروهی",$D429=""),"",SUMIFS(ShareAmt,ShareLink,$D429))</f>
        <v/>
      </c>
      <c r="I429" s="17">
        <f>IF($C429&lt;&gt;"دستمزد گروهی","—",IF($H429="","",IF(ROUND($H429-IF($G429="",0,$G429),0)=0,"√","▲ مغایرت "&amp;TEXT(IF($G429="",0,$G429)-$H429,"#,##0"))))</f>
        <v/>
      </c>
      <c r="J429" s="18" t="n"/>
    </row>
    <row r="430">
      <c r="A430" s="19">
        <f>IF($B430="","",COUNTA($B$9:$B430))</f>
        <v/>
      </c>
      <c r="B430" s="11" t="n"/>
      <c r="C430" s="12" t="n"/>
      <c r="D430" s="12" t="n"/>
      <c r="E430" s="13" t="n"/>
      <c r="F430" s="20">
        <f>IF($E430="","",IF($C430="دستمزد گروهی",IFERROR(VLOOKUP($E430,WGTbl,2,0),"کد ناشناخته"),IFERROR(IF(VLOOKUP($E430,AcctTblE,4,0)="","(بدون نام)",VLOOKUP($E430,AcctTblE,4,0)),"کد ناشناخته")))</f>
        <v/>
      </c>
      <c r="G430" s="15" t="n"/>
      <c r="H430" s="21">
        <f>IF(OR($C430&lt;&gt;"دستمزد گروهی",$D430=""),"",SUMIFS(ShareAmt,ShareLink,$D430))</f>
        <v/>
      </c>
      <c r="I430" s="22">
        <f>IF($C430&lt;&gt;"دستمزد گروهی","—",IF($H430="","",IF(ROUND($H430-IF($G430="",0,$G430),0)=0,"√","▲ مغایرت "&amp;TEXT(IF($G430="",0,$G430)-$H430,"#,##0"))))</f>
        <v/>
      </c>
      <c r="J430" s="18" t="n"/>
    </row>
    <row r="431">
      <c r="A431" s="10">
        <f>IF($B431="","",COUNTA($B$9:$B431))</f>
        <v/>
      </c>
      <c r="B431" s="11" t="n"/>
      <c r="C431" s="12" t="n"/>
      <c r="D431" s="12" t="n"/>
      <c r="E431" s="13" t="n"/>
      <c r="F431" s="14">
        <f>IF($E431="","",IF($C431="دستمزد گروهی",IFERROR(VLOOKUP($E431,WGTbl,2,0),"کد ناشناخته"),IFERROR(IF(VLOOKUP($E431,AcctTblE,4,0)="","(بدون نام)",VLOOKUP($E431,AcctTblE,4,0)),"کد ناشناخته")))</f>
        <v/>
      </c>
      <c r="G431" s="15" t="n"/>
      <c r="H431" s="16">
        <f>IF(OR($C431&lt;&gt;"دستمزد گروهی",$D431=""),"",SUMIFS(ShareAmt,ShareLink,$D431))</f>
        <v/>
      </c>
      <c r="I431" s="17">
        <f>IF($C431&lt;&gt;"دستمزد گروهی","—",IF($H431="","",IF(ROUND($H431-IF($G431="",0,$G431),0)=0,"√","▲ مغایرت "&amp;TEXT(IF($G431="",0,$G431)-$H431,"#,##0"))))</f>
        <v/>
      </c>
      <c r="J431" s="18" t="n"/>
    </row>
    <row r="432">
      <c r="A432" s="19">
        <f>IF($B432="","",COUNTA($B$9:$B432))</f>
        <v/>
      </c>
      <c r="B432" s="11" t="n"/>
      <c r="C432" s="12" t="n"/>
      <c r="D432" s="12" t="n"/>
      <c r="E432" s="13" t="n"/>
      <c r="F432" s="20">
        <f>IF($E432="","",IF($C432="دستمزد گروهی",IFERROR(VLOOKUP($E432,WGTbl,2,0),"کد ناشناخته"),IFERROR(IF(VLOOKUP($E432,AcctTblE,4,0)="","(بدون نام)",VLOOKUP($E432,AcctTblE,4,0)),"کد ناشناخته")))</f>
        <v/>
      </c>
      <c r="G432" s="15" t="n"/>
      <c r="H432" s="21">
        <f>IF(OR($C432&lt;&gt;"دستمزد گروهی",$D432=""),"",SUMIFS(ShareAmt,ShareLink,$D432))</f>
        <v/>
      </c>
      <c r="I432" s="22">
        <f>IF($C432&lt;&gt;"دستمزد گروهی","—",IF($H432="","",IF(ROUND($H432-IF($G432="",0,$G432),0)=0,"√","▲ مغایرت "&amp;TEXT(IF($G432="",0,$G432)-$H432,"#,##0"))))</f>
        <v/>
      </c>
      <c r="J432" s="18" t="n"/>
    </row>
    <row r="433">
      <c r="A433" s="10">
        <f>IF($B433="","",COUNTA($B$9:$B433))</f>
        <v/>
      </c>
      <c r="B433" s="11" t="n"/>
      <c r="C433" s="12" t="n"/>
      <c r="D433" s="12" t="n"/>
      <c r="E433" s="13" t="n"/>
      <c r="F433" s="14">
        <f>IF($E433="","",IF($C433="دستمزد گروهی",IFERROR(VLOOKUP($E433,WGTbl,2,0),"کد ناشناخته"),IFERROR(IF(VLOOKUP($E433,AcctTblE,4,0)="","(بدون نام)",VLOOKUP($E433,AcctTblE,4,0)),"کد ناشناخته")))</f>
        <v/>
      </c>
      <c r="G433" s="15" t="n"/>
      <c r="H433" s="16">
        <f>IF(OR($C433&lt;&gt;"دستمزد گروهی",$D433=""),"",SUMIFS(ShareAmt,ShareLink,$D433))</f>
        <v/>
      </c>
      <c r="I433" s="17">
        <f>IF($C433&lt;&gt;"دستمزد گروهی","—",IF($H433="","",IF(ROUND($H433-IF($G433="",0,$G433),0)=0,"√","▲ مغایرت "&amp;TEXT(IF($G433="",0,$G433)-$H433,"#,##0"))))</f>
        <v/>
      </c>
      <c r="J433" s="18" t="n"/>
    </row>
    <row r="434">
      <c r="A434" s="19">
        <f>IF($B434="","",COUNTA($B$9:$B434))</f>
        <v/>
      </c>
      <c r="B434" s="11" t="n"/>
      <c r="C434" s="12" t="n"/>
      <c r="D434" s="12" t="n"/>
      <c r="E434" s="13" t="n"/>
      <c r="F434" s="20">
        <f>IF($E434="","",IF($C434="دستمزد گروهی",IFERROR(VLOOKUP($E434,WGTbl,2,0),"کد ناشناخته"),IFERROR(IF(VLOOKUP($E434,AcctTblE,4,0)="","(بدون نام)",VLOOKUP($E434,AcctTblE,4,0)),"کد ناشناخته")))</f>
        <v/>
      </c>
      <c r="G434" s="15" t="n"/>
      <c r="H434" s="21">
        <f>IF(OR($C434&lt;&gt;"دستمزد گروهی",$D434=""),"",SUMIFS(ShareAmt,ShareLink,$D434))</f>
        <v/>
      </c>
      <c r="I434" s="22">
        <f>IF($C434&lt;&gt;"دستمزد گروهی","—",IF($H434="","",IF(ROUND($H434-IF($G434="",0,$G434),0)=0,"√","▲ مغایرت "&amp;TEXT(IF($G434="",0,$G434)-$H434,"#,##0"))))</f>
        <v/>
      </c>
      <c r="J434" s="18" t="n"/>
    </row>
    <row r="435">
      <c r="A435" s="10">
        <f>IF($B435="","",COUNTA($B$9:$B435))</f>
        <v/>
      </c>
      <c r="B435" s="11" t="n"/>
      <c r="C435" s="12" t="n"/>
      <c r="D435" s="12" t="n"/>
      <c r="E435" s="13" t="n"/>
      <c r="F435" s="14">
        <f>IF($E435="","",IF($C435="دستمزد گروهی",IFERROR(VLOOKUP($E435,WGTbl,2,0),"کد ناشناخته"),IFERROR(IF(VLOOKUP($E435,AcctTblE,4,0)="","(بدون نام)",VLOOKUP($E435,AcctTblE,4,0)),"کد ناشناخته")))</f>
        <v/>
      </c>
      <c r="G435" s="15" t="n"/>
      <c r="H435" s="16">
        <f>IF(OR($C435&lt;&gt;"دستمزد گروهی",$D435=""),"",SUMIFS(ShareAmt,ShareLink,$D435))</f>
        <v/>
      </c>
      <c r="I435" s="17">
        <f>IF($C435&lt;&gt;"دستمزد گروهی","—",IF($H435="","",IF(ROUND($H435-IF($G435="",0,$G435),0)=0,"√","▲ مغایرت "&amp;TEXT(IF($G435="",0,$G435)-$H435,"#,##0"))))</f>
        <v/>
      </c>
      <c r="J435" s="18" t="n"/>
    </row>
    <row r="436">
      <c r="A436" s="19">
        <f>IF($B436="","",COUNTA($B$9:$B436))</f>
        <v/>
      </c>
      <c r="B436" s="11" t="n"/>
      <c r="C436" s="12" t="n"/>
      <c r="D436" s="12" t="n"/>
      <c r="E436" s="13" t="n"/>
      <c r="F436" s="20">
        <f>IF($E436="","",IF($C436="دستمزد گروهی",IFERROR(VLOOKUP($E436,WGTbl,2,0),"کد ناشناخته"),IFERROR(IF(VLOOKUP($E436,AcctTblE,4,0)="","(بدون نام)",VLOOKUP($E436,AcctTblE,4,0)),"کد ناشناخته")))</f>
        <v/>
      </c>
      <c r="G436" s="15" t="n"/>
      <c r="H436" s="21">
        <f>IF(OR($C436&lt;&gt;"دستمزد گروهی",$D436=""),"",SUMIFS(ShareAmt,ShareLink,$D436))</f>
        <v/>
      </c>
      <c r="I436" s="22">
        <f>IF($C436&lt;&gt;"دستمزد گروهی","—",IF($H436="","",IF(ROUND($H436-IF($G436="",0,$G436),0)=0,"√","▲ مغایرت "&amp;TEXT(IF($G436="",0,$G436)-$H436,"#,##0"))))</f>
        <v/>
      </c>
      <c r="J436" s="18" t="n"/>
    </row>
    <row r="437">
      <c r="A437" s="10">
        <f>IF($B437="","",COUNTA($B$9:$B437))</f>
        <v/>
      </c>
      <c r="B437" s="11" t="n"/>
      <c r="C437" s="12" t="n"/>
      <c r="D437" s="12" t="n"/>
      <c r="E437" s="13" t="n"/>
      <c r="F437" s="14">
        <f>IF($E437="","",IF($C437="دستمزد گروهی",IFERROR(VLOOKUP($E437,WGTbl,2,0),"کد ناشناخته"),IFERROR(IF(VLOOKUP($E437,AcctTblE,4,0)="","(بدون نام)",VLOOKUP($E437,AcctTblE,4,0)),"کد ناشناخته")))</f>
        <v/>
      </c>
      <c r="G437" s="15" t="n"/>
      <c r="H437" s="16">
        <f>IF(OR($C437&lt;&gt;"دستمزد گروهی",$D437=""),"",SUMIFS(ShareAmt,ShareLink,$D437))</f>
        <v/>
      </c>
      <c r="I437" s="17">
        <f>IF($C437&lt;&gt;"دستمزد گروهی","—",IF($H437="","",IF(ROUND($H437-IF($G437="",0,$G437),0)=0,"√","▲ مغایرت "&amp;TEXT(IF($G437="",0,$G437)-$H437,"#,##0"))))</f>
        <v/>
      </c>
      <c r="J437" s="18" t="n"/>
    </row>
    <row r="438">
      <c r="A438" s="19">
        <f>IF($B438="","",COUNTA($B$9:$B438))</f>
        <v/>
      </c>
      <c r="B438" s="11" t="n"/>
      <c r="C438" s="12" t="n"/>
      <c r="D438" s="12" t="n"/>
      <c r="E438" s="13" t="n"/>
      <c r="F438" s="20">
        <f>IF($E438="","",IF($C438="دستمزد گروهی",IFERROR(VLOOKUP($E438,WGTbl,2,0),"کد ناشناخته"),IFERROR(IF(VLOOKUP($E438,AcctTblE,4,0)="","(بدون نام)",VLOOKUP($E438,AcctTblE,4,0)),"کد ناشناخته")))</f>
        <v/>
      </c>
      <c r="G438" s="15" t="n"/>
      <c r="H438" s="21">
        <f>IF(OR($C438&lt;&gt;"دستمزد گروهی",$D438=""),"",SUMIFS(ShareAmt,ShareLink,$D438))</f>
        <v/>
      </c>
      <c r="I438" s="22">
        <f>IF($C438&lt;&gt;"دستمزد گروهی","—",IF($H438="","",IF(ROUND($H438-IF($G438="",0,$G438),0)=0,"√","▲ مغایرت "&amp;TEXT(IF($G438="",0,$G438)-$H438,"#,##0"))))</f>
        <v/>
      </c>
      <c r="J438" s="18" t="n"/>
    </row>
    <row r="439">
      <c r="A439" s="10">
        <f>IF($B439="","",COUNTA($B$9:$B439))</f>
        <v/>
      </c>
      <c r="B439" s="11" t="n"/>
      <c r="C439" s="12" t="n"/>
      <c r="D439" s="12" t="n"/>
      <c r="E439" s="13" t="n"/>
      <c r="F439" s="14">
        <f>IF($E439="","",IF($C439="دستمزد گروهی",IFERROR(VLOOKUP($E439,WGTbl,2,0),"کد ناشناخته"),IFERROR(IF(VLOOKUP($E439,AcctTblE,4,0)="","(بدون نام)",VLOOKUP($E439,AcctTblE,4,0)),"کد ناشناخته")))</f>
        <v/>
      </c>
      <c r="G439" s="15" t="n"/>
      <c r="H439" s="16">
        <f>IF(OR($C439&lt;&gt;"دستمزد گروهی",$D439=""),"",SUMIFS(ShareAmt,ShareLink,$D439))</f>
        <v/>
      </c>
      <c r="I439" s="17">
        <f>IF($C439&lt;&gt;"دستمزد گروهی","—",IF($H439="","",IF(ROUND($H439-IF($G439="",0,$G439),0)=0,"√","▲ مغایرت "&amp;TEXT(IF($G439="",0,$G439)-$H439,"#,##0"))))</f>
        <v/>
      </c>
      <c r="J439" s="18" t="n"/>
    </row>
    <row r="440">
      <c r="A440" s="19">
        <f>IF($B440="","",COUNTA($B$9:$B440))</f>
        <v/>
      </c>
      <c r="B440" s="11" t="n"/>
      <c r="C440" s="12" t="n"/>
      <c r="D440" s="12" t="n"/>
      <c r="E440" s="13" t="n"/>
      <c r="F440" s="20">
        <f>IF($E440="","",IF($C440="دستمزد گروهی",IFERROR(VLOOKUP($E440,WGTbl,2,0),"کد ناشناخته"),IFERROR(IF(VLOOKUP($E440,AcctTblE,4,0)="","(بدون نام)",VLOOKUP($E440,AcctTblE,4,0)),"کد ناشناخته")))</f>
        <v/>
      </c>
      <c r="G440" s="15" t="n"/>
      <c r="H440" s="21">
        <f>IF(OR($C440&lt;&gt;"دستمزد گروهی",$D440=""),"",SUMIFS(ShareAmt,ShareLink,$D440))</f>
        <v/>
      </c>
      <c r="I440" s="22">
        <f>IF($C440&lt;&gt;"دستمزد گروهی","—",IF($H440="","",IF(ROUND($H440-IF($G440="",0,$G440),0)=0,"√","▲ مغایرت "&amp;TEXT(IF($G440="",0,$G440)-$H440,"#,##0"))))</f>
        <v/>
      </c>
      <c r="J440" s="18" t="n"/>
    </row>
    <row r="441">
      <c r="A441" s="10">
        <f>IF($B441="","",COUNTA($B$9:$B441))</f>
        <v/>
      </c>
      <c r="B441" s="11" t="n"/>
      <c r="C441" s="12" t="n"/>
      <c r="D441" s="12" t="n"/>
      <c r="E441" s="13" t="n"/>
      <c r="F441" s="14">
        <f>IF($E441="","",IF($C441="دستمزد گروهی",IFERROR(VLOOKUP($E441,WGTbl,2,0),"کد ناشناخته"),IFERROR(IF(VLOOKUP($E441,AcctTblE,4,0)="","(بدون نام)",VLOOKUP($E441,AcctTblE,4,0)),"کد ناشناخته")))</f>
        <v/>
      </c>
      <c r="G441" s="15" t="n"/>
      <c r="H441" s="16">
        <f>IF(OR($C441&lt;&gt;"دستمزد گروهی",$D441=""),"",SUMIFS(ShareAmt,ShareLink,$D441))</f>
        <v/>
      </c>
      <c r="I441" s="17">
        <f>IF($C441&lt;&gt;"دستمزد گروهی","—",IF($H441="","",IF(ROUND($H441-IF($G441="",0,$G441),0)=0,"√","▲ مغایرت "&amp;TEXT(IF($G441="",0,$G441)-$H441,"#,##0"))))</f>
        <v/>
      </c>
      <c r="J441" s="18" t="n"/>
    </row>
    <row r="442">
      <c r="A442" s="19">
        <f>IF($B442="","",COUNTA($B$9:$B442))</f>
        <v/>
      </c>
      <c r="B442" s="11" t="n"/>
      <c r="C442" s="12" t="n"/>
      <c r="D442" s="12" t="n"/>
      <c r="E442" s="13" t="n"/>
      <c r="F442" s="20">
        <f>IF($E442="","",IF($C442="دستمزد گروهی",IFERROR(VLOOKUP($E442,WGTbl,2,0),"کد ناشناخته"),IFERROR(IF(VLOOKUP($E442,AcctTblE,4,0)="","(بدون نام)",VLOOKUP($E442,AcctTblE,4,0)),"کد ناشناخته")))</f>
        <v/>
      </c>
      <c r="G442" s="15" t="n"/>
      <c r="H442" s="21">
        <f>IF(OR($C442&lt;&gt;"دستمزد گروهی",$D442=""),"",SUMIFS(ShareAmt,ShareLink,$D442))</f>
        <v/>
      </c>
      <c r="I442" s="22">
        <f>IF($C442&lt;&gt;"دستمزد گروهی","—",IF($H442="","",IF(ROUND($H442-IF($G442="",0,$G442),0)=0,"√","▲ مغایرت "&amp;TEXT(IF($G442="",0,$G442)-$H442,"#,##0"))))</f>
        <v/>
      </c>
      <c r="J442" s="18" t="n"/>
    </row>
    <row r="443">
      <c r="A443" s="10">
        <f>IF($B443="","",COUNTA($B$9:$B443))</f>
        <v/>
      </c>
      <c r="B443" s="11" t="n"/>
      <c r="C443" s="12" t="n"/>
      <c r="D443" s="12" t="n"/>
      <c r="E443" s="13" t="n"/>
      <c r="F443" s="14">
        <f>IF($E443="","",IF($C443="دستمزد گروهی",IFERROR(VLOOKUP($E443,WGTbl,2,0),"کد ناشناخته"),IFERROR(IF(VLOOKUP($E443,AcctTblE,4,0)="","(بدون نام)",VLOOKUP($E443,AcctTblE,4,0)),"کد ناشناخته")))</f>
        <v/>
      </c>
      <c r="G443" s="15" t="n"/>
      <c r="H443" s="16">
        <f>IF(OR($C443&lt;&gt;"دستمزد گروهی",$D443=""),"",SUMIFS(ShareAmt,ShareLink,$D443))</f>
        <v/>
      </c>
      <c r="I443" s="17">
        <f>IF($C443&lt;&gt;"دستمزد گروهی","—",IF($H443="","",IF(ROUND($H443-IF($G443="",0,$G443),0)=0,"√","▲ مغایرت "&amp;TEXT(IF($G443="",0,$G443)-$H443,"#,##0"))))</f>
        <v/>
      </c>
      <c r="J443" s="18" t="n"/>
    </row>
    <row r="444">
      <c r="A444" s="19">
        <f>IF($B444="","",COUNTA($B$9:$B444))</f>
        <v/>
      </c>
      <c r="B444" s="11" t="n"/>
      <c r="C444" s="12" t="n"/>
      <c r="D444" s="12" t="n"/>
      <c r="E444" s="13" t="n"/>
      <c r="F444" s="20">
        <f>IF($E444="","",IF($C444="دستمزد گروهی",IFERROR(VLOOKUP($E444,WGTbl,2,0),"کد ناشناخته"),IFERROR(IF(VLOOKUP($E444,AcctTblE,4,0)="","(بدون نام)",VLOOKUP($E444,AcctTblE,4,0)),"کد ناشناخته")))</f>
        <v/>
      </c>
      <c r="G444" s="15" t="n"/>
      <c r="H444" s="21">
        <f>IF(OR($C444&lt;&gt;"دستمزد گروهی",$D444=""),"",SUMIFS(ShareAmt,ShareLink,$D444))</f>
        <v/>
      </c>
      <c r="I444" s="22">
        <f>IF($C444&lt;&gt;"دستمزد گروهی","—",IF($H444="","",IF(ROUND($H444-IF($G444="",0,$G444),0)=0,"√","▲ مغایرت "&amp;TEXT(IF($G444="",0,$G444)-$H444,"#,##0"))))</f>
        <v/>
      </c>
      <c r="J444" s="18" t="n"/>
    </row>
    <row r="445">
      <c r="A445" s="10">
        <f>IF($B445="","",COUNTA($B$9:$B445))</f>
        <v/>
      </c>
      <c r="B445" s="11" t="n"/>
      <c r="C445" s="12" t="n"/>
      <c r="D445" s="12" t="n"/>
      <c r="E445" s="13" t="n"/>
      <c r="F445" s="14">
        <f>IF($E445="","",IF($C445="دستمزد گروهی",IFERROR(VLOOKUP($E445,WGTbl,2,0),"کد ناشناخته"),IFERROR(IF(VLOOKUP($E445,AcctTblE,4,0)="","(بدون نام)",VLOOKUP($E445,AcctTblE,4,0)),"کد ناشناخته")))</f>
        <v/>
      </c>
      <c r="G445" s="15" t="n"/>
      <c r="H445" s="16">
        <f>IF(OR($C445&lt;&gt;"دستمزد گروهی",$D445=""),"",SUMIFS(ShareAmt,ShareLink,$D445))</f>
        <v/>
      </c>
      <c r="I445" s="17">
        <f>IF($C445&lt;&gt;"دستمزد گروهی","—",IF($H445="","",IF(ROUND($H445-IF($G445="",0,$G445),0)=0,"√","▲ مغایرت "&amp;TEXT(IF($G445="",0,$G445)-$H445,"#,##0"))))</f>
        <v/>
      </c>
      <c r="J445" s="18" t="n"/>
    </row>
    <row r="446">
      <c r="A446" s="19">
        <f>IF($B446="","",COUNTA($B$9:$B446))</f>
        <v/>
      </c>
      <c r="B446" s="11" t="n"/>
      <c r="C446" s="12" t="n"/>
      <c r="D446" s="12" t="n"/>
      <c r="E446" s="13" t="n"/>
      <c r="F446" s="20">
        <f>IF($E446="","",IF($C446="دستمزد گروهی",IFERROR(VLOOKUP($E446,WGTbl,2,0),"کد ناشناخته"),IFERROR(IF(VLOOKUP($E446,AcctTblE,4,0)="","(بدون نام)",VLOOKUP($E446,AcctTblE,4,0)),"کد ناشناخته")))</f>
        <v/>
      </c>
      <c r="G446" s="15" t="n"/>
      <c r="H446" s="21">
        <f>IF(OR($C446&lt;&gt;"دستمزد گروهی",$D446=""),"",SUMIFS(ShareAmt,ShareLink,$D446))</f>
        <v/>
      </c>
      <c r="I446" s="22">
        <f>IF($C446&lt;&gt;"دستمزد گروهی","—",IF($H446="","",IF(ROUND($H446-IF($G446="",0,$G446),0)=0,"√","▲ مغایرت "&amp;TEXT(IF($G446="",0,$G446)-$H446,"#,##0"))))</f>
        <v/>
      </c>
      <c r="J446" s="18" t="n"/>
    </row>
    <row r="447">
      <c r="A447" s="10">
        <f>IF($B447="","",COUNTA($B$9:$B447))</f>
        <v/>
      </c>
      <c r="B447" s="11" t="n"/>
      <c r="C447" s="12" t="n"/>
      <c r="D447" s="12" t="n"/>
      <c r="E447" s="13" t="n"/>
      <c r="F447" s="14">
        <f>IF($E447="","",IF($C447="دستمزد گروهی",IFERROR(VLOOKUP($E447,WGTbl,2,0),"کد ناشناخته"),IFERROR(IF(VLOOKUP($E447,AcctTblE,4,0)="","(بدون نام)",VLOOKUP($E447,AcctTblE,4,0)),"کد ناشناخته")))</f>
        <v/>
      </c>
      <c r="G447" s="15" t="n"/>
      <c r="H447" s="16">
        <f>IF(OR($C447&lt;&gt;"دستمزد گروهی",$D447=""),"",SUMIFS(ShareAmt,ShareLink,$D447))</f>
        <v/>
      </c>
      <c r="I447" s="17">
        <f>IF($C447&lt;&gt;"دستمزد گروهی","—",IF($H447="","",IF(ROUND($H447-IF($G447="",0,$G447),0)=0,"√","▲ مغایرت "&amp;TEXT(IF($G447="",0,$G447)-$H447,"#,##0"))))</f>
        <v/>
      </c>
      <c r="J447" s="18" t="n"/>
    </row>
    <row r="448">
      <c r="A448" s="19">
        <f>IF($B448="","",COUNTA($B$9:$B448))</f>
        <v/>
      </c>
      <c r="B448" s="11" t="n"/>
      <c r="C448" s="12" t="n"/>
      <c r="D448" s="12" t="n"/>
      <c r="E448" s="13" t="n"/>
      <c r="F448" s="20">
        <f>IF($E448="","",IF($C448="دستمزد گروهی",IFERROR(VLOOKUP($E448,WGTbl,2,0),"کد ناشناخته"),IFERROR(IF(VLOOKUP($E448,AcctTblE,4,0)="","(بدون نام)",VLOOKUP($E448,AcctTblE,4,0)),"کد ناشناخته")))</f>
        <v/>
      </c>
      <c r="G448" s="15" t="n"/>
      <c r="H448" s="21">
        <f>IF(OR($C448&lt;&gt;"دستمزد گروهی",$D448=""),"",SUMIFS(ShareAmt,ShareLink,$D448))</f>
        <v/>
      </c>
      <c r="I448" s="22">
        <f>IF($C448&lt;&gt;"دستمزد گروهی","—",IF($H448="","",IF(ROUND($H448-IF($G448="",0,$G448),0)=0,"√","▲ مغایرت "&amp;TEXT(IF($G448="",0,$G448)-$H448,"#,##0"))))</f>
        <v/>
      </c>
      <c r="J448" s="18" t="n"/>
    </row>
    <row r="449">
      <c r="A449" s="10">
        <f>IF($B449="","",COUNTA($B$9:$B449))</f>
        <v/>
      </c>
      <c r="B449" s="11" t="n"/>
      <c r="C449" s="12" t="n"/>
      <c r="D449" s="12" t="n"/>
      <c r="E449" s="13" t="n"/>
      <c r="F449" s="14">
        <f>IF($E449="","",IF($C449="دستمزد گروهی",IFERROR(VLOOKUP($E449,WGTbl,2,0),"کد ناشناخته"),IFERROR(IF(VLOOKUP($E449,AcctTblE,4,0)="","(بدون نام)",VLOOKUP($E449,AcctTblE,4,0)),"کد ناشناخته")))</f>
        <v/>
      </c>
      <c r="G449" s="15" t="n"/>
      <c r="H449" s="16">
        <f>IF(OR($C449&lt;&gt;"دستمزد گروهی",$D449=""),"",SUMIFS(ShareAmt,ShareLink,$D449))</f>
        <v/>
      </c>
      <c r="I449" s="17">
        <f>IF($C449&lt;&gt;"دستمزد گروهی","—",IF($H449="","",IF(ROUND($H449-IF($G449="",0,$G449),0)=0,"√","▲ مغایرت "&amp;TEXT(IF($G449="",0,$G449)-$H449,"#,##0"))))</f>
        <v/>
      </c>
      <c r="J449" s="18" t="n"/>
    </row>
    <row r="450">
      <c r="A450" s="19">
        <f>IF($B450="","",COUNTA($B$9:$B450))</f>
        <v/>
      </c>
      <c r="B450" s="11" t="n"/>
      <c r="C450" s="12" t="n"/>
      <c r="D450" s="12" t="n"/>
      <c r="E450" s="13" t="n"/>
      <c r="F450" s="20">
        <f>IF($E450="","",IF($C450="دستمزد گروهی",IFERROR(VLOOKUP($E450,WGTbl,2,0),"کد ناشناخته"),IFERROR(IF(VLOOKUP($E450,AcctTblE,4,0)="","(بدون نام)",VLOOKUP($E450,AcctTblE,4,0)),"کد ناشناخته")))</f>
        <v/>
      </c>
      <c r="G450" s="15" t="n"/>
      <c r="H450" s="21">
        <f>IF(OR($C450&lt;&gt;"دستمزد گروهی",$D450=""),"",SUMIFS(ShareAmt,ShareLink,$D450))</f>
        <v/>
      </c>
      <c r="I450" s="22">
        <f>IF($C450&lt;&gt;"دستمزد گروهی","—",IF($H450="","",IF(ROUND($H450-IF($G450="",0,$G450),0)=0,"√","▲ مغایرت "&amp;TEXT(IF($G450="",0,$G450)-$H450,"#,##0"))))</f>
        <v/>
      </c>
      <c r="J450" s="18" t="n"/>
    </row>
    <row r="451">
      <c r="A451" s="10">
        <f>IF($B451="","",COUNTA($B$9:$B451))</f>
        <v/>
      </c>
      <c r="B451" s="11" t="n"/>
      <c r="C451" s="12" t="n"/>
      <c r="D451" s="12" t="n"/>
      <c r="E451" s="13" t="n"/>
      <c r="F451" s="14">
        <f>IF($E451="","",IF($C451="دستمزد گروهی",IFERROR(VLOOKUP($E451,WGTbl,2,0),"کد ناشناخته"),IFERROR(IF(VLOOKUP($E451,AcctTblE,4,0)="","(بدون نام)",VLOOKUP($E451,AcctTblE,4,0)),"کد ناشناخته")))</f>
        <v/>
      </c>
      <c r="G451" s="15" t="n"/>
      <c r="H451" s="16">
        <f>IF(OR($C451&lt;&gt;"دستمزد گروهی",$D451=""),"",SUMIFS(ShareAmt,ShareLink,$D451))</f>
        <v/>
      </c>
      <c r="I451" s="17">
        <f>IF($C451&lt;&gt;"دستمزد گروهی","—",IF($H451="","",IF(ROUND($H451-IF($G451="",0,$G451),0)=0,"√","▲ مغایرت "&amp;TEXT(IF($G451="",0,$G451)-$H451,"#,##0"))))</f>
        <v/>
      </c>
      <c r="J451" s="18" t="n"/>
    </row>
    <row r="452">
      <c r="A452" s="19">
        <f>IF($B452="","",COUNTA($B$9:$B452))</f>
        <v/>
      </c>
      <c r="B452" s="11" t="n"/>
      <c r="C452" s="12" t="n"/>
      <c r="D452" s="12" t="n"/>
      <c r="E452" s="13" t="n"/>
      <c r="F452" s="20">
        <f>IF($E452="","",IF($C452="دستمزد گروهی",IFERROR(VLOOKUP($E452,WGTbl,2,0),"کد ناشناخته"),IFERROR(IF(VLOOKUP($E452,AcctTblE,4,0)="","(بدون نام)",VLOOKUP($E452,AcctTblE,4,0)),"کد ناشناخته")))</f>
        <v/>
      </c>
      <c r="G452" s="15" t="n"/>
      <c r="H452" s="21">
        <f>IF(OR($C452&lt;&gt;"دستمزد گروهی",$D452=""),"",SUMIFS(ShareAmt,ShareLink,$D452))</f>
        <v/>
      </c>
      <c r="I452" s="22">
        <f>IF($C452&lt;&gt;"دستمزد گروهی","—",IF($H452="","",IF(ROUND($H452-IF($G452="",0,$G452),0)=0,"√","▲ مغایرت "&amp;TEXT(IF($G452="",0,$G452)-$H452,"#,##0"))))</f>
        <v/>
      </c>
      <c r="J452" s="18" t="n"/>
    </row>
    <row r="453">
      <c r="A453" s="10">
        <f>IF($B453="","",COUNTA($B$9:$B453))</f>
        <v/>
      </c>
      <c r="B453" s="11" t="n"/>
      <c r="C453" s="12" t="n"/>
      <c r="D453" s="12" t="n"/>
      <c r="E453" s="13" t="n"/>
      <c r="F453" s="14">
        <f>IF($E453="","",IF($C453="دستمزد گروهی",IFERROR(VLOOKUP($E453,WGTbl,2,0),"کد ناشناخته"),IFERROR(IF(VLOOKUP($E453,AcctTblE,4,0)="","(بدون نام)",VLOOKUP($E453,AcctTblE,4,0)),"کد ناشناخته")))</f>
        <v/>
      </c>
      <c r="G453" s="15" t="n"/>
      <c r="H453" s="16">
        <f>IF(OR($C453&lt;&gt;"دستمزد گروهی",$D453=""),"",SUMIFS(ShareAmt,ShareLink,$D453))</f>
        <v/>
      </c>
      <c r="I453" s="17">
        <f>IF($C453&lt;&gt;"دستمزد گروهی","—",IF($H453="","",IF(ROUND($H453-IF($G453="",0,$G453),0)=0,"√","▲ مغایرت "&amp;TEXT(IF($G453="",0,$G453)-$H453,"#,##0"))))</f>
        <v/>
      </c>
      <c r="J453" s="18" t="n"/>
    </row>
    <row r="454">
      <c r="A454" s="19">
        <f>IF($B454="","",COUNTA($B$9:$B454))</f>
        <v/>
      </c>
      <c r="B454" s="11" t="n"/>
      <c r="C454" s="12" t="n"/>
      <c r="D454" s="12" t="n"/>
      <c r="E454" s="13" t="n"/>
      <c r="F454" s="20">
        <f>IF($E454="","",IF($C454="دستمزد گروهی",IFERROR(VLOOKUP($E454,WGTbl,2,0),"کد ناشناخته"),IFERROR(IF(VLOOKUP($E454,AcctTblE,4,0)="","(بدون نام)",VLOOKUP($E454,AcctTblE,4,0)),"کد ناشناخته")))</f>
        <v/>
      </c>
      <c r="G454" s="15" t="n"/>
      <c r="H454" s="21">
        <f>IF(OR($C454&lt;&gt;"دستمزد گروهی",$D454=""),"",SUMIFS(ShareAmt,ShareLink,$D454))</f>
        <v/>
      </c>
      <c r="I454" s="22">
        <f>IF($C454&lt;&gt;"دستمزد گروهی","—",IF($H454="","",IF(ROUND($H454-IF($G454="",0,$G454),0)=0,"√","▲ مغایرت "&amp;TEXT(IF($G454="",0,$G454)-$H454,"#,##0"))))</f>
        <v/>
      </c>
      <c r="J454" s="18" t="n"/>
    </row>
    <row r="455">
      <c r="A455" s="10">
        <f>IF($B455="","",COUNTA($B$9:$B455))</f>
        <v/>
      </c>
      <c r="B455" s="11" t="n"/>
      <c r="C455" s="12" t="n"/>
      <c r="D455" s="12" t="n"/>
      <c r="E455" s="13" t="n"/>
      <c r="F455" s="14">
        <f>IF($E455="","",IF($C455="دستمزد گروهی",IFERROR(VLOOKUP($E455,WGTbl,2,0),"کد ناشناخته"),IFERROR(IF(VLOOKUP($E455,AcctTblE,4,0)="","(بدون نام)",VLOOKUP($E455,AcctTblE,4,0)),"کد ناشناخته")))</f>
        <v/>
      </c>
      <c r="G455" s="15" t="n"/>
      <c r="H455" s="16">
        <f>IF(OR($C455&lt;&gt;"دستمزد گروهی",$D455=""),"",SUMIFS(ShareAmt,ShareLink,$D455))</f>
        <v/>
      </c>
      <c r="I455" s="17">
        <f>IF($C455&lt;&gt;"دستمزد گروهی","—",IF($H455="","",IF(ROUND($H455-IF($G455="",0,$G455),0)=0,"√","▲ مغایرت "&amp;TEXT(IF($G455="",0,$G455)-$H455,"#,##0"))))</f>
        <v/>
      </c>
      <c r="J455" s="18" t="n"/>
    </row>
    <row r="456">
      <c r="A456" s="19">
        <f>IF($B456="","",COUNTA($B$9:$B456))</f>
        <v/>
      </c>
      <c r="B456" s="11" t="n"/>
      <c r="C456" s="12" t="n"/>
      <c r="D456" s="12" t="n"/>
      <c r="E456" s="13" t="n"/>
      <c r="F456" s="20">
        <f>IF($E456="","",IF($C456="دستمزد گروهی",IFERROR(VLOOKUP($E456,WGTbl,2,0),"کد ناشناخته"),IFERROR(IF(VLOOKUP($E456,AcctTblE,4,0)="","(بدون نام)",VLOOKUP($E456,AcctTblE,4,0)),"کد ناشناخته")))</f>
        <v/>
      </c>
      <c r="G456" s="15" t="n"/>
      <c r="H456" s="21">
        <f>IF(OR($C456&lt;&gt;"دستمزد گروهی",$D456=""),"",SUMIFS(ShareAmt,ShareLink,$D456))</f>
        <v/>
      </c>
      <c r="I456" s="22">
        <f>IF($C456&lt;&gt;"دستمزد گروهی","—",IF($H456="","",IF(ROUND($H456-IF($G456="",0,$G456),0)=0,"√","▲ مغایرت "&amp;TEXT(IF($G456="",0,$G456)-$H456,"#,##0"))))</f>
        <v/>
      </c>
      <c r="J456" s="18" t="n"/>
    </row>
    <row r="457">
      <c r="A457" s="10">
        <f>IF($B457="","",COUNTA($B$9:$B457))</f>
        <v/>
      </c>
      <c r="B457" s="11" t="n"/>
      <c r="C457" s="12" t="n"/>
      <c r="D457" s="12" t="n"/>
      <c r="E457" s="13" t="n"/>
      <c r="F457" s="14">
        <f>IF($E457="","",IF($C457="دستمزد گروهی",IFERROR(VLOOKUP($E457,WGTbl,2,0),"کد ناشناخته"),IFERROR(IF(VLOOKUP($E457,AcctTblE,4,0)="","(بدون نام)",VLOOKUP($E457,AcctTblE,4,0)),"کد ناشناخته")))</f>
        <v/>
      </c>
      <c r="G457" s="15" t="n"/>
      <c r="H457" s="16">
        <f>IF(OR($C457&lt;&gt;"دستمزد گروهی",$D457=""),"",SUMIFS(ShareAmt,ShareLink,$D457))</f>
        <v/>
      </c>
      <c r="I457" s="17">
        <f>IF($C457&lt;&gt;"دستمزد گروهی","—",IF($H457="","",IF(ROUND($H457-IF($G457="",0,$G457),0)=0,"√","▲ مغایرت "&amp;TEXT(IF($G457="",0,$G457)-$H457,"#,##0"))))</f>
        <v/>
      </c>
      <c r="J457" s="18" t="n"/>
    </row>
    <row r="458">
      <c r="A458" s="19">
        <f>IF($B458="","",COUNTA($B$9:$B458))</f>
        <v/>
      </c>
      <c r="B458" s="11" t="n"/>
      <c r="C458" s="12" t="n"/>
      <c r="D458" s="12" t="n"/>
      <c r="E458" s="13" t="n"/>
      <c r="F458" s="20">
        <f>IF($E458="","",IF($C458="دستمزد گروهی",IFERROR(VLOOKUP($E458,WGTbl,2,0),"کد ناشناخته"),IFERROR(IF(VLOOKUP($E458,AcctTblE,4,0)="","(بدون نام)",VLOOKUP($E458,AcctTblE,4,0)),"کد ناشناخته")))</f>
        <v/>
      </c>
      <c r="G458" s="15" t="n"/>
      <c r="H458" s="21">
        <f>IF(OR($C458&lt;&gt;"دستمزد گروهی",$D458=""),"",SUMIFS(ShareAmt,ShareLink,$D458))</f>
        <v/>
      </c>
      <c r="I458" s="22">
        <f>IF($C458&lt;&gt;"دستمزد گروهی","—",IF($H458="","",IF(ROUND($H458-IF($G458="",0,$G458),0)=0,"√","▲ مغایرت "&amp;TEXT(IF($G458="",0,$G458)-$H458,"#,##0"))))</f>
        <v/>
      </c>
      <c r="J458" s="18" t="n"/>
    </row>
    <row r="459">
      <c r="A459" s="10">
        <f>IF($B459="","",COUNTA($B$9:$B459))</f>
        <v/>
      </c>
      <c r="B459" s="11" t="n"/>
      <c r="C459" s="12" t="n"/>
      <c r="D459" s="12" t="n"/>
      <c r="E459" s="13" t="n"/>
      <c r="F459" s="14">
        <f>IF($E459="","",IF($C459="دستمزد گروهی",IFERROR(VLOOKUP($E459,WGTbl,2,0),"کد ناشناخته"),IFERROR(IF(VLOOKUP($E459,AcctTblE,4,0)="","(بدون نام)",VLOOKUP($E459,AcctTblE,4,0)),"کد ناشناخته")))</f>
        <v/>
      </c>
      <c r="G459" s="15" t="n"/>
      <c r="H459" s="16">
        <f>IF(OR($C459&lt;&gt;"دستمزد گروهی",$D459=""),"",SUMIFS(ShareAmt,ShareLink,$D459))</f>
        <v/>
      </c>
      <c r="I459" s="17">
        <f>IF($C459&lt;&gt;"دستمزد گروهی","—",IF($H459="","",IF(ROUND($H459-IF($G459="",0,$G459),0)=0,"√","▲ مغایرت "&amp;TEXT(IF($G459="",0,$G459)-$H459,"#,##0"))))</f>
        <v/>
      </c>
      <c r="J459" s="18" t="n"/>
    </row>
    <row r="460">
      <c r="A460" s="19">
        <f>IF($B460="","",COUNTA($B$9:$B460))</f>
        <v/>
      </c>
      <c r="B460" s="11" t="n"/>
      <c r="C460" s="12" t="n"/>
      <c r="D460" s="12" t="n"/>
      <c r="E460" s="13" t="n"/>
      <c r="F460" s="20">
        <f>IF($E460="","",IF($C460="دستمزد گروهی",IFERROR(VLOOKUP($E460,WGTbl,2,0),"کد ناشناخته"),IFERROR(IF(VLOOKUP($E460,AcctTblE,4,0)="","(بدون نام)",VLOOKUP($E460,AcctTblE,4,0)),"کد ناشناخته")))</f>
        <v/>
      </c>
      <c r="G460" s="15" t="n"/>
      <c r="H460" s="21">
        <f>IF(OR($C460&lt;&gt;"دستمزد گروهی",$D460=""),"",SUMIFS(ShareAmt,ShareLink,$D460))</f>
        <v/>
      </c>
      <c r="I460" s="22">
        <f>IF($C460&lt;&gt;"دستمزد گروهی","—",IF($H460="","",IF(ROUND($H460-IF($G460="",0,$G460),0)=0,"√","▲ مغایرت "&amp;TEXT(IF($G460="",0,$G460)-$H460,"#,##0"))))</f>
        <v/>
      </c>
      <c r="J460" s="18" t="n"/>
    </row>
    <row r="461">
      <c r="A461" s="10">
        <f>IF($B461="","",COUNTA($B$9:$B461))</f>
        <v/>
      </c>
      <c r="B461" s="11" t="n"/>
      <c r="C461" s="12" t="n"/>
      <c r="D461" s="12" t="n"/>
      <c r="E461" s="13" t="n"/>
      <c r="F461" s="14">
        <f>IF($E461="","",IF($C461="دستمزد گروهی",IFERROR(VLOOKUP($E461,WGTbl,2,0),"کد ناشناخته"),IFERROR(IF(VLOOKUP($E461,AcctTblE,4,0)="","(بدون نام)",VLOOKUP($E461,AcctTblE,4,0)),"کد ناشناخته")))</f>
        <v/>
      </c>
      <c r="G461" s="15" t="n"/>
      <c r="H461" s="16">
        <f>IF(OR($C461&lt;&gt;"دستمزد گروهی",$D461=""),"",SUMIFS(ShareAmt,ShareLink,$D461))</f>
        <v/>
      </c>
      <c r="I461" s="17">
        <f>IF($C461&lt;&gt;"دستمزد گروهی","—",IF($H461="","",IF(ROUND($H461-IF($G461="",0,$G461),0)=0,"√","▲ مغایرت "&amp;TEXT(IF($G461="",0,$G461)-$H461,"#,##0"))))</f>
        <v/>
      </c>
      <c r="J461" s="18" t="n"/>
    </row>
    <row r="462">
      <c r="A462" s="19">
        <f>IF($B462="","",COUNTA($B$9:$B462))</f>
        <v/>
      </c>
      <c r="B462" s="11" t="n"/>
      <c r="C462" s="12" t="n"/>
      <c r="D462" s="12" t="n"/>
      <c r="E462" s="13" t="n"/>
      <c r="F462" s="20">
        <f>IF($E462="","",IF($C462="دستمزد گروهی",IFERROR(VLOOKUP($E462,WGTbl,2,0),"کد ناشناخته"),IFERROR(IF(VLOOKUP($E462,AcctTblE,4,0)="","(بدون نام)",VLOOKUP($E462,AcctTblE,4,0)),"کد ناشناخته")))</f>
        <v/>
      </c>
      <c r="G462" s="15" t="n"/>
      <c r="H462" s="21">
        <f>IF(OR($C462&lt;&gt;"دستمزد گروهی",$D462=""),"",SUMIFS(ShareAmt,ShareLink,$D462))</f>
        <v/>
      </c>
      <c r="I462" s="22">
        <f>IF($C462&lt;&gt;"دستمزد گروهی","—",IF($H462="","",IF(ROUND($H462-IF($G462="",0,$G462),0)=0,"√","▲ مغایرت "&amp;TEXT(IF($G462="",0,$G462)-$H462,"#,##0"))))</f>
        <v/>
      </c>
      <c r="J462" s="18" t="n"/>
    </row>
    <row r="463">
      <c r="A463" s="10">
        <f>IF($B463="","",COUNTA($B$9:$B463))</f>
        <v/>
      </c>
      <c r="B463" s="11" t="n"/>
      <c r="C463" s="12" t="n"/>
      <c r="D463" s="12" t="n"/>
      <c r="E463" s="13" t="n"/>
      <c r="F463" s="14">
        <f>IF($E463="","",IF($C463="دستمزد گروهی",IFERROR(VLOOKUP($E463,WGTbl,2,0),"کد ناشناخته"),IFERROR(IF(VLOOKUP($E463,AcctTblE,4,0)="","(بدون نام)",VLOOKUP($E463,AcctTblE,4,0)),"کد ناشناخته")))</f>
        <v/>
      </c>
      <c r="G463" s="15" t="n"/>
      <c r="H463" s="16">
        <f>IF(OR($C463&lt;&gt;"دستمزد گروهی",$D463=""),"",SUMIFS(ShareAmt,ShareLink,$D463))</f>
        <v/>
      </c>
      <c r="I463" s="17">
        <f>IF($C463&lt;&gt;"دستمزد گروهی","—",IF($H463="","",IF(ROUND($H463-IF($G463="",0,$G463),0)=0,"√","▲ مغایرت "&amp;TEXT(IF($G463="",0,$G463)-$H463,"#,##0"))))</f>
        <v/>
      </c>
      <c r="J463" s="18" t="n"/>
    </row>
    <row r="464">
      <c r="A464" s="19">
        <f>IF($B464="","",COUNTA($B$9:$B464))</f>
        <v/>
      </c>
      <c r="B464" s="11" t="n"/>
      <c r="C464" s="12" t="n"/>
      <c r="D464" s="12" t="n"/>
      <c r="E464" s="13" t="n"/>
      <c r="F464" s="20">
        <f>IF($E464="","",IF($C464="دستمزد گروهی",IFERROR(VLOOKUP($E464,WGTbl,2,0),"کد ناشناخته"),IFERROR(IF(VLOOKUP($E464,AcctTblE,4,0)="","(بدون نام)",VLOOKUP($E464,AcctTblE,4,0)),"کد ناشناخته")))</f>
        <v/>
      </c>
      <c r="G464" s="15" t="n"/>
      <c r="H464" s="21">
        <f>IF(OR($C464&lt;&gt;"دستمزد گروهی",$D464=""),"",SUMIFS(ShareAmt,ShareLink,$D464))</f>
        <v/>
      </c>
      <c r="I464" s="22">
        <f>IF($C464&lt;&gt;"دستمزد گروهی","—",IF($H464="","",IF(ROUND($H464-IF($G464="",0,$G464),0)=0,"√","▲ مغایرت "&amp;TEXT(IF($G464="",0,$G464)-$H464,"#,##0"))))</f>
        <v/>
      </c>
      <c r="J464" s="18" t="n"/>
    </row>
    <row r="465">
      <c r="A465" s="10">
        <f>IF($B465="","",COUNTA($B$9:$B465))</f>
        <v/>
      </c>
      <c r="B465" s="11" t="n"/>
      <c r="C465" s="12" t="n"/>
      <c r="D465" s="12" t="n"/>
      <c r="E465" s="13" t="n"/>
      <c r="F465" s="14">
        <f>IF($E465="","",IF($C465="دستمزد گروهی",IFERROR(VLOOKUP($E465,WGTbl,2,0),"کد ناشناخته"),IFERROR(IF(VLOOKUP($E465,AcctTblE,4,0)="","(بدون نام)",VLOOKUP($E465,AcctTblE,4,0)),"کد ناشناخته")))</f>
        <v/>
      </c>
      <c r="G465" s="15" t="n"/>
      <c r="H465" s="16">
        <f>IF(OR($C465&lt;&gt;"دستمزد گروهی",$D465=""),"",SUMIFS(ShareAmt,ShareLink,$D465))</f>
        <v/>
      </c>
      <c r="I465" s="17">
        <f>IF($C465&lt;&gt;"دستمزد گروهی","—",IF($H465="","",IF(ROUND($H465-IF($G465="",0,$G465),0)=0,"√","▲ مغایرت "&amp;TEXT(IF($G465="",0,$G465)-$H465,"#,##0"))))</f>
        <v/>
      </c>
      <c r="J465" s="18" t="n"/>
    </row>
    <row r="466">
      <c r="A466" s="19">
        <f>IF($B466="","",COUNTA($B$9:$B466))</f>
        <v/>
      </c>
      <c r="B466" s="11" t="n"/>
      <c r="C466" s="12" t="n"/>
      <c r="D466" s="12" t="n"/>
      <c r="E466" s="13" t="n"/>
      <c r="F466" s="20">
        <f>IF($E466="","",IF($C466="دستمزد گروهی",IFERROR(VLOOKUP($E466,WGTbl,2,0),"کد ناشناخته"),IFERROR(IF(VLOOKUP($E466,AcctTblE,4,0)="","(بدون نام)",VLOOKUP($E466,AcctTblE,4,0)),"کد ناشناخته")))</f>
        <v/>
      </c>
      <c r="G466" s="15" t="n"/>
      <c r="H466" s="21">
        <f>IF(OR($C466&lt;&gt;"دستمزد گروهی",$D466=""),"",SUMIFS(ShareAmt,ShareLink,$D466))</f>
        <v/>
      </c>
      <c r="I466" s="22">
        <f>IF($C466&lt;&gt;"دستمزد گروهی","—",IF($H466="","",IF(ROUND($H466-IF($G466="",0,$G466),0)=0,"√","▲ مغایرت "&amp;TEXT(IF($G466="",0,$G466)-$H466,"#,##0"))))</f>
        <v/>
      </c>
      <c r="J466" s="18" t="n"/>
    </row>
    <row r="467">
      <c r="A467" s="10">
        <f>IF($B467="","",COUNTA($B$9:$B467))</f>
        <v/>
      </c>
      <c r="B467" s="11" t="n"/>
      <c r="C467" s="12" t="n"/>
      <c r="D467" s="12" t="n"/>
      <c r="E467" s="13" t="n"/>
      <c r="F467" s="14">
        <f>IF($E467="","",IF($C467="دستمزد گروهی",IFERROR(VLOOKUP($E467,WGTbl,2,0),"کد ناشناخته"),IFERROR(IF(VLOOKUP($E467,AcctTblE,4,0)="","(بدون نام)",VLOOKUP($E467,AcctTblE,4,0)),"کد ناشناخته")))</f>
        <v/>
      </c>
      <c r="G467" s="15" t="n"/>
      <c r="H467" s="16">
        <f>IF(OR($C467&lt;&gt;"دستمزد گروهی",$D467=""),"",SUMIFS(ShareAmt,ShareLink,$D467))</f>
        <v/>
      </c>
      <c r="I467" s="17">
        <f>IF($C467&lt;&gt;"دستمزد گروهی","—",IF($H467="","",IF(ROUND($H467-IF($G467="",0,$G467),0)=0,"√","▲ مغایرت "&amp;TEXT(IF($G467="",0,$G467)-$H467,"#,##0"))))</f>
        <v/>
      </c>
      <c r="J467" s="18" t="n"/>
    </row>
    <row r="468">
      <c r="A468" s="19">
        <f>IF($B468="","",COUNTA($B$9:$B468))</f>
        <v/>
      </c>
      <c r="B468" s="11" t="n"/>
      <c r="C468" s="12" t="n"/>
      <c r="D468" s="12" t="n"/>
      <c r="E468" s="13" t="n"/>
      <c r="F468" s="20">
        <f>IF($E468="","",IF($C468="دستمزد گروهی",IFERROR(VLOOKUP($E468,WGTbl,2,0),"کد ناشناخته"),IFERROR(IF(VLOOKUP($E468,AcctTblE,4,0)="","(بدون نام)",VLOOKUP($E468,AcctTblE,4,0)),"کد ناشناخته")))</f>
        <v/>
      </c>
      <c r="G468" s="15" t="n"/>
      <c r="H468" s="21">
        <f>IF(OR($C468&lt;&gt;"دستمزد گروهی",$D468=""),"",SUMIFS(ShareAmt,ShareLink,$D468))</f>
        <v/>
      </c>
      <c r="I468" s="22">
        <f>IF($C468&lt;&gt;"دستمزد گروهی","—",IF($H468="","",IF(ROUND($H468-IF($G468="",0,$G468),0)=0,"√","▲ مغایرت "&amp;TEXT(IF($G468="",0,$G468)-$H468,"#,##0"))))</f>
        <v/>
      </c>
      <c r="J468" s="18" t="n"/>
    </row>
    <row r="469">
      <c r="A469" s="10">
        <f>IF($B469="","",COUNTA($B$9:$B469))</f>
        <v/>
      </c>
      <c r="B469" s="11" t="n"/>
      <c r="C469" s="12" t="n"/>
      <c r="D469" s="12" t="n"/>
      <c r="E469" s="13" t="n"/>
      <c r="F469" s="14">
        <f>IF($E469="","",IF($C469="دستمزد گروهی",IFERROR(VLOOKUP($E469,WGTbl,2,0),"کد ناشناخته"),IFERROR(IF(VLOOKUP($E469,AcctTblE,4,0)="","(بدون نام)",VLOOKUP($E469,AcctTblE,4,0)),"کد ناشناخته")))</f>
        <v/>
      </c>
      <c r="G469" s="15" t="n"/>
      <c r="H469" s="16">
        <f>IF(OR($C469&lt;&gt;"دستمزد گروهی",$D469=""),"",SUMIFS(ShareAmt,ShareLink,$D469))</f>
        <v/>
      </c>
      <c r="I469" s="17">
        <f>IF($C469&lt;&gt;"دستمزد گروهی","—",IF($H469="","",IF(ROUND($H469-IF($G469="",0,$G469),0)=0,"√","▲ مغایرت "&amp;TEXT(IF($G469="",0,$G469)-$H469,"#,##0"))))</f>
        <v/>
      </c>
      <c r="J469" s="18" t="n"/>
    </row>
    <row r="470">
      <c r="A470" s="19">
        <f>IF($B470="","",COUNTA($B$9:$B470))</f>
        <v/>
      </c>
      <c r="B470" s="11" t="n"/>
      <c r="C470" s="12" t="n"/>
      <c r="D470" s="12" t="n"/>
      <c r="E470" s="13" t="n"/>
      <c r="F470" s="20">
        <f>IF($E470="","",IF($C470="دستمزد گروهی",IFERROR(VLOOKUP($E470,WGTbl,2,0),"کد ناشناخته"),IFERROR(IF(VLOOKUP($E470,AcctTblE,4,0)="","(بدون نام)",VLOOKUP($E470,AcctTblE,4,0)),"کد ناشناخته")))</f>
        <v/>
      </c>
      <c r="G470" s="15" t="n"/>
      <c r="H470" s="21">
        <f>IF(OR($C470&lt;&gt;"دستمزد گروهی",$D470=""),"",SUMIFS(ShareAmt,ShareLink,$D470))</f>
        <v/>
      </c>
      <c r="I470" s="22">
        <f>IF($C470&lt;&gt;"دستمزد گروهی","—",IF($H470="","",IF(ROUND($H470-IF($G470="",0,$G470),0)=0,"√","▲ مغایرت "&amp;TEXT(IF($G470="",0,$G470)-$H470,"#,##0"))))</f>
        <v/>
      </c>
      <c r="J470" s="18" t="n"/>
    </row>
    <row r="471">
      <c r="A471" s="10">
        <f>IF($B471="","",COUNTA($B$9:$B471))</f>
        <v/>
      </c>
      <c r="B471" s="11" t="n"/>
      <c r="C471" s="12" t="n"/>
      <c r="D471" s="12" t="n"/>
      <c r="E471" s="13" t="n"/>
      <c r="F471" s="14">
        <f>IF($E471="","",IF($C471="دستمزد گروهی",IFERROR(VLOOKUP($E471,WGTbl,2,0),"کد ناشناخته"),IFERROR(IF(VLOOKUP($E471,AcctTblE,4,0)="","(بدون نام)",VLOOKUP($E471,AcctTblE,4,0)),"کد ناشناخته")))</f>
        <v/>
      </c>
      <c r="G471" s="15" t="n"/>
      <c r="H471" s="16">
        <f>IF(OR($C471&lt;&gt;"دستمزد گروهی",$D471=""),"",SUMIFS(ShareAmt,ShareLink,$D471))</f>
        <v/>
      </c>
      <c r="I471" s="17">
        <f>IF($C471&lt;&gt;"دستمزد گروهی","—",IF($H471="","",IF(ROUND($H471-IF($G471="",0,$G471),0)=0,"√","▲ مغایرت "&amp;TEXT(IF($G471="",0,$G471)-$H471,"#,##0"))))</f>
        <v/>
      </c>
      <c r="J471" s="18" t="n"/>
    </row>
    <row r="472">
      <c r="A472" s="19">
        <f>IF($B472="","",COUNTA($B$9:$B472))</f>
        <v/>
      </c>
      <c r="B472" s="11" t="n"/>
      <c r="C472" s="12" t="n"/>
      <c r="D472" s="12" t="n"/>
      <c r="E472" s="13" t="n"/>
      <c r="F472" s="20">
        <f>IF($E472="","",IF($C472="دستمزد گروهی",IFERROR(VLOOKUP($E472,WGTbl,2,0),"کد ناشناخته"),IFERROR(IF(VLOOKUP($E472,AcctTblE,4,0)="","(بدون نام)",VLOOKUP($E472,AcctTblE,4,0)),"کد ناشناخته")))</f>
        <v/>
      </c>
      <c r="G472" s="15" t="n"/>
      <c r="H472" s="21">
        <f>IF(OR($C472&lt;&gt;"دستمزد گروهی",$D472=""),"",SUMIFS(ShareAmt,ShareLink,$D472))</f>
        <v/>
      </c>
      <c r="I472" s="22">
        <f>IF($C472&lt;&gt;"دستمزد گروهی","—",IF($H472="","",IF(ROUND($H472-IF($G472="",0,$G472),0)=0,"√","▲ مغایرت "&amp;TEXT(IF($G472="",0,$G472)-$H472,"#,##0"))))</f>
        <v/>
      </c>
      <c r="J472" s="18" t="n"/>
    </row>
    <row r="473">
      <c r="A473" s="10">
        <f>IF($B473="","",COUNTA($B$9:$B473))</f>
        <v/>
      </c>
      <c r="B473" s="11" t="n"/>
      <c r="C473" s="12" t="n"/>
      <c r="D473" s="12" t="n"/>
      <c r="E473" s="13" t="n"/>
      <c r="F473" s="14">
        <f>IF($E473="","",IF($C473="دستمزد گروهی",IFERROR(VLOOKUP($E473,WGTbl,2,0),"کد ناشناخته"),IFERROR(IF(VLOOKUP($E473,AcctTblE,4,0)="","(بدون نام)",VLOOKUP($E473,AcctTblE,4,0)),"کد ناشناخته")))</f>
        <v/>
      </c>
      <c r="G473" s="15" t="n"/>
      <c r="H473" s="16">
        <f>IF(OR($C473&lt;&gt;"دستمزد گروهی",$D473=""),"",SUMIFS(ShareAmt,ShareLink,$D473))</f>
        <v/>
      </c>
      <c r="I473" s="17">
        <f>IF($C473&lt;&gt;"دستمزد گروهی","—",IF($H473="","",IF(ROUND($H473-IF($G473="",0,$G473),0)=0,"√","▲ مغایرت "&amp;TEXT(IF($G473="",0,$G473)-$H473,"#,##0"))))</f>
        <v/>
      </c>
      <c r="J473" s="18" t="n"/>
    </row>
    <row r="474">
      <c r="A474" s="19">
        <f>IF($B474="","",COUNTA($B$9:$B474))</f>
        <v/>
      </c>
      <c r="B474" s="11" t="n"/>
      <c r="C474" s="12" t="n"/>
      <c r="D474" s="12" t="n"/>
      <c r="E474" s="13" t="n"/>
      <c r="F474" s="20">
        <f>IF($E474="","",IF($C474="دستمزد گروهی",IFERROR(VLOOKUP($E474,WGTbl,2,0),"کد ناشناخته"),IFERROR(IF(VLOOKUP($E474,AcctTblE,4,0)="","(بدون نام)",VLOOKUP($E474,AcctTblE,4,0)),"کد ناشناخته")))</f>
        <v/>
      </c>
      <c r="G474" s="15" t="n"/>
      <c r="H474" s="21">
        <f>IF(OR($C474&lt;&gt;"دستمزد گروهی",$D474=""),"",SUMIFS(ShareAmt,ShareLink,$D474))</f>
        <v/>
      </c>
      <c r="I474" s="22">
        <f>IF($C474&lt;&gt;"دستمزد گروهی","—",IF($H474="","",IF(ROUND($H474-IF($G474="",0,$G474),0)=0,"√","▲ مغایرت "&amp;TEXT(IF($G474="",0,$G474)-$H474,"#,##0"))))</f>
        <v/>
      </c>
      <c r="J474" s="18" t="n"/>
    </row>
    <row r="475">
      <c r="A475" s="10">
        <f>IF($B475="","",COUNTA($B$9:$B475))</f>
        <v/>
      </c>
      <c r="B475" s="11" t="n"/>
      <c r="C475" s="12" t="n"/>
      <c r="D475" s="12" t="n"/>
      <c r="E475" s="13" t="n"/>
      <c r="F475" s="14">
        <f>IF($E475="","",IF($C475="دستمزد گروهی",IFERROR(VLOOKUP($E475,WGTbl,2,0),"کد ناشناخته"),IFERROR(IF(VLOOKUP($E475,AcctTblE,4,0)="","(بدون نام)",VLOOKUP($E475,AcctTblE,4,0)),"کد ناشناخته")))</f>
        <v/>
      </c>
      <c r="G475" s="15" t="n"/>
      <c r="H475" s="16">
        <f>IF(OR($C475&lt;&gt;"دستمزد گروهی",$D475=""),"",SUMIFS(ShareAmt,ShareLink,$D475))</f>
        <v/>
      </c>
      <c r="I475" s="17">
        <f>IF($C475&lt;&gt;"دستمزد گروهی","—",IF($H475="","",IF(ROUND($H475-IF($G475="",0,$G475),0)=0,"√","▲ مغایرت "&amp;TEXT(IF($G475="",0,$G475)-$H475,"#,##0"))))</f>
        <v/>
      </c>
      <c r="J475" s="18" t="n"/>
    </row>
    <row r="476">
      <c r="A476" s="19">
        <f>IF($B476="","",COUNTA($B$9:$B476))</f>
        <v/>
      </c>
      <c r="B476" s="11" t="n"/>
      <c r="C476" s="12" t="n"/>
      <c r="D476" s="12" t="n"/>
      <c r="E476" s="13" t="n"/>
      <c r="F476" s="20">
        <f>IF($E476="","",IF($C476="دستمزد گروهی",IFERROR(VLOOKUP($E476,WGTbl,2,0),"کد ناشناخته"),IFERROR(IF(VLOOKUP($E476,AcctTblE,4,0)="","(بدون نام)",VLOOKUP($E476,AcctTblE,4,0)),"کد ناشناخته")))</f>
        <v/>
      </c>
      <c r="G476" s="15" t="n"/>
      <c r="H476" s="21">
        <f>IF(OR($C476&lt;&gt;"دستمزد گروهی",$D476=""),"",SUMIFS(ShareAmt,ShareLink,$D476))</f>
        <v/>
      </c>
      <c r="I476" s="22">
        <f>IF($C476&lt;&gt;"دستمزد گروهی","—",IF($H476="","",IF(ROUND($H476-IF($G476="",0,$G476),0)=0,"√","▲ مغایرت "&amp;TEXT(IF($G476="",0,$G476)-$H476,"#,##0"))))</f>
        <v/>
      </c>
      <c r="J476" s="18" t="n"/>
    </row>
    <row r="477">
      <c r="A477" s="10">
        <f>IF($B477="","",COUNTA($B$9:$B477))</f>
        <v/>
      </c>
      <c r="B477" s="11" t="n"/>
      <c r="C477" s="12" t="n"/>
      <c r="D477" s="12" t="n"/>
      <c r="E477" s="13" t="n"/>
      <c r="F477" s="14">
        <f>IF($E477="","",IF($C477="دستمزد گروهی",IFERROR(VLOOKUP($E477,WGTbl,2,0),"کد ناشناخته"),IFERROR(IF(VLOOKUP($E477,AcctTblE,4,0)="","(بدون نام)",VLOOKUP($E477,AcctTblE,4,0)),"کد ناشناخته")))</f>
        <v/>
      </c>
      <c r="G477" s="15" t="n"/>
      <c r="H477" s="16">
        <f>IF(OR($C477&lt;&gt;"دستمزد گروهی",$D477=""),"",SUMIFS(ShareAmt,ShareLink,$D477))</f>
        <v/>
      </c>
      <c r="I477" s="17">
        <f>IF($C477&lt;&gt;"دستمزد گروهی","—",IF($H477="","",IF(ROUND($H477-IF($G477="",0,$G477),0)=0,"√","▲ مغایرت "&amp;TEXT(IF($G477="",0,$G477)-$H477,"#,##0"))))</f>
        <v/>
      </c>
      <c r="J477" s="18" t="n"/>
    </row>
    <row r="478">
      <c r="A478" s="19">
        <f>IF($B478="","",COUNTA($B$9:$B478))</f>
        <v/>
      </c>
      <c r="B478" s="11" t="n"/>
      <c r="C478" s="12" t="n"/>
      <c r="D478" s="12" t="n"/>
      <c r="E478" s="13" t="n"/>
      <c r="F478" s="20">
        <f>IF($E478="","",IF($C478="دستمزد گروهی",IFERROR(VLOOKUP($E478,WGTbl,2,0),"کد ناشناخته"),IFERROR(IF(VLOOKUP($E478,AcctTblE,4,0)="","(بدون نام)",VLOOKUP($E478,AcctTblE,4,0)),"کد ناشناخته")))</f>
        <v/>
      </c>
      <c r="G478" s="15" t="n"/>
      <c r="H478" s="21">
        <f>IF(OR($C478&lt;&gt;"دستمزد گروهی",$D478=""),"",SUMIFS(ShareAmt,ShareLink,$D478))</f>
        <v/>
      </c>
      <c r="I478" s="22">
        <f>IF($C478&lt;&gt;"دستمزد گروهی","—",IF($H478="","",IF(ROUND($H478-IF($G478="",0,$G478),0)=0,"√","▲ مغایرت "&amp;TEXT(IF($G478="",0,$G478)-$H478,"#,##0"))))</f>
        <v/>
      </c>
      <c r="J478" s="18" t="n"/>
    </row>
    <row r="479">
      <c r="A479" s="10">
        <f>IF($B479="","",COUNTA($B$9:$B479))</f>
        <v/>
      </c>
      <c r="B479" s="11" t="n"/>
      <c r="C479" s="12" t="n"/>
      <c r="D479" s="12" t="n"/>
      <c r="E479" s="13" t="n"/>
      <c r="F479" s="14">
        <f>IF($E479="","",IF($C479="دستمزد گروهی",IFERROR(VLOOKUP($E479,WGTbl,2,0),"کد ناشناخته"),IFERROR(IF(VLOOKUP($E479,AcctTblE,4,0)="","(بدون نام)",VLOOKUP($E479,AcctTblE,4,0)),"کد ناشناخته")))</f>
        <v/>
      </c>
      <c r="G479" s="15" t="n"/>
      <c r="H479" s="16">
        <f>IF(OR($C479&lt;&gt;"دستمزد گروهی",$D479=""),"",SUMIFS(ShareAmt,ShareLink,$D479))</f>
        <v/>
      </c>
      <c r="I479" s="17">
        <f>IF($C479&lt;&gt;"دستمزد گروهی","—",IF($H479="","",IF(ROUND($H479-IF($G479="",0,$G479),0)=0,"√","▲ مغایرت "&amp;TEXT(IF($G479="",0,$G479)-$H479,"#,##0"))))</f>
        <v/>
      </c>
      <c r="J479" s="18" t="n"/>
    </row>
    <row r="480">
      <c r="A480" s="19">
        <f>IF($B480="","",COUNTA($B$9:$B480))</f>
        <v/>
      </c>
      <c r="B480" s="11" t="n"/>
      <c r="C480" s="12" t="n"/>
      <c r="D480" s="12" t="n"/>
      <c r="E480" s="13" t="n"/>
      <c r="F480" s="20">
        <f>IF($E480="","",IF($C480="دستمزد گروهی",IFERROR(VLOOKUP($E480,WGTbl,2,0),"کد ناشناخته"),IFERROR(IF(VLOOKUP($E480,AcctTblE,4,0)="","(بدون نام)",VLOOKUP($E480,AcctTblE,4,0)),"کد ناشناخته")))</f>
        <v/>
      </c>
      <c r="G480" s="15" t="n"/>
      <c r="H480" s="21">
        <f>IF(OR($C480&lt;&gt;"دستمزد گروهی",$D480=""),"",SUMIFS(ShareAmt,ShareLink,$D480))</f>
        <v/>
      </c>
      <c r="I480" s="22">
        <f>IF($C480&lt;&gt;"دستمزد گروهی","—",IF($H480="","",IF(ROUND($H480-IF($G480="",0,$G480),0)=0,"√","▲ مغایرت "&amp;TEXT(IF($G480="",0,$G480)-$H480,"#,##0"))))</f>
        <v/>
      </c>
      <c r="J480" s="18" t="n"/>
    </row>
    <row r="481">
      <c r="A481" s="10">
        <f>IF($B481="","",COUNTA($B$9:$B481))</f>
        <v/>
      </c>
      <c r="B481" s="11" t="n"/>
      <c r="C481" s="12" t="n"/>
      <c r="D481" s="12" t="n"/>
      <c r="E481" s="13" t="n"/>
      <c r="F481" s="14">
        <f>IF($E481="","",IF($C481="دستمزد گروهی",IFERROR(VLOOKUP($E481,WGTbl,2,0),"کد ناشناخته"),IFERROR(IF(VLOOKUP($E481,AcctTblE,4,0)="","(بدون نام)",VLOOKUP($E481,AcctTblE,4,0)),"کد ناشناخته")))</f>
        <v/>
      </c>
      <c r="G481" s="15" t="n"/>
      <c r="H481" s="16">
        <f>IF(OR($C481&lt;&gt;"دستمزد گروهی",$D481=""),"",SUMIFS(ShareAmt,ShareLink,$D481))</f>
        <v/>
      </c>
      <c r="I481" s="17">
        <f>IF($C481&lt;&gt;"دستمزد گروهی","—",IF($H481="","",IF(ROUND($H481-IF($G481="",0,$G481),0)=0,"√","▲ مغایرت "&amp;TEXT(IF($G481="",0,$G481)-$H481,"#,##0"))))</f>
        <v/>
      </c>
      <c r="J481" s="18" t="n"/>
    </row>
    <row r="482">
      <c r="A482" s="19">
        <f>IF($B482="","",COUNTA($B$9:$B482))</f>
        <v/>
      </c>
      <c r="B482" s="11" t="n"/>
      <c r="C482" s="12" t="n"/>
      <c r="D482" s="12" t="n"/>
      <c r="E482" s="13" t="n"/>
      <c r="F482" s="20">
        <f>IF($E482="","",IF($C482="دستمزد گروهی",IFERROR(VLOOKUP($E482,WGTbl,2,0),"کد ناشناخته"),IFERROR(IF(VLOOKUP($E482,AcctTblE,4,0)="","(بدون نام)",VLOOKUP($E482,AcctTblE,4,0)),"کد ناشناخته")))</f>
        <v/>
      </c>
      <c r="G482" s="15" t="n"/>
      <c r="H482" s="21">
        <f>IF(OR($C482&lt;&gt;"دستمزد گروهی",$D482=""),"",SUMIFS(ShareAmt,ShareLink,$D482))</f>
        <v/>
      </c>
      <c r="I482" s="22">
        <f>IF($C482&lt;&gt;"دستمزد گروهی","—",IF($H482="","",IF(ROUND($H482-IF($G482="",0,$G482),0)=0,"√","▲ مغایرت "&amp;TEXT(IF($G482="",0,$G482)-$H482,"#,##0"))))</f>
        <v/>
      </c>
      <c r="J482" s="18" t="n"/>
    </row>
    <row r="483">
      <c r="A483" s="10">
        <f>IF($B483="","",COUNTA($B$9:$B483))</f>
        <v/>
      </c>
      <c r="B483" s="11" t="n"/>
      <c r="C483" s="12" t="n"/>
      <c r="D483" s="12" t="n"/>
      <c r="E483" s="13" t="n"/>
      <c r="F483" s="14">
        <f>IF($E483="","",IF($C483="دستمزد گروهی",IFERROR(VLOOKUP($E483,WGTbl,2,0),"کد ناشناخته"),IFERROR(IF(VLOOKUP($E483,AcctTblE,4,0)="","(بدون نام)",VLOOKUP($E483,AcctTblE,4,0)),"کد ناشناخته")))</f>
        <v/>
      </c>
      <c r="G483" s="15" t="n"/>
      <c r="H483" s="16">
        <f>IF(OR($C483&lt;&gt;"دستمزد گروهی",$D483=""),"",SUMIFS(ShareAmt,ShareLink,$D483))</f>
        <v/>
      </c>
      <c r="I483" s="17">
        <f>IF($C483&lt;&gt;"دستمزد گروهی","—",IF($H483="","",IF(ROUND($H483-IF($G483="",0,$G483),0)=0,"√","▲ مغایرت "&amp;TEXT(IF($G483="",0,$G483)-$H483,"#,##0"))))</f>
        <v/>
      </c>
      <c r="J483" s="18" t="n"/>
    </row>
    <row r="484">
      <c r="A484" s="19">
        <f>IF($B484="","",COUNTA($B$9:$B484))</f>
        <v/>
      </c>
      <c r="B484" s="11" t="n"/>
      <c r="C484" s="12" t="n"/>
      <c r="D484" s="12" t="n"/>
      <c r="E484" s="13" t="n"/>
      <c r="F484" s="20">
        <f>IF($E484="","",IF($C484="دستمزد گروهی",IFERROR(VLOOKUP($E484,WGTbl,2,0),"کد ناشناخته"),IFERROR(IF(VLOOKUP($E484,AcctTblE,4,0)="","(بدون نام)",VLOOKUP($E484,AcctTblE,4,0)),"کد ناشناخته")))</f>
        <v/>
      </c>
      <c r="G484" s="15" t="n"/>
      <c r="H484" s="21">
        <f>IF(OR($C484&lt;&gt;"دستمزد گروهی",$D484=""),"",SUMIFS(ShareAmt,ShareLink,$D484))</f>
        <v/>
      </c>
      <c r="I484" s="22">
        <f>IF($C484&lt;&gt;"دستمزد گروهی","—",IF($H484="","",IF(ROUND($H484-IF($G484="",0,$G484),0)=0,"√","▲ مغایرت "&amp;TEXT(IF($G484="",0,$G484)-$H484,"#,##0"))))</f>
        <v/>
      </c>
      <c r="J484" s="18" t="n"/>
    </row>
    <row r="485">
      <c r="A485" s="10">
        <f>IF($B485="","",COUNTA($B$9:$B485))</f>
        <v/>
      </c>
      <c r="B485" s="11" t="n"/>
      <c r="C485" s="12" t="n"/>
      <c r="D485" s="12" t="n"/>
      <c r="E485" s="13" t="n"/>
      <c r="F485" s="14">
        <f>IF($E485="","",IF($C485="دستمزد گروهی",IFERROR(VLOOKUP($E485,WGTbl,2,0),"کد ناشناخته"),IFERROR(IF(VLOOKUP($E485,AcctTblE,4,0)="","(بدون نام)",VLOOKUP($E485,AcctTblE,4,0)),"کد ناشناخته")))</f>
        <v/>
      </c>
      <c r="G485" s="15" t="n"/>
      <c r="H485" s="16">
        <f>IF(OR($C485&lt;&gt;"دستمزد گروهی",$D485=""),"",SUMIFS(ShareAmt,ShareLink,$D485))</f>
        <v/>
      </c>
      <c r="I485" s="17">
        <f>IF($C485&lt;&gt;"دستمزد گروهی","—",IF($H485="","",IF(ROUND($H485-IF($G485="",0,$G485),0)=0,"√","▲ مغایرت "&amp;TEXT(IF($G485="",0,$G485)-$H485,"#,##0"))))</f>
        <v/>
      </c>
      <c r="J485" s="18" t="n"/>
    </row>
    <row r="486">
      <c r="A486" s="19">
        <f>IF($B486="","",COUNTA($B$9:$B486))</f>
        <v/>
      </c>
      <c r="B486" s="11" t="n"/>
      <c r="C486" s="12" t="n"/>
      <c r="D486" s="12" t="n"/>
      <c r="E486" s="13" t="n"/>
      <c r="F486" s="20">
        <f>IF($E486="","",IF($C486="دستمزد گروهی",IFERROR(VLOOKUP($E486,WGTbl,2,0),"کد ناشناخته"),IFERROR(IF(VLOOKUP($E486,AcctTblE,4,0)="","(بدون نام)",VLOOKUP($E486,AcctTblE,4,0)),"کد ناشناخته")))</f>
        <v/>
      </c>
      <c r="G486" s="15" t="n"/>
      <c r="H486" s="21">
        <f>IF(OR($C486&lt;&gt;"دستمزد گروهی",$D486=""),"",SUMIFS(ShareAmt,ShareLink,$D486))</f>
        <v/>
      </c>
      <c r="I486" s="22">
        <f>IF($C486&lt;&gt;"دستمزد گروهی","—",IF($H486="","",IF(ROUND($H486-IF($G486="",0,$G486),0)=0,"√","▲ مغایرت "&amp;TEXT(IF($G486="",0,$G486)-$H486,"#,##0"))))</f>
        <v/>
      </c>
      <c r="J486" s="18" t="n"/>
    </row>
    <row r="487">
      <c r="A487" s="10">
        <f>IF($B487="","",COUNTA($B$9:$B487))</f>
        <v/>
      </c>
      <c r="B487" s="11" t="n"/>
      <c r="C487" s="12" t="n"/>
      <c r="D487" s="12" t="n"/>
      <c r="E487" s="13" t="n"/>
      <c r="F487" s="14">
        <f>IF($E487="","",IF($C487="دستمزد گروهی",IFERROR(VLOOKUP($E487,WGTbl,2,0),"کد ناشناخته"),IFERROR(IF(VLOOKUP($E487,AcctTblE,4,0)="","(بدون نام)",VLOOKUP($E487,AcctTblE,4,0)),"کد ناشناخته")))</f>
        <v/>
      </c>
      <c r="G487" s="15" t="n"/>
      <c r="H487" s="16">
        <f>IF(OR($C487&lt;&gt;"دستمزد گروهی",$D487=""),"",SUMIFS(ShareAmt,ShareLink,$D487))</f>
        <v/>
      </c>
      <c r="I487" s="17">
        <f>IF($C487&lt;&gt;"دستمزد گروهی","—",IF($H487="","",IF(ROUND($H487-IF($G487="",0,$G487),0)=0,"√","▲ مغایرت "&amp;TEXT(IF($G487="",0,$G487)-$H487,"#,##0"))))</f>
        <v/>
      </c>
      <c r="J487" s="18" t="n"/>
    </row>
    <row r="488">
      <c r="A488" s="19">
        <f>IF($B488="","",COUNTA($B$9:$B488))</f>
        <v/>
      </c>
      <c r="B488" s="11" t="n"/>
      <c r="C488" s="12" t="n"/>
      <c r="D488" s="12" t="n"/>
      <c r="E488" s="13" t="n"/>
      <c r="F488" s="20">
        <f>IF($E488="","",IF($C488="دستمزد گروهی",IFERROR(VLOOKUP($E488,WGTbl,2,0),"کد ناشناخته"),IFERROR(IF(VLOOKUP($E488,AcctTblE,4,0)="","(بدون نام)",VLOOKUP($E488,AcctTblE,4,0)),"کد ناشناخته")))</f>
        <v/>
      </c>
      <c r="G488" s="15" t="n"/>
      <c r="H488" s="21">
        <f>IF(OR($C488&lt;&gt;"دستمزد گروهی",$D488=""),"",SUMIFS(ShareAmt,ShareLink,$D488))</f>
        <v/>
      </c>
      <c r="I488" s="22">
        <f>IF($C488&lt;&gt;"دستمزد گروهی","—",IF($H488="","",IF(ROUND($H488-IF($G488="",0,$G488),0)=0,"√","▲ مغایرت "&amp;TEXT(IF($G488="",0,$G488)-$H488,"#,##0"))))</f>
        <v/>
      </c>
      <c r="J488" s="18" t="n"/>
    </row>
    <row r="489">
      <c r="A489" s="10">
        <f>IF($B489="","",COUNTA($B$9:$B489))</f>
        <v/>
      </c>
      <c r="B489" s="11" t="n"/>
      <c r="C489" s="12" t="n"/>
      <c r="D489" s="12" t="n"/>
      <c r="E489" s="13" t="n"/>
      <c r="F489" s="14">
        <f>IF($E489="","",IF($C489="دستمزد گروهی",IFERROR(VLOOKUP($E489,WGTbl,2,0),"کد ناشناخته"),IFERROR(IF(VLOOKUP($E489,AcctTblE,4,0)="","(بدون نام)",VLOOKUP($E489,AcctTblE,4,0)),"کد ناشناخته")))</f>
        <v/>
      </c>
      <c r="G489" s="15" t="n"/>
      <c r="H489" s="16">
        <f>IF(OR($C489&lt;&gt;"دستمزد گروهی",$D489=""),"",SUMIFS(ShareAmt,ShareLink,$D489))</f>
        <v/>
      </c>
      <c r="I489" s="17">
        <f>IF($C489&lt;&gt;"دستمزد گروهی","—",IF($H489="","",IF(ROUND($H489-IF($G489="",0,$G489),0)=0,"√","▲ مغایرت "&amp;TEXT(IF($G489="",0,$G489)-$H489,"#,##0"))))</f>
        <v/>
      </c>
      <c r="J489" s="18" t="n"/>
    </row>
    <row r="490">
      <c r="A490" s="19">
        <f>IF($B490="","",COUNTA($B$9:$B490))</f>
        <v/>
      </c>
      <c r="B490" s="11" t="n"/>
      <c r="C490" s="12" t="n"/>
      <c r="D490" s="12" t="n"/>
      <c r="E490" s="13" t="n"/>
      <c r="F490" s="20">
        <f>IF($E490="","",IF($C490="دستمزد گروهی",IFERROR(VLOOKUP($E490,WGTbl,2,0),"کد ناشناخته"),IFERROR(IF(VLOOKUP($E490,AcctTblE,4,0)="","(بدون نام)",VLOOKUP($E490,AcctTblE,4,0)),"کد ناشناخته")))</f>
        <v/>
      </c>
      <c r="G490" s="15" t="n"/>
      <c r="H490" s="21">
        <f>IF(OR($C490&lt;&gt;"دستمزد گروهی",$D490=""),"",SUMIFS(ShareAmt,ShareLink,$D490))</f>
        <v/>
      </c>
      <c r="I490" s="22">
        <f>IF($C490&lt;&gt;"دستمزد گروهی","—",IF($H490="","",IF(ROUND($H490-IF($G490="",0,$G490),0)=0,"√","▲ مغایرت "&amp;TEXT(IF($G490="",0,$G490)-$H490,"#,##0"))))</f>
        <v/>
      </c>
      <c r="J490" s="18" t="n"/>
    </row>
    <row r="491">
      <c r="A491" s="10">
        <f>IF($B491="","",COUNTA($B$9:$B491))</f>
        <v/>
      </c>
      <c r="B491" s="11" t="n"/>
      <c r="C491" s="12" t="n"/>
      <c r="D491" s="12" t="n"/>
      <c r="E491" s="13" t="n"/>
      <c r="F491" s="14">
        <f>IF($E491="","",IF($C491="دستمزد گروهی",IFERROR(VLOOKUP($E491,WGTbl,2,0),"کد ناشناخته"),IFERROR(IF(VLOOKUP($E491,AcctTblE,4,0)="","(بدون نام)",VLOOKUP($E491,AcctTblE,4,0)),"کد ناشناخته")))</f>
        <v/>
      </c>
      <c r="G491" s="15" t="n"/>
      <c r="H491" s="16">
        <f>IF(OR($C491&lt;&gt;"دستمزد گروهی",$D491=""),"",SUMIFS(ShareAmt,ShareLink,$D491))</f>
        <v/>
      </c>
      <c r="I491" s="17">
        <f>IF($C491&lt;&gt;"دستمزد گروهی","—",IF($H491="","",IF(ROUND($H491-IF($G491="",0,$G491),0)=0,"√","▲ مغایرت "&amp;TEXT(IF($G491="",0,$G491)-$H491,"#,##0"))))</f>
        <v/>
      </c>
      <c r="J491" s="18" t="n"/>
    </row>
    <row r="492">
      <c r="A492" s="19">
        <f>IF($B492="","",COUNTA($B$9:$B492))</f>
        <v/>
      </c>
      <c r="B492" s="11" t="n"/>
      <c r="C492" s="12" t="n"/>
      <c r="D492" s="12" t="n"/>
      <c r="E492" s="13" t="n"/>
      <c r="F492" s="20">
        <f>IF($E492="","",IF($C492="دستمزد گروهی",IFERROR(VLOOKUP($E492,WGTbl,2,0),"کد ناشناخته"),IFERROR(IF(VLOOKUP($E492,AcctTblE,4,0)="","(بدون نام)",VLOOKUP($E492,AcctTblE,4,0)),"کد ناشناخته")))</f>
        <v/>
      </c>
      <c r="G492" s="15" t="n"/>
      <c r="H492" s="21">
        <f>IF(OR($C492&lt;&gt;"دستمزد گروهی",$D492=""),"",SUMIFS(ShareAmt,ShareLink,$D492))</f>
        <v/>
      </c>
      <c r="I492" s="22">
        <f>IF($C492&lt;&gt;"دستمزد گروهی","—",IF($H492="","",IF(ROUND($H492-IF($G492="",0,$G492),0)=0,"√","▲ مغایرت "&amp;TEXT(IF($G492="",0,$G492)-$H492,"#,##0"))))</f>
        <v/>
      </c>
      <c r="J492" s="18" t="n"/>
    </row>
    <row r="493">
      <c r="A493" s="10">
        <f>IF($B493="","",COUNTA($B$9:$B493))</f>
        <v/>
      </c>
      <c r="B493" s="11" t="n"/>
      <c r="C493" s="12" t="n"/>
      <c r="D493" s="12" t="n"/>
      <c r="E493" s="13" t="n"/>
      <c r="F493" s="14">
        <f>IF($E493="","",IF($C493="دستمزد گروهی",IFERROR(VLOOKUP($E493,WGTbl,2,0),"کد ناشناخته"),IFERROR(IF(VLOOKUP($E493,AcctTblE,4,0)="","(بدون نام)",VLOOKUP($E493,AcctTblE,4,0)),"کد ناشناخته")))</f>
        <v/>
      </c>
      <c r="G493" s="15" t="n"/>
      <c r="H493" s="16">
        <f>IF(OR($C493&lt;&gt;"دستمزد گروهی",$D493=""),"",SUMIFS(ShareAmt,ShareLink,$D493))</f>
        <v/>
      </c>
      <c r="I493" s="17">
        <f>IF($C493&lt;&gt;"دستمزد گروهی","—",IF($H493="","",IF(ROUND($H493-IF($G493="",0,$G493),0)=0,"√","▲ مغایرت "&amp;TEXT(IF($G493="",0,$G493)-$H493,"#,##0"))))</f>
        <v/>
      </c>
      <c r="J493" s="18" t="n"/>
    </row>
    <row r="494">
      <c r="A494" s="19">
        <f>IF($B494="","",COUNTA($B$9:$B494))</f>
        <v/>
      </c>
      <c r="B494" s="11" t="n"/>
      <c r="C494" s="12" t="n"/>
      <c r="D494" s="12" t="n"/>
      <c r="E494" s="13" t="n"/>
      <c r="F494" s="20">
        <f>IF($E494="","",IF($C494="دستمزد گروهی",IFERROR(VLOOKUP($E494,WGTbl,2,0),"کد ناشناخته"),IFERROR(IF(VLOOKUP($E494,AcctTblE,4,0)="","(بدون نام)",VLOOKUP($E494,AcctTblE,4,0)),"کد ناشناخته")))</f>
        <v/>
      </c>
      <c r="G494" s="15" t="n"/>
      <c r="H494" s="21">
        <f>IF(OR($C494&lt;&gt;"دستمزد گروهی",$D494=""),"",SUMIFS(ShareAmt,ShareLink,$D494))</f>
        <v/>
      </c>
      <c r="I494" s="22">
        <f>IF($C494&lt;&gt;"دستمزد گروهی","—",IF($H494="","",IF(ROUND($H494-IF($G494="",0,$G494),0)=0,"√","▲ مغایرت "&amp;TEXT(IF($G494="",0,$G494)-$H494,"#,##0"))))</f>
        <v/>
      </c>
      <c r="J494" s="18" t="n"/>
    </row>
    <row r="495">
      <c r="A495" s="10">
        <f>IF($B495="","",COUNTA($B$9:$B495))</f>
        <v/>
      </c>
      <c r="B495" s="11" t="n"/>
      <c r="C495" s="12" t="n"/>
      <c r="D495" s="12" t="n"/>
      <c r="E495" s="13" t="n"/>
      <c r="F495" s="14">
        <f>IF($E495="","",IF($C495="دستمزد گروهی",IFERROR(VLOOKUP($E495,WGTbl,2,0),"کد ناشناخته"),IFERROR(IF(VLOOKUP($E495,AcctTblE,4,0)="","(بدون نام)",VLOOKUP($E495,AcctTblE,4,0)),"کد ناشناخته")))</f>
        <v/>
      </c>
      <c r="G495" s="15" t="n"/>
      <c r="H495" s="16">
        <f>IF(OR($C495&lt;&gt;"دستمزد گروهی",$D495=""),"",SUMIFS(ShareAmt,ShareLink,$D495))</f>
        <v/>
      </c>
      <c r="I495" s="17">
        <f>IF($C495&lt;&gt;"دستمزد گروهی","—",IF($H495="","",IF(ROUND($H495-IF($G495="",0,$G495),0)=0,"√","▲ مغایرت "&amp;TEXT(IF($G495="",0,$G495)-$H495,"#,##0"))))</f>
        <v/>
      </c>
      <c r="J495" s="18" t="n"/>
    </row>
    <row r="496">
      <c r="A496" s="19">
        <f>IF($B496="","",COUNTA($B$9:$B496))</f>
        <v/>
      </c>
      <c r="B496" s="11" t="n"/>
      <c r="C496" s="12" t="n"/>
      <c r="D496" s="12" t="n"/>
      <c r="E496" s="13" t="n"/>
      <c r="F496" s="20">
        <f>IF($E496="","",IF($C496="دستمزد گروهی",IFERROR(VLOOKUP($E496,WGTbl,2,0),"کد ناشناخته"),IFERROR(IF(VLOOKUP($E496,AcctTblE,4,0)="","(بدون نام)",VLOOKUP($E496,AcctTblE,4,0)),"کد ناشناخته")))</f>
        <v/>
      </c>
      <c r="G496" s="15" t="n"/>
      <c r="H496" s="21">
        <f>IF(OR($C496&lt;&gt;"دستمزد گروهی",$D496=""),"",SUMIFS(ShareAmt,ShareLink,$D496))</f>
        <v/>
      </c>
      <c r="I496" s="22">
        <f>IF($C496&lt;&gt;"دستمزد گروهی","—",IF($H496="","",IF(ROUND($H496-IF($G496="",0,$G496),0)=0,"√","▲ مغایرت "&amp;TEXT(IF($G496="",0,$G496)-$H496,"#,##0"))))</f>
        <v/>
      </c>
      <c r="J496" s="18" t="n"/>
    </row>
    <row r="497">
      <c r="A497" s="10">
        <f>IF($B497="","",COUNTA($B$9:$B497))</f>
        <v/>
      </c>
      <c r="B497" s="11" t="n"/>
      <c r="C497" s="12" t="n"/>
      <c r="D497" s="12" t="n"/>
      <c r="E497" s="13" t="n"/>
      <c r="F497" s="14">
        <f>IF($E497="","",IF($C497="دستمزد گروهی",IFERROR(VLOOKUP($E497,WGTbl,2,0),"کد ناشناخته"),IFERROR(IF(VLOOKUP($E497,AcctTblE,4,0)="","(بدون نام)",VLOOKUP($E497,AcctTblE,4,0)),"کد ناشناخته")))</f>
        <v/>
      </c>
      <c r="G497" s="15" t="n"/>
      <c r="H497" s="16">
        <f>IF(OR($C497&lt;&gt;"دستمزد گروهی",$D497=""),"",SUMIFS(ShareAmt,ShareLink,$D497))</f>
        <v/>
      </c>
      <c r="I497" s="17">
        <f>IF($C497&lt;&gt;"دستمزد گروهی","—",IF($H497="","",IF(ROUND($H497-IF($G497="",0,$G497),0)=0,"√","▲ مغایرت "&amp;TEXT(IF($G497="",0,$G497)-$H497,"#,##0"))))</f>
        <v/>
      </c>
      <c r="J497" s="18" t="n"/>
    </row>
    <row r="498">
      <c r="A498" s="19">
        <f>IF($B498="","",COUNTA($B$9:$B498))</f>
        <v/>
      </c>
      <c r="B498" s="11" t="n"/>
      <c r="C498" s="12" t="n"/>
      <c r="D498" s="12" t="n"/>
      <c r="E498" s="13" t="n"/>
      <c r="F498" s="20">
        <f>IF($E498="","",IF($C498="دستمزد گروهی",IFERROR(VLOOKUP($E498,WGTbl,2,0),"کد ناشناخته"),IFERROR(IF(VLOOKUP($E498,AcctTblE,4,0)="","(بدون نام)",VLOOKUP($E498,AcctTblE,4,0)),"کد ناشناخته")))</f>
        <v/>
      </c>
      <c r="G498" s="15" t="n"/>
      <c r="H498" s="21">
        <f>IF(OR($C498&lt;&gt;"دستمزد گروهی",$D498=""),"",SUMIFS(ShareAmt,ShareLink,$D498))</f>
        <v/>
      </c>
      <c r="I498" s="22">
        <f>IF($C498&lt;&gt;"دستمزد گروهی","—",IF($H498="","",IF(ROUND($H498-IF($G498="",0,$G498),0)=0,"√","▲ مغایرت "&amp;TEXT(IF($G498="",0,$G498)-$H498,"#,##0"))))</f>
        <v/>
      </c>
      <c r="J498" s="18" t="n"/>
    </row>
    <row r="499">
      <c r="A499" s="10">
        <f>IF($B499="","",COUNTA($B$9:$B499))</f>
        <v/>
      </c>
      <c r="B499" s="11" t="n"/>
      <c r="C499" s="12" t="n"/>
      <c r="D499" s="12" t="n"/>
      <c r="E499" s="13" t="n"/>
      <c r="F499" s="14">
        <f>IF($E499="","",IF($C499="دستمزد گروهی",IFERROR(VLOOKUP($E499,WGTbl,2,0),"کد ناشناخته"),IFERROR(IF(VLOOKUP($E499,AcctTblE,4,0)="","(بدون نام)",VLOOKUP($E499,AcctTblE,4,0)),"کد ناشناخته")))</f>
        <v/>
      </c>
      <c r="G499" s="15" t="n"/>
      <c r="H499" s="16">
        <f>IF(OR($C499&lt;&gt;"دستمزد گروهی",$D499=""),"",SUMIFS(ShareAmt,ShareLink,$D499))</f>
        <v/>
      </c>
      <c r="I499" s="17">
        <f>IF($C499&lt;&gt;"دستمزد گروهی","—",IF($H499="","",IF(ROUND($H499-IF($G499="",0,$G499),0)=0,"√","▲ مغایرت "&amp;TEXT(IF($G499="",0,$G499)-$H499,"#,##0"))))</f>
        <v/>
      </c>
      <c r="J499" s="18" t="n"/>
    </row>
    <row r="500">
      <c r="A500" s="19">
        <f>IF($B500="","",COUNTA($B$9:$B500))</f>
        <v/>
      </c>
      <c r="B500" s="11" t="n"/>
      <c r="C500" s="12" t="n"/>
      <c r="D500" s="12" t="n"/>
      <c r="E500" s="13" t="n"/>
      <c r="F500" s="20">
        <f>IF($E500="","",IF($C500="دستمزد گروهی",IFERROR(VLOOKUP($E500,WGTbl,2,0),"کد ناشناخته"),IFERROR(IF(VLOOKUP($E500,AcctTblE,4,0)="","(بدون نام)",VLOOKUP($E500,AcctTblE,4,0)),"کد ناشناخته")))</f>
        <v/>
      </c>
      <c r="G500" s="15" t="n"/>
      <c r="H500" s="21">
        <f>IF(OR($C500&lt;&gt;"دستمزد گروهی",$D500=""),"",SUMIFS(ShareAmt,ShareLink,$D500))</f>
        <v/>
      </c>
      <c r="I500" s="22">
        <f>IF($C500&lt;&gt;"دستمزد گروهی","—",IF($H500="","",IF(ROUND($H500-IF($G500="",0,$G500),0)=0,"√","▲ مغایرت "&amp;TEXT(IF($G500="",0,$G500)-$H500,"#,##0"))))</f>
        <v/>
      </c>
      <c r="J500" s="18" t="n"/>
    </row>
    <row r="501">
      <c r="A501" s="10">
        <f>IF($B501="","",COUNTA($B$9:$B501))</f>
        <v/>
      </c>
      <c r="B501" s="11" t="n"/>
      <c r="C501" s="12" t="n"/>
      <c r="D501" s="12" t="n"/>
      <c r="E501" s="13" t="n"/>
      <c r="F501" s="14">
        <f>IF($E501="","",IF($C501="دستمزد گروهی",IFERROR(VLOOKUP($E501,WGTbl,2,0),"کد ناشناخته"),IFERROR(IF(VLOOKUP($E501,AcctTblE,4,0)="","(بدون نام)",VLOOKUP($E501,AcctTblE,4,0)),"کد ناشناخته")))</f>
        <v/>
      </c>
      <c r="G501" s="15" t="n"/>
      <c r="H501" s="16">
        <f>IF(OR($C501&lt;&gt;"دستمزد گروهی",$D501=""),"",SUMIFS(ShareAmt,ShareLink,$D501))</f>
        <v/>
      </c>
      <c r="I501" s="17">
        <f>IF($C501&lt;&gt;"دستمزد گروهی","—",IF($H501="","",IF(ROUND($H501-IF($G501="",0,$G501),0)=0,"√","▲ مغایرت "&amp;TEXT(IF($G501="",0,$G501)-$H501,"#,##0"))))</f>
        <v/>
      </c>
      <c r="J501" s="18" t="n"/>
    </row>
    <row r="502">
      <c r="A502" s="19">
        <f>IF($B502="","",COUNTA($B$9:$B502))</f>
        <v/>
      </c>
      <c r="B502" s="11" t="n"/>
      <c r="C502" s="12" t="n"/>
      <c r="D502" s="12" t="n"/>
      <c r="E502" s="13" t="n"/>
      <c r="F502" s="20">
        <f>IF($E502="","",IF($C502="دستمزد گروهی",IFERROR(VLOOKUP($E502,WGTbl,2,0),"کد ناشناخته"),IFERROR(IF(VLOOKUP($E502,AcctTblE,4,0)="","(بدون نام)",VLOOKUP($E502,AcctTblE,4,0)),"کد ناشناخته")))</f>
        <v/>
      </c>
      <c r="G502" s="15" t="n"/>
      <c r="H502" s="21">
        <f>IF(OR($C502&lt;&gt;"دستمزد گروهی",$D502=""),"",SUMIFS(ShareAmt,ShareLink,$D502))</f>
        <v/>
      </c>
      <c r="I502" s="22">
        <f>IF($C502&lt;&gt;"دستمزد گروهی","—",IF($H502="","",IF(ROUND($H502-IF($G502="",0,$G502),0)=0,"√","▲ مغایرت "&amp;TEXT(IF($G502="",0,$G502)-$H502,"#,##0"))))</f>
        <v/>
      </c>
      <c r="J502" s="18" t="n"/>
    </row>
    <row r="503">
      <c r="A503" s="10">
        <f>IF($B503="","",COUNTA($B$9:$B503))</f>
        <v/>
      </c>
      <c r="B503" s="11" t="n"/>
      <c r="C503" s="12" t="n"/>
      <c r="D503" s="12" t="n"/>
      <c r="E503" s="13" t="n"/>
      <c r="F503" s="14">
        <f>IF($E503="","",IF($C503="دستمزد گروهی",IFERROR(VLOOKUP($E503,WGTbl,2,0),"کد ناشناخته"),IFERROR(IF(VLOOKUP($E503,AcctTblE,4,0)="","(بدون نام)",VLOOKUP($E503,AcctTblE,4,0)),"کد ناشناخته")))</f>
        <v/>
      </c>
      <c r="G503" s="15" t="n"/>
      <c r="H503" s="16">
        <f>IF(OR($C503&lt;&gt;"دستمزد گروهی",$D503=""),"",SUMIFS(ShareAmt,ShareLink,$D503))</f>
        <v/>
      </c>
      <c r="I503" s="17">
        <f>IF($C503&lt;&gt;"دستمزد گروهی","—",IF($H503="","",IF(ROUND($H503-IF($G503="",0,$G503),0)=0,"√","▲ مغایرت "&amp;TEXT(IF($G503="",0,$G503)-$H503,"#,##0"))))</f>
        <v/>
      </c>
      <c r="J503" s="18" t="n"/>
    </row>
    <row r="504">
      <c r="A504" s="19">
        <f>IF($B504="","",COUNTA($B$9:$B504))</f>
        <v/>
      </c>
      <c r="B504" s="11" t="n"/>
      <c r="C504" s="12" t="n"/>
      <c r="D504" s="12" t="n"/>
      <c r="E504" s="13" t="n"/>
      <c r="F504" s="20">
        <f>IF($E504="","",IF($C504="دستمزد گروهی",IFERROR(VLOOKUP($E504,WGTbl,2,0),"کد ناشناخته"),IFERROR(IF(VLOOKUP($E504,AcctTblE,4,0)="","(بدون نام)",VLOOKUP($E504,AcctTblE,4,0)),"کد ناشناخته")))</f>
        <v/>
      </c>
      <c r="G504" s="15" t="n"/>
      <c r="H504" s="21">
        <f>IF(OR($C504&lt;&gt;"دستمزد گروهی",$D504=""),"",SUMIFS(ShareAmt,ShareLink,$D504))</f>
        <v/>
      </c>
      <c r="I504" s="22">
        <f>IF($C504&lt;&gt;"دستمزد گروهی","—",IF($H504="","",IF(ROUND($H504-IF($G504="",0,$G504),0)=0,"√","▲ مغایرت "&amp;TEXT(IF($G504="",0,$G504)-$H504,"#,##0"))))</f>
        <v/>
      </c>
      <c r="J504" s="18" t="n"/>
    </row>
    <row r="505">
      <c r="A505" s="10">
        <f>IF($B505="","",COUNTA($B$9:$B505))</f>
        <v/>
      </c>
      <c r="B505" s="11" t="n"/>
      <c r="C505" s="12" t="n"/>
      <c r="D505" s="12" t="n"/>
      <c r="E505" s="13" t="n"/>
      <c r="F505" s="14">
        <f>IF($E505="","",IF($C505="دستمزد گروهی",IFERROR(VLOOKUP($E505,WGTbl,2,0),"کد ناشناخته"),IFERROR(IF(VLOOKUP($E505,AcctTblE,4,0)="","(بدون نام)",VLOOKUP($E505,AcctTblE,4,0)),"کد ناشناخته")))</f>
        <v/>
      </c>
      <c r="G505" s="15" t="n"/>
      <c r="H505" s="16">
        <f>IF(OR($C505&lt;&gt;"دستمزد گروهی",$D505=""),"",SUMIFS(ShareAmt,ShareLink,$D505))</f>
        <v/>
      </c>
      <c r="I505" s="17">
        <f>IF($C505&lt;&gt;"دستمزد گروهی","—",IF($H505="","",IF(ROUND($H505-IF($G505="",0,$G505),0)=0,"√","▲ مغایرت "&amp;TEXT(IF($G505="",0,$G505)-$H505,"#,##0"))))</f>
        <v/>
      </c>
      <c r="J505" s="18" t="n"/>
    </row>
    <row r="506">
      <c r="A506" s="19">
        <f>IF($B506="","",COUNTA($B$9:$B506))</f>
        <v/>
      </c>
      <c r="B506" s="11" t="n"/>
      <c r="C506" s="12" t="n"/>
      <c r="D506" s="12" t="n"/>
      <c r="E506" s="13" t="n"/>
      <c r="F506" s="20">
        <f>IF($E506="","",IF($C506="دستمزد گروهی",IFERROR(VLOOKUP($E506,WGTbl,2,0),"کد ناشناخته"),IFERROR(IF(VLOOKUP($E506,AcctTblE,4,0)="","(بدون نام)",VLOOKUP($E506,AcctTblE,4,0)),"کد ناشناخته")))</f>
        <v/>
      </c>
      <c r="G506" s="15" t="n"/>
      <c r="H506" s="21">
        <f>IF(OR($C506&lt;&gt;"دستمزد گروهی",$D506=""),"",SUMIFS(ShareAmt,ShareLink,$D506))</f>
        <v/>
      </c>
      <c r="I506" s="22">
        <f>IF($C506&lt;&gt;"دستمزد گروهی","—",IF($H506="","",IF(ROUND($H506-IF($G506="",0,$G506),0)=0,"√","▲ مغایرت "&amp;TEXT(IF($G506="",0,$G506)-$H506,"#,##0"))))</f>
        <v/>
      </c>
      <c r="J506" s="18" t="n"/>
    </row>
    <row r="507">
      <c r="A507" s="10">
        <f>IF($B507="","",COUNTA($B$9:$B507))</f>
        <v/>
      </c>
      <c r="B507" s="11" t="n"/>
      <c r="C507" s="12" t="n"/>
      <c r="D507" s="12" t="n"/>
      <c r="E507" s="13" t="n"/>
      <c r="F507" s="14">
        <f>IF($E507="","",IF($C507="دستمزد گروهی",IFERROR(VLOOKUP($E507,WGTbl,2,0),"کد ناشناخته"),IFERROR(IF(VLOOKUP($E507,AcctTblE,4,0)="","(بدون نام)",VLOOKUP($E507,AcctTblE,4,0)),"کد ناشناخته")))</f>
        <v/>
      </c>
      <c r="G507" s="15" t="n"/>
      <c r="H507" s="16">
        <f>IF(OR($C507&lt;&gt;"دستمزد گروهی",$D507=""),"",SUMIFS(ShareAmt,ShareLink,$D507))</f>
        <v/>
      </c>
      <c r="I507" s="17">
        <f>IF($C507&lt;&gt;"دستمزد گروهی","—",IF($H507="","",IF(ROUND($H507-IF($G507="",0,$G507),0)=0,"√","▲ مغایرت "&amp;TEXT(IF($G507="",0,$G507)-$H507,"#,##0"))))</f>
        <v/>
      </c>
      <c r="J507" s="18" t="n"/>
    </row>
    <row r="508">
      <c r="A508" s="19">
        <f>IF($B508="","",COUNTA($B$9:$B508))</f>
        <v/>
      </c>
      <c r="B508" s="11" t="n"/>
      <c r="C508" s="12" t="n"/>
      <c r="D508" s="12" t="n"/>
      <c r="E508" s="13" t="n"/>
      <c r="F508" s="20">
        <f>IF($E508="","",IF($C508="دستمزد گروهی",IFERROR(VLOOKUP($E508,WGTbl,2,0),"کد ناشناخته"),IFERROR(IF(VLOOKUP($E508,AcctTblE,4,0)="","(بدون نام)",VLOOKUP($E508,AcctTblE,4,0)),"کد ناشناخته")))</f>
        <v/>
      </c>
      <c r="G508" s="15" t="n"/>
      <c r="H508" s="21">
        <f>IF(OR($C508&lt;&gt;"دستمزد گروهی",$D508=""),"",SUMIFS(ShareAmt,ShareLink,$D508))</f>
        <v/>
      </c>
      <c r="I508" s="22">
        <f>IF($C508&lt;&gt;"دستمزد گروهی","—",IF($H508="","",IF(ROUND($H508-IF($G508="",0,$G508),0)=0,"√","▲ مغایرت "&amp;TEXT(IF($G508="",0,$G508)-$H508,"#,##0"))))</f>
        <v/>
      </c>
      <c r="J508" s="18" t="n"/>
    </row>
    <row r="509">
      <c r="A509" s="10">
        <f>IF($B509="","",COUNTA($B$9:$B509))</f>
        <v/>
      </c>
      <c r="B509" s="11" t="n"/>
      <c r="C509" s="12" t="n"/>
      <c r="D509" s="12" t="n"/>
      <c r="E509" s="13" t="n"/>
      <c r="F509" s="14">
        <f>IF($E509="","",IF($C509="دستمزد گروهی",IFERROR(VLOOKUP($E509,WGTbl,2,0),"کد ناشناخته"),IFERROR(IF(VLOOKUP($E509,AcctTblE,4,0)="","(بدون نام)",VLOOKUP($E509,AcctTblE,4,0)),"کد ناشناخته")))</f>
        <v/>
      </c>
      <c r="G509" s="15" t="n"/>
      <c r="H509" s="16">
        <f>IF(OR($C509&lt;&gt;"دستمزد گروهی",$D509=""),"",SUMIFS(ShareAmt,ShareLink,$D509))</f>
        <v/>
      </c>
      <c r="I509" s="17">
        <f>IF($C509&lt;&gt;"دستمزد گروهی","—",IF($H509="","",IF(ROUND($H509-IF($G509="",0,$G509),0)=0,"√","▲ مغایرت "&amp;TEXT(IF($G509="",0,$G509)-$H509,"#,##0"))))</f>
        <v/>
      </c>
      <c r="J509" s="18" t="n"/>
    </row>
    <row r="510">
      <c r="A510" s="19">
        <f>IF($B510="","",COUNTA($B$9:$B510))</f>
        <v/>
      </c>
      <c r="B510" s="11" t="n"/>
      <c r="C510" s="12" t="n"/>
      <c r="D510" s="12" t="n"/>
      <c r="E510" s="13" t="n"/>
      <c r="F510" s="20">
        <f>IF($E510="","",IF($C510="دستمزد گروهی",IFERROR(VLOOKUP($E510,WGTbl,2,0),"کد ناشناخته"),IFERROR(IF(VLOOKUP($E510,AcctTblE,4,0)="","(بدون نام)",VLOOKUP($E510,AcctTblE,4,0)),"کد ناشناخته")))</f>
        <v/>
      </c>
      <c r="G510" s="15" t="n"/>
      <c r="H510" s="21">
        <f>IF(OR($C510&lt;&gt;"دستمزد گروهی",$D510=""),"",SUMIFS(ShareAmt,ShareLink,$D510))</f>
        <v/>
      </c>
      <c r="I510" s="22">
        <f>IF($C510&lt;&gt;"دستمزد گروهی","—",IF($H510="","",IF(ROUND($H510-IF($G510="",0,$G510),0)=0,"√","▲ مغایرت "&amp;TEXT(IF($G510="",0,$G510)-$H510,"#,##0"))))</f>
        <v/>
      </c>
      <c r="J510" s="18" t="n"/>
    </row>
    <row r="511">
      <c r="A511" s="10">
        <f>IF($B511="","",COUNTA($B$9:$B511))</f>
        <v/>
      </c>
      <c r="B511" s="11" t="n"/>
      <c r="C511" s="12" t="n"/>
      <c r="D511" s="12" t="n"/>
      <c r="E511" s="13" t="n"/>
      <c r="F511" s="14">
        <f>IF($E511="","",IF($C511="دستمزد گروهی",IFERROR(VLOOKUP($E511,WGTbl,2,0),"کد ناشناخته"),IFERROR(IF(VLOOKUP($E511,AcctTblE,4,0)="","(بدون نام)",VLOOKUP($E511,AcctTblE,4,0)),"کد ناشناخته")))</f>
        <v/>
      </c>
      <c r="G511" s="15" t="n"/>
      <c r="H511" s="16">
        <f>IF(OR($C511&lt;&gt;"دستمزد گروهی",$D511=""),"",SUMIFS(ShareAmt,ShareLink,$D511))</f>
        <v/>
      </c>
      <c r="I511" s="17">
        <f>IF($C511&lt;&gt;"دستمزد گروهی","—",IF($H511="","",IF(ROUND($H511-IF($G511="",0,$G511),0)=0,"√","▲ مغایرت "&amp;TEXT(IF($G511="",0,$G511)-$H511,"#,##0"))))</f>
        <v/>
      </c>
      <c r="J511" s="18" t="n"/>
    </row>
    <row r="512">
      <c r="A512" s="19">
        <f>IF($B512="","",COUNTA($B$9:$B512))</f>
        <v/>
      </c>
      <c r="B512" s="11" t="n"/>
      <c r="C512" s="12" t="n"/>
      <c r="D512" s="12" t="n"/>
      <c r="E512" s="13" t="n"/>
      <c r="F512" s="20">
        <f>IF($E512="","",IF($C512="دستمزد گروهی",IFERROR(VLOOKUP($E512,WGTbl,2,0),"کد ناشناخته"),IFERROR(IF(VLOOKUP($E512,AcctTblE,4,0)="","(بدون نام)",VLOOKUP($E512,AcctTblE,4,0)),"کد ناشناخته")))</f>
        <v/>
      </c>
      <c r="G512" s="15" t="n"/>
      <c r="H512" s="21">
        <f>IF(OR($C512&lt;&gt;"دستمزد گروهی",$D512=""),"",SUMIFS(ShareAmt,ShareLink,$D512))</f>
        <v/>
      </c>
      <c r="I512" s="22">
        <f>IF($C512&lt;&gt;"دستمزد گروهی","—",IF($H512="","",IF(ROUND($H512-IF($G512="",0,$G512),0)=0,"√","▲ مغایرت "&amp;TEXT(IF($G512="",0,$G512)-$H512,"#,##0"))))</f>
        <v/>
      </c>
      <c r="J512" s="18" t="n"/>
    </row>
    <row r="513">
      <c r="A513" s="10">
        <f>IF($B513="","",COUNTA($B$9:$B513))</f>
        <v/>
      </c>
      <c r="B513" s="11" t="n"/>
      <c r="C513" s="12" t="n"/>
      <c r="D513" s="12" t="n"/>
      <c r="E513" s="13" t="n"/>
      <c r="F513" s="14">
        <f>IF($E513="","",IF($C513="دستمزد گروهی",IFERROR(VLOOKUP($E513,WGTbl,2,0),"کد ناشناخته"),IFERROR(IF(VLOOKUP($E513,AcctTblE,4,0)="","(بدون نام)",VLOOKUP($E513,AcctTblE,4,0)),"کد ناشناخته")))</f>
        <v/>
      </c>
      <c r="G513" s="15" t="n"/>
      <c r="H513" s="16">
        <f>IF(OR($C513&lt;&gt;"دستمزد گروهی",$D513=""),"",SUMIFS(ShareAmt,ShareLink,$D513))</f>
        <v/>
      </c>
      <c r="I513" s="17">
        <f>IF($C513&lt;&gt;"دستمزد گروهی","—",IF($H513="","",IF(ROUND($H513-IF($G513="",0,$G513),0)=0,"√","▲ مغایرت "&amp;TEXT(IF($G513="",0,$G513)-$H513,"#,##0"))))</f>
        <v/>
      </c>
      <c r="J513" s="18" t="n"/>
    </row>
    <row r="514">
      <c r="A514" s="19">
        <f>IF($B514="","",COUNTA($B$9:$B514))</f>
        <v/>
      </c>
      <c r="B514" s="11" t="n"/>
      <c r="C514" s="12" t="n"/>
      <c r="D514" s="12" t="n"/>
      <c r="E514" s="13" t="n"/>
      <c r="F514" s="20">
        <f>IF($E514="","",IF($C514="دستمزد گروهی",IFERROR(VLOOKUP($E514,WGTbl,2,0),"کد ناشناخته"),IFERROR(IF(VLOOKUP($E514,AcctTblE,4,0)="","(بدون نام)",VLOOKUP($E514,AcctTblE,4,0)),"کد ناشناخته")))</f>
        <v/>
      </c>
      <c r="G514" s="15" t="n"/>
      <c r="H514" s="21">
        <f>IF(OR($C514&lt;&gt;"دستمزد گروهی",$D514=""),"",SUMIFS(ShareAmt,ShareLink,$D514))</f>
        <v/>
      </c>
      <c r="I514" s="22">
        <f>IF($C514&lt;&gt;"دستمزد گروهی","—",IF($H514="","",IF(ROUND($H514-IF($G514="",0,$G514),0)=0,"√","▲ مغایرت "&amp;TEXT(IF($G514="",0,$G514)-$H514,"#,##0"))))</f>
        <v/>
      </c>
      <c r="J514" s="18" t="n"/>
    </row>
    <row r="515">
      <c r="A515" s="10">
        <f>IF($B515="","",COUNTA($B$9:$B515))</f>
        <v/>
      </c>
      <c r="B515" s="11" t="n"/>
      <c r="C515" s="12" t="n"/>
      <c r="D515" s="12" t="n"/>
      <c r="E515" s="13" t="n"/>
      <c r="F515" s="14">
        <f>IF($E515="","",IF($C515="دستمزد گروهی",IFERROR(VLOOKUP($E515,WGTbl,2,0),"کد ناشناخته"),IFERROR(IF(VLOOKUP($E515,AcctTblE,4,0)="","(بدون نام)",VLOOKUP($E515,AcctTblE,4,0)),"کد ناشناخته")))</f>
        <v/>
      </c>
      <c r="G515" s="15" t="n"/>
      <c r="H515" s="16">
        <f>IF(OR($C515&lt;&gt;"دستمزد گروهی",$D515=""),"",SUMIFS(ShareAmt,ShareLink,$D515))</f>
        <v/>
      </c>
      <c r="I515" s="17">
        <f>IF($C515&lt;&gt;"دستمزد گروهی","—",IF($H515="","",IF(ROUND($H515-IF($G515="",0,$G515),0)=0,"√","▲ مغایرت "&amp;TEXT(IF($G515="",0,$G515)-$H515,"#,##0"))))</f>
        <v/>
      </c>
      <c r="J515" s="18" t="n"/>
    </row>
    <row r="516">
      <c r="A516" s="19">
        <f>IF($B516="","",COUNTA($B$9:$B516))</f>
        <v/>
      </c>
      <c r="B516" s="11" t="n"/>
      <c r="C516" s="12" t="n"/>
      <c r="D516" s="12" t="n"/>
      <c r="E516" s="13" t="n"/>
      <c r="F516" s="20">
        <f>IF($E516="","",IF($C516="دستمزد گروهی",IFERROR(VLOOKUP($E516,WGTbl,2,0),"کد ناشناخته"),IFERROR(IF(VLOOKUP($E516,AcctTblE,4,0)="","(بدون نام)",VLOOKUP($E516,AcctTblE,4,0)),"کد ناشناخته")))</f>
        <v/>
      </c>
      <c r="G516" s="15" t="n"/>
      <c r="H516" s="21">
        <f>IF(OR($C516&lt;&gt;"دستمزد گروهی",$D516=""),"",SUMIFS(ShareAmt,ShareLink,$D516))</f>
        <v/>
      </c>
      <c r="I516" s="22">
        <f>IF($C516&lt;&gt;"دستمزد گروهی","—",IF($H516="","",IF(ROUND($H516-IF($G516="",0,$G516),0)=0,"√","▲ مغایرت "&amp;TEXT(IF($G516="",0,$G516)-$H516,"#,##0"))))</f>
        <v/>
      </c>
      <c r="J516" s="18" t="n"/>
    </row>
    <row r="517">
      <c r="A517" s="10">
        <f>IF($B517="","",COUNTA($B$9:$B517))</f>
        <v/>
      </c>
      <c r="B517" s="11" t="n"/>
      <c r="C517" s="12" t="n"/>
      <c r="D517" s="12" t="n"/>
      <c r="E517" s="13" t="n"/>
      <c r="F517" s="14">
        <f>IF($E517="","",IF($C517="دستمزد گروهی",IFERROR(VLOOKUP($E517,WGTbl,2,0),"کد ناشناخته"),IFERROR(IF(VLOOKUP($E517,AcctTblE,4,0)="","(بدون نام)",VLOOKUP($E517,AcctTblE,4,0)),"کد ناشناخته")))</f>
        <v/>
      </c>
      <c r="G517" s="15" t="n"/>
      <c r="H517" s="16">
        <f>IF(OR($C517&lt;&gt;"دستمزد گروهی",$D517=""),"",SUMIFS(ShareAmt,ShareLink,$D517))</f>
        <v/>
      </c>
      <c r="I517" s="17">
        <f>IF($C517&lt;&gt;"دستمزد گروهی","—",IF($H517="","",IF(ROUND($H517-IF($G517="",0,$G517),0)=0,"√","▲ مغایرت "&amp;TEXT(IF($G517="",0,$G517)-$H517,"#,##0"))))</f>
        <v/>
      </c>
      <c r="J517" s="18" t="n"/>
    </row>
    <row r="518">
      <c r="A518" s="19">
        <f>IF($B518="","",COUNTA($B$9:$B518))</f>
        <v/>
      </c>
      <c r="B518" s="11" t="n"/>
      <c r="C518" s="12" t="n"/>
      <c r="D518" s="12" t="n"/>
      <c r="E518" s="13" t="n"/>
      <c r="F518" s="20">
        <f>IF($E518="","",IF($C518="دستمزد گروهی",IFERROR(VLOOKUP($E518,WGTbl,2,0),"کد ناشناخته"),IFERROR(IF(VLOOKUP($E518,AcctTblE,4,0)="","(بدون نام)",VLOOKUP($E518,AcctTblE,4,0)),"کد ناشناخته")))</f>
        <v/>
      </c>
      <c r="G518" s="15" t="n"/>
      <c r="H518" s="21">
        <f>IF(OR($C518&lt;&gt;"دستمزد گروهی",$D518=""),"",SUMIFS(ShareAmt,ShareLink,$D518))</f>
        <v/>
      </c>
      <c r="I518" s="22">
        <f>IF($C518&lt;&gt;"دستمزد گروهی","—",IF($H518="","",IF(ROUND($H518-IF($G518="",0,$G518),0)=0,"√","▲ مغایرت "&amp;TEXT(IF($G518="",0,$G518)-$H518,"#,##0"))))</f>
        <v/>
      </c>
      <c r="J518" s="18" t="n"/>
    </row>
    <row r="519">
      <c r="A519" s="10">
        <f>IF($B519="","",COUNTA($B$9:$B519))</f>
        <v/>
      </c>
      <c r="B519" s="11" t="n"/>
      <c r="C519" s="12" t="n"/>
      <c r="D519" s="12" t="n"/>
      <c r="E519" s="13" t="n"/>
      <c r="F519" s="14">
        <f>IF($E519="","",IF($C519="دستمزد گروهی",IFERROR(VLOOKUP($E519,WGTbl,2,0),"کد ناشناخته"),IFERROR(IF(VLOOKUP($E519,AcctTblE,4,0)="","(بدون نام)",VLOOKUP($E519,AcctTblE,4,0)),"کد ناشناخته")))</f>
        <v/>
      </c>
      <c r="G519" s="15" t="n"/>
      <c r="H519" s="16">
        <f>IF(OR($C519&lt;&gt;"دستمزد گروهی",$D519=""),"",SUMIFS(ShareAmt,ShareLink,$D519))</f>
        <v/>
      </c>
      <c r="I519" s="17">
        <f>IF($C519&lt;&gt;"دستمزد گروهی","—",IF($H519="","",IF(ROUND($H519-IF($G519="",0,$G519),0)=0,"√","▲ مغایرت "&amp;TEXT(IF($G519="",0,$G519)-$H519,"#,##0"))))</f>
        <v/>
      </c>
      <c r="J519" s="18" t="n"/>
    </row>
    <row r="520">
      <c r="A520" s="19">
        <f>IF($B520="","",COUNTA($B$9:$B520))</f>
        <v/>
      </c>
      <c r="B520" s="11" t="n"/>
      <c r="C520" s="12" t="n"/>
      <c r="D520" s="12" t="n"/>
      <c r="E520" s="13" t="n"/>
      <c r="F520" s="20">
        <f>IF($E520="","",IF($C520="دستمزد گروهی",IFERROR(VLOOKUP($E520,WGTbl,2,0),"کد ناشناخته"),IFERROR(IF(VLOOKUP($E520,AcctTblE,4,0)="","(بدون نام)",VLOOKUP($E520,AcctTblE,4,0)),"کد ناشناخته")))</f>
        <v/>
      </c>
      <c r="G520" s="15" t="n"/>
      <c r="H520" s="21">
        <f>IF(OR($C520&lt;&gt;"دستمزد گروهی",$D520=""),"",SUMIFS(ShareAmt,ShareLink,$D520))</f>
        <v/>
      </c>
      <c r="I520" s="22">
        <f>IF($C520&lt;&gt;"دستمزد گروهی","—",IF($H520="","",IF(ROUND($H520-IF($G520="",0,$G520),0)=0,"√","▲ مغایرت "&amp;TEXT(IF($G520="",0,$G520)-$H520,"#,##0"))))</f>
        <v/>
      </c>
      <c r="J520" s="18" t="n"/>
    </row>
    <row r="521">
      <c r="A521" s="10">
        <f>IF($B521="","",COUNTA($B$9:$B521))</f>
        <v/>
      </c>
      <c r="B521" s="11" t="n"/>
      <c r="C521" s="12" t="n"/>
      <c r="D521" s="12" t="n"/>
      <c r="E521" s="13" t="n"/>
      <c r="F521" s="14">
        <f>IF($E521="","",IF($C521="دستمزد گروهی",IFERROR(VLOOKUP($E521,WGTbl,2,0),"کد ناشناخته"),IFERROR(IF(VLOOKUP($E521,AcctTblE,4,0)="","(بدون نام)",VLOOKUP($E521,AcctTblE,4,0)),"کد ناشناخته")))</f>
        <v/>
      </c>
      <c r="G521" s="15" t="n"/>
      <c r="H521" s="16">
        <f>IF(OR($C521&lt;&gt;"دستمزد گروهی",$D521=""),"",SUMIFS(ShareAmt,ShareLink,$D521))</f>
        <v/>
      </c>
      <c r="I521" s="17">
        <f>IF($C521&lt;&gt;"دستمزد گروهی","—",IF($H521="","",IF(ROUND($H521-IF($G521="",0,$G521),0)=0,"√","▲ مغایرت "&amp;TEXT(IF($G521="",0,$G521)-$H521,"#,##0"))))</f>
        <v/>
      </c>
      <c r="J521" s="18" t="n"/>
    </row>
    <row r="522">
      <c r="A522" s="19">
        <f>IF($B522="","",COUNTA($B$9:$B522))</f>
        <v/>
      </c>
      <c r="B522" s="11" t="n"/>
      <c r="C522" s="12" t="n"/>
      <c r="D522" s="12" t="n"/>
      <c r="E522" s="13" t="n"/>
      <c r="F522" s="20">
        <f>IF($E522="","",IF($C522="دستمزد گروهی",IFERROR(VLOOKUP($E522,WGTbl,2,0),"کد ناشناخته"),IFERROR(IF(VLOOKUP($E522,AcctTblE,4,0)="","(بدون نام)",VLOOKUP($E522,AcctTblE,4,0)),"کد ناشناخته")))</f>
        <v/>
      </c>
      <c r="G522" s="15" t="n"/>
      <c r="H522" s="21">
        <f>IF(OR($C522&lt;&gt;"دستمزد گروهی",$D522=""),"",SUMIFS(ShareAmt,ShareLink,$D522))</f>
        <v/>
      </c>
      <c r="I522" s="22">
        <f>IF($C522&lt;&gt;"دستمزد گروهی","—",IF($H522="","",IF(ROUND($H522-IF($G522="",0,$G522),0)=0,"√","▲ مغایرت "&amp;TEXT(IF($G522="",0,$G522)-$H522,"#,##0"))))</f>
        <v/>
      </c>
      <c r="J522" s="18" t="n"/>
    </row>
    <row r="523">
      <c r="A523" s="10">
        <f>IF($B523="","",COUNTA($B$9:$B523))</f>
        <v/>
      </c>
      <c r="B523" s="11" t="n"/>
      <c r="C523" s="12" t="n"/>
      <c r="D523" s="12" t="n"/>
      <c r="E523" s="13" t="n"/>
      <c r="F523" s="14">
        <f>IF($E523="","",IF($C523="دستمزد گروهی",IFERROR(VLOOKUP($E523,WGTbl,2,0),"کد ناشناخته"),IFERROR(IF(VLOOKUP($E523,AcctTblE,4,0)="","(بدون نام)",VLOOKUP($E523,AcctTblE,4,0)),"کد ناشناخته")))</f>
        <v/>
      </c>
      <c r="G523" s="15" t="n"/>
      <c r="H523" s="16">
        <f>IF(OR($C523&lt;&gt;"دستمزد گروهی",$D523=""),"",SUMIFS(ShareAmt,ShareLink,$D523))</f>
        <v/>
      </c>
      <c r="I523" s="17">
        <f>IF($C523&lt;&gt;"دستمزد گروهی","—",IF($H523="","",IF(ROUND($H523-IF($G523="",0,$G523),0)=0,"√","▲ مغایرت "&amp;TEXT(IF($G523="",0,$G523)-$H523,"#,##0"))))</f>
        <v/>
      </c>
      <c r="J523" s="18" t="n"/>
    </row>
    <row r="524">
      <c r="A524" s="19">
        <f>IF($B524="","",COUNTA($B$9:$B524))</f>
        <v/>
      </c>
      <c r="B524" s="11" t="n"/>
      <c r="C524" s="12" t="n"/>
      <c r="D524" s="12" t="n"/>
      <c r="E524" s="13" t="n"/>
      <c r="F524" s="20">
        <f>IF($E524="","",IF($C524="دستمزد گروهی",IFERROR(VLOOKUP($E524,WGTbl,2,0),"کد ناشناخته"),IFERROR(IF(VLOOKUP($E524,AcctTblE,4,0)="","(بدون نام)",VLOOKUP($E524,AcctTblE,4,0)),"کد ناشناخته")))</f>
        <v/>
      </c>
      <c r="G524" s="15" t="n"/>
      <c r="H524" s="21">
        <f>IF(OR($C524&lt;&gt;"دستمزد گروهی",$D524=""),"",SUMIFS(ShareAmt,ShareLink,$D524))</f>
        <v/>
      </c>
      <c r="I524" s="22">
        <f>IF($C524&lt;&gt;"دستمزد گروهی","—",IF($H524="","",IF(ROUND($H524-IF($G524="",0,$G524),0)=0,"√","▲ مغایرت "&amp;TEXT(IF($G524="",0,$G524)-$H524,"#,##0"))))</f>
        <v/>
      </c>
      <c r="J524" s="18" t="n"/>
    </row>
    <row r="525">
      <c r="A525" s="10">
        <f>IF($B525="","",COUNTA($B$9:$B525))</f>
        <v/>
      </c>
      <c r="B525" s="11" t="n"/>
      <c r="C525" s="12" t="n"/>
      <c r="D525" s="12" t="n"/>
      <c r="E525" s="13" t="n"/>
      <c r="F525" s="14">
        <f>IF($E525="","",IF($C525="دستمزد گروهی",IFERROR(VLOOKUP($E525,WGTbl,2,0),"کد ناشناخته"),IFERROR(IF(VLOOKUP($E525,AcctTblE,4,0)="","(بدون نام)",VLOOKUP($E525,AcctTblE,4,0)),"کد ناشناخته")))</f>
        <v/>
      </c>
      <c r="G525" s="15" t="n"/>
      <c r="H525" s="16">
        <f>IF(OR($C525&lt;&gt;"دستمزد گروهی",$D525=""),"",SUMIFS(ShareAmt,ShareLink,$D525))</f>
        <v/>
      </c>
      <c r="I525" s="17">
        <f>IF($C525&lt;&gt;"دستمزد گروهی","—",IF($H525="","",IF(ROUND($H525-IF($G525="",0,$G525),0)=0,"√","▲ مغایرت "&amp;TEXT(IF($G525="",0,$G525)-$H525,"#,##0"))))</f>
        <v/>
      </c>
      <c r="J525" s="18" t="n"/>
    </row>
    <row r="526">
      <c r="A526" s="19">
        <f>IF($B526="","",COUNTA($B$9:$B526))</f>
        <v/>
      </c>
      <c r="B526" s="11" t="n"/>
      <c r="C526" s="12" t="n"/>
      <c r="D526" s="12" t="n"/>
      <c r="E526" s="13" t="n"/>
      <c r="F526" s="20">
        <f>IF($E526="","",IF($C526="دستمزد گروهی",IFERROR(VLOOKUP($E526,WGTbl,2,0),"کد ناشناخته"),IFERROR(IF(VLOOKUP($E526,AcctTblE,4,0)="","(بدون نام)",VLOOKUP($E526,AcctTblE,4,0)),"کد ناشناخته")))</f>
        <v/>
      </c>
      <c r="G526" s="15" t="n"/>
      <c r="H526" s="21">
        <f>IF(OR($C526&lt;&gt;"دستمزد گروهی",$D526=""),"",SUMIFS(ShareAmt,ShareLink,$D526))</f>
        <v/>
      </c>
      <c r="I526" s="22">
        <f>IF($C526&lt;&gt;"دستمزد گروهی","—",IF($H526="","",IF(ROUND($H526-IF($G526="",0,$G526),0)=0,"√","▲ مغایرت "&amp;TEXT(IF($G526="",0,$G526)-$H526,"#,##0"))))</f>
        <v/>
      </c>
      <c r="J526" s="18" t="n"/>
    </row>
    <row r="527">
      <c r="A527" s="10">
        <f>IF($B527="","",COUNTA($B$9:$B527))</f>
        <v/>
      </c>
      <c r="B527" s="11" t="n"/>
      <c r="C527" s="12" t="n"/>
      <c r="D527" s="12" t="n"/>
      <c r="E527" s="13" t="n"/>
      <c r="F527" s="14">
        <f>IF($E527="","",IF($C527="دستمزد گروهی",IFERROR(VLOOKUP($E527,WGTbl,2,0),"کد ناشناخته"),IFERROR(IF(VLOOKUP($E527,AcctTblE,4,0)="","(بدون نام)",VLOOKUP($E527,AcctTblE,4,0)),"کد ناشناخته")))</f>
        <v/>
      </c>
      <c r="G527" s="15" t="n"/>
      <c r="H527" s="16">
        <f>IF(OR($C527&lt;&gt;"دستمزد گروهی",$D527=""),"",SUMIFS(ShareAmt,ShareLink,$D527))</f>
        <v/>
      </c>
      <c r="I527" s="17">
        <f>IF($C527&lt;&gt;"دستمزد گروهی","—",IF($H527="","",IF(ROUND($H527-IF($G527="",0,$G527),0)=0,"√","▲ مغایرت "&amp;TEXT(IF($G527="",0,$G527)-$H527,"#,##0"))))</f>
        <v/>
      </c>
      <c r="J527" s="18" t="n"/>
    </row>
    <row r="528">
      <c r="A528" s="19">
        <f>IF($B528="","",COUNTA($B$9:$B528))</f>
        <v/>
      </c>
      <c r="B528" s="11" t="n"/>
      <c r="C528" s="12" t="n"/>
      <c r="D528" s="12" t="n"/>
      <c r="E528" s="13" t="n"/>
      <c r="F528" s="20">
        <f>IF($E528="","",IF($C528="دستمزد گروهی",IFERROR(VLOOKUP($E528,WGTbl,2,0),"کد ناشناخته"),IFERROR(IF(VLOOKUP($E528,AcctTblE,4,0)="","(بدون نام)",VLOOKUP($E528,AcctTblE,4,0)),"کد ناشناخته")))</f>
        <v/>
      </c>
      <c r="G528" s="15" t="n"/>
      <c r="H528" s="21">
        <f>IF(OR($C528&lt;&gt;"دستمزد گروهی",$D528=""),"",SUMIFS(ShareAmt,ShareLink,$D528))</f>
        <v/>
      </c>
      <c r="I528" s="22">
        <f>IF($C528&lt;&gt;"دستمزد گروهی","—",IF($H528="","",IF(ROUND($H528-IF($G528="",0,$G528),0)=0,"√","▲ مغایرت "&amp;TEXT(IF($G528="",0,$G528)-$H528,"#,##0"))))</f>
        <v/>
      </c>
      <c r="J528" s="18" t="n"/>
    </row>
    <row r="529">
      <c r="A529" s="10">
        <f>IF($B529="","",COUNTA($B$9:$B529))</f>
        <v/>
      </c>
      <c r="B529" s="11" t="n"/>
      <c r="C529" s="12" t="n"/>
      <c r="D529" s="12" t="n"/>
      <c r="E529" s="13" t="n"/>
      <c r="F529" s="14">
        <f>IF($E529="","",IF($C529="دستمزد گروهی",IFERROR(VLOOKUP($E529,WGTbl,2,0),"کد ناشناخته"),IFERROR(IF(VLOOKUP($E529,AcctTblE,4,0)="","(بدون نام)",VLOOKUP($E529,AcctTblE,4,0)),"کد ناشناخته")))</f>
        <v/>
      </c>
      <c r="G529" s="15" t="n"/>
      <c r="H529" s="16">
        <f>IF(OR($C529&lt;&gt;"دستمزد گروهی",$D529=""),"",SUMIFS(ShareAmt,ShareLink,$D529))</f>
        <v/>
      </c>
      <c r="I529" s="17">
        <f>IF($C529&lt;&gt;"دستمزد گروهی","—",IF($H529="","",IF(ROUND($H529-IF($G529="",0,$G529),0)=0,"√","▲ مغایرت "&amp;TEXT(IF($G529="",0,$G529)-$H529,"#,##0"))))</f>
        <v/>
      </c>
      <c r="J529" s="18" t="n"/>
    </row>
    <row r="530">
      <c r="A530" s="19">
        <f>IF($B530="","",COUNTA($B$9:$B530))</f>
        <v/>
      </c>
      <c r="B530" s="11" t="n"/>
      <c r="C530" s="12" t="n"/>
      <c r="D530" s="12" t="n"/>
      <c r="E530" s="13" t="n"/>
      <c r="F530" s="20">
        <f>IF($E530="","",IF($C530="دستمزد گروهی",IFERROR(VLOOKUP($E530,WGTbl,2,0),"کد ناشناخته"),IFERROR(IF(VLOOKUP($E530,AcctTblE,4,0)="","(بدون نام)",VLOOKUP($E530,AcctTblE,4,0)),"کد ناشناخته")))</f>
        <v/>
      </c>
      <c r="G530" s="15" t="n"/>
      <c r="H530" s="21">
        <f>IF(OR($C530&lt;&gt;"دستمزد گروهی",$D530=""),"",SUMIFS(ShareAmt,ShareLink,$D530))</f>
        <v/>
      </c>
      <c r="I530" s="22">
        <f>IF($C530&lt;&gt;"دستمزد گروهی","—",IF($H530="","",IF(ROUND($H530-IF($G530="",0,$G530),0)=0,"√","▲ مغایرت "&amp;TEXT(IF($G530="",0,$G530)-$H530,"#,##0"))))</f>
        <v/>
      </c>
      <c r="J530" s="18" t="n"/>
    </row>
    <row r="531">
      <c r="A531" s="10">
        <f>IF($B531="","",COUNTA($B$9:$B531))</f>
        <v/>
      </c>
      <c r="B531" s="11" t="n"/>
      <c r="C531" s="12" t="n"/>
      <c r="D531" s="12" t="n"/>
      <c r="E531" s="13" t="n"/>
      <c r="F531" s="14">
        <f>IF($E531="","",IF($C531="دستمزد گروهی",IFERROR(VLOOKUP($E531,WGTbl,2,0),"کد ناشناخته"),IFERROR(IF(VLOOKUP($E531,AcctTblE,4,0)="","(بدون نام)",VLOOKUP($E531,AcctTblE,4,0)),"کد ناشناخته")))</f>
        <v/>
      </c>
      <c r="G531" s="15" t="n"/>
      <c r="H531" s="16">
        <f>IF(OR($C531&lt;&gt;"دستمزد گروهی",$D531=""),"",SUMIFS(ShareAmt,ShareLink,$D531))</f>
        <v/>
      </c>
      <c r="I531" s="17">
        <f>IF($C531&lt;&gt;"دستمزد گروهی","—",IF($H531="","",IF(ROUND($H531-IF($G531="",0,$G531),0)=0,"√","▲ مغایرت "&amp;TEXT(IF($G531="",0,$G531)-$H531,"#,##0"))))</f>
        <v/>
      </c>
      <c r="J531" s="18" t="n"/>
    </row>
    <row r="532">
      <c r="A532" s="19">
        <f>IF($B532="","",COUNTA($B$9:$B532))</f>
        <v/>
      </c>
      <c r="B532" s="11" t="n"/>
      <c r="C532" s="12" t="n"/>
      <c r="D532" s="12" t="n"/>
      <c r="E532" s="13" t="n"/>
      <c r="F532" s="20">
        <f>IF($E532="","",IF($C532="دستمزد گروهی",IFERROR(VLOOKUP($E532,WGTbl,2,0),"کد ناشناخته"),IFERROR(IF(VLOOKUP($E532,AcctTblE,4,0)="","(بدون نام)",VLOOKUP($E532,AcctTblE,4,0)),"کد ناشناخته")))</f>
        <v/>
      </c>
      <c r="G532" s="15" t="n"/>
      <c r="H532" s="21">
        <f>IF(OR($C532&lt;&gt;"دستمزد گروهی",$D532=""),"",SUMIFS(ShareAmt,ShareLink,$D532))</f>
        <v/>
      </c>
      <c r="I532" s="22">
        <f>IF($C532&lt;&gt;"دستمزد گروهی","—",IF($H532="","",IF(ROUND($H532-IF($G532="",0,$G532),0)=0,"√","▲ مغایرت "&amp;TEXT(IF($G532="",0,$G532)-$H532,"#,##0"))))</f>
        <v/>
      </c>
      <c r="J532" s="18" t="n"/>
    </row>
    <row r="533">
      <c r="A533" s="10">
        <f>IF($B533="","",COUNTA($B$9:$B533))</f>
        <v/>
      </c>
      <c r="B533" s="11" t="n"/>
      <c r="C533" s="12" t="n"/>
      <c r="D533" s="12" t="n"/>
      <c r="E533" s="13" t="n"/>
      <c r="F533" s="14">
        <f>IF($E533="","",IF($C533="دستمزد گروهی",IFERROR(VLOOKUP($E533,WGTbl,2,0),"کد ناشناخته"),IFERROR(IF(VLOOKUP($E533,AcctTblE,4,0)="","(بدون نام)",VLOOKUP($E533,AcctTblE,4,0)),"کد ناشناخته")))</f>
        <v/>
      </c>
      <c r="G533" s="15" t="n"/>
      <c r="H533" s="16">
        <f>IF(OR($C533&lt;&gt;"دستمزد گروهی",$D533=""),"",SUMIFS(ShareAmt,ShareLink,$D533))</f>
        <v/>
      </c>
      <c r="I533" s="17">
        <f>IF($C533&lt;&gt;"دستمزد گروهی","—",IF($H533="","",IF(ROUND($H533-IF($G533="",0,$G533),0)=0,"√","▲ مغایرت "&amp;TEXT(IF($G533="",0,$G533)-$H533,"#,##0"))))</f>
        <v/>
      </c>
      <c r="J533" s="18" t="n"/>
    </row>
    <row r="534">
      <c r="A534" s="19">
        <f>IF($B534="","",COUNTA($B$9:$B534))</f>
        <v/>
      </c>
      <c r="B534" s="11" t="n"/>
      <c r="C534" s="12" t="n"/>
      <c r="D534" s="12" t="n"/>
      <c r="E534" s="13" t="n"/>
      <c r="F534" s="20">
        <f>IF($E534="","",IF($C534="دستمزد گروهی",IFERROR(VLOOKUP($E534,WGTbl,2,0),"کد ناشناخته"),IFERROR(IF(VLOOKUP($E534,AcctTblE,4,0)="","(بدون نام)",VLOOKUP($E534,AcctTblE,4,0)),"کد ناشناخته")))</f>
        <v/>
      </c>
      <c r="G534" s="15" t="n"/>
      <c r="H534" s="21">
        <f>IF(OR($C534&lt;&gt;"دستمزد گروهی",$D534=""),"",SUMIFS(ShareAmt,ShareLink,$D534))</f>
        <v/>
      </c>
      <c r="I534" s="22">
        <f>IF($C534&lt;&gt;"دستمزد گروهی","—",IF($H534="","",IF(ROUND($H534-IF($G534="",0,$G534),0)=0,"√","▲ مغایرت "&amp;TEXT(IF($G534="",0,$G534)-$H534,"#,##0"))))</f>
        <v/>
      </c>
      <c r="J534" s="18" t="n"/>
    </row>
    <row r="535">
      <c r="A535" s="10">
        <f>IF($B535="","",COUNTA($B$9:$B535))</f>
        <v/>
      </c>
      <c r="B535" s="11" t="n"/>
      <c r="C535" s="12" t="n"/>
      <c r="D535" s="12" t="n"/>
      <c r="E535" s="13" t="n"/>
      <c r="F535" s="14">
        <f>IF($E535="","",IF($C535="دستمزد گروهی",IFERROR(VLOOKUP($E535,WGTbl,2,0),"کد ناشناخته"),IFERROR(IF(VLOOKUP($E535,AcctTblE,4,0)="","(بدون نام)",VLOOKUP($E535,AcctTblE,4,0)),"کد ناشناخته")))</f>
        <v/>
      </c>
      <c r="G535" s="15" t="n"/>
      <c r="H535" s="16">
        <f>IF(OR($C535&lt;&gt;"دستمزد گروهی",$D535=""),"",SUMIFS(ShareAmt,ShareLink,$D535))</f>
        <v/>
      </c>
      <c r="I535" s="17">
        <f>IF($C535&lt;&gt;"دستمزد گروهی","—",IF($H535="","",IF(ROUND($H535-IF($G535="",0,$G535),0)=0,"√","▲ مغایرت "&amp;TEXT(IF($G535="",0,$G535)-$H535,"#,##0"))))</f>
        <v/>
      </c>
      <c r="J535" s="18" t="n"/>
    </row>
    <row r="536">
      <c r="A536" s="19">
        <f>IF($B536="","",COUNTA($B$9:$B536))</f>
        <v/>
      </c>
      <c r="B536" s="11" t="n"/>
      <c r="C536" s="12" t="n"/>
      <c r="D536" s="12" t="n"/>
      <c r="E536" s="13" t="n"/>
      <c r="F536" s="20">
        <f>IF($E536="","",IF($C536="دستمزد گروهی",IFERROR(VLOOKUP($E536,WGTbl,2,0),"کد ناشناخته"),IFERROR(IF(VLOOKUP($E536,AcctTblE,4,0)="","(بدون نام)",VLOOKUP($E536,AcctTblE,4,0)),"کد ناشناخته")))</f>
        <v/>
      </c>
      <c r="G536" s="15" t="n"/>
      <c r="H536" s="21">
        <f>IF(OR($C536&lt;&gt;"دستمزد گروهی",$D536=""),"",SUMIFS(ShareAmt,ShareLink,$D536))</f>
        <v/>
      </c>
      <c r="I536" s="22">
        <f>IF($C536&lt;&gt;"دستمزد گروهی","—",IF($H536="","",IF(ROUND($H536-IF($G536="",0,$G536),0)=0,"√","▲ مغایرت "&amp;TEXT(IF($G536="",0,$G536)-$H536,"#,##0"))))</f>
        <v/>
      </c>
      <c r="J536" s="18" t="n"/>
    </row>
    <row r="537">
      <c r="A537" s="10">
        <f>IF($B537="","",COUNTA($B$9:$B537))</f>
        <v/>
      </c>
      <c r="B537" s="11" t="n"/>
      <c r="C537" s="12" t="n"/>
      <c r="D537" s="12" t="n"/>
      <c r="E537" s="13" t="n"/>
      <c r="F537" s="14">
        <f>IF($E537="","",IF($C537="دستمزد گروهی",IFERROR(VLOOKUP($E537,WGTbl,2,0),"کد ناشناخته"),IFERROR(IF(VLOOKUP($E537,AcctTblE,4,0)="","(بدون نام)",VLOOKUP($E537,AcctTblE,4,0)),"کد ناشناخته")))</f>
        <v/>
      </c>
      <c r="G537" s="15" t="n"/>
      <c r="H537" s="16">
        <f>IF(OR($C537&lt;&gt;"دستمزد گروهی",$D537=""),"",SUMIFS(ShareAmt,ShareLink,$D537))</f>
        <v/>
      </c>
      <c r="I537" s="17">
        <f>IF($C537&lt;&gt;"دستمزد گروهی","—",IF($H537="","",IF(ROUND($H537-IF($G537="",0,$G537),0)=0,"√","▲ مغایرت "&amp;TEXT(IF($G537="",0,$G537)-$H537,"#,##0"))))</f>
        <v/>
      </c>
      <c r="J537" s="18" t="n"/>
    </row>
    <row r="538">
      <c r="A538" s="19">
        <f>IF($B538="","",COUNTA($B$9:$B538))</f>
        <v/>
      </c>
      <c r="B538" s="11" t="n"/>
      <c r="C538" s="12" t="n"/>
      <c r="D538" s="12" t="n"/>
      <c r="E538" s="13" t="n"/>
      <c r="F538" s="20">
        <f>IF($E538="","",IF($C538="دستمزد گروهی",IFERROR(VLOOKUP($E538,WGTbl,2,0),"کد ناشناخته"),IFERROR(IF(VLOOKUP($E538,AcctTblE,4,0)="","(بدون نام)",VLOOKUP($E538,AcctTblE,4,0)),"کد ناشناخته")))</f>
        <v/>
      </c>
      <c r="G538" s="15" t="n"/>
      <c r="H538" s="21">
        <f>IF(OR($C538&lt;&gt;"دستمزد گروهی",$D538=""),"",SUMIFS(ShareAmt,ShareLink,$D538))</f>
        <v/>
      </c>
      <c r="I538" s="22">
        <f>IF($C538&lt;&gt;"دستمزد گروهی","—",IF($H538="","",IF(ROUND($H538-IF($G538="",0,$G538),0)=0,"√","▲ مغایرت "&amp;TEXT(IF($G538="",0,$G538)-$H538,"#,##0"))))</f>
        <v/>
      </c>
      <c r="J538" s="18" t="n"/>
    </row>
    <row r="539">
      <c r="A539" s="10">
        <f>IF($B539="","",COUNTA($B$9:$B539))</f>
        <v/>
      </c>
      <c r="B539" s="11" t="n"/>
      <c r="C539" s="12" t="n"/>
      <c r="D539" s="12" t="n"/>
      <c r="E539" s="13" t="n"/>
      <c r="F539" s="14">
        <f>IF($E539="","",IF($C539="دستمزد گروهی",IFERROR(VLOOKUP($E539,WGTbl,2,0),"کد ناشناخته"),IFERROR(IF(VLOOKUP($E539,AcctTblE,4,0)="","(بدون نام)",VLOOKUP($E539,AcctTblE,4,0)),"کد ناشناخته")))</f>
        <v/>
      </c>
      <c r="G539" s="15" t="n"/>
      <c r="H539" s="16">
        <f>IF(OR($C539&lt;&gt;"دستمزد گروهی",$D539=""),"",SUMIFS(ShareAmt,ShareLink,$D539))</f>
        <v/>
      </c>
      <c r="I539" s="17">
        <f>IF($C539&lt;&gt;"دستمزد گروهی","—",IF($H539="","",IF(ROUND($H539-IF($G539="",0,$G539),0)=0,"√","▲ مغایرت "&amp;TEXT(IF($G539="",0,$G539)-$H539,"#,##0"))))</f>
        <v/>
      </c>
      <c r="J539" s="18" t="n"/>
    </row>
    <row r="540">
      <c r="A540" s="19">
        <f>IF($B540="","",COUNTA($B$9:$B540))</f>
        <v/>
      </c>
      <c r="B540" s="11" t="n"/>
      <c r="C540" s="12" t="n"/>
      <c r="D540" s="12" t="n"/>
      <c r="E540" s="13" t="n"/>
      <c r="F540" s="20">
        <f>IF($E540="","",IF($C540="دستمزد گروهی",IFERROR(VLOOKUP($E540,WGTbl,2,0),"کد ناشناخته"),IFERROR(IF(VLOOKUP($E540,AcctTblE,4,0)="","(بدون نام)",VLOOKUP($E540,AcctTblE,4,0)),"کد ناشناخته")))</f>
        <v/>
      </c>
      <c r="G540" s="15" t="n"/>
      <c r="H540" s="21">
        <f>IF(OR($C540&lt;&gt;"دستمزد گروهی",$D540=""),"",SUMIFS(ShareAmt,ShareLink,$D540))</f>
        <v/>
      </c>
      <c r="I540" s="22">
        <f>IF($C540&lt;&gt;"دستمزد گروهی","—",IF($H540="","",IF(ROUND($H540-IF($G540="",0,$G540),0)=0,"√","▲ مغایرت "&amp;TEXT(IF($G540="",0,$G540)-$H540,"#,##0"))))</f>
        <v/>
      </c>
      <c r="J540" s="18" t="n"/>
    </row>
    <row r="541">
      <c r="A541" s="10">
        <f>IF($B541="","",COUNTA($B$9:$B541))</f>
        <v/>
      </c>
      <c r="B541" s="11" t="n"/>
      <c r="C541" s="12" t="n"/>
      <c r="D541" s="12" t="n"/>
      <c r="E541" s="13" t="n"/>
      <c r="F541" s="14">
        <f>IF($E541="","",IF($C541="دستمزد گروهی",IFERROR(VLOOKUP($E541,WGTbl,2,0),"کد ناشناخته"),IFERROR(IF(VLOOKUP($E541,AcctTblE,4,0)="","(بدون نام)",VLOOKUP($E541,AcctTblE,4,0)),"کد ناشناخته")))</f>
        <v/>
      </c>
      <c r="G541" s="15" t="n"/>
      <c r="H541" s="16">
        <f>IF(OR($C541&lt;&gt;"دستمزد گروهی",$D541=""),"",SUMIFS(ShareAmt,ShareLink,$D541))</f>
        <v/>
      </c>
      <c r="I541" s="17">
        <f>IF($C541&lt;&gt;"دستمزد گروهی","—",IF($H541="","",IF(ROUND($H541-IF($G541="",0,$G541),0)=0,"√","▲ مغایرت "&amp;TEXT(IF($G541="",0,$G541)-$H541,"#,##0"))))</f>
        <v/>
      </c>
      <c r="J541" s="18" t="n"/>
    </row>
    <row r="542">
      <c r="A542" s="19">
        <f>IF($B542="","",COUNTA($B$9:$B542))</f>
        <v/>
      </c>
      <c r="B542" s="11" t="n"/>
      <c r="C542" s="12" t="n"/>
      <c r="D542" s="12" t="n"/>
      <c r="E542" s="13" t="n"/>
      <c r="F542" s="20">
        <f>IF($E542="","",IF($C542="دستمزد گروهی",IFERROR(VLOOKUP($E542,WGTbl,2,0),"کد ناشناخته"),IFERROR(IF(VLOOKUP($E542,AcctTblE,4,0)="","(بدون نام)",VLOOKUP($E542,AcctTblE,4,0)),"کد ناشناخته")))</f>
        <v/>
      </c>
      <c r="G542" s="15" t="n"/>
      <c r="H542" s="21">
        <f>IF(OR($C542&lt;&gt;"دستمزد گروهی",$D542=""),"",SUMIFS(ShareAmt,ShareLink,$D542))</f>
        <v/>
      </c>
      <c r="I542" s="22">
        <f>IF($C542&lt;&gt;"دستمزد گروهی","—",IF($H542="","",IF(ROUND($H542-IF($G542="",0,$G542),0)=0,"√","▲ مغایرت "&amp;TEXT(IF($G542="",0,$G542)-$H542,"#,##0"))))</f>
        <v/>
      </c>
      <c r="J542" s="18" t="n"/>
    </row>
    <row r="543">
      <c r="A543" s="10">
        <f>IF($B543="","",COUNTA($B$9:$B543))</f>
        <v/>
      </c>
      <c r="B543" s="11" t="n"/>
      <c r="C543" s="12" t="n"/>
      <c r="D543" s="12" t="n"/>
      <c r="E543" s="13" t="n"/>
      <c r="F543" s="14">
        <f>IF($E543="","",IF($C543="دستمزد گروهی",IFERROR(VLOOKUP($E543,WGTbl,2,0),"کد ناشناخته"),IFERROR(IF(VLOOKUP($E543,AcctTblE,4,0)="","(بدون نام)",VLOOKUP($E543,AcctTblE,4,0)),"کد ناشناخته")))</f>
        <v/>
      </c>
      <c r="G543" s="15" t="n"/>
      <c r="H543" s="16">
        <f>IF(OR($C543&lt;&gt;"دستمزد گروهی",$D543=""),"",SUMIFS(ShareAmt,ShareLink,$D543))</f>
        <v/>
      </c>
      <c r="I543" s="17">
        <f>IF($C543&lt;&gt;"دستمزد گروهی","—",IF($H543="","",IF(ROUND($H543-IF($G543="",0,$G543),0)=0,"√","▲ مغایرت "&amp;TEXT(IF($G543="",0,$G543)-$H543,"#,##0"))))</f>
        <v/>
      </c>
      <c r="J543" s="18" t="n"/>
    </row>
    <row r="544">
      <c r="A544" s="19">
        <f>IF($B544="","",COUNTA($B$9:$B544))</f>
        <v/>
      </c>
      <c r="B544" s="11" t="n"/>
      <c r="C544" s="12" t="n"/>
      <c r="D544" s="12" t="n"/>
      <c r="E544" s="13" t="n"/>
      <c r="F544" s="20">
        <f>IF($E544="","",IF($C544="دستمزد گروهی",IFERROR(VLOOKUP($E544,WGTbl,2,0),"کد ناشناخته"),IFERROR(IF(VLOOKUP($E544,AcctTblE,4,0)="","(بدون نام)",VLOOKUP($E544,AcctTblE,4,0)),"کد ناشناخته")))</f>
        <v/>
      </c>
      <c r="G544" s="15" t="n"/>
      <c r="H544" s="21">
        <f>IF(OR($C544&lt;&gt;"دستمزد گروهی",$D544=""),"",SUMIFS(ShareAmt,ShareLink,$D544))</f>
        <v/>
      </c>
      <c r="I544" s="22">
        <f>IF($C544&lt;&gt;"دستمزد گروهی","—",IF($H544="","",IF(ROUND($H544-IF($G544="",0,$G544),0)=0,"√","▲ مغایرت "&amp;TEXT(IF($G544="",0,$G544)-$H544,"#,##0"))))</f>
        <v/>
      </c>
      <c r="J544" s="18" t="n"/>
    </row>
    <row r="545">
      <c r="A545" s="10">
        <f>IF($B545="","",COUNTA($B$9:$B545))</f>
        <v/>
      </c>
      <c r="B545" s="11" t="n"/>
      <c r="C545" s="12" t="n"/>
      <c r="D545" s="12" t="n"/>
      <c r="E545" s="13" t="n"/>
      <c r="F545" s="14">
        <f>IF($E545="","",IF($C545="دستمزد گروهی",IFERROR(VLOOKUP($E545,WGTbl,2,0),"کد ناشناخته"),IFERROR(IF(VLOOKUP($E545,AcctTblE,4,0)="","(بدون نام)",VLOOKUP($E545,AcctTblE,4,0)),"کد ناشناخته")))</f>
        <v/>
      </c>
      <c r="G545" s="15" t="n"/>
      <c r="H545" s="16">
        <f>IF(OR($C545&lt;&gt;"دستمزد گروهی",$D545=""),"",SUMIFS(ShareAmt,ShareLink,$D545))</f>
        <v/>
      </c>
      <c r="I545" s="17">
        <f>IF($C545&lt;&gt;"دستمزد گروهی","—",IF($H545="","",IF(ROUND($H545-IF($G545="",0,$G545),0)=0,"√","▲ مغایرت "&amp;TEXT(IF($G545="",0,$G545)-$H545,"#,##0"))))</f>
        <v/>
      </c>
      <c r="J545" s="18" t="n"/>
    </row>
    <row r="546">
      <c r="A546" s="19">
        <f>IF($B546="","",COUNTA($B$9:$B546))</f>
        <v/>
      </c>
      <c r="B546" s="11" t="n"/>
      <c r="C546" s="12" t="n"/>
      <c r="D546" s="12" t="n"/>
      <c r="E546" s="13" t="n"/>
      <c r="F546" s="20">
        <f>IF($E546="","",IF($C546="دستمزد گروهی",IFERROR(VLOOKUP($E546,WGTbl,2,0),"کد ناشناخته"),IFERROR(IF(VLOOKUP($E546,AcctTblE,4,0)="","(بدون نام)",VLOOKUP($E546,AcctTblE,4,0)),"کد ناشناخته")))</f>
        <v/>
      </c>
      <c r="G546" s="15" t="n"/>
      <c r="H546" s="21">
        <f>IF(OR($C546&lt;&gt;"دستمزد گروهی",$D546=""),"",SUMIFS(ShareAmt,ShareLink,$D546))</f>
        <v/>
      </c>
      <c r="I546" s="22">
        <f>IF($C546&lt;&gt;"دستمزد گروهی","—",IF($H546="","",IF(ROUND($H546-IF($G546="",0,$G546),0)=0,"√","▲ مغایرت "&amp;TEXT(IF($G546="",0,$G546)-$H546,"#,##0"))))</f>
        <v/>
      </c>
      <c r="J546" s="18" t="n"/>
    </row>
    <row r="547">
      <c r="A547" s="10">
        <f>IF($B547="","",COUNTA($B$9:$B547))</f>
        <v/>
      </c>
      <c r="B547" s="11" t="n"/>
      <c r="C547" s="12" t="n"/>
      <c r="D547" s="12" t="n"/>
      <c r="E547" s="13" t="n"/>
      <c r="F547" s="14">
        <f>IF($E547="","",IF($C547="دستمزد گروهی",IFERROR(VLOOKUP($E547,WGTbl,2,0),"کد ناشناخته"),IFERROR(IF(VLOOKUP($E547,AcctTblE,4,0)="","(بدون نام)",VLOOKUP($E547,AcctTblE,4,0)),"کد ناشناخته")))</f>
        <v/>
      </c>
      <c r="G547" s="15" t="n"/>
      <c r="H547" s="16">
        <f>IF(OR($C547&lt;&gt;"دستمزد گروهی",$D547=""),"",SUMIFS(ShareAmt,ShareLink,$D547))</f>
        <v/>
      </c>
      <c r="I547" s="17">
        <f>IF($C547&lt;&gt;"دستمزد گروهی","—",IF($H547="","",IF(ROUND($H547-IF($G547="",0,$G547),0)=0,"√","▲ مغایرت "&amp;TEXT(IF($G547="",0,$G547)-$H547,"#,##0"))))</f>
        <v/>
      </c>
      <c r="J547" s="18" t="n"/>
    </row>
    <row r="548">
      <c r="A548" s="19">
        <f>IF($B548="","",COUNTA($B$9:$B548))</f>
        <v/>
      </c>
      <c r="B548" s="11" t="n"/>
      <c r="C548" s="12" t="n"/>
      <c r="D548" s="12" t="n"/>
      <c r="E548" s="13" t="n"/>
      <c r="F548" s="20">
        <f>IF($E548="","",IF($C548="دستمزد گروهی",IFERROR(VLOOKUP($E548,WGTbl,2,0),"کد ناشناخته"),IFERROR(IF(VLOOKUP($E548,AcctTblE,4,0)="","(بدون نام)",VLOOKUP($E548,AcctTblE,4,0)),"کد ناشناخته")))</f>
        <v/>
      </c>
      <c r="G548" s="15" t="n"/>
      <c r="H548" s="21">
        <f>IF(OR($C548&lt;&gt;"دستمزد گروهی",$D548=""),"",SUMIFS(ShareAmt,ShareLink,$D548))</f>
        <v/>
      </c>
      <c r="I548" s="22">
        <f>IF($C548&lt;&gt;"دستمزد گروهی","—",IF($H548="","",IF(ROUND($H548-IF($G548="",0,$G548),0)=0,"√","▲ مغایرت "&amp;TEXT(IF($G548="",0,$G548)-$H548,"#,##0"))))</f>
        <v/>
      </c>
      <c r="J548" s="18" t="n"/>
    </row>
    <row r="549">
      <c r="A549" s="10">
        <f>IF($B549="","",COUNTA($B$9:$B549))</f>
        <v/>
      </c>
      <c r="B549" s="11" t="n"/>
      <c r="C549" s="12" t="n"/>
      <c r="D549" s="12" t="n"/>
      <c r="E549" s="13" t="n"/>
      <c r="F549" s="14">
        <f>IF($E549="","",IF($C549="دستمزد گروهی",IFERROR(VLOOKUP($E549,WGTbl,2,0),"کد ناشناخته"),IFERROR(IF(VLOOKUP($E549,AcctTblE,4,0)="","(بدون نام)",VLOOKUP($E549,AcctTblE,4,0)),"کد ناشناخته")))</f>
        <v/>
      </c>
      <c r="G549" s="15" t="n"/>
      <c r="H549" s="16">
        <f>IF(OR($C549&lt;&gt;"دستمزد گروهی",$D549=""),"",SUMIFS(ShareAmt,ShareLink,$D549))</f>
        <v/>
      </c>
      <c r="I549" s="17">
        <f>IF($C549&lt;&gt;"دستمزد گروهی","—",IF($H549="","",IF(ROUND($H549-IF($G549="",0,$G549),0)=0,"√","▲ مغایرت "&amp;TEXT(IF($G549="",0,$G549)-$H549,"#,##0"))))</f>
        <v/>
      </c>
      <c r="J549" s="18" t="n"/>
    </row>
    <row r="550">
      <c r="A550" s="19">
        <f>IF($B550="","",COUNTA($B$9:$B550))</f>
        <v/>
      </c>
      <c r="B550" s="11" t="n"/>
      <c r="C550" s="12" t="n"/>
      <c r="D550" s="12" t="n"/>
      <c r="E550" s="13" t="n"/>
      <c r="F550" s="20">
        <f>IF($E550="","",IF($C550="دستمزد گروهی",IFERROR(VLOOKUP($E550,WGTbl,2,0),"کد ناشناخته"),IFERROR(IF(VLOOKUP($E550,AcctTblE,4,0)="","(بدون نام)",VLOOKUP($E550,AcctTblE,4,0)),"کد ناشناخته")))</f>
        <v/>
      </c>
      <c r="G550" s="15" t="n"/>
      <c r="H550" s="21">
        <f>IF(OR($C550&lt;&gt;"دستمزد گروهی",$D550=""),"",SUMIFS(ShareAmt,ShareLink,$D550))</f>
        <v/>
      </c>
      <c r="I550" s="22">
        <f>IF($C550&lt;&gt;"دستمزد گروهی","—",IF($H550="","",IF(ROUND($H550-IF($G550="",0,$G550),0)=0,"√","▲ مغایرت "&amp;TEXT(IF($G550="",0,$G550)-$H550,"#,##0"))))</f>
        <v/>
      </c>
      <c r="J550" s="18" t="n"/>
    </row>
    <row r="551">
      <c r="A551" s="10">
        <f>IF($B551="","",COUNTA($B$9:$B551))</f>
        <v/>
      </c>
      <c r="B551" s="11" t="n"/>
      <c r="C551" s="12" t="n"/>
      <c r="D551" s="12" t="n"/>
      <c r="E551" s="13" t="n"/>
      <c r="F551" s="14">
        <f>IF($E551="","",IF($C551="دستمزد گروهی",IFERROR(VLOOKUP($E551,WGTbl,2,0),"کد ناشناخته"),IFERROR(IF(VLOOKUP($E551,AcctTblE,4,0)="","(بدون نام)",VLOOKUP($E551,AcctTblE,4,0)),"کد ناشناخته")))</f>
        <v/>
      </c>
      <c r="G551" s="15" t="n"/>
      <c r="H551" s="16">
        <f>IF(OR($C551&lt;&gt;"دستمزد گروهی",$D551=""),"",SUMIFS(ShareAmt,ShareLink,$D551))</f>
        <v/>
      </c>
      <c r="I551" s="17">
        <f>IF($C551&lt;&gt;"دستمزد گروهی","—",IF($H551="","",IF(ROUND($H551-IF($G551="",0,$G551),0)=0,"√","▲ مغایرت "&amp;TEXT(IF($G551="",0,$G551)-$H551,"#,##0"))))</f>
        <v/>
      </c>
      <c r="J551" s="18" t="n"/>
    </row>
    <row r="552">
      <c r="A552" s="19">
        <f>IF($B552="","",COUNTA($B$9:$B552))</f>
        <v/>
      </c>
      <c r="B552" s="11" t="n"/>
      <c r="C552" s="12" t="n"/>
      <c r="D552" s="12" t="n"/>
      <c r="E552" s="13" t="n"/>
      <c r="F552" s="20">
        <f>IF($E552="","",IF($C552="دستمزد گروهی",IFERROR(VLOOKUP($E552,WGTbl,2,0),"کد ناشناخته"),IFERROR(IF(VLOOKUP($E552,AcctTblE,4,0)="","(بدون نام)",VLOOKUP($E552,AcctTblE,4,0)),"کد ناشناخته")))</f>
        <v/>
      </c>
      <c r="G552" s="15" t="n"/>
      <c r="H552" s="21">
        <f>IF(OR($C552&lt;&gt;"دستمزد گروهی",$D552=""),"",SUMIFS(ShareAmt,ShareLink,$D552))</f>
        <v/>
      </c>
      <c r="I552" s="22">
        <f>IF($C552&lt;&gt;"دستمزد گروهی","—",IF($H552="","",IF(ROUND($H552-IF($G552="",0,$G552),0)=0,"√","▲ مغایرت "&amp;TEXT(IF($G552="",0,$G552)-$H552,"#,##0"))))</f>
        <v/>
      </c>
      <c r="J552" s="18" t="n"/>
    </row>
    <row r="553">
      <c r="A553" s="10">
        <f>IF($B553="","",COUNTA($B$9:$B553))</f>
        <v/>
      </c>
      <c r="B553" s="11" t="n"/>
      <c r="C553" s="12" t="n"/>
      <c r="D553" s="12" t="n"/>
      <c r="E553" s="13" t="n"/>
      <c r="F553" s="14">
        <f>IF($E553="","",IF($C553="دستمزد گروهی",IFERROR(VLOOKUP($E553,WGTbl,2,0),"کد ناشناخته"),IFERROR(IF(VLOOKUP($E553,AcctTblE,4,0)="","(بدون نام)",VLOOKUP($E553,AcctTblE,4,0)),"کد ناشناخته")))</f>
        <v/>
      </c>
      <c r="G553" s="15" t="n"/>
      <c r="H553" s="16">
        <f>IF(OR($C553&lt;&gt;"دستمزد گروهی",$D553=""),"",SUMIFS(ShareAmt,ShareLink,$D553))</f>
        <v/>
      </c>
      <c r="I553" s="17">
        <f>IF($C553&lt;&gt;"دستمزد گروهی","—",IF($H553="","",IF(ROUND($H553-IF($G553="",0,$G553),0)=0,"√","▲ مغایرت "&amp;TEXT(IF($G553="",0,$G553)-$H553,"#,##0"))))</f>
        <v/>
      </c>
      <c r="J553" s="18" t="n"/>
    </row>
    <row r="554">
      <c r="A554" s="19">
        <f>IF($B554="","",COUNTA($B$9:$B554))</f>
        <v/>
      </c>
      <c r="B554" s="11" t="n"/>
      <c r="C554" s="12" t="n"/>
      <c r="D554" s="12" t="n"/>
      <c r="E554" s="13" t="n"/>
      <c r="F554" s="20">
        <f>IF($E554="","",IF($C554="دستمزد گروهی",IFERROR(VLOOKUP($E554,WGTbl,2,0),"کد ناشناخته"),IFERROR(IF(VLOOKUP($E554,AcctTblE,4,0)="","(بدون نام)",VLOOKUP($E554,AcctTblE,4,0)),"کد ناشناخته")))</f>
        <v/>
      </c>
      <c r="G554" s="15" t="n"/>
      <c r="H554" s="21">
        <f>IF(OR($C554&lt;&gt;"دستمزد گروهی",$D554=""),"",SUMIFS(ShareAmt,ShareLink,$D554))</f>
        <v/>
      </c>
      <c r="I554" s="22">
        <f>IF($C554&lt;&gt;"دستمزد گروهی","—",IF($H554="","",IF(ROUND($H554-IF($G554="",0,$G554),0)=0,"√","▲ مغایرت "&amp;TEXT(IF($G554="",0,$G554)-$H554,"#,##0"))))</f>
        <v/>
      </c>
      <c r="J554" s="18" t="n"/>
    </row>
    <row r="555">
      <c r="A555" s="10">
        <f>IF($B555="","",COUNTA($B$9:$B555))</f>
        <v/>
      </c>
      <c r="B555" s="11" t="n"/>
      <c r="C555" s="12" t="n"/>
      <c r="D555" s="12" t="n"/>
      <c r="E555" s="13" t="n"/>
      <c r="F555" s="14">
        <f>IF($E555="","",IF($C555="دستمزد گروهی",IFERROR(VLOOKUP($E555,WGTbl,2,0),"کد ناشناخته"),IFERROR(IF(VLOOKUP($E555,AcctTblE,4,0)="","(بدون نام)",VLOOKUP($E555,AcctTblE,4,0)),"کد ناشناخته")))</f>
        <v/>
      </c>
      <c r="G555" s="15" t="n"/>
      <c r="H555" s="16">
        <f>IF(OR($C555&lt;&gt;"دستمزد گروهی",$D555=""),"",SUMIFS(ShareAmt,ShareLink,$D555))</f>
        <v/>
      </c>
      <c r="I555" s="17">
        <f>IF($C555&lt;&gt;"دستمزد گروهی","—",IF($H555="","",IF(ROUND($H555-IF($G555="",0,$G555),0)=0,"√","▲ مغایرت "&amp;TEXT(IF($G555="",0,$G555)-$H555,"#,##0"))))</f>
        <v/>
      </c>
      <c r="J555" s="18" t="n"/>
    </row>
    <row r="556">
      <c r="A556" s="19">
        <f>IF($B556="","",COUNTA($B$9:$B556))</f>
        <v/>
      </c>
      <c r="B556" s="11" t="n"/>
      <c r="C556" s="12" t="n"/>
      <c r="D556" s="12" t="n"/>
      <c r="E556" s="13" t="n"/>
      <c r="F556" s="20">
        <f>IF($E556="","",IF($C556="دستمزد گروهی",IFERROR(VLOOKUP($E556,WGTbl,2,0),"کد ناشناخته"),IFERROR(IF(VLOOKUP($E556,AcctTblE,4,0)="","(بدون نام)",VLOOKUP($E556,AcctTblE,4,0)),"کد ناشناخته")))</f>
        <v/>
      </c>
      <c r="G556" s="15" t="n"/>
      <c r="H556" s="21">
        <f>IF(OR($C556&lt;&gt;"دستمزد گروهی",$D556=""),"",SUMIFS(ShareAmt,ShareLink,$D556))</f>
        <v/>
      </c>
      <c r="I556" s="22">
        <f>IF($C556&lt;&gt;"دستمزد گروهی","—",IF($H556="","",IF(ROUND($H556-IF($G556="",0,$G556),0)=0,"√","▲ مغایرت "&amp;TEXT(IF($G556="",0,$G556)-$H556,"#,##0"))))</f>
        <v/>
      </c>
      <c r="J556" s="18" t="n"/>
    </row>
    <row r="557">
      <c r="A557" s="10">
        <f>IF($B557="","",COUNTA($B$9:$B557))</f>
        <v/>
      </c>
      <c r="B557" s="11" t="n"/>
      <c r="C557" s="12" t="n"/>
      <c r="D557" s="12" t="n"/>
      <c r="E557" s="13" t="n"/>
      <c r="F557" s="14">
        <f>IF($E557="","",IF($C557="دستمزد گروهی",IFERROR(VLOOKUP($E557,WGTbl,2,0),"کد ناشناخته"),IFERROR(IF(VLOOKUP($E557,AcctTblE,4,0)="","(بدون نام)",VLOOKUP($E557,AcctTblE,4,0)),"کد ناشناخته")))</f>
        <v/>
      </c>
      <c r="G557" s="15" t="n"/>
      <c r="H557" s="16">
        <f>IF(OR($C557&lt;&gt;"دستمزد گروهی",$D557=""),"",SUMIFS(ShareAmt,ShareLink,$D557))</f>
        <v/>
      </c>
      <c r="I557" s="17">
        <f>IF($C557&lt;&gt;"دستمزد گروهی","—",IF($H557="","",IF(ROUND($H557-IF($G557="",0,$G557),0)=0,"√","▲ مغایرت "&amp;TEXT(IF($G557="",0,$G557)-$H557,"#,##0"))))</f>
        <v/>
      </c>
      <c r="J557" s="18" t="n"/>
    </row>
    <row r="558">
      <c r="A558" s="19">
        <f>IF($B558="","",COUNTA($B$9:$B558))</f>
        <v/>
      </c>
      <c r="B558" s="11" t="n"/>
      <c r="C558" s="12" t="n"/>
      <c r="D558" s="12" t="n"/>
      <c r="E558" s="13" t="n"/>
      <c r="F558" s="20">
        <f>IF($E558="","",IF($C558="دستمزد گروهی",IFERROR(VLOOKUP($E558,WGTbl,2,0),"کد ناشناخته"),IFERROR(IF(VLOOKUP($E558,AcctTblE,4,0)="","(بدون نام)",VLOOKUP($E558,AcctTblE,4,0)),"کد ناشناخته")))</f>
        <v/>
      </c>
      <c r="G558" s="15" t="n"/>
      <c r="H558" s="21">
        <f>IF(OR($C558&lt;&gt;"دستمزد گروهی",$D558=""),"",SUMIFS(ShareAmt,ShareLink,$D558))</f>
        <v/>
      </c>
      <c r="I558" s="22">
        <f>IF($C558&lt;&gt;"دستمزد گروهی","—",IF($H558="","",IF(ROUND($H558-IF($G558="",0,$G558),0)=0,"√","▲ مغایرت "&amp;TEXT(IF($G558="",0,$G558)-$H558,"#,##0"))))</f>
        <v/>
      </c>
      <c r="J558" s="18" t="n"/>
    </row>
    <row r="559">
      <c r="A559" s="10">
        <f>IF($B559="","",COUNTA($B$9:$B559))</f>
        <v/>
      </c>
      <c r="B559" s="11" t="n"/>
      <c r="C559" s="12" t="n"/>
      <c r="D559" s="12" t="n"/>
      <c r="E559" s="13" t="n"/>
      <c r="F559" s="14">
        <f>IF($E559="","",IF($C559="دستمزد گروهی",IFERROR(VLOOKUP($E559,WGTbl,2,0),"کد ناشناخته"),IFERROR(IF(VLOOKUP($E559,AcctTblE,4,0)="","(بدون نام)",VLOOKUP($E559,AcctTblE,4,0)),"کد ناشناخته")))</f>
        <v/>
      </c>
      <c r="G559" s="15" t="n"/>
      <c r="H559" s="16">
        <f>IF(OR($C559&lt;&gt;"دستمزد گروهی",$D559=""),"",SUMIFS(ShareAmt,ShareLink,$D559))</f>
        <v/>
      </c>
      <c r="I559" s="17">
        <f>IF($C559&lt;&gt;"دستمزد گروهی","—",IF($H559="","",IF(ROUND($H559-IF($G559="",0,$G559),0)=0,"√","▲ مغایرت "&amp;TEXT(IF($G559="",0,$G559)-$H559,"#,##0"))))</f>
        <v/>
      </c>
      <c r="J559" s="18" t="n"/>
    </row>
    <row r="560">
      <c r="A560" s="19">
        <f>IF($B560="","",COUNTA($B$9:$B560))</f>
        <v/>
      </c>
      <c r="B560" s="11" t="n"/>
      <c r="C560" s="12" t="n"/>
      <c r="D560" s="12" t="n"/>
      <c r="E560" s="13" t="n"/>
      <c r="F560" s="20">
        <f>IF($E560="","",IF($C560="دستمزد گروهی",IFERROR(VLOOKUP($E560,WGTbl,2,0),"کد ناشناخته"),IFERROR(IF(VLOOKUP($E560,AcctTblE,4,0)="","(بدون نام)",VLOOKUP($E560,AcctTblE,4,0)),"کد ناشناخته")))</f>
        <v/>
      </c>
      <c r="G560" s="15" t="n"/>
      <c r="H560" s="21">
        <f>IF(OR($C560&lt;&gt;"دستمزد گروهی",$D560=""),"",SUMIFS(ShareAmt,ShareLink,$D560))</f>
        <v/>
      </c>
      <c r="I560" s="22">
        <f>IF($C560&lt;&gt;"دستمزد گروهی","—",IF($H560="","",IF(ROUND($H560-IF($G560="",0,$G560),0)=0,"√","▲ مغایرت "&amp;TEXT(IF($G560="",0,$G560)-$H560,"#,##0"))))</f>
        <v/>
      </c>
      <c r="J560" s="18" t="n"/>
    </row>
    <row r="561">
      <c r="A561" s="10">
        <f>IF($B561="","",COUNTA($B$9:$B561))</f>
        <v/>
      </c>
      <c r="B561" s="11" t="n"/>
      <c r="C561" s="12" t="n"/>
      <c r="D561" s="12" t="n"/>
      <c r="E561" s="13" t="n"/>
      <c r="F561" s="14">
        <f>IF($E561="","",IF($C561="دستمزد گروهی",IFERROR(VLOOKUP($E561,WGTbl,2,0),"کد ناشناخته"),IFERROR(IF(VLOOKUP($E561,AcctTblE,4,0)="","(بدون نام)",VLOOKUP($E561,AcctTblE,4,0)),"کد ناشناخته")))</f>
        <v/>
      </c>
      <c r="G561" s="15" t="n"/>
      <c r="H561" s="16">
        <f>IF(OR($C561&lt;&gt;"دستمزد گروهی",$D561=""),"",SUMIFS(ShareAmt,ShareLink,$D561))</f>
        <v/>
      </c>
      <c r="I561" s="17">
        <f>IF($C561&lt;&gt;"دستمزد گروهی","—",IF($H561="","",IF(ROUND($H561-IF($G561="",0,$G561),0)=0,"√","▲ مغایرت "&amp;TEXT(IF($G561="",0,$G561)-$H561,"#,##0"))))</f>
        <v/>
      </c>
      <c r="J561" s="18" t="n"/>
    </row>
    <row r="562">
      <c r="A562" s="19">
        <f>IF($B562="","",COUNTA($B$9:$B562))</f>
        <v/>
      </c>
      <c r="B562" s="11" t="n"/>
      <c r="C562" s="12" t="n"/>
      <c r="D562" s="12" t="n"/>
      <c r="E562" s="13" t="n"/>
      <c r="F562" s="20">
        <f>IF($E562="","",IF($C562="دستمزد گروهی",IFERROR(VLOOKUP($E562,WGTbl,2,0),"کد ناشناخته"),IFERROR(IF(VLOOKUP($E562,AcctTblE,4,0)="","(بدون نام)",VLOOKUP($E562,AcctTblE,4,0)),"کد ناشناخته")))</f>
        <v/>
      </c>
      <c r="G562" s="15" t="n"/>
      <c r="H562" s="21">
        <f>IF(OR($C562&lt;&gt;"دستمزد گروهی",$D562=""),"",SUMIFS(ShareAmt,ShareLink,$D562))</f>
        <v/>
      </c>
      <c r="I562" s="22">
        <f>IF($C562&lt;&gt;"دستمزد گروهی","—",IF($H562="","",IF(ROUND($H562-IF($G562="",0,$G562),0)=0,"√","▲ مغایرت "&amp;TEXT(IF($G562="",0,$G562)-$H562,"#,##0"))))</f>
        <v/>
      </c>
      <c r="J562" s="18" t="n"/>
    </row>
    <row r="563">
      <c r="A563" s="10">
        <f>IF($B563="","",COUNTA($B$9:$B563))</f>
        <v/>
      </c>
      <c r="B563" s="11" t="n"/>
      <c r="C563" s="12" t="n"/>
      <c r="D563" s="12" t="n"/>
      <c r="E563" s="13" t="n"/>
      <c r="F563" s="14">
        <f>IF($E563="","",IF($C563="دستمزد گروهی",IFERROR(VLOOKUP($E563,WGTbl,2,0),"کد ناشناخته"),IFERROR(IF(VLOOKUP($E563,AcctTblE,4,0)="","(بدون نام)",VLOOKUP($E563,AcctTblE,4,0)),"کد ناشناخته")))</f>
        <v/>
      </c>
      <c r="G563" s="15" t="n"/>
      <c r="H563" s="16">
        <f>IF(OR($C563&lt;&gt;"دستمزد گروهی",$D563=""),"",SUMIFS(ShareAmt,ShareLink,$D563))</f>
        <v/>
      </c>
      <c r="I563" s="17">
        <f>IF($C563&lt;&gt;"دستمزد گروهی","—",IF($H563="","",IF(ROUND($H563-IF($G563="",0,$G563),0)=0,"√","▲ مغایرت "&amp;TEXT(IF($G563="",0,$G563)-$H563,"#,##0"))))</f>
        <v/>
      </c>
      <c r="J563" s="18" t="n"/>
    </row>
    <row r="564">
      <c r="A564" s="19">
        <f>IF($B564="","",COUNTA($B$9:$B564))</f>
        <v/>
      </c>
      <c r="B564" s="11" t="n"/>
      <c r="C564" s="12" t="n"/>
      <c r="D564" s="12" t="n"/>
      <c r="E564" s="13" t="n"/>
      <c r="F564" s="20">
        <f>IF($E564="","",IF($C564="دستمزد گروهی",IFERROR(VLOOKUP($E564,WGTbl,2,0),"کد ناشناخته"),IFERROR(IF(VLOOKUP($E564,AcctTblE,4,0)="","(بدون نام)",VLOOKUP($E564,AcctTblE,4,0)),"کد ناشناخته")))</f>
        <v/>
      </c>
      <c r="G564" s="15" t="n"/>
      <c r="H564" s="21">
        <f>IF(OR($C564&lt;&gt;"دستمزد گروهی",$D564=""),"",SUMIFS(ShareAmt,ShareLink,$D564))</f>
        <v/>
      </c>
      <c r="I564" s="22">
        <f>IF($C564&lt;&gt;"دستمزد گروهی","—",IF($H564="","",IF(ROUND($H564-IF($G564="",0,$G564),0)=0,"√","▲ مغایرت "&amp;TEXT(IF($G564="",0,$G564)-$H564,"#,##0"))))</f>
        <v/>
      </c>
      <c r="J564" s="18" t="n"/>
    </row>
    <row r="565">
      <c r="A565" s="10">
        <f>IF($B565="","",COUNTA($B$9:$B565))</f>
        <v/>
      </c>
      <c r="B565" s="11" t="n"/>
      <c r="C565" s="12" t="n"/>
      <c r="D565" s="12" t="n"/>
      <c r="E565" s="13" t="n"/>
      <c r="F565" s="14">
        <f>IF($E565="","",IF($C565="دستمزد گروهی",IFERROR(VLOOKUP($E565,WGTbl,2,0),"کد ناشناخته"),IFERROR(IF(VLOOKUP($E565,AcctTblE,4,0)="","(بدون نام)",VLOOKUP($E565,AcctTblE,4,0)),"کد ناشناخته")))</f>
        <v/>
      </c>
      <c r="G565" s="15" t="n"/>
      <c r="H565" s="16">
        <f>IF(OR($C565&lt;&gt;"دستمزد گروهی",$D565=""),"",SUMIFS(ShareAmt,ShareLink,$D565))</f>
        <v/>
      </c>
      <c r="I565" s="17">
        <f>IF($C565&lt;&gt;"دستمزد گروهی","—",IF($H565="","",IF(ROUND($H565-IF($G565="",0,$G565),0)=0,"√","▲ مغایرت "&amp;TEXT(IF($G565="",0,$G565)-$H565,"#,##0"))))</f>
        <v/>
      </c>
      <c r="J565" s="18" t="n"/>
    </row>
    <row r="566">
      <c r="A566" s="19">
        <f>IF($B566="","",COUNTA($B$9:$B566))</f>
        <v/>
      </c>
      <c r="B566" s="11" t="n"/>
      <c r="C566" s="12" t="n"/>
      <c r="D566" s="12" t="n"/>
      <c r="E566" s="13" t="n"/>
      <c r="F566" s="20">
        <f>IF($E566="","",IF($C566="دستمزد گروهی",IFERROR(VLOOKUP($E566,WGTbl,2,0),"کد ناشناخته"),IFERROR(IF(VLOOKUP($E566,AcctTblE,4,0)="","(بدون نام)",VLOOKUP($E566,AcctTblE,4,0)),"کد ناشناخته")))</f>
        <v/>
      </c>
      <c r="G566" s="15" t="n"/>
      <c r="H566" s="21">
        <f>IF(OR($C566&lt;&gt;"دستمزد گروهی",$D566=""),"",SUMIFS(ShareAmt,ShareLink,$D566))</f>
        <v/>
      </c>
      <c r="I566" s="22">
        <f>IF($C566&lt;&gt;"دستمزد گروهی","—",IF($H566="","",IF(ROUND($H566-IF($G566="",0,$G566),0)=0,"√","▲ مغایرت "&amp;TEXT(IF($G566="",0,$G566)-$H566,"#,##0"))))</f>
        <v/>
      </c>
      <c r="J566" s="18" t="n"/>
    </row>
    <row r="567">
      <c r="A567" s="10">
        <f>IF($B567="","",COUNTA($B$9:$B567))</f>
        <v/>
      </c>
      <c r="B567" s="11" t="n"/>
      <c r="C567" s="12" t="n"/>
      <c r="D567" s="12" t="n"/>
      <c r="E567" s="13" t="n"/>
      <c r="F567" s="14">
        <f>IF($E567="","",IF($C567="دستمزد گروهی",IFERROR(VLOOKUP($E567,WGTbl,2,0),"کد ناشناخته"),IFERROR(IF(VLOOKUP($E567,AcctTblE,4,0)="","(بدون نام)",VLOOKUP($E567,AcctTblE,4,0)),"کد ناشناخته")))</f>
        <v/>
      </c>
      <c r="G567" s="15" t="n"/>
      <c r="H567" s="16">
        <f>IF(OR($C567&lt;&gt;"دستمزد گروهی",$D567=""),"",SUMIFS(ShareAmt,ShareLink,$D567))</f>
        <v/>
      </c>
      <c r="I567" s="17">
        <f>IF($C567&lt;&gt;"دستمزد گروهی","—",IF($H567="","",IF(ROUND($H567-IF($G567="",0,$G567),0)=0,"√","▲ مغایرت "&amp;TEXT(IF($G567="",0,$G567)-$H567,"#,##0"))))</f>
        <v/>
      </c>
      <c r="J567" s="18" t="n"/>
    </row>
    <row r="568">
      <c r="A568" s="19">
        <f>IF($B568="","",COUNTA($B$9:$B568))</f>
        <v/>
      </c>
      <c r="B568" s="11" t="n"/>
      <c r="C568" s="12" t="n"/>
      <c r="D568" s="12" t="n"/>
      <c r="E568" s="13" t="n"/>
      <c r="F568" s="20">
        <f>IF($E568="","",IF($C568="دستمزد گروهی",IFERROR(VLOOKUP($E568,WGTbl,2,0),"کد ناشناخته"),IFERROR(IF(VLOOKUP($E568,AcctTblE,4,0)="","(بدون نام)",VLOOKUP($E568,AcctTblE,4,0)),"کد ناشناخته")))</f>
        <v/>
      </c>
      <c r="G568" s="15" t="n"/>
      <c r="H568" s="21">
        <f>IF(OR($C568&lt;&gt;"دستمزد گروهی",$D568=""),"",SUMIFS(ShareAmt,ShareLink,$D568))</f>
        <v/>
      </c>
      <c r="I568" s="22">
        <f>IF($C568&lt;&gt;"دستمزد گروهی","—",IF($H568="","",IF(ROUND($H568-IF($G568="",0,$G568),0)=0,"√","▲ مغایرت "&amp;TEXT(IF($G568="",0,$G568)-$H568,"#,##0"))))</f>
        <v/>
      </c>
      <c r="J568" s="18" t="n"/>
    </row>
    <row r="569">
      <c r="A569" s="10">
        <f>IF($B569="","",COUNTA($B$9:$B569))</f>
        <v/>
      </c>
      <c r="B569" s="11" t="n"/>
      <c r="C569" s="12" t="n"/>
      <c r="D569" s="12" t="n"/>
      <c r="E569" s="13" t="n"/>
      <c r="F569" s="14">
        <f>IF($E569="","",IF($C569="دستمزد گروهی",IFERROR(VLOOKUP($E569,WGTbl,2,0),"کد ناشناخته"),IFERROR(IF(VLOOKUP($E569,AcctTblE,4,0)="","(بدون نام)",VLOOKUP($E569,AcctTblE,4,0)),"کد ناشناخته")))</f>
        <v/>
      </c>
      <c r="G569" s="15" t="n"/>
      <c r="H569" s="16">
        <f>IF(OR($C569&lt;&gt;"دستمزد گروهی",$D569=""),"",SUMIFS(ShareAmt,ShareLink,$D569))</f>
        <v/>
      </c>
      <c r="I569" s="17">
        <f>IF($C569&lt;&gt;"دستمزد گروهی","—",IF($H569="","",IF(ROUND($H569-IF($G569="",0,$G569),0)=0,"√","▲ مغایرت "&amp;TEXT(IF($G569="",0,$G569)-$H569,"#,##0"))))</f>
        <v/>
      </c>
      <c r="J569" s="18" t="n"/>
    </row>
    <row r="570">
      <c r="A570" s="19">
        <f>IF($B570="","",COUNTA($B$9:$B570))</f>
        <v/>
      </c>
      <c r="B570" s="11" t="n"/>
      <c r="C570" s="12" t="n"/>
      <c r="D570" s="12" t="n"/>
      <c r="E570" s="13" t="n"/>
      <c r="F570" s="20">
        <f>IF($E570="","",IF($C570="دستمزد گروهی",IFERROR(VLOOKUP($E570,WGTbl,2,0),"کد ناشناخته"),IFERROR(IF(VLOOKUP($E570,AcctTblE,4,0)="","(بدون نام)",VLOOKUP($E570,AcctTblE,4,0)),"کد ناشناخته")))</f>
        <v/>
      </c>
      <c r="G570" s="15" t="n"/>
      <c r="H570" s="21">
        <f>IF(OR($C570&lt;&gt;"دستمزد گروهی",$D570=""),"",SUMIFS(ShareAmt,ShareLink,$D570))</f>
        <v/>
      </c>
      <c r="I570" s="22">
        <f>IF($C570&lt;&gt;"دستمزد گروهی","—",IF($H570="","",IF(ROUND($H570-IF($G570="",0,$G570),0)=0,"√","▲ مغایرت "&amp;TEXT(IF($G570="",0,$G570)-$H570,"#,##0"))))</f>
        <v/>
      </c>
      <c r="J570" s="18" t="n"/>
    </row>
    <row r="571">
      <c r="A571" s="10">
        <f>IF($B571="","",COUNTA($B$9:$B571))</f>
        <v/>
      </c>
      <c r="B571" s="11" t="n"/>
      <c r="C571" s="12" t="n"/>
      <c r="D571" s="12" t="n"/>
      <c r="E571" s="13" t="n"/>
      <c r="F571" s="14">
        <f>IF($E571="","",IF($C571="دستمزد گروهی",IFERROR(VLOOKUP($E571,WGTbl,2,0),"کد ناشناخته"),IFERROR(IF(VLOOKUP($E571,AcctTblE,4,0)="","(بدون نام)",VLOOKUP($E571,AcctTblE,4,0)),"کد ناشناخته")))</f>
        <v/>
      </c>
      <c r="G571" s="15" t="n"/>
      <c r="H571" s="16">
        <f>IF(OR($C571&lt;&gt;"دستمزد گروهی",$D571=""),"",SUMIFS(ShareAmt,ShareLink,$D571))</f>
        <v/>
      </c>
      <c r="I571" s="17">
        <f>IF($C571&lt;&gt;"دستمزد گروهی","—",IF($H571="","",IF(ROUND($H571-IF($G571="",0,$G571),0)=0,"√","▲ مغایرت "&amp;TEXT(IF($G571="",0,$G571)-$H571,"#,##0"))))</f>
        <v/>
      </c>
      <c r="J571" s="18" t="n"/>
    </row>
    <row r="572">
      <c r="A572" s="19">
        <f>IF($B572="","",COUNTA($B$9:$B572))</f>
        <v/>
      </c>
      <c r="B572" s="11" t="n"/>
      <c r="C572" s="12" t="n"/>
      <c r="D572" s="12" t="n"/>
      <c r="E572" s="13" t="n"/>
      <c r="F572" s="20">
        <f>IF($E572="","",IF($C572="دستمزد گروهی",IFERROR(VLOOKUP($E572,WGTbl,2,0),"کد ناشناخته"),IFERROR(IF(VLOOKUP($E572,AcctTblE,4,0)="","(بدون نام)",VLOOKUP($E572,AcctTblE,4,0)),"کد ناشناخته")))</f>
        <v/>
      </c>
      <c r="G572" s="15" t="n"/>
      <c r="H572" s="21">
        <f>IF(OR($C572&lt;&gt;"دستمزد گروهی",$D572=""),"",SUMIFS(ShareAmt,ShareLink,$D572))</f>
        <v/>
      </c>
      <c r="I572" s="22">
        <f>IF($C572&lt;&gt;"دستمزد گروهی","—",IF($H572="","",IF(ROUND($H572-IF($G572="",0,$G572),0)=0,"√","▲ مغایرت "&amp;TEXT(IF($G572="",0,$G572)-$H572,"#,##0"))))</f>
        <v/>
      </c>
      <c r="J572" s="18" t="n"/>
    </row>
    <row r="573">
      <c r="A573" s="10">
        <f>IF($B573="","",COUNTA($B$9:$B573))</f>
        <v/>
      </c>
      <c r="B573" s="11" t="n"/>
      <c r="C573" s="12" t="n"/>
      <c r="D573" s="12" t="n"/>
      <c r="E573" s="13" t="n"/>
      <c r="F573" s="14">
        <f>IF($E573="","",IF($C573="دستمزد گروهی",IFERROR(VLOOKUP($E573,WGTbl,2,0),"کد ناشناخته"),IFERROR(IF(VLOOKUP($E573,AcctTblE,4,0)="","(بدون نام)",VLOOKUP($E573,AcctTblE,4,0)),"کد ناشناخته")))</f>
        <v/>
      </c>
      <c r="G573" s="15" t="n"/>
      <c r="H573" s="16">
        <f>IF(OR($C573&lt;&gt;"دستمزد گروهی",$D573=""),"",SUMIFS(ShareAmt,ShareLink,$D573))</f>
        <v/>
      </c>
      <c r="I573" s="17">
        <f>IF($C573&lt;&gt;"دستمزد گروهی","—",IF($H573="","",IF(ROUND($H573-IF($G573="",0,$G573),0)=0,"√","▲ مغایرت "&amp;TEXT(IF($G573="",0,$G573)-$H573,"#,##0"))))</f>
        <v/>
      </c>
      <c r="J573" s="18" t="n"/>
    </row>
    <row r="574">
      <c r="A574" s="19">
        <f>IF($B574="","",COUNTA($B$9:$B574))</f>
        <v/>
      </c>
      <c r="B574" s="11" t="n"/>
      <c r="C574" s="12" t="n"/>
      <c r="D574" s="12" t="n"/>
      <c r="E574" s="13" t="n"/>
      <c r="F574" s="20">
        <f>IF($E574="","",IF($C574="دستمزد گروهی",IFERROR(VLOOKUP($E574,WGTbl,2,0),"کد ناشناخته"),IFERROR(IF(VLOOKUP($E574,AcctTblE,4,0)="","(بدون نام)",VLOOKUP($E574,AcctTblE,4,0)),"کد ناشناخته")))</f>
        <v/>
      </c>
      <c r="G574" s="15" t="n"/>
      <c r="H574" s="21">
        <f>IF(OR($C574&lt;&gt;"دستمزد گروهی",$D574=""),"",SUMIFS(ShareAmt,ShareLink,$D574))</f>
        <v/>
      </c>
      <c r="I574" s="22">
        <f>IF($C574&lt;&gt;"دستمزد گروهی","—",IF($H574="","",IF(ROUND($H574-IF($G574="",0,$G574),0)=0,"√","▲ مغایرت "&amp;TEXT(IF($G574="",0,$G574)-$H574,"#,##0"))))</f>
        <v/>
      </c>
      <c r="J574" s="18" t="n"/>
    </row>
    <row r="575">
      <c r="A575" s="10">
        <f>IF($B575="","",COUNTA($B$9:$B575))</f>
        <v/>
      </c>
      <c r="B575" s="11" t="n"/>
      <c r="C575" s="12" t="n"/>
      <c r="D575" s="12" t="n"/>
      <c r="E575" s="13" t="n"/>
      <c r="F575" s="14">
        <f>IF($E575="","",IF($C575="دستمزد گروهی",IFERROR(VLOOKUP($E575,WGTbl,2,0),"کد ناشناخته"),IFERROR(IF(VLOOKUP($E575,AcctTblE,4,0)="","(بدون نام)",VLOOKUP($E575,AcctTblE,4,0)),"کد ناشناخته")))</f>
        <v/>
      </c>
      <c r="G575" s="15" t="n"/>
      <c r="H575" s="16">
        <f>IF(OR($C575&lt;&gt;"دستمزد گروهی",$D575=""),"",SUMIFS(ShareAmt,ShareLink,$D575))</f>
        <v/>
      </c>
      <c r="I575" s="17">
        <f>IF($C575&lt;&gt;"دستمزد گروهی","—",IF($H575="","",IF(ROUND($H575-IF($G575="",0,$G575),0)=0,"√","▲ مغایرت "&amp;TEXT(IF($G575="",0,$G575)-$H575,"#,##0"))))</f>
        <v/>
      </c>
      <c r="J575" s="18" t="n"/>
    </row>
    <row r="576">
      <c r="A576" s="19">
        <f>IF($B576="","",COUNTA($B$9:$B576))</f>
        <v/>
      </c>
      <c r="B576" s="11" t="n"/>
      <c r="C576" s="12" t="n"/>
      <c r="D576" s="12" t="n"/>
      <c r="E576" s="13" t="n"/>
      <c r="F576" s="20">
        <f>IF($E576="","",IF($C576="دستمزد گروهی",IFERROR(VLOOKUP($E576,WGTbl,2,0),"کد ناشناخته"),IFERROR(IF(VLOOKUP($E576,AcctTblE,4,0)="","(بدون نام)",VLOOKUP($E576,AcctTblE,4,0)),"کد ناشناخته")))</f>
        <v/>
      </c>
      <c r="G576" s="15" t="n"/>
      <c r="H576" s="21">
        <f>IF(OR($C576&lt;&gt;"دستمزد گروهی",$D576=""),"",SUMIFS(ShareAmt,ShareLink,$D576))</f>
        <v/>
      </c>
      <c r="I576" s="22">
        <f>IF($C576&lt;&gt;"دستمزد گروهی","—",IF($H576="","",IF(ROUND($H576-IF($G576="",0,$G576),0)=0,"√","▲ مغایرت "&amp;TEXT(IF($G576="",0,$G576)-$H576,"#,##0"))))</f>
        <v/>
      </c>
      <c r="J576" s="18" t="n"/>
    </row>
    <row r="577">
      <c r="A577" s="10">
        <f>IF($B577="","",COUNTA($B$9:$B577))</f>
        <v/>
      </c>
      <c r="B577" s="11" t="n"/>
      <c r="C577" s="12" t="n"/>
      <c r="D577" s="12" t="n"/>
      <c r="E577" s="13" t="n"/>
      <c r="F577" s="14">
        <f>IF($E577="","",IF($C577="دستمزد گروهی",IFERROR(VLOOKUP($E577,WGTbl,2,0),"کد ناشناخته"),IFERROR(IF(VLOOKUP($E577,AcctTblE,4,0)="","(بدون نام)",VLOOKUP($E577,AcctTblE,4,0)),"کد ناشناخته")))</f>
        <v/>
      </c>
      <c r="G577" s="15" t="n"/>
      <c r="H577" s="16">
        <f>IF(OR($C577&lt;&gt;"دستمزد گروهی",$D577=""),"",SUMIFS(ShareAmt,ShareLink,$D577))</f>
        <v/>
      </c>
      <c r="I577" s="17">
        <f>IF($C577&lt;&gt;"دستمزد گروهی","—",IF($H577="","",IF(ROUND($H577-IF($G577="",0,$G577),0)=0,"√","▲ مغایرت "&amp;TEXT(IF($G577="",0,$G577)-$H577,"#,##0"))))</f>
        <v/>
      </c>
      <c r="J577" s="18" t="n"/>
    </row>
    <row r="578">
      <c r="A578" s="19">
        <f>IF($B578="","",COUNTA($B$9:$B578))</f>
        <v/>
      </c>
      <c r="B578" s="11" t="n"/>
      <c r="C578" s="12" t="n"/>
      <c r="D578" s="12" t="n"/>
      <c r="E578" s="13" t="n"/>
      <c r="F578" s="20">
        <f>IF($E578="","",IF($C578="دستمزد گروهی",IFERROR(VLOOKUP($E578,WGTbl,2,0),"کد ناشناخته"),IFERROR(IF(VLOOKUP($E578,AcctTblE,4,0)="","(بدون نام)",VLOOKUP($E578,AcctTblE,4,0)),"کد ناشناخته")))</f>
        <v/>
      </c>
      <c r="G578" s="15" t="n"/>
      <c r="H578" s="21">
        <f>IF(OR($C578&lt;&gt;"دستمزد گروهی",$D578=""),"",SUMIFS(ShareAmt,ShareLink,$D578))</f>
        <v/>
      </c>
      <c r="I578" s="22">
        <f>IF($C578&lt;&gt;"دستمزد گروهی","—",IF($H578="","",IF(ROUND($H578-IF($G578="",0,$G578),0)=0,"√","▲ مغایرت "&amp;TEXT(IF($G578="",0,$G578)-$H578,"#,##0"))))</f>
        <v/>
      </c>
      <c r="J578" s="18" t="n"/>
    </row>
    <row r="579">
      <c r="A579" s="10">
        <f>IF($B579="","",COUNTA($B$9:$B579))</f>
        <v/>
      </c>
      <c r="B579" s="11" t="n"/>
      <c r="C579" s="12" t="n"/>
      <c r="D579" s="12" t="n"/>
      <c r="E579" s="13" t="n"/>
      <c r="F579" s="14">
        <f>IF($E579="","",IF($C579="دستمزد گروهی",IFERROR(VLOOKUP($E579,WGTbl,2,0),"کد ناشناخته"),IFERROR(IF(VLOOKUP($E579,AcctTblE,4,0)="","(بدون نام)",VLOOKUP($E579,AcctTblE,4,0)),"کد ناشناخته")))</f>
        <v/>
      </c>
      <c r="G579" s="15" t="n"/>
      <c r="H579" s="16">
        <f>IF(OR($C579&lt;&gt;"دستمزد گروهی",$D579=""),"",SUMIFS(ShareAmt,ShareLink,$D579))</f>
        <v/>
      </c>
      <c r="I579" s="17">
        <f>IF($C579&lt;&gt;"دستمزد گروهی","—",IF($H579="","",IF(ROUND($H579-IF($G579="",0,$G579),0)=0,"√","▲ مغایرت "&amp;TEXT(IF($G579="",0,$G579)-$H579,"#,##0"))))</f>
        <v/>
      </c>
      <c r="J579" s="18" t="n"/>
    </row>
    <row r="580">
      <c r="A580" s="19">
        <f>IF($B580="","",COUNTA($B$9:$B580))</f>
        <v/>
      </c>
      <c r="B580" s="11" t="n"/>
      <c r="C580" s="12" t="n"/>
      <c r="D580" s="12" t="n"/>
      <c r="E580" s="13" t="n"/>
      <c r="F580" s="20">
        <f>IF($E580="","",IF($C580="دستمزد گروهی",IFERROR(VLOOKUP($E580,WGTbl,2,0),"کد ناشناخته"),IFERROR(IF(VLOOKUP($E580,AcctTblE,4,0)="","(بدون نام)",VLOOKUP($E580,AcctTblE,4,0)),"کد ناشناخته")))</f>
        <v/>
      </c>
      <c r="G580" s="15" t="n"/>
      <c r="H580" s="21">
        <f>IF(OR($C580&lt;&gt;"دستمزد گروهی",$D580=""),"",SUMIFS(ShareAmt,ShareLink,$D580))</f>
        <v/>
      </c>
      <c r="I580" s="22">
        <f>IF($C580&lt;&gt;"دستمزد گروهی","—",IF($H580="","",IF(ROUND($H580-IF($G580="",0,$G580),0)=0,"√","▲ مغایرت "&amp;TEXT(IF($G580="",0,$G580)-$H580,"#,##0"))))</f>
        <v/>
      </c>
      <c r="J580" s="18" t="n"/>
    </row>
    <row r="581">
      <c r="A581" s="10">
        <f>IF($B581="","",COUNTA($B$9:$B581))</f>
        <v/>
      </c>
      <c r="B581" s="11" t="n"/>
      <c r="C581" s="12" t="n"/>
      <c r="D581" s="12" t="n"/>
      <c r="E581" s="13" t="n"/>
      <c r="F581" s="14">
        <f>IF($E581="","",IF($C581="دستمزد گروهی",IFERROR(VLOOKUP($E581,WGTbl,2,0),"کد ناشناخته"),IFERROR(IF(VLOOKUP($E581,AcctTblE,4,0)="","(بدون نام)",VLOOKUP($E581,AcctTblE,4,0)),"کد ناشناخته")))</f>
        <v/>
      </c>
      <c r="G581" s="15" t="n"/>
      <c r="H581" s="16">
        <f>IF(OR($C581&lt;&gt;"دستمزد گروهی",$D581=""),"",SUMIFS(ShareAmt,ShareLink,$D581))</f>
        <v/>
      </c>
      <c r="I581" s="17">
        <f>IF($C581&lt;&gt;"دستمزد گروهی","—",IF($H581="","",IF(ROUND($H581-IF($G581="",0,$G581),0)=0,"√","▲ مغایرت "&amp;TEXT(IF($G581="",0,$G581)-$H581,"#,##0"))))</f>
        <v/>
      </c>
      <c r="J581" s="18" t="n"/>
    </row>
    <row r="582">
      <c r="A582" s="19">
        <f>IF($B582="","",COUNTA($B$9:$B582))</f>
        <v/>
      </c>
      <c r="B582" s="11" t="n"/>
      <c r="C582" s="12" t="n"/>
      <c r="D582" s="12" t="n"/>
      <c r="E582" s="13" t="n"/>
      <c r="F582" s="20">
        <f>IF($E582="","",IF($C582="دستمزد گروهی",IFERROR(VLOOKUP($E582,WGTbl,2,0),"کد ناشناخته"),IFERROR(IF(VLOOKUP($E582,AcctTblE,4,0)="","(بدون نام)",VLOOKUP($E582,AcctTblE,4,0)),"کد ناشناخته")))</f>
        <v/>
      </c>
      <c r="G582" s="15" t="n"/>
      <c r="H582" s="21">
        <f>IF(OR($C582&lt;&gt;"دستمزد گروهی",$D582=""),"",SUMIFS(ShareAmt,ShareLink,$D582))</f>
        <v/>
      </c>
      <c r="I582" s="22">
        <f>IF($C582&lt;&gt;"دستمزد گروهی","—",IF($H582="","",IF(ROUND($H582-IF($G582="",0,$G582),0)=0,"√","▲ مغایرت "&amp;TEXT(IF($G582="",0,$G582)-$H582,"#,##0"))))</f>
        <v/>
      </c>
      <c r="J582" s="18" t="n"/>
    </row>
    <row r="583">
      <c r="A583" s="10">
        <f>IF($B583="","",COUNTA($B$9:$B583))</f>
        <v/>
      </c>
      <c r="B583" s="11" t="n"/>
      <c r="C583" s="12" t="n"/>
      <c r="D583" s="12" t="n"/>
      <c r="E583" s="13" t="n"/>
      <c r="F583" s="14">
        <f>IF($E583="","",IF($C583="دستمزد گروهی",IFERROR(VLOOKUP($E583,WGTbl,2,0),"کد ناشناخته"),IFERROR(IF(VLOOKUP($E583,AcctTblE,4,0)="","(بدون نام)",VLOOKUP($E583,AcctTblE,4,0)),"کد ناشناخته")))</f>
        <v/>
      </c>
      <c r="G583" s="15" t="n"/>
      <c r="H583" s="16">
        <f>IF(OR($C583&lt;&gt;"دستمزد گروهی",$D583=""),"",SUMIFS(ShareAmt,ShareLink,$D583))</f>
        <v/>
      </c>
      <c r="I583" s="17">
        <f>IF($C583&lt;&gt;"دستمزد گروهی","—",IF($H583="","",IF(ROUND($H583-IF($G583="",0,$G583),0)=0,"√","▲ مغایرت "&amp;TEXT(IF($G583="",0,$G583)-$H583,"#,##0"))))</f>
        <v/>
      </c>
      <c r="J583" s="18" t="n"/>
    </row>
    <row r="584">
      <c r="A584" s="19">
        <f>IF($B584="","",COUNTA($B$9:$B584))</f>
        <v/>
      </c>
      <c r="B584" s="11" t="n"/>
      <c r="C584" s="12" t="n"/>
      <c r="D584" s="12" t="n"/>
      <c r="E584" s="13" t="n"/>
      <c r="F584" s="20">
        <f>IF($E584="","",IF($C584="دستمزد گروهی",IFERROR(VLOOKUP($E584,WGTbl,2,0),"کد ناشناخته"),IFERROR(IF(VLOOKUP($E584,AcctTblE,4,0)="","(بدون نام)",VLOOKUP($E584,AcctTblE,4,0)),"کد ناشناخته")))</f>
        <v/>
      </c>
      <c r="G584" s="15" t="n"/>
      <c r="H584" s="21">
        <f>IF(OR($C584&lt;&gt;"دستمزد گروهی",$D584=""),"",SUMIFS(ShareAmt,ShareLink,$D584))</f>
        <v/>
      </c>
      <c r="I584" s="22">
        <f>IF($C584&lt;&gt;"دستمزد گروهی","—",IF($H584="","",IF(ROUND($H584-IF($G584="",0,$G584),0)=0,"√","▲ مغایرت "&amp;TEXT(IF($G584="",0,$G584)-$H584,"#,##0"))))</f>
        <v/>
      </c>
      <c r="J584" s="18" t="n"/>
    </row>
    <row r="585">
      <c r="A585" s="10">
        <f>IF($B585="","",COUNTA($B$9:$B585))</f>
        <v/>
      </c>
      <c r="B585" s="11" t="n"/>
      <c r="C585" s="12" t="n"/>
      <c r="D585" s="12" t="n"/>
      <c r="E585" s="13" t="n"/>
      <c r="F585" s="14">
        <f>IF($E585="","",IF($C585="دستمزد گروهی",IFERROR(VLOOKUP($E585,WGTbl,2,0),"کد ناشناخته"),IFERROR(IF(VLOOKUP($E585,AcctTblE,4,0)="","(بدون نام)",VLOOKUP($E585,AcctTblE,4,0)),"کد ناشناخته")))</f>
        <v/>
      </c>
      <c r="G585" s="15" t="n"/>
      <c r="H585" s="16">
        <f>IF(OR($C585&lt;&gt;"دستمزد گروهی",$D585=""),"",SUMIFS(ShareAmt,ShareLink,$D585))</f>
        <v/>
      </c>
      <c r="I585" s="17">
        <f>IF($C585&lt;&gt;"دستمزد گروهی","—",IF($H585="","",IF(ROUND($H585-IF($G585="",0,$G585),0)=0,"√","▲ مغایرت "&amp;TEXT(IF($G585="",0,$G585)-$H585,"#,##0"))))</f>
        <v/>
      </c>
      <c r="J585" s="18" t="n"/>
    </row>
    <row r="586">
      <c r="A586" s="19">
        <f>IF($B586="","",COUNTA($B$9:$B586))</f>
        <v/>
      </c>
      <c r="B586" s="11" t="n"/>
      <c r="C586" s="12" t="n"/>
      <c r="D586" s="12" t="n"/>
      <c r="E586" s="13" t="n"/>
      <c r="F586" s="20">
        <f>IF($E586="","",IF($C586="دستمزد گروهی",IFERROR(VLOOKUP($E586,WGTbl,2,0),"کد ناشناخته"),IFERROR(IF(VLOOKUP($E586,AcctTblE,4,0)="","(بدون نام)",VLOOKUP($E586,AcctTblE,4,0)),"کد ناشناخته")))</f>
        <v/>
      </c>
      <c r="G586" s="15" t="n"/>
      <c r="H586" s="21">
        <f>IF(OR($C586&lt;&gt;"دستمزد گروهی",$D586=""),"",SUMIFS(ShareAmt,ShareLink,$D586))</f>
        <v/>
      </c>
      <c r="I586" s="22">
        <f>IF($C586&lt;&gt;"دستمزد گروهی","—",IF($H586="","",IF(ROUND($H586-IF($G586="",0,$G586),0)=0,"√","▲ مغایرت "&amp;TEXT(IF($G586="",0,$G586)-$H586,"#,##0"))))</f>
        <v/>
      </c>
      <c r="J586" s="18" t="n"/>
    </row>
    <row r="587">
      <c r="A587" s="10">
        <f>IF($B587="","",COUNTA($B$9:$B587))</f>
        <v/>
      </c>
      <c r="B587" s="11" t="n"/>
      <c r="C587" s="12" t="n"/>
      <c r="D587" s="12" t="n"/>
      <c r="E587" s="13" t="n"/>
      <c r="F587" s="14">
        <f>IF($E587="","",IF($C587="دستمزد گروهی",IFERROR(VLOOKUP($E587,WGTbl,2,0),"کد ناشناخته"),IFERROR(IF(VLOOKUP($E587,AcctTblE,4,0)="","(بدون نام)",VLOOKUP($E587,AcctTblE,4,0)),"کد ناشناخته")))</f>
        <v/>
      </c>
      <c r="G587" s="15" t="n"/>
      <c r="H587" s="16">
        <f>IF(OR($C587&lt;&gt;"دستمزد گروهی",$D587=""),"",SUMIFS(ShareAmt,ShareLink,$D587))</f>
        <v/>
      </c>
      <c r="I587" s="17">
        <f>IF($C587&lt;&gt;"دستمزد گروهی","—",IF($H587="","",IF(ROUND($H587-IF($G587="",0,$G587),0)=0,"√","▲ مغایرت "&amp;TEXT(IF($G587="",0,$G587)-$H587,"#,##0"))))</f>
        <v/>
      </c>
      <c r="J587" s="18" t="n"/>
    </row>
    <row r="588">
      <c r="A588" s="19">
        <f>IF($B588="","",COUNTA($B$9:$B588))</f>
        <v/>
      </c>
      <c r="B588" s="11" t="n"/>
      <c r="C588" s="12" t="n"/>
      <c r="D588" s="12" t="n"/>
      <c r="E588" s="13" t="n"/>
      <c r="F588" s="20">
        <f>IF($E588="","",IF($C588="دستمزد گروهی",IFERROR(VLOOKUP($E588,WGTbl,2,0),"کد ناشناخته"),IFERROR(IF(VLOOKUP($E588,AcctTblE,4,0)="","(بدون نام)",VLOOKUP($E588,AcctTblE,4,0)),"کد ناشناخته")))</f>
        <v/>
      </c>
      <c r="G588" s="15" t="n"/>
      <c r="H588" s="21">
        <f>IF(OR($C588&lt;&gt;"دستمزد گروهی",$D588=""),"",SUMIFS(ShareAmt,ShareLink,$D588))</f>
        <v/>
      </c>
      <c r="I588" s="22">
        <f>IF($C588&lt;&gt;"دستمزد گروهی","—",IF($H588="","",IF(ROUND($H588-IF($G588="",0,$G588),0)=0,"√","▲ مغایرت "&amp;TEXT(IF($G588="",0,$G588)-$H588,"#,##0"))))</f>
        <v/>
      </c>
      <c r="J588" s="18" t="n"/>
    </row>
    <row r="589">
      <c r="A589" s="10">
        <f>IF($B589="","",COUNTA($B$9:$B589))</f>
        <v/>
      </c>
      <c r="B589" s="11" t="n"/>
      <c r="C589" s="12" t="n"/>
      <c r="D589" s="12" t="n"/>
      <c r="E589" s="13" t="n"/>
      <c r="F589" s="14">
        <f>IF($E589="","",IF($C589="دستمزد گروهی",IFERROR(VLOOKUP($E589,WGTbl,2,0),"کد ناشناخته"),IFERROR(IF(VLOOKUP($E589,AcctTblE,4,0)="","(بدون نام)",VLOOKUP($E589,AcctTblE,4,0)),"کد ناشناخته")))</f>
        <v/>
      </c>
      <c r="G589" s="15" t="n"/>
      <c r="H589" s="16">
        <f>IF(OR($C589&lt;&gt;"دستمزد گروهی",$D589=""),"",SUMIFS(ShareAmt,ShareLink,$D589))</f>
        <v/>
      </c>
      <c r="I589" s="17">
        <f>IF($C589&lt;&gt;"دستمزد گروهی","—",IF($H589="","",IF(ROUND($H589-IF($G589="",0,$G589),0)=0,"√","▲ مغایرت "&amp;TEXT(IF($G589="",0,$G589)-$H589,"#,##0"))))</f>
        <v/>
      </c>
      <c r="J589" s="18" t="n"/>
    </row>
    <row r="590">
      <c r="A590" s="19">
        <f>IF($B590="","",COUNTA($B$9:$B590))</f>
        <v/>
      </c>
      <c r="B590" s="11" t="n"/>
      <c r="C590" s="12" t="n"/>
      <c r="D590" s="12" t="n"/>
      <c r="E590" s="13" t="n"/>
      <c r="F590" s="20">
        <f>IF($E590="","",IF($C590="دستمزد گروهی",IFERROR(VLOOKUP($E590,WGTbl,2,0),"کد ناشناخته"),IFERROR(IF(VLOOKUP($E590,AcctTblE,4,0)="","(بدون نام)",VLOOKUP($E590,AcctTblE,4,0)),"کد ناشناخته")))</f>
        <v/>
      </c>
      <c r="G590" s="15" t="n"/>
      <c r="H590" s="21">
        <f>IF(OR($C590&lt;&gt;"دستمزد گروهی",$D590=""),"",SUMIFS(ShareAmt,ShareLink,$D590))</f>
        <v/>
      </c>
      <c r="I590" s="22">
        <f>IF($C590&lt;&gt;"دستمزد گروهی","—",IF($H590="","",IF(ROUND($H590-IF($G590="",0,$G590),0)=0,"√","▲ مغایرت "&amp;TEXT(IF($G590="",0,$G590)-$H590,"#,##0"))))</f>
        <v/>
      </c>
      <c r="J590" s="18" t="n"/>
    </row>
    <row r="591">
      <c r="A591" s="10">
        <f>IF($B591="","",COUNTA($B$9:$B591))</f>
        <v/>
      </c>
      <c r="B591" s="11" t="n"/>
      <c r="C591" s="12" t="n"/>
      <c r="D591" s="12" t="n"/>
      <c r="E591" s="13" t="n"/>
      <c r="F591" s="14">
        <f>IF($E591="","",IF($C591="دستمزد گروهی",IFERROR(VLOOKUP($E591,WGTbl,2,0),"کد ناشناخته"),IFERROR(IF(VLOOKUP($E591,AcctTblE,4,0)="","(بدون نام)",VLOOKUP($E591,AcctTblE,4,0)),"کد ناشناخته")))</f>
        <v/>
      </c>
      <c r="G591" s="15" t="n"/>
      <c r="H591" s="16">
        <f>IF(OR($C591&lt;&gt;"دستمزد گروهی",$D591=""),"",SUMIFS(ShareAmt,ShareLink,$D591))</f>
        <v/>
      </c>
      <c r="I591" s="17">
        <f>IF($C591&lt;&gt;"دستمزد گروهی","—",IF($H591="","",IF(ROUND($H591-IF($G591="",0,$G591),0)=0,"√","▲ مغایرت "&amp;TEXT(IF($G591="",0,$G591)-$H591,"#,##0"))))</f>
        <v/>
      </c>
      <c r="J591" s="18" t="n"/>
    </row>
    <row r="592">
      <c r="A592" s="19">
        <f>IF($B592="","",COUNTA($B$9:$B592))</f>
        <v/>
      </c>
      <c r="B592" s="11" t="n"/>
      <c r="C592" s="12" t="n"/>
      <c r="D592" s="12" t="n"/>
      <c r="E592" s="13" t="n"/>
      <c r="F592" s="20">
        <f>IF($E592="","",IF($C592="دستمزد گروهی",IFERROR(VLOOKUP($E592,WGTbl,2,0),"کد ناشناخته"),IFERROR(IF(VLOOKUP($E592,AcctTblE,4,0)="","(بدون نام)",VLOOKUP($E592,AcctTblE,4,0)),"کد ناشناخته")))</f>
        <v/>
      </c>
      <c r="G592" s="15" t="n"/>
      <c r="H592" s="21">
        <f>IF(OR($C592&lt;&gt;"دستمزد گروهی",$D592=""),"",SUMIFS(ShareAmt,ShareLink,$D592))</f>
        <v/>
      </c>
      <c r="I592" s="22">
        <f>IF($C592&lt;&gt;"دستمزد گروهی","—",IF($H592="","",IF(ROUND($H592-IF($G592="",0,$G592),0)=0,"√","▲ مغایرت "&amp;TEXT(IF($G592="",0,$G592)-$H592,"#,##0"))))</f>
        <v/>
      </c>
      <c r="J592" s="18" t="n"/>
    </row>
    <row r="593">
      <c r="A593" s="10">
        <f>IF($B593="","",COUNTA($B$9:$B593))</f>
        <v/>
      </c>
      <c r="B593" s="11" t="n"/>
      <c r="C593" s="12" t="n"/>
      <c r="D593" s="12" t="n"/>
      <c r="E593" s="13" t="n"/>
      <c r="F593" s="14">
        <f>IF($E593="","",IF($C593="دستمزد گروهی",IFERROR(VLOOKUP($E593,WGTbl,2,0),"کد ناشناخته"),IFERROR(IF(VLOOKUP($E593,AcctTblE,4,0)="","(بدون نام)",VLOOKUP($E593,AcctTblE,4,0)),"کد ناشناخته")))</f>
        <v/>
      </c>
      <c r="G593" s="15" t="n"/>
      <c r="H593" s="16">
        <f>IF(OR($C593&lt;&gt;"دستمزد گروهی",$D593=""),"",SUMIFS(ShareAmt,ShareLink,$D593))</f>
        <v/>
      </c>
      <c r="I593" s="17">
        <f>IF($C593&lt;&gt;"دستمزد گروهی","—",IF($H593="","",IF(ROUND($H593-IF($G593="",0,$G593),0)=0,"√","▲ مغایرت "&amp;TEXT(IF($G593="",0,$G593)-$H593,"#,##0"))))</f>
        <v/>
      </c>
      <c r="J593" s="18" t="n"/>
    </row>
    <row r="594">
      <c r="A594" s="19">
        <f>IF($B594="","",COUNTA($B$9:$B594))</f>
        <v/>
      </c>
      <c r="B594" s="11" t="n"/>
      <c r="C594" s="12" t="n"/>
      <c r="D594" s="12" t="n"/>
      <c r="E594" s="13" t="n"/>
      <c r="F594" s="20">
        <f>IF($E594="","",IF($C594="دستمزد گروهی",IFERROR(VLOOKUP($E594,WGTbl,2,0),"کد ناشناخته"),IFERROR(IF(VLOOKUP($E594,AcctTblE,4,0)="","(بدون نام)",VLOOKUP($E594,AcctTblE,4,0)),"کد ناشناخته")))</f>
        <v/>
      </c>
      <c r="G594" s="15" t="n"/>
      <c r="H594" s="21">
        <f>IF(OR($C594&lt;&gt;"دستمزد گروهی",$D594=""),"",SUMIFS(ShareAmt,ShareLink,$D594))</f>
        <v/>
      </c>
      <c r="I594" s="22">
        <f>IF($C594&lt;&gt;"دستمزد گروهی","—",IF($H594="","",IF(ROUND($H594-IF($G594="",0,$G594),0)=0,"√","▲ مغایرت "&amp;TEXT(IF($G594="",0,$G594)-$H594,"#,##0"))))</f>
        <v/>
      </c>
      <c r="J594" s="18" t="n"/>
    </row>
    <row r="595">
      <c r="A595" s="10">
        <f>IF($B595="","",COUNTA($B$9:$B595))</f>
        <v/>
      </c>
      <c r="B595" s="11" t="n"/>
      <c r="C595" s="12" t="n"/>
      <c r="D595" s="12" t="n"/>
      <c r="E595" s="13" t="n"/>
      <c r="F595" s="14">
        <f>IF($E595="","",IF($C595="دستمزد گروهی",IFERROR(VLOOKUP($E595,WGTbl,2,0),"کد ناشناخته"),IFERROR(IF(VLOOKUP($E595,AcctTblE,4,0)="","(بدون نام)",VLOOKUP($E595,AcctTblE,4,0)),"کد ناشناخته")))</f>
        <v/>
      </c>
      <c r="G595" s="15" t="n"/>
      <c r="H595" s="16">
        <f>IF(OR($C595&lt;&gt;"دستمزد گروهی",$D595=""),"",SUMIFS(ShareAmt,ShareLink,$D595))</f>
        <v/>
      </c>
      <c r="I595" s="17">
        <f>IF($C595&lt;&gt;"دستمزد گروهی","—",IF($H595="","",IF(ROUND($H595-IF($G595="",0,$G595),0)=0,"√","▲ مغایرت "&amp;TEXT(IF($G595="",0,$G595)-$H595,"#,##0"))))</f>
        <v/>
      </c>
      <c r="J595" s="18" t="n"/>
    </row>
    <row r="596">
      <c r="A596" s="19">
        <f>IF($B596="","",COUNTA($B$9:$B596))</f>
        <v/>
      </c>
      <c r="B596" s="11" t="n"/>
      <c r="C596" s="12" t="n"/>
      <c r="D596" s="12" t="n"/>
      <c r="E596" s="13" t="n"/>
      <c r="F596" s="20">
        <f>IF($E596="","",IF($C596="دستمزد گروهی",IFERROR(VLOOKUP($E596,WGTbl,2,0),"کد ناشناخته"),IFERROR(IF(VLOOKUP($E596,AcctTblE,4,0)="","(بدون نام)",VLOOKUP($E596,AcctTblE,4,0)),"کد ناشناخته")))</f>
        <v/>
      </c>
      <c r="G596" s="15" t="n"/>
      <c r="H596" s="21">
        <f>IF(OR($C596&lt;&gt;"دستمزد گروهی",$D596=""),"",SUMIFS(ShareAmt,ShareLink,$D596))</f>
        <v/>
      </c>
      <c r="I596" s="22">
        <f>IF($C596&lt;&gt;"دستمزد گروهی","—",IF($H596="","",IF(ROUND($H596-IF($G596="",0,$G596),0)=0,"√","▲ مغایرت "&amp;TEXT(IF($G596="",0,$G596)-$H596,"#,##0"))))</f>
        <v/>
      </c>
      <c r="J596" s="18" t="n"/>
    </row>
    <row r="597">
      <c r="A597" s="10">
        <f>IF($B597="","",COUNTA($B$9:$B597))</f>
        <v/>
      </c>
      <c r="B597" s="11" t="n"/>
      <c r="C597" s="12" t="n"/>
      <c r="D597" s="12" t="n"/>
      <c r="E597" s="13" t="n"/>
      <c r="F597" s="14">
        <f>IF($E597="","",IF($C597="دستمزد گروهی",IFERROR(VLOOKUP($E597,WGTbl,2,0),"کد ناشناخته"),IFERROR(IF(VLOOKUP($E597,AcctTblE,4,0)="","(بدون نام)",VLOOKUP($E597,AcctTblE,4,0)),"کد ناشناخته")))</f>
        <v/>
      </c>
      <c r="G597" s="15" t="n"/>
      <c r="H597" s="16">
        <f>IF(OR($C597&lt;&gt;"دستمزد گروهی",$D597=""),"",SUMIFS(ShareAmt,ShareLink,$D597))</f>
        <v/>
      </c>
      <c r="I597" s="17">
        <f>IF($C597&lt;&gt;"دستمزد گروهی","—",IF($H597="","",IF(ROUND($H597-IF($G597="",0,$G597),0)=0,"√","▲ مغایرت "&amp;TEXT(IF($G597="",0,$G597)-$H597,"#,##0"))))</f>
        <v/>
      </c>
      <c r="J597" s="18" t="n"/>
    </row>
    <row r="598">
      <c r="A598" s="19">
        <f>IF($B598="","",COUNTA($B$9:$B598))</f>
        <v/>
      </c>
      <c r="B598" s="11" t="n"/>
      <c r="C598" s="12" t="n"/>
      <c r="D598" s="12" t="n"/>
      <c r="E598" s="13" t="n"/>
      <c r="F598" s="20">
        <f>IF($E598="","",IF($C598="دستمزد گروهی",IFERROR(VLOOKUP($E598,WGTbl,2,0),"کد ناشناخته"),IFERROR(IF(VLOOKUP($E598,AcctTblE,4,0)="","(بدون نام)",VLOOKUP($E598,AcctTblE,4,0)),"کد ناشناخته")))</f>
        <v/>
      </c>
      <c r="G598" s="15" t="n"/>
      <c r="H598" s="21">
        <f>IF(OR($C598&lt;&gt;"دستمزد گروهی",$D598=""),"",SUMIFS(ShareAmt,ShareLink,$D598))</f>
        <v/>
      </c>
      <c r="I598" s="22">
        <f>IF($C598&lt;&gt;"دستمزد گروهی","—",IF($H598="","",IF(ROUND($H598-IF($G598="",0,$G598),0)=0,"√","▲ مغایرت "&amp;TEXT(IF($G598="",0,$G598)-$H598,"#,##0"))))</f>
        <v/>
      </c>
      <c r="J598" s="18" t="n"/>
    </row>
    <row r="599">
      <c r="A599" s="10">
        <f>IF($B599="","",COUNTA($B$9:$B599))</f>
        <v/>
      </c>
      <c r="B599" s="11" t="n"/>
      <c r="C599" s="12" t="n"/>
      <c r="D599" s="12" t="n"/>
      <c r="E599" s="13" t="n"/>
      <c r="F599" s="14">
        <f>IF($E599="","",IF($C599="دستمزد گروهی",IFERROR(VLOOKUP($E599,WGTbl,2,0),"کد ناشناخته"),IFERROR(IF(VLOOKUP($E599,AcctTblE,4,0)="","(بدون نام)",VLOOKUP($E599,AcctTblE,4,0)),"کد ناشناخته")))</f>
        <v/>
      </c>
      <c r="G599" s="15" t="n"/>
      <c r="H599" s="16">
        <f>IF(OR($C599&lt;&gt;"دستمزد گروهی",$D599=""),"",SUMIFS(ShareAmt,ShareLink,$D599))</f>
        <v/>
      </c>
      <c r="I599" s="17">
        <f>IF($C599&lt;&gt;"دستمزد گروهی","—",IF($H599="","",IF(ROUND($H599-IF($G599="",0,$G599),0)=0,"√","▲ مغایرت "&amp;TEXT(IF($G599="",0,$G599)-$H599,"#,##0"))))</f>
        <v/>
      </c>
      <c r="J599" s="18" t="n"/>
    </row>
    <row r="600">
      <c r="A600" s="19">
        <f>IF($B600="","",COUNTA($B$9:$B600))</f>
        <v/>
      </c>
      <c r="B600" s="11" t="n"/>
      <c r="C600" s="12" t="n"/>
      <c r="D600" s="12" t="n"/>
      <c r="E600" s="13" t="n"/>
      <c r="F600" s="20">
        <f>IF($E600="","",IF($C600="دستمزد گروهی",IFERROR(VLOOKUP($E600,WGTbl,2,0),"کد ناشناخته"),IFERROR(IF(VLOOKUP($E600,AcctTblE,4,0)="","(بدون نام)",VLOOKUP($E600,AcctTblE,4,0)),"کد ناشناخته")))</f>
        <v/>
      </c>
      <c r="G600" s="15" t="n"/>
      <c r="H600" s="21">
        <f>IF(OR($C600&lt;&gt;"دستمزد گروهی",$D600=""),"",SUMIFS(ShareAmt,ShareLink,$D600))</f>
        <v/>
      </c>
      <c r="I600" s="22">
        <f>IF($C600&lt;&gt;"دستمزد گروهی","—",IF($H600="","",IF(ROUND($H600-IF($G600="",0,$G600),0)=0,"√","▲ مغایرت "&amp;TEXT(IF($G600="",0,$G600)-$H600,"#,##0"))))</f>
        <v/>
      </c>
      <c r="J600" s="18" t="n"/>
    </row>
    <row r="601">
      <c r="A601" s="10">
        <f>IF($B601="","",COUNTA($B$9:$B601))</f>
        <v/>
      </c>
      <c r="B601" s="11" t="n"/>
      <c r="C601" s="12" t="n"/>
      <c r="D601" s="12" t="n"/>
      <c r="E601" s="13" t="n"/>
      <c r="F601" s="14">
        <f>IF($E601="","",IF($C601="دستمزد گروهی",IFERROR(VLOOKUP($E601,WGTbl,2,0),"کد ناشناخته"),IFERROR(IF(VLOOKUP($E601,AcctTblE,4,0)="","(بدون نام)",VLOOKUP($E601,AcctTblE,4,0)),"کد ناشناخته")))</f>
        <v/>
      </c>
      <c r="G601" s="15" t="n"/>
      <c r="H601" s="16">
        <f>IF(OR($C601&lt;&gt;"دستمزد گروهی",$D601=""),"",SUMIFS(ShareAmt,ShareLink,$D601))</f>
        <v/>
      </c>
      <c r="I601" s="17">
        <f>IF($C601&lt;&gt;"دستمزد گروهی","—",IF($H601="","",IF(ROUND($H601-IF($G601="",0,$G601),0)=0,"√","▲ مغایرت "&amp;TEXT(IF($G601="",0,$G601)-$H601,"#,##0"))))</f>
        <v/>
      </c>
      <c r="J601" s="18" t="n"/>
    </row>
    <row r="602">
      <c r="A602" s="19">
        <f>IF($B602="","",COUNTA($B$9:$B602))</f>
        <v/>
      </c>
      <c r="B602" s="11" t="n"/>
      <c r="C602" s="12" t="n"/>
      <c r="D602" s="12" t="n"/>
      <c r="E602" s="13" t="n"/>
      <c r="F602" s="20">
        <f>IF($E602="","",IF($C602="دستمزد گروهی",IFERROR(VLOOKUP($E602,WGTbl,2,0),"کد ناشناخته"),IFERROR(IF(VLOOKUP($E602,AcctTblE,4,0)="","(بدون نام)",VLOOKUP($E602,AcctTblE,4,0)),"کد ناشناخته")))</f>
        <v/>
      </c>
      <c r="G602" s="15" t="n"/>
      <c r="H602" s="21">
        <f>IF(OR($C602&lt;&gt;"دستمزد گروهی",$D602=""),"",SUMIFS(ShareAmt,ShareLink,$D602))</f>
        <v/>
      </c>
      <c r="I602" s="22">
        <f>IF($C602&lt;&gt;"دستمزد گروهی","—",IF($H602="","",IF(ROUND($H602-IF($G602="",0,$G602),0)=0,"√","▲ مغایرت "&amp;TEXT(IF($G602="",0,$G602)-$H602,"#,##0"))))</f>
        <v/>
      </c>
      <c r="J602" s="18" t="n"/>
    </row>
    <row r="603">
      <c r="A603" s="10">
        <f>IF($B603="","",COUNTA($B$9:$B603))</f>
        <v/>
      </c>
      <c r="B603" s="11" t="n"/>
      <c r="C603" s="12" t="n"/>
      <c r="D603" s="12" t="n"/>
      <c r="E603" s="13" t="n"/>
      <c r="F603" s="14">
        <f>IF($E603="","",IF($C603="دستمزد گروهی",IFERROR(VLOOKUP($E603,WGTbl,2,0),"کد ناشناخته"),IFERROR(IF(VLOOKUP($E603,AcctTblE,4,0)="","(بدون نام)",VLOOKUP($E603,AcctTblE,4,0)),"کد ناشناخته")))</f>
        <v/>
      </c>
      <c r="G603" s="15" t="n"/>
      <c r="H603" s="16">
        <f>IF(OR($C603&lt;&gt;"دستمزد گروهی",$D603=""),"",SUMIFS(ShareAmt,ShareLink,$D603))</f>
        <v/>
      </c>
      <c r="I603" s="17">
        <f>IF($C603&lt;&gt;"دستمزد گروهی","—",IF($H603="","",IF(ROUND($H603-IF($G603="",0,$G603),0)=0,"√","▲ مغایرت "&amp;TEXT(IF($G603="",0,$G603)-$H603,"#,##0"))))</f>
        <v/>
      </c>
      <c r="J603" s="18" t="n"/>
    </row>
    <row r="604">
      <c r="A604" s="19">
        <f>IF($B604="","",COUNTA($B$9:$B604))</f>
        <v/>
      </c>
      <c r="B604" s="11" t="n"/>
      <c r="C604" s="12" t="n"/>
      <c r="D604" s="12" t="n"/>
      <c r="E604" s="13" t="n"/>
      <c r="F604" s="20">
        <f>IF($E604="","",IF($C604="دستمزد گروهی",IFERROR(VLOOKUP($E604,WGTbl,2,0),"کد ناشناخته"),IFERROR(IF(VLOOKUP($E604,AcctTblE,4,0)="","(بدون نام)",VLOOKUP($E604,AcctTblE,4,0)),"کد ناشناخته")))</f>
        <v/>
      </c>
      <c r="G604" s="15" t="n"/>
      <c r="H604" s="21">
        <f>IF(OR($C604&lt;&gt;"دستمزد گروهی",$D604=""),"",SUMIFS(ShareAmt,ShareLink,$D604))</f>
        <v/>
      </c>
      <c r="I604" s="22">
        <f>IF($C604&lt;&gt;"دستمزد گروهی","—",IF($H604="","",IF(ROUND($H604-IF($G604="",0,$G604),0)=0,"√","▲ مغایرت "&amp;TEXT(IF($G604="",0,$G604)-$H604,"#,##0"))))</f>
        <v/>
      </c>
      <c r="J604" s="18" t="n"/>
    </row>
    <row r="605">
      <c r="A605" s="10">
        <f>IF($B605="","",COUNTA($B$9:$B605))</f>
        <v/>
      </c>
      <c r="B605" s="11" t="n"/>
      <c r="C605" s="12" t="n"/>
      <c r="D605" s="12" t="n"/>
      <c r="E605" s="13" t="n"/>
      <c r="F605" s="14">
        <f>IF($E605="","",IF($C605="دستمزد گروهی",IFERROR(VLOOKUP($E605,WGTbl,2,0),"کد ناشناخته"),IFERROR(IF(VLOOKUP($E605,AcctTblE,4,0)="","(بدون نام)",VLOOKUP($E605,AcctTblE,4,0)),"کد ناشناخته")))</f>
        <v/>
      </c>
      <c r="G605" s="15" t="n"/>
      <c r="H605" s="16">
        <f>IF(OR($C605&lt;&gt;"دستمزد گروهی",$D605=""),"",SUMIFS(ShareAmt,ShareLink,$D605))</f>
        <v/>
      </c>
      <c r="I605" s="17">
        <f>IF($C605&lt;&gt;"دستمزد گروهی","—",IF($H605="","",IF(ROUND($H605-IF($G605="",0,$G605),0)=0,"√","▲ مغایرت "&amp;TEXT(IF($G605="",0,$G605)-$H605,"#,##0"))))</f>
        <v/>
      </c>
      <c r="J605" s="18" t="n"/>
    </row>
    <row r="606">
      <c r="A606" s="19">
        <f>IF($B606="","",COUNTA($B$9:$B606))</f>
        <v/>
      </c>
      <c r="B606" s="11" t="n"/>
      <c r="C606" s="12" t="n"/>
      <c r="D606" s="12" t="n"/>
      <c r="E606" s="13" t="n"/>
      <c r="F606" s="20">
        <f>IF($E606="","",IF($C606="دستمزد گروهی",IFERROR(VLOOKUP($E606,WGTbl,2,0),"کد ناشناخته"),IFERROR(IF(VLOOKUP($E606,AcctTblE,4,0)="","(بدون نام)",VLOOKUP($E606,AcctTblE,4,0)),"کد ناشناخته")))</f>
        <v/>
      </c>
      <c r="G606" s="15" t="n"/>
      <c r="H606" s="21">
        <f>IF(OR($C606&lt;&gt;"دستمزد گروهی",$D606=""),"",SUMIFS(ShareAmt,ShareLink,$D606))</f>
        <v/>
      </c>
      <c r="I606" s="22">
        <f>IF($C606&lt;&gt;"دستمزد گروهی","—",IF($H606="","",IF(ROUND($H606-IF($G606="",0,$G606),0)=0,"√","▲ مغایرت "&amp;TEXT(IF($G606="",0,$G606)-$H606,"#,##0"))))</f>
        <v/>
      </c>
      <c r="J606" s="18" t="n"/>
    </row>
    <row r="607">
      <c r="A607" s="10">
        <f>IF($B607="","",COUNTA($B$9:$B607))</f>
        <v/>
      </c>
      <c r="B607" s="11" t="n"/>
      <c r="C607" s="12" t="n"/>
      <c r="D607" s="12" t="n"/>
      <c r="E607" s="13" t="n"/>
      <c r="F607" s="14">
        <f>IF($E607="","",IF($C607="دستمزد گروهی",IFERROR(VLOOKUP($E607,WGTbl,2,0),"کد ناشناخته"),IFERROR(IF(VLOOKUP($E607,AcctTblE,4,0)="","(بدون نام)",VLOOKUP($E607,AcctTblE,4,0)),"کد ناشناخته")))</f>
        <v/>
      </c>
      <c r="G607" s="15" t="n"/>
      <c r="H607" s="16">
        <f>IF(OR($C607&lt;&gt;"دستمزد گروهی",$D607=""),"",SUMIFS(ShareAmt,ShareLink,$D607))</f>
        <v/>
      </c>
      <c r="I607" s="17">
        <f>IF($C607&lt;&gt;"دستمزد گروهی","—",IF($H607="","",IF(ROUND($H607-IF($G607="",0,$G607),0)=0,"√","▲ مغایرت "&amp;TEXT(IF($G607="",0,$G607)-$H607,"#,##0"))))</f>
        <v/>
      </c>
      <c r="J607" s="18" t="n"/>
    </row>
    <row r="608">
      <c r="A608" s="19">
        <f>IF($B608="","",COUNTA($B$9:$B608))</f>
        <v/>
      </c>
      <c r="B608" s="11" t="n"/>
      <c r="C608" s="12" t="n"/>
      <c r="D608" s="12" t="n"/>
      <c r="E608" s="13" t="n"/>
      <c r="F608" s="20">
        <f>IF($E608="","",IF($C608="دستمزد گروهی",IFERROR(VLOOKUP($E608,WGTbl,2,0),"کد ناشناخته"),IFERROR(IF(VLOOKUP($E608,AcctTblE,4,0)="","(بدون نام)",VLOOKUP($E608,AcctTblE,4,0)),"کد ناشناخته")))</f>
        <v/>
      </c>
      <c r="G608" s="15" t="n"/>
      <c r="H608" s="21">
        <f>IF(OR($C608&lt;&gt;"دستمزد گروهی",$D608=""),"",SUMIFS(ShareAmt,ShareLink,$D608))</f>
        <v/>
      </c>
      <c r="I608" s="22">
        <f>IF($C608&lt;&gt;"دستمزد گروهی","—",IF($H608="","",IF(ROUND($H608-IF($G608="",0,$G608),0)=0,"√","▲ مغایرت "&amp;TEXT(IF($G608="",0,$G608)-$H608,"#,##0"))))</f>
        <v/>
      </c>
      <c r="J608" s="18" t="n"/>
    </row>
    <row r="609">
      <c r="A609" s="10">
        <f>IF($B609="","",COUNTA($B$9:$B609))</f>
        <v/>
      </c>
      <c r="B609" s="11" t="n"/>
      <c r="C609" s="12" t="n"/>
      <c r="D609" s="12" t="n"/>
      <c r="E609" s="13" t="n"/>
      <c r="F609" s="14">
        <f>IF($E609="","",IF($C609="دستمزد گروهی",IFERROR(VLOOKUP($E609,WGTbl,2,0),"کد ناشناخته"),IFERROR(IF(VLOOKUP($E609,AcctTblE,4,0)="","(بدون نام)",VLOOKUP($E609,AcctTblE,4,0)),"کد ناشناخته")))</f>
        <v/>
      </c>
      <c r="G609" s="15" t="n"/>
      <c r="H609" s="16">
        <f>IF(OR($C609&lt;&gt;"دستمزد گروهی",$D609=""),"",SUMIFS(ShareAmt,ShareLink,$D609))</f>
        <v/>
      </c>
      <c r="I609" s="17">
        <f>IF($C609&lt;&gt;"دستمزد گروهی","—",IF($H609="","",IF(ROUND($H609-IF($G609="",0,$G609),0)=0,"√","▲ مغایرت "&amp;TEXT(IF($G609="",0,$G609)-$H609,"#,##0"))))</f>
        <v/>
      </c>
      <c r="J609" s="18" t="n"/>
    </row>
    <row r="610">
      <c r="A610" s="19">
        <f>IF($B610="","",COUNTA($B$9:$B610))</f>
        <v/>
      </c>
      <c r="B610" s="11" t="n"/>
      <c r="C610" s="12" t="n"/>
      <c r="D610" s="12" t="n"/>
      <c r="E610" s="13" t="n"/>
      <c r="F610" s="20">
        <f>IF($E610="","",IF($C610="دستمزد گروهی",IFERROR(VLOOKUP($E610,WGTbl,2,0),"کد ناشناخته"),IFERROR(IF(VLOOKUP($E610,AcctTblE,4,0)="","(بدون نام)",VLOOKUP($E610,AcctTblE,4,0)),"کد ناشناخته")))</f>
        <v/>
      </c>
      <c r="G610" s="15" t="n"/>
      <c r="H610" s="21">
        <f>IF(OR($C610&lt;&gt;"دستمزد گروهی",$D610=""),"",SUMIFS(ShareAmt,ShareLink,$D610))</f>
        <v/>
      </c>
      <c r="I610" s="22">
        <f>IF($C610&lt;&gt;"دستمزد گروهی","—",IF($H610="","",IF(ROUND($H610-IF($G610="",0,$G610),0)=0,"√","▲ مغایرت "&amp;TEXT(IF($G610="",0,$G610)-$H610,"#,##0"))))</f>
        <v/>
      </c>
      <c r="J610" s="18" t="n"/>
    </row>
    <row r="611">
      <c r="A611" s="10">
        <f>IF($B611="","",COUNTA($B$9:$B611))</f>
        <v/>
      </c>
      <c r="B611" s="11" t="n"/>
      <c r="C611" s="12" t="n"/>
      <c r="D611" s="12" t="n"/>
      <c r="E611" s="13" t="n"/>
      <c r="F611" s="14">
        <f>IF($E611="","",IF($C611="دستمزد گروهی",IFERROR(VLOOKUP($E611,WGTbl,2,0),"کد ناشناخته"),IFERROR(IF(VLOOKUP($E611,AcctTblE,4,0)="","(بدون نام)",VLOOKUP($E611,AcctTblE,4,0)),"کد ناشناخته")))</f>
        <v/>
      </c>
      <c r="G611" s="15" t="n"/>
      <c r="H611" s="16">
        <f>IF(OR($C611&lt;&gt;"دستمزد گروهی",$D611=""),"",SUMIFS(ShareAmt,ShareLink,$D611))</f>
        <v/>
      </c>
      <c r="I611" s="17">
        <f>IF($C611&lt;&gt;"دستمزد گروهی","—",IF($H611="","",IF(ROUND($H611-IF($G611="",0,$G611),0)=0,"√","▲ مغایرت "&amp;TEXT(IF($G611="",0,$G611)-$H611,"#,##0"))))</f>
        <v/>
      </c>
      <c r="J611" s="18" t="n"/>
    </row>
    <row r="612">
      <c r="A612" s="19">
        <f>IF($B612="","",COUNTA($B$9:$B612))</f>
        <v/>
      </c>
      <c r="B612" s="11" t="n"/>
      <c r="C612" s="12" t="n"/>
      <c r="D612" s="12" t="n"/>
      <c r="E612" s="13" t="n"/>
      <c r="F612" s="20">
        <f>IF($E612="","",IF($C612="دستمزد گروهی",IFERROR(VLOOKUP($E612,WGTbl,2,0),"کد ناشناخته"),IFERROR(IF(VLOOKUP($E612,AcctTblE,4,0)="","(بدون نام)",VLOOKUP($E612,AcctTblE,4,0)),"کد ناشناخته")))</f>
        <v/>
      </c>
      <c r="G612" s="15" t="n"/>
      <c r="H612" s="21">
        <f>IF(OR($C612&lt;&gt;"دستمزد گروهی",$D612=""),"",SUMIFS(ShareAmt,ShareLink,$D612))</f>
        <v/>
      </c>
      <c r="I612" s="22">
        <f>IF($C612&lt;&gt;"دستمزد گروهی","—",IF($H612="","",IF(ROUND($H612-IF($G612="",0,$G612),0)=0,"√","▲ مغایرت "&amp;TEXT(IF($G612="",0,$G612)-$H612,"#,##0"))))</f>
        <v/>
      </c>
      <c r="J612" s="18" t="n"/>
    </row>
    <row r="613">
      <c r="A613" s="10">
        <f>IF($B613="","",COUNTA($B$9:$B613))</f>
        <v/>
      </c>
      <c r="B613" s="11" t="n"/>
      <c r="C613" s="12" t="n"/>
      <c r="D613" s="12" t="n"/>
      <c r="E613" s="13" t="n"/>
      <c r="F613" s="14">
        <f>IF($E613="","",IF($C613="دستمزد گروهی",IFERROR(VLOOKUP($E613,WGTbl,2,0),"کد ناشناخته"),IFERROR(IF(VLOOKUP($E613,AcctTblE,4,0)="","(بدون نام)",VLOOKUP($E613,AcctTblE,4,0)),"کد ناشناخته")))</f>
        <v/>
      </c>
      <c r="G613" s="15" t="n"/>
      <c r="H613" s="16">
        <f>IF(OR($C613&lt;&gt;"دستمزد گروهی",$D613=""),"",SUMIFS(ShareAmt,ShareLink,$D613))</f>
        <v/>
      </c>
      <c r="I613" s="17">
        <f>IF($C613&lt;&gt;"دستمزد گروهی","—",IF($H613="","",IF(ROUND($H613-IF($G613="",0,$G613),0)=0,"√","▲ مغایرت "&amp;TEXT(IF($G613="",0,$G613)-$H613,"#,##0"))))</f>
        <v/>
      </c>
      <c r="J613" s="18" t="n"/>
    </row>
    <row r="614">
      <c r="A614" s="19">
        <f>IF($B614="","",COUNTA($B$9:$B614))</f>
        <v/>
      </c>
      <c r="B614" s="11" t="n"/>
      <c r="C614" s="12" t="n"/>
      <c r="D614" s="12" t="n"/>
      <c r="E614" s="13" t="n"/>
      <c r="F614" s="20">
        <f>IF($E614="","",IF($C614="دستمزد گروهی",IFERROR(VLOOKUP($E614,WGTbl,2,0),"کد ناشناخته"),IFERROR(IF(VLOOKUP($E614,AcctTblE,4,0)="","(بدون نام)",VLOOKUP($E614,AcctTblE,4,0)),"کد ناشناخته")))</f>
        <v/>
      </c>
      <c r="G614" s="15" t="n"/>
      <c r="H614" s="21">
        <f>IF(OR($C614&lt;&gt;"دستمزد گروهی",$D614=""),"",SUMIFS(ShareAmt,ShareLink,$D614))</f>
        <v/>
      </c>
      <c r="I614" s="22">
        <f>IF($C614&lt;&gt;"دستمزد گروهی","—",IF($H614="","",IF(ROUND($H614-IF($G614="",0,$G614),0)=0,"√","▲ مغایرت "&amp;TEXT(IF($G614="",0,$G614)-$H614,"#,##0"))))</f>
        <v/>
      </c>
      <c r="J614" s="18" t="n"/>
    </row>
    <row r="615">
      <c r="A615" s="10">
        <f>IF($B615="","",COUNTA($B$9:$B615))</f>
        <v/>
      </c>
      <c r="B615" s="11" t="n"/>
      <c r="C615" s="12" t="n"/>
      <c r="D615" s="12" t="n"/>
      <c r="E615" s="13" t="n"/>
      <c r="F615" s="14">
        <f>IF($E615="","",IF($C615="دستمزد گروهی",IFERROR(VLOOKUP($E615,WGTbl,2,0),"کد ناشناخته"),IFERROR(IF(VLOOKUP($E615,AcctTblE,4,0)="","(بدون نام)",VLOOKUP($E615,AcctTblE,4,0)),"کد ناشناخته")))</f>
        <v/>
      </c>
      <c r="G615" s="15" t="n"/>
      <c r="H615" s="16">
        <f>IF(OR($C615&lt;&gt;"دستمزد گروهی",$D615=""),"",SUMIFS(ShareAmt,ShareLink,$D615))</f>
        <v/>
      </c>
      <c r="I615" s="17">
        <f>IF($C615&lt;&gt;"دستمزد گروهی","—",IF($H615="","",IF(ROUND($H615-IF($G615="",0,$G615),0)=0,"√","▲ مغایرت "&amp;TEXT(IF($G615="",0,$G615)-$H615,"#,##0"))))</f>
        <v/>
      </c>
      <c r="J615" s="18" t="n"/>
    </row>
    <row r="616">
      <c r="A616" s="19">
        <f>IF($B616="","",COUNTA($B$9:$B616))</f>
        <v/>
      </c>
      <c r="B616" s="11" t="n"/>
      <c r="C616" s="12" t="n"/>
      <c r="D616" s="12" t="n"/>
      <c r="E616" s="13" t="n"/>
      <c r="F616" s="20">
        <f>IF($E616="","",IF($C616="دستمزد گروهی",IFERROR(VLOOKUP($E616,WGTbl,2,0),"کد ناشناخته"),IFERROR(IF(VLOOKUP($E616,AcctTblE,4,0)="","(بدون نام)",VLOOKUP($E616,AcctTblE,4,0)),"کد ناشناخته")))</f>
        <v/>
      </c>
      <c r="G616" s="15" t="n"/>
      <c r="H616" s="21">
        <f>IF(OR($C616&lt;&gt;"دستمزد گروهی",$D616=""),"",SUMIFS(ShareAmt,ShareLink,$D616))</f>
        <v/>
      </c>
      <c r="I616" s="22">
        <f>IF($C616&lt;&gt;"دستمزد گروهی","—",IF($H616="","",IF(ROUND($H616-IF($G616="",0,$G616),0)=0,"√","▲ مغایرت "&amp;TEXT(IF($G616="",0,$G616)-$H616,"#,##0"))))</f>
        <v/>
      </c>
      <c r="J616" s="18" t="n"/>
    </row>
    <row r="617">
      <c r="A617" s="10">
        <f>IF($B617="","",COUNTA($B$9:$B617))</f>
        <v/>
      </c>
      <c r="B617" s="11" t="n"/>
      <c r="C617" s="12" t="n"/>
      <c r="D617" s="12" t="n"/>
      <c r="E617" s="13" t="n"/>
      <c r="F617" s="14">
        <f>IF($E617="","",IF($C617="دستمزد گروهی",IFERROR(VLOOKUP($E617,WGTbl,2,0),"کد ناشناخته"),IFERROR(IF(VLOOKUP($E617,AcctTblE,4,0)="","(بدون نام)",VLOOKUP($E617,AcctTblE,4,0)),"کد ناشناخته")))</f>
        <v/>
      </c>
      <c r="G617" s="15" t="n"/>
      <c r="H617" s="16">
        <f>IF(OR($C617&lt;&gt;"دستمزد گروهی",$D617=""),"",SUMIFS(ShareAmt,ShareLink,$D617))</f>
        <v/>
      </c>
      <c r="I617" s="17">
        <f>IF($C617&lt;&gt;"دستمزد گروهی","—",IF($H617="","",IF(ROUND($H617-IF($G617="",0,$G617),0)=0,"√","▲ مغایرت "&amp;TEXT(IF($G617="",0,$G617)-$H617,"#,##0"))))</f>
        <v/>
      </c>
      <c r="J617" s="18" t="n"/>
    </row>
    <row r="618">
      <c r="A618" s="19">
        <f>IF($B618="","",COUNTA($B$9:$B618))</f>
        <v/>
      </c>
      <c r="B618" s="11" t="n"/>
      <c r="C618" s="12" t="n"/>
      <c r="D618" s="12" t="n"/>
      <c r="E618" s="13" t="n"/>
      <c r="F618" s="20">
        <f>IF($E618="","",IF($C618="دستمزد گروهی",IFERROR(VLOOKUP($E618,WGTbl,2,0),"کد ناشناخته"),IFERROR(IF(VLOOKUP($E618,AcctTblE,4,0)="","(بدون نام)",VLOOKUP($E618,AcctTblE,4,0)),"کد ناشناخته")))</f>
        <v/>
      </c>
      <c r="G618" s="15" t="n"/>
      <c r="H618" s="21">
        <f>IF(OR($C618&lt;&gt;"دستمزد گروهی",$D618=""),"",SUMIFS(ShareAmt,ShareLink,$D618))</f>
        <v/>
      </c>
      <c r="I618" s="22">
        <f>IF($C618&lt;&gt;"دستمزد گروهی","—",IF($H618="","",IF(ROUND($H618-IF($G618="",0,$G618),0)=0,"√","▲ مغایرت "&amp;TEXT(IF($G618="",0,$G618)-$H618,"#,##0"))))</f>
        <v/>
      </c>
      <c r="J618" s="18" t="n"/>
    </row>
    <row r="619">
      <c r="A619" s="10">
        <f>IF($B619="","",COUNTA($B$9:$B619))</f>
        <v/>
      </c>
      <c r="B619" s="11" t="n"/>
      <c r="C619" s="12" t="n"/>
      <c r="D619" s="12" t="n"/>
      <c r="E619" s="13" t="n"/>
      <c r="F619" s="14">
        <f>IF($E619="","",IF($C619="دستمزد گروهی",IFERROR(VLOOKUP($E619,WGTbl,2,0),"کد ناشناخته"),IFERROR(IF(VLOOKUP($E619,AcctTblE,4,0)="","(بدون نام)",VLOOKUP($E619,AcctTblE,4,0)),"کد ناشناخته")))</f>
        <v/>
      </c>
      <c r="G619" s="15" t="n"/>
      <c r="H619" s="16">
        <f>IF(OR($C619&lt;&gt;"دستمزد گروهی",$D619=""),"",SUMIFS(ShareAmt,ShareLink,$D619))</f>
        <v/>
      </c>
      <c r="I619" s="17">
        <f>IF($C619&lt;&gt;"دستمزد گروهی","—",IF($H619="","",IF(ROUND($H619-IF($G619="",0,$G619),0)=0,"√","▲ مغایرت "&amp;TEXT(IF($G619="",0,$G619)-$H619,"#,##0"))))</f>
        <v/>
      </c>
      <c r="J619" s="18" t="n"/>
    </row>
    <row r="620">
      <c r="A620" s="19">
        <f>IF($B620="","",COUNTA($B$9:$B620))</f>
        <v/>
      </c>
      <c r="B620" s="11" t="n"/>
      <c r="C620" s="12" t="n"/>
      <c r="D620" s="12" t="n"/>
      <c r="E620" s="13" t="n"/>
      <c r="F620" s="20">
        <f>IF($E620="","",IF($C620="دستمزد گروهی",IFERROR(VLOOKUP($E620,WGTbl,2,0),"کد ناشناخته"),IFERROR(IF(VLOOKUP($E620,AcctTblE,4,0)="","(بدون نام)",VLOOKUP($E620,AcctTblE,4,0)),"کد ناشناخته")))</f>
        <v/>
      </c>
      <c r="G620" s="15" t="n"/>
      <c r="H620" s="21">
        <f>IF(OR($C620&lt;&gt;"دستمزد گروهی",$D620=""),"",SUMIFS(ShareAmt,ShareLink,$D620))</f>
        <v/>
      </c>
      <c r="I620" s="22">
        <f>IF($C620&lt;&gt;"دستمزد گروهی","—",IF($H620="","",IF(ROUND($H620-IF($G620="",0,$G620),0)=0,"√","▲ مغایرت "&amp;TEXT(IF($G620="",0,$G620)-$H620,"#,##0"))))</f>
        <v/>
      </c>
      <c r="J620" s="18" t="n"/>
    </row>
    <row r="621">
      <c r="A621" s="10">
        <f>IF($B621="","",COUNTA($B$9:$B621))</f>
        <v/>
      </c>
      <c r="B621" s="11" t="n"/>
      <c r="C621" s="12" t="n"/>
      <c r="D621" s="12" t="n"/>
      <c r="E621" s="13" t="n"/>
      <c r="F621" s="14">
        <f>IF($E621="","",IF($C621="دستمزد گروهی",IFERROR(VLOOKUP($E621,WGTbl,2,0),"کد ناشناخته"),IFERROR(IF(VLOOKUP($E621,AcctTblE,4,0)="","(بدون نام)",VLOOKUP($E621,AcctTblE,4,0)),"کد ناشناخته")))</f>
        <v/>
      </c>
      <c r="G621" s="15" t="n"/>
      <c r="H621" s="16">
        <f>IF(OR($C621&lt;&gt;"دستمزد گروهی",$D621=""),"",SUMIFS(ShareAmt,ShareLink,$D621))</f>
        <v/>
      </c>
      <c r="I621" s="17">
        <f>IF($C621&lt;&gt;"دستمزد گروهی","—",IF($H621="","",IF(ROUND($H621-IF($G621="",0,$G621),0)=0,"√","▲ مغایرت "&amp;TEXT(IF($G621="",0,$G621)-$H621,"#,##0"))))</f>
        <v/>
      </c>
      <c r="J621" s="18" t="n"/>
    </row>
    <row r="622">
      <c r="A622" s="19">
        <f>IF($B622="","",COUNTA($B$9:$B622))</f>
        <v/>
      </c>
      <c r="B622" s="11" t="n"/>
      <c r="C622" s="12" t="n"/>
      <c r="D622" s="12" t="n"/>
      <c r="E622" s="13" t="n"/>
      <c r="F622" s="20">
        <f>IF($E622="","",IF($C622="دستمزد گروهی",IFERROR(VLOOKUP($E622,WGTbl,2,0),"کد ناشناخته"),IFERROR(IF(VLOOKUP($E622,AcctTblE,4,0)="","(بدون نام)",VLOOKUP($E622,AcctTblE,4,0)),"کد ناشناخته")))</f>
        <v/>
      </c>
      <c r="G622" s="15" t="n"/>
      <c r="H622" s="21">
        <f>IF(OR($C622&lt;&gt;"دستمزد گروهی",$D622=""),"",SUMIFS(ShareAmt,ShareLink,$D622))</f>
        <v/>
      </c>
      <c r="I622" s="22">
        <f>IF($C622&lt;&gt;"دستمزد گروهی","—",IF($H622="","",IF(ROUND($H622-IF($G622="",0,$G622),0)=0,"√","▲ مغایرت "&amp;TEXT(IF($G622="",0,$G622)-$H622,"#,##0"))))</f>
        <v/>
      </c>
      <c r="J622" s="18" t="n"/>
    </row>
    <row r="623">
      <c r="A623" s="10">
        <f>IF($B623="","",COUNTA($B$9:$B623))</f>
        <v/>
      </c>
      <c r="B623" s="11" t="n"/>
      <c r="C623" s="12" t="n"/>
      <c r="D623" s="12" t="n"/>
      <c r="E623" s="13" t="n"/>
      <c r="F623" s="14">
        <f>IF($E623="","",IF($C623="دستمزد گروهی",IFERROR(VLOOKUP($E623,WGTbl,2,0),"کد ناشناخته"),IFERROR(IF(VLOOKUP($E623,AcctTblE,4,0)="","(بدون نام)",VLOOKUP($E623,AcctTblE,4,0)),"کد ناشناخته")))</f>
        <v/>
      </c>
      <c r="G623" s="15" t="n"/>
      <c r="H623" s="16">
        <f>IF(OR($C623&lt;&gt;"دستمزد گروهی",$D623=""),"",SUMIFS(ShareAmt,ShareLink,$D623))</f>
        <v/>
      </c>
      <c r="I623" s="17">
        <f>IF($C623&lt;&gt;"دستمزد گروهی","—",IF($H623="","",IF(ROUND($H623-IF($G623="",0,$G623),0)=0,"√","▲ مغایرت "&amp;TEXT(IF($G623="",0,$G623)-$H623,"#,##0"))))</f>
        <v/>
      </c>
      <c r="J623" s="18" t="n"/>
    </row>
    <row r="624">
      <c r="A624" s="19">
        <f>IF($B624="","",COUNTA($B$9:$B624))</f>
        <v/>
      </c>
      <c r="B624" s="11" t="n"/>
      <c r="C624" s="12" t="n"/>
      <c r="D624" s="12" t="n"/>
      <c r="E624" s="13" t="n"/>
      <c r="F624" s="20">
        <f>IF($E624="","",IF($C624="دستمزد گروهی",IFERROR(VLOOKUP($E624,WGTbl,2,0),"کد ناشناخته"),IFERROR(IF(VLOOKUP($E624,AcctTblE,4,0)="","(بدون نام)",VLOOKUP($E624,AcctTblE,4,0)),"کد ناشناخته")))</f>
        <v/>
      </c>
      <c r="G624" s="15" t="n"/>
      <c r="H624" s="21">
        <f>IF(OR($C624&lt;&gt;"دستمزد گروهی",$D624=""),"",SUMIFS(ShareAmt,ShareLink,$D624))</f>
        <v/>
      </c>
      <c r="I624" s="22">
        <f>IF($C624&lt;&gt;"دستمزد گروهی","—",IF($H624="","",IF(ROUND($H624-IF($G624="",0,$G624),0)=0,"√","▲ مغایرت "&amp;TEXT(IF($G624="",0,$G624)-$H624,"#,##0"))))</f>
        <v/>
      </c>
      <c r="J624" s="18" t="n"/>
    </row>
    <row r="625">
      <c r="A625" s="10">
        <f>IF($B625="","",COUNTA($B$9:$B625))</f>
        <v/>
      </c>
      <c r="B625" s="11" t="n"/>
      <c r="C625" s="12" t="n"/>
      <c r="D625" s="12" t="n"/>
      <c r="E625" s="13" t="n"/>
      <c r="F625" s="14">
        <f>IF($E625="","",IF($C625="دستمزد گروهی",IFERROR(VLOOKUP($E625,WGTbl,2,0),"کد ناشناخته"),IFERROR(IF(VLOOKUP($E625,AcctTblE,4,0)="","(بدون نام)",VLOOKUP($E625,AcctTblE,4,0)),"کد ناشناخته")))</f>
        <v/>
      </c>
      <c r="G625" s="15" t="n"/>
      <c r="H625" s="16">
        <f>IF(OR($C625&lt;&gt;"دستمزد گروهی",$D625=""),"",SUMIFS(ShareAmt,ShareLink,$D625))</f>
        <v/>
      </c>
      <c r="I625" s="17">
        <f>IF($C625&lt;&gt;"دستمزد گروهی","—",IF($H625="","",IF(ROUND($H625-IF($G625="",0,$G625),0)=0,"√","▲ مغایرت "&amp;TEXT(IF($G625="",0,$G625)-$H625,"#,##0"))))</f>
        <v/>
      </c>
      <c r="J625" s="18" t="n"/>
    </row>
    <row r="626">
      <c r="A626" s="19">
        <f>IF($B626="","",COUNTA($B$9:$B626))</f>
        <v/>
      </c>
      <c r="B626" s="11" t="n"/>
      <c r="C626" s="12" t="n"/>
      <c r="D626" s="12" t="n"/>
      <c r="E626" s="13" t="n"/>
      <c r="F626" s="20">
        <f>IF($E626="","",IF($C626="دستمزد گروهی",IFERROR(VLOOKUP($E626,WGTbl,2,0),"کد ناشناخته"),IFERROR(IF(VLOOKUP($E626,AcctTblE,4,0)="","(بدون نام)",VLOOKUP($E626,AcctTblE,4,0)),"کد ناشناخته")))</f>
        <v/>
      </c>
      <c r="G626" s="15" t="n"/>
      <c r="H626" s="21">
        <f>IF(OR($C626&lt;&gt;"دستمزد گروهی",$D626=""),"",SUMIFS(ShareAmt,ShareLink,$D626))</f>
        <v/>
      </c>
      <c r="I626" s="22">
        <f>IF($C626&lt;&gt;"دستمزد گروهی","—",IF($H626="","",IF(ROUND($H626-IF($G626="",0,$G626),0)=0,"√","▲ مغایرت "&amp;TEXT(IF($G626="",0,$G626)-$H626,"#,##0"))))</f>
        <v/>
      </c>
      <c r="J626" s="18" t="n"/>
    </row>
    <row r="627">
      <c r="A627" s="10">
        <f>IF($B627="","",COUNTA($B$9:$B627))</f>
        <v/>
      </c>
      <c r="B627" s="11" t="n"/>
      <c r="C627" s="12" t="n"/>
      <c r="D627" s="12" t="n"/>
      <c r="E627" s="13" t="n"/>
      <c r="F627" s="14">
        <f>IF($E627="","",IF($C627="دستمزد گروهی",IFERROR(VLOOKUP($E627,WGTbl,2,0),"کد ناشناخته"),IFERROR(IF(VLOOKUP($E627,AcctTblE,4,0)="","(بدون نام)",VLOOKUP($E627,AcctTblE,4,0)),"کد ناشناخته")))</f>
        <v/>
      </c>
      <c r="G627" s="15" t="n"/>
      <c r="H627" s="16">
        <f>IF(OR($C627&lt;&gt;"دستمزد گروهی",$D627=""),"",SUMIFS(ShareAmt,ShareLink,$D627))</f>
        <v/>
      </c>
      <c r="I627" s="17">
        <f>IF($C627&lt;&gt;"دستمزد گروهی","—",IF($H627="","",IF(ROUND($H627-IF($G627="",0,$G627),0)=0,"√","▲ مغایرت "&amp;TEXT(IF($G627="",0,$G627)-$H627,"#,##0"))))</f>
        <v/>
      </c>
      <c r="J627" s="18" t="n"/>
    </row>
    <row r="628">
      <c r="A628" s="19">
        <f>IF($B628="","",COUNTA($B$9:$B628))</f>
        <v/>
      </c>
      <c r="B628" s="11" t="n"/>
      <c r="C628" s="12" t="n"/>
      <c r="D628" s="12" t="n"/>
      <c r="E628" s="13" t="n"/>
      <c r="F628" s="20">
        <f>IF($E628="","",IF($C628="دستمزد گروهی",IFERROR(VLOOKUP($E628,WGTbl,2,0),"کد ناشناخته"),IFERROR(IF(VLOOKUP($E628,AcctTblE,4,0)="","(بدون نام)",VLOOKUP($E628,AcctTblE,4,0)),"کد ناشناخته")))</f>
        <v/>
      </c>
      <c r="G628" s="15" t="n"/>
      <c r="H628" s="21">
        <f>IF(OR($C628&lt;&gt;"دستمزد گروهی",$D628=""),"",SUMIFS(ShareAmt,ShareLink,$D628))</f>
        <v/>
      </c>
      <c r="I628" s="22">
        <f>IF($C628&lt;&gt;"دستمزد گروهی","—",IF($H628="","",IF(ROUND($H628-IF($G628="",0,$G628),0)=0,"√","▲ مغایرت "&amp;TEXT(IF($G628="",0,$G628)-$H628,"#,##0"))))</f>
        <v/>
      </c>
      <c r="J628" s="18" t="n"/>
    </row>
    <row r="629">
      <c r="A629" s="10">
        <f>IF($B629="","",COUNTA($B$9:$B629))</f>
        <v/>
      </c>
      <c r="B629" s="11" t="n"/>
      <c r="C629" s="12" t="n"/>
      <c r="D629" s="12" t="n"/>
      <c r="E629" s="13" t="n"/>
      <c r="F629" s="14">
        <f>IF($E629="","",IF($C629="دستمزد گروهی",IFERROR(VLOOKUP($E629,WGTbl,2,0),"کد ناشناخته"),IFERROR(IF(VLOOKUP($E629,AcctTblE,4,0)="","(بدون نام)",VLOOKUP($E629,AcctTblE,4,0)),"کد ناشناخته")))</f>
        <v/>
      </c>
      <c r="G629" s="15" t="n"/>
      <c r="H629" s="16">
        <f>IF(OR($C629&lt;&gt;"دستمزد گروهی",$D629=""),"",SUMIFS(ShareAmt,ShareLink,$D629))</f>
        <v/>
      </c>
      <c r="I629" s="17">
        <f>IF($C629&lt;&gt;"دستمزد گروهی","—",IF($H629="","",IF(ROUND($H629-IF($G629="",0,$G629),0)=0,"√","▲ مغایرت "&amp;TEXT(IF($G629="",0,$G629)-$H629,"#,##0"))))</f>
        <v/>
      </c>
      <c r="J629" s="18" t="n"/>
    </row>
    <row r="630">
      <c r="A630" s="19">
        <f>IF($B630="","",COUNTA($B$9:$B630))</f>
        <v/>
      </c>
      <c r="B630" s="11" t="n"/>
      <c r="C630" s="12" t="n"/>
      <c r="D630" s="12" t="n"/>
      <c r="E630" s="13" t="n"/>
      <c r="F630" s="20">
        <f>IF($E630="","",IF($C630="دستمزد گروهی",IFERROR(VLOOKUP($E630,WGTbl,2,0),"کد ناشناخته"),IFERROR(IF(VLOOKUP($E630,AcctTblE,4,0)="","(بدون نام)",VLOOKUP($E630,AcctTblE,4,0)),"کد ناشناخته")))</f>
        <v/>
      </c>
      <c r="G630" s="15" t="n"/>
      <c r="H630" s="21">
        <f>IF(OR($C630&lt;&gt;"دستمزد گروهی",$D630=""),"",SUMIFS(ShareAmt,ShareLink,$D630))</f>
        <v/>
      </c>
      <c r="I630" s="22">
        <f>IF($C630&lt;&gt;"دستمزد گروهی","—",IF($H630="","",IF(ROUND($H630-IF($G630="",0,$G630),0)=0,"√","▲ مغایرت "&amp;TEXT(IF($G630="",0,$G630)-$H630,"#,##0"))))</f>
        <v/>
      </c>
      <c r="J630" s="18" t="n"/>
    </row>
    <row r="631">
      <c r="A631" s="10">
        <f>IF($B631="","",COUNTA($B$9:$B631))</f>
        <v/>
      </c>
      <c r="B631" s="11" t="n"/>
      <c r="C631" s="12" t="n"/>
      <c r="D631" s="12" t="n"/>
      <c r="E631" s="13" t="n"/>
      <c r="F631" s="14">
        <f>IF($E631="","",IF($C631="دستمزد گروهی",IFERROR(VLOOKUP($E631,WGTbl,2,0),"کد ناشناخته"),IFERROR(IF(VLOOKUP($E631,AcctTblE,4,0)="","(بدون نام)",VLOOKUP($E631,AcctTblE,4,0)),"کد ناشناخته")))</f>
        <v/>
      </c>
      <c r="G631" s="15" t="n"/>
      <c r="H631" s="16">
        <f>IF(OR($C631&lt;&gt;"دستمزد گروهی",$D631=""),"",SUMIFS(ShareAmt,ShareLink,$D631))</f>
        <v/>
      </c>
      <c r="I631" s="17">
        <f>IF($C631&lt;&gt;"دستمزد گروهی","—",IF($H631="","",IF(ROUND($H631-IF($G631="",0,$G631),0)=0,"√","▲ مغایرت "&amp;TEXT(IF($G631="",0,$G631)-$H631,"#,##0"))))</f>
        <v/>
      </c>
      <c r="J631" s="18" t="n"/>
    </row>
    <row r="632">
      <c r="A632" s="19">
        <f>IF($B632="","",COUNTA($B$9:$B632))</f>
        <v/>
      </c>
      <c r="B632" s="11" t="n"/>
      <c r="C632" s="12" t="n"/>
      <c r="D632" s="12" t="n"/>
      <c r="E632" s="13" t="n"/>
      <c r="F632" s="20">
        <f>IF($E632="","",IF($C632="دستمزد گروهی",IFERROR(VLOOKUP($E632,WGTbl,2,0),"کد ناشناخته"),IFERROR(IF(VLOOKUP($E632,AcctTblE,4,0)="","(بدون نام)",VLOOKUP($E632,AcctTblE,4,0)),"کد ناشناخته")))</f>
        <v/>
      </c>
      <c r="G632" s="15" t="n"/>
      <c r="H632" s="21">
        <f>IF(OR($C632&lt;&gt;"دستمزد گروهی",$D632=""),"",SUMIFS(ShareAmt,ShareLink,$D632))</f>
        <v/>
      </c>
      <c r="I632" s="22">
        <f>IF($C632&lt;&gt;"دستمزد گروهی","—",IF($H632="","",IF(ROUND($H632-IF($G632="",0,$G632),0)=0,"√","▲ مغایرت "&amp;TEXT(IF($G632="",0,$G632)-$H632,"#,##0"))))</f>
        <v/>
      </c>
      <c r="J632" s="18" t="n"/>
    </row>
    <row r="633">
      <c r="A633" s="10">
        <f>IF($B633="","",COUNTA($B$9:$B633))</f>
        <v/>
      </c>
      <c r="B633" s="11" t="n"/>
      <c r="C633" s="12" t="n"/>
      <c r="D633" s="12" t="n"/>
      <c r="E633" s="13" t="n"/>
      <c r="F633" s="14">
        <f>IF($E633="","",IF($C633="دستمزد گروهی",IFERROR(VLOOKUP($E633,WGTbl,2,0),"کد ناشناخته"),IFERROR(IF(VLOOKUP($E633,AcctTblE,4,0)="","(بدون نام)",VLOOKUP($E633,AcctTblE,4,0)),"کد ناشناخته")))</f>
        <v/>
      </c>
      <c r="G633" s="15" t="n"/>
      <c r="H633" s="16">
        <f>IF(OR($C633&lt;&gt;"دستمزد گروهی",$D633=""),"",SUMIFS(ShareAmt,ShareLink,$D633))</f>
        <v/>
      </c>
      <c r="I633" s="17">
        <f>IF($C633&lt;&gt;"دستمزد گروهی","—",IF($H633="","",IF(ROUND($H633-IF($G633="",0,$G633),0)=0,"√","▲ مغایرت "&amp;TEXT(IF($G633="",0,$G633)-$H633,"#,##0"))))</f>
        <v/>
      </c>
      <c r="J633" s="18" t="n"/>
    </row>
    <row r="634">
      <c r="A634" s="19">
        <f>IF($B634="","",COUNTA($B$9:$B634))</f>
        <v/>
      </c>
      <c r="B634" s="11" t="n"/>
      <c r="C634" s="12" t="n"/>
      <c r="D634" s="12" t="n"/>
      <c r="E634" s="13" t="n"/>
      <c r="F634" s="20">
        <f>IF($E634="","",IF($C634="دستمزد گروهی",IFERROR(VLOOKUP($E634,WGTbl,2,0),"کد ناشناخته"),IFERROR(IF(VLOOKUP($E634,AcctTblE,4,0)="","(بدون نام)",VLOOKUP($E634,AcctTblE,4,0)),"کد ناشناخته")))</f>
        <v/>
      </c>
      <c r="G634" s="15" t="n"/>
      <c r="H634" s="21">
        <f>IF(OR($C634&lt;&gt;"دستمزد گروهی",$D634=""),"",SUMIFS(ShareAmt,ShareLink,$D634))</f>
        <v/>
      </c>
      <c r="I634" s="22">
        <f>IF($C634&lt;&gt;"دستمزد گروهی","—",IF($H634="","",IF(ROUND($H634-IF($G634="",0,$G634),0)=0,"√","▲ مغایرت "&amp;TEXT(IF($G634="",0,$G634)-$H634,"#,##0"))))</f>
        <v/>
      </c>
      <c r="J634" s="18" t="n"/>
    </row>
    <row r="635">
      <c r="A635" s="10">
        <f>IF($B635="","",COUNTA($B$9:$B635))</f>
        <v/>
      </c>
      <c r="B635" s="11" t="n"/>
      <c r="C635" s="12" t="n"/>
      <c r="D635" s="12" t="n"/>
      <c r="E635" s="13" t="n"/>
      <c r="F635" s="14">
        <f>IF($E635="","",IF($C635="دستمزد گروهی",IFERROR(VLOOKUP($E635,WGTbl,2,0),"کد ناشناخته"),IFERROR(IF(VLOOKUP($E635,AcctTblE,4,0)="","(بدون نام)",VLOOKUP($E635,AcctTblE,4,0)),"کد ناشناخته")))</f>
        <v/>
      </c>
      <c r="G635" s="15" t="n"/>
      <c r="H635" s="16">
        <f>IF(OR($C635&lt;&gt;"دستمزد گروهی",$D635=""),"",SUMIFS(ShareAmt,ShareLink,$D635))</f>
        <v/>
      </c>
      <c r="I635" s="17">
        <f>IF($C635&lt;&gt;"دستمزد گروهی","—",IF($H635="","",IF(ROUND($H635-IF($G635="",0,$G635),0)=0,"√","▲ مغایرت "&amp;TEXT(IF($G635="",0,$G635)-$H635,"#,##0"))))</f>
        <v/>
      </c>
      <c r="J635" s="18" t="n"/>
    </row>
    <row r="636">
      <c r="A636" s="19">
        <f>IF($B636="","",COUNTA($B$9:$B636))</f>
        <v/>
      </c>
      <c r="B636" s="11" t="n"/>
      <c r="C636" s="12" t="n"/>
      <c r="D636" s="12" t="n"/>
      <c r="E636" s="13" t="n"/>
      <c r="F636" s="20">
        <f>IF($E636="","",IF($C636="دستمزد گروهی",IFERROR(VLOOKUP($E636,WGTbl,2,0),"کد ناشناخته"),IFERROR(IF(VLOOKUP($E636,AcctTblE,4,0)="","(بدون نام)",VLOOKUP($E636,AcctTblE,4,0)),"کد ناشناخته")))</f>
        <v/>
      </c>
      <c r="G636" s="15" t="n"/>
      <c r="H636" s="21">
        <f>IF(OR($C636&lt;&gt;"دستمزد گروهی",$D636=""),"",SUMIFS(ShareAmt,ShareLink,$D636))</f>
        <v/>
      </c>
      <c r="I636" s="22">
        <f>IF($C636&lt;&gt;"دستمزد گروهی","—",IF($H636="","",IF(ROUND($H636-IF($G636="",0,$G636),0)=0,"√","▲ مغایرت "&amp;TEXT(IF($G636="",0,$G636)-$H636,"#,##0"))))</f>
        <v/>
      </c>
      <c r="J636" s="18" t="n"/>
    </row>
    <row r="637">
      <c r="A637" s="10">
        <f>IF($B637="","",COUNTA($B$9:$B637))</f>
        <v/>
      </c>
      <c r="B637" s="11" t="n"/>
      <c r="C637" s="12" t="n"/>
      <c r="D637" s="12" t="n"/>
      <c r="E637" s="13" t="n"/>
      <c r="F637" s="14">
        <f>IF($E637="","",IF($C637="دستمزد گروهی",IFERROR(VLOOKUP($E637,WGTbl,2,0),"کد ناشناخته"),IFERROR(IF(VLOOKUP($E637,AcctTblE,4,0)="","(بدون نام)",VLOOKUP($E637,AcctTblE,4,0)),"کد ناشناخته")))</f>
        <v/>
      </c>
      <c r="G637" s="15" t="n"/>
      <c r="H637" s="16">
        <f>IF(OR($C637&lt;&gt;"دستمزد گروهی",$D637=""),"",SUMIFS(ShareAmt,ShareLink,$D637))</f>
        <v/>
      </c>
      <c r="I637" s="17">
        <f>IF($C637&lt;&gt;"دستمزد گروهی","—",IF($H637="","",IF(ROUND($H637-IF($G637="",0,$G637),0)=0,"√","▲ مغایرت "&amp;TEXT(IF($G637="",0,$G637)-$H637,"#,##0"))))</f>
        <v/>
      </c>
      <c r="J637" s="18" t="n"/>
    </row>
    <row r="638">
      <c r="A638" s="19">
        <f>IF($B638="","",COUNTA($B$9:$B638))</f>
        <v/>
      </c>
      <c r="B638" s="11" t="n"/>
      <c r="C638" s="12" t="n"/>
      <c r="D638" s="12" t="n"/>
      <c r="E638" s="13" t="n"/>
      <c r="F638" s="20">
        <f>IF($E638="","",IF($C638="دستمزد گروهی",IFERROR(VLOOKUP($E638,WGTbl,2,0),"کد ناشناخته"),IFERROR(IF(VLOOKUP($E638,AcctTblE,4,0)="","(بدون نام)",VLOOKUP($E638,AcctTblE,4,0)),"کد ناشناخته")))</f>
        <v/>
      </c>
      <c r="G638" s="15" t="n"/>
      <c r="H638" s="21">
        <f>IF(OR($C638&lt;&gt;"دستمزد گروهی",$D638=""),"",SUMIFS(ShareAmt,ShareLink,$D638))</f>
        <v/>
      </c>
      <c r="I638" s="22">
        <f>IF($C638&lt;&gt;"دستمزد گروهی","—",IF($H638="","",IF(ROUND($H638-IF($G638="",0,$G638),0)=0,"√","▲ مغایرت "&amp;TEXT(IF($G638="",0,$G638)-$H638,"#,##0"))))</f>
        <v/>
      </c>
      <c r="J638" s="18" t="n"/>
    </row>
    <row r="639">
      <c r="A639" s="10">
        <f>IF($B639="","",COUNTA($B$9:$B639))</f>
        <v/>
      </c>
      <c r="B639" s="11" t="n"/>
      <c r="C639" s="12" t="n"/>
      <c r="D639" s="12" t="n"/>
      <c r="E639" s="13" t="n"/>
      <c r="F639" s="14">
        <f>IF($E639="","",IF($C639="دستمزد گروهی",IFERROR(VLOOKUP($E639,WGTbl,2,0),"کد ناشناخته"),IFERROR(IF(VLOOKUP($E639,AcctTblE,4,0)="","(بدون نام)",VLOOKUP($E639,AcctTblE,4,0)),"کد ناشناخته")))</f>
        <v/>
      </c>
      <c r="G639" s="15" t="n"/>
      <c r="H639" s="16">
        <f>IF(OR($C639&lt;&gt;"دستمزد گروهی",$D639=""),"",SUMIFS(ShareAmt,ShareLink,$D639))</f>
        <v/>
      </c>
      <c r="I639" s="17">
        <f>IF($C639&lt;&gt;"دستمزد گروهی","—",IF($H639="","",IF(ROUND($H639-IF($G639="",0,$G639),0)=0,"√","▲ مغایرت "&amp;TEXT(IF($G639="",0,$G639)-$H639,"#,##0"))))</f>
        <v/>
      </c>
      <c r="J639" s="18" t="n"/>
    </row>
    <row r="640">
      <c r="A640" s="19">
        <f>IF($B640="","",COUNTA($B$9:$B640))</f>
        <v/>
      </c>
      <c r="B640" s="11" t="n"/>
      <c r="C640" s="12" t="n"/>
      <c r="D640" s="12" t="n"/>
      <c r="E640" s="13" t="n"/>
      <c r="F640" s="20">
        <f>IF($E640="","",IF($C640="دستمزد گروهی",IFERROR(VLOOKUP($E640,WGTbl,2,0),"کد ناشناخته"),IFERROR(IF(VLOOKUP($E640,AcctTblE,4,0)="","(بدون نام)",VLOOKUP($E640,AcctTblE,4,0)),"کد ناشناخته")))</f>
        <v/>
      </c>
      <c r="G640" s="15" t="n"/>
      <c r="H640" s="21">
        <f>IF(OR($C640&lt;&gt;"دستمزد گروهی",$D640=""),"",SUMIFS(ShareAmt,ShareLink,$D640))</f>
        <v/>
      </c>
      <c r="I640" s="22">
        <f>IF($C640&lt;&gt;"دستمزد گروهی","—",IF($H640="","",IF(ROUND($H640-IF($G640="",0,$G640),0)=0,"√","▲ مغایرت "&amp;TEXT(IF($G640="",0,$G640)-$H640,"#,##0"))))</f>
        <v/>
      </c>
      <c r="J640" s="18" t="n"/>
    </row>
    <row r="641">
      <c r="A641" s="10">
        <f>IF($B641="","",COUNTA($B$9:$B641))</f>
        <v/>
      </c>
      <c r="B641" s="11" t="n"/>
      <c r="C641" s="12" t="n"/>
      <c r="D641" s="12" t="n"/>
      <c r="E641" s="13" t="n"/>
      <c r="F641" s="14">
        <f>IF($E641="","",IF($C641="دستمزد گروهی",IFERROR(VLOOKUP($E641,WGTbl,2,0),"کد ناشناخته"),IFERROR(IF(VLOOKUP($E641,AcctTblE,4,0)="","(بدون نام)",VLOOKUP($E641,AcctTblE,4,0)),"کد ناشناخته")))</f>
        <v/>
      </c>
      <c r="G641" s="15" t="n"/>
      <c r="H641" s="16">
        <f>IF(OR($C641&lt;&gt;"دستمزد گروهی",$D641=""),"",SUMIFS(ShareAmt,ShareLink,$D641))</f>
        <v/>
      </c>
      <c r="I641" s="17">
        <f>IF($C641&lt;&gt;"دستمزد گروهی","—",IF($H641="","",IF(ROUND($H641-IF($G641="",0,$G641),0)=0,"√","▲ مغایرت "&amp;TEXT(IF($G641="",0,$G641)-$H641,"#,##0"))))</f>
        <v/>
      </c>
      <c r="J641" s="18" t="n"/>
    </row>
    <row r="642">
      <c r="A642" s="19">
        <f>IF($B642="","",COUNTA($B$9:$B642))</f>
        <v/>
      </c>
      <c r="B642" s="11" t="n"/>
      <c r="C642" s="12" t="n"/>
      <c r="D642" s="12" t="n"/>
      <c r="E642" s="13" t="n"/>
      <c r="F642" s="20">
        <f>IF($E642="","",IF($C642="دستمزد گروهی",IFERROR(VLOOKUP($E642,WGTbl,2,0),"کد ناشناخته"),IFERROR(IF(VLOOKUP($E642,AcctTblE,4,0)="","(بدون نام)",VLOOKUP($E642,AcctTblE,4,0)),"کد ناشناخته")))</f>
        <v/>
      </c>
      <c r="G642" s="15" t="n"/>
      <c r="H642" s="21">
        <f>IF(OR($C642&lt;&gt;"دستمزد گروهی",$D642=""),"",SUMIFS(ShareAmt,ShareLink,$D642))</f>
        <v/>
      </c>
      <c r="I642" s="22">
        <f>IF($C642&lt;&gt;"دستمزد گروهی","—",IF($H642="","",IF(ROUND($H642-IF($G642="",0,$G642),0)=0,"√","▲ مغایرت "&amp;TEXT(IF($G642="",0,$G642)-$H642,"#,##0"))))</f>
        <v/>
      </c>
      <c r="J642" s="18" t="n"/>
    </row>
    <row r="643">
      <c r="A643" s="10">
        <f>IF($B643="","",COUNTA($B$9:$B643))</f>
        <v/>
      </c>
      <c r="B643" s="11" t="n"/>
      <c r="C643" s="12" t="n"/>
      <c r="D643" s="12" t="n"/>
      <c r="E643" s="13" t="n"/>
      <c r="F643" s="14">
        <f>IF($E643="","",IF($C643="دستمزد گروهی",IFERROR(VLOOKUP($E643,WGTbl,2,0),"کد ناشناخته"),IFERROR(IF(VLOOKUP($E643,AcctTblE,4,0)="","(بدون نام)",VLOOKUP($E643,AcctTblE,4,0)),"کد ناشناخته")))</f>
        <v/>
      </c>
      <c r="G643" s="15" t="n"/>
      <c r="H643" s="16">
        <f>IF(OR($C643&lt;&gt;"دستمزد گروهی",$D643=""),"",SUMIFS(ShareAmt,ShareLink,$D643))</f>
        <v/>
      </c>
      <c r="I643" s="17">
        <f>IF($C643&lt;&gt;"دستمزد گروهی","—",IF($H643="","",IF(ROUND($H643-IF($G643="",0,$G643),0)=0,"√","▲ مغایرت "&amp;TEXT(IF($G643="",0,$G643)-$H643,"#,##0"))))</f>
        <v/>
      </c>
      <c r="J643" s="18" t="n"/>
    </row>
    <row r="644">
      <c r="A644" s="19">
        <f>IF($B644="","",COUNTA($B$9:$B644))</f>
        <v/>
      </c>
      <c r="B644" s="11" t="n"/>
      <c r="C644" s="12" t="n"/>
      <c r="D644" s="12" t="n"/>
      <c r="E644" s="13" t="n"/>
      <c r="F644" s="20">
        <f>IF($E644="","",IF($C644="دستمزد گروهی",IFERROR(VLOOKUP($E644,WGTbl,2,0),"کد ناشناخته"),IFERROR(IF(VLOOKUP($E644,AcctTblE,4,0)="","(بدون نام)",VLOOKUP($E644,AcctTblE,4,0)),"کد ناشناخته")))</f>
        <v/>
      </c>
      <c r="G644" s="15" t="n"/>
      <c r="H644" s="21">
        <f>IF(OR($C644&lt;&gt;"دستمزد گروهی",$D644=""),"",SUMIFS(ShareAmt,ShareLink,$D644))</f>
        <v/>
      </c>
      <c r="I644" s="22">
        <f>IF($C644&lt;&gt;"دستمزد گروهی","—",IF($H644="","",IF(ROUND($H644-IF($G644="",0,$G644),0)=0,"√","▲ مغایرت "&amp;TEXT(IF($G644="",0,$G644)-$H644,"#,##0"))))</f>
        <v/>
      </c>
      <c r="J644" s="18" t="n"/>
    </row>
    <row r="645">
      <c r="A645" s="10">
        <f>IF($B645="","",COUNTA($B$9:$B645))</f>
        <v/>
      </c>
      <c r="B645" s="11" t="n"/>
      <c r="C645" s="12" t="n"/>
      <c r="D645" s="12" t="n"/>
      <c r="E645" s="13" t="n"/>
      <c r="F645" s="14">
        <f>IF($E645="","",IF($C645="دستمزد گروهی",IFERROR(VLOOKUP($E645,WGTbl,2,0),"کد ناشناخته"),IFERROR(IF(VLOOKUP($E645,AcctTblE,4,0)="","(بدون نام)",VLOOKUP($E645,AcctTblE,4,0)),"کد ناشناخته")))</f>
        <v/>
      </c>
      <c r="G645" s="15" t="n"/>
      <c r="H645" s="16">
        <f>IF(OR($C645&lt;&gt;"دستمزد گروهی",$D645=""),"",SUMIFS(ShareAmt,ShareLink,$D645))</f>
        <v/>
      </c>
      <c r="I645" s="17">
        <f>IF($C645&lt;&gt;"دستمزد گروهی","—",IF($H645="","",IF(ROUND($H645-IF($G645="",0,$G645),0)=0,"√","▲ مغایرت "&amp;TEXT(IF($G645="",0,$G645)-$H645,"#,##0"))))</f>
        <v/>
      </c>
      <c r="J645" s="18" t="n"/>
    </row>
    <row r="646">
      <c r="A646" s="19">
        <f>IF($B646="","",COUNTA($B$9:$B646))</f>
        <v/>
      </c>
      <c r="B646" s="11" t="n"/>
      <c r="C646" s="12" t="n"/>
      <c r="D646" s="12" t="n"/>
      <c r="E646" s="13" t="n"/>
      <c r="F646" s="20">
        <f>IF($E646="","",IF($C646="دستمزد گروهی",IFERROR(VLOOKUP($E646,WGTbl,2,0),"کد ناشناخته"),IFERROR(IF(VLOOKUP($E646,AcctTblE,4,0)="","(بدون نام)",VLOOKUP($E646,AcctTblE,4,0)),"کد ناشناخته")))</f>
        <v/>
      </c>
      <c r="G646" s="15" t="n"/>
      <c r="H646" s="21">
        <f>IF(OR($C646&lt;&gt;"دستمزد گروهی",$D646=""),"",SUMIFS(ShareAmt,ShareLink,$D646))</f>
        <v/>
      </c>
      <c r="I646" s="22">
        <f>IF($C646&lt;&gt;"دستمزد گروهی","—",IF($H646="","",IF(ROUND($H646-IF($G646="",0,$G646),0)=0,"√","▲ مغایرت "&amp;TEXT(IF($G646="",0,$G646)-$H646,"#,##0"))))</f>
        <v/>
      </c>
      <c r="J646" s="18" t="n"/>
    </row>
    <row r="647">
      <c r="A647" s="10">
        <f>IF($B647="","",COUNTA($B$9:$B647))</f>
        <v/>
      </c>
      <c r="B647" s="11" t="n"/>
      <c r="C647" s="12" t="n"/>
      <c r="D647" s="12" t="n"/>
      <c r="E647" s="13" t="n"/>
      <c r="F647" s="14">
        <f>IF($E647="","",IF($C647="دستمزد گروهی",IFERROR(VLOOKUP($E647,WGTbl,2,0),"کد ناشناخته"),IFERROR(IF(VLOOKUP($E647,AcctTblE,4,0)="","(بدون نام)",VLOOKUP($E647,AcctTblE,4,0)),"کد ناشناخته")))</f>
        <v/>
      </c>
      <c r="G647" s="15" t="n"/>
      <c r="H647" s="16">
        <f>IF(OR($C647&lt;&gt;"دستمزد گروهی",$D647=""),"",SUMIFS(ShareAmt,ShareLink,$D647))</f>
        <v/>
      </c>
      <c r="I647" s="17">
        <f>IF($C647&lt;&gt;"دستمزد گروهی","—",IF($H647="","",IF(ROUND($H647-IF($G647="",0,$G647),0)=0,"√","▲ مغایرت "&amp;TEXT(IF($G647="",0,$G647)-$H647,"#,##0"))))</f>
        <v/>
      </c>
      <c r="J647" s="18" t="n"/>
    </row>
    <row r="648">
      <c r="A648" s="19">
        <f>IF($B648="","",COUNTA($B$9:$B648))</f>
        <v/>
      </c>
      <c r="B648" s="11" t="n"/>
      <c r="C648" s="12" t="n"/>
      <c r="D648" s="12" t="n"/>
      <c r="E648" s="13" t="n"/>
      <c r="F648" s="20">
        <f>IF($E648="","",IF($C648="دستمزد گروهی",IFERROR(VLOOKUP($E648,WGTbl,2,0),"کد ناشناخته"),IFERROR(IF(VLOOKUP($E648,AcctTblE,4,0)="","(بدون نام)",VLOOKUP($E648,AcctTblE,4,0)),"کد ناشناخته")))</f>
        <v/>
      </c>
      <c r="G648" s="15" t="n"/>
      <c r="H648" s="21">
        <f>IF(OR($C648&lt;&gt;"دستمزد گروهی",$D648=""),"",SUMIFS(ShareAmt,ShareLink,$D648))</f>
        <v/>
      </c>
      <c r="I648" s="22">
        <f>IF($C648&lt;&gt;"دستمزد گروهی","—",IF($H648="","",IF(ROUND($H648-IF($G648="",0,$G648),0)=0,"√","▲ مغایرت "&amp;TEXT(IF($G648="",0,$G648)-$H648,"#,##0"))))</f>
        <v/>
      </c>
      <c r="J648" s="18" t="n"/>
    </row>
    <row r="649">
      <c r="A649" s="10">
        <f>IF($B649="","",COUNTA($B$9:$B649))</f>
        <v/>
      </c>
      <c r="B649" s="11" t="n"/>
      <c r="C649" s="12" t="n"/>
      <c r="D649" s="12" t="n"/>
      <c r="E649" s="13" t="n"/>
      <c r="F649" s="14">
        <f>IF($E649="","",IF($C649="دستمزد گروهی",IFERROR(VLOOKUP($E649,WGTbl,2,0),"کد ناشناخته"),IFERROR(IF(VLOOKUP($E649,AcctTblE,4,0)="","(بدون نام)",VLOOKUP($E649,AcctTblE,4,0)),"کد ناشناخته")))</f>
        <v/>
      </c>
      <c r="G649" s="15" t="n"/>
      <c r="H649" s="16">
        <f>IF(OR($C649&lt;&gt;"دستمزد گروهی",$D649=""),"",SUMIFS(ShareAmt,ShareLink,$D649))</f>
        <v/>
      </c>
      <c r="I649" s="17">
        <f>IF($C649&lt;&gt;"دستمزد گروهی","—",IF($H649="","",IF(ROUND($H649-IF($G649="",0,$G649),0)=0,"√","▲ مغایرت "&amp;TEXT(IF($G649="",0,$G649)-$H649,"#,##0"))))</f>
        <v/>
      </c>
      <c r="J649" s="18" t="n"/>
    </row>
    <row r="650">
      <c r="A650" s="19">
        <f>IF($B650="","",COUNTA($B$9:$B650))</f>
        <v/>
      </c>
      <c r="B650" s="11" t="n"/>
      <c r="C650" s="12" t="n"/>
      <c r="D650" s="12" t="n"/>
      <c r="E650" s="13" t="n"/>
      <c r="F650" s="20">
        <f>IF($E650="","",IF($C650="دستمزد گروهی",IFERROR(VLOOKUP($E650,WGTbl,2,0),"کد ناشناخته"),IFERROR(IF(VLOOKUP($E650,AcctTblE,4,0)="","(بدون نام)",VLOOKUP($E650,AcctTblE,4,0)),"کد ناشناخته")))</f>
        <v/>
      </c>
      <c r="G650" s="15" t="n"/>
      <c r="H650" s="21">
        <f>IF(OR($C650&lt;&gt;"دستمزد گروهی",$D650=""),"",SUMIFS(ShareAmt,ShareLink,$D650))</f>
        <v/>
      </c>
      <c r="I650" s="22">
        <f>IF($C650&lt;&gt;"دستمزد گروهی","—",IF($H650="","",IF(ROUND($H650-IF($G650="",0,$G650),0)=0,"√","▲ مغایرت "&amp;TEXT(IF($G650="",0,$G650)-$H650,"#,##0"))))</f>
        <v/>
      </c>
      <c r="J650" s="18" t="n"/>
    </row>
    <row r="651">
      <c r="A651" s="10">
        <f>IF($B651="","",COUNTA($B$9:$B651))</f>
        <v/>
      </c>
      <c r="B651" s="11" t="n"/>
      <c r="C651" s="12" t="n"/>
      <c r="D651" s="12" t="n"/>
      <c r="E651" s="13" t="n"/>
      <c r="F651" s="14">
        <f>IF($E651="","",IF($C651="دستمزد گروهی",IFERROR(VLOOKUP($E651,WGTbl,2,0),"کد ناشناخته"),IFERROR(IF(VLOOKUP($E651,AcctTblE,4,0)="","(بدون نام)",VLOOKUP($E651,AcctTblE,4,0)),"کد ناشناخته")))</f>
        <v/>
      </c>
      <c r="G651" s="15" t="n"/>
      <c r="H651" s="16">
        <f>IF(OR($C651&lt;&gt;"دستمزد گروهی",$D651=""),"",SUMIFS(ShareAmt,ShareLink,$D651))</f>
        <v/>
      </c>
      <c r="I651" s="17">
        <f>IF($C651&lt;&gt;"دستمزد گروهی","—",IF($H651="","",IF(ROUND($H651-IF($G651="",0,$G651),0)=0,"√","▲ مغایرت "&amp;TEXT(IF($G651="",0,$G651)-$H651,"#,##0"))))</f>
        <v/>
      </c>
      <c r="J651" s="18" t="n"/>
    </row>
    <row r="652">
      <c r="A652" s="19">
        <f>IF($B652="","",COUNTA($B$9:$B652))</f>
        <v/>
      </c>
      <c r="B652" s="11" t="n"/>
      <c r="C652" s="12" t="n"/>
      <c r="D652" s="12" t="n"/>
      <c r="E652" s="13" t="n"/>
      <c r="F652" s="20">
        <f>IF($E652="","",IF($C652="دستمزد گروهی",IFERROR(VLOOKUP($E652,WGTbl,2,0),"کد ناشناخته"),IFERROR(IF(VLOOKUP($E652,AcctTblE,4,0)="","(بدون نام)",VLOOKUP($E652,AcctTblE,4,0)),"کد ناشناخته")))</f>
        <v/>
      </c>
      <c r="G652" s="15" t="n"/>
      <c r="H652" s="21">
        <f>IF(OR($C652&lt;&gt;"دستمزد گروهی",$D652=""),"",SUMIFS(ShareAmt,ShareLink,$D652))</f>
        <v/>
      </c>
      <c r="I652" s="22">
        <f>IF($C652&lt;&gt;"دستمزد گروهی","—",IF($H652="","",IF(ROUND($H652-IF($G652="",0,$G652),0)=0,"√","▲ مغایرت "&amp;TEXT(IF($G652="",0,$G652)-$H652,"#,##0"))))</f>
        <v/>
      </c>
      <c r="J652" s="18" t="n"/>
    </row>
    <row r="653">
      <c r="A653" s="10">
        <f>IF($B653="","",COUNTA($B$9:$B653))</f>
        <v/>
      </c>
      <c r="B653" s="11" t="n"/>
      <c r="C653" s="12" t="n"/>
      <c r="D653" s="12" t="n"/>
      <c r="E653" s="13" t="n"/>
      <c r="F653" s="14">
        <f>IF($E653="","",IF($C653="دستمزد گروهی",IFERROR(VLOOKUP($E653,WGTbl,2,0),"کد ناشناخته"),IFERROR(IF(VLOOKUP($E653,AcctTblE,4,0)="","(بدون نام)",VLOOKUP($E653,AcctTblE,4,0)),"کد ناشناخته")))</f>
        <v/>
      </c>
      <c r="G653" s="15" t="n"/>
      <c r="H653" s="16">
        <f>IF(OR($C653&lt;&gt;"دستمزد گروهی",$D653=""),"",SUMIFS(ShareAmt,ShareLink,$D653))</f>
        <v/>
      </c>
      <c r="I653" s="17">
        <f>IF($C653&lt;&gt;"دستمزد گروهی","—",IF($H653="","",IF(ROUND($H653-IF($G653="",0,$G653),0)=0,"√","▲ مغایرت "&amp;TEXT(IF($G653="",0,$G653)-$H653,"#,##0"))))</f>
        <v/>
      </c>
      <c r="J653" s="18" t="n"/>
    </row>
    <row r="654">
      <c r="A654" s="19">
        <f>IF($B654="","",COUNTA($B$9:$B654))</f>
        <v/>
      </c>
      <c r="B654" s="11" t="n"/>
      <c r="C654" s="12" t="n"/>
      <c r="D654" s="12" t="n"/>
      <c r="E654" s="13" t="n"/>
      <c r="F654" s="20">
        <f>IF($E654="","",IF($C654="دستمزد گروهی",IFERROR(VLOOKUP($E654,WGTbl,2,0),"کد ناشناخته"),IFERROR(IF(VLOOKUP($E654,AcctTblE,4,0)="","(بدون نام)",VLOOKUP($E654,AcctTblE,4,0)),"کد ناشناخته")))</f>
        <v/>
      </c>
      <c r="G654" s="15" t="n"/>
      <c r="H654" s="21">
        <f>IF(OR($C654&lt;&gt;"دستمزد گروهی",$D654=""),"",SUMIFS(ShareAmt,ShareLink,$D654))</f>
        <v/>
      </c>
      <c r="I654" s="22">
        <f>IF($C654&lt;&gt;"دستمزد گروهی","—",IF($H654="","",IF(ROUND($H654-IF($G654="",0,$G654),0)=0,"√","▲ مغایرت "&amp;TEXT(IF($G654="",0,$G654)-$H654,"#,##0"))))</f>
        <v/>
      </c>
      <c r="J654" s="18" t="n"/>
    </row>
    <row r="655">
      <c r="A655" s="10">
        <f>IF($B655="","",COUNTA($B$9:$B655))</f>
        <v/>
      </c>
      <c r="B655" s="11" t="n"/>
      <c r="C655" s="12" t="n"/>
      <c r="D655" s="12" t="n"/>
      <c r="E655" s="13" t="n"/>
      <c r="F655" s="14">
        <f>IF($E655="","",IF($C655="دستمزد گروهی",IFERROR(VLOOKUP($E655,WGTbl,2,0),"کد ناشناخته"),IFERROR(IF(VLOOKUP($E655,AcctTblE,4,0)="","(بدون نام)",VLOOKUP($E655,AcctTblE,4,0)),"کد ناشناخته")))</f>
        <v/>
      </c>
      <c r="G655" s="15" t="n"/>
      <c r="H655" s="16">
        <f>IF(OR($C655&lt;&gt;"دستمزد گروهی",$D655=""),"",SUMIFS(ShareAmt,ShareLink,$D655))</f>
        <v/>
      </c>
      <c r="I655" s="17">
        <f>IF($C655&lt;&gt;"دستمزد گروهی","—",IF($H655="","",IF(ROUND($H655-IF($G655="",0,$G655),0)=0,"√","▲ مغایرت "&amp;TEXT(IF($G655="",0,$G655)-$H655,"#,##0"))))</f>
        <v/>
      </c>
      <c r="J655" s="18" t="n"/>
    </row>
    <row r="656">
      <c r="A656" s="19">
        <f>IF($B656="","",COUNTA($B$9:$B656))</f>
        <v/>
      </c>
      <c r="B656" s="11" t="n"/>
      <c r="C656" s="12" t="n"/>
      <c r="D656" s="12" t="n"/>
      <c r="E656" s="13" t="n"/>
      <c r="F656" s="20">
        <f>IF($E656="","",IF($C656="دستمزد گروهی",IFERROR(VLOOKUP($E656,WGTbl,2,0),"کد ناشناخته"),IFERROR(IF(VLOOKUP($E656,AcctTblE,4,0)="","(بدون نام)",VLOOKUP($E656,AcctTblE,4,0)),"کد ناشناخته")))</f>
        <v/>
      </c>
      <c r="G656" s="15" t="n"/>
      <c r="H656" s="21">
        <f>IF(OR($C656&lt;&gt;"دستمزد گروهی",$D656=""),"",SUMIFS(ShareAmt,ShareLink,$D656))</f>
        <v/>
      </c>
      <c r="I656" s="22">
        <f>IF($C656&lt;&gt;"دستمزد گروهی","—",IF($H656="","",IF(ROUND($H656-IF($G656="",0,$G656),0)=0,"√","▲ مغایرت "&amp;TEXT(IF($G656="",0,$G656)-$H656,"#,##0"))))</f>
        <v/>
      </c>
      <c r="J656" s="18" t="n"/>
    </row>
    <row r="657">
      <c r="A657" s="10">
        <f>IF($B657="","",COUNTA($B$9:$B657))</f>
        <v/>
      </c>
      <c r="B657" s="11" t="n"/>
      <c r="C657" s="12" t="n"/>
      <c r="D657" s="12" t="n"/>
      <c r="E657" s="13" t="n"/>
      <c r="F657" s="14">
        <f>IF($E657="","",IF($C657="دستمزد گروهی",IFERROR(VLOOKUP($E657,WGTbl,2,0),"کد ناشناخته"),IFERROR(IF(VLOOKUP($E657,AcctTblE,4,0)="","(بدون نام)",VLOOKUP($E657,AcctTblE,4,0)),"کد ناشناخته")))</f>
        <v/>
      </c>
      <c r="G657" s="15" t="n"/>
      <c r="H657" s="16">
        <f>IF(OR($C657&lt;&gt;"دستمزد گروهی",$D657=""),"",SUMIFS(ShareAmt,ShareLink,$D657))</f>
        <v/>
      </c>
      <c r="I657" s="17">
        <f>IF($C657&lt;&gt;"دستمزد گروهی","—",IF($H657="","",IF(ROUND($H657-IF($G657="",0,$G657),0)=0,"√","▲ مغایرت "&amp;TEXT(IF($G657="",0,$G657)-$H657,"#,##0"))))</f>
        <v/>
      </c>
      <c r="J657" s="18" t="n"/>
    </row>
    <row r="658">
      <c r="A658" s="19">
        <f>IF($B658="","",COUNTA($B$9:$B658))</f>
        <v/>
      </c>
      <c r="B658" s="11" t="n"/>
      <c r="C658" s="12" t="n"/>
      <c r="D658" s="12" t="n"/>
      <c r="E658" s="13" t="n"/>
      <c r="F658" s="20">
        <f>IF($E658="","",IF($C658="دستمزد گروهی",IFERROR(VLOOKUP($E658,WGTbl,2,0),"کد ناشناخته"),IFERROR(IF(VLOOKUP($E658,AcctTblE,4,0)="","(بدون نام)",VLOOKUP($E658,AcctTblE,4,0)),"کد ناشناخته")))</f>
        <v/>
      </c>
      <c r="G658" s="15" t="n"/>
      <c r="H658" s="21">
        <f>IF(OR($C658&lt;&gt;"دستمزد گروهی",$D658=""),"",SUMIFS(ShareAmt,ShareLink,$D658))</f>
        <v/>
      </c>
      <c r="I658" s="22">
        <f>IF($C658&lt;&gt;"دستمزد گروهی","—",IF($H658="","",IF(ROUND($H658-IF($G658="",0,$G658),0)=0,"√","▲ مغایرت "&amp;TEXT(IF($G658="",0,$G658)-$H658,"#,##0"))))</f>
        <v/>
      </c>
      <c r="J658" s="18" t="n"/>
    </row>
    <row r="659">
      <c r="A659" s="10">
        <f>IF($B659="","",COUNTA($B$9:$B659))</f>
        <v/>
      </c>
      <c r="B659" s="11" t="n"/>
      <c r="C659" s="12" t="n"/>
      <c r="D659" s="12" t="n"/>
      <c r="E659" s="13" t="n"/>
      <c r="F659" s="14">
        <f>IF($E659="","",IF($C659="دستمزد گروهی",IFERROR(VLOOKUP($E659,WGTbl,2,0),"کد ناشناخته"),IFERROR(IF(VLOOKUP($E659,AcctTblE,4,0)="","(بدون نام)",VLOOKUP($E659,AcctTblE,4,0)),"کد ناشناخته")))</f>
        <v/>
      </c>
      <c r="G659" s="15" t="n"/>
      <c r="H659" s="16">
        <f>IF(OR($C659&lt;&gt;"دستمزد گروهی",$D659=""),"",SUMIFS(ShareAmt,ShareLink,$D659))</f>
        <v/>
      </c>
      <c r="I659" s="17">
        <f>IF($C659&lt;&gt;"دستمزد گروهی","—",IF($H659="","",IF(ROUND($H659-IF($G659="",0,$G659),0)=0,"√","▲ مغایرت "&amp;TEXT(IF($G659="",0,$G659)-$H659,"#,##0"))))</f>
        <v/>
      </c>
      <c r="J659" s="18" t="n"/>
    </row>
    <row r="660">
      <c r="A660" s="19">
        <f>IF($B660="","",COUNTA($B$9:$B660))</f>
        <v/>
      </c>
      <c r="B660" s="11" t="n"/>
      <c r="C660" s="12" t="n"/>
      <c r="D660" s="12" t="n"/>
      <c r="E660" s="13" t="n"/>
      <c r="F660" s="20">
        <f>IF($E660="","",IF($C660="دستمزد گروهی",IFERROR(VLOOKUP($E660,WGTbl,2,0),"کد ناشناخته"),IFERROR(IF(VLOOKUP($E660,AcctTblE,4,0)="","(بدون نام)",VLOOKUP($E660,AcctTblE,4,0)),"کد ناشناخته")))</f>
        <v/>
      </c>
      <c r="G660" s="15" t="n"/>
      <c r="H660" s="21">
        <f>IF(OR($C660&lt;&gt;"دستمزد گروهی",$D660=""),"",SUMIFS(ShareAmt,ShareLink,$D660))</f>
        <v/>
      </c>
      <c r="I660" s="22">
        <f>IF($C660&lt;&gt;"دستمزد گروهی","—",IF($H660="","",IF(ROUND($H660-IF($G660="",0,$G660),0)=0,"√","▲ مغایرت "&amp;TEXT(IF($G660="",0,$G660)-$H660,"#,##0"))))</f>
        <v/>
      </c>
      <c r="J660" s="18" t="n"/>
    </row>
    <row r="661">
      <c r="A661" s="10">
        <f>IF($B661="","",COUNTA($B$9:$B661))</f>
        <v/>
      </c>
      <c r="B661" s="11" t="n"/>
      <c r="C661" s="12" t="n"/>
      <c r="D661" s="12" t="n"/>
      <c r="E661" s="13" t="n"/>
      <c r="F661" s="14">
        <f>IF($E661="","",IF($C661="دستمزد گروهی",IFERROR(VLOOKUP($E661,WGTbl,2,0),"کد ناشناخته"),IFERROR(IF(VLOOKUP($E661,AcctTblE,4,0)="","(بدون نام)",VLOOKUP($E661,AcctTblE,4,0)),"کد ناشناخته")))</f>
        <v/>
      </c>
      <c r="G661" s="15" t="n"/>
      <c r="H661" s="16">
        <f>IF(OR($C661&lt;&gt;"دستمزد گروهی",$D661=""),"",SUMIFS(ShareAmt,ShareLink,$D661))</f>
        <v/>
      </c>
      <c r="I661" s="17">
        <f>IF($C661&lt;&gt;"دستمزد گروهی","—",IF($H661="","",IF(ROUND($H661-IF($G661="",0,$G661),0)=0,"√","▲ مغایرت "&amp;TEXT(IF($G661="",0,$G661)-$H661,"#,##0"))))</f>
        <v/>
      </c>
      <c r="J661" s="18" t="n"/>
    </row>
    <row r="662">
      <c r="A662" s="19">
        <f>IF($B662="","",COUNTA($B$9:$B662))</f>
        <v/>
      </c>
      <c r="B662" s="11" t="n"/>
      <c r="C662" s="12" t="n"/>
      <c r="D662" s="12" t="n"/>
      <c r="E662" s="13" t="n"/>
      <c r="F662" s="20">
        <f>IF($E662="","",IF($C662="دستمزد گروهی",IFERROR(VLOOKUP($E662,WGTbl,2,0),"کد ناشناخته"),IFERROR(IF(VLOOKUP($E662,AcctTblE,4,0)="","(بدون نام)",VLOOKUP($E662,AcctTblE,4,0)),"کد ناشناخته")))</f>
        <v/>
      </c>
      <c r="G662" s="15" t="n"/>
      <c r="H662" s="21">
        <f>IF(OR($C662&lt;&gt;"دستمزد گروهی",$D662=""),"",SUMIFS(ShareAmt,ShareLink,$D662))</f>
        <v/>
      </c>
      <c r="I662" s="22">
        <f>IF($C662&lt;&gt;"دستمزد گروهی","—",IF($H662="","",IF(ROUND($H662-IF($G662="",0,$G662),0)=0,"√","▲ مغایرت "&amp;TEXT(IF($G662="",0,$G662)-$H662,"#,##0"))))</f>
        <v/>
      </c>
      <c r="J662" s="18" t="n"/>
    </row>
    <row r="663">
      <c r="A663" s="10">
        <f>IF($B663="","",COUNTA($B$9:$B663))</f>
        <v/>
      </c>
      <c r="B663" s="11" t="n"/>
      <c r="C663" s="12" t="n"/>
      <c r="D663" s="12" t="n"/>
      <c r="E663" s="13" t="n"/>
      <c r="F663" s="14">
        <f>IF($E663="","",IF($C663="دستمزد گروهی",IFERROR(VLOOKUP($E663,WGTbl,2,0),"کد ناشناخته"),IFERROR(IF(VLOOKUP($E663,AcctTblE,4,0)="","(بدون نام)",VLOOKUP($E663,AcctTblE,4,0)),"کد ناشناخته")))</f>
        <v/>
      </c>
      <c r="G663" s="15" t="n"/>
      <c r="H663" s="16">
        <f>IF(OR($C663&lt;&gt;"دستمزد گروهی",$D663=""),"",SUMIFS(ShareAmt,ShareLink,$D663))</f>
        <v/>
      </c>
      <c r="I663" s="17">
        <f>IF($C663&lt;&gt;"دستمزد گروهی","—",IF($H663="","",IF(ROUND($H663-IF($G663="",0,$G663),0)=0,"√","▲ مغایرت "&amp;TEXT(IF($G663="",0,$G663)-$H663,"#,##0"))))</f>
        <v/>
      </c>
      <c r="J663" s="18" t="n"/>
    </row>
    <row r="664">
      <c r="A664" s="19">
        <f>IF($B664="","",COUNTA($B$9:$B664))</f>
        <v/>
      </c>
      <c r="B664" s="11" t="n"/>
      <c r="C664" s="12" t="n"/>
      <c r="D664" s="12" t="n"/>
      <c r="E664" s="13" t="n"/>
      <c r="F664" s="20">
        <f>IF($E664="","",IF($C664="دستمزد گروهی",IFERROR(VLOOKUP($E664,WGTbl,2,0),"کد ناشناخته"),IFERROR(IF(VLOOKUP($E664,AcctTblE,4,0)="","(بدون نام)",VLOOKUP($E664,AcctTblE,4,0)),"کد ناشناخته")))</f>
        <v/>
      </c>
      <c r="G664" s="15" t="n"/>
      <c r="H664" s="21">
        <f>IF(OR($C664&lt;&gt;"دستمزد گروهی",$D664=""),"",SUMIFS(ShareAmt,ShareLink,$D664))</f>
        <v/>
      </c>
      <c r="I664" s="22">
        <f>IF($C664&lt;&gt;"دستمزد گروهی","—",IF($H664="","",IF(ROUND($H664-IF($G664="",0,$G664),0)=0,"√","▲ مغایرت "&amp;TEXT(IF($G664="",0,$G664)-$H664,"#,##0"))))</f>
        <v/>
      </c>
      <c r="J664" s="18" t="n"/>
    </row>
    <row r="665">
      <c r="A665" s="10">
        <f>IF($B665="","",COUNTA($B$9:$B665))</f>
        <v/>
      </c>
      <c r="B665" s="11" t="n"/>
      <c r="C665" s="12" t="n"/>
      <c r="D665" s="12" t="n"/>
      <c r="E665" s="13" t="n"/>
      <c r="F665" s="14">
        <f>IF($E665="","",IF($C665="دستمزد گروهی",IFERROR(VLOOKUP($E665,WGTbl,2,0),"کد ناشناخته"),IFERROR(IF(VLOOKUP($E665,AcctTblE,4,0)="","(بدون نام)",VLOOKUP($E665,AcctTblE,4,0)),"کد ناشناخته")))</f>
        <v/>
      </c>
      <c r="G665" s="15" t="n"/>
      <c r="H665" s="16">
        <f>IF(OR($C665&lt;&gt;"دستمزد گروهی",$D665=""),"",SUMIFS(ShareAmt,ShareLink,$D665))</f>
        <v/>
      </c>
      <c r="I665" s="17">
        <f>IF($C665&lt;&gt;"دستمزد گروهی","—",IF($H665="","",IF(ROUND($H665-IF($G665="",0,$G665),0)=0,"√","▲ مغایرت "&amp;TEXT(IF($G665="",0,$G665)-$H665,"#,##0"))))</f>
        <v/>
      </c>
      <c r="J665" s="18" t="n"/>
    </row>
    <row r="666">
      <c r="A666" s="19">
        <f>IF($B666="","",COUNTA($B$9:$B666))</f>
        <v/>
      </c>
      <c r="B666" s="11" t="n"/>
      <c r="C666" s="12" t="n"/>
      <c r="D666" s="12" t="n"/>
      <c r="E666" s="13" t="n"/>
      <c r="F666" s="20">
        <f>IF($E666="","",IF($C666="دستمزد گروهی",IFERROR(VLOOKUP($E666,WGTbl,2,0),"کد ناشناخته"),IFERROR(IF(VLOOKUP($E666,AcctTblE,4,0)="","(بدون نام)",VLOOKUP($E666,AcctTblE,4,0)),"کد ناشناخته")))</f>
        <v/>
      </c>
      <c r="G666" s="15" t="n"/>
      <c r="H666" s="21">
        <f>IF(OR($C666&lt;&gt;"دستمزد گروهی",$D666=""),"",SUMIFS(ShareAmt,ShareLink,$D666))</f>
        <v/>
      </c>
      <c r="I666" s="22">
        <f>IF($C666&lt;&gt;"دستمزد گروهی","—",IF($H666="","",IF(ROUND($H666-IF($G666="",0,$G666),0)=0,"√","▲ مغایرت "&amp;TEXT(IF($G666="",0,$G666)-$H666,"#,##0"))))</f>
        <v/>
      </c>
      <c r="J666" s="18" t="n"/>
    </row>
    <row r="667">
      <c r="A667" s="10">
        <f>IF($B667="","",COUNTA($B$9:$B667))</f>
        <v/>
      </c>
      <c r="B667" s="11" t="n"/>
      <c r="C667" s="12" t="n"/>
      <c r="D667" s="12" t="n"/>
      <c r="E667" s="13" t="n"/>
      <c r="F667" s="14">
        <f>IF($E667="","",IF($C667="دستمزد گروهی",IFERROR(VLOOKUP($E667,WGTbl,2,0),"کد ناشناخته"),IFERROR(IF(VLOOKUP($E667,AcctTblE,4,0)="","(بدون نام)",VLOOKUP($E667,AcctTblE,4,0)),"کد ناشناخته")))</f>
        <v/>
      </c>
      <c r="G667" s="15" t="n"/>
      <c r="H667" s="16">
        <f>IF(OR($C667&lt;&gt;"دستمزد گروهی",$D667=""),"",SUMIFS(ShareAmt,ShareLink,$D667))</f>
        <v/>
      </c>
      <c r="I667" s="17">
        <f>IF($C667&lt;&gt;"دستمزد گروهی","—",IF($H667="","",IF(ROUND($H667-IF($G667="",0,$G667),0)=0,"√","▲ مغایرت "&amp;TEXT(IF($G667="",0,$G667)-$H667,"#,##0"))))</f>
        <v/>
      </c>
      <c r="J667" s="18" t="n"/>
    </row>
    <row r="668">
      <c r="A668" s="19">
        <f>IF($B668="","",COUNTA($B$9:$B668))</f>
        <v/>
      </c>
      <c r="B668" s="11" t="n"/>
      <c r="C668" s="12" t="n"/>
      <c r="D668" s="12" t="n"/>
      <c r="E668" s="13" t="n"/>
      <c r="F668" s="20">
        <f>IF($E668="","",IF($C668="دستمزد گروهی",IFERROR(VLOOKUP($E668,WGTbl,2,0),"کد ناشناخته"),IFERROR(IF(VLOOKUP($E668,AcctTblE,4,0)="","(بدون نام)",VLOOKUP($E668,AcctTblE,4,0)),"کد ناشناخته")))</f>
        <v/>
      </c>
      <c r="G668" s="15" t="n"/>
      <c r="H668" s="21">
        <f>IF(OR($C668&lt;&gt;"دستمزد گروهی",$D668=""),"",SUMIFS(ShareAmt,ShareLink,$D668))</f>
        <v/>
      </c>
      <c r="I668" s="22">
        <f>IF($C668&lt;&gt;"دستمزد گروهی","—",IF($H668="","",IF(ROUND($H668-IF($G668="",0,$G668),0)=0,"√","▲ مغایرت "&amp;TEXT(IF($G668="",0,$G668)-$H668,"#,##0"))))</f>
        <v/>
      </c>
      <c r="J668" s="18" t="n"/>
    </row>
    <row r="669">
      <c r="A669" s="10">
        <f>IF($B669="","",COUNTA($B$9:$B669))</f>
        <v/>
      </c>
      <c r="B669" s="11" t="n"/>
      <c r="C669" s="12" t="n"/>
      <c r="D669" s="12" t="n"/>
      <c r="E669" s="13" t="n"/>
      <c r="F669" s="14">
        <f>IF($E669="","",IF($C669="دستمزد گروهی",IFERROR(VLOOKUP($E669,WGTbl,2,0),"کد ناشناخته"),IFERROR(IF(VLOOKUP($E669,AcctTblE,4,0)="","(بدون نام)",VLOOKUP($E669,AcctTblE,4,0)),"کد ناشناخته")))</f>
        <v/>
      </c>
      <c r="G669" s="15" t="n"/>
      <c r="H669" s="16">
        <f>IF(OR($C669&lt;&gt;"دستمزد گروهی",$D669=""),"",SUMIFS(ShareAmt,ShareLink,$D669))</f>
        <v/>
      </c>
      <c r="I669" s="17">
        <f>IF($C669&lt;&gt;"دستمزد گروهی","—",IF($H669="","",IF(ROUND($H669-IF($G669="",0,$G669),0)=0,"√","▲ مغایرت "&amp;TEXT(IF($G669="",0,$G669)-$H669,"#,##0"))))</f>
        <v/>
      </c>
      <c r="J669" s="18" t="n"/>
    </row>
    <row r="670">
      <c r="A670" s="19">
        <f>IF($B670="","",COUNTA($B$9:$B670))</f>
        <v/>
      </c>
      <c r="B670" s="11" t="n"/>
      <c r="C670" s="12" t="n"/>
      <c r="D670" s="12" t="n"/>
      <c r="E670" s="13" t="n"/>
      <c r="F670" s="20">
        <f>IF($E670="","",IF($C670="دستمزد گروهی",IFERROR(VLOOKUP($E670,WGTbl,2,0),"کد ناشناخته"),IFERROR(IF(VLOOKUP($E670,AcctTblE,4,0)="","(بدون نام)",VLOOKUP($E670,AcctTblE,4,0)),"کد ناشناخته")))</f>
        <v/>
      </c>
      <c r="G670" s="15" t="n"/>
      <c r="H670" s="21">
        <f>IF(OR($C670&lt;&gt;"دستمزد گروهی",$D670=""),"",SUMIFS(ShareAmt,ShareLink,$D670))</f>
        <v/>
      </c>
      <c r="I670" s="22">
        <f>IF($C670&lt;&gt;"دستمزد گروهی","—",IF($H670="","",IF(ROUND($H670-IF($G670="",0,$G670),0)=0,"√","▲ مغایرت "&amp;TEXT(IF($G670="",0,$G670)-$H670,"#,##0"))))</f>
        <v/>
      </c>
      <c r="J670" s="18" t="n"/>
    </row>
    <row r="671">
      <c r="A671" s="10">
        <f>IF($B671="","",COUNTA($B$9:$B671))</f>
        <v/>
      </c>
      <c r="B671" s="11" t="n"/>
      <c r="C671" s="12" t="n"/>
      <c r="D671" s="12" t="n"/>
      <c r="E671" s="13" t="n"/>
      <c r="F671" s="14">
        <f>IF($E671="","",IF($C671="دستمزد گروهی",IFERROR(VLOOKUP($E671,WGTbl,2,0),"کد ناشناخته"),IFERROR(IF(VLOOKUP($E671,AcctTblE,4,0)="","(بدون نام)",VLOOKUP($E671,AcctTblE,4,0)),"کد ناشناخته")))</f>
        <v/>
      </c>
      <c r="G671" s="15" t="n"/>
      <c r="H671" s="16">
        <f>IF(OR($C671&lt;&gt;"دستمزد گروهی",$D671=""),"",SUMIFS(ShareAmt,ShareLink,$D671))</f>
        <v/>
      </c>
      <c r="I671" s="17">
        <f>IF($C671&lt;&gt;"دستمزد گروهی","—",IF($H671="","",IF(ROUND($H671-IF($G671="",0,$G671),0)=0,"√","▲ مغایرت "&amp;TEXT(IF($G671="",0,$G671)-$H671,"#,##0"))))</f>
        <v/>
      </c>
      <c r="J671" s="18" t="n"/>
    </row>
    <row r="672">
      <c r="A672" s="19">
        <f>IF($B672="","",COUNTA($B$9:$B672))</f>
        <v/>
      </c>
      <c r="B672" s="11" t="n"/>
      <c r="C672" s="12" t="n"/>
      <c r="D672" s="12" t="n"/>
      <c r="E672" s="13" t="n"/>
      <c r="F672" s="20">
        <f>IF($E672="","",IF($C672="دستمزد گروهی",IFERROR(VLOOKUP($E672,WGTbl,2,0),"کد ناشناخته"),IFERROR(IF(VLOOKUP($E672,AcctTblE,4,0)="","(بدون نام)",VLOOKUP($E672,AcctTblE,4,0)),"کد ناشناخته")))</f>
        <v/>
      </c>
      <c r="G672" s="15" t="n"/>
      <c r="H672" s="21">
        <f>IF(OR($C672&lt;&gt;"دستمزد گروهی",$D672=""),"",SUMIFS(ShareAmt,ShareLink,$D672))</f>
        <v/>
      </c>
      <c r="I672" s="22">
        <f>IF($C672&lt;&gt;"دستمزد گروهی","—",IF($H672="","",IF(ROUND($H672-IF($G672="",0,$G672),0)=0,"√","▲ مغایرت "&amp;TEXT(IF($G672="",0,$G672)-$H672,"#,##0"))))</f>
        <v/>
      </c>
      <c r="J672" s="18" t="n"/>
    </row>
    <row r="673">
      <c r="A673" s="10">
        <f>IF($B673="","",COUNTA($B$9:$B673))</f>
        <v/>
      </c>
      <c r="B673" s="11" t="n"/>
      <c r="C673" s="12" t="n"/>
      <c r="D673" s="12" t="n"/>
      <c r="E673" s="13" t="n"/>
      <c r="F673" s="14">
        <f>IF($E673="","",IF($C673="دستمزد گروهی",IFERROR(VLOOKUP($E673,WGTbl,2,0),"کد ناشناخته"),IFERROR(IF(VLOOKUP($E673,AcctTblE,4,0)="","(بدون نام)",VLOOKUP($E673,AcctTblE,4,0)),"کد ناشناخته")))</f>
        <v/>
      </c>
      <c r="G673" s="15" t="n"/>
      <c r="H673" s="16">
        <f>IF(OR($C673&lt;&gt;"دستمزد گروهی",$D673=""),"",SUMIFS(ShareAmt,ShareLink,$D673))</f>
        <v/>
      </c>
      <c r="I673" s="17">
        <f>IF($C673&lt;&gt;"دستمزد گروهی","—",IF($H673="","",IF(ROUND($H673-IF($G673="",0,$G673),0)=0,"√","▲ مغایرت "&amp;TEXT(IF($G673="",0,$G673)-$H673,"#,##0"))))</f>
        <v/>
      </c>
      <c r="J673" s="18" t="n"/>
    </row>
    <row r="674">
      <c r="A674" s="19">
        <f>IF($B674="","",COUNTA($B$9:$B674))</f>
        <v/>
      </c>
      <c r="B674" s="11" t="n"/>
      <c r="C674" s="12" t="n"/>
      <c r="D674" s="12" t="n"/>
      <c r="E674" s="13" t="n"/>
      <c r="F674" s="20">
        <f>IF($E674="","",IF($C674="دستمزد گروهی",IFERROR(VLOOKUP($E674,WGTbl,2,0),"کد ناشناخته"),IFERROR(IF(VLOOKUP($E674,AcctTblE,4,0)="","(بدون نام)",VLOOKUP($E674,AcctTblE,4,0)),"کد ناشناخته")))</f>
        <v/>
      </c>
      <c r="G674" s="15" t="n"/>
      <c r="H674" s="21">
        <f>IF(OR($C674&lt;&gt;"دستمزد گروهی",$D674=""),"",SUMIFS(ShareAmt,ShareLink,$D674))</f>
        <v/>
      </c>
      <c r="I674" s="22">
        <f>IF($C674&lt;&gt;"دستمزد گروهی","—",IF($H674="","",IF(ROUND($H674-IF($G674="",0,$G674),0)=0,"√","▲ مغایرت "&amp;TEXT(IF($G674="",0,$G674)-$H674,"#,##0"))))</f>
        <v/>
      </c>
      <c r="J674" s="18" t="n"/>
    </row>
    <row r="675">
      <c r="A675" s="10">
        <f>IF($B675="","",COUNTA($B$9:$B675))</f>
        <v/>
      </c>
      <c r="B675" s="11" t="n"/>
      <c r="C675" s="12" t="n"/>
      <c r="D675" s="12" t="n"/>
      <c r="E675" s="13" t="n"/>
      <c r="F675" s="14">
        <f>IF($E675="","",IF($C675="دستمزد گروهی",IFERROR(VLOOKUP($E675,WGTbl,2,0),"کد ناشناخته"),IFERROR(IF(VLOOKUP($E675,AcctTblE,4,0)="","(بدون نام)",VLOOKUP($E675,AcctTblE,4,0)),"کد ناشناخته")))</f>
        <v/>
      </c>
      <c r="G675" s="15" t="n"/>
      <c r="H675" s="16">
        <f>IF(OR($C675&lt;&gt;"دستمزد گروهی",$D675=""),"",SUMIFS(ShareAmt,ShareLink,$D675))</f>
        <v/>
      </c>
      <c r="I675" s="17">
        <f>IF($C675&lt;&gt;"دستمزد گروهی","—",IF($H675="","",IF(ROUND($H675-IF($G675="",0,$G675),0)=0,"√","▲ مغایرت "&amp;TEXT(IF($G675="",0,$G675)-$H675,"#,##0"))))</f>
        <v/>
      </c>
      <c r="J675" s="18" t="n"/>
    </row>
    <row r="676">
      <c r="A676" s="19">
        <f>IF($B676="","",COUNTA($B$9:$B676))</f>
        <v/>
      </c>
      <c r="B676" s="11" t="n"/>
      <c r="C676" s="12" t="n"/>
      <c r="D676" s="12" t="n"/>
      <c r="E676" s="13" t="n"/>
      <c r="F676" s="20">
        <f>IF($E676="","",IF($C676="دستمزد گروهی",IFERROR(VLOOKUP($E676,WGTbl,2,0),"کد ناشناخته"),IFERROR(IF(VLOOKUP($E676,AcctTblE,4,0)="","(بدون نام)",VLOOKUP($E676,AcctTblE,4,0)),"کد ناشناخته")))</f>
        <v/>
      </c>
      <c r="G676" s="15" t="n"/>
      <c r="H676" s="21">
        <f>IF(OR($C676&lt;&gt;"دستمزد گروهی",$D676=""),"",SUMIFS(ShareAmt,ShareLink,$D676))</f>
        <v/>
      </c>
      <c r="I676" s="22">
        <f>IF($C676&lt;&gt;"دستمزد گروهی","—",IF($H676="","",IF(ROUND($H676-IF($G676="",0,$G676),0)=0,"√","▲ مغایرت "&amp;TEXT(IF($G676="",0,$G676)-$H676,"#,##0"))))</f>
        <v/>
      </c>
      <c r="J676" s="18" t="n"/>
    </row>
    <row r="677">
      <c r="A677" s="10">
        <f>IF($B677="","",COUNTA($B$9:$B677))</f>
        <v/>
      </c>
      <c r="B677" s="11" t="n"/>
      <c r="C677" s="12" t="n"/>
      <c r="D677" s="12" t="n"/>
      <c r="E677" s="13" t="n"/>
      <c r="F677" s="14">
        <f>IF($E677="","",IF($C677="دستمزد گروهی",IFERROR(VLOOKUP($E677,WGTbl,2,0),"کد ناشناخته"),IFERROR(IF(VLOOKUP($E677,AcctTblE,4,0)="","(بدون نام)",VLOOKUP($E677,AcctTblE,4,0)),"کد ناشناخته")))</f>
        <v/>
      </c>
      <c r="G677" s="15" t="n"/>
      <c r="H677" s="16">
        <f>IF(OR($C677&lt;&gt;"دستمزد گروهی",$D677=""),"",SUMIFS(ShareAmt,ShareLink,$D677))</f>
        <v/>
      </c>
      <c r="I677" s="17">
        <f>IF($C677&lt;&gt;"دستمزد گروهی","—",IF($H677="","",IF(ROUND($H677-IF($G677="",0,$G677),0)=0,"√","▲ مغایرت "&amp;TEXT(IF($G677="",0,$G677)-$H677,"#,##0"))))</f>
        <v/>
      </c>
      <c r="J677" s="18" t="n"/>
    </row>
    <row r="678">
      <c r="A678" s="19">
        <f>IF($B678="","",COUNTA($B$9:$B678))</f>
        <v/>
      </c>
      <c r="B678" s="11" t="n"/>
      <c r="C678" s="12" t="n"/>
      <c r="D678" s="12" t="n"/>
      <c r="E678" s="13" t="n"/>
      <c r="F678" s="20">
        <f>IF($E678="","",IF($C678="دستمزد گروهی",IFERROR(VLOOKUP($E678,WGTbl,2,0),"کد ناشناخته"),IFERROR(IF(VLOOKUP($E678,AcctTblE,4,0)="","(بدون نام)",VLOOKUP($E678,AcctTblE,4,0)),"کد ناشناخته")))</f>
        <v/>
      </c>
      <c r="G678" s="15" t="n"/>
      <c r="H678" s="21">
        <f>IF(OR($C678&lt;&gt;"دستمزد گروهی",$D678=""),"",SUMIFS(ShareAmt,ShareLink,$D678))</f>
        <v/>
      </c>
      <c r="I678" s="22">
        <f>IF($C678&lt;&gt;"دستمزد گروهی","—",IF($H678="","",IF(ROUND($H678-IF($G678="",0,$G678),0)=0,"√","▲ مغایرت "&amp;TEXT(IF($G678="",0,$G678)-$H678,"#,##0"))))</f>
        <v/>
      </c>
      <c r="J678" s="18" t="n"/>
    </row>
    <row r="679">
      <c r="A679" s="10">
        <f>IF($B679="","",COUNTA($B$9:$B679))</f>
        <v/>
      </c>
      <c r="B679" s="11" t="n"/>
      <c r="C679" s="12" t="n"/>
      <c r="D679" s="12" t="n"/>
      <c r="E679" s="13" t="n"/>
      <c r="F679" s="14">
        <f>IF($E679="","",IF($C679="دستمزد گروهی",IFERROR(VLOOKUP($E679,WGTbl,2,0),"کد ناشناخته"),IFERROR(IF(VLOOKUP($E679,AcctTblE,4,0)="","(بدون نام)",VLOOKUP($E679,AcctTblE,4,0)),"کد ناشناخته")))</f>
        <v/>
      </c>
      <c r="G679" s="15" t="n"/>
      <c r="H679" s="16">
        <f>IF(OR($C679&lt;&gt;"دستمزد گروهی",$D679=""),"",SUMIFS(ShareAmt,ShareLink,$D679))</f>
        <v/>
      </c>
      <c r="I679" s="17">
        <f>IF($C679&lt;&gt;"دستمزد گروهی","—",IF($H679="","",IF(ROUND($H679-IF($G679="",0,$G679),0)=0,"√","▲ مغایرت "&amp;TEXT(IF($G679="",0,$G679)-$H679,"#,##0"))))</f>
        <v/>
      </c>
      <c r="J679" s="18" t="n"/>
    </row>
    <row r="680">
      <c r="A680" s="19">
        <f>IF($B680="","",COUNTA($B$9:$B680))</f>
        <v/>
      </c>
      <c r="B680" s="11" t="n"/>
      <c r="C680" s="12" t="n"/>
      <c r="D680" s="12" t="n"/>
      <c r="E680" s="13" t="n"/>
      <c r="F680" s="20">
        <f>IF($E680="","",IF($C680="دستمزد گروهی",IFERROR(VLOOKUP($E680,WGTbl,2,0),"کد ناشناخته"),IFERROR(IF(VLOOKUP($E680,AcctTblE,4,0)="","(بدون نام)",VLOOKUP($E680,AcctTblE,4,0)),"کد ناشناخته")))</f>
        <v/>
      </c>
      <c r="G680" s="15" t="n"/>
      <c r="H680" s="21">
        <f>IF(OR($C680&lt;&gt;"دستمزد گروهی",$D680=""),"",SUMIFS(ShareAmt,ShareLink,$D680))</f>
        <v/>
      </c>
      <c r="I680" s="22">
        <f>IF($C680&lt;&gt;"دستمزد گروهی","—",IF($H680="","",IF(ROUND($H680-IF($G680="",0,$G680),0)=0,"√","▲ مغایرت "&amp;TEXT(IF($G680="",0,$G680)-$H680,"#,##0"))))</f>
        <v/>
      </c>
      <c r="J680" s="18" t="n"/>
    </row>
    <row r="681">
      <c r="A681" s="10">
        <f>IF($B681="","",COUNTA($B$9:$B681))</f>
        <v/>
      </c>
      <c r="B681" s="11" t="n"/>
      <c r="C681" s="12" t="n"/>
      <c r="D681" s="12" t="n"/>
      <c r="E681" s="13" t="n"/>
      <c r="F681" s="14">
        <f>IF($E681="","",IF($C681="دستمزد گروهی",IFERROR(VLOOKUP($E681,WGTbl,2,0),"کد ناشناخته"),IFERROR(IF(VLOOKUP($E681,AcctTblE,4,0)="","(بدون نام)",VLOOKUP($E681,AcctTblE,4,0)),"کد ناشناخته")))</f>
        <v/>
      </c>
      <c r="G681" s="15" t="n"/>
      <c r="H681" s="16">
        <f>IF(OR($C681&lt;&gt;"دستمزد گروهی",$D681=""),"",SUMIFS(ShareAmt,ShareLink,$D681))</f>
        <v/>
      </c>
      <c r="I681" s="17">
        <f>IF($C681&lt;&gt;"دستمزد گروهی","—",IF($H681="","",IF(ROUND($H681-IF($G681="",0,$G681),0)=0,"√","▲ مغایرت "&amp;TEXT(IF($G681="",0,$G681)-$H681,"#,##0"))))</f>
        <v/>
      </c>
      <c r="J681" s="18" t="n"/>
    </row>
    <row r="682">
      <c r="A682" s="19">
        <f>IF($B682="","",COUNTA($B$9:$B682))</f>
        <v/>
      </c>
      <c r="B682" s="11" t="n"/>
      <c r="C682" s="12" t="n"/>
      <c r="D682" s="12" t="n"/>
      <c r="E682" s="13" t="n"/>
      <c r="F682" s="20">
        <f>IF($E682="","",IF($C682="دستمزد گروهی",IFERROR(VLOOKUP($E682,WGTbl,2,0),"کد ناشناخته"),IFERROR(IF(VLOOKUP($E682,AcctTblE,4,0)="","(بدون نام)",VLOOKUP($E682,AcctTblE,4,0)),"کد ناشناخته")))</f>
        <v/>
      </c>
      <c r="G682" s="15" t="n"/>
      <c r="H682" s="21">
        <f>IF(OR($C682&lt;&gt;"دستمزد گروهی",$D682=""),"",SUMIFS(ShareAmt,ShareLink,$D682))</f>
        <v/>
      </c>
      <c r="I682" s="22">
        <f>IF($C682&lt;&gt;"دستمزد گروهی","—",IF($H682="","",IF(ROUND($H682-IF($G682="",0,$G682),0)=0,"√","▲ مغایرت "&amp;TEXT(IF($G682="",0,$G682)-$H682,"#,##0"))))</f>
        <v/>
      </c>
      <c r="J682" s="18" t="n"/>
    </row>
    <row r="683">
      <c r="A683" s="10">
        <f>IF($B683="","",COUNTA($B$9:$B683))</f>
        <v/>
      </c>
      <c r="B683" s="11" t="n"/>
      <c r="C683" s="12" t="n"/>
      <c r="D683" s="12" t="n"/>
      <c r="E683" s="13" t="n"/>
      <c r="F683" s="14">
        <f>IF($E683="","",IF($C683="دستمزد گروهی",IFERROR(VLOOKUP($E683,WGTbl,2,0),"کد ناشناخته"),IFERROR(IF(VLOOKUP($E683,AcctTblE,4,0)="","(بدون نام)",VLOOKUP($E683,AcctTblE,4,0)),"کد ناشناخته")))</f>
        <v/>
      </c>
      <c r="G683" s="15" t="n"/>
      <c r="H683" s="16">
        <f>IF(OR($C683&lt;&gt;"دستمزد گروهی",$D683=""),"",SUMIFS(ShareAmt,ShareLink,$D683))</f>
        <v/>
      </c>
      <c r="I683" s="17">
        <f>IF($C683&lt;&gt;"دستمزد گروهی","—",IF($H683="","",IF(ROUND($H683-IF($G683="",0,$G683),0)=0,"√","▲ مغایرت "&amp;TEXT(IF($G683="",0,$G683)-$H683,"#,##0"))))</f>
        <v/>
      </c>
      <c r="J683" s="18" t="n"/>
    </row>
    <row r="684">
      <c r="A684" s="19">
        <f>IF($B684="","",COUNTA($B$9:$B684))</f>
        <v/>
      </c>
      <c r="B684" s="11" t="n"/>
      <c r="C684" s="12" t="n"/>
      <c r="D684" s="12" t="n"/>
      <c r="E684" s="13" t="n"/>
      <c r="F684" s="20">
        <f>IF($E684="","",IF($C684="دستمزد گروهی",IFERROR(VLOOKUP($E684,WGTbl,2,0),"کد ناشناخته"),IFERROR(IF(VLOOKUP($E684,AcctTblE,4,0)="","(بدون نام)",VLOOKUP($E684,AcctTblE,4,0)),"کد ناشناخته")))</f>
        <v/>
      </c>
      <c r="G684" s="15" t="n"/>
      <c r="H684" s="21">
        <f>IF(OR($C684&lt;&gt;"دستمزد گروهی",$D684=""),"",SUMIFS(ShareAmt,ShareLink,$D684))</f>
        <v/>
      </c>
      <c r="I684" s="22">
        <f>IF($C684&lt;&gt;"دستمزد گروهی","—",IF($H684="","",IF(ROUND($H684-IF($G684="",0,$G684),0)=0,"√","▲ مغایرت "&amp;TEXT(IF($G684="",0,$G684)-$H684,"#,##0"))))</f>
        <v/>
      </c>
      <c r="J684" s="18" t="n"/>
    </row>
    <row r="685">
      <c r="A685" s="10">
        <f>IF($B685="","",COUNTA($B$9:$B685))</f>
        <v/>
      </c>
      <c r="B685" s="11" t="n"/>
      <c r="C685" s="12" t="n"/>
      <c r="D685" s="12" t="n"/>
      <c r="E685" s="13" t="n"/>
      <c r="F685" s="14">
        <f>IF($E685="","",IF($C685="دستمزد گروهی",IFERROR(VLOOKUP($E685,WGTbl,2,0),"کد ناشناخته"),IFERROR(IF(VLOOKUP($E685,AcctTblE,4,0)="","(بدون نام)",VLOOKUP($E685,AcctTblE,4,0)),"کد ناشناخته")))</f>
        <v/>
      </c>
      <c r="G685" s="15" t="n"/>
      <c r="H685" s="16">
        <f>IF(OR($C685&lt;&gt;"دستمزد گروهی",$D685=""),"",SUMIFS(ShareAmt,ShareLink,$D685))</f>
        <v/>
      </c>
      <c r="I685" s="17">
        <f>IF($C685&lt;&gt;"دستمزد گروهی","—",IF($H685="","",IF(ROUND($H685-IF($G685="",0,$G685),0)=0,"√","▲ مغایرت "&amp;TEXT(IF($G685="",0,$G685)-$H685,"#,##0"))))</f>
        <v/>
      </c>
      <c r="J685" s="18" t="n"/>
    </row>
    <row r="686">
      <c r="A686" s="19">
        <f>IF($B686="","",COUNTA($B$9:$B686))</f>
        <v/>
      </c>
      <c r="B686" s="11" t="n"/>
      <c r="C686" s="12" t="n"/>
      <c r="D686" s="12" t="n"/>
      <c r="E686" s="13" t="n"/>
      <c r="F686" s="20">
        <f>IF($E686="","",IF($C686="دستمزد گروهی",IFERROR(VLOOKUP($E686,WGTbl,2,0),"کد ناشناخته"),IFERROR(IF(VLOOKUP($E686,AcctTblE,4,0)="","(بدون نام)",VLOOKUP($E686,AcctTblE,4,0)),"کد ناشناخته")))</f>
        <v/>
      </c>
      <c r="G686" s="15" t="n"/>
      <c r="H686" s="21">
        <f>IF(OR($C686&lt;&gt;"دستمزد گروهی",$D686=""),"",SUMIFS(ShareAmt,ShareLink,$D686))</f>
        <v/>
      </c>
      <c r="I686" s="22">
        <f>IF($C686&lt;&gt;"دستمزد گروهی","—",IF($H686="","",IF(ROUND($H686-IF($G686="",0,$G686),0)=0,"√","▲ مغایرت "&amp;TEXT(IF($G686="",0,$G686)-$H686,"#,##0"))))</f>
        <v/>
      </c>
      <c r="J686" s="18" t="n"/>
    </row>
    <row r="687">
      <c r="A687" s="10">
        <f>IF($B687="","",COUNTA($B$9:$B687))</f>
        <v/>
      </c>
      <c r="B687" s="11" t="n"/>
      <c r="C687" s="12" t="n"/>
      <c r="D687" s="12" t="n"/>
      <c r="E687" s="13" t="n"/>
      <c r="F687" s="14">
        <f>IF($E687="","",IF($C687="دستمزد گروهی",IFERROR(VLOOKUP($E687,WGTbl,2,0),"کد ناشناخته"),IFERROR(IF(VLOOKUP($E687,AcctTblE,4,0)="","(بدون نام)",VLOOKUP($E687,AcctTblE,4,0)),"کد ناشناخته")))</f>
        <v/>
      </c>
      <c r="G687" s="15" t="n"/>
      <c r="H687" s="16">
        <f>IF(OR($C687&lt;&gt;"دستمزد گروهی",$D687=""),"",SUMIFS(ShareAmt,ShareLink,$D687))</f>
        <v/>
      </c>
      <c r="I687" s="17">
        <f>IF($C687&lt;&gt;"دستمزد گروهی","—",IF($H687="","",IF(ROUND($H687-IF($G687="",0,$G687),0)=0,"√","▲ مغایرت "&amp;TEXT(IF($G687="",0,$G687)-$H687,"#,##0"))))</f>
        <v/>
      </c>
      <c r="J687" s="18" t="n"/>
    </row>
    <row r="688">
      <c r="A688" s="19">
        <f>IF($B688="","",COUNTA($B$9:$B688))</f>
        <v/>
      </c>
      <c r="B688" s="11" t="n"/>
      <c r="C688" s="12" t="n"/>
      <c r="D688" s="12" t="n"/>
      <c r="E688" s="13" t="n"/>
      <c r="F688" s="20">
        <f>IF($E688="","",IF($C688="دستمزد گروهی",IFERROR(VLOOKUP($E688,WGTbl,2,0),"کد ناشناخته"),IFERROR(IF(VLOOKUP($E688,AcctTblE,4,0)="","(بدون نام)",VLOOKUP($E688,AcctTblE,4,0)),"کد ناشناخته")))</f>
        <v/>
      </c>
      <c r="G688" s="15" t="n"/>
      <c r="H688" s="21">
        <f>IF(OR($C688&lt;&gt;"دستمزد گروهی",$D688=""),"",SUMIFS(ShareAmt,ShareLink,$D688))</f>
        <v/>
      </c>
      <c r="I688" s="22">
        <f>IF($C688&lt;&gt;"دستمزد گروهی","—",IF($H688="","",IF(ROUND($H688-IF($G688="",0,$G688),0)=0,"√","▲ مغایرت "&amp;TEXT(IF($G688="",0,$G688)-$H688,"#,##0"))))</f>
        <v/>
      </c>
      <c r="J688" s="18" t="n"/>
    </row>
    <row r="689">
      <c r="A689" s="10">
        <f>IF($B689="","",COUNTA($B$9:$B689))</f>
        <v/>
      </c>
      <c r="B689" s="11" t="n"/>
      <c r="C689" s="12" t="n"/>
      <c r="D689" s="12" t="n"/>
      <c r="E689" s="13" t="n"/>
      <c r="F689" s="14">
        <f>IF($E689="","",IF($C689="دستمزد گروهی",IFERROR(VLOOKUP($E689,WGTbl,2,0),"کد ناشناخته"),IFERROR(IF(VLOOKUP($E689,AcctTblE,4,0)="","(بدون نام)",VLOOKUP($E689,AcctTblE,4,0)),"کد ناشناخته")))</f>
        <v/>
      </c>
      <c r="G689" s="15" t="n"/>
      <c r="H689" s="16">
        <f>IF(OR($C689&lt;&gt;"دستمزد گروهی",$D689=""),"",SUMIFS(ShareAmt,ShareLink,$D689))</f>
        <v/>
      </c>
      <c r="I689" s="17">
        <f>IF($C689&lt;&gt;"دستمزد گروهی","—",IF($H689="","",IF(ROUND($H689-IF($G689="",0,$G689),0)=0,"√","▲ مغایرت "&amp;TEXT(IF($G689="",0,$G689)-$H689,"#,##0"))))</f>
        <v/>
      </c>
      <c r="J689" s="18" t="n"/>
    </row>
    <row r="690">
      <c r="A690" s="19">
        <f>IF($B690="","",COUNTA($B$9:$B690))</f>
        <v/>
      </c>
      <c r="B690" s="11" t="n"/>
      <c r="C690" s="12" t="n"/>
      <c r="D690" s="12" t="n"/>
      <c r="E690" s="13" t="n"/>
      <c r="F690" s="20">
        <f>IF($E690="","",IF($C690="دستمزد گروهی",IFERROR(VLOOKUP($E690,WGTbl,2,0),"کد ناشناخته"),IFERROR(IF(VLOOKUP($E690,AcctTblE,4,0)="","(بدون نام)",VLOOKUP($E690,AcctTblE,4,0)),"کد ناشناخته")))</f>
        <v/>
      </c>
      <c r="G690" s="15" t="n"/>
      <c r="H690" s="21">
        <f>IF(OR($C690&lt;&gt;"دستمزد گروهی",$D690=""),"",SUMIFS(ShareAmt,ShareLink,$D690))</f>
        <v/>
      </c>
      <c r="I690" s="22">
        <f>IF($C690&lt;&gt;"دستمزد گروهی","—",IF($H690="","",IF(ROUND($H690-IF($G690="",0,$G690),0)=0,"√","▲ مغایرت "&amp;TEXT(IF($G690="",0,$G690)-$H690,"#,##0"))))</f>
        <v/>
      </c>
      <c r="J690" s="18" t="n"/>
    </row>
    <row r="691">
      <c r="A691" s="10">
        <f>IF($B691="","",COUNTA($B$9:$B691))</f>
        <v/>
      </c>
      <c r="B691" s="11" t="n"/>
      <c r="C691" s="12" t="n"/>
      <c r="D691" s="12" t="n"/>
      <c r="E691" s="13" t="n"/>
      <c r="F691" s="14">
        <f>IF($E691="","",IF($C691="دستمزد گروهی",IFERROR(VLOOKUP($E691,WGTbl,2,0),"کد ناشناخته"),IFERROR(IF(VLOOKUP($E691,AcctTblE,4,0)="","(بدون نام)",VLOOKUP($E691,AcctTblE,4,0)),"کد ناشناخته")))</f>
        <v/>
      </c>
      <c r="G691" s="15" t="n"/>
      <c r="H691" s="16">
        <f>IF(OR($C691&lt;&gt;"دستمزد گروهی",$D691=""),"",SUMIFS(ShareAmt,ShareLink,$D691))</f>
        <v/>
      </c>
      <c r="I691" s="17">
        <f>IF($C691&lt;&gt;"دستمزد گروهی","—",IF($H691="","",IF(ROUND($H691-IF($G691="",0,$G691),0)=0,"√","▲ مغایرت "&amp;TEXT(IF($G691="",0,$G691)-$H691,"#,##0"))))</f>
        <v/>
      </c>
      <c r="J691" s="18" t="n"/>
    </row>
    <row r="692">
      <c r="A692" s="19">
        <f>IF($B692="","",COUNTA($B$9:$B692))</f>
        <v/>
      </c>
      <c r="B692" s="11" t="n"/>
      <c r="C692" s="12" t="n"/>
      <c r="D692" s="12" t="n"/>
      <c r="E692" s="13" t="n"/>
      <c r="F692" s="20">
        <f>IF($E692="","",IF($C692="دستمزد گروهی",IFERROR(VLOOKUP($E692,WGTbl,2,0),"کد ناشناخته"),IFERROR(IF(VLOOKUP($E692,AcctTblE,4,0)="","(بدون نام)",VLOOKUP($E692,AcctTblE,4,0)),"کد ناشناخته")))</f>
        <v/>
      </c>
      <c r="G692" s="15" t="n"/>
      <c r="H692" s="21">
        <f>IF(OR($C692&lt;&gt;"دستمزد گروهی",$D692=""),"",SUMIFS(ShareAmt,ShareLink,$D692))</f>
        <v/>
      </c>
      <c r="I692" s="22">
        <f>IF($C692&lt;&gt;"دستمزد گروهی","—",IF($H692="","",IF(ROUND($H692-IF($G692="",0,$G692),0)=0,"√","▲ مغایرت "&amp;TEXT(IF($G692="",0,$G692)-$H692,"#,##0"))))</f>
        <v/>
      </c>
      <c r="J692" s="18" t="n"/>
    </row>
    <row r="693">
      <c r="A693" s="10">
        <f>IF($B693="","",COUNTA($B$9:$B693))</f>
        <v/>
      </c>
      <c r="B693" s="11" t="n"/>
      <c r="C693" s="12" t="n"/>
      <c r="D693" s="12" t="n"/>
      <c r="E693" s="13" t="n"/>
      <c r="F693" s="14">
        <f>IF($E693="","",IF($C693="دستمزد گروهی",IFERROR(VLOOKUP($E693,WGTbl,2,0),"کد ناشناخته"),IFERROR(IF(VLOOKUP($E693,AcctTblE,4,0)="","(بدون نام)",VLOOKUP($E693,AcctTblE,4,0)),"کد ناشناخته")))</f>
        <v/>
      </c>
      <c r="G693" s="15" t="n"/>
      <c r="H693" s="16">
        <f>IF(OR($C693&lt;&gt;"دستمزد گروهی",$D693=""),"",SUMIFS(ShareAmt,ShareLink,$D693))</f>
        <v/>
      </c>
      <c r="I693" s="17">
        <f>IF($C693&lt;&gt;"دستمزد گروهی","—",IF($H693="","",IF(ROUND($H693-IF($G693="",0,$G693),0)=0,"√","▲ مغایرت "&amp;TEXT(IF($G693="",0,$G693)-$H693,"#,##0"))))</f>
        <v/>
      </c>
      <c r="J693" s="18" t="n"/>
    </row>
    <row r="694">
      <c r="A694" s="19">
        <f>IF($B694="","",COUNTA($B$9:$B694))</f>
        <v/>
      </c>
      <c r="B694" s="11" t="n"/>
      <c r="C694" s="12" t="n"/>
      <c r="D694" s="12" t="n"/>
      <c r="E694" s="13" t="n"/>
      <c r="F694" s="20">
        <f>IF($E694="","",IF($C694="دستمزد گروهی",IFERROR(VLOOKUP($E694,WGTbl,2,0),"کد ناشناخته"),IFERROR(IF(VLOOKUP($E694,AcctTblE,4,0)="","(بدون نام)",VLOOKUP($E694,AcctTblE,4,0)),"کد ناشناخته")))</f>
        <v/>
      </c>
      <c r="G694" s="15" t="n"/>
      <c r="H694" s="21">
        <f>IF(OR($C694&lt;&gt;"دستمزد گروهی",$D694=""),"",SUMIFS(ShareAmt,ShareLink,$D694))</f>
        <v/>
      </c>
      <c r="I694" s="22">
        <f>IF($C694&lt;&gt;"دستمزد گروهی","—",IF($H694="","",IF(ROUND($H694-IF($G694="",0,$G694),0)=0,"√","▲ مغایرت "&amp;TEXT(IF($G694="",0,$G694)-$H694,"#,##0"))))</f>
        <v/>
      </c>
      <c r="J694" s="18" t="n"/>
    </row>
    <row r="695">
      <c r="A695" s="10">
        <f>IF($B695="","",COUNTA($B$9:$B695))</f>
        <v/>
      </c>
      <c r="B695" s="11" t="n"/>
      <c r="C695" s="12" t="n"/>
      <c r="D695" s="12" t="n"/>
      <c r="E695" s="13" t="n"/>
      <c r="F695" s="14">
        <f>IF($E695="","",IF($C695="دستمزد گروهی",IFERROR(VLOOKUP($E695,WGTbl,2,0),"کد ناشناخته"),IFERROR(IF(VLOOKUP($E695,AcctTblE,4,0)="","(بدون نام)",VLOOKUP($E695,AcctTblE,4,0)),"کد ناشناخته")))</f>
        <v/>
      </c>
      <c r="G695" s="15" t="n"/>
      <c r="H695" s="16">
        <f>IF(OR($C695&lt;&gt;"دستمزد گروهی",$D695=""),"",SUMIFS(ShareAmt,ShareLink,$D695))</f>
        <v/>
      </c>
      <c r="I695" s="17">
        <f>IF($C695&lt;&gt;"دستمزد گروهی","—",IF($H695="","",IF(ROUND($H695-IF($G695="",0,$G695),0)=0,"√","▲ مغایرت "&amp;TEXT(IF($G695="",0,$G695)-$H695,"#,##0"))))</f>
        <v/>
      </c>
      <c r="J695" s="18" t="n"/>
    </row>
    <row r="696">
      <c r="A696" s="19">
        <f>IF($B696="","",COUNTA($B$9:$B696))</f>
        <v/>
      </c>
      <c r="B696" s="11" t="n"/>
      <c r="C696" s="12" t="n"/>
      <c r="D696" s="12" t="n"/>
      <c r="E696" s="13" t="n"/>
      <c r="F696" s="20">
        <f>IF($E696="","",IF($C696="دستمزد گروهی",IFERROR(VLOOKUP($E696,WGTbl,2,0),"کد ناشناخته"),IFERROR(IF(VLOOKUP($E696,AcctTblE,4,0)="","(بدون نام)",VLOOKUP($E696,AcctTblE,4,0)),"کد ناشناخته")))</f>
        <v/>
      </c>
      <c r="G696" s="15" t="n"/>
      <c r="H696" s="21">
        <f>IF(OR($C696&lt;&gt;"دستمزد گروهی",$D696=""),"",SUMIFS(ShareAmt,ShareLink,$D696))</f>
        <v/>
      </c>
      <c r="I696" s="22">
        <f>IF($C696&lt;&gt;"دستمزد گروهی","—",IF($H696="","",IF(ROUND($H696-IF($G696="",0,$G696),0)=0,"√","▲ مغایرت "&amp;TEXT(IF($G696="",0,$G696)-$H696,"#,##0"))))</f>
        <v/>
      </c>
      <c r="J696" s="18" t="n"/>
    </row>
    <row r="697">
      <c r="A697" s="10">
        <f>IF($B697="","",COUNTA($B$9:$B697))</f>
        <v/>
      </c>
      <c r="B697" s="11" t="n"/>
      <c r="C697" s="12" t="n"/>
      <c r="D697" s="12" t="n"/>
      <c r="E697" s="13" t="n"/>
      <c r="F697" s="14">
        <f>IF($E697="","",IF($C697="دستمزد گروهی",IFERROR(VLOOKUP($E697,WGTbl,2,0),"کد ناشناخته"),IFERROR(IF(VLOOKUP($E697,AcctTblE,4,0)="","(بدون نام)",VLOOKUP($E697,AcctTblE,4,0)),"کد ناشناخته")))</f>
        <v/>
      </c>
      <c r="G697" s="15" t="n"/>
      <c r="H697" s="16">
        <f>IF(OR($C697&lt;&gt;"دستمزد گروهی",$D697=""),"",SUMIFS(ShareAmt,ShareLink,$D697))</f>
        <v/>
      </c>
      <c r="I697" s="17">
        <f>IF($C697&lt;&gt;"دستمزد گروهی","—",IF($H697="","",IF(ROUND($H697-IF($G697="",0,$G697),0)=0,"√","▲ مغایرت "&amp;TEXT(IF($G697="",0,$G697)-$H697,"#,##0"))))</f>
        <v/>
      </c>
      <c r="J697" s="18" t="n"/>
    </row>
    <row r="698">
      <c r="A698" s="19">
        <f>IF($B698="","",COUNTA($B$9:$B698))</f>
        <v/>
      </c>
      <c r="B698" s="11" t="n"/>
      <c r="C698" s="12" t="n"/>
      <c r="D698" s="12" t="n"/>
      <c r="E698" s="13" t="n"/>
      <c r="F698" s="20">
        <f>IF($E698="","",IF($C698="دستمزد گروهی",IFERROR(VLOOKUP($E698,WGTbl,2,0),"کد ناشناخته"),IFERROR(IF(VLOOKUP($E698,AcctTblE,4,0)="","(بدون نام)",VLOOKUP($E698,AcctTblE,4,0)),"کد ناشناخته")))</f>
        <v/>
      </c>
      <c r="G698" s="15" t="n"/>
      <c r="H698" s="21">
        <f>IF(OR($C698&lt;&gt;"دستمزد گروهی",$D698=""),"",SUMIFS(ShareAmt,ShareLink,$D698))</f>
        <v/>
      </c>
      <c r="I698" s="22">
        <f>IF($C698&lt;&gt;"دستمزد گروهی","—",IF($H698="","",IF(ROUND($H698-IF($G698="",0,$G698),0)=0,"√","▲ مغایرت "&amp;TEXT(IF($G698="",0,$G698)-$H698,"#,##0"))))</f>
        <v/>
      </c>
      <c r="J698" s="18" t="n"/>
    </row>
    <row r="699">
      <c r="A699" s="10">
        <f>IF($B699="","",COUNTA($B$9:$B699))</f>
        <v/>
      </c>
      <c r="B699" s="11" t="n"/>
      <c r="C699" s="12" t="n"/>
      <c r="D699" s="12" t="n"/>
      <c r="E699" s="13" t="n"/>
      <c r="F699" s="14">
        <f>IF($E699="","",IF($C699="دستمزد گروهی",IFERROR(VLOOKUP($E699,WGTbl,2,0),"کد ناشناخته"),IFERROR(IF(VLOOKUP($E699,AcctTblE,4,0)="","(بدون نام)",VLOOKUP($E699,AcctTblE,4,0)),"کد ناشناخته")))</f>
        <v/>
      </c>
      <c r="G699" s="15" t="n"/>
      <c r="H699" s="16">
        <f>IF(OR($C699&lt;&gt;"دستمزد گروهی",$D699=""),"",SUMIFS(ShareAmt,ShareLink,$D699))</f>
        <v/>
      </c>
      <c r="I699" s="17">
        <f>IF($C699&lt;&gt;"دستمزد گروهی","—",IF($H699="","",IF(ROUND($H699-IF($G699="",0,$G699),0)=0,"√","▲ مغایرت "&amp;TEXT(IF($G699="",0,$G699)-$H699,"#,##0"))))</f>
        <v/>
      </c>
      <c r="J699" s="18" t="n"/>
    </row>
    <row r="700">
      <c r="A700" s="19">
        <f>IF($B700="","",COUNTA($B$9:$B700))</f>
        <v/>
      </c>
      <c r="B700" s="11" t="n"/>
      <c r="C700" s="12" t="n"/>
      <c r="D700" s="12" t="n"/>
      <c r="E700" s="13" t="n"/>
      <c r="F700" s="20">
        <f>IF($E700="","",IF($C700="دستمزد گروهی",IFERROR(VLOOKUP($E700,WGTbl,2,0),"کد ناشناخته"),IFERROR(IF(VLOOKUP($E700,AcctTblE,4,0)="","(بدون نام)",VLOOKUP($E700,AcctTblE,4,0)),"کد ناشناخته")))</f>
        <v/>
      </c>
      <c r="G700" s="15" t="n"/>
      <c r="H700" s="21">
        <f>IF(OR($C700&lt;&gt;"دستمزد گروهی",$D700=""),"",SUMIFS(ShareAmt,ShareLink,$D700))</f>
        <v/>
      </c>
      <c r="I700" s="22">
        <f>IF($C700&lt;&gt;"دستمزد گروهی","—",IF($H700="","",IF(ROUND($H700-IF($G700="",0,$G700),0)=0,"√","▲ مغایرت "&amp;TEXT(IF($G700="",0,$G700)-$H700,"#,##0"))))</f>
        <v/>
      </c>
      <c r="J700" s="18" t="n"/>
    </row>
    <row r="701">
      <c r="A701" s="10">
        <f>IF($B701="","",COUNTA($B$9:$B701))</f>
        <v/>
      </c>
      <c r="B701" s="11" t="n"/>
      <c r="C701" s="12" t="n"/>
      <c r="D701" s="12" t="n"/>
      <c r="E701" s="13" t="n"/>
      <c r="F701" s="14">
        <f>IF($E701="","",IF($C701="دستمزد گروهی",IFERROR(VLOOKUP($E701,WGTbl,2,0),"کد ناشناخته"),IFERROR(IF(VLOOKUP($E701,AcctTblE,4,0)="","(بدون نام)",VLOOKUP($E701,AcctTblE,4,0)),"کد ناشناخته")))</f>
        <v/>
      </c>
      <c r="G701" s="15" t="n"/>
      <c r="H701" s="16">
        <f>IF(OR($C701&lt;&gt;"دستمزد گروهی",$D701=""),"",SUMIFS(ShareAmt,ShareLink,$D701))</f>
        <v/>
      </c>
      <c r="I701" s="17">
        <f>IF($C701&lt;&gt;"دستمزد گروهی","—",IF($H701="","",IF(ROUND($H701-IF($G701="",0,$G701),0)=0,"√","▲ مغایرت "&amp;TEXT(IF($G701="",0,$G701)-$H701,"#,##0"))))</f>
        <v/>
      </c>
      <c r="J701" s="18" t="n"/>
    </row>
    <row r="702">
      <c r="A702" s="19">
        <f>IF($B702="","",COUNTA($B$9:$B702))</f>
        <v/>
      </c>
      <c r="B702" s="11" t="n"/>
      <c r="C702" s="12" t="n"/>
      <c r="D702" s="12" t="n"/>
      <c r="E702" s="13" t="n"/>
      <c r="F702" s="20">
        <f>IF($E702="","",IF($C702="دستمزد گروهی",IFERROR(VLOOKUP($E702,WGTbl,2,0),"کد ناشناخته"),IFERROR(IF(VLOOKUP($E702,AcctTblE,4,0)="","(بدون نام)",VLOOKUP($E702,AcctTblE,4,0)),"کد ناشناخته")))</f>
        <v/>
      </c>
      <c r="G702" s="15" t="n"/>
      <c r="H702" s="21">
        <f>IF(OR($C702&lt;&gt;"دستمزد گروهی",$D702=""),"",SUMIFS(ShareAmt,ShareLink,$D702))</f>
        <v/>
      </c>
      <c r="I702" s="22">
        <f>IF($C702&lt;&gt;"دستمزد گروهی","—",IF($H702="","",IF(ROUND($H702-IF($G702="",0,$G702),0)=0,"√","▲ مغایرت "&amp;TEXT(IF($G702="",0,$G702)-$H702,"#,##0"))))</f>
        <v/>
      </c>
      <c r="J702" s="18" t="n"/>
    </row>
    <row r="703">
      <c r="A703" s="10">
        <f>IF($B703="","",COUNTA($B$9:$B703))</f>
        <v/>
      </c>
      <c r="B703" s="11" t="n"/>
      <c r="C703" s="12" t="n"/>
      <c r="D703" s="12" t="n"/>
      <c r="E703" s="13" t="n"/>
      <c r="F703" s="14">
        <f>IF($E703="","",IF($C703="دستمزد گروهی",IFERROR(VLOOKUP($E703,WGTbl,2,0),"کد ناشناخته"),IFERROR(IF(VLOOKUP($E703,AcctTblE,4,0)="","(بدون نام)",VLOOKUP($E703,AcctTblE,4,0)),"کد ناشناخته")))</f>
        <v/>
      </c>
      <c r="G703" s="15" t="n"/>
      <c r="H703" s="16">
        <f>IF(OR($C703&lt;&gt;"دستمزد گروهی",$D703=""),"",SUMIFS(ShareAmt,ShareLink,$D703))</f>
        <v/>
      </c>
      <c r="I703" s="17">
        <f>IF($C703&lt;&gt;"دستمزد گروهی","—",IF($H703="","",IF(ROUND($H703-IF($G703="",0,$G703),0)=0,"√","▲ مغایرت "&amp;TEXT(IF($G703="",0,$G703)-$H703,"#,##0"))))</f>
        <v/>
      </c>
      <c r="J703" s="18" t="n"/>
    </row>
    <row r="704">
      <c r="A704" s="19">
        <f>IF($B704="","",COUNTA($B$9:$B704))</f>
        <v/>
      </c>
      <c r="B704" s="11" t="n"/>
      <c r="C704" s="12" t="n"/>
      <c r="D704" s="12" t="n"/>
      <c r="E704" s="13" t="n"/>
      <c r="F704" s="20">
        <f>IF($E704="","",IF($C704="دستمزد گروهی",IFERROR(VLOOKUP($E704,WGTbl,2,0),"کد ناشناخته"),IFERROR(IF(VLOOKUP($E704,AcctTblE,4,0)="","(بدون نام)",VLOOKUP($E704,AcctTblE,4,0)),"کد ناشناخته")))</f>
        <v/>
      </c>
      <c r="G704" s="15" t="n"/>
      <c r="H704" s="21">
        <f>IF(OR($C704&lt;&gt;"دستمزد گروهی",$D704=""),"",SUMIFS(ShareAmt,ShareLink,$D704))</f>
        <v/>
      </c>
      <c r="I704" s="22">
        <f>IF($C704&lt;&gt;"دستمزد گروهی","—",IF($H704="","",IF(ROUND($H704-IF($G704="",0,$G704),0)=0,"√","▲ مغایرت "&amp;TEXT(IF($G704="",0,$G704)-$H704,"#,##0"))))</f>
        <v/>
      </c>
      <c r="J704" s="18" t="n"/>
    </row>
    <row r="705">
      <c r="A705" s="10">
        <f>IF($B705="","",COUNTA($B$9:$B705))</f>
        <v/>
      </c>
      <c r="B705" s="11" t="n"/>
      <c r="C705" s="12" t="n"/>
      <c r="D705" s="12" t="n"/>
      <c r="E705" s="13" t="n"/>
      <c r="F705" s="14">
        <f>IF($E705="","",IF($C705="دستمزد گروهی",IFERROR(VLOOKUP($E705,WGTbl,2,0),"کد ناشناخته"),IFERROR(IF(VLOOKUP($E705,AcctTblE,4,0)="","(بدون نام)",VLOOKUP($E705,AcctTblE,4,0)),"کد ناشناخته")))</f>
        <v/>
      </c>
      <c r="G705" s="15" t="n"/>
      <c r="H705" s="16">
        <f>IF(OR($C705&lt;&gt;"دستمزد گروهی",$D705=""),"",SUMIFS(ShareAmt,ShareLink,$D705))</f>
        <v/>
      </c>
      <c r="I705" s="17">
        <f>IF($C705&lt;&gt;"دستمزد گروهی","—",IF($H705="","",IF(ROUND($H705-IF($G705="",0,$G705),0)=0,"√","▲ مغایرت "&amp;TEXT(IF($G705="",0,$G705)-$H705,"#,##0"))))</f>
        <v/>
      </c>
      <c r="J705" s="18" t="n"/>
    </row>
    <row r="706">
      <c r="A706" s="19">
        <f>IF($B706="","",COUNTA($B$9:$B706))</f>
        <v/>
      </c>
      <c r="B706" s="11" t="n"/>
      <c r="C706" s="12" t="n"/>
      <c r="D706" s="12" t="n"/>
      <c r="E706" s="13" t="n"/>
      <c r="F706" s="20">
        <f>IF($E706="","",IF($C706="دستمزد گروهی",IFERROR(VLOOKUP($E706,WGTbl,2,0),"کد ناشناخته"),IFERROR(IF(VLOOKUP($E706,AcctTblE,4,0)="","(بدون نام)",VLOOKUP($E706,AcctTblE,4,0)),"کد ناشناخته")))</f>
        <v/>
      </c>
      <c r="G706" s="15" t="n"/>
      <c r="H706" s="21">
        <f>IF(OR($C706&lt;&gt;"دستمزد گروهی",$D706=""),"",SUMIFS(ShareAmt,ShareLink,$D706))</f>
        <v/>
      </c>
      <c r="I706" s="22">
        <f>IF($C706&lt;&gt;"دستمزد گروهی","—",IF($H706="","",IF(ROUND($H706-IF($G706="",0,$G706),0)=0,"√","▲ مغایرت "&amp;TEXT(IF($G706="",0,$G706)-$H706,"#,##0"))))</f>
        <v/>
      </c>
      <c r="J706" s="18" t="n"/>
    </row>
    <row r="707">
      <c r="A707" s="10">
        <f>IF($B707="","",COUNTA($B$9:$B707))</f>
        <v/>
      </c>
      <c r="B707" s="11" t="n"/>
      <c r="C707" s="12" t="n"/>
      <c r="D707" s="12" t="n"/>
      <c r="E707" s="13" t="n"/>
      <c r="F707" s="14">
        <f>IF($E707="","",IF($C707="دستمزد گروهی",IFERROR(VLOOKUP($E707,WGTbl,2,0),"کد ناشناخته"),IFERROR(IF(VLOOKUP($E707,AcctTblE,4,0)="","(بدون نام)",VLOOKUP($E707,AcctTblE,4,0)),"کد ناشناخته")))</f>
        <v/>
      </c>
      <c r="G707" s="15" t="n"/>
      <c r="H707" s="16">
        <f>IF(OR($C707&lt;&gt;"دستمزد گروهی",$D707=""),"",SUMIFS(ShareAmt,ShareLink,$D707))</f>
        <v/>
      </c>
      <c r="I707" s="17">
        <f>IF($C707&lt;&gt;"دستمزد گروهی","—",IF($H707="","",IF(ROUND($H707-IF($G707="",0,$G707),0)=0,"√","▲ مغایرت "&amp;TEXT(IF($G707="",0,$G707)-$H707,"#,##0"))))</f>
        <v/>
      </c>
      <c r="J707" s="18" t="n"/>
    </row>
    <row r="708">
      <c r="A708" s="19">
        <f>IF($B708="","",COUNTA($B$9:$B708))</f>
        <v/>
      </c>
      <c r="B708" s="11" t="n"/>
      <c r="C708" s="12" t="n"/>
      <c r="D708" s="12" t="n"/>
      <c r="E708" s="13" t="n"/>
      <c r="F708" s="20">
        <f>IF($E708="","",IF($C708="دستمزد گروهی",IFERROR(VLOOKUP($E708,WGTbl,2,0),"کد ناشناخته"),IFERROR(IF(VLOOKUP($E708,AcctTblE,4,0)="","(بدون نام)",VLOOKUP($E708,AcctTblE,4,0)),"کد ناشناخته")))</f>
        <v/>
      </c>
      <c r="G708" s="15" t="n"/>
      <c r="H708" s="21">
        <f>IF(OR($C708&lt;&gt;"دستمزد گروهی",$D708=""),"",SUMIFS(ShareAmt,ShareLink,$D708))</f>
        <v/>
      </c>
      <c r="I708" s="22">
        <f>IF($C708&lt;&gt;"دستمزد گروهی","—",IF($H708="","",IF(ROUND($H708-IF($G708="",0,$G708),0)=0,"√","▲ مغایرت "&amp;TEXT(IF($G708="",0,$G708)-$H708,"#,##0"))))</f>
        <v/>
      </c>
      <c r="J708" s="18" t="n"/>
    </row>
    <row r="709">
      <c r="A709" s="10">
        <f>IF($B709="","",COUNTA($B$9:$B709))</f>
        <v/>
      </c>
      <c r="B709" s="11" t="n"/>
      <c r="C709" s="12" t="n"/>
      <c r="D709" s="12" t="n"/>
      <c r="E709" s="13" t="n"/>
      <c r="F709" s="14">
        <f>IF($E709="","",IF($C709="دستمزد گروهی",IFERROR(VLOOKUP($E709,WGTbl,2,0),"کد ناشناخته"),IFERROR(IF(VLOOKUP($E709,AcctTblE,4,0)="","(بدون نام)",VLOOKUP($E709,AcctTblE,4,0)),"کد ناشناخته")))</f>
        <v/>
      </c>
      <c r="G709" s="15" t="n"/>
      <c r="H709" s="16">
        <f>IF(OR($C709&lt;&gt;"دستمزد گروهی",$D709=""),"",SUMIFS(ShareAmt,ShareLink,$D709))</f>
        <v/>
      </c>
      <c r="I709" s="17">
        <f>IF($C709&lt;&gt;"دستمزد گروهی","—",IF($H709="","",IF(ROUND($H709-IF($G709="",0,$G709),0)=0,"√","▲ مغایرت "&amp;TEXT(IF($G709="",0,$G709)-$H709,"#,##0"))))</f>
        <v/>
      </c>
      <c r="J709" s="18" t="n"/>
    </row>
    <row r="710">
      <c r="A710" s="19">
        <f>IF($B710="","",COUNTA($B$9:$B710))</f>
        <v/>
      </c>
      <c r="B710" s="11" t="n"/>
      <c r="C710" s="12" t="n"/>
      <c r="D710" s="12" t="n"/>
      <c r="E710" s="13" t="n"/>
      <c r="F710" s="20">
        <f>IF($E710="","",IF($C710="دستمزد گروهی",IFERROR(VLOOKUP($E710,WGTbl,2,0),"کد ناشناخته"),IFERROR(IF(VLOOKUP($E710,AcctTblE,4,0)="","(بدون نام)",VLOOKUP($E710,AcctTblE,4,0)),"کد ناشناخته")))</f>
        <v/>
      </c>
      <c r="G710" s="15" t="n"/>
      <c r="H710" s="21">
        <f>IF(OR($C710&lt;&gt;"دستمزد گروهی",$D710=""),"",SUMIFS(ShareAmt,ShareLink,$D710))</f>
        <v/>
      </c>
      <c r="I710" s="22">
        <f>IF($C710&lt;&gt;"دستمزد گروهی","—",IF($H710="","",IF(ROUND($H710-IF($G710="",0,$G710),0)=0,"√","▲ مغایرت "&amp;TEXT(IF($G710="",0,$G710)-$H710,"#,##0"))))</f>
        <v/>
      </c>
      <c r="J710" s="18" t="n"/>
    </row>
    <row r="711">
      <c r="A711" s="10">
        <f>IF($B711="","",COUNTA($B$9:$B711))</f>
        <v/>
      </c>
      <c r="B711" s="11" t="n"/>
      <c r="C711" s="12" t="n"/>
      <c r="D711" s="12" t="n"/>
      <c r="E711" s="13" t="n"/>
      <c r="F711" s="14">
        <f>IF($E711="","",IF($C711="دستمزد گروهی",IFERROR(VLOOKUP($E711,WGTbl,2,0),"کد ناشناخته"),IFERROR(IF(VLOOKUP($E711,AcctTblE,4,0)="","(بدون نام)",VLOOKUP($E711,AcctTblE,4,0)),"کد ناشناخته")))</f>
        <v/>
      </c>
      <c r="G711" s="15" t="n"/>
      <c r="H711" s="16">
        <f>IF(OR($C711&lt;&gt;"دستمزد گروهی",$D711=""),"",SUMIFS(ShareAmt,ShareLink,$D711))</f>
        <v/>
      </c>
      <c r="I711" s="17">
        <f>IF($C711&lt;&gt;"دستمزد گروهی","—",IF($H711="","",IF(ROUND($H711-IF($G711="",0,$G711),0)=0,"√","▲ مغایرت "&amp;TEXT(IF($G711="",0,$G711)-$H711,"#,##0"))))</f>
        <v/>
      </c>
      <c r="J711" s="18" t="n"/>
    </row>
    <row r="712">
      <c r="A712" s="19">
        <f>IF($B712="","",COUNTA($B$9:$B712))</f>
        <v/>
      </c>
      <c r="B712" s="11" t="n"/>
      <c r="C712" s="12" t="n"/>
      <c r="D712" s="12" t="n"/>
      <c r="E712" s="13" t="n"/>
      <c r="F712" s="20">
        <f>IF($E712="","",IF($C712="دستمزد گروهی",IFERROR(VLOOKUP($E712,WGTbl,2,0),"کد ناشناخته"),IFERROR(IF(VLOOKUP($E712,AcctTblE,4,0)="","(بدون نام)",VLOOKUP($E712,AcctTblE,4,0)),"کد ناشناخته")))</f>
        <v/>
      </c>
      <c r="G712" s="15" t="n"/>
      <c r="H712" s="21">
        <f>IF(OR($C712&lt;&gt;"دستمزد گروهی",$D712=""),"",SUMIFS(ShareAmt,ShareLink,$D712))</f>
        <v/>
      </c>
      <c r="I712" s="22">
        <f>IF($C712&lt;&gt;"دستمزد گروهی","—",IF($H712="","",IF(ROUND($H712-IF($G712="",0,$G712),0)=0,"√","▲ مغایرت "&amp;TEXT(IF($G712="",0,$G712)-$H712,"#,##0"))))</f>
        <v/>
      </c>
      <c r="J712" s="18" t="n"/>
    </row>
    <row r="713">
      <c r="A713" s="10">
        <f>IF($B713="","",COUNTA($B$9:$B713))</f>
        <v/>
      </c>
      <c r="B713" s="11" t="n"/>
      <c r="C713" s="12" t="n"/>
      <c r="D713" s="12" t="n"/>
      <c r="E713" s="13" t="n"/>
      <c r="F713" s="14">
        <f>IF($E713="","",IF($C713="دستمزد گروهی",IFERROR(VLOOKUP($E713,WGTbl,2,0),"کد ناشناخته"),IFERROR(IF(VLOOKUP($E713,AcctTblE,4,0)="","(بدون نام)",VLOOKUP($E713,AcctTblE,4,0)),"کد ناشناخته")))</f>
        <v/>
      </c>
      <c r="G713" s="15" t="n"/>
      <c r="H713" s="16">
        <f>IF(OR($C713&lt;&gt;"دستمزد گروهی",$D713=""),"",SUMIFS(ShareAmt,ShareLink,$D713))</f>
        <v/>
      </c>
      <c r="I713" s="17">
        <f>IF($C713&lt;&gt;"دستمزد گروهی","—",IF($H713="","",IF(ROUND($H713-IF($G713="",0,$G713),0)=0,"√","▲ مغایرت "&amp;TEXT(IF($G713="",0,$G713)-$H713,"#,##0"))))</f>
        <v/>
      </c>
      <c r="J713" s="18" t="n"/>
    </row>
    <row r="714">
      <c r="A714" s="19">
        <f>IF($B714="","",COUNTA($B$9:$B714))</f>
        <v/>
      </c>
      <c r="B714" s="11" t="n"/>
      <c r="C714" s="12" t="n"/>
      <c r="D714" s="12" t="n"/>
      <c r="E714" s="13" t="n"/>
      <c r="F714" s="20">
        <f>IF($E714="","",IF($C714="دستمزد گروهی",IFERROR(VLOOKUP($E714,WGTbl,2,0),"کد ناشناخته"),IFERROR(IF(VLOOKUP($E714,AcctTblE,4,0)="","(بدون نام)",VLOOKUP($E714,AcctTblE,4,0)),"کد ناشناخته")))</f>
        <v/>
      </c>
      <c r="G714" s="15" t="n"/>
      <c r="H714" s="21">
        <f>IF(OR($C714&lt;&gt;"دستمزد گروهی",$D714=""),"",SUMIFS(ShareAmt,ShareLink,$D714))</f>
        <v/>
      </c>
      <c r="I714" s="22">
        <f>IF($C714&lt;&gt;"دستمزد گروهی","—",IF($H714="","",IF(ROUND($H714-IF($G714="",0,$G714),0)=0,"√","▲ مغایرت "&amp;TEXT(IF($G714="",0,$G714)-$H714,"#,##0"))))</f>
        <v/>
      </c>
      <c r="J714" s="18" t="n"/>
    </row>
    <row r="715">
      <c r="A715" s="10">
        <f>IF($B715="","",COUNTA($B$9:$B715))</f>
        <v/>
      </c>
      <c r="B715" s="11" t="n"/>
      <c r="C715" s="12" t="n"/>
      <c r="D715" s="12" t="n"/>
      <c r="E715" s="13" t="n"/>
      <c r="F715" s="14">
        <f>IF($E715="","",IF($C715="دستمزد گروهی",IFERROR(VLOOKUP($E715,WGTbl,2,0),"کد ناشناخته"),IFERROR(IF(VLOOKUP($E715,AcctTblE,4,0)="","(بدون نام)",VLOOKUP($E715,AcctTblE,4,0)),"کد ناشناخته")))</f>
        <v/>
      </c>
      <c r="G715" s="15" t="n"/>
      <c r="H715" s="16">
        <f>IF(OR($C715&lt;&gt;"دستمزد گروهی",$D715=""),"",SUMIFS(ShareAmt,ShareLink,$D715))</f>
        <v/>
      </c>
      <c r="I715" s="17">
        <f>IF($C715&lt;&gt;"دستمزد گروهی","—",IF($H715="","",IF(ROUND($H715-IF($G715="",0,$G715),0)=0,"√","▲ مغایرت "&amp;TEXT(IF($G715="",0,$G715)-$H715,"#,##0"))))</f>
        <v/>
      </c>
      <c r="J715" s="18" t="n"/>
    </row>
    <row r="716">
      <c r="A716" s="19">
        <f>IF($B716="","",COUNTA($B$9:$B716))</f>
        <v/>
      </c>
      <c r="B716" s="11" t="n"/>
      <c r="C716" s="12" t="n"/>
      <c r="D716" s="12" t="n"/>
      <c r="E716" s="13" t="n"/>
      <c r="F716" s="20">
        <f>IF($E716="","",IF($C716="دستمزد گروهی",IFERROR(VLOOKUP($E716,WGTbl,2,0),"کد ناشناخته"),IFERROR(IF(VLOOKUP($E716,AcctTblE,4,0)="","(بدون نام)",VLOOKUP($E716,AcctTblE,4,0)),"کد ناشناخته")))</f>
        <v/>
      </c>
      <c r="G716" s="15" t="n"/>
      <c r="H716" s="21">
        <f>IF(OR($C716&lt;&gt;"دستمزد گروهی",$D716=""),"",SUMIFS(ShareAmt,ShareLink,$D716))</f>
        <v/>
      </c>
      <c r="I716" s="22">
        <f>IF($C716&lt;&gt;"دستمزد گروهی","—",IF($H716="","",IF(ROUND($H716-IF($G716="",0,$G716),0)=0,"√","▲ مغایرت "&amp;TEXT(IF($G716="",0,$G716)-$H716,"#,##0"))))</f>
        <v/>
      </c>
      <c r="J716" s="18" t="n"/>
    </row>
    <row r="717">
      <c r="A717" s="10">
        <f>IF($B717="","",COUNTA($B$9:$B717))</f>
        <v/>
      </c>
      <c r="B717" s="11" t="n"/>
      <c r="C717" s="12" t="n"/>
      <c r="D717" s="12" t="n"/>
      <c r="E717" s="13" t="n"/>
      <c r="F717" s="14">
        <f>IF($E717="","",IF($C717="دستمزد گروهی",IFERROR(VLOOKUP($E717,WGTbl,2,0),"کد ناشناخته"),IFERROR(IF(VLOOKUP($E717,AcctTblE,4,0)="","(بدون نام)",VLOOKUP($E717,AcctTblE,4,0)),"کد ناشناخته")))</f>
        <v/>
      </c>
      <c r="G717" s="15" t="n"/>
      <c r="H717" s="16">
        <f>IF(OR($C717&lt;&gt;"دستمزد گروهی",$D717=""),"",SUMIFS(ShareAmt,ShareLink,$D717))</f>
        <v/>
      </c>
      <c r="I717" s="17">
        <f>IF($C717&lt;&gt;"دستمزد گروهی","—",IF($H717="","",IF(ROUND($H717-IF($G717="",0,$G717),0)=0,"√","▲ مغایرت "&amp;TEXT(IF($G717="",0,$G717)-$H717,"#,##0"))))</f>
        <v/>
      </c>
      <c r="J717" s="18" t="n"/>
    </row>
    <row r="718">
      <c r="A718" s="19">
        <f>IF($B718="","",COUNTA($B$9:$B718))</f>
        <v/>
      </c>
      <c r="B718" s="11" t="n"/>
      <c r="C718" s="12" t="n"/>
      <c r="D718" s="12" t="n"/>
      <c r="E718" s="13" t="n"/>
      <c r="F718" s="20">
        <f>IF($E718="","",IF($C718="دستمزد گروهی",IFERROR(VLOOKUP($E718,WGTbl,2,0),"کد ناشناخته"),IFERROR(IF(VLOOKUP($E718,AcctTblE,4,0)="","(بدون نام)",VLOOKUP($E718,AcctTblE,4,0)),"کد ناشناخته")))</f>
        <v/>
      </c>
      <c r="G718" s="15" t="n"/>
      <c r="H718" s="21">
        <f>IF(OR($C718&lt;&gt;"دستمزد گروهی",$D718=""),"",SUMIFS(ShareAmt,ShareLink,$D718))</f>
        <v/>
      </c>
      <c r="I718" s="22">
        <f>IF($C718&lt;&gt;"دستمزد گروهی","—",IF($H718="","",IF(ROUND($H718-IF($G718="",0,$G718),0)=0,"√","▲ مغایرت "&amp;TEXT(IF($G718="",0,$G718)-$H718,"#,##0"))))</f>
        <v/>
      </c>
      <c r="J718" s="18" t="n"/>
    </row>
    <row r="719">
      <c r="A719" s="10">
        <f>IF($B719="","",COUNTA($B$9:$B719))</f>
        <v/>
      </c>
      <c r="B719" s="11" t="n"/>
      <c r="C719" s="12" t="n"/>
      <c r="D719" s="12" t="n"/>
      <c r="E719" s="13" t="n"/>
      <c r="F719" s="14">
        <f>IF($E719="","",IF($C719="دستمزد گروهی",IFERROR(VLOOKUP($E719,WGTbl,2,0),"کد ناشناخته"),IFERROR(IF(VLOOKUP($E719,AcctTblE,4,0)="","(بدون نام)",VLOOKUP($E719,AcctTblE,4,0)),"کد ناشناخته")))</f>
        <v/>
      </c>
      <c r="G719" s="15" t="n"/>
      <c r="H719" s="16">
        <f>IF(OR($C719&lt;&gt;"دستمزد گروهی",$D719=""),"",SUMIFS(ShareAmt,ShareLink,$D719))</f>
        <v/>
      </c>
      <c r="I719" s="17">
        <f>IF($C719&lt;&gt;"دستمزد گروهی","—",IF($H719="","",IF(ROUND($H719-IF($G719="",0,$G719),0)=0,"√","▲ مغایرت "&amp;TEXT(IF($G719="",0,$G719)-$H719,"#,##0"))))</f>
        <v/>
      </c>
      <c r="J719" s="18" t="n"/>
    </row>
    <row r="720">
      <c r="A720" s="19">
        <f>IF($B720="","",COUNTA($B$9:$B720))</f>
        <v/>
      </c>
      <c r="B720" s="11" t="n"/>
      <c r="C720" s="12" t="n"/>
      <c r="D720" s="12" t="n"/>
      <c r="E720" s="13" t="n"/>
      <c r="F720" s="20">
        <f>IF($E720="","",IF($C720="دستمزد گروهی",IFERROR(VLOOKUP($E720,WGTbl,2,0),"کد ناشناخته"),IFERROR(IF(VLOOKUP($E720,AcctTblE,4,0)="","(بدون نام)",VLOOKUP($E720,AcctTblE,4,0)),"کد ناشناخته")))</f>
        <v/>
      </c>
      <c r="G720" s="15" t="n"/>
      <c r="H720" s="21">
        <f>IF(OR($C720&lt;&gt;"دستمزد گروهی",$D720=""),"",SUMIFS(ShareAmt,ShareLink,$D720))</f>
        <v/>
      </c>
      <c r="I720" s="22">
        <f>IF($C720&lt;&gt;"دستمزد گروهی","—",IF($H720="","",IF(ROUND($H720-IF($G720="",0,$G720),0)=0,"√","▲ مغایرت "&amp;TEXT(IF($G720="",0,$G720)-$H720,"#,##0"))))</f>
        <v/>
      </c>
      <c r="J720" s="18" t="n"/>
    </row>
    <row r="721">
      <c r="A721" s="10">
        <f>IF($B721="","",COUNTA($B$9:$B721))</f>
        <v/>
      </c>
      <c r="B721" s="11" t="n"/>
      <c r="C721" s="12" t="n"/>
      <c r="D721" s="12" t="n"/>
      <c r="E721" s="13" t="n"/>
      <c r="F721" s="14">
        <f>IF($E721="","",IF($C721="دستمزد گروهی",IFERROR(VLOOKUP($E721,WGTbl,2,0),"کد ناشناخته"),IFERROR(IF(VLOOKUP($E721,AcctTblE,4,0)="","(بدون نام)",VLOOKUP($E721,AcctTblE,4,0)),"کد ناشناخته")))</f>
        <v/>
      </c>
      <c r="G721" s="15" t="n"/>
      <c r="H721" s="16">
        <f>IF(OR($C721&lt;&gt;"دستمزد گروهی",$D721=""),"",SUMIFS(ShareAmt,ShareLink,$D721))</f>
        <v/>
      </c>
      <c r="I721" s="17">
        <f>IF($C721&lt;&gt;"دستمزد گروهی","—",IF($H721="","",IF(ROUND($H721-IF($G721="",0,$G721),0)=0,"√","▲ مغایرت "&amp;TEXT(IF($G721="",0,$G721)-$H721,"#,##0"))))</f>
        <v/>
      </c>
      <c r="J721" s="18" t="n"/>
    </row>
    <row r="722">
      <c r="A722" s="19">
        <f>IF($B722="","",COUNTA($B$9:$B722))</f>
        <v/>
      </c>
      <c r="B722" s="11" t="n"/>
      <c r="C722" s="12" t="n"/>
      <c r="D722" s="12" t="n"/>
      <c r="E722" s="13" t="n"/>
      <c r="F722" s="20">
        <f>IF($E722="","",IF($C722="دستمزد گروهی",IFERROR(VLOOKUP($E722,WGTbl,2,0),"کد ناشناخته"),IFERROR(IF(VLOOKUP($E722,AcctTblE,4,0)="","(بدون نام)",VLOOKUP($E722,AcctTblE,4,0)),"کد ناشناخته")))</f>
        <v/>
      </c>
      <c r="G722" s="15" t="n"/>
      <c r="H722" s="21">
        <f>IF(OR($C722&lt;&gt;"دستمزد گروهی",$D722=""),"",SUMIFS(ShareAmt,ShareLink,$D722))</f>
        <v/>
      </c>
      <c r="I722" s="22">
        <f>IF($C722&lt;&gt;"دستمزد گروهی","—",IF($H722="","",IF(ROUND($H722-IF($G722="",0,$G722),0)=0,"√","▲ مغایرت "&amp;TEXT(IF($G722="",0,$G722)-$H722,"#,##0"))))</f>
        <v/>
      </c>
      <c r="J722" s="18" t="n"/>
    </row>
    <row r="723">
      <c r="A723" s="10">
        <f>IF($B723="","",COUNTA($B$9:$B723))</f>
        <v/>
      </c>
      <c r="B723" s="11" t="n"/>
      <c r="C723" s="12" t="n"/>
      <c r="D723" s="12" t="n"/>
      <c r="E723" s="13" t="n"/>
      <c r="F723" s="14">
        <f>IF($E723="","",IF($C723="دستمزد گروهی",IFERROR(VLOOKUP($E723,WGTbl,2,0),"کد ناشناخته"),IFERROR(IF(VLOOKUP($E723,AcctTblE,4,0)="","(بدون نام)",VLOOKUP($E723,AcctTblE,4,0)),"کد ناشناخته")))</f>
        <v/>
      </c>
      <c r="G723" s="15" t="n"/>
      <c r="H723" s="16">
        <f>IF(OR($C723&lt;&gt;"دستمزد گروهی",$D723=""),"",SUMIFS(ShareAmt,ShareLink,$D723))</f>
        <v/>
      </c>
      <c r="I723" s="17">
        <f>IF($C723&lt;&gt;"دستمزد گروهی","—",IF($H723="","",IF(ROUND($H723-IF($G723="",0,$G723),0)=0,"√","▲ مغایرت "&amp;TEXT(IF($G723="",0,$G723)-$H723,"#,##0"))))</f>
        <v/>
      </c>
      <c r="J723" s="18" t="n"/>
    </row>
    <row r="724">
      <c r="A724" s="19">
        <f>IF($B724="","",COUNTA($B$9:$B724))</f>
        <v/>
      </c>
      <c r="B724" s="11" t="n"/>
      <c r="C724" s="12" t="n"/>
      <c r="D724" s="12" t="n"/>
      <c r="E724" s="13" t="n"/>
      <c r="F724" s="20">
        <f>IF($E724="","",IF($C724="دستمزد گروهی",IFERROR(VLOOKUP($E724,WGTbl,2,0),"کد ناشناخته"),IFERROR(IF(VLOOKUP($E724,AcctTblE,4,0)="","(بدون نام)",VLOOKUP($E724,AcctTblE,4,0)),"کد ناشناخته")))</f>
        <v/>
      </c>
      <c r="G724" s="15" t="n"/>
      <c r="H724" s="21">
        <f>IF(OR($C724&lt;&gt;"دستمزد گروهی",$D724=""),"",SUMIFS(ShareAmt,ShareLink,$D724))</f>
        <v/>
      </c>
      <c r="I724" s="22">
        <f>IF($C724&lt;&gt;"دستمزد گروهی","—",IF($H724="","",IF(ROUND($H724-IF($G724="",0,$G724),0)=0,"√","▲ مغایرت "&amp;TEXT(IF($G724="",0,$G724)-$H724,"#,##0"))))</f>
        <v/>
      </c>
      <c r="J724" s="18" t="n"/>
    </row>
    <row r="725">
      <c r="A725" s="10">
        <f>IF($B725="","",COUNTA($B$9:$B725))</f>
        <v/>
      </c>
      <c r="B725" s="11" t="n"/>
      <c r="C725" s="12" t="n"/>
      <c r="D725" s="12" t="n"/>
      <c r="E725" s="13" t="n"/>
      <c r="F725" s="14">
        <f>IF($E725="","",IF($C725="دستمزد گروهی",IFERROR(VLOOKUP($E725,WGTbl,2,0),"کد ناشناخته"),IFERROR(IF(VLOOKUP($E725,AcctTblE,4,0)="","(بدون نام)",VLOOKUP($E725,AcctTblE,4,0)),"کد ناشناخته")))</f>
        <v/>
      </c>
      <c r="G725" s="15" t="n"/>
      <c r="H725" s="16">
        <f>IF(OR($C725&lt;&gt;"دستمزد گروهی",$D725=""),"",SUMIFS(ShareAmt,ShareLink,$D725))</f>
        <v/>
      </c>
      <c r="I725" s="17">
        <f>IF($C725&lt;&gt;"دستمزد گروهی","—",IF($H725="","",IF(ROUND($H725-IF($G725="",0,$G725),0)=0,"√","▲ مغایرت "&amp;TEXT(IF($G725="",0,$G725)-$H725,"#,##0"))))</f>
        <v/>
      </c>
      <c r="J725" s="18" t="n"/>
    </row>
    <row r="726">
      <c r="A726" s="19">
        <f>IF($B726="","",COUNTA($B$9:$B726))</f>
        <v/>
      </c>
      <c r="B726" s="11" t="n"/>
      <c r="C726" s="12" t="n"/>
      <c r="D726" s="12" t="n"/>
      <c r="E726" s="13" t="n"/>
      <c r="F726" s="20">
        <f>IF($E726="","",IF($C726="دستمزد گروهی",IFERROR(VLOOKUP($E726,WGTbl,2,0),"کد ناشناخته"),IFERROR(IF(VLOOKUP($E726,AcctTblE,4,0)="","(بدون نام)",VLOOKUP($E726,AcctTblE,4,0)),"کد ناشناخته")))</f>
        <v/>
      </c>
      <c r="G726" s="15" t="n"/>
      <c r="H726" s="21">
        <f>IF(OR($C726&lt;&gt;"دستمزد گروهی",$D726=""),"",SUMIFS(ShareAmt,ShareLink,$D726))</f>
        <v/>
      </c>
      <c r="I726" s="22">
        <f>IF($C726&lt;&gt;"دستمزد گروهی","—",IF($H726="","",IF(ROUND($H726-IF($G726="",0,$G726),0)=0,"√","▲ مغایرت "&amp;TEXT(IF($G726="",0,$G726)-$H726,"#,##0"))))</f>
        <v/>
      </c>
      <c r="J726" s="18" t="n"/>
    </row>
    <row r="727">
      <c r="A727" s="10">
        <f>IF($B727="","",COUNTA($B$9:$B727))</f>
        <v/>
      </c>
      <c r="B727" s="11" t="n"/>
      <c r="C727" s="12" t="n"/>
      <c r="D727" s="12" t="n"/>
      <c r="E727" s="13" t="n"/>
      <c r="F727" s="14">
        <f>IF($E727="","",IF($C727="دستمزد گروهی",IFERROR(VLOOKUP($E727,WGTbl,2,0),"کد ناشناخته"),IFERROR(IF(VLOOKUP($E727,AcctTblE,4,0)="","(بدون نام)",VLOOKUP($E727,AcctTblE,4,0)),"کد ناشناخته")))</f>
        <v/>
      </c>
      <c r="G727" s="15" t="n"/>
      <c r="H727" s="16">
        <f>IF(OR($C727&lt;&gt;"دستمزد گروهی",$D727=""),"",SUMIFS(ShareAmt,ShareLink,$D727))</f>
        <v/>
      </c>
      <c r="I727" s="17">
        <f>IF($C727&lt;&gt;"دستمزد گروهی","—",IF($H727="","",IF(ROUND($H727-IF($G727="",0,$G727),0)=0,"√","▲ مغایرت "&amp;TEXT(IF($G727="",0,$G727)-$H727,"#,##0"))))</f>
        <v/>
      </c>
      <c r="J727" s="18" t="n"/>
    </row>
    <row r="728">
      <c r="A728" s="19">
        <f>IF($B728="","",COUNTA($B$9:$B728))</f>
        <v/>
      </c>
      <c r="B728" s="11" t="n"/>
      <c r="C728" s="12" t="n"/>
      <c r="D728" s="12" t="n"/>
      <c r="E728" s="13" t="n"/>
      <c r="F728" s="20">
        <f>IF($E728="","",IF($C728="دستمزد گروهی",IFERROR(VLOOKUP($E728,WGTbl,2,0),"کد ناشناخته"),IFERROR(IF(VLOOKUP($E728,AcctTblE,4,0)="","(بدون نام)",VLOOKUP($E728,AcctTblE,4,0)),"کد ناشناخته")))</f>
        <v/>
      </c>
      <c r="G728" s="15" t="n"/>
      <c r="H728" s="21">
        <f>IF(OR($C728&lt;&gt;"دستمزد گروهی",$D728=""),"",SUMIFS(ShareAmt,ShareLink,$D728))</f>
        <v/>
      </c>
      <c r="I728" s="22">
        <f>IF($C728&lt;&gt;"دستمزد گروهی","—",IF($H728="","",IF(ROUND($H728-IF($G728="",0,$G728),0)=0,"√","▲ مغایرت "&amp;TEXT(IF($G728="",0,$G728)-$H728,"#,##0"))))</f>
        <v/>
      </c>
      <c r="J728" s="18" t="n"/>
    </row>
    <row r="729">
      <c r="A729" s="10">
        <f>IF($B729="","",COUNTA($B$9:$B729))</f>
        <v/>
      </c>
      <c r="B729" s="11" t="n"/>
      <c r="C729" s="12" t="n"/>
      <c r="D729" s="12" t="n"/>
      <c r="E729" s="13" t="n"/>
      <c r="F729" s="14">
        <f>IF($E729="","",IF($C729="دستمزد گروهی",IFERROR(VLOOKUP($E729,WGTbl,2,0),"کد ناشناخته"),IFERROR(IF(VLOOKUP($E729,AcctTblE,4,0)="","(بدون نام)",VLOOKUP($E729,AcctTblE,4,0)),"کد ناشناخته")))</f>
        <v/>
      </c>
      <c r="G729" s="15" t="n"/>
      <c r="H729" s="16">
        <f>IF(OR($C729&lt;&gt;"دستمزد گروهی",$D729=""),"",SUMIFS(ShareAmt,ShareLink,$D729))</f>
        <v/>
      </c>
      <c r="I729" s="17">
        <f>IF($C729&lt;&gt;"دستمزد گروهی","—",IF($H729="","",IF(ROUND($H729-IF($G729="",0,$G729),0)=0,"√","▲ مغایرت "&amp;TEXT(IF($G729="",0,$G729)-$H729,"#,##0"))))</f>
        <v/>
      </c>
      <c r="J729" s="18" t="n"/>
    </row>
    <row r="730">
      <c r="A730" s="19">
        <f>IF($B730="","",COUNTA($B$9:$B730))</f>
        <v/>
      </c>
      <c r="B730" s="11" t="n"/>
      <c r="C730" s="12" t="n"/>
      <c r="D730" s="12" t="n"/>
      <c r="E730" s="13" t="n"/>
      <c r="F730" s="20">
        <f>IF($E730="","",IF($C730="دستمزد گروهی",IFERROR(VLOOKUP($E730,WGTbl,2,0),"کد ناشناخته"),IFERROR(IF(VLOOKUP($E730,AcctTblE,4,0)="","(بدون نام)",VLOOKUP($E730,AcctTblE,4,0)),"کد ناشناخته")))</f>
        <v/>
      </c>
      <c r="G730" s="15" t="n"/>
      <c r="H730" s="21">
        <f>IF(OR($C730&lt;&gt;"دستمزد گروهی",$D730=""),"",SUMIFS(ShareAmt,ShareLink,$D730))</f>
        <v/>
      </c>
      <c r="I730" s="22">
        <f>IF($C730&lt;&gt;"دستمزد گروهی","—",IF($H730="","",IF(ROUND($H730-IF($G730="",0,$G730),0)=0,"√","▲ مغایرت "&amp;TEXT(IF($G730="",0,$G730)-$H730,"#,##0"))))</f>
        <v/>
      </c>
      <c r="J730" s="18" t="n"/>
    </row>
    <row r="731">
      <c r="A731" s="10">
        <f>IF($B731="","",COUNTA($B$9:$B731))</f>
        <v/>
      </c>
      <c r="B731" s="11" t="n"/>
      <c r="C731" s="12" t="n"/>
      <c r="D731" s="12" t="n"/>
      <c r="E731" s="13" t="n"/>
      <c r="F731" s="14">
        <f>IF($E731="","",IF($C731="دستمزد گروهی",IFERROR(VLOOKUP($E731,WGTbl,2,0),"کد ناشناخته"),IFERROR(IF(VLOOKUP($E731,AcctTblE,4,0)="","(بدون نام)",VLOOKUP($E731,AcctTblE,4,0)),"کد ناشناخته")))</f>
        <v/>
      </c>
      <c r="G731" s="15" t="n"/>
      <c r="H731" s="16">
        <f>IF(OR($C731&lt;&gt;"دستمزد گروهی",$D731=""),"",SUMIFS(ShareAmt,ShareLink,$D731))</f>
        <v/>
      </c>
      <c r="I731" s="17">
        <f>IF($C731&lt;&gt;"دستمزد گروهی","—",IF($H731="","",IF(ROUND($H731-IF($G731="",0,$G731),0)=0,"√","▲ مغایرت "&amp;TEXT(IF($G731="",0,$G731)-$H731,"#,##0"))))</f>
        <v/>
      </c>
      <c r="J731" s="18" t="n"/>
    </row>
    <row r="732">
      <c r="A732" s="19">
        <f>IF($B732="","",COUNTA($B$9:$B732))</f>
        <v/>
      </c>
      <c r="B732" s="11" t="n"/>
      <c r="C732" s="12" t="n"/>
      <c r="D732" s="12" t="n"/>
      <c r="E732" s="13" t="n"/>
      <c r="F732" s="20">
        <f>IF($E732="","",IF($C732="دستمزد گروهی",IFERROR(VLOOKUP($E732,WGTbl,2,0),"کد ناشناخته"),IFERROR(IF(VLOOKUP($E732,AcctTblE,4,0)="","(بدون نام)",VLOOKUP($E732,AcctTblE,4,0)),"کد ناشناخته")))</f>
        <v/>
      </c>
      <c r="G732" s="15" t="n"/>
      <c r="H732" s="21">
        <f>IF(OR($C732&lt;&gt;"دستمزد گروهی",$D732=""),"",SUMIFS(ShareAmt,ShareLink,$D732))</f>
        <v/>
      </c>
      <c r="I732" s="22">
        <f>IF($C732&lt;&gt;"دستمزد گروهی","—",IF($H732="","",IF(ROUND($H732-IF($G732="",0,$G732),0)=0,"√","▲ مغایرت "&amp;TEXT(IF($G732="",0,$G732)-$H732,"#,##0"))))</f>
        <v/>
      </c>
      <c r="J732" s="18" t="n"/>
    </row>
    <row r="733">
      <c r="A733" s="10">
        <f>IF($B733="","",COUNTA($B$9:$B733))</f>
        <v/>
      </c>
      <c r="B733" s="11" t="n"/>
      <c r="C733" s="12" t="n"/>
      <c r="D733" s="12" t="n"/>
      <c r="E733" s="13" t="n"/>
      <c r="F733" s="14">
        <f>IF($E733="","",IF($C733="دستمزد گروهی",IFERROR(VLOOKUP($E733,WGTbl,2,0),"کد ناشناخته"),IFERROR(IF(VLOOKUP($E733,AcctTblE,4,0)="","(بدون نام)",VLOOKUP($E733,AcctTblE,4,0)),"کد ناشناخته")))</f>
        <v/>
      </c>
      <c r="G733" s="15" t="n"/>
      <c r="H733" s="16">
        <f>IF(OR($C733&lt;&gt;"دستمزد گروهی",$D733=""),"",SUMIFS(ShareAmt,ShareLink,$D733))</f>
        <v/>
      </c>
      <c r="I733" s="17">
        <f>IF($C733&lt;&gt;"دستمزد گروهی","—",IF($H733="","",IF(ROUND($H733-IF($G733="",0,$G733),0)=0,"√","▲ مغایرت "&amp;TEXT(IF($G733="",0,$G733)-$H733,"#,##0"))))</f>
        <v/>
      </c>
      <c r="J733" s="18" t="n"/>
    </row>
    <row r="734">
      <c r="A734" s="19">
        <f>IF($B734="","",COUNTA($B$9:$B734))</f>
        <v/>
      </c>
      <c r="B734" s="11" t="n"/>
      <c r="C734" s="12" t="n"/>
      <c r="D734" s="12" t="n"/>
      <c r="E734" s="13" t="n"/>
      <c r="F734" s="20">
        <f>IF($E734="","",IF($C734="دستمزد گروهی",IFERROR(VLOOKUP($E734,WGTbl,2,0),"کد ناشناخته"),IFERROR(IF(VLOOKUP($E734,AcctTblE,4,0)="","(بدون نام)",VLOOKUP($E734,AcctTblE,4,0)),"کد ناشناخته")))</f>
        <v/>
      </c>
      <c r="G734" s="15" t="n"/>
      <c r="H734" s="21">
        <f>IF(OR($C734&lt;&gt;"دستمزد گروهی",$D734=""),"",SUMIFS(ShareAmt,ShareLink,$D734))</f>
        <v/>
      </c>
      <c r="I734" s="22">
        <f>IF($C734&lt;&gt;"دستمزد گروهی","—",IF($H734="","",IF(ROUND($H734-IF($G734="",0,$G734),0)=0,"√","▲ مغایرت "&amp;TEXT(IF($G734="",0,$G734)-$H734,"#,##0"))))</f>
        <v/>
      </c>
      <c r="J734" s="18" t="n"/>
    </row>
    <row r="735">
      <c r="A735" s="10">
        <f>IF($B735="","",COUNTA($B$9:$B735))</f>
        <v/>
      </c>
      <c r="B735" s="11" t="n"/>
      <c r="C735" s="12" t="n"/>
      <c r="D735" s="12" t="n"/>
      <c r="E735" s="13" t="n"/>
      <c r="F735" s="14">
        <f>IF($E735="","",IF($C735="دستمزد گروهی",IFERROR(VLOOKUP($E735,WGTbl,2,0),"کد ناشناخته"),IFERROR(IF(VLOOKUP($E735,AcctTblE,4,0)="","(بدون نام)",VLOOKUP($E735,AcctTblE,4,0)),"کد ناشناخته")))</f>
        <v/>
      </c>
      <c r="G735" s="15" t="n"/>
      <c r="H735" s="16">
        <f>IF(OR($C735&lt;&gt;"دستمزد گروهی",$D735=""),"",SUMIFS(ShareAmt,ShareLink,$D735))</f>
        <v/>
      </c>
      <c r="I735" s="17">
        <f>IF($C735&lt;&gt;"دستمزد گروهی","—",IF($H735="","",IF(ROUND($H735-IF($G735="",0,$G735),0)=0,"√","▲ مغایرت "&amp;TEXT(IF($G735="",0,$G735)-$H735,"#,##0"))))</f>
        <v/>
      </c>
      <c r="J735" s="18" t="n"/>
    </row>
    <row r="736">
      <c r="A736" s="19">
        <f>IF($B736="","",COUNTA($B$9:$B736))</f>
        <v/>
      </c>
      <c r="B736" s="11" t="n"/>
      <c r="C736" s="12" t="n"/>
      <c r="D736" s="12" t="n"/>
      <c r="E736" s="13" t="n"/>
      <c r="F736" s="20">
        <f>IF($E736="","",IF($C736="دستمزد گروهی",IFERROR(VLOOKUP($E736,WGTbl,2,0),"کد ناشناخته"),IFERROR(IF(VLOOKUP($E736,AcctTblE,4,0)="","(بدون نام)",VLOOKUP($E736,AcctTblE,4,0)),"کد ناشناخته")))</f>
        <v/>
      </c>
      <c r="G736" s="15" t="n"/>
      <c r="H736" s="21">
        <f>IF(OR($C736&lt;&gt;"دستمزد گروهی",$D736=""),"",SUMIFS(ShareAmt,ShareLink,$D736))</f>
        <v/>
      </c>
      <c r="I736" s="22">
        <f>IF($C736&lt;&gt;"دستمزد گروهی","—",IF($H736="","",IF(ROUND($H736-IF($G736="",0,$G736),0)=0,"√","▲ مغایرت "&amp;TEXT(IF($G736="",0,$G736)-$H736,"#,##0"))))</f>
        <v/>
      </c>
      <c r="J736" s="18" t="n"/>
    </row>
    <row r="737">
      <c r="A737" s="10">
        <f>IF($B737="","",COUNTA($B$9:$B737))</f>
        <v/>
      </c>
      <c r="B737" s="11" t="n"/>
      <c r="C737" s="12" t="n"/>
      <c r="D737" s="12" t="n"/>
      <c r="E737" s="13" t="n"/>
      <c r="F737" s="14">
        <f>IF($E737="","",IF($C737="دستمزد گروهی",IFERROR(VLOOKUP($E737,WGTbl,2,0),"کد ناشناخته"),IFERROR(IF(VLOOKUP($E737,AcctTblE,4,0)="","(بدون نام)",VLOOKUP($E737,AcctTblE,4,0)),"کد ناشناخته")))</f>
        <v/>
      </c>
      <c r="G737" s="15" t="n"/>
      <c r="H737" s="16">
        <f>IF(OR($C737&lt;&gt;"دستمزد گروهی",$D737=""),"",SUMIFS(ShareAmt,ShareLink,$D737))</f>
        <v/>
      </c>
      <c r="I737" s="17">
        <f>IF($C737&lt;&gt;"دستمزد گروهی","—",IF($H737="","",IF(ROUND($H737-IF($G737="",0,$G737),0)=0,"√","▲ مغایرت "&amp;TEXT(IF($G737="",0,$G737)-$H737,"#,##0"))))</f>
        <v/>
      </c>
      <c r="J737" s="18" t="n"/>
    </row>
    <row r="738">
      <c r="A738" s="19">
        <f>IF($B738="","",COUNTA($B$9:$B738))</f>
        <v/>
      </c>
      <c r="B738" s="11" t="n"/>
      <c r="C738" s="12" t="n"/>
      <c r="D738" s="12" t="n"/>
      <c r="E738" s="13" t="n"/>
      <c r="F738" s="20">
        <f>IF($E738="","",IF($C738="دستمزد گروهی",IFERROR(VLOOKUP($E738,WGTbl,2,0),"کد ناشناخته"),IFERROR(IF(VLOOKUP($E738,AcctTblE,4,0)="","(بدون نام)",VLOOKUP($E738,AcctTblE,4,0)),"کد ناشناخته")))</f>
        <v/>
      </c>
      <c r="G738" s="15" t="n"/>
      <c r="H738" s="21">
        <f>IF(OR($C738&lt;&gt;"دستمزد گروهی",$D738=""),"",SUMIFS(ShareAmt,ShareLink,$D738))</f>
        <v/>
      </c>
      <c r="I738" s="22">
        <f>IF($C738&lt;&gt;"دستمزد گروهی","—",IF($H738="","",IF(ROUND($H738-IF($G738="",0,$G738),0)=0,"√","▲ مغایرت "&amp;TEXT(IF($G738="",0,$G738)-$H738,"#,##0"))))</f>
        <v/>
      </c>
      <c r="J738" s="18" t="n"/>
    </row>
    <row r="739">
      <c r="A739" s="10">
        <f>IF($B739="","",COUNTA($B$9:$B739))</f>
        <v/>
      </c>
      <c r="B739" s="11" t="n"/>
      <c r="C739" s="12" t="n"/>
      <c r="D739" s="12" t="n"/>
      <c r="E739" s="13" t="n"/>
      <c r="F739" s="14">
        <f>IF($E739="","",IF($C739="دستمزد گروهی",IFERROR(VLOOKUP($E739,WGTbl,2,0),"کد ناشناخته"),IFERROR(IF(VLOOKUP($E739,AcctTblE,4,0)="","(بدون نام)",VLOOKUP($E739,AcctTblE,4,0)),"کد ناشناخته")))</f>
        <v/>
      </c>
      <c r="G739" s="15" t="n"/>
      <c r="H739" s="16">
        <f>IF(OR($C739&lt;&gt;"دستمزد گروهی",$D739=""),"",SUMIFS(ShareAmt,ShareLink,$D739))</f>
        <v/>
      </c>
      <c r="I739" s="17">
        <f>IF($C739&lt;&gt;"دستمزد گروهی","—",IF($H739="","",IF(ROUND($H739-IF($G739="",0,$G739),0)=0,"√","▲ مغایرت "&amp;TEXT(IF($G739="",0,$G739)-$H739,"#,##0"))))</f>
        <v/>
      </c>
      <c r="J739" s="18" t="n"/>
    </row>
    <row r="740">
      <c r="A740" s="19">
        <f>IF($B740="","",COUNTA($B$9:$B740))</f>
        <v/>
      </c>
      <c r="B740" s="11" t="n"/>
      <c r="C740" s="12" t="n"/>
      <c r="D740" s="12" t="n"/>
      <c r="E740" s="13" t="n"/>
      <c r="F740" s="20">
        <f>IF($E740="","",IF($C740="دستمزد گروهی",IFERROR(VLOOKUP($E740,WGTbl,2,0),"کد ناشناخته"),IFERROR(IF(VLOOKUP($E740,AcctTblE,4,0)="","(بدون نام)",VLOOKUP($E740,AcctTblE,4,0)),"کد ناشناخته")))</f>
        <v/>
      </c>
      <c r="G740" s="15" t="n"/>
      <c r="H740" s="21">
        <f>IF(OR($C740&lt;&gt;"دستمزد گروهی",$D740=""),"",SUMIFS(ShareAmt,ShareLink,$D740))</f>
        <v/>
      </c>
      <c r="I740" s="22">
        <f>IF($C740&lt;&gt;"دستمزد گروهی","—",IF($H740="","",IF(ROUND($H740-IF($G740="",0,$G740),0)=0,"√","▲ مغایرت "&amp;TEXT(IF($G740="",0,$G740)-$H740,"#,##0"))))</f>
        <v/>
      </c>
      <c r="J740" s="18" t="n"/>
    </row>
    <row r="741">
      <c r="A741" s="10">
        <f>IF($B741="","",COUNTA($B$9:$B741))</f>
        <v/>
      </c>
      <c r="B741" s="11" t="n"/>
      <c r="C741" s="12" t="n"/>
      <c r="D741" s="12" t="n"/>
      <c r="E741" s="13" t="n"/>
      <c r="F741" s="14">
        <f>IF($E741="","",IF($C741="دستمزد گروهی",IFERROR(VLOOKUP($E741,WGTbl,2,0),"کد ناشناخته"),IFERROR(IF(VLOOKUP($E741,AcctTblE,4,0)="","(بدون نام)",VLOOKUP($E741,AcctTblE,4,0)),"کد ناشناخته")))</f>
        <v/>
      </c>
      <c r="G741" s="15" t="n"/>
      <c r="H741" s="16">
        <f>IF(OR($C741&lt;&gt;"دستمزد گروهی",$D741=""),"",SUMIFS(ShareAmt,ShareLink,$D741))</f>
        <v/>
      </c>
      <c r="I741" s="17">
        <f>IF($C741&lt;&gt;"دستمزد گروهی","—",IF($H741="","",IF(ROUND($H741-IF($G741="",0,$G741),0)=0,"√","▲ مغایرت "&amp;TEXT(IF($G741="",0,$G741)-$H741,"#,##0"))))</f>
        <v/>
      </c>
      <c r="J741" s="18" t="n"/>
    </row>
    <row r="742">
      <c r="A742" s="19">
        <f>IF($B742="","",COUNTA($B$9:$B742))</f>
        <v/>
      </c>
      <c r="B742" s="11" t="n"/>
      <c r="C742" s="12" t="n"/>
      <c r="D742" s="12" t="n"/>
      <c r="E742" s="13" t="n"/>
      <c r="F742" s="20">
        <f>IF($E742="","",IF($C742="دستمزد گروهی",IFERROR(VLOOKUP($E742,WGTbl,2,0),"کد ناشناخته"),IFERROR(IF(VLOOKUP($E742,AcctTblE,4,0)="","(بدون نام)",VLOOKUP($E742,AcctTblE,4,0)),"کد ناشناخته")))</f>
        <v/>
      </c>
      <c r="G742" s="15" t="n"/>
      <c r="H742" s="21">
        <f>IF(OR($C742&lt;&gt;"دستمزد گروهی",$D742=""),"",SUMIFS(ShareAmt,ShareLink,$D742))</f>
        <v/>
      </c>
      <c r="I742" s="22">
        <f>IF($C742&lt;&gt;"دستمزد گروهی","—",IF($H742="","",IF(ROUND($H742-IF($G742="",0,$G742),0)=0,"√","▲ مغایرت "&amp;TEXT(IF($G742="",0,$G742)-$H742,"#,##0"))))</f>
        <v/>
      </c>
      <c r="J742" s="18" t="n"/>
    </row>
    <row r="743">
      <c r="A743" s="10">
        <f>IF($B743="","",COUNTA($B$9:$B743))</f>
        <v/>
      </c>
      <c r="B743" s="11" t="n"/>
      <c r="C743" s="12" t="n"/>
      <c r="D743" s="12" t="n"/>
      <c r="E743" s="13" t="n"/>
      <c r="F743" s="14">
        <f>IF($E743="","",IF($C743="دستمزد گروهی",IFERROR(VLOOKUP($E743,WGTbl,2,0),"کد ناشناخته"),IFERROR(IF(VLOOKUP($E743,AcctTblE,4,0)="","(بدون نام)",VLOOKUP($E743,AcctTblE,4,0)),"کد ناشناخته")))</f>
        <v/>
      </c>
      <c r="G743" s="15" t="n"/>
      <c r="H743" s="16">
        <f>IF(OR($C743&lt;&gt;"دستمزد گروهی",$D743=""),"",SUMIFS(ShareAmt,ShareLink,$D743))</f>
        <v/>
      </c>
      <c r="I743" s="17">
        <f>IF($C743&lt;&gt;"دستمزد گروهی","—",IF($H743="","",IF(ROUND($H743-IF($G743="",0,$G743),0)=0,"√","▲ مغایرت "&amp;TEXT(IF($G743="",0,$G743)-$H743,"#,##0"))))</f>
        <v/>
      </c>
      <c r="J743" s="18" t="n"/>
    </row>
    <row r="744">
      <c r="A744" s="19">
        <f>IF($B744="","",COUNTA($B$9:$B744))</f>
        <v/>
      </c>
      <c r="B744" s="11" t="n"/>
      <c r="C744" s="12" t="n"/>
      <c r="D744" s="12" t="n"/>
      <c r="E744" s="13" t="n"/>
      <c r="F744" s="20">
        <f>IF($E744="","",IF($C744="دستمزد گروهی",IFERROR(VLOOKUP($E744,WGTbl,2,0),"کد ناشناخته"),IFERROR(IF(VLOOKUP($E744,AcctTblE,4,0)="","(بدون نام)",VLOOKUP($E744,AcctTblE,4,0)),"کد ناشناخته")))</f>
        <v/>
      </c>
      <c r="G744" s="15" t="n"/>
      <c r="H744" s="21">
        <f>IF(OR($C744&lt;&gt;"دستمزد گروهی",$D744=""),"",SUMIFS(ShareAmt,ShareLink,$D744))</f>
        <v/>
      </c>
      <c r="I744" s="22">
        <f>IF($C744&lt;&gt;"دستمزد گروهی","—",IF($H744="","",IF(ROUND($H744-IF($G744="",0,$G744),0)=0,"√","▲ مغایرت "&amp;TEXT(IF($G744="",0,$G744)-$H744,"#,##0"))))</f>
        <v/>
      </c>
      <c r="J744" s="18" t="n"/>
    </row>
    <row r="745">
      <c r="A745" s="10">
        <f>IF($B745="","",COUNTA($B$9:$B745))</f>
        <v/>
      </c>
      <c r="B745" s="11" t="n"/>
      <c r="C745" s="12" t="n"/>
      <c r="D745" s="12" t="n"/>
      <c r="E745" s="13" t="n"/>
      <c r="F745" s="14">
        <f>IF($E745="","",IF($C745="دستمزد گروهی",IFERROR(VLOOKUP($E745,WGTbl,2,0),"کد ناشناخته"),IFERROR(IF(VLOOKUP($E745,AcctTblE,4,0)="","(بدون نام)",VLOOKUP($E745,AcctTblE,4,0)),"کد ناشناخته")))</f>
        <v/>
      </c>
      <c r="G745" s="15" t="n"/>
      <c r="H745" s="16">
        <f>IF(OR($C745&lt;&gt;"دستمزد گروهی",$D745=""),"",SUMIFS(ShareAmt,ShareLink,$D745))</f>
        <v/>
      </c>
      <c r="I745" s="17">
        <f>IF($C745&lt;&gt;"دستمزد گروهی","—",IF($H745="","",IF(ROUND($H745-IF($G745="",0,$G745),0)=0,"√","▲ مغایرت "&amp;TEXT(IF($G745="",0,$G745)-$H745,"#,##0"))))</f>
        <v/>
      </c>
      <c r="J745" s="18" t="n"/>
    </row>
    <row r="746">
      <c r="A746" s="19">
        <f>IF($B746="","",COUNTA($B$9:$B746))</f>
        <v/>
      </c>
      <c r="B746" s="11" t="n"/>
      <c r="C746" s="12" t="n"/>
      <c r="D746" s="12" t="n"/>
      <c r="E746" s="13" t="n"/>
      <c r="F746" s="20">
        <f>IF($E746="","",IF($C746="دستمزد گروهی",IFERROR(VLOOKUP($E746,WGTbl,2,0),"کد ناشناخته"),IFERROR(IF(VLOOKUP($E746,AcctTblE,4,0)="","(بدون نام)",VLOOKUP($E746,AcctTblE,4,0)),"کد ناشناخته")))</f>
        <v/>
      </c>
      <c r="G746" s="15" t="n"/>
      <c r="H746" s="21">
        <f>IF(OR($C746&lt;&gt;"دستمزد گروهی",$D746=""),"",SUMIFS(ShareAmt,ShareLink,$D746))</f>
        <v/>
      </c>
      <c r="I746" s="22">
        <f>IF($C746&lt;&gt;"دستمزد گروهی","—",IF($H746="","",IF(ROUND($H746-IF($G746="",0,$G746),0)=0,"√","▲ مغایرت "&amp;TEXT(IF($G746="",0,$G746)-$H746,"#,##0"))))</f>
        <v/>
      </c>
      <c r="J746" s="18" t="n"/>
    </row>
    <row r="747">
      <c r="A747" s="10">
        <f>IF($B747="","",COUNTA($B$9:$B747))</f>
        <v/>
      </c>
      <c r="B747" s="11" t="n"/>
      <c r="C747" s="12" t="n"/>
      <c r="D747" s="12" t="n"/>
      <c r="E747" s="13" t="n"/>
      <c r="F747" s="14">
        <f>IF($E747="","",IF($C747="دستمزد گروهی",IFERROR(VLOOKUP($E747,WGTbl,2,0),"کد ناشناخته"),IFERROR(IF(VLOOKUP($E747,AcctTblE,4,0)="","(بدون نام)",VLOOKUP($E747,AcctTblE,4,0)),"کد ناشناخته")))</f>
        <v/>
      </c>
      <c r="G747" s="15" t="n"/>
      <c r="H747" s="16">
        <f>IF(OR($C747&lt;&gt;"دستمزد گروهی",$D747=""),"",SUMIFS(ShareAmt,ShareLink,$D747))</f>
        <v/>
      </c>
      <c r="I747" s="17">
        <f>IF($C747&lt;&gt;"دستمزد گروهی","—",IF($H747="","",IF(ROUND($H747-IF($G747="",0,$G747),0)=0,"√","▲ مغایرت "&amp;TEXT(IF($G747="",0,$G747)-$H747,"#,##0"))))</f>
        <v/>
      </c>
      <c r="J747" s="18" t="n"/>
    </row>
    <row r="748">
      <c r="A748" s="19">
        <f>IF($B748="","",COUNTA($B$9:$B748))</f>
        <v/>
      </c>
      <c r="B748" s="11" t="n"/>
      <c r="C748" s="12" t="n"/>
      <c r="D748" s="12" t="n"/>
      <c r="E748" s="13" t="n"/>
      <c r="F748" s="20">
        <f>IF($E748="","",IF($C748="دستمزد گروهی",IFERROR(VLOOKUP($E748,WGTbl,2,0),"کد ناشناخته"),IFERROR(IF(VLOOKUP($E748,AcctTblE,4,0)="","(بدون نام)",VLOOKUP($E748,AcctTblE,4,0)),"کد ناشناخته")))</f>
        <v/>
      </c>
      <c r="G748" s="15" t="n"/>
      <c r="H748" s="21">
        <f>IF(OR($C748&lt;&gt;"دستمزد گروهی",$D748=""),"",SUMIFS(ShareAmt,ShareLink,$D748))</f>
        <v/>
      </c>
      <c r="I748" s="22">
        <f>IF($C748&lt;&gt;"دستمزد گروهی","—",IF($H748="","",IF(ROUND($H748-IF($G748="",0,$G748),0)=0,"√","▲ مغایرت "&amp;TEXT(IF($G748="",0,$G748)-$H748,"#,##0"))))</f>
        <v/>
      </c>
      <c r="J748" s="18" t="n"/>
    </row>
    <row r="749">
      <c r="A749" s="10">
        <f>IF($B749="","",COUNTA($B$9:$B749))</f>
        <v/>
      </c>
      <c r="B749" s="11" t="n"/>
      <c r="C749" s="12" t="n"/>
      <c r="D749" s="12" t="n"/>
      <c r="E749" s="13" t="n"/>
      <c r="F749" s="14">
        <f>IF($E749="","",IF($C749="دستمزد گروهی",IFERROR(VLOOKUP($E749,WGTbl,2,0),"کد ناشناخته"),IFERROR(IF(VLOOKUP($E749,AcctTblE,4,0)="","(بدون نام)",VLOOKUP($E749,AcctTblE,4,0)),"کد ناشناخته")))</f>
        <v/>
      </c>
      <c r="G749" s="15" t="n"/>
      <c r="H749" s="16">
        <f>IF(OR($C749&lt;&gt;"دستمزد گروهی",$D749=""),"",SUMIFS(ShareAmt,ShareLink,$D749))</f>
        <v/>
      </c>
      <c r="I749" s="17">
        <f>IF($C749&lt;&gt;"دستمزد گروهی","—",IF($H749="","",IF(ROUND($H749-IF($G749="",0,$G749),0)=0,"√","▲ مغایرت "&amp;TEXT(IF($G749="",0,$G749)-$H749,"#,##0"))))</f>
        <v/>
      </c>
      <c r="J749" s="18" t="n"/>
    </row>
    <row r="750">
      <c r="A750" s="19">
        <f>IF($B750="","",COUNTA($B$9:$B750))</f>
        <v/>
      </c>
      <c r="B750" s="11" t="n"/>
      <c r="C750" s="12" t="n"/>
      <c r="D750" s="12" t="n"/>
      <c r="E750" s="13" t="n"/>
      <c r="F750" s="20">
        <f>IF($E750="","",IF($C750="دستمزد گروهی",IFERROR(VLOOKUP($E750,WGTbl,2,0),"کد ناشناخته"),IFERROR(IF(VLOOKUP($E750,AcctTblE,4,0)="","(بدون نام)",VLOOKUP($E750,AcctTblE,4,0)),"کد ناشناخته")))</f>
        <v/>
      </c>
      <c r="G750" s="15" t="n"/>
      <c r="H750" s="21">
        <f>IF(OR($C750&lt;&gt;"دستمزد گروهی",$D750=""),"",SUMIFS(ShareAmt,ShareLink,$D750))</f>
        <v/>
      </c>
      <c r="I750" s="22">
        <f>IF($C750&lt;&gt;"دستمزد گروهی","—",IF($H750="","",IF(ROUND($H750-IF($G750="",0,$G750),0)=0,"√","▲ مغایرت "&amp;TEXT(IF($G750="",0,$G750)-$H750,"#,##0"))))</f>
        <v/>
      </c>
      <c r="J750" s="18" t="n"/>
    </row>
    <row r="751">
      <c r="A751" s="10">
        <f>IF($B751="","",COUNTA($B$9:$B751))</f>
        <v/>
      </c>
      <c r="B751" s="11" t="n"/>
      <c r="C751" s="12" t="n"/>
      <c r="D751" s="12" t="n"/>
      <c r="E751" s="13" t="n"/>
      <c r="F751" s="14">
        <f>IF($E751="","",IF($C751="دستمزد گروهی",IFERROR(VLOOKUP($E751,WGTbl,2,0),"کد ناشناخته"),IFERROR(IF(VLOOKUP($E751,AcctTblE,4,0)="","(بدون نام)",VLOOKUP($E751,AcctTblE,4,0)),"کد ناشناخته")))</f>
        <v/>
      </c>
      <c r="G751" s="15" t="n"/>
      <c r="H751" s="16">
        <f>IF(OR($C751&lt;&gt;"دستمزد گروهی",$D751=""),"",SUMIFS(ShareAmt,ShareLink,$D751))</f>
        <v/>
      </c>
      <c r="I751" s="17">
        <f>IF($C751&lt;&gt;"دستمزد گروهی","—",IF($H751="","",IF(ROUND($H751-IF($G751="",0,$G751),0)=0,"√","▲ مغایرت "&amp;TEXT(IF($G751="",0,$G751)-$H751,"#,##0"))))</f>
        <v/>
      </c>
      <c r="J751" s="18" t="n"/>
    </row>
    <row r="752">
      <c r="A752" s="19">
        <f>IF($B752="","",COUNTA($B$9:$B752))</f>
        <v/>
      </c>
      <c r="B752" s="11" t="n"/>
      <c r="C752" s="12" t="n"/>
      <c r="D752" s="12" t="n"/>
      <c r="E752" s="13" t="n"/>
      <c r="F752" s="20">
        <f>IF($E752="","",IF($C752="دستمزد گروهی",IFERROR(VLOOKUP($E752,WGTbl,2,0),"کد ناشناخته"),IFERROR(IF(VLOOKUP($E752,AcctTblE,4,0)="","(بدون نام)",VLOOKUP($E752,AcctTblE,4,0)),"کد ناشناخته")))</f>
        <v/>
      </c>
      <c r="G752" s="15" t="n"/>
      <c r="H752" s="21">
        <f>IF(OR($C752&lt;&gt;"دستمزد گروهی",$D752=""),"",SUMIFS(ShareAmt,ShareLink,$D752))</f>
        <v/>
      </c>
      <c r="I752" s="22">
        <f>IF($C752&lt;&gt;"دستمزد گروهی","—",IF($H752="","",IF(ROUND($H752-IF($G752="",0,$G752),0)=0,"√","▲ مغایرت "&amp;TEXT(IF($G752="",0,$G752)-$H752,"#,##0"))))</f>
        <v/>
      </c>
      <c r="J752" s="18" t="n"/>
    </row>
    <row r="753">
      <c r="A753" s="10">
        <f>IF($B753="","",COUNTA($B$9:$B753))</f>
        <v/>
      </c>
      <c r="B753" s="11" t="n"/>
      <c r="C753" s="12" t="n"/>
      <c r="D753" s="12" t="n"/>
      <c r="E753" s="13" t="n"/>
      <c r="F753" s="14">
        <f>IF($E753="","",IF($C753="دستمزد گروهی",IFERROR(VLOOKUP($E753,WGTbl,2,0),"کد ناشناخته"),IFERROR(IF(VLOOKUP($E753,AcctTblE,4,0)="","(بدون نام)",VLOOKUP($E753,AcctTblE,4,0)),"کد ناشناخته")))</f>
        <v/>
      </c>
      <c r="G753" s="15" t="n"/>
      <c r="H753" s="16">
        <f>IF(OR($C753&lt;&gt;"دستمزد گروهی",$D753=""),"",SUMIFS(ShareAmt,ShareLink,$D753))</f>
        <v/>
      </c>
      <c r="I753" s="17">
        <f>IF($C753&lt;&gt;"دستمزد گروهی","—",IF($H753="","",IF(ROUND($H753-IF($G753="",0,$G753),0)=0,"√","▲ مغایرت "&amp;TEXT(IF($G753="",0,$G753)-$H753,"#,##0"))))</f>
        <v/>
      </c>
      <c r="J753" s="18" t="n"/>
    </row>
    <row r="754">
      <c r="A754" s="19">
        <f>IF($B754="","",COUNTA($B$9:$B754))</f>
        <v/>
      </c>
      <c r="B754" s="11" t="n"/>
      <c r="C754" s="12" t="n"/>
      <c r="D754" s="12" t="n"/>
      <c r="E754" s="13" t="n"/>
      <c r="F754" s="20">
        <f>IF($E754="","",IF($C754="دستمزد گروهی",IFERROR(VLOOKUP($E754,WGTbl,2,0),"کد ناشناخته"),IFERROR(IF(VLOOKUP($E754,AcctTblE,4,0)="","(بدون نام)",VLOOKUP($E754,AcctTblE,4,0)),"کد ناشناخته")))</f>
        <v/>
      </c>
      <c r="G754" s="15" t="n"/>
      <c r="H754" s="21">
        <f>IF(OR($C754&lt;&gt;"دستمزد گروهی",$D754=""),"",SUMIFS(ShareAmt,ShareLink,$D754))</f>
        <v/>
      </c>
      <c r="I754" s="22">
        <f>IF($C754&lt;&gt;"دستمزد گروهی","—",IF($H754="","",IF(ROUND($H754-IF($G754="",0,$G754),0)=0,"√","▲ مغایرت "&amp;TEXT(IF($G754="",0,$G754)-$H754,"#,##0"))))</f>
        <v/>
      </c>
      <c r="J754" s="18" t="n"/>
    </row>
    <row r="755">
      <c r="A755" s="10">
        <f>IF($B755="","",COUNTA($B$9:$B755))</f>
        <v/>
      </c>
      <c r="B755" s="11" t="n"/>
      <c r="C755" s="12" t="n"/>
      <c r="D755" s="12" t="n"/>
      <c r="E755" s="13" t="n"/>
      <c r="F755" s="14">
        <f>IF($E755="","",IF($C755="دستمزد گروهی",IFERROR(VLOOKUP($E755,WGTbl,2,0),"کد ناشناخته"),IFERROR(IF(VLOOKUP($E755,AcctTblE,4,0)="","(بدون نام)",VLOOKUP($E755,AcctTblE,4,0)),"کد ناشناخته")))</f>
        <v/>
      </c>
      <c r="G755" s="15" t="n"/>
      <c r="H755" s="16">
        <f>IF(OR($C755&lt;&gt;"دستمزد گروهی",$D755=""),"",SUMIFS(ShareAmt,ShareLink,$D755))</f>
        <v/>
      </c>
      <c r="I755" s="17">
        <f>IF($C755&lt;&gt;"دستمزد گروهی","—",IF($H755="","",IF(ROUND($H755-IF($G755="",0,$G755),0)=0,"√","▲ مغایرت "&amp;TEXT(IF($G755="",0,$G755)-$H755,"#,##0"))))</f>
        <v/>
      </c>
      <c r="J755" s="18" t="n"/>
    </row>
    <row r="756">
      <c r="A756" s="19">
        <f>IF($B756="","",COUNTA($B$9:$B756))</f>
        <v/>
      </c>
      <c r="B756" s="11" t="n"/>
      <c r="C756" s="12" t="n"/>
      <c r="D756" s="12" t="n"/>
      <c r="E756" s="13" t="n"/>
      <c r="F756" s="20">
        <f>IF($E756="","",IF($C756="دستمزد گروهی",IFERROR(VLOOKUP($E756,WGTbl,2,0),"کد ناشناخته"),IFERROR(IF(VLOOKUP($E756,AcctTblE,4,0)="","(بدون نام)",VLOOKUP($E756,AcctTblE,4,0)),"کد ناشناخته")))</f>
        <v/>
      </c>
      <c r="G756" s="15" t="n"/>
      <c r="H756" s="21">
        <f>IF(OR($C756&lt;&gt;"دستمزد گروهی",$D756=""),"",SUMIFS(ShareAmt,ShareLink,$D756))</f>
        <v/>
      </c>
      <c r="I756" s="22">
        <f>IF($C756&lt;&gt;"دستمزد گروهی","—",IF($H756="","",IF(ROUND($H756-IF($G756="",0,$G756),0)=0,"√","▲ مغایرت "&amp;TEXT(IF($G756="",0,$G756)-$H756,"#,##0"))))</f>
        <v/>
      </c>
      <c r="J756" s="18" t="n"/>
    </row>
    <row r="757">
      <c r="A757" s="10">
        <f>IF($B757="","",COUNTA($B$9:$B757))</f>
        <v/>
      </c>
      <c r="B757" s="11" t="n"/>
      <c r="C757" s="12" t="n"/>
      <c r="D757" s="12" t="n"/>
      <c r="E757" s="13" t="n"/>
      <c r="F757" s="14">
        <f>IF($E757="","",IF($C757="دستمزد گروهی",IFERROR(VLOOKUP($E757,WGTbl,2,0),"کد ناشناخته"),IFERROR(IF(VLOOKUP($E757,AcctTblE,4,0)="","(بدون نام)",VLOOKUP($E757,AcctTblE,4,0)),"کد ناشناخته")))</f>
        <v/>
      </c>
      <c r="G757" s="15" t="n"/>
      <c r="H757" s="16">
        <f>IF(OR($C757&lt;&gt;"دستمزد گروهی",$D757=""),"",SUMIFS(ShareAmt,ShareLink,$D757))</f>
        <v/>
      </c>
      <c r="I757" s="17">
        <f>IF($C757&lt;&gt;"دستمزد گروهی","—",IF($H757="","",IF(ROUND($H757-IF($G757="",0,$G757),0)=0,"√","▲ مغایرت "&amp;TEXT(IF($G757="",0,$G757)-$H757,"#,##0"))))</f>
        <v/>
      </c>
      <c r="J757" s="18" t="n"/>
    </row>
    <row r="758">
      <c r="A758" s="19">
        <f>IF($B758="","",COUNTA($B$9:$B758))</f>
        <v/>
      </c>
      <c r="B758" s="11" t="n"/>
      <c r="C758" s="12" t="n"/>
      <c r="D758" s="12" t="n"/>
      <c r="E758" s="13" t="n"/>
      <c r="F758" s="20">
        <f>IF($E758="","",IF($C758="دستمزد گروهی",IFERROR(VLOOKUP($E758,WGTbl,2,0),"کد ناشناخته"),IFERROR(IF(VLOOKUP($E758,AcctTblE,4,0)="","(بدون نام)",VLOOKUP($E758,AcctTblE,4,0)),"کد ناشناخته")))</f>
        <v/>
      </c>
      <c r="G758" s="15" t="n"/>
      <c r="H758" s="21">
        <f>IF(OR($C758&lt;&gt;"دستمزد گروهی",$D758=""),"",SUMIFS(ShareAmt,ShareLink,$D758))</f>
        <v/>
      </c>
      <c r="I758" s="22">
        <f>IF($C758&lt;&gt;"دستمزد گروهی","—",IF($H758="","",IF(ROUND($H758-IF($G758="",0,$G758),0)=0,"√","▲ مغایرت "&amp;TEXT(IF($G758="",0,$G758)-$H758,"#,##0"))))</f>
        <v/>
      </c>
      <c r="J758" s="18" t="n"/>
    </row>
    <row r="759">
      <c r="A759" s="10">
        <f>IF($B759="","",COUNTA($B$9:$B759))</f>
        <v/>
      </c>
      <c r="B759" s="11" t="n"/>
      <c r="C759" s="12" t="n"/>
      <c r="D759" s="12" t="n"/>
      <c r="E759" s="13" t="n"/>
      <c r="F759" s="14">
        <f>IF($E759="","",IF($C759="دستمزد گروهی",IFERROR(VLOOKUP($E759,WGTbl,2,0),"کد ناشناخته"),IFERROR(IF(VLOOKUP($E759,AcctTblE,4,0)="","(بدون نام)",VLOOKUP($E759,AcctTblE,4,0)),"کد ناشناخته")))</f>
        <v/>
      </c>
      <c r="G759" s="15" t="n"/>
      <c r="H759" s="16">
        <f>IF(OR($C759&lt;&gt;"دستمزد گروهی",$D759=""),"",SUMIFS(ShareAmt,ShareLink,$D759))</f>
        <v/>
      </c>
      <c r="I759" s="17">
        <f>IF($C759&lt;&gt;"دستمزد گروهی","—",IF($H759="","",IF(ROUND($H759-IF($G759="",0,$G759),0)=0,"√","▲ مغایرت "&amp;TEXT(IF($G759="",0,$G759)-$H759,"#,##0"))))</f>
        <v/>
      </c>
      <c r="J759" s="18" t="n"/>
    </row>
    <row r="760">
      <c r="A760" s="19">
        <f>IF($B760="","",COUNTA($B$9:$B760))</f>
        <v/>
      </c>
      <c r="B760" s="11" t="n"/>
      <c r="C760" s="12" t="n"/>
      <c r="D760" s="12" t="n"/>
      <c r="E760" s="13" t="n"/>
      <c r="F760" s="20">
        <f>IF($E760="","",IF($C760="دستمزد گروهی",IFERROR(VLOOKUP($E760,WGTbl,2,0),"کد ناشناخته"),IFERROR(IF(VLOOKUP($E760,AcctTblE,4,0)="","(بدون نام)",VLOOKUP($E760,AcctTblE,4,0)),"کد ناشناخته")))</f>
        <v/>
      </c>
      <c r="G760" s="15" t="n"/>
      <c r="H760" s="21">
        <f>IF(OR($C760&lt;&gt;"دستمزد گروهی",$D760=""),"",SUMIFS(ShareAmt,ShareLink,$D760))</f>
        <v/>
      </c>
      <c r="I760" s="22">
        <f>IF($C760&lt;&gt;"دستمزد گروهی","—",IF($H760="","",IF(ROUND($H760-IF($G760="",0,$G760),0)=0,"√","▲ مغایرت "&amp;TEXT(IF($G760="",0,$G760)-$H760,"#,##0"))))</f>
        <v/>
      </c>
      <c r="J760" s="18" t="n"/>
    </row>
    <row r="761">
      <c r="A761" s="10">
        <f>IF($B761="","",COUNTA($B$9:$B761))</f>
        <v/>
      </c>
      <c r="B761" s="11" t="n"/>
      <c r="C761" s="12" t="n"/>
      <c r="D761" s="12" t="n"/>
      <c r="E761" s="13" t="n"/>
      <c r="F761" s="14">
        <f>IF($E761="","",IF($C761="دستمزد گروهی",IFERROR(VLOOKUP($E761,WGTbl,2,0),"کد ناشناخته"),IFERROR(IF(VLOOKUP($E761,AcctTblE,4,0)="","(بدون نام)",VLOOKUP($E761,AcctTblE,4,0)),"کد ناشناخته")))</f>
        <v/>
      </c>
      <c r="G761" s="15" t="n"/>
      <c r="H761" s="16">
        <f>IF(OR($C761&lt;&gt;"دستمزد گروهی",$D761=""),"",SUMIFS(ShareAmt,ShareLink,$D761))</f>
        <v/>
      </c>
      <c r="I761" s="17">
        <f>IF($C761&lt;&gt;"دستمزد گروهی","—",IF($H761="","",IF(ROUND($H761-IF($G761="",0,$G761),0)=0,"√","▲ مغایرت "&amp;TEXT(IF($G761="",0,$G761)-$H761,"#,##0"))))</f>
        <v/>
      </c>
      <c r="J761" s="18" t="n"/>
    </row>
    <row r="762">
      <c r="A762" s="19">
        <f>IF($B762="","",COUNTA($B$9:$B762))</f>
        <v/>
      </c>
      <c r="B762" s="11" t="n"/>
      <c r="C762" s="12" t="n"/>
      <c r="D762" s="12" t="n"/>
      <c r="E762" s="13" t="n"/>
      <c r="F762" s="20">
        <f>IF($E762="","",IF($C762="دستمزد گروهی",IFERROR(VLOOKUP($E762,WGTbl,2,0),"کد ناشناخته"),IFERROR(IF(VLOOKUP($E762,AcctTblE,4,0)="","(بدون نام)",VLOOKUP($E762,AcctTblE,4,0)),"کد ناشناخته")))</f>
        <v/>
      </c>
      <c r="G762" s="15" t="n"/>
      <c r="H762" s="21">
        <f>IF(OR($C762&lt;&gt;"دستمزد گروهی",$D762=""),"",SUMIFS(ShareAmt,ShareLink,$D762))</f>
        <v/>
      </c>
      <c r="I762" s="22">
        <f>IF($C762&lt;&gt;"دستمزد گروهی","—",IF($H762="","",IF(ROUND($H762-IF($G762="",0,$G762),0)=0,"√","▲ مغایرت "&amp;TEXT(IF($G762="",0,$G762)-$H762,"#,##0"))))</f>
        <v/>
      </c>
      <c r="J762" s="18" t="n"/>
    </row>
    <row r="763">
      <c r="A763" s="10">
        <f>IF($B763="","",COUNTA($B$9:$B763))</f>
        <v/>
      </c>
      <c r="B763" s="11" t="n"/>
      <c r="C763" s="12" t="n"/>
      <c r="D763" s="12" t="n"/>
      <c r="E763" s="13" t="n"/>
      <c r="F763" s="14">
        <f>IF($E763="","",IF($C763="دستمزد گروهی",IFERROR(VLOOKUP($E763,WGTbl,2,0),"کد ناشناخته"),IFERROR(IF(VLOOKUP($E763,AcctTblE,4,0)="","(بدون نام)",VLOOKUP($E763,AcctTblE,4,0)),"کد ناشناخته")))</f>
        <v/>
      </c>
      <c r="G763" s="15" t="n"/>
      <c r="H763" s="16">
        <f>IF(OR($C763&lt;&gt;"دستمزد گروهی",$D763=""),"",SUMIFS(ShareAmt,ShareLink,$D763))</f>
        <v/>
      </c>
      <c r="I763" s="17">
        <f>IF($C763&lt;&gt;"دستمزد گروهی","—",IF($H763="","",IF(ROUND($H763-IF($G763="",0,$G763),0)=0,"√","▲ مغایرت "&amp;TEXT(IF($G763="",0,$G763)-$H763,"#,##0"))))</f>
        <v/>
      </c>
      <c r="J763" s="18" t="n"/>
    </row>
    <row r="764">
      <c r="A764" s="19">
        <f>IF($B764="","",COUNTA($B$9:$B764))</f>
        <v/>
      </c>
      <c r="B764" s="11" t="n"/>
      <c r="C764" s="12" t="n"/>
      <c r="D764" s="12" t="n"/>
      <c r="E764" s="13" t="n"/>
      <c r="F764" s="20">
        <f>IF($E764="","",IF($C764="دستمزد گروهی",IFERROR(VLOOKUP($E764,WGTbl,2,0),"کد ناشناخته"),IFERROR(IF(VLOOKUP($E764,AcctTblE,4,0)="","(بدون نام)",VLOOKUP($E764,AcctTblE,4,0)),"کد ناشناخته")))</f>
        <v/>
      </c>
      <c r="G764" s="15" t="n"/>
      <c r="H764" s="21">
        <f>IF(OR($C764&lt;&gt;"دستمزد گروهی",$D764=""),"",SUMIFS(ShareAmt,ShareLink,$D764))</f>
        <v/>
      </c>
      <c r="I764" s="22">
        <f>IF($C764&lt;&gt;"دستمزد گروهی","—",IF($H764="","",IF(ROUND($H764-IF($G764="",0,$G764),0)=0,"√","▲ مغایرت "&amp;TEXT(IF($G764="",0,$G764)-$H764,"#,##0"))))</f>
        <v/>
      </c>
      <c r="J764" s="18" t="n"/>
    </row>
    <row r="765">
      <c r="A765" s="10">
        <f>IF($B765="","",COUNTA($B$9:$B765))</f>
        <v/>
      </c>
      <c r="B765" s="11" t="n"/>
      <c r="C765" s="12" t="n"/>
      <c r="D765" s="12" t="n"/>
      <c r="E765" s="13" t="n"/>
      <c r="F765" s="14">
        <f>IF($E765="","",IF($C765="دستمزد گروهی",IFERROR(VLOOKUP($E765,WGTbl,2,0),"کد ناشناخته"),IFERROR(IF(VLOOKUP($E765,AcctTblE,4,0)="","(بدون نام)",VLOOKUP($E765,AcctTblE,4,0)),"کد ناشناخته")))</f>
        <v/>
      </c>
      <c r="G765" s="15" t="n"/>
      <c r="H765" s="16">
        <f>IF(OR($C765&lt;&gt;"دستمزد گروهی",$D765=""),"",SUMIFS(ShareAmt,ShareLink,$D765))</f>
        <v/>
      </c>
      <c r="I765" s="17">
        <f>IF($C765&lt;&gt;"دستمزد گروهی","—",IF($H765="","",IF(ROUND($H765-IF($G765="",0,$G765),0)=0,"√","▲ مغایرت "&amp;TEXT(IF($G765="",0,$G765)-$H765,"#,##0"))))</f>
        <v/>
      </c>
      <c r="J765" s="18" t="n"/>
    </row>
    <row r="766">
      <c r="A766" s="19">
        <f>IF($B766="","",COUNTA($B$9:$B766))</f>
        <v/>
      </c>
      <c r="B766" s="11" t="n"/>
      <c r="C766" s="12" t="n"/>
      <c r="D766" s="12" t="n"/>
      <c r="E766" s="13" t="n"/>
      <c r="F766" s="20">
        <f>IF($E766="","",IF($C766="دستمزد گروهی",IFERROR(VLOOKUP($E766,WGTbl,2,0),"کد ناشناخته"),IFERROR(IF(VLOOKUP($E766,AcctTblE,4,0)="","(بدون نام)",VLOOKUP($E766,AcctTblE,4,0)),"کد ناشناخته")))</f>
        <v/>
      </c>
      <c r="G766" s="15" t="n"/>
      <c r="H766" s="21">
        <f>IF(OR($C766&lt;&gt;"دستمزد گروهی",$D766=""),"",SUMIFS(ShareAmt,ShareLink,$D766))</f>
        <v/>
      </c>
      <c r="I766" s="22">
        <f>IF($C766&lt;&gt;"دستمزد گروهی","—",IF($H766="","",IF(ROUND($H766-IF($G766="",0,$G766),0)=0,"√","▲ مغایرت "&amp;TEXT(IF($G766="",0,$G766)-$H766,"#,##0"))))</f>
        <v/>
      </c>
      <c r="J766" s="18" t="n"/>
    </row>
    <row r="767">
      <c r="A767" s="10">
        <f>IF($B767="","",COUNTA($B$9:$B767))</f>
        <v/>
      </c>
      <c r="B767" s="11" t="n"/>
      <c r="C767" s="12" t="n"/>
      <c r="D767" s="12" t="n"/>
      <c r="E767" s="13" t="n"/>
      <c r="F767" s="14">
        <f>IF($E767="","",IF($C767="دستمزد گروهی",IFERROR(VLOOKUP($E767,WGTbl,2,0),"کد ناشناخته"),IFERROR(IF(VLOOKUP($E767,AcctTblE,4,0)="","(بدون نام)",VLOOKUP($E767,AcctTblE,4,0)),"کد ناشناخته")))</f>
        <v/>
      </c>
      <c r="G767" s="15" t="n"/>
      <c r="H767" s="16">
        <f>IF(OR($C767&lt;&gt;"دستمزد گروهی",$D767=""),"",SUMIFS(ShareAmt,ShareLink,$D767))</f>
        <v/>
      </c>
      <c r="I767" s="17">
        <f>IF($C767&lt;&gt;"دستمزد گروهی","—",IF($H767="","",IF(ROUND($H767-IF($G767="",0,$G767),0)=0,"√","▲ مغایرت "&amp;TEXT(IF($G767="",0,$G767)-$H767,"#,##0"))))</f>
        <v/>
      </c>
      <c r="J767" s="18" t="n"/>
    </row>
    <row r="768">
      <c r="A768" s="19">
        <f>IF($B768="","",COUNTA($B$9:$B768))</f>
        <v/>
      </c>
      <c r="B768" s="11" t="n"/>
      <c r="C768" s="12" t="n"/>
      <c r="D768" s="12" t="n"/>
      <c r="E768" s="13" t="n"/>
      <c r="F768" s="20">
        <f>IF($E768="","",IF($C768="دستمزد گروهی",IFERROR(VLOOKUP($E768,WGTbl,2,0),"کد ناشناخته"),IFERROR(IF(VLOOKUP($E768,AcctTblE,4,0)="","(بدون نام)",VLOOKUP($E768,AcctTblE,4,0)),"کد ناشناخته")))</f>
        <v/>
      </c>
      <c r="G768" s="15" t="n"/>
      <c r="H768" s="21">
        <f>IF(OR($C768&lt;&gt;"دستمزد گروهی",$D768=""),"",SUMIFS(ShareAmt,ShareLink,$D768))</f>
        <v/>
      </c>
      <c r="I768" s="22">
        <f>IF($C768&lt;&gt;"دستمزد گروهی","—",IF($H768="","",IF(ROUND($H768-IF($G768="",0,$G768),0)=0,"√","▲ مغایرت "&amp;TEXT(IF($G768="",0,$G768)-$H768,"#,##0"))))</f>
        <v/>
      </c>
      <c r="J768" s="18" t="n"/>
    </row>
    <row r="769">
      <c r="A769" s="10">
        <f>IF($B769="","",COUNTA($B$9:$B769))</f>
        <v/>
      </c>
      <c r="B769" s="11" t="n"/>
      <c r="C769" s="12" t="n"/>
      <c r="D769" s="12" t="n"/>
      <c r="E769" s="13" t="n"/>
      <c r="F769" s="14">
        <f>IF($E769="","",IF($C769="دستمزد گروهی",IFERROR(VLOOKUP($E769,WGTbl,2,0),"کد ناشناخته"),IFERROR(IF(VLOOKUP($E769,AcctTblE,4,0)="","(بدون نام)",VLOOKUP($E769,AcctTblE,4,0)),"کد ناشناخته")))</f>
        <v/>
      </c>
      <c r="G769" s="15" t="n"/>
      <c r="H769" s="16">
        <f>IF(OR($C769&lt;&gt;"دستمزد گروهی",$D769=""),"",SUMIFS(ShareAmt,ShareLink,$D769))</f>
        <v/>
      </c>
      <c r="I769" s="17">
        <f>IF($C769&lt;&gt;"دستمزد گروهی","—",IF($H769="","",IF(ROUND($H769-IF($G769="",0,$G769),0)=0,"√","▲ مغایرت "&amp;TEXT(IF($G769="",0,$G769)-$H769,"#,##0"))))</f>
        <v/>
      </c>
      <c r="J769" s="18" t="n"/>
    </row>
    <row r="770">
      <c r="A770" s="19">
        <f>IF($B770="","",COUNTA($B$9:$B770))</f>
        <v/>
      </c>
      <c r="B770" s="11" t="n"/>
      <c r="C770" s="12" t="n"/>
      <c r="D770" s="12" t="n"/>
      <c r="E770" s="13" t="n"/>
      <c r="F770" s="20">
        <f>IF($E770="","",IF($C770="دستمزد گروهی",IFERROR(VLOOKUP($E770,WGTbl,2,0),"کد ناشناخته"),IFERROR(IF(VLOOKUP($E770,AcctTblE,4,0)="","(بدون نام)",VLOOKUP($E770,AcctTblE,4,0)),"کد ناشناخته")))</f>
        <v/>
      </c>
      <c r="G770" s="15" t="n"/>
      <c r="H770" s="21">
        <f>IF(OR($C770&lt;&gt;"دستمزد گروهی",$D770=""),"",SUMIFS(ShareAmt,ShareLink,$D770))</f>
        <v/>
      </c>
      <c r="I770" s="22">
        <f>IF($C770&lt;&gt;"دستمزد گروهی","—",IF($H770="","",IF(ROUND($H770-IF($G770="",0,$G770),0)=0,"√","▲ مغایرت "&amp;TEXT(IF($G770="",0,$G770)-$H770,"#,##0"))))</f>
        <v/>
      </c>
      <c r="J770" s="18" t="n"/>
    </row>
    <row r="771">
      <c r="A771" s="10">
        <f>IF($B771="","",COUNTA($B$9:$B771))</f>
        <v/>
      </c>
      <c r="B771" s="11" t="n"/>
      <c r="C771" s="12" t="n"/>
      <c r="D771" s="12" t="n"/>
      <c r="E771" s="13" t="n"/>
      <c r="F771" s="14">
        <f>IF($E771="","",IF($C771="دستمزد گروهی",IFERROR(VLOOKUP($E771,WGTbl,2,0),"کد ناشناخته"),IFERROR(IF(VLOOKUP($E771,AcctTblE,4,0)="","(بدون نام)",VLOOKUP($E771,AcctTblE,4,0)),"کد ناشناخته")))</f>
        <v/>
      </c>
      <c r="G771" s="15" t="n"/>
      <c r="H771" s="16">
        <f>IF(OR($C771&lt;&gt;"دستمزد گروهی",$D771=""),"",SUMIFS(ShareAmt,ShareLink,$D771))</f>
        <v/>
      </c>
      <c r="I771" s="17">
        <f>IF($C771&lt;&gt;"دستمزد گروهی","—",IF($H771="","",IF(ROUND($H771-IF($G771="",0,$G771),0)=0,"√","▲ مغایرت "&amp;TEXT(IF($G771="",0,$G771)-$H771,"#,##0"))))</f>
        <v/>
      </c>
      <c r="J771" s="18" t="n"/>
    </row>
    <row r="772">
      <c r="A772" s="19">
        <f>IF($B772="","",COUNTA($B$9:$B772))</f>
        <v/>
      </c>
      <c r="B772" s="11" t="n"/>
      <c r="C772" s="12" t="n"/>
      <c r="D772" s="12" t="n"/>
      <c r="E772" s="13" t="n"/>
      <c r="F772" s="20">
        <f>IF($E772="","",IF($C772="دستمزد گروهی",IFERROR(VLOOKUP($E772,WGTbl,2,0),"کد ناشناخته"),IFERROR(IF(VLOOKUP($E772,AcctTblE,4,0)="","(بدون نام)",VLOOKUP($E772,AcctTblE,4,0)),"کد ناشناخته")))</f>
        <v/>
      </c>
      <c r="G772" s="15" t="n"/>
      <c r="H772" s="21">
        <f>IF(OR($C772&lt;&gt;"دستمزد گروهی",$D772=""),"",SUMIFS(ShareAmt,ShareLink,$D772))</f>
        <v/>
      </c>
      <c r="I772" s="22">
        <f>IF($C772&lt;&gt;"دستمزد گروهی","—",IF($H772="","",IF(ROUND($H772-IF($G772="",0,$G772),0)=0,"√","▲ مغایرت "&amp;TEXT(IF($G772="",0,$G772)-$H772,"#,##0"))))</f>
        <v/>
      </c>
      <c r="J772" s="18" t="n"/>
    </row>
    <row r="773">
      <c r="A773" s="10">
        <f>IF($B773="","",COUNTA($B$9:$B773))</f>
        <v/>
      </c>
      <c r="B773" s="11" t="n"/>
      <c r="C773" s="12" t="n"/>
      <c r="D773" s="12" t="n"/>
      <c r="E773" s="13" t="n"/>
      <c r="F773" s="14">
        <f>IF($E773="","",IF($C773="دستمزد گروهی",IFERROR(VLOOKUP($E773,WGTbl,2,0),"کد ناشناخته"),IFERROR(IF(VLOOKUP($E773,AcctTblE,4,0)="","(بدون نام)",VLOOKUP($E773,AcctTblE,4,0)),"کد ناشناخته")))</f>
        <v/>
      </c>
      <c r="G773" s="15" t="n"/>
      <c r="H773" s="16">
        <f>IF(OR($C773&lt;&gt;"دستمزد گروهی",$D773=""),"",SUMIFS(ShareAmt,ShareLink,$D773))</f>
        <v/>
      </c>
      <c r="I773" s="17">
        <f>IF($C773&lt;&gt;"دستمزد گروهی","—",IF($H773="","",IF(ROUND($H773-IF($G773="",0,$G773),0)=0,"√","▲ مغایرت "&amp;TEXT(IF($G773="",0,$G773)-$H773,"#,##0"))))</f>
        <v/>
      </c>
      <c r="J773" s="18" t="n"/>
    </row>
    <row r="774">
      <c r="A774" s="19">
        <f>IF($B774="","",COUNTA($B$9:$B774))</f>
        <v/>
      </c>
      <c r="B774" s="11" t="n"/>
      <c r="C774" s="12" t="n"/>
      <c r="D774" s="12" t="n"/>
      <c r="E774" s="13" t="n"/>
      <c r="F774" s="20">
        <f>IF($E774="","",IF($C774="دستمزد گروهی",IFERROR(VLOOKUP($E774,WGTbl,2,0),"کد ناشناخته"),IFERROR(IF(VLOOKUP($E774,AcctTblE,4,0)="","(بدون نام)",VLOOKUP($E774,AcctTblE,4,0)),"کد ناشناخته")))</f>
        <v/>
      </c>
      <c r="G774" s="15" t="n"/>
      <c r="H774" s="21">
        <f>IF(OR($C774&lt;&gt;"دستمزد گروهی",$D774=""),"",SUMIFS(ShareAmt,ShareLink,$D774))</f>
        <v/>
      </c>
      <c r="I774" s="22">
        <f>IF($C774&lt;&gt;"دستمزد گروهی","—",IF($H774="","",IF(ROUND($H774-IF($G774="",0,$G774),0)=0,"√","▲ مغایرت "&amp;TEXT(IF($G774="",0,$G774)-$H774,"#,##0"))))</f>
        <v/>
      </c>
      <c r="J774" s="18" t="n"/>
    </row>
    <row r="775">
      <c r="A775" s="10">
        <f>IF($B775="","",COUNTA($B$9:$B775))</f>
        <v/>
      </c>
      <c r="B775" s="11" t="n"/>
      <c r="C775" s="12" t="n"/>
      <c r="D775" s="12" t="n"/>
      <c r="E775" s="13" t="n"/>
      <c r="F775" s="14">
        <f>IF($E775="","",IF($C775="دستمزد گروهی",IFERROR(VLOOKUP($E775,WGTbl,2,0),"کد ناشناخته"),IFERROR(IF(VLOOKUP($E775,AcctTblE,4,0)="","(بدون نام)",VLOOKUP($E775,AcctTblE,4,0)),"کد ناشناخته")))</f>
        <v/>
      </c>
      <c r="G775" s="15" t="n"/>
      <c r="H775" s="16">
        <f>IF(OR($C775&lt;&gt;"دستمزد گروهی",$D775=""),"",SUMIFS(ShareAmt,ShareLink,$D775))</f>
        <v/>
      </c>
      <c r="I775" s="17">
        <f>IF($C775&lt;&gt;"دستمزد گروهی","—",IF($H775="","",IF(ROUND($H775-IF($G775="",0,$G775),0)=0,"√","▲ مغایرت "&amp;TEXT(IF($G775="",0,$G775)-$H775,"#,##0"))))</f>
        <v/>
      </c>
      <c r="J775" s="18" t="n"/>
    </row>
    <row r="776">
      <c r="A776" s="19">
        <f>IF($B776="","",COUNTA($B$9:$B776))</f>
        <v/>
      </c>
      <c r="B776" s="11" t="n"/>
      <c r="C776" s="12" t="n"/>
      <c r="D776" s="12" t="n"/>
      <c r="E776" s="13" t="n"/>
      <c r="F776" s="20">
        <f>IF($E776="","",IF($C776="دستمزد گروهی",IFERROR(VLOOKUP($E776,WGTbl,2,0),"کد ناشناخته"),IFERROR(IF(VLOOKUP($E776,AcctTblE,4,0)="","(بدون نام)",VLOOKUP($E776,AcctTblE,4,0)),"کد ناشناخته")))</f>
        <v/>
      </c>
      <c r="G776" s="15" t="n"/>
      <c r="H776" s="21">
        <f>IF(OR($C776&lt;&gt;"دستمزد گروهی",$D776=""),"",SUMIFS(ShareAmt,ShareLink,$D776))</f>
        <v/>
      </c>
      <c r="I776" s="22">
        <f>IF($C776&lt;&gt;"دستمزد گروهی","—",IF($H776="","",IF(ROUND($H776-IF($G776="",0,$G776),0)=0,"√","▲ مغایرت "&amp;TEXT(IF($G776="",0,$G776)-$H776,"#,##0"))))</f>
        <v/>
      </c>
      <c r="J776" s="18" t="n"/>
    </row>
    <row r="777">
      <c r="A777" s="10">
        <f>IF($B777="","",COUNTA($B$9:$B777))</f>
        <v/>
      </c>
      <c r="B777" s="11" t="n"/>
      <c r="C777" s="12" t="n"/>
      <c r="D777" s="12" t="n"/>
      <c r="E777" s="13" t="n"/>
      <c r="F777" s="14">
        <f>IF($E777="","",IF($C777="دستمزد گروهی",IFERROR(VLOOKUP($E777,WGTbl,2,0),"کد ناشناخته"),IFERROR(IF(VLOOKUP($E777,AcctTblE,4,0)="","(بدون نام)",VLOOKUP($E777,AcctTblE,4,0)),"کد ناشناخته")))</f>
        <v/>
      </c>
      <c r="G777" s="15" t="n"/>
      <c r="H777" s="16">
        <f>IF(OR($C777&lt;&gt;"دستمزد گروهی",$D777=""),"",SUMIFS(ShareAmt,ShareLink,$D777))</f>
        <v/>
      </c>
      <c r="I777" s="17">
        <f>IF($C777&lt;&gt;"دستمزد گروهی","—",IF($H777="","",IF(ROUND($H777-IF($G777="",0,$G777),0)=0,"√","▲ مغایرت "&amp;TEXT(IF($G777="",0,$G777)-$H777,"#,##0"))))</f>
        <v/>
      </c>
      <c r="J777" s="18" t="n"/>
    </row>
    <row r="778">
      <c r="A778" s="19">
        <f>IF($B778="","",COUNTA($B$9:$B778))</f>
        <v/>
      </c>
      <c r="B778" s="11" t="n"/>
      <c r="C778" s="12" t="n"/>
      <c r="D778" s="12" t="n"/>
      <c r="E778" s="13" t="n"/>
      <c r="F778" s="20">
        <f>IF($E778="","",IF($C778="دستمزد گروهی",IFERROR(VLOOKUP($E778,WGTbl,2,0),"کد ناشناخته"),IFERROR(IF(VLOOKUP($E778,AcctTblE,4,0)="","(بدون نام)",VLOOKUP($E778,AcctTblE,4,0)),"کد ناشناخته")))</f>
        <v/>
      </c>
      <c r="G778" s="15" t="n"/>
      <c r="H778" s="21">
        <f>IF(OR($C778&lt;&gt;"دستمزد گروهی",$D778=""),"",SUMIFS(ShareAmt,ShareLink,$D778))</f>
        <v/>
      </c>
      <c r="I778" s="22">
        <f>IF($C778&lt;&gt;"دستمزد گروهی","—",IF($H778="","",IF(ROUND($H778-IF($G778="",0,$G778),0)=0,"√","▲ مغایرت "&amp;TEXT(IF($G778="",0,$G778)-$H778,"#,##0"))))</f>
        <v/>
      </c>
      <c r="J778" s="18" t="n"/>
    </row>
    <row r="779">
      <c r="A779" s="10">
        <f>IF($B779="","",COUNTA($B$9:$B779))</f>
        <v/>
      </c>
      <c r="B779" s="11" t="n"/>
      <c r="C779" s="12" t="n"/>
      <c r="D779" s="12" t="n"/>
      <c r="E779" s="13" t="n"/>
      <c r="F779" s="14">
        <f>IF($E779="","",IF($C779="دستمزد گروهی",IFERROR(VLOOKUP($E779,WGTbl,2,0),"کد ناشناخته"),IFERROR(IF(VLOOKUP($E779,AcctTblE,4,0)="","(بدون نام)",VLOOKUP($E779,AcctTblE,4,0)),"کد ناشناخته")))</f>
        <v/>
      </c>
      <c r="G779" s="15" t="n"/>
      <c r="H779" s="16">
        <f>IF(OR($C779&lt;&gt;"دستمزد گروهی",$D779=""),"",SUMIFS(ShareAmt,ShareLink,$D779))</f>
        <v/>
      </c>
      <c r="I779" s="17">
        <f>IF($C779&lt;&gt;"دستمزد گروهی","—",IF($H779="","",IF(ROUND($H779-IF($G779="",0,$G779),0)=0,"√","▲ مغایرت "&amp;TEXT(IF($G779="",0,$G779)-$H779,"#,##0"))))</f>
        <v/>
      </c>
      <c r="J779" s="18" t="n"/>
    </row>
    <row r="780">
      <c r="A780" s="19">
        <f>IF($B780="","",COUNTA($B$9:$B780))</f>
        <v/>
      </c>
      <c r="B780" s="11" t="n"/>
      <c r="C780" s="12" t="n"/>
      <c r="D780" s="12" t="n"/>
      <c r="E780" s="13" t="n"/>
      <c r="F780" s="20">
        <f>IF($E780="","",IF($C780="دستمزد گروهی",IFERROR(VLOOKUP($E780,WGTbl,2,0),"کد ناشناخته"),IFERROR(IF(VLOOKUP($E780,AcctTblE,4,0)="","(بدون نام)",VLOOKUP($E780,AcctTblE,4,0)),"کد ناشناخته")))</f>
        <v/>
      </c>
      <c r="G780" s="15" t="n"/>
      <c r="H780" s="21">
        <f>IF(OR($C780&lt;&gt;"دستمزد گروهی",$D780=""),"",SUMIFS(ShareAmt,ShareLink,$D780))</f>
        <v/>
      </c>
      <c r="I780" s="22">
        <f>IF($C780&lt;&gt;"دستمزد گروهی","—",IF($H780="","",IF(ROUND($H780-IF($G780="",0,$G780),0)=0,"√","▲ مغایرت "&amp;TEXT(IF($G780="",0,$G780)-$H780,"#,##0"))))</f>
        <v/>
      </c>
      <c r="J780" s="18" t="n"/>
    </row>
    <row r="781">
      <c r="A781" s="10">
        <f>IF($B781="","",COUNTA($B$9:$B781))</f>
        <v/>
      </c>
      <c r="B781" s="11" t="n"/>
      <c r="C781" s="12" t="n"/>
      <c r="D781" s="12" t="n"/>
      <c r="E781" s="13" t="n"/>
      <c r="F781" s="14">
        <f>IF($E781="","",IF($C781="دستمزد گروهی",IFERROR(VLOOKUP($E781,WGTbl,2,0),"کد ناشناخته"),IFERROR(IF(VLOOKUP($E781,AcctTblE,4,0)="","(بدون نام)",VLOOKUP($E781,AcctTblE,4,0)),"کد ناشناخته")))</f>
        <v/>
      </c>
      <c r="G781" s="15" t="n"/>
      <c r="H781" s="16">
        <f>IF(OR($C781&lt;&gt;"دستمزد گروهی",$D781=""),"",SUMIFS(ShareAmt,ShareLink,$D781))</f>
        <v/>
      </c>
      <c r="I781" s="17">
        <f>IF($C781&lt;&gt;"دستمزد گروهی","—",IF($H781="","",IF(ROUND($H781-IF($G781="",0,$G781),0)=0,"√","▲ مغایرت "&amp;TEXT(IF($G781="",0,$G781)-$H781,"#,##0"))))</f>
        <v/>
      </c>
      <c r="J781" s="18" t="n"/>
    </row>
    <row r="782">
      <c r="A782" s="19">
        <f>IF($B782="","",COUNTA($B$9:$B782))</f>
        <v/>
      </c>
      <c r="B782" s="11" t="n"/>
      <c r="C782" s="12" t="n"/>
      <c r="D782" s="12" t="n"/>
      <c r="E782" s="13" t="n"/>
      <c r="F782" s="20">
        <f>IF($E782="","",IF($C782="دستمزد گروهی",IFERROR(VLOOKUP($E782,WGTbl,2,0),"کد ناشناخته"),IFERROR(IF(VLOOKUP($E782,AcctTblE,4,0)="","(بدون نام)",VLOOKUP($E782,AcctTblE,4,0)),"کد ناشناخته")))</f>
        <v/>
      </c>
      <c r="G782" s="15" t="n"/>
      <c r="H782" s="21">
        <f>IF(OR($C782&lt;&gt;"دستمزد گروهی",$D782=""),"",SUMIFS(ShareAmt,ShareLink,$D782))</f>
        <v/>
      </c>
      <c r="I782" s="22">
        <f>IF($C782&lt;&gt;"دستمزد گروهی","—",IF($H782="","",IF(ROUND($H782-IF($G782="",0,$G782),0)=0,"√","▲ مغایرت "&amp;TEXT(IF($G782="",0,$G782)-$H782,"#,##0"))))</f>
        <v/>
      </c>
      <c r="J782" s="18" t="n"/>
    </row>
    <row r="783">
      <c r="A783" s="10">
        <f>IF($B783="","",COUNTA($B$9:$B783))</f>
        <v/>
      </c>
      <c r="B783" s="11" t="n"/>
      <c r="C783" s="12" t="n"/>
      <c r="D783" s="12" t="n"/>
      <c r="E783" s="13" t="n"/>
      <c r="F783" s="14">
        <f>IF($E783="","",IF($C783="دستمزد گروهی",IFERROR(VLOOKUP($E783,WGTbl,2,0),"کد ناشناخته"),IFERROR(IF(VLOOKUP($E783,AcctTblE,4,0)="","(بدون نام)",VLOOKUP($E783,AcctTblE,4,0)),"کد ناشناخته")))</f>
        <v/>
      </c>
      <c r="G783" s="15" t="n"/>
      <c r="H783" s="16">
        <f>IF(OR($C783&lt;&gt;"دستمزد گروهی",$D783=""),"",SUMIFS(ShareAmt,ShareLink,$D783))</f>
        <v/>
      </c>
      <c r="I783" s="17">
        <f>IF($C783&lt;&gt;"دستمزد گروهی","—",IF($H783="","",IF(ROUND($H783-IF($G783="",0,$G783),0)=0,"√","▲ مغایرت "&amp;TEXT(IF($G783="",0,$G783)-$H783,"#,##0"))))</f>
        <v/>
      </c>
      <c r="J783" s="18" t="n"/>
    </row>
    <row r="784">
      <c r="A784" s="19">
        <f>IF($B784="","",COUNTA($B$9:$B784))</f>
        <v/>
      </c>
      <c r="B784" s="11" t="n"/>
      <c r="C784" s="12" t="n"/>
      <c r="D784" s="12" t="n"/>
      <c r="E784" s="13" t="n"/>
      <c r="F784" s="20">
        <f>IF($E784="","",IF($C784="دستمزد گروهی",IFERROR(VLOOKUP($E784,WGTbl,2,0),"کد ناشناخته"),IFERROR(IF(VLOOKUP($E784,AcctTblE,4,0)="","(بدون نام)",VLOOKUP($E784,AcctTblE,4,0)),"کد ناشناخته")))</f>
        <v/>
      </c>
      <c r="G784" s="15" t="n"/>
      <c r="H784" s="21">
        <f>IF(OR($C784&lt;&gt;"دستمزد گروهی",$D784=""),"",SUMIFS(ShareAmt,ShareLink,$D784))</f>
        <v/>
      </c>
      <c r="I784" s="22">
        <f>IF($C784&lt;&gt;"دستمزد گروهی","—",IF($H784="","",IF(ROUND($H784-IF($G784="",0,$G784),0)=0,"√","▲ مغایرت "&amp;TEXT(IF($G784="",0,$G784)-$H784,"#,##0"))))</f>
        <v/>
      </c>
      <c r="J784" s="18" t="n"/>
    </row>
    <row r="785">
      <c r="A785" s="10">
        <f>IF($B785="","",COUNTA($B$9:$B785))</f>
        <v/>
      </c>
      <c r="B785" s="11" t="n"/>
      <c r="C785" s="12" t="n"/>
      <c r="D785" s="12" t="n"/>
      <c r="E785" s="13" t="n"/>
      <c r="F785" s="14">
        <f>IF($E785="","",IF($C785="دستمزد گروهی",IFERROR(VLOOKUP($E785,WGTbl,2,0),"کد ناشناخته"),IFERROR(IF(VLOOKUP($E785,AcctTblE,4,0)="","(بدون نام)",VLOOKUP($E785,AcctTblE,4,0)),"کد ناشناخته")))</f>
        <v/>
      </c>
      <c r="G785" s="15" t="n"/>
      <c r="H785" s="16">
        <f>IF(OR($C785&lt;&gt;"دستمزد گروهی",$D785=""),"",SUMIFS(ShareAmt,ShareLink,$D785))</f>
        <v/>
      </c>
      <c r="I785" s="17">
        <f>IF($C785&lt;&gt;"دستمزد گروهی","—",IF($H785="","",IF(ROUND($H785-IF($G785="",0,$G785),0)=0,"√","▲ مغایرت "&amp;TEXT(IF($G785="",0,$G785)-$H785,"#,##0"))))</f>
        <v/>
      </c>
      <c r="J785" s="18" t="n"/>
    </row>
    <row r="786">
      <c r="A786" s="19">
        <f>IF($B786="","",COUNTA($B$9:$B786))</f>
        <v/>
      </c>
      <c r="B786" s="11" t="n"/>
      <c r="C786" s="12" t="n"/>
      <c r="D786" s="12" t="n"/>
      <c r="E786" s="13" t="n"/>
      <c r="F786" s="20">
        <f>IF($E786="","",IF($C786="دستمزد گروهی",IFERROR(VLOOKUP($E786,WGTbl,2,0),"کد ناشناخته"),IFERROR(IF(VLOOKUP($E786,AcctTblE,4,0)="","(بدون نام)",VLOOKUP($E786,AcctTblE,4,0)),"کد ناشناخته")))</f>
        <v/>
      </c>
      <c r="G786" s="15" t="n"/>
      <c r="H786" s="21">
        <f>IF(OR($C786&lt;&gt;"دستمزد گروهی",$D786=""),"",SUMIFS(ShareAmt,ShareLink,$D786))</f>
        <v/>
      </c>
      <c r="I786" s="22">
        <f>IF($C786&lt;&gt;"دستمزد گروهی","—",IF($H786="","",IF(ROUND($H786-IF($G786="",0,$G786),0)=0,"√","▲ مغایرت "&amp;TEXT(IF($G786="",0,$G786)-$H786,"#,##0"))))</f>
        <v/>
      </c>
      <c r="J786" s="18" t="n"/>
    </row>
    <row r="787">
      <c r="A787" s="10">
        <f>IF($B787="","",COUNTA($B$9:$B787))</f>
        <v/>
      </c>
      <c r="B787" s="11" t="n"/>
      <c r="C787" s="12" t="n"/>
      <c r="D787" s="12" t="n"/>
      <c r="E787" s="13" t="n"/>
      <c r="F787" s="14">
        <f>IF($E787="","",IF($C787="دستمزد گروهی",IFERROR(VLOOKUP($E787,WGTbl,2,0),"کد ناشناخته"),IFERROR(IF(VLOOKUP($E787,AcctTblE,4,0)="","(بدون نام)",VLOOKUP($E787,AcctTblE,4,0)),"کد ناشناخته")))</f>
        <v/>
      </c>
      <c r="G787" s="15" t="n"/>
      <c r="H787" s="16">
        <f>IF(OR($C787&lt;&gt;"دستمزد گروهی",$D787=""),"",SUMIFS(ShareAmt,ShareLink,$D787))</f>
        <v/>
      </c>
      <c r="I787" s="17">
        <f>IF($C787&lt;&gt;"دستمزد گروهی","—",IF($H787="","",IF(ROUND($H787-IF($G787="",0,$G787),0)=0,"√","▲ مغایرت "&amp;TEXT(IF($G787="",0,$G787)-$H787,"#,##0"))))</f>
        <v/>
      </c>
      <c r="J787" s="18" t="n"/>
    </row>
    <row r="788">
      <c r="A788" s="19">
        <f>IF($B788="","",COUNTA($B$9:$B788))</f>
        <v/>
      </c>
      <c r="B788" s="11" t="n"/>
      <c r="C788" s="12" t="n"/>
      <c r="D788" s="12" t="n"/>
      <c r="E788" s="13" t="n"/>
      <c r="F788" s="20">
        <f>IF($E788="","",IF($C788="دستمزد گروهی",IFERROR(VLOOKUP($E788,WGTbl,2,0),"کد ناشناخته"),IFERROR(IF(VLOOKUP($E788,AcctTblE,4,0)="","(بدون نام)",VLOOKUP($E788,AcctTblE,4,0)),"کد ناشناخته")))</f>
        <v/>
      </c>
      <c r="G788" s="15" t="n"/>
      <c r="H788" s="21">
        <f>IF(OR($C788&lt;&gt;"دستمزد گروهی",$D788=""),"",SUMIFS(ShareAmt,ShareLink,$D788))</f>
        <v/>
      </c>
      <c r="I788" s="22">
        <f>IF($C788&lt;&gt;"دستمزد گروهی","—",IF($H788="","",IF(ROUND($H788-IF($G788="",0,$G788),0)=0,"√","▲ مغایرت "&amp;TEXT(IF($G788="",0,$G788)-$H788,"#,##0"))))</f>
        <v/>
      </c>
      <c r="J788" s="18" t="n"/>
    </row>
    <row r="789">
      <c r="A789" s="10">
        <f>IF($B789="","",COUNTA($B$9:$B789))</f>
        <v/>
      </c>
      <c r="B789" s="11" t="n"/>
      <c r="C789" s="12" t="n"/>
      <c r="D789" s="12" t="n"/>
      <c r="E789" s="13" t="n"/>
      <c r="F789" s="14">
        <f>IF($E789="","",IF($C789="دستمزد گروهی",IFERROR(VLOOKUP($E789,WGTbl,2,0),"کد ناشناخته"),IFERROR(IF(VLOOKUP($E789,AcctTblE,4,0)="","(بدون نام)",VLOOKUP($E789,AcctTblE,4,0)),"کد ناشناخته")))</f>
        <v/>
      </c>
      <c r="G789" s="15" t="n"/>
      <c r="H789" s="16">
        <f>IF(OR($C789&lt;&gt;"دستمزد گروهی",$D789=""),"",SUMIFS(ShareAmt,ShareLink,$D789))</f>
        <v/>
      </c>
      <c r="I789" s="17">
        <f>IF($C789&lt;&gt;"دستمزد گروهی","—",IF($H789="","",IF(ROUND($H789-IF($G789="",0,$G789),0)=0,"√","▲ مغایرت "&amp;TEXT(IF($G789="",0,$G789)-$H789,"#,##0"))))</f>
        <v/>
      </c>
      <c r="J789" s="18" t="n"/>
    </row>
    <row r="790">
      <c r="A790" s="19">
        <f>IF($B790="","",COUNTA($B$9:$B790))</f>
        <v/>
      </c>
      <c r="B790" s="11" t="n"/>
      <c r="C790" s="12" t="n"/>
      <c r="D790" s="12" t="n"/>
      <c r="E790" s="13" t="n"/>
      <c r="F790" s="20">
        <f>IF($E790="","",IF($C790="دستمزد گروهی",IFERROR(VLOOKUP($E790,WGTbl,2,0),"کد ناشناخته"),IFERROR(IF(VLOOKUP($E790,AcctTblE,4,0)="","(بدون نام)",VLOOKUP($E790,AcctTblE,4,0)),"کد ناشناخته")))</f>
        <v/>
      </c>
      <c r="G790" s="15" t="n"/>
      <c r="H790" s="21">
        <f>IF(OR($C790&lt;&gt;"دستمزد گروهی",$D790=""),"",SUMIFS(ShareAmt,ShareLink,$D790))</f>
        <v/>
      </c>
      <c r="I790" s="22">
        <f>IF($C790&lt;&gt;"دستمزد گروهی","—",IF($H790="","",IF(ROUND($H790-IF($G790="",0,$G790),0)=0,"√","▲ مغایرت "&amp;TEXT(IF($G790="",0,$G790)-$H790,"#,##0"))))</f>
        <v/>
      </c>
      <c r="J790" s="18" t="n"/>
    </row>
    <row r="791">
      <c r="A791" s="10">
        <f>IF($B791="","",COUNTA($B$9:$B791))</f>
        <v/>
      </c>
      <c r="B791" s="11" t="n"/>
      <c r="C791" s="12" t="n"/>
      <c r="D791" s="12" t="n"/>
      <c r="E791" s="13" t="n"/>
      <c r="F791" s="14">
        <f>IF($E791="","",IF($C791="دستمزد گروهی",IFERROR(VLOOKUP($E791,WGTbl,2,0),"کد ناشناخته"),IFERROR(IF(VLOOKUP($E791,AcctTblE,4,0)="","(بدون نام)",VLOOKUP($E791,AcctTblE,4,0)),"کد ناشناخته")))</f>
        <v/>
      </c>
      <c r="G791" s="15" t="n"/>
      <c r="H791" s="16">
        <f>IF(OR($C791&lt;&gt;"دستمزد گروهی",$D791=""),"",SUMIFS(ShareAmt,ShareLink,$D791))</f>
        <v/>
      </c>
      <c r="I791" s="17">
        <f>IF($C791&lt;&gt;"دستمزد گروهی","—",IF($H791="","",IF(ROUND($H791-IF($G791="",0,$G791),0)=0,"√","▲ مغایرت "&amp;TEXT(IF($G791="",0,$G791)-$H791,"#,##0"))))</f>
        <v/>
      </c>
      <c r="J791" s="18" t="n"/>
    </row>
    <row r="792">
      <c r="A792" s="19">
        <f>IF($B792="","",COUNTA($B$9:$B792))</f>
        <v/>
      </c>
      <c r="B792" s="11" t="n"/>
      <c r="C792" s="12" t="n"/>
      <c r="D792" s="12" t="n"/>
      <c r="E792" s="13" t="n"/>
      <c r="F792" s="20">
        <f>IF($E792="","",IF($C792="دستمزد گروهی",IFERROR(VLOOKUP($E792,WGTbl,2,0),"کد ناشناخته"),IFERROR(IF(VLOOKUP($E792,AcctTblE,4,0)="","(بدون نام)",VLOOKUP($E792,AcctTblE,4,0)),"کد ناشناخته")))</f>
        <v/>
      </c>
      <c r="G792" s="15" t="n"/>
      <c r="H792" s="21">
        <f>IF(OR($C792&lt;&gt;"دستمزد گروهی",$D792=""),"",SUMIFS(ShareAmt,ShareLink,$D792))</f>
        <v/>
      </c>
      <c r="I792" s="22">
        <f>IF($C792&lt;&gt;"دستمزد گروهی","—",IF($H792="","",IF(ROUND($H792-IF($G792="",0,$G792),0)=0,"√","▲ مغایرت "&amp;TEXT(IF($G792="",0,$G792)-$H792,"#,##0"))))</f>
        <v/>
      </c>
      <c r="J792" s="18" t="n"/>
    </row>
    <row r="793">
      <c r="A793" s="10">
        <f>IF($B793="","",COUNTA($B$9:$B793))</f>
        <v/>
      </c>
      <c r="B793" s="11" t="n"/>
      <c r="C793" s="12" t="n"/>
      <c r="D793" s="12" t="n"/>
      <c r="E793" s="13" t="n"/>
      <c r="F793" s="14">
        <f>IF($E793="","",IF($C793="دستمزد گروهی",IFERROR(VLOOKUP($E793,WGTbl,2,0),"کد ناشناخته"),IFERROR(IF(VLOOKUP($E793,AcctTblE,4,0)="","(بدون نام)",VLOOKUP($E793,AcctTblE,4,0)),"کد ناشناخته")))</f>
        <v/>
      </c>
      <c r="G793" s="15" t="n"/>
      <c r="H793" s="16">
        <f>IF(OR($C793&lt;&gt;"دستمزد گروهی",$D793=""),"",SUMIFS(ShareAmt,ShareLink,$D793))</f>
        <v/>
      </c>
      <c r="I793" s="17">
        <f>IF($C793&lt;&gt;"دستمزد گروهی","—",IF($H793="","",IF(ROUND($H793-IF($G793="",0,$G793),0)=0,"√","▲ مغایرت "&amp;TEXT(IF($G793="",0,$G793)-$H793,"#,##0"))))</f>
        <v/>
      </c>
      <c r="J793" s="18" t="n"/>
    </row>
    <row r="794">
      <c r="A794" s="19">
        <f>IF($B794="","",COUNTA($B$9:$B794))</f>
        <v/>
      </c>
      <c r="B794" s="11" t="n"/>
      <c r="C794" s="12" t="n"/>
      <c r="D794" s="12" t="n"/>
      <c r="E794" s="13" t="n"/>
      <c r="F794" s="20">
        <f>IF($E794="","",IF($C794="دستمزد گروهی",IFERROR(VLOOKUP($E794,WGTbl,2,0),"کد ناشناخته"),IFERROR(IF(VLOOKUP($E794,AcctTblE,4,0)="","(بدون نام)",VLOOKUP($E794,AcctTblE,4,0)),"کد ناشناخته")))</f>
        <v/>
      </c>
      <c r="G794" s="15" t="n"/>
      <c r="H794" s="21">
        <f>IF(OR($C794&lt;&gt;"دستمزد گروهی",$D794=""),"",SUMIFS(ShareAmt,ShareLink,$D794))</f>
        <v/>
      </c>
      <c r="I794" s="22">
        <f>IF($C794&lt;&gt;"دستمزد گروهی","—",IF($H794="","",IF(ROUND($H794-IF($G794="",0,$G794),0)=0,"√","▲ مغایرت "&amp;TEXT(IF($G794="",0,$G794)-$H794,"#,##0"))))</f>
        <v/>
      </c>
      <c r="J794" s="18" t="n"/>
    </row>
    <row r="795">
      <c r="A795" s="10">
        <f>IF($B795="","",COUNTA($B$9:$B795))</f>
        <v/>
      </c>
      <c r="B795" s="11" t="n"/>
      <c r="C795" s="12" t="n"/>
      <c r="D795" s="12" t="n"/>
      <c r="E795" s="13" t="n"/>
      <c r="F795" s="14">
        <f>IF($E795="","",IF($C795="دستمزد گروهی",IFERROR(VLOOKUP($E795,WGTbl,2,0),"کد ناشناخته"),IFERROR(IF(VLOOKUP($E795,AcctTblE,4,0)="","(بدون نام)",VLOOKUP($E795,AcctTblE,4,0)),"کد ناشناخته")))</f>
        <v/>
      </c>
      <c r="G795" s="15" t="n"/>
      <c r="H795" s="16">
        <f>IF(OR($C795&lt;&gt;"دستمزد گروهی",$D795=""),"",SUMIFS(ShareAmt,ShareLink,$D795))</f>
        <v/>
      </c>
      <c r="I795" s="17">
        <f>IF($C795&lt;&gt;"دستمزد گروهی","—",IF($H795="","",IF(ROUND($H795-IF($G795="",0,$G795),0)=0,"√","▲ مغایرت "&amp;TEXT(IF($G795="",0,$G795)-$H795,"#,##0"))))</f>
        <v/>
      </c>
      <c r="J795" s="18" t="n"/>
    </row>
    <row r="796">
      <c r="A796" s="19">
        <f>IF($B796="","",COUNTA($B$9:$B796))</f>
        <v/>
      </c>
      <c r="B796" s="11" t="n"/>
      <c r="C796" s="12" t="n"/>
      <c r="D796" s="12" t="n"/>
      <c r="E796" s="13" t="n"/>
      <c r="F796" s="20">
        <f>IF($E796="","",IF($C796="دستمزد گروهی",IFERROR(VLOOKUP($E796,WGTbl,2,0),"کد ناشناخته"),IFERROR(IF(VLOOKUP($E796,AcctTblE,4,0)="","(بدون نام)",VLOOKUP($E796,AcctTblE,4,0)),"کد ناشناخته")))</f>
        <v/>
      </c>
      <c r="G796" s="15" t="n"/>
      <c r="H796" s="21">
        <f>IF(OR($C796&lt;&gt;"دستمزد گروهی",$D796=""),"",SUMIFS(ShareAmt,ShareLink,$D796))</f>
        <v/>
      </c>
      <c r="I796" s="22">
        <f>IF($C796&lt;&gt;"دستمزد گروهی","—",IF($H796="","",IF(ROUND($H796-IF($G796="",0,$G796),0)=0,"√","▲ مغایرت "&amp;TEXT(IF($G796="",0,$G796)-$H796,"#,##0"))))</f>
        <v/>
      </c>
      <c r="J796" s="18" t="n"/>
    </row>
    <row r="797">
      <c r="A797" s="10">
        <f>IF($B797="","",COUNTA($B$9:$B797))</f>
        <v/>
      </c>
      <c r="B797" s="11" t="n"/>
      <c r="C797" s="12" t="n"/>
      <c r="D797" s="12" t="n"/>
      <c r="E797" s="13" t="n"/>
      <c r="F797" s="14">
        <f>IF($E797="","",IF($C797="دستمزد گروهی",IFERROR(VLOOKUP($E797,WGTbl,2,0),"کد ناشناخته"),IFERROR(IF(VLOOKUP($E797,AcctTblE,4,0)="","(بدون نام)",VLOOKUP($E797,AcctTblE,4,0)),"کد ناشناخته")))</f>
        <v/>
      </c>
      <c r="G797" s="15" t="n"/>
      <c r="H797" s="16">
        <f>IF(OR($C797&lt;&gt;"دستمزد گروهی",$D797=""),"",SUMIFS(ShareAmt,ShareLink,$D797))</f>
        <v/>
      </c>
      <c r="I797" s="17">
        <f>IF($C797&lt;&gt;"دستمزد گروهی","—",IF($H797="","",IF(ROUND($H797-IF($G797="",0,$G797),0)=0,"√","▲ مغایرت "&amp;TEXT(IF($G797="",0,$G797)-$H797,"#,##0"))))</f>
        <v/>
      </c>
      <c r="J797" s="18" t="n"/>
    </row>
    <row r="798">
      <c r="A798" s="19">
        <f>IF($B798="","",COUNTA($B$9:$B798))</f>
        <v/>
      </c>
      <c r="B798" s="11" t="n"/>
      <c r="C798" s="12" t="n"/>
      <c r="D798" s="12" t="n"/>
      <c r="E798" s="13" t="n"/>
      <c r="F798" s="20">
        <f>IF($E798="","",IF($C798="دستمزد گروهی",IFERROR(VLOOKUP($E798,WGTbl,2,0),"کد ناشناخته"),IFERROR(IF(VLOOKUP($E798,AcctTblE,4,0)="","(بدون نام)",VLOOKUP($E798,AcctTblE,4,0)),"کد ناشناخته")))</f>
        <v/>
      </c>
      <c r="G798" s="15" t="n"/>
      <c r="H798" s="21">
        <f>IF(OR($C798&lt;&gt;"دستمزد گروهی",$D798=""),"",SUMIFS(ShareAmt,ShareLink,$D798))</f>
        <v/>
      </c>
      <c r="I798" s="22">
        <f>IF($C798&lt;&gt;"دستمزد گروهی","—",IF($H798="","",IF(ROUND($H798-IF($G798="",0,$G798),0)=0,"√","▲ مغایرت "&amp;TEXT(IF($G798="",0,$G798)-$H798,"#,##0"))))</f>
        <v/>
      </c>
      <c r="J798" s="18" t="n"/>
    </row>
    <row r="799">
      <c r="A799" s="10">
        <f>IF($B799="","",COUNTA($B$9:$B799))</f>
        <v/>
      </c>
      <c r="B799" s="11" t="n"/>
      <c r="C799" s="12" t="n"/>
      <c r="D799" s="12" t="n"/>
      <c r="E799" s="13" t="n"/>
      <c r="F799" s="14">
        <f>IF($E799="","",IF($C799="دستمزد گروهی",IFERROR(VLOOKUP($E799,WGTbl,2,0),"کد ناشناخته"),IFERROR(IF(VLOOKUP($E799,AcctTblE,4,0)="","(بدون نام)",VLOOKUP($E799,AcctTblE,4,0)),"کد ناشناخته")))</f>
        <v/>
      </c>
      <c r="G799" s="15" t="n"/>
      <c r="H799" s="16">
        <f>IF(OR($C799&lt;&gt;"دستمزد گروهی",$D799=""),"",SUMIFS(ShareAmt,ShareLink,$D799))</f>
        <v/>
      </c>
      <c r="I799" s="17">
        <f>IF($C799&lt;&gt;"دستمزد گروهی","—",IF($H799="","",IF(ROUND($H799-IF($G799="",0,$G799),0)=0,"√","▲ مغایرت "&amp;TEXT(IF($G799="",0,$G799)-$H799,"#,##0"))))</f>
        <v/>
      </c>
      <c r="J799" s="18" t="n"/>
    </row>
    <row r="800">
      <c r="A800" s="19">
        <f>IF($B800="","",COUNTA($B$9:$B800))</f>
        <v/>
      </c>
      <c r="B800" s="11" t="n"/>
      <c r="C800" s="12" t="n"/>
      <c r="D800" s="12" t="n"/>
      <c r="E800" s="13" t="n"/>
      <c r="F800" s="20">
        <f>IF($E800="","",IF($C800="دستمزد گروهی",IFERROR(VLOOKUP($E800,WGTbl,2,0),"کد ناشناخته"),IFERROR(IF(VLOOKUP($E800,AcctTblE,4,0)="","(بدون نام)",VLOOKUP($E800,AcctTblE,4,0)),"کد ناشناخته")))</f>
        <v/>
      </c>
      <c r="G800" s="15" t="n"/>
      <c r="H800" s="21">
        <f>IF(OR($C800&lt;&gt;"دستمزد گروهی",$D800=""),"",SUMIFS(ShareAmt,ShareLink,$D800))</f>
        <v/>
      </c>
      <c r="I800" s="22">
        <f>IF($C800&lt;&gt;"دستمزد گروهی","—",IF($H800="","",IF(ROUND($H800-IF($G800="",0,$G800),0)=0,"√","▲ مغایرت "&amp;TEXT(IF($G800="",0,$G800)-$H800,"#,##0"))))</f>
        <v/>
      </c>
      <c r="J800" s="18" t="n"/>
    </row>
    <row r="801">
      <c r="A801" s="10">
        <f>IF($B801="","",COUNTA($B$9:$B801))</f>
        <v/>
      </c>
      <c r="B801" s="11" t="n"/>
      <c r="C801" s="12" t="n"/>
      <c r="D801" s="12" t="n"/>
      <c r="E801" s="13" t="n"/>
      <c r="F801" s="14">
        <f>IF($E801="","",IF($C801="دستمزد گروهی",IFERROR(VLOOKUP($E801,WGTbl,2,0),"کد ناشناخته"),IFERROR(IF(VLOOKUP($E801,AcctTblE,4,0)="","(بدون نام)",VLOOKUP($E801,AcctTblE,4,0)),"کد ناشناخته")))</f>
        <v/>
      </c>
      <c r="G801" s="15" t="n"/>
      <c r="H801" s="16">
        <f>IF(OR($C801&lt;&gt;"دستمزد گروهی",$D801=""),"",SUMIFS(ShareAmt,ShareLink,$D801))</f>
        <v/>
      </c>
      <c r="I801" s="17">
        <f>IF($C801&lt;&gt;"دستمزد گروهی","—",IF($H801="","",IF(ROUND($H801-IF($G801="",0,$G801),0)=0,"√","▲ مغایرت "&amp;TEXT(IF($G801="",0,$G801)-$H801,"#,##0"))))</f>
        <v/>
      </c>
      <c r="J801" s="18" t="n"/>
    </row>
    <row r="802">
      <c r="A802" s="19">
        <f>IF($B802="","",COUNTA($B$9:$B802))</f>
        <v/>
      </c>
      <c r="B802" s="11" t="n"/>
      <c r="C802" s="12" t="n"/>
      <c r="D802" s="12" t="n"/>
      <c r="E802" s="13" t="n"/>
      <c r="F802" s="20">
        <f>IF($E802="","",IF($C802="دستمزد گروهی",IFERROR(VLOOKUP($E802,WGTbl,2,0),"کد ناشناخته"),IFERROR(IF(VLOOKUP($E802,AcctTblE,4,0)="","(بدون نام)",VLOOKUP($E802,AcctTblE,4,0)),"کد ناشناخته")))</f>
        <v/>
      </c>
      <c r="G802" s="15" t="n"/>
      <c r="H802" s="21">
        <f>IF(OR($C802&lt;&gt;"دستمزد گروهی",$D802=""),"",SUMIFS(ShareAmt,ShareLink,$D802))</f>
        <v/>
      </c>
      <c r="I802" s="22">
        <f>IF($C802&lt;&gt;"دستمزد گروهی","—",IF($H802="","",IF(ROUND($H802-IF($G802="",0,$G802),0)=0,"√","▲ مغایرت "&amp;TEXT(IF($G802="",0,$G802)-$H802,"#,##0"))))</f>
        <v/>
      </c>
      <c r="J802" s="18" t="n"/>
    </row>
    <row r="803">
      <c r="A803" s="10">
        <f>IF($B803="","",COUNTA($B$9:$B803))</f>
        <v/>
      </c>
      <c r="B803" s="11" t="n"/>
      <c r="C803" s="12" t="n"/>
      <c r="D803" s="12" t="n"/>
      <c r="E803" s="13" t="n"/>
      <c r="F803" s="14">
        <f>IF($E803="","",IF($C803="دستمزد گروهی",IFERROR(VLOOKUP($E803,WGTbl,2,0),"کد ناشناخته"),IFERROR(IF(VLOOKUP($E803,AcctTblE,4,0)="","(بدون نام)",VLOOKUP($E803,AcctTblE,4,0)),"کد ناشناخته")))</f>
        <v/>
      </c>
      <c r="G803" s="15" t="n"/>
      <c r="H803" s="16">
        <f>IF(OR($C803&lt;&gt;"دستمزد گروهی",$D803=""),"",SUMIFS(ShareAmt,ShareLink,$D803))</f>
        <v/>
      </c>
      <c r="I803" s="17">
        <f>IF($C803&lt;&gt;"دستمزد گروهی","—",IF($H803="","",IF(ROUND($H803-IF($G803="",0,$G803),0)=0,"√","▲ مغایرت "&amp;TEXT(IF($G803="",0,$G803)-$H803,"#,##0"))))</f>
        <v/>
      </c>
      <c r="J803" s="18" t="n"/>
    </row>
    <row r="804">
      <c r="A804" s="19">
        <f>IF($B804="","",COUNTA($B$9:$B804))</f>
        <v/>
      </c>
      <c r="B804" s="11" t="n"/>
      <c r="C804" s="12" t="n"/>
      <c r="D804" s="12" t="n"/>
      <c r="E804" s="13" t="n"/>
      <c r="F804" s="20">
        <f>IF($E804="","",IF($C804="دستمزد گروهی",IFERROR(VLOOKUP($E804,WGTbl,2,0),"کد ناشناخته"),IFERROR(IF(VLOOKUP($E804,AcctTblE,4,0)="","(بدون نام)",VLOOKUP($E804,AcctTblE,4,0)),"کد ناشناخته")))</f>
        <v/>
      </c>
      <c r="G804" s="15" t="n"/>
      <c r="H804" s="21">
        <f>IF(OR($C804&lt;&gt;"دستمزد گروهی",$D804=""),"",SUMIFS(ShareAmt,ShareLink,$D804))</f>
        <v/>
      </c>
      <c r="I804" s="22">
        <f>IF($C804&lt;&gt;"دستمزد گروهی","—",IF($H804="","",IF(ROUND($H804-IF($G804="",0,$G804),0)=0,"√","▲ مغایرت "&amp;TEXT(IF($G804="",0,$G804)-$H804,"#,##0"))))</f>
        <v/>
      </c>
      <c r="J804" s="18" t="n"/>
    </row>
    <row r="805">
      <c r="A805" s="10">
        <f>IF($B805="","",COUNTA($B$9:$B805))</f>
        <v/>
      </c>
      <c r="B805" s="11" t="n"/>
      <c r="C805" s="12" t="n"/>
      <c r="D805" s="12" t="n"/>
      <c r="E805" s="13" t="n"/>
      <c r="F805" s="14">
        <f>IF($E805="","",IF($C805="دستمزد گروهی",IFERROR(VLOOKUP($E805,WGTbl,2,0),"کد ناشناخته"),IFERROR(IF(VLOOKUP($E805,AcctTblE,4,0)="","(بدون نام)",VLOOKUP($E805,AcctTblE,4,0)),"کد ناشناخته")))</f>
        <v/>
      </c>
      <c r="G805" s="15" t="n"/>
      <c r="H805" s="16">
        <f>IF(OR($C805&lt;&gt;"دستمزد گروهی",$D805=""),"",SUMIFS(ShareAmt,ShareLink,$D805))</f>
        <v/>
      </c>
      <c r="I805" s="17">
        <f>IF($C805&lt;&gt;"دستمزد گروهی","—",IF($H805="","",IF(ROUND($H805-IF($G805="",0,$G805),0)=0,"√","▲ مغایرت "&amp;TEXT(IF($G805="",0,$G805)-$H805,"#,##0"))))</f>
        <v/>
      </c>
      <c r="J805" s="18" t="n"/>
    </row>
    <row r="806">
      <c r="A806" s="19">
        <f>IF($B806="","",COUNTA($B$9:$B806))</f>
        <v/>
      </c>
      <c r="B806" s="11" t="n"/>
      <c r="C806" s="12" t="n"/>
      <c r="D806" s="12" t="n"/>
      <c r="E806" s="13" t="n"/>
      <c r="F806" s="20">
        <f>IF($E806="","",IF($C806="دستمزد گروهی",IFERROR(VLOOKUP($E806,WGTbl,2,0),"کد ناشناخته"),IFERROR(IF(VLOOKUP($E806,AcctTblE,4,0)="","(بدون نام)",VLOOKUP($E806,AcctTblE,4,0)),"کد ناشناخته")))</f>
        <v/>
      </c>
      <c r="G806" s="15" t="n"/>
      <c r="H806" s="21">
        <f>IF(OR($C806&lt;&gt;"دستمزد گروهی",$D806=""),"",SUMIFS(ShareAmt,ShareLink,$D806))</f>
        <v/>
      </c>
      <c r="I806" s="22">
        <f>IF($C806&lt;&gt;"دستمزد گروهی","—",IF($H806="","",IF(ROUND($H806-IF($G806="",0,$G806),0)=0,"√","▲ مغایرت "&amp;TEXT(IF($G806="",0,$G806)-$H806,"#,##0"))))</f>
        <v/>
      </c>
      <c r="J806" s="18" t="n"/>
    </row>
    <row r="807">
      <c r="A807" s="10">
        <f>IF($B807="","",COUNTA($B$9:$B807))</f>
        <v/>
      </c>
      <c r="B807" s="11" t="n"/>
      <c r="C807" s="12" t="n"/>
      <c r="D807" s="12" t="n"/>
      <c r="E807" s="13" t="n"/>
      <c r="F807" s="14">
        <f>IF($E807="","",IF($C807="دستمزد گروهی",IFERROR(VLOOKUP($E807,WGTbl,2,0),"کد ناشناخته"),IFERROR(IF(VLOOKUP($E807,AcctTblE,4,0)="","(بدون نام)",VLOOKUP($E807,AcctTblE,4,0)),"کد ناشناخته")))</f>
        <v/>
      </c>
      <c r="G807" s="15" t="n"/>
      <c r="H807" s="16">
        <f>IF(OR($C807&lt;&gt;"دستمزد گروهی",$D807=""),"",SUMIFS(ShareAmt,ShareLink,$D807))</f>
        <v/>
      </c>
      <c r="I807" s="17">
        <f>IF($C807&lt;&gt;"دستمزد گروهی","—",IF($H807="","",IF(ROUND($H807-IF($G807="",0,$G807),0)=0,"√","▲ مغایرت "&amp;TEXT(IF($G807="",0,$G807)-$H807,"#,##0"))))</f>
        <v/>
      </c>
      <c r="J807" s="18" t="n"/>
    </row>
    <row r="808">
      <c r="A808" s="19">
        <f>IF($B808="","",COUNTA($B$9:$B808))</f>
        <v/>
      </c>
      <c r="B808" s="11" t="n"/>
      <c r="C808" s="12" t="n"/>
      <c r="D808" s="12" t="n"/>
      <c r="E808" s="13" t="n"/>
      <c r="F808" s="20">
        <f>IF($E808="","",IF($C808="دستمزد گروهی",IFERROR(VLOOKUP($E808,WGTbl,2,0),"کد ناشناخته"),IFERROR(IF(VLOOKUP($E808,AcctTblE,4,0)="","(بدون نام)",VLOOKUP($E808,AcctTblE,4,0)),"کد ناشناخته")))</f>
        <v/>
      </c>
      <c r="G808" s="15" t="n"/>
      <c r="H808" s="21">
        <f>IF(OR($C808&lt;&gt;"دستمزد گروهی",$D808=""),"",SUMIFS(ShareAmt,ShareLink,$D808))</f>
        <v/>
      </c>
      <c r="I808" s="22">
        <f>IF($C808&lt;&gt;"دستمزد گروهی","—",IF($H808="","",IF(ROUND($H808-IF($G808="",0,$G808),0)=0,"√","▲ مغایرت "&amp;TEXT(IF($G808="",0,$G808)-$H808,"#,##0"))))</f>
        <v/>
      </c>
      <c r="J808" s="18" t="n"/>
    </row>
    <row r="809">
      <c r="A809" s="10">
        <f>IF($B809="","",COUNTA($B$9:$B809))</f>
        <v/>
      </c>
      <c r="B809" s="11" t="n"/>
      <c r="C809" s="12" t="n"/>
      <c r="D809" s="12" t="n"/>
      <c r="E809" s="13" t="n"/>
      <c r="F809" s="14">
        <f>IF($E809="","",IF($C809="دستمزد گروهی",IFERROR(VLOOKUP($E809,WGTbl,2,0),"کد ناشناخته"),IFERROR(IF(VLOOKUP($E809,AcctTblE,4,0)="","(بدون نام)",VLOOKUP($E809,AcctTblE,4,0)),"کد ناشناخته")))</f>
        <v/>
      </c>
      <c r="G809" s="15" t="n"/>
      <c r="H809" s="16">
        <f>IF(OR($C809&lt;&gt;"دستمزد گروهی",$D809=""),"",SUMIFS(ShareAmt,ShareLink,$D809))</f>
        <v/>
      </c>
      <c r="I809" s="17">
        <f>IF($C809&lt;&gt;"دستمزد گروهی","—",IF($H809="","",IF(ROUND($H809-IF($G809="",0,$G809),0)=0,"√","▲ مغایرت "&amp;TEXT(IF($G809="",0,$G809)-$H809,"#,##0"))))</f>
        <v/>
      </c>
      <c r="J809" s="18" t="n"/>
    </row>
    <row r="810">
      <c r="A810" s="19">
        <f>IF($B810="","",COUNTA($B$9:$B810))</f>
        <v/>
      </c>
      <c r="B810" s="11" t="n"/>
      <c r="C810" s="12" t="n"/>
      <c r="D810" s="12" t="n"/>
      <c r="E810" s="13" t="n"/>
      <c r="F810" s="20">
        <f>IF($E810="","",IF($C810="دستمزد گروهی",IFERROR(VLOOKUP($E810,WGTbl,2,0),"کد ناشناخته"),IFERROR(IF(VLOOKUP($E810,AcctTblE,4,0)="","(بدون نام)",VLOOKUP($E810,AcctTblE,4,0)),"کد ناشناخته")))</f>
        <v/>
      </c>
      <c r="G810" s="15" t="n"/>
      <c r="H810" s="21">
        <f>IF(OR($C810&lt;&gt;"دستمزد گروهی",$D810=""),"",SUMIFS(ShareAmt,ShareLink,$D810))</f>
        <v/>
      </c>
      <c r="I810" s="22">
        <f>IF($C810&lt;&gt;"دستمزد گروهی","—",IF($H810="","",IF(ROUND($H810-IF($G810="",0,$G810),0)=0,"√","▲ مغایرت "&amp;TEXT(IF($G810="",0,$G810)-$H810,"#,##0"))))</f>
        <v/>
      </c>
      <c r="J810" s="18" t="n"/>
    </row>
    <row r="811">
      <c r="A811" s="10">
        <f>IF($B811="","",COUNTA($B$9:$B811))</f>
        <v/>
      </c>
      <c r="B811" s="11" t="n"/>
      <c r="C811" s="12" t="n"/>
      <c r="D811" s="12" t="n"/>
      <c r="E811" s="13" t="n"/>
      <c r="F811" s="14">
        <f>IF($E811="","",IF($C811="دستمزد گروهی",IFERROR(VLOOKUP($E811,WGTbl,2,0),"کد ناشناخته"),IFERROR(IF(VLOOKUP($E811,AcctTblE,4,0)="","(بدون نام)",VLOOKUP($E811,AcctTblE,4,0)),"کد ناشناخته")))</f>
        <v/>
      </c>
      <c r="G811" s="15" t="n"/>
      <c r="H811" s="16">
        <f>IF(OR($C811&lt;&gt;"دستمزد گروهی",$D811=""),"",SUMIFS(ShareAmt,ShareLink,$D811))</f>
        <v/>
      </c>
      <c r="I811" s="17">
        <f>IF($C811&lt;&gt;"دستمزد گروهی","—",IF($H811="","",IF(ROUND($H811-IF($G811="",0,$G811),0)=0,"√","▲ مغایرت "&amp;TEXT(IF($G811="",0,$G811)-$H811,"#,##0"))))</f>
        <v/>
      </c>
      <c r="J811" s="18" t="n"/>
    </row>
    <row r="812">
      <c r="A812" s="19">
        <f>IF($B812="","",COUNTA($B$9:$B812))</f>
        <v/>
      </c>
      <c r="B812" s="11" t="n"/>
      <c r="C812" s="12" t="n"/>
      <c r="D812" s="12" t="n"/>
      <c r="E812" s="13" t="n"/>
      <c r="F812" s="20">
        <f>IF($E812="","",IF($C812="دستمزد گروهی",IFERROR(VLOOKUP($E812,WGTbl,2,0),"کد ناشناخته"),IFERROR(IF(VLOOKUP($E812,AcctTblE,4,0)="","(بدون نام)",VLOOKUP($E812,AcctTblE,4,0)),"کد ناشناخته")))</f>
        <v/>
      </c>
      <c r="G812" s="15" t="n"/>
      <c r="H812" s="21">
        <f>IF(OR($C812&lt;&gt;"دستمزد گروهی",$D812=""),"",SUMIFS(ShareAmt,ShareLink,$D812))</f>
        <v/>
      </c>
      <c r="I812" s="22">
        <f>IF($C812&lt;&gt;"دستمزد گروهی","—",IF($H812="","",IF(ROUND($H812-IF($G812="",0,$G812),0)=0,"√","▲ مغایرت "&amp;TEXT(IF($G812="",0,$G812)-$H812,"#,##0"))))</f>
        <v/>
      </c>
      <c r="J812" s="18" t="n"/>
    </row>
    <row r="813">
      <c r="A813" s="10">
        <f>IF($B813="","",COUNTA($B$9:$B813))</f>
        <v/>
      </c>
      <c r="B813" s="11" t="n"/>
      <c r="C813" s="12" t="n"/>
      <c r="D813" s="12" t="n"/>
      <c r="E813" s="13" t="n"/>
      <c r="F813" s="14">
        <f>IF($E813="","",IF($C813="دستمزد گروهی",IFERROR(VLOOKUP($E813,WGTbl,2,0),"کد ناشناخته"),IFERROR(IF(VLOOKUP($E813,AcctTblE,4,0)="","(بدون نام)",VLOOKUP($E813,AcctTblE,4,0)),"کد ناشناخته")))</f>
        <v/>
      </c>
      <c r="G813" s="15" t="n"/>
      <c r="H813" s="16">
        <f>IF(OR($C813&lt;&gt;"دستمزد گروهی",$D813=""),"",SUMIFS(ShareAmt,ShareLink,$D813))</f>
        <v/>
      </c>
      <c r="I813" s="17">
        <f>IF($C813&lt;&gt;"دستمزد گروهی","—",IF($H813="","",IF(ROUND($H813-IF($G813="",0,$G813),0)=0,"√","▲ مغایرت "&amp;TEXT(IF($G813="",0,$G813)-$H813,"#,##0"))))</f>
        <v/>
      </c>
      <c r="J813" s="18" t="n"/>
    </row>
    <row r="814">
      <c r="A814" s="19">
        <f>IF($B814="","",COUNTA($B$9:$B814))</f>
        <v/>
      </c>
      <c r="B814" s="11" t="n"/>
      <c r="C814" s="12" t="n"/>
      <c r="D814" s="12" t="n"/>
      <c r="E814" s="13" t="n"/>
      <c r="F814" s="20">
        <f>IF($E814="","",IF($C814="دستمزد گروهی",IFERROR(VLOOKUP($E814,WGTbl,2,0),"کد ناشناخته"),IFERROR(IF(VLOOKUP($E814,AcctTblE,4,0)="","(بدون نام)",VLOOKUP($E814,AcctTblE,4,0)),"کد ناشناخته")))</f>
        <v/>
      </c>
      <c r="G814" s="15" t="n"/>
      <c r="H814" s="21">
        <f>IF(OR($C814&lt;&gt;"دستمزد گروهی",$D814=""),"",SUMIFS(ShareAmt,ShareLink,$D814))</f>
        <v/>
      </c>
      <c r="I814" s="22">
        <f>IF($C814&lt;&gt;"دستمزد گروهی","—",IF($H814="","",IF(ROUND($H814-IF($G814="",0,$G814),0)=0,"√","▲ مغایرت "&amp;TEXT(IF($G814="",0,$G814)-$H814,"#,##0"))))</f>
        <v/>
      </c>
      <c r="J814" s="18" t="n"/>
    </row>
    <row r="815">
      <c r="A815" s="10">
        <f>IF($B815="","",COUNTA($B$9:$B815))</f>
        <v/>
      </c>
      <c r="B815" s="11" t="n"/>
      <c r="C815" s="12" t="n"/>
      <c r="D815" s="12" t="n"/>
      <c r="E815" s="13" t="n"/>
      <c r="F815" s="14">
        <f>IF($E815="","",IF($C815="دستمزد گروهی",IFERROR(VLOOKUP($E815,WGTbl,2,0),"کد ناشناخته"),IFERROR(IF(VLOOKUP($E815,AcctTblE,4,0)="","(بدون نام)",VLOOKUP($E815,AcctTblE,4,0)),"کد ناشناخته")))</f>
        <v/>
      </c>
      <c r="G815" s="15" t="n"/>
      <c r="H815" s="16">
        <f>IF(OR($C815&lt;&gt;"دستمزد گروهی",$D815=""),"",SUMIFS(ShareAmt,ShareLink,$D815))</f>
        <v/>
      </c>
      <c r="I815" s="17">
        <f>IF($C815&lt;&gt;"دستمزد گروهی","—",IF($H815="","",IF(ROUND($H815-IF($G815="",0,$G815),0)=0,"√","▲ مغایرت "&amp;TEXT(IF($G815="",0,$G815)-$H815,"#,##0"))))</f>
        <v/>
      </c>
      <c r="J815" s="18" t="n"/>
    </row>
    <row r="816">
      <c r="A816" s="19">
        <f>IF($B816="","",COUNTA($B$9:$B816))</f>
        <v/>
      </c>
      <c r="B816" s="11" t="n"/>
      <c r="C816" s="12" t="n"/>
      <c r="D816" s="12" t="n"/>
      <c r="E816" s="13" t="n"/>
      <c r="F816" s="20">
        <f>IF($E816="","",IF($C816="دستمزد گروهی",IFERROR(VLOOKUP($E816,WGTbl,2,0),"کد ناشناخته"),IFERROR(IF(VLOOKUP($E816,AcctTblE,4,0)="","(بدون نام)",VLOOKUP($E816,AcctTblE,4,0)),"کد ناشناخته")))</f>
        <v/>
      </c>
      <c r="G816" s="15" t="n"/>
      <c r="H816" s="21">
        <f>IF(OR($C816&lt;&gt;"دستمزد گروهی",$D816=""),"",SUMIFS(ShareAmt,ShareLink,$D816))</f>
        <v/>
      </c>
      <c r="I816" s="22">
        <f>IF($C816&lt;&gt;"دستمزد گروهی","—",IF($H816="","",IF(ROUND($H816-IF($G816="",0,$G816),0)=0,"√","▲ مغایرت "&amp;TEXT(IF($G816="",0,$G816)-$H816,"#,##0"))))</f>
        <v/>
      </c>
      <c r="J816" s="18" t="n"/>
    </row>
    <row r="817">
      <c r="A817" s="10">
        <f>IF($B817="","",COUNTA($B$9:$B817))</f>
        <v/>
      </c>
      <c r="B817" s="11" t="n"/>
      <c r="C817" s="12" t="n"/>
      <c r="D817" s="12" t="n"/>
      <c r="E817" s="13" t="n"/>
      <c r="F817" s="14">
        <f>IF($E817="","",IF($C817="دستمزد گروهی",IFERROR(VLOOKUP($E817,WGTbl,2,0),"کد ناشناخته"),IFERROR(IF(VLOOKUP($E817,AcctTblE,4,0)="","(بدون نام)",VLOOKUP($E817,AcctTblE,4,0)),"کد ناشناخته")))</f>
        <v/>
      </c>
      <c r="G817" s="15" t="n"/>
      <c r="H817" s="16">
        <f>IF(OR($C817&lt;&gt;"دستمزد گروهی",$D817=""),"",SUMIFS(ShareAmt,ShareLink,$D817))</f>
        <v/>
      </c>
      <c r="I817" s="17">
        <f>IF($C817&lt;&gt;"دستمزد گروهی","—",IF($H817="","",IF(ROUND($H817-IF($G817="",0,$G817),0)=0,"√","▲ مغایرت "&amp;TEXT(IF($G817="",0,$G817)-$H817,"#,##0"))))</f>
        <v/>
      </c>
      <c r="J817" s="18" t="n"/>
    </row>
    <row r="818">
      <c r="A818" s="19">
        <f>IF($B818="","",COUNTA($B$9:$B818))</f>
        <v/>
      </c>
      <c r="B818" s="11" t="n"/>
      <c r="C818" s="12" t="n"/>
      <c r="D818" s="12" t="n"/>
      <c r="E818" s="13" t="n"/>
      <c r="F818" s="20">
        <f>IF($E818="","",IF($C818="دستمزد گروهی",IFERROR(VLOOKUP($E818,WGTbl,2,0),"کد ناشناخته"),IFERROR(IF(VLOOKUP($E818,AcctTblE,4,0)="","(بدون نام)",VLOOKUP($E818,AcctTblE,4,0)),"کد ناشناخته")))</f>
        <v/>
      </c>
      <c r="G818" s="15" t="n"/>
      <c r="H818" s="21">
        <f>IF(OR($C818&lt;&gt;"دستمزد گروهی",$D818=""),"",SUMIFS(ShareAmt,ShareLink,$D818))</f>
        <v/>
      </c>
      <c r="I818" s="22">
        <f>IF($C818&lt;&gt;"دستمزد گروهی","—",IF($H818="","",IF(ROUND($H818-IF($G818="",0,$G818),0)=0,"√","▲ مغایرت "&amp;TEXT(IF($G818="",0,$G818)-$H818,"#,##0"))))</f>
        <v/>
      </c>
      <c r="J818" s="18" t="n"/>
    </row>
    <row r="819">
      <c r="A819" s="10">
        <f>IF($B819="","",COUNTA($B$9:$B819))</f>
        <v/>
      </c>
      <c r="B819" s="11" t="n"/>
      <c r="C819" s="12" t="n"/>
      <c r="D819" s="12" t="n"/>
      <c r="E819" s="13" t="n"/>
      <c r="F819" s="14">
        <f>IF($E819="","",IF($C819="دستمزد گروهی",IFERROR(VLOOKUP($E819,WGTbl,2,0),"کد ناشناخته"),IFERROR(IF(VLOOKUP($E819,AcctTblE,4,0)="","(بدون نام)",VLOOKUP($E819,AcctTblE,4,0)),"کد ناشناخته")))</f>
        <v/>
      </c>
      <c r="G819" s="15" t="n"/>
      <c r="H819" s="16">
        <f>IF(OR($C819&lt;&gt;"دستمزد گروهی",$D819=""),"",SUMIFS(ShareAmt,ShareLink,$D819))</f>
        <v/>
      </c>
      <c r="I819" s="17">
        <f>IF($C819&lt;&gt;"دستمزد گروهی","—",IF($H819="","",IF(ROUND($H819-IF($G819="",0,$G819),0)=0,"√","▲ مغایرت "&amp;TEXT(IF($G819="",0,$G819)-$H819,"#,##0"))))</f>
        <v/>
      </c>
      <c r="J819" s="18" t="n"/>
    </row>
    <row r="820">
      <c r="A820" s="19">
        <f>IF($B820="","",COUNTA($B$9:$B820))</f>
        <v/>
      </c>
      <c r="B820" s="11" t="n"/>
      <c r="C820" s="12" t="n"/>
      <c r="D820" s="12" t="n"/>
      <c r="E820" s="13" t="n"/>
      <c r="F820" s="20">
        <f>IF($E820="","",IF($C820="دستمزد گروهی",IFERROR(VLOOKUP($E820,WGTbl,2,0),"کد ناشناخته"),IFERROR(IF(VLOOKUP($E820,AcctTblE,4,0)="","(بدون نام)",VLOOKUP($E820,AcctTblE,4,0)),"کد ناشناخته")))</f>
        <v/>
      </c>
      <c r="G820" s="15" t="n"/>
      <c r="H820" s="21">
        <f>IF(OR($C820&lt;&gt;"دستمزد گروهی",$D820=""),"",SUMIFS(ShareAmt,ShareLink,$D820))</f>
        <v/>
      </c>
      <c r="I820" s="22">
        <f>IF($C820&lt;&gt;"دستمزد گروهی","—",IF($H820="","",IF(ROUND($H820-IF($G820="",0,$G820),0)=0,"√","▲ مغایرت "&amp;TEXT(IF($G820="",0,$G820)-$H820,"#,##0"))))</f>
        <v/>
      </c>
      <c r="J820" s="18" t="n"/>
    </row>
    <row r="821">
      <c r="A821" s="10">
        <f>IF($B821="","",COUNTA($B$9:$B821))</f>
        <v/>
      </c>
      <c r="B821" s="11" t="n"/>
      <c r="C821" s="12" t="n"/>
      <c r="D821" s="12" t="n"/>
      <c r="E821" s="13" t="n"/>
      <c r="F821" s="14">
        <f>IF($E821="","",IF($C821="دستمزد گروهی",IFERROR(VLOOKUP($E821,WGTbl,2,0),"کد ناشناخته"),IFERROR(IF(VLOOKUP($E821,AcctTblE,4,0)="","(بدون نام)",VLOOKUP($E821,AcctTblE,4,0)),"کد ناشناخته")))</f>
        <v/>
      </c>
      <c r="G821" s="15" t="n"/>
      <c r="H821" s="16">
        <f>IF(OR($C821&lt;&gt;"دستمزد گروهی",$D821=""),"",SUMIFS(ShareAmt,ShareLink,$D821))</f>
        <v/>
      </c>
      <c r="I821" s="17">
        <f>IF($C821&lt;&gt;"دستمزد گروهی","—",IF($H821="","",IF(ROUND($H821-IF($G821="",0,$G821),0)=0,"√","▲ مغایرت "&amp;TEXT(IF($G821="",0,$G821)-$H821,"#,##0"))))</f>
        <v/>
      </c>
      <c r="J821" s="18" t="n"/>
    </row>
    <row r="822">
      <c r="A822" s="19">
        <f>IF($B822="","",COUNTA($B$9:$B822))</f>
        <v/>
      </c>
      <c r="B822" s="11" t="n"/>
      <c r="C822" s="12" t="n"/>
      <c r="D822" s="12" t="n"/>
      <c r="E822" s="13" t="n"/>
      <c r="F822" s="20">
        <f>IF($E822="","",IF($C822="دستمزد گروهی",IFERROR(VLOOKUP($E822,WGTbl,2,0),"کد ناشناخته"),IFERROR(IF(VLOOKUP($E822,AcctTblE,4,0)="","(بدون نام)",VLOOKUP($E822,AcctTblE,4,0)),"کد ناشناخته")))</f>
        <v/>
      </c>
      <c r="G822" s="15" t="n"/>
      <c r="H822" s="21">
        <f>IF(OR($C822&lt;&gt;"دستمزد گروهی",$D822=""),"",SUMIFS(ShareAmt,ShareLink,$D822))</f>
        <v/>
      </c>
      <c r="I822" s="22">
        <f>IF($C822&lt;&gt;"دستمزد گروهی","—",IF($H822="","",IF(ROUND($H822-IF($G822="",0,$G822),0)=0,"√","▲ مغایرت "&amp;TEXT(IF($G822="",0,$G822)-$H822,"#,##0"))))</f>
        <v/>
      </c>
      <c r="J822" s="18" t="n"/>
    </row>
    <row r="823">
      <c r="A823" s="10">
        <f>IF($B823="","",COUNTA($B$9:$B823))</f>
        <v/>
      </c>
      <c r="B823" s="11" t="n"/>
      <c r="C823" s="12" t="n"/>
      <c r="D823" s="12" t="n"/>
      <c r="E823" s="13" t="n"/>
      <c r="F823" s="14">
        <f>IF($E823="","",IF($C823="دستمزد گروهی",IFERROR(VLOOKUP($E823,WGTbl,2,0),"کد ناشناخته"),IFERROR(IF(VLOOKUP($E823,AcctTblE,4,0)="","(بدون نام)",VLOOKUP($E823,AcctTblE,4,0)),"کد ناشناخته")))</f>
        <v/>
      </c>
      <c r="G823" s="15" t="n"/>
      <c r="H823" s="16">
        <f>IF(OR($C823&lt;&gt;"دستمزد گروهی",$D823=""),"",SUMIFS(ShareAmt,ShareLink,$D823))</f>
        <v/>
      </c>
      <c r="I823" s="17">
        <f>IF($C823&lt;&gt;"دستمزد گروهی","—",IF($H823="","",IF(ROUND($H823-IF($G823="",0,$G823),0)=0,"√","▲ مغایرت "&amp;TEXT(IF($G823="",0,$G823)-$H823,"#,##0"))))</f>
        <v/>
      </c>
      <c r="J823" s="18" t="n"/>
    </row>
    <row r="824">
      <c r="A824" s="19">
        <f>IF($B824="","",COUNTA($B$9:$B824))</f>
        <v/>
      </c>
      <c r="B824" s="11" t="n"/>
      <c r="C824" s="12" t="n"/>
      <c r="D824" s="12" t="n"/>
      <c r="E824" s="13" t="n"/>
      <c r="F824" s="20">
        <f>IF($E824="","",IF($C824="دستمزد گروهی",IFERROR(VLOOKUP($E824,WGTbl,2,0),"کد ناشناخته"),IFERROR(IF(VLOOKUP($E824,AcctTblE,4,0)="","(بدون نام)",VLOOKUP($E824,AcctTblE,4,0)),"کد ناشناخته")))</f>
        <v/>
      </c>
      <c r="G824" s="15" t="n"/>
      <c r="H824" s="21">
        <f>IF(OR($C824&lt;&gt;"دستمزد گروهی",$D824=""),"",SUMIFS(ShareAmt,ShareLink,$D824))</f>
        <v/>
      </c>
      <c r="I824" s="22">
        <f>IF($C824&lt;&gt;"دستمزد گروهی","—",IF($H824="","",IF(ROUND($H824-IF($G824="",0,$G824),0)=0,"√","▲ مغایرت "&amp;TEXT(IF($G824="",0,$G824)-$H824,"#,##0"))))</f>
        <v/>
      </c>
      <c r="J824" s="18" t="n"/>
    </row>
    <row r="825">
      <c r="A825" s="10">
        <f>IF($B825="","",COUNTA($B$9:$B825))</f>
        <v/>
      </c>
      <c r="B825" s="11" t="n"/>
      <c r="C825" s="12" t="n"/>
      <c r="D825" s="12" t="n"/>
      <c r="E825" s="13" t="n"/>
      <c r="F825" s="14">
        <f>IF($E825="","",IF($C825="دستمزد گروهی",IFERROR(VLOOKUP($E825,WGTbl,2,0),"کد ناشناخته"),IFERROR(IF(VLOOKUP($E825,AcctTblE,4,0)="","(بدون نام)",VLOOKUP($E825,AcctTblE,4,0)),"کد ناشناخته")))</f>
        <v/>
      </c>
      <c r="G825" s="15" t="n"/>
      <c r="H825" s="16">
        <f>IF(OR($C825&lt;&gt;"دستمزد گروهی",$D825=""),"",SUMIFS(ShareAmt,ShareLink,$D825))</f>
        <v/>
      </c>
      <c r="I825" s="17">
        <f>IF($C825&lt;&gt;"دستمزد گروهی","—",IF($H825="","",IF(ROUND($H825-IF($G825="",0,$G825),0)=0,"√","▲ مغایرت "&amp;TEXT(IF($G825="",0,$G825)-$H825,"#,##0"))))</f>
        <v/>
      </c>
      <c r="J825" s="18" t="n"/>
    </row>
    <row r="826">
      <c r="A826" s="19">
        <f>IF($B826="","",COUNTA($B$9:$B826))</f>
        <v/>
      </c>
      <c r="B826" s="11" t="n"/>
      <c r="C826" s="12" t="n"/>
      <c r="D826" s="12" t="n"/>
      <c r="E826" s="13" t="n"/>
      <c r="F826" s="20">
        <f>IF($E826="","",IF($C826="دستمزد گروهی",IFERROR(VLOOKUP($E826,WGTbl,2,0),"کد ناشناخته"),IFERROR(IF(VLOOKUP($E826,AcctTblE,4,0)="","(بدون نام)",VLOOKUP($E826,AcctTblE,4,0)),"کد ناشناخته")))</f>
        <v/>
      </c>
      <c r="G826" s="15" t="n"/>
      <c r="H826" s="21">
        <f>IF(OR($C826&lt;&gt;"دستمزد گروهی",$D826=""),"",SUMIFS(ShareAmt,ShareLink,$D826))</f>
        <v/>
      </c>
      <c r="I826" s="22">
        <f>IF($C826&lt;&gt;"دستمزد گروهی","—",IF($H826="","",IF(ROUND($H826-IF($G826="",0,$G826),0)=0,"√","▲ مغایرت "&amp;TEXT(IF($G826="",0,$G826)-$H826,"#,##0"))))</f>
        <v/>
      </c>
      <c r="J826" s="18" t="n"/>
    </row>
    <row r="827">
      <c r="A827" s="10">
        <f>IF($B827="","",COUNTA($B$9:$B827))</f>
        <v/>
      </c>
      <c r="B827" s="11" t="n"/>
      <c r="C827" s="12" t="n"/>
      <c r="D827" s="12" t="n"/>
      <c r="E827" s="13" t="n"/>
      <c r="F827" s="14">
        <f>IF($E827="","",IF($C827="دستمزد گروهی",IFERROR(VLOOKUP($E827,WGTbl,2,0),"کد ناشناخته"),IFERROR(IF(VLOOKUP($E827,AcctTblE,4,0)="","(بدون نام)",VLOOKUP($E827,AcctTblE,4,0)),"کد ناشناخته")))</f>
        <v/>
      </c>
      <c r="G827" s="15" t="n"/>
      <c r="H827" s="16">
        <f>IF(OR($C827&lt;&gt;"دستمزد گروهی",$D827=""),"",SUMIFS(ShareAmt,ShareLink,$D827))</f>
        <v/>
      </c>
      <c r="I827" s="17">
        <f>IF($C827&lt;&gt;"دستمزد گروهی","—",IF($H827="","",IF(ROUND($H827-IF($G827="",0,$G827),0)=0,"√","▲ مغایرت "&amp;TEXT(IF($G827="",0,$G827)-$H827,"#,##0"))))</f>
        <v/>
      </c>
      <c r="J827" s="18" t="n"/>
    </row>
    <row r="828">
      <c r="A828" s="19">
        <f>IF($B828="","",COUNTA($B$9:$B828))</f>
        <v/>
      </c>
      <c r="B828" s="11" t="n"/>
      <c r="C828" s="12" t="n"/>
      <c r="D828" s="12" t="n"/>
      <c r="E828" s="13" t="n"/>
      <c r="F828" s="20">
        <f>IF($E828="","",IF($C828="دستمزد گروهی",IFERROR(VLOOKUP($E828,WGTbl,2,0),"کد ناشناخته"),IFERROR(IF(VLOOKUP($E828,AcctTblE,4,0)="","(بدون نام)",VLOOKUP($E828,AcctTblE,4,0)),"کد ناشناخته")))</f>
        <v/>
      </c>
      <c r="G828" s="15" t="n"/>
      <c r="H828" s="21">
        <f>IF(OR($C828&lt;&gt;"دستمزد گروهی",$D828=""),"",SUMIFS(ShareAmt,ShareLink,$D828))</f>
        <v/>
      </c>
      <c r="I828" s="22">
        <f>IF($C828&lt;&gt;"دستمزد گروهی","—",IF($H828="","",IF(ROUND($H828-IF($G828="",0,$G828),0)=0,"√","▲ مغایرت "&amp;TEXT(IF($G828="",0,$G828)-$H828,"#,##0"))))</f>
        <v/>
      </c>
      <c r="J828" s="18" t="n"/>
    </row>
    <row r="829">
      <c r="A829" s="10">
        <f>IF($B829="","",COUNTA($B$9:$B829))</f>
        <v/>
      </c>
      <c r="B829" s="11" t="n"/>
      <c r="C829" s="12" t="n"/>
      <c r="D829" s="12" t="n"/>
      <c r="E829" s="13" t="n"/>
      <c r="F829" s="14">
        <f>IF($E829="","",IF($C829="دستمزد گروهی",IFERROR(VLOOKUP($E829,WGTbl,2,0),"کد ناشناخته"),IFERROR(IF(VLOOKUP($E829,AcctTblE,4,0)="","(بدون نام)",VLOOKUP($E829,AcctTblE,4,0)),"کد ناشناخته")))</f>
        <v/>
      </c>
      <c r="G829" s="15" t="n"/>
      <c r="H829" s="16">
        <f>IF(OR($C829&lt;&gt;"دستمزد گروهی",$D829=""),"",SUMIFS(ShareAmt,ShareLink,$D829))</f>
        <v/>
      </c>
      <c r="I829" s="17">
        <f>IF($C829&lt;&gt;"دستمزد گروهی","—",IF($H829="","",IF(ROUND($H829-IF($G829="",0,$G829),0)=0,"√","▲ مغایرت "&amp;TEXT(IF($G829="",0,$G829)-$H829,"#,##0"))))</f>
        <v/>
      </c>
      <c r="J829" s="18" t="n"/>
    </row>
    <row r="830">
      <c r="A830" s="19">
        <f>IF($B830="","",COUNTA($B$9:$B830))</f>
        <v/>
      </c>
      <c r="B830" s="11" t="n"/>
      <c r="C830" s="12" t="n"/>
      <c r="D830" s="12" t="n"/>
      <c r="E830" s="13" t="n"/>
      <c r="F830" s="20">
        <f>IF($E830="","",IF($C830="دستمزد گروهی",IFERROR(VLOOKUP($E830,WGTbl,2,0),"کد ناشناخته"),IFERROR(IF(VLOOKUP($E830,AcctTblE,4,0)="","(بدون نام)",VLOOKUP($E830,AcctTblE,4,0)),"کد ناشناخته")))</f>
        <v/>
      </c>
      <c r="G830" s="15" t="n"/>
      <c r="H830" s="21">
        <f>IF(OR($C830&lt;&gt;"دستمزد گروهی",$D830=""),"",SUMIFS(ShareAmt,ShareLink,$D830))</f>
        <v/>
      </c>
      <c r="I830" s="22">
        <f>IF($C830&lt;&gt;"دستمزد گروهی","—",IF($H830="","",IF(ROUND($H830-IF($G830="",0,$G830),0)=0,"√","▲ مغایرت "&amp;TEXT(IF($G830="",0,$G830)-$H830,"#,##0"))))</f>
        <v/>
      </c>
      <c r="J830" s="18" t="n"/>
    </row>
    <row r="831">
      <c r="A831" s="10">
        <f>IF($B831="","",COUNTA($B$9:$B831))</f>
        <v/>
      </c>
      <c r="B831" s="11" t="n"/>
      <c r="C831" s="12" t="n"/>
      <c r="D831" s="12" t="n"/>
      <c r="E831" s="13" t="n"/>
      <c r="F831" s="14">
        <f>IF($E831="","",IF($C831="دستمزد گروهی",IFERROR(VLOOKUP($E831,WGTbl,2,0),"کد ناشناخته"),IFERROR(IF(VLOOKUP($E831,AcctTblE,4,0)="","(بدون نام)",VLOOKUP($E831,AcctTblE,4,0)),"کد ناشناخته")))</f>
        <v/>
      </c>
      <c r="G831" s="15" t="n"/>
      <c r="H831" s="16">
        <f>IF(OR($C831&lt;&gt;"دستمزد گروهی",$D831=""),"",SUMIFS(ShareAmt,ShareLink,$D831))</f>
        <v/>
      </c>
      <c r="I831" s="17">
        <f>IF($C831&lt;&gt;"دستمزد گروهی","—",IF($H831="","",IF(ROUND($H831-IF($G831="",0,$G831),0)=0,"√","▲ مغایرت "&amp;TEXT(IF($G831="",0,$G831)-$H831,"#,##0"))))</f>
        <v/>
      </c>
      <c r="J831" s="18" t="n"/>
    </row>
    <row r="832">
      <c r="A832" s="19">
        <f>IF($B832="","",COUNTA($B$9:$B832))</f>
        <v/>
      </c>
      <c r="B832" s="11" t="n"/>
      <c r="C832" s="12" t="n"/>
      <c r="D832" s="12" t="n"/>
      <c r="E832" s="13" t="n"/>
      <c r="F832" s="20">
        <f>IF($E832="","",IF($C832="دستمزد گروهی",IFERROR(VLOOKUP($E832,WGTbl,2,0),"کد ناشناخته"),IFERROR(IF(VLOOKUP($E832,AcctTblE,4,0)="","(بدون نام)",VLOOKUP($E832,AcctTblE,4,0)),"کد ناشناخته")))</f>
        <v/>
      </c>
      <c r="G832" s="15" t="n"/>
      <c r="H832" s="21">
        <f>IF(OR($C832&lt;&gt;"دستمزد گروهی",$D832=""),"",SUMIFS(ShareAmt,ShareLink,$D832))</f>
        <v/>
      </c>
      <c r="I832" s="22">
        <f>IF($C832&lt;&gt;"دستمزد گروهی","—",IF($H832="","",IF(ROUND($H832-IF($G832="",0,$G832),0)=0,"√","▲ مغایرت "&amp;TEXT(IF($G832="",0,$G832)-$H832,"#,##0"))))</f>
        <v/>
      </c>
      <c r="J832" s="18" t="n"/>
    </row>
    <row r="833">
      <c r="A833" s="10">
        <f>IF($B833="","",COUNTA($B$9:$B833))</f>
        <v/>
      </c>
      <c r="B833" s="11" t="n"/>
      <c r="C833" s="12" t="n"/>
      <c r="D833" s="12" t="n"/>
      <c r="E833" s="13" t="n"/>
      <c r="F833" s="14">
        <f>IF($E833="","",IF($C833="دستمزد گروهی",IFERROR(VLOOKUP($E833,WGTbl,2,0),"کد ناشناخته"),IFERROR(IF(VLOOKUP($E833,AcctTblE,4,0)="","(بدون نام)",VLOOKUP($E833,AcctTblE,4,0)),"کد ناشناخته")))</f>
        <v/>
      </c>
      <c r="G833" s="15" t="n"/>
      <c r="H833" s="16">
        <f>IF(OR($C833&lt;&gt;"دستمزد گروهی",$D833=""),"",SUMIFS(ShareAmt,ShareLink,$D833))</f>
        <v/>
      </c>
      <c r="I833" s="17">
        <f>IF($C833&lt;&gt;"دستمزد گروهی","—",IF($H833="","",IF(ROUND($H833-IF($G833="",0,$G833),0)=0,"√","▲ مغایرت "&amp;TEXT(IF($G833="",0,$G833)-$H833,"#,##0"))))</f>
        <v/>
      </c>
      <c r="J833" s="18" t="n"/>
    </row>
    <row r="834">
      <c r="A834" s="19">
        <f>IF($B834="","",COUNTA($B$9:$B834))</f>
        <v/>
      </c>
      <c r="B834" s="11" t="n"/>
      <c r="C834" s="12" t="n"/>
      <c r="D834" s="12" t="n"/>
      <c r="E834" s="13" t="n"/>
      <c r="F834" s="20">
        <f>IF($E834="","",IF($C834="دستمزد گروهی",IFERROR(VLOOKUP($E834,WGTbl,2,0),"کد ناشناخته"),IFERROR(IF(VLOOKUP($E834,AcctTblE,4,0)="","(بدون نام)",VLOOKUP($E834,AcctTblE,4,0)),"کد ناشناخته")))</f>
        <v/>
      </c>
      <c r="G834" s="15" t="n"/>
      <c r="H834" s="21">
        <f>IF(OR($C834&lt;&gt;"دستمزد گروهی",$D834=""),"",SUMIFS(ShareAmt,ShareLink,$D834))</f>
        <v/>
      </c>
      <c r="I834" s="22">
        <f>IF($C834&lt;&gt;"دستمزد گروهی","—",IF($H834="","",IF(ROUND($H834-IF($G834="",0,$G834),0)=0,"√","▲ مغایرت "&amp;TEXT(IF($G834="",0,$G834)-$H834,"#,##0"))))</f>
        <v/>
      </c>
      <c r="J834" s="18" t="n"/>
    </row>
    <row r="835">
      <c r="A835" s="10">
        <f>IF($B835="","",COUNTA($B$9:$B835))</f>
        <v/>
      </c>
      <c r="B835" s="11" t="n"/>
      <c r="C835" s="12" t="n"/>
      <c r="D835" s="12" t="n"/>
      <c r="E835" s="13" t="n"/>
      <c r="F835" s="14">
        <f>IF($E835="","",IF($C835="دستمزد گروهی",IFERROR(VLOOKUP($E835,WGTbl,2,0),"کد ناشناخته"),IFERROR(IF(VLOOKUP($E835,AcctTblE,4,0)="","(بدون نام)",VLOOKUP($E835,AcctTblE,4,0)),"کد ناشناخته")))</f>
        <v/>
      </c>
      <c r="G835" s="15" t="n"/>
      <c r="H835" s="16">
        <f>IF(OR($C835&lt;&gt;"دستمزد گروهی",$D835=""),"",SUMIFS(ShareAmt,ShareLink,$D835))</f>
        <v/>
      </c>
      <c r="I835" s="17">
        <f>IF($C835&lt;&gt;"دستمزد گروهی","—",IF($H835="","",IF(ROUND($H835-IF($G835="",0,$G835),0)=0,"√","▲ مغایرت "&amp;TEXT(IF($G835="",0,$G835)-$H835,"#,##0"))))</f>
        <v/>
      </c>
      <c r="J835" s="18" t="n"/>
    </row>
    <row r="836">
      <c r="A836" s="19">
        <f>IF($B836="","",COUNTA($B$9:$B836))</f>
        <v/>
      </c>
      <c r="B836" s="11" t="n"/>
      <c r="C836" s="12" t="n"/>
      <c r="D836" s="12" t="n"/>
      <c r="E836" s="13" t="n"/>
      <c r="F836" s="20">
        <f>IF($E836="","",IF($C836="دستمزد گروهی",IFERROR(VLOOKUP($E836,WGTbl,2,0),"کد ناشناخته"),IFERROR(IF(VLOOKUP($E836,AcctTblE,4,0)="","(بدون نام)",VLOOKUP($E836,AcctTblE,4,0)),"کد ناشناخته")))</f>
        <v/>
      </c>
      <c r="G836" s="15" t="n"/>
      <c r="H836" s="21">
        <f>IF(OR($C836&lt;&gt;"دستمزد گروهی",$D836=""),"",SUMIFS(ShareAmt,ShareLink,$D836))</f>
        <v/>
      </c>
      <c r="I836" s="22">
        <f>IF($C836&lt;&gt;"دستمزد گروهی","—",IF($H836="","",IF(ROUND($H836-IF($G836="",0,$G836),0)=0,"√","▲ مغایرت "&amp;TEXT(IF($G836="",0,$G836)-$H836,"#,##0"))))</f>
        <v/>
      </c>
      <c r="J836" s="18" t="n"/>
    </row>
    <row r="837">
      <c r="A837" s="10">
        <f>IF($B837="","",COUNTA($B$9:$B837))</f>
        <v/>
      </c>
      <c r="B837" s="11" t="n"/>
      <c r="C837" s="12" t="n"/>
      <c r="D837" s="12" t="n"/>
      <c r="E837" s="13" t="n"/>
      <c r="F837" s="14">
        <f>IF($E837="","",IF($C837="دستمزد گروهی",IFERROR(VLOOKUP($E837,WGTbl,2,0),"کد ناشناخته"),IFERROR(IF(VLOOKUP($E837,AcctTblE,4,0)="","(بدون نام)",VLOOKUP($E837,AcctTblE,4,0)),"کد ناشناخته")))</f>
        <v/>
      </c>
      <c r="G837" s="15" t="n"/>
      <c r="H837" s="16">
        <f>IF(OR($C837&lt;&gt;"دستمزد گروهی",$D837=""),"",SUMIFS(ShareAmt,ShareLink,$D837))</f>
        <v/>
      </c>
      <c r="I837" s="17">
        <f>IF($C837&lt;&gt;"دستمزد گروهی","—",IF($H837="","",IF(ROUND($H837-IF($G837="",0,$G837),0)=0,"√","▲ مغایرت "&amp;TEXT(IF($G837="",0,$G837)-$H837,"#,##0"))))</f>
        <v/>
      </c>
      <c r="J837" s="18" t="n"/>
    </row>
    <row r="838">
      <c r="A838" s="19">
        <f>IF($B838="","",COUNTA($B$9:$B838))</f>
        <v/>
      </c>
      <c r="B838" s="11" t="n"/>
      <c r="C838" s="12" t="n"/>
      <c r="D838" s="12" t="n"/>
      <c r="E838" s="13" t="n"/>
      <c r="F838" s="20">
        <f>IF($E838="","",IF($C838="دستمزد گروهی",IFERROR(VLOOKUP($E838,WGTbl,2,0),"کد ناشناخته"),IFERROR(IF(VLOOKUP($E838,AcctTblE,4,0)="","(بدون نام)",VLOOKUP($E838,AcctTblE,4,0)),"کد ناشناخته")))</f>
        <v/>
      </c>
      <c r="G838" s="15" t="n"/>
      <c r="H838" s="21">
        <f>IF(OR($C838&lt;&gt;"دستمزد گروهی",$D838=""),"",SUMIFS(ShareAmt,ShareLink,$D838))</f>
        <v/>
      </c>
      <c r="I838" s="22">
        <f>IF($C838&lt;&gt;"دستمزد گروهی","—",IF($H838="","",IF(ROUND($H838-IF($G838="",0,$G838),0)=0,"√","▲ مغایرت "&amp;TEXT(IF($G838="",0,$G838)-$H838,"#,##0"))))</f>
        <v/>
      </c>
      <c r="J838" s="18" t="n"/>
    </row>
    <row r="839">
      <c r="A839" s="10">
        <f>IF($B839="","",COUNTA($B$9:$B839))</f>
        <v/>
      </c>
      <c r="B839" s="11" t="n"/>
      <c r="C839" s="12" t="n"/>
      <c r="D839" s="12" t="n"/>
      <c r="E839" s="13" t="n"/>
      <c r="F839" s="14">
        <f>IF($E839="","",IF($C839="دستمزد گروهی",IFERROR(VLOOKUP($E839,WGTbl,2,0),"کد ناشناخته"),IFERROR(IF(VLOOKUP($E839,AcctTblE,4,0)="","(بدون نام)",VLOOKUP($E839,AcctTblE,4,0)),"کد ناشناخته")))</f>
        <v/>
      </c>
      <c r="G839" s="15" t="n"/>
      <c r="H839" s="16">
        <f>IF(OR($C839&lt;&gt;"دستمزد گروهی",$D839=""),"",SUMIFS(ShareAmt,ShareLink,$D839))</f>
        <v/>
      </c>
      <c r="I839" s="17">
        <f>IF($C839&lt;&gt;"دستمزد گروهی","—",IF($H839="","",IF(ROUND($H839-IF($G839="",0,$G839),0)=0,"√","▲ مغایرت "&amp;TEXT(IF($G839="",0,$G839)-$H839,"#,##0"))))</f>
        <v/>
      </c>
      <c r="J839" s="18" t="n"/>
    </row>
    <row r="840">
      <c r="A840" s="19">
        <f>IF($B840="","",COUNTA($B$9:$B840))</f>
        <v/>
      </c>
      <c r="B840" s="11" t="n"/>
      <c r="C840" s="12" t="n"/>
      <c r="D840" s="12" t="n"/>
      <c r="E840" s="13" t="n"/>
      <c r="F840" s="20">
        <f>IF($E840="","",IF($C840="دستمزد گروهی",IFERROR(VLOOKUP($E840,WGTbl,2,0),"کد ناشناخته"),IFERROR(IF(VLOOKUP($E840,AcctTblE,4,0)="","(بدون نام)",VLOOKUP($E840,AcctTblE,4,0)),"کد ناشناخته")))</f>
        <v/>
      </c>
      <c r="G840" s="15" t="n"/>
      <c r="H840" s="21">
        <f>IF(OR($C840&lt;&gt;"دستمزد گروهی",$D840=""),"",SUMIFS(ShareAmt,ShareLink,$D840))</f>
        <v/>
      </c>
      <c r="I840" s="22">
        <f>IF($C840&lt;&gt;"دستمزد گروهی","—",IF($H840="","",IF(ROUND($H840-IF($G840="",0,$G840),0)=0,"√","▲ مغایرت "&amp;TEXT(IF($G840="",0,$G840)-$H840,"#,##0"))))</f>
        <v/>
      </c>
      <c r="J840" s="18" t="n"/>
    </row>
    <row r="841">
      <c r="A841" s="10">
        <f>IF($B841="","",COUNTA($B$9:$B841))</f>
        <v/>
      </c>
      <c r="B841" s="11" t="n"/>
      <c r="C841" s="12" t="n"/>
      <c r="D841" s="12" t="n"/>
      <c r="E841" s="13" t="n"/>
      <c r="F841" s="14">
        <f>IF($E841="","",IF($C841="دستمزد گروهی",IFERROR(VLOOKUP($E841,WGTbl,2,0),"کد ناشناخته"),IFERROR(IF(VLOOKUP($E841,AcctTblE,4,0)="","(بدون نام)",VLOOKUP($E841,AcctTblE,4,0)),"کد ناشناخته")))</f>
        <v/>
      </c>
      <c r="G841" s="15" t="n"/>
      <c r="H841" s="16">
        <f>IF(OR($C841&lt;&gt;"دستمزد گروهی",$D841=""),"",SUMIFS(ShareAmt,ShareLink,$D841))</f>
        <v/>
      </c>
      <c r="I841" s="17">
        <f>IF($C841&lt;&gt;"دستمزد گروهی","—",IF($H841="","",IF(ROUND($H841-IF($G841="",0,$G841),0)=0,"√","▲ مغایرت "&amp;TEXT(IF($G841="",0,$G841)-$H841,"#,##0"))))</f>
        <v/>
      </c>
      <c r="J841" s="18" t="n"/>
    </row>
    <row r="842">
      <c r="A842" s="19">
        <f>IF($B842="","",COUNTA($B$9:$B842))</f>
        <v/>
      </c>
      <c r="B842" s="11" t="n"/>
      <c r="C842" s="12" t="n"/>
      <c r="D842" s="12" t="n"/>
      <c r="E842" s="13" t="n"/>
      <c r="F842" s="20">
        <f>IF($E842="","",IF($C842="دستمزد گروهی",IFERROR(VLOOKUP($E842,WGTbl,2,0),"کد ناشناخته"),IFERROR(IF(VLOOKUP($E842,AcctTblE,4,0)="","(بدون نام)",VLOOKUP($E842,AcctTblE,4,0)),"کد ناشناخته")))</f>
        <v/>
      </c>
      <c r="G842" s="15" t="n"/>
      <c r="H842" s="21">
        <f>IF(OR($C842&lt;&gt;"دستمزد گروهی",$D842=""),"",SUMIFS(ShareAmt,ShareLink,$D842))</f>
        <v/>
      </c>
      <c r="I842" s="22">
        <f>IF($C842&lt;&gt;"دستمزد گروهی","—",IF($H842="","",IF(ROUND($H842-IF($G842="",0,$G842),0)=0,"√","▲ مغایرت "&amp;TEXT(IF($G842="",0,$G842)-$H842,"#,##0"))))</f>
        <v/>
      </c>
      <c r="J842" s="18" t="n"/>
    </row>
    <row r="843">
      <c r="A843" s="10">
        <f>IF($B843="","",COUNTA($B$9:$B843))</f>
        <v/>
      </c>
      <c r="B843" s="11" t="n"/>
      <c r="C843" s="12" t="n"/>
      <c r="D843" s="12" t="n"/>
      <c r="E843" s="13" t="n"/>
      <c r="F843" s="14">
        <f>IF($E843="","",IF($C843="دستمزد گروهی",IFERROR(VLOOKUP($E843,WGTbl,2,0),"کد ناشناخته"),IFERROR(IF(VLOOKUP($E843,AcctTblE,4,0)="","(بدون نام)",VLOOKUP($E843,AcctTblE,4,0)),"کد ناشناخته")))</f>
        <v/>
      </c>
      <c r="G843" s="15" t="n"/>
      <c r="H843" s="16">
        <f>IF(OR($C843&lt;&gt;"دستمزد گروهی",$D843=""),"",SUMIFS(ShareAmt,ShareLink,$D843))</f>
        <v/>
      </c>
      <c r="I843" s="17">
        <f>IF($C843&lt;&gt;"دستمزد گروهی","—",IF($H843="","",IF(ROUND($H843-IF($G843="",0,$G843),0)=0,"√","▲ مغایرت "&amp;TEXT(IF($G843="",0,$G843)-$H843,"#,##0"))))</f>
        <v/>
      </c>
      <c r="J843" s="18" t="n"/>
    </row>
    <row r="844">
      <c r="A844" s="19">
        <f>IF($B844="","",COUNTA($B$9:$B844))</f>
        <v/>
      </c>
      <c r="B844" s="11" t="n"/>
      <c r="C844" s="12" t="n"/>
      <c r="D844" s="12" t="n"/>
      <c r="E844" s="13" t="n"/>
      <c r="F844" s="20">
        <f>IF($E844="","",IF($C844="دستمزد گروهی",IFERROR(VLOOKUP($E844,WGTbl,2,0),"کد ناشناخته"),IFERROR(IF(VLOOKUP($E844,AcctTblE,4,0)="","(بدون نام)",VLOOKUP($E844,AcctTblE,4,0)),"کد ناشناخته")))</f>
        <v/>
      </c>
      <c r="G844" s="15" t="n"/>
      <c r="H844" s="21">
        <f>IF(OR($C844&lt;&gt;"دستمزد گروهی",$D844=""),"",SUMIFS(ShareAmt,ShareLink,$D844))</f>
        <v/>
      </c>
      <c r="I844" s="22">
        <f>IF($C844&lt;&gt;"دستمزد گروهی","—",IF($H844="","",IF(ROUND($H844-IF($G844="",0,$G844),0)=0,"√","▲ مغایرت "&amp;TEXT(IF($G844="",0,$G844)-$H844,"#,##0"))))</f>
        <v/>
      </c>
      <c r="J844" s="18" t="n"/>
    </row>
    <row r="845">
      <c r="A845" s="10">
        <f>IF($B845="","",COUNTA($B$9:$B845))</f>
        <v/>
      </c>
      <c r="B845" s="11" t="n"/>
      <c r="C845" s="12" t="n"/>
      <c r="D845" s="12" t="n"/>
      <c r="E845" s="13" t="n"/>
      <c r="F845" s="14">
        <f>IF($E845="","",IF($C845="دستمزد گروهی",IFERROR(VLOOKUP($E845,WGTbl,2,0),"کد ناشناخته"),IFERROR(IF(VLOOKUP($E845,AcctTblE,4,0)="","(بدون نام)",VLOOKUP($E845,AcctTblE,4,0)),"کد ناشناخته")))</f>
        <v/>
      </c>
      <c r="G845" s="15" t="n"/>
      <c r="H845" s="16">
        <f>IF(OR($C845&lt;&gt;"دستمزد گروهی",$D845=""),"",SUMIFS(ShareAmt,ShareLink,$D845))</f>
        <v/>
      </c>
      <c r="I845" s="17">
        <f>IF($C845&lt;&gt;"دستمزد گروهی","—",IF($H845="","",IF(ROUND($H845-IF($G845="",0,$G845),0)=0,"√","▲ مغایرت "&amp;TEXT(IF($G845="",0,$G845)-$H845,"#,##0"))))</f>
        <v/>
      </c>
      <c r="J845" s="18" t="n"/>
    </row>
    <row r="846">
      <c r="A846" s="19">
        <f>IF($B846="","",COUNTA($B$9:$B846))</f>
        <v/>
      </c>
      <c r="B846" s="11" t="n"/>
      <c r="C846" s="12" t="n"/>
      <c r="D846" s="12" t="n"/>
      <c r="E846" s="13" t="n"/>
      <c r="F846" s="20">
        <f>IF($E846="","",IF($C846="دستمزد گروهی",IFERROR(VLOOKUP($E846,WGTbl,2,0),"کد ناشناخته"),IFERROR(IF(VLOOKUP($E846,AcctTblE,4,0)="","(بدون نام)",VLOOKUP($E846,AcctTblE,4,0)),"کد ناشناخته")))</f>
        <v/>
      </c>
      <c r="G846" s="15" t="n"/>
      <c r="H846" s="21">
        <f>IF(OR($C846&lt;&gt;"دستمزد گروهی",$D846=""),"",SUMIFS(ShareAmt,ShareLink,$D846))</f>
        <v/>
      </c>
      <c r="I846" s="22">
        <f>IF($C846&lt;&gt;"دستمزد گروهی","—",IF($H846="","",IF(ROUND($H846-IF($G846="",0,$G846),0)=0,"√","▲ مغایرت "&amp;TEXT(IF($G846="",0,$G846)-$H846,"#,##0"))))</f>
        <v/>
      </c>
      <c r="J846" s="18" t="n"/>
    </row>
    <row r="847">
      <c r="A847" s="10">
        <f>IF($B847="","",COUNTA($B$9:$B847))</f>
        <v/>
      </c>
      <c r="B847" s="11" t="n"/>
      <c r="C847" s="12" t="n"/>
      <c r="D847" s="12" t="n"/>
      <c r="E847" s="13" t="n"/>
      <c r="F847" s="14">
        <f>IF($E847="","",IF($C847="دستمزد گروهی",IFERROR(VLOOKUP($E847,WGTbl,2,0),"کد ناشناخته"),IFERROR(IF(VLOOKUP($E847,AcctTblE,4,0)="","(بدون نام)",VLOOKUP($E847,AcctTblE,4,0)),"کد ناشناخته")))</f>
        <v/>
      </c>
      <c r="G847" s="15" t="n"/>
      <c r="H847" s="16">
        <f>IF(OR($C847&lt;&gt;"دستمزد گروهی",$D847=""),"",SUMIFS(ShareAmt,ShareLink,$D847))</f>
        <v/>
      </c>
      <c r="I847" s="17">
        <f>IF($C847&lt;&gt;"دستمزد گروهی","—",IF($H847="","",IF(ROUND($H847-IF($G847="",0,$G847),0)=0,"√","▲ مغایرت "&amp;TEXT(IF($G847="",0,$G847)-$H847,"#,##0"))))</f>
        <v/>
      </c>
      <c r="J847" s="18" t="n"/>
    </row>
    <row r="848">
      <c r="A848" s="19">
        <f>IF($B848="","",COUNTA($B$9:$B848))</f>
        <v/>
      </c>
      <c r="B848" s="11" t="n"/>
      <c r="C848" s="12" t="n"/>
      <c r="D848" s="12" t="n"/>
      <c r="E848" s="13" t="n"/>
      <c r="F848" s="20">
        <f>IF($E848="","",IF($C848="دستمزد گروهی",IFERROR(VLOOKUP($E848,WGTbl,2,0),"کد ناشناخته"),IFERROR(IF(VLOOKUP($E848,AcctTblE,4,0)="","(بدون نام)",VLOOKUP($E848,AcctTblE,4,0)),"کد ناشناخته")))</f>
        <v/>
      </c>
      <c r="G848" s="15" t="n"/>
      <c r="H848" s="21">
        <f>IF(OR($C848&lt;&gt;"دستمزد گروهی",$D848=""),"",SUMIFS(ShareAmt,ShareLink,$D848))</f>
        <v/>
      </c>
      <c r="I848" s="22">
        <f>IF($C848&lt;&gt;"دستمزد گروهی","—",IF($H848="","",IF(ROUND($H848-IF($G848="",0,$G848),0)=0,"√","▲ مغایرت "&amp;TEXT(IF($G848="",0,$G848)-$H848,"#,##0"))))</f>
        <v/>
      </c>
      <c r="J848" s="18" t="n"/>
    </row>
    <row r="849">
      <c r="A849" s="10">
        <f>IF($B849="","",COUNTA($B$9:$B849))</f>
        <v/>
      </c>
      <c r="B849" s="11" t="n"/>
      <c r="C849" s="12" t="n"/>
      <c r="D849" s="12" t="n"/>
      <c r="E849" s="13" t="n"/>
      <c r="F849" s="14">
        <f>IF($E849="","",IF($C849="دستمزد گروهی",IFERROR(VLOOKUP($E849,WGTbl,2,0),"کد ناشناخته"),IFERROR(IF(VLOOKUP($E849,AcctTblE,4,0)="","(بدون نام)",VLOOKUP($E849,AcctTblE,4,0)),"کد ناشناخته")))</f>
        <v/>
      </c>
      <c r="G849" s="15" t="n"/>
      <c r="H849" s="16">
        <f>IF(OR($C849&lt;&gt;"دستمزد گروهی",$D849=""),"",SUMIFS(ShareAmt,ShareLink,$D849))</f>
        <v/>
      </c>
      <c r="I849" s="17">
        <f>IF($C849&lt;&gt;"دستمزد گروهی","—",IF($H849="","",IF(ROUND($H849-IF($G849="",0,$G849),0)=0,"√","▲ مغایرت "&amp;TEXT(IF($G849="",0,$G849)-$H849,"#,##0"))))</f>
        <v/>
      </c>
      <c r="J849" s="18" t="n"/>
    </row>
    <row r="850">
      <c r="A850" s="19">
        <f>IF($B850="","",COUNTA($B$9:$B850))</f>
        <v/>
      </c>
      <c r="B850" s="11" t="n"/>
      <c r="C850" s="12" t="n"/>
      <c r="D850" s="12" t="n"/>
      <c r="E850" s="13" t="n"/>
      <c r="F850" s="20">
        <f>IF($E850="","",IF($C850="دستمزد گروهی",IFERROR(VLOOKUP($E850,WGTbl,2,0),"کد ناشناخته"),IFERROR(IF(VLOOKUP($E850,AcctTblE,4,0)="","(بدون نام)",VLOOKUP($E850,AcctTblE,4,0)),"کد ناشناخته")))</f>
        <v/>
      </c>
      <c r="G850" s="15" t="n"/>
      <c r="H850" s="21">
        <f>IF(OR($C850&lt;&gt;"دستمزد گروهی",$D850=""),"",SUMIFS(ShareAmt,ShareLink,$D850))</f>
        <v/>
      </c>
      <c r="I850" s="22">
        <f>IF($C850&lt;&gt;"دستمزد گروهی","—",IF($H850="","",IF(ROUND($H850-IF($G850="",0,$G850),0)=0,"√","▲ مغایرت "&amp;TEXT(IF($G850="",0,$G850)-$H850,"#,##0"))))</f>
        <v/>
      </c>
      <c r="J850" s="18" t="n"/>
    </row>
    <row r="851">
      <c r="A851" s="10">
        <f>IF($B851="","",COUNTA($B$9:$B851))</f>
        <v/>
      </c>
      <c r="B851" s="11" t="n"/>
      <c r="C851" s="12" t="n"/>
      <c r="D851" s="12" t="n"/>
      <c r="E851" s="13" t="n"/>
      <c r="F851" s="14">
        <f>IF($E851="","",IF($C851="دستمزد گروهی",IFERROR(VLOOKUP($E851,WGTbl,2,0),"کد ناشناخته"),IFERROR(IF(VLOOKUP($E851,AcctTblE,4,0)="","(بدون نام)",VLOOKUP($E851,AcctTblE,4,0)),"کد ناشناخته")))</f>
        <v/>
      </c>
      <c r="G851" s="15" t="n"/>
      <c r="H851" s="16">
        <f>IF(OR($C851&lt;&gt;"دستمزد گروهی",$D851=""),"",SUMIFS(ShareAmt,ShareLink,$D851))</f>
        <v/>
      </c>
      <c r="I851" s="17">
        <f>IF($C851&lt;&gt;"دستمزد گروهی","—",IF($H851="","",IF(ROUND($H851-IF($G851="",0,$G851),0)=0,"√","▲ مغایرت "&amp;TEXT(IF($G851="",0,$G851)-$H851,"#,##0"))))</f>
        <v/>
      </c>
      <c r="J851" s="18" t="n"/>
    </row>
    <row r="852">
      <c r="A852" s="19">
        <f>IF($B852="","",COUNTA($B$9:$B852))</f>
        <v/>
      </c>
      <c r="B852" s="11" t="n"/>
      <c r="C852" s="12" t="n"/>
      <c r="D852" s="12" t="n"/>
      <c r="E852" s="13" t="n"/>
      <c r="F852" s="20">
        <f>IF($E852="","",IF($C852="دستمزد گروهی",IFERROR(VLOOKUP($E852,WGTbl,2,0),"کد ناشناخته"),IFERROR(IF(VLOOKUP($E852,AcctTblE,4,0)="","(بدون نام)",VLOOKUP($E852,AcctTblE,4,0)),"کد ناشناخته")))</f>
        <v/>
      </c>
      <c r="G852" s="15" t="n"/>
      <c r="H852" s="21">
        <f>IF(OR($C852&lt;&gt;"دستمزد گروهی",$D852=""),"",SUMIFS(ShareAmt,ShareLink,$D852))</f>
        <v/>
      </c>
      <c r="I852" s="22">
        <f>IF($C852&lt;&gt;"دستمزد گروهی","—",IF($H852="","",IF(ROUND($H852-IF($G852="",0,$G852),0)=0,"√","▲ مغایرت "&amp;TEXT(IF($G852="",0,$G852)-$H852,"#,##0"))))</f>
        <v/>
      </c>
      <c r="J852" s="18" t="n"/>
    </row>
    <row r="853">
      <c r="A853" s="10">
        <f>IF($B853="","",COUNTA($B$9:$B853))</f>
        <v/>
      </c>
      <c r="B853" s="11" t="n"/>
      <c r="C853" s="12" t="n"/>
      <c r="D853" s="12" t="n"/>
      <c r="E853" s="13" t="n"/>
      <c r="F853" s="14">
        <f>IF($E853="","",IF($C853="دستمزد گروهی",IFERROR(VLOOKUP($E853,WGTbl,2,0),"کد ناشناخته"),IFERROR(IF(VLOOKUP($E853,AcctTblE,4,0)="","(بدون نام)",VLOOKUP($E853,AcctTblE,4,0)),"کد ناشناخته")))</f>
        <v/>
      </c>
      <c r="G853" s="15" t="n"/>
      <c r="H853" s="16">
        <f>IF(OR($C853&lt;&gt;"دستمزد گروهی",$D853=""),"",SUMIFS(ShareAmt,ShareLink,$D853))</f>
        <v/>
      </c>
      <c r="I853" s="17">
        <f>IF($C853&lt;&gt;"دستمزد گروهی","—",IF($H853="","",IF(ROUND($H853-IF($G853="",0,$G853),0)=0,"√","▲ مغایرت "&amp;TEXT(IF($G853="",0,$G853)-$H853,"#,##0"))))</f>
        <v/>
      </c>
      <c r="J853" s="18" t="n"/>
    </row>
    <row r="854">
      <c r="A854" s="19">
        <f>IF($B854="","",COUNTA($B$9:$B854))</f>
        <v/>
      </c>
      <c r="B854" s="11" t="n"/>
      <c r="C854" s="12" t="n"/>
      <c r="D854" s="12" t="n"/>
      <c r="E854" s="13" t="n"/>
      <c r="F854" s="20">
        <f>IF($E854="","",IF($C854="دستمزد گروهی",IFERROR(VLOOKUP($E854,WGTbl,2,0),"کد ناشناخته"),IFERROR(IF(VLOOKUP($E854,AcctTblE,4,0)="","(بدون نام)",VLOOKUP($E854,AcctTblE,4,0)),"کد ناشناخته")))</f>
        <v/>
      </c>
      <c r="G854" s="15" t="n"/>
      <c r="H854" s="21">
        <f>IF(OR($C854&lt;&gt;"دستمزد گروهی",$D854=""),"",SUMIFS(ShareAmt,ShareLink,$D854))</f>
        <v/>
      </c>
      <c r="I854" s="22">
        <f>IF($C854&lt;&gt;"دستمزد گروهی","—",IF($H854="","",IF(ROUND($H854-IF($G854="",0,$G854),0)=0,"√","▲ مغایرت "&amp;TEXT(IF($G854="",0,$G854)-$H854,"#,##0"))))</f>
        <v/>
      </c>
      <c r="J854" s="18" t="n"/>
    </row>
    <row r="855">
      <c r="A855" s="10">
        <f>IF($B855="","",COUNTA($B$9:$B855))</f>
        <v/>
      </c>
      <c r="B855" s="11" t="n"/>
      <c r="C855" s="12" t="n"/>
      <c r="D855" s="12" t="n"/>
      <c r="E855" s="13" t="n"/>
      <c r="F855" s="14">
        <f>IF($E855="","",IF($C855="دستمزد گروهی",IFERROR(VLOOKUP($E855,WGTbl,2,0),"کد ناشناخته"),IFERROR(IF(VLOOKUP($E855,AcctTblE,4,0)="","(بدون نام)",VLOOKUP($E855,AcctTblE,4,0)),"کد ناشناخته")))</f>
        <v/>
      </c>
      <c r="G855" s="15" t="n"/>
      <c r="H855" s="16">
        <f>IF(OR($C855&lt;&gt;"دستمزد گروهی",$D855=""),"",SUMIFS(ShareAmt,ShareLink,$D855))</f>
        <v/>
      </c>
      <c r="I855" s="17">
        <f>IF($C855&lt;&gt;"دستمزد گروهی","—",IF($H855="","",IF(ROUND($H855-IF($G855="",0,$G855),0)=0,"√","▲ مغایرت "&amp;TEXT(IF($G855="",0,$G855)-$H855,"#,##0"))))</f>
        <v/>
      </c>
      <c r="J855" s="18" t="n"/>
    </row>
    <row r="856">
      <c r="A856" s="19">
        <f>IF($B856="","",COUNTA($B$9:$B856))</f>
        <v/>
      </c>
      <c r="B856" s="11" t="n"/>
      <c r="C856" s="12" t="n"/>
      <c r="D856" s="12" t="n"/>
      <c r="E856" s="13" t="n"/>
      <c r="F856" s="20">
        <f>IF($E856="","",IF($C856="دستمزد گروهی",IFERROR(VLOOKUP($E856,WGTbl,2,0),"کد ناشناخته"),IFERROR(IF(VLOOKUP($E856,AcctTblE,4,0)="","(بدون نام)",VLOOKUP($E856,AcctTblE,4,0)),"کد ناشناخته")))</f>
        <v/>
      </c>
      <c r="G856" s="15" t="n"/>
      <c r="H856" s="21">
        <f>IF(OR($C856&lt;&gt;"دستمزد گروهی",$D856=""),"",SUMIFS(ShareAmt,ShareLink,$D856))</f>
        <v/>
      </c>
      <c r="I856" s="22">
        <f>IF($C856&lt;&gt;"دستمزد گروهی","—",IF($H856="","",IF(ROUND($H856-IF($G856="",0,$G856),0)=0,"√","▲ مغایرت "&amp;TEXT(IF($G856="",0,$G856)-$H856,"#,##0"))))</f>
        <v/>
      </c>
      <c r="J856" s="18" t="n"/>
    </row>
    <row r="857">
      <c r="A857" s="10">
        <f>IF($B857="","",COUNTA($B$9:$B857))</f>
        <v/>
      </c>
      <c r="B857" s="11" t="n"/>
      <c r="C857" s="12" t="n"/>
      <c r="D857" s="12" t="n"/>
      <c r="E857" s="13" t="n"/>
      <c r="F857" s="14">
        <f>IF($E857="","",IF($C857="دستمزد گروهی",IFERROR(VLOOKUP($E857,WGTbl,2,0),"کد ناشناخته"),IFERROR(IF(VLOOKUP($E857,AcctTblE,4,0)="","(بدون نام)",VLOOKUP($E857,AcctTblE,4,0)),"کد ناشناخته")))</f>
        <v/>
      </c>
      <c r="G857" s="15" t="n"/>
      <c r="H857" s="16">
        <f>IF(OR($C857&lt;&gt;"دستمزد گروهی",$D857=""),"",SUMIFS(ShareAmt,ShareLink,$D857))</f>
        <v/>
      </c>
      <c r="I857" s="17">
        <f>IF($C857&lt;&gt;"دستمزد گروهی","—",IF($H857="","",IF(ROUND($H857-IF($G857="",0,$G857),0)=0,"√","▲ مغایرت "&amp;TEXT(IF($G857="",0,$G857)-$H857,"#,##0"))))</f>
        <v/>
      </c>
      <c r="J857" s="18" t="n"/>
    </row>
    <row r="858">
      <c r="A858" s="19">
        <f>IF($B858="","",COUNTA($B$9:$B858))</f>
        <v/>
      </c>
      <c r="B858" s="11" t="n"/>
      <c r="C858" s="12" t="n"/>
      <c r="D858" s="12" t="n"/>
      <c r="E858" s="13" t="n"/>
      <c r="F858" s="20">
        <f>IF($E858="","",IF($C858="دستمزد گروهی",IFERROR(VLOOKUP($E858,WGTbl,2,0),"کد ناشناخته"),IFERROR(IF(VLOOKUP($E858,AcctTblE,4,0)="","(بدون نام)",VLOOKUP($E858,AcctTblE,4,0)),"کد ناشناخته")))</f>
        <v/>
      </c>
      <c r="G858" s="15" t="n"/>
      <c r="H858" s="21">
        <f>IF(OR($C858&lt;&gt;"دستمزد گروهی",$D858=""),"",SUMIFS(ShareAmt,ShareLink,$D858))</f>
        <v/>
      </c>
      <c r="I858" s="22">
        <f>IF($C858&lt;&gt;"دستمزد گروهی","—",IF($H858="","",IF(ROUND($H858-IF($G858="",0,$G858),0)=0,"√","▲ مغایرت "&amp;TEXT(IF($G858="",0,$G858)-$H858,"#,##0"))))</f>
        <v/>
      </c>
      <c r="J858" s="18" t="n"/>
    </row>
    <row r="859">
      <c r="A859" s="10">
        <f>IF($B859="","",COUNTA($B$9:$B859))</f>
        <v/>
      </c>
      <c r="B859" s="11" t="n"/>
      <c r="C859" s="12" t="n"/>
      <c r="D859" s="12" t="n"/>
      <c r="E859" s="13" t="n"/>
      <c r="F859" s="14">
        <f>IF($E859="","",IF($C859="دستمزد گروهی",IFERROR(VLOOKUP($E859,WGTbl,2,0),"کد ناشناخته"),IFERROR(IF(VLOOKUP($E859,AcctTblE,4,0)="","(بدون نام)",VLOOKUP($E859,AcctTblE,4,0)),"کد ناشناخته")))</f>
        <v/>
      </c>
      <c r="G859" s="15" t="n"/>
      <c r="H859" s="16">
        <f>IF(OR($C859&lt;&gt;"دستمزد گروهی",$D859=""),"",SUMIFS(ShareAmt,ShareLink,$D859))</f>
        <v/>
      </c>
      <c r="I859" s="17">
        <f>IF($C859&lt;&gt;"دستمزد گروهی","—",IF($H859="","",IF(ROUND($H859-IF($G859="",0,$G859),0)=0,"√","▲ مغایرت "&amp;TEXT(IF($G859="",0,$G859)-$H859,"#,##0"))))</f>
        <v/>
      </c>
      <c r="J859" s="18" t="n"/>
    </row>
    <row r="860">
      <c r="A860" s="19">
        <f>IF($B860="","",COUNTA($B$9:$B860))</f>
        <v/>
      </c>
      <c r="B860" s="11" t="n"/>
      <c r="C860" s="12" t="n"/>
      <c r="D860" s="12" t="n"/>
      <c r="E860" s="13" t="n"/>
      <c r="F860" s="20">
        <f>IF($E860="","",IF($C860="دستمزد گروهی",IFERROR(VLOOKUP($E860,WGTbl,2,0),"کد ناشناخته"),IFERROR(IF(VLOOKUP($E860,AcctTblE,4,0)="","(بدون نام)",VLOOKUP($E860,AcctTblE,4,0)),"کد ناشناخته")))</f>
        <v/>
      </c>
      <c r="G860" s="15" t="n"/>
      <c r="H860" s="21">
        <f>IF(OR($C860&lt;&gt;"دستمزد گروهی",$D860=""),"",SUMIFS(ShareAmt,ShareLink,$D860))</f>
        <v/>
      </c>
      <c r="I860" s="22">
        <f>IF($C860&lt;&gt;"دستمزد گروهی","—",IF($H860="","",IF(ROUND($H860-IF($G860="",0,$G860),0)=0,"√","▲ مغایرت "&amp;TEXT(IF($G860="",0,$G860)-$H860,"#,##0"))))</f>
        <v/>
      </c>
      <c r="J860" s="18" t="n"/>
    </row>
    <row r="861">
      <c r="A861" s="10">
        <f>IF($B861="","",COUNTA($B$9:$B861))</f>
        <v/>
      </c>
      <c r="B861" s="11" t="n"/>
      <c r="C861" s="12" t="n"/>
      <c r="D861" s="12" t="n"/>
      <c r="E861" s="13" t="n"/>
      <c r="F861" s="14">
        <f>IF($E861="","",IF($C861="دستمزد گروهی",IFERROR(VLOOKUP($E861,WGTbl,2,0),"کد ناشناخته"),IFERROR(IF(VLOOKUP($E861,AcctTblE,4,0)="","(بدون نام)",VLOOKUP($E861,AcctTblE,4,0)),"کد ناشناخته")))</f>
        <v/>
      </c>
      <c r="G861" s="15" t="n"/>
      <c r="H861" s="16">
        <f>IF(OR($C861&lt;&gt;"دستمزد گروهی",$D861=""),"",SUMIFS(ShareAmt,ShareLink,$D861))</f>
        <v/>
      </c>
      <c r="I861" s="17">
        <f>IF($C861&lt;&gt;"دستمزد گروهی","—",IF($H861="","",IF(ROUND($H861-IF($G861="",0,$G861),0)=0,"√","▲ مغایرت "&amp;TEXT(IF($G861="",0,$G861)-$H861,"#,##0"))))</f>
        <v/>
      </c>
      <c r="J861" s="18" t="n"/>
    </row>
    <row r="862">
      <c r="A862" s="19">
        <f>IF($B862="","",COUNTA($B$9:$B862))</f>
        <v/>
      </c>
      <c r="B862" s="11" t="n"/>
      <c r="C862" s="12" t="n"/>
      <c r="D862" s="12" t="n"/>
      <c r="E862" s="13" t="n"/>
      <c r="F862" s="20">
        <f>IF($E862="","",IF($C862="دستمزد گروهی",IFERROR(VLOOKUP($E862,WGTbl,2,0),"کد ناشناخته"),IFERROR(IF(VLOOKUP($E862,AcctTblE,4,0)="","(بدون نام)",VLOOKUP($E862,AcctTblE,4,0)),"کد ناشناخته")))</f>
        <v/>
      </c>
      <c r="G862" s="15" t="n"/>
      <c r="H862" s="21">
        <f>IF(OR($C862&lt;&gt;"دستمزد گروهی",$D862=""),"",SUMIFS(ShareAmt,ShareLink,$D862))</f>
        <v/>
      </c>
      <c r="I862" s="22">
        <f>IF($C862&lt;&gt;"دستمزد گروهی","—",IF($H862="","",IF(ROUND($H862-IF($G862="",0,$G862),0)=0,"√","▲ مغایرت "&amp;TEXT(IF($G862="",0,$G862)-$H862,"#,##0"))))</f>
        <v/>
      </c>
      <c r="J862" s="18" t="n"/>
    </row>
    <row r="863">
      <c r="A863" s="10">
        <f>IF($B863="","",COUNTA($B$9:$B863))</f>
        <v/>
      </c>
      <c r="B863" s="11" t="n"/>
      <c r="C863" s="12" t="n"/>
      <c r="D863" s="12" t="n"/>
      <c r="E863" s="13" t="n"/>
      <c r="F863" s="14">
        <f>IF($E863="","",IF($C863="دستمزد گروهی",IFERROR(VLOOKUP($E863,WGTbl,2,0),"کد ناشناخته"),IFERROR(IF(VLOOKUP($E863,AcctTblE,4,0)="","(بدون نام)",VLOOKUP($E863,AcctTblE,4,0)),"کد ناشناخته")))</f>
        <v/>
      </c>
      <c r="G863" s="15" t="n"/>
      <c r="H863" s="16">
        <f>IF(OR($C863&lt;&gt;"دستمزد گروهی",$D863=""),"",SUMIFS(ShareAmt,ShareLink,$D863))</f>
        <v/>
      </c>
      <c r="I863" s="17">
        <f>IF($C863&lt;&gt;"دستمزد گروهی","—",IF($H863="","",IF(ROUND($H863-IF($G863="",0,$G863),0)=0,"√","▲ مغایرت "&amp;TEXT(IF($G863="",0,$G863)-$H863,"#,##0"))))</f>
        <v/>
      </c>
      <c r="J863" s="18" t="n"/>
    </row>
    <row r="864">
      <c r="A864" s="19">
        <f>IF($B864="","",COUNTA($B$9:$B864))</f>
        <v/>
      </c>
      <c r="B864" s="11" t="n"/>
      <c r="C864" s="12" t="n"/>
      <c r="D864" s="12" t="n"/>
      <c r="E864" s="13" t="n"/>
      <c r="F864" s="20">
        <f>IF($E864="","",IF($C864="دستمزد گروهی",IFERROR(VLOOKUP($E864,WGTbl,2,0),"کد ناشناخته"),IFERROR(IF(VLOOKUP($E864,AcctTblE,4,0)="","(بدون نام)",VLOOKUP($E864,AcctTblE,4,0)),"کد ناشناخته")))</f>
        <v/>
      </c>
      <c r="G864" s="15" t="n"/>
      <c r="H864" s="21">
        <f>IF(OR($C864&lt;&gt;"دستمزد گروهی",$D864=""),"",SUMIFS(ShareAmt,ShareLink,$D864))</f>
        <v/>
      </c>
      <c r="I864" s="22">
        <f>IF($C864&lt;&gt;"دستمزد گروهی","—",IF($H864="","",IF(ROUND($H864-IF($G864="",0,$G864),0)=0,"√","▲ مغایرت "&amp;TEXT(IF($G864="",0,$G864)-$H864,"#,##0"))))</f>
        <v/>
      </c>
      <c r="J864" s="18" t="n"/>
    </row>
    <row r="865">
      <c r="A865" s="10">
        <f>IF($B865="","",COUNTA($B$9:$B865))</f>
        <v/>
      </c>
      <c r="B865" s="11" t="n"/>
      <c r="C865" s="12" t="n"/>
      <c r="D865" s="12" t="n"/>
      <c r="E865" s="13" t="n"/>
      <c r="F865" s="14">
        <f>IF($E865="","",IF($C865="دستمزد گروهی",IFERROR(VLOOKUP($E865,WGTbl,2,0),"کد ناشناخته"),IFERROR(IF(VLOOKUP($E865,AcctTblE,4,0)="","(بدون نام)",VLOOKUP($E865,AcctTblE,4,0)),"کد ناشناخته")))</f>
        <v/>
      </c>
      <c r="G865" s="15" t="n"/>
      <c r="H865" s="16">
        <f>IF(OR($C865&lt;&gt;"دستمزد گروهی",$D865=""),"",SUMIFS(ShareAmt,ShareLink,$D865))</f>
        <v/>
      </c>
      <c r="I865" s="17">
        <f>IF($C865&lt;&gt;"دستمزد گروهی","—",IF($H865="","",IF(ROUND($H865-IF($G865="",0,$G865),0)=0,"√","▲ مغایرت "&amp;TEXT(IF($G865="",0,$G865)-$H865,"#,##0"))))</f>
        <v/>
      </c>
      <c r="J865" s="18" t="n"/>
    </row>
    <row r="866">
      <c r="A866" s="19">
        <f>IF($B866="","",COUNTA($B$9:$B866))</f>
        <v/>
      </c>
      <c r="B866" s="11" t="n"/>
      <c r="C866" s="12" t="n"/>
      <c r="D866" s="12" t="n"/>
      <c r="E866" s="13" t="n"/>
      <c r="F866" s="20">
        <f>IF($E866="","",IF($C866="دستمزد گروهی",IFERROR(VLOOKUP($E866,WGTbl,2,0),"کد ناشناخته"),IFERROR(IF(VLOOKUP($E866,AcctTblE,4,0)="","(بدون نام)",VLOOKUP($E866,AcctTblE,4,0)),"کد ناشناخته")))</f>
        <v/>
      </c>
      <c r="G866" s="15" t="n"/>
      <c r="H866" s="21">
        <f>IF(OR($C866&lt;&gt;"دستمزد گروهی",$D866=""),"",SUMIFS(ShareAmt,ShareLink,$D866))</f>
        <v/>
      </c>
      <c r="I866" s="22">
        <f>IF($C866&lt;&gt;"دستمزد گروهی","—",IF($H866="","",IF(ROUND($H866-IF($G866="",0,$G866),0)=0,"√","▲ مغایرت "&amp;TEXT(IF($G866="",0,$G866)-$H866,"#,##0"))))</f>
        <v/>
      </c>
      <c r="J866" s="18" t="n"/>
    </row>
    <row r="867">
      <c r="A867" s="10">
        <f>IF($B867="","",COUNTA($B$9:$B867))</f>
        <v/>
      </c>
      <c r="B867" s="11" t="n"/>
      <c r="C867" s="12" t="n"/>
      <c r="D867" s="12" t="n"/>
      <c r="E867" s="13" t="n"/>
      <c r="F867" s="14">
        <f>IF($E867="","",IF($C867="دستمزد گروهی",IFERROR(VLOOKUP($E867,WGTbl,2,0),"کد ناشناخته"),IFERROR(IF(VLOOKUP($E867,AcctTblE,4,0)="","(بدون نام)",VLOOKUP($E867,AcctTblE,4,0)),"کد ناشناخته")))</f>
        <v/>
      </c>
      <c r="G867" s="15" t="n"/>
      <c r="H867" s="16">
        <f>IF(OR($C867&lt;&gt;"دستمزد گروهی",$D867=""),"",SUMIFS(ShareAmt,ShareLink,$D867))</f>
        <v/>
      </c>
      <c r="I867" s="17">
        <f>IF($C867&lt;&gt;"دستمزد گروهی","—",IF($H867="","",IF(ROUND($H867-IF($G867="",0,$G867),0)=0,"√","▲ مغایرت "&amp;TEXT(IF($G867="",0,$G867)-$H867,"#,##0"))))</f>
        <v/>
      </c>
      <c r="J867" s="18" t="n"/>
    </row>
    <row r="868">
      <c r="A868" s="19">
        <f>IF($B868="","",COUNTA($B$9:$B868))</f>
        <v/>
      </c>
      <c r="B868" s="11" t="n"/>
      <c r="C868" s="12" t="n"/>
      <c r="D868" s="12" t="n"/>
      <c r="E868" s="13" t="n"/>
      <c r="F868" s="20">
        <f>IF($E868="","",IF($C868="دستمزد گروهی",IFERROR(VLOOKUP($E868,WGTbl,2,0),"کد ناشناخته"),IFERROR(IF(VLOOKUP($E868,AcctTblE,4,0)="","(بدون نام)",VLOOKUP($E868,AcctTblE,4,0)),"کد ناشناخته")))</f>
        <v/>
      </c>
      <c r="G868" s="15" t="n"/>
      <c r="H868" s="21">
        <f>IF(OR($C868&lt;&gt;"دستمزد گروهی",$D868=""),"",SUMIFS(ShareAmt,ShareLink,$D868))</f>
        <v/>
      </c>
      <c r="I868" s="22">
        <f>IF($C868&lt;&gt;"دستمزد گروهی","—",IF($H868="","",IF(ROUND($H868-IF($G868="",0,$G868),0)=0,"√","▲ مغایرت "&amp;TEXT(IF($G868="",0,$G868)-$H868,"#,##0"))))</f>
        <v/>
      </c>
      <c r="J868" s="18" t="n"/>
    </row>
    <row r="869">
      <c r="A869" s="10">
        <f>IF($B869="","",COUNTA($B$9:$B869))</f>
        <v/>
      </c>
      <c r="B869" s="11" t="n"/>
      <c r="C869" s="12" t="n"/>
      <c r="D869" s="12" t="n"/>
      <c r="E869" s="13" t="n"/>
      <c r="F869" s="14">
        <f>IF($E869="","",IF($C869="دستمزد گروهی",IFERROR(VLOOKUP($E869,WGTbl,2,0),"کد ناشناخته"),IFERROR(IF(VLOOKUP($E869,AcctTblE,4,0)="","(بدون نام)",VLOOKUP($E869,AcctTblE,4,0)),"کد ناشناخته")))</f>
        <v/>
      </c>
      <c r="G869" s="15" t="n"/>
      <c r="H869" s="16">
        <f>IF(OR($C869&lt;&gt;"دستمزد گروهی",$D869=""),"",SUMIFS(ShareAmt,ShareLink,$D869))</f>
        <v/>
      </c>
      <c r="I869" s="17">
        <f>IF($C869&lt;&gt;"دستمزد گروهی","—",IF($H869="","",IF(ROUND($H869-IF($G869="",0,$G869),0)=0,"√","▲ مغایرت "&amp;TEXT(IF($G869="",0,$G869)-$H869,"#,##0"))))</f>
        <v/>
      </c>
      <c r="J869" s="18" t="n"/>
    </row>
    <row r="870">
      <c r="A870" s="19">
        <f>IF($B870="","",COUNTA($B$9:$B870))</f>
        <v/>
      </c>
      <c r="B870" s="11" t="n"/>
      <c r="C870" s="12" t="n"/>
      <c r="D870" s="12" t="n"/>
      <c r="E870" s="13" t="n"/>
      <c r="F870" s="20">
        <f>IF($E870="","",IF($C870="دستمزد گروهی",IFERROR(VLOOKUP($E870,WGTbl,2,0),"کد ناشناخته"),IFERROR(IF(VLOOKUP($E870,AcctTblE,4,0)="","(بدون نام)",VLOOKUP($E870,AcctTblE,4,0)),"کد ناشناخته")))</f>
        <v/>
      </c>
      <c r="G870" s="15" t="n"/>
      <c r="H870" s="21">
        <f>IF(OR($C870&lt;&gt;"دستمزد گروهی",$D870=""),"",SUMIFS(ShareAmt,ShareLink,$D870))</f>
        <v/>
      </c>
      <c r="I870" s="22">
        <f>IF($C870&lt;&gt;"دستمزد گروهی","—",IF($H870="","",IF(ROUND($H870-IF($G870="",0,$G870),0)=0,"√","▲ مغایرت "&amp;TEXT(IF($G870="",0,$G870)-$H870,"#,##0"))))</f>
        <v/>
      </c>
      <c r="J870" s="18" t="n"/>
    </row>
    <row r="871">
      <c r="A871" s="10">
        <f>IF($B871="","",COUNTA($B$9:$B871))</f>
        <v/>
      </c>
      <c r="B871" s="11" t="n"/>
      <c r="C871" s="12" t="n"/>
      <c r="D871" s="12" t="n"/>
      <c r="E871" s="13" t="n"/>
      <c r="F871" s="14">
        <f>IF($E871="","",IF($C871="دستمزد گروهی",IFERROR(VLOOKUP($E871,WGTbl,2,0),"کد ناشناخته"),IFERROR(IF(VLOOKUP($E871,AcctTblE,4,0)="","(بدون نام)",VLOOKUP($E871,AcctTblE,4,0)),"کد ناشناخته")))</f>
        <v/>
      </c>
      <c r="G871" s="15" t="n"/>
      <c r="H871" s="16">
        <f>IF(OR($C871&lt;&gt;"دستمزد گروهی",$D871=""),"",SUMIFS(ShareAmt,ShareLink,$D871))</f>
        <v/>
      </c>
      <c r="I871" s="17">
        <f>IF($C871&lt;&gt;"دستمزد گروهی","—",IF($H871="","",IF(ROUND($H871-IF($G871="",0,$G871),0)=0,"√","▲ مغایرت "&amp;TEXT(IF($G871="",0,$G871)-$H871,"#,##0"))))</f>
        <v/>
      </c>
      <c r="J871" s="18" t="n"/>
    </row>
    <row r="872">
      <c r="A872" s="19">
        <f>IF($B872="","",COUNTA($B$9:$B872))</f>
        <v/>
      </c>
      <c r="B872" s="11" t="n"/>
      <c r="C872" s="12" t="n"/>
      <c r="D872" s="12" t="n"/>
      <c r="E872" s="13" t="n"/>
      <c r="F872" s="20">
        <f>IF($E872="","",IF($C872="دستمزد گروهی",IFERROR(VLOOKUP($E872,WGTbl,2,0),"کد ناشناخته"),IFERROR(IF(VLOOKUP($E872,AcctTblE,4,0)="","(بدون نام)",VLOOKUP($E872,AcctTblE,4,0)),"کد ناشناخته")))</f>
        <v/>
      </c>
      <c r="G872" s="15" t="n"/>
      <c r="H872" s="21">
        <f>IF(OR($C872&lt;&gt;"دستمزد گروهی",$D872=""),"",SUMIFS(ShareAmt,ShareLink,$D872))</f>
        <v/>
      </c>
      <c r="I872" s="22">
        <f>IF($C872&lt;&gt;"دستمزد گروهی","—",IF($H872="","",IF(ROUND($H872-IF($G872="",0,$G872),0)=0,"√","▲ مغایرت "&amp;TEXT(IF($G872="",0,$G872)-$H872,"#,##0"))))</f>
        <v/>
      </c>
      <c r="J872" s="18" t="n"/>
    </row>
    <row r="873">
      <c r="A873" s="10">
        <f>IF($B873="","",COUNTA($B$9:$B873))</f>
        <v/>
      </c>
      <c r="B873" s="11" t="n"/>
      <c r="C873" s="12" t="n"/>
      <c r="D873" s="12" t="n"/>
      <c r="E873" s="13" t="n"/>
      <c r="F873" s="14">
        <f>IF($E873="","",IF($C873="دستمزد گروهی",IFERROR(VLOOKUP($E873,WGTbl,2,0),"کد ناشناخته"),IFERROR(IF(VLOOKUP($E873,AcctTblE,4,0)="","(بدون نام)",VLOOKUP($E873,AcctTblE,4,0)),"کد ناشناخته")))</f>
        <v/>
      </c>
      <c r="G873" s="15" t="n"/>
      <c r="H873" s="16">
        <f>IF(OR($C873&lt;&gt;"دستمزد گروهی",$D873=""),"",SUMIFS(ShareAmt,ShareLink,$D873))</f>
        <v/>
      </c>
      <c r="I873" s="17">
        <f>IF($C873&lt;&gt;"دستمزد گروهی","—",IF($H873="","",IF(ROUND($H873-IF($G873="",0,$G873),0)=0,"√","▲ مغایرت "&amp;TEXT(IF($G873="",0,$G873)-$H873,"#,##0"))))</f>
        <v/>
      </c>
      <c r="J873" s="18" t="n"/>
    </row>
    <row r="874">
      <c r="A874" s="19">
        <f>IF($B874="","",COUNTA($B$9:$B874))</f>
        <v/>
      </c>
      <c r="B874" s="11" t="n"/>
      <c r="C874" s="12" t="n"/>
      <c r="D874" s="12" t="n"/>
      <c r="E874" s="13" t="n"/>
      <c r="F874" s="20">
        <f>IF($E874="","",IF($C874="دستمزد گروهی",IFERROR(VLOOKUP($E874,WGTbl,2,0),"کد ناشناخته"),IFERROR(IF(VLOOKUP($E874,AcctTblE,4,0)="","(بدون نام)",VLOOKUP($E874,AcctTblE,4,0)),"کد ناشناخته")))</f>
        <v/>
      </c>
      <c r="G874" s="15" t="n"/>
      <c r="H874" s="21">
        <f>IF(OR($C874&lt;&gt;"دستمزد گروهی",$D874=""),"",SUMIFS(ShareAmt,ShareLink,$D874))</f>
        <v/>
      </c>
      <c r="I874" s="22">
        <f>IF($C874&lt;&gt;"دستمزد گروهی","—",IF($H874="","",IF(ROUND($H874-IF($G874="",0,$G874),0)=0,"√","▲ مغایرت "&amp;TEXT(IF($G874="",0,$G874)-$H874,"#,##0"))))</f>
        <v/>
      </c>
      <c r="J874" s="18" t="n"/>
    </row>
    <row r="875">
      <c r="A875" s="10">
        <f>IF($B875="","",COUNTA($B$9:$B875))</f>
        <v/>
      </c>
      <c r="B875" s="11" t="n"/>
      <c r="C875" s="12" t="n"/>
      <c r="D875" s="12" t="n"/>
      <c r="E875" s="13" t="n"/>
      <c r="F875" s="14">
        <f>IF($E875="","",IF($C875="دستمزد گروهی",IFERROR(VLOOKUP($E875,WGTbl,2,0),"کد ناشناخته"),IFERROR(IF(VLOOKUP($E875,AcctTblE,4,0)="","(بدون نام)",VLOOKUP($E875,AcctTblE,4,0)),"کد ناشناخته")))</f>
        <v/>
      </c>
      <c r="G875" s="15" t="n"/>
      <c r="H875" s="16">
        <f>IF(OR($C875&lt;&gt;"دستمزد گروهی",$D875=""),"",SUMIFS(ShareAmt,ShareLink,$D875))</f>
        <v/>
      </c>
      <c r="I875" s="17">
        <f>IF($C875&lt;&gt;"دستمزد گروهی","—",IF($H875="","",IF(ROUND($H875-IF($G875="",0,$G875),0)=0,"√","▲ مغایرت "&amp;TEXT(IF($G875="",0,$G875)-$H875,"#,##0"))))</f>
        <v/>
      </c>
      <c r="J875" s="18" t="n"/>
    </row>
    <row r="876">
      <c r="A876" s="19">
        <f>IF($B876="","",COUNTA($B$9:$B876))</f>
        <v/>
      </c>
      <c r="B876" s="11" t="n"/>
      <c r="C876" s="12" t="n"/>
      <c r="D876" s="12" t="n"/>
      <c r="E876" s="13" t="n"/>
      <c r="F876" s="20">
        <f>IF($E876="","",IF($C876="دستمزد گروهی",IFERROR(VLOOKUP($E876,WGTbl,2,0),"کد ناشناخته"),IFERROR(IF(VLOOKUP($E876,AcctTblE,4,0)="","(بدون نام)",VLOOKUP($E876,AcctTblE,4,0)),"کد ناشناخته")))</f>
        <v/>
      </c>
      <c r="G876" s="15" t="n"/>
      <c r="H876" s="21">
        <f>IF(OR($C876&lt;&gt;"دستمزد گروهی",$D876=""),"",SUMIFS(ShareAmt,ShareLink,$D876))</f>
        <v/>
      </c>
      <c r="I876" s="22">
        <f>IF($C876&lt;&gt;"دستمزد گروهی","—",IF($H876="","",IF(ROUND($H876-IF($G876="",0,$G876),0)=0,"√","▲ مغایرت "&amp;TEXT(IF($G876="",0,$G876)-$H876,"#,##0"))))</f>
        <v/>
      </c>
      <c r="J876" s="18" t="n"/>
    </row>
    <row r="877">
      <c r="A877" s="10">
        <f>IF($B877="","",COUNTA($B$9:$B877))</f>
        <v/>
      </c>
      <c r="B877" s="11" t="n"/>
      <c r="C877" s="12" t="n"/>
      <c r="D877" s="12" t="n"/>
      <c r="E877" s="13" t="n"/>
      <c r="F877" s="14">
        <f>IF($E877="","",IF($C877="دستمزد گروهی",IFERROR(VLOOKUP($E877,WGTbl,2,0),"کد ناشناخته"),IFERROR(IF(VLOOKUP($E877,AcctTblE,4,0)="","(بدون نام)",VLOOKUP($E877,AcctTblE,4,0)),"کد ناشناخته")))</f>
        <v/>
      </c>
      <c r="G877" s="15" t="n"/>
      <c r="H877" s="16">
        <f>IF(OR($C877&lt;&gt;"دستمزد گروهی",$D877=""),"",SUMIFS(ShareAmt,ShareLink,$D877))</f>
        <v/>
      </c>
      <c r="I877" s="17">
        <f>IF($C877&lt;&gt;"دستمزد گروهی","—",IF($H877="","",IF(ROUND($H877-IF($G877="",0,$G877),0)=0,"√","▲ مغایرت "&amp;TEXT(IF($G877="",0,$G877)-$H877,"#,##0"))))</f>
        <v/>
      </c>
      <c r="J877" s="18" t="n"/>
    </row>
    <row r="878">
      <c r="A878" s="19">
        <f>IF($B878="","",COUNTA($B$9:$B878))</f>
        <v/>
      </c>
      <c r="B878" s="11" t="n"/>
      <c r="C878" s="12" t="n"/>
      <c r="D878" s="12" t="n"/>
      <c r="E878" s="13" t="n"/>
      <c r="F878" s="20">
        <f>IF($E878="","",IF($C878="دستمزد گروهی",IFERROR(VLOOKUP($E878,WGTbl,2,0),"کد ناشناخته"),IFERROR(IF(VLOOKUP($E878,AcctTblE,4,0)="","(بدون نام)",VLOOKUP($E878,AcctTblE,4,0)),"کد ناشناخته")))</f>
        <v/>
      </c>
      <c r="G878" s="15" t="n"/>
      <c r="H878" s="21">
        <f>IF(OR($C878&lt;&gt;"دستمزد گروهی",$D878=""),"",SUMIFS(ShareAmt,ShareLink,$D878))</f>
        <v/>
      </c>
      <c r="I878" s="22">
        <f>IF($C878&lt;&gt;"دستمزد گروهی","—",IF($H878="","",IF(ROUND($H878-IF($G878="",0,$G878),0)=0,"√","▲ مغایرت "&amp;TEXT(IF($G878="",0,$G878)-$H878,"#,##0"))))</f>
        <v/>
      </c>
      <c r="J878" s="18" t="n"/>
    </row>
    <row r="879">
      <c r="A879" s="10">
        <f>IF($B879="","",COUNTA($B$9:$B879))</f>
        <v/>
      </c>
      <c r="B879" s="11" t="n"/>
      <c r="C879" s="12" t="n"/>
      <c r="D879" s="12" t="n"/>
      <c r="E879" s="13" t="n"/>
      <c r="F879" s="14">
        <f>IF($E879="","",IF($C879="دستمزد گروهی",IFERROR(VLOOKUP($E879,WGTbl,2,0),"کد ناشناخته"),IFERROR(IF(VLOOKUP($E879,AcctTblE,4,0)="","(بدون نام)",VLOOKUP($E879,AcctTblE,4,0)),"کد ناشناخته")))</f>
        <v/>
      </c>
      <c r="G879" s="15" t="n"/>
      <c r="H879" s="16">
        <f>IF(OR($C879&lt;&gt;"دستمزد گروهی",$D879=""),"",SUMIFS(ShareAmt,ShareLink,$D879))</f>
        <v/>
      </c>
      <c r="I879" s="17">
        <f>IF($C879&lt;&gt;"دستمزد گروهی","—",IF($H879="","",IF(ROUND($H879-IF($G879="",0,$G879),0)=0,"√","▲ مغایرت "&amp;TEXT(IF($G879="",0,$G879)-$H879,"#,##0"))))</f>
        <v/>
      </c>
      <c r="J879" s="18" t="n"/>
    </row>
    <row r="880">
      <c r="A880" s="19">
        <f>IF($B880="","",COUNTA($B$9:$B880))</f>
        <v/>
      </c>
      <c r="B880" s="11" t="n"/>
      <c r="C880" s="12" t="n"/>
      <c r="D880" s="12" t="n"/>
      <c r="E880" s="13" t="n"/>
      <c r="F880" s="20">
        <f>IF($E880="","",IF($C880="دستمزد گروهی",IFERROR(VLOOKUP($E880,WGTbl,2,0),"کد ناشناخته"),IFERROR(IF(VLOOKUP($E880,AcctTblE,4,0)="","(بدون نام)",VLOOKUP($E880,AcctTblE,4,0)),"کد ناشناخته")))</f>
        <v/>
      </c>
      <c r="G880" s="15" t="n"/>
      <c r="H880" s="21">
        <f>IF(OR($C880&lt;&gt;"دستمزد گروهی",$D880=""),"",SUMIFS(ShareAmt,ShareLink,$D880))</f>
        <v/>
      </c>
      <c r="I880" s="22">
        <f>IF($C880&lt;&gt;"دستمزد گروهی","—",IF($H880="","",IF(ROUND($H880-IF($G880="",0,$G880),0)=0,"√","▲ مغایرت "&amp;TEXT(IF($G880="",0,$G880)-$H880,"#,##0"))))</f>
        <v/>
      </c>
      <c r="J880" s="18" t="n"/>
    </row>
    <row r="881">
      <c r="A881" s="10">
        <f>IF($B881="","",COUNTA($B$9:$B881))</f>
        <v/>
      </c>
      <c r="B881" s="11" t="n"/>
      <c r="C881" s="12" t="n"/>
      <c r="D881" s="12" t="n"/>
      <c r="E881" s="13" t="n"/>
      <c r="F881" s="14">
        <f>IF($E881="","",IF($C881="دستمزد گروهی",IFERROR(VLOOKUP($E881,WGTbl,2,0),"کد ناشناخته"),IFERROR(IF(VLOOKUP($E881,AcctTblE,4,0)="","(بدون نام)",VLOOKUP($E881,AcctTblE,4,0)),"کد ناشناخته")))</f>
        <v/>
      </c>
      <c r="G881" s="15" t="n"/>
      <c r="H881" s="16">
        <f>IF(OR($C881&lt;&gt;"دستمزد گروهی",$D881=""),"",SUMIFS(ShareAmt,ShareLink,$D881))</f>
        <v/>
      </c>
      <c r="I881" s="17">
        <f>IF($C881&lt;&gt;"دستمزد گروهی","—",IF($H881="","",IF(ROUND($H881-IF($G881="",0,$G881),0)=0,"√","▲ مغایرت "&amp;TEXT(IF($G881="",0,$G881)-$H881,"#,##0"))))</f>
        <v/>
      </c>
      <c r="J881" s="18" t="n"/>
    </row>
    <row r="882">
      <c r="A882" s="19">
        <f>IF($B882="","",COUNTA($B$9:$B882))</f>
        <v/>
      </c>
      <c r="B882" s="11" t="n"/>
      <c r="C882" s="12" t="n"/>
      <c r="D882" s="12" t="n"/>
      <c r="E882" s="13" t="n"/>
      <c r="F882" s="20">
        <f>IF($E882="","",IF($C882="دستمزد گروهی",IFERROR(VLOOKUP($E882,WGTbl,2,0),"کد ناشناخته"),IFERROR(IF(VLOOKUP($E882,AcctTblE,4,0)="","(بدون نام)",VLOOKUP($E882,AcctTblE,4,0)),"کد ناشناخته")))</f>
        <v/>
      </c>
      <c r="G882" s="15" t="n"/>
      <c r="H882" s="21">
        <f>IF(OR($C882&lt;&gt;"دستمزد گروهی",$D882=""),"",SUMIFS(ShareAmt,ShareLink,$D882))</f>
        <v/>
      </c>
      <c r="I882" s="22">
        <f>IF($C882&lt;&gt;"دستمزد گروهی","—",IF($H882="","",IF(ROUND($H882-IF($G882="",0,$G882),0)=0,"√","▲ مغایرت "&amp;TEXT(IF($G882="",0,$G882)-$H882,"#,##0"))))</f>
        <v/>
      </c>
      <c r="J882" s="18" t="n"/>
    </row>
    <row r="883">
      <c r="A883" s="10">
        <f>IF($B883="","",COUNTA($B$9:$B883))</f>
        <v/>
      </c>
      <c r="B883" s="11" t="n"/>
      <c r="C883" s="12" t="n"/>
      <c r="D883" s="12" t="n"/>
      <c r="E883" s="13" t="n"/>
      <c r="F883" s="14">
        <f>IF($E883="","",IF($C883="دستمزد گروهی",IFERROR(VLOOKUP($E883,WGTbl,2,0),"کد ناشناخته"),IFERROR(IF(VLOOKUP($E883,AcctTblE,4,0)="","(بدون نام)",VLOOKUP($E883,AcctTblE,4,0)),"کد ناشناخته")))</f>
        <v/>
      </c>
      <c r="G883" s="15" t="n"/>
      <c r="H883" s="16">
        <f>IF(OR($C883&lt;&gt;"دستمزد گروهی",$D883=""),"",SUMIFS(ShareAmt,ShareLink,$D883))</f>
        <v/>
      </c>
      <c r="I883" s="17">
        <f>IF($C883&lt;&gt;"دستمزد گروهی","—",IF($H883="","",IF(ROUND($H883-IF($G883="",0,$G883),0)=0,"√","▲ مغایرت "&amp;TEXT(IF($G883="",0,$G883)-$H883,"#,##0"))))</f>
        <v/>
      </c>
      <c r="J883" s="18" t="n"/>
    </row>
    <row r="884">
      <c r="A884" s="19">
        <f>IF($B884="","",COUNTA($B$9:$B884))</f>
        <v/>
      </c>
      <c r="B884" s="11" t="n"/>
      <c r="C884" s="12" t="n"/>
      <c r="D884" s="12" t="n"/>
      <c r="E884" s="13" t="n"/>
      <c r="F884" s="20">
        <f>IF($E884="","",IF($C884="دستمزد گروهی",IFERROR(VLOOKUP($E884,WGTbl,2,0),"کد ناشناخته"),IFERROR(IF(VLOOKUP($E884,AcctTblE,4,0)="","(بدون نام)",VLOOKUP($E884,AcctTblE,4,0)),"کد ناشناخته")))</f>
        <v/>
      </c>
      <c r="G884" s="15" t="n"/>
      <c r="H884" s="21">
        <f>IF(OR($C884&lt;&gt;"دستمزد گروهی",$D884=""),"",SUMIFS(ShareAmt,ShareLink,$D884))</f>
        <v/>
      </c>
      <c r="I884" s="22">
        <f>IF($C884&lt;&gt;"دستمزد گروهی","—",IF($H884="","",IF(ROUND($H884-IF($G884="",0,$G884),0)=0,"√","▲ مغایرت "&amp;TEXT(IF($G884="",0,$G884)-$H884,"#,##0"))))</f>
        <v/>
      </c>
      <c r="J884" s="18" t="n"/>
    </row>
    <row r="885">
      <c r="A885" s="10">
        <f>IF($B885="","",COUNTA($B$9:$B885))</f>
        <v/>
      </c>
      <c r="B885" s="11" t="n"/>
      <c r="C885" s="12" t="n"/>
      <c r="D885" s="12" t="n"/>
      <c r="E885" s="13" t="n"/>
      <c r="F885" s="14">
        <f>IF($E885="","",IF($C885="دستمزد گروهی",IFERROR(VLOOKUP($E885,WGTbl,2,0),"کد ناشناخته"),IFERROR(IF(VLOOKUP($E885,AcctTblE,4,0)="","(بدون نام)",VLOOKUP($E885,AcctTblE,4,0)),"کد ناشناخته")))</f>
        <v/>
      </c>
      <c r="G885" s="15" t="n"/>
      <c r="H885" s="16">
        <f>IF(OR($C885&lt;&gt;"دستمزد گروهی",$D885=""),"",SUMIFS(ShareAmt,ShareLink,$D885))</f>
        <v/>
      </c>
      <c r="I885" s="17">
        <f>IF($C885&lt;&gt;"دستمزد گروهی","—",IF($H885="","",IF(ROUND($H885-IF($G885="",0,$G885),0)=0,"√","▲ مغایرت "&amp;TEXT(IF($G885="",0,$G885)-$H885,"#,##0"))))</f>
        <v/>
      </c>
      <c r="J885" s="18" t="n"/>
    </row>
    <row r="886">
      <c r="A886" s="19">
        <f>IF($B886="","",COUNTA($B$9:$B886))</f>
        <v/>
      </c>
      <c r="B886" s="11" t="n"/>
      <c r="C886" s="12" t="n"/>
      <c r="D886" s="12" t="n"/>
      <c r="E886" s="13" t="n"/>
      <c r="F886" s="20">
        <f>IF($E886="","",IF($C886="دستمزد گروهی",IFERROR(VLOOKUP($E886,WGTbl,2,0),"کد ناشناخته"),IFERROR(IF(VLOOKUP($E886,AcctTblE,4,0)="","(بدون نام)",VLOOKUP($E886,AcctTblE,4,0)),"کد ناشناخته")))</f>
        <v/>
      </c>
      <c r="G886" s="15" t="n"/>
      <c r="H886" s="21">
        <f>IF(OR($C886&lt;&gt;"دستمزد گروهی",$D886=""),"",SUMIFS(ShareAmt,ShareLink,$D886))</f>
        <v/>
      </c>
      <c r="I886" s="22">
        <f>IF($C886&lt;&gt;"دستمزد گروهی","—",IF($H886="","",IF(ROUND($H886-IF($G886="",0,$G886),0)=0,"√","▲ مغایرت "&amp;TEXT(IF($G886="",0,$G886)-$H886,"#,##0"))))</f>
        <v/>
      </c>
      <c r="J886" s="18" t="n"/>
    </row>
    <row r="887">
      <c r="A887" s="10">
        <f>IF($B887="","",COUNTA($B$9:$B887))</f>
        <v/>
      </c>
      <c r="B887" s="11" t="n"/>
      <c r="C887" s="12" t="n"/>
      <c r="D887" s="12" t="n"/>
      <c r="E887" s="13" t="n"/>
      <c r="F887" s="14">
        <f>IF($E887="","",IF($C887="دستمزد گروهی",IFERROR(VLOOKUP($E887,WGTbl,2,0),"کد ناشناخته"),IFERROR(IF(VLOOKUP($E887,AcctTblE,4,0)="","(بدون نام)",VLOOKUP($E887,AcctTblE,4,0)),"کد ناشناخته")))</f>
        <v/>
      </c>
      <c r="G887" s="15" t="n"/>
      <c r="H887" s="16">
        <f>IF(OR($C887&lt;&gt;"دستمزد گروهی",$D887=""),"",SUMIFS(ShareAmt,ShareLink,$D887))</f>
        <v/>
      </c>
      <c r="I887" s="17">
        <f>IF($C887&lt;&gt;"دستمزد گروهی","—",IF($H887="","",IF(ROUND($H887-IF($G887="",0,$G887),0)=0,"√","▲ مغایرت "&amp;TEXT(IF($G887="",0,$G887)-$H887,"#,##0"))))</f>
        <v/>
      </c>
      <c r="J887" s="18" t="n"/>
    </row>
    <row r="888">
      <c r="A888" s="19">
        <f>IF($B888="","",COUNTA($B$9:$B888))</f>
        <v/>
      </c>
      <c r="B888" s="11" t="n"/>
      <c r="C888" s="12" t="n"/>
      <c r="D888" s="12" t="n"/>
      <c r="E888" s="13" t="n"/>
      <c r="F888" s="20">
        <f>IF($E888="","",IF($C888="دستمزد گروهی",IFERROR(VLOOKUP($E888,WGTbl,2,0),"کد ناشناخته"),IFERROR(IF(VLOOKUP($E888,AcctTblE,4,0)="","(بدون نام)",VLOOKUP($E888,AcctTblE,4,0)),"کد ناشناخته")))</f>
        <v/>
      </c>
      <c r="G888" s="15" t="n"/>
      <c r="H888" s="21">
        <f>IF(OR($C888&lt;&gt;"دستمزد گروهی",$D888=""),"",SUMIFS(ShareAmt,ShareLink,$D888))</f>
        <v/>
      </c>
      <c r="I888" s="22">
        <f>IF($C888&lt;&gt;"دستمزد گروهی","—",IF($H888="","",IF(ROUND($H888-IF($G888="",0,$G888),0)=0,"√","▲ مغایرت "&amp;TEXT(IF($G888="",0,$G888)-$H888,"#,##0"))))</f>
        <v/>
      </c>
      <c r="J888" s="18" t="n"/>
    </row>
    <row r="889">
      <c r="A889" s="10">
        <f>IF($B889="","",COUNTA($B$9:$B889))</f>
        <v/>
      </c>
      <c r="B889" s="11" t="n"/>
      <c r="C889" s="12" t="n"/>
      <c r="D889" s="12" t="n"/>
      <c r="E889" s="13" t="n"/>
      <c r="F889" s="14">
        <f>IF($E889="","",IF($C889="دستمزد گروهی",IFERROR(VLOOKUP($E889,WGTbl,2,0),"کد ناشناخته"),IFERROR(IF(VLOOKUP($E889,AcctTblE,4,0)="","(بدون نام)",VLOOKUP($E889,AcctTblE,4,0)),"کد ناشناخته")))</f>
        <v/>
      </c>
      <c r="G889" s="15" t="n"/>
      <c r="H889" s="16">
        <f>IF(OR($C889&lt;&gt;"دستمزد گروهی",$D889=""),"",SUMIFS(ShareAmt,ShareLink,$D889))</f>
        <v/>
      </c>
      <c r="I889" s="17">
        <f>IF($C889&lt;&gt;"دستمزد گروهی","—",IF($H889="","",IF(ROUND($H889-IF($G889="",0,$G889),0)=0,"√","▲ مغایرت "&amp;TEXT(IF($G889="",0,$G889)-$H889,"#,##0"))))</f>
        <v/>
      </c>
      <c r="J889" s="18" t="n"/>
    </row>
    <row r="890">
      <c r="A890" s="19">
        <f>IF($B890="","",COUNTA($B$9:$B890))</f>
        <v/>
      </c>
      <c r="B890" s="11" t="n"/>
      <c r="C890" s="12" t="n"/>
      <c r="D890" s="12" t="n"/>
      <c r="E890" s="13" t="n"/>
      <c r="F890" s="20">
        <f>IF($E890="","",IF($C890="دستمزد گروهی",IFERROR(VLOOKUP($E890,WGTbl,2,0),"کد ناشناخته"),IFERROR(IF(VLOOKUP($E890,AcctTblE,4,0)="","(بدون نام)",VLOOKUP($E890,AcctTblE,4,0)),"کد ناشناخته")))</f>
        <v/>
      </c>
      <c r="G890" s="15" t="n"/>
      <c r="H890" s="21">
        <f>IF(OR($C890&lt;&gt;"دستمزد گروهی",$D890=""),"",SUMIFS(ShareAmt,ShareLink,$D890))</f>
        <v/>
      </c>
      <c r="I890" s="22">
        <f>IF($C890&lt;&gt;"دستمزد گروهی","—",IF($H890="","",IF(ROUND($H890-IF($G890="",0,$G890),0)=0,"√","▲ مغایرت "&amp;TEXT(IF($G890="",0,$G890)-$H890,"#,##0"))))</f>
        <v/>
      </c>
      <c r="J890" s="18" t="n"/>
    </row>
    <row r="891">
      <c r="A891" s="10">
        <f>IF($B891="","",COUNTA($B$9:$B891))</f>
        <v/>
      </c>
      <c r="B891" s="11" t="n"/>
      <c r="C891" s="12" t="n"/>
      <c r="D891" s="12" t="n"/>
      <c r="E891" s="13" t="n"/>
      <c r="F891" s="14">
        <f>IF($E891="","",IF($C891="دستمزد گروهی",IFERROR(VLOOKUP($E891,WGTbl,2,0),"کد ناشناخته"),IFERROR(IF(VLOOKUP($E891,AcctTblE,4,0)="","(بدون نام)",VLOOKUP($E891,AcctTblE,4,0)),"کد ناشناخته")))</f>
        <v/>
      </c>
      <c r="G891" s="15" t="n"/>
      <c r="H891" s="16">
        <f>IF(OR($C891&lt;&gt;"دستمزد گروهی",$D891=""),"",SUMIFS(ShareAmt,ShareLink,$D891))</f>
        <v/>
      </c>
      <c r="I891" s="17">
        <f>IF($C891&lt;&gt;"دستمزد گروهی","—",IF($H891="","",IF(ROUND($H891-IF($G891="",0,$G891),0)=0,"√","▲ مغایرت "&amp;TEXT(IF($G891="",0,$G891)-$H891,"#,##0"))))</f>
        <v/>
      </c>
      <c r="J891" s="18" t="n"/>
    </row>
    <row r="892">
      <c r="A892" s="19">
        <f>IF($B892="","",COUNTA($B$9:$B892))</f>
        <v/>
      </c>
      <c r="B892" s="11" t="n"/>
      <c r="C892" s="12" t="n"/>
      <c r="D892" s="12" t="n"/>
      <c r="E892" s="13" t="n"/>
      <c r="F892" s="20">
        <f>IF($E892="","",IF($C892="دستمزد گروهی",IFERROR(VLOOKUP($E892,WGTbl,2,0),"کد ناشناخته"),IFERROR(IF(VLOOKUP($E892,AcctTblE,4,0)="","(بدون نام)",VLOOKUP($E892,AcctTblE,4,0)),"کد ناشناخته")))</f>
        <v/>
      </c>
      <c r="G892" s="15" t="n"/>
      <c r="H892" s="21">
        <f>IF(OR($C892&lt;&gt;"دستمزد گروهی",$D892=""),"",SUMIFS(ShareAmt,ShareLink,$D892))</f>
        <v/>
      </c>
      <c r="I892" s="22">
        <f>IF($C892&lt;&gt;"دستمزد گروهی","—",IF($H892="","",IF(ROUND($H892-IF($G892="",0,$G892),0)=0,"√","▲ مغایرت "&amp;TEXT(IF($G892="",0,$G892)-$H892,"#,##0"))))</f>
        <v/>
      </c>
      <c r="J892" s="18" t="n"/>
    </row>
    <row r="893">
      <c r="A893" s="10">
        <f>IF($B893="","",COUNTA($B$9:$B893))</f>
        <v/>
      </c>
      <c r="B893" s="11" t="n"/>
      <c r="C893" s="12" t="n"/>
      <c r="D893" s="12" t="n"/>
      <c r="E893" s="13" t="n"/>
      <c r="F893" s="14">
        <f>IF($E893="","",IF($C893="دستمزد گروهی",IFERROR(VLOOKUP($E893,WGTbl,2,0),"کد ناشناخته"),IFERROR(IF(VLOOKUP($E893,AcctTblE,4,0)="","(بدون نام)",VLOOKUP($E893,AcctTblE,4,0)),"کد ناشناخته")))</f>
        <v/>
      </c>
      <c r="G893" s="15" t="n"/>
      <c r="H893" s="16">
        <f>IF(OR($C893&lt;&gt;"دستمزد گروهی",$D893=""),"",SUMIFS(ShareAmt,ShareLink,$D893))</f>
        <v/>
      </c>
      <c r="I893" s="17">
        <f>IF($C893&lt;&gt;"دستمزد گروهی","—",IF($H893="","",IF(ROUND($H893-IF($G893="",0,$G893),0)=0,"√","▲ مغایرت "&amp;TEXT(IF($G893="",0,$G893)-$H893,"#,##0"))))</f>
        <v/>
      </c>
      <c r="J893" s="18" t="n"/>
    </row>
    <row r="894">
      <c r="A894" s="19">
        <f>IF($B894="","",COUNTA($B$9:$B894))</f>
        <v/>
      </c>
      <c r="B894" s="11" t="n"/>
      <c r="C894" s="12" t="n"/>
      <c r="D894" s="12" t="n"/>
      <c r="E894" s="13" t="n"/>
      <c r="F894" s="20">
        <f>IF($E894="","",IF($C894="دستمزد گروهی",IFERROR(VLOOKUP($E894,WGTbl,2,0),"کد ناشناخته"),IFERROR(IF(VLOOKUP($E894,AcctTblE,4,0)="","(بدون نام)",VLOOKUP($E894,AcctTblE,4,0)),"کد ناشناخته")))</f>
        <v/>
      </c>
      <c r="G894" s="15" t="n"/>
      <c r="H894" s="21">
        <f>IF(OR($C894&lt;&gt;"دستمزد گروهی",$D894=""),"",SUMIFS(ShareAmt,ShareLink,$D894))</f>
        <v/>
      </c>
      <c r="I894" s="22">
        <f>IF($C894&lt;&gt;"دستمزد گروهی","—",IF($H894="","",IF(ROUND($H894-IF($G894="",0,$G894),0)=0,"√","▲ مغایرت "&amp;TEXT(IF($G894="",0,$G894)-$H894,"#,##0"))))</f>
        <v/>
      </c>
      <c r="J894" s="18" t="n"/>
    </row>
    <row r="895">
      <c r="A895" s="10">
        <f>IF($B895="","",COUNTA($B$9:$B895))</f>
        <v/>
      </c>
      <c r="B895" s="11" t="n"/>
      <c r="C895" s="12" t="n"/>
      <c r="D895" s="12" t="n"/>
      <c r="E895" s="13" t="n"/>
      <c r="F895" s="14">
        <f>IF($E895="","",IF($C895="دستمزد گروهی",IFERROR(VLOOKUP($E895,WGTbl,2,0),"کد ناشناخته"),IFERROR(IF(VLOOKUP($E895,AcctTblE,4,0)="","(بدون نام)",VLOOKUP($E895,AcctTblE,4,0)),"کد ناشناخته")))</f>
        <v/>
      </c>
      <c r="G895" s="15" t="n"/>
      <c r="H895" s="16">
        <f>IF(OR($C895&lt;&gt;"دستمزد گروهی",$D895=""),"",SUMIFS(ShareAmt,ShareLink,$D895))</f>
        <v/>
      </c>
      <c r="I895" s="17">
        <f>IF($C895&lt;&gt;"دستمزد گروهی","—",IF($H895="","",IF(ROUND($H895-IF($G895="",0,$G895),0)=0,"√","▲ مغایرت "&amp;TEXT(IF($G895="",0,$G895)-$H895,"#,##0"))))</f>
        <v/>
      </c>
      <c r="J895" s="18" t="n"/>
    </row>
    <row r="896">
      <c r="A896" s="19">
        <f>IF($B896="","",COUNTA($B$9:$B896))</f>
        <v/>
      </c>
      <c r="B896" s="11" t="n"/>
      <c r="C896" s="12" t="n"/>
      <c r="D896" s="12" t="n"/>
      <c r="E896" s="13" t="n"/>
      <c r="F896" s="20">
        <f>IF($E896="","",IF($C896="دستمزد گروهی",IFERROR(VLOOKUP($E896,WGTbl,2,0),"کد ناشناخته"),IFERROR(IF(VLOOKUP($E896,AcctTblE,4,0)="","(بدون نام)",VLOOKUP($E896,AcctTblE,4,0)),"کد ناشناخته")))</f>
        <v/>
      </c>
      <c r="G896" s="15" t="n"/>
      <c r="H896" s="21">
        <f>IF(OR($C896&lt;&gt;"دستمزد گروهی",$D896=""),"",SUMIFS(ShareAmt,ShareLink,$D896))</f>
        <v/>
      </c>
      <c r="I896" s="22">
        <f>IF($C896&lt;&gt;"دستمزد گروهی","—",IF($H896="","",IF(ROUND($H896-IF($G896="",0,$G896),0)=0,"√","▲ مغایرت "&amp;TEXT(IF($G896="",0,$G896)-$H896,"#,##0"))))</f>
        <v/>
      </c>
      <c r="J896" s="18" t="n"/>
    </row>
    <row r="897">
      <c r="A897" s="10">
        <f>IF($B897="","",COUNTA($B$9:$B897))</f>
        <v/>
      </c>
      <c r="B897" s="11" t="n"/>
      <c r="C897" s="12" t="n"/>
      <c r="D897" s="12" t="n"/>
      <c r="E897" s="13" t="n"/>
      <c r="F897" s="14">
        <f>IF($E897="","",IF($C897="دستمزد گروهی",IFERROR(VLOOKUP($E897,WGTbl,2,0),"کد ناشناخته"),IFERROR(IF(VLOOKUP($E897,AcctTblE,4,0)="","(بدون نام)",VLOOKUP($E897,AcctTblE,4,0)),"کد ناشناخته")))</f>
        <v/>
      </c>
      <c r="G897" s="15" t="n"/>
      <c r="H897" s="16">
        <f>IF(OR($C897&lt;&gt;"دستمزد گروهی",$D897=""),"",SUMIFS(ShareAmt,ShareLink,$D897))</f>
        <v/>
      </c>
      <c r="I897" s="17">
        <f>IF($C897&lt;&gt;"دستمزد گروهی","—",IF($H897="","",IF(ROUND($H897-IF($G897="",0,$G897),0)=0,"√","▲ مغایرت "&amp;TEXT(IF($G897="",0,$G897)-$H897,"#,##0"))))</f>
        <v/>
      </c>
      <c r="J897" s="18" t="n"/>
    </row>
    <row r="898">
      <c r="A898" s="19">
        <f>IF($B898="","",COUNTA($B$9:$B898))</f>
        <v/>
      </c>
      <c r="B898" s="11" t="n"/>
      <c r="C898" s="12" t="n"/>
      <c r="D898" s="12" t="n"/>
      <c r="E898" s="13" t="n"/>
      <c r="F898" s="20">
        <f>IF($E898="","",IF($C898="دستمزد گروهی",IFERROR(VLOOKUP($E898,WGTbl,2,0),"کد ناشناخته"),IFERROR(IF(VLOOKUP($E898,AcctTblE,4,0)="","(بدون نام)",VLOOKUP($E898,AcctTblE,4,0)),"کد ناشناخته")))</f>
        <v/>
      </c>
      <c r="G898" s="15" t="n"/>
      <c r="H898" s="21">
        <f>IF(OR($C898&lt;&gt;"دستمزد گروهی",$D898=""),"",SUMIFS(ShareAmt,ShareLink,$D898))</f>
        <v/>
      </c>
      <c r="I898" s="22">
        <f>IF($C898&lt;&gt;"دستمزد گروهی","—",IF($H898="","",IF(ROUND($H898-IF($G898="",0,$G898),0)=0,"√","▲ مغایرت "&amp;TEXT(IF($G898="",0,$G898)-$H898,"#,##0"))))</f>
        <v/>
      </c>
      <c r="J898" s="18" t="n"/>
    </row>
    <row r="899">
      <c r="A899" s="10">
        <f>IF($B899="","",COUNTA($B$9:$B899))</f>
        <v/>
      </c>
      <c r="B899" s="11" t="n"/>
      <c r="C899" s="12" t="n"/>
      <c r="D899" s="12" t="n"/>
      <c r="E899" s="13" t="n"/>
      <c r="F899" s="14">
        <f>IF($E899="","",IF($C899="دستمزد گروهی",IFERROR(VLOOKUP($E899,WGTbl,2,0),"کد ناشناخته"),IFERROR(IF(VLOOKUP($E899,AcctTblE,4,0)="","(بدون نام)",VLOOKUP($E899,AcctTblE,4,0)),"کد ناشناخته")))</f>
        <v/>
      </c>
      <c r="G899" s="15" t="n"/>
      <c r="H899" s="16">
        <f>IF(OR($C899&lt;&gt;"دستمزد گروهی",$D899=""),"",SUMIFS(ShareAmt,ShareLink,$D899))</f>
        <v/>
      </c>
      <c r="I899" s="17">
        <f>IF($C899&lt;&gt;"دستمزد گروهی","—",IF($H899="","",IF(ROUND($H899-IF($G899="",0,$G899),0)=0,"√","▲ مغایرت "&amp;TEXT(IF($G899="",0,$G899)-$H899,"#,##0"))))</f>
        <v/>
      </c>
      <c r="J899" s="18" t="n"/>
    </row>
    <row r="900">
      <c r="A900" s="19">
        <f>IF($B900="","",COUNTA($B$9:$B900))</f>
        <v/>
      </c>
      <c r="B900" s="11" t="n"/>
      <c r="C900" s="12" t="n"/>
      <c r="D900" s="12" t="n"/>
      <c r="E900" s="13" t="n"/>
      <c r="F900" s="20">
        <f>IF($E900="","",IF($C900="دستمزد گروهی",IFERROR(VLOOKUP($E900,WGTbl,2,0),"کد ناشناخته"),IFERROR(IF(VLOOKUP($E900,AcctTblE,4,0)="","(بدون نام)",VLOOKUP($E900,AcctTblE,4,0)),"کد ناشناخته")))</f>
        <v/>
      </c>
      <c r="G900" s="15" t="n"/>
      <c r="H900" s="21">
        <f>IF(OR($C900&lt;&gt;"دستمزد گروهی",$D900=""),"",SUMIFS(ShareAmt,ShareLink,$D900))</f>
        <v/>
      </c>
      <c r="I900" s="22">
        <f>IF($C900&lt;&gt;"دستمزد گروهی","—",IF($H900="","",IF(ROUND($H900-IF($G900="",0,$G900),0)=0,"√","▲ مغایرت "&amp;TEXT(IF($G900="",0,$G900)-$H900,"#,##0"))))</f>
        <v/>
      </c>
      <c r="J900" s="18" t="n"/>
    </row>
    <row r="901">
      <c r="A901" s="10">
        <f>IF($B901="","",COUNTA($B$9:$B901))</f>
        <v/>
      </c>
      <c r="B901" s="11" t="n"/>
      <c r="C901" s="12" t="n"/>
      <c r="D901" s="12" t="n"/>
      <c r="E901" s="13" t="n"/>
      <c r="F901" s="14">
        <f>IF($E901="","",IF($C901="دستمزد گروهی",IFERROR(VLOOKUP($E901,WGTbl,2,0),"کد ناشناخته"),IFERROR(IF(VLOOKUP($E901,AcctTblE,4,0)="","(بدون نام)",VLOOKUP($E901,AcctTblE,4,0)),"کد ناشناخته")))</f>
        <v/>
      </c>
      <c r="G901" s="15" t="n"/>
      <c r="H901" s="16">
        <f>IF(OR($C901&lt;&gt;"دستمزد گروهی",$D901=""),"",SUMIFS(ShareAmt,ShareLink,$D901))</f>
        <v/>
      </c>
      <c r="I901" s="17">
        <f>IF($C901&lt;&gt;"دستمزد گروهی","—",IF($H901="","",IF(ROUND($H901-IF($G901="",0,$G901),0)=0,"√","▲ مغایرت "&amp;TEXT(IF($G901="",0,$G901)-$H901,"#,##0"))))</f>
        <v/>
      </c>
      <c r="J901" s="18" t="n"/>
    </row>
    <row r="902">
      <c r="A902" s="19">
        <f>IF($B902="","",COUNTA($B$9:$B902))</f>
        <v/>
      </c>
      <c r="B902" s="11" t="n"/>
      <c r="C902" s="12" t="n"/>
      <c r="D902" s="12" t="n"/>
      <c r="E902" s="13" t="n"/>
      <c r="F902" s="20">
        <f>IF($E902="","",IF($C902="دستمزد گروهی",IFERROR(VLOOKUP($E902,WGTbl,2,0),"کد ناشناخته"),IFERROR(IF(VLOOKUP($E902,AcctTblE,4,0)="","(بدون نام)",VLOOKUP($E902,AcctTblE,4,0)),"کد ناشناخته")))</f>
        <v/>
      </c>
      <c r="G902" s="15" t="n"/>
      <c r="H902" s="21">
        <f>IF(OR($C902&lt;&gt;"دستمزد گروهی",$D902=""),"",SUMIFS(ShareAmt,ShareLink,$D902))</f>
        <v/>
      </c>
      <c r="I902" s="22">
        <f>IF($C902&lt;&gt;"دستمزد گروهی","—",IF($H902="","",IF(ROUND($H902-IF($G902="",0,$G902),0)=0,"√","▲ مغایرت "&amp;TEXT(IF($G902="",0,$G902)-$H902,"#,##0"))))</f>
        <v/>
      </c>
      <c r="J902" s="18" t="n"/>
    </row>
    <row r="903">
      <c r="A903" s="10">
        <f>IF($B903="","",COUNTA($B$9:$B903))</f>
        <v/>
      </c>
      <c r="B903" s="11" t="n"/>
      <c r="C903" s="12" t="n"/>
      <c r="D903" s="12" t="n"/>
      <c r="E903" s="13" t="n"/>
      <c r="F903" s="14">
        <f>IF($E903="","",IF($C903="دستمزد گروهی",IFERROR(VLOOKUP($E903,WGTbl,2,0),"کد ناشناخته"),IFERROR(IF(VLOOKUP($E903,AcctTblE,4,0)="","(بدون نام)",VLOOKUP($E903,AcctTblE,4,0)),"کد ناشناخته")))</f>
        <v/>
      </c>
      <c r="G903" s="15" t="n"/>
      <c r="H903" s="16">
        <f>IF(OR($C903&lt;&gt;"دستمزد گروهی",$D903=""),"",SUMIFS(ShareAmt,ShareLink,$D903))</f>
        <v/>
      </c>
      <c r="I903" s="17">
        <f>IF($C903&lt;&gt;"دستمزد گروهی","—",IF($H903="","",IF(ROUND($H903-IF($G903="",0,$G903),0)=0,"√","▲ مغایرت "&amp;TEXT(IF($G903="",0,$G903)-$H903,"#,##0"))))</f>
        <v/>
      </c>
      <c r="J903" s="18" t="n"/>
    </row>
    <row r="904">
      <c r="A904" s="19">
        <f>IF($B904="","",COUNTA($B$9:$B904))</f>
        <v/>
      </c>
      <c r="B904" s="11" t="n"/>
      <c r="C904" s="12" t="n"/>
      <c r="D904" s="12" t="n"/>
      <c r="E904" s="13" t="n"/>
      <c r="F904" s="20">
        <f>IF($E904="","",IF($C904="دستمزد گروهی",IFERROR(VLOOKUP($E904,WGTbl,2,0),"کد ناشناخته"),IFERROR(IF(VLOOKUP($E904,AcctTblE,4,0)="","(بدون نام)",VLOOKUP($E904,AcctTblE,4,0)),"کد ناشناخته")))</f>
        <v/>
      </c>
      <c r="G904" s="15" t="n"/>
      <c r="H904" s="21">
        <f>IF(OR($C904&lt;&gt;"دستمزد گروهی",$D904=""),"",SUMIFS(ShareAmt,ShareLink,$D904))</f>
        <v/>
      </c>
      <c r="I904" s="22">
        <f>IF($C904&lt;&gt;"دستمزد گروهی","—",IF($H904="","",IF(ROUND($H904-IF($G904="",0,$G904),0)=0,"√","▲ مغایرت "&amp;TEXT(IF($G904="",0,$G904)-$H904,"#,##0"))))</f>
        <v/>
      </c>
      <c r="J904" s="18" t="n"/>
    </row>
    <row r="905">
      <c r="A905" s="10">
        <f>IF($B905="","",COUNTA($B$9:$B905))</f>
        <v/>
      </c>
      <c r="B905" s="11" t="n"/>
      <c r="C905" s="12" t="n"/>
      <c r="D905" s="12" t="n"/>
      <c r="E905" s="13" t="n"/>
      <c r="F905" s="14">
        <f>IF($E905="","",IF($C905="دستمزد گروهی",IFERROR(VLOOKUP($E905,WGTbl,2,0),"کد ناشناخته"),IFERROR(IF(VLOOKUP($E905,AcctTblE,4,0)="","(بدون نام)",VLOOKUP($E905,AcctTblE,4,0)),"کد ناشناخته")))</f>
        <v/>
      </c>
      <c r="G905" s="15" t="n"/>
      <c r="H905" s="16">
        <f>IF(OR($C905&lt;&gt;"دستمزد گروهی",$D905=""),"",SUMIFS(ShareAmt,ShareLink,$D905))</f>
        <v/>
      </c>
      <c r="I905" s="17">
        <f>IF($C905&lt;&gt;"دستمزد گروهی","—",IF($H905="","",IF(ROUND($H905-IF($G905="",0,$G905),0)=0,"√","▲ مغایرت "&amp;TEXT(IF($G905="",0,$G905)-$H905,"#,##0"))))</f>
        <v/>
      </c>
      <c r="J905" s="18" t="n"/>
    </row>
    <row r="906">
      <c r="A906" s="19">
        <f>IF($B906="","",COUNTA($B$9:$B906))</f>
        <v/>
      </c>
      <c r="B906" s="11" t="n"/>
      <c r="C906" s="12" t="n"/>
      <c r="D906" s="12" t="n"/>
      <c r="E906" s="13" t="n"/>
      <c r="F906" s="20">
        <f>IF($E906="","",IF($C906="دستمزد گروهی",IFERROR(VLOOKUP($E906,WGTbl,2,0),"کد ناشناخته"),IFERROR(IF(VLOOKUP($E906,AcctTblE,4,0)="","(بدون نام)",VLOOKUP($E906,AcctTblE,4,0)),"کد ناشناخته")))</f>
        <v/>
      </c>
      <c r="G906" s="15" t="n"/>
      <c r="H906" s="21">
        <f>IF(OR($C906&lt;&gt;"دستمزد گروهی",$D906=""),"",SUMIFS(ShareAmt,ShareLink,$D906))</f>
        <v/>
      </c>
      <c r="I906" s="22">
        <f>IF($C906&lt;&gt;"دستمزد گروهی","—",IF($H906="","",IF(ROUND($H906-IF($G906="",0,$G906),0)=0,"√","▲ مغایرت "&amp;TEXT(IF($G906="",0,$G906)-$H906,"#,##0"))))</f>
        <v/>
      </c>
      <c r="J906" s="18" t="n"/>
    </row>
    <row r="907">
      <c r="A907" s="10">
        <f>IF($B907="","",COUNTA($B$9:$B907))</f>
        <v/>
      </c>
      <c r="B907" s="11" t="n"/>
      <c r="C907" s="12" t="n"/>
      <c r="D907" s="12" t="n"/>
      <c r="E907" s="13" t="n"/>
      <c r="F907" s="14">
        <f>IF($E907="","",IF($C907="دستمزد گروهی",IFERROR(VLOOKUP($E907,WGTbl,2,0),"کد ناشناخته"),IFERROR(IF(VLOOKUP($E907,AcctTblE,4,0)="","(بدون نام)",VLOOKUP($E907,AcctTblE,4,0)),"کد ناشناخته")))</f>
        <v/>
      </c>
      <c r="G907" s="15" t="n"/>
      <c r="H907" s="16">
        <f>IF(OR($C907&lt;&gt;"دستمزد گروهی",$D907=""),"",SUMIFS(ShareAmt,ShareLink,$D907))</f>
        <v/>
      </c>
      <c r="I907" s="17">
        <f>IF($C907&lt;&gt;"دستمزد گروهی","—",IF($H907="","",IF(ROUND($H907-IF($G907="",0,$G907),0)=0,"√","▲ مغایرت "&amp;TEXT(IF($G907="",0,$G907)-$H907,"#,##0"))))</f>
        <v/>
      </c>
      <c r="J907" s="18" t="n"/>
    </row>
    <row r="908">
      <c r="A908" s="19">
        <f>IF($B908="","",COUNTA($B$9:$B908))</f>
        <v/>
      </c>
      <c r="B908" s="11" t="n"/>
      <c r="C908" s="12" t="n"/>
      <c r="D908" s="12" t="n"/>
      <c r="E908" s="13" t="n"/>
      <c r="F908" s="20">
        <f>IF($E908="","",IF($C908="دستمزد گروهی",IFERROR(VLOOKUP($E908,WGTbl,2,0),"کد ناشناخته"),IFERROR(IF(VLOOKUP($E908,AcctTblE,4,0)="","(بدون نام)",VLOOKUP($E908,AcctTblE,4,0)),"کد ناشناخته")))</f>
        <v/>
      </c>
      <c r="G908" s="15" t="n"/>
      <c r="H908" s="21">
        <f>IF(OR($C908&lt;&gt;"دستمزد گروهی",$D908=""),"",SUMIFS(ShareAmt,ShareLink,$D908))</f>
        <v/>
      </c>
      <c r="I908" s="22">
        <f>IF($C908&lt;&gt;"دستمزد گروهی","—",IF($H908="","",IF(ROUND($H908-IF($G908="",0,$G908),0)=0,"√","▲ مغایرت "&amp;TEXT(IF($G908="",0,$G908)-$H908,"#,##0"))))</f>
        <v/>
      </c>
      <c r="J908" s="18" t="n"/>
    </row>
    <row r="909">
      <c r="A909" s="10">
        <f>IF($B909="","",COUNTA($B$9:$B909))</f>
        <v/>
      </c>
      <c r="B909" s="11" t="n"/>
      <c r="C909" s="12" t="n"/>
      <c r="D909" s="12" t="n"/>
      <c r="E909" s="13" t="n"/>
      <c r="F909" s="14">
        <f>IF($E909="","",IF($C909="دستمزد گروهی",IFERROR(VLOOKUP($E909,WGTbl,2,0),"کد ناشناخته"),IFERROR(IF(VLOOKUP($E909,AcctTblE,4,0)="","(بدون نام)",VLOOKUP($E909,AcctTblE,4,0)),"کد ناشناخته")))</f>
        <v/>
      </c>
      <c r="G909" s="15" t="n"/>
      <c r="H909" s="16">
        <f>IF(OR($C909&lt;&gt;"دستمزد گروهی",$D909=""),"",SUMIFS(ShareAmt,ShareLink,$D909))</f>
        <v/>
      </c>
      <c r="I909" s="17">
        <f>IF($C909&lt;&gt;"دستمزد گروهی","—",IF($H909="","",IF(ROUND($H909-IF($G909="",0,$G909),0)=0,"√","▲ مغایرت "&amp;TEXT(IF($G909="",0,$G909)-$H909,"#,##0"))))</f>
        <v/>
      </c>
      <c r="J909" s="18" t="n"/>
    </row>
    <row r="910">
      <c r="A910" s="19">
        <f>IF($B910="","",COUNTA($B$9:$B910))</f>
        <v/>
      </c>
      <c r="B910" s="11" t="n"/>
      <c r="C910" s="12" t="n"/>
      <c r="D910" s="12" t="n"/>
      <c r="E910" s="13" t="n"/>
      <c r="F910" s="20">
        <f>IF($E910="","",IF($C910="دستمزد گروهی",IFERROR(VLOOKUP($E910,WGTbl,2,0),"کد ناشناخته"),IFERROR(IF(VLOOKUP($E910,AcctTblE,4,0)="","(بدون نام)",VLOOKUP($E910,AcctTblE,4,0)),"کد ناشناخته")))</f>
        <v/>
      </c>
      <c r="G910" s="15" t="n"/>
      <c r="H910" s="21">
        <f>IF(OR($C910&lt;&gt;"دستمزد گروهی",$D910=""),"",SUMIFS(ShareAmt,ShareLink,$D910))</f>
        <v/>
      </c>
      <c r="I910" s="22">
        <f>IF($C910&lt;&gt;"دستمزد گروهی","—",IF($H910="","",IF(ROUND($H910-IF($G910="",0,$G910),0)=0,"√","▲ مغایرت "&amp;TEXT(IF($G910="",0,$G910)-$H910,"#,##0"))))</f>
        <v/>
      </c>
      <c r="J910" s="18" t="n"/>
    </row>
    <row r="911">
      <c r="A911" s="10">
        <f>IF($B911="","",COUNTA($B$9:$B911))</f>
        <v/>
      </c>
      <c r="B911" s="11" t="n"/>
      <c r="C911" s="12" t="n"/>
      <c r="D911" s="12" t="n"/>
      <c r="E911" s="13" t="n"/>
      <c r="F911" s="14">
        <f>IF($E911="","",IF($C911="دستمزد گروهی",IFERROR(VLOOKUP($E911,WGTbl,2,0),"کد ناشناخته"),IFERROR(IF(VLOOKUP($E911,AcctTblE,4,0)="","(بدون نام)",VLOOKUP($E911,AcctTblE,4,0)),"کد ناشناخته")))</f>
        <v/>
      </c>
      <c r="G911" s="15" t="n"/>
      <c r="H911" s="16">
        <f>IF(OR($C911&lt;&gt;"دستمزد گروهی",$D911=""),"",SUMIFS(ShareAmt,ShareLink,$D911))</f>
        <v/>
      </c>
      <c r="I911" s="17">
        <f>IF($C911&lt;&gt;"دستمزد گروهی","—",IF($H911="","",IF(ROUND($H911-IF($G911="",0,$G911),0)=0,"√","▲ مغایرت "&amp;TEXT(IF($G911="",0,$G911)-$H911,"#,##0"))))</f>
        <v/>
      </c>
      <c r="J911" s="18" t="n"/>
    </row>
    <row r="912">
      <c r="A912" s="19">
        <f>IF($B912="","",COUNTA($B$9:$B912))</f>
        <v/>
      </c>
      <c r="B912" s="11" t="n"/>
      <c r="C912" s="12" t="n"/>
      <c r="D912" s="12" t="n"/>
      <c r="E912" s="13" t="n"/>
      <c r="F912" s="20">
        <f>IF($E912="","",IF($C912="دستمزد گروهی",IFERROR(VLOOKUP($E912,WGTbl,2,0),"کد ناشناخته"),IFERROR(IF(VLOOKUP($E912,AcctTblE,4,0)="","(بدون نام)",VLOOKUP($E912,AcctTblE,4,0)),"کد ناشناخته")))</f>
        <v/>
      </c>
      <c r="G912" s="15" t="n"/>
      <c r="H912" s="21">
        <f>IF(OR($C912&lt;&gt;"دستمزد گروهی",$D912=""),"",SUMIFS(ShareAmt,ShareLink,$D912))</f>
        <v/>
      </c>
      <c r="I912" s="22">
        <f>IF($C912&lt;&gt;"دستمزد گروهی","—",IF($H912="","",IF(ROUND($H912-IF($G912="",0,$G912),0)=0,"√","▲ مغایرت "&amp;TEXT(IF($G912="",0,$G912)-$H912,"#,##0"))))</f>
        <v/>
      </c>
      <c r="J912" s="18" t="n"/>
    </row>
    <row r="913">
      <c r="A913" s="10">
        <f>IF($B913="","",COUNTA($B$9:$B913))</f>
        <v/>
      </c>
      <c r="B913" s="11" t="n"/>
      <c r="C913" s="12" t="n"/>
      <c r="D913" s="12" t="n"/>
      <c r="E913" s="13" t="n"/>
      <c r="F913" s="14">
        <f>IF($E913="","",IF($C913="دستمزد گروهی",IFERROR(VLOOKUP($E913,WGTbl,2,0),"کد ناشناخته"),IFERROR(IF(VLOOKUP($E913,AcctTblE,4,0)="","(بدون نام)",VLOOKUP($E913,AcctTblE,4,0)),"کد ناشناخته")))</f>
        <v/>
      </c>
      <c r="G913" s="15" t="n"/>
      <c r="H913" s="16">
        <f>IF(OR($C913&lt;&gt;"دستمزد گروهی",$D913=""),"",SUMIFS(ShareAmt,ShareLink,$D913))</f>
        <v/>
      </c>
      <c r="I913" s="17">
        <f>IF($C913&lt;&gt;"دستمزد گروهی","—",IF($H913="","",IF(ROUND($H913-IF($G913="",0,$G913),0)=0,"√","▲ مغایرت "&amp;TEXT(IF($G913="",0,$G913)-$H913,"#,##0"))))</f>
        <v/>
      </c>
      <c r="J913" s="18" t="n"/>
    </row>
    <row r="914">
      <c r="A914" s="19">
        <f>IF($B914="","",COUNTA($B$9:$B914))</f>
        <v/>
      </c>
      <c r="B914" s="11" t="n"/>
      <c r="C914" s="12" t="n"/>
      <c r="D914" s="12" t="n"/>
      <c r="E914" s="13" t="n"/>
      <c r="F914" s="20">
        <f>IF($E914="","",IF($C914="دستمزد گروهی",IFERROR(VLOOKUP($E914,WGTbl,2,0),"کد ناشناخته"),IFERROR(IF(VLOOKUP($E914,AcctTblE,4,0)="","(بدون نام)",VLOOKUP($E914,AcctTblE,4,0)),"کد ناشناخته")))</f>
        <v/>
      </c>
      <c r="G914" s="15" t="n"/>
      <c r="H914" s="21">
        <f>IF(OR($C914&lt;&gt;"دستمزد گروهی",$D914=""),"",SUMIFS(ShareAmt,ShareLink,$D914))</f>
        <v/>
      </c>
      <c r="I914" s="22">
        <f>IF($C914&lt;&gt;"دستمزد گروهی","—",IF($H914="","",IF(ROUND($H914-IF($G914="",0,$G914),0)=0,"√","▲ مغایرت "&amp;TEXT(IF($G914="",0,$G914)-$H914,"#,##0"))))</f>
        <v/>
      </c>
      <c r="J914" s="18" t="n"/>
    </row>
    <row r="915">
      <c r="A915" s="10">
        <f>IF($B915="","",COUNTA($B$9:$B915))</f>
        <v/>
      </c>
      <c r="B915" s="11" t="n"/>
      <c r="C915" s="12" t="n"/>
      <c r="D915" s="12" t="n"/>
      <c r="E915" s="13" t="n"/>
      <c r="F915" s="14">
        <f>IF($E915="","",IF($C915="دستمزد گروهی",IFERROR(VLOOKUP($E915,WGTbl,2,0),"کد ناشناخته"),IFERROR(IF(VLOOKUP($E915,AcctTblE,4,0)="","(بدون نام)",VLOOKUP($E915,AcctTblE,4,0)),"کد ناشناخته")))</f>
        <v/>
      </c>
      <c r="G915" s="15" t="n"/>
      <c r="H915" s="16">
        <f>IF(OR($C915&lt;&gt;"دستمزد گروهی",$D915=""),"",SUMIFS(ShareAmt,ShareLink,$D915))</f>
        <v/>
      </c>
      <c r="I915" s="17">
        <f>IF($C915&lt;&gt;"دستمزد گروهی","—",IF($H915="","",IF(ROUND($H915-IF($G915="",0,$G915),0)=0,"√","▲ مغایرت "&amp;TEXT(IF($G915="",0,$G915)-$H915,"#,##0"))))</f>
        <v/>
      </c>
      <c r="J915" s="18" t="n"/>
    </row>
    <row r="916">
      <c r="A916" s="19">
        <f>IF($B916="","",COUNTA($B$9:$B916))</f>
        <v/>
      </c>
      <c r="B916" s="11" t="n"/>
      <c r="C916" s="12" t="n"/>
      <c r="D916" s="12" t="n"/>
      <c r="E916" s="13" t="n"/>
      <c r="F916" s="20">
        <f>IF($E916="","",IF($C916="دستمزد گروهی",IFERROR(VLOOKUP($E916,WGTbl,2,0),"کد ناشناخته"),IFERROR(IF(VLOOKUP($E916,AcctTblE,4,0)="","(بدون نام)",VLOOKUP($E916,AcctTblE,4,0)),"کد ناشناخته")))</f>
        <v/>
      </c>
      <c r="G916" s="15" t="n"/>
      <c r="H916" s="21">
        <f>IF(OR($C916&lt;&gt;"دستمزد گروهی",$D916=""),"",SUMIFS(ShareAmt,ShareLink,$D916))</f>
        <v/>
      </c>
      <c r="I916" s="22">
        <f>IF($C916&lt;&gt;"دستمزد گروهی","—",IF($H916="","",IF(ROUND($H916-IF($G916="",0,$G916),0)=0,"√","▲ مغایرت "&amp;TEXT(IF($G916="",0,$G916)-$H916,"#,##0"))))</f>
        <v/>
      </c>
      <c r="J916" s="18" t="n"/>
    </row>
    <row r="917">
      <c r="A917" s="10">
        <f>IF($B917="","",COUNTA($B$9:$B917))</f>
        <v/>
      </c>
      <c r="B917" s="11" t="n"/>
      <c r="C917" s="12" t="n"/>
      <c r="D917" s="12" t="n"/>
      <c r="E917" s="13" t="n"/>
      <c r="F917" s="14">
        <f>IF($E917="","",IF($C917="دستمزد گروهی",IFERROR(VLOOKUP($E917,WGTbl,2,0),"کد ناشناخته"),IFERROR(IF(VLOOKUP($E917,AcctTblE,4,0)="","(بدون نام)",VLOOKUP($E917,AcctTblE,4,0)),"کد ناشناخته")))</f>
        <v/>
      </c>
      <c r="G917" s="15" t="n"/>
      <c r="H917" s="16">
        <f>IF(OR($C917&lt;&gt;"دستمزد گروهی",$D917=""),"",SUMIFS(ShareAmt,ShareLink,$D917))</f>
        <v/>
      </c>
      <c r="I917" s="17">
        <f>IF($C917&lt;&gt;"دستمزد گروهی","—",IF($H917="","",IF(ROUND($H917-IF($G917="",0,$G917),0)=0,"√","▲ مغایرت "&amp;TEXT(IF($G917="",0,$G917)-$H917,"#,##0"))))</f>
        <v/>
      </c>
      <c r="J917" s="18" t="n"/>
    </row>
    <row r="918">
      <c r="A918" s="19">
        <f>IF($B918="","",COUNTA($B$9:$B918))</f>
        <v/>
      </c>
      <c r="B918" s="11" t="n"/>
      <c r="C918" s="12" t="n"/>
      <c r="D918" s="12" t="n"/>
      <c r="E918" s="13" t="n"/>
      <c r="F918" s="20">
        <f>IF($E918="","",IF($C918="دستمزد گروهی",IFERROR(VLOOKUP($E918,WGTbl,2,0),"کد ناشناخته"),IFERROR(IF(VLOOKUP($E918,AcctTblE,4,0)="","(بدون نام)",VLOOKUP($E918,AcctTblE,4,0)),"کد ناشناخته")))</f>
        <v/>
      </c>
      <c r="G918" s="15" t="n"/>
      <c r="H918" s="21">
        <f>IF(OR($C918&lt;&gt;"دستمزد گروهی",$D918=""),"",SUMIFS(ShareAmt,ShareLink,$D918))</f>
        <v/>
      </c>
      <c r="I918" s="22">
        <f>IF($C918&lt;&gt;"دستمزد گروهی","—",IF($H918="","",IF(ROUND($H918-IF($G918="",0,$G918),0)=0,"√","▲ مغایرت "&amp;TEXT(IF($G918="",0,$G918)-$H918,"#,##0"))))</f>
        <v/>
      </c>
      <c r="J918" s="18" t="n"/>
    </row>
    <row r="919">
      <c r="A919" s="10">
        <f>IF($B919="","",COUNTA($B$9:$B919))</f>
        <v/>
      </c>
      <c r="B919" s="11" t="n"/>
      <c r="C919" s="12" t="n"/>
      <c r="D919" s="12" t="n"/>
      <c r="E919" s="13" t="n"/>
      <c r="F919" s="14">
        <f>IF($E919="","",IF($C919="دستمزد گروهی",IFERROR(VLOOKUP($E919,WGTbl,2,0),"کد ناشناخته"),IFERROR(IF(VLOOKUP($E919,AcctTblE,4,0)="","(بدون نام)",VLOOKUP($E919,AcctTblE,4,0)),"کد ناشناخته")))</f>
        <v/>
      </c>
      <c r="G919" s="15" t="n"/>
      <c r="H919" s="16">
        <f>IF(OR($C919&lt;&gt;"دستمزد گروهی",$D919=""),"",SUMIFS(ShareAmt,ShareLink,$D919))</f>
        <v/>
      </c>
      <c r="I919" s="17">
        <f>IF($C919&lt;&gt;"دستمزد گروهی","—",IF($H919="","",IF(ROUND($H919-IF($G919="",0,$G919),0)=0,"√","▲ مغایرت "&amp;TEXT(IF($G919="",0,$G919)-$H919,"#,##0"))))</f>
        <v/>
      </c>
      <c r="J919" s="18" t="n"/>
    </row>
    <row r="920">
      <c r="A920" s="19">
        <f>IF($B920="","",COUNTA($B$9:$B920))</f>
        <v/>
      </c>
      <c r="B920" s="11" t="n"/>
      <c r="C920" s="12" t="n"/>
      <c r="D920" s="12" t="n"/>
      <c r="E920" s="13" t="n"/>
      <c r="F920" s="20">
        <f>IF($E920="","",IF($C920="دستمزد گروهی",IFERROR(VLOOKUP($E920,WGTbl,2,0),"کد ناشناخته"),IFERROR(IF(VLOOKUP($E920,AcctTblE,4,0)="","(بدون نام)",VLOOKUP($E920,AcctTblE,4,0)),"کد ناشناخته")))</f>
        <v/>
      </c>
      <c r="G920" s="15" t="n"/>
      <c r="H920" s="21">
        <f>IF(OR($C920&lt;&gt;"دستمزد گروهی",$D920=""),"",SUMIFS(ShareAmt,ShareLink,$D920))</f>
        <v/>
      </c>
      <c r="I920" s="22">
        <f>IF($C920&lt;&gt;"دستمزد گروهی","—",IF($H920="","",IF(ROUND($H920-IF($G920="",0,$G920),0)=0,"√","▲ مغایرت "&amp;TEXT(IF($G920="",0,$G920)-$H920,"#,##0"))))</f>
        <v/>
      </c>
      <c r="J920" s="18" t="n"/>
    </row>
    <row r="921">
      <c r="A921" s="10">
        <f>IF($B921="","",COUNTA($B$9:$B921))</f>
        <v/>
      </c>
      <c r="B921" s="11" t="n"/>
      <c r="C921" s="12" t="n"/>
      <c r="D921" s="12" t="n"/>
      <c r="E921" s="13" t="n"/>
      <c r="F921" s="14">
        <f>IF($E921="","",IF($C921="دستمزد گروهی",IFERROR(VLOOKUP($E921,WGTbl,2,0),"کد ناشناخته"),IFERROR(IF(VLOOKUP($E921,AcctTblE,4,0)="","(بدون نام)",VLOOKUP($E921,AcctTblE,4,0)),"کد ناشناخته")))</f>
        <v/>
      </c>
      <c r="G921" s="15" t="n"/>
      <c r="H921" s="16">
        <f>IF(OR($C921&lt;&gt;"دستمزد گروهی",$D921=""),"",SUMIFS(ShareAmt,ShareLink,$D921))</f>
        <v/>
      </c>
      <c r="I921" s="17">
        <f>IF($C921&lt;&gt;"دستمزد گروهی","—",IF($H921="","",IF(ROUND($H921-IF($G921="",0,$G921),0)=0,"√","▲ مغایرت "&amp;TEXT(IF($G921="",0,$G921)-$H921,"#,##0"))))</f>
        <v/>
      </c>
      <c r="J921" s="18" t="n"/>
    </row>
    <row r="922">
      <c r="A922" s="19">
        <f>IF($B922="","",COUNTA($B$9:$B922))</f>
        <v/>
      </c>
      <c r="B922" s="11" t="n"/>
      <c r="C922" s="12" t="n"/>
      <c r="D922" s="12" t="n"/>
      <c r="E922" s="13" t="n"/>
      <c r="F922" s="20">
        <f>IF($E922="","",IF($C922="دستمزد گروهی",IFERROR(VLOOKUP($E922,WGTbl,2,0),"کد ناشناخته"),IFERROR(IF(VLOOKUP($E922,AcctTblE,4,0)="","(بدون نام)",VLOOKUP($E922,AcctTblE,4,0)),"کد ناشناخته")))</f>
        <v/>
      </c>
      <c r="G922" s="15" t="n"/>
      <c r="H922" s="21">
        <f>IF(OR($C922&lt;&gt;"دستمزد گروهی",$D922=""),"",SUMIFS(ShareAmt,ShareLink,$D922))</f>
        <v/>
      </c>
      <c r="I922" s="22">
        <f>IF($C922&lt;&gt;"دستمزد گروهی","—",IF($H922="","",IF(ROUND($H922-IF($G922="",0,$G922),0)=0,"√","▲ مغایرت "&amp;TEXT(IF($G922="",0,$G922)-$H922,"#,##0"))))</f>
        <v/>
      </c>
      <c r="J922" s="18" t="n"/>
    </row>
    <row r="923">
      <c r="A923" s="10">
        <f>IF($B923="","",COUNTA($B$9:$B923))</f>
        <v/>
      </c>
      <c r="B923" s="11" t="n"/>
      <c r="C923" s="12" t="n"/>
      <c r="D923" s="12" t="n"/>
      <c r="E923" s="13" t="n"/>
      <c r="F923" s="14">
        <f>IF($E923="","",IF($C923="دستمزد گروهی",IFERROR(VLOOKUP($E923,WGTbl,2,0),"کد ناشناخته"),IFERROR(IF(VLOOKUP($E923,AcctTblE,4,0)="","(بدون نام)",VLOOKUP($E923,AcctTblE,4,0)),"کد ناشناخته")))</f>
        <v/>
      </c>
      <c r="G923" s="15" t="n"/>
      <c r="H923" s="16">
        <f>IF(OR($C923&lt;&gt;"دستمزد گروهی",$D923=""),"",SUMIFS(ShareAmt,ShareLink,$D923))</f>
        <v/>
      </c>
      <c r="I923" s="17">
        <f>IF($C923&lt;&gt;"دستمزد گروهی","—",IF($H923="","",IF(ROUND($H923-IF($G923="",0,$G923),0)=0,"√","▲ مغایرت "&amp;TEXT(IF($G923="",0,$G923)-$H923,"#,##0"))))</f>
        <v/>
      </c>
      <c r="J923" s="18" t="n"/>
    </row>
    <row r="924">
      <c r="A924" s="19">
        <f>IF($B924="","",COUNTA($B$9:$B924))</f>
        <v/>
      </c>
      <c r="B924" s="11" t="n"/>
      <c r="C924" s="12" t="n"/>
      <c r="D924" s="12" t="n"/>
      <c r="E924" s="13" t="n"/>
      <c r="F924" s="20">
        <f>IF($E924="","",IF($C924="دستمزد گروهی",IFERROR(VLOOKUP($E924,WGTbl,2,0),"کد ناشناخته"),IFERROR(IF(VLOOKUP($E924,AcctTblE,4,0)="","(بدون نام)",VLOOKUP($E924,AcctTblE,4,0)),"کد ناشناخته")))</f>
        <v/>
      </c>
      <c r="G924" s="15" t="n"/>
      <c r="H924" s="21">
        <f>IF(OR($C924&lt;&gt;"دستمزد گروهی",$D924=""),"",SUMIFS(ShareAmt,ShareLink,$D924))</f>
        <v/>
      </c>
      <c r="I924" s="22">
        <f>IF($C924&lt;&gt;"دستمزد گروهی","—",IF($H924="","",IF(ROUND($H924-IF($G924="",0,$G924),0)=0,"√","▲ مغایرت "&amp;TEXT(IF($G924="",0,$G924)-$H924,"#,##0"))))</f>
        <v/>
      </c>
      <c r="J924" s="18" t="n"/>
    </row>
    <row r="925">
      <c r="A925" s="10">
        <f>IF($B925="","",COUNTA($B$9:$B925))</f>
        <v/>
      </c>
      <c r="B925" s="11" t="n"/>
      <c r="C925" s="12" t="n"/>
      <c r="D925" s="12" t="n"/>
      <c r="E925" s="13" t="n"/>
      <c r="F925" s="14">
        <f>IF($E925="","",IF($C925="دستمزد گروهی",IFERROR(VLOOKUP($E925,WGTbl,2,0),"کد ناشناخته"),IFERROR(IF(VLOOKUP($E925,AcctTblE,4,0)="","(بدون نام)",VLOOKUP($E925,AcctTblE,4,0)),"کد ناشناخته")))</f>
        <v/>
      </c>
      <c r="G925" s="15" t="n"/>
      <c r="H925" s="16">
        <f>IF(OR($C925&lt;&gt;"دستمزد گروهی",$D925=""),"",SUMIFS(ShareAmt,ShareLink,$D925))</f>
        <v/>
      </c>
      <c r="I925" s="17">
        <f>IF($C925&lt;&gt;"دستمزد گروهی","—",IF($H925="","",IF(ROUND($H925-IF($G925="",0,$G925),0)=0,"√","▲ مغایرت "&amp;TEXT(IF($G925="",0,$G925)-$H925,"#,##0"))))</f>
        <v/>
      </c>
      <c r="J925" s="18" t="n"/>
    </row>
    <row r="926">
      <c r="A926" s="19">
        <f>IF($B926="","",COUNTA($B$9:$B926))</f>
        <v/>
      </c>
      <c r="B926" s="11" t="n"/>
      <c r="C926" s="12" t="n"/>
      <c r="D926" s="12" t="n"/>
      <c r="E926" s="13" t="n"/>
      <c r="F926" s="20">
        <f>IF($E926="","",IF($C926="دستمزد گروهی",IFERROR(VLOOKUP($E926,WGTbl,2,0),"کد ناشناخته"),IFERROR(IF(VLOOKUP($E926,AcctTblE,4,0)="","(بدون نام)",VLOOKUP($E926,AcctTblE,4,0)),"کد ناشناخته")))</f>
        <v/>
      </c>
      <c r="G926" s="15" t="n"/>
      <c r="H926" s="21">
        <f>IF(OR($C926&lt;&gt;"دستمزد گروهی",$D926=""),"",SUMIFS(ShareAmt,ShareLink,$D926))</f>
        <v/>
      </c>
      <c r="I926" s="22">
        <f>IF($C926&lt;&gt;"دستمزد گروهی","—",IF($H926="","",IF(ROUND($H926-IF($G926="",0,$G926),0)=0,"√","▲ مغایرت "&amp;TEXT(IF($G926="",0,$G926)-$H926,"#,##0"))))</f>
        <v/>
      </c>
      <c r="J926" s="18" t="n"/>
    </row>
    <row r="927">
      <c r="A927" s="10">
        <f>IF($B927="","",COUNTA($B$9:$B927))</f>
        <v/>
      </c>
      <c r="B927" s="11" t="n"/>
      <c r="C927" s="12" t="n"/>
      <c r="D927" s="12" t="n"/>
      <c r="E927" s="13" t="n"/>
      <c r="F927" s="14">
        <f>IF($E927="","",IF($C927="دستمزد گروهی",IFERROR(VLOOKUP($E927,WGTbl,2,0),"کد ناشناخته"),IFERROR(IF(VLOOKUP($E927,AcctTblE,4,0)="","(بدون نام)",VLOOKUP($E927,AcctTblE,4,0)),"کد ناشناخته")))</f>
        <v/>
      </c>
      <c r="G927" s="15" t="n"/>
      <c r="H927" s="16">
        <f>IF(OR($C927&lt;&gt;"دستمزد گروهی",$D927=""),"",SUMIFS(ShareAmt,ShareLink,$D927))</f>
        <v/>
      </c>
      <c r="I927" s="17">
        <f>IF($C927&lt;&gt;"دستمزد گروهی","—",IF($H927="","",IF(ROUND($H927-IF($G927="",0,$G927),0)=0,"√","▲ مغایرت "&amp;TEXT(IF($G927="",0,$G927)-$H927,"#,##0"))))</f>
        <v/>
      </c>
      <c r="J927" s="18" t="n"/>
    </row>
    <row r="928">
      <c r="A928" s="19">
        <f>IF($B928="","",COUNTA($B$9:$B928))</f>
        <v/>
      </c>
      <c r="B928" s="11" t="n"/>
      <c r="C928" s="12" t="n"/>
      <c r="D928" s="12" t="n"/>
      <c r="E928" s="13" t="n"/>
      <c r="F928" s="20">
        <f>IF($E928="","",IF($C928="دستمزد گروهی",IFERROR(VLOOKUP($E928,WGTbl,2,0),"کد ناشناخته"),IFERROR(IF(VLOOKUP($E928,AcctTblE,4,0)="","(بدون نام)",VLOOKUP($E928,AcctTblE,4,0)),"کد ناشناخته")))</f>
        <v/>
      </c>
      <c r="G928" s="15" t="n"/>
      <c r="H928" s="21">
        <f>IF(OR($C928&lt;&gt;"دستمزد گروهی",$D928=""),"",SUMIFS(ShareAmt,ShareLink,$D928))</f>
        <v/>
      </c>
      <c r="I928" s="22">
        <f>IF($C928&lt;&gt;"دستمزد گروهی","—",IF($H928="","",IF(ROUND($H928-IF($G928="",0,$G928),0)=0,"√","▲ مغایرت "&amp;TEXT(IF($G928="",0,$G928)-$H928,"#,##0"))))</f>
        <v/>
      </c>
      <c r="J928" s="18" t="n"/>
    </row>
    <row r="929">
      <c r="A929" s="10">
        <f>IF($B929="","",COUNTA($B$9:$B929))</f>
        <v/>
      </c>
      <c r="B929" s="11" t="n"/>
      <c r="C929" s="12" t="n"/>
      <c r="D929" s="12" t="n"/>
      <c r="E929" s="13" t="n"/>
      <c r="F929" s="14">
        <f>IF($E929="","",IF($C929="دستمزد گروهی",IFERROR(VLOOKUP($E929,WGTbl,2,0),"کد ناشناخته"),IFERROR(IF(VLOOKUP($E929,AcctTblE,4,0)="","(بدون نام)",VLOOKUP($E929,AcctTblE,4,0)),"کد ناشناخته")))</f>
        <v/>
      </c>
      <c r="G929" s="15" t="n"/>
      <c r="H929" s="16">
        <f>IF(OR($C929&lt;&gt;"دستمزد گروهی",$D929=""),"",SUMIFS(ShareAmt,ShareLink,$D929))</f>
        <v/>
      </c>
      <c r="I929" s="17">
        <f>IF($C929&lt;&gt;"دستمزد گروهی","—",IF($H929="","",IF(ROUND($H929-IF($G929="",0,$G929),0)=0,"√","▲ مغایرت "&amp;TEXT(IF($G929="",0,$G929)-$H929,"#,##0"))))</f>
        <v/>
      </c>
      <c r="J929" s="18" t="n"/>
    </row>
    <row r="930">
      <c r="A930" s="19">
        <f>IF($B930="","",COUNTA($B$9:$B930))</f>
        <v/>
      </c>
      <c r="B930" s="11" t="n"/>
      <c r="C930" s="12" t="n"/>
      <c r="D930" s="12" t="n"/>
      <c r="E930" s="13" t="n"/>
      <c r="F930" s="20">
        <f>IF($E930="","",IF($C930="دستمزد گروهی",IFERROR(VLOOKUP($E930,WGTbl,2,0),"کد ناشناخته"),IFERROR(IF(VLOOKUP($E930,AcctTblE,4,0)="","(بدون نام)",VLOOKUP($E930,AcctTblE,4,0)),"کد ناشناخته")))</f>
        <v/>
      </c>
      <c r="G930" s="15" t="n"/>
      <c r="H930" s="21">
        <f>IF(OR($C930&lt;&gt;"دستمزد گروهی",$D930=""),"",SUMIFS(ShareAmt,ShareLink,$D930))</f>
        <v/>
      </c>
      <c r="I930" s="22">
        <f>IF($C930&lt;&gt;"دستمزد گروهی","—",IF($H930="","",IF(ROUND($H930-IF($G930="",0,$G930),0)=0,"√","▲ مغایرت "&amp;TEXT(IF($G930="",0,$G930)-$H930,"#,##0"))))</f>
        <v/>
      </c>
      <c r="J930" s="18" t="n"/>
    </row>
    <row r="931">
      <c r="A931" s="10">
        <f>IF($B931="","",COUNTA($B$9:$B931))</f>
        <v/>
      </c>
      <c r="B931" s="11" t="n"/>
      <c r="C931" s="12" t="n"/>
      <c r="D931" s="12" t="n"/>
      <c r="E931" s="13" t="n"/>
      <c r="F931" s="14">
        <f>IF($E931="","",IF($C931="دستمزد گروهی",IFERROR(VLOOKUP($E931,WGTbl,2,0),"کد ناشناخته"),IFERROR(IF(VLOOKUP($E931,AcctTblE,4,0)="","(بدون نام)",VLOOKUP($E931,AcctTblE,4,0)),"کد ناشناخته")))</f>
        <v/>
      </c>
      <c r="G931" s="15" t="n"/>
      <c r="H931" s="16">
        <f>IF(OR($C931&lt;&gt;"دستمزد گروهی",$D931=""),"",SUMIFS(ShareAmt,ShareLink,$D931))</f>
        <v/>
      </c>
      <c r="I931" s="17">
        <f>IF($C931&lt;&gt;"دستمزد گروهی","—",IF($H931="","",IF(ROUND($H931-IF($G931="",0,$G931),0)=0,"√","▲ مغایرت "&amp;TEXT(IF($G931="",0,$G931)-$H931,"#,##0"))))</f>
        <v/>
      </c>
      <c r="J931" s="18" t="n"/>
    </row>
    <row r="932">
      <c r="A932" s="19">
        <f>IF($B932="","",COUNTA($B$9:$B932))</f>
        <v/>
      </c>
      <c r="B932" s="11" t="n"/>
      <c r="C932" s="12" t="n"/>
      <c r="D932" s="12" t="n"/>
      <c r="E932" s="13" t="n"/>
      <c r="F932" s="20">
        <f>IF($E932="","",IF($C932="دستمزد گروهی",IFERROR(VLOOKUP($E932,WGTbl,2,0),"کد ناشناخته"),IFERROR(IF(VLOOKUP($E932,AcctTblE,4,0)="","(بدون نام)",VLOOKUP($E932,AcctTblE,4,0)),"کد ناشناخته")))</f>
        <v/>
      </c>
      <c r="G932" s="15" t="n"/>
      <c r="H932" s="21">
        <f>IF(OR($C932&lt;&gt;"دستمزد گروهی",$D932=""),"",SUMIFS(ShareAmt,ShareLink,$D932))</f>
        <v/>
      </c>
      <c r="I932" s="22">
        <f>IF($C932&lt;&gt;"دستمزد گروهی","—",IF($H932="","",IF(ROUND($H932-IF($G932="",0,$G932),0)=0,"√","▲ مغایرت "&amp;TEXT(IF($G932="",0,$G932)-$H932,"#,##0"))))</f>
        <v/>
      </c>
      <c r="J932" s="18" t="n"/>
    </row>
    <row r="933">
      <c r="A933" s="10">
        <f>IF($B933="","",COUNTA($B$9:$B933))</f>
        <v/>
      </c>
      <c r="B933" s="11" t="n"/>
      <c r="C933" s="12" t="n"/>
      <c r="D933" s="12" t="n"/>
      <c r="E933" s="13" t="n"/>
      <c r="F933" s="14">
        <f>IF($E933="","",IF($C933="دستمزد گروهی",IFERROR(VLOOKUP($E933,WGTbl,2,0),"کد ناشناخته"),IFERROR(IF(VLOOKUP($E933,AcctTblE,4,0)="","(بدون نام)",VLOOKUP($E933,AcctTblE,4,0)),"کد ناشناخته")))</f>
        <v/>
      </c>
      <c r="G933" s="15" t="n"/>
      <c r="H933" s="16">
        <f>IF(OR($C933&lt;&gt;"دستمزد گروهی",$D933=""),"",SUMIFS(ShareAmt,ShareLink,$D933))</f>
        <v/>
      </c>
      <c r="I933" s="17">
        <f>IF($C933&lt;&gt;"دستمزد گروهی","—",IF($H933="","",IF(ROUND($H933-IF($G933="",0,$G933),0)=0,"√","▲ مغایرت "&amp;TEXT(IF($G933="",0,$G933)-$H933,"#,##0"))))</f>
        <v/>
      </c>
      <c r="J933" s="18" t="n"/>
    </row>
    <row r="934">
      <c r="A934" s="19">
        <f>IF($B934="","",COUNTA($B$9:$B934))</f>
        <v/>
      </c>
      <c r="B934" s="11" t="n"/>
      <c r="C934" s="12" t="n"/>
      <c r="D934" s="12" t="n"/>
      <c r="E934" s="13" t="n"/>
      <c r="F934" s="20">
        <f>IF($E934="","",IF($C934="دستمزد گروهی",IFERROR(VLOOKUP($E934,WGTbl,2,0),"کد ناشناخته"),IFERROR(IF(VLOOKUP($E934,AcctTblE,4,0)="","(بدون نام)",VLOOKUP($E934,AcctTblE,4,0)),"کد ناشناخته")))</f>
        <v/>
      </c>
      <c r="G934" s="15" t="n"/>
      <c r="H934" s="21">
        <f>IF(OR($C934&lt;&gt;"دستمزد گروهی",$D934=""),"",SUMIFS(ShareAmt,ShareLink,$D934))</f>
        <v/>
      </c>
      <c r="I934" s="22">
        <f>IF($C934&lt;&gt;"دستمزد گروهی","—",IF($H934="","",IF(ROUND($H934-IF($G934="",0,$G934),0)=0,"√","▲ مغایرت "&amp;TEXT(IF($G934="",0,$G934)-$H934,"#,##0"))))</f>
        <v/>
      </c>
      <c r="J934" s="18" t="n"/>
    </row>
    <row r="935">
      <c r="A935" s="10">
        <f>IF($B935="","",COUNTA($B$9:$B935))</f>
        <v/>
      </c>
      <c r="B935" s="11" t="n"/>
      <c r="C935" s="12" t="n"/>
      <c r="D935" s="12" t="n"/>
      <c r="E935" s="13" t="n"/>
      <c r="F935" s="14">
        <f>IF($E935="","",IF($C935="دستمزد گروهی",IFERROR(VLOOKUP($E935,WGTbl,2,0),"کد ناشناخته"),IFERROR(IF(VLOOKUP($E935,AcctTblE,4,0)="","(بدون نام)",VLOOKUP($E935,AcctTblE,4,0)),"کد ناشناخته")))</f>
        <v/>
      </c>
      <c r="G935" s="15" t="n"/>
      <c r="H935" s="16">
        <f>IF(OR($C935&lt;&gt;"دستمزد گروهی",$D935=""),"",SUMIFS(ShareAmt,ShareLink,$D935))</f>
        <v/>
      </c>
      <c r="I935" s="17">
        <f>IF($C935&lt;&gt;"دستمزد گروهی","—",IF($H935="","",IF(ROUND($H935-IF($G935="",0,$G935),0)=0,"√","▲ مغایرت "&amp;TEXT(IF($G935="",0,$G935)-$H935,"#,##0"))))</f>
        <v/>
      </c>
      <c r="J935" s="18" t="n"/>
    </row>
    <row r="936">
      <c r="A936" s="19">
        <f>IF($B936="","",COUNTA($B$9:$B936))</f>
        <v/>
      </c>
      <c r="B936" s="11" t="n"/>
      <c r="C936" s="12" t="n"/>
      <c r="D936" s="12" t="n"/>
      <c r="E936" s="13" t="n"/>
      <c r="F936" s="20">
        <f>IF($E936="","",IF($C936="دستمزد گروهی",IFERROR(VLOOKUP($E936,WGTbl,2,0),"کد ناشناخته"),IFERROR(IF(VLOOKUP($E936,AcctTblE,4,0)="","(بدون نام)",VLOOKUP($E936,AcctTblE,4,0)),"کد ناشناخته")))</f>
        <v/>
      </c>
      <c r="G936" s="15" t="n"/>
      <c r="H936" s="21">
        <f>IF(OR($C936&lt;&gt;"دستمزد گروهی",$D936=""),"",SUMIFS(ShareAmt,ShareLink,$D936))</f>
        <v/>
      </c>
      <c r="I936" s="22">
        <f>IF($C936&lt;&gt;"دستمزد گروهی","—",IF($H936="","",IF(ROUND($H936-IF($G936="",0,$G936),0)=0,"√","▲ مغایرت "&amp;TEXT(IF($G936="",0,$G936)-$H936,"#,##0"))))</f>
        <v/>
      </c>
      <c r="J936" s="18" t="n"/>
    </row>
    <row r="937">
      <c r="A937" s="10">
        <f>IF($B937="","",COUNTA($B$9:$B937))</f>
        <v/>
      </c>
      <c r="B937" s="11" t="n"/>
      <c r="C937" s="12" t="n"/>
      <c r="D937" s="12" t="n"/>
      <c r="E937" s="13" t="n"/>
      <c r="F937" s="14">
        <f>IF($E937="","",IF($C937="دستمزد گروهی",IFERROR(VLOOKUP($E937,WGTbl,2,0),"کد ناشناخته"),IFERROR(IF(VLOOKUP($E937,AcctTblE,4,0)="","(بدون نام)",VLOOKUP($E937,AcctTblE,4,0)),"کد ناشناخته")))</f>
        <v/>
      </c>
      <c r="G937" s="15" t="n"/>
      <c r="H937" s="16">
        <f>IF(OR($C937&lt;&gt;"دستمزد گروهی",$D937=""),"",SUMIFS(ShareAmt,ShareLink,$D937))</f>
        <v/>
      </c>
      <c r="I937" s="17">
        <f>IF($C937&lt;&gt;"دستمزد گروهی","—",IF($H937="","",IF(ROUND($H937-IF($G937="",0,$G937),0)=0,"√","▲ مغایرت "&amp;TEXT(IF($G937="",0,$G937)-$H937,"#,##0"))))</f>
        <v/>
      </c>
      <c r="J937" s="18" t="n"/>
    </row>
    <row r="938">
      <c r="A938" s="19">
        <f>IF($B938="","",COUNTA($B$9:$B938))</f>
        <v/>
      </c>
      <c r="B938" s="11" t="n"/>
      <c r="C938" s="12" t="n"/>
      <c r="D938" s="12" t="n"/>
      <c r="E938" s="13" t="n"/>
      <c r="F938" s="20">
        <f>IF($E938="","",IF($C938="دستمزد گروهی",IFERROR(VLOOKUP($E938,WGTbl,2,0),"کد ناشناخته"),IFERROR(IF(VLOOKUP($E938,AcctTblE,4,0)="","(بدون نام)",VLOOKUP($E938,AcctTblE,4,0)),"کد ناشناخته")))</f>
        <v/>
      </c>
      <c r="G938" s="15" t="n"/>
      <c r="H938" s="21">
        <f>IF(OR($C938&lt;&gt;"دستمزد گروهی",$D938=""),"",SUMIFS(ShareAmt,ShareLink,$D938))</f>
        <v/>
      </c>
      <c r="I938" s="22">
        <f>IF($C938&lt;&gt;"دستمزد گروهی","—",IF($H938="","",IF(ROUND($H938-IF($G938="",0,$G938),0)=0,"√","▲ مغایرت "&amp;TEXT(IF($G938="",0,$G938)-$H938,"#,##0"))))</f>
        <v/>
      </c>
      <c r="J938" s="18" t="n"/>
    </row>
    <row r="939">
      <c r="A939" s="10">
        <f>IF($B939="","",COUNTA($B$9:$B939))</f>
        <v/>
      </c>
      <c r="B939" s="11" t="n"/>
      <c r="C939" s="12" t="n"/>
      <c r="D939" s="12" t="n"/>
      <c r="E939" s="13" t="n"/>
      <c r="F939" s="14">
        <f>IF($E939="","",IF($C939="دستمزد گروهی",IFERROR(VLOOKUP($E939,WGTbl,2,0),"کد ناشناخته"),IFERROR(IF(VLOOKUP($E939,AcctTblE,4,0)="","(بدون نام)",VLOOKUP($E939,AcctTblE,4,0)),"کد ناشناخته")))</f>
        <v/>
      </c>
      <c r="G939" s="15" t="n"/>
      <c r="H939" s="16">
        <f>IF(OR($C939&lt;&gt;"دستمزد گروهی",$D939=""),"",SUMIFS(ShareAmt,ShareLink,$D939))</f>
        <v/>
      </c>
      <c r="I939" s="17">
        <f>IF($C939&lt;&gt;"دستمزد گروهی","—",IF($H939="","",IF(ROUND($H939-IF($G939="",0,$G939),0)=0,"√","▲ مغایرت "&amp;TEXT(IF($G939="",0,$G939)-$H939,"#,##0"))))</f>
        <v/>
      </c>
      <c r="J939" s="18" t="n"/>
    </row>
    <row r="940">
      <c r="A940" s="19">
        <f>IF($B940="","",COUNTA($B$9:$B940))</f>
        <v/>
      </c>
      <c r="B940" s="11" t="n"/>
      <c r="C940" s="12" t="n"/>
      <c r="D940" s="12" t="n"/>
      <c r="E940" s="13" t="n"/>
      <c r="F940" s="20">
        <f>IF($E940="","",IF($C940="دستمزد گروهی",IFERROR(VLOOKUP($E940,WGTbl,2,0),"کد ناشناخته"),IFERROR(IF(VLOOKUP($E940,AcctTblE,4,0)="","(بدون نام)",VLOOKUP($E940,AcctTblE,4,0)),"کد ناشناخته")))</f>
        <v/>
      </c>
      <c r="G940" s="15" t="n"/>
      <c r="H940" s="21">
        <f>IF(OR($C940&lt;&gt;"دستمزد گروهی",$D940=""),"",SUMIFS(ShareAmt,ShareLink,$D940))</f>
        <v/>
      </c>
      <c r="I940" s="22">
        <f>IF($C940&lt;&gt;"دستمزد گروهی","—",IF($H940="","",IF(ROUND($H940-IF($G940="",0,$G940),0)=0,"√","▲ مغایرت "&amp;TEXT(IF($G940="",0,$G940)-$H940,"#,##0"))))</f>
        <v/>
      </c>
      <c r="J940" s="18" t="n"/>
    </row>
    <row r="941">
      <c r="A941" s="10">
        <f>IF($B941="","",COUNTA($B$9:$B941))</f>
        <v/>
      </c>
      <c r="B941" s="11" t="n"/>
      <c r="C941" s="12" t="n"/>
      <c r="D941" s="12" t="n"/>
      <c r="E941" s="13" t="n"/>
      <c r="F941" s="14">
        <f>IF($E941="","",IF($C941="دستمزد گروهی",IFERROR(VLOOKUP($E941,WGTbl,2,0),"کد ناشناخته"),IFERROR(IF(VLOOKUP($E941,AcctTblE,4,0)="","(بدون نام)",VLOOKUP($E941,AcctTblE,4,0)),"کد ناشناخته")))</f>
        <v/>
      </c>
      <c r="G941" s="15" t="n"/>
      <c r="H941" s="16">
        <f>IF(OR($C941&lt;&gt;"دستمزد گروهی",$D941=""),"",SUMIFS(ShareAmt,ShareLink,$D941))</f>
        <v/>
      </c>
      <c r="I941" s="17">
        <f>IF($C941&lt;&gt;"دستمزد گروهی","—",IF($H941="","",IF(ROUND($H941-IF($G941="",0,$G941),0)=0,"√","▲ مغایرت "&amp;TEXT(IF($G941="",0,$G941)-$H941,"#,##0"))))</f>
        <v/>
      </c>
      <c r="J941" s="18" t="n"/>
    </row>
    <row r="942">
      <c r="A942" s="19">
        <f>IF($B942="","",COUNTA($B$9:$B942))</f>
        <v/>
      </c>
      <c r="B942" s="11" t="n"/>
      <c r="C942" s="12" t="n"/>
      <c r="D942" s="12" t="n"/>
      <c r="E942" s="13" t="n"/>
      <c r="F942" s="20">
        <f>IF($E942="","",IF($C942="دستمزد گروهی",IFERROR(VLOOKUP($E942,WGTbl,2,0),"کد ناشناخته"),IFERROR(IF(VLOOKUP($E942,AcctTblE,4,0)="","(بدون نام)",VLOOKUP($E942,AcctTblE,4,0)),"کد ناشناخته")))</f>
        <v/>
      </c>
      <c r="G942" s="15" t="n"/>
      <c r="H942" s="21">
        <f>IF(OR($C942&lt;&gt;"دستمزد گروهی",$D942=""),"",SUMIFS(ShareAmt,ShareLink,$D942))</f>
        <v/>
      </c>
      <c r="I942" s="22">
        <f>IF($C942&lt;&gt;"دستمزد گروهی","—",IF($H942="","",IF(ROUND($H942-IF($G942="",0,$G942),0)=0,"√","▲ مغایرت "&amp;TEXT(IF($G942="",0,$G942)-$H942,"#,##0"))))</f>
        <v/>
      </c>
      <c r="J942" s="18" t="n"/>
    </row>
    <row r="943">
      <c r="A943" s="10">
        <f>IF($B943="","",COUNTA($B$9:$B943))</f>
        <v/>
      </c>
      <c r="B943" s="11" t="n"/>
      <c r="C943" s="12" t="n"/>
      <c r="D943" s="12" t="n"/>
      <c r="E943" s="13" t="n"/>
      <c r="F943" s="14">
        <f>IF($E943="","",IF($C943="دستمزد گروهی",IFERROR(VLOOKUP($E943,WGTbl,2,0),"کد ناشناخته"),IFERROR(IF(VLOOKUP($E943,AcctTblE,4,0)="","(بدون نام)",VLOOKUP($E943,AcctTblE,4,0)),"کد ناشناخته")))</f>
        <v/>
      </c>
      <c r="G943" s="15" t="n"/>
      <c r="H943" s="16">
        <f>IF(OR($C943&lt;&gt;"دستمزد گروهی",$D943=""),"",SUMIFS(ShareAmt,ShareLink,$D943))</f>
        <v/>
      </c>
      <c r="I943" s="17">
        <f>IF($C943&lt;&gt;"دستمزد گروهی","—",IF($H943="","",IF(ROUND($H943-IF($G943="",0,$G943),0)=0,"√","▲ مغایرت "&amp;TEXT(IF($G943="",0,$G943)-$H943,"#,##0"))))</f>
        <v/>
      </c>
      <c r="J943" s="18" t="n"/>
    </row>
    <row r="944">
      <c r="A944" s="19">
        <f>IF($B944="","",COUNTA($B$9:$B944))</f>
        <v/>
      </c>
      <c r="B944" s="11" t="n"/>
      <c r="C944" s="12" t="n"/>
      <c r="D944" s="12" t="n"/>
      <c r="E944" s="13" t="n"/>
      <c r="F944" s="20">
        <f>IF($E944="","",IF($C944="دستمزد گروهی",IFERROR(VLOOKUP($E944,WGTbl,2,0),"کد ناشناخته"),IFERROR(IF(VLOOKUP($E944,AcctTblE,4,0)="","(بدون نام)",VLOOKUP($E944,AcctTblE,4,0)),"کد ناشناخته")))</f>
        <v/>
      </c>
      <c r="G944" s="15" t="n"/>
      <c r="H944" s="21">
        <f>IF(OR($C944&lt;&gt;"دستمزد گروهی",$D944=""),"",SUMIFS(ShareAmt,ShareLink,$D944))</f>
        <v/>
      </c>
      <c r="I944" s="22">
        <f>IF($C944&lt;&gt;"دستمزد گروهی","—",IF($H944="","",IF(ROUND($H944-IF($G944="",0,$G944),0)=0,"√","▲ مغایرت "&amp;TEXT(IF($G944="",0,$G944)-$H944,"#,##0"))))</f>
        <v/>
      </c>
      <c r="J944" s="18" t="n"/>
    </row>
    <row r="945">
      <c r="A945" s="10">
        <f>IF($B945="","",COUNTA($B$9:$B945))</f>
        <v/>
      </c>
      <c r="B945" s="11" t="n"/>
      <c r="C945" s="12" t="n"/>
      <c r="D945" s="12" t="n"/>
      <c r="E945" s="13" t="n"/>
      <c r="F945" s="14">
        <f>IF($E945="","",IF($C945="دستمزد گروهی",IFERROR(VLOOKUP($E945,WGTbl,2,0),"کد ناشناخته"),IFERROR(IF(VLOOKUP($E945,AcctTblE,4,0)="","(بدون نام)",VLOOKUP($E945,AcctTblE,4,0)),"کد ناشناخته")))</f>
        <v/>
      </c>
      <c r="G945" s="15" t="n"/>
      <c r="H945" s="16">
        <f>IF(OR($C945&lt;&gt;"دستمزد گروهی",$D945=""),"",SUMIFS(ShareAmt,ShareLink,$D945))</f>
        <v/>
      </c>
      <c r="I945" s="17">
        <f>IF($C945&lt;&gt;"دستمزد گروهی","—",IF($H945="","",IF(ROUND($H945-IF($G945="",0,$G945),0)=0,"√","▲ مغایرت "&amp;TEXT(IF($G945="",0,$G945)-$H945,"#,##0"))))</f>
        <v/>
      </c>
      <c r="J945" s="18" t="n"/>
    </row>
    <row r="946">
      <c r="A946" s="19">
        <f>IF($B946="","",COUNTA($B$9:$B946))</f>
        <v/>
      </c>
      <c r="B946" s="11" t="n"/>
      <c r="C946" s="12" t="n"/>
      <c r="D946" s="12" t="n"/>
      <c r="E946" s="13" t="n"/>
      <c r="F946" s="20">
        <f>IF($E946="","",IF($C946="دستمزد گروهی",IFERROR(VLOOKUP($E946,WGTbl,2,0),"کد ناشناخته"),IFERROR(IF(VLOOKUP($E946,AcctTblE,4,0)="","(بدون نام)",VLOOKUP($E946,AcctTblE,4,0)),"کد ناشناخته")))</f>
        <v/>
      </c>
      <c r="G946" s="15" t="n"/>
      <c r="H946" s="21">
        <f>IF(OR($C946&lt;&gt;"دستمزد گروهی",$D946=""),"",SUMIFS(ShareAmt,ShareLink,$D946))</f>
        <v/>
      </c>
      <c r="I946" s="22">
        <f>IF($C946&lt;&gt;"دستمزد گروهی","—",IF($H946="","",IF(ROUND($H946-IF($G946="",0,$G946),0)=0,"√","▲ مغایرت "&amp;TEXT(IF($G946="",0,$G946)-$H946,"#,##0"))))</f>
        <v/>
      </c>
      <c r="J946" s="18" t="n"/>
    </row>
    <row r="947">
      <c r="A947" s="10">
        <f>IF($B947="","",COUNTA($B$9:$B947))</f>
        <v/>
      </c>
      <c r="B947" s="11" t="n"/>
      <c r="C947" s="12" t="n"/>
      <c r="D947" s="12" t="n"/>
      <c r="E947" s="13" t="n"/>
      <c r="F947" s="14">
        <f>IF($E947="","",IF($C947="دستمزد گروهی",IFERROR(VLOOKUP($E947,WGTbl,2,0),"کد ناشناخته"),IFERROR(IF(VLOOKUP($E947,AcctTblE,4,0)="","(بدون نام)",VLOOKUP($E947,AcctTblE,4,0)),"کد ناشناخته")))</f>
        <v/>
      </c>
      <c r="G947" s="15" t="n"/>
      <c r="H947" s="16">
        <f>IF(OR($C947&lt;&gt;"دستمزد گروهی",$D947=""),"",SUMIFS(ShareAmt,ShareLink,$D947))</f>
        <v/>
      </c>
      <c r="I947" s="17">
        <f>IF($C947&lt;&gt;"دستمزد گروهی","—",IF($H947="","",IF(ROUND($H947-IF($G947="",0,$G947),0)=0,"√","▲ مغایرت "&amp;TEXT(IF($G947="",0,$G947)-$H947,"#,##0"))))</f>
        <v/>
      </c>
      <c r="J947" s="18" t="n"/>
    </row>
    <row r="948">
      <c r="A948" s="19">
        <f>IF($B948="","",COUNTA($B$9:$B948))</f>
        <v/>
      </c>
      <c r="B948" s="11" t="n"/>
      <c r="C948" s="12" t="n"/>
      <c r="D948" s="12" t="n"/>
      <c r="E948" s="13" t="n"/>
      <c r="F948" s="20">
        <f>IF($E948="","",IF($C948="دستمزد گروهی",IFERROR(VLOOKUP($E948,WGTbl,2,0),"کد ناشناخته"),IFERROR(IF(VLOOKUP($E948,AcctTblE,4,0)="","(بدون نام)",VLOOKUP($E948,AcctTblE,4,0)),"کد ناشناخته")))</f>
        <v/>
      </c>
      <c r="G948" s="15" t="n"/>
      <c r="H948" s="21">
        <f>IF(OR($C948&lt;&gt;"دستمزد گروهی",$D948=""),"",SUMIFS(ShareAmt,ShareLink,$D948))</f>
        <v/>
      </c>
      <c r="I948" s="22">
        <f>IF($C948&lt;&gt;"دستمزد گروهی","—",IF($H948="","",IF(ROUND($H948-IF($G948="",0,$G948),0)=0,"√","▲ مغایرت "&amp;TEXT(IF($G948="",0,$G948)-$H948,"#,##0"))))</f>
        <v/>
      </c>
      <c r="J948" s="18" t="n"/>
    </row>
    <row r="949">
      <c r="A949" s="10">
        <f>IF($B949="","",COUNTA($B$9:$B949))</f>
        <v/>
      </c>
      <c r="B949" s="11" t="n"/>
      <c r="C949" s="12" t="n"/>
      <c r="D949" s="12" t="n"/>
      <c r="E949" s="13" t="n"/>
      <c r="F949" s="14">
        <f>IF($E949="","",IF($C949="دستمزد گروهی",IFERROR(VLOOKUP($E949,WGTbl,2,0),"کد ناشناخته"),IFERROR(IF(VLOOKUP($E949,AcctTblE,4,0)="","(بدون نام)",VLOOKUP($E949,AcctTblE,4,0)),"کد ناشناخته")))</f>
        <v/>
      </c>
      <c r="G949" s="15" t="n"/>
      <c r="H949" s="16">
        <f>IF(OR($C949&lt;&gt;"دستمزد گروهی",$D949=""),"",SUMIFS(ShareAmt,ShareLink,$D949))</f>
        <v/>
      </c>
      <c r="I949" s="17">
        <f>IF($C949&lt;&gt;"دستمزد گروهی","—",IF($H949="","",IF(ROUND($H949-IF($G949="",0,$G949),0)=0,"√","▲ مغایرت "&amp;TEXT(IF($G949="",0,$G949)-$H949,"#,##0"))))</f>
        <v/>
      </c>
      <c r="J949" s="18" t="n"/>
    </row>
    <row r="950">
      <c r="A950" s="19">
        <f>IF($B950="","",COUNTA($B$9:$B950))</f>
        <v/>
      </c>
      <c r="B950" s="11" t="n"/>
      <c r="C950" s="12" t="n"/>
      <c r="D950" s="12" t="n"/>
      <c r="E950" s="13" t="n"/>
      <c r="F950" s="20">
        <f>IF($E950="","",IF($C950="دستمزد گروهی",IFERROR(VLOOKUP($E950,WGTbl,2,0),"کد ناشناخته"),IFERROR(IF(VLOOKUP($E950,AcctTblE,4,0)="","(بدون نام)",VLOOKUP($E950,AcctTblE,4,0)),"کد ناشناخته")))</f>
        <v/>
      </c>
      <c r="G950" s="15" t="n"/>
      <c r="H950" s="21">
        <f>IF(OR($C950&lt;&gt;"دستمزد گروهی",$D950=""),"",SUMIFS(ShareAmt,ShareLink,$D950))</f>
        <v/>
      </c>
      <c r="I950" s="22">
        <f>IF($C950&lt;&gt;"دستمزد گروهی","—",IF($H950="","",IF(ROUND($H950-IF($G950="",0,$G950),0)=0,"√","▲ مغایرت "&amp;TEXT(IF($G950="",0,$G950)-$H950,"#,##0"))))</f>
        <v/>
      </c>
      <c r="J950" s="18" t="n"/>
    </row>
    <row r="951">
      <c r="A951" s="10">
        <f>IF($B951="","",COUNTA($B$9:$B951))</f>
        <v/>
      </c>
      <c r="B951" s="11" t="n"/>
      <c r="C951" s="12" t="n"/>
      <c r="D951" s="12" t="n"/>
      <c r="E951" s="13" t="n"/>
      <c r="F951" s="14">
        <f>IF($E951="","",IF($C951="دستمزد گروهی",IFERROR(VLOOKUP($E951,WGTbl,2,0),"کد ناشناخته"),IFERROR(IF(VLOOKUP($E951,AcctTblE,4,0)="","(بدون نام)",VLOOKUP($E951,AcctTblE,4,0)),"کد ناشناخته")))</f>
        <v/>
      </c>
      <c r="G951" s="15" t="n"/>
      <c r="H951" s="16">
        <f>IF(OR($C951&lt;&gt;"دستمزد گروهی",$D951=""),"",SUMIFS(ShareAmt,ShareLink,$D951))</f>
        <v/>
      </c>
      <c r="I951" s="17">
        <f>IF($C951&lt;&gt;"دستمزد گروهی","—",IF($H951="","",IF(ROUND($H951-IF($G951="",0,$G951),0)=0,"√","▲ مغایرت "&amp;TEXT(IF($G951="",0,$G951)-$H951,"#,##0"))))</f>
        <v/>
      </c>
      <c r="J951" s="18" t="n"/>
    </row>
    <row r="952">
      <c r="A952" s="19">
        <f>IF($B952="","",COUNTA($B$9:$B952))</f>
        <v/>
      </c>
      <c r="B952" s="11" t="n"/>
      <c r="C952" s="12" t="n"/>
      <c r="D952" s="12" t="n"/>
      <c r="E952" s="13" t="n"/>
      <c r="F952" s="20">
        <f>IF($E952="","",IF($C952="دستمزد گروهی",IFERROR(VLOOKUP($E952,WGTbl,2,0),"کد ناشناخته"),IFERROR(IF(VLOOKUP($E952,AcctTblE,4,0)="","(بدون نام)",VLOOKUP($E952,AcctTblE,4,0)),"کد ناشناخته")))</f>
        <v/>
      </c>
      <c r="G952" s="15" t="n"/>
      <c r="H952" s="21">
        <f>IF(OR($C952&lt;&gt;"دستمزد گروهی",$D952=""),"",SUMIFS(ShareAmt,ShareLink,$D952))</f>
        <v/>
      </c>
      <c r="I952" s="22">
        <f>IF($C952&lt;&gt;"دستمزد گروهی","—",IF($H952="","",IF(ROUND($H952-IF($G952="",0,$G952),0)=0,"√","▲ مغایرت "&amp;TEXT(IF($G952="",0,$G952)-$H952,"#,##0"))))</f>
        <v/>
      </c>
      <c r="J952" s="18" t="n"/>
    </row>
    <row r="953">
      <c r="A953" s="10">
        <f>IF($B953="","",COUNTA($B$9:$B953))</f>
        <v/>
      </c>
      <c r="B953" s="11" t="n"/>
      <c r="C953" s="12" t="n"/>
      <c r="D953" s="12" t="n"/>
      <c r="E953" s="13" t="n"/>
      <c r="F953" s="14">
        <f>IF($E953="","",IF($C953="دستمزد گروهی",IFERROR(VLOOKUP($E953,WGTbl,2,0),"کد ناشناخته"),IFERROR(IF(VLOOKUP($E953,AcctTblE,4,0)="","(بدون نام)",VLOOKUP($E953,AcctTblE,4,0)),"کد ناشناخته")))</f>
        <v/>
      </c>
      <c r="G953" s="15" t="n"/>
      <c r="H953" s="16">
        <f>IF(OR($C953&lt;&gt;"دستمزد گروهی",$D953=""),"",SUMIFS(ShareAmt,ShareLink,$D953))</f>
        <v/>
      </c>
      <c r="I953" s="17">
        <f>IF($C953&lt;&gt;"دستمزد گروهی","—",IF($H953="","",IF(ROUND($H953-IF($G953="",0,$G953),0)=0,"√","▲ مغایرت "&amp;TEXT(IF($G953="",0,$G953)-$H953,"#,##0"))))</f>
        <v/>
      </c>
      <c r="J953" s="18" t="n"/>
    </row>
    <row r="954">
      <c r="A954" s="19">
        <f>IF($B954="","",COUNTA($B$9:$B954))</f>
        <v/>
      </c>
      <c r="B954" s="11" t="n"/>
      <c r="C954" s="12" t="n"/>
      <c r="D954" s="12" t="n"/>
      <c r="E954" s="13" t="n"/>
      <c r="F954" s="20">
        <f>IF($E954="","",IF($C954="دستمزد گروهی",IFERROR(VLOOKUP($E954,WGTbl,2,0),"کد ناشناخته"),IFERROR(IF(VLOOKUP($E954,AcctTblE,4,0)="","(بدون نام)",VLOOKUP($E954,AcctTblE,4,0)),"کد ناشناخته")))</f>
        <v/>
      </c>
      <c r="G954" s="15" t="n"/>
      <c r="H954" s="21">
        <f>IF(OR($C954&lt;&gt;"دستمزد گروهی",$D954=""),"",SUMIFS(ShareAmt,ShareLink,$D954))</f>
        <v/>
      </c>
      <c r="I954" s="22">
        <f>IF($C954&lt;&gt;"دستمزد گروهی","—",IF($H954="","",IF(ROUND($H954-IF($G954="",0,$G954),0)=0,"√","▲ مغایرت "&amp;TEXT(IF($G954="",0,$G954)-$H954,"#,##0"))))</f>
        <v/>
      </c>
      <c r="J954" s="18" t="n"/>
    </row>
    <row r="955">
      <c r="A955" s="10">
        <f>IF($B955="","",COUNTA($B$9:$B955))</f>
        <v/>
      </c>
      <c r="B955" s="11" t="n"/>
      <c r="C955" s="12" t="n"/>
      <c r="D955" s="12" t="n"/>
      <c r="E955" s="13" t="n"/>
      <c r="F955" s="14">
        <f>IF($E955="","",IF($C955="دستمزد گروهی",IFERROR(VLOOKUP($E955,WGTbl,2,0),"کد ناشناخته"),IFERROR(IF(VLOOKUP($E955,AcctTblE,4,0)="","(بدون نام)",VLOOKUP($E955,AcctTblE,4,0)),"کد ناشناخته")))</f>
        <v/>
      </c>
      <c r="G955" s="15" t="n"/>
      <c r="H955" s="16">
        <f>IF(OR($C955&lt;&gt;"دستمزد گروهی",$D955=""),"",SUMIFS(ShareAmt,ShareLink,$D955))</f>
        <v/>
      </c>
      <c r="I955" s="17">
        <f>IF($C955&lt;&gt;"دستمزد گروهی","—",IF($H955="","",IF(ROUND($H955-IF($G955="",0,$G955),0)=0,"√","▲ مغایرت "&amp;TEXT(IF($G955="",0,$G955)-$H955,"#,##0"))))</f>
        <v/>
      </c>
      <c r="J955" s="18" t="n"/>
    </row>
    <row r="956">
      <c r="A956" s="19">
        <f>IF($B956="","",COUNTA($B$9:$B956))</f>
        <v/>
      </c>
      <c r="B956" s="11" t="n"/>
      <c r="C956" s="12" t="n"/>
      <c r="D956" s="12" t="n"/>
      <c r="E956" s="13" t="n"/>
      <c r="F956" s="20">
        <f>IF($E956="","",IF($C956="دستمزد گروهی",IFERROR(VLOOKUP($E956,WGTbl,2,0),"کد ناشناخته"),IFERROR(IF(VLOOKUP($E956,AcctTblE,4,0)="","(بدون نام)",VLOOKUP($E956,AcctTblE,4,0)),"کد ناشناخته")))</f>
        <v/>
      </c>
      <c r="G956" s="15" t="n"/>
      <c r="H956" s="21">
        <f>IF(OR($C956&lt;&gt;"دستمزد گروهی",$D956=""),"",SUMIFS(ShareAmt,ShareLink,$D956))</f>
        <v/>
      </c>
      <c r="I956" s="22">
        <f>IF($C956&lt;&gt;"دستمزد گروهی","—",IF($H956="","",IF(ROUND($H956-IF($G956="",0,$G956),0)=0,"√","▲ مغایرت "&amp;TEXT(IF($G956="",0,$G956)-$H956,"#,##0"))))</f>
        <v/>
      </c>
      <c r="J956" s="18" t="n"/>
    </row>
    <row r="957">
      <c r="A957" s="10">
        <f>IF($B957="","",COUNTA($B$9:$B957))</f>
        <v/>
      </c>
      <c r="B957" s="11" t="n"/>
      <c r="C957" s="12" t="n"/>
      <c r="D957" s="12" t="n"/>
      <c r="E957" s="13" t="n"/>
      <c r="F957" s="14">
        <f>IF($E957="","",IF($C957="دستمزد گروهی",IFERROR(VLOOKUP($E957,WGTbl,2,0),"کد ناشناخته"),IFERROR(IF(VLOOKUP($E957,AcctTblE,4,0)="","(بدون نام)",VLOOKUP($E957,AcctTblE,4,0)),"کد ناشناخته")))</f>
        <v/>
      </c>
      <c r="G957" s="15" t="n"/>
      <c r="H957" s="16">
        <f>IF(OR($C957&lt;&gt;"دستمزد گروهی",$D957=""),"",SUMIFS(ShareAmt,ShareLink,$D957))</f>
        <v/>
      </c>
      <c r="I957" s="17">
        <f>IF($C957&lt;&gt;"دستمزد گروهی","—",IF($H957="","",IF(ROUND($H957-IF($G957="",0,$G957),0)=0,"√","▲ مغایرت "&amp;TEXT(IF($G957="",0,$G957)-$H957,"#,##0"))))</f>
        <v/>
      </c>
      <c r="J957" s="18" t="n"/>
    </row>
    <row r="958">
      <c r="A958" s="19">
        <f>IF($B958="","",COUNTA($B$9:$B958))</f>
        <v/>
      </c>
      <c r="B958" s="11" t="n"/>
      <c r="C958" s="12" t="n"/>
      <c r="D958" s="12" t="n"/>
      <c r="E958" s="13" t="n"/>
      <c r="F958" s="20">
        <f>IF($E958="","",IF($C958="دستمزد گروهی",IFERROR(VLOOKUP($E958,WGTbl,2,0),"کد ناشناخته"),IFERROR(IF(VLOOKUP($E958,AcctTblE,4,0)="","(بدون نام)",VLOOKUP($E958,AcctTblE,4,0)),"کد ناشناخته")))</f>
        <v/>
      </c>
      <c r="G958" s="15" t="n"/>
      <c r="H958" s="21">
        <f>IF(OR($C958&lt;&gt;"دستمزد گروهی",$D958=""),"",SUMIFS(ShareAmt,ShareLink,$D958))</f>
        <v/>
      </c>
      <c r="I958" s="22">
        <f>IF($C958&lt;&gt;"دستمزد گروهی","—",IF($H958="","",IF(ROUND($H958-IF($G958="",0,$G958),0)=0,"√","▲ مغایرت "&amp;TEXT(IF($G958="",0,$G958)-$H958,"#,##0"))))</f>
        <v/>
      </c>
      <c r="J958" s="18" t="n"/>
    </row>
    <row r="959">
      <c r="A959" s="10">
        <f>IF($B959="","",COUNTA($B$9:$B959))</f>
        <v/>
      </c>
      <c r="B959" s="11" t="n"/>
      <c r="C959" s="12" t="n"/>
      <c r="D959" s="12" t="n"/>
      <c r="E959" s="13" t="n"/>
      <c r="F959" s="14">
        <f>IF($E959="","",IF($C959="دستمزد گروهی",IFERROR(VLOOKUP($E959,WGTbl,2,0),"کد ناشناخته"),IFERROR(IF(VLOOKUP($E959,AcctTblE,4,0)="","(بدون نام)",VLOOKUP($E959,AcctTblE,4,0)),"کد ناشناخته")))</f>
        <v/>
      </c>
      <c r="G959" s="15" t="n"/>
      <c r="H959" s="16">
        <f>IF(OR($C959&lt;&gt;"دستمزد گروهی",$D959=""),"",SUMIFS(ShareAmt,ShareLink,$D959))</f>
        <v/>
      </c>
      <c r="I959" s="17">
        <f>IF($C959&lt;&gt;"دستمزد گروهی","—",IF($H959="","",IF(ROUND($H959-IF($G959="",0,$G959),0)=0,"√","▲ مغایرت "&amp;TEXT(IF($G959="",0,$G959)-$H959,"#,##0"))))</f>
        <v/>
      </c>
      <c r="J959" s="18" t="n"/>
    </row>
    <row r="960">
      <c r="A960" s="19">
        <f>IF($B960="","",COUNTA($B$9:$B960))</f>
        <v/>
      </c>
      <c r="B960" s="11" t="n"/>
      <c r="C960" s="12" t="n"/>
      <c r="D960" s="12" t="n"/>
      <c r="E960" s="13" t="n"/>
      <c r="F960" s="20">
        <f>IF($E960="","",IF($C960="دستمزد گروهی",IFERROR(VLOOKUP($E960,WGTbl,2,0),"کد ناشناخته"),IFERROR(IF(VLOOKUP($E960,AcctTblE,4,0)="","(بدون نام)",VLOOKUP($E960,AcctTblE,4,0)),"کد ناشناخته")))</f>
        <v/>
      </c>
      <c r="G960" s="15" t="n"/>
      <c r="H960" s="21">
        <f>IF(OR($C960&lt;&gt;"دستمزد گروهی",$D960=""),"",SUMIFS(ShareAmt,ShareLink,$D960))</f>
        <v/>
      </c>
      <c r="I960" s="22">
        <f>IF($C960&lt;&gt;"دستمزد گروهی","—",IF($H960="","",IF(ROUND($H960-IF($G960="",0,$G960),0)=0,"√","▲ مغایرت "&amp;TEXT(IF($G960="",0,$G960)-$H960,"#,##0"))))</f>
        <v/>
      </c>
      <c r="J960" s="18" t="n"/>
    </row>
    <row r="961">
      <c r="A961" s="10">
        <f>IF($B961="","",COUNTA($B$9:$B961))</f>
        <v/>
      </c>
      <c r="B961" s="11" t="n"/>
      <c r="C961" s="12" t="n"/>
      <c r="D961" s="12" t="n"/>
      <c r="E961" s="13" t="n"/>
      <c r="F961" s="14">
        <f>IF($E961="","",IF($C961="دستمزد گروهی",IFERROR(VLOOKUP($E961,WGTbl,2,0),"کد ناشناخته"),IFERROR(IF(VLOOKUP($E961,AcctTblE,4,0)="","(بدون نام)",VLOOKUP($E961,AcctTblE,4,0)),"کد ناشناخته")))</f>
        <v/>
      </c>
      <c r="G961" s="15" t="n"/>
      <c r="H961" s="16">
        <f>IF(OR($C961&lt;&gt;"دستمزد گروهی",$D961=""),"",SUMIFS(ShareAmt,ShareLink,$D961))</f>
        <v/>
      </c>
      <c r="I961" s="17">
        <f>IF($C961&lt;&gt;"دستمزد گروهی","—",IF($H961="","",IF(ROUND($H961-IF($G961="",0,$G961),0)=0,"√","▲ مغایرت "&amp;TEXT(IF($G961="",0,$G961)-$H961,"#,##0"))))</f>
        <v/>
      </c>
      <c r="J961" s="18" t="n"/>
    </row>
    <row r="962">
      <c r="A962" s="19">
        <f>IF($B962="","",COUNTA($B$9:$B962))</f>
        <v/>
      </c>
      <c r="B962" s="11" t="n"/>
      <c r="C962" s="12" t="n"/>
      <c r="D962" s="12" t="n"/>
      <c r="E962" s="13" t="n"/>
      <c r="F962" s="20">
        <f>IF($E962="","",IF($C962="دستمزد گروهی",IFERROR(VLOOKUP($E962,WGTbl,2,0),"کد ناشناخته"),IFERROR(IF(VLOOKUP($E962,AcctTblE,4,0)="","(بدون نام)",VLOOKUP($E962,AcctTblE,4,0)),"کد ناشناخته")))</f>
        <v/>
      </c>
      <c r="G962" s="15" t="n"/>
      <c r="H962" s="21">
        <f>IF(OR($C962&lt;&gt;"دستمزد گروهی",$D962=""),"",SUMIFS(ShareAmt,ShareLink,$D962))</f>
        <v/>
      </c>
      <c r="I962" s="22">
        <f>IF($C962&lt;&gt;"دستمزد گروهی","—",IF($H962="","",IF(ROUND($H962-IF($G962="",0,$G962),0)=0,"√","▲ مغایرت "&amp;TEXT(IF($G962="",0,$G962)-$H962,"#,##0"))))</f>
        <v/>
      </c>
      <c r="J962" s="18" t="n"/>
    </row>
    <row r="963">
      <c r="A963" s="10">
        <f>IF($B963="","",COUNTA($B$9:$B963))</f>
        <v/>
      </c>
      <c r="B963" s="11" t="n"/>
      <c r="C963" s="12" t="n"/>
      <c r="D963" s="12" t="n"/>
      <c r="E963" s="13" t="n"/>
      <c r="F963" s="14">
        <f>IF($E963="","",IF($C963="دستمزد گروهی",IFERROR(VLOOKUP($E963,WGTbl,2,0),"کد ناشناخته"),IFERROR(IF(VLOOKUP($E963,AcctTblE,4,0)="","(بدون نام)",VLOOKUP($E963,AcctTblE,4,0)),"کد ناشناخته")))</f>
        <v/>
      </c>
      <c r="G963" s="15" t="n"/>
      <c r="H963" s="16">
        <f>IF(OR($C963&lt;&gt;"دستمزد گروهی",$D963=""),"",SUMIFS(ShareAmt,ShareLink,$D963))</f>
        <v/>
      </c>
      <c r="I963" s="17">
        <f>IF($C963&lt;&gt;"دستمزد گروهی","—",IF($H963="","",IF(ROUND($H963-IF($G963="",0,$G963),0)=0,"√","▲ مغایرت "&amp;TEXT(IF($G963="",0,$G963)-$H963,"#,##0"))))</f>
        <v/>
      </c>
      <c r="J963" s="18" t="n"/>
    </row>
    <row r="964">
      <c r="A964" s="19">
        <f>IF($B964="","",COUNTA($B$9:$B964))</f>
        <v/>
      </c>
      <c r="B964" s="11" t="n"/>
      <c r="C964" s="12" t="n"/>
      <c r="D964" s="12" t="n"/>
      <c r="E964" s="13" t="n"/>
      <c r="F964" s="20">
        <f>IF($E964="","",IF($C964="دستمزد گروهی",IFERROR(VLOOKUP($E964,WGTbl,2,0),"کد ناشناخته"),IFERROR(IF(VLOOKUP($E964,AcctTblE,4,0)="","(بدون نام)",VLOOKUP($E964,AcctTblE,4,0)),"کد ناشناخته")))</f>
        <v/>
      </c>
      <c r="G964" s="15" t="n"/>
      <c r="H964" s="21">
        <f>IF(OR($C964&lt;&gt;"دستمزد گروهی",$D964=""),"",SUMIFS(ShareAmt,ShareLink,$D964))</f>
        <v/>
      </c>
      <c r="I964" s="22">
        <f>IF($C964&lt;&gt;"دستمزد گروهی","—",IF($H964="","",IF(ROUND($H964-IF($G964="",0,$G964),0)=0,"√","▲ مغایرت "&amp;TEXT(IF($G964="",0,$G964)-$H964,"#,##0"))))</f>
        <v/>
      </c>
      <c r="J964" s="18" t="n"/>
    </row>
    <row r="965">
      <c r="A965" s="10">
        <f>IF($B965="","",COUNTA($B$9:$B965))</f>
        <v/>
      </c>
      <c r="B965" s="11" t="n"/>
      <c r="C965" s="12" t="n"/>
      <c r="D965" s="12" t="n"/>
      <c r="E965" s="13" t="n"/>
      <c r="F965" s="14">
        <f>IF($E965="","",IF($C965="دستمزد گروهی",IFERROR(VLOOKUP($E965,WGTbl,2,0),"کد ناشناخته"),IFERROR(IF(VLOOKUP($E965,AcctTblE,4,0)="","(بدون نام)",VLOOKUP($E965,AcctTblE,4,0)),"کد ناشناخته")))</f>
        <v/>
      </c>
      <c r="G965" s="15" t="n"/>
      <c r="H965" s="16">
        <f>IF(OR($C965&lt;&gt;"دستمزد گروهی",$D965=""),"",SUMIFS(ShareAmt,ShareLink,$D965))</f>
        <v/>
      </c>
      <c r="I965" s="17">
        <f>IF($C965&lt;&gt;"دستمزد گروهی","—",IF($H965="","",IF(ROUND($H965-IF($G965="",0,$G965),0)=0,"√","▲ مغایرت "&amp;TEXT(IF($G965="",0,$G965)-$H965,"#,##0"))))</f>
        <v/>
      </c>
      <c r="J965" s="18" t="n"/>
    </row>
    <row r="966">
      <c r="A966" s="19">
        <f>IF($B966="","",COUNTA($B$9:$B966))</f>
        <v/>
      </c>
      <c r="B966" s="11" t="n"/>
      <c r="C966" s="12" t="n"/>
      <c r="D966" s="12" t="n"/>
      <c r="E966" s="13" t="n"/>
      <c r="F966" s="20">
        <f>IF($E966="","",IF($C966="دستمزد گروهی",IFERROR(VLOOKUP($E966,WGTbl,2,0),"کد ناشناخته"),IFERROR(IF(VLOOKUP($E966,AcctTblE,4,0)="","(بدون نام)",VLOOKUP($E966,AcctTblE,4,0)),"کد ناشناخته")))</f>
        <v/>
      </c>
      <c r="G966" s="15" t="n"/>
      <c r="H966" s="21">
        <f>IF(OR($C966&lt;&gt;"دستمزد گروهی",$D966=""),"",SUMIFS(ShareAmt,ShareLink,$D966))</f>
        <v/>
      </c>
      <c r="I966" s="22">
        <f>IF($C966&lt;&gt;"دستمزد گروهی","—",IF($H966="","",IF(ROUND($H966-IF($G966="",0,$G966),0)=0,"√","▲ مغایرت "&amp;TEXT(IF($G966="",0,$G966)-$H966,"#,##0"))))</f>
        <v/>
      </c>
      <c r="J966" s="18" t="n"/>
    </row>
    <row r="967">
      <c r="A967" s="10">
        <f>IF($B967="","",COUNTA($B$9:$B967))</f>
        <v/>
      </c>
      <c r="B967" s="11" t="n"/>
      <c r="C967" s="12" t="n"/>
      <c r="D967" s="12" t="n"/>
      <c r="E967" s="13" t="n"/>
      <c r="F967" s="14">
        <f>IF($E967="","",IF($C967="دستمزد گروهی",IFERROR(VLOOKUP($E967,WGTbl,2,0),"کد ناشناخته"),IFERROR(IF(VLOOKUP($E967,AcctTblE,4,0)="","(بدون نام)",VLOOKUP($E967,AcctTblE,4,0)),"کد ناشناخته")))</f>
        <v/>
      </c>
      <c r="G967" s="15" t="n"/>
      <c r="H967" s="16">
        <f>IF(OR($C967&lt;&gt;"دستمزد گروهی",$D967=""),"",SUMIFS(ShareAmt,ShareLink,$D967))</f>
        <v/>
      </c>
      <c r="I967" s="17">
        <f>IF($C967&lt;&gt;"دستمزد گروهی","—",IF($H967="","",IF(ROUND($H967-IF($G967="",0,$G967),0)=0,"√","▲ مغایرت "&amp;TEXT(IF($G967="",0,$G967)-$H967,"#,##0"))))</f>
        <v/>
      </c>
      <c r="J967" s="18" t="n"/>
    </row>
    <row r="968">
      <c r="A968" s="19">
        <f>IF($B968="","",COUNTA($B$9:$B968))</f>
        <v/>
      </c>
      <c r="B968" s="11" t="n"/>
      <c r="C968" s="12" t="n"/>
      <c r="D968" s="12" t="n"/>
      <c r="E968" s="13" t="n"/>
      <c r="F968" s="20">
        <f>IF($E968="","",IF($C968="دستمزد گروهی",IFERROR(VLOOKUP($E968,WGTbl,2,0),"کد ناشناخته"),IFERROR(IF(VLOOKUP($E968,AcctTblE,4,0)="","(بدون نام)",VLOOKUP($E968,AcctTblE,4,0)),"کد ناشناخته")))</f>
        <v/>
      </c>
      <c r="G968" s="15" t="n"/>
      <c r="H968" s="21">
        <f>IF(OR($C968&lt;&gt;"دستمزد گروهی",$D968=""),"",SUMIFS(ShareAmt,ShareLink,$D968))</f>
        <v/>
      </c>
      <c r="I968" s="22">
        <f>IF($C968&lt;&gt;"دستمزد گروهی","—",IF($H968="","",IF(ROUND($H968-IF($G968="",0,$G968),0)=0,"√","▲ مغایرت "&amp;TEXT(IF($G968="",0,$G968)-$H968,"#,##0"))))</f>
        <v/>
      </c>
      <c r="J968" s="18" t="n"/>
    </row>
    <row r="969">
      <c r="A969" s="10">
        <f>IF($B969="","",COUNTA($B$9:$B969))</f>
        <v/>
      </c>
      <c r="B969" s="11" t="n"/>
      <c r="C969" s="12" t="n"/>
      <c r="D969" s="12" t="n"/>
      <c r="E969" s="13" t="n"/>
      <c r="F969" s="14">
        <f>IF($E969="","",IF($C969="دستمزد گروهی",IFERROR(VLOOKUP($E969,WGTbl,2,0),"کد ناشناخته"),IFERROR(IF(VLOOKUP($E969,AcctTblE,4,0)="","(بدون نام)",VLOOKUP($E969,AcctTblE,4,0)),"کد ناشناخته")))</f>
        <v/>
      </c>
      <c r="G969" s="15" t="n"/>
      <c r="H969" s="16">
        <f>IF(OR($C969&lt;&gt;"دستمزد گروهی",$D969=""),"",SUMIFS(ShareAmt,ShareLink,$D969))</f>
        <v/>
      </c>
      <c r="I969" s="17">
        <f>IF($C969&lt;&gt;"دستمزد گروهی","—",IF($H969="","",IF(ROUND($H969-IF($G969="",0,$G969),0)=0,"√","▲ مغایرت "&amp;TEXT(IF($G969="",0,$G969)-$H969,"#,##0"))))</f>
        <v/>
      </c>
      <c r="J969" s="18" t="n"/>
    </row>
    <row r="970">
      <c r="A970" s="19">
        <f>IF($B970="","",COUNTA($B$9:$B970))</f>
        <v/>
      </c>
      <c r="B970" s="11" t="n"/>
      <c r="C970" s="12" t="n"/>
      <c r="D970" s="12" t="n"/>
      <c r="E970" s="13" t="n"/>
      <c r="F970" s="20">
        <f>IF($E970="","",IF($C970="دستمزد گروهی",IFERROR(VLOOKUP($E970,WGTbl,2,0),"کد ناشناخته"),IFERROR(IF(VLOOKUP($E970,AcctTblE,4,0)="","(بدون نام)",VLOOKUP($E970,AcctTblE,4,0)),"کد ناشناخته")))</f>
        <v/>
      </c>
      <c r="G970" s="15" t="n"/>
      <c r="H970" s="21">
        <f>IF(OR($C970&lt;&gt;"دستمزد گروهی",$D970=""),"",SUMIFS(ShareAmt,ShareLink,$D970))</f>
        <v/>
      </c>
      <c r="I970" s="22">
        <f>IF($C970&lt;&gt;"دستمزد گروهی","—",IF($H970="","",IF(ROUND($H970-IF($G970="",0,$G970),0)=0,"√","▲ مغایرت "&amp;TEXT(IF($G970="",0,$G970)-$H970,"#,##0"))))</f>
        <v/>
      </c>
      <c r="J970" s="18" t="n"/>
    </row>
    <row r="971">
      <c r="A971" s="10">
        <f>IF($B971="","",COUNTA($B$9:$B971))</f>
        <v/>
      </c>
      <c r="B971" s="11" t="n"/>
      <c r="C971" s="12" t="n"/>
      <c r="D971" s="12" t="n"/>
      <c r="E971" s="13" t="n"/>
      <c r="F971" s="14">
        <f>IF($E971="","",IF($C971="دستمزد گروهی",IFERROR(VLOOKUP($E971,WGTbl,2,0),"کد ناشناخته"),IFERROR(IF(VLOOKUP($E971,AcctTblE,4,0)="","(بدون نام)",VLOOKUP($E971,AcctTblE,4,0)),"کد ناشناخته")))</f>
        <v/>
      </c>
      <c r="G971" s="15" t="n"/>
      <c r="H971" s="16">
        <f>IF(OR($C971&lt;&gt;"دستمزد گروهی",$D971=""),"",SUMIFS(ShareAmt,ShareLink,$D971))</f>
        <v/>
      </c>
      <c r="I971" s="17">
        <f>IF($C971&lt;&gt;"دستمزد گروهی","—",IF($H971="","",IF(ROUND($H971-IF($G971="",0,$G971),0)=0,"√","▲ مغایرت "&amp;TEXT(IF($G971="",0,$G971)-$H971,"#,##0"))))</f>
        <v/>
      </c>
      <c r="J971" s="18" t="n"/>
    </row>
    <row r="972">
      <c r="A972" s="19">
        <f>IF($B972="","",COUNTA($B$9:$B972))</f>
        <v/>
      </c>
      <c r="B972" s="11" t="n"/>
      <c r="C972" s="12" t="n"/>
      <c r="D972" s="12" t="n"/>
      <c r="E972" s="13" t="n"/>
      <c r="F972" s="20">
        <f>IF($E972="","",IF($C972="دستمزد گروهی",IFERROR(VLOOKUP($E972,WGTbl,2,0),"کد ناشناخته"),IFERROR(IF(VLOOKUP($E972,AcctTblE,4,0)="","(بدون نام)",VLOOKUP($E972,AcctTblE,4,0)),"کد ناشناخته")))</f>
        <v/>
      </c>
      <c r="G972" s="15" t="n"/>
      <c r="H972" s="21">
        <f>IF(OR($C972&lt;&gt;"دستمزد گروهی",$D972=""),"",SUMIFS(ShareAmt,ShareLink,$D972))</f>
        <v/>
      </c>
      <c r="I972" s="22">
        <f>IF($C972&lt;&gt;"دستمزد گروهی","—",IF($H972="","",IF(ROUND($H972-IF($G972="",0,$G972),0)=0,"√","▲ مغایرت "&amp;TEXT(IF($G972="",0,$G972)-$H972,"#,##0"))))</f>
        <v/>
      </c>
      <c r="J972" s="18" t="n"/>
    </row>
    <row r="973">
      <c r="A973" s="10">
        <f>IF($B973="","",COUNTA($B$9:$B973))</f>
        <v/>
      </c>
      <c r="B973" s="11" t="n"/>
      <c r="C973" s="12" t="n"/>
      <c r="D973" s="12" t="n"/>
      <c r="E973" s="13" t="n"/>
      <c r="F973" s="14">
        <f>IF($E973="","",IF($C973="دستمزد گروهی",IFERROR(VLOOKUP($E973,WGTbl,2,0),"کد ناشناخته"),IFERROR(IF(VLOOKUP($E973,AcctTblE,4,0)="","(بدون نام)",VLOOKUP($E973,AcctTblE,4,0)),"کد ناشناخته")))</f>
        <v/>
      </c>
      <c r="G973" s="15" t="n"/>
      <c r="H973" s="16">
        <f>IF(OR($C973&lt;&gt;"دستمزد گروهی",$D973=""),"",SUMIFS(ShareAmt,ShareLink,$D973))</f>
        <v/>
      </c>
      <c r="I973" s="17">
        <f>IF($C973&lt;&gt;"دستمزد گروهی","—",IF($H973="","",IF(ROUND($H973-IF($G973="",0,$G973),0)=0,"√","▲ مغایرت "&amp;TEXT(IF($G973="",0,$G973)-$H973,"#,##0"))))</f>
        <v/>
      </c>
      <c r="J973" s="18" t="n"/>
    </row>
    <row r="974">
      <c r="A974" s="19">
        <f>IF($B974="","",COUNTA($B$9:$B974))</f>
        <v/>
      </c>
      <c r="B974" s="11" t="n"/>
      <c r="C974" s="12" t="n"/>
      <c r="D974" s="12" t="n"/>
      <c r="E974" s="13" t="n"/>
      <c r="F974" s="20">
        <f>IF($E974="","",IF($C974="دستمزد گروهی",IFERROR(VLOOKUP($E974,WGTbl,2,0),"کد ناشناخته"),IFERROR(IF(VLOOKUP($E974,AcctTblE,4,0)="","(بدون نام)",VLOOKUP($E974,AcctTblE,4,0)),"کد ناشناخته")))</f>
        <v/>
      </c>
      <c r="G974" s="15" t="n"/>
      <c r="H974" s="21">
        <f>IF(OR($C974&lt;&gt;"دستمزد گروهی",$D974=""),"",SUMIFS(ShareAmt,ShareLink,$D974))</f>
        <v/>
      </c>
      <c r="I974" s="22">
        <f>IF($C974&lt;&gt;"دستمزد گروهی","—",IF($H974="","",IF(ROUND($H974-IF($G974="",0,$G974),0)=0,"√","▲ مغایرت "&amp;TEXT(IF($G974="",0,$G974)-$H974,"#,##0"))))</f>
        <v/>
      </c>
      <c r="J974" s="18" t="n"/>
    </row>
    <row r="975">
      <c r="A975" s="10">
        <f>IF($B975="","",COUNTA($B$9:$B975))</f>
        <v/>
      </c>
      <c r="B975" s="11" t="n"/>
      <c r="C975" s="12" t="n"/>
      <c r="D975" s="12" t="n"/>
      <c r="E975" s="13" t="n"/>
      <c r="F975" s="14">
        <f>IF($E975="","",IF($C975="دستمزد گروهی",IFERROR(VLOOKUP($E975,WGTbl,2,0),"کد ناشناخته"),IFERROR(IF(VLOOKUP($E975,AcctTblE,4,0)="","(بدون نام)",VLOOKUP($E975,AcctTblE,4,0)),"کد ناشناخته")))</f>
        <v/>
      </c>
      <c r="G975" s="15" t="n"/>
      <c r="H975" s="16">
        <f>IF(OR($C975&lt;&gt;"دستمزد گروهی",$D975=""),"",SUMIFS(ShareAmt,ShareLink,$D975))</f>
        <v/>
      </c>
      <c r="I975" s="17">
        <f>IF($C975&lt;&gt;"دستمزد گروهی","—",IF($H975="","",IF(ROUND($H975-IF($G975="",0,$G975),0)=0,"√","▲ مغایرت "&amp;TEXT(IF($G975="",0,$G975)-$H975,"#,##0"))))</f>
        <v/>
      </c>
      <c r="J975" s="18" t="n"/>
    </row>
    <row r="976">
      <c r="A976" s="19">
        <f>IF($B976="","",COUNTA($B$9:$B976))</f>
        <v/>
      </c>
      <c r="B976" s="11" t="n"/>
      <c r="C976" s="12" t="n"/>
      <c r="D976" s="12" t="n"/>
      <c r="E976" s="13" t="n"/>
      <c r="F976" s="20">
        <f>IF($E976="","",IF($C976="دستمزد گروهی",IFERROR(VLOOKUP($E976,WGTbl,2,0),"کد ناشناخته"),IFERROR(IF(VLOOKUP($E976,AcctTblE,4,0)="","(بدون نام)",VLOOKUP($E976,AcctTblE,4,0)),"کد ناشناخته")))</f>
        <v/>
      </c>
      <c r="G976" s="15" t="n"/>
      <c r="H976" s="21">
        <f>IF(OR($C976&lt;&gt;"دستمزد گروهی",$D976=""),"",SUMIFS(ShareAmt,ShareLink,$D976))</f>
        <v/>
      </c>
      <c r="I976" s="22">
        <f>IF($C976&lt;&gt;"دستمزد گروهی","—",IF($H976="","",IF(ROUND($H976-IF($G976="",0,$G976),0)=0,"√","▲ مغایرت "&amp;TEXT(IF($G976="",0,$G976)-$H976,"#,##0"))))</f>
        <v/>
      </c>
      <c r="J976" s="18" t="n"/>
    </row>
    <row r="977">
      <c r="A977" s="10">
        <f>IF($B977="","",COUNTA($B$9:$B977))</f>
        <v/>
      </c>
      <c r="B977" s="11" t="n"/>
      <c r="C977" s="12" t="n"/>
      <c r="D977" s="12" t="n"/>
      <c r="E977" s="13" t="n"/>
      <c r="F977" s="14">
        <f>IF($E977="","",IF($C977="دستمزد گروهی",IFERROR(VLOOKUP($E977,WGTbl,2,0),"کد ناشناخته"),IFERROR(IF(VLOOKUP($E977,AcctTblE,4,0)="","(بدون نام)",VLOOKUP($E977,AcctTblE,4,0)),"کد ناشناخته")))</f>
        <v/>
      </c>
      <c r="G977" s="15" t="n"/>
      <c r="H977" s="16">
        <f>IF(OR($C977&lt;&gt;"دستمزد گروهی",$D977=""),"",SUMIFS(ShareAmt,ShareLink,$D977))</f>
        <v/>
      </c>
      <c r="I977" s="17">
        <f>IF($C977&lt;&gt;"دستمزد گروهی","—",IF($H977="","",IF(ROUND($H977-IF($G977="",0,$G977),0)=0,"√","▲ مغایرت "&amp;TEXT(IF($G977="",0,$G977)-$H977,"#,##0"))))</f>
        <v/>
      </c>
      <c r="J977" s="18" t="n"/>
    </row>
    <row r="978">
      <c r="A978" s="19">
        <f>IF($B978="","",COUNTA($B$9:$B978))</f>
        <v/>
      </c>
      <c r="B978" s="11" t="n"/>
      <c r="C978" s="12" t="n"/>
      <c r="D978" s="12" t="n"/>
      <c r="E978" s="13" t="n"/>
      <c r="F978" s="20">
        <f>IF($E978="","",IF($C978="دستمزد گروهی",IFERROR(VLOOKUP($E978,WGTbl,2,0),"کد ناشناخته"),IFERROR(IF(VLOOKUP($E978,AcctTblE,4,0)="","(بدون نام)",VLOOKUP($E978,AcctTblE,4,0)),"کد ناشناخته")))</f>
        <v/>
      </c>
      <c r="G978" s="15" t="n"/>
      <c r="H978" s="21">
        <f>IF(OR($C978&lt;&gt;"دستمزد گروهی",$D978=""),"",SUMIFS(ShareAmt,ShareLink,$D978))</f>
        <v/>
      </c>
      <c r="I978" s="22">
        <f>IF($C978&lt;&gt;"دستمزد گروهی","—",IF($H978="","",IF(ROUND($H978-IF($G978="",0,$G978),0)=0,"√","▲ مغایرت "&amp;TEXT(IF($G978="",0,$G978)-$H978,"#,##0"))))</f>
        <v/>
      </c>
      <c r="J978" s="18" t="n"/>
    </row>
    <row r="979">
      <c r="A979" s="10">
        <f>IF($B979="","",COUNTA($B$9:$B979))</f>
        <v/>
      </c>
      <c r="B979" s="11" t="n"/>
      <c r="C979" s="12" t="n"/>
      <c r="D979" s="12" t="n"/>
      <c r="E979" s="13" t="n"/>
      <c r="F979" s="14">
        <f>IF($E979="","",IF($C979="دستمزد گروهی",IFERROR(VLOOKUP($E979,WGTbl,2,0),"کد ناشناخته"),IFERROR(IF(VLOOKUP($E979,AcctTblE,4,0)="","(بدون نام)",VLOOKUP($E979,AcctTblE,4,0)),"کد ناشناخته")))</f>
        <v/>
      </c>
      <c r="G979" s="15" t="n"/>
      <c r="H979" s="16">
        <f>IF(OR($C979&lt;&gt;"دستمزد گروهی",$D979=""),"",SUMIFS(ShareAmt,ShareLink,$D979))</f>
        <v/>
      </c>
      <c r="I979" s="17">
        <f>IF($C979&lt;&gt;"دستمزد گروهی","—",IF($H979="","",IF(ROUND($H979-IF($G979="",0,$G979),0)=0,"√","▲ مغایرت "&amp;TEXT(IF($G979="",0,$G979)-$H979,"#,##0"))))</f>
        <v/>
      </c>
      <c r="J979" s="18" t="n"/>
    </row>
    <row r="980">
      <c r="A980" s="19">
        <f>IF($B980="","",COUNTA($B$9:$B980))</f>
        <v/>
      </c>
      <c r="B980" s="11" t="n"/>
      <c r="C980" s="12" t="n"/>
      <c r="D980" s="12" t="n"/>
      <c r="E980" s="13" t="n"/>
      <c r="F980" s="20">
        <f>IF($E980="","",IF($C980="دستمزد گروهی",IFERROR(VLOOKUP($E980,WGTbl,2,0),"کد ناشناخته"),IFERROR(IF(VLOOKUP($E980,AcctTblE,4,0)="","(بدون نام)",VLOOKUP($E980,AcctTblE,4,0)),"کد ناشناخته")))</f>
        <v/>
      </c>
      <c r="G980" s="15" t="n"/>
      <c r="H980" s="21">
        <f>IF(OR($C980&lt;&gt;"دستمزد گروهی",$D980=""),"",SUMIFS(ShareAmt,ShareLink,$D980))</f>
        <v/>
      </c>
      <c r="I980" s="22">
        <f>IF($C980&lt;&gt;"دستمزد گروهی","—",IF($H980="","",IF(ROUND($H980-IF($G980="",0,$G980),0)=0,"√","▲ مغایرت "&amp;TEXT(IF($G980="",0,$G980)-$H980,"#,##0"))))</f>
        <v/>
      </c>
      <c r="J980" s="18" t="n"/>
    </row>
    <row r="981">
      <c r="A981" s="10">
        <f>IF($B981="","",COUNTA($B$9:$B981))</f>
        <v/>
      </c>
      <c r="B981" s="11" t="n"/>
      <c r="C981" s="12" t="n"/>
      <c r="D981" s="12" t="n"/>
      <c r="E981" s="13" t="n"/>
      <c r="F981" s="14">
        <f>IF($E981="","",IF($C981="دستمزد گروهی",IFERROR(VLOOKUP($E981,WGTbl,2,0),"کد ناشناخته"),IFERROR(IF(VLOOKUP($E981,AcctTblE,4,0)="","(بدون نام)",VLOOKUP($E981,AcctTblE,4,0)),"کد ناشناخته")))</f>
        <v/>
      </c>
      <c r="G981" s="15" t="n"/>
      <c r="H981" s="16">
        <f>IF(OR($C981&lt;&gt;"دستمزد گروهی",$D981=""),"",SUMIFS(ShareAmt,ShareLink,$D981))</f>
        <v/>
      </c>
      <c r="I981" s="17">
        <f>IF($C981&lt;&gt;"دستمزد گروهی","—",IF($H981="","",IF(ROUND($H981-IF($G981="",0,$G981),0)=0,"√","▲ مغایرت "&amp;TEXT(IF($G981="",0,$G981)-$H981,"#,##0"))))</f>
        <v/>
      </c>
      <c r="J981" s="18" t="n"/>
    </row>
    <row r="982">
      <c r="A982" s="19">
        <f>IF($B982="","",COUNTA($B$9:$B982))</f>
        <v/>
      </c>
      <c r="B982" s="11" t="n"/>
      <c r="C982" s="12" t="n"/>
      <c r="D982" s="12" t="n"/>
      <c r="E982" s="13" t="n"/>
      <c r="F982" s="20">
        <f>IF($E982="","",IF($C982="دستمزد گروهی",IFERROR(VLOOKUP($E982,WGTbl,2,0),"کد ناشناخته"),IFERROR(IF(VLOOKUP($E982,AcctTblE,4,0)="","(بدون نام)",VLOOKUP($E982,AcctTblE,4,0)),"کد ناشناخته")))</f>
        <v/>
      </c>
      <c r="G982" s="15" t="n"/>
      <c r="H982" s="21">
        <f>IF(OR($C982&lt;&gt;"دستمزد گروهی",$D982=""),"",SUMIFS(ShareAmt,ShareLink,$D982))</f>
        <v/>
      </c>
      <c r="I982" s="22">
        <f>IF($C982&lt;&gt;"دستمزد گروهی","—",IF($H982="","",IF(ROUND($H982-IF($G982="",0,$G982),0)=0,"√","▲ مغایرت "&amp;TEXT(IF($G982="",0,$G982)-$H982,"#,##0"))))</f>
        <v/>
      </c>
      <c r="J982" s="18" t="n"/>
    </row>
    <row r="983">
      <c r="A983" s="10">
        <f>IF($B983="","",COUNTA($B$9:$B983))</f>
        <v/>
      </c>
      <c r="B983" s="11" t="n"/>
      <c r="C983" s="12" t="n"/>
      <c r="D983" s="12" t="n"/>
      <c r="E983" s="13" t="n"/>
      <c r="F983" s="14">
        <f>IF($E983="","",IF($C983="دستمزد گروهی",IFERROR(VLOOKUP($E983,WGTbl,2,0),"کد ناشناخته"),IFERROR(IF(VLOOKUP($E983,AcctTblE,4,0)="","(بدون نام)",VLOOKUP($E983,AcctTblE,4,0)),"کد ناشناخته")))</f>
        <v/>
      </c>
      <c r="G983" s="15" t="n"/>
      <c r="H983" s="16">
        <f>IF(OR($C983&lt;&gt;"دستمزد گروهی",$D983=""),"",SUMIFS(ShareAmt,ShareLink,$D983))</f>
        <v/>
      </c>
      <c r="I983" s="17">
        <f>IF($C983&lt;&gt;"دستمزد گروهی","—",IF($H983="","",IF(ROUND($H983-IF($G983="",0,$G983),0)=0,"√","▲ مغایرت "&amp;TEXT(IF($G983="",0,$G983)-$H983,"#,##0"))))</f>
        <v/>
      </c>
      <c r="J983" s="18" t="n"/>
    </row>
    <row r="984">
      <c r="A984" s="19">
        <f>IF($B984="","",COUNTA($B$9:$B984))</f>
        <v/>
      </c>
      <c r="B984" s="11" t="n"/>
      <c r="C984" s="12" t="n"/>
      <c r="D984" s="12" t="n"/>
      <c r="E984" s="13" t="n"/>
      <c r="F984" s="20">
        <f>IF($E984="","",IF($C984="دستمزد گروهی",IFERROR(VLOOKUP($E984,WGTbl,2,0),"کد ناشناخته"),IFERROR(IF(VLOOKUP($E984,AcctTblE,4,0)="","(بدون نام)",VLOOKUP($E984,AcctTblE,4,0)),"کد ناشناخته")))</f>
        <v/>
      </c>
      <c r="G984" s="15" t="n"/>
      <c r="H984" s="21">
        <f>IF(OR($C984&lt;&gt;"دستمزد گروهی",$D984=""),"",SUMIFS(ShareAmt,ShareLink,$D984))</f>
        <v/>
      </c>
      <c r="I984" s="22">
        <f>IF($C984&lt;&gt;"دستمزد گروهی","—",IF($H984="","",IF(ROUND($H984-IF($G984="",0,$G984),0)=0,"√","▲ مغایرت "&amp;TEXT(IF($G984="",0,$G984)-$H984,"#,##0"))))</f>
        <v/>
      </c>
      <c r="J984" s="18" t="n"/>
    </row>
    <row r="985">
      <c r="A985" s="10">
        <f>IF($B985="","",COUNTA($B$9:$B985))</f>
        <v/>
      </c>
      <c r="B985" s="11" t="n"/>
      <c r="C985" s="12" t="n"/>
      <c r="D985" s="12" t="n"/>
      <c r="E985" s="13" t="n"/>
      <c r="F985" s="14">
        <f>IF($E985="","",IF($C985="دستمزد گروهی",IFERROR(VLOOKUP($E985,WGTbl,2,0),"کد ناشناخته"),IFERROR(IF(VLOOKUP($E985,AcctTblE,4,0)="","(بدون نام)",VLOOKUP($E985,AcctTblE,4,0)),"کد ناشناخته")))</f>
        <v/>
      </c>
      <c r="G985" s="15" t="n"/>
      <c r="H985" s="16">
        <f>IF(OR($C985&lt;&gt;"دستمزد گروهی",$D985=""),"",SUMIFS(ShareAmt,ShareLink,$D985))</f>
        <v/>
      </c>
      <c r="I985" s="17">
        <f>IF($C985&lt;&gt;"دستمزد گروهی","—",IF($H985="","",IF(ROUND($H985-IF($G985="",0,$G985),0)=0,"√","▲ مغایرت "&amp;TEXT(IF($G985="",0,$G985)-$H985,"#,##0"))))</f>
        <v/>
      </c>
      <c r="J985" s="18" t="n"/>
    </row>
    <row r="986">
      <c r="A986" s="19">
        <f>IF($B986="","",COUNTA($B$9:$B986))</f>
        <v/>
      </c>
      <c r="B986" s="11" t="n"/>
      <c r="C986" s="12" t="n"/>
      <c r="D986" s="12" t="n"/>
      <c r="E986" s="13" t="n"/>
      <c r="F986" s="20">
        <f>IF($E986="","",IF($C986="دستمزد گروهی",IFERROR(VLOOKUP($E986,WGTbl,2,0),"کد ناشناخته"),IFERROR(IF(VLOOKUP($E986,AcctTblE,4,0)="","(بدون نام)",VLOOKUP($E986,AcctTblE,4,0)),"کد ناشناخته")))</f>
        <v/>
      </c>
      <c r="G986" s="15" t="n"/>
      <c r="H986" s="21">
        <f>IF(OR($C986&lt;&gt;"دستمزد گروهی",$D986=""),"",SUMIFS(ShareAmt,ShareLink,$D986))</f>
        <v/>
      </c>
      <c r="I986" s="22">
        <f>IF($C986&lt;&gt;"دستمزد گروهی","—",IF($H986="","",IF(ROUND($H986-IF($G986="",0,$G986),0)=0,"√","▲ مغایرت "&amp;TEXT(IF($G986="",0,$G986)-$H986,"#,##0"))))</f>
        <v/>
      </c>
      <c r="J986" s="18" t="n"/>
    </row>
    <row r="987">
      <c r="A987" s="10">
        <f>IF($B987="","",COUNTA($B$9:$B987))</f>
        <v/>
      </c>
      <c r="B987" s="11" t="n"/>
      <c r="C987" s="12" t="n"/>
      <c r="D987" s="12" t="n"/>
      <c r="E987" s="13" t="n"/>
      <c r="F987" s="14">
        <f>IF($E987="","",IF($C987="دستمزد گروهی",IFERROR(VLOOKUP($E987,WGTbl,2,0),"کد ناشناخته"),IFERROR(IF(VLOOKUP($E987,AcctTblE,4,0)="","(بدون نام)",VLOOKUP($E987,AcctTblE,4,0)),"کد ناشناخته")))</f>
        <v/>
      </c>
      <c r="G987" s="15" t="n"/>
      <c r="H987" s="16">
        <f>IF(OR($C987&lt;&gt;"دستمزد گروهی",$D987=""),"",SUMIFS(ShareAmt,ShareLink,$D987))</f>
        <v/>
      </c>
      <c r="I987" s="17">
        <f>IF($C987&lt;&gt;"دستمزد گروهی","—",IF($H987="","",IF(ROUND($H987-IF($G987="",0,$G987),0)=0,"√","▲ مغایرت "&amp;TEXT(IF($G987="",0,$G987)-$H987,"#,##0"))))</f>
        <v/>
      </c>
      <c r="J987" s="18" t="n"/>
    </row>
    <row r="988">
      <c r="A988" s="19">
        <f>IF($B988="","",COUNTA($B$9:$B988))</f>
        <v/>
      </c>
      <c r="B988" s="11" t="n"/>
      <c r="C988" s="12" t="n"/>
      <c r="D988" s="12" t="n"/>
      <c r="E988" s="13" t="n"/>
      <c r="F988" s="20">
        <f>IF($E988="","",IF($C988="دستمزد گروهی",IFERROR(VLOOKUP($E988,WGTbl,2,0),"کد ناشناخته"),IFERROR(IF(VLOOKUP($E988,AcctTblE,4,0)="","(بدون نام)",VLOOKUP($E988,AcctTblE,4,0)),"کد ناشناخته")))</f>
        <v/>
      </c>
      <c r="G988" s="15" t="n"/>
      <c r="H988" s="21">
        <f>IF(OR($C988&lt;&gt;"دستمزد گروهی",$D988=""),"",SUMIFS(ShareAmt,ShareLink,$D988))</f>
        <v/>
      </c>
      <c r="I988" s="22">
        <f>IF($C988&lt;&gt;"دستمزد گروهی","—",IF($H988="","",IF(ROUND($H988-IF($G988="",0,$G988),0)=0,"√","▲ مغایرت "&amp;TEXT(IF($G988="",0,$G988)-$H988,"#,##0"))))</f>
        <v/>
      </c>
      <c r="J988" s="18" t="n"/>
    </row>
    <row r="989">
      <c r="A989" s="10">
        <f>IF($B989="","",COUNTA($B$9:$B989))</f>
        <v/>
      </c>
      <c r="B989" s="11" t="n"/>
      <c r="C989" s="12" t="n"/>
      <c r="D989" s="12" t="n"/>
      <c r="E989" s="13" t="n"/>
      <c r="F989" s="14">
        <f>IF($E989="","",IF($C989="دستمزد گروهی",IFERROR(VLOOKUP($E989,WGTbl,2,0),"کد ناشناخته"),IFERROR(IF(VLOOKUP($E989,AcctTblE,4,0)="","(بدون نام)",VLOOKUP($E989,AcctTblE,4,0)),"کد ناشناخته")))</f>
        <v/>
      </c>
      <c r="G989" s="15" t="n"/>
      <c r="H989" s="16">
        <f>IF(OR($C989&lt;&gt;"دستمزد گروهی",$D989=""),"",SUMIFS(ShareAmt,ShareLink,$D989))</f>
        <v/>
      </c>
      <c r="I989" s="17">
        <f>IF($C989&lt;&gt;"دستمزد گروهی","—",IF($H989="","",IF(ROUND($H989-IF($G989="",0,$G989),0)=0,"√","▲ مغایرت "&amp;TEXT(IF($G989="",0,$G989)-$H989,"#,##0"))))</f>
        <v/>
      </c>
      <c r="J989" s="18" t="n"/>
    </row>
    <row r="990">
      <c r="A990" s="19">
        <f>IF($B990="","",COUNTA($B$9:$B990))</f>
        <v/>
      </c>
      <c r="B990" s="11" t="n"/>
      <c r="C990" s="12" t="n"/>
      <c r="D990" s="12" t="n"/>
      <c r="E990" s="13" t="n"/>
      <c r="F990" s="20">
        <f>IF($E990="","",IF($C990="دستمزد گروهی",IFERROR(VLOOKUP($E990,WGTbl,2,0),"کد ناشناخته"),IFERROR(IF(VLOOKUP($E990,AcctTblE,4,0)="","(بدون نام)",VLOOKUP($E990,AcctTblE,4,0)),"کد ناشناخته")))</f>
        <v/>
      </c>
      <c r="G990" s="15" t="n"/>
      <c r="H990" s="21">
        <f>IF(OR($C990&lt;&gt;"دستمزد گروهی",$D990=""),"",SUMIFS(ShareAmt,ShareLink,$D990))</f>
        <v/>
      </c>
      <c r="I990" s="22">
        <f>IF($C990&lt;&gt;"دستمزد گروهی","—",IF($H990="","",IF(ROUND($H990-IF($G990="",0,$G990),0)=0,"√","▲ مغایرت "&amp;TEXT(IF($G990="",0,$G990)-$H990,"#,##0"))))</f>
        <v/>
      </c>
      <c r="J990" s="18" t="n"/>
    </row>
    <row r="991">
      <c r="A991" s="10">
        <f>IF($B991="","",COUNTA($B$9:$B991))</f>
        <v/>
      </c>
      <c r="B991" s="11" t="n"/>
      <c r="C991" s="12" t="n"/>
      <c r="D991" s="12" t="n"/>
      <c r="E991" s="13" t="n"/>
      <c r="F991" s="14">
        <f>IF($E991="","",IF($C991="دستمزد گروهی",IFERROR(VLOOKUP($E991,WGTbl,2,0),"کد ناشناخته"),IFERROR(IF(VLOOKUP($E991,AcctTblE,4,0)="","(بدون نام)",VLOOKUP($E991,AcctTblE,4,0)),"کد ناشناخته")))</f>
        <v/>
      </c>
      <c r="G991" s="15" t="n"/>
      <c r="H991" s="16">
        <f>IF(OR($C991&lt;&gt;"دستمزد گروهی",$D991=""),"",SUMIFS(ShareAmt,ShareLink,$D991))</f>
        <v/>
      </c>
      <c r="I991" s="17">
        <f>IF($C991&lt;&gt;"دستمزد گروهی","—",IF($H991="","",IF(ROUND($H991-IF($G991="",0,$G991),0)=0,"√","▲ مغایرت "&amp;TEXT(IF($G991="",0,$G991)-$H991,"#,##0"))))</f>
        <v/>
      </c>
      <c r="J991" s="18" t="n"/>
    </row>
    <row r="992">
      <c r="A992" s="19">
        <f>IF($B992="","",COUNTA($B$9:$B992))</f>
        <v/>
      </c>
      <c r="B992" s="11" t="n"/>
      <c r="C992" s="12" t="n"/>
      <c r="D992" s="12" t="n"/>
      <c r="E992" s="13" t="n"/>
      <c r="F992" s="20">
        <f>IF($E992="","",IF($C992="دستمزد گروهی",IFERROR(VLOOKUP($E992,WGTbl,2,0),"کد ناشناخته"),IFERROR(IF(VLOOKUP($E992,AcctTblE,4,0)="","(بدون نام)",VLOOKUP($E992,AcctTblE,4,0)),"کد ناشناخته")))</f>
        <v/>
      </c>
      <c r="G992" s="15" t="n"/>
      <c r="H992" s="21">
        <f>IF(OR($C992&lt;&gt;"دستمزد گروهی",$D992=""),"",SUMIFS(ShareAmt,ShareLink,$D992))</f>
        <v/>
      </c>
      <c r="I992" s="22">
        <f>IF($C992&lt;&gt;"دستمزد گروهی","—",IF($H992="","",IF(ROUND($H992-IF($G992="",0,$G992),0)=0,"√","▲ مغایرت "&amp;TEXT(IF($G992="",0,$G992)-$H992,"#,##0"))))</f>
        <v/>
      </c>
      <c r="J992" s="18" t="n"/>
    </row>
    <row r="993">
      <c r="A993" s="10">
        <f>IF($B993="","",COUNTA($B$9:$B993))</f>
        <v/>
      </c>
      <c r="B993" s="11" t="n"/>
      <c r="C993" s="12" t="n"/>
      <c r="D993" s="12" t="n"/>
      <c r="E993" s="13" t="n"/>
      <c r="F993" s="14">
        <f>IF($E993="","",IF($C993="دستمزد گروهی",IFERROR(VLOOKUP($E993,WGTbl,2,0),"کد ناشناخته"),IFERROR(IF(VLOOKUP($E993,AcctTblE,4,0)="","(بدون نام)",VLOOKUP($E993,AcctTblE,4,0)),"کد ناشناخته")))</f>
        <v/>
      </c>
      <c r="G993" s="15" t="n"/>
      <c r="H993" s="16">
        <f>IF(OR($C993&lt;&gt;"دستمزد گروهی",$D993=""),"",SUMIFS(ShareAmt,ShareLink,$D993))</f>
        <v/>
      </c>
      <c r="I993" s="17">
        <f>IF($C993&lt;&gt;"دستمزد گروهی","—",IF($H993="","",IF(ROUND($H993-IF($G993="",0,$G993),0)=0,"√","▲ مغایرت "&amp;TEXT(IF($G993="",0,$G993)-$H993,"#,##0"))))</f>
        <v/>
      </c>
      <c r="J993" s="18" t="n"/>
    </row>
    <row r="994">
      <c r="A994" s="19">
        <f>IF($B994="","",COUNTA($B$9:$B994))</f>
        <v/>
      </c>
      <c r="B994" s="11" t="n"/>
      <c r="C994" s="12" t="n"/>
      <c r="D994" s="12" t="n"/>
      <c r="E994" s="13" t="n"/>
      <c r="F994" s="20">
        <f>IF($E994="","",IF($C994="دستمزد گروهی",IFERROR(VLOOKUP($E994,WGTbl,2,0),"کد ناشناخته"),IFERROR(IF(VLOOKUP($E994,AcctTblE,4,0)="","(بدون نام)",VLOOKUP($E994,AcctTblE,4,0)),"کد ناشناخته")))</f>
        <v/>
      </c>
      <c r="G994" s="15" t="n"/>
      <c r="H994" s="21">
        <f>IF(OR($C994&lt;&gt;"دستمزد گروهی",$D994=""),"",SUMIFS(ShareAmt,ShareLink,$D994))</f>
        <v/>
      </c>
      <c r="I994" s="22">
        <f>IF($C994&lt;&gt;"دستمزد گروهی","—",IF($H994="","",IF(ROUND($H994-IF($G994="",0,$G994),0)=0,"√","▲ مغایرت "&amp;TEXT(IF($G994="",0,$G994)-$H994,"#,##0"))))</f>
        <v/>
      </c>
      <c r="J994" s="18" t="n"/>
    </row>
    <row r="995">
      <c r="A995" s="10">
        <f>IF($B995="","",COUNTA($B$9:$B995))</f>
        <v/>
      </c>
      <c r="B995" s="11" t="n"/>
      <c r="C995" s="12" t="n"/>
      <c r="D995" s="12" t="n"/>
      <c r="E995" s="13" t="n"/>
      <c r="F995" s="14">
        <f>IF($E995="","",IF($C995="دستمزد گروهی",IFERROR(VLOOKUP($E995,WGTbl,2,0),"کد ناشناخته"),IFERROR(IF(VLOOKUP($E995,AcctTblE,4,0)="","(بدون نام)",VLOOKUP($E995,AcctTblE,4,0)),"کد ناشناخته")))</f>
        <v/>
      </c>
      <c r="G995" s="15" t="n"/>
      <c r="H995" s="16">
        <f>IF(OR($C995&lt;&gt;"دستمزد گروهی",$D995=""),"",SUMIFS(ShareAmt,ShareLink,$D995))</f>
        <v/>
      </c>
      <c r="I995" s="17">
        <f>IF($C995&lt;&gt;"دستمزد گروهی","—",IF($H995="","",IF(ROUND($H995-IF($G995="",0,$G995),0)=0,"√","▲ مغایرت "&amp;TEXT(IF($G995="",0,$G995)-$H995,"#,##0"))))</f>
        <v/>
      </c>
      <c r="J995" s="18" t="n"/>
    </row>
    <row r="996">
      <c r="A996" s="19">
        <f>IF($B996="","",COUNTA($B$9:$B996))</f>
        <v/>
      </c>
      <c r="B996" s="11" t="n"/>
      <c r="C996" s="12" t="n"/>
      <c r="D996" s="12" t="n"/>
      <c r="E996" s="13" t="n"/>
      <c r="F996" s="20">
        <f>IF($E996="","",IF($C996="دستمزد گروهی",IFERROR(VLOOKUP($E996,WGTbl,2,0),"کد ناشناخته"),IFERROR(IF(VLOOKUP($E996,AcctTblE,4,0)="","(بدون نام)",VLOOKUP($E996,AcctTblE,4,0)),"کد ناشناخته")))</f>
        <v/>
      </c>
      <c r="G996" s="15" t="n"/>
      <c r="H996" s="21">
        <f>IF(OR($C996&lt;&gt;"دستمزد گروهی",$D996=""),"",SUMIFS(ShareAmt,ShareLink,$D996))</f>
        <v/>
      </c>
      <c r="I996" s="22">
        <f>IF($C996&lt;&gt;"دستمزد گروهی","—",IF($H996="","",IF(ROUND($H996-IF($G996="",0,$G996),0)=0,"√","▲ مغایرت "&amp;TEXT(IF($G996="",0,$G996)-$H996,"#,##0"))))</f>
        <v/>
      </c>
      <c r="J996" s="18" t="n"/>
    </row>
    <row r="997">
      <c r="A997" s="10">
        <f>IF($B997="","",COUNTA($B$9:$B997))</f>
        <v/>
      </c>
      <c r="B997" s="11" t="n"/>
      <c r="C997" s="12" t="n"/>
      <c r="D997" s="12" t="n"/>
      <c r="E997" s="13" t="n"/>
      <c r="F997" s="14">
        <f>IF($E997="","",IF($C997="دستمزد گروهی",IFERROR(VLOOKUP($E997,WGTbl,2,0),"کد ناشناخته"),IFERROR(IF(VLOOKUP($E997,AcctTblE,4,0)="","(بدون نام)",VLOOKUP($E997,AcctTblE,4,0)),"کد ناشناخته")))</f>
        <v/>
      </c>
      <c r="G997" s="15" t="n"/>
      <c r="H997" s="16">
        <f>IF(OR($C997&lt;&gt;"دستمزد گروهی",$D997=""),"",SUMIFS(ShareAmt,ShareLink,$D997))</f>
        <v/>
      </c>
      <c r="I997" s="17">
        <f>IF($C997&lt;&gt;"دستمزد گروهی","—",IF($H997="","",IF(ROUND($H997-IF($G997="",0,$G997),0)=0,"√","▲ مغایرت "&amp;TEXT(IF($G997="",0,$G997)-$H997,"#,##0"))))</f>
        <v/>
      </c>
      <c r="J997" s="18" t="n"/>
    </row>
    <row r="998">
      <c r="A998" s="19">
        <f>IF($B998="","",COUNTA($B$9:$B998))</f>
        <v/>
      </c>
      <c r="B998" s="11" t="n"/>
      <c r="C998" s="12" t="n"/>
      <c r="D998" s="12" t="n"/>
      <c r="E998" s="13" t="n"/>
      <c r="F998" s="20">
        <f>IF($E998="","",IF($C998="دستمزد گروهی",IFERROR(VLOOKUP($E998,WGTbl,2,0),"کد ناشناخته"),IFERROR(IF(VLOOKUP($E998,AcctTblE,4,0)="","(بدون نام)",VLOOKUP($E998,AcctTblE,4,0)),"کد ناشناخته")))</f>
        <v/>
      </c>
      <c r="G998" s="15" t="n"/>
      <c r="H998" s="21">
        <f>IF(OR($C998&lt;&gt;"دستمزد گروهی",$D998=""),"",SUMIFS(ShareAmt,ShareLink,$D998))</f>
        <v/>
      </c>
      <c r="I998" s="22">
        <f>IF($C998&lt;&gt;"دستمزد گروهی","—",IF($H998="","",IF(ROUND($H998-IF($G998="",0,$G998),0)=0,"√","▲ مغایرت "&amp;TEXT(IF($G998="",0,$G998)-$H998,"#,##0"))))</f>
        <v/>
      </c>
      <c r="J998" s="18" t="n"/>
    </row>
    <row r="999">
      <c r="A999" s="10">
        <f>IF($B999="","",COUNTA($B$9:$B999))</f>
        <v/>
      </c>
      <c r="B999" s="11" t="n"/>
      <c r="C999" s="12" t="n"/>
      <c r="D999" s="12" t="n"/>
      <c r="E999" s="13" t="n"/>
      <c r="F999" s="14">
        <f>IF($E999="","",IF($C999="دستمزد گروهی",IFERROR(VLOOKUP($E999,WGTbl,2,0),"کد ناشناخته"),IFERROR(IF(VLOOKUP($E999,AcctTblE,4,0)="","(بدون نام)",VLOOKUP($E999,AcctTblE,4,0)),"کد ناشناخته")))</f>
        <v/>
      </c>
      <c r="G999" s="15" t="n"/>
      <c r="H999" s="16">
        <f>IF(OR($C999&lt;&gt;"دستمزد گروهی",$D999=""),"",SUMIFS(ShareAmt,ShareLink,$D999))</f>
        <v/>
      </c>
      <c r="I999" s="17">
        <f>IF($C999&lt;&gt;"دستمزد گروهی","—",IF($H999="","",IF(ROUND($H999-IF($G999="",0,$G999),0)=0,"√","▲ مغایرت "&amp;TEXT(IF($G999="",0,$G999)-$H999,"#,##0"))))</f>
        <v/>
      </c>
      <c r="J999" s="18" t="n"/>
    </row>
    <row r="1000">
      <c r="A1000" s="19">
        <f>IF($B1000="","",COUNTA($B$9:$B1000))</f>
        <v/>
      </c>
      <c r="B1000" s="11" t="n"/>
      <c r="C1000" s="12" t="n"/>
      <c r="D1000" s="12" t="n"/>
      <c r="E1000" s="13" t="n"/>
      <c r="F1000" s="20">
        <f>IF($E1000="","",IF($C1000="دستمزد گروهی",IFERROR(VLOOKUP($E1000,WGTbl,2,0),"کد ناشناخته"),IFERROR(IF(VLOOKUP($E1000,AcctTblE,4,0)="","(بدون نام)",VLOOKUP($E1000,AcctTblE,4,0)),"کد ناشناخته")))</f>
        <v/>
      </c>
      <c r="G1000" s="15" t="n"/>
      <c r="H1000" s="21">
        <f>IF(OR($C1000&lt;&gt;"دستمزد گروهی",$D1000=""),"",SUMIFS(ShareAmt,ShareLink,$D1000))</f>
        <v/>
      </c>
      <c r="I1000" s="22">
        <f>IF($C1000&lt;&gt;"دستمزد گروهی","—",IF($H1000="","",IF(ROUND($H1000-IF($G1000="",0,$G1000),0)=0,"√","▲ مغایرت "&amp;TEXT(IF($G1000="",0,$G1000)-$H1000,"#,##0"))))</f>
        <v/>
      </c>
      <c r="J1000" s="18" t="n"/>
    </row>
    <row r="1001">
      <c r="A1001" s="10">
        <f>IF($B1001="","",COUNTA($B$9:$B1001))</f>
        <v/>
      </c>
      <c r="B1001" s="11" t="n"/>
      <c r="C1001" s="12" t="n"/>
      <c r="D1001" s="12" t="n"/>
      <c r="E1001" s="13" t="n"/>
      <c r="F1001" s="14">
        <f>IF($E1001="","",IF($C1001="دستمزد گروهی",IFERROR(VLOOKUP($E1001,WGTbl,2,0),"کد ناشناخته"),IFERROR(IF(VLOOKUP($E1001,AcctTblE,4,0)="","(بدون نام)",VLOOKUP($E1001,AcctTblE,4,0)),"کد ناشناخته")))</f>
        <v/>
      </c>
      <c r="G1001" s="15" t="n"/>
      <c r="H1001" s="16">
        <f>IF(OR($C1001&lt;&gt;"دستمزد گروهی",$D1001=""),"",SUMIFS(ShareAmt,ShareLink,$D1001))</f>
        <v/>
      </c>
      <c r="I1001" s="17">
        <f>IF($C1001&lt;&gt;"دستمزد گروهی","—",IF($H1001="","",IF(ROUND($H1001-IF($G1001="",0,$G1001),0)=0,"√","▲ مغایرت "&amp;TEXT(IF($G1001="",0,$G1001)-$H1001,"#,##0"))))</f>
        <v/>
      </c>
      <c r="J1001" s="18" t="n"/>
    </row>
    <row r="1002">
      <c r="A1002" s="19">
        <f>IF($B1002="","",COUNTA($B$9:$B1002))</f>
        <v/>
      </c>
      <c r="B1002" s="11" t="n"/>
      <c r="C1002" s="12" t="n"/>
      <c r="D1002" s="12" t="n"/>
      <c r="E1002" s="13" t="n"/>
      <c r="F1002" s="20">
        <f>IF($E1002="","",IF($C1002="دستمزد گروهی",IFERROR(VLOOKUP($E1002,WGTbl,2,0),"کد ناشناخته"),IFERROR(IF(VLOOKUP($E1002,AcctTblE,4,0)="","(بدون نام)",VLOOKUP($E1002,AcctTblE,4,0)),"کد ناشناخته")))</f>
        <v/>
      </c>
      <c r="G1002" s="15" t="n"/>
      <c r="H1002" s="21">
        <f>IF(OR($C1002&lt;&gt;"دستمزد گروهی",$D1002=""),"",SUMIFS(ShareAmt,ShareLink,$D1002))</f>
        <v/>
      </c>
      <c r="I1002" s="22">
        <f>IF($C1002&lt;&gt;"دستمزد گروهی","—",IF($H1002="","",IF(ROUND($H1002-IF($G1002="",0,$G1002),0)=0,"√","▲ مغایرت "&amp;TEXT(IF($G1002="",0,$G1002)-$H1002,"#,##0"))))</f>
        <v/>
      </c>
      <c r="J1002" s="18" t="n"/>
    </row>
    <row r="1003">
      <c r="A1003" s="10">
        <f>IF($B1003="","",COUNTA($B$9:$B1003))</f>
        <v/>
      </c>
      <c r="B1003" s="11" t="n"/>
      <c r="C1003" s="12" t="n"/>
      <c r="D1003" s="12" t="n"/>
      <c r="E1003" s="13" t="n"/>
      <c r="F1003" s="14">
        <f>IF($E1003="","",IF($C1003="دستمزد گروهی",IFERROR(VLOOKUP($E1003,WGTbl,2,0),"کد ناشناخته"),IFERROR(IF(VLOOKUP($E1003,AcctTblE,4,0)="","(بدون نام)",VLOOKUP($E1003,AcctTblE,4,0)),"کد ناشناخته")))</f>
        <v/>
      </c>
      <c r="G1003" s="15" t="n"/>
      <c r="H1003" s="16">
        <f>IF(OR($C1003&lt;&gt;"دستمزد گروهی",$D1003=""),"",SUMIFS(ShareAmt,ShareLink,$D1003))</f>
        <v/>
      </c>
      <c r="I1003" s="17">
        <f>IF($C1003&lt;&gt;"دستمزد گروهی","—",IF($H1003="","",IF(ROUND($H1003-IF($G1003="",0,$G1003),0)=0,"√","▲ مغایرت "&amp;TEXT(IF($G1003="",0,$G1003)-$H1003,"#,##0"))))</f>
        <v/>
      </c>
      <c r="J1003" s="18" t="n"/>
    </row>
    <row r="1004">
      <c r="A1004" s="19">
        <f>IF($B1004="","",COUNTA($B$9:$B1004))</f>
        <v/>
      </c>
      <c r="B1004" s="11" t="n"/>
      <c r="C1004" s="12" t="n"/>
      <c r="D1004" s="12" t="n"/>
      <c r="E1004" s="13" t="n"/>
      <c r="F1004" s="20">
        <f>IF($E1004="","",IF($C1004="دستمزد گروهی",IFERROR(VLOOKUP($E1004,WGTbl,2,0),"کد ناشناخته"),IFERROR(IF(VLOOKUP($E1004,AcctTblE,4,0)="","(بدون نام)",VLOOKUP($E1004,AcctTblE,4,0)),"کد ناشناخته")))</f>
        <v/>
      </c>
      <c r="G1004" s="15" t="n"/>
      <c r="H1004" s="21">
        <f>IF(OR($C1004&lt;&gt;"دستمزد گروهی",$D1004=""),"",SUMIFS(ShareAmt,ShareLink,$D1004))</f>
        <v/>
      </c>
      <c r="I1004" s="22">
        <f>IF($C1004&lt;&gt;"دستمزد گروهی","—",IF($H1004="","",IF(ROUND($H1004-IF($G1004="",0,$G1004),0)=0,"√","▲ مغایرت "&amp;TEXT(IF($G1004="",0,$G1004)-$H1004,"#,##0"))))</f>
        <v/>
      </c>
      <c r="J1004" s="18" t="n"/>
    </row>
    <row r="1005">
      <c r="A1005" s="10">
        <f>IF($B1005="","",COUNTA($B$9:$B1005))</f>
        <v/>
      </c>
      <c r="B1005" s="11" t="n"/>
      <c r="C1005" s="12" t="n"/>
      <c r="D1005" s="12" t="n"/>
      <c r="E1005" s="13" t="n"/>
      <c r="F1005" s="14">
        <f>IF($E1005="","",IF($C1005="دستمزد گروهی",IFERROR(VLOOKUP($E1005,WGTbl,2,0),"کد ناشناخته"),IFERROR(IF(VLOOKUP($E1005,AcctTblE,4,0)="","(بدون نام)",VLOOKUP($E1005,AcctTblE,4,0)),"کد ناشناخته")))</f>
        <v/>
      </c>
      <c r="G1005" s="15" t="n"/>
      <c r="H1005" s="16">
        <f>IF(OR($C1005&lt;&gt;"دستمزد گروهی",$D1005=""),"",SUMIFS(ShareAmt,ShareLink,$D1005))</f>
        <v/>
      </c>
      <c r="I1005" s="17">
        <f>IF($C1005&lt;&gt;"دستمزد گروهی","—",IF($H1005="","",IF(ROUND($H1005-IF($G1005="",0,$G1005),0)=0,"√","▲ مغایرت "&amp;TEXT(IF($G1005="",0,$G1005)-$H1005,"#,##0"))))</f>
        <v/>
      </c>
      <c r="J1005" s="18" t="n"/>
    </row>
    <row r="1006">
      <c r="A1006" s="19">
        <f>IF($B1006="","",COUNTA($B$9:$B1006))</f>
        <v/>
      </c>
      <c r="B1006" s="11" t="n"/>
      <c r="C1006" s="12" t="n"/>
      <c r="D1006" s="12" t="n"/>
      <c r="E1006" s="13" t="n"/>
      <c r="F1006" s="20">
        <f>IF($E1006="","",IF($C1006="دستمزد گروهی",IFERROR(VLOOKUP($E1006,WGTbl,2,0),"کد ناشناخته"),IFERROR(IF(VLOOKUP($E1006,AcctTblE,4,0)="","(بدون نام)",VLOOKUP($E1006,AcctTblE,4,0)),"کد ناشناخته")))</f>
        <v/>
      </c>
      <c r="G1006" s="15" t="n"/>
      <c r="H1006" s="21">
        <f>IF(OR($C1006&lt;&gt;"دستمزد گروهی",$D1006=""),"",SUMIFS(ShareAmt,ShareLink,$D1006))</f>
        <v/>
      </c>
      <c r="I1006" s="22">
        <f>IF($C1006&lt;&gt;"دستمزد گروهی","—",IF($H1006="","",IF(ROUND($H1006-IF($G1006="",0,$G1006),0)=0,"√","▲ مغایرت "&amp;TEXT(IF($G1006="",0,$G1006)-$H1006,"#,##0"))))</f>
        <v/>
      </c>
      <c r="J1006" s="18" t="n"/>
    </row>
    <row r="1007">
      <c r="A1007" s="10">
        <f>IF($B1007="","",COUNTA($B$9:$B1007))</f>
        <v/>
      </c>
      <c r="B1007" s="11" t="n"/>
      <c r="C1007" s="12" t="n"/>
      <c r="D1007" s="12" t="n"/>
      <c r="E1007" s="13" t="n"/>
      <c r="F1007" s="14">
        <f>IF($E1007="","",IF($C1007="دستمزد گروهی",IFERROR(VLOOKUP($E1007,WGTbl,2,0),"کد ناشناخته"),IFERROR(IF(VLOOKUP($E1007,AcctTblE,4,0)="","(بدون نام)",VLOOKUP($E1007,AcctTblE,4,0)),"کد ناشناخته")))</f>
        <v/>
      </c>
      <c r="G1007" s="15" t="n"/>
      <c r="H1007" s="16">
        <f>IF(OR($C1007&lt;&gt;"دستمزد گروهی",$D1007=""),"",SUMIFS(ShareAmt,ShareLink,$D1007))</f>
        <v/>
      </c>
      <c r="I1007" s="17">
        <f>IF($C1007&lt;&gt;"دستمزد گروهی","—",IF($H1007="","",IF(ROUND($H1007-IF($G1007="",0,$G1007),0)=0,"√","▲ مغایرت "&amp;TEXT(IF($G1007="",0,$G1007)-$H1007,"#,##0"))))</f>
        <v/>
      </c>
      <c r="J1007" s="18" t="n"/>
    </row>
    <row r="1008">
      <c r="A1008" s="19">
        <f>IF($B1008="","",COUNTA($B$9:$B1008))</f>
        <v/>
      </c>
      <c r="B1008" s="11" t="n"/>
      <c r="C1008" s="12" t="n"/>
      <c r="D1008" s="12" t="n"/>
      <c r="E1008" s="13" t="n"/>
      <c r="F1008" s="20">
        <f>IF($E1008="","",IF($C1008="دستمزد گروهی",IFERROR(VLOOKUP($E1008,WGTbl,2,0),"کد ناشناخته"),IFERROR(IF(VLOOKUP($E1008,AcctTblE,4,0)="","(بدون نام)",VLOOKUP($E1008,AcctTblE,4,0)),"کد ناشناخته")))</f>
        <v/>
      </c>
      <c r="G1008" s="15" t="n"/>
      <c r="H1008" s="21">
        <f>IF(OR($C1008&lt;&gt;"دستمزد گروهی",$D1008=""),"",SUMIFS(ShareAmt,ShareLink,$D1008))</f>
        <v/>
      </c>
      <c r="I1008" s="22">
        <f>IF($C1008&lt;&gt;"دستمزد گروهی","—",IF($H1008="","",IF(ROUND($H1008-IF($G1008="",0,$G1008),0)=0,"√","▲ مغایرت "&amp;TEXT(IF($G1008="",0,$G1008)-$H1008,"#,##0"))))</f>
        <v/>
      </c>
      <c r="J1008" s="18" t="n"/>
    </row>
    <row r="1009">
      <c r="A1009" s="10">
        <f>IF($B1009="","",COUNTA($B$9:$B1009))</f>
        <v/>
      </c>
      <c r="B1009" s="11" t="n"/>
      <c r="C1009" s="12" t="n"/>
      <c r="D1009" s="12" t="n"/>
      <c r="E1009" s="13" t="n"/>
      <c r="F1009" s="14">
        <f>IF($E1009="","",IF($C1009="دستمزد گروهی",IFERROR(VLOOKUP($E1009,WGTbl,2,0),"کد ناشناخته"),IFERROR(IF(VLOOKUP($E1009,AcctTblE,4,0)="","(بدون نام)",VLOOKUP($E1009,AcctTblE,4,0)),"کد ناشناخته")))</f>
        <v/>
      </c>
      <c r="G1009" s="15" t="n"/>
      <c r="H1009" s="16">
        <f>IF(OR($C1009&lt;&gt;"دستمزد گروهی",$D1009=""),"",SUMIFS(ShareAmt,ShareLink,$D1009))</f>
        <v/>
      </c>
      <c r="I1009" s="17">
        <f>IF($C1009&lt;&gt;"دستمزد گروهی","—",IF($H1009="","",IF(ROUND($H1009-IF($G1009="",0,$G1009),0)=0,"√","▲ مغایرت "&amp;TEXT(IF($G1009="",0,$G1009)-$H1009,"#,##0"))))</f>
        <v/>
      </c>
      <c r="J1009" s="18" t="n"/>
    </row>
    <row r="1010">
      <c r="A1010" s="19">
        <f>IF($B1010="","",COUNTA($B$9:$B1010))</f>
        <v/>
      </c>
      <c r="B1010" s="11" t="n"/>
      <c r="C1010" s="12" t="n"/>
      <c r="D1010" s="12" t="n"/>
      <c r="E1010" s="13" t="n"/>
      <c r="F1010" s="20">
        <f>IF($E1010="","",IF($C1010="دستمزد گروهی",IFERROR(VLOOKUP($E1010,WGTbl,2,0),"کد ناشناخته"),IFERROR(IF(VLOOKUP($E1010,AcctTblE,4,0)="","(بدون نام)",VLOOKUP($E1010,AcctTblE,4,0)),"کد ناشناخته")))</f>
        <v/>
      </c>
      <c r="G1010" s="15" t="n"/>
      <c r="H1010" s="21">
        <f>IF(OR($C1010&lt;&gt;"دستمزد گروهی",$D1010=""),"",SUMIFS(ShareAmt,ShareLink,$D1010))</f>
        <v/>
      </c>
      <c r="I1010" s="22">
        <f>IF($C1010&lt;&gt;"دستمزد گروهی","—",IF($H1010="","",IF(ROUND($H1010-IF($G1010="",0,$G1010),0)=0,"√","▲ مغایرت "&amp;TEXT(IF($G1010="",0,$G1010)-$H1010,"#,##0"))))</f>
        <v/>
      </c>
      <c r="J1010" s="18" t="n"/>
    </row>
    <row r="1011">
      <c r="A1011" s="10">
        <f>IF($B1011="","",COUNTA($B$9:$B1011))</f>
        <v/>
      </c>
      <c r="B1011" s="11" t="n"/>
      <c r="C1011" s="12" t="n"/>
      <c r="D1011" s="12" t="n"/>
      <c r="E1011" s="13" t="n"/>
      <c r="F1011" s="14">
        <f>IF($E1011="","",IF($C1011="دستمزد گروهی",IFERROR(VLOOKUP($E1011,WGTbl,2,0),"کد ناشناخته"),IFERROR(IF(VLOOKUP($E1011,AcctTblE,4,0)="","(بدون نام)",VLOOKUP($E1011,AcctTblE,4,0)),"کد ناشناخته")))</f>
        <v/>
      </c>
      <c r="G1011" s="15" t="n"/>
      <c r="H1011" s="16">
        <f>IF(OR($C1011&lt;&gt;"دستمزد گروهی",$D1011=""),"",SUMIFS(ShareAmt,ShareLink,$D1011))</f>
        <v/>
      </c>
      <c r="I1011" s="17">
        <f>IF($C1011&lt;&gt;"دستمزد گروهی","—",IF($H1011="","",IF(ROUND($H1011-IF($G1011="",0,$G1011),0)=0,"√","▲ مغایرت "&amp;TEXT(IF($G1011="",0,$G1011)-$H1011,"#,##0"))))</f>
        <v/>
      </c>
      <c r="J1011" s="18" t="n"/>
    </row>
    <row r="1012">
      <c r="A1012" s="19">
        <f>IF($B1012="","",COUNTA($B$9:$B1012))</f>
        <v/>
      </c>
      <c r="B1012" s="11" t="n"/>
      <c r="C1012" s="12" t="n"/>
      <c r="D1012" s="12" t="n"/>
      <c r="E1012" s="13" t="n"/>
      <c r="F1012" s="20">
        <f>IF($E1012="","",IF($C1012="دستمزد گروهی",IFERROR(VLOOKUP($E1012,WGTbl,2,0),"کد ناشناخته"),IFERROR(IF(VLOOKUP($E1012,AcctTblE,4,0)="","(بدون نام)",VLOOKUP($E1012,AcctTblE,4,0)),"کد ناشناخته")))</f>
        <v/>
      </c>
      <c r="G1012" s="15" t="n"/>
      <c r="H1012" s="21">
        <f>IF(OR($C1012&lt;&gt;"دستمزد گروهی",$D1012=""),"",SUMIFS(ShareAmt,ShareLink,$D1012))</f>
        <v/>
      </c>
      <c r="I1012" s="22">
        <f>IF($C1012&lt;&gt;"دستمزد گروهی","—",IF($H1012="","",IF(ROUND($H1012-IF($G1012="",0,$G1012),0)=0,"√","▲ مغایرت "&amp;TEXT(IF($G1012="",0,$G1012)-$H1012,"#,##0"))))</f>
        <v/>
      </c>
      <c r="J1012" s="18" t="n"/>
    </row>
    <row r="1013">
      <c r="A1013" s="10">
        <f>IF($B1013="","",COUNTA($B$9:$B1013))</f>
        <v/>
      </c>
      <c r="B1013" s="11" t="n"/>
      <c r="C1013" s="12" t="n"/>
      <c r="D1013" s="12" t="n"/>
      <c r="E1013" s="13" t="n"/>
      <c r="F1013" s="14">
        <f>IF($E1013="","",IF($C1013="دستمزد گروهی",IFERROR(VLOOKUP($E1013,WGTbl,2,0),"کد ناشناخته"),IFERROR(IF(VLOOKUP($E1013,AcctTblE,4,0)="","(بدون نام)",VLOOKUP($E1013,AcctTblE,4,0)),"کد ناشناخته")))</f>
        <v/>
      </c>
      <c r="G1013" s="15" t="n"/>
      <c r="H1013" s="16">
        <f>IF(OR($C1013&lt;&gt;"دستمزد گروهی",$D1013=""),"",SUMIFS(ShareAmt,ShareLink,$D1013))</f>
        <v/>
      </c>
      <c r="I1013" s="17">
        <f>IF($C1013&lt;&gt;"دستمزد گروهی","—",IF($H1013="","",IF(ROUND($H1013-IF($G1013="",0,$G1013),0)=0,"√","▲ مغایرت "&amp;TEXT(IF($G1013="",0,$G1013)-$H1013,"#,##0"))))</f>
        <v/>
      </c>
      <c r="J1013" s="18" t="n"/>
    </row>
    <row r="1014">
      <c r="A1014" s="19">
        <f>IF($B1014="","",COUNTA($B$9:$B1014))</f>
        <v/>
      </c>
      <c r="B1014" s="11" t="n"/>
      <c r="C1014" s="12" t="n"/>
      <c r="D1014" s="12" t="n"/>
      <c r="E1014" s="13" t="n"/>
      <c r="F1014" s="20">
        <f>IF($E1014="","",IF($C1014="دستمزد گروهی",IFERROR(VLOOKUP($E1014,WGTbl,2,0),"کد ناشناخته"),IFERROR(IF(VLOOKUP($E1014,AcctTblE,4,0)="","(بدون نام)",VLOOKUP($E1014,AcctTblE,4,0)),"کد ناشناخته")))</f>
        <v/>
      </c>
      <c r="G1014" s="15" t="n"/>
      <c r="H1014" s="21">
        <f>IF(OR($C1014&lt;&gt;"دستمزد گروهی",$D1014=""),"",SUMIFS(ShareAmt,ShareLink,$D1014))</f>
        <v/>
      </c>
      <c r="I1014" s="22">
        <f>IF($C1014&lt;&gt;"دستمزد گروهی","—",IF($H1014="","",IF(ROUND($H1014-IF($G1014="",0,$G1014),0)=0,"√","▲ مغایرت "&amp;TEXT(IF($G1014="",0,$G1014)-$H1014,"#,##0"))))</f>
        <v/>
      </c>
      <c r="J1014" s="18" t="n"/>
    </row>
    <row r="1015">
      <c r="A1015" s="10">
        <f>IF($B1015="","",COUNTA($B$9:$B1015))</f>
        <v/>
      </c>
      <c r="B1015" s="11" t="n"/>
      <c r="C1015" s="12" t="n"/>
      <c r="D1015" s="12" t="n"/>
      <c r="E1015" s="13" t="n"/>
      <c r="F1015" s="14">
        <f>IF($E1015="","",IF($C1015="دستمزد گروهی",IFERROR(VLOOKUP($E1015,WGTbl,2,0),"کد ناشناخته"),IFERROR(IF(VLOOKUP($E1015,AcctTblE,4,0)="","(بدون نام)",VLOOKUP($E1015,AcctTblE,4,0)),"کد ناشناخته")))</f>
        <v/>
      </c>
      <c r="G1015" s="15" t="n"/>
      <c r="H1015" s="16">
        <f>IF(OR($C1015&lt;&gt;"دستمزد گروهی",$D1015=""),"",SUMIFS(ShareAmt,ShareLink,$D1015))</f>
        <v/>
      </c>
      <c r="I1015" s="17">
        <f>IF($C1015&lt;&gt;"دستمزد گروهی","—",IF($H1015="","",IF(ROUND($H1015-IF($G1015="",0,$G1015),0)=0,"√","▲ مغایرت "&amp;TEXT(IF($G1015="",0,$G1015)-$H1015,"#,##0"))))</f>
        <v/>
      </c>
      <c r="J1015" s="18" t="n"/>
    </row>
    <row r="1016">
      <c r="A1016" s="19">
        <f>IF($B1016="","",COUNTA($B$9:$B1016))</f>
        <v/>
      </c>
      <c r="B1016" s="11" t="n"/>
      <c r="C1016" s="12" t="n"/>
      <c r="D1016" s="12" t="n"/>
      <c r="E1016" s="13" t="n"/>
      <c r="F1016" s="20">
        <f>IF($E1016="","",IF($C1016="دستمزد گروهی",IFERROR(VLOOKUP($E1016,WGTbl,2,0),"کد ناشناخته"),IFERROR(IF(VLOOKUP($E1016,AcctTblE,4,0)="","(بدون نام)",VLOOKUP($E1016,AcctTblE,4,0)),"کد ناشناخته")))</f>
        <v/>
      </c>
      <c r="G1016" s="15" t="n"/>
      <c r="H1016" s="21">
        <f>IF(OR($C1016&lt;&gt;"دستمزد گروهی",$D1016=""),"",SUMIFS(ShareAmt,ShareLink,$D1016))</f>
        <v/>
      </c>
      <c r="I1016" s="22">
        <f>IF($C1016&lt;&gt;"دستمزد گروهی","—",IF($H1016="","",IF(ROUND($H1016-IF($G1016="",0,$G1016),0)=0,"√","▲ مغایرت "&amp;TEXT(IF($G1016="",0,$G1016)-$H1016,"#,##0"))))</f>
        <v/>
      </c>
      <c r="J1016" s="18" t="n"/>
    </row>
    <row r="1017">
      <c r="A1017" s="10">
        <f>IF($B1017="","",COUNTA($B$9:$B1017))</f>
        <v/>
      </c>
      <c r="B1017" s="11" t="n"/>
      <c r="C1017" s="12" t="n"/>
      <c r="D1017" s="12" t="n"/>
      <c r="E1017" s="13" t="n"/>
      <c r="F1017" s="14">
        <f>IF($E1017="","",IF($C1017="دستمزد گروهی",IFERROR(VLOOKUP($E1017,WGTbl,2,0),"کد ناشناخته"),IFERROR(IF(VLOOKUP($E1017,AcctTblE,4,0)="","(بدون نام)",VLOOKUP($E1017,AcctTblE,4,0)),"کد ناشناخته")))</f>
        <v/>
      </c>
      <c r="G1017" s="15" t="n"/>
      <c r="H1017" s="16">
        <f>IF(OR($C1017&lt;&gt;"دستمزد گروهی",$D1017=""),"",SUMIFS(ShareAmt,ShareLink,$D1017))</f>
        <v/>
      </c>
      <c r="I1017" s="17">
        <f>IF($C1017&lt;&gt;"دستمزد گروهی","—",IF($H1017="","",IF(ROUND($H1017-IF($G1017="",0,$G1017),0)=0,"√","▲ مغایرت "&amp;TEXT(IF($G1017="",0,$G1017)-$H1017,"#,##0"))))</f>
        <v/>
      </c>
      <c r="J1017" s="18" t="n"/>
    </row>
    <row r="1018">
      <c r="A1018" s="19">
        <f>IF($B1018="","",COUNTA($B$9:$B1018))</f>
        <v/>
      </c>
      <c r="B1018" s="11" t="n"/>
      <c r="C1018" s="12" t="n"/>
      <c r="D1018" s="12" t="n"/>
      <c r="E1018" s="13" t="n"/>
      <c r="F1018" s="20">
        <f>IF($E1018="","",IF($C1018="دستمزد گروهی",IFERROR(VLOOKUP($E1018,WGTbl,2,0),"کد ناشناخته"),IFERROR(IF(VLOOKUP($E1018,AcctTblE,4,0)="","(بدون نام)",VLOOKUP($E1018,AcctTblE,4,0)),"کد ناشناخته")))</f>
        <v/>
      </c>
      <c r="G1018" s="15" t="n"/>
      <c r="H1018" s="21">
        <f>IF(OR($C1018&lt;&gt;"دستمزد گروهی",$D1018=""),"",SUMIFS(ShareAmt,ShareLink,$D1018))</f>
        <v/>
      </c>
      <c r="I1018" s="22">
        <f>IF($C1018&lt;&gt;"دستمزد گروهی","—",IF($H1018="","",IF(ROUND($H1018-IF($G1018="",0,$G1018),0)=0,"√","▲ مغایرت "&amp;TEXT(IF($G1018="",0,$G1018)-$H1018,"#,##0"))))</f>
        <v/>
      </c>
      <c r="J1018" s="18" t="n"/>
    </row>
    <row r="1019">
      <c r="A1019" s="10">
        <f>IF($B1019="","",COUNTA($B$9:$B1019))</f>
        <v/>
      </c>
      <c r="B1019" s="11" t="n"/>
      <c r="C1019" s="12" t="n"/>
      <c r="D1019" s="12" t="n"/>
      <c r="E1019" s="13" t="n"/>
      <c r="F1019" s="14">
        <f>IF($E1019="","",IF($C1019="دستمزد گروهی",IFERROR(VLOOKUP($E1019,WGTbl,2,0),"کد ناشناخته"),IFERROR(IF(VLOOKUP($E1019,AcctTblE,4,0)="","(بدون نام)",VLOOKUP($E1019,AcctTblE,4,0)),"کد ناشناخته")))</f>
        <v/>
      </c>
      <c r="G1019" s="15" t="n"/>
      <c r="H1019" s="16">
        <f>IF(OR($C1019&lt;&gt;"دستمزد گروهی",$D1019=""),"",SUMIFS(ShareAmt,ShareLink,$D1019))</f>
        <v/>
      </c>
      <c r="I1019" s="17">
        <f>IF($C1019&lt;&gt;"دستمزد گروهی","—",IF($H1019="","",IF(ROUND($H1019-IF($G1019="",0,$G1019),0)=0,"√","▲ مغایرت "&amp;TEXT(IF($G1019="",0,$G1019)-$H1019,"#,##0"))))</f>
        <v/>
      </c>
      <c r="J1019" s="18" t="n"/>
    </row>
    <row r="1020">
      <c r="A1020" s="19">
        <f>IF($B1020="","",COUNTA($B$9:$B1020))</f>
        <v/>
      </c>
      <c r="B1020" s="11" t="n"/>
      <c r="C1020" s="12" t="n"/>
      <c r="D1020" s="12" t="n"/>
      <c r="E1020" s="13" t="n"/>
      <c r="F1020" s="20">
        <f>IF($E1020="","",IF($C1020="دستمزد گروهی",IFERROR(VLOOKUP($E1020,WGTbl,2,0),"کد ناشناخته"),IFERROR(IF(VLOOKUP($E1020,AcctTblE,4,0)="","(بدون نام)",VLOOKUP($E1020,AcctTblE,4,0)),"کد ناشناخته")))</f>
        <v/>
      </c>
      <c r="G1020" s="15" t="n"/>
      <c r="H1020" s="21">
        <f>IF(OR($C1020&lt;&gt;"دستمزد گروهی",$D1020=""),"",SUMIFS(ShareAmt,ShareLink,$D1020))</f>
        <v/>
      </c>
      <c r="I1020" s="22">
        <f>IF($C1020&lt;&gt;"دستمزد گروهی","—",IF($H1020="","",IF(ROUND($H1020-IF($G1020="",0,$G1020),0)=0,"√","▲ مغایرت "&amp;TEXT(IF($G1020="",0,$G1020)-$H1020,"#,##0"))))</f>
        <v/>
      </c>
      <c r="J1020" s="18" t="n"/>
    </row>
    <row r="1021">
      <c r="A1021" s="10">
        <f>IF($B1021="","",COUNTA($B$9:$B1021))</f>
        <v/>
      </c>
      <c r="B1021" s="11" t="n"/>
      <c r="C1021" s="12" t="n"/>
      <c r="D1021" s="12" t="n"/>
      <c r="E1021" s="13" t="n"/>
      <c r="F1021" s="14">
        <f>IF($E1021="","",IF($C1021="دستمزد گروهی",IFERROR(VLOOKUP($E1021,WGTbl,2,0),"کد ناشناخته"),IFERROR(IF(VLOOKUP($E1021,AcctTblE,4,0)="","(بدون نام)",VLOOKUP($E1021,AcctTblE,4,0)),"کد ناشناخته")))</f>
        <v/>
      </c>
      <c r="G1021" s="15" t="n"/>
      <c r="H1021" s="16">
        <f>IF(OR($C1021&lt;&gt;"دستمزد گروهی",$D1021=""),"",SUMIFS(ShareAmt,ShareLink,$D1021))</f>
        <v/>
      </c>
      <c r="I1021" s="17">
        <f>IF($C1021&lt;&gt;"دستمزد گروهی","—",IF($H1021="","",IF(ROUND($H1021-IF($G1021="",0,$G1021),0)=0,"√","▲ مغایرت "&amp;TEXT(IF($G1021="",0,$G1021)-$H1021,"#,##0"))))</f>
        <v/>
      </c>
      <c r="J1021" s="18" t="n"/>
    </row>
    <row r="1022">
      <c r="A1022" s="19">
        <f>IF($B1022="","",COUNTA($B$9:$B1022))</f>
        <v/>
      </c>
      <c r="B1022" s="11" t="n"/>
      <c r="C1022" s="12" t="n"/>
      <c r="D1022" s="12" t="n"/>
      <c r="E1022" s="13" t="n"/>
      <c r="F1022" s="20">
        <f>IF($E1022="","",IF($C1022="دستمزد گروهی",IFERROR(VLOOKUP($E1022,WGTbl,2,0),"کد ناشناخته"),IFERROR(IF(VLOOKUP($E1022,AcctTblE,4,0)="","(بدون نام)",VLOOKUP($E1022,AcctTblE,4,0)),"کد ناشناخته")))</f>
        <v/>
      </c>
      <c r="G1022" s="15" t="n"/>
      <c r="H1022" s="21">
        <f>IF(OR($C1022&lt;&gt;"دستمزد گروهی",$D1022=""),"",SUMIFS(ShareAmt,ShareLink,$D1022))</f>
        <v/>
      </c>
      <c r="I1022" s="22">
        <f>IF($C1022&lt;&gt;"دستمزد گروهی","—",IF($H1022="","",IF(ROUND($H1022-IF($G1022="",0,$G1022),0)=0,"√","▲ مغایرت "&amp;TEXT(IF($G1022="",0,$G1022)-$H1022,"#,##0"))))</f>
        <v/>
      </c>
      <c r="J1022" s="18" t="n"/>
    </row>
    <row r="1023">
      <c r="A1023" s="10">
        <f>IF($B1023="","",COUNTA($B$9:$B1023))</f>
        <v/>
      </c>
      <c r="B1023" s="11" t="n"/>
      <c r="C1023" s="12" t="n"/>
      <c r="D1023" s="12" t="n"/>
      <c r="E1023" s="13" t="n"/>
      <c r="F1023" s="14">
        <f>IF($E1023="","",IF($C1023="دستمزد گروهی",IFERROR(VLOOKUP($E1023,WGTbl,2,0),"کد ناشناخته"),IFERROR(IF(VLOOKUP($E1023,AcctTblE,4,0)="","(بدون نام)",VLOOKUP($E1023,AcctTblE,4,0)),"کد ناشناخته")))</f>
        <v/>
      </c>
      <c r="G1023" s="15" t="n"/>
      <c r="H1023" s="16">
        <f>IF(OR($C1023&lt;&gt;"دستمزد گروهی",$D1023=""),"",SUMIFS(ShareAmt,ShareLink,$D1023))</f>
        <v/>
      </c>
      <c r="I1023" s="17">
        <f>IF($C1023&lt;&gt;"دستمزد گروهی","—",IF($H1023="","",IF(ROUND($H1023-IF($G1023="",0,$G1023),0)=0,"√","▲ مغایرت "&amp;TEXT(IF($G1023="",0,$G1023)-$H1023,"#,##0"))))</f>
        <v/>
      </c>
      <c r="J1023" s="18" t="n"/>
    </row>
    <row r="1024">
      <c r="A1024" s="19">
        <f>IF($B1024="","",COUNTA($B$9:$B1024))</f>
        <v/>
      </c>
      <c r="B1024" s="11" t="n"/>
      <c r="C1024" s="12" t="n"/>
      <c r="D1024" s="12" t="n"/>
      <c r="E1024" s="13" t="n"/>
      <c r="F1024" s="20">
        <f>IF($E1024="","",IF($C1024="دستمزد گروهی",IFERROR(VLOOKUP($E1024,WGTbl,2,0),"کد ناشناخته"),IFERROR(IF(VLOOKUP($E1024,AcctTblE,4,0)="","(بدون نام)",VLOOKUP($E1024,AcctTblE,4,0)),"کد ناشناخته")))</f>
        <v/>
      </c>
      <c r="G1024" s="15" t="n"/>
      <c r="H1024" s="21">
        <f>IF(OR($C1024&lt;&gt;"دستمزد گروهی",$D1024=""),"",SUMIFS(ShareAmt,ShareLink,$D1024))</f>
        <v/>
      </c>
      <c r="I1024" s="22">
        <f>IF($C1024&lt;&gt;"دستمزد گروهی","—",IF($H1024="","",IF(ROUND($H1024-IF($G1024="",0,$G1024),0)=0,"√","▲ مغایرت "&amp;TEXT(IF($G1024="",0,$G1024)-$H1024,"#,##0"))))</f>
        <v/>
      </c>
      <c r="J1024" s="18" t="n"/>
    </row>
    <row r="1025">
      <c r="A1025" s="10">
        <f>IF($B1025="","",COUNTA($B$9:$B1025))</f>
        <v/>
      </c>
      <c r="B1025" s="11" t="n"/>
      <c r="C1025" s="12" t="n"/>
      <c r="D1025" s="12" t="n"/>
      <c r="E1025" s="13" t="n"/>
      <c r="F1025" s="14">
        <f>IF($E1025="","",IF($C1025="دستمزد گروهی",IFERROR(VLOOKUP($E1025,WGTbl,2,0),"کد ناشناخته"),IFERROR(IF(VLOOKUP($E1025,AcctTblE,4,0)="","(بدون نام)",VLOOKUP($E1025,AcctTblE,4,0)),"کد ناشناخته")))</f>
        <v/>
      </c>
      <c r="G1025" s="15" t="n"/>
      <c r="H1025" s="16">
        <f>IF(OR($C1025&lt;&gt;"دستمزد گروهی",$D1025=""),"",SUMIFS(ShareAmt,ShareLink,$D1025))</f>
        <v/>
      </c>
      <c r="I1025" s="17">
        <f>IF($C1025&lt;&gt;"دستمزد گروهی","—",IF($H1025="","",IF(ROUND($H1025-IF($G1025="",0,$G1025),0)=0,"√","▲ مغایرت "&amp;TEXT(IF($G1025="",0,$G1025)-$H1025,"#,##0"))))</f>
        <v/>
      </c>
      <c r="J1025" s="18" t="n"/>
    </row>
    <row r="1026">
      <c r="A1026" s="19">
        <f>IF($B1026="","",COUNTA($B$9:$B1026))</f>
        <v/>
      </c>
      <c r="B1026" s="11" t="n"/>
      <c r="C1026" s="12" t="n"/>
      <c r="D1026" s="12" t="n"/>
      <c r="E1026" s="13" t="n"/>
      <c r="F1026" s="20">
        <f>IF($E1026="","",IF($C1026="دستمزد گروهی",IFERROR(VLOOKUP($E1026,WGTbl,2,0),"کد ناشناخته"),IFERROR(IF(VLOOKUP($E1026,AcctTblE,4,0)="","(بدون نام)",VLOOKUP($E1026,AcctTblE,4,0)),"کد ناشناخته")))</f>
        <v/>
      </c>
      <c r="G1026" s="15" t="n"/>
      <c r="H1026" s="21">
        <f>IF(OR($C1026&lt;&gt;"دستمزد گروهی",$D1026=""),"",SUMIFS(ShareAmt,ShareLink,$D1026))</f>
        <v/>
      </c>
      <c r="I1026" s="22">
        <f>IF($C1026&lt;&gt;"دستمزد گروهی","—",IF($H1026="","",IF(ROUND($H1026-IF($G1026="",0,$G1026),0)=0,"√","▲ مغایرت "&amp;TEXT(IF($G1026="",0,$G1026)-$H1026,"#,##0"))))</f>
        <v/>
      </c>
      <c r="J1026" s="18" t="n"/>
    </row>
    <row r="1027">
      <c r="A1027" s="10">
        <f>IF($B1027="","",COUNTA($B$9:$B1027))</f>
        <v/>
      </c>
      <c r="B1027" s="11" t="n"/>
      <c r="C1027" s="12" t="n"/>
      <c r="D1027" s="12" t="n"/>
      <c r="E1027" s="13" t="n"/>
      <c r="F1027" s="14">
        <f>IF($E1027="","",IF($C1027="دستمزد گروهی",IFERROR(VLOOKUP($E1027,WGTbl,2,0),"کد ناشناخته"),IFERROR(IF(VLOOKUP($E1027,AcctTblE,4,0)="","(بدون نام)",VLOOKUP($E1027,AcctTblE,4,0)),"کد ناشناخته")))</f>
        <v/>
      </c>
      <c r="G1027" s="15" t="n"/>
      <c r="H1027" s="16">
        <f>IF(OR($C1027&lt;&gt;"دستمزد گروهی",$D1027=""),"",SUMIFS(ShareAmt,ShareLink,$D1027))</f>
        <v/>
      </c>
      <c r="I1027" s="17">
        <f>IF($C1027&lt;&gt;"دستمزد گروهی","—",IF($H1027="","",IF(ROUND($H1027-IF($G1027="",0,$G1027),0)=0,"√","▲ مغایرت "&amp;TEXT(IF($G1027="",0,$G1027)-$H1027,"#,##0"))))</f>
        <v/>
      </c>
      <c r="J1027" s="18" t="n"/>
    </row>
    <row r="1028">
      <c r="A1028" s="19">
        <f>IF($B1028="","",COUNTA($B$9:$B1028))</f>
        <v/>
      </c>
      <c r="B1028" s="11" t="n"/>
      <c r="C1028" s="12" t="n"/>
      <c r="D1028" s="12" t="n"/>
      <c r="E1028" s="13" t="n"/>
      <c r="F1028" s="20">
        <f>IF($E1028="","",IF($C1028="دستمزد گروهی",IFERROR(VLOOKUP($E1028,WGTbl,2,0),"کد ناشناخته"),IFERROR(IF(VLOOKUP($E1028,AcctTblE,4,0)="","(بدون نام)",VLOOKUP($E1028,AcctTblE,4,0)),"کد ناشناخته")))</f>
        <v/>
      </c>
      <c r="G1028" s="15" t="n"/>
      <c r="H1028" s="21">
        <f>IF(OR($C1028&lt;&gt;"دستمزد گروهی",$D1028=""),"",SUMIFS(ShareAmt,ShareLink,$D1028))</f>
        <v/>
      </c>
      <c r="I1028" s="22">
        <f>IF($C1028&lt;&gt;"دستمزد گروهی","—",IF($H1028="","",IF(ROUND($H1028-IF($G1028="",0,$G1028),0)=0,"√","▲ مغایرت "&amp;TEXT(IF($G1028="",0,$G1028)-$H1028,"#,##0"))))</f>
        <v/>
      </c>
      <c r="J1028" s="18" t="n"/>
    </row>
    <row r="1029">
      <c r="A1029" s="10">
        <f>IF($B1029="","",COUNTA($B$9:$B1029))</f>
        <v/>
      </c>
      <c r="B1029" s="11" t="n"/>
      <c r="C1029" s="12" t="n"/>
      <c r="D1029" s="12" t="n"/>
      <c r="E1029" s="13" t="n"/>
      <c r="F1029" s="14">
        <f>IF($E1029="","",IF($C1029="دستمزد گروهی",IFERROR(VLOOKUP($E1029,WGTbl,2,0),"کد ناشناخته"),IFERROR(IF(VLOOKUP($E1029,AcctTblE,4,0)="","(بدون نام)",VLOOKUP($E1029,AcctTblE,4,0)),"کد ناشناخته")))</f>
        <v/>
      </c>
      <c r="G1029" s="15" t="n"/>
      <c r="H1029" s="16">
        <f>IF(OR($C1029&lt;&gt;"دستمزد گروهی",$D1029=""),"",SUMIFS(ShareAmt,ShareLink,$D1029))</f>
        <v/>
      </c>
      <c r="I1029" s="17">
        <f>IF($C1029&lt;&gt;"دستمزد گروهی","—",IF($H1029="","",IF(ROUND($H1029-IF($G1029="",0,$G1029),0)=0,"√","▲ مغایرت "&amp;TEXT(IF($G1029="",0,$G1029)-$H1029,"#,##0"))))</f>
        <v/>
      </c>
      <c r="J1029" s="18" t="n"/>
    </row>
    <row r="1030">
      <c r="A1030" s="19">
        <f>IF($B1030="","",COUNTA($B$9:$B1030))</f>
        <v/>
      </c>
      <c r="B1030" s="11" t="n"/>
      <c r="C1030" s="12" t="n"/>
      <c r="D1030" s="12" t="n"/>
      <c r="E1030" s="13" t="n"/>
      <c r="F1030" s="20">
        <f>IF($E1030="","",IF($C1030="دستمزد گروهی",IFERROR(VLOOKUP($E1030,WGTbl,2,0),"کد ناشناخته"),IFERROR(IF(VLOOKUP($E1030,AcctTblE,4,0)="","(بدون نام)",VLOOKUP($E1030,AcctTblE,4,0)),"کد ناشناخته")))</f>
        <v/>
      </c>
      <c r="G1030" s="15" t="n"/>
      <c r="H1030" s="21">
        <f>IF(OR($C1030&lt;&gt;"دستمزد گروهی",$D1030=""),"",SUMIFS(ShareAmt,ShareLink,$D1030))</f>
        <v/>
      </c>
      <c r="I1030" s="22">
        <f>IF($C1030&lt;&gt;"دستمزد گروهی","—",IF($H1030="","",IF(ROUND($H1030-IF($G1030="",0,$G1030),0)=0,"√","▲ مغایرت "&amp;TEXT(IF($G1030="",0,$G1030)-$H1030,"#,##0"))))</f>
        <v/>
      </c>
      <c r="J1030" s="18" t="n"/>
    </row>
    <row r="1031">
      <c r="A1031" s="10">
        <f>IF($B1031="","",COUNTA($B$9:$B1031))</f>
        <v/>
      </c>
      <c r="B1031" s="11" t="n"/>
      <c r="C1031" s="12" t="n"/>
      <c r="D1031" s="12" t="n"/>
      <c r="E1031" s="13" t="n"/>
      <c r="F1031" s="14">
        <f>IF($E1031="","",IF($C1031="دستمزد گروهی",IFERROR(VLOOKUP($E1031,WGTbl,2,0),"کد ناشناخته"),IFERROR(IF(VLOOKUP($E1031,AcctTblE,4,0)="","(بدون نام)",VLOOKUP($E1031,AcctTblE,4,0)),"کد ناشناخته")))</f>
        <v/>
      </c>
      <c r="G1031" s="15" t="n"/>
      <c r="H1031" s="16">
        <f>IF(OR($C1031&lt;&gt;"دستمزد گروهی",$D1031=""),"",SUMIFS(ShareAmt,ShareLink,$D1031))</f>
        <v/>
      </c>
      <c r="I1031" s="17">
        <f>IF($C1031&lt;&gt;"دستمزد گروهی","—",IF($H1031="","",IF(ROUND($H1031-IF($G1031="",0,$G1031),0)=0,"√","▲ مغایرت "&amp;TEXT(IF($G1031="",0,$G1031)-$H1031,"#,##0"))))</f>
        <v/>
      </c>
      <c r="J1031" s="18" t="n"/>
    </row>
    <row r="1032">
      <c r="A1032" s="19">
        <f>IF($B1032="","",COUNTA($B$9:$B1032))</f>
        <v/>
      </c>
      <c r="B1032" s="11" t="n"/>
      <c r="C1032" s="12" t="n"/>
      <c r="D1032" s="12" t="n"/>
      <c r="E1032" s="13" t="n"/>
      <c r="F1032" s="20">
        <f>IF($E1032="","",IF($C1032="دستمزد گروهی",IFERROR(VLOOKUP($E1032,WGTbl,2,0),"کد ناشناخته"),IFERROR(IF(VLOOKUP($E1032,AcctTblE,4,0)="","(بدون نام)",VLOOKUP($E1032,AcctTblE,4,0)),"کد ناشناخته")))</f>
        <v/>
      </c>
      <c r="G1032" s="15" t="n"/>
      <c r="H1032" s="21">
        <f>IF(OR($C1032&lt;&gt;"دستمزد گروهی",$D1032=""),"",SUMIFS(ShareAmt,ShareLink,$D1032))</f>
        <v/>
      </c>
      <c r="I1032" s="22">
        <f>IF($C1032&lt;&gt;"دستمزد گروهی","—",IF($H1032="","",IF(ROUND($H1032-IF($G1032="",0,$G1032),0)=0,"√","▲ مغایرت "&amp;TEXT(IF($G1032="",0,$G1032)-$H1032,"#,##0"))))</f>
        <v/>
      </c>
      <c r="J1032" s="18" t="n"/>
    </row>
    <row r="1033">
      <c r="A1033" s="10">
        <f>IF($B1033="","",COUNTA($B$9:$B1033))</f>
        <v/>
      </c>
      <c r="B1033" s="11" t="n"/>
      <c r="C1033" s="12" t="n"/>
      <c r="D1033" s="12" t="n"/>
      <c r="E1033" s="13" t="n"/>
      <c r="F1033" s="14">
        <f>IF($E1033="","",IF($C1033="دستمزد گروهی",IFERROR(VLOOKUP($E1033,WGTbl,2,0),"کد ناشناخته"),IFERROR(IF(VLOOKUP($E1033,AcctTblE,4,0)="","(بدون نام)",VLOOKUP($E1033,AcctTblE,4,0)),"کد ناشناخته")))</f>
        <v/>
      </c>
      <c r="G1033" s="15" t="n"/>
      <c r="H1033" s="16">
        <f>IF(OR($C1033&lt;&gt;"دستمزد گروهی",$D1033=""),"",SUMIFS(ShareAmt,ShareLink,$D1033))</f>
        <v/>
      </c>
      <c r="I1033" s="17">
        <f>IF($C1033&lt;&gt;"دستمزد گروهی","—",IF($H1033="","",IF(ROUND($H1033-IF($G1033="",0,$G1033),0)=0,"√","▲ مغایرت "&amp;TEXT(IF($G1033="",0,$G1033)-$H1033,"#,##0"))))</f>
        <v/>
      </c>
      <c r="J1033" s="18" t="n"/>
    </row>
    <row r="1034">
      <c r="A1034" s="19">
        <f>IF($B1034="","",COUNTA($B$9:$B1034))</f>
        <v/>
      </c>
      <c r="B1034" s="11" t="n"/>
      <c r="C1034" s="12" t="n"/>
      <c r="D1034" s="12" t="n"/>
      <c r="E1034" s="13" t="n"/>
      <c r="F1034" s="20">
        <f>IF($E1034="","",IF($C1034="دستمزد گروهی",IFERROR(VLOOKUP($E1034,WGTbl,2,0),"کد ناشناخته"),IFERROR(IF(VLOOKUP($E1034,AcctTblE,4,0)="","(بدون نام)",VLOOKUP($E1034,AcctTblE,4,0)),"کد ناشناخته")))</f>
        <v/>
      </c>
      <c r="G1034" s="15" t="n"/>
      <c r="H1034" s="21">
        <f>IF(OR($C1034&lt;&gt;"دستمزد گروهی",$D1034=""),"",SUMIFS(ShareAmt,ShareLink,$D1034))</f>
        <v/>
      </c>
      <c r="I1034" s="22">
        <f>IF($C1034&lt;&gt;"دستمزد گروهی","—",IF($H1034="","",IF(ROUND($H1034-IF($G1034="",0,$G1034),0)=0,"√","▲ مغایرت "&amp;TEXT(IF($G1034="",0,$G1034)-$H1034,"#,##0"))))</f>
        <v/>
      </c>
      <c r="J1034" s="18" t="n"/>
    </row>
    <row r="1035">
      <c r="A1035" s="10">
        <f>IF($B1035="","",COUNTA($B$9:$B1035))</f>
        <v/>
      </c>
      <c r="B1035" s="11" t="n"/>
      <c r="C1035" s="12" t="n"/>
      <c r="D1035" s="12" t="n"/>
      <c r="E1035" s="13" t="n"/>
      <c r="F1035" s="14">
        <f>IF($E1035="","",IF($C1035="دستمزد گروهی",IFERROR(VLOOKUP($E1035,WGTbl,2,0),"کد ناشناخته"),IFERROR(IF(VLOOKUP($E1035,AcctTblE,4,0)="","(بدون نام)",VLOOKUP($E1035,AcctTblE,4,0)),"کد ناشناخته")))</f>
        <v/>
      </c>
      <c r="G1035" s="15" t="n"/>
      <c r="H1035" s="16">
        <f>IF(OR($C1035&lt;&gt;"دستمزد گروهی",$D1035=""),"",SUMIFS(ShareAmt,ShareLink,$D1035))</f>
        <v/>
      </c>
      <c r="I1035" s="17">
        <f>IF($C1035&lt;&gt;"دستمزد گروهی","—",IF($H1035="","",IF(ROUND($H1035-IF($G1035="",0,$G1035),0)=0,"√","▲ مغایرت "&amp;TEXT(IF($G1035="",0,$G1035)-$H1035,"#,##0"))))</f>
        <v/>
      </c>
      <c r="J1035" s="18" t="n"/>
    </row>
    <row r="1036">
      <c r="A1036" s="19">
        <f>IF($B1036="","",COUNTA($B$9:$B1036))</f>
        <v/>
      </c>
      <c r="B1036" s="11" t="n"/>
      <c r="C1036" s="12" t="n"/>
      <c r="D1036" s="12" t="n"/>
      <c r="E1036" s="13" t="n"/>
      <c r="F1036" s="20">
        <f>IF($E1036="","",IF($C1036="دستمزد گروهی",IFERROR(VLOOKUP($E1036,WGTbl,2,0),"کد ناشناخته"),IFERROR(IF(VLOOKUP($E1036,AcctTblE,4,0)="","(بدون نام)",VLOOKUP($E1036,AcctTblE,4,0)),"کد ناشناخته")))</f>
        <v/>
      </c>
      <c r="G1036" s="15" t="n"/>
      <c r="H1036" s="21">
        <f>IF(OR($C1036&lt;&gt;"دستمزد گروهی",$D1036=""),"",SUMIFS(ShareAmt,ShareLink,$D1036))</f>
        <v/>
      </c>
      <c r="I1036" s="22">
        <f>IF($C1036&lt;&gt;"دستمزد گروهی","—",IF($H1036="","",IF(ROUND($H1036-IF($G1036="",0,$G1036),0)=0,"√","▲ مغایرت "&amp;TEXT(IF($G1036="",0,$G1036)-$H1036,"#,##0"))))</f>
        <v/>
      </c>
      <c r="J1036" s="18" t="n"/>
    </row>
    <row r="1037">
      <c r="A1037" s="10">
        <f>IF($B1037="","",COUNTA($B$9:$B1037))</f>
        <v/>
      </c>
      <c r="B1037" s="11" t="n"/>
      <c r="C1037" s="12" t="n"/>
      <c r="D1037" s="12" t="n"/>
      <c r="E1037" s="13" t="n"/>
      <c r="F1037" s="14">
        <f>IF($E1037="","",IF($C1037="دستمزد گروهی",IFERROR(VLOOKUP($E1037,WGTbl,2,0),"کد ناشناخته"),IFERROR(IF(VLOOKUP($E1037,AcctTblE,4,0)="","(بدون نام)",VLOOKUP($E1037,AcctTblE,4,0)),"کد ناشناخته")))</f>
        <v/>
      </c>
      <c r="G1037" s="15" t="n"/>
      <c r="H1037" s="16">
        <f>IF(OR($C1037&lt;&gt;"دستمزد گروهی",$D1037=""),"",SUMIFS(ShareAmt,ShareLink,$D1037))</f>
        <v/>
      </c>
      <c r="I1037" s="17">
        <f>IF($C1037&lt;&gt;"دستمزد گروهی","—",IF($H1037="","",IF(ROUND($H1037-IF($G1037="",0,$G1037),0)=0,"√","▲ مغایرت "&amp;TEXT(IF($G1037="",0,$G1037)-$H1037,"#,##0"))))</f>
        <v/>
      </c>
      <c r="J1037" s="18" t="n"/>
    </row>
    <row r="1038">
      <c r="A1038" s="19">
        <f>IF($B1038="","",COUNTA($B$9:$B1038))</f>
        <v/>
      </c>
      <c r="B1038" s="11" t="n"/>
      <c r="C1038" s="12" t="n"/>
      <c r="D1038" s="12" t="n"/>
      <c r="E1038" s="13" t="n"/>
      <c r="F1038" s="20">
        <f>IF($E1038="","",IF($C1038="دستمزد گروهی",IFERROR(VLOOKUP($E1038,WGTbl,2,0),"کد ناشناخته"),IFERROR(IF(VLOOKUP($E1038,AcctTblE,4,0)="","(بدون نام)",VLOOKUP($E1038,AcctTblE,4,0)),"کد ناشناخته")))</f>
        <v/>
      </c>
      <c r="G1038" s="15" t="n"/>
      <c r="H1038" s="21">
        <f>IF(OR($C1038&lt;&gt;"دستمزد گروهی",$D1038=""),"",SUMIFS(ShareAmt,ShareLink,$D1038))</f>
        <v/>
      </c>
      <c r="I1038" s="22">
        <f>IF($C1038&lt;&gt;"دستمزد گروهی","—",IF($H1038="","",IF(ROUND($H1038-IF($G1038="",0,$G1038),0)=0,"√","▲ مغایرت "&amp;TEXT(IF($G1038="",0,$G1038)-$H1038,"#,##0"))))</f>
        <v/>
      </c>
      <c r="J1038" s="18" t="n"/>
    </row>
    <row r="1039">
      <c r="A1039" s="10">
        <f>IF($B1039="","",COUNTA($B$9:$B1039))</f>
        <v/>
      </c>
      <c r="B1039" s="11" t="n"/>
      <c r="C1039" s="12" t="n"/>
      <c r="D1039" s="12" t="n"/>
      <c r="E1039" s="13" t="n"/>
      <c r="F1039" s="14">
        <f>IF($E1039="","",IF($C1039="دستمزد گروهی",IFERROR(VLOOKUP($E1039,WGTbl,2,0),"کد ناشناخته"),IFERROR(IF(VLOOKUP($E1039,AcctTblE,4,0)="","(بدون نام)",VLOOKUP($E1039,AcctTblE,4,0)),"کد ناشناخته")))</f>
        <v/>
      </c>
      <c r="G1039" s="15" t="n"/>
      <c r="H1039" s="16">
        <f>IF(OR($C1039&lt;&gt;"دستمزد گروهی",$D1039=""),"",SUMIFS(ShareAmt,ShareLink,$D1039))</f>
        <v/>
      </c>
      <c r="I1039" s="17">
        <f>IF($C1039&lt;&gt;"دستمزد گروهی","—",IF($H1039="","",IF(ROUND($H1039-IF($G1039="",0,$G1039),0)=0,"√","▲ مغایرت "&amp;TEXT(IF($G1039="",0,$G1039)-$H1039,"#,##0"))))</f>
        <v/>
      </c>
      <c r="J1039" s="18" t="n"/>
    </row>
    <row r="1040">
      <c r="A1040" s="19">
        <f>IF($B1040="","",COUNTA($B$9:$B1040))</f>
        <v/>
      </c>
      <c r="B1040" s="11" t="n"/>
      <c r="C1040" s="12" t="n"/>
      <c r="D1040" s="12" t="n"/>
      <c r="E1040" s="13" t="n"/>
      <c r="F1040" s="20">
        <f>IF($E1040="","",IF($C1040="دستمزد گروهی",IFERROR(VLOOKUP($E1040,WGTbl,2,0),"کد ناشناخته"),IFERROR(IF(VLOOKUP($E1040,AcctTblE,4,0)="","(بدون نام)",VLOOKUP($E1040,AcctTblE,4,0)),"کد ناشناخته")))</f>
        <v/>
      </c>
      <c r="G1040" s="15" t="n"/>
      <c r="H1040" s="21">
        <f>IF(OR($C1040&lt;&gt;"دستمزد گروهی",$D1040=""),"",SUMIFS(ShareAmt,ShareLink,$D1040))</f>
        <v/>
      </c>
      <c r="I1040" s="22">
        <f>IF($C1040&lt;&gt;"دستمزد گروهی","—",IF($H1040="","",IF(ROUND($H1040-IF($G1040="",0,$G1040),0)=0,"√","▲ مغایرت "&amp;TEXT(IF($G1040="",0,$G1040)-$H1040,"#,##0"))))</f>
        <v/>
      </c>
      <c r="J1040" s="18" t="n"/>
    </row>
    <row r="1041">
      <c r="A1041" s="10">
        <f>IF($B1041="","",COUNTA($B$9:$B1041))</f>
        <v/>
      </c>
      <c r="B1041" s="11" t="n"/>
      <c r="C1041" s="12" t="n"/>
      <c r="D1041" s="12" t="n"/>
      <c r="E1041" s="13" t="n"/>
      <c r="F1041" s="14">
        <f>IF($E1041="","",IF($C1041="دستمزد گروهی",IFERROR(VLOOKUP($E1041,WGTbl,2,0),"کد ناشناخته"),IFERROR(IF(VLOOKUP($E1041,AcctTblE,4,0)="","(بدون نام)",VLOOKUP($E1041,AcctTblE,4,0)),"کد ناشناخته")))</f>
        <v/>
      </c>
      <c r="G1041" s="15" t="n"/>
      <c r="H1041" s="16">
        <f>IF(OR($C1041&lt;&gt;"دستمزد گروهی",$D1041=""),"",SUMIFS(ShareAmt,ShareLink,$D1041))</f>
        <v/>
      </c>
      <c r="I1041" s="17">
        <f>IF($C1041&lt;&gt;"دستمزد گروهی","—",IF($H1041="","",IF(ROUND($H1041-IF($G1041="",0,$G1041),0)=0,"√","▲ مغایرت "&amp;TEXT(IF($G1041="",0,$G1041)-$H1041,"#,##0"))))</f>
        <v/>
      </c>
      <c r="J1041" s="18" t="n"/>
    </row>
    <row r="1042">
      <c r="A1042" s="19">
        <f>IF($B1042="","",COUNTA($B$9:$B1042))</f>
        <v/>
      </c>
      <c r="B1042" s="11" t="n"/>
      <c r="C1042" s="12" t="n"/>
      <c r="D1042" s="12" t="n"/>
      <c r="E1042" s="13" t="n"/>
      <c r="F1042" s="20">
        <f>IF($E1042="","",IF($C1042="دستمزد گروهی",IFERROR(VLOOKUP($E1042,WGTbl,2,0),"کد ناشناخته"),IFERROR(IF(VLOOKUP($E1042,AcctTblE,4,0)="","(بدون نام)",VLOOKUP($E1042,AcctTblE,4,0)),"کد ناشناخته")))</f>
        <v/>
      </c>
      <c r="G1042" s="15" t="n"/>
      <c r="H1042" s="21">
        <f>IF(OR($C1042&lt;&gt;"دستمزد گروهی",$D1042=""),"",SUMIFS(ShareAmt,ShareLink,$D1042))</f>
        <v/>
      </c>
      <c r="I1042" s="22">
        <f>IF($C1042&lt;&gt;"دستمزد گروهی","—",IF($H1042="","",IF(ROUND($H1042-IF($G1042="",0,$G1042),0)=0,"√","▲ مغایرت "&amp;TEXT(IF($G1042="",0,$G1042)-$H1042,"#,##0"))))</f>
        <v/>
      </c>
      <c r="J1042" s="18" t="n"/>
    </row>
    <row r="1043">
      <c r="A1043" s="10">
        <f>IF($B1043="","",COUNTA($B$9:$B1043))</f>
        <v/>
      </c>
      <c r="B1043" s="11" t="n"/>
      <c r="C1043" s="12" t="n"/>
      <c r="D1043" s="12" t="n"/>
      <c r="E1043" s="13" t="n"/>
      <c r="F1043" s="14">
        <f>IF($E1043="","",IF($C1043="دستمزد گروهی",IFERROR(VLOOKUP($E1043,WGTbl,2,0),"کد ناشناخته"),IFERROR(IF(VLOOKUP($E1043,AcctTblE,4,0)="","(بدون نام)",VLOOKUP($E1043,AcctTblE,4,0)),"کد ناشناخته")))</f>
        <v/>
      </c>
      <c r="G1043" s="15" t="n"/>
      <c r="H1043" s="16">
        <f>IF(OR($C1043&lt;&gt;"دستمزد گروهی",$D1043=""),"",SUMIFS(ShareAmt,ShareLink,$D1043))</f>
        <v/>
      </c>
      <c r="I1043" s="17">
        <f>IF($C1043&lt;&gt;"دستمزد گروهی","—",IF($H1043="","",IF(ROUND($H1043-IF($G1043="",0,$G1043),0)=0,"√","▲ مغایرت "&amp;TEXT(IF($G1043="",0,$G1043)-$H1043,"#,##0"))))</f>
        <v/>
      </c>
      <c r="J1043" s="18" t="n"/>
    </row>
    <row r="1044">
      <c r="A1044" s="19">
        <f>IF($B1044="","",COUNTA($B$9:$B1044))</f>
        <v/>
      </c>
      <c r="B1044" s="11" t="n"/>
      <c r="C1044" s="12" t="n"/>
      <c r="D1044" s="12" t="n"/>
      <c r="E1044" s="13" t="n"/>
      <c r="F1044" s="20">
        <f>IF($E1044="","",IF($C1044="دستمزد گروهی",IFERROR(VLOOKUP($E1044,WGTbl,2,0),"کد ناشناخته"),IFERROR(IF(VLOOKUP($E1044,AcctTblE,4,0)="","(بدون نام)",VLOOKUP($E1044,AcctTblE,4,0)),"کد ناشناخته")))</f>
        <v/>
      </c>
      <c r="G1044" s="15" t="n"/>
      <c r="H1044" s="21">
        <f>IF(OR($C1044&lt;&gt;"دستمزد گروهی",$D1044=""),"",SUMIFS(ShareAmt,ShareLink,$D1044))</f>
        <v/>
      </c>
      <c r="I1044" s="22">
        <f>IF($C1044&lt;&gt;"دستمزد گروهی","—",IF($H1044="","",IF(ROUND($H1044-IF($G1044="",0,$G1044),0)=0,"√","▲ مغایرت "&amp;TEXT(IF($G1044="",0,$G1044)-$H1044,"#,##0"))))</f>
        <v/>
      </c>
      <c r="J1044" s="18" t="n"/>
    </row>
    <row r="1045">
      <c r="A1045" s="10">
        <f>IF($B1045="","",COUNTA($B$9:$B1045))</f>
        <v/>
      </c>
      <c r="B1045" s="11" t="n"/>
      <c r="C1045" s="12" t="n"/>
      <c r="D1045" s="12" t="n"/>
      <c r="E1045" s="13" t="n"/>
      <c r="F1045" s="14">
        <f>IF($E1045="","",IF($C1045="دستمزد گروهی",IFERROR(VLOOKUP($E1045,WGTbl,2,0),"کد ناشناخته"),IFERROR(IF(VLOOKUP($E1045,AcctTblE,4,0)="","(بدون نام)",VLOOKUP($E1045,AcctTblE,4,0)),"کد ناشناخته")))</f>
        <v/>
      </c>
      <c r="G1045" s="15" t="n"/>
      <c r="H1045" s="16">
        <f>IF(OR($C1045&lt;&gt;"دستمزد گروهی",$D1045=""),"",SUMIFS(ShareAmt,ShareLink,$D1045))</f>
        <v/>
      </c>
      <c r="I1045" s="17">
        <f>IF($C1045&lt;&gt;"دستمزد گروهی","—",IF($H1045="","",IF(ROUND($H1045-IF($G1045="",0,$G1045),0)=0,"√","▲ مغایرت "&amp;TEXT(IF($G1045="",0,$G1045)-$H1045,"#,##0"))))</f>
        <v/>
      </c>
      <c r="J1045" s="18" t="n"/>
    </row>
    <row r="1046">
      <c r="A1046" s="19">
        <f>IF($B1046="","",COUNTA($B$9:$B1046))</f>
        <v/>
      </c>
      <c r="B1046" s="11" t="n"/>
      <c r="C1046" s="12" t="n"/>
      <c r="D1046" s="12" t="n"/>
      <c r="E1046" s="13" t="n"/>
      <c r="F1046" s="20">
        <f>IF($E1046="","",IF($C1046="دستمزد گروهی",IFERROR(VLOOKUP($E1046,WGTbl,2,0),"کد ناشناخته"),IFERROR(IF(VLOOKUP($E1046,AcctTblE,4,0)="","(بدون نام)",VLOOKUP($E1046,AcctTblE,4,0)),"کد ناشناخته")))</f>
        <v/>
      </c>
      <c r="G1046" s="15" t="n"/>
      <c r="H1046" s="21">
        <f>IF(OR($C1046&lt;&gt;"دستمزد گروهی",$D1046=""),"",SUMIFS(ShareAmt,ShareLink,$D1046))</f>
        <v/>
      </c>
      <c r="I1046" s="22">
        <f>IF($C1046&lt;&gt;"دستمزد گروهی","—",IF($H1046="","",IF(ROUND($H1046-IF($G1046="",0,$G1046),0)=0,"√","▲ مغایرت "&amp;TEXT(IF($G1046="",0,$G1046)-$H1046,"#,##0"))))</f>
        <v/>
      </c>
      <c r="J1046" s="18" t="n"/>
    </row>
    <row r="1047">
      <c r="A1047" s="10">
        <f>IF($B1047="","",COUNTA($B$9:$B1047))</f>
        <v/>
      </c>
      <c r="B1047" s="11" t="n"/>
      <c r="C1047" s="12" t="n"/>
      <c r="D1047" s="12" t="n"/>
      <c r="E1047" s="13" t="n"/>
      <c r="F1047" s="14">
        <f>IF($E1047="","",IF($C1047="دستمزد گروهی",IFERROR(VLOOKUP($E1047,WGTbl,2,0),"کد ناشناخته"),IFERROR(IF(VLOOKUP($E1047,AcctTblE,4,0)="","(بدون نام)",VLOOKUP($E1047,AcctTblE,4,0)),"کد ناشناخته")))</f>
        <v/>
      </c>
      <c r="G1047" s="15" t="n"/>
      <c r="H1047" s="16">
        <f>IF(OR($C1047&lt;&gt;"دستمزد گروهی",$D1047=""),"",SUMIFS(ShareAmt,ShareLink,$D1047))</f>
        <v/>
      </c>
      <c r="I1047" s="17">
        <f>IF($C1047&lt;&gt;"دستمزد گروهی","—",IF($H1047="","",IF(ROUND($H1047-IF($G1047="",0,$G1047),0)=0,"√","▲ مغایرت "&amp;TEXT(IF($G1047="",0,$G1047)-$H1047,"#,##0"))))</f>
        <v/>
      </c>
      <c r="J1047" s="18" t="n"/>
    </row>
    <row r="1048">
      <c r="A1048" s="19">
        <f>IF($B1048="","",COUNTA($B$9:$B1048))</f>
        <v/>
      </c>
      <c r="B1048" s="11" t="n"/>
      <c r="C1048" s="12" t="n"/>
      <c r="D1048" s="12" t="n"/>
      <c r="E1048" s="13" t="n"/>
      <c r="F1048" s="20">
        <f>IF($E1048="","",IF($C1048="دستمزد گروهی",IFERROR(VLOOKUP($E1048,WGTbl,2,0),"کد ناشناخته"),IFERROR(IF(VLOOKUP($E1048,AcctTblE,4,0)="","(بدون نام)",VLOOKUP($E1048,AcctTblE,4,0)),"کد ناشناخته")))</f>
        <v/>
      </c>
      <c r="G1048" s="15" t="n"/>
      <c r="H1048" s="21">
        <f>IF(OR($C1048&lt;&gt;"دستمزد گروهی",$D1048=""),"",SUMIFS(ShareAmt,ShareLink,$D1048))</f>
        <v/>
      </c>
      <c r="I1048" s="22">
        <f>IF($C1048&lt;&gt;"دستمزد گروهی","—",IF($H1048="","",IF(ROUND($H1048-IF($G1048="",0,$G1048),0)=0,"√","▲ مغایرت "&amp;TEXT(IF($G1048="",0,$G1048)-$H1048,"#,##0"))))</f>
        <v/>
      </c>
      <c r="J1048" s="18" t="n"/>
    </row>
    <row r="1049">
      <c r="A1049" s="10">
        <f>IF($B1049="","",COUNTA($B$9:$B1049))</f>
        <v/>
      </c>
      <c r="B1049" s="11" t="n"/>
      <c r="C1049" s="12" t="n"/>
      <c r="D1049" s="12" t="n"/>
      <c r="E1049" s="13" t="n"/>
      <c r="F1049" s="14">
        <f>IF($E1049="","",IF($C1049="دستمزد گروهی",IFERROR(VLOOKUP($E1049,WGTbl,2,0),"کد ناشناخته"),IFERROR(IF(VLOOKUP($E1049,AcctTblE,4,0)="","(بدون نام)",VLOOKUP($E1049,AcctTblE,4,0)),"کد ناشناخته")))</f>
        <v/>
      </c>
      <c r="G1049" s="15" t="n"/>
      <c r="H1049" s="16">
        <f>IF(OR($C1049&lt;&gt;"دستمزد گروهی",$D1049=""),"",SUMIFS(ShareAmt,ShareLink,$D1049))</f>
        <v/>
      </c>
      <c r="I1049" s="17">
        <f>IF($C1049&lt;&gt;"دستمزد گروهی","—",IF($H1049="","",IF(ROUND($H1049-IF($G1049="",0,$G1049),0)=0,"√","▲ مغایرت "&amp;TEXT(IF($G1049="",0,$G1049)-$H1049,"#,##0"))))</f>
        <v/>
      </c>
      <c r="J1049" s="18" t="n"/>
    </row>
    <row r="1050">
      <c r="A1050" s="19">
        <f>IF($B1050="","",COUNTA($B$9:$B1050))</f>
        <v/>
      </c>
      <c r="B1050" s="11" t="n"/>
      <c r="C1050" s="12" t="n"/>
      <c r="D1050" s="12" t="n"/>
      <c r="E1050" s="13" t="n"/>
      <c r="F1050" s="20">
        <f>IF($E1050="","",IF($C1050="دستمزد گروهی",IFERROR(VLOOKUP($E1050,WGTbl,2,0),"کد ناشناخته"),IFERROR(IF(VLOOKUP($E1050,AcctTblE,4,0)="","(بدون نام)",VLOOKUP($E1050,AcctTblE,4,0)),"کد ناشناخته")))</f>
        <v/>
      </c>
      <c r="G1050" s="15" t="n"/>
      <c r="H1050" s="21">
        <f>IF(OR($C1050&lt;&gt;"دستمزد گروهی",$D1050=""),"",SUMIFS(ShareAmt,ShareLink,$D1050))</f>
        <v/>
      </c>
      <c r="I1050" s="22">
        <f>IF($C1050&lt;&gt;"دستمزد گروهی","—",IF($H1050="","",IF(ROUND($H1050-IF($G1050="",0,$G1050),0)=0,"√","▲ مغایرت "&amp;TEXT(IF($G1050="",0,$G1050)-$H1050,"#,##0"))))</f>
        <v/>
      </c>
      <c r="J1050" s="18" t="n"/>
    </row>
    <row r="1051">
      <c r="A1051" s="10">
        <f>IF($B1051="","",COUNTA($B$9:$B1051))</f>
        <v/>
      </c>
      <c r="B1051" s="11" t="n"/>
      <c r="C1051" s="12" t="n"/>
      <c r="D1051" s="12" t="n"/>
      <c r="E1051" s="13" t="n"/>
      <c r="F1051" s="14">
        <f>IF($E1051="","",IF($C1051="دستمزد گروهی",IFERROR(VLOOKUP($E1051,WGTbl,2,0),"کد ناشناخته"),IFERROR(IF(VLOOKUP($E1051,AcctTblE,4,0)="","(بدون نام)",VLOOKUP($E1051,AcctTblE,4,0)),"کد ناشناخته")))</f>
        <v/>
      </c>
      <c r="G1051" s="15" t="n"/>
      <c r="H1051" s="16">
        <f>IF(OR($C1051&lt;&gt;"دستمزد گروهی",$D1051=""),"",SUMIFS(ShareAmt,ShareLink,$D1051))</f>
        <v/>
      </c>
      <c r="I1051" s="17">
        <f>IF($C1051&lt;&gt;"دستمزد گروهی","—",IF($H1051="","",IF(ROUND($H1051-IF($G1051="",0,$G1051),0)=0,"√","▲ مغایرت "&amp;TEXT(IF($G1051="",0,$G1051)-$H1051,"#,##0"))))</f>
        <v/>
      </c>
      <c r="J1051" s="18" t="n"/>
    </row>
    <row r="1052">
      <c r="A1052" s="19">
        <f>IF($B1052="","",COUNTA($B$9:$B1052))</f>
        <v/>
      </c>
      <c r="B1052" s="11" t="n"/>
      <c r="C1052" s="12" t="n"/>
      <c r="D1052" s="12" t="n"/>
      <c r="E1052" s="13" t="n"/>
      <c r="F1052" s="20">
        <f>IF($E1052="","",IF($C1052="دستمزد گروهی",IFERROR(VLOOKUP($E1052,WGTbl,2,0),"کد ناشناخته"),IFERROR(IF(VLOOKUP($E1052,AcctTblE,4,0)="","(بدون نام)",VLOOKUP($E1052,AcctTblE,4,0)),"کد ناشناخته")))</f>
        <v/>
      </c>
      <c r="G1052" s="15" t="n"/>
      <c r="H1052" s="21">
        <f>IF(OR($C1052&lt;&gt;"دستمزد گروهی",$D1052=""),"",SUMIFS(ShareAmt,ShareLink,$D1052))</f>
        <v/>
      </c>
      <c r="I1052" s="22">
        <f>IF($C1052&lt;&gt;"دستمزد گروهی","—",IF($H1052="","",IF(ROUND($H1052-IF($G1052="",0,$G1052),0)=0,"√","▲ مغایرت "&amp;TEXT(IF($G1052="",0,$G1052)-$H1052,"#,##0"))))</f>
        <v/>
      </c>
      <c r="J1052" s="18" t="n"/>
    </row>
    <row r="1053">
      <c r="A1053" s="10">
        <f>IF($B1053="","",COUNTA($B$9:$B1053))</f>
        <v/>
      </c>
      <c r="B1053" s="11" t="n"/>
      <c r="C1053" s="12" t="n"/>
      <c r="D1053" s="12" t="n"/>
      <c r="E1053" s="13" t="n"/>
      <c r="F1053" s="14">
        <f>IF($E1053="","",IF($C1053="دستمزد گروهی",IFERROR(VLOOKUP($E1053,WGTbl,2,0),"کد ناشناخته"),IFERROR(IF(VLOOKUP($E1053,AcctTblE,4,0)="","(بدون نام)",VLOOKUP($E1053,AcctTblE,4,0)),"کد ناشناخته")))</f>
        <v/>
      </c>
      <c r="G1053" s="15" t="n"/>
      <c r="H1053" s="16">
        <f>IF(OR($C1053&lt;&gt;"دستمزد گروهی",$D1053=""),"",SUMIFS(ShareAmt,ShareLink,$D1053))</f>
        <v/>
      </c>
      <c r="I1053" s="17">
        <f>IF($C1053&lt;&gt;"دستمزد گروهی","—",IF($H1053="","",IF(ROUND($H1053-IF($G1053="",0,$G1053),0)=0,"√","▲ مغایرت "&amp;TEXT(IF($G1053="",0,$G1053)-$H1053,"#,##0"))))</f>
        <v/>
      </c>
      <c r="J1053" s="18" t="n"/>
    </row>
    <row r="1054">
      <c r="A1054" s="19">
        <f>IF($B1054="","",COUNTA($B$9:$B1054))</f>
        <v/>
      </c>
      <c r="B1054" s="11" t="n"/>
      <c r="C1054" s="12" t="n"/>
      <c r="D1054" s="12" t="n"/>
      <c r="E1054" s="13" t="n"/>
      <c r="F1054" s="20">
        <f>IF($E1054="","",IF($C1054="دستمزد گروهی",IFERROR(VLOOKUP($E1054,WGTbl,2,0),"کد ناشناخته"),IFERROR(IF(VLOOKUP($E1054,AcctTblE,4,0)="","(بدون نام)",VLOOKUP($E1054,AcctTblE,4,0)),"کد ناشناخته")))</f>
        <v/>
      </c>
      <c r="G1054" s="15" t="n"/>
      <c r="H1054" s="21">
        <f>IF(OR($C1054&lt;&gt;"دستمزد گروهی",$D1054=""),"",SUMIFS(ShareAmt,ShareLink,$D1054))</f>
        <v/>
      </c>
      <c r="I1054" s="22">
        <f>IF($C1054&lt;&gt;"دستمزد گروهی","—",IF($H1054="","",IF(ROUND($H1054-IF($G1054="",0,$G1054),0)=0,"√","▲ مغایرت "&amp;TEXT(IF($G1054="",0,$G1054)-$H1054,"#,##0"))))</f>
        <v/>
      </c>
      <c r="J1054" s="18" t="n"/>
    </row>
    <row r="1055">
      <c r="A1055" s="10">
        <f>IF($B1055="","",COUNTA($B$9:$B1055))</f>
        <v/>
      </c>
      <c r="B1055" s="11" t="n"/>
      <c r="C1055" s="12" t="n"/>
      <c r="D1055" s="12" t="n"/>
      <c r="E1055" s="13" t="n"/>
      <c r="F1055" s="14">
        <f>IF($E1055="","",IF($C1055="دستمزد گروهی",IFERROR(VLOOKUP($E1055,WGTbl,2,0),"کد ناشناخته"),IFERROR(IF(VLOOKUP($E1055,AcctTblE,4,0)="","(بدون نام)",VLOOKUP($E1055,AcctTblE,4,0)),"کد ناشناخته")))</f>
        <v/>
      </c>
      <c r="G1055" s="15" t="n"/>
      <c r="H1055" s="16">
        <f>IF(OR($C1055&lt;&gt;"دستمزد گروهی",$D1055=""),"",SUMIFS(ShareAmt,ShareLink,$D1055))</f>
        <v/>
      </c>
      <c r="I1055" s="17">
        <f>IF($C1055&lt;&gt;"دستمزد گروهی","—",IF($H1055="","",IF(ROUND($H1055-IF($G1055="",0,$G1055),0)=0,"√","▲ مغایرت "&amp;TEXT(IF($G1055="",0,$G1055)-$H1055,"#,##0"))))</f>
        <v/>
      </c>
      <c r="J1055" s="18" t="n"/>
    </row>
    <row r="1056">
      <c r="A1056" s="19">
        <f>IF($B1056="","",COUNTA($B$9:$B1056))</f>
        <v/>
      </c>
      <c r="B1056" s="11" t="n"/>
      <c r="C1056" s="12" t="n"/>
      <c r="D1056" s="12" t="n"/>
      <c r="E1056" s="13" t="n"/>
      <c r="F1056" s="20">
        <f>IF($E1056="","",IF($C1056="دستمزد گروهی",IFERROR(VLOOKUP($E1056,WGTbl,2,0),"کد ناشناخته"),IFERROR(IF(VLOOKUP($E1056,AcctTblE,4,0)="","(بدون نام)",VLOOKUP($E1056,AcctTblE,4,0)),"کد ناشناخته")))</f>
        <v/>
      </c>
      <c r="G1056" s="15" t="n"/>
      <c r="H1056" s="21">
        <f>IF(OR($C1056&lt;&gt;"دستمزد گروهی",$D1056=""),"",SUMIFS(ShareAmt,ShareLink,$D1056))</f>
        <v/>
      </c>
      <c r="I1056" s="22">
        <f>IF($C1056&lt;&gt;"دستمزد گروهی","—",IF($H1056="","",IF(ROUND($H1056-IF($G1056="",0,$G1056),0)=0,"√","▲ مغایرت "&amp;TEXT(IF($G1056="",0,$G1056)-$H1056,"#,##0"))))</f>
        <v/>
      </c>
      <c r="J1056" s="18" t="n"/>
    </row>
    <row r="1057">
      <c r="A1057" s="10">
        <f>IF($B1057="","",COUNTA($B$9:$B1057))</f>
        <v/>
      </c>
      <c r="B1057" s="11" t="n"/>
      <c r="C1057" s="12" t="n"/>
      <c r="D1057" s="12" t="n"/>
      <c r="E1057" s="13" t="n"/>
      <c r="F1057" s="14">
        <f>IF($E1057="","",IF($C1057="دستمزد گروهی",IFERROR(VLOOKUP($E1057,WGTbl,2,0),"کد ناشناخته"),IFERROR(IF(VLOOKUP($E1057,AcctTblE,4,0)="","(بدون نام)",VLOOKUP($E1057,AcctTblE,4,0)),"کد ناشناخته")))</f>
        <v/>
      </c>
      <c r="G1057" s="15" t="n"/>
      <c r="H1057" s="16">
        <f>IF(OR($C1057&lt;&gt;"دستمزد گروهی",$D1057=""),"",SUMIFS(ShareAmt,ShareLink,$D1057))</f>
        <v/>
      </c>
      <c r="I1057" s="17">
        <f>IF($C1057&lt;&gt;"دستمزد گروهی","—",IF($H1057="","",IF(ROUND($H1057-IF($G1057="",0,$G1057),0)=0,"√","▲ مغایرت "&amp;TEXT(IF($G1057="",0,$G1057)-$H1057,"#,##0"))))</f>
        <v/>
      </c>
      <c r="J1057" s="18" t="n"/>
    </row>
    <row r="1058">
      <c r="A1058" s="19">
        <f>IF($B1058="","",COUNTA($B$9:$B1058))</f>
        <v/>
      </c>
      <c r="B1058" s="11" t="n"/>
      <c r="C1058" s="12" t="n"/>
      <c r="D1058" s="12" t="n"/>
      <c r="E1058" s="13" t="n"/>
      <c r="F1058" s="20">
        <f>IF($E1058="","",IF($C1058="دستمزد گروهی",IFERROR(VLOOKUP($E1058,WGTbl,2,0),"کد ناشناخته"),IFERROR(IF(VLOOKUP($E1058,AcctTblE,4,0)="","(بدون نام)",VLOOKUP($E1058,AcctTblE,4,0)),"کد ناشناخته")))</f>
        <v/>
      </c>
      <c r="G1058" s="15" t="n"/>
      <c r="H1058" s="21">
        <f>IF(OR($C1058&lt;&gt;"دستمزد گروهی",$D1058=""),"",SUMIFS(ShareAmt,ShareLink,$D1058))</f>
        <v/>
      </c>
      <c r="I1058" s="22">
        <f>IF($C1058&lt;&gt;"دستمزد گروهی","—",IF($H1058="","",IF(ROUND($H1058-IF($G1058="",0,$G1058),0)=0,"√","▲ مغایرت "&amp;TEXT(IF($G1058="",0,$G1058)-$H1058,"#,##0"))))</f>
        <v/>
      </c>
      <c r="J1058" s="18" t="n"/>
    </row>
    <row r="1059">
      <c r="A1059" s="10">
        <f>IF($B1059="","",COUNTA($B$9:$B1059))</f>
        <v/>
      </c>
      <c r="B1059" s="11" t="n"/>
      <c r="C1059" s="12" t="n"/>
      <c r="D1059" s="12" t="n"/>
      <c r="E1059" s="13" t="n"/>
      <c r="F1059" s="14">
        <f>IF($E1059="","",IF($C1059="دستمزد گروهی",IFERROR(VLOOKUP($E1059,WGTbl,2,0),"کد ناشناخته"),IFERROR(IF(VLOOKUP($E1059,AcctTblE,4,0)="","(بدون نام)",VLOOKUP($E1059,AcctTblE,4,0)),"کد ناشناخته")))</f>
        <v/>
      </c>
      <c r="G1059" s="15" t="n"/>
      <c r="H1059" s="16">
        <f>IF(OR($C1059&lt;&gt;"دستمزد گروهی",$D1059=""),"",SUMIFS(ShareAmt,ShareLink,$D1059))</f>
        <v/>
      </c>
      <c r="I1059" s="17">
        <f>IF($C1059&lt;&gt;"دستمزد گروهی","—",IF($H1059="","",IF(ROUND($H1059-IF($G1059="",0,$G1059),0)=0,"√","▲ مغایرت "&amp;TEXT(IF($G1059="",0,$G1059)-$H1059,"#,##0"))))</f>
        <v/>
      </c>
      <c r="J1059" s="18" t="n"/>
    </row>
    <row r="1060">
      <c r="A1060" s="19">
        <f>IF($B1060="","",COUNTA($B$9:$B1060))</f>
        <v/>
      </c>
      <c r="B1060" s="11" t="n"/>
      <c r="C1060" s="12" t="n"/>
      <c r="D1060" s="12" t="n"/>
      <c r="E1060" s="13" t="n"/>
      <c r="F1060" s="20">
        <f>IF($E1060="","",IF($C1060="دستمزد گروهی",IFERROR(VLOOKUP($E1060,WGTbl,2,0),"کد ناشناخته"),IFERROR(IF(VLOOKUP($E1060,AcctTblE,4,0)="","(بدون نام)",VLOOKUP($E1060,AcctTblE,4,0)),"کد ناشناخته")))</f>
        <v/>
      </c>
      <c r="G1060" s="15" t="n"/>
      <c r="H1060" s="21">
        <f>IF(OR($C1060&lt;&gt;"دستمزد گروهی",$D1060=""),"",SUMIFS(ShareAmt,ShareLink,$D1060))</f>
        <v/>
      </c>
      <c r="I1060" s="22">
        <f>IF($C1060&lt;&gt;"دستمزد گروهی","—",IF($H1060="","",IF(ROUND($H1060-IF($G1060="",0,$G1060),0)=0,"√","▲ مغایرت "&amp;TEXT(IF($G1060="",0,$G1060)-$H1060,"#,##0"))))</f>
        <v/>
      </c>
      <c r="J1060" s="18" t="n"/>
    </row>
    <row r="1061">
      <c r="A1061" s="10">
        <f>IF($B1061="","",COUNTA($B$9:$B1061))</f>
        <v/>
      </c>
      <c r="B1061" s="11" t="n"/>
      <c r="C1061" s="12" t="n"/>
      <c r="D1061" s="12" t="n"/>
      <c r="E1061" s="13" t="n"/>
      <c r="F1061" s="14">
        <f>IF($E1061="","",IF($C1061="دستمزد گروهی",IFERROR(VLOOKUP($E1061,WGTbl,2,0),"کد ناشناخته"),IFERROR(IF(VLOOKUP($E1061,AcctTblE,4,0)="","(بدون نام)",VLOOKUP($E1061,AcctTblE,4,0)),"کد ناشناخته")))</f>
        <v/>
      </c>
      <c r="G1061" s="15" t="n"/>
      <c r="H1061" s="16">
        <f>IF(OR($C1061&lt;&gt;"دستمزد گروهی",$D1061=""),"",SUMIFS(ShareAmt,ShareLink,$D1061))</f>
        <v/>
      </c>
      <c r="I1061" s="17">
        <f>IF($C1061&lt;&gt;"دستمزد گروهی","—",IF($H1061="","",IF(ROUND($H1061-IF($G1061="",0,$G1061),0)=0,"√","▲ مغایرت "&amp;TEXT(IF($G1061="",0,$G1061)-$H1061,"#,##0"))))</f>
        <v/>
      </c>
      <c r="J1061" s="18" t="n"/>
    </row>
    <row r="1062">
      <c r="A1062" s="19">
        <f>IF($B1062="","",COUNTA($B$9:$B1062))</f>
        <v/>
      </c>
      <c r="B1062" s="11" t="n"/>
      <c r="C1062" s="12" t="n"/>
      <c r="D1062" s="12" t="n"/>
      <c r="E1062" s="13" t="n"/>
      <c r="F1062" s="20">
        <f>IF($E1062="","",IF($C1062="دستمزد گروهی",IFERROR(VLOOKUP($E1062,WGTbl,2,0),"کد ناشناخته"),IFERROR(IF(VLOOKUP($E1062,AcctTblE,4,0)="","(بدون نام)",VLOOKUP($E1062,AcctTblE,4,0)),"کد ناشناخته")))</f>
        <v/>
      </c>
      <c r="G1062" s="15" t="n"/>
      <c r="H1062" s="21">
        <f>IF(OR($C1062&lt;&gt;"دستمزد گروهی",$D1062=""),"",SUMIFS(ShareAmt,ShareLink,$D1062))</f>
        <v/>
      </c>
      <c r="I1062" s="22">
        <f>IF($C1062&lt;&gt;"دستمزد گروهی","—",IF($H1062="","",IF(ROUND($H1062-IF($G1062="",0,$G1062),0)=0,"√","▲ مغایرت "&amp;TEXT(IF($G1062="",0,$G1062)-$H1062,"#,##0"))))</f>
        <v/>
      </c>
      <c r="J1062" s="18" t="n"/>
    </row>
    <row r="1063">
      <c r="A1063" s="10">
        <f>IF($B1063="","",COUNTA($B$9:$B1063))</f>
        <v/>
      </c>
      <c r="B1063" s="11" t="n"/>
      <c r="C1063" s="12" t="n"/>
      <c r="D1063" s="12" t="n"/>
      <c r="E1063" s="13" t="n"/>
      <c r="F1063" s="14">
        <f>IF($E1063="","",IF($C1063="دستمزد گروهی",IFERROR(VLOOKUP($E1063,WGTbl,2,0),"کد ناشناخته"),IFERROR(IF(VLOOKUP($E1063,AcctTblE,4,0)="","(بدون نام)",VLOOKUP($E1063,AcctTblE,4,0)),"کد ناشناخته")))</f>
        <v/>
      </c>
      <c r="G1063" s="15" t="n"/>
      <c r="H1063" s="16">
        <f>IF(OR($C1063&lt;&gt;"دستمزد گروهی",$D1063=""),"",SUMIFS(ShareAmt,ShareLink,$D1063))</f>
        <v/>
      </c>
      <c r="I1063" s="17">
        <f>IF($C1063&lt;&gt;"دستمزد گروهی","—",IF($H1063="","",IF(ROUND($H1063-IF($G1063="",0,$G1063),0)=0,"√","▲ مغایرت "&amp;TEXT(IF($G1063="",0,$G1063)-$H1063,"#,##0"))))</f>
        <v/>
      </c>
      <c r="J1063" s="18" t="n"/>
    </row>
    <row r="1064">
      <c r="A1064" s="19">
        <f>IF($B1064="","",COUNTA($B$9:$B1064))</f>
        <v/>
      </c>
      <c r="B1064" s="11" t="n"/>
      <c r="C1064" s="12" t="n"/>
      <c r="D1064" s="12" t="n"/>
      <c r="E1064" s="13" t="n"/>
      <c r="F1064" s="20">
        <f>IF($E1064="","",IF($C1064="دستمزد گروهی",IFERROR(VLOOKUP($E1064,WGTbl,2,0),"کد ناشناخته"),IFERROR(IF(VLOOKUP($E1064,AcctTblE,4,0)="","(بدون نام)",VLOOKUP($E1064,AcctTblE,4,0)),"کد ناشناخته")))</f>
        <v/>
      </c>
      <c r="G1064" s="15" t="n"/>
      <c r="H1064" s="21">
        <f>IF(OR($C1064&lt;&gt;"دستمزد گروهی",$D1064=""),"",SUMIFS(ShareAmt,ShareLink,$D1064))</f>
        <v/>
      </c>
      <c r="I1064" s="22">
        <f>IF($C1064&lt;&gt;"دستمزد گروهی","—",IF($H1064="","",IF(ROUND($H1064-IF($G1064="",0,$G1064),0)=0,"√","▲ مغایرت "&amp;TEXT(IF($G1064="",0,$G1064)-$H1064,"#,##0"))))</f>
        <v/>
      </c>
      <c r="J1064" s="18" t="n"/>
    </row>
    <row r="1065">
      <c r="A1065" s="10">
        <f>IF($B1065="","",COUNTA($B$9:$B1065))</f>
        <v/>
      </c>
      <c r="B1065" s="11" t="n"/>
      <c r="C1065" s="12" t="n"/>
      <c r="D1065" s="12" t="n"/>
      <c r="E1065" s="13" t="n"/>
      <c r="F1065" s="14">
        <f>IF($E1065="","",IF($C1065="دستمزد گروهی",IFERROR(VLOOKUP($E1065,WGTbl,2,0),"کد ناشناخته"),IFERROR(IF(VLOOKUP($E1065,AcctTblE,4,0)="","(بدون نام)",VLOOKUP($E1065,AcctTblE,4,0)),"کد ناشناخته")))</f>
        <v/>
      </c>
      <c r="G1065" s="15" t="n"/>
      <c r="H1065" s="16">
        <f>IF(OR($C1065&lt;&gt;"دستمزد گروهی",$D1065=""),"",SUMIFS(ShareAmt,ShareLink,$D1065))</f>
        <v/>
      </c>
      <c r="I1065" s="17">
        <f>IF($C1065&lt;&gt;"دستمزد گروهی","—",IF($H1065="","",IF(ROUND($H1065-IF($G1065="",0,$G1065),0)=0,"√","▲ مغایرت "&amp;TEXT(IF($G1065="",0,$G1065)-$H1065,"#,##0"))))</f>
        <v/>
      </c>
      <c r="J1065" s="18" t="n"/>
    </row>
    <row r="1066">
      <c r="A1066" s="19">
        <f>IF($B1066="","",COUNTA($B$9:$B1066))</f>
        <v/>
      </c>
      <c r="B1066" s="11" t="n"/>
      <c r="C1066" s="12" t="n"/>
      <c r="D1066" s="12" t="n"/>
      <c r="E1066" s="13" t="n"/>
      <c r="F1066" s="20">
        <f>IF($E1066="","",IF($C1066="دستمزد گروهی",IFERROR(VLOOKUP($E1066,WGTbl,2,0),"کد ناشناخته"),IFERROR(IF(VLOOKUP($E1066,AcctTblE,4,0)="","(بدون نام)",VLOOKUP($E1066,AcctTblE,4,0)),"کد ناشناخته")))</f>
        <v/>
      </c>
      <c r="G1066" s="15" t="n"/>
      <c r="H1066" s="21">
        <f>IF(OR($C1066&lt;&gt;"دستمزد گروهی",$D1066=""),"",SUMIFS(ShareAmt,ShareLink,$D1066))</f>
        <v/>
      </c>
      <c r="I1066" s="22">
        <f>IF($C1066&lt;&gt;"دستمزد گروهی","—",IF($H1066="","",IF(ROUND($H1066-IF($G1066="",0,$G1066),0)=0,"√","▲ مغایرت "&amp;TEXT(IF($G1066="",0,$G1066)-$H1066,"#,##0"))))</f>
        <v/>
      </c>
      <c r="J1066" s="18" t="n"/>
    </row>
    <row r="1067">
      <c r="A1067" s="10">
        <f>IF($B1067="","",COUNTA($B$9:$B1067))</f>
        <v/>
      </c>
      <c r="B1067" s="11" t="n"/>
      <c r="C1067" s="12" t="n"/>
      <c r="D1067" s="12" t="n"/>
      <c r="E1067" s="13" t="n"/>
      <c r="F1067" s="14">
        <f>IF($E1067="","",IF($C1067="دستمزد گروهی",IFERROR(VLOOKUP($E1067,WGTbl,2,0),"کد ناشناخته"),IFERROR(IF(VLOOKUP($E1067,AcctTblE,4,0)="","(بدون نام)",VLOOKUP($E1067,AcctTblE,4,0)),"کد ناشناخته")))</f>
        <v/>
      </c>
      <c r="G1067" s="15" t="n"/>
      <c r="H1067" s="16">
        <f>IF(OR($C1067&lt;&gt;"دستمزد گروهی",$D1067=""),"",SUMIFS(ShareAmt,ShareLink,$D1067))</f>
        <v/>
      </c>
      <c r="I1067" s="17">
        <f>IF($C1067&lt;&gt;"دستمزد گروهی","—",IF($H1067="","",IF(ROUND($H1067-IF($G1067="",0,$G1067),0)=0,"√","▲ مغایرت "&amp;TEXT(IF($G1067="",0,$G1067)-$H1067,"#,##0"))))</f>
        <v/>
      </c>
      <c r="J1067" s="18" t="n"/>
    </row>
    <row r="1068">
      <c r="A1068" s="19">
        <f>IF($B1068="","",COUNTA($B$9:$B1068))</f>
        <v/>
      </c>
      <c r="B1068" s="11" t="n"/>
      <c r="C1068" s="12" t="n"/>
      <c r="D1068" s="12" t="n"/>
      <c r="E1068" s="13" t="n"/>
      <c r="F1068" s="20">
        <f>IF($E1068="","",IF($C1068="دستمزد گروهی",IFERROR(VLOOKUP($E1068,WGTbl,2,0),"کد ناشناخته"),IFERROR(IF(VLOOKUP($E1068,AcctTblE,4,0)="","(بدون نام)",VLOOKUP($E1068,AcctTblE,4,0)),"کد ناشناخته")))</f>
        <v/>
      </c>
      <c r="G1068" s="15" t="n"/>
      <c r="H1068" s="21">
        <f>IF(OR($C1068&lt;&gt;"دستمزد گروهی",$D1068=""),"",SUMIFS(ShareAmt,ShareLink,$D1068))</f>
        <v/>
      </c>
      <c r="I1068" s="22">
        <f>IF($C1068&lt;&gt;"دستمزد گروهی","—",IF($H1068="","",IF(ROUND($H1068-IF($G1068="",0,$G1068),0)=0,"√","▲ مغایرت "&amp;TEXT(IF($G1068="",0,$G1068)-$H1068,"#,##0"))))</f>
        <v/>
      </c>
      <c r="J1068" s="18" t="n"/>
    </row>
    <row r="1069">
      <c r="A1069" s="10">
        <f>IF($B1069="","",COUNTA($B$9:$B1069))</f>
        <v/>
      </c>
      <c r="B1069" s="11" t="n"/>
      <c r="C1069" s="12" t="n"/>
      <c r="D1069" s="12" t="n"/>
      <c r="E1069" s="13" t="n"/>
      <c r="F1069" s="14">
        <f>IF($E1069="","",IF($C1069="دستمزد گروهی",IFERROR(VLOOKUP($E1069,WGTbl,2,0),"کد ناشناخته"),IFERROR(IF(VLOOKUP($E1069,AcctTblE,4,0)="","(بدون نام)",VLOOKUP($E1069,AcctTblE,4,0)),"کد ناشناخته")))</f>
        <v/>
      </c>
      <c r="G1069" s="15" t="n"/>
      <c r="H1069" s="16">
        <f>IF(OR($C1069&lt;&gt;"دستمزد گروهی",$D1069=""),"",SUMIFS(ShareAmt,ShareLink,$D1069))</f>
        <v/>
      </c>
      <c r="I1069" s="17">
        <f>IF($C1069&lt;&gt;"دستمزد گروهی","—",IF($H1069="","",IF(ROUND($H1069-IF($G1069="",0,$G1069),0)=0,"√","▲ مغایرت "&amp;TEXT(IF($G1069="",0,$G1069)-$H1069,"#,##0"))))</f>
        <v/>
      </c>
      <c r="J1069" s="18" t="n"/>
    </row>
    <row r="1070">
      <c r="A1070" s="19">
        <f>IF($B1070="","",COUNTA($B$9:$B1070))</f>
        <v/>
      </c>
      <c r="B1070" s="11" t="n"/>
      <c r="C1070" s="12" t="n"/>
      <c r="D1070" s="12" t="n"/>
      <c r="E1070" s="13" t="n"/>
      <c r="F1070" s="20">
        <f>IF($E1070="","",IF($C1070="دستمزد گروهی",IFERROR(VLOOKUP($E1070,WGTbl,2,0),"کد ناشناخته"),IFERROR(IF(VLOOKUP($E1070,AcctTblE,4,0)="","(بدون نام)",VLOOKUP($E1070,AcctTblE,4,0)),"کد ناشناخته")))</f>
        <v/>
      </c>
      <c r="G1070" s="15" t="n"/>
      <c r="H1070" s="21">
        <f>IF(OR($C1070&lt;&gt;"دستمزد گروهی",$D1070=""),"",SUMIFS(ShareAmt,ShareLink,$D1070))</f>
        <v/>
      </c>
      <c r="I1070" s="22">
        <f>IF($C1070&lt;&gt;"دستمزد گروهی","—",IF($H1070="","",IF(ROUND($H1070-IF($G1070="",0,$G1070),0)=0,"√","▲ مغایرت "&amp;TEXT(IF($G1070="",0,$G1070)-$H1070,"#,##0"))))</f>
        <v/>
      </c>
      <c r="J1070" s="18" t="n"/>
    </row>
    <row r="1071">
      <c r="A1071" s="10">
        <f>IF($B1071="","",COUNTA($B$9:$B1071))</f>
        <v/>
      </c>
      <c r="B1071" s="11" t="n"/>
      <c r="C1071" s="12" t="n"/>
      <c r="D1071" s="12" t="n"/>
      <c r="E1071" s="13" t="n"/>
      <c r="F1071" s="14">
        <f>IF($E1071="","",IF($C1071="دستمزد گروهی",IFERROR(VLOOKUP($E1071,WGTbl,2,0),"کد ناشناخته"),IFERROR(IF(VLOOKUP($E1071,AcctTblE,4,0)="","(بدون نام)",VLOOKUP($E1071,AcctTblE,4,0)),"کد ناشناخته")))</f>
        <v/>
      </c>
      <c r="G1071" s="15" t="n"/>
      <c r="H1071" s="16">
        <f>IF(OR($C1071&lt;&gt;"دستمزد گروهی",$D1071=""),"",SUMIFS(ShareAmt,ShareLink,$D1071))</f>
        <v/>
      </c>
      <c r="I1071" s="17">
        <f>IF($C1071&lt;&gt;"دستمزد گروهی","—",IF($H1071="","",IF(ROUND($H1071-IF($G1071="",0,$G1071),0)=0,"√","▲ مغایرت "&amp;TEXT(IF($G1071="",0,$G1071)-$H1071,"#,##0"))))</f>
        <v/>
      </c>
      <c r="J1071" s="18" t="n"/>
    </row>
    <row r="1072">
      <c r="A1072" s="19">
        <f>IF($B1072="","",COUNTA($B$9:$B1072))</f>
        <v/>
      </c>
      <c r="B1072" s="11" t="n"/>
      <c r="C1072" s="12" t="n"/>
      <c r="D1072" s="12" t="n"/>
      <c r="E1072" s="13" t="n"/>
      <c r="F1072" s="20">
        <f>IF($E1072="","",IF($C1072="دستمزد گروهی",IFERROR(VLOOKUP($E1072,WGTbl,2,0),"کد ناشناخته"),IFERROR(IF(VLOOKUP($E1072,AcctTblE,4,0)="","(بدون نام)",VLOOKUP($E1072,AcctTblE,4,0)),"کد ناشناخته")))</f>
        <v/>
      </c>
      <c r="G1072" s="15" t="n"/>
      <c r="H1072" s="21">
        <f>IF(OR($C1072&lt;&gt;"دستمزد گروهی",$D1072=""),"",SUMIFS(ShareAmt,ShareLink,$D1072))</f>
        <v/>
      </c>
      <c r="I1072" s="22">
        <f>IF($C1072&lt;&gt;"دستمزد گروهی","—",IF($H1072="","",IF(ROUND($H1072-IF($G1072="",0,$G1072),0)=0,"√","▲ مغایرت "&amp;TEXT(IF($G1072="",0,$G1072)-$H1072,"#,##0"))))</f>
        <v/>
      </c>
      <c r="J1072" s="18" t="n"/>
    </row>
    <row r="1073">
      <c r="A1073" s="10">
        <f>IF($B1073="","",COUNTA($B$9:$B1073))</f>
        <v/>
      </c>
      <c r="B1073" s="11" t="n"/>
      <c r="C1073" s="12" t="n"/>
      <c r="D1073" s="12" t="n"/>
      <c r="E1073" s="13" t="n"/>
      <c r="F1073" s="14">
        <f>IF($E1073="","",IF($C1073="دستمزد گروهی",IFERROR(VLOOKUP($E1073,WGTbl,2,0),"کد ناشناخته"),IFERROR(IF(VLOOKUP($E1073,AcctTblE,4,0)="","(بدون نام)",VLOOKUP($E1073,AcctTblE,4,0)),"کد ناشناخته")))</f>
        <v/>
      </c>
      <c r="G1073" s="15" t="n"/>
      <c r="H1073" s="16">
        <f>IF(OR($C1073&lt;&gt;"دستمزد گروهی",$D1073=""),"",SUMIFS(ShareAmt,ShareLink,$D1073))</f>
        <v/>
      </c>
      <c r="I1073" s="17">
        <f>IF($C1073&lt;&gt;"دستمزد گروهی","—",IF($H1073="","",IF(ROUND($H1073-IF($G1073="",0,$G1073),0)=0,"√","▲ مغایرت "&amp;TEXT(IF($G1073="",0,$G1073)-$H1073,"#,##0"))))</f>
        <v/>
      </c>
      <c r="J1073" s="18" t="n"/>
    </row>
    <row r="1074">
      <c r="A1074" s="19">
        <f>IF($B1074="","",COUNTA($B$9:$B1074))</f>
        <v/>
      </c>
      <c r="B1074" s="11" t="n"/>
      <c r="C1074" s="12" t="n"/>
      <c r="D1074" s="12" t="n"/>
      <c r="E1074" s="13" t="n"/>
      <c r="F1074" s="20">
        <f>IF($E1074="","",IF($C1074="دستمزد گروهی",IFERROR(VLOOKUP($E1074,WGTbl,2,0),"کد ناشناخته"),IFERROR(IF(VLOOKUP($E1074,AcctTblE,4,0)="","(بدون نام)",VLOOKUP($E1074,AcctTblE,4,0)),"کد ناشناخته")))</f>
        <v/>
      </c>
      <c r="G1074" s="15" t="n"/>
      <c r="H1074" s="21">
        <f>IF(OR($C1074&lt;&gt;"دستمزد گروهی",$D1074=""),"",SUMIFS(ShareAmt,ShareLink,$D1074))</f>
        <v/>
      </c>
      <c r="I1074" s="22">
        <f>IF($C1074&lt;&gt;"دستمزد گروهی","—",IF($H1074="","",IF(ROUND($H1074-IF($G1074="",0,$G1074),0)=0,"√","▲ مغایرت "&amp;TEXT(IF($G1074="",0,$G1074)-$H1074,"#,##0"))))</f>
        <v/>
      </c>
      <c r="J1074" s="18" t="n"/>
    </row>
    <row r="1075">
      <c r="A1075" s="10">
        <f>IF($B1075="","",COUNTA($B$9:$B1075))</f>
        <v/>
      </c>
      <c r="B1075" s="11" t="n"/>
      <c r="C1075" s="12" t="n"/>
      <c r="D1075" s="12" t="n"/>
      <c r="E1075" s="13" t="n"/>
      <c r="F1075" s="14">
        <f>IF($E1075="","",IF($C1075="دستمزد گروهی",IFERROR(VLOOKUP($E1075,WGTbl,2,0),"کد ناشناخته"),IFERROR(IF(VLOOKUP($E1075,AcctTblE,4,0)="","(بدون نام)",VLOOKUP($E1075,AcctTblE,4,0)),"کد ناشناخته")))</f>
        <v/>
      </c>
      <c r="G1075" s="15" t="n"/>
      <c r="H1075" s="16">
        <f>IF(OR($C1075&lt;&gt;"دستمزد گروهی",$D1075=""),"",SUMIFS(ShareAmt,ShareLink,$D1075))</f>
        <v/>
      </c>
      <c r="I1075" s="17">
        <f>IF($C1075&lt;&gt;"دستمزد گروهی","—",IF($H1075="","",IF(ROUND($H1075-IF($G1075="",0,$G1075),0)=0,"√","▲ مغایرت "&amp;TEXT(IF($G1075="",0,$G1075)-$H1075,"#,##0"))))</f>
        <v/>
      </c>
      <c r="J1075" s="18" t="n"/>
    </row>
    <row r="1076">
      <c r="A1076" s="19">
        <f>IF($B1076="","",COUNTA($B$9:$B1076))</f>
        <v/>
      </c>
      <c r="B1076" s="11" t="n"/>
      <c r="C1076" s="12" t="n"/>
      <c r="D1076" s="12" t="n"/>
      <c r="E1076" s="13" t="n"/>
      <c r="F1076" s="20">
        <f>IF($E1076="","",IF($C1076="دستمزد گروهی",IFERROR(VLOOKUP($E1076,WGTbl,2,0),"کد ناشناخته"),IFERROR(IF(VLOOKUP($E1076,AcctTblE,4,0)="","(بدون نام)",VLOOKUP($E1076,AcctTblE,4,0)),"کد ناشناخته")))</f>
        <v/>
      </c>
      <c r="G1076" s="15" t="n"/>
      <c r="H1076" s="21">
        <f>IF(OR($C1076&lt;&gt;"دستمزد گروهی",$D1076=""),"",SUMIFS(ShareAmt,ShareLink,$D1076))</f>
        <v/>
      </c>
      <c r="I1076" s="22">
        <f>IF($C1076&lt;&gt;"دستمزد گروهی","—",IF($H1076="","",IF(ROUND($H1076-IF($G1076="",0,$G1076),0)=0,"√","▲ مغایرت "&amp;TEXT(IF($G1076="",0,$G1076)-$H1076,"#,##0"))))</f>
        <v/>
      </c>
      <c r="J1076" s="18" t="n"/>
    </row>
    <row r="1077">
      <c r="A1077" s="10">
        <f>IF($B1077="","",COUNTA($B$9:$B1077))</f>
        <v/>
      </c>
      <c r="B1077" s="11" t="n"/>
      <c r="C1077" s="12" t="n"/>
      <c r="D1077" s="12" t="n"/>
      <c r="E1077" s="13" t="n"/>
      <c r="F1077" s="14">
        <f>IF($E1077="","",IF($C1077="دستمزد گروهی",IFERROR(VLOOKUP($E1077,WGTbl,2,0),"کد ناشناخته"),IFERROR(IF(VLOOKUP($E1077,AcctTblE,4,0)="","(بدون نام)",VLOOKUP($E1077,AcctTblE,4,0)),"کد ناشناخته")))</f>
        <v/>
      </c>
      <c r="G1077" s="15" t="n"/>
      <c r="H1077" s="16">
        <f>IF(OR($C1077&lt;&gt;"دستمزد گروهی",$D1077=""),"",SUMIFS(ShareAmt,ShareLink,$D1077))</f>
        <v/>
      </c>
      <c r="I1077" s="17">
        <f>IF($C1077&lt;&gt;"دستمزد گروهی","—",IF($H1077="","",IF(ROUND($H1077-IF($G1077="",0,$G1077),0)=0,"√","▲ مغایرت "&amp;TEXT(IF($G1077="",0,$G1077)-$H1077,"#,##0"))))</f>
        <v/>
      </c>
      <c r="J1077" s="18" t="n"/>
    </row>
    <row r="1078">
      <c r="A1078" s="19">
        <f>IF($B1078="","",COUNTA($B$9:$B1078))</f>
        <v/>
      </c>
      <c r="B1078" s="11" t="n"/>
      <c r="C1078" s="12" t="n"/>
      <c r="D1078" s="12" t="n"/>
      <c r="E1078" s="13" t="n"/>
      <c r="F1078" s="20">
        <f>IF($E1078="","",IF($C1078="دستمزد گروهی",IFERROR(VLOOKUP($E1078,WGTbl,2,0),"کد ناشناخته"),IFERROR(IF(VLOOKUP($E1078,AcctTblE,4,0)="","(بدون نام)",VLOOKUP($E1078,AcctTblE,4,0)),"کد ناشناخته")))</f>
        <v/>
      </c>
      <c r="G1078" s="15" t="n"/>
      <c r="H1078" s="21">
        <f>IF(OR($C1078&lt;&gt;"دستمزد گروهی",$D1078=""),"",SUMIFS(ShareAmt,ShareLink,$D1078))</f>
        <v/>
      </c>
      <c r="I1078" s="22">
        <f>IF($C1078&lt;&gt;"دستمزد گروهی","—",IF($H1078="","",IF(ROUND($H1078-IF($G1078="",0,$G1078),0)=0,"√","▲ مغایرت "&amp;TEXT(IF($G1078="",0,$G1078)-$H1078,"#,##0"))))</f>
        <v/>
      </c>
      <c r="J1078" s="18" t="n"/>
    </row>
    <row r="1079">
      <c r="A1079" s="10">
        <f>IF($B1079="","",COUNTA($B$9:$B1079))</f>
        <v/>
      </c>
      <c r="B1079" s="11" t="n"/>
      <c r="C1079" s="12" t="n"/>
      <c r="D1079" s="12" t="n"/>
      <c r="E1079" s="13" t="n"/>
      <c r="F1079" s="14">
        <f>IF($E1079="","",IF($C1079="دستمزد گروهی",IFERROR(VLOOKUP($E1079,WGTbl,2,0),"کد ناشناخته"),IFERROR(IF(VLOOKUP($E1079,AcctTblE,4,0)="","(بدون نام)",VLOOKUP($E1079,AcctTblE,4,0)),"کد ناشناخته")))</f>
        <v/>
      </c>
      <c r="G1079" s="15" t="n"/>
      <c r="H1079" s="16">
        <f>IF(OR($C1079&lt;&gt;"دستمزد گروهی",$D1079=""),"",SUMIFS(ShareAmt,ShareLink,$D1079))</f>
        <v/>
      </c>
      <c r="I1079" s="17">
        <f>IF($C1079&lt;&gt;"دستمزد گروهی","—",IF($H1079="","",IF(ROUND($H1079-IF($G1079="",0,$G1079),0)=0,"√","▲ مغایرت "&amp;TEXT(IF($G1079="",0,$G1079)-$H1079,"#,##0"))))</f>
        <v/>
      </c>
      <c r="J1079" s="18" t="n"/>
    </row>
    <row r="1080">
      <c r="A1080" s="19">
        <f>IF($B1080="","",COUNTA($B$9:$B1080))</f>
        <v/>
      </c>
      <c r="B1080" s="11" t="n"/>
      <c r="C1080" s="12" t="n"/>
      <c r="D1080" s="12" t="n"/>
      <c r="E1080" s="13" t="n"/>
      <c r="F1080" s="20">
        <f>IF($E1080="","",IF($C1080="دستمزد گروهی",IFERROR(VLOOKUP($E1080,WGTbl,2,0),"کد ناشناخته"),IFERROR(IF(VLOOKUP($E1080,AcctTblE,4,0)="","(بدون نام)",VLOOKUP($E1080,AcctTblE,4,0)),"کد ناشناخته")))</f>
        <v/>
      </c>
      <c r="G1080" s="15" t="n"/>
      <c r="H1080" s="21">
        <f>IF(OR($C1080&lt;&gt;"دستمزد گروهی",$D1080=""),"",SUMIFS(ShareAmt,ShareLink,$D1080))</f>
        <v/>
      </c>
      <c r="I1080" s="22">
        <f>IF($C1080&lt;&gt;"دستمزد گروهی","—",IF($H1080="","",IF(ROUND($H1080-IF($G1080="",0,$G1080),0)=0,"√","▲ مغایرت "&amp;TEXT(IF($G1080="",0,$G1080)-$H1080,"#,##0"))))</f>
        <v/>
      </c>
      <c r="J1080" s="18" t="n"/>
    </row>
    <row r="1081">
      <c r="A1081" s="10">
        <f>IF($B1081="","",COUNTA($B$9:$B1081))</f>
        <v/>
      </c>
      <c r="B1081" s="11" t="n"/>
      <c r="C1081" s="12" t="n"/>
      <c r="D1081" s="12" t="n"/>
      <c r="E1081" s="13" t="n"/>
      <c r="F1081" s="14">
        <f>IF($E1081="","",IF($C1081="دستمزد گروهی",IFERROR(VLOOKUP($E1081,WGTbl,2,0),"کد ناشناخته"),IFERROR(IF(VLOOKUP($E1081,AcctTblE,4,0)="","(بدون نام)",VLOOKUP($E1081,AcctTblE,4,0)),"کد ناشناخته")))</f>
        <v/>
      </c>
      <c r="G1081" s="15" t="n"/>
      <c r="H1081" s="16">
        <f>IF(OR($C1081&lt;&gt;"دستمزد گروهی",$D1081=""),"",SUMIFS(ShareAmt,ShareLink,$D1081))</f>
        <v/>
      </c>
      <c r="I1081" s="17">
        <f>IF($C1081&lt;&gt;"دستمزد گروهی","—",IF($H1081="","",IF(ROUND($H1081-IF($G1081="",0,$G1081),0)=0,"√","▲ مغایرت "&amp;TEXT(IF($G1081="",0,$G1081)-$H1081,"#,##0"))))</f>
        <v/>
      </c>
      <c r="J1081" s="18" t="n"/>
    </row>
    <row r="1082">
      <c r="A1082" s="19">
        <f>IF($B1082="","",COUNTA($B$9:$B1082))</f>
        <v/>
      </c>
      <c r="B1082" s="11" t="n"/>
      <c r="C1082" s="12" t="n"/>
      <c r="D1082" s="12" t="n"/>
      <c r="E1082" s="13" t="n"/>
      <c r="F1082" s="20">
        <f>IF($E1082="","",IF($C1082="دستمزد گروهی",IFERROR(VLOOKUP($E1082,WGTbl,2,0),"کد ناشناخته"),IFERROR(IF(VLOOKUP($E1082,AcctTblE,4,0)="","(بدون نام)",VLOOKUP($E1082,AcctTblE,4,0)),"کد ناشناخته")))</f>
        <v/>
      </c>
      <c r="G1082" s="15" t="n"/>
      <c r="H1082" s="21">
        <f>IF(OR($C1082&lt;&gt;"دستمزد گروهی",$D1082=""),"",SUMIFS(ShareAmt,ShareLink,$D1082))</f>
        <v/>
      </c>
      <c r="I1082" s="22">
        <f>IF($C1082&lt;&gt;"دستمزد گروهی","—",IF($H1082="","",IF(ROUND($H1082-IF($G1082="",0,$G1082),0)=0,"√","▲ مغایرت "&amp;TEXT(IF($G1082="",0,$G1082)-$H1082,"#,##0"))))</f>
        <v/>
      </c>
      <c r="J1082" s="18" t="n"/>
    </row>
    <row r="1083">
      <c r="A1083" s="10">
        <f>IF($B1083="","",COUNTA($B$9:$B1083))</f>
        <v/>
      </c>
      <c r="B1083" s="11" t="n"/>
      <c r="C1083" s="12" t="n"/>
      <c r="D1083" s="12" t="n"/>
      <c r="E1083" s="13" t="n"/>
      <c r="F1083" s="14">
        <f>IF($E1083="","",IF($C1083="دستمزد گروهی",IFERROR(VLOOKUP($E1083,WGTbl,2,0),"کد ناشناخته"),IFERROR(IF(VLOOKUP($E1083,AcctTblE,4,0)="","(بدون نام)",VLOOKUP($E1083,AcctTblE,4,0)),"کد ناشناخته")))</f>
        <v/>
      </c>
      <c r="G1083" s="15" t="n"/>
      <c r="H1083" s="16">
        <f>IF(OR($C1083&lt;&gt;"دستمزد گروهی",$D1083=""),"",SUMIFS(ShareAmt,ShareLink,$D1083))</f>
        <v/>
      </c>
      <c r="I1083" s="17">
        <f>IF($C1083&lt;&gt;"دستمزد گروهی","—",IF($H1083="","",IF(ROUND($H1083-IF($G1083="",0,$G1083),0)=0,"√","▲ مغایرت "&amp;TEXT(IF($G1083="",0,$G1083)-$H1083,"#,##0"))))</f>
        <v/>
      </c>
      <c r="J1083" s="18" t="n"/>
    </row>
    <row r="1084">
      <c r="A1084" s="19">
        <f>IF($B1084="","",COUNTA($B$9:$B1084))</f>
        <v/>
      </c>
      <c r="B1084" s="11" t="n"/>
      <c r="C1084" s="12" t="n"/>
      <c r="D1084" s="12" t="n"/>
      <c r="E1084" s="13" t="n"/>
      <c r="F1084" s="20">
        <f>IF($E1084="","",IF($C1084="دستمزد گروهی",IFERROR(VLOOKUP($E1084,WGTbl,2,0),"کد ناشناخته"),IFERROR(IF(VLOOKUP($E1084,AcctTblE,4,0)="","(بدون نام)",VLOOKUP($E1084,AcctTblE,4,0)),"کد ناشناخته")))</f>
        <v/>
      </c>
      <c r="G1084" s="15" t="n"/>
      <c r="H1084" s="21">
        <f>IF(OR($C1084&lt;&gt;"دستمزد گروهی",$D1084=""),"",SUMIFS(ShareAmt,ShareLink,$D1084))</f>
        <v/>
      </c>
      <c r="I1084" s="22">
        <f>IF($C1084&lt;&gt;"دستمزد گروهی","—",IF($H1084="","",IF(ROUND($H1084-IF($G1084="",0,$G1084),0)=0,"√","▲ مغایرت "&amp;TEXT(IF($G1084="",0,$G1084)-$H1084,"#,##0"))))</f>
        <v/>
      </c>
      <c r="J1084" s="18" t="n"/>
    </row>
    <row r="1085">
      <c r="A1085" s="10">
        <f>IF($B1085="","",COUNTA($B$9:$B1085))</f>
        <v/>
      </c>
      <c r="B1085" s="11" t="n"/>
      <c r="C1085" s="12" t="n"/>
      <c r="D1085" s="12" t="n"/>
      <c r="E1085" s="13" t="n"/>
      <c r="F1085" s="14">
        <f>IF($E1085="","",IF($C1085="دستمزد گروهی",IFERROR(VLOOKUP($E1085,WGTbl,2,0),"کد ناشناخته"),IFERROR(IF(VLOOKUP($E1085,AcctTblE,4,0)="","(بدون نام)",VLOOKUP($E1085,AcctTblE,4,0)),"کد ناشناخته")))</f>
        <v/>
      </c>
      <c r="G1085" s="15" t="n"/>
      <c r="H1085" s="16">
        <f>IF(OR($C1085&lt;&gt;"دستمزد گروهی",$D1085=""),"",SUMIFS(ShareAmt,ShareLink,$D1085))</f>
        <v/>
      </c>
      <c r="I1085" s="17">
        <f>IF($C1085&lt;&gt;"دستمزد گروهی","—",IF($H1085="","",IF(ROUND($H1085-IF($G1085="",0,$G1085),0)=0,"√","▲ مغایرت "&amp;TEXT(IF($G1085="",0,$G1085)-$H1085,"#,##0"))))</f>
        <v/>
      </c>
      <c r="J1085" s="18" t="n"/>
    </row>
    <row r="1086">
      <c r="A1086" s="19">
        <f>IF($B1086="","",COUNTA($B$9:$B1086))</f>
        <v/>
      </c>
      <c r="B1086" s="11" t="n"/>
      <c r="C1086" s="12" t="n"/>
      <c r="D1086" s="12" t="n"/>
      <c r="E1086" s="13" t="n"/>
      <c r="F1086" s="20">
        <f>IF($E1086="","",IF($C1086="دستمزد گروهی",IFERROR(VLOOKUP($E1086,WGTbl,2,0),"کد ناشناخته"),IFERROR(IF(VLOOKUP($E1086,AcctTblE,4,0)="","(بدون نام)",VLOOKUP($E1086,AcctTblE,4,0)),"کد ناشناخته")))</f>
        <v/>
      </c>
      <c r="G1086" s="15" t="n"/>
      <c r="H1086" s="21">
        <f>IF(OR($C1086&lt;&gt;"دستمزد گروهی",$D1086=""),"",SUMIFS(ShareAmt,ShareLink,$D1086))</f>
        <v/>
      </c>
      <c r="I1086" s="22">
        <f>IF($C1086&lt;&gt;"دستمزد گروهی","—",IF($H1086="","",IF(ROUND($H1086-IF($G1086="",0,$G1086),0)=0,"√","▲ مغایرت "&amp;TEXT(IF($G1086="",0,$G1086)-$H1086,"#,##0"))))</f>
        <v/>
      </c>
      <c r="J1086" s="18" t="n"/>
    </row>
    <row r="1087">
      <c r="A1087" s="10">
        <f>IF($B1087="","",COUNTA($B$9:$B1087))</f>
        <v/>
      </c>
      <c r="B1087" s="11" t="n"/>
      <c r="C1087" s="12" t="n"/>
      <c r="D1087" s="12" t="n"/>
      <c r="E1087" s="13" t="n"/>
      <c r="F1087" s="14">
        <f>IF($E1087="","",IF($C1087="دستمزد گروهی",IFERROR(VLOOKUP($E1087,WGTbl,2,0),"کد ناشناخته"),IFERROR(IF(VLOOKUP($E1087,AcctTblE,4,0)="","(بدون نام)",VLOOKUP($E1087,AcctTblE,4,0)),"کد ناشناخته")))</f>
        <v/>
      </c>
      <c r="G1087" s="15" t="n"/>
      <c r="H1087" s="16">
        <f>IF(OR($C1087&lt;&gt;"دستمزد گروهی",$D1087=""),"",SUMIFS(ShareAmt,ShareLink,$D1087))</f>
        <v/>
      </c>
      <c r="I1087" s="17">
        <f>IF($C1087&lt;&gt;"دستمزد گروهی","—",IF($H1087="","",IF(ROUND($H1087-IF($G1087="",0,$G1087),0)=0,"√","▲ مغایرت "&amp;TEXT(IF($G1087="",0,$G1087)-$H1087,"#,##0"))))</f>
        <v/>
      </c>
      <c r="J1087" s="18" t="n"/>
    </row>
    <row r="1088">
      <c r="A1088" s="19">
        <f>IF($B1088="","",COUNTA($B$9:$B1088))</f>
        <v/>
      </c>
      <c r="B1088" s="11" t="n"/>
      <c r="C1088" s="12" t="n"/>
      <c r="D1088" s="12" t="n"/>
      <c r="E1088" s="13" t="n"/>
      <c r="F1088" s="20">
        <f>IF($E1088="","",IF($C1088="دستمزد گروهی",IFERROR(VLOOKUP($E1088,WGTbl,2,0),"کد ناشناخته"),IFERROR(IF(VLOOKUP($E1088,AcctTblE,4,0)="","(بدون نام)",VLOOKUP($E1088,AcctTblE,4,0)),"کد ناشناخته")))</f>
        <v/>
      </c>
      <c r="G1088" s="15" t="n"/>
      <c r="H1088" s="21">
        <f>IF(OR($C1088&lt;&gt;"دستمزد گروهی",$D1088=""),"",SUMIFS(ShareAmt,ShareLink,$D1088))</f>
        <v/>
      </c>
      <c r="I1088" s="22">
        <f>IF($C1088&lt;&gt;"دستمزد گروهی","—",IF($H1088="","",IF(ROUND($H1088-IF($G1088="",0,$G1088),0)=0,"√","▲ مغایرت "&amp;TEXT(IF($G1088="",0,$G1088)-$H1088,"#,##0"))))</f>
        <v/>
      </c>
      <c r="J1088" s="18" t="n"/>
    </row>
    <row r="1089">
      <c r="A1089" s="10">
        <f>IF($B1089="","",COUNTA($B$9:$B1089))</f>
        <v/>
      </c>
      <c r="B1089" s="11" t="n"/>
      <c r="C1089" s="12" t="n"/>
      <c r="D1089" s="12" t="n"/>
      <c r="E1089" s="13" t="n"/>
      <c r="F1089" s="14">
        <f>IF($E1089="","",IF($C1089="دستمزد گروهی",IFERROR(VLOOKUP($E1089,WGTbl,2,0),"کد ناشناخته"),IFERROR(IF(VLOOKUP($E1089,AcctTblE,4,0)="","(بدون نام)",VLOOKUP($E1089,AcctTblE,4,0)),"کد ناشناخته")))</f>
        <v/>
      </c>
      <c r="G1089" s="15" t="n"/>
      <c r="H1089" s="16">
        <f>IF(OR($C1089&lt;&gt;"دستمزد گروهی",$D1089=""),"",SUMIFS(ShareAmt,ShareLink,$D1089))</f>
        <v/>
      </c>
      <c r="I1089" s="17">
        <f>IF($C1089&lt;&gt;"دستمزد گروهی","—",IF($H1089="","",IF(ROUND($H1089-IF($G1089="",0,$G1089),0)=0,"√","▲ مغایرت "&amp;TEXT(IF($G1089="",0,$G1089)-$H1089,"#,##0"))))</f>
        <v/>
      </c>
      <c r="J1089" s="18" t="n"/>
    </row>
    <row r="1090">
      <c r="A1090" s="19">
        <f>IF($B1090="","",COUNTA($B$9:$B1090))</f>
        <v/>
      </c>
      <c r="B1090" s="11" t="n"/>
      <c r="C1090" s="12" t="n"/>
      <c r="D1090" s="12" t="n"/>
      <c r="E1090" s="13" t="n"/>
      <c r="F1090" s="20">
        <f>IF($E1090="","",IF($C1090="دستمزد گروهی",IFERROR(VLOOKUP($E1090,WGTbl,2,0),"کد ناشناخته"),IFERROR(IF(VLOOKUP($E1090,AcctTblE,4,0)="","(بدون نام)",VLOOKUP($E1090,AcctTblE,4,0)),"کد ناشناخته")))</f>
        <v/>
      </c>
      <c r="G1090" s="15" t="n"/>
      <c r="H1090" s="21">
        <f>IF(OR($C1090&lt;&gt;"دستمزد گروهی",$D1090=""),"",SUMIFS(ShareAmt,ShareLink,$D1090))</f>
        <v/>
      </c>
      <c r="I1090" s="22">
        <f>IF($C1090&lt;&gt;"دستمزد گروهی","—",IF($H1090="","",IF(ROUND($H1090-IF($G1090="",0,$G1090),0)=0,"√","▲ مغایرت "&amp;TEXT(IF($G1090="",0,$G1090)-$H1090,"#,##0"))))</f>
        <v/>
      </c>
      <c r="J1090" s="18" t="n"/>
    </row>
    <row r="1091">
      <c r="A1091" s="10">
        <f>IF($B1091="","",COUNTA($B$9:$B1091))</f>
        <v/>
      </c>
      <c r="B1091" s="11" t="n"/>
      <c r="C1091" s="12" t="n"/>
      <c r="D1091" s="12" t="n"/>
      <c r="E1091" s="13" t="n"/>
      <c r="F1091" s="14">
        <f>IF($E1091="","",IF($C1091="دستمزد گروهی",IFERROR(VLOOKUP($E1091,WGTbl,2,0),"کد ناشناخته"),IFERROR(IF(VLOOKUP($E1091,AcctTblE,4,0)="","(بدون نام)",VLOOKUP($E1091,AcctTblE,4,0)),"کد ناشناخته")))</f>
        <v/>
      </c>
      <c r="G1091" s="15" t="n"/>
      <c r="H1091" s="16">
        <f>IF(OR($C1091&lt;&gt;"دستمزد گروهی",$D1091=""),"",SUMIFS(ShareAmt,ShareLink,$D1091))</f>
        <v/>
      </c>
      <c r="I1091" s="17">
        <f>IF($C1091&lt;&gt;"دستمزد گروهی","—",IF($H1091="","",IF(ROUND($H1091-IF($G1091="",0,$G1091),0)=0,"√","▲ مغایرت "&amp;TEXT(IF($G1091="",0,$G1091)-$H1091,"#,##0"))))</f>
        <v/>
      </c>
      <c r="J1091" s="18" t="n"/>
    </row>
    <row r="1092">
      <c r="A1092" s="19">
        <f>IF($B1092="","",COUNTA($B$9:$B1092))</f>
        <v/>
      </c>
      <c r="B1092" s="11" t="n"/>
      <c r="C1092" s="12" t="n"/>
      <c r="D1092" s="12" t="n"/>
      <c r="E1092" s="13" t="n"/>
      <c r="F1092" s="20">
        <f>IF($E1092="","",IF($C1092="دستمزد گروهی",IFERROR(VLOOKUP($E1092,WGTbl,2,0),"کد ناشناخته"),IFERROR(IF(VLOOKUP($E1092,AcctTblE,4,0)="","(بدون نام)",VLOOKUP($E1092,AcctTblE,4,0)),"کد ناشناخته")))</f>
        <v/>
      </c>
      <c r="G1092" s="15" t="n"/>
      <c r="H1092" s="21">
        <f>IF(OR($C1092&lt;&gt;"دستمزد گروهی",$D1092=""),"",SUMIFS(ShareAmt,ShareLink,$D1092))</f>
        <v/>
      </c>
      <c r="I1092" s="22">
        <f>IF($C1092&lt;&gt;"دستمزد گروهی","—",IF($H1092="","",IF(ROUND($H1092-IF($G1092="",0,$G1092),0)=0,"√","▲ مغایرت "&amp;TEXT(IF($G1092="",0,$G1092)-$H1092,"#,##0"))))</f>
        <v/>
      </c>
      <c r="J1092" s="18" t="n"/>
    </row>
    <row r="1093">
      <c r="A1093" s="10">
        <f>IF($B1093="","",COUNTA($B$9:$B1093))</f>
        <v/>
      </c>
      <c r="B1093" s="11" t="n"/>
      <c r="C1093" s="12" t="n"/>
      <c r="D1093" s="12" t="n"/>
      <c r="E1093" s="13" t="n"/>
      <c r="F1093" s="14">
        <f>IF($E1093="","",IF($C1093="دستمزد گروهی",IFERROR(VLOOKUP($E1093,WGTbl,2,0),"کد ناشناخته"),IFERROR(IF(VLOOKUP($E1093,AcctTblE,4,0)="","(بدون نام)",VLOOKUP($E1093,AcctTblE,4,0)),"کد ناشناخته")))</f>
        <v/>
      </c>
      <c r="G1093" s="15" t="n"/>
      <c r="H1093" s="16">
        <f>IF(OR($C1093&lt;&gt;"دستمزد گروهی",$D1093=""),"",SUMIFS(ShareAmt,ShareLink,$D1093))</f>
        <v/>
      </c>
      <c r="I1093" s="17">
        <f>IF($C1093&lt;&gt;"دستمزد گروهی","—",IF($H1093="","",IF(ROUND($H1093-IF($G1093="",0,$G1093),0)=0,"√","▲ مغایرت "&amp;TEXT(IF($G1093="",0,$G1093)-$H1093,"#,##0"))))</f>
        <v/>
      </c>
      <c r="J1093" s="18" t="n"/>
    </row>
    <row r="1094">
      <c r="A1094" s="19">
        <f>IF($B1094="","",COUNTA($B$9:$B1094))</f>
        <v/>
      </c>
      <c r="B1094" s="11" t="n"/>
      <c r="C1094" s="12" t="n"/>
      <c r="D1094" s="12" t="n"/>
      <c r="E1094" s="13" t="n"/>
      <c r="F1094" s="20">
        <f>IF($E1094="","",IF($C1094="دستمزد گروهی",IFERROR(VLOOKUP($E1094,WGTbl,2,0),"کد ناشناخته"),IFERROR(IF(VLOOKUP($E1094,AcctTblE,4,0)="","(بدون نام)",VLOOKUP($E1094,AcctTblE,4,0)),"کد ناشناخته")))</f>
        <v/>
      </c>
      <c r="G1094" s="15" t="n"/>
      <c r="H1094" s="21">
        <f>IF(OR($C1094&lt;&gt;"دستمزد گروهی",$D1094=""),"",SUMIFS(ShareAmt,ShareLink,$D1094))</f>
        <v/>
      </c>
      <c r="I1094" s="22">
        <f>IF($C1094&lt;&gt;"دستمزد گروهی","—",IF($H1094="","",IF(ROUND($H1094-IF($G1094="",0,$G1094),0)=0,"√","▲ مغایرت "&amp;TEXT(IF($G1094="",0,$G1094)-$H1094,"#,##0"))))</f>
        <v/>
      </c>
      <c r="J1094" s="18" t="n"/>
    </row>
    <row r="1095">
      <c r="A1095" s="10">
        <f>IF($B1095="","",COUNTA($B$9:$B1095))</f>
        <v/>
      </c>
      <c r="B1095" s="11" t="n"/>
      <c r="C1095" s="12" t="n"/>
      <c r="D1095" s="12" t="n"/>
      <c r="E1095" s="13" t="n"/>
      <c r="F1095" s="14">
        <f>IF($E1095="","",IF($C1095="دستمزد گروهی",IFERROR(VLOOKUP($E1095,WGTbl,2,0),"کد ناشناخته"),IFERROR(IF(VLOOKUP($E1095,AcctTblE,4,0)="","(بدون نام)",VLOOKUP($E1095,AcctTblE,4,0)),"کد ناشناخته")))</f>
        <v/>
      </c>
      <c r="G1095" s="15" t="n"/>
      <c r="H1095" s="16">
        <f>IF(OR($C1095&lt;&gt;"دستمزد گروهی",$D1095=""),"",SUMIFS(ShareAmt,ShareLink,$D1095))</f>
        <v/>
      </c>
      <c r="I1095" s="17">
        <f>IF($C1095&lt;&gt;"دستمزد گروهی","—",IF($H1095="","",IF(ROUND($H1095-IF($G1095="",0,$G1095),0)=0,"√","▲ مغایرت "&amp;TEXT(IF($G1095="",0,$G1095)-$H1095,"#,##0"))))</f>
        <v/>
      </c>
      <c r="J1095" s="18" t="n"/>
    </row>
    <row r="1096">
      <c r="A1096" s="19">
        <f>IF($B1096="","",COUNTA($B$9:$B1096))</f>
        <v/>
      </c>
      <c r="B1096" s="11" t="n"/>
      <c r="C1096" s="12" t="n"/>
      <c r="D1096" s="12" t="n"/>
      <c r="E1096" s="13" t="n"/>
      <c r="F1096" s="20">
        <f>IF($E1096="","",IF($C1096="دستمزد گروهی",IFERROR(VLOOKUP($E1096,WGTbl,2,0),"کد ناشناخته"),IFERROR(IF(VLOOKUP($E1096,AcctTblE,4,0)="","(بدون نام)",VLOOKUP($E1096,AcctTblE,4,0)),"کد ناشناخته")))</f>
        <v/>
      </c>
      <c r="G1096" s="15" t="n"/>
      <c r="H1096" s="21">
        <f>IF(OR($C1096&lt;&gt;"دستمزد گروهی",$D1096=""),"",SUMIFS(ShareAmt,ShareLink,$D1096))</f>
        <v/>
      </c>
      <c r="I1096" s="22">
        <f>IF($C1096&lt;&gt;"دستمزد گروهی","—",IF($H1096="","",IF(ROUND($H1096-IF($G1096="",0,$G1096),0)=0,"√","▲ مغایرت "&amp;TEXT(IF($G1096="",0,$G1096)-$H1096,"#,##0"))))</f>
        <v/>
      </c>
      <c r="J1096" s="18" t="n"/>
    </row>
    <row r="1097">
      <c r="A1097" s="10">
        <f>IF($B1097="","",COUNTA($B$9:$B1097))</f>
        <v/>
      </c>
      <c r="B1097" s="11" t="n"/>
      <c r="C1097" s="12" t="n"/>
      <c r="D1097" s="12" t="n"/>
      <c r="E1097" s="13" t="n"/>
      <c r="F1097" s="14">
        <f>IF($E1097="","",IF($C1097="دستمزد گروهی",IFERROR(VLOOKUP($E1097,WGTbl,2,0),"کد ناشناخته"),IFERROR(IF(VLOOKUP($E1097,AcctTblE,4,0)="","(بدون نام)",VLOOKUP($E1097,AcctTblE,4,0)),"کد ناشناخته")))</f>
        <v/>
      </c>
      <c r="G1097" s="15" t="n"/>
      <c r="H1097" s="16">
        <f>IF(OR($C1097&lt;&gt;"دستمزد گروهی",$D1097=""),"",SUMIFS(ShareAmt,ShareLink,$D1097))</f>
        <v/>
      </c>
      <c r="I1097" s="17">
        <f>IF($C1097&lt;&gt;"دستمزد گروهی","—",IF($H1097="","",IF(ROUND($H1097-IF($G1097="",0,$G1097),0)=0,"√","▲ مغایرت "&amp;TEXT(IF($G1097="",0,$G1097)-$H1097,"#,##0"))))</f>
        <v/>
      </c>
      <c r="J1097" s="18" t="n"/>
    </row>
    <row r="1098">
      <c r="A1098" s="19">
        <f>IF($B1098="","",COUNTA($B$9:$B1098))</f>
        <v/>
      </c>
      <c r="B1098" s="11" t="n"/>
      <c r="C1098" s="12" t="n"/>
      <c r="D1098" s="12" t="n"/>
      <c r="E1098" s="13" t="n"/>
      <c r="F1098" s="20">
        <f>IF($E1098="","",IF($C1098="دستمزد گروهی",IFERROR(VLOOKUP($E1098,WGTbl,2,0),"کد ناشناخته"),IFERROR(IF(VLOOKUP($E1098,AcctTblE,4,0)="","(بدون نام)",VLOOKUP($E1098,AcctTblE,4,0)),"کد ناشناخته")))</f>
        <v/>
      </c>
      <c r="G1098" s="15" t="n"/>
      <c r="H1098" s="21">
        <f>IF(OR($C1098&lt;&gt;"دستمزد گروهی",$D1098=""),"",SUMIFS(ShareAmt,ShareLink,$D1098))</f>
        <v/>
      </c>
      <c r="I1098" s="22">
        <f>IF($C1098&lt;&gt;"دستمزد گروهی","—",IF($H1098="","",IF(ROUND($H1098-IF($G1098="",0,$G1098),0)=0,"√","▲ مغایرت "&amp;TEXT(IF($G1098="",0,$G1098)-$H1098,"#,##0"))))</f>
        <v/>
      </c>
      <c r="J1098" s="18" t="n"/>
    </row>
    <row r="1099">
      <c r="A1099" s="10">
        <f>IF($B1099="","",COUNTA($B$9:$B1099))</f>
        <v/>
      </c>
      <c r="B1099" s="11" t="n"/>
      <c r="C1099" s="12" t="n"/>
      <c r="D1099" s="12" t="n"/>
      <c r="E1099" s="13" t="n"/>
      <c r="F1099" s="14">
        <f>IF($E1099="","",IF($C1099="دستمزد گروهی",IFERROR(VLOOKUP($E1099,WGTbl,2,0),"کد ناشناخته"),IFERROR(IF(VLOOKUP($E1099,AcctTblE,4,0)="","(بدون نام)",VLOOKUP($E1099,AcctTblE,4,0)),"کد ناشناخته")))</f>
        <v/>
      </c>
      <c r="G1099" s="15" t="n"/>
      <c r="H1099" s="16">
        <f>IF(OR($C1099&lt;&gt;"دستمزد گروهی",$D1099=""),"",SUMIFS(ShareAmt,ShareLink,$D1099))</f>
        <v/>
      </c>
      <c r="I1099" s="17">
        <f>IF($C1099&lt;&gt;"دستمزد گروهی","—",IF($H1099="","",IF(ROUND($H1099-IF($G1099="",0,$G1099),0)=0,"√","▲ مغایرت "&amp;TEXT(IF($G1099="",0,$G1099)-$H1099,"#,##0"))))</f>
        <v/>
      </c>
      <c r="J1099" s="18" t="n"/>
    </row>
    <row r="1100">
      <c r="A1100" s="19">
        <f>IF($B1100="","",COUNTA($B$9:$B1100))</f>
        <v/>
      </c>
      <c r="B1100" s="11" t="n"/>
      <c r="C1100" s="12" t="n"/>
      <c r="D1100" s="12" t="n"/>
      <c r="E1100" s="13" t="n"/>
      <c r="F1100" s="20">
        <f>IF($E1100="","",IF($C1100="دستمزد گروهی",IFERROR(VLOOKUP($E1100,WGTbl,2,0),"کد ناشناخته"),IFERROR(IF(VLOOKUP($E1100,AcctTblE,4,0)="","(بدون نام)",VLOOKUP($E1100,AcctTblE,4,0)),"کد ناشناخته")))</f>
        <v/>
      </c>
      <c r="G1100" s="15" t="n"/>
      <c r="H1100" s="21">
        <f>IF(OR($C1100&lt;&gt;"دستمزد گروهی",$D1100=""),"",SUMIFS(ShareAmt,ShareLink,$D1100))</f>
        <v/>
      </c>
      <c r="I1100" s="22">
        <f>IF($C1100&lt;&gt;"دستمزد گروهی","—",IF($H1100="","",IF(ROUND($H1100-IF($G1100="",0,$G1100),0)=0,"√","▲ مغایرت "&amp;TEXT(IF($G1100="",0,$G1100)-$H1100,"#,##0"))))</f>
        <v/>
      </c>
      <c r="J1100" s="18" t="n"/>
    </row>
    <row r="1101">
      <c r="A1101" s="10">
        <f>IF($B1101="","",COUNTA($B$9:$B1101))</f>
        <v/>
      </c>
      <c r="B1101" s="11" t="n"/>
      <c r="C1101" s="12" t="n"/>
      <c r="D1101" s="12" t="n"/>
      <c r="E1101" s="13" t="n"/>
      <c r="F1101" s="14">
        <f>IF($E1101="","",IF($C1101="دستمزد گروهی",IFERROR(VLOOKUP($E1101,WGTbl,2,0),"کد ناشناخته"),IFERROR(IF(VLOOKUP($E1101,AcctTblE,4,0)="","(بدون نام)",VLOOKUP($E1101,AcctTblE,4,0)),"کد ناشناخته")))</f>
        <v/>
      </c>
      <c r="G1101" s="15" t="n"/>
      <c r="H1101" s="16">
        <f>IF(OR($C1101&lt;&gt;"دستمزد گروهی",$D1101=""),"",SUMIFS(ShareAmt,ShareLink,$D1101))</f>
        <v/>
      </c>
      <c r="I1101" s="17">
        <f>IF($C1101&lt;&gt;"دستمزد گروهی","—",IF($H1101="","",IF(ROUND($H1101-IF($G1101="",0,$G1101),0)=0,"√","▲ مغایرت "&amp;TEXT(IF($G1101="",0,$G1101)-$H1101,"#,##0"))))</f>
        <v/>
      </c>
      <c r="J1101" s="18" t="n"/>
    </row>
    <row r="1102">
      <c r="A1102" s="19">
        <f>IF($B1102="","",COUNTA($B$9:$B1102))</f>
        <v/>
      </c>
      <c r="B1102" s="11" t="n"/>
      <c r="C1102" s="12" t="n"/>
      <c r="D1102" s="12" t="n"/>
      <c r="E1102" s="13" t="n"/>
      <c r="F1102" s="20">
        <f>IF($E1102="","",IF($C1102="دستمزد گروهی",IFERROR(VLOOKUP($E1102,WGTbl,2,0),"کد ناشناخته"),IFERROR(IF(VLOOKUP($E1102,AcctTblE,4,0)="","(بدون نام)",VLOOKUP($E1102,AcctTblE,4,0)),"کد ناشناخته")))</f>
        <v/>
      </c>
      <c r="G1102" s="15" t="n"/>
      <c r="H1102" s="21">
        <f>IF(OR($C1102&lt;&gt;"دستمزد گروهی",$D1102=""),"",SUMIFS(ShareAmt,ShareLink,$D1102))</f>
        <v/>
      </c>
      <c r="I1102" s="22">
        <f>IF($C1102&lt;&gt;"دستمزد گروهی","—",IF($H1102="","",IF(ROUND($H1102-IF($G1102="",0,$G1102),0)=0,"√","▲ مغایرت "&amp;TEXT(IF($G1102="",0,$G1102)-$H1102,"#,##0"))))</f>
        <v/>
      </c>
      <c r="J1102" s="18" t="n"/>
    </row>
    <row r="1103">
      <c r="A1103" s="10">
        <f>IF($B1103="","",COUNTA($B$9:$B1103))</f>
        <v/>
      </c>
      <c r="B1103" s="11" t="n"/>
      <c r="C1103" s="12" t="n"/>
      <c r="D1103" s="12" t="n"/>
      <c r="E1103" s="13" t="n"/>
      <c r="F1103" s="14">
        <f>IF($E1103="","",IF($C1103="دستمزد گروهی",IFERROR(VLOOKUP($E1103,WGTbl,2,0),"کد ناشناخته"),IFERROR(IF(VLOOKUP($E1103,AcctTblE,4,0)="","(بدون نام)",VLOOKUP($E1103,AcctTblE,4,0)),"کد ناشناخته")))</f>
        <v/>
      </c>
      <c r="G1103" s="15" t="n"/>
      <c r="H1103" s="16">
        <f>IF(OR($C1103&lt;&gt;"دستمزد گروهی",$D1103=""),"",SUMIFS(ShareAmt,ShareLink,$D1103))</f>
        <v/>
      </c>
      <c r="I1103" s="17">
        <f>IF($C1103&lt;&gt;"دستمزد گروهی","—",IF($H1103="","",IF(ROUND($H1103-IF($G1103="",0,$G1103),0)=0,"√","▲ مغایرت "&amp;TEXT(IF($G1103="",0,$G1103)-$H1103,"#,##0"))))</f>
        <v/>
      </c>
      <c r="J1103" s="18" t="n"/>
    </row>
    <row r="1104">
      <c r="A1104" s="19">
        <f>IF($B1104="","",COUNTA($B$9:$B1104))</f>
        <v/>
      </c>
      <c r="B1104" s="11" t="n"/>
      <c r="C1104" s="12" t="n"/>
      <c r="D1104" s="12" t="n"/>
      <c r="E1104" s="13" t="n"/>
      <c r="F1104" s="20">
        <f>IF($E1104="","",IF($C1104="دستمزد گروهی",IFERROR(VLOOKUP($E1104,WGTbl,2,0),"کد ناشناخته"),IFERROR(IF(VLOOKUP($E1104,AcctTblE,4,0)="","(بدون نام)",VLOOKUP($E1104,AcctTblE,4,0)),"کد ناشناخته")))</f>
        <v/>
      </c>
      <c r="G1104" s="15" t="n"/>
      <c r="H1104" s="21">
        <f>IF(OR($C1104&lt;&gt;"دستمزد گروهی",$D1104=""),"",SUMIFS(ShareAmt,ShareLink,$D1104))</f>
        <v/>
      </c>
      <c r="I1104" s="22">
        <f>IF($C1104&lt;&gt;"دستمزد گروهی","—",IF($H1104="","",IF(ROUND($H1104-IF($G1104="",0,$G1104),0)=0,"√","▲ مغایرت "&amp;TEXT(IF($G1104="",0,$G1104)-$H1104,"#,##0"))))</f>
        <v/>
      </c>
      <c r="J1104" s="18" t="n"/>
    </row>
    <row r="1105">
      <c r="A1105" s="10">
        <f>IF($B1105="","",COUNTA($B$9:$B1105))</f>
        <v/>
      </c>
      <c r="B1105" s="11" t="n"/>
      <c r="C1105" s="12" t="n"/>
      <c r="D1105" s="12" t="n"/>
      <c r="E1105" s="13" t="n"/>
      <c r="F1105" s="14">
        <f>IF($E1105="","",IF($C1105="دستمزد گروهی",IFERROR(VLOOKUP($E1105,WGTbl,2,0),"کد ناشناخته"),IFERROR(IF(VLOOKUP($E1105,AcctTblE,4,0)="","(بدون نام)",VLOOKUP($E1105,AcctTblE,4,0)),"کد ناشناخته")))</f>
        <v/>
      </c>
      <c r="G1105" s="15" t="n"/>
      <c r="H1105" s="16">
        <f>IF(OR($C1105&lt;&gt;"دستمزد گروهی",$D1105=""),"",SUMIFS(ShareAmt,ShareLink,$D1105))</f>
        <v/>
      </c>
      <c r="I1105" s="17">
        <f>IF($C1105&lt;&gt;"دستمزد گروهی","—",IF($H1105="","",IF(ROUND($H1105-IF($G1105="",0,$G1105),0)=0,"√","▲ مغایرت "&amp;TEXT(IF($G1105="",0,$G1105)-$H1105,"#,##0"))))</f>
        <v/>
      </c>
      <c r="J1105" s="18" t="n"/>
    </row>
    <row r="1106">
      <c r="A1106" s="19">
        <f>IF($B1106="","",COUNTA($B$9:$B1106))</f>
        <v/>
      </c>
      <c r="B1106" s="11" t="n"/>
      <c r="C1106" s="12" t="n"/>
      <c r="D1106" s="12" t="n"/>
      <c r="E1106" s="13" t="n"/>
      <c r="F1106" s="20">
        <f>IF($E1106="","",IF($C1106="دستمزد گروهی",IFERROR(VLOOKUP($E1106,WGTbl,2,0),"کد ناشناخته"),IFERROR(IF(VLOOKUP($E1106,AcctTblE,4,0)="","(بدون نام)",VLOOKUP($E1106,AcctTblE,4,0)),"کد ناشناخته")))</f>
        <v/>
      </c>
      <c r="G1106" s="15" t="n"/>
      <c r="H1106" s="21">
        <f>IF(OR($C1106&lt;&gt;"دستمزد گروهی",$D1106=""),"",SUMIFS(ShareAmt,ShareLink,$D1106))</f>
        <v/>
      </c>
      <c r="I1106" s="22">
        <f>IF($C1106&lt;&gt;"دستمزد گروهی","—",IF($H1106="","",IF(ROUND($H1106-IF($G1106="",0,$G1106),0)=0,"√","▲ مغایرت "&amp;TEXT(IF($G1106="",0,$G1106)-$H1106,"#,##0"))))</f>
        <v/>
      </c>
      <c r="J1106" s="18" t="n"/>
    </row>
    <row r="1107">
      <c r="A1107" s="10">
        <f>IF($B1107="","",COUNTA($B$9:$B1107))</f>
        <v/>
      </c>
      <c r="B1107" s="11" t="n"/>
      <c r="C1107" s="12" t="n"/>
      <c r="D1107" s="12" t="n"/>
      <c r="E1107" s="13" t="n"/>
      <c r="F1107" s="14">
        <f>IF($E1107="","",IF($C1107="دستمزد گروهی",IFERROR(VLOOKUP($E1107,WGTbl,2,0),"کد ناشناخته"),IFERROR(IF(VLOOKUP($E1107,AcctTblE,4,0)="","(بدون نام)",VLOOKUP($E1107,AcctTblE,4,0)),"کد ناشناخته")))</f>
        <v/>
      </c>
      <c r="G1107" s="15" t="n"/>
      <c r="H1107" s="16">
        <f>IF(OR($C1107&lt;&gt;"دستمزد گروهی",$D1107=""),"",SUMIFS(ShareAmt,ShareLink,$D1107))</f>
        <v/>
      </c>
      <c r="I1107" s="17">
        <f>IF($C1107&lt;&gt;"دستمزد گروهی","—",IF($H1107="","",IF(ROUND($H1107-IF($G1107="",0,$G1107),0)=0,"√","▲ مغایرت "&amp;TEXT(IF($G1107="",0,$G1107)-$H1107,"#,##0"))))</f>
        <v/>
      </c>
      <c r="J1107" s="18" t="n"/>
    </row>
    <row r="1108">
      <c r="A1108" s="19">
        <f>IF($B1108="","",COUNTA($B$9:$B1108))</f>
        <v/>
      </c>
      <c r="B1108" s="11" t="n"/>
      <c r="C1108" s="12" t="n"/>
      <c r="D1108" s="12" t="n"/>
      <c r="E1108" s="13" t="n"/>
      <c r="F1108" s="20">
        <f>IF($E1108="","",IF($C1108="دستمزد گروهی",IFERROR(VLOOKUP($E1108,WGTbl,2,0),"کد ناشناخته"),IFERROR(IF(VLOOKUP($E1108,AcctTblE,4,0)="","(بدون نام)",VLOOKUP($E1108,AcctTblE,4,0)),"کد ناشناخته")))</f>
        <v/>
      </c>
      <c r="G1108" s="15" t="n"/>
      <c r="H1108" s="21">
        <f>IF(OR($C1108&lt;&gt;"دستمزد گروهی",$D1108=""),"",SUMIFS(ShareAmt,ShareLink,$D1108))</f>
        <v/>
      </c>
      <c r="I1108" s="22">
        <f>IF($C1108&lt;&gt;"دستمزد گروهی","—",IF($H1108="","",IF(ROUND($H1108-IF($G1108="",0,$G1108),0)=0,"√","▲ مغایرت "&amp;TEXT(IF($G1108="",0,$G1108)-$H1108,"#,##0"))))</f>
        <v/>
      </c>
      <c r="J1108" s="18" t="n"/>
    </row>
    <row r="1109">
      <c r="A1109" s="10">
        <f>IF($B1109="","",COUNTA($B$9:$B1109))</f>
        <v/>
      </c>
      <c r="B1109" s="11" t="n"/>
      <c r="C1109" s="12" t="n"/>
      <c r="D1109" s="12" t="n"/>
      <c r="E1109" s="13" t="n"/>
      <c r="F1109" s="14">
        <f>IF($E1109="","",IF($C1109="دستمزد گروهی",IFERROR(VLOOKUP($E1109,WGTbl,2,0),"کد ناشناخته"),IFERROR(IF(VLOOKUP($E1109,AcctTblE,4,0)="","(بدون نام)",VLOOKUP($E1109,AcctTblE,4,0)),"کد ناشناخته")))</f>
        <v/>
      </c>
      <c r="G1109" s="15" t="n"/>
      <c r="H1109" s="16">
        <f>IF(OR($C1109&lt;&gt;"دستمزد گروهی",$D1109=""),"",SUMIFS(ShareAmt,ShareLink,$D1109))</f>
        <v/>
      </c>
      <c r="I1109" s="17">
        <f>IF($C1109&lt;&gt;"دستمزد گروهی","—",IF($H1109="","",IF(ROUND($H1109-IF($G1109="",0,$G1109),0)=0,"√","▲ مغایرت "&amp;TEXT(IF($G1109="",0,$G1109)-$H1109,"#,##0"))))</f>
        <v/>
      </c>
      <c r="J1109" s="18" t="n"/>
    </row>
    <row r="1110">
      <c r="A1110" s="19">
        <f>IF($B1110="","",COUNTA($B$9:$B1110))</f>
        <v/>
      </c>
      <c r="B1110" s="11" t="n"/>
      <c r="C1110" s="12" t="n"/>
      <c r="D1110" s="12" t="n"/>
      <c r="E1110" s="13" t="n"/>
      <c r="F1110" s="20">
        <f>IF($E1110="","",IF($C1110="دستمزد گروهی",IFERROR(VLOOKUP($E1110,WGTbl,2,0),"کد ناشناخته"),IFERROR(IF(VLOOKUP($E1110,AcctTblE,4,0)="","(بدون نام)",VLOOKUP($E1110,AcctTblE,4,0)),"کد ناشناخته")))</f>
        <v/>
      </c>
      <c r="G1110" s="15" t="n"/>
      <c r="H1110" s="21">
        <f>IF(OR($C1110&lt;&gt;"دستمزد گروهی",$D1110=""),"",SUMIFS(ShareAmt,ShareLink,$D1110))</f>
        <v/>
      </c>
      <c r="I1110" s="22">
        <f>IF($C1110&lt;&gt;"دستمزد گروهی","—",IF($H1110="","",IF(ROUND($H1110-IF($G1110="",0,$G1110),0)=0,"√","▲ مغایرت "&amp;TEXT(IF($G1110="",0,$G1110)-$H1110,"#,##0"))))</f>
        <v/>
      </c>
      <c r="J1110" s="18" t="n"/>
    </row>
    <row r="1111">
      <c r="A1111" s="10">
        <f>IF($B1111="","",COUNTA($B$9:$B1111))</f>
        <v/>
      </c>
      <c r="B1111" s="11" t="n"/>
      <c r="C1111" s="12" t="n"/>
      <c r="D1111" s="12" t="n"/>
      <c r="E1111" s="13" t="n"/>
      <c r="F1111" s="14">
        <f>IF($E1111="","",IF($C1111="دستمزد گروهی",IFERROR(VLOOKUP($E1111,WGTbl,2,0),"کد ناشناخته"),IFERROR(IF(VLOOKUP($E1111,AcctTblE,4,0)="","(بدون نام)",VLOOKUP($E1111,AcctTblE,4,0)),"کد ناشناخته")))</f>
        <v/>
      </c>
      <c r="G1111" s="15" t="n"/>
      <c r="H1111" s="16">
        <f>IF(OR($C1111&lt;&gt;"دستمزد گروهی",$D1111=""),"",SUMIFS(ShareAmt,ShareLink,$D1111))</f>
        <v/>
      </c>
      <c r="I1111" s="17">
        <f>IF($C1111&lt;&gt;"دستمزد گروهی","—",IF($H1111="","",IF(ROUND($H1111-IF($G1111="",0,$G1111),0)=0,"√","▲ مغایرت "&amp;TEXT(IF($G1111="",0,$G1111)-$H1111,"#,##0"))))</f>
        <v/>
      </c>
      <c r="J1111" s="18" t="n"/>
    </row>
    <row r="1112">
      <c r="A1112" s="19">
        <f>IF($B1112="","",COUNTA($B$9:$B1112))</f>
        <v/>
      </c>
      <c r="B1112" s="11" t="n"/>
      <c r="C1112" s="12" t="n"/>
      <c r="D1112" s="12" t="n"/>
      <c r="E1112" s="13" t="n"/>
      <c r="F1112" s="20">
        <f>IF($E1112="","",IF($C1112="دستمزد گروهی",IFERROR(VLOOKUP($E1112,WGTbl,2,0),"کد ناشناخته"),IFERROR(IF(VLOOKUP($E1112,AcctTblE,4,0)="","(بدون نام)",VLOOKUP($E1112,AcctTblE,4,0)),"کد ناشناخته")))</f>
        <v/>
      </c>
      <c r="G1112" s="15" t="n"/>
      <c r="H1112" s="21">
        <f>IF(OR($C1112&lt;&gt;"دستمزد گروهی",$D1112=""),"",SUMIFS(ShareAmt,ShareLink,$D1112))</f>
        <v/>
      </c>
      <c r="I1112" s="22">
        <f>IF($C1112&lt;&gt;"دستمزد گروهی","—",IF($H1112="","",IF(ROUND($H1112-IF($G1112="",0,$G1112),0)=0,"√","▲ مغایرت "&amp;TEXT(IF($G1112="",0,$G1112)-$H1112,"#,##0"))))</f>
        <v/>
      </c>
      <c r="J1112" s="18" t="n"/>
    </row>
    <row r="1113">
      <c r="A1113" s="10">
        <f>IF($B1113="","",COUNTA($B$9:$B1113))</f>
        <v/>
      </c>
      <c r="B1113" s="11" t="n"/>
      <c r="C1113" s="12" t="n"/>
      <c r="D1113" s="12" t="n"/>
      <c r="E1113" s="13" t="n"/>
      <c r="F1113" s="14">
        <f>IF($E1113="","",IF($C1113="دستمزد گروهی",IFERROR(VLOOKUP($E1113,WGTbl,2,0),"کد ناشناخته"),IFERROR(IF(VLOOKUP($E1113,AcctTblE,4,0)="","(بدون نام)",VLOOKUP($E1113,AcctTblE,4,0)),"کد ناشناخته")))</f>
        <v/>
      </c>
      <c r="G1113" s="15" t="n"/>
      <c r="H1113" s="16">
        <f>IF(OR($C1113&lt;&gt;"دستمزد گروهی",$D1113=""),"",SUMIFS(ShareAmt,ShareLink,$D1113))</f>
        <v/>
      </c>
      <c r="I1113" s="17">
        <f>IF($C1113&lt;&gt;"دستمزد گروهی","—",IF($H1113="","",IF(ROUND($H1113-IF($G1113="",0,$G1113),0)=0,"√","▲ مغایرت "&amp;TEXT(IF($G1113="",0,$G1113)-$H1113,"#,##0"))))</f>
        <v/>
      </c>
      <c r="J1113" s="18" t="n"/>
    </row>
    <row r="1114">
      <c r="A1114" s="19">
        <f>IF($B1114="","",COUNTA($B$9:$B1114))</f>
        <v/>
      </c>
      <c r="B1114" s="11" t="n"/>
      <c r="C1114" s="12" t="n"/>
      <c r="D1114" s="12" t="n"/>
      <c r="E1114" s="13" t="n"/>
      <c r="F1114" s="20">
        <f>IF($E1114="","",IF($C1114="دستمزد گروهی",IFERROR(VLOOKUP($E1114,WGTbl,2,0),"کد ناشناخته"),IFERROR(IF(VLOOKUP($E1114,AcctTblE,4,0)="","(بدون نام)",VLOOKUP($E1114,AcctTblE,4,0)),"کد ناشناخته")))</f>
        <v/>
      </c>
      <c r="G1114" s="15" t="n"/>
      <c r="H1114" s="21">
        <f>IF(OR($C1114&lt;&gt;"دستمزد گروهی",$D1114=""),"",SUMIFS(ShareAmt,ShareLink,$D1114))</f>
        <v/>
      </c>
      <c r="I1114" s="22">
        <f>IF($C1114&lt;&gt;"دستمزد گروهی","—",IF($H1114="","",IF(ROUND($H1114-IF($G1114="",0,$G1114),0)=0,"√","▲ مغایرت "&amp;TEXT(IF($G1114="",0,$G1114)-$H1114,"#,##0"))))</f>
        <v/>
      </c>
      <c r="J1114" s="18" t="n"/>
    </row>
    <row r="1115">
      <c r="A1115" s="10">
        <f>IF($B1115="","",COUNTA($B$9:$B1115))</f>
        <v/>
      </c>
      <c r="B1115" s="11" t="n"/>
      <c r="C1115" s="12" t="n"/>
      <c r="D1115" s="12" t="n"/>
      <c r="E1115" s="13" t="n"/>
      <c r="F1115" s="14">
        <f>IF($E1115="","",IF($C1115="دستمزد گروهی",IFERROR(VLOOKUP($E1115,WGTbl,2,0),"کد ناشناخته"),IFERROR(IF(VLOOKUP($E1115,AcctTblE,4,0)="","(بدون نام)",VLOOKUP($E1115,AcctTblE,4,0)),"کد ناشناخته")))</f>
        <v/>
      </c>
      <c r="G1115" s="15" t="n"/>
      <c r="H1115" s="16">
        <f>IF(OR($C1115&lt;&gt;"دستمزد گروهی",$D1115=""),"",SUMIFS(ShareAmt,ShareLink,$D1115))</f>
        <v/>
      </c>
      <c r="I1115" s="17">
        <f>IF($C1115&lt;&gt;"دستمزد گروهی","—",IF($H1115="","",IF(ROUND($H1115-IF($G1115="",0,$G1115),0)=0,"√","▲ مغایرت "&amp;TEXT(IF($G1115="",0,$G1115)-$H1115,"#,##0"))))</f>
        <v/>
      </c>
      <c r="J1115" s="18" t="n"/>
    </row>
    <row r="1116">
      <c r="A1116" s="19">
        <f>IF($B1116="","",COUNTA($B$9:$B1116))</f>
        <v/>
      </c>
      <c r="B1116" s="11" t="n"/>
      <c r="C1116" s="12" t="n"/>
      <c r="D1116" s="12" t="n"/>
      <c r="E1116" s="13" t="n"/>
      <c r="F1116" s="20">
        <f>IF($E1116="","",IF($C1116="دستمزد گروهی",IFERROR(VLOOKUP($E1116,WGTbl,2,0),"کد ناشناخته"),IFERROR(IF(VLOOKUP($E1116,AcctTblE,4,0)="","(بدون نام)",VLOOKUP($E1116,AcctTblE,4,0)),"کد ناشناخته")))</f>
        <v/>
      </c>
      <c r="G1116" s="15" t="n"/>
      <c r="H1116" s="21">
        <f>IF(OR($C1116&lt;&gt;"دستمزد گروهی",$D1116=""),"",SUMIFS(ShareAmt,ShareLink,$D1116))</f>
        <v/>
      </c>
      <c r="I1116" s="22">
        <f>IF($C1116&lt;&gt;"دستمزد گروهی","—",IF($H1116="","",IF(ROUND($H1116-IF($G1116="",0,$G1116),0)=0,"√","▲ مغایرت "&amp;TEXT(IF($G1116="",0,$G1116)-$H1116,"#,##0"))))</f>
        <v/>
      </c>
      <c r="J1116" s="18" t="n"/>
    </row>
    <row r="1117">
      <c r="A1117" s="10">
        <f>IF($B1117="","",COUNTA($B$9:$B1117))</f>
        <v/>
      </c>
      <c r="B1117" s="11" t="n"/>
      <c r="C1117" s="12" t="n"/>
      <c r="D1117" s="12" t="n"/>
      <c r="E1117" s="13" t="n"/>
      <c r="F1117" s="14">
        <f>IF($E1117="","",IF($C1117="دستمزد گروهی",IFERROR(VLOOKUP($E1117,WGTbl,2,0),"کد ناشناخته"),IFERROR(IF(VLOOKUP($E1117,AcctTblE,4,0)="","(بدون نام)",VLOOKUP($E1117,AcctTblE,4,0)),"کد ناشناخته")))</f>
        <v/>
      </c>
      <c r="G1117" s="15" t="n"/>
      <c r="H1117" s="16">
        <f>IF(OR($C1117&lt;&gt;"دستمزد گروهی",$D1117=""),"",SUMIFS(ShareAmt,ShareLink,$D1117))</f>
        <v/>
      </c>
      <c r="I1117" s="17">
        <f>IF($C1117&lt;&gt;"دستمزد گروهی","—",IF($H1117="","",IF(ROUND($H1117-IF($G1117="",0,$G1117),0)=0,"√","▲ مغایرت "&amp;TEXT(IF($G1117="",0,$G1117)-$H1117,"#,##0"))))</f>
        <v/>
      </c>
      <c r="J1117" s="18" t="n"/>
    </row>
    <row r="1118">
      <c r="A1118" s="19">
        <f>IF($B1118="","",COUNTA($B$9:$B1118))</f>
        <v/>
      </c>
      <c r="B1118" s="11" t="n"/>
      <c r="C1118" s="12" t="n"/>
      <c r="D1118" s="12" t="n"/>
      <c r="E1118" s="13" t="n"/>
      <c r="F1118" s="20">
        <f>IF($E1118="","",IF($C1118="دستمزد گروهی",IFERROR(VLOOKUP($E1118,WGTbl,2,0),"کد ناشناخته"),IFERROR(IF(VLOOKUP($E1118,AcctTblE,4,0)="","(بدون نام)",VLOOKUP($E1118,AcctTblE,4,0)),"کد ناشناخته")))</f>
        <v/>
      </c>
      <c r="G1118" s="15" t="n"/>
      <c r="H1118" s="21">
        <f>IF(OR($C1118&lt;&gt;"دستمزد گروهی",$D1118=""),"",SUMIFS(ShareAmt,ShareLink,$D1118))</f>
        <v/>
      </c>
      <c r="I1118" s="22">
        <f>IF($C1118&lt;&gt;"دستمزد گروهی","—",IF($H1118="","",IF(ROUND($H1118-IF($G1118="",0,$G1118),0)=0,"√","▲ مغایرت "&amp;TEXT(IF($G1118="",0,$G1118)-$H1118,"#,##0"))))</f>
        <v/>
      </c>
      <c r="J1118" s="18" t="n"/>
    </row>
    <row r="1119">
      <c r="A1119" s="10">
        <f>IF($B1119="","",COUNTA($B$9:$B1119))</f>
        <v/>
      </c>
      <c r="B1119" s="11" t="n"/>
      <c r="C1119" s="12" t="n"/>
      <c r="D1119" s="12" t="n"/>
      <c r="E1119" s="13" t="n"/>
      <c r="F1119" s="14">
        <f>IF($E1119="","",IF($C1119="دستمزد گروهی",IFERROR(VLOOKUP($E1119,WGTbl,2,0),"کد ناشناخته"),IFERROR(IF(VLOOKUP($E1119,AcctTblE,4,0)="","(بدون نام)",VLOOKUP($E1119,AcctTblE,4,0)),"کد ناشناخته")))</f>
        <v/>
      </c>
      <c r="G1119" s="15" t="n"/>
      <c r="H1119" s="16">
        <f>IF(OR($C1119&lt;&gt;"دستمزد گروهی",$D1119=""),"",SUMIFS(ShareAmt,ShareLink,$D1119))</f>
        <v/>
      </c>
      <c r="I1119" s="17">
        <f>IF($C1119&lt;&gt;"دستمزد گروهی","—",IF($H1119="","",IF(ROUND($H1119-IF($G1119="",0,$G1119),0)=0,"√","▲ مغایرت "&amp;TEXT(IF($G1119="",0,$G1119)-$H1119,"#,##0"))))</f>
        <v/>
      </c>
      <c r="J1119" s="18" t="n"/>
    </row>
    <row r="1120">
      <c r="A1120" s="19">
        <f>IF($B1120="","",COUNTA($B$9:$B1120))</f>
        <v/>
      </c>
      <c r="B1120" s="11" t="n"/>
      <c r="C1120" s="12" t="n"/>
      <c r="D1120" s="12" t="n"/>
      <c r="E1120" s="13" t="n"/>
      <c r="F1120" s="20">
        <f>IF($E1120="","",IF($C1120="دستمزد گروهی",IFERROR(VLOOKUP($E1120,WGTbl,2,0),"کد ناشناخته"),IFERROR(IF(VLOOKUP($E1120,AcctTblE,4,0)="","(بدون نام)",VLOOKUP($E1120,AcctTblE,4,0)),"کد ناشناخته")))</f>
        <v/>
      </c>
      <c r="G1120" s="15" t="n"/>
      <c r="H1120" s="21">
        <f>IF(OR($C1120&lt;&gt;"دستمزد گروهی",$D1120=""),"",SUMIFS(ShareAmt,ShareLink,$D1120))</f>
        <v/>
      </c>
      <c r="I1120" s="22">
        <f>IF($C1120&lt;&gt;"دستمزد گروهی","—",IF($H1120="","",IF(ROUND($H1120-IF($G1120="",0,$G1120),0)=0,"√","▲ مغایرت "&amp;TEXT(IF($G1120="",0,$G1120)-$H1120,"#,##0"))))</f>
        <v/>
      </c>
      <c r="J1120" s="18" t="n"/>
    </row>
    <row r="1121">
      <c r="A1121" s="10">
        <f>IF($B1121="","",COUNTA($B$9:$B1121))</f>
        <v/>
      </c>
      <c r="B1121" s="11" t="n"/>
      <c r="C1121" s="12" t="n"/>
      <c r="D1121" s="12" t="n"/>
      <c r="E1121" s="13" t="n"/>
      <c r="F1121" s="14">
        <f>IF($E1121="","",IF($C1121="دستمزد گروهی",IFERROR(VLOOKUP($E1121,WGTbl,2,0),"کد ناشناخته"),IFERROR(IF(VLOOKUP($E1121,AcctTblE,4,0)="","(بدون نام)",VLOOKUP($E1121,AcctTblE,4,0)),"کد ناشناخته")))</f>
        <v/>
      </c>
      <c r="G1121" s="15" t="n"/>
      <c r="H1121" s="16">
        <f>IF(OR($C1121&lt;&gt;"دستمزد گروهی",$D1121=""),"",SUMIFS(ShareAmt,ShareLink,$D1121))</f>
        <v/>
      </c>
      <c r="I1121" s="17">
        <f>IF($C1121&lt;&gt;"دستمزد گروهی","—",IF($H1121="","",IF(ROUND($H1121-IF($G1121="",0,$G1121),0)=0,"√","▲ مغایرت "&amp;TEXT(IF($G1121="",0,$G1121)-$H1121,"#,##0"))))</f>
        <v/>
      </c>
      <c r="J1121" s="18" t="n"/>
    </row>
    <row r="1122">
      <c r="A1122" s="19">
        <f>IF($B1122="","",COUNTA($B$9:$B1122))</f>
        <v/>
      </c>
      <c r="B1122" s="11" t="n"/>
      <c r="C1122" s="12" t="n"/>
      <c r="D1122" s="12" t="n"/>
      <c r="E1122" s="13" t="n"/>
      <c r="F1122" s="20">
        <f>IF($E1122="","",IF($C1122="دستمزد گروهی",IFERROR(VLOOKUP($E1122,WGTbl,2,0),"کد ناشناخته"),IFERROR(IF(VLOOKUP($E1122,AcctTblE,4,0)="","(بدون نام)",VLOOKUP($E1122,AcctTblE,4,0)),"کد ناشناخته")))</f>
        <v/>
      </c>
      <c r="G1122" s="15" t="n"/>
      <c r="H1122" s="21">
        <f>IF(OR($C1122&lt;&gt;"دستمزد گروهی",$D1122=""),"",SUMIFS(ShareAmt,ShareLink,$D1122))</f>
        <v/>
      </c>
      <c r="I1122" s="22">
        <f>IF($C1122&lt;&gt;"دستمزد گروهی","—",IF($H1122="","",IF(ROUND($H1122-IF($G1122="",0,$G1122),0)=0,"√","▲ مغایرت "&amp;TEXT(IF($G1122="",0,$G1122)-$H1122,"#,##0"))))</f>
        <v/>
      </c>
      <c r="J1122" s="18" t="n"/>
    </row>
    <row r="1123">
      <c r="A1123" s="10">
        <f>IF($B1123="","",COUNTA($B$9:$B1123))</f>
        <v/>
      </c>
      <c r="B1123" s="11" t="n"/>
      <c r="C1123" s="12" t="n"/>
      <c r="D1123" s="12" t="n"/>
      <c r="E1123" s="13" t="n"/>
      <c r="F1123" s="14">
        <f>IF($E1123="","",IF($C1123="دستمزد گروهی",IFERROR(VLOOKUP($E1123,WGTbl,2,0),"کد ناشناخته"),IFERROR(IF(VLOOKUP($E1123,AcctTblE,4,0)="","(بدون نام)",VLOOKUP($E1123,AcctTblE,4,0)),"کد ناشناخته")))</f>
        <v/>
      </c>
      <c r="G1123" s="15" t="n"/>
      <c r="H1123" s="16">
        <f>IF(OR($C1123&lt;&gt;"دستمزد گروهی",$D1123=""),"",SUMIFS(ShareAmt,ShareLink,$D1123))</f>
        <v/>
      </c>
      <c r="I1123" s="17">
        <f>IF($C1123&lt;&gt;"دستمزد گروهی","—",IF($H1123="","",IF(ROUND($H1123-IF($G1123="",0,$G1123),0)=0,"√","▲ مغایرت "&amp;TEXT(IF($G1123="",0,$G1123)-$H1123,"#,##0"))))</f>
        <v/>
      </c>
      <c r="J1123" s="18" t="n"/>
    </row>
    <row r="1124">
      <c r="A1124" s="19">
        <f>IF($B1124="","",COUNTA($B$9:$B1124))</f>
        <v/>
      </c>
      <c r="B1124" s="11" t="n"/>
      <c r="C1124" s="12" t="n"/>
      <c r="D1124" s="12" t="n"/>
      <c r="E1124" s="13" t="n"/>
      <c r="F1124" s="20">
        <f>IF($E1124="","",IF($C1124="دستمزد گروهی",IFERROR(VLOOKUP($E1124,WGTbl,2,0),"کد ناشناخته"),IFERROR(IF(VLOOKUP($E1124,AcctTblE,4,0)="","(بدون نام)",VLOOKUP($E1124,AcctTblE,4,0)),"کد ناشناخته")))</f>
        <v/>
      </c>
      <c r="G1124" s="15" t="n"/>
      <c r="H1124" s="21">
        <f>IF(OR($C1124&lt;&gt;"دستمزد گروهی",$D1124=""),"",SUMIFS(ShareAmt,ShareLink,$D1124))</f>
        <v/>
      </c>
      <c r="I1124" s="22">
        <f>IF($C1124&lt;&gt;"دستمزد گروهی","—",IF($H1124="","",IF(ROUND($H1124-IF($G1124="",0,$G1124),0)=0,"√","▲ مغایرت "&amp;TEXT(IF($G1124="",0,$G1124)-$H1124,"#,##0"))))</f>
        <v/>
      </c>
      <c r="J1124" s="18" t="n"/>
    </row>
    <row r="1125">
      <c r="A1125" s="10">
        <f>IF($B1125="","",COUNTA($B$9:$B1125))</f>
        <v/>
      </c>
      <c r="B1125" s="11" t="n"/>
      <c r="C1125" s="12" t="n"/>
      <c r="D1125" s="12" t="n"/>
      <c r="E1125" s="13" t="n"/>
      <c r="F1125" s="14">
        <f>IF($E1125="","",IF($C1125="دستمزد گروهی",IFERROR(VLOOKUP($E1125,WGTbl,2,0),"کد ناشناخته"),IFERROR(IF(VLOOKUP($E1125,AcctTblE,4,0)="","(بدون نام)",VLOOKUP($E1125,AcctTblE,4,0)),"کد ناشناخته")))</f>
        <v/>
      </c>
      <c r="G1125" s="15" t="n"/>
      <c r="H1125" s="16">
        <f>IF(OR($C1125&lt;&gt;"دستمزد گروهی",$D1125=""),"",SUMIFS(ShareAmt,ShareLink,$D1125))</f>
        <v/>
      </c>
      <c r="I1125" s="17">
        <f>IF($C1125&lt;&gt;"دستمزد گروهی","—",IF($H1125="","",IF(ROUND($H1125-IF($G1125="",0,$G1125),0)=0,"√","▲ مغایرت "&amp;TEXT(IF($G1125="",0,$G1125)-$H1125,"#,##0"))))</f>
        <v/>
      </c>
      <c r="J1125" s="18" t="n"/>
    </row>
    <row r="1126">
      <c r="A1126" s="19">
        <f>IF($B1126="","",COUNTA($B$9:$B1126))</f>
        <v/>
      </c>
      <c r="B1126" s="11" t="n"/>
      <c r="C1126" s="12" t="n"/>
      <c r="D1126" s="12" t="n"/>
      <c r="E1126" s="13" t="n"/>
      <c r="F1126" s="20">
        <f>IF($E1126="","",IF($C1126="دستمزد گروهی",IFERROR(VLOOKUP($E1126,WGTbl,2,0),"کد ناشناخته"),IFERROR(IF(VLOOKUP($E1126,AcctTblE,4,0)="","(بدون نام)",VLOOKUP($E1126,AcctTblE,4,0)),"کد ناشناخته")))</f>
        <v/>
      </c>
      <c r="G1126" s="15" t="n"/>
      <c r="H1126" s="21">
        <f>IF(OR($C1126&lt;&gt;"دستمزد گروهی",$D1126=""),"",SUMIFS(ShareAmt,ShareLink,$D1126))</f>
        <v/>
      </c>
      <c r="I1126" s="22">
        <f>IF($C1126&lt;&gt;"دستمزد گروهی","—",IF($H1126="","",IF(ROUND($H1126-IF($G1126="",0,$G1126),0)=0,"√","▲ مغایرت "&amp;TEXT(IF($G1126="",0,$G1126)-$H1126,"#,##0"))))</f>
        <v/>
      </c>
      <c r="J1126" s="18" t="n"/>
    </row>
    <row r="1127">
      <c r="A1127" s="10">
        <f>IF($B1127="","",COUNTA($B$9:$B1127))</f>
        <v/>
      </c>
      <c r="B1127" s="11" t="n"/>
      <c r="C1127" s="12" t="n"/>
      <c r="D1127" s="12" t="n"/>
      <c r="E1127" s="13" t="n"/>
      <c r="F1127" s="14">
        <f>IF($E1127="","",IF($C1127="دستمزد گروهی",IFERROR(VLOOKUP($E1127,WGTbl,2,0),"کد ناشناخته"),IFERROR(IF(VLOOKUP($E1127,AcctTblE,4,0)="","(بدون نام)",VLOOKUP($E1127,AcctTblE,4,0)),"کد ناشناخته")))</f>
        <v/>
      </c>
      <c r="G1127" s="15" t="n"/>
      <c r="H1127" s="16">
        <f>IF(OR($C1127&lt;&gt;"دستمزد گروهی",$D1127=""),"",SUMIFS(ShareAmt,ShareLink,$D1127))</f>
        <v/>
      </c>
      <c r="I1127" s="17">
        <f>IF($C1127&lt;&gt;"دستمزد گروهی","—",IF($H1127="","",IF(ROUND($H1127-IF($G1127="",0,$G1127),0)=0,"√","▲ مغایرت "&amp;TEXT(IF($G1127="",0,$G1127)-$H1127,"#,##0"))))</f>
        <v/>
      </c>
      <c r="J1127" s="18" t="n"/>
    </row>
    <row r="1128">
      <c r="A1128" s="19">
        <f>IF($B1128="","",COUNTA($B$9:$B1128))</f>
        <v/>
      </c>
      <c r="B1128" s="11" t="n"/>
      <c r="C1128" s="12" t="n"/>
      <c r="D1128" s="12" t="n"/>
      <c r="E1128" s="13" t="n"/>
      <c r="F1128" s="20">
        <f>IF($E1128="","",IF($C1128="دستمزد گروهی",IFERROR(VLOOKUP($E1128,WGTbl,2,0),"کد ناشناخته"),IFERROR(IF(VLOOKUP($E1128,AcctTblE,4,0)="","(بدون نام)",VLOOKUP($E1128,AcctTblE,4,0)),"کد ناشناخته")))</f>
        <v/>
      </c>
      <c r="G1128" s="15" t="n"/>
      <c r="H1128" s="21">
        <f>IF(OR($C1128&lt;&gt;"دستمزد گروهی",$D1128=""),"",SUMIFS(ShareAmt,ShareLink,$D1128))</f>
        <v/>
      </c>
      <c r="I1128" s="22">
        <f>IF($C1128&lt;&gt;"دستمزد گروهی","—",IF($H1128="","",IF(ROUND($H1128-IF($G1128="",0,$G1128),0)=0,"√","▲ مغایرت "&amp;TEXT(IF($G1128="",0,$G1128)-$H1128,"#,##0"))))</f>
        <v/>
      </c>
      <c r="J1128" s="18" t="n"/>
    </row>
    <row r="1129">
      <c r="A1129" s="10">
        <f>IF($B1129="","",COUNTA($B$9:$B1129))</f>
        <v/>
      </c>
      <c r="B1129" s="11" t="n"/>
      <c r="C1129" s="12" t="n"/>
      <c r="D1129" s="12" t="n"/>
      <c r="E1129" s="13" t="n"/>
      <c r="F1129" s="14">
        <f>IF($E1129="","",IF($C1129="دستمزد گروهی",IFERROR(VLOOKUP($E1129,WGTbl,2,0),"کد ناشناخته"),IFERROR(IF(VLOOKUP($E1129,AcctTblE,4,0)="","(بدون نام)",VLOOKUP($E1129,AcctTblE,4,0)),"کد ناشناخته")))</f>
        <v/>
      </c>
      <c r="G1129" s="15" t="n"/>
      <c r="H1129" s="16">
        <f>IF(OR($C1129&lt;&gt;"دستمزد گروهی",$D1129=""),"",SUMIFS(ShareAmt,ShareLink,$D1129))</f>
        <v/>
      </c>
      <c r="I1129" s="17">
        <f>IF($C1129&lt;&gt;"دستمزد گروهی","—",IF($H1129="","",IF(ROUND($H1129-IF($G1129="",0,$G1129),0)=0,"√","▲ مغایرت "&amp;TEXT(IF($G1129="",0,$G1129)-$H1129,"#,##0"))))</f>
        <v/>
      </c>
      <c r="J1129" s="18" t="n"/>
    </row>
    <row r="1130">
      <c r="A1130" s="19">
        <f>IF($B1130="","",COUNTA($B$9:$B1130))</f>
        <v/>
      </c>
      <c r="B1130" s="11" t="n"/>
      <c r="C1130" s="12" t="n"/>
      <c r="D1130" s="12" t="n"/>
      <c r="E1130" s="13" t="n"/>
      <c r="F1130" s="20">
        <f>IF($E1130="","",IF($C1130="دستمزد گروهی",IFERROR(VLOOKUP($E1130,WGTbl,2,0),"کد ناشناخته"),IFERROR(IF(VLOOKUP($E1130,AcctTblE,4,0)="","(بدون نام)",VLOOKUP($E1130,AcctTblE,4,0)),"کد ناشناخته")))</f>
        <v/>
      </c>
      <c r="G1130" s="15" t="n"/>
      <c r="H1130" s="21">
        <f>IF(OR($C1130&lt;&gt;"دستمزد گروهی",$D1130=""),"",SUMIFS(ShareAmt,ShareLink,$D1130))</f>
        <v/>
      </c>
      <c r="I1130" s="22">
        <f>IF($C1130&lt;&gt;"دستمزد گروهی","—",IF($H1130="","",IF(ROUND($H1130-IF($G1130="",0,$G1130),0)=0,"√","▲ مغایرت "&amp;TEXT(IF($G1130="",0,$G1130)-$H1130,"#,##0"))))</f>
        <v/>
      </c>
      <c r="J1130" s="18" t="n"/>
    </row>
    <row r="1131">
      <c r="A1131" s="10">
        <f>IF($B1131="","",COUNTA($B$9:$B1131))</f>
        <v/>
      </c>
      <c r="B1131" s="11" t="n"/>
      <c r="C1131" s="12" t="n"/>
      <c r="D1131" s="12" t="n"/>
      <c r="E1131" s="13" t="n"/>
      <c r="F1131" s="14">
        <f>IF($E1131="","",IF($C1131="دستمزد گروهی",IFERROR(VLOOKUP($E1131,WGTbl,2,0),"کد ناشناخته"),IFERROR(IF(VLOOKUP($E1131,AcctTblE,4,0)="","(بدون نام)",VLOOKUP($E1131,AcctTblE,4,0)),"کد ناشناخته")))</f>
        <v/>
      </c>
      <c r="G1131" s="15" t="n"/>
      <c r="H1131" s="16">
        <f>IF(OR($C1131&lt;&gt;"دستمزد گروهی",$D1131=""),"",SUMIFS(ShareAmt,ShareLink,$D1131))</f>
        <v/>
      </c>
      <c r="I1131" s="17">
        <f>IF($C1131&lt;&gt;"دستمزد گروهی","—",IF($H1131="","",IF(ROUND($H1131-IF($G1131="",0,$G1131),0)=0,"√","▲ مغایرت "&amp;TEXT(IF($G1131="",0,$G1131)-$H1131,"#,##0"))))</f>
        <v/>
      </c>
      <c r="J1131" s="18" t="n"/>
    </row>
    <row r="1132">
      <c r="A1132" s="19">
        <f>IF($B1132="","",COUNTA($B$9:$B1132))</f>
        <v/>
      </c>
      <c r="B1132" s="11" t="n"/>
      <c r="C1132" s="12" t="n"/>
      <c r="D1132" s="12" t="n"/>
      <c r="E1132" s="13" t="n"/>
      <c r="F1132" s="20">
        <f>IF($E1132="","",IF($C1132="دستمزد گروهی",IFERROR(VLOOKUP($E1132,WGTbl,2,0),"کد ناشناخته"),IFERROR(IF(VLOOKUP($E1132,AcctTblE,4,0)="","(بدون نام)",VLOOKUP($E1132,AcctTblE,4,0)),"کد ناشناخته")))</f>
        <v/>
      </c>
      <c r="G1132" s="15" t="n"/>
      <c r="H1132" s="21">
        <f>IF(OR($C1132&lt;&gt;"دستمزد گروهی",$D1132=""),"",SUMIFS(ShareAmt,ShareLink,$D1132))</f>
        <v/>
      </c>
      <c r="I1132" s="22">
        <f>IF($C1132&lt;&gt;"دستمزد گروهی","—",IF($H1132="","",IF(ROUND($H1132-IF($G1132="",0,$G1132),0)=0,"√","▲ مغایرت "&amp;TEXT(IF($G1132="",0,$G1132)-$H1132,"#,##0"))))</f>
        <v/>
      </c>
      <c r="J1132" s="18" t="n"/>
    </row>
    <row r="1133">
      <c r="A1133" s="10">
        <f>IF($B1133="","",COUNTA($B$9:$B1133))</f>
        <v/>
      </c>
      <c r="B1133" s="11" t="n"/>
      <c r="C1133" s="12" t="n"/>
      <c r="D1133" s="12" t="n"/>
      <c r="E1133" s="13" t="n"/>
      <c r="F1133" s="14">
        <f>IF($E1133="","",IF($C1133="دستمزد گروهی",IFERROR(VLOOKUP($E1133,WGTbl,2,0),"کد ناشناخته"),IFERROR(IF(VLOOKUP($E1133,AcctTblE,4,0)="","(بدون نام)",VLOOKUP($E1133,AcctTblE,4,0)),"کد ناشناخته")))</f>
        <v/>
      </c>
      <c r="G1133" s="15" t="n"/>
      <c r="H1133" s="16">
        <f>IF(OR($C1133&lt;&gt;"دستمزد گروهی",$D1133=""),"",SUMIFS(ShareAmt,ShareLink,$D1133))</f>
        <v/>
      </c>
      <c r="I1133" s="17">
        <f>IF($C1133&lt;&gt;"دستمزد گروهی","—",IF($H1133="","",IF(ROUND($H1133-IF($G1133="",0,$G1133),0)=0,"√","▲ مغایرت "&amp;TEXT(IF($G1133="",0,$G1133)-$H1133,"#,##0"))))</f>
        <v/>
      </c>
      <c r="J1133" s="18" t="n"/>
    </row>
    <row r="1134">
      <c r="A1134" s="19">
        <f>IF($B1134="","",COUNTA($B$9:$B1134))</f>
        <v/>
      </c>
      <c r="B1134" s="11" t="n"/>
      <c r="C1134" s="12" t="n"/>
      <c r="D1134" s="12" t="n"/>
      <c r="E1134" s="13" t="n"/>
      <c r="F1134" s="20">
        <f>IF($E1134="","",IF($C1134="دستمزد گروهی",IFERROR(VLOOKUP($E1134,WGTbl,2,0),"کد ناشناخته"),IFERROR(IF(VLOOKUP($E1134,AcctTblE,4,0)="","(بدون نام)",VLOOKUP($E1134,AcctTblE,4,0)),"کد ناشناخته")))</f>
        <v/>
      </c>
      <c r="G1134" s="15" t="n"/>
      <c r="H1134" s="21">
        <f>IF(OR($C1134&lt;&gt;"دستمزد گروهی",$D1134=""),"",SUMIFS(ShareAmt,ShareLink,$D1134))</f>
        <v/>
      </c>
      <c r="I1134" s="22">
        <f>IF($C1134&lt;&gt;"دستمزد گروهی","—",IF($H1134="","",IF(ROUND($H1134-IF($G1134="",0,$G1134),0)=0,"√","▲ مغایرت "&amp;TEXT(IF($G1134="",0,$G1134)-$H1134,"#,##0"))))</f>
        <v/>
      </c>
      <c r="J1134" s="18" t="n"/>
    </row>
    <row r="1135">
      <c r="A1135" s="10">
        <f>IF($B1135="","",COUNTA($B$9:$B1135))</f>
        <v/>
      </c>
      <c r="B1135" s="11" t="n"/>
      <c r="C1135" s="12" t="n"/>
      <c r="D1135" s="12" t="n"/>
      <c r="E1135" s="13" t="n"/>
      <c r="F1135" s="14">
        <f>IF($E1135="","",IF($C1135="دستمزد گروهی",IFERROR(VLOOKUP($E1135,WGTbl,2,0),"کد ناشناخته"),IFERROR(IF(VLOOKUP($E1135,AcctTblE,4,0)="","(بدون نام)",VLOOKUP($E1135,AcctTblE,4,0)),"کد ناشناخته")))</f>
        <v/>
      </c>
      <c r="G1135" s="15" t="n"/>
      <c r="H1135" s="16">
        <f>IF(OR($C1135&lt;&gt;"دستمزد گروهی",$D1135=""),"",SUMIFS(ShareAmt,ShareLink,$D1135))</f>
        <v/>
      </c>
      <c r="I1135" s="17">
        <f>IF($C1135&lt;&gt;"دستمزد گروهی","—",IF($H1135="","",IF(ROUND($H1135-IF($G1135="",0,$G1135),0)=0,"√","▲ مغایرت "&amp;TEXT(IF($G1135="",0,$G1135)-$H1135,"#,##0"))))</f>
        <v/>
      </c>
      <c r="J1135" s="18" t="n"/>
    </row>
    <row r="1136">
      <c r="A1136" s="19">
        <f>IF($B1136="","",COUNTA($B$9:$B1136))</f>
        <v/>
      </c>
      <c r="B1136" s="11" t="n"/>
      <c r="C1136" s="12" t="n"/>
      <c r="D1136" s="12" t="n"/>
      <c r="E1136" s="13" t="n"/>
      <c r="F1136" s="20">
        <f>IF($E1136="","",IF($C1136="دستمزد گروهی",IFERROR(VLOOKUP($E1136,WGTbl,2,0),"کد ناشناخته"),IFERROR(IF(VLOOKUP($E1136,AcctTblE,4,0)="","(بدون نام)",VLOOKUP($E1136,AcctTblE,4,0)),"کد ناشناخته")))</f>
        <v/>
      </c>
      <c r="G1136" s="15" t="n"/>
      <c r="H1136" s="21">
        <f>IF(OR($C1136&lt;&gt;"دستمزد گروهی",$D1136=""),"",SUMIFS(ShareAmt,ShareLink,$D1136))</f>
        <v/>
      </c>
      <c r="I1136" s="22">
        <f>IF($C1136&lt;&gt;"دستمزد گروهی","—",IF($H1136="","",IF(ROUND($H1136-IF($G1136="",0,$G1136),0)=0,"√","▲ مغایرت "&amp;TEXT(IF($G1136="",0,$G1136)-$H1136,"#,##0"))))</f>
        <v/>
      </c>
      <c r="J1136" s="18" t="n"/>
    </row>
    <row r="1137">
      <c r="A1137" s="10">
        <f>IF($B1137="","",COUNTA($B$9:$B1137))</f>
        <v/>
      </c>
      <c r="B1137" s="11" t="n"/>
      <c r="C1137" s="12" t="n"/>
      <c r="D1137" s="12" t="n"/>
      <c r="E1137" s="13" t="n"/>
      <c r="F1137" s="14">
        <f>IF($E1137="","",IF($C1137="دستمزد گروهی",IFERROR(VLOOKUP($E1137,WGTbl,2,0),"کد ناشناخته"),IFERROR(IF(VLOOKUP($E1137,AcctTblE,4,0)="","(بدون نام)",VLOOKUP($E1137,AcctTblE,4,0)),"کد ناشناخته")))</f>
        <v/>
      </c>
      <c r="G1137" s="15" t="n"/>
      <c r="H1137" s="16">
        <f>IF(OR($C1137&lt;&gt;"دستمزد گروهی",$D1137=""),"",SUMIFS(ShareAmt,ShareLink,$D1137))</f>
        <v/>
      </c>
      <c r="I1137" s="17">
        <f>IF($C1137&lt;&gt;"دستمزد گروهی","—",IF($H1137="","",IF(ROUND($H1137-IF($G1137="",0,$G1137),0)=0,"√","▲ مغایرت "&amp;TEXT(IF($G1137="",0,$G1137)-$H1137,"#,##0"))))</f>
        <v/>
      </c>
      <c r="J1137" s="18" t="n"/>
    </row>
    <row r="1138">
      <c r="A1138" s="19">
        <f>IF($B1138="","",COUNTA($B$9:$B1138))</f>
        <v/>
      </c>
      <c r="B1138" s="11" t="n"/>
      <c r="C1138" s="12" t="n"/>
      <c r="D1138" s="12" t="n"/>
      <c r="E1138" s="13" t="n"/>
      <c r="F1138" s="20">
        <f>IF($E1138="","",IF($C1138="دستمزد گروهی",IFERROR(VLOOKUP($E1138,WGTbl,2,0),"کد ناشناخته"),IFERROR(IF(VLOOKUP($E1138,AcctTblE,4,0)="","(بدون نام)",VLOOKUP($E1138,AcctTblE,4,0)),"کد ناشناخته")))</f>
        <v/>
      </c>
      <c r="G1138" s="15" t="n"/>
      <c r="H1138" s="21">
        <f>IF(OR($C1138&lt;&gt;"دستمزد گروهی",$D1138=""),"",SUMIFS(ShareAmt,ShareLink,$D1138))</f>
        <v/>
      </c>
      <c r="I1138" s="22">
        <f>IF($C1138&lt;&gt;"دستمزد گروهی","—",IF($H1138="","",IF(ROUND($H1138-IF($G1138="",0,$G1138),0)=0,"√","▲ مغایرت "&amp;TEXT(IF($G1138="",0,$G1138)-$H1138,"#,##0"))))</f>
        <v/>
      </c>
      <c r="J1138" s="18" t="n"/>
    </row>
    <row r="1139">
      <c r="A1139" s="10">
        <f>IF($B1139="","",COUNTA($B$9:$B1139))</f>
        <v/>
      </c>
      <c r="B1139" s="11" t="n"/>
      <c r="C1139" s="12" t="n"/>
      <c r="D1139" s="12" t="n"/>
      <c r="E1139" s="13" t="n"/>
      <c r="F1139" s="14">
        <f>IF($E1139="","",IF($C1139="دستمزد گروهی",IFERROR(VLOOKUP($E1139,WGTbl,2,0),"کد ناشناخته"),IFERROR(IF(VLOOKUP($E1139,AcctTblE,4,0)="","(بدون نام)",VLOOKUP($E1139,AcctTblE,4,0)),"کد ناشناخته")))</f>
        <v/>
      </c>
      <c r="G1139" s="15" t="n"/>
      <c r="H1139" s="16">
        <f>IF(OR($C1139&lt;&gt;"دستمزد گروهی",$D1139=""),"",SUMIFS(ShareAmt,ShareLink,$D1139))</f>
        <v/>
      </c>
      <c r="I1139" s="17">
        <f>IF($C1139&lt;&gt;"دستمزد گروهی","—",IF($H1139="","",IF(ROUND($H1139-IF($G1139="",0,$G1139),0)=0,"√","▲ مغایرت "&amp;TEXT(IF($G1139="",0,$G1139)-$H1139,"#,##0"))))</f>
        <v/>
      </c>
      <c r="J1139" s="18" t="n"/>
    </row>
    <row r="1140">
      <c r="A1140" s="19">
        <f>IF($B1140="","",COUNTA($B$9:$B1140))</f>
        <v/>
      </c>
      <c r="B1140" s="11" t="n"/>
      <c r="C1140" s="12" t="n"/>
      <c r="D1140" s="12" t="n"/>
      <c r="E1140" s="13" t="n"/>
      <c r="F1140" s="20">
        <f>IF($E1140="","",IF($C1140="دستمزد گروهی",IFERROR(VLOOKUP($E1140,WGTbl,2,0),"کد ناشناخته"),IFERROR(IF(VLOOKUP($E1140,AcctTblE,4,0)="","(بدون نام)",VLOOKUP($E1140,AcctTblE,4,0)),"کد ناشناخته")))</f>
        <v/>
      </c>
      <c r="G1140" s="15" t="n"/>
      <c r="H1140" s="21">
        <f>IF(OR($C1140&lt;&gt;"دستمزد گروهی",$D1140=""),"",SUMIFS(ShareAmt,ShareLink,$D1140))</f>
        <v/>
      </c>
      <c r="I1140" s="22">
        <f>IF($C1140&lt;&gt;"دستمزد گروهی","—",IF($H1140="","",IF(ROUND($H1140-IF($G1140="",0,$G1140),0)=0,"√","▲ مغایرت "&amp;TEXT(IF($G1140="",0,$G1140)-$H1140,"#,##0"))))</f>
        <v/>
      </c>
      <c r="J1140" s="18" t="n"/>
    </row>
    <row r="1141">
      <c r="A1141" s="10">
        <f>IF($B1141="","",COUNTA($B$9:$B1141))</f>
        <v/>
      </c>
      <c r="B1141" s="11" t="n"/>
      <c r="C1141" s="12" t="n"/>
      <c r="D1141" s="12" t="n"/>
      <c r="E1141" s="13" t="n"/>
      <c r="F1141" s="14">
        <f>IF($E1141="","",IF($C1141="دستمزد گروهی",IFERROR(VLOOKUP($E1141,WGTbl,2,0),"کد ناشناخته"),IFERROR(IF(VLOOKUP($E1141,AcctTblE,4,0)="","(بدون نام)",VLOOKUP($E1141,AcctTblE,4,0)),"کد ناشناخته")))</f>
        <v/>
      </c>
      <c r="G1141" s="15" t="n"/>
      <c r="H1141" s="16">
        <f>IF(OR($C1141&lt;&gt;"دستمزد گروهی",$D1141=""),"",SUMIFS(ShareAmt,ShareLink,$D1141))</f>
        <v/>
      </c>
      <c r="I1141" s="17">
        <f>IF($C1141&lt;&gt;"دستمزد گروهی","—",IF($H1141="","",IF(ROUND($H1141-IF($G1141="",0,$G1141),0)=0,"√","▲ مغایرت "&amp;TEXT(IF($G1141="",0,$G1141)-$H1141,"#,##0"))))</f>
        <v/>
      </c>
      <c r="J1141" s="18" t="n"/>
    </row>
    <row r="1142">
      <c r="A1142" s="19">
        <f>IF($B1142="","",COUNTA($B$9:$B1142))</f>
        <v/>
      </c>
      <c r="B1142" s="11" t="n"/>
      <c r="C1142" s="12" t="n"/>
      <c r="D1142" s="12" t="n"/>
      <c r="E1142" s="13" t="n"/>
      <c r="F1142" s="20">
        <f>IF($E1142="","",IF($C1142="دستمزد گروهی",IFERROR(VLOOKUP($E1142,WGTbl,2,0),"کد ناشناخته"),IFERROR(IF(VLOOKUP($E1142,AcctTblE,4,0)="","(بدون نام)",VLOOKUP($E1142,AcctTblE,4,0)),"کد ناشناخته")))</f>
        <v/>
      </c>
      <c r="G1142" s="15" t="n"/>
      <c r="H1142" s="21">
        <f>IF(OR($C1142&lt;&gt;"دستمزد گروهی",$D1142=""),"",SUMIFS(ShareAmt,ShareLink,$D1142))</f>
        <v/>
      </c>
      <c r="I1142" s="22">
        <f>IF($C1142&lt;&gt;"دستمزد گروهی","—",IF($H1142="","",IF(ROUND($H1142-IF($G1142="",0,$G1142),0)=0,"√","▲ مغایرت "&amp;TEXT(IF($G1142="",0,$G1142)-$H1142,"#,##0"))))</f>
        <v/>
      </c>
      <c r="J1142" s="18" t="n"/>
    </row>
    <row r="1143">
      <c r="A1143" s="10">
        <f>IF($B1143="","",COUNTA($B$9:$B1143))</f>
        <v/>
      </c>
      <c r="B1143" s="11" t="n"/>
      <c r="C1143" s="12" t="n"/>
      <c r="D1143" s="12" t="n"/>
      <c r="E1143" s="13" t="n"/>
      <c r="F1143" s="14">
        <f>IF($E1143="","",IF($C1143="دستمزد گروهی",IFERROR(VLOOKUP($E1143,WGTbl,2,0),"کد ناشناخته"),IFERROR(IF(VLOOKUP($E1143,AcctTblE,4,0)="","(بدون نام)",VLOOKUP($E1143,AcctTblE,4,0)),"کد ناشناخته")))</f>
        <v/>
      </c>
      <c r="G1143" s="15" t="n"/>
      <c r="H1143" s="16">
        <f>IF(OR($C1143&lt;&gt;"دستمزد گروهی",$D1143=""),"",SUMIFS(ShareAmt,ShareLink,$D1143))</f>
        <v/>
      </c>
      <c r="I1143" s="17">
        <f>IF($C1143&lt;&gt;"دستمزد گروهی","—",IF($H1143="","",IF(ROUND($H1143-IF($G1143="",0,$G1143),0)=0,"√","▲ مغایرت "&amp;TEXT(IF($G1143="",0,$G1143)-$H1143,"#,##0"))))</f>
        <v/>
      </c>
      <c r="J1143" s="18" t="n"/>
    </row>
    <row r="1144">
      <c r="A1144" s="19">
        <f>IF($B1144="","",COUNTA($B$9:$B1144))</f>
        <v/>
      </c>
      <c r="B1144" s="11" t="n"/>
      <c r="C1144" s="12" t="n"/>
      <c r="D1144" s="12" t="n"/>
      <c r="E1144" s="13" t="n"/>
      <c r="F1144" s="20">
        <f>IF($E1144="","",IF($C1144="دستمزد گروهی",IFERROR(VLOOKUP($E1144,WGTbl,2,0),"کد ناشناخته"),IFERROR(IF(VLOOKUP($E1144,AcctTblE,4,0)="","(بدون نام)",VLOOKUP($E1144,AcctTblE,4,0)),"کد ناشناخته")))</f>
        <v/>
      </c>
      <c r="G1144" s="15" t="n"/>
      <c r="H1144" s="21">
        <f>IF(OR($C1144&lt;&gt;"دستمزد گروهی",$D1144=""),"",SUMIFS(ShareAmt,ShareLink,$D1144))</f>
        <v/>
      </c>
      <c r="I1144" s="22">
        <f>IF($C1144&lt;&gt;"دستمزد گروهی","—",IF($H1144="","",IF(ROUND($H1144-IF($G1144="",0,$G1144),0)=0,"√","▲ مغایرت "&amp;TEXT(IF($G1144="",0,$G1144)-$H1144,"#,##0"))))</f>
        <v/>
      </c>
      <c r="J1144" s="18" t="n"/>
    </row>
    <row r="1145">
      <c r="A1145" s="10">
        <f>IF($B1145="","",COUNTA($B$9:$B1145))</f>
        <v/>
      </c>
      <c r="B1145" s="11" t="n"/>
      <c r="C1145" s="12" t="n"/>
      <c r="D1145" s="12" t="n"/>
      <c r="E1145" s="13" t="n"/>
      <c r="F1145" s="14">
        <f>IF($E1145="","",IF($C1145="دستمزد گروهی",IFERROR(VLOOKUP($E1145,WGTbl,2,0),"کد ناشناخته"),IFERROR(IF(VLOOKUP($E1145,AcctTblE,4,0)="","(بدون نام)",VLOOKUP($E1145,AcctTblE,4,0)),"کد ناشناخته")))</f>
        <v/>
      </c>
      <c r="G1145" s="15" t="n"/>
      <c r="H1145" s="16">
        <f>IF(OR($C1145&lt;&gt;"دستمزد گروهی",$D1145=""),"",SUMIFS(ShareAmt,ShareLink,$D1145))</f>
        <v/>
      </c>
      <c r="I1145" s="17">
        <f>IF($C1145&lt;&gt;"دستمزد گروهی","—",IF($H1145="","",IF(ROUND($H1145-IF($G1145="",0,$G1145),0)=0,"√","▲ مغایرت "&amp;TEXT(IF($G1145="",0,$G1145)-$H1145,"#,##0"))))</f>
        <v/>
      </c>
      <c r="J1145" s="18" t="n"/>
    </row>
    <row r="1146">
      <c r="A1146" s="19">
        <f>IF($B1146="","",COUNTA($B$9:$B1146))</f>
        <v/>
      </c>
      <c r="B1146" s="11" t="n"/>
      <c r="C1146" s="12" t="n"/>
      <c r="D1146" s="12" t="n"/>
      <c r="E1146" s="13" t="n"/>
      <c r="F1146" s="20">
        <f>IF($E1146="","",IF($C1146="دستمزد گروهی",IFERROR(VLOOKUP($E1146,WGTbl,2,0),"کد ناشناخته"),IFERROR(IF(VLOOKUP($E1146,AcctTblE,4,0)="","(بدون نام)",VLOOKUP($E1146,AcctTblE,4,0)),"کد ناشناخته")))</f>
        <v/>
      </c>
      <c r="G1146" s="15" t="n"/>
      <c r="H1146" s="21">
        <f>IF(OR($C1146&lt;&gt;"دستمزد گروهی",$D1146=""),"",SUMIFS(ShareAmt,ShareLink,$D1146))</f>
        <v/>
      </c>
      <c r="I1146" s="22">
        <f>IF($C1146&lt;&gt;"دستمزد گروهی","—",IF($H1146="","",IF(ROUND($H1146-IF($G1146="",0,$G1146),0)=0,"√","▲ مغایرت "&amp;TEXT(IF($G1146="",0,$G1146)-$H1146,"#,##0"))))</f>
        <v/>
      </c>
      <c r="J1146" s="18" t="n"/>
    </row>
    <row r="1147">
      <c r="A1147" s="10">
        <f>IF($B1147="","",COUNTA($B$9:$B1147))</f>
        <v/>
      </c>
      <c r="B1147" s="11" t="n"/>
      <c r="C1147" s="12" t="n"/>
      <c r="D1147" s="12" t="n"/>
      <c r="E1147" s="13" t="n"/>
      <c r="F1147" s="14">
        <f>IF($E1147="","",IF($C1147="دستمزد گروهی",IFERROR(VLOOKUP($E1147,WGTbl,2,0),"کد ناشناخته"),IFERROR(IF(VLOOKUP($E1147,AcctTblE,4,0)="","(بدون نام)",VLOOKUP($E1147,AcctTblE,4,0)),"کد ناشناخته")))</f>
        <v/>
      </c>
      <c r="G1147" s="15" t="n"/>
      <c r="H1147" s="16">
        <f>IF(OR($C1147&lt;&gt;"دستمزد گروهی",$D1147=""),"",SUMIFS(ShareAmt,ShareLink,$D1147))</f>
        <v/>
      </c>
      <c r="I1147" s="17">
        <f>IF($C1147&lt;&gt;"دستمزد گروهی","—",IF($H1147="","",IF(ROUND($H1147-IF($G1147="",0,$G1147),0)=0,"√","▲ مغایرت "&amp;TEXT(IF($G1147="",0,$G1147)-$H1147,"#,##0"))))</f>
        <v/>
      </c>
      <c r="J1147" s="18" t="n"/>
    </row>
    <row r="1148">
      <c r="A1148" s="19">
        <f>IF($B1148="","",COUNTA($B$9:$B1148))</f>
        <v/>
      </c>
      <c r="B1148" s="11" t="n"/>
      <c r="C1148" s="12" t="n"/>
      <c r="D1148" s="12" t="n"/>
      <c r="E1148" s="13" t="n"/>
      <c r="F1148" s="20">
        <f>IF($E1148="","",IF($C1148="دستمزد گروهی",IFERROR(VLOOKUP($E1148,WGTbl,2,0),"کد ناشناخته"),IFERROR(IF(VLOOKUP($E1148,AcctTblE,4,0)="","(بدون نام)",VLOOKUP($E1148,AcctTblE,4,0)),"کد ناشناخته")))</f>
        <v/>
      </c>
      <c r="G1148" s="15" t="n"/>
      <c r="H1148" s="21">
        <f>IF(OR($C1148&lt;&gt;"دستمزد گروهی",$D1148=""),"",SUMIFS(ShareAmt,ShareLink,$D1148))</f>
        <v/>
      </c>
      <c r="I1148" s="22">
        <f>IF($C1148&lt;&gt;"دستمزد گروهی","—",IF($H1148="","",IF(ROUND($H1148-IF($G1148="",0,$G1148),0)=0,"√","▲ مغایرت "&amp;TEXT(IF($G1148="",0,$G1148)-$H1148,"#,##0"))))</f>
        <v/>
      </c>
      <c r="J1148" s="18" t="n"/>
    </row>
    <row r="1149">
      <c r="A1149" s="10">
        <f>IF($B1149="","",COUNTA($B$9:$B1149))</f>
        <v/>
      </c>
      <c r="B1149" s="11" t="n"/>
      <c r="C1149" s="12" t="n"/>
      <c r="D1149" s="12" t="n"/>
      <c r="E1149" s="13" t="n"/>
      <c r="F1149" s="14">
        <f>IF($E1149="","",IF($C1149="دستمزد گروهی",IFERROR(VLOOKUP($E1149,WGTbl,2,0),"کد ناشناخته"),IFERROR(IF(VLOOKUP($E1149,AcctTblE,4,0)="","(بدون نام)",VLOOKUP($E1149,AcctTblE,4,0)),"کد ناشناخته")))</f>
        <v/>
      </c>
      <c r="G1149" s="15" t="n"/>
      <c r="H1149" s="16">
        <f>IF(OR($C1149&lt;&gt;"دستمزد گروهی",$D1149=""),"",SUMIFS(ShareAmt,ShareLink,$D1149))</f>
        <v/>
      </c>
      <c r="I1149" s="17">
        <f>IF($C1149&lt;&gt;"دستمزد گروهی","—",IF($H1149="","",IF(ROUND($H1149-IF($G1149="",0,$G1149),0)=0,"√","▲ مغایرت "&amp;TEXT(IF($G1149="",0,$G1149)-$H1149,"#,##0"))))</f>
        <v/>
      </c>
      <c r="J1149" s="18" t="n"/>
    </row>
    <row r="1150">
      <c r="A1150" s="19">
        <f>IF($B1150="","",COUNTA($B$9:$B1150))</f>
        <v/>
      </c>
      <c r="B1150" s="11" t="n"/>
      <c r="C1150" s="12" t="n"/>
      <c r="D1150" s="12" t="n"/>
      <c r="E1150" s="13" t="n"/>
      <c r="F1150" s="20">
        <f>IF($E1150="","",IF($C1150="دستمزد گروهی",IFERROR(VLOOKUP($E1150,WGTbl,2,0),"کد ناشناخته"),IFERROR(IF(VLOOKUP($E1150,AcctTblE,4,0)="","(بدون نام)",VLOOKUP($E1150,AcctTblE,4,0)),"کد ناشناخته")))</f>
        <v/>
      </c>
      <c r="G1150" s="15" t="n"/>
      <c r="H1150" s="21">
        <f>IF(OR($C1150&lt;&gt;"دستمزد گروهی",$D1150=""),"",SUMIFS(ShareAmt,ShareLink,$D1150))</f>
        <v/>
      </c>
      <c r="I1150" s="22">
        <f>IF($C1150&lt;&gt;"دستمزد گروهی","—",IF($H1150="","",IF(ROUND($H1150-IF($G1150="",0,$G1150),0)=0,"√","▲ مغایرت "&amp;TEXT(IF($G1150="",0,$G1150)-$H1150,"#,##0"))))</f>
        <v/>
      </c>
      <c r="J1150" s="18" t="n"/>
    </row>
    <row r="1151">
      <c r="A1151" s="10">
        <f>IF($B1151="","",COUNTA($B$9:$B1151))</f>
        <v/>
      </c>
      <c r="B1151" s="11" t="n"/>
      <c r="C1151" s="12" t="n"/>
      <c r="D1151" s="12" t="n"/>
      <c r="E1151" s="13" t="n"/>
      <c r="F1151" s="14">
        <f>IF($E1151="","",IF($C1151="دستمزد گروهی",IFERROR(VLOOKUP($E1151,WGTbl,2,0),"کد ناشناخته"),IFERROR(IF(VLOOKUP($E1151,AcctTblE,4,0)="","(بدون نام)",VLOOKUP($E1151,AcctTblE,4,0)),"کد ناشناخته")))</f>
        <v/>
      </c>
      <c r="G1151" s="15" t="n"/>
      <c r="H1151" s="16">
        <f>IF(OR($C1151&lt;&gt;"دستمزد گروهی",$D1151=""),"",SUMIFS(ShareAmt,ShareLink,$D1151))</f>
        <v/>
      </c>
      <c r="I1151" s="17">
        <f>IF($C1151&lt;&gt;"دستمزد گروهی","—",IF($H1151="","",IF(ROUND($H1151-IF($G1151="",0,$G1151),0)=0,"√","▲ مغایرت "&amp;TEXT(IF($G1151="",0,$G1151)-$H1151,"#,##0"))))</f>
        <v/>
      </c>
      <c r="J1151" s="18" t="n"/>
    </row>
    <row r="1152">
      <c r="A1152" s="19">
        <f>IF($B1152="","",COUNTA($B$9:$B1152))</f>
        <v/>
      </c>
      <c r="B1152" s="11" t="n"/>
      <c r="C1152" s="12" t="n"/>
      <c r="D1152" s="12" t="n"/>
      <c r="E1152" s="13" t="n"/>
      <c r="F1152" s="20">
        <f>IF($E1152="","",IF($C1152="دستمزد گروهی",IFERROR(VLOOKUP($E1152,WGTbl,2,0),"کد ناشناخته"),IFERROR(IF(VLOOKUP($E1152,AcctTblE,4,0)="","(بدون نام)",VLOOKUP($E1152,AcctTblE,4,0)),"کد ناشناخته")))</f>
        <v/>
      </c>
      <c r="G1152" s="15" t="n"/>
      <c r="H1152" s="21">
        <f>IF(OR($C1152&lt;&gt;"دستمزد گروهی",$D1152=""),"",SUMIFS(ShareAmt,ShareLink,$D1152))</f>
        <v/>
      </c>
      <c r="I1152" s="22">
        <f>IF($C1152&lt;&gt;"دستمزد گروهی","—",IF($H1152="","",IF(ROUND($H1152-IF($G1152="",0,$G1152),0)=0,"√","▲ مغایرت "&amp;TEXT(IF($G1152="",0,$G1152)-$H1152,"#,##0"))))</f>
        <v/>
      </c>
      <c r="J1152" s="18" t="n"/>
    </row>
    <row r="1153">
      <c r="A1153" s="10">
        <f>IF($B1153="","",COUNTA($B$9:$B1153))</f>
        <v/>
      </c>
      <c r="B1153" s="11" t="n"/>
      <c r="C1153" s="12" t="n"/>
      <c r="D1153" s="12" t="n"/>
      <c r="E1153" s="13" t="n"/>
      <c r="F1153" s="14">
        <f>IF($E1153="","",IF($C1153="دستمزد گروهی",IFERROR(VLOOKUP($E1153,WGTbl,2,0),"کد ناشناخته"),IFERROR(IF(VLOOKUP($E1153,AcctTblE,4,0)="","(بدون نام)",VLOOKUP($E1153,AcctTblE,4,0)),"کد ناشناخته")))</f>
        <v/>
      </c>
      <c r="G1153" s="15" t="n"/>
      <c r="H1153" s="16">
        <f>IF(OR($C1153&lt;&gt;"دستمزد گروهی",$D1153=""),"",SUMIFS(ShareAmt,ShareLink,$D1153))</f>
        <v/>
      </c>
      <c r="I1153" s="17">
        <f>IF($C1153&lt;&gt;"دستمزد گروهی","—",IF($H1153="","",IF(ROUND($H1153-IF($G1153="",0,$G1153),0)=0,"√","▲ مغایرت "&amp;TEXT(IF($G1153="",0,$G1153)-$H1153,"#,##0"))))</f>
        <v/>
      </c>
      <c r="J1153" s="18" t="n"/>
    </row>
    <row r="1154">
      <c r="A1154" s="19">
        <f>IF($B1154="","",COUNTA($B$9:$B1154))</f>
        <v/>
      </c>
      <c r="B1154" s="11" t="n"/>
      <c r="C1154" s="12" t="n"/>
      <c r="D1154" s="12" t="n"/>
      <c r="E1154" s="13" t="n"/>
      <c r="F1154" s="20">
        <f>IF($E1154="","",IF($C1154="دستمزد گروهی",IFERROR(VLOOKUP($E1154,WGTbl,2,0),"کد ناشناخته"),IFERROR(IF(VLOOKUP($E1154,AcctTblE,4,0)="","(بدون نام)",VLOOKUP($E1154,AcctTblE,4,0)),"کد ناشناخته")))</f>
        <v/>
      </c>
      <c r="G1154" s="15" t="n"/>
      <c r="H1154" s="21">
        <f>IF(OR($C1154&lt;&gt;"دستمزد گروهی",$D1154=""),"",SUMIFS(ShareAmt,ShareLink,$D1154))</f>
        <v/>
      </c>
      <c r="I1154" s="22">
        <f>IF($C1154&lt;&gt;"دستمزد گروهی","—",IF($H1154="","",IF(ROUND($H1154-IF($G1154="",0,$G1154),0)=0,"√","▲ مغایرت "&amp;TEXT(IF($G1154="",0,$G1154)-$H1154,"#,##0"))))</f>
        <v/>
      </c>
      <c r="J1154" s="18" t="n"/>
    </row>
    <row r="1155">
      <c r="A1155" s="10">
        <f>IF($B1155="","",COUNTA($B$9:$B1155))</f>
        <v/>
      </c>
      <c r="B1155" s="11" t="n"/>
      <c r="C1155" s="12" t="n"/>
      <c r="D1155" s="12" t="n"/>
      <c r="E1155" s="13" t="n"/>
      <c r="F1155" s="14">
        <f>IF($E1155="","",IF($C1155="دستمزد گروهی",IFERROR(VLOOKUP($E1155,WGTbl,2,0),"کد ناشناخته"),IFERROR(IF(VLOOKUP($E1155,AcctTblE,4,0)="","(بدون نام)",VLOOKUP($E1155,AcctTblE,4,0)),"کد ناشناخته")))</f>
        <v/>
      </c>
      <c r="G1155" s="15" t="n"/>
      <c r="H1155" s="16">
        <f>IF(OR($C1155&lt;&gt;"دستمزد گروهی",$D1155=""),"",SUMIFS(ShareAmt,ShareLink,$D1155))</f>
        <v/>
      </c>
      <c r="I1155" s="17">
        <f>IF($C1155&lt;&gt;"دستمزد گروهی","—",IF($H1155="","",IF(ROUND($H1155-IF($G1155="",0,$G1155),0)=0,"√","▲ مغایرت "&amp;TEXT(IF($G1155="",0,$G1155)-$H1155,"#,##0"))))</f>
        <v/>
      </c>
      <c r="J1155" s="18" t="n"/>
    </row>
    <row r="1156">
      <c r="A1156" s="19">
        <f>IF($B1156="","",COUNTA($B$9:$B1156))</f>
        <v/>
      </c>
      <c r="B1156" s="11" t="n"/>
      <c r="C1156" s="12" t="n"/>
      <c r="D1156" s="12" t="n"/>
      <c r="E1156" s="13" t="n"/>
      <c r="F1156" s="20">
        <f>IF($E1156="","",IF($C1156="دستمزد گروهی",IFERROR(VLOOKUP($E1156,WGTbl,2,0),"کد ناشناخته"),IFERROR(IF(VLOOKUP($E1156,AcctTblE,4,0)="","(بدون نام)",VLOOKUP($E1156,AcctTblE,4,0)),"کد ناشناخته")))</f>
        <v/>
      </c>
      <c r="G1156" s="15" t="n"/>
      <c r="H1156" s="21">
        <f>IF(OR($C1156&lt;&gt;"دستمزد گروهی",$D1156=""),"",SUMIFS(ShareAmt,ShareLink,$D1156))</f>
        <v/>
      </c>
      <c r="I1156" s="22">
        <f>IF($C1156&lt;&gt;"دستمزد گروهی","—",IF($H1156="","",IF(ROUND($H1156-IF($G1156="",0,$G1156),0)=0,"√","▲ مغایرت "&amp;TEXT(IF($G1156="",0,$G1156)-$H1156,"#,##0"))))</f>
        <v/>
      </c>
      <c r="J1156" s="18" t="n"/>
    </row>
    <row r="1157">
      <c r="A1157" s="10">
        <f>IF($B1157="","",COUNTA($B$9:$B1157))</f>
        <v/>
      </c>
      <c r="B1157" s="11" t="n"/>
      <c r="C1157" s="12" t="n"/>
      <c r="D1157" s="12" t="n"/>
      <c r="E1157" s="13" t="n"/>
      <c r="F1157" s="14">
        <f>IF($E1157="","",IF($C1157="دستمزد گروهی",IFERROR(VLOOKUP($E1157,WGTbl,2,0),"کد ناشناخته"),IFERROR(IF(VLOOKUP($E1157,AcctTblE,4,0)="","(بدون نام)",VLOOKUP($E1157,AcctTblE,4,0)),"کد ناشناخته")))</f>
        <v/>
      </c>
      <c r="G1157" s="15" t="n"/>
      <c r="H1157" s="16">
        <f>IF(OR($C1157&lt;&gt;"دستمزد گروهی",$D1157=""),"",SUMIFS(ShareAmt,ShareLink,$D1157))</f>
        <v/>
      </c>
      <c r="I1157" s="17">
        <f>IF($C1157&lt;&gt;"دستمزد گروهی","—",IF($H1157="","",IF(ROUND($H1157-IF($G1157="",0,$G1157),0)=0,"√","▲ مغایرت "&amp;TEXT(IF($G1157="",0,$G1157)-$H1157,"#,##0"))))</f>
        <v/>
      </c>
      <c r="J1157" s="18" t="n"/>
    </row>
    <row r="1158">
      <c r="A1158" s="19">
        <f>IF($B1158="","",COUNTA($B$9:$B1158))</f>
        <v/>
      </c>
      <c r="B1158" s="11" t="n"/>
      <c r="C1158" s="12" t="n"/>
      <c r="D1158" s="12" t="n"/>
      <c r="E1158" s="13" t="n"/>
      <c r="F1158" s="20">
        <f>IF($E1158="","",IF($C1158="دستمزد گروهی",IFERROR(VLOOKUP($E1158,WGTbl,2,0),"کد ناشناخته"),IFERROR(IF(VLOOKUP($E1158,AcctTblE,4,0)="","(بدون نام)",VLOOKUP($E1158,AcctTblE,4,0)),"کد ناشناخته")))</f>
        <v/>
      </c>
      <c r="G1158" s="15" t="n"/>
      <c r="H1158" s="21">
        <f>IF(OR($C1158&lt;&gt;"دستمزد گروهی",$D1158=""),"",SUMIFS(ShareAmt,ShareLink,$D1158))</f>
        <v/>
      </c>
      <c r="I1158" s="22">
        <f>IF($C1158&lt;&gt;"دستمزد گروهی","—",IF($H1158="","",IF(ROUND($H1158-IF($G1158="",0,$G1158),0)=0,"√","▲ مغایرت "&amp;TEXT(IF($G1158="",0,$G1158)-$H1158,"#,##0"))))</f>
        <v/>
      </c>
      <c r="J1158" s="18" t="n"/>
    </row>
    <row r="1159">
      <c r="A1159" s="10">
        <f>IF($B1159="","",COUNTA($B$9:$B1159))</f>
        <v/>
      </c>
      <c r="B1159" s="11" t="n"/>
      <c r="C1159" s="12" t="n"/>
      <c r="D1159" s="12" t="n"/>
      <c r="E1159" s="13" t="n"/>
      <c r="F1159" s="14">
        <f>IF($E1159="","",IF($C1159="دستمزد گروهی",IFERROR(VLOOKUP($E1159,WGTbl,2,0),"کد ناشناخته"),IFERROR(IF(VLOOKUP($E1159,AcctTblE,4,0)="","(بدون نام)",VLOOKUP($E1159,AcctTblE,4,0)),"کد ناشناخته")))</f>
        <v/>
      </c>
      <c r="G1159" s="15" t="n"/>
      <c r="H1159" s="16">
        <f>IF(OR($C1159&lt;&gt;"دستمزد گروهی",$D1159=""),"",SUMIFS(ShareAmt,ShareLink,$D1159))</f>
        <v/>
      </c>
      <c r="I1159" s="17">
        <f>IF($C1159&lt;&gt;"دستمزد گروهی","—",IF($H1159="","",IF(ROUND($H1159-IF($G1159="",0,$G1159),0)=0,"√","▲ مغایرت "&amp;TEXT(IF($G1159="",0,$G1159)-$H1159,"#,##0"))))</f>
        <v/>
      </c>
      <c r="J1159" s="18" t="n"/>
    </row>
    <row r="1160">
      <c r="A1160" s="19">
        <f>IF($B1160="","",COUNTA($B$9:$B1160))</f>
        <v/>
      </c>
      <c r="B1160" s="11" t="n"/>
      <c r="C1160" s="12" t="n"/>
      <c r="D1160" s="12" t="n"/>
      <c r="E1160" s="13" t="n"/>
      <c r="F1160" s="20">
        <f>IF($E1160="","",IF($C1160="دستمزد گروهی",IFERROR(VLOOKUP($E1160,WGTbl,2,0),"کد ناشناخته"),IFERROR(IF(VLOOKUP($E1160,AcctTblE,4,0)="","(بدون نام)",VLOOKUP($E1160,AcctTblE,4,0)),"کد ناشناخته")))</f>
        <v/>
      </c>
      <c r="G1160" s="15" t="n"/>
      <c r="H1160" s="21">
        <f>IF(OR($C1160&lt;&gt;"دستمزد گروهی",$D1160=""),"",SUMIFS(ShareAmt,ShareLink,$D1160))</f>
        <v/>
      </c>
      <c r="I1160" s="22">
        <f>IF($C1160&lt;&gt;"دستمزد گروهی","—",IF($H1160="","",IF(ROUND($H1160-IF($G1160="",0,$G1160),0)=0,"√","▲ مغایرت "&amp;TEXT(IF($G1160="",0,$G1160)-$H1160,"#,##0"))))</f>
        <v/>
      </c>
      <c r="J1160" s="18" t="n"/>
    </row>
    <row r="1161">
      <c r="A1161" s="10">
        <f>IF($B1161="","",COUNTA($B$9:$B1161))</f>
        <v/>
      </c>
      <c r="B1161" s="11" t="n"/>
      <c r="C1161" s="12" t="n"/>
      <c r="D1161" s="12" t="n"/>
      <c r="E1161" s="13" t="n"/>
      <c r="F1161" s="14">
        <f>IF($E1161="","",IF($C1161="دستمزد گروهی",IFERROR(VLOOKUP($E1161,WGTbl,2,0),"کد ناشناخته"),IFERROR(IF(VLOOKUP($E1161,AcctTblE,4,0)="","(بدون نام)",VLOOKUP($E1161,AcctTblE,4,0)),"کد ناشناخته")))</f>
        <v/>
      </c>
      <c r="G1161" s="15" t="n"/>
      <c r="H1161" s="16">
        <f>IF(OR($C1161&lt;&gt;"دستمزد گروهی",$D1161=""),"",SUMIFS(ShareAmt,ShareLink,$D1161))</f>
        <v/>
      </c>
      <c r="I1161" s="17">
        <f>IF($C1161&lt;&gt;"دستمزد گروهی","—",IF($H1161="","",IF(ROUND($H1161-IF($G1161="",0,$G1161),0)=0,"√","▲ مغایرت "&amp;TEXT(IF($G1161="",0,$G1161)-$H1161,"#,##0"))))</f>
        <v/>
      </c>
      <c r="J1161" s="18" t="n"/>
    </row>
    <row r="1162">
      <c r="A1162" s="19">
        <f>IF($B1162="","",COUNTA($B$9:$B1162))</f>
        <v/>
      </c>
      <c r="B1162" s="11" t="n"/>
      <c r="C1162" s="12" t="n"/>
      <c r="D1162" s="12" t="n"/>
      <c r="E1162" s="13" t="n"/>
      <c r="F1162" s="20">
        <f>IF($E1162="","",IF($C1162="دستمزد گروهی",IFERROR(VLOOKUP($E1162,WGTbl,2,0),"کد ناشناخته"),IFERROR(IF(VLOOKUP($E1162,AcctTblE,4,0)="","(بدون نام)",VLOOKUP($E1162,AcctTblE,4,0)),"کد ناشناخته")))</f>
        <v/>
      </c>
      <c r="G1162" s="15" t="n"/>
      <c r="H1162" s="21">
        <f>IF(OR($C1162&lt;&gt;"دستمزد گروهی",$D1162=""),"",SUMIFS(ShareAmt,ShareLink,$D1162))</f>
        <v/>
      </c>
      <c r="I1162" s="22">
        <f>IF($C1162&lt;&gt;"دستمزد گروهی","—",IF($H1162="","",IF(ROUND($H1162-IF($G1162="",0,$G1162),0)=0,"√","▲ مغایرت "&amp;TEXT(IF($G1162="",0,$G1162)-$H1162,"#,##0"))))</f>
        <v/>
      </c>
      <c r="J1162" s="18" t="n"/>
    </row>
    <row r="1163">
      <c r="A1163" s="10">
        <f>IF($B1163="","",COUNTA($B$9:$B1163))</f>
        <v/>
      </c>
      <c r="B1163" s="11" t="n"/>
      <c r="C1163" s="12" t="n"/>
      <c r="D1163" s="12" t="n"/>
      <c r="E1163" s="13" t="n"/>
      <c r="F1163" s="14">
        <f>IF($E1163="","",IF($C1163="دستمزد گروهی",IFERROR(VLOOKUP($E1163,WGTbl,2,0),"کد ناشناخته"),IFERROR(IF(VLOOKUP($E1163,AcctTblE,4,0)="","(بدون نام)",VLOOKUP($E1163,AcctTblE,4,0)),"کد ناشناخته")))</f>
        <v/>
      </c>
      <c r="G1163" s="15" t="n"/>
      <c r="H1163" s="16">
        <f>IF(OR($C1163&lt;&gt;"دستمزد گروهی",$D1163=""),"",SUMIFS(ShareAmt,ShareLink,$D1163))</f>
        <v/>
      </c>
      <c r="I1163" s="17">
        <f>IF($C1163&lt;&gt;"دستمزد گروهی","—",IF($H1163="","",IF(ROUND($H1163-IF($G1163="",0,$G1163),0)=0,"√","▲ مغایرت "&amp;TEXT(IF($G1163="",0,$G1163)-$H1163,"#,##0"))))</f>
        <v/>
      </c>
      <c r="J1163" s="18" t="n"/>
    </row>
    <row r="1164">
      <c r="A1164" s="19">
        <f>IF($B1164="","",COUNTA($B$9:$B1164))</f>
        <v/>
      </c>
      <c r="B1164" s="11" t="n"/>
      <c r="C1164" s="12" t="n"/>
      <c r="D1164" s="12" t="n"/>
      <c r="E1164" s="13" t="n"/>
      <c r="F1164" s="20">
        <f>IF($E1164="","",IF($C1164="دستمزد گروهی",IFERROR(VLOOKUP($E1164,WGTbl,2,0),"کد ناشناخته"),IFERROR(IF(VLOOKUP($E1164,AcctTblE,4,0)="","(بدون نام)",VLOOKUP($E1164,AcctTblE,4,0)),"کد ناشناخته")))</f>
        <v/>
      </c>
      <c r="G1164" s="15" t="n"/>
      <c r="H1164" s="21">
        <f>IF(OR($C1164&lt;&gt;"دستمزد گروهی",$D1164=""),"",SUMIFS(ShareAmt,ShareLink,$D1164))</f>
        <v/>
      </c>
      <c r="I1164" s="22">
        <f>IF($C1164&lt;&gt;"دستمزد گروهی","—",IF($H1164="","",IF(ROUND($H1164-IF($G1164="",0,$G1164),0)=0,"√","▲ مغایرت "&amp;TEXT(IF($G1164="",0,$G1164)-$H1164,"#,##0"))))</f>
        <v/>
      </c>
      <c r="J1164" s="18" t="n"/>
    </row>
    <row r="1165">
      <c r="A1165" s="10">
        <f>IF($B1165="","",COUNTA($B$9:$B1165))</f>
        <v/>
      </c>
      <c r="B1165" s="11" t="n"/>
      <c r="C1165" s="12" t="n"/>
      <c r="D1165" s="12" t="n"/>
      <c r="E1165" s="13" t="n"/>
      <c r="F1165" s="14">
        <f>IF($E1165="","",IF($C1165="دستمزد گروهی",IFERROR(VLOOKUP($E1165,WGTbl,2,0),"کد ناشناخته"),IFERROR(IF(VLOOKUP($E1165,AcctTblE,4,0)="","(بدون نام)",VLOOKUP($E1165,AcctTblE,4,0)),"کد ناشناخته")))</f>
        <v/>
      </c>
      <c r="G1165" s="15" t="n"/>
      <c r="H1165" s="16">
        <f>IF(OR($C1165&lt;&gt;"دستمزد گروهی",$D1165=""),"",SUMIFS(ShareAmt,ShareLink,$D1165))</f>
        <v/>
      </c>
      <c r="I1165" s="17">
        <f>IF($C1165&lt;&gt;"دستمزد گروهی","—",IF($H1165="","",IF(ROUND($H1165-IF($G1165="",0,$G1165),0)=0,"√","▲ مغایرت "&amp;TEXT(IF($G1165="",0,$G1165)-$H1165,"#,##0"))))</f>
        <v/>
      </c>
      <c r="J1165" s="18" t="n"/>
    </row>
    <row r="1166">
      <c r="A1166" s="19">
        <f>IF($B1166="","",COUNTA($B$9:$B1166))</f>
        <v/>
      </c>
      <c r="B1166" s="11" t="n"/>
      <c r="C1166" s="12" t="n"/>
      <c r="D1166" s="12" t="n"/>
      <c r="E1166" s="13" t="n"/>
      <c r="F1166" s="20">
        <f>IF($E1166="","",IF($C1166="دستمزد گروهی",IFERROR(VLOOKUP($E1166,WGTbl,2,0),"کد ناشناخته"),IFERROR(IF(VLOOKUP($E1166,AcctTblE,4,0)="","(بدون نام)",VLOOKUP($E1166,AcctTblE,4,0)),"کد ناشناخته")))</f>
        <v/>
      </c>
      <c r="G1166" s="15" t="n"/>
      <c r="H1166" s="21">
        <f>IF(OR($C1166&lt;&gt;"دستمزد گروهی",$D1166=""),"",SUMIFS(ShareAmt,ShareLink,$D1166))</f>
        <v/>
      </c>
      <c r="I1166" s="22">
        <f>IF($C1166&lt;&gt;"دستمزد گروهی","—",IF($H1166="","",IF(ROUND($H1166-IF($G1166="",0,$G1166),0)=0,"√","▲ مغایرت "&amp;TEXT(IF($G1166="",0,$G1166)-$H1166,"#,##0"))))</f>
        <v/>
      </c>
      <c r="J1166" s="18" t="n"/>
    </row>
    <row r="1167">
      <c r="A1167" s="10">
        <f>IF($B1167="","",COUNTA($B$9:$B1167))</f>
        <v/>
      </c>
      <c r="B1167" s="11" t="n"/>
      <c r="C1167" s="12" t="n"/>
      <c r="D1167" s="12" t="n"/>
      <c r="E1167" s="13" t="n"/>
      <c r="F1167" s="14">
        <f>IF($E1167="","",IF($C1167="دستمزد گروهی",IFERROR(VLOOKUP($E1167,WGTbl,2,0),"کد ناشناخته"),IFERROR(IF(VLOOKUP($E1167,AcctTblE,4,0)="","(بدون نام)",VLOOKUP($E1167,AcctTblE,4,0)),"کد ناشناخته")))</f>
        <v/>
      </c>
      <c r="G1167" s="15" t="n"/>
      <c r="H1167" s="16">
        <f>IF(OR($C1167&lt;&gt;"دستمزد گروهی",$D1167=""),"",SUMIFS(ShareAmt,ShareLink,$D1167))</f>
        <v/>
      </c>
      <c r="I1167" s="17">
        <f>IF($C1167&lt;&gt;"دستمزد گروهی","—",IF($H1167="","",IF(ROUND($H1167-IF($G1167="",0,$G1167),0)=0,"√","▲ مغایرت "&amp;TEXT(IF($G1167="",0,$G1167)-$H1167,"#,##0"))))</f>
        <v/>
      </c>
      <c r="J1167" s="18" t="n"/>
    </row>
    <row r="1168">
      <c r="A1168" s="19">
        <f>IF($B1168="","",COUNTA($B$9:$B1168))</f>
        <v/>
      </c>
      <c r="B1168" s="11" t="n"/>
      <c r="C1168" s="12" t="n"/>
      <c r="D1168" s="12" t="n"/>
      <c r="E1168" s="13" t="n"/>
      <c r="F1168" s="20">
        <f>IF($E1168="","",IF($C1168="دستمزد گروهی",IFERROR(VLOOKUP($E1168,WGTbl,2,0),"کد ناشناخته"),IFERROR(IF(VLOOKUP($E1168,AcctTblE,4,0)="","(بدون نام)",VLOOKUP($E1168,AcctTblE,4,0)),"کد ناشناخته")))</f>
        <v/>
      </c>
      <c r="G1168" s="15" t="n"/>
      <c r="H1168" s="21">
        <f>IF(OR($C1168&lt;&gt;"دستمزد گروهی",$D1168=""),"",SUMIFS(ShareAmt,ShareLink,$D1168))</f>
        <v/>
      </c>
      <c r="I1168" s="22">
        <f>IF($C1168&lt;&gt;"دستمزد گروهی","—",IF($H1168="","",IF(ROUND($H1168-IF($G1168="",0,$G1168),0)=0,"√","▲ مغایرت "&amp;TEXT(IF($G1168="",0,$G1168)-$H1168,"#,##0"))))</f>
        <v/>
      </c>
      <c r="J1168" s="18" t="n"/>
    </row>
    <row r="1169">
      <c r="A1169" s="10">
        <f>IF($B1169="","",COUNTA($B$9:$B1169))</f>
        <v/>
      </c>
      <c r="B1169" s="11" t="n"/>
      <c r="C1169" s="12" t="n"/>
      <c r="D1169" s="12" t="n"/>
      <c r="E1169" s="13" t="n"/>
      <c r="F1169" s="14">
        <f>IF($E1169="","",IF($C1169="دستمزد گروهی",IFERROR(VLOOKUP($E1169,WGTbl,2,0),"کد ناشناخته"),IFERROR(IF(VLOOKUP($E1169,AcctTblE,4,0)="","(بدون نام)",VLOOKUP($E1169,AcctTblE,4,0)),"کد ناشناخته")))</f>
        <v/>
      </c>
      <c r="G1169" s="15" t="n"/>
      <c r="H1169" s="16">
        <f>IF(OR($C1169&lt;&gt;"دستمزد گروهی",$D1169=""),"",SUMIFS(ShareAmt,ShareLink,$D1169))</f>
        <v/>
      </c>
      <c r="I1169" s="17">
        <f>IF($C1169&lt;&gt;"دستمزد گروهی","—",IF($H1169="","",IF(ROUND($H1169-IF($G1169="",0,$G1169),0)=0,"√","▲ مغایرت "&amp;TEXT(IF($G1169="",0,$G1169)-$H1169,"#,##0"))))</f>
        <v/>
      </c>
      <c r="J1169" s="18" t="n"/>
    </row>
    <row r="1170">
      <c r="A1170" s="19">
        <f>IF($B1170="","",COUNTA($B$9:$B1170))</f>
        <v/>
      </c>
      <c r="B1170" s="11" t="n"/>
      <c r="C1170" s="12" t="n"/>
      <c r="D1170" s="12" t="n"/>
      <c r="E1170" s="13" t="n"/>
      <c r="F1170" s="20">
        <f>IF($E1170="","",IF($C1170="دستمزد گروهی",IFERROR(VLOOKUP($E1170,WGTbl,2,0),"کد ناشناخته"),IFERROR(IF(VLOOKUP($E1170,AcctTblE,4,0)="","(بدون نام)",VLOOKUP($E1170,AcctTblE,4,0)),"کد ناشناخته")))</f>
        <v/>
      </c>
      <c r="G1170" s="15" t="n"/>
      <c r="H1170" s="21">
        <f>IF(OR($C1170&lt;&gt;"دستمزد گروهی",$D1170=""),"",SUMIFS(ShareAmt,ShareLink,$D1170))</f>
        <v/>
      </c>
      <c r="I1170" s="22">
        <f>IF($C1170&lt;&gt;"دستمزد گروهی","—",IF($H1170="","",IF(ROUND($H1170-IF($G1170="",0,$G1170),0)=0,"√","▲ مغایرت "&amp;TEXT(IF($G1170="",0,$G1170)-$H1170,"#,##0"))))</f>
        <v/>
      </c>
      <c r="J1170" s="18" t="n"/>
    </row>
    <row r="1171">
      <c r="A1171" s="10">
        <f>IF($B1171="","",COUNTA($B$9:$B1171))</f>
        <v/>
      </c>
      <c r="B1171" s="11" t="n"/>
      <c r="C1171" s="12" t="n"/>
      <c r="D1171" s="12" t="n"/>
      <c r="E1171" s="13" t="n"/>
      <c r="F1171" s="14">
        <f>IF($E1171="","",IF($C1171="دستمزد گروهی",IFERROR(VLOOKUP($E1171,WGTbl,2,0),"کد ناشناخته"),IFERROR(IF(VLOOKUP($E1171,AcctTblE,4,0)="","(بدون نام)",VLOOKUP($E1171,AcctTblE,4,0)),"کد ناشناخته")))</f>
        <v/>
      </c>
      <c r="G1171" s="15" t="n"/>
      <c r="H1171" s="16">
        <f>IF(OR($C1171&lt;&gt;"دستمزد گروهی",$D1171=""),"",SUMIFS(ShareAmt,ShareLink,$D1171))</f>
        <v/>
      </c>
      <c r="I1171" s="17">
        <f>IF($C1171&lt;&gt;"دستمزد گروهی","—",IF($H1171="","",IF(ROUND($H1171-IF($G1171="",0,$G1171),0)=0,"√","▲ مغایرت "&amp;TEXT(IF($G1171="",0,$G1171)-$H1171,"#,##0"))))</f>
        <v/>
      </c>
      <c r="J1171" s="18" t="n"/>
    </row>
    <row r="1172">
      <c r="A1172" s="19">
        <f>IF($B1172="","",COUNTA($B$9:$B1172))</f>
        <v/>
      </c>
      <c r="B1172" s="11" t="n"/>
      <c r="C1172" s="12" t="n"/>
      <c r="D1172" s="12" t="n"/>
      <c r="E1172" s="13" t="n"/>
      <c r="F1172" s="20">
        <f>IF($E1172="","",IF($C1172="دستمزد گروهی",IFERROR(VLOOKUP($E1172,WGTbl,2,0),"کد ناشناخته"),IFERROR(IF(VLOOKUP($E1172,AcctTblE,4,0)="","(بدون نام)",VLOOKUP($E1172,AcctTblE,4,0)),"کد ناشناخته")))</f>
        <v/>
      </c>
      <c r="G1172" s="15" t="n"/>
      <c r="H1172" s="21">
        <f>IF(OR($C1172&lt;&gt;"دستمزد گروهی",$D1172=""),"",SUMIFS(ShareAmt,ShareLink,$D1172))</f>
        <v/>
      </c>
      <c r="I1172" s="22">
        <f>IF($C1172&lt;&gt;"دستمزد گروهی","—",IF($H1172="","",IF(ROUND($H1172-IF($G1172="",0,$G1172),0)=0,"√","▲ مغایرت "&amp;TEXT(IF($G1172="",0,$G1172)-$H1172,"#,##0"))))</f>
        <v/>
      </c>
      <c r="J1172" s="18" t="n"/>
    </row>
    <row r="1173">
      <c r="A1173" s="10">
        <f>IF($B1173="","",COUNTA($B$9:$B1173))</f>
        <v/>
      </c>
      <c r="B1173" s="11" t="n"/>
      <c r="C1173" s="12" t="n"/>
      <c r="D1173" s="12" t="n"/>
      <c r="E1173" s="13" t="n"/>
      <c r="F1173" s="14">
        <f>IF($E1173="","",IF($C1173="دستمزد گروهی",IFERROR(VLOOKUP($E1173,WGTbl,2,0),"کد ناشناخته"),IFERROR(IF(VLOOKUP($E1173,AcctTblE,4,0)="","(بدون نام)",VLOOKUP($E1173,AcctTblE,4,0)),"کد ناشناخته")))</f>
        <v/>
      </c>
      <c r="G1173" s="15" t="n"/>
      <c r="H1173" s="16">
        <f>IF(OR($C1173&lt;&gt;"دستمزد گروهی",$D1173=""),"",SUMIFS(ShareAmt,ShareLink,$D1173))</f>
        <v/>
      </c>
      <c r="I1173" s="17">
        <f>IF($C1173&lt;&gt;"دستمزد گروهی","—",IF($H1173="","",IF(ROUND($H1173-IF($G1173="",0,$G1173),0)=0,"√","▲ مغایرت "&amp;TEXT(IF($G1173="",0,$G1173)-$H1173,"#,##0"))))</f>
        <v/>
      </c>
      <c r="J1173" s="18" t="n"/>
    </row>
    <row r="1174">
      <c r="A1174" s="19">
        <f>IF($B1174="","",COUNTA($B$9:$B1174))</f>
        <v/>
      </c>
      <c r="B1174" s="11" t="n"/>
      <c r="C1174" s="12" t="n"/>
      <c r="D1174" s="12" t="n"/>
      <c r="E1174" s="13" t="n"/>
      <c r="F1174" s="20">
        <f>IF($E1174="","",IF($C1174="دستمزد گروهی",IFERROR(VLOOKUP($E1174,WGTbl,2,0),"کد ناشناخته"),IFERROR(IF(VLOOKUP($E1174,AcctTblE,4,0)="","(بدون نام)",VLOOKUP($E1174,AcctTblE,4,0)),"کد ناشناخته")))</f>
        <v/>
      </c>
      <c r="G1174" s="15" t="n"/>
      <c r="H1174" s="21">
        <f>IF(OR($C1174&lt;&gt;"دستمزد گروهی",$D1174=""),"",SUMIFS(ShareAmt,ShareLink,$D1174))</f>
        <v/>
      </c>
      <c r="I1174" s="22">
        <f>IF($C1174&lt;&gt;"دستمزد گروهی","—",IF($H1174="","",IF(ROUND($H1174-IF($G1174="",0,$G1174),0)=0,"√","▲ مغایرت "&amp;TEXT(IF($G1174="",0,$G1174)-$H1174,"#,##0"))))</f>
        <v/>
      </c>
      <c r="J1174" s="18" t="n"/>
    </row>
    <row r="1175">
      <c r="A1175" s="10">
        <f>IF($B1175="","",COUNTA($B$9:$B1175))</f>
        <v/>
      </c>
      <c r="B1175" s="11" t="n"/>
      <c r="C1175" s="12" t="n"/>
      <c r="D1175" s="12" t="n"/>
      <c r="E1175" s="13" t="n"/>
      <c r="F1175" s="14">
        <f>IF($E1175="","",IF($C1175="دستمزد گروهی",IFERROR(VLOOKUP($E1175,WGTbl,2,0),"کد ناشناخته"),IFERROR(IF(VLOOKUP($E1175,AcctTblE,4,0)="","(بدون نام)",VLOOKUP($E1175,AcctTblE,4,0)),"کد ناشناخته")))</f>
        <v/>
      </c>
      <c r="G1175" s="15" t="n"/>
      <c r="H1175" s="16">
        <f>IF(OR($C1175&lt;&gt;"دستمزد گروهی",$D1175=""),"",SUMIFS(ShareAmt,ShareLink,$D1175))</f>
        <v/>
      </c>
      <c r="I1175" s="17">
        <f>IF($C1175&lt;&gt;"دستمزد گروهی","—",IF($H1175="","",IF(ROUND($H1175-IF($G1175="",0,$G1175),0)=0,"√","▲ مغایرت "&amp;TEXT(IF($G1175="",0,$G1175)-$H1175,"#,##0"))))</f>
        <v/>
      </c>
      <c r="J1175" s="18" t="n"/>
    </row>
    <row r="1176">
      <c r="A1176" s="19">
        <f>IF($B1176="","",COUNTA($B$9:$B1176))</f>
        <v/>
      </c>
      <c r="B1176" s="11" t="n"/>
      <c r="C1176" s="12" t="n"/>
      <c r="D1176" s="12" t="n"/>
      <c r="E1176" s="13" t="n"/>
      <c r="F1176" s="20">
        <f>IF($E1176="","",IF($C1176="دستمزد گروهی",IFERROR(VLOOKUP($E1176,WGTbl,2,0),"کد ناشناخته"),IFERROR(IF(VLOOKUP($E1176,AcctTblE,4,0)="","(بدون نام)",VLOOKUP($E1176,AcctTblE,4,0)),"کد ناشناخته")))</f>
        <v/>
      </c>
      <c r="G1176" s="15" t="n"/>
      <c r="H1176" s="21">
        <f>IF(OR($C1176&lt;&gt;"دستمزد گروهی",$D1176=""),"",SUMIFS(ShareAmt,ShareLink,$D1176))</f>
        <v/>
      </c>
      <c r="I1176" s="22">
        <f>IF($C1176&lt;&gt;"دستمزد گروهی","—",IF($H1176="","",IF(ROUND($H1176-IF($G1176="",0,$G1176),0)=0,"√","▲ مغایرت "&amp;TEXT(IF($G1176="",0,$G1176)-$H1176,"#,##0"))))</f>
        <v/>
      </c>
      <c r="J1176" s="18" t="n"/>
    </row>
    <row r="1177">
      <c r="A1177" s="10">
        <f>IF($B1177="","",COUNTA($B$9:$B1177))</f>
        <v/>
      </c>
      <c r="B1177" s="11" t="n"/>
      <c r="C1177" s="12" t="n"/>
      <c r="D1177" s="12" t="n"/>
      <c r="E1177" s="13" t="n"/>
      <c r="F1177" s="14">
        <f>IF($E1177="","",IF($C1177="دستمزد گروهی",IFERROR(VLOOKUP($E1177,WGTbl,2,0),"کد ناشناخته"),IFERROR(IF(VLOOKUP($E1177,AcctTblE,4,0)="","(بدون نام)",VLOOKUP($E1177,AcctTblE,4,0)),"کد ناشناخته")))</f>
        <v/>
      </c>
      <c r="G1177" s="15" t="n"/>
      <c r="H1177" s="16">
        <f>IF(OR($C1177&lt;&gt;"دستمزد گروهی",$D1177=""),"",SUMIFS(ShareAmt,ShareLink,$D1177))</f>
        <v/>
      </c>
      <c r="I1177" s="17">
        <f>IF($C1177&lt;&gt;"دستمزد گروهی","—",IF($H1177="","",IF(ROUND($H1177-IF($G1177="",0,$G1177),0)=0,"√","▲ مغایرت "&amp;TEXT(IF($G1177="",0,$G1177)-$H1177,"#,##0"))))</f>
        <v/>
      </c>
      <c r="J1177" s="18" t="n"/>
    </row>
    <row r="1178">
      <c r="A1178" s="19">
        <f>IF($B1178="","",COUNTA($B$9:$B1178))</f>
        <v/>
      </c>
      <c r="B1178" s="11" t="n"/>
      <c r="C1178" s="12" t="n"/>
      <c r="D1178" s="12" t="n"/>
      <c r="E1178" s="13" t="n"/>
      <c r="F1178" s="20">
        <f>IF($E1178="","",IF($C1178="دستمزد گروهی",IFERROR(VLOOKUP($E1178,WGTbl,2,0),"کد ناشناخته"),IFERROR(IF(VLOOKUP($E1178,AcctTblE,4,0)="","(بدون نام)",VLOOKUP($E1178,AcctTblE,4,0)),"کد ناشناخته")))</f>
        <v/>
      </c>
      <c r="G1178" s="15" t="n"/>
      <c r="H1178" s="21">
        <f>IF(OR($C1178&lt;&gt;"دستمزد گروهی",$D1178=""),"",SUMIFS(ShareAmt,ShareLink,$D1178))</f>
        <v/>
      </c>
      <c r="I1178" s="22">
        <f>IF($C1178&lt;&gt;"دستمزد گروهی","—",IF($H1178="","",IF(ROUND($H1178-IF($G1178="",0,$G1178),0)=0,"√","▲ مغایرت "&amp;TEXT(IF($G1178="",0,$G1178)-$H1178,"#,##0"))))</f>
        <v/>
      </c>
      <c r="J1178" s="18" t="n"/>
    </row>
    <row r="1179">
      <c r="A1179" s="10">
        <f>IF($B1179="","",COUNTA($B$9:$B1179))</f>
        <v/>
      </c>
      <c r="B1179" s="11" t="n"/>
      <c r="C1179" s="12" t="n"/>
      <c r="D1179" s="12" t="n"/>
      <c r="E1179" s="13" t="n"/>
      <c r="F1179" s="14">
        <f>IF($E1179="","",IF($C1179="دستمزد گروهی",IFERROR(VLOOKUP($E1179,WGTbl,2,0),"کد ناشناخته"),IFERROR(IF(VLOOKUP($E1179,AcctTblE,4,0)="","(بدون نام)",VLOOKUP($E1179,AcctTblE,4,0)),"کد ناشناخته")))</f>
        <v/>
      </c>
      <c r="G1179" s="15" t="n"/>
      <c r="H1179" s="16">
        <f>IF(OR($C1179&lt;&gt;"دستمزد گروهی",$D1179=""),"",SUMIFS(ShareAmt,ShareLink,$D1179))</f>
        <v/>
      </c>
      <c r="I1179" s="17">
        <f>IF($C1179&lt;&gt;"دستمزد گروهی","—",IF($H1179="","",IF(ROUND($H1179-IF($G1179="",0,$G1179),0)=0,"√","▲ مغایرت "&amp;TEXT(IF($G1179="",0,$G1179)-$H1179,"#,##0"))))</f>
        <v/>
      </c>
      <c r="J1179" s="18" t="n"/>
    </row>
    <row r="1180">
      <c r="A1180" s="19">
        <f>IF($B1180="","",COUNTA($B$9:$B1180))</f>
        <v/>
      </c>
      <c r="B1180" s="11" t="n"/>
      <c r="C1180" s="12" t="n"/>
      <c r="D1180" s="12" t="n"/>
      <c r="E1180" s="13" t="n"/>
      <c r="F1180" s="20">
        <f>IF($E1180="","",IF($C1180="دستمزد گروهی",IFERROR(VLOOKUP($E1180,WGTbl,2,0),"کد ناشناخته"),IFERROR(IF(VLOOKUP($E1180,AcctTblE,4,0)="","(بدون نام)",VLOOKUP($E1180,AcctTblE,4,0)),"کد ناشناخته")))</f>
        <v/>
      </c>
      <c r="G1180" s="15" t="n"/>
      <c r="H1180" s="21">
        <f>IF(OR($C1180&lt;&gt;"دستمزد گروهی",$D1180=""),"",SUMIFS(ShareAmt,ShareLink,$D1180))</f>
        <v/>
      </c>
      <c r="I1180" s="22">
        <f>IF($C1180&lt;&gt;"دستمزد گروهی","—",IF($H1180="","",IF(ROUND($H1180-IF($G1180="",0,$G1180),0)=0,"√","▲ مغایرت "&amp;TEXT(IF($G1180="",0,$G1180)-$H1180,"#,##0"))))</f>
        <v/>
      </c>
      <c r="J1180" s="18" t="n"/>
    </row>
    <row r="1181">
      <c r="A1181" s="10">
        <f>IF($B1181="","",COUNTA($B$9:$B1181))</f>
        <v/>
      </c>
      <c r="B1181" s="11" t="n"/>
      <c r="C1181" s="12" t="n"/>
      <c r="D1181" s="12" t="n"/>
      <c r="E1181" s="13" t="n"/>
      <c r="F1181" s="14">
        <f>IF($E1181="","",IF($C1181="دستمزد گروهی",IFERROR(VLOOKUP($E1181,WGTbl,2,0),"کد ناشناخته"),IFERROR(IF(VLOOKUP($E1181,AcctTblE,4,0)="","(بدون نام)",VLOOKUP($E1181,AcctTblE,4,0)),"کد ناشناخته")))</f>
        <v/>
      </c>
      <c r="G1181" s="15" t="n"/>
      <c r="H1181" s="16">
        <f>IF(OR($C1181&lt;&gt;"دستمزد گروهی",$D1181=""),"",SUMIFS(ShareAmt,ShareLink,$D1181))</f>
        <v/>
      </c>
      <c r="I1181" s="17">
        <f>IF($C1181&lt;&gt;"دستمزد گروهی","—",IF($H1181="","",IF(ROUND($H1181-IF($G1181="",0,$G1181),0)=0,"√","▲ مغایرت "&amp;TEXT(IF($G1181="",0,$G1181)-$H1181,"#,##0"))))</f>
        <v/>
      </c>
      <c r="J1181" s="18" t="n"/>
    </row>
    <row r="1182">
      <c r="A1182" s="19">
        <f>IF($B1182="","",COUNTA($B$9:$B1182))</f>
        <v/>
      </c>
      <c r="B1182" s="11" t="n"/>
      <c r="C1182" s="12" t="n"/>
      <c r="D1182" s="12" t="n"/>
      <c r="E1182" s="13" t="n"/>
      <c r="F1182" s="20">
        <f>IF($E1182="","",IF($C1182="دستمزد گروهی",IFERROR(VLOOKUP($E1182,WGTbl,2,0),"کد ناشناخته"),IFERROR(IF(VLOOKUP($E1182,AcctTblE,4,0)="","(بدون نام)",VLOOKUP($E1182,AcctTblE,4,0)),"کد ناشناخته")))</f>
        <v/>
      </c>
      <c r="G1182" s="15" t="n"/>
      <c r="H1182" s="21">
        <f>IF(OR($C1182&lt;&gt;"دستمزد گروهی",$D1182=""),"",SUMIFS(ShareAmt,ShareLink,$D1182))</f>
        <v/>
      </c>
      <c r="I1182" s="22">
        <f>IF($C1182&lt;&gt;"دستمزد گروهی","—",IF($H1182="","",IF(ROUND($H1182-IF($G1182="",0,$G1182),0)=0,"√","▲ مغایرت "&amp;TEXT(IF($G1182="",0,$G1182)-$H1182,"#,##0"))))</f>
        <v/>
      </c>
      <c r="J1182" s="18" t="n"/>
    </row>
    <row r="1183">
      <c r="A1183" s="10">
        <f>IF($B1183="","",COUNTA($B$9:$B1183))</f>
        <v/>
      </c>
      <c r="B1183" s="11" t="n"/>
      <c r="C1183" s="12" t="n"/>
      <c r="D1183" s="12" t="n"/>
      <c r="E1183" s="13" t="n"/>
      <c r="F1183" s="14">
        <f>IF($E1183="","",IF($C1183="دستمزد گروهی",IFERROR(VLOOKUP($E1183,WGTbl,2,0),"کد ناشناخته"),IFERROR(IF(VLOOKUP($E1183,AcctTblE,4,0)="","(بدون نام)",VLOOKUP($E1183,AcctTblE,4,0)),"کد ناشناخته")))</f>
        <v/>
      </c>
      <c r="G1183" s="15" t="n"/>
      <c r="H1183" s="16">
        <f>IF(OR($C1183&lt;&gt;"دستمزد گروهی",$D1183=""),"",SUMIFS(ShareAmt,ShareLink,$D1183))</f>
        <v/>
      </c>
      <c r="I1183" s="17">
        <f>IF($C1183&lt;&gt;"دستمزد گروهی","—",IF($H1183="","",IF(ROUND($H1183-IF($G1183="",0,$G1183),0)=0,"√","▲ مغایرت "&amp;TEXT(IF($G1183="",0,$G1183)-$H1183,"#,##0"))))</f>
        <v/>
      </c>
      <c r="J1183" s="18" t="n"/>
    </row>
    <row r="1184">
      <c r="A1184" s="19">
        <f>IF($B1184="","",COUNTA($B$9:$B1184))</f>
        <v/>
      </c>
      <c r="B1184" s="11" t="n"/>
      <c r="C1184" s="12" t="n"/>
      <c r="D1184" s="12" t="n"/>
      <c r="E1184" s="13" t="n"/>
      <c r="F1184" s="20">
        <f>IF($E1184="","",IF($C1184="دستمزد گروهی",IFERROR(VLOOKUP($E1184,WGTbl,2,0),"کد ناشناخته"),IFERROR(IF(VLOOKUP($E1184,AcctTblE,4,0)="","(بدون نام)",VLOOKUP($E1184,AcctTblE,4,0)),"کد ناشناخته")))</f>
        <v/>
      </c>
      <c r="G1184" s="15" t="n"/>
      <c r="H1184" s="21">
        <f>IF(OR($C1184&lt;&gt;"دستمزد گروهی",$D1184=""),"",SUMIFS(ShareAmt,ShareLink,$D1184))</f>
        <v/>
      </c>
      <c r="I1184" s="22">
        <f>IF($C1184&lt;&gt;"دستمزد گروهی","—",IF($H1184="","",IF(ROUND($H1184-IF($G1184="",0,$G1184),0)=0,"√","▲ مغایرت "&amp;TEXT(IF($G1184="",0,$G1184)-$H1184,"#,##0"))))</f>
        <v/>
      </c>
      <c r="J1184" s="18" t="n"/>
    </row>
    <row r="1185">
      <c r="A1185" s="10">
        <f>IF($B1185="","",COUNTA($B$9:$B1185))</f>
        <v/>
      </c>
      <c r="B1185" s="11" t="n"/>
      <c r="C1185" s="12" t="n"/>
      <c r="D1185" s="12" t="n"/>
      <c r="E1185" s="13" t="n"/>
      <c r="F1185" s="14">
        <f>IF($E1185="","",IF($C1185="دستمزد گروهی",IFERROR(VLOOKUP($E1185,WGTbl,2,0),"کد ناشناخته"),IFERROR(IF(VLOOKUP($E1185,AcctTblE,4,0)="","(بدون نام)",VLOOKUP($E1185,AcctTblE,4,0)),"کد ناشناخته")))</f>
        <v/>
      </c>
      <c r="G1185" s="15" t="n"/>
      <c r="H1185" s="16">
        <f>IF(OR($C1185&lt;&gt;"دستمزد گروهی",$D1185=""),"",SUMIFS(ShareAmt,ShareLink,$D1185))</f>
        <v/>
      </c>
      <c r="I1185" s="17">
        <f>IF($C1185&lt;&gt;"دستمزد گروهی","—",IF($H1185="","",IF(ROUND($H1185-IF($G1185="",0,$G1185),0)=0,"√","▲ مغایرت "&amp;TEXT(IF($G1185="",0,$G1185)-$H1185,"#,##0"))))</f>
        <v/>
      </c>
      <c r="J1185" s="18" t="n"/>
    </row>
    <row r="1186">
      <c r="A1186" s="19">
        <f>IF($B1186="","",COUNTA($B$9:$B1186))</f>
        <v/>
      </c>
      <c r="B1186" s="11" t="n"/>
      <c r="C1186" s="12" t="n"/>
      <c r="D1186" s="12" t="n"/>
      <c r="E1186" s="13" t="n"/>
      <c r="F1186" s="20">
        <f>IF($E1186="","",IF($C1186="دستمزد گروهی",IFERROR(VLOOKUP($E1186,WGTbl,2,0),"کد ناشناخته"),IFERROR(IF(VLOOKUP($E1186,AcctTblE,4,0)="","(بدون نام)",VLOOKUP($E1186,AcctTblE,4,0)),"کد ناشناخته")))</f>
        <v/>
      </c>
      <c r="G1186" s="15" t="n"/>
      <c r="H1186" s="21">
        <f>IF(OR($C1186&lt;&gt;"دستمزد گروهی",$D1186=""),"",SUMIFS(ShareAmt,ShareLink,$D1186))</f>
        <v/>
      </c>
      <c r="I1186" s="22">
        <f>IF($C1186&lt;&gt;"دستمزد گروهی","—",IF($H1186="","",IF(ROUND($H1186-IF($G1186="",0,$G1186),0)=0,"√","▲ مغایرت "&amp;TEXT(IF($G1186="",0,$G1186)-$H1186,"#,##0"))))</f>
        <v/>
      </c>
      <c r="J1186" s="18" t="n"/>
    </row>
    <row r="1187">
      <c r="A1187" s="10">
        <f>IF($B1187="","",COUNTA($B$9:$B1187))</f>
        <v/>
      </c>
      <c r="B1187" s="11" t="n"/>
      <c r="C1187" s="12" t="n"/>
      <c r="D1187" s="12" t="n"/>
      <c r="E1187" s="13" t="n"/>
      <c r="F1187" s="14">
        <f>IF($E1187="","",IF($C1187="دستمزد گروهی",IFERROR(VLOOKUP($E1187,WGTbl,2,0),"کد ناشناخته"),IFERROR(IF(VLOOKUP($E1187,AcctTblE,4,0)="","(بدون نام)",VLOOKUP($E1187,AcctTblE,4,0)),"کد ناشناخته")))</f>
        <v/>
      </c>
      <c r="G1187" s="15" t="n"/>
      <c r="H1187" s="16">
        <f>IF(OR($C1187&lt;&gt;"دستمزد گروهی",$D1187=""),"",SUMIFS(ShareAmt,ShareLink,$D1187))</f>
        <v/>
      </c>
      <c r="I1187" s="17">
        <f>IF($C1187&lt;&gt;"دستمزد گروهی","—",IF($H1187="","",IF(ROUND($H1187-IF($G1187="",0,$G1187),0)=0,"√","▲ مغایرت "&amp;TEXT(IF($G1187="",0,$G1187)-$H1187,"#,##0"))))</f>
        <v/>
      </c>
      <c r="J1187" s="18" t="n"/>
    </row>
    <row r="1188">
      <c r="A1188" s="19">
        <f>IF($B1188="","",COUNTA($B$9:$B1188))</f>
        <v/>
      </c>
      <c r="B1188" s="11" t="n"/>
      <c r="C1188" s="12" t="n"/>
      <c r="D1188" s="12" t="n"/>
      <c r="E1188" s="13" t="n"/>
      <c r="F1188" s="20">
        <f>IF($E1188="","",IF($C1188="دستمزد گروهی",IFERROR(VLOOKUP($E1188,WGTbl,2,0),"کد ناشناخته"),IFERROR(IF(VLOOKUP($E1188,AcctTblE,4,0)="","(بدون نام)",VLOOKUP($E1188,AcctTblE,4,0)),"کد ناشناخته")))</f>
        <v/>
      </c>
      <c r="G1188" s="15" t="n"/>
      <c r="H1188" s="21">
        <f>IF(OR($C1188&lt;&gt;"دستمزد گروهی",$D1188=""),"",SUMIFS(ShareAmt,ShareLink,$D1188))</f>
        <v/>
      </c>
      <c r="I1188" s="22">
        <f>IF($C1188&lt;&gt;"دستمزد گروهی","—",IF($H1188="","",IF(ROUND($H1188-IF($G1188="",0,$G1188),0)=0,"√","▲ مغایرت "&amp;TEXT(IF($G1188="",0,$G1188)-$H1188,"#,##0"))))</f>
        <v/>
      </c>
      <c r="J1188" s="18" t="n"/>
    </row>
    <row r="1189">
      <c r="A1189" s="10">
        <f>IF($B1189="","",COUNTA($B$9:$B1189))</f>
        <v/>
      </c>
      <c r="B1189" s="11" t="n"/>
      <c r="C1189" s="12" t="n"/>
      <c r="D1189" s="12" t="n"/>
      <c r="E1189" s="13" t="n"/>
      <c r="F1189" s="14">
        <f>IF($E1189="","",IF($C1189="دستمزد گروهی",IFERROR(VLOOKUP($E1189,WGTbl,2,0),"کد ناشناخته"),IFERROR(IF(VLOOKUP($E1189,AcctTblE,4,0)="","(بدون نام)",VLOOKUP($E1189,AcctTblE,4,0)),"کد ناشناخته")))</f>
        <v/>
      </c>
      <c r="G1189" s="15" t="n"/>
      <c r="H1189" s="16">
        <f>IF(OR($C1189&lt;&gt;"دستمزد گروهی",$D1189=""),"",SUMIFS(ShareAmt,ShareLink,$D1189))</f>
        <v/>
      </c>
      <c r="I1189" s="17">
        <f>IF($C1189&lt;&gt;"دستمزد گروهی","—",IF($H1189="","",IF(ROUND($H1189-IF($G1189="",0,$G1189),0)=0,"√","▲ مغایرت "&amp;TEXT(IF($G1189="",0,$G1189)-$H1189,"#,##0"))))</f>
        <v/>
      </c>
      <c r="J1189" s="18" t="n"/>
    </row>
    <row r="1190">
      <c r="A1190" s="19">
        <f>IF($B1190="","",COUNTA($B$9:$B1190))</f>
        <v/>
      </c>
      <c r="B1190" s="11" t="n"/>
      <c r="C1190" s="12" t="n"/>
      <c r="D1190" s="12" t="n"/>
      <c r="E1190" s="13" t="n"/>
      <c r="F1190" s="20">
        <f>IF($E1190="","",IF($C1190="دستمزد گروهی",IFERROR(VLOOKUP($E1190,WGTbl,2,0),"کد ناشناخته"),IFERROR(IF(VLOOKUP($E1190,AcctTblE,4,0)="","(بدون نام)",VLOOKUP($E1190,AcctTblE,4,0)),"کد ناشناخته")))</f>
        <v/>
      </c>
      <c r="G1190" s="15" t="n"/>
      <c r="H1190" s="21">
        <f>IF(OR($C1190&lt;&gt;"دستمزد گروهی",$D1190=""),"",SUMIFS(ShareAmt,ShareLink,$D1190))</f>
        <v/>
      </c>
      <c r="I1190" s="22">
        <f>IF($C1190&lt;&gt;"دستمزد گروهی","—",IF($H1190="","",IF(ROUND($H1190-IF($G1190="",0,$G1190),0)=0,"√","▲ مغایرت "&amp;TEXT(IF($G1190="",0,$G1190)-$H1190,"#,##0"))))</f>
        <v/>
      </c>
      <c r="J1190" s="18" t="n"/>
    </row>
    <row r="1191">
      <c r="A1191" s="10">
        <f>IF($B1191="","",COUNTA($B$9:$B1191))</f>
        <v/>
      </c>
      <c r="B1191" s="11" t="n"/>
      <c r="C1191" s="12" t="n"/>
      <c r="D1191" s="12" t="n"/>
      <c r="E1191" s="13" t="n"/>
      <c r="F1191" s="14">
        <f>IF($E1191="","",IF($C1191="دستمزد گروهی",IFERROR(VLOOKUP($E1191,WGTbl,2,0),"کد ناشناخته"),IFERROR(IF(VLOOKUP($E1191,AcctTblE,4,0)="","(بدون نام)",VLOOKUP($E1191,AcctTblE,4,0)),"کد ناشناخته")))</f>
        <v/>
      </c>
      <c r="G1191" s="15" t="n"/>
      <c r="H1191" s="16">
        <f>IF(OR($C1191&lt;&gt;"دستمزد گروهی",$D1191=""),"",SUMIFS(ShareAmt,ShareLink,$D1191))</f>
        <v/>
      </c>
      <c r="I1191" s="17">
        <f>IF($C1191&lt;&gt;"دستمزد گروهی","—",IF($H1191="","",IF(ROUND($H1191-IF($G1191="",0,$G1191),0)=0,"√","▲ مغایرت "&amp;TEXT(IF($G1191="",0,$G1191)-$H1191,"#,##0"))))</f>
        <v/>
      </c>
      <c r="J1191" s="18" t="n"/>
    </row>
    <row r="1192">
      <c r="A1192" s="19">
        <f>IF($B1192="","",COUNTA($B$9:$B1192))</f>
        <v/>
      </c>
      <c r="B1192" s="11" t="n"/>
      <c r="C1192" s="12" t="n"/>
      <c r="D1192" s="12" t="n"/>
      <c r="E1192" s="13" t="n"/>
      <c r="F1192" s="20">
        <f>IF($E1192="","",IF($C1192="دستمزد گروهی",IFERROR(VLOOKUP($E1192,WGTbl,2,0),"کد ناشناخته"),IFERROR(IF(VLOOKUP($E1192,AcctTblE,4,0)="","(بدون نام)",VLOOKUP($E1192,AcctTblE,4,0)),"کد ناشناخته")))</f>
        <v/>
      </c>
      <c r="G1192" s="15" t="n"/>
      <c r="H1192" s="21">
        <f>IF(OR($C1192&lt;&gt;"دستمزد گروهی",$D1192=""),"",SUMIFS(ShareAmt,ShareLink,$D1192))</f>
        <v/>
      </c>
      <c r="I1192" s="22">
        <f>IF($C1192&lt;&gt;"دستمزد گروهی","—",IF($H1192="","",IF(ROUND($H1192-IF($G1192="",0,$G1192),0)=0,"√","▲ مغایرت "&amp;TEXT(IF($G1192="",0,$G1192)-$H1192,"#,##0"))))</f>
        <v/>
      </c>
      <c r="J1192" s="18" t="n"/>
    </row>
    <row r="1193">
      <c r="A1193" s="10">
        <f>IF($B1193="","",COUNTA($B$9:$B1193))</f>
        <v/>
      </c>
      <c r="B1193" s="11" t="n"/>
      <c r="C1193" s="12" t="n"/>
      <c r="D1193" s="12" t="n"/>
      <c r="E1193" s="13" t="n"/>
      <c r="F1193" s="14">
        <f>IF($E1193="","",IF($C1193="دستمزد گروهی",IFERROR(VLOOKUP($E1193,WGTbl,2,0),"کد ناشناخته"),IFERROR(IF(VLOOKUP($E1193,AcctTblE,4,0)="","(بدون نام)",VLOOKUP($E1193,AcctTblE,4,0)),"کد ناشناخته")))</f>
        <v/>
      </c>
      <c r="G1193" s="15" t="n"/>
      <c r="H1193" s="16">
        <f>IF(OR($C1193&lt;&gt;"دستمزد گروهی",$D1193=""),"",SUMIFS(ShareAmt,ShareLink,$D1193))</f>
        <v/>
      </c>
      <c r="I1193" s="17">
        <f>IF($C1193&lt;&gt;"دستمزد گروهی","—",IF($H1193="","",IF(ROUND($H1193-IF($G1193="",0,$G1193),0)=0,"√","▲ مغایرت "&amp;TEXT(IF($G1193="",0,$G1193)-$H1193,"#,##0"))))</f>
        <v/>
      </c>
      <c r="J1193" s="18" t="n"/>
    </row>
    <row r="1194">
      <c r="A1194" s="19">
        <f>IF($B1194="","",COUNTA($B$9:$B1194))</f>
        <v/>
      </c>
      <c r="B1194" s="11" t="n"/>
      <c r="C1194" s="12" t="n"/>
      <c r="D1194" s="12" t="n"/>
      <c r="E1194" s="13" t="n"/>
      <c r="F1194" s="20">
        <f>IF($E1194="","",IF($C1194="دستمزد گروهی",IFERROR(VLOOKUP($E1194,WGTbl,2,0),"کد ناشناخته"),IFERROR(IF(VLOOKUP($E1194,AcctTblE,4,0)="","(بدون نام)",VLOOKUP($E1194,AcctTblE,4,0)),"کد ناشناخته")))</f>
        <v/>
      </c>
      <c r="G1194" s="15" t="n"/>
      <c r="H1194" s="21">
        <f>IF(OR($C1194&lt;&gt;"دستمزد گروهی",$D1194=""),"",SUMIFS(ShareAmt,ShareLink,$D1194))</f>
        <v/>
      </c>
      <c r="I1194" s="22">
        <f>IF($C1194&lt;&gt;"دستمزد گروهی","—",IF($H1194="","",IF(ROUND($H1194-IF($G1194="",0,$G1194),0)=0,"√","▲ مغایرت "&amp;TEXT(IF($G1194="",0,$G1194)-$H1194,"#,##0"))))</f>
        <v/>
      </c>
      <c r="J1194" s="18" t="n"/>
    </row>
    <row r="1195">
      <c r="A1195" s="10">
        <f>IF($B1195="","",COUNTA($B$9:$B1195))</f>
        <v/>
      </c>
      <c r="B1195" s="11" t="n"/>
      <c r="C1195" s="12" t="n"/>
      <c r="D1195" s="12" t="n"/>
      <c r="E1195" s="13" t="n"/>
      <c r="F1195" s="14">
        <f>IF($E1195="","",IF($C1195="دستمزد گروهی",IFERROR(VLOOKUP($E1195,WGTbl,2,0),"کد ناشناخته"),IFERROR(IF(VLOOKUP($E1195,AcctTblE,4,0)="","(بدون نام)",VLOOKUP($E1195,AcctTblE,4,0)),"کد ناشناخته")))</f>
        <v/>
      </c>
      <c r="G1195" s="15" t="n"/>
      <c r="H1195" s="16">
        <f>IF(OR($C1195&lt;&gt;"دستمزد گروهی",$D1195=""),"",SUMIFS(ShareAmt,ShareLink,$D1195))</f>
        <v/>
      </c>
      <c r="I1195" s="17">
        <f>IF($C1195&lt;&gt;"دستمزد گروهی","—",IF($H1195="","",IF(ROUND($H1195-IF($G1195="",0,$G1195),0)=0,"√","▲ مغایرت "&amp;TEXT(IF($G1195="",0,$G1195)-$H1195,"#,##0"))))</f>
        <v/>
      </c>
      <c r="J1195" s="18" t="n"/>
    </row>
    <row r="1196">
      <c r="A1196" s="19">
        <f>IF($B1196="","",COUNTA($B$9:$B1196))</f>
        <v/>
      </c>
      <c r="B1196" s="11" t="n"/>
      <c r="C1196" s="12" t="n"/>
      <c r="D1196" s="12" t="n"/>
      <c r="E1196" s="13" t="n"/>
      <c r="F1196" s="20">
        <f>IF($E1196="","",IF($C1196="دستمزد گروهی",IFERROR(VLOOKUP($E1196,WGTbl,2,0),"کد ناشناخته"),IFERROR(IF(VLOOKUP($E1196,AcctTblE,4,0)="","(بدون نام)",VLOOKUP($E1196,AcctTblE,4,0)),"کد ناشناخته")))</f>
        <v/>
      </c>
      <c r="G1196" s="15" t="n"/>
      <c r="H1196" s="21">
        <f>IF(OR($C1196&lt;&gt;"دستمزد گروهی",$D1196=""),"",SUMIFS(ShareAmt,ShareLink,$D1196))</f>
        <v/>
      </c>
      <c r="I1196" s="22">
        <f>IF($C1196&lt;&gt;"دستمزد گروهی","—",IF($H1196="","",IF(ROUND($H1196-IF($G1196="",0,$G1196),0)=0,"√","▲ مغایرت "&amp;TEXT(IF($G1196="",0,$G1196)-$H1196,"#,##0"))))</f>
        <v/>
      </c>
      <c r="J1196" s="18" t="n"/>
    </row>
    <row r="1197">
      <c r="A1197" s="10">
        <f>IF($B1197="","",COUNTA($B$9:$B1197))</f>
        <v/>
      </c>
      <c r="B1197" s="11" t="n"/>
      <c r="C1197" s="12" t="n"/>
      <c r="D1197" s="12" t="n"/>
      <c r="E1197" s="13" t="n"/>
      <c r="F1197" s="14">
        <f>IF($E1197="","",IF($C1197="دستمزد گروهی",IFERROR(VLOOKUP($E1197,WGTbl,2,0),"کد ناشناخته"),IFERROR(IF(VLOOKUP($E1197,AcctTblE,4,0)="","(بدون نام)",VLOOKUP($E1197,AcctTblE,4,0)),"کد ناشناخته")))</f>
        <v/>
      </c>
      <c r="G1197" s="15" t="n"/>
      <c r="H1197" s="16">
        <f>IF(OR($C1197&lt;&gt;"دستمزد گروهی",$D1197=""),"",SUMIFS(ShareAmt,ShareLink,$D1197))</f>
        <v/>
      </c>
      <c r="I1197" s="17">
        <f>IF($C1197&lt;&gt;"دستمزد گروهی","—",IF($H1197="","",IF(ROUND($H1197-IF($G1197="",0,$G1197),0)=0,"√","▲ مغایرت "&amp;TEXT(IF($G1197="",0,$G1197)-$H1197,"#,##0"))))</f>
        <v/>
      </c>
      <c r="J1197" s="18" t="n"/>
    </row>
    <row r="1198">
      <c r="A1198" s="19">
        <f>IF($B1198="","",COUNTA($B$9:$B1198))</f>
        <v/>
      </c>
      <c r="B1198" s="11" t="n"/>
      <c r="C1198" s="12" t="n"/>
      <c r="D1198" s="12" t="n"/>
      <c r="E1198" s="13" t="n"/>
      <c r="F1198" s="20">
        <f>IF($E1198="","",IF($C1198="دستمزد گروهی",IFERROR(VLOOKUP($E1198,WGTbl,2,0),"کد ناشناخته"),IFERROR(IF(VLOOKUP($E1198,AcctTblE,4,0)="","(بدون نام)",VLOOKUP($E1198,AcctTblE,4,0)),"کد ناشناخته")))</f>
        <v/>
      </c>
      <c r="G1198" s="15" t="n"/>
      <c r="H1198" s="21">
        <f>IF(OR($C1198&lt;&gt;"دستمزد گروهی",$D1198=""),"",SUMIFS(ShareAmt,ShareLink,$D1198))</f>
        <v/>
      </c>
      <c r="I1198" s="22">
        <f>IF($C1198&lt;&gt;"دستمزد گروهی","—",IF($H1198="","",IF(ROUND($H1198-IF($G1198="",0,$G1198),0)=0,"√","▲ مغایرت "&amp;TEXT(IF($G1198="",0,$G1198)-$H1198,"#,##0"))))</f>
        <v/>
      </c>
      <c r="J1198" s="18" t="n"/>
    </row>
    <row r="1199">
      <c r="A1199" s="10">
        <f>IF($B1199="","",COUNTA($B$9:$B1199))</f>
        <v/>
      </c>
      <c r="B1199" s="11" t="n"/>
      <c r="C1199" s="12" t="n"/>
      <c r="D1199" s="12" t="n"/>
      <c r="E1199" s="13" t="n"/>
      <c r="F1199" s="14">
        <f>IF($E1199="","",IF($C1199="دستمزد گروهی",IFERROR(VLOOKUP($E1199,WGTbl,2,0),"کد ناشناخته"),IFERROR(IF(VLOOKUP($E1199,AcctTblE,4,0)="","(بدون نام)",VLOOKUP($E1199,AcctTblE,4,0)),"کد ناشناخته")))</f>
        <v/>
      </c>
      <c r="G1199" s="15" t="n"/>
      <c r="H1199" s="16">
        <f>IF(OR($C1199&lt;&gt;"دستمزد گروهی",$D1199=""),"",SUMIFS(ShareAmt,ShareLink,$D1199))</f>
        <v/>
      </c>
      <c r="I1199" s="17">
        <f>IF($C1199&lt;&gt;"دستمزد گروهی","—",IF($H1199="","",IF(ROUND($H1199-IF($G1199="",0,$G1199),0)=0,"√","▲ مغایرت "&amp;TEXT(IF($G1199="",0,$G1199)-$H1199,"#,##0"))))</f>
        <v/>
      </c>
      <c r="J1199" s="18" t="n"/>
    </row>
    <row r="1200">
      <c r="A1200" s="19">
        <f>IF($B1200="","",COUNTA($B$9:$B1200))</f>
        <v/>
      </c>
      <c r="B1200" s="11" t="n"/>
      <c r="C1200" s="12" t="n"/>
      <c r="D1200" s="12" t="n"/>
      <c r="E1200" s="13" t="n"/>
      <c r="F1200" s="20">
        <f>IF($E1200="","",IF($C1200="دستمزد گروهی",IFERROR(VLOOKUP($E1200,WGTbl,2,0),"کد ناشناخته"),IFERROR(IF(VLOOKUP($E1200,AcctTblE,4,0)="","(بدون نام)",VLOOKUP($E1200,AcctTblE,4,0)),"کد ناشناخته")))</f>
        <v/>
      </c>
      <c r="G1200" s="15" t="n"/>
      <c r="H1200" s="21">
        <f>IF(OR($C1200&lt;&gt;"دستمزد گروهی",$D1200=""),"",SUMIFS(ShareAmt,ShareLink,$D1200))</f>
        <v/>
      </c>
      <c r="I1200" s="22">
        <f>IF($C1200&lt;&gt;"دستمزد گروهی","—",IF($H1200="","",IF(ROUND($H1200-IF($G1200="",0,$G1200),0)=0,"√","▲ مغایرت "&amp;TEXT(IF($G1200="",0,$G1200)-$H1200,"#,##0"))))</f>
        <v/>
      </c>
      <c r="J1200" s="18" t="n"/>
    </row>
    <row r="1201">
      <c r="A1201" s="10">
        <f>IF($B1201="","",COUNTA($B$9:$B1201))</f>
        <v/>
      </c>
      <c r="B1201" s="11" t="n"/>
      <c r="C1201" s="12" t="n"/>
      <c r="D1201" s="12" t="n"/>
      <c r="E1201" s="13" t="n"/>
      <c r="F1201" s="14">
        <f>IF($E1201="","",IF($C1201="دستمزد گروهی",IFERROR(VLOOKUP($E1201,WGTbl,2,0),"کد ناشناخته"),IFERROR(IF(VLOOKUP($E1201,AcctTblE,4,0)="","(بدون نام)",VLOOKUP($E1201,AcctTblE,4,0)),"کد ناشناخته")))</f>
        <v/>
      </c>
      <c r="G1201" s="15" t="n"/>
      <c r="H1201" s="16">
        <f>IF(OR($C1201&lt;&gt;"دستمزد گروهی",$D1201=""),"",SUMIFS(ShareAmt,ShareLink,$D1201))</f>
        <v/>
      </c>
      <c r="I1201" s="17">
        <f>IF($C1201&lt;&gt;"دستمزد گروهی","—",IF($H1201="","",IF(ROUND($H1201-IF($G1201="",0,$G1201),0)=0,"√","▲ مغایرت "&amp;TEXT(IF($G1201="",0,$G1201)-$H1201,"#,##0"))))</f>
        <v/>
      </c>
      <c r="J1201" s="18" t="n"/>
    </row>
    <row r="1202">
      <c r="A1202" s="19">
        <f>IF($B1202="","",COUNTA($B$9:$B1202))</f>
        <v/>
      </c>
      <c r="B1202" s="11" t="n"/>
      <c r="C1202" s="12" t="n"/>
      <c r="D1202" s="12" t="n"/>
      <c r="E1202" s="13" t="n"/>
      <c r="F1202" s="20">
        <f>IF($E1202="","",IF($C1202="دستمزد گروهی",IFERROR(VLOOKUP($E1202,WGTbl,2,0),"کد ناشناخته"),IFERROR(IF(VLOOKUP($E1202,AcctTblE,4,0)="","(بدون نام)",VLOOKUP($E1202,AcctTblE,4,0)),"کد ناشناخته")))</f>
        <v/>
      </c>
      <c r="G1202" s="15" t="n"/>
      <c r="H1202" s="21">
        <f>IF(OR($C1202&lt;&gt;"دستمزد گروهی",$D1202=""),"",SUMIFS(ShareAmt,ShareLink,$D1202))</f>
        <v/>
      </c>
      <c r="I1202" s="22">
        <f>IF($C1202&lt;&gt;"دستمزد گروهی","—",IF($H1202="","",IF(ROUND($H1202-IF($G1202="",0,$G1202),0)=0,"√","▲ مغایرت "&amp;TEXT(IF($G1202="",0,$G1202)-$H1202,"#,##0"))))</f>
        <v/>
      </c>
      <c r="J1202" s="18" t="n"/>
    </row>
    <row r="1203">
      <c r="A1203" s="10">
        <f>IF($B1203="","",COUNTA($B$9:$B1203))</f>
        <v/>
      </c>
      <c r="B1203" s="11" t="n"/>
      <c r="C1203" s="12" t="n"/>
      <c r="D1203" s="12" t="n"/>
      <c r="E1203" s="13" t="n"/>
      <c r="F1203" s="14">
        <f>IF($E1203="","",IF($C1203="دستمزد گروهی",IFERROR(VLOOKUP($E1203,WGTbl,2,0),"کد ناشناخته"),IFERROR(IF(VLOOKUP($E1203,AcctTblE,4,0)="","(بدون نام)",VLOOKUP($E1203,AcctTblE,4,0)),"کد ناشناخته")))</f>
        <v/>
      </c>
      <c r="G1203" s="15" t="n"/>
      <c r="H1203" s="16">
        <f>IF(OR($C1203&lt;&gt;"دستمزد گروهی",$D1203=""),"",SUMIFS(ShareAmt,ShareLink,$D1203))</f>
        <v/>
      </c>
      <c r="I1203" s="17">
        <f>IF($C1203&lt;&gt;"دستمزد گروهی","—",IF($H1203="","",IF(ROUND($H1203-IF($G1203="",0,$G1203),0)=0,"√","▲ مغایرت "&amp;TEXT(IF($G1203="",0,$G1203)-$H1203,"#,##0"))))</f>
        <v/>
      </c>
      <c r="J1203" s="18" t="n"/>
    </row>
    <row r="1204">
      <c r="A1204" s="19">
        <f>IF($B1204="","",COUNTA($B$9:$B1204))</f>
        <v/>
      </c>
      <c r="B1204" s="11" t="n"/>
      <c r="C1204" s="12" t="n"/>
      <c r="D1204" s="12" t="n"/>
      <c r="E1204" s="13" t="n"/>
      <c r="F1204" s="20">
        <f>IF($E1204="","",IF($C1204="دستمزد گروهی",IFERROR(VLOOKUP($E1204,WGTbl,2,0),"کد ناشناخته"),IFERROR(IF(VLOOKUP($E1204,AcctTblE,4,0)="","(بدون نام)",VLOOKUP($E1204,AcctTblE,4,0)),"کد ناشناخته")))</f>
        <v/>
      </c>
      <c r="G1204" s="15" t="n"/>
      <c r="H1204" s="21">
        <f>IF(OR($C1204&lt;&gt;"دستمزد گروهی",$D1204=""),"",SUMIFS(ShareAmt,ShareLink,$D1204))</f>
        <v/>
      </c>
      <c r="I1204" s="22">
        <f>IF($C1204&lt;&gt;"دستمزد گروهی","—",IF($H1204="","",IF(ROUND($H1204-IF($G1204="",0,$G1204),0)=0,"√","▲ مغایرت "&amp;TEXT(IF($G1204="",0,$G1204)-$H1204,"#,##0"))))</f>
        <v/>
      </c>
      <c r="J1204" s="18" t="n"/>
    </row>
    <row r="1205">
      <c r="A1205" s="10">
        <f>IF($B1205="","",COUNTA($B$9:$B1205))</f>
        <v/>
      </c>
      <c r="B1205" s="11" t="n"/>
      <c r="C1205" s="12" t="n"/>
      <c r="D1205" s="12" t="n"/>
      <c r="E1205" s="13" t="n"/>
      <c r="F1205" s="14">
        <f>IF($E1205="","",IF($C1205="دستمزد گروهی",IFERROR(VLOOKUP($E1205,WGTbl,2,0),"کد ناشناخته"),IFERROR(IF(VLOOKUP($E1205,AcctTblE,4,0)="","(بدون نام)",VLOOKUP($E1205,AcctTblE,4,0)),"کد ناشناخته")))</f>
        <v/>
      </c>
      <c r="G1205" s="15" t="n"/>
      <c r="H1205" s="16">
        <f>IF(OR($C1205&lt;&gt;"دستمزد گروهی",$D1205=""),"",SUMIFS(ShareAmt,ShareLink,$D1205))</f>
        <v/>
      </c>
      <c r="I1205" s="17">
        <f>IF($C1205&lt;&gt;"دستمزد گروهی","—",IF($H1205="","",IF(ROUND($H1205-IF($G1205="",0,$G1205),0)=0,"√","▲ مغایرت "&amp;TEXT(IF($G1205="",0,$G1205)-$H1205,"#,##0"))))</f>
        <v/>
      </c>
      <c r="J1205" s="18" t="n"/>
    </row>
    <row r="1206">
      <c r="A1206" s="19">
        <f>IF($B1206="","",COUNTA($B$9:$B1206))</f>
        <v/>
      </c>
      <c r="B1206" s="11" t="n"/>
      <c r="C1206" s="12" t="n"/>
      <c r="D1206" s="12" t="n"/>
      <c r="E1206" s="13" t="n"/>
      <c r="F1206" s="20">
        <f>IF($E1206="","",IF($C1206="دستمزد گروهی",IFERROR(VLOOKUP($E1206,WGTbl,2,0),"کد ناشناخته"),IFERROR(IF(VLOOKUP($E1206,AcctTblE,4,0)="","(بدون نام)",VLOOKUP($E1206,AcctTblE,4,0)),"کد ناشناخته")))</f>
        <v/>
      </c>
      <c r="G1206" s="15" t="n"/>
      <c r="H1206" s="21">
        <f>IF(OR($C1206&lt;&gt;"دستمزد گروهی",$D1206=""),"",SUMIFS(ShareAmt,ShareLink,$D1206))</f>
        <v/>
      </c>
      <c r="I1206" s="22">
        <f>IF($C1206&lt;&gt;"دستمزد گروهی","—",IF($H1206="","",IF(ROUND($H1206-IF($G1206="",0,$G1206),0)=0,"√","▲ مغایرت "&amp;TEXT(IF($G1206="",0,$G1206)-$H1206,"#,##0"))))</f>
        <v/>
      </c>
      <c r="J1206" s="18" t="n"/>
    </row>
    <row r="1207">
      <c r="A1207" s="10">
        <f>IF($B1207="","",COUNTA($B$9:$B1207))</f>
        <v/>
      </c>
      <c r="B1207" s="11" t="n"/>
      <c r="C1207" s="12" t="n"/>
      <c r="D1207" s="12" t="n"/>
      <c r="E1207" s="13" t="n"/>
      <c r="F1207" s="14">
        <f>IF($E1207="","",IF($C1207="دستمزد گروهی",IFERROR(VLOOKUP($E1207,WGTbl,2,0),"کد ناشناخته"),IFERROR(IF(VLOOKUP($E1207,AcctTblE,4,0)="","(بدون نام)",VLOOKUP($E1207,AcctTblE,4,0)),"کد ناشناخته")))</f>
        <v/>
      </c>
      <c r="G1207" s="15" t="n"/>
      <c r="H1207" s="16">
        <f>IF(OR($C1207&lt;&gt;"دستمزد گروهی",$D1207=""),"",SUMIFS(ShareAmt,ShareLink,$D1207))</f>
        <v/>
      </c>
      <c r="I1207" s="17">
        <f>IF($C1207&lt;&gt;"دستمزد گروهی","—",IF($H1207="","",IF(ROUND($H1207-IF($G1207="",0,$G1207),0)=0,"√","▲ مغایرت "&amp;TEXT(IF($G1207="",0,$G1207)-$H1207,"#,##0"))))</f>
        <v/>
      </c>
      <c r="J1207" s="18" t="n"/>
    </row>
    <row r="1208">
      <c r="A1208" s="19">
        <f>IF($B1208="","",COUNTA($B$9:$B1208))</f>
        <v/>
      </c>
      <c r="B1208" s="11" t="n"/>
      <c r="C1208" s="12" t="n"/>
      <c r="D1208" s="12" t="n"/>
      <c r="E1208" s="13" t="n"/>
      <c r="F1208" s="20">
        <f>IF($E1208="","",IF($C1208="دستمزد گروهی",IFERROR(VLOOKUP($E1208,WGTbl,2,0),"کد ناشناخته"),IFERROR(IF(VLOOKUP($E1208,AcctTblE,4,0)="","(بدون نام)",VLOOKUP($E1208,AcctTblE,4,0)),"کد ناشناخته")))</f>
        <v/>
      </c>
      <c r="G1208" s="15" t="n"/>
      <c r="H1208" s="21">
        <f>IF(OR($C1208&lt;&gt;"دستمزد گروهی",$D1208=""),"",SUMIFS(ShareAmt,ShareLink,$D1208))</f>
        <v/>
      </c>
      <c r="I1208" s="22">
        <f>IF($C1208&lt;&gt;"دستمزد گروهی","—",IF($H1208="","",IF(ROUND($H1208-IF($G1208="",0,$G1208),0)=0,"√","▲ مغایرت "&amp;TEXT(IF($G1208="",0,$G1208)-$H1208,"#,##0"))))</f>
        <v/>
      </c>
      <c r="J1208" s="18" t="n"/>
    </row>
    <row r="1209">
      <c r="A1209" s="10">
        <f>IF($B1209="","",COUNTA($B$9:$B1209))</f>
        <v/>
      </c>
      <c r="B1209" s="11" t="n"/>
      <c r="C1209" s="12" t="n"/>
      <c r="D1209" s="12" t="n"/>
      <c r="E1209" s="13" t="n"/>
      <c r="F1209" s="14">
        <f>IF($E1209="","",IF($C1209="دستمزد گروهی",IFERROR(VLOOKUP($E1209,WGTbl,2,0),"کد ناشناخته"),IFERROR(IF(VLOOKUP($E1209,AcctTblE,4,0)="","(بدون نام)",VLOOKUP($E1209,AcctTblE,4,0)),"کد ناشناخته")))</f>
        <v/>
      </c>
      <c r="G1209" s="15" t="n"/>
      <c r="H1209" s="16">
        <f>IF(OR($C1209&lt;&gt;"دستمزد گروهی",$D1209=""),"",SUMIFS(ShareAmt,ShareLink,$D1209))</f>
        <v/>
      </c>
      <c r="I1209" s="17">
        <f>IF($C1209&lt;&gt;"دستمزد گروهی","—",IF($H1209="","",IF(ROUND($H1209-IF($G1209="",0,$G1209),0)=0,"√","▲ مغایرت "&amp;TEXT(IF($G1209="",0,$G1209)-$H1209,"#,##0"))))</f>
        <v/>
      </c>
      <c r="J1209" s="18" t="n"/>
    </row>
    <row r="1210">
      <c r="A1210" s="19">
        <f>IF($B1210="","",COUNTA($B$9:$B1210))</f>
        <v/>
      </c>
      <c r="B1210" s="11" t="n"/>
      <c r="C1210" s="12" t="n"/>
      <c r="D1210" s="12" t="n"/>
      <c r="E1210" s="13" t="n"/>
      <c r="F1210" s="20">
        <f>IF($E1210="","",IF($C1210="دستمزد گروهی",IFERROR(VLOOKUP($E1210,WGTbl,2,0),"کد ناشناخته"),IFERROR(IF(VLOOKUP($E1210,AcctTblE,4,0)="","(بدون نام)",VLOOKUP($E1210,AcctTblE,4,0)),"کد ناشناخته")))</f>
        <v/>
      </c>
      <c r="G1210" s="15" t="n"/>
      <c r="H1210" s="21">
        <f>IF(OR($C1210&lt;&gt;"دستمزد گروهی",$D1210=""),"",SUMIFS(ShareAmt,ShareLink,$D1210))</f>
        <v/>
      </c>
      <c r="I1210" s="22">
        <f>IF($C1210&lt;&gt;"دستمزد گروهی","—",IF($H1210="","",IF(ROUND($H1210-IF($G1210="",0,$G1210),0)=0,"√","▲ مغایرت "&amp;TEXT(IF($G1210="",0,$G1210)-$H1210,"#,##0"))))</f>
        <v/>
      </c>
      <c r="J1210" s="18" t="n"/>
    </row>
    <row r="1211">
      <c r="A1211" s="10">
        <f>IF($B1211="","",COUNTA($B$9:$B1211))</f>
        <v/>
      </c>
      <c r="B1211" s="11" t="n"/>
      <c r="C1211" s="12" t="n"/>
      <c r="D1211" s="12" t="n"/>
      <c r="E1211" s="13" t="n"/>
      <c r="F1211" s="14">
        <f>IF($E1211="","",IF($C1211="دستمزد گروهی",IFERROR(VLOOKUP($E1211,WGTbl,2,0),"کد ناشناخته"),IFERROR(IF(VLOOKUP($E1211,AcctTblE,4,0)="","(بدون نام)",VLOOKUP($E1211,AcctTblE,4,0)),"کد ناشناخته")))</f>
        <v/>
      </c>
      <c r="G1211" s="15" t="n"/>
      <c r="H1211" s="16">
        <f>IF(OR($C1211&lt;&gt;"دستمزد گروهی",$D1211=""),"",SUMIFS(ShareAmt,ShareLink,$D1211))</f>
        <v/>
      </c>
      <c r="I1211" s="17">
        <f>IF($C1211&lt;&gt;"دستمزد گروهی","—",IF($H1211="","",IF(ROUND($H1211-IF($G1211="",0,$G1211),0)=0,"√","▲ مغایرت "&amp;TEXT(IF($G1211="",0,$G1211)-$H1211,"#,##0"))))</f>
        <v/>
      </c>
      <c r="J1211" s="18" t="n"/>
    </row>
    <row r="1212">
      <c r="A1212" s="19">
        <f>IF($B1212="","",COUNTA($B$9:$B1212))</f>
        <v/>
      </c>
      <c r="B1212" s="11" t="n"/>
      <c r="C1212" s="12" t="n"/>
      <c r="D1212" s="12" t="n"/>
      <c r="E1212" s="13" t="n"/>
      <c r="F1212" s="20">
        <f>IF($E1212="","",IF($C1212="دستمزد گروهی",IFERROR(VLOOKUP($E1212,WGTbl,2,0),"کد ناشناخته"),IFERROR(IF(VLOOKUP($E1212,AcctTblE,4,0)="","(بدون نام)",VLOOKUP($E1212,AcctTblE,4,0)),"کد ناشناخته")))</f>
        <v/>
      </c>
      <c r="G1212" s="15" t="n"/>
      <c r="H1212" s="21">
        <f>IF(OR($C1212&lt;&gt;"دستمزد گروهی",$D1212=""),"",SUMIFS(ShareAmt,ShareLink,$D1212))</f>
        <v/>
      </c>
      <c r="I1212" s="22">
        <f>IF($C1212&lt;&gt;"دستمزد گروهی","—",IF($H1212="","",IF(ROUND($H1212-IF($G1212="",0,$G1212),0)=0,"√","▲ مغایرت "&amp;TEXT(IF($G1212="",0,$G1212)-$H1212,"#,##0"))))</f>
        <v/>
      </c>
      <c r="J1212" s="18" t="n"/>
    </row>
    <row r="1213">
      <c r="A1213" s="10">
        <f>IF($B1213="","",COUNTA($B$9:$B1213))</f>
        <v/>
      </c>
      <c r="B1213" s="11" t="n"/>
      <c r="C1213" s="12" t="n"/>
      <c r="D1213" s="12" t="n"/>
      <c r="E1213" s="13" t="n"/>
      <c r="F1213" s="14">
        <f>IF($E1213="","",IF($C1213="دستمزد گروهی",IFERROR(VLOOKUP($E1213,WGTbl,2,0),"کد ناشناخته"),IFERROR(IF(VLOOKUP($E1213,AcctTblE,4,0)="","(بدون نام)",VLOOKUP($E1213,AcctTblE,4,0)),"کد ناشناخته")))</f>
        <v/>
      </c>
      <c r="G1213" s="15" t="n"/>
      <c r="H1213" s="16">
        <f>IF(OR($C1213&lt;&gt;"دستمزد گروهی",$D1213=""),"",SUMIFS(ShareAmt,ShareLink,$D1213))</f>
        <v/>
      </c>
      <c r="I1213" s="17">
        <f>IF($C1213&lt;&gt;"دستمزد گروهی","—",IF($H1213="","",IF(ROUND($H1213-IF($G1213="",0,$G1213),0)=0,"√","▲ مغایرت "&amp;TEXT(IF($G1213="",0,$G1213)-$H1213,"#,##0"))))</f>
        <v/>
      </c>
      <c r="J1213" s="18" t="n"/>
    </row>
    <row r="1214">
      <c r="A1214" s="19">
        <f>IF($B1214="","",COUNTA($B$9:$B1214))</f>
        <v/>
      </c>
      <c r="B1214" s="11" t="n"/>
      <c r="C1214" s="12" t="n"/>
      <c r="D1214" s="12" t="n"/>
      <c r="E1214" s="13" t="n"/>
      <c r="F1214" s="20">
        <f>IF($E1214="","",IF($C1214="دستمزد گروهی",IFERROR(VLOOKUP($E1214,WGTbl,2,0),"کد ناشناخته"),IFERROR(IF(VLOOKUP($E1214,AcctTblE,4,0)="","(بدون نام)",VLOOKUP($E1214,AcctTblE,4,0)),"کد ناشناخته")))</f>
        <v/>
      </c>
      <c r="G1214" s="15" t="n"/>
      <c r="H1214" s="21">
        <f>IF(OR($C1214&lt;&gt;"دستمزد گروهی",$D1214=""),"",SUMIFS(ShareAmt,ShareLink,$D1214))</f>
        <v/>
      </c>
      <c r="I1214" s="22">
        <f>IF($C1214&lt;&gt;"دستمزد گروهی","—",IF($H1214="","",IF(ROUND($H1214-IF($G1214="",0,$G1214),0)=0,"√","▲ مغایرت "&amp;TEXT(IF($G1214="",0,$G1214)-$H1214,"#,##0"))))</f>
        <v/>
      </c>
      <c r="J1214" s="18" t="n"/>
    </row>
    <row r="1215">
      <c r="A1215" s="10">
        <f>IF($B1215="","",COUNTA($B$9:$B1215))</f>
        <v/>
      </c>
      <c r="B1215" s="11" t="n"/>
      <c r="C1215" s="12" t="n"/>
      <c r="D1215" s="12" t="n"/>
      <c r="E1215" s="13" t="n"/>
      <c r="F1215" s="14">
        <f>IF($E1215="","",IF($C1215="دستمزد گروهی",IFERROR(VLOOKUP($E1215,WGTbl,2,0),"کد ناشناخته"),IFERROR(IF(VLOOKUP($E1215,AcctTblE,4,0)="","(بدون نام)",VLOOKUP($E1215,AcctTblE,4,0)),"کد ناشناخته")))</f>
        <v/>
      </c>
      <c r="G1215" s="15" t="n"/>
      <c r="H1215" s="16">
        <f>IF(OR($C1215&lt;&gt;"دستمزد گروهی",$D1215=""),"",SUMIFS(ShareAmt,ShareLink,$D1215))</f>
        <v/>
      </c>
      <c r="I1215" s="17">
        <f>IF($C1215&lt;&gt;"دستمزد گروهی","—",IF($H1215="","",IF(ROUND($H1215-IF($G1215="",0,$G1215),0)=0,"√","▲ مغایرت "&amp;TEXT(IF($G1215="",0,$G1215)-$H1215,"#,##0"))))</f>
        <v/>
      </c>
      <c r="J1215" s="18" t="n"/>
    </row>
    <row r="1216">
      <c r="A1216" s="19">
        <f>IF($B1216="","",COUNTA($B$9:$B1216))</f>
        <v/>
      </c>
      <c r="B1216" s="11" t="n"/>
      <c r="C1216" s="12" t="n"/>
      <c r="D1216" s="12" t="n"/>
      <c r="E1216" s="13" t="n"/>
      <c r="F1216" s="20">
        <f>IF($E1216="","",IF($C1216="دستمزد گروهی",IFERROR(VLOOKUP($E1216,WGTbl,2,0),"کد ناشناخته"),IFERROR(IF(VLOOKUP($E1216,AcctTblE,4,0)="","(بدون نام)",VLOOKUP($E1216,AcctTblE,4,0)),"کد ناشناخته")))</f>
        <v/>
      </c>
      <c r="G1216" s="15" t="n"/>
      <c r="H1216" s="21">
        <f>IF(OR($C1216&lt;&gt;"دستمزد گروهی",$D1216=""),"",SUMIFS(ShareAmt,ShareLink,$D1216))</f>
        <v/>
      </c>
      <c r="I1216" s="22">
        <f>IF($C1216&lt;&gt;"دستمزد گروهی","—",IF($H1216="","",IF(ROUND($H1216-IF($G1216="",0,$G1216),0)=0,"√","▲ مغایرت "&amp;TEXT(IF($G1216="",0,$G1216)-$H1216,"#,##0"))))</f>
        <v/>
      </c>
      <c r="J1216" s="18" t="n"/>
    </row>
    <row r="1217">
      <c r="A1217" s="10">
        <f>IF($B1217="","",COUNTA($B$9:$B1217))</f>
        <v/>
      </c>
      <c r="B1217" s="11" t="n"/>
      <c r="C1217" s="12" t="n"/>
      <c r="D1217" s="12" t="n"/>
      <c r="E1217" s="13" t="n"/>
      <c r="F1217" s="14">
        <f>IF($E1217="","",IF($C1217="دستمزد گروهی",IFERROR(VLOOKUP($E1217,WGTbl,2,0),"کد ناشناخته"),IFERROR(IF(VLOOKUP($E1217,AcctTblE,4,0)="","(بدون نام)",VLOOKUP($E1217,AcctTblE,4,0)),"کد ناشناخته")))</f>
        <v/>
      </c>
      <c r="G1217" s="15" t="n"/>
      <c r="H1217" s="16">
        <f>IF(OR($C1217&lt;&gt;"دستمزد گروهی",$D1217=""),"",SUMIFS(ShareAmt,ShareLink,$D1217))</f>
        <v/>
      </c>
      <c r="I1217" s="17">
        <f>IF($C1217&lt;&gt;"دستمزد گروهی","—",IF($H1217="","",IF(ROUND($H1217-IF($G1217="",0,$G1217),0)=0,"√","▲ مغایرت "&amp;TEXT(IF($G1217="",0,$G1217)-$H1217,"#,##0"))))</f>
        <v/>
      </c>
      <c r="J1217" s="18" t="n"/>
    </row>
    <row r="1218">
      <c r="A1218" s="19">
        <f>IF($B1218="","",COUNTA($B$9:$B1218))</f>
        <v/>
      </c>
      <c r="B1218" s="11" t="n"/>
      <c r="C1218" s="12" t="n"/>
      <c r="D1218" s="12" t="n"/>
      <c r="E1218" s="13" t="n"/>
      <c r="F1218" s="20">
        <f>IF($E1218="","",IF($C1218="دستمزد گروهی",IFERROR(VLOOKUP($E1218,WGTbl,2,0),"کد ناشناخته"),IFERROR(IF(VLOOKUP($E1218,AcctTblE,4,0)="","(بدون نام)",VLOOKUP($E1218,AcctTblE,4,0)),"کد ناشناخته")))</f>
        <v/>
      </c>
      <c r="G1218" s="15" t="n"/>
      <c r="H1218" s="21">
        <f>IF(OR($C1218&lt;&gt;"دستمزد گروهی",$D1218=""),"",SUMIFS(ShareAmt,ShareLink,$D1218))</f>
        <v/>
      </c>
      <c r="I1218" s="22">
        <f>IF($C1218&lt;&gt;"دستمزد گروهی","—",IF($H1218="","",IF(ROUND($H1218-IF($G1218="",0,$G1218),0)=0,"√","▲ مغایرت "&amp;TEXT(IF($G1218="",0,$G1218)-$H1218,"#,##0"))))</f>
        <v/>
      </c>
      <c r="J1218" s="18" t="n"/>
    </row>
    <row r="1219">
      <c r="A1219" s="10">
        <f>IF($B1219="","",COUNTA($B$9:$B1219))</f>
        <v/>
      </c>
      <c r="B1219" s="11" t="n"/>
      <c r="C1219" s="12" t="n"/>
      <c r="D1219" s="12" t="n"/>
      <c r="E1219" s="13" t="n"/>
      <c r="F1219" s="14">
        <f>IF($E1219="","",IF($C1219="دستمزد گروهی",IFERROR(VLOOKUP($E1219,WGTbl,2,0),"کد ناشناخته"),IFERROR(IF(VLOOKUP($E1219,AcctTblE,4,0)="","(بدون نام)",VLOOKUP($E1219,AcctTblE,4,0)),"کد ناشناخته")))</f>
        <v/>
      </c>
      <c r="G1219" s="15" t="n"/>
      <c r="H1219" s="16">
        <f>IF(OR($C1219&lt;&gt;"دستمزد گروهی",$D1219=""),"",SUMIFS(ShareAmt,ShareLink,$D1219))</f>
        <v/>
      </c>
      <c r="I1219" s="17">
        <f>IF($C1219&lt;&gt;"دستمزد گروهی","—",IF($H1219="","",IF(ROUND($H1219-IF($G1219="",0,$G1219),0)=0,"√","▲ مغایرت "&amp;TEXT(IF($G1219="",0,$G1219)-$H1219,"#,##0"))))</f>
        <v/>
      </c>
      <c r="J1219" s="18" t="n"/>
    </row>
    <row r="1220">
      <c r="A1220" s="19">
        <f>IF($B1220="","",COUNTA($B$9:$B1220))</f>
        <v/>
      </c>
      <c r="B1220" s="11" t="n"/>
      <c r="C1220" s="12" t="n"/>
      <c r="D1220" s="12" t="n"/>
      <c r="E1220" s="13" t="n"/>
      <c r="F1220" s="20">
        <f>IF($E1220="","",IF($C1220="دستمزد گروهی",IFERROR(VLOOKUP($E1220,WGTbl,2,0),"کد ناشناخته"),IFERROR(IF(VLOOKUP($E1220,AcctTblE,4,0)="","(بدون نام)",VLOOKUP($E1220,AcctTblE,4,0)),"کد ناشناخته")))</f>
        <v/>
      </c>
      <c r="G1220" s="15" t="n"/>
      <c r="H1220" s="21">
        <f>IF(OR($C1220&lt;&gt;"دستمزد گروهی",$D1220=""),"",SUMIFS(ShareAmt,ShareLink,$D1220))</f>
        <v/>
      </c>
      <c r="I1220" s="22">
        <f>IF($C1220&lt;&gt;"دستمزد گروهی","—",IF($H1220="","",IF(ROUND($H1220-IF($G1220="",0,$G1220),0)=0,"√","▲ مغایرت "&amp;TEXT(IF($G1220="",0,$G1220)-$H1220,"#,##0"))))</f>
        <v/>
      </c>
      <c r="J1220" s="18" t="n"/>
    </row>
    <row r="1221">
      <c r="A1221" s="10">
        <f>IF($B1221="","",COUNTA($B$9:$B1221))</f>
        <v/>
      </c>
      <c r="B1221" s="11" t="n"/>
      <c r="C1221" s="12" t="n"/>
      <c r="D1221" s="12" t="n"/>
      <c r="E1221" s="13" t="n"/>
      <c r="F1221" s="14">
        <f>IF($E1221="","",IF($C1221="دستمزد گروهی",IFERROR(VLOOKUP($E1221,WGTbl,2,0),"کد ناشناخته"),IFERROR(IF(VLOOKUP($E1221,AcctTblE,4,0)="","(بدون نام)",VLOOKUP($E1221,AcctTblE,4,0)),"کد ناشناخته")))</f>
        <v/>
      </c>
      <c r="G1221" s="15" t="n"/>
      <c r="H1221" s="16">
        <f>IF(OR($C1221&lt;&gt;"دستمزد گروهی",$D1221=""),"",SUMIFS(ShareAmt,ShareLink,$D1221))</f>
        <v/>
      </c>
      <c r="I1221" s="17">
        <f>IF($C1221&lt;&gt;"دستمزد گروهی","—",IF($H1221="","",IF(ROUND($H1221-IF($G1221="",0,$G1221),0)=0,"√","▲ مغایرت "&amp;TEXT(IF($G1221="",0,$G1221)-$H1221,"#,##0"))))</f>
        <v/>
      </c>
      <c r="J1221" s="18" t="n"/>
    </row>
    <row r="1222">
      <c r="A1222" s="19">
        <f>IF($B1222="","",COUNTA($B$9:$B1222))</f>
        <v/>
      </c>
      <c r="B1222" s="11" t="n"/>
      <c r="C1222" s="12" t="n"/>
      <c r="D1222" s="12" t="n"/>
      <c r="E1222" s="13" t="n"/>
      <c r="F1222" s="20">
        <f>IF($E1222="","",IF($C1222="دستمزد گروهی",IFERROR(VLOOKUP($E1222,WGTbl,2,0),"کد ناشناخته"),IFERROR(IF(VLOOKUP($E1222,AcctTblE,4,0)="","(بدون نام)",VLOOKUP($E1222,AcctTblE,4,0)),"کد ناشناخته")))</f>
        <v/>
      </c>
      <c r="G1222" s="15" t="n"/>
      <c r="H1222" s="21">
        <f>IF(OR($C1222&lt;&gt;"دستمزد گروهی",$D1222=""),"",SUMIFS(ShareAmt,ShareLink,$D1222))</f>
        <v/>
      </c>
      <c r="I1222" s="22">
        <f>IF($C1222&lt;&gt;"دستمزد گروهی","—",IF($H1222="","",IF(ROUND($H1222-IF($G1222="",0,$G1222),0)=0,"√","▲ مغایرت "&amp;TEXT(IF($G1222="",0,$G1222)-$H1222,"#,##0"))))</f>
        <v/>
      </c>
      <c r="J1222" s="18" t="n"/>
    </row>
    <row r="1223">
      <c r="A1223" s="10">
        <f>IF($B1223="","",COUNTA($B$9:$B1223))</f>
        <v/>
      </c>
      <c r="B1223" s="11" t="n"/>
      <c r="C1223" s="12" t="n"/>
      <c r="D1223" s="12" t="n"/>
      <c r="E1223" s="13" t="n"/>
      <c r="F1223" s="14">
        <f>IF($E1223="","",IF($C1223="دستمزد گروهی",IFERROR(VLOOKUP($E1223,WGTbl,2,0),"کد ناشناخته"),IFERROR(IF(VLOOKUP($E1223,AcctTblE,4,0)="","(بدون نام)",VLOOKUP($E1223,AcctTblE,4,0)),"کد ناشناخته")))</f>
        <v/>
      </c>
      <c r="G1223" s="15" t="n"/>
      <c r="H1223" s="16">
        <f>IF(OR($C1223&lt;&gt;"دستمزد گروهی",$D1223=""),"",SUMIFS(ShareAmt,ShareLink,$D1223))</f>
        <v/>
      </c>
      <c r="I1223" s="17">
        <f>IF($C1223&lt;&gt;"دستمزد گروهی","—",IF($H1223="","",IF(ROUND($H1223-IF($G1223="",0,$G1223),0)=0,"√","▲ مغایرت "&amp;TEXT(IF($G1223="",0,$G1223)-$H1223,"#,##0"))))</f>
        <v/>
      </c>
      <c r="J1223" s="18" t="n"/>
    </row>
    <row r="1224">
      <c r="A1224" s="19">
        <f>IF($B1224="","",COUNTA($B$9:$B1224))</f>
        <v/>
      </c>
      <c r="B1224" s="11" t="n"/>
      <c r="C1224" s="12" t="n"/>
      <c r="D1224" s="12" t="n"/>
      <c r="E1224" s="13" t="n"/>
      <c r="F1224" s="20">
        <f>IF($E1224="","",IF($C1224="دستمزد گروهی",IFERROR(VLOOKUP($E1224,WGTbl,2,0),"کد ناشناخته"),IFERROR(IF(VLOOKUP($E1224,AcctTblE,4,0)="","(بدون نام)",VLOOKUP($E1224,AcctTblE,4,0)),"کد ناشناخته")))</f>
        <v/>
      </c>
      <c r="G1224" s="15" t="n"/>
      <c r="H1224" s="21">
        <f>IF(OR($C1224&lt;&gt;"دستمزد گروهی",$D1224=""),"",SUMIFS(ShareAmt,ShareLink,$D1224))</f>
        <v/>
      </c>
      <c r="I1224" s="22">
        <f>IF($C1224&lt;&gt;"دستمزد گروهی","—",IF($H1224="","",IF(ROUND($H1224-IF($G1224="",0,$G1224),0)=0,"√","▲ مغایرت "&amp;TEXT(IF($G1224="",0,$G1224)-$H1224,"#,##0"))))</f>
        <v/>
      </c>
      <c r="J1224" s="18" t="n"/>
    </row>
    <row r="1225">
      <c r="A1225" s="10">
        <f>IF($B1225="","",COUNTA($B$9:$B1225))</f>
        <v/>
      </c>
      <c r="B1225" s="11" t="n"/>
      <c r="C1225" s="12" t="n"/>
      <c r="D1225" s="12" t="n"/>
      <c r="E1225" s="13" t="n"/>
      <c r="F1225" s="14">
        <f>IF($E1225="","",IF($C1225="دستمزد گروهی",IFERROR(VLOOKUP($E1225,WGTbl,2,0),"کد ناشناخته"),IFERROR(IF(VLOOKUP($E1225,AcctTblE,4,0)="","(بدون نام)",VLOOKUP($E1225,AcctTblE,4,0)),"کد ناشناخته")))</f>
        <v/>
      </c>
      <c r="G1225" s="15" t="n"/>
      <c r="H1225" s="16">
        <f>IF(OR($C1225&lt;&gt;"دستمزد گروهی",$D1225=""),"",SUMIFS(ShareAmt,ShareLink,$D1225))</f>
        <v/>
      </c>
      <c r="I1225" s="17">
        <f>IF($C1225&lt;&gt;"دستمزد گروهی","—",IF($H1225="","",IF(ROUND($H1225-IF($G1225="",0,$G1225),0)=0,"√","▲ مغایرت "&amp;TEXT(IF($G1225="",0,$G1225)-$H1225,"#,##0"))))</f>
        <v/>
      </c>
      <c r="J1225" s="18" t="n"/>
    </row>
    <row r="1226">
      <c r="A1226" s="19">
        <f>IF($B1226="","",COUNTA($B$9:$B1226))</f>
        <v/>
      </c>
      <c r="B1226" s="11" t="n"/>
      <c r="C1226" s="12" t="n"/>
      <c r="D1226" s="12" t="n"/>
      <c r="E1226" s="13" t="n"/>
      <c r="F1226" s="20">
        <f>IF($E1226="","",IF($C1226="دستمزد گروهی",IFERROR(VLOOKUP($E1226,WGTbl,2,0),"کد ناشناخته"),IFERROR(IF(VLOOKUP($E1226,AcctTblE,4,0)="","(بدون نام)",VLOOKUP($E1226,AcctTblE,4,0)),"کد ناشناخته")))</f>
        <v/>
      </c>
      <c r="G1226" s="15" t="n"/>
      <c r="H1226" s="21">
        <f>IF(OR($C1226&lt;&gt;"دستمزد گروهی",$D1226=""),"",SUMIFS(ShareAmt,ShareLink,$D1226))</f>
        <v/>
      </c>
      <c r="I1226" s="22">
        <f>IF($C1226&lt;&gt;"دستمزد گروهی","—",IF($H1226="","",IF(ROUND($H1226-IF($G1226="",0,$G1226),0)=0,"√","▲ مغایرت "&amp;TEXT(IF($G1226="",0,$G1226)-$H1226,"#,##0"))))</f>
        <v/>
      </c>
      <c r="J1226" s="18" t="n"/>
    </row>
    <row r="1227">
      <c r="A1227" s="10">
        <f>IF($B1227="","",COUNTA($B$9:$B1227))</f>
        <v/>
      </c>
      <c r="B1227" s="11" t="n"/>
      <c r="C1227" s="12" t="n"/>
      <c r="D1227" s="12" t="n"/>
      <c r="E1227" s="13" t="n"/>
      <c r="F1227" s="14">
        <f>IF($E1227="","",IF($C1227="دستمزد گروهی",IFERROR(VLOOKUP($E1227,WGTbl,2,0),"کد ناشناخته"),IFERROR(IF(VLOOKUP($E1227,AcctTblE,4,0)="","(بدون نام)",VLOOKUP($E1227,AcctTblE,4,0)),"کد ناشناخته")))</f>
        <v/>
      </c>
      <c r="G1227" s="15" t="n"/>
      <c r="H1227" s="16">
        <f>IF(OR($C1227&lt;&gt;"دستمزد گروهی",$D1227=""),"",SUMIFS(ShareAmt,ShareLink,$D1227))</f>
        <v/>
      </c>
      <c r="I1227" s="17">
        <f>IF($C1227&lt;&gt;"دستمزد گروهی","—",IF($H1227="","",IF(ROUND($H1227-IF($G1227="",0,$G1227),0)=0,"√","▲ مغایرت "&amp;TEXT(IF($G1227="",0,$G1227)-$H1227,"#,##0"))))</f>
        <v/>
      </c>
      <c r="J1227" s="18" t="n"/>
    </row>
    <row r="1228">
      <c r="A1228" s="19">
        <f>IF($B1228="","",COUNTA($B$9:$B1228))</f>
        <v/>
      </c>
      <c r="B1228" s="11" t="n"/>
      <c r="C1228" s="12" t="n"/>
      <c r="D1228" s="12" t="n"/>
      <c r="E1228" s="13" t="n"/>
      <c r="F1228" s="20">
        <f>IF($E1228="","",IF($C1228="دستمزد گروهی",IFERROR(VLOOKUP($E1228,WGTbl,2,0),"کد ناشناخته"),IFERROR(IF(VLOOKUP($E1228,AcctTblE,4,0)="","(بدون نام)",VLOOKUP($E1228,AcctTblE,4,0)),"کد ناشناخته")))</f>
        <v/>
      </c>
      <c r="G1228" s="15" t="n"/>
      <c r="H1228" s="21">
        <f>IF(OR($C1228&lt;&gt;"دستمزد گروهی",$D1228=""),"",SUMIFS(ShareAmt,ShareLink,$D1228))</f>
        <v/>
      </c>
      <c r="I1228" s="22">
        <f>IF($C1228&lt;&gt;"دستمزد گروهی","—",IF($H1228="","",IF(ROUND($H1228-IF($G1228="",0,$G1228),0)=0,"√","▲ مغایرت "&amp;TEXT(IF($G1228="",0,$G1228)-$H1228,"#,##0"))))</f>
        <v/>
      </c>
      <c r="J1228" s="18" t="n"/>
    </row>
    <row r="1229">
      <c r="A1229" s="10">
        <f>IF($B1229="","",COUNTA($B$9:$B1229))</f>
        <v/>
      </c>
      <c r="B1229" s="11" t="n"/>
      <c r="C1229" s="12" t="n"/>
      <c r="D1229" s="12" t="n"/>
      <c r="E1229" s="13" t="n"/>
      <c r="F1229" s="14">
        <f>IF($E1229="","",IF($C1229="دستمزد گروهی",IFERROR(VLOOKUP($E1229,WGTbl,2,0),"کد ناشناخته"),IFERROR(IF(VLOOKUP($E1229,AcctTblE,4,0)="","(بدون نام)",VLOOKUP($E1229,AcctTblE,4,0)),"کد ناشناخته")))</f>
        <v/>
      </c>
      <c r="G1229" s="15" t="n"/>
      <c r="H1229" s="16">
        <f>IF(OR($C1229&lt;&gt;"دستمزد گروهی",$D1229=""),"",SUMIFS(ShareAmt,ShareLink,$D1229))</f>
        <v/>
      </c>
      <c r="I1229" s="17">
        <f>IF($C1229&lt;&gt;"دستمزد گروهی","—",IF($H1229="","",IF(ROUND($H1229-IF($G1229="",0,$G1229),0)=0,"√","▲ مغایرت "&amp;TEXT(IF($G1229="",0,$G1229)-$H1229,"#,##0"))))</f>
        <v/>
      </c>
      <c r="J1229" s="18" t="n"/>
    </row>
    <row r="1230">
      <c r="A1230" s="19">
        <f>IF($B1230="","",COUNTA($B$9:$B1230))</f>
        <v/>
      </c>
      <c r="B1230" s="11" t="n"/>
      <c r="C1230" s="12" t="n"/>
      <c r="D1230" s="12" t="n"/>
      <c r="E1230" s="13" t="n"/>
      <c r="F1230" s="20">
        <f>IF($E1230="","",IF($C1230="دستمزد گروهی",IFERROR(VLOOKUP($E1230,WGTbl,2,0),"کد ناشناخته"),IFERROR(IF(VLOOKUP($E1230,AcctTblE,4,0)="","(بدون نام)",VLOOKUP($E1230,AcctTblE,4,0)),"کد ناشناخته")))</f>
        <v/>
      </c>
      <c r="G1230" s="15" t="n"/>
      <c r="H1230" s="21">
        <f>IF(OR($C1230&lt;&gt;"دستمزد گروهی",$D1230=""),"",SUMIFS(ShareAmt,ShareLink,$D1230))</f>
        <v/>
      </c>
      <c r="I1230" s="22">
        <f>IF($C1230&lt;&gt;"دستمزد گروهی","—",IF($H1230="","",IF(ROUND($H1230-IF($G1230="",0,$G1230),0)=0,"√","▲ مغایرت "&amp;TEXT(IF($G1230="",0,$G1230)-$H1230,"#,##0"))))</f>
        <v/>
      </c>
      <c r="J1230" s="18" t="n"/>
    </row>
    <row r="1231">
      <c r="A1231" s="10">
        <f>IF($B1231="","",COUNTA($B$9:$B1231))</f>
        <v/>
      </c>
      <c r="B1231" s="11" t="n"/>
      <c r="C1231" s="12" t="n"/>
      <c r="D1231" s="12" t="n"/>
      <c r="E1231" s="13" t="n"/>
      <c r="F1231" s="14">
        <f>IF($E1231="","",IF($C1231="دستمزد گروهی",IFERROR(VLOOKUP($E1231,WGTbl,2,0),"کد ناشناخته"),IFERROR(IF(VLOOKUP($E1231,AcctTblE,4,0)="","(بدون نام)",VLOOKUP($E1231,AcctTblE,4,0)),"کد ناشناخته")))</f>
        <v/>
      </c>
      <c r="G1231" s="15" t="n"/>
      <c r="H1231" s="16">
        <f>IF(OR($C1231&lt;&gt;"دستمزد گروهی",$D1231=""),"",SUMIFS(ShareAmt,ShareLink,$D1231))</f>
        <v/>
      </c>
      <c r="I1231" s="17">
        <f>IF($C1231&lt;&gt;"دستمزد گروهی","—",IF($H1231="","",IF(ROUND($H1231-IF($G1231="",0,$G1231),0)=0,"√","▲ مغایرت "&amp;TEXT(IF($G1231="",0,$G1231)-$H1231,"#,##0"))))</f>
        <v/>
      </c>
      <c r="J1231" s="18" t="n"/>
    </row>
    <row r="1232">
      <c r="A1232" s="19">
        <f>IF($B1232="","",COUNTA($B$9:$B1232))</f>
        <v/>
      </c>
      <c r="B1232" s="11" t="n"/>
      <c r="C1232" s="12" t="n"/>
      <c r="D1232" s="12" t="n"/>
      <c r="E1232" s="13" t="n"/>
      <c r="F1232" s="20">
        <f>IF($E1232="","",IF($C1232="دستمزد گروهی",IFERROR(VLOOKUP($E1232,WGTbl,2,0),"کد ناشناخته"),IFERROR(IF(VLOOKUP($E1232,AcctTblE,4,0)="","(بدون نام)",VLOOKUP($E1232,AcctTblE,4,0)),"کد ناشناخته")))</f>
        <v/>
      </c>
      <c r="G1232" s="15" t="n"/>
      <c r="H1232" s="21">
        <f>IF(OR($C1232&lt;&gt;"دستمزد گروهی",$D1232=""),"",SUMIFS(ShareAmt,ShareLink,$D1232))</f>
        <v/>
      </c>
      <c r="I1232" s="22">
        <f>IF($C1232&lt;&gt;"دستمزد گروهی","—",IF($H1232="","",IF(ROUND($H1232-IF($G1232="",0,$G1232),0)=0,"√","▲ مغایرت "&amp;TEXT(IF($G1232="",0,$G1232)-$H1232,"#,##0"))))</f>
        <v/>
      </c>
      <c r="J1232" s="18" t="n"/>
    </row>
    <row r="1233">
      <c r="A1233" s="10">
        <f>IF($B1233="","",COUNTA($B$9:$B1233))</f>
        <v/>
      </c>
      <c r="B1233" s="11" t="n"/>
      <c r="C1233" s="12" t="n"/>
      <c r="D1233" s="12" t="n"/>
      <c r="E1233" s="13" t="n"/>
      <c r="F1233" s="14">
        <f>IF($E1233="","",IF($C1233="دستمزد گروهی",IFERROR(VLOOKUP($E1233,WGTbl,2,0),"کد ناشناخته"),IFERROR(IF(VLOOKUP($E1233,AcctTblE,4,0)="","(بدون نام)",VLOOKUP($E1233,AcctTblE,4,0)),"کد ناشناخته")))</f>
        <v/>
      </c>
      <c r="G1233" s="15" t="n"/>
      <c r="H1233" s="16">
        <f>IF(OR($C1233&lt;&gt;"دستمزد گروهی",$D1233=""),"",SUMIFS(ShareAmt,ShareLink,$D1233))</f>
        <v/>
      </c>
      <c r="I1233" s="17">
        <f>IF($C1233&lt;&gt;"دستمزد گروهی","—",IF($H1233="","",IF(ROUND($H1233-IF($G1233="",0,$G1233),0)=0,"√","▲ مغایرت "&amp;TEXT(IF($G1233="",0,$G1233)-$H1233,"#,##0"))))</f>
        <v/>
      </c>
      <c r="J1233" s="18" t="n"/>
    </row>
    <row r="1234">
      <c r="A1234" s="19">
        <f>IF($B1234="","",COUNTA($B$9:$B1234))</f>
        <v/>
      </c>
      <c r="B1234" s="11" t="n"/>
      <c r="C1234" s="12" t="n"/>
      <c r="D1234" s="12" t="n"/>
      <c r="E1234" s="13" t="n"/>
      <c r="F1234" s="20">
        <f>IF($E1234="","",IF($C1234="دستمزد گروهی",IFERROR(VLOOKUP($E1234,WGTbl,2,0),"کد ناشناخته"),IFERROR(IF(VLOOKUP($E1234,AcctTblE,4,0)="","(بدون نام)",VLOOKUP($E1234,AcctTblE,4,0)),"کد ناشناخته")))</f>
        <v/>
      </c>
      <c r="G1234" s="15" t="n"/>
      <c r="H1234" s="21">
        <f>IF(OR($C1234&lt;&gt;"دستمزد گروهی",$D1234=""),"",SUMIFS(ShareAmt,ShareLink,$D1234))</f>
        <v/>
      </c>
      <c r="I1234" s="22">
        <f>IF($C1234&lt;&gt;"دستمزد گروهی","—",IF($H1234="","",IF(ROUND($H1234-IF($G1234="",0,$G1234),0)=0,"√","▲ مغایرت "&amp;TEXT(IF($G1234="",0,$G1234)-$H1234,"#,##0"))))</f>
        <v/>
      </c>
      <c r="J1234" s="18" t="n"/>
    </row>
    <row r="1235">
      <c r="A1235" s="10">
        <f>IF($B1235="","",COUNTA($B$9:$B1235))</f>
        <v/>
      </c>
      <c r="B1235" s="11" t="n"/>
      <c r="C1235" s="12" t="n"/>
      <c r="D1235" s="12" t="n"/>
      <c r="E1235" s="13" t="n"/>
      <c r="F1235" s="14">
        <f>IF($E1235="","",IF($C1235="دستمزد گروهی",IFERROR(VLOOKUP($E1235,WGTbl,2,0),"کد ناشناخته"),IFERROR(IF(VLOOKUP($E1235,AcctTblE,4,0)="","(بدون نام)",VLOOKUP($E1235,AcctTblE,4,0)),"کد ناشناخته")))</f>
        <v/>
      </c>
      <c r="G1235" s="15" t="n"/>
      <c r="H1235" s="16">
        <f>IF(OR($C1235&lt;&gt;"دستمزد گروهی",$D1235=""),"",SUMIFS(ShareAmt,ShareLink,$D1235))</f>
        <v/>
      </c>
      <c r="I1235" s="17">
        <f>IF($C1235&lt;&gt;"دستمزد گروهی","—",IF($H1235="","",IF(ROUND($H1235-IF($G1235="",0,$G1235),0)=0,"√","▲ مغایرت "&amp;TEXT(IF($G1235="",0,$G1235)-$H1235,"#,##0"))))</f>
        <v/>
      </c>
      <c r="J1235" s="18" t="n"/>
    </row>
    <row r="1236">
      <c r="A1236" s="19">
        <f>IF($B1236="","",COUNTA($B$9:$B1236))</f>
        <v/>
      </c>
      <c r="B1236" s="11" t="n"/>
      <c r="C1236" s="12" t="n"/>
      <c r="D1236" s="12" t="n"/>
      <c r="E1236" s="13" t="n"/>
      <c r="F1236" s="20">
        <f>IF($E1236="","",IF($C1236="دستمزد گروهی",IFERROR(VLOOKUP($E1236,WGTbl,2,0),"کد ناشناخته"),IFERROR(IF(VLOOKUP($E1236,AcctTblE,4,0)="","(بدون نام)",VLOOKUP($E1236,AcctTblE,4,0)),"کد ناشناخته")))</f>
        <v/>
      </c>
      <c r="G1236" s="15" t="n"/>
      <c r="H1236" s="21">
        <f>IF(OR($C1236&lt;&gt;"دستمزد گروهی",$D1236=""),"",SUMIFS(ShareAmt,ShareLink,$D1236))</f>
        <v/>
      </c>
      <c r="I1236" s="22">
        <f>IF($C1236&lt;&gt;"دستمزد گروهی","—",IF($H1236="","",IF(ROUND($H1236-IF($G1236="",0,$G1236),0)=0,"√","▲ مغایرت "&amp;TEXT(IF($G1236="",0,$G1236)-$H1236,"#,##0"))))</f>
        <v/>
      </c>
      <c r="J1236" s="18" t="n"/>
    </row>
    <row r="1237">
      <c r="A1237" s="10">
        <f>IF($B1237="","",COUNTA($B$9:$B1237))</f>
        <v/>
      </c>
      <c r="B1237" s="11" t="n"/>
      <c r="C1237" s="12" t="n"/>
      <c r="D1237" s="12" t="n"/>
      <c r="E1237" s="13" t="n"/>
      <c r="F1237" s="14">
        <f>IF($E1237="","",IF($C1237="دستمزد گروهی",IFERROR(VLOOKUP($E1237,WGTbl,2,0),"کد ناشناخته"),IFERROR(IF(VLOOKUP($E1237,AcctTblE,4,0)="","(بدون نام)",VLOOKUP($E1237,AcctTblE,4,0)),"کد ناشناخته")))</f>
        <v/>
      </c>
      <c r="G1237" s="15" t="n"/>
      <c r="H1237" s="16">
        <f>IF(OR($C1237&lt;&gt;"دستمزد گروهی",$D1237=""),"",SUMIFS(ShareAmt,ShareLink,$D1237))</f>
        <v/>
      </c>
      <c r="I1237" s="17">
        <f>IF($C1237&lt;&gt;"دستمزد گروهی","—",IF($H1237="","",IF(ROUND($H1237-IF($G1237="",0,$G1237),0)=0,"√","▲ مغایرت "&amp;TEXT(IF($G1237="",0,$G1237)-$H1237,"#,##0"))))</f>
        <v/>
      </c>
      <c r="J1237" s="18" t="n"/>
    </row>
    <row r="1238">
      <c r="A1238" s="19">
        <f>IF($B1238="","",COUNTA($B$9:$B1238))</f>
        <v/>
      </c>
      <c r="B1238" s="11" t="n"/>
      <c r="C1238" s="12" t="n"/>
      <c r="D1238" s="12" t="n"/>
      <c r="E1238" s="13" t="n"/>
      <c r="F1238" s="20">
        <f>IF($E1238="","",IF($C1238="دستمزد گروهی",IFERROR(VLOOKUP($E1238,WGTbl,2,0),"کد ناشناخته"),IFERROR(IF(VLOOKUP($E1238,AcctTblE,4,0)="","(بدون نام)",VLOOKUP($E1238,AcctTblE,4,0)),"کد ناشناخته")))</f>
        <v/>
      </c>
      <c r="G1238" s="15" t="n"/>
      <c r="H1238" s="21">
        <f>IF(OR($C1238&lt;&gt;"دستمزد گروهی",$D1238=""),"",SUMIFS(ShareAmt,ShareLink,$D1238))</f>
        <v/>
      </c>
      <c r="I1238" s="22">
        <f>IF($C1238&lt;&gt;"دستمزد گروهی","—",IF($H1238="","",IF(ROUND($H1238-IF($G1238="",0,$G1238),0)=0,"√","▲ مغایرت "&amp;TEXT(IF($G1238="",0,$G1238)-$H1238,"#,##0"))))</f>
        <v/>
      </c>
      <c r="J1238" s="18" t="n"/>
    </row>
    <row r="1239">
      <c r="A1239" s="10">
        <f>IF($B1239="","",COUNTA($B$9:$B1239))</f>
        <v/>
      </c>
      <c r="B1239" s="11" t="n"/>
      <c r="C1239" s="12" t="n"/>
      <c r="D1239" s="12" t="n"/>
      <c r="E1239" s="13" t="n"/>
      <c r="F1239" s="14">
        <f>IF($E1239="","",IF($C1239="دستمزد گروهی",IFERROR(VLOOKUP($E1239,WGTbl,2,0),"کد ناشناخته"),IFERROR(IF(VLOOKUP($E1239,AcctTblE,4,0)="","(بدون نام)",VLOOKUP($E1239,AcctTblE,4,0)),"کد ناشناخته")))</f>
        <v/>
      </c>
      <c r="G1239" s="15" t="n"/>
      <c r="H1239" s="16">
        <f>IF(OR($C1239&lt;&gt;"دستمزد گروهی",$D1239=""),"",SUMIFS(ShareAmt,ShareLink,$D1239))</f>
        <v/>
      </c>
      <c r="I1239" s="17">
        <f>IF($C1239&lt;&gt;"دستمزد گروهی","—",IF($H1239="","",IF(ROUND($H1239-IF($G1239="",0,$G1239),0)=0,"√","▲ مغایرت "&amp;TEXT(IF($G1239="",0,$G1239)-$H1239,"#,##0"))))</f>
        <v/>
      </c>
      <c r="J1239" s="18" t="n"/>
    </row>
    <row r="1240">
      <c r="A1240" s="19">
        <f>IF($B1240="","",COUNTA($B$9:$B1240))</f>
        <v/>
      </c>
      <c r="B1240" s="11" t="n"/>
      <c r="C1240" s="12" t="n"/>
      <c r="D1240" s="12" t="n"/>
      <c r="E1240" s="13" t="n"/>
      <c r="F1240" s="20">
        <f>IF($E1240="","",IF($C1240="دستمزد گروهی",IFERROR(VLOOKUP($E1240,WGTbl,2,0),"کد ناشناخته"),IFERROR(IF(VLOOKUP($E1240,AcctTblE,4,0)="","(بدون نام)",VLOOKUP($E1240,AcctTblE,4,0)),"کد ناشناخته")))</f>
        <v/>
      </c>
      <c r="G1240" s="15" t="n"/>
      <c r="H1240" s="21">
        <f>IF(OR($C1240&lt;&gt;"دستمزد گروهی",$D1240=""),"",SUMIFS(ShareAmt,ShareLink,$D1240))</f>
        <v/>
      </c>
      <c r="I1240" s="22">
        <f>IF($C1240&lt;&gt;"دستمزد گروهی","—",IF($H1240="","",IF(ROUND($H1240-IF($G1240="",0,$G1240),0)=0,"√","▲ مغایرت "&amp;TEXT(IF($G1240="",0,$G1240)-$H1240,"#,##0"))))</f>
        <v/>
      </c>
      <c r="J1240" s="18" t="n"/>
    </row>
    <row r="1241">
      <c r="A1241" s="10">
        <f>IF($B1241="","",COUNTA($B$9:$B1241))</f>
        <v/>
      </c>
      <c r="B1241" s="11" t="n"/>
      <c r="C1241" s="12" t="n"/>
      <c r="D1241" s="12" t="n"/>
      <c r="E1241" s="13" t="n"/>
      <c r="F1241" s="14">
        <f>IF($E1241="","",IF($C1241="دستمزد گروهی",IFERROR(VLOOKUP($E1241,WGTbl,2,0),"کد ناشناخته"),IFERROR(IF(VLOOKUP($E1241,AcctTblE,4,0)="","(بدون نام)",VLOOKUP($E1241,AcctTblE,4,0)),"کد ناشناخته")))</f>
        <v/>
      </c>
      <c r="G1241" s="15" t="n"/>
      <c r="H1241" s="16">
        <f>IF(OR($C1241&lt;&gt;"دستمزد گروهی",$D1241=""),"",SUMIFS(ShareAmt,ShareLink,$D1241))</f>
        <v/>
      </c>
      <c r="I1241" s="17">
        <f>IF($C1241&lt;&gt;"دستمزد گروهی","—",IF($H1241="","",IF(ROUND($H1241-IF($G1241="",0,$G1241),0)=0,"√","▲ مغایرت "&amp;TEXT(IF($G1241="",0,$G1241)-$H1241,"#,##0"))))</f>
        <v/>
      </c>
      <c r="J1241" s="18" t="n"/>
    </row>
    <row r="1242">
      <c r="A1242" s="19">
        <f>IF($B1242="","",COUNTA($B$9:$B1242))</f>
        <v/>
      </c>
      <c r="B1242" s="11" t="n"/>
      <c r="C1242" s="12" t="n"/>
      <c r="D1242" s="12" t="n"/>
      <c r="E1242" s="13" t="n"/>
      <c r="F1242" s="20">
        <f>IF($E1242="","",IF($C1242="دستمزد گروهی",IFERROR(VLOOKUP($E1242,WGTbl,2,0),"کد ناشناخته"),IFERROR(IF(VLOOKUP($E1242,AcctTblE,4,0)="","(بدون نام)",VLOOKUP($E1242,AcctTblE,4,0)),"کد ناشناخته")))</f>
        <v/>
      </c>
      <c r="G1242" s="15" t="n"/>
      <c r="H1242" s="21">
        <f>IF(OR($C1242&lt;&gt;"دستمزد گروهی",$D1242=""),"",SUMIFS(ShareAmt,ShareLink,$D1242))</f>
        <v/>
      </c>
      <c r="I1242" s="22">
        <f>IF($C1242&lt;&gt;"دستمزد گروهی","—",IF($H1242="","",IF(ROUND($H1242-IF($G1242="",0,$G1242),0)=0,"√","▲ مغایرت "&amp;TEXT(IF($G1242="",0,$G1242)-$H1242,"#,##0"))))</f>
        <v/>
      </c>
      <c r="J1242" s="18" t="n"/>
    </row>
    <row r="1243">
      <c r="A1243" s="10">
        <f>IF($B1243="","",COUNTA($B$9:$B1243))</f>
        <v/>
      </c>
      <c r="B1243" s="11" t="n"/>
      <c r="C1243" s="12" t="n"/>
      <c r="D1243" s="12" t="n"/>
      <c r="E1243" s="13" t="n"/>
      <c r="F1243" s="14">
        <f>IF($E1243="","",IF($C1243="دستمزد گروهی",IFERROR(VLOOKUP($E1243,WGTbl,2,0),"کد ناشناخته"),IFERROR(IF(VLOOKUP($E1243,AcctTblE,4,0)="","(بدون نام)",VLOOKUP($E1243,AcctTblE,4,0)),"کد ناشناخته")))</f>
        <v/>
      </c>
      <c r="G1243" s="15" t="n"/>
      <c r="H1243" s="16">
        <f>IF(OR($C1243&lt;&gt;"دستمزد گروهی",$D1243=""),"",SUMIFS(ShareAmt,ShareLink,$D1243))</f>
        <v/>
      </c>
      <c r="I1243" s="17">
        <f>IF($C1243&lt;&gt;"دستمزد گروهی","—",IF($H1243="","",IF(ROUND($H1243-IF($G1243="",0,$G1243),0)=0,"√","▲ مغایرت "&amp;TEXT(IF($G1243="",0,$G1243)-$H1243,"#,##0"))))</f>
        <v/>
      </c>
      <c r="J1243" s="18" t="n"/>
    </row>
    <row r="1244">
      <c r="A1244" s="19">
        <f>IF($B1244="","",COUNTA($B$9:$B1244))</f>
        <v/>
      </c>
      <c r="B1244" s="11" t="n"/>
      <c r="C1244" s="12" t="n"/>
      <c r="D1244" s="12" t="n"/>
      <c r="E1244" s="13" t="n"/>
      <c r="F1244" s="20">
        <f>IF($E1244="","",IF($C1244="دستمزد گروهی",IFERROR(VLOOKUP($E1244,WGTbl,2,0),"کد ناشناخته"),IFERROR(IF(VLOOKUP($E1244,AcctTblE,4,0)="","(بدون نام)",VLOOKUP($E1244,AcctTblE,4,0)),"کد ناشناخته")))</f>
        <v/>
      </c>
      <c r="G1244" s="15" t="n"/>
      <c r="H1244" s="21">
        <f>IF(OR($C1244&lt;&gt;"دستمزد گروهی",$D1244=""),"",SUMIFS(ShareAmt,ShareLink,$D1244))</f>
        <v/>
      </c>
      <c r="I1244" s="22">
        <f>IF($C1244&lt;&gt;"دستمزد گروهی","—",IF($H1244="","",IF(ROUND($H1244-IF($G1244="",0,$G1244),0)=0,"√","▲ مغایرت "&amp;TEXT(IF($G1244="",0,$G1244)-$H1244,"#,##0"))))</f>
        <v/>
      </c>
      <c r="J1244" s="18" t="n"/>
    </row>
    <row r="1245">
      <c r="A1245" s="10">
        <f>IF($B1245="","",COUNTA($B$9:$B1245))</f>
        <v/>
      </c>
      <c r="B1245" s="11" t="n"/>
      <c r="C1245" s="12" t="n"/>
      <c r="D1245" s="12" t="n"/>
      <c r="E1245" s="13" t="n"/>
      <c r="F1245" s="14">
        <f>IF($E1245="","",IF($C1245="دستمزد گروهی",IFERROR(VLOOKUP($E1245,WGTbl,2,0),"کد ناشناخته"),IFERROR(IF(VLOOKUP($E1245,AcctTblE,4,0)="","(بدون نام)",VLOOKUP($E1245,AcctTblE,4,0)),"کد ناشناخته")))</f>
        <v/>
      </c>
      <c r="G1245" s="15" t="n"/>
      <c r="H1245" s="16">
        <f>IF(OR($C1245&lt;&gt;"دستمزد گروهی",$D1245=""),"",SUMIFS(ShareAmt,ShareLink,$D1245))</f>
        <v/>
      </c>
      <c r="I1245" s="17">
        <f>IF($C1245&lt;&gt;"دستمزد گروهی","—",IF($H1245="","",IF(ROUND($H1245-IF($G1245="",0,$G1245),0)=0,"√","▲ مغایرت "&amp;TEXT(IF($G1245="",0,$G1245)-$H1245,"#,##0"))))</f>
        <v/>
      </c>
      <c r="J1245" s="18" t="n"/>
    </row>
    <row r="1246">
      <c r="A1246" s="19">
        <f>IF($B1246="","",COUNTA($B$9:$B1246))</f>
        <v/>
      </c>
      <c r="B1246" s="11" t="n"/>
      <c r="C1246" s="12" t="n"/>
      <c r="D1246" s="12" t="n"/>
      <c r="E1246" s="13" t="n"/>
      <c r="F1246" s="20">
        <f>IF($E1246="","",IF($C1246="دستمزد گروهی",IFERROR(VLOOKUP($E1246,WGTbl,2,0),"کد ناشناخته"),IFERROR(IF(VLOOKUP($E1246,AcctTblE,4,0)="","(بدون نام)",VLOOKUP($E1246,AcctTblE,4,0)),"کد ناشناخته")))</f>
        <v/>
      </c>
      <c r="G1246" s="15" t="n"/>
      <c r="H1246" s="21">
        <f>IF(OR($C1246&lt;&gt;"دستمزد گروهی",$D1246=""),"",SUMIFS(ShareAmt,ShareLink,$D1246))</f>
        <v/>
      </c>
      <c r="I1246" s="22">
        <f>IF($C1246&lt;&gt;"دستمزد گروهی","—",IF($H1246="","",IF(ROUND($H1246-IF($G1246="",0,$G1246),0)=0,"√","▲ مغایرت "&amp;TEXT(IF($G1246="",0,$G1246)-$H1246,"#,##0"))))</f>
        <v/>
      </c>
      <c r="J1246" s="18" t="n"/>
    </row>
    <row r="1247">
      <c r="A1247" s="10">
        <f>IF($B1247="","",COUNTA($B$9:$B1247))</f>
        <v/>
      </c>
      <c r="B1247" s="11" t="n"/>
      <c r="C1247" s="12" t="n"/>
      <c r="D1247" s="12" t="n"/>
      <c r="E1247" s="13" t="n"/>
      <c r="F1247" s="14">
        <f>IF($E1247="","",IF($C1247="دستمزد گروهی",IFERROR(VLOOKUP($E1247,WGTbl,2,0),"کد ناشناخته"),IFERROR(IF(VLOOKUP($E1247,AcctTblE,4,0)="","(بدون نام)",VLOOKUP($E1247,AcctTblE,4,0)),"کد ناشناخته")))</f>
        <v/>
      </c>
      <c r="G1247" s="15" t="n"/>
      <c r="H1247" s="16">
        <f>IF(OR($C1247&lt;&gt;"دستمزد گروهی",$D1247=""),"",SUMIFS(ShareAmt,ShareLink,$D1247))</f>
        <v/>
      </c>
      <c r="I1247" s="17">
        <f>IF($C1247&lt;&gt;"دستمزد گروهی","—",IF($H1247="","",IF(ROUND($H1247-IF($G1247="",0,$G1247),0)=0,"√","▲ مغایرت "&amp;TEXT(IF($G1247="",0,$G1247)-$H1247,"#,##0"))))</f>
        <v/>
      </c>
      <c r="J1247" s="18" t="n"/>
    </row>
    <row r="1248">
      <c r="A1248" s="19">
        <f>IF($B1248="","",COUNTA($B$9:$B1248))</f>
        <v/>
      </c>
      <c r="B1248" s="11" t="n"/>
      <c r="C1248" s="12" t="n"/>
      <c r="D1248" s="12" t="n"/>
      <c r="E1248" s="13" t="n"/>
      <c r="F1248" s="20">
        <f>IF($E1248="","",IF($C1248="دستمزد گروهی",IFERROR(VLOOKUP($E1248,WGTbl,2,0),"کد ناشناخته"),IFERROR(IF(VLOOKUP($E1248,AcctTblE,4,0)="","(بدون نام)",VLOOKUP($E1248,AcctTblE,4,0)),"کد ناشناخته")))</f>
        <v/>
      </c>
      <c r="G1248" s="15" t="n"/>
      <c r="H1248" s="21">
        <f>IF(OR($C1248&lt;&gt;"دستمزد گروهی",$D1248=""),"",SUMIFS(ShareAmt,ShareLink,$D1248))</f>
        <v/>
      </c>
      <c r="I1248" s="22">
        <f>IF($C1248&lt;&gt;"دستمزد گروهی","—",IF($H1248="","",IF(ROUND($H1248-IF($G1248="",0,$G1248),0)=0,"√","▲ مغایرت "&amp;TEXT(IF($G1248="",0,$G1248)-$H1248,"#,##0"))))</f>
        <v/>
      </c>
      <c r="J1248" s="18" t="n"/>
    </row>
    <row r="1249">
      <c r="A1249" s="10">
        <f>IF($B1249="","",COUNTA($B$9:$B1249))</f>
        <v/>
      </c>
      <c r="B1249" s="11" t="n"/>
      <c r="C1249" s="12" t="n"/>
      <c r="D1249" s="12" t="n"/>
      <c r="E1249" s="13" t="n"/>
      <c r="F1249" s="14">
        <f>IF($E1249="","",IF($C1249="دستمزد گروهی",IFERROR(VLOOKUP($E1249,WGTbl,2,0),"کد ناشناخته"),IFERROR(IF(VLOOKUP($E1249,AcctTblE,4,0)="","(بدون نام)",VLOOKUP($E1249,AcctTblE,4,0)),"کد ناشناخته")))</f>
        <v/>
      </c>
      <c r="G1249" s="15" t="n"/>
      <c r="H1249" s="16">
        <f>IF(OR($C1249&lt;&gt;"دستمزد گروهی",$D1249=""),"",SUMIFS(ShareAmt,ShareLink,$D1249))</f>
        <v/>
      </c>
      <c r="I1249" s="17">
        <f>IF($C1249&lt;&gt;"دستمزد گروهی","—",IF($H1249="","",IF(ROUND($H1249-IF($G1249="",0,$G1249),0)=0,"√","▲ مغایرت "&amp;TEXT(IF($G1249="",0,$G1249)-$H1249,"#,##0"))))</f>
        <v/>
      </c>
      <c r="J1249" s="18" t="n"/>
    </row>
    <row r="1250">
      <c r="A1250" s="19">
        <f>IF($B1250="","",COUNTA($B$9:$B1250))</f>
        <v/>
      </c>
      <c r="B1250" s="11" t="n"/>
      <c r="C1250" s="12" t="n"/>
      <c r="D1250" s="12" t="n"/>
      <c r="E1250" s="13" t="n"/>
      <c r="F1250" s="20">
        <f>IF($E1250="","",IF($C1250="دستمزد گروهی",IFERROR(VLOOKUP($E1250,WGTbl,2,0),"کد ناشناخته"),IFERROR(IF(VLOOKUP($E1250,AcctTblE,4,0)="","(بدون نام)",VLOOKUP($E1250,AcctTblE,4,0)),"کد ناشناخته")))</f>
        <v/>
      </c>
      <c r="G1250" s="15" t="n"/>
      <c r="H1250" s="21">
        <f>IF(OR($C1250&lt;&gt;"دستمزد گروهی",$D1250=""),"",SUMIFS(ShareAmt,ShareLink,$D1250))</f>
        <v/>
      </c>
      <c r="I1250" s="22">
        <f>IF($C1250&lt;&gt;"دستمزد گروهی","—",IF($H1250="","",IF(ROUND($H1250-IF($G1250="",0,$G1250),0)=0,"√","▲ مغایرت "&amp;TEXT(IF($G1250="",0,$G1250)-$H1250,"#,##0"))))</f>
        <v/>
      </c>
      <c r="J1250" s="18" t="n"/>
    </row>
    <row r="1251">
      <c r="A1251" s="10">
        <f>IF($B1251="","",COUNTA($B$9:$B1251))</f>
        <v/>
      </c>
      <c r="B1251" s="11" t="n"/>
      <c r="C1251" s="12" t="n"/>
      <c r="D1251" s="12" t="n"/>
      <c r="E1251" s="13" t="n"/>
      <c r="F1251" s="14">
        <f>IF($E1251="","",IF($C1251="دستمزد گروهی",IFERROR(VLOOKUP($E1251,WGTbl,2,0),"کد ناشناخته"),IFERROR(IF(VLOOKUP($E1251,AcctTblE,4,0)="","(بدون نام)",VLOOKUP($E1251,AcctTblE,4,0)),"کد ناشناخته")))</f>
        <v/>
      </c>
      <c r="G1251" s="15" t="n"/>
      <c r="H1251" s="16">
        <f>IF(OR($C1251&lt;&gt;"دستمزد گروهی",$D1251=""),"",SUMIFS(ShareAmt,ShareLink,$D1251))</f>
        <v/>
      </c>
      <c r="I1251" s="17">
        <f>IF($C1251&lt;&gt;"دستمزد گروهی","—",IF($H1251="","",IF(ROUND($H1251-IF($G1251="",0,$G1251),0)=0,"√","▲ مغایرت "&amp;TEXT(IF($G1251="",0,$G1251)-$H1251,"#,##0"))))</f>
        <v/>
      </c>
      <c r="J1251" s="18" t="n"/>
    </row>
    <row r="1252">
      <c r="A1252" s="19">
        <f>IF($B1252="","",COUNTA($B$9:$B1252))</f>
        <v/>
      </c>
      <c r="B1252" s="11" t="n"/>
      <c r="C1252" s="12" t="n"/>
      <c r="D1252" s="12" t="n"/>
      <c r="E1252" s="13" t="n"/>
      <c r="F1252" s="20">
        <f>IF($E1252="","",IF($C1252="دستمزد گروهی",IFERROR(VLOOKUP($E1252,WGTbl,2,0),"کد ناشناخته"),IFERROR(IF(VLOOKUP($E1252,AcctTblE,4,0)="","(بدون نام)",VLOOKUP($E1252,AcctTblE,4,0)),"کد ناشناخته")))</f>
        <v/>
      </c>
      <c r="G1252" s="15" t="n"/>
      <c r="H1252" s="21">
        <f>IF(OR($C1252&lt;&gt;"دستمزد گروهی",$D1252=""),"",SUMIFS(ShareAmt,ShareLink,$D1252))</f>
        <v/>
      </c>
      <c r="I1252" s="22">
        <f>IF($C1252&lt;&gt;"دستمزد گروهی","—",IF($H1252="","",IF(ROUND($H1252-IF($G1252="",0,$G1252),0)=0,"√","▲ مغایرت "&amp;TEXT(IF($G1252="",0,$G1252)-$H1252,"#,##0"))))</f>
        <v/>
      </c>
      <c r="J1252" s="18" t="n"/>
    </row>
    <row r="1253">
      <c r="A1253" s="10">
        <f>IF($B1253="","",COUNTA($B$9:$B1253))</f>
        <v/>
      </c>
      <c r="B1253" s="11" t="n"/>
      <c r="C1253" s="12" t="n"/>
      <c r="D1253" s="12" t="n"/>
      <c r="E1253" s="13" t="n"/>
      <c r="F1253" s="14">
        <f>IF($E1253="","",IF($C1253="دستمزد گروهی",IFERROR(VLOOKUP($E1253,WGTbl,2,0),"کد ناشناخته"),IFERROR(IF(VLOOKUP($E1253,AcctTblE,4,0)="","(بدون نام)",VLOOKUP($E1253,AcctTblE,4,0)),"کد ناشناخته")))</f>
        <v/>
      </c>
      <c r="G1253" s="15" t="n"/>
      <c r="H1253" s="16">
        <f>IF(OR($C1253&lt;&gt;"دستمزد گروهی",$D1253=""),"",SUMIFS(ShareAmt,ShareLink,$D1253))</f>
        <v/>
      </c>
      <c r="I1253" s="17">
        <f>IF($C1253&lt;&gt;"دستمزد گروهی","—",IF($H1253="","",IF(ROUND($H1253-IF($G1253="",0,$G1253),0)=0,"√","▲ مغایرت "&amp;TEXT(IF($G1253="",0,$G1253)-$H1253,"#,##0"))))</f>
        <v/>
      </c>
      <c r="J1253" s="18" t="n"/>
    </row>
    <row r="1254">
      <c r="A1254" s="19">
        <f>IF($B1254="","",COUNTA($B$9:$B1254))</f>
        <v/>
      </c>
      <c r="B1254" s="11" t="n"/>
      <c r="C1254" s="12" t="n"/>
      <c r="D1254" s="12" t="n"/>
      <c r="E1254" s="13" t="n"/>
      <c r="F1254" s="20">
        <f>IF($E1254="","",IF($C1254="دستمزد گروهی",IFERROR(VLOOKUP($E1254,WGTbl,2,0),"کد ناشناخته"),IFERROR(IF(VLOOKUP($E1254,AcctTblE,4,0)="","(بدون نام)",VLOOKUP($E1254,AcctTblE,4,0)),"کد ناشناخته")))</f>
        <v/>
      </c>
      <c r="G1254" s="15" t="n"/>
      <c r="H1254" s="21">
        <f>IF(OR($C1254&lt;&gt;"دستمزد گروهی",$D1254=""),"",SUMIFS(ShareAmt,ShareLink,$D1254))</f>
        <v/>
      </c>
      <c r="I1254" s="22">
        <f>IF($C1254&lt;&gt;"دستمزد گروهی","—",IF($H1254="","",IF(ROUND($H1254-IF($G1254="",0,$G1254),0)=0,"√","▲ مغایرت "&amp;TEXT(IF($G1254="",0,$G1254)-$H1254,"#,##0"))))</f>
        <v/>
      </c>
      <c r="J1254" s="18" t="n"/>
    </row>
    <row r="1255">
      <c r="A1255" s="10">
        <f>IF($B1255="","",COUNTA($B$9:$B1255))</f>
        <v/>
      </c>
      <c r="B1255" s="11" t="n"/>
      <c r="C1255" s="12" t="n"/>
      <c r="D1255" s="12" t="n"/>
      <c r="E1255" s="13" t="n"/>
      <c r="F1255" s="14">
        <f>IF($E1255="","",IF($C1255="دستمزد گروهی",IFERROR(VLOOKUP($E1255,WGTbl,2,0),"کد ناشناخته"),IFERROR(IF(VLOOKUP($E1255,AcctTblE,4,0)="","(بدون نام)",VLOOKUP($E1255,AcctTblE,4,0)),"کد ناشناخته")))</f>
        <v/>
      </c>
      <c r="G1255" s="15" t="n"/>
      <c r="H1255" s="16">
        <f>IF(OR($C1255&lt;&gt;"دستمزد گروهی",$D1255=""),"",SUMIFS(ShareAmt,ShareLink,$D1255))</f>
        <v/>
      </c>
      <c r="I1255" s="17">
        <f>IF($C1255&lt;&gt;"دستمزد گروهی","—",IF($H1255="","",IF(ROUND($H1255-IF($G1255="",0,$G1255),0)=0,"√","▲ مغایرت "&amp;TEXT(IF($G1255="",0,$G1255)-$H1255,"#,##0"))))</f>
        <v/>
      </c>
      <c r="J1255" s="18" t="n"/>
    </row>
    <row r="1256">
      <c r="A1256" s="19">
        <f>IF($B1256="","",COUNTA($B$9:$B1256))</f>
        <v/>
      </c>
      <c r="B1256" s="11" t="n"/>
      <c r="C1256" s="12" t="n"/>
      <c r="D1256" s="12" t="n"/>
      <c r="E1256" s="13" t="n"/>
      <c r="F1256" s="20">
        <f>IF($E1256="","",IF($C1256="دستمزد گروهی",IFERROR(VLOOKUP($E1256,WGTbl,2,0),"کد ناشناخته"),IFERROR(IF(VLOOKUP($E1256,AcctTblE,4,0)="","(بدون نام)",VLOOKUP($E1256,AcctTblE,4,0)),"کد ناشناخته")))</f>
        <v/>
      </c>
      <c r="G1256" s="15" t="n"/>
      <c r="H1256" s="21">
        <f>IF(OR($C1256&lt;&gt;"دستمزد گروهی",$D1256=""),"",SUMIFS(ShareAmt,ShareLink,$D1256))</f>
        <v/>
      </c>
      <c r="I1256" s="22">
        <f>IF($C1256&lt;&gt;"دستمزد گروهی","—",IF($H1256="","",IF(ROUND($H1256-IF($G1256="",0,$G1256),0)=0,"√","▲ مغایرت "&amp;TEXT(IF($G1256="",0,$G1256)-$H1256,"#,##0"))))</f>
        <v/>
      </c>
      <c r="J1256" s="18" t="n"/>
    </row>
    <row r="1257">
      <c r="A1257" s="10">
        <f>IF($B1257="","",COUNTA($B$9:$B1257))</f>
        <v/>
      </c>
      <c r="B1257" s="11" t="n"/>
      <c r="C1257" s="12" t="n"/>
      <c r="D1257" s="12" t="n"/>
      <c r="E1257" s="13" t="n"/>
      <c r="F1257" s="14">
        <f>IF($E1257="","",IF($C1257="دستمزد گروهی",IFERROR(VLOOKUP($E1257,WGTbl,2,0),"کد ناشناخته"),IFERROR(IF(VLOOKUP($E1257,AcctTblE,4,0)="","(بدون نام)",VLOOKUP($E1257,AcctTblE,4,0)),"کد ناشناخته")))</f>
        <v/>
      </c>
      <c r="G1257" s="15" t="n"/>
      <c r="H1257" s="16">
        <f>IF(OR($C1257&lt;&gt;"دستمزد گروهی",$D1257=""),"",SUMIFS(ShareAmt,ShareLink,$D1257))</f>
        <v/>
      </c>
      <c r="I1257" s="17">
        <f>IF($C1257&lt;&gt;"دستمزد گروهی","—",IF($H1257="","",IF(ROUND($H1257-IF($G1257="",0,$G1257),0)=0,"√","▲ مغایرت "&amp;TEXT(IF($G1257="",0,$G1257)-$H1257,"#,##0"))))</f>
        <v/>
      </c>
      <c r="J1257" s="18" t="n"/>
    </row>
    <row r="1258">
      <c r="A1258" s="19">
        <f>IF($B1258="","",COUNTA($B$9:$B1258))</f>
        <v/>
      </c>
      <c r="B1258" s="11" t="n"/>
      <c r="C1258" s="12" t="n"/>
      <c r="D1258" s="12" t="n"/>
      <c r="E1258" s="13" t="n"/>
      <c r="F1258" s="20">
        <f>IF($E1258="","",IF($C1258="دستمزد گروهی",IFERROR(VLOOKUP($E1258,WGTbl,2,0),"کد ناشناخته"),IFERROR(IF(VLOOKUP($E1258,AcctTblE,4,0)="","(بدون نام)",VLOOKUP($E1258,AcctTblE,4,0)),"کد ناشناخته")))</f>
        <v/>
      </c>
      <c r="G1258" s="15" t="n"/>
      <c r="H1258" s="21">
        <f>IF(OR($C1258&lt;&gt;"دستمزد گروهی",$D1258=""),"",SUMIFS(ShareAmt,ShareLink,$D1258))</f>
        <v/>
      </c>
      <c r="I1258" s="22">
        <f>IF($C1258&lt;&gt;"دستمزد گروهی","—",IF($H1258="","",IF(ROUND($H1258-IF($G1258="",0,$G1258),0)=0,"√","▲ مغایرت "&amp;TEXT(IF($G1258="",0,$G1258)-$H1258,"#,##0"))))</f>
        <v/>
      </c>
      <c r="J1258" s="18" t="n"/>
    </row>
    <row r="1259">
      <c r="A1259" s="10">
        <f>IF($B1259="","",COUNTA($B$9:$B1259))</f>
        <v/>
      </c>
      <c r="B1259" s="11" t="n"/>
      <c r="C1259" s="12" t="n"/>
      <c r="D1259" s="12" t="n"/>
      <c r="E1259" s="13" t="n"/>
      <c r="F1259" s="14">
        <f>IF($E1259="","",IF($C1259="دستمزد گروهی",IFERROR(VLOOKUP($E1259,WGTbl,2,0),"کد ناشناخته"),IFERROR(IF(VLOOKUP($E1259,AcctTblE,4,0)="","(بدون نام)",VLOOKUP($E1259,AcctTblE,4,0)),"کد ناشناخته")))</f>
        <v/>
      </c>
      <c r="G1259" s="15" t="n"/>
      <c r="H1259" s="16">
        <f>IF(OR($C1259&lt;&gt;"دستمزد گروهی",$D1259=""),"",SUMIFS(ShareAmt,ShareLink,$D1259))</f>
        <v/>
      </c>
      <c r="I1259" s="17">
        <f>IF($C1259&lt;&gt;"دستمزد گروهی","—",IF($H1259="","",IF(ROUND($H1259-IF($G1259="",0,$G1259),0)=0,"√","▲ مغایرت "&amp;TEXT(IF($G1259="",0,$G1259)-$H1259,"#,##0"))))</f>
        <v/>
      </c>
      <c r="J1259" s="18" t="n"/>
    </row>
    <row r="1260">
      <c r="A1260" s="19">
        <f>IF($B1260="","",COUNTA($B$9:$B1260))</f>
        <v/>
      </c>
      <c r="B1260" s="11" t="n"/>
      <c r="C1260" s="12" t="n"/>
      <c r="D1260" s="12" t="n"/>
      <c r="E1260" s="13" t="n"/>
      <c r="F1260" s="20">
        <f>IF($E1260="","",IF($C1260="دستمزد گروهی",IFERROR(VLOOKUP($E1260,WGTbl,2,0),"کد ناشناخته"),IFERROR(IF(VLOOKUP($E1260,AcctTblE,4,0)="","(بدون نام)",VLOOKUP($E1260,AcctTblE,4,0)),"کد ناشناخته")))</f>
        <v/>
      </c>
      <c r="G1260" s="15" t="n"/>
      <c r="H1260" s="21">
        <f>IF(OR($C1260&lt;&gt;"دستمزد گروهی",$D1260=""),"",SUMIFS(ShareAmt,ShareLink,$D1260))</f>
        <v/>
      </c>
      <c r="I1260" s="22">
        <f>IF($C1260&lt;&gt;"دستمزد گروهی","—",IF($H1260="","",IF(ROUND($H1260-IF($G1260="",0,$G1260),0)=0,"√","▲ مغایرت "&amp;TEXT(IF($G1260="",0,$G1260)-$H1260,"#,##0"))))</f>
        <v/>
      </c>
      <c r="J1260" s="18" t="n"/>
    </row>
    <row r="1261">
      <c r="A1261" s="10">
        <f>IF($B1261="","",COUNTA($B$9:$B1261))</f>
        <v/>
      </c>
      <c r="B1261" s="11" t="n"/>
      <c r="C1261" s="12" t="n"/>
      <c r="D1261" s="12" t="n"/>
      <c r="E1261" s="13" t="n"/>
      <c r="F1261" s="14">
        <f>IF($E1261="","",IF($C1261="دستمزد گروهی",IFERROR(VLOOKUP($E1261,WGTbl,2,0),"کد ناشناخته"),IFERROR(IF(VLOOKUP($E1261,AcctTblE,4,0)="","(بدون نام)",VLOOKUP($E1261,AcctTblE,4,0)),"کد ناشناخته")))</f>
        <v/>
      </c>
      <c r="G1261" s="15" t="n"/>
      <c r="H1261" s="16">
        <f>IF(OR($C1261&lt;&gt;"دستمزد گروهی",$D1261=""),"",SUMIFS(ShareAmt,ShareLink,$D1261))</f>
        <v/>
      </c>
      <c r="I1261" s="17">
        <f>IF($C1261&lt;&gt;"دستمزد گروهی","—",IF($H1261="","",IF(ROUND($H1261-IF($G1261="",0,$G1261),0)=0,"√","▲ مغایرت "&amp;TEXT(IF($G1261="",0,$G1261)-$H1261,"#,##0"))))</f>
        <v/>
      </c>
      <c r="J1261" s="18" t="n"/>
    </row>
    <row r="1262">
      <c r="A1262" s="19">
        <f>IF($B1262="","",COUNTA($B$9:$B1262))</f>
        <v/>
      </c>
      <c r="B1262" s="11" t="n"/>
      <c r="C1262" s="12" t="n"/>
      <c r="D1262" s="12" t="n"/>
      <c r="E1262" s="13" t="n"/>
      <c r="F1262" s="20">
        <f>IF($E1262="","",IF($C1262="دستمزد گروهی",IFERROR(VLOOKUP($E1262,WGTbl,2,0),"کد ناشناخته"),IFERROR(IF(VLOOKUP($E1262,AcctTblE,4,0)="","(بدون نام)",VLOOKUP($E1262,AcctTblE,4,0)),"کد ناشناخته")))</f>
        <v/>
      </c>
      <c r="G1262" s="15" t="n"/>
      <c r="H1262" s="21">
        <f>IF(OR($C1262&lt;&gt;"دستمزد گروهی",$D1262=""),"",SUMIFS(ShareAmt,ShareLink,$D1262))</f>
        <v/>
      </c>
      <c r="I1262" s="22">
        <f>IF($C1262&lt;&gt;"دستمزد گروهی","—",IF($H1262="","",IF(ROUND($H1262-IF($G1262="",0,$G1262),0)=0,"√","▲ مغایرت "&amp;TEXT(IF($G1262="",0,$G1262)-$H1262,"#,##0"))))</f>
        <v/>
      </c>
      <c r="J1262" s="18" t="n"/>
    </row>
    <row r="1263">
      <c r="A1263" s="10">
        <f>IF($B1263="","",COUNTA($B$9:$B1263))</f>
        <v/>
      </c>
      <c r="B1263" s="11" t="n"/>
      <c r="C1263" s="12" t="n"/>
      <c r="D1263" s="12" t="n"/>
      <c r="E1263" s="13" t="n"/>
      <c r="F1263" s="14">
        <f>IF($E1263="","",IF($C1263="دستمزد گروهی",IFERROR(VLOOKUP($E1263,WGTbl,2,0),"کد ناشناخته"),IFERROR(IF(VLOOKUP($E1263,AcctTblE,4,0)="","(بدون نام)",VLOOKUP($E1263,AcctTblE,4,0)),"کد ناشناخته")))</f>
        <v/>
      </c>
      <c r="G1263" s="15" t="n"/>
      <c r="H1263" s="16">
        <f>IF(OR($C1263&lt;&gt;"دستمزد گروهی",$D1263=""),"",SUMIFS(ShareAmt,ShareLink,$D1263))</f>
        <v/>
      </c>
      <c r="I1263" s="17">
        <f>IF($C1263&lt;&gt;"دستمزد گروهی","—",IF($H1263="","",IF(ROUND($H1263-IF($G1263="",0,$G1263),0)=0,"√","▲ مغایرت "&amp;TEXT(IF($G1263="",0,$G1263)-$H1263,"#,##0"))))</f>
        <v/>
      </c>
      <c r="J1263" s="18" t="n"/>
    </row>
    <row r="1264">
      <c r="A1264" s="19">
        <f>IF($B1264="","",COUNTA($B$9:$B1264))</f>
        <v/>
      </c>
      <c r="B1264" s="11" t="n"/>
      <c r="C1264" s="12" t="n"/>
      <c r="D1264" s="12" t="n"/>
      <c r="E1264" s="13" t="n"/>
      <c r="F1264" s="20">
        <f>IF($E1264="","",IF($C1264="دستمزد گروهی",IFERROR(VLOOKUP($E1264,WGTbl,2,0),"کد ناشناخته"),IFERROR(IF(VLOOKUP($E1264,AcctTblE,4,0)="","(بدون نام)",VLOOKUP($E1264,AcctTblE,4,0)),"کد ناشناخته")))</f>
        <v/>
      </c>
      <c r="G1264" s="15" t="n"/>
      <c r="H1264" s="21">
        <f>IF(OR($C1264&lt;&gt;"دستمزد گروهی",$D1264=""),"",SUMIFS(ShareAmt,ShareLink,$D1264))</f>
        <v/>
      </c>
      <c r="I1264" s="22">
        <f>IF($C1264&lt;&gt;"دستمزد گروهی","—",IF($H1264="","",IF(ROUND($H1264-IF($G1264="",0,$G1264),0)=0,"√","▲ مغایرت "&amp;TEXT(IF($G1264="",0,$G1264)-$H1264,"#,##0"))))</f>
        <v/>
      </c>
      <c r="J1264" s="18" t="n"/>
    </row>
    <row r="1265">
      <c r="A1265" s="10">
        <f>IF($B1265="","",COUNTA($B$9:$B1265))</f>
        <v/>
      </c>
      <c r="B1265" s="11" t="n"/>
      <c r="C1265" s="12" t="n"/>
      <c r="D1265" s="12" t="n"/>
      <c r="E1265" s="13" t="n"/>
      <c r="F1265" s="14">
        <f>IF($E1265="","",IF($C1265="دستمزد گروهی",IFERROR(VLOOKUP($E1265,WGTbl,2,0),"کد ناشناخته"),IFERROR(IF(VLOOKUP($E1265,AcctTblE,4,0)="","(بدون نام)",VLOOKUP($E1265,AcctTblE,4,0)),"کد ناشناخته")))</f>
        <v/>
      </c>
      <c r="G1265" s="15" t="n"/>
      <c r="H1265" s="16">
        <f>IF(OR($C1265&lt;&gt;"دستمزد گروهی",$D1265=""),"",SUMIFS(ShareAmt,ShareLink,$D1265))</f>
        <v/>
      </c>
      <c r="I1265" s="17">
        <f>IF($C1265&lt;&gt;"دستمزد گروهی","—",IF($H1265="","",IF(ROUND($H1265-IF($G1265="",0,$G1265),0)=0,"√","▲ مغایرت "&amp;TEXT(IF($G1265="",0,$G1265)-$H1265,"#,##0"))))</f>
        <v/>
      </c>
      <c r="J1265" s="18" t="n"/>
    </row>
    <row r="1266">
      <c r="A1266" s="19">
        <f>IF($B1266="","",COUNTA($B$9:$B1266))</f>
        <v/>
      </c>
      <c r="B1266" s="11" t="n"/>
      <c r="C1266" s="12" t="n"/>
      <c r="D1266" s="12" t="n"/>
      <c r="E1266" s="13" t="n"/>
      <c r="F1266" s="20">
        <f>IF($E1266="","",IF($C1266="دستمزد گروهی",IFERROR(VLOOKUP($E1266,WGTbl,2,0),"کد ناشناخته"),IFERROR(IF(VLOOKUP($E1266,AcctTblE,4,0)="","(بدون نام)",VLOOKUP($E1266,AcctTblE,4,0)),"کد ناشناخته")))</f>
        <v/>
      </c>
      <c r="G1266" s="15" t="n"/>
      <c r="H1266" s="21">
        <f>IF(OR($C1266&lt;&gt;"دستمزد گروهی",$D1266=""),"",SUMIFS(ShareAmt,ShareLink,$D1266))</f>
        <v/>
      </c>
      <c r="I1266" s="22">
        <f>IF($C1266&lt;&gt;"دستمزد گروهی","—",IF($H1266="","",IF(ROUND($H1266-IF($G1266="",0,$G1266),0)=0,"√","▲ مغایرت "&amp;TEXT(IF($G1266="",0,$G1266)-$H1266,"#,##0"))))</f>
        <v/>
      </c>
      <c r="J1266" s="18" t="n"/>
    </row>
    <row r="1267">
      <c r="A1267" s="10">
        <f>IF($B1267="","",COUNTA($B$9:$B1267))</f>
        <v/>
      </c>
      <c r="B1267" s="11" t="n"/>
      <c r="C1267" s="12" t="n"/>
      <c r="D1267" s="12" t="n"/>
      <c r="E1267" s="13" t="n"/>
      <c r="F1267" s="14">
        <f>IF($E1267="","",IF($C1267="دستمزد گروهی",IFERROR(VLOOKUP($E1267,WGTbl,2,0),"کد ناشناخته"),IFERROR(IF(VLOOKUP($E1267,AcctTblE,4,0)="","(بدون نام)",VLOOKUP($E1267,AcctTblE,4,0)),"کد ناشناخته")))</f>
        <v/>
      </c>
      <c r="G1267" s="15" t="n"/>
      <c r="H1267" s="16">
        <f>IF(OR($C1267&lt;&gt;"دستمزد گروهی",$D1267=""),"",SUMIFS(ShareAmt,ShareLink,$D1267))</f>
        <v/>
      </c>
      <c r="I1267" s="17">
        <f>IF($C1267&lt;&gt;"دستمزد گروهی","—",IF($H1267="","",IF(ROUND($H1267-IF($G1267="",0,$G1267),0)=0,"√","▲ مغایرت "&amp;TEXT(IF($G1267="",0,$G1267)-$H1267,"#,##0"))))</f>
        <v/>
      </c>
      <c r="J1267" s="18" t="n"/>
    </row>
    <row r="1268">
      <c r="A1268" s="19">
        <f>IF($B1268="","",COUNTA($B$9:$B1268))</f>
        <v/>
      </c>
      <c r="B1268" s="11" t="n"/>
      <c r="C1268" s="12" t="n"/>
      <c r="D1268" s="12" t="n"/>
      <c r="E1268" s="13" t="n"/>
      <c r="F1268" s="20">
        <f>IF($E1268="","",IF($C1268="دستمزد گروهی",IFERROR(VLOOKUP($E1268,WGTbl,2,0),"کد ناشناخته"),IFERROR(IF(VLOOKUP($E1268,AcctTblE,4,0)="","(بدون نام)",VLOOKUP($E1268,AcctTblE,4,0)),"کد ناشناخته")))</f>
        <v/>
      </c>
      <c r="G1268" s="15" t="n"/>
      <c r="H1268" s="21">
        <f>IF(OR($C1268&lt;&gt;"دستمزد گروهی",$D1268=""),"",SUMIFS(ShareAmt,ShareLink,$D1268))</f>
        <v/>
      </c>
      <c r="I1268" s="22">
        <f>IF($C1268&lt;&gt;"دستمزد گروهی","—",IF($H1268="","",IF(ROUND($H1268-IF($G1268="",0,$G1268),0)=0,"√","▲ مغایرت "&amp;TEXT(IF($G1268="",0,$G1268)-$H1268,"#,##0"))))</f>
        <v/>
      </c>
      <c r="J1268" s="18" t="n"/>
    </row>
    <row r="1269">
      <c r="A1269" s="10">
        <f>IF($B1269="","",COUNTA($B$9:$B1269))</f>
        <v/>
      </c>
      <c r="B1269" s="11" t="n"/>
      <c r="C1269" s="12" t="n"/>
      <c r="D1269" s="12" t="n"/>
      <c r="E1269" s="13" t="n"/>
      <c r="F1269" s="14">
        <f>IF($E1269="","",IF($C1269="دستمزد گروهی",IFERROR(VLOOKUP($E1269,WGTbl,2,0),"کد ناشناخته"),IFERROR(IF(VLOOKUP($E1269,AcctTblE,4,0)="","(بدون نام)",VLOOKUP($E1269,AcctTblE,4,0)),"کد ناشناخته")))</f>
        <v/>
      </c>
      <c r="G1269" s="15" t="n"/>
      <c r="H1269" s="16">
        <f>IF(OR($C1269&lt;&gt;"دستمزد گروهی",$D1269=""),"",SUMIFS(ShareAmt,ShareLink,$D1269))</f>
        <v/>
      </c>
      <c r="I1269" s="17">
        <f>IF($C1269&lt;&gt;"دستمزد گروهی","—",IF($H1269="","",IF(ROUND($H1269-IF($G1269="",0,$G1269),0)=0,"√","▲ مغایرت "&amp;TEXT(IF($G1269="",0,$G1269)-$H1269,"#,##0"))))</f>
        <v/>
      </c>
      <c r="J1269" s="18" t="n"/>
    </row>
    <row r="1270">
      <c r="A1270" s="19">
        <f>IF($B1270="","",COUNTA($B$9:$B1270))</f>
        <v/>
      </c>
      <c r="B1270" s="11" t="n"/>
      <c r="C1270" s="12" t="n"/>
      <c r="D1270" s="12" t="n"/>
      <c r="E1270" s="13" t="n"/>
      <c r="F1270" s="20">
        <f>IF($E1270="","",IF($C1270="دستمزد گروهی",IFERROR(VLOOKUP($E1270,WGTbl,2,0),"کد ناشناخته"),IFERROR(IF(VLOOKUP($E1270,AcctTblE,4,0)="","(بدون نام)",VLOOKUP($E1270,AcctTblE,4,0)),"کد ناشناخته")))</f>
        <v/>
      </c>
      <c r="G1270" s="15" t="n"/>
      <c r="H1270" s="21">
        <f>IF(OR($C1270&lt;&gt;"دستمزد گروهی",$D1270=""),"",SUMIFS(ShareAmt,ShareLink,$D1270))</f>
        <v/>
      </c>
      <c r="I1270" s="22">
        <f>IF($C1270&lt;&gt;"دستمزد گروهی","—",IF($H1270="","",IF(ROUND($H1270-IF($G1270="",0,$G1270),0)=0,"√","▲ مغایرت "&amp;TEXT(IF($G1270="",0,$G1270)-$H1270,"#,##0"))))</f>
        <v/>
      </c>
      <c r="J1270" s="18" t="n"/>
    </row>
    <row r="1271">
      <c r="A1271" s="10">
        <f>IF($B1271="","",COUNTA($B$9:$B1271))</f>
        <v/>
      </c>
      <c r="B1271" s="11" t="n"/>
      <c r="C1271" s="12" t="n"/>
      <c r="D1271" s="12" t="n"/>
      <c r="E1271" s="13" t="n"/>
      <c r="F1271" s="14">
        <f>IF($E1271="","",IF($C1271="دستمزد گروهی",IFERROR(VLOOKUP($E1271,WGTbl,2,0),"کد ناشناخته"),IFERROR(IF(VLOOKUP($E1271,AcctTblE,4,0)="","(بدون نام)",VLOOKUP($E1271,AcctTblE,4,0)),"کد ناشناخته")))</f>
        <v/>
      </c>
      <c r="G1271" s="15" t="n"/>
      <c r="H1271" s="16">
        <f>IF(OR($C1271&lt;&gt;"دستمزد گروهی",$D1271=""),"",SUMIFS(ShareAmt,ShareLink,$D1271))</f>
        <v/>
      </c>
      <c r="I1271" s="17">
        <f>IF($C1271&lt;&gt;"دستمزد گروهی","—",IF($H1271="","",IF(ROUND($H1271-IF($G1271="",0,$G1271),0)=0,"√","▲ مغایرت "&amp;TEXT(IF($G1271="",0,$G1271)-$H1271,"#,##0"))))</f>
        <v/>
      </c>
      <c r="J1271" s="18" t="n"/>
    </row>
    <row r="1272">
      <c r="A1272" s="19">
        <f>IF($B1272="","",COUNTA($B$9:$B1272))</f>
        <v/>
      </c>
      <c r="B1272" s="11" t="n"/>
      <c r="C1272" s="12" t="n"/>
      <c r="D1272" s="12" t="n"/>
      <c r="E1272" s="13" t="n"/>
      <c r="F1272" s="20">
        <f>IF($E1272="","",IF($C1272="دستمزد گروهی",IFERROR(VLOOKUP($E1272,WGTbl,2,0),"کد ناشناخته"),IFERROR(IF(VLOOKUP($E1272,AcctTblE,4,0)="","(بدون نام)",VLOOKUP($E1272,AcctTblE,4,0)),"کد ناشناخته")))</f>
        <v/>
      </c>
      <c r="G1272" s="15" t="n"/>
      <c r="H1272" s="21">
        <f>IF(OR($C1272&lt;&gt;"دستمزد گروهی",$D1272=""),"",SUMIFS(ShareAmt,ShareLink,$D1272))</f>
        <v/>
      </c>
      <c r="I1272" s="22">
        <f>IF($C1272&lt;&gt;"دستمزد گروهی","—",IF($H1272="","",IF(ROUND($H1272-IF($G1272="",0,$G1272),0)=0,"√","▲ مغایرت "&amp;TEXT(IF($G1272="",0,$G1272)-$H1272,"#,##0"))))</f>
        <v/>
      </c>
      <c r="J1272" s="18" t="n"/>
    </row>
    <row r="1273">
      <c r="A1273" s="10">
        <f>IF($B1273="","",COUNTA($B$9:$B1273))</f>
        <v/>
      </c>
      <c r="B1273" s="11" t="n"/>
      <c r="C1273" s="12" t="n"/>
      <c r="D1273" s="12" t="n"/>
      <c r="E1273" s="13" t="n"/>
      <c r="F1273" s="14">
        <f>IF($E1273="","",IF($C1273="دستمزد گروهی",IFERROR(VLOOKUP($E1273,WGTbl,2,0),"کد ناشناخته"),IFERROR(IF(VLOOKUP($E1273,AcctTblE,4,0)="","(بدون نام)",VLOOKUP($E1273,AcctTblE,4,0)),"کد ناشناخته")))</f>
        <v/>
      </c>
      <c r="G1273" s="15" t="n"/>
      <c r="H1273" s="16">
        <f>IF(OR($C1273&lt;&gt;"دستمزد گروهی",$D1273=""),"",SUMIFS(ShareAmt,ShareLink,$D1273))</f>
        <v/>
      </c>
      <c r="I1273" s="17">
        <f>IF($C1273&lt;&gt;"دستمزد گروهی","—",IF($H1273="","",IF(ROUND($H1273-IF($G1273="",0,$G1273),0)=0,"√","▲ مغایرت "&amp;TEXT(IF($G1273="",0,$G1273)-$H1273,"#,##0"))))</f>
        <v/>
      </c>
      <c r="J1273" s="18" t="n"/>
    </row>
    <row r="1274">
      <c r="A1274" s="19">
        <f>IF($B1274="","",COUNTA($B$9:$B1274))</f>
        <v/>
      </c>
      <c r="B1274" s="11" t="n"/>
      <c r="C1274" s="12" t="n"/>
      <c r="D1274" s="12" t="n"/>
      <c r="E1274" s="13" t="n"/>
      <c r="F1274" s="20">
        <f>IF($E1274="","",IF($C1274="دستمزد گروهی",IFERROR(VLOOKUP($E1274,WGTbl,2,0),"کد ناشناخته"),IFERROR(IF(VLOOKUP($E1274,AcctTblE,4,0)="","(بدون نام)",VLOOKUP($E1274,AcctTblE,4,0)),"کد ناشناخته")))</f>
        <v/>
      </c>
      <c r="G1274" s="15" t="n"/>
      <c r="H1274" s="21">
        <f>IF(OR($C1274&lt;&gt;"دستمزد گروهی",$D1274=""),"",SUMIFS(ShareAmt,ShareLink,$D1274))</f>
        <v/>
      </c>
      <c r="I1274" s="22">
        <f>IF($C1274&lt;&gt;"دستمزد گروهی","—",IF($H1274="","",IF(ROUND($H1274-IF($G1274="",0,$G1274),0)=0,"√","▲ مغایرت "&amp;TEXT(IF($G1274="",0,$G1274)-$H1274,"#,##0"))))</f>
        <v/>
      </c>
      <c r="J1274" s="18" t="n"/>
    </row>
    <row r="1275">
      <c r="A1275" s="10">
        <f>IF($B1275="","",COUNTA($B$9:$B1275))</f>
        <v/>
      </c>
      <c r="B1275" s="11" t="n"/>
      <c r="C1275" s="12" t="n"/>
      <c r="D1275" s="12" t="n"/>
      <c r="E1275" s="13" t="n"/>
      <c r="F1275" s="14">
        <f>IF($E1275="","",IF($C1275="دستمزد گروهی",IFERROR(VLOOKUP($E1275,WGTbl,2,0),"کد ناشناخته"),IFERROR(IF(VLOOKUP($E1275,AcctTblE,4,0)="","(بدون نام)",VLOOKUP($E1275,AcctTblE,4,0)),"کد ناشناخته")))</f>
        <v/>
      </c>
      <c r="G1275" s="15" t="n"/>
      <c r="H1275" s="16">
        <f>IF(OR($C1275&lt;&gt;"دستمزد گروهی",$D1275=""),"",SUMIFS(ShareAmt,ShareLink,$D1275))</f>
        <v/>
      </c>
      <c r="I1275" s="17">
        <f>IF($C1275&lt;&gt;"دستمزد گروهی","—",IF($H1275="","",IF(ROUND($H1275-IF($G1275="",0,$G1275),0)=0,"√","▲ مغایرت "&amp;TEXT(IF($G1275="",0,$G1275)-$H1275,"#,##0"))))</f>
        <v/>
      </c>
      <c r="J1275" s="18" t="n"/>
    </row>
    <row r="1276">
      <c r="A1276" s="19">
        <f>IF($B1276="","",COUNTA($B$9:$B1276))</f>
        <v/>
      </c>
      <c r="B1276" s="11" t="n"/>
      <c r="C1276" s="12" t="n"/>
      <c r="D1276" s="12" t="n"/>
      <c r="E1276" s="13" t="n"/>
      <c r="F1276" s="20">
        <f>IF($E1276="","",IF($C1276="دستمزد گروهی",IFERROR(VLOOKUP($E1276,WGTbl,2,0),"کد ناشناخته"),IFERROR(IF(VLOOKUP($E1276,AcctTblE,4,0)="","(بدون نام)",VLOOKUP($E1276,AcctTblE,4,0)),"کد ناشناخته")))</f>
        <v/>
      </c>
      <c r="G1276" s="15" t="n"/>
      <c r="H1276" s="21">
        <f>IF(OR($C1276&lt;&gt;"دستمزد گروهی",$D1276=""),"",SUMIFS(ShareAmt,ShareLink,$D1276))</f>
        <v/>
      </c>
      <c r="I1276" s="22">
        <f>IF($C1276&lt;&gt;"دستمزد گروهی","—",IF($H1276="","",IF(ROUND($H1276-IF($G1276="",0,$G1276),0)=0,"√","▲ مغایرت "&amp;TEXT(IF($G1276="",0,$G1276)-$H1276,"#,##0"))))</f>
        <v/>
      </c>
      <c r="J1276" s="18" t="n"/>
    </row>
    <row r="1277">
      <c r="A1277" s="10">
        <f>IF($B1277="","",COUNTA($B$9:$B1277))</f>
        <v/>
      </c>
      <c r="B1277" s="11" t="n"/>
      <c r="C1277" s="12" t="n"/>
      <c r="D1277" s="12" t="n"/>
      <c r="E1277" s="13" t="n"/>
      <c r="F1277" s="14">
        <f>IF($E1277="","",IF($C1277="دستمزد گروهی",IFERROR(VLOOKUP($E1277,WGTbl,2,0),"کد ناشناخته"),IFERROR(IF(VLOOKUP($E1277,AcctTblE,4,0)="","(بدون نام)",VLOOKUP($E1277,AcctTblE,4,0)),"کد ناشناخته")))</f>
        <v/>
      </c>
      <c r="G1277" s="15" t="n"/>
      <c r="H1277" s="16">
        <f>IF(OR($C1277&lt;&gt;"دستمزد گروهی",$D1277=""),"",SUMIFS(ShareAmt,ShareLink,$D1277))</f>
        <v/>
      </c>
      <c r="I1277" s="17">
        <f>IF($C1277&lt;&gt;"دستمزد گروهی","—",IF($H1277="","",IF(ROUND($H1277-IF($G1277="",0,$G1277),0)=0,"√","▲ مغایرت "&amp;TEXT(IF($G1277="",0,$G1277)-$H1277,"#,##0"))))</f>
        <v/>
      </c>
      <c r="J1277" s="18" t="n"/>
    </row>
    <row r="1278">
      <c r="A1278" s="19">
        <f>IF($B1278="","",COUNTA($B$9:$B1278))</f>
        <v/>
      </c>
      <c r="B1278" s="11" t="n"/>
      <c r="C1278" s="12" t="n"/>
      <c r="D1278" s="12" t="n"/>
      <c r="E1278" s="13" t="n"/>
      <c r="F1278" s="20">
        <f>IF($E1278="","",IF($C1278="دستمزد گروهی",IFERROR(VLOOKUP($E1278,WGTbl,2,0),"کد ناشناخته"),IFERROR(IF(VLOOKUP($E1278,AcctTblE,4,0)="","(بدون نام)",VLOOKUP($E1278,AcctTblE,4,0)),"کد ناشناخته")))</f>
        <v/>
      </c>
      <c r="G1278" s="15" t="n"/>
      <c r="H1278" s="21">
        <f>IF(OR($C1278&lt;&gt;"دستمزد گروهی",$D1278=""),"",SUMIFS(ShareAmt,ShareLink,$D1278))</f>
        <v/>
      </c>
      <c r="I1278" s="22">
        <f>IF($C1278&lt;&gt;"دستمزد گروهی","—",IF($H1278="","",IF(ROUND($H1278-IF($G1278="",0,$G1278),0)=0,"√","▲ مغایرت "&amp;TEXT(IF($G1278="",0,$G1278)-$H1278,"#,##0"))))</f>
        <v/>
      </c>
      <c r="J1278" s="18" t="n"/>
    </row>
    <row r="1279">
      <c r="A1279" s="10">
        <f>IF($B1279="","",COUNTA($B$9:$B1279))</f>
        <v/>
      </c>
      <c r="B1279" s="11" t="n"/>
      <c r="C1279" s="12" t="n"/>
      <c r="D1279" s="12" t="n"/>
      <c r="E1279" s="13" t="n"/>
      <c r="F1279" s="14">
        <f>IF($E1279="","",IF($C1279="دستمزد گروهی",IFERROR(VLOOKUP($E1279,WGTbl,2,0),"کد ناشناخته"),IFERROR(IF(VLOOKUP($E1279,AcctTblE,4,0)="","(بدون نام)",VLOOKUP($E1279,AcctTblE,4,0)),"کد ناشناخته")))</f>
        <v/>
      </c>
      <c r="G1279" s="15" t="n"/>
      <c r="H1279" s="16">
        <f>IF(OR($C1279&lt;&gt;"دستمزد گروهی",$D1279=""),"",SUMIFS(ShareAmt,ShareLink,$D1279))</f>
        <v/>
      </c>
      <c r="I1279" s="17">
        <f>IF($C1279&lt;&gt;"دستمزد گروهی","—",IF($H1279="","",IF(ROUND($H1279-IF($G1279="",0,$G1279),0)=0,"√","▲ مغایرت "&amp;TEXT(IF($G1279="",0,$G1279)-$H1279,"#,##0"))))</f>
        <v/>
      </c>
      <c r="J1279" s="18" t="n"/>
    </row>
    <row r="1280">
      <c r="A1280" s="19">
        <f>IF($B1280="","",COUNTA($B$9:$B1280))</f>
        <v/>
      </c>
      <c r="B1280" s="11" t="n"/>
      <c r="C1280" s="12" t="n"/>
      <c r="D1280" s="12" t="n"/>
      <c r="E1280" s="13" t="n"/>
      <c r="F1280" s="20">
        <f>IF($E1280="","",IF($C1280="دستمزد گروهی",IFERROR(VLOOKUP($E1280,WGTbl,2,0),"کد ناشناخته"),IFERROR(IF(VLOOKUP($E1280,AcctTblE,4,0)="","(بدون نام)",VLOOKUP($E1280,AcctTblE,4,0)),"کد ناشناخته")))</f>
        <v/>
      </c>
      <c r="G1280" s="15" t="n"/>
      <c r="H1280" s="21">
        <f>IF(OR($C1280&lt;&gt;"دستمزد گروهی",$D1280=""),"",SUMIFS(ShareAmt,ShareLink,$D1280))</f>
        <v/>
      </c>
      <c r="I1280" s="22">
        <f>IF($C1280&lt;&gt;"دستمزد گروهی","—",IF($H1280="","",IF(ROUND($H1280-IF($G1280="",0,$G1280),0)=0,"√","▲ مغایرت "&amp;TEXT(IF($G1280="",0,$G1280)-$H1280,"#,##0"))))</f>
        <v/>
      </c>
      <c r="J1280" s="18" t="n"/>
    </row>
    <row r="1281">
      <c r="A1281" s="10">
        <f>IF($B1281="","",COUNTA($B$9:$B1281))</f>
        <v/>
      </c>
      <c r="B1281" s="11" t="n"/>
      <c r="C1281" s="12" t="n"/>
      <c r="D1281" s="12" t="n"/>
      <c r="E1281" s="13" t="n"/>
      <c r="F1281" s="14">
        <f>IF($E1281="","",IF($C1281="دستمزد گروهی",IFERROR(VLOOKUP($E1281,WGTbl,2,0),"کد ناشناخته"),IFERROR(IF(VLOOKUP($E1281,AcctTblE,4,0)="","(بدون نام)",VLOOKUP($E1281,AcctTblE,4,0)),"کد ناشناخته")))</f>
        <v/>
      </c>
      <c r="G1281" s="15" t="n"/>
      <c r="H1281" s="16">
        <f>IF(OR($C1281&lt;&gt;"دستمزد گروهی",$D1281=""),"",SUMIFS(ShareAmt,ShareLink,$D1281))</f>
        <v/>
      </c>
      <c r="I1281" s="17">
        <f>IF($C1281&lt;&gt;"دستمزد گروهی","—",IF($H1281="","",IF(ROUND($H1281-IF($G1281="",0,$G1281),0)=0,"√","▲ مغایرت "&amp;TEXT(IF($G1281="",0,$G1281)-$H1281,"#,##0"))))</f>
        <v/>
      </c>
      <c r="J1281" s="18" t="n"/>
    </row>
    <row r="1282">
      <c r="A1282" s="19">
        <f>IF($B1282="","",COUNTA($B$9:$B1282))</f>
        <v/>
      </c>
      <c r="B1282" s="11" t="n"/>
      <c r="C1282" s="12" t="n"/>
      <c r="D1282" s="12" t="n"/>
      <c r="E1282" s="13" t="n"/>
      <c r="F1282" s="20">
        <f>IF($E1282="","",IF($C1282="دستمزد گروهی",IFERROR(VLOOKUP($E1282,WGTbl,2,0),"کد ناشناخته"),IFERROR(IF(VLOOKUP($E1282,AcctTblE,4,0)="","(بدون نام)",VLOOKUP($E1282,AcctTblE,4,0)),"کد ناشناخته")))</f>
        <v/>
      </c>
      <c r="G1282" s="15" t="n"/>
      <c r="H1282" s="21">
        <f>IF(OR($C1282&lt;&gt;"دستمزد گروهی",$D1282=""),"",SUMIFS(ShareAmt,ShareLink,$D1282))</f>
        <v/>
      </c>
      <c r="I1282" s="22">
        <f>IF($C1282&lt;&gt;"دستمزد گروهی","—",IF($H1282="","",IF(ROUND($H1282-IF($G1282="",0,$G1282),0)=0,"√","▲ مغایرت "&amp;TEXT(IF($G1282="",0,$G1282)-$H1282,"#,##0"))))</f>
        <v/>
      </c>
      <c r="J1282" s="18" t="n"/>
    </row>
    <row r="1283">
      <c r="A1283" s="10">
        <f>IF($B1283="","",COUNTA($B$9:$B1283))</f>
        <v/>
      </c>
      <c r="B1283" s="11" t="n"/>
      <c r="C1283" s="12" t="n"/>
      <c r="D1283" s="12" t="n"/>
      <c r="E1283" s="13" t="n"/>
      <c r="F1283" s="14">
        <f>IF($E1283="","",IF($C1283="دستمزد گروهی",IFERROR(VLOOKUP($E1283,WGTbl,2,0),"کد ناشناخته"),IFERROR(IF(VLOOKUP($E1283,AcctTblE,4,0)="","(بدون نام)",VLOOKUP($E1283,AcctTblE,4,0)),"کد ناشناخته")))</f>
        <v/>
      </c>
      <c r="G1283" s="15" t="n"/>
      <c r="H1283" s="16">
        <f>IF(OR($C1283&lt;&gt;"دستمزد گروهی",$D1283=""),"",SUMIFS(ShareAmt,ShareLink,$D1283))</f>
        <v/>
      </c>
      <c r="I1283" s="17">
        <f>IF($C1283&lt;&gt;"دستمزد گروهی","—",IF($H1283="","",IF(ROUND($H1283-IF($G1283="",0,$G1283),0)=0,"√","▲ مغایرت "&amp;TEXT(IF($G1283="",0,$G1283)-$H1283,"#,##0"))))</f>
        <v/>
      </c>
      <c r="J1283" s="18" t="n"/>
    </row>
    <row r="1284">
      <c r="A1284" s="19">
        <f>IF($B1284="","",COUNTA($B$9:$B1284))</f>
        <v/>
      </c>
      <c r="B1284" s="11" t="n"/>
      <c r="C1284" s="12" t="n"/>
      <c r="D1284" s="12" t="n"/>
      <c r="E1284" s="13" t="n"/>
      <c r="F1284" s="20">
        <f>IF($E1284="","",IF($C1284="دستمزد گروهی",IFERROR(VLOOKUP($E1284,WGTbl,2,0),"کد ناشناخته"),IFERROR(IF(VLOOKUP($E1284,AcctTblE,4,0)="","(بدون نام)",VLOOKUP($E1284,AcctTblE,4,0)),"کد ناشناخته")))</f>
        <v/>
      </c>
      <c r="G1284" s="15" t="n"/>
      <c r="H1284" s="21">
        <f>IF(OR($C1284&lt;&gt;"دستمزد گروهی",$D1284=""),"",SUMIFS(ShareAmt,ShareLink,$D1284))</f>
        <v/>
      </c>
      <c r="I1284" s="22">
        <f>IF($C1284&lt;&gt;"دستمزد گروهی","—",IF($H1284="","",IF(ROUND($H1284-IF($G1284="",0,$G1284),0)=0,"√","▲ مغایرت "&amp;TEXT(IF($G1284="",0,$G1284)-$H1284,"#,##0"))))</f>
        <v/>
      </c>
      <c r="J1284" s="18" t="n"/>
    </row>
    <row r="1285">
      <c r="A1285" s="10">
        <f>IF($B1285="","",COUNTA($B$9:$B1285))</f>
        <v/>
      </c>
      <c r="B1285" s="11" t="n"/>
      <c r="C1285" s="12" t="n"/>
      <c r="D1285" s="12" t="n"/>
      <c r="E1285" s="13" t="n"/>
      <c r="F1285" s="14">
        <f>IF($E1285="","",IF($C1285="دستمزد گروهی",IFERROR(VLOOKUP($E1285,WGTbl,2,0),"کد ناشناخته"),IFERROR(IF(VLOOKUP($E1285,AcctTblE,4,0)="","(بدون نام)",VLOOKUP($E1285,AcctTblE,4,0)),"کد ناشناخته")))</f>
        <v/>
      </c>
      <c r="G1285" s="15" t="n"/>
      <c r="H1285" s="16">
        <f>IF(OR($C1285&lt;&gt;"دستمزد گروهی",$D1285=""),"",SUMIFS(ShareAmt,ShareLink,$D1285))</f>
        <v/>
      </c>
      <c r="I1285" s="17">
        <f>IF($C1285&lt;&gt;"دستمزد گروهی","—",IF($H1285="","",IF(ROUND($H1285-IF($G1285="",0,$G1285),0)=0,"√","▲ مغایرت "&amp;TEXT(IF($G1285="",0,$G1285)-$H1285,"#,##0"))))</f>
        <v/>
      </c>
      <c r="J1285" s="18" t="n"/>
    </row>
    <row r="1286">
      <c r="A1286" s="19">
        <f>IF($B1286="","",COUNTA($B$9:$B1286))</f>
        <v/>
      </c>
      <c r="B1286" s="11" t="n"/>
      <c r="C1286" s="12" t="n"/>
      <c r="D1286" s="12" t="n"/>
      <c r="E1286" s="13" t="n"/>
      <c r="F1286" s="20">
        <f>IF($E1286="","",IF($C1286="دستمزد گروهی",IFERROR(VLOOKUP($E1286,WGTbl,2,0),"کد ناشناخته"),IFERROR(IF(VLOOKUP($E1286,AcctTblE,4,0)="","(بدون نام)",VLOOKUP($E1286,AcctTblE,4,0)),"کد ناشناخته")))</f>
        <v/>
      </c>
      <c r="G1286" s="15" t="n"/>
      <c r="H1286" s="21">
        <f>IF(OR($C1286&lt;&gt;"دستمزد گروهی",$D1286=""),"",SUMIFS(ShareAmt,ShareLink,$D1286))</f>
        <v/>
      </c>
      <c r="I1286" s="22">
        <f>IF($C1286&lt;&gt;"دستمزد گروهی","—",IF($H1286="","",IF(ROUND($H1286-IF($G1286="",0,$G1286),0)=0,"√","▲ مغایرت "&amp;TEXT(IF($G1286="",0,$G1286)-$H1286,"#,##0"))))</f>
        <v/>
      </c>
      <c r="J1286" s="18" t="n"/>
    </row>
    <row r="1287">
      <c r="A1287" s="10">
        <f>IF($B1287="","",COUNTA($B$9:$B1287))</f>
        <v/>
      </c>
      <c r="B1287" s="11" t="n"/>
      <c r="C1287" s="12" t="n"/>
      <c r="D1287" s="12" t="n"/>
      <c r="E1287" s="13" t="n"/>
      <c r="F1287" s="14">
        <f>IF($E1287="","",IF($C1287="دستمزد گروهی",IFERROR(VLOOKUP($E1287,WGTbl,2,0),"کد ناشناخته"),IFERROR(IF(VLOOKUP($E1287,AcctTblE,4,0)="","(بدون نام)",VLOOKUP($E1287,AcctTblE,4,0)),"کد ناشناخته")))</f>
        <v/>
      </c>
      <c r="G1287" s="15" t="n"/>
      <c r="H1287" s="16">
        <f>IF(OR($C1287&lt;&gt;"دستمزد گروهی",$D1287=""),"",SUMIFS(ShareAmt,ShareLink,$D1287))</f>
        <v/>
      </c>
      <c r="I1287" s="17">
        <f>IF($C1287&lt;&gt;"دستمزد گروهی","—",IF($H1287="","",IF(ROUND($H1287-IF($G1287="",0,$G1287),0)=0,"√","▲ مغایرت "&amp;TEXT(IF($G1287="",0,$G1287)-$H1287,"#,##0"))))</f>
        <v/>
      </c>
      <c r="J1287" s="18" t="n"/>
    </row>
    <row r="1288">
      <c r="A1288" s="19">
        <f>IF($B1288="","",COUNTA($B$9:$B1288))</f>
        <v/>
      </c>
      <c r="B1288" s="11" t="n"/>
      <c r="C1288" s="12" t="n"/>
      <c r="D1288" s="12" t="n"/>
      <c r="E1288" s="13" t="n"/>
      <c r="F1288" s="20">
        <f>IF($E1288="","",IF($C1288="دستمزد گروهی",IFERROR(VLOOKUP($E1288,WGTbl,2,0),"کد ناشناخته"),IFERROR(IF(VLOOKUP($E1288,AcctTblE,4,0)="","(بدون نام)",VLOOKUP($E1288,AcctTblE,4,0)),"کد ناشناخته")))</f>
        <v/>
      </c>
      <c r="G1288" s="15" t="n"/>
      <c r="H1288" s="21">
        <f>IF(OR($C1288&lt;&gt;"دستمزد گروهی",$D1288=""),"",SUMIFS(ShareAmt,ShareLink,$D1288))</f>
        <v/>
      </c>
      <c r="I1288" s="22">
        <f>IF($C1288&lt;&gt;"دستمزد گروهی","—",IF($H1288="","",IF(ROUND($H1288-IF($G1288="",0,$G1288),0)=0,"√","▲ مغایرت "&amp;TEXT(IF($G1288="",0,$G1288)-$H1288,"#,##0"))))</f>
        <v/>
      </c>
      <c r="J1288" s="18" t="n"/>
    </row>
    <row r="1289">
      <c r="A1289" s="10">
        <f>IF($B1289="","",COUNTA($B$9:$B1289))</f>
        <v/>
      </c>
      <c r="B1289" s="11" t="n"/>
      <c r="C1289" s="12" t="n"/>
      <c r="D1289" s="12" t="n"/>
      <c r="E1289" s="13" t="n"/>
      <c r="F1289" s="14">
        <f>IF($E1289="","",IF($C1289="دستمزد گروهی",IFERROR(VLOOKUP($E1289,WGTbl,2,0),"کد ناشناخته"),IFERROR(IF(VLOOKUP($E1289,AcctTblE,4,0)="","(بدون نام)",VLOOKUP($E1289,AcctTblE,4,0)),"کد ناشناخته")))</f>
        <v/>
      </c>
      <c r="G1289" s="15" t="n"/>
      <c r="H1289" s="16">
        <f>IF(OR($C1289&lt;&gt;"دستمزد گروهی",$D1289=""),"",SUMIFS(ShareAmt,ShareLink,$D1289))</f>
        <v/>
      </c>
      <c r="I1289" s="17">
        <f>IF($C1289&lt;&gt;"دستمزد گروهی","—",IF($H1289="","",IF(ROUND($H1289-IF($G1289="",0,$G1289),0)=0,"√","▲ مغایرت "&amp;TEXT(IF($G1289="",0,$G1289)-$H1289,"#,##0"))))</f>
        <v/>
      </c>
      <c r="J1289" s="18" t="n"/>
    </row>
    <row r="1290">
      <c r="A1290" s="19">
        <f>IF($B1290="","",COUNTA($B$9:$B1290))</f>
        <v/>
      </c>
      <c r="B1290" s="11" t="n"/>
      <c r="C1290" s="12" t="n"/>
      <c r="D1290" s="12" t="n"/>
      <c r="E1290" s="13" t="n"/>
      <c r="F1290" s="20">
        <f>IF($E1290="","",IF($C1290="دستمزد گروهی",IFERROR(VLOOKUP($E1290,WGTbl,2,0),"کد ناشناخته"),IFERROR(IF(VLOOKUP($E1290,AcctTblE,4,0)="","(بدون نام)",VLOOKUP($E1290,AcctTblE,4,0)),"کد ناشناخته")))</f>
        <v/>
      </c>
      <c r="G1290" s="15" t="n"/>
      <c r="H1290" s="21">
        <f>IF(OR($C1290&lt;&gt;"دستمزد گروهی",$D1290=""),"",SUMIFS(ShareAmt,ShareLink,$D1290))</f>
        <v/>
      </c>
      <c r="I1290" s="22">
        <f>IF($C1290&lt;&gt;"دستمزد گروهی","—",IF($H1290="","",IF(ROUND($H1290-IF($G1290="",0,$G1290),0)=0,"√","▲ مغایرت "&amp;TEXT(IF($G1290="",0,$G1290)-$H1290,"#,##0"))))</f>
        <v/>
      </c>
      <c r="J1290" s="18" t="n"/>
    </row>
    <row r="1291">
      <c r="A1291" s="10">
        <f>IF($B1291="","",COUNTA($B$9:$B1291))</f>
        <v/>
      </c>
      <c r="B1291" s="11" t="n"/>
      <c r="C1291" s="12" t="n"/>
      <c r="D1291" s="12" t="n"/>
      <c r="E1291" s="13" t="n"/>
      <c r="F1291" s="14">
        <f>IF($E1291="","",IF($C1291="دستمزد گروهی",IFERROR(VLOOKUP($E1291,WGTbl,2,0),"کد ناشناخته"),IFERROR(IF(VLOOKUP($E1291,AcctTblE,4,0)="","(بدون نام)",VLOOKUP($E1291,AcctTblE,4,0)),"کد ناشناخته")))</f>
        <v/>
      </c>
      <c r="G1291" s="15" t="n"/>
      <c r="H1291" s="16">
        <f>IF(OR($C1291&lt;&gt;"دستمزد گروهی",$D1291=""),"",SUMIFS(ShareAmt,ShareLink,$D1291))</f>
        <v/>
      </c>
      <c r="I1291" s="17">
        <f>IF($C1291&lt;&gt;"دستمزد گروهی","—",IF($H1291="","",IF(ROUND($H1291-IF($G1291="",0,$G1291),0)=0,"√","▲ مغایرت "&amp;TEXT(IF($G1291="",0,$G1291)-$H1291,"#,##0"))))</f>
        <v/>
      </c>
      <c r="J1291" s="18" t="n"/>
    </row>
    <row r="1292">
      <c r="A1292" s="19">
        <f>IF($B1292="","",COUNTA($B$9:$B1292))</f>
        <v/>
      </c>
      <c r="B1292" s="11" t="n"/>
      <c r="C1292" s="12" t="n"/>
      <c r="D1292" s="12" t="n"/>
      <c r="E1292" s="13" t="n"/>
      <c r="F1292" s="20">
        <f>IF($E1292="","",IF($C1292="دستمزد گروهی",IFERROR(VLOOKUP($E1292,WGTbl,2,0),"کد ناشناخته"),IFERROR(IF(VLOOKUP($E1292,AcctTblE,4,0)="","(بدون نام)",VLOOKUP($E1292,AcctTblE,4,0)),"کد ناشناخته")))</f>
        <v/>
      </c>
      <c r="G1292" s="15" t="n"/>
      <c r="H1292" s="21">
        <f>IF(OR($C1292&lt;&gt;"دستمزد گروهی",$D1292=""),"",SUMIFS(ShareAmt,ShareLink,$D1292))</f>
        <v/>
      </c>
      <c r="I1292" s="22">
        <f>IF($C1292&lt;&gt;"دستمزد گروهی","—",IF($H1292="","",IF(ROUND($H1292-IF($G1292="",0,$G1292),0)=0,"√","▲ مغایرت "&amp;TEXT(IF($G1292="",0,$G1292)-$H1292,"#,##0"))))</f>
        <v/>
      </c>
      <c r="J1292" s="18" t="n"/>
    </row>
    <row r="1293">
      <c r="A1293" s="10">
        <f>IF($B1293="","",COUNTA($B$9:$B1293))</f>
        <v/>
      </c>
      <c r="B1293" s="11" t="n"/>
      <c r="C1293" s="12" t="n"/>
      <c r="D1293" s="12" t="n"/>
      <c r="E1293" s="13" t="n"/>
      <c r="F1293" s="14">
        <f>IF($E1293="","",IF($C1293="دستمزد گروهی",IFERROR(VLOOKUP($E1293,WGTbl,2,0),"کد ناشناخته"),IFERROR(IF(VLOOKUP($E1293,AcctTblE,4,0)="","(بدون نام)",VLOOKUP($E1293,AcctTblE,4,0)),"کد ناشناخته")))</f>
        <v/>
      </c>
      <c r="G1293" s="15" t="n"/>
      <c r="H1293" s="16">
        <f>IF(OR($C1293&lt;&gt;"دستمزد گروهی",$D1293=""),"",SUMIFS(ShareAmt,ShareLink,$D1293))</f>
        <v/>
      </c>
      <c r="I1293" s="17">
        <f>IF($C1293&lt;&gt;"دستمزد گروهی","—",IF($H1293="","",IF(ROUND($H1293-IF($G1293="",0,$G1293),0)=0,"√","▲ مغایرت "&amp;TEXT(IF($G1293="",0,$G1293)-$H1293,"#,##0"))))</f>
        <v/>
      </c>
      <c r="J1293" s="18" t="n"/>
    </row>
    <row r="1294">
      <c r="A1294" s="19">
        <f>IF($B1294="","",COUNTA($B$9:$B1294))</f>
        <v/>
      </c>
      <c r="B1294" s="11" t="n"/>
      <c r="C1294" s="12" t="n"/>
      <c r="D1294" s="12" t="n"/>
      <c r="E1294" s="13" t="n"/>
      <c r="F1294" s="20">
        <f>IF($E1294="","",IF($C1294="دستمزد گروهی",IFERROR(VLOOKUP($E1294,WGTbl,2,0),"کد ناشناخته"),IFERROR(IF(VLOOKUP($E1294,AcctTblE,4,0)="","(بدون نام)",VLOOKUP($E1294,AcctTblE,4,0)),"کد ناشناخته")))</f>
        <v/>
      </c>
      <c r="G1294" s="15" t="n"/>
      <c r="H1294" s="21">
        <f>IF(OR($C1294&lt;&gt;"دستمزد گروهی",$D1294=""),"",SUMIFS(ShareAmt,ShareLink,$D1294))</f>
        <v/>
      </c>
      <c r="I1294" s="22">
        <f>IF($C1294&lt;&gt;"دستمزد گروهی","—",IF($H1294="","",IF(ROUND($H1294-IF($G1294="",0,$G1294),0)=0,"√","▲ مغایرت "&amp;TEXT(IF($G1294="",0,$G1294)-$H1294,"#,##0"))))</f>
        <v/>
      </c>
      <c r="J1294" s="18" t="n"/>
    </row>
    <row r="1295">
      <c r="A1295" s="10">
        <f>IF($B1295="","",COUNTA($B$9:$B1295))</f>
        <v/>
      </c>
      <c r="B1295" s="11" t="n"/>
      <c r="C1295" s="12" t="n"/>
      <c r="D1295" s="12" t="n"/>
      <c r="E1295" s="13" t="n"/>
      <c r="F1295" s="14">
        <f>IF($E1295="","",IF($C1295="دستمزد گروهی",IFERROR(VLOOKUP($E1295,WGTbl,2,0),"کد ناشناخته"),IFERROR(IF(VLOOKUP($E1295,AcctTblE,4,0)="","(بدون نام)",VLOOKUP($E1295,AcctTblE,4,0)),"کد ناشناخته")))</f>
        <v/>
      </c>
      <c r="G1295" s="15" t="n"/>
      <c r="H1295" s="16">
        <f>IF(OR($C1295&lt;&gt;"دستمزد گروهی",$D1295=""),"",SUMIFS(ShareAmt,ShareLink,$D1295))</f>
        <v/>
      </c>
      <c r="I1295" s="17">
        <f>IF($C1295&lt;&gt;"دستمزد گروهی","—",IF($H1295="","",IF(ROUND($H1295-IF($G1295="",0,$G1295),0)=0,"√","▲ مغایرت "&amp;TEXT(IF($G1295="",0,$G1295)-$H1295,"#,##0"))))</f>
        <v/>
      </c>
      <c r="J1295" s="18" t="n"/>
    </row>
    <row r="1296">
      <c r="A1296" s="19">
        <f>IF($B1296="","",COUNTA($B$9:$B1296))</f>
        <v/>
      </c>
      <c r="B1296" s="11" t="n"/>
      <c r="C1296" s="12" t="n"/>
      <c r="D1296" s="12" t="n"/>
      <c r="E1296" s="13" t="n"/>
      <c r="F1296" s="20">
        <f>IF($E1296="","",IF($C1296="دستمزد گروهی",IFERROR(VLOOKUP($E1296,WGTbl,2,0),"کد ناشناخته"),IFERROR(IF(VLOOKUP($E1296,AcctTblE,4,0)="","(بدون نام)",VLOOKUP($E1296,AcctTblE,4,0)),"کد ناشناخته")))</f>
        <v/>
      </c>
      <c r="G1296" s="15" t="n"/>
      <c r="H1296" s="21">
        <f>IF(OR($C1296&lt;&gt;"دستمزد گروهی",$D1296=""),"",SUMIFS(ShareAmt,ShareLink,$D1296))</f>
        <v/>
      </c>
      <c r="I1296" s="22">
        <f>IF($C1296&lt;&gt;"دستمزد گروهی","—",IF($H1296="","",IF(ROUND($H1296-IF($G1296="",0,$G1296),0)=0,"√","▲ مغایرت "&amp;TEXT(IF($G1296="",0,$G1296)-$H1296,"#,##0"))))</f>
        <v/>
      </c>
      <c r="J1296" s="18" t="n"/>
    </row>
    <row r="1297">
      <c r="A1297" s="10">
        <f>IF($B1297="","",COUNTA($B$9:$B1297))</f>
        <v/>
      </c>
      <c r="B1297" s="11" t="n"/>
      <c r="C1297" s="12" t="n"/>
      <c r="D1297" s="12" t="n"/>
      <c r="E1297" s="13" t="n"/>
      <c r="F1297" s="14">
        <f>IF($E1297="","",IF($C1297="دستمزد گروهی",IFERROR(VLOOKUP($E1297,WGTbl,2,0),"کد ناشناخته"),IFERROR(IF(VLOOKUP($E1297,AcctTblE,4,0)="","(بدون نام)",VLOOKUP($E1297,AcctTblE,4,0)),"کد ناشناخته")))</f>
        <v/>
      </c>
      <c r="G1297" s="15" t="n"/>
      <c r="H1297" s="16">
        <f>IF(OR($C1297&lt;&gt;"دستمزد گروهی",$D1297=""),"",SUMIFS(ShareAmt,ShareLink,$D1297))</f>
        <v/>
      </c>
      <c r="I1297" s="17">
        <f>IF($C1297&lt;&gt;"دستمزد گروهی","—",IF($H1297="","",IF(ROUND($H1297-IF($G1297="",0,$G1297),0)=0,"√","▲ مغایرت "&amp;TEXT(IF($G1297="",0,$G1297)-$H1297,"#,##0"))))</f>
        <v/>
      </c>
      <c r="J1297" s="18" t="n"/>
    </row>
    <row r="1298">
      <c r="A1298" s="19">
        <f>IF($B1298="","",COUNTA($B$9:$B1298))</f>
        <v/>
      </c>
      <c r="B1298" s="11" t="n"/>
      <c r="C1298" s="12" t="n"/>
      <c r="D1298" s="12" t="n"/>
      <c r="E1298" s="13" t="n"/>
      <c r="F1298" s="20">
        <f>IF($E1298="","",IF($C1298="دستمزد گروهی",IFERROR(VLOOKUP($E1298,WGTbl,2,0),"کد ناشناخته"),IFERROR(IF(VLOOKUP($E1298,AcctTblE,4,0)="","(بدون نام)",VLOOKUP($E1298,AcctTblE,4,0)),"کد ناشناخته")))</f>
        <v/>
      </c>
      <c r="G1298" s="15" t="n"/>
      <c r="H1298" s="21">
        <f>IF(OR($C1298&lt;&gt;"دستمزد گروهی",$D1298=""),"",SUMIFS(ShareAmt,ShareLink,$D1298))</f>
        <v/>
      </c>
      <c r="I1298" s="22">
        <f>IF($C1298&lt;&gt;"دستمزد گروهی","—",IF($H1298="","",IF(ROUND($H1298-IF($G1298="",0,$G1298),0)=0,"√","▲ مغایرت "&amp;TEXT(IF($G1298="",0,$G1298)-$H1298,"#,##0"))))</f>
        <v/>
      </c>
      <c r="J1298" s="18" t="n"/>
    </row>
    <row r="1299">
      <c r="A1299" s="10">
        <f>IF($B1299="","",COUNTA($B$9:$B1299))</f>
        <v/>
      </c>
      <c r="B1299" s="11" t="n"/>
      <c r="C1299" s="12" t="n"/>
      <c r="D1299" s="12" t="n"/>
      <c r="E1299" s="13" t="n"/>
      <c r="F1299" s="14">
        <f>IF($E1299="","",IF($C1299="دستمزد گروهی",IFERROR(VLOOKUP($E1299,WGTbl,2,0),"کد ناشناخته"),IFERROR(IF(VLOOKUP($E1299,AcctTblE,4,0)="","(بدون نام)",VLOOKUP($E1299,AcctTblE,4,0)),"کد ناشناخته")))</f>
        <v/>
      </c>
      <c r="G1299" s="15" t="n"/>
      <c r="H1299" s="16">
        <f>IF(OR($C1299&lt;&gt;"دستمزد گروهی",$D1299=""),"",SUMIFS(ShareAmt,ShareLink,$D1299))</f>
        <v/>
      </c>
      <c r="I1299" s="17">
        <f>IF($C1299&lt;&gt;"دستمزد گروهی","—",IF($H1299="","",IF(ROUND($H1299-IF($G1299="",0,$G1299),0)=0,"√","▲ مغایرت "&amp;TEXT(IF($G1299="",0,$G1299)-$H1299,"#,##0"))))</f>
        <v/>
      </c>
      <c r="J1299" s="18" t="n"/>
    </row>
    <row r="1300">
      <c r="A1300" s="19">
        <f>IF($B1300="","",COUNTA($B$9:$B1300))</f>
        <v/>
      </c>
      <c r="B1300" s="11" t="n"/>
      <c r="C1300" s="12" t="n"/>
      <c r="D1300" s="12" t="n"/>
      <c r="E1300" s="13" t="n"/>
      <c r="F1300" s="20">
        <f>IF($E1300="","",IF($C1300="دستمزد گروهی",IFERROR(VLOOKUP($E1300,WGTbl,2,0),"کد ناشناخته"),IFERROR(IF(VLOOKUP($E1300,AcctTblE,4,0)="","(بدون نام)",VLOOKUP($E1300,AcctTblE,4,0)),"کد ناشناخته")))</f>
        <v/>
      </c>
      <c r="G1300" s="15" t="n"/>
      <c r="H1300" s="21">
        <f>IF(OR($C1300&lt;&gt;"دستمزد گروهی",$D1300=""),"",SUMIFS(ShareAmt,ShareLink,$D1300))</f>
        <v/>
      </c>
      <c r="I1300" s="22">
        <f>IF($C1300&lt;&gt;"دستمزد گروهی","—",IF($H1300="","",IF(ROUND($H1300-IF($G1300="",0,$G1300),0)=0,"√","▲ مغایرت "&amp;TEXT(IF($G1300="",0,$G1300)-$H1300,"#,##0"))))</f>
        <v/>
      </c>
      <c r="J1300" s="18" t="n"/>
    </row>
    <row r="1301">
      <c r="A1301" s="10">
        <f>IF($B1301="","",COUNTA($B$9:$B1301))</f>
        <v/>
      </c>
      <c r="B1301" s="11" t="n"/>
      <c r="C1301" s="12" t="n"/>
      <c r="D1301" s="12" t="n"/>
      <c r="E1301" s="13" t="n"/>
      <c r="F1301" s="14">
        <f>IF($E1301="","",IF($C1301="دستمزد گروهی",IFERROR(VLOOKUP($E1301,WGTbl,2,0),"کد ناشناخته"),IFERROR(IF(VLOOKUP($E1301,AcctTblE,4,0)="","(بدون نام)",VLOOKUP($E1301,AcctTblE,4,0)),"کد ناشناخته")))</f>
        <v/>
      </c>
      <c r="G1301" s="15" t="n"/>
      <c r="H1301" s="16">
        <f>IF(OR($C1301&lt;&gt;"دستمزد گروهی",$D1301=""),"",SUMIFS(ShareAmt,ShareLink,$D1301))</f>
        <v/>
      </c>
      <c r="I1301" s="17">
        <f>IF($C1301&lt;&gt;"دستمزد گروهی","—",IF($H1301="","",IF(ROUND($H1301-IF($G1301="",0,$G1301),0)=0,"√","▲ مغایرت "&amp;TEXT(IF($G1301="",0,$G1301)-$H1301,"#,##0"))))</f>
        <v/>
      </c>
      <c r="J1301" s="18" t="n"/>
    </row>
    <row r="1302">
      <c r="A1302" s="19">
        <f>IF($B1302="","",COUNTA($B$9:$B1302))</f>
        <v/>
      </c>
      <c r="B1302" s="11" t="n"/>
      <c r="C1302" s="12" t="n"/>
      <c r="D1302" s="12" t="n"/>
      <c r="E1302" s="13" t="n"/>
      <c r="F1302" s="20">
        <f>IF($E1302="","",IF($C1302="دستمزد گروهی",IFERROR(VLOOKUP($E1302,WGTbl,2,0),"کد ناشناخته"),IFERROR(IF(VLOOKUP($E1302,AcctTblE,4,0)="","(بدون نام)",VLOOKUP($E1302,AcctTblE,4,0)),"کد ناشناخته")))</f>
        <v/>
      </c>
      <c r="G1302" s="15" t="n"/>
      <c r="H1302" s="21">
        <f>IF(OR($C1302&lt;&gt;"دستمزد گروهی",$D1302=""),"",SUMIFS(ShareAmt,ShareLink,$D1302))</f>
        <v/>
      </c>
      <c r="I1302" s="22">
        <f>IF($C1302&lt;&gt;"دستمزد گروهی","—",IF($H1302="","",IF(ROUND($H1302-IF($G1302="",0,$G1302),0)=0,"√","▲ مغایرت "&amp;TEXT(IF($G1302="",0,$G1302)-$H1302,"#,##0"))))</f>
        <v/>
      </c>
      <c r="J1302" s="18" t="n"/>
    </row>
    <row r="1303">
      <c r="A1303" s="10">
        <f>IF($B1303="","",COUNTA($B$9:$B1303))</f>
        <v/>
      </c>
      <c r="B1303" s="11" t="n"/>
      <c r="C1303" s="12" t="n"/>
      <c r="D1303" s="12" t="n"/>
      <c r="E1303" s="13" t="n"/>
      <c r="F1303" s="14">
        <f>IF($E1303="","",IF($C1303="دستمزد گروهی",IFERROR(VLOOKUP($E1303,WGTbl,2,0),"کد ناشناخته"),IFERROR(IF(VLOOKUP($E1303,AcctTblE,4,0)="","(بدون نام)",VLOOKUP($E1303,AcctTblE,4,0)),"کد ناشناخته")))</f>
        <v/>
      </c>
      <c r="G1303" s="15" t="n"/>
      <c r="H1303" s="16">
        <f>IF(OR($C1303&lt;&gt;"دستمزد گروهی",$D1303=""),"",SUMIFS(ShareAmt,ShareLink,$D1303))</f>
        <v/>
      </c>
      <c r="I1303" s="17">
        <f>IF($C1303&lt;&gt;"دستمزد گروهی","—",IF($H1303="","",IF(ROUND($H1303-IF($G1303="",0,$G1303),0)=0,"√","▲ مغایرت "&amp;TEXT(IF($G1303="",0,$G1303)-$H1303,"#,##0"))))</f>
        <v/>
      </c>
      <c r="J1303" s="18" t="n"/>
    </row>
    <row r="1304">
      <c r="A1304" s="19">
        <f>IF($B1304="","",COUNTA($B$9:$B1304))</f>
        <v/>
      </c>
      <c r="B1304" s="11" t="n"/>
      <c r="C1304" s="12" t="n"/>
      <c r="D1304" s="12" t="n"/>
      <c r="E1304" s="13" t="n"/>
      <c r="F1304" s="20">
        <f>IF($E1304="","",IF($C1304="دستمزد گروهی",IFERROR(VLOOKUP($E1304,WGTbl,2,0),"کد ناشناخته"),IFERROR(IF(VLOOKUP($E1304,AcctTblE,4,0)="","(بدون نام)",VLOOKUP($E1304,AcctTblE,4,0)),"کد ناشناخته")))</f>
        <v/>
      </c>
      <c r="G1304" s="15" t="n"/>
      <c r="H1304" s="21">
        <f>IF(OR($C1304&lt;&gt;"دستمزد گروهی",$D1304=""),"",SUMIFS(ShareAmt,ShareLink,$D1304))</f>
        <v/>
      </c>
      <c r="I1304" s="22">
        <f>IF($C1304&lt;&gt;"دستمزد گروهی","—",IF($H1304="","",IF(ROUND($H1304-IF($G1304="",0,$G1304),0)=0,"√","▲ مغایرت "&amp;TEXT(IF($G1304="",0,$G1304)-$H1304,"#,##0"))))</f>
        <v/>
      </c>
      <c r="J1304" s="18" t="n"/>
    </row>
    <row r="1305">
      <c r="A1305" s="10">
        <f>IF($B1305="","",COUNTA($B$9:$B1305))</f>
        <v/>
      </c>
      <c r="B1305" s="11" t="n"/>
      <c r="C1305" s="12" t="n"/>
      <c r="D1305" s="12" t="n"/>
      <c r="E1305" s="13" t="n"/>
      <c r="F1305" s="14">
        <f>IF($E1305="","",IF($C1305="دستمزد گروهی",IFERROR(VLOOKUP($E1305,WGTbl,2,0),"کد ناشناخته"),IFERROR(IF(VLOOKUP($E1305,AcctTblE,4,0)="","(بدون نام)",VLOOKUP($E1305,AcctTblE,4,0)),"کد ناشناخته")))</f>
        <v/>
      </c>
      <c r="G1305" s="15" t="n"/>
      <c r="H1305" s="16">
        <f>IF(OR($C1305&lt;&gt;"دستمزد گروهی",$D1305=""),"",SUMIFS(ShareAmt,ShareLink,$D1305))</f>
        <v/>
      </c>
      <c r="I1305" s="17">
        <f>IF($C1305&lt;&gt;"دستمزد گروهی","—",IF($H1305="","",IF(ROUND($H1305-IF($G1305="",0,$G1305),0)=0,"√","▲ مغایرت "&amp;TEXT(IF($G1305="",0,$G1305)-$H1305,"#,##0"))))</f>
        <v/>
      </c>
      <c r="J1305" s="18" t="n"/>
    </row>
    <row r="1306">
      <c r="A1306" s="19">
        <f>IF($B1306="","",COUNTA($B$9:$B1306))</f>
        <v/>
      </c>
      <c r="B1306" s="11" t="n"/>
      <c r="C1306" s="12" t="n"/>
      <c r="D1306" s="12" t="n"/>
      <c r="E1306" s="13" t="n"/>
      <c r="F1306" s="20">
        <f>IF($E1306="","",IF($C1306="دستمزد گروهی",IFERROR(VLOOKUP($E1306,WGTbl,2,0),"کد ناشناخته"),IFERROR(IF(VLOOKUP($E1306,AcctTblE,4,0)="","(بدون نام)",VLOOKUP($E1306,AcctTblE,4,0)),"کد ناشناخته")))</f>
        <v/>
      </c>
      <c r="G1306" s="15" t="n"/>
      <c r="H1306" s="21">
        <f>IF(OR($C1306&lt;&gt;"دستمزد گروهی",$D1306=""),"",SUMIFS(ShareAmt,ShareLink,$D1306))</f>
        <v/>
      </c>
      <c r="I1306" s="22">
        <f>IF($C1306&lt;&gt;"دستمزد گروهی","—",IF($H1306="","",IF(ROUND($H1306-IF($G1306="",0,$G1306),0)=0,"√","▲ مغایرت "&amp;TEXT(IF($G1306="",0,$G1306)-$H1306,"#,##0"))))</f>
        <v/>
      </c>
      <c r="J1306" s="18" t="n"/>
    </row>
    <row r="1307">
      <c r="A1307" s="10">
        <f>IF($B1307="","",COUNTA($B$9:$B1307))</f>
        <v/>
      </c>
      <c r="B1307" s="11" t="n"/>
      <c r="C1307" s="12" t="n"/>
      <c r="D1307" s="12" t="n"/>
      <c r="E1307" s="13" t="n"/>
      <c r="F1307" s="14">
        <f>IF($E1307="","",IF($C1307="دستمزد گروهی",IFERROR(VLOOKUP($E1307,WGTbl,2,0),"کد ناشناخته"),IFERROR(IF(VLOOKUP($E1307,AcctTblE,4,0)="","(بدون نام)",VLOOKUP($E1307,AcctTblE,4,0)),"کد ناشناخته")))</f>
        <v/>
      </c>
      <c r="G1307" s="15" t="n"/>
      <c r="H1307" s="16">
        <f>IF(OR($C1307&lt;&gt;"دستمزد گروهی",$D1307=""),"",SUMIFS(ShareAmt,ShareLink,$D1307))</f>
        <v/>
      </c>
      <c r="I1307" s="17">
        <f>IF($C1307&lt;&gt;"دستمزد گروهی","—",IF($H1307="","",IF(ROUND($H1307-IF($G1307="",0,$G1307),0)=0,"√","▲ مغایرت "&amp;TEXT(IF($G1307="",0,$G1307)-$H1307,"#,##0"))))</f>
        <v/>
      </c>
      <c r="J1307" s="18" t="n"/>
    </row>
    <row r="1308">
      <c r="A1308" s="19">
        <f>IF($B1308="","",COUNTA($B$9:$B1308))</f>
        <v/>
      </c>
      <c r="B1308" s="11" t="n"/>
      <c r="C1308" s="12" t="n"/>
      <c r="D1308" s="12" t="n"/>
      <c r="E1308" s="13" t="n"/>
      <c r="F1308" s="20">
        <f>IF($E1308="","",IF($C1308="دستمزد گروهی",IFERROR(VLOOKUP($E1308,WGTbl,2,0),"کد ناشناخته"),IFERROR(IF(VLOOKUP($E1308,AcctTblE,4,0)="","(بدون نام)",VLOOKUP($E1308,AcctTblE,4,0)),"کد ناشناخته")))</f>
        <v/>
      </c>
      <c r="G1308" s="15" t="n"/>
      <c r="H1308" s="21">
        <f>IF(OR($C1308&lt;&gt;"دستمزد گروهی",$D1308=""),"",SUMIFS(ShareAmt,ShareLink,$D1308))</f>
        <v/>
      </c>
      <c r="I1308" s="22">
        <f>IF($C1308&lt;&gt;"دستمزد گروهی","—",IF($H1308="","",IF(ROUND($H1308-IF($G1308="",0,$G1308),0)=0,"√","▲ مغایرت "&amp;TEXT(IF($G1308="",0,$G1308)-$H1308,"#,##0"))))</f>
        <v/>
      </c>
      <c r="J1308" s="18" t="n"/>
    </row>
    <row r="1309">
      <c r="A1309" s="10">
        <f>IF($B1309="","",COUNTA($B$9:$B1309))</f>
        <v/>
      </c>
      <c r="B1309" s="11" t="n"/>
      <c r="C1309" s="12" t="n"/>
      <c r="D1309" s="12" t="n"/>
      <c r="E1309" s="13" t="n"/>
      <c r="F1309" s="14">
        <f>IF($E1309="","",IF($C1309="دستمزد گروهی",IFERROR(VLOOKUP($E1309,WGTbl,2,0),"کد ناشناخته"),IFERROR(IF(VLOOKUP($E1309,AcctTblE,4,0)="","(بدون نام)",VLOOKUP($E1309,AcctTblE,4,0)),"کد ناشناخته")))</f>
        <v/>
      </c>
      <c r="G1309" s="15" t="n"/>
      <c r="H1309" s="16">
        <f>IF(OR($C1309&lt;&gt;"دستمزد گروهی",$D1309=""),"",SUMIFS(ShareAmt,ShareLink,$D1309))</f>
        <v/>
      </c>
      <c r="I1309" s="17">
        <f>IF($C1309&lt;&gt;"دستمزد گروهی","—",IF($H1309="","",IF(ROUND($H1309-IF($G1309="",0,$G1309),0)=0,"√","▲ مغایرت "&amp;TEXT(IF($G1309="",0,$G1309)-$H1309,"#,##0"))))</f>
        <v/>
      </c>
      <c r="J1309" s="18" t="n"/>
    </row>
    <row r="1310">
      <c r="A1310" s="19">
        <f>IF($B1310="","",COUNTA($B$9:$B1310))</f>
        <v/>
      </c>
      <c r="B1310" s="11" t="n"/>
      <c r="C1310" s="12" t="n"/>
      <c r="D1310" s="12" t="n"/>
      <c r="E1310" s="13" t="n"/>
      <c r="F1310" s="20">
        <f>IF($E1310="","",IF($C1310="دستمزد گروهی",IFERROR(VLOOKUP($E1310,WGTbl,2,0),"کد ناشناخته"),IFERROR(IF(VLOOKUP($E1310,AcctTblE,4,0)="","(بدون نام)",VLOOKUP($E1310,AcctTblE,4,0)),"کد ناشناخته")))</f>
        <v/>
      </c>
      <c r="G1310" s="15" t="n"/>
      <c r="H1310" s="21">
        <f>IF(OR($C1310&lt;&gt;"دستمزد گروهی",$D1310=""),"",SUMIFS(ShareAmt,ShareLink,$D1310))</f>
        <v/>
      </c>
      <c r="I1310" s="22">
        <f>IF($C1310&lt;&gt;"دستمزد گروهی","—",IF($H1310="","",IF(ROUND($H1310-IF($G1310="",0,$G1310),0)=0,"√","▲ مغایرت "&amp;TEXT(IF($G1310="",0,$G1310)-$H1310,"#,##0"))))</f>
        <v/>
      </c>
      <c r="J1310" s="18" t="n"/>
    </row>
    <row r="1311">
      <c r="A1311" s="10">
        <f>IF($B1311="","",COUNTA($B$9:$B1311))</f>
        <v/>
      </c>
      <c r="B1311" s="11" t="n"/>
      <c r="C1311" s="12" t="n"/>
      <c r="D1311" s="12" t="n"/>
      <c r="E1311" s="13" t="n"/>
      <c r="F1311" s="14">
        <f>IF($E1311="","",IF($C1311="دستمزد گروهی",IFERROR(VLOOKUP($E1311,WGTbl,2,0),"کد ناشناخته"),IFERROR(IF(VLOOKUP($E1311,AcctTblE,4,0)="","(بدون نام)",VLOOKUP($E1311,AcctTblE,4,0)),"کد ناشناخته")))</f>
        <v/>
      </c>
      <c r="G1311" s="15" t="n"/>
      <c r="H1311" s="16">
        <f>IF(OR($C1311&lt;&gt;"دستمزد گروهی",$D1311=""),"",SUMIFS(ShareAmt,ShareLink,$D1311))</f>
        <v/>
      </c>
      <c r="I1311" s="17">
        <f>IF($C1311&lt;&gt;"دستمزد گروهی","—",IF($H1311="","",IF(ROUND($H1311-IF($G1311="",0,$G1311),0)=0,"√","▲ مغایرت "&amp;TEXT(IF($G1311="",0,$G1311)-$H1311,"#,##0"))))</f>
        <v/>
      </c>
      <c r="J1311" s="18" t="n"/>
    </row>
    <row r="1312">
      <c r="A1312" s="19">
        <f>IF($B1312="","",COUNTA($B$9:$B1312))</f>
        <v/>
      </c>
      <c r="B1312" s="11" t="n"/>
      <c r="C1312" s="12" t="n"/>
      <c r="D1312" s="12" t="n"/>
      <c r="E1312" s="13" t="n"/>
      <c r="F1312" s="20">
        <f>IF($E1312="","",IF($C1312="دستمزد گروهی",IFERROR(VLOOKUP($E1312,WGTbl,2,0),"کد ناشناخته"),IFERROR(IF(VLOOKUP($E1312,AcctTblE,4,0)="","(بدون نام)",VLOOKUP($E1312,AcctTblE,4,0)),"کد ناشناخته")))</f>
        <v/>
      </c>
      <c r="G1312" s="15" t="n"/>
      <c r="H1312" s="21">
        <f>IF(OR($C1312&lt;&gt;"دستمزد گروهی",$D1312=""),"",SUMIFS(ShareAmt,ShareLink,$D1312))</f>
        <v/>
      </c>
      <c r="I1312" s="22">
        <f>IF($C1312&lt;&gt;"دستمزد گروهی","—",IF($H1312="","",IF(ROUND($H1312-IF($G1312="",0,$G1312),0)=0,"√","▲ مغایرت "&amp;TEXT(IF($G1312="",0,$G1312)-$H1312,"#,##0"))))</f>
        <v/>
      </c>
      <c r="J1312" s="18" t="n"/>
    </row>
    <row r="1313">
      <c r="A1313" s="10">
        <f>IF($B1313="","",COUNTA($B$9:$B1313))</f>
        <v/>
      </c>
      <c r="B1313" s="11" t="n"/>
      <c r="C1313" s="12" t="n"/>
      <c r="D1313" s="12" t="n"/>
      <c r="E1313" s="13" t="n"/>
      <c r="F1313" s="14">
        <f>IF($E1313="","",IF($C1313="دستمزد گروهی",IFERROR(VLOOKUP($E1313,WGTbl,2,0),"کد ناشناخته"),IFERROR(IF(VLOOKUP($E1313,AcctTblE,4,0)="","(بدون نام)",VLOOKUP($E1313,AcctTblE,4,0)),"کد ناشناخته")))</f>
        <v/>
      </c>
      <c r="G1313" s="15" t="n"/>
      <c r="H1313" s="16">
        <f>IF(OR($C1313&lt;&gt;"دستمزد گروهی",$D1313=""),"",SUMIFS(ShareAmt,ShareLink,$D1313))</f>
        <v/>
      </c>
      <c r="I1313" s="17">
        <f>IF($C1313&lt;&gt;"دستمزد گروهی","—",IF($H1313="","",IF(ROUND($H1313-IF($G1313="",0,$G1313),0)=0,"√","▲ مغایرت "&amp;TEXT(IF($G1313="",0,$G1313)-$H1313,"#,##0"))))</f>
        <v/>
      </c>
      <c r="J1313" s="18" t="n"/>
    </row>
    <row r="1314">
      <c r="A1314" s="19">
        <f>IF($B1314="","",COUNTA($B$9:$B1314))</f>
        <v/>
      </c>
      <c r="B1314" s="11" t="n"/>
      <c r="C1314" s="12" t="n"/>
      <c r="D1314" s="12" t="n"/>
      <c r="E1314" s="13" t="n"/>
      <c r="F1314" s="20">
        <f>IF($E1314="","",IF($C1314="دستمزد گروهی",IFERROR(VLOOKUP($E1314,WGTbl,2,0),"کد ناشناخته"),IFERROR(IF(VLOOKUP($E1314,AcctTblE,4,0)="","(بدون نام)",VLOOKUP($E1314,AcctTblE,4,0)),"کد ناشناخته")))</f>
        <v/>
      </c>
      <c r="G1314" s="15" t="n"/>
      <c r="H1314" s="21">
        <f>IF(OR($C1314&lt;&gt;"دستمزد گروهی",$D1314=""),"",SUMIFS(ShareAmt,ShareLink,$D1314))</f>
        <v/>
      </c>
      <c r="I1314" s="22">
        <f>IF($C1314&lt;&gt;"دستمزد گروهی","—",IF($H1314="","",IF(ROUND($H1314-IF($G1314="",0,$G1314),0)=0,"√","▲ مغایرت "&amp;TEXT(IF($G1314="",0,$G1314)-$H1314,"#,##0"))))</f>
        <v/>
      </c>
      <c r="J1314" s="18" t="n"/>
    </row>
    <row r="1315">
      <c r="A1315" s="10">
        <f>IF($B1315="","",COUNTA($B$9:$B1315))</f>
        <v/>
      </c>
      <c r="B1315" s="11" t="n"/>
      <c r="C1315" s="12" t="n"/>
      <c r="D1315" s="12" t="n"/>
      <c r="E1315" s="13" t="n"/>
      <c r="F1315" s="14">
        <f>IF($E1315="","",IF($C1315="دستمزد گروهی",IFERROR(VLOOKUP($E1315,WGTbl,2,0),"کد ناشناخته"),IFERROR(IF(VLOOKUP($E1315,AcctTblE,4,0)="","(بدون نام)",VLOOKUP($E1315,AcctTblE,4,0)),"کد ناشناخته")))</f>
        <v/>
      </c>
      <c r="G1315" s="15" t="n"/>
      <c r="H1315" s="16">
        <f>IF(OR($C1315&lt;&gt;"دستمزد گروهی",$D1315=""),"",SUMIFS(ShareAmt,ShareLink,$D1315))</f>
        <v/>
      </c>
      <c r="I1315" s="17">
        <f>IF($C1315&lt;&gt;"دستمزد گروهی","—",IF($H1315="","",IF(ROUND($H1315-IF($G1315="",0,$G1315),0)=0,"√","▲ مغایرت "&amp;TEXT(IF($G1315="",0,$G1315)-$H1315,"#,##0"))))</f>
        <v/>
      </c>
      <c r="J1315" s="18" t="n"/>
    </row>
    <row r="1316">
      <c r="A1316" s="19">
        <f>IF($B1316="","",COUNTA($B$9:$B1316))</f>
        <v/>
      </c>
      <c r="B1316" s="11" t="n"/>
      <c r="C1316" s="12" t="n"/>
      <c r="D1316" s="12" t="n"/>
      <c r="E1316" s="13" t="n"/>
      <c r="F1316" s="20">
        <f>IF($E1316="","",IF($C1316="دستمزد گروهی",IFERROR(VLOOKUP($E1316,WGTbl,2,0),"کد ناشناخته"),IFERROR(IF(VLOOKUP($E1316,AcctTblE,4,0)="","(بدون نام)",VLOOKUP($E1316,AcctTblE,4,0)),"کد ناشناخته")))</f>
        <v/>
      </c>
      <c r="G1316" s="15" t="n"/>
      <c r="H1316" s="21">
        <f>IF(OR($C1316&lt;&gt;"دستمزد گروهی",$D1316=""),"",SUMIFS(ShareAmt,ShareLink,$D1316))</f>
        <v/>
      </c>
      <c r="I1316" s="22">
        <f>IF($C1316&lt;&gt;"دستمزد گروهی","—",IF($H1316="","",IF(ROUND($H1316-IF($G1316="",0,$G1316),0)=0,"√","▲ مغایرت "&amp;TEXT(IF($G1316="",0,$G1316)-$H1316,"#,##0"))))</f>
        <v/>
      </c>
      <c r="J1316" s="18" t="n"/>
    </row>
    <row r="1317">
      <c r="A1317" s="10">
        <f>IF($B1317="","",COUNTA($B$9:$B1317))</f>
        <v/>
      </c>
      <c r="B1317" s="11" t="n"/>
      <c r="C1317" s="12" t="n"/>
      <c r="D1317" s="12" t="n"/>
      <c r="E1317" s="13" t="n"/>
      <c r="F1317" s="14">
        <f>IF($E1317="","",IF($C1317="دستمزد گروهی",IFERROR(VLOOKUP($E1317,WGTbl,2,0),"کد ناشناخته"),IFERROR(IF(VLOOKUP($E1317,AcctTblE,4,0)="","(بدون نام)",VLOOKUP($E1317,AcctTblE,4,0)),"کد ناشناخته")))</f>
        <v/>
      </c>
      <c r="G1317" s="15" t="n"/>
      <c r="H1317" s="16">
        <f>IF(OR($C1317&lt;&gt;"دستمزد گروهی",$D1317=""),"",SUMIFS(ShareAmt,ShareLink,$D1317))</f>
        <v/>
      </c>
      <c r="I1317" s="17">
        <f>IF($C1317&lt;&gt;"دستمزد گروهی","—",IF($H1317="","",IF(ROUND($H1317-IF($G1317="",0,$G1317),0)=0,"√","▲ مغایرت "&amp;TEXT(IF($G1317="",0,$G1317)-$H1317,"#,##0"))))</f>
        <v/>
      </c>
      <c r="J1317" s="18" t="n"/>
    </row>
    <row r="1318">
      <c r="A1318" s="19">
        <f>IF($B1318="","",COUNTA($B$9:$B1318))</f>
        <v/>
      </c>
      <c r="B1318" s="11" t="n"/>
      <c r="C1318" s="12" t="n"/>
      <c r="D1318" s="12" t="n"/>
      <c r="E1318" s="13" t="n"/>
      <c r="F1318" s="20">
        <f>IF($E1318="","",IF($C1318="دستمزد گروهی",IFERROR(VLOOKUP($E1318,WGTbl,2,0),"کد ناشناخته"),IFERROR(IF(VLOOKUP($E1318,AcctTblE,4,0)="","(بدون نام)",VLOOKUP($E1318,AcctTblE,4,0)),"کد ناشناخته")))</f>
        <v/>
      </c>
      <c r="G1318" s="15" t="n"/>
      <c r="H1318" s="21">
        <f>IF(OR($C1318&lt;&gt;"دستمزد گروهی",$D1318=""),"",SUMIFS(ShareAmt,ShareLink,$D1318))</f>
        <v/>
      </c>
      <c r="I1318" s="22">
        <f>IF($C1318&lt;&gt;"دستمزد گروهی","—",IF($H1318="","",IF(ROUND($H1318-IF($G1318="",0,$G1318),0)=0,"√","▲ مغایرت "&amp;TEXT(IF($G1318="",0,$G1318)-$H1318,"#,##0"))))</f>
        <v/>
      </c>
      <c r="J1318" s="18" t="n"/>
    </row>
    <row r="1319">
      <c r="A1319" s="10">
        <f>IF($B1319="","",COUNTA($B$9:$B1319))</f>
        <v/>
      </c>
      <c r="B1319" s="11" t="n"/>
      <c r="C1319" s="12" t="n"/>
      <c r="D1319" s="12" t="n"/>
      <c r="E1319" s="13" t="n"/>
      <c r="F1319" s="14">
        <f>IF($E1319="","",IF($C1319="دستمزد گروهی",IFERROR(VLOOKUP($E1319,WGTbl,2,0),"کد ناشناخته"),IFERROR(IF(VLOOKUP($E1319,AcctTblE,4,0)="","(بدون نام)",VLOOKUP($E1319,AcctTblE,4,0)),"کد ناشناخته")))</f>
        <v/>
      </c>
      <c r="G1319" s="15" t="n"/>
      <c r="H1319" s="16">
        <f>IF(OR($C1319&lt;&gt;"دستمزد گروهی",$D1319=""),"",SUMIFS(ShareAmt,ShareLink,$D1319))</f>
        <v/>
      </c>
      <c r="I1319" s="17">
        <f>IF($C1319&lt;&gt;"دستمزد گروهی","—",IF($H1319="","",IF(ROUND($H1319-IF($G1319="",0,$G1319),0)=0,"√","▲ مغایرت "&amp;TEXT(IF($G1319="",0,$G1319)-$H1319,"#,##0"))))</f>
        <v/>
      </c>
      <c r="J1319" s="18" t="n"/>
    </row>
    <row r="1320">
      <c r="A1320" s="19">
        <f>IF($B1320="","",COUNTA($B$9:$B1320))</f>
        <v/>
      </c>
      <c r="B1320" s="11" t="n"/>
      <c r="C1320" s="12" t="n"/>
      <c r="D1320" s="12" t="n"/>
      <c r="E1320" s="13" t="n"/>
      <c r="F1320" s="20">
        <f>IF($E1320="","",IF($C1320="دستمزد گروهی",IFERROR(VLOOKUP($E1320,WGTbl,2,0),"کد ناشناخته"),IFERROR(IF(VLOOKUP($E1320,AcctTblE,4,0)="","(بدون نام)",VLOOKUP($E1320,AcctTblE,4,0)),"کد ناشناخته")))</f>
        <v/>
      </c>
      <c r="G1320" s="15" t="n"/>
      <c r="H1320" s="21">
        <f>IF(OR($C1320&lt;&gt;"دستمزد گروهی",$D1320=""),"",SUMIFS(ShareAmt,ShareLink,$D1320))</f>
        <v/>
      </c>
      <c r="I1320" s="22">
        <f>IF($C1320&lt;&gt;"دستمزد گروهی","—",IF($H1320="","",IF(ROUND($H1320-IF($G1320="",0,$G1320),0)=0,"√","▲ مغایرت "&amp;TEXT(IF($G1320="",0,$G1320)-$H1320,"#,##0"))))</f>
        <v/>
      </c>
      <c r="J1320" s="18" t="n"/>
    </row>
    <row r="1321">
      <c r="A1321" s="10">
        <f>IF($B1321="","",COUNTA($B$9:$B1321))</f>
        <v/>
      </c>
      <c r="B1321" s="11" t="n"/>
      <c r="C1321" s="12" t="n"/>
      <c r="D1321" s="12" t="n"/>
      <c r="E1321" s="13" t="n"/>
      <c r="F1321" s="14">
        <f>IF($E1321="","",IF($C1321="دستمزد گروهی",IFERROR(VLOOKUP($E1321,WGTbl,2,0),"کد ناشناخته"),IFERROR(IF(VLOOKUP($E1321,AcctTblE,4,0)="","(بدون نام)",VLOOKUP($E1321,AcctTblE,4,0)),"کد ناشناخته")))</f>
        <v/>
      </c>
      <c r="G1321" s="15" t="n"/>
      <c r="H1321" s="16">
        <f>IF(OR($C1321&lt;&gt;"دستمزد گروهی",$D1321=""),"",SUMIFS(ShareAmt,ShareLink,$D1321))</f>
        <v/>
      </c>
      <c r="I1321" s="17">
        <f>IF($C1321&lt;&gt;"دستمزد گروهی","—",IF($H1321="","",IF(ROUND($H1321-IF($G1321="",0,$G1321),0)=0,"√","▲ مغایرت "&amp;TEXT(IF($G1321="",0,$G1321)-$H1321,"#,##0"))))</f>
        <v/>
      </c>
      <c r="J1321" s="18" t="n"/>
    </row>
    <row r="1322">
      <c r="A1322" s="19">
        <f>IF($B1322="","",COUNTA($B$9:$B1322))</f>
        <v/>
      </c>
      <c r="B1322" s="11" t="n"/>
      <c r="C1322" s="12" t="n"/>
      <c r="D1322" s="12" t="n"/>
      <c r="E1322" s="13" t="n"/>
      <c r="F1322" s="20">
        <f>IF($E1322="","",IF($C1322="دستمزد گروهی",IFERROR(VLOOKUP($E1322,WGTbl,2,0),"کد ناشناخته"),IFERROR(IF(VLOOKUP($E1322,AcctTblE,4,0)="","(بدون نام)",VLOOKUP($E1322,AcctTblE,4,0)),"کد ناشناخته")))</f>
        <v/>
      </c>
      <c r="G1322" s="15" t="n"/>
      <c r="H1322" s="21">
        <f>IF(OR($C1322&lt;&gt;"دستمزد گروهی",$D1322=""),"",SUMIFS(ShareAmt,ShareLink,$D1322))</f>
        <v/>
      </c>
      <c r="I1322" s="22">
        <f>IF($C1322&lt;&gt;"دستمزد گروهی","—",IF($H1322="","",IF(ROUND($H1322-IF($G1322="",0,$G1322),0)=0,"√","▲ مغایرت "&amp;TEXT(IF($G1322="",0,$G1322)-$H1322,"#,##0"))))</f>
        <v/>
      </c>
      <c r="J1322" s="18" t="n"/>
    </row>
    <row r="1323">
      <c r="A1323" s="10">
        <f>IF($B1323="","",COUNTA($B$9:$B1323))</f>
        <v/>
      </c>
      <c r="B1323" s="11" t="n"/>
      <c r="C1323" s="12" t="n"/>
      <c r="D1323" s="12" t="n"/>
      <c r="E1323" s="13" t="n"/>
      <c r="F1323" s="14">
        <f>IF($E1323="","",IF($C1323="دستمزد گروهی",IFERROR(VLOOKUP($E1323,WGTbl,2,0),"کد ناشناخته"),IFERROR(IF(VLOOKUP($E1323,AcctTblE,4,0)="","(بدون نام)",VLOOKUP($E1323,AcctTblE,4,0)),"کد ناشناخته")))</f>
        <v/>
      </c>
      <c r="G1323" s="15" t="n"/>
      <c r="H1323" s="16">
        <f>IF(OR($C1323&lt;&gt;"دستمزد گروهی",$D1323=""),"",SUMIFS(ShareAmt,ShareLink,$D1323))</f>
        <v/>
      </c>
      <c r="I1323" s="17">
        <f>IF($C1323&lt;&gt;"دستمزد گروهی","—",IF($H1323="","",IF(ROUND($H1323-IF($G1323="",0,$G1323),0)=0,"√","▲ مغایرت "&amp;TEXT(IF($G1323="",0,$G1323)-$H1323,"#,##0"))))</f>
        <v/>
      </c>
      <c r="J1323" s="18" t="n"/>
    </row>
    <row r="1324">
      <c r="A1324" s="19">
        <f>IF($B1324="","",COUNTA($B$9:$B1324))</f>
        <v/>
      </c>
      <c r="B1324" s="11" t="n"/>
      <c r="C1324" s="12" t="n"/>
      <c r="D1324" s="12" t="n"/>
      <c r="E1324" s="13" t="n"/>
      <c r="F1324" s="20">
        <f>IF($E1324="","",IF($C1324="دستمزد گروهی",IFERROR(VLOOKUP($E1324,WGTbl,2,0),"کد ناشناخته"),IFERROR(IF(VLOOKUP($E1324,AcctTblE,4,0)="","(بدون نام)",VLOOKUP($E1324,AcctTblE,4,0)),"کد ناشناخته")))</f>
        <v/>
      </c>
      <c r="G1324" s="15" t="n"/>
      <c r="H1324" s="21">
        <f>IF(OR($C1324&lt;&gt;"دستمزد گروهی",$D1324=""),"",SUMIFS(ShareAmt,ShareLink,$D1324))</f>
        <v/>
      </c>
      <c r="I1324" s="22">
        <f>IF($C1324&lt;&gt;"دستمزد گروهی","—",IF($H1324="","",IF(ROUND($H1324-IF($G1324="",0,$G1324),0)=0,"√","▲ مغایرت "&amp;TEXT(IF($G1324="",0,$G1324)-$H1324,"#,##0"))))</f>
        <v/>
      </c>
      <c r="J1324" s="18" t="n"/>
    </row>
    <row r="1325">
      <c r="A1325" s="10">
        <f>IF($B1325="","",COUNTA($B$9:$B1325))</f>
        <v/>
      </c>
      <c r="B1325" s="11" t="n"/>
      <c r="C1325" s="12" t="n"/>
      <c r="D1325" s="12" t="n"/>
      <c r="E1325" s="13" t="n"/>
      <c r="F1325" s="14">
        <f>IF($E1325="","",IF($C1325="دستمزد گروهی",IFERROR(VLOOKUP($E1325,WGTbl,2,0),"کد ناشناخته"),IFERROR(IF(VLOOKUP($E1325,AcctTblE,4,0)="","(بدون نام)",VLOOKUP($E1325,AcctTblE,4,0)),"کد ناشناخته")))</f>
        <v/>
      </c>
      <c r="G1325" s="15" t="n"/>
      <c r="H1325" s="16">
        <f>IF(OR($C1325&lt;&gt;"دستمزد گروهی",$D1325=""),"",SUMIFS(ShareAmt,ShareLink,$D1325))</f>
        <v/>
      </c>
      <c r="I1325" s="17">
        <f>IF($C1325&lt;&gt;"دستمزد گروهی","—",IF($H1325="","",IF(ROUND($H1325-IF($G1325="",0,$G1325),0)=0,"√","▲ مغایرت "&amp;TEXT(IF($G1325="",0,$G1325)-$H1325,"#,##0"))))</f>
        <v/>
      </c>
      <c r="J1325" s="18" t="n"/>
    </row>
    <row r="1326">
      <c r="A1326" s="19">
        <f>IF($B1326="","",COUNTA($B$9:$B1326))</f>
        <v/>
      </c>
      <c r="B1326" s="11" t="n"/>
      <c r="C1326" s="12" t="n"/>
      <c r="D1326" s="12" t="n"/>
      <c r="E1326" s="13" t="n"/>
      <c r="F1326" s="20">
        <f>IF($E1326="","",IF($C1326="دستمزد گروهی",IFERROR(VLOOKUP($E1326,WGTbl,2,0),"کد ناشناخته"),IFERROR(IF(VLOOKUP($E1326,AcctTblE,4,0)="","(بدون نام)",VLOOKUP($E1326,AcctTblE,4,0)),"کد ناشناخته")))</f>
        <v/>
      </c>
      <c r="G1326" s="15" t="n"/>
      <c r="H1326" s="21">
        <f>IF(OR($C1326&lt;&gt;"دستمزد گروهی",$D1326=""),"",SUMIFS(ShareAmt,ShareLink,$D1326))</f>
        <v/>
      </c>
      <c r="I1326" s="22">
        <f>IF($C1326&lt;&gt;"دستمزد گروهی","—",IF($H1326="","",IF(ROUND($H1326-IF($G1326="",0,$G1326),0)=0,"√","▲ مغایرت "&amp;TEXT(IF($G1326="",0,$G1326)-$H1326,"#,##0"))))</f>
        <v/>
      </c>
      <c r="J1326" s="18" t="n"/>
    </row>
    <row r="1327">
      <c r="A1327" s="10">
        <f>IF($B1327="","",COUNTA($B$9:$B1327))</f>
        <v/>
      </c>
      <c r="B1327" s="11" t="n"/>
      <c r="C1327" s="12" t="n"/>
      <c r="D1327" s="12" t="n"/>
      <c r="E1327" s="13" t="n"/>
      <c r="F1327" s="14">
        <f>IF($E1327="","",IF($C1327="دستمزد گروهی",IFERROR(VLOOKUP($E1327,WGTbl,2,0),"کد ناشناخته"),IFERROR(IF(VLOOKUP($E1327,AcctTblE,4,0)="","(بدون نام)",VLOOKUP($E1327,AcctTblE,4,0)),"کد ناشناخته")))</f>
        <v/>
      </c>
      <c r="G1327" s="15" t="n"/>
      <c r="H1327" s="16">
        <f>IF(OR($C1327&lt;&gt;"دستمزد گروهی",$D1327=""),"",SUMIFS(ShareAmt,ShareLink,$D1327))</f>
        <v/>
      </c>
      <c r="I1327" s="17">
        <f>IF($C1327&lt;&gt;"دستمزد گروهی","—",IF($H1327="","",IF(ROUND($H1327-IF($G1327="",0,$G1327),0)=0,"√","▲ مغایرت "&amp;TEXT(IF($G1327="",0,$G1327)-$H1327,"#,##0"))))</f>
        <v/>
      </c>
      <c r="J1327" s="18" t="n"/>
    </row>
    <row r="1328">
      <c r="A1328" s="19">
        <f>IF($B1328="","",COUNTA($B$9:$B1328))</f>
        <v/>
      </c>
      <c r="B1328" s="11" t="n"/>
      <c r="C1328" s="12" t="n"/>
      <c r="D1328" s="12" t="n"/>
      <c r="E1328" s="13" t="n"/>
      <c r="F1328" s="20">
        <f>IF($E1328="","",IF($C1328="دستمزد گروهی",IFERROR(VLOOKUP($E1328,WGTbl,2,0),"کد ناشناخته"),IFERROR(IF(VLOOKUP($E1328,AcctTblE,4,0)="","(بدون نام)",VLOOKUP($E1328,AcctTblE,4,0)),"کد ناشناخته")))</f>
        <v/>
      </c>
      <c r="G1328" s="15" t="n"/>
      <c r="H1328" s="21">
        <f>IF(OR($C1328&lt;&gt;"دستمزد گروهی",$D1328=""),"",SUMIFS(ShareAmt,ShareLink,$D1328))</f>
        <v/>
      </c>
      <c r="I1328" s="22">
        <f>IF($C1328&lt;&gt;"دستمزد گروهی","—",IF($H1328="","",IF(ROUND($H1328-IF($G1328="",0,$G1328),0)=0,"√","▲ مغایرت "&amp;TEXT(IF($G1328="",0,$G1328)-$H1328,"#,##0"))))</f>
        <v/>
      </c>
      <c r="J1328" s="18" t="n"/>
    </row>
    <row r="1329">
      <c r="A1329" s="10">
        <f>IF($B1329="","",COUNTA($B$9:$B1329))</f>
        <v/>
      </c>
      <c r="B1329" s="11" t="n"/>
      <c r="C1329" s="12" t="n"/>
      <c r="D1329" s="12" t="n"/>
      <c r="E1329" s="13" t="n"/>
      <c r="F1329" s="14">
        <f>IF($E1329="","",IF($C1329="دستمزد گروهی",IFERROR(VLOOKUP($E1329,WGTbl,2,0),"کد ناشناخته"),IFERROR(IF(VLOOKUP($E1329,AcctTblE,4,0)="","(بدون نام)",VLOOKUP($E1329,AcctTblE,4,0)),"کد ناشناخته")))</f>
        <v/>
      </c>
      <c r="G1329" s="15" t="n"/>
      <c r="H1329" s="16">
        <f>IF(OR($C1329&lt;&gt;"دستمزد گروهی",$D1329=""),"",SUMIFS(ShareAmt,ShareLink,$D1329))</f>
        <v/>
      </c>
      <c r="I1329" s="17">
        <f>IF($C1329&lt;&gt;"دستمزد گروهی","—",IF($H1329="","",IF(ROUND($H1329-IF($G1329="",0,$G1329),0)=0,"√","▲ مغایرت "&amp;TEXT(IF($G1329="",0,$G1329)-$H1329,"#,##0"))))</f>
        <v/>
      </c>
      <c r="J1329" s="18" t="n"/>
    </row>
    <row r="1330">
      <c r="A1330" s="19">
        <f>IF($B1330="","",COUNTA($B$9:$B1330))</f>
        <v/>
      </c>
      <c r="B1330" s="11" t="n"/>
      <c r="C1330" s="12" t="n"/>
      <c r="D1330" s="12" t="n"/>
      <c r="E1330" s="13" t="n"/>
      <c r="F1330" s="20">
        <f>IF($E1330="","",IF($C1330="دستمزد گروهی",IFERROR(VLOOKUP($E1330,WGTbl,2,0),"کد ناشناخته"),IFERROR(IF(VLOOKUP($E1330,AcctTblE,4,0)="","(بدون نام)",VLOOKUP($E1330,AcctTblE,4,0)),"کد ناشناخته")))</f>
        <v/>
      </c>
      <c r="G1330" s="15" t="n"/>
      <c r="H1330" s="21">
        <f>IF(OR($C1330&lt;&gt;"دستمزد گروهی",$D1330=""),"",SUMIFS(ShareAmt,ShareLink,$D1330))</f>
        <v/>
      </c>
      <c r="I1330" s="22">
        <f>IF($C1330&lt;&gt;"دستمزد گروهی","—",IF($H1330="","",IF(ROUND($H1330-IF($G1330="",0,$G1330),0)=0,"√","▲ مغایرت "&amp;TEXT(IF($G1330="",0,$G1330)-$H1330,"#,##0"))))</f>
        <v/>
      </c>
      <c r="J1330" s="18" t="n"/>
    </row>
    <row r="1331">
      <c r="A1331" s="10">
        <f>IF($B1331="","",COUNTA($B$9:$B1331))</f>
        <v/>
      </c>
      <c r="B1331" s="11" t="n"/>
      <c r="C1331" s="12" t="n"/>
      <c r="D1331" s="12" t="n"/>
      <c r="E1331" s="13" t="n"/>
      <c r="F1331" s="14">
        <f>IF($E1331="","",IF($C1331="دستمزد گروهی",IFERROR(VLOOKUP($E1331,WGTbl,2,0),"کد ناشناخته"),IFERROR(IF(VLOOKUP($E1331,AcctTblE,4,0)="","(بدون نام)",VLOOKUP($E1331,AcctTblE,4,0)),"کد ناشناخته")))</f>
        <v/>
      </c>
      <c r="G1331" s="15" t="n"/>
      <c r="H1331" s="16">
        <f>IF(OR($C1331&lt;&gt;"دستمزد گروهی",$D1331=""),"",SUMIFS(ShareAmt,ShareLink,$D1331))</f>
        <v/>
      </c>
      <c r="I1331" s="17">
        <f>IF($C1331&lt;&gt;"دستمزد گروهی","—",IF($H1331="","",IF(ROUND($H1331-IF($G1331="",0,$G1331),0)=0,"√","▲ مغایرت "&amp;TEXT(IF($G1331="",0,$G1331)-$H1331,"#,##0"))))</f>
        <v/>
      </c>
      <c r="J1331" s="18" t="n"/>
    </row>
    <row r="1332">
      <c r="A1332" s="19">
        <f>IF($B1332="","",COUNTA($B$9:$B1332))</f>
        <v/>
      </c>
      <c r="B1332" s="11" t="n"/>
      <c r="C1332" s="12" t="n"/>
      <c r="D1332" s="12" t="n"/>
      <c r="E1332" s="13" t="n"/>
      <c r="F1332" s="20">
        <f>IF($E1332="","",IF($C1332="دستمزد گروهی",IFERROR(VLOOKUP($E1332,WGTbl,2,0),"کد ناشناخته"),IFERROR(IF(VLOOKUP($E1332,AcctTblE,4,0)="","(بدون نام)",VLOOKUP($E1332,AcctTblE,4,0)),"کد ناشناخته")))</f>
        <v/>
      </c>
      <c r="G1332" s="15" t="n"/>
      <c r="H1332" s="21">
        <f>IF(OR($C1332&lt;&gt;"دستمزد گروهی",$D1332=""),"",SUMIFS(ShareAmt,ShareLink,$D1332))</f>
        <v/>
      </c>
      <c r="I1332" s="22">
        <f>IF($C1332&lt;&gt;"دستمزد گروهی","—",IF($H1332="","",IF(ROUND($H1332-IF($G1332="",0,$G1332),0)=0,"√","▲ مغایرت "&amp;TEXT(IF($G1332="",0,$G1332)-$H1332,"#,##0"))))</f>
        <v/>
      </c>
      <c r="J1332" s="18" t="n"/>
    </row>
    <row r="1333">
      <c r="A1333" s="10">
        <f>IF($B1333="","",COUNTA($B$9:$B1333))</f>
        <v/>
      </c>
      <c r="B1333" s="11" t="n"/>
      <c r="C1333" s="12" t="n"/>
      <c r="D1333" s="12" t="n"/>
      <c r="E1333" s="13" t="n"/>
      <c r="F1333" s="14">
        <f>IF($E1333="","",IF($C1333="دستمزد گروهی",IFERROR(VLOOKUP($E1333,WGTbl,2,0),"کد ناشناخته"),IFERROR(IF(VLOOKUP($E1333,AcctTblE,4,0)="","(بدون نام)",VLOOKUP($E1333,AcctTblE,4,0)),"کد ناشناخته")))</f>
        <v/>
      </c>
      <c r="G1333" s="15" t="n"/>
      <c r="H1333" s="16">
        <f>IF(OR($C1333&lt;&gt;"دستمزد گروهی",$D1333=""),"",SUMIFS(ShareAmt,ShareLink,$D1333))</f>
        <v/>
      </c>
      <c r="I1333" s="17">
        <f>IF($C1333&lt;&gt;"دستمزد گروهی","—",IF($H1333="","",IF(ROUND($H1333-IF($G1333="",0,$G1333),0)=0,"√","▲ مغایرت "&amp;TEXT(IF($G1333="",0,$G1333)-$H1333,"#,##0"))))</f>
        <v/>
      </c>
      <c r="J1333" s="18" t="n"/>
    </row>
    <row r="1334">
      <c r="A1334" s="19">
        <f>IF($B1334="","",COUNTA($B$9:$B1334))</f>
        <v/>
      </c>
      <c r="B1334" s="11" t="n"/>
      <c r="C1334" s="12" t="n"/>
      <c r="D1334" s="12" t="n"/>
      <c r="E1334" s="13" t="n"/>
      <c r="F1334" s="20">
        <f>IF($E1334="","",IF($C1334="دستمزد گروهی",IFERROR(VLOOKUP($E1334,WGTbl,2,0),"کد ناشناخته"),IFERROR(IF(VLOOKUP($E1334,AcctTblE,4,0)="","(بدون نام)",VLOOKUP($E1334,AcctTblE,4,0)),"کد ناشناخته")))</f>
        <v/>
      </c>
      <c r="G1334" s="15" t="n"/>
      <c r="H1334" s="21">
        <f>IF(OR($C1334&lt;&gt;"دستمزد گروهی",$D1334=""),"",SUMIFS(ShareAmt,ShareLink,$D1334))</f>
        <v/>
      </c>
      <c r="I1334" s="22">
        <f>IF($C1334&lt;&gt;"دستمزد گروهی","—",IF($H1334="","",IF(ROUND($H1334-IF($G1334="",0,$G1334),0)=0,"√","▲ مغایرت "&amp;TEXT(IF($G1334="",0,$G1334)-$H1334,"#,##0"))))</f>
        <v/>
      </c>
      <c r="J1334" s="18" t="n"/>
    </row>
    <row r="1335">
      <c r="A1335" s="10">
        <f>IF($B1335="","",COUNTA($B$9:$B1335))</f>
        <v/>
      </c>
      <c r="B1335" s="11" t="n"/>
      <c r="C1335" s="12" t="n"/>
      <c r="D1335" s="12" t="n"/>
      <c r="E1335" s="13" t="n"/>
      <c r="F1335" s="14">
        <f>IF($E1335="","",IF($C1335="دستمزد گروهی",IFERROR(VLOOKUP($E1335,WGTbl,2,0),"کد ناشناخته"),IFERROR(IF(VLOOKUP($E1335,AcctTblE,4,0)="","(بدون نام)",VLOOKUP($E1335,AcctTblE,4,0)),"کد ناشناخته")))</f>
        <v/>
      </c>
      <c r="G1335" s="15" t="n"/>
      <c r="H1335" s="16">
        <f>IF(OR($C1335&lt;&gt;"دستمزد گروهی",$D1335=""),"",SUMIFS(ShareAmt,ShareLink,$D1335))</f>
        <v/>
      </c>
      <c r="I1335" s="17">
        <f>IF($C1335&lt;&gt;"دستمزد گروهی","—",IF($H1335="","",IF(ROUND($H1335-IF($G1335="",0,$G1335),0)=0,"√","▲ مغایرت "&amp;TEXT(IF($G1335="",0,$G1335)-$H1335,"#,##0"))))</f>
        <v/>
      </c>
      <c r="J1335" s="18" t="n"/>
    </row>
    <row r="1336">
      <c r="A1336" s="19">
        <f>IF($B1336="","",COUNTA($B$9:$B1336))</f>
        <v/>
      </c>
      <c r="B1336" s="11" t="n"/>
      <c r="C1336" s="12" t="n"/>
      <c r="D1336" s="12" t="n"/>
      <c r="E1336" s="13" t="n"/>
      <c r="F1336" s="20">
        <f>IF($E1336="","",IF($C1336="دستمزد گروهی",IFERROR(VLOOKUP($E1336,WGTbl,2,0),"کد ناشناخته"),IFERROR(IF(VLOOKUP($E1336,AcctTblE,4,0)="","(بدون نام)",VLOOKUP($E1336,AcctTblE,4,0)),"کد ناشناخته")))</f>
        <v/>
      </c>
      <c r="G1336" s="15" t="n"/>
      <c r="H1336" s="21">
        <f>IF(OR($C1336&lt;&gt;"دستمزد گروهی",$D1336=""),"",SUMIFS(ShareAmt,ShareLink,$D1336))</f>
        <v/>
      </c>
      <c r="I1336" s="22">
        <f>IF($C1336&lt;&gt;"دستمزد گروهی","—",IF($H1336="","",IF(ROUND($H1336-IF($G1336="",0,$G1336),0)=0,"√","▲ مغایرت "&amp;TEXT(IF($G1336="",0,$G1336)-$H1336,"#,##0"))))</f>
        <v/>
      </c>
      <c r="J1336" s="18" t="n"/>
    </row>
    <row r="1337">
      <c r="A1337" s="10">
        <f>IF($B1337="","",COUNTA($B$9:$B1337))</f>
        <v/>
      </c>
      <c r="B1337" s="11" t="n"/>
      <c r="C1337" s="12" t="n"/>
      <c r="D1337" s="12" t="n"/>
      <c r="E1337" s="13" t="n"/>
      <c r="F1337" s="14">
        <f>IF($E1337="","",IF($C1337="دستمزد گروهی",IFERROR(VLOOKUP($E1337,WGTbl,2,0),"کد ناشناخته"),IFERROR(IF(VLOOKUP($E1337,AcctTblE,4,0)="","(بدون نام)",VLOOKUP($E1337,AcctTblE,4,0)),"کد ناشناخته")))</f>
        <v/>
      </c>
      <c r="G1337" s="15" t="n"/>
      <c r="H1337" s="16">
        <f>IF(OR($C1337&lt;&gt;"دستمزد گروهی",$D1337=""),"",SUMIFS(ShareAmt,ShareLink,$D1337))</f>
        <v/>
      </c>
      <c r="I1337" s="17">
        <f>IF($C1337&lt;&gt;"دستمزد گروهی","—",IF($H1337="","",IF(ROUND($H1337-IF($G1337="",0,$G1337),0)=0,"√","▲ مغایرت "&amp;TEXT(IF($G1337="",0,$G1337)-$H1337,"#,##0"))))</f>
        <v/>
      </c>
      <c r="J1337" s="18" t="n"/>
    </row>
    <row r="1338">
      <c r="A1338" s="19">
        <f>IF($B1338="","",COUNTA($B$9:$B1338))</f>
        <v/>
      </c>
      <c r="B1338" s="11" t="n"/>
      <c r="C1338" s="12" t="n"/>
      <c r="D1338" s="12" t="n"/>
      <c r="E1338" s="13" t="n"/>
      <c r="F1338" s="20">
        <f>IF($E1338="","",IF($C1338="دستمزد گروهی",IFERROR(VLOOKUP($E1338,WGTbl,2,0),"کد ناشناخته"),IFERROR(IF(VLOOKUP($E1338,AcctTblE,4,0)="","(بدون نام)",VLOOKUP($E1338,AcctTblE,4,0)),"کد ناشناخته")))</f>
        <v/>
      </c>
      <c r="G1338" s="15" t="n"/>
      <c r="H1338" s="21">
        <f>IF(OR($C1338&lt;&gt;"دستمزد گروهی",$D1338=""),"",SUMIFS(ShareAmt,ShareLink,$D1338))</f>
        <v/>
      </c>
      <c r="I1338" s="22">
        <f>IF($C1338&lt;&gt;"دستمزد گروهی","—",IF($H1338="","",IF(ROUND($H1338-IF($G1338="",0,$G1338),0)=0,"√","▲ مغایرت "&amp;TEXT(IF($G1338="",0,$G1338)-$H1338,"#,##0"))))</f>
        <v/>
      </c>
      <c r="J1338" s="18" t="n"/>
    </row>
    <row r="1339">
      <c r="A1339" s="10">
        <f>IF($B1339="","",COUNTA($B$9:$B1339))</f>
        <v/>
      </c>
      <c r="B1339" s="11" t="n"/>
      <c r="C1339" s="12" t="n"/>
      <c r="D1339" s="12" t="n"/>
      <c r="E1339" s="13" t="n"/>
      <c r="F1339" s="14">
        <f>IF($E1339="","",IF($C1339="دستمزد گروهی",IFERROR(VLOOKUP($E1339,WGTbl,2,0),"کد ناشناخته"),IFERROR(IF(VLOOKUP($E1339,AcctTblE,4,0)="","(بدون نام)",VLOOKUP($E1339,AcctTblE,4,0)),"کد ناشناخته")))</f>
        <v/>
      </c>
      <c r="G1339" s="15" t="n"/>
      <c r="H1339" s="16">
        <f>IF(OR($C1339&lt;&gt;"دستمزد گروهی",$D1339=""),"",SUMIFS(ShareAmt,ShareLink,$D1339))</f>
        <v/>
      </c>
      <c r="I1339" s="17">
        <f>IF($C1339&lt;&gt;"دستمزد گروهی","—",IF($H1339="","",IF(ROUND($H1339-IF($G1339="",0,$G1339),0)=0,"√","▲ مغایرت "&amp;TEXT(IF($G1339="",0,$G1339)-$H1339,"#,##0"))))</f>
        <v/>
      </c>
      <c r="J1339" s="18" t="n"/>
    </row>
    <row r="1340">
      <c r="A1340" s="19">
        <f>IF($B1340="","",COUNTA($B$9:$B1340))</f>
        <v/>
      </c>
      <c r="B1340" s="11" t="n"/>
      <c r="C1340" s="12" t="n"/>
      <c r="D1340" s="12" t="n"/>
      <c r="E1340" s="13" t="n"/>
      <c r="F1340" s="20">
        <f>IF($E1340="","",IF($C1340="دستمزد گروهی",IFERROR(VLOOKUP($E1340,WGTbl,2,0),"کد ناشناخته"),IFERROR(IF(VLOOKUP($E1340,AcctTblE,4,0)="","(بدون نام)",VLOOKUP($E1340,AcctTblE,4,0)),"کد ناشناخته")))</f>
        <v/>
      </c>
      <c r="G1340" s="15" t="n"/>
      <c r="H1340" s="21">
        <f>IF(OR($C1340&lt;&gt;"دستمزد گروهی",$D1340=""),"",SUMIFS(ShareAmt,ShareLink,$D1340))</f>
        <v/>
      </c>
      <c r="I1340" s="22">
        <f>IF($C1340&lt;&gt;"دستمزد گروهی","—",IF($H1340="","",IF(ROUND($H1340-IF($G1340="",0,$G1340),0)=0,"√","▲ مغایرت "&amp;TEXT(IF($G1340="",0,$G1340)-$H1340,"#,##0"))))</f>
        <v/>
      </c>
      <c r="J1340" s="18" t="n"/>
    </row>
    <row r="1341">
      <c r="A1341" s="10">
        <f>IF($B1341="","",COUNTA($B$9:$B1341))</f>
        <v/>
      </c>
      <c r="B1341" s="11" t="n"/>
      <c r="C1341" s="12" t="n"/>
      <c r="D1341" s="12" t="n"/>
      <c r="E1341" s="13" t="n"/>
      <c r="F1341" s="14">
        <f>IF($E1341="","",IF($C1341="دستمزد گروهی",IFERROR(VLOOKUP($E1341,WGTbl,2,0),"کد ناشناخته"),IFERROR(IF(VLOOKUP($E1341,AcctTblE,4,0)="","(بدون نام)",VLOOKUP($E1341,AcctTblE,4,0)),"کد ناشناخته")))</f>
        <v/>
      </c>
      <c r="G1341" s="15" t="n"/>
      <c r="H1341" s="16">
        <f>IF(OR($C1341&lt;&gt;"دستمزد گروهی",$D1341=""),"",SUMIFS(ShareAmt,ShareLink,$D1341))</f>
        <v/>
      </c>
      <c r="I1341" s="17">
        <f>IF($C1341&lt;&gt;"دستمزد گروهی","—",IF($H1341="","",IF(ROUND($H1341-IF($G1341="",0,$G1341),0)=0,"√","▲ مغایرت "&amp;TEXT(IF($G1341="",0,$G1341)-$H1341,"#,##0"))))</f>
        <v/>
      </c>
      <c r="J1341" s="18" t="n"/>
    </row>
    <row r="1342">
      <c r="A1342" s="19">
        <f>IF($B1342="","",COUNTA($B$9:$B1342))</f>
        <v/>
      </c>
      <c r="B1342" s="11" t="n"/>
      <c r="C1342" s="12" t="n"/>
      <c r="D1342" s="12" t="n"/>
      <c r="E1342" s="13" t="n"/>
      <c r="F1342" s="20">
        <f>IF($E1342="","",IF($C1342="دستمزد گروهی",IFERROR(VLOOKUP($E1342,WGTbl,2,0),"کد ناشناخته"),IFERROR(IF(VLOOKUP($E1342,AcctTblE,4,0)="","(بدون نام)",VLOOKUP($E1342,AcctTblE,4,0)),"کد ناشناخته")))</f>
        <v/>
      </c>
      <c r="G1342" s="15" t="n"/>
      <c r="H1342" s="21">
        <f>IF(OR($C1342&lt;&gt;"دستمزد گروهی",$D1342=""),"",SUMIFS(ShareAmt,ShareLink,$D1342))</f>
        <v/>
      </c>
      <c r="I1342" s="22">
        <f>IF($C1342&lt;&gt;"دستمزد گروهی","—",IF($H1342="","",IF(ROUND($H1342-IF($G1342="",0,$G1342),0)=0,"√","▲ مغایرت "&amp;TEXT(IF($G1342="",0,$G1342)-$H1342,"#,##0"))))</f>
        <v/>
      </c>
      <c r="J1342" s="18" t="n"/>
    </row>
    <row r="1343">
      <c r="A1343" s="10">
        <f>IF($B1343="","",COUNTA($B$9:$B1343))</f>
        <v/>
      </c>
      <c r="B1343" s="11" t="n"/>
      <c r="C1343" s="12" t="n"/>
      <c r="D1343" s="12" t="n"/>
      <c r="E1343" s="13" t="n"/>
      <c r="F1343" s="14">
        <f>IF($E1343="","",IF($C1343="دستمزد گروهی",IFERROR(VLOOKUP($E1343,WGTbl,2,0),"کد ناشناخته"),IFERROR(IF(VLOOKUP($E1343,AcctTblE,4,0)="","(بدون نام)",VLOOKUP($E1343,AcctTblE,4,0)),"کد ناشناخته")))</f>
        <v/>
      </c>
      <c r="G1343" s="15" t="n"/>
      <c r="H1343" s="16">
        <f>IF(OR($C1343&lt;&gt;"دستمزد گروهی",$D1343=""),"",SUMIFS(ShareAmt,ShareLink,$D1343))</f>
        <v/>
      </c>
      <c r="I1343" s="17">
        <f>IF($C1343&lt;&gt;"دستمزد گروهی","—",IF($H1343="","",IF(ROUND($H1343-IF($G1343="",0,$G1343),0)=0,"√","▲ مغایرت "&amp;TEXT(IF($G1343="",0,$G1343)-$H1343,"#,##0"))))</f>
        <v/>
      </c>
      <c r="J1343" s="18" t="n"/>
    </row>
    <row r="1344">
      <c r="A1344" s="19">
        <f>IF($B1344="","",COUNTA($B$9:$B1344))</f>
        <v/>
      </c>
      <c r="B1344" s="11" t="n"/>
      <c r="C1344" s="12" t="n"/>
      <c r="D1344" s="12" t="n"/>
      <c r="E1344" s="13" t="n"/>
      <c r="F1344" s="20">
        <f>IF($E1344="","",IF($C1344="دستمزد گروهی",IFERROR(VLOOKUP($E1344,WGTbl,2,0),"کد ناشناخته"),IFERROR(IF(VLOOKUP($E1344,AcctTblE,4,0)="","(بدون نام)",VLOOKUP($E1344,AcctTblE,4,0)),"کد ناشناخته")))</f>
        <v/>
      </c>
      <c r="G1344" s="15" t="n"/>
      <c r="H1344" s="21">
        <f>IF(OR($C1344&lt;&gt;"دستمزد گروهی",$D1344=""),"",SUMIFS(ShareAmt,ShareLink,$D1344))</f>
        <v/>
      </c>
      <c r="I1344" s="22">
        <f>IF($C1344&lt;&gt;"دستمزد گروهی","—",IF($H1344="","",IF(ROUND($H1344-IF($G1344="",0,$G1344),0)=0,"√","▲ مغایرت "&amp;TEXT(IF($G1344="",0,$G1344)-$H1344,"#,##0"))))</f>
        <v/>
      </c>
      <c r="J1344" s="18" t="n"/>
    </row>
    <row r="1345">
      <c r="A1345" s="10">
        <f>IF($B1345="","",COUNTA($B$9:$B1345))</f>
        <v/>
      </c>
      <c r="B1345" s="11" t="n"/>
      <c r="C1345" s="12" t="n"/>
      <c r="D1345" s="12" t="n"/>
      <c r="E1345" s="13" t="n"/>
      <c r="F1345" s="14">
        <f>IF($E1345="","",IF($C1345="دستمزد گروهی",IFERROR(VLOOKUP($E1345,WGTbl,2,0),"کد ناشناخته"),IFERROR(IF(VLOOKUP($E1345,AcctTblE,4,0)="","(بدون نام)",VLOOKUP($E1345,AcctTblE,4,0)),"کد ناشناخته")))</f>
        <v/>
      </c>
      <c r="G1345" s="15" t="n"/>
      <c r="H1345" s="16">
        <f>IF(OR($C1345&lt;&gt;"دستمزد گروهی",$D1345=""),"",SUMIFS(ShareAmt,ShareLink,$D1345))</f>
        <v/>
      </c>
      <c r="I1345" s="17">
        <f>IF($C1345&lt;&gt;"دستمزد گروهی","—",IF($H1345="","",IF(ROUND($H1345-IF($G1345="",0,$G1345),0)=0,"√","▲ مغایرت "&amp;TEXT(IF($G1345="",0,$G1345)-$H1345,"#,##0"))))</f>
        <v/>
      </c>
      <c r="J1345" s="18" t="n"/>
    </row>
    <row r="1346">
      <c r="A1346" s="19">
        <f>IF($B1346="","",COUNTA($B$9:$B1346))</f>
        <v/>
      </c>
      <c r="B1346" s="11" t="n"/>
      <c r="C1346" s="12" t="n"/>
      <c r="D1346" s="12" t="n"/>
      <c r="E1346" s="13" t="n"/>
      <c r="F1346" s="20">
        <f>IF($E1346="","",IF($C1346="دستمزد گروهی",IFERROR(VLOOKUP($E1346,WGTbl,2,0),"کد ناشناخته"),IFERROR(IF(VLOOKUP($E1346,AcctTblE,4,0)="","(بدون نام)",VLOOKUP($E1346,AcctTblE,4,0)),"کد ناشناخته")))</f>
        <v/>
      </c>
      <c r="G1346" s="15" t="n"/>
      <c r="H1346" s="21">
        <f>IF(OR($C1346&lt;&gt;"دستمزد گروهی",$D1346=""),"",SUMIFS(ShareAmt,ShareLink,$D1346))</f>
        <v/>
      </c>
      <c r="I1346" s="22">
        <f>IF($C1346&lt;&gt;"دستمزد گروهی","—",IF($H1346="","",IF(ROUND($H1346-IF($G1346="",0,$G1346),0)=0,"√","▲ مغایرت "&amp;TEXT(IF($G1346="",0,$G1346)-$H1346,"#,##0"))))</f>
        <v/>
      </c>
      <c r="J1346" s="18" t="n"/>
    </row>
    <row r="1347">
      <c r="A1347" s="10">
        <f>IF($B1347="","",COUNTA($B$9:$B1347))</f>
        <v/>
      </c>
      <c r="B1347" s="11" t="n"/>
      <c r="C1347" s="12" t="n"/>
      <c r="D1347" s="12" t="n"/>
      <c r="E1347" s="13" t="n"/>
      <c r="F1347" s="14">
        <f>IF($E1347="","",IF($C1347="دستمزد گروهی",IFERROR(VLOOKUP($E1347,WGTbl,2,0),"کد ناشناخته"),IFERROR(IF(VLOOKUP($E1347,AcctTblE,4,0)="","(بدون نام)",VLOOKUP($E1347,AcctTblE,4,0)),"کد ناشناخته")))</f>
        <v/>
      </c>
      <c r="G1347" s="15" t="n"/>
      <c r="H1347" s="16">
        <f>IF(OR($C1347&lt;&gt;"دستمزد گروهی",$D1347=""),"",SUMIFS(ShareAmt,ShareLink,$D1347))</f>
        <v/>
      </c>
      <c r="I1347" s="17">
        <f>IF($C1347&lt;&gt;"دستمزد گروهی","—",IF($H1347="","",IF(ROUND($H1347-IF($G1347="",0,$G1347),0)=0,"√","▲ مغایرت "&amp;TEXT(IF($G1347="",0,$G1347)-$H1347,"#,##0"))))</f>
        <v/>
      </c>
      <c r="J1347" s="18" t="n"/>
    </row>
    <row r="1348">
      <c r="A1348" s="19">
        <f>IF($B1348="","",COUNTA($B$9:$B1348))</f>
        <v/>
      </c>
      <c r="B1348" s="11" t="n"/>
      <c r="C1348" s="12" t="n"/>
      <c r="D1348" s="12" t="n"/>
      <c r="E1348" s="13" t="n"/>
      <c r="F1348" s="20">
        <f>IF($E1348="","",IF($C1348="دستمزد گروهی",IFERROR(VLOOKUP($E1348,WGTbl,2,0),"کد ناشناخته"),IFERROR(IF(VLOOKUP($E1348,AcctTblE,4,0)="","(بدون نام)",VLOOKUP($E1348,AcctTblE,4,0)),"کد ناشناخته")))</f>
        <v/>
      </c>
      <c r="G1348" s="15" t="n"/>
      <c r="H1348" s="21">
        <f>IF(OR($C1348&lt;&gt;"دستمزد گروهی",$D1348=""),"",SUMIFS(ShareAmt,ShareLink,$D1348))</f>
        <v/>
      </c>
      <c r="I1348" s="22">
        <f>IF($C1348&lt;&gt;"دستمزد گروهی","—",IF($H1348="","",IF(ROUND($H1348-IF($G1348="",0,$G1348),0)=0,"√","▲ مغایرت "&amp;TEXT(IF($G1348="",0,$G1348)-$H1348,"#,##0"))))</f>
        <v/>
      </c>
      <c r="J1348" s="18" t="n"/>
    </row>
    <row r="1349">
      <c r="A1349" s="10">
        <f>IF($B1349="","",COUNTA($B$9:$B1349))</f>
        <v/>
      </c>
      <c r="B1349" s="11" t="n"/>
      <c r="C1349" s="12" t="n"/>
      <c r="D1349" s="12" t="n"/>
      <c r="E1349" s="13" t="n"/>
      <c r="F1349" s="14">
        <f>IF($E1349="","",IF($C1349="دستمزد گروهی",IFERROR(VLOOKUP($E1349,WGTbl,2,0),"کد ناشناخته"),IFERROR(IF(VLOOKUP($E1349,AcctTblE,4,0)="","(بدون نام)",VLOOKUP($E1349,AcctTblE,4,0)),"کد ناشناخته")))</f>
        <v/>
      </c>
      <c r="G1349" s="15" t="n"/>
      <c r="H1349" s="16">
        <f>IF(OR($C1349&lt;&gt;"دستمزد گروهی",$D1349=""),"",SUMIFS(ShareAmt,ShareLink,$D1349))</f>
        <v/>
      </c>
      <c r="I1349" s="17">
        <f>IF($C1349&lt;&gt;"دستمزد گروهی","—",IF($H1349="","",IF(ROUND($H1349-IF($G1349="",0,$G1349),0)=0,"√","▲ مغایرت "&amp;TEXT(IF($G1349="",0,$G1349)-$H1349,"#,##0"))))</f>
        <v/>
      </c>
      <c r="J1349" s="18" t="n"/>
    </row>
    <row r="1350">
      <c r="A1350" s="19">
        <f>IF($B1350="","",COUNTA($B$9:$B1350))</f>
        <v/>
      </c>
      <c r="B1350" s="11" t="n"/>
      <c r="C1350" s="12" t="n"/>
      <c r="D1350" s="12" t="n"/>
      <c r="E1350" s="13" t="n"/>
      <c r="F1350" s="20">
        <f>IF($E1350="","",IF($C1350="دستمزد گروهی",IFERROR(VLOOKUP($E1350,WGTbl,2,0),"کد ناشناخته"),IFERROR(IF(VLOOKUP($E1350,AcctTblE,4,0)="","(بدون نام)",VLOOKUP($E1350,AcctTblE,4,0)),"کد ناشناخته")))</f>
        <v/>
      </c>
      <c r="G1350" s="15" t="n"/>
      <c r="H1350" s="21">
        <f>IF(OR($C1350&lt;&gt;"دستمزد گروهی",$D1350=""),"",SUMIFS(ShareAmt,ShareLink,$D1350))</f>
        <v/>
      </c>
      <c r="I1350" s="22">
        <f>IF($C1350&lt;&gt;"دستمزد گروهی","—",IF($H1350="","",IF(ROUND($H1350-IF($G1350="",0,$G1350),0)=0,"√","▲ مغایرت "&amp;TEXT(IF($G1350="",0,$G1350)-$H1350,"#,##0"))))</f>
        <v/>
      </c>
      <c r="J1350" s="18" t="n"/>
    </row>
    <row r="1351">
      <c r="A1351" s="10">
        <f>IF($B1351="","",COUNTA($B$9:$B1351))</f>
        <v/>
      </c>
      <c r="B1351" s="11" t="n"/>
      <c r="C1351" s="12" t="n"/>
      <c r="D1351" s="12" t="n"/>
      <c r="E1351" s="13" t="n"/>
      <c r="F1351" s="14">
        <f>IF($E1351="","",IF($C1351="دستمزد گروهی",IFERROR(VLOOKUP($E1351,WGTbl,2,0),"کد ناشناخته"),IFERROR(IF(VLOOKUP($E1351,AcctTblE,4,0)="","(بدون نام)",VLOOKUP($E1351,AcctTblE,4,0)),"کد ناشناخته")))</f>
        <v/>
      </c>
      <c r="G1351" s="15" t="n"/>
      <c r="H1351" s="16">
        <f>IF(OR($C1351&lt;&gt;"دستمزد گروهی",$D1351=""),"",SUMIFS(ShareAmt,ShareLink,$D1351))</f>
        <v/>
      </c>
      <c r="I1351" s="17">
        <f>IF($C1351&lt;&gt;"دستمزد گروهی","—",IF($H1351="","",IF(ROUND($H1351-IF($G1351="",0,$G1351),0)=0,"√","▲ مغایرت "&amp;TEXT(IF($G1351="",0,$G1351)-$H1351,"#,##0"))))</f>
        <v/>
      </c>
      <c r="J1351" s="18" t="n"/>
    </row>
    <row r="1352">
      <c r="A1352" s="19">
        <f>IF($B1352="","",COUNTA($B$9:$B1352))</f>
        <v/>
      </c>
      <c r="B1352" s="11" t="n"/>
      <c r="C1352" s="12" t="n"/>
      <c r="D1352" s="12" t="n"/>
      <c r="E1352" s="13" t="n"/>
      <c r="F1352" s="20">
        <f>IF($E1352="","",IF($C1352="دستمزد گروهی",IFERROR(VLOOKUP($E1352,WGTbl,2,0),"کد ناشناخته"),IFERROR(IF(VLOOKUP($E1352,AcctTblE,4,0)="","(بدون نام)",VLOOKUP($E1352,AcctTblE,4,0)),"کد ناشناخته")))</f>
        <v/>
      </c>
      <c r="G1352" s="15" t="n"/>
      <c r="H1352" s="21">
        <f>IF(OR($C1352&lt;&gt;"دستمزد گروهی",$D1352=""),"",SUMIFS(ShareAmt,ShareLink,$D1352))</f>
        <v/>
      </c>
      <c r="I1352" s="22">
        <f>IF($C1352&lt;&gt;"دستمزد گروهی","—",IF($H1352="","",IF(ROUND($H1352-IF($G1352="",0,$G1352),0)=0,"√","▲ مغایرت "&amp;TEXT(IF($G1352="",0,$G1352)-$H1352,"#,##0"))))</f>
        <v/>
      </c>
      <c r="J1352" s="18" t="n"/>
    </row>
    <row r="1353">
      <c r="A1353" s="10">
        <f>IF($B1353="","",COUNTA($B$9:$B1353))</f>
        <v/>
      </c>
      <c r="B1353" s="11" t="n"/>
      <c r="C1353" s="12" t="n"/>
      <c r="D1353" s="12" t="n"/>
      <c r="E1353" s="13" t="n"/>
      <c r="F1353" s="14">
        <f>IF($E1353="","",IF($C1353="دستمزد گروهی",IFERROR(VLOOKUP($E1353,WGTbl,2,0),"کد ناشناخته"),IFERROR(IF(VLOOKUP($E1353,AcctTblE,4,0)="","(بدون نام)",VLOOKUP($E1353,AcctTblE,4,0)),"کد ناشناخته")))</f>
        <v/>
      </c>
      <c r="G1353" s="15" t="n"/>
      <c r="H1353" s="16">
        <f>IF(OR($C1353&lt;&gt;"دستمزد گروهی",$D1353=""),"",SUMIFS(ShareAmt,ShareLink,$D1353))</f>
        <v/>
      </c>
      <c r="I1353" s="17">
        <f>IF($C1353&lt;&gt;"دستمزد گروهی","—",IF($H1353="","",IF(ROUND($H1353-IF($G1353="",0,$G1353),0)=0,"√","▲ مغایرت "&amp;TEXT(IF($G1353="",0,$G1353)-$H1353,"#,##0"))))</f>
        <v/>
      </c>
      <c r="J1353" s="18" t="n"/>
    </row>
    <row r="1354">
      <c r="A1354" s="19">
        <f>IF($B1354="","",COUNTA($B$9:$B1354))</f>
        <v/>
      </c>
      <c r="B1354" s="11" t="n"/>
      <c r="C1354" s="12" t="n"/>
      <c r="D1354" s="12" t="n"/>
      <c r="E1354" s="13" t="n"/>
      <c r="F1354" s="20">
        <f>IF($E1354="","",IF($C1354="دستمزد گروهی",IFERROR(VLOOKUP($E1354,WGTbl,2,0),"کد ناشناخته"),IFERROR(IF(VLOOKUP($E1354,AcctTblE,4,0)="","(بدون نام)",VLOOKUP($E1354,AcctTblE,4,0)),"کد ناشناخته")))</f>
        <v/>
      </c>
      <c r="G1354" s="15" t="n"/>
      <c r="H1354" s="21">
        <f>IF(OR($C1354&lt;&gt;"دستمزد گروهی",$D1354=""),"",SUMIFS(ShareAmt,ShareLink,$D1354))</f>
        <v/>
      </c>
      <c r="I1354" s="22">
        <f>IF($C1354&lt;&gt;"دستمزد گروهی","—",IF($H1354="","",IF(ROUND($H1354-IF($G1354="",0,$G1354),0)=0,"√","▲ مغایرت "&amp;TEXT(IF($G1354="",0,$G1354)-$H1354,"#,##0"))))</f>
        <v/>
      </c>
      <c r="J1354" s="18" t="n"/>
    </row>
    <row r="1355">
      <c r="A1355" s="10">
        <f>IF($B1355="","",COUNTA($B$9:$B1355))</f>
        <v/>
      </c>
      <c r="B1355" s="11" t="n"/>
      <c r="C1355" s="12" t="n"/>
      <c r="D1355" s="12" t="n"/>
      <c r="E1355" s="13" t="n"/>
      <c r="F1355" s="14">
        <f>IF($E1355="","",IF($C1355="دستمزد گروهی",IFERROR(VLOOKUP($E1355,WGTbl,2,0),"کد ناشناخته"),IFERROR(IF(VLOOKUP($E1355,AcctTblE,4,0)="","(بدون نام)",VLOOKUP($E1355,AcctTblE,4,0)),"کد ناشناخته")))</f>
        <v/>
      </c>
      <c r="G1355" s="15" t="n"/>
      <c r="H1355" s="16">
        <f>IF(OR($C1355&lt;&gt;"دستمزد گروهی",$D1355=""),"",SUMIFS(ShareAmt,ShareLink,$D1355))</f>
        <v/>
      </c>
      <c r="I1355" s="17">
        <f>IF($C1355&lt;&gt;"دستمزد گروهی","—",IF($H1355="","",IF(ROUND($H1355-IF($G1355="",0,$G1355),0)=0,"√","▲ مغایرت "&amp;TEXT(IF($G1355="",0,$G1355)-$H1355,"#,##0"))))</f>
        <v/>
      </c>
      <c r="J1355" s="18" t="n"/>
    </row>
    <row r="1356">
      <c r="A1356" s="19">
        <f>IF($B1356="","",COUNTA($B$9:$B1356))</f>
        <v/>
      </c>
      <c r="B1356" s="11" t="n"/>
      <c r="C1356" s="12" t="n"/>
      <c r="D1356" s="12" t="n"/>
      <c r="E1356" s="13" t="n"/>
      <c r="F1356" s="20">
        <f>IF($E1356="","",IF($C1356="دستمزد گروهی",IFERROR(VLOOKUP($E1356,WGTbl,2,0),"کد ناشناخته"),IFERROR(IF(VLOOKUP($E1356,AcctTblE,4,0)="","(بدون نام)",VLOOKUP($E1356,AcctTblE,4,0)),"کد ناشناخته")))</f>
        <v/>
      </c>
      <c r="G1356" s="15" t="n"/>
      <c r="H1356" s="21">
        <f>IF(OR($C1356&lt;&gt;"دستمزد گروهی",$D1356=""),"",SUMIFS(ShareAmt,ShareLink,$D1356))</f>
        <v/>
      </c>
      <c r="I1356" s="22">
        <f>IF($C1356&lt;&gt;"دستمزد گروهی","—",IF($H1356="","",IF(ROUND($H1356-IF($G1356="",0,$G1356),0)=0,"√","▲ مغایرت "&amp;TEXT(IF($G1356="",0,$G1356)-$H1356,"#,##0"))))</f>
        <v/>
      </c>
      <c r="J1356" s="18" t="n"/>
    </row>
    <row r="1357">
      <c r="A1357" s="10">
        <f>IF($B1357="","",COUNTA($B$9:$B1357))</f>
        <v/>
      </c>
      <c r="B1357" s="11" t="n"/>
      <c r="C1357" s="12" t="n"/>
      <c r="D1357" s="12" t="n"/>
      <c r="E1357" s="13" t="n"/>
      <c r="F1357" s="14">
        <f>IF($E1357="","",IF($C1357="دستمزد گروهی",IFERROR(VLOOKUP($E1357,WGTbl,2,0),"کد ناشناخته"),IFERROR(IF(VLOOKUP($E1357,AcctTblE,4,0)="","(بدون نام)",VLOOKUP($E1357,AcctTblE,4,0)),"کد ناشناخته")))</f>
        <v/>
      </c>
      <c r="G1357" s="15" t="n"/>
      <c r="H1357" s="16">
        <f>IF(OR($C1357&lt;&gt;"دستمزد گروهی",$D1357=""),"",SUMIFS(ShareAmt,ShareLink,$D1357))</f>
        <v/>
      </c>
      <c r="I1357" s="17">
        <f>IF($C1357&lt;&gt;"دستمزد گروهی","—",IF($H1357="","",IF(ROUND($H1357-IF($G1357="",0,$G1357),0)=0,"√","▲ مغایرت "&amp;TEXT(IF($G1357="",0,$G1357)-$H1357,"#,##0"))))</f>
        <v/>
      </c>
      <c r="J1357" s="18" t="n"/>
    </row>
    <row r="1358">
      <c r="A1358" s="19">
        <f>IF($B1358="","",COUNTA($B$9:$B1358))</f>
        <v/>
      </c>
      <c r="B1358" s="11" t="n"/>
      <c r="C1358" s="12" t="n"/>
      <c r="D1358" s="12" t="n"/>
      <c r="E1358" s="13" t="n"/>
      <c r="F1358" s="20">
        <f>IF($E1358="","",IF($C1358="دستمزد گروهی",IFERROR(VLOOKUP($E1358,WGTbl,2,0),"کد ناشناخته"),IFERROR(IF(VLOOKUP($E1358,AcctTblE,4,0)="","(بدون نام)",VLOOKUP($E1358,AcctTblE,4,0)),"کد ناشناخته")))</f>
        <v/>
      </c>
      <c r="G1358" s="15" t="n"/>
      <c r="H1358" s="21">
        <f>IF(OR($C1358&lt;&gt;"دستمزد گروهی",$D1358=""),"",SUMIFS(ShareAmt,ShareLink,$D1358))</f>
        <v/>
      </c>
      <c r="I1358" s="22">
        <f>IF($C1358&lt;&gt;"دستمزد گروهی","—",IF($H1358="","",IF(ROUND($H1358-IF($G1358="",0,$G1358),0)=0,"√","▲ مغایرت "&amp;TEXT(IF($G1358="",0,$G1358)-$H1358,"#,##0"))))</f>
        <v/>
      </c>
      <c r="J1358" s="18" t="n"/>
    </row>
    <row r="1359">
      <c r="A1359" s="10">
        <f>IF($B1359="","",COUNTA($B$9:$B1359))</f>
        <v/>
      </c>
      <c r="B1359" s="11" t="n"/>
      <c r="C1359" s="12" t="n"/>
      <c r="D1359" s="12" t="n"/>
      <c r="E1359" s="13" t="n"/>
      <c r="F1359" s="14">
        <f>IF($E1359="","",IF($C1359="دستمزد گروهی",IFERROR(VLOOKUP($E1359,WGTbl,2,0),"کد ناشناخته"),IFERROR(IF(VLOOKUP($E1359,AcctTblE,4,0)="","(بدون نام)",VLOOKUP($E1359,AcctTblE,4,0)),"کد ناشناخته")))</f>
        <v/>
      </c>
      <c r="G1359" s="15" t="n"/>
      <c r="H1359" s="16">
        <f>IF(OR($C1359&lt;&gt;"دستمزد گروهی",$D1359=""),"",SUMIFS(ShareAmt,ShareLink,$D1359))</f>
        <v/>
      </c>
      <c r="I1359" s="17">
        <f>IF($C1359&lt;&gt;"دستمزد گروهی","—",IF($H1359="","",IF(ROUND($H1359-IF($G1359="",0,$G1359),0)=0,"√","▲ مغایرت "&amp;TEXT(IF($G1359="",0,$G1359)-$H1359,"#,##0"))))</f>
        <v/>
      </c>
      <c r="J1359" s="18" t="n"/>
    </row>
    <row r="1360">
      <c r="A1360" s="19">
        <f>IF($B1360="","",COUNTA($B$9:$B1360))</f>
        <v/>
      </c>
      <c r="B1360" s="11" t="n"/>
      <c r="C1360" s="12" t="n"/>
      <c r="D1360" s="12" t="n"/>
      <c r="E1360" s="13" t="n"/>
      <c r="F1360" s="20">
        <f>IF($E1360="","",IF($C1360="دستمزد گروهی",IFERROR(VLOOKUP($E1360,WGTbl,2,0),"کد ناشناخته"),IFERROR(IF(VLOOKUP($E1360,AcctTblE,4,0)="","(بدون نام)",VLOOKUP($E1360,AcctTblE,4,0)),"کد ناشناخته")))</f>
        <v/>
      </c>
      <c r="G1360" s="15" t="n"/>
      <c r="H1360" s="21">
        <f>IF(OR($C1360&lt;&gt;"دستمزد گروهی",$D1360=""),"",SUMIFS(ShareAmt,ShareLink,$D1360))</f>
        <v/>
      </c>
      <c r="I1360" s="22">
        <f>IF($C1360&lt;&gt;"دستمزد گروهی","—",IF($H1360="","",IF(ROUND($H1360-IF($G1360="",0,$G1360),0)=0,"√","▲ مغایرت "&amp;TEXT(IF($G1360="",0,$G1360)-$H1360,"#,##0"))))</f>
        <v/>
      </c>
      <c r="J1360" s="18" t="n"/>
    </row>
    <row r="1361">
      <c r="A1361" s="10">
        <f>IF($B1361="","",COUNTA($B$9:$B1361))</f>
        <v/>
      </c>
      <c r="B1361" s="11" t="n"/>
      <c r="C1361" s="12" t="n"/>
      <c r="D1361" s="12" t="n"/>
      <c r="E1361" s="13" t="n"/>
      <c r="F1361" s="14">
        <f>IF($E1361="","",IF($C1361="دستمزد گروهی",IFERROR(VLOOKUP($E1361,WGTbl,2,0),"کد ناشناخته"),IFERROR(IF(VLOOKUP($E1361,AcctTblE,4,0)="","(بدون نام)",VLOOKUP($E1361,AcctTblE,4,0)),"کد ناشناخته")))</f>
        <v/>
      </c>
      <c r="G1361" s="15" t="n"/>
      <c r="H1361" s="16">
        <f>IF(OR($C1361&lt;&gt;"دستمزد گروهی",$D1361=""),"",SUMIFS(ShareAmt,ShareLink,$D1361))</f>
        <v/>
      </c>
      <c r="I1361" s="17">
        <f>IF($C1361&lt;&gt;"دستمزد گروهی","—",IF($H1361="","",IF(ROUND($H1361-IF($G1361="",0,$G1361),0)=0,"√","▲ مغایرت "&amp;TEXT(IF($G1361="",0,$G1361)-$H1361,"#,##0"))))</f>
        <v/>
      </c>
      <c r="J1361" s="18" t="n"/>
    </row>
    <row r="1362">
      <c r="A1362" s="19">
        <f>IF($B1362="","",COUNTA($B$9:$B1362))</f>
        <v/>
      </c>
      <c r="B1362" s="11" t="n"/>
      <c r="C1362" s="12" t="n"/>
      <c r="D1362" s="12" t="n"/>
      <c r="E1362" s="13" t="n"/>
      <c r="F1362" s="20">
        <f>IF($E1362="","",IF($C1362="دستمزد گروهی",IFERROR(VLOOKUP($E1362,WGTbl,2,0),"کد ناشناخته"),IFERROR(IF(VLOOKUP($E1362,AcctTblE,4,0)="","(بدون نام)",VLOOKUP($E1362,AcctTblE,4,0)),"کد ناشناخته")))</f>
        <v/>
      </c>
      <c r="G1362" s="15" t="n"/>
      <c r="H1362" s="21">
        <f>IF(OR($C1362&lt;&gt;"دستمزد گروهی",$D1362=""),"",SUMIFS(ShareAmt,ShareLink,$D1362))</f>
        <v/>
      </c>
      <c r="I1362" s="22">
        <f>IF($C1362&lt;&gt;"دستمزد گروهی","—",IF($H1362="","",IF(ROUND($H1362-IF($G1362="",0,$G1362),0)=0,"√","▲ مغایرت "&amp;TEXT(IF($G1362="",0,$G1362)-$H1362,"#,##0"))))</f>
        <v/>
      </c>
      <c r="J1362" s="18" t="n"/>
    </row>
    <row r="1363">
      <c r="A1363" s="10">
        <f>IF($B1363="","",COUNTA($B$9:$B1363))</f>
        <v/>
      </c>
      <c r="B1363" s="11" t="n"/>
      <c r="C1363" s="12" t="n"/>
      <c r="D1363" s="12" t="n"/>
      <c r="E1363" s="13" t="n"/>
      <c r="F1363" s="14">
        <f>IF($E1363="","",IF($C1363="دستمزد گروهی",IFERROR(VLOOKUP($E1363,WGTbl,2,0),"کد ناشناخته"),IFERROR(IF(VLOOKUP($E1363,AcctTblE,4,0)="","(بدون نام)",VLOOKUP($E1363,AcctTblE,4,0)),"کد ناشناخته")))</f>
        <v/>
      </c>
      <c r="G1363" s="15" t="n"/>
      <c r="H1363" s="16">
        <f>IF(OR($C1363&lt;&gt;"دستمزد گروهی",$D1363=""),"",SUMIFS(ShareAmt,ShareLink,$D1363))</f>
        <v/>
      </c>
      <c r="I1363" s="17">
        <f>IF($C1363&lt;&gt;"دستمزد گروهی","—",IF($H1363="","",IF(ROUND($H1363-IF($G1363="",0,$G1363),0)=0,"√","▲ مغایرت "&amp;TEXT(IF($G1363="",0,$G1363)-$H1363,"#,##0"))))</f>
        <v/>
      </c>
      <c r="J1363" s="18" t="n"/>
    </row>
    <row r="1364">
      <c r="A1364" s="19">
        <f>IF($B1364="","",COUNTA($B$9:$B1364))</f>
        <v/>
      </c>
      <c r="B1364" s="11" t="n"/>
      <c r="C1364" s="12" t="n"/>
      <c r="D1364" s="12" t="n"/>
      <c r="E1364" s="13" t="n"/>
      <c r="F1364" s="20">
        <f>IF($E1364="","",IF($C1364="دستمزد گروهی",IFERROR(VLOOKUP($E1364,WGTbl,2,0),"کد ناشناخته"),IFERROR(IF(VLOOKUP($E1364,AcctTblE,4,0)="","(بدون نام)",VLOOKUP($E1364,AcctTblE,4,0)),"کد ناشناخته")))</f>
        <v/>
      </c>
      <c r="G1364" s="15" t="n"/>
      <c r="H1364" s="21">
        <f>IF(OR($C1364&lt;&gt;"دستمزد گروهی",$D1364=""),"",SUMIFS(ShareAmt,ShareLink,$D1364))</f>
        <v/>
      </c>
      <c r="I1364" s="22">
        <f>IF($C1364&lt;&gt;"دستمزد گروهی","—",IF($H1364="","",IF(ROUND($H1364-IF($G1364="",0,$G1364),0)=0,"√","▲ مغایرت "&amp;TEXT(IF($G1364="",0,$G1364)-$H1364,"#,##0"))))</f>
        <v/>
      </c>
      <c r="J1364" s="18" t="n"/>
    </row>
    <row r="1365">
      <c r="A1365" s="10">
        <f>IF($B1365="","",COUNTA($B$9:$B1365))</f>
        <v/>
      </c>
      <c r="B1365" s="11" t="n"/>
      <c r="C1365" s="12" t="n"/>
      <c r="D1365" s="12" t="n"/>
      <c r="E1365" s="13" t="n"/>
      <c r="F1365" s="14">
        <f>IF($E1365="","",IF($C1365="دستمزد گروهی",IFERROR(VLOOKUP($E1365,WGTbl,2,0),"کد ناشناخته"),IFERROR(IF(VLOOKUP($E1365,AcctTblE,4,0)="","(بدون نام)",VLOOKUP($E1365,AcctTblE,4,0)),"کد ناشناخته")))</f>
        <v/>
      </c>
      <c r="G1365" s="15" t="n"/>
      <c r="H1365" s="16">
        <f>IF(OR($C1365&lt;&gt;"دستمزد گروهی",$D1365=""),"",SUMIFS(ShareAmt,ShareLink,$D1365))</f>
        <v/>
      </c>
      <c r="I1365" s="17">
        <f>IF($C1365&lt;&gt;"دستمزد گروهی","—",IF($H1365="","",IF(ROUND($H1365-IF($G1365="",0,$G1365),0)=0,"√","▲ مغایرت "&amp;TEXT(IF($G1365="",0,$G1365)-$H1365,"#,##0"))))</f>
        <v/>
      </c>
      <c r="J1365" s="18" t="n"/>
    </row>
    <row r="1366">
      <c r="A1366" s="19">
        <f>IF($B1366="","",COUNTA($B$9:$B1366))</f>
        <v/>
      </c>
      <c r="B1366" s="11" t="n"/>
      <c r="C1366" s="12" t="n"/>
      <c r="D1366" s="12" t="n"/>
      <c r="E1366" s="13" t="n"/>
      <c r="F1366" s="20">
        <f>IF($E1366="","",IF($C1366="دستمزد گروهی",IFERROR(VLOOKUP($E1366,WGTbl,2,0),"کد ناشناخته"),IFERROR(IF(VLOOKUP($E1366,AcctTblE,4,0)="","(بدون نام)",VLOOKUP($E1366,AcctTblE,4,0)),"کد ناشناخته")))</f>
        <v/>
      </c>
      <c r="G1366" s="15" t="n"/>
      <c r="H1366" s="21">
        <f>IF(OR($C1366&lt;&gt;"دستمزد گروهی",$D1366=""),"",SUMIFS(ShareAmt,ShareLink,$D1366))</f>
        <v/>
      </c>
      <c r="I1366" s="22">
        <f>IF($C1366&lt;&gt;"دستمزد گروهی","—",IF($H1366="","",IF(ROUND($H1366-IF($G1366="",0,$G1366),0)=0,"√","▲ مغایرت "&amp;TEXT(IF($G1366="",0,$G1366)-$H1366,"#,##0"))))</f>
        <v/>
      </c>
      <c r="J1366" s="18" t="n"/>
    </row>
    <row r="1367">
      <c r="A1367" s="10">
        <f>IF($B1367="","",COUNTA($B$9:$B1367))</f>
        <v/>
      </c>
      <c r="B1367" s="11" t="n"/>
      <c r="C1367" s="12" t="n"/>
      <c r="D1367" s="12" t="n"/>
      <c r="E1367" s="13" t="n"/>
      <c r="F1367" s="14">
        <f>IF($E1367="","",IF($C1367="دستمزد گروهی",IFERROR(VLOOKUP($E1367,WGTbl,2,0),"کد ناشناخته"),IFERROR(IF(VLOOKUP($E1367,AcctTblE,4,0)="","(بدون نام)",VLOOKUP($E1367,AcctTblE,4,0)),"کد ناشناخته")))</f>
        <v/>
      </c>
      <c r="G1367" s="15" t="n"/>
      <c r="H1367" s="16">
        <f>IF(OR($C1367&lt;&gt;"دستمزد گروهی",$D1367=""),"",SUMIFS(ShareAmt,ShareLink,$D1367))</f>
        <v/>
      </c>
      <c r="I1367" s="17">
        <f>IF($C1367&lt;&gt;"دستمزد گروهی","—",IF($H1367="","",IF(ROUND($H1367-IF($G1367="",0,$G1367),0)=0,"√","▲ مغایرت "&amp;TEXT(IF($G1367="",0,$G1367)-$H1367,"#,##0"))))</f>
        <v/>
      </c>
      <c r="J1367" s="18" t="n"/>
    </row>
    <row r="1368">
      <c r="A1368" s="19">
        <f>IF($B1368="","",COUNTA($B$9:$B1368))</f>
        <v/>
      </c>
      <c r="B1368" s="11" t="n"/>
      <c r="C1368" s="12" t="n"/>
      <c r="D1368" s="12" t="n"/>
      <c r="E1368" s="13" t="n"/>
      <c r="F1368" s="20">
        <f>IF($E1368="","",IF($C1368="دستمزد گروهی",IFERROR(VLOOKUP($E1368,WGTbl,2,0),"کد ناشناخته"),IFERROR(IF(VLOOKUP($E1368,AcctTblE,4,0)="","(بدون نام)",VLOOKUP($E1368,AcctTblE,4,0)),"کد ناشناخته")))</f>
        <v/>
      </c>
      <c r="G1368" s="15" t="n"/>
      <c r="H1368" s="21">
        <f>IF(OR($C1368&lt;&gt;"دستمزد گروهی",$D1368=""),"",SUMIFS(ShareAmt,ShareLink,$D1368))</f>
        <v/>
      </c>
      <c r="I1368" s="22">
        <f>IF($C1368&lt;&gt;"دستمزد گروهی","—",IF($H1368="","",IF(ROUND($H1368-IF($G1368="",0,$G1368),0)=0,"√","▲ مغایرت "&amp;TEXT(IF($G1368="",0,$G1368)-$H1368,"#,##0"))))</f>
        <v/>
      </c>
      <c r="J1368" s="18" t="n"/>
    </row>
    <row r="1369">
      <c r="A1369" s="10">
        <f>IF($B1369="","",COUNTA($B$9:$B1369))</f>
        <v/>
      </c>
      <c r="B1369" s="11" t="n"/>
      <c r="C1369" s="12" t="n"/>
      <c r="D1369" s="12" t="n"/>
      <c r="E1369" s="13" t="n"/>
      <c r="F1369" s="14">
        <f>IF($E1369="","",IF($C1369="دستمزد گروهی",IFERROR(VLOOKUP($E1369,WGTbl,2,0),"کد ناشناخته"),IFERROR(IF(VLOOKUP($E1369,AcctTblE,4,0)="","(بدون نام)",VLOOKUP($E1369,AcctTblE,4,0)),"کد ناشناخته")))</f>
        <v/>
      </c>
      <c r="G1369" s="15" t="n"/>
      <c r="H1369" s="16">
        <f>IF(OR($C1369&lt;&gt;"دستمزد گروهی",$D1369=""),"",SUMIFS(ShareAmt,ShareLink,$D1369))</f>
        <v/>
      </c>
      <c r="I1369" s="17">
        <f>IF($C1369&lt;&gt;"دستمزد گروهی","—",IF($H1369="","",IF(ROUND($H1369-IF($G1369="",0,$G1369),0)=0,"√","▲ مغایرت "&amp;TEXT(IF($G1369="",0,$G1369)-$H1369,"#,##0"))))</f>
        <v/>
      </c>
      <c r="J1369" s="18" t="n"/>
    </row>
    <row r="1370">
      <c r="A1370" s="19">
        <f>IF($B1370="","",COUNTA($B$9:$B1370))</f>
        <v/>
      </c>
      <c r="B1370" s="11" t="n"/>
      <c r="C1370" s="12" t="n"/>
      <c r="D1370" s="12" t="n"/>
      <c r="E1370" s="13" t="n"/>
      <c r="F1370" s="20">
        <f>IF($E1370="","",IF($C1370="دستمزد گروهی",IFERROR(VLOOKUP($E1370,WGTbl,2,0),"کد ناشناخته"),IFERROR(IF(VLOOKUP($E1370,AcctTblE,4,0)="","(بدون نام)",VLOOKUP($E1370,AcctTblE,4,0)),"کد ناشناخته")))</f>
        <v/>
      </c>
      <c r="G1370" s="15" t="n"/>
      <c r="H1370" s="21">
        <f>IF(OR($C1370&lt;&gt;"دستمزد گروهی",$D1370=""),"",SUMIFS(ShareAmt,ShareLink,$D1370))</f>
        <v/>
      </c>
      <c r="I1370" s="22">
        <f>IF($C1370&lt;&gt;"دستمزد گروهی","—",IF($H1370="","",IF(ROUND($H1370-IF($G1370="",0,$G1370),0)=0,"√","▲ مغایرت "&amp;TEXT(IF($G1370="",0,$G1370)-$H1370,"#,##0"))))</f>
        <v/>
      </c>
      <c r="J1370" s="18" t="n"/>
    </row>
    <row r="1371">
      <c r="A1371" s="10">
        <f>IF($B1371="","",COUNTA($B$9:$B1371))</f>
        <v/>
      </c>
      <c r="B1371" s="11" t="n"/>
      <c r="C1371" s="12" t="n"/>
      <c r="D1371" s="12" t="n"/>
      <c r="E1371" s="13" t="n"/>
      <c r="F1371" s="14">
        <f>IF($E1371="","",IF($C1371="دستمزد گروهی",IFERROR(VLOOKUP($E1371,WGTbl,2,0),"کد ناشناخته"),IFERROR(IF(VLOOKUP($E1371,AcctTblE,4,0)="","(بدون نام)",VLOOKUP($E1371,AcctTblE,4,0)),"کد ناشناخته")))</f>
        <v/>
      </c>
      <c r="G1371" s="15" t="n"/>
      <c r="H1371" s="16">
        <f>IF(OR($C1371&lt;&gt;"دستمزد گروهی",$D1371=""),"",SUMIFS(ShareAmt,ShareLink,$D1371))</f>
        <v/>
      </c>
      <c r="I1371" s="17">
        <f>IF($C1371&lt;&gt;"دستمزد گروهی","—",IF($H1371="","",IF(ROUND($H1371-IF($G1371="",0,$G1371),0)=0,"√","▲ مغایرت "&amp;TEXT(IF($G1371="",0,$G1371)-$H1371,"#,##0"))))</f>
        <v/>
      </c>
      <c r="J1371" s="18" t="n"/>
    </row>
    <row r="1372">
      <c r="A1372" s="19">
        <f>IF($B1372="","",COUNTA($B$9:$B1372))</f>
        <v/>
      </c>
      <c r="B1372" s="11" t="n"/>
      <c r="C1372" s="12" t="n"/>
      <c r="D1372" s="12" t="n"/>
      <c r="E1372" s="13" t="n"/>
      <c r="F1372" s="20">
        <f>IF($E1372="","",IF($C1372="دستمزد گروهی",IFERROR(VLOOKUP($E1372,WGTbl,2,0),"کد ناشناخته"),IFERROR(IF(VLOOKUP($E1372,AcctTblE,4,0)="","(بدون نام)",VLOOKUP($E1372,AcctTblE,4,0)),"کد ناشناخته")))</f>
        <v/>
      </c>
      <c r="G1372" s="15" t="n"/>
      <c r="H1372" s="21">
        <f>IF(OR($C1372&lt;&gt;"دستمزد گروهی",$D1372=""),"",SUMIFS(ShareAmt,ShareLink,$D1372))</f>
        <v/>
      </c>
      <c r="I1372" s="22">
        <f>IF($C1372&lt;&gt;"دستمزد گروهی","—",IF($H1372="","",IF(ROUND($H1372-IF($G1372="",0,$G1372),0)=0,"√","▲ مغایرت "&amp;TEXT(IF($G1372="",0,$G1372)-$H1372,"#,##0"))))</f>
        <v/>
      </c>
      <c r="J1372" s="18" t="n"/>
    </row>
    <row r="1373">
      <c r="A1373" s="10">
        <f>IF($B1373="","",COUNTA($B$9:$B1373))</f>
        <v/>
      </c>
      <c r="B1373" s="11" t="n"/>
      <c r="C1373" s="12" t="n"/>
      <c r="D1373" s="12" t="n"/>
      <c r="E1373" s="13" t="n"/>
      <c r="F1373" s="14">
        <f>IF($E1373="","",IF($C1373="دستمزد گروهی",IFERROR(VLOOKUP($E1373,WGTbl,2,0),"کد ناشناخته"),IFERROR(IF(VLOOKUP($E1373,AcctTblE,4,0)="","(بدون نام)",VLOOKUP($E1373,AcctTblE,4,0)),"کد ناشناخته")))</f>
        <v/>
      </c>
      <c r="G1373" s="15" t="n"/>
      <c r="H1373" s="16">
        <f>IF(OR($C1373&lt;&gt;"دستمزد گروهی",$D1373=""),"",SUMIFS(ShareAmt,ShareLink,$D1373))</f>
        <v/>
      </c>
      <c r="I1373" s="17">
        <f>IF($C1373&lt;&gt;"دستمزد گروهی","—",IF($H1373="","",IF(ROUND($H1373-IF($G1373="",0,$G1373),0)=0,"√","▲ مغایرت "&amp;TEXT(IF($G1373="",0,$G1373)-$H1373,"#,##0"))))</f>
        <v/>
      </c>
      <c r="J1373" s="18" t="n"/>
    </row>
    <row r="1374">
      <c r="A1374" s="19">
        <f>IF($B1374="","",COUNTA($B$9:$B1374))</f>
        <v/>
      </c>
      <c r="B1374" s="11" t="n"/>
      <c r="C1374" s="12" t="n"/>
      <c r="D1374" s="12" t="n"/>
      <c r="E1374" s="13" t="n"/>
      <c r="F1374" s="20">
        <f>IF($E1374="","",IF($C1374="دستمزد گروهی",IFERROR(VLOOKUP($E1374,WGTbl,2,0),"کد ناشناخته"),IFERROR(IF(VLOOKUP($E1374,AcctTblE,4,0)="","(بدون نام)",VLOOKUP($E1374,AcctTblE,4,0)),"کد ناشناخته")))</f>
        <v/>
      </c>
      <c r="G1374" s="15" t="n"/>
      <c r="H1374" s="21">
        <f>IF(OR($C1374&lt;&gt;"دستمزد گروهی",$D1374=""),"",SUMIFS(ShareAmt,ShareLink,$D1374))</f>
        <v/>
      </c>
      <c r="I1374" s="22">
        <f>IF($C1374&lt;&gt;"دستمزد گروهی","—",IF($H1374="","",IF(ROUND($H1374-IF($G1374="",0,$G1374),0)=0,"√","▲ مغایرت "&amp;TEXT(IF($G1374="",0,$G1374)-$H1374,"#,##0"))))</f>
        <v/>
      </c>
      <c r="J1374" s="18" t="n"/>
    </row>
    <row r="1375">
      <c r="A1375" s="10">
        <f>IF($B1375="","",COUNTA($B$9:$B1375))</f>
        <v/>
      </c>
      <c r="B1375" s="11" t="n"/>
      <c r="C1375" s="12" t="n"/>
      <c r="D1375" s="12" t="n"/>
      <c r="E1375" s="13" t="n"/>
      <c r="F1375" s="14">
        <f>IF($E1375="","",IF($C1375="دستمزد گروهی",IFERROR(VLOOKUP($E1375,WGTbl,2,0),"کد ناشناخته"),IFERROR(IF(VLOOKUP($E1375,AcctTblE,4,0)="","(بدون نام)",VLOOKUP($E1375,AcctTblE,4,0)),"کد ناشناخته")))</f>
        <v/>
      </c>
      <c r="G1375" s="15" t="n"/>
      <c r="H1375" s="16">
        <f>IF(OR($C1375&lt;&gt;"دستمزد گروهی",$D1375=""),"",SUMIFS(ShareAmt,ShareLink,$D1375))</f>
        <v/>
      </c>
      <c r="I1375" s="17">
        <f>IF($C1375&lt;&gt;"دستمزد گروهی","—",IF($H1375="","",IF(ROUND($H1375-IF($G1375="",0,$G1375),0)=0,"√","▲ مغایرت "&amp;TEXT(IF($G1375="",0,$G1375)-$H1375,"#,##0"))))</f>
        <v/>
      </c>
      <c r="J1375" s="18" t="n"/>
    </row>
    <row r="1376">
      <c r="A1376" s="19">
        <f>IF($B1376="","",COUNTA($B$9:$B1376))</f>
        <v/>
      </c>
      <c r="B1376" s="11" t="n"/>
      <c r="C1376" s="12" t="n"/>
      <c r="D1376" s="12" t="n"/>
      <c r="E1376" s="13" t="n"/>
      <c r="F1376" s="20">
        <f>IF($E1376="","",IF($C1376="دستمزد گروهی",IFERROR(VLOOKUP($E1376,WGTbl,2,0),"کد ناشناخته"),IFERROR(IF(VLOOKUP($E1376,AcctTblE,4,0)="","(بدون نام)",VLOOKUP($E1376,AcctTblE,4,0)),"کد ناشناخته")))</f>
        <v/>
      </c>
      <c r="G1376" s="15" t="n"/>
      <c r="H1376" s="21">
        <f>IF(OR($C1376&lt;&gt;"دستمزد گروهی",$D1376=""),"",SUMIFS(ShareAmt,ShareLink,$D1376))</f>
        <v/>
      </c>
      <c r="I1376" s="22">
        <f>IF($C1376&lt;&gt;"دستمزد گروهی","—",IF($H1376="","",IF(ROUND($H1376-IF($G1376="",0,$G1376),0)=0,"√","▲ مغایرت "&amp;TEXT(IF($G1376="",0,$G1376)-$H1376,"#,##0"))))</f>
        <v/>
      </c>
      <c r="J1376" s="18" t="n"/>
    </row>
    <row r="1377">
      <c r="A1377" s="10">
        <f>IF($B1377="","",COUNTA($B$9:$B1377))</f>
        <v/>
      </c>
      <c r="B1377" s="11" t="n"/>
      <c r="C1377" s="12" t="n"/>
      <c r="D1377" s="12" t="n"/>
      <c r="E1377" s="13" t="n"/>
      <c r="F1377" s="14">
        <f>IF($E1377="","",IF($C1377="دستمزد گروهی",IFERROR(VLOOKUP($E1377,WGTbl,2,0),"کد ناشناخته"),IFERROR(IF(VLOOKUP($E1377,AcctTblE,4,0)="","(بدون نام)",VLOOKUP($E1377,AcctTblE,4,0)),"کد ناشناخته")))</f>
        <v/>
      </c>
      <c r="G1377" s="15" t="n"/>
      <c r="H1377" s="16">
        <f>IF(OR($C1377&lt;&gt;"دستمزد گروهی",$D1377=""),"",SUMIFS(ShareAmt,ShareLink,$D1377))</f>
        <v/>
      </c>
      <c r="I1377" s="17">
        <f>IF($C1377&lt;&gt;"دستمزد گروهی","—",IF($H1377="","",IF(ROUND($H1377-IF($G1377="",0,$G1377),0)=0,"√","▲ مغایرت "&amp;TEXT(IF($G1377="",0,$G1377)-$H1377,"#,##0"))))</f>
        <v/>
      </c>
      <c r="J1377" s="18" t="n"/>
    </row>
    <row r="1378">
      <c r="A1378" s="19">
        <f>IF($B1378="","",COUNTA($B$9:$B1378))</f>
        <v/>
      </c>
      <c r="B1378" s="11" t="n"/>
      <c r="C1378" s="12" t="n"/>
      <c r="D1378" s="12" t="n"/>
      <c r="E1378" s="13" t="n"/>
      <c r="F1378" s="20">
        <f>IF($E1378="","",IF($C1378="دستمزد گروهی",IFERROR(VLOOKUP($E1378,WGTbl,2,0),"کد ناشناخته"),IFERROR(IF(VLOOKUP($E1378,AcctTblE,4,0)="","(بدون نام)",VLOOKUP($E1378,AcctTblE,4,0)),"کد ناشناخته")))</f>
        <v/>
      </c>
      <c r="G1378" s="15" t="n"/>
      <c r="H1378" s="21">
        <f>IF(OR($C1378&lt;&gt;"دستمزد گروهی",$D1378=""),"",SUMIFS(ShareAmt,ShareLink,$D1378))</f>
        <v/>
      </c>
      <c r="I1378" s="22">
        <f>IF($C1378&lt;&gt;"دستمزد گروهی","—",IF($H1378="","",IF(ROUND($H1378-IF($G1378="",0,$G1378),0)=0,"√","▲ مغایرت "&amp;TEXT(IF($G1378="",0,$G1378)-$H1378,"#,##0"))))</f>
        <v/>
      </c>
      <c r="J1378" s="18" t="n"/>
    </row>
    <row r="1379">
      <c r="A1379" s="10">
        <f>IF($B1379="","",COUNTA($B$9:$B1379))</f>
        <v/>
      </c>
      <c r="B1379" s="11" t="n"/>
      <c r="C1379" s="12" t="n"/>
      <c r="D1379" s="12" t="n"/>
      <c r="E1379" s="13" t="n"/>
      <c r="F1379" s="14">
        <f>IF($E1379="","",IF($C1379="دستمزد گروهی",IFERROR(VLOOKUP($E1379,WGTbl,2,0),"کد ناشناخته"),IFERROR(IF(VLOOKUP($E1379,AcctTblE,4,0)="","(بدون نام)",VLOOKUP($E1379,AcctTblE,4,0)),"کد ناشناخته")))</f>
        <v/>
      </c>
      <c r="G1379" s="15" t="n"/>
      <c r="H1379" s="16">
        <f>IF(OR($C1379&lt;&gt;"دستمزد گروهی",$D1379=""),"",SUMIFS(ShareAmt,ShareLink,$D1379))</f>
        <v/>
      </c>
      <c r="I1379" s="17">
        <f>IF($C1379&lt;&gt;"دستمزد گروهی","—",IF($H1379="","",IF(ROUND($H1379-IF($G1379="",0,$G1379),0)=0,"√","▲ مغایرت "&amp;TEXT(IF($G1379="",0,$G1379)-$H1379,"#,##0"))))</f>
        <v/>
      </c>
      <c r="J1379" s="18" t="n"/>
    </row>
    <row r="1380">
      <c r="A1380" s="19">
        <f>IF($B1380="","",COUNTA($B$9:$B1380))</f>
        <v/>
      </c>
      <c r="B1380" s="11" t="n"/>
      <c r="C1380" s="12" t="n"/>
      <c r="D1380" s="12" t="n"/>
      <c r="E1380" s="13" t="n"/>
      <c r="F1380" s="20">
        <f>IF($E1380="","",IF($C1380="دستمزد گروهی",IFERROR(VLOOKUP($E1380,WGTbl,2,0),"کد ناشناخته"),IFERROR(IF(VLOOKUP($E1380,AcctTblE,4,0)="","(بدون نام)",VLOOKUP($E1380,AcctTblE,4,0)),"کد ناشناخته")))</f>
        <v/>
      </c>
      <c r="G1380" s="15" t="n"/>
      <c r="H1380" s="21">
        <f>IF(OR($C1380&lt;&gt;"دستمزد گروهی",$D1380=""),"",SUMIFS(ShareAmt,ShareLink,$D1380))</f>
        <v/>
      </c>
      <c r="I1380" s="22">
        <f>IF($C1380&lt;&gt;"دستمزد گروهی","—",IF($H1380="","",IF(ROUND($H1380-IF($G1380="",0,$G1380),0)=0,"√","▲ مغایرت "&amp;TEXT(IF($G1380="",0,$G1380)-$H1380,"#,##0"))))</f>
        <v/>
      </c>
      <c r="J1380" s="18" t="n"/>
    </row>
    <row r="1381">
      <c r="A1381" s="10">
        <f>IF($B1381="","",COUNTA($B$9:$B1381))</f>
        <v/>
      </c>
      <c r="B1381" s="11" t="n"/>
      <c r="C1381" s="12" t="n"/>
      <c r="D1381" s="12" t="n"/>
      <c r="E1381" s="13" t="n"/>
      <c r="F1381" s="14">
        <f>IF($E1381="","",IF($C1381="دستمزد گروهی",IFERROR(VLOOKUP($E1381,WGTbl,2,0),"کد ناشناخته"),IFERROR(IF(VLOOKUP($E1381,AcctTblE,4,0)="","(بدون نام)",VLOOKUP($E1381,AcctTblE,4,0)),"کد ناشناخته")))</f>
        <v/>
      </c>
      <c r="G1381" s="15" t="n"/>
      <c r="H1381" s="16">
        <f>IF(OR($C1381&lt;&gt;"دستمزد گروهی",$D1381=""),"",SUMIFS(ShareAmt,ShareLink,$D1381))</f>
        <v/>
      </c>
      <c r="I1381" s="17">
        <f>IF($C1381&lt;&gt;"دستمزد گروهی","—",IF($H1381="","",IF(ROUND($H1381-IF($G1381="",0,$G1381),0)=0,"√","▲ مغایرت "&amp;TEXT(IF($G1381="",0,$G1381)-$H1381,"#,##0"))))</f>
        <v/>
      </c>
      <c r="J1381" s="18" t="n"/>
    </row>
    <row r="1382">
      <c r="A1382" s="19">
        <f>IF($B1382="","",COUNTA($B$9:$B1382))</f>
        <v/>
      </c>
      <c r="B1382" s="11" t="n"/>
      <c r="C1382" s="12" t="n"/>
      <c r="D1382" s="12" t="n"/>
      <c r="E1382" s="13" t="n"/>
      <c r="F1382" s="20">
        <f>IF($E1382="","",IF($C1382="دستمزد گروهی",IFERROR(VLOOKUP($E1382,WGTbl,2,0),"کد ناشناخته"),IFERROR(IF(VLOOKUP($E1382,AcctTblE,4,0)="","(بدون نام)",VLOOKUP($E1382,AcctTblE,4,0)),"کد ناشناخته")))</f>
        <v/>
      </c>
      <c r="G1382" s="15" t="n"/>
      <c r="H1382" s="21">
        <f>IF(OR($C1382&lt;&gt;"دستمزد گروهی",$D1382=""),"",SUMIFS(ShareAmt,ShareLink,$D1382))</f>
        <v/>
      </c>
      <c r="I1382" s="22">
        <f>IF($C1382&lt;&gt;"دستمزد گروهی","—",IF($H1382="","",IF(ROUND($H1382-IF($G1382="",0,$G1382),0)=0,"√","▲ مغایرت "&amp;TEXT(IF($G1382="",0,$G1382)-$H1382,"#,##0"))))</f>
        <v/>
      </c>
      <c r="J1382" s="18" t="n"/>
    </row>
    <row r="1383">
      <c r="A1383" s="10">
        <f>IF($B1383="","",COUNTA($B$9:$B1383))</f>
        <v/>
      </c>
      <c r="B1383" s="11" t="n"/>
      <c r="C1383" s="12" t="n"/>
      <c r="D1383" s="12" t="n"/>
      <c r="E1383" s="13" t="n"/>
      <c r="F1383" s="14">
        <f>IF($E1383="","",IF($C1383="دستمزد گروهی",IFERROR(VLOOKUP($E1383,WGTbl,2,0),"کد ناشناخته"),IFERROR(IF(VLOOKUP($E1383,AcctTblE,4,0)="","(بدون نام)",VLOOKUP($E1383,AcctTblE,4,0)),"کد ناشناخته")))</f>
        <v/>
      </c>
      <c r="G1383" s="15" t="n"/>
      <c r="H1383" s="16">
        <f>IF(OR($C1383&lt;&gt;"دستمزد گروهی",$D1383=""),"",SUMIFS(ShareAmt,ShareLink,$D1383))</f>
        <v/>
      </c>
      <c r="I1383" s="17">
        <f>IF($C1383&lt;&gt;"دستمزد گروهی","—",IF($H1383="","",IF(ROUND($H1383-IF($G1383="",0,$G1383),0)=0,"√","▲ مغایرت "&amp;TEXT(IF($G1383="",0,$G1383)-$H1383,"#,##0"))))</f>
        <v/>
      </c>
      <c r="J1383" s="18" t="n"/>
    </row>
    <row r="1384">
      <c r="A1384" s="19">
        <f>IF($B1384="","",COUNTA($B$9:$B1384))</f>
        <v/>
      </c>
      <c r="B1384" s="11" t="n"/>
      <c r="C1384" s="12" t="n"/>
      <c r="D1384" s="12" t="n"/>
      <c r="E1384" s="13" t="n"/>
      <c r="F1384" s="20">
        <f>IF($E1384="","",IF($C1384="دستمزد گروهی",IFERROR(VLOOKUP($E1384,WGTbl,2,0),"کد ناشناخته"),IFERROR(IF(VLOOKUP($E1384,AcctTblE,4,0)="","(بدون نام)",VLOOKUP($E1384,AcctTblE,4,0)),"کد ناشناخته")))</f>
        <v/>
      </c>
      <c r="G1384" s="15" t="n"/>
      <c r="H1384" s="21">
        <f>IF(OR($C1384&lt;&gt;"دستمزد گروهی",$D1384=""),"",SUMIFS(ShareAmt,ShareLink,$D1384))</f>
        <v/>
      </c>
      <c r="I1384" s="22">
        <f>IF($C1384&lt;&gt;"دستمزد گروهی","—",IF($H1384="","",IF(ROUND($H1384-IF($G1384="",0,$G1384),0)=0,"√","▲ مغایرت "&amp;TEXT(IF($G1384="",0,$G1384)-$H1384,"#,##0"))))</f>
        <v/>
      </c>
      <c r="J1384" s="18" t="n"/>
    </row>
    <row r="1385">
      <c r="A1385" s="10">
        <f>IF($B1385="","",COUNTA($B$9:$B1385))</f>
        <v/>
      </c>
      <c r="B1385" s="11" t="n"/>
      <c r="C1385" s="12" t="n"/>
      <c r="D1385" s="12" t="n"/>
      <c r="E1385" s="13" t="n"/>
      <c r="F1385" s="14">
        <f>IF($E1385="","",IF($C1385="دستمزد گروهی",IFERROR(VLOOKUP($E1385,WGTbl,2,0),"کد ناشناخته"),IFERROR(IF(VLOOKUP($E1385,AcctTblE,4,0)="","(بدون نام)",VLOOKUP($E1385,AcctTblE,4,0)),"کد ناشناخته")))</f>
        <v/>
      </c>
      <c r="G1385" s="15" t="n"/>
      <c r="H1385" s="16">
        <f>IF(OR($C1385&lt;&gt;"دستمزد گروهی",$D1385=""),"",SUMIFS(ShareAmt,ShareLink,$D1385))</f>
        <v/>
      </c>
      <c r="I1385" s="17">
        <f>IF($C1385&lt;&gt;"دستمزد گروهی","—",IF($H1385="","",IF(ROUND($H1385-IF($G1385="",0,$G1385),0)=0,"√","▲ مغایرت "&amp;TEXT(IF($G1385="",0,$G1385)-$H1385,"#,##0"))))</f>
        <v/>
      </c>
      <c r="J1385" s="18" t="n"/>
    </row>
    <row r="1386">
      <c r="A1386" s="19">
        <f>IF($B1386="","",COUNTA($B$9:$B1386))</f>
        <v/>
      </c>
      <c r="B1386" s="11" t="n"/>
      <c r="C1386" s="12" t="n"/>
      <c r="D1386" s="12" t="n"/>
      <c r="E1386" s="13" t="n"/>
      <c r="F1386" s="20">
        <f>IF($E1386="","",IF($C1386="دستمزد گروهی",IFERROR(VLOOKUP($E1386,WGTbl,2,0),"کد ناشناخته"),IFERROR(IF(VLOOKUP($E1386,AcctTblE,4,0)="","(بدون نام)",VLOOKUP($E1386,AcctTblE,4,0)),"کد ناشناخته")))</f>
        <v/>
      </c>
      <c r="G1386" s="15" t="n"/>
      <c r="H1386" s="21">
        <f>IF(OR($C1386&lt;&gt;"دستمزد گروهی",$D1386=""),"",SUMIFS(ShareAmt,ShareLink,$D1386))</f>
        <v/>
      </c>
      <c r="I1386" s="22">
        <f>IF($C1386&lt;&gt;"دستمزد گروهی","—",IF($H1386="","",IF(ROUND($H1386-IF($G1386="",0,$G1386),0)=0,"√","▲ مغایرت "&amp;TEXT(IF($G1386="",0,$G1386)-$H1386,"#,##0"))))</f>
        <v/>
      </c>
      <c r="J1386" s="18" t="n"/>
    </row>
    <row r="1387">
      <c r="A1387" s="10">
        <f>IF($B1387="","",COUNTA($B$9:$B1387))</f>
        <v/>
      </c>
      <c r="B1387" s="11" t="n"/>
      <c r="C1387" s="12" t="n"/>
      <c r="D1387" s="12" t="n"/>
      <c r="E1387" s="13" t="n"/>
      <c r="F1387" s="14">
        <f>IF($E1387="","",IF($C1387="دستمزد گروهی",IFERROR(VLOOKUP($E1387,WGTbl,2,0),"کد ناشناخته"),IFERROR(IF(VLOOKUP($E1387,AcctTblE,4,0)="","(بدون نام)",VLOOKUP($E1387,AcctTblE,4,0)),"کد ناشناخته")))</f>
        <v/>
      </c>
      <c r="G1387" s="15" t="n"/>
      <c r="H1387" s="16">
        <f>IF(OR($C1387&lt;&gt;"دستمزد گروهی",$D1387=""),"",SUMIFS(ShareAmt,ShareLink,$D1387))</f>
        <v/>
      </c>
      <c r="I1387" s="17">
        <f>IF($C1387&lt;&gt;"دستمزد گروهی","—",IF($H1387="","",IF(ROUND($H1387-IF($G1387="",0,$G1387),0)=0,"√","▲ مغایرت "&amp;TEXT(IF($G1387="",0,$G1387)-$H1387,"#,##0"))))</f>
        <v/>
      </c>
      <c r="J1387" s="18" t="n"/>
    </row>
    <row r="1388">
      <c r="A1388" s="19">
        <f>IF($B1388="","",COUNTA($B$9:$B1388))</f>
        <v/>
      </c>
      <c r="B1388" s="11" t="n"/>
      <c r="C1388" s="12" t="n"/>
      <c r="D1388" s="12" t="n"/>
      <c r="E1388" s="13" t="n"/>
      <c r="F1388" s="20">
        <f>IF($E1388="","",IF($C1388="دستمزد گروهی",IFERROR(VLOOKUP($E1388,WGTbl,2,0),"کد ناشناخته"),IFERROR(IF(VLOOKUP($E1388,AcctTblE,4,0)="","(بدون نام)",VLOOKUP($E1388,AcctTblE,4,0)),"کد ناشناخته")))</f>
        <v/>
      </c>
      <c r="G1388" s="15" t="n"/>
      <c r="H1388" s="21">
        <f>IF(OR($C1388&lt;&gt;"دستمزد گروهی",$D1388=""),"",SUMIFS(ShareAmt,ShareLink,$D1388))</f>
        <v/>
      </c>
      <c r="I1388" s="22">
        <f>IF($C1388&lt;&gt;"دستمزد گروهی","—",IF($H1388="","",IF(ROUND($H1388-IF($G1388="",0,$G1388),0)=0,"√","▲ مغایرت "&amp;TEXT(IF($G1388="",0,$G1388)-$H1388,"#,##0"))))</f>
        <v/>
      </c>
      <c r="J1388" s="18" t="n"/>
    </row>
    <row r="1389">
      <c r="A1389" s="10">
        <f>IF($B1389="","",COUNTA($B$9:$B1389))</f>
        <v/>
      </c>
      <c r="B1389" s="11" t="n"/>
      <c r="C1389" s="12" t="n"/>
      <c r="D1389" s="12" t="n"/>
      <c r="E1389" s="13" t="n"/>
      <c r="F1389" s="14">
        <f>IF($E1389="","",IF($C1389="دستمزد گروهی",IFERROR(VLOOKUP($E1389,WGTbl,2,0),"کد ناشناخته"),IFERROR(IF(VLOOKUP($E1389,AcctTblE,4,0)="","(بدون نام)",VLOOKUP($E1389,AcctTblE,4,0)),"کد ناشناخته")))</f>
        <v/>
      </c>
      <c r="G1389" s="15" t="n"/>
      <c r="H1389" s="16">
        <f>IF(OR($C1389&lt;&gt;"دستمزد گروهی",$D1389=""),"",SUMIFS(ShareAmt,ShareLink,$D1389))</f>
        <v/>
      </c>
      <c r="I1389" s="17">
        <f>IF($C1389&lt;&gt;"دستمزد گروهی","—",IF($H1389="","",IF(ROUND($H1389-IF($G1389="",0,$G1389),0)=0,"√","▲ مغایرت "&amp;TEXT(IF($G1389="",0,$G1389)-$H1389,"#,##0"))))</f>
        <v/>
      </c>
      <c r="J1389" s="18" t="n"/>
    </row>
    <row r="1390">
      <c r="A1390" s="19">
        <f>IF($B1390="","",COUNTA($B$9:$B1390))</f>
        <v/>
      </c>
      <c r="B1390" s="11" t="n"/>
      <c r="C1390" s="12" t="n"/>
      <c r="D1390" s="12" t="n"/>
      <c r="E1390" s="13" t="n"/>
      <c r="F1390" s="20">
        <f>IF($E1390="","",IF($C1390="دستمزد گروهی",IFERROR(VLOOKUP($E1390,WGTbl,2,0),"کد ناشناخته"),IFERROR(IF(VLOOKUP($E1390,AcctTblE,4,0)="","(بدون نام)",VLOOKUP($E1390,AcctTblE,4,0)),"کد ناشناخته")))</f>
        <v/>
      </c>
      <c r="G1390" s="15" t="n"/>
      <c r="H1390" s="21">
        <f>IF(OR($C1390&lt;&gt;"دستمزد گروهی",$D1390=""),"",SUMIFS(ShareAmt,ShareLink,$D1390))</f>
        <v/>
      </c>
      <c r="I1390" s="22">
        <f>IF($C1390&lt;&gt;"دستمزد گروهی","—",IF($H1390="","",IF(ROUND($H1390-IF($G1390="",0,$G1390),0)=0,"√","▲ مغایرت "&amp;TEXT(IF($G1390="",0,$G1390)-$H1390,"#,##0"))))</f>
        <v/>
      </c>
      <c r="J1390" s="18" t="n"/>
    </row>
    <row r="1391">
      <c r="A1391" s="10">
        <f>IF($B1391="","",COUNTA($B$9:$B1391))</f>
        <v/>
      </c>
      <c r="B1391" s="11" t="n"/>
      <c r="C1391" s="12" t="n"/>
      <c r="D1391" s="12" t="n"/>
      <c r="E1391" s="13" t="n"/>
      <c r="F1391" s="14">
        <f>IF($E1391="","",IF($C1391="دستمزد گروهی",IFERROR(VLOOKUP($E1391,WGTbl,2,0),"کد ناشناخته"),IFERROR(IF(VLOOKUP($E1391,AcctTblE,4,0)="","(بدون نام)",VLOOKUP($E1391,AcctTblE,4,0)),"کد ناشناخته")))</f>
        <v/>
      </c>
      <c r="G1391" s="15" t="n"/>
      <c r="H1391" s="16">
        <f>IF(OR($C1391&lt;&gt;"دستمزد گروهی",$D1391=""),"",SUMIFS(ShareAmt,ShareLink,$D1391))</f>
        <v/>
      </c>
      <c r="I1391" s="17">
        <f>IF($C1391&lt;&gt;"دستمزد گروهی","—",IF($H1391="","",IF(ROUND($H1391-IF($G1391="",0,$G1391),0)=0,"√","▲ مغایرت "&amp;TEXT(IF($G1391="",0,$G1391)-$H1391,"#,##0"))))</f>
        <v/>
      </c>
      <c r="J1391" s="18" t="n"/>
    </row>
    <row r="1392">
      <c r="A1392" s="19">
        <f>IF($B1392="","",COUNTA($B$9:$B1392))</f>
        <v/>
      </c>
      <c r="B1392" s="11" t="n"/>
      <c r="C1392" s="12" t="n"/>
      <c r="D1392" s="12" t="n"/>
      <c r="E1392" s="13" t="n"/>
      <c r="F1392" s="20">
        <f>IF($E1392="","",IF($C1392="دستمزد گروهی",IFERROR(VLOOKUP($E1392,WGTbl,2,0),"کد ناشناخته"),IFERROR(IF(VLOOKUP($E1392,AcctTblE,4,0)="","(بدون نام)",VLOOKUP($E1392,AcctTblE,4,0)),"کد ناشناخته")))</f>
        <v/>
      </c>
      <c r="G1392" s="15" t="n"/>
      <c r="H1392" s="21">
        <f>IF(OR($C1392&lt;&gt;"دستمزد گروهی",$D1392=""),"",SUMIFS(ShareAmt,ShareLink,$D1392))</f>
        <v/>
      </c>
      <c r="I1392" s="22">
        <f>IF($C1392&lt;&gt;"دستمزد گروهی","—",IF($H1392="","",IF(ROUND($H1392-IF($G1392="",0,$G1392),0)=0,"√","▲ مغایرت "&amp;TEXT(IF($G1392="",0,$G1392)-$H1392,"#,##0"))))</f>
        <v/>
      </c>
      <c r="J1392" s="18" t="n"/>
    </row>
    <row r="1393">
      <c r="A1393" s="10">
        <f>IF($B1393="","",COUNTA($B$9:$B1393))</f>
        <v/>
      </c>
      <c r="B1393" s="11" t="n"/>
      <c r="C1393" s="12" t="n"/>
      <c r="D1393" s="12" t="n"/>
      <c r="E1393" s="13" t="n"/>
      <c r="F1393" s="14">
        <f>IF($E1393="","",IF($C1393="دستمزد گروهی",IFERROR(VLOOKUP($E1393,WGTbl,2,0),"کد ناشناخته"),IFERROR(IF(VLOOKUP($E1393,AcctTblE,4,0)="","(بدون نام)",VLOOKUP($E1393,AcctTblE,4,0)),"کد ناشناخته")))</f>
        <v/>
      </c>
      <c r="G1393" s="15" t="n"/>
      <c r="H1393" s="16">
        <f>IF(OR($C1393&lt;&gt;"دستمزد گروهی",$D1393=""),"",SUMIFS(ShareAmt,ShareLink,$D1393))</f>
        <v/>
      </c>
      <c r="I1393" s="17">
        <f>IF($C1393&lt;&gt;"دستمزد گروهی","—",IF($H1393="","",IF(ROUND($H1393-IF($G1393="",0,$G1393),0)=0,"√","▲ مغایرت "&amp;TEXT(IF($G1393="",0,$G1393)-$H1393,"#,##0"))))</f>
        <v/>
      </c>
      <c r="J1393" s="18" t="n"/>
    </row>
    <row r="1394">
      <c r="A1394" s="19">
        <f>IF($B1394="","",COUNTA($B$9:$B1394))</f>
        <v/>
      </c>
      <c r="B1394" s="11" t="n"/>
      <c r="C1394" s="12" t="n"/>
      <c r="D1394" s="12" t="n"/>
      <c r="E1394" s="13" t="n"/>
      <c r="F1394" s="20">
        <f>IF($E1394="","",IF($C1394="دستمزد گروهی",IFERROR(VLOOKUP($E1394,WGTbl,2,0),"کد ناشناخته"),IFERROR(IF(VLOOKUP($E1394,AcctTblE,4,0)="","(بدون نام)",VLOOKUP($E1394,AcctTblE,4,0)),"کد ناشناخته")))</f>
        <v/>
      </c>
      <c r="G1394" s="15" t="n"/>
      <c r="H1394" s="21">
        <f>IF(OR($C1394&lt;&gt;"دستمزد گروهی",$D1394=""),"",SUMIFS(ShareAmt,ShareLink,$D1394))</f>
        <v/>
      </c>
      <c r="I1394" s="22">
        <f>IF($C1394&lt;&gt;"دستمزد گروهی","—",IF($H1394="","",IF(ROUND($H1394-IF($G1394="",0,$G1394),0)=0,"√","▲ مغایرت "&amp;TEXT(IF($G1394="",0,$G1394)-$H1394,"#,##0"))))</f>
        <v/>
      </c>
      <c r="J1394" s="18" t="n"/>
    </row>
    <row r="1395">
      <c r="A1395" s="10">
        <f>IF($B1395="","",COUNTA($B$9:$B1395))</f>
        <v/>
      </c>
      <c r="B1395" s="11" t="n"/>
      <c r="C1395" s="12" t="n"/>
      <c r="D1395" s="12" t="n"/>
      <c r="E1395" s="13" t="n"/>
      <c r="F1395" s="14">
        <f>IF($E1395="","",IF($C1395="دستمزد گروهی",IFERROR(VLOOKUP($E1395,WGTbl,2,0),"کد ناشناخته"),IFERROR(IF(VLOOKUP($E1395,AcctTblE,4,0)="","(بدون نام)",VLOOKUP($E1395,AcctTblE,4,0)),"کد ناشناخته")))</f>
        <v/>
      </c>
      <c r="G1395" s="15" t="n"/>
      <c r="H1395" s="16">
        <f>IF(OR($C1395&lt;&gt;"دستمزد گروهی",$D1395=""),"",SUMIFS(ShareAmt,ShareLink,$D1395))</f>
        <v/>
      </c>
      <c r="I1395" s="17">
        <f>IF($C1395&lt;&gt;"دستمزد گروهی","—",IF($H1395="","",IF(ROUND($H1395-IF($G1395="",0,$G1395),0)=0,"√","▲ مغایرت "&amp;TEXT(IF($G1395="",0,$G1395)-$H1395,"#,##0"))))</f>
        <v/>
      </c>
      <c r="J1395" s="18" t="n"/>
    </row>
    <row r="1396">
      <c r="A1396" s="19">
        <f>IF($B1396="","",COUNTA($B$9:$B1396))</f>
        <v/>
      </c>
      <c r="B1396" s="11" t="n"/>
      <c r="C1396" s="12" t="n"/>
      <c r="D1396" s="12" t="n"/>
      <c r="E1396" s="13" t="n"/>
      <c r="F1396" s="20">
        <f>IF($E1396="","",IF($C1396="دستمزد گروهی",IFERROR(VLOOKUP($E1396,WGTbl,2,0),"کد ناشناخته"),IFERROR(IF(VLOOKUP($E1396,AcctTblE,4,0)="","(بدون نام)",VLOOKUP($E1396,AcctTblE,4,0)),"کد ناشناخته")))</f>
        <v/>
      </c>
      <c r="G1396" s="15" t="n"/>
      <c r="H1396" s="21">
        <f>IF(OR($C1396&lt;&gt;"دستمزد گروهی",$D1396=""),"",SUMIFS(ShareAmt,ShareLink,$D1396))</f>
        <v/>
      </c>
      <c r="I1396" s="22">
        <f>IF($C1396&lt;&gt;"دستمزد گروهی","—",IF($H1396="","",IF(ROUND($H1396-IF($G1396="",0,$G1396),0)=0,"√","▲ مغایرت "&amp;TEXT(IF($G1396="",0,$G1396)-$H1396,"#,##0"))))</f>
        <v/>
      </c>
      <c r="J1396" s="18" t="n"/>
    </row>
    <row r="1397">
      <c r="A1397" s="10">
        <f>IF($B1397="","",COUNTA($B$9:$B1397))</f>
        <v/>
      </c>
      <c r="B1397" s="11" t="n"/>
      <c r="C1397" s="12" t="n"/>
      <c r="D1397" s="12" t="n"/>
      <c r="E1397" s="13" t="n"/>
      <c r="F1397" s="14">
        <f>IF($E1397="","",IF($C1397="دستمزد گروهی",IFERROR(VLOOKUP($E1397,WGTbl,2,0),"کد ناشناخته"),IFERROR(IF(VLOOKUP($E1397,AcctTblE,4,0)="","(بدون نام)",VLOOKUP($E1397,AcctTblE,4,0)),"کد ناشناخته")))</f>
        <v/>
      </c>
      <c r="G1397" s="15" t="n"/>
      <c r="H1397" s="16">
        <f>IF(OR($C1397&lt;&gt;"دستمزد گروهی",$D1397=""),"",SUMIFS(ShareAmt,ShareLink,$D1397))</f>
        <v/>
      </c>
      <c r="I1397" s="17">
        <f>IF($C1397&lt;&gt;"دستمزد گروهی","—",IF($H1397="","",IF(ROUND($H1397-IF($G1397="",0,$G1397),0)=0,"√","▲ مغایرت "&amp;TEXT(IF($G1397="",0,$G1397)-$H1397,"#,##0"))))</f>
        <v/>
      </c>
      <c r="J1397" s="18" t="n"/>
    </row>
    <row r="1398">
      <c r="A1398" s="19">
        <f>IF($B1398="","",COUNTA($B$9:$B1398))</f>
        <v/>
      </c>
      <c r="B1398" s="11" t="n"/>
      <c r="C1398" s="12" t="n"/>
      <c r="D1398" s="12" t="n"/>
      <c r="E1398" s="13" t="n"/>
      <c r="F1398" s="20">
        <f>IF($E1398="","",IF($C1398="دستمزد گروهی",IFERROR(VLOOKUP($E1398,WGTbl,2,0),"کد ناشناخته"),IFERROR(IF(VLOOKUP($E1398,AcctTblE,4,0)="","(بدون نام)",VLOOKUP($E1398,AcctTblE,4,0)),"کد ناشناخته")))</f>
        <v/>
      </c>
      <c r="G1398" s="15" t="n"/>
      <c r="H1398" s="21">
        <f>IF(OR($C1398&lt;&gt;"دستمزد گروهی",$D1398=""),"",SUMIFS(ShareAmt,ShareLink,$D1398))</f>
        <v/>
      </c>
      <c r="I1398" s="22">
        <f>IF($C1398&lt;&gt;"دستمزد گروهی","—",IF($H1398="","",IF(ROUND($H1398-IF($G1398="",0,$G1398),0)=0,"√","▲ مغایرت "&amp;TEXT(IF($G1398="",0,$G1398)-$H1398,"#,##0"))))</f>
        <v/>
      </c>
      <c r="J1398" s="18" t="n"/>
    </row>
    <row r="1399">
      <c r="A1399" s="10">
        <f>IF($B1399="","",COUNTA($B$9:$B1399))</f>
        <v/>
      </c>
      <c r="B1399" s="11" t="n"/>
      <c r="C1399" s="12" t="n"/>
      <c r="D1399" s="12" t="n"/>
      <c r="E1399" s="13" t="n"/>
      <c r="F1399" s="14">
        <f>IF($E1399="","",IF($C1399="دستمزد گروهی",IFERROR(VLOOKUP($E1399,WGTbl,2,0),"کد ناشناخته"),IFERROR(IF(VLOOKUP($E1399,AcctTblE,4,0)="","(بدون نام)",VLOOKUP($E1399,AcctTblE,4,0)),"کد ناشناخته")))</f>
        <v/>
      </c>
      <c r="G1399" s="15" t="n"/>
      <c r="H1399" s="16">
        <f>IF(OR($C1399&lt;&gt;"دستمزد گروهی",$D1399=""),"",SUMIFS(ShareAmt,ShareLink,$D1399))</f>
        <v/>
      </c>
      <c r="I1399" s="17">
        <f>IF($C1399&lt;&gt;"دستمزد گروهی","—",IF($H1399="","",IF(ROUND($H1399-IF($G1399="",0,$G1399),0)=0,"√","▲ مغایرت "&amp;TEXT(IF($G1399="",0,$G1399)-$H1399,"#,##0"))))</f>
        <v/>
      </c>
      <c r="J1399" s="18" t="n"/>
    </row>
    <row r="1400">
      <c r="A1400" s="19">
        <f>IF($B1400="","",COUNTA($B$9:$B1400))</f>
        <v/>
      </c>
      <c r="B1400" s="11" t="n"/>
      <c r="C1400" s="12" t="n"/>
      <c r="D1400" s="12" t="n"/>
      <c r="E1400" s="13" t="n"/>
      <c r="F1400" s="20">
        <f>IF($E1400="","",IF($C1400="دستمزد گروهی",IFERROR(VLOOKUP($E1400,WGTbl,2,0),"کد ناشناخته"),IFERROR(IF(VLOOKUP($E1400,AcctTblE,4,0)="","(بدون نام)",VLOOKUP($E1400,AcctTblE,4,0)),"کد ناشناخته")))</f>
        <v/>
      </c>
      <c r="G1400" s="15" t="n"/>
      <c r="H1400" s="21">
        <f>IF(OR($C1400&lt;&gt;"دستمزد گروهی",$D1400=""),"",SUMIFS(ShareAmt,ShareLink,$D1400))</f>
        <v/>
      </c>
      <c r="I1400" s="22">
        <f>IF($C1400&lt;&gt;"دستمزد گروهی","—",IF($H1400="","",IF(ROUND($H1400-IF($G1400="",0,$G1400),0)=0,"√","▲ مغایرت "&amp;TEXT(IF($G1400="",0,$G1400)-$H1400,"#,##0"))))</f>
        <v/>
      </c>
      <c r="J1400" s="18" t="n"/>
    </row>
    <row r="1401">
      <c r="A1401" s="10">
        <f>IF($B1401="","",COUNTA($B$9:$B1401))</f>
        <v/>
      </c>
      <c r="B1401" s="11" t="n"/>
      <c r="C1401" s="12" t="n"/>
      <c r="D1401" s="12" t="n"/>
      <c r="E1401" s="13" t="n"/>
      <c r="F1401" s="14">
        <f>IF($E1401="","",IF($C1401="دستمزد گروهی",IFERROR(VLOOKUP($E1401,WGTbl,2,0),"کد ناشناخته"),IFERROR(IF(VLOOKUP($E1401,AcctTblE,4,0)="","(بدون نام)",VLOOKUP($E1401,AcctTblE,4,0)),"کد ناشناخته")))</f>
        <v/>
      </c>
      <c r="G1401" s="15" t="n"/>
      <c r="H1401" s="16">
        <f>IF(OR($C1401&lt;&gt;"دستمزد گروهی",$D1401=""),"",SUMIFS(ShareAmt,ShareLink,$D1401))</f>
        <v/>
      </c>
      <c r="I1401" s="17">
        <f>IF($C1401&lt;&gt;"دستمزد گروهی","—",IF($H1401="","",IF(ROUND($H1401-IF($G1401="",0,$G1401),0)=0,"√","▲ مغایرت "&amp;TEXT(IF($G1401="",0,$G1401)-$H1401,"#,##0"))))</f>
        <v/>
      </c>
      <c r="J1401" s="18" t="n"/>
    </row>
    <row r="1402">
      <c r="A1402" s="19">
        <f>IF($B1402="","",COUNTA($B$9:$B1402))</f>
        <v/>
      </c>
      <c r="B1402" s="11" t="n"/>
      <c r="C1402" s="12" t="n"/>
      <c r="D1402" s="12" t="n"/>
      <c r="E1402" s="13" t="n"/>
      <c r="F1402" s="20">
        <f>IF($E1402="","",IF($C1402="دستمزد گروهی",IFERROR(VLOOKUP($E1402,WGTbl,2,0),"کد ناشناخته"),IFERROR(IF(VLOOKUP($E1402,AcctTblE,4,0)="","(بدون نام)",VLOOKUP($E1402,AcctTblE,4,0)),"کد ناشناخته")))</f>
        <v/>
      </c>
      <c r="G1402" s="15" t="n"/>
      <c r="H1402" s="21">
        <f>IF(OR($C1402&lt;&gt;"دستمزد گروهی",$D1402=""),"",SUMIFS(ShareAmt,ShareLink,$D1402))</f>
        <v/>
      </c>
      <c r="I1402" s="22">
        <f>IF($C1402&lt;&gt;"دستمزد گروهی","—",IF($H1402="","",IF(ROUND($H1402-IF($G1402="",0,$G1402),0)=0,"√","▲ مغایرت "&amp;TEXT(IF($G1402="",0,$G1402)-$H1402,"#,##0"))))</f>
        <v/>
      </c>
      <c r="J1402" s="18" t="n"/>
    </row>
    <row r="1403">
      <c r="A1403" s="10">
        <f>IF($B1403="","",COUNTA($B$9:$B1403))</f>
        <v/>
      </c>
      <c r="B1403" s="11" t="n"/>
      <c r="C1403" s="12" t="n"/>
      <c r="D1403" s="12" t="n"/>
      <c r="E1403" s="13" t="n"/>
      <c r="F1403" s="14">
        <f>IF($E1403="","",IF($C1403="دستمزد گروهی",IFERROR(VLOOKUP($E1403,WGTbl,2,0),"کد ناشناخته"),IFERROR(IF(VLOOKUP($E1403,AcctTblE,4,0)="","(بدون نام)",VLOOKUP($E1403,AcctTblE,4,0)),"کد ناشناخته")))</f>
        <v/>
      </c>
      <c r="G1403" s="15" t="n"/>
      <c r="H1403" s="16">
        <f>IF(OR($C1403&lt;&gt;"دستمزد گروهی",$D1403=""),"",SUMIFS(ShareAmt,ShareLink,$D1403))</f>
        <v/>
      </c>
      <c r="I1403" s="17">
        <f>IF($C1403&lt;&gt;"دستمزد گروهی","—",IF($H1403="","",IF(ROUND($H1403-IF($G1403="",0,$G1403),0)=0,"√","▲ مغایرت "&amp;TEXT(IF($G1403="",0,$G1403)-$H1403,"#,##0"))))</f>
        <v/>
      </c>
      <c r="J1403" s="18" t="n"/>
    </row>
    <row r="1404">
      <c r="A1404" s="19">
        <f>IF($B1404="","",COUNTA($B$9:$B1404))</f>
        <v/>
      </c>
      <c r="B1404" s="11" t="n"/>
      <c r="C1404" s="12" t="n"/>
      <c r="D1404" s="12" t="n"/>
      <c r="E1404" s="13" t="n"/>
      <c r="F1404" s="20">
        <f>IF($E1404="","",IF($C1404="دستمزد گروهی",IFERROR(VLOOKUP($E1404,WGTbl,2,0),"کد ناشناخته"),IFERROR(IF(VLOOKUP($E1404,AcctTblE,4,0)="","(بدون نام)",VLOOKUP($E1404,AcctTblE,4,0)),"کد ناشناخته")))</f>
        <v/>
      </c>
      <c r="G1404" s="15" t="n"/>
      <c r="H1404" s="21">
        <f>IF(OR($C1404&lt;&gt;"دستمزد گروهی",$D1404=""),"",SUMIFS(ShareAmt,ShareLink,$D1404))</f>
        <v/>
      </c>
      <c r="I1404" s="22">
        <f>IF($C1404&lt;&gt;"دستمزد گروهی","—",IF($H1404="","",IF(ROUND($H1404-IF($G1404="",0,$G1404),0)=0,"√","▲ مغایرت "&amp;TEXT(IF($G1404="",0,$G1404)-$H1404,"#,##0"))))</f>
        <v/>
      </c>
      <c r="J1404" s="18" t="n"/>
    </row>
    <row r="1405">
      <c r="A1405" s="10">
        <f>IF($B1405="","",COUNTA($B$9:$B1405))</f>
        <v/>
      </c>
      <c r="B1405" s="11" t="n"/>
      <c r="C1405" s="12" t="n"/>
      <c r="D1405" s="12" t="n"/>
      <c r="E1405" s="13" t="n"/>
      <c r="F1405" s="14">
        <f>IF($E1405="","",IF($C1405="دستمزد گروهی",IFERROR(VLOOKUP($E1405,WGTbl,2,0),"کد ناشناخته"),IFERROR(IF(VLOOKUP($E1405,AcctTblE,4,0)="","(بدون نام)",VLOOKUP($E1405,AcctTblE,4,0)),"کد ناشناخته")))</f>
        <v/>
      </c>
      <c r="G1405" s="15" t="n"/>
      <c r="H1405" s="16">
        <f>IF(OR($C1405&lt;&gt;"دستمزد گروهی",$D1405=""),"",SUMIFS(ShareAmt,ShareLink,$D1405))</f>
        <v/>
      </c>
      <c r="I1405" s="17">
        <f>IF($C1405&lt;&gt;"دستمزد گروهی","—",IF($H1405="","",IF(ROUND($H1405-IF($G1405="",0,$G1405),0)=0,"√","▲ مغایرت "&amp;TEXT(IF($G1405="",0,$G1405)-$H1405,"#,##0"))))</f>
        <v/>
      </c>
      <c r="J1405" s="18" t="n"/>
    </row>
    <row r="1406">
      <c r="A1406" s="19">
        <f>IF($B1406="","",COUNTA($B$9:$B1406))</f>
        <v/>
      </c>
      <c r="B1406" s="11" t="n"/>
      <c r="C1406" s="12" t="n"/>
      <c r="D1406" s="12" t="n"/>
      <c r="E1406" s="13" t="n"/>
      <c r="F1406" s="20">
        <f>IF($E1406="","",IF($C1406="دستمزد گروهی",IFERROR(VLOOKUP($E1406,WGTbl,2,0),"کد ناشناخته"),IFERROR(IF(VLOOKUP($E1406,AcctTblE,4,0)="","(بدون نام)",VLOOKUP($E1406,AcctTblE,4,0)),"کد ناشناخته")))</f>
        <v/>
      </c>
      <c r="G1406" s="15" t="n"/>
      <c r="H1406" s="21">
        <f>IF(OR($C1406&lt;&gt;"دستمزد گروهی",$D1406=""),"",SUMIFS(ShareAmt,ShareLink,$D1406))</f>
        <v/>
      </c>
      <c r="I1406" s="22">
        <f>IF($C1406&lt;&gt;"دستمزد گروهی","—",IF($H1406="","",IF(ROUND($H1406-IF($G1406="",0,$G1406),0)=0,"√","▲ مغایرت "&amp;TEXT(IF($G1406="",0,$G1406)-$H1406,"#,##0"))))</f>
        <v/>
      </c>
      <c r="J1406" s="18" t="n"/>
    </row>
    <row r="1407">
      <c r="A1407" s="10">
        <f>IF($B1407="","",COUNTA($B$9:$B1407))</f>
        <v/>
      </c>
      <c r="B1407" s="11" t="n"/>
      <c r="C1407" s="12" t="n"/>
      <c r="D1407" s="12" t="n"/>
      <c r="E1407" s="13" t="n"/>
      <c r="F1407" s="14">
        <f>IF($E1407="","",IF($C1407="دستمزد گروهی",IFERROR(VLOOKUP($E1407,WGTbl,2,0),"کد ناشناخته"),IFERROR(IF(VLOOKUP($E1407,AcctTblE,4,0)="","(بدون نام)",VLOOKUP($E1407,AcctTblE,4,0)),"کد ناشناخته")))</f>
        <v/>
      </c>
      <c r="G1407" s="15" t="n"/>
      <c r="H1407" s="16">
        <f>IF(OR($C1407&lt;&gt;"دستمزد گروهی",$D1407=""),"",SUMIFS(ShareAmt,ShareLink,$D1407))</f>
        <v/>
      </c>
      <c r="I1407" s="17">
        <f>IF($C1407&lt;&gt;"دستمزد گروهی","—",IF($H1407="","",IF(ROUND($H1407-IF($G1407="",0,$G1407),0)=0,"√","▲ مغایرت "&amp;TEXT(IF($G1407="",0,$G1407)-$H1407,"#,##0"))))</f>
        <v/>
      </c>
      <c r="J1407" s="18" t="n"/>
    </row>
    <row r="1408">
      <c r="A1408" s="19">
        <f>IF($B1408="","",COUNTA($B$9:$B1408))</f>
        <v/>
      </c>
      <c r="B1408" s="11" t="n"/>
      <c r="C1408" s="12" t="n"/>
      <c r="D1408" s="12" t="n"/>
      <c r="E1408" s="13" t="n"/>
      <c r="F1408" s="20">
        <f>IF($E1408="","",IF($C1408="دستمزد گروهی",IFERROR(VLOOKUP($E1408,WGTbl,2,0),"کد ناشناخته"),IFERROR(IF(VLOOKUP($E1408,AcctTblE,4,0)="","(بدون نام)",VLOOKUP($E1408,AcctTblE,4,0)),"کد ناشناخته")))</f>
        <v/>
      </c>
      <c r="G1408" s="15" t="n"/>
      <c r="H1408" s="21">
        <f>IF(OR($C1408&lt;&gt;"دستمزد گروهی",$D1408=""),"",SUMIFS(ShareAmt,ShareLink,$D1408))</f>
        <v/>
      </c>
      <c r="I1408" s="22">
        <f>IF($C1408&lt;&gt;"دستمزد گروهی","—",IF($H1408="","",IF(ROUND($H1408-IF($G1408="",0,$G1408),0)=0,"√","▲ مغایرت "&amp;TEXT(IF($G1408="",0,$G1408)-$H1408,"#,##0"))))</f>
        <v/>
      </c>
      <c r="J1408" s="18" t="n"/>
    </row>
    <row r="1409">
      <c r="A1409" s="10">
        <f>IF($B1409="","",COUNTA($B$9:$B1409))</f>
        <v/>
      </c>
      <c r="B1409" s="11" t="n"/>
      <c r="C1409" s="12" t="n"/>
      <c r="D1409" s="12" t="n"/>
      <c r="E1409" s="13" t="n"/>
      <c r="F1409" s="14">
        <f>IF($E1409="","",IF($C1409="دستمزد گروهی",IFERROR(VLOOKUP($E1409,WGTbl,2,0),"کد ناشناخته"),IFERROR(IF(VLOOKUP($E1409,AcctTblE,4,0)="","(بدون نام)",VLOOKUP($E1409,AcctTblE,4,0)),"کد ناشناخته")))</f>
        <v/>
      </c>
      <c r="G1409" s="15" t="n"/>
      <c r="H1409" s="16">
        <f>IF(OR($C1409&lt;&gt;"دستمزد گروهی",$D1409=""),"",SUMIFS(ShareAmt,ShareLink,$D1409))</f>
        <v/>
      </c>
      <c r="I1409" s="17">
        <f>IF($C1409&lt;&gt;"دستمزد گروهی","—",IF($H1409="","",IF(ROUND($H1409-IF($G1409="",0,$G1409),0)=0,"√","▲ مغایرت "&amp;TEXT(IF($G1409="",0,$G1409)-$H1409,"#,##0"))))</f>
        <v/>
      </c>
      <c r="J1409" s="18" t="n"/>
    </row>
    <row r="1410">
      <c r="A1410" s="19">
        <f>IF($B1410="","",COUNTA($B$9:$B1410))</f>
        <v/>
      </c>
      <c r="B1410" s="11" t="n"/>
      <c r="C1410" s="12" t="n"/>
      <c r="D1410" s="12" t="n"/>
      <c r="E1410" s="13" t="n"/>
      <c r="F1410" s="20">
        <f>IF($E1410="","",IF($C1410="دستمزد گروهی",IFERROR(VLOOKUP($E1410,WGTbl,2,0),"کد ناشناخته"),IFERROR(IF(VLOOKUP($E1410,AcctTblE,4,0)="","(بدون نام)",VLOOKUP($E1410,AcctTblE,4,0)),"کد ناشناخته")))</f>
        <v/>
      </c>
      <c r="G1410" s="15" t="n"/>
      <c r="H1410" s="21">
        <f>IF(OR($C1410&lt;&gt;"دستمزد گروهی",$D1410=""),"",SUMIFS(ShareAmt,ShareLink,$D1410))</f>
        <v/>
      </c>
      <c r="I1410" s="22">
        <f>IF($C1410&lt;&gt;"دستمزد گروهی","—",IF($H1410="","",IF(ROUND($H1410-IF($G1410="",0,$G1410),0)=0,"√","▲ مغایرت "&amp;TEXT(IF($G1410="",0,$G1410)-$H1410,"#,##0"))))</f>
        <v/>
      </c>
      <c r="J1410" s="18" t="n"/>
    </row>
    <row r="1411">
      <c r="A1411" s="10">
        <f>IF($B1411="","",COUNTA($B$9:$B1411))</f>
        <v/>
      </c>
      <c r="B1411" s="11" t="n"/>
      <c r="C1411" s="12" t="n"/>
      <c r="D1411" s="12" t="n"/>
      <c r="E1411" s="13" t="n"/>
      <c r="F1411" s="14">
        <f>IF($E1411="","",IF($C1411="دستمزد گروهی",IFERROR(VLOOKUP($E1411,WGTbl,2,0),"کد ناشناخته"),IFERROR(IF(VLOOKUP($E1411,AcctTblE,4,0)="","(بدون نام)",VLOOKUP($E1411,AcctTblE,4,0)),"کد ناشناخته")))</f>
        <v/>
      </c>
      <c r="G1411" s="15" t="n"/>
      <c r="H1411" s="16">
        <f>IF(OR($C1411&lt;&gt;"دستمزد گروهی",$D1411=""),"",SUMIFS(ShareAmt,ShareLink,$D1411))</f>
        <v/>
      </c>
      <c r="I1411" s="17">
        <f>IF($C1411&lt;&gt;"دستمزد گروهی","—",IF($H1411="","",IF(ROUND($H1411-IF($G1411="",0,$G1411),0)=0,"√","▲ مغایرت "&amp;TEXT(IF($G1411="",0,$G1411)-$H1411,"#,##0"))))</f>
        <v/>
      </c>
      <c r="J1411" s="18" t="n"/>
    </row>
    <row r="1412">
      <c r="A1412" s="19">
        <f>IF($B1412="","",COUNTA($B$9:$B1412))</f>
        <v/>
      </c>
      <c r="B1412" s="11" t="n"/>
      <c r="C1412" s="12" t="n"/>
      <c r="D1412" s="12" t="n"/>
      <c r="E1412" s="13" t="n"/>
      <c r="F1412" s="20">
        <f>IF($E1412="","",IF($C1412="دستمزد گروهی",IFERROR(VLOOKUP($E1412,WGTbl,2,0),"کد ناشناخته"),IFERROR(IF(VLOOKUP($E1412,AcctTblE,4,0)="","(بدون نام)",VLOOKUP($E1412,AcctTblE,4,0)),"کد ناشناخته")))</f>
        <v/>
      </c>
      <c r="G1412" s="15" t="n"/>
      <c r="H1412" s="21">
        <f>IF(OR($C1412&lt;&gt;"دستمزد گروهی",$D1412=""),"",SUMIFS(ShareAmt,ShareLink,$D1412))</f>
        <v/>
      </c>
      <c r="I1412" s="22">
        <f>IF($C1412&lt;&gt;"دستمزد گروهی","—",IF($H1412="","",IF(ROUND($H1412-IF($G1412="",0,$G1412),0)=0,"√","▲ مغایرت "&amp;TEXT(IF($G1412="",0,$G1412)-$H1412,"#,##0"))))</f>
        <v/>
      </c>
      <c r="J1412" s="18" t="n"/>
    </row>
    <row r="1413">
      <c r="A1413" s="10">
        <f>IF($B1413="","",COUNTA($B$9:$B1413))</f>
        <v/>
      </c>
      <c r="B1413" s="11" t="n"/>
      <c r="C1413" s="12" t="n"/>
      <c r="D1413" s="12" t="n"/>
      <c r="E1413" s="13" t="n"/>
      <c r="F1413" s="14">
        <f>IF($E1413="","",IF($C1413="دستمزد گروهی",IFERROR(VLOOKUP($E1413,WGTbl,2,0),"کد ناشناخته"),IFERROR(IF(VLOOKUP($E1413,AcctTblE,4,0)="","(بدون نام)",VLOOKUP($E1413,AcctTblE,4,0)),"کد ناشناخته")))</f>
        <v/>
      </c>
      <c r="G1413" s="15" t="n"/>
      <c r="H1413" s="16">
        <f>IF(OR($C1413&lt;&gt;"دستمزد گروهی",$D1413=""),"",SUMIFS(ShareAmt,ShareLink,$D1413))</f>
        <v/>
      </c>
      <c r="I1413" s="17">
        <f>IF($C1413&lt;&gt;"دستمزد گروهی","—",IF($H1413="","",IF(ROUND($H1413-IF($G1413="",0,$G1413),0)=0,"√","▲ مغایرت "&amp;TEXT(IF($G1413="",0,$G1413)-$H1413,"#,##0"))))</f>
        <v/>
      </c>
      <c r="J1413" s="18" t="n"/>
    </row>
    <row r="1414">
      <c r="A1414" s="19">
        <f>IF($B1414="","",COUNTA($B$9:$B1414))</f>
        <v/>
      </c>
      <c r="B1414" s="11" t="n"/>
      <c r="C1414" s="12" t="n"/>
      <c r="D1414" s="12" t="n"/>
      <c r="E1414" s="13" t="n"/>
      <c r="F1414" s="20">
        <f>IF($E1414="","",IF($C1414="دستمزد گروهی",IFERROR(VLOOKUP($E1414,WGTbl,2,0),"کد ناشناخته"),IFERROR(IF(VLOOKUP($E1414,AcctTblE,4,0)="","(بدون نام)",VLOOKUP($E1414,AcctTblE,4,0)),"کد ناشناخته")))</f>
        <v/>
      </c>
      <c r="G1414" s="15" t="n"/>
      <c r="H1414" s="21">
        <f>IF(OR($C1414&lt;&gt;"دستمزد گروهی",$D1414=""),"",SUMIFS(ShareAmt,ShareLink,$D1414))</f>
        <v/>
      </c>
      <c r="I1414" s="22">
        <f>IF($C1414&lt;&gt;"دستمزد گروهی","—",IF($H1414="","",IF(ROUND($H1414-IF($G1414="",0,$G1414),0)=0,"√","▲ مغایرت "&amp;TEXT(IF($G1414="",0,$G1414)-$H1414,"#,##0"))))</f>
        <v/>
      </c>
      <c r="J1414" s="18" t="n"/>
    </row>
    <row r="1415">
      <c r="A1415" s="10">
        <f>IF($B1415="","",COUNTA($B$9:$B1415))</f>
        <v/>
      </c>
      <c r="B1415" s="11" t="n"/>
      <c r="C1415" s="12" t="n"/>
      <c r="D1415" s="12" t="n"/>
      <c r="E1415" s="13" t="n"/>
      <c r="F1415" s="14">
        <f>IF($E1415="","",IF($C1415="دستمزد گروهی",IFERROR(VLOOKUP($E1415,WGTbl,2,0),"کد ناشناخته"),IFERROR(IF(VLOOKUP($E1415,AcctTblE,4,0)="","(بدون نام)",VLOOKUP($E1415,AcctTblE,4,0)),"کد ناشناخته")))</f>
        <v/>
      </c>
      <c r="G1415" s="15" t="n"/>
      <c r="H1415" s="16">
        <f>IF(OR($C1415&lt;&gt;"دستمزد گروهی",$D1415=""),"",SUMIFS(ShareAmt,ShareLink,$D1415))</f>
        <v/>
      </c>
      <c r="I1415" s="17">
        <f>IF($C1415&lt;&gt;"دستمزد گروهی","—",IF($H1415="","",IF(ROUND($H1415-IF($G1415="",0,$G1415),0)=0,"√","▲ مغایرت "&amp;TEXT(IF($G1415="",0,$G1415)-$H1415,"#,##0"))))</f>
        <v/>
      </c>
      <c r="J1415" s="18" t="n"/>
    </row>
    <row r="1416">
      <c r="A1416" s="19">
        <f>IF($B1416="","",COUNTA($B$9:$B1416))</f>
        <v/>
      </c>
      <c r="B1416" s="11" t="n"/>
      <c r="C1416" s="12" t="n"/>
      <c r="D1416" s="12" t="n"/>
      <c r="E1416" s="13" t="n"/>
      <c r="F1416" s="20">
        <f>IF($E1416="","",IF($C1416="دستمزد گروهی",IFERROR(VLOOKUP($E1416,WGTbl,2,0),"کد ناشناخته"),IFERROR(IF(VLOOKUP($E1416,AcctTblE,4,0)="","(بدون نام)",VLOOKUP($E1416,AcctTblE,4,0)),"کد ناشناخته")))</f>
        <v/>
      </c>
      <c r="G1416" s="15" t="n"/>
      <c r="H1416" s="21">
        <f>IF(OR($C1416&lt;&gt;"دستمزد گروهی",$D1416=""),"",SUMIFS(ShareAmt,ShareLink,$D1416))</f>
        <v/>
      </c>
      <c r="I1416" s="22">
        <f>IF($C1416&lt;&gt;"دستمزد گروهی","—",IF($H1416="","",IF(ROUND($H1416-IF($G1416="",0,$G1416),0)=0,"√","▲ مغایرت "&amp;TEXT(IF($G1416="",0,$G1416)-$H1416,"#,##0"))))</f>
        <v/>
      </c>
      <c r="J1416" s="18" t="n"/>
    </row>
    <row r="1417">
      <c r="A1417" s="10">
        <f>IF($B1417="","",COUNTA($B$9:$B1417))</f>
        <v/>
      </c>
      <c r="B1417" s="11" t="n"/>
      <c r="C1417" s="12" t="n"/>
      <c r="D1417" s="12" t="n"/>
      <c r="E1417" s="13" t="n"/>
      <c r="F1417" s="14">
        <f>IF($E1417="","",IF($C1417="دستمزد گروهی",IFERROR(VLOOKUP($E1417,WGTbl,2,0),"کد ناشناخته"),IFERROR(IF(VLOOKUP($E1417,AcctTblE,4,0)="","(بدون نام)",VLOOKUP($E1417,AcctTblE,4,0)),"کد ناشناخته")))</f>
        <v/>
      </c>
      <c r="G1417" s="15" t="n"/>
      <c r="H1417" s="16">
        <f>IF(OR($C1417&lt;&gt;"دستمزد گروهی",$D1417=""),"",SUMIFS(ShareAmt,ShareLink,$D1417))</f>
        <v/>
      </c>
      <c r="I1417" s="17">
        <f>IF($C1417&lt;&gt;"دستمزد گروهی","—",IF($H1417="","",IF(ROUND($H1417-IF($G1417="",0,$G1417),0)=0,"√","▲ مغایرت "&amp;TEXT(IF($G1417="",0,$G1417)-$H1417,"#,##0"))))</f>
        <v/>
      </c>
      <c r="J1417" s="18" t="n"/>
    </row>
    <row r="1418">
      <c r="A1418" s="19">
        <f>IF($B1418="","",COUNTA($B$9:$B1418))</f>
        <v/>
      </c>
      <c r="B1418" s="11" t="n"/>
      <c r="C1418" s="12" t="n"/>
      <c r="D1418" s="12" t="n"/>
      <c r="E1418" s="13" t="n"/>
      <c r="F1418" s="20">
        <f>IF($E1418="","",IF($C1418="دستمزد گروهی",IFERROR(VLOOKUP($E1418,WGTbl,2,0),"کد ناشناخته"),IFERROR(IF(VLOOKUP($E1418,AcctTblE,4,0)="","(بدون نام)",VLOOKUP($E1418,AcctTblE,4,0)),"کد ناشناخته")))</f>
        <v/>
      </c>
      <c r="G1418" s="15" t="n"/>
      <c r="H1418" s="21">
        <f>IF(OR($C1418&lt;&gt;"دستمزد گروهی",$D1418=""),"",SUMIFS(ShareAmt,ShareLink,$D1418))</f>
        <v/>
      </c>
      <c r="I1418" s="22">
        <f>IF($C1418&lt;&gt;"دستمزد گروهی","—",IF($H1418="","",IF(ROUND($H1418-IF($G1418="",0,$G1418),0)=0,"√","▲ مغایرت "&amp;TEXT(IF($G1418="",0,$G1418)-$H1418,"#,##0"))))</f>
        <v/>
      </c>
      <c r="J1418" s="18" t="n"/>
    </row>
    <row r="1419">
      <c r="A1419" s="10">
        <f>IF($B1419="","",COUNTA($B$9:$B1419))</f>
        <v/>
      </c>
      <c r="B1419" s="11" t="n"/>
      <c r="C1419" s="12" t="n"/>
      <c r="D1419" s="12" t="n"/>
      <c r="E1419" s="13" t="n"/>
      <c r="F1419" s="14">
        <f>IF($E1419="","",IF($C1419="دستمزد گروهی",IFERROR(VLOOKUP($E1419,WGTbl,2,0),"کد ناشناخته"),IFERROR(IF(VLOOKUP($E1419,AcctTblE,4,0)="","(بدون نام)",VLOOKUP($E1419,AcctTblE,4,0)),"کد ناشناخته")))</f>
        <v/>
      </c>
      <c r="G1419" s="15" t="n"/>
      <c r="H1419" s="16">
        <f>IF(OR($C1419&lt;&gt;"دستمزد گروهی",$D1419=""),"",SUMIFS(ShareAmt,ShareLink,$D1419))</f>
        <v/>
      </c>
      <c r="I1419" s="17">
        <f>IF($C1419&lt;&gt;"دستمزد گروهی","—",IF($H1419="","",IF(ROUND($H1419-IF($G1419="",0,$G1419),0)=0,"√","▲ مغایرت "&amp;TEXT(IF($G1419="",0,$G1419)-$H1419,"#,##0"))))</f>
        <v/>
      </c>
      <c r="J1419" s="18" t="n"/>
    </row>
    <row r="1420">
      <c r="A1420" s="19">
        <f>IF($B1420="","",COUNTA($B$9:$B1420))</f>
        <v/>
      </c>
      <c r="B1420" s="11" t="n"/>
      <c r="C1420" s="12" t="n"/>
      <c r="D1420" s="12" t="n"/>
      <c r="E1420" s="13" t="n"/>
      <c r="F1420" s="20">
        <f>IF($E1420="","",IF($C1420="دستمزد گروهی",IFERROR(VLOOKUP($E1420,WGTbl,2,0),"کد ناشناخته"),IFERROR(IF(VLOOKUP($E1420,AcctTblE,4,0)="","(بدون نام)",VLOOKUP($E1420,AcctTblE,4,0)),"کد ناشناخته")))</f>
        <v/>
      </c>
      <c r="G1420" s="15" t="n"/>
      <c r="H1420" s="21">
        <f>IF(OR($C1420&lt;&gt;"دستمزد گروهی",$D1420=""),"",SUMIFS(ShareAmt,ShareLink,$D1420))</f>
        <v/>
      </c>
      <c r="I1420" s="22">
        <f>IF($C1420&lt;&gt;"دستمزد گروهی","—",IF($H1420="","",IF(ROUND($H1420-IF($G1420="",0,$G1420),0)=0,"√","▲ مغایرت "&amp;TEXT(IF($G1420="",0,$G1420)-$H1420,"#,##0"))))</f>
        <v/>
      </c>
      <c r="J1420" s="18" t="n"/>
    </row>
    <row r="1421">
      <c r="A1421" s="10">
        <f>IF($B1421="","",COUNTA($B$9:$B1421))</f>
        <v/>
      </c>
      <c r="B1421" s="11" t="n"/>
      <c r="C1421" s="12" t="n"/>
      <c r="D1421" s="12" t="n"/>
      <c r="E1421" s="13" t="n"/>
      <c r="F1421" s="14">
        <f>IF($E1421="","",IF($C1421="دستمزد گروهی",IFERROR(VLOOKUP($E1421,WGTbl,2,0),"کد ناشناخته"),IFERROR(IF(VLOOKUP($E1421,AcctTblE,4,0)="","(بدون نام)",VLOOKUP($E1421,AcctTblE,4,0)),"کد ناشناخته")))</f>
        <v/>
      </c>
      <c r="G1421" s="15" t="n"/>
      <c r="H1421" s="16">
        <f>IF(OR($C1421&lt;&gt;"دستمزد گروهی",$D1421=""),"",SUMIFS(ShareAmt,ShareLink,$D1421))</f>
        <v/>
      </c>
      <c r="I1421" s="17">
        <f>IF($C1421&lt;&gt;"دستمزد گروهی","—",IF($H1421="","",IF(ROUND($H1421-IF($G1421="",0,$G1421),0)=0,"√","▲ مغایرت "&amp;TEXT(IF($G1421="",0,$G1421)-$H1421,"#,##0"))))</f>
        <v/>
      </c>
      <c r="J1421" s="18" t="n"/>
    </row>
    <row r="1422">
      <c r="A1422" s="19">
        <f>IF($B1422="","",COUNTA($B$9:$B1422))</f>
        <v/>
      </c>
      <c r="B1422" s="11" t="n"/>
      <c r="C1422" s="12" t="n"/>
      <c r="D1422" s="12" t="n"/>
      <c r="E1422" s="13" t="n"/>
      <c r="F1422" s="20">
        <f>IF($E1422="","",IF($C1422="دستمزد گروهی",IFERROR(VLOOKUP($E1422,WGTbl,2,0),"کد ناشناخته"),IFERROR(IF(VLOOKUP($E1422,AcctTblE,4,0)="","(بدون نام)",VLOOKUP($E1422,AcctTblE,4,0)),"کد ناشناخته")))</f>
        <v/>
      </c>
      <c r="G1422" s="15" t="n"/>
      <c r="H1422" s="21">
        <f>IF(OR($C1422&lt;&gt;"دستمزد گروهی",$D1422=""),"",SUMIFS(ShareAmt,ShareLink,$D1422))</f>
        <v/>
      </c>
      <c r="I1422" s="22">
        <f>IF($C1422&lt;&gt;"دستمزد گروهی","—",IF($H1422="","",IF(ROUND($H1422-IF($G1422="",0,$G1422),0)=0,"√","▲ مغایرت "&amp;TEXT(IF($G1422="",0,$G1422)-$H1422,"#,##0"))))</f>
        <v/>
      </c>
      <c r="J1422" s="18" t="n"/>
    </row>
    <row r="1423">
      <c r="A1423" s="10">
        <f>IF($B1423="","",COUNTA($B$9:$B1423))</f>
        <v/>
      </c>
      <c r="B1423" s="11" t="n"/>
      <c r="C1423" s="12" t="n"/>
      <c r="D1423" s="12" t="n"/>
      <c r="E1423" s="13" t="n"/>
      <c r="F1423" s="14">
        <f>IF($E1423="","",IF($C1423="دستمزد گروهی",IFERROR(VLOOKUP($E1423,WGTbl,2,0),"کد ناشناخته"),IFERROR(IF(VLOOKUP($E1423,AcctTblE,4,0)="","(بدون نام)",VLOOKUP($E1423,AcctTblE,4,0)),"کد ناشناخته")))</f>
        <v/>
      </c>
      <c r="G1423" s="15" t="n"/>
      <c r="H1423" s="16">
        <f>IF(OR($C1423&lt;&gt;"دستمزد گروهی",$D1423=""),"",SUMIFS(ShareAmt,ShareLink,$D1423))</f>
        <v/>
      </c>
      <c r="I1423" s="17">
        <f>IF($C1423&lt;&gt;"دستمزد گروهی","—",IF($H1423="","",IF(ROUND($H1423-IF($G1423="",0,$G1423),0)=0,"√","▲ مغایرت "&amp;TEXT(IF($G1423="",0,$G1423)-$H1423,"#,##0"))))</f>
        <v/>
      </c>
      <c r="J1423" s="18" t="n"/>
    </row>
    <row r="1424">
      <c r="A1424" s="19">
        <f>IF($B1424="","",COUNTA($B$9:$B1424))</f>
        <v/>
      </c>
      <c r="B1424" s="11" t="n"/>
      <c r="C1424" s="12" t="n"/>
      <c r="D1424" s="12" t="n"/>
      <c r="E1424" s="13" t="n"/>
      <c r="F1424" s="20">
        <f>IF($E1424="","",IF($C1424="دستمزد گروهی",IFERROR(VLOOKUP($E1424,WGTbl,2,0),"کد ناشناخته"),IFERROR(IF(VLOOKUP($E1424,AcctTblE,4,0)="","(بدون نام)",VLOOKUP($E1424,AcctTblE,4,0)),"کد ناشناخته")))</f>
        <v/>
      </c>
      <c r="G1424" s="15" t="n"/>
      <c r="H1424" s="21">
        <f>IF(OR($C1424&lt;&gt;"دستمزد گروهی",$D1424=""),"",SUMIFS(ShareAmt,ShareLink,$D1424))</f>
        <v/>
      </c>
      <c r="I1424" s="22">
        <f>IF($C1424&lt;&gt;"دستمزد گروهی","—",IF($H1424="","",IF(ROUND($H1424-IF($G1424="",0,$G1424),0)=0,"√","▲ مغایرت "&amp;TEXT(IF($G1424="",0,$G1424)-$H1424,"#,##0"))))</f>
        <v/>
      </c>
      <c r="J1424" s="18" t="n"/>
    </row>
    <row r="1425">
      <c r="A1425" s="10">
        <f>IF($B1425="","",COUNTA($B$9:$B1425))</f>
        <v/>
      </c>
      <c r="B1425" s="11" t="n"/>
      <c r="C1425" s="12" t="n"/>
      <c r="D1425" s="12" t="n"/>
      <c r="E1425" s="13" t="n"/>
      <c r="F1425" s="14">
        <f>IF($E1425="","",IF($C1425="دستمزد گروهی",IFERROR(VLOOKUP($E1425,WGTbl,2,0),"کد ناشناخته"),IFERROR(IF(VLOOKUP($E1425,AcctTblE,4,0)="","(بدون نام)",VLOOKUP($E1425,AcctTblE,4,0)),"کد ناشناخته")))</f>
        <v/>
      </c>
      <c r="G1425" s="15" t="n"/>
      <c r="H1425" s="16">
        <f>IF(OR($C1425&lt;&gt;"دستمزد گروهی",$D1425=""),"",SUMIFS(ShareAmt,ShareLink,$D1425))</f>
        <v/>
      </c>
      <c r="I1425" s="17">
        <f>IF($C1425&lt;&gt;"دستمزد گروهی","—",IF($H1425="","",IF(ROUND($H1425-IF($G1425="",0,$G1425),0)=0,"√","▲ مغایرت "&amp;TEXT(IF($G1425="",0,$G1425)-$H1425,"#,##0"))))</f>
        <v/>
      </c>
      <c r="J1425" s="18" t="n"/>
    </row>
    <row r="1426">
      <c r="A1426" s="19">
        <f>IF($B1426="","",COUNTA($B$9:$B1426))</f>
        <v/>
      </c>
      <c r="B1426" s="11" t="n"/>
      <c r="C1426" s="12" t="n"/>
      <c r="D1426" s="12" t="n"/>
      <c r="E1426" s="13" t="n"/>
      <c r="F1426" s="20">
        <f>IF($E1426="","",IF($C1426="دستمزد گروهی",IFERROR(VLOOKUP($E1426,WGTbl,2,0),"کد ناشناخته"),IFERROR(IF(VLOOKUP($E1426,AcctTblE,4,0)="","(بدون نام)",VLOOKUP($E1426,AcctTblE,4,0)),"کد ناشناخته")))</f>
        <v/>
      </c>
      <c r="G1426" s="15" t="n"/>
      <c r="H1426" s="21">
        <f>IF(OR($C1426&lt;&gt;"دستمزد گروهی",$D1426=""),"",SUMIFS(ShareAmt,ShareLink,$D1426))</f>
        <v/>
      </c>
      <c r="I1426" s="22">
        <f>IF($C1426&lt;&gt;"دستمزد گروهی","—",IF($H1426="","",IF(ROUND($H1426-IF($G1426="",0,$G1426),0)=0,"√","▲ مغایرت "&amp;TEXT(IF($G1426="",0,$G1426)-$H1426,"#,##0"))))</f>
        <v/>
      </c>
      <c r="J1426" s="18" t="n"/>
    </row>
    <row r="1427">
      <c r="A1427" s="10">
        <f>IF($B1427="","",COUNTA($B$9:$B1427))</f>
        <v/>
      </c>
      <c r="B1427" s="11" t="n"/>
      <c r="C1427" s="12" t="n"/>
      <c r="D1427" s="12" t="n"/>
      <c r="E1427" s="13" t="n"/>
      <c r="F1427" s="14">
        <f>IF($E1427="","",IF($C1427="دستمزد گروهی",IFERROR(VLOOKUP($E1427,WGTbl,2,0),"کد ناشناخته"),IFERROR(IF(VLOOKUP($E1427,AcctTblE,4,0)="","(بدون نام)",VLOOKUP($E1427,AcctTblE,4,0)),"کد ناشناخته")))</f>
        <v/>
      </c>
      <c r="G1427" s="15" t="n"/>
      <c r="H1427" s="16">
        <f>IF(OR($C1427&lt;&gt;"دستمزد گروهی",$D1427=""),"",SUMIFS(ShareAmt,ShareLink,$D1427))</f>
        <v/>
      </c>
      <c r="I1427" s="17">
        <f>IF($C1427&lt;&gt;"دستمزد گروهی","—",IF($H1427="","",IF(ROUND($H1427-IF($G1427="",0,$G1427),0)=0,"√","▲ مغایرت "&amp;TEXT(IF($G1427="",0,$G1427)-$H1427,"#,##0"))))</f>
        <v/>
      </c>
      <c r="J1427" s="18" t="n"/>
    </row>
    <row r="1428">
      <c r="A1428" s="19">
        <f>IF($B1428="","",COUNTA($B$9:$B1428))</f>
        <v/>
      </c>
      <c r="B1428" s="11" t="n"/>
      <c r="C1428" s="12" t="n"/>
      <c r="D1428" s="12" t="n"/>
      <c r="E1428" s="13" t="n"/>
      <c r="F1428" s="20">
        <f>IF($E1428="","",IF($C1428="دستمزد گروهی",IFERROR(VLOOKUP($E1428,WGTbl,2,0),"کد ناشناخته"),IFERROR(IF(VLOOKUP($E1428,AcctTblE,4,0)="","(بدون نام)",VLOOKUP($E1428,AcctTblE,4,0)),"کد ناشناخته")))</f>
        <v/>
      </c>
      <c r="G1428" s="15" t="n"/>
      <c r="H1428" s="21">
        <f>IF(OR($C1428&lt;&gt;"دستمزد گروهی",$D1428=""),"",SUMIFS(ShareAmt,ShareLink,$D1428))</f>
        <v/>
      </c>
      <c r="I1428" s="22">
        <f>IF($C1428&lt;&gt;"دستمزد گروهی","—",IF($H1428="","",IF(ROUND($H1428-IF($G1428="",0,$G1428),0)=0,"√","▲ مغایرت "&amp;TEXT(IF($G1428="",0,$G1428)-$H1428,"#,##0"))))</f>
        <v/>
      </c>
      <c r="J1428" s="18" t="n"/>
    </row>
    <row r="1429">
      <c r="A1429" s="10">
        <f>IF($B1429="","",COUNTA($B$9:$B1429))</f>
        <v/>
      </c>
      <c r="B1429" s="11" t="n"/>
      <c r="C1429" s="12" t="n"/>
      <c r="D1429" s="12" t="n"/>
      <c r="E1429" s="13" t="n"/>
      <c r="F1429" s="14">
        <f>IF($E1429="","",IF($C1429="دستمزد گروهی",IFERROR(VLOOKUP($E1429,WGTbl,2,0),"کد ناشناخته"),IFERROR(IF(VLOOKUP($E1429,AcctTblE,4,0)="","(بدون نام)",VLOOKUP($E1429,AcctTblE,4,0)),"کد ناشناخته")))</f>
        <v/>
      </c>
      <c r="G1429" s="15" t="n"/>
      <c r="H1429" s="16">
        <f>IF(OR($C1429&lt;&gt;"دستمزد گروهی",$D1429=""),"",SUMIFS(ShareAmt,ShareLink,$D1429))</f>
        <v/>
      </c>
      <c r="I1429" s="17">
        <f>IF($C1429&lt;&gt;"دستمزد گروهی","—",IF($H1429="","",IF(ROUND($H1429-IF($G1429="",0,$G1429),0)=0,"√","▲ مغایرت "&amp;TEXT(IF($G1429="",0,$G1429)-$H1429,"#,##0"))))</f>
        <v/>
      </c>
      <c r="J1429" s="18" t="n"/>
    </row>
    <row r="1430">
      <c r="A1430" s="19">
        <f>IF($B1430="","",COUNTA($B$9:$B1430))</f>
        <v/>
      </c>
      <c r="B1430" s="11" t="n"/>
      <c r="C1430" s="12" t="n"/>
      <c r="D1430" s="12" t="n"/>
      <c r="E1430" s="13" t="n"/>
      <c r="F1430" s="20">
        <f>IF($E1430="","",IF($C1430="دستمزد گروهی",IFERROR(VLOOKUP($E1430,WGTbl,2,0),"کد ناشناخته"),IFERROR(IF(VLOOKUP($E1430,AcctTblE,4,0)="","(بدون نام)",VLOOKUP($E1430,AcctTblE,4,0)),"کد ناشناخته")))</f>
        <v/>
      </c>
      <c r="G1430" s="15" t="n"/>
      <c r="H1430" s="21">
        <f>IF(OR($C1430&lt;&gt;"دستمزد گروهی",$D1430=""),"",SUMIFS(ShareAmt,ShareLink,$D1430))</f>
        <v/>
      </c>
      <c r="I1430" s="22">
        <f>IF($C1430&lt;&gt;"دستمزد گروهی","—",IF($H1430="","",IF(ROUND($H1430-IF($G1430="",0,$G1430),0)=0,"√","▲ مغایرت "&amp;TEXT(IF($G1430="",0,$G1430)-$H1430,"#,##0"))))</f>
        <v/>
      </c>
      <c r="J1430" s="18" t="n"/>
    </row>
    <row r="1431">
      <c r="A1431" s="10">
        <f>IF($B1431="","",COUNTA($B$9:$B1431))</f>
        <v/>
      </c>
      <c r="B1431" s="11" t="n"/>
      <c r="C1431" s="12" t="n"/>
      <c r="D1431" s="12" t="n"/>
      <c r="E1431" s="13" t="n"/>
      <c r="F1431" s="14">
        <f>IF($E1431="","",IF($C1431="دستمزد گروهی",IFERROR(VLOOKUP($E1431,WGTbl,2,0),"کد ناشناخته"),IFERROR(IF(VLOOKUP($E1431,AcctTblE,4,0)="","(بدون نام)",VLOOKUP($E1431,AcctTblE,4,0)),"کد ناشناخته")))</f>
        <v/>
      </c>
      <c r="G1431" s="15" t="n"/>
      <c r="H1431" s="16">
        <f>IF(OR($C1431&lt;&gt;"دستمزد گروهی",$D1431=""),"",SUMIFS(ShareAmt,ShareLink,$D1431))</f>
        <v/>
      </c>
      <c r="I1431" s="17">
        <f>IF($C1431&lt;&gt;"دستمزد گروهی","—",IF($H1431="","",IF(ROUND($H1431-IF($G1431="",0,$G1431),0)=0,"√","▲ مغایرت "&amp;TEXT(IF($G1431="",0,$G1431)-$H1431,"#,##0"))))</f>
        <v/>
      </c>
      <c r="J1431" s="18" t="n"/>
    </row>
    <row r="1432">
      <c r="A1432" s="19">
        <f>IF($B1432="","",COUNTA($B$9:$B1432))</f>
        <v/>
      </c>
      <c r="B1432" s="11" t="n"/>
      <c r="C1432" s="12" t="n"/>
      <c r="D1432" s="12" t="n"/>
      <c r="E1432" s="13" t="n"/>
      <c r="F1432" s="20">
        <f>IF($E1432="","",IF($C1432="دستمزد گروهی",IFERROR(VLOOKUP($E1432,WGTbl,2,0),"کد ناشناخته"),IFERROR(IF(VLOOKUP($E1432,AcctTblE,4,0)="","(بدون نام)",VLOOKUP($E1432,AcctTblE,4,0)),"کد ناشناخته")))</f>
        <v/>
      </c>
      <c r="G1432" s="15" t="n"/>
      <c r="H1432" s="21">
        <f>IF(OR($C1432&lt;&gt;"دستمزد گروهی",$D1432=""),"",SUMIFS(ShareAmt,ShareLink,$D1432))</f>
        <v/>
      </c>
      <c r="I1432" s="22">
        <f>IF($C1432&lt;&gt;"دستمزد گروهی","—",IF($H1432="","",IF(ROUND($H1432-IF($G1432="",0,$G1432),0)=0,"√","▲ مغایرت "&amp;TEXT(IF($G1432="",0,$G1432)-$H1432,"#,##0"))))</f>
        <v/>
      </c>
      <c r="J1432" s="18" t="n"/>
    </row>
    <row r="1433">
      <c r="A1433" s="10">
        <f>IF($B1433="","",COUNTA($B$9:$B1433))</f>
        <v/>
      </c>
      <c r="B1433" s="11" t="n"/>
      <c r="C1433" s="12" t="n"/>
      <c r="D1433" s="12" t="n"/>
      <c r="E1433" s="13" t="n"/>
      <c r="F1433" s="14">
        <f>IF($E1433="","",IF($C1433="دستمزد گروهی",IFERROR(VLOOKUP($E1433,WGTbl,2,0),"کد ناشناخته"),IFERROR(IF(VLOOKUP($E1433,AcctTblE,4,0)="","(بدون نام)",VLOOKUP($E1433,AcctTblE,4,0)),"کد ناشناخته")))</f>
        <v/>
      </c>
      <c r="G1433" s="15" t="n"/>
      <c r="H1433" s="16">
        <f>IF(OR($C1433&lt;&gt;"دستمزد گروهی",$D1433=""),"",SUMIFS(ShareAmt,ShareLink,$D1433))</f>
        <v/>
      </c>
      <c r="I1433" s="17">
        <f>IF($C1433&lt;&gt;"دستمزد گروهی","—",IF($H1433="","",IF(ROUND($H1433-IF($G1433="",0,$G1433),0)=0,"√","▲ مغایرت "&amp;TEXT(IF($G1433="",0,$G1433)-$H1433,"#,##0"))))</f>
        <v/>
      </c>
      <c r="J1433" s="18" t="n"/>
    </row>
    <row r="1434">
      <c r="A1434" s="19">
        <f>IF($B1434="","",COUNTA($B$9:$B1434))</f>
        <v/>
      </c>
      <c r="B1434" s="11" t="n"/>
      <c r="C1434" s="12" t="n"/>
      <c r="D1434" s="12" t="n"/>
      <c r="E1434" s="13" t="n"/>
      <c r="F1434" s="20">
        <f>IF($E1434="","",IF($C1434="دستمزد گروهی",IFERROR(VLOOKUP($E1434,WGTbl,2,0),"کد ناشناخته"),IFERROR(IF(VLOOKUP($E1434,AcctTblE,4,0)="","(بدون نام)",VLOOKUP($E1434,AcctTblE,4,0)),"کد ناشناخته")))</f>
        <v/>
      </c>
      <c r="G1434" s="15" t="n"/>
      <c r="H1434" s="21">
        <f>IF(OR($C1434&lt;&gt;"دستمزد گروهی",$D1434=""),"",SUMIFS(ShareAmt,ShareLink,$D1434))</f>
        <v/>
      </c>
      <c r="I1434" s="22">
        <f>IF($C1434&lt;&gt;"دستمزد گروهی","—",IF($H1434="","",IF(ROUND($H1434-IF($G1434="",0,$G1434),0)=0,"√","▲ مغایرت "&amp;TEXT(IF($G1434="",0,$G1434)-$H1434,"#,##0"))))</f>
        <v/>
      </c>
      <c r="J1434" s="18" t="n"/>
    </row>
    <row r="1435">
      <c r="A1435" s="10">
        <f>IF($B1435="","",COUNTA($B$9:$B1435))</f>
        <v/>
      </c>
      <c r="B1435" s="11" t="n"/>
      <c r="C1435" s="12" t="n"/>
      <c r="D1435" s="12" t="n"/>
      <c r="E1435" s="13" t="n"/>
      <c r="F1435" s="14">
        <f>IF($E1435="","",IF($C1435="دستمزد گروهی",IFERROR(VLOOKUP($E1435,WGTbl,2,0),"کد ناشناخته"),IFERROR(IF(VLOOKUP($E1435,AcctTblE,4,0)="","(بدون نام)",VLOOKUP($E1435,AcctTblE,4,0)),"کد ناشناخته")))</f>
        <v/>
      </c>
      <c r="G1435" s="15" t="n"/>
      <c r="H1435" s="16">
        <f>IF(OR($C1435&lt;&gt;"دستمزد گروهی",$D1435=""),"",SUMIFS(ShareAmt,ShareLink,$D1435))</f>
        <v/>
      </c>
      <c r="I1435" s="17">
        <f>IF($C1435&lt;&gt;"دستمزد گروهی","—",IF($H1435="","",IF(ROUND($H1435-IF($G1435="",0,$G1435),0)=0,"√","▲ مغایرت "&amp;TEXT(IF($G1435="",0,$G1435)-$H1435,"#,##0"))))</f>
        <v/>
      </c>
      <c r="J1435" s="18" t="n"/>
    </row>
    <row r="1436">
      <c r="A1436" s="19">
        <f>IF($B1436="","",COUNTA($B$9:$B1436))</f>
        <v/>
      </c>
      <c r="B1436" s="11" t="n"/>
      <c r="C1436" s="12" t="n"/>
      <c r="D1436" s="12" t="n"/>
      <c r="E1436" s="13" t="n"/>
      <c r="F1436" s="20">
        <f>IF($E1436="","",IF($C1436="دستمزد گروهی",IFERROR(VLOOKUP($E1436,WGTbl,2,0),"کد ناشناخته"),IFERROR(IF(VLOOKUP($E1436,AcctTblE,4,0)="","(بدون نام)",VLOOKUP($E1436,AcctTblE,4,0)),"کد ناشناخته")))</f>
        <v/>
      </c>
      <c r="G1436" s="15" t="n"/>
      <c r="H1436" s="21">
        <f>IF(OR($C1436&lt;&gt;"دستمزد گروهی",$D1436=""),"",SUMIFS(ShareAmt,ShareLink,$D1436))</f>
        <v/>
      </c>
      <c r="I1436" s="22">
        <f>IF($C1436&lt;&gt;"دستمزد گروهی","—",IF($H1436="","",IF(ROUND($H1436-IF($G1436="",0,$G1436),0)=0,"√","▲ مغایرت "&amp;TEXT(IF($G1436="",0,$G1436)-$H1436,"#,##0"))))</f>
        <v/>
      </c>
      <c r="J1436" s="18" t="n"/>
    </row>
    <row r="1437">
      <c r="A1437" s="10">
        <f>IF($B1437="","",COUNTA($B$9:$B1437))</f>
        <v/>
      </c>
      <c r="B1437" s="11" t="n"/>
      <c r="C1437" s="12" t="n"/>
      <c r="D1437" s="12" t="n"/>
      <c r="E1437" s="13" t="n"/>
      <c r="F1437" s="14">
        <f>IF($E1437="","",IF($C1437="دستمزد گروهی",IFERROR(VLOOKUP($E1437,WGTbl,2,0),"کد ناشناخته"),IFERROR(IF(VLOOKUP($E1437,AcctTblE,4,0)="","(بدون نام)",VLOOKUP($E1437,AcctTblE,4,0)),"کد ناشناخته")))</f>
        <v/>
      </c>
      <c r="G1437" s="15" t="n"/>
      <c r="H1437" s="16">
        <f>IF(OR($C1437&lt;&gt;"دستمزد گروهی",$D1437=""),"",SUMIFS(ShareAmt,ShareLink,$D1437))</f>
        <v/>
      </c>
      <c r="I1437" s="17">
        <f>IF($C1437&lt;&gt;"دستمزد گروهی","—",IF($H1437="","",IF(ROUND($H1437-IF($G1437="",0,$G1437),0)=0,"√","▲ مغایرت "&amp;TEXT(IF($G1437="",0,$G1437)-$H1437,"#,##0"))))</f>
        <v/>
      </c>
      <c r="J1437" s="18" t="n"/>
    </row>
    <row r="1438">
      <c r="A1438" s="19">
        <f>IF($B1438="","",COUNTA($B$9:$B1438))</f>
        <v/>
      </c>
      <c r="B1438" s="11" t="n"/>
      <c r="C1438" s="12" t="n"/>
      <c r="D1438" s="12" t="n"/>
      <c r="E1438" s="13" t="n"/>
      <c r="F1438" s="20">
        <f>IF($E1438="","",IF($C1438="دستمزد گروهی",IFERROR(VLOOKUP($E1438,WGTbl,2,0),"کد ناشناخته"),IFERROR(IF(VLOOKUP($E1438,AcctTblE,4,0)="","(بدون نام)",VLOOKUP($E1438,AcctTblE,4,0)),"کد ناشناخته")))</f>
        <v/>
      </c>
      <c r="G1438" s="15" t="n"/>
      <c r="H1438" s="21">
        <f>IF(OR($C1438&lt;&gt;"دستمزد گروهی",$D1438=""),"",SUMIFS(ShareAmt,ShareLink,$D1438))</f>
        <v/>
      </c>
      <c r="I1438" s="22">
        <f>IF($C1438&lt;&gt;"دستمزد گروهی","—",IF($H1438="","",IF(ROUND($H1438-IF($G1438="",0,$G1438),0)=0,"√","▲ مغایرت "&amp;TEXT(IF($G1438="",0,$G1438)-$H1438,"#,##0"))))</f>
        <v/>
      </c>
      <c r="J1438" s="18" t="n"/>
    </row>
    <row r="1439">
      <c r="A1439" s="10">
        <f>IF($B1439="","",COUNTA($B$9:$B1439))</f>
        <v/>
      </c>
      <c r="B1439" s="11" t="n"/>
      <c r="C1439" s="12" t="n"/>
      <c r="D1439" s="12" t="n"/>
      <c r="E1439" s="13" t="n"/>
      <c r="F1439" s="14">
        <f>IF($E1439="","",IF($C1439="دستمزد گروهی",IFERROR(VLOOKUP($E1439,WGTbl,2,0),"کد ناشناخته"),IFERROR(IF(VLOOKUP($E1439,AcctTblE,4,0)="","(بدون نام)",VLOOKUP($E1439,AcctTblE,4,0)),"کد ناشناخته")))</f>
        <v/>
      </c>
      <c r="G1439" s="15" t="n"/>
      <c r="H1439" s="16">
        <f>IF(OR($C1439&lt;&gt;"دستمزد گروهی",$D1439=""),"",SUMIFS(ShareAmt,ShareLink,$D1439))</f>
        <v/>
      </c>
      <c r="I1439" s="17">
        <f>IF($C1439&lt;&gt;"دستمزد گروهی","—",IF($H1439="","",IF(ROUND($H1439-IF($G1439="",0,$G1439),0)=0,"√","▲ مغایرت "&amp;TEXT(IF($G1439="",0,$G1439)-$H1439,"#,##0"))))</f>
        <v/>
      </c>
      <c r="J1439" s="18" t="n"/>
    </row>
    <row r="1440">
      <c r="A1440" s="19">
        <f>IF($B1440="","",COUNTA($B$9:$B1440))</f>
        <v/>
      </c>
      <c r="B1440" s="11" t="n"/>
      <c r="C1440" s="12" t="n"/>
      <c r="D1440" s="12" t="n"/>
      <c r="E1440" s="13" t="n"/>
      <c r="F1440" s="20">
        <f>IF($E1440="","",IF($C1440="دستمزد گروهی",IFERROR(VLOOKUP($E1440,WGTbl,2,0),"کد ناشناخته"),IFERROR(IF(VLOOKUP($E1440,AcctTblE,4,0)="","(بدون نام)",VLOOKUP($E1440,AcctTblE,4,0)),"کد ناشناخته")))</f>
        <v/>
      </c>
      <c r="G1440" s="15" t="n"/>
      <c r="H1440" s="21">
        <f>IF(OR($C1440&lt;&gt;"دستمزد گروهی",$D1440=""),"",SUMIFS(ShareAmt,ShareLink,$D1440))</f>
        <v/>
      </c>
      <c r="I1440" s="22">
        <f>IF($C1440&lt;&gt;"دستمزد گروهی","—",IF($H1440="","",IF(ROUND($H1440-IF($G1440="",0,$G1440),0)=0,"√","▲ مغایرت "&amp;TEXT(IF($G1440="",0,$G1440)-$H1440,"#,##0"))))</f>
        <v/>
      </c>
      <c r="J1440" s="18" t="n"/>
    </row>
    <row r="1441">
      <c r="A1441" s="10">
        <f>IF($B1441="","",COUNTA($B$9:$B1441))</f>
        <v/>
      </c>
      <c r="B1441" s="11" t="n"/>
      <c r="C1441" s="12" t="n"/>
      <c r="D1441" s="12" t="n"/>
      <c r="E1441" s="13" t="n"/>
      <c r="F1441" s="14">
        <f>IF($E1441="","",IF($C1441="دستمزد گروهی",IFERROR(VLOOKUP($E1441,WGTbl,2,0),"کد ناشناخته"),IFERROR(IF(VLOOKUP($E1441,AcctTblE,4,0)="","(بدون نام)",VLOOKUP($E1441,AcctTblE,4,0)),"کد ناشناخته")))</f>
        <v/>
      </c>
      <c r="G1441" s="15" t="n"/>
      <c r="H1441" s="16">
        <f>IF(OR($C1441&lt;&gt;"دستمزد گروهی",$D1441=""),"",SUMIFS(ShareAmt,ShareLink,$D1441))</f>
        <v/>
      </c>
      <c r="I1441" s="17">
        <f>IF($C1441&lt;&gt;"دستمزد گروهی","—",IF($H1441="","",IF(ROUND($H1441-IF($G1441="",0,$G1441),0)=0,"√","▲ مغایرت "&amp;TEXT(IF($G1441="",0,$G1441)-$H1441,"#,##0"))))</f>
        <v/>
      </c>
      <c r="J1441" s="18" t="n"/>
    </row>
    <row r="1442">
      <c r="A1442" s="19">
        <f>IF($B1442="","",COUNTA($B$9:$B1442))</f>
        <v/>
      </c>
      <c r="B1442" s="11" t="n"/>
      <c r="C1442" s="12" t="n"/>
      <c r="D1442" s="12" t="n"/>
      <c r="E1442" s="13" t="n"/>
      <c r="F1442" s="20">
        <f>IF($E1442="","",IF($C1442="دستمزد گروهی",IFERROR(VLOOKUP($E1442,WGTbl,2,0),"کد ناشناخته"),IFERROR(IF(VLOOKUP($E1442,AcctTblE,4,0)="","(بدون نام)",VLOOKUP($E1442,AcctTblE,4,0)),"کد ناشناخته")))</f>
        <v/>
      </c>
      <c r="G1442" s="15" t="n"/>
      <c r="H1442" s="21">
        <f>IF(OR($C1442&lt;&gt;"دستمزد گروهی",$D1442=""),"",SUMIFS(ShareAmt,ShareLink,$D1442))</f>
        <v/>
      </c>
      <c r="I1442" s="22">
        <f>IF($C1442&lt;&gt;"دستمزد گروهی","—",IF($H1442="","",IF(ROUND($H1442-IF($G1442="",0,$G1442),0)=0,"√","▲ مغایرت "&amp;TEXT(IF($G1442="",0,$G1442)-$H1442,"#,##0"))))</f>
        <v/>
      </c>
      <c r="J1442" s="18" t="n"/>
    </row>
    <row r="1443">
      <c r="A1443" s="10">
        <f>IF($B1443="","",COUNTA($B$9:$B1443))</f>
        <v/>
      </c>
      <c r="B1443" s="11" t="n"/>
      <c r="C1443" s="12" t="n"/>
      <c r="D1443" s="12" t="n"/>
      <c r="E1443" s="13" t="n"/>
      <c r="F1443" s="14">
        <f>IF($E1443="","",IF($C1443="دستمزد گروهی",IFERROR(VLOOKUP($E1443,WGTbl,2,0),"کد ناشناخته"),IFERROR(IF(VLOOKUP($E1443,AcctTblE,4,0)="","(بدون نام)",VLOOKUP($E1443,AcctTblE,4,0)),"کد ناشناخته")))</f>
        <v/>
      </c>
      <c r="G1443" s="15" t="n"/>
      <c r="H1443" s="16">
        <f>IF(OR($C1443&lt;&gt;"دستمزد گروهی",$D1443=""),"",SUMIFS(ShareAmt,ShareLink,$D1443))</f>
        <v/>
      </c>
      <c r="I1443" s="17">
        <f>IF($C1443&lt;&gt;"دستمزد گروهی","—",IF($H1443="","",IF(ROUND($H1443-IF($G1443="",0,$G1443),0)=0,"√","▲ مغایرت "&amp;TEXT(IF($G1443="",0,$G1443)-$H1443,"#,##0"))))</f>
        <v/>
      </c>
      <c r="J1443" s="18" t="n"/>
    </row>
    <row r="1444">
      <c r="A1444" s="19">
        <f>IF($B1444="","",COUNTA($B$9:$B1444))</f>
        <v/>
      </c>
      <c r="B1444" s="11" t="n"/>
      <c r="C1444" s="12" t="n"/>
      <c r="D1444" s="12" t="n"/>
      <c r="E1444" s="13" t="n"/>
      <c r="F1444" s="20">
        <f>IF($E1444="","",IF($C1444="دستمزد گروهی",IFERROR(VLOOKUP($E1444,WGTbl,2,0),"کد ناشناخته"),IFERROR(IF(VLOOKUP($E1444,AcctTblE,4,0)="","(بدون نام)",VLOOKUP($E1444,AcctTblE,4,0)),"کد ناشناخته")))</f>
        <v/>
      </c>
      <c r="G1444" s="15" t="n"/>
      <c r="H1444" s="21">
        <f>IF(OR($C1444&lt;&gt;"دستمزد گروهی",$D1444=""),"",SUMIFS(ShareAmt,ShareLink,$D1444))</f>
        <v/>
      </c>
      <c r="I1444" s="22">
        <f>IF($C1444&lt;&gt;"دستمزد گروهی","—",IF($H1444="","",IF(ROUND($H1444-IF($G1444="",0,$G1444),0)=0,"√","▲ مغایرت "&amp;TEXT(IF($G1444="",0,$G1444)-$H1444,"#,##0"))))</f>
        <v/>
      </c>
      <c r="J1444" s="18" t="n"/>
    </row>
    <row r="1445">
      <c r="A1445" s="10">
        <f>IF($B1445="","",COUNTA($B$9:$B1445))</f>
        <v/>
      </c>
      <c r="B1445" s="11" t="n"/>
      <c r="C1445" s="12" t="n"/>
      <c r="D1445" s="12" t="n"/>
      <c r="E1445" s="13" t="n"/>
      <c r="F1445" s="14">
        <f>IF($E1445="","",IF($C1445="دستمزد گروهی",IFERROR(VLOOKUP($E1445,WGTbl,2,0),"کد ناشناخته"),IFERROR(IF(VLOOKUP($E1445,AcctTblE,4,0)="","(بدون نام)",VLOOKUP($E1445,AcctTblE,4,0)),"کد ناشناخته")))</f>
        <v/>
      </c>
      <c r="G1445" s="15" t="n"/>
      <c r="H1445" s="16">
        <f>IF(OR($C1445&lt;&gt;"دستمزد گروهی",$D1445=""),"",SUMIFS(ShareAmt,ShareLink,$D1445))</f>
        <v/>
      </c>
      <c r="I1445" s="17">
        <f>IF($C1445&lt;&gt;"دستمزد گروهی","—",IF($H1445="","",IF(ROUND($H1445-IF($G1445="",0,$G1445),0)=0,"√","▲ مغایرت "&amp;TEXT(IF($G1445="",0,$G1445)-$H1445,"#,##0"))))</f>
        <v/>
      </c>
      <c r="J1445" s="18" t="n"/>
    </row>
    <row r="1446">
      <c r="A1446" s="19">
        <f>IF($B1446="","",COUNTA($B$9:$B1446))</f>
        <v/>
      </c>
      <c r="B1446" s="11" t="n"/>
      <c r="C1446" s="12" t="n"/>
      <c r="D1446" s="12" t="n"/>
      <c r="E1446" s="13" t="n"/>
      <c r="F1446" s="20">
        <f>IF($E1446="","",IF($C1446="دستمزد گروهی",IFERROR(VLOOKUP($E1446,WGTbl,2,0),"کد ناشناخته"),IFERROR(IF(VLOOKUP($E1446,AcctTblE,4,0)="","(بدون نام)",VLOOKUP($E1446,AcctTblE,4,0)),"کد ناشناخته")))</f>
        <v/>
      </c>
      <c r="G1446" s="15" t="n"/>
      <c r="H1446" s="21">
        <f>IF(OR($C1446&lt;&gt;"دستمزد گروهی",$D1446=""),"",SUMIFS(ShareAmt,ShareLink,$D1446))</f>
        <v/>
      </c>
      <c r="I1446" s="22">
        <f>IF($C1446&lt;&gt;"دستمزد گروهی","—",IF($H1446="","",IF(ROUND($H1446-IF($G1446="",0,$G1446),0)=0,"√","▲ مغایرت "&amp;TEXT(IF($G1446="",0,$G1446)-$H1446,"#,##0"))))</f>
        <v/>
      </c>
      <c r="J1446" s="18" t="n"/>
    </row>
    <row r="1447">
      <c r="A1447" s="10">
        <f>IF($B1447="","",COUNTA($B$9:$B1447))</f>
        <v/>
      </c>
      <c r="B1447" s="11" t="n"/>
      <c r="C1447" s="12" t="n"/>
      <c r="D1447" s="12" t="n"/>
      <c r="E1447" s="13" t="n"/>
      <c r="F1447" s="14">
        <f>IF($E1447="","",IF($C1447="دستمزد گروهی",IFERROR(VLOOKUP($E1447,WGTbl,2,0),"کد ناشناخته"),IFERROR(IF(VLOOKUP($E1447,AcctTblE,4,0)="","(بدون نام)",VLOOKUP($E1447,AcctTblE,4,0)),"کد ناشناخته")))</f>
        <v/>
      </c>
      <c r="G1447" s="15" t="n"/>
      <c r="H1447" s="16">
        <f>IF(OR($C1447&lt;&gt;"دستمزد گروهی",$D1447=""),"",SUMIFS(ShareAmt,ShareLink,$D1447))</f>
        <v/>
      </c>
      <c r="I1447" s="17">
        <f>IF($C1447&lt;&gt;"دستمزد گروهی","—",IF($H1447="","",IF(ROUND($H1447-IF($G1447="",0,$G1447),0)=0,"√","▲ مغایرت "&amp;TEXT(IF($G1447="",0,$G1447)-$H1447,"#,##0"))))</f>
        <v/>
      </c>
      <c r="J1447" s="18" t="n"/>
    </row>
    <row r="1448">
      <c r="A1448" s="19">
        <f>IF($B1448="","",COUNTA($B$9:$B1448))</f>
        <v/>
      </c>
      <c r="B1448" s="11" t="n"/>
      <c r="C1448" s="12" t="n"/>
      <c r="D1448" s="12" t="n"/>
      <c r="E1448" s="13" t="n"/>
      <c r="F1448" s="20">
        <f>IF($E1448="","",IF($C1448="دستمزد گروهی",IFERROR(VLOOKUP($E1448,WGTbl,2,0),"کد ناشناخته"),IFERROR(IF(VLOOKUP($E1448,AcctTblE,4,0)="","(بدون نام)",VLOOKUP($E1448,AcctTblE,4,0)),"کد ناشناخته")))</f>
        <v/>
      </c>
      <c r="G1448" s="15" t="n"/>
      <c r="H1448" s="21">
        <f>IF(OR($C1448&lt;&gt;"دستمزد گروهی",$D1448=""),"",SUMIFS(ShareAmt,ShareLink,$D1448))</f>
        <v/>
      </c>
      <c r="I1448" s="22">
        <f>IF($C1448&lt;&gt;"دستمزد گروهی","—",IF($H1448="","",IF(ROUND($H1448-IF($G1448="",0,$G1448),0)=0,"√","▲ مغایرت "&amp;TEXT(IF($G1448="",0,$G1448)-$H1448,"#,##0"))))</f>
        <v/>
      </c>
      <c r="J1448" s="18" t="n"/>
    </row>
    <row r="1449">
      <c r="A1449" s="10">
        <f>IF($B1449="","",COUNTA($B$9:$B1449))</f>
        <v/>
      </c>
      <c r="B1449" s="11" t="n"/>
      <c r="C1449" s="12" t="n"/>
      <c r="D1449" s="12" t="n"/>
      <c r="E1449" s="13" t="n"/>
      <c r="F1449" s="14">
        <f>IF($E1449="","",IF($C1449="دستمزد گروهی",IFERROR(VLOOKUP($E1449,WGTbl,2,0),"کد ناشناخته"),IFERROR(IF(VLOOKUP($E1449,AcctTblE,4,0)="","(بدون نام)",VLOOKUP($E1449,AcctTblE,4,0)),"کد ناشناخته")))</f>
        <v/>
      </c>
      <c r="G1449" s="15" t="n"/>
      <c r="H1449" s="16">
        <f>IF(OR($C1449&lt;&gt;"دستمزد گروهی",$D1449=""),"",SUMIFS(ShareAmt,ShareLink,$D1449))</f>
        <v/>
      </c>
      <c r="I1449" s="17">
        <f>IF($C1449&lt;&gt;"دستمزد گروهی","—",IF($H1449="","",IF(ROUND($H1449-IF($G1449="",0,$G1449),0)=0,"√","▲ مغایرت "&amp;TEXT(IF($G1449="",0,$G1449)-$H1449,"#,##0"))))</f>
        <v/>
      </c>
      <c r="J1449" s="18" t="n"/>
    </row>
    <row r="1450">
      <c r="A1450" s="19">
        <f>IF($B1450="","",COUNTA($B$9:$B1450))</f>
        <v/>
      </c>
      <c r="B1450" s="11" t="n"/>
      <c r="C1450" s="12" t="n"/>
      <c r="D1450" s="12" t="n"/>
      <c r="E1450" s="13" t="n"/>
      <c r="F1450" s="20">
        <f>IF($E1450="","",IF($C1450="دستمزد گروهی",IFERROR(VLOOKUP($E1450,WGTbl,2,0),"کد ناشناخته"),IFERROR(IF(VLOOKUP($E1450,AcctTblE,4,0)="","(بدون نام)",VLOOKUP($E1450,AcctTblE,4,0)),"کد ناشناخته")))</f>
        <v/>
      </c>
      <c r="G1450" s="15" t="n"/>
      <c r="H1450" s="21">
        <f>IF(OR($C1450&lt;&gt;"دستمزد گروهی",$D1450=""),"",SUMIFS(ShareAmt,ShareLink,$D1450))</f>
        <v/>
      </c>
      <c r="I1450" s="22">
        <f>IF($C1450&lt;&gt;"دستمزد گروهی","—",IF($H1450="","",IF(ROUND($H1450-IF($G1450="",0,$G1450),0)=0,"√","▲ مغایرت "&amp;TEXT(IF($G1450="",0,$G1450)-$H1450,"#,##0"))))</f>
        <v/>
      </c>
      <c r="J1450" s="18" t="n"/>
    </row>
    <row r="1451">
      <c r="A1451" s="10">
        <f>IF($B1451="","",COUNTA($B$9:$B1451))</f>
        <v/>
      </c>
      <c r="B1451" s="11" t="n"/>
      <c r="C1451" s="12" t="n"/>
      <c r="D1451" s="12" t="n"/>
      <c r="E1451" s="13" t="n"/>
      <c r="F1451" s="14">
        <f>IF($E1451="","",IF($C1451="دستمزد گروهی",IFERROR(VLOOKUP($E1451,WGTbl,2,0),"کد ناشناخته"),IFERROR(IF(VLOOKUP($E1451,AcctTblE,4,0)="","(بدون نام)",VLOOKUP($E1451,AcctTblE,4,0)),"کد ناشناخته")))</f>
        <v/>
      </c>
      <c r="G1451" s="15" t="n"/>
      <c r="H1451" s="16">
        <f>IF(OR($C1451&lt;&gt;"دستمزد گروهی",$D1451=""),"",SUMIFS(ShareAmt,ShareLink,$D1451))</f>
        <v/>
      </c>
      <c r="I1451" s="17">
        <f>IF($C1451&lt;&gt;"دستمزد گروهی","—",IF($H1451="","",IF(ROUND($H1451-IF($G1451="",0,$G1451),0)=0,"√","▲ مغایرت "&amp;TEXT(IF($G1451="",0,$G1451)-$H1451,"#,##0"))))</f>
        <v/>
      </c>
      <c r="J1451" s="18" t="n"/>
    </row>
    <row r="1452">
      <c r="A1452" s="19">
        <f>IF($B1452="","",COUNTA($B$9:$B1452))</f>
        <v/>
      </c>
      <c r="B1452" s="11" t="n"/>
      <c r="C1452" s="12" t="n"/>
      <c r="D1452" s="12" t="n"/>
      <c r="E1452" s="13" t="n"/>
      <c r="F1452" s="20">
        <f>IF($E1452="","",IF($C1452="دستمزد گروهی",IFERROR(VLOOKUP($E1452,WGTbl,2,0),"کد ناشناخته"),IFERROR(IF(VLOOKUP($E1452,AcctTblE,4,0)="","(بدون نام)",VLOOKUP($E1452,AcctTblE,4,0)),"کد ناشناخته")))</f>
        <v/>
      </c>
      <c r="G1452" s="15" t="n"/>
      <c r="H1452" s="21">
        <f>IF(OR($C1452&lt;&gt;"دستمزد گروهی",$D1452=""),"",SUMIFS(ShareAmt,ShareLink,$D1452))</f>
        <v/>
      </c>
      <c r="I1452" s="22">
        <f>IF($C1452&lt;&gt;"دستمزد گروهی","—",IF($H1452="","",IF(ROUND($H1452-IF($G1452="",0,$G1452),0)=0,"√","▲ مغایرت "&amp;TEXT(IF($G1452="",0,$G1452)-$H1452,"#,##0"))))</f>
        <v/>
      </c>
      <c r="J1452" s="18" t="n"/>
    </row>
    <row r="1453">
      <c r="A1453" s="10">
        <f>IF($B1453="","",COUNTA($B$9:$B1453))</f>
        <v/>
      </c>
      <c r="B1453" s="11" t="n"/>
      <c r="C1453" s="12" t="n"/>
      <c r="D1453" s="12" t="n"/>
      <c r="E1453" s="13" t="n"/>
      <c r="F1453" s="14">
        <f>IF($E1453="","",IF($C1453="دستمزد گروهی",IFERROR(VLOOKUP($E1453,WGTbl,2,0),"کد ناشناخته"),IFERROR(IF(VLOOKUP($E1453,AcctTblE,4,0)="","(بدون نام)",VLOOKUP($E1453,AcctTblE,4,0)),"کد ناشناخته")))</f>
        <v/>
      </c>
      <c r="G1453" s="15" t="n"/>
      <c r="H1453" s="16">
        <f>IF(OR($C1453&lt;&gt;"دستمزد گروهی",$D1453=""),"",SUMIFS(ShareAmt,ShareLink,$D1453))</f>
        <v/>
      </c>
      <c r="I1453" s="17">
        <f>IF($C1453&lt;&gt;"دستمزد گروهی","—",IF($H1453="","",IF(ROUND($H1453-IF($G1453="",0,$G1453),0)=0,"√","▲ مغایرت "&amp;TEXT(IF($G1453="",0,$G1453)-$H1453,"#,##0"))))</f>
        <v/>
      </c>
      <c r="J1453" s="18" t="n"/>
    </row>
    <row r="1454">
      <c r="A1454" s="19">
        <f>IF($B1454="","",COUNTA($B$9:$B1454))</f>
        <v/>
      </c>
      <c r="B1454" s="11" t="n"/>
      <c r="C1454" s="12" t="n"/>
      <c r="D1454" s="12" t="n"/>
      <c r="E1454" s="13" t="n"/>
      <c r="F1454" s="20">
        <f>IF($E1454="","",IF($C1454="دستمزد گروهی",IFERROR(VLOOKUP($E1454,WGTbl,2,0),"کد ناشناخته"),IFERROR(IF(VLOOKUP($E1454,AcctTblE,4,0)="","(بدون نام)",VLOOKUP($E1454,AcctTblE,4,0)),"کد ناشناخته")))</f>
        <v/>
      </c>
      <c r="G1454" s="15" t="n"/>
      <c r="H1454" s="21">
        <f>IF(OR($C1454&lt;&gt;"دستمزد گروهی",$D1454=""),"",SUMIFS(ShareAmt,ShareLink,$D1454))</f>
        <v/>
      </c>
      <c r="I1454" s="22">
        <f>IF($C1454&lt;&gt;"دستمزد گروهی","—",IF($H1454="","",IF(ROUND($H1454-IF($G1454="",0,$G1454),0)=0,"√","▲ مغایرت "&amp;TEXT(IF($G1454="",0,$G1454)-$H1454,"#,##0"))))</f>
        <v/>
      </c>
      <c r="J1454" s="18" t="n"/>
    </row>
    <row r="1455">
      <c r="A1455" s="10">
        <f>IF($B1455="","",COUNTA($B$9:$B1455))</f>
        <v/>
      </c>
      <c r="B1455" s="11" t="n"/>
      <c r="C1455" s="12" t="n"/>
      <c r="D1455" s="12" t="n"/>
      <c r="E1455" s="13" t="n"/>
      <c r="F1455" s="14">
        <f>IF($E1455="","",IF($C1455="دستمزد گروهی",IFERROR(VLOOKUP($E1455,WGTbl,2,0),"کد ناشناخته"),IFERROR(IF(VLOOKUP($E1455,AcctTblE,4,0)="","(بدون نام)",VLOOKUP($E1455,AcctTblE,4,0)),"کد ناشناخته")))</f>
        <v/>
      </c>
      <c r="G1455" s="15" t="n"/>
      <c r="H1455" s="16">
        <f>IF(OR($C1455&lt;&gt;"دستمزد گروهی",$D1455=""),"",SUMIFS(ShareAmt,ShareLink,$D1455))</f>
        <v/>
      </c>
      <c r="I1455" s="17">
        <f>IF($C1455&lt;&gt;"دستمزد گروهی","—",IF($H1455="","",IF(ROUND($H1455-IF($G1455="",0,$G1455),0)=0,"√","▲ مغایرت "&amp;TEXT(IF($G1455="",0,$G1455)-$H1455,"#,##0"))))</f>
        <v/>
      </c>
      <c r="J1455" s="18" t="n"/>
    </row>
    <row r="1456">
      <c r="A1456" s="19">
        <f>IF($B1456="","",COUNTA($B$9:$B1456))</f>
        <v/>
      </c>
      <c r="B1456" s="11" t="n"/>
      <c r="C1456" s="12" t="n"/>
      <c r="D1456" s="12" t="n"/>
      <c r="E1456" s="13" t="n"/>
      <c r="F1456" s="20">
        <f>IF($E1456="","",IF($C1456="دستمزد گروهی",IFERROR(VLOOKUP($E1456,WGTbl,2,0),"کد ناشناخته"),IFERROR(IF(VLOOKUP($E1456,AcctTblE,4,0)="","(بدون نام)",VLOOKUP($E1456,AcctTblE,4,0)),"کد ناشناخته")))</f>
        <v/>
      </c>
      <c r="G1456" s="15" t="n"/>
      <c r="H1456" s="21">
        <f>IF(OR($C1456&lt;&gt;"دستمزد گروهی",$D1456=""),"",SUMIFS(ShareAmt,ShareLink,$D1456))</f>
        <v/>
      </c>
      <c r="I1456" s="22">
        <f>IF($C1456&lt;&gt;"دستمزد گروهی","—",IF($H1456="","",IF(ROUND($H1456-IF($G1456="",0,$G1456),0)=0,"√","▲ مغایرت "&amp;TEXT(IF($G1456="",0,$G1456)-$H1456,"#,##0"))))</f>
        <v/>
      </c>
      <c r="J1456" s="18" t="n"/>
    </row>
    <row r="1457">
      <c r="A1457" s="10">
        <f>IF($B1457="","",COUNTA($B$9:$B1457))</f>
        <v/>
      </c>
      <c r="B1457" s="11" t="n"/>
      <c r="C1457" s="12" t="n"/>
      <c r="D1457" s="12" t="n"/>
      <c r="E1457" s="13" t="n"/>
      <c r="F1457" s="14">
        <f>IF($E1457="","",IF($C1457="دستمزد گروهی",IFERROR(VLOOKUP($E1457,WGTbl,2,0),"کد ناشناخته"),IFERROR(IF(VLOOKUP($E1457,AcctTblE,4,0)="","(بدون نام)",VLOOKUP($E1457,AcctTblE,4,0)),"کد ناشناخته")))</f>
        <v/>
      </c>
      <c r="G1457" s="15" t="n"/>
      <c r="H1457" s="16">
        <f>IF(OR($C1457&lt;&gt;"دستمزد گروهی",$D1457=""),"",SUMIFS(ShareAmt,ShareLink,$D1457))</f>
        <v/>
      </c>
      <c r="I1457" s="17">
        <f>IF($C1457&lt;&gt;"دستمزد گروهی","—",IF($H1457="","",IF(ROUND($H1457-IF($G1457="",0,$G1457),0)=0,"√","▲ مغایرت "&amp;TEXT(IF($G1457="",0,$G1457)-$H1457,"#,##0"))))</f>
        <v/>
      </c>
      <c r="J1457" s="18" t="n"/>
    </row>
    <row r="1458">
      <c r="A1458" s="19">
        <f>IF($B1458="","",COUNTA($B$9:$B1458))</f>
        <v/>
      </c>
      <c r="B1458" s="11" t="n"/>
      <c r="C1458" s="12" t="n"/>
      <c r="D1458" s="12" t="n"/>
      <c r="E1458" s="13" t="n"/>
      <c r="F1458" s="20">
        <f>IF($E1458="","",IF($C1458="دستمزد گروهی",IFERROR(VLOOKUP($E1458,WGTbl,2,0),"کد ناشناخته"),IFERROR(IF(VLOOKUP($E1458,AcctTblE,4,0)="","(بدون نام)",VLOOKUP($E1458,AcctTblE,4,0)),"کد ناشناخته")))</f>
        <v/>
      </c>
      <c r="G1458" s="15" t="n"/>
      <c r="H1458" s="21">
        <f>IF(OR($C1458&lt;&gt;"دستمزد گروهی",$D1458=""),"",SUMIFS(ShareAmt,ShareLink,$D1458))</f>
        <v/>
      </c>
      <c r="I1458" s="22">
        <f>IF($C1458&lt;&gt;"دستمزد گروهی","—",IF($H1458="","",IF(ROUND($H1458-IF($G1458="",0,$G1458),0)=0,"√","▲ مغایرت "&amp;TEXT(IF($G1458="",0,$G1458)-$H1458,"#,##0"))))</f>
        <v/>
      </c>
      <c r="J1458" s="18" t="n"/>
    </row>
    <row r="1459">
      <c r="A1459" s="10">
        <f>IF($B1459="","",COUNTA($B$9:$B1459))</f>
        <v/>
      </c>
      <c r="B1459" s="11" t="n"/>
      <c r="C1459" s="12" t="n"/>
      <c r="D1459" s="12" t="n"/>
      <c r="E1459" s="13" t="n"/>
      <c r="F1459" s="14">
        <f>IF($E1459="","",IF($C1459="دستمزد گروهی",IFERROR(VLOOKUP($E1459,WGTbl,2,0),"کد ناشناخته"),IFERROR(IF(VLOOKUP($E1459,AcctTblE,4,0)="","(بدون نام)",VLOOKUP($E1459,AcctTblE,4,0)),"کد ناشناخته")))</f>
        <v/>
      </c>
      <c r="G1459" s="15" t="n"/>
      <c r="H1459" s="16">
        <f>IF(OR($C1459&lt;&gt;"دستمزد گروهی",$D1459=""),"",SUMIFS(ShareAmt,ShareLink,$D1459))</f>
        <v/>
      </c>
      <c r="I1459" s="17">
        <f>IF($C1459&lt;&gt;"دستمزد گروهی","—",IF($H1459="","",IF(ROUND($H1459-IF($G1459="",0,$G1459),0)=0,"√","▲ مغایرت "&amp;TEXT(IF($G1459="",0,$G1459)-$H1459,"#,##0"))))</f>
        <v/>
      </c>
      <c r="J1459" s="18" t="n"/>
    </row>
    <row r="1460">
      <c r="A1460" s="19">
        <f>IF($B1460="","",COUNTA($B$9:$B1460))</f>
        <v/>
      </c>
      <c r="B1460" s="11" t="n"/>
      <c r="C1460" s="12" t="n"/>
      <c r="D1460" s="12" t="n"/>
      <c r="E1460" s="13" t="n"/>
      <c r="F1460" s="20">
        <f>IF($E1460="","",IF($C1460="دستمزد گروهی",IFERROR(VLOOKUP($E1460,WGTbl,2,0),"کد ناشناخته"),IFERROR(IF(VLOOKUP($E1460,AcctTblE,4,0)="","(بدون نام)",VLOOKUP($E1460,AcctTblE,4,0)),"کد ناشناخته")))</f>
        <v/>
      </c>
      <c r="G1460" s="15" t="n"/>
      <c r="H1460" s="21">
        <f>IF(OR($C1460&lt;&gt;"دستمزد گروهی",$D1460=""),"",SUMIFS(ShareAmt,ShareLink,$D1460))</f>
        <v/>
      </c>
      <c r="I1460" s="22">
        <f>IF($C1460&lt;&gt;"دستمزد گروهی","—",IF($H1460="","",IF(ROUND($H1460-IF($G1460="",0,$G1460),0)=0,"√","▲ مغایرت "&amp;TEXT(IF($G1460="",0,$G1460)-$H1460,"#,##0"))))</f>
        <v/>
      </c>
      <c r="J1460" s="18" t="n"/>
    </row>
    <row r="1461">
      <c r="A1461" s="10">
        <f>IF($B1461="","",COUNTA($B$9:$B1461))</f>
        <v/>
      </c>
      <c r="B1461" s="11" t="n"/>
      <c r="C1461" s="12" t="n"/>
      <c r="D1461" s="12" t="n"/>
      <c r="E1461" s="13" t="n"/>
      <c r="F1461" s="14">
        <f>IF($E1461="","",IF($C1461="دستمزد گروهی",IFERROR(VLOOKUP($E1461,WGTbl,2,0),"کد ناشناخته"),IFERROR(IF(VLOOKUP($E1461,AcctTblE,4,0)="","(بدون نام)",VLOOKUP($E1461,AcctTblE,4,0)),"کد ناشناخته")))</f>
        <v/>
      </c>
      <c r="G1461" s="15" t="n"/>
      <c r="H1461" s="16">
        <f>IF(OR($C1461&lt;&gt;"دستمزد گروهی",$D1461=""),"",SUMIFS(ShareAmt,ShareLink,$D1461))</f>
        <v/>
      </c>
      <c r="I1461" s="17">
        <f>IF($C1461&lt;&gt;"دستمزد گروهی","—",IF($H1461="","",IF(ROUND($H1461-IF($G1461="",0,$G1461),0)=0,"√","▲ مغایرت "&amp;TEXT(IF($G1461="",0,$G1461)-$H1461,"#,##0"))))</f>
        <v/>
      </c>
      <c r="J1461" s="18" t="n"/>
    </row>
    <row r="1462">
      <c r="A1462" s="19">
        <f>IF($B1462="","",COUNTA($B$9:$B1462))</f>
        <v/>
      </c>
      <c r="B1462" s="11" t="n"/>
      <c r="C1462" s="12" t="n"/>
      <c r="D1462" s="12" t="n"/>
      <c r="E1462" s="13" t="n"/>
      <c r="F1462" s="20">
        <f>IF($E1462="","",IF($C1462="دستمزد گروهی",IFERROR(VLOOKUP($E1462,WGTbl,2,0),"کد ناشناخته"),IFERROR(IF(VLOOKUP($E1462,AcctTblE,4,0)="","(بدون نام)",VLOOKUP($E1462,AcctTblE,4,0)),"کد ناشناخته")))</f>
        <v/>
      </c>
      <c r="G1462" s="15" t="n"/>
      <c r="H1462" s="21">
        <f>IF(OR($C1462&lt;&gt;"دستمزد گروهی",$D1462=""),"",SUMIFS(ShareAmt,ShareLink,$D1462))</f>
        <v/>
      </c>
      <c r="I1462" s="22">
        <f>IF($C1462&lt;&gt;"دستمزد گروهی","—",IF($H1462="","",IF(ROUND($H1462-IF($G1462="",0,$G1462),0)=0,"√","▲ مغایرت "&amp;TEXT(IF($G1462="",0,$G1462)-$H1462,"#,##0"))))</f>
        <v/>
      </c>
      <c r="J1462" s="18" t="n"/>
    </row>
    <row r="1463">
      <c r="A1463" s="10">
        <f>IF($B1463="","",COUNTA($B$9:$B1463))</f>
        <v/>
      </c>
      <c r="B1463" s="11" t="n"/>
      <c r="C1463" s="12" t="n"/>
      <c r="D1463" s="12" t="n"/>
      <c r="E1463" s="13" t="n"/>
      <c r="F1463" s="14">
        <f>IF($E1463="","",IF($C1463="دستمزد گروهی",IFERROR(VLOOKUP($E1463,WGTbl,2,0),"کد ناشناخته"),IFERROR(IF(VLOOKUP($E1463,AcctTblE,4,0)="","(بدون نام)",VLOOKUP($E1463,AcctTblE,4,0)),"کد ناشناخته")))</f>
        <v/>
      </c>
      <c r="G1463" s="15" t="n"/>
      <c r="H1463" s="16">
        <f>IF(OR($C1463&lt;&gt;"دستمزد گروهی",$D1463=""),"",SUMIFS(ShareAmt,ShareLink,$D1463))</f>
        <v/>
      </c>
      <c r="I1463" s="17">
        <f>IF($C1463&lt;&gt;"دستمزد گروهی","—",IF($H1463="","",IF(ROUND($H1463-IF($G1463="",0,$G1463),0)=0,"√","▲ مغایرت "&amp;TEXT(IF($G1463="",0,$G1463)-$H1463,"#,##0"))))</f>
        <v/>
      </c>
      <c r="J1463" s="18" t="n"/>
    </row>
    <row r="1464">
      <c r="A1464" s="19">
        <f>IF($B1464="","",COUNTA($B$9:$B1464))</f>
        <v/>
      </c>
      <c r="B1464" s="11" t="n"/>
      <c r="C1464" s="12" t="n"/>
      <c r="D1464" s="12" t="n"/>
      <c r="E1464" s="13" t="n"/>
      <c r="F1464" s="20">
        <f>IF($E1464="","",IF($C1464="دستمزد گروهی",IFERROR(VLOOKUP($E1464,WGTbl,2,0),"کد ناشناخته"),IFERROR(IF(VLOOKUP($E1464,AcctTblE,4,0)="","(بدون نام)",VLOOKUP($E1464,AcctTblE,4,0)),"کد ناشناخته")))</f>
        <v/>
      </c>
      <c r="G1464" s="15" t="n"/>
      <c r="H1464" s="21">
        <f>IF(OR($C1464&lt;&gt;"دستمزد گروهی",$D1464=""),"",SUMIFS(ShareAmt,ShareLink,$D1464))</f>
        <v/>
      </c>
      <c r="I1464" s="22">
        <f>IF($C1464&lt;&gt;"دستمزد گروهی","—",IF($H1464="","",IF(ROUND($H1464-IF($G1464="",0,$G1464),0)=0,"√","▲ مغایرت "&amp;TEXT(IF($G1464="",0,$G1464)-$H1464,"#,##0"))))</f>
        <v/>
      </c>
      <c r="J1464" s="18" t="n"/>
    </row>
    <row r="1465">
      <c r="A1465" s="10">
        <f>IF($B1465="","",COUNTA($B$9:$B1465))</f>
        <v/>
      </c>
      <c r="B1465" s="11" t="n"/>
      <c r="C1465" s="12" t="n"/>
      <c r="D1465" s="12" t="n"/>
      <c r="E1465" s="13" t="n"/>
      <c r="F1465" s="14">
        <f>IF($E1465="","",IF($C1465="دستمزد گروهی",IFERROR(VLOOKUP($E1465,WGTbl,2,0),"کد ناشناخته"),IFERROR(IF(VLOOKUP($E1465,AcctTblE,4,0)="","(بدون نام)",VLOOKUP($E1465,AcctTblE,4,0)),"کد ناشناخته")))</f>
        <v/>
      </c>
      <c r="G1465" s="15" t="n"/>
      <c r="H1465" s="16">
        <f>IF(OR($C1465&lt;&gt;"دستمزد گروهی",$D1465=""),"",SUMIFS(ShareAmt,ShareLink,$D1465))</f>
        <v/>
      </c>
      <c r="I1465" s="17">
        <f>IF($C1465&lt;&gt;"دستمزد گروهی","—",IF($H1465="","",IF(ROUND($H1465-IF($G1465="",0,$G1465),0)=0,"√","▲ مغایرت "&amp;TEXT(IF($G1465="",0,$G1465)-$H1465,"#,##0"))))</f>
        <v/>
      </c>
      <c r="J1465" s="18" t="n"/>
    </row>
    <row r="1466">
      <c r="A1466" s="19">
        <f>IF($B1466="","",COUNTA($B$9:$B1466))</f>
        <v/>
      </c>
      <c r="B1466" s="11" t="n"/>
      <c r="C1466" s="12" t="n"/>
      <c r="D1466" s="12" t="n"/>
      <c r="E1466" s="13" t="n"/>
      <c r="F1466" s="20">
        <f>IF($E1466="","",IF($C1466="دستمزد گروهی",IFERROR(VLOOKUP($E1466,WGTbl,2,0),"کد ناشناخته"),IFERROR(IF(VLOOKUP($E1466,AcctTblE,4,0)="","(بدون نام)",VLOOKUP($E1466,AcctTblE,4,0)),"کد ناشناخته")))</f>
        <v/>
      </c>
      <c r="G1466" s="15" t="n"/>
      <c r="H1466" s="21">
        <f>IF(OR($C1466&lt;&gt;"دستمزد گروهی",$D1466=""),"",SUMIFS(ShareAmt,ShareLink,$D1466))</f>
        <v/>
      </c>
      <c r="I1466" s="22">
        <f>IF($C1466&lt;&gt;"دستمزد گروهی","—",IF($H1466="","",IF(ROUND($H1466-IF($G1466="",0,$G1466),0)=0,"√","▲ مغایرت "&amp;TEXT(IF($G1466="",0,$G1466)-$H1466,"#,##0"))))</f>
        <v/>
      </c>
      <c r="J1466" s="18" t="n"/>
    </row>
    <row r="1467">
      <c r="A1467" s="10">
        <f>IF($B1467="","",COUNTA($B$9:$B1467))</f>
        <v/>
      </c>
      <c r="B1467" s="11" t="n"/>
      <c r="C1467" s="12" t="n"/>
      <c r="D1467" s="12" t="n"/>
      <c r="E1467" s="13" t="n"/>
      <c r="F1467" s="14">
        <f>IF($E1467="","",IF($C1467="دستمزد گروهی",IFERROR(VLOOKUP($E1467,WGTbl,2,0),"کد ناشناخته"),IFERROR(IF(VLOOKUP($E1467,AcctTblE,4,0)="","(بدون نام)",VLOOKUP($E1467,AcctTblE,4,0)),"کد ناشناخته")))</f>
        <v/>
      </c>
      <c r="G1467" s="15" t="n"/>
      <c r="H1467" s="16">
        <f>IF(OR($C1467&lt;&gt;"دستمزد گروهی",$D1467=""),"",SUMIFS(ShareAmt,ShareLink,$D1467))</f>
        <v/>
      </c>
      <c r="I1467" s="17">
        <f>IF($C1467&lt;&gt;"دستمزد گروهی","—",IF($H1467="","",IF(ROUND($H1467-IF($G1467="",0,$G1467),0)=0,"√","▲ مغایرت "&amp;TEXT(IF($G1467="",0,$G1467)-$H1467,"#,##0"))))</f>
        <v/>
      </c>
      <c r="J1467" s="18" t="n"/>
    </row>
    <row r="1468">
      <c r="A1468" s="19">
        <f>IF($B1468="","",COUNTA($B$9:$B1468))</f>
        <v/>
      </c>
      <c r="B1468" s="11" t="n"/>
      <c r="C1468" s="12" t="n"/>
      <c r="D1468" s="12" t="n"/>
      <c r="E1468" s="13" t="n"/>
      <c r="F1468" s="20">
        <f>IF($E1468="","",IF($C1468="دستمزد گروهی",IFERROR(VLOOKUP($E1468,WGTbl,2,0),"کد ناشناخته"),IFERROR(IF(VLOOKUP($E1468,AcctTblE,4,0)="","(بدون نام)",VLOOKUP($E1468,AcctTblE,4,0)),"کد ناشناخته")))</f>
        <v/>
      </c>
      <c r="G1468" s="15" t="n"/>
      <c r="H1468" s="21">
        <f>IF(OR($C1468&lt;&gt;"دستمزد گروهی",$D1468=""),"",SUMIFS(ShareAmt,ShareLink,$D1468))</f>
        <v/>
      </c>
      <c r="I1468" s="22">
        <f>IF($C1468&lt;&gt;"دستمزد گروهی","—",IF($H1468="","",IF(ROUND($H1468-IF($G1468="",0,$G1468),0)=0,"√","▲ مغایرت "&amp;TEXT(IF($G1468="",0,$G1468)-$H1468,"#,##0"))))</f>
        <v/>
      </c>
      <c r="J1468" s="18" t="n"/>
    </row>
    <row r="1469">
      <c r="A1469" s="10">
        <f>IF($B1469="","",COUNTA($B$9:$B1469))</f>
        <v/>
      </c>
      <c r="B1469" s="11" t="n"/>
      <c r="C1469" s="12" t="n"/>
      <c r="D1469" s="12" t="n"/>
      <c r="E1469" s="13" t="n"/>
      <c r="F1469" s="14">
        <f>IF($E1469="","",IF($C1469="دستمزد گروهی",IFERROR(VLOOKUP($E1469,WGTbl,2,0),"کد ناشناخته"),IFERROR(IF(VLOOKUP($E1469,AcctTblE,4,0)="","(بدون نام)",VLOOKUP($E1469,AcctTblE,4,0)),"کد ناشناخته")))</f>
        <v/>
      </c>
      <c r="G1469" s="15" t="n"/>
      <c r="H1469" s="16">
        <f>IF(OR($C1469&lt;&gt;"دستمزد گروهی",$D1469=""),"",SUMIFS(ShareAmt,ShareLink,$D1469))</f>
        <v/>
      </c>
      <c r="I1469" s="17">
        <f>IF($C1469&lt;&gt;"دستمزد گروهی","—",IF($H1469="","",IF(ROUND($H1469-IF($G1469="",0,$G1469),0)=0,"√","▲ مغایرت "&amp;TEXT(IF($G1469="",0,$G1469)-$H1469,"#,##0"))))</f>
        <v/>
      </c>
      <c r="J1469" s="18" t="n"/>
    </row>
    <row r="1470">
      <c r="A1470" s="19">
        <f>IF($B1470="","",COUNTA($B$9:$B1470))</f>
        <v/>
      </c>
      <c r="B1470" s="11" t="n"/>
      <c r="C1470" s="12" t="n"/>
      <c r="D1470" s="12" t="n"/>
      <c r="E1470" s="13" t="n"/>
      <c r="F1470" s="20">
        <f>IF($E1470="","",IF($C1470="دستمزد گروهی",IFERROR(VLOOKUP($E1470,WGTbl,2,0),"کد ناشناخته"),IFERROR(IF(VLOOKUP($E1470,AcctTblE,4,0)="","(بدون نام)",VLOOKUP($E1470,AcctTblE,4,0)),"کد ناشناخته")))</f>
        <v/>
      </c>
      <c r="G1470" s="15" t="n"/>
      <c r="H1470" s="21">
        <f>IF(OR($C1470&lt;&gt;"دستمزد گروهی",$D1470=""),"",SUMIFS(ShareAmt,ShareLink,$D1470))</f>
        <v/>
      </c>
      <c r="I1470" s="22">
        <f>IF($C1470&lt;&gt;"دستمزد گروهی","—",IF($H1470="","",IF(ROUND($H1470-IF($G1470="",0,$G1470),0)=0,"√","▲ مغایرت "&amp;TEXT(IF($G1470="",0,$G1470)-$H1470,"#,##0"))))</f>
        <v/>
      </c>
      <c r="J1470" s="18" t="n"/>
    </row>
    <row r="1471">
      <c r="A1471" s="10">
        <f>IF($B1471="","",COUNTA($B$9:$B1471))</f>
        <v/>
      </c>
      <c r="B1471" s="11" t="n"/>
      <c r="C1471" s="12" t="n"/>
      <c r="D1471" s="12" t="n"/>
      <c r="E1471" s="13" t="n"/>
      <c r="F1471" s="14">
        <f>IF($E1471="","",IF($C1471="دستمزد گروهی",IFERROR(VLOOKUP($E1471,WGTbl,2,0),"کد ناشناخته"),IFERROR(IF(VLOOKUP($E1471,AcctTblE,4,0)="","(بدون نام)",VLOOKUP($E1471,AcctTblE,4,0)),"کد ناشناخته")))</f>
        <v/>
      </c>
      <c r="G1471" s="15" t="n"/>
      <c r="H1471" s="16">
        <f>IF(OR($C1471&lt;&gt;"دستمزد گروهی",$D1471=""),"",SUMIFS(ShareAmt,ShareLink,$D1471))</f>
        <v/>
      </c>
      <c r="I1471" s="17">
        <f>IF($C1471&lt;&gt;"دستمزد گروهی","—",IF($H1471="","",IF(ROUND($H1471-IF($G1471="",0,$G1471),0)=0,"√","▲ مغایرت "&amp;TEXT(IF($G1471="",0,$G1471)-$H1471,"#,##0"))))</f>
        <v/>
      </c>
      <c r="J1471" s="18" t="n"/>
    </row>
    <row r="1472">
      <c r="A1472" s="19">
        <f>IF($B1472="","",COUNTA($B$9:$B1472))</f>
        <v/>
      </c>
      <c r="B1472" s="11" t="n"/>
      <c r="C1472" s="12" t="n"/>
      <c r="D1472" s="12" t="n"/>
      <c r="E1472" s="13" t="n"/>
      <c r="F1472" s="20">
        <f>IF($E1472="","",IF($C1472="دستمزد گروهی",IFERROR(VLOOKUP($E1472,WGTbl,2,0),"کد ناشناخته"),IFERROR(IF(VLOOKUP($E1472,AcctTblE,4,0)="","(بدون نام)",VLOOKUP($E1472,AcctTblE,4,0)),"کد ناشناخته")))</f>
        <v/>
      </c>
      <c r="G1472" s="15" t="n"/>
      <c r="H1472" s="21">
        <f>IF(OR($C1472&lt;&gt;"دستمزد گروهی",$D1472=""),"",SUMIFS(ShareAmt,ShareLink,$D1472))</f>
        <v/>
      </c>
      <c r="I1472" s="22">
        <f>IF($C1472&lt;&gt;"دستمزد گروهی","—",IF($H1472="","",IF(ROUND($H1472-IF($G1472="",0,$G1472),0)=0,"√","▲ مغایرت "&amp;TEXT(IF($G1472="",0,$G1472)-$H1472,"#,##0"))))</f>
        <v/>
      </c>
      <c r="J1472" s="18" t="n"/>
    </row>
    <row r="1473">
      <c r="A1473" s="10">
        <f>IF($B1473="","",COUNTA($B$9:$B1473))</f>
        <v/>
      </c>
      <c r="B1473" s="11" t="n"/>
      <c r="C1473" s="12" t="n"/>
      <c r="D1473" s="12" t="n"/>
      <c r="E1473" s="13" t="n"/>
      <c r="F1473" s="14">
        <f>IF($E1473="","",IF($C1473="دستمزد گروهی",IFERROR(VLOOKUP($E1473,WGTbl,2,0),"کد ناشناخته"),IFERROR(IF(VLOOKUP($E1473,AcctTblE,4,0)="","(بدون نام)",VLOOKUP($E1473,AcctTblE,4,0)),"کد ناشناخته")))</f>
        <v/>
      </c>
      <c r="G1473" s="15" t="n"/>
      <c r="H1473" s="16">
        <f>IF(OR($C1473&lt;&gt;"دستمزد گروهی",$D1473=""),"",SUMIFS(ShareAmt,ShareLink,$D1473))</f>
        <v/>
      </c>
      <c r="I1473" s="17">
        <f>IF($C1473&lt;&gt;"دستمزد گروهی","—",IF($H1473="","",IF(ROUND($H1473-IF($G1473="",0,$G1473),0)=0,"√","▲ مغایرت "&amp;TEXT(IF($G1473="",0,$G1473)-$H1473,"#,##0"))))</f>
        <v/>
      </c>
      <c r="J1473" s="18" t="n"/>
    </row>
    <row r="1474">
      <c r="A1474" s="19">
        <f>IF($B1474="","",COUNTA($B$9:$B1474))</f>
        <v/>
      </c>
      <c r="B1474" s="11" t="n"/>
      <c r="C1474" s="12" t="n"/>
      <c r="D1474" s="12" t="n"/>
      <c r="E1474" s="13" t="n"/>
      <c r="F1474" s="20">
        <f>IF($E1474="","",IF($C1474="دستمزد گروهی",IFERROR(VLOOKUP($E1474,WGTbl,2,0),"کد ناشناخته"),IFERROR(IF(VLOOKUP($E1474,AcctTblE,4,0)="","(بدون نام)",VLOOKUP($E1474,AcctTblE,4,0)),"کد ناشناخته")))</f>
        <v/>
      </c>
      <c r="G1474" s="15" t="n"/>
      <c r="H1474" s="21">
        <f>IF(OR($C1474&lt;&gt;"دستمزد گروهی",$D1474=""),"",SUMIFS(ShareAmt,ShareLink,$D1474))</f>
        <v/>
      </c>
      <c r="I1474" s="22">
        <f>IF($C1474&lt;&gt;"دستمزد گروهی","—",IF($H1474="","",IF(ROUND($H1474-IF($G1474="",0,$G1474),0)=0,"√","▲ مغایرت "&amp;TEXT(IF($G1474="",0,$G1474)-$H1474,"#,##0"))))</f>
        <v/>
      </c>
      <c r="J1474" s="18" t="n"/>
    </row>
    <row r="1475">
      <c r="A1475" s="10">
        <f>IF($B1475="","",COUNTA($B$9:$B1475))</f>
        <v/>
      </c>
      <c r="B1475" s="11" t="n"/>
      <c r="C1475" s="12" t="n"/>
      <c r="D1475" s="12" t="n"/>
      <c r="E1475" s="13" t="n"/>
      <c r="F1475" s="14">
        <f>IF($E1475="","",IF($C1475="دستمزد گروهی",IFERROR(VLOOKUP($E1475,WGTbl,2,0),"کد ناشناخته"),IFERROR(IF(VLOOKUP($E1475,AcctTblE,4,0)="","(بدون نام)",VLOOKUP($E1475,AcctTblE,4,0)),"کد ناشناخته")))</f>
        <v/>
      </c>
      <c r="G1475" s="15" t="n"/>
      <c r="H1475" s="16">
        <f>IF(OR($C1475&lt;&gt;"دستمزد گروهی",$D1475=""),"",SUMIFS(ShareAmt,ShareLink,$D1475))</f>
        <v/>
      </c>
      <c r="I1475" s="17">
        <f>IF($C1475&lt;&gt;"دستمزد گروهی","—",IF($H1475="","",IF(ROUND($H1475-IF($G1475="",0,$G1475),0)=0,"√","▲ مغایرت "&amp;TEXT(IF($G1475="",0,$G1475)-$H1475,"#,##0"))))</f>
        <v/>
      </c>
      <c r="J1475" s="18" t="n"/>
    </row>
    <row r="1476">
      <c r="A1476" s="19">
        <f>IF($B1476="","",COUNTA($B$9:$B1476))</f>
        <v/>
      </c>
      <c r="B1476" s="11" t="n"/>
      <c r="C1476" s="12" t="n"/>
      <c r="D1476" s="12" t="n"/>
      <c r="E1476" s="13" t="n"/>
      <c r="F1476" s="20">
        <f>IF($E1476="","",IF($C1476="دستمزد گروهی",IFERROR(VLOOKUP($E1476,WGTbl,2,0),"کد ناشناخته"),IFERROR(IF(VLOOKUP($E1476,AcctTblE,4,0)="","(بدون نام)",VLOOKUP($E1476,AcctTblE,4,0)),"کد ناشناخته")))</f>
        <v/>
      </c>
      <c r="G1476" s="15" t="n"/>
      <c r="H1476" s="21">
        <f>IF(OR($C1476&lt;&gt;"دستمزد گروهی",$D1476=""),"",SUMIFS(ShareAmt,ShareLink,$D1476))</f>
        <v/>
      </c>
      <c r="I1476" s="22">
        <f>IF($C1476&lt;&gt;"دستمزد گروهی","—",IF($H1476="","",IF(ROUND($H1476-IF($G1476="",0,$G1476),0)=0,"√","▲ مغایرت "&amp;TEXT(IF($G1476="",0,$G1476)-$H1476,"#,##0"))))</f>
        <v/>
      </c>
      <c r="J1476" s="18" t="n"/>
    </row>
    <row r="1477">
      <c r="A1477" s="10">
        <f>IF($B1477="","",COUNTA($B$9:$B1477))</f>
        <v/>
      </c>
      <c r="B1477" s="11" t="n"/>
      <c r="C1477" s="12" t="n"/>
      <c r="D1477" s="12" t="n"/>
      <c r="E1477" s="13" t="n"/>
      <c r="F1477" s="14">
        <f>IF($E1477="","",IF($C1477="دستمزد گروهی",IFERROR(VLOOKUP($E1477,WGTbl,2,0),"کد ناشناخته"),IFERROR(IF(VLOOKUP($E1477,AcctTblE,4,0)="","(بدون نام)",VLOOKUP($E1477,AcctTblE,4,0)),"کد ناشناخته")))</f>
        <v/>
      </c>
      <c r="G1477" s="15" t="n"/>
      <c r="H1477" s="16">
        <f>IF(OR($C1477&lt;&gt;"دستمزد گروهی",$D1477=""),"",SUMIFS(ShareAmt,ShareLink,$D1477))</f>
        <v/>
      </c>
      <c r="I1477" s="17">
        <f>IF($C1477&lt;&gt;"دستمزد گروهی","—",IF($H1477="","",IF(ROUND($H1477-IF($G1477="",0,$G1477),0)=0,"√","▲ مغایرت "&amp;TEXT(IF($G1477="",0,$G1477)-$H1477,"#,##0"))))</f>
        <v/>
      </c>
      <c r="J1477" s="18" t="n"/>
    </row>
    <row r="1478">
      <c r="A1478" s="19">
        <f>IF($B1478="","",COUNTA($B$9:$B1478))</f>
        <v/>
      </c>
      <c r="B1478" s="11" t="n"/>
      <c r="C1478" s="12" t="n"/>
      <c r="D1478" s="12" t="n"/>
      <c r="E1478" s="13" t="n"/>
      <c r="F1478" s="20">
        <f>IF($E1478="","",IF($C1478="دستمزد گروهی",IFERROR(VLOOKUP($E1478,WGTbl,2,0),"کد ناشناخته"),IFERROR(IF(VLOOKUP($E1478,AcctTblE,4,0)="","(بدون نام)",VLOOKUP($E1478,AcctTblE,4,0)),"کد ناشناخته")))</f>
        <v/>
      </c>
      <c r="G1478" s="15" t="n"/>
      <c r="H1478" s="21">
        <f>IF(OR($C1478&lt;&gt;"دستمزد گروهی",$D1478=""),"",SUMIFS(ShareAmt,ShareLink,$D1478))</f>
        <v/>
      </c>
      <c r="I1478" s="22">
        <f>IF($C1478&lt;&gt;"دستمزد گروهی","—",IF($H1478="","",IF(ROUND($H1478-IF($G1478="",0,$G1478),0)=0,"√","▲ مغایرت "&amp;TEXT(IF($G1478="",0,$G1478)-$H1478,"#,##0"))))</f>
        <v/>
      </c>
      <c r="J1478" s="18" t="n"/>
    </row>
    <row r="1479">
      <c r="A1479" s="10">
        <f>IF($B1479="","",COUNTA($B$9:$B1479))</f>
        <v/>
      </c>
      <c r="B1479" s="11" t="n"/>
      <c r="C1479" s="12" t="n"/>
      <c r="D1479" s="12" t="n"/>
      <c r="E1479" s="13" t="n"/>
      <c r="F1479" s="14">
        <f>IF($E1479="","",IF($C1479="دستمزد گروهی",IFERROR(VLOOKUP($E1479,WGTbl,2,0),"کد ناشناخته"),IFERROR(IF(VLOOKUP($E1479,AcctTblE,4,0)="","(بدون نام)",VLOOKUP($E1479,AcctTblE,4,0)),"کد ناشناخته")))</f>
        <v/>
      </c>
      <c r="G1479" s="15" t="n"/>
      <c r="H1479" s="16">
        <f>IF(OR($C1479&lt;&gt;"دستمزد گروهی",$D1479=""),"",SUMIFS(ShareAmt,ShareLink,$D1479))</f>
        <v/>
      </c>
      <c r="I1479" s="17">
        <f>IF($C1479&lt;&gt;"دستمزد گروهی","—",IF($H1479="","",IF(ROUND($H1479-IF($G1479="",0,$G1479),0)=0,"√","▲ مغایرت "&amp;TEXT(IF($G1479="",0,$G1479)-$H1479,"#,##0"))))</f>
        <v/>
      </c>
      <c r="J1479" s="18" t="n"/>
    </row>
    <row r="1480">
      <c r="A1480" s="19">
        <f>IF($B1480="","",COUNTA($B$9:$B1480))</f>
        <v/>
      </c>
      <c r="B1480" s="11" t="n"/>
      <c r="C1480" s="12" t="n"/>
      <c r="D1480" s="12" t="n"/>
      <c r="E1480" s="13" t="n"/>
      <c r="F1480" s="20">
        <f>IF($E1480="","",IF($C1480="دستمزد گروهی",IFERROR(VLOOKUP($E1480,WGTbl,2,0),"کد ناشناخته"),IFERROR(IF(VLOOKUP($E1480,AcctTblE,4,0)="","(بدون نام)",VLOOKUP($E1480,AcctTblE,4,0)),"کد ناشناخته")))</f>
        <v/>
      </c>
      <c r="G1480" s="15" t="n"/>
      <c r="H1480" s="21">
        <f>IF(OR($C1480&lt;&gt;"دستمزد گروهی",$D1480=""),"",SUMIFS(ShareAmt,ShareLink,$D1480))</f>
        <v/>
      </c>
      <c r="I1480" s="22">
        <f>IF($C1480&lt;&gt;"دستمزد گروهی","—",IF($H1480="","",IF(ROUND($H1480-IF($G1480="",0,$G1480),0)=0,"√","▲ مغایرت "&amp;TEXT(IF($G1480="",0,$G1480)-$H1480,"#,##0"))))</f>
        <v/>
      </c>
      <c r="J1480" s="18" t="n"/>
    </row>
    <row r="1481">
      <c r="A1481" s="10">
        <f>IF($B1481="","",COUNTA($B$9:$B1481))</f>
        <v/>
      </c>
      <c r="B1481" s="11" t="n"/>
      <c r="C1481" s="12" t="n"/>
      <c r="D1481" s="12" t="n"/>
      <c r="E1481" s="13" t="n"/>
      <c r="F1481" s="14">
        <f>IF($E1481="","",IF($C1481="دستمزد گروهی",IFERROR(VLOOKUP($E1481,WGTbl,2,0),"کد ناشناخته"),IFERROR(IF(VLOOKUP($E1481,AcctTblE,4,0)="","(بدون نام)",VLOOKUP($E1481,AcctTblE,4,0)),"کد ناشناخته")))</f>
        <v/>
      </c>
      <c r="G1481" s="15" t="n"/>
      <c r="H1481" s="16">
        <f>IF(OR($C1481&lt;&gt;"دستمزد گروهی",$D1481=""),"",SUMIFS(ShareAmt,ShareLink,$D1481))</f>
        <v/>
      </c>
      <c r="I1481" s="17">
        <f>IF($C1481&lt;&gt;"دستمزد گروهی","—",IF($H1481="","",IF(ROUND($H1481-IF($G1481="",0,$G1481),0)=0,"√","▲ مغایرت "&amp;TEXT(IF($G1481="",0,$G1481)-$H1481,"#,##0"))))</f>
        <v/>
      </c>
      <c r="J1481" s="18" t="n"/>
    </row>
    <row r="1482">
      <c r="A1482" s="19">
        <f>IF($B1482="","",COUNTA($B$9:$B1482))</f>
        <v/>
      </c>
      <c r="B1482" s="11" t="n"/>
      <c r="C1482" s="12" t="n"/>
      <c r="D1482" s="12" t="n"/>
      <c r="E1482" s="13" t="n"/>
      <c r="F1482" s="20">
        <f>IF($E1482="","",IF($C1482="دستمزد گروهی",IFERROR(VLOOKUP($E1482,WGTbl,2,0),"کد ناشناخته"),IFERROR(IF(VLOOKUP($E1482,AcctTblE,4,0)="","(بدون نام)",VLOOKUP($E1482,AcctTblE,4,0)),"کد ناشناخته")))</f>
        <v/>
      </c>
      <c r="G1482" s="15" t="n"/>
      <c r="H1482" s="21">
        <f>IF(OR($C1482&lt;&gt;"دستمزد گروهی",$D1482=""),"",SUMIFS(ShareAmt,ShareLink,$D1482))</f>
        <v/>
      </c>
      <c r="I1482" s="22">
        <f>IF($C1482&lt;&gt;"دستمزد گروهی","—",IF($H1482="","",IF(ROUND($H1482-IF($G1482="",0,$G1482),0)=0,"√","▲ مغایرت "&amp;TEXT(IF($G1482="",0,$G1482)-$H1482,"#,##0"))))</f>
        <v/>
      </c>
      <c r="J1482" s="18" t="n"/>
    </row>
    <row r="1483">
      <c r="A1483" s="10">
        <f>IF($B1483="","",COUNTA($B$9:$B1483))</f>
        <v/>
      </c>
      <c r="B1483" s="11" t="n"/>
      <c r="C1483" s="12" t="n"/>
      <c r="D1483" s="12" t="n"/>
      <c r="E1483" s="13" t="n"/>
      <c r="F1483" s="14">
        <f>IF($E1483="","",IF($C1483="دستمزد گروهی",IFERROR(VLOOKUP($E1483,WGTbl,2,0),"کد ناشناخته"),IFERROR(IF(VLOOKUP($E1483,AcctTblE,4,0)="","(بدون نام)",VLOOKUP($E1483,AcctTblE,4,0)),"کد ناشناخته")))</f>
        <v/>
      </c>
      <c r="G1483" s="15" t="n"/>
      <c r="H1483" s="16">
        <f>IF(OR($C1483&lt;&gt;"دستمزد گروهی",$D1483=""),"",SUMIFS(ShareAmt,ShareLink,$D1483))</f>
        <v/>
      </c>
      <c r="I1483" s="17">
        <f>IF($C1483&lt;&gt;"دستمزد گروهی","—",IF($H1483="","",IF(ROUND($H1483-IF($G1483="",0,$G1483),0)=0,"√","▲ مغایرت "&amp;TEXT(IF($G1483="",0,$G1483)-$H1483,"#,##0"))))</f>
        <v/>
      </c>
      <c r="J1483" s="18" t="n"/>
    </row>
    <row r="1484">
      <c r="A1484" s="19">
        <f>IF($B1484="","",COUNTA($B$9:$B1484))</f>
        <v/>
      </c>
      <c r="B1484" s="11" t="n"/>
      <c r="C1484" s="12" t="n"/>
      <c r="D1484" s="12" t="n"/>
      <c r="E1484" s="13" t="n"/>
      <c r="F1484" s="20">
        <f>IF($E1484="","",IF($C1484="دستمزد گروهی",IFERROR(VLOOKUP($E1484,WGTbl,2,0),"کد ناشناخته"),IFERROR(IF(VLOOKUP($E1484,AcctTblE,4,0)="","(بدون نام)",VLOOKUP($E1484,AcctTblE,4,0)),"کد ناشناخته")))</f>
        <v/>
      </c>
      <c r="G1484" s="15" t="n"/>
      <c r="H1484" s="21">
        <f>IF(OR($C1484&lt;&gt;"دستمزد گروهی",$D1484=""),"",SUMIFS(ShareAmt,ShareLink,$D1484))</f>
        <v/>
      </c>
      <c r="I1484" s="22">
        <f>IF($C1484&lt;&gt;"دستمزد گروهی","—",IF($H1484="","",IF(ROUND($H1484-IF($G1484="",0,$G1484),0)=0,"√","▲ مغایرت "&amp;TEXT(IF($G1484="",0,$G1484)-$H1484,"#,##0"))))</f>
        <v/>
      </c>
      <c r="J1484" s="18" t="n"/>
    </row>
    <row r="1485">
      <c r="A1485" s="10">
        <f>IF($B1485="","",COUNTA($B$9:$B1485))</f>
        <v/>
      </c>
      <c r="B1485" s="11" t="n"/>
      <c r="C1485" s="12" t="n"/>
      <c r="D1485" s="12" t="n"/>
      <c r="E1485" s="13" t="n"/>
      <c r="F1485" s="14">
        <f>IF($E1485="","",IF($C1485="دستمزد گروهی",IFERROR(VLOOKUP($E1485,WGTbl,2,0),"کد ناشناخته"),IFERROR(IF(VLOOKUP($E1485,AcctTblE,4,0)="","(بدون نام)",VLOOKUP($E1485,AcctTblE,4,0)),"کد ناشناخته")))</f>
        <v/>
      </c>
      <c r="G1485" s="15" t="n"/>
      <c r="H1485" s="16">
        <f>IF(OR($C1485&lt;&gt;"دستمزد گروهی",$D1485=""),"",SUMIFS(ShareAmt,ShareLink,$D1485))</f>
        <v/>
      </c>
      <c r="I1485" s="17">
        <f>IF($C1485&lt;&gt;"دستمزد گروهی","—",IF($H1485="","",IF(ROUND($H1485-IF($G1485="",0,$G1485),0)=0,"√","▲ مغایرت "&amp;TEXT(IF($G1485="",0,$G1485)-$H1485,"#,##0"))))</f>
        <v/>
      </c>
      <c r="J1485" s="18" t="n"/>
    </row>
    <row r="1486">
      <c r="A1486" s="19">
        <f>IF($B1486="","",COUNTA($B$9:$B1486))</f>
        <v/>
      </c>
      <c r="B1486" s="11" t="n"/>
      <c r="C1486" s="12" t="n"/>
      <c r="D1486" s="12" t="n"/>
      <c r="E1486" s="13" t="n"/>
      <c r="F1486" s="20">
        <f>IF($E1486="","",IF($C1486="دستمزد گروهی",IFERROR(VLOOKUP($E1486,WGTbl,2,0),"کد ناشناخته"),IFERROR(IF(VLOOKUP($E1486,AcctTblE,4,0)="","(بدون نام)",VLOOKUP($E1486,AcctTblE,4,0)),"کد ناشناخته")))</f>
        <v/>
      </c>
      <c r="G1486" s="15" t="n"/>
      <c r="H1486" s="21">
        <f>IF(OR($C1486&lt;&gt;"دستمزد گروهی",$D1486=""),"",SUMIFS(ShareAmt,ShareLink,$D1486))</f>
        <v/>
      </c>
      <c r="I1486" s="22">
        <f>IF($C1486&lt;&gt;"دستمزد گروهی","—",IF($H1486="","",IF(ROUND($H1486-IF($G1486="",0,$G1486),0)=0,"√","▲ مغایرت "&amp;TEXT(IF($G1486="",0,$G1486)-$H1486,"#,##0"))))</f>
        <v/>
      </c>
      <c r="J1486" s="18" t="n"/>
    </row>
    <row r="1487">
      <c r="A1487" s="10">
        <f>IF($B1487="","",COUNTA($B$9:$B1487))</f>
        <v/>
      </c>
      <c r="B1487" s="11" t="n"/>
      <c r="C1487" s="12" t="n"/>
      <c r="D1487" s="12" t="n"/>
      <c r="E1487" s="13" t="n"/>
      <c r="F1487" s="14">
        <f>IF($E1487="","",IF($C1487="دستمزد گروهی",IFERROR(VLOOKUP($E1487,WGTbl,2,0),"کد ناشناخته"),IFERROR(IF(VLOOKUP($E1487,AcctTblE,4,0)="","(بدون نام)",VLOOKUP($E1487,AcctTblE,4,0)),"کد ناشناخته")))</f>
        <v/>
      </c>
      <c r="G1487" s="15" t="n"/>
      <c r="H1487" s="16">
        <f>IF(OR($C1487&lt;&gt;"دستمزد گروهی",$D1487=""),"",SUMIFS(ShareAmt,ShareLink,$D1487))</f>
        <v/>
      </c>
      <c r="I1487" s="17">
        <f>IF($C1487&lt;&gt;"دستمزد گروهی","—",IF($H1487="","",IF(ROUND($H1487-IF($G1487="",0,$G1487),0)=0,"√","▲ مغایرت "&amp;TEXT(IF($G1487="",0,$G1487)-$H1487,"#,##0"))))</f>
        <v/>
      </c>
      <c r="J1487" s="18" t="n"/>
    </row>
    <row r="1488">
      <c r="A1488" s="19">
        <f>IF($B1488="","",COUNTA($B$9:$B1488))</f>
        <v/>
      </c>
      <c r="B1488" s="11" t="n"/>
      <c r="C1488" s="12" t="n"/>
      <c r="D1488" s="12" t="n"/>
      <c r="E1488" s="13" t="n"/>
      <c r="F1488" s="20">
        <f>IF($E1488="","",IF($C1488="دستمزد گروهی",IFERROR(VLOOKUP($E1488,WGTbl,2,0),"کد ناشناخته"),IFERROR(IF(VLOOKUP($E1488,AcctTblE,4,0)="","(بدون نام)",VLOOKUP($E1488,AcctTblE,4,0)),"کد ناشناخته")))</f>
        <v/>
      </c>
      <c r="G1488" s="15" t="n"/>
      <c r="H1488" s="21">
        <f>IF(OR($C1488&lt;&gt;"دستمزد گروهی",$D1488=""),"",SUMIFS(ShareAmt,ShareLink,$D1488))</f>
        <v/>
      </c>
      <c r="I1488" s="22">
        <f>IF($C1488&lt;&gt;"دستمزد گروهی","—",IF($H1488="","",IF(ROUND($H1488-IF($G1488="",0,$G1488),0)=0,"√","▲ مغایرت "&amp;TEXT(IF($G1488="",0,$G1488)-$H1488,"#,##0"))))</f>
        <v/>
      </c>
      <c r="J1488" s="18" t="n"/>
    </row>
    <row r="1489">
      <c r="A1489" s="10">
        <f>IF($B1489="","",COUNTA($B$9:$B1489))</f>
        <v/>
      </c>
      <c r="B1489" s="11" t="n"/>
      <c r="C1489" s="12" t="n"/>
      <c r="D1489" s="12" t="n"/>
      <c r="E1489" s="13" t="n"/>
      <c r="F1489" s="14">
        <f>IF($E1489="","",IF($C1489="دستمزد گروهی",IFERROR(VLOOKUP($E1489,WGTbl,2,0),"کد ناشناخته"),IFERROR(IF(VLOOKUP($E1489,AcctTblE,4,0)="","(بدون نام)",VLOOKUP($E1489,AcctTblE,4,0)),"کد ناشناخته")))</f>
        <v/>
      </c>
      <c r="G1489" s="15" t="n"/>
      <c r="H1489" s="16">
        <f>IF(OR($C1489&lt;&gt;"دستمزد گروهی",$D1489=""),"",SUMIFS(ShareAmt,ShareLink,$D1489))</f>
        <v/>
      </c>
      <c r="I1489" s="17">
        <f>IF($C1489&lt;&gt;"دستمزد گروهی","—",IF($H1489="","",IF(ROUND($H1489-IF($G1489="",0,$G1489),0)=0,"√","▲ مغایرت "&amp;TEXT(IF($G1489="",0,$G1489)-$H1489,"#,##0"))))</f>
        <v/>
      </c>
      <c r="J1489" s="18" t="n"/>
    </row>
    <row r="1490">
      <c r="A1490" s="19">
        <f>IF($B1490="","",COUNTA($B$9:$B1490))</f>
        <v/>
      </c>
      <c r="B1490" s="11" t="n"/>
      <c r="C1490" s="12" t="n"/>
      <c r="D1490" s="12" t="n"/>
      <c r="E1490" s="13" t="n"/>
      <c r="F1490" s="20">
        <f>IF($E1490="","",IF($C1490="دستمزد گروهی",IFERROR(VLOOKUP($E1490,WGTbl,2,0),"کد ناشناخته"),IFERROR(IF(VLOOKUP($E1490,AcctTblE,4,0)="","(بدون نام)",VLOOKUP($E1490,AcctTblE,4,0)),"کد ناشناخته")))</f>
        <v/>
      </c>
      <c r="G1490" s="15" t="n"/>
      <c r="H1490" s="21">
        <f>IF(OR($C1490&lt;&gt;"دستمزد گروهی",$D1490=""),"",SUMIFS(ShareAmt,ShareLink,$D1490))</f>
        <v/>
      </c>
      <c r="I1490" s="22">
        <f>IF($C1490&lt;&gt;"دستمزد گروهی","—",IF($H1490="","",IF(ROUND($H1490-IF($G1490="",0,$G1490),0)=0,"√","▲ مغایرت "&amp;TEXT(IF($G1490="",0,$G1490)-$H1490,"#,##0"))))</f>
        <v/>
      </c>
      <c r="J1490" s="18" t="n"/>
    </row>
    <row r="1491">
      <c r="A1491" s="10">
        <f>IF($B1491="","",COUNTA($B$9:$B1491))</f>
        <v/>
      </c>
      <c r="B1491" s="11" t="n"/>
      <c r="C1491" s="12" t="n"/>
      <c r="D1491" s="12" t="n"/>
      <c r="E1491" s="13" t="n"/>
      <c r="F1491" s="14">
        <f>IF($E1491="","",IF($C1491="دستمزد گروهی",IFERROR(VLOOKUP($E1491,WGTbl,2,0),"کد ناشناخته"),IFERROR(IF(VLOOKUP($E1491,AcctTblE,4,0)="","(بدون نام)",VLOOKUP($E1491,AcctTblE,4,0)),"کد ناشناخته")))</f>
        <v/>
      </c>
      <c r="G1491" s="15" t="n"/>
      <c r="H1491" s="16">
        <f>IF(OR($C1491&lt;&gt;"دستمزد گروهی",$D1491=""),"",SUMIFS(ShareAmt,ShareLink,$D1491))</f>
        <v/>
      </c>
      <c r="I1491" s="17">
        <f>IF($C1491&lt;&gt;"دستمزد گروهی","—",IF($H1491="","",IF(ROUND($H1491-IF($G1491="",0,$G1491),0)=0,"√","▲ مغایرت "&amp;TEXT(IF($G1491="",0,$G1491)-$H1491,"#,##0"))))</f>
        <v/>
      </c>
      <c r="J1491" s="18" t="n"/>
    </row>
    <row r="1492">
      <c r="A1492" s="19">
        <f>IF($B1492="","",COUNTA($B$9:$B1492))</f>
        <v/>
      </c>
      <c r="B1492" s="11" t="n"/>
      <c r="C1492" s="12" t="n"/>
      <c r="D1492" s="12" t="n"/>
      <c r="E1492" s="13" t="n"/>
      <c r="F1492" s="20">
        <f>IF($E1492="","",IF($C1492="دستمزد گروهی",IFERROR(VLOOKUP($E1492,WGTbl,2,0),"کد ناشناخته"),IFERROR(IF(VLOOKUP($E1492,AcctTblE,4,0)="","(بدون نام)",VLOOKUP($E1492,AcctTblE,4,0)),"کد ناشناخته")))</f>
        <v/>
      </c>
      <c r="G1492" s="15" t="n"/>
      <c r="H1492" s="21">
        <f>IF(OR($C1492&lt;&gt;"دستمزد گروهی",$D1492=""),"",SUMIFS(ShareAmt,ShareLink,$D1492))</f>
        <v/>
      </c>
      <c r="I1492" s="22">
        <f>IF($C1492&lt;&gt;"دستمزد گروهی","—",IF($H1492="","",IF(ROUND($H1492-IF($G1492="",0,$G1492),0)=0,"√","▲ مغایرت "&amp;TEXT(IF($G1492="",0,$G1492)-$H1492,"#,##0"))))</f>
        <v/>
      </c>
      <c r="J1492" s="18" t="n"/>
    </row>
    <row r="1493">
      <c r="A1493" s="10">
        <f>IF($B1493="","",COUNTA($B$9:$B1493))</f>
        <v/>
      </c>
      <c r="B1493" s="11" t="n"/>
      <c r="C1493" s="12" t="n"/>
      <c r="D1493" s="12" t="n"/>
      <c r="E1493" s="13" t="n"/>
      <c r="F1493" s="14">
        <f>IF($E1493="","",IF($C1493="دستمزد گروهی",IFERROR(VLOOKUP($E1493,WGTbl,2,0),"کد ناشناخته"),IFERROR(IF(VLOOKUP($E1493,AcctTblE,4,0)="","(بدون نام)",VLOOKUP($E1493,AcctTblE,4,0)),"کد ناشناخته")))</f>
        <v/>
      </c>
      <c r="G1493" s="15" t="n"/>
      <c r="H1493" s="16">
        <f>IF(OR($C1493&lt;&gt;"دستمزد گروهی",$D1493=""),"",SUMIFS(ShareAmt,ShareLink,$D1493))</f>
        <v/>
      </c>
      <c r="I1493" s="17">
        <f>IF($C1493&lt;&gt;"دستمزد گروهی","—",IF($H1493="","",IF(ROUND($H1493-IF($G1493="",0,$G1493),0)=0,"√","▲ مغایرت "&amp;TEXT(IF($G1493="",0,$G1493)-$H1493,"#,##0"))))</f>
        <v/>
      </c>
      <c r="J1493" s="18" t="n"/>
    </row>
    <row r="1494">
      <c r="A1494" s="19">
        <f>IF($B1494="","",COUNTA($B$9:$B1494))</f>
        <v/>
      </c>
      <c r="B1494" s="11" t="n"/>
      <c r="C1494" s="12" t="n"/>
      <c r="D1494" s="12" t="n"/>
      <c r="E1494" s="13" t="n"/>
      <c r="F1494" s="20">
        <f>IF($E1494="","",IF($C1494="دستمزد گروهی",IFERROR(VLOOKUP($E1494,WGTbl,2,0),"کد ناشناخته"),IFERROR(IF(VLOOKUP($E1494,AcctTblE,4,0)="","(بدون نام)",VLOOKUP($E1494,AcctTblE,4,0)),"کد ناشناخته")))</f>
        <v/>
      </c>
      <c r="G1494" s="15" t="n"/>
      <c r="H1494" s="21">
        <f>IF(OR($C1494&lt;&gt;"دستمزد گروهی",$D1494=""),"",SUMIFS(ShareAmt,ShareLink,$D1494))</f>
        <v/>
      </c>
      <c r="I1494" s="22">
        <f>IF($C1494&lt;&gt;"دستمزد گروهی","—",IF($H1494="","",IF(ROUND($H1494-IF($G1494="",0,$G1494),0)=0,"√","▲ مغایرت "&amp;TEXT(IF($G1494="",0,$G1494)-$H1494,"#,##0"))))</f>
        <v/>
      </c>
      <c r="J1494" s="18" t="n"/>
    </row>
    <row r="1495">
      <c r="A1495" s="10">
        <f>IF($B1495="","",COUNTA($B$9:$B1495))</f>
        <v/>
      </c>
      <c r="B1495" s="11" t="n"/>
      <c r="C1495" s="12" t="n"/>
      <c r="D1495" s="12" t="n"/>
      <c r="E1495" s="13" t="n"/>
      <c r="F1495" s="14">
        <f>IF($E1495="","",IF($C1495="دستمزد گروهی",IFERROR(VLOOKUP($E1495,WGTbl,2,0),"کد ناشناخته"),IFERROR(IF(VLOOKUP($E1495,AcctTblE,4,0)="","(بدون نام)",VLOOKUP($E1495,AcctTblE,4,0)),"کد ناشناخته")))</f>
        <v/>
      </c>
      <c r="G1495" s="15" t="n"/>
      <c r="H1495" s="16">
        <f>IF(OR($C1495&lt;&gt;"دستمزد گروهی",$D1495=""),"",SUMIFS(ShareAmt,ShareLink,$D1495))</f>
        <v/>
      </c>
      <c r="I1495" s="17">
        <f>IF($C1495&lt;&gt;"دستمزد گروهی","—",IF($H1495="","",IF(ROUND($H1495-IF($G1495="",0,$G1495),0)=0,"√","▲ مغایرت "&amp;TEXT(IF($G1495="",0,$G1495)-$H1495,"#,##0"))))</f>
        <v/>
      </c>
      <c r="J1495" s="18" t="n"/>
    </row>
    <row r="1496">
      <c r="A1496" s="19">
        <f>IF($B1496="","",COUNTA($B$9:$B1496))</f>
        <v/>
      </c>
      <c r="B1496" s="11" t="n"/>
      <c r="C1496" s="12" t="n"/>
      <c r="D1496" s="12" t="n"/>
      <c r="E1496" s="13" t="n"/>
      <c r="F1496" s="20">
        <f>IF($E1496="","",IF($C1496="دستمزد گروهی",IFERROR(VLOOKUP($E1496,WGTbl,2,0),"کد ناشناخته"),IFERROR(IF(VLOOKUP($E1496,AcctTblE,4,0)="","(بدون نام)",VLOOKUP($E1496,AcctTblE,4,0)),"کد ناشناخته")))</f>
        <v/>
      </c>
      <c r="G1496" s="15" t="n"/>
      <c r="H1496" s="21">
        <f>IF(OR($C1496&lt;&gt;"دستمزد گروهی",$D1496=""),"",SUMIFS(ShareAmt,ShareLink,$D1496))</f>
        <v/>
      </c>
      <c r="I1496" s="22">
        <f>IF($C1496&lt;&gt;"دستمزد گروهی","—",IF($H1496="","",IF(ROUND($H1496-IF($G1496="",0,$G1496),0)=0,"√","▲ مغایرت "&amp;TEXT(IF($G1496="",0,$G1496)-$H1496,"#,##0"))))</f>
        <v/>
      </c>
      <c r="J1496" s="18" t="n"/>
    </row>
    <row r="1497">
      <c r="A1497" s="10">
        <f>IF($B1497="","",COUNTA($B$9:$B1497))</f>
        <v/>
      </c>
      <c r="B1497" s="11" t="n"/>
      <c r="C1497" s="12" t="n"/>
      <c r="D1497" s="12" t="n"/>
      <c r="E1497" s="13" t="n"/>
      <c r="F1497" s="14">
        <f>IF($E1497="","",IF($C1497="دستمزد گروهی",IFERROR(VLOOKUP($E1497,WGTbl,2,0),"کد ناشناخته"),IFERROR(IF(VLOOKUP($E1497,AcctTblE,4,0)="","(بدون نام)",VLOOKUP($E1497,AcctTblE,4,0)),"کد ناشناخته")))</f>
        <v/>
      </c>
      <c r="G1497" s="15" t="n"/>
      <c r="H1497" s="16">
        <f>IF(OR($C1497&lt;&gt;"دستمزد گروهی",$D1497=""),"",SUMIFS(ShareAmt,ShareLink,$D1497))</f>
        <v/>
      </c>
      <c r="I1497" s="17">
        <f>IF($C1497&lt;&gt;"دستمزد گروهی","—",IF($H1497="","",IF(ROUND($H1497-IF($G1497="",0,$G1497),0)=0,"√","▲ مغایرت "&amp;TEXT(IF($G1497="",0,$G1497)-$H1497,"#,##0"))))</f>
        <v/>
      </c>
      <c r="J1497" s="18" t="n"/>
    </row>
    <row r="1498">
      <c r="A1498" s="19">
        <f>IF($B1498="","",COUNTA($B$9:$B1498))</f>
        <v/>
      </c>
      <c r="B1498" s="11" t="n"/>
      <c r="C1498" s="12" t="n"/>
      <c r="D1498" s="12" t="n"/>
      <c r="E1498" s="13" t="n"/>
      <c r="F1498" s="20">
        <f>IF($E1498="","",IF($C1498="دستمزد گروهی",IFERROR(VLOOKUP($E1498,WGTbl,2,0),"کد ناشناخته"),IFERROR(IF(VLOOKUP($E1498,AcctTblE,4,0)="","(بدون نام)",VLOOKUP($E1498,AcctTblE,4,0)),"کد ناشناخته")))</f>
        <v/>
      </c>
      <c r="G1498" s="15" t="n"/>
      <c r="H1498" s="21">
        <f>IF(OR($C1498&lt;&gt;"دستمزد گروهی",$D1498=""),"",SUMIFS(ShareAmt,ShareLink,$D1498))</f>
        <v/>
      </c>
      <c r="I1498" s="22">
        <f>IF($C1498&lt;&gt;"دستمزد گروهی","—",IF($H1498="","",IF(ROUND($H1498-IF($G1498="",0,$G1498),0)=0,"√","▲ مغایرت "&amp;TEXT(IF($G1498="",0,$G1498)-$H1498,"#,##0"))))</f>
        <v/>
      </c>
      <c r="J1498" s="18" t="n"/>
    </row>
    <row r="1499">
      <c r="A1499" s="10">
        <f>IF($B1499="","",COUNTA($B$9:$B1499))</f>
        <v/>
      </c>
      <c r="B1499" s="11" t="n"/>
      <c r="C1499" s="12" t="n"/>
      <c r="D1499" s="12" t="n"/>
      <c r="E1499" s="13" t="n"/>
      <c r="F1499" s="14">
        <f>IF($E1499="","",IF($C1499="دستمزد گروهی",IFERROR(VLOOKUP($E1499,WGTbl,2,0),"کد ناشناخته"),IFERROR(IF(VLOOKUP($E1499,AcctTblE,4,0)="","(بدون نام)",VLOOKUP($E1499,AcctTblE,4,0)),"کد ناشناخته")))</f>
        <v/>
      </c>
      <c r="G1499" s="15" t="n"/>
      <c r="H1499" s="16">
        <f>IF(OR($C1499&lt;&gt;"دستمزد گروهی",$D1499=""),"",SUMIFS(ShareAmt,ShareLink,$D1499))</f>
        <v/>
      </c>
      <c r="I1499" s="17">
        <f>IF($C1499&lt;&gt;"دستمزد گروهی","—",IF($H1499="","",IF(ROUND($H1499-IF($G1499="",0,$G1499),0)=0,"√","▲ مغایرت "&amp;TEXT(IF($G1499="",0,$G1499)-$H1499,"#,##0"))))</f>
        <v/>
      </c>
      <c r="J1499" s="18" t="n"/>
    </row>
    <row r="1500">
      <c r="A1500" s="19">
        <f>IF($B1500="","",COUNTA($B$9:$B1500))</f>
        <v/>
      </c>
      <c r="B1500" s="11" t="n"/>
      <c r="C1500" s="12" t="n"/>
      <c r="D1500" s="12" t="n"/>
      <c r="E1500" s="13" t="n"/>
      <c r="F1500" s="20">
        <f>IF($E1500="","",IF($C1500="دستمزد گروهی",IFERROR(VLOOKUP($E1500,WGTbl,2,0),"کد ناشناخته"),IFERROR(IF(VLOOKUP($E1500,AcctTblE,4,0)="","(بدون نام)",VLOOKUP($E1500,AcctTblE,4,0)),"کد ناشناخته")))</f>
        <v/>
      </c>
      <c r="G1500" s="15" t="n"/>
      <c r="H1500" s="21">
        <f>IF(OR($C1500&lt;&gt;"دستمزد گروهی",$D1500=""),"",SUMIFS(ShareAmt,ShareLink,$D1500))</f>
        <v/>
      </c>
      <c r="I1500" s="22">
        <f>IF($C1500&lt;&gt;"دستمزد گروهی","—",IF($H1500="","",IF(ROUND($H1500-IF($G1500="",0,$G1500),0)=0,"√","▲ مغایرت "&amp;TEXT(IF($G1500="",0,$G1500)-$H1500,"#,##0"))))</f>
        <v/>
      </c>
      <c r="J1500" s="18" t="n"/>
    </row>
    <row r="1501">
      <c r="A1501" s="10">
        <f>IF($B1501="","",COUNTA($B$9:$B1501))</f>
        <v/>
      </c>
      <c r="B1501" s="11" t="n"/>
      <c r="C1501" s="12" t="n"/>
      <c r="D1501" s="12" t="n"/>
      <c r="E1501" s="13" t="n"/>
      <c r="F1501" s="14">
        <f>IF($E1501="","",IF($C1501="دستمزد گروهی",IFERROR(VLOOKUP($E1501,WGTbl,2,0),"کد ناشناخته"),IFERROR(IF(VLOOKUP($E1501,AcctTblE,4,0)="","(بدون نام)",VLOOKUP($E1501,AcctTblE,4,0)),"کد ناشناخته")))</f>
        <v/>
      </c>
      <c r="G1501" s="15" t="n"/>
      <c r="H1501" s="16">
        <f>IF(OR($C1501&lt;&gt;"دستمزد گروهی",$D1501=""),"",SUMIFS(ShareAmt,ShareLink,$D1501))</f>
        <v/>
      </c>
      <c r="I1501" s="17">
        <f>IF($C1501&lt;&gt;"دستمزد گروهی","—",IF($H1501="","",IF(ROUND($H1501-IF($G1501="",0,$G1501),0)=0,"√","▲ مغایرت "&amp;TEXT(IF($G1501="",0,$G1501)-$H1501,"#,##0"))))</f>
        <v/>
      </c>
      <c r="J1501" s="18" t="n"/>
    </row>
    <row r="1502">
      <c r="A1502" s="19">
        <f>IF($B1502="","",COUNTA($B$9:$B1502))</f>
        <v/>
      </c>
      <c r="B1502" s="11" t="n"/>
      <c r="C1502" s="12" t="n"/>
      <c r="D1502" s="12" t="n"/>
      <c r="E1502" s="13" t="n"/>
      <c r="F1502" s="20">
        <f>IF($E1502="","",IF($C1502="دستمزد گروهی",IFERROR(VLOOKUP($E1502,WGTbl,2,0),"کد ناشناخته"),IFERROR(IF(VLOOKUP($E1502,AcctTblE,4,0)="","(بدون نام)",VLOOKUP($E1502,AcctTblE,4,0)),"کد ناشناخته")))</f>
        <v/>
      </c>
      <c r="G1502" s="15" t="n"/>
      <c r="H1502" s="21">
        <f>IF(OR($C1502&lt;&gt;"دستمزد گروهی",$D1502=""),"",SUMIFS(ShareAmt,ShareLink,$D1502))</f>
        <v/>
      </c>
      <c r="I1502" s="22">
        <f>IF($C1502&lt;&gt;"دستمزد گروهی","—",IF($H1502="","",IF(ROUND($H1502-IF($G1502="",0,$G1502),0)=0,"√","▲ مغایرت "&amp;TEXT(IF($G1502="",0,$G1502)-$H1502,"#,##0"))))</f>
        <v/>
      </c>
      <c r="J1502" s="18" t="n"/>
    </row>
    <row r="1503">
      <c r="A1503" s="10">
        <f>IF($B1503="","",COUNTA($B$9:$B1503))</f>
        <v/>
      </c>
      <c r="B1503" s="11" t="n"/>
      <c r="C1503" s="12" t="n"/>
      <c r="D1503" s="12" t="n"/>
      <c r="E1503" s="13" t="n"/>
      <c r="F1503" s="14">
        <f>IF($E1503="","",IF($C1503="دستمزد گروهی",IFERROR(VLOOKUP($E1503,WGTbl,2,0),"کد ناشناخته"),IFERROR(IF(VLOOKUP($E1503,AcctTblE,4,0)="","(بدون نام)",VLOOKUP($E1503,AcctTblE,4,0)),"کد ناشناخته")))</f>
        <v/>
      </c>
      <c r="G1503" s="15" t="n"/>
      <c r="H1503" s="16">
        <f>IF(OR($C1503&lt;&gt;"دستمزد گروهی",$D1503=""),"",SUMIFS(ShareAmt,ShareLink,$D1503))</f>
        <v/>
      </c>
      <c r="I1503" s="17">
        <f>IF($C1503&lt;&gt;"دستمزد گروهی","—",IF($H1503="","",IF(ROUND($H1503-IF($G1503="",0,$G1503),0)=0,"√","▲ مغایرت "&amp;TEXT(IF($G1503="",0,$G1503)-$H1503,"#,##0"))))</f>
        <v/>
      </c>
      <c r="J1503" s="18" t="n"/>
    </row>
    <row r="1504">
      <c r="A1504" s="19">
        <f>IF($B1504="","",COUNTA($B$9:$B1504))</f>
        <v/>
      </c>
      <c r="B1504" s="11" t="n"/>
      <c r="C1504" s="12" t="n"/>
      <c r="D1504" s="12" t="n"/>
      <c r="E1504" s="13" t="n"/>
      <c r="F1504" s="20">
        <f>IF($E1504="","",IF($C1504="دستمزد گروهی",IFERROR(VLOOKUP($E1504,WGTbl,2,0),"کد ناشناخته"),IFERROR(IF(VLOOKUP($E1504,AcctTblE,4,0)="","(بدون نام)",VLOOKUP($E1504,AcctTblE,4,0)),"کد ناشناخته")))</f>
        <v/>
      </c>
      <c r="G1504" s="15" t="n"/>
      <c r="H1504" s="21">
        <f>IF(OR($C1504&lt;&gt;"دستمزد گروهی",$D1504=""),"",SUMIFS(ShareAmt,ShareLink,$D1504))</f>
        <v/>
      </c>
      <c r="I1504" s="22">
        <f>IF($C1504&lt;&gt;"دستمزد گروهی","—",IF($H1504="","",IF(ROUND($H1504-IF($G1504="",0,$G1504),0)=0,"√","▲ مغایرت "&amp;TEXT(IF($G1504="",0,$G1504)-$H1504,"#,##0"))))</f>
        <v/>
      </c>
      <c r="J1504" s="18" t="n"/>
    </row>
    <row r="1505">
      <c r="A1505" s="10">
        <f>IF($B1505="","",COUNTA($B$9:$B1505))</f>
        <v/>
      </c>
      <c r="B1505" s="11" t="n"/>
      <c r="C1505" s="12" t="n"/>
      <c r="D1505" s="12" t="n"/>
      <c r="E1505" s="13" t="n"/>
      <c r="F1505" s="14">
        <f>IF($E1505="","",IF($C1505="دستمزد گروهی",IFERROR(VLOOKUP($E1505,WGTbl,2,0),"کد ناشناخته"),IFERROR(IF(VLOOKUP($E1505,AcctTblE,4,0)="","(بدون نام)",VLOOKUP($E1505,AcctTblE,4,0)),"کد ناشناخته")))</f>
        <v/>
      </c>
      <c r="G1505" s="15" t="n"/>
      <c r="H1505" s="16">
        <f>IF(OR($C1505&lt;&gt;"دستمزد گروهی",$D1505=""),"",SUMIFS(ShareAmt,ShareLink,$D1505))</f>
        <v/>
      </c>
      <c r="I1505" s="17">
        <f>IF($C1505&lt;&gt;"دستمزد گروهی","—",IF($H1505="","",IF(ROUND($H1505-IF($G1505="",0,$G1505),0)=0,"√","▲ مغایرت "&amp;TEXT(IF($G1505="",0,$G1505)-$H1505,"#,##0"))))</f>
        <v/>
      </c>
      <c r="J1505" s="18" t="n"/>
    </row>
    <row r="1506">
      <c r="A1506" s="19">
        <f>IF($B1506="","",COUNTA($B$9:$B1506))</f>
        <v/>
      </c>
      <c r="B1506" s="11" t="n"/>
      <c r="C1506" s="12" t="n"/>
      <c r="D1506" s="12" t="n"/>
      <c r="E1506" s="13" t="n"/>
      <c r="F1506" s="20">
        <f>IF($E1506="","",IF($C1506="دستمزد گروهی",IFERROR(VLOOKUP($E1506,WGTbl,2,0),"کد ناشناخته"),IFERROR(IF(VLOOKUP($E1506,AcctTblE,4,0)="","(بدون نام)",VLOOKUP($E1506,AcctTblE,4,0)),"کد ناشناخته")))</f>
        <v/>
      </c>
      <c r="G1506" s="15" t="n"/>
      <c r="H1506" s="21">
        <f>IF(OR($C1506&lt;&gt;"دستمزد گروهی",$D1506=""),"",SUMIFS(ShareAmt,ShareLink,$D1506))</f>
        <v/>
      </c>
      <c r="I1506" s="22">
        <f>IF($C1506&lt;&gt;"دستمزد گروهی","—",IF($H1506="","",IF(ROUND($H1506-IF($G1506="",0,$G1506),0)=0,"√","▲ مغایرت "&amp;TEXT(IF($G1506="",0,$G1506)-$H1506,"#,##0"))))</f>
        <v/>
      </c>
      <c r="J1506" s="18" t="n"/>
    </row>
    <row r="1507">
      <c r="A1507" s="10">
        <f>IF($B1507="","",COUNTA($B$9:$B1507))</f>
        <v/>
      </c>
      <c r="B1507" s="11" t="n"/>
      <c r="C1507" s="12" t="n"/>
      <c r="D1507" s="12" t="n"/>
      <c r="E1507" s="13" t="n"/>
      <c r="F1507" s="14">
        <f>IF($E1507="","",IF($C1507="دستمزد گروهی",IFERROR(VLOOKUP($E1507,WGTbl,2,0),"کد ناشناخته"),IFERROR(IF(VLOOKUP($E1507,AcctTblE,4,0)="","(بدون نام)",VLOOKUP($E1507,AcctTblE,4,0)),"کد ناشناخته")))</f>
        <v/>
      </c>
      <c r="G1507" s="15" t="n"/>
      <c r="H1507" s="16">
        <f>IF(OR($C1507&lt;&gt;"دستمزد گروهی",$D1507=""),"",SUMIFS(ShareAmt,ShareLink,$D1507))</f>
        <v/>
      </c>
      <c r="I1507" s="17">
        <f>IF($C1507&lt;&gt;"دستمزد گروهی","—",IF($H1507="","",IF(ROUND($H1507-IF($G1507="",0,$G1507),0)=0,"√","▲ مغایرت "&amp;TEXT(IF($G1507="",0,$G1507)-$H1507,"#,##0"))))</f>
        <v/>
      </c>
      <c r="J1507" s="18" t="n"/>
    </row>
    <row r="1508">
      <c r="A1508" s="19">
        <f>IF($B1508="","",COUNTA($B$9:$B1508))</f>
        <v/>
      </c>
      <c r="B1508" s="11" t="n"/>
      <c r="C1508" s="12" t="n"/>
      <c r="D1508" s="12" t="n"/>
      <c r="E1508" s="13" t="n"/>
      <c r="F1508" s="20">
        <f>IF($E1508="","",IF($C1508="دستمزد گروهی",IFERROR(VLOOKUP($E1508,WGTbl,2,0),"کد ناشناخته"),IFERROR(IF(VLOOKUP($E1508,AcctTblE,4,0)="","(بدون نام)",VLOOKUP($E1508,AcctTblE,4,0)),"کد ناشناخته")))</f>
        <v/>
      </c>
      <c r="G1508" s="15" t="n"/>
      <c r="H1508" s="21">
        <f>IF(OR($C1508&lt;&gt;"دستمزد گروهی",$D1508=""),"",SUMIFS(ShareAmt,ShareLink,$D1508))</f>
        <v/>
      </c>
      <c r="I1508" s="22">
        <f>IF($C1508&lt;&gt;"دستمزد گروهی","—",IF($H1508="","",IF(ROUND($H1508-IF($G1508="",0,$G1508),0)=0,"√","▲ مغایرت "&amp;TEXT(IF($G1508="",0,$G1508)-$H1508,"#,##0"))))</f>
        <v/>
      </c>
      <c r="J1508" s="18" t="n"/>
    </row>
    <row r="1509">
      <c r="A1509" s="10">
        <f>IF($B1509="","",COUNTA($B$9:$B1509))</f>
        <v/>
      </c>
      <c r="B1509" s="11" t="n"/>
      <c r="C1509" s="12" t="n"/>
      <c r="D1509" s="12" t="n"/>
      <c r="E1509" s="13" t="n"/>
      <c r="F1509" s="14">
        <f>IF($E1509="","",IF($C1509="دستمزد گروهی",IFERROR(VLOOKUP($E1509,WGTbl,2,0),"کد ناشناخته"),IFERROR(IF(VLOOKUP($E1509,AcctTblE,4,0)="","(بدون نام)",VLOOKUP($E1509,AcctTblE,4,0)),"کد ناشناخته")))</f>
        <v/>
      </c>
      <c r="G1509" s="15" t="n"/>
      <c r="H1509" s="16">
        <f>IF(OR($C1509&lt;&gt;"دستمزد گروهی",$D1509=""),"",SUMIFS(ShareAmt,ShareLink,$D1509))</f>
        <v/>
      </c>
      <c r="I1509" s="17">
        <f>IF($C1509&lt;&gt;"دستمزد گروهی","—",IF($H1509="","",IF(ROUND($H1509-IF($G1509="",0,$G1509),0)=0,"√","▲ مغایرت "&amp;TEXT(IF($G1509="",0,$G1509)-$H1509,"#,##0"))))</f>
        <v/>
      </c>
      <c r="J1509" s="18" t="n"/>
    </row>
    <row r="1510">
      <c r="A1510" s="19">
        <f>IF($B1510="","",COUNTA($B$9:$B1510))</f>
        <v/>
      </c>
      <c r="B1510" s="11" t="n"/>
      <c r="C1510" s="12" t="n"/>
      <c r="D1510" s="12" t="n"/>
      <c r="E1510" s="13" t="n"/>
      <c r="F1510" s="20">
        <f>IF($E1510="","",IF($C1510="دستمزد گروهی",IFERROR(VLOOKUP($E1510,WGTbl,2,0),"کد ناشناخته"),IFERROR(IF(VLOOKUP($E1510,AcctTblE,4,0)="","(بدون نام)",VLOOKUP($E1510,AcctTblE,4,0)),"کد ناشناخته")))</f>
        <v/>
      </c>
      <c r="G1510" s="15" t="n"/>
      <c r="H1510" s="21">
        <f>IF(OR($C1510&lt;&gt;"دستمزد گروهی",$D1510=""),"",SUMIFS(ShareAmt,ShareLink,$D1510))</f>
        <v/>
      </c>
      <c r="I1510" s="22">
        <f>IF($C1510&lt;&gt;"دستمزد گروهی","—",IF($H1510="","",IF(ROUND($H1510-IF($G1510="",0,$G1510),0)=0,"√","▲ مغایرت "&amp;TEXT(IF($G1510="",0,$G1510)-$H1510,"#,##0"))))</f>
        <v/>
      </c>
      <c r="J1510" s="18" t="n"/>
    </row>
    <row r="1511">
      <c r="A1511" s="10">
        <f>IF($B1511="","",COUNTA($B$9:$B1511))</f>
        <v/>
      </c>
      <c r="B1511" s="11" t="n"/>
      <c r="C1511" s="12" t="n"/>
      <c r="D1511" s="12" t="n"/>
      <c r="E1511" s="13" t="n"/>
      <c r="F1511" s="14">
        <f>IF($E1511="","",IF($C1511="دستمزد گروهی",IFERROR(VLOOKUP($E1511,WGTbl,2,0),"کد ناشناخته"),IFERROR(IF(VLOOKUP($E1511,AcctTblE,4,0)="","(بدون نام)",VLOOKUP($E1511,AcctTblE,4,0)),"کد ناشناخته")))</f>
        <v/>
      </c>
      <c r="G1511" s="15" t="n"/>
      <c r="H1511" s="16">
        <f>IF(OR($C1511&lt;&gt;"دستمزد گروهی",$D1511=""),"",SUMIFS(ShareAmt,ShareLink,$D1511))</f>
        <v/>
      </c>
      <c r="I1511" s="17">
        <f>IF($C1511&lt;&gt;"دستمزد گروهی","—",IF($H1511="","",IF(ROUND($H1511-IF($G1511="",0,$G1511),0)=0,"√","▲ مغایرت "&amp;TEXT(IF($G1511="",0,$G1511)-$H1511,"#,##0"))))</f>
        <v/>
      </c>
      <c r="J1511" s="18" t="n"/>
    </row>
    <row r="1512">
      <c r="A1512" s="19">
        <f>IF($B1512="","",COUNTA($B$9:$B1512))</f>
        <v/>
      </c>
      <c r="B1512" s="11" t="n"/>
      <c r="C1512" s="12" t="n"/>
      <c r="D1512" s="12" t="n"/>
      <c r="E1512" s="13" t="n"/>
      <c r="F1512" s="20">
        <f>IF($E1512="","",IF($C1512="دستمزد گروهی",IFERROR(VLOOKUP($E1512,WGTbl,2,0),"کد ناشناخته"),IFERROR(IF(VLOOKUP($E1512,AcctTblE,4,0)="","(بدون نام)",VLOOKUP($E1512,AcctTblE,4,0)),"کد ناشناخته")))</f>
        <v/>
      </c>
      <c r="G1512" s="15" t="n"/>
      <c r="H1512" s="21">
        <f>IF(OR($C1512&lt;&gt;"دستمزد گروهی",$D1512=""),"",SUMIFS(ShareAmt,ShareLink,$D1512))</f>
        <v/>
      </c>
      <c r="I1512" s="22">
        <f>IF($C1512&lt;&gt;"دستمزد گروهی","—",IF($H1512="","",IF(ROUND($H1512-IF($G1512="",0,$G1512),0)=0,"√","▲ مغایرت "&amp;TEXT(IF($G1512="",0,$G1512)-$H1512,"#,##0"))))</f>
        <v/>
      </c>
      <c r="J1512" s="18" t="n"/>
    </row>
    <row r="1513">
      <c r="A1513" s="10">
        <f>IF($B1513="","",COUNTA($B$9:$B1513))</f>
        <v/>
      </c>
      <c r="B1513" s="11" t="n"/>
      <c r="C1513" s="12" t="n"/>
      <c r="D1513" s="12" t="n"/>
      <c r="E1513" s="13" t="n"/>
      <c r="F1513" s="14">
        <f>IF($E1513="","",IF($C1513="دستمزد گروهی",IFERROR(VLOOKUP($E1513,WGTbl,2,0),"کد ناشناخته"),IFERROR(IF(VLOOKUP($E1513,AcctTblE,4,0)="","(بدون نام)",VLOOKUP($E1513,AcctTblE,4,0)),"کد ناشناخته")))</f>
        <v/>
      </c>
      <c r="G1513" s="15" t="n"/>
      <c r="H1513" s="16">
        <f>IF(OR($C1513&lt;&gt;"دستمزد گروهی",$D1513=""),"",SUMIFS(ShareAmt,ShareLink,$D1513))</f>
        <v/>
      </c>
      <c r="I1513" s="17">
        <f>IF($C1513&lt;&gt;"دستمزد گروهی","—",IF($H1513="","",IF(ROUND($H1513-IF($G1513="",0,$G1513),0)=0,"√","▲ مغایرت "&amp;TEXT(IF($G1513="",0,$G1513)-$H1513,"#,##0"))))</f>
        <v/>
      </c>
      <c r="J1513" s="18" t="n"/>
    </row>
    <row r="1514">
      <c r="A1514" s="19">
        <f>IF($B1514="","",COUNTA($B$9:$B1514))</f>
        <v/>
      </c>
      <c r="B1514" s="11" t="n"/>
      <c r="C1514" s="12" t="n"/>
      <c r="D1514" s="12" t="n"/>
      <c r="E1514" s="13" t="n"/>
      <c r="F1514" s="20">
        <f>IF($E1514="","",IF($C1514="دستمزد گروهی",IFERROR(VLOOKUP($E1514,WGTbl,2,0),"کد ناشناخته"),IFERROR(IF(VLOOKUP($E1514,AcctTblE,4,0)="","(بدون نام)",VLOOKUP($E1514,AcctTblE,4,0)),"کد ناشناخته")))</f>
        <v/>
      </c>
      <c r="G1514" s="15" t="n"/>
      <c r="H1514" s="21">
        <f>IF(OR($C1514&lt;&gt;"دستمزد گروهی",$D1514=""),"",SUMIFS(ShareAmt,ShareLink,$D1514))</f>
        <v/>
      </c>
      <c r="I1514" s="22">
        <f>IF($C1514&lt;&gt;"دستمزد گروهی","—",IF($H1514="","",IF(ROUND($H1514-IF($G1514="",0,$G1514),0)=0,"√","▲ مغایرت "&amp;TEXT(IF($G1514="",0,$G1514)-$H1514,"#,##0"))))</f>
        <v/>
      </c>
      <c r="J1514" s="18" t="n"/>
    </row>
    <row r="1515">
      <c r="A1515" s="10">
        <f>IF($B1515="","",COUNTA($B$9:$B1515))</f>
        <v/>
      </c>
      <c r="B1515" s="11" t="n"/>
      <c r="C1515" s="12" t="n"/>
      <c r="D1515" s="12" t="n"/>
      <c r="E1515" s="13" t="n"/>
      <c r="F1515" s="14">
        <f>IF($E1515="","",IF($C1515="دستمزد گروهی",IFERROR(VLOOKUP($E1515,WGTbl,2,0),"کد ناشناخته"),IFERROR(IF(VLOOKUP($E1515,AcctTblE,4,0)="","(بدون نام)",VLOOKUP($E1515,AcctTblE,4,0)),"کد ناشناخته")))</f>
        <v/>
      </c>
      <c r="G1515" s="15" t="n"/>
      <c r="H1515" s="16">
        <f>IF(OR($C1515&lt;&gt;"دستمزد گروهی",$D1515=""),"",SUMIFS(ShareAmt,ShareLink,$D1515))</f>
        <v/>
      </c>
      <c r="I1515" s="17">
        <f>IF($C1515&lt;&gt;"دستمزد گروهی","—",IF($H1515="","",IF(ROUND($H1515-IF($G1515="",0,$G1515),0)=0,"√","▲ مغایرت "&amp;TEXT(IF($G1515="",0,$G1515)-$H1515,"#,##0"))))</f>
        <v/>
      </c>
      <c r="J1515" s="18" t="n"/>
    </row>
    <row r="1516">
      <c r="A1516" s="19">
        <f>IF($B1516="","",COUNTA($B$9:$B1516))</f>
        <v/>
      </c>
      <c r="B1516" s="11" t="n"/>
      <c r="C1516" s="12" t="n"/>
      <c r="D1516" s="12" t="n"/>
      <c r="E1516" s="13" t="n"/>
      <c r="F1516" s="20">
        <f>IF($E1516="","",IF($C1516="دستمزد گروهی",IFERROR(VLOOKUP($E1516,WGTbl,2,0),"کد ناشناخته"),IFERROR(IF(VLOOKUP($E1516,AcctTblE,4,0)="","(بدون نام)",VLOOKUP($E1516,AcctTblE,4,0)),"کد ناشناخته")))</f>
        <v/>
      </c>
      <c r="G1516" s="15" t="n"/>
      <c r="H1516" s="21">
        <f>IF(OR($C1516&lt;&gt;"دستمزد گروهی",$D1516=""),"",SUMIFS(ShareAmt,ShareLink,$D1516))</f>
        <v/>
      </c>
      <c r="I1516" s="22">
        <f>IF($C1516&lt;&gt;"دستمزد گروهی","—",IF($H1516="","",IF(ROUND($H1516-IF($G1516="",0,$G1516),0)=0,"√","▲ مغایرت "&amp;TEXT(IF($G1516="",0,$G1516)-$H1516,"#,##0"))))</f>
        <v/>
      </c>
      <c r="J1516" s="18" t="n"/>
    </row>
    <row r="1517">
      <c r="A1517" s="10">
        <f>IF($B1517="","",COUNTA($B$9:$B1517))</f>
        <v/>
      </c>
      <c r="B1517" s="11" t="n"/>
      <c r="C1517" s="12" t="n"/>
      <c r="D1517" s="12" t="n"/>
      <c r="E1517" s="13" t="n"/>
      <c r="F1517" s="14">
        <f>IF($E1517="","",IF($C1517="دستمزد گروهی",IFERROR(VLOOKUP($E1517,WGTbl,2,0),"کد ناشناخته"),IFERROR(IF(VLOOKUP($E1517,AcctTblE,4,0)="","(بدون نام)",VLOOKUP($E1517,AcctTblE,4,0)),"کد ناشناخته")))</f>
        <v/>
      </c>
      <c r="G1517" s="15" t="n"/>
      <c r="H1517" s="16">
        <f>IF(OR($C1517&lt;&gt;"دستمزد گروهی",$D1517=""),"",SUMIFS(ShareAmt,ShareLink,$D1517))</f>
        <v/>
      </c>
      <c r="I1517" s="17">
        <f>IF($C1517&lt;&gt;"دستمزد گروهی","—",IF($H1517="","",IF(ROUND($H1517-IF($G1517="",0,$G1517),0)=0,"√","▲ مغایرت "&amp;TEXT(IF($G1517="",0,$G1517)-$H1517,"#,##0"))))</f>
        <v/>
      </c>
      <c r="J1517" s="18" t="n"/>
    </row>
    <row r="1518">
      <c r="A1518" s="19">
        <f>IF($B1518="","",COUNTA($B$9:$B1518))</f>
        <v/>
      </c>
      <c r="B1518" s="11" t="n"/>
      <c r="C1518" s="12" t="n"/>
      <c r="D1518" s="12" t="n"/>
      <c r="E1518" s="13" t="n"/>
      <c r="F1518" s="20">
        <f>IF($E1518="","",IF($C1518="دستمزد گروهی",IFERROR(VLOOKUP($E1518,WGTbl,2,0),"کد ناشناخته"),IFERROR(IF(VLOOKUP($E1518,AcctTblE,4,0)="","(بدون نام)",VLOOKUP($E1518,AcctTblE,4,0)),"کد ناشناخته")))</f>
        <v/>
      </c>
      <c r="G1518" s="15" t="n"/>
      <c r="H1518" s="21">
        <f>IF(OR($C1518&lt;&gt;"دستمزد گروهی",$D1518=""),"",SUMIFS(ShareAmt,ShareLink,$D1518))</f>
        <v/>
      </c>
      <c r="I1518" s="22">
        <f>IF($C1518&lt;&gt;"دستمزد گروهی","—",IF($H1518="","",IF(ROUND($H1518-IF($G1518="",0,$G1518),0)=0,"√","▲ مغایرت "&amp;TEXT(IF($G1518="",0,$G1518)-$H1518,"#,##0"))))</f>
        <v/>
      </c>
      <c r="J1518" s="18" t="n"/>
    </row>
    <row r="1519">
      <c r="A1519" s="10">
        <f>IF($B1519="","",COUNTA($B$9:$B1519))</f>
        <v/>
      </c>
      <c r="B1519" s="11" t="n"/>
      <c r="C1519" s="12" t="n"/>
      <c r="D1519" s="12" t="n"/>
      <c r="E1519" s="13" t="n"/>
      <c r="F1519" s="14">
        <f>IF($E1519="","",IF($C1519="دستمزد گروهی",IFERROR(VLOOKUP($E1519,WGTbl,2,0),"کد ناشناخته"),IFERROR(IF(VLOOKUP($E1519,AcctTblE,4,0)="","(بدون نام)",VLOOKUP($E1519,AcctTblE,4,0)),"کد ناشناخته")))</f>
        <v/>
      </c>
      <c r="G1519" s="15" t="n"/>
      <c r="H1519" s="16">
        <f>IF(OR($C1519&lt;&gt;"دستمزد گروهی",$D1519=""),"",SUMIFS(ShareAmt,ShareLink,$D1519))</f>
        <v/>
      </c>
      <c r="I1519" s="17">
        <f>IF($C1519&lt;&gt;"دستمزد گروهی","—",IF($H1519="","",IF(ROUND($H1519-IF($G1519="",0,$G1519),0)=0,"√","▲ مغایرت "&amp;TEXT(IF($G1519="",0,$G1519)-$H1519,"#,##0"))))</f>
        <v/>
      </c>
      <c r="J1519" s="18" t="n"/>
    </row>
    <row r="1520">
      <c r="A1520" s="19">
        <f>IF($B1520="","",COUNTA($B$9:$B1520))</f>
        <v/>
      </c>
      <c r="B1520" s="11" t="n"/>
      <c r="C1520" s="12" t="n"/>
      <c r="D1520" s="12" t="n"/>
      <c r="E1520" s="13" t="n"/>
      <c r="F1520" s="20">
        <f>IF($E1520="","",IF($C1520="دستمزد گروهی",IFERROR(VLOOKUP($E1520,WGTbl,2,0),"کد ناشناخته"),IFERROR(IF(VLOOKUP($E1520,AcctTblE,4,0)="","(بدون نام)",VLOOKUP($E1520,AcctTblE,4,0)),"کد ناشناخته")))</f>
        <v/>
      </c>
      <c r="G1520" s="15" t="n"/>
      <c r="H1520" s="21">
        <f>IF(OR($C1520&lt;&gt;"دستمزد گروهی",$D1520=""),"",SUMIFS(ShareAmt,ShareLink,$D1520))</f>
        <v/>
      </c>
      <c r="I1520" s="22">
        <f>IF($C1520&lt;&gt;"دستمزد گروهی","—",IF($H1520="","",IF(ROUND($H1520-IF($G1520="",0,$G1520),0)=0,"√","▲ مغایرت "&amp;TEXT(IF($G1520="",0,$G1520)-$H1520,"#,##0"))))</f>
        <v/>
      </c>
      <c r="J1520" s="18" t="n"/>
    </row>
    <row r="1521">
      <c r="A1521" s="10">
        <f>IF($B1521="","",COUNTA($B$9:$B1521))</f>
        <v/>
      </c>
      <c r="B1521" s="11" t="n"/>
      <c r="C1521" s="12" t="n"/>
      <c r="D1521" s="12" t="n"/>
      <c r="E1521" s="13" t="n"/>
      <c r="F1521" s="14">
        <f>IF($E1521="","",IF($C1521="دستمزد گروهی",IFERROR(VLOOKUP($E1521,WGTbl,2,0),"کد ناشناخته"),IFERROR(IF(VLOOKUP($E1521,AcctTblE,4,0)="","(بدون نام)",VLOOKUP($E1521,AcctTblE,4,0)),"کد ناشناخته")))</f>
        <v/>
      </c>
      <c r="G1521" s="15" t="n"/>
      <c r="H1521" s="16">
        <f>IF(OR($C1521&lt;&gt;"دستمزد گروهی",$D1521=""),"",SUMIFS(ShareAmt,ShareLink,$D1521))</f>
        <v/>
      </c>
      <c r="I1521" s="17">
        <f>IF($C1521&lt;&gt;"دستمزد گروهی","—",IF($H1521="","",IF(ROUND($H1521-IF($G1521="",0,$G1521),0)=0,"√","▲ مغایرت "&amp;TEXT(IF($G1521="",0,$G1521)-$H1521,"#,##0"))))</f>
        <v/>
      </c>
      <c r="J1521" s="18" t="n"/>
    </row>
    <row r="1522">
      <c r="A1522" s="19">
        <f>IF($B1522="","",COUNTA($B$9:$B1522))</f>
        <v/>
      </c>
      <c r="B1522" s="11" t="n"/>
      <c r="C1522" s="12" t="n"/>
      <c r="D1522" s="12" t="n"/>
      <c r="E1522" s="13" t="n"/>
      <c r="F1522" s="20">
        <f>IF($E1522="","",IF($C1522="دستمزد گروهی",IFERROR(VLOOKUP($E1522,WGTbl,2,0),"کد ناشناخته"),IFERROR(IF(VLOOKUP($E1522,AcctTblE,4,0)="","(بدون نام)",VLOOKUP($E1522,AcctTblE,4,0)),"کد ناشناخته")))</f>
        <v/>
      </c>
      <c r="G1522" s="15" t="n"/>
      <c r="H1522" s="21">
        <f>IF(OR($C1522&lt;&gt;"دستمزد گروهی",$D1522=""),"",SUMIFS(ShareAmt,ShareLink,$D1522))</f>
        <v/>
      </c>
      <c r="I1522" s="22">
        <f>IF($C1522&lt;&gt;"دستمزد گروهی","—",IF($H1522="","",IF(ROUND($H1522-IF($G1522="",0,$G1522),0)=0,"√","▲ مغایرت "&amp;TEXT(IF($G1522="",0,$G1522)-$H1522,"#,##0"))))</f>
        <v/>
      </c>
      <c r="J1522" s="18" t="n"/>
    </row>
    <row r="1523">
      <c r="A1523" s="10">
        <f>IF($B1523="","",COUNTA($B$9:$B1523))</f>
        <v/>
      </c>
      <c r="B1523" s="11" t="n"/>
      <c r="C1523" s="12" t="n"/>
      <c r="D1523" s="12" t="n"/>
      <c r="E1523" s="13" t="n"/>
      <c r="F1523" s="14">
        <f>IF($E1523="","",IF($C1523="دستمزد گروهی",IFERROR(VLOOKUP($E1523,WGTbl,2,0),"کد ناشناخته"),IFERROR(IF(VLOOKUP($E1523,AcctTblE,4,0)="","(بدون نام)",VLOOKUP($E1523,AcctTblE,4,0)),"کد ناشناخته")))</f>
        <v/>
      </c>
      <c r="G1523" s="15" t="n"/>
      <c r="H1523" s="16">
        <f>IF(OR($C1523&lt;&gt;"دستمزد گروهی",$D1523=""),"",SUMIFS(ShareAmt,ShareLink,$D1523))</f>
        <v/>
      </c>
      <c r="I1523" s="17">
        <f>IF($C1523&lt;&gt;"دستمزد گروهی","—",IF($H1523="","",IF(ROUND($H1523-IF($G1523="",0,$G1523),0)=0,"√","▲ مغایرت "&amp;TEXT(IF($G1523="",0,$G1523)-$H1523,"#,##0"))))</f>
        <v/>
      </c>
      <c r="J1523" s="18" t="n"/>
    </row>
    <row r="1524">
      <c r="A1524" s="19">
        <f>IF($B1524="","",COUNTA($B$9:$B1524))</f>
        <v/>
      </c>
      <c r="B1524" s="11" t="n"/>
      <c r="C1524" s="12" t="n"/>
      <c r="D1524" s="12" t="n"/>
      <c r="E1524" s="13" t="n"/>
      <c r="F1524" s="20">
        <f>IF($E1524="","",IF($C1524="دستمزد گروهی",IFERROR(VLOOKUP($E1524,WGTbl,2,0),"کد ناشناخته"),IFERROR(IF(VLOOKUP($E1524,AcctTblE,4,0)="","(بدون نام)",VLOOKUP($E1524,AcctTblE,4,0)),"کد ناشناخته")))</f>
        <v/>
      </c>
      <c r="G1524" s="15" t="n"/>
      <c r="H1524" s="21">
        <f>IF(OR($C1524&lt;&gt;"دستمزد گروهی",$D1524=""),"",SUMIFS(ShareAmt,ShareLink,$D1524))</f>
        <v/>
      </c>
      <c r="I1524" s="22">
        <f>IF($C1524&lt;&gt;"دستمزد گروهی","—",IF($H1524="","",IF(ROUND($H1524-IF($G1524="",0,$G1524),0)=0,"√","▲ مغایرت "&amp;TEXT(IF($G1524="",0,$G1524)-$H1524,"#,##0"))))</f>
        <v/>
      </c>
      <c r="J1524" s="18" t="n"/>
    </row>
    <row r="1525">
      <c r="A1525" s="10">
        <f>IF($B1525="","",COUNTA($B$9:$B1525))</f>
        <v/>
      </c>
      <c r="B1525" s="11" t="n"/>
      <c r="C1525" s="12" t="n"/>
      <c r="D1525" s="12" t="n"/>
      <c r="E1525" s="13" t="n"/>
      <c r="F1525" s="14">
        <f>IF($E1525="","",IF($C1525="دستمزد گروهی",IFERROR(VLOOKUP($E1525,WGTbl,2,0),"کد ناشناخته"),IFERROR(IF(VLOOKUP($E1525,AcctTblE,4,0)="","(بدون نام)",VLOOKUP($E1525,AcctTblE,4,0)),"کد ناشناخته")))</f>
        <v/>
      </c>
      <c r="G1525" s="15" t="n"/>
      <c r="H1525" s="16">
        <f>IF(OR($C1525&lt;&gt;"دستمزد گروهی",$D1525=""),"",SUMIFS(ShareAmt,ShareLink,$D1525))</f>
        <v/>
      </c>
      <c r="I1525" s="17">
        <f>IF($C1525&lt;&gt;"دستمزد گروهی","—",IF($H1525="","",IF(ROUND($H1525-IF($G1525="",0,$G1525),0)=0,"√","▲ مغایرت "&amp;TEXT(IF($G1525="",0,$G1525)-$H1525,"#,##0"))))</f>
        <v/>
      </c>
      <c r="J1525" s="18" t="n"/>
    </row>
    <row r="1526">
      <c r="A1526" s="19">
        <f>IF($B1526="","",COUNTA($B$9:$B1526))</f>
        <v/>
      </c>
      <c r="B1526" s="11" t="n"/>
      <c r="C1526" s="12" t="n"/>
      <c r="D1526" s="12" t="n"/>
      <c r="E1526" s="13" t="n"/>
      <c r="F1526" s="20">
        <f>IF($E1526="","",IF($C1526="دستمزد گروهی",IFERROR(VLOOKUP($E1526,WGTbl,2,0),"کد ناشناخته"),IFERROR(IF(VLOOKUP($E1526,AcctTblE,4,0)="","(بدون نام)",VLOOKUP($E1526,AcctTblE,4,0)),"کد ناشناخته")))</f>
        <v/>
      </c>
      <c r="G1526" s="15" t="n"/>
      <c r="H1526" s="21">
        <f>IF(OR($C1526&lt;&gt;"دستمزد گروهی",$D1526=""),"",SUMIFS(ShareAmt,ShareLink,$D1526))</f>
        <v/>
      </c>
      <c r="I1526" s="22">
        <f>IF($C1526&lt;&gt;"دستمزد گروهی","—",IF($H1526="","",IF(ROUND($H1526-IF($G1526="",0,$G1526),0)=0,"√","▲ مغایرت "&amp;TEXT(IF($G1526="",0,$G1526)-$H1526,"#,##0"))))</f>
        <v/>
      </c>
      <c r="J1526" s="18" t="n"/>
    </row>
    <row r="1527">
      <c r="A1527" s="10">
        <f>IF($B1527="","",COUNTA($B$9:$B1527))</f>
        <v/>
      </c>
      <c r="B1527" s="11" t="n"/>
      <c r="C1527" s="12" t="n"/>
      <c r="D1527" s="12" t="n"/>
      <c r="E1527" s="13" t="n"/>
      <c r="F1527" s="14">
        <f>IF($E1527="","",IF($C1527="دستمزد گروهی",IFERROR(VLOOKUP($E1527,WGTbl,2,0),"کد ناشناخته"),IFERROR(IF(VLOOKUP($E1527,AcctTblE,4,0)="","(بدون نام)",VLOOKUP($E1527,AcctTblE,4,0)),"کد ناشناخته")))</f>
        <v/>
      </c>
      <c r="G1527" s="15" t="n"/>
      <c r="H1527" s="16">
        <f>IF(OR($C1527&lt;&gt;"دستمزد گروهی",$D1527=""),"",SUMIFS(ShareAmt,ShareLink,$D1527))</f>
        <v/>
      </c>
      <c r="I1527" s="17">
        <f>IF($C1527&lt;&gt;"دستمزد گروهی","—",IF($H1527="","",IF(ROUND($H1527-IF($G1527="",0,$G1527),0)=0,"√","▲ مغایرت "&amp;TEXT(IF($G1527="",0,$G1527)-$H1527,"#,##0"))))</f>
        <v/>
      </c>
      <c r="J1527" s="18" t="n"/>
    </row>
    <row r="1528">
      <c r="A1528" s="19">
        <f>IF($B1528="","",COUNTA($B$9:$B1528))</f>
        <v/>
      </c>
      <c r="B1528" s="11" t="n"/>
      <c r="C1528" s="12" t="n"/>
      <c r="D1528" s="12" t="n"/>
      <c r="E1528" s="13" t="n"/>
      <c r="F1528" s="20">
        <f>IF($E1528="","",IF($C1528="دستمزد گروهی",IFERROR(VLOOKUP($E1528,WGTbl,2,0),"کد ناشناخته"),IFERROR(IF(VLOOKUP($E1528,AcctTblE,4,0)="","(بدون نام)",VLOOKUP($E1528,AcctTblE,4,0)),"کد ناشناخته")))</f>
        <v/>
      </c>
      <c r="G1528" s="15" t="n"/>
      <c r="H1528" s="21">
        <f>IF(OR($C1528&lt;&gt;"دستمزد گروهی",$D1528=""),"",SUMIFS(ShareAmt,ShareLink,$D1528))</f>
        <v/>
      </c>
      <c r="I1528" s="22">
        <f>IF($C1528&lt;&gt;"دستمزد گروهی","—",IF($H1528="","",IF(ROUND($H1528-IF($G1528="",0,$G1528),0)=0,"√","▲ مغایرت "&amp;TEXT(IF($G1528="",0,$G1528)-$H1528,"#,##0"))))</f>
        <v/>
      </c>
      <c r="J1528" s="18" t="n"/>
    </row>
    <row r="1529">
      <c r="A1529" s="10">
        <f>IF($B1529="","",COUNTA($B$9:$B1529))</f>
        <v/>
      </c>
      <c r="B1529" s="11" t="n"/>
      <c r="C1529" s="12" t="n"/>
      <c r="D1529" s="12" t="n"/>
      <c r="E1529" s="13" t="n"/>
      <c r="F1529" s="14">
        <f>IF($E1529="","",IF($C1529="دستمزد گروهی",IFERROR(VLOOKUP($E1529,WGTbl,2,0),"کد ناشناخته"),IFERROR(IF(VLOOKUP($E1529,AcctTblE,4,0)="","(بدون نام)",VLOOKUP($E1529,AcctTblE,4,0)),"کد ناشناخته")))</f>
        <v/>
      </c>
      <c r="G1529" s="15" t="n"/>
      <c r="H1529" s="16">
        <f>IF(OR($C1529&lt;&gt;"دستمزد گروهی",$D1529=""),"",SUMIFS(ShareAmt,ShareLink,$D1529))</f>
        <v/>
      </c>
      <c r="I1529" s="17">
        <f>IF($C1529&lt;&gt;"دستمزد گروهی","—",IF($H1529="","",IF(ROUND($H1529-IF($G1529="",0,$G1529),0)=0,"√","▲ مغایرت "&amp;TEXT(IF($G1529="",0,$G1529)-$H1529,"#,##0"))))</f>
        <v/>
      </c>
      <c r="J1529" s="18" t="n"/>
    </row>
    <row r="1530">
      <c r="A1530" s="19">
        <f>IF($B1530="","",COUNTA($B$9:$B1530))</f>
        <v/>
      </c>
      <c r="B1530" s="11" t="n"/>
      <c r="C1530" s="12" t="n"/>
      <c r="D1530" s="12" t="n"/>
      <c r="E1530" s="13" t="n"/>
      <c r="F1530" s="20">
        <f>IF($E1530="","",IF($C1530="دستمزد گروهی",IFERROR(VLOOKUP($E1530,WGTbl,2,0),"کد ناشناخته"),IFERROR(IF(VLOOKUP($E1530,AcctTblE,4,0)="","(بدون نام)",VLOOKUP($E1530,AcctTblE,4,0)),"کد ناشناخته")))</f>
        <v/>
      </c>
      <c r="G1530" s="15" t="n"/>
      <c r="H1530" s="21">
        <f>IF(OR($C1530&lt;&gt;"دستمزد گروهی",$D1530=""),"",SUMIFS(ShareAmt,ShareLink,$D1530))</f>
        <v/>
      </c>
      <c r="I1530" s="22">
        <f>IF($C1530&lt;&gt;"دستمزد گروهی","—",IF($H1530="","",IF(ROUND($H1530-IF($G1530="",0,$G1530),0)=0,"√","▲ مغایرت "&amp;TEXT(IF($G1530="",0,$G1530)-$H1530,"#,##0"))))</f>
        <v/>
      </c>
      <c r="J1530" s="18" t="n"/>
    </row>
    <row r="1531">
      <c r="A1531" s="10">
        <f>IF($B1531="","",COUNTA($B$9:$B1531))</f>
        <v/>
      </c>
      <c r="B1531" s="11" t="n"/>
      <c r="C1531" s="12" t="n"/>
      <c r="D1531" s="12" t="n"/>
      <c r="E1531" s="13" t="n"/>
      <c r="F1531" s="14">
        <f>IF($E1531="","",IF($C1531="دستمزد گروهی",IFERROR(VLOOKUP($E1531,WGTbl,2,0),"کد ناشناخته"),IFERROR(IF(VLOOKUP($E1531,AcctTblE,4,0)="","(بدون نام)",VLOOKUP($E1531,AcctTblE,4,0)),"کد ناشناخته")))</f>
        <v/>
      </c>
      <c r="G1531" s="15" t="n"/>
      <c r="H1531" s="16">
        <f>IF(OR($C1531&lt;&gt;"دستمزد گروهی",$D1531=""),"",SUMIFS(ShareAmt,ShareLink,$D1531))</f>
        <v/>
      </c>
      <c r="I1531" s="17">
        <f>IF($C1531&lt;&gt;"دستمزد گروهی","—",IF($H1531="","",IF(ROUND($H1531-IF($G1531="",0,$G1531),0)=0,"√","▲ مغایرت "&amp;TEXT(IF($G1531="",0,$G1531)-$H1531,"#,##0"))))</f>
        <v/>
      </c>
      <c r="J1531" s="18" t="n"/>
    </row>
    <row r="1532">
      <c r="A1532" s="19">
        <f>IF($B1532="","",COUNTA($B$9:$B1532))</f>
        <v/>
      </c>
      <c r="B1532" s="11" t="n"/>
      <c r="C1532" s="12" t="n"/>
      <c r="D1532" s="12" t="n"/>
      <c r="E1532" s="13" t="n"/>
      <c r="F1532" s="20">
        <f>IF($E1532="","",IF($C1532="دستمزد گروهی",IFERROR(VLOOKUP($E1532,WGTbl,2,0),"کد ناشناخته"),IFERROR(IF(VLOOKUP($E1532,AcctTblE,4,0)="","(بدون نام)",VLOOKUP($E1532,AcctTblE,4,0)),"کد ناشناخته")))</f>
        <v/>
      </c>
      <c r="G1532" s="15" t="n"/>
      <c r="H1532" s="21">
        <f>IF(OR($C1532&lt;&gt;"دستمزد گروهی",$D1532=""),"",SUMIFS(ShareAmt,ShareLink,$D1532))</f>
        <v/>
      </c>
      <c r="I1532" s="22">
        <f>IF($C1532&lt;&gt;"دستمزد گروهی","—",IF($H1532="","",IF(ROUND($H1532-IF($G1532="",0,$G1532),0)=0,"√","▲ مغایرت "&amp;TEXT(IF($G1532="",0,$G1532)-$H1532,"#,##0"))))</f>
        <v/>
      </c>
      <c r="J1532" s="18" t="n"/>
    </row>
    <row r="1533">
      <c r="A1533" s="10">
        <f>IF($B1533="","",COUNTA($B$9:$B1533))</f>
        <v/>
      </c>
      <c r="B1533" s="11" t="n"/>
      <c r="C1533" s="12" t="n"/>
      <c r="D1533" s="12" t="n"/>
      <c r="E1533" s="13" t="n"/>
      <c r="F1533" s="14">
        <f>IF($E1533="","",IF($C1533="دستمزد گروهی",IFERROR(VLOOKUP($E1533,WGTbl,2,0),"کد ناشناخته"),IFERROR(IF(VLOOKUP($E1533,AcctTblE,4,0)="","(بدون نام)",VLOOKUP($E1533,AcctTblE,4,0)),"کد ناشناخته")))</f>
        <v/>
      </c>
      <c r="G1533" s="15" t="n"/>
      <c r="H1533" s="16">
        <f>IF(OR($C1533&lt;&gt;"دستمزد گروهی",$D1533=""),"",SUMIFS(ShareAmt,ShareLink,$D1533))</f>
        <v/>
      </c>
      <c r="I1533" s="17">
        <f>IF($C1533&lt;&gt;"دستمزد گروهی","—",IF($H1533="","",IF(ROUND($H1533-IF($G1533="",0,$G1533),0)=0,"√","▲ مغایرت "&amp;TEXT(IF($G1533="",0,$G1533)-$H1533,"#,##0"))))</f>
        <v/>
      </c>
      <c r="J1533" s="18" t="n"/>
    </row>
    <row r="1534">
      <c r="A1534" s="19">
        <f>IF($B1534="","",COUNTA($B$9:$B1534))</f>
        <v/>
      </c>
      <c r="B1534" s="11" t="n"/>
      <c r="C1534" s="12" t="n"/>
      <c r="D1534" s="12" t="n"/>
      <c r="E1534" s="13" t="n"/>
      <c r="F1534" s="20">
        <f>IF($E1534="","",IF($C1534="دستمزد گروهی",IFERROR(VLOOKUP($E1534,WGTbl,2,0),"کد ناشناخته"),IFERROR(IF(VLOOKUP($E1534,AcctTblE,4,0)="","(بدون نام)",VLOOKUP($E1534,AcctTblE,4,0)),"کد ناشناخته")))</f>
        <v/>
      </c>
      <c r="G1534" s="15" t="n"/>
      <c r="H1534" s="21">
        <f>IF(OR($C1534&lt;&gt;"دستمزد گروهی",$D1534=""),"",SUMIFS(ShareAmt,ShareLink,$D1534))</f>
        <v/>
      </c>
      <c r="I1534" s="22">
        <f>IF($C1534&lt;&gt;"دستمزد گروهی","—",IF($H1534="","",IF(ROUND($H1534-IF($G1534="",0,$G1534),0)=0,"√","▲ مغایرت "&amp;TEXT(IF($G1534="",0,$G1534)-$H1534,"#,##0"))))</f>
        <v/>
      </c>
      <c r="J1534" s="18" t="n"/>
    </row>
    <row r="1535">
      <c r="A1535" s="10">
        <f>IF($B1535="","",COUNTA($B$9:$B1535))</f>
        <v/>
      </c>
      <c r="B1535" s="11" t="n"/>
      <c r="C1535" s="12" t="n"/>
      <c r="D1535" s="12" t="n"/>
      <c r="E1535" s="13" t="n"/>
      <c r="F1535" s="14">
        <f>IF($E1535="","",IF($C1535="دستمزد گروهی",IFERROR(VLOOKUP($E1535,WGTbl,2,0),"کد ناشناخته"),IFERROR(IF(VLOOKUP($E1535,AcctTblE,4,0)="","(بدون نام)",VLOOKUP($E1535,AcctTblE,4,0)),"کد ناشناخته")))</f>
        <v/>
      </c>
      <c r="G1535" s="15" t="n"/>
      <c r="H1535" s="16">
        <f>IF(OR($C1535&lt;&gt;"دستمزد گروهی",$D1535=""),"",SUMIFS(ShareAmt,ShareLink,$D1535))</f>
        <v/>
      </c>
      <c r="I1535" s="17">
        <f>IF($C1535&lt;&gt;"دستمزد گروهی","—",IF($H1535="","",IF(ROUND($H1535-IF($G1535="",0,$G1535),0)=0,"√","▲ مغایرت "&amp;TEXT(IF($G1535="",0,$G1535)-$H1535,"#,##0"))))</f>
        <v/>
      </c>
      <c r="J1535" s="18" t="n"/>
    </row>
    <row r="1536">
      <c r="A1536" s="19">
        <f>IF($B1536="","",COUNTA($B$9:$B1536))</f>
        <v/>
      </c>
      <c r="B1536" s="11" t="n"/>
      <c r="C1536" s="12" t="n"/>
      <c r="D1536" s="12" t="n"/>
      <c r="E1536" s="13" t="n"/>
      <c r="F1536" s="20">
        <f>IF($E1536="","",IF($C1536="دستمزد گروهی",IFERROR(VLOOKUP($E1536,WGTbl,2,0),"کد ناشناخته"),IFERROR(IF(VLOOKUP($E1536,AcctTblE,4,0)="","(بدون نام)",VLOOKUP($E1536,AcctTblE,4,0)),"کد ناشناخته")))</f>
        <v/>
      </c>
      <c r="G1536" s="15" t="n"/>
      <c r="H1536" s="21">
        <f>IF(OR($C1536&lt;&gt;"دستمزد گروهی",$D1536=""),"",SUMIFS(ShareAmt,ShareLink,$D1536))</f>
        <v/>
      </c>
      <c r="I1536" s="22">
        <f>IF($C1536&lt;&gt;"دستمزد گروهی","—",IF($H1536="","",IF(ROUND($H1536-IF($G1536="",0,$G1536),0)=0,"√","▲ مغایرت "&amp;TEXT(IF($G1536="",0,$G1536)-$H1536,"#,##0"))))</f>
        <v/>
      </c>
      <c r="J1536" s="18" t="n"/>
    </row>
    <row r="1537">
      <c r="A1537" s="10">
        <f>IF($B1537="","",COUNTA($B$9:$B1537))</f>
        <v/>
      </c>
      <c r="B1537" s="11" t="n"/>
      <c r="C1537" s="12" t="n"/>
      <c r="D1537" s="12" t="n"/>
      <c r="E1537" s="13" t="n"/>
      <c r="F1537" s="14">
        <f>IF($E1537="","",IF($C1537="دستمزد گروهی",IFERROR(VLOOKUP($E1537,WGTbl,2,0),"کد ناشناخته"),IFERROR(IF(VLOOKUP($E1537,AcctTblE,4,0)="","(بدون نام)",VLOOKUP($E1537,AcctTblE,4,0)),"کد ناشناخته")))</f>
        <v/>
      </c>
      <c r="G1537" s="15" t="n"/>
      <c r="H1537" s="16">
        <f>IF(OR($C1537&lt;&gt;"دستمزد گروهی",$D1537=""),"",SUMIFS(ShareAmt,ShareLink,$D1537))</f>
        <v/>
      </c>
      <c r="I1537" s="17">
        <f>IF($C1537&lt;&gt;"دستمزد گروهی","—",IF($H1537="","",IF(ROUND($H1537-IF($G1537="",0,$G1537),0)=0,"√","▲ مغایرت "&amp;TEXT(IF($G1537="",0,$G1537)-$H1537,"#,##0"))))</f>
        <v/>
      </c>
      <c r="J1537" s="18" t="n"/>
    </row>
    <row r="1538">
      <c r="A1538" s="19">
        <f>IF($B1538="","",COUNTA($B$9:$B1538))</f>
        <v/>
      </c>
      <c r="B1538" s="11" t="n"/>
      <c r="C1538" s="12" t="n"/>
      <c r="D1538" s="12" t="n"/>
      <c r="E1538" s="13" t="n"/>
      <c r="F1538" s="20">
        <f>IF($E1538="","",IF($C1538="دستمزد گروهی",IFERROR(VLOOKUP($E1538,WGTbl,2,0),"کد ناشناخته"),IFERROR(IF(VLOOKUP($E1538,AcctTblE,4,0)="","(بدون نام)",VLOOKUP($E1538,AcctTblE,4,0)),"کد ناشناخته")))</f>
        <v/>
      </c>
      <c r="G1538" s="15" t="n"/>
      <c r="H1538" s="21">
        <f>IF(OR($C1538&lt;&gt;"دستمزد گروهی",$D1538=""),"",SUMIFS(ShareAmt,ShareLink,$D1538))</f>
        <v/>
      </c>
      <c r="I1538" s="22">
        <f>IF($C1538&lt;&gt;"دستمزد گروهی","—",IF($H1538="","",IF(ROUND($H1538-IF($G1538="",0,$G1538),0)=0,"√","▲ مغایرت "&amp;TEXT(IF($G1538="",0,$G1538)-$H1538,"#,##0"))))</f>
        <v/>
      </c>
      <c r="J1538" s="18" t="n"/>
    </row>
    <row r="1539">
      <c r="A1539" s="10">
        <f>IF($B1539="","",COUNTA($B$9:$B1539))</f>
        <v/>
      </c>
      <c r="B1539" s="11" t="n"/>
      <c r="C1539" s="12" t="n"/>
      <c r="D1539" s="12" t="n"/>
      <c r="E1539" s="13" t="n"/>
      <c r="F1539" s="14">
        <f>IF($E1539="","",IF($C1539="دستمزد گروهی",IFERROR(VLOOKUP($E1539,WGTbl,2,0),"کد ناشناخته"),IFERROR(IF(VLOOKUP($E1539,AcctTblE,4,0)="","(بدون نام)",VLOOKUP($E1539,AcctTblE,4,0)),"کد ناشناخته")))</f>
        <v/>
      </c>
      <c r="G1539" s="15" t="n"/>
      <c r="H1539" s="16">
        <f>IF(OR($C1539&lt;&gt;"دستمزد گروهی",$D1539=""),"",SUMIFS(ShareAmt,ShareLink,$D1539))</f>
        <v/>
      </c>
      <c r="I1539" s="17">
        <f>IF($C1539&lt;&gt;"دستمزد گروهی","—",IF($H1539="","",IF(ROUND($H1539-IF($G1539="",0,$G1539),0)=0,"√","▲ مغایرت "&amp;TEXT(IF($G1539="",0,$G1539)-$H1539,"#,##0"))))</f>
        <v/>
      </c>
      <c r="J1539" s="18" t="n"/>
    </row>
    <row r="1540">
      <c r="A1540" s="19">
        <f>IF($B1540="","",COUNTA($B$9:$B1540))</f>
        <v/>
      </c>
      <c r="B1540" s="11" t="n"/>
      <c r="C1540" s="12" t="n"/>
      <c r="D1540" s="12" t="n"/>
      <c r="E1540" s="13" t="n"/>
      <c r="F1540" s="20">
        <f>IF($E1540="","",IF($C1540="دستمزد گروهی",IFERROR(VLOOKUP($E1540,WGTbl,2,0),"کد ناشناخته"),IFERROR(IF(VLOOKUP($E1540,AcctTblE,4,0)="","(بدون نام)",VLOOKUP($E1540,AcctTblE,4,0)),"کد ناشناخته")))</f>
        <v/>
      </c>
      <c r="G1540" s="15" t="n"/>
      <c r="H1540" s="21">
        <f>IF(OR($C1540&lt;&gt;"دستمزد گروهی",$D1540=""),"",SUMIFS(ShareAmt,ShareLink,$D1540))</f>
        <v/>
      </c>
      <c r="I1540" s="22">
        <f>IF($C1540&lt;&gt;"دستمزد گروهی","—",IF($H1540="","",IF(ROUND($H1540-IF($G1540="",0,$G1540),0)=0,"√","▲ مغایرت "&amp;TEXT(IF($G1540="",0,$G1540)-$H1540,"#,##0"))))</f>
        <v/>
      </c>
      <c r="J1540" s="18" t="n"/>
    </row>
    <row r="1541">
      <c r="A1541" s="10">
        <f>IF($B1541="","",COUNTA($B$9:$B1541))</f>
        <v/>
      </c>
      <c r="B1541" s="11" t="n"/>
      <c r="C1541" s="12" t="n"/>
      <c r="D1541" s="12" t="n"/>
      <c r="E1541" s="13" t="n"/>
      <c r="F1541" s="14">
        <f>IF($E1541="","",IF($C1541="دستمزد گروهی",IFERROR(VLOOKUP($E1541,WGTbl,2,0),"کد ناشناخته"),IFERROR(IF(VLOOKUP($E1541,AcctTblE,4,0)="","(بدون نام)",VLOOKUP($E1541,AcctTblE,4,0)),"کد ناشناخته")))</f>
        <v/>
      </c>
      <c r="G1541" s="15" t="n"/>
      <c r="H1541" s="16">
        <f>IF(OR($C1541&lt;&gt;"دستمزد گروهی",$D1541=""),"",SUMIFS(ShareAmt,ShareLink,$D1541))</f>
        <v/>
      </c>
      <c r="I1541" s="17">
        <f>IF($C1541&lt;&gt;"دستمزد گروهی","—",IF($H1541="","",IF(ROUND($H1541-IF($G1541="",0,$G1541),0)=0,"√","▲ مغایرت "&amp;TEXT(IF($G1541="",0,$G1541)-$H1541,"#,##0"))))</f>
        <v/>
      </c>
      <c r="J1541" s="18" t="n"/>
    </row>
    <row r="1542">
      <c r="A1542" s="19">
        <f>IF($B1542="","",COUNTA($B$9:$B1542))</f>
        <v/>
      </c>
      <c r="B1542" s="11" t="n"/>
      <c r="C1542" s="12" t="n"/>
      <c r="D1542" s="12" t="n"/>
      <c r="E1542" s="13" t="n"/>
      <c r="F1542" s="20">
        <f>IF($E1542="","",IF($C1542="دستمزد گروهی",IFERROR(VLOOKUP($E1542,WGTbl,2,0),"کد ناشناخته"),IFERROR(IF(VLOOKUP($E1542,AcctTblE,4,0)="","(بدون نام)",VLOOKUP($E1542,AcctTblE,4,0)),"کد ناشناخته")))</f>
        <v/>
      </c>
      <c r="G1542" s="15" t="n"/>
      <c r="H1542" s="21">
        <f>IF(OR($C1542&lt;&gt;"دستمزد گروهی",$D1542=""),"",SUMIFS(ShareAmt,ShareLink,$D1542))</f>
        <v/>
      </c>
      <c r="I1542" s="22">
        <f>IF($C1542&lt;&gt;"دستمزد گروهی","—",IF($H1542="","",IF(ROUND($H1542-IF($G1542="",0,$G1542),0)=0,"√","▲ مغایرت "&amp;TEXT(IF($G1542="",0,$G1542)-$H1542,"#,##0"))))</f>
        <v/>
      </c>
      <c r="J1542" s="18" t="n"/>
    </row>
    <row r="1543">
      <c r="A1543" s="10">
        <f>IF($B1543="","",COUNTA($B$9:$B1543))</f>
        <v/>
      </c>
      <c r="B1543" s="11" t="n"/>
      <c r="C1543" s="12" t="n"/>
      <c r="D1543" s="12" t="n"/>
      <c r="E1543" s="13" t="n"/>
      <c r="F1543" s="14">
        <f>IF($E1543="","",IF($C1543="دستمزد گروهی",IFERROR(VLOOKUP($E1543,WGTbl,2,0),"کد ناشناخته"),IFERROR(IF(VLOOKUP($E1543,AcctTblE,4,0)="","(بدون نام)",VLOOKUP($E1543,AcctTblE,4,0)),"کد ناشناخته")))</f>
        <v/>
      </c>
      <c r="G1543" s="15" t="n"/>
      <c r="H1543" s="16">
        <f>IF(OR($C1543&lt;&gt;"دستمزد گروهی",$D1543=""),"",SUMIFS(ShareAmt,ShareLink,$D1543))</f>
        <v/>
      </c>
      <c r="I1543" s="17">
        <f>IF($C1543&lt;&gt;"دستمزد گروهی","—",IF($H1543="","",IF(ROUND($H1543-IF($G1543="",0,$G1543),0)=0,"√","▲ مغایرت "&amp;TEXT(IF($G1543="",0,$G1543)-$H1543,"#,##0"))))</f>
        <v/>
      </c>
      <c r="J1543" s="18" t="n"/>
    </row>
    <row r="1544">
      <c r="A1544" s="19">
        <f>IF($B1544="","",COUNTA($B$9:$B1544))</f>
        <v/>
      </c>
      <c r="B1544" s="11" t="n"/>
      <c r="C1544" s="12" t="n"/>
      <c r="D1544" s="12" t="n"/>
      <c r="E1544" s="13" t="n"/>
      <c r="F1544" s="20">
        <f>IF($E1544="","",IF($C1544="دستمزد گروهی",IFERROR(VLOOKUP($E1544,WGTbl,2,0),"کد ناشناخته"),IFERROR(IF(VLOOKUP($E1544,AcctTblE,4,0)="","(بدون نام)",VLOOKUP($E1544,AcctTblE,4,0)),"کد ناشناخته")))</f>
        <v/>
      </c>
      <c r="G1544" s="15" t="n"/>
      <c r="H1544" s="21">
        <f>IF(OR($C1544&lt;&gt;"دستمزد گروهی",$D1544=""),"",SUMIFS(ShareAmt,ShareLink,$D1544))</f>
        <v/>
      </c>
      <c r="I1544" s="22">
        <f>IF($C1544&lt;&gt;"دستمزد گروهی","—",IF($H1544="","",IF(ROUND($H1544-IF($G1544="",0,$G1544),0)=0,"√","▲ مغایرت "&amp;TEXT(IF($G1544="",0,$G1544)-$H1544,"#,##0"))))</f>
        <v/>
      </c>
      <c r="J1544" s="18" t="n"/>
    </row>
    <row r="1545">
      <c r="A1545" s="10">
        <f>IF($B1545="","",COUNTA($B$9:$B1545))</f>
        <v/>
      </c>
      <c r="B1545" s="11" t="n"/>
      <c r="C1545" s="12" t="n"/>
      <c r="D1545" s="12" t="n"/>
      <c r="E1545" s="13" t="n"/>
      <c r="F1545" s="14">
        <f>IF($E1545="","",IF($C1545="دستمزد گروهی",IFERROR(VLOOKUP($E1545,WGTbl,2,0),"کد ناشناخته"),IFERROR(IF(VLOOKUP($E1545,AcctTblE,4,0)="","(بدون نام)",VLOOKUP($E1545,AcctTblE,4,0)),"کد ناشناخته")))</f>
        <v/>
      </c>
      <c r="G1545" s="15" t="n"/>
      <c r="H1545" s="16">
        <f>IF(OR($C1545&lt;&gt;"دستمزد گروهی",$D1545=""),"",SUMIFS(ShareAmt,ShareLink,$D1545))</f>
        <v/>
      </c>
      <c r="I1545" s="17">
        <f>IF($C1545&lt;&gt;"دستمزد گروهی","—",IF($H1545="","",IF(ROUND($H1545-IF($G1545="",0,$G1545),0)=0,"√","▲ مغایرت "&amp;TEXT(IF($G1545="",0,$G1545)-$H1545,"#,##0"))))</f>
        <v/>
      </c>
      <c r="J1545" s="18" t="n"/>
    </row>
    <row r="1546">
      <c r="A1546" s="19">
        <f>IF($B1546="","",COUNTA($B$9:$B1546))</f>
        <v/>
      </c>
      <c r="B1546" s="11" t="n"/>
      <c r="C1546" s="12" t="n"/>
      <c r="D1546" s="12" t="n"/>
      <c r="E1546" s="13" t="n"/>
      <c r="F1546" s="20">
        <f>IF($E1546="","",IF($C1546="دستمزد گروهی",IFERROR(VLOOKUP($E1546,WGTbl,2,0),"کد ناشناخته"),IFERROR(IF(VLOOKUP($E1546,AcctTblE,4,0)="","(بدون نام)",VLOOKUP($E1546,AcctTblE,4,0)),"کد ناشناخته")))</f>
        <v/>
      </c>
      <c r="G1546" s="15" t="n"/>
      <c r="H1546" s="21">
        <f>IF(OR($C1546&lt;&gt;"دستمزد گروهی",$D1546=""),"",SUMIFS(ShareAmt,ShareLink,$D1546))</f>
        <v/>
      </c>
      <c r="I1546" s="22">
        <f>IF($C1546&lt;&gt;"دستمزد گروهی","—",IF($H1546="","",IF(ROUND($H1546-IF($G1546="",0,$G1546),0)=0,"√","▲ مغایرت "&amp;TEXT(IF($G1546="",0,$G1546)-$H1546,"#,##0"))))</f>
        <v/>
      </c>
      <c r="J1546" s="18" t="n"/>
    </row>
    <row r="1547">
      <c r="A1547" s="10">
        <f>IF($B1547="","",COUNTA($B$9:$B1547))</f>
        <v/>
      </c>
      <c r="B1547" s="11" t="n"/>
      <c r="C1547" s="12" t="n"/>
      <c r="D1547" s="12" t="n"/>
      <c r="E1547" s="13" t="n"/>
      <c r="F1547" s="14">
        <f>IF($E1547="","",IF($C1547="دستمزد گروهی",IFERROR(VLOOKUP($E1547,WGTbl,2,0),"کد ناشناخته"),IFERROR(IF(VLOOKUP($E1547,AcctTblE,4,0)="","(بدون نام)",VLOOKUP($E1547,AcctTblE,4,0)),"کد ناشناخته")))</f>
        <v/>
      </c>
      <c r="G1547" s="15" t="n"/>
      <c r="H1547" s="16">
        <f>IF(OR($C1547&lt;&gt;"دستمزد گروهی",$D1547=""),"",SUMIFS(ShareAmt,ShareLink,$D1547))</f>
        <v/>
      </c>
      <c r="I1547" s="17">
        <f>IF($C1547&lt;&gt;"دستمزد گروهی","—",IF($H1547="","",IF(ROUND($H1547-IF($G1547="",0,$G1547),0)=0,"√","▲ مغایرت "&amp;TEXT(IF($G1547="",0,$G1547)-$H1547,"#,##0"))))</f>
        <v/>
      </c>
      <c r="J1547" s="18" t="n"/>
    </row>
    <row r="1548">
      <c r="A1548" s="19">
        <f>IF($B1548="","",COUNTA($B$9:$B1548))</f>
        <v/>
      </c>
      <c r="B1548" s="11" t="n"/>
      <c r="C1548" s="12" t="n"/>
      <c r="D1548" s="12" t="n"/>
      <c r="E1548" s="13" t="n"/>
      <c r="F1548" s="20">
        <f>IF($E1548="","",IF($C1548="دستمزد گروهی",IFERROR(VLOOKUP($E1548,WGTbl,2,0),"کد ناشناخته"),IFERROR(IF(VLOOKUP($E1548,AcctTblE,4,0)="","(بدون نام)",VLOOKUP($E1548,AcctTblE,4,0)),"کد ناشناخته")))</f>
        <v/>
      </c>
      <c r="G1548" s="15" t="n"/>
      <c r="H1548" s="21">
        <f>IF(OR($C1548&lt;&gt;"دستمزد گروهی",$D1548=""),"",SUMIFS(ShareAmt,ShareLink,$D1548))</f>
        <v/>
      </c>
      <c r="I1548" s="22">
        <f>IF($C1548&lt;&gt;"دستمزد گروهی","—",IF($H1548="","",IF(ROUND($H1548-IF($G1548="",0,$G1548),0)=0,"√","▲ مغایرت "&amp;TEXT(IF($G1548="",0,$G1548)-$H1548,"#,##0"))))</f>
        <v/>
      </c>
      <c r="J1548" s="18" t="n"/>
    </row>
    <row r="1549">
      <c r="A1549" s="10">
        <f>IF($B1549="","",COUNTA($B$9:$B1549))</f>
        <v/>
      </c>
      <c r="B1549" s="11" t="n"/>
      <c r="C1549" s="12" t="n"/>
      <c r="D1549" s="12" t="n"/>
      <c r="E1549" s="13" t="n"/>
      <c r="F1549" s="14">
        <f>IF($E1549="","",IF($C1549="دستمزد گروهی",IFERROR(VLOOKUP($E1549,WGTbl,2,0),"کد ناشناخته"),IFERROR(IF(VLOOKUP($E1549,AcctTblE,4,0)="","(بدون نام)",VLOOKUP($E1549,AcctTblE,4,0)),"کد ناشناخته")))</f>
        <v/>
      </c>
      <c r="G1549" s="15" t="n"/>
      <c r="H1549" s="16">
        <f>IF(OR($C1549&lt;&gt;"دستمزد گروهی",$D1549=""),"",SUMIFS(ShareAmt,ShareLink,$D1549))</f>
        <v/>
      </c>
      <c r="I1549" s="17">
        <f>IF($C1549&lt;&gt;"دستمزد گروهی","—",IF($H1549="","",IF(ROUND($H1549-IF($G1549="",0,$G1549),0)=0,"√","▲ مغایرت "&amp;TEXT(IF($G1549="",0,$G1549)-$H1549,"#,##0"))))</f>
        <v/>
      </c>
      <c r="J1549" s="18" t="n"/>
    </row>
    <row r="1550">
      <c r="A1550" s="19">
        <f>IF($B1550="","",COUNTA($B$9:$B1550))</f>
        <v/>
      </c>
      <c r="B1550" s="11" t="n"/>
      <c r="C1550" s="12" t="n"/>
      <c r="D1550" s="12" t="n"/>
      <c r="E1550" s="13" t="n"/>
      <c r="F1550" s="20">
        <f>IF($E1550="","",IF($C1550="دستمزد گروهی",IFERROR(VLOOKUP($E1550,WGTbl,2,0),"کد ناشناخته"),IFERROR(IF(VLOOKUP($E1550,AcctTblE,4,0)="","(بدون نام)",VLOOKUP($E1550,AcctTblE,4,0)),"کد ناشناخته")))</f>
        <v/>
      </c>
      <c r="G1550" s="15" t="n"/>
      <c r="H1550" s="21">
        <f>IF(OR($C1550&lt;&gt;"دستمزد گروهی",$D1550=""),"",SUMIFS(ShareAmt,ShareLink,$D1550))</f>
        <v/>
      </c>
      <c r="I1550" s="22">
        <f>IF($C1550&lt;&gt;"دستمزد گروهی","—",IF($H1550="","",IF(ROUND($H1550-IF($G1550="",0,$G1550),0)=0,"√","▲ مغایرت "&amp;TEXT(IF($G1550="",0,$G1550)-$H1550,"#,##0"))))</f>
        <v/>
      </c>
      <c r="J1550" s="18" t="n"/>
    </row>
    <row r="1551">
      <c r="A1551" s="10">
        <f>IF($B1551="","",COUNTA($B$9:$B1551))</f>
        <v/>
      </c>
      <c r="B1551" s="11" t="n"/>
      <c r="C1551" s="12" t="n"/>
      <c r="D1551" s="12" t="n"/>
      <c r="E1551" s="13" t="n"/>
      <c r="F1551" s="14">
        <f>IF($E1551="","",IF($C1551="دستمزد گروهی",IFERROR(VLOOKUP($E1551,WGTbl,2,0),"کد ناشناخته"),IFERROR(IF(VLOOKUP($E1551,AcctTblE,4,0)="","(بدون نام)",VLOOKUP($E1551,AcctTblE,4,0)),"کد ناشناخته")))</f>
        <v/>
      </c>
      <c r="G1551" s="15" t="n"/>
      <c r="H1551" s="16">
        <f>IF(OR($C1551&lt;&gt;"دستمزد گروهی",$D1551=""),"",SUMIFS(ShareAmt,ShareLink,$D1551))</f>
        <v/>
      </c>
      <c r="I1551" s="17">
        <f>IF($C1551&lt;&gt;"دستمزد گروهی","—",IF($H1551="","",IF(ROUND($H1551-IF($G1551="",0,$G1551),0)=0,"√","▲ مغایرت "&amp;TEXT(IF($G1551="",0,$G1551)-$H1551,"#,##0"))))</f>
        <v/>
      </c>
      <c r="J1551" s="18" t="n"/>
    </row>
    <row r="1552">
      <c r="A1552" s="19">
        <f>IF($B1552="","",COUNTA($B$9:$B1552))</f>
        <v/>
      </c>
      <c r="B1552" s="11" t="n"/>
      <c r="C1552" s="12" t="n"/>
      <c r="D1552" s="12" t="n"/>
      <c r="E1552" s="13" t="n"/>
      <c r="F1552" s="20">
        <f>IF($E1552="","",IF($C1552="دستمزد گروهی",IFERROR(VLOOKUP($E1552,WGTbl,2,0),"کد ناشناخته"),IFERROR(IF(VLOOKUP($E1552,AcctTblE,4,0)="","(بدون نام)",VLOOKUP($E1552,AcctTblE,4,0)),"کد ناشناخته")))</f>
        <v/>
      </c>
      <c r="G1552" s="15" t="n"/>
      <c r="H1552" s="21">
        <f>IF(OR($C1552&lt;&gt;"دستمزد گروهی",$D1552=""),"",SUMIFS(ShareAmt,ShareLink,$D1552))</f>
        <v/>
      </c>
      <c r="I1552" s="22">
        <f>IF($C1552&lt;&gt;"دستمزد گروهی","—",IF($H1552="","",IF(ROUND($H1552-IF($G1552="",0,$G1552),0)=0,"√","▲ مغایرت "&amp;TEXT(IF($G1552="",0,$G1552)-$H1552,"#,##0"))))</f>
        <v/>
      </c>
      <c r="J1552" s="18" t="n"/>
    </row>
    <row r="1553">
      <c r="A1553" s="10">
        <f>IF($B1553="","",COUNTA($B$9:$B1553))</f>
        <v/>
      </c>
      <c r="B1553" s="11" t="n"/>
      <c r="C1553" s="12" t="n"/>
      <c r="D1553" s="12" t="n"/>
      <c r="E1553" s="13" t="n"/>
      <c r="F1553" s="14">
        <f>IF($E1553="","",IF($C1553="دستمزد گروهی",IFERROR(VLOOKUP($E1553,WGTbl,2,0),"کد ناشناخته"),IFERROR(IF(VLOOKUP($E1553,AcctTblE,4,0)="","(بدون نام)",VLOOKUP($E1553,AcctTblE,4,0)),"کد ناشناخته")))</f>
        <v/>
      </c>
      <c r="G1553" s="15" t="n"/>
      <c r="H1553" s="16">
        <f>IF(OR($C1553&lt;&gt;"دستمزد گروهی",$D1553=""),"",SUMIFS(ShareAmt,ShareLink,$D1553))</f>
        <v/>
      </c>
      <c r="I1553" s="17">
        <f>IF($C1553&lt;&gt;"دستمزد گروهی","—",IF($H1553="","",IF(ROUND($H1553-IF($G1553="",0,$G1553),0)=0,"√","▲ مغایرت "&amp;TEXT(IF($G1553="",0,$G1553)-$H1553,"#,##0"))))</f>
        <v/>
      </c>
      <c r="J1553" s="18" t="n"/>
    </row>
    <row r="1554">
      <c r="A1554" s="19">
        <f>IF($B1554="","",COUNTA($B$9:$B1554))</f>
        <v/>
      </c>
      <c r="B1554" s="11" t="n"/>
      <c r="C1554" s="12" t="n"/>
      <c r="D1554" s="12" t="n"/>
      <c r="E1554" s="13" t="n"/>
      <c r="F1554" s="20">
        <f>IF($E1554="","",IF($C1554="دستمزد گروهی",IFERROR(VLOOKUP($E1554,WGTbl,2,0),"کد ناشناخته"),IFERROR(IF(VLOOKUP($E1554,AcctTblE,4,0)="","(بدون نام)",VLOOKUP($E1554,AcctTblE,4,0)),"کد ناشناخته")))</f>
        <v/>
      </c>
      <c r="G1554" s="15" t="n"/>
      <c r="H1554" s="21">
        <f>IF(OR($C1554&lt;&gt;"دستمزد گروهی",$D1554=""),"",SUMIFS(ShareAmt,ShareLink,$D1554))</f>
        <v/>
      </c>
      <c r="I1554" s="22">
        <f>IF($C1554&lt;&gt;"دستمزد گروهی","—",IF($H1554="","",IF(ROUND($H1554-IF($G1554="",0,$G1554),0)=0,"√","▲ مغایرت "&amp;TEXT(IF($G1554="",0,$G1554)-$H1554,"#,##0"))))</f>
        <v/>
      </c>
      <c r="J1554" s="18" t="n"/>
    </row>
    <row r="1555">
      <c r="A1555" s="10">
        <f>IF($B1555="","",COUNTA($B$9:$B1555))</f>
        <v/>
      </c>
      <c r="B1555" s="11" t="n"/>
      <c r="C1555" s="12" t="n"/>
      <c r="D1555" s="12" t="n"/>
      <c r="E1555" s="13" t="n"/>
      <c r="F1555" s="14">
        <f>IF($E1555="","",IF($C1555="دستمزد گروهی",IFERROR(VLOOKUP($E1555,WGTbl,2,0),"کد ناشناخته"),IFERROR(IF(VLOOKUP($E1555,AcctTblE,4,0)="","(بدون نام)",VLOOKUP($E1555,AcctTblE,4,0)),"کد ناشناخته")))</f>
        <v/>
      </c>
      <c r="G1555" s="15" t="n"/>
      <c r="H1555" s="16">
        <f>IF(OR($C1555&lt;&gt;"دستمزد گروهی",$D1555=""),"",SUMIFS(ShareAmt,ShareLink,$D1555))</f>
        <v/>
      </c>
      <c r="I1555" s="17">
        <f>IF($C1555&lt;&gt;"دستمزد گروهی","—",IF($H1555="","",IF(ROUND($H1555-IF($G1555="",0,$G1555),0)=0,"√","▲ مغایرت "&amp;TEXT(IF($G1555="",0,$G1555)-$H1555,"#,##0"))))</f>
        <v/>
      </c>
      <c r="J1555" s="18" t="n"/>
    </row>
    <row r="1556">
      <c r="A1556" s="19">
        <f>IF($B1556="","",COUNTA($B$9:$B1556))</f>
        <v/>
      </c>
      <c r="B1556" s="11" t="n"/>
      <c r="C1556" s="12" t="n"/>
      <c r="D1556" s="12" t="n"/>
      <c r="E1556" s="13" t="n"/>
      <c r="F1556" s="20">
        <f>IF($E1556="","",IF($C1556="دستمزد گروهی",IFERROR(VLOOKUP($E1556,WGTbl,2,0),"کد ناشناخته"),IFERROR(IF(VLOOKUP($E1556,AcctTblE,4,0)="","(بدون نام)",VLOOKUP($E1556,AcctTblE,4,0)),"کد ناشناخته")))</f>
        <v/>
      </c>
      <c r="G1556" s="15" t="n"/>
      <c r="H1556" s="21">
        <f>IF(OR($C1556&lt;&gt;"دستمزد گروهی",$D1556=""),"",SUMIFS(ShareAmt,ShareLink,$D1556))</f>
        <v/>
      </c>
      <c r="I1556" s="22">
        <f>IF($C1556&lt;&gt;"دستمزد گروهی","—",IF($H1556="","",IF(ROUND($H1556-IF($G1556="",0,$G1556),0)=0,"√","▲ مغایرت "&amp;TEXT(IF($G1556="",0,$G1556)-$H1556,"#,##0"))))</f>
        <v/>
      </c>
      <c r="J1556" s="18" t="n"/>
    </row>
    <row r="1557">
      <c r="A1557" s="10">
        <f>IF($B1557="","",COUNTA($B$9:$B1557))</f>
        <v/>
      </c>
      <c r="B1557" s="11" t="n"/>
      <c r="C1557" s="12" t="n"/>
      <c r="D1557" s="12" t="n"/>
      <c r="E1557" s="13" t="n"/>
      <c r="F1557" s="14">
        <f>IF($E1557="","",IF($C1557="دستمزد گروهی",IFERROR(VLOOKUP($E1557,WGTbl,2,0),"کد ناشناخته"),IFERROR(IF(VLOOKUP($E1557,AcctTblE,4,0)="","(بدون نام)",VLOOKUP($E1557,AcctTblE,4,0)),"کد ناشناخته")))</f>
        <v/>
      </c>
      <c r="G1557" s="15" t="n"/>
      <c r="H1557" s="16">
        <f>IF(OR($C1557&lt;&gt;"دستمزد گروهی",$D1557=""),"",SUMIFS(ShareAmt,ShareLink,$D1557))</f>
        <v/>
      </c>
      <c r="I1557" s="17">
        <f>IF($C1557&lt;&gt;"دستمزد گروهی","—",IF($H1557="","",IF(ROUND($H1557-IF($G1557="",0,$G1557),0)=0,"√","▲ مغایرت "&amp;TEXT(IF($G1557="",0,$G1557)-$H1557,"#,##0"))))</f>
        <v/>
      </c>
      <c r="J1557" s="18" t="n"/>
    </row>
    <row r="1558">
      <c r="A1558" s="19">
        <f>IF($B1558="","",COUNTA($B$9:$B1558))</f>
        <v/>
      </c>
      <c r="B1558" s="11" t="n"/>
      <c r="C1558" s="12" t="n"/>
      <c r="D1558" s="12" t="n"/>
      <c r="E1558" s="13" t="n"/>
      <c r="F1558" s="20">
        <f>IF($E1558="","",IF($C1558="دستمزد گروهی",IFERROR(VLOOKUP($E1558,WGTbl,2,0),"کد ناشناخته"),IFERROR(IF(VLOOKUP($E1558,AcctTblE,4,0)="","(بدون نام)",VLOOKUP($E1558,AcctTblE,4,0)),"کد ناشناخته")))</f>
        <v/>
      </c>
      <c r="G1558" s="15" t="n"/>
      <c r="H1558" s="21">
        <f>IF(OR($C1558&lt;&gt;"دستمزد گروهی",$D1558=""),"",SUMIFS(ShareAmt,ShareLink,$D1558))</f>
        <v/>
      </c>
      <c r="I1558" s="22">
        <f>IF($C1558&lt;&gt;"دستمزد گروهی","—",IF($H1558="","",IF(ROUND($H1558-IF($G1558="",0,$G1558),0)=0,"√","▲ مغایرت "&amp;TEXT(IF($G1558="",0,$G1558)-$H1558,"#,##0"))))</f>
        <v/>
      </c>
      <c r="J1558" s="18" t="n"/>
    </row>
    <row r="1559">
      <c r="A1559" s="10">
        <f>IF($B1559="","",COUNTA($B$9:$B1559))</f>
        <v/>
      </c>
      <c r="B1559" s="11" t="n"/>
      <c r="C1559" s="12" t="n"/>
      <c r="D1559" s="12" t="n"/>
      <c r="E1559" s="13" t="n"/>
      <c r="F1559" s="14">
        <f>IF($E1559="","",IF($C1559="دستمزد گروهی",IFERROR(VLOOKUP($E1559,WGTbl,2,0),"کد ناشناخته"),IFERROR(IF(VLOOKUP($E1559,AcctTblE,4,0)="","(بدون نام)",VLOOKUP($E1559,AcctTblE,4,0)),"کد ناشناخته")))</f>
        <v/>
      </c>
      <c r="G1559" s="15" t="n"/>
      <c r="H1559" s="16">
        <f>IF(OR($C1559&lt;&gt;"دستمزد گروهی",$D1559=""),"",SUMIFS(ShareAmt,ShareLink,$D1559))</f>
        <v/>
      </c>
      <c r="I1559" s="17">
        <f>IF($C1559&lt;&gt;"دستمزد گروهی","—",IF($H1559="","",IF(ROUND($H1559-IF($G1559="",0,$G1559),0)=0,"√","▲ مغایرت "&amp;TEXT(IF($G1559="",0,$G1559)-$H1559,"#,##0"))))</f>
        <v/>
      </c>
      <c r="J1559" s="18" t="n"/>
    </row>
    <row r="1560">
      <c r="A1560" s="19">
        <f>IF($B1560="","",COUNTA($B$9:$B1560))</f>
        <v/>
      </c>
      <c r="B1560" s="11" t="n"/>
      <c r="C1560" s="12" t="n"/>
      <c r="D1560" s="12" t="n"/>
      <c r="E1560" s="13" t="n"/>
      <c r="F1560" s="20">
        <f>IF($E1560="","",IF($C1560="دستمزد گروهی",IFERROR(VLOOKUP($E1560,WGTbl,2,0),"کد ناشناخته"),IFERROR(IF(VLOOKUP($E1560,AcctTblE,4,0)="","(بدون نام)",VLOOKUP($E1560,AcctTblE,4,0)),"کد ناشناخته")))</f>
        <v/>
      </c>
      <c r="G1560" s="15" t="n"/>
      <c r="H1560" s="21">
        <f>IF(OR($C1560&lt;&gt;"دستمزد گروهی",$D1560=""),"",SUMIFS(ShareAmt,ShareLink,$D1560))</f>
        <v/>
      </c>
      <c r="I1560" s="22">
        <f>IF($C1560&lt;&gt;"دستمزد گروهی","—",IF($H1560="","",IF(ROUND($H1560-IF($G1560="",0,$G1560),0)=0,"√","▲ مغایرت "&amp;TEXT(IF($G1560="",0,$G1560)-$H1560,"#,##0"))))</f>
        <v/>
      </c>
      <c r="J1560" s="18" t="n"/>
    </row>
    <row r="1561">
      <c r="A1561" s="10">
        <f>IF($B1561="","",COUNTA($B$9:$B1561))</f>
        <v/>
      </c>
      <c r="B1561" s="11" t="n"/>
      <c r="C1561" s="12" t="n"/>
      <c r="D1561" s="12" t="n"/>
      <c r="E1561" s="13" t="n"/>
      <c r="F1561" s="14">
        <f>IF($E1561="","",IF($C1561="دستمزد گروهی",IFERROR(VLOOKUP($E1561,WGTbl,2,0),"کد ناشناخته"),IFERROR(IF(VLOOKUP($E1561,AcctTblE,4,0)="","(بدون نام)",VLOOKUP($E1561,AcctTblE,4,0)),"کد ناشناخته")))</f>
        <v/>
      </c>
      <c r="G1561" s="15" t="n"/>
      <c r="H1561" s="16">
        <f>IF(OR($C1561&lt;&gt;"دستمزد گروهی",$D1561=""),"",SUMIFS(ShareAmt,ShareLink,$D1561))</f>
        <v/>
      </c>
      <c r="I1561" s="17">
        <f>IF($C1561&lt;&gt;"دستمزد گروهی","—",IF($H1561="","",IF(ROUND($H1561-IF($G1561="",0,$G1561),0)=0,"√","▲ مغایرت "&amp;TEXT(IF($G1561="",0,$G1561)-$H1561,"#,##0"))))</f>
        <v/>
      </c>
      <c r="J1561" s="18" t="n"/>
    </row>
    <row r="1562">
      <c r="A1562" s="19">
        <f>IF($B1562="","",COUNTA($B$9:$B1562))</f>
        <v/>
      </c>
      <c r="B1562" s="11" t="n"/>
      <c r="C1562" s="12" t="n"/>
      <c r="D1562" s="12" t="n"/>
      <c r="E1562" s="13" t="n"/>
      <c r="F1562" s="20">
        <f>IF($E1562="","",IF($C1562="دستمزد گروهی",IFERROR(VLOOKUP($E1562,WGTbl,2,0),"کد ناشناخته"),IFERROR(IF(VLOOKUP($E1562,AcctTblE,4,0)="","(بدون نام)",VLOOKUP($E1562,AcctTblE,4,0)),"کد ناشناخته")))</f>
        <v/>
      </c>
      <c r="G1562" s="15" t="n"/>
      <c r="H1562" s="21">
        <f>IF(OR($C1562&lt;&gt;"دستمزد گروهی",$D1562=""),"",SUMIFS(ShareAmt,ShareLink,$D1562))</f>
        <v/>
      </c>
      <c r="I1562" s="22">
        <f>IF($C1562&lt;&gt;"دستمزد گروهی","—",IF($H1562="","",IF(ROUND($H1562-IF($G1562="",0,$G1562),0)=0,"√","▲ مغایرت "&amp;TEXT(IF($G1562="",0,$G1562)-$H1562,"#,##0"))))</f>
        <v/>
      </c>
      <c r="J1562" s="18" t="n"/>
    </row>
    <row r="1563">
      <c r="A1563" s="10">
        <f>IF($B1563="","",COUNTA($B$9:$B1563))</f>
        <v/>
      </c>
      <c r="B1563" s="11" t="n"/>
      <c r="C1563" s="12" t="n"/>
      <c r="D1563" s="12" t="n"/>
      <c r="E1563" s="13" t="n"/>
      <c r="F1563" s="14">
        <f>IF($E1563="","",IF($C1563="دستمزد گروهی",IFERROR(VLOOKUP($E1563,WGTbl,2,0),"کد ناشناخته"),IFERROR(IF(VLOOKUP($E1563,AcctTblE,4,0)="","(بدون نام)",VLOOKUP($E1563,AcctTblE,4,0)),"کد ناشناخته")))</f>
        <v/>
      </c>
      <c r="G1563" s="15" t="n"/>
      <c r="H1563" s="16">
        <f>IF(OR($C1563&lt;&gt;"دستمزد گروهی",$D1563=""),"",SUMIFS(ShareAmt,ShareLink,$D1563))</f>
        <v/>
      </c>
      <c r="I1563" s="17">
        <f>IF($C1563&lt;&gt;"دستمزد گروهی","—",IF($H1563="","",IF(ROUND($H1563-IF($G1563="",0,$G1563),0)=0,"√","▲ مغایرت "&amp;TEXT(IF($G1563="",0,$G1563)-$H1563,"#,##0"))))</f>
        <v/>
      </c>
      <c r="J1563" s="18" t="n"/>
    </row>
    <row r="1564">
      <c r="A1564" s="19">
        <f>IF($B1564="","",COUNTA($B$9:$B1564))</f>
        <v/>
      </c>
      <c r="B1564" s="11" t="n"/>
      <c r="C1564" s="12" t="n"/>
      <c r="D1564" s="12" t="n"/>
      <c r="E1564" s="13" t="n"/>
      <c r="F1564" s="20">
        <f>IF($E1564="","",IF($C1564="دستمزد گروهی",IFERROR(VLOOKUP($E1564,WGTbl,2,0),"کد ناشناخته"),IFERROR(IF(VLOOKUP($E1564,AcctTblE,4,0)="","(بدون نام)",VLOOKUP($E1564,AcctTblE,4,0)),"کد ناشناخته")))</f>
        <v/>
      </c>
      <c r="G1564" s="15" t="n"/>
      <c r="H1564" s="21">
        <f>IF(OR($C1564&lt;&gt;"دستمزد گروهی",$D1564=""),"",SUMIFS(ShareAmt,ShareLink,$D1564))</f>
        <v/>
      </c>
      <c r="I1564" s="22">
        <f>IF($C1564&lt;&gt;"دستمزد گروهی","—",IF($H1564="","",IF(ROUND($H1564-IF($G1564="",0,$G1564),0)=0,"√","▲ مغایرت "&amp;TEXT(IF($G1564="",0,$G1564)-$H1564,"#,##0"))))</f>
        <v/>
      </c>
      <c r="J1564" s="18" t="n"/>
    </row>
    <row r="1565">
      <c r="A1565" s="10">
        <f>IF($B1565="","",COUNTA($B$9:$B1565))</f>
        <v/>
      </c>
      <c r="B1565" s="11" t="n"/>
      <c r="C1565" s="12" t="n"/>
      <c r="D1565" s="12" t="n"/>
      <c r="E1565" s="13" t="n"/>
      <c r="F1565" s="14">
        <f>IF($E1565="","",IF($C1565="دستمزد گروهی",IFERROR(VLOOKUP($E1565,WGTbl,2,0),"کد ناشناخته"),IFERROR(IF(VLOOKUP($E1565,AcctTblE,4,0)="","(بدون نام)",VLOOKUP($E1565,AcctTblE,4,0)),"کد ناشناخته")))</f>
        <v/>
      </c>
      <c r="G1565" s="15" t="n"/>
      <c r="H1565" s="16">
        <f>IF(OR($C1565&lt;&gt;"دستمزد گروهی",$D1565=""),"",SUMIFS(ShareAmt,ShareLink,$D1565))</f>
        <v/>
      </c>
      <c r="I1565" s="17">
        <f>IF($C1565&lt;&gt;"دستمزد گروهی","—",IF($H1565="","",IF(ROUND($H1565-IF($G1565="",0,$G1565),0)=0,"√","▲ مغایرت "&amp;TEXT(IF($G1565="",0,$G1565)-$H1565,"#,##0"))))</f>
        <v/>
      </c>
      <c r="J1565" s="18" t="n"/>
    </row>
    <row r="1566">
      <c r="A1566" s="19">
        <f>IF($B1566="","",COUNTA($B$9:$B1566))</f>
        <v/>
      </c>
      <c r="B1566" s="11" t="n"/>
      <c r="C1566" s="12" t="n"/>
      <c r="D1566" s="12" t="n"/>
      <c r="E1566" s="13" t="n"/>
      <c r="F1566" s="20">
        <f>IF($E1566="","",IF($C1566="دستمزد گروهی",IFERROR(VLOOKUP($E1566,WGTbl,2,0),"کد ناشناخته"),IFERROR(IF(VLOOKUP($E1566,AcctTblE,4,0)="","(بدون نام)",VLOOKUP($E1566,AcctTblE,4,0)),"کد ناشناخته")))</f>
        <v/>
      </c>
      <c r="G1566" s="15" t="n"/>
      <c r="H1566" s="21">
        <f>IF(OR($C1566&lt;&gt;"دستمزد گروهی",$D1566=""),"",SUMIFS(ShareAmt,ShareLink,$D1566))</f>
        <v/>
      </c>
      <c r="I1566" s="22">
        <f>IF($C1566&lt;&gt;"دستمزد گروهی","—",IF($H1566="","",IF(ROUND($H1566-IF($G1566="",0,$G1566),0)=0,"√","▲ مغایرت "&amp;TEXT(IF($G1566="",0,$G1566)-$H1566,"#,##0"))))</f>
        <v/>
      </c>
      <c r="J1566" s="18" t="n"/>
    </row>
    <row r="1567">
      <c r="A1567" s="10">
        <f>IF($B1567="","",COUNTA($B$9:$B1567))</f>
        <v/>
      </c>
      <c r="B1567" s="11" t="n"/>
      <c r="C1567" s="12" t="n"/>
      <c r="D1567" s="12" t="n"/>
      <c r="E1567" s="13" t="n"/>
      <c r="F1567" s="14">
        <f>IF($E1567="","",IF($C1567="دستمزد گروهی",IFERROR(VLOOKUP($E1567,WGTbl,2,0),"کد ناشناخته"),IFERROR(IF(VLOOKUP($E1567,AcctTblE,4,0)="","(بدون نام)",VLOOKUP($E1567,AcctTblE,4,0)),"کد ناشناخته")))</f>
        <v/>
      </c>
      <c r="G1567" s="15" t="n"/>
      <c r="H1567" s="16">
        <f>IF(OR($C1567&lt;&gt;"دستمزد گروهی",$D1567=""),"",SUMIFS(ShareAmt,ShareLink,$D1567))</f>
        <v/>
      </c>
      <c r="I1567" s="17">
        <f>IF($C1567&lt;&gt;"دستمزد گروهی","—",IF($H1567="","",IF(ROUND($H1567-IF($G1567="",0,$G1567),0)=0,"√","▲ مغایرت "&amp;TEXT(IF($G1567="",0,$G1567)-$H1567,"#,##0"))))</f>
        <v/>
      </c>
      <c r="J1567" s="18" t="n"/>
    </row>
    <row r="1568">
      <c r="A1568" s="19">
        <f>IF($B1568="","",COUNTA($B$9:$B1568))</f>
        <v/>
      </c>
      <c r="B1568" s="11" t="n"/>
      <c r="C1568" s="12" t="n"/>
      <c r="D1568" s="12" t="n"/>
      <c r="E1568" s="13" t="n"/>
      <c r="F1568" s="20">
        <f>IF($E1568="","",IF($C1568="دستمزد گروهی",IFERROR(VLOOKUP($E1568,WGTbl,2,0),"کد ناشناخته"),IFERROR(IF(VLOOKUP($E1568,AcctTblE,4,0)="","(بدون نام)",VLOOKUP($E1568,AcctTblE,4,0)),"کد ناشناخته")))</f>
        <v/>
      </c>
      <c r="G1568" s="15" t="n"/>
      <c r="H1568" s="21">
        <f>IF(OR($C1568&lt;&gt;"دستمزد گروهی",$D1568=""),"",SUMIFS(ShareAmt,ShareLink,$D1568))</f>
        <v/>
      </c>
      <c r="I1568" s="22">
        <f>IF($C1568&lt;&gt;"دستمزد گروهی","—",IF($H1568="","",IF(ROUND($H1568-IF($G1568="",0,$G1568),0)=0,"√","▲ مغایرت "&amp;TEXT(IF($G1568="",0,$G1568)-$H1568,"#,##0"))))</f>
        <v/>
      </c>
      <c r="J1568" s="18" t="n"/>
    </row>
    <row r="1569">
      <c r="A1569" s="10">
        <f>IF($B1569="","",COUNTA($B$9:$B1569))</f>
        <v/>
      </c>
      <c r="B1569" s="11" t="n"/>
      <c r="C1569" s="12" t="n"/>
      <c r="D1569" s="12" t="n"/>
      <c r="E1569" s="13" t="n"/>
      <c r="F1569" s="14">
        <f>IF($E1569="","",IF($C1569="دستمزد گروهی",IFERROR(VLOOKUP($E1569,WGTbl,2,0),"کد ناشناخته"),IFERROR(IF(VLOOKUP($E1569,AcctTblE,4,0)="","(بدون نام)",VLOOKUP($E1569,AcctTblE,4,0)),"کد ناشناخته")))</f>
        <v/>
      </c>
      <c r="G1569" s="15" t="n"/>
      <c r="H1569" s="16">
        <f>IF(OR($C1569&lt;&gt;"دستمزد گروهی",$D1569=""),"",SUMIFS(ShareAmt,ShareLink,$D1569))</f>
        <v/>
      </c>
      <c r="I1569" s="17">
        <f>IF($C1569&lt;&gt;"دستمزد گروهی","—",IF($H1569="","",IF(ROUND($H1569-IF($G1569="",0,$G1569),0)=0,"√","▲ مغایرت "&amp;TEXT(IF($G1569="",0,$G1569)-$H1569,"#,##0"))))</f>
        <v/>
      </c>
      <c r="J1569" s="18" t="n"/>
    </row>
    <row r="1570">
      <c r="A1570" s="19">
        <f>IF($B1570="","",COUNTA($B$9:$B1570))</f>
        <v/>
      </c>
      <c r="B1570" s="11" t="n"/>
      <c r="C1570" s="12" t="n"/>
      <c r="D1570" s="12" t="n"/>
      <c r="E1570" s="13" t="n"/>
      <c r="F1570" s="20">
        <f>IF($E1570="","",IF($C1570="دستمزد گروهی",IFERROR(VLOOKUP($E1570,WGTbl,2,0),"کد ناشناخته"),IFERROR(IF(VLOOKUP($E1570,AcctTblE,4,0)="","(بدون نام)",VLOOKUP($E1570,AcctTblE,4,0)),"کد ناشناخته")))</f>
        <v/>
      </c>
      <c r="G1570" s="15" t="n"/>
      <c r="H1570" s="21">
        <f>IF(OR($C1570&lt;&gt;"دستمزد گروهی",$D1570=""),"",SUMIFS(ShareAmt,ShareLink,$D1570))</f>
        <v/>
      </c>
      <c r="I1570" s="22">
        <f>IF($C1570&lt;&gt;"دستمزد گروهی","—",IF($H1570="","",IF(ROUND($H1570-IF($G1570="",0,$G1570),0)=0,"√","▲ مغایرت "&amp;TEXT(IF($G1570="",0,$G1570)-$H1570,"#,##0"))))</f>
        <v/>
      </c>
      <c r="J1570" s="18" t="n"/>
    </row>
    <row r="1571">
      <c r="A1571" s="10">
        <f>IF($B1571="","",COUNTA($B$9:$B1571))</f>
        <v/>
      </c>
      <c r="B1571" s="11" t="n"/>
      <c r="C1571" s="12" t="n"/>
      <c r="D1571" s="12" t="n"/>
      <c r="E1571" s="13" t="n"/>
      <c r="F1571" s="14">
        <f>IF($E1571="","",IF($C1571="دستمزد گروهی",IFERROR(VLOOKUP($E1571,WGTbl,2,0),"کد ناشناخته"),IFERROR(IF(VLOOKUP($E1571,AcctTblE,4,0)="","(بدون نام)",VLOOKUP($E1571,AcctTblE,4,0)),"کد ناشناخته")))</f>
        <v/>
      </c>
      <c r="G1571" s="15" t="n"/>
      <c r="H1571" s="16">
        <f>IF(OR($C1571&lt;&gt;"دستمزد گروهی",$D1571=""),"",SUMIFS(ShareAmt,ShareLink,$D1571))</f>
        <v/>
      </c>
      <c r="I1571" s="17">
        <f>IF($C1571&lt;&gt;"دستمزد گروهی","—",IF($H1571="","",IF(ROUND($H1571-IF($G1571="",0,$G1571),0)=0,"√","▲ مغایرت "&amp;TEXT(IF($G1571="",0,$G1571)-$H1571,"#,##0"))))</f>
        <v/>
      </c>
      <c r="J1571" s="18" t="n"/>
    </row>
    <row r="1572">
      <c r="A1572" s="19">
        <f>IF($B1572="","",COUNTA($B$9:$B1572))</f>
        <v/>
      </c>
      <c r="B1572" s="11" t="n"/>
      <c r="C1572" s="12" t="n"/>
      <c r="D1572" s="12" t="n"/>
      <c r="E1572" s="13" t="n"/>
      <c r="F1572" s="20">
        <f>IF($E1572="","",IF($C1572="دستمزد گروهی",IFERROR(VLOOKUP($E1572,WGTbl,2,0),"کد ناشناخته"),IFERROR(IF(VLOOKUP($E1572,AcctTblE,4,0)="","(بدون نام)",VLOOKUP($E1572,AcctTblE,4,0)),"کد ناشناخته")))</f>
        <v/>
      </c>
      <c r="G1572" s="15" t="n"/>
      <c r="H1572" s="21">
        <f>IF(OR($C1572&lt;&gt;"دستمزد گروهی",$D1572=""),"",SUMIFS(ShareAmt,ShareLink,$D1572))</f>
        <v/>
      </c>
      <c r="I1572" s="22">
        <f>IF($C1572&lt;&gt;"دستمزد گروهی","—",IF($H1572="","",IF(ROUND($H1572-IF($G1572="",0,$G1572),0)=0,"√","▲ مغایرت "&amp;TEXT(IF($G1572="",0,$G1572)-$H1572,"#,##0"))))</f>
        <v/>
      </c>
      <c r="J1572" s="18" t="n"/>
    </row>
    <row r="1573">
      <c r="A1573" s="10">
        <f>IF($B1573="","",COUNTA($B$9:$B1573))</f>
        <v/>
      </c>
      <c r="B1573" s="11" t="n"/>
      <c r="C1573" s="12" t="n"/>
      <c r="D1573" s="12" t="n"/>
      <c r="E1573" s="13" t="n"/>
      <c r="F1573" s="14">
        <f>IF($E1573="","",IF($C1573="دستمزد گروهی",IFERROR(VLOOKUP($E1573,WGTbl,2,0),"کد ناشناخته"),IFERROR(IF(VLOOKUP($E1573,AcctTblE,4,0)="","(بدون نام)",VLOOKUP($E1573,AcctTblE,4,0)),"کد ناشناخته")))</f>
        <v/>
      </c>
      <c r="G1573" s="15" t="n"/>
      <c r="H1573" s="16">
        <f>IF(OR($C1573&lt;&gt;"دستمزد گروهی",$D1573=""),"",SUMIFS(ShareAmt,ShareLink,$D1573))</f>
        <v/>
      </c>
      <c r="I1573" s="17">
        <f>IF($C1573&lt;&gt;"دستمزد گروهی","—",IF($H1573="","",IF(ROUND($H1573-IF($G1573="",0,$G1573),0)=0,"√","▲ مغایرت "&amp;TEXT(IF($G1573="",0,$G1573)-$H1573,"#,##0"))))</f>
        <v/>
      </c>
      <c r="J1573" s="18" t="n"/>
    </row>
    <row r="1574">
      <c r="A1574" s="19">
        <f>IF($B1574="","",COUNTA($B$9:$B1574))</f>
        <v/>
      </c>
      <c r="B1574" s="11" t="n"/>
      <c r="C1574" s="12" t="n"/>
      <c r="D1574" s="12" t="n"/>
      <c r="E1574" s="13" t="n"/>
      <c r="F1574" s="20">
        <f>IF($E1574="","",IF($C1574="دستمزد گروهی",IFERROR(VLOOKUP($E1574,WGTbl,2,0),"کد ناشناخته"),IFERROR(IF(VLOOKUP($E1574,AcctTblE,4,0)="","(بدون نام)",VLOOKUP($E1574,AcctTblE,4,0)),"کد ناشناخته")))</f>
        <v/>
      </c>
      <c r="G1574" s="15" t="n"/>
      <c r="H1574" s="21">
        <f>IF(OR($C1574&lt;&gt;"دستمزد گروهی",$D1574=""),"",SUMIFS(ShareAmt,ShareLink,$D1574))</f>
        <v/>
      </c>
      <c r="I1574" s="22">
        <f>IF($C1574&lt;&gt;"دستمزد گروهی","—",IF($H1574="","",IF(ROUND($H1574-IF($G1574="",0,$G1574),0)=0,"√","▲ مغایرت "&amp;TEXT(IF($G1574="",0,$G1574)-$H1574,"#,##0"))))</f>
        <v/>
      </c>
      <c r="J1574" s="18" t="n"/>
    </row>
    <row r="1575">
      <c r="A1575" s="10">
        <f>IF($B1575="","",COUNTA($B$9:$B1575))</f>
        <v/>
      </c>
      <c r="B1575" s="11" t="n"/>
      <c r="C1575" s="12" t="n"/>
      <c r="D1575" s="12" t="n"/>
      <c r="E1575" s="13" t="n"/>
      <c r="F1575" s="14">
        <f>IF($E1575="","",IF($C1575="دستمزد گروهی",IFERROR(VLOOKUP($E1575,WGTbl,2,0),"کد ناشناخته"),IFERROR(IF(VLOOKUP($E1575,AcctTblE,4,0)="","(بدون نام)",VLOOKUP($E1575,AcctTblE,4,0)),"کد ناشناخته")))</f>
        <v/>
      </c>
      <c r="G1575" s="15" t="n"/>
      <c r="H1575" s="16">
        <f>IF(OR($C1575&lt;&gt;"دستمزد گروهی",$D1575=""),"",SUMIFS(ShareAmt,ShareLink,$D1575))</f>
        <v/>
      </c>
      <c r="I1575" s="17">
        <f>IF($C1575&lt;&gt;"دستمزد گروهی","—",IF($H1575="","",IF(ROUND($H1575-IF($G1575="",0,$G1575),0)=0,"√","▲ مغایرت "&amp;TEXT(IF($G1575="",0,$G1575)-$H1575,"#,##0"))))</f>
        <v/>
      </c>
      <c r="J1575" s="18" t="n"/>
    </row>
    <row r="1576">
      <c r="A1576" s="19">
        <f>IF($B1576="","",COUNTA($B$9:$B1576))</f>
        <v/>
      </c>
      <c r="B1576" s="11" t="n"/>
      <c r="C1576" s="12" t="n"/>
      <c r="D1576" s="12" t="n"/>
      <c r="E1576" s="13" t="n"/>
      <c r="F1576" s="20">
        <f>IF($E1576="","",IF($C1576="دستمزد گروهی",IFERROR(VLOOKUP($E1576,WGTbl,2,0),"کد ناشناخته"),IFERROR(IF(VLOOKUP($E1576,AcctTblE,4,0)="","(بدون نام)",VLOOKUP($E1576,AcctTblE,4,0)),"کد ناشناخته")))</f>
        <v/>
      </c>
      <c r="G1576" s="15" t="n"/>
      <c r="H1576" s="21">
        <f>IF(OR($C1576&lt;&gt;"دستمزد گروهی",$D1576=""),"",SUMIFS(ShareAmt,ShareLink,$D1576))</f>
        <v/>
      </c>
      <c r="I1576" s="22">
        <f>IF($C1576&lt;&gt;"دستمزد گروهی","—",IF($H1576="","",IF(ROUND($H1576-IF($G1576="",0,$G1576),0)=0,"√","▲ مغایرت "&amp;TEXT(IF($G1576="",0,$G1576)-$H1576,"#,##0"))))</f>
        <v/>
      </c>
      <c r="J1576" s="18" t="n"/>
    </row>
    <row r="1577">
      <c r="A1577" s="10">
        <f>IF($B1577="","",COUNTA($B$9:$B1577))</f>
        <v/>
      </c>
      <c r="B1577" s="11" t="n"/>
      <c r="C1577" s="12" t="n"/>
      <c r="D1577" s="12" t="n"/>
      <c r="E1577" s="13" t="n"/>
      <c r="F1577" s="14">
        <f>IF($E1577="","",IF($C1577="دستمزد گروهی",IFERROR(VLOOKUP($E1577,WGTbl,2,0),"کد ناشناخته"),IFERROR(IF(VLOOKUP($E1577,AcctTblE,4,0)="","(بدون نام)",VLOOKUP($E1577,AcctTblE,4,0)),"کد ناشناخته")))</f>
        <v/>
      </c>
      <c r="G1577" s="15" t="n"/>
      <c r="H1577" s="16">
        <f>IF(OR($C1577&lt;&gt;"دستمزد گروهی",$D1577=""),"",SUMIFS(ShareAmt,ShareLink,$D1577))</f>
        <v/>
      </c>
      <c r="I1577" s="17">
        <f>IF($C1577&lt;&gt;"دستمزد گروهی","—",IF($H1577="","",IF(ROUND($H1577-IF($G1577="",0,$G1577),0)=0,"√","▲ مغایرت "&amp;TEXT(IF($G1577="",0,$G1577)-$H1577,"#,##0"))))</f>
        <v/>
      </c>
      <c r="J1577" s="18" t="n"/>
    </row>
    <row r="1578">
      <c r="A1578" s="19">
        <f>IF($B1578="","",COUNTA($B$9:$B1578))</f>
        <v/>
      </c>
      <c r="B1578" s="11" t="n"/>
      <c r="C1578" s="12" t="n"/>
      <c r="D1578" s="12" t="n"/>
      <c r="E1578" s="13" t="n"/>
      <c r="F1578" s="20">
        <f>IF($E1578="","",IF($C1578="دستمزد گروهی",IFERROR(VLOOKUP($E1578,WGTbl,2,0),"کد ناشناخته"),IFERROR(IF(VLOOKUP($E1578,AcctTblE,4,0)="","(بدون نام)",VLOOKUP($E1578,AcctTblE,4,0)),"کد ناشناخته")))</f>
        <v/>
      </c>
      <c r="G1578" s="15" t="n"/>
      <c r="H1578" s="21">
        <f>IF(OR($C1578&lt;&gt;"دستمزد گروهی",$D1578=""),"",SUMIFS(ShareAmt,ShareLink,$D1578))</f>
        <v/>
      </c>
      <c r="I1578" s="22">
        <f>IF($C1578&lt;&gt;"دستمزد گروهی","—",IF($H1578="","",IF(ROUND($H1578-IF($G1578="",0,$G1578),0)=0,"√","▲ مغایرت "&amp;TEXT(IF($G1578="",0,$G1578)-$H1578,"#,##0"))))</f>
        <v/>
      </c>
      <c r="J1578" s="18" t="n"/>
    </row>
    <row r="1579">
      <c r="A1579" s="10">
        <f>IF($B1579="","",COUNTA($B$9:$B1579))</f>
        <v/>
      </c>
      <c r="B1579" s="11" t="n"/>
      <c r="C1579" s="12" t="n"/>
      <c r="D1579" s="12" t="n"/>
      <c r="E1579" s="13" t="n"/>
      <c r="F1579" s="14">
        <f>IF($E1579="","",IF($C1579="دستمزد گروهی",IFERROR(VLOOKUP($E1579,WGTbl,2,0),"کد ناشناخته"),IFERROR(IF(VLOOKUP($E1579,AcctTblE,4,0)="","(بدون نام)",VLOOKUP($E1579,AcctTblE,4,0)),"کد ناشناخته")))</f>
        <v/>
      </c>
      <c r="G1579" s="15" t="n"/>
      <c r="H1579" s="16">
        <f>IF(OR($C1579&lt;&gt;"دستمزد گروهی",$D1579=""),"",SUMIFS(ShareAmt,ShareLink,$D1579))</f>
        <v/>
      </c>
      <c r="I1579" s="17">
        <f>IF($C1579&lt;&gt;"دستمزد گروهی","—",IF($H1579="","",IF(ROUND($H1579-IF($G1579="",0,$G1579),0)=0,"√","▲ مغایرت "&amp;TEXT(IF($G1579="",0,$G1579)-$H1579,"#,##0"))))</f>
        <v/>
      </c>
      <c r="J1579" s="18" t="n"/>
    </row>
    <row r="1580">
      <c r="A1580" s="19">
        <f>IF($B1580="","",COUNTA($B$9:$B1580))</f>
        <v/>
      </c>
      <c r="B1580" s="11" t="n"/>
      <c r="C1580" s="12" t="n"/>
      <c r="D1580" s="12" t="n"/>
      <c r="E1580" s="13" t="n"/>
      <c r="F1580" s="20">
        <f>IF($E1580="","",IF($C1580="دستمزد گروهی",IFERROR(VLOOKUP($E1580,WGTbl,2,0),"کد ناشناخته"),IFERROR(IF(VLOOKUP($E1580,AcctTblE,4,0)="","(بدون نام)",VLOOKUP($E1580,AcctTblE,4,0)),"کد ناشناخته")))</f>
        <v/>
      </c>
      <c r="G1580" s="15" t="n"/>
      <c r="H1580" s="21">
        <f>IF(OR($C1580&lt;&gt;"دستمزد گروهی",$D1580=""),"",SUMIFS(ShareAmt,ShareLink,$D1580))</f>
        <v/>
      </c>
      <c r="I1580" s="22">
        <f>IF($C1580&lt;&gt;"دستمزد گروهی","—",IF($H1580="","",IF(ROUND($H1580-IF($G1580="",0,$G1580),0)=0,"√","▲ مغایرت "&amp;TEXT(IF($G1580="",0,$G1580)-$H1580,"#,##0"))))</f>
        <v/>
      </c>
      <c r="J1580" s="18" t="n"/>
    </row>
    <row r="1581">
      <c r="A1581" s="10">
        <f>IF($B1581="","",COUNTA($B$9:$B1581))</f>
        <v/>
      </c>
      <c r="B1581" s="11" t="n"/>
      <c r="C1581" s="12" t="n"/>
      <c r="D1581" s="12" t="n"/>
      <c r="E1581" s="13" t="n"/>
      <c r="F1581" s="14">
        <f>IF($E1581="","",IF($C1581="دستمزد گروهی",IFERROR(VLOOKUP($E1581,WGTbl,2,0),"کد ناشناخته"),IFERROR(IF(VLOOKUP($E1581,AcctTblE,4,0)="","(بدون نام)",VLOOKUP($E1581,AcctTblE,4,0)),"کد ناشناخته")))</f>
        <v/>
      </c>
      <c r="G1581" s="15" t="n"/>
      <c r="H1581" s="16">
        <f>IF(OR($C1581&lt;&gt;"دستمزد گروهی",$D1581=""),"",SUMIFS(ShareAmt,ShareLink,$D1581))</f>
        <v/>
      </c>
      <c r="I1581" s="17">
        <f>IF($C1581&lt;&gt;"دستمزد گروهی","—",IF($H1581="","",IF(ROUND($H1581-IF($G1581="",0,$G1581),0)=0,"√","▲ مغایرت "&amp;TEXT(IF($G1581="",0,$G1581)-$H1581,"#,##0"))))</f>
        <v/>
      </c>
      <c r="J1581" s="18" t="n"/>
    </row>
    <row r="1582">
      <c r="A1582" s="19">
        <f>IF($B1582="","",COUNTA($B$9:$B1582))</f>
        <v/>
      </c>
      <c r="B1582" s="11" t="n"/>
      <c r="C1582" s="12" t="n"/>
      <c r="D1582" s="12" t="n"/>
      <c r="E1582" s="13" t="n"/>
      <c r="F1582" s="20">
        <f>IF($E1582="","",IF($C1582="دستمزد گروهی",IFERROR(VLOOKUP($E1582,WGTbl,2,0),"کد ناشناخته"),IFERROR(IF(VLOOKUP($E1582,AcctTblE,4,0)="","(بدون نام)",VLOOKUP($E1582,AcctTblE,4,0)),"کد ناشناخته")))</f>
        <v/>
      </c>
      <c r="G1582" s="15" t="n"/>
      <c r="H1582" s="21">
        <f>IF(OR($C1582&lt;&gt;"دستمزد گروهی",$D1582=""),"",SUMIFS(ShareAmt,ShareLink,$D1582))</f>
        <v/>
      </c>
      <c r="I1582" s="22">
        <f>IF($C1582&lt;&gt;"دستمزد گروهی","—",IF($H1582="","",IF(ROUND($H1582-IF($G1582="",0,$G1582),0)=0,"√","▲ مغایرت "&amp;TEXT(IF($G1582="",0,$G1582)-$H1582,"#,##0"))))</f>
        <v/>
      </c>
      <c r="J1582" s="18" t="n"/>
    </row>
    <row r="1583">
      <c r="A1583" s="10">
        <f>IF($B1583="","",COUNTA($B$9:$B1583))</f>
        <v/>
      </c>
      <c r="B1583" s="11" t="n"/>
      <c r="C1583" s="12" t="n"/>
      <c r="D1583" s="12" t="n"/>
      <c r="E1583" s="13" t="n"/>
      <c r="F1583" s="14">
        <f>IF($E1583="","",IF($C1583="دستمزد گروهی",IFERROR(VLOOKUP($E1583,WGTbl,2,0),"کد ناشناخته"),IFERROR(IF(VLOOKUP($E1583,AcctTblE,4,0)="","(بدون نام)",VLOOKUP($E1583,AcctTblE,4,0)),"کد ناشناخته")))</f>
        <v/>
      </c>
      <c r="G1583" s="15" t="n"/>
      <c r="H1583" s="16">
        <f>IF(OR($C1583&lt;&gt;"دستمزد گروهی",$D1583=""),"",SUMIFS(ShareAmt,ShareLink,$D1583))</f>
        <v/>
      </c>
      <c r="I1583" s="17">
        <f>IF($C1583&lt;&gt;"دستمزد گروهی","—",IF($H1583="","",IF(ROUND($H1583-IF($G1583="",0,$G1583),0)=0,"√","▲ مغایرت "&amp;TEXT(IF($G1583="",0,$G1583)-$H1583,"#,##0"))))</f>
        <v/>
      </c>
      <c r="J1583" s="18" t="n"/>
    </row>
    <row r="1584">
      <c r="A1584" s="19">
        <f>IF($B1584="","",COUNTA($B$9:$B1584))</f>
        <v/>
      </c>
      <c r="B1584" s="11" t="n"/>
      <c r="C1584" s="12" t="n"/>
      <c r="D1584" s="12" t="n"/>
      <c r="E1584" s="13" t="n"/>
      <c r="F1584" s="20">
        <f>IF($E1584="","",IF($C1584="دستمزد گروهی",IFERROR(VLOOKUP($E1584,WGTbl,2,0),"کد ناشناخته"),IFERROR(IF(VLOOKUP($E1584,AcctTblE,4,0)="","(بدون نام)",VLOOKUP($E1584,AcctTblE,4,0)),"کد ناشناخته")))</f>
        <v/>
      </c>
      <c r="G1584" s="15" t="n"/>
      <c r="H1584" s="21">
        <f>IF(OR($C1584&lt;&gt;"دستمزد گروهی",$D1584=""),"",SUMIFS(ShareAmt,ShareLink,$D1584))</f>
        <v/>
      </c>
      <c r="I1584" s="22">
        <f>IF($C1584&lt;&gt;"دستمزد گروهی","—",IF($H1584="","",IF(ROUND($H1584-IF($G1584="",0,$G1584),0)=0,"√","▲ مغایرت "&amp;TEXT(IF($G1584="",0,$G1584)-$H1584,"#,##0"))))</f>
        <v/>
      </c>
      <c r="J1584" s="18" t="n"/>
    </row>
    <row r="1585">
      <c r="A1585" s="10">
        <f>IF($B1585="","",COUNTA($B$9:$B1585))</f>
        <v/>
      </c>
      <c r="B1585" s="11" t="n"/>
      <c r="C1585" s="12" t="n"/>
      <c r="D1585" s="12" t="n"/>
      <c r="E1585" s="13" t="n"/>
      <c r="F1585" s="14">
        <f>IF($E1585="","",IF($C1585="دستمزد گروهی",IFERROR(VLOOKUP($E1585,WGTbl,2,0),"کد ناشناخته"),IFERROR(IF(VLOOKUP($E1585,AcctTblE,4,0)="","(بدون نام)",VLOOKUP($E1585,AcctTblE,4,0)),"کد ناشناخته")))</f>
        <v/>
      </c>
      <c r="G1585" s="15" t="n"/>
      <c r="H1585" s="16">
        <f>IF(OR($C1585&lt;&gt;"دستمزد گروهی",$D1585=""),"",SUMIFS(ShareAmt,ShareLink,$D1585))</f>
        <v/>
      </c>
      <c r="I1585" s="17">
        <f>IF($C1585&lt;&gt;"دستمزد گروهی","—",IF($H1585="","",IF(ROUND($H1585-IF($G1585="",0,$G1585),0)=0,"√","▲ مغایرت "&amp;TEXT(IF($G1585="",0,$G1585)-$H1585,"#,##0"))))</f>
        <v/>
      </c>
      <c r="J1585" s="18" t="n"/>
    </row>
    <row r="1586">
      <c r="A1586" s="19">
        <f>IF($B1586="","",COUNTA($B$9:$B1586))</f>
        <v/>
      </c>
      <c r="B1586" s="11" t="n"/>
      <c r="C1586" s="12" t="n"/>
      <c r="D1586" s="12" t="n"/>
      <c r="E1586" s="13" t="n"/>
      <c r="F1586" s="20">
        <f>IF($E1586="","",IF($C1586="دستمزد گروهی",IFERROR(VLOOKUP($E1586,WGTbl,2,0),"کد ناشناخته"),IFERROR(IF(VLOOKUP($E1586,AcctTblE,4,0)="","(بدون نام)",VLOOKUP($E1586,AcctTblE,4,0)),"کد ناشناخته")))</f>
        <v/>
      </c>
      <c r="G1586" s="15" t="n"/>
      <c r="H1586" s="21">
        <f>IF(OR($C1586&lt;&gt;"دستمزد گروهی",$D1586=""),"",SUMIFS(ShareAmt,ShareLink,$D1586))</f>
        <v/>
      </c>
      <c r="I1586" s="22">
        <f>IF($C1586&lt;&gt;"دستمزد گروهی","—",IF($H1586="","",IF(ROUND($H1586-IF($G1586="",0,$G1586),0)=0,"√","▲ مغایرت "&amp;TEXT(IF($G1586="",0,$G1586)-$H1586,"#,##0"))))</f>
        <v/>
      </c>
      <c r="J1586" s="18" t="n"/>
    </row>
    <row r="1587">
      <c r="A1587" s="10">
        <f>IF($B1587="","",COUNTA($B$9:$B1587))</f>
        <v/>
      </c>
      <c r="B1587" s="11" t="n"/>
      <c r="C1587" s="12" t="n"/>
      <c r="D1587" s="12" t="n"/>
      <c r="E1587" s="13" t="n"/>
      <c r="F1587" s="14">
        <f>IF($E1587="","",IF($C1587="دستمزد گروهی",IFERROR(VLOOKUP($E1587,WGTbl,2,0),"کد ناشناخته"),IFERROR(IF(VLOOKUP($E1587,AcctTblE,4,0)="","(بدون نام)",VLOOKUP($E1587,AcctTblE,4,0)),"کد ناشناخته")))</f>
        <v/>
      </c>
      <c r="G1587" s="15" t="n"/>
      <c r="H1587" s="16">
        <f>IF(OR($C1587&lt;&gt;"دستمزد گروهی",$D1587=""),"",SUMIFS(ShareAmt,ShareLink,$D1587))</f>
        <v/>
      </c>
      <c r="I1587" s="17">
        <f>IF($C1587&lt;&gt;"دستمزد گروهی","—",IF($H1587="","",IF(ROUND($H1587-IF($G1587="",0,$G1587),0)=0,"√","▲ مغایرت "&amp;TEXT(IF($G1587="",0,$G1587)-$H1587,"#,##0"))))</f>
        <v/>
      </c>
      <c r="J1587" s="18" t="n"/>
    </row>
    <row r="1588">
      <c r="A1588" s="19">
        <f>IF($B1588="","",COUNTA($B$9:$B1588))</f>
        <v/>
      </c>
      <c r="B1588" s="11" t="n"/>
      <c r="C1588" s="12" t="n"/>
      <c r="D1588" s="12" t="n"/>
      <c r="E1588" s="13" t="n"/>
      <c r="F1588" s="20">
        <f>IF($E1588="","",IF($C1588="دستمزد گروهی",IFERROR(VLOOKUP($E1588,WGTbl,2,0),"کد ناشناخته"),IFERROR(IF(VLOOKUP($E1588,AcctTblE,4,0)="","(بدون نام)",VLOOKUP($E1588,AcctTblE,4,0)),"کد ناشناخته")))</f>
        <v/>
      </c>
      <c r="G1588" s="15" t="n"/>
      <c r="H1588" s="21">
        <f>IF(OR($C1588&lt;&gt;"دستمزد گروهی",$D1588=""),"",SUMIFS(ShareAmt,ShareLink,$D1588))</f>
        <v/>
      </c>
      <c r="I1588" s="22">
        <f>IF($C1588&lt;&gt;"دستمزد گروهی","—",IF($H1588="","",IF(ROUND($H1588-IF($G1588="",0,$G1588),0)=0,"√","▲ مغایرت "&amp;TEXT(IF($G1588="",0,$G1588)-$H1588,"#,##0"))))</f>
        <v/>
      </c>
      <c r="J1588" s="18" t="n"/>
    </row>
    <row r="1589">
      <c r="A1589" s="10">
        <f>IF($B1589="","",COUNTA($B$9:$B1589))</f>
        <v/>
      </c>
      <c r="B1589" s="11" t="n"/>
      <c r="C1589" s="12" t="n"/>
      <c r="D1589" s="12" t="n"/>
      <c r="E1589" s="13" t="n"/>
      <c r="F1589" s="14">
        <f>IF($E1589="","",IF($C1589="دستمزد گروهی",IFERROR(VLOOKUP($E1589,WGTbl,2,0),"کد ناشناخته"),IFERROR(IF(VLOOKUP($E1589,AcctTblE,4,0)="","(بدون نام)",VLOOKUP($E1589,AcctTblE,4,0)),"کد ناشناخته")))</f>
        <v/>
      </c>
      <c r="G1589" s="15" t="n"/>
      <c r="H1589" s="16">
        <f>IF(OR($C1589&lt;&gt;"دستمزد گروهی",$D1589=""),"",SUMIFS(ShareAmt,ShareLink,$D1589))</f>
        <v/>
      </c>
      <c r="I1589" s="17">
        <f>IF($C1589&lt;&gt;"دستمزد گروهی","—",IF($H1589="","",IF(ROUND($H1589-IF($G1589="",0,$G1589),0)=0,"√","▲ مغایرت "&amp;TEXT(IF($G1589="",0,$G1589)-$H1589,"#,##0"))))</f>
        <v/>
      </c>
      <c r="J1589" s="18" t="n"/>
    </row>
    <row r="1590">
      <c r="A1590" s="19">
        <f>IF($B1590="","",COUNTA($B$9:$B1590))</f>
        <v/>
      </c>
      <c r="B1590" s="11" t="n"/>
      <c r="C1590" s="12" t="n"/>
      <c r="D1590" s="12" t="n"/>
      <c r="E1590" s="13" t="n"/>
      <c r="F1590" s="20">
        <f>IF($E1590="","",IF($C1590="دستمزد گروهی",IFERROR(VLOOKUP($E1590,WGTbl,2,0),"کد ناشناخته"),IFERROR(IF(VLOOKUP($E1590,AcctTblE,4,0)="","(بدون نام)",VLOOKUP($E1590,AcctTblE,4,0)),"کد ناشناخته")))</f>
        <v/>
      </c>
      <c r="G1590" s="15" t="n"/>
      <c r="H1590" s="21">
        <f>IF(OR($C1590&lt;&gt;"دستمزد گروهی",$D1590=""),"",SUMIFS(ShareAmt,ShareLink,$D1590))</f>
        <v/>
      </c>
      <c r="I1590" s="22">
        <f>IF($C1590&lt;&gt;"دستمزد گروهی","—",IF($H1590="","",IF(ROUND($H1590-IF($G1590="",0,$G1590),0)=0,"√","▲ مغایرت "&amp;TEXT(IF($G1590="",0,$G1590)-$H1590,"#,##0"))))</f>
        <v/>
      </c>
      <c r="J1590" s="18" t="n"/>
    </row>
    <row r="1591">
      <c r="A1591" s="10">
        <f>IF($B1591="","",COUNTA($B$9:$B1591))</f>
        <v/>
      </c>
      <c r="B1591" s="11" t="n"/>
      <c r="C1591" s="12" t="n"/>
      <c r="D1591" s="12" t="n"/>
      <c r="E1591" s="13" t="n"/>
      <c r="F1591" s="14">
        <f>IF($E1591="","",IF($C1591="دستمزد گروهی",IFERROR(VLOOKUP($E1591,WGTbl,2,0),"کد ناشناخته"),IFERROR(IF(VLOOKUP($E1591,AcctTblE,4,0)="","(بدون نام)",VLOOKUP($E1591,AcctTblE,4,0)),"کد ناشناخته")))</f>
        <v/>
      </c>
      <c r="G1591" s="15" t="n"/>
      <c r="H1591" s="16">
        <f>IF(OR($C1591&lt;&gt;"دستمزد گروهی",$D1591=""),"",SUMIFS(ShareAmt,ShareLink,$D1591))</f>
        <v/>
      </c>
      <c r="I1591" s="17">
        <f>IF($C1591&lt;&gt;"دستمزد گروهی","—",IF($H1591="","",IF(ROUND($H1591-IF($G1591="",0,$G1591),0)=0,"√","▲ مغایرت "&amp;TEXT(IF($G1591="",0,$G1591)-$H1591,"#,##0"))))</f>
        <v/>
      </c>
      <c r="J1591" s="18" t="n"/>
    </row>
    <row r="1592">
      <c r="A1592" s="19">
        <f>IF($B1592="","",COUNTA($B$9:$B1592))</f>
        <v/>
      </c>
      <c r="B1592" s="11" t="n"/>
      <c r="C1592" s="12" t="n"/>
      <c r="D1592" s="12" t="n"/>
      <c r="E1592" s="13" t="n"/>
      <c r="F1592" s="20">
        <f>IF($E1592="","",IF($C1592="دستمزد گروهی",IFERROR(VLOOKUP($E1592,WGTbl,2,0),"کد ناشناخته"),IFERROR(IF(VLOOKUP($E1592,AcctTblE,4,0)="","(بدون نام)",VLOOKUP($E1592,AcctTblE,4,0)),"کد ناشناخته")))</f>
        <v/>
      </c>
      <c r="G1592" s="15" t="n"/>
      <c r="H1592" s="21">
        <f>IF(OR($C1592&lt;&gt;"دستمزد گروهی",$D1592=""),"",SUMIFS(ShareAmt,ShareLink,$D1592))</f>
        <v/>
      </c>
      <c r="I1592" s="22">
        <f>IF($C1592&lt;&gt;"دستمزد گروهی","—",IF($H1592="","",IF(ROUND($H1592-IF($G1592="",0,$G1592),0)=0,"√","▲ مغایرت "&amp;TEXT(IF($G1592="",0,$G1592)-$H1592,"#,##0"))))</f>
        <v/>
      </c>
      <c r="J1592" s="18" t="n"/>
    </row>
    <row r="1593">
      <c r="A1593" s="10">
        <f>IF($B1593="","",COUNTA($B$9:$B1593))</f>
        <v/>
      </c>
      <c r="B1593" s="11" t="n"/>
      <c r="C1593" s="12" t="n"/>
      <c r="D1593" s="12" t="n"/>
      <c r="E1593" s="13" t="n"/>
      <c r="F1593" s="14">
        <f>IF($E1593="","",IF($C1593="دستمزد گروهی",IFERROR(VLOOKUP($E1593,WGTbl,2,0),"کد ناشناخته"),IFERROR(IF(VLOOKUP($E1593,AcctTblE,4,0)="","(بدون نام)",VLOOKUP($E1593,AcctTblE,4,0)),"کد ناشناخته")))</f>
        <v/>
      </c>
      <c r="G1593" s="15" t="n"/>
      <c r="H1593" s="16">
        <f>IF(OR($C1593&lt;&gt;"دستمزد گروهی",$D1593=""),"",SUMIFS(ShareAmt,ShareLink,$D1593))</f>
        <v/>
      </c>
      <c r="I1593" s="17">
        <f>IF($C1593&lt;&gt;"دستمزد گروهی","—",IF($H1593="","",IF(ROUND($H1593-IF($G1593="",0,$G1593),0)=0,"√","▲ مغایرت "&amp;TEXT(IF($G1593="",0,$G1593)-$H1593,"#,##0"))))</f>
        <v/>
      </c>
      <c r="J1593" s="18" t="n"/>
    </row>
    <row r="1594">
      <c r="A1594" s="19">
        <f>IF($B1594="","",COUNTA($B$9:$B1594))</f>
        <v/>
      </c>
      <c r="B1594" s="11" t="n"/>
      <c r="C1594" s="12" t="n"/>
      <c r="D1594" s="12" t="n"/>
      <c r="E1594" s="13" t="n"/>
      <c r="F1594" s="20">
        <f>IF($E1594="","",IF($C1594="دستمزد گروهی",IFERROR(VLOOKUP($E1594,WGTbl,2,0),"کد ناشناخته"),IFERROR(IF(VLOOKUP($E1594,AcctTblE,4,0)="","(بدون نام)",VLOOKUP($E1594,AcctTblE,4,0)),"کد ناشناخته")))</f>
        <v/>
      </c>
      <c r="G1594" s="15" t="n"/>
      <c r="H1594" s="21">
        <f>IF(OR($C1594&lt;&gt;"دستمزد گروهی",$D1594=""),"",SUMIFS(ShareAmt,ShareLink,$D1594))</f>
        <v/>
      </c>
      <c r="I1594" s="22">
        <f>IF($C1594&lt;&gt;"دستمزد گروهی","—",IF($H1594="","",IF(ROUND($H1594-IF($G1594="",0,$G1594),0)=0,"√","▲ مغایرت "&amp;TEXT(IF($G1594="",0,$G1594)-$H1594,"#,##0"))))</f>
        <v/>
      </c>
      <c r="J1594" s="18" t="n"/>
    </row>
    <row r="1595">
      <c r="A1595" s="10">
        <f>IF($B1595="","",COUNTA($B$9:$B1595))</f>
        <v/>
      </c>
      <c r="B1595" s="11" t="n"/>
      <c r="C1595" s="12" t="n"/>
      <c r="D1595" s="12" t="n"/>
      <c r="E1595" s="13" t="n"/>
      <c r="F1595" s="14">
        <f>IF($E1595="","",IF($C1595="دستمزد گروهی",IFERROR(VLOOKUP($E1595,WGTbl,2,0),"کد ناشناخته"),IFERROR(IF(VLOOKUP($E1595,AcctTblE,4,0)="","(بدون نام)",VLOOKUP($E1595,AcctTblE,4,0)),"کد ناشناخته")))</f>
        <v/>
      </c>
      <c r="G1595" s="15" t="n"/>
      <c r="H1595" s="16">
        <f>IF(OR($C1595&lt;&gt;"دستمزد گروهی",$D1595=""),"",SUMIFS(ShareAmt,ShareLink,$D1595))</f>
        <v/>
      </c>
      <c r="I1595" s="17">
        <f>IF($C1595&lt;&gt;"دستمزد گروهی","—",IF($H1595="","",IF(ROUND($H1595-IF($G1595="",0,$G1595),0)=0,"√","▲ مغایرت "&amp;TEXT(IF($G1595="",0,$G1595)-$H1595,"#,##0"))))</f>
        <v/>
      </c>
      <c r="J1595" s="18" t="n"/>
    </row>
    <row r="1596">
      <c r="A1596" s="19">
        <f>IF($B1596="","",COUNTA($B$9:$B1596))</f>
        <v/>
      </c>
      <c r="B1596" s="11" t="n"/>
      <c r="C1596" s="12" t="n"/>
      <c r="D1596" s="12" t="n"/>
      <c r="E1596" s="13" t="n"/>
      <c r="F1596" s="20">
        <f>IF($E1596="","",IF($C1596="دستمزد گروهی",IFERROR(VLOOKUP($E1596,WGTbl,2,0),"کد ناشناخته"),IFERROR(IF(VLOOKUP($E1596,AcctTblE,4,0)="","(بدون نام)",VLOOKUP($E1596,AcctTblE,4,0)),"کد ناشناخته")))</f>
        <v/>
      </c>
      <c r="G1596" s="15" t="n"/>
      <c r="H1596" s="21">
        <f>IF(OR($C1596&lt;&gt;"دستمزد گروهی",$D1596=""),"",SUMIFS(ShareAmt,ShareLink,$D1596))</f>
        <v/>
      </c>
      <c r="I1596" s="22">
        <f>IF($C1596&lt;&gt;"دستمزد گروهی","—",IF($H1596="","",IF(ROUND($H1596-IF($G1596="",0,$G1596),0)=0,"√","▲ مغایرت "&amp;TEXT(IF($G1596="",0,$G1596)-$H1596,"#,##0"))))</f>
        <v/>
      </c>
      <c r="J1596" s="18" t="n"/>
    </row>
    <row r="1597">
      <c r="A1597" s="10">
        <f>IF($B1597="","",COUNTA($B$9:$B1597))</f>
        <v/>
      </c>
      <c r="B1597" s="11" t="n"/>
      <c r="C1597" s="12" t="n"/>
      <c r="D1597" s="12" t="n"/>
      <c r="E1597" s="13" t="n"/>
      <c r="F1597" s="14">
        <f>IF($E1597="","",IF($C1597="دستمزد گروهی",IFERROR(VLOOKUP($E1597,WGTbl,2,0),"کد ناشناخته"),IFERROR(IF(VLOOKUP($E1597,AcctTblE,4,0)="","(بدون نام)",VLOOKUP($E1597,AcctTblE,4,0)),"کد ناشناخته")))</f>
        <v/>
      </c>
      <c r="G1597" s="15" t="n"/>
      <c r="H1597" s="16">
        <f>IF(OR($C1597&lt;&gt;"دستمزد گروهی",$D1597=""),"",SUMIFS(ShareAmt,ShareLink,$D1597))</f>
        <v/>
      </c>
      <c r="I1597" s="17">
        <f>IF($C1597&lt;&gt;"دستمزد گروهی","—",IF($H1597="","",IF(ROUND($H1597-IF($G1597="",0,$G1597),0)=0,"√","▲ مغایرت "&amp;TEXT(IF($G1597="",0,$G1597)-$H1597,"#,##0"))))</f>
        <v/>
      </c>
      <c r="J1597" s="18" t="n"/>
    </row>
    <row r="1598">
      <c r="A1598" s="19">
        <f>IF($B1598="","",COUNTA($B$9:$B1598))</f>
        <v/>
      </c>
      <c r="B1598" s="11" t="n"/>
      <c r="C1598" s="12" t="n"/>
      <c r="D1598" s="12" t="n"/>
      <c r="E1598" s="13" t="n"/>
      <c r="F1598" s="20">
        <f>IF($E1598="","",IF($C1598="دستمزد گروهی",IFERROR(VLOOKUP($E1598,WGTbl,2,0),"کد ناشناخته"),IFERROR(IF(VLOOKUP($E1598,AcctTblE,4,0)="","(بدون نام)",VLOOKUP($E1598,AcctTblE,4,0)),"کد ناشناخته")))</f>
        <v/>
      </c>
      <c r="G1598" s="15" t="n"/>
      <c r="H1598" s="21">
        <f>IF(OR($C1598&lt;&gt;"دستمزد گروهی",$D1598=""),"",SUMIFS(ShareAmt,ShareLink,$D1598))</f>
        <v/>
      </c>
      <c r="I1598" s="22">
        <f>IF($C1598&lt;&gt;"دستمزد گروهی","—",IF($H1598="","",IF(ROUND($H1598-IF($G1598="",0,$G1598),0)=0,"√","▲ مغایرت "&amp;TEXT(IF($G1598="",0,$G1598)-$H1598,"#,##0"))))</f>
        <v/>
      </c>
      <c r="J1598" s="18" t="n"/>
    </row>
    <row r="1599">
      <c r="A1599" s="10">
        <f>IF($B1599="","",COUNTA($B$9:$B1599))</f>
        <v/>
      </c>
      <c r="B1599" s="11" t="n"/>
      <c r="C1599" s="12" t="n"/>
      <c r="D1599" s="12" t="n"/>
      <c r="E1599" s="13" t="n"/>
      <c r="F1599" s="14">
        <f>IF($E1599="","",IF($C1599="دستمزد گروهی",IFERROR(VLOOKUP($E1599,WGTbl,2,0),"کد ناشناخته"),IFERROR(IF(VLOOKUP($E1599,AcctTblE,4,0)="","(بدون نام)",VLOOKUP($E1599,AcctTblE,4,0)),"کد ناشناخته")))</f>
        <v/>
      </c>
      <c r="G1599" s="15" t="n"/>
      <c r="H1599" s="16">
        <f>IF(OR($C1599&lt;&gt;"دستمزد گروهی",$D1599=""),"",SUMIFS(ShareAmt,ShareLink,$D1599))</f>
        <v/>
      </c>
      <c r="I1599" s="17">
        <f>IF($C1599&lt;&gt;"دستمزد گروهی","—",IF($H1599="","",IF(ROUND($H1599-IF($G1599="",0,$G1599),0)=0,"√","▲ مغایرت "&amp;TEXT(IF($G1599="",0,$G1599)-$H1599,"#,##0"))))</f>
        <v/>
      </c>
      <c r="J1599" s="18" t="n"/>
    </row>
    <row r="1600">
      <c r="A1600" s="19">
        <f>IF($B1600="","",COUNTA($B$9:$B1600))</f>
        <v/>
      </c>
      <c r="B1600" s="11" t="n"/>
      <c r="C1600" s="12" t="n"/>
      <c r="D1600" s="12" t="n"/>
      <c r="E1600" s="13" t="n"/>
      <c r="F1600" s="20">
        <f>IF($E1600="","",IF($C1600="دستمزد گروهی",IFERROR(VLOOKUP($E1600,WGTbl,2,0),"کد ناشناخته"),IFERROR(IF(VLOOKUP($E1600,AcctTblE,4,0)="","(بدون نام)",VLOOKUP($E1600,AcctTblE,4,0)),"کد ناشناخته")))</f>
        <v/>
      </c>
      <c r="G1600" s="15" t="n"/>
      <c r="H1600" s="21">
        <f>IF(OR($C1600&lt;&gt;"دستمزد گروهی",$D1600=""),"",SUMIFS(ShareAmt,ShareLink,$D1600))</f>
        <v/>
      </c>
      <c r="I1600" s="22">
        <f>IF($C1600&lt;&gt;"دستمزد گروهی","—",IF($H1600="","",IF(ROUND($H1600-IF($G1600="",0,$G1600),0)=0,"√","▲ مغایرت "&amp;TEXT(IF($G1600="",0,$G1600)-$H1600,"#,##0"))))</f>
        <v/>
      </c>
      <c r="J1600" s="18" t="n"/>
    </row>
    <row r="1601">
      <c r="A1601" s="10">
        <f>IF($B1601="","",COUNTA($B$9:$B1601))</f>
        <v/>
      </c>
      <c r="B1601" s="11" t="n"/>
      <c r="C1601" s="12" t="n"/>
      <c r="D1601" s="12" t="n"/>
      <c r="E1601" s="13" t="n"/>
      <c r="F1601" s="14">
        <f>IF($E1601="","",IF($C1601="دستمزد گروهی",IFERROR(VLOOKUP($E1601,WGTbl,2,0),"کد ناشناخته"),IFERROR(IF(VLOOKUP($E1601,AcctTblE,4,0)="","(بدون نام)",VLOOKUP($E1601,AcctTblE,4,0)),"کد ناشناخته")))</f>
        <v/>
      </c>
      <c r="G1601" s="15" t="n"/>
      <c r="H1601" s="16">
        <f>IF(OR($C1601&lt;&gt;"دستمزد گروهی",$D1601=""),"",SUMIFS(ShareAmt,ShareLink,$D1601))</f>
        <v/>
      </c>
      <c r="I1601" s="17">
        <f>IF($C1601&lt;&gt;"دستمزد گروهی","—",IF($H1601="","",IF(ROUND($H1601-IF($G1601="",0,$G1601),0)=0,"√","▲ مغایرت "&amp;TEXT(IF($G1601="",0,$G1601)-$H1601,"#,##0"))))</f>
        <v/>
      </c>
      <c r="J1601" s="18" t="n"/>
    </row>
    <row r="1602">
      <c r="A1602" s="19">
        <f>IF($B1602="","",COUNTA($B$9:$B1602))</f>
        <v/>
      </c>
      <c r="B1602" s="11" t="n"/>
      <c r="C1602" s="12" t="n"/>
      <c r="D1602" s="12" t="n"/>
      <c r="E1602" s="13" t="n"/>
      <c r="F1602" s="20">
        <f>IF($E1602="","",IF($C1602="دستمزد گروهی",IFERROR(VLOOKUP($E1602,WGTbl,2,0),"کد ناشناخته"),IFERROR(IF(VLOOKUP($E1602,AcctTblE,4,0)="","(بدون نام)",VLOOKUP($E1602,AcctTblE,4,0)),"کد ناشناخته")))</f>
        <v/>
      </c>
      <c r="G1602" s="15" t="n"/>
      <c r="H1602" s="21">
        <f>IF(OR($C1602&lt;&gt;"دستمزد گروهی",$D1602=""),"",SUMIFS(ShareAmt,ShareLink,$D1602))</f>
        <v/>
      </c>
      <c r="I1602" s="22">
        <f>IF($C1602&lt;&gt;"دستمزد گروهی","—",IF($H1602="","",IF(ROUND($H1602-IF($G1602="",0,$G1602),0)=0,"√","▲ مغایرت "&amp;TEXT(IF($G1602="",0,$G1602)-$H1602,"#,##0"))))</f>
        <v/>
      </c>
      <c r="J1602" s="18" t="n"/>
    </row>
    <row r="1603">
      <c r="A1603" s="10">
        <f>IF($B1603="","",COUNTA($B$9:$B1603))</f>
        <v/>
      </c>
      <c r="B1603" s="11" t="n"/>
      <c r="C1603" s="12" t="n"/>
      <c r="D1603" s="12" t="n"/>
      <c r="E1603" s="13" t="n"/>
      <c r="F1603" s="14">
        <f>IF($E1603="","",IF($C1603="دستمزد گروهی",IFERROR(VLOOKUP($E1603,WGTbl,2,0),"کد ناشناخته"),IFERROR(IF(VLOOKUP($E1603,AcctTblE,4,0)="","(بدون نام)",VLOOKUP($E1603,AcctTblE,4,0)),"کد ناشناخته")))</f>
        <v/>
      </c>
      <c r="G1603" s="15" t="n"/>
      <c r="H1603" s="16">
        <f>IF(OR($C1603&lt;&gt;"دستمزد گروهی",$D1603=""),"",SUMIFS(ShareAmt,ShareLink,$D1603))</f>
        <v/>
      </c>
      <c r="I1603" s="17">
        <f>IF($C1603&lt;&gt;"دستمزد گروهی","—",IF($H1603="","",IF(ROUND($H1603-IF($G1603="",0,$G1603),0)=0,"√","▲ مغایرت "&amp;TEXT(IF($G1603="",0,$G1603)-$H1603,"#,##0"))))</f>
        <v/>
      </c>
      <c r="J1603" s="18" t="n"/>
    </row>
    <row r="1604">
      <c r="A1604" s="19">
        <f>IF($B1604="","",COUNTA($B$9:$B1604))</f>
        <v/>
      </c>
      <c r="B1604" s="11" t="n"/>
      <c r="C1604" s="12" t="n"/>
      <c r="D1604" s="12" t="n"/>
      <c r="E1604" s="13" t="n"/>
      <c r="F1604" s="20">
        <f>IF($E1604="","",IF($C1604="دستمزد گروهی",IFERROR(VLOOKUP($E1604,WGTbl,2,0),"کد ناشناخته"),IFERROR(IF(VLOOKUP($E1604,AcctTblE,4,0)="","(بدون نام)",VLOOKUP($E1604,AcctTblE,4,0)),"کد ناشناخته")))</f>
        <v/>
      </c>
      <c r="G1604" s="15" t="n"/>
      <c r="H1604" s="21">
        <f>IF(OR($C1604&lt;&gt;"دستمزد گروهی",$D1604=""),"",SUMIFS(ShareAmt,ShareLink,$D1604))</f>
        <v/>
      </c>
      <c r="I1604" s="22">
        <f>IF($C1604&lt;&gt;"دستمزد گروهی","—",IF($H1604="","",IF(ROUND($H1604-IF($G1604="",0,$G1604),0)=0,"√","▲ مغایرت "&amp;TEXT(IF($G1604="",0,$G1604)-$H1604,"#,##0"))))</f>
        <v/>
      </c>
      <c r="J1604" s="18" t="n"/>
    </row>
    <row r="1605">
      <c r="A1605" s="10">
        <f>IF($B1605="","",COUNTA($B$9:$B1605))</f>
        <v/>
      </c>
      <c r="B1605" s="11" t="n"/>
      <c r="C1605" s="12" t="n"/>
      <c r="D1605" s="12" t="n"/>
      <c r="E1605" s="13" t="n"/>
      <c r="F1605" s="14">
        <f>IF($E1605="","",IF($C1605="دستمزد گروهی",IFERROR(VLOOKUP($E1605,WGTbl,2,0),"کد ناشناخته"),IFERROR(IF(VLOOKUP($E1605,AcctTblE,4,0)="","(بدون نام)",VLOOKUP($E1605,AcctTblE,4,0)),"کد ناشناخته")))</f>
        <v/>
      </c>
      <c r="G1605" s="15" t="n"/>
      <c r="H1605" s="16">
        <f>IF(OR($C1605&lt;&gt;"دستمزد گروهی",$D1605=""),"",SUMIFS(ShareAmt,ShareLink,$D1605))</f>
        <v/>
      </c>
      <c r="I1605" s="17">
        <f>IF($C1605&lt;&gt;"دستمزد گروهی","—",IF($H1605="","",IF(ROUND($H1605-IF($G1605="",0,$G1605),0)=0,"√","▲ مغایرت "&amp;TEXT(IF($G1605="",0,$G1605)-$H1605,"#,##0"))))</f>
        <v/>
      </c>
      <c r="J1605" s="18" t="n"/>
    </row>
    <row r="1606">
      <c r="A1606" s="19">
        <f>IF($B1606="","",COUNTA($B$9:$B1606))</f>
        <v/>
      </c>
      <c r="B1606" s="11" t="n"/>
      <c r="C1606" s="12" t="n"/>
      <c r="D1606" s="12" t="n"/>
      <c r="E1606" s="13" t="n"/>
      <c r="F1606" s="20">
        <f>IF($E1606="","",IF($C1606="دستمزد گروهی",IFERROR(VLOOKUP($E1606,WGTbl,2,0),"کد ناشناخته"),IFERROR(IF(VLOOKUP($E1606,AcctTblE,4,0)="","(بدون نام)",VLOOKUP($E1606,AcctTblE,4,0)),"کد ناشناخته")))</f>
        <v/>
      </c>
      <c r="G1606" s="15" t="n"/>
      <c r="H1606" s="21">
        <f>IF(OR($C1606&lt;&gt;"دستمزد گروهی",$D1606=""),"",SUMIFS(ShareAmt,ShareLink,$D1606))</f>
        <v/>
      </c>
      <c r="I1606" s="22">
        <f>IF($C1606&lt;&gt;"دستمزد گروهی","—",IF($H1606="","",IF(ROUND($H1606-IF($G1606="",0,$G1606),0)=0,"√","▲ مغایرت "&amp;TEXT(IF($G1606="",0,$G1606)-$H1606,"#,##0"))))</f>
        <v/>
      </c>
      <c r="J1606" s="18" t="n"/>
    </row>
    <row r="1607">
      <c r="A1607" s="10">
        <f>IF($B1607="","",COUNTA($B$9:$B1607))</f>
        <v/>
      </c>
      <c r="B1607" s="11" t="n"/>
      <c r="C1607" s="12" t="n"/>
      <c r="D1607" s="12" t="n"/>
      <c r="E1607" s="13" t="n"/>
      <c r="F1607" s="14">
        <f>IF($E1607="","",IF($C1607="دستمزد گروهی",IFERROR(VLOOKUP($E1607,WGTbl,2,0),"کد ناشناخته"),IFERROR(IF(VLOOKUP($E1607,AcctTblE,4,0)="","(بدون نام)",VLOOKUP($E1607,AcctTblE,4,0)),"کد ناشناخته")))</f>
        <v/>
      </c>
      <c r="G1607" s="15" t="n"/>
      <c r="H1607" s="16">
        <f>IF(OR($C1607&lt;&gt;"دستمزد گروهی",$D1607=""),"",SUMIFS(ShareAmt,ShareLink,$D1607))</f>
        <v/>
      </c>
      <c r="I1607" s="17">
        <f>IF($C1607&lt;&gt;"دستمزد گروهی","—",IF($H1607="","",IF(ROUND($H1607-IF($G1607="",0,$G1607),0)=0,"√","▲ مغایرت "&amp;TEXT(IF($G1607="",0,$G1607)-$H1607,"#,##0"))))</f>
        <v/>
      </c>
      <c r="J1607" s="18" t="n"/>
    </row>
    <row r="1608">
      <c r="A1608" s="19">
        <f>IF($B1608="","",COUNTA($B$9:$B1608))</f>
        <v/>
      </c>
      <c r="B1608" s="11" t="n"/>
      <c r="C1608" s="12" t="n"/>
      <c r="D1608" s="12" t="n"/>
      <c r="E1608" s="13" t="n"/>
      <c r="F1608" s="20">
        <f>IF($E1608="","",IF($C1608="دستمزد گروهی",IFERROR(VLOOKUP($E1608,WGTbl,2,0),"کد ناشناخته"),IFERROR(IF(VLOOKUP($E1608,AcctTblE,4,0)="","(بدون نام)",VLOOKUP($E1608,AcctTblE,4,0)),"کد ناشناخته")))</f>
        <v/>
      </c>
      <c r="G1608" s="15" t="n"/>
      <c r="H1608" s="21">
        <f>IF(OR($C1608&lt;&gt;"دستمزد گروهی",$D1608=""),"",SUMIFS(ShareAmt,ShareLink,$D1608))</f>
        <v/>
      </c>
      <c r="I1608" s="22">
        <f>IF($C1608&lt;&gt;"دستمزد گروهی","—",IF($H1608="","",IF(ROUND($H1608-IF($G1608="",0,$G1608),0)=0,"√","▲ مغایرت "&amp;TEXT(IF($G1608="",0,$G1608)-$H1608,"#,##0"))))</f>
        <v/>
      </c>
      <c r="J1608" s="18" t="n"/>
    </row>
    <row r="1609">
      <c r="A1609" s="10">
        <f>IF($B1609="","",COUNTA($B$9:$B1609))</f>
        <v/>
      </c>
      <c r="B1609" s="11" t="n"/>
      <c r="C1609" s="12" t="n"/>
      <c r="D1609" s="12" t="n"/>
      <c r="E1609" s="13" t="n"/>
      <c r="F1609" s="14">
        <f>IF($E1609="","",IF($C1609="دستمزد گروهی",IFERROR(VLOOKUP($E1609,WGTbl,2,0),"کد ناشناخته"),IFERROR(IF(VLOOKUP($E1609,AcctTblE,4,0)="","(بدون نام)",VLOOKUP($E1609,AcctTblE,4,0)),"کد ناشناخته")))</f>
        <v/>
      </c>
      <c r="G1609" s="15" t="n"/>
      <c r="H1609" s="16">
        <f>IF(OR($C1609&lt;&gt;"دستمزد گروهی",$D1609=""),"",SUMIFS(ShareAmt,ShareLink,$D1609))</f>
        <v/>
      </c>
      <c r="I1609" s="17">
        <f>IF($C1609&lt;&gt;"دستمزد گروهی","—",IF($H1609="","",IF(ROUND($H1609-IF($G1609="",0,$G1609),0)=0,"√","▲ مغایرت "&amp;TEXT(IF($G1609="",0,$G1609)-$H1609,"#,##0"))))</f>
        <v/>
      </c>
      <c r="J1609" s="18" t="n"/>
    </row>
    <row r="1610">
      <c r="A1610" s="19">
        <f>IF($B1610="","",COUNTA($B$9:$B1610))</f>
        <v/>
      </c>
      <c r="B1610" s="11" t="n"/>
      <c r="C1610" s="12" t="n"/>
      <c r="D1610" s="12" t="n"/>
      <c r="E1610" s="13" t="n"/>
      <c r="F1610" s="20">
        <f>IF($E1610="","",IF($C1610="دستمزد گروهی",IFERROR(VLOOKUP($E1610,WGTbl,2,0),"کد ناشناخته"),IFERROR(IF(VLOOKUP($E1610,AcctTblE,4,0)="","(بدون نام)",VLOOKUP($E1610,AcctTblE,4,0)),"کد ناشناخته")))</f>
        <v/>
      </c>
      <c r="G1610" s="15" t="n"/>
      <c r="H1610" s="21">
        <f>IF(OR($C1610&lt;&gt;"دستمزد گروهی",$D1610=""),"",SUMIFS(ShareAmt,ShareLink,$D1610))</f>
        <v/>
      </c>
      <c r="I1610" s="22">
        <f>IF($C1610&lt;&gt;"دستمزد گروهی","—",IF($H1610="","",IF(ROUND($H1610-IF($G1610="",0,$G1610),0)=0,"√","▲ مغایرت "&amp;TEXT(IF($G1610="",0,$G1610)-$H1610,"#,##0"))))</f>
        <v/>
      </c>
      <c r="J1610" s="18" t="n"/>
    </row>
    <row r="1611">
      <c r="A1611" s="10">
        <f>IF($B1611="","",COUNTA($B$9:$B1611))</f>
        <v/>
      </c>
      <c r="B1611" s="11" t="n"/>
      <c r="C1611" s="12" t="n"/>
      <c r="D1611" s="12" t="n"/>
      <c r="E1611" s="13" t="n"/>
      <c r="F1611" s="14">
        <f>IF($E1611="","",IF($C1611="دستمزد گروهی",IFERROR(VLOOKUP($E1611,WGTbl,2,0),"کد ناشناخته"),IFERROR(IF(VLOOKUP($E1611,AcctTblE,4,0)="","(بدون نام)",VLOOKUP($E1611,AcctTblE,4,0)),"کد ناشناخته")))</f>
        <v/>
      </c>
      <c r="G1611" s="15" t="n"/>
      <c r="H1611" s="16">
        <f>IF(OR($C1611&lt;&gt;"دستمزد گروهی",$D1611=""),"",SUMIFS(ShareAmt,ShareLink,$D1611))</f>
        <v/>
      </c>
      <c r="I1611" s="17">
        <f>IF($C1611&lt;&gt;"دستمزد گروهی","—",IF($H1611="","",IF(ROUND($H1611-IF($G1611="",0,$G1611),0)=0,"√","▲ مغایرت "&amp;TEXT(IF($G1611="",0,$G1611)-$H1611,"#,##0"))))</f>
        <v/>
      </c>
      <c r="J1611" s="18" t="n"/>
    </row>
    <row r="1612">
      <c r="A1612" s="19">
        <f>IF($B1612="","",COUNTA($B$9:$B1612))</f>
        <v/>
      </c>
      <c r="B1612" s="11" t="n"/>
      <c r="C1612" s="12" t="n"/>
      <c r="D1612" s="12" t="n"/>
      <c r="E1612" s="13" t="n"/>
      <c r="F1612" s="20">
        <f>IF($E1612="","",IF($C1612="دستمزد گروهی",IFERROR(VLOOKUP($E1612,WGTbl,2,0),"کد ناشناخته"),IFERROR(IF(VLOOKUP($E1612,AcctTblE,4,0)="","(بدون نام)",VLOOKUP($E1612,AcctTblE,4,0)),"کد ناشناخته")))</f>
        <v/>
      </c>
      <c r="G1612" s="15" t="n"/>
      <c r="H1612" s="21">
        <f>IF(OR($C1612&lt;&gt;"دستمزد گروهی",$D1612=""),"",SUMIFS(ShareAmt,ShareLink,$D1612))</f>
        <v/>
      </c>
      <c r="I1612" s="22">
        <f>IF($C1612&lt;&gt;"دستمزد گروهی","—",IF($H1612="","",IF(ROUND($H1612-IF($G1612="",0,$G1612),0)=0,"√","▲ مغایرت "&amp;TEXT(IF($G1612="",0,$G1612)-$H1612,"#,##0"))))</f>
        <v/>
      </c>
      <c r="J1612" s="18" t="n"/>
    </row>
    <row r="1613">
      <c r="A1613" s="10">
        <f>IF($B1613="","",COUNTA($B$9:$B1613))</f>
        <v/>
      </c>
      <c r="B1613" s="11" t="n"/>
      <c r="C1613" s="12" t="n"/>
      <c r="D1613" s="12" t="n"/>
      <c r="E1613" s="13" t="n"/>
      <c r="F1613" s="14">
        <f>IF($E1613="","",IF($C1613="دستمزد گروهی",IFERROR(VLOOKUP($E1613,WGTbl,2,0),"کد ناشناخته"),IFERROR(IF(VLOOKUP($E1613,AcctTblE,4,0)="","(بدون نام)",VLOOKUP($E1613,AcctTblE,4,0)),"کد ناشناخته")))</f>
        <v/>
      </c>
      <c r="G1613" s="15" t="n"/>
      <c r="H1613" s="16">
        <f>IF(OR($C1613&lt;&gt;"دستمزد گروهی",$D1613=""),"",SUMIFS(ShareAmt,ShareLink,$D1613))</f>
        <v/>
      </c>
      <c r="I1613" s="17">
        <f>IF($C1613&lt;&gt;"دستمزد گروهی","—",IF($H1613="","",IF(ROUND($H1613-IF($G1613="",0,$G1613),0)=0,"√","▲ مغایرت "&amp;TEXT(IF($G1613="",0,$G1613)-$H1613,"#,##0"))))</f>
        <v/>
      </c>
      <c r="J1613" s="18" t="n"/>
    </row>
    <row r="1614">
      <c r="A1614" s="19">
        <f>IF($B1614="","",COUNTA($B$9:$B1614))</f>
        <v/>
      </c>
      <c r="B1614" s="11" t="n"/>
      <c r="C1614" s="12" t="n"/>
      <c r="D1614" s="12" t="n"/>
      <c r="E1614" s="13" t="n"/>
      <c r="F1614" s="20">
        <f>IF($E1614="","",IF($C1614="دستمزد گروهی",IFERROR(VLOOKUP($E1614,WGTbl,2,0),"کد ناشناخته"),IFERROR(IF(VLOOKUP($E1614,AcctTblE,4,0)="","(بدون نام)",VLOOKUP($E1614,AcctTblE,4,0)),"کد ناشناخته")))</f>
        <v/>
      </c>
      <c r="G1614" s="15" t="n"/>
      <c r="H1614" s="21">
        <f>IF(OR($C1614&lt;&gt;"دستمزد گروهی",$D1614=""),"",SUMIFS(ShareAmt,ShareLink,$D1614))</f>
        <v/>
      </c>
      <c r="I1614" s="22">
        <f>IF($C1614&lt;&gt;"دستمزد گروهی","—",IF($H1614="","",IF(ROUND($H1614-IF($G1614="",0,$G1614),0)=0,"√","▲ مغایرت "&amp;TEXT(IF($G1614="",0,$G1614)-$H1614,"#,##0"))))</f>
        <v/>
      </c>
      <c r="J1614" s="18" t="n"/>
    </row>
    <row r="1615">
      <c r="A1615" s="10">
        <f>IF($B1615="","",COUNTA($B$9:$B1615))</f>
        <v/>
      </c>
      <c r="B1615" s="11" t="n"/>
      <c r="C1615" s="12" t="n"/>
      <c r="D1615" s="12" t="n"/>
      <c r="E1615" s="13" t="n"/>
      <c r="F1615" s="14">
        <f>IF($E1615="","",IF($C1615="دستمزد گروهی",IFERROR(VLOOKUP($E1615,WGTbl,2,0),"کد ناشناخته"),IFERROR(IF(VLOOKUP($E1615,AcctTblE,4,0)="","(بدون نام)",VLOOKUP($E1615,AcctTblE,4,0)),"کد ناشناخته")))</f>
        <v/>
      </c>
      <c r="G1615" s="15" t="n"/>
      <c r="H1615" s="16">
        <f>IF(OR($C1615&lt;&gt;"دستمزد گروهی",$D1615=""),"",SUMIFS(ShareAmt,ShareLink,$D1615))</f>
        <v/>
      </c>
      <c r="I1615" s="17">
        <f>IF($C1615&lt;&gt;"دستمزد گروهی","—",IF($H1615="","",IF(ROUND($H1615-IF($G1615="",0,$G1615),0)=0,"√","▲ مغایرت "&amp;TEXT(IF($G1615="",0,$G1615)-$H1615,"#,##0"))))</f>
        <v/>
      </c>
      <c r="J1615" s="18" t="n"/>
    </row>
    <row r="1616">
      <c r="A1616" s="19">
        <f>IF($B1616="","",COUNTA($B$9:$B1616))</f>
        <v/>
      </c>
      <c r="B1616" s="11" t="n"/>
      <c r="C1616" s="12" t="n"/>
      <c r="D1616" s="12" t="n"/>
      <c r="E1616" s="13" t="n"/>
      <c r="F1616" s="20">
        <f>IF($E1616="","",IF($C1616="دستمزد گروهی",IFERROR(VLOOKUP($E1616,WGTbl,2,0),"کد ناشناخته"),IFERROR(IF(VLOOKUP($E1616,AcctTblE,4,0)="","(بدون نام)",VLOOKUP($E1616,AcctTblE,4,0)),"کد ناشناخته")))</f>
        <v/>
      </c>
      <c r="G1616" s="15" t="n"/>
      <c r="H1616" s="21">
        <f>IF(OR($C1616&lt;&gt;"دستمزد گروهی",$D1616=""),"",SUMIFS(ShareAmt,ShareLink,$D1616))</f>
        <v/>
      </c>
      <c r="I1616" s="22">
        <f>IF($C1616&lt;&gt;"دستمزد گروهی","—",IF($H1616="","",IF(ROUND($H1616-IF($G1616="",0,$G1616),0)=0,"√","▲ مغایرت "&amp;TEXT(IF($G1616="",0,$G1616)-$H1616,"#,##0"))))</f>
        <v/>
      </c>
      <c r="J1616" s="18" t="n"/>
    </row>
    <row r="1617">
      <c r="A1617" s="10">
        <f>IF($B1617="","",COUNTA($B$9:$B1617))</f>
        <v/>
      </c>
      <c r="B1617" s="11" t="n"/>
      <c r="C1617" s="12" t="n"/>
      <c r="D1617" s="12" t="n"/>
      <c r="E1617" s="13" t="n"/>
      <c r="F1617" s="14">
        <f>IF($E1617="","",IF($C1617="دستمزد گروهی",IFERROR(VLOOKUP($E1617,WGTbl,2,0),"کد ناشناخته"),IFERROR(IF(VLOOKUP($E1617,AcctTblE,4,0)="","(بدون نام)",VLOOKUP($E1617,AcctTblE,4,0)),"کد ناشناخته")))</f>
        <v/>
      </c>
      <c r="G1617" s="15" t="n"/>
      <c r="H1617" s="16">
        <f>IF(OR($C1617&lt;&gt;"دستمزد گروهی",$D1617=""),"",SUMIFS(ShareAmt,ShareLink,$D1617))</f>
        <v/>
      </c>
      <c r="I1617" s="17">
        <f>IF($C1617&lt;&gt;"دستمزد گروهی","—",IF($H1617="","",IF(ROUND($H1617-IF($G1617="",0,$G1617),0)=0,"√","▲ مغایرت "&amp;TEXT(IF($G1617="",0,$G1617)-$H1617,"#,##0"))))</f>
        <v/>
      </c>
      <c r="J1617" s="18" t="n"/>
    </row>
    <row r="1618">
      <c r="A1618" s="19">
        <f>IF($B1618="","",COUNTA($B$9:$B1618))</f>
        <v/>
      </c>
      <c r="B1618" s="11" t="n"/>
      <c r="C1618" s="12" t="n"/>
      <c r="D1618" s="12" t="n"/>
      <c r="E1618" s="13" t="n"/>
      <c r="F1618" s="20">
        <f>IF($E1618="","",IF($C1618="دستمزد گروهی",IFERROR(VLOOKUP($E1618,WGTbl,2,0),"کد ناشناخته"),IFERROR(IF(VLOOKUP($E1618,AcctTblE,4,0)="","(بدون نام)",VLOOKUP($E1618,AcctTblE,4,0)),"کد ناشناخته")))</f>
        <v/>
      </c>
      <c r="G1618" s="15" t="n"/>
      <c r="H1618" s="21">
        <f>IF(OR($C1618&lt;&gt;"دستمزد گروهی",$D1618=""),"",SUMIFS(ShareAmt,ShareLink,$D1618))</f>
        <v/>
      </c>
      <c r="I1618" s="22">
        <f>IF($C1618&lt;&gt;"دستمزد گروهی","—",IF($H1618="","",IF(ROUND($H1618-IF($G1618="",0,$G1618),0)=0,"√","▲ مغایرت "&amp;TEXT(IF($G1618="",0,$G1618)-$H1618,"#,##0"))))</f>
        <v/>
      </c>
      <c r="J1618" s="18" t="n"/>
    </row>
    <row r="1619">
      <c r="A1619" s="10">
        <f>IF($B1619="","",COUNTA($B$9:$B1619))</f>
        <v/>
      </c>
      <c r="B1619" s="11" t="n"/>
      <c r="C1619" s="12" t="n"/>
      <c r="D1619" s="12" t="n"/>
      <c r="E1619" s="13" t="n"/>
      <c r="F1619" s="14">
        <f>IF($E1619="","",IF($C1619="دستمزد گروهی",IFERROR(VLOOKUP($E1619,WGTbl,2,0),"کد ناشناخته"),IFERROR(IF(VLOOKUP($E1619,AcctTblE,4,0)="","(بدون نام)",VLOOKUP($E1619,AcctTblE,4,0)),"کد ناشناخته")))</f>
        <v/>
      </c>
      <c r="G1619" s="15" t="n"/>
      <c r="H1619" s="16">
        <f>IF(OR($C1619&lt;&gt;"دستمزد گروهی",$D1619=""),"",SUMIFS(ShareAmt,ShareLink,$D1619))</f>
        <v/>
      </c>
      <c r="I1619" s="17">
        <f>IF($C1619&lt;&gt;"دستمزد گروهی","—",IF($H1619="","",IF(ROUND($H1619-IF($G1619="",0,$G1619),0)=0,"√","▲ مغایرت "&amp;TEXT(IF($G1619="",0,$G1619)-$H1619,"#,##0"))))</f>
        <v/>
      </c>
      <c r="J1619" s="18" t="n"/>
    </row>
    <row r="1620">
      <c r="A1620" s="19">
        <f>IF($B1620="","",COUNTA($B$9:$B1620))</f>
        <v/>
      </c>
      <c r="B1620" s="11" t="n"/>
      <c r="C1620" s="12" t="n"/>
      <c r="D1620" s="12" t="n"/>
      <c r="E1620" s="13" t="n"/>
      <c r="F1620" s="20">
        <f>IF($E1620="","",IF($C1620="دستمزد گروهی",IFERROR(VLOOKUP($E1620,WGTbl,2,0),"کد ناشناخته"),IFERROR(IF(VLOOKUP($E1620,AcctTblE,4,0)="","(بدون نام)",VLOOKUP($E1620,AcctTblE,4,0)),"کد ناشناخته")))</f>
        <v/>
      </c>
      <c r="G1620" s="15" t="n"/>
      <c r="H1620" s="21">
        <f>IF(OR($C1620&lt;&gt;"دستمزد گروهی",$D1620=""),"",SUMIFS(ShareAmt,ShareLink,$D1620))</f>
        <v/>
      </c>
      <c r="I1620" s="22">
        <f>IF($C1620&lt;&gt;"دستمزد گروهی","—",IF($H1620="","",IF(ROUND($H1620-IF($G1620="",0,$G1620),0)=0,"√","▲ مغایرت "&amp;TEXT(IF($G1620="",0,$G1620)-$H1620,"#,##0"))))</f>
        <v/>
      </c>
      <c r="J1620" s="18" t="n"/>
    </row>
    <row r="1621">
      <c r="A1621" s="10">
        <f>IF($B1621="","",COUNTA($B$9:$B1621))</f>
        <v/>
      </c>
      <c r="B1621" s="11" t="n"/>
      <c r="C1621" s="12" t="n"/>
      <c r="D1621" s="12" t="n"/>
      <c r="E1621" s="13" t="n"/>
      <c r="F1621" s="14">
        <f>IF($E1621="","",IF($C1621="دستمزد گروهی",IFERROR(VLOOKUP($E1621,WGTbl,2,0),"کد ناشناخته"),IFERROR(IF(VLOOKUP($E1621,AcctTblE,4,0)="","(بدون نام)",VLOOKUP($E1621,AcctTblE,4,0)),"کد ناشناخته")))</f>
        <v/>
      </c>
      <c r="G1621" s="15" t="n"/>
      <c r="H1621" s="16">
        <f>IF(OR($C1621&lt;&gt;"دستمزد گروهی",$D1621=""),"",SUMIFS(ShareAmt,ShareLink,$D1621))</f>
        <v/>
      </c>
      <c r="I1621" s="17">
        <f>IF($C1621&lt;&gt;"دستمزد گروهی","—",IF($H1621="","",IF(ROUND($H1621-IF($G1621="",0,$G1621),0)=0,"√","▲ مغایرت "&amp;TEXT(IF($G1621="",0,$G1621)-$H1621,"#,##0"))))</f>
        <v/>
      </c>
      <c r="J1621" s="18" t="n"/>
    </row>
    <row r="1622">
      <c r="A1622" s="19">
        <f>IF($B1622="","",COUNTA($B$9:$B1622))</f>
        <v/>
      </c>
      <c r="B1622" s="11" t="n"/>
      <c r="C1622" s="12" t="n"/>
      <c r="D1622" s="12" t="n"/>
      <c r="E1622" s="13" t="n"/>
      <c r="F1622" s="20">
        <f>IF($E1622="","",IF($C1622="دستمزد گروهی",IFERROR(VLOOKUP($E1622,WGTbl,2,0),"کد ناشناخته"),IFERROR(IF(VLOOKUP($E1622,AcctTblE,4,0)="","(بدون نام)",VLOOKUP($E1622,AcctTblE,4,0)),"کد ناشناخته")))</f>
        <v/>
      </c>
      <c r="G1622" s="15" t="n"/>
      <c r="H1622" s="21">
        <f>IF(OR($C1622&lt;&gt;"دستمزد گروهی",$D1622=""),"",SUMIFS(ShareAmt,ShareLink,$D1622))</f>
        <v/>
      </c>
      <c r="I1622" s="22">
        <f>IF($C1622&lt;&gt;"دستمزد گروهی","—",IF($H1622="","",IF(ROUND($H1622-IF($G1622="",0,$G1622),0)=0,"√","▲ مغایرت "&amp;TEXT(IF($G1622="",0,$G1622)-$H1622,"#,##0"))))</f>
        <v/>
      </c>
      <c r="J1622" s="18" t="n"/>
    </row>
    <row r="1623">
      <c r="A1623" s="10">
        <f>IF($B1623="","",COUNTA($B$9:$B1623))</f>
        <v/>
      </c>
      <c r="B1623" s="11" t="n"/>
      <c r="C1623" s="12" t="n"/>
      <c r="D1623" s="12" t="n"/>
      <c r="E1623" s="13" t="n"/>
      <c r="F1623" s="14">
        <f>IF($E1623="","",IF($C1623="دستمزد گروهی",IFERROR(VLOOKUP($E1623,WGTbl,2,0),"کد ناشناخته"),IFERROR(IF(VLOOKUP($E1623,AcctTblE,4,0)="","(بدون نام)",VLOOKUP($E1623,AcctTblE,4,0)),"کد ناشناخته")))</f>
        <v/>
      </c>
      <c r="G1623" s="15" t="n"/>
      <c r="H1623" s="16">
        <f>IF(OR($C1623&lt;&gt;"دستمزد گروهی",$D1623=""),"",SUMIFS(ShareAmt,ShareLink,$D1623))</f>
        <v/>
      </c>
      <c r="I1623" s="17">
        <f>IF($C1623&lt;&gt;"دستمزد گروهی","—",IF($H1623="","",IF(ROUND($H1623-IF($G1623="",0,$G1623),0)=0,"√","▲ مغایرت "&amp;TEXT(IF($G1623="",0,$G1623)-$H1623,"#,##0"))))</f>
        <v/>
      </c>
      <c r="J1623" s="18" t="n"/>
    </row>
    <row r="1624">
      <c r="A1624" s="19">
        <f>IF($B1624="","",COUNTA($B$9:$B1624))</f>
        <v/>
      </c>
      <c r="B1624" s="11" t="n"/>
      <c r="C1624" s="12" t="n"/>
      <c r="D1624" s="12" t="n"/>
      <c r="E1624" s="13" t="n"/>
      <c r="F1624" s="20">
        <f>IF($E1624="","",IF($C1624="دستمزد گروهی",IFERROR(VLOOKUP($E1624,WGTbl,2,0),"کد ناشناخته"),IFERROR(IF(VLOOKUP($E1624,AcctTblE,4,0)="","(بدون نام)",VLOOKUP($E1624,AcctTblE,4,0)),"کد ناشناخته")))</f>
        <v/>
      </c>
      <c r="G1624" s="15" t="n"/>
      <c r="H1624" s="21">
        <f>IF(OR($C1624&lt;&gt;"دستمزد گروهی",$D1624=""),"",SUMIFS(ShareAmt,ShareLink,$D1624))</f>
        <v/>
      </c>
      <c r="I1624" s="22">
        <f>IF($C1624&lt;&gt;"دستمزد گروهی","—",IF($H1624="","",IF(ROUND($H1624-IF($G1624="",0,$G1624),0)=0,"√","▲ مغایرت "&amp;TEXT(IF($G1624="",0,$G1624)-$H1624,"#,##0"))))</f>
        <v/>
      </c>
      <c r="J1624" s="18" t="n"/>
    </row>
    <row r="1625">
      <c r="A1625" s="10">
        <f>IF($B1625="","",COUNTA($B$9:$B1625))</f>
        <v/>
      </c>
      <c r="B1625" s="11" t="n"/>
      <c r="C1625" s="12" t="n"/>
      <c r="D1625" s="12" t="n"/>
      <c r="E1625" s="13" t="n"/>
      <c r="F1625" s="14">
        <f>IF($E1625="","",IF($C1625="دستمزد گروهی",IFERROR(VLOOKUP($E1625,WGTbl,2,0),"کد ناشناخته"),IFERROR(IF(VLOOKUP($E1625,AcctTblE,4,0)="","(بدون نام)",VLOOKUP($E1625,AcctTblE,4,0)),"کد ناشناخته")))</f>
        <v/>
      </c>
      <c r="G1625" s="15" t="n"/>
      <c r="H1625" s="16">
        <f>IF(OR($C1625&lt;&gt;"دستمزد گروهی",$D1625=""),"",SUMIFS(ShareAmt,ShareLink,$D1625))</f>
        <v/>
      </c>
      <c r="I1625" s="17">
        <f>IF($C1625&lt;&gt;"دستمزد گروهی","—",IF($H1625="","",IF(ROUND($H1625-IF($G1625="",0,$G1625),0)=0,"√","▲ مغایرت "&amp;TEXT(IF($G1625="",0,$G1625)-$H1625,"#,##0"))))</f>
        <v/>
      </c>
      <c r="J1625" s="18" t="n"/>
    </row>
    <row r="1626">
      <c r="A1626" s="19">
        <f>IF($B1626="","",COUNTA($B$9:$B1626))</f>
        <v/>
      </c>
      <c r="B1626" s="11" t="n"/>
      <c r="C1626" s="12" t="n"/>
      <c r="D1626" s="12" t="n"/>
      <c r="E1626" s="13" t="n"/>
      <c r="F1626" s="20">
        <f>IF($E1626="","",IF($C1626="دستمزد گروهی",IFERROR(VLOOKUP($E1626,WGTbl,2,0),"کد ناشناخته"),IFERROR(IF(VLOOKUP($E1626,AcctTblE,4,0)="","(بدون نام)",VLOOKUP($E1626,AcctTblE,4,0)),"کد ناشناخته")))</f>
        <v/>
      </c>
      <c r="G1626" s="15" t="n"/>
      <c r="H1626" s="21">
        <f>IF(OR($C1626&lt;&gt;"دستمزد گروهی",$D1626=""),"",SUMIFS(ShareAmt,ShareLink,$D1626))</f>
        <v/>
      </c>
      <c r="I1626" s="22">
        <f>IF($C1626&lt;&gt;"دستمزد گروهی","—",IF($H1626="","",IF(ROUND($H1626-IF($G1626="",0,$G1626),0)=0,"√","▲ مغایرت "&amp;TEXT(IF($G1626="",0,$G1626)-$H1626,"#,##0"))))</f>
        <v/>
      </c>
      <c r="J1626" s="18" t="n"/>
    </row>
    <row r="1627">
      <c r="A1627" s="10">
        <f>IF($B1627="","",COUNTA($B$9:$B1627))</f>
        <v/>
      </c>
      <c r="B1627" s="11" t="n"/>
      <c r="C1627" s="12" t="n"/>
      <c r="D1627" s="12" t="n"/>
      <c r="E1627" s="13" t="n"/>
      <c r="F1627" s="14">
        <f>IF($E1627="","",IF($C1627="دستمزد گروهی",IFERROR(VLOOKUP($E1627,WGTbl,2,0),"کد ناشناخته"),IFERROR(IF(VLOOKUP($E1627,AcctTblE,4,0)="","(بدون نام)",VLOOKUP($E1627,AcctTblE,4,0)),"کد ناشناخته")))</f>
        <v/>
      </c>
      <c r="G1627" s="15" t="n"/>
      <c r="H1627" s="16">
        <f>IF(OR($C1627&lt;&gt;"دستمزد گروهی",$D1627=""),"",SUMIFS(ShareAmt,ShareLink,$D1627))</f>
        <v/>
      </c>
      <c r="I1627" s="17">
        <f>IF($C1627&lt;&gt;"دستمزد گروهی","—",IF($H1627="","",IF(ROUND($H1627-IF($G1627="",0,$G1627),0)=0,"√","▲ مغایرت "&amp;TEXT(IF($G1627="",0,$G1627)-$H1627,"#,##0"))))</f>
        <v/>
      </c>
      <c r="J1627" s="18" t="n"/>
    </row>
    <row r="1628">
      <c r="A1628" s="19">
        <f>IF($B1628="","",COUNTA($B$9:$B1628))</f>
        <v/>
      </c>
      <c r="B1628" s="11" t="n"/>
      <c r="C1628" s="12" t="n"/>
      <c r="D1628" s="12" t="n"/>
      <c r="E1628" s="13" t="n"/>
      <c r="F1628" s="20">
        <f>IF($E1628="","",IF($C1628="دستمزد گروهی",IFERROR(VLOOKUP($E1628,WGTbl,2,0),"کد ناشناخته"),IFERROR(IF(VLOOKUP($E1628,AcctTblE,4,0)="","(بدون نام)",VLOOKUP($E1628,AcctTblE,4,0)),"کد ناشناخته")))</f>
        <v/>
      </c>
      <c r="G1628" s="15" t="n"/>
      <c r="H1628" s="21">
        <f>IF(OR($C1628&lt;&gt;"دستمزد گروهی",$D1628=""),"",SUMIFS(ShareAmt,ShareLink,$D1628))</f>
        <v/>
      </c>
      <c r="I1628" s="22">
        <f>IF($C1628&lt;&gt;"دستمزد گروهی","—",IF($H1628="","",IF(ROUND($H1628-IF($G1628="",0,$G1628),0)=0,"√","▲ مغایرت "&amp;TEXT(IF($G1628="",0,$G1628)-$H1628,"#,##0"))))</f>
        <v/>
      </c>
      <c r="J1628" s="18" t="n"/>
    </row>
    <row r="1629">
      <c r="A1629" s="10">
        <f>IF($B1629="","",COUNTA($B$9:$B1629))</f>
        <v/>
      </c>
      <c r="B1629" s="11" t="n"/>
      <c r="C1629" s="12" t="n"/>
      <c r="D1629" s="12" t="n"/>
      <c r="E1629" s="13" t="n"/>
      <c r="F1629" s="14">
        <f>IF($E1629="","",IF($C1629="دستمزد گروهی",IFERROR(VLOOKUP($E1629,WGTbl,2,0),"کد ناشناخته"),IFERROR(IF(VLOOKUP($E1629,AcctTblE,4,0)="","(بدون نام)",VLOOKUP($E1629,AcctTblE,4,0)),"کد ناشناخته")))</f>
        <v/>
      </c>
      <c r="G1629" s="15" t="n"/>
      <c r="H1629" s="16">
        <f>IF(OR($C1629&lt;&gt;"دستمزد گروهی",$D1629=""),"",SUMIFS(ShareAmt,ShareLink,$D1629))</f>
        <v/>
      </c>
      <c r="I1629" s="17">
        <f>IF($C1629&lt;&gt;"دستمزد گروهی","—",IF($H1629="","",IF(ROUND($H1629-IF($G1629="",0,$G1629),0)=0,"√","▲ مغایرت "&amp;TEXT(IF($G1629="",0,$G1629)-$H1629,"#,##0"))))</f>
        <v/>
      </c>
      <c r="J1629" s="18" t="n"/>
    </row>
    <row r="1630">
      <c r="A1630" s="19">
        <f>IF($B1630="","",COUNTA($B$9:$B1630))</f>
        <v/>
      </c>
      <c r="B1630" s="11" t="n"/>
      <c r="C1630" s="12" t="n"/>
      <c r="D1630" s="12" t="n"/>
      <c r="E1630" s="13" t="n"/>
      <c r="F1630" s="20">
        <f>IF($E1630="","",IF($C1630="دستمزد گروهی",IFERROR(VLOOKUP($E1630,WGTbl,2,0),"کد ناشناخته"),IFERROR(IF(VLOOKUP($E1630,AcctTblE,4,0)="","(بدون نام)",VLOOKUP($E1630,AcctTblE,4,0)),"کد ناشناخته")))</f>
        <v/>
      </c>
      <c r="G1630" s="15" t="n"/>
      <c r="H1630" s="21">
        <f>IF(OR($C1630&lt;&gt;"دستمزد گروهی",$D1630=""),"",SUMIFS(ShareAmt,ShareLink,$D1630))</f>
        <v/>
      </c>
      <c r="I1630" s="22">
        <f>IF($C1630&lt;&gt;"دستمزد گروهی","—",IF($H1630="","",IF(ROUND($H1630-IF($G1630="",0,$G1630),0)=0,"√","▲ مغایرت "&amp;TEXT(IF($G1630="",0,$G1630)-$H1630,"#,##0"))))</f>
        <v/>
      </c>
      <c r="J1630" s="18" t="n"/>
    </row>
    <row r="1631">
      <c r="A1631" s="10">
        <f>IF($B1631="","",COUNTA($B$9:$B1631))</f>
        <v/>
      </c>
      <c r="B1631" s="11" t="n"/>
      <c r="C1631" s="12" t="n"/>
      <c r="D1631" s="12" t="n"/>
      <c r="E1631" s="13" t="n"/>
      <c r="F1631" s="14">
        <f>IF($E1631="","",IF($C1631="دستمزد گروهی",IFERROR(VLOOKUP($E1631,WGTbl,2,0),"کد ناشناخته"),IFERROR(IF(VLOOKUP($E1631,AcctTblE,4,0)="","(بدون نام)",VLOOKUP($E1631,AcctTblE,4,0)),"کد ناشناخته")))</f>
        <v/>
      </c>
      <c r="G1631" s="15" t="n"/>
      <c r="H1631" s="16">
        <f>IF(OR($C1631&lt;&gt;"دستمزد گروهی",$D1631=""),"",SUMIFS(ShareAmt,ShareLink,$D1631))</f>
        <v/>
      </c>
      <c r="I1631" s="17">
        <f>IF($C1631&lt;&gt;"دستمزد گروهی","—",IF($H1631="","",IF(ROUND($H1631-IF($G1631="",0,$G1631),0)=0,"√","▲ مغایرت "&amp;TEXT(IF($G1631="",0,$G1631)-$H1631,"#,##0"))))</f>
        <v/>
      </c>
      <c r="J1631" s="18" t="n"/>
    </row>
    <row r="1632">
      <c r="A1632" s="19">
        <f>IF($B1632="","",COUNTA($B$9:$B1632))</f>
        <v/>
      </c>
      <c r="B1632" s="11" t="n"/>
      <c r="C1632" s="12" t="n"/>
      <c r="D1632" s="12" t="n"/>
      <c r="E1632" s="13" t="n"/>
      <c r="F1632" s="20">
        <f>IF($E1632="","",IF($C1632="دستمزد گروهی",IFERROR(VLOOKUP($E1632,WGTbl,2,0),"کد ناشناخته"),IFERROR(IF(VLOOKUP($E1632,AcctTblE,4,0)="","(بدون نام)",VLOOKUP($E1632,AcctTblE,4,0)),"کد ناشناخته")))</f>
        <v/>
      </c>
      <c r="G1632" s="15" t="n"/>
      <c r="H1632" s="21">
        <f>IF(OR($C1632&lt;&gt;"دستمزد گروهی",$D1632=""),"",SUMIFS(ShareAmt,ShareLink,$D1632))</f>
        <v/>
      </c>
      <c r="I1632" s="22">
        <f>IF($C1632&lt;&gt;"دستمزد گروهی","—",IF($H1632="","",IF(ROUND($H1632-IF($G1632="",0,$G1632),0)=0,"√","▲ مغایرت "&amp;TEXT(IF($G1632="",0,$G1632)-$H1632,"#,##0"))))</f>
        <v/>
      </c>
      <c r="J1632" s="18" t="n"/>
    </row>
    <row r="1633">
      <c r="A1633" s="10">
        <f>IF($B1633="","",COUNTA($B$9:$B1633))</f>
        <v/>
      </c>
      <c r="B1633" s="11" t="n"/>
      <c r="C1633" s="12" t="n"/>
      <c r="D1633" s="12" t="n"/>
      <c r="E1633" s="13" t="n"/>
      <c r="F1633" s="14">
        <f>IF($E1633="","",IF($C1633="دستمزد گروهی",IFERROR(VLOOKUP($E1633,WGTbl,2,0),"کد ناشناخته"),IFERROR(IF(VLOOKUP($E1633,AcctTblE,4,0)="","(بدون نام)",VLOOKUP($E1633,AcctTblE,4,0)),"کد ناشناخته")))</f>
        <v/>
      </c>
      <c r="G1633" s="15" t="n"/>
      <c r="H1633" s="16">
        <f>IF(OR($C1633&lt;&gt;"دستمزد گروهی",$D1633=""),"",SUMIFS(ShareAmt,ShareLink,$D1633))</f>
        <v/>
      </c>
      <c r="I1633" s="17">
        <f>IF($C1633&lt;&gt;"دستمزد گروهی","—",IF($H1633="","",IF(ROUND($H1633-IF($G1633="",0,$G1633),0)=0,"√","▲ مغایرت "&amp;TEXT(IF($G1633="",0,$G1633)-$H1633,"#,##0"))))</f>
        <v/>
      </c>
      <c r="J1633" s="18" t="n"/>
    </row>
    <row r="1634">
      <c r="A1634" s="19">
        <f>IF($B1634="","",COUNTA($B$9:$B1634))</f>
        <v/>
      </c>
      <c r="B1634" s="11" t="n"/>
      <c r="C1634" s="12" t="n"/>
      <c r="D1634" s="12" t="n"/>
      <c r="E1634" s="13" t="n"/>
      <c r="F1634" s="20">
        <f>IF($E1634="","",IF($C1634="دستمزد گروهی",IFERROR(VLOOKUP($E1634,WGTbl,2,0),"کد ناشناخته"),IFERROR(IF(VLOOKUP($E1634,AcctTblE,4,0)="","(بدون نام)",VLOOKUP($E1634,AcctTblE,4,0)),"کد ناشناخته")))</f>
        <v/>
      </c>
      <c r="G1634" s="15" t="n"/>
      <c r="H1634" s="21">
        <f>IF(OR($C1634&lt;&gt;"دستمزد گروهی",$D1634=""),"",SUMIFS(ShareAmt,ShareLink,$D1634))</f>
        <v/>
      </c>
      <c r="I1634" s="22">
        <f>IF($C1634&lt;&gt;"دستمزد گروهی","—",IF($H1634="","",IF(ROUND($H1634-IF($G1634="",0,$G1634),0)=0,"√","▲ مغایرت "&amp;TEXT(IF($G1634="",0,$G1634)-$H1634,"#,##0"))))</f>
        <v/>
      </c>
      <c r="J1634" s="18" t="n"/>
    </row>
    <row r="1635">
      <c r="A1635" s="10">
        <f>IF($B1635="","",COUNTA($B$9:$B1635))</f>
        <v/>
      </c>
      <c r="B1635" s="11" t="n"/>
      <c r="C1635" s="12" t="n"/>
      <c r="D1635" s="12" t="n"/>
      <c r="E1635" s="13" t="n"/>
      <c r="F1635" s="14">
        <f>IF($E1635="","",IF($C1635="دستمزد گروهی",IFERROR(VLOOKUP($E1635,WGTbl,2,0),"کد ناشناخته"),IFERROR(IF(VLOOKUP($E1635,AcctTblE,4,0)="","(بدون نام)",VLOOKUP($E1635,AcctTblE,4,0)),"کد ناشناخته")))</f>
        <v/>
      </c>
      <c r="G1635" s="15" t="n"/>
      <c r="H1635" s="16">
        <f>IF(OR($C1635&lt;&gt;"دستمزد گروهی",$D1635=""),"",SUMIFS(ShareAmt,ShareLink,$D1635))</f>
        <v/>
      </c>
      <c r="I1635" s="17">
        <f>IF($C1635&lt;&gt;"دستمزد گروهی","—",IF($H1635="","",IF(ROUND($H1635-IF($G1635="",0,$G1635),0)=0,"√","▲ مغایرت "&amp;TEXT(IF($G1635="",0,$G1635)-$H1635,"#,##0"))))</f>
        <v/>
      </c>
      <c r="J1635" s="18" t="n"/>
    </row>
    <row r="1636">
      <c r="A1636" s="19">
        <f>IF($B1636="","",COUNTA($B$9:$B1636))</f>
        <v/>
      </c>
      <c r="B1636" s="11" t="n"/>
      <c r="C1636" s="12" t="n"/>
      <c r="D1636" s="12" t="n"/>
      <c r="E1636" s="13" t="n"/>
      <c r="F1636" s="20">
        <f>IF($E1636="","",IF($C1636="دستمزد گروهی",IFERROR(VLOOKUP($E1636,WGTbl,2,0),"کد ناشناخته"),IFERROR(IF(VLOOKUP($E1636,AcctTblE,4,0)="","(بدون نام)",VLOOKUP($E1636,AcctTblE,4,0)),"کد ناشناخته")))</f>
        <v/>
      </c>
      <c r="G1636" s="15" t="n"/>
      <c r="H1636" s="21">
        <f>IF(OR($C1636&lt;&gt;"دستمزد گروهی",$D1636=""),"",SUMIFS(ShareAmt,ShareLink,$D1636))</f>
        <v/>
      </c>
      <c r="I1636" s="22">
        <f>IF($C1636&lt;&gt;"دستمزد گروهی","—",IF($H1636="","",IF(ROUND($H1636-IF($G1636="",0,$G1636),0)=0,"√","▲ مغایرت "&amp;TEXT(IF($G1636="",0,$G1636)-$H1636,"#,##0"))))</f>
        <v/>
      </c>
      <c r="J1636" s="18" t="n"/>
    </row>
    <row r="1637">
      <c r="A1637" s="10">
        <f>IF($B1637="","",COUNTA($B$9:$B1637))</f>
        <v/>
      </c>
      <c r="B1637" s="11" t="n"/>
      <c r="C1637" s="12" t="n"/>
      <c r="D1637" s="12" t="n"/>
      <c r="E1637" s="13" t="n"/>
      <c r="F1637" s="14">
        <f>IF($E1637="","",IF($C1637="دستمزد گروهی",IFERROR(VLOOKUP($E1637,WGTbl,2,0),"کد ناشناخته"),IFERROR(IF(VLOOKUP($E1637,AcctTblE,4,0)="","(بدون نام)",VLOOKUP($E1637,AcctTblE,4,0)),"کد ناشناخته")))</f>
        <v/>
      </c>
      <c r="G1637" s="15" t="n"/>
      <c r="H1637" s="16">
        <f>IF(OR($C1637&lt;&gt;"دستمزد گروهی",$D1637=""),"",SUMIFS(ShareAmt,ShareLink,$D1637))</f>
        <v/>
      </c>
      <c r="I1637" s="17">
        <f>IF($C1637&lt;&gt;"دستمزد گروهی","—",IF($H1637="","",IF(ROUND($H1637-IF($G1637="",0,$G1637),0)=0,"√","▲ مغایرت "&amp;TEXT(IF($G1637="",0,$G1637)-$H1637,"#,##0"))))</f>
        <v/>
      </c>
      <c r="J1637" s="18" t="n"/>
    </row>
    <row r="1638">
      <c r="A1638" s="19">
        <f>IF($B1638="","",COUNTA($B$9:$B1638))</f>
        <v/>
      </c>
      <c r="B1638" s="11" t="n"/>
      <c r="C1638" s="12" t="n"/>
      <c r="D1638" s="12" t="n"/>
      <c r="E1638" s="13" t="n"/>
      <c r="F1638" s="20">
        <f>IF($E1638="","",IF($C1638="دستمزد گروهی",IFERROR(VLOOKUP($E1638,WGTbl,2,0),"کد ناشناخته"),IFERROR(IF(VLOOKUP($E1638,AcctTblE,4,0)="","(بدون نام)",VLOOKUP($E1638,AcctTblE,4,0)),"کد ناشناخته")))</f>
        <v/>
      </c>
      <c r="G1638" s="15" t="n"/>
      <c r="H1638" s="21">
        <f>IF(OR($C1638&lt;&gt;"دستمزد گروهی",$D1638=""),"",SUMIFS(ShareAmt,ShareLink,$D1638))</f>
        <v/>
      </c>
      <c r="I1638" s="22">
        <f>IF($C1638&lt;&gt;"دستمزد گروهی","—",IF($H1638="","",IF(ROUND($H1638-IF($G1638="",0,$G1638),0)=0,"√","▲ مغایرت "&amp;TEXT(IF($G1638="",0,$G1638)-$H1638,"#,##0"))))</f>
        <v/>
      </c>
      <c r="J1638" s="18" t="n"/>
    </row>
    <row r="1639">
      <c r="A1639" s="10">
        <f>IF($B1639="","",COUNTA($B$9:$B1639))</f>
        <v/>
      </c>
      <c r="B1639" s="11" t="n"/>
      <c r="C1639" s="12" t="n"/>
      <c r="D1639" s="12" t="n"/>
      <c r="E1639" s="13" t="n"/>
      <c r="F1639" s="14">
        <f>IF($E1639="","",IF($C1639="دستمزد گروهی",IFERROR(VLOOKUP($E1639,WGTbl,2,0),"کد ناشناخته"),IFERROR(IF(VLOOKUP($E1639,AcctTblE,4,0)="","(بدون نام)",VLOOKUP($E1639,AcctTblE,4,0)),"کد ناشناخته")))</f>
        <v/>
      </c>
      <c r="G1639" s="15" t="n"/>
      <c r="H1639" s="16">
        <f>IF(OR($C1639&lt;&gt;"دستمزد گروهی",$D1639=""),"",SUMIFS(ShareAmt,ShareLink,$D1639))</f>
        <v/>
      </c>
      <c r="I1639" s="17">
        <f>IF($C1639&lt;&gt;"دستمزد گروهی","—",IF($H1639="","",IF(ROUND($H1639-IF($G1639="",0,$G1639),0)=0,"√","▲ مغایرت "&amp;TEXT(IF($G1639="",0,$G1639)-$H1639,"#,##0"))))</f>
        <v/>
      </c>
      <c r="J1639" s="18" t="n"/>
    </row>
    <row r="1640">
      <c r="A1640" s="19">
        <f>IF($B1640="","",COUNTA($B$9:$B1640))</f>
        <v/>
      </c>
      <c r="B1640" s="11" t="n"/>
      <c r="C1640" s="12" t="n"/>
      <c r="D1640" s="12" t="n"/>
      <c r="E1640" s="13" t="n"/>
      <c r="F1640" s="20">
        <f>IF($E1640="","",IF($C1640="دستمزد گروهی",IFERROR(VLOOKUP($E1640,WGTbl,2,0),"کد ناشناخته"),IFERROR(IF(VLOOKUP($E1640,AcctTblE,4,0)="","(بدون نام)",VLOOKUP($E1640,AcctTblE,4,0)),"کد ناشناخته")))</f>
        <v/>
      </c>
      <c r="G1640" s="15" t="n"/>
      <c r="H1640" s="21">
        <f>IF(OR($C1640&lt;&gt;"دستمزد گروهی",$D1640=""),"",SUMIFS(ShareAmt,ShareLink,$D1640))</f>
        <v/>
      </c>
      <c r="I1640" s="22">
        <f>IF($C1640&lt;&gt;"دستمزد گروهی","—",IF($H1640="","",IF(ROUND($H1640-IF($G1640="",0,$G1640),0)=0,"√","▲ مغایرت "&amp;TEXT(IF($G1640="",0,$G1640)-$H1640,"#,##0"))))</f>
        <v/>
      </c>
      <c r="J1640" s="18" t="n"/>
    </row>
    <row r="1641">
      <c r="A1641" s="10">
        <f>IF($B1641="","",COUNTA($B$9:$B1641))</f>
        <v/>
      </c>
      <c r="B1641" s="11" t="n"/>
      <c r="C1641" s="12" t="n"/>
      <c r="D1641" s="12" t="n"/>
      <c r="E1641" s="13" t="n"/>
      <c r="F1641" s="14">
        <f>IF($E1641="","",IF($C1641="دستمزد گروهی",IFERROR(VLOOKUP($E1641,WGTbl,2,0),"کد ناشناخته"),IFERROR(IF(VLOOKUP($E1641,AcctTblE,4,0)="","(بدون نام)",VLOOKUP($E1641,AcctTblE,4,0)),"کد ناشناخته")))</f>
        <v/>
      </c>
      <c r="G1641" s="15" t="n"/>
      <c r="H1641" s="16">
        <f>IF(OR($C1641&lt;&gt;"دستمزد گروهی",$D1641=""),"",SUMIFS(ShareAmt,ShareLink,$D1641))</f>
        <v/>
      </c>
      <c r="I1641" s="17">
        <f>IF($C1641&lt;&gt;"دستمزد گروهی","—",IF($H1641="","",IF(ROUND($H1641-IF($G1641="",0,$G1641),0)=0,"√","▲ مغایرت "&amp;TEXT(IF($G1641="",0,$G1641)-$H1641,"#,##0"))))</f>
        <v/>
      </c>
      <c r="J1641" s="18" t="n"/>
    </row>
    <row r="1642">
      <c r="A1642" s="19">
        <f>IF($B1642="","",COUNTA($B$9:$B1642))</f>
        <v/>
      </c>
      <c r="B1642" s="11" t="n"/>
      <c r="C1642" s="12" t="n"/>
      <c r="D1642" s="12" t="n"/>
      <c r="E1642" s="13" t="n"/>
      <c r="F1642" s="20">
        <f>IF($E1642="","",IF($C1642="دستمزد گروهی",IFERROR(VLOOKUP($E1642,WGTbl,2,0),"کد ناشناخته"),IFERROR(IF(VLOOKUP($E1642,AcctTblE,4,0)="","(بدون نام)",VLOOKUP($E1642,AcctTblE,4,0)),"کد ناشناخته")))</f>
        <v/>
      </c>
      <c r="G1642" s="15" t="n"/>
      <c r="H1642" s="21">
        <f>IF(OR($C1642&lt;&gt;"دستمزد گروهی",$D1642=""),"",SUMIFS(ShareAmt,ShareLink,$D1642))</f>
        <v/>
      </c>
      <c r="I1642" s="22">
        <f>IF($C1642&lt;&gt;"دستمزد گروهی","—",IF($H1642="","",IF(ROUND($H1642-IF($G1642="",0,$G1642),0)=0,"√","▲ مغایرت "&amp;TEXT(IF($G1642="",0,$G1642)-$H1642,"#,##0"))))</f>
        <v/>
      </c>
      <c r="J1642" s="18" t="n"/>
    </row>
    <row r="1643">
      <c r="A1643" s="10">
        <f>IF($B1643="","",COUNTA($B$9:$B1643))</f>
        <v/>
      </c>
      <c r="B1643" s="11" t="n"/>
      <c r="C1643" s="12" t="n"/>
      <c r="D1643" s="12" t="n"/>
      <c r="E1643" s="13" t="n"/>
      <c r="F1643" s="14">
        <f>IF($E1643="","",IF($C1643="دستمزد گروهی",IFERROR(VLOOKUP($E1643,WGTbl,2,0),"کد ناشناخته"),IFERROR(IF(VLOOKUP($E1643,AcctTblE,4,0)="","(بدون نام)",VLOOKUP($E1643,AcctTblE,4,0)),"کد ناشناخته")))</f>
        <v/>
      </c>
      <c r="G1643" s="15" t="n"/>
      <c r="H1643" s="16">
        <f>IF(OR($C1643&lt;&gt;"دستمزد گروهی",$D1643=""),"",SUMIFS(ShareAmt,ShareLink,$D1643))</f>
        <v/>
      </c>
      <c r="I1643" s="17">
        <f>IF($C1643&lt;&gt;"دستمزد گروهی","—",IF($H1643="","",IF(ROUND($H1643-IF($G1643="",0,$G1643),0)=0,"√","▲ مغایرت "&amp;TEXT(IF($G1643="",0,$G1643)-$H1643,"#,##0"))))</f>
        <v/>
      </c>
      <c r="J1643" s="18" t="n"/>
    </row>
    <row r="1644">
      <c r="A1644" s="19">
        <f>IF($B1644="","",COUNTA($B$9:$B1644))</f>
        <v/>
      </c>
      <c r="B1644" s="11" t="n"/>
      <c r="C1644" s="12" t="n"/>
      <c r="D1644" s="12" t="n"/>
      <c r="E1644" s="13" t="n"/>
      <c r="F1644" s="20">
        <f>IF($E1644="","",IF($C1644="دستمزد گروهی",IFERROR(VLOOKUP($E1644,WGTbl,2,0),"کد ناشناخته"),IFERROR(IF(VLOOKUP($E1644,AcctTblE,4,0)="","(بدون نام)",VLOOKUP($E1644,AcctTblE,4,0)),"کد ناشناخته")))</f>
        <v/>
      </c>
      <c r="G1644" s="15" t="n"/>
      <c r="H1644" s="21">
        <f>IF(OR($C1644&lt;&gt;"دستمزد گروهی",$D1644=""),"",SUMIFS(ShareAmt,ShareLink,$D1644))</f>
        <v/>
      </c>
      <c r="I1644" s="22">
        <f>IF($C1644&lt;&gt;"دستمزد گروهی","—",IF($H1644="","",IF(ROUND($H1644-IF($G1644="",0,$G1644),0)=0,"√","▲ مغایرت "&amp;TEXT(IF($G1644="",0,$G1644)-$H1644,"#,##0"))))</f>
        <v/>
      </c>
      <c r="J1644" s="18" t="n"/>
    </row>
    <row r="1645">
      <c r="A1645" s="10">
        <f>IF($B1645="","",COUNTA($B$9:$B1645))</f>
        <v/>
      </c>
      <c r="B1645" s="11" t="n"/>
      <c r="C1645" s="12" t="n"/>
      <c r="D1645" s="12" t="n"/>
      <c r="E1645" s="13" t="n"/>
      <c r="F1645" s="14">
        <f>IF($E1645="","",IF($C1645="دستمزد گروهی",IFERROR(VLOOKUP($E1645,WGTbl,2,0),"کد ناشناخته"),IFERROR(IF(VLOOKUP($E1645,AcctTblE,4,0)="","(بدون نام)",VLOOKUP($E1645,AcctTblE,4,0)),"کد ناشناخته")))</f>
        <v/>
      </c>
      <c r="G1645" s="15" t="n"/>
      <c r="H1645" s="16">
        <f>IF(OR($C1645&lt;&gt;"دستمزد گروهی",$D1645=""),"",SUMIFS(ShareAmt,ShareLink,$D1645))</f>
        <v/>
      </c>
      <c r="I1645" s="17">
        <f>IF($C1645&lt;&gt;"دستمزد گروهی","—",IF($H1645="","",IF(ROUND($H1645-IF($G1645="",0,$G1645),0)=0,"√","▲ مغایرت "&amp;TEXT(IF($G1645="",0,$G1645)-$H1645,"#,##0"))))</f>
        <v/>
      </c>
      <c r="J1645" s="18" t="n"/>
    </row>
    <row r="1646">
      <c r="A1646" s="19">
        <f>IF($B1646="","",COUNTA($B$9:$B1646))</f>
        <v/>
      </c>
      <c r="B1646" s="11" t="n"/>
      <c r="C1646" s="12" t="n"/>
      <c r="D1646" s="12" t="n"/>
      <c r="E1646" s="13" t="n"/>
      <c r="F1646" s="20">
        <f>IF($E1646="","",IF($C1646="دستمزد گروهی",IFERROR(VLOOKUP($E1646,WGTbl,2,0),"کد ناشناخته"),IFERROR(IF(VLOOKUP($E1646,AcctTblE,4,0)="","(بدون نام)",VLOOKUP($E1646,AcctTblE,4,0)),"کد ناشناخته")))</f>
        <v/>
      </c>
      <c r="G1646" s="15" t="n"/>
      <c r="H1646" s="21">
        <f>IF(OR($C1646&lt;&gt;"دستمزد گروهی",$D1646=""),"",SUMIFS(ShareAmt,ShareLink,$D1646))</f>
        <v/>
      </c>
      <c r="I1646" s="22">
        <f>IF($C1646&lt;&gt;"دستمزد گروهی","—",IF($H1646="","",IF(ROUND($H1646-IF($G1646="",0,$G1646),0)=0,"√","▲ مغایرت "&amp;TEXT(IF($G1646="",0,$G1646)-$H1646,"#,##0"))))</f>
        <v/>
      </c>
      <c r="J1646" s="18" t="n"/>
    </row>
    <row r="1647">
      <c r="A1647" s="10">
        <f>IF($B1647="","",COUNTA($B$9:$B1647))</f>
        <v/>
      </c>
      <c r="B1647" s="11" t="n"/>
      <c r="C1647" s="12" t="n"/>
      <c r="D1647" s="12" t="n"/>
      <c r="E1647" s="13" t="n"/>
      <c r="F1647" s="14">
        <f>IF($E1647="","",IF($C1647="دستمزد گروهی",IFERROR(VLOOKUP($E1647,WGTbl,2,0),"کد ناشناخته"),IFERROR(IF(VLOOKUP($E1647,AcctTblE,4,0)="","(بدون نام)",VLOOKUP($E1647,AcctTblE,4,0)),"کد ناشناخته")))</f>
        <v/>
      </c>
      <c r="G1647" s="15" t="n"/>
      <c r="H1647" s="16">
        <f>IF(OR($C1647&lt;&gt;"دستمزد گروهی",$D1647=""),"",SUMIFS(ShareAmt,ShareLink,$D1647))</f>
        <v/>
      </c>
      <c r="I1647" s="17">
        <f>IF($C1647&lt;&gt;"دستمزد گروهی","—",IF($H1647="","",IF(ROUND($H1647-IF($G1647="",0,$G1647),0)=0,"√","▲ مغایرت "&amp;TEXT(IF($G1647="",0,$G1647)-$H1647,"#,##0"))))</f>
        <v/>
      </c>
      <c r="J1647" s="18" t="n"/>
    </row>
    <row r="1648">
      <c r="A1648" s="19">
        <f>IF($B1648="","",COUNTA($B$9:$B1648))</f>
        <v/>
      </c>
      <c r="B1648" s="11" t="n"/>
      <c r="C1648" s="12" t="n"/>
      <c r="D1648" s="12" t="n"/>
      <c r="E1648" s="13" t="n"/>
      <c r="F1648" s="20">
        <f>IF($E1648="","",IF($C1648="دستمزد گروهی",IFERROR(VLOOKUP($E1648,WGTbl,2,0),"کد ناشناخته"),IFERROR(IF(VLOOKUP($E1648,AcctTblE,4,0)="","(بدون نام)",VLOOKUP($E1648,AcctTblE,4,0)),"کد ناشناخته")))</f>
        <v/>
      </c>
      <c r="G1648" s="15" t="n"/>
      <c r="H1648" s="21">
        <f>IF(OR($C1648&lt;&gt;"دستمزد گروهی",$D1648=""),"",SUMIFS(ShareAmt,ShareLink,$D1648))</f>
        <v/>
      </c>
      <c r="I1648" s="22">
        <f>IF($C1648&lt;&gt;"دستمزد گروهی","—",IF($H1648="","",IF(ROUND($H1648-IF($G1648="",0,$G1648),0)=0,"√","▲ مغایرت "&amp;TEXT(IF($G1648="",0,$G1648)-$H1648,"#,##0"))))</f>
        <v/>
      </c>
      <c r="J1648" s="18" t="n"/>
    </row>
    <row r="1649">
      <c r="A1649" s="10">
        <f>IF($B1649="","",COUNTA($B$9:$B1649))</f>
        <v/>
      </c>
      <c r="B1649" s="11" t="n"/>
      <c r="C1649" s="12" t="n"/>
      <c r="D1649" s="12" t="n"/>
      <c r="E1649" s="13" t="n"/>
      <c r="F1649" s="14">
        <f>IF($E1649="","",IF($C1649="دستمزد گروهی",IFERROR(VLOOKUP($E1649,WGTbl,2,0),"کد ناشناخته"),IFERROR(IF(VLOOKUP($E1649,AcctTblE,4,0)="","(بدون نام)",VLOOKUP($E1649,AcctTblE,4,0)),"کد ناشناخته")))</f>
        <v/>
      </c>
      <c r="G1649" s="15" t="n"/>
      <c r="H1649" s="16">
        <f>IF(OR($C1649&lt;&gt;"دستمزد گروهی",$D1649=""),"",SUMIFS(ShareAmt,ShareLink,$D1649))</f>
        <v/>
      </c>
      <c r="I1649" s="17">
        <f>IF($C1649&lt;&gt;"دستمزد گروهی","—",IF($H1649="","",IF(ROUND($H1649-IF($G1649="",0,$G1649),0)=0,"√","▲ مغایرت "&amp;TEXT(IF($G1649="",0,$G1649)-$H1649,"#,##0"))))</f>
        <v/>
      </c>
      <c r="J1649" s="18" t="n"/>
    </row>
    <row r="1650">
      <c r="A1650" s="19">
        <f>IF($B1650="","",COUNTA($B$9:$B1650))</f>
        <v/>
      </c>
      <c r="B1650" s="11" t="n"/>
      <c r="C1650" s="12" t="n"/>
      <c r="D1650" s="12" t="n"/>
      <c r="E1650" s="13" t="n"/>
      <c r="F1650" s="20">
        <f>IF($E1650="","",IF($C1650="دستمزد گروهی",IFERROR(VLOOKUP($E1650,WGTbl,2,0),"کد ناشناخته"),IFERROR(IF(VLOOKUP($E1650,AcctTblE,4,0)="","(بدون نام)",VLOOKUP($E1650,AcctTblE,4,0)),"کد ناشناخته")))</f>
        <v/>
      </c>
      <c r="G1650" s="15" t="n"/>
      <c r="H1650" s="21">
        <f>IF(OR($C1650&lt;&gt;"دستمزد گروهی",$D1650=""),"",SUMIFS(ShareAmt,ShareLink,$D1650))</f>
        <v/>
      </c>
      <c r="I1650" s="22">
        <f>IF($C1650&lt;&gt;"دستمزد گروهی","—",IF($H1650="","",IF(ROUND($H1650-IF($G1650="",0,$G1650),0)=0,"√","▲ مغایرت "&amp;TEXT(IF($G1650="",0,$G1650)-$H1650,"#,##0"))))</f>
        <v/>
      </c>
      <c r="J1650" s="18" t="n"/>
    </row>
    <row r="1651">
      <c r="A1651" s="10">
        <f>IF($B1651="","",COUNTA($B$9:$B1651))</f>
        <v/>
      </c>
      <c r="B1651" s="11" t="n"/>
      <c r="C1651" s="12" t="n"/>
      <c r="D1651" s="12" t="n"/>
      <c r="E1651" s="13" t="n"/>
      <c r="F1651" s="14">
        <f>IF($E1651="","",IF($C1651="دستمزد گروهی",IFERROR(VLOOKUP($E1651,WGTbl,2,0),"کد ناشناخته"),IFERROR(IF(VLOOKUP($E1651,AcctTblE,4,0)="","(بدون نام)",VLOOKUP($E1651,AcctTblE,4,0)),"کد ناشناخته")))</f>
        <v/>
      </c>
      <c r="G1651" s="15" t="n"/>
      <c r="H1651" s="16">
        <f>IF(OR($C1651&lt;&gt;"دستمزد گروهی",$D1651=""),"",SUMIFS(ShareAmt,ShareLink,$D1651))</f>
        <v/>
      </c>
      <c r="I1651" s="17">
        <f>IF($C1651&lt;&gt;"دستمزد گروهی","—",IF($H1651="","",IF(ROUND($H1651-IF($G1651="",0,$G1651),0)=0,"√","▲ مغایرت "&amp;TEXT(IF($G1651="",0,$G1651)-$H1651,"#,##0"))))</f>
        <v/>
      </c>
      <c r="J1651" s="18" t="n"/>
    </row>
    <row r="1652">
      <c r="A1652" s="19">
        <f>IF($B1652="","",COUNTA($B$9:$B1652))</f>
        <v/>
      </c>
      <c r="B1652" s="11" t="n"/>
      <c r="C1652" s="12" t="n"/>
      <c r="D1652" s="12" t="n"/>
      <c r="E1652" s="13" t="n"/>
      <c r="F1652" s="20">
        <f>IF($E1652="","",IF($C1652="دستمزد گروهی",IFERROR(VLOOKUP($E1652,WGTbl,2,0),"کد ناشناخته"),IFERROR(IF(VLOOKUP($E1652,AcctTblE,4,0)="","(بدون نام)",VLOOKUP($E1652,AcctTblE,4,0)),"کد ناشناخته")))</f>
        <v/>
      </c>
      <c r="G1652" s="15" t="n"/>
      <c r="H1652" s="21">
        <f>IF(OR($C1652&lt;&gt;"دستمزد گروهی",$D1652=""),"",SUMIFS(ShareAmt,ShareLink,$D1652))</f>
        <v/>
      </c>
      <c r="I1652" s="22">
        <f>IF($C1652&lt;&gt;"دستمزد گروهی","—",IF($H1652="","",IF(ROUND($H1652-IF($G1652="",0,$G1652),0)=0,"√","▲ مغایرت "&amp;TEXT(IF($G1652="",0,$G1652)-$H1652,"#,##0"))))</f>
        <v/>
      </c>
      <c r="J1652" s="18" t="n"/>
    </row>
    <row r="1653">
      <c r="A1653" s="10">
        <f>IF($B1653="","",COUNTA($B$9:$B1653))</f>
        <v/>
      </c>
      <c r="B1653" s="11" t="n"/>
      <c r="C1653" s="12" t="n"/>
      <c r="D1653" s="12" t="n"/>
      <c r="E1653" s="13" t="n"/>
      <c r="F1653" s="14">
        <f>IF($E1653="","",IF($C1653="دستمزد گروهی",IFERROR(VLOOKUP($E1653,WGTbl,2,0),"کد ناشناخته"),IFERROR(IF(VLOOKUP($E1653,AcctTblE,4,0)="","(بدون نام)",VLOOKUP($E1653,AcctTblE,4,0)),"کد ناشناخته")))</f>
        <v/>
      </c>
      <c r="G1653" s="15" t="n"/>
      <c r="H1653" s="16">
        <f>IF(OR($C1653&lt;&gt;"دستمزد گروهی",$D1653=""),"",SUMIFS(ShareAmt,ShareLink,$D1653))</f>
        <v/>
      </c>
      <c r="I1653" s="17">
        <f>IF($C1653&lt;&gt;"دستمزد گروهی","—",IF($H1653="","",IF(ROUND($H1653-IF($G1653="",0,$G1653),0)=0,"√","▲ مغایرت "&amp;TEXT(IF($G1653="",0,$G1653)-$H1653,"#,##0"))))</f>
        <v/>
      </c>
      <c r="J1653" s="18" t="n"/>
    </row>
    <row r="1654">
      <c r="A1654" s="19">
        <f>IF($B1654="","",COUNTA($B$9:$B1654))</f>
        <v/>
      </c>
      <c r="B1654" s="11" t="n"/>
      <c r="C1654" s="12" t="n"/>
      <c r="D1654" s="12" t="n"/>
      <c r="E1654" s="13" t="n"/>
      <c r="F1654" s="20">
        <f>IF($E1654="","",IF($C1654="دستمزد گروهی",IFERROR(VLOOKUP($E1654,WGTbl,2,0),"کد ناشناخته"),IFERROR(IF(VLOOKUP($E1654,AcctTblE,4,0)="","(بدون نام)",VLOOKUP($E1654,AcctTblE,4,0)),"کد ناشناخته")))</f>
        <v/>
      </c>
      <c r="G1654" s="15" t="n"/>
      <c r="H1654" s="21">
        <f>IF(OR($C1654&lt;&gt;"دستمزد گروهی",$D1654=""),"",SUMIFS(ShareAmt,ShareLink,$D1654))</f>
        <v/>
      </c>
      <c r="I1654" s="22">
        <f>IF($C1654&lt;&gt;"دستمزد گروهی","—",IF($H1654="","",IF(ROUND($H1654-IF($G1654="",0,$G1654),0)=0,"√","▲ مغایرت "&amp;TEXT(IF($G1654="",0,$G1654)-$H1654,"#,##0"))))</f>
        <v/>
      </c>
      <c r="J1654" s="18" t="n"/>
    </row>
    <row r="1655">
      <c r="A1655" s="10">
        <f>IF($B1655="","",COUNTA($B$9:$B1655))</f>
        <v/>
      </c>
      <c r="B1655" s="11" t="n"/>
      <c r="C1655" s="12" t="n"/>
      <c r="D1655" s="12" t="n"/>
      <c r="E1655" s="13" t="n"/>
      <c r="F1655" s="14">
        <f>IF($E1655="","",IF($C1655="دستمزد گروهی",IFERROR(VLOOKUP($E1655,WGTbl,2,0),"کد ناشناخته"),IFERROR(IF(VLOOKUP($E1655,AcctTblE,4,0)="","(بدون نام)",VLOOKUP($E1655,AcctTblE,4,0)),"کد ناشناخته")))</f>
        <v/>
      </c>
      <c r="G1655" s="15" t="n"/>
      <c r="H1655" s="16">
        <f>IF(OR($C1655&lt;&gt;"دستمزد گروهی",$D1655=""),"",SUMIFS(ShareAmt,ShareLink,$D1655))</f>
        <v/>
      </c>
      <c r="I1655" s="17">
        <f>IF($C1655&lt;&gt;"دستمزد گروهی","—",IF($H1655="","",IF(ROUND($H1655-IF($G1655="",0,$G1655),0)=0,"√","▲ مغایرت "&amp;TEXT(IF($G1655="",0,$G1655)-$H1655,"#,##0"))))</f>
        <v/>
      </c>
      <c r="J1655" s="18" t="n"/>
    </row>
    <row r="1656">
      <c r="A1656" s="19">
        <f>IF($B1656="","",COUNTA($B$9:$B1656))</f>
        <v/>
      </c>
      <c r="B1656" s="11" t="n"/>
      <c r="C1656" s="12" t="n"/>
      <c r="D1656" s="12" t="n"/>
      <c r="E1656" s="13" t="n"/>
      <c r="F1656" s="20">
        <f>IF($E1656="","",IF($C1656="دستمزد گروهی",IFERROR(VLOOKUP($E1656,WGTbl,2,0),"کد ناشناخته"),IFERROR(IF(VLOOKUP($E1656,AcctTblE,4,0)="","(بدون نام)",VLOOKUP($E1656,AcctTblE,4,0)),"کد ناشناخته")))</f>
        <v/>
      </c>
      <c r="G1656" s="15" t="n"/>
      <c r="H1656" s="21">
        <f>IF(OR($C1656&lt;&gt;"دستمزد گروهی",$D1656=""),"",SUMIFS(ShareAmt,ShareLink,$D1656))</f>
        <v/>
      </c>
      <c r="I1656" s="22">
        <f>IF($C1656&lt;&gt;"دستمزد گروهی","—",IF($H1656="","",IF(ROUND($H1656-IF($G1656="",0,$G1656),0)=0,"√","▲ مغایرت "&amp;TEXT(IF($G1656="",0,$G1656)-$H1656,"#,##0"))))</f>
        <v/>
      </c>
      <c r="J1656" s="18" t="n"/>
    </row>
    <row r="1657">
      <c r="A1657" s="10">
        <f>IF($B1657="","",COUNTA($B$9:$B1657))</f>
        <v/>
      </c>
      <c r="B1657" s="11" t="n"/>
      <c r="C1657" s="12" t="n"/>
      <c r="D1657" s="12" t="n"/>
      <c r="E1657" s="13" t="n"/>
      <c r="F1657" s="14">
        <f>IF($E1657="","",IF($C1657="دستمزد گروهی",IFERROR(VLOOKUP($E1657,WGTbl,2,0),"کد ناشناخته"),IFERROR(IF(VLOOKUP($E1657,AcctTblE,4,0)="","(بدون نام)",VLOOKUP($E1657,AcctTblE,4,0)),"کد ناشناخته")))</f>
        <v/>
      </c>
      <c r="G1657" s="15" t="n"/>
      <c r="H1657" s="16">
        <f>IF(OR($C1657&lt;&gt;"دستمزد گروهی",$D1657=""),"",SUMIFS(ShareAmt,ShareLink,$D1657))</f>
        <v/>
      </c>
      <c r="I1657" s="17">
        <f>IF($C1657&lt;&gt;"دستمزد گروهی","—",IF($H1657="","",IF(ROUND($H1657-IF($G1657="",0,$G1657),0)=0,"√","▲ مغایرت "&amp;TEXT(IF($G1657="",0,$G1657)-$H1657,"#,##0"))))</f>
        <v/>
      </c>
      <c r="J1657" s="18" t="n"/>
    </row>
    <row r="1658">
      <c r="A1658" s="19">
        <f>IF($B1658="","",COUNTA($B$9:$B1658))</f>
        <v/>
      </c>
      <c r="B1658" s="11" t="n"/>
      <c r="C1658" s="12" t="n"/>
      <c r="D1658" s="12" t="n"/>
      <c r="E1658" s="13" t="n"/>
      <c r="F1658" s="20">
        <f>IF($E1658="","",IF($C1658="دستمزد گروهی",IFERROR(VLOOKUP($E1658,WGTbl,2,0),"کد ناشناخته"),IFERROR(IF(VLOOKUP($E1658,AcctTblE,4,0)="","(بدون نام)",VLOOKUP($E1658,AcctTblE,4,0)),"کد ناشناخته")))</f>
        <v/>
      </c>
      <c r="G1658" s="15" t="n"/>
      <c r="H1658" s="21">
        <f>IF(OR($C1658&lt;&gt;"دستمزد گروهی",$D1658=""),"",SUMIFS(ShareAmt,ShareLink,$D1658))</f>
        <v/>
      </c>
      <c r="I1658" s="22">
        <f>IF($C1658&lt;&gt;"دستمزد گروهی","—",IF($H1658="","",IF(ROUND($H1658-IF($G1658="",0,$G1658),0)=0,"√","▲ مغایرت "&amp;TEXT(IF($G1658="",0,$G1658)-$H1658,"#,##0"))))</f>
        <v/>
      </c>
      <c r="J1658" s="18" t="n"/>
    </row>
    <row r="1659">
      <c r="A1659" s="10">
        <f>IF($B1659="","",COUNTA($B$9:$B1659))</f>
        <v/>
      </c>
      <c r="B1659" s="11" t="n"/>
      <c r="C1659" s="12" t="n"/>
      <c r="D1659" s="12" t="n"/>
      <c r="E1659" s="13" t="n"/>
      <c r="F1659" s="14">
        <f>IF($E1659="","",IF($C1659="دستمزد گروهی",IFERROR(VLOOKUP($E1659,WGTbl,2,0),"کد ناشناخته"),IFERROR(IF(VLOOKUP($E1659,AcctTblE,4,0)="","(بدون نام)",VLOOKUP($E1659,AcctTblE,4,0)),"کد ناشناخته")))</f>
        <v/>
      </c>
      <c r="G1659" s="15" t="n"/>
      <c r="H1659" s="16">
        <f>IF(OR($C1659&lt;&gt;"دستمزد گروهی",$D1659=""),"",SUMIFS(ShareAmt,ShareLink,$D1659))</f>
        <v/>
      </c>
      <c r="I1659" s="17">
        <f>IF($C1659&lt;&gt;"دستمزد گروهی","—",IF($H1659="","",IF(ROUND($H1659-IF($G1659="",0,$G1659),0)=0,"√","▲ مغایرت "&amp;TEXT(IF($G1659="",0,$G1659)-$H1659,"#,##0"))))</f>
        <v/>
      </c>
      <c r="J1659" s="18" t="n"/>
    </row>
    <row r="1660">
      <c r="A1660" s="19">
        <f>IF($B1660="","",COUNTA($B$9:$B1660))</f>
        <v/>
      </c>
      <c r="B1660" s="11" t="n"/>
      <c r="C1660" s="12" t="n"/>
      <c r="D1660" s="12" t="n"/>
      <c r="E1660" s="13" t="n"/>
      <c r="F1660" s="20">
        <f>IF($E1660="","",IF($C1660="دستمزد گروهی",IFERROR(VLOOKUP($E1660,WGTbl,2,0),"کد ناشناخته"),IFERROR(IF(VLOOKUP($E1660,AcctTblE,4,0)="","(بدون نام)",VLOOKUP($E1660,AcctTblE,4,0)),"کد ناشناخته")))</f>
        <v/>
      </c>
      <c r="G1660" s="15" t="n"/>
      <c r="H1660" s="21">
        <f>IF(OR($C1660&lt;&gt;"دستمزد گروهی",$D1660=""),"",SUMIFS(ShareAmt,ShareLink,$D1660))</f>
        <v/>
      </c>
      <c r="I1660" s="22">
        <f>IF($C1660&lt;&gt;"دستمزد گروهی","—",IF($H1660="","",IF(ROUND($H1660-IF($G1660="",0,$G1660),0)=0,"√","▲ مغایرت "&amp;TEXT(IF($G1660="",0,$G1660)-$H1660,"#,##0"))))</f>
        <v/>
      </c>
      <c r="J1660" s="18" t="n"/>
    </row>
    <row r="1661">
      <c r="A1661" s="10">
        <f>IF($B1661="","",COUNTA($B$9:$B1661))</f>
        <v/>
      </c>
      <c r="B1661" s="11" t="n"/>
      <c r="C1661" s="12" t="n"/>
      <c r="D1661" s="12" t="n"/>
      <c r="E1661" s="13" t="n"/>
      <c r="F1661" s="14">
        <f>IF($E1661="","",IF($C1661="دستمزد گروهی",IFERROR(VLOOKUP($E1661,WGTbl,2,0),"کد ناشناخته"),IFERROR(IF(VLOOKUP($E1661,AcctTblE,4,0)="","(بدون نام)",VLOOKUP($E1661,AcctTblE,4,0)),"کد ناشناخته")))</f>
        <v/>
      </c>
      <c r="G1661" s="15" t="n"/>
      <c r="H1661" s="16">
        <f>IF(OR($C1661&lt;&gt;"دستمزد گروهی",$D1661=""),"",SUMIFS(ShareAmt,ShareLink,$D1661))</f>
        <v/>
      </c>
      <c r="I1661" s="17">
        <f>IF($C1661&lt;&gt;"دستمزد گروهی","—",IF($H1661="","",IF(ROUND($H1661-IF($G1661="",0,$G1661),0)=0,"√","▲ مغایرت "&amp;TEXT(IF($G1661="",0,$G1661)-$H1661,"#,##0"))))</f>
        <v/>
      </c>
      <c r="J1661" s="18" t="n"/>
    </row>
    <row r="1662">
      <c r="A1662" s="19">
        <f>IF($B1662="","",COUNTA($B$9:$B1662))</f>
        <v/>
      </c>
      <c r="B1662" s="11" t="n"/>
      <c r="C1662" s="12" t="n"/>
      <c r="D1662" s="12" t="n"/>
      <c r="E1662" s="13" t="n"/>
      <c r="F1662" s="20">
        <f>IF($E1662="","",IF($C1662="دستمزد گروهی",IFERROR(VLOOKUP($E1662,WGTbl,2,0),"کد ناشناخته"),IFERROR(IF(VLOOKUP($E1662,AcctTblE,4,0)="","(بدون نام)",VLOOKUP($E1662,AcctTblE,4,0)),"کد ناشناخته")))</f>
        <v/>
      </c>
      <c r="G1662" s="15" t="n"/>
      <c r="H1662" s="21">
        <f>IF(OR($C1662&lt;&gt;"دستمزد گروهی",$D1662=""),"",SUMIFS(ShareAmt,ShareLink,$D1662))</f>
        <v/>
      </c>
      <c r="I1662" s="22">
        <f>IF($C1662&lt;&gt;"دستمزد گروهی","—",IF($H1662="","",IF(ROUND($H1662-IF($G1662="",0,$G1662),0)=0,"√","▲ مغایرت "&amp;TEXT(IF($G1662="",0,$G1662)-$H1662,"#,##0"))))</f>
        <v/>
      </c>
      <c r="J1662" s="18" t="n"/>
    </row>
    <row r="1663">
      <c r="A1663" s="10">
        <f>IF($B1663="","",COUNTA($B$9:$B1663))</f>
        <v/>
      </c>
      <c r="B1663" s="11" t="n"/>
      <c r="C1663" s="12" t="n"/>
      <c r="D1663" s="12" t="n"/>
      <c r="E1663" s="13" t="n"/>
      <c r="F1663" s="14">
        <f>IF($E1663="","",IF($C1663="دستمزد گروهی",IFERROR(VLOOKUP($E1663,WGTbl,2,0),"کد ناشناخته"),IFERROR(IF(VLOOKUP($E1663,AcctTblE,4,0)="","(بدون نام)",VLOOKUP($E1663,AcctTblE,4,0)),"کد ناشناخته")))</f>
        <v/>
      </c>
      <c r="G1663" s="15" t="n"/>
      <c r="H1663" s="16">
        <f>IF(OR($C1663&lt;&gt;"دستمزد گروهی",$D1663=""),"",SUMIFS(ShareAmt,ShareLink,$D1663))</f>
        <v/>
      </c>
      <c r="I1663" s="17">
        <f>IF($C1663&lt;&gt;"دستمزد گروهی","—",IF($H1663="","",IF(ROUND($H1663-IF($G1663="",0,$G1663),0)=0,"√","▲ مغایرت "&amp;TEXT(IF($G1663="",0,$G1663)-$H1663,"#,##0"))))</f>
        <v/>
      </c>
      <c r="J1663" s="18" t="n"/>
    </row>
    <row r="1664">
      <c r="A1664" s="19">
        <f>IF($B1664="","",COUNTA($B$9:$B1664))</f>
        <v/>
      </c>
      <c r="B1664" s="11" t="n"/>
      <c r="C1664" s="12" t="n"/>
      <c r="D1664" s="12" t="n"/>
      <c r="E1664" s="13" t="n"/>
      <c r="F1664" s="20">
        <f>IF($E1664="","",IF($C1664="دستمزد گروهی",IFERROR(VLOOKUP($E1664,WGTbl,2,0),"کد ناشناخته"),IFERROR(IF(VLOOKUP($E1664,AcctTblE,4,0)="","(بدون نام)",VLOOKUP($E1664,AcctTblE,4,0)),"کد ناشناخته")))</f>
        <v/>
      </c>
      <c r="G1664" s="15" t="n"/>
      <c r="H1664" s="21">
        <f>IF(OR($C1664&lt;&gt;"دستمزد گروهی",$D1664=""),"",SUMIFS(ShareAmt,ShareLink,$D1664))</f>
        <v/>
      </c>
      <c r="I1664" s="22">
        <f>IF($C1664&lt;&gt;"دستمزد گروهی","—",IF($H1664="","",IF(ROUND($H1664-IF($G1664="",0,$G1664),0)=0,"√","▲ مغایرت "&amp;TEXT(IF($G1664="",0,$G1664)-$H1664,"#,##0"))))</f>
        <v/>
      </c>
      <c r="J1664" s="18" t="n"/>
    </row>
    <row r="1665">
      <c r="A1665" s="10">
        <f>IF($B1665="","",COUNTA($B$9:$B1665))</f>
        <v/>
      </c>
      <c r="B1665" s="11" t="n"/>
      <c r="C1665" s="12" t="n"/>
      <c r="D1665" s="12" t="n"/>
      <c r="E1665" s="13" t="n"/>
      <c r="F1665" s="14">
        <f>IF($E1665="","",IF($C1665="دستمزد گروهی",IFERROR(VLOOKUP($E1665,WGTbl,2,0),"کد ناشناخته"),IFERROR(IF(VLOOKUP($E1665,AcctTblE,4,0)="","(بدون نام)",VLOOKUP($E1665,AcctTblE,4,0)),"کد ناشناخته")))</f>
        <v/>
      </c>
      <c r="G1665" s="15" t="n"/>
      <c r="H1665" s="16">
        <f>IF(OR($C1665&lt;&gt;"دستمزد گروهی",$D1665=""),"",SUMIFS(ShareAmt,ShareLink,$D1665))</f>
        <v/>
      </c>
      <c r="I1665" s="17">
        <f>IF($C1665&lt;&gt;"دستمزد گروهی","—",IF($H1665="","",IF(ROUND($H1665-IF($G1665="",0,$G1665),0)=0,"√","▲ مغایرت "&amp;TEXT(IF($G1665="",0,$G1665)-$H1665,"#,##0"))))</f>
        <v/>
      </c>
      <c r="J1665" s="18" t="n"/>
    </row>
    <row r="1666">
      <c r="A1666" s="19">
        <f>IF($B1666="","",COUNTA($B$9:$B1666))</f>
        <v/>
      </c>
      <c r="B1666" s="11" t="n"/>
      <c r="C1666" s="12" t="n"/>
      <c r="D1666" s="12" t="n"/>
      <c r="E1666" s="13" t="n"/>
      <c r="F1666" s="20">
        <f>IF($E1666="","",IF($C1666="دستمزد گروهی",IFERROR(VLOOKUP($E1666,WGTbl,2,0),"کد ناشناخته"),IFERROR(IF(VLOOKUP($E1666,AcctTblE,4,0)="","(بدون نام)",VLOOKUP($E1666,AcctTblE,4,0)),"کد ناشناخته")))</f>
        <v/>
      </c>
      <c r="G1666" s="15" t="n"/>
      <c r="H1666" s="21">
        <f>IF(OR($C1666&lt;&gt;"دستمزد گروهی",$D1666=""),"",SUMIFS(ShareAmt,ShareLink,$D1666))</f>
        <v/>
      </c>
      <c r="I1666" s="22">
        <f>IF($C1666&lt;&gt;"دستمزد گروهی","—",IF($H1666="","",IF(ROUND($H1666-IF($G1666="",0,$G1666),0)=0,"√","▲ مغایرت "&amp;TEXT(IF($G1666="",0,$G1666)-$H1666,"#,##0"))))</f>
        <v/>
      </c>
      <c r="J1666" s="18" t="n"/>
    </row>
    <row r="1667">
      <c r="A1667" s="10">
        <f>IF($B1667="","",COUNTA($B$9:$B1667))</f>
        <v/>
      </c>
      <c r="B1667" s="11" t="n"/>
      <c r="C1667" s="12" t="n"/>
      <c r="D1667" s="12" t="n"/>
      <c r="E1667" s="13" t="n"/>
      <c r="F1667" s="14">
        <f>IF($E1667="","",IF($C1667="دستمزد گروهی",IFERROR(VLOOKUP($E1667,WGTbl,2,0),"کد ناشناخته"),IFERROR(IF(VLOOKUP($E1667,AcctTblE,4,0)="","(بدون نام)",VLOOKUP($E1667,AcctTblE,4,0)),"کد ناشناخته")))</f>
        <v/>
      </c>
      <c r="G1667" s="15" t="n"/>
      <c r="H1667" s="16">
        <f>IF(OR($C1667&lt;&gt;"دستمزد گروهی",$D1667=""),"",SUMIFS(ShareAmt,ShareLink,$D1667))</f>
        <v/>
      </c>
      <c r="I1667" s="17">
        <f>IF($C1667&lt;&gt;"دستمزد گروهی","—",IF($H1667="","",IF(ROUND($H1667-IF($G1667="",0,$G1667),0)=0,"√","▲ مغایرت "&amp;TEXT(IF($G1667="",0,$G1667)-$H1667,"#,##0"))))</f>
        <v/>
      </c>
      <c r="J1667" s="18" t="n"/>
    </row>
    <row r="1668">
      <c r="A1668" s="19">
        <f>IF($B1668="","",COUNTA($B$9:$B1668))</f>
        <v/>
      </c>
      <c r="B1668" s="11" t="n"/>
      <c r="C1668" s="12" t="n"/>
      <c r="D1668" s="12" t="n"/>
      <c r="E1668" s="13" t="n"/>
      <c r="F1668" s="20">
        <f>IF($E1668="","",IF($C1668="دستمزد گروهی",IFERROR(VLOOKUP($E1668,WGTbl,2,0),"کد ناشناخته"),IFERROR(IF(VLOOKUP($E1668,AcctTblE,4,0)="","(بدون نام)",VLOOKUP($E1668,AcctTblE,4,0)),"کد ناشناخته")))</f>
        <v/>
      </c>
      <c r="G1668" s="15" t="n"/>
      <c r="H1668" s="21">
        <f>IF(OR($C1668&lt;&gt;"دستمزد گروهی",$D1668=""),"",SUMIFS(ShareAmt,ShareLink,$D1668))</f>
        <v/>
      </c>
      <c r="I1668" s="22">
        <f>IF($C1668&lt;&gt;"دستمزد گروهی","—",IF($H1668="","",IF(ROUND($H1668-IF($G1668="",0,$G1668),0)=0,"√","▲ مغایرت "&amp;TEXT(IF($G1668="",0,$G1668)-$H1668,"#,##0"))))</f>
        <v/>
      </c>
      <c r="J1668" s="18" t="n"/>
    </row>
    <row r="1669">
      <c r="A1669" s="10">
        <f>IF($B1669="","",COUNTA($B$9:$B1669))</f>
        <v/>
      </c>
      <c r="B1669" s="11" t="n"/>
      <c r="C1669" s="12" t="n"/>
      <c r="D1669" s="12" t="n"/>
      <c r="E1669" s="13" t="n"/>
      <c r="F1669" s="14">
        <f>IF($E1669="","",IF($C1669="دستمزد گروهی",IFERROR(VLOOKUP($E1669,WGTbl,2,0),"کد ناشناخته"),IFERROR(IF(VLOOKUP($E1669,AcctTblE,4,0)="","(بدون نام)",VLOOKUP($E1669,AcctTblE,4,0)),"کد ناشناخته")))</f>
        <v/>
      </c>
      <c r="G1669" s="15" t="n"/>
      <c r="H1669" s="16">
        <f>IF(OR($C1669&lt;&gt;"دستمزد گروهی",$D1669=""),"",SUMIFS(ShareAmt,ShareLink,$D1669))</f>
        <v/>
      </c>
      <c r="I1669" s="17">
        <f>IF($C1669&lt;&gt;"دستمزد گروهی","—",IF($H1669="","",IF(ROUND($H1669-IF($G1669="",0,$G1669),0)=0,"√","▲ مغایرت "&amp;TEXT(IF($G1669="",0,$G1669)-$H1669,"#,##0"))))</f>
        <v/>
      </c>
      <c r="J1669" s="18" t="n"/>
    </row>
    <row r="1670">
      <c r="A1670" s="19">
        <f>IF($B1670="","",COUNTA($B$9:$B1670))</f>
        <v/>
      </c>
      <c r="B1670" s="11" t="n"/>
      <c r="C1670" s="12" t="n"/>
      <c r="D1670" s="12" t="n"/>
      <c r="E1670" s="13" t="n"/>
      <c r="F1670" s="20">
        <f>IF($E1670="","",IF($C1670="دستمزد گروهی",IFERROR(VLOOKUP($E1670,WGTbl,2,0),"کد ناشناخته"),IFERROR(IF(VLOOKUP($E1670,AcctTblE,4,0)="","(بدون نام)",VLOOKUP($E1670,AcctTblE,4,0)),"کد ناشناخته")))</f>
        <v/>
      </c>
      <c r="G1670" s="15" t="n"/>
      <c r="H1670" s="21">
        <f>IF(OR($C1670&lt;&gt;"دستمزد گروهی",$D1670=""),"",SUMIFS(ShareAmt,ShareLink,$D1670))</f>
        <v/>
      </c>
      <c r="I1670" s="22">
        <f>IF($C1670&lt;&gt;"دستمزد گروهی","—",IF($H1670="","",IF(ROUND($H1670-IF($G1670="",0,$G1670),0)=0,"√","▲ مغایرت "&amp;TEXT(IF($G1670="",0,$G1670)-$H1670,"#,##0"))))</f>
        <v/>
      </c>
      <c r="J1670" s="18" t="n"/>
    </row>
    <row r="1671">
      <c r="A1671" s="10">
        <f>IF($B1671="","",COUNTA($B$9:$B1671))</f>
        <v/>
      </c>
      <c r="B1671" s="11" t="n"/>
      <c r="C1671" s="12" t="n"/>
      <c r="D1671" s="12" t="n"/>
      <c r="E1671" s="13" t="n"/>
      <c r="F1671" s="14">
        <f>IF($E1671="","",IF($C1671="دستمزد گروهی",IFERROR(VLOOKUP($E1671,WGTbl,2,0),"کد ناشناخته"),IFERROR(IF(VLOOKUP($E1671,AcctTblE,4,0)="","(بدون نام)",VLOOKUP($E1671,AcctTblE,4,0)),"کد ناشناخته")))</f>
        <v/>
      </c>
      <c r="G1671" s="15" t="n"/>
      <c r="H1671" s="16">
        <f>IF(OR($C1671&lt;&gt;"دستمزد گروهی",$D1671=""),"",SUMIFS(ShareAmt,ShareLink,$D1671))</f>
        <v/>
      </c>
      <c r="I1671" s="17">
        <f>IF($C1671&lt;&gt;"دستمزد گروهی","—",IF($H1671="","",IF(ROUND($H1671-IF($G1671="",0,$G1671),0)=0,"√","▲ مغایرت "&amp;TEXT(IF($G1671="",0,$G1671)-$H1671,"#,##0"))))</f>
        <v/>
      </c>
      <c r="J1671" s="18" t="n"/>
    </row>
    <row r="1672">
      <c r="A1672" s="19">
        <f>IF($B1672="","",COUNTA($B$9:$B1672))</f>
        <v/>
      </c>
      <c r="B1672" s="11" t="n"/>
      <c r="C1672" s="12" t="n"/>
      <c r="D1672" s="12" t="n"/>
      <c r="E1672" s="13" t="n"/>
      <c r="F1672" s="20">
        <f>IF($E1672="","",IF($C1672="دستمزد گروهی",IFERROR(VLOOKUP($E1672,WGTbl,2,0),"کد ناشناخته"),IFERROR(IF(VLOOKUP($E1672,AcctTblE,4,0)="","(بدون نام)",VLOOKUP($E1672,AcctTblE,4,0)),"کد ناشناخته")))</f>
        <v/>
      </c>
      <c r="G1672" s="15" t="n"/>
      <c r="H1672" s="21">
        <f>IF(OR($C1672&lt;&gt;"دستمزد گروهی",$D1672=""),"",SUMIFS(ShareAmt,ShareLink,$D1672))</f>
        <v/>
      </c>
      <c r="I1672" s="22">
        <f>IF($C1672&lt;&gt;"دستمزد گروهی","—",IF($H1672="","",IF(ROUND($H1672-IF($G1672="",0,$G1672),0)=0,"√","▲ مغایرت "&amp;TEXT(IF($G1672="",0,$G1672)-$H1672,"#,##0"))))</f>
        <v/>
      </c>
      <c r="J1672" s="18" t="n"/>
    </row>
    <row r="1673">
      <c r="A1673" s="10">
        <f>IF($B1673="","",COUNTA($B$9:$B1673))</f>
        <v/>
      </c>
      <c r="B1673" s="11" t="n"/>
      <c r="C1673" s="12" t="n"/>
      <c r="D1673" s="12" t="n"/>
      <c r="E1673" s="13" t="n"/>
      <c r="F1673" s="14">
        <f>IF($E1673="","",IF($C1673="دستمزد گروهی",IFERROR(VLOOKUP($E1673,WGTbl,2,0),"کد ناشناخته"),IFERROR(IF(VLOOKUP($E1673,AcctTblE,4,0)="","(بدون نام)",VLOOKUP($E1673,AcctTblE,4,0)),"کد ناشناخته")))</f>
        <v/>
      </c>
      <c r="G1673" s="15" t="n"/>
      <c r="H1673" s="16">
        <f>IF(OR($C1673&lt;&gt;"دستمزد گروهی",$D1673=""),"",SUMIFS(ShareAmt,ShareLink,$D1673))</f>
        <v/>
      </c>
      <c r="I1673" s="17">
        <f>IF($C1673&lt;&gt;"دستمزد گروهی","—",IF($H1673="","",IF(ROUND($H1673-IF($G1673="",0,$G1673),0)=0,"√","▲ مغایرت "&amp;TEXT(IF($G1673="",0,$G1673)-$H1673,"#,##0"))))</f>
        <v/>
      </c>
      <c r="J1673" s="18" t="n"/>
    </row>
    <row r="1674">
      <c r="A1674" s="19">
        <f>IF($B1674="","",COUNTA($B$9:$B1674))</f>
        <v/>
      </c>
      <c r="B1674" s="11" t="n"/>
      <c r="C1674" s="12" t="n"/>
      <c r="D1674" s="12" t="n"/>
      <c r="E1674" s="13" t="n"/>
      <c r="F1674" s="20">
        <f>IF($E1674="","",IF($C1674="دستمزد گروهی",IFERROR(VLOOKUP($E1674,WGTbl,2,0),"کد ناشناخته"),IFERROR(IF(VLOOKUP($E1674,AcctTblE,4,0)="","(بدون نام)",VLOOKUP($E1674,AcctTblE,4,0)),"کد ناشناخته")))</f>
        <v/>
      </c>
      <c r="G1674" s="15" t="n"/>
      <c r="H1674" s="21">
        <f>IF(OR($C1674&lt;&gt;"دستمزد گروهی",$D1674=""),"",SUMIFS(ShareAmt,ShareLink,$D1674))</f>
        <v/>
      </c>
      <c r="I1674" s="22">
        <f>IF($C1674&lt;&gt;"دستمزد گروهی","—",IF($H1674="","",IF(ROUND($H1674-IF($G1674="",0,$G1674),0)=0,"√","▲ مغایرت "&amp;TEXT(IF($G1674="",0,$G1674)-$H1674,"#,##0"))))</f>
        <v/>
      </c>
      <c r="J1674" s="18" t="n"/>
    </row>
    <row r="1675">
      <c r="A1675" s="10">
        <f>IF($B1675="","",COUNTA($B$9:$B1675))</f>
        <v/>
      </c>
      <c r="B1675" s="11" t="n"/>
      <c r="C1675" s="12" t="n"/>
      <c r="D1675" s="12" t="n"/>
      <c r="E1675" s="13" t="n"/>
      <c r="F1675" s="14">
        <f>IF($E1675="","",IF($C1675="دستمزد گروهی",IFERROR(VLOOKUP($E1675,WGTbl,2,0),"کد ناشناخته"),IFERROR(IF(VLOOKUP($E1675,AcctTblE,4,0)="","(بدون نام)",VLOOKUP($E1675,AcctTblE,4,0)),"کد ناشناخته")))</f>
        <v/>
      </c>
      <c r="G1675" s="15" t="n"/>
      <c r="H1675" s="16">
        <f>IF(OR($C1675&lt;&gt;"دستمزد گروهی",$D1675=""),"",SUMIFS(ShareAmt,ShareLink,$D1675))</f>
        <v/>
      </c>
      <c r="I1675" s="17">
        <f>IF($C1675&lt;&gt;"دستمزد گروهی","—",IF($H1675="","",IF(ROUND($H1675-IF($G1675="",0,$G1675),0)=0,"√","▲ مغایرت "&amp;TEXT(IF($G1675="",0,$G1675)-$H1675,"#,##0"))))</f>
        <v/>
      </c>
      <c r="J1675" s="18" t="n"/>
    </row>
    <row r="1676">
      <c r="A1676" s="19">
        <f>IF($B1676="","",COUNTA($B$9:$B1676))</f>
        <v/>
      </c>
      <c r="B1676" s="11" t="n"/>
      <c r="C1676" s="12" t="n"/>
      <c r="D1676" s="12" t="n"/>
      <c r="E1676" s="13" t="n"/>
      <c r="F1676" s="20">
        <f>IF($E1676="","",IF($C1676="دستمزد گروهی",IFERROR(VLOOKUP($E1676,WGTbl,2,0),"کد ناشناخته"),IFERROR(IF(VLOOKUP($E1676,AcctTblE,4,0)="","(بدون نام)",VLOOKUP($E1676,AcctTblE,4,0)),"کد ناشناخته")))</f>
        <v/>
      </c>
      <c r="G1676" s="15" t="n"/>
      <c r="H1676" s="21">
        <f>IF(OR($C1676&lt;&gt;"دستمزد گروهی",$D1676=""),"",SUMIFS(ShareAmt,ShareLink,$D1676))</f>
        <v/>
      </c>
      <c r="I1676" s="22">
        <f>IF($C1676&lt;&gt;"دستمزد گروهی","—",IF($H1676="","",IF(ROUND($H1676-IF($G1676="",0,$G1676),0)=0,"√","▲ مغایرت "&amp;TEXT(IF($G1676="",0,$G1676)-$H1676,"#,##0"))))</f>
        <v/>
      </c>
      <c r="J1676" s="18" t="n"/>
    </row>
    <row r="1677">
      <c r="A1677" s="10">
        <f>IF($B1677="","",COUNTA($B$9:$B1677))</f>
        <v/>
      </c>
      <c r="B1677" s="11" t="n"/>
      <c r="C1677" s="12" t="n"/>
      <c r="D1677" s="12" t="n"/>
      <c r="E1677" s="13" t="n"/>
      <c r="F1677" s="14">
        <f>IF($E1677="","",IF($C1677="دستمزد گروهی",IFERROR(VLOOKUP($E1677,WGTbl,2,0),"کد ناشناخته"),IFERROR(IF(VLOOKUP($E1677,AcctTblE,4,0)="","(بدون نام)",VLOOKUP($E1677,AcctTblE,4,0)),"کد ناشناخته")))</f>
        <v/>
      </c>
      <c r="G1677" s="15" t="n"/>
      <c r="H1677" s="16">
        <f>IF(OR($C1677&lt;&gt;"دستمزد گروهی",$D1677=""),"",SUMIFS(ShareAmt,ShareLink,$D1677))</f>
        <v/>
      </c>
      <c r="I1677" s="17">
        <f>IF($C1677&lt;&gt;"دستمزد گروهی","—",IF($H1677="","",IF(ROUND($H1677-IF($G1677="",0,$G1677),0)=0,"√","▲ مغایرت "&amp;TEXT(IF($G1677="",0,$G1677)-$H1677,"#,##0"))))</f>
        <v/>
      </c>
      <c r="J1677" s="18" t="n"/>
    </row>
    <row r="1678">
      <c r="A1678" s="19">
        <f>IF($B1678="","",COUNTA($B$9:$B1678))</f>
        <v/>
      </c>
      <c r="B1678" s="11" t="n"/>
      <c r="C1678" s="12" t="n"/>
      <c r="D1678" s="12" t="n"/>
      <c r="E1678" s="13" t="n"/>
      <c r="F1678" s="20">
        <f>IF($E1678="","",IF($C1678="دستمزد گروهی",IFERROR(VLOOKUP($E1678,WGTbl,2,0),"کد ناشناخته"),IFERROR(IF(VLOOKUP($E1678,AcctTblE,4,0)="","(بدون نام)",VLOOKUP($E1678,AcctTblE,4,0)),"کد ناشناخته")))</f>
        <v/>
      </c>
      <c r="G1678" s="15" t="n"/>
      <c r="H1678" s="21">
        <f>IF(OR($C1678&lt;&gt;"دستمزد گروهی",$D1678=""),"",SUMIFS(ShareAmt,ShareLink,$D1678))</f>
        <v/>
      </c>
      <c r="I1678" s="22">
        <f>IF($C1678&lt;&gt;"دستمزد گروهی","—",IF($H1678="","",IF(ROUND($H1678-IF($G1678="",0,$G1678),0)=0,"√","▲ مغایرت "&amp;TEXT(IF($G1678="",0,$G1678)-$H1678,"#,##0"))))</f>
        <v/>
      </c>
      <c r="J1678" s="18" t="n"/>
    </row>
    <row r="1679">
      <c r="A1679" s="10">
        <f>IF($B1679="","",COUNTA($B$9:$B1679))</f>
        <v/>
      </c>
      <c r="B1679" s="11" t="n"/>
      <c r="C1679" s="12" t="n"/>
      <c r="D1679" s="12" t="n"/>
      <c r="E1679" s="13" t="n"/>
      <c r="F1679" s="14">
        <f>IF($E1679="","",IF($C1679="دستمزد گروهی",IFERROR(VLOOKUP($E1679,WGTbl,2,0),"کد ناشناخته"),IFERROR(IF(VLOOKUP($E1679,AcctTblE,4,0)="","(بدون نام)",VLOOKUP($E1679,AcctTblE,4,0)),"کد ناشناخته")))</f>
        <v/>
      </c>
      <c r="G1679" s="15" t="n"/>
      <c r="H1679" s="16">
        <f>IF(OR($C1679&lt;&gt;"دستمزد گروهی",$D1679=""),"",SUMIFS(ShareAmt,ShareLink,$D1679))</f>
        <v/>
      </c>
      <c r="I1679" s="17">
        <f>IF($C1679&lt;&gt;"دستمزد گروهی","—",IF($H1679="","",IF(ROUND($H1679-IF($G1679="",0,$G1679),0)=0,"√","▲ مغایرت "&amp;TEXT(IF($G1679="",0,$G1679)-$H1679,"#,##0"))))</f>
        <v/>
      </c>
      <c r="J1679" s="18" t="n"/>
    </row>
    <row r="1680">
      <c r="A1680" s="19">
        <f>IF($B1680="","",COUNTA($B$9:$B1680))</f>
        <v/>
      </c>
      <c r="B1680" s="11" t="n"/>
      <c r="C1680" s="12" t="n"/>
      <c r="D1680" s="12" t="n"/>
      <c r="E1680" s="13" t="n"/>
      <c r="F1680" s="20">
        <f>IF($E1680="","",IF($C1680="دستمزد گروهی",IFERROR(VLOOKUP($E1680,WGTbl,2,0),"کد ناشناخته"),IFERROR(IF(VLOOKUP($E1680,AcctTblE,4,0)="","(بدون نام)",VLOOKUP($E1680,AcctTblE,4,0)),"کد ناشناخته")))</f>
        <v/>
      </c>
      <c r="G1680" s="15" t="n"/>
      <c r="H1680" s="21">
        <f>IF(OR($C1680&lt;&gt;"دستمزد گروهی",$D1680=""),"",SUMIFS(ShareAmt,ShareLink,$D1680))</f>
        <v/>
      </c>
      <c r="I1680" s="22">
        <f>IF($C1680&lt;&gt;"دستمزد گروهی","—",IF($H1680="","",IF(ROUND($H1680-IF($G1680="",0,$G1680),0)=0,"√","▲ مغایرت "&amp;TEXT(IF($G1680="",0,$G1680)-$H1680,"#,##0"))))</f>
        <v/>
      </c>
      <c r="J1680" s="18" t="n"/>
    </row>
    <row r="1681">
      <c r="A1681" s="10">
        <f>IF($B1681="","",COUNTA($B$9:$B1681))</f>
        <v/>
      </c>
      <c r="B1681" s="11" t="n"/>
      <c r="C1681" s="12" t="n"/>
      <c r="D1681" s="12" t="n"/>
      <c r="E1681" s="13" t="n"/>
      <c r="F1681" s="14">
        <f>IF($E1681="","",IF($C1681="دستمزد گروهی",IFERROR(VLOOKUP($E1681,WGTbl,2,0),"کد ناشناخته"),IFERROR(IF(VLOOKUP($E1681,AcctTblE,4,0)="","(بدون نام)",VLOOKUP($E1681,AcctTblE,4,0)),"کد ناشناخته")))</f>
        <v/>
      </c>
      <c r="G1681" s="15" t="n"/>
      <c r="H1681" s="16">
        <f>IF(OR($C1681&lt;&gt;"دستمزد گروهی",$D1681=""),"",SUMIFS(ShareAmt,ShareLink,$D1681))</f>
        <v/>
      </c>
      <c r="I1681" s="17">
        <f>IF($C1681&lt;&gt;"دستمزد گروهی","—",IF($H1681="","",IF(ROUND($H1681-IF($G1681="",0,$G1681),0)=0,"√","▲ مغایرت "&amp;TEXT(IF($G1681="",0,$G1681)-$H1681,"#,##0"))))</f>
        <v/>
      </c>
      <c r="J1681" s="18" t="n"/>
    </row>
    <row r="1682">
      <c r="A1682" s="19">
        <f>IF($B1682="","",COUNTA($B$9:$B1682))</f>
        <v/>
      </c>
      <c r="B1682" s="11" t="n"/>
      <c r="C1682" s="12" t="n"/>
      <c r="D1682" s="12" t="n"/>
      <c r="E1682" s="13" t="n"/>
      <c r="F1682" s="20">
        <f>IF($E1682="","",IF($C1682="دستمزد گروهی",IFERROR(VLOOKUP($E1682,WGTbl,2,0),"کد ناشناخته"),IFERROR(IF(VLOOKUP($E1682,AcctTblE,4,0)="","(بدون نام)",VLOOKUP($E1682,AcctTblE,4,0)),"کد ناشناخته")))</f>
        <v/>
      </c>
      <c r="G1682" s="15" t="n"/>
      <c r="H1682" s="21">
        <f>IF(OR($C1682&lt;&gt;"دستمزد گروهی",$D1682=""),"",SUMIFS(ShareAmt,ShareLink,$D1682))</f>
        <v/>
      </c>
      <c r="I1682" s="22">
        <f>IF($C1682&lt;&gt;"دستمزد گروهی","—",IF($H1682="","",IF(ROUND($H1682-IF($G1682="",0,$G1682),0)=0,"√","▲ مغایرت "&amp;TEXT(IF($G1682="",0,$G1682)-$H1682,"#,##0"))))</f>
        <v/>
      </c>
      <c r="J1682" s="18" t="n"/>
    </row>
    <row r="1683">
      <c r="A1683" s="10">
        <f>IF($B1683="","",COUNTA($B$9:$B1683))</f>
        <v/>
      </c>
      <c r="B1683" s="11" t="n"/>
      <c r="C1683" s="12" t="n"/>
      <c r="D1683" s="12" t="n"/>
      <c r="E1683" s="13" t="n"/>
      <c r="F1683" s="14">
        <f>IF($E1683="","",IF($C1683="دستمزد گروهی",IFERROR(VLOOKUP($E1683,WGTbl,2,0),"کد ناشناخته"),IFERROR(IF(VLOOKUP($E1683,AcctTblE,4,0)="","(بدون نام)",VLOOKUP($E1683,AcctTblE,4,0)),"کد ناشناخته")))</f>
        <v/>
      </c>
      <c r="G1683" s="15" t="n"/>
      <c r="H1683" s="16">
        <f>IF(OR($C1683&lt;&gt;"دستمزد گروهی",$D1683=""),"",SUMIFS(ShareAmt,ShareLink,$D1683))</f>
        <v/>
      </c>
      <c r="I1683" s="17">
        <f>IF($C1683&lt;&gt;"دستمزد گروهی","—",IF($H1683="","",IF(ROUND($H1683-IF($G1683="",0,$G1683),0)=0,"√","▲ مغایرت "&amp;TEXT(IF($G1683="",0,$G1683)-$H1683,"#,##0"))))</f>
        <v/>
      </c>
      <c r="J1683" s="18" t="n"/>
    </row>
    <row r="1684">
      <c r="A1684" s="19">
        <f>IF($B1684="","",COUNTA($B$9:$B1684))</f>
        <v/>
      </c>
      <c r="B1684" s="11" t="n"/>
      <c r="C1684" s="12" t="n"/>
      <c r="D1684" s="12" t="n"/>
      <c r="E1684" s="13" t="n"/>
      <c r="F1684" s="20">
        <f>IF($E1684="","",IF($C1684="دستمزد گروهی",IFERROR(VLOOKUP($E1684,WGTbl,2,0),"کد ناشناخته"),IFERROR(IF(VLOOKUP($E1684,AcctTblE,4,0)="","(بدون نام)",VLOOKUP($E1684,AcctTblE,4,0)),"کد ناشناخته")))</f>
        <v/>
      </c>
      <c r="G1684" s="15" t="n"/>
      <c r="H1684" s="21">
        <f>IF(OR($C1684&lt;&gt;"دستمزد گروهی",$D1684=""),"",SUMIFS(ShareAmt,ShareLink,$D1684))</f>
        <v/>
      </c>
      <c r="I1684" s="22">
        <f>IF($C1684&lt;&gt;"دستمزد گروهی","—",IF($H1684="","",IF(ROUND($H1684-IF($G1684="",0,$G1684),0)=0,"√","▲ مغایرت "&amp;TEXT(IF($G1684="",0,$G1684)-$H1684,"#,##0"))))</f>
        <v/>
      </c>
      <c r="J1684" s="18" t="n"/>
    </row>
    <row r="1685">
      <c r="A1685" s="10">
        <f>IF($B1685="","",COUNTA($B$9:$B1685))</f>
        <v/>
      </c>
      <c r="B1685" s="11" t="n"/>
      <c r="C1685" s="12" t="n"/>
      <c r="D1685" s="12" t="n"/>
      <c r="E1685" s="13" t="n"/>
      <c r="F1685" s="14">
        <f>IF($E1685="","",IF($C1685="دستمزد گروهی",IFERROR(VLOOKUP($E1685,WGTbl,2,0),"کد ناشناخته"),IFERROR(IF(VLOOKUP($E1685,AcctTblE,4,0)="","(بدون نام)",VLOOKUP($E1685,AcctTblE,4,0)),"کد ناشناخته")))</f>
        <v/>
      </c>
      <c r="G1685" s="15" t="n"/>
      <c r="H1685" s="16">
        <f>IF(OR($C1685&lt;&gt;"دستمزد گروهی",$D1685=""),"",SUMIFS(ShareAmt,ShareLink,$D1685))</f>
        <v/>
      </c>
      <c r="I1685" s="17">
        <f>IF($C1685&lt;&gt;"دستمزد گروهی","—",IF($H1685="","",IF(ROUND($H1685-IF($G1685="",0,$G1685),0)=0,"√","▲ مغایرت "&amp;TEXT(IF($G1685="",0,$G1685)-$H1685,"#,##0"))))</f>
        <v/>
      </c>
      <c r="J1685" s="18" t="n"/>
    </row>
    <row r="1686">
      <c r="A1686" s="19">
        <f>IF($B1686="","",COUNTA($B$9:$B1686))</f>
        <v/>
      </c>
      <c r="B1686" s="11" t="n"/>
      <c r="C1686" s="12" t="n"/>
      <c r="D1686" s="12" t="n"/>
      <c r="E1686" s="13" t="n"/>
      <c r="F1686" s="20">
        <f>IF($E1686="","",IF($C1686="دستمزد گروهی",IFERROR(VLOOKUP($E1686,WGTbl,2,0),"کد ناشناخته"),IFERROR(IF(VLOOKUP($E1686,AcctTblE,4,0)="","(بدون نام)",VLOOKUP($E1686,AcctTblE,4,0)),"کد ناشناخته")))</f>
        <v/>
      </c>
      <c r="G1686" s="15" t="n"/>
      <c r="H1686" s="21">
        <f>IF(OR($C1686&lt;&gt;"دستمزد گروهی",$D1686=""),"",SUMIFS(ShareAmt,ShareLink,$D1686))</f>
        <v/>
      </c>
      <c r="I1686" s="22">
        <f>IF($C1686&lt;&gt;"دستمزد گروهی","—",IF($H1686="","",IF(ROUND($H1686-IF($G1686="",0,$G1686),0)=0,"√","▲ مغایرت "&amp;TEXT(IF($G1686="",0,$G1686)-$H1686,"#,##0"))))</f>
        <v/>
      </c>
      <c r="J1686" s="18" t="n"/>
    </row>
    <row r="1687">
      <c r="A1687" s="10">
        <f>IF($B1687="","",COUNTA($B$9:$B1687))</f>
        <v/>
      </c>
      <c r="B1687" s="11" t="n"/>
      <c r="C1687" s="12" t="n"/>
      <c r="D1687" s="12" t="n"/>
      <c r="E1687" s="13" t="n"/>
      <c r="F1687" s="14">
        <f>IF($E1687="","",IF($C1687="دستمزد گروهی",IFERROR(VLOOKUP($E1687,WGTbl,2,0),"کد ناشناخته"),IFERROR(IF(VLOOKUP($E1687,AcctTblE,4,0)="","(بدون نام)",VLOOKUP($E1687,AcctTblE,4,0)),"کد ناشناخته")))</f>
        <v/>
      </c>
      <c r="G1687" s="15" t="n"/>
      <c r="H1687" s="16">
        <f>IF(OR($C1687&lt;&gt;"دستمزد گروهی",$D1687=""),"",SUMIFS(ShareAmt,ShareLink,$D1687))</f>
        <v/>
      </c>
      <c r="I1687" s="17">
        <f>IF($C1687&lt;&gt;"دستمزد گروهی","—",IF($H1687="","",IF(ROUND($H1687-IF($G1687="",0,$G1687),0)=0,"√","▲ مغایرت "&amp;TEXT(IF($G1687="",0,$G1687)-$H1687,"#,##0"))))</f>
        <v/>
      </c>
      <c r="J1687" s="18" t="n"/>
    </row>
    <row r="1688">
      <c r="A1688" s="19">
        <f>IF($B1688="","",COUNTA($B$9:$B1688))</f>
        <v/>
      </c>
      <c r="B1688" s="11" t="n"/>
      <c r="C1688" s="12" t="n"/>
      <c r="D1688" s="12" t="n"/>
      <c r="E1688" s="13" t="n"/>
      <c r="F1688" s="20">
        <f>IF($E1688="","",IF($C1688="دستمزد گروهی",IFERROR(VLOOKUP($E1688,WGTbl,2,0),"کد ناشناخته"),IFERROR(IF(VLOOKUP($E1688,AcctTblE,4,0)="","(بدون نام)",VLOOKUP($E1688,AcctTblE,4,0)),"کد ناشناخته")))</f>
        <v/>
      </c>
      <c r="G1688" s="15" t="n"/>
      <c r="H1688" s="21">
        <f>IF(OR($C1688&lt;&gt;"دستمزد گروهی",$D1688=""),"",SUMIFS(ShareAmt,ShareLink,$D1688))</f>
        <v/>
      </c>
      <c r="I1688" s="22">
        <f>IF($C1688&lt;&gt;"دستمزد گروهی","—",IF($H1688="","",IF(ROUND($H1688-IF($G1688="",0,$G1688),0)=0,"√","▲ مغایرت "&amp;TEXT(IF($G1688="",0,$G1688)-$H1688,"#,##0"))))</f>
        <v/>
      </c>
      <c r="J1688" s="18" t="n"/>
    </row>
    <row r="1689">
      <c r="A1689" s="10">
        <f>IF($B1689="","",COUNTA($B$9:$B1689))</f>
        <v/>
      </c>
      <c r="B1689" s="11" t="n"/>
      <c r="C1689" s="12" t="n"/>
      <c r="D1689" s="12" t="n"/>
      <c r="E1689" s="13" t="n"/>
      <c r="F1689" s="14">
        <f>IF($E1689="","",IF($C1689="دستمزد گروهی",IFERROR(VLOOKUP($E1689,WGTbl,2,0),"کد ناشناخته"),IFERROR(IF(VLOOKUP($E1689,AcctTblE,4,0)="","(بدون نام)",VLOOKUP($E1689,AcctTblE,4,0)),"کد ناشناخته")))</f>
        <v/>
      </c>
      <c r="G1689" s="15" t="n"/>
      <c r="H1689" s="16">
        <f>IF(OR($C1689&lt;&gt;"دستمزد گروهی",$D1689=""),"",SUMIFS(ShareAmt,ShareLink,$D1689))</f>
        <v/>
      </c>
      <c r="I1689" s="17">
        <f>IF($C1689&lt;&gt;"دستمزد گروهی","—",IF($H1689="","",IF(ROUND($H1689-IF($G1689="",0,$G1689),0)=0,"√","▲ مغایرت "&amp;TEXT(IF($G1689="",0,$G1689)-$H1689,"#,##0"))))</f>
        <v/>
      </c>
      <c r="J1689" s="18" t="n"/>
    </row>
    <row r="1690">
      <c r="A1690" s="19">
        <f>IF($B1690="","",COUNTA($B$9:$B1690))</f>
        <v/>
      </c>
      <c r="B1690" s="11" t="n"/>
      <c r="C1690" s="12" t="n"/>
      <c r="D1690" s="12" t="n"/>
      <c r="E1690" s="13" t="n"/>
      <c r="F1690" s="20">
        <f>IF($E1690="","",IF($C1690="دستمزد گروهی",IFERROR(VLOOKUP($E1690,WGTbl,2,0),"کد ناشناخته"),IFERROR(IF(VLOOKUP($E1690,AcctTblE,4,0)="","(بدون نام)",VLOOKUP($E1690,AcctTblE,4,0)),"کد ناشناخته")))</f>
        <v/>
      </c>
      <c r="G1690" s="15" t="n"/>
      <c r="H1690" s="21">
        <f>IF(OR($C1690&lt;&gt;"دستمزد گروهی",$D1690=""),"",SUMIFS(ShareAmt,ShareLink,$D1690))</f>
        <v/>
      </c>
      <c r="I1690" s="22">
        <f>IF($C1690&lt;&gt;"دستمزد گروهی","—",IF($H1690="","",IF(ROUND($H1690-IF($G1690="",0,$G1690),0)=0,"√","▲ مغایرت "&amp;TEXT(IF($G1690="",0,$G1690)-$H1690,"#,##0"))))</f>
        <v/>
      </c>
      <c r="J1690" s="18" t="n"/>
    </row>
    <row r="1691">
      <c r="A1691" s="10">
        <f>IF($B1691="","",COUNTA($B$9:$B1691))</f>
        <v/>
      </c>
      <c r="B1691" s="11" t="n"/>
      <c r="C1691" s="12" t="n"/>
      <c r="D1691" s="12" t="n"/>
      <c r="E1691" s="13" t="n"/>
      <c r="F1691" s="14">
        <f>IF($E1691="","",IF($C1691="دستمزد گروهی",IFERROR(VLOOKUP($E1691,WGTbl,2,0),"کد ناشناخته"),IFERROR(IF(VLOOKUP($E1691,AcctTblE,4,0)="","(بدون نام)",VLOOKUP($E1691,AcctTblE,4,0)),"کد ناشناخته")))</f>
        <v/>
      </c>
      <c r="G1691" s="15" t="n"/>
      <c r="H1691" s="16">
        <f>IF(OR($C1691&lt;&gt;"دستمزد گروهی",$D1691=""),"",SUMIFS(ShareAmt,ShareLink,$D1691))</f>
        <v/>
      </c>
      <c r="I1691" s="17">
        <f>IF($C1691&lt;&gt;"دستمزد گروهی","—",IF($H1691="","",IF(ROUND($H1691-IF($G1691="",0,$G1691),0)=0,"√","▲ مغایرت "&amp;TEXT(IF($G1691="",0,$G1691)-$H1691,"#,##0"))))</f>
        <v/>
      </c>
      <c r="J1691" s="18" t="n"/>
    </row>
    <row r="1692">
      <c r="A1692" s="19">
        <f>IF($B1692="","",COUNTA($B$9:$B1692))</f>
        <v/>
      </c>
      <c r="B1692" s="11" t="n"/>
      <c r="C1692" s="12" t="n"/>
      <c r="D1692" s="12" t="n"/>
      <c r="E1692" s="13" t="n"/>
      <c r="F1692" s="20">
        <f>IF($E1692="","",IF($C1692="دستمزد گروهی",IFERROR(VLOOKUP($E1692,WGTbl,2,0),"کد ناشناخته"),IFERROR(IF(VLOOKUP($E1692,AcctTblE,4,0)="","(بدون نام)",VLOOKUP($E1692,AcctTblE,4,0)),"کد ناشناخته")))</f>
        <v/>
      </c>
      <c r="G1692" s="15" t="n"/>
      <c r="H1692" s="21">
        <f>IF(OR($C1692&lt;&gt;"دستمزد گروهی",$D1692=""),"",SUMIFS(ShareAmt,ShareLink,$D1692))</f>
        <v/>
      </c>
      <c r="I1692" s="22">
        <f>IF($C1692&lt;&gt;"دستمزد گروهی","—",IF($H1692="","",IF(ROUND($H1692-IF($G1692="",0,$G1692),0)=0,"√","▲ مغایرت "&amp;TEXT(IF($G1692="",0,$G1692)-$H1692,"#,##0"))))</f>
        <v/>
      </c>
      <c r="J1692" s="18" t="n"/>
    </row>
    <row r="1693">
      <c r="A1693" s="10">
        <f>IF($B1693="","",COUNTA($B$9:$B1693))</f>
        <v/>
      </c>
      <c r="B1693" s="11" t="n"/>
      <c r="C1693" s="12" t="n"/>
      <c r="D1693" s="12" t="n"/>
      <c r="E1693" s="13" t="n"/>
      <c r="F1693" s="14">
        <f>IF($E1693="","",IF($C1693="دستمزد گروهی",IFERROR(VLOOKUP($E1693,WGTbl,2,0),"کد ناشناخته"),IFERROR(IF(VLOOKUP($E1693,AcctTblE,4,0)="","(بدون نام)",VLOOKUP($E1693,AcctTblE,4,0)),"کد ناشناخته")))</f>
        <v/>
      </c>
      <c r="G1693" s="15" t="n"/>
      <c r="H1693" s="16">
        <f>IF(OR($C1693&lt;&gt;"دستمزد گروهی",$D1693=""),"",SUMIFS(ShareAmt,ShareLink,$D1693))</f>
        <v/>
      </c>
      <c r="I1693" s="17">
        <f>IF($C1693&lt;&gt;"دستمزد گروهی","—",IF($H1693="","",IF(ROUND($H1693-IF($G1693="",0,$G1693),0)=0,"√","▲ مغایرت "&amp;TEXT(IF($G1693="",0,$G1693)-$H1693,"#,##0"))))</f>
        <v/>
      </c>
      <c r="J1693" s="18" t="n"/>
    </row>
    <row r="1694">
      <c r="A1694" s="19">
        <f>IF($B1694="","",COUNTA($B$9:$B1694))</f>
        <v/>
      </c>
      <c r="B1694" s="11" t="n"/>
      <c r="C1694" s="12" t="n"/>
      <c r="D1694" s="12" t="n"/>
      <c r="E1694" s="13" t="n"/>
      <c r="F1694" s="20">
        <f>IF($E1694="","",IF($C1694="دستمزد گروهی",IFERROR(VLOOKUP($E1694,WGTbl,2,0),"کد ناشناخته"),IFERROR(IF(VLOOKUP($E1694,AcctTblE,4,0)="","(بدون نام)",VLOOKUP($E1694,AcctTblE,4,0)),"کد ناشناخته")))</f>
        <v/>
      </c>
      <c r="G1694" s="15" t="n"/>
      <c r="H1694" s="21">
        <f>IF(OR($C1694&lt;&gt;"دستمزد گروهی",$D1694=""),"",SUMIFS(ShareAmt,ShareLink,$D1694))</f>
        <v/>
      </c>
      <c r="I1694" s="22">
        <f>IF($C1694&lt;&gt;"دستمزد گروهی","—",IF($H1694="","",IF(ROUND($H1694-IF($G1694="",0,$G1694),0)=0,"√","▲ مغایرت "&amp;TEXT(IF($G1694="",0,$G1694)-$H1694,"#,##0"))))</f>
        <v/>
      </c>
      <c r="J1694" s="18" t="n"/>
    </row>
    <row r="1695">
      <c r="A1695" s="10">
        <f>IF($B1695="","",COUNTA($B$9:$B1695))</f>
        <v/>
      </c>
      <c r="B1695" s="11" t="n"/>
      <c r="C1695" s="12" t="n"/>
      <c r="D1695" s="12" t="n"/>
      <c r="E1695" s="13" t="n"/>
      <c r="F1695" s="14">
        <f>IF($E1695="","",IF($C1695="دستمزد گروهی",IFERROR(VLOOKUP($E1695,WGTbl,2,0),"کد ناشناخته"),IFERROR(IF(VLOOKUP($E1695,AcctTblE,4,0)="","(بدون نام)",VLOOKUP($E1695,AcctTblE,4,0)),"کد ناشناخته")))</f>
        <v/>
      </c>
      <c r="G1695" s="15" t="n"/>
      <c r="H1695" s="16">
        <f>IF(OR($C1695&lt;&gt;"دستمزد گروهی",$D1695=""),"",SUMIFS(ShareAmt,ShareLink,$D1695))</f>
        <v/>
      </c>
      <c r="I1695" s="17">
        <f>IF($C1695&lt;&gt;"دستمزد گروهی","—",IF($H1695="","",IF(ROUND($H1695-IF($G1695="",0,$G1695),0)=0,"√","▲ مغایرت "&amp;TEXT(IF($G1695="",0,$G1695)-$H1695,"#,##0"))))</f>
        <v/>
      </c>
      <c r="J1695" s="18" t="n"/>
    </row>
    <row r="1696">
      <c r="A1696" s="19">
        <f>IF($B1696="","",COUNTA($B$9:$B1696))</f>
        <v/>
      </c>
      <c r="B1696" s="11" t="n"/>
      <c r="C1696" s="12" t="n"/>
      <c r="D1696" s="12" t="n"/>
      <c r="E1696" s="13" t="n"/>
      <c r="F1696" s="20">
        <f>IF($E1696="","",IF($C1696="دستمزد گروهی",IFERROR(VLOOKUP($E1696,WGTbl,2,0),"کد ناشناخته"),IFERROR(IF(VLOOKUP($E1696,AcctTblE,4,0)="","(بدون نام)",VLOOKUP($E1696,AcctTblE,4,0)),"کد ناشناخته")))</f>
        <v/>
      </c>
      <c r="G1696" s="15" t="n"/>
      <c r="H1696" s="21">
        <f>IF(OR($C1696&lt;&gt;"دستمزد گروهی",$D1696=""),"",SUMIFS(ShareAmt,ShareLink,$D1696))</f>
        <v/>
      </c>
      <c r="I1696" s="22">
        <f>IF($C1696&lt;&gt;"دستمزد گروهی","—",IF($H1696="","",IF(ROUND($H1696-IF($G1696="",0,$G1696),0)=0,"√","▲ مغایرت "&amp;TEXT(IF($G1696="",0,$G1696)-$H1696,"#,##0"))))</f>
        <v/>
      </c>
      <c r="J1696" s="18" t="n"/>
    </row>
    <row r="1697">
      <c r="A1697" s="10">
        <f>IF($B1697="","",COUNTA($B$9:$B1697))</f>
        <v/>
      </c>
      <c r="B1697" s="11" t="n"/>
      <c r="C1697" s="12" t="n"/>
      <c r="D1697" s="12" t="n"/>
      <c r="E1697" s="13" t="n"/>
      <c r="F1697" s="14">
        <f>IF($E1697="","",IF($C1697="دستمزد گروهی",IFERROR(VLOOKUP($E1697,WGTbl,2,0),"کد ناشناخته"),IFERROR(IF(VLOOKUP($E1697,AcctTblE,4,0)="","(بدون نام)",VLOOKUP($E1697,AcctTblE,4,0)),"کد ناشناخته")))</f>
        <v/>
      </c>
      <c r="G1697" s="15" t="n"/>
      <c r="H1697" s="16">
        <f>IF(OR($C1697&lt;&gt;"دستمزد گروهی",$D1697=""),"",SUMIFS(ShareAmt,ShareLink,$D1697))</f>
        <v/>
      </c>
      <c r="I1697" s="17">
        <f>IF($C1697&lt;&gt;"دستمزد گروهی","—",IF($H1697="","",IF(ROUND($H1697-IF($G1697="",0,$G1697),0)=0,"√","▲ مغایرت "&amp;TEXT(IF($G1697="",0,$G1697)-$H1697,"#,##0"))))</f>
        <v/>
      </c>
      <c r="J1697" s="18" t="n"/>
    </row>
    <row r="1698">
      <c r="A1698" s="19">
        <f>IF($B1698="","",COUNTA($B$9:$B1698))</f>
        <v/>
      </c>
      <c r="B1698" s="11" t="n"/>
      <c r="C1698" s="12" t="n"/>
      <c r="D1698" s="12" t="n"/>
      <c r="E1698" s="13" t="n"/>
      <c r="F1698" s="20">
        <f>IF($E1698="","",IF($C1698="دستمزد گروهی",IFERROR(VLOOKUP($E1698,WGTbl,2,0),"کد ناشناخته"),IFERROR(IF(VLOOKUP($E1698,AcctTblE,4,0)="","(بدون نام)",VLOOKUP($E1698,AcctTblE,4,0)),"کد ناشناخته")))</f>
        <v/>
      </c>
      <c r="G1698" s="15" t="n"/>
      <c r="H1698" s="21">
        <f>IF(OR($C1698&lt;&gt;"دستمزد گروهی",$D1698=""),"",SUMIFS(ShareAmt,ShareLink,$D1698))</f>
        <v/>
      </c>
      <c r="I1698" s="22">
        <f>IF($C1698&lt;&gt;"دستمزد گروهی","—",IF($H1698="","",IF(ROUND($H1698-IF($G1698="",0,$G1698),0)=0,"√","▲ مغایرت "&amp;TEXT(IF($G1698="",0,$G1698)-$H1698,"#,##0"))))</f>
        <v/>
      </c>
      <c r="J1698" s="18" t="n"/>
    </row>
    <row r="1699">
      <c r="A1699" s="10">
        <f>IF($B1699="","",COUNTA($B$9:$B1699))</f>
        <v/>
      </c>
      <c r="B1699" s="11" t="n"/>
      <c r="C1699" s="12" t="n"/>
      <c r="D1699" s="12" t="n"/>
      <c r="E1699" s="13" t="n"/>
      <c r="F1699" s="14">
        <f>IF($E1699="","",IF($C1699="دستمزد گروهی",IFERROR(VLOOKUP($E1699,WGTbl,2,0),"کد ناشناخته"),IFERROR(IF(VLOOKUP($E1699,AcctTblE,4,0)="","(بدون نام)",VLOOKUP($E1699,AcctTblE,4,0)),"کد ناشناخته")))</f>
        <v/>
      </c>
      <c r="G1699" s="15" t="n"/>
      <c r="H1699" s="16">
        <f>IF(OR($C1699&lt;&gt;"دستمزد گروهی",$D1699=""),"",SUMIFS(ShareAmt,ShareLink,$D1699))</f>
        <v/>
      </c>
      <c r="I1699" s="17">
        <f>IF($C1699&lt;&gt;"دستمزد گروهی","—",IF($H1699="","",IF(ROUND($H1699-IF($G1699="",0,$G1699),0)=0,"√","▲ مغایرت "&amp;TEXT(IF($G1699="",0,$G1699)-$H1699,"#,##0"))))</f>
        <v/>
      </c>
      <c r="J1699" s="18" t="n"/>
    </row>
    <row r="1700">
      <c r="A1700" s="19">
        <f>IF($B1700="","",COUNTA($B$9:$B1700))</f>
        <v/>
      </c>
      <c r="B1700" s="11" t="n"/>
      <c r="C1700" s="12" t="n"/>
      <c r="D1700" s="12" t="n"/>
      <c r="E1700" s="13" t="n"/>
      <c r="F1700" s="20">
        <f>IF($E1700="","",IF($C1700="دستمزد گروهی",IFERROR(VLOOKUP($E1700,WGTbl,2,0),"کد ناشناخته"),IFERROR(IF(VLOOKUP($E1700,AcctTblE,4,0)="","(بدون نام)",VLOOKUP($E1700,AcctTblE,4,0)),"کد ناشناخته")))</f>
        <v/>
      </c>
      <c r="G1700" s="15" t="n"/>
      <c r="H1700" s="21">
        <f>IF(OR($C1700&lt;&gt;"دستمزد گروهی",$D1700=""),"",SUMIFS(ShareAmt,ShareLink,$D1700))</f>
        <v/>
      </c>
      <c r="I1700" s="22">
        <f>IF($C1700&lt;&gt;"دستمزد گروهی","—",IF($H1700="","",IF(ROUND($H1700-IF($G1700="",0,$G1700),0)=0,"√","▲ مغایرت "&amp;TEXT(IF($G1700="",0,$G1700)-$H1700,"#,##0"))))</f>
        <v/>
      </c>
      <c r="J1700" s="18" t="n"/>
    </row>
    <row r="1701">
      <c r="A1701" s="10">
        <f>IF($B1701="","",COUNTA($B$9:$B1701))</f>
        <v/>
      </c>
      <c r="B1701" s="11" t="n"/>
      <c r="C1701" s="12" t="n"/>
      <c r="D1701" s="12" t="n"/>
      <c r="E1701" s="13" t="n"/>
      <c r="F1701" s="14">
        <f>IF($E1701="","",IF($C1701="دستمزد گروهی",IFERROR(VLOOKUP($E1701,WGTbl,2,0),"کد ناشناخته"),IFERROR(IF(VLOOKUP($E1701,AcctTblE,4,0)="","(بدون نام)",VLOOKUP($E1701,AcctTblE,4,0)),"کد ناشناخته")))</f>
        <v/>
      </c>
      <c r="G1701" s="15" t="n"/>
      <c r="H1701" s="16">
        <f>IF(OR($C1701&lt;&gt;"دستمزد گروهی",$D1701=""),"",SUMIFS(ShareAmt,ShareLink,$D1701))</f>
        <v/>
      </c>
      <c r="I1701" s="17">
        <f>IF($C1701&lt;&gt;"دستمزد گروهی","—",IF($H1701="","",IF(ROUND($H1701-IF($G1701="",0,$G1701),0)=0,"√","▲ مغایرت "&amp;TEXT(IF($G1701="",0,$G1701)-$H1701,"#,##0"))))</f>
        <v/>
      </c>
      <c r="J1701" s="18" t="n"/>
    </row>
    <row r="1702">
      <c r="A1702" s="19">
        <f>IF($B1702="","",COUNTA($B$9:$B1702))</f>
        <v/>
      </c>
      <c r="B1702" s="11" t="n"/>
      <c r="C1702" s="12" t="n"/>
      <c r="D1702" s="12" t="n"/>
      <c r="E1702" s="13" t="n"/>
      <c r="F1702" s="20">
        <f>IF($E1702="","",IF($C1702="دستمزد گروهی",IFERROR(VLOOKUP($E1702,WGTbl,2,0),"کد ناشناخته"),IFERROR(IF(VLOOKUP($E1702,AcctTblE,4,0)="","(بدون نام)",VLOOKUP($E1702,AcctTblE,4,0)),"کد ناشناخته")))</f>
        <v/>
      </c>
      <c r="G1702" s="15" t="n"/>
      <c r="H1702" s="21">
        <f>IF(OR($C1702&lt;&gt;"دستمزد گروهی",$D1702=""),"",SUMIFS(ShareAmt,ShareLink,$D1702))</f>
        <v/>
      </c>
      <c r="I1702" s="22">
        <f>IF($C1702&lt;&gt;"دستمزد گروهی","—",IF($H1702="","",IF(ROUND($H1702-IF($G1702="",0,$G1702),0)=0,"√","▲ مغایرت "&amp;TEXT(IF($G1702="",0,$G1702)-$H1702,"#,##0"))))</f>
        <v/>
      </c>
      <c r="J1702" s="18" t="n"/>
    </row>
    <row r="1703">
      <c r="A1703" s="10">
        <f>IF($B1703="","",COUNTA($B$9:$B1703))</f>
        <v/>
      </c>
      <c r="B1703" s="11" t="n"/>
      <c r="C1703" s="12" t="n"/>
      <c r="D1703" s="12" t="n"/>
      <c r="E1703" s="13" t="n"/>
      <c r="F1703" s="14">
        <f>IF($E1703="","",IF($C1703="دستمزد گروهی",IFERROR(VLOOKUP($E1703,WGTbl,2,0),"کد ناشناخته"),IFERROR(IF(VLOOKUP($E1703,AcctTblE,4,0)="","(بدون نام)",VLOOKUP($E1703,AcctTblE,4,0)),"کد ناشناخته")))</f>
        <v/>
      </c>
      <c r="G1703" s="15" t="n"/>
      <c r="H1703" s="16">
        <f>IF(OR($C1703&lt;&gt;"دستمزد گروهی",$D1703=""),"",SUMIFS(ShareAmt,ShareLink,$D1703))</f>
        <v/>
      </c>
      <c r="I1703" s="17">
        <f>IF($C1703&lt;&gt;"دستمزد گروهی","—",IF($H1703="","",IF(ROUND($H1703-IF($G1703="",0,$G1703),0)=0,"√","▲ مغایرت "&amp;TEXT(IF($G1703="",0,$G1703)-$H1703,"#,##0"))))</f>
        <v/>
      </c>
      <c r="J1703" s="18" t="n"/>
    </row>
    <row r="1704">
      <c r="A1704" s="19">
        <f>IF($B1704="","",COUNTA($B$9:$B1704))</f>
        <v/>
      </c>
      <c r="B1704" s="11" t="n"/>
      <c r="C1704" s="12" t="n"/>
      <c r="D1704" s="12" t="n"/>
      <c r="E1704" s="13" t="n"/>
      <c r="F1704" s="20">
        <f>IF($E1704="","",IF($C1704="دستمزد گروهی",IFERROR(VLOOKUP($E1704,WGTbl,2,0),"کد ناشناخته"),IFERROR(IF(VLOOKUP($E1704,AcctTblE,4,0)="","(بدون نام)",VLOOKUP($E1704,AcctTblE,4,0)),"کد ناشناخته")))</f>
        <v/>
      </c>
      <c r="G1704" s="15" t="n"/>
      <c r="H1704" s="21">
        <f>IF(OR($C1704&lt;&gt;"دستمزد گروهی",$D1704=""),"",SUMIFS(ShareAmt,ShareLink,$D1704))</f>
        <v/>
      </c>
      <c r="I1704" s="22">
        <f>IF($C1704&lt;&gt;"دستمزد گروهی","—",IF($H1704="","",IF(ROUND($H1704-IF($G1704="",0,$G1704),0)=0,"√","▲ مغایرت "&amp;TEXT(IF($G1704="",0,$G1704)-$H1704,"#,##0"))))</f>
        <v/>
      </c>
      <c r="J1704" s="18" t="n"/>
    </row>
    <row r="1705">
      <c r="A1705" s="10">
        <f>IF($B1705="","",COUNTA($B$9:$B1705))</f>
        <v/>
      </c>
      <c r="B1705" s="11" t="n"/>
      <c r="C1705" s="12" t="n"/>
      <c r="D1705" s="12" t="n"/>
      <c r="E1705" s="13" t="n"/>
      <c r="F1705" s="14">
        <f>IF($E1705="","",IF($C1705="دستمزد گروهی",IFERROR(VLOOKUP($E1705,WGTbl,2,0),"کد ناشناخته"),IFERROR(IF(VLOOKUP($E1705,AcctTblE,4,0)="","(بدون نام)",VLOOKUP($E1705,AcctTblE,4,0)),"کد ناشناخته")))</f>
        <v/>
      </c>
      <c r="G1705" s="15" t="n"/>
      <c r="H1705" s="16">
        <f>IF(OR($C1705&lt;&gt;"دستمزد گروهی",$D1705=""),"",SUMIFS(ShareAmt,ShareLink,$D1705))</f>
        <v/>
      </c>
      <c r="I1705" s="17">
        <f>IF($C1705&lt;&gt;"دستمزد گروهی","—",IF($H1705="","",IF(ROUND($H1705-IF($G1705="",0,$G1705),0)=0,"√","▲ مغایرت "&amp;TEXT(IF($G1705="",0,$G1705)-$H1705,"#,##0"))))</f>
        <v/>
      </c>
      <c r="J1705" s="18" t="n"/>
    </row>
    <row r="1706">
      <c r="A1706" s="19">
        <f>IF($B1706="","",COUNTA($B$9:$B1706))</f>
        <v/>
      </c>
      <c r="B1706" s="11" t="n"/>
      <c r="C1706" s="12" t="n"/>
      <c r="D1706" s="12" t="n"/>
      <c r="E1706" s="13" t="n"/>
      <c r="F1706" s="20">
        <f>IF($E1706="","",IF($C1706="دستمزد گروهی",IFERROR(VLOOKUP($E1706,WGTbl,2,0),"کد ناشناخته"),IFERROR(IF(VLOOKUP($E1706,AcctTblE,4,0)="","(بدون نام)",VLOOKUP($E1706,AcctTblE,4,0)),"کد ناشناخته")))</f>
        <v/>
      </c>
      <c r="G1706" s="15" t="n"/>
      <c r="H1706" s="21">
        <f>IF(OR($C1706&lt;&gt;"دستمزد گروهی",$D1706=""),"",SUMIFS(ShareAmt,ShareLink,$D1706))</f>
        <v/>
      </c>
      <c r="I1706" s="22">
        <f>IF($C1706&lt;&gt;"دستمزد گروهی","—",IF($H1706="","",IF(ROUND($H1706-IF($G1706="",0,$G1706),0)=0,"√","▲ مغایرت "&amp;TEXT(IF($G1706="",0,$G1706)-$H1706,"#,##0"))))</f>
        <v/>
      </c>
      <c r="J1706" s="18" t="n"/>
    </row>
    <row r="1707">
      <c r="A1707" s="10">
        <f>IF($B1707="","",COUNTA($B$9:$B1707))</f>
        <v/>
      </c>
      <c r="B1707" s="11" t="n"/>
      <c r="C1707" s="12" t="n"/>
      <c r="D1707" s="12" t="n"/>
      <c r="E1707" s="13" t="n"/>
      <c r="F1707" s="14">
        <f>IF($E1707="","",IF($C1707="دستمزد گروهی",IFERROR(VLOOKUP($E1707,WGTbl,2,0),"کد ناشناخته"),IFERROR(IF(VLOOKUP($E1707,AcctTblE,4,0)="","(بدون نام)",VLOOKUP($E1707,AcctTblE,4,0)),"کد ناشناخته")))</f>
        <v/>
      </c>
      <c r="G1707" s="15" t="n"/>
      <c r="H1707" s="16">
        <f>IF(OR($C1707&lt;&gt;"دستمزد گروهی",$D1707=""),"",SUMIFS(ShareAmt,ShareLink,$D1707))</f>
        <v/>
      </c>
      <c r="I1707" s="17">
        <f>IF($C1707&lt;&gt;"دستمزد گروهی","—",IF($H1707="","",IF(ROUND($H1707-IF($G1707="",0,$G1707),0)=0,"√","▲ مغایرت "&amp;TEXT(IF($G1707="",0,$G1707)-$H1707,"#,##0"))))</f>
        <v/>
      </c>
      <c r="J1707" s="18" t="n"/>
    </row>
    <row r="1708">
      <c r="A1708" s="19">
        <f>IF($B1708="","",COUNTA($B$9:$B1708))</f>
        <v/>
      </c>
      <c r="B1708" s="11" t="n"/>
      <c r="C1708" s="12" t="n"/>
      <c r="D1708" s="12" t="n"/>
      <c r="E1708" s="13" t="n"/>
      <c r="F1708" s="20">
        <f>IF($E1708="","",IF($C1708="دستمزد گروهی",IFERROR(VLOOKUP($E1708,WGTbl,2,0),"کد ناشناخته"),IFERROR(IF(VLOOKUP($E1708,AcctTblE,4,0)="","(بدون نام)",VLOOKUP($E1708,AcctTblE,4,0)),"کد ناشناخته")))</f>
        <v/>
      </c>
      <c r="G1708" s="15" t="n"/>
      <c r="H1708" s="21">
        <f>IF(OR($C1708&lt;&gt;"دستمزد گروهی",$D1708=""),"",SUMIFS(ShareAmt,ShareLink,$D1708))</f>
        <v/>
      </c>
      <c r="I1708" s="22">
        <f>IF($C1708&lt;&gt;"دستمزد گروهی","—",IF($H1708="","",IF(ROUND($H1708-IF($G1708="",0,$G1708),0)=0,"√","▲ مغایرت "&amp;TEXT(IF($G1708="",0,$G1708)-$H1708,"#,##0"))))</f>
        <v/>
      </c>
      <c r="J1708" s="18" t="n"/>
    </row>
    <row r="1709">
      <c r="A1709" s="10">
        <f>IF($B1709="","",COUNTA($B$9:$B1709))</f>
        <v/>
      </c>
      <c r="B1709" s="11" t="n"/>
      <c r="C1709" s="12" t="n"/>
      <c r="D1709" s="12" t="n"/>
      <c r="E1709" s="13" t="n"/>
      <c r="F1709" s="14">
        <f>IF($E1709="","",IF($C1709="دستمزد گروهی",IFERROR(VLOOKUP($E1709,WGTbl,2,0),"کد ناشناخته"),IFERROR(IF(VLOOKUP($E1709,AcctTblE,4,0)="","(بدون نام)",VLOOKUP($E1709,AcctTblE,4,0)),"کد ناشناخته")))</f>
        <v/>
      </c>
      <c r="G1709" s="15" t="n"/>
      <c r="H1709" s="16">
        <f>IF(OR($C1709&lt;&gt;"دستمزد گروهی",$D1709=""),"",SUMIFS(ShareAmt,ShareLink,$D1709))</f>
        <v/>
      </c>
      <c r="I1709" s="17">
        <f>IF($C1709&lt;&gt;"دستمزد گروهی","—",IF($H1709="","",IF(ROUND($H1709-IF($G1709="",0,$G1709),0)=0,"√","▲ مغایرت "&amp;TEXT(IF($G1709="",0,$G1709)-$H1709,"#,##0"))))</f>
        <v/>
      </c>
      <c r="J1709" s="18" t="n"/>
    </row>
    <row r="1710">
      <c r="A1710" s="19">
        <f>IF($B1710="","",COUNTA($B$9:$B1710))</f>
        <v/>
      </c>
      <c r="B1710" s="11" t="n"/>
      <c r="C1710" s="12" t="n"/>
      <c r="D1710" s="12" t="n"/>
      <c r="E1710" s="13" t="n"/>
      <c r="F1710" s="20">
        <f>IF($E1710="","",IF($C1710="دستمزد گروهی",IFERROR(VLOOKUP($E1710,WGTbl,2,0),"کد ناشناخته"),IFERROR(IF(VLOOKUP($E1710,AcctTblE,4,0)="","(بدون نام)",VLOOKUP($E1710,AcctTblE,4,0)),"کد ناشناخته")))</f>
        <v/>
      </c>
      <c r="G1710" s="15" t="n"/>
      <c r="H1710" s="21">
        <f>IF(OR($C1710&lt;&gt;"دستمزد گروهی",$D1710=""),"",SUMIFS(ShareAmt,ShareLink,$D1710))</f>
        <v/>
      </c>
      <c r="I1710" s="22">
        <f>IF($C1710&lt;&gt;"دستمزد گروهی","—",IF($H1710="","",IF(ROUND($H1710-IF($G1710="",0,$G1710),0)=0,"√","▲ مغایرت "&amp;TEXT(IF($G1710="",0,$G1710)-$H1710,"#,##0"))))</f>
        <v/>
      </c>
      <c r="J1710" s="18" t="n"/>
    </row>
    <row r="1711">
      <c r="A1711" s="10">
        <f>IF($B1711="","",COUNTA($B$9:$B1711))</f>
        <v/>
      </c>
      <c r="B1711" s="11" t="n"/>
      <c r="C1711" s="12" t="n"/>
      <c r="D1711" s="12" t="n"/>
      <c r="E1711" s="13" t="n"/>
      <c r="F1711" s="14">
        <f>IF($E1711="","",IF($C1711="دستمزد گروهی",IFERROR(VLOOKUP($E1711,WGTbl,2,0),"کد ناشناخته"),IFERROR(IF(VLOOKUP($E1711,AcctTblE,4,0)="","(بدون نام)",VLOOKUP($E1711,AcctTblE,4,0)),"کد ناشناخته")))</f>
        <v/>
      </c>
      <c r="G1711" s="15" t="n"/>
      <c r="H1711" s="16">
        <f>IF(OR($C1711&lt;&gt;"دستمزد گروهی",$D1711=""),"",SUMIFS(ShareAmt,ShareLink,$D1711))</f>
        <v/>
      </c>
      <c r="I1711" s="17">
        <f>IF($C1711&lt;&gt;"دستمزد گروهی","—",IF($H1711="","",IF(ROUND($H1711-IF($G1711="",0,$G1711),0)=0,"√","▲ مغایرت "&amp;TEXT(IF($G1711="",0,$G1711)-$H1711,"#,##0"))))</f>
        <v/>
      </c>
      <c r="J1711" s="18" t="n"/>
    </row>
    <row r="1712">
      <c r="A1712" s="19">
        <f>IF($B1712="","",COUNTA($B$9:$B1712))</f>
        <v/>
      </c>
      <c r="B1712" s="11" t="n"/>
      <c r="C1712" s="12" t="n"/>
      <c r="D1712" s="12" t="n"/>
      <c r="E1712" s="13" t="n"/>
      <c r="F1712" s="20">
        <f>IF($E1712="","",IF($C1712="دستمزد گروهی",IFERROR(VLOOKUP($E1712,WGTbl,2,0),"کد ناشناخته"),IFERROR(IF(VLOOKUP($E1712,AcctTblE,4,0)="","(بدون نام)",VLOOKUP($E1712,AcctTblE,4,0)),"کد ناشناخته")))</f>
        <v/>
      </c>
      <c r="G1712" s="15" t="n"/>
      <c r="H1712" s="21">
        <f>IF(OR($C1712&lt;&gt;"دستمزد گروهی",$D1712=""),"",SUMIFS(ShareAmt,ShareLink,$D1712))</f>
        <v/>
      </c>
      <c r="I1712" s="22">
        <f>IF($C1712&lt;&gt;"دستمزد گروهی","—",IF($H1712="","",IF(ROUND($H1712-IF($G1712="",0,$G1712),0)=0,"√","▲ مغایرت "&amp;TEXT(IF($G1712="",0,$G1712)-$H1712,"#,##0"))))</f>
        <v/>
      </c>
      <c r="J1712" s="18" t="n"/>
    </row>
    <row r="1713">
      <c r="A1713" s="10">
        <f>IF($B1713="","",COUNTA($B$9:$B1713))</f>
        <v/>
      </c>
      <c r="B1713" s="11" t="n"/>
      <c r="C1713" s="12" t="n"/>
      <c r="D1713" s="12" t="n"/>
      <c r="E1713" s="13" t="n"/>
      <c r="F1713" s="14">
        <f>IF($E1713="","",IF($C1713="دستمزد گروهی",IFERROR(VLOOKUP($E1713,WGTbl,2,0),"کد ناشناخته"),IFERROR(IF(VLOOKUP($E1713,AcctTblE,4,0)="","(بدون نام)",VLOOKUP($E1713,AcctTblE,4,0)),"کد ناشناخته")))</f>
        <v/>
      </c>
      <c r="G1713" s="15" t="n"/>
      <c r="H1713" s="16">
        <f>IF(OR($C1713&lt;&gt;"دستمزد گروهی",$D1713=""),"",SUMIFS(ShareAmt,ShareLink,$D1713))</f>
        <v/>
      </c>
      <c r="I1713" s="17">
        <f>IF($C1713&lt;&gt;"دستمزد گروهی","—",IF($H1713="","",IF(ROUND($H1713-IF($G1713="",0,$G1713),0)=0,"√","▲ مغایرت "&amp;TEXT(IF($G1713="",0,$G1713)-$H1713,"#,##0"))))</f>
        <v/>
      </c>
      <c r="J1713" s="18" t="n"/>
    </row>
    <row r="1714">
      <c r="A1714" s="19">
        <f>IF($B1714="","",COUNTA($B$9:$B1714))</f>
        <v/>
      </c>
      <c r="B1714" s="11" t="n"/>
      <c r="C1714" s="12" t="n"/>
      <c r="D1714" s="12" t="n"/>
      <c r="E1714" s="13" t="n"/>
      <c r="F1714" s="20">
        <f>IF($E1714="","",IF($C1714="دستمزد گروهی",IFERROR(VLOOKUP($E1714,WGTbl,2,0),"کد ناشناخته"),IFERROR(IF(VLOOKUP($E1714,AcctTblE,4,0)="","(بدون نام)",VLOOKUP($E1714,AcctTblE,4,0)),"کد ناشناخته")))</f>
        <v/>
      </c>
      <c r="G1714" s="15" t="n"/>
      <c r="H1714" s="21">
        <f>IF(OR($C1714&lt;&gt;"دستمزد گروهی",$D1714=""),"",SUMIFS(ShareAmt,ShareLink,$D1714))</f>
        <v/>
      </c>
      <c r="I1714" s="22">
        <f>IF($C1714&lt;&gt;"دستمزد گروهی","—",IF($H1714="","",IF(ROUND($H1714-IF($G1714="",0,$G1714),0)=0,"√","▲ مغایرت "&amp;TEXT(IF($G1714="",0,$G1714)-$H1714,"#,##0"))))</f>
        <v/>
      </c>
      <c r="J1714" s="18" t="n"/>
    </row>
    <row r="1715">
      <c r="A1715" s="10">
        <f>IF($B1715="","",COUNTA($B$9:$B1715))</f>
        <v/>
      </c>
      <c r="B1715" s="11" t="n"/>
      <c r="C1715" s="12" t="n"/>
      <c r="D1715" s="12" t="n"/>
      <c r="E1715" s="13" t="n"/>
      <c r="F1715" s="14">
        <f>IF($E1715="","",IF($C1715="دستمزد گروهی",IFERROR(VLOOKUP($E1715,WGTbl,2,0),"کد ناشناخته"),IFERROR(IF(VLOOKUP($E1715,AcctTblE,4,0)="","(بدون نام)",VLOOKUP($E1715,AcctTblE,4,0)),"کد ناشناخته")))</f>
        <v/>
      </c>
      <c r="G1715" s="15" t="n"/>
      <c r="H1715" s="16">
        <f>IF(OR($C1715&lt;&gt;"دستمزد گروهی",$D1715=""),"",SUMIFS(ShareAmt,ShareLink,$D1715))</f>
        <v/>
      </c>
      <c r="I1715" s="17">
        <f>IF($C1715&lt;&gt;"دستمزد گروهی","—",IF($H1715="","",IF(ROUND($H1715-IF($G1715="",0,$G1715),0)=0,"√","▲ مغایرت "&amp;TEXT(IF($G1715="",0,$G1715)-$H1715,"#,##0"))))</f>
        <v/>
      </c>
      <c r="J1715" s="18" t="n"/>
    </row>
    <row r="1716">
      <c r="A1716" s="19">
        <f>IF($B1716="","",COUNTA($B$9:$B1716))</f>
        <v/>
      </c>
      <c r="B1716" s="11" t="n"/>
      <c r="C1716" s="12" t="n"/>
      <c r="D1716" s="12" t="n"/>
      <c r="E1716" s="13" t="n"/>
      <c r="F1716" s="20">
        <f>IF($E1716="","",IF($C1716="دستمزد گروهی",IFERROR(VLOOKUP($E1716,WGTbl,2,0),"کد ناشناخته"),IFERROR(IF(VLOOKUP($E1716,AcctTblE,4,0)="","(بدون نام)",VLOOKUP($E1716,AcctTblE,4,0)),"کد ناشناخته")))</f>
        <v/>
      </c>
      <c r="G1716" s="15" t="n"/>
      <c r="H1716" s="21">
        <f>IF(OR($C1716&lt;&gt;"دستمزد گروهی",$D1716=""),"",SUMIFS(ShareAmt,ShareLink,$D1716))</f>
        <v/>
      </c>
      <c r="I1716" s="22">
        <f>IF($C1716&lt;&gt;"دستمزد گروهی","—",IF($H1716="","",IF(ROUND($H1716-IF($G1716="",0,$G1716),0)=0,"√","▲ مغایرت "&amp;TEXT(IF($G1716="",0,$G1716)-$H1716,"#,##0"))))</f>
        <v/>
      </c>
      <c r="J1716" s="18" t="n"/>
    </row>
    <row r="1717">
      <c r="A1717" s="10">
        <f>IF($B1717="","",COUNTA($B$9:$B1717))</f>
        <v/>
      </c>
      <c r="B1717" s="11" t="n"/>
      <c r="C1717" s="12" t="n"/>
      <c r="D1717" s="12" t="n"/>
      <c r="E1717" s="13" t="n"/>
      <c r="F1717" s="14">
        <f>IF($E1717="","",IF($C1717="دستمزد گروهی",IFERROR(VLOOKUP($E1717,WGTbl,2,0),"کد ناشناخته"),IFERROR(IF(VLOOKUP($E1717,AcctTblE,4,0)="","(بدون نام)",VLOOKUP($E1717,AcctTblE,4,0)),"کد ناشناخته")))</f>
        <v/>
      </c>
      <c r="G1717" s="15" t="n"/>
      <c r="H1717" s="16">
        <f>IF(OR($C1717&lt;&gt;"دستمزد گروهی",$D1717=""),"",SUMIFS(ShareAmt,ShareLink,$D1717))</f>
        <v/>
      </c>
      <c r="I1717" s="17">
        <f>IF($C1717&lt;&gt;"دستمزد گروهی","—",IF($H1717="","",IF(ROUND($H1717-IF($G1717="",0,$G1717),0)=0,"√","▲ مغایرت "&amp;TEXT(IF($G1717="",0,$G1717)-$H1717,"#,##0"))))</f>
        <v/>
      </c>
      <c r="J1717" s="18" t="n"/>
    </row>
    <row r="1718">
      <c r="A1718" s="19">
        <f>IF($B1718="","",COUNTA($B$9:$B1718))</f>
        <v/>
      </c>
      <c r="B1718" s="11" t="n"/>
      <c r="C1718" s="12" t="n"/>
      <c r="D1718" s="12" t="n"/>
      <c r="E1718" s="13" t="n"/>
      <c r="F1718" s="20">
        <f>IF($E1718="","",IF($C1718="دستمزد گروهی",IFERROR(VLOOKUP($E1718,WGTbl,2,0),"کد ناشناخته"),IFERROR(IF(VLOOKUP($E1718,AcctTblE,4,0)="","(بدون نام)",VLOOKUP($E1718,AcctTblE,4,0)),"کد ناشناخته")))</f>
        <v/>
      </c>
      <c r="G1718" s="15" t="n"/>
      <c r="H1718" s="21">
        <f>IF(OR($C1718&lt;&gt;"دستمزد گروهی",$D1718=""),"",SUMIFS(ShareAmt,ShareLink,$D1718))</f>
        <v/>
      </c>
      <c r="I1718" s="22">
        <f>IF($C1718&lt;&gt;"دستمزد گروهی","—",IF($H1718="","",IF(ROUND($H1718-IF($G1718="",0,$G1718),0)=0,"√","▲ مغایرت "&amp;TEXT(IF($G1718="",0,$G1718)-$H1718,"#,##0"))))</f>
        <v/>
      </c>
      <c r="J1718" s="18" t="n"/>
    </row>
    <row r="1719">
      <c r="A1719" s="10">
        <f>IF($B1719="","",COUNTA($B$9:$B1719))</f>
        <v/>
      </c>
      <c r="B1719" s="11" t="n"/>
      <c r="C1719" s="12" t="n"/>
      <c r="D1719" s="12" t="n"/>
      <c r="E1719" s="13" t="n"/>
      <c r="F1719" s="14">
        <f>IF($E1719="","",IF($C1719="دستمزد گروهی",IFERROR(VLOOKUP($E1719,WGTbl,2,0),"کد ناشناخته"),IFERROR(IF(VLOOKUP($E1719,AcctTblE,4,0)="","(بدون نام)",VLOOKUP($E1719,AcctTblE,4,0)),"کد ناشناخته")))</f>
        <v/>
      </c>
      <c r="G1719" s="15" t="n"/>
      <c r="H1719" s="16">
        <f>IF(OR($C1719&lt;&gt;"دستمزد گروهی",$D1719=""),"",SUMIFS(ShareAmt,ShareLink,$D1719))</f>
        <v/>
      </c>
      <c r="I1719" s="17">
        <f>IF($C1719&lt;&gt;"دستمزد گروهی","—",IF($H1719="","",IF(ROUND($H1719-IF($G1719="",0,$G1719),0)=0,"√","▲ مغایرت "&amp;TEXT(IF($G1719="",0,$G1719)-$H1719,"#,##0"))))</f>
        <v/>
      </c>
      <c r="J1719" s="18" t="n"/>
    </row>
    <row r="1720">
      <c r="A1720" s="19">
        <f>IF($B1720="","",COUNTA($B$9:$B1720))</f>
        <v/>
      </c>
      <c r="B1720" s="11" t="n"/>
      <c r="C1720" s="12" t="n"/>
      <c r="D1720" s="12" t="n"/>
      <c r="E1720" s="13" t="n"/>
      <c r="F1720" s="20">
        <f>IF($E1720="","",IF($C1720="دستمزد گروهی",IFERROR(VLOOKUP($E1720,WGTbl,2,0),"کد ناشناخته"),IFERROR(IF(VLOOKUP($E1720,AcctTblE,4,0)="","(بدون نام)",VLOOKUP($E1720,AcctTblE,4,0)),"کد ناشناخته")))</f>
        <v/>
      </c>
      <c r="G1720" s="15" t="n"/>
      <c r="H1720" s="21">
        <f>IF(OR($C1720&lt;&gt;"دستمزد گروهی",$D1720=""),"",SUMIFS(ShareAmt,ShareLink,$D1720))</f>
        <v/>
      </c>
      <c r="I1720" s="22">
        <f>IF($C1720&lt;&gt;"دستمزد گروهی","—",IF($H1720="","",IF(ROUND($H1720-IF($G1720="",0,$G1720),0)=0,"√","▲ مغایرت "&amp;TEXT(IF($G1720="",0,$G1720)-$H1720,"#,##0"))))</f>
        <v/>
      </c>
      <c r="J1720" s="18" t="n"/>
    </row>
    <row r="1721">
      <c r="A1721" s="10">
        <f>IF($B1721="","",COUNTA($B$9:$B1721))</f>
        <v/>
      </c>
      <c r="B1721" s="11" t="n"/>
      <c r="C1721" s="12" t="n"/>
      <c r="D1721" s="12" t="n"/>
      <c r="E1721" s="13" t="n"/>
      <c r="F1721" s="14">
        <f>IF($E1721="","",IF($C1721="دستمزد گروهی",IFERROR(VLOOKUP($E1721,WGTbl,2,0),"کد ناشناخته"),IFERROR(IF(VLOOKUP($E1721,AcctTblE,4,0)="","(بدون نام)",VLOOKUP($E1721,AcctTblE,4,0)),"کد ناشناخته")))</f>
        <v/>
      </c>
      <c r="G1721" s="15" t="n"/>
      <c r="H1721" s="16">
        <f>IF(OR($C1721&lt;&gt;"دستمزد گروهی",$D1721=""),"",SUMIFS(ShareAmt,ShareLink,$D1721))</f>
        <v/>
      </c>
      <c r="I1721" s="17">
        <f>IF($C1721&lt;&gt;"دستمزد گروهی","—",IF($H1721="","",IF(ROUND($H1721-IF($G1721="",0,$G1721),0)=0,"√","▲ مغایرت "&amp;TEXT(IF($G1721="",0,$G1721)-$H1721,"#,##0"))))</f>
        <v/>
      </c>
      <c r="J1721" s="18" t="n"/>
    </row>
    <row r="1722">
      <c r="A1722" s="19">
        <f>IF($B1722="","",COUNTA($B$9:$B1722))</f>
        <v/>
      </c>
      <c r="B1722" s="11" t="n"/>
      <c r="C1722" s="12" t="n"/>
      <c r="D1722" s="12" t="n"/>
      <c r="E1722" s="13" t="n"/>
      <c r="F1722" s="20">
        <f>IF($E1722="","",IF($C1722="دستمزد گروهی",IFERROR(VLOOKUP($E1722,WGTbl,2,0),"کد ناشناخته"),IFERROR(IF(VLOOKUP($E1722,AcctTblE,4,0)="","(بدون نام)",VLOOKUP($E1722,AcctTblE,4,0)),"کد ناشناخته")))</f>
        <v/>
      </c>
      <c r="G1722" s="15" t="n"/>
      <c r="H1722" s="21">
        <f>IF(OR($C1722&lt;&gt;"دستمزد گروهی",$D1722=""),"",SUMIFS(ShareAmt,ShareLink,$D1722))</f>
        <v/>
      </c>
      <c r="I1722" s="22">
        <f>IF($C1722&lt;&gt;"دستمزد گروهی","—",IF($H1722="","",IF(ROUND($H1722-IF($G1722="",0,$G1722),0)=0,"√","▲ مغایرت "&amp;TEXT(IF($G1722="",0,$G1722)-$H1722,"#,##0"))))</f>
        <v/>
      </c>
      <c r="J1722" s="18" t="n"/>
    </row>
    <row r="1723">
      <c r="A1723" s="10">
        <f>IF($B1723="","",COUNTA($B$9:$B1723))</f>
        <v/>
      </c>
      <c r="B1723" s="11" t="n"/>
      <c r="C1723" s="12" t="n"/>
      <c r="D1723" s="12" t="n"/>
      <c r="E1723" s="13" t="n"/>
      <c r="F1723" s="14">
        <f>IF($E1723="","",IF($C1723="دستمزد گروهی",IFERROR(VLOOKUP($E1723,WGTbl,2,0),"کد ناشناخته"),IFERROR(IF(VLOOKUP($E1723,AcctTblE,4,0)="","(بدون نام)",VLOOKUP($E1723,AcctTblE,4,0)),"کد ناشناخته")))</f>
        <v/>
      </c>
      <c r="G1723" s="15" t="n"/>
      <c r="H1723" s="16">
        <f>IF(OR($C1723&lt;&gt;"دستمزد گروهی",$D1723=""),"",SUMIFS(ShareAmt,ShareLink,$D1723))</f>
        <v/>
      </c>
      <c r="I1723" s="17">
        <f>IF($C1723&lt;&gt;"دستمزد گروهی","—",IF($H1723="","",IF(ROUND($H1723-IF($G1723="",0,$G1723),0)=0,"√","▲ مغایرت "&amp;TEXT(IF($G1723="",0,$G1723)-$H1723,"#,##0"))))</f>
        <v/>
      </c>
      <c r="J1723" s="18" t="n"/>
    </row>
    <row r="1724">
      <c r="A1724" s="19">
        <f>IF($B1724="","",COUNTA($B$9:$B1724))</f>
        <v/>
      </c>
      <c r="B1724" s="11" t="n"/>
      <c r="C1724" s="12" t="n"/>
      <c r="D1724" s="12" t="n"/>
      <c r="E1724" s="13" t="n"/>
      <c r="F1724" s="20">
        <f>IF($E1724="","",IF($C1724="دستمزد گروهی",IFERROR(VLOOKUP($E1724,WGTbl,2,0),"کد ناشناخته"),IFERROR(IF(VLOOKUP($E1724,AcctTblE,4,0)="","(بدون نام)",VLOOKUP($E1724,AcctTblE,4,0)),"کد ناشناخته")))</f>
        <v/>
      </c>
      <c r="G1724" s="15" t="n"/>
      <c r="H1724" s="21">
        <f>IF(OR($C1724&lt;&gt;"دستمزد گروهی",$D1724=""),"",SUMIFS(ShareAmt,ShareLink,$D1724))</f>
        <v/>
      </c>
      <c r="I1724" s="22">
        <f>IF($C1724&lt;&gt;"دستمزد گروهی","—",IF($H1724="","",IF(ROUND($H1724-IF($G1724="",0,$G1724),0)=0,"√","▲ مغایرت "&amp;TEXT(IF($G1724="",0,$G1724)-$H1724,"#,##0"))))</f>
        <v/>
      </c>
      <c r="J1724" s="18" t="n"/>
    </row>
    <row r="1725">
      <c r="A1725" s="10">
        <f>IF($B1725="","",COUNTA($B$9:$B1725))</f>
        <v/>
      </c>
      <c r="B1725" s="11" t="n"/>
      <c r="C1725" s="12" t="n"/>
      <c r="D1725" s="12" t="n"/>
      <c r="E1725" s="13" t="n"/>
      <c r="F1725" s="14">
        <f>IF($E1725="","",IF($C1725="دستمزد گروهی",IFERROR(VLOOKUP($E1725,WGTbl,2,0),"کد ناشناخته"),IFERROR(IF(VLOOKUP($E1725,AcctTblE,4,0)="","(بدون نام)",VLOOKUP($E1725,AcctTblE,4,0)),"کد ناشناخته")))</f>
        <v/>
      </c>
      <c r="G1725" s="15" t="n"/>
      <c r="H1725" s="16">
        <f>IF(OR($C1725&lt;&gt;"دستمزد گروهی",$D1725=""),"",SUMIFS(ShareAmt,ShareLink,$D1725))</f>
        <v/>
      </c>
      <c r="I1725" s="17">
        <f>IF($C1725&lt;&gt;"دستمزد گروهی","—",IF($H1725="","",IF(ROUND($H1725-IF($G1725="",0,$G1725),0)=0,"√","▲ مغایرت "&amp;TEXT(IF($G1725="",0,$G1725)-$H1725,"#,##0"))))</f>
        <v/>
      </c>
      <c r="J1725" s="18" t="n"/>
    </row>
    <row r="1726">
      <c r="A1726" s="19">
        <f>IF($B1726="","",COUNTA($B$9:$B1726))</f>
        <v/>
      </c>
      <c r="B1726" s="11" t="n"/>
      <c r="C1726" s="12" t="n"/>
      <c r="D1726" s="12" t="n"/>
      <c r="E1726" s="13" t="n"/>
      <c r="F1726" s="20">
        <f>IF($E1726="","",IF($C1726="دستمزد گروهی",IFERROR(VLOOKUP($E1726,WGTbl,2,0),"کد ناشناخته"),IFERROR(IF(VLOOKUP($E1726,AcctTblE,4,0)="","(بدون نام)",VLOOKUP($E1726,AcctTblE,4,0)),"کد ناشناخته")))</f>
        <v/>
      </c>
      <c r="G1726" s="15" t="n"/>
      <c r="H1726" s="21">
        <f>IF(OR($C1726&lt;&gt;"دستمزد گروهی",$D1726=""),"",SUMIFS(ShareAmt,ShareLink,$D1726))</f>
        <v/>
      </c>
      <c r="I1726" s="22">
        <f>IF($C1726&lt;&gt;"دستمزد گروهی","—",IF($H1726="","",IF(ROUND($H1726-IF($G1726="",0,$G1726),0)=0,"√","▲ مغایرت "&amp;TEXT(IF($G1726="",0,$G1726)-$H1726,"#,##0"))))</f>
        <v/>
      </c>
      <c r="J1726" s="18" t="n"/>
    </row>
    <row r="1727">
      <c r="A1727" s="10">
        <f>IF($B1727="","",COUNTA($B$9:$B1727))</f>
        <v/>
      </c>
      <c r="B1727" s="11" t="n"/>
      <c r="C1727" s="12" t="n"/>
      <c r="D1727" s="12" t="n"/>
      <c r="E1727" s="13" t="n"/>
      <c r="F1727" s="14">
        <f>IF($E1727="","",IF($C1727="دستمزد گروهی",IFERROR(VLOOKUP($E1727,WGTbl,2,0),"کد ناشناخته"),IFERROR(IF(VLOOKUP($E1727,AcctTblE,4,0)="","(بدون نام)",VLOOKUP($E1727,AcctTblE,4,0)),"کد ناشناخته")))</f>
        <v/>
      </c>
      <c r="G1727" s="15" t="n"/>
      <c r="H1727" s="16">
        <f>IF(OR($C1727&lt;&gt;"دستمزد گروهی",$D1727=""),"",SUMIFS(ShareAmt,ShareLink,$D1727))</f>
        <v/>
      </c>
      <c r="I1727" s="17">
        <f>IF($C1727&lt;&gt;"دستمزد گروهی","—",IF($H1727="","",IF(ROUND($H1727-IF($G1727="",0,$G1727),0)=0,"√","▲ مغایرت "&amp;TEXT(IF($G1727="",0,$G1727)-$H1727,"#,##0"))))</f>
        <v/>
      </c>
      <c r="J1727" s="18" t="n"/>
    </row>
    <row r="1728">
      <c r="A1728" s="19">
        <f>IF($B1728="","",COUNTA($B$9:$B1728))</f>
        <v/>
      </c>
      <c r="B1728" s="11" t="n"/>
      <c r="C1728" s="12" t="n"/>
      <c r="D1728" s="12" t="n"/>
      <c r="E1728" s="13" t="n"/>
      <c r="F1728" s="20">
        <f>IF($E1728="","",IF($C1728="دستمزد گروهی",IFERROR(VLOOKUP($E1728,WGTbl,2,0),"کد ناشناخته"),IFERROR(IF(VLOOKUP($E1728,AcctTblE,4,0)="","(بدون نام)",VLOOKUP($E1728,AcctTblE,4,0)),"کد ناشناخته")))</f>
        <v/>
      </c>
      <c r="G1728" s="15" t="n"/>
      <c r="H1728" s="21">
        <f>IF(OR($C1728&lt;&gt;"دستمزد گروهی",$D1728=""),"",SUMIFS(ShareAmt,ShareLink,$D1728))</f>
        <v/>
      </c>
      <c r="I1728" s="22">
        <f>IF($C1728&lt;&gt;"دستمزد گروهی","—",IF($H1728="","",IF(ROUND($H1728-IF($G1728="",0,$G1728),0)=0,"√","▲ مغایرت "&amp;TEXT(IF($G1728="",0,$G1728)-$H1728,"#,##0"))))</f>
        <v/>
      </c>
      <c r="J1728" s="18" t="n"/>
    </row>
    <row r="1729">
      <c r="A1729" s="10">
        <f>IF($B1729="","",COUNTA($B$9:$B1729))</f>
        <v/>
      </c>
      <c r="B1729" s="11" t="n"/>
      <c r="C1729" s="12" t="n"/>
      <c r="D1729" s="12" t="n"/>
      <c r="E1729" s="13" t="n"/>
      <c r="F1729" s="14">
        <f>IF($E1729="","",IF($C1729="دستمزد گروهی",IFERROR(VLOOKUP($E1729,WGTbl,2,0),"کد ناشناخته"),IFERROR(IF(VLOOKUP($E1729,AcctTblE,4,0)="","(بدون نام)",VLOOKUP($E1729,AcctTblE,4,0)),"کد ناشناخته")))</f>
        <v/>
      </c>
      <c r="G1729" s="15" t="n"/>
      <c r="H1729" s="16">
        <f>IF(OR($C1729&lt;&gt;"دستمزد گروهی",$D1729=""),"",SUMIFS(ShareAmt,ShareLink,$D1729))</f>
        <v/>
      </c>
      <c r="I1729" s="17">
        <f>IF($C1729&lt;&gt;"دستمزد گروهی","—",IF($H1729="","",IF(ROUND($H1729-IF($G1729="",0,$G1729),0)=0,"√","▲ مغایرت "&amp;TEXT(IF($G1729="",0,$G1729)-$H1729,"#,##0"))))</f>
        <v/>
      </c>
      <c r="J1729" s="18" t="n"/>
    </row>
    <row r="1730">
      <c r="A1730" s="19">
        <f>IF($B1730="","",COUNTA($B$9:$B1730))</f>
        <v/>
      </c>
      <c r="B1730" s="11" t="n"/>
      <c r="C1730" s="12" t="n"/>
      <c r="D1730" s="12" t="n"/>
      <c r="E1730" s="13" t="n"/>
      <c r="F1730" s="20">
        <f>IF($E1730="","",IF($C1730="دستمزد گروهی",IFERROR(VLOOKUP($E1730,WGTbl,2,0),"کد ناشناخته"),IFERROR(IF(VLOOKUP($E1730,AcctTblE,4,0)="","(بدون نام)",VLOOKUP($E1730,AcctTblE,4,0)),"کد ناشناخته")))</f>
        <v/>
      </c>
      <c r="G1730" s="15" t="n"/>
      <c r="H1730" s="21">
        <f>IF(OR($C1730&lt;&gt;"دستمزد گروهی",$D1730=""),"",SUMIFS(ShareAmt,ShareLink,$D1730))</f>
        <v/>
      </c>
      <c r="I1730" s="22">
        <f>IF($C1730&lt;&gt;"دستمزد گروهی","—",IF($H1730="","",IF(ROUND($H1730-IF($G1730="",0,$G1730),0)=0,"√","▲ مغایرت "&amp;TEXT(IF($G1730="",0,$G1730)-$H1730,"#,##0"))))</f>
        <v/>
      </c>
      <c r="J1730" s="18" t="n"/>
    </row>
    <row r="1731">
      <c r="A1731" s="10">
        <f>IF($B1731="","",COUNTA($B$9:$B1731))</f>
        <v/>
      </c>
      <c r="B1731" s="11" t="n"/>
      <c r="C1731" s="12" t="n"/>
      <c r="D1731" s="12" t="n"/>
      <c r="E1731" s="13" t="n"/>
      <c r="F1731" s="14">
        <f>IF($E1731="","",IF($C1731="دستمزد گروهی",IFERROR(VLOOKUP($E1731,WGTbl,2,0),"کد ناشناخته"),IFERROR(IF(VLOOKUP($E1731,AcctTblE,4,0)="","(بدون نام)",VLOOKUP($E1731,AcctTblE,4,0)),"کد ناشناخته")))</f>
        <v/>
      </c>
      <c r="G1731" s="15" t="n"/>
      <c r="H1731" s="16">
        <f>IF(OR($C1731&lt;&gt;"دستمزد گروهی",$D1731=""),"",SUMIFS(ShareAmt,ShareLink,$D1731))</f>
        <v/>
      </c>
      <c r="I1731" s="17">
        <f>IF($C1731&lt;&gt;"دستمزد گروهی","—",IF($H1731="","",IF(ROUND($H1731-IF($G1731="",0,$G1731),0)=0,"√","▲ مغایرت "&amp;TEXT(IF($G1731="",0,$G1731)-$H1731,"#,##0"))))</f>
        <v/>
      </c>
      <c r="J1731" s="18" t="n"/>
    </row>
    <row r="1732">
      <c r="A1732" s="19">
        <f>IF($B1732="","",COUNTA($B$9:$B1732))</f>
        <v/>
      </c>
      <c r="B1732" s="11" t="n"/>
      <c r="C1732" s="12" t="n"/>
      <c r="D1732" s="12" t="n"/>
      <c r="E1732" s="13" t="n"/>
      <c r="F1732" s="20">
        <f>IF($E1732="","",IF($C1732="دستمزد گروهی",IFERROR(VLOOKUP($E1732,WGTbl,2,0),"کد ناشناخته"),IFERROR(IF(VLOOKUP($E1732,AcctTblE,4,0)="","(بدون نام)",VLOOKUP($E1732,AcctTblE,4,0)),"کد ناشناخته")))</f>
        <v/>
      </c>
      <c r="G1732" s="15" t="n"/>
      <c r="H1732" s="21">
        <f>IF(OR($C1732&lt;&gt;"دستمزد گروهی",$D1732=""),"",SUMIFS(ShareAmt,ShareLink,$D1732))</f>
        <v/>
      </c>
      <c r="I1732" s="22">
        <f>IF($C1732&lt;&gt;"دستمزد گروهی","—",IF($H1732="","",IF(ROUND($H1732-IF($G1732="",0,$G1732),0)=0,"√","▲ مغایرت "&amp;TEXT(IF($G1732="",0,$G1732)-$H1732,"#,##0"))))</f>
        <v/>
      </c>
      <c r="J1732" s="18" t="n"/>
    </row>
    <row r="1733">
      <c r="A1733" s="10">
        <f>IF($B1733="","",COUNTA($B$9:$B1733))</f>
        <v/>
      </c>
      <c r="B1733" s="11" t="n"/>
      <c r="C1733" s="12" t="n"/>
      <c r="D1733" s="12" t="n"/>
      <c r="E1733" s="13" t="n"/>
      <c r="F1733" s="14">
        <f>IF($E1733="","",IF($C1733="دستمزد گروهی",IFERROR(VLOOKUP($E1733,WGTbl,2,0),"کد ناشناخته"),IFERROR(IF(VLOOKUP($E1733,AcctTblE,4,0)="","(بدون نام)",VLOOKUP($E1733,AcctTblE,4,0)),"کد ناشناخته")))</f>
        <v/>
      </c>
      <c r="G1733" s="15" t="n"/>
      <c r="H1733" s="16">
        <f>IF(OR($C1733&lt;&gt;"دستمزد گروهی",$D1733=""),"",SUMIFS(ShareAmt,ShareLink,$D1733))</f>
        <v/>
      </c>
      <c r="I1733" s="17">
        <f>IF($C1733&lt;&gt;"دستمزد گروهی","—",IF($H1733="","",IF(ROUND($H1733-IF($G1733="",0,$G1733),0)=0,"√","▲ مغایرت "&amp;TEXT(IF($G1733="",0,$G1733)-$H1733,"#,##0"))))</f>
        <v/>
      </c>
      <c r="J1733" s="18" t="n"/>
    </row>
    <row r="1734">
      <c r="A1734" s="19">
        <f>IF($B1734="","",COUNTA($B$9:$B1734))</f>
        <v/>
      </c>
      <c r="B1734" s="11" t="n"/>
      <c r="C1734" s="12" t="n"/>
      <c r="D1734" s="12" t="n"/>
      <c r="E1734" s="13" t="n"/>
      <c r="F1734" s="20">
        <f>IF($E1734="","",IF($C1734="دستمزد گروهی",IFERROR(VLOOKUP($E1734,WGTbl,2,0),"کد ناشناخته"),IFERROR(IF(VLOOKUP($E1734,AcctTblE,4,0)="","(بدون نام)",VLOOKUP($E1734,AcctTblE,4,0)),"کد ناشناخته")))</f>
        <v/>
      </c>
      <c r="G1734" s="15" t="n"/>
      <c r="H1734" s="21">
        <f>IF(OR($C1734&lt;&gt;"دستمزد گروهی",$D1734=""),"",SUMIFS(ShareAmt,ShareLink,$D1734))</f>
        <v/>
      </c>
      <c r="I1734" s="22">
        <f>IF($C1734&lt;&gt;"دستمزد گروهی","—",IF($H1734="","",IF(ROUND($H1734-IF($G1734="",0,$G1734),0)=0,"√","▲ مغایرت "&amp;TEXT(IF($G1734="",0,$G1734)-$H1734,"#,##0"))))</f>
        <v/>
      </c>
      <c r="J1734" s="18" t="n"/>
    </row>
    <row r="1735">
      <c r="A1735" s="10">
        <f>IF($B1735="","",COUNTA($B$9:$B1735))</f>
        <v/>
      </c>
      <c r="B1735" s="11" t="n"/>
      <c r="C1735" s="12" t="n"/>
      <c r="D1735" s="12" t="n"/>
      <c r="E1735" s="13" t="n"/>
      <c r="F1735" s="14">
        <f>IF($E1735="","",IF($C1735="دستمزد گروهی",IFERROR(VLOOKUP($E1735,WGTbl,2,0),"کد ناشناخته"),IFERROR(IF(VLOOKUP($E1735,AcctTblE,4,0)="","(بدون نام)",VLOOKUP($E1735,AcctTblE,4,0)),"کد ناشناخته")))</f>
        <v/>
      </c>
      <c r="G1735" s="15" t="n"/>
      <c r="H1735" s="16">
        <f>IF(OR($C1735&lt;&gt;"دستمزد گروهی",$D1735=""),"",SUMIFS(ShareAmt,ShareLink,$D1735))</f>
        <v/>
      </c>
      <c r="I1735" s="17">
        <f>IF($C1735&lt;&gt;"دستمزد گروهی","—",IF($H1735="","",IF(ROUND($H1735-IF($G1735="",0,$G1735),0)=0,"√","▲ مغایرت "&amp;TEXT(IF($G1735="",0,$G1735)-$H1735,"#,##0"))))</f>
        <v/>
      </c>
      <c r="J1735" s="18" t="n"/>
    </row>
    <row r="1736">
      <c r="A1736" s="19">
        <f>IF($B1736="","",COUNTA($B$9:$B1736))</f>
        <v/>
      </c>
      <c r="B1736" s="11" t="n"/>
      <c r="C1736" s="12" t="n"/>
      <c r="D1736" s="12" t="n"/>
      <c r="E1736" s="13" t="n"/>
      <c r="F1736" s="20">
        <f>IF($E1736="","",IF($C1736="دستمزد گروهی",IFERROR(VLOOKUP($E1736,WGTbl,2,0),"کد ناشناخته"),IFERROR(IF(VLOOKUP($E1736,AcctTblE,4,0)="","(بدون نام)",VLOOKUP($E1736,AcctTblE,4,0)),"کد ناشناخته")))</f>
        <v/>
      </c>
      <c r="G1736" s="15" t="n"/>
      <c r="H1736" s="21">
        <f>IF(OR($C1736&lt;&gt;"دستمزد گروهی",$D1736=""),"",SUMIFS(ShareAmt,ShareLink,$D1736))</f>
        <v/>
      </c>
      <c r="I1736" s="22">
        <f>IF($C1736&lt;&gt;"دستمزد گروهی","—",IF($H1736="","",IF(ROUND($H1736-IF($G1736="",0,$G1736),0)=0,"√","▲ مغایرت "&amp;TEXT(IF($G1736="",0,$G1736)-$H1736,"#,##0"))))</f>
        <v/>
      </c>
      <c r="J1736" s="18" t="n"/>
    </row>
    <row r="1737">
      <c r="A1737" s="10">
        <f>IF($B1737="","",COUNTA($B$9:$B1737))</f>
        <v/>
      </c>
      <c r="B1737" s="11" t="n"/>
      <c r="C1737" s="12" t="n"/>
      <c r="D1737" s="12" t="n"/>
      <c r="E1737" s="13" t="n"/>
      <c r="F1737" s="14">
        <f>IF($E1737="","",IF($C1737="دستمزد گروهی",IFERROR(VLOOKUP($E1737,WGTbl,2,0),"کد ناشناخته"),IFERROR(IF(VLOOKUP($E1737,AcctTblE,4,0)="","(بدون نام)",VLOOKUP($E1737,AcctTblE,4,0)),"کد ناشناخته")))</f>
        <v/>
      </c>
      <c r="G1737" s="15" t="n"/>
      <c r="H1737" s="16">
        <f>IF(OR($C1737&lt;&gt;"دستمزد گروهی",$D1737=""),"",SUMIFS(ShareAmt,ShareLink,$D1737))</f>
        <v/>
      </c>
      <c r="I1737" s="17">
        <f>IF($C1737&lt;&gt;"دستمزد گروهی","—",IF($H1737="","",IF(ROUND($H1737-IF($G1737="",0,$G1737),0)=0,"√","▲ مغایرت "&amp;TEXT(IF($G1737="",0,$G1737)-$H1737,"#,##0"))))</f>
        <v/>
      </c>
      <c r="J1737" s="18" t="n"/>
    </row>
    <row r="1738">
      <c r="A1738" s="19">
        <f>IF($B1738="","",COUNTA($B$9:$B1738))</f>
        <v/>
      </c>
      <c r="B1738" s="11" t="n"/>
      <c r="C1738" s="12" t="n"/>
      <c r="D1738" s="12" t="n"/>
      <c r="E1738" s="13" t="n"/>
      <c r="F1738" s="20">
        <f>IF($E1738="","",IF($C1738="دستمزد گروهی",IFERROR(VLOOKUP($E1738,WGTbl,2,0),"کد ناشناخته"),IFERROR(IF(VLOOKUP($E1738,AcctTblE,4,0)="","(بدون نام)",VLOOKUP($E1738,AcctTblE,4,0)),"کد ناشناخته")))</f>
        <v/>
      </c>
      <c r="G1738" s="15" t="n"/>
      <c r="H1738" s="21">
        <f>IF(OR($C1738&lt;&gt;"دستمزد گروهی",$D1738=""),"",SUMIFS(ShareAmt,ShareLink,$D1738))</f>
        <v/>
      </c>
      <c r="I1738" s="22">
        <f>IF($C1738&lt;&gt;"دستمزد گروهی","—",IF($H1738="","",IF(ROUND($H1738-IF($G1738="",0,$G1738),0)=0,"√","▲ مغایرت "&amp;TEXT(IF($G1738="",0,$G1738)-$H1738,"#,##0"))))</f>
        <v/>
      </c>
      <c r="J1738" s="18" t="n"/>
    </row>
    <row r="1739">
      <c r="A1739" s="10">
        <f>IF($B1739="","",COUNTA($B$9:$B1739))</f>
        <v/>
      </c>
      <c r="B1739" s="11" t="n"/>
      <c r="C1739" s="12" t="n"/>
      <c r="D1739" s="12" t="n"/>
      <c r="E1739" s="13" t="n"/>
      <c r="F1739" s="14">
        <f>IF($E1739="","",IF($C1739="دستمزد گروهی",IFERROR(VLOOKUP($E1739,WGTbl,2,0),"کد ناشناخته"),IFERROR(IF(VLOOKUP($E1739,AcctTblE,4,0)="","(بدون نام)",VLOOKUP($E1739,AcctTblE,4,0)),"کد ناشناخته")))</f>
        <v/>
      </c>
      <c r="G1739" s="15" t="n"/>
      <c r="H1739" s="16">
        <f>IF(OR($C1739&lt;&gt;"دستمزد گروهی",$D1739=""),"",SUMIFS(ShareAmt,ShareLink,$D1739))</f>
        <v/>
      </c>
      <c r="I1739" s="17">
        <f>IF($C1739&lt;&gt;"دستمزد گروهی","—",IF($H1739="","",IF(ROUND($H1739-IF($G1739="",0,$G1739),0)=0,"√","▲ مغایرت "&amp;TEXT(IF($G1739="",0,$G1739)-$H1739,"#,##0"))))</f>
        <v/>
      </c>
      <c r="J1739" s="18" t="n"/>
    </row>
    <row r="1740">
      <c r="A1740" s="19">
        <f>IF($B1740="","",COUNTA($B$9:$B1740))</f>
        <v/>
      </c>
      <c r="B1740" s="11" t="n"/>
      <c r="C1740" s="12" t="n"/>
      <c r="D1740" s="12" t="n"/>
      <c r="E1740" s="13" t="n"/>
      <c r="F1740" s="20">
        <f>IF($E1740="","",IF($C1740="دستمزد گروهی",IFERROR(VLOOKUP($E1740,WGTbl,2,0),"کد ناشناخته"),IFERROR(IF(VLOOKUP($E1740,AcctTblE,4,0)="","(بدون نام)",VLOOKUP($E1740,AcctTblE,4,0)),"کد ناشناخته")))</f>
        <v/>
      </c>
      <c r="G1740" s="15" t="n"/>
      <c r="H1740" s="21">
        <f>IF(OR($C1740&lt;&gt;"دستمزد گروهی",$D1740=""),"",SUMIFS(ShareAmt,ShareLink,$D1740))</f>
        <v/>
      </c>
      <c r="I1740" s="22">
        <f>IF($C1740&lt;&gt;"دستمزد گروهی","—",IF($H1740="","",IF(ROUND($H1740-IF($G1740="",0,$G1740),0)=0,"√","▲ مغایرت "&amp;TEXT(IF($G1740="",0,$G1740)-$H1740,"#,##0"))))</f>
        <v/>
      </c>
      <c r="J1740" s="18" t="n"/>
    </row>
    <row r="1741">
      <c r="A1741" s="10">
        <f>IF($B1741="","",COUNTA($B$9:$B1741))</f>
        <v/>
      </c>
      <c r="B1741" s="11" t="n"/>
      <c r="C1741" s="12" t="n"/>
      <c r="D1741" s="12" t="n"/>
      <c r="E1741" s="13" t="n"/>
      <c r="F1741" s="14">
        <f>IF($E1741="","",IF($C1741="دستمزد گروهی",IFERROR(VLOOKUP($E1741,WGTbl,2,0),"کد ناشناخته"),IFERROR(IF(VLOOKUP($E1741,AcctTblE,4,0)="","(بدون نام)",VLOOKUP($E1741,AcctTblE,4,0)),"کد ناشناخته")))</f>
        <v/>
      </c>
      <c r="G1741" s="15" t="n"/>
      <c r="H1741" s="16">
        <f>IF(OR($C1741&lt;&gt;"دستمزد گروهی",$D1741=""),"",SUMIFS(ShareAmt,ShareLink,$D1741))</f>
        <v/>
      </c>
      <c r="I1741" s="17">
        <f>IF($C1741&lt;&gt;"دستمزد گروهی","—",IF($H1741="","",IF(ROUND($H1741-IF($G1741="",0,$G1741),0)=0,"√","▲ مغایرت "&amp;TEXT(IF($G1741="",0,$G1741)-$H1741,"#,##0"))))</f>
        <v/>
      </c>
      <c r="J1741" s="18" t="n"/>
    </row>
    <row r="1742">
      <c r="A1742" s="19">
        <f>IF($B1742="","",COUNTA($B$9:$B1742))</f>
        <v/>
      </c>
      <c r="B1742" s="11" t="n"/>
      <c r="C1742" s="12" t="n"/>
      <c r="D1742" s="12" t="n"/>
      <c r="E1742" s="13" t="n"/>
      <c r="F1742" s="20">
        <f>IF($E1742="","",IF($C1742="دستمزد گروهی",IFERROR(VLOOKUP($E1742,WGTbl,2,0),"کد ناشناخته"),IFERROR(IF(VLOOKUP($E1742,AcctTblE,4,0)="","(بدون نام)",VLOOKUP($E1742,AcctTblE,4,0)),"کد ناشناخته")))</f>
        <v/>
      </c>
      <c r="G1742" s="15" t="n"/>
      <c r="H1742" s="21">
        <f>IF(OR($C1742&lt;&gt;"دستمزد گروهی",$D1742=""),"",SUMIFS(ShareAmt,ShareLink,$D1742))</f>
        <v/>
      </c>
      <c r="I1742" s="22">
        <f>IF($C1742&lt;&gt;"دستمزد گروهی","—",IF($H1742="","",IF(ROUND($H1742-IF($G1742="",0,$G1742),0)=0,"√","▲ مغایرت "&amp;TEXT(IF($G1742="",0,$G1742)-$H1742,"#,##0"))))</f>
        <v/>
      </c>
      <c r="J1742" s="18" t="n"/>
    </row>
    <row r="1743">
      <c r="A1743" s="10">
        <f>IF($B1743="","",COUNTA($B$9:$B1743))</f>
        <v/>
      </c>
      <c r="B1743" s="11" t="n"/>
      <c r="C1743" s="12" t="n"/>
      <c r="D1743" s="12" t="n"/>
      <c r="E1743" s="13" t="n"/>
      <c r="F1743" s="14">
        <f>IF($E1743="","",IF($C1743="دستمزد گروهی",IFERROR(VLOOKUP($E1743,WGTbl,2,0),"کد ناشناخته"),IFERROR(IF(VLOOKUP($E1743,AcctTblE,4,0)="","(بدون نام)",VLOOKUP($E1743,AcctTblE,4,0)),"کد ناشناخته")))</f>
        <v/>
      </c>
      <c r="G1743" s="15" t="n"/>
      <c r="H1743" s="16">
        <f>IF(OR($C1743&lt;&gt;"دستمزد گروهی",$D1743=""),"",SUMIFS(ShareAmt,ShareLink,$D1743))</f>
        <v/>
      </c>
      <c r="I1743" s="17">
        <f>IF($C1743&lt;&gt;"دستمزد گروهی","—",IF($H1743="","",IF(ROUND($H1743-IF($G1743="",0,$G1743),0)=0,"√","▲ مغایرت "&amp;TEXT(IF($G1743="",0,$G1743)-$H1743,"#,##0"))))</f>
        <v/>
      </c>
      <c r="J1743" s="18" t="n"/>
    </row>
    <row r="1744">
      <c r="A1744" s="19">
        <f>IF($B1744="","",COUNTA($B$9:$B1744))</f>
        <v/>
      </c>
      <c r="B1744" s="11" t="n"/>
      <c r="C1744" s="12" t="n"/>
      <c r="D1744" s="12" t="n"/>
      <c r="E1744" s="13" t="n"/>
      <c r="F1744" s="20">
        <f>IF($E1744="","",IF($C1744="دستمزد گروهی",IFERROR(VLOOKUP($E1744,WGTbl,2,0),"کد ناشناخته"),IFERROR(IF(VLOOKUP($E1744,AcctTblE,4,0)="","(بدون نام)",VLOOKUP($E1744,AcctTblE,4,0)),"کد ناشناخته")))</f>
        <v/>
      </c>
      <c r="G1744" s="15" t="n"/>
      <c r="H1744" s="21">
        <f>IF(OR($C1744&lt;&gt;"دستمزد گروهی",$D1744=""),"",SUMIFS(ShareAmt,ShareLink,$D1744))</f>
        <v/>
      </c>
      <c r="I1744" s="22">
        <f>IF($C1744&lt;&gt;"دستمزد گروهی","—",IF($H1744="","",IF(ROUND($H1744-IF($G1744="",0,$G1744),0)=0,"√","▲ مغایرت "&amp;TEXT(IF($G1744="",0,$G1744)-$H1744,"#,##0"))))</f>
        <v/>
      </c>
      <c r="J1744" s="18" t="n"/>
    </row>
    <row r="1745">
      <c r="A1745" s="10">
        <f>IF($B1745="","",COUNTA($B$9:$B1745))</f>
        <v/>
      </c>
      <c r="B1745" s="11" t="n"/>
      <c r="C1745" s="12" t="n"/>
      <c r="D1745" s="12" t="n"/>
      <c r="E1745" s="13" t="n"/>
      <c r="F1745" s="14">
        <f>IF($E1745="","",IF($C1745="دستمزد گروهی",IFERROR(VLOOKUP($E1745,WGTbl,2,0),"کد ناشناخته"),IFERROR(IF(VLOOKUP($E1745,AcctTblE,4,0)="","(بدون نام)",VLOOKUP($E1745,AcctTblE,4,0)),"کد ناشناخته")))</f>
        <v/>
      </c>
      <c r="G1745" s="15" t="n"/>
      <c r="H1745" s="16">
        <f>IF(OR($C1745&lt;&gt;"دستمزد گروهی",$D1745=""),"",SUMIFS(ShareAmt,ShareLink,$D1745))</f>
        <v/>
      </c>
      <c r="I1745" s="17">
        <f>IF($C1745&lt;&gt;"دستمزد گروهی","—",IF($H1745="","",IF(ROUND($H1745-IF($G1745="",0,$G1745),0)=0,"√","▲ مغایرت "&amp;TEXT(IF($G1745="",0,$G1745)-$H1745,"#,##0"))))</f>
        <v/>
      </c>
      <c r="J1745" s="18" t="n"/>
    </row>
    <row r="1746">
      <c r="A1746" s="19">
        <f>IF($B1746="","",COUNTA($B$9:$B1746))</f>
        <v/>
      </c>
      <c r="B1746" s="11" t="n"/>
      <c r="C1746" s="12" t="n"/>
      <c r="D1746" s="12" t="n"/>
      <c r="E1746" s="13" t="n"/>
      <c r="F1746" s="20">
        <f>IF($E1746="","",IF($C1746="دستمزد گروهی",IFERROR(VLOOKUP($E1746,WGTbl,2,0),"کد ناشناخته"),IFERROR(IF(VLOOKUP($E1746,AcctTblE,4,0)="","(بدون نام)",VLOOKUP($E1746,AcctTblE,4,0)),"کد ناشناخته")))</f>
        <v/>
      </c>
      <c r="G1746" s="15" t="n"/>
      <c r="H1746" s="21">
        <f>IF(OR($C1746&lt;&gt;"دستمزد گروهی",$D1746=""),"",SUMIFS(ShareAmt,ShareLink,$D1746))</f>
        <v/>
      </c>
      <c r="I1746" s="22">
        <f>IF($C1746&lt;&gt;"دستمزد گروهی","—",IF($H1746="","",IF(ROUND($H1746-IF($G1746="",0,$G1746),0)=0,"√","▲ مغایرت "&amp;TEXT(IF($G1746="",0,$G1746)-$H1746,"#,##0"))))</f>
        <v/>
      </c>
      <c r="J1746" s="18" t="n"/>
    </row>
    <row r="1747">
      <c r="A1747" s="10">
        <f>IF($B1747="","",COUNTA($B$9:$B1747))</f>
        <v/>
      </c>
      <c r="B1747" s="11" t="n"/>
      <c r="C1747" s="12" t="n"/>
      <c r="D1747" s="12" t="n"/>
      <c r="E1747" s="13" t="n"/>
      <c r="F1747" s="14">
        <f>IF($E1747="","",IF($C1747="دستمزد گروهی",IFERROR(VLOOKUP($E1747,WGTbl,2,0),"کد ناشناخته"),IFERROR(IF(VLOOKUP($E1747,AcctTblE,4,0)="","(بدون نام)",VLOOKUP($E1747,AcctTblE,4,0)),"کد ناشناخته")))</f>
        <v/>
      </c>
      <c r="G1747" s="15" t="n"/>
      <c r="H1747" s="16">
        <f>IF(OR($C1747&lt;&gt;"دستمزد گروهی",$D1747=""),"",SUMIFS(ShareAmt,ShareLink,$D1747))</f>
        <v/>
      </c>
      <c r="I1747" s="17">
        <f>IF($C1747&lt;&gt;"دستمزد گروهی","—",IF($H1747="","",IF(ROUND($H1747-IF($G1747="",0,$G1747),0)=0,"√","▲ مغایرت "&amp;TEXT(IF($G1747="",0,$G1747)-$H1747,"#,##0"))))</f>
        <v/>
      </c>
      <c r="J1747" s="18" t="n"/>
    </row>
    <row r="1748">
      <c r="A1748" s="19">
        <f>IF($B1748="","",COUNTA($B$9:$B1748))</f>
        <v/>
      </c>
      <c r="B1748" s="11" t="n"/>
      <c r="C1748" s="12" t="n"/>
      <c r="D1748" s="12" t="n"/>
      <c r="E1748" s="13" t="n"/>
      <c r="F1748" s="20">
        <f>IF($E1748="","",IF($C1748="دستمزد گروهی",IFERROR(VLOOKUP($E1748,WGTbl,2,0),"کد ناشناخته"),IFERROR(IF(VLOOKUP($E1748,AcctTblE,4,0)="","(بدون نام)",VLOOKUP($E1748,AcctTblE,4,0)),"کد ناشناخته")))</f>
        <v/>
      </c>
      <c r="G1748" s="15" t="n"/>
      <c r="H1748" s="21">
        <f>IF(OR($C1748&lt;&gt;"دستمزد گروهی",$D1748=""),"",SUMIFS(ShareAmt,ShareLink,$D1748))</f>
        <v/>
      </c>
      <c r="I1748" s="22">
        <f>IF($C1748&lt;&gt;"دستمزد گروهی","—",IF($H1748="","",IF(ROUND($H1748-IF($G1748="",0,$G1748),0)=0,"√","▲ مغایرت "&amp;TEXT(IF($G1748="",0,$G1748)-$H1748,"#,##0"))))</f>
        <v/>
      </c>
      <c r="J1748" s="18" t="n"/>
    </row>
    <row r="1749">
      <c r="A1749" s="10">
        <f>IF($B1749="","",COUNTA($B$9:$B1749))</f>
        <v/>
      </c>
      <c r="B1749" s="11" t="n"/>
      <c r="C1749" s="12" t="n"/>
      <c r="D1749" s="12" t="n"/>
      <c r="E1749" s="13" t="n"/>
      <c r="F1749" s="14">
        <f>IF($E1749="","",IF($C1749="دستمزد گروهی",IFERROR(VLOOKUP($E1749,WGTbl,2,0),"کد ناشناخته"),IFERROR(IF(VLOOKUP($E1749,AcctTblE,4,0)="","(بدون نام)",VLOOKUP($E1749,AcctTblE,4,0)),"کد ناشناخته")))</f>
        <v/>
      </c>
      <c r="G1749" s="15" t="n"/>
      <c r="H1749" s="16">
        <f>IF(OR($C1749&lt;&gt;"دستمزد گروهی",$D1749=""),"",SUMIFS(ShareAmt,ShareLink,$D1749))</f>
        <v/>
      </c>
      <c r="I1749" s="17">
        <f>IF($C1749&lt;&gt;"دستمزد گروهی","—",IF($H1749="","",IF(ROUND($H1749-IF($G1749="",0,$G1749),0)=0,"√","▲ مغایرت "&amp;TEXT(IF($G1749="",0,$G1749)-$H1749,"#,##0"))))</f>
        <v/>
      </c>
      <c r="J1749" s="18" t="n"/>
    </row>
    <row r="1750">
      <c r="A1750" s="19">
        <f>IF($B1750="","",COUNTA($B$9:$B1750))</f>
        <v/>
      </c>
      <c r="B1750" s="11" t="n"/>
      <c r="C1750" s="12" t="n"/>
      <c r="D1750" s="12" t="n"/>
      <c r="E1750" s="13" t="n"/>
      <c r="F1750" s="20">
        <f>IF($E1750="","",IF($C1750="دستمزد گروهی",IFERROR(VLOOKUP($E1750,WGTbl,2,0),"کد ناشناخته"),IFERROR(IF(VLOOKUP($E1750,AcctTblE,4,0)="","(بدون نام)",VLOOKUP($E1750,AcctTblE,4,0)),"کد ناشناخته")))</f>
        <v/>
      </c>
      <c r="G1750" s="15" t="n"/>
      <c r="H1750" s="21">
        <f>IF(OR($C1750&lt;&gt;"دستمزد گروهی",$D1750=""),"",SUMIFS(ShareAmt,ShareLink,$D1750))</f>
        <v/>
      </c>
      <c r="I1750" s="22">
        <f>IF($C1750&lt;&gt;"دستمزد گروهی","—",IF($H1750="","",IF(ROUND($H1750-IF($G1750="",0,$G1750),0)=0,"√","▲ مغایرت "&amp;TEXT(IF($G1750="",0,$G1750)-$H1750,"#,##0"))))</f>
        <v/>
      </c>
      <c r="J1750" s="18" t="n"/>
    </row>
    <row r="1751">
      <c r="A1751" s="10">
        <f>IF($B1751="","",COUNTA($B$9:$B1751))</f>
        <v/>
      </c>
      <c r="B1751" s="11" t="n"/>
      <c r="C1751" s="12" t="n"/>
      <c r="D1751" s="12" t="n"/>
      <c r="E1751" s="13" t="n"/>
      <c r="F1751" s="14">
        <f>IF($E1751="","",IF($C1751="دستمزد گروهی",IFERROR(VLOOKUP($E1751,WGTbl,2,0),"کد ناشناخته"),IFERROR(IF(VLOOKUP($E1751,AcctTblE,4,0)="","(بدون نام)",VLOOKUP($E1751,AcctTblE,4,0)),"کد ناشناخته")))</f>
        <v/>
      </c>
      <c r="G1751" s="15" t="n"/>
      <c r="H1751" s="16">
        <f>IF(OR($C1751&lt;&gt;"دستمزد گروهی",$D1751=""),"",SUMIFS(ShareAmt,ShareLink,$D1751))</f>
        <v/>
      </c>
      <c r="I1751" s="17">
        <f>IF($C1751&lt;&gt;"دستمزد گروهی","—",IF($H1751="","",IF(ROUND($H1751-IF($G1751="",0,$G1751),0)=0,"√","▲ مغایرت "&amp;TEXT(IF($G1751="",0,$G1751)-$H1751,"#,##0"))))</f>
        <v/>
      </c>
      <c r="J1751" s="18" t="n"/>
    </row>
    <row r="1752">
      <c r="A1752" s="19">
        <f>IF($B1752="","",COUNTA($B$9:$B1752))</f>
        <v/>
      </c>
      <c r="B1752" s="11" t="n"/>
      <c r="C1752" s="12" t="n"/>
      <c r="D1752" s="12" t="n"/>
      <c r="E1752" s="13" t="n"/>
      <c r="F1752" s="20">
        <f>IF($E1752="","",IF($C1752="دستمزد گروهی",IFERROR(VLOOKUP($E1752,WGTbl,2,0),"کد ناشناخته"),IFERROR(IF(VLOOKUP($E1752,AcctTblE,4,0)="","(بدون نام)",VLOOKUP($E1752,AcctTblE,4,0)),"کد ناشناخته")))</f>
        <v/>
      </c>
      <c r="G1752" s="15" t="n"/>
      <c r="H1752" s="21">
        <f>IF(OR($C1752&lt;&gt;"دستمزد گروهی",$D1752=""),"",SUMIFS(ShareAmt,ShareLink,$D1752))</f>
        <v/>
      </c>
      <c r="I1752" s="22">
        <f>IF($C1752&lt;&gt;"دستمزد گروهی","—",IF($H1752="","",IF(ROUND($H1752-IF($G1752="",0,$G1752),0)=0,"√","▲ مغایرت "&amp;TEXT(IF($G1752="",0,$G1752)-$H1752,"#,##0"))))</f>
        <v/>
      </c>
      <c r="J1752" s="18" t="n"/>
    </row>
    <row r="1753">
      <c r="A1753" s="10">
        <f>IF($B1753="","",COUNTA($B$9:$B1753))</f>
        <v/>
      </c>
      <c r="B1753" s="11" t="n"/>
      <c r="C1753" s="12" t="n"/>
      <c r="D1753" s="12" t="n"/>
      <c r="E1753" s="13" t="n"/>
      <c r="F1753" s="14">
        <f>IF($E1753="","",IF($C1753="دستمزد گروهی",IFERROR(VLOOKUP($E1753,WGTbl,2,0),"کد ناشناخته"),IFERROR(IF(VLOOKUP($E1753,AcctTblE,4,0)="","(بدون نام)",VLOOKUP($E1753,AcctTblE,4,0)),"کد ناشناخته")))</f>
        <v/>
      </c>
      <c r="G1753" s="15" t="n"/>
      <c r="H1753" s="16">
        <f>IF(OR($C1753&lt;&gt;"دستمزد گروهی",$D1753=""),"",SUMIFS(ShareAmt,ShareLink,$D1753))</f>
        <v/>
      </c>
      <c r="I1753" s="17">
        <f>IF($C1753&lt;&gt;"دستمزد گروهی","—",IF($H1753="","",IF(ROUND($H1753-IF($G1753="",0,$G1753),0)=0,"√","▲ مغایرت "&amp;TEXT(IF($G1753="",0,$G1753)-$H1753,"#,##0"))))</f>
        <v/>
      </c>
      <c r="J1753" s="18" t="n"/>
    </row>
    <row r="1754">
      <c r="A1754" s="19">
        <f>IF($B1754="","",COUNTA($B$9:$B1754))</f>
        <v/>
      </c>
      <c r="B1754" s="11" t="n"/>
      <c r="C1754" s="12" t="n"/>
      <c r="D1754" s="12" t="n"/>
      <c r="E1754" s="13" t="n"/>
      <c r="F1754" s="20">
        <f>IF($E1754="","",IF($C1754="دستمزد گروهی",IFERROR(VLOOKUP($E1754,WGTbl,2,0),"کد ناشناخته"),IFERROR(IF(VLOOKUP($E1754,AcctTblE,4,0)="","(بدون نام)",VLOOKUP($E1754,AcctTblE,4,0)),"کد ناشناخته")))</f>
        <v/>
      </c>
      <c r="G1754" s="15" t="n"/>
      <c r="H1754" s="21">
        <f>IF(OR($C1754&lt;&gt;"دستمزد گروهی",$D1754=""),"",SUMIFS(ShareAmt,ShareLink,$D1754))</f>
        <v/>
      </c>
      <c r="I1754" s="22">
        <f>IF($C1754&lt;&gt;"دستمزد گروهی","—",IF($H1754="","",IF(ROUND($H1754-IF($G1754="",0,$G1754),0)=0,"√","▲ مغایرت "&amp;TEXT(IF($G1754="",0,$G1754)-$H1754,"#,##0"))))</f>
        <v/>
      </c>
      <c r="J1754" s="18" t="n"/>
    </row>
    <row r="1755">
      <c r="A1755" s="10">
        <f>IF($B1755="","",COUNTA($B$9:$B1755))</f>
        <v/>
      </c>
      <c r="B1755" s="11" t="n"/>
      <c r="C1755" s="12" t="n"/>
      <c r="D1755" s="12" t="n"/>
      <c r="E1755" s="13" t="n"/>
      <c r="F1755" s="14">
        <f>IF($E1755="","",IF($C1755="دستمزد گروهی",IFERROR(VLOOKUP($E1755,WGTbl,2,0),"کد ناشناخته"),IFERROR(IF(VLOOKUP($E1755,AcctTblE,4,0)="","(بدون نام)",VLOOKUP($E1755,AcctTblE,4,0)),"کد ناشناخته")))</f>
        <v/>
      </c>
      <c r="G1755" s="15" t="n"/>
      <c r="H1755" s="16">
        <f>IF(OR($C1755&lt;&gt;"دستمزد گروهی",$D1755=""),"",SUMIFS(ShareAmt,ShareLink,$D1755))</f>
        <v/>
      </c>
      <c r="I1755" s="17">
        <f>IF($C1755&lt;&gt;"دستمزد گروهی","—",IF($H1755="","",IF(ROUND($H1755-IF($G1755="",0,$G1755),0)=0,"√","▲ مغایرت "&amp;TEXT(IF($G1755="",0,$G1755)-$H1755,"#,##0"))))</f>
        <v/>
      </c>
      <c r="J1755" s="18" t="n"/>
    </row>
    <row r="1756">
      <c r="A1756" s="19">
        <f>IF($B1756="","",COUNTA($B$9:$B1756))</f>
        <v/>
      </c>
      <c r="B1756" s="11" t="n"/>
      <c r="C1756" s="12" t="n"/>
      <c r="D1756" s="12" t="n"/>
      <c r="E1756" s="13" t="n"/>
      <c r="F1756" s="20">
        <f>IF($E1756="","",IF($C1756="دستمزد گروهی",IFERROR(VLOOKUP($E1756,WGTbl,2,0),"کد ناشناخته"),IFERROR(IF(VLOOKUP($E1756,AcctTblE,4,0)="","(بدون نام)",VLOOKUP($E1756,AcctTblE,4,0)),"کد ناشناخته")))</f>
        <v/>
      </c>
      <c r="G1756" s="15" t="n"/>
      <c r="H1756" s="21">
        <f>IF(OR($C1756&lt;&gt;"دستمزد گروهی",$D1756=""),"",SUMIFS(ShareAmt,ShareLink,$D1756))</f>
        <v/>
      </c>
      <c r="I1756" s="22">
        <f>IF($C1756&lt;&gt;"دستمزد گروهی","—",IF($H1756="","",IF(ROUND($H1756-IF($G1756="",0,$G1756),0)=0,"√","▲ مغایرت "&amp;TEXT(IF($G1756="",0,$G1756)-$H1756,"#,##0"))))</f>
        <v/>
      </c>
      <c r="J1756" s="18" t="n"/>
    </row>
    <row r="1757">
      <c r="A1757" s="10">
        <f>IF($B1757="","",COUNTA($B$9:$B1757))</f>
        <v/>
      </c>
      <c r="B1757" s="11" t="n"/>
      <c r="C1757" s="12" t="n"/>
      <c r="D1757" s="12" t="n"/>
      <c r="E1757" s="13" t="n"/>
      <c r="F1757" s="14">
        <f>IF($E1757="","",IF($C1757="دستمزد گروهی",IFERROR(VLOOKUP($E1757,WGTbl,2,0),"کد ناشناخته"),IFERROR(IF(VLOOKUP($E1757,AcctTblE,4,0)="","(بدون نام)",VLOOKUP($E1757,AcctTblE,4,0)),"کد ناشناخته")))</f>
        <v/>
      </c>
      <c r="G1757" s="15" t="n"/>
      <c r="H1757" s="16">
        <f>IF(OR($C1757&lt;&gt;"دستمزد گروهی",$D1757=""),"",SUMIFS(ShareAmt,ShareLink,$D1757))</f>
        <v/>
      </c>
      <c r="I1757" s="17">
        <f>IF($C1757&lt;&gt;"دستمزد گروهی","—",IF($H1757="","",IF(ROUND($H1757-IF($G1757="",0,$G1757),0)=0,"√","▲ مغایرت "&amp;TEXT(IF($G1757="",0,$G1757)-$H1757,"#,##0"))))</f>
        <v/>
      </c>
      <c r="J1757" s="18" t="n"/>
    </row>
    <row r="1758">
      <c r="A1758" s="19">
        <f>IF($B1758="","",COUNTA($B$9:$B1758))</f>
        <v/>
      </c>
      <c r="B1758" s="11" t="n"/>
      <c r="C1758" s="12" t="n"/>
      <c r="D1758" s="12" t="n"/>
      <c r="E1758" s="13" t="n"/>
      <c r="F1758" s="20">
        <f>IF($E1758="","",IF($C1758="دستمزد گروهی",IFERROR(VLOOKUP($E1758,WGTbl,2,0),"کد ناشناخته"),IFERROR(IF(VLOOKUP($E1758,AcctTblE,4,0)="","(بدون نام)",VLOOKUP($E1758,AcctTblE,4,0)),"کد ناشناخته")))</f>
        <v/>
      </c>
      <c r="G1758" s="15" t="n"/>
      <c r="H1758" s="21">
        <f>IF(OR($C1758&lt;&gt;"دستمزد گروهی",$D1758=""),"",SUMIFS(ShareAmt,ShareLink,$D1758))</f>
        <v/>
      </c>
      <c r="I1758" s="22">
        <f>IF($C1758&lt;&gt;"دستمزد گروهی","—",IF($H1758="","",IF(ROUND($H1758-IF($G1758="",0,$G1758),0)=0,"√","▲ مغایرت "&amp;TEXT(IF($G1758="",0,$G1758)-$H1758,"#,##0"))))</f>
        <v/>
      </c>
      <c r="J1758" s="18" t="n"/>
    </row>
    <row r="1759">
      <c r="A1759" s="10">
        <f>IF($B1759="","",COUNTA($B$9:$B1759))</f>
        <v/>
      </c>
      <c r="B1759" s="11" t="n"/>
      <c r="C1759" s="12" t="n"/>
      <c r="D1759" s="12" t="n"/>
      <c r="E1759" s="13" t="n"/>
      <c r="F1759" s="14">
        <f>IF($E1759="","",IF($C1759="دستمزد گروهی",IFERROR(VLOOKUP($E1759,WGTbl,2,0),"کد ناشناخته"),IFERROR(IF(VLOOKUP($E1759,AcctTblE,4,0)="","(بدون نام)",VLOOKUP($E1759,AcctTblE,4,0)),"کد ناشناخته")))</f>
        <v/>
      </c>
      <c r="G1759" s="15" t="n"/>
      <c r="H1759" s="16">
        <f>IF(OR($C1759&lt;&gt;"دستمزد گروهی",$D1759=""),"",SUMIFS(ShareAmt,ShareLink,$D1759))</f>
        <v/>
      </c>
      <c r="I1759" s="17">
        <f>IF($C1759&lt;&gt;"دستمزد گروهی","—",IF($H1759="","",IF(ROUND($H1759-IF($G1759="",0,$G1759),0)=0,"√","▲ مغایرت "&amp;TEXT(IF($G1759="",0,$G1759)-$H1759,"#,##0"))))</f>
        <v/>
      </c>
      <c r="J1759" s="18" t="n"/>
    </row>
    <row r="1760">
      <c r="A1760" s="19">
        <f>IF($B1760="","",COUNTA($B$9:$B1760))</f>
        <v/>
      </c>
      <c r="B1760" s="11" t="n"/>
      <c r="C1760" s="12" t="n"/>
      <c r="D1760" s="12" t="n"/>
      <c r="E1760" s="13" t="n"/>
      <c r="F1760" s="20">
        <f>IF($E1760="","",IF($C1760="دستمزد گروهی",IFERROR(VLOOKUP($E1760,WGTbl,2,0),"کد ناشناخته"),IFERROR(IF(VLOOKUP($E1760,AcctTblE,4,0)="","(بدون نام)",VLOOKUP($E1760,AcctTblE,4,0)),"کد ناشناخته")))</f>
        <v/>
      </c>
      <c r="G1760" s="15" t="n"/>
      <c r="H1760" s="21">
        <f>IF(OR($C1760&lt;&gt;"دستمزد گروهی",$D1760=""),"",SUMIFS(ShareAmt,ShareLink,$D1760))</f>
        <v/>
      </c>
      <c r="I1760" s="22">
        <f>IF($C1760&lt;&gt;"دستمزد گروهی","—",IF($H1760="","",IF(ROUND($H1760-IF($G1760="",0,$G1760),0)=0,"√","▲ مغایرت "&amp;TEXT(IF($G1760="",0,$G1760)-$H1760,"#,##0"))))</f>
        <v/>
      </c>
      <c r="J1760" s="18" t="n"/>
    </row>
    <row r="1761">
      <c r="A1761" s="10">
        <f>IF($B1761="","",COUNTA($B$9:$B1761))</f>
        <v/>
      </c>
      <c r="B1761" s="11" t="n"/>
      <c r="C1761" s="12" t="n"/>
      <c r="D1761" s="12" t="n"/>
      <c r="E1761" s="13" t="n"/>
      <c r="F1761" s="14">
        <f>IF($E1761="","",IF($C1761="دستمزد گروهی",IFERROR(VLOOKUP($E1761,WGTbl,2,0),"کد ناشناخته"),IFERROR(IF(VLOOKUP($E1761,AcctTblE,4,0)="","(بدون نام)",VLOOKUP($E1761,AcctTblE,4,0)),"کد ناشناخته")))</f>
        <v/>
      </c>
      <c r="G1761" s="15" t="n"/>
      <c r="H1761" s="16">
        <f>IF(OR($C1761&lt;&gt;"دستمزد گروهی",$D1761=""),"",SUMIFS(ShareAmt,ShareLink,$D1761))</f>
        <v/>
      </c>
      <c r="I1761" s="17">
        <f>IF($C1761&lt;&gt;"دستمزد گروهی","—",IF($H1761="","",IF(ROUND($H1761-IF($G1761="",0,$G1761),0)=0,"√","▲ مغایرت "&amp;TEXT(IF($G1761="",0,$G1761)-$H1761,"#,##0"))))</f>
        <v/>
      </c>
      <c r="J1761" s="18" t="n"/>
    </row>
    <row r="1762">
      <c r="A1762" s="19">
        <f>IF($B1762="","",COUNTA($B$9:$B1762))</f>
        <v/>
      </c>
      <c r="B1762" s="11" t="n"/>
      <c r="C1762" s="12" t="n"/>
      <c r="D1762" s="12" t="n"/>
      <c r="E1762" s="13" t="n"/>
      <c r="F1762" s="20">
        <f>IF($E1762="","",IF($C1762="دستمزد گروهی",IFERROR(VLOOKUP($E1762,WGTbl,2,0),"کد ناشناخته"),IFERROR(IF(VLOOKUP($E1762,AcctTblE,4,0)="","(بدون نام)",VLOOKUP($E1762,AcctTblE,4,0)),"کد ناشناخته")))</f>
        <v/>
      </c>
      <c r="G1762" s="15" t="n"/>
      <c r="H1762" s="21">
        <f>IF(OR($C1762&lt;&gt;"دستمزد گروهی",$D1762=""),"",SUMIFS(ShareAmt,ShareLink,$D1762))</f>
        <v/>
      </c>
      <c r="I1762" s="22">
        <f>IF($C1762&lt;&gt;"دستمزد گروهی","—",IF($H1762="","",IF(ROUND($H1762-IF($G1762="",0,$G1762),0)=0,"√","▲ مغایرت "&amp;TEXT(IF($G1762="",0,$G1762)-$H1762,"#,##0"))))</f>
        <v/>
      </c>
      <c r="J1762" s="18" t="n"/>
    </row>
    <row r="1763">
      <c r="A1763" s="10">
        <f>IF($B1763="","",COUNTA($B$9:$B1763))</f>
        <v/>
      </c>
      <c r="B1763" s="11" t="n"/>
      <c r="C1763" s="12" t="n"/>
      <c r="D1763" s="12" t="n"/>
      <c r="E1763" s="13" t="n"/>
      <c r="F1763" s="14">
        <f>IF($E1763="","",IF($C1763="دستمزد گروهی",IFERROR(VLOOKUP($E1763,WGTbl,2,0),"کد ناشناخته"),IFERROR(IF(VLOOKUP($E1763,AcctTblE,4,0)="","(بدون نام)",VLOOKUP($E1763,AcctTblE,4,0)),"کد ناشناخته")))</f>
        <v/>
      </c>
      <c r="G1763" s="15" t="n"/>
      <c r="H1763" s="16">
        <f>IF(OR($C1763&lt;&gt;"دستمزد گروهی",$D1763=""),"",SUMIFS(ShareAmt,ShareLink,$D1763))</f>
        <v/>
      </c>
      <c r="I1763" s="17">
        <f>IF($C1763&lt;&gt;"دستمزد گروهی","—",IF($H1763="","",IF(ROUND($H1763-IF($G1763="",0,$G1763),0)=0,"√","▲ مغایرت "&amp;TEXT(IF($G1763="",0,$G1763)-$H1763,"#,##0"))))</f>
        <v/>
      </c>
      <c r="J1763" s="18" t="n"/>
    </row>
    <row r="1764">
      <c r="A1764" s="19">
        <f>IF($B1764="","",COUNTA($B$9:$B1764))</f>
        <v/>
      </c>
      <c r="B1764" s="11" t="n"/>
      <c r="C1764" s="12" t="n"/>
      <c r="D1764" s="12" t="n"/>
      <c r="E1764" s="13" t="n"/>
      <c r="F1764" s="20">
        <f>IF($E1764="","",IF($C1764="دستمزد گروهی",IFERROR(VLOOKUP($E1764,WGTbl,2,0),"کد ناشناخته"),IFERROR(IF(VLOOKUP($E1764,AcctTblE,4,0)="","(بدون نام)",VLOOKUP($E1764,AcctTblE,4,0)),"کد ناشناخته")))</f>
        <v/>
      </c>
      <c r="G1764" s="15" t="n"/>
      <c r="H1764" s="21">
        <f>IF(OR($C1764&lt;&gt;"دستمزد گروهی",$D1764=""),"",SUMIFS(ShareAmt,ShareLink,$D1764))</f>
        <v/>
      </c>
      <c r="I1764" s="22">
        <f>IF($C1764&lt;&gt;"دستمزد گروهی","—",IF($H1764="","",IF(ROUND($H1764-IF($G1764="",0,$G1764),0)=0,"√","▲ مغایرت "&amp;TEXT(IF($G1764="",0,$G1764)-$H1764,"#,##0"))))</f>
        <v/>
      </c>
      <c r="J1764" s="18" t="n"/>
    </row>
    <row r="1765">
      <c r="A1765" s="10">
        <f>IF($B1765="","",COUNTA($B$9:$B1765))</f>
        <v/>
      </c>
      <c r="B1765" s="11" t="n"/>
      <c r="C1765" s="12" t="n"/>
      <c r="D1765" s="12" t="n"/>
      <c r="E1765" s="13" t="n"/>
      <c r="F1765" s="14">
        <f>IF($E1765="","",IF($C1765="دستمزد گروهی",IFERROR(VLOOKUP($E1765,WGTbl,2,0),"کد ناشناخته"),IFERROR(IF(VLOOKUP($E1765,AcctTblE,4,0)="","(بدون نام)",VLOOKUP($E1765,AcctTblE,4,0)),"کد ناشناخته")))</f>
        <v/>
      </c>
      <c r="G1765" s="15" t="n"/>
      <c r="H1765" s="16">
        <f>IF(OR($C1765&lt;&gt;"دستمزد گروهی",$D1765=""),"",SUMIFS(ShareAmt,ShareLink,$D1765))</f>
        <v/>
      </c>
      <c r="I1765" s="17">
        <f>IF($C1765&lt;&gt;"دستمزد گروهی","—",IF($H1765="","",IF(ROUND($H1765-IF($G1765="",0,$G1765),0)=0,"√","▲ مغایرت "&amp;TEXT(IF($G1765="",0,$G1765)-$H1765,"#,##0"))))</f>
        <v/>
      </c>
      <c r="J1765" s="18" t="n"/>
    </row>
    <row r="1766">
      <c r="A1766" s="19">
        <f>IF($B1766="","",COUNTA($B$9:$B1766))</f>
        <v/>
      </c>
      <c r="B1766" s="11" t="n"/>
      <c r="C1766" s="12" t="n"/>
      <c r="D1766" s="12" t="n"/>
      <c r="E1766" s="13" t="n"/>
      <c r="F1766" s="20">
        <f>IF($E1766="","",IF($C1766="دستمزد گروهی",IFERROR(VLOOKUP($E1766,WGTbl,2,0),"کد ناشناخته"),IFERROR(IF(VLOOKUP($E1766,AcctTblE,4,0)="","(بدون نام)",VLOOKUP($E1766,AcctTblE,4,0)),"کد ناشناخته")))</f>
        <v/>
      </c>
      <c r="G1766" s="15" t="n"/>
      <c r="H1766" s="21">
        <f>IF(OR($C1766&lt;&gt;"دستمزد گروهی",$D1766=""),"",SUMIFS(ShareAmt,ShareLink,$D1766))</f>
        <v/>
      </c>
      <c r="I1766" s="22">
        <f>IF($C1766&lt;&gt;"دستمزد گروهی","—",IF($H1766="","",IF(ROUND($H1766-IF($G1766="",0,$G1766),0)=0,"√","▲ مغایرت "&amp;TEXT(IF($G1766="",0,$G1766)-$H1766,"#,##0"))))</f>
        <v/>
      </c>
      <c r="J1766" s="18" t="n"/>
    </row>
    <row r="1767">
      <c r="A1767" s="10">
        <f>IF($B1767="","",COUNTA($B$9:$B1767))</f>
        <v/>
      </c>
      <c r="B1767" s="11" t="n"/>
      <c r="C1767" s="12" t="n"/>
      <c r="D1767" s="12" t="n"/>
      <c r="E1767" s="13" t="n"/>
      <c r="F1767" s="14">
        <f>IF($E1767="","",IF($C1767="دستمزد گروهی",IFERROR(VLOOKUP($E1767,WGTbl,2,0),"کد ناشناخته"),IFERROR(IF(VLOOKUP($E1767,AcctTblE,4,0)="","(بدون نام)",VLOOKUP($E1767,AcctTblE,4,0)),"کد ناشناخته")))</f>
        <v/>
      </c>
      <c r="G1767" s="15" t="n"/>
      <c r="H1767" s="16">
        <f>IF(OR($C1767&lt;&gt;"دستمزد گروهی",$D1767=""),"",SUMIFS(ShareAmt,ShareLink,$D1767))</f>
        <v/>
      </c>
      <c r="I1767" s="17">
        <f>IF($C1767&lt;&gt;"دستمزد گروهی","—",IF($H1767="","",IF(ROUND($H1767-IF($G1767="",0,$G1767),0)=0,"√","▲ مغایرت "&amp;TEXT(IF($G1767="",0,$G1767)-$H1767,"#,##0"))))</f>
        <v/>
      </c>
      <c r="J1767" s="18" t="n"/>
    </row>
    <row r="1768">
      <c r="A1768" s="19">
        <f>IF($B1768="","",COUNTA($B$9:$B1768))</f>
        <v/>
      </c>
      <c r="B1768" s="11" t="n"/>
      <c r="C1768" s="12" t="n"/>
      <c r="D1768" s="12" t="n"/>
      <c r="E1768" s="13" t="n"/>
      <c r="F1768" s="20">
        <f>IF($E1768="","",IF($C1768="دستمزد گروهی",IFERROR(VLOOKUP($E1768,WGTbl,2,0),"کد ناشناخته"),IFERROR(IF(VLOOKUP($E1768,AcctTblE,4,0)="","(بدون نام)",VLOOKUP($E1768,AcctTblE,4,0)),"کد ناشناخته")))</f>
        <v/>
      </c>
      <c r="G1768" s="15" t="n"/>
      <c r="H1768" s="21">
        <f>IF(OR($C1768&lt;&gt;"دستمزد گروهی",$D1768=""),"",SUMIFS(ShareAmt,ShareLink,$D1768))</f>
        <v/>
      </c>
      <c r="I1768" s="22">
        <f>IF($C1768&lt;&gt;"دستمزد گروهی","—",IF($H1768="","",IF(ROUND($H1768-IF($G1768="",0,$G1768),0)=0,"√","▲ مغایرت "&amp;TEXT(IF($G1768="",0,$G1768)-$H1768,"#,##0"))))</f>
        <v/>
      </c>
      <c r="J1768" s="18" t="n"/>
    </row>
    <row r="1769">
      <c r="A1769" s="10">
        <f>IF($B1769="","",COUNTA($B$9:$B1769))</f>
        <v/>
      </c>
      <c r="B1769" s="11" t="n"/>
      <c r="C1769" s="12" t="n"/>
      <c r="D1769" s="12" t="n"/>
      <c r="E1769" s="13" t="n"/>
      <c r="F1769" s="14">
        <f>IF($E1769="","",IF($C1769="دستمزد گروهی",IFERROR(VLOOKUP($E1769,WGTbl,2,0),"کد ناشناخته"),IFERROR(IF(VLOOKUP($E1769,AcctTblE,4,0)="","(بدون نام)",VLOOKUP($E1769,AcctTblE,4,0)),"کد ناشناخته")))</f>
        <v/>
      </c>
      <c r="G1769" s="15" t="n"/>
      <c r="H1769" s="16">
        <f>IF(OR($C1769&lt;&gt;"دستمزد گروهی",$D1769=""),"",SUMIFS(ShareAmt,ShareLink,$D1769))</f>
        <v/>
      </c>
      <c r="I1769" s="17">
        <f>IF($C1769&lt;&gt;"دستمزد گروهی","—",IF($H1769="","",IF(ROUND($H1769-IF($G1769="",0,$G1769),0)=0,"√","▲ مغایرت "&amp;TEXT(IF($G1769="",0,$G1769)-$H1769,"#,##0"))))</f>
        <v/>
      </c>
      <c r="J1769" s="18" t="n"/>
    </row>
    <row r="1770">
      <c r="A1770" s="19">
        <f>IF($B1770="","",COUNTA($B$9:$B1770))</f>
        <v/>
      </c>
      <c r="B1770" s="11" t="n"/>
      <c r="C1770" s="12" t="n"/>
      <c r="D1770" s="12" t="n"/>
      <c r="E1770" s="13" t="n"/>
      <c r="F1770" s="20">
        <f>IF($E1770="","",IF($C1770="دستمزد گروهی",IFERROR(VLOOKUP($E1770,WGTbl,2,0),"کد ناشناخته"),IFERROR(IF(VLOOKUP($E1770,AcctTblE,4,0)="","(بدون نام)",VLOOKUP($E1770,AcctTblE,4,0)),"کد ناشناخته")))</f>
        <v/>
      </c>
      <c r="G1770" s="15" t="n"/>
      <c r="H1770" s="21">
        <f>IF(OR($C1770&lt;&gt;"دستمزد گروهی",$D1770=""),"",SUMIFS(ShareAmt,ShareLink,$D1770))</f>
        <v/>
      </c>
      <c r="I1770" s="22">
        <f>IF($C1770&lt;&gt;"دستمزد گروهی","—",IF($H1770="","",IF(ROUND($H1770-IF($G1770="",0,$G1770),0)=0,"√","▲ مغایرت "&amp;TEXT(IF($G1770="",0,$G1770)-$H1770,"#,##0"))))</f>
        <v/>
      </c>
      <c r="J1770" s="18" t="n"/>
    </row>
    <row r="1771">
      <c r="A1771" s="10">
        <f>IF($B1771="","",COUNTA($B$9:$B1771))</f>
        <v/>
      </c>
      <c r="B1771" s="11" t="n"/>
      <c r="C1771" s="12" t="n"/>
      <c r="D1771" s="12" t="n"/>
      <c r="E1771" s="13" t="n"/>
      <c r="F1771" s="14">
        <f>IF($E1771="","",IF($C1771="دستمزد گروهی",IFERROR(VLOOKUP($E1771,WGTbl,2,0),"کد ناشناخته"),IFERROR(IF(VLOOKUP($E1771,AcctTblE,4,0)="","(بدون نام)",VLOOKUP($E1771,AcctTblE,4,0)),"کد ناشناخته")))</f>
        <v/>
      </c>
      <c r="G1771" s="15" t="n"/>
      <c r="H1771" s="16">
        <f>IF(OR($C1771&lt;&gt;"دستمزد گروهی",$D1771=""),"",SUMIFS(ShareAmt,ShareLink,$D1771))</f>
        <v/>
      </c>
      <c r="I1771" s="17">
        <f>IF($C1771&lt;&gt;"دستمزد گروهی","—",IF($H1771="","",IF(ROUND($H1771-IF($G1771="",0,$G1771),0)=0,"√","▲ مغایرت "&amp;TEXT(IF($G1771="",0,$G1771)-$H1771,"#,##0"))))</f>
        <v/>
      </c>
      <c r="J1771" s="18" t="n"/>
    </row>
    <row r="1772">
      <c r="A1772" s="19">
        <f>IF($B1772="","",COUNTA($B$9:$B1772))</f>
        <v/>
      </c>
      <c r="B1772" s="11" t="n"/>
      <c r="C1772" s="12" t="n"/>
      <c r="D1772" s="12" t="n"/>
      <c r="E1772" s="13" t="n"/>
      <c r="F1772" s="20">
        <f>IF($E1772="","",IF($C1772="دستمزد گروهی",IFERROR(VLOOKUP($E1772,WGTbl,2,0),"کد ناشناخته"),IFERROR(IF(VLOOKUP($E1772,AcctTblE,4,0)="","(بدون نام)",VLOOKUP($E1772,AcctTblE,4,0)),"کد ناشناخته")))</f>
        <v/>
      </c>
      <c r="G1772" s="15" t="n"/>
      <c r="H1772" s="21">
        <f>IF(OR($C1772&lt;&gt;"دستمزد گروهی",$D1772=""),"",SUMIFS(ShareAmt,ShareLink,$D1772))</f>
        <v/>
      </c>
      <c r="I1772" s="22">
        <f>IF($C1772&lt;&gt;"دستمزد گروهی","—",IF($H1772="","",IF(ROUND($H1772-IF($G1772="",0,$G1772),0)=0,"√","▲ مغایرت "&amp;TEXT(IF($G1772="",0,$G1772)-$H1772,"#,##0"))))</f>
        <v/>
      </c>
      <c r="J1772" s="18" t="n"/>
    </row>
    <row r="1773">
      <c r="A1773" s="10">
        <f>IF($B1773="","",COUNTA($B$9:$B1773))</f>
        <v/>
      </c>
      <c r="B1773" s="11" t="n"/>
      <c r="C1773" s="12" t="n"/>
      <c r="D1773" s="12" t="n"/>
      <c r="E1773" s="13" t="n"/>
      <c r="F1773" s="14">
        <f>IF($E1773="","",IF($C1773="دستمزد گروهی",IFERROR(VLOOKUP($E1773,WGTbl,2,0),"کد ناشناخته"),IFERROR(IF(VLOOKUP($E1773,AcctTblE,4,0)="","(بدون نام)",VLOOKUP($E1773,AcctTblE,4,0)),"کد ناشناخته")))</f>
        <v/>
      </c>
      <c r="G1773" s="15" t="n"/>
      <c r="H1773" s="16">
        <f>IF(OR($C1773&lt;&gt;"دستمزد گروهی",$D1773=""),"",SUMIFS(ShareAmt,ShareLink,$D1773))</f>
        <v/>
      </c>
      <c r="I1773" s="17">
        <f>IF($C1773&lt;&gt;"دستمزد گروهی","—",IF($H1773="","",IF(ROUND($H1773-IF($G1773="",0,$G1773),0)=0,"√","▲ مغایرت "&amp;TEXT(IF($G1773="",0,$G1773)-$H1773,"#,##0"))))</f>
        <v/>
      </c>
      <c r="J1773" s="18" t="n"/>
    </row>
    <row r="1774">
      <c r="A1774" s="19">
        <f>IF($B1774="","",COUNTA($B$9:$B1774))</f>
        <v/>
      </c>
      <c r="B1774" s="11" t="n"/>
      <c r="C1774" s="12" t="n"/>
      <c r="D1774" s="12" t="n"/>
      <c r="E1774" s="13" t="n"/>
      <c r="F1774" s="20">
        <f>IF($E1774="","",IF($C1774="دستمزد گروهی",IFERROR(VLOOKUP($E1774,WGTbl,2,0),"کد ناشناخته"),IFERROR(IF(VLOOKUP($E1774,AcctTblE,4,0)="","(بدون نام)",VLOOKUP($E1774,AcctTblE,4,0)),"کد ناشناخته")))</f>
        <v/>
      </c>
      <c r="G1774" s="15" t="n"/>
      <c r="H1774" s="21">
        <f>IF(OR($C1774&lt;&gt;"دستمزد گروهی",$D1774=""),"",SUMIFS(ShareAmt,ShareLink,$D1774))</f>
        <v/>
      </c>
      <c r="I1774" s="22">
        <f>IF($C1774&lt;&gt;"دستمزد گروهی","—",IF($H1774="","",IF(ROUND($H1774-IF($G1774="",0,$G1774),0)=0,"√","▲ مغایرت "&amp;TEXT(IF($G1774="",0,$G1774)-$H1774,"#,##0"))))</f>
        <v/>
      </c>
      <c r="J1774" s="18" t="n"/>
    </row>
    <row r="1775">
      <c r="A1775" s="10">
        <f>IF($B1775="","",COUNTA($B$9:$B1775))</f>
        <v/>
      </c>
      <c r="B1775" s="11" t="n"/>
      <c r="C1775" s="12" t="n"/>
      <c r="D1775" s="12" t="n"/>
      <c r="E1775" s="13" t="n"/>
      <c r="F1775" s="14">
        <f>IF($E1775="","",IF($C1775="دستمزد گروهی",IFERROR(VLOOKUP($E1775,WGTbl,2,0),"کد ناشناخته"),IFERROR(IF(VLOOKUP($E1775,AcctTblE,4,0)="","(بدون نام)",VLOOKUP($E1775,AcctTblE,4,0)),"کد ناشناخته")))</f>
        <v/>
      </c>
      <c r="G1775" s="15" t="n"/>
      <c r="H1775" s="16">
        <f>IF(OR($C1775&lt;&gt;"دستمزد گروهی",$D1775=""),"",SUMIFS(ShareAmt,ShareLink,$D1775))</f>
        <v/>
      </c>
      <c r="I1775" s="17">
        <f>IF($C1775&lt;&gt;"دستمزد گروهی","—",IF($H1775="","",IF(ROUND($H1775-IF($G1775="",0,$G1775),0)=0,"√","▲ مغایرت "&amp;TEXT(IF($G1775="",0,$G1775)-$H1775,"#,##0"))))</f>
        <v/>
      </c>
      <c r="J1775" s="18" t="n"/>
    </row>
    <row r="1776">
      <c r="A1776" s="19">
        <f>IF($B1776="","",COUNTA($B$9:$B1776))</f>
        <v/>
      </c>
      <c r="B1776" s="11" t="n"/>
      <c r="C1776" s="12" t="n"/>
      <c r="D1776" s="12" t="n"/>
      <c r="E1776" s="13" t="n"/>
      <c r="F1776" s="20">
        <f>IF($E1776="","",IF($C1776="دستمزد گروهی",IFERROR(VLOOKUP($E1776,WGTbl,2,0),"کد ناشناخته"),IFERROR(IF(VLOOKUP($E1776,AcctTblE,4,0)="","(بدون نام)",VLOOKUP($E1776,AcctTblE,4,0)),"کد ناشناخته")))</f>
        <v/>
      </c>
      <c r="G1776" s="15" t="n"/>
      <c r="H1776" s="21">
        <f>IF(OR($C1776&lt;&gt;"دستمزد گروهی",$D1776=""),"",SUMIFS(ShareAmt,ShareLink,$D1776))</f>
        <v/>
      </c>
      <c r="I1776" s="22">
        <f>IF($C1776&lt;&gt;"دستمزد گروهی","—",IF($H1776="","",IF(ROUND($H1776-IF($G1776="",0,$G1776),0)=0,"√","▲ مغایرت "&amp;TEXT(IF($G1776="",0,$G1776)-$H1776,"#,##0"))))</f>
        <v/>
      </c>
      <c r="J1776" s="18" t="n"/>
    </row>
    <row r="1777">
      <c r="A1777" s="10">
        <f>IF($B1777="","",COUNTA($B$9:$B1777))</f>
        <v/>
      </c>
      <c r="B1777" s="11" t="n"/>
      <c r="C1777" s="12" t="n"/>
      <c r="D1777" s="12" t="n"/>
      <c r="E1777" s="13" t="n"/>
      <c r="F1777" s="14">
        <f>IF($E1777="","",IF($C1777="دستمزد گروهی",IFERROR(VLOOKUP($E1777,WGTbl,2,0),"کد ناشناخته"),IFERROR(IF(VLOOKUP($E1777,AcctTblE,4,0)="","(بدون نام)",VLOOKUP($E1777,AcctTblE,4,0)),"کد ناشناخته")))</f>
        <v/>
      </c>
      <c r="G1777" s="15" t="n"/>
      <c r="H1777" s="16">
        <f>IF(OR($C1777&lt;&gt;"دستمزد گروهی",$D1777=""),"",SUMIFS(ShareAmt,ShareLink,$D1777))</f>
        <v/>
      </c>
      <c r="I1777" s="17">
        <f>IF($C1777&lt;&gt;"دستمزد گروهی","—",IF($H1777="","",IF(ROUND($H1777-IF($G1777="",0,$G1777),0)=0,"√","▲ مغایرت "&amp;TEXT(IF($G1777="",0,$G1777)-$H1777,"#,##0"))))</f>
        <v/>
      </c>
      <c r="J1777" s="18" t="n"/>
    </row>
    <row r="1778">
      <c r="A1778" s="19">
        <f>IF($B1778="","",COUNTA($B$9:$B1778))</f>
        <v/>
      </c>
      <c r="B1778" s="11" t="n"/>
      <c r="C1778" s="12" t="n"/>
      <c r="D1778" s="12" t="n"/>
      <c r="E1778" s="13" t="n"/>
      <c r="F1778" s="20">
        <f>IF($E1778="","",IF($C1778="دستمزد گروهی",IFERROR(VLOOKUP($E1778,WGTbl,2,0),"کد ناشناخته"),IFERROR(IF(VLOOKUP($E1778,AcctTblE,4,0)="","(بدون نام)",VLOOKUP($E1778,AcctTblE,4,0)),"کد ناشناخته")))</f>
        <v/>
      </c>
      <c r="G1778" s="15" t="n"/>
      <c r="H1778" s="21">
        <f>IF(OR($C1778&lt;&gt;"دستمزد گروهی",$D1778=""),"",SUMIFS(ShareAmt,ShareLink,$D1778))</f>
        <v/>
      </c>
      <c r="I1778" s="22">
        <f>IF($C1778&lt;&gt;"دستمزد گروهی","—",IF($H1778="","",IF(ROUND($H1778-IF($G1778="",0,$G1778),0)=0,"√","▲ مغایرت "&amp;TEXT(IF($G1778="",0,$G1778)-$H1778,"#,##0"))))</f>
        <v/>
      </c>
      <c r="J1778" s="18" t="n"/>
    </row>
    <row r="1779">
      <c r="A1779" s="10">
        <f>IF($B1779="","",COUNTA($B$9:$B1779))</f>
        <v/>
      </c>
      <c r="B1779" s="11" t="n"/>
      <c r="C1779" s="12" t="n"/>
      <c r="D1779" s="12" t="n"/>
      <c r="E1779" s="13" t="n"/>
      <c r="F1779" s="14">
        <f>IF($E1779="","",IF($C1779="دستمزد گروهی",IFERROR(VLOOKUP($E1779,WGTbl,2,0),"کد ناشناخته"),IFERROR(IF(VLOOKUP($E1779,AcctTblE,4,0)="","(بدون نام)",VLOOKUP($E1779,AcctTblE,4,0)),"کد ناشناخته")))</f>
        <v/>
      </c>
      <c r="G1779" s="15" t="n"/>
      <c r="H1779" s="16">
        <f>IF(OR($C1779&lt;&gt;"دستمزد گروهی",$D1779=""),"",SUMIFS(ShareAmt,ShareLink,$D1779))</f>
        <v/>
      </c>
      <c r="I1779" s="17">
        <f>IF($C1779&lt;&gt;"دستمزد گروهی","—",IF($H1779="","",IF(ROUND($H1779-IF($G1779="",0,$G1779),0)=0,"√","▲ مغایرت "&amp;TEXT(IF($G1779="",0,$G1779)-$H1779,"#,##0"))))</f>
        <v/>
      </c>
      <c r="J1779" s="18" t="n"/>
    </row>
    <row r="1780">
      <c r="A1780" s="19">
        <f>IF($B1780="","",COUNTA($B$9:$B1780))</f>
        <v/>
      </c>
      <c r="B1780" s="11" t="n"/>
      <c r="C1780" s="12" t="n"/>
      <c r="D1780" s="12" t="n"/>
      <c r="E1780" s="13" t="n"/>
      <c r="F1780" s="20">
        <f>IF($E1780="","",IF($C1780="دستمزد گروهی",IFERROR(VLOOKUP($E1780,WGTbl,2,0),"کد ناشناخته"),IFERROR(IF(VLOOKUP($E1780,AcctTblE,4,0)="","(بدون نام)",VLOOKUP($E1780,AcctTblE,4,0)),"کد ناشناخته")))</f>
        <v/>
      </c>
      <c r="G1780" s="15" t="n"/>
      <c r="H1780" s="21">
        <f>IF(OR($C1780&lt;&gt;"دستمزد گروهی",$D1780=""),"",SUMIFS(ShareAmt,ShareLink,$D1780))</f>
        <v/>
      </c>
      <c r="I1780" s="22">
        <f>IF($C1780&lt;&gt;"دستمزد گروهی","—",IF($H1780="","",IF(ROUND($H1780-IF($G1780="",0,$G1780),0)=0,"√","▲ مغایرت "&amp;TEXT(IF($G1780="",0,$G1780)-$H1780,"#,##0"))))</f>
        <v/>
      </c>
      <c r="J1780" s="18" t="n"/>
    </row>
    <row r="1781">
      <c r="A1781" s="10">
        <f>IF($B1781="","",COUNTA($B$9:$B1781))</f>
        <v/>
      </c>
      <c r="B1781" s="11" t="n"/>
      <c r="C1781" s="12" t="n"/>
      <c r="D1781" s="12" t="n"/>
      <c r="E1781" s="13" t="n"/>
      <c r="F1781" s="14">
        <f>IF($E1781="","",IF($C1781="دستمزد گروهی",IFERROR(VLOOKUP($E1781,WGTbl,2,0),"کد ناشناخته"),IFERROR(IF(VLOOKUP($E1781,AcctTblE,4,0)="","(بدون نام)",VLOOKUP($E1781,AcctTblE,4,0)),"کد ناشناخته")))</f>
        <v/>
      </c>
      <c r="G1781" s="15" t="n"/>
      <c r="H1781" s="16">
        <f>IF(OR($C1781&lt;&gt;"دستمزد گروهی",$D1781=""),"",SUMIFS(ShareAmt,ShareLink,$D1781))</f>
        <v/>
      </c>
      <c r="I1781" s="17">
        <f>IF($C1781&lt;&gt;"دستمزد گروهی","—",IF($H1781="","",IF(ROUND($H1781-IF($G1781="",0,$G1781),0)=0,"√","▲ مغایرت "&amp;TEXT(IF($G1781="",0,$G1781)-$H1781,"#,##0"))))</f>
        <v/>
      </c>
      <c r="J1781" s="18" t="n"/>
    </row>
    <row r="1782">
      <c r="A1782" s="19">
        <f>IF($B1782="","",COUNTA($B$9:$B1782))</f>
        <v/>
      </c>
      <c r="B1782" s="11" t="n"/>
      <c r="C1782" s="12" t="n"/>
      <c r="D1782" s="12" t="n"/>
      <c r="E1782" s="13" t="n"/>
      <c r="F1782" s="20">
        <f>IF($E1782="","",IF($C1782="دستمزد گروهی",IFERROR(VLOOKUP($E1782,WGTbl,2,0),"کد ناشناخته"),IFERROR(IF(VLOOKUP($E1782,AcctTblE,4,0)="","(بدون نام)",VLOOKUP($E1782,AcctTblE,4,0)),"کد ناشناخته")))</f>
        <v/>
      </c>
      <c r="G1782" s="15" t="n"/>
      <c r="H1782" s="21">
        <f>IF(OR($C1782&lt;&gt;"دستمزد گروهی",$D1782=""),"",SUMIFS(ShareAmt,ShareLink,$D1782))</f>
        <v/>
      </c>
      <c r="I1782" s="22">
        <f>IF($C1782&lt;&gt;"دستمزد گروهی","—",IF($H1782="","",IF(ROUND($H1782-IF($G1782="",0,$G1782),0)=0,"√","▲ مغایرت "&amp;TEXT(IF($G1782="",0,$G1782)-$H1782,"#,##0"))))</f>
        <v/>
      </c>
      <c r="J1782" s="18" t="n"/>
    </row>
    <row r="1783">
      <c r="A1783" s="10">
        <f>IF($B1783="","",COUNTA($B$9:$B1783))</f>
        <v/>
      </c>
      <c r="B1783" s="11" t="n"/>
      <c r="C1783" s="12" t="n"/>
      <c r="D1783" s="12" t="n"/>
      <c r="E1783" s="13" t="n"/>
      <c r="F1783" s="14">
        <f>IF($E1783="","",IF($C1783="دستمزد گروهی",IFERROR(VLOOKUP($E1783,WGTbl,2,0),"کد ناشناخته"),IFERROR(IF(VLOOKUP($E1783,AcctTblE,4,0)="","(بدون نام)",VLOOKUP($E1783,AcctTblE,4,0)),"کد ناشناخته")))</f>
        <v/>
      </c>
      <c r="G1783" s="15" t="n"/>
      <c r="H1783" s="16">
        <f>IF(OR($C1783&lt;&gt;"دستمزد گروهی",$D1783=""),"",SUMIFS(ShareAmt,ShareLink,$D1783))</f>
        <v/>
      </c>
      <c r="I1783" s="17">
        <f>IF($C1783&lt;&gt;"دستمزد گروهی","—",IF($H1783="","",IF(ROUND($H1783-IF($G1783="",0,$G1783),0)=0,"√","▲ مغایرت "&amp;TEXT(IF($G1783="",0,$G1783)-$H1783,"#,##0"))))</f>
        <v/>
      </c>
      <c r="J1783" s="18" t="n"/>
    </row>
    <row r="1784">
      <c r="A1784" s="19">
        <f>IF($B1784="","",COUNTA($B$9:$B1784))</f>
        <v/>
      </c>
      <c r="B1784" s="11" t="n"/>
      <c r="C1784" s="12" t="n"/>
      <c r="D1784" s="12" t="n"/>
      <c r="E1784" s="13" t="n"/>
      <c r="F1784" s="20">
        <f>IF($E1784="","",IF($C1784="دستمزد گروهی",IFERROR(VLOOKUP($E1784,WGTbl,2,0),"کد ناشناخته"),IFERROR(IF(VLOOKUP($E1784,AcctTblE,4,0)="","(بدون نام)",VLOOKUP($E1784,AcctTblE,4,0)),"کد ناشناخته")))</f>
        <v/>
      </c>
      <c r="G1784" s="15" t="n"/>
      <c r="H1784" s="21">
        <f>IF(OR($C1784&lt;&gt;"دستمزد گروهی",$D1784=""),"",SUMIFS(ShareAmt,ShareLink,$D1784))</f>
        <v/>
      </c>
      <c r="I1784" s="22">
        <f>IF($C1784&lt;&gt;"دستمزد گروهی","—",IF($H1784="","",IF(ROUND($H1784-IF($G1784="",0,$G1784),0)=0,"√","▲ مغایرت "&amp;TEXT(IF($G1784="",0,$G1784)-$H1784,"#,##0"))))</f>
        <v/>
      </c>
      <c r="J1784" s="18" t="n"/>
    </row>
    <row r="1785">
      <c r="A1785" s="10">
        <f>IF($B1785="","",COUNTA($B$9:$B1785))</f>
        <v/>
      </c>
      <c r="B1785" s="11" t="n"/>
      <c r="C1785" s="12" t="n"/>
      <c r="D1785" s="12" t="n"/>
      <c r="E1785" s="13" t="n"/>
      <c r="F1785" s="14">
        <f>IF($E1785="","",IF($C1785="دستمزد گروهی",IFERROR(VLOOKUP($E1785,WGTbl,2,0),"کد ناشناخته"),IFERROR(IF(VLOOKUP($E1785,AcctTblE,4,0)="","(بدون نام)",VLOOKUP($E1785,AcctTblE,4,0)),"کد ناشناخته")))</f>
        <v/>
      </c>
      <c r="G1785" s="15" t="n"/>
      <c r="H1785" s="16">
        <f>IF(OR($C1785&lt;&gt;"دستمزد گروهی",$D1785=""),"",SUMIFS(ShareAmt,ShareLink,$D1785))</f>
        <v/>
      </c>
      <c r="I1785" s="17">
        <f>IF($C1785&lt;&gt;"دستمزد گروهی","—",IF($H1785="","",IF(ROUND($H1785-IF($G1785="",0,$G1785),0)=0,"√","▲ مغایرت "&amp;TEXT(IF($G1785="",0,$G1785)-$H1785,"#,##0"))))</f>
        <v/>
      </c>
      <c r="J1785" s="18" t="n"/>
    </row>
    <row r="1786">
      <c r="A1786" s="19">
        <f>IF($B1786="","",COUNTA($B$9:$B1786))</f>
        <v/>
      </c>
      <c r="B1786" s="11" t="n"/>
      <c r="C1786" s="12" t="n"/>
      <c r="D1786" s="12" t="n"/>
      <c r="E1786" s="13" t="n"/>
      <c r="F1786" s="20">
        <f>IF($E1786="","",IF($C1786="دستمزد گروهی",IFERROR(VLOOKUP($E1786,WGTbl,2,0),"کد ناشناخته"),IFERROR(IF(VLOOKUP($E1786,AcctTblE,4,0)="","(بدون نام)",VLOOKUP($E1786,AcctTblE,4,0)),"کد ناشناخته")))</f>
        <v/>
      </c>
      <c r="G1786" s="15" t="n"/>
      <c r="H1786" s="21">
        <f>IF(OR($C1786&lt;&gt;"دستمزد گروهی",$D1786=""),"",SUMIFS(ShareAmt,ShareLink,$D1786))</f>
        <v/>
      </c>
      <c r="I1786" s="22">
        <f>IF($C1786&lt;&gt;"دستمزد گروهی","—",IF($H1786="","",IF(ROUND($H1786-IF($G1786="",0,$G1786),0)=0,"√","▲ مغایرت "&amp;TEXT(IF($G1786="",0,$G1786)-$H1786,"#,##0"))))</f>
        <v/>
      </c>
      <c r="J1786" s="18" t="n"/>
    </row>
    <row r="1787">
      <c r="A1787" s="10">
        <f>IF($B1787="","",COUNTA($B$9:$B1787))</f>
        <v/>
      </c>
      <c r="B1787" s="11" t="n"/>
      <c r="C1787" s="12" t="n"/>
      <c r="D1787" s="12" t="n"/>
      <c r="E1787" s="13" t="n"/>
      <c r="F1787" s="14">
        <f>IF($E1787="","",IF($C1787="دستمزد گروهی",IFERROR(VLOOKUP($E1787,WGTbl,2,0),"کد ناشناخته"),IFERROR(IF(VLOOKUP($E1787,AcctTblE,4,0)="","(بدون نام)",VLOOKUP($E1787,AcctTblE,4,0)),"کد ناشناخته")))</f>
        <v/>
      </c>
      <c r="G1787" s="15" t="n"/>
      <c r="H1787" s="16">
        <f>IF(OR($C1787&lt;&gt;"دستمزد گروهی",$D1787=""),"",SUMIFS(ShareAmt,ShareLink,$D1787))</f>
        <v/>
      </c>
      <c r="I1787" s="17">
        <f>IF($C1787&lt;&gt;"دستمزد گروهی","—",IF($H1787="","",IF(ROUND($H1787-IF($G1787="",0,$G1787),0)=0,"√","▲ مغایرت "&amp;TEXT(IF($G1787="",0,$G1787)-$H1787,"#,##0"))))</f>
        <v/>
      </c>
      <c r="J1787" s="18" t="n"/>
    </row>
    <row r="1788">
      <c r="A1788" s="19">
        <f>IF($B1788="","",COUNTA($B$9:$B1788))</f>
        <v/>
      </c>
      <c r="B1788" s="11" t="n"/>
      <c r="C1788" s="12" t="n"/>
      <c r="D1788" s="12" t="n"/>
      <c r="E1788" s="13" t="n"/>
      <c r="F1788" s="20">
        <f>IF($E1788="","",IF($C1788="دستمزد گروهی",IFERROR(VLOOKUP($E1788,WGTbl,2,0),"کد ناشناخته"),IFERROR(IF(VLOOKUP($E1788,AcctTblE,4,0)="","(بدون نام)",VLOOKUP($E1788,AcctTblE,4,0)),"کد ناشناخته")))</f>
        <v/>
      </c>
      <c r="G1788" s="15" t="n"/>
      <c r="H1788" s="21">
        <f>IF(OR($C1788&lt;&gt;"دستمزد گروهی",$D1788=""),"",SUMIFS(ShareAmt,ShareLink,$D1788))</f>
        <v/>
      </c>
      <c r="I1788" s="22">
        <f>IF($C1788&lt;&gt;"دستمزد گروهی","—",IF($H1788="","",IF(ROUND($H1788-IF($G1788="",0,$G1788),0)=0,"√","▲ مغایرت "&amp;TEXT(IF($G1788="",0,$G1788)-$H1788,"#,##0"))))</f>
        <v/>
      </c>
      <c r="J1788" s="18" t="n"/>
    </row>
    <row r="1789">
      <c r="A1789" s="10">
        <f>IF($B1789="","",COUNTA($B$9:$B1789))</f>
        <v/>
      </c>
      <c r="B1789" s="11" t="n"/>
      <c r="C1789" s="12" t="n"/>
      <c r="D1789" s="12" t="n"/>
      <c r="E1789" s="13" t="n"/>
      <c r="F1789" s="14">
        <f>IF($E1789="","",IF($C1789="دستمزد گروهی",IFERROR(VLOOKUP($E1789,WGTbl,2,0),"کد ناشناخته"),IFERROR(IF(VLOOKUP($E1789,AcctTblE,4,0)="","(بدون نام)",VLOOKUP($E1789,AcctTblE,4,0)),"کد ناشناخته")))</f>
        <v/>
      </c>
      <c r="G1789" s="15" t="n"/>
      <c r="H1789" s="16">
        <f>IF(OR($C1789&lt;&gt;"دستمزد گروهی",$D1789=""),"",SUMIFS(ShareAmt,ShareLink,$D1789))</f>
        <v/>
      </c>
      <c r="I1789" s="17">
        <f>IF($C1789&lt;&gt;"دستمزد گروهی","—",IF($H1789="","",IF(ROUND($H1789-IF($G1789="",0,$G1789),0)=0,"√","▲ مغایرت "&amp;TEXT(IF($G1789="",0,$G1789)-$H1789,"#,##0"))))</f>
        <v/>
      </c>
      <c r="J1789" s="18" t="n"/>
    </row>
    <row r="1790">
      <c r="A1790" s="19">
        <f>IF($B1790="","",COUNTA($B$9:$B1790))</f>
        <v/>
      </c>
      <c r="B1790" s="11" t="n"/>
      <c r="C1790" s="12" t="n"/>
      <c r="D1790" s="12" t="n"/>
      <c r="E1790" s="13" t="n"/>
      <c r="F1790" s="20">
        <f>IF($E1790="","",IF($C1790="دستمزد گروهی",IFERROR(VLOOKUP($E1790,WGTbl,2,0),"کد ناشناخته"),IFERROR(IF(VLOOKUP($E1790,AcctTblE,4,0)="","(بدون نام)",VLOOKUP($E1790,AcctTblE,4,0)),"کد ناشناخته")))</f>
        <v/>
      </c>
      <c r="G1790" s="15" t="n"/>
      <c r="H1790" s="21">
        <f>IF(OR($C1790&lt;&gt;"دستمزد گروهی",$D1790=""),"",SUMIFS(ShareAmt,ShareLink,$D1790))</f>
        <v/>
      </c>
      <c r="I1790" s="22">
        <f>IF($C1790&lt;&gt;"دستمزد گروهی","—",IF($H1790="","",IF(ROUND($H1790-IF($G1790="",0,$G1790),0)=0,"√","▲ مغایرت "&amp;TEXT(IF($G1790="",0,$G1790)-$H1790,"#,##0"))))</f>
        <v/>
      </c>
      <c r="J1790" s="18" t="n"/>
    </row>
    <row r="1791">
      <c r="A1791" s="10">
        <f>IF($B1791="","",COUNTA($B$9:$B1791))</f>
        <v/>
      </c>
      <c r="B1791" s="11" t="n"/>
      <c r="C1791" s="12" t="n"/>
      <c r="D1791" s="12" t="n"/>
      <c r="E1791" s="13" t="n"/>
      <c r="F1791" s="14">
        <f>IF($E1791="","",IF($C1791="دستمزد گروهی",IFERROR(VLOOKUP($E1791,WGTbl,2,0),"کد ناشناخته"),IFERROR(IF(VLOOKUP($E1791,AcctTblE,4,0)="","(بدون نام)",VLOOKUP($E1791,AcctTblE,4,0)),"کد ناشناخته")))</f>
        <v/>
      </c>
      <c r="G1791" s="15" t="n"/>
      <c r="H1791" s="16">
        <f>IF(OR($C1791&lt;&gt;"دستمزد گروهی",$D1791=""),"",SUMIFS(ShareAmt,ShareLink,$D1791))</f>
        <v/>
      </c>
      <c r="I1791" s="17">
        <f>IF($C1791&lt;&gt;"دستمزد گروهی","—",IF($H1791="","",IF(ROUND($H1791-IF($G1791="",0,$G1791),0)=0,"√","▲ مغایرت "&amp;TEXT(IF($G1791="",0,$G1791)-$H1791,"#,##0"))))</f>
        <v/>
      </c>
      <c r="J1791" s="18" t="n"/>
    </row>
    <row r="1792">
      <c r="A1792" s="19">
        <f>IF($B1792="","",COUNTA($B$9:$B1792))</f>
        <v/>
      </c>
      <c r="B1792" s="11" t="n"/>
      <c r="C1792" s="12" t="n"/>
      <c r="D1792" s="12" t="n"/>
      <c r="E1792" s="13" t="n"/>
      <c r="F1792" s="20">
        <f>IF($E1792="","",IF($C1792="دستمزد گروهی",IFERROR(VLOOKUP($E1792,WGTbl,2,0),"کد ناشناخته"),IFERROR(IF(VLOOKUP($E1792,AcctTblE,4,0)="","(بدون نام)",VLOOKUP($E1792,AcctTblE,4,0)),"کد ناشناخته")))</f>
        <v/>
      </c>
      <c r="G1792" s="15" t="n"/>
      <c r="H1792" s="21">
        <f>IF(OR($C1792&lt;&gt;"دستمزد گروهی",$D1792=""),"",SUMIFS(ShareAmt,ShareLink,$D1792))</f>
        <v/>
      </c>
      <c r="I1792" s="22">
        <f>IF($C1792&lt;&gt;"دستمزد گروهی","—",IF($H1792="","",IF(ROUND($H1792-IF($G1792="",0,$G1792),0)=0,"√","▲ مغایرت "&amp;TEXT(IF($G1792="",0,$G1792)-$H1792,"#,##0"))))</f>
        <v/>
      </c>
      <c r="J1792" s="18" t="n"/>
    </row>
    <row r="1793">
      <c r="A1793" s="10">
        <f>IF($B1793="","",COUNTA($B$9:$B1793))</f>
        <v/>
      </c>
      <c r="B1793" s="11" t="n"/>
      <c r="C1793" s="12" t="n"/>
      <c r="D1793" s="12" t="n"/>
      <c r="E1793" s="13" t="n"/>
      <c r="F1793" s="14">
        <f>IF($E1793="","",IF($C1793="دستمزد گروهی",IFERROR(VLOOKUP($E1793,WGTbl,2,0),"کد ناشناخته"),IFERROR(IF(VLOOKUP($E1793,AcctTblE,4,0)="","(بدون نام)",VLOOKUP($E1793,AcctTblE,4,0)),"کد ناشناخته")))</f>
        <v/>
      </c>
      <c r="G1793" s="15" t="n"/>
      <c r="H1793" s="16">
        <f>IF(OR($C1793&lt;&gt;"دستمزد گروهی",$D1793=""),"",SUMIFS(ShareAmt,ShareLink,$D1793))</f>
        <v/>
      </c>
      <c r="I1793" s="17">
        <f>IF($C1793&lt;&gt;"دستمزد گروهی","—",IF($H1793="","",IF(ROUND($H1793-IF($G1793="",0,$G1793),0)=0,"√","▲ مغایرت "&amp;TEXT(IF($G1793="",0,$G1793)-$H1793,"#,##0"))))</f>
        <v/>
      </c>
      <c r="J1793" s="18" t="n"/>
    </row>
    <row r="1794">
      <c r="A1794" s="19">
        <f>IF($B1794="","",COUNTA($B$9:$B1794))</f>
        <v/>
      </c>
      <c r="B1794" s="11" t="n"/>
      <c r="C1794" s="12" t="n"/>
      <c r="D1794" s="12" t="n"/>
      <c r="E1794" s="13" t="n"/>
      <c r="F1794" s="20">
        <f>IF($E1794="","",IF($C1794="دستمزد گروهی",IFERROR(VLOOKUP($E1794,WGTbl,2,0),"کد ناشناخته"),IFERROR(IF(VLOOKUP($E1794,AcctTblE,4,0)="","(بدون نام)",VLOOKUP($E1794,AcctTblE,4,0)),"کد ناشناخته")))</f>
        <v/>
      </c>
      <c r="G1794" s="15" t="n"/>
      <c r="H1794" s="21">
        <f>IF(OR($C1794&lt;&gt;"دستمزد گروهی",$D1794=""),"",SUMIFS(ShareAmt,ShareLink,$D1794))</f>
        <v/>
      </c>
      <c r="I1794" s="22">
        <f>IF($C1794&lt;&gt;"دستمزد گروهی","—",IF($H1794="","",IF(ROUND($H1794-IF($G1794="",0,$G1794),0)=0,"√","▲ مغایرت "&amp;TEXT(IF($G1794="",0,$G1794)-$H1794,"#,##0"))))</f>
        <v/>
      </c>
      <c r="J1794" s="18" t="n"/>
    </row>
    <row r="1795">
      <c r="A1795" s="10">
        <f>IF($B1795="","",COUNTA($B$9:$B1795))</f>
        <v/>
      </c>
      <c r="B1795" s="11" t="n"/>
      <c r="C1795" s="12" t="n"/>
      <c r="D1795" s="12" t="n"/>
      <c r="E1795" s="13" t="n"/>
      <c r="F1795" s="14">
        <f>IF($E1795="","",IF($C1795="دستمزد گروهی",IFERROR(VLOOKUP($E1795,WGTbl,2,0),"کد ناشناخته"),IFERROR(IF(VLOOKUP($E1795,AcctTblE,4,0)="","(بدون نام)",VLOOKUP($E1795,AcctTblE,4,0)),"کد ناشناخته")))</f>
        <v/>
      </c>
      <c r="G1795" s="15" t="n"/>
      <c r="H1795" s="16">
        <f>IF(OR($C1795&lt;&gt;"دستمزد گروهی",$D1795=""),"",SUMIFS(ShareAmt,ShareLink,$D1795))</f>
        <v/>
      </c>
      <c r="I1795" s="17">
        <f>IF($C1795&lt;&gt;"دستمزد گروهی","—",IF($H1795="","",IF(ROUND($H1795-IF($G1795="",0,$G1795),0)=0,"√","▲ مغایرت "&amp;TEXT(IF($G1795="",0,$G1795)-$H1795,"#,##0"))))</f>
        <v/>
      </c>
      <c r="J1795" s="18" t="n"/>
    </row>
    <row r="1796">
      <c r="A1796" s="19">
        <f>IF($B1796="","",COUNTA($B$9:$B1796))</f>
        <v/>
      </c>
      <c r="B1796" s="11" t="n"/>
      <c r="C1796" s="12" t="n"/>
      <c r="D1796" s="12" t="n"/>
      <c r="E1796" s="13" t="n"/>
      <c r="F1796" s="20">
        <f>IF($E1796="","",IF($C1796="دستمزد گروهی",IFERROR(VLOOKUP($E1796,WGTbl,2,0),"کد ناشناخته"),IFERROR(IF(VLOOKUP($E1796,AcctTblE,4,0)="","(بدون نام)",VLOOKUP($E1796,AcctTblE,4,0)),"کد ناشناخته")))</f>
        <v/>
      </c>
      <c r="G1796" s="15" t="n"/>
      <c r="H1796" s="21">
        <f>IF(OR($C1796&lt;&gt;"دستمزد گروهی",$D1796=""),"",SUMIFS(ShareAmt,ShareLink,$D1796))</f>
        <v/>
      </c>
      <c r="I1796" s="22">
        <f>IF($C1796&lt;&gt;"دستمزد گروهی","—",IF($H1796="","",IF(ROUND($H1796-IF($G1796="",0,$G1796),0)=0,"√","▲ مغایرت "&amp;TEXT(IF($G1796="",0,$G1796)-$H1796,"#,##0"))))</f>
        <v/>
      </c>
      <c r="J1796" s="18" t="n"/>
    </row>
    <row r="1797">
      <c r="A1797" s="10">
        <f>IF($B1797="","",COUNTA($B$9:$B1797))</f>
        <v/>
      </c>
      <c r="B1797" s="11" t="n"/>
      <c r="C1797" s="12" t="n"/>
      <c r="D1797" s="12" t="n"/>
      <c r="E1797" s="13" t="n"/>
      <c r="F1797" s="14">
        <f>IF($E1797="","",IF($C1797="دستمزد گروهی",IFERROR(VLOOKUP($E1797,WGTbl,2,0),"کد ناشناخته"),IFERROR(IF(VLOOKUP($E1797,AcctTblE,4,0)="","(بدون نام)",VLOOKUP($E1797,AcctTblE,4,0)),"کد ناشناخته")))</f>
        <v/>
      </c>
      <c r="G1797" s="15" t="n"/>
      <c r="H1797" s="16">
        <f>IF(OR($C1797&lt;&gt;"دستمزد گروهی",$D1797=""),"",SUMIFS(ShareAmt,ShareLink,$D1797))</f>
        <v/>
      </c>
      <c r="I1797" s="17">
        <f>IF($C1797&lt;&gt;"دستمزد گروهی","—",IF($H1797="","",IF(ROUND($H1797-IF($G1797="",0,$G1797),0)=0,"√","▲ مغایرت "&amp;TEXT(IF($G1797="",0,$G1797)-$H1797,"#,##0"))))</f>
        <v/>
      </c>
      <c r="J1797" s="18" t="n"/>
    </row>
    <row r="1798">
      <c r="A1798" s="19">
        <f>IF($B1798="","",COUNTA($B$9:$B1798))</f>
        <v/>
      </c>
      <c r="B1798" s="11" t="n"/>
      <c r="C1798" s="12" t="n"/>
      <c r="D1798" s="12" t="n"/>
      <c r="E1798" s="13" t="n"/>
      <c r="F1798" s="20">
        <f>IF($E1798="","",IF($C1798="دستمزد گروهی",IFERROR(VLOOKUP($E1798,WGTbl,2,0),"کد ناشناخته"),IFERROR(IF(VLOOKUP($E1798,AcctTblE,4,0)="","(بدون نام)",VLOOKUP($E1798,AcctTblE,4,0)),"کد ناشناخته")))</f>
        <v/>
      </c>
      <c r="G1798" s="15" t="n"/>
      <c r="H1798" s="21">
        <f>IF(OR($C1798&lt;&gt;"دستمزد گروهی",$D1798=""),"",SUMIFS(ShareAmt,ShareLink,$D1798))</f>
        <v/>
      </c>
      <c r="I1798" s="22">
        <f>IF($C1798&lt;&gt;"دستمزد گروهی","—",IF($H1798="","",IF(ROUND($H1798-IF($G1798="",0,$G1798),0)=0,"√","▲ مغایرت "&amp;TEXT(IF($G1798="",0,$G1798)-$H1798,"#,##0"))))</f>
        <v/>
      </c>
      <c r="J1798" s="18" t="n"/>
    </row>
    <row r="1799">
      <c r="A1799" s="10">
        <f>IF($B1799="","",COUNTA($B$9:$B1799))</f>
        <v/>
      </c>
      <c r="B1799" s="11" t="n"/>
      <c r="C1799" s="12" t="n"/>
      <c r="D1799" s="12" t="n"/>
      <c r="E1799" s="13" t="n"/>
      <c r="F1799" s="14">
        <f>IF($E1799="","",IF($C1799="دستمزد گروهی",IFERROR(VLOOKUP($E1799,WGTbl,2,0),"کد ناشناخته"),IFERROR(IF(VLOOKUP($E1799,AcctTblE,4,0)="","(بدون نام)",VLOOKUP($E1799,AcctTblE,4,0)),"کد ناشناخته")))</f>
        <v/>
      </c>
      <c r="G1799" s="15" t="n"/>
      <c r="H1799" s="16">
        <f>IF(OR($C1799&lt;&gt;"دستمزد گروهی",$D1799=""),"",SUMIFS(ShareAmt,ShareLink,$D1799))</f>
        <v/>
      </c>
      <c r="I1799" s="17">
        <f>IF($C1799&lt;&gt;"دستمزد گروهی","—",IF($H1799="","",IF(ROUND($H1799-IF($G1799="",0,$G1799),0)=0,"√","▲ مغایرت "&amp;TEXT(IF($G1799="",0,$G1799)-$H1799,"#,##0"))))</f>
        <v/>
      </c>
      <c r="J1799" s="18" t="n"/>
    </row>
    <row r="1800">
      <c r="A1800" s="19">
        <f>IF($B1800="","",COUNTA($B$9:$B1800))</f>
        <v/>
      </c>
      <c r="B1800" s="11" t="n"/>
      <c r="C1800" s="12" t="n"/>
      <c r="D1800" s="12" t="n"/>
      <c r="E1800" s="13" t="n"/>
      <c r="F1800" s="20">
        <f>IF($E1800="","",IF($C1800="دستمزد گروهی",IFERROR(VLOOKUP($E1800,WGTbl,2,0),"کد ناشناخته"),IFERROR(IF(VLOOKUP($E1800,AcctTblE,4,0)="","(بدون نام)",VLOOKUP($E1800,AcctTblE,4,0)),"کد ناشناخته")))</f>
        <v/>
      </c>
      <c r="G1800" s="15" t="n"/>
      <c r="H1800" s="21">
        <f>IF(OR($C1800&lt;&gt;"دستمزد گروهی",$D1800=""),"",SUMIFS(ShareAmt,ShareLink,$D1800))</f>
        <v/>
      </c>
      <c r="I1800" s="22">
        <f>IF($C1800&lt;&gt;"دستمزد گروهی","—",IF($H1800="","",IF(ROUND($H1800-IF($G1800="",0,$G1800),0)=0,"√","▲ مغایرت "&amp;TEXT(IF($G1800="",0,$G1800)-$H1800,"#,##0"))))</f>
        <v/>
      </c>
      <c r="J1800" s="18" t="n"/>
    </row>
    <row r="1801">
      <c r="A1801" s="10">
        <f>IF($B1801="","",COUNTA($B$9:$B1801))</f>
        <v/>
      </c>
      <c r="B1801" s="11" t="n"/>
      <c r="C1801" s="12" t="n"/>
      <c r="D1801" s="12" t="n"/>
      <c r="E1801" s="13" t="n"/>
      <c r="F1801" s="14">
        <f>IF($E1801="","",IF($C1801="دستمزد گروهی",IFERROR(VLOOKUP($E1801,WGTbl,2,0),"کد ناشناخته"),IFERROR(IF(VLOOKUP($E1801,AcctTblE,4,0)="","(بدون نام)",VLOOKUP($E1801,AcctTblE,4,0)),"کد ناشناخته")))</f>
        <v/>
      </c>
      <c r="G1801" s="15" t="n"/>
      <c r="H1801" s="16">
        <f>IF(OR($C1801&lt;&gt;"دستمزد گروهی",$D1801=""),"",SUMIFS(ShareAmt,ShareLink,$D1801))</f>
        <v/>
      </c>
      <c r="I1801" s="17">
        <f>IF($C1801&lt;&gt;"دستمزد گروهی","—",IF($H1801="","",IF(ROUND($H1801-IF($G1801="",0,$G1801),0)=0,"√","▲ مغایرت "&amp;TEXT(IF($G1801="",0,$G1801)-$H1801,"#,##0"))))</f>
        <v/>
      </c>
      <c r="J1801" s="18" t="n"/>
    </row>
    <row r="1802">
      <c r="A1802" s="19">
        <f>IF($B1802="","",COUNTA($B$9:$B1802))</f>
        <v/>
      </c>
      <c r="B1802" s="11" t="n"/>
      <c r="C1802" s="12" t="n"/>
      <c r="D1802" s="12" t="n"/>
      <c r="E1802" s="13" t="n"/>
      <c r="F1802" s="20">
        <f>IF($E1802="","",IF($C1802="دستمزد گروهی",IFERROR(VLOOKUP($E1802,WGTbl,2,0),"کد ناشناخته"),IFERROR(IF(VLOOKUP($E1802,AcctTblE,4,0)="","(بدون نام)",VLOOKUP($E1802,AcctTblE,4,0)),"کد ناشناخته")))</f>
        <v/>
      </c>
      <c r="G1802" s="15" t="n"/>
      <c r="H1802" s="21">
        <f>IF(OR($C1802&lt;&gt;"دستمزد گروهی",$D1802=""),"",SUMIFS(ShareAmt,ShareLink,$D1802))</f>
        <v/>
      </c>
      <c r="I1802" s="22">
        <f>IF($C1802&lt;&gt;"دستمزد گروهی","—",IF($H1802="","",IF(ROUND($H1802-IF($G1802="",0,$G1802),0)=0,"√","▲ مغایرت "&amp;TEXT(IF($G1802="",0,$G1802)-$H1802,"#,##0"))))</f>
        <v/>
      </c>
      <c r="J1802" s="18" t="n"/>
    </row>
    <row r="1803">
      <c r="A1803" s="10">
        <f>IF($B1803="","",COUNTA($B$9:$B1803))</f>
        <v/>
      </c>
      <c r="B1803" s="11" t="n"/>
      <c r="C1803" s="12" t="n"/>
      <c r="D1803" s="12" t="n"/>
      <c r="E1803" s="13" t="n"/>
      <c r="F1803" s="14">
        <f>IF($E1803="","",IF($C1803="دستمزد گروهی",IFERROR(VLOOKUP($E1803,WGTbl,2,0),"کد ناشناخته"),IFERROR(IF(VLOOKUP($E1803,AcctTblE,4,0)="","(بدون نام)",VLOOKUP($E1803,AcctTblE,4,0)),"کد ناشناخته")))</f>
        <v/>
      </c>
      <c r="G1803" s="15" t="n"/>
      <c r="H1803" s="16">
        <f>IF(OR($C1803&lt;&gt;"دستمزد گروهی",$D1803=""),"",SUMIFS(ShareAmt,ShareLink,$D1803))</f>
        <v/>
      </c>
      <c r="I1803" s="17">
        <f>IF($C1803&lt;&gt;"دستمزد گروهی","—",IF($H1803="","",IF(ROUND($H1803-IF($G1803="",0,$G1803),0)=0,"√","▲ مغایرت "&amp;TEXT(IF($G1803="",0,$G1803)-$H1803,"#,##0"))))</f>
        <v/>
      </c>
      <c r="J1803" s="18" t="n"/>
    </row>
    <row r="1804">
      <c r="A1804" s="19">
        <f>IF($B1804="","",COUNTA($B$9:$B1804))</f>
        <v/>
      </c>
      <c r="B1804" s="11" t="n"/>
      <c r="C1804" s="12" t="n"/>
      <c r="D1804" s="12" t="n"/>
      <c r="E1804" s="13" t="n"/>
      <c r="F1804" s="20">
        <f>IF($E1804="","",IF($C1804="دستمزد گروهی",IFERROR(VLOOKUP($E1804,WGTbl,2,0),"کد ناشناخته"),IFERROR(IF(VLOOKUP($E1804,AcctTblE,4,0)="","(بدون نام)",VLOOKUP($E1804,AcctTblE,4,0)),"کد ناشناخته")))</f>
        <v/>
      </c>
      <c r="G1804" s="15" t="n"/>
      <c r="H1804" s="21">
        <f>IF(OR($C1804&lt;&gt;"دستمزد گروهی",$D1804=""),"",SUMIFS(ShareAmt,ShareLink,$D1804))</f>
        <v/>
      </c>
      <c r="I1804" s="22">
        <f>IF($C1804&lt;&gt;"دستمزد گروهی","—",IF($H1804="","",IF(ROUND($H1804-IF($G1804="",0,$G1804),0)=0,"√","▲ مغایرت "&amp;TEXT(IF($G1804="",0,$G1804)-$H1804,"#,##0"))))</f>
        <v/>
      </c>
      <c r="J1804" s="18" t="n"/>
    </row>
    <row r="1805">
      <c r="A1805" s="10">
        <f>IF($B1805="","",COUNTA($B$9:$B1805))</f>
        <v/>
      </c>
      <c r="B1805" s="11" t="n"/>
      <c r="C1805" s="12" t="n"/>
      <c r="D1805" s="12" t="n"/>
      <c r="E1805" s="13" t="n"/>
      <c r="F1805" s="14">
        <f>IF($E1805="","",IF($C1805="دستمزد گروهی",IFERROR(VLOOKUP($E1805,WGTbl,2,0),"کد ناشناخته"),IFERROR(IF(VLOOKUP($E1805,AcctTblE,4,0)="","(بدون نام)",VLOOKUP($E1805,AcctTblE,4,0)),"کد ناشناخته")))</f>
        <v/>
      </c>
      <c r="G1805" s="15" t="n"/>
      <c r="H1805" s="16">
        <f>IF(OR($C1805&lt;&gt;"دستمزد گروهی",$D1805=""),"",SUMIFS(ShareAmt,ShareLink,$D1805))</f>
        <v/>
      </c>
      <c r="I1805" s="17">
        <f>IF($C1805&lt;&gt;"دستمزد گروهی","—",IF($H1805="","",IF(ROUND($H1805-IF($G1805="",0,$G1805),0)=0,"√","▲ مغایرت "&amp;TEXT(IF($G1805="",0,$G1805)-$H1805,"#,##0"))))</f>
        <v/>
      </c>
      <c r="J1805" s="18" t="n"/>
    </row>
    <row r="1806">
      <c r="A1806" s="19">
        <f>IF($B1806="","",COUNTA($B$9:$B1806))</f>
        <v/>
      </c>
      <c r="B1806" s="11" t="n"/>
      <c r="C1806" s="12" t="n"/>
      <c r="D1806" s="12" t="n"/>
      <c r="E1806" s="13" t="n"/>
      <c r="F1806" s="20">
        <f>IF($E1806="","",IF($C1806="دستمزد گروهی",IFERROR(VLOOKUP($E1806,WGTbl,2,0),"کد ناشناخته"),IFERROR(IF(VLOOKUP($E1806,AcctTblE,4,0)="","(بدون نام)",VLOOKUP($E1806,AcctTblE,4,0)),"کد ناشناخته")))</f>
        <v/>
      </c>
      <c r="G1806" s="15" t="n"/>
      <c r="H1806" s="21">
        <f>IF(OR($C1806&lt;&gt;"دستمزد گروهی",$D1806=""),"",SUMIFS(ShareAmt,ShareLink,$D1806))</f>
        <v/>
      </c>
      <c r="I1806" s="22">
        <f>IF($C1806&lt;&gt;"دستمزد گروهی","—",IF($H1806="","",IF(ROUND($H1806-IF($G1806="",0,$G1806),0)=0,"√","▲ مغایرت "&amp;TEXT(IF($G1806="",0,$G1806)-$H1806,"#,##0"))))</f>
        <v/>
      </c>
      <c r="J1806" s="18" t="n"/>
    </row>
    <row r="1807">
      <c r="A1807" s="10">
        <f>IF($B1807="","",COUNTA($B$9:$B1807))</f>
        <v/>
      </c>
      <c r="B1807" s="11" t="n"/>
      <c r="C1807" s="12" t="n"/>
      <c r="D1807" s="12" t="n"/>
      <c r="E1807" s="13" t="n"/>
      <c r="F1807" s="14">
        <f>IF($E1807="","",IF($C1807="دستمزد گروهی",IFERROR(VLOOKUP($E1807,WGTbl,2,0),"کد ناشناخته"),IFERROR(IF(VLOOKUP($E1807,AcctTblE,4,0)="","(بدون نام)",VLOOKUP($E1807,AcctTblE,4,0)),"کد ناشناخته")))</f>
        <v/>
      </c>
      <c r="G1807" s="15" t="n"/>
      <c r="H1807" s="16">
        <f>IF(OR($C1807&lt;&gt;"دستمزد گروهی",$D1807=""),"",SUMIFS(ShareAmt,ShareLink,$D1807))</f>
        <v/>
      </c>
      <c r="I1807" s="17">
        <f>IF($C1807&lt;&gt;"دستمزد گروهی","—",IF($H1807="","",IF(ROUND($H1807-IF($G1807="",0,$G1807),0)=0,"√","▲ مغایرت "&amp;TEXT(IF($G1807="",0,$G1807)-$H1807,"#,##0"))))</f>
        <v/>
      </c>
      <c r="J1807" s="18" t="n"/>
    </row>
    <row r="1808">
      <c r="A1808" s="19">
        <f>IF($B1808="","",COUNTA($B$9:$B1808))</f>
        <v/>
      </c>
      <c r="B1808" s="11" t="n"/>
      <c r="C1808" s="12" t="n"/>
      <c r="D1808" s="12" t="n"/>
      <c r="E1808" s="13" t="n"/>
      <c r="F1808" s="20">
        <f>IF($E1808="","",IF($C1808="دستمزد گروهی",IFERROR(VLOOKUP($E1808,WGTbl,2,0),"کد ناشناخته"),IFERROR(IF(VLOOKUP($E1808,AcctTblE,4,0)="","(بدون نام)",VLOOKUP($E1808,AcctTblE,4,0)),"کد ناشناخته")))</f>
        <v/>
      </c>
      <c r="G1808" s="15" t="n"/>
      <c r="H1808" s="21">
        <f>IF(OR($C1808&lt;&gt;"دستمزد گروهی",$D1808=""),"",SUMIFS(ShareAmt,ShareLink,$D1808))</f>
        <v/>
      </c>
      <c r="I1808" s="22">
        <f>IF($C1808&lt;&gt;"دستمزد گروهی","—",IF($H1808="","",IF(ROUND($H1808-IF($G1808="",0,$G1808),0)=0,"√","▲ مغایرت "&amp;TEXT(IF($G1808="",0,$G1808)-$H1808,"#,##0"))))</f>
        <v/>
      </c>
      <c r="J1808" s="18" t="n"/>
    </row>
    <row r="1809">
      <c r="A1809" s="10">
        <f>IF($B1809="","",COUNTA($B$9:$B1809))</f>
        <v/>
      </c>
      <c r="B1809" s="11" t="n"/>
      <c r="C1809" s="12" t="n"/>
      <c r="D1809" s="12" t="n"/>
      <c r="E1809" s="13" t="n"/>
      <c r="F1809" s="14">
        <f>IF($E1809="","",IF($C1809="دستمزد گروهی",IFERROR(VLOOKUP($E1809,WGTbl,2,0),"کد ناشناخته"),IFERROR(IF(VLOOKUP($E1809,AcctTblE,4,0)="","(بدون نام)",VLOOKUP($E1809,AcctTblE,4,0)),"کد ناشناخته")))</f>
        <v/>
      </c>
      <c r="G1809" s="15" t="n"/>
      <c r="H1809" s="16">
        <f>IF(OR($C1809&lt;&gt;"دستمزد گروهی",$D1809=""),"",SUMIFS(ShareAmt,ShareLink,$D1809))</f>
        <v/>
      </c>
      <c r="I1809" s="17">
        <f>IF($C1809&lt;&gt;"دستمزد گروهی","—",IF($H1809="","",IF(ROUND($H1809-IF($G1809="",0,$G1809),0)=0,"√","▲ مغایرت "&amp;TEXT(IF($G1809="",0,$G1809)-$H1809,"#,##0"))))</f>
        <v/>
      </c>
      <c r="J1809" s="18" t="n"/>
    </row>
    <row r="1810">
      <c r="A1810" s="19">
        <f>IF($B1810="","",COUNTA($B$9:$B1810))</f>
        <v/>
      </c>
      <c r="B1810" s="11" t="n"/>
      <c r="C1810" s="12" t="n"/>
      <c r="D1810" s="12" t="n"/>
      <c r="E1810" s="13" t="n"/>
      <c r="F1810" s="20">
        <f>IF($E1810="","",IF($C1810="دستمزد گروهی",IFERROR(VLOOKUP($E1810,WGTbl,2,0),"کد ناشناخته"),IFERROR(IF(VLOOKUP($E1810,AcctTblE,4,0)="","(بدون نام)",VLOOKUP($E1810,AcctTblE,4,0)),"کد ناشناخته")))</f>
        <v/>
      </c>
      <c r="G1810" s="15" t="n"/>
      <c r="H1810" s="21">
        <f>IF(OR($C1810&lt;&gt;"دستمزد گروهی",$D1810=""),"",SUMIFS(ShareAmt,ShareLink,$D1810))</f>
        <v/>
      </c>
      <c r="I1810" s="22">
        <f>IF($C1810&lt;&gt;"دستمزد گروهی","—",IF($H1810="","",IF(ROUND($H1810-IF($G1810="",0,$G1810),0)=0,"√","▲ مغایرت "&amp;TEXT(IF($G1810="",0,$G1810)-$H1810,"#,##0"))))</f>
        <v/>
      </c>
      <c r="J1810" s="18" t="n"/>
    </row>
    <row r="1811">
      <c r="A1811" s="10">
        <f>IF($B1811="","",COUNTA($B$9:$B1811))</f>
        <v/>
      </c>
      <c r="B1811" s="11" t="n"/>
      <c r="C1811" s="12" t="n"/>
      <c r="D1811" s="12" t="n"/>
      <c r="E1811" s="13" t="n"/>
      <c r="F1811" s="14">
        <f>IF($E1811="","",IF($C1811="دستمزد گروهی",IFERROR(VLOOKUP($E1811,WGTbl,2,0),"کد ناشناخته"),IFERROR(IF(VLOOKUP($E1811,AcctTblE,4,0)="","(بدون نام)",VLOOKUP($E1811,AcctTblE,4,0)),"کد ناشناخته")))</f>
        <v/>
      </c>
      <c r="G1811" s="15" t="n"/>
      <c r="H1811" s="16">
        <f>IF(OR($C1811&lt;&gt;"دستمزد گروهی",$D1811=""),"",SUMIFS(ShareAmt,ShareLink,$D1811))</f>
        <v/>
      </c>
      <c r="I1811" s="17">
        <f>IF($C1811&lt;&gt;"دستمزد گروهی","—",IF($H1811="","",IF(ROUND($H1811-IF($G1811="",0,$G1811),0)=0,"√","▲ مغایرت "&amp;TEXT(IF($G1811="",0,$G1811)-$H1811,"#,##0"))))</f>
        <v/>
      </c>
      <c r="J1811" s="18" t="n"/>
    </row>
    <row r="1812">
      <c r="A1812" s="19">
        <f>IF($B1812="","",COUNTA($B$9:$B1812))</f>
        <v/>
      </c>
      <c r="B1812" s="11" t="n"/>
      <c r="C1812" s="12" t="n"/>
      <c r="D1812" s="12" t="n"/>
      <c r="E1812" s="13" t="n"/>
      <c r="F1812" s="20">
        <f>IF($E1812="","",IF($C1812="دستمزد گروهی",IFERROR(VLOOKUP($E1812,WGTbl,2,0),"کد ناشناخته"),IFERROR(IF(VLOOKUP($E1812,AcctTblE,4,0)="","(بدون نام)",VLOOKUP($E1812,AcctTblE,4,0)),"کد ناشناخته")))</f>
        <v/>
      </c>
      <c r="G1812" s="15" t="n"/>
      <c r="H1812" s="21">
        <f>IF(OR($C1812&lt;&gt;"دستمزد گروهی",$D1812=""),"",SUMIFS(ShareAmt,ShareLink,$D1812))</f>
        <v/>
      </c>
      <c r="I1812" s="22">
        <f>IF($C1812&lt;&gt;"دستمزد گروهی","—",IF($H1812="","",IF(ROUND($H1812-IF($G1812="",0,$G1812),0)=0,"√","▲ مغایرت "&amp;TEXT(IF($G1812="",0,$G1812)-$H1812,"#,##0"))))</f>
        <v/>
      </c>
      <c r="J1812" s="18" t="n"/>
    </row>
    <row r="1813">
      <c r="A1813" s="10">
        <f>IF($B1813="","",COUNTA($B$9:$B1813))</f>
        <v/>
      </c>
      <c r="B1813" s="11" t="n"/>
      <c r="C1813" s="12" t="n"/>
      <c r="D1813" s="12" t="n"/>
      <c r="E1813" s="13" t="n"/>
      <c r="F1813" s="14">
        <f>IF($E1813="","",IF($C1813="دستمزد گروهی",IFERROR(VLOOKUP($E1813,WGTbl,2,0),"کد ناشناخته"),IFERROR(IF(VLOOKUP($E1813,AcctTblE,4,0)="","(بدون نام)",VLOOKUP($E1813,AcctTblE,4,0)),"کد ناشناخته")))</f>
        <v/>
      </c>
      <c r="G1813" s="15" t="n"/>
      <c r="H1813" s="16">
        <f>IF(OR($C1813&lt;&gt;"دستمزد گروهی",$D1813=""),"",SUMIFS(ShareAmt,ShareLink,$D1813))</f>
        <v/>
      </c>
      <c r="I1813" s="17">
        <f>IF($C1813&lt;&gt;"دستمزد گروهی","—",IF($H1813="","",IF(ROUND($H1813-IF($G1813="",0,$G1813),0)=0,"√","▲ مغایرت "&amp;TEXT(IF($G1813="",0,$G1813)-$H1813,"#,##0"))))</f>
        <v/>
      </c>
      <c r="J1813" s="18" t="n"/>
    </row>
    <row r="1814">
      <c r="A1814" s="19">
        <f>IF($B1814="","",COUNTA($B$9:$B1814))</f>
        <v/>
      </c>
      <c r="B1814" s="11" t="n"/>
      <c r="C1814" s="12" t="n"/>
      <c r="D1814" s="12" t="n"/>
      <c r="E1814" s="13" t="n"/>
      <c r="F1814" s="20">
        <f>IF($E1814="","",IF($C1814="دستمزد گروهی",IFERROR(VLOOKUP($E1814,WGTbl,2,0),"کد ناشناخته"),IFERROR(IF(VLOOKUP($E1814,AcctTblE,4,0)="","(بدون نام)",VLOOKUP($E1814,AcctTblE,4,0)),"کد ناشناخته")))</f>
        <v/>
      </c>
      <c r="G1814" s="15" t="n"/>
      <c r="H1814" s="21">
        <f>IF(OR($C1814&lt;&gt;"دستمزد گروهی",$D1814=""),"",SUMIFS(ShareAmt,ShareLink,$D1814))</f>
        <v/>
      </c>
      <c r="I1814" s="22">
        <f>IF($C1814&lt;&gt;"دستمزد گروهی","—",IF($H1814="","",IF(ROUND($H1814-IF($G1814="",0,$G1814),0)=0,"√","▲ مغایرت "&amp;TEXT(IF($G1814="",0,$G1814)-$H1814,"#,##0"))))</f>
        <v/>
      </c>
      <c r="J1814" s="18" t="n"/>
    </row>
    <row r="1815">
      <c r="A1815" s="10">
        <f>IF($B1815="","",COUNTA($B$9:$B1815))</f>
        <v/>
      </c>
      <c r="B1815" s="11" t="n"/>
      <c r="C1815" s="12" t="n"/>
      <c r="D1815" s="12" t="n"/>
      <c r="E1815" s="13" t="n"/>
      <c r="F1815" s="14">
        <f>IF($E1815="","",IF($C1815="دستمزد گروهی",IFERROR(VLOOKUP($E1815,WGTbl,2,0),"کد ناشناخته"),IFERROR(IF(VLOOKUP($E1815,AcctTblE,4,0)="","(بدون نام)",VLOOKUP($E1815,AcctTblE,4,0)),"کد ناشناخته")))</f>
        <v/>
      </c>
      <c r="G1815" s="15" t="n"/>
      <c r="H1815" s="16">
        <f>IF(OR($C1815&lt;&gt;"دستمزد گروهی",$D1815=""),"",SUMIFS(ShareAmt,ShareLink,$D1815))</f>
        <v/>
      </c>
      <c r="I1815" s="17">
        <f>IF($C1815&lt;&gt;"دستمزد گروهی","—",IF($H1815="","",IF(ROUND($H1815-IF($G1815="",0,$G1815),0)=0,"√","▲ مغایرت "&amp;TEXT(IF($G1815="",0,$G1815)-$H1815,"#,##0"))))</f>
        <v/>
      </c>
      <c r="J1815" s="18" t="n"/>
    </row>
    <row r="1816">
      <c r="A1816" s="19">
        <f>IF($B1816="","",COUNTA($B$9:$B1816))</f>
        <v/>
      </c>
      <c r="B1816" s="11" t="n"/>
      <c r="C1816" s="12" t="n"/>
      <c r="D1816" s="12" t="n"/>
      <c r="E1816" s="13" t="n"/>
      <c r="F1816" s="20">
        <f>IF($E1816="","",IF($C1816="دستمزد گروهی",IFERROR(VLOOKUP($E1816,WGTbl,2,0),"کد ناشناخته"),IFERROR(IF(VLOOKUP($E1816,AcctTblE,4,0)="","(بدون نام)",VLOOKUP($E1816,AcctTblE,4,0)),"کد ناشناخته")))</f>
        <v/>
      </c>
      <c r="G1816" s="15" t="n"/>
      <c r="H1816" s="21">
        <f>IF(OR($C1816&lt;&gt;"دستمزد گروهی",$D1816=""),"",SUMIFS(ShareAmt,ShareLink,$D1816))</f>
        <v/>
      </c>
      <c r="I1816" s="22">
        <f>IF($C1816&lt;&gt;"دستمزد گروهی","—",IF($H1816="","",IF(ROUND($H1816-IF($G1816="",0,$G1816),0)=0,"√","▲ مغایرت "&amp;TEXT(IF($G1816="",0,$G1816)-$H1816,"#,##0"))))</f>
        <v/>
      </c>
      <c r="J1816" s="18" t="n"/>
    </row>
    <row r="1817">
      <c r="A1817" s="10">
        <f>IF($B1817="","",COUNTA($B$9:$B1817))</f>
        <v/>
      </c>
      <c r="B1817" s="11" t="n"/>
      <c r="C1817" s="12" t="n"/>
      <c r="D1817" s="12" t="n"/>
      <c r="E1817" s="13" t="n"/>
      <c r="F1817" s="14">
        <f>IF($E1817="","",IF($C1817="دستمزد گروهی",IFERROR(VLOOKUP($E1817,WGTbl,2,0),"کد ناشناخته"),IFERROR(IF(VLOOKUP($E1817,AcctTblE,4,0)="","(بدون نام)",VLOOKUP($E1817,AcctTblE,4,0)),"کد ناشناخته")))</f>
        <v/>
      </c>
      <c r="G1817" s="15" t="n"/>
      <c r="H1817" s="16">
        <f>IF(OR($C1817&lt;&gt;"دستمزد گروهی",$D1817=""),"",SUMIFS(ShareAmt,ShareLink,$D1817))</f>
        <v/>
      </c>
      <c r="I1817" s="17">
        <f>IF($C1817&lt;&gt;"دستمزد گروهی","—",IF($H1817="","",IF(ROUND($H1817-IF($G1817="",0,$G1817),0)=0,"√","▲ مغایرت "&amp;TEXT(IF($G1817="",0,$G1817)-$H1817,"#,##0"))))</f>
        <v/>
      </c>
      <c r="J1817" s="18" t="n"/>
    </row>
    <row r="1818">
      <c r="A1818" s="19">
        <f>IF($B1818="","",COUNTA($B$9:$B1818))</f>
        <v/>
      </c>
      <c r="B1818" s="11" t="n"/>
      <c r="C1818" s="12" t="n"/>
      <c r="D1818" s="12" t="n"/>
      <c r="E1818" s="13" t="n"/>
      <c r="F1818" s="20">
        <f>IF($E1818="","",IF($C1818="دستمزد گروهی",IFERROR(VLOOKUP($E1818,WGTbl,2,0),"کد ناشناخته"),IFERROR(IF(VLOOKUP($E1818,AcctTblE,4,0)="","(بدون نام)",VLOOKUP($E1818,AcctTblE,4,0)),"کد ناشناخته")))</f>
        <v/>
      </c>
      <c r="G1818" s="15" t="n"/>
      <c r="H1818" s="21">
        <f>IF(OR($C1818&lt;&gt;"دستمزد گروهی",$D1818=""),"",SUMIFS(ShareAmt,ShareLink,$D1818))</f>
        <v/>
      </c>
      <c r="I1818" s="22">
        <f>IF($C1818&lt;&gt;"دستمزد گروهی","—",IF($H1818="","",IF(ROUND($H1818-IF($G1818="",0,$G1818),0)=0,"√","▲ مغایرت "&amp;TEXT(IF($G1818="",0,$G1818)-$H1818,"#,##0"))))</f>
        <v/>
      </c>
      <c r="J1818" s="18" t="n"/>
    </row>
    <row r="1819">
      <c r="A1819" s="10">
        <f>IF($B1819="","",COUNTA($B$9:$B1819))</f>
        <v/>
      </c>
      <c r="B1819" s="11" t="n"/>
      <c r="C1819" s="12" t="n"/>
      <c r="D1819" s="12" t="n"/>
      <c r="E1819" s="13" t="n"/>
      <c r="F1819" s="14">
        <f>IF($E1819="","",IF($C1819="دستمزد گروهی",IFERROR(VLOOKUP($E1819,WGTbl,2,0),"کد ناشناخته"),IFERROR(IF(VLOOKUP($E1819,AcctTblE,4,0)="","(بدون نام)",VLOOKUP($E1819,AcctTblE,4,0)),"کد ناشناخته")))</f>
        <v/>
      </c>
      <c r="G1819" s="15" t="n"/>
      <c r="H1819" s="16">
        <f>IF(OR($C1819&lt;&gt;"دستمزد گروهی",$D1819=""),"",SUMIFS(ShareAmt,ShareLink,$D1819))</f>
        <v/>
      </c>
      <c r="I1819" s="17">
        <f>IF($C1819&lt;&gt;"دستمزد گروهی","—",IF($H1819="","",IF(ROUND($H1819-IF($G1819="",0,$G1819),0)=0,"√","▲ مغایرت "&amp;TEXT(IF($G1819="",0,$G1819)-$H1819,"#,##0"))))</f>
        <v/>
      </c>
      <c r="J1819" s="18" t="n"/>
    </row>
    <row r="1820">
      <c r="A1820" s="19">
        <f>IF($B1820="","",COUNTA($B$9:$B1820))</f>
        <v/>
      </c>
      <c r="B1820" s="11" t="n"/>
      <c r="C1820" s="12" t="n"/>
      <c r="D1820" s="12" t="n"/>
      <c r="E1820" s="13" t="n"/>
      <c r="F1820" s="20">
        <f>IF($E1820="","",IF($C1820="دستمزد گروهی",IFERROR(VLOOKUP($E1820,WGTbl,2,0),"کد ناشناخته"),IFERROR(IF(VLOOKUP($E1820,AcctTblE,4,0)="","(بدون نام)",VLOOKUP($E1820,AcctTblE,4,0)),"کد ناشناخته")))</f>
        <v/>
      </c>
      <c r="G1820" s="15" t="n"/>
      <c r="H1820" s="21">
        <f>IF(OR($C1820&lt;&gt;"دستمزد گروهی",$D1820=""),"",SUMIFS(ShareAmt,ShareLink,$D1820))</f>
        <v/>
      </c>
      <c r="I1820" s="22">
        <f>IF($C1820&lt;&gt;"دستمزد گروهی","—",IF($H1820="","",IF(ROUND($H1820-IF($G1820="",0,$G1820),0)=0,"√","▲ مغایرت "&amp;TEXT(IF($G1820="",0,$G1820)-$H1820,"#,##0"))))</f>
        <v/>
      </c>
      <c r="J1820" s="18" t="n"/>
    </row>
    <row r="1821">
      <c r="A1821" s="10">
        <f>IF($B1821="","",COUNTA($B$9:$B1821))</f>
        <v/>
      </c>
      <c r="B1821" s="11" t="n"/>
      <c r="C1821" s="12" t="n"/>
      <c r="D1821" s="12" t="n"/>
      <c r="E1821" s="13" t="n"/>
      <c r="F1821" s="14">
        <f>IF($E1821="","",IF($C1821="دستمزد گروهی",IFERROR(VLOOKUP($E1821,WGTbl,2,0),"کد ناشناخته"),IFERROR(IF(VLOOKUP($E1821,AcctTblE,4,0)="","(بدون نام)",VLOOKUP($E1821,AcctTblE,4,0)),"کد ناشناخته")))</f>
        <v/>
      </c>
      <c r="G1821" s="15" t="n"/>
      <c r="H1821" s="16">
        <f>IF(OR($C1821&lt;&gt;"دستمزد گروهی",$D1821=""),"",SUMIFS(ShareAmt,ShareLink,$D1821))</f>
        <v/>
      </c>
      <c r="I1821" s="17">
        <f>IF($C1821&lt;&gt;"دستمزد گروهی","—",IF($H1821="","",IF(ROUND($H1821-IF($G1821="",0,$G1821),0)=0,"√","▲ مغایرت "&amp;TEXT(IF($G1821="",0,$G1821)-$H1821,"#,##0"))))</f>
        <v/>
      </c>
      <c r="J1821" s="18" t="n"/>
    </row>
    <row r="1822">
      <c r="A1822" s="19">
        <f>IF($B1822="","",COUNTA($B$9:$B1822))</f>
        <v/>
      </c>
      <c r="B1822" s="11" t="n"/>
      <c r="C1822" s="12" t="n"/>
      <c r="D1822" s="12" t="n"/>
      <c r="E1822" s="13" t="n"/>
      <c r="F1822" s="20">
        <f>IF($E1822="","",IF($C1822="دستمزد گروهی",IFERROR(VLOOKUP($E1822,WGTbl,2,0),"کد ناشناخته"),IFERROR(IF(VLOOKUP($E1822,AcctTblE,4,0)="","(بدون نام)",VLOOKUP($E1822,AcctTblE,4,0)),"کد ناشناخته")))</f>
        <v/>
      </c>
      <c r="G1822" s="15" t="n"/>
      <c r="H1822" s="21">
        <f>IF(OR($C1822&lt;&gt;"دستمزد گروهی",$D1822=""),"",SUMIFS(ShareAmt,ShareLink,$D1822))</f>
        <v/>
      </c>
      <c r="I1822" s="22">
        <f>IF($C1822&lt;&gt;"دستمزد گروهی","—",IF($H1822="","",IF(ROUND($H1822-IF($G1822="",0,$G1822),0)=0,"√","▲ مغایرت "&amp;TEXT(IF($G1822="",0,$G1822)-$H1822,"#,##0"))))</f>
        <v/>
      </c>
      <c r="J1822" s="18" t="n"/>
    </row>
    <row r="1823">
      <c r="A1823" s="10">
        <f>IF($B1823="","",COUNTA($B$9:$B1823))</f>
        <v/>
      </c>
      <c r="B1823" s="11" t="n"/>
      <c r="C1823" s="12" t="n"/>
      <c r="D1823" s="12" t="n"/>
      <c r="E1823" s="13" t="n"/>
      <c r="F1823" s="14">
        <f>IF($E1823="","",IF($C1823="دستمزد گروهی",IFERROR(VLOOKUP($E1823,WGTbl,2,0),"کد ناشناخته"),IFERROR(IF(VLOOKUP($E1823,AcctTblE,4,0)="","(بدون نام)",VLOOKUP($E1823,AcctTblE,4,0)),"کد ناشناخته")))</f>
        <v/>
      </c>
      <c r="G1823" s="15" t="n"/>
      <c r="H1823" s="16">
        <f>IF(OR($C1823&lt;&gt;"دستمزد گروهی",$D1823=""),"",SUMIFS(ShareAmt,ShareLink,$D1823))</f>
        <v/>
      </c>
      <c r="I1823" s="17">
        <f>IF($C1823&lt;&gt;"دستمزد گروهی","—",IF($H1823="","",IF(ROUND($H1823-IF($G1823="",0,$G1823),0)=0,"√","▲ مغایرت "&amp;TEXT(IF($G1823="",0,$G1823)-$H1823,"#,##0"))))</f>
        <v/>
      </c>
      <c r="J1823" s="18" t="n"/>
    </row>
    <row r="1824">
      <c r="A1824" s="19">
        <f>IF($B1824="","",COUNTA($B$9:$B1824))</f>
        <v/>
      </c>
      <c r="B1824" s="11" t="n"/>
      <c r="C1824" s="12" t="n"/>
      <c r="D1824" s="12" t="n"/>
      <c r="E1824" s="13" t="n"/>
      <c r="F1824" s="20">
        <f>IF($E1824="","",IF($C1824="دستمزد گروهی",IFERROR(VLOOKUP($E1824,WGTbl,2,0),"کد ناشناخته"),IFERROR(IF(VLOOKUP($E1824,AcctTblE,4,0)="","(بدون نام)",VLOOKUP($E1824,AcctTblE,4,0)),"کد ناشناخته")))</f>
        <v/>
      </c>
      <c r="G1824" s="15" t="n"/>
      <c r="H1824" s="21">
        <f>IF(OR($C1824&lt;&gt;"دستمزد گروهی",$D1824=""),"",SUMIFS(ShareAmt,ShareLink,$D1824))</f>
        <v/>
      </c>
      <c r="I1824" s="22">
        <f>IF($C1824&lt;&gt;"دستمزد گروهی","—",IF($H1824="","",IF(ROUND($H1824-IF($G1824="",0,$G1824),0)=0,"√","▲ مغایرت "&amp;TEXT(IF($G1824="",0,$G1824)-$H1824,"#,##0"))))</f>
        <v/>
      </c>
      <c r="J1824" s="18" t="n"/>
    </row>
    <row r="1825">
      <c r="A1825" s="10">
        <f>IF($B1825="","",COUNTA($B$9:$B1825))</f>
        <v/>
      </c>
      <c r="B1825" s="11" t="n"/>
      <c r="C1825" s="12" t="n"/>
      <c r="D1825" s="12" t="n"/>
      <c r="E1825" s="13" t="n"/>
      <c r="F1825" s="14">
        <f>IF($E1825="","",IF($C1825="دستمزد گروهی",IFERROR(VLOOKUP($E1825,WGTbl,2,0),"کد ناشناخته"),IFERROR(IF(VLOOKUP($E1825,AcctTblE,4,0)="","(بدون نام)",VLOOKUP($E1825,AcctTblE,4,0)),"کد ناشناخته")))</f>
        <v/>
      </c>
      <c r="G1825" s="15" t="n"/>
      <c r="H1825" s="16">
        <f>IF(OR($C1825&lt;&gt;"دستمزد گروهی",$D1825=""),"",SUMIFS(ShareAmt,ShareLink,$D1825))</f>
        <v/>
      </c>
      <c r="I1825" s="17">
        <f>IF($C1825&lt;&gt;"دستمزد گروهی","—",IF($H1825="","",IF(ROUND($H1825-IF($G1825="",0,$G1825),0)=0,"√","▲ مغایرت "&amp;TEXT(IF($G1825="",0,$G1825)-$H1825,"#,##0"))))</f>
        <v/>
      </c>
      <c r="J1825" s="18" t="n"/>
    </row>
    <row r="1826">
      <c r="A1826" s="19">
        <f>IF($B1826="","",COUNTA($B$9:$B1826))</f>
        <v/>
      </c>
      <c r="B1826" s="11" t="n"/>
      <c r="C1826" s="12" t="n"/>
      <c r="D1826" s="12" t="n"/>
      <c r="E1826" s="13" t="n"/>
      <c r="F1826" s="20">
        <f>IF($E1826="","",IF($C1826="دستمزد گروهی",IFERROR(VLOOKUP($E1826,WGTbl,2,0),"کد ناشناخته"),IFERROR(IF(VLOOKUP($E1826,AcctTblE,4,0)="","(بدون نام)",VLOOKUP($E1826,AcctTblE,4,0)),"کد ناشناخته")))</f>
        <v/>
      </c>
      <c r="G1826" s="15" t="n"/>
      <c r="H1826" s="21">
        <f>IF(OR($C1826&lt;&gt;"دستمزد گروهی",$D1826=""),"",SUMIFS(ShareAmt,ShareLink,$D1826))</f>
        <v/>
      </c>
      <c r="I1826" s="22">
        <f>IF($C1826&lt;&gt;"دستمزد گروهی","—",IF($H1826="","",IF(ROUND($H1826-IF($G1826="",0,$G1826),0)=0,"√","▲ مغایرت "&amp;TEXT(IF($G1826="",0,$G1826)-$H1826,"#,##0"))))</f>
        <v/>
      </c>
      <c r="J1826" s="18" t="n"/>
    </row>
    <row r="1827">
      <c r="A1827" s="10">
        <f>IF($B1827="","",COUNTA($B$9:$B1827))</f>
        <v/>
      </c>
      <c r="B1827" s="11" t="n"/>
      <c r="C1827" s="12" t="n"/>
      <c r="D1827" s="12" t="n"/>
      <c r="E1827" s="13" t="n"/>
      <c r="F1827" s="14">
        <f>IF($E1827="","",IF($C1827="دستمزد گروهی",IFERROR(VLOOKUP($E1827,WGTbl,2,0),"کد ناشناخته"),IFERROR(IF(VLOOKUP($E1827,AcctTblE,4,0)="","(بدون نام)",VLOOKUP($E1827,AcctTblE,4,0)),"کد ناشناخته")))</f>
        <v/>
      </c>
      <c r="G1827" s="15" t="n"/>
      <c r="H1827" s="16">
        <f>IF(OR($C1827&lt;&gt;"دستمزد گروهی",$D1827=""),"",SUMIFS(ShareAmt,ShareLink,$D1827))</f>
        <v/>
      </c>
      <c r="I1827" s="17">
        <f>IF($C1827&lt;&gt;"دستمزد گروهی","—",IF($H1827="","",IF(ROUND($H1827-IF($G1827="",0,$G1827),0)=0,"√","▲ مغایرت "&amp;TEXT(IF($G1827="",0,$G1827)-$H1827,"#,##0"))))</f>
        <v/>
      </c>
      <c r="J1827" s="18" t="n"/>
    </row>
    <row r="1828">
      <c r="A1828" s="19">
        <f>IF($B1828="","",COUNTA($B$9:$B1828))</f>
        <v/>
      </c>
      <c r="B1828" s="11" t="n"/>
      <c r="C1828" s="12" t="n"/>
      <c r="D1828" s="12" t="n"/>
      <c r="E1828" s="13" t="n"/>
      <c r="F1828" s="20">
        <f>IF($E1828="","",IF($C1828="دستمزد گروهی",IFERROR(VLOOKUP($E1828,WGTbl,2,0),"کد ناشناخته"),IFERROR(IF(VLOOKUP($E1828,AcctTblE,4,0)="","(بدون نام)",VLOOKUP($E1828,AcctTblE,4,0)),"کد ناشناخته")))</f>
        <v/>
      </c>
      <c r="G1828" s="15" t="n"/>
      <c r="H1828" s="21">
        <f>IF(OR($C1828&lt;&gt;"دستمزد گروهی",$D1828=""),"",SUMIFS(ShareAmt,ShareLink,$D1828))</f>
        <v/>
      </c>
      <c r="I1828" s="22">
        <f>IF($C1828&lt;&gt;"دستمزد گروهی","—",IF($H1828="","",IF(ROUND($H1828-IF($G1828="",0,$G1828),0)=0,"√","▲ مغایرت "&amp;TEXT(IF($G1828="",0,$G1828)-$H1828,"#,##0"))))</f>
        <v/>
      </c>
      <c r="J1828" s="18" t="n"/>
    </row>
    <row r="1829">
      <c r="A1829" s="10">
        <f>IF($B1829="","",COUNTA($B$9:$B1829))</f>
        <v/>
      </c>
      <c r="B1829" s="11" t="n"/>
      <c r="C1829" s="12" t="n"/>
      <c r="D1829" s="12" t="n"/>
      <c r="E1829" s="13" t="n"/>
      <c r="F1829" s="14">
        <f>IF($E1829="","",IF($C1829="دستمزد گروهی",IFERROR(VLOOKUP($E1829,WGTbl,2,0),"کد ناشناخته"),IFERROR(IF(VLOOKUP($E1829,AcctTblE,4,0)="","(بدون نام)",VLOOKUP($E1829,AcctTblE,4,0)),"کد ناشناخته")))</f>
        <v/>
      </c>
      <c r="G1829" s="15" t="n"/>
      <c r="H1829" s="16">
        <f>IF(OR($C1829&lt;&gt;"دستمزد گروهی",$D1829=""),"",SUMIFS(ShareAmt,ShareLink,$D1829))</f>
        <v/>
      </c>
      <c r="I1829" s="17">
        <f>IF($C1829&lt;&gt;"دستمزد گروهی","—",IF($H1829="","",IF(ROUND($H1829-IF($G1829="",0,$G1829),0)=0,"√","▲ مغایرت "&amp;TEXT(IF($G1829="",0,$G1829)-$H1829,"#,##0"))))</f>
        <v/>
      </c>
      <c r="J1829" s="18" t="n"/>
    </row>
    <row r="1830">
      <c r="A1830" s="19">
        <f>IF($B1830="","",COUNTA($B$9:$B1830))</f>
        <v/>
      </c>
      <c r="B1830" s="11" t="n"/>
      <c r="C1830" s="12" t="n"/>
      <c r="D1830" s="12" t="n"/>
      <c r="E1830" s="13" t="n"/>
      <c r="F1830" s="20">
        <f>IF($E1830="","",IF($C1830="دستمزد گروهی",IFERROR(VLOOKUP($E1830,WGTbl,2,0),"کد ناشناخته"),IFERROR(IF(VLOOKUP($E1830,AcctTblE,4,0)="","(بدون نام)",VLOOKUP($E1830,AcctTblE,4,0)),"کد ناشناخته")))</f>
        <v/>
      </c>
      <c r="G1830" s="15" t="n"/>
      <c r="H1830" s="21">
        <f>IF(OR($C1830&lt;&gt;"دستمزد گروهی",$D1830=""),"",SUMIFS(ShareAmt,ShareLink,$D1830))</f>
        <v/>
      </c>
      <c r="I1830" s="22">
        <f>IF($C1830&lt;&gt;"دستمزد گروهی","—",IF($H1830="","",IF(ROUND($H1830-IF($G1830="",0,$G1830),0)=0,"√","▲ مغایرت "&amp;TEXT(IF($G1830="",0,$G1830)-$H1830,"#,##0"))))</f>
        <v/>
      </c>
      <c r="J1830" s="18" t="n"/>
    </row>
    <row r="1831">
      <c r="A1831" s="10">
        <f>IF($B1831="","",COUNTA($B$9:$B1831))</f>
        <v/>
      </c>
      <c r="B1831" s="11" t="n"/>
      <c r="C1831" s="12" t="n"/>
      <c r="D1831" s="12" t="n"/>
      <c r="E1831" s="13" t="n"/>
      <c r="F1831" s="14">
        <f>IF($E1831="","",IF($C1831="دستمزد گروهی",IFERROR(VLOOKUP($E1831,WGTbl,2,0),"کد ناشناخته"),IFERROR(IF(VLOOKUP($E1831,AcctTblE,4,0)="","(بدون نام)",VLOOKUP($E1831,AcctTblE,4,0)),"کد ناشناخته")))</f>
        <v/>
      </c>
      <c r="G1831" s="15" t="n"/>
      <c r="H1831" s="16">
        <f>IF(OR($C1831&lt;&gt;"دستمزد گروهی",$D1831=""),"",SUMIFS(ShareAmt,ShareLink,$D1831))</f>
        <v/>
      </c>
      <c r="I1831" s="17">
        <f>IF($C1831&lt;&gt;"دستمزد گروهی","—",IF($H1831="","",IF(ROUND($H1831-IF($G1831="",0,$G1831),0)=0,"√","▲ مغایرت "&amp;TEXT(IF($G1831="",0,$G1831)-$H1831,"#,##0"))))</f>
        <v/>
      </c>
      <c r="J1831" s="18" t="n"/>
    </row>
    <row r="1832">
      <c r="A1832" s="19">
        <f>IF($B1832="","",COUNTA($B$9:$B1832))</f>
        <v/>
      </c>
      <c r="B1832" s="11" t="n"/>
      <c r="C1832" s="12" t="n"/>
      <c r="D1832" s="12" t="n"/>
      <c r="E1832" s="13" t="n"/>
      <c r="F1832" s="20">
        <f>IF($E1832="","",IF($C1832="دستمزد گروهی",IFERROR(VLOOKUP($E1832,WGTbl,2,0),"کد ناشناخته"),IFERROR(IF(VLOOKUP($E1832,AcctTblE,4,0)="","(بدون نام)",VLOOKUP($E1832,AcctTblE,4,0)),"کد ناشناخته")))</f>
        <v/>
      </c>
      <c r="G1832" s="15" t="n"/>
      <c r="H1832" s="21">
        <f>IF(OR($C1832&lt;&gt;"دستمزد گروهی",$D1832=""),"",SUMIFS(ShareAmt,ShareLink,$D1832))</f>
        <v/>
      </c>
      <c r="I1832" s="22">
        <f>IF($C1832&lt;&gt;"دستمزد گروهی","—",IF($H1832="","",IF(ROUND($H1832-IF($G1832="",0,$G1832),0)=0,"√","▲ مغایرت "&amp;TEXT(IF($G1832="",0,$G1832)-$H1832,"#,##0"))))</f>
        <v/>
      </c>
      <c r="J1832" s="18" t="n"/>
    </row>
    <row r="1833">
      <c r="A1833" s="10">
        <f>IF($B1833="","",COUNTA($B$9:$B1833))</f>
        <v/>
      </c>
      <c r="B1833" s="11" t="n"/>
      <c r="C1833" s="12" t="n"/>
      <c r="D1833" s="12" t="n"/>
      <c r="E1833" s="13" t="n"/>
      <c r="F1833" s="14">
        <f>IF($E1833="","",IF($C1833="دستمزد گروهی",IFERROR(VLOOKUP($E1833,WGTbl,2,0),"کد ناشناخته"),IFERROR(IF(VLOOKUP($E1833,AcctTblE,4,0)="","(بدون نام)",VLOOKUP($E1833,AcctTblE,4,0)),"کد ناشناخته")))</f>
        <v/>
      </c>
      <c r="G1833" s="15" t="n"/>
      <c r="H1833" s="16">
        <f>IF(OR($C1833&lt;&gt;"دستمزد گروهی",$D1833=""),"",SUMIFS(ShareAmt,ShareLink,$D1833))</f>
        <v/>
      </c>
      <c r="I1833" s="17">
        <f>IF($C1833&lt;&gt;"دستمزد گروهی","—",IF($H1833="","",IF(ROUND($H1833-IF($G1833="",0,$G1833),0)=0,"√","▲ مغایرت "&amp;TEXT(IF($G1833="",0,$G1833)-$H1833,"#,##0"))))</f>
        <v/>
      </c>
      <c r="J1833" s="18" t="n"/>
    </row>
    <row r="1834">
      <c r="A1834" s="19">
        <f>IF($B1834="","",COUNTA($B$9:$B1834))</f>
        <v/>
      </c>
      <c r="B1834" s="11" t="n"/>
      <c r="C1834" s="12" t="n"/>
      <c r="D1834" s="12" t="n"/>
      <c r="E1834" s="13" t="n"/>
      <c r="F1834" s="20">
        <f>IF($E1834="","",IF($C1834="دستمزد گروهی",IFERROR(VLOOKUP($E1834,WGTbl,2,0),"کد ناشناخته"),IFERROR(IF(VLOOKUP($E1834,AcctTblE,4,0)="","(بدون نام)",VLOOKUP($E1834,AcctTblE,4,0)),"کد ناشناخته")))</f>
        <v/>
      </c>
      <c r="G1834" s="15" t="n"/>
      <c r="H1834" s="21">
        <f>IF(OR($C1834&lt;&gt;"دستمزد گروهی",$D1834=""),"",SUMIFS(ShareAmt,ShareLink,$D1834))</f>
        <v/>
      </c>
      <c r="I1834" s="22">
        <f>IF($C1834&lt;&gt;"دستمزد گروهی","—",IF($H1834="","",IF(ROUND($H1834-IF($G1834="",0,$G1834),0)=0,"√","▲ مغایرت "&amp;TEXT(IF($G1834="",0,$G1834)-$H1834,"#,##0"))))</f>
        <v/>
      </c>
      <c r="J1834" s="18" t="n"/>
    </row>
    <row r="1835">
      <c r="A1835" s="10">
        <f>IF($B1835="","",COUNTA($B$9:$B1835))</f>
        <v/>
      </c>
      <c r="B1835" s="11" t="n"/>
      <c r="C1835" s="12" t="n"/>
      <c r="D1835" s="12" t="n"/>
      <c r="E1835" s="13" t="n"/>
      <c r="F1835" s="14">
        <f>IF($E1835="","",IF($C1835="دستمزد گروهی",IFERROR(VLOOKUP($E1835,WGTbl,2,0),"کد ناشناخته"),IFERROR(IF(VLOOKUP($E1835,AcctTblE,4,0)="","(بدون نام)",VLOOKUP($E1835,AcctTblE,4,0)),"کد ناشناخته")))</f>
        <v/>
      </c>
      <c r="G1835" s="15" t="n"/>
      <c r="H1835" s="16">
        <f>IF(OR($C1835&lt;&gt;"دستمزد گروهی",$D1835=""),"",SUMIFS(ShareAmt,ShareLink,$D1835))</f>
        <v/>
      </c>
      <c r="I1835" s="17">
        <f>IF($C1835&lt;&gt;"دستمزد گروهی","—",IF($H1835="","",IF(ROUND($H1835-IF($G1835="",0,$G1835),0)=0,"√","▲ مغایرت "&amp;TEXT(IF($G1835="",0,$G1835)-$H1835,"#,##0"))))</f>
        <v/>
      </c>
      <c r="J1835" s="18" t="n"/>
    </row>
    <row r="1836">
      <c r="A1836" s="19">
        <f>IF($B1836="","",COUNTA($B$9:$B1836))</f>
        <v/>
      </c>
      <c r="B1836" s="11" t="n"/>
      <c r="C1836" s="12" t="n"/>
      <c r="D1836" s="12" t="n"/>
      <c r="E1836" s="13" t="n"/>
      <c r="F1836" s="20">
        <f>IF($E1836="","",IF($C1836="دستمزد گروهی",IFERROR(VLOOKUP($E1836,WGTbl,2,0),"کد ناشناخته"),IFERROR(IF(VLOOKUP($E1836,AcctTblE,4,0)="","(بدون نام)",VLOOKUP($E1836,AcctTblE,4,0)),"کد ناشناخته")))</f>
        <v/>
      </c>
      <c r="G1836" s="15" t="n"/>
      <c r="H1836" s="21">
        <f>IF(OR($C1836&lt;&gt;"دستمزد گروهی",$D1836=""),"",SUMIFS(ShareAmt,ShareLink,$D1836))</f>
        <v/>
      </c>
      <c r="I1836" s="22">
        <f>IF($C1836&lt;&gt;"دستمزد گروهی","—",IF($H1836="","",IF(ROUND($H1836-IF($G1836="",0,$G1836),0)=0,"√","▲ مغایرت "&amp;TEXT(IF($G1836="",0,$G1836)-$H1836,"#,##0"))))</f>
        <v/>
      </c>
      <c r="J1836" s="18" t="n"/>
    </row>
    <row r="1837">
      <c r="A1837" s="10">
        <f>IF($B1837="","",COUNTA($B$9:$B1837))</f>
        <v/>
      </c>
      <c r="B1837" s="11" t="n"/>
      <c r="C1837" s="12" t="n"/>
      <c r="D1837" s="12" t="n"/>
      <c r="E1837" s="13" t="n"/>
      <c r="F1837" s="14">
        <f>IF($E1837="","",IF($C1837="دستمزد گروهی",IFERROR(VLOOKUP($E1837,WGTbl,2,0),"کد ناشناخته"),IFERROR(IF(VLOOKUP($E1837,AcctTblE,4,0)="","(بدون نام)",VLOOKUP($E1837,AcctTblE,4,0)),"کد ناشناخته")))</f>
        <v/>
      </c>
      <c r="G1837" s="15" t="n"/>
      <c r="H1837" s="16">
        <f>IF(OR($C1837&lt;&gt;"دستمزد گروهی",$D1837=""),"",SUMIFS(ShareAmt,ShareLink,$D1837))</f>
        <v/>
      </c>
      <c r="I1837" s="17">
        <f>IF($C1837&lt;&gt;"دستمزد گروهی","—",IF($H1837="","",IF(ROUND($H1837-IF($G1837="",0,$G1837),0)=0,"√","▲ مغایرت "&amp;TEXT(IF($G1837="",0,$G1837)-$H1837,"#,##0"))))</f>
        <v/>
      </c>
      <c r="J1837" s="18" t="n"/>
    </row>
    <row r="1838">
      <c r="A1838" s="19">
        <f>IF($B1838="","",COUNTA($B$9:$B1838))</f>
        <v/>
      </c>
      <c r="B1838" s="11" t="n"/>
      <c r="C1838" s="12" t="n"/>
      <c r="D1838" s="12" t="n"/>
      <c r="E1838" s="13" t="n"/>
      <c r="F1838" s="20">
        <f>IF($E1838="","",IF($C1838="دستمزد گروهی",IFERROR(VLOOKUP($E1838,WGTbl,2,0),"کد ناشناخته"),IFERROR(IF(VLOOKUP($E1838,AcctTblE,4,0)="","(بدون نام)",VLOOKUP($E1838,AcctTblE,4,0)),"کد ناشناخته")))</f>
        <v/>
      </c>
      <c r="G1838" s="15" t="n"/>
      <c r="H1838" s="21">
        <f>IF(OR($C1838&lt;&gt;"دستمزد گروهی",$D1838=""),"",SUMIFS(ShareAmt,ShareLink,$D1838))</f>
        <v/>
      </c>
      <c r="I1838" s="22">
        <f>IF($C1838&lt;&gt;"دستمزد گروهی","—",IF($H1838="","",IF(ROUND($H1838-IF($G1838="",0,$G1838),0)=0,"√","▲ مغایرت "&amp;TEXT(IF($G1838="",0,$G1838)-$H1838,"#,##0"))))</f>
        <v/>
      </c>
      <c r="J1838" s="18" t="n"/>
    </row>
    <row r="1839">
      <c r="A1839" s="10">
        <f>IF($B1839="","",COUNTA($B$9:$B1839))</f>
        <v/>
      </c>
      <c r="B1839" s="11" t="n"/>
      <c r="C1839" s="12" t="n"/>
      <c r="D1839" s="12" t="n"/>
      <c r="E1839" s="13" t="n"/>
      <c r="F1839" s="14">
        <f>IF($E1839="","",IF($C1839="دستمزد گروهی",IFERROR(VLOOKUP($E1839,WGTbl,2,0),"کد ناشناخته"),IFERROR(IF(VLOOKUP($E1839,AcctTblE,4,0)="","(بدون نام)",VLOOKUP($E1839,AcctTblE,4,0)),"کد ناشناخته")))</f>
        <v/>
      </c>
      <c r="G1839" s="15" t="n"/>
      <c r="H1839" s="16">
        <f>IF(OR($C1839&lt;&gt;"دستمزد گروهی",$D1839=""),"",SUMIFS(ShareAmt,ShareLink,$D1839))</f>
        <v/>
      </c>
      <c r="I1839" s="17">
        <f>IF($C1839&lt;&gt;"دستمزد گروهی","—",IF($H1839="","",IF(ROUND($H1839-IF($G1839="",0,$G1839),0)=0,"√","▲ مغایرت "&amp;TEXT(IF($G1839="",0,$G1839)-$H1839,"#,##0"))))</f>
        <v/>
      </c>
      <c r="J1839" s="18" t="n"/>
    </row>
    <row r="1840">
      <c r="A1840" s="19">
        <f>IF($B1840="","",COUNTA($B$9:$B1840))</f>
        <v/>
      </c>
      <c r="B1840" s="11" t="n"/>
      <c r="C1840" s="12" t="n"/>
      <c r="D1840" s="12" t="n"/>
      <c r="E1840" s="13" t="n"/>
      <c r="F1840" s="20">
        <f>IF($E1840="","",IF($C1840="دستمزد گروهی",IFERROR(VLOOKUP($E1840,WGTbl,2,0),"کد ناشناخته"),IFERROR(IF(VLOOKUP($E1840,AcctTblE,4,0)="","(بدون نام)",VLOOKUP($E1840,AcctTblE,4,0)),"کد ناشناخته")))</f>
        <v/>
      </c>
      <c r="G1840" s="15" t="n"/>
      <c r="H1840" s="21">
        <f>IF(OR($C1840&lt;&gt;"دستمزد گروهی",$D1840=""),"",SUMIFS(ShareAmt,ShareLink,$D1840))</f>
        <v/>
      </c>
      <c r="I1840" s="22">
        <f>IF($C1840&lt;&gt;"دستمزد گروهی","—",IF($H1840="","",IF(ROUND($H1840-IF($G1840="",0,$G1840),0)=0,"√","▲ مغایرت "&amp;TEXT(IF($G1840="",0,$G1840)-$H1840,"#,##0"))))</f>
        <v/>
      </c>
      <c r="J1840" s="18" t="n"/>
    </row>
    <row r="1841">
      <c r="A1841" s="10">
        <f>IF($B1841="","",COUNTA($B$9:$B1841))</f>
        <v/>
      </c>
      <c r="B1841" s="11" t="n"/>
      <c r="C1841" s="12" t="n"/>
      <c r="D1841" s="12" t="n"/>
      <c r="E1841" s="13" t="n"/>
      <c r="F1841" s="14">
        <f>IF($E1841="","",IF($C1841="دستمزد گروهی",IFERROR(VLOOKUP($E1841,WGTbl,2,0),"کد ناشناخته"),IFERROR(IF(VLOOKUP($E1841,AcctTblE,4,0)="","(بدون نام)",VLOOKUP($E1841,AcctTblE,4,0)),"کد ناشناخته")))</f>
        <v/>
      </c>
      <c r="G1841" s="15" t="n"/>
      <c r="H1841" s="16">
        <f>IF(OR($C1841&lt;&gt;"دستمزد گروهی",$D1841=""),"",SUMIFS(ShareAmt,ShareLink,$D1841))</f>
        <v/>
      </c>
      <c r="I1841" s="17">
        <f>IF($C1841&lt;&gt;"دستمزد گروهی","—",IF($H1841="","",IF(ROUND($H1841-IF($G1841="",0,$G1841),0)=0,"√","▲ مغایرت "&amp;TEXT(IF($G1841="",0,$G1841)-$H1841,"#,##0"))))</f>
        <v/>
      </c>
      <c r="J1841" s="18" t="n"/>
    </row>
    <row r="1842">
      <c r="A1842" s="19">
        <f>IF($B1842="","",COUNTA($B$9:$B1842))</f>
        <v/>
      </c>
      <c r="B1842" s="11" t="n"/>
      <c r="C1842" s="12" t="n"/>
      <c r="D1842" s="12" t="n"/>
      <c r="E1842" s="13" t="n"/>
      <c r="F1842" s="20">
        <f>IF($E1842="","",IF($C1842="دستمزد گروهی",IFERROR(VLOOKUP($E1842,WGTbl,2,0),"کد ناشناخته"),IFERROR(IF(VLOOKUP($E1842,AcctTblE,4,0)="","(بدون نام)",VLOOKUP($E1842,AcctTblE,4,0)),"کد ناشناخته")))</f>
        <v/>
      </c>
      <c r="G1842" s="15" t="n"/>
      <c r="H1842" s="21">
        <f>IF(OR($C1842&lt;&gt;"دستمزد گروهی",$D1842=""),"",SUMIFS(ShareAmt,ShareLink,$D1842))</f>
        <v/>
      </c>
      <c r="I1842" s="22">
        <f>IF($C1842&lt;&gt;"دستمزد گروهی","—",IF($H1842="","",IF(ROUND($H1842-IF($G1842="",0,$G1842),0)=0,"√","▲ مغایرت "&amp;TEXT(IF($G1842="",0,$G1842)-$H1842,"#,##0"))))</f>
        <v/>
      </c>
      <c r="J1842" s="18" t="n"/>
    </row>
    <row r="1843">
      <c r="A1843" s="10">
        <f>IF($B1843="","",COUNTA($B$9:$B1843))</f>
        <v/>
      </c>
      <c r="B1843" s="11" t="n"/>
      <c r="C1843" s="12" t="n"/>
      <c r="D1843" s="12" t="n"/>
      <c r="E1843" s="13" t="n"/>
      <c r="F1843" s="14">
        <f>IF($E1843="","",IF($C1843="دستمزد گروهی",IFERROR(VLOOKUP($E1843,WGTbl,2,0),"کد ناشناخته"),IFERROR(IF(VLOOKUP($E1843,AcctTblE,4,0)="","(بدون نام)",VLOOKUP($E1843,AcctTblE,4,0)),"کد ناشناخته")))</f>
        <v/>
      </c>
      <c r="G1843" s="15" t="n"/>
      <c r="H1843" s="16">
        <f>IF(OR($C1843&lt;&gt;"دستمزد گروهی",$D1843=""),"",SUMIFS(ShareAmt,ShareLink,$D1843))</f>
        <v/>
      </c>
      <c r="I1843" s="17">
        <f>IF($C1843&lt;&gt;"دستمزد گروهی","—",IF($H1843="","",IF(ROUND($H1843-IF($G1843="",0,$G1843),0)=0,"√","▲ مغایرت "&amp;TEXT(IF($G1843="",0,$G1843)-$H1843,"#,##0"))))</f>
        <v/>
      </c>
      <c r="J1843" s="18" t="n"/>
    </row>
    <row r="1844">
      <c r="A1844" s="19">
        <f>IF($B1844="","",COUNTA($B$9:$B1844))</f>
        <v/>
      </c>
      <c r="B1844" s="11" t="n"/>
      <c r="C1844" s="12" t="n"/>
      <c r="D1844" s="12" t="n"/>
      <c r="E1844" s="13" t="n"/>
      <c r="F1844" s="20">
        <f>IF($E1844="","",IF($C1844="دستمزد گروهی",IFERROR(VLOOKUP($E1844,WGTbl,2,0),"کد ناشناخته"),IFERROR(IF(VLOOKUP($E1844,AcctTblE,4,0)="","(بدون نام)",VLOOKUP($E1844,AcctTblE,4,0)),"کد ناشناخته")))</f>
        <v/>
      </c>
      <c r="G1844" s="15" t="n"/>
      <c r="H1844" s="21">
        <f>IF(OR($C1844&lt;&gt;"دستمزد گروهی",$D1844=""),"",SUMIFS(ShareAmt,ShareLink,$D1844))</f>
        <v/>
      </c>
      <c r="I1844" s="22">
        <f>IF($C1844&lt;&gt;"دستمزد گروهی","—",IF($H1844="","",IF(ROUND($H1844-IF($G1844="",0,$G1844),0)=0,"√","▲ مغایرت "&amp;TEXT(IF($G1844="",0,$G1844)-$H1844,"#,##0"))))</f>
        <v/>
      </c>
      <c r="J1844" s="18" t="n"/>
    </row>
    <row r="1845">
      <c r="A1845" s="10">
        <f>IF($B1845="","",COUNTA($B$9:$B1845))</f>
        <v/>
      </c>
      <c r="B1845" s="11" t="n"/>
      <c r="C1845" s="12" t="n"/>
      <c r="D1845" s="12" t="n"/>
      <c r="E1845" s="13" t="n"/>
      <c r="F1845" s="14">
        <f>IF($E1845="","",IF($C1845="دستمزد گروهی",IFERROR(VLOOKUP($E1845,WGTbl,2,0),"کد ناشناخته"),IFERROR(IF(VLOOKUP($E1845,AcctTblE,4,0)="","(بدون نام)",VLOOKUP($E1845,AcctTblE,4,0)),"کد ناشناخته")))</f>
        <v/>
      </c>
      <c r="G1845" s="15" t="n"/>
      <c r="H1845" s="16">
        <f>IF(OR($C1845&lt;&gt;"دستمزد گروهی",$D1845=""),"",SUMIFS(ShareAmt,ShareLink,$D1845))</f>
        <v/>
      </c>
      <c r="I1845" s="17">
        <f>IF($C1845&lt;&gt;"دستمزد گروهی","—",IF($H1845="","",IF(ROUND($H1845-IF($G1845="",0,$G1845),0)=0,"√","▲ مغایرت "&amp;TEXT(IF($G1845="",0,$G1845)-$H1845,"#,##0"))))</f>
        <v/>
      </c>
      <c r="J1845" s="18" t="n"/>
    </row>
    <row r="1846">
      <c r="A1846" s="19">
        <f>IF($B1846="","",COUNTA($B$9:$B1846))</f>
        <v/>
      </c>
      <c r="B1846" s="11" t="n"/>
      <c r="C1846" s="12" t="n"/>
      <c r="D1846" s="12" t="n"/>
      <c r="E1846" s="13" t="n"/>
      <c r="F1846" s="20">
        <f>IF($E1846="","",IF($C1846="دستمزد گروهی",IFERROR(VLOOKUP($E1846,WGTbl,2,0),"کد ناشناخته"),IFERROR(IF(VLOOKUP($E1846,AcctTblE,4,0)="","(بدون نام)",VLOOKUP($E1846,AcctTblE,4,0)),"کد ناشناخته")))</f>
        <v/>
      </c>
      <c r="G1846" s="15" t="n"/>
      <c r="H1846" s="21">
        <f>IF(OR($C1846&lt;&gt;"دستمزد گروهی",$D1846=""),"",SUMIFS(ShareAmt,ShareLink,$D1846))</f>
        <v/>
      </c>
      <c r="I1846" s="22">
        <f>IF($C1846&lt;&gt;"دستمزد گروهی","—",IF($H1846="","",IF(ROUND($H1846-IF($G1846="",0,$G1846),0)=0,"√","▲ مغایرت "&amp;TEXT(IF($G1846="",0,$G1846)-$H1846,"#,##0"))))</f>
        <v/>
      </c>
      <c r="J1846" s="18" t="n"/>
    </row>
    <row r="1847">
      <c r="A1847" s="10">
        <f>IF($B1847="","",COUNTA($B$9:$B1847))</f>
        <v/>
      </c>
      <c r="B1847" s="11" t="n"/>
      <c r="C1847" s="12" t="n"/>
      <c r="D1847" s="12" t="n"/>
      <c r="E1847" s="13" t="n"/>
      <c r="F1847" s="14">
        <f>IF($E1847="","",IF($C1847="دستمزد گروهی",IFERROR(VLOOKUP($E1847,WGTbl,2,0),"کد ناشناخته"),IFERROR(IF(VLOOKUP($E1847,AcctTblE,4,0)="","(بدون نام)",VLOOKUP($E1847,AcctTblE,4,0)),"کد ناشناخته")))</f>
        <v/>
      </c>
      <c r="G1847" s="15" t="n"/>
      <c r="H1847" s="16">
        <f>IF(OR($C1847&lt;&gt;"دستمزد گروهی",$D1847=""),"",SUMIFS(ShareAmt,ShareLink,$D1847))</f>
        <v/>
      </c>
      <c r="I1847" s="17">
        <f>IF($C1847&lt;&gt;"دستمزد گروهی","—",IF($H1847="","",IF(ROUND($H1847-IF($G1847="",0,$G1847),0)=0,"√","▲ مغایرت "&amp;TEXT(IF($G1847="",0,$G1847)-$H1847,"#,##0"))))</f>
        <v/>
      </c>
      <c r="J1847" s="18" t="n"/>
    </row>
    <row r="1848">
      <c r="A1848" s="19">
        <f>IF($B1848="","",COUNTA($B$9:$B1848))</f>
        <v/>
      </c>
      <c r="B1848" s="11" t="n"/>
      <c r="C1848" s="12" t="n"/>
      <c r="D1848" s="12" t="n"/>
      <c r="E1848" s="13" t="n"/>
      <c r="F1848" s="20">
        <f>IF($E1848="","",IF($C1848="دستمزد گروهی",IFERROR(VLOOKUP($E1848,WGTbl,2,0),"کد ناشناخته"),IFERROR(IF(VLOOKUP($E1848,AcctTblE,4,0)="","(بدون نام)",VLOOKUP($E1848,AcctTblE,4,0)),"کد ناشناخته")))</f>
        <v/>
      </c>
      <c r="G1848" s="15" t="n"/>
      <c r="H1848" s="21">
        <f>IF(OR($C1848&lt;&gt;"دستمزد گروهی",$D1848=""),"",SUMIFS(ShareAmt,ShareLink,$D1848))</f>
        <v/>
      </c>
      <c r="I1848" s="22">
        <f>IF($C1848&lt;&gt;"دستمزد گروهی","—",IF($H1848="","",IF(ROUND($H1848-IF($G1848="",0,$G1848),0)=0,"√","▲ مغایرت "&amp;TEXT(IF($G1848="",0,$G1848)-$H1848,"#,##0"))))</f>
        <v/>
      </c>
      <c r="J1848" s="18" t="n"/>
    </row>
    <row r="1849">
      <c r="A1849" s="10">
        <f>IF($B1849="","",COUNTA($B$9:$B1849))</f>
        <v/>
      </c>
      <c r="B1849" s="11" t="n"/>
      <c r="C1849" s="12" t="n"/>
      <c r="D1849" s="12" t="n"/>
      <c r="E1849" s="13" t="n"/>
      <c r="F1849" s="14">
        <f>IF($E1849="","",IF($C1849="دستمزد گروهی",IFERROR(VLOOKUP($E1849,WGTbl,2,0),"کد ناشناخته"),IFERROR(IF(VLOOKUP($E1849,AcctTblE,4,0)="","(بدون نام)",VLOOKUP($E1849,AcctTblE,4,0)),"کد ناشناخته")))</f>
        <v/>
      </c>
      <c r="G1849" s="15" t="n"/>
      <c r="H1849" s="16">
        <f>IF(OR($C1849&lt;&gt;"دستمزد گروهی",$D1849=""),"",SUMIFS(ShareAmt,ShareLink,$D1849))</f>
        <v/>
      </c>
      <c r="I1849" s="17">
        <f>IF($C1849&lt;&gt;"دستمزد گروهی","—",IF($H1849="","",IF(ROUND($H1849-IF($G1849="",0,$G1849),0)=0,"√","▲ مغایرت "&amp;TEXT(IF($G1849="",0,$G1849)-$H1849,"#,##0"))))</f>
        <v/>
      </c>
      <c r="J1849" s="18" t="n"/>
    </row>
    <row r="1850">
      <c r="A1850" s="19">
        <f>IF($B1850="","",COUNTA($B$9:$B1850))</f>
        <v/>
      </c>
      <c r="B1850" s="11" t="n"/>
      <c r="C1850" s="12" t="n"/>
      <c r="D1850" s="12" t="n"/>
      <c r="E1850" s="13" t="n"/>
      <c r="F1850" s="20">
        <f>IF($E1850="","",IF($C1850="دستمزد گروهی",IFERROR(VLOOKUP($E1850,WGTbl,2,0),"کد ناشناخته"),IFERROR(IF(VLOOKUP($E1850,AcctTblE,4,0)="","(بدون نام)",VLOOKUP($E1850,AcctTblE,4,0)),"کد ناشناخته")))</f>
        <v/>
      </c>
      <c r="G1850" s="15" t="n"/>
      <c r="H1850" s="21">
        <f>IF(OR($C1850&lt;&gt;"دستمزد گروهی",$D1850=""),"",SUMIFS(ShareAmt,ShareLink,$D1850))</f>
        <v/>
      </c>
      <c r="I1850" s="22">
        <f>IF($C1850&lt;&gt;"دستمزد گروهی","—",IF($H1850="","",IF(ROUND($H1850-IF($G1850="",0,$G1850),0)=0,"√","▲ مغایرت "&amp;TEXT(IF($G1850="",0,$G1850)-$H1850,"#,##0"))))</f>
        <v/>
      </c>
      <c r="J1850" s="18" t="n"/>
    </row>
    <row r="1851">
      <c r="A1851" s="10">
        <f>IF($B1851="","",COUNTA($B$9:$B1851))</f>
        <v/>
      </c>
      <c r="B1851" s="11" t="n"/>
      <c r="C1851" s="12" t="n"/>
      <c r="D1851" s="12" t="n"/>
      <c r="E1851" s="13" t="n"/>
      <c r="F1851" s="14">
        <f>IF($E1851="","",IF($C1851="دستمزد گروهی",IFERROR(VLOOKUP($E1851,WGTbl,2,0),"کد ناشناخته"),IFERROR(IF(VLOOKUP($E1851,AcctTblE,4,0)="","(بدون نام)",VLOOKUP($E1851,AcctTblE,4,0)),"کد ناشناخته")))</f>
        <v/>
      </c>
      <c r="G1851" s="15" t="n"/>
      <c r="H1851" s="16">
        <f>IF(OR($C1851&lt;&gt;"دستمزد گروهی",$D1851=""),"",SUMIFS(ShareAmt,ShareLink,$D1851))</f>
        <v/>
      </c>
      <c r="I1851" s="17">
        <f>IF($C1851&lt;&gt;"دستمزد گروهی","—",IF($H1851="","",IF(ROUND($H1851-IF($G1851="",0,$G1851),0)=0,"√","▲ مغایرت "&amp;TEXT(IF($G1851="",0,$G1851)-$H1851,"#,##0"))))</f>
        <v/>
      </c>
      <c r="J1851" s="18" t="n"/>
    </row>
    <row r="1852">
      <c r="A1852" s="19">
        <f>IF($B1852="","",COUNTA($B$9:$B1852))</f>
        <v/>
      </c>
      <c r="B1852" s="11" t="n"/>
      <c r="C1852" s="12" t="n"/>
      <c r="D1852" s="12" t="n"/>
      <c r="E1852" s="13" t="n"/>
      <c r="F1852" s="20">
        <f>IF($E1852="","",IF($C1852="دستمزد گروهی",IFERROR(VLOOKUP($E1852,WGTbl,2,0),"کد ناشناخته"),IFERROR(IF(VLOOKUP($E1852,AcctTblE,4,0)="","(بدون نام)",VLOOKUP($E1852,AcctTblE,4,0)),"کد ناشناخته")))</f>
        <v/>
      </c>
      <c r="G1852" s="15" t="n"/>
      <c r="H1852" s="21">
        <f>IF(OR($C1852&lt;&gt;"دستمزد گروهی",$D1852=""),"",SUMIFS(ShareAmt,ShareLink,$D1852))</f>
        <v/>
      </c>
      <c r="I1852" s="22">
        <f>IF($C1852&lt;&gt;"دستمزد گروهی","—",IF($H1852="","",IF(ROUND($H1852-IF($G1852="",0,$G1852),0)=0,"√","▲ مغایرت "&amp;TEXT(IF($G1852="",0,$G1852)-$H1852,"#,##0"))))</f>
        <v/>
      </c>
      <c r="J1852" s="18" t="n"/>
    </row>
    <row r="1853">
      <c r="A1853" s="10">
        <f>IF($B1853="","",COUNTA($B$9:$B1853))</f>
        <v/>
      </c>
      <c r="B1853" s="11" t="n"/>
      <c r="C1853" s="12" t="n"/>
      <c r="D1853" s="12" t="n"/>
      <c r="E1853" s="13" t="n"/>
      <c r="F1853" s="14">
        <f>IF($E1853="","",IF($C1853="دستمزد گروهی",IFERROR(VLOOKUP($E1853,WGTbl,2,0),"کد ناشناخته"),IFERROR(IF(VLOOKUP($E1853,AcctTblE,4,0)="","(بدون نام)",VLOOKUP($E1853,AcctTblE,4,0)),"کد ناشناخته")))</f>
        <v/>
      </c>
      <c r="G1853" s="15" t="n"/>
      <c r="H1853" s="16">
        <f>IF(OR($C1853&lt;&gt;"دستمزد گروهی",$D1853=""),"",SUMIFS(ShareAmt,ShareLink,$D1853))</f>
        <v/>
      </c>
      <c r="I1853" s="17">
        <f>IF($C1853&lt;&gt;"دستمزد گروهی","—",IF($H1853="","",IF(ROUND($H1853-IF($G1853="",0,$G1853),0)=0,"√","▲ مغایرت "&amp;TEXT(IF($G1853="",0,$G1853)-$H1853,"#,##0"))))</f>
        <v/>
      </c>
      <c r="J1853" s="18" t="n"/>
    </row>
    <row r="1854">
      <c r="A1854" s="19">
        <f>IF($B1854="","",COUNTA($B$9:$B1854))</f>
        <v/>
      </c>
      <c r="B1854" s="11" t="n"/>
      <c r="C1854" s="12" t="n"/>
      <c r="D1854" s="12" t="n"/>
      <c r="E1854" s="13" t="n"/>
      <c r="F1854" s="20">
        <f>IF($E1854="","",IF($C1854="دستمزد گروهی",IFERROR(VLOOKUP($E1854,WGTbl,2,0),"کد ناشناخته"),IFERROR(IF(VLOOKUP($E1854,AcctTblE,4,0)="","(بدون نام)",VLOOKUP($E1854,AcctTblE,4,0)),"کد ناشناخته")))</f>
        <v/>
      </c>
      <c r="G1854" s="15" t="n"/>
      <c r="H1854" s="21">
        <f>IF(OR($C1854&lt;&gt;"دستمزد گروهی",$D1854=""),"",SUMIFS(ShareAmt,ShareLink,$D1854))</f>
        <v/>
      </c>
      <c r="I1854" s="22">
        <f>IF($C1854&lt;&gt;"دستمزد گروهی","—",IF($H1854="","",IF(ROUND($H1854-IF($G1854="",0,$G1854),0)=0,"√","▲ مغایرت "&amp;TEXT(IF($G1854="",0,$G1854)-$H1854,"#,##0"))))</f>
        <v/>
      </c>
      <c r="J1854" s="18" t="n"/>
    </row>
    <row r="1855">
      <c r="A1855" s="10">
        <f>IF($B1855="","",COUNTA($B$9:$B1855))</f>
        <v/>
      </c>
      <c r="B1855" s="11" t="n"/>
      <c r="C1855" s="12" t="n"/>
      <c r="D1855" s="12" t="n"/>
      <c r="E1855" s="13" t="n"/>
      <c r="F1855" s="14">
        <f>IF($E1855="","",IF($C1855="دستمزد گروهی",IFERROR(VLOOKUP($E1855,WGTbl,2,0),"کد ناشناخته"),IFERROR(IF(VLOOKUP($E1855,AcctTblE,4,0)="","(بدون نام)",VLOOKUP($E1855,AcctTblE,4,0)),"کد ناشناخته")))</f>
        <v/>
      </c>
      <c r="G1855" s="15" t="n"/>
      <c r="H1855" s="16">
        <f>IF(OR($C1855&lt;&gt;"دستمزد گروهی",$D1855=""),"",SUMIFS(ShareAmt,ShareLink,$D1855))</f>
        <v/>
      </c>
      <c r="I1855" s="17">
        <f>IF($C1855&lt;&gt;"دستمزد گروهی","—",IF($H1855="","",IF(ROUND($H1855-IF($G1855="",0,$G1855),0)=0,"√","▲ مغایرت "&amp;TEXT(IF($G1855="",0,$G1855)-$H1855,"#,##0"))))</f>
        <v/>
      </c>
      <c r="J1855" s="18" t="n"/>
    </row>
    <row r="1856">
      <c r="A1856" s="19">
        <f>IF($B1856="","",COUNTA($B$9:$B1856))</f>
        <v/>
      </c>
      <c r="B1856" s="11" t="n"/>
      <c r="C1856" s="12" t="n"/>
      <c r="D1856" s="12" t="n"/>
      <c r="E1856" s="13" t="n"/>
      <c r="F1856" s="20">
        <f>IF($E1856="","",IF($C1856="دستمزد گروهی",IFERROR(VLOOKUP($E1856,WGTbl,2,0),"کد ناشناخته"),IFERROR(IF(VLOOKUP($E1856,AcctTblE,4,0)="","(بدون نام)",VLOOKUP($E1856,AcctTblE,4,0)),"کد ناشناخته")))</f>
        <v/>
      </c>
      <c r="G1856" s="15" t="n"/>
      <c r="H1856" s="21">
        <f>IF(OR($C1856&lt;&gt;"دستمزد گروهی",$D1856=""),"",SUMIFS(ShareAmt,ShareLink,$D1856))</f>
        <v/>
      </c>
      <c r="I1856" s="22">
        <f>IF($C1856&lt;&gt;"دستمزد گروهی","—",IF($H1856="","",IF(ROUND($H1856-IF($G1856="",0,$G1856),0)=0,"√","▲ مغایرت "&amp;TEXT(IF($G1856="",0,$G1856)-$H1856,"#,##0"))))</f>
        <v/>
      </c>
      <c r="J1856" s="18" t="n"/>
    </row>
    <row r="1857">
      <c r="A1857" s="10">
        <f>IF($B1857="","",COUNTA($B$9:$B1857))</f>
        <v/>
      </c>
      <c r="B1857" s="11" t="n"/>
      <c r="C1857" s="12" t="n"/>
      <c r="D1857" s="12" t="n"/>
      <c r="E1857" s="13" t="n"/>
      <c r="F1857" s="14">
        <f>IF($E1857="","",IF($C1857="دستمزد گروهی",IFERROR(VLOOKUP($E1857,WGTbl,2,0),"کد ناشناخته"),IFERROR(IF(VLOOKUP($E1857,AcctTblE,4,0)="","(بدون نام)",VLOOKUP($E1857,AcctTblE,4,0)),"کد ناشناخته")))</f>
        <v/>
      </c>
      <c r="G1857" s="15" t="n"/>
      <c r="H1857" s="16">
        <f>IF(OR($C1857&lt;&gt;"دستمزد گروهی",$D1857=""),"",SUMIFS(ShareAmt,ShareLink,$D1857))</f>
        <v/>
      </c>
      <c r="I1857" s="17">
        <f>IF($C1857&lt;&gt;"دستمزد گروهی","—",IF($H1857="","",IF(ROUND($H1857-IF($G1857="",0,$G1857),0)=0,"√","▲ مغایرت "&amp;TEXT(IF($G1857="",0,$G1857)-$H1857,"#,##0"))))</f>
        <v/>
      </c>
      <c r="J1857" s="18" t="n"/>
    </row>
    <row r="1858">
      <c r="A1858" s="19">
        <f>IF($B1858="","",COUNTA($B$9:$B1858))</f>
        <v/>
      </c>
      <c r="B1858" s="11" t="n"/>
      <c r="C1858" s="12" t="n"/>
      <c r="D1858" s="12" t="n"/>
      <c r="E1858" s="13" t="n"/>
      <c r="F1858" s="20">
        <f>IF($E1858="","",IF($C1858="دستمزد گروهی",IFERROR(VLOOKUP($E1858,WGTbl,2,0),"کد ناشناخته"),IFERROR(IF(VLOOKUP($E1858,AcctTblE,4,0)="","(بدون نام)",VLOOKUP($E1858,AcctTblE,4,0)),"کد ناشناخته")))</f>
        <v/>
      </c>
      <c r="G1858" s="15" t="n"/>
      <c r="H1858" s="21">
        <f>IF(OR($C1858&lt;&gt;"دستمزد گروهی",$D1858=""),"",SUMIFS(ShareAmt,ShareLink,$D1858))</f>
        <v/>
      </c>
      <c r="I1858" s="22">
        <f>IF($C1858&lt;&gt;"دستمزد گروهی","—",IF($H1858="","",IF(ROUND($H1858-IF($G1858="",0,$G1858),0)=0,"√","▲ مغایرت "&amp;TEXT(IF($G1858="",0,$G1858)-$H1858,"#,##0"))))</f>
        <v/>
      </c>
      <c r="J1858" s="18" t="n"/>
    </row>
    <row r="1859">
      <c r="A1859" s="10">
        <f>IF($B1859="","",COUNTA($B$9:$B1859))</f>
        <v/>
      </c>
      <c r="B1859" s="11" t="n"/>
      <c r="C1859" s="12" t="n"/>
      <c r="D1859" s="12" t="n"/>
      <c r="E1859" s="13" t="n"/>
      <c r="F1859" s="14">
        <f>IF($E1859="","",IF($C1859="دستمزد گروهی",IFERROR(VLOOKUP($E1859,WGTbl,2,0),"کد ناشناخته"),IFERROR(IF(VLOOKUP($E1859,AcctTblE,4,0)="","(بدون نام)",VLOOKUP($E1859,AcctTblE,4,0)),"کد ناشناخته")))</f>
        <v/>
      </c>
      <c r="G1859" s="15" t="n"/>
      <c r="H1859" s="16">
        <f>IF(OR($C1859&lt;&gt;"دستمزد گروهی",$D1859=""),"",SUMIFS(ShareAmt,ShareLink,$D1859))</f>
        <v/>
      </c>
      <c r="I1859" s="17">
        <f>IF($C1859&lt;&gt;"دستمزد گروهی","—",IF($H1859="","",IF(ROUND($H1859-IF($G1859="",0,$G1859),0)=0,"√","▲ مغایرت "&amp;TEXT(IF($G1859="",0,$G1859)-$H1859,"#,##0"))))</f>
        <v/>
      </c>
      <c r="J1859" s="18" t="n"/>
    </row>
    <row r="1860">
      <c r="A1860" s="19">
        <f>IF($B1860="","",COUNTA($B$9:$B1860))</f>
        <v/>
      </c>
      <c r="B1860" s="11" t="n"/>
      <c r="C1860" s="12" t="n"/>
      <c r="D1860" s="12" t="n"/>
      <c r="E1860" s="13" t="n"/>
      <c r="F1860" s="20">
        <f>IF($E1860="","",IF($C1860="دستمزد گروهی",IFERROR(VLOOKUP($E1860,WGTbl,2,0),"کد ناشناخته"),IFERROR(IF(VLOOKUP($E1860,AcctTblE,4,0)="","(بدون نام)",VLOOKUP($E1860,AcctTblE,4,0)),"کد ناشناخته")))</f>
        <v/>
      </c>
      <c r="G1860" s="15" t="n"/>
      <c r="H1860" s="21">
        <f>IF(OR($C1860&lt;&gt;"دستمزد گروهی",$D1860=""),"",SUMIFS(ShareAmt,ShareLink,$D1860))</f>
        <v/>
      </c>
      <c r="I1860" s="22">
        <f>IF($C1860&lt;&gt;"دستمزد گروهی","—",IF($H1860="","",IF(ROUND($H1860-IF($G1860="",0,$G1860),0)=0,"√","▲ مغایرت "&amp;TEXT(IF($G1860="",0,$G1860)-$H1860,"#,##0"))))</f>
        <v/>
      </c>
      <c r="J1860" s="18" t="n"/>
    </row>
    <row r="1861">
      <c r="A1861" s="10">
        <f>IF($B1861="","",COUNTA($B$9:$B1861))</f>
        <v/>
      </c>
      <c r="B1861" s="11" t="n"/>
      <c r="C1861" s="12" t="n"/>
      <c r="D1861" s="12" t="n"/>
      <c r="E1861" s="13" t="n"/>
      <c r="F1861" s="14">
        <f>IF($E1861="","",IF($C1861="دستمزد گروهی",IFERROR(VLOOKUP($E1861,WGTbl,2,0),"کد ناشناخته"),IFERROR(IF(VLOOKUP($E1861,AcctTblE,4,0)="","(بدون نام)",VLOOKUP($E1861,AcctTblE,4,0)),"کد ناشناخته")))</f>
        <v/>
      </c>
      <c r="G1861" s="15" t="n"/>
      <c r="H1861" s="16">
        <f>IF(OR($C1861&lt;&gt;"دستمزد گروهی",$D1861=""),"",SUMIFS(ShareAmt,ShareLink,$D1861))</f>
        <v/>
      </c>
      <c r="I1861" s="17">
        <f>IF($C1861&lt;&gt;"دستمزد گروهی","—",IF($H1861="","",IF(ROUND($H1861-IF($G1861="",0,$G1861),0)=0,"√","▲ مغایرت "&amp;TEXT(IF($G1861="",0,$G1861)-$H1861,"#,##0"))))</f>
        <v/>
      </c>
      <c r="J1861" s="18" t="n"/>
    </row>
    <row r="1862">
      <c r="A1862" s="19">
        <f>IF($B1862="","",COUNTA($B$9:$B1862))</f>
        <v/>
      </c>
      <c r="B1862" s="11" t="n"/>
      <c r="C1862" s="12" t="n"/>
      <c r="D1862" s="12" t="n"/>
      <c r="E1862" s="13" t="n"/>
      <c r="F1862" s="20">
        <f>IF($E1862="","",IF($C1862="دستمزد گروهی",IFERROR(VLOOKUP($E1862,WGTbl,2,0),"کد ناشناخته"),IFERROR(IF(VLOOKUP($E1862,AcctTblE,4,0)="","(بدون نام)",VLOOKUP($E1862,AcctTblE,4,0)),"کد ناشناخته")))</f>
        <v/>
      </c>
      <c r="G1862" s="15" t="n"/>
      <c r="H1862" s="21">
        <f>IF(OR($C1862&lt;&gt;"دستمزد گروهی",$D1862=""),"",SUMIFS(ShareAmt,ShareLink,$D1862))</f>
        <v/>
      </c>
      <c r="I1862" s="22">
        <f>IF($C1862&lt;&gt;"دستمزد گروهی","—",IF($H1862="","",IF(ROUND($H1862-IF($G1862="",0,$G1862),0)=0,"√","▲ مغایرت "&amp;TEXT(IF($G1862="",0,$G1862)-$H1862,"#,##0"))))</f>
        <v/>
      </c>
      <c r="J1862" s="18" t="n"/>
    </row>
    <row r="1863">
      <c r="A1863" s="10">
        <f>IF($B1863="","",COUNTA($B$9:$B1863))</f>
        <v/>
      </c>
      <c r="B1863" s="11" t="n"/>
      <c r="C1863" s="12" t="n"/>
      <c r="D1863" s="12" t="n"/>
      <c r="E1863" s="13" t="n"/>
      <c r="F1863" s="14">
        <f>IF($E1863="","",IF($C1863="دستمزد گروهی",IFERROR(VLOOKUP($E1863,WGTbl,2,0),"کد ناشناخته"),IFERROR(IF(VLOOKUP($E1863,AcctTblE,4,0)="","(بدون نام)",VLOOKUP($E1863,AcctTblE,4,0)),"کد ناشناخته")))</f>
        <v/>
      </c>
      <c r="G1863" s="15" t="n"/>
      <c r="H1863" s="16">
        <f>IF(OR($C1863&lt;&gt;"دستمزد گروهی",$D1863=""),"",SUMIFS(ShareAmt,ShareLink,$D1863))</f>
        <v/>
      </c>
      <c r="I1863" s="17">
        <f>IF($C1863&lt;&gt;"دستمزد گروهی","—",IF($H1863="","",IF(ROUND($H1863-IF($G1863="",0,$G1863),0)=0,"√","▲ مغایرت "&amp;TEXT(IF($G1863="",0,$G1863)-$H1863,"#,##0"))))</f>
        <v/>
      </c>
      <c r="J1863" s="18" t="n"/>
    </row>
    <row r="1864">
      <c r="A1864" s="19">
        <f>IF($B1864="","",COUNTA($B$9:$B1864))</f>
        <v/>
      </c>
      <c r="B1864" s="11" t="n"/>
      <c r="C1864" s="12" t="n"/>
      <c r="D1864" s="12" t="n"/>
      <c r="E1864" s="13" t="n"/>
      <c r="F1864" s="20">
        <f>IF($E1864="","",IF($C1864="دستمزد گروهی",IFERROR(VLOOKUP($E1864,WGTbl,2,0),"کد ناشناخته"),IFERROR(IF(VLOOKUP($E1864,AcctTblE,4,0)="","(بدون نام)",VLOOKUP($E1864,AcctTblE,4,0)),"کد ناشناخته")))</f>
        <v/>
      </c>
      <c r="G1864" s="15" t="n"/>
      <c r="H1864" s="21">
        <f>IF(OR($C1864&lt;&gt;"دستمزد گروهی",$D1864=""),"",SUMIFS(ShareAmt,ShareLink,$D1864))</f>
        <v/>
      </c>
      <c r="I1864" s="22">
        <f>IF($C1864&lt;&gt;"دستمزد گروهی","—",IF($H1864="","",IF(ROUND($H1864-IF($G1864="",0,$G1864),0)=0,"√","▲ مغایرت "&amp;TEXT(IF($G1864="",0,$G1864)-$H1864,"#,##0"))))</f>
        <v/>
      </c>
      <c r="J1864" s="18" t="n"/>
    </row>
    <row r="1865">
      <c r="A1865" s="10">
        <f>IF($B1865="","",COUNTA($B$9:$B1865))</f>
        <v/>
      </c>
      <c r="B1865" s="11" t="n"/>
      <c r="C1865" s="12" t="n"/>
      <c r="D1865" s="12" t="n"/>
      <c r="E1865" s="13" t="n"/>
      <c r="F1865" s="14">
        <f>IF($E1865="","",IF($C1865="دستمزد گروهی",IFERROR(VLOOKUP($E1865,WGTbl,2,0),"کد ناشناخته"),IFERROR(IF(VLOOKUP($E1865,AcctTblE,4,0)="","(بدون نام)",VLOOKUP($E1865,AcctTblE,4,0)),"کد ناشناخته")))</f>
        <v/>
      </c>
      <c r="G1865" s="15" t="n"/>
      <c r="H1865" s="16">
        <f>IF(OR($C1865&lt;&gt;"دستمزد گروهی",$D1865=""),"",SUMIFS(ShareAmt,ShareLink,$D1865))</f>
        <v/>
      </c>
      <c r="I1865" s="17">
        <f>IF($C1865&lt;&gt;"دستمزد گروهی","—",IF($H1865="","",IF(ROUND($H1865-IF($G1865="",0,$G1865),0)=0,"√","▲ مغایرت "&amp;TEXT(IF($G1865="",0,$G1865)-$H1865,"#,##0"))))</f>
        <v/>
      </c>
      <c r="J1865" s="18" t="n"/>
    </row>
    <row r="1866">
      <c r="A1866" s="19">
        <f>IF($B1866="","",COUNTA($B$9:$B1866))</f>
        <v/>
      </c>
      <c r="B1866" s="11" t="n"/>
      <c r="C1866" s="12" t="n"/>
      <c r="D1866" s="12" t="n"/>
      <c r="E1866" s="13" t="n"/>
      <c r="F1866" s="20">
        <f>IF($E1866="","",IF($C1866="دستمزد گروهی",IFERROR(VLOOKUP($E1866,WGTbl,2,0),"کد ناشناخته"),IFERROR(IF(VLOOKUP($E1866,AcctTblE,4,0)="","(بدون نام)",VLOOKUP($E1866,AcctTblE,4,0)),"کد ناشناخته")))</f>
        <v/>
      </c>
      <c r="G1866" s="15" t="n"/>
      <c r="H1866" s="21">
        <f>IF(OR($C1866&lt;&gt;"دستمزد گروهی",$D1866=""),"",SUMIFS(ShareAmt,ShareLink,$D1866))</f>
        <v/>
      </c>
      <c r="I1866" s="22">
        <f>IF($C1866&lt;&gt;"دستمزد گروهی","—",IF($H1866="","",IF(ROUND($H1866-IF($G1866="",0,$G1866),0)=0,"√","▲ مغایرت "&amp;TEXT(IF($G1866="",0,$G1866)-$H1866,"#,##0"))))</f>
        <v/>
      </c>
      <c r="J1866" s="18" t="n"/>
    </row>
    <row r="1867">
      <c r="A1867" s="10">
        <f>IF($B1867="","",COUNTA($B$9:$B1867))</f>
        <v/>
      </c>
      <c r="B1867" s="11" t="n"/>
      <c r="C1867" s="12" t="n"/>
      <c r="D1867" s="12" t="n"/>
      <c r="E1867" s="13" t="n"/>
      <c r="F1867" s="14">
        <f>IF($E1867="","",IF($C1867="دستمزد گروهی",IFERROR(VLOOKUP($E1867,WGTbl,2,0),"کد ناشناخته"),IFERROR(IF(VLOOKUP($E1867,AcctTblE,4,0)="","(بدون نام)",VLOOKUP($E1867,AcctTblE,4,0)),"کد ناشناخته")))</f>
        <v/>
      </c>
      <c r="G1867" s="15" t="n"/>
      <c r="H1867" s="16">
        <f>IF(OR($C1867&lt;&gt;"دستمزد گروهی",$D1867=""),"",SUMIFS(ShareAmt,ShareLink,$D1867))</f>
        <v/>
      </c>
      <c r="I1867" s="17">
        <f>IF($C1867&lt;&gt;"دستمزد گروهی","—",IF($H1867="","",IF(ROUND($H1867-IF($G1867="",0,$G1867),0)=0,"√","▲ مغایرت "&amp;TEXT(IF($G1867="",0,$G1867)-$H1867,"#,##0"))))</f>
        <v/>
      </c>
      <c r="J1867" s="18" t="n"/>
    </row>
    <row r="1868">
      <c r="A1868" s="19">
        <f>IF($B1868="","",COUNTA($B$9:$B1868))</f>
        <v/>
      </c>
      <c r="B1868" s="11" t="n"/>
      <c r="C1868" s="12" t="n"/>
      <c r="D1868" s="12" t="n"/>
      <c r="E1868" s="13" t="n"/>
      <c r="F1868" s="20">
        <f>IF($E1868="","",IF($C1868="دستمزد گروهی",IFERROR(VLOOKUP($E1868,WGTbl,2,0),"کد ناشناخته"),IFERROR(IF(VLOOKUP($E1868,AcctTblE,4,0)="","(بدون نام)",VLOOKUP($E1868,AcctTblE,4,0)),"کد ناشناخته")))</f>
        <v/>
      </c>
      <c r="G1868" s="15" t="n"/>
      <c r="H1868" s="21">
        <f>IF(OR($C1868&lt;&gt;"دستمزد گروهی",$D1868=""),"",SUMIFS(ShareAmt,ShareLink,$D1868))</f>
        <v/>
      </c>
      <c r="I1868" s="22">
        <f>IF($C1868&lt;&gt;"دستمزد گروهی","—",IF($H1868="","",IF(ROUND($H1868-IF($G1868="",0,$G1868),0)=0,"√","▲ مغایرت "&amp;TEXT(IF($G1868="",0,$G1868)-$H1868,"#,##0"))))</f>
        <v/>
      </c>
      <c r="J1868" s="18" t="n"/>
    </row>
    <row r="1869">
      <c r="A1869" s="10">
        <f>IF($B1869="","",COUNTA($B$9:$B1869))</f>
        <v/>
      </c>
      <c r="B1869" s="11" t="n"/>
      <c r="C1869" s="12" t="n"/>
      <c r="D1869" s="12" t="n"/>
      <c r="E1869" s="13" t="n"/>
      <c r="F1869" s="14">
        <f>IF($E1869="","",IF($C1869="دستمزد گروهی",IFERROR(VLOOKUP($E1869,WGTbl,2,0),"کد ناشناخته"),IFERROR(IF(VLOOKUP($E1869,AcctTblE,4,0)="","(بدون نام)",VLOOKUP($E1869,AcctTblE,4,0)),"کد ناشناخته")))</f>
        <v/>
      </c>
      <c r="G1869" s="15" t="n"/>
      <c r="H1869" s="16">
        <f>IF(OR($C1869&lt;&gt;"دستمزد گروهی",$D1869=""),"",SUMIFS(ShareAmt,ShareLink,$D1869))</f>
        <v/>
      </c>
      <c r="I1869" s="17">
        <f>IF($C1869&lt;&gt;"دستمزد گروهی","—",IF($H1869="","",IF(ROUND($H1869-IF($G1869="",0,$G1869),0)=0,"√","▲ مغایرت "&amp;TEXT(IF($G1869="",0,$G1869)-$H1869,"#,##0"))))</f>
        <v/>
      </c>
      <c r="J1869" s="18" t="n"/>
    </row>
    <row r="1870">
      <c r="A1870" s="19">
        <f>IF($B1870="","",COUNTA($B$9:$B1870))</f>
        <v/>
      </c>
      <c r="B1870" s="11" t="n"/>
      <c r="C1870" s="12" t="n"/>
      <c r="D1870" s="12" t="n"/>
      <c r="E1870" s="13" t="n"/>
      <c r="F1870" s="20">
        <f>IF($E1870="","",IF($C1870="دستمزد گروهی",IFERROR(VLOOKUP($E1870,WGTbl,2,0),"کد ناشناخته"),IFERROR(IF(VLOOKUP($E1870,AcctTblE,4,0)="","(بدون نام)",VLOOKUP($E1870,AcctTblE,4,0)),"کد ناشناخته")))</f>
        <v/>
      </c>
      <c r="G1870" s="15" t="n"/>
      <c r="H1870" s="21">
        <f>IF(OR($C1870&lt;&gt;"دستمزد گروهی",$D1870=""),"",SUMIFS(ShareAmt,ShareLink,$D1870))</f>
        <v/>
      </c>
      <c r="I1870" s="22">
        <f>IF($C1870&lt;&gt;"دستمزد گروهی","—",IF($H1870="","",IF(ROUND($H1870-IF($G1870="",0,$G1870),0)=0,"√","▲ مغایرت "&amp;TEXT(IF($G1870="",0,$G1870)-$H1870,"#,##0"))))</f>
        <v/>
      </c>
      <c r="J1870" s="18" t="n"/>
    </row>
    <row r="1871">
      <c r="A1871" s="10">
        <f>IF($B1871="","",COUNTA($B$9:$B1871))</f>
        <v/>
      </c>
      <c r="B1871" s="11" t="n"/>
      <c r="C1871" s="12" t="n"/>
      <c r="D1871" s="12" t="n"/>
      <c r="E1871" s="13" t="n"/>
      <c r="F1871" s="14">
        <f>IF($E1871="","",IF($C1871="دستمزد گروهی",IFERROR(VLOOKUP($E1871,WGTbl,2,0),"کد ناشناخته"),IFERROR(IF(VLOOKUP($E1871,AcctTblE,4,0)="","(بدون نام)",VLOOKUP($E1871,AcctTblE,4,0)),"کد ناشناخته")))</f>
        <v/>
      </c>
      <c r="G1871" s="15" t="n"/>
      <c r="H1871" s="16">
        <f>IF(OR($C1871&lt;&gt;"دستمزد گروهی",$D1871=""),"",SUMIFS(ShareAmt,ShareLink,$D1871))</f>
        <v/>
      </c>
      <c r="I1871" s="17">
        <f>IF($C1871&lt;&gt;"دستمزد گروهی","—",IF($H1871="","",IF(ROUND($H1871-IF($G1871="",0,$G1871),0)=0,"√","▲ مغایرت "&amp;TEXT(IF($G1871="",0,$G1871)-$H1871,"#,##0"))))</f>
        <v/>
      </c>
      <c r="J1871" s="18" t="n"/>
    </row>
    <row r="1872">
      <c r="A1872" s="19">
        <f>IF($B1872="","",COUNTA($B$9:$B1872))</f>
        <v/>
      </c>
      <c r="B1872" s="11" t="n"/>
      <c r="C1872" s="12" t="n"/>
      <c r="D1872" s="12" t="n"/>
      <c r="E1872" s="13" t="n"/>
      <c r="F1872" s="20">
        <f>IF($E1872="","",IF($C1872="دستمزد گروهی",IFERROR(VLOOKUP($E1872,WGTbl,2,0),"کد ناشناخته"),IFERROR(IF(VLOOKUP($E1872,AcctTblE,4,0)="","(بدون نام)",VLOOKUP($E1872,AcctTblE,4,0)),"کد ناشناخته")))</f>
        <v/>
      </c>
      <c r="G1872" s="15" t="n"/>
      <c r="H1872" s="21">
        <f>IF(OR($C1872&lt;&gt;"دستمزد گروهی",$D1872=""),"",SUMIFS(ShareAmt,ShareLink,$D1872))</f>
        <v/>
      </c>
      <c r="I1872" s="22">
        <f>IF($C1872&lt;&gt;"دستمزد گروهی","—",IF($H1872="","",IF(ROUND($H1872-IF($G1872="",0,$G1872),0)=0,"√","▲ مغایرت "&amp;TEXT(IF($G1872="",0,$G1872)-$H1872,"#,##0"))))</f>
        <v/>
      </c>
      <c r="J1872" s="18" t="n"/>
    </row>
    <row r="1873">
      <c r="A1873" s="10">
        <f>IF($B1873="","",COUNTA($B$9:$B1873))</f>
        <v/>
      </c>
      <c r="B1873" s="11" t="n"/>
      <c r="C1873" s="12" t="n"/>
      <c r="D1873" s="12" t="n"/>
      <c r="E1873" s="13" t="n"/>
      <c r="F1873" s="14">
        <f>IF($E1873="","",IF($C1873="دستمزد گروهی",IFERROR(VLOOKUP($E1873,WGTbl,2,0),"کد ناشناخته"),IFERROR(IF(VLOOKUP($E1873,AcctTblE,4,0)="","(بدون نام)",VLOOKUP($E1873,AcctTblE,4,0)),"کد ناشناخته")))</f>
        <v/>
      </c>
      <c r="G1873" s="15" t="n"/>
      <c r="H1873" s="16">
        <f>IF(OR($C1873&lt;&gt;"دستمزد گروهی",$D1873=""),"",SUMIFS(ShareAmt,ShareLink,$D1873))</f>
        <v/>
      </c>
      <c r="I1873" s="17">
        <f>IF($C1873&lt;&gt;"دستمزد گروهی","—",IF($H1873="","",IF(ROUND($H1873-IF($G1873="",0,$G1873),0)=0,"√","▲ مغایرت "&amp;TEXT(IF($G1873="",0,$G1873)-$H1873,"#,##0"))))</f>
        <v/>
      </c>
      <c r="J1873" s="18" t="n"/>
    </row>
    <row r="1874">
      <c r="A1874" s="19">
        <f>IF($B1874="","",COUNTA($B$9:$B1874))</f>
        <v/>
      </c>
      <c r="B1874" s="11" t="n"/>
      <c r="C1874" s="12" t="n"/>
      <c r="D1874" s="12" t="n"/>
      <c r="E1874" s="13" t="n"/>
      <c r="F1874" s="20">
        <f>IF($E1874="","",IF($C1874="دستمزد گروهی",IFERROR(VLOOKUP($E1874,WGTbl,2,0),"کد ناشناخته"),IFERROR(IF(VLOOKUP($E1874,AcctTblE,4,0)="","(بدون نام)",VLOOKUP($E1874,AcctTblE,4,0)),"کد ناشناخته")))</f>
        <v/>
      </c>
      <c r="G1874" s="15" t="n"/>
      <c r="H1874" s="21">
        <f>IF(OR($C1874&lt;&gt;"دستمزد گروهی",$D1874=""),"",SUMIFS(ShareAmt,ShareLink,$D1874))</f>
        <v/>
      </c>
      <c r="I1874" s="22">
        <f>IF($C1874&lt;&gt;"دستمزد گروهی","—",IF($H1874="","",IF(ROUND($H1874-IF($G1874="",0,$G1874),0)=0,"√","▲ مغایرت "&amp;TEXT(IF($G1874="",0,$G1874)-$H1874,"#,##0"))))</f>
        <v/>
      </c>
      <c r="J1874" s="18" t="n"/>
    </row>
    <row r="1875">
      <c r="A1875" s="10">
        <f>IF($B1875="","",COUNTA($B$9:$B1875))</f>
        <v/>
      </c>
      <c r="B1875" s="11" t="n"/>
      <c r="C1875" s="12" t="n"/>
      <c r="D1875" s="12" t="n"/>
      <c r="E1875" s="13" t="n"/>
      <c r="F1875" s="14">
        <f>IF($E1875="","",IF($C1875="دستمزد گروهی",IFERROR(VLOOKUP($E1875,WGTbl,2,0),"کد ناشناخته"),IFERROR(IF(VLOOKUP($E1875,AcctTblE,4,0)="","(بدون نام)",VLOOKUP($E1875,AcctTblE,4,0)),"کد ناشناخته")))</f>
        <v/>
      </c>
      <c r="G1875" s="15" t="n"/>
      <c r="H1875" s="16">
        <f>IF(OR($C1875&lt;&gt;"دستمزد گروهی",$D1875=""),"",SUMIFS(ShareAmt,ShareLink,$D1875))</f>
        <v/>
      </c>
      <c r="I1875" s="17">
        <f>IF($C1875&lt;&gt;"دستمزد گروهی","—",IF($H1875="","",IF(ROUND($H1875-IF($G1875="",0,$G1875),0)=0,"√","▲ مغایرت "&amp;TEXT(IF($G1875="",0,$G1875)-$H1875,"#,##0"))))</f>
        <v/>
      </c>
      <c r="J1875" s="18" t="n"/>
    </row>
    <row r="1876">
      <c r="A1876" s="19">
        <f>IF($B1876="","",COUNTA($B$9:$B1876))</f>
        <v/>
      </c>
      <c r="B1876" s="11" t="n"/>
      <c r="C1876" s="12" t="n"/>
      <c r="D1876" s="12" t="n"/>
      <c r="E1876" s="13" t="n"/>
      <c r="F1876" s="20">
        <f>IF($E1876="","",IF($C1876="دستمزد گروهی",IFERROR(VLOOKUP($E1876,WGTbl,2,0),"کد ناشناخته"),IFERROR(IF(VLOOKUP($E1876,AcctTblE,4,0)="","(بدون نام)",VLOOKUP($E1876,AcctTblE,4,0)),"کد ناشناخته")))</f>
        <v/>
      </c>
      <c r="G1876" s="15" t="n"/>
      <c r="H1876" s="21">
        <f>IF(OR($C1876&lt;&gt;"دستمزد گروهی",$D1876=""),"",SUMIFS(ShareAmt,ShareLink,$D1876))</f>
        <v/>
      </c>
      <c r="I1876" s="22">
        <f>IF($C1876&lt;&gt;"دستمزد گروهی","—",IF($H1876="","",IF(ROUND($H1876-IF($G1876="",0,$G1876),0)=0,"√","▲ مغایرت "&amp;TEXT(IF($G1876="",0,$G1876)-$H1876,"#,##0"))))</f>
        <v/>
      </c>
      <c r="J1876" s="18" t="n"/>
    </row>
    <row r="1877">
      <c r="A1877" s="10">
        <f>IF($B1877="","",COUNTA($B$9:$B1877))</f>
        <v/>
      </c>
      <c r="B1877" s="11" t="n"/>
      <c r="C1877" s="12" t="n"/>
      <c r="D1877" s="12" t="n"/>
      <c r="E1877" s="13" t="n"/>
      <c r="F1877" s="14">
        <f>IF($E1877="","",IF($C1877="دستمزد گروهی",IFERROR(VLOOKUP($E1877,WGTbl,2,0),"کد ناشناخته"),IFERROR(IF(VLOOKUP($E1877,AcctTblE,4,0)="","(بدون نام)",VLOOKUP($E1877,AcctTblE,4,0)),"کد ناشناخته")))</f>
        <v/>
      </c>
      <c r="G1877" s="15" t="n"/>
      <c r="H1877" s="16">
        <f>IF(OR($C1877&lt;&gt;"دستمزد گروهی",$D1877=""),"",SUMIFS(ShareAmt,ShareLink,$D1877))</f>
        <v/>
      </c>
      <c r="I1877" s="17">
        <f>IF($C1877&lt;&gt;"دستمزد گروهی","—",IF($H1877="","",IF(ROUND($H1877-IF($G1877="",0,$G1877),0)=0,"√","▲ مغایرت "&amp;TEXT(IF($G1877="",0,$G1877)-$H1877,"#,##0"))))</f>
        <v/>
      </c>
      <c r="J1877" s="18" t="n"/>
    </row>
    <row r="1878">
      <c r="A1878" s="19">
        <f>IF($B1878="","",COUNTA($B$9:$B1878))</f>
        <v/>
      </c>
      <c r="B1878" s="11" t="n"/>
      <c r="C1878" s="12" t="n"/>
      <c r="D1878" s="12" t="n"/>
      <c r="E1878" s="13" t="n"/>
      <c r="F1878" s="20">
        <f>IF($E1878="","",IF($C1878="دستمزد گروهی",IFERROR(VLOOKUP($E1878,WGTbl,2,0),"کد ناشناخته"),IFERROR(IF(VLOOKUP($E1878,AcctTblE,4,0)="","(بدون نام)",VLOOKUP($E1878,AcctTblE,4,0)),"کد ناشناخته")))</f>
        <v/>
      </c>
      <c r="G1878" s="15" t="n"/>
      <c r="H1878" s="21">
        <f>IF(OR($C1878&lt;&gt;"دستمزد گروهی",$D1878=""),"",SUMIFS(ShareAmt,ShareLink,$D1878))</f>
        <v/>
      </c>
      <c r="I1878" s="22">
        <f>IF($C1878&lt;&gt;"دستمزد گروهی","—",IF($H1878="","",IF(ROUND($H1878-IF($G1878="",0,$G1878),0)=0,"√","▲ مغایرت "&amp;TEXT(IF($G1878="",0,$G1878)-$H1878,"#,##0"))))</f>
        <v/>
      </c>
      <c r="J1878" s="18" t="n"/>
    </row>
    <row r="1879">
      <c r="A1879" s="10">
        <f>IF($B1879="","",COUNTA($B$9:$B1879))</f>
        <v/>
      </c>
      <c r="B1879" s="11" t="n"/>
      <c r="C1879" s="12" t="n"/>
      <c r="D1879" s="12" t="n"/>
      <c r="E1879" s="13" t="n"/>
      <c r="F1879" s="14">
        <f>IF($E1879="","",IF($C1879="دستمزد گروهی",IFERROR(VLOOKUP($E1879,WGTbl,2,0),"کد ناشناخته"),IFERROR(IF(VLOOKUP($E1879,AcctTblE,4,0)="","(بدون نام)",VLOOKUP($E1879,AcctTblE,4,0)),"کد ناشناخته")))</f>
        <v/>
      </c>
      <c r="G1879" s="15" t="n"/>
      <c r="H1879" s="16">
        <f>IF(OR($C1879&lt;&gt;"دستمزد گروهی",$D1879=""),"",SUMIFS(ShareAmt,ShareLink,$D1879))</f>
        <v/>
      </c>
      <c r="I1879" s="17">
        <f>IF($C1879&lt;&gt;"دستمزد گروهی","—",IF($H1879="","",IF(ROUND($H1879-IF($G1879="",0,$G1879),0)=0,"√","▲ مغایرت "&amp;TEXT(IF($G1879="",0,$G1879)-$H1879,"#,##0"))))</f>
        <v/>
      </c>
      <c r="J1879" s="18" t="n"/>
    </row>
    <row r="1880">
      <c r="A1880" s="19">
        <f>IF($B1880="","",COUNTA($B$9:$B1880))</f>
        <v/>
      </c>
      <c r="B1880" s="11" t="n"/>
      <c r="C1880" s="12" t="n"/>
      <c r="D1880" s="12" t="n"/>
      <c r="E1880" s="13" t="n"/>
      <c r="F1880" s="20">
        <f>IF($E1880="","",IF($C1880="دستمزد گروهی",IFERROR(VLOOKUP($E1880,WGTbl,2,0),"کد ناشناخته"),IFERROR(IF(VLOOKUP($E1880,AcctTblE,4,0)="","(بدون نام)",VLOOKUP($E1880,AcctTblE,4,0)),"کد ناشناخته")))</f>
        <v/>
      </c>
      <c r="G1880" s="15" t="n"/>
      <c r="H1880" s="21">
        <f>IF(OR($C1880&lt;&gt;"دستمزد گروهی",$D1880=""),"",SUMIFS(ShareAmt,ShareLink,$D1880))</f>
        <v/>
      </c>
      <c r="I1880" s="22">
        <f>IF($C1880&lt;&gt;"دستمزد گروهی","—",IF($H1880="","",IF(ROUND($H1880-IF($G1880="",0,$G1880),0)=0,"√","▲ مغایرت "&amp;TEXT(IF($G1880="",0,$G1880)-$H1880,"#,##0"))))</f>
        <v/>
      </c>
      <c r="J1880" s="18" t="n"/>
    </row>
    <row r="1881">
      <c r="A1881" s="10">
        <f>IF($B1881="","",COUNTA($B$9:$B1881))</f>
        <v/>
      </c>
      <c r="B1881" s="11" t="n"/>
      <c r="C1881" s="12" t="n"/>
      <c r="D1881" s="12" t="n"/>
      <c r="E1881" s="13" t="n"/>
      <c r="F1881" s="14">
        <f>IF($E1881="","",IF($C1881="دستمزد گروهی",IFERROR(VLOOKUP($E1881,WGTbl,2,0),"کد ناشناخته"),IFERROR(IF(VLOOKUP($E1881,AcctTblE,4,0)="","(بدون نام)",VLOOKUP($E1881,AcctTblE,4,0)),"کد ناشناخته")))</f>
        <v/>
      </c>
      <c r="G1881" s="15" t="n"/>
      <c r="H1881" s="16">
        <f>IF(OR($C1881&lt;&gt;"دستمزد گروهی",$D1881=""),"",SUMIFS(ShareAmt,ShareLink,$D1881))</f>
        <v/>
      </c>
      <c r="I1881" s="17">
        <f>IF($C1881&lt;&gt;"دستمزد گروهی","—",IF($H1881="","",IF(ROUND($H1881-IF($G1881="",0,$G1881),0)=0,"√","▲ مغایرت "&amp;TEXT(IF($G1881="",0,$G1881)-$H1881,"#,##0"))))</f>
        <v/>
      </c>
      <c r="J1881" s="18" t="n"/>
    </row>
    <row r="1882">
      <c r="A1882" s="19">
        <f>IF($B1882="","",COUNTA($B$9:$B1882))</f>
        <v/>
      </c>
      <c r="B1882" s="11" t="n"/>
      <c r="C1882" s="12" t="n"/>
      <c r="D1882" s="12" t="n"/>
      <c r="E1882" s="13" t="n"/>
      <c r="F1882" s="20">
        <f>IF($E1882="","",IF($C1882="دستمزد گروهی",IFERROR(VLOOKUP($E1882,WGTbl,2,0),"کد ناشناخته"),IFERROR(IF(VLOOKUP($E1882,AcctTblE,4,0)="","(بدون نام)",VLOOKUP($E1882,AcctTblE,4,0)),"کد ناشناخته")))</f>
        <v/>
      </c>
      <c r="G1882" s="15" t="n"/>
      <c r="H1882" s="21">
        <f>IF(OR($C1882&lt;&gt;"دستمزد گروهی",$D1882=""),"",SUMIFS(ShareAmt,ShareLink,$D1882))</f>
        <v/>
      </c>
      <c r="I1882" s="22">
        <f>IF($C1882&lt;&gt;"دستمزد گروهی","—",IF($H1882="","",IF(ROUND($H1882-IF($G1882="",0,$G1882),0)=0,"√","▲ مغایرت "&amp;TEXT(IF($G1882="",0,$G1882)-$H1882,"#,##0"))))</f>
        <v/>
      </c>
      <c r="J1882" s="18" t="n"/>
    </row>
    <row r="1883">
      <c r="A1883" s="10">
        <f>IF($B1883="","",COUNTA($B$9:$B1883))</f>
        <v/>
      </c>
      <c r="B1883" s="11" t="n"/>
      <c r="C1883" s="12" t="n"/>
      <c r="D1883" s="12" t="n"/>
      <c r="E1883" s="13" t="n"/>
      <c r="F1883" s="14">
        <f>IF($E1883="","",IF($C1883="دستمزد گروهی",IFERROR(VLOOKUP($E1883,WGTbl,2,0),"کد ناشناخته"),IFERROR(IF(VLOOKUP($E1883,AcctTblE,4,0)="","(بدون نام)",VLOOKUP($E1883,AcctTblE,4,0)),"کد ناشناخته")))</f>
        <v/>
      </c>
      <c r="G1883" s="15" t="n"/>
      <c r="H1883" s="16">
        <f>IF(OR($C1883&lt;&gt;"دستمزد گروهی",$D1883=""),"",SUMIFS(ShareAmt,ShareLink,$D1883))</f>
        <v/>
      </c>
      <c r="I1883" s="17">
        <f>IF($C1883&lt;&gt;"دستمزد گروهی","—",IF($H1883="","",IF(ROUND($H1883-IF($G1883="",0,$G1883),0)=0,"√","▲ مغایرت "&amp;TEXT(IF($G1883="",0,$G1883)-$H1883,"#,##0"))))</f>
        <v/>
      </c>
      <c r="J1883" s="18" t="n"/>
    </row>
    <row r="1884">
      <c r="A1884" s="19">
        <f>IF($B1884="","",COUNTA($B$9:$B1884))</f>
        <v/>
      </c>
      <c r="B1884" s="11" t="n"/>
      <c r="C1884" s="12" t="n"/>
      <c r="D1884" s="12" t="n"/>
      <c r="E1884" s="13" t="n"/>
      <c r="F1884" s="20">
        <f>IF($E1884="","",IF($C1884="دستمزد گروهی",IFERROR(VLOOKUP($E1884,WGTbl,2,0),"کد ناشناخته"),IFERROR(IF(VLOOKUP($E1884,AcctTblE,4,0)="","(بدون نام)",VLOOKUP($E1884,AcctTblE,4,0)),"کد ناشناخته")))</f>
        <v/>
      </c>
      <c r="G1884" s="15" t="n"/>
      <c r="H1884" s="21">
        <f>IF(OR($C1884&lt;&gt;"دستمزد گروهی",$D1884=""),"",SUMIFS(ShareAmt,ShareLink,$D1884))</f>
        <v/>
      </c>
      <c r="I1884" s="22">
        <f>IF($C1884&lt;&gt;"دستمزد گروهی","—",IF($H1884="","",IF(ROUND($H1884-IF($G1884="",0,$G1884),0)=0,"√","▲ مغایرت "&amp;TEXT(IF($G1884="",0,$G1884)-$H1884,"#,##0"))))</f>
        <v/>
      </c>
      <c r="J1884" s="18" t="n"/>
    </row>
    <row r="1885">
      <c r="A1885" s="10">
        <f>IF($B1885="","",COUNTA($B$9:$B1885))</f>
        <v/>
      </c>
      <c r="B1885" s="11" t="n"/>
      <c r="C1885" s="12" t="n"/>
      <c r="D1885" s="12" t="n"/>
      <c r="E1885" s="13" t="n"/>
      <c r="F1885" s="14">
        <f>IF($E1885="","",IF($C1885="دستمزد گروهی",IFERROR(VLOOKUP($E1885,WGTbl,2,0),"کد ناشناخته"),IFERROR(IF(VLOOKUP($E1885,AcctTblE,4,0)="","(بدون نام)",VLOOKUP($E1885,AcctTblE,4,0)),"کد ناشناخته")))</f>
        <v/>
      </c>
      <c r="G1885" s="15" t="n"/>
      <c r="H1885" s="16">
        <f>IF(OR($C1885&lt;&gt;"دستمزد گروهی",$D1885=""),"",SUMIFS(ShareAmt,ShareLink,$D1885))</f>
        <v/>
      </c>
      <c r="I1885" s="17">
        <f>IF($C1885&lt;&gt;"دستمزد گروهی","—",IF($H1885="","",IF(ROUND($H1885-IF($G1885="",0,$G1885),0)=0,"√","▲ مغایرت "&amp;TEXT(IF($G1885="",0,$G1885)-$H1885,"#,##0"))))</f>
        <v/>
      </c>
      <c r="J1885" s="18" t="n"/>
    </row>
    <row r="1886">
      <c r="A1886" s="19">
        <f>IF($B1886="","",COUNTA($B$9:$B1886))</f>
        <v/>
      </c>
      <c r="B1886" s="11" t="n"/>
      <c r="C1886" s="12" t="n"/>
      <c r="D1886" s="12" t="n"/>
      <c r="E1886" s="13" t="n"/>
      <c r="F1886" s="20">
        <f>IF($E1886="","",IF($C1886="دستمزد گروهی",IFERROR(VLOOKUP($E1886,WGTbl,2,0),"کد ناشناخته"),IFERROR(IF(VLOOKUP($E1886,AcctTblE,4,0)="","(بدون نام)",VLOOKUP($E1886,AcctTblE,4,0)),"کد ناشناخته")))</f>
        <v/>
      </c>
      <c r="G1886" s="15" t="n"/>
      <c r="H1886" s="21">
        <f>IF(OR($C1886&lt;&gt;"دستمزد گروهی",$D1886=""),"",SUMIFS(ShareAmt,ShareLink,$D1886))</f>
        <v/>
      </c>
      <c r="I1886" s="22">
        <f>IF($C1886&lt;&gt;"دستمزد گروهی","—",IF($H1886="","",IF(ROUND($H1886-IF($G1886="",0,$G1886),0)=0,"√","▲ مغایرت "&amp;TEXT(IF($G1886="",0,$G1886)-$H1886,"#,##0"))))</f>
        <v/>
      </c>
      <c r="J1886" s="18" t="n"/>
    </row>
    <row r="1887">
      <c r="A1887" s="10">
        <f>IF($B1887="","",COUNTA($B$9:$B1887))</f>
        <v/>
      </c>
      <c r="B1887" s="11" t="n"/>
      <c r="C1887" s="12" t="n"/>
      <c r="D1887" s="12" t="n"/>
      <c r="E1887" s="13" t="n"/>
      <c r="F1887" s="14">
        <f>IF($E1887="","",IF($C1887="دستمزد گروهی",IFERROR(VLOOKUP($E1887,WGTbl,2,0),"کد ناشناخته"),IFERROR(IF(VLOOKUP($E1887,AcctTblE,4,0)="","(بدون نام)",VLOOKUP($E1887,AcctTblE,4,0)),"کد ناشناخته")))</f>
        <v/>
      </c>
      <c r="G1887" s="15" t="n"/>
      <c r="H1887" s="16">
        <f>IF(OR($C1887&lt;&gt;"دستمزد گروهی",$D1887=""),"",SUMIFS(ShareAmt,ShareLink,$D1887))</f>
        <v/>
      </c>
      <c r="I1887" s="17">
        <f>IF($C1887&lt;&gt;"دستمزد گروهی","—",IF($H1887="","",IF(ROUND($H1887-IF($G1887="",0,$G1887),0)=0,"√","▲ مغایرت "&amp;TEXT(IF($G1887="",0,$G1887)-$H1887,"#,##0"))))</f>
        <v/>
      </c>
      <c r="J1887" s="18" t="n"/>
    </row>
    <row r="1888">
      <c r="A1888" s="19">
        <f>IF($B1888="","",COUNTA($B$9:$B1888))</f>
        <v/>
      </c>
      <c r="B1888" s="11" t="n"/>
      <c r="C1888" s="12" t="n"/>
      <c r="D1888" s="12" t="n"/>
      <c r="E1888" s="13" t="n"/>
      <c r="F1888" s="20">
        <f>IF($E1888="","",IF($C1888="دستمزد گروهی",IFERROR(VLOOKUP($E1888,WGTbl,2,0),"کد ناشناخته"),IFERROR(IF(VLOOKUP($E1888,AcctTblE,4,0)="","(بدون نام)",VLOOKUP($E1888,AcctTblE,4,0)),"کد ناشناخته")))</f>
        <v/>
      </c>
      <c r="G1888" s="15" t="n"/>
      <c r="H1888" s="21">
        <f>IF(OR($C1888&lt;&gt;"دستمزد گروهی",$D1888=""),"",SUMIFS(ShareAmt,ShareLink,$D1888))</f>
        <v/>
      </c>
      <c r="I1888" s="22">
        <f>IF($C1888&lt;&gt;"دستمزد گروهی","—",IF($H1888="","",IF(ROUND($H1888-IF($G1888="",0,$G1888),0)=0,"√","▲ مغایرت "&amp;TEXT(IF($G1888="",0,$G1888)-$H1888,"#,##0"))))</f>
        <v/>
      </c>
      <c r="J1888" s="18" t="n"/>
    </row>
    <row r="1889">
      <c r="A1889" s="10">
        <f>IF($B1889="","",COUNTA($B$9:$B1889))</f>
        <v/>
      </c>
      <c r="B1889" s="11" t="n"/>
      <c r="C1889" s="12" t="n"/>
      <c r="D1889" s="12" t="n"/>
      <c r="E1889" s="13" t="n"/>
      <c r="F1889" s="14">
        <f>IF($E1889="","",IF($C1889="دستمزد گروهی",IFERROR(VLOOKUP($E1889,WGTbl,2,0),"کد ناشناخته"),IFERROR(IF(VLOOKUP($E1889,AcctTblE,4,0)="","(بدون نام)",VLOOKUP($E1889,AcctTblE,4,0)),"کد ناشناخته")))</f>
        <v/>
      </c>
      <c r="G1889" s="15" t="n"/>
      <c r="H1889" s="16">
        <f>IF(OR($C1889&lt;&gt;"دستمزد گروهی",$D1889=""),"",SUMIFS(ShareAmt,ShareLink,$D1889))</f>
        <v/>
      </c>
      <c r="I1889" s="17">
        <f>IF($C1889&lt;&gt;"دستمزد گروهی","—",IF($H1889="","",IF(ROUND($H1889-IF($G1889="",0,$G1889),0)=0,"√","▲ مغایرت "&amp;TEXT(IF($G1889="",0,$G1889)-$H1889,"#,##0"))))</f>
        <v/>
      </c>
      <c r="J1889" s="18" t="n"/>
    </row>
    <row r="1890">
      <c r="A1890" s="19">
        <f>IF($B1890="","",COUNTA($B$9:$B1890))</f>
        <v/>
      </c>
      <c r="B1890" s="11" t="n"/>
      <c r="C1890" s="12" t="n"/>
      <c r="D1890" s="12" t="n"/>
      <c r="E1890" s="13" t="n"/>
      <c r="F1890" s="20">
        <f>IF($E1890="","",IF($C1890="دستمزد گروهی",IFERROR(VLOOKUP($E1890,WGTbl,2,0),"کد ناشناخته"),IFERROR(IF(VLOOKUP($E1890,AcctTblE,4,0)="","(بدون نام)",VLOOKUP($E1890,AcctTblE,4,0)),"کد ناشناخته")))</f>
        <v/>
      </c>
      <c r="G1890" s="15" t="n"/>
      <c r="H1890" s="21">
        <f>IF(OR($C1890&lt;&gt;"دستمزد گروهی",$D1890=""),"",SUMIFS(ShareAmt,ShareLink,$D1890))</f>
        <v/>
      </c>
      <c r="I1890" s="22">
        <f>IF($C1890&lt;&gt;"دستمزد گروهی","—",IF($H1890="","",IF(ROUND($H1890-IF($G1890="",0,$G1890),0)=0,"√","▲ مغایرت "&amp;TEXT(IF($G1890="",0,$G1890)-$H1890,"#,##0"))))</f>
        <v/>
      </c>
      <c r="J1890" s="18" t="n"/>
    </row>
    <row r="1891">
      <c r="A1891" s="10">
        <f>IF($B1891="","",COUNTA($B$9:$B1891))</f>
        <v/>
      </c>
      <c r="B1891" s="11" t="n"/>
      <c r="C1891" s="12" t="n"/>
      <c r="D1891" s="12" t="n"/>
      <c r="E1891" s="13" t="n"/>
      <c r="F1891" s="14">
        <f>IF($E1891="","",IF($C1891="دستمزد گروهی",IFERROR(VLOOKUP($E1891,WGTbl,2,0),"کد ناشناخته"),IFERROR(IF(VLOOKUP($E1891,AcctTblE,4,0)="","(بدون نام)",VLOOKUP($E1891,AcctTblE,4,0)),"کد ناشناخته")))</f>
        <v/>
      </c>
      <c r="G1891" s="15" t="n"/>
      <c r="H1891" s="16">
        <f>IF(OR($C1891&lt;&gt;"دستمزد گروهی",$D1891=""),"",SUMIFS(ShareAmt,ShareLink,$D1891))</f>
        <v/>
      </c>
      <c r="I1891" s="17">
        <f>IF($C1891&lt;&gt;"دستمزد گروهی","—",IF($H1891="","",IF(ROUND($H1891-IF($G1891="",0,$G1891),0)=0,"√","▲ مغایرت "&amp;TEXT(IF($G1891="",0,$G1891)-$H1891,"#,##0"))))</f>
        <v/>
      </c>
      <c r="J1891" s="18" t="n"/>
    </row>
    <row r="1892">
      <c r="A1892" s="19">
        <f>IF($B1892="","",COUNTA($B$9:$B1892))</f>
        <v/>
      </c>
      <c r="B1892" s="11" t="n"/>
      <c r="C1892" s="12" t="n"/>
      <c r="D1892" s="12" t="n"/>
      <c r="E1892" s="13" t="n"/>
      <c r="F1892" s="20">
        <f>IF($E1892="","",IF($C1892="دستمزد گروهی",IFERROR(VLOOKUP($E1892,WGTbl,2,0),"کد ناشناخته"),IFERROR(IF(VLOOKUP($E1892,AcctTblE,4,0)="","(بدون نام)",VLOOKUP($E1892,AcctTblE,4,0)),"کد ناشناخته")))</f>
        <v/>
      </c>
      <c r="G1892" s="15" t="n"/>
      <c r="H1892" s="21">
        <f>IF(OR($C1892&lt;&gt;"دستمزد گروهی",$D1892=""),"",SUMIFS(ShareAmt,ShareLink,$D1892))</f>
        <v/>
      </c>
      <c r="I1892" s="22">
        <f>IF($C1892&lt;&gt;"دستمزد گروهی","—",IF($H1892="","",IF(ROUND($H1892-IF($G1892="",0,$G1892),0)=0,"√","▲ مغایرت "&amp;TEXT(IF($G1892="",0,$G1892)-$H1892,"#,##0"))))</f>
        <v/>
      </c>
      <c r="J1892" s="18" t="n"/>
    </row>
    <row r="1893">
      <c r="A1893" s="10">
        <f>IF($B1893="","",COUNTA($B$9:$B1893))</f>
        <v/>
      </c>
      <c r="B1893" s="11" t="n"/>
      <c r="C1893" s="12" t="n"/>
      <c r="D1893" s="12" t="n"/>
      <c r="E1893" s="13" t="n"/>
      <c r="F1893" s="14">
        <f>IF($E1893="","",IF($C1893="دستمزد گروهی",IFERROR(VLOOKUP($E1893,WGTbl,2,0),"کد ناشناخته"),IFERROR(IF(VLOOKUP($E1893,AcctTblE,4,0)="","(بدون نام)",VLOOKUP($E1893,AcctTblE,4,0)),"کد ناشناخته")))</f>
        <v/>
      </c>
      <c r="G1893" s="15" t="n"/>
      <c r="H1893" s="16">
        <f>IF(OR($C1893&lt;&gt;"دستمزد گروهی",$D1893=""),"",SUMIFS(ShareAmt,ShareLink,$D1893))</f>
        <v/>
      </c>
      <c r="I1893" s="17">
        <f>IF($C1893&lt;&gt;"دستمزد گروهی","—",IF($H1893="","",IF(ROUND($H1893-IF($G1893="",0,$G1893),0)=0,"√","▲ مغایرت "&amp;TEXT(IF($G1893="",0,$G1893)-$H1893,"#,##0"))))</f>
        <v/>
      </c>
      <c r="J1893" s="18" t="n"/>
    </row>
    <row r="1894">
      <c r="A1894" s="19">
        <f>IF($B1894="","",COUNTA($B$9:$B1894))</f>
        <v/>
      </c>
      <c r="B1894" s="11" t="n"/>
      <c r="C1894" s="12" t="n"/>
      <c r="D1894" s="12" t="n"/>
      <c r="E1894" s="13" t="n"/>
      <c r="F1894" s="20">
        <f>IF($E1894="","",IF($C1894="دستمزد گروهی",IFERROR(VLOOKUP($E1894,WGTbl,2,0),"کد ناشناخته"),IFERROR(IF(VLOOKUP($E1894,AcctTblE,4,0)="","(بدون نام)",VLOOKUP($E1894,AcctTblE,4,0)),"کد ناشناخته")))</f>
        <v/>
      </c>
      <c r="G1894" s="15" t="n"/>
      <c r="H1894" s="21">
        <f>IF(OR($C1894&lt;&gt;"دستمزد گروهی",$D1894=""),"",SUMIFS(ShareAmt,ShareLink,$D1894))</f>
        <v/>
      </c>
      <c r="I1894" s="22">
        <f>IF($C1894&lt;&gt;"دستمزد گروهی","—",IF($H1894="","",IF(ROUND($H1894-IF($G1894="",0,$G1894),0)=0,"√","▲ مغایرت "&amp;TEXT(IF($G1894="",0,$G1894)-$H1894,"#,##0"))))</f>
        <v/>
      </c>
      <c r="J1894" s="18" t="n"/>
    </row>
    <row r="1895">
      <c r="A1895" s="10">
        <f>IF($B1895="","",COUNTA($B$9:$B1895))</f>
        <v/>
      </c>
      <c r="B1895" s="11" t="n"/>
      <c r="C1895" s="12" t="n"/>
      <c r="D1895" s="12" t="n"/>
      <c r="E1895" s="13" t="n"/>
      <c r="F1895" s="14">
        <f>IF($E1895="","",IF($C1895="دستمزد گروهی",IFERROR(VLOOKUP($E1895,WGTbl,2,0),"کد ناشناخته"),IFERROR(IF(VLOOKUP($E1895,AcctTblE,4,0)="","(بدون نام)",VLOOKUP($E1895,AcctTblE,4,0)),"کد ناشناخته")))</f>
        <v/>
      </c>
      <c r="G1895" s="15" t="n"/>
      <c r="H1895" s="16">
        <f>IF(OR($C1895&lt;&gt;"دستمزد گروهی",$D1895=""),"",SUMIFS(ShareAmt,ShareLink,$D1895))</f>
        <v/>
      </c>
      <c r="I1895" s="17">
        <f>IF($C1895&lt;&gt;"دستمزد گروهی","—",IF($H1895="","",IF(ROUND($H1895-IF($G1895="",0,$G1895),0)=0,"√","▲ مغایرت "&amp;TEXT(IF($G1895="",0,$G1895)-$H1895,"#,##0"))))</f>
        <v/>
      </c>
      <c r="J1895" s="18" t="n"/>
    </row>
    <row r="1896">
      <c r="A1896" s="19">
        <f>IF($B1896="","",COUNTA($B$9:$B1896))</f>
        <v/>
      </c>
      <c r="B1896" s="11" t="n"/>
      <c r="C1896" s="12" t="n"/>
      <c r="D1896" s="12" t="n"/>
      <c r="E1896" s="13" t="n"/>
      <c r="F1896" s="20">
        <f>IF($E1896="","",IF($C1896="دستمزد گروهی",IFERROR(VLOOKUP($E1896,WGTbl,2,0),"کد ناشناخته"),IFERROR(IF(VLOOKUP($E1896,AcctTblE,4,0)="","(بدون نام)",VLOOKUP($E1896,AcctTblE,4,0)),"کد ناشناخته")))</f>
        <v/>
      </c>
      <c r="G1896" s="15" t="n"/>
      <c r="H1896" s="21">
        <f>IF(OR($C1896&lt;&gt;"دستمزد گروهی",$D1896=""),"",SUMIFS(ShareAmt,ShareLink,$D1896))</f>
        <v/>
      </c>
      <c r="I1896" s="22">
        <f>IF($C1896&lt;&gt;"دستمزد گروهی","—",IF($H1896="","",IF(ROUND($H1896-IF($G1896="",0,$G1896),0)=0,"√","▲ مغایرت "&amp;TEXT(IF($G1896="",0,$G1896)-$H1896,"#,##0"))))</f>
        <v/>
      </c>
      <c r="J1896" s="18" t="n"/>
    </row>
    <row r="1897">
      <c r="A1897" s="10">
        <f>IF($B1897="","",COUNTA($B$9:$B1897))</f>
        <v/>
      </c>
      <c r="B1897" s="11" t="n"/>
      <c r="C1897" s="12" t="n"/>
      <c r="D1897" s="12" t="n"/>
      <c r="E1897" s="13" t="n"/>
      <c r="F1897" s="14">
        <f>IF($E1897="","",IF($C1897="دستمزد گروهی",IFERROR(VLOOKUP($E1897,WGTbl,2,0),"کد ناشناخته"),IFERROR(IF(VLOOKUP($E1897,AcctTblE,4,0)="","(بدون نام)",VLOOKUP($E1897,AcctTblE,4,0)),"کد ناشناخته")))</f>
        <v/>
      </c>
      <c r="G1897" s="15" t="n"/>
      <c r="H1897" s="16">
        <f>IF(OR($C1897&lt;&gt;"دستمزد گروهی",$D1897=""),"",SUMIFS(ShareAmt,ShareLink,$D1897))</f>
        <v/>
      </c>
      <c r="I1897" s="17">
        <f>IF($C1897&lt;&gt;"دستمزد گروهی","—",IF($H1897="","",IF(ROUND($H1897-IF($G1897="",0,$G1897),0)=0,"√","▲ مغایرت "&amp;TEXT(IF($G1897="",0,$G1897)-$H1897,"#,##0"))))</f>
        <v/>
      </c>
      <c r="J1897" s="18" t="n"/>
    </row>
    <row r="1898">
      <c r="A1898" s="19">
        <f>IF($B1898="","",COUNTA($B$9:$B1898))</f>
        <v/>
      </c>
      <c r="B1898" s="11" t="n"/>
      <c r="C1898" s="12" t="n"/>
      <c r="D1898" s="12" t="n"/>
      <c r="E1898" s="13" t="n"/>
      <c r="F1898" s="20">
        <f>IF($E1898="","",IF($C1898="دستمزد گروهی",IFERROR(VLOOKUP($E1898,WGTbl,2,0),"کد ناشناخته"),IFERROR(IF(VLOOKUP($E1898,AcctTblE,4,0)="","(بدون نام)",VLOOKUP($E1898,AcctTblE,4,0)),"کد ناشناخته")))</f>
        <v/>
      </c>
      <c r="G1898" s="15" t="n"/>
      <c r="H1898" s="21">
        <f>IF(OR($C1898&lt;&gt;"دستمزد گروهی",$D1898=""),"",SUMIFS(ShareAmt,ShareLink,$D1898))</f>
        <v/>
      </c>
      <c r="I1898" s="22">
        <f>IF($C1898&lt;&gt;"دستمزد گروهی","—",IF($H1898="","",IF(ROUND($H1898-IF($G1898="",0,$G1898),0)=0,"√","▲ مغایرت "&amp;TEXT(IF($G1898="",0,$G1898)-$H1898,"#,##0"))))</f>
        <v/>
      </c>
      <c r="J1898" s="18" t="n"/>
    </row>
    <row r="1899">
      <c r="A1899" s="10">
        <f>IF($B1899="","",COUNTA($B$9:$B1899))</f>
        <v/>
      </c>
      <c r="B1899" s="11" t="n"/>
      <c r="C1899" s="12" t="n"/>
      <c r="D1899" s="12" t="n"/>
      <c r="E1899" s="13" t="n"/>
      <c r="F1899" s="14">
        <f>IF($E1899="","",IF($C1899="دستمزد گروهی",IFERROR(VLOOKUP($E1899,WGTbl,2,0),"کد ناشناخته"),IFERROR(IF(VLOOKUP($E1899,AcctTblE,4,0)="","(بدون نام)",VLOOKUP($E1899,AcctTblE,4,0)),"کد ناشناخته")))</f>
        <v/>
      </c>
      <c r="G1899" s="15" t="n"/>
      <c r="H1899" s="16">
        <f>IF(OR($C1899&lt;&gt;"دستمزد گروهی",$D1899=""),"",SUMIFS(ShareAmt,ShareLink,$D1899))</f>
        <v/>
      </c>
      <c r="I1899" s="17">
        <f>IF($C1899&lt;&gt;"دستمزد گروهی","—",IF($H1899="","",IF(ROUND($H1899-IF($G1899="",0,$G1899),0)=0,"√","▲ مغایرت "&amp;TEXT(IF($G1899="",0,$G1899)-$H1899,"#,##0"))))</f>
        <v/>
      </c>
      <c r="J1899" s="18" t="n"/>
    </row>
    <row r="1900">
      <c r="A1900" s="19">
        <f>IF($B1900="","",COUNTA($B$9:$B1900))</f>
        <v/>
      </c>
      <c r="B1900" s="11" t="n"/>
      <c r="C1900" s="12" t="n"/>
      <c r="D1900" s="12" t="n"/>
      <c r="E1900" s="13" t="n"/>
      <c r="F1900" s="20">
        <f>IF($E1900="","",IF($C1900="دستمزد گروهی",IFERROR(VLOOKUP($E1900,WGTbl,2,0),"کد ناشناخته"),IFERROR(IF(VLOOKUP($E1900,AcctTblE,4,0)="","(بدون نام)",VLOOKUP($E1900,AcctTblE,4,0)),"کد ناشناخته")))</f>
        <v/>
      </c>
      <c r="G1900" s="15" t="n"/>
      <c r="H1900" s="21">
        <f>IF(OR($C1900&lt;&gt;"دستمزد گروهی",$D1900=""),"",SUMIFS(ShareAmt,ShareLink,$D1900))</f>
        <v/>
      </c>
      <c r="I1900" s="22">
        <f>IF($C1900&lt;&gt;"دستمزد گروهی","—",IF($H1900="","",IF(ROUND($H1900-IF($G1900="",0,$G1900),0)=0,"√","▲ مغایرت "&amp;TEXT(IF($G1900="",0,$G1900)-$H1900,"#,##0"))))</f>
        <v/>
      </c>
      <c r="J1900" s="18" t="n"/>
    </row>
    <row r="1901">
      <c r="A1901" s="10">
        <f>IF($B1901="","",COUNTA($B$9:$B1901))</f>
        <v/>
      </c>
      <c r="B1901" s="11" t="n"/>
      <c r="C1901" s="12" t="n"/>
      <c r="D1901" s="12" t="n"/>
      <c r="E1901" s="13" t="n"/>
      <c r="F1901" s="14">
        <f>IF($E1901="","",IF($C1901="دستمزد گروهی",IFERROR(VLOOKUP($E1901,WGTbl,2,0),"کد ناشناخته"),IFERROR(IF(VLOOKUP($E1901,AcctTblE,4,0)="","(بدون نام)",VLOOKUP($E1901,AcctTblE,4,0)),"کد ناشناخته")))</f>
        <v/>
      </c>
      <c r="G1901" s="15" t="n"/>
      <c r="H1901" s="16">
        <f>IF(OR($C1901&lt;&gt;"دستمزد گروهی",$D1901=""),"",SUMIFS(ShareAmt,ShareLink,$D1901))</f>
        <v/>
      </c>
      <c r="I1901" s="17">
        <f>IF($C1901&lt;&gt;"دستمزد گروهی","—",IF($H1901="","",IF(ROUND($H1901-IF($G1901="",0,$G1901),0)=0,"√","▲ مغایرت "&amp;TEXT(IF($G1901="",0,$G1901)-$H1901,"#,##0"))))</f>
        <v/>
      </c>
      <c r="J1901" s="18" t="n"/>
    </row>
    <row r="1902">
      <c r="A1902" s="19">
        <f>IF($B1902="","",COUNTA($B$9:$B1902))</f>
        <v/>
      </c>
      <c r="B1902" s="11" t="n"/>
      <c r="C1902" s="12" t="n"/>
      <c r="D1902" s="12" t="n"/>
      <c r="E1902" s="13" t="n"/>
      <c r="F1902" s="20">
        <f>IF($E1902="","",IF($C1902="دستمزد گروهی",IFERROR(VLOOKUP($E1902,WGTbl,2,0),"کد ناشناخته"),IFERROR(IF(VLOOKUP($E1902,AcctTblE,4,0)="","(بدون نام)",VLOOKUP($E1902,AcctTblE,4,0)),"کد ناشناخته")))</f>
        <v/>
      </c>
      <c r="G1902" s="15" t="n"/>
      <c r="H1902" s="21">
        <f>IF(OR($C1902&lt;&gt;"دستمزد گروهی",$D1902=""),"",SUMIFS(ShareAmt,ShareLink,$D1902))</f>
        <v/>
      </c>
      <c r="I1902" s="22">
        <f>IF($C1902&lt;&gt;"دستمزد گروهی","—",IF($H1902="","",IF(ROUND($H1902-IF($G1902="",0,$G1902),0)=0,"√","▲ مغایرت "&amp;TEXT(IF($G1902="",0,$G1902)-$H1902,"#,##0"))))</f>
        <v/>
      </c>
      <c r="J1902" s="18" t="n"/>
    </row>
    <row r="1903">
      <c r="A1903" s="10">
        <f>IF($B1903="","",COUNTA($B$9:$B1903))</f>
        <v/>
      </c>
      <c r="B1903" s="11" t="n"/>
      <c r="C1903" s="12" t="n"/>
      <c r="D1903" s="12" t="n"/>
      <c r="E1903" s="13" t="n"/>
      <c r="F1903" s="14">
        <f>IF($E1903="","",IF($C1903="دستمزد گروهی",IFERROR(VLOOKUP($E1903,WGTbl,2,0),"کد ناشناخته"),IFERROR(IF(VLOOKUP($E1903,AcctTblE,4,0)="","(بدون نام)",VLOOKUP($E1903,AcctTblE,4,0)),"کد ناشناخته")))</f>
        <v/>
      </c>
      <c r="G1903" s="15" t="n"/>
      <c r="H1903" s="16">
        <f>IF(OR($C1903&lt;&gt;"دستمزد گروهی",$D1903=""),"",SUMIFS(ShareAmt,ShareLink,$D1903))</f>
        <v/>
      </c>
      <c r="I1903" s="17">
        <f>IF($C1903&lt;&gt;"دستمزد گروهی","—",IF($H1903="","",IF(ROUND($H1903-IF($G1903="",0,$G1903),0)=0,"√","▲ مغایرت "&amp;TEXT(IF($G1903="",0,$G1903)-$H1903,"#,##0"))))</f>
        <v/>
      </c>
      <c r="J1903" s="18" t="n"/>
    </row>
    <row r="1904">
      <c r="A1904" s="19">
        <f>IF($B1904="","",COUNTA($B$9:$B1904))</f>
        <v/>
      </c>
      <c r="B1904" s="11" t="n"/>
      <c r="C1904" s="12" t="n"/>
      <c r="D1904" s="12" t="n"/>
      <c r="E1904" s="13" t="n"/>
      <c r="F1904" s="20">
        <f>IF($E1904="","",IF($C1904="دستمزد گروهی",IFERROR(VLOOKUP($E1904,WGTbl,2,0),"کد ناشناخته"),IFERROR(IF(VLOOKUP($E1904,AcctTblE,4,0)="","(بدون نام)",VLOOKUP($E1904,AcctTblE,4,0)),"کد ناشناخته")))</f>
        <v/>
      </c>
      <c r="G1904" s="15" t="n"/>
      <c r="H1904" s="21">
        <f>IF(OR($C1904&lt;&gt;"دستمزد گروهی",$D1904=""),"",SUMIFS(ShareAmt,ShareLink,$D1904))</f>
        <v/>
      </c>
      <c r="I1904" s="22">
        <f>IF($C1904&lt;&gt;"دستمزد گروهی","—",IF($H1904="","",IF(ROUND($H1904-IF($G1904="",0,$G1904),0)=0,"√","▲ مغایرت "&amp;TEXT(IF($G1904="",0,$G1904)-$H1904,"#,##0"))))</f>
        <v/>
      </c>
      <c r="J1904" s="18" t="n"/>
    </row>
    <row r="1905">
      <c r="A1905" s="10">
        <f>IF($B1905="","",COUNTA($B$9:$B1905))</f>
        <v/>
      </c>
      <c r="B1905" s="11" t="n"/>
      <c r="C1905" s="12" t="n"/>
      <c r="D1905" s="12" t="n"/>
      <c r="E1905" s="13" t="n"/>
      <c r="F1905" s="14">
        <f>IF($E1905="","",IF($C1905="دستمزد گروهی",IFERROR(VLOOKUP($E1905,WGTbl,2,0),"کد ناشناخته"),IFERROR(IF(VLOOKUP($E1905,AcctTblE,4,0)="","(بدون نام)",VLOOKUP($E1905,AcctTblE,4,0)),"کد ناشناخته")))</f>
        <v/>
      </c>
      <c r="G1905" s="15" t="n"/>
      <c r="H1905" s="16">
        <f>IF(OR($C1905&lt;&gt;"دستمزد گروهی",$D1905=""),"",SUMIFS(ShareAmt,ShareLink,$D1905))</f>
        <v/>
      </c>
      <c r="I1905" s="17">
        <f>IF($C1905&lt;&gt;"دستمزد گروهی","—",IF($H1905="","",IF(ROUND($H1905-IF($G1905="",0,$G1905),0)=0,"√","▲ مغایرت "&amp;TEXT(IF($G1905="",0,$G1905)-$H1905,"#,##0"))))</f>
        <v/>
      </c>
      <c r="J1905" s="18" t="n"/>
    </row>
    <row r="1906">
      <c r="A1906" s="19">
        <f>IF($B1906="","",COUNTA($B$9:$B1906))</f>
        <v/>
      </c>
      <c r="B1906" s="11" t="n"/>
      <c r="C1906" s="12" t="n"/>
      <c r="D1906" s="12" t="n"/>
      <c r="E1906" s="13" t="n"/>
      <c r="F1906" s="20">
        <f>IF($E1906="","",IF($C1906="دستمزد گروهی",IFERROR(VLOOKUP($E1906,WGTbl,2,0),"کد ناشناخته"),IFERROR(IF(VLOOKUP($E1906,AcctTblE,4,0)="","(بدون نام)",VLOOKUP($E1906,AcctTblE,4,0)),"کد ناشناخته")))</f>
        <v/>
      </c>
      <c r="G1906" s="15" t="n"/>
      <c r="H1906" s="21">
        <f>IF(OR($C1906&lt;&gt;"دستمزد گروهی",$D1906=""),"",SUMIFS(ShareAmt,ShareLink,$D1906))</f>
        <v/>
      </c>
      <c r="I1906" s="22">
        <f>IF($C1906&lt;&gt;"دستمزد گروهی","—",IF($H1906="","",IF(ROUND($H1906-IF($G1906="",0,$G1906),0)=0,"√","▲ مغایرت "&amp;TEXT(IF($G1906="",0,$G1906)-$H1906,"#,##0"))))</f>
        <v/>
      </c>
      <c r="J1906" s="18" t="n"/>
    </row>
    <row r="1907">
      <c r="A1907" s="10">
        <f>IF($B1907="","",COUNTA($B$9:$B1907))</f>
        <v/>
      </c>
      <c r="B1907" s="11" t="n"/>
      <c r="C1907" s="12" t="n"/>
      <c r="D1907" s="12" t="n"/>
      <c r="E1907" s="13" t="n"/>
      <c r="F1907" s="14">
        <f>IF($E1907="","",IF($C1907="دستمزد گروهی",IFERROR(VLOOKUP($E1907,WGTbl,2,0),"کد ناشناخته"),IFERROR(IF(VLOOKUP($E1907,AcctTblE,4,0)="","(بدون نام)",VLOOKUP($E1907,AcctTblE,4,0)),"کد ناشناخته")))</f>
        <v/>
      </c>
      <c r="G1907" s="15" t="n"/>
      <c r="H1907" s="16">
        <f>IF(OR($C1907&lt;&gt;"دستمزد گروهی",$D1907=""),"",SUMIFS(ShareAmt,ShareLink,$D1907))</f>
        <v/>
      </c>
      <c r="I1907" s="17">
        <f>IF($C1907&lt;&gt;"دستمزد گروهی","—",IF($H1907="","",IF(ROUND($H1907-IF($G1907="",0,$G1907),0)=0,"√","▲ مغایرت "&amp;TEXT(IF($G1907="",0,$G1907)-$H1907,"#,##0"))))</f>
        <v/>
      </c>
      <c r="J1907" s="18" t="n"/>
    </row>
    <row r="1908">
      <c r="A1908" s="19">
        <f>IF($B1908="","",COUNTA($B$9:$B1908))</f>
        <v/>
      </c>
      <c r="B1908" s="11" t="n"/>
      <c r="C1908" s="12" t="n"/>
      <c r="D1908" s="12" t="n"/>
      <c r="E1908" s="13" t="n"/>
      <c r="F1908" s="20">
        <f>IF($E1908="","",IF($C1908="دستمزد گروهی",IFERROR(VLOOKUP($E1908,WGTbl,2,0),"کد ناشناخته"),IFERROR(IF(VLOOKUP($E1908,AcctTblE,4,0)="","(بدون نام)",VLOOKUP($E1908,AcctTblE,4,0)),"کد ناشناخته")))</f>
        <v/>
      </c>
      <c r="G1908" s="15" t="n"/>
      <c r="H1908" s="21">
        <f>IF(OR($C1908&lt;&gt;"دستمزد گروهی",$D1908=""),"",SUMIFS(ShareAmt,ShareLink,$D1908))</f>
        <v/>
      </c>
      <c r="I1908" s="22">
        <f>IF($C1908&lt;&gt;"دستمزد گروهی","—",IF($H1908="","",IF(ROUND($H1908-IF($G1908="",0,$G1908),0)=0,"√","▲ مغایرت "&amp;TEXT(IF($G1908="",0,$G1908)-$H1908,"#,##0"))))</f>
        <v/>
      </c>
      <c r="J1908" s="18" t="n"/>
    </row>
    <row r="1909">
      <c r="A1909" s="10">
        <f>IF($B1909="","",COUNTA($B$9:$B1909))</f>
        <v/>
      </c>
      <c r="B1909" s="11" t="n"/>
      <c r="C1909" s="12" t="n"/>
      <c r="D1909" s="12" t="n"/>
      <c r="E1909" s="13" t="n"/>
      <c r="F1909" s="14">
        <f>IF($E1909="","",IF($C1909="دستمزد گروهی",IFERROR(VLOOKUP($E1909,WGTbl,2,0),"کد ناشناخته"),IFERROR(IF(VLOOKUP($E1909,AcctTblE,4,0)="","(بدون نام)",VLOOKUP($E1909,AcctTblE,4,0)),"کد ناشناخته")))</f>
        <v/>
      </c>
      <c r="G1909" s="15" t="n"/>
      <c r="H1909" s="16">
        <f>IF(OR($C1909&lt;&gt;"دستمزد گروهی",$D1909=""),"",SUMIFS(ShareAmt,ShareLink,$D1909))</f>
        <v/>
      </c>
      <c r="I1909" s="17">
        <f>IF($C1909&lt;&gt;"دستمزد گروهی","—",IF($H1909="","",IF(ROUND($H1909-IF($G1909="",0,$G1909),0)=0,"√","▲ مغایرت "&amp;TEXT(IF($G1909="",0,$G1909)-$H1909,"#,##0"))))</f>
        <v/>
      </c>
      <c r="J1909" s="18" t="n"/>
    </row>
    <row r="1910">
      <c r="A1910" s="19">
        <f>IF($B1910="","",COUNTA($B$9:$B1910))</f>
        <v/>
      </c>
      <c r="B1910" s="11" t="n"/>
      <c r="C1910" s="12" t="n"/>
      <c r="D1910" s="12" t="n"/>
      <c r="E1910" s="13" t="n"/>
      <c r="F1910" s="20">
        <f>IF($E1910="","",IF($C1910="دستمزد گروهی",IFERROR(VLOOKUP($E1910,WGTbl,2,0),"کد ناشناخته"),IFERROR(IF(VLOOKUP($E1910,AcctTblE,4,0)="","(بدون نام)",VLOOKUP($E1910,AcctTblE,4,0)),"کد ناشناخته")))</f>
        <v/>
      </c>
      <c r="G1910" s="15" t="n"/>
      <c r="H1910" s="21">
        <f>IF(OR($C1910&lt;&gt;"دستمزد گروهی",$D1910=""),"",SUMIFS(ShareAmt,ShareLink,$D1910))</f>
        <v/>
      </c>
      <c r="I1910" s="22">
        <f>IF($C1910&lt;&gt;"دستمزد گروهی","—",IF($H1910="","",IF(ROUND($H1910-IF($G1910="",0,$G1910),0)=0,"√","▲ مغایرت "&amp;TEXT(IF($G1910="",0,$G1910)-$H1910,"#,##0"))))</f>
        <v/>
      </c>
      <c r="J1910" s="18" t="n"/>
    </row>
    <row r="1911">
      <c r="A1911" s="10">
        <f>IF($B1911="","",COUNTA($B$9:$B1911))</f>
        <v/>
      </c>
      <c r="B1911" s="11" t="n"/>
      <c r="C1911" s="12" t="n"/>
      <c r="D1911" s="12" t="n"/>
      <c r="E1911" s="13" t="n"/>
      <c r="F1911" s="14">
        <f>IF($E1911="","",IF($C1911="دستمزد گروهی",IFERROR(VLOOKUP($E1911,WGTbl,2,0),"کد ناشناخته"),IFERROR(IF(VLOOKUP($E1911,AcctTblE,4,0)="","(بدون نام)",VLOOKUP($E1911,AcctTblE,4,0)),"کد ناشناخته")))</f>
        <v/>
      </c>
      <c r="G1911" s="15" t="n"/>
      <c r="H1911" s="16">
        <f>IF(OR($C1911&lt;&gt;"دستمزد گروهی",$D1911=""),"",SUMIFS(ShareAmt,ShareLink,$D1911))</f>
        <v/>
      </c>
      <c r="I1911" s="17">
        <f>IF($C1911&lt;&gt;"دستمزد گروهی","—",IF($H1911="","",IF(ROUND($H1911-IF($G1911="",0,$G1911),0)=0,"√","▲ مغایرت "&amp;TEXT(IF($G1911="",0,$G1911)-$H1911,"#,##0"))))</f>
        <v/>
      </c>
      <c r="J1911" s="18" t="n"/>
    </row>
    <row r="1912">
      <c r="A1912" s="19">
        <f>IF($B1912="","",COUNTA($B$9:$B1912))</f>
        <v/>
      </c>
      <c r="B1912" s="11" t="n"/>
      <c r="C1912" s="12" t="n"/>
      <c r="D1912" s="12" t="n"/>
      <c r="E1912" s="13" t="n"/>
      <c r="F1912" s="20">
        <f>IF($E1912="","",IF($C1912="دستمزد گروهی",IFERROR(VLOOKUP($E1912,WGTbl,2,0),"کد ناشناخته"),IFERROR(IF(VLOOKUP($E1912,AcctTblE,4,0)="","(بدون نام)",VLOOKUP($E1912,AcctTblE,4,0)),"کد ناشناخته")))</f>
        <v/>
      </c>
      <c r="G1912" s="15" t="n"/>
      <c r="H1912" s="21">
        <f>IF(OR($C1912&lt;&gt;"دستمزد گروهی",$D1912=""),"",SUMIFS(ShareAmt,ShareLink,$D1912))</f>
        <v/>
      </c>
      <c r="I1912" s="22">
        <f>IF($C1912&lt;&gt;"دستمزد گروهی","—",IF($H1912="","",IF(ROUND($H1912-IF($G1912="",0,$G1912),0)=0,"√","▲ مغایرت "&amp;TEXT(IF($G1912="",0,$G1912)-$H1912,"#,##0"))))</f>
        <v/>
      </c>
      <c r="J1912" s="18" t="n"/>
    </row>
    <row r="1913">
      <c r="A1913" s="10">
        <f>IF($B1913="","",COUNTA($B$9:$B1913))</f>
        <v/>
      </c>
      <c r="B1913" s="11" t="n"/>
      <c r="C1913" s="12" t="n"/>
      <c r="D1913" s="12" t="n"/>
      <c r="E1913" s="13" t="n"/>
      <c r="F1913" s="14">
        <f>IF($E1913="","",IF($C1913="دستمزد گروهی",IFERROR(VLOOKUP($E1913,WGTbl,2,0),"کد ناشناخته"),IFERROR(IF(VLOOKUP($E1913,AcctTblE,4,0)="","(بدون نام)",VLOOKUP($E1913,AcctTblE,4,0)),"کد ناشناخته")))</f>
        <v/>
      </c>
      <c r="G1913" s="15" t="n"/>
      <c r="H1913" s="16">
        <f>IF(OR($C1913&lt;&gt;"دستمزد گروهی",$D1913=""),"",SUMIFS(ShareAmt,ShareLink,$D1913))</f>
        <v/>
      </c>
      <c r="I1913" s="17">
        <f>IF($C1913&lt;&gt;"دستمزد گروهی","—",IF($H1913="","",IF(ROUND($H1913-IF($G1913="",0,$G1913),0)=0,"√","▲ مغایرت "&amp;TEXT(IF($G1913="",0,$G1913)-$H1913,"#,##0"))))</f>
        <v/>
      </c>
      <c r="J1913" s="18" t="n"/>
    </row>
    <row r="1914">
      <c r="A1914" s="19">
        <f>IF($B1914="","",COUNTA($B$9:$B1914))</f>
        <v/>
      </c>
      <c r="B1914" s="11" t="n"/>
      <c r="C1914" s="12" t="n"/>
      <c r="D1914" s="12" t="n"/>
      <c r="E1914" s="13" t="n"/>
      <c r="F1914" s="20">
        <f>IF($E1914="","",IF($C1914="دستمزد گروهی",IFERROR(VLOOKUP($E1914,WGTbl,2,0),"کد ناشناخته"),IFERROR(IF(VLOOKUP($E1914,AcctTblE,4,0)="","(بدون نام)",VLOOKUP($E1914,AcctTblE,4,0)),"کد ناشناخته")))</f>
        <v/>
      </c>
      <c r="G1914" s="15" t="n"/>
      <c r="H1914" s="21">
        <f>IF(OR($C1914&lt;&gt;"دستمزد گروهی",$D1914=""),"",SUMIFS(ShareAmt,ShareLink,$D1914))</f>
        <v/>
      </c>
      <c r="I1914" s="22">
        <f>IF($C1914&lt;&gt;"دستمزد گروهی","—",IF($H1914="","",IF(ROUND($H1914-IF($G1914="",0,$G1914),0)=0,"√","▲ مغایرت "&amp;TEXT(IF($G1914="",0,$G1914)-$H1914,"#,##0"))))</f>
        <v/>
      </c>
      <c r="J1914" s="18" t="n"/>
    </row>
    <row r="1915">
      <c r="A1915" s="10">
        <f>IF($B1915="","",COUNTA($B$9:$B1915))</f>
        <v/>
      </c>
      <c r="B1915" s="11" t="n"/>
      <c r="C1915" s="12" t="n"/>
      <c r="D1915" s="12" t="n"/>
      <c r="E1915" s="13" t="n"/>
      <c r="F1915" s="14">
        <f>IF($E1915="","",IF($C1915="دستمزد گروهی",IFERROR(VLOOKUP($E1915,WGTbl,2,0),"کد ناشناخته"),IFERROR(IF(VLOOKUP($E1915,AcctTblE,4,0)="","(بدون نام)",VLOOKUP($E1915,AcctTblE,4,0)),"کد ناشناخته")))</f>
        <v/>
      </c>
      <c r="G1915" s="15" t="n"/>
      <c r="H1915" s="16">
        <f>IF(OR($C1915&lt;&gt;"دستمزد گروهی",$D1915=""),"",SUMIFS(ShareAmt,ShareLink,$D1915))</f>
        <v/>
      </c>
      <c r="I1915" s="17">
        <f>IF($C1915&lt;&gt;"دستمزد گروهی","—",IF($H1915="","",IF(ROUND($H1915-IF($G1915="",0,$G1915),0)=0,"√","▲ مغایرت "&amp;TEXT(IF($G1915="",0,$G1915)-$H1915,"#,##0"))))</f>
        <v/>
      </c>
      <c r="J1915" s="18" t="n"/>
    </row>
    <row r="1916">
      <c r="A1916" s="19">
        <f>IF($B1916="","",COUNTA($B$9:$B1916))</f>
        <v/>
      </c>
      <c r="B1916" s="11" t="n"/>
      <c r="C1916" s="12" t="n"/>
      <c r="D1916" s="12" t="n"/>
      <c r="E1916" s="13" t="n"/>
      <c r="F1916" s="20">
        <f>IF($E1916="","",IF($C1916="دستمزد گروهی",IFERROR(VLOOKUP($E1916,WGTbl,2,0),"کد ناشناخته"),IFERROR(IF(VLOOKUP($E1916,AcctTblE,4,0)="","(بدون نام)",VLOOKUP($E1916,AcctTblE,4,0)),"کد ناشناخته")))</f>
        <v/>
      </c>
      <c r="G1916" s="15" t="n"/>
      <c r="H1916" s="21">
        <f>IF(OR($C1916&lt;&gt;"دستمزد گروهی",$D1916=""),"",SUMIFS(ShareAmt,ShareLink,$D1916))</f>
        <v/>
      </c>
      <c r="I1916" s="22">
        <f>IF($C1916&lt;&gt;"دستمزد گروهی","—",IF($H1916="","",IF(ROUND($H1916-IF($G1916="",0,$G1916),0)=0,"√","▲ مغایرت "&amp;TEXT(IF($G1916="",0,$G1916)-$H1916,"#,##0"))))</f>
        <v/>
      </c>
      <c r="J1916" s="18" t="n"/>
    </row>
    <row r="1917">
      <c r="A1917" s="10">
        <f>IF($B1917="","",COUNTA($B$9:$B1917))</f>
        <v/>
      </c>
      <c r="B1917" s="11" t="n"/>
      <c r="C1917" s="12" t="n"/>
      <c r="D1917" s="12" t="n"/>
      <c r="E1917" s="13" t="n"/>
      <c r="F1917" s="14">
        <f>IF($E1917="","",IF($C1917="دستمزد گروهی",IFERROR(VLOOKUP($E1917,WGTbl,2,0),"کد ناشناخته"),IFERROR(IF(VLOOKUP($E1917,AcctTblE,4,0)="","(بدون نام)",VLOOKUP($E1917,AcctTblE,4,0)),"کد ناشناخته")))</f>
        <v/>
      </c>
      <c r="G1917" s="15" t="n"/>
      <c r="H1917" s="16">
        <f>IF(OR($C1917&lt;&gt;"دستمزد گروهی",$D1917=""),"",SUMIFS(ShareAmt,ShareLink,$D1917))</f>
        <v/>
      </c>
      <c r="I1917" s="17">
        <f>IF($C1917&lt;&gt;"دستمزد گروهی","—",IF($H1917="","",IF(ROUND($H1917-IF($G1917="",0,$G1917),0)=0,"√","▲ مغایرت "&amp;TEXT(IF($G1917="",0,$G1917)-$H1917,"#,##0"))))</f>
        <v/>
      </c>
      <c r="J1917" s="18" t="n"/>
    </row>
    <row r="1918">
      <c r="A1918" s="19">
        <f>IF($B1918="","",COUNTA($B$9:$B1918))</f>
        <v/>
      </c>
      <c r="B1918" s="11" t="n"/>
      <c r="C1918" s="12" t="n"/>
      <c r="D1918" s="12" t="n"/>
      <c r="E1918" s="13" t="n"/>
      <c r="F1918" s="20">
        <f>IF($E1918="","",IF($C1918="دستمزد گروهی",IFERROR(VLOOKUP($E1918,WGTbl,2,0),"کد ناشناخته"),IFERROR(IF(VLOOKUP($E1918,AcctTblE,4,0)="","(بدون نام)",VLOOKUP($E1918,AcctTblE,4,0)),"کد ناشناخته")))</f>
        <v/>
      </c>
      <c r="G1918" s="15" t="n"/>
      <c r="H1918" s="21">
        <f>IF(OR($C1918&lt;&gt;"دستمزد گروهی",$D1918=""),"",SUMIFS(ShareAmt,ShareLink,$D1918))</f>
        <v/>
      </c>
      <c r="I1918" s="22">
        <f>IF($C1918&lt;&gt;"دستمزد گروهی","—",IF($H1918="","",IF(ROUND($H1918-IF($G1918="",0,$G1918),0)=0,"√","▲ مغایرت "&amp;TEXT(IF($G1918="",0,$G1918)-$H1918,"#,##0"))))</f>
        <v/>
      </c>
      <c r="J1918" s="18" t="n"/>
    </row>
    <row r="1919">
      <c r="A1919" s="10">
        <f>IF($B1919="","",COUNTA($B$9:$B1919))</f>
        <v/>
      </c>
      <c r="B1919" s="11" t="n"/>
      <c r="C1919" s="12" t="n"/>
      <c r="D1919" s="12" t="n"/>
      <c r="E1919" s="13" t="n"/>
      <c r="F1919" s="14">
        <f>IF($E1919="","",IF($C1919="دستمزد گروهی",IFERROR(VLOOKUP($E1919,WGTbl,2,0),"کد ناشناخته"),IFERROR(IF(VLOOKUP($E1919,AcctTblE,4,0)="","(بدون نام)",VLOOKUP($E1919,AcctTblE,4,0)),"کد ناشناخته")))</f>
        <v/>
      </c>
      <c r="G1919" s="15" t="n"/>
      <c r="H1919" s="16">
        <f>IF(OR($C1919&lt;&gt;"دستمزد گروهی",$D1919=""),"",SUMIFS(ShareAmt,ShareLink,$D1919))</f>
        <v/>
      </c>
      <c r="I1919" s="17">
        <f>IF($C1919&lt;&gt;"دستمزد گروهی","—",IF($H1919="","",IF(ROUND($H1919-IF($G1919="",0,$G1919),0)=0,"√","▲ مغایرت "&amp;TEXT(IF($G1919="",0,$G1919)-$H1919,"#,##0"))))</f>
        <v/>
      </c>
      <c r="J1919" s="18" t="n"/>
    </row>
    <row r="1920">
      <c r="A1920" s="19">
        <f>IF($B1920="","",COUNTA($B$9:$B1920))</f>
        <v/>
      </c>
      <c r="B1920" s="11" t="n"/>
      <c r="C1920" s="12" t="n"/>
      <c r="D1920" s="12" t="n"/>
      <c r="E1920" s="13" t="n"/>
      <c r="F1920" s="20">
        <f>IF($E1920="","",IF($C1920="دستمزد گروهی",IFERROR(VLOOKUP($E1920,WGTbl,2,0),"کد ناشناخته"),IFERROR(IF(VLOOKUP($E1920,AcctTblE,4,0)="","(بدون نام)",VLOOKUP($E1920,AcctTblE,4,0)),"کد ناشناخته")))</f>
        <v/>
      </c>
      <c r="G1920" s="15" t="n"/>
      <c r="H1920" s="21">
        <f>IF(OR($C1920&lt;&gt;"دستمزد گروهی",$D1920=""),"",SUMIFS(ShareAmt,ShareLink,$D1920))</f>
        <v/>
      </c>
      <c r="I1920" s="22">
        <f>IF($C1920&lt;&gt;"دستمزد گروهی","—",IF($H1920="","",IF(ROUND($H1920-IF($G1920="",0,$G1920),0)=0,"√","▲ مغایرت "&amp;TEXT(IF($G1920="",0,$G1920)-$H1920,"#,##0"))))</f>
        <v/>
      </c>
      <c r="J1920" s="18" t="n"/>
    </row>
    <row r="1921">
      <c r="A1921" s="10">
        <f>IF($B1921="","",COUNTA($B$9:$B1921))</f>
        <v/>
      </c>
      <c r="B1921" s="11" t="n"/>
      <c r="C1921" s="12" t="n"/>
      <c r="D1921" s="12" t="n"/>
      <c r="E1921" s="13" t="n"/>
      <c r="F1921" s="14">
        <f>IF($E1921="","",IF($C1921="دستمزد گروهی",IFERROR(VLOOKUP($E1921,WGTbl,2,0),"کد ناشناخته"),IFERROR(IF(VLOOKUP($E1921,AcctTblE,4,0)="","(بدون نام)",VLOOKUP($E1921,AcctTblE,4,0)),"کد ناشناخته")))</f>
        <v/>
      </c>
      <c r="G1921" s="15" t="n"/>
      <c r="H1921" s="16">
        <f>IF(OR($C1921&lt;&gt;"دستمزد گروهی",$D1921=""),"",SUMIFS(ShareAmt,ShareLink,$D1921))</f>
        <v/>
      </c>
      <c r="I1921" s="17">
        <f>IF($C1921&lt;&gt;"دستمزد گروهی","—",IF($H1921="","",IF(ROUND($H1921-IF($G1921="",0,$G1921),0)=0,"√","▲ مغایرت "&amp;TEXT(IF($G1921="",0,$G1921)-$H1921,"#,##0"))))</f>
        <v/>
      </c>
      <c r="J1921" s="18" t="n"/>
    </row>
    <row r="1922">
      <c r="A1922" s="19">
        <f>IF($B1922="","",COUNTA($B$9:$B1922))</f>
        <v/>
      </c>
      <c r="B1922" s="11" t="n"/>
      <c r="C1922" s="12" t="n"/>
      <c r="D1922" s="12" t="n"/>
      <c r="E1922" s="13" t="n"/>
      <c r="F1922" s="20">
        <f>IF($E1922="","",IF($C1922="دستمزد گروهی",IFERROR(VLOOKUP($E1922,WGTbl,2,0),"کد ناشناخته"),IFERROR(IF(VLOOKUP($E1922,AcctTblE,4,0)="","(بدون نام)",VLOOKUP($E1922,AcctTblE,4,0)),"کد ناشناخته")))</f>
        <v/>
      </c>
      <c r="G1922" s="15" t="n"/>
      <c r="H1922" s="21">
        <f>IF(OR($C1922&lt;&gt;"دستمزد گروهی",$D1922=""),"",SUMIFS(ShareAmt,ShareLink,$D1922))</f>
        <v/>
      </c>
      <c r="I1922" s="22">
        <f>IF($C1922&lt;&gt;"دستمزد گروهی","—",IF($H1922="","",IF(ROUND($H1922-IF($G1922="",0,$G1922),0)=0,"√","▲ مغایرت "&amp;TEXT(IF($G1922="",0,$G1922)-$H1922,"#,##0"))))</f>
        <v/>
      </c>
      <c r="J1922" s="18" t="n"/>
    </row>
    <row r="1923">
      <c r="A1923" s="10">
        <f>IF($B1923="","",COUNTA($B$9:$B1923))</f>
        <v/>
      </c>
      <c r="B1923" s="11" t="n"/>
      <c r="C1923" s="12" t="n"/>
      <c r="D1923" s="12" t="n"/>
      <c r="E1923" s="13" t="n"/>
      <c r="F1923" s="14">
        <f>IF($E1923="","",IF($C1923="دستمزد گروهی",IFERROR(VLOOKUP($E1923,WGTbl,2,0),"کد ناشناخته"),IFERROR(IF(VLOOKUP($E1923,AcctTblE,4,0)="","(بدون نام)",VLOOKUP($E1923,AcctTblE,4,0)),"کد ناشناخته")))</f>
        <v/>
      </c>
      <c r="G1923" s="15" t="n"/>
      <c r="H1923" s="16">
        <f>IF(OR($C1923&lt;&gt;"دستمزد گروهی",$D1923=""),"",SUMIFS(ShareAmt,ShareLink,$D1923))</f>
        <v/>
      </c>
      <c r="I1923" s="17">
        <f>IF($C1923&lt;&gt;"دستمزد گروهی","—",IF($H1923="","",IF(ROUND($H1923-IF($G1923="",0,$G1923),0)=0,"√","▲ مغایرت "&amp;TEXT(IF($G1923="",0,$G1923)-$H1923,"#,##0"))))</f>
        <v/>
      </c>
      <c r="J1923" s="18" t="n"/>
    </row>
    <row r="1924">
      <c r="A1924" s="19">
        <f>IF($B1924="","",COUNTA($B$9:$B1924))</f>
        <v/>
      </c>
      <c r="B1924" s="11" t="n"/>
      <c r="C1924" s="12" t="n"/>
      <c r="D1924" s="12" t="n"/>
      <c r="E1924" s="13" t="n"/>
      <c r="F1924" s="20">
        <f>IF($E1924="","",IF($C1924="دستمزد گروهی",IFERROR(VLOOKUP($E1924,WGTbl,2,0),"کد ناشناخته"),IFERROR(IF(VLOOKUP($E1924,AcctTblE,4,0)="","(بدون نام)",VLOOKUP($E1924,AcctTblE,4,0)),"کد ناشناخته")))</f>
        <v/>
      </c>
      <c r="G1924" s="15" t="n"/>
      <c r="H1924" s="21">
        <f>IF(OR($C1924&lt;&gt;"دستمزد گروهی",$D1924=""),"",SUMIFS(ShareAmt,ShareLink,$D1924))</f>
        <v/>
      </c>
      <c r="I1924" s="22">
        <f>IF($C1924&lt;&gt;"دستمزد گروهی","—",IF($H1924="","",IF(ROUND($H1924-IF($G1924="",0,$G1924),0)=0,"√","▲ مغایرت "&amp;TEXT(IF($G1924="",0,$G1924)-$H1924,"#,##0"))))</f>
        <v/>
      </c>
      <c r="J1924" s="18" t="n"/>
    </row>
    <row r="1925">
      <c r="A1925" s="10">
        <f>IF($B1925="","",COUNTA($B$9:$B1925))</f>
        <v/>
      </c>
      <c r="B1925" s="11" t="n"/>
      <c r="C1925" s="12" t="n"/>
      <c r="D1925" s="12" t="n"/>
      <c r="E1925" s="13" t="n"/>
      <c r="F1925" s="14">
        <f>IF($E1925="","",IF($C1925="دستمزد گروهی",IFERROR(VLOOKUP($E1925,WGTbl,2,0),"کد ناشناخته"),IFERROR(IF(VLOOKUP($E1925,AcctTblE,4,0)="","(بدون نام)",VLOOKUP($E1925,AcctTblE,4,0)),"کد ناشناخته")))</f>
        <v/>
      </c>
      <c r="G1925" s="15" t="n"/>
      <c r="H1925" s="16">
        <f>IF(OR($C1925&lt;&gt;"دستمزد گروهی",$D1925=""),"",SUMIFS(ShareAmt,ShareLink,$D1925))</f>
        <v/>
      </c>
      <c r="I1925" s="17">
        <f>IF($C1925&lt;&gt;"دستمزد گروهی","—",IF($H1925="","",IF(ROUND($H1925-IF($G1925="",0,$G1925),0)=0,"√","▲ مغایرت "&amp;TEXT(IF($G1925="",0,$G1925)-$H1925,"#,##0"))))</f>
        <v/>
      </c>
      <c r="J1925" s="18" t="n"/>
    </row>
    <row r="1926">
      <c r="A1926" s="19">
        <f>IF($B1926="","",COUNTA($B$9:$B1926))</f>
        <v/>
      </c>
      <c r="B1926" s="11" t="n"/>
      <c r="C1926" s="12" t="n"/>
      <c r="D1926" s="12" t="n"/>
      <c r="E1926" s="13" t="n"/>
      <c r="F1926" s="20">
        <f>IF($E1926="","",IF($C1926="دستمزد گروهی",IFERROR(VLOOKUP($E1926,WGTbl,2,0),"کد ناشناخته"),IFERROR(IF(VLOOKUP($E1926,AcctTblE,4,0)="","(بدون نام)",VLOOKUP($E1926,AcctTblE,4,0)),"کد ناشناخته")))</f>
        <v/>
      </c>
      <c r="G1926" s="15" t="n"/>
      <c r="H1926" s="21">
        <f>IF(OR($C1926&lt;&gt;"دستمزد گروهی",$D1926=""),"",SUMIFS(ShareAmt,ShareLink,$D1926))</f>
        <v/>
      </c>
      <c r="I1926" s="22">
        <f>IF($C1926&lt;&gt;"دستمزد گروهی","—",IF($H1926="","",IF(ROUND($H1926-IF($G1926="",0,$G1926),0)=0,"√","▲ مغایرت "&amp;TEXT(IF($G1926="",0,$G1926)-$H1926,"#,##0"))))</f>
        <v/>
      </c>
      <c r="J1926" s="18" t="n"/>
    </row>
    <row r="1927">
      <c r="A1927" s="10">
        <f>IF($B1927="","",COUNTA($B$9:$B1927))</f>
        <v/>
      </c>
      <c r="B1927" s="11" t="n"/>
      <c r="C1927" s="12" t="n"/>
      <c r="D1927" s="12" t="n"/>
      <c r="E1927" s="13" t="n"/>
      <c r="F1927" s="14">
        <f>IF($E1927="","",IF($C1927="دستمزد گروهی",IFERROR(VLOOKUP($E1927,WGTbl,2,0),"کد ناشناخته"),IFERROR(IF(VLOOKUP($E1927,AcctTblE,4,0)="","(بدون نام)",VLOOKUP($E1927,AcctTblE,4,0)),"کد ناشناخته")))</f>
        <v/>
      </c>
      <c r="G1927" s="15" t="n"/>
      <c r="H1927" s="16">
        <f>IF(OR($C1927&lt;&gt;"دستمزد گروهی",$D1927=""),"",SUMIFS(ShareAmt,ShareLink,$D1927))</f>
        <v/>
      </c>
      <c r="I1927" s="17">
        <f>IF($C1927&lt;&gt;"دستمزد گروهی","—",IF($H1927="","",IF(ROUND($H1927-IF($G1927="",0,$G1927),0)=0,"√","▲ مغایرت "&amp;TEXT(IF($G1927="",0,$G1927)-$H1927,"#,##0"))))</f>
        <v/>
      </c>
      <c r="J1927" s="18" t="n"/>
    </row>
    <row r="1928">
      <c r="A1928" s="19">
        <f>IF($B1928="","",COUNTA($B$9:$B1928))</f>
        <v/>
      </c>
      <c r="B1928" s="11" t="n"/>
      <c r="C1928" s="12" t="n"/>
      <c r="D1928" s="12" t="n"/>
      <c r="E1928" s="13" t="n"/>
      <c r="F1928" s="20">
        <f>IF($E1928="","",IF($C1928="دستمزد گروهی",IFERROR(VLOOKUP($E1928,WGTbl,2,0),"کد ناشناخته"),IFERROR(IF(VLOOKUP($E1928,AcctTblE,4,0)="","(بدون نام)",VLOOKUP($E1928,AcctTblE,4,0)),"کد ناشناخته")))</f>
        <v/>
      </c>
      <c r="G1928" s="15" t="n"/>
      <c r="H1928" s="21">
        <f>IF(OR($C1928&lt;&gt;"دستمزد گروهی",$D1928=""),"",SUMIFS(ShareAmt,ShareLink,$D1928))</f>
        <v/>
      </c>
      <c r="I1928" s="22">
        <f>IF($C1928&lt;&gt;"دستمزد گروهی","—",IF($H1928="","",IF(ROUND($H1928-IF($G1928="",0,$G1928),0)=0,"√","▲ مغایرت "&amp;TEXT(IF($G1928="",0,$G1928)-$H1928,"#,##0"))))</f>
        <v/>
      </c>
      <c r="J1928" s="18" t="n"/>
    </row>
    <row r="1929">
      <c r="A1929" s="10">
        <f>IF($B1929="","",COUNTA($B$9:$B1929))</f>
        <v/>
      </c>
      <c r="B1929" s="11" t="n"/>
      <c r="C1929" s="12" t="n"/>
      <c r="D1929" s="12" t="n"/>
      <c r="E1929" s="13" t="n"/>
      <c r="F1929" s="14">
        <f>IF($E1929="","",IF($C1929="دستمزد گروهی",IFERROR(VLOOKUP($E1929,WGTbl,2,0),"کد ناشناخته"),IFERROR(IF(VLOOKUP($E1929,AcctTblE,4,0)="","(بدون نام)",VLOOKUP($E1929,AcctTblE,4,0)),"کد ناشناخته")))</f>
        <v/>
      </c>
      <c r="G1929" s="15" t="n"/>
      <c r="H1929" s="16">
        <f>IF(OR($C1929&lt;&gt;"دستمزد گروهی",$D1929=""),"",SUMIFS(ShareAmt,ShareLink,$D1929))</f>
        <v/>
      </c>
      <c r="I1929" s="17">
        <f>IF($C1929&lt;&gt;"دستمزد گروهی","—",IF($H1929="","",IF(ROUND($H1929-IF($G1929="",0,$G1929),0)=0,"√","▲ مغایرت "&amp;TEXT(IF($G1929="",0,$G1929)-$H1929,"#,##0"))))</f>
        <v/>
      </c>
      <c r="J1929" s="18" t="n"/>
    </row>
    <row r="1930">
      <c r="A1930" s="19">
        <f>IF($B1930="","",COUNTA($B$9:$B1930))</f>
        <v/>
      </c>
      <c r="B1930" s="11" t="n"/>
      <c r="C1930" s="12" t="n"/>
      <c r="D1930" s="12" t="n"/>
      <c r="E1930" s="13" t="n"/>
      <c r="F1930" s="20">
        <f>IF($E1930="","",IF($C1930="دستمزد گروهی",IFERROR(VLOOKUP($E1930,WGTbl,2,0),"کد ناشناخته"),IFERROR(IF(VLOOKUP($E1930,AcctTblE,4,0)="","(بدون نام)",VLOOKUP($E1930,AcctTblE,4,0)),"کد ناشناخته")))</f>
        <v/>
      </c>
      <c r="G1930" s="15" t="n"/>
      <c r="H1930" s="21">
        <f>IF(OR($C1930&lt;&gt;"دستمزد گروهی",$D1930=""),"",SUMIFS(ShareAmt,ShareLink,$D1930))</f>
        <v/>
      </c>
      <c r="I1930" s="22">
        <f>IF($C1930&lt;&gt;"دستمزد گروهی","—",IF($H1930="","",IF(ROUND($H1930-IF($G1930="",0,$G1930),0)=0,"√","▲ مغایرت "&amp;TEXT(IF($G1930="",0,$G1930)-$H1930,"#,##0"))))</f>
        <v/>
      </c>
      <c r="J1930" s="18" t="n"/>
    </row>
    <row r="1931">
      <c r="A1931" s="10">
        <f>IF($B1931="","",COUNTA($B$9:$B1931))</f>
        <v/>
      </c>
      <c r="B1931" s="11" t="n"/>
      <c r="C1931" s="12" t="n"/>
      <c r="D1931" s="12" t="n"/>
      <c r="E1931" s="13" t="n"/>
      <c r="F1931" s="14">
        <f>IF($E1931="","",IF($C1931="دستمزد گروهی",IFERROR(VLOOKUP($E1931,WGTbl,2,0),"کد ناشناخته"),IFERROR(IF(VLOOKUP($E1931,AcctTblE,4,0)="","(بدون نام)",VLOOKUP($E1931,AcctTblE,4,0)),"کد ناشناخته")))</f>
        <v/>
      </c>
      <c r="G1931" s="15" t="n"/>
      <c r="H1931" s="16">
        <f>IF(OR($C1931&lt;&gt;"دستمزد گروهی",$D1931=""),"",SUMIFS(ShareAmt,ShareLink,$D1931))</f>
        <v/>
      </c>
      <c r="I1931" s="17">
        <f>IF($C1931&lt;&gt;"دستمزد گروهی","—",IF($H1931="","",IF(ROUND($H1931-IF($G1931="",0,$G1931),0)=0,"√","▲ مغایرت "&amp;TEXT(IF($G1931="",0,$G1931)-$H1931,"#,##0"))))</f>
        <v/>
      </c>
      <c r="J1931" s="18" t="n"/>
    </row>
    <row r="1932">
      <c r="A1932" s="19">
        <f>IF($B1932="","",COUNTA($B$9:$B1932))</f>
        <v/>
      </c>
      <c r="B1932" s="11" t="n"/>
      <c r="C1932" s="12" t="n"/>
      <c r="D1932" s="12" t="n"/>
      <c r="E1932" s="13" t="n"/>
      <c r="F1932" s="20">
        <f>IF($E1932="","",IF($C1932="دستمزد گروهی",IFERROR(VLOOKUP($E1932,WGTbl,2,0),"کد ناشناخته"),IFERROR(IF(VLOOKUP($E1932,AcctTblE,4,0)="","(بدون نام)",VLOOKUP($E1932,AcctTblE,4,0)),"کد ناشناخته")))</f>
        <v/>
      </c>
      <c r="G1932" s="15" t="n"/>
      <c r="H1932" s="21">
        <f>IF(OR($C1932&lt;&gt;"دستمزد گروهی",$D1932=""),"",SUMIFS(ShareAmt,ShareLink,$D1932))</f>
        <v/>
      </c>
      <c r="I1932" s="22">
        <f>IF($C1932&lt;&gt;"دستمزد گروهی","—",IF($H1932="","",IF(ROUND($H1932-IF($G1932="",0,$G1932),0)=0,"√","▲ مغایرت "&amp;TEXT(IF($G1932="",0,$G1932)-$H1932,"#,##0"))))</f>
        <v/>
      </c>
      <c r="J1932" s="18" t="n"/>
    </row>
    <row r="1933">
      <c r="A1933" s="10">
        <f>IF($B1933="","",COUNTA($B$9:$B1933))</f>
        <v/>
      </c>
      <c r="B1933" s="11" t="n"/>
      <c r="C1933" s="12" t="n"/>
      <c r="D1933" s="12" t="n"/>
      <c r="E1933" s="13" t="n"/>
      <c r="F1933" s="14">
        <f>IF($E1933="","",IF($C1933="دستمزد گروهی",IFERROR(VLOOKUP($E1933,WGTbl,2,0),"کد ناشناخته"),IFERROR(IF(VLOOKUP($E1933,AcctTblE,4,0)="","(بدون نام)",VLOOKUP($E1933,AcctTblE,4,0)),"کد ناشناخته")))</f>
        <v/>
      </c>
      <c r="G1933" s="15" t="n"/>
      <c r="H1933" s="16">
        <f>IF(OR($C1933&lt;&gt;"دستمزد گروهی",$D1933=""),"",SUMIFS(ShareAmt,ShareLink,$D1933))</f>
        <v/>
      </c>
      <c r="I1933" s="17">
        <f>IF($C1933&lt;&gt;"دستمزد گروهی","—",IF($H1933="","",IF(ROUND($H1933-IF($G1933="",0,$G1933),0)=0,"√","▲ مغایرت "&amp;TEXT(IF($G1933="",0,$G1933)-$H1933,"#,##0"))))</f>
        <v/>
      </c>
      <c r="J1933" s="18" t="n"/>
    </row>
    <row r="1934">
      <c r="A1934" s="19">
        <f>IF($B1934="","",COUNTA($B$9:$B1934))</f>
        <v/>
      </c>
      <c r="B1934" s="11" t="n"/>
      <c r="C1934" s="12" t="n"/>
      <c r="D1934" s="12" t="n"/>
      <c r="E1934" s="13" t="n"/>
      <c r="F1934" s="20">
        <f>IF($E1934="","",IF($C1934="دستمزد گروهی",IFERROR(VLOOKUP($E1934,WGTbl,2,0),"کد ناشناخته"),IFERROR(IF(VLOOKUP($E1934,AcctTblE,4,0)="","(بدون نام)",VLOOKUP($E1934,AcctTblE,4,0)),"کد ناشناخته")))</f>
        <v/>
      </c>
      <c r="G1934" s="15" t="n"/>
      <c r="H1934" s="21">
        <f>IF(OR($C1934&lt;&gt;"دستمزد گروهی",$D1934=""),"",SUMIFS(ShareAmt,ShareLink,$D1934))</f>
        <v/>
      </c>
      <c r="I1934" s="22">
        <f>IF($C1934&lt;&gt;"دستمزد گروهی","—",IF($H1934="","",IF(ROUND($H1934-IF($G1934="",0,$G1934),0)=0,"√","▲ مغایرت "&amp;TEXT(IF($G1934="",0,$G1934)-$H1934,"#,##0"))))</f>
        <v/>
      </c>
      <c r="J1934" s="18" t="n"/>
    </row>
    <row r="1935">
      <c r="A1935" s="10">
        <f>IF($B1935="","",COUNTA($B$9:$B1935))</f>
        <v/>
      </c>
      <c r="B1935" s="11" t="n"/>
      <c r="C1935" s="12" t="n"/>
      <c r="D1935" s="12" t="n"/>
      <c r="E1935" s="13" t="n"/>
      <c r="F1935" s="14">
        <f>IF($E1935="","",IF($C1935="دستمزد گروهی",IFERROR(VLOOKUP($E1935,WGTbl,2,0),"کد ناشناخته"),IFERROR(IF(VLOOKUP($E1935,AcctTblE,4,0)="","(بدون نام)",VLOOKUP($E1935,AcctTblE,4,0)),"کد ناشناخته")))</f>
        <v/>
      </c>
      <c r="G1935" s="15" t="n"/>
      <c r="H1935" s="16">
        <f>IF(OR($C1935&lt;&gt;"دستمزد گروهی",$D1935=""),"",SUMIFS(ShareAmt,ShareLink,$D1935))</f>
        <v/>
      </c>
      <c r="I1935" s="17">
        <f>IF($C1935&lt;&gt;"دستمزد گروهی","—",IF($H1935="","",IF(ROUND($H1935-IF($G1935="",0,$G1935),0)=0,"√","▲ مغایرت "&amp;TEXT(IF($G1935="",0,$G1935)-$H1935,"#,##0"))))</f>
        <v/>
      </c>
      <c r="J1935" s="18" t="n"/>
    </row>
    <row r="1936">
      <c r="A1936" s="19">
        <f>IF($B1936="","",COUNTA($B$9:$B1936))</f>
        <v/>
      </c>
      <c r="B1936" s="11" t="n"/>
      <c r="C1936" s="12" t="n"/>
      <c r="D1936" s="12" t="n"/>
      <c r="E1936" s="13" t="n"/>
      <c r="F1936" s="20">
        <f>IF($E1936="","",IF($C1936="دستمزد گروهی",IFERROR(VLOOKUP($E1936,WGTbl,2,0),"کد ناشناخته"),IFERROR(IF(VLOOKUP($E1936,AcctTblE,4,0)="","(بدون نام)",VLOOKUP($E1936,AcctTblE,4,0)),"کد ناشناخته")))</f>
        <v/>
      </c>
      <c r="G1936" s="15" t="n"/>
      <c r="H1936" s="21">
        <f>IF(OR($C1936&lt;&gt;"دستمزد گروهی",$D1936=""),"",SUMIFS(ShareAmt,ShareLink,$D1936))</f>
        <v/>
      </c>
      <c r="I1936" s="22">
        <f>IF($C1936&lt;&gt;"دستمزد گروهی","—",IF($H1936="","",IF(ROUND($H1936-IF($G1936="",0,$G1936),0)=0,"√","▲ مغایرت "&amp;TEXT(IF($G1936="",0,$G1936)-$H1936,"#,##0"))))</f>
        <v/>
      </c>
      <c r="J1936" s="18" t="n"/>
    </row>
    <row r="1937">
      <c r="A1937" s="10">
        <f>IF($B1937="","",COUNTA($B$9:$B1937))</f>
        <v/>
      </c>
      <c r="B1937" s="11" t="n"/>
      <c r="C1937" s="12" t="n"/>
      <c r="D1937" s="12" t="n"/>
      <c r="E1937" s="13" t="n"/>
      <c r="F1937" s="14">
        <f>IF($E1937="","",IF($C1937="دستمزد گروهی",IFERROR(VLOOKUP($E1937,WGTbl,2,0),"کد ناشناخته"),IFERROR(IF(VLOOKUP($E1937,AcctTblE,4,0)="","(بدون نام)",VLOOKUP($E1937,AcctTblE,4,0)),"کد ناشناخته")))</f>
        <v/>
      </c>
      <c r="G1937" s="15" t="n"/>
      <c r="H1937" s="16">
        <f>IF(OR($C1937&lt;&gt;"دستمزد گروهی",$D1937=""),"",SUMIFS(ShareAmt,ShareLink,$D1937))</f>
        <v/>
      </c>
      <c r="I1937" s="17">
        <f>IF($C1937&lt;&gt;"دستمزد گروهی","—",IF($H1937="","",IF(ROUND($H1937-IF($G1937="",0,$G1937),0)=0,"√","▲ مغایرت "&amp;TEXT(IF($G1937="",0,$G1937)-$H1937,"#,##0"))))</f>
        <v/>
      </c>
      <c r="J1937" s="18" t="n"/>
    </row>
    <row r="1938">
      <c r="A1938" s="19">
        <f>IF($B1938="","",COUNTA($B$9:$B1938))</f>
        <v/>
      </c>
      <c r="B1938" s="11" t="n"/>
      <c r="C1938" s="12" t="n"/>
      <c r="D1938" s="12" t="n"/>
      <c r="E1938" s="13" t="n"/>
      <c r="F1938" s="20">
        <f>IF($E1938="","",IF($C1938="دستمزد گروهی",IFERROR(VLOOKUP($E1938,WGTbl,2,0),"کد ناشناخته"),IFERROR(IF(VLOOKUP($E1938,AcctTblE,4,0)="","(بدون نام)",VLOOKUP($E1938,AcctTblE,4,0)),"کد ناشناخته")))</f>
        <v/>
      </c>
      <c r="G1938" s="15" t="n"/>
      <c r="H1938" s="21">
        <f>IF(OR($C1938&lt;&gt;"دستمزد گروهی",$D1938=""),"",SUMIFS(ShareAmt,ShareLink,$D1938))</f>
        <v/>
      </c>
      <c r="I1938" s="22">
        <f>IF($C1938&lt;&gt;"دستمزد گروهی","—",IF($H1938="","",IF(ROUND($H1938-IF($G1938="",0,$G1938),0)=0,"√","▲ مغایرت "&amp;TEXT(IF($G1938="",0,$G1938)-$H1938,"#,##0"))))</f>
        <v/>
      </c>
      <c r="J1938" s="18" t="n"/>
    </row>
    <row r="1939">
      <c r="A1939" s="10">
        <f>IF($B1939="","",COUNTA($B$9:$B1939))</f>
        <v/>
      </c>
      <c r="B1939" s="11" t="n"/>
      <c r="C1939" s="12" t="n"/>
      <c r="D1939" s="12" t="n"/>
      <c r="E1939" s="13" t="n"/>
      <c r="F1939" s="14">
        <f>IF($E1939="","",IF($C1939="دستمزد گروهی",IFERROR(VLOOKUP($E1939,WGTbl,2,0),"کد ناشناخته"),IFERROR(IF(VLOOKUP($E1939,AcctTblE,4,0)="","(بدون نام)",VLOOKUP($E1939,AcctTblE,4,0)),"کد ناشناخته")))</f>
        <v/>
      </c>
      <c r="G1939" s="15" t="n"/>
      <c r="H1939" s="16">
        <f>IF(OR($C1939&lt;&gt;"دستمزد گروهی",$D1939=""),"",SUMIFS(ShareAmt,ShareLink,$D1939))</f>
        <v/>
      </c>
      <c r="I1939" s="17">
        <f>IF($C1939&lt;&gt;"دستمزد گروهی","—",IF($H1939="","",IF(ROUND($H1939-IF($G1939="",0,$G1939),0)=0,"√","▲ مغایرت "&amp;TEXT(IF($G1939="",0,$G1939)-$H1939,"#,##0"))))</f>
        <v/>
      </c>
      <c r="J1939" s="18" t="n"/>
    </row>
    <row r="1940">
      <c r="A1940" s="19">
        <f>IF($B1940="","",COUNTA($B$9:$B1940))</f>
        <v/>
      </c>
      <c r="B1940" s="11" t="n"/>
      <c r="C1940" s="12" t="n"/>
      <c r="D1940" s="12" t="n"/>
      <c r="E1940" s="13" t="n"/>
      <c r="F1940" s="20">
        <f>IF($E1940="","",IF($C1940="دستمزد گروهی",IFERROR(VLOOKUP($E1940,WGTbl,2,0),"کد ناشناخته"),IFERROR(IF(VLOOKUP($E1940,AcctTblE,4,0)="","(بدون نام)",VLOOKUP($E1940,AcctTblE,4,0)),"کد ناشناخته")))</f>
        <v/>
      </c>
      <c r="G1940" s="15" t="n"/>
      <c r="H1940" s="21">
        <f>IF(OR($C1940&lt;&gt;"دستمزد گروهی",$D1940=""),"",SUMIFS(ShareAmt,ShareLink,$D1940))</f>
        <v/>
      </c>
      <c r="I1940" s="22">
        <f>IF($C1940&lt;&gt;"دستمزد گروهی","—",IF($H1940="","",IF(ROUND($H1940-IF($G1940="",0,$G1940),0)=0,"√","▲ مغایرت "&amp;TEXT(IF($G1940="",0,$G1940)-$H1940,"#,##0"))))</f>
        <v/>
      </c>
      <c r="J1940" s="18" t="n"/>
    </row>
    <row r="1941">
      <c r="A1941" s="10">
        <f>IF($B1941="","",COUNTA($B$9:$B1941))</f>
        <v/>
      </c>
      <c r="B1941" s="11" t="n"/>
      <c r="C1941" s="12" t="n"/>
      <c r="D1941" s="12" t="n"/>
      <c r="E1941" s="13" t="n"/>
      <c r="F1941" s="14">
        <f>IF($E1941="","",IF($C1941="دستمزد گروهی",IFERROR(VLOOKUP($E1941,WGTbl,2,0),"کد ناشناخته"),IFERROR(IF(VLOOKUP($E1941,AcctTblE,4,0)="","(بدون نام)",VLOOKUP($E1941,AcctTblE,4,0)),"کد ناشناخته")))</f>
        <v/>
      </c>
      <c r="G1941" s="15" t="n"/>
      <c r="H1941" s="16">
        <f>IF(OR($C1941&lt;&gt;"دستمزد گروهی",$D1941=""),"",SUMIFS(ShareAmt,ShareLink,$D1941))</f>
        <v/>
      </c>
      <c r="I1941" s="17">
        <f>IF($C1941&lt;&gt;"دستمزد گروهی","—",IF($H1941="","",IF(ROUND($H1941-IF($G1941="",0,$G1941),0)=0,"√","▲ مغایرت "&amp;TEXT(IF($G1941="",0,$G1941)-$H1941,"#,##0"))))</f>
        <v/>
      </c>
      <c r="J1941" s="18" t="n"/>
    </row>
    <row r="1942">
      <c r="A1942" s="19">
        <f>IF($B1942="","",COUNTA($B$9:$B1942))</f>
        <v/>
      </c>
      <c r="B1942" s="11" t="n"/>
      <c r="C1942" s="12" t="n"/>
      <c r="D1942" s="12" t="n"/>
      <c r="E1942" s="13" t="n"/>
      <c r="F1942" s="20">
        <f>IF($E1942="","",IF($C1942="دستمزد گروهی",IFERROR(VLOOKUP($E1942,WGTbl,2,0),"کد ناشناخته"),IFERROR(IF(VLOOKUP($E1942,AcctTblE,4,0)="","(بدون نام)",VLOOKUP($E1942,AcctTblE,4,0)),"کد ناشناخته")))</f>
        <v/>
      </c>
      <c r="G1942" s="15" t="n"/>
      <c r="H1942" s="21">
        <f>IF(OR($C1942&lt;&gt;"دستمزد گروهی",$D1942=""),"",SUMIFS(ShareAmt,ShareLink,$D1942))</f>
        <v/>
      </c>
      <c r="I1942" s="22">
        <f>IF($C1942&lt;&gt;"دستمزد گروهی","—",IF($H1942="","",IF(ROUND($H1942-IF($G1942="",0,$G1942),0)=0,"√","▲ مغایرت "&amp;TEXT(IF($G1942="",0,$G1942)-$H1942,"#,##0"))))</f>
        <v/>
      </c>
      <c r="J1942" s="18" t="n"/>
    </row>
    <row r="1943">
      <c r="A1943" s="10">
        <f>IF($B1943="","",COUNTA($B$9:$B1943))</f>
        <v/>
      </c>
      <c r="B1943" s="11" t="n"/>
      <c r="C1943" s="12" t="n"/>
      <c r="D1943" s="12" t="n"/>
      <c r="E1943" s="13" t="n"/>
      <c r="F1943" s="14">
        <f>IF($E1943="","",IF($C1943="دستمزد گروهی",IFERROR(VLOOKUP($E1943,WGTbl,2,0),"کد ناشناخته"),IFERROR(IF(VLOOKUP($E1943,AcctTblE,4,0)="","(بدون نام)",VLOOKUP($E1943,AcctTblE,4,0)),"کد ناشناخته")))</f>
        <v/>
      </c>
      <c r="G1943" s="15" t="n"/>
      <c r="H1943" s="16">
        <f>IF(OR($C1943&lt;&gt;"دستمزد گروهی",$D1943=""),"",SUMIFS(ShareAmt,ShareLink,$D1943))</f>
        <v/>
      </c>
      <c r="I1943" s="17">
        <f>IF($C1943&lt;&gt;"دستمزد گروهی","—",IF($H1943="","",IF(ROUND($H1943-IF($G1943="",0,$G1943),0)=0,"√","▲ مغایرت "&amp;TEXT(IF($G1943="",0,$G1943)-$H1943,"#,##0"))))</f>
        <v/>
      </c>
      <c r="J1943" s="18" t="n"/>
    </row>
    <row r="1944">
      <c r="A1944" s="19">
        <f>IF($B1944="","",COUNTA($B$9:$B1944))</f>
        <v/>
      </c>
      <c r="B1944" s="11" t="n"/>
      <c r="C1944" s="12" t="n"/>
      <c r="D1944" s="12" t="n"/>
      <c r="E1944" s="13" t="n"/>
      <c r="F1944" s="20">
        <f>IF($E1944="","",IF($C1944="دستمزد گروهی",IFERROR(VLOOKUP($E1944,WGTbl,2,0),"کد ناشناخته"),IFERROR(IF(VLOOKUP($E1944,AcctTblE,4,0)="","(بدون نام)",VLOOKUP($E1944,AcctTblE,4,0)),"کد ناشناخته")))</f>
        <v/>
      </c>
      <c r="G1944" s="15" t="n"/>
      <c r="H1944" s="21">
        <f>IF(OR($C1944&lt;&gt;"دستمزد گروهی",$D1944=""),"",SUMIFS(ShareAmt,ShareLink,$D1944))</f>
        <v/>
      </c>
      <c r="I1944" s="22">
        <f>IF($C1944&lt;&gt;"دستمزد گروهی","—",IF($H1944="","",IF(ROUND($H1944-IF($G1944="",0,$G1944),0)=0,"√","▲ مغایرت "&amp;TEXT(IF($G1944="",0,$G1944)-$H1944,"#,##0"))))</f>
        <v/>
      </c>
      <c r="J1944" s="18" t="n"/>
    </row>
    <row r="1945">
      <c r="A1945" s="10">
        <f>IF($B1945="","",COUNTA($B$9:$B1945))</f>
        <v/>
      </c>
      <c r="B1945" s="11" t="n"/>
      <c r="C1945" s="12" t="n"/>
      <c r="D1945" s="12" t="n"/>
      <c r="E1945" s="13" t="n"/>
      <c r="F1945" s="14">
        <f>IF($E1945="","",IF($C1945="دستمزد گروهی",IFERROR(VLOOKUP($E1945,WGTbl,2,0),"کد ناشناخته"),IFERROR(IF(VLOOKUP($E1945,AcctTblE,4,0)="","(بدون نام)",VLOOKUP($E1945,AcctTblE,4,0)),"کد ناشناخته")))</f>
        <v/>
      </c>
      <c r="G1945" s="15" t="n"/>
      <c r="H1945" s="16">
        <f>IF(OR($C1945&lt;&gt;"دستمزد گروهی",$D1945=""),"",SUMIFS(ShareAmt,ShareLink,$D1945))</f>
        <v/>
      </c>
      <c r="I1945" s="17">
        <f>IF($C1945&lt;&gt;"دستمزد گروهی","—",IF($H1945="","",IF(ROUND($H1945-IF($G1945="",0,$G1945),0)=0,"√","▲ مغایرت "&amp;TEXT(IF($G1945="",0,$G1945)-$H1945,"#,##0"))))</f>
        <v/>
      </c>
      <c r="J1945" s="18" t="n"/>
    </row>
    <row r="1946">
      <c r="A1946" s="19">
        <f>IF($B1946="","",COUNTA($B$9:$B1946))</f>
        <v/>
      </c>
      <c r="B1946" s="11" t="n"/>
      <c r="C1946" s="12" t="n"/>
      <c r="D1946" s="12" t="n"/>
      <c r="E1946" s="13" t="n"/>
      <c r="F1946" s="20">
        <f>IF($E1946="","",IF($C1946="دستمزد گروهی",IFERROR(VLOOKUP($E1946,WGTbl,2,0),"کد ناشناخته"),IFERROR(IF(VLOOKUP($E1946,AcctTblE,4,0)="","(بدون نام)",VLOOKUP($E1946,AcctTblE,4,0)),"کد ناشناخته")))</f>
        <v/>
      </c>
      <c r="G1946" s="15" t="n"/>
      <c r="H1946" s="21">
        <f>IF(OR($C1946&lt;&gt;"دستمزد گروهی",$D1946=""),"",SUMIFS(ShareAmt,ShareLink,$D1946))</f>
        <v/>
      </c>
      <c r="I1946" s="22">
        <f>IF($C1946&lt;&gt;"دستمزد گروهی","—",IF($H1946="","",IF(ROUND($H1946-IF($G1946="",0,$G1946),0)=0,"√","▲ مغایرت "&amp;TEXT(IF($G1946="",0,$G1946)-$H1946,"#,##0"))))</f>
        <v/>
      </c>
      <c r="J1946" s="18" t="n"/>
    </row>
    <row r="1947">
      <c r="A1947" s="10">
        <f>IF($B1947="","",COUNTA($B$9:$B1947))</f>
        <v/>
      </c>
      <c r="B1947" s="11" t="n"/>
      <c r="C1947" s="12" t="n"/>
      <c r="D1947" s="12" t="n"/>
      <c r="E1947" s="13" t="n"/>
      <c r="F1947" s="14">
        <f>IF($E1947="","",IF($C1947="دستمزد گروهی",IFERROR(VLOOKUP($E1947,WGTbl,2,0),"کد ناشناخته"),IFERROR(IF(VLOOKUP($E1947,AcctTblE,4,0)="","(بدون نام)",VLOOKUP($E1947,AcctTblE,4,0)),"کد ناشناخته")))</f>
        <v/>
      </c>
      <c r="G1947" s="15" t="n"/>
      <c r="H1947" s="16">
        <f>IF(OR($C1947&lt;&gt;"دستمزد گروهی",$D1947=""),"",SUMIFS(ShareAmt,ShareLink,$D1947))</f>
        <v/>
      </c>
      <c r="I1947" s="17">
        <f>IF($C1947&lt;&gt;"دستمزد گروهی","—",IF($H1947="","",IF(ROUND($H1947-IF($G1947="",0,$G1947),0)=0,"√","▲ مغایرت "&amp;TEXT(IF($G1947="",0,$G1947)-$H1947,"#,##0"))))</f>
        <v/>
      </c>
      <c r="J1947" s="18" t="n"/>
    </row>
    <row r="1948">
      <c r="A1948" s="19">
        <f>IF($B1948="","",COUNTA($B$9:$B1948))</f>
        <v/>
      </c>
      <c r="B1948" s="11" t="n"/>
      <c r="C1948" s="12" t="n"/>
      <c r="D1948" s="12" t="n"/>
      <c r="E1948" s="13" t="n"/>
      <c r="F1948" s="20">
        <f>IF($E1948="","",IF($C1948="دستمزد گروهی",IFERROR(VLOOKUP($E1948,WGTbl,2,0),"کد ناشناخته"),IFERROR(IF(VLOOKUP($E1948,AcctTblE,4,0)="","(بدون نام)",VLOOKUP($E1948,AcctTblE,4,0)),"کد ناشناخته")))</f>
        <v/>
      </c>
      <c r="G1948" s="15" t="n"/>
      <c r="H1948" s="21">
        <f>IF(OR($C1948&lt;&gt;"دستمزد گروهی",$D1948=""),"",SUMIFS(ShareAmt,ShareLink,$D1948))</f>
        <v/>
      </c>
      <c r="I1948" s="22">
        <f>IF($C1948&lt;&gt;"دستمزد گروهی","—",IF($H1948="","",IF(ROUND($H1948-IF($G1948="",0,$G1948),0)=0,"√","▲ مغایرت "&amp;TEXT(IF($G1948="",0,$G1948)-$H1948,"#,##0"))))</f>
        <v/>
      </c>
      <c r="J1948" s="18" t="n"/>
    </row>
    <row r="1949">
      <c r="A1949" s="10">
        <f>IF($B1949="","",COUNTA($B$9:$B1949))</f>
        <v/>
      </c>
      <c r="B1949" s="11" t="n"/>
      <c r="C1949" s="12" t="n"/>
      <c r="D1949" s="12" t="n"/>
      <c r="E1949" s="13" t="n"/>
      <c r="F1949" s="14">
        <f>IF($E1949="","",IF($C1949="دستمزد گروهی",IFERROR(VLOOKUP($E1949,WGTbl,2,0),"کد ناشناخته"),IFERROR(IF(VLOOKUP($E1949,AcctTblE,4,0)="","(بدون نام)",VLOOKUP($E1949,AcctTblE,4,0)),"کد ناشناخته")))</f>
        <v/>
      </c>
      <c r="G1949" s="15" t="n"/>
      <c r="H1949" s="16">
        <f>IF(OR($C1949&lt;&gt;"دستمزد گروهی",$D1949=""),"",SUMIFS(ShareAmt,ShareLink,$D1949))</f>
        <v/>
      </c>
      <c r="I1949" s="17">
        <f>IF($C1949&lt;&gt;"دستمزد گروهی","—",IF($H1949="","",IF(ROUND($H1949-IF($G1949="",0,$G1949),0)=0,"√","▲ مغایرت "&amp;TEXT(IF($G1949="",0,$G1949)-$H1949,"#,##0"))))</f>
        <v/>
      </c>
      <c r="J1949" s="18" t="n"/>
    </row>
    <row r="1950">
      <c r="A1950" s="19">
        <f>IF($B1950="","",COUNTA($B$9:$B1950))</f>
        <v/>
      </c>
      <c r="B1950" s="11" t="n"/>
      <c r="C1950" s="12" t="n"/>
      <c r="D1950" s="12" t="n"/>
      <c r="E1950" s="13" t="n"/>
      <c r="F1950" s="20">
        <f>IF($E1950="","",IF($C1950="دستمزد گروهی",IFERROR(VLOOKUP($E1950,WGTbl,2,0),"کد ناشناخته"),IFERROR(IF(VLOOKUP($E1950,AcctTblE,4,0)="","(بدون نام)",VLOOKUP($E1950,AcctTblE,4,0)),"کد ناشناخته")))</f>
        <v/>
      </c>
      <c r="G1950" s="15" t="n"/>
      <c r="H1950" s="21">
        <f>IF(OR($C1950&lt;&gt;"دستمزد گروهی",$D1950=""),"",SUMIFS(ShareAmt,ShareLink,$D1950))</f>
        <v/>
      </c>
      <c r="I1950" s="22">
        <f>IF($C1950&lt;&gt;"دستمزد گروهی","—",IF($H1950="","",IF(ROUND($H1950-IF($G1950="",0,$G1950),0)=0,"√","▲ مغایرت "&amp;TEXT(IF($G1950="",0,$G1950)-$H1950,"#,##0"))))</f>
        <v/>
      </c>
      <c r="J1950" s="18" t="n"/>
    </row>
    <row r="1951">
      <c r="A1951" s="10">
        <f>IF($B1951="","",COUNTA($B$9:$B1951))</f>
        <v/>
      </c>
      <c r="B1951" s="11" t="n"/>
      <c r="C1951" s="12" t="n"/>
      <c r="D1951" s="12" t="n"/>
      <c r="E1951" s="13" t="n"/>
      <c r="F1951" s="14">
        <f>IF($E1951="","",IF($C1951="دستمزد گروهی",IFERROR(VLOOKUP($E1951,WGTbl,2,0),"کد ناشناخته"),IFERROR(IF(VLOOKUP($E1951,AcctTblE,4,0)="","(بدون نام)",VLOOKUP($E1951,AcctTblE,4,0)),"کد ناشناخته")))</f>
        <v/>
      </c>
      <c r="G1951" s="15" t="n"/>
      <c r="H1951" s="16">
        <f>IF(OR($C1951&lt;&gt;"دستمزد گروهی",$D1951=""),"",SUMIFS(ShareAmt,ShareLink,$D1951))</f>
        <v/>
      </c>
      <c r="I1951" s="17">
        <f>IF($C1951&lt;&gt;"دستمزد گروهی","—",IF($H1951="","",IF(ROUND($H1951-IF($G1951="",0,$G1951),0)=0,"√","▲ مغایرت "&amp;TEXT(IF($G1951="",0,$G1951)-$H1951,"#,##0"))))</f>
        <v/>
      </c>
      <c r="J1951" s="18" t="n"/>
    </row>
    <row r="1952">
      <c r="A1952" s="19">
        <f>IF($B1952="","",COUNTA($B$9:$B1952))</f>
        <v/>
      </c>
      <c r="B1952" s="11" t="n"/>
      <c r="C1952" s="12" t="n"/>
      <c r="D1952" s="12" t="n"/>
      <c r="E1952" s="13" t="n"/>
      <c r="F1952" s="20">
        <f>IF($E1952="","",IF($C1952="دستمزد گروهی",IFERROR(VLOOKUP($E1952,WGTbl,2,0),"کد ناشناخته"),IFERROR(IF(VLOOKUP($E1952,AcctTblE,4,0)="","(بدون نام)",VLOOKUP($E1952,AcctTblE,4,0)),"کد ناشناخته")))</f>
        <v/>
      </c>
      <c r="G1952" s="15" t="n"/>
      <c r="H1952" s="21">
        <f>IF(OR($C1952&lt;&gt;"دستمزد گروهی",$D1952=""),"",SUMIFS(ShareAmt,ShareLink,$D1952))</f>
        <v/>
      </c>
      <c r="I1952" s="22">
        <f>IF($C1952&lt;&gt;"دستمزد گروهی","—",IF($H1952="","",IF(ROUND($H1952-IF($G1952="",0,$G1952),0)=0,"√","▲ مغایرت "&amp;TEXT(IF($G1952="",0,$G1952)-$H1952,"#,##0"))))</f>
        <v/>
      </c>
      <c r="J1952" s="18" t="n"/>
    </row>
    <row r="1953">
      <c r="A1953" s="10">
        <f>IF($B1953="","",COUNTA($B$9:$B1953))</f>
        <v/>
      </c>
      <c r="B1953" s="11" t="n"/>
      <c r="C1953" s="12" t="n"/>
      <c r="D1953" s="12" t="n"/>
      <c r="E1953" s="13" t="n"/>
      <c r="F1953" s="14">
        <f>IF($E1953="","",IF($C1953="دستمزد گروهی",IFERROR(VLOOKUP($E1953,WGTbl,2,0),"کد ناشناخته"),IFERROR(IF(VLOOKUP($E1953,AcctTblE,4,0)="","(بدون نام)",VLOOKUP($E1953,AcctTblE,4,0)),"کد ناشناخته")))</f>
        <v/>
      </c>
      <c r="G1953" s="15" t="n"/>
      <c r="H1953" s="16">
        <f>IF(OR($C1953&lt;&gt;"دستمزد گروهی",$D1953=""),"",SUMIFS(ShareAmt,ShareLink,$D1953))</f>
        <v/>
      </c>
      <c r="I1953" s="17">
        <f>IF($C1953&lt;&gt;"دستمزد گروهی","—",IF($H1953="","",IF(ROUND($H1953-IF($G1953="",0,$G1953),0)=0,"√","▲ مغایرت "&amp;TEXT(IF($G1953="",0,$G1953)-$H1953,"#,##0"))))</f>
        <v/>
      </c>
      <c r="J1953" s="18" t="n"/>
    </row>
    <row r="1954">
      <c r="A1954" s="19">
        <f>IF($B1954="","",COUNTA($B$9:$B1954))</f>
        <v/>
      </c>
      <c r="B1954" s="11" t="n"/>
      <c r="C1954" s="12" t="n"/>
      <c r="D1954" s="12" t="n"/>
      <c r="E1954" s="13" t="n"/>
      <c r="F1954" s="20">
        <f>IF($E1954="","",IF($C1954="دستمزد گروهی",IFERROR(VLOOKUP($E1954,WGTbl,2,0),"کد ناشناخته"),IFERROR(IF(VLOOKUP($E1954,AcctTblE,4,0)="","(بدون نام)",VLOOKUP($E1954,AcctTblE,4,0)),"کد ناشناخته")))</f>
        <v/>
      </c>
      <c r="G1954" s="15" t="n"/>
      <c r="H1954" s="21">
        <f>IF(OR($C1954&lt;&gt;"دستمزد گروهی",$D1954=""),"",SUMIFS(ShareAmt,ShareLink,$D1954))</f>
        <v/>
      </c>
      <c r="I1954" s="22">
        <f>IF($C1954&lt;&gt;"دستمزد گروهی","—",IF($H1954="","",IF(ROUND($H1954-IF($G1954="",0,$G1954),0)=0,"√","▲ مغایرت "&amp;TEXT(IF($G1954="",0,$G1954)-$H1954,"#,##0"))))</f>
        <v/>
      </c>
      <c r="J1954" s="18" t="n"/>
    </row>
    <row r="1955">
      <c r="A1955" s="10">
        <f>IF($B1955="","",COUNTA($B$9:$B1955))</f>
        <v/>
      </c>
      <c r="B1955" s="11" t="n"/>
      <c r="C1955" s="12" t="n"/>
      <c r="D1955" s="12" t="n"/>
      <c r="E1955" s="13" t="n"/>
      <c r="F1955" s="14">
        <f>IF($E1955="","",IF($C1955="دستمزد گروهی",IFERROR(VLOOKUP($E1955,WGTbl,2,0),"کد ناشناخته"),IFERROR(IF(VLOOKUP($E1955,AcctTblE,4,0)="","(بدون نام)",VLOOKUP($E1955,AcctTblE,4,0)),"کد ناشناخته")))</f>
        <v/>
      </c>
      <c r="G1955" s="15" t="n"/>
      <c r="H1955" s="16">
        <f>IF(OR($C1955&lt;&gt;"دستمزد گروهی",$D1955=""),"",SUMIFS(ShareAmt,ShareLink,$D1955))</f>
        <v/>
      </c>
      <c r="I1955" s="17">
        <f>IF($C1955&lt;&gt;"دستمزد گروهی","—",IF($H1955="","",IF(ROUND($H1955-IF($G1955="",0,$G1955),0)=0,"√","▲ مغایرت "&amp;TEXT(IF($G1955="",0,$G1955)-$H1955,"#,##0"))))</f>
        <v/>
      </c>
      <c r="J1955" s="18" t="n"/>
    </row>
    <row r="1956">
      <c r="A1956" s="19">
        <f>IF($B1956="","",COUNTA($B$9:$B1956))</f>
        <v/>
      </c>
      <c r="B1956" s="11" t="n"/>
      <c r="C1956" s="12" t="n"/>
      <c r="D1956" s="12" t="n"/>
      <c r="E1956" s="13" t="n"/>
      <c r="F1956" s="20">
        <f>IF($E1956="","",IF($C1956="دستمزد گروهی",IFERROR(VLOOKUP($E1956,WGTbl,2,0),"کد ناشناخته"),IFERROR(IF(VLOOKUP($E1956,AcctTblE,4,0)="","(بدون نام)",VLOOKUP($E1956,AcctTblE,4,0)),"کد ناشناخته")))</f>
        <v/>
      </c>
      <c r="G1956" s="15" t="n"/>
      <c r="H1956" s="21">
        <f>IF(OR($C1956&lt;&gt;"دستمزد گروهی",$D1956=""),"",SUMIFS(ShareAmt,ShareLink,$D1956))</f>
        <v/>
      </c>
      <c r="I1956" s="22">
        <f>IF($C1956&lt;&gt;"دستمزد گروهی","—",IF($H1956="","",IF(ROUND($H1956-IF($G1956="",0,$G1956),0)=0,"√","▲ مغایرت "&amp;TEXT(IF($G1956="",0,$G1956)-$H1956,"#,##0"))))</f>
        <v/>
      </c>
      <c r="J1956" s="18" t="n"/>
    </row>
    <row r="1957">
      <c r="A1957" s="10">
        <f>IF($B1957="","",COUNTA($B$9:$B1957))</f>
        <v/>
      </c>
      <c r="B1957" s="11" t="n"/>
      <c r="C1957" s="12" t="n"/>
      <c r="D1957" s="12" t="n"/>
      <c r="E1957" s="13" t="n"/>
      <c r="F1957" s="14">
        <f>IF($E1957="","",IF($C1957="دستمزد گروهی",IFERROR(VLOOKUP($E1957,WGTbl,2,0),"کد ناشناخته"),IFERROR(IF(VLOOKUP($E1957,AcctTblE,4,0)="","(بدون نام)",VLOOKUP($E1957,AcctTblE,4,0)),"کد ناشناخته")))</f>
        <v/>
      </c>
      <c r="G1957" s="15" t="n"/>
      <c r="H1957" s="16">
        <f>IF(OR($C1957&lt;&gt;"دستمزد گروهی",$D1957=""),"",SUMIFS(ShareAmt,ShareLink,$D1957))</f>
        <v/>
      </c>
      <c r="I1957" s="17">
        <f>IF($C1957&lt;&gt;"دستمزد گروهی","—",IF($H1957="","",IF(ROUND($H1957-IF($G1957="",0,$G1957),0)=0,"√","▲ مغایرت "&amp;TEXT(IF($G1957="",0,$G1957)-$H1957,"#,##0"))))</f>
        <v/>
      </c>
      <c r="J1957" s="18" t="n"/>
    </row>
    <row r="1958">
      <c r="A1958" s="19">
        <f>IF($B1958="","",COUNTA($B$9:$B1958))</f>
        <v/>
      </c>
      <c r="B1958" s="11" t="n"/>
      <c r="C1958" s="12" t="n"/>
      <c r="D1958" s="12" t="n"/>
      <c r="E1958" s="13" t="n"/>
      <c r="F1958" s="20">
        <f>IF($E1958="","",IF($C1958="دستمزد گروهی",IFERROR(VLOOKUP($E1958,WGTbl,2,0),"کد ناشناخته"),IFERROR(IF(VLOOKUP($E1958,AcctTblE,4,0)="","(بدون نام)",VLOOKUP($E1958,AcctTblE,4,0)),"کد ناشناخته")))</f>
        <v/>
      </c>
      <c r="G1958" s="15" t="n"/>
      <c r="H1958" s="21">
        <f>IF(OR($C1958&lt;&gt;"دستمزد گروهی",$D1958=""),"",SUMIFS(ShareAmt,ShareLink,$D1958))</f>
        <v/>
      </c>
      <c r="I1958" s="22">
        <f>IF($C1958&lt;&gt;"دستمزد گروهی","—",IF($H1958="","",IF(ROUND($H1958-IF($G1958="",0,$G1958),0)=0,"√","▲ مغایرت "&amp;TEXT(IF($G1958="",0,$G1958)-$H1958,"#,##0"))))</f>
        <v/>
      </c>
      <c r="J1958" s="18" t="n"/>
    </row>
    <row r="1959">
      <c r="A1959" s="10">
        <f>IF($B1959="","",COUNTA($B$9:$B1959))</f>
        <v/>
      </c>
      <c r="B1959" s="11" t="n"/>
      <c r="C1959" s="12" t="n"/>
      <c r="D1959" s="12" t="n"/>
      <c r="E1959" s="13" t="n"/>
      <c r="F1959" s="14">
        <f>IF($E1959="","",IF($C1959="دستمزد گروهی",IFERROR(VLOOKUP($E1959,WGTbl,2,0),"کد ناشناخته"),IFERROR(IF(VLOOKUP($E1959,AcctTblE,4,0)="","(بدون نام)",VLOOKUP($E1959,AcctTblE,4,0)),"کد ناشناخته")))</f>
        <v/>
      </c>
      <c r="G1959" s="15" t="n"/>
      <c r="H1959" s="16">
        <f>IF(OR($C1959&lt;&gt;"دستمزد گروهی",$D1959=""),"",SUMIFS(ShareAmt,ShareLink,$D1959))</f>
        <v/>
      </c>
      <c r="I1959" s="17">
        <f>IF($C1959&lt;&gt;"دستمزد گروهی","—",IF($H1959="","",IF(ROUND($H1959-IF($G1959="",0,$G1959),0)=0,"√","▲ مغایرت "&amp;TEXT(IF($G1959="",0,$G1959)-$H1959,"#,##0"))))</f>
        <v/>
      </c>
      <c r="J1959" s="18" t="n"/>
    </row>
    <row r="1960">
      <c r="A1960" s="19">
        <f>IF($B1960="","",COUNTA($B$9:$B1960))</f>
        <v/>
      </c>
      <c r="B1960" s="11" t="n"/>
      <c r="C1960" s="12" t="n"/>
      <c r="D1960" s="12" t="n"/>
      <c r="E1960" s="13" t="n"/>
      <c r="F1960" s="20">
        <f>IF($E1960="","",IF($C1960="دستمزد گروهی",IFERROR(VLOOKUP($E1960,WGTbl,2,0),"کد ناشناخته"),IFERROR(IF(VLOOKUP($E1960,AcctTblE,4,0)="","(بدون نام)",VLOOKUP($E1960,AcctTblE,4,0)),"کد ناشناخته")))</f>
        <v/>
      </c>
      <c r="G1960" s="15" t="n"/>
      <c r="H1960" s="21">
        <f>IF(OR($C1960&lt;&gt;"دستمزد گروهی",$D1960=""),"",SUMIFS(ShareAmt,ShareLink,$D1960))</f>
        <v/>
      </c>
      <c r="I1960" s="22">
        <f>IF($C1960&lt;&gt;"دستمزد گروهی","—",IF($H1960="","",IF(ROUND($H1960-IF($G1960="",0,$G1960),0)=0,"√","▲ مغایرت "&amp;TEXT(IF($G1960="",0,$G1960)-$H1960,"#,##0"))))</f>
        <v/>
      </c>
      <c r="J1960" s="18" t="n"/>
    </row>
    <row r="1961">
      <c r="A1961" s="10">
        <f>IF($B1961="","",COUNTA($B$9:$B1961))</f>
        <v/>
      </c>
      <c r="B1961" s="11" t="n"/>
      <c r="C1961" s="12" t="n"/>
      <c r="D1961" s="12" t="n"/>
      <c r="E1961" s="13" t="n"/>
      <c r="F1961" s="14">
        <f>IF($E1961="","",IF($C1961="دستمزد گروهی",IFERROR(VLOOKUP($E1961,WGTbl,2,0),"کد ناشناخته"),IFERROR(IF(VLOOKUP($E1961,AcctTblE,4,0)="","(بدون نام)",VLOOKUP($E1961,AcctTblE,4,0)),"کد ناشناخته")))</f>
        <v/>
      </c>
      <c r="G1961" s="15" t="n"/>
      <c r="H1961" s="16">
        <f>IF(OR($C1961&lt;&gt;"دستمزد گروهی",$D1961=""),"",SUMIFS(ShareAmt,ShareLink,$D1961))</f>
        <v/>
      </c>
      <c r="I1961" s="17">
        <f>IF($C1961&lt;&gt;"دستمزد گروهی","—",IF($H1961="","",IF(ROUND($H1961-IF($G1961="",0,$G1961),0)=0,"√","▲ مغایرت "&amp;TEXT(IF($G1961="",0,$G1961)-$H1961,"#,##0"))))</f>
        <v/>
      </c>
      <c r="J1961" s="18" t="n"/>
    </row>
    <row r="1962">
      <c r="A1962" s="19">
        <f>IF($B1962="","",COUNTA($B$9:$B1962))</f>
        <v/>
      </c>
      <c r="B1962" s="11" t="n"/>
      <c r="C1962" s="12" t="n"/>
      <c r="D1962" s="12" t="n"/>
      <c r="E1962" s="13" t="n"/>
      <c r="F1962" s="20">
        <f>IF($E1962="","",IF($C1962="دستمزد گروهی",IFERROR(VLOOKUP($E1962,WGTbl,2,0),"کد ناشناخته"),IFERROR(IF(VLOOKUP($E1962,AcctTblE,4,0)="","(بدون نام)",VLOOKUP($E1962,AcctTblE,4,0)),"کد ناشناخته")))</f>
        <v/>
      </c>
      <c r="G1962" s="15" t="n"/>
      <c r="H1962" s="21">
        <f>IF(OR($C1962&lt;&gt;"دستمزد گروهی",$D1962=""),"",SUMIFS(ShareAmt,ShareLink,$D1962))</f>
        <v/>
      </c>
      <c r="I1962" s="22">
        <f>IF($C1962&lt;&gt;"دستمزد گروهی","—",IF($H1962="","",IF(ROUND($H1962-IF($G1962="",0,$G1962),0)=0,"√","▲ مغایرت "&amp;TEXT(IF($G1962="",0,$G1962)-$H1962,"#,##0"))))</f>
        <v/>
      </c>
      <c r="J1962" s="18" t="n"/>
    </row>
    <row r="1963">
      <c r="A1963" s="10">
        <f>IF($B1963="","",COUNTA($B$9:$B1963))</f>
        <v/>
      </c>
      <c r="B1963" s="11" t="n"/>
      <c r="C1963" s="12" t="n"/>
      <c r="D1963" s="12" t="n"/>
      <c r="E1963" s="13" t="n"/>
      <c r="F1963" s="14">
        <f>IF($E1963="","",IF($C1963="دستمزد گروهی",IFERROR(VLOOKUP($E1963,WGTbl,2,0),"کد ناشناخته"),IFERROR(IF(VLOOKUP($E1963,AcctTblE,4,0)="","(بدون نام)",VLOOKUP($E1963,AcctTblE,4,0)),"کد ناشناخته")))</f>
        <v/>
      </c>
      <c r="G1963" s="15" t="n"/>
      <c r="H1963" s="16">
        <f>IF(OR($C1963&lt;&gt;"دستمزد گروهی",$D1963=""),"",SUMIFS(ShareAmt,ShareLink,$D1963))</f>
        <v/>
      </c>
      <c r="I1963" s="17">
        <f>IF($C1963&lt;&gt;"دستمزد گروهی","—",IF($H1963="","",IF(ROUND($H1963-IF($G1963="",0,$G1963),0)=0,"√","▲ مغایرت "&amp;TEXT(IF($G1963="",0,$G1963)-$H1963,"#,##0"))))</f>
        <v/>
      </c>
      <c r="J1963" s="18" t="n"/>
    </row>
    <row r="1964">
      <c r="A1964" s="19">
        <f>IF($B1964="","",COUNTA($B$9:$B1964))</f>
        <v/>
      </c>
      <c r="B1964" s="11" t="n"/>
      <c r="C1964" s="12" t="n"/>
      <c r="D1964" s="12" t="n"/>
      <c r="E1964" s="13" t="n"/>
      <c r="F1964" s="20">
        <f>IF($E1964="","",IF($C1964="دستمزد گروهی",IFERROR(VLOOKUP($E1964,WGTbl,2,0),"کد ناشناخته"),IFERROR(IF(VLOOKUP($E1964,AcctTblE,4,0)="","(بدون نام)",VLOOKUP($E1964,AcctTblE,4,0)),"کد ناشناخته")))</f>
        <v/>
      </c>
      <c r="G1964" s="15" t="n"/>
      <c r="H1964" s="21">
        <f>IF(OR($C1964&lt;&gt;"دستمزد گروهی",$D1964=""),"",SUMIFS(ShareAmt,ShareLink,$D1964))</f>
        <v/>
      </c>
      <c r="I1964" s="22">
        <f>IF($C1964&lt;&gt;"دستمزد گروهی","—",IF($H1964="","",IF(ROUND($H1964-IF($G1964="",0,$G1964),0)=0,"√","▲ مغایرت "&amp;TEXT(IF($G1964="",0,$G1964)-$H1964,"#,##0"))))</f>
        <v/>
      </c>
      <c r="J1964" s="18" t="n"/>
    </row>
    <row r="1965">
      <c r="A1965" s="10">
        <f>IF($B1965="","",COUNTA($B$9:$B1965))</f>
        <v/>
      </c>
      <c r="B1965" s="11" t="n"/>
      <c r="C1965" s="12" t="n"/>
      <c r="D1965" s="12" t="n"/>
      <c r="E1965" s="13" t="n"/>
      <c r="F1965" s="14">
        <f>IF($E1965="","",IF($C1965="دستمزد گروهی",IFERROR(VLOOKUP($E1965,WGTbl,2,0),"کد ناشناخته"),IFERROR(IF(VLOOKUP($E1965,AcctTblE,4,0)="","(بدون نام)",VLOOKUP($E1965,AcctTblE,4,0)),"کد ناشناخته")))</f>
        <v/>
      </c>
      <c r="G1965" s="15" t="n"/>
      <c r="H1965" s="16">
        <f>IF(OR($C1965&lt;&gt;"دستمزد گروهی",$D1965=""),"",SUMIFS(ShareAmt,ShareLink,$D1965))</f>
        <v/>
      </c>
      <c r="I1965" s="17">
        <f>IF($C1965&lt;&gt;"دستمزد گروهی","—",IF($H1965="","",IF(ROUND($H1965-IF($G1965="",0,$G1965),0)=0,"√","▲ مغایرت "&amp;TEXT(IF($G1965="",0,$G1965)-$H1965,"#,##0"))))</f>
        <v/>
      </c>
      <c r="J1965" s="18" t="n"/>
    </row>
    <row r="1966">
      <c r="A1966" s="19">
        <f>IF($B1966="","",COUNTA($B$9:$B1966))</f>
        <v/>
      </c>
      <c r="B1966" s="11" t="n"/>
      <c r="C1966" s="12" t="n"/>
      <c r="D1966" s="12" t="n"/>
      <c r="E1966" s="13" t="n"/>
      <c r="F1966" s="20">
        <f>IF($E1966="","",IF($C1966="دستمزد گروهی",IFERROR(VLOOKUP($E1966,WGTbl,2,0),"کد ناشناخته"),IFERROR(IF(VLOOKUP($E1966,AcctTblE,4,0)="","(بدون نام)",VLOOKUP($E1966,AcctTblE,4,0)),"کد ناشناخته")))</f>
        <v/>
      </c>
      <c r="G1966" s="15" t="n"/>
      <c r="H1966" s="21">
        <f>IF(OR($C1966&lt;&gt;"دستمزد گروهی",$D1966=""),"",SUMIFS(ShareAmt,ShareLink,$D1966))</f>
        <v/>
      </c>
      <c r="I1966" s="22">
        <f>IF($C1966&lt;&gt;"دستمزد گروهی","—",IF($H1966="","",IF(ROUND($H1966-IF($G1966="",0,$G1966),0)=0,"√","▲ مغایرت "&amp;TEXT(IF($G1966="",0,$G1966)-$H1966,"#,##0"))))</f>
        <v/>
      </c>
      <c r="J1966" s="18" t="n"/>
    </row>
    <row r="1967">
      <c r="A1967" s="10">
        <f>IF($B1967="","",COUNTA($B$9:$B1967))</f>
        <v/>
      </c>
      <c r="B1967" s="11" t="n"/>
      <c r="C1967" s="12" t="n"/>
      <c r="D1967" s="12" t="n"/>
      <c r="E1967" s="13" t="n"/>
      <c r="F1967" s="14">
        <f>IF($E1967="","",IF($C1967="دستمزد گروهی",IFERROR(VLOOKUP($E1967,WGTbl,2,0),"کد ناشناخته"),IFERROR(IF(VLOOKUP($E1967,AcctTblE,4,0)="","(بدون نام)",VLOOKUP($E1967,AcctTblE,4,0)),"کد ناشناخته")))</f>
        <v/>
      </c>
      <c r="G1967" s="15" t="n"/>
      <c r="H1967" s="16">
        <f>IF(OR($C1967&lt;&gt;"دستمزد گروهی",$D1967=""),"",SUMIFS(ShareAmt,ShareLink,$D1967))</f>
        <v/>
      </c>
      <c r="I1967" s="17">
        <f>IF($C1967&lt;&gt;"دستمزد گروهی","—",IF($H1967="","",IF(ROUND($H1967-IF($G1967="",0,$G1967),0)=0,"√","▲ مغایرت "&amp;TEXT(IF($G1967="",0,$G1967)-$H1967,"#,##0"))))</f>
        <v/>
      </c>
      <c r="J1967" s="18" t="n"/>
    </row>
    <row r="1968">
      <c r="A1968" s="19">
        <f>IF($B1968="","",COUNTA($B$9:$B1968))</f>
        <v/>
      </c>
      <c r="B1968" s="11" t="n"/>
      <c r="C1968" s="12" t="n"/>
      <c r="D1968" s="12" t="n"/>
      <c r="E1968" s="13" t="n"/>
      <c r="F1968" s="20">
        <f>IF($E1968="","",IF($C1968="دستمزد گروهی",IFERROR(VLOOKUP($E1968,WGTbl,2,0),"کد ناشناخته"),IFERROR(IF(VLOOKUP($E1968,AcctTblE,4,0)="","(بدون نام)",VLOOKUP($E1968,AcctTblE,4,0)),"کد ناشناخته")))</f>
        <v/>
      </c>
      <c r="G1968" s="15" t="n"/>
      <c r="H1968" s="21">
        <f>IF(OR($C1968&lt;&gt;"دستمزد گروهی",$D1968=""),"",SUMIFS(ShareAmt,ShareLink,$D1968))</f>
        <v/>
      </c>
      <c r="I1968" s="22">
        <f>IF($C1968&lt;&gt;"دستمزد گروهی","—",IF($H1968="","",IF(ROUND($H1968-IF($G1968="",0,$G1968),0)=0,"√","▲ مغایرت "&amp;TEXT(IF($G1968="",0,$G1968)-$H1968,"#,##0"))))</f>
        <v/>
      </c>
      <c r="J1968" s="18" t="n"/>
    </row>
    <row r="1969">
      <c r="A1969" s="10">
        <f>IF($B1969="","",COUNTA($B$9:$B1969))</f>
        <v/>
      </c>
      <c r="B1969" s="11" t="n"/>
      <c r="C1969" s="12" t="n"/>
      <c r="D1969" s="12" t="n"/>
      <c r="E1969" s="13" t="n"/>
      <c r="F1969" s="14">
        <f>IF($E1969="","",IF($C1969="دستمزد گروهی",IFERROR(VLOOKUP($E1969,WGTbl,2,0),"کد ناشناخته"),IFERROR(IF(VLOOKUP($E1969,AcctTblE,4,0)="","(بدون نام)",VLOOKUP($E1969,AcctTblE,4,0)),"کد ناشناخته")))</f>
        <v/>
      </c>
      <c r="G1969" s="15" t="n"/>
      <c r="H1969" s="16">
        <f>IF(OR($C1969&lt;&gt;"دستمزد گروهی",$D1969=""),"",SUMIFS(ShareAmt,ShareLink,$D1969))</f>
        <v/>
      </c>
      <c r="I1969" s="17">
        <f>IF($C1969&lt;&gt;"دستمزد گروهی","—",IF($H1969="","",IF(ROUND($H1969-IF($G1969="",0,$G1969),0)=0,"√","▲ مغایرت "&amp;TEXT(IF($G1969="",0,$G1969)-$H1969,"#,##0"))))</f>
        <v/>
      </c>
      <c r="J1969" s="18" t="n"/>
    </row>
    <row r="1970">
      <c r="A1970" s="19">
        <f>IF($B1970="","",COUNTA($B$9:$B1970))</f>
        <v/>
      </c>
      <c r="B1970" s="11" t="n"/>
      <c r="C1970" s="12" t="n"/>
      <c r="D1970" s="12" t="n"/>
      <c r="E1970" s="13" t="n"/>
      <c r="F1970" s="20">
        <f>IF($E1970="","",IF($C1970="دستمزد گروهی",IFERROR(VLOOKUP($E1970,WGTbl,2,0),"کد ناشناخته"),IFERROR(IF(VLOOKUP($E1970,AcctTblE,4,0)="","(بدون نام)",VLOOKUP($E1970,AcctTblE,4,0)),"کد ناشناخته")))</f>
        <v/>
      </c>
      <c r="G1970" s="15" t="n"/>
      <c r="H1970" s="21">
        <f>IF(OR($C1970&lt;&gt;"دستمزد گروهی",$D1970=""),"",SUMIFS(ShareAmt,ShareLink,$D1970))</f>
        <v/>
      </c>
      <c r="I1970" s="22">
        <f>IF($C1970&lt;&gt;"دستمزد گروهی","—",IF($H1970="","",IF(ROUND($H1970-IF($G1970="",0,$G1970),0)=0,"√","▲ مغایرت "&amp;TEXT(IF($G1970="",0,$G1970)-$H1970,"#,##0"))))</f>
        <v/>
      </c>
      <c r="J1970" s="18" t="n"/>
    </row>
    <row r="1971">
      <c r="A1971" s="10">
        <f>IF($B1971="","",COUNTA($B$9:$B1971))</f>
        <v/>
      </c>
      <c r="B1971" s="11" t="n"/>
      <c r="C1971" s="12" t="n"/>
      <c r="D1971" s="12" t="n"/>
      <c r="E1971" s="13" t="n"/>
      <c r="F1971" s="14">
        <f>IF($E1971="","",IF($C1971="دستمزد گروهی",IFERROR(VLOOKUP($E1971,WGTbl,2,0),"کد ناشناخته"),IFERROR(IF(VLOOKUP($E1971,AcctTblE,4,0)="","(بدون نام)",VLOOKUP($E1971,AcctTblE,4,0)),"کد ناشناخته")))</f>
        <v/>
      </c>
      <c r="G1971" s="15" t="n"/>
      <c r="H1971" s="16">
        <f>IF(OR($C1971&lt;&gt;"دستمزد گروهی",$D1971=""),"",SUMIFS(ShareAmt,ShareLink,$D1971))</f>
        <v/>
      </c>
      <c r="I1971" s="17">
        <f>IF($C1971&lt;&gt;"دستمزد گروهی","—",IF($H1971="","",IF(ROUND($H1971-IF($G1971="",0,$G1971),0)=0,"√","▲ مغایرت "&amp;TEXT(IF($G1971="",0,$G1971)-$H1971,"#,##0"))))</f>
        <v/>
      </c>
      <c r="J1971" s="18" t="n"/>
    </row>
    <row r="1972">
      <c r="A1972" s="19">
        <f>IF($B1972="","",COUNTA($B$9:$B1972))</f>
        <v/>
      </c>
      <c r="B1972" s="11" t="n"/>
      <c r="C1972" s="12" t="n"/>
      <c r="D1972" s="12" t="n"/>
      <c r="E1972" s="13" t="n"/>
      <c r="F1972" s="20">
        <f>IF($E1972="","",IF($C1972="دستمزد گروهی",IFERROR(VLOOKUP($E1972,WGTbl,2,0),"کد ناشناخته"),IFERROR(IF(VLOOKUP($E1972,AcctTblE,4,0)="","(بدون نام)",VLOOKUP($E1972,AcctTblE,4,0)),"کد ناشناخته")))</f>
        <v/>
      </c>
      <c r="G1972" s="15" t="n"/>
      <c r="H1972" s="21">
        <f>IF(OR($C1972&lt;&gt;"دستمزد گروهی",$D1972=""),"",SUMIFS(ShareAmt,ShareLink,$D1972))</f>
        <v/>
      </c>
      <c r="I1972" s="22">
        <f>IF($C1972&lt;&gt;"دستمزد گروهی","—",IF($H1972="","",IF(ROUND($H1972-IF($G1972="",0,$G1972),0)=0,"√","▲ مغایرت "&amp;TEXT(IF($G1972="",0,$G1972)-$H1972,"#,##0"))))</f>
        <v/>
      </c>
      <c r="J1972" s="18" t="n"/>
    </row>
    <row r="1973">
      <c r="A1973" s="10">
        <f>IF($B1973="","",COUNTA($B$9:$B1973))</f>
        <v/>
      </c>
      <c r="B1973" s="11" t="n"/>
      <c r="C1973" s="12" t="n"/>
      <c r="D1973" s="12" t="n"/>
      <c r="E1973" s="13" t="n"/>
      <c r="F1973" s="14">
        <f>IF($E1973="","",IF($C1973="دستمزد گروهی",IFERROR(VLOOKUP($E1973,WGTbl,2,0),"کد ناشناخته"),IFERROR(IF(VLOOKUP($E1973,AcctTblE,4,0)="","(بدون نام)",VLOOKUP($E1973,AcctTblE,4,0)),"کد ناشناخته")))</f>
        <v/>
      </c>
      <c r="G1973" s="15" t="n"/>
      <c r="H1973" s="16">
        <f>IF(OR($C1973&lt;&gt;"دستمزد گروهی",$D1973=""),"",SUMIFS(ShareAmt,ShareLink,$D1973))</f>
        <v/>
      </c>
      <c r="I1973" s="17">
        <f>IF($C1973&lt;&gt;"دستمزد گروهی","—",IF($H1973="","",IF(ROUND($H1973-IF($G1973="",0,$G1973),0)=0,"√","▲ مغایرت "&amp;TEXT(IF($G1973="",0,$G1973)-$H1973,"#,##0"))))</f>
        <v/>
      </c>
      <c r="J1973" s="18" t="n"/>
    </row>
    <row r="1974">
      <c r="A1974" s="19">
        <f>IF($B1974="","",COUNTA($B$9:$B1974))</f>
        <v/>
      </c>
      <c r="B1974" s="11" t="n"/>
      <c r="C1974" s="12" t="n"/>
      <c r="D1974" s="12" t="n"/>
      <c r="E1974" s="13" t="n"/>
      <c r="F1974" s="20">
        <f>IF($E1974="","",IF($C1974="دستمزد گروهی",IFERROR(VLOOKUP($E1974,WGTbl,2,0),"کد ناشناخته"),IFERROR(IF(VLOOKUP($E1974,AcctTblE,4,0)="","(بدون نام)",VLOOKUP($E1974,AcctTblE,4,0)),"کد ناشناخته")))</f>
        <v/>
      </c>
      <c r="G1974" s="15" t="n"/>
      <c r="H1974" s="21">
        <f>IF(OR($C1974&lt;&gt;"دستمزد گروهی",$D1974=""),"",SUMIFS(ShareAmt,ShareLink,$D1974))</f>
        <v/>
      </c>
      <c r="I1974" s="22">
        <f>IF($C1974&lt;&gt;"دستمزد گروهی","—",IF($H1974="","",IF(ROUND($H1974-IF($G1974="",0,$G1974),0)=0,"√","▲ مغایرت "&amp;TEXT(IF($G1974="",0,$G1974)-$H1974,"#,##0"))))</f>
        <v/>
      </c>
      <c r="J1974" s="18" t="n"/>
    </row>
    <row r="1975">
      <c r="A1975" s="10">
        <f>IF($B1975="","",COUNTA($B$9:$B1975))</f>
        <v/>
      </c>
      <c r="B1975" s="11" t="n"/>
      <c r="C1975" s="12" t="n"/>
      <c r="D1975" s="12" t="n"/>
      <c r="E1975" s="13" t="n"/>
      <c r="F1975" s="14">
        <f>IF($E1975="","",IF($C1975="دستمزد گروهی",IFERROR(VLOOKUP($E1975,WGTbl,2,0),"کد ناشناخته"),IFERROR(IF(VLOOKUP($E1975,AcctTblE,4,0)="","(بدون نام)",VLOOKUP($E1975,AcctTblE,4,0)),"کد ناشناخته")))</f>
        <v/>
      </c>
      <c r="G1975" s="15" t="n"/>
      <c r="H1975" s="16">
        <f>IF(OR($C1975&lt;&gt;"دستمزد گروهی",$D1975=""),"",SUMIFS(ShareAmt,ShareLink,$D1975))</f>
        <v/>
      </c>
      <c r="I1975" s="17">
        <f>IF($C1975&lt;&gt;"دستمزد گروهی","—",IF($H1975="","",IF(ROUND($H1975-IF($G1975="",0,$G1975),0)=0,"√","▲ مغایرت "&amp;TEXT(IF($G1975="",0,$G1975)-$H1975,"#,##0"))))</f>
        <v/>
      </c>
      <c r="J1975" s="18" t="n"/>
    </row>
    <row r="1976">
      <c r="A1976" s="19">
        <f>IF($B1976="","",COUNTA($B$9:$B1976))</f>
        <v/>
      </c>
      <c r="B1976" s="11" t="n"/>
      <c r="C1976" s="12" t="n"/>
      <c r="D1976" s="12" t="n"/>
      <c r="E1976" s="13" t="n"/>
      <c r="F1976" s="20">
        <f>IF($E1976="","",IF($C1976="دستمزد گروهی",IFERROR(VLOOKUP($E1976,WGTbl,2,0),"کد ناشناخته"),IFERROR(IF(VLOOKUP($E1976,AcctTblE,4,0)="","(بدون نام)",VLOOKUP($E1976,AcctTblE,4,0)),"کد ناشناخته")))</f>
        <v/>
      </c>
      <c r="G1976" s="15" t="n"/>
      <c r="H1976" s="21">
        <f>IF(OR($C1976&lt;&gt;"دستمزد گروهی",$D1976=""),"",SUMIFS(ShareAmt,ShareLink,$D1976))</f>
        <v/>
      </c>
      <c r="I1976" s="22">
        <f>IF($C1976&lt;&gt;"دستمزد گروهی","—",IF($H1976="","",IF(ROUND($H1976-IF($G1976="",0,$G1976),0)=0,"√","▲ مغایرت "&amp;TEXT(IF($G1976="",0,$G1976)-$H1976,"#,##0"))))</f>
        <v/>
      </c>
      <c r="J1976" s="18" t="n"/>
    </row>
    <row r="1977">
      <c r="A1977" s="10">
        <f>IF($B1977="","",COUNTA($B$9:$B1977))</f>
        <v/>
      </c>
      <c r="B1977" s="11" t="n"/>
      <c r="C1977" s="12" t="n"/>
      <c r="D1977" s="12" t="n"/>
      <c r="E1977" s="13" t="n"/>
      <c r="F1977" s="14">
        <f>IF($E1977="","",IF($C1977="دستمزد گروهی",IFERROR(VLOOKUP($E1977,WGTbl,2,0),"کد ناشناخته"),IFERROR(IF(VLOOKUP($E1977,AcctTblE,4,0)="","(بدون نام)",VLOOKUP($E1977,AcctTblE,4,0)),"کد ناشناخته")))</f>
        <v/>
      </c>
      <c r="G1977" s="15" t="n"/>
      <c r="H1977" s="16">
        <f>IF(OR($C1977&lt;&gt;"دستمزد گروهی",$D1977=""),"",SUMIFS(ShareAmt,ShareLink,$D1977))</f>
        <v/>
      </c>
      <c r="I1977" s="17">
        <f>IF($C1977&lt;&gt;"دستمزد گروهی","—",IF($H1977="","",IF(ROUND($H1977-IF($G1977="",0,$G1977),0)=0,"√","▲ مغایرت "&amp;TEXT(IF($G1977="",0,$G1977)-$H1977,"#,##0"))))</f>
        <v/>
      </c>
      <c r="J1977" s="18" t="n"/>
    </row>
    <row r="1978">
      <c r="A1978" s="19">
        <f>IF($B1978="","",COUNTA($B$9:$B1978))</f>
        <v/>
      </c>
      <c r="B1978" s="11" t="n"/>
      <c r="C1978" s="12" t="n"/>
      <c r="D1978" s="12" t="n"/>
      <c r="E1978" s="13" t="n"/>
      <c r="F1978" s="20">
        <f>IF($E1978="","",IF($C1978="دستمزد گروهی",IFERROR(VLOOKUP($E1978,WGTbl,2,0),"کد ناشناخته"),IFERROR(IF(VLOOKUP($E1978,AcctTblE,4,0)="","(بدون نام)",VLOOKUP($E1978,AcctTblE,4,0)),"کد ناشناخته")))</f>
        <v/>
      </c>
      <c r="G1978" s="15" t="n"/>
      <c r="H1978" s="21">
        <f>IF(OR($C1978&lt;&gt;"دستمزد گروهی",$D1978=""),"",SUMIFS(ShareAmt,ShareLink,$D1978))</f>
        <v/>
      </c>
      <c r="I1978" s="22">
        <f>IF($C1978&lt;&gt;"دستمزد گروهی","—",IF($H1978="","",IF(ROUND($H1978-IF($G1978="",0,$G1978),0)=0,"√","▲ مغایرت "&amp;TEXT(IF($G1978="",0,$G1978)-$H1978,"#,##0"))))</f>
        <v/>
      </c>
      <c r="J1978" s="18" t="n"/>
    </row>
    <row r="1979">
      <c r="A1979" s="10">
        <f>IF($B1979="","",COUNTA($B$9:$B1979))</f>
        <v/>
      </c>
      <c r="B1979" s="11" t="n"/>
      <c r="C1979" s="12" t="n"/>
      <c r="D1979" s="12" t="n"/>
      <c r="E1979" s="13" t="n"/>
      <c r="F1979" s="14">
        <f>IF($E1979="","",IF($C1979="دستمزد گروهی",IFERROR(VLOOKUP($E1979,WGTbl,2,0),"کد ناشناخته"),IFERROR(IF(VLOOKUP($E1979,AcctTblE,4,0)="","(بدون نام)",VLOOKUP($E1979,AcctTblE,4,0)),"کد ناشناخته")))</f>
        <v/>
      </c>
      <c r="G1979" s="15" t="n"/>
      <c r="H1979" s="16">
        <f>IF(OR($C1979&lt;&gt;"دستمزد گروهی",$D1979=""),"",SUMIFS(ShareAmt,ShareLink,$D1979))</f>
        <v/>
      </c>
      <c r="I1979" s="17">
        <f>IF($C1979&lt;&gt;"دستمزد گروهی","—",IF($H1979="","",IF(ROUND($H1979-IF($G1979="",0,$G1979),0)=0,"√","▲ مغایرت "&amp;TEXT(IF($G1979="",0,$G1979)-$H1979,"#,##0"))))</f>
        <v/>
      </c>
      <c r="J1979" s="18" t="n"/>
    </row>
    <row r="1980">
      <c r="A1980" s="19">
        <f>IF($B1980="","",COUNTA($B$9:$B1980))</f>
        <v/>
      </c>
      <c r="B1980" s="11" t="n"/>
      <c r="C1980" s="12" t="n"/>
      <c r="D1980" s="12" t="n"/>
      <c r="E1980" s="13" t="n"/>
      <c r="F1980" s="20">
        <f>IF($E1980="","",IF($C1980="دستمزد گروهی",IFERROR(VLOOKUP($E1980,WGTbl,2,0),"کد ناشناخته"),IFERROR(IF(VLOOKUP($E1980,AcctTblE,4,0)="","(بدون نام)",VLOOKUP($E1980,AcctTblE,4,0)),"کد ناشناخته")))</f>
        <v/>
      </c>
      <c r="G1980" s="15" t="n"/>
      <c r="H1980" s="21">
        <f>IF(OR($C1980&lt;&gt;"دستمزد گروهی",$D1980=""),"",SUMIFS(ShareAmt,ShareLink,$D1980))</f>
        <v/>
      </c>
      <c r="I1980" s="22">
        <f>IF($C1980&lt;&gt;"دستمزد گروهی","—",IF($H1980="","",IF(ROUND($H1980-IF($G1980="",0,$G1980),0)=0,"√","▲ مغایرت "&amp;TEXT(IF($G1980="",0,$G1980)-$H1980,"#,##0"))))</f>
        <v/>
      </c>
      <c r="J1980" s="18" t="n"/>
    </row>
    <row r="1981">
      <c r="A1981" s="10">
        <f>IF($B1981="","",COUNTA($B$9:$B1981))</f>
        <v/>
      </c>
      <c r="B1981" s="11" t="n"/>
      <c r="C1981" s="12" t="n"/>
      <c r="D1981" s="12" t="n"/>
      <c r="E1981" s="13" t="n"/>
      <c r="F1981" s="14">
        <f>IF($E1981="","",IF($C1981="دستمزد گروهی",IFERROR(VLOOKUP($E1981,WGTbl,2,0),"کد ناشناخته"),IFERROR(IF(VLOOKUP($E1981,AcctTblE,4,0)="","(بدون نام)",VLOOKUP($E1981,AcctTblE,4,0)),"کد ناشناخته")))</f>
        <v/>
      </c>
      <c r="G1981" s="15" t="n"/>
      <c r="H1981" s="16">
        <f>IF(OR($C1981&lt;&gt;"دستمزد گروهی",$D1981=""),"",SUMIFS(ShareAmt,ShareLink,$D1981))</f>
        <v/>
      </c>
      <c r="I1981" s="17">
        <f>IF($C1981&lt;&gt;"دستمزد گروهی","—",IF($H1981="","",IF(ROUND($H1981-IF($G1981="",0,$G1981),0)=0,"√","▲ مغایرت "&amp;TEXT(IF($G1981="",0,$G1981)-$H1981,"#,##0"))))</f>
        <v/>
      </c>
      <c r="J1981" s="18" t="n"/>
    </row>
    <row r="1982">
      <c r="A1982" s="19">
        <f>IF($B1982="","",COUNTA($B$9:$B1982))</f>
        <v/>
      </c>
      <c r="B1982" s="11" t="n"/>
      <c r="C1982" s="12" t="n"/>
      <c r="D1982" s="12" t="n"/>
      <c r="E1982" s="13" t="n"/>
      <c r="F1982" s="20">
        <f>IF($E1982="","",IF($C1982="دستمزد گروهی",IFERROR(VLOOKUP($E1982,WGTbl,2,0),"کد ناشناخته"),IFERROR(IF(VLOOKUP($E1982,AcctTblE,4,0)="","(بدون نام)",VLOOKUP($E1982,AcctTblE,4,0)),"کد ناشناخته")))</f>
        <v/>
      </c>
      <c r="G1982" s="15" t="n"/>
      <c r="H1982" s="21">
        <f>IF(OR($C1982&lt;&gt;"دستمزد گروهی",$D1982=""),"",SUMIFS(ShareAmt,ShareLink,$D1982))</f>
        <v/>
      </c>
      <c r="I1982" s="22">
        <f>IF($C1982&lt;&gt;"دستمزد گروهی","—",IF($H1982="","",IF(ROUND($H1982-IF($G1982="",0,$G1982),0)=0,"√","▲ مغایرت "&amp;TEXT(IF($G1982="",0,$G1982)-$H1982,"#,##0"))))</f>
        <v/>
      </c>
      <c r="J1982" s="18" t="n"/>
    </row>
    <row r="1983">
      <c r="A1983" s="10">
        <f>IF($B1983="","",COUNTA($B$9:$B1983))</f>
        <v/>
      </c>
      <c r="B1983" s="11" t="n"/>
      <c r="C1983" s="12" t="n"/>
      <c r="D1983" s="12" t="n"/>
      <c r="E1983" s="13" t="n"/>
      <c r="F1983" s="14">
        <f>IF($E1983="","",IF($C1983="دستمزد گروهی",IFERROR(VLOOKUP($E1983,WGTbl,2,0),"کد ناشناخته"),IFERROR(IF(VLOOKUP($E1983,AcctTblE,4,0)="","(بدون نام)",VLOOKUP($E1983,AcctTblE,4,0)),"کد ناشناخته")))</f>
        <v/>
      </c>
      <c r="G1983" s="15" t="n"/>
      <c r="H1983" s="16">
        <f>IF(OR($C1983&lt;&gt;"دستمزد گروهی",$D1983=""),"",SUMIFS(ShareAmt,ShareLink,$D1983))</f>
        <v/>
      </c>
      <c r="I1983" s="17">
        <f>IF($C1983&lt;&gt;"دستمزد گروهی","—",IF($H1983="","",IF(ROUND($H1983-IF($G1983="",0,$G1983),0)=0,"√","▲ مغایرت "&amp;TEXT(IF($G1983="",0,$G1983)-$H1983,"#,##0"))))</f>
        <v/>
      </c>
      <c r="J1983" s="18" t="n"/>
    </row>
    <row r="1984">
      <c r="A1984" s="19">
        <f>IF($B1984="","",COUNTA($B$9:$B1984))</f>
        <v/>
      </c>
      <c r="B1984" s="11" t="n"/>
      <c r="C1984" s="12" t="n"/>
      <c r="D1984" s="12" t="n"/>
      <c r="E1984" s="13" t="n"/>
      <c r="F1984" s="20">
        <f>IF($E1984="","",IF($C1984="دستمزد گروهی",IFERROR(VLOOKUP($E1984,WGTbl,2,0),"کد ناشناخته"),IFERROR(IF(VLOOKUP($E1984,AcctTblE,4,0)="","(بدون نام)",VLOOKUP($E1984,AcctTblE,4,0)),"کد ناشناخته")))</f>
        <v/>
      </c>
      <c r="G1984" s="15" t="n"/>
      <c r="H1984" s="21">
        <f>IF(OR($C1984&lt;&gt;"دستمزد گروهی",$D1984=""),"",SUMIFS(ShareAmt,ShareLink,$D1984))</f>
        <v/>
      </c>
      <c r="I1984" s="22">
        <f>IF($C1984&lt;&gt;"دستمزد گروهی","—",IF($H1984="","",IF(ROUND($H1984-IF($G1984="",0,$G1984),0)=0,"√","▲ مغایرت "&amp;TEXT(IF($G1984="",0,$G1984)-$H1984,"#,##0"))))</f>
        <v/>
      </c>
      <c r="J1984" s="18" t="n"/>
    </row>
    <row r="1985">
      <c r="A1985" s="10">
        <f>IF($B1985="","",COUNTA($B$9:$B1985))</f>
        <v/>
      </c>
      <c r="B1985" s="11" t="n"/>
      <c r="C1985" s="12" t="n"/>
      <c r="D1985" s="12" t="n"/>
      <c r="E1985" s="13" t="n"/>
      <c r="F1985" s="14">
        <f>IF($E1985="","",IF($C1985="دستمزد گروهی",IFERROR(VLOOKUP($E1985,WGTbl,2,0),"کد ناشناخته"),IFERROR(IF(VLOOKUP($E1985,AcctTblE,4,0)="","(بدون نام)",VLOOKUP($E1985,AcctTblE,4,0)),"کد ناشناخته")))</f>
        <v/>
      </c>
      <c r="G1985" s="15" t="n"/>
      <c r="H1985" s="16">
        <f>IF(OR($C1985&lt;&gt;"دستمزد گروهی",$D1985=""),"",SUMIFS(ShareAmt,ShareLink,$D1985))</f>
        <v/>
      </c>
      <c r="I1985" s="17">
        <f>IF($C1985&lt;&gt;"دستمزد گروهی","—",IF($H1985="","",IF(ROUND($H1985-IF($G1985="",0,$G1985),0)=0,"√","▲ مغایرت "&amp;TEXT(IF($G1985="",0,$G1985)-$H1985,"#,##0"))))</f>
        <v/>
      </c>
      <c r="J1985" s="18" t="n"/>
    </row>
    <row r="1986">
      <c r="A1986" s="19">
        <f>IF($B1986="","",COUNTA($B$9:$B1986))</f>
        <v/>
      </c>
      <c r="B1986" s="11" t="n"/>
      <c r="C1986" s="12" t="n"/>
      <c r="D1986" s="12" t="n"/>
      <c r="E1986" s="13" t="n"/>
      <c r="F1986" s="20">
        <f>IF($E1986="","",IF($C1986="دستمزد گروهی",IFERROR(VLOOKUP($E1986,WGTbl,2,0),"کد ناشناخته"),IFERROR(IF(VLOOKUP($E1986,AcctTblE,4,0)="","(بدون نام)",VLOOKUP($E1986,AcctTblE,4,0)),"کد ناشناخته")))</f>
        <v/>
      </c>
      <c r="G1986" s="15" t="n"/>
      <c r="H1986" s="21">
        <f>IF(OR($C1986&lt;&gt;"دستمزد گروهی",$D1986=""),"",SUMIFS(ShareAmt,ShareLink,$D1986))</f>
        <v/>
      </c>
      <c r="I1986" s="22">
        <f>IF($C1986&lt;&gt;"دستمزد گروهی","—",IF($H1986="","",IF(ROUND($H1986-IF($G1986="",0,$G1986),0)=0,"√","▲ مغایرت "&amp;TEXT(IF($G1986="",0,$G1986)-$H1986,"#,##0"))))</f>
        <v/>
      </c>
      <c r="J1986" s="18" t="n"/>
    </row>
    <row r="1987">
      <c r="A1987" s="10">
        <f>IF($B1987="","",COUNTA($B$9:$B1987))</f>
        <v/>
      </c>
      <c r="B1987" s="11" t="n"/>
      <c r="C1987" s="12" t="n"/>
      <c r="D1987" s="12" t="n"/>
      <c r="E1987" s="13" t="n"/>
      <c r="F1987" s="14">
        <f>IF($E1987="","",IF($C1987="دستمزد گروهی",IFERROR(VLOOKUP($E1987,WGTbl,2,0),"کد ناشناخته"),IFERROR(IF(VLOOKUP($E1987,AcctTblE,4,0)="","(بدون نام)",VLOOKUP($E1987,AcctTblE,4,0)),"کد ناشناخته")))</f>
        <v/>
      </c>
      <c r="G1987" s="15" t="n"/>
      <c r="H1987" s="16">
        <f>IF(OR($C1987&lt;&gt;"دستمزد گروهی",$D1987=""),"",SUMIFS(ShareAmt,ShareLink,$D1987))</f>
        <v/>
      </c>
      <c r="I1987" s="17">
        <f>IF($C1987&lt;&gt;"دستمزد گروهی","—",IF($H1987="","",IF(ROUND($H1987-IF($G1987="",0,$G1987),0)=0,"√","▲ مغایرت "&amp;TEXT(IF($G1987="",0,$G1987)-$H1987,"#,##0"))))</f>
        <v/>
      </c>
      <c r="J1987" s="18" t="n"/>
    </row>
    <row r="1988">
      <c r="A1988" s="19">
        <f>IF($B1988="","",COUNTA($B$9:$B1988))</f>
        <v/>
      </c>
      <c r="B1988" s="11" t="n"/>
      <c r="C1988" s="12" t="n"/>
      <c r="D1988" s="12" t="n"/>
      <c r="E1988" s="13" t="n"/>
      <c r="F1988" s="20">
        <f>IF($E1988="","",IF($C1988="دستمزد گروهی",IFERROR(VLOOKUP($E1988,WGTbl,2,0),"کد ناشناخته"),IFERROR(IF(VLOOKUP($E1988,AcctTblE,4,0)="","(بدون نام)",VLOOKUP($E1988,AcctTblE,4,0)),"کد ناشناخته")))</f>
        <v/>
      </c>
      <c r="G1988" s="15" t="n"/>
      <c r="H1988" s="21">
        <f>IF(OR($C1988&lt;&gt;"دستمزد گروهی",$D1988=""),"",SUMIFS(ShareAmt,ShareLink,$D1988))</f>
        <v/>
      </c>
      <c r="I1988" s="22">
        <f>IF($C1988&lt;&gt;"دستمزد گروهی","—",IF($H1988="","",IF(ROUND($H1988-IF($G1988="",0,$G1988),0)=0,"√","▲ مغایرت "&amp;TEXT(IF($G1988="",0,$G1988)-$H1988,"#,##0"))))</f>
        <v/>
      </c>
      <c r="J1988" s="18" t="n"/>
    </row>
    <row r="1989">
      <c r="A1989" s="10">
        <f>IF($B1989="","",COUNTA($B$9:$B1989))</f>
        <v/>
      </c>
      <c r="B1989" s="11" t="n"/>
      <c r="C1989" s="12" t="n"/>
      <c r="D1989" s="12" t="n"/>
      <c r="E1989" s="13" t="n"/>
      <c r="F1989" s="14">
        <f>IF($E1989="","",IF($C1989="دستمزد گروهی",IFERROR(VLOOKUP($E1989,WGTbl,2,0),"کد ناشناخته"),IFERROR(IF(VLOOKUP($E1989,AcctTblE,4,0)="","(بدون نام)",VLOOKUP($E1989,AcctTblE,4,0)),"کد ناشناخته")))</f>
        <v/>
      </c>
      <c r="G1989" s="15" t="n"/>
      <c r="H1989" s="16">
        <f>IF(OR($C1989&lt;&gt;"دستمزد گروهی",$D1989=""),"",SUMIFS(ShareAmt,ShareLink,$D1989))</f>
        <v/>
      </c>
      <c r="I1989" s="17">
        <f>IF($C1989&lt;&gt;"دستمزد گروهی","—",IF($H1989="","",IF(ROUND($H1989-IF($G1989="",0,$G1989),0)=0,"√","▲ مغایرت "&amp;TEXT(IF($G1989="",0,$G1989)-$H1989,"#,##0"))))</f>
        <v/>
      </c>
      <c r="J1989" s="18" t="n"/>
    </row>
    <row r="1990">
      <c r="A1990" s="19">
        <f>IF($B1990="","",COUNTA($B$9:$B1990))</f>
        <v/>
      </c>
      <c r="B1990" s="11" t="n"/>
      <c r="C1990" s="12" t="n"/>
      <c r="D1990" s="12" t="n"/>
      <c r="E1990" s="13" t="n"/>
      <c r="F1990" s="20">
        <f>IF($E1990="","",IF($C1990="دستمزد گروهی",IFERROR(VLOOKUP($E1990,WGTbl,2,0),"کد ناشناخته"),IFERROR(IF(VLOOKUP($E1990,AcctTblE,4,0)="","(بدون نام)",VLOOKUP($E1990,AcctTblE,4,0)),"کد ناشناخته")))</f>
        <v/>
      </c>
      <c r="G1990" s="15" t="n"/>
      <c r="H1990" s="21">
        <f>IF(OR($C1990&lt;&gt;"دستمزد گروهی",$D1990=""),"",SUMIFS(ShareAmt,ShareLink,$D1990))</f>
        <v/>
      </c>
      <c r="I1990" s="22">
        <f>IF($C1990&lt;&gt;"دستمزد گروهی","—",IF($H1990="","",IF(ROUND($H1990-IF($G1990="",0,$G1990),0)=0,"√","▲ مغایرت "&amp;TEXT(IF($G1990="",0,$G1990)-$H1990,"#,##0"))))</f>
        <v/>
      </c>
      <c r="J1990" s="18" t="n"/>
    </row>
    <row r="1991">
      <c r="A1991" s="10">
        <f>IF($B1991="","",COUNTA($B$9:$B1991))</f>
        <v/>
      </c>
      <c r="B1991" s="11" t="n"/>
      <c r="C1991" s="12" t="n"/>
      <c r="D1991" s="12" t="n"/>
      <c r="E1991" s="13" t="n"/>
      <c r="F1991" s="14">
        <f>IF($E1991="","",IF($C1991="دستمزد گروهی",IFERROR(VLOOKUP($E1991,WGTbl,2,0),"کد ناشناخته"),IFERROR(IF(VLOOKUP($E1991,AcctTblE,4,0)="","(بدون نام)",VLOOKUP($E1991,AcctTblE,4,0)),"کد ناشناخته")))</f>
        <v/>
      </c>
      <c r="G1991" s="15" t="n"/>
      <c r="H1991" s="16">
        <f>IF(OR($C1991&lt;&gt;"دستمزد گروهی",$D1991=""),"",SUMIFS(ShareAmt,ShareLink,$D1991))</f>
        <v/>
      </c>
      <c r="I1991" s="17">
        <f>IF($C1991&lt;&gt;"دستمزد گروهی","—",IF($H1991="","",IF(ROUND($H1991-IF($G1991="",0,$G1991),0)=0,"√","▲ مغایرت "&amp;TEXT(IF($G1991="",0,$G1991)-$H1991,"#,##0"))))</f>
        <v/>
      </c>
      <c r="J1991" s="18" t="n"/>
    </row>
    <row r="1992">
      <c r="A1992" s="19">
        <f>IF($B1992="","",COUNTA($B$9:$B1992))</f>
        <v/>
      </c>
      <c r="B1992" s="11" t="n"/>
      <c r="C1992" s="12" t="n"/>
      <c r="D1992" s="12" t="n"/>
      <c r="E1992" s="13" t="n"/>
      <c r="F1992" s="20">
        <f>IF($E1992="","",IF($C1992="دستمزد گروهی",IFERROR(VLOOKUP($E1992,WGTbl,2,0),"کد ناشناخته"),IFERROR(IF(VLOOKUP($E1992,AcctTblE,4,0)="","(بدون نام)",VLOOKUP($E1992,AcctTblE,4,0)),"کد ناشناخته")))</f>
        <v/>
      </c>
      <c r="G1992" s="15" t="n"/>
      <c r="H1992" s="21">
        <f>IF(OR($C1992&lt;&gt;"دستمزد گروهی",$D1992=""),"",SUMIFS(ShareAmt,ShareLink,$D1992))</f>
        <v/>
      </c>
      <c r="I1992" s="22">
        <f>IF($C1992&lt;&gt;"دستمزد گروهی","—",IF($H1992="","",IF(ROUND($H1992-IF($G1992="",0,$G1992),0)=0,"√","▲ مغایرت "&amp;TEXT(IF($G1992="",0,$G1992)-$H1992,"#,##0"))))</f>
        <v/>
      </c>
      <c r="J1992" s="18" t="n"/>
    </row>
    <row r="1993">
      <c r="A1993" s="10">
        <f>IF($B1993="","",COUNTA($B$9:$B1993))</f>
        <v/>
      </c>
      <c r="B1993" s="11" t="n"/>
      <c r="C1993" s="12" t="n"/>
      <c r="D1993" s="12" t="n"/>
      <c r="E1993" s="13" t="n"/>
      <c r="F1993" s="14">
        <f>IF($E1993="","",IF($C1993="دستمزد گروهی",IFERROR(VLOOKUP($E1993,WGTbl,2,0),"کد ناشناخته"),IFERROR(IF(VLOOKUP($E1993,AcctTblE,4,0)="","(بدون نام)",VLOOKUP($E1993,AcctTblE,4,0)),"کد ناشناخته")))</f>
        <v/>
      </c>
      <c r="G1993" s="15" t="n"/>
      <c r="H1993" s="16">
        <f>IF(OR($C1993&lt;&gt;"دستمزد گروهی",$D1993=""),"",SUMIFS(ShareAmt,ShareLink,$D1993))</f>
        <v/>
      </c>
      <c r="I1993" s="17">
        <f>IF($C1993&lt;&gt;"دستمزد گروهی","—",IF($H1993="","",IF(ROUND($H1993-IF($G1993="",0,$G1993),0)=0,"√","▲ مغایرت "&amp;TEXT(IF($G1993="",0,$G1993)-$H1993,"#,##0"))))</f>
        <v/>
      </c>
      <c r="J1993" s="18" t="n"/>
    </row>
    <row r="1994">
      <c r="A1994" s="19">
        <f>IF($B1994="","",COUNTA($B$9:$B1994))</f>
        <v/>
      </c>
      <c r="B1994" s="11" t="n"/>
      <c r="C1994" s="12" t="n"/>
      <c r="D1994" s="12" t="n"/>
      <c r="E1994" s="13" t="n"/>
      <c r="F1994" s="20">
        <f>IF($E1994="","",IF($C1994="دستمزد گروهی",IFERROR(VLOOKUP($E1994,WGTbl,2,0),"کد ناشناخته"),IFERROR(IF(VLOOKUP($E1994,AcctTblE,4,0)="","(بدون نام)",VLOOKUP($E1994,AcctTblE,4,0)),"کد ناشناخته")))</f>
        <v/>
      </c>
      <c r="G1994" s="15" t="n"/>
      <c r="H1994" s="21">
        <f>IF(OR($C1994&lt;&gt;"دستمزد گروهی",$D1994=""),"",SUMIFS(ShareAmt,ShareLink,$D1994))</f>
        <v/>
      </c>
      <c r="I1994" s="22">
        <f>IF($C1994&lt;&gt;"دستمزد گروهی","—",IF($H1994="","",IF(ROUND($H1994-IF($G1994="",0,$G1994),0)=0,"√","▲ مغایرت "&amp;TEXT(IF($G1994="",0,$G1994)-$H1994,"#,##0"))))</f>
        <v/>
      </c>
      <c r="J1994" s="18" t="n"/>
    </row>
    <row r="1995">
      <c r="A1995" s="10">
        <f>IF($B1995="","",COUNTA($B$9:$B1995))</f>
        <v/>
      </c>
      <c r="B1995" s="11" t="n"/>
      <c r="C1995" s="12" t="n"/>
      <c r="D1995" s="12" t="n"/>
      <c r="E1995" s="13" t="n"/>
      <c r="F1995" s="14">
        <f>IF($E1995="","",IF($C1995="دستمزد گروهی",IFERROR(VLOOKUP($E1995,WGTbl,2,0),"کد ناشناخته"),IFERROR(IF(VLOOKUP($E1995,AcctTblE,4,0)="","(بدون نام)",VLOOKUP($E1995,AcctTblE,4,0)),"کد ناشناخته")))</f>
        <v/>
      </c>
      <c r="G1995" s="15" t="n"/>
      <c r="H1995" s="16">
        <f>IF(OR($C1995&lt;&gt;"دستمزد گروهی",$D1995=""),"",SUMIFS(ShareAmt,ShareLink,$D1995))</f>
        <v/>
      </c>
      <c r="I1995" s="17">
        <f>IF($C1995&lt;&gt;"دستمزد گروهی","—",IF($H1995="","",IF(ROUND($H1995-IF($G1995="",0,$G1995),0)=0,"√","▲ مغایرت "&amp;TEXT(IF($G1995="",0,$G1995)-$H1995,"#,##0"))))</f>
        <v/>
      </c>
      <c r="J1995" s="18" t="n"/>
    </row>
    <row r="1996">
      <c r="A1996" s="19">
        <f>IF($B1996="","",COUNTA($B$9:$B1996))</f>
        <v/>
      </c>
      <c r="B1996" s="11" t="n"/>
      <c r="C1996" s="12" t="n"/>
      <c r="D1996" s="12" t="n"/>
      <c r="E1996" s="13" t="n"/>
      <c r="F1996" s="20">
        <f>IF($E1996="","",IF($C1996="دستمزد گروهی",IFERROR(VLOOKUP($E1996,WGTbl,2,0),"کد ناشناخته"),IFERROR(IF(VLOOKUP($E1996,AcctTblE,4,0)="","(بدون نام)",VLOOKUP($E1996,AcctTblE,4,0)),"کد ناشناخته")))</f>
        <v/>
      </c>
      <c r="G1996" s="15" t="n"/>
      <c r="H1996" s="21">
        <f>IF(OR($C1996&lt;&gt;"دستمزد گروهی",$D1996=""),"",SUMIFS(ShareAmt,ShareLink,$D1996))</f>
        <v/>
      </c>
      <c r="I1996" s="22">
        <f>IF($C1996&lt;&gt;"دستمزد گروهی","—",IF($H1996="","",IF(ROUND($H1996-IF($G1996="",0,$G1996),0)=0,"√","▲ مغایرت "&amp;TEXT(IF($G1996="",0,$G1996)-$H1996,"#,##0"))))</f>
        <v/>
      </c>
      <c r="J1996" s="18" t="n"/>
    </row>
    <row r="1997">
      <c r="A1997" s="10">
        <f>IF($B1997="","",COUNTA($B$9:$B1997))</f>
        <v/>
      </c>
      <c r="B1997" s="11" t="n"/>
      <c r="C1997" s="12" t="n"/>
      <c r="D1997" s="12" t="n"/>
      <c r="E1997" s="13" t="n"/>
      <c r="F1997" s="14">
        <f>IF($E1997="","",IF($C1997="دستمزد گروهی",IFERROR(VLOOKUP($E1997,WGTbl,2,0),"کد ناشناخته"),IFERROR(IF(VLOOKUP($E1997,AcctTblE,4,0)="","(بدون نام)",VLOOKUP($E1997,AcctTblE,4,0)),"کد ناشناخته")))</f>
        <v/>
      </c>
      <c r="G1997" s="15" t="n"/>
      <c r="H1997" s="16">
        <f>IF(OR($C1997&lt;&gt;"دستمزد گروهی",$D1997=""),"",SUMIFS(ShareAmt,ShareLink,$D1997))</f>
        <v/>
      </c>
      <c r="I1997" s="17">
        <f>IF($C1997&lt;&gt;"دستمزد گروهی","—",IF($H1997="","",IF(ROUND($H1997-IF($G1997="",0,$G1997),0)=0,"√","▲ مغایرت "&amp;TEXT(IF($G1997="",0,$G1997)-$H1997,"#,##0"))))</f>
        <v/>
      </c>
      <c r="J1997" s="18" t="n"/>
    </row>
    <row r="1998">
      <c r="A1998" s="19">
        <f>IF($B1998="","",COUNTA($B$9:$B1998))</f>
        <v/>
      </c>
      <c r="B1998" s="11" t="n"/>
      <c r="C1998" s="12" t="n"/>
      <c r="D1998" s="12" t="n"/>
      <c r="E1998" s="13" t="n"/>
      <c r="F1998" s="20">
        <f>IF($E1998="","",IF($C1998="دستمزد گروهی",IFERROR(VLOOKUP($E1998,WGTbl,2,0),"کد ناشناخته"),IFERROR(IF(VLOOKUP($E1998,AcctTblE,4,0)="","(بدون نام)",VLOOKUP($E1998,AcctTblE,4,0)),"کد ناشناخته")))</f>
        <v/>
      </c>
      <c r="G1998" s="15" t="n"/>
      <c r="H1998" s="21">
        <f>IF(OR($C1998&lt;&gt;"دستمزد گروهی",$D1998=""),"",SUMIFS(ShareAmt,ShareLink,$D1998))</f>
        <v/>
      </c>
      <c r="I1998" s="22">
        <f>IF($C1998&lt;&gt;"دستمزد گروهی","—",IF($H1998="","",IF(ROUND($H1998-IF($G1998="",0,$G1998),0)=0,"√","▲ مغایرت "&amp;TEXT(IF($G1998="",0,$G1998)-$H1998,"#,##0"))))</f>
        <v/>
      </c>
      <c r="J1998" s="18" t="n"/>
    </row>
    <row r="1999">
      <c r="A1999" s="10">
        <f>IF($B1999="","",COUNTA($B$9:$B1999))</f>
        <v/>
      </c>
      <c r="B1999" s="11" t="n"/>
      <c r="C1999" s="12" t="n"/>
      <c r="D1999" s="12" t="n"/>
      <c r="E1999" s="13" t="n"/>
      <c r="F1999" s="14">
        <f>IF($E1999="","",IF($C1999="دستمزد گروهی",IFERROR(VLOOKUP($E1999,WGTbl,2,0),"کد ناشناخته"),IFERROR(IF(VLOOKUP($E1999,AcctTblE,4,0)="","(بدون نام)",VLOOKUP($E1999,AcctTblE,4,0)),"کد ناشناخته")))</f>
        <v/>
      </c>
      <c r="G1999" s="15" t="n"/>
      <c r="H1999" s="16">
        <f>IF(OR($C1999&lt;&gt;"دستمزد گروهی",$D1999=""),"",SUMIFS(ShareAmt,ShareLink,$D1999))</f>
        <v/>
      </c>
      <c r="I1999" s="17">
        <f>IF($C1999&lt;&gt;"دستمزد گروهی","—",IF($H1999="","",IF(ROUND($H1999-IF($G1999="",0,$G1999),0)=0,"√","▲ مغایرت "&amp;TEXT(IF($G1999="",0,$G1999)-$H1999,"#,##0"))))</f>
        <v/>
      </c>
      <c r="J1999" s="18" t="n"/>
    </row>
    <row r="2000">
      <c r="A2000" s="19">
        <f>IF($B2000="","",COUNTA($B$9:$B2000))</f>
        <v/>
      </c>
      <c r="B2000" s="11" t="n"/>
      <c r="C2000" s="12" t="n"/>
      <c r="D2000" s="12" t="n"/>
      <c r="E2000" s="13" t="n"/>
      <c r="F2000" s="20">
        <f>IF($E2000="","",IF($C2000="دستمزد گروهی",IFERROR(VLOOKUP($E2000,WGTbl,2,0),"کد ناشناخته"),IFERROR(IF(VLOOKUP($E2000,AcctTblE,4,0)="","(بدون نام)",VLOOKUP($E2000,AcctTblE,4,0)),"کد ناشناخته")))</f>
        <v/>
      </c>
      <c r="G2000" s="15" t="n"/>
      <c r="H2000" s="21">
        <f>IF(OR($C2000&lt;&gt;"دستمزد گروهی",$D2000=""),"",SUMIFS(ShareAmt,ShareLink,$D2000))</f>
        <v/>
      </c>
      <c r="I2000" s="22">
        <f>IF($C2000&lt;&gt;"دستمزد گروهی","—",IF($H2000="","",IF(ROUND($H2000-IF($G2000="",0,$G2000),0)=0,"√","▲ مغایرت "&amp;TEXT(IF($G2000="",0,$G2000)-$H2000,"#,##0"))))</f>
        <v/>
      </c>
      <c r="J2000" s="18" t="n"/>
    </row>
    <row r="2001">
      <c r="A2001" s="10">
        <f>IF($B2001="","",COUNTA($B$9:$B2001))</f>
        <v/>
      </c>
      <c r="B2001" s="11" t="n"/>
      <c r="C2001" s="12" t="n"/>
      <c r="D2001" s="12" t="n"/>
      <c r="E2001" s="13" t="n"/>
      <c r="F2001" s="14">
        <f>IF($E2001="","",IF($C2001="دستمزد گروهی",IFERROR(VLOOKUP($E2001,WGTbl,2,0),"کد ناشناخته"),IFERROR(IF(VLOOKUP($E2001,AcctTblE,4,0)="","(بدون نام)",VLOOKUP($E2001,AcctTblE,4,0)),"کد ناشناخته")))</f>
        <v/>
      </c>
      <c r="G2001" s="15" t="n"/>
      <c r="H2001" s="16">
        <f>IF(OR($C2001&lt;&gt;"دستمزد گروهی",$D2001=""),"",SUMIFS(ShareAmt,ShareLink,$D2001))</f>
        <v/>
      </c>
      <c r="I2001" s="17">
        <f>IF($C2001&lt;&gt;"دستمزد گروهی","—",IF($H2001="","",IF(ROUND($H2001-IF($G2001="",0,$G2001),0)=0,"√","▲ مغایرت "&amp;TEXT(IF($G2001="",0,$G2001)-$H2001,"#,##0"))))</f>
        <v/>
      </c>
      <c r="J2001" s="18" t="n"/>
    </row>
    <row r="2002">
      <c r="A2002" s="19">
        <f>IF($B2002="","",COUNTA($B$9:$B2002))</f>
        <v/>
      </c>
      <c r="B2002" s="11" t="n"/>
      <c r="C2002" s="12" t="n"/>
      <c r="D2002" s="12" t="n"/>
      <c r="E2002" s="13" t="n"/>
      <c r="F2002" s="20">
        <f>IF($E2002="","",IF($C2002="دستمزد گروهی",IFERROR(VLOOKUP($E2002,WGTbl,2,0),"کد ناشناخته"),IFERROR(IF(VLOOKUP($E2002,AcctTblE,4,0)="","(بدون نام)",VLOOKUP($E2002,AcctTblE,4,0)),"کد ناشناخته")))</f>
        <v/>
      </c>
      <c r="G2002" s="15" t="n"/>
      <c r="H2002" s="21">
        <f>IF(OR($C2002&lt;&gt;"دستمزد گروهی",$D2002=""),"",SUMIFS(ShareAmt,ShareLink,$D2002))</f>
        <v/>
      </c>
      <c r="I2002" s="22">
        <f>IF($C2002&lt;&gt;"دستمزد گروهی","—",IF($H2002="","",IF(ROUND($H2002-IF($G2002="",0,$G2002),0)=0,"√","▲ مغایرت "&amp;TEXT(IF($G2002="",0,$G2002)-$H2002,"#,##0"))))</f>
        <v/>
      </c>
      <c r="J2002" s="18" t="n"/>
    </row>
    <row r="2003">
      <c r="A2003" s="10">
        <f>IF($B2003="","",COUNTA($B$9:$B2003))</f>
        <v/>
      </c>
      <c r="B2003" s="11" t="n"/>
      <c r="C2003" s="12" t="n"/>
      <c r="D2003" s="12" t="n"/>
      <c r="E2003" s="13" t="n"/>
      <c r="F2003" s="14">
        <f>IF($E2003="","",IF($C2003="دستمزد گروهی",IFERROR(VLOOKUP($E2003,WGTbl,2,0),"کد ناشناخته"),IFERROR(IF(VLOOKUP($E2003,AcctTblE,4,0)="","(بدون نام)",VLOOKUP($E2003,AcctTblE,4,0)),"کد ناشناخته")))</f>
        <v/>
      </c>
      <c r="G2003" s="15" t="n"/>
      <c r="H2003" s="16">
        <f>IF(OR($C2003&lt;&gt;"دستمزد گروهی",$D2003=""),"",SUMIFS(ShareAmt,ShareLink,$D2003))</f>
        <v/>
      </c>
      <c r="I2003" s="17">
        <f>IF($C2003&lt;&gt;"دستمزد گروهی","—",IF($H2003="","",IF(ROUND($H2003-IF($G2003="",0,$G2003),0)=0,"√","▲ مغایرت "&amp;TEXT(IF($G2003="",0,$G2003)-$H2003,"#,##0"))))</f>
        <v/>
      </c>
      <c r="J2003" s="18" t="n"/>
    </row>
    <row r="2004">
      <c r="A2004" s="19">
        <f>IF($B2004="","",COUNTA($B$9:$B2004))</f>
        <v/>
      </c>
      <c r="B2004" s="11" t="n"/>
      <c r="C2004" s="12" t="n"/>
      <c r="D2004" s="12" t="n"/>
      <c r="E2004" s="13" t="n"/>
      <c r="F2004" s="20">
        <f>IF($E2004="","",IF($C2004="دستمزد گروهی",IFERROR(VLOOKUP($E2004,WGTbl,2,0),"کد ناشناخته"),IFERROR(IF(VLOOKUP($E2004,AcctTblE,4,0)="","(بدون نام)",VLOOKUP($E2004,AcctTblE,4,0)),"کد ناشناخته")))</f>
        <v/>
      </c>
      <c r="G2004" s="15" t="n"/>
      <c r="H2004" s="21">
        <f>IF(OR($C2004&lt;&gt;"دستمزد گروهی",$D2004=""),"",SUMIFS(ShareAmt,ShareLink,$D2004))</f>
        <v/>
      </c>
      <c r="I2004" s="22">
        <f>IF($C2004&lt;&gt;"دستمزد گروهی","—",IF($H2004="","",IF(ROUND($H2004-IF($G2004="",0,$G2004),0)=0,"√","▲ مغایرت "&amp;TEXT(IF($G2004="",0,$G2004)-$H2004,"#,##0"))))</f>
        <v/>
      </c>
      <c r="J2004" s="18" t="n"/>
    </row>
    <row r="2005">
      <c r="A2005" s="10">
        <f>IF($B2005="","",COUNTA($B$9:$B2005))</f>
        <v/>
      </c>
      <c r="B2005" s="11" t="n"/>
      <c r="C2005" s="12" t="n"/>
      <c r="D2005" s="12" t="n"/>
      <c r="E2005" s="13" t="n"/>
      <c r="F2005" s="14">
        <f>IF($E2005="","",IF($C2005="دستمزد گروهی",IFERROR(VLOOKUP($E2005,WGTbl,2,0),"کد ناشناخته"),IFERROR(IF(VLOOKUP($E2005,AcctTblE,4,0)="","(بدون نام)",VLOOKUP($E2005,AcctTblE,4,0)),"کد ناشناخته")))</f>
        <v/>
      </c>
      <c r="G2005" s="15" t="n"/>
      <c r="H2005" s="16">
        <f>IF(OR($C2005&lt;&gt;"دستمزد گروهی",$D2005=""),"",SUMIFS(ShareAmt,ShareLink,$D2005))</f>
        <v/>
      </c>
      <c r="I2005" s="17">
        <f>IF($C2005&lt;&gt;"دستمزد گروهی","—",IF($H2005="","",IF(ROUND($H2005-IF($G2005="",0,$G2005),0)=0,"√","▲ مغایرت "&amp;TEXT(IF($G2005="",0,$G2005)-$H2005,"#,##0"))))</f>
        <v/>
      </c>
      <c r="J2005" s="18" t="n"/>
    </row>
    <row r="2006">
      <c r="A2006" s="19">
        <f>IF($B2006="","",COUNTA($B$9:$B2006))</f>
        <v/>
      </c>
      <c r="B2006" s="11" t="n"/>
      <c r="C2006" s="12" t="n"/>
      <c r="D2006" s="12" t="n"/>
      <c r="E2006" s="13" t="n"/>
      <c r="F2006" s="20">
        <f>IF($E2006="","",IF($C2006="دستمزد گروهی",IFERROR(VLOOKUP($E2006,WGTbl,2,0),"کد ناشناخته"),IFERROR(IF(VLOOKUP($E2006,AcctTblE,4,0)="","(بدون نام)",VLOOKUP($E2006,AcctTblE,4,0)),"کد ناشناخته")))</f>
        <v/>
      </c>
      <c r="G2006" s="15" t="n"/>
      <c r="H2006" s="21">
        <f>IF(OR($C2006&lt;&gt;"دستمزد گروهی",$D2006=""),"",SUMIFS(ShareAmt,ShareLink,$D2006))</f>
        <v/>
      </c>
      <c r="I2006" s="22">
        <f>IF($C2006&lt;&gt;"دستمزد گروهی","—",IF($H2006="","",IF(ROUND($H2006-IF($G2006="",0,$G2006),0)=0,"√","▲ مغایرت "&amp;TEXT(IF($G2006="",0,$G2006)-$H2006,"#,##0"))))</f>
        <v/>
      </c>
      <c r="J2006" s="18" t="n"/>
    </row>
    <row r="2007">
      <c r="A2007" s="10">
        <f>IF($B2007="","",COUNTA($B$9:$B2007))</f>
        <v/>
      </c>
      <c r="B2007" s="11" t="n"/>
      <c r="C2007" s="12" t="n"/>
      <c r="D2007" s="12" t="n"/>
      <c r="E2007" s="13" t="n"/>
      <c r="F2007" s="14">
        <f>IF($E2007="","",IF($C2007="دستمزد گروهی",IFERROR(VLOOKUP($E2007,WGTbl,2,0),"کد ناشناخته"),IFERROR(IF(VLOOKUP($E2007,AcctTblE,4,0)="","(بدون نام)",VLOOKUP($E2007,AcctTblE,4,0)),"کد ناشناخته")))</f>
        <v/>
      </c>
      <c r="G2007" s="15" t="n"/>
      <c r="H2007" s="16">
        <f>IF(OR($C2007&lt;&gt;"دستمزد گروهی",$D2007=""),"",SUMIFS(ShareAmt,ShareLink,$D2007))</f>
        <v/>
      </c>
      <c r="I2007" s="17">
        <f>IF($C2007&lt;&gt;"دستمزد گروهی","—",IF($H2007="","",IF(ROUND($H2007-IF($G2007="",0,$G2007),0)=0,"√","▲ مغایرت "&amp;TEXT(IF($G2007="",0,$G2007)-$H2007,"#,##0"))))</f>
        <v/>
      </c>
      <c r="J2007" s="18" t="n"/>
    </row>
    <row r="2008">
      <c r="A2008" s="19">
        <f>IF($B2008="","",COUNTA($B$9:$B2008))</f>
        <v/>
      </c>
      <c r="B2008" s="11" t="n"/>
      <c r="C2008" s="12" t="n"/>
      <c r="D2008" s="12" t="n"/>
      <c r="E2008" s="13" t="n"/>
      <c r="F2008" s="20">
        <f>IF($E2008="","",IF($C2008="دستمزد گروهی",IFERROR(VLOOKUP($E2008,WGTbl,2,0),"کد ناشناخته"),IFERROR(IF(VLOOKUP($E2008,AcctTblE,4,0)="","(بدون نام)",VLOOKUP($E2008,AcctTblE,4,0)),"کد ناشناخته")))</f>
        <v/>
      </c>
      <c r="G2008" s="15" t="n"/>
      <c r="H2008" s="21">
        <f>IF(OR($C2008&lt;&gt;"دستمزد گروهی",$D2008=""),"",SUMIFS(ShareAmt,ShareLink,$D2008))</f>
        <v/>
      </c>
      <c r="I2008" s="22">
        <f>IF($C2008&lt;&gt;"دستمزد گروهی","—",IF($H2008="","",IF(ROUND($H2008-IF($G2008="",0,$G2008),0)=0,"√","▲ مغایرت "&amp;TEXT(IF($G2008="",0,$G2008)-$H2008,"#,##0"))))</f>
        <v/>
      </c>
      <c r="J2008" s="18" t="n"/>
    </row>
  </sheetData>
  <mergeCells count="14">
    <mergeCell ref="A1:J1"/>
    <mergeCell ref="E6:F6"/>
    <mergeCell ref="C6:D6"/>
    <mergeCell ref="I6:J6"/>
    <mergeCell ref="A3:J3"/>
    <mergeCell ref="A5:B5"/>
    <mergeCell ref="C5:D5"/>
    <mergeCell ref="E5:F5"/>
    <mergeCell ref="G5:H5"/>
    <mergeCell ref="A4:J4"/>
    <mergeCell ref="I5:J5"/>
    <mergeCell ref="G6:H6"/>
    <mergeCell ref="A2:J2"/>
    <mergeCell ref="A6:B6"/>
  </mergeCells>
  <conditionalFormatting sqref="I9:I2008">
    <cfRule type="cellIs" priority="1" operator="equal" dxfId="0">
      <formula>"√"</formula>
    </cfRule>
    <cfRule type="cellIs" priority="2" operator="beginsWith" dxfId="1">
      <formula>"▲"</formula>
    </cfRule>
  </conditionalFormatting>
  <conditionalFormatting sqref="C9:C2008">
    <cfRule type="cellIs" priority="3" operator="equal" dxfId="2">
      <formula>"دستمزد گروهی"</formula>
    </cfRule>
  </conditionalFormatting>
  <dataValidations count="4">
    <dataValidation sqref="C9:C2008" showDropDown="0" showInputMessage="0" showErrorMessage="0" allowBlank="1" errorTitle="نوع نامعتبر" error="دستمزد فردی یا دستمزد گروهی" type="list" errorStyle="stop">
      <formula1>"دستمزد فردی,دستمزد گروهی"</formula1>
    </dataValidation>
    <dataValidation sqref="E9:E2008" showDropDown="0" showInputMessage="0" showErrorMessage="0" allowBlank="1" errorTitle="کد طرف" error="کد کارمند (E…) برای فردی / کد گروه کاری (WG…) برای گروهی" type="list" errorStyle="warning">
      <formula1>IF($C9="دستمزد گروهی",ListWGEmp,ListStaffEmp)</formula1>
    </dataValidation>
    <dataValidation sqref="D9:D2008" showDropDown="0" showInputMessage="0" showErrorMessage="0" allowBlank="1" errorTitle="شناسه تکراری" error="این شناسه قبلاً استفاده شده — شناسه هر رویداد باید یکتا باشد (مثل W-201)" type="custom" errorStyle="warning">
      <formula1>OR($D9="",COUNTIF(WageIds,$D9)&lt;=1)</formula1>
    </dataValidation>
    <dataValidation sqref="G9:G2008" showDropDown="0" showInputMessage="0" showErrorMessage="0" allowBlank="1" errorTitle="مبلغ" error="مبلغ باید عدد بزرگ‌تر یا مساوی صفر باشد" type="decimal" errorStyle="warning" operator="greaterThanOrEqual">
      <formula1>0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دفتر دستمزد کارکنان — ثبت&amp;R&amp;"Tahoma"&amp;8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H2008"/>
  <sheetViews>
    <sheetView showGridLines="0" rightToLeft="1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0" customWidth="1" min="3" max="3"/>
    <col width="22" customWidth="1" min="4" max="4"/>
    <col width="15" customWidth="1" min="5" max="5"/>
    <col width="13" customWidth="1" min="6" max="6"/>
    <col width="16" customWidth="1" min="7" max="7"/>
    <col width="26" customWidth="1" min="8" max="8"/>
  </cols>
  <sheetData>
    <row r="1" ht="26" customHeight="1">
      <c r="A1" s="1">
        <f>IF(Sync!$AI$6="","مازندشت",Sync!$AI$6)&amp;" — "&amp;IF(Sync!$AI$9="","سورتینگ و بسته‌بندی مرکبات",Sync!$AI$9)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IF(Sync!$AI$7="","باغدشت، بخش مرکزی، شهرستان قائم‌شهر، استان مازندران، ایران",Sync!$AI$7)&amp;"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 t="inlineStr">
        <is>
          <t>ریز دستمزد گروهی — سهم هر عضو از هر رویداد گروهی</t>
        </is>
      </c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برای هر رویداد «دستمزد گروهی» شیت Wages، اینجا به‌ازای هر عضو یک ردیف بنویسید: همان «شناسه» + کد کارمند + مبلغ سهم. تاریخ و گروه خودکار از رویداد می‌آیند. جمع سهم‌های هر شناسه باید با مبلغ کل رویداد برابر شود (وضعیت در شیت Wages).</t>
        </is>
      </c>
      <c r="B4" s="4" t="n"/>
      <c r="C4" s="4" t="n"/>
      <c r="D4" s="4" t="n"/>
      <c r="E4" s="4" t="n"/>
      <c r="F4" s="4" t="n"/>
      <c r="G4" s="4" t="n"/>
      <c r="H4" s="4" t="n"/>
    </row>
    <row r="5" ht="13" customHeight="1">
      <c r="A5" s="5" t="inlineStr">
        <is>
          <t>تعداد ردیف سهم</t>
        </is>
      </c>
      <c r="B5" s="5" t="n"/>
      <c r="C5" s="5" t="inlineStr">
        <is>
          <t>جمع سهم‌ها (ریال)</t>
        </is>
      </c>
      <c r="D5" s="5" t="n"/>
      <c r="E5" s="5" t="inlineStr">
        <is>
          <t>بزرگ‌ترین سهم (ریال)</t>
        </is>
      </c>
      <c r="F5" s="5" t="n"/>
      <c r="G5" s="5" t="inlineStr">
        <is>
          <t>ظرفیت باقی‌مانده</t>
        </is>
      </c>
      <c r="H5" s="5" t="n"/>
    </row>
    <row r="6" ht="20" customHeight="1">
      <c r="A6" s="6">
        <f>COUNTA($B$9:$B$2008)</f>
        <v/>
      </c>
      <c r="B6" s="6" t="n"/>
      <c r="C6" s="7">
        <f>SUM($E$9:$E$2008)</f>
        <v/>
      </c>
      <c r="D6" s="7" t="n"/>
      <c r="E6" s="7">
        <f>IF(COUNT($E$9:$E$2008)=0,"—",MAX($E$9:$E$2008))</f>
        <v/>
      </c>
      <c r="F6" s="7" t="n"/>
      <c r="G6" s="6">
        <f>2000-COUNTA($B$9:$B$2008)</f>
        <v/>
      </c>
      <c r="H6" s="6" t="n"/>
    </row>
    <row r="7" ht="30" customHeight="1">
      <c r="A7" s="8" t="inlineStr">
        <is>
          <t>ردیف</t>
        </is>
      </c>
      <c r="B7" s="8" t="inlineStr">
        <is>
          <t>شناسه رویداد</t>
        </is>
      </c>
      <c r="C7" s="8" t="inlineStr">
        <is>
          <t>کد عضو</t>
        </is>
      </c>
      <c r="D7" s="8" t="inlineStr">
        <is>
          <t>نام عضو (خودکار)</t>
        </is>
      </c>
      <c r="E7" s="8" t="inlineStr">
        <is>
          <t>مبلغ سهم (ریال)</t>
        </is>
      </c>
      <c r="F7" s="8" t="inlineStr">
        <is>
          <t>توضیحات</t>
        </is>
      </c>
    </row>
    <row r="8" ht="13" customHeight="1">
      <c r="A8" s="9" t="inlineStr">
        <is>
          <t>No.</t>
        </is>
      </c>
      <c r="B8" s="9" t="inlineStr">
        <is>
          <t>Event ID</t>
        </is>
      </c>
      <c r="C8" s="9" t="inlineStr">
        <is>
          <t>Member</t>
        </is>
      </c>
      <c r="D8" s="9" t="inlineStr">
        <is>
          <t>Member Name (auto)</t>
        </is>
      </c>
      <c r="E8" s="9" t="inlineStr">
        <is>
          <t>Share Amount</t>
        </is>
      </c>
      <c r="F8" s="9" t="inlineStr">
        <is>
          <t>Notes</t>
        </is>
      </c>
    </row>
    <row r="9">
      <c r="A9" s="10">
        <f>IF($B9="","",COUNTA($B$9:$B9))</f>
        <v/>
      </c>
      <c r="B9" s="12" t="inlineStr">
        <is>
          <t>W-201</t>
        </is>
      </c>
      <c r="C9" s="13" t="inlineStr">
        <is>
          <t>E005</t>
        </is>
      </c>
      <c r="D9" s="14">
        <f>IF($C9="","",IFERROR(IF(VLOOKUP($C9,AcctTblE,4,0)="","(بدون نام)",VLOOKUP($C9,AcctTblE,4,0)),"کد ناشناخته"))</f>
        <v/>
      </c>
      <c r="E9" s="15" t="n">
        <v>11000000</v>
      </c>
      <c r="F9" s="14">
        <f>IF($B9="","",IFERROR(INDEX(WageDates,MATCH($B9,WageIds,0)),"—"))</f>
        <v/>
      </c>
      <c r="G9" s="14">
        <f>IF($B9="","",IFERROR(VLOOKUP(INDEX(WageParty,MATCH($B9,WageIds,0)),WGTbl,2,0),"—"))</f>
        <v/>
      </c>
      <c r="H9" s="12" t="inlineStr">
        <is>
          <t>سهم سرپرست</t>
        </is>
      </c>
    </row>
    <row r="10">
      <c r="A10" s="19">
        <f>IF($B10="","",COUNTA($B$9:$B10))</f>
        <v/>
      </c>
      <c r="B10" s="12" t="inlineStr">
        <is>
          <t>W-201</t>
        </is>
      </c>
      <c r="C10" s="13" t="inlineStr">
        <is>
          <t>E006</t>
        </is>
      </c>
      <c r="D10" s="20">
        <f>IF($C10="","",IFERROR(IF(VLOOKUP($C10,AcctTblE,4,0)="","(بدون نام)",VLOOKUP($C10,AcctTblE,4,0)),"کد ناشناخته"))</f>
        <v/>
      </c>
      <c r="E10" s="15" t="n">
        <v>9000000</v>
      </c>
      <c r="F10" s="20">
        <f>IF($B10="","",IFERROR(INDEX(WageDates,MATCH($B10,WageIds,0)),"—"))</f>
        <v/>
      </c>
      <c r="G10" s="20">
        <f>IF($B10="","",IFERROR(VLOOKUP(INDEX(WageParty,MATCH($B10,WageIds,0)),WGTbl,2,0),"—"))</f>
        <v/>
      </c>
      <c r="H10" s="12" t="n"/>
    </row>
    <row r="11">
      <c r="A11" s="10">
        <f>IF($B11="","",COUNTA($B$9:$B11))</f>
        <v/>
      </c>
      <c r="B11" s="12" t="inlineStr">
        <is>
          <t>W-202</t>
        </is>
      </c>
      <c r="C11" s="13" t="inlineStr">
        <is>
          <t>E005</t>
        </is>
      </c>
      <c r="D11" s="14">
        <f>IF($C11="","",IFERROR(IF(VLOOKUP($C11,AcctTblE,4,0)="","(بدون نام)",VLOOKUP($C11,AcctTblE,4,0)),"کد ناشناخته"))</f>
        <v/>
      </c>
      <c r="E11" s="15" t="n">
        <v>10000000</v>
      </c>
      <c r="F11" s="14">
        <f>IF($B11="","",IFERROR(INDEX(WageDates,MATCH($B11,WageIds,0)),"—"))</f>
        <v/>
      </c>
      <c r="G11" s="14">
        <f>IF($B11="","",IFERROR(VLOOKUP(INDEX(WageParty,MATCH($B11,WageIds,0)),WGTbl,2,0),"—"))</f>
        <v/>
      </c>
      <c r="H11" s="12" t="n"/>
    </row>
    <row r="12">
      <c r="A12" s="19">
        <f>IF($B12="","",COUNTA($B$9:$B12))</f>
        <v/>
      </c>
      <c r="B12" s="12" t="inlineStr">
        <is>
          <t>W-202</t>
        </is>
      </c>
      <c r="C12" s="13" t="inlineStr">
        <is>
          <t>E006</t>
        </is>
      </c>
      <c r="D12" s="20">
        <f>IF($C12="","",IFERROR(IF(VLOOKUP($C12,AcctTblE,4,0)="","(بدون نام)",VLOOKUP($C12,AcctTblE,4,0)),"کد ناشناخته"))</f>
        <v/>
      </c>
      <c r="E12" s="15" t="n">
        <v>8000000</v>
      </c>
      <c r="F12" s="20">
        <f>IF($B12="","",IFERROR(INDEX(WageDates,MATCH($B12,WageIds,0)),"—"))</f>
        <v/>
      </c>
      <c r="G12" s="20">
        <f>IF($B12="","",IFERROR(VLOOKUP(INDEX(WageParty,MATCH($B12,WageIds,0)),WGTbl,2,0),"—"))</f>
        <v/>
      </c>
      <c r="H12" s="12" t="n"/>
    </row>
    <row r="13">
      <c r="A13" s="10">
        <f>IF($B13="","",COUNTA($B$9:$B13))</f>
        <v/>
      </c>
      <c r="B13" s="12" t="n"/>
      <c r="C13" s="13" t="n"/>
      <c r="D13" s="14">
        <f>IF($C13="","",IFERROR(IF(VLOOKUP($C13,AcctTblE,4,0)="","(بدون نام)",VLOOKUP($C13,AcctTblE,4,0)),"کد ناشناخته"))</f>
        <v/>
      </c>
      <c r="E13" s="15" t="n"/>
      <c r="F13" s="14">
        <f>IF($B13="","",IFERROR(INDEX(WageDates,MATCH($B13,WageIds,0)),"—"))</f>
        <v/>
      </c>
      <c r="G13" s="14">
        <f>IF($B13="","",IFERROR(VLOOKUP(INDEX(WageParty,MATCH($B13,WageIds,0)),WGTbl,2,0),"—"))</f>
        <v/>
      </c>
      <c r="H13" s="12" t="n"/>
    </row>
    <row r="14">
      <c r="A14" s="19">
        <f>IF($B14="","",COUNTA($B$9:$B14))</f>
        <v/>
      </c>
      <c r="B14" s="12" t="n"/>
      <c r="C14" s="13" t="n"/>
      <c r="D14" s="20">
        <f>IF($C14="","",IFERROR(IF(VLOOKUP($C14,AcctTblE,4,0)="","(بدون نام)",VLOOKUP($C14,AcctTblE,4,0)),"کد ناشناخته"))</f>
        <v/>
      </c>
      <c r="E14" s="15" t="n"/>
      <c r="F14" s="20">
        <f>IF($B14="","",IFERROR(INDEX(WageDates,MATCH($B14,WageIds,0)),"—"))</f>
        <v/>
      </c>
      <c r="G14" s="20">
        <f>IF($B14="","",IFERROR(VLOOKUP(INDEX(WageParty,MATCH($B14,WageIds,0)),WGTbl,2,0),"—"))</f>
        <v/>
      </c>
      <c r="H14" s="12" t="n"/>
    </row>
    <row r="15">
      <c r="A15" s="10">
        <f>IF($B15="","",COUNTA($B$9:$B15))</f>
        <v/>
      </c>
      <c r="B15" s="12" t="n"/>
      <c r="C15" s="13" t="n"/>
      <c r="D15" s="14">
        <f>IF($C15="","",IFERROR(IF(VLOOKUP($C15,AcctTblE,4,0)="","(بدون نام)",VLOOKUP($C15,AcctTblE,4,0)),"کد ناشناخته"))</f>
        <v/>
      </c>
      <c r="E15" s="15" t="n"/>
      <c r="F15" s="14">
        <f>IF($B15="","",IFERROR(INDEX(WageDates,MATCH($B15,WageIds,0)),"—"))</f>
        <v/>
      </c>
      <c r="G15" s="14">
        <f>IF($B15="","",IFERROR(VLOOKUP(INDEX(WageParty,MATCH($B15,WageIds,0)),WGTbl,2,0),"—"))</f>
        <v/>
      </c>
      <c r="H15" s="12" t="n"/>
    </row>
    <row r="16">
      <c r="A16" s="19">
        <f>IF($B16="","",COUNTA($B$9:$B16))</f>
        <v/>
      </c>
      <c r="B16" s="12" t="n"/>
      <c r="C16" s="13" t="n"/>
      <c r="D16" s="20">
        <f>IF($C16="","",IFERROR(IF(VLOOKUP($C16,AcctTblE,4,0)="","(بدون نام)",VLOOKUP($C16,AcctTblE,4,0)),"کد ناشناخته"))</f>
        <v/>
      </c>
      <c r="E16" s="15" t="n"/>
      <c r="F16" s="20">
        <f>IF($B16="","",IFERROR(INDEX(WageDates,MATCH($B16,WageIds,0)),"—"))</f>
        <v/>
      </c>
      <c r="G16" s="20">
        <f>IF($B16="","",IFERROR(VLOOKUP(INDEX(WageParty,MATCH($B16,WageIds,0)),WGTbl,2,0),"—"))</f>
        <v/>
      </c>
      <c r="H16" s="12" t="n"/>
    </row>
    <row r="17">
      <c r="A17" s="10">
        <f>IF($B17="","",COUNTA($B$9:$B17))</f>
        <v/>
      </c>
      <c r="B17" s="12" t="n"/>
      <c r="C17" s="13" t="n"/>
      <c r="D17" s="14">
        <f>IF($C17="","",IFERROR(IF(VLOOKUP($C17,AcctTblE,4,0)="","(بدون نام)",VLOOKUP($C17,AcctTblE,4,0)),"کد ناشناخته"))</f>
        <v/>
      </c>
      <c r="E17" s="15" t="n"/>
      <c r="F17" s="14">
        <f>IF($B17="","",IFERROR(INDEX(WageDates,MATCH($B17,WageIds,0)),"—"))</f>
        <v/>
      </c>
      <c r="G17" s="14">
        <f>IF($B17="","",IFERROR(VLOOKUP(INDEX(WageParty,MATCH($B17,WageIds,0)),WGTbl,2,0),"—"))</f>
        <v/>
      </c>
      <c r="H17" s="12" t="n"/>
    </row>
    <row r="18">
      <c r="A18" s="19">
        <f>IF($B18="","",COUNTA($B$9:$B18))</f>
        <v/>
      </c>
      <c r="B18" s="12" t="n"/>
      <c r="C18" s="13" t="n"/>
      <c r="D18" s="20">
        <f>IF($C18="","",IFERROR(IF(VLOOKUP($C18,AcctTblE,4,0)="","(بدون نام)",VLOOKUP($C18,AcctTblE,4,0)),"کد ناشناخته"))</f>
        <v/>
      </c>
      <c r="E18" s="15" t="n"/>
      <c r="F18" s="20">
        <f>IF($B18="","",IFERROR(INDEX(WageDates,MATCH($B18,WageIds,0)),"—"))</f>
        <v/>
      </c>
      <c r="G18" s="20">
        <f>IF($B18="","",IFERROR(VLOOKUP(INDEX(WageParty,MATCH($B18,WageIds,0)),WGTbl,2,0),"—"))</f>
        <v/>
      </c>
      <c r="H18" s="12" t="n"/>
    </row>
    <row r="19">
      <c r="A19" s="10">
        <f>IF($B19="","",COUNTA($B$9:$B19))</f>
        <v/>
      </c>
      <c r="B19" s="12" t="n"/>
      <c r="C19" s="13" t="n"/>
      <c r="D19" s="14">
        <f>IF($C19="","",IFERROR(IF(VLOOKUP($C19,AcctTblE,4,0)="","(بدون نام)",VLOOKUP($C19,AcctTblE,4,0)),"کد ناشناخته"))</f>
        <v/>
      </c>
      <c r="E19" s="15" t="n"/>
      <c r="F19" s="14">
        <f>IF($B19="","",IFERROR(INDEX(WageDates,MATCH($B19,WageIds,0)),"—"))</f>
        <v/>
      </c>
      <c r="G19" s="14">
        <f>IF($B19="","",IFERROR(VLOOKUP(INDEX(WageParty,MATCH($B19,WageIds,0)),WGTbl,2,0),"—"))</f>
        <v/>
      </c>
      <c r="H19" s="12" t="n"/>
    </row>
    <row r="20">
      <c r="A20" s="19">
        <f>IF($B20="","",COUNTA($B$9:$B20))</f>
        <v/>
      </c>
      <c r="B20" s="12" t="n"/>
      <c r="C20" s="13" t="n"/>
      <c r="D20" s="20">
        <f>IF($C20="","",IFERROR(IF(VLOOKUP($C20,AcctTblE,4,0)="","(بدون نام)",VLOOKUP($C20,AcctTblE,4,0)),"کد ناشناخته"))</f>
        <v/>
      </c>
      <c r="E20" s="15" t="n"/>
      <c r="F20" s="20">
        <f>IF($B20="","",IFERROR(INDEX(WageDates,MATCH($B20,WageIds,0)),"—"))</f>
        <v/>
      </c>
      <c r="G20" s="20">
        <f>IF($B20="","",IFERROR(VLOOKUP(INDEX(WageParty,MATCH($B20,WageIds,0)),WGTbl,2,0),"—"))</f>
        <v/>
      </c>
      <c r="H20" s="12" t="n"/>
    </row>
    <row r="21">
      <c r="A21" s="10">
        <f>IF($B21="","",COUNTA($B$9:$B21))</f>
        <v/>
      </c>
      <c r="B21" s="12" t="n"/>
      <c r="C21" s="13" t="n"/>
      <c r="D21" s="14">
        <f>IF($C21="","",IFERROR(IF(VLOOKUP($C21,AcctTblE,4,0)="","(بدون نام)",VLOOKUP($C21,AcctTblE,4,0)),"کد ناشناخته"))</f>
        <v/>
      </c>
      <c r="E21" s="15" t="n"/>
      <c r="F21" s="14">
        <f>IF($B21="","",IFERROR(INDEX(WageDates,MATCH($B21,WageIds,0)),"—"))</f>
        <v/>
      </c>
      <c r="G21" s="14">
        <f>IF($B21="","",IFERROR(VLOOKUP(INDEX(WageParty,MATCH($B21,WageIds,0)),WGTbl,2,0),"—"))</f>
        <v/>
      </c>
      <c r="H21" s="12" t="n"/>
    </row>
    <row r="22">
      <c r="A22" s="19">
        <f>IF($B22="","",COUNTA($B$9:$B22))</f>
        <v/>
      </c>
      <c r="B22" s="12" t="n"/>
      <c r="C22" s="13" t="n"/>
      <c r="D22" s="20">
        <f>IF($C22="","",IFERROR(IF(VLOOKUP($C22,AcctTblE,4,0)="","(بدون نام)",VLOOKUP($C22,AcctTblE,4,0)),"کد ناشناخته"))</f>
        <v/>
      </c>
      <c r="E22" s="15" t="n"/>
      <c r="F22" s="20">
        <f>IF($B22="","",IFERROR(INDEX(WageDates,MATCH($B22,WageIds,0)),"—"))</f>
        <v/>
      </c>
      <c r="G22" s="20">
        <f>IF($B22="","",IFERROR(VLOOKUP(INDEX(WageParty,MATCH($B22,WageIds,0)),WGTbl,2,0),"—"))</f>
        <v/>
      </c>
      <c r="H22" s="12" t="n"/>
    </row>
    <row r="23">
      <c r="A23" s="10">
        <f>IF($B23="","",COUNTA($B$9:$B23))</f>
        <v/>
      </c>
      <c r="B23" s="12" t="n"/>
      <c r="C23" s="13" t="n"/>
      <c r="D23" s="14">
        <f>IF($C23="","",IFERROR(IF(VLOOKUP($C23,AcctTblE,4,0)="","(بدون نام)",VLOOKUP($C23,AcctTblE,4,0)),"کد ناشناخته"))</f>
        <v/>
      </c>
      <c r="E23" s="15" t="n"/>
      <c r="F23" s="14">
        <f>IF($B23="","",IFERROR(INDEX(WageDates,MATCH($B23,WageIds,0)),"—"))</f>
        <v/>
      </c>
      <c r="G23" s="14">
        <f>IF($B23="","",IFERROR(VLOOKUP(INDEX(WageParty,MATCH($B23,WageIds,0)),WGTbl,2,0),"—"))</f>
        <v/>
      </c>
      <c r="H23" s="12" t="n"/>
    </row>
    <row r="24">
      <c r="A24" s="19">
        <f>IF($B24="","",COUNTA($B$9:$B24))</f>
        <v/>
      </c>
      <c r="B24" s="12" t="n"/>
      <c r="C24" s="13" t="n"/>
      <c r="D24" s="20">
        <f>IF($C24="","",IFERROR(IF(VLOOKUP($C24,AcctTblE,4,0)="","(بدون نام)",VLOOKUP($C24,AcctTblE,4,0)),"کد ناشناخته"))</f>
        <v/>
      </c>
      <c r="E24" s="15" t="n"/>
      <c r="F24" s="20">
        <f>IF($B24="","",IFERROR(INDEX(WageDates,MATCH($B24,WageIds,0)),"—"))</f>
        <v/>
      </c>
      <c r="G24" s="20">
        <f>IF($B24="","",IFERROR(VLOOKUP(INDEX(WageParty,MATCH($B24,WageIds,0)),WGTbl,2,0),"—"))</f>
        <v/>
      </c>
      <c r="H24" s="12" t="n"/>
    </row>
    <row r="25">
      <c r="A25" s="10">
        <f>IF($B25="","",COUNTA($B$9:$B25))</f>
        <v/>
      </c>
      <c r="B25" s="12" t="n"/>
      <c r="C25" s="13" t="n"/>
      <c r="D25" s="14">
        <f>IF($C25="","",IFERROR(IF(VLOOKUP($C25,AcctTblE,4,0)="","(بدون نام)",VLOOKUP($C25,AcctTblE,4,0)),"کد ناشناخته"))</f>
        <v/>
      </c>
      <c r="E25" s="15" t="n"/>
      <c r="F25" s="14">
        <f>IF($B25="","",IFERROR(INDEX(WageDates,MATCH($B25,WageIds,0)),"—"))</f>
        <v/>
      </c>
      <c r="G25" s="14">
        <f>IF($B25="","",IFERROR(VLOOKUP(INDEX(WageParty,MATCH($B25,WageIds,0)),WGTbl,2,0),"—"))</f>
        <v/>
      </c>
      <c r="H25" s="12" t="n"/>
    </row>
    <row r="26">
      <c r="A26" s="19">
        <f>IF($B26="","",COUNTA($B$9:$B26))</f>
        <v/>
      </c>
      <c r="B26" s="12" t="n"/>
      <c r="C26" s="13" t="n"/>
      <c r="D26" s="20">
        <f>IF($C26="","",IFERROR(IF(VLOOKUP($C26,AcctTblE,4,0)="","(بدون نام)",VLOOKUP($C26,AcctTblE,4,0)),"کد ناشناخته"))</f>
        <v/>
      </c>
      <c r="E26" s="15" t="n"/>
      <c r="F26" s="20">
        <f>IF($B26="","",IFERROR(INDEX(WageDates,MATCH($B26,WageIds,0)),"—"))</f>
        <v/>
      </c>
      <c r="G26" s="20">
        <f>IF($B26="","",IFERROR(VLOOKUP(INDEX(WageParty,MATCH($B26,WageIds,0)),WGTbl,2,0),"—"))</f>
        <v/>
      </c>
      <c r="H26" s="12" t="n"/>
    </row>
    <row r="27">
      <c r="A27" s="10">
        <f>IF($B27="","",COUNTA($B$9:$B27))</f>
        <v/>
      </c>
      <c r="B27" s="12" t="n"/>
      <c r="C27" s="13" t="n"/>
      <c r="D27" s="14">
        <f>IF($C27="","",IFERROR(IF(VLOOKUP($C27,AcctTblE,4,0)="","(بدون نام)",VLOOKUP($C27,AcctTblE,4,0)),"کد ناشناخته"))</f>
        <v/>
      </c>
      <c r="E27" s="15" t="n"/>
      <c r="F27" s="14">
        <f>IF($B27="","",IFERROR(INDEX(WageDates,MATCH($B27,WageIds,0)),"—"))</f>
        <v/>
      </c>
      <c r="G27" s="14">
        <f>IF($B27="","",IFERROR(VLOOKUP(INDEX(WageParty,MATCH($B27,WageIds,0)),WGTbl,2,0),"—"))</f>
        <v/>
      </c>
      <c r="H27" s="12" t="n"/>
    </row>
    <row r="28">
      <c r="A28" s="19">
        <f>IF($B28="","",COUNTA($B$9:$B28))</f>
        <v/>
      </c>
      <c r="B28" s="12" t="n"/>
      <c r="C28" s="13" t="n"/>
      <c r="D28" s="20">
        <f>IF($C28="","",IFERROR(IF(VLOOKUP($C28,AcctTblE,4,0)="","(بدون نام)",VLOOKUP($C28,AcctTblE,4,0)),"کد ناشناخته"))</f>
        <v/>
      </c>
      <c r="E28" s="15" t="n"/>
      <c r="F28" s="20">
        <f>IF($B28="","",IFERROR(INDEX(WageDates,MATCH($B28,WageIds,0)),"—"))</f>
        <v/>
      </c>
      <c r="G28" s="20">
        <f>IF($B28="","",IFERROR(VLOOKUP(INDEX(WageParty,MATCH($B28,WageIds,0)),WGTbl,2,0),"—"))</f>
        <v/>
      </c>
      <c r="H28" s="12" t="n"/>
    </row>
    <row r="29">
      <c r="A29" s="10">
        <f>IF($B29="","",COUNTA($B$9:$B29))</f>
        <v/>
      </c>
      <c r="B29" s="12" t="n"/>
      <c r="C29" s="13" t="n"/>
      <c r="D29" s="14">
        <f>IF($C29="","",IFERROR(IF(VLOOKUP($C29,AcctTblE,4,0)="","(بدون نام)",VLOOKUP($C29,AcctTblE,4,0)),"کد ناشناخته"))</f>
        <v/>
      </c>
      <c r="E29" s="15" t="n"/>
      <c r="F29" s="14">
        <f>IF($B29="","",IFERROR(INDEX(WageDates,MATCH($B29,WageIds,0)),"—"))</f>
        <v/>
      </c>
      <c r="G29" s="14">
        <f>IF($B29="","",IFERROR(VLOOKUP(INDEX(WageParty,MATCH($B29,WageIds,0)),WGTbl,2,0),"—"))</f>
        <v/>
      </c>
      <c r="H29" s="12" t="n"/>
    </row>
    <row r="30">
      <c r="A30" s="19">
        <f>IF($B30="","",COUNTA($B$9:$B30))</f>
        <v/>
      </c>
      <c r="B30" s="12" t="n"/>
      <c r="C30" s="13" t="n"/>
      <c r="D30" s="20">
        <f>IF($C30="","",IFERROR(IF(VLOOKUP($C30,AcctTblE,4,0)="","(بدون نام)",VLOOKUP($C30,AcctTblE,4,0)),"کد ناشناخته"))</f>
        <v/>
      </c>
      <c r="E30" s="15" t="n"/>
      <c r="F30" s="20">
        <f>IF($B30="","",IFERROR(INDEX(WageDates,MATCH($B30,WageIds,0)),"—"))</f>
        <v/>
      </c>
      <c r="G30" s="20">
        <f>IF($B30="","",IFERROR(VLOOKUP(INDEX(WageParty,MATCH($B30,WageIds,0)),WGTbl,2,0),"—"))</f>
        <v/>
      </c>
      <c r="H30" s="12" t="n"/>
    </row>
    <row r="31">
      <c r="A31" s="10">
        <f>IF($B31="","",COUNTA($B$9:$B31))</f>
        <v/>
      </c>
      <c r="B31" s="12" t="n"/>
      <c r="C31" s="13" t="n"/>
      <c r="D31" s="14">
        <f>IF($C31="","",IFERROR(IF(VLOOKUP($C31,AcctTblE,4,0)="","(بدون نام)",VLOOKUP($C31,AcctTblE,4,0)),"کد ناشناخته"))</f>
        <v/>
      </c>
      <c r="E31" s="15" t="n"/>
      <c r="F31" s="14">
        <f>IF($B31="","",IFERROR(INDEX(WageDates,MATCH($B31,WageIds,0)),"—"))</f>
        <v/>
      </c>
      <c r="G31" s="14">
        <f>IF($B31="","",IFERROR(VLOOKUP(INDEX(WageParty,MATCH($B31,WageIds,0)),WGTbl,2,0),"—"))</f>
        <v/>
      </c>
      <c r="H31" s="12" t="n"/>
    </row>
    <row r="32">
      <c r="A32" s="19">
        <f>IF($B32="","",COUNTA($B$9:$B32))</f>
        <v/>
      </c>
      <c r="B32" s="12" t="n"/>
      <c r="C32" s="13" t="n"/>
      <c r="D32" s="20">
        <f>IF($C32="","",IFERROR(IF(VLOOKUP($C32,AcctTblE,4,0)="","(بدون نام)",VLOOKUP($C32,AcctTblE,4,0)),"کد ناشناخته"))</f>
        <v/>
      </c>
      <c r="E32" s="15" t="n"/>
      <c r="F32" s="20">
        <f>IF($B32="","",IFERROR(INDEX(WageDates,MATCH($B32,WageIds,0)),"—"))</f>
        <v/>
      </c>
      <c r="G32" s="20">
        <f>IF($B32="","",IFERROR(VLOOKUP(INDEX(WageParty,MATCH($B32,WageIds,0)),WGTbl,2,0),"—"))</f>
        <v/>
      </c>
      <c r="H32" s="12" t="n"/>
    </row>
    <row r="33">
      <c r="A33" s="10">
        <f>IF($B33="","",COUNTA($B$9:$B33))</f>
        <v/>
      </c>
      <c r="B33" s="12" t="n"/>
      <c r="C33" s="13" t="n"/>
      <c r="D33" s="14">
        <f>IF($C33="","",IFERROR(IF(VLOOKUP($C33,AcctTblE,4,0)="","(بدون نام)",VLOOKUP($C33,AcctTblE,4,0)),"کد ناشناخته"))</f>
        <v/>
      </c>
      <c r="E33" s="15" t="n"/>
      <c r="F33" s="14">
        <f>IF($B33="","",IFERROR(INDEX(WageDates,MATCH($B33,WageIds,0)),"—"))</f>
        <v/>
      </c>
      <c r="G33" s="14">
        <f>IF($B33="","",IFERROR(VLOOKUP(INDEX(WageParty,MATCH($B33,WageIds,0)),WGTbl,2,0),"—"))</f>
        <v/>
      </c>
      <c r="H33" s="12" t="n"/>
    </row>
    <row r="34">
      <c r="A34" s="19">
        <f>IF($B34="","",COUNTA($B$9:$B34))</f>
        <v/>
      </c>
      <c r="B34" s="12" t="n"/>
      <c r="C34" s="13" t="n"/>
      <c r="D34" s="20">
        <f>IF($C34="","",IFERROR(IF(VLOOKUP($C34,AcctTblE,4,0)="","(بدون نام)",VLOOKUP($C34,AcctTblE,4,0)),"کد ناشناخته"))</f>
        <v/>
      </c>
      <c r="E34" s="15" t="n"/>
      <c r="F34" s="20">
        <f>IF($B34="","",IFERROR(INDEX(WageDates,MATCH($B34,WageIds,0)),"—"))</f>
        <v/>
      </c>
      <c r="G34" s="20">
        <f>IF($B34="","",IFERROR(VLOOKUP(INDEX(WageParty,MATCH($B34,WageIds,0)),WGTbl,2,0),"—"))</f>
        <v/>
      </c>
      <c r="H34" s="12" t="n"/>
    </row>
    <row r="35">
      <c r="A35" s="10">
        <f>IF($B35="","",COUNTA($B$9:$B35))</f>
        <v/>
      </c>
      <c r="B35" s="12" t="n"/>
      <c r="C35" s="13" t="n"/>
      <c r="D35" s="14">
        <f>IF($C35="","",IFERROR(IF(VLOOKUP($C35,AcctTblE,4,0)="","(بدون نام)",VLOOKUP($C35,AcctTblE,4,0)),"کد ناشناخته"))</f>
        <v/>
      </c>
      <c r="E35" s="15" t="n"/>
      <c r="F35" s="14">
        <f>IF($B35="","",IFERROR(INDEX(WageDates,MATCH($B35,WageIds,0)),"—"))</f>
        <v/>
      </c>
      <c r="G35" s="14">
        <f>IF($B35="","",IFERROR(VLOOKUP(INDEX(WageParty,MATCH($B35,WageIds,0)),WGTbl,2,0),"—"))</f>
        <v/>
      </c>
      <c r="H35" s="12" t="n"/>
    </row>
    <row r="36">
      <c r="A36" s="19">
        <f>IF($B36="","",COUNTA($B$9:$B36))</f>
        <v/>
      </c>
      <c r="B36" s="12" t="n"/>
      <c r="C36" s="13" t="n"/>
      <c r="D36" s="20">
        <f>IF($C36="","",IFERROR(IF(VLOOKUP($C36,AcctTblE,4,0)="","(بدون نام)",VLOOKUP($C36,AcctTblE,4,0)),"کد ناشناخته"))</f>
        <v/>
      </c>
      <c r="E36" s="15" t="n"/>
      <c r="F36" s="20">
        <f>IF($B36="","",IFERROR(INDEX(WageDates,MATCH($B36,WageIds,0)),"—"))</f>
        <v/>
      </c>
      <c r="G36" s="20">
        <f>IF($B36="","",IFERROR(VLOOKUP(INDEX(WageParty,MATCH($B36,WageIds,0)),WGTbl,2,0),"—"))</f>
        <v/>
      </c>
      <c r="H36" s="12" t="n"/>
    </row>
    <row r="37">
      <c r="A37" s="10">
        <f>IF($B37="","",COUNTA($B$9:$B37))</f>
        <v/>
      </c>
      <c r="B37" s="12" t="n"/>
      <c r="C37" s="13" t="n"/>
      <c r="D37" s="14">
        <f>IF($C37="","",IFERROR(IF(VLOOKUP($C37,AcctTblE,4,0)="","(بدون نام)",VLOOKUP($C37,AcctTblE,4,0)),"کد ناشناخته"))</f>
        <v/>
      </c>
      <c r="E37" s="15" t="n"/>
      <c r="F37" s="14">
        <f>IF($B37="","",IFERROR(INDEX(WageDates,MATCH($B37,WageIds,0)),"—"))</f>
        <v/>
      </c>
      <c r="G37" s="14">
        <f>IF($B37="","",IFERROR(VLOOKUP(INDEX(WageParty,MATCH($B37,WageIds,0)),WGTbl,2,0),"—"))</f>
        <v/>
      </c>
      <c r="H37" s="12" t="n"/>
    </row>
    <row r="38">
      <c r="A38" s="19">
        <f>IF($B38="","",COUNTA($B$9:$B38))</f>
        <v/>
      </c>
      <c r="B38" s="12" t="n"/>
      <c r="C38" s="13" t="n"/>
      <c r="D38" s="20">
        <f>IF($C38="","",IFERROR(IF(VLOOKUP($C38,AcctTblE,4,0)="","(بدون نام)",VLOOKUP($C38,AcctTblE,4,0)),"کد ناشناخته"))</f>
        <v/>
      </c>
      <c r="E38" s="15" t="n"/>
      <c r="F38" s="20">
        <f>IF($B38="","",IFERROR(INDEX(WageDates,MATCH($B38,WageIds,0)),"—"))</f>
        <v/>
      </c>
      <c r="G38" s="20">
        <f>IF($B38="","",IFERROR(VLOOKUP(INDEX(WageParty,MATCH($B38,WageIds,0)),WGTbl,2,0),"—"))</f>
        <v/>
      </c>
      <c r="H38" s="12" t="n"/>
    </row>
    <row r="39">
      <c r="A39" s="10">
        <f>IF($B39="","",COUNTA($B$9:$B39))</f>
        <v/>
      </c>
      <c r="B39" s="12" t="n"/>
      <c r="C39" s="13" t="n"/>
      <c r="D39" s="14">
        <f>IF($C39="","",IFERROR(IF(VLOOKUP($C39,AcctTblE,4,0)="","(بدون نام)",VLOOKUP($C39,AcctTblE,4,0)),"کد ناشناخته"))</f>
        <v/>
      </c>
      <c r="E39" s="15" t="n"/>
      <c r="F39" s="14">
        <f>IF($B39="","",IFERROR(INDEX(WageDates,MATCH($B39,WageIds,0)),"—"))</f>
        <v/>
      </c>
      <c r="G39" s="14">
        <f>IF($B39="","",IFERROR(VLOOKUP(INDEX(WageParty,MATCH($B39,WageIds,0)),WGTbl,2,0),"—"))</f>
        <v/>
      </c>
      <c r="H39" s="12" t="n"/>
    </row>
    <row r="40">
      <c r="A40" s="19">
        <f>IF($B40="","",COUNTA($B$9:$B40))</f>
        <v/>
      </c>
      <c r="B40" s="12" t="n"/>
      <c r="C40" s="13" t="n"/>
      <c r="D40" s="20">
        <f>IF($C40="","",IFERROR(IF(VLOOKUP($C40,AcctTblE,4,0)="","(بدون نام)",VLOOKUP($C40,AcctTblE,4,0)),"کد ناشناخته"))</f>
        <v/>
      </c>
      <c r="E40" s="15" t="n"/>
      <c r="F40" s="20">
        <f>IF($B40="","",IFERROR(INDEX(WageDates,MATCH($B40,WageIds,0)),"—"))</f>
        <v/>
      </c>
      <c r="G40" s="20">
        <f>IF($B40="","",IFERROR(VLOOKUP(INDEX(WageParty,MATCH($B40,WageIds,0)),WGTbl,2,0),"—"))</f>
        <v/>
      </c>
      <c r="H40" s="12" t="n"/>
    </row>
    <row r="41">
      <c r="A41" s="10">
        <f>IF($B41="","",COUNTA($B$9:$B41))</f>
        <v/>
      </c>
      <c r="B41" s="12" t="n"/>
      <c r="C41" s="13" t="n"/>
      <c r="D41" s="14">
        <f>IF($C41="","",IFERROR(IF(VLOOKUP($C41,AcctTblE,4,0)="","(بدون نام)",VLOOKUP($C41,AcctTblE,4,0)),"کد ناشناخته"))</f>
        <v/>
      </c>
      <c r="E41" s="15" t="n"/>
      <c r="F41" s="14">
        <f>IF($B41="","",IFERROR(INDEX(WageDates,MATCH($B41,WageIds,0)),"—"))</f>
        <v/>
      </c>
      <c r="G41" s="14">
        <f>IF($B41="","",IFERROR(VLOOKUP(INDEX(WageParty,MATCH($B41,WageIds,0)),WGTbl,2,0),"—"))</f>
        <v/>
      </c>
      <c r="H41" s="12" t="n"/>
    </row>
    <row r="42">
      <c r="A42" s="19">
        <f>IF($B42="","",COUNTA($B$9:$B42))</f>
        <v/>
      </c>
      <c r="B42" s="12" t="n"/>
      <c r="C42" s="13" t="n"/>
      <c r="D42" s="20">
        <f>IF($C42="","",IFERROR(IF(VLOOKUP($C42,AcctTblE,4,0)="","(بدون نام)",VLOOKUP($C42,AcctTblE,4,0)),"کد ناشناخته"))</f>
        <v/>
      </c>
      <c r="E42" s="15" t="n"/>
      <c r="F42" s="20">
        <f>IF($B42="","",IFERROR(INDEX(WageDates,MATCH($B42,WageIds,0)),"—"))</f>
        <v/>
      </c>
      <c r="G42" s="20">
        <f>IF($B42="","",IFERROR(VLOOKUP(INDEX(WageParty,MATCH($B42,WageIds,0)),WGTbl,2,0),"—"))</f>
        <v/>
      </c>
      <c r="H42" s="12" t="n"/>
    </row>
    <row r="43">
      <c r="A43" s="10">
        <f>IF($B43="","",COUNTA($B$9:$B43))</f>
        <v/>
      </c>
      <c r="B43" s="12" t="n"/>
      <c r="C43" s="13" t="n"/>
      <c r="D43" s="14">
        <f>IF($C43="","",IFERROR(IF(VLOOKUP($C43,AcctTblE,4,0)="","(بدون نام)",VLOOKUP($C43,AcctTblE,4,0)),"کد ناشناخته"))</f>
        <v/>
      </c>
      <c r="E43" s="15" t="n"/>
      <c r="F43" s="14">
        <f>IF($B43="","",IFERROR(INDEX(WageDates,MATCH($B43,WageIds,0)),"—"))</f>
        <v/>
      </c>
      <c r="G43" s="14">
        <f>IF($B43="","",IFERROR(VLOOKUP(INDEX(WageParty,MATCH($B43,WageIds,0)),WGTbl,2,0),"—"))</f>
        <v/>
      </c>
      <c r="H43" s="12" t="n"/>
    </row>
    <row r="44">
      <c r="A44" s="19">
        <f>IF($B44="","",COUNTA($B$9:$B44))</f>
        <v/>
      </c>
      <c r="B44" s="12" t="n"/>
      <c r="C44" s="13" t="n"/>
      <c r="D44" s="20">
        <f>IF($C44="","",IFERROR(IF(VLOOKUP($C44,AcctTblE,4,0)="","(بدون نام)",VLOOKUP($C44,AcctTblE,4,0)),"کد ناشناخته"))</f>
        <v/>
      </c>
      <c r="E44" s="15" t="n"/>
      <c r="F44" s="20">
        <f>IF($B44="","",IFERROR(INDEX(WageDates,MATCH($B44,WageIds,0)),"—"))</f>
        <v/>
      </c>
      <c r="G44" s="20">
        <f>IF($B44="","",IFERROR(VLOOKUP(INDEX(WageParty,MATCH($B44,WageIds,0)),WGTbl,2,0),"—"))</f>
        <v/>
      </c>
      <c r="H44" s="12" t="n"/>
    </row>
    <row r="45">
      <c r="A45" s="10">
        <f>IF($B45="","",COUNTA($B$9:$B45))</f>
        <v/>
      </c>
      <c r="B45" s="12" t="n"/>
      <c r="C45" s="13" t="n"/>
      <c r="D45" s="14">
        <f>IF($C45="","",IFERROR(IF(VLOOKUP($C45,AcctTblE,4,0)="","(بدون نام)",VLOOKUP($C45,AcctTblE,4,0)),"کد ناشناخته"))</f>
        <v/>
      </c>
      <c r="E45" s="15" t="n"/>
      <c r="F45" s="14">
        <f>IF($B45="","",IFERROR(INDEX(WageDates,MATCH($B45,WageIds,0)),"—"))</f>
        <v/>
      </c>
      <c r="G45" s="14">
        <f>IF($B45="","",IFERROR(VLOOKUP(INDEX(WageParty,MATCH($B45,WageIds,0)),WGTbl,2,0),"—"))</f>
        <v/>
      </c>
      <c r="H45" s="12" t="n"/>
    </row>
    <row r="46">
      <c r="A46" s="19">
        <f>IF($B46="","",COUNTA($B$9:$B46))</f>
        <v/>
      </c>
      <c r="B46" s="12" t="n"/>
      <c r="C46" s="13" t="n"/>
      <c r="D46" s="20">
        <f>IF($C46="","",IFERROR(IF(VLOOKUP($C46,AcctTblE,4,0)="","(بدون نام)",VLOOKUP($C46,AcctTblE,4,0)),"کد ناشناخته"))</f>
        <v/>
      </c>
      <c r="E46" s="15" t="n"/>
      <c r="F46" s="20">
        <f>IF($B46="","",IFERROR(INDEX(WageDates,MATCH($B46,WageIds,0)),"—"))</f>
        <v/>
      </c>
      <c r="G46" s="20">
        <f>IF($B46="","",IFERROR(VLOOKUP(INDEX(WageParty,MATCH($B46,WageIds,0)),WGTbl,2,0),"—"))</f>
        <v/>
      </c>
      <c r="H46" s="12" t="n"/>
    </row>
    <row r="47">
      <c r="A47" s="10">
        <f>IF($B47="","",COUNTA($B$9:$B47))</f>
        <v/>
      </c>
      <c r="B47" s="12" t="n"/>
      <c r="C47" s="13" t="n"/>
      <c r="D47" s="14">
        <f>IF($C47="","",IFERROR(IF(VLOOKUP($C47,AcctTblE,4,0)="","(بدون نام)",VLOOKUP($C47,AcctTblE,4,0)),"کد ناشناخته"))</f>
        <v/>
      </c>
      <c r="E47" s="15" t="n"/>
      <c r="F47" s="14">
        <f>IF($B47="","",IFERROR(INDEX(WageDates,MATCH($B47,WageIds,0)),"—"))</f>
        <v/>
      </c>
      <c r="G47" s="14">
        <f>IF($B47="","",IFERROR(VLOOKUP(INDEX(WageParty,MATCH($B47,WageIds,0)),WGTbl,2,0),"—"))</f>
        <v/>
      </c>
      <c r="H47" s="12" t="n"/>
    </row>
    <row r="48">
      <c r="A48" s="19">
        <f>IF($B48="","",COUNTA($B$9:$B48))</f>
        <v/>
      </c>
      <c r="B48" s="12" t="n"/>
      <c r="C48" s="13" t="n"/>
      <c r="D48" s="20">
        <f>IF($C48="","",IFERROR(IF(VLOOKUP($C48,AcctTblE,4,0)="","(بدون نام)",VLOOKUP($C48,AcctTblE,4,0)),"کد ناشناخته"))</f>
        <v/>
      </c>
      <c r="E48" s="15" t="n"/>
      <c r="F48" s="20">
        <f>IF($B48="","",IFERROR(INDEX(WageDates,MATCH($B48,WageIds,0)),"—"))</f>
        <v/>
      </c>
      <c r="G48" s="20">
        <f>IF($B48="","",IFERROR(VLOOKUP(INDEX(WageParty,MATCH($B48,WageIds,0)),WGTbl,2,0),"—"))</f>
        <v/>
      </c>
      <c r="H48" s="12" t="n"/>
    </row>
    <row r="49">
      <c r="A49" s="10">
        <f>IF($B49="","",COUNTA($B$9:$B49))</f>
        <v/>
      </c>
      <c r="B49" s="12" t="n"/>
      <c r="C49" s="13" t="n"/>
      <c r="D49" s="14">
        <f>IF($C49="","",IFERROR(IF(VLOOKUP($C49,AcctTblE,4,0)="","(بدون نام)",VLOOKUP($C49,AcctTblE,4,0)),"کد ناشناخته"))</f>
        <v/>
      </c>
      <c r="E49" s="15" t="n"/>
      <c r="F49" s="14">
        <f>IF($B49="","",IFERROR(INDEX(WageDates,MATCH($B49,WageIds,0)),"—"))</f>
        <v/>
      </c>
      <c r="G49" s="14">
        <f>IF($B49="","",IFERROR(VLOOKUP(INDEX(WageParty,MATCH($B49,WageIds,0)),WGTbl,2,0),"—"))</f>
        <v/>
      </c>
      <c r="H49" s="12" t="n"/>
    </row>
    <row r="50">
      <c r="A50" s="19">
        <f>IF($B50="","",COUNTA($B$9:$B50))</f>
        <v/>
      </c>
      <c r="B50" s="12" t="n"/>
      <c r="C50" s="13" t="n"/>
      <c r="D50" s="20">
        <f>IF($C50="","",IFERROR(IF(VLOOKUP($C50,AcctTblE,4,0)="","(بدون نام)",VLOOKUP($C50,AcctTblE,4,0)),"کد ناشناخته"))</f>
        <v/>
      </c>
      <c r="E50" s="15" t="n"/>
      <c r="F50" s="20">
        <f>IF($B50="","",IFERROR(INDEX(WageDates,MATCH($B50,WageIds,0)),"—"))</f>
        <v/>
      </c>
      <c r="G50" s="20">
        <f>IF($B50="","",IFERROR(VLOOKUP(INDEX(WageParty,MATCH($B50,WageIds,0)),WGTbl,2,0),"—"))</f>
        <v/>
      </c>
      <c r="H50" s="12" t="n"/>
    </row>
    <row r="51">
      <c r="A51" s="10">
        <f>IF($B51="","",COUNTA($B$9:$B51))</f>
        <v/>
      </c>
      <c r="B51" s="12" t="n"/>
      <c r="C51" s="13" t="n"/>
      <c r="D51" s="14">
        <f>IF($C51="","",IFERROR(IF(VLOOKUP($C51,AcctTblE,4,0)="","(بدون نام)",VLOOKUP($C51,AcctTblE,4,0)),"کد ناشناخته"))</f>
        <v/>
      </c>
      <c r="E51" s="15" t="n"/>
      <c r="F51" s="14">
        <f>IF($B51="","",IFERROR(INDEX(WageDates,MATCH($B51,WageIds,0)),"—"))</f>
        <v/>
      </c>
      <c r="G51" s="14">
        <f>IF($B51="","",IFERROR(VLOOKUP(INDEX(WageParty,MATCH($B51,WageIds,0)),WGTbl,2,0),"—"))</f>
        <v/>
      </c>
      <c r="H51" s="12" t="n"/>
    </row>
    <row r="52">
      <c r="A52" s="19">
        <f>IF($B52="","",COUNTA($B$9:$B52))</f>
        <v/>
      </c>
      <c r="B52" s="12" t="n"/>
      <c r="C52" s="13" t="n"/>
      <c r="D52" s="20">
        <f>IF($C52="","",IFERROR(IF(VLOOKUP($C52,AcctTblE,4,0)="","(بدون نام)",VLOOKUP($C52,AcctTblE,4,0)),"کد ناشناخته"))</f>
        <v/>
      </c>
      <c r="E52" s="15" t="n"/>
      <c r="F52" s="20">
        <f>IF($B52="","",IFERROR(INDEX(WageDates,MATCH($B52,WageIds,0)),"—"))</f>
        <v/>
      </c>
      <c r="G52" s="20">
        <f>IF($B52="","",IFERROR(VLOOKUP(INDEX(WageParty,MATCH($B52,WageIds,0)),WGTbl,2,0),"—"))</f>
        <v/>
      </c>
      <c r="H52" s="12" t="n"/>
    </row>
    <row r="53">
      <c r="A53" s="10">
        <f>IF($B53="","",COUNTA($B$9:$B53))</f>
        <v/>
      </c>
      <c r="B53" s="12" t="n"/>
      <c r="C53" s="13" t="n"/>
      <c r="D53" s="14">
        <f>IF($C53="","",IFERROR(IF(VLOOKUP($C53,AcctTblE,4,0)="","(بدون نام)",VLOOKUP($C53,AcctTblE,4,0)),"کد ناشناخته"))</f>
        <v/>
      </c>
      <c r="E53" s="15" t="n"/>
      <c r="F53" s="14">
        <f>IF($B53="","",IFERROR(INDEX(WageDates,MATCH($B53,WageIds,0)),"—"))</f>
        <v/>
      </c>
      <c r="G53" s="14">
        <f>IF($B53="","",IFERROR(VLOOKUP(INDEX(WageParty,MATCH($B53,WageIds,0)),WGTbl,2,0),"—"))</f>
        <v/>
      </c>
      <c r="H53" s="12" t="n"/>
    </row>
    <row r="54">
      <c r="A54" s="19">
        <f>IF($B54="","",COUNTA($B$9:$B54))</f>
        <v/>
      </c>
      <c r="B54" s="12" t="n"/>
      <c r="C54" s="13" t="n"/>
      <c r="D54" s="20">
        <f>IF($C54="","",IFERROR(IF(VLOOKUP($C54,AcctTblE,4,0)="","(بدون نام)",VLOOKUP($C54,AcctTblE,4,0)),"کد ناشناخته"))</f>
        <v/>
      </c>
      <c r="E54" s="15" t="n"/>
      <c r="F54" s="20">
        <f>IF($B54="","",IFERROR(INDEX(WageDates,MATCH($B54,WageIds,0)),"—"))</f>
        <v/>
      </c>
      <c r="G54" s="20">
        <f>IF($B54="","",IFERROR(VLOOKUP(INDEX(WageParty,MATCH($B54,WageIds,0)),WGTbl,2,0),"—"))</f>
        <v/>
      </c>
      <c r="H54" s="12" t="n"/>
    </row>
    <row r="55">
      <c r="A55" s="10">
        <f>IF($B55="","",COUNTA($B$9:$B55))</f>
        <v/>
      </c>
      <c r="B55" s="12" t="n"/>
      <c r="C55" s="13" t="n"/>
      <c r="D55" s="14">
        <f>IF($C55="","",IFERROR(IF(VLOOKUP($C55,AcctTblE,4,0)="","(بدون نام)",VLOOKUP($C55,AcctTblE,4,0)),"کد ناشناخته"))</f>
        <v/>
      </c>
      <c r="E55" s="15" t="n"/>
      <c r="F55" s="14">
        <f>IF($B55="","",IFERROR(INDEX(WageDates,MATCH($B55,WageIds,0)),"—"))</f>
        <v/>
      </c>
      <c r="G55" s="14">
        <f>IF($B55="","",IFERROR(VLOOKUP(INDEX(WageParty,MATCH($B55,WageIds,0)),WGTbl,2,0),"—"))</f>
        <v/>
      </c>
      <c r="H55" s="12" t="n"/>
    </row>
    <row r="56">
      <c r="A56" s="19">
        <f>IF($B56="","",COUNTA($B$9:$B56))</f>
        <v/>
      </c>
      <c r="B56" s="12" t="n"/>
      <c r="C56" s="13" t="n"/>
      <c r="D56" s="20">
        <f>IF($C56="","",IFERROR(IF(VLOOKUP($C56,AcctTblE,4,0)="","(بدون نام)",VLOOKUP($C56,AcctTblE,4,0)),"کد ناشناخته"))</f>
        <v/>
      </c>
      <c r="E56" s="15" t="n"/>
      <c r="F56" s="20">
        <f>IF($B56="","",IFERROR(INDEX(WageDates,MATCH($B56,WageIds,0)),"—"))</f>
        <v/>
      </c>
      <c r="G56" s="20">
        <f>IF($B56="","",IFERROR(VLOOKUP(INDEX(WageParty,MATCH($B56,WageIds,0)),WGTbl,2,0),"—"))</f>
        <v/>
      </c>
      <c r="H56" s="12" t="n"/>
    </row>
    <row r="57">
      <c r="A57" s="10">
        <f>IF($B57="","",COUNTA($B$9:$B57))</f>
        <v/>
      </c>
      <c r="B57" s="12" t="n"/>
      <c r="C57" s="13" t="n"/>
      <c r="D57" s="14">
        <f>IF($C57="","",IFERROR(IF(VLOOKUP($C57,AcctTblE,4,0)="","(بدون نام)",VLOOKUP($C57,AcctTblE,4,0)),"کد ناشناخته"))</f>
        <v/>
      </c>
      <c r="E57" s="15" t="n"/>
      <c r="F57" s="14">
        <f>IF($B57="","",IFERROR(INDEX(WageDates,MATCH($B57,WageIds,0)),"—"))</f>
        <v/>
      </c>
      <c r="G57" s="14">
        <f>IF($B57="","",IFERROR(VLOOKUP(INDEX(WageParty,MATCH($B57,WageIds,0)),WGTbl,2,0),"—"))</f>
        <v/>
      </c>
      <c r="H57" s="12" t="n"/>
    </row>
    <row r="58">
      <c r="A58" s="19">
        <f>IF($B58="","",COUNTA($B$9:$B58))</f>
        <v/>
      </c>
      <c r="B58" s="12" t="n"/>
      <c r="C58" s="13" t="n"/>
      <c r="D58" s="20">
        <f>IF($C58="","",IFERROR(IF(VLOOKUP($C58,AcctTblE,4,0)="","(بدون نام)",VLOOKUP($C58,AcctTblE,4,0)),"کد ناشناخته"))</f>
        <v/>
      </c>
      <c r="E58" s="15" t="n"/>
      <c r="F58" s="20">
        <f>IF($B58="","",IFERROR(INDEX(WageDates,MATCH($B58,WageIds,0)),"—"))</f>
        <v/>
      </c>
      <c r="G58" s="20">
        <f>IF($B58="","",IFERROR(VLOOKUP(INDEX(WageParty,MATCH($B58,WageIds,0)),WGTbl,2,0),"—"))</f>
        <v/>
      </c>
      <c r="H58" s="12" t="n"/>
    </row>
    <row r="59">
      <c r="A59" s="10">
        <f>IF($B59="","",COUNTA($B$9:$B59))</f>
        <v/>
      </c>
      <c r="B59" s="12" t="n"/>
      <c r="C59" s="13" t="n"/>
      <c r="D59" s="14">
        <f>IF($C59="","",IFERROR(IF(VLOOKUP($C59,AcctTblE,4,0)="","(بدون نام)",VLOOKUP($C59,AcctTblE,4,0)),"کد ناشناخته"))</f>
        <v/>
      </c>
      <c r="E59" s="15" t="n"/>
      <c r="F59" s="14">
        <f>IF($B59="","",IFERROR(INDEX(WageDates,MATCH($B59,WageIds,0)),"—"))</f>
        <v/>
      </c>
      <c r="G59" s="14">
        <f>IF($B59="","",IFERROR(VLOOKUP(INDEX(WageParty,MATCH($B59,WageIds,0)),WGTbl,2,0),"—"))</f>
        <v/>
      </c>
      <c r="H59" s="12" t="n"/>
    </row>
    <row r="60">
      <c r="A60" s="19">
        <f>IF($B60="","",COUNTA($B$9:$B60))</f>
        <v/>
      </c>
      <c r="B60" s="12" t="n"/>
      <c r="C60" s="13" t="n"/>
      <c r="D60" s="20">
        <f>IF($C60="","",IFERROR(IF(VLOOKUP($C60,AcctTblE,4,0)="","(بدون نام)",VLOOKUP($C60,AcctTblE,4,0)),"کد ناشناخته"))</f>
        <v/>
      </c>
      <c r="E60" s="15" t="n"/>
      <c r="F60" s="20">
        <f>IF($B60="","",IFERROR(INDEX(WageDates,MATCH($B60,WageIds,0)),"—"))</f>
        <v/>
      </c>
      <c r="G60" s="20">
        <f>IF($B60="","",IFERROR(VLOOKUP(INDEX(WageParty,MATCH($B60,WageIds,0)),WGTbl,2,0),"—"))</f>
        <v/>
      </c>
      <c r="H60" s="12" t="n"/>
    </row>
    <row r="61">
      <c r="A61" s="10">
        <f>IF($B61="","",COUNTA($B$9:$B61))</f>
        <v/>
      </c>
      <c r="B61" s="12" t="n"/>
      <c r="C61" s="13" t="n"/>
      <c r="D61" s="14">
        <f>IF($C61="","",IFERROR(IF(VLOOKUP($C61,AcctTblE,4,0)="","(بدون نام)",VLOOKUP($C61,AcctTblE,4,0)),"کد ناشناخته"))</f>
        <v/>
      </c>
      <c r="E61" s="15" t="n"/>
      <c r="F61" s="14">
        <f>IF($B61="","",IFERROR(INDEX(WageDates,MATCH($B61,WageIds,0)),"—"))</f>
        <v/>
      </c>
      <c r="G61" s="14">
        <f>IF($B61="","",IFERROR(VLOOKUP(INDEX(WageParty,MATCH($B61,WageIds,0)),WGTbl,2,0),"—"))</f>
        <v/>
      </c>
      <c r="H61" s="12" t="n"/>
    </row>
    <row r="62">
      <c r="A62" s="19">
        <f>IF($B62="","",COUNTA($B$9:$B62))</f>
        <v/>
      </c>
      <c r="B62" s="12" t="n"/>
      <c r="C62" s="13" t="n"/>
      <c r="D62" s="20">
        <f>IF($C62="","",IFERROR(IF(VLOOKUP($C62,AcctTblE,4,0)="","(بدون نام)",VLOOKUP($C62,AcctTblE,4,0)),"کد ناشناخته"))</f>
        <v/>
      </c>
      <c r="E62" s="15" t="n"/>
      <c r="F62" s="20">
        <f>IF($B62="","",IFERROR(INDEX(WageDates,MATCH($B62,WageIds,0)),"—"))</f>
        <v/>
      </c>
      <c r="G62" s="20">
        <f>IF($B62="","",IFERROR(VLOOKUP(INDEX(WageParty,MATCH($B62,WageIds,0)),WGTbl,2,0),"—"))</f>
        <v/>
      </c>
      <c r="H62" s="12" t="n"/>
    </row>
    <row r="63">
      <c r="A63" s="10">
        <f>IF($B63="","",COUNTA($B$9:$B63))</f>
        <v/>
      </c>
      <c r="B63" s="12" t="n"/>
      <c r="C63" s="13" t="n"/>
      <c r="D63" s="14">
        <f>IF($C63="","",IFERROR(IF(VLOOKUP($C63,AcctTblE,4,0)="","(بدون نام)",VLOOKUP($C63,AcctTblE,4,0)),"کد ناشناخته"))</f>
        <v/>
      </c>
      <c r="E63" s="15" t="n"/>
      <c r="F63" s="14">
        <f>IF($B63="","",IFERROR(INDEX(WageDates,MATCH($B63,WageIds,0)),"—"))</f>
        <v/>
      </c>
      <c r="G63" s="14">
        <f>IF($B63="","",IFERROR(VLOOKUP(INDEX(WageParty,MATCH($B63,WageIds,0)),WGTbl,2,0),"—"))</f>
        <v/>
      </c>
      <c r="H63" s="12" t="n"/>
    </row>
    <row r="64">
      <c r="A64" s="19">
        <f>IF($B64="","",COUNTA($B$9:$B64))</f>
        <v/>
      </c>
      <c r="B64" s="12" t="n"/>
      <c r="C64" s="13" t="n"/>
      <c r="D64" s="20">
        <f>IF($C64="","",IFERROR(IF(VLOOKUP($C64,AcctTblE,4,0)="","(بدون نام)",VLOOKUP($C64,AcctTblE,4,0)),"کد ناشناخته"))</f>
        <v/>
      </c>
      <c r="E64" s="15" t="n"/>
      <c r="F64" s="20">
        <f>IF($B64="","",IFERROR(INDEX(WageDates,MATCH($B64,WageIds,0)),"—"))</f>
        <v/>
      </c>
      <c r="G64" s="20">
        <f>IF($B64="","",IFERROR(VLOOKUP(INDEX(WageParty,MATCH($B64,WageIds,0)),WGTbl,2,0),"—"))</f>
        <v/>
      </c>
      <c r="H64" s="12" t="n"/>
    </row>
    <row r="65">
      <c r="A65" s="10">
        <f>IF($B65="","",COUNTA($B$9:$B65))</f>
        <v/>
      </c>
      <c r="B65" s="12" t="n"/>
      <c r="C65" s="13" t="n"/>
      <c r="D65" s="14">
        <f>IF($C65="","",IFERROR(IF(VLOOKUP($C65,AcctTblE,4,0)="","(بدون نام)",VLOOKUP($C65,AcctTblE,4,0)),"کد ناشناخته"))</f>
        <v/>
      </c>
      <c r="E65" s="15" t="n"/>
      <c r="F65" s="14">
        <f>IF($B65="","",IFERROR(INDEX(WageDates,MATCH($B65,WageIds,0)),"—"))</f>
        <v/>
      </c>
      <c r="G65" s="14">
        <f>IF($B65="","",IFERROR(VLOOKUP(INDEX(WageParty,MATCH($B65,WageIds,0)),WGTbl,2,0),"—"))</f>
        <v/>
      </c>
      <c r="H65" s="12" t="n"/>
    </row>
    <row r="66">
      <c r="A66" s="19">
        <f>IF($B66="","",COUNTA($B$9:$B66))</f>
        <v/>
      </c>
      <c r="B66" s="12" t="n"/>
      <c r="C66" s="13" t="n"/>
      <c r="D66" s="20">
        <f>IF($C66="","",IFERROR(IF(VLOOKUP($C66,AcctTblE,4,0)="","(بدون نام)",VLOOKUP($C66,AcctTblE,4,0)),"کد ناشناخته"))</f>
        <v/>
      </c>
      <c r="E66" s="15" t="n"/>
      <c r="F66" s="20">
        <f>IF($B66="","",IFERROR(INDEX(WageDates,MATCH($B66,WageIds,0)),"—"))</f>
        <v/>
      </c>
      <c r="G66" s="20">
        <f>IF($B66="","",IFERROR(VLOOKUP(INDEX(WageParty,MATCH($B66,WageIds,0)),WGTbl,2,0),"—"))</f>
        <v/>
      </c>
      <c r="H66" s="12" t="n"/>
    </row>
    <row r="67">
      <c r="A67" s="10">
        <f>IF($B67="","",COUNTA($B$9:$B67))</f>
        <v/>
      </c>
      <c r="B67" s="12" t="n"/>
      <c r="C67" s="13" t="n"/>
      <c r="D67" s="14">
        <f>IF($C67="","",IFERROR(IF(VLOOKUP($C67,AcctTblE,4,0)="","(بدون نام)",VLOOKUP($C67,AcctTblE,4,0)),"کد ناشناخته"))</f>
        <v/>
      </c>
      <c r="E67" s="15" t="n"/>
      <c r="F67" s="14">
        <f>IF($B67="","",IFERROR(INDEX(WageDates,MATCH($B67,WageIds,0)),"—"))</f>
        <v/>
      </c>
      <c r="G67" s="14">
        <f>IF($B67="","",IFERROR(VLOOKUP(INDEX(WageParty,MATCH($B67,WageIds,0)),WGTbl,2,0),"—"))</f>
        <v/>
      </c>
      <c r="H67" s="12" t="n"/>
    </row>
    <row r="68">
      <c r="A68" s="19">
        <f>IF($B68="","",COUNTA($B$9:$B68))</f>
        <v/>
      </c>
      <c r="B68" s="12" t="n"/>
      <c r="C68" s="13" t="n"/>
      <c r="D68" s="20">
        <f>IF($C68="","",IFERROR(IF(VLOOKUP($C68,AcctTblE,4,0)="","(بدون نام)",VLOOKUP($C68,AcctTblE,4,0)),"کد ناشناخته"))</f>
        <v/>
      </c>
      <c r="E68" s="15" t="n"/>
      <c r="F68" s="20">
        <f>IF($B68="","",IFERROR(INDEX(WageDates,MATCH($B68,WageIds,0)),"—"))</f>
        <v/>
      </c>
      <c r="G68" s="20">
        <f>IF($B68="","",IFERROR(VLOOKUP(INDEX(WageParty,MATCH($B68,WageIds,0)),WGTbl,2,0),"—"))</f>
        <v/>
      </c>
      <c r="H68" s="12" t="n"/>
    </row>
    <row r="69">
      <c r="A69" s="10">
        <f>IF($B69="","",COUNTA($B$9:$B69))</f>
        <v/>
      </c>
      <c r="B69" s="12" t="n"/>
      <c r="C69" s="13" t="n"/>
      <c r="D69" s="14">
        <f>IF($C69="","",IFERROR(IF(VLOOKUP($C69,AcctTblE,4,0)="","(بدون نام)",VLOOKUP($C69,AcctTblE,4,0)),"کد ناشناخته"))</f>
        <v/>
      </c>
      <c r="E69" s="15" t="n"/>
      <c r="F69" s="14">
        <f>IF($B69="","",IFERROR(INDEX(WageDates,MATCH($B69,WageIds,0)),"—"))</f>
        <v/>
      </c>
      <c r="G69" s="14">
        <f>IF($B69="","",IFERROR(VLOOKUP(INDEX(WageParty,MATCH($B69,WageIds,0)),WGTbl,2,0),"—"))</f>
        <v/>
      </c>
      <c r="H69" s="12" t="n"/>
    </row>
    <row r="70">
      <c r="A70" s="19">
        <f>IF($B70="","",COUNTA($B$9:$B70))</f>
        <v/>
      </c>
      <c r="B70" s="12" t="n"/>
      <c r="C70" s="13" t="n"/>
      <c r="D70" s="20">
        <f>IF($C70="","",IFERROR(IF(VLOOKUP($C70,AcctTblE,4,0)="","(بدون نام)",VLOOKUP($C70,AcctTblE,4,0)),"کد ناشناخته"))</f>
        <v/>
      </c>
      <c r="E70" s="15" t="n"/>
      <c r="F70" s="20">
        <f>IF($B70="","",IFERROR(INDEX(WageDates,MATCH($B70,WageIds,0)),"—"))</f>
        <v/>
      </c>
      <c r="G70" s="20">
        <f>IF($B70="","",IFERROR(VLOOKUP(INDEX(WageParty,MATCH($B70,WageIds,0)),WGTbl,2,0),"—"))</f>
        <v/>
      </c>
      <c r="H70" s="12" t="n"/>
    </row>
    <row r="71">
      <c r="A71" s="10">
        <f>IF($B71="","",COUNTA($B$9:$B71))</f>
        <v/>
      </c>
      <c r="B71" s="12" t="n"/>
      <c r="C71" s="13" t="n"/>
      <c r="D71" s="14">
        <f>IF($C71="","",IFERROR(IF(VLOOKUP($C71,AcctTblE,4,0)="","(بدون نام)",VLOOKUP($C71,AcctTblE,4,0)),"کد ناشناخته"))</f>
        <v/>
      </c>
      <c r="E71" s="15" t="n"/>
      <c r="F71" s="14">
        <f>IF($B71="","",IFERROR(INDEX(WageDates,MATCH($B71,WageIds,0)),"—"))</f>
        <v/>
      </c>
      <c r="G71" s="14">
        <f>IF($B71="","",IFERROR(VLOOKUP(INDEX(WageParty,MATCH($B71,WageIds,0)),WGTbl,2,0),"—"))</f>
        <v/>
      </c>
      <c r="H71" s="12" t="n"/>
    </row>
    <row r="72">
      <c r="A72" s="19">
        <f>IF($B72="","",COUNTA($B$9:$B72))</f>
        <v/>
      </c>
      <c r="B72" s="12" t="n"/>
      <c r="C72" s="13" t="n"/>
      <c r="D72" s="20">
        <f>IF($C72="","",IFERROR(IF(VLOOKUP($C72,AcctTblE,4,0)="","(بدون نام)",VLOOKUP($C72,AcctTblE,4,0)),"کد ناشناخته"))</f>
        <v/>
      </c>
      <c r="E72" s="15" t="n"/>
      <c r="F72" s="20">
        <f>IF($B72="","",IFERROR(INDEX(WageDates,MATCH($B72,WageIds,0)),"—"))</f>
        <v/>
      </c>
      <c r="G72" s="20">
        <f>IF($B72="","",IFERROR(VLOOKUP(INDEX(WageParty,MATCH($B72,WageIds,0)),WGTbl,2,0),"—"))</f>
        <v/>
      </c>
      <c r="H72" s="12" t="n"/>
    </row>
    <row r="73">
      <c r="A73" s="10">
        <f>IF($B73="","",COUNTA($B$9:$B73))</f>
        <v/>
      </c>
      <c r="B73" s="12" t="n"/>
      <c r="C73" s="13" t="n"/>
      <c r="D73" s="14">
        <f>IF($C73="","",IFERROR(IF(VLOOKUP($C73,AcctTblE,4,0)="","(بدون نام)",VLOOKUP($C73,AcctTblE,4,0)),"کد ناشناخته"))</f>
        <v/>
      </c>
      <c r="E73" s="15" t="n"/>
      <c r="F73" s="14">
        <f>IF($B73="","",IFERROR(INDEX(WageDates,MATCH($B73,WageIds,0)),"—"))</f>
        <v/>
      </c>
      <c r="G73" s="14">
        <f>IF($B73="","",IFERROR(VLOOKUP(INDEX(WageParty,MATCH($B73,WageIds,0)),WGTbl,2,0),"—"))</f>
        <v/>
      </c>
      <c r="H73" s="12" t="n"/>
    </row>
    <row r="74">
      <c r="A74" s="19">
        <f>IF($B74="","",COUNTA($B$9:$B74))</f>
        <v/>
      </c>
      <c r="B74" s="12" t="n"/>
      <c r="C74" s="13" t="n"/>
      <c r="D74" s="20">
        <f>IF($C74="","",IFERROR(IF(VLOOKUP($C74,AcctTblE,4,0)="","(بدون نام)",VLOOKUP($C74,AcctTblE,4,0)),"کد ناشناخته"))</f>
        <v/>
      </c>
      <c r="E74" s="15" t="n"/>
      <c r="F74" s="20">
        <f>IF($B74="","",IFERROR(INDEX(WageDates,MATCH($B74,WageIds,0)),"—"))</f>
        <v/>
      </c>
      <c r="G74" s="20">
        <f>IF($B74="","",IFERROR(VLOOKUP(INDEX(WageParty,MATCH($B74,WageIds,0)),WGTbl,2,0),"—"))</f>
        <v/>
      </c>
      <c r="H74" s="12" t="n"/>
    </row>
    <row r="75">
      <c r="A75" s="10">
        <f>IF($B75="","",COUNTA($B$9:$B75))</f>
        <v/>
      </c>
      <c r="B75" s="12" t="n"/>
      <c r="C75" s="13" t="n"/>
      <c r="D75" s="14">
        <f>IF($C75="","",IFERROR(IF(VLOOKUP($C75,AcctTblE,4,0)="","(بدون نام)",VLOOKUP($C75,AcctTblE,4,0)),"کد ناشناخته"))</f>
        <v/>
      </c>
      <c r="E75" s="15" t="n"/>
      <c r="F75" s="14">
        <f>IF($B75="","",IFERROR(INDEX(WageDates,MATCH($B75,WageIds,0)),"—"))</f>
        <v/>
      </c>
      <c r="G75" s="14">
        <f>IF($B75="","",IFERROR(VLOOKUP(INDEX(WageParty,MATCH($B75,WageIds,0)),WGTbl,2,0),"—"))</f>
        <v/>
      </c>
      <c r="H75" s="12" t="n"/>
    </row>
    <row r="76">
      <c r="A76" s="19">
        <f>IF($B76="","",COUNTA($B$9:$B76))</f>
        <v/>
      </c>
      <c r="B76" s="12" t="n"/>
      <c r="C76" s="13" t="n"/>
      <c r="D76" s="20">
        <f>IF($C76="","",IFERROR(IF(VLOOKUP($C76,AcctTblE,4,0)="","(بدون نام)",VLOOKUP($C76,AcctTblE,4,0)),"کد ناشناخته"))</f>
        <v/>
      </c>
      <c r="E76" s="15" t="n"/>
      <c r="F76" s="20">
        <f>IF($B76="","",IFERROR(INDEX(WageDates,MATCH($B76,WageIds,0)),"—"))</f>
        <v/>
      </c>
      <c r="G76" s="20">
        <f>IF($B76="","",IFERROR(VLOOKUP(INDEX(WageParty,MATCH($B76,WageIds,0)),WGTbl,2,0),"—"))</f>
        <v/>
      </c>
      <c r="H76" s="12" t="n"/>
    </row>
    <row r="77">
      <c r="A77" s="10">
        <f>IF($B77="","",COUNTA($B$9:$B77))</f>
        <v/>
      </c>
      <c r="B77" s="12" t="n"/>
      <c r="C77" s="13" t="n"/>
      <c r="D77" s="14">
        <f>IF($C77="","",IFERROR(IF(VLOOKUP($C77,AcctTblE,4,0)="","(بدون نام)",VLOOKUP($C77,AcctTblE,4,0)),"کد ناشناخته"))</f>
        <v/>
      </c>
      <c r="E77" s="15" t="n"/>
      <c r="F77" s="14">
        <f>IF($B77="","",IFERROR(INDEX(WageDates,MATCH($B77,WageIds,0)),"—"))</f>
        <v/>
      </c>
      <c r="G77" s="14">
        <f>IF($B77="","",IFERROR(VLOOKUP(INDEX(WageParty,MATCH($B77,WageIds,0)),WGTbl,2,0),"—"))</f>
        <v/>
      </c>
      <c r="H77" s="12" t="n"/>
    </row>
    <row r="78">
      <c r="A78" s="19">
        <f>IF($B78="","",COUNTA($B$9:$B78))</f>
        <v/>
      </c>
      <c r="B78" s="12" t="n"/>
      <c r="C78" s="13" t="n"/>
      <c r="D78" s="20">
        <f>IF($C78="","",IFERROR(IF(VLOOKUP($C78,AcctTblE,4,0)="","(بدون نام)",VLOOKUP($C78,AcctTblE,4,0)),"کد ناشناخته"))</f>
        <v/>
      </c>
      <c r="E78" s="15" t="n"/>
      <c r="F78" s="20">
        <f>IF($B78="","",IFERROR(INDEX(WageDates,MATCH($B78,WageIds,0)),"—"))</f>
        <v/>
      </c>
      <c r="G78" s="20">
        <f>IF($B78="","",IFERROR(VLOOKUP(INDEX(WageParty,MATCH($B78,WageIds,0)),WGTbl,2,0),"—"))</f>
        <v/>
      </c>
      <c r="H78" s="12" t="n"/>
    </row>
    <row r="79">
      <c r="A79" s="10">
        <f>IF($B79="","",COUNTA($B$9:$B79))</f>
        <v/>
      </c>
      <c r="B79" s="12" t="n"/>
      <c r="C79" s="13" t="n"/>
      <c r="D79" s="14">
        <f>IF($C79="","",IFERROR(IF(VLOOKUP($C79,AcctTblE,4,0)="","(بدون نام)",VLOOKUP($C79,AcctTblE,4,0)),"کد ناشناخته"))</f>
        <v/>
      </c>
      <c r="E79" s="15" t="n"/>
      <c r="F79" s="14">
        <f>IF($B79="","",IFERROR(INDEX(WageDates,MATCH($B79,WageIds,0)),"—"))</f>
        <v/>
      </c>
      <c r="G79" s="14">
        <f>IF($B79="","",IFERROR(VLOOKUP(INDEX(WageParty,MATCH($B79,WageIds,0)),WGTbl,2,0),"—"))</f>
        <v/>
      </c>
      <c r="H79" s="12" t="n"/>
    </row>
    <row r="80">
      <c r="A80" s="19">
        <f>IF($B80="","",COUNTA($B$9:$B80))</f>
        <v/>
      </c>
      <c r="B80" s="12" t="n"/>
      <c r="C80" s="13" t="n"/>
      <c r="D80" s="20">
        <f>IF($C80="","",IFERROR(IF(VLOOKUP($C80,AcctTblE,4,0)="","(بدون نام)",VLOOKUP($C80,AcctTblE,4,0)),"کد ناشناخته"))</f>
        <v/>
      </c>
      <c r="E80" s="15" t="n"/>
      <c r="F80" s="20">
        <f>IF($B80="","",IFERROR(INDEX(WageDates,MATCH($B80,WageIds,0)),"—"))</f>
        <v/>
      </c>
      <c r="G80" s="20">
        <f>IF($B80="","",IFERROR(VLOOKUP(INDEX(WageParty,MATCH($B80,WageIds,0)),WGTbl,2,0),"—"))</f>
        <v/>
      </c>
      <c r="H80" s="12" t="n"/>
    </row>
    <row r="81">
      <c r="A81" s="10">
        <f>IF($B81="","",COUNTA($B$9:$B81))</f>
        <v/>
      </c>
      <c r="B81" s="12" t="n"/>
      <c r="C81" s="13" t="n"/>
      <c r="D81" s="14">
        <f>IF($C81="","",IFERROR(IF(VLOOKUP($C81,AcctTblE,4,0)="","(بدون نام)",VLOOKUP($C81,AcctTblE,4,0)),"کد ناشناخته"))</f>
        <v/>
      </c>
      <c r="E81" s="15" t="n"/>
      <c r="F81" s="14">
        <f>IF($B81="","",IFERROR(INDEX(WageDates,MATCH($B81,WageIds,0)),"—"))</f>
        <v/>
      </c>
      <c r="G81" s="14">
        <f>IF($B81="","",IFERROR(VLOOKUP(INDEX(WageParty,MATCH($B81,WageIds,0)),WGTbl,2,0),"—"))</f>
        <v/>
      </c>
      <c r="H81" s="12" t="n"/>
    </row>
    <row r="82">
      <c r="A82" s="19">
        <f>IF($B82="","",COUNTA($B$9:$B82))</f>
        <v/>
      </c>
      <c r="B82" s="12" t="n"/>
      <c r="C82" s="13" t="n"/>
      <c r="D82" s="20">
        <f>IF($C82="","",IFERROR(IF(VLOOKUP($C82,AcctTblE,4,0)="","(بدون نام)",VLOOKUP($C82,AcctTblE,4,0)),"کد ناشناخته"))</f>
        <v/>
      </c>
      <c r="E82" s="15" t="n"/>
      <c r="F82" s="20">
        <f>IF($B82="","",IFERROR(INDEX(WageDates,MATCH($B82,WageIds,0)),"—"))</f>
        <v/>
      </c>
      <c r="G82" s="20">
        <f>IF($B82="","",IFERROR(VLOOKUP(INDEX(WageParty,MATCH($B82,WageIds,0)),WGTbl,2,0),"—"))</f>
        <v/>
      </c>
      <c r="H82" s="12" t="n"/>
    </row>
    <row r="83">
      <c r="A83" s="10">
        <f>IF($B83="","",COUNTA($B$9:$B83))</f>
        <v/>
      </c>
      <c r="B83" s="12" t="n"/>
      <c r="C83" s="13" t="n"/>
      <c r="D83" s="14">
        <f>IF($C83="","",IFERROR(IF(VLOOKUP($C83,AcctTblE,4,0)="","(بدون نام)",VLOOKUP($C83,AcctTblE,4,0)),"کد ناشناخته"))</f>
        <v/>
      </c>
      <c r="E83" s="15" t="n"/>
      <c r="F83" s="14">
        <f>IF($B83="","",IFERROR(INDEX(WageDates,MATCH($B83,WageIds,0)),"—"))</f>
        <v/>
      </c>
      <c r="G83" s="14">
        <f>IF($B83="","",IFERROR(VLOOKUP(INDEX(WageParty,MATCH($B83,WageIds,0)),WGTbl,2,0),"—"))</f>
        <v/>
      </c>
      <c r="H83" s="12" t="n"/>
    </row>
    <row r="84">
      <c r="A84" s="19">
        <f>IF($B84="","",COUNTA($B$9:$B84))</f>
        <v/>
      </c>
      <c r="B84" s="12" t="n"/>
      <c r="C84" s="13" t="n"/>
      <c r="D84" s="20">
        <f>IF($C84="","",IFERROR(IF(VLOOKUP($C84,AcctTblE,4,0)="","(بدون نام)",VLOOKUP($C84,AcctTblE,4,0)),"کد ناشناخته"))</f>
        <v/>
      </c>
      <c r="E84" s="15" t="n"/>
      <c r="F84" s="20">
        <f>IF($B84="","",IFERROR(INDEX(WageDates,MATCH($B84,WageIds,0)),"—"))</f>
        <v/>
      </c>
      <c r="G84" s="20">
        <f>IF($B84="","",IFERROR(VLOOKUP(INDEX(WageParty,MATCH($B84,WageIds,0)),WGTbl,2,0),"—"))</f>
        <v/>
      </c>
      <c r="H84" s="12" t="n"/>
    </row>
    <row r="85">
      <c r="A85" s="10">
        <f>IF($B85="","",COUNTA($B$9:$B85))</f>
        <v/>
      </c>
      <c r="B85" s="12" t="n"/>
      <c r="C85" s="13" t="n"/>
      <c r="D85" s="14">
        <f>IF($C85="","",IFERROR(IF(VLOOKUP($C85,AcctTblE,4,0)="","(بدون نام)",VLOOKUP($C85,AcctTblE,4,0)),"کد ناشناخته"))</f>
        <v/>
      </c>
      <c r="E85" s="15" t="n"/>
      <c r="F85" s="14">
        <f>IF($B85="","",IFERROR(INDEX(WageDates,MATCH($B85,WageIds,0)),"—"))</f>
        <v/>
      </c>
      <c r="G85" s="14">
        <f>IF($B85="","",IFERROR(VLOOKUP(INDEX(WageParty,MATCH($B85,WageIds,0)),WGTbl,2,0),"—"))</f>
        <v/>
      </c>
      <c r="H85" s="12" t="n"/>
    </row>
    <row r="86">
      <c r="A86" s="19">
        <f>IF($B86="","",COUNTA($B$9:$B86))</f>
        <v/>
      </c>
      <c r="B86" s="12" t="n"/>
      <c r="C86" s="13" t="n"/>
      <c r="D86" s="20">
        <f>IF($C86="","",IFERROR(IF(VLOOKUP($C86,AcctTblE,4,0)="","(بدون نام)",VLOOKUP($C86,AcctTblE,4,0)),"کد ناشناخته"))</f>
        <v/>
      </c>
      <c r="E86" s="15" t="n"/>
      <c r="F86" s="20">
        <f>IF($B86="","",IFERROR(INDEX(WageDates,MATCH($B86,WageIds,0)),"—"))</f>
        <v/>
      </c>
      <c r="G86" s="20">
        <f>IF($B86="","",IFERROR(VLOOKUP(INDEX(WageParty,MATCH($B86,WageIds,0)),WGTbl,2,0),"—"))</f>
        <v/>
      </c>
      <c r="H86" s="12" t="n"/>
    </row>
    <row r="87">
      <c r="A87" s="10">
        <f>IF($B87="","",COUNTA($B$9:$B87))</f>
        <v/>
      </c>
      <c r="B87" s="12" t="n"/>
      <c r="C87" s="13" t="n"/>
      <c r="D87" s="14">
        <f>IF($C87="","",IFERROR(IF(VLOOKUP($C87,AcctTblE,4,0)="","(بدون نام)",VLOOKUP($C87,AcctTblE,4,0)),"کد ناشناخته"))</f>
        <v/>
      </c>
      <c r="E87" s="15" t="n"/>
      <c r="F87" s="14">
        <f>IF($B87="","",IFERROR(INDEX(WageDates,MATCH($B87,WageIds,0)),"—"))</f>
        <v/>
      </c>
      <c r="G87" s="14">
        <f>IF($B87="","",IFERROR(VLOOKUP(INDEX(WageParty,MATCH($B87,WageIds,0)),WGTbl,2,0),"—"))</f>
        <v/>
      </c>
      <c r="H87" s="12" t="n"/>
    </row>
    <row r="88">
      <c r="A88" s="19">
        <f>IF($B88="","",COUNTA($B$9:$B88))</f>
        <v/>
      </c>
      <c r="B88" s="12" t="n"/>
      <c r="C88" s="13" t="n"/>
      <c r="D88" s="20">
        <f>IF($C88="","",IFERROR(IF(VLOOKUP($C88,AcctTblE,4,0)="","(بدون نام)",VLOOKUP($C88,AcctTblE,4,0)),"کد ناشناخته"))</f>
        <v/>
      </c>
      <c r="E88" s="15" t="n"/>
      <c r="F88" s="20">
        <f>IF($B88="","",IFERROR(INDEX(WageDates,MATCH($B88,WageIds,0)),"—"))</f>
        <v/>
      </c>
      <c r="G88" s="20">
        <f>IF($B88="","",IFERROR(VLOOKUP(INDEX(WageParty,MATCH($B88,WageIds,0)),WGTbl,2,0),"—"))</f>
        <v/>
      </c>
      <c r="H88" s="12" t="n"/>
    </row>
    <row r="89">
      <c r="A89" s="10">
        <f>IF($B89="","",COUNTA($B$9:$B89))</f>
        <v/>
      </c>
      <c r="B89" s="12" t="n"/>
      <c r="C89" s="13" t="n"/>
      <c r="D89" s="14">
        <f>IF($C89="","",IFERROR(IF(VLOOKUP($C89,AcctTblE,4,0)="","(بدون نام)",VLOOKUP($C89,AcctTblE,4,0)),"کد ناشناخته"))</f>
        <v/>
      </c>
      <c r="E89" s="15" t="n"/>
      <c r="F89" s="14">
        <f>IF($B89="","",IFERROR(INDEX(WageDates,MATCH($B89,WageIds,0)),"—"))</f>
        <v/>
      </c>
      <c r="G89" s="14">
        <f>IF($B89="","",IFERROR(VLOOKUP(INDEX(WageParty,MATCH($B89,WageIds,0)),WGTbl,2,0),"—"))</f>
        <v/>
      </c>
      <c r="H89" s="12" t="n"/>
    </row>
    <row r="90">
      <c r="A90" s="19">
        <f>IF($B90="","",COUNTA($B$9:$B90))</f>
        <v/>
      </c>
      <c r="B90" s="12" t="n"/>
      <c r="C90" s="13" t="n"/>
      <c r="D90" s="20">
        <f>IF($C90="","",IFERROR(IF(VLOOKUP($C90,AcctTblE,4,0)="","(بدون نام)",VLOOKUP($C90,AcctTblE,4,0)),"کد ناشناخته"))</f>
        <v/>
      </c>
      <c r="E90" s="15" t="n"/>
      <c r="F90" s="20">
        <f>IF($B90="","",IFERROR(INDEX(WageDates,MATCH($B90,WageIds,0)),"—"))</f>
        <v/>
      </c>
      <c r="G90" s="20">
        <f>IF($B90="","",IFERROR(VLOOKUP(INDEX(WageParty,MATCH($B90,WageIds,0)),WGTbl,2,0),"—"))</f>
        <v/>
      </c>
      <c r="H90" s="12" t="n"/>
    </row>
    <row r="91">
      <c r="A91" s="10">
        <f>IF($B91="","",COUNTA($B$9:$B91))</f>
        <v/>
      </c>
      <c r="B91" s="12" t="n"/>
      <c r="C91" s="13" t="n"/>
      <c r="D91" s="14">
        <f>IF($C91="","",IFERROR(IF(VLOOKUP($C91,AcctTblE,4,0)="","(بدون نام)",VLOOKUP($C91,AcctTblE,4,0)),"کد ناشناخته"))</f>
        <v/>
      </c>
      <c r="E91" s="15" t="n"/>
      <c r="F91" s="14">
        <f>IF($B91="","",IFERROR(INDEX(WageDates,MATCH($B91,WageIds,0)),"—"))</f>
        <v/>
      </c>
      <c r="G91" s="14">
        <f>IF($B91="","",IFERROR(VLOOKUP(INDEX(WageParty,MATCH($B91,WageIds,0)),WGTbl,2,0),"—"))</f>
        <v/>
      </c>
      <c r="H91" s="12" t="n"/>
    </row>
    <row r="92">
      <c r="A92" s="19">
        <f>IF($B92="","",COUNTA($B$9:$B92))</f>
        <v/>
      </c>
      <c r="B92" s="12" t="n"/>
      <c r="C92" s="13" t="n"/>
      <c r="D92" s="20">
        <f>IF($C92="","",IFERROR(IF(VLOOKUP($C92,AcctTblE,4,0)="","(بدون نام)",VLOOKUP($C92,AcctTblE,4,0)),"کد ناشناخته"))</f>
        <v/>
      </c>
      <c r="E92" s="15" t="n"/>
      <c r="F92" s="20">
        <f>IF($B92="","",IFERROR(INDEX(WageDates,MATCH($B92,WageIds,0)),"—"))</f>
        <v/>
      </c>
      <c r="G92" s="20">
        <f>IF($B92="","",IFERROR(VLOOKUP(INDEX(WageParty,MATCH($B92,WageIds,0)),WGTbl,2,0),"—"))</f>
        <v/>
      </c>
      <c r="H92" s="12" t="n"/>
    </row>
    <row r="93">
      <c r="A93" s="10">
        <f>IF($B93="","",COUNTA($B$9:$B93))</f>
        <v/>
      </c>
      <c r="B93" s="12" t="n"/>
      <c r="C93" s="13" t="n"/>
      <c r="D93" s="14">
        <f>IF($C93="","",IFERROR(IF(VLOOKUP($C93,AcctTblE,4,0)="","(بدون نام)",VLOOKUP($C93,AcctTblE,4,0)),"کد ناشناخته"))</f>
        <v/>
      </c>
      <c r="E93" s="15" t="n"/>
      <c r="F93" s="14">
        <f>IF($B93="","",IFERROR(INDEX(WageDates,MATCH($B93,WageIds,0)),"—"))</f>
        <v/>
      </c>
      <c r="G93" s="14">
        <f>IF($B93="","",IFERROR(VLOOKUP(INDEX(WageParty,MATCH($B93,WageIds,0)),WGTbl,2,0),"—"))</f>
        <v/>
      </c>
      <c r="H93" s="12" t="n"/>
    </row>
    <row r="94">
      <c r="A94" s="19">
        <f>IF($B94="","",COUNTA($B$9:$B94))</f>
        <v/>
      </c>
      <c r="B94" s="12" t="n"/>
      <c r="C94" s="13" t="n"/>
      <c r="D94" s="20">
        <f>IF($C94="","",IFERROR(IF(VLOOKUP($C94,AcctTblE,4,0)="","(بدون نام)",VLOOKUP($C94,AcctTblE,4,0)),"کد ناشناخته"))</f>
        <v/>
      </c>
      <c r="E94" s="15" t="n"/>
      <c r="F94" s="20">
        <f>IF($B94="","",IFERROR(INDEX(WageDates,MATCH($B94,WageIds,0)),"—"))</f>
        <v/>
      </c>
      <c r="G94" s="20">
        <f>IF($B94="","",IFERROR(VLOOKUP(INDEX(WageParty,MATCH($B94,WageIds,0)),WGTbl,2,0),"—"))</f>
        <v/>
      </c>
      <c r="H94" s="12" t="n"/>
    </row>
    <row r="95">
      <c r="A95" s="10">
        <f>IF($B95="","",COUNTA($B$9:$B95))</f>
        <v/>
      </c>
      <c r="B95" s="12" t="n"/>
      <c r="C95" s="13" t="n"/>
      <c r="D95" s="14">
        <f>IF($C95="","",IFERROR(IF(VLOOKUP($C95,AcctTblE,4,0)="","(بدون نام)",VLOOKUP($C95,AcctTblE,4,0)),"کد ناشناخته"))</f>
        <v/>
      </c>
      <c r="E95" s="15" t="n"/>
      <c r="F95" s="14">
        <f>IF($B95="","",IFERROR(INDEX(WageDates,MATCH($B95,WageIds,0)),"—"))</f>
        <v/>
      </c>
      <c r="G95" s="14">
        <f>IF($B95="","",IFERROR(VLOOKUP(INDEX(WageParty,MATCH($B95,WageIds,0)),WGTbl,2,0),"—"))</f>
        <v/>
      </c>
      <c r="H95" s="12" t="n"/>
    </row>
    <row r="96">
      <c r="A96" s="19">
        <f>IF($B96="","",COUNTA($B$9:$B96))</f>
        <v/>
      </c>
      <c r="B96" s="12" t="n"/>
      <c r="C96" s="13" t="n"/>
      <c r="D96" s="20">
        <f>IF($C96="","",IFERROR(IF(VLOOKUP($C96,AcctTblE,4,0)="","(بدون نام)",VLOOKUP($C96,AcctTblE,4,0)),"کد ناشناخته"))</f>
        <v/>
      </c>
      <c r="E96" s="15" t="n"/>
      <c r="F96" s="20">
        <f>IF($B96="","",IFERROR(INDEX(WageDates,MATCH($B96,WageIds,0)),"—"))</f>
        <v/>
      </c>
      <c r="G96" s="20">
        <f>IF($B96="","",IFERROR(VLOOKUP(INDEX(WageParty,MATCH($B96,WageIds,0)),WGTbl,2,0),"—"))</f>
        <v/>
      </c>
      <c r="H96" s="12" t="n"/>
    </row>
    <row r="97">
      <c r="A97" s="10">
        <f>IF($B97="","",COUNTA($B$9:$B97))</f>
        <v/>
      </c>
      <c r="B97" s="12" t="n"/>
      <c r="C97" s="13" t="n"/>
      <c r="D97" s="14">
        <f>IF($C97="","",IFERROR(IF(VLOOKUP($C97,AcctTblE,4,0)="","(بدون نام)",VLOOKUP($C97,AcctTblE,4,0)),"کد ناشناخته"))</f>
        <v/>
      </c>
      <c r="E97" s="15" t="n"/>
      <c r="F97" s="14">
        <f>IF($B97="","",IFERROR(INDEX(WageDates,MATCH($B97,WageIds,0)),"—"))</f>
        <v/>
      </c>
      <c r="G97" s="14">
        <f>IF($B97="","",IFERROR(VLOOKUP(INDEX(WageParty,MATCH($B97,WageIds,0)),WGTbl,2,0),"—"))</f>
        <v/>
      </c>
      <c r="H97" s="12" t="n"/>
    </row>
    <row r="98">
      <c r="A98" s="19">
        <f>IF($B98="","",COUNTA($B$9:$B98))</f>
        <v/>
      </c>
      <c r="B98" s="12" t="n"/>
      <c r="C98" s="13" t="n"/>
      <c r="D98" s="20">
        <f>IF($C98="","",IFERROR(IF(VLOOKUP($C98,AcctTblE,4,0)="","(بدون نام)",VLOOKUP($C98,AcctTblE,4,0)),"کد ناشناخته"))</f>
        <v/>
      </c>
      <c r="E98" s="15" t="n"/>
      <c r="F98" s="20">
        <f>IF($B98="","",IFERROR(INDEX(WageDates,MATCH($B98,WageIds,0)),"—"))</f>
        <v/>
      </c>
      <c r="G98" s="20">
        <f>IF($B98="","",IFERROR(VLOOKUP(INDEX(WageParty,MATCH($B98,WageIds,0)),WGTbl,2,0),"—"))</f>
        <v/>
      </c>
      <c r="H98" s="12" t="n"/>
    </row>
    <row r="99">
      <c r="A99" s="10">
        <f>IF($B99="","",COUNTA($B$9:$B99))</f>
        <v/>
      </c>
      <c r="B99" s="12" t="n"/>
      <c r="C99" s="13" t="n"/>
      <c r="D99" s="14">
        <f>IF($C99="","",IFERROR(IF(VLOOKUP($C99,AcctTblE,4,0)="","(بدون نام)",VLOOKUP($C99,AcctTblE,4,0)),"کد ناشناخته"))</f>
        <v/>
      </c>
      <c r="E99" s="15" t="n"/>
      <c r="F99" s="14">
        <f>IF($B99="","",IFERROR(INDEX(WageDates,MATCH($B99,WageIds,0)),"—"))</f>
        <v/>
      </c>
      <c r="G99" s="14">
        <f>IF($B99="","",IFERROR(VLOOKUP(INDEX(WageParty,MATCH($B99,WageIds,0)),WGTbl,2,0),"—"))</f>
        <v/>
      </c>
      <c r="H99" s="12" t="n"/>
    </row>
    <row r="100">
      <c r="A100" s="19">
        <f>IF($B100="","",COUNTA($B$9:$B100))</f>
        <v/>
      </c>
      <c r="B100" s="12" t="n"/>
      <c r="C100" s="13" t="n"/>
      <c r="D100" s="20">
        <f>IF($C100="","",IFERROR(IF(VLOOKUP($C100,AcctTblE,4,0)="","(بدون نام)",VLOOKUP($C100,AcctTblE,4,0)),"کد ناشناخته"))</f>
        <v/>
      </c>
      <c r="E100" s="15" t="n"/>
      <c r="F100" s="20">
        <f>IF($B100="","",IFERROR(INDEX(WageDates,MATCH($B100,WageIds,0)),"—"))</f>
        <v/>
      </c>
      <c r="G100" s="20">
        <f>IF($B100="","",IFERROR(VLOOKUP(INDEX(WageParty,MATCH($B100,WageIds,0)),WGTbl,2,0),"—"))</f>
        <v/>
      </c>
      <c r="H100" s="12" t="n"/>
    </row>
    <row r="101">
      <c r="A101" s="10">
        <f>IF($B101="","",COUNTA($B$9:$B101))</f>
        <v/>
      </c>
      <c r="B101" s="12" t="n"/>
      <c r="C101" s="13" t="n"/>
      <c r="D101" s="14">
        <f>IF($C101="","",IFERROR(IF(VLOOKUP($C101,AcctTblE,4,0)="","(بدون نام)",VLOOKUP($C101,AcctTblE,4,0)),"کد ناشناخته"))</f>
        <v/>
      </c>
      <c r="E101" s="15" t="n"/>
      <c r="F101" s="14">
        <f>IF($B101="","",IFERROR(INDEX(WageDates,MATCH($B101,WageIds,0)),"—"))</f>
        <v/>
      </c>
      <c r="G101" s="14">
        <f>IF($B101="","",IFERROR(VLOOKUP(INDEX(WageParty,MATCH($B101,WageIds,0)),WGTbl,2,0),"—"))</f>
        <v/>
      </c>
      <c r="H101" s="12" t="n"/>
    </row>
    <row r="102">
      <c r="A102" s="19">
        <f>IF($B102="","",COUNTA($B$9:$B102))</f>
        <v/>
      </c>
      <c r="B102" s="12" t="n"/>
      <c r="C102" s="13" t="n"/>
      <c r="D102" s="20">
        <f>IF($C102="","",IFERROR(IF(VLOOKUP($C102,AcctTblE,4,0)="","(بدون نام)",VLOOKUP($C102,AcctTblE,4,0)),"کد ناشناخته"))</f>
        <v/>
      </c>
      <c r="E102" s="15" t="n"/>
      <c r="F102" s="20">
        <f>IF($B102="","",IFERROR(INDEX(WageDates,MATCH($B102,WageIds,0)),"—"))</f>
        <v/>
      </c>
      <c r="G102" s="20">
        <f>IF($B102="","",IFERROR(VLOOKUP(INDEX(WageParty,MATCH($B102,WageIds,0)),WGTbl,2,0),"—"))</f>
        <v/>
      </c>
      <c r="H102" s="12" t="n"/>
    </row>
    <row r="103">
      <c r="A103" s="10">
        <f>IF($B103="","",COUNTA($B$9:$B103))</f>
        <v/>
      </c>
      <c r="B103" s="12" t="n"/>
      <c r="C103" s="13" t="n"/>
      <c r="D103" s="14">
        <f>IF($C103="","",IFERROR(IF(VLOOKUP($C103,AcctTblE,4,0)="","(بدون نام)",VLOOKUP($C103,AcctTblE,4,0)),"کد ناشناخته"))</f>
        <v/>
      </c>
      <c r="E103" s="15" t="n"/>
      <c r="F103" s="14">
        <f>IF($B103="","",IFERROR(INDEX(WageDates,MATCH($B103,WageIds,0)),"—"))</f>
        <v/>
      </c>
      <c r="G103" s="14">
        <f>IF($B103="","",IFERROR(VLOOKUP(INDEX(WageParty,MATCH($B103,WageIds,0)),WGTbl,2,0),"—"))</f>
        <v/>
      </c>
      <c r="H103" s="12" t="n"/>
    </row>
    <row r="104">
      <c r="A104" s="19">
        <f>IF($B104="","",COUNTA($B$9:$B104))</f>
        <v/>
      </c>
      <c r="B104" s="12" t="n"/>
      <c r="C104" s="13" t="n"/>
      <c r="D104" s="20">
        <f>IF($C104="","",IFERROR(IF(VLOOKUP($C104,AcctTblE,4,0)="","(بدون نام)",VLOOKUP($C104,AcctTblE,4,0)),"کد ناشناخته"))</f>
        <v/>
      </c>
      <c r="E104" s="15" t="n"/>
      <c r="F104" s="20">
        <f>IF($B104="","",IFERROR(INDEX(WageDates,MATCH($B104,WageIds,0)),"—"))</f>
        <v/>
      </c>
      <c r="G104" s="20">
        <f>IF($B104="","",IFERROR(VLOOKUP(INDEX(WageParty,MATCH($B104,WageIds,0)),WGTbl,2,0),"—"))</f>
        <v/>
      </c>
      <c r="H104" s="12" t="n"/>
    </row>
    <row r="105">
      <c r="A105" s="10">
        <f>IF($B105="","",COUNTA($B$9:$B105))</f>
        <v/>
      </c>
      <c r="B105" s="12" t="n"/>
      <c r="C105" s="13" t="n"/>
      <c r="D105" s="14">
        <f>IF($C105="","",IFERROR(IF(VLOOKUP($C105,AcctTblE,4,0)="","(بدون نام)",VLOOKUP($C105,AcctTblE,4,0)),"کد ناشناخته"))</f>
        <v/>
      </c>
      <c r="E105" s="15" t="n"/>
      <c r="F105" s="14">
        <f>IF($B105="","",IFERROR(INDEX(WageDates,MATCH($B105,WageIds,0)),"—"))</f>
        <v/>
      </c>
      <c r="G105" s="14">
        <f>IF($B105="","",IFERROR(VLOOKUP(INDEX(WageParty,MATCH($B105,WageIds,0)),WGTbl,2,0),"—"))</f>
        <v/>
      </c>
      <c r="H105" s="12" t="n"/>
    </row>
    <row r="106">
      <c r="A106" s="19">
        <f>IF($B106="","",COUNTA($B$9:$B106))</f>
        <v/>
      </c>
      <c r="B106" s="12" t="n"/>
      <c r="C106" s="13" t="n"/>
      <c r="D106" s="20">
        <f>IF($C106="","",IFERROR(IF(VLOOKUP($C106,AcctTblE,4,0)="","(بدون نام)",VLOOKUP($C106,AcctTblE,4,0)),"کد ناشناخته"))</f>
        <v/>
      </c>
      <c r="E106" s="15" t="n"/>
      <c r="F106" s="20">
        <f>IF($B106="","",IFERROR(INDEX(WageDates,MATCH($B106,WageIds,0)),"—"))</f>
        <v/>
      </c>
      <c r="G106" s="20">
        <f>IF($B106="","",IFERROR(VLOOKUP(INDEX(WageParty,MATCH($B106,WageIds,0)),WGTbl,2,0),"—"))</f>
        <v/>
      </c>
      <c r="H106" s="12" t="n"/>
    </row>
    <row r="107">
      <c r="A107" s="10">
        <f>IF($B107="","",COUNTA($B$9:$B107))</f>
        <v/>
      </c>
      <c r="B107" s="12" t="n"/>
      <c r="C107" s="13" t="n"/>
      <c r="D107" s="14">
        <f>IF($C107="","",IFERROR(IF(VLOOKUP($C107,AcctTblE,4,0)="","(بدون نام)",VLOOKUP($C107,AcctTblE,4,0)),"کد ناشناخته"))</f>
        <v/>
      </c>
      <c r="E107" s="15" t="n"/>
      <c r="F107" s="14">
        <f>IF($B107="","",IFERROR(INDEX(WageDates,MATCH($B107,WageIds,0)),"—"))</f>
        <v/>
      </c>
      <c r="G107" s="14">
        <f>IF($B107="","",IFERROR(VLOOKUP(INDEX(WageParty,MATCH($B107,WageIds,0)),WGTbl,2,0),"—"))</f>
        <v/>
      </c>
      <c r="H107" s="12" t="n"/>
    </row>
    <row r="108">
      <c r="A108" s="19">
        <f>IF($B108="","",COUNTA($B$9:$B108))</f>
        <v/>
      </c>
      <c r="B108" s="12" t="n"/>
      <c r="C108" s="13" t="n"/>
      <c r="D108" s="20">
        <f>IF($C108="","",IFERROR(IF(VLOOKUP($C108,AcctTblE,4,0)="","(بدون نام)",VLOOKUP($C108,AcctTblE,4,0)),"کد ناشناخته"))</f>
        <v/>
      </c>
      <c r="E108" s="15" t="n"/>
      <c r="F108" s="20">
        <f>IF($B108="","",IFERROR(INDEX(WageDates,MATCH($B108,WageIds,0)),"—"))</f>
        <v/>
      </c>
      <c r="G108" s="20">
        <f>IF($B108="","",IFERROR(VLOOKUP(INDEX(WageParty,MATCH($B108,WageIds,0)),WGTbl,2,0),"—"))</f>
        <v/>
      </c>
      <c r="H108" s="12" t="n"/>
    </row>
    <row r="109">
      <c r="A109" s="10">
        <f>IF($B109="","",COUNTA($B$9:$B109))</f>
        <v/>
      </c>
      <c r="B109" s="12" t="n"/>
      <c r="C109" s="13" t="n"/>
      <c r="D109" s="14">
        <f>IF($C109="","",IFERROR(IF(VLOOKUP($C109,AcctTblE,4,0)="","(بدون نام)",VLOOKUP($C109,AcctTblE,4,0)),"کد ناشناخته"))</f>
        <v/>
      </c>
      <c r="E109" s="15" t="n"/>
      <c r="F109" s="14">
        <f>IF($B109="","",IFERROR(INDEX(WageDates,MATCH($B109,WageIds,0)),"—"))</f>
        <v/>
      </c>
      <c r="G109" s="14">
        <f>IF($B109="","",IFERROR(VLOOKUP(INDEX(WageParty,MATCH($B109,WageIds,0)),WGTbl,2,0),"—"))</f>
        <v/>
      </c>
      <c r="H109" s="12" t="n"/>
    </row>
    <row r="110">
      <c r="A110" s="19">
        <f>IF($B110="","",COUNTA($B$9:$B110))</f>
        <v/>
      </c>
      <c r="B110" s="12" t="n"/>
      <c r="C110" s="13" t="n"/>
      <c r="D110" s="20">
        <f>IF($C110="","",IFERROR(IF(VLOOKUP($C110,AcctTblE,4,0)="","(بدون نام)",VLOOKUP($C110,AcctTblE,4,0)),"کد ناشناخته"))</f>
        <v/>
      </c>
      <c r="E110" s="15" t="n"/>
      <c r="F110" s="20">
        <f>IF($B110="","",IFERROR(INDEX(WageDates,MATCH($B110,WageIds,0)),"—"))</f>
        <v/>
      </c>
      <c r="G110" s="20">
        <f>IF($B110="","",IFERROR(VLOOKUP(INDEX(WageParty,MATCH($B110,WageIds,0)),WGTbl,2,0),"—"))</f>
        <v/>
      </c>
      <c r="H110" s="12" t="n"/>
    </row>
    <row r="111">
      <c r="A111" s="10">
        <f>IF($B111="","",COUNTA($B$9:$B111))</f>
        <v/>
      </c>
      <c r="B111" s="12" t="n"/>
      <c r="C111" s="13" t="n"/>
      <c r="D111" s="14">
        <f>IF($C111="","",IFERROR(IF(VLOOKUP($C111,AcctTblE,4,0)="","(بدون نام)",VLOOKUP($C111,AcctTblE,4,0)),"کد ناشناخته"))</f>
        <v/>
      </c>
      <c r="E111" s="15" t="n"/>
      <c r="F111" s="14">
        <f>IF($B111="","",IFERROR(INDEX(WageDates,MATCH($B111,WageIds,0)),"—"))</f>
        <v/>
      </c>
      <c r="G111" s="14">
        <f>IF($B111="","",IFERROR(VLOOKUP(INDEX(WageParty,MATCH($B111,WageIds,0)),WGTbl,2,0),"—"))</f>
        <v/>
      </c>
      <c r="H111" s="12" t="n"/>
    </row>
    <row r="112">
      <c r="A112" s="19">
        <f>IF($B112="","",COUNTA($B$9:$B112))</f>
        <v/>
      </c>
      <c r="B112" s="12" t="n"/>
      <c r="C112" s="13" t="n"/>
      <c r="D112" s="20">
        <f>IF($C112="","",IFERROR(IF(VLOOKUP($C112,AcctTblE,4,0)="","(بدون نام)",VLOOKUP($C112,AcctTblE,4,0)),"کد ناشناخته"))</f>
        <v/>
      </c>
      <c r="E112" s="15" t="n"/>
      <c r="F112" s="20">
        <f>IF($B112="","",IFERROR(INDEX(WageDates,MATCH($B112,WageIds,0)),"—"))</f>
        <v/>
      </c>
      <c r="G112" s="20">
        <f>IF($B112="","",IFERROR(VLOOKUP(INDEX(WageParty,MATCH($B112,WageIds,0)),WGTbl,2,0),"—"))</f>
        <v/>
      </c>
      <c r="H112" s="12" t="n"/>
    </row>
    <row r="113">
      <c r="A113" s="10">
        <f>IF($B113="","",COUNTA($B$9:$B113))</f>
        <v/>
      </c>
      <c r="B113" s="12" t="n"/>
      <c r="C113" s="13" t="n"/>
      <c r="D113" s="14">
        <f>IF($C113="","",IFERROR(IF(VLOOKUP($C113,AcctTblE,4,0)="","(بدون نام)",VLOOKUP($C113,AcctTblE,4,0)),"کد ناشناخته"))</f>
        <v/>
      </c>
      <c r="E113" s="15" t="n"/>
      <c r="F113" s="14">
        <f>IF($B113="","",IFERROR(INDEX(WageDates,MATCH($B113,WageIds,0)),"—"))</f>
        <v/>
      </c>
      <c r="G113" s="14">
        <f>IF($B113="","",IFERROR(VLOOKUP(INDEX(WageParty,MATCH($B113,WageIds,0)),WGTbl,2,0),"—"))</f>
        <v/>
      </c>
      <c r="H113" s="12" t="n"/>
    </row>
    <row r="114">
      <c r="A114" s="19">
        <f>IF($B114="","",COUNTA($B$9:$B114))</f>
        <v/>
      </c>
      <c r="B114" s="12" t="n"/>
      <c r="C114" s="13" t="n"/>
      <c r="D114" s="20">
        <f>IF($C114="","",IFERROR(IF(VLOOKUP($C114,AcctTblE,4,0)="","(بدون نام)",VLOOKUP($C114,AcctTblE,4,0)),"کد ناشناخته"))</f>
        <v/>
      </c>
      <c r="E114" s="15" t="n"/>
      <c r="F114" s="20">
        <f>IF($B114="","",IFERROR(INDEX(WageDates,MATCH($B114,WageIds,0)),"—"))</f>
        <v/>
      </c>
      <c r="G114" s="20">
        <f>IF($B114="","",IFERROR(VLOOKUP(INDEX(WageParty,MATCH($B114,WageIds,0)),WGTbl,2,0),"—"))</f>
        <v/>
      </c>
      <c r="H114" s="12" t="n"/>
    </row>
    <row r="115">
      <c r="A115" s="10">
        <f>IF($B115="","",COUNTA($B$9:$B115))</f>
        <v/>
      </c>
      <c r="B115" s="12" t="n"/>
      <c r="C115" s="13" t="n"/>
      <c r="D115" s="14">
        <f>IF($C115="","",IFERROR(IF(VLOOKUP($C115,AcctTblE,4,0)="","(بدون نام)",VLOOKUP($C115,AcctTblE,4,0)),"کد ناشناخته"))</f>
        <v/>
      </c>
      <c r="E115" s="15" t="n"/>
      <c r="F115" s="14">
        <f>IF($B115="","",IFERROR(INDEX(WageDates,MATCH($B115,WageIds,0)),"—"))</f>
        <v/>
      </c>
      <c r="G115" s="14">
        <f>IF($B115="","",IFERROR(VLOOKUP(INDEX(WageParty,MATCH($B115,WageIds,0)),WGTbl,2,0),"—"))</f>
        <v/>
      </c>
      <c r="H115" s="12" t="n"/>
    </row>
    <row r="116">
      <c r="A116" s="19">
        <f>IF($B116="","",COUNTA($B$9:$B116))</f>
        <v/>
      </c>
      <c r="B116" s="12" t="n"/>
      <c r="C116" s="13" t="n"/>
      <c r="D116" s="20">
        <f>IF($C116="","",IFERROR(IF(VLOOKUP($C116,AcctTblE,4,0)="","(بدون نام)",VLOOKUP($C116,AcctTblE,4,0)),"کد ناشناخته"))</f>
        <v/>
      </c>
      <c r="E116" s="15" t="n"/>
      <c r="F116" s="20">
        <f>IF($B116="","",IFERROR(INDEX(WageDates,MATCH($B116,WageIds,0)),"—"))</f>
        <v/>
      </c>
      <c r="G116" s="20">
        <f>IF($B116="","",IFERROR(VLOOKUP(INDEX(WageParty,MATCH($B116,WageIds,0)),WGTbl,2,0),"—"))</f>
        <v/>
      </c>
      <c r="H116" s="12" t="n"/>
    </row>
    <row r="117">
      <c r="A117" s="10">
        <f>IF($B117="","",COUNTA($B$9:$B117))</f>
        <v/>
      </c>
      <c r="B117" s="12" t="n"/>
      <c r="C117" s="13" t="n"/>
      <c r="D117" s="14">
        <f>IF($C117="","",IFERROR(IF(VLOOKUP($C117,AcctTblE,4,0)="","(بدون نام)",VLOOKUP($C117,AcctTblE,4,0)),"کد ناشناخته"))</f>
        <v/>
      </c>
      <c r="E117" s="15" t="n"/>
      <c r="F117" s="14">
        <f>IF($B117="","",IFERROR(INDEX(WageDates,MATCH($B117,WageIds,0)),"—"))</f>
        <v/>
      </c>
      <c r="G117" s="14">
        <f>IF($B117="","",IFERROR(VLOOKUP(INDEX(WageParty,MATCH($B117,WageIds,0)),WGTbl,2,0),"—"))</f>
        <v/>
      </c>
      <c r="H117" s="12" t="n"/>
    </row>
    <row r="118">
      <c r="A118" s="19">
        <f>IF($B118="","",COUNTA($B$9:$B118))</f>
        <v/>
      </c>
      <c r="B118" s="12" t="n"/>
      <c r="C118" s="13" t="n"/>
      <c r="D118" s="20">
        <f>IF($C118="","",IFERROR(IF(VLOOKUP($C118,AcctTblE,4,0)="","(بدون نام)",VLOOKUP($C118,AcctTblE,4,0)),"کد ناشناخته"))</f>
        <v/>
      </c>
      <c r="E118" s="15" t="n"/>
      <c r="F118" s="20">
        <f>IF($B118="","",IFERROR(INDEX(WageDates,MATCH($B118,WageIds,0)),"—"))</f>
        <v/>
      </c>
      <c r="G118" s="20">
        <f>IF($B118="","",IFERROR(VLOOKUP(INDEX(WageParty,MATCH($B118,WageIds,0)),WGTbl,2,0),"—"))</f>
        <v/>
      </c>
      <c r="H118" s="12" t="n"/>
    </row>
    <row r="119">
      <c r="A119" s="10">
        <f>IF($B119="","",COUNTA($B$9:$B119))</f>
        <v/>
      </c>
      <c r="B119" s="12" t="n"/>
      <c r="C119" s="13" t="n"/>
      <c r="D119" s="14">
        <f>IF($C119="","",IFERROR(IF(VLOOKUP($C119,AcctTblE,4,0)="","(بدون نام)",VLOOKUP($C119,AcctTblE,4,0)),"کد ناشناخته"))</f>
        <v/>
      </c>
      <c r="E119" s="15" t="n"/>
      <c r="F119" s="14">
        <f>IF($B119="","",IFERROR(INDEX(WageDates,MATCH($B119,WageIds,0)),"—"))</f>
        <v/>
      </c>
      <c r="G119" s="14">
        <f>IF($B119="","",IFERROR(VLOOKUP(INDEX(WageParty,MATCH($B119,WageIds,0)),WGTbl,2,0),"—"))</f>
        <v/>
      </c>
      <c r="H119" s="12" t="n"/>
    </row>
    <row r="120">
      <c r="A120" s="19">
        <f>IF($B120="","",COUNTA($B$9:$B120))</f>
        <v/>
      </c>
      <c r="B120" s="12" t="n"/>
      <c r="C120" s="13" t="n"/>
      <c r="D120" s="20">
        <f>IF($C120="","",IFERROR(IF(VLOOKUP($C120,AcctTblE,4,0)="","(بدون نام)",VLOOKUP($C120,AcctTblE,4,0)),"کد ناشناخته"))</f>
        <v/>
      </c>
      <c r="E120" s="15" t="n"/>
      <c r="F120" s="20">
        <f>IF($B120="","",IFERROR(INDEX(WageDates,MATCH($B120,WageIds,0)),"—"))</f>
        <v/>
      </c>
      <c r="G120" s="20">
        <f>IF($B120="","",IFERROR(VLOOKUP(INDEX(WageParty,MATCH($B120,WageIds,0)),WGTbl,2,0),"—"))</f>
        <v/>
      </c>
      <c r="H120" s="12" t="n"/>
    </row>
    <row r="121">
      <c r="A121" s="10">
        <f>IF($B121="","",COUNTA($B$9:$B121))</f>
        <v/>
      </c>
      <c r="B121" s="12" t="n"/>
      <c r="C121" s="13" t="n"/>
      <c r="D121" s="14">
        <f>IF($C121="","",IFERROR(IF(VLOOKUP($C121,AcctTblE,4,0)="","(بدون نام)",VLOOKUP($C121,AcctTblE,4,0)),"کد ناشناخته"))</f>
        <v/>
      </c>
      <c r="E121" s="15" t="n"/>
      <c r="F121" s="14">
        <f>IF($B121="","",IFERROR(INDEX(WageDates,MATCH($B121,WageIds,0)),"—"))</f>
        <v/>
      </c>
      <c r="G121" s="14">
        <f>IF($B121="","",IFERROR(VLOOKUP(INDEX(WageParty,MATCH($B121,WageIds,0)),WGTbl,2,0),"—"))</f>
        <v/>
      </c>
      <c r="H121" s="12" t="n"/>
    </row>
    <row r="122">
      <c r="A122" s="19">
        <f>IF($B122="","",COUNTA($B$9:$B122))</f>
        <v/>
      </c>
      <c r="B122" s="12" t="n"/>
      <c r="C122" s="13" t="n"/>
      <c r="D122" s="20">
        <f>IF($C122="","",IFERROR(IF(VLOOKUP($C122,AcctTblE,4,0)="","(بدون نام)",VLOOKUP($C122,AcctTblE,4,0)),"کد ناشناخته"))</f>
        <v/>
      </c>
      <c r="E122" s="15" t="n"/>
      <c r="F122" s="20">
        <f>IF($B122="","",IFERROR(INDEX(WageDates,MATCH($B122,WageIds,0)),"—"))</f>
        <v/>
      </c>
      <c r="G122" s="20">
        <f>IF($B122="","",IFERROR(VLOOKUP(INDEX(WageParty,MATCH($B122,WageIds,0)),WGTbl,2,0),"—"))</f>
        <v/>
      </c>
      <c r="H122" s="12" t="n"/>
    </row>
    <row r="123">
      <c r="A123" s="10">
        <f>IF($B123="","",COUNTA($B$9:$B123))</f>
        <v/>
      </c>
      <c r="B123" s="12" t="n"/>
      <c r="C123" s="13" t="n"/>
      <c r="D123" s="14">
        <f>IF($C123="","",IFERROR(IF(VLOOKUP($C123,AcctTblE,4,0)="","(بدون نام)",VLOOKUP($C123,AcctTblE,4,0)),"کد ناشناخته"))</f>
        <v/>
      </c>
      <c r="E123" s="15" t="n"/>
      <c r="F123" s="14">
        <f>IF($B123="","",IFERROR(INDEX(WageDates,MATCH($B123,WageIds,0)),"—"))</f>
        <v/>
      </c>
      <c r="G123" s="14">
        <f>IF($B123="","",IFERROR(VLOOKUP(INDEX(WageParty,MATCH($B123,WageIds,0)),WGTbl,2,0),"—"))</f>
        <v/>
      </c>
      <c r="H123" s="12" t="n"/>
    </row>
    <row r="124">
      <c r="A124" s="19">
        <f>IF($B124="","",COUNTA($B$9:$B124))</f>
        <v/>
      </c>
      <c r="B124" s="12" t="n"/>
      <c r="C124" s="13" t="n"/>
      <c r="D124" s="20">
        <f>IF($C124="","",IFERROR(IF(VLOOKUP($C124,AcctTblE,4,0)="","(بدون نام)",VLOOKUP($C124,AcctTblE,4,0)),"کد ناشناخته"))</f>
        <v/>
      </c>
      <c r="E124" s="15" t="n"/>
      <c r="F124" s="20">
        <f>IF($B124="","",IFERROR(INDEX(WageDates,MATCH($B124,WageIds,0)),"—"))</f>
        <v/>
      </c>
      <c r="G124" s="20">
        <f>IF($B124="","",IFERROR(VLOOKUP(INDEX(WageParty,MATCH($B124,WageIds,0)),WGTbl,2,0),"—"))</f>
        <v/>
      </c>
      <c r="H124" s="12" t="n"/>
    </row>
    <row r="125">
      <c r="A125" s="10">
        <f>IF($B125="","",COUNTA($B$9:$B125))</f>
        <v/>
      </c>
      <c r="B125" s="12" t="n"/>
      <c r="C125" s="13" t="n"/>
      <c r="D125" s="14">
        <f>IF($C125="","",IFERROR(IF(VLOOKUP($C125,AcctTblE,4,0)="","(بدون نام)",VLOOKUP($C125,AcctTblE,4,0)),"کد ناشناخته"))</f>
        <v/>
      </c>
      <c r="E125" s="15" t="n"/>
      <c r="F125" s="14">
        <f>IF($B125="","",IFERROR(INDEX(WageDates,MATCH($B125,WageIds,0)),"—"))</f>
        <v/>
      </c>
      <c r="G125" s="14">
        <f>IF($B125="","",IFERROR(VLOOKUP(INDEX(WageParty,MATCH($B125,WageIds,0)),WGTbl,2,0),"—"))</f>
        <v/>
      </c>
      <c r="H125" s="12" t="n"/>
    </row>
    <row r="126">
      <c r="A126" s="19">
        <f>IF($B126="","",COUNTA($B$9:$B126))</f>
        <v/>
      </c>
      <c r="B126" s="12" t="n"/>
      <c r="C126" s="13" t="n"/>
      <c r="D126" s="20">
        <f>IF($C126="","",IFERROR(IF(VLOOKUP($C126,AcctTblE,4,0)="","(بدون نام)",VLOOKUP($C126,AcctTblE,4,0)),"کد ناشناخته"))</f>
        <v/>
      </c>
      <c r="E126" s="15" t="n"/>
      <c r="F126" s="20">
        <f>IF($B126="","",IFERROR(INDEX(WageDates,MATCH($B126,WageIds,0)),"—"))</f>
        <v/>
      </c>
      <c r="G126" s="20">
        <f>IF($B126="","",IFERROR(VLOOKUP(INDEX(WageParty,MATCH($B126,WageIds,0)),WGTbl,2,0),"—"))</f>
        <v/>
      </c>
      <c r="H126" s="12" t="n"/>
    </row>
    <row r="127">
      <c r="A127" s="10">
        <f>IF($B127="","",COUNTA($B$9:$B127))</f>
        <v/>
      </c>
      <c r="B127" s="12" t="n"/>
      <c r="C127" s="13" t="n"/>
      <c r="D127" s="14">
        <f>IF($C127="","",IFERROR(IF(VLOOKUP($C127,AcctTblE,4,0)="","(بدون نام)",VLOOKUP($C127,AcctTblE,4,0)),"کد ناشناخته"))</f>
        <v/>
      </c>
      <c r="E127" s="15" t="n"/>
      <c r="F127" s="14">
        <f>IF($B127="","",IFERROR(INDEX(WageDates,MATCH($B127,WageIds,0)),"—"))</f>
        <v/>
      </c>
      <c r="G127" s="14">
        <f>IF($B127="","",IFERROR(VLOOKUP(INDEX(WageParty,MATCH($B127,WageIds,0)),WGTbl,2,0),"—"))</f>
        <v/>
      </c>
      <c r="H127" s="12" t="n"/>
    </row>
    <row r="128">
      <c r="A128" s="19">
        <f>IF($B128="","",COUNTA($B$9:$B128))</f>
        <v/>
      </c>
      <c r="B128" s="12" t="n"/>
      <c r="C128" s="13" t="n"/>
      <c r="D128" s="20">
        <f>IF($C128="","",IFERROR(IF(VLOOKUP($C128,AcctTblE,4,0)="","(بدون نام)",VLOOKUP($C128,AcctTblE,4,0)),"کد ناشناخته"))</f>
        <v/>
      </c>
      <c r="E128" s="15" t="n"/>
      <c r="F128" s="20">
        <f>IF($B128="","",IFERROR(INDEX(WageDates,MATCH($B128,WageIds,0)),"—"))</f>
        <v/>
      </c>
      <c r="G128" s="20">
        <f>IF($B128="","",IFERROR(VLOOKUP(INDEX(WageParty,MATCH($B128,WageIds,0)),WGTbl,2,0),"—"))</f>
        <v/>
      </c>
      <c r="H128" s="12" t="n"/>
    </row>
    <row r="129">
      <c r="A129" s="10">
        <f>IF($B129="","",COUNTA($B$9:$B129))</f>
        <v/>
      </c>
      <c r="B129" s="12" t="n"/>
      <c r="C129" s="13" t="n"/>
      <c r="D129" s="14">
        <f>IF($C129="","",IFERROR(IF(VLOOKUP($C129,AcctTblE,4,0)="","(بدون نام)",VLOOKUP($C129,AcctTblE,4,0)),"کد ناشناخته"))</f>
        <v/>
      </c>
      <c r="E129" s="15" t="n"/>
      <c r="F129" s="14">
        <f>IF($B129="","",IFERROR(INDEX(WageDates,MATCH($B129,WageIds,0)),"—"))</f>
        <v/>
      </c>
      <c r="G129" s="14">
        <f>IF($B129="","",IFERROR(VLOOKUP(INDEX(WageParty,MATCH($B129,WageIds,0)),WGTbl,2,0),"—"))</f>
        <v/>
      </c>
      <c r="H129" s="12" t="n"/>
    </row>
    <row r="130">
      <c r="A130" s="19">
        <f>IF($B130="","",COUNTA($B$9:$B130))</f>
        <v/>
      </c>
      <c r="B130" s="12" t="n"/>
      <c r="C130" s="13" t="n"/>
      <c r="D130" s="20">
        <f>IF($C130="","",IFERROR(IF(VLOOKUP($C130,AcctTblE,4,0)="","(بدون نام)",VLOOKUP($C130,AcctTblE,4,0)),"کد ناشناخته"))</f>
        <v/>
      </c>
      <c r="E130" s="15" t="n"/>
      <c r="F130" s="20">
        <f>IF($B130="","",IFERROR(INDEX(WageDates,MATCH($B130,WageIds,0)),"—"))</f>
        <v/>
      </c>
      <c r="G130" s="20">
        <f>IF($B130="","",IFERROR(VLOOKUP(INDEX(WageParty,MATCH($B130,WageIds,0)),WGTbl,2,0),"—"))</f>
        <v/>
      </c>
      <c r="H130" s="12" t="n"/>
    </row>
    <row r="131">
      <c r="A131" s="10">
        <f>IF($B131="","",COUNTA($B$9:$B131))</f>
        <v/>
      </c>
      <c r="B131" s="12" t="n"/>
      <c r="C131" s="13" t="n"/>
      <c r="D131" s="14">
        <f>IF($C131="","",IFERROR(IF(VLOOKUP($C131,AcctTblE,4,0)="","(بدون نام)",VLOOKUP($C131,AcctTblE,4,0)),"کد ناشناخته"))</f>
        <v/>
      </c>
      <c r="E131" s="15" t="n"/>
      <c r="F131" s="14">
        <f>IF($B131="","",IFERROR(INDEX(WageDates,MATCH($B131,WageIds,0)),"—"))</f>
        <v/>
      </c>
      <c r="G131" s="14">
        <f>IF($B131="","",IFERROR(VLOOKUP(INDEX(WageParty,MATCH($B131,WageIds,0)),WGTbl,2,0),"—"))</f>
        <v/>
      </c>
      <c r="H131" s="12" t="n"/>
    </row>
    <row r="132">
      <c r="A132" s="19">
        <f>IF($B132="","",COUNTA($B$9:$B132))</f>
        <v/>
      </c>
      <c r="B132" s="12" t="n"/>
      <c r="C132" s="13" t="n"/>
      <c r="D132" s="20">
        <f>IF($C132="","",IFERROR(IF(VLOOKUP($C132,AcctTblE,4,0)="","(بدون نام)",VLOOKUP($C132,AcctTblE,4,0)),"کد ناشناخته"))</f>
        <v/>
      </c>
      <c r="E132" s="15" t="n"/>
      <c r="F132" s="20">
        <f>IF($B132="","",IFERROR(INDEX(WageDates,MATCH($B132,WageIds,0)),"—"))</f>
        <v/>
      </c>
      <c r="G132" s="20">
        <f>IF($B132="","",IFERROR(VLOOKUP(INDEX(WageParty,MATCH($B132,WageIds,0)),WGTbl,2,0),"—"))</f>
        <v/>
      </c>
      <c r="H132" s="12" t="n"/>
    </row>
    <row r="133">
      <c r="A133" s="10">
        <f>IF($B133="","",COUNTA($B$9:$B133))</f>
        <v/>
      </c>
      <c r="B133" s="12" t="n"/>
      <c r="C133" s="13" t="n"/>
      <c r="D133" s="14">
        <f>IF($C133="","",IFERROR(IF(VLOOKUP($C133,AcctTblE,4,0)="","(بدون نام)",VLOOKUP($C133,AcctTblE,4,0)),"کد ناشناخته"))</f>
        <v/>
      </c>
      <c r="E133" s="15" t="n"/>
      <c r="F133" s="14">
        <f>IF($B133="","",IFERROR(INDEX(WageDates,MATCH($B133,WageIds,0)),"—"))</f>
        <v/>
      </c>
      <c r="G133" s="14">
        <f>IF($B133="","",IFERROR(VLOOKUP(INDEX(WageParty,MATCH($B133,WageIds,0)),WGTbl,2,0),"—"))</f>
        <v/>
      </c>
      <c r="H133" s="12" t="n"/>
    </row>
    <row r="134">
      <c r="A134" s="19">
        <f>IF($B134="","",COUNTA($B$9:$B134))</f>
        <v/>
      </c>
      <c r="B134" s="12" t="n"/>
      <c r="C134" s="13" t="n"/>
      <c r="D134" s="20">
        <f>IF($C134="","",IFERROR(IF(VLOOKUP($C134,AcctTblE,4,0)="","(بدون نام)",VLOOKUP($C134,AcctTblE,4,0)),"کد ناشناخته"))</f>
        <v/>
      </c>
      <c r="E134" s="15" t="n"/>
      <c r="F134" s="20">
        <f>IF($B134="","",IFERROR(INDEX(WageDates,MATCH($B134,WageIds,0)),"—"))</f>
        <v/>
      </c>
      <c r="G134" s="20">
        <f>IF($B134="","",IFERROR(VLOOKUP(INDEX(WageParty,MATCH($B134,WageIds,0)),WGTbl,2,0),"—"))</f>
        <v/>
      </c>
      <c r="H134" s="12" t="n"/>
    </row>
    <row r="135">
      <c r="A135" s="10">
        <f>IF($B135="","",COUNTA($B$9:$B135))</f>
        <v/>
      </c>
      <c r="B135" s="12" t="n"/>
      <c r="C135" s="13" t="n"/>
      <c r="D135" s="14">
        <f>IF($C135="","",IFERROR(IF(VLOOKUP($C135,AcctTblE,4,0)="","(بدون نام)",VLOOKUP($C135,AcctTblE,4,0)),"کد ناشناخته"))</f>
        <v/>
      </c>
      <c r="E135" s="15" t="n"/>
      <c r="F135" s="14">
        <f>IF($B135="","",IFERROR(INDEX(WageDates,MATCH($B135,WageIds,0)),"—"))</f>
        <v/>
      </c>
      <c r="G135" s="14">
        <f>IF($B135="","",IFERROR(VLOOKUP(INDEX(WageParty,MATCH($B135,WageIds,0)),WGTbl,2,0),"—"))</f>
        <v/>
      </c>
      <c r="H135" s="12" t="n"/>
    </row>
    <row r="136">
      <c r="A136" s="19">
        <f>IF($B136="","",COUNTA($B$9:$B136))</f>
        <v/>
      </c>
      <c r="B136" s="12" t="n"/>
      <c r="C136" s="13" t="n"/>
      <c r="D136" s="20">
        <f>IF($C136="","",IFERROR(IF(VLOOKUP($C136,AcctTblE,4,0)="","(بدون نام)",VLOOKUP($C136,AcctTblE,4,0)),"کد ناشناخته"))</f>
        <v/>
      </c>
      <c r="E136" s="15" t="n"/>
      <c r="F136" s="20">
        <f>IF($B136="","",IFERROR(INDEX(WageDates,MATCH($B136,WageIds,0)),"—"))</f>
        <v/>
      </c>
      <c r="G136" s="20">
        <f>IF($B136="","",IFERROR(VLOOKUP(INDEX(WageParty,MATCH($B136,WageIds,0)),WGTbl,2,0),"—"))</f>
        <v/>
      </c>
      <c r="H136" s="12" t="n"/>
    </row>
    <row r="137">
      <c r="A137" s="10">
        <f>IF($B137="","",COUNTA($B$9:$B137))</f>
        <v/>
      </c>
      <c r="B137" s="12" t="n"/>
      <c r="C137" s="13" t="n"/>
      <c r="D137" s="14">
        <f>IF($C137="","",IFERROR(IF(VLOOKUP($C137,AcctTblE,4,0)="","(بدون نام)",VLOOKUP($C137,AcctTblE,4,0)),"کد ناشناخته"))</f>
        <v/>
      </c>
      <c r="E137" s="15" t="n"/>
      <c r="F137" s="14">
        <f>IF($B137="","",IFERROR(INDEX(WageDates,MATCH($B137,WageIds,0)),"—"))</f>
        <v/>
      </c>
      <c r="G137" s="14">
        <f>IF($B137="","",IFERROR(VLOOKUP(INDEX(WageParty,MATCH($B137,WageIds,0)),WGTbl,2,0),"—"))</f>
        <v/>
      </c>
      <c r="H137" s="12" t="n"/>
    </row>
    <row r="138">
      <c r="A138" s="19">
        <f>IF($B138="","",COUNTA($B$9:$B138))</f>
        <v/>
      </c>
      <c r="B138" s="12" t="n"/>
      <c r="C138" s="13" t="n"/>
      <c r="D138" s="20">
        <f>IF($C138="","",IFERROR(IF(VLOOKUP($C138,AcctTblE,4,0)="","(بدون نام)",VLOOKUP($C138,AcctTblE,4,0)),"کد ناشناخته"))</f>
        <v/>
      </c>
      <c r="E138" s="15" t="n"/>
      <c r="F138" s="20">
        <f>IF($B138="","",IFERROR(INDEX(WageDates,MATCH($B138,WageIds,0)),"—"))</f>
        <v/>
      </c>
      <c r="G138" s="20">
        <f>IF($B138="","",IFERROR(VLOOKUP(INDEX(WageParty,MATCH($B138,WageIds,0)),WGTbl,2,0),"—"))</f>
        <v/>
      </c>
      <c r="H138" s="12" t="n"/>
    </row>
    <row r="139">
      <c r="A139" s="10">
        <f>IF($B139="","",COUNTA($B$9:$B139))</f>
        <v/>
      </c>
      <c r="B139" s="12" t="n"/>
      <c r="C139" s="13" t="n"/>
      <c r="D139" s="14">
        <f>IF($C139="","",IFERROR(IF(VLOOKUP($C139,AcctTblE,4,0)="","(بدون نام)",VLOOKUP($C139,AcctTblE,4,0)),"کد ناشناخته"))</f>
        <v/>
      </c>
      <c r="E139" s="15" t="n"/>
      <c r="F139" s="14">
        <f>IF($B139="","",IFERROR(INDEX(WageDates,MATCH($B139,WageIds,0)),"—"))</f>
        <v/>
      </c>
      <c r="G139" s="14">
        <f>IF($B139="","",IFERROR(VLOOKUP(INDEX(WageParty,MATCH($B139,WageIds,0)),WGTbl,2,0),"—"))</f>
        <v/>
      </c>
      <c r="H139" s="12" t="n"/>
    </row>
    <row r="140">
      <c r="A140" s="19">
        <f>IF($B140="","",COUNTA($B$9:$B140))</f>
        <v/>
      </c>
      <c r="B140" s="12" t="n"/>
      <c r="C140" s="13" t="n"/>
      <c r="D140" s="20">
        <f>IF($C140="","",IFERROR(IF(VLOOKUP($C140,AcctTblE,4,0)="","(بدون نام)",VLOOKUP($C140,AcctTblE,4,0)),"کد ناشناخته"))</f>
        <v/>
      </c>
      <c r="E140" s="15" t="n"/>
      <c r="F140" s="20">
        <f>IF($B140="","",IFERROR(INDEX(WageDates,MATCH($B140,WageIds,0)),"—"))</f>
        <v/>
      </c>
      <c r="G140" s="20">
        <f>IF($B140="","",IFERROR(VLOOKUP(INDEX(WageParty,MATCH($B140,WageIds,0)),WGTbl,2,0),"—"))</f>
        <v/>
      </c>
      <c r="H140" s="12" t="n"/>
    </row>
    <row r="141">
      <c r="A141" s="10">
        <f>IF($B141="","",COUNTA($B$9:$B141))</f>
        <v/>
      </c>
      <c r="B141" s="12" t="n"/>
      <c r="C141" s="13" t="n"/>
      <c r="D141" s="14">
        <f>IF($C141="","",IFERROR(IF(VLOOKUP($C141,AcctTblE,4,0)="","(بدون نام)",VLOOKUP($C141,AcctTblE,4,0)),"کد ناشناخته"))</f>
        <v/>
      </c>
      <c r="E141" s="15" t="n"/>
      <c r="F141" s="14">
        <f>IF($B141="","",IFERROR(INDEX(WageDates,MATCH($B141,WageIds,0)),"—"))</f>
        <v/>
      </c>
      <c r="G141" s="14">
        <f>IF($B141="","",IFERROR(VLOOKUP(INDEX(WageParty,MATCH($B141,WageIds,0)),WGTbl,2,0),"—"))</f>
        <v/>
      </c>
      <c r="H141" s="12" t="n"/>
    </row>
    <row r="142">
      <c r="A142" s="19">
        <f>IF($B142="","",COUNTA($B$9:$B142))</f>
        <v/>
      </c>
      <c r="B142" s="12" t="n"/>
      <c r="C142" s="13" t="n"/>
      <c r="D142" s="20">
        <f>IF($C142="","",IFERROR(IF(VLOOKUP($C142,AcctTblE,4,0)="","(بدون نام)",VLOOKUP($C142,AcctTblE,4,0)),"کد ناشناخته"))</f>
        <v/>
      </c>
      <c r="E142" s="15" t="n"/>
      <c r="F142" s="20">
        <f>IF($B142="","",IFERROR(INDEX(WageDates,MATCH($B142,WageIds,0)),"—"))</f>
        <v/>
      </c>
      <c r="G142" s="20">
        <f>IF($B142="","",IFERROR(VLOOKUP(INDEX(WageParty,MATCH($B142,WageIds,0)),WGTbl,2,0),"—"))</f>
        <v/>
      </c>
      <c r="H142" s="12" t="n"/>
    </row>
    <row r="143">
      <c r="A143" s="10">
        <f>IF($B143="","",COUNTA($B$9:$B143))</f>
        <v/>
      </c>
      <c r="B143" s="12" t="n"/>
      <c r="C143" s="13" t="n"/>
      <c r="D143" s="14">
        <f>IF($C143="","",IFERROR(IF(VLOOKUP($C143,AcctTblE,4,0)="","(بدون نام)",VLOOKUP($C143,AcctTblE,4,0)),"کد ناشناخته"))</f>
        <v/>
      </c>
      <c r="E143" s="15" t="n"/>
      <c r="F143" s="14">
        <f>IF($B143="","",IFERROR(INDEX(WageDates,MATCH($B143,WageIds,0)),"—"))</f>
        <v/>
      </c>
      <c r="G143" s="14">
        <f>IF($B143="","",IFERROR(VLOOKUP(INDEX(WageParty,MATCH($B143,WageIds,0)),WGTbl,2,0),"—"))</f>
        <v/>
      </c>
      <c r="H143" s="12" t="n"/>
    </row>
    <row r="144">
      <c r="A144" s="19">
        <f>IF($B144="","",COUNTA($B$9:$B144))</f>
        <v/>
      </c>
      <c r="B144" s="12" t="n"/>
      <c r="C144" s="13" t="n"/>
      <c r="D144" s="20">
        <f>IF($C144="","",IFERROR(IF(VLOOKUP($C144,AcctTblE,4,0)="","(بدون نام)",VLOOKUP($C144,AcctTblE,4,0)),"کد ناشناخته"))</f>
        <v/>
      </c>
      <c r="E144" s="15" t="n"/>
      <c r="F144" s="20">
        <f>IF($B144="","",IFERROR(INDEX(WageDates,MATCH($B144,WageIds,0)),"—"))</f>
        <v/>
      </c>
      <c r="G144" s="20">
        <f>IF($B144="","",IFERROR(VLOOKUP(INDEX(WageParty,MATCH($B144,WageIds,0)),WGTbl,2,0),"—"))</f>
        <v/>
      </c>
      <c r="H144" s="12" t="n"/>
    </row>
    <row r="145">
      <c r="A145" s="10">
        <f>IF($B145="","",COUNTA($B$9:$B145))</f>
        <v/>
      </c>
      <c r="B145" s="12" t="n"/>
      <c r="C145" s="13" t="n"/>
      <c r="D145" s="14">
        <f>IF($C145="","",IFERROR(IF(VLOOKUP($C145,AcctTblE,4,0)="","(بدون نام)",VLOOKUP($C145,AcctTblE,4,0)),"کد ناشناخته"))</f>
        <v/>
      </c>
      <c r="E145" s="15" t="n"/>
      <c r="F145" s="14">
        <f>IF($B145="","",IFERROR(INDEX(WageDates,MATCH($B145,WageIds,0)),"—"))</f>
        <v/>
      </c>
      <c r="G145" s="14">
        <f>IF($B145="","",IFERROR(VLOOKUP(INDEX(WageParty,MATCH($B145,WageIds,0)),WGTbl,2,0),"—"))</f>
        <v/>
      </c>
      <c r="H145" s="12" t="n"/>
    </row>
    <row r="146">
      <c r="A146" s="19">
        <f>IF($B146="","",COUNTA($B$9:$B146))</f>
        <v/>
      </c>
      <c r="B146" s="12" t="n"/>
      <c r="C146" s="13" t="n"/>
      <c r="D146" s="20">
        <f>IF($C146="","",IFERROR(IF(VLOOKUP($C146,AcctTblE,4,0)="","(بدون نام)",VLOOKUP($C146,AcctTblE,4,0)),"کد ناشناخته"))</f>
        <v/>
      </c>
      <c r="E146" s="15" t="n"/>
      <c r="F146" s="20">
        <f>IF($B146="","",IFERROR(INDEX(WageDates,MATCH($B146,WageIds,0)),"—"))</f>
        <v/>
      </c>
      <c r="G146" s="20">
        <f>IF($B146="","",IFERROR(VLOOKUP(INDEX(WageParty,MATCH($B146,WageIds,0)),WGTbl,2,0),"—"))</f>
        <v/>
      </c>
      <c r="H146" s="12" t="n"/>
    </row>
    <row r="147">
      <c r="A147" s="10">
        <f>IF($B147="","",COUNTA($B$9:$B147))</f>
        <v/>
      </c>
      <c r="B147" s="12" t="n"/>
      <c r="C147" s="13" t="n"/>
      <c r="D147" s="14">
        <f>IF($C147="","",IFERROR(IF(VLOOKUP($C147,AcctTblE,4,0)="","(بدون نام)",VLOOKUP($C147,AcctTblE,4,0)),"کد ناشناخته"))</f>
        <v/>
      </c>
      <c r="E147" s="15" t="n"/>
      <c r="F147" s="14">
        <f>IF($B147="","",IFERROR(INDEX(WageDates,MATCH($B147,WageIds,0)),"—"))</f>
        <v/>
      </c>
      <c r="G147" s="14">
        <f>IF($B147="","",IFERROR(VLOOKUP(INDEX(WageParty,MATCH($B147,WageIds,0)),WGTbl,2,0),"—"))</f>
        <v/>
      </c>
      <c r="H147" s="12" t="n"/>
    </row>
    <row r="148">
      <c r="A148" s="19">
        <f>IF($B148="","",COUNTA($B$9:$B148))</f>
        <v/>
      </c>
      <c r="B148" s="12" t="n"/>
      <c r="C148" s="13" t="n"/>
      <c r="D148" s="20">
        <f>IF($C148="","",IFERROR(IF(VLOOKUP($C148,AcctTblE,4,0)="","(بدون نام)",VLOOKUP($C148,AcctTblE,4,0)),"کد ناشناخته"))</f>
        <v/>
      </c>
      <c r="E148" s="15" t="n"/>
      <c r="F148" s="20">
        <f>IF($B148="","",IFERROR(INDEX(WageDates,MATCH($B148,WageIds,0)),"—"))</f>
        <v/>
      </c>
      <c r="G148" s="20">
        <f>IF($B148="","",IFERROR(VLOOKUP(INDEX(WageParty,MATCH($B148,WageIds,0)),WGTbl,2,0),"—"))</f>
        <v/>
      </c>
      <c r="H148" s="12" t="n"/>
    </row>
    <row r="149">
      <c r="A149" s="10">
        <f>IF($B149="","",COUNTA($B$9:$B149))</f>
        <v/>
      </c>
      <c r="B149" s="12" t="n"/>
      <c r="C149" s="13" t="n"/>
      <c r="D149" s="14">
        <f>IF($C149="","",IFERROR(IF(VLOOKUP($C149,AcctTblE,4,0)="","(بدون نام)",VLOOKUP($C149,AcctTblE,4,0)),"کد ناشناخته"))</f>
        <v/>
      </c>
      <c r="E149" s="15" t="n"/>
      <c r="F149" s="14">
        <f>IF($B149="","",IFERROR(INDEX(WageDates,MATCH($B149,WageIds,0)),"—"))</f>
        <v/>
      </c>
      <c r="G149" s="14">
        <f>IF($B149="","",IFERROR(VLOOKUP(INDEX(WageParty,MATCH($B149,WageIds,0)),WGTbl,2,0),"—"))</f>
        <v/>
      </c>
      <c r="H149" s="12" t="n"/>
    </row>
    <row r="150">
      <c r="A150" s="19">
        <f>IF($B150="","",COUNTA($B$9:$B150))</f>
        <v/>
      </c>
      <c r="B150" s="12" t="n"/>
      <c r="C150" s="13" t="n"/>
      <c r="D150" s="20">
        <f>IF($C150="","",IFERROR(IF(VLOOKUP($C150,AcctTblE,4,0)="","(بدون نام)",VLOOKUP($C150,AcctTblE,4,0)),"کد ناشناخته"))</f>
        <v/>
      </c>
      <c r="E150" s="15" t="n"/>
      <c r="F150" s="20">
        <f>IF($B150="","",IFERROR(INDEX(WageDates,MATCH($B150,WageIds,0)),"—"))</f>
        <v/>
      </c>
      <c r="G150" s="20">
        <f>IF($B150="","",IFERROR(VLOOKUP(INDEX(WageParty,MATCH($B150,WageIds,0)),WGTbl,2,0),"—"))</f>
        <v/>
      </c>
      <c r="H150" s="12" t="n"/>
    </row>
    <row r="151">
      <c r="A151" s="10">
        <f>IF($B151="","",COUNTA($B$9:$B151))</f>
        <v/>
      </c>
      <c r="B151" s="12" t="n"/>
      <c r="C151" s="13" t="n"/>
      <c r="D151" s="14">
        <f>IF($C151="","",IFERROR(IF(VLOOKUP($C151,AcctTblE,4,0)="","(بدون نام)",VLOOKUP($C151,AcctTblE,4,0)),"کد ناشناخته"))</f>
        <v/>
      </c>
      <c r="E151" s="15" t="n"/>
      <c r="F151" s="14">
        <f>IF($B151="","",IFERROR(INDEX(WageDates,MATCH($B151,WageIds,0)),"—"))</f>
        <v/>
      </c>
      <c r="G151" s="14">
        <f>IF($B151="","",IFERROR(VLOOKUP(INDEX(WageParty,MATCH($B151,WageIds,0)),WGTbl,2,0),"—"))</f>
        <v/>
      </c>
      <c r="H151" s="12" t="n"/>
    </row>
    <row r="152">
      <c r="A152" s="19">
        <f>IF($B152="","",COUNTA($B$9:$B152))</f>
        <v/>
      </c>
      <c r="B152" s="12" t="n"/>
      <c r="C152" s="13" t="n"/>
      <c r="D152" s="20">
        <f>IF($C152="","",IFERROR(IF(VLOOKUP($C152,AcctTblE,4,0)="","(بدون نام)",VLOOKUP($C152,AcctTblE,4,0)),"کد ناشناخته"))</f>
        <v/>
      </c>
      <c r="E152" s="15" t="n"/>
      <c r="F152" s="20">
        <f>IF($B152="","",IFERROR(INDEX(WageDates,MATCH($B152,WageIds,0)),"—"))</f>
        <v/>
      </c>
      <c r="G152" s="20">
        <f>IF($B152="","",IFERROR(VLOOKUP(INDEX(WageParty,MATCH($B152,WageIds,0)),WGTbl,2,0),"—"))</f>
        <v/>
      </c>
      <c r="H152" s="12" t="n"/>
    </row>
    <row r="153">
      <c r="A153" s="10">
        <f>IF($B153="","",COUNTA($B$9:$B153))</f>
        <v/>
      </c>
      <c r="B153" s="12" t="n"/>
      <c r="C153" s="13" t="n"/>
      <c r="D153" s="14">
        <f>IF($C153="","",IFERROR(IF(VLOOKUP($C153,AcctTblE,4,0)="","(بدون نام)",VLOOKUP($C153,AcctTblE,4,0)),"کد ناشناخته"))</f>
        <v/>
      </c>
      <c r="E153" s="15" t="n"/>
      <c r="F153" s="14">
        <f>IF($B153="","",IFERROR(INDEX(WageDates,MATCH($B153,WageIds,0)),"—"))</f>
        <v/>
      </c>
      <c r="G153" s="14">
        <f>IF($B153="","",IFERROR(VLOOKUP(INDEX(WageParty,MATCH($B153,WageIds,0)),WGTbl,2,0),"—"))</f>
        <v/>
      </c>
      <c r="H153" s="12" t="n"/>
    </row>
    <row r="154">
      <c r="A154" s="19">
        <f>IF($B154="","",COUNTA($B$9:$B154))</f>
        <v/>
      </c>
      <c r="B154" s="12" t="n"/>
      <c r="C154" s="13" t="n"/>
      <c r="D154" s="20">
        <f>IF($C154="","",IFERROR(IF(VLOOKUP($C154,AcctTblE,4,0)="","(بدون نام)",VLOOKUP($C154,AcctTblE,4,0)),"کد ناشناخته"))</f>
        <v/>
      </c>
      <c r="E154" s="15" t="n"/>
      <c r="F154" s="20">
        <f>IF($B154="","",IFERROR(INDEX(WageDates,MATCH($B154,WageIds,0)),"—"))</f>
        <v/>
      </c>
      <c r="G154" s="20">
        <f>IF($B154="","",IFERROR(VLOOKUP(INDEX(WageParty,MATCH($B154,WageIds,0)),WGTbl,2,0),"—"))</f>
        <v/>
      </c>
      <c r="H154" s="12" t="n"/>
    </row>
    <row r="155">
      <c r="A155" s="10">
        <f>IF($B155="","",COUNTA($B$9:$B155))</f>
        <v/>
      </c>
      <c r="B155" s="12" t="n"/>
      <c r="C155" s="13" t="n"/>
      <c r="D155" s="14">
        <f>IF($C155="","",IFERROR(IF(VLOOKUP($C155,AcctTblE,4,0)="","(بدون نام)",VLOOKUP($C155,AcctTblE,4,0)),"کد ناشناخته"))</f>
        <v/>
      </c>
      <c r="E155" s="15" t="n"/>
      <c r="F155" s="14">
        <f>IF($B155="","",IFERROR(INDEX(WageDates,MATCH($B155,WageIds,0)),"—"))</f>
        <v/>
      </c>
      <c r="G155" s="14">
        <f>IF($B155="","",IFERROR(VLOOKUP(INDEX(WageParty,MATCH($B155,WageIds,0)),WGTbl,2,0),"—"))</f>
        <v/>
      </c>
      <c r="H155" s="12" t="n"/>
    </row>
    <row r="156">
      <c r="A156" s="19">
        <f>IF($B156="","",COUNTA($B$9:$B156))</f>
        <v/>
      </c>
      <c r="B156" s="12" t="n"/>
      <c r="C156" s="13" t="n"/>
      <c r="D156" s="20">
        <f>IF($C156="","",IFERROR(IF(VLOOKUP($C156,AcctTblE,4,0)="","(بدون نام)",VLOOKUP($C156,AcctTblE,4,0)),"کد ناشناخته"))</f>
        <v/>
      </c>
      <c r="E156" s="15" t="n"/>
      <c r="F156" s="20">
        <f>IF($B156="","",IFERROR(INDEX(WageDates,MATCH($B156,WageIds,0)),"—"))</f>
        <v/>
      </c>
      <c r="G156" s="20">
        <f>IF($B156="","",IFERROR(VLOOKUP(INDEX(WageParty,MATCH($B156,WageIds,0)),WGTbl,2,0),"—"))</f>
        <v/>
      </c>
      <c r="H156" s="12" t="n"/>
    </row>
    <row r="157">
      <c r="A157" s="10">
        <f>IF($B157="","",COUNTA($B$9:$B157))</f>
        <v/>
      </c>
      <c r="B157" s="12" t="n"/>
      <c r="C157" s="13" t="n"/>
      <c r="D157" s="14">
        <f>IF($C157="","",IFERROR(IF(VLOOKUP($C157,AcctTblE,4,0)="","(بدون نام)",VLOOKUP($C157,AcctTblE,4,0)),"کد ناشناخته"))</f>
        <v/>
      </c>
      <c r="E157" s="15" t="n"/>
      <c r="F157" s="14">
        <f>IF($B157="","",IFERROR(INDEX(WageDates,MATCH($B157,WageIds,0)),"—"))</f>
        <v/>
      </c>
      <c r="G157" s="14">
        <f>IF($B157="","",IFERROR(VLOOKUP(INDEX(WageParty,MATCH($B157,WageIds,0)),WGTbl,2,0),"—"))</f>
        <v/>
      </c>
      <c r="H157" s="12" t="n"/>
    </row>
    <row r="158">
      <c r="A158" s="19">
        <f>IF($B158="","",COUNTA($B$9:$B158))</f>
        <v/>
      </c>
      <c r="B158" s="12" t="n"/>
      <c r="C158" s="13" t="n"/>
      <c r="D158" s="20">
        <f>IF($C158="","",IFERROR(IF(VLOOKUP($C158,AcctTblE,4,0)="","(بدون نام)",VLOOKUP($C158,AcctTblE,4,0)),"کد ناشناخته"))</f>
        <v/>
      </c>
      <c r="E158" s="15" t="n"/>
      <c r="F158" s="20">
        <f>IF($B158="","",IFERROR(INDEX(WageDates,MATCH($B158,WageIds,0)),"—"))</f>
        <v/>
      </c>
      <c r="G158" s="20">
        <f>IF($B158="","",IFERROR(VLOOKUP(INDEX(WageParty,MATCH($B158,WageIds,0)),WGTbl,2,0),"—"))</f>
        <v/>
      </c>
      <c r="H158" s="12" t="n"/>
    </row>
    <row r="159">
      <c r="A159" s="10">
        <f>IF($B159="","",COUNTA($B$9:$B159))</f>
        <v/>
      </c>
      <c r="B159" s="12" t="n"/>
      <c r="C159" s="13" t="n"/>
      <c r="D159" s="14">
        <f>IF($C159="","",IFERROR(IF(VLOOKUP($C159,AcctTblE,4,0)="","(بدون نام)",VLOOKUP($C159,AcctTblE,4,0)),"کد ناشناخته"))</f>
        <v/>
      </c>
      <c r="E159" s="15" t="n"/>
      <c r="F159" s="14">
        <f>IF($B159="","",IFERROR(INDEX(WageDates,MATCH($B159,WageIds,0)),"—"))</f>
        <v/>
      </c>
      <c r="G159" s="14">
        <f>IF($B159="","",IFERROR(VLOOKUP(INDEX(WageParty,MATCH($B159,WageIds,0)),WGTbl,2,0),"—"))</f>
        <v/>
      </c>
      <c r="H159" s="12" t="n"/>
    </row>
    <row r="160">
      <c r="A160" s="19">
        <f>IF($B160="","",COUNTA($B$9:$B160))</f>
        <v/>
      </c>
      <c r="B160" s="12" t="n"/>
      <c r="C160" s="13" t="n"/>
      <c r="D160" s="20">
        <f>IF($C160="","",IFERROR(IF(VLOOKUP($C160,AcctTblE,4,0)="","(بدون نام)",VLOOKUP($C160,AcctTblE,4,0)),"کد ناشناخته"))</f>
        <v/>
      </c>
      <c r="E160" s="15" t="n"/>
      <c r="F160" s="20">
        <f>IF($B160="","",IFERROR(INDEX(WageDates,MATCH($B160,WageIds,0)),"—"))</f>
        <v/>
      </c>
      <c r="G160" s="20">
        <f>IF($B160="","",IFERROR(VLOOKUP(INDEX(WageParty,MATCH($B160,WageIds,0)),WGTbl,2,0),"—"))</f>
        <v/>
      </c>
      <c r="H160" s="12" t="n"/>
    </row>
    <row r="161">
      <c r="A161" s="10">
        <f>IF($B161="","",COUNTA($B$9:$B161))</f>
        <v/>
      </c>
      <c r="B161" s="12" t="n"/>
      <c r="C161" s="13" t="n"/>
      <c r="D161" s="14">
        <f>IF($C161="","",IFERROR(IF(VLOOKUP($C161,AcctTblE,4,0)="","(بدون نام)",VLOOKUP($C161,AcctTblE,4,0)),"کد ناشناخته"))</f>
        <v/>
      </c>
      <c r="E161" s="15" t="n"/>
      <c r="F161" s="14">
        <f>IF($B161="","",IFERROR(INDEX(WageDates,MATCH($B161,WageIds,0)),"—"))</f>
        <v/>
      </c>
      <c r="G161" s="14">
        <f>IF($B161="","",IFERROR(VLOOKUP(INDEX(WageParty,MATCH($B161,WageIds,0)),WGTbl,2,0),"—"))</f>
        <v/>
      </c>
      <c r="H161" s="12" t="n"/>
    </row>
    <row r="162">
      <c r="A162" s="19">
        <f>IF($B162="","",COUNTA($B$9:$B162))</f>
        <v/>
      </c>
      <c r="B162" s="12" t="n"/>
      <c r="C162" s="13" t="n"/>
      <c r="D162" s="20">
        <f>IF($C162="","",IFERROR(IF(VLOOKUP($C162,AcctTblE,4,0)="","(بدون نام)",VLOOKUP($C162,AcctTblE,4,0)),"کد ناشناخته"))</f>
        <v/>
      </c>
      <c r="E162" s="15" t="n"/>
      <c r="F162" s="20">
        <f>IF($B162="","",IFERROR(INDEX(WageDates,MATCH($B162,WageIds,0)),"—"))</f>
        <v/>
      </c>
      <c r="G162" s="20">
        <f>IF($B162="","",IFERROR(VLOOKUP(INDEX(WageParty,MATCH($B162,WageIds,0)),WGTbl,2,0),"—"))</f>
        <v/>
      </c>
      <c r="H162" s="12" t="n"/>
    </row>
    <row r="163">
      <c r="A163" s="10">
        <f>IF($B163="","",COUNTA($B$9:$B163))</f>
        <v/>
      </c>
      <c r="B163" s="12" t="n"/>
      <c r="C163" s="13" t="n"/>
      <c r="D163" s="14">
        <f>IF($C163="","",IFERROR(IF(VLOOKUP($C163,AcctTblE,4,0)="","(بدون نام)",VLOOKUP($C163,AcctTblE,4,0)),"کد ناشناخته"))</f>
        <v/>
      </c>
      <c r="E163" s="15" t="n"/>
      <c r="F163" s="14">
        <f>IF($B163="","",IFERROR(INDEX(WageDates,MATCH($B163,WageIds,0)),"—"))</f>
        <v/>
      </c>
      <c r="G163" s="14">
        <f>IF($B163="","",IFERROR(VLOOKUP(INDEX(WageParty,MATCH($B163,WageIds,0)),WGTbl,2,0),"—"))</f>
        <v/>
      </c>
      <c r="H163" s="12" t="n"/>
    </row>
    <row r="164">
      <c r="A164" s="19">
        <f>IF($B164="","",COUNTA($B$9:$B164))</f>
        <v/>
      </c>
      <c r="B164" s="12" t="n"/>
      <c r="C164" s="13" t="n"/>
      <c r="D164" s="20">
        <f>IF($C164="","",IFERROR(IF(VLOOKUP($C164,AcctTblE,4,0)="","(بدون نام)",VLOOKUP($C164,AcctTblE,4,0)),"کد ناشناخته"))</f>
        <v/>
      </c>
      <c r="E164" s="15" t="n"/>
      <c r="F164" s="20">
        <f>IF($B164="","",IFERROR(INDEX(WageDates,MATCH($B164,WageIds,0)),"—"))</f>
        <v/>
      </c>
      <c r="G164" s="20">
        <f>IF($B164="","",IFERROR(VLOOKUP(INDEX(WageParty,MATCH($B164,WageIds,0)),WGTbl,2,0),"—"))</f>
        <v/>
      </c>
      <c r="H164" s="12" t="n"/>
    </row>
    <row r="165">
      <c r="A165" s="10">
        <f>IF($B165="","",COUNTA($B$9:$B165))</f>
        <v/>
      </c>
      <c r="B165" s="12" t="n"/>
      <c r="C165" s="13" t="n"/>
      <c r="D165" s="14">
        <f>IF($C165="","",IFERROR(IF(VLOOKUP($C165,AcctTblE,4,0)="","(بدون نام)",VLOOKUP($C165,AcctTblE,4,0)),"کد ناشناخته"))</f>
        <v/>
      </c>
      <c r="E165" s="15" t="n"/>
      <c r="F165" s="14">
        <f>IF($B165="","",IFERROR(INDEX(WageDates,MATCH($B165,WageIds,0)),"—"))</f>
        <v/>
      </c>
      <c r="G165" s="14">
        <f>IF($B165="","",IFERROR(VLOOKUP(INDEX(WageParty,MATCH($B165,WageIds,0)),WGTbl,2,0),"—"))</f>
        <v/>
      </c>
      <c r="H165" s="12" t="n"/>
    </row>
    <row r="166">
      <c r="A166" s="19">
        <f>IF($B166="","",COUNTA($B$9:$B166))</f>
        <v/>
      </c>
      <c r="B166" s="12" t="n"/>
      <c r="C166" s="13" t="n"/>
      <c r="D166" s="20">
        <f>IF($C166="","",IFERROR(IF(VLOOKUP($C166,AcctTblE,4,0)="","(بدون نام)",VLOOKUP($C166,AcctTblE,4,0)),"کد ناشناخته"))</f>
        <v/>
      </c>
      <c r="E166" s="15" t="n"/>
      <c r="F166" s="20">
        <f>IF($B166="","",IFERROR(INDEX(WageDates,MATCH($B166,WageIds,0)),"—"))</f>
        <v/>
      </c>
      <c r="G166" s="20">
        <f>IF($B166="","",IFERROR(VLOOKUP(INDEX(WageParty,MATCH($B166,WageIds,0)),WGTbl,2,0),"—"))</f>
        <v/>
      </c>
      <c r="H166" s="12" t="n"/>
    </row>
    <row r="167">
      <c r="A167" s="10">
        <f>IF($B167="","",COUNTA($B$9:$B167))</f>
        <v/>
      </c>
      <c r="B167" s="12" t="n"/>
      <c r="C167" s="13" t="n"/>
      <c r="D167" s="14">
        <f>IF($C167="","",IFERROR(IF(VLOOKUP($C167,AcctTblE,4,0)="","(بدون نام)",VLOOKUP($C167,AcctTblE,4,0)),"کد ناشناخته"))</f>
        <v/>
      </c>
      <c r="E167" s="15" t="n"/>
      <c r="F167" s="14">
        <f>IF($B167="","",IFERROR(INDEX(WageDates,MATCH($B167,WageIds,0)),"—"))</f>
        <v/>
      </c>
      <c r="G167" s="14">
        <f>IF($B167="","",IFERROR(VLOOKUP(INDEX(WageParty,MATCH($B167,WageIds,0)),WGTbl,2,0),"—"))</f>
        <v/>
      </c>
      <c r="H167" s="12" t="n"/>
    </row>
    <row r="168">
      <c r="A168" s="19">
        <f>IF($B168="","",COUNTA($B$9:$B168))</f>
        <v/>
      </c>
      <c r="B168" s="12" t="n"/>
      <c r="C168" s="13" t="n"/>
      <c r="D168" s="20">
        <f>IF($C168="","",IFERROR(IF(VLOOKUP($C168,AcctTblE,4,0)="","(بدون نام)",VLOOKUP($C168,AcctTblE,4,0)),"کد ناشناخته"))</f>
        <v/>
      </c>
      <c r="E168" s="15" t="n"/>
      <c r="F168" s="20">
        <f>IF($B168="","",IFERROR(INDEX(WageDates,MATCH($B168,WageIds,0)),"—"))</f>
        <v/>
      </c>
      <c r="G168" s="20">
        <f>IF($B168="","",IFERROR(VLOOKUP(INDEX(WageParty,MATCH($B168,WageIds,0)),WGTbl,2,0),"—"))</f>
        <v/>
      </c>
      <c r="H168" s="12" t="n"/>
    </row>
    <row r="169">
      <c r="A169" s="10">
        <f>IF($B169="","",COUNTA($B$9:$B169))</f>
        <v/>
      </c>
      <c r="B169" s="12" t="n"/>
      <c r="C169" s="13" t="n"/>
      <c r="D169" s="14">
        <f>IF($C169="","",IFERROR(IF(VLOOKUP($C169,AcctTblE,4,0)="","(بدون نام)",VLOOKUP($C169,AcctTblE,4,0)),"کد ناشناخته"))</f>
        <v/>
      </c>
      <c r="E169" s="15" t="n"/>
      <c r="F169" s="14">
        <f>IF($B169="","",IFERROR(INDEX(WageDates,MATCH($B169,WageIds,0)),"—"))</f>
        <v/>
      </c>
      <c r="G169" s="14">
        <f>IF($B169="","",IFERROR(VLOOKUP(INDEX(WageParty,MATCH($B169,WageIds,0)),WGTbl,2,0),"—"))</f>
        <v/>
      </c>
      <c r="H169" s="12" t="n"/>
    </row>
    <row r="170">
      <c r="A170" s="19">
        <f>IF($B170="","",COUNTA($B$9:$B170))</f>
        <v/>
      </c>
      <c r="B170" s="12" t="n"/>
      <c r="C170" s="13" t="n"/>
      <c r="D170" s="20">
        <f>IF($C170="","",IFERROR(IF(VLOOKUP($C170,AcctTblE,4,0)="","(بدون نام)",VLOOKUP($C170,AcctTblE,4,0)),"کد ناشناخته"))</f>
        <v/>
      </c>
      <c r="E170" s="15" t="n"/>
      <c r="F170" s="20">
        <f>IF($B170="","",IFERROR(INDEX(WageDates,MATCH($B170,WageIds,0)),"—"))</f>
        <v/>
      </c>
      <c r="G170" s="20">
        <f>IF($B170="","",IFERROR(VLOOKUP(INDEX(WageParty,MATCH($B170,WageIds,0)),WGTbl,2,0),"—"))</f>
        <v/>
      </c>
      <c r="H170" s="12" t="n"/>
    </row>
    <row r="171">
      <c r="A171" s="10">
        <f>IF($B171="","",COUNTA($B$9:$B171))</f>
        <v/>
      </c>
      <c r="B171" s="12" t="n"/>
      <c r="C171" s="13" t="n"/>
      <c r="D171" s="14">
        <f>IF($C171="","",IFERROR(IF(VLOOKUP($C171,AcctTblE,4,0)="","(بدون نام)",VLOOKUP($C171,AcctTblE,4,0)),"کد ناشناخته"))</f>
        <v/>
      </c>
      <c r="E171" s="15" t="n"/>
      <c r="F171" s="14">
        <f>IF($B171="","",IFERROR(INDEX(WageDates,MATCH($B171,WageIds,0)),"—"))</f>
        <v/>
      </c>
      <c r="G171" s="14">
        <f>IF($B171="","",IFERROR(VLOOKUP(INDEX(WageParty,MATCH($B171,WageIds,0)),WGTbl,2,0),"—"))</f>
        <v/>
      </c>
      <c r="H171" s="12" t="n"/>
    </row>
    <row r="172">
      <c r="A172" s="19">
        <f>IF($B172="","",COUNTA($B$9:$B172))</f>
        <v/>
      </c>
      <c r="B172" s="12" t="n"/>
      <c r="C172" s="13" t="n"/>
      <c r="D172" s="20">
        <f>IF($C172="","",IFERROR(IF(VLOOKUP($C172,AcctTblE,4,0)="","(بدون نام)",VLOOKUP($C172,AcctTblE,4,0)),"کد ناشناخته"))</f>
        <v/>
      </c>
      <c r="E172" s="15" t="n"/>
      <c r="F172" s="20">
        <f>IF($B172="","",IFERROR(INDEX(WageDates,MATCH($B172,WageIds,0)),"—"))</f>
        <v/>
      </c>
      <c r="G172" s="20">
        <f>IF($B172="","",IFERROR(VLOOKUP(INDEX(WageParty,MATCH($B172,WageIds,0)),WGTbl,2,0),"—"))</f>
        <v/>
      </c>
      <c r="H172" s="12" t="n"/>
    </row>
    <row r="173">
      <c r="A173" s="10">
        <f>IF($B173="","",COUNTA($B$9:$B173))</f>
        <v/>
      </c>
      <c r="B173" s="12" t="n"/>
      <c r="C173" s="13" t="n"/>
      <c r="D173" s="14">
        <f>IF($C173="","",IFERROR(IF(VLOOKUP($C173,AcctTblE,4,0)="","(بدون نام)",VLOOKUP($C173,AcctTblE,4,0)),"کد ناشناخته"))</f>
        <v/>
      </c>
      <c r="E173" s="15" t="n"/>
      <c r="F173" s="14">
        <f>IF($B173="","",IFERROR(INDEX(WageDates,MATCH($B173,WageIds,0)),"—"))</f>
        <v/>
      </c>
      <c r="G173" s="14">
        <f>IF($B173="","",IFERROR(VLOOKUP(INDEX(WageParty,MATCH($B173,WageIds,0)),WGTbl,2,0),"—"))</f>
        <v/>
      </c>
      <c r="H173" s="12" t="n"/>
    </row>
    <row r="174">
      <c r="A174" s="19">
        <f>IF($B174="","",COUNTA($B$9:$B174))</f>
        <v/>
      </c>
      <c r="B174" s="12" t="n"/>
      <c r="C174" s="13" t="n"/>
      <c r="D174" s="20">
        <f>IF($C174="","",IFERROR(IF(VLOOKUP($C174,AcctTblE,4,0)="","(بدون نام)",VLOOKUP($C174,AcctTblE,4,0)),"کد ناشناخته"))</f>
        <v/>
      </c>
      <c r="E174" s="15" t="n"/>
      <c r="F174" s="20">
        <f>IF($B174="","",IFERROR(INDEX(WageDates,MATCH($B174,WageIds,0)),"—"))</f>
        <v/>
      </c>
      <c r="G174" s="20">
        <f>IF($B174="","",IFERROR(VLOOKUP(INDEX(WageParty,MATCH($B174,WageIds,0)),WGTbl,2,0),"—"))</f>
        <v/>
      </c>
      <c r="H174" s="12" t="n"/>
    </row>
    <row r="175">
      <c r="A175" s="10">
        <f>IF($B175="","",COUNTA($B$9:$B175))</f>
        <v/>
      </c>
      <c r="B175" s="12" t="n"/>
      <c r="C175" s="13" t="n"/>
      <c r="D175" s="14">
        <f>IF($C175="","",IFERROR(IF(VLOOKUP($C175,AcctTblE,4,0)="","(بدون نام)",VLOOKUP($C175,AcctTblE,4,0)),"کد ناشناخته"))</f>
        <v/>
      </c>
      <c r="E175" s="15" t="n"/>
      <c r="F175" s="14">
        <f>IF($B175="","",IFERROR(INDEX(WageDates,MATCH($B175,WageIds,0)),"—"))</f>
        <v/>
      </c>
      <c r="G175" s="14">
        <f>IF($B175="","",IFERROR(VLOOKUP(INDEX(WageParty,MATCH($B175,WageIds,0)),WGTbl,2,0),"—"))</f>
        <v/>
      </c>
      <c r="H175" s="12" t="n"/>
    </row>
    <row r="176">
      <c r="A176" s="19">
        <f>IF($B176="","",COUNTA($B$9:$B176))</f>
        <v/>
      </c>
      <c r="B176" s="12" t="n"/>
      <c r="C176" s="13" t="n"/>
      <c r="D176" s="20">
        <f>IF($C176="","",IFERROR(IF(VLOOKUP($C176,AcctTblE,4,0)="","(بدون نام)",VLOOKUP($C176,AcctTblE,4,0)),"کد ناشناخته"))</f>
        <v/>
      </c>
      <c r="E176" s="15" t="n"/>
      <c r="F176" s="20">
        <f>IF($B176="","",IFERROR(INDEX(WageDates,MATCH($B176,WageIds,0)),"—"))</f>
        <v/>
      </c>
      <c r="G176" s="20">
        <f>IF($B176="","",IFERROR(VLOOKUP(INDEX(WageParty,MATCH($B176,WageIds,0)),WGTbl,2,0),"—"))</f>
        <v/>
      </c>
      <c r="H176" s="12" t="n"/>
    </row>
    <row r="177">
      <c r="A177" s="10">
        <f>IF($B177="","",COUNTA($B$9:$B177))</f>
        <v/>
      </c>
      <c r="B177" s="12" t="n"/>
      <c r="C177" s="13" t="n"/>
      <c r="D177" s="14">
        <f>IF($C177="","",IFERROR(IF(VLOOKUP($C177,AcctTblE,4,0)="","(بدون نام)",VLOOKUP($C177,AcctTblE,4,0)),"کد ناشناخته"))</f>
        <v/>
      </c>
      <c r="E177" s="15" t="n"/>
      <c r="F177" s="14">
        <f>IF($B177="","",IFERROR(INDEX(WageDates,MATCH($B177,WageIds,0)),"—"))</f>
        <v/>
      </c>
      <c r="G177" s="14">
        <f>IF($B177="","",IFERROR(VLOOKUP(INDEX(WageParty,MATCH($B177,WageIds,0)),WGTbl,2,0),"—"))</f>
        <v/>
      </c>
      <c r="H177" s="12" t="n"/>
    </row>
    <row r="178">
      <c r="A178" s="19">
        <f>IF($B178="","",COUNTA($B$9:$B178))</f>
        <v/>
      </c>
      <c r="B178" s="12" t="n"/>
      <c r="C178" s="13" t="n"/>
      <c r="D178" s="20">
        <f>IF($C178="","",IFERROR(IF(VLOOKUP($C178,AcctTblE,4,0)="","(بدون نام)",VLOOKUP($C178,AcctTblE,4,0)),"کد ناشناخته"))</f>
        <v/>
      </c>
      <c r="E178" s="15" t="n"/>
      <c r="F178" s="20">
        <f>IF($B178="","",IFERROR(INDEX(WageDates,MATCH($B178,WageIds,0)),"—"))</f>
        <v/>
      </c>
      <c r="G178" s="20">
        <f>IF($B178="","",IFERROR(VLOOKUP(INDEX(WageParty,MATCH($B178,WageIds,0)),WGTbl,2,0),"—"))</f>
        <v/>
      </c>
      <c r="H178" s="12" t="n"/>
    </row>
    <row r="179">
      <c r="A179" s="10">
        <f>IF($B179="","",COUNTA($B$9:$B179))</f>
        <v/>
      </c>
      <c r="B179" s="12" t="n"/>
      <c r="C179" s="13" t="n"/>
      <c r="D179" s="14">
        <f>IF($C179="","",IFERROR(IF(VLOOKUP($C179,AcctTblE,4,0)="","(بدون نام)",VLOOKUP($C179,AcctTblE,4,0)),"کد ناشناخته"))</f>
        <v/>
      </c>
      <c r="E179" s="15" t="n"/>
      <c r="F179" s="14">
        <f>IF($B179="","",IFERROR(INDEX(WageDates,MATCH($B179,WageIds,0)),"—"))</f>
        <v/>
      </c>
      <c r="G179" s="14">
        <f>IF($B179="","",IFERROR(VLOOKUP(INDEX(WageParty,MATCH($B179,WageIds,0)),WGTbl,2,0),"—"))</f>
        <v/>
      </c>
      <c r="H179" s="12" t="n"/>
    </row>
    <row r="180">
      <c r="A180" s="19">
        <f>IF($B180="","",COUNTA($B$9:$B180))</f>
        <v/>
      </c>
      <c r="B180" s="12" t="n"/>
      <c r="C180" s="13" t="n"/>
      <c r="D180" s="20">
        <f>IF($C180="","",IFERROR(IF(VLOOKUP($C180,AcctTblE,4,0)="","(بدون نام)",VLOOKUP($C180,AcctTblE,4,0)),"کد ناشناخته"))</f>
        <v/>
      </c>
      <c r="E180" s="15" t="n"/>
      <c r="F180" s="20">
        <f>IF($B180="","",IFERROR(INDEX(WageDates,MATCH($B180,WageIds,0)),"—"))</f>
        <v/>
      </c>
      <c r="G180" s="20">
        <f>IF($B180="","",IFERROR(VLOOKUP(INDEX(WageParty,MATCH($B180,WageIds,0)),WGTbl,2,0),"—"))</f>
        <v/>
      </c>
      <c r="H180" s="12" t="n"/>
    </row>
    <row r="181">
      <c r="A181" s="10">
        <f>IF($B181="","",COUNTA($B$9:$B181))</f>
        <v/>
      </c>
      <c r="B181" s="12" t="n"/>
      <c r="C181" s="13" t="n"/>
      <c r="D181" s="14">
        <f>IF($C181="","",IFERROR(IF(VLOOKUP($C181,AcctTblE,4,0)="","(بدون نام)",VLOOKUP($C181,AcctTblE,4,0)),"کد ناشناخته"))</f>
        <v/>
      </c>
      <c r="E181" s="15" t="n"/>
      <c r="F181" s="14">
        <f>IF($B181="","",IFERROR(INDEX(WageDates,MATCH($B181,WageIds,0)),"—"))</f>
        <v/>
      </c>
      <c r="G181" s="14">
        <f>IF($B181="","",IFERROR(VLOOKUP(INDEX(WageParty,MATCH($B181,WageIds,0)),WGTbl,2,0),"—"))</f>
        <v/>
      </c>
      <c r="H181" s="12" t="n"/>
    </row>
    <row r="182">
      <c r="A182" s="19">
        <f>IF($B182="","",COUNTA($B$9:$B182))</f>
        <v/>
      </c>
      <c r="B182" s="12" t="n"/>
      <c r="C182" s="13" t="n"/>
      <c r="D182" s="20">
        <f>IF($C182="","",IFERROR(IF(VLOOKUP($C182,AcctTblE,4,0)="","(بدون نام)",VLOOKUP($C182,AcctTblE,4,0)),"کد ناشناخته"))</f>
        <v/>
      </c>
      <c r="E182" s="15" t="n"/>
      <c r="F182" s="20">
        <f>IF($B182="","",IFERROR(INDEX(WageDates,MATCH($B182,WageIds,0)),"—"))</f>
        <v/>
      </c>
      <c r="G182" s="20">
        <f>IF($B182="","",IFERROR(VLOOKUP(INDEX(WageParty,MATCH($B182,WageIds,0)),WGTbl,2,0),"—"))</f>
        <v/>
      </c>
      <c r="H182" s="12" t="n"/>
    </row>
    <row r="183">
      <c r="A183" s="10">
        <f>IF($B183="","",COUNTA($B$9:$B183))</f>
        <v/>
      </c>
      <c r="B183" s="12" t="n"/>
      <c r="C183" s="13" t="n"/>
      <c r="D183" s="14">
        <f>IF($C183="","",IFERROR(IF(VLOOKUP($C183,AcctTblE,4,0)="","(بدون نام)",VLOOKUP($C183,AcctTblE,4,0)),"کد ناشناخته"))</f>
        <v/>
      </c>
      <c r="E183" s="15" t="n"/>
      <c r="F183" s="14">
        <f>IF($B183="","",IFERROR(INDEX(WageDates,MATCH($B183,WageIds,0)),"—"))</f>
        <v/>
      </c>
      <c r="G183" s="14">
        <f>IF($B183="","",IFERROR(VLOOKUP(INDEX(WageParty,MATCH($B183,WageIds,0)),WGTbl,2,0),"—"))</f>
        <v/>
      </c>
      <c r="H183" s="12" t="n"/>
    </row>
    <row r="184">
      <c r="A184" s="19">
        <f>IF($B184="","",COUNTA($B$9:$B184))</f>
        <v/>
      </c>
      <c r="B184" s="12" t="n"/>
      <c r="C184" s="13" t="n"/>
      <c r="D184" s="20">
        <f>IF($C184="","",IFERROR(IF(VLOOKUP($C184,AcctTblE,4,0)="","(بدون نام)",VLOOKUP($C184,AcctTblE,4,0)),"کد ناشناخته"))</f>
        <v/>
      </c>
      <c r="E184" s="15" t="n"/>
      <c r="F184" s="20">
        <f>IF($B184="","",IFERROR(INDEX(WageDates,MATCH($B184,WageIds,0)),"—"))</f>
        <v/>
      </c>
      <c r="G184" s="20">
        <f>IF($B184="","",IFERROR(VLOOKUP(INDEX(WageParty,MATCH($B184,WageIds,0)),WGTbl,2,0),"—"))</f>
        <v/>
      </c>
      <c r="H184" s="12" t="n"/>
    </row>
    <row r="185">
      <c r="A185" s="10">
        <f>IF($B185="","",COUNTA($B$9:$B185))</f>
        <v/>
      </c>
      <c r="B185" s="12" t="n"/>
      <c r="C185" s="13" t="n"/>
      <c r="D185" s="14">
        <f>IF($C185="","",IFERROR(IF(VLOOKUP($C185,AcctTblE,4,0)="","(بدون نام)",VLOOKUP($C185,AcctTblE,4,0)),"کد ناشناخته"))</f>
        <v/>
      </c>
      <c r="E185" s="15" t="n"/>
      <c r="F185" s="14">
        <f>IF($B185="","",IFERROR(INDEX(WageDates,MATCH($B185,WageIds,0)),"—"))</f>
        <v/>
      </c>
      <c r="G185" s="14">
        <f>IF($B185="","",IFERROR(VLOOKUP(INDEX(WageParty,MATCH($B185,WageIds,0)),WGTbl,2,0),"—"))</f>
        <v/>
      </c>
      <c r="H185" s="12" t="n"/>
    </row>
    <row r="186">
      <c r="A186" s="19">
        <f>IF($B186="","",COUNTA($B$9:$B186))</f>
        <v/>
      </c>
      <c r="B186" s="12" t="n"/>
      <c r="C186" s="13" t="n"/>
      <c r="D186" s="20">
        <f>IF($C186="","",IFERROR(IF(VLOOKUP($C186,AcctTblE,4,0)="","(بدون نام)",VLOOKUP($C186,AcctTblE,4,0)),"کد ناشناخته"))</f>
        <v/>
      </c>
      <c r="E186" s="15" t="n"/>
      <c r="F186" s="20">
        <f>IF($B186="","",IFERROR(INDEX(WageDates,MATCH($B186,WageIds,0)),"—"))</f>
        <v/>
      </c>
      <c r="G186" s="20">
        <f>IF($B186="","",IFERROR(VLOOKUP(INDEX(WageParty,MATCH($B186,WageIds,0)),WGTbl,2,0),"—"))</f>
        <v/>
      </c>
      <c r="H186" s="12" t="n"/>
    </row>
    <row r="187">
      <c r="A187" s="10">
        <f>IF($B187="","",COUNTA($B$9:$B187))</f>
        <v/>
      </c>
      <c r="B187" s="12" t="n"/>
      <c r="C187" s="13" t="n"/>
      <c r="D187" s="14">
        <f>IF($C187="","",IFERROR(IF(VLOOKUP($C187,AcctTblE,4,0)="","(بدون نام)",VLOOKUP($C187,AcctTblE,4,0)),"کد ناشناخته"))</f>
        <v/>
      </c>
      <c r="E187" s="15" t="n"/>
      <c r="F187" s="14">
        <f>IF($B187="","",IFERROR(INDEX(WageDates,MATCH($B187,WageIds,0)),"—"))</f>
        <v/>
      </c>
      <c r="G187" s="14">
        <f>IF($B187="","",IFERROR(VLOOKUP(INDEX(WageParty,MATCH($B187,WageIds,0)),WGTbl,2,0),"—"))</f>
        <v/>
      </c>
      <c r="H187" s="12" t="n"/>
    </row>
    <row r="188">
      <c r="A188" s="19">
        <f>IF($B188="","",COUNTA($B$9:$B188))</f>
        <v/>
      </c>
      <c r="B188" s="12" t="n"/>
      <c r="C188" s="13" t="n"/>
      <c r="D188" s="20">
        <f>IF($C188="","",IFERROR(IF(VLOOKUP($C188,AcctTblE,4,0)="","(بدون نام)",VLOOKUP($C188,AcctTblE,4,0)),"کد ناشناخته"))</f>
        <v/>
      </c>
      <c r="E188" s="15" t="n"/>
      <c r="F188" s="20">
        <f>IF($B188="","",IFERROR(INDEX(WageDates,MATCH($B188,WageIds,0)),"—"))</f>
        <v/>
      </c>
      <c r="G188" s="20">
        <f>IF($B188="","",IFERROR(VLOOKUP(INDEX(WageParty,MATCH($B188,WageIds,0)),WGTbl,2,0),"—"))</f>
        <v/>
      </c>
      <c r="H188" s="12" t="n"/>
    </row>
    <row r="189">
      <c r="A189" s="10">
        <f>IF($B189="","",COUNTA($B$9:$B189))</f>
        <v/>
      </c>
      <c r="B189" s="12" t="n"/>
      <c r="C189" s="13" t="n"/>
      <c r="D189" s="14">
        <f>IF($C189="","",IFERROR(IF(VLOOKUP($C189,AcctTblE,4,0)="","(بدون نام)",VLOOKUP($C189,AcctTblE,4,0)),"کد ناشناخته"))</f>
        <v/>
      </c>
      <c r="E189" s="15" t="n"/>
      <c r="F189" s="14">
        <f>IF($B189="","",IFERROR(INDEX(WageDates,MATCH($B189,WageIds,0)),"—"))</f>
        <v/>
      </c>
      <c r="G189" s="14">
        <f>IF($B189="","",IFERROR(VLOOKUP(INDEX(WageParty,MATCH($B189,WageIds,0)),WGTbl,2,0),"—"))</f>
        <v/>
      </c>
      <c r="H189" s="12" t="n"/>
    </row>
    <row r="190">
      <c r="A190" s="19">
        <f>IF($B190="","",COUNTA($B$9:$B190))</f>
        <v/>
      </c>
      <c r="B190" s="12" t="n"/>
      <c r="C190" s="13" t="n"/>
      <c r="D190" s="20">
        <f>IF($C190="","",IFERROR(IF(VLOOKUP($C190,AcctTblE,4,0)="","(بدون نام)",VLOOKUP($C190,AcctTblE,4,0)),"کد ناشناخته"))</f>
        <v/>
      </c>
      <c r="E190" s="15" t="n"/>
      <c r="F190" s="20">
        <f>IF($B190="","",IFERROR(INDEX(WageDates,MATCH($B190,WageIds,0)),"—"))</f>
        <v/>
      </c>
      <c r="G190" s="20">
        <f>IF($B190="","",IFERROR(VLOOKUP(INDEX(WageParty,MATCH($B190,WageIds,0)),WGTbl,2,0),"—"))</f>
        <v/>
      </c>
      <c r="H190" s="12" t="n"/>
    </row>
    <row r="191">
      <c r="A191" s="10">
        <f>IF($B191="","",COUNTA($B$9:$B191))</f>
        <v/>
      </c>
      <c r="B191" s="12" t="n"/>
      <c r="C191" s="13" t="n"/>
      <c r="D191" s="14">
        <f>IF($C191="","",IFERROR(IF(VLOOKUP($C191,AcctTblE,4,0)="","(بدون نام)",VLOOKUP($C191,AcctTblE,4,0)),"کد ناشناخته"))</f>
        <v/>
      </c>
      <c r="E191" s="15" t="n"/>
      <c r="F191" s="14">
        <f>IF($B191="","",IFERROR(INDEX(WageDates,MATCH($B191,WageIds,0)),"—"))</f>
        <v/>
      </c>
      <c r="G191" s="14">
        <f>IF($B191="","",IFERROR(VLOOKUP(INDEX(WageParty,MATCH($B191,WageIds,0)),WGTbl,2,0),"—"))</f>
        <v/>
      </c>
      <c r="H191" s="12" t="n"/>
    </row>
    <row r="192">
      <c r="A192" s="19">
        <f>IF($B192="","",COUNTA($B$9:$B192))</f>
        <v/>
      </c>
      <c r="B192" s="12" t="n"/>
      <c r="C192" s="13" t="n"/>
      <c r="D192" s="20">
        <f>IF($C192="","",IFERROR(IF(VLOOKUP($C192,AcctTblE,4,0)="","(بدون نام)",VLOOKUP($C192,AcctTblE,4,0)),"کد ناشناخته"))</f>
        <v/>
      </c>
      <c r="E192" s="15" t="n"/>
      <c r="F192" s="20">
        <f>IF($B192="","",IFERROR(INDEX(WageDates,MATCH($B192,WageIds,0)),"—"))</f>
        <v/>
      </c>
      <c r="G192" s="20">
        <f>IF($B192="","",IFERROR(VLOOKUP(INDEX(WageParty,MATCH($B192,WageIds,0)),WGTbl,2,0),"—"))</f>
        <v/>
      </c>
      <c r="H192" s="12" t="n"/>
    </row>
    <row r="193">
      <c r="A193" s="10">
        <f>IF($B193="","",COUNTA($B$9:$B193))</f>
        <v/>
      </c>
      <c r="B193" s="12" t="n"/>
      <c r="C193" s="13" t="n"/>
      <c r="D193" s="14">
        <f>IF($C193="","",IFERROR(IF(VLOOKUP($C193,AcctTblE,4,0)="","(بدون نام)",VLOOKUP($C193,AcctTblE,4,0)),"کد ناشناخته"))</f>
        <v/>
      </c>
      <c r="E193" s="15" t="n"/>
      <c r="F193" s="14">
        <f>IF($B193="","",IFERROR(INDEX(WageDates,MATCH($B193,WageIds,0)),"—"))</f>
        <v/>
      </c>
      <c r="G193" s="14">
        <f>IF($B193="","",IFERROR(VLOOKUP(INDEX(WageParty,MATCH($B193,WageIds,0)),WGTbl,2,0),"—"))</f>
        <v/>
      </c>
      <c r="H193" s="12" t="n"/>
    </row>
    <row r="194">
      <c r="A194" s="19">
        <f>IF($B194="","",COUNTA($B$9:$B194))</f>
        <v/>
      </c>
      <c r="B194" s="12" t="n"/>
      <c r="C194" s="13" t="n"/>
      <c r="D194" s="20">
        <f>IF($C194="","",IFERROR(IF(VLOOKUP($C194,AcctTblE,4,0)="","(بدون نام)",VLOOKUP($C194,AcctTblE,4,0)),"کد ناشناخته"))</f>
        <v/>
      </c>
      <c r="E194" s="15" t="n"/>
      <c r="F194" s="20">
        <f>IF($B194="","",IFERROR(INDEX(WageDates,MATCH($B194,WageIds,0)),"—"))</f>
        <v/>
      </c>
      <c r="G194" s="20">
        <f>IF($B194="","",IFERROR(VLOOKUP(INDEX(WageParty,MATCH($B194,WageIds,0)),WGTbl,2,0),"—"))</f>
        <v/>
      </c>
      <c r="H194" s="12" t="n"/>
    </row>
    <row r="195">
      <c r="A195" s="10">
        <f>IF($B195="","",COUNTA($B$9:$B195))</f>
        <v/>
      </c>
      <c r="B195" s="12" t="n"/>
      <c r="C195" s="13" t="n"/>
      <c r="D195" s="14">
        <f>IF($C195="","",IFERROR(IF(VLOOKUP($C195,AcctTblE,4,0)="","(بدون نام)",VLOOKUP($C195,AcctTblE,4,0)),"کد ناشناخته"))</f>
        <v/>
      </c>
      <c r="E195" s="15" t="n"/>
      <c r="F195" s="14">
        <f>IF($B195="","",IFERROR(INDEX(WageDates,MATCH($B195,WageIds,0)),"—"))</f>
        <v/>
      </c>
      <c r="G195" s="14">
        <f>IF($B195="","",IFERROR(VLOOKUP(INDEX(WageParty,MATCH($B195,WageIds,0)),WGTbl,2,0),"—"))</f>
        <v/>
      </c>
      <c r="H195" s="12" t="n"/>
    </row>
    <row r="196">
      <c r="A196" s="19">
        <f>IF($B196="","",COUNTA($B$9:$B196))</f>
        <v/>
      </c>
      <c r="B196" s="12" t="n"/>
      <c r="C196" s="13" t="n"/>
      <c r="D196" s="20">
        <f>IF($C196="","",IFERROR(IF(VLOOKUP($C196,AcctTblE,4,0)="","(بدون نام)",VLOOKUP($C196,AcctTblE,4,0)),"کد ناشناخته"))</f>
        <v/>
      </c>
      <c r="E196" s="15" t="n"/>
      <c r="F196" s="20">
        <f>IF($B196="","",IFERROR(INDEX(WageDates,MATCH($B196,WageIds,0)),"—"))</f>
        <v/>
      </c>
      <c r="G196" s="20">
        <f>IF($B196="","",IFERROR(VLOOKUP(INDEX(WageParty,MATCH($B196,WageIds,0)),WGTbl,2,0),"—"))</f>
        <v/>
      </c>
      <c r="H196" s="12" t="n"/>
    </row>
    <row r="197">
      <c r="A197" s="10">
        <f>IF($B197="","",COUNTA($B$9:$B197))</f>
        <v/>
      </c>
      <c r="B197" s="12" t="n"/>
      <c r="C197" s="13" t="n"/>
      <c r="D197" s="14">
        <f>IF($C197="","",IFERROR(IF(VLOOKUP($C197,AcctTblE,4,0)="","(بدون نام)",VLOOKUP($C197,AcctTblE,4,0)),"کد ناشناخته"))</f>
        <v/>
      </c>
      <c r="E197" s="15" t="n"/>
      <c r="F197" s="14">
        <f>IF($B197="","",IFERROR(INDEX(WageDates,MATCH($B197,WageIds,0)),"—"))</f>
        <v/>
      </c>
      <c r="G197" s="14">
        <f>IF($B197="","",IFERROR(VLOOKUP(INDEX(WageParty,MATCH($B197,WageIds,0)),WGTbl,2,0),"—"))</f>
        <v/>
      </c>
      <c r="H197" s="12" t="n"/>
    </row>
    <row r="198">
      <c r="A198" s="19">
        <f>IF($B198="","",COUNTA($B$9:$B198))</f>
        <v/>
      </c>
      <c r="B198" s="12" t="n"/>
      <c r="C198" s="13" t="n"/>
      <c r="D198" s="20">
        <f>IF($C198="","",IFERROR(IF(VLOOKUP($C198,AcctTblE,4,0)="","(بدون نام)",VLOOKUP($C198,AcctTblE,4,0)),"کد ناشناخته"))</f>
        <v/>
      </c>
      <c r="E198" s="15" t="n"/>
      <c r="F198" s="20">
        <f>IF($B198="","",IFERROR(INDEX(WageDates,MATCH($B198,WageIds,0)),"—"))</f>
        <v/>
      </c>
      <c r="G198" s="20">
        <f>IF($B198="","",IFERROR(VLOOKUP(INDEX(WageParty,MATCH($B198,WageIds,0)),WGTbl,2,0),"—"))</f>
        <v/>
      </c>
      <c r="H198" s="12" t="n"/>
    </row>
    <row r="199">
      <c r="A199" s="10">
        <f>IF($B199="","",COUNTA($B$9:$B199))</f>
        <v/>
      </c>
      <c r="B199" s="12" t="n"/>
      <c r="C199" s="13" t="n"/>
      <c r="D199" s="14">
        <f>IF($C199="","",IFERROR(IF(VLOOKUP($C199,AcctTblE,4,0)="","(بدون نام)",VLOOKUP($C199,AcctTblE,4,0)),"کد ناشناخته"))</f>
        <v/>
      </c>
      <c r="E199" s="15" t="n"/>
      <c r="F199" s="14">
        <f>IF($B199="","",IFERROR(INDEX(WageDates,MATCH($B199,WageIds,0)),"—"))</f>
        <v/>
      </c>
      <c r="G199" s="14">
        <f>IF($B199="","",IFERROR(VLOOKUP(INDEX(WageParty,MATCH($B199,WageIds,0)),WGTbl,2,0),"—"))</f>
        <v/>
      </c>
      <c r="H199" s="12" t="n"/>
    </row>
    <row r="200">
      <c r="A200" s="19">
        <f>IF($B200="","",COUNTA($B$9:$B200))</f>
        <v/>
      </c>
      <c r="B200" s="12" t="n"/>
      <c r="C200" s="13" t="n"/>
      <c r="D200" s="20">
        <f>IF($C200="","",IFERROR(IF(VLOOKUP($C200,AcctTblE,4,0)="","(بدون نام)",VLOOKUP($C200,AcctTblE,4,0)),"کد ناشناخته"))</f>
        <v/>
      </c>
      <c r="E200" s="15" t="n"/>
      <c r="F200" s="20">
        <f>IF($B200="","",IFERROR(INDEX(WageDates,MATCH($B200,WageIds,0)),"—"))</f>
        <v/>
      </c>
      <c r="G200" s="20">
        <f>IF($B200="","",IFERROR(VLOOKUP(INDEX(WageParty,MATCH($B200,WageIds,0)),WGTbl,2,0),"—"))</f>
        <v/>
      </c>
      <c r="H200" s="12" t="n"/>
    </row>
    <row r="201">
      <c r="A201" s="10">
        <f>IF($B201="","",COUNTA($B$9:$B201))</f>
        <v/>
      </c>
      <c r="B201" s="12" t="n"/>
      <c r="C201" s="13" t="n"/>
      <c r="D201" s="14">
        <f>IF($C201="","",IFERROR(IF(VLOOKUP($C201,AcctTblE,4,0)="","(بدون نام)",VLOOKUP($C201,AcctTblE,4,0)),"کد ناشناخته"))</f>
        <v/>
      </c>
      <c r="E201" s="15" t="n"/>
      <c r="F201" s="14">
        <f>IF($B201="","",IFERROR(INDEX(WageDates,MATCH($B201,WageIds,0)),"—"))</f>
        <v/>
      </c>
      <c r="G201" s="14">
        <f>IF($B201="","",IFERROR(VLOOKUP(INDEX(WageParty,MATCH($B201,WageIds,0)),WGTbl,2,0),"—"))</f>
        <v/>
      </c>
      <c r="H201" s="12" t="n"/>
    </row>
    <row r="202">
      <c r="A202" s="19">
        <f>IF($B202="","",COUNTA($B$9:$B202))</f>
        <v/>
      </c>
      <c r="B202" s="12" t="n"/>
      <c r="C202" s="13" t="n"/>
      <c r="D202" s="20">
        <f>IF($C202="","",IFERROR(IF(VLOOKUP($C202,AcctTblE,4,0)="","(بدون نام)",VLOOKUP($C202,AcctTblE,4,0)),"کد ناشناخته"))</f>
        <v/>
      </c>
      <c r="E202" s="15" t="n"/>
      <c r="F202" s="20">
        <f>IF($B202="","",IFERROR(INDEX(WageDates,MATCH($B202,WageIds,0)),"—"))</f>
        <v/>
      </c>
      <c r="G202" s="20">
        <f>IF($B202="","",IFERROR(VLOOKUP(INDEX(WageParty,MATCH($B202,WageIds,0)),WGTbl,2,0),"—"))</f>
        <v/>
      </c>
      <c r="H202" s="12" t="n"/>
    </row>
    <row r="203">
      <c r="A203" s="10">
        <f>IF($B203="","",COUNTA($B$9:$B203))</f>
        <v/>
      </c>
      <c r="B203" s="12" t="n"/>
      <c r="C203" s="13" t="n"/>
      <c r="D203" s="14">
        <f>IF($C203="","",IFERROR(IF(VLOOKUP($C203,AcctTblE,4,0)="","(بدون نام)",VLOOKUP($C203,AcctTblE,4,0)),"کد ناشناخته"))</f>
        <v/>
      </c>
      <c r="E203" s="15" t="n"/>
      <c r="F203" s="14">
        <f>IF($B203="","",IFERROR(INDEX(WageDates,MATCH($B203,WageIds,0)),"—"))</f>
        <v/>
      </c>
      <c r="G203" s="14">
        <f>IF($B203="","",IFERROR(VLOOKUP(INDEX(WageParty,MATCH($B203,WageIds,0)),WGTbl,2,0),"—"))</f>
        <v/>
      </c>
      <c r="H203" s="12" t="n"/>
    </row>
    <row r="204">
      <c r="A204" s="19">
        <f>IF($B204="","",COUNTA($B$9:$B204))</f>
        <v/>
      </c>
      <c r="B204" s="12" t="n"/>
      <c r="C204" s="13" t="n"/>
      <c r="D204" s="20">
        <f>IF($C204="","",IFERROR(IF(VLOOKUP($C204,AcctTblE,4,0)="","(بدون نام)",VLOOKUP($C204,AcctTblE,4,0)),"کد ناشناخته"))</f>
        <v/>
      </c>
      <c r="E204" s="15" t="n"/>
      <c r="F204" s="20">
        <f>IF($B204="","",IFERROR(INDEX(WageDates,MATCH($B204,WageIds,0)),"—"))</f>
        <v/>
      </c>
      <c r="G204" s="20">
        <f>IF($B204="","",IFERROR(VLOOKUP(INDEX(WageParty,MATCH($B204,WageIds,0)),WGTbl,2,0),"—"))</f>
        <v/>
      </c>
      <c r="H204" s="12" t="n"/>
    </row>
    <row r="205">
      <c r="A205" s="10">
        <f>IF($B205="","",COUNTA($B$9:$B205))</f>
        <v/>
      </c>
      <c r="B205" s="12" t="n"/>
      <c r="C205" s="13" t="n"/>
      <c r="D205" s="14">
        <f>IF($C205="","",IFERROR(IF(VLOOKUP($C205,AcctTblE,4,0)="","(بدون نام)",VLOOKUP($C205,AcctTblE,4,0)),"کد ناشناخته"))</f>
        <v/>
      </c>
      <c r="E205" s="15" t="n"/>
      <c r="F205" s="14">
        <f>IF($B205="","",IFERROR(INDEX(WageDates,MATCH($B205,WageIds,0)),"—"))</f>
        <v/>
      </c>
      <c r="G205" s="14">
        <f>IF($B205="","",IFERROR(VLOOKUP(INDEX(WageParty,MATCH($B205,WageIds,0)),WGTbl,2,0),"—"))</f>
        <v/>
      </c>
      <c r="H205" s="12" t="n"/>
    </row>
    <row r="206">
      <c r="A206" s="19">
        <f>IF($B206="","",COUNTA($B$9:$B206))</f>
        <v/>
      </c>
      <c r="B206" s="12" t="n"/>
      <c r="C206" s="13" t="n"/>
      <c r="D206" s="20">
        <f>IF($C206="","",IFERROR(IF(VLOOKUP($C206,AcctTblE,4,0)="","(بدون نام)",VLOOKUP($C206,AcctTblE,4,0)),"کد ناشناخته"))</f>
        <v/>
      </c>
      <c r="E206" s="15" t="n"/>
      <c r="F206" s="20">
        <f>IF($B206="","",IFERROR(INDEX(WageDates,MATCH($B206,WageIds,0)),"—"))</f>
        <v/>
      </c>
      <c r="G206" s="20">
        <f>IF($B206="","",IFERROR(VLOOKUP(INDEX(WageParty,MATCH($B206,WageIds,0)),WGTbl,2,0),"—"))</f>
        <v/>
      </c>
      <c r="H206" s="12" t="n"/>
    </row>
    <row r="207">
      <c r="A207" s="10">
        <f>IF($B207="","",COUNTA($B$9:$B207))</f>
        <v/>
      </c>
      <c r="B207" s="12" t="n"/>
      <c r="C207" s="13" t="n"/>
      <c r="D207" s="14">
        <f>IF($C207="","",IFERROR(IF(VLOOKUP($C207,AcctTblE,4,0)="","(بدون نام)",VLOOKUP($C207,AcctTblE,4,0)),"کد ناشناخته"))</f>
        <v/>
      </c>
      <c r="E207" s="15" t="n"/>
      <c r="F207" s="14">
        <f>IF($B207="","",IFERROR(INDEX(WageDates,MATCH($B207,WageIds,0)),"—"))</f>
        <v/>
      </c>
      <c r="G207" s="14">
        <f>IF($B207="","",IFERROR(VLOOKUP(INDEX(WageParty,MATCH($B207,WageIds,0)),WGTbl,2,0),"—"))</f>
        <v/>
      </c>
      <c r="H207" s="12" t="n"/>
    </row>
    <row r="208">
      <c r="A208" s="19">
        <f>IF($B208="","",COUNTA($B$9:$B208))</f>
        <v/>
      </c>
      <c r="B208" s="12" t="n"/>
      <c r="C208" s="13" t="n"/>
      <c r="D208" s="20">
        <f>IF($C208="","",IFERROR(IF(VLOOKUP($C208,AcctTblE,4,0)="","(بدون نام)",VLOOKUP($C208,AcctTblE,4,0)),"کد ناشناخته"))</f>
        <v/>
      </c>
      <c r="E208" s="15" t="n"/>
      <c r="F208" s="20">
        <f>IF($B208="","",IFERROR(INDEX(WageDates,MATCH($B208,WageIds,0)),"—"))</f>
        <v/>
      </c>
      <c r="G208" s="20">
        <f>IF($B208="","",IFERROR(VLOOKUP(INDEX(WageParty,MATCH($B208,WageIds,0)),WGTbl,2,0),"—"))</f>
        <v/>
      </c>
      <c r="H208" s="12" t="n"/>
    </row>
    <row r="209">
      <c r="A209" s="10">
        <f>IF($B209="","",COUNTA($B$9:$B209))</f>
        <v/>
      </c>
      <c r="B209" s="12" t="n"/>
      <c r="C209" s="13" t="n"/>
      <c r="D209" s="14">
        <f>IF($C209="","",IFERROR(IF(VLOOKUP($C209,AcctTblE,4,0)="","(بدون نام)",VLOOKUP($C209,AcctTblE,4,0)),"کد ناشناخته"))</f>
        <v/>
      </c>
      <c r="E209" s="15" t="n"/>
      <c r="F209" s="14">
        <f>IF($B209="","",IFERROR(INDEX(WageDates,MATCH($B209,WageIds,0)),"—"))</f>
        <v/>
      </c>
      <c r="G209" s="14">
        <f>IF($B209="","",IFERROR(VLOOKUP(INDEX(WageParty,MATCH($B209,WageIds,0)),WGTbl,2,0),"—"))</f>
        <v/>
      </c>
      <c r="H209" s="12" t="n"/>
    </row>
    <row r="210">
      <c r="A210" s="19">
        <f>IF($B210="","",COUNTA($B$9:$B210))</f>
        <v/>
      </c>
      <c r="B210" s="12" t="n"/>
      <c r="C210" s="13" t="n"/>
      <c r="D210" s="20">
        <f>IF($C210="","",IFERROR(IF(VLOOKUP($C210,AcctTblE,4,0)="","(بدون نام)",VLOOKUP($C210,AcctTblE,4,0)),"کد ناشناخته"))</f>
        <v/>
      </c>
      <c r="E210" s="15" t="n"/>
      <c r="F210" s="20">
        <f>IF($B210="","",IFERROR(INDEX(WageDates,MATCH($B210,WageIds,0)),"—"))</f>
        <v/>
      </c>
      <c r="G210" s="20">
        <f>IF($B210="","",IFERROR(VLOOKUP(INDEX(WageParty,MATCH($B210,WageIds,0)),WGTbl,2,0),"—"))</f>
        <v/>
      </c>
      <c r="H210" s="12" t="n"/>
    </row>
    <row r="211">
      <c r="A211" s="10">
        <f>IF($B211="","",COUNTA($B$9:$B211))</f>
        <v/>
      </c>
      <c r="B211" s="12" t="n"/>
      <c r="C211" s="13" t="n"/>
      <c r="D211" s="14">
        <f>IF($C211="","",IFERROR(IF(VLOOKUP($C211,AcctTblE,4,0)="","(بدون نام)",VLOOKUP($C211,AcctTblE,4,0)),"کد ناشناخته"))</f>
        <v/>
      </c>
      <c r="E211" s="15" t="n"/>
      <c r="F211" s="14">
        <f>IF($B211="","",IFERROR(INDEX(WageDates,MATCH($B211,WageIds,0)),"—"))</f>
        <v/>
      </c>
      <c r="G211" s="14">
        <f>IF($B211="","",IFERROR(VLOOKUP(INDEX(WageParty,MATCH($B211,WageIds,0)),WGTbl,2,0),"—"))</f>
        <v/>
      </c>
      <c r="H211" s="12" t="n"/>
    </row>
    <row r="212">
      <c r="A212" s="19">
        <f>IF($B212="","",COUNTA($B$9:$B212))</f>
        <v/>
      </c>
      <c r="B212" s="12" t="n"/>
      <c r="C212" s="13" t="n"/>
      <c r="D212" s="20">
        <f>IF($C212="","",IFERROR(IF(VLOOKUP($C212,AcctTblE,4,0)="","(بدون نام)",VLOOKUP($C212,AcctTblE,4,0)),"کد ناشناخته"))</f>
        <v/>
      </c>
      <c r="E212" s="15" t="n"/>
      <c r="F212" s="20">
        <f>IF($B212="","",IFERROR(INDEX(WageDates,MATCH($B212,WageIds,0)),"—"))</f>
        <v/>
      </c>
      <c r="G212" s="20">
        <f>IF($B212="","",IFERROR(VLOOKUP(INDEX(WageParty,MATCH($B212,WageIds,0)),WGTbl,2,0),"—"))</f>
        <v/>
      </c>
      <c r="H212" s="12" t="n"/>
    </row>
    <row r="213">
      <c r="A213" s="10">
        <f>IF($B213="","",COUNTA($B$9:$B213))</f>
        <v/>
      </c>
      <c r="B213" s="12" t="n"/>
      <c r="C213" s="13" t="n"/>
      <c r="D213" s="14">
        <f>IF($C213="","",IFERROR(IF(VLOOKUP($C213,AcctTblE,4,0)="","(بدون نام)",VLOOKUP($C213,AcctTblE,4,0)),"کد ناشناخته"))</f>
        <v/>
      </c>
      <c r="E213" s="15" t="n"/>
      <c r="F213" s="14">
        <f>IF($B213="","",IFERROR(INDEX(WageDates,MATCH($B213,WageIds,0)),"—"))</f>
        <v/>
      </c>
      <c r="G213" s="14">
        <f>IF($B213="","",IFERROR(VLOOKUP(INDEX(WageParty,MATCH($B213,WageIds,0)),WGTbl,2,0),"—"))</f>
        <v/>
      </c>
      <c r="H213" s="12" t="n"/>
    </row>
    <row r="214">
      <c r="A214" s="19">
        <f>IF($B214="","",COUNTA($B$9:$B214))</f>
        <v/>
      </c>
      <c r="B214" s="12" t="n"/>
      <c r="C214" s="13" t="n"/>
      <c r="D214" s="20">
        <f>IF($C214="","",IFERROR(IF(VLOOKUP($C214,AcctTblE,4,0)="","(بدون نام)",VLOOKUP($C214,AcctTblE,4,0)),"کد ناشناخته"))</f>
        <v/>
      </c>
      <c r="E214" s="15" t="n"/>
      <c r="F214" s="20">
        <f>IF($B214="","",IFERROR(INDEX(WageDates,MATCH($B214,WageIds,0)),"—"))</f>
        <v/>
      </c>
      <c r="G214" s="20">
        <f>IF($B214="","",IFERROR(VLOOKUP(INDEX(WageParty,MATCH($B214,WageIds,0)),WGTbl,2,0),"—"))</f>
        <v/>
      </c>
      <c r="H214" s="12" t="n"/>
    </row>
    <row r="215">
      <c r="A215" s="10">
        <f>IF($B215="","",COUNTA($B$9:$B215))</f>
        <v/>
      </c>
      <c r="B215" s="12" t="n"/>
      <c r="C215" s="13" t="n"/>
      <c r="D215" s="14">
        <f>IF($C215="","",IFERROR(IF(VLOOKUP($C215,AcctTblE,4,0)="","(بدون نام)",VLOOKUP($C215,AcctTblE,4,0)),"کد ناشناخته"))</f>
        <v/>
      </c>
      <c r="E215" s="15" t="n"/>
      <c r="F215" s="14">
        <f>IF($B215="","",IFERROR(INDEX(WageDates,MATCH($B215,WageIds,0)),"—"))</f>
        <v/>
      </c>
      <c r="G215" s="14">
        <f>IF($B215="","",IFERROR(VLOOKUP(INDEX(WageParty,MATCH($B215,WageIds,0)),WGTbl,2,0),"—"))</f>
        <v/>
      </c>
      <c r="H215" s="12" t="n"/>
    </row>
    <row r="216">
      <c r="A216" s="19">
        <f>IF($B216="","",COUNTA($B$9:$B216))</f>
        <v/>
      </c>
      <c r="B216" s="12" t="n"/>
      <c r="C216" s="13" t="n"/>
      <c r="D216" s="20">
        <f>IF($C216="","",IFERROR(IF(VLOOKUP($C216,AcctTblE,4,0)="","(بدون نام)",VLOOKUP($C216,AcctTblE,4,0)),"کد ناشناخته"))</f>
        <v/>
      </c>
      <c r="E216" s="15" t="n"/>
      <c r="F216" s="20">
        <f>IF($B216="","",IFERROR(INDEX(WageDates,MATCH($B216,WageIds,0)),"—"))</f>
        <v/>
      </c>
      <c r="G216" s="20">
        <f>IF($B216="","",IFERROR(VLOOKUP(INDEX(WageParty,MATCH($B216,WageIds,0)),WGTbl,2,0),"—"))</f>
        <v/>
      </c>
      <c r="H216" s="12" t="n"/>
    </row>
    <row r="217">
      <c r="A217" s="10">
        <f>IF($B217="","",COUNTA($B$9:$B217))</f>
        <v/>
      </c>
      <c r="B217" s="12" t="n"/>
      <c r="C217" s="13" t="n"/>
      <c r="D217" s="14">
        <f>IF($C217="","",IFERROR(IF(VLOOKUP($C217,AcctTblE,4,0)="","(بدون نام)",VLOOKUP($C217,AcctTblE,4,0)),"کد ناشناخته"))</f>
        <v/>
      </c>
      <c r="E217" s="15" t="n"/>
      <c r="F217" s="14">
        <f>IF($B217="","",IFERROR(INDEX(WageDates,MATCH($B217,WageIds,0)),"—"))</f>
        <v/>
      </c>
      <c r="G217" s="14">
        <f>IF($B217="","",IFERROR(VLOOKUP(INDEX(WageParty,MATCH($B217,WageIds,0)),WGTbl,2,0),"—"))</f>
        <v/>
      </c>
      <c r="H217" s="12" t="n"/>
    </row>
    <row r="218">
      <c r="A218" s="19">
        <f>IF($B218="","",COUNTA($B$9:$B218))</f>
        <v/>
      </c>
      <c r="B218" s="12" t="n"/>
      <c r="C218" s="13" t="n"/>
      <c r="D218" s="20">
        <f>IF($C218="","",IFERROR(IF(VLOOKUP($C218,AcctTblE,4,0)="","(بدون نام)",VLOOKUP($C218,AcctTblE,4,0)),"کد ناشناخته"))</f>
        <v/>
      </c>
      <c r="E218" s="15" t="n"/>
      <c r="F218" s="20">
        <f>IF($B218="","",IFERROR(INDEX(WageDates,MATCH($B218,WageIds,0)),"—"))</f>
        <v/>
      </c>
      <c r="G218" s="20">
        <f>IF($B218="","",IFERROR(VLOOKUP(INDEX(WageParty,MATCH($B218,WageIds,0)),WGTbl,2,0),"—"))</f>
        <v/>
      </c>
      <c r="H218" s="12" t="n"/>
    </row>
    <row r="219">
      <c r="A219" s="10">
        <f>IF($B219="","",COUNTA($B$9:$B219))</f>
        <v/>
      </c>
      <c r="B219" s="12" t="n"/>
      <c r="C219" s="13" t="n"/>
      <c r="D219" s="14">
        <f>IF($C219="","",IFERROR(IF(VLOOKUP($C219,AcctTblE,4,0)="","(بدون نام)",VLOOKUP($C219,AcctTblE,4,0)),"کد ناشناخته"))</f>
        <v/>
      </c>
      <c r="E219" s="15" t="n"/>
      <c r="F219" s="14">
        <f>IF($B219="","",IFERROR(INDEX(WageDates,MATCH($B219,WageIds,0)),"—"))</f>
        <v/>
      </c>
      <c r="G219" s="14">
        <f>IF($B219="","",IFERROR(VLOOKUP(INDEX(WageParty,MATCH($B219,WageIds,0)),WGTbl,2,0),"—"))</f>
        <v/>
      </c>
      <c r="H219" s="12" t="n"/>
    </row>
    <row r="220">
      <c r="A220" s="19">
        <f>IF($B220="","",COUNTA($B$9:$B220))</f>
        <v/>
      </c>
      <c r="B220" s="12" t="n"/>
      <c r="C220" s="13" t="n"/>
      <c r="D220" s="20">
        <f>IF($C220="","",IFERROR(IF(VLOOKUP($C220,AcctTblE,4,0)="","(بدون نام)",VLOOKUP($C220,AcctTblE,4,0)),"کد ناشناخته"))</f>
        <v/>
      </c>
      <c r="E220" s="15" t="n"/>
      <c r="F220" s="20">
        <f>IF($B220="","",IFERROR(INDEX(WageDates,MATCH($B220,WageIds,0)),"—"))</f>
        <v/>
      </c>
      <c r="G220" s="20">
        <f>IF($B220="","",IFERROR(VLOOKUP(INDEX(WageParty,MATCH($B220,WageIds,0)),WGTbl,2,0),"—"))</f>
        <v/>
      </c>
      <c r="H220" s="12" t="n"/>
    </row>
    <row r="221">
      <c r="A221" s="10">
        <f>IF($B221="","",COUNTA($B$9:$B221))</f>
        <v/>
      </c>
      <c r="B221" s="12" t="n"/>
      <c r="C221" s="13" t="n"/>
      <c r="D221" s="14">
        <f>IF($C221="","",IFERROR(IF(VLOOKUP($C221,AcctTblE,4,0)="","(بدون نام)",VLOOKUP($C221,AcctTblE,4,0)),"کد ناشناخته"))</f>
        <v/>
      </c>
      <c r="E221" s="15" t="n"/>
      <c r="F221" s="14">
        <f>IF($B221="","",IFERROR(INDEX(WageDates,MATCH($B221,WageIds,0)),"—"))</f>
        <v/>
      </c>
      <c r="G221" s="14">
        <f>IF($B221="","",IFERROR(VLOOKUP(INDEX(WageParty,MATCH($B221,WageIds,0)),WGTbl,2,0),"—"))</f>
        <v/>
      </c>
      <c r="H221" s="12" t="n"/>
    </row>
    <row r="222">
      <c r="A222" s="19">
        <f>IF($B222="","",COUNTA($B$9:$B222))</f>
        <v/>
      </c>
      <c r="B222" s="12" t="n"/>
      <c r="C222" s="13" t="n"/>
      <c r="D222" s="20">
        <f>IF($C222="","",IFERROR(IF(VLOOKUP($C222,AcctTblE,4,0)="","(بدون نام)",VLOOKUP($C222,AcctTblE,4,0)),"کد ناشناخته"))</f>
        <v/>
      </c>
      <c r="E222" s="15" t="n"/>
      <c r="F222" s="20">
        <f>IF($B222="","",IFERROR(INDEX(WageDates,MATCH($B222,WageIds,0)),"—"))</f>
        <v/>
      </c>
      <c r="G222" s="20">
        <f>IF($B222="","",IFERROR(VLOOKUP(INDEX(WageParty,MATCH($B222,WageIds,0)),WGTbl,2,0),"—"))</f>
        <v/>
      </c>
      <c r="H222" s="12" t="n"/>
    </row>
    <row r="223">
      <c r="A223" s="10">
        <f>IF($B223="","",COUNTA($B$9:$B223))</f>
        <v/>
      </c>
      <c r="B223" s="12" t="n"/>
      <c r="C223" s="13" t="n"/>
      <c r="D223" s="14">
        <f>IF($C223="","",IFERROR(IF(VLOOKUP($C223,AcctTblE,4,0)="","(بدون نام)",VLOOKUP($C223,AcctTblE,4,0)),"کد ناشناخته"))</f>
        <v/>
      </c>
      <c r="E223" s="15" t="n"/>
      <c r="F223" s="14">
        <f>IF($B223="","",IFERROR(INDEX(WageDates,MATCH($B223,WageIds,0)),"—"))</f>
        <v/>
      </c>
      <c r="G223" s="14">
        <f>IF($B223="","",IFERROR(VLOOKUP(INDEX(WageParty,MATCH($B223,WageIds,0)),WGTbl,2,0),"—"))</f>
        <v/>
      </c>
      <c r="H223" s="12" t="n"/>
    </row>
    <row r="224">
      <c r="A224" s="19">
        <f>IF($B224="","",COUNTA($B$9:$B224))</f>
        <v/>
      </c>
      <c r="B224" s="12" t="n"/>
      <c r="C224" s="13" t="n"/>
      <c r="D224" s="20">
        <f>IF($C224="","",IFERROR(IF(VLOOKUP($C224,AcctTblE,4,0)="","(بدون نام)",VLOOKUP($C224,AcctTblE,4,0)),"کد ناشناخته"))</f>
        <v/>
      </c>
      <c r="E224" s="15" t="n"/>
      <c r="F224" s="20">
        <f>IF($B224="","",IFERROR(INDEX(WageDates,MATCH($B224,WageIds,0)),"—"))</f>
        <v/>
      </c>
      <c r="G224" s="20">
        <f>IF($B224="","",IFERROR(VLOOKUP(INDEX(WageParty,MATCH($B224,WageIds,0)),WGTbl,2,0),"—"))</f>
        <v/>
      </c>
      <c r="H224" s="12" t="n"/>
    </row>
    <row r="225">
      <c r="A225" s="10">
        <f>IF($B225="","",COUNTA($B$9:$B225))</f>
        <v/>
      </c>
      <c r="B225" s="12" t="n"/>
      <c r="C225" s="13" t="n"/>
      <c r="D225" s="14">
        <f>IF($C225="","",IFERROR(IF(VLOOKUP($C225,AcctTblE,4,0)="","(بدون نام)",VLOOKUP($C225,AcctTblE,4,0)),"کد ناشناخته"))</f>
        <v/>
      </c>
      <c r="E225" s="15" t="n"/>
      <c r="F225" s="14">
        <f>IF($B225="","",IFERROR(INDEX(WageDates,MATCH($B225,WageIds,0)),"—"))</f>
        <v/>
      </c>
      <c r="G225" s="14">
        <f>IF($B225="","",IFERROR(VLOOKUP(INDEX(WageParty,MATCH($B225,WageIds,0)),WGTbl,2,0),"—"))</f>
        <v/>
      </c>
      <c r="H225" s="12" t="n"/>
    </row>
    <row r="226">
      <c r="A226" s="19">
        <f>IF($B226="","",COUNTA($B$9:$B226))</f>
        <v/>
      </c>
      <c r="B226" s="12" t="n"/>
      <c r="C226" s="13" t="n"/>
      <c r="D226" s="20">
        <f>IF($C226="","",IFERROR(IF(VLOOKUP($C226,AcctTblE,4,0)="","(بدون نام)",VLOOKUP($C226,AcctTblE,4,0)),"کد ناشناخته"))</f>
        <v/>
      </c>
      <c r="E226" s="15" t="n"/>
      <c r="F226" s="20">
        <f>IF($B226="","",IFERROR(INDEX(WageDates,MATCH($B226,WageIds,0)),"—"))</f>
        <v/>
      </c>
      <c r="G226" s="20">
        <f>IF($B226="","",IFERROR(VLOOKUP(INDEX(WageParty,MATCH($B226,WageIds,0)),WGTbl,2,0),"—"))</f>
        <v/>
      </c>
      <c r="H226" s="12" t="n"/>
    </row>
    <row r="227">
      <c r="A227" s="10">
        <f>IF($B227="","",COUNTA($B$9:$B227))</f>
        <v/>
      </c>
      <c r="B227" s="12" t="n"/>
      <c r="C227" s="13" t="n"/>
      <c r="D227" s="14">
        <f>IF($C227="","",IFERROR(IF(VLOOKUP($C227,AcctTblE,4,0)="","(بدون نام)",VLOOKUP($C227,AcctTblE,4,0)),"کد ناشناخته"))</f>
        <v/>
      </c>
      <c r="E227" s="15" t="n"/>
      <c r="F227" s="14">
        <f>IF($B227="","",IFERROR(INDEX(WageDates,MATCH($B227,WageIds,0)),"—"))</f>
        <v/>
      </c>
      <c r="G227" s="14">
        <f>IF($B227="","",IFERROR(VLOOKUP(INDEX(WageParty,MATCH($B227,WageIds,0)),WGTbl,2,0),"—"))</f>
        <v/>
      </c>
      <c r="H227" s="12" t="n"/>
    </row>
    <row r="228">
      <c r="A228" s="19">
        <f>IF($B228="","",COUNTA($B$9:$B228))</f>
        <v/>
      </c>
      <c r="B228" s="12" t="n"/>
      <c r="C228" s="13" t="n"/>
      <c r="D228" s="20">
        <f>IF($C228="","",IFERROR(IF(VLOOKUP($C228,AcctTblE,4,0)="","(بدون نام)",VLOOKUP($C228,AcctTblE,4,0)),"کد ناشناخته"))</f>
        <v/>
      </c>
      <c r="E228" s="15" t="n"/>
      <c r="F228" s="20">
        <f>IF($B228="","",IFERROR(INDEX(WageDates,MATCH($B228,WageIds,0)),"—"))</f>
        <v/>
      </c>
      <c r="G228" s="20">
        <f>IF($B228="","",IFERROR(VLOOKUP(INDEX(WageParty,MATCH($B228,WageIds,0)),WGTbl,2,0),"—"))</f>
        <v/>
      </c>
      <c r="H228" s="12" t="n"/>
    </row>
    <row r="229">
      <c r="A229" s="10">
        <f>IF($B229="","",COUNTA($B$9:$B229))</f>
        <v/>
      </c>
      <c r="B229" s="12" t="n"/>
      <c r="C229" s="13" t="n"/>
      <c r="D229" s="14">
        <f>IF($C229="","",IFERROR(IF(VLOOKUP($C229,AcctTblE,4,0)="","(بدون نام)",VLOOKUP($C229,AcctTblE,4,0)),"کد ناشناخته"))</f>
        <v/>
      </c>
      <c r="E229" s="15" t="n"/>
      <c r="F229" s="14">
        <f>IF($B229="","",IFERROR(INDEX(WageDates,MATCH($B229,WageIds,0)),"—"))</f>
        <v/>
      </c>
      <c r="G229" s="14">
        <f>IF($B229="","",IFERROR(VLOOKUP(INDEX(WageParty,MATCH($B229,WageIds,0)),WGTbl,2,0),"—"))</f>
        <v/>
      </c>
      <c r="H229" s="12" t="n"/>
    </row>
    <row r="230">
      <c r="A230" s="19">
        <f>IF($B230="","",COUNTA($B$9:$B230))</f>
        <v/>
      </c>
      <c r="B230" s="12" t="n"/>
      <c r="C230" s="13" t="n"/>
      <c r="D230" s="20">
        <f>IF($C230="","",IFERROR(IF(VLOOKUP($C230,AcctTblE,4,0)="","(بدون نام)",VLOOKUP($C230,AcctTblE,4,0)),"کد ناشناخته"))</f>
        <v/>
      </c>
      <c r="E230" s="15" t="n"/>
      <c r="F230" s="20">
        <f>IF($B230="","",IFERROR(INDEX(WageDates,MATCH($B230,WageIds,0)),"—"))</f>
        <v/>
      </c>
      <c r="G230" s="20">
        <f>IF($B230="","",IFERROR(VLOOKUP(INDEX(WageParty,MATCH($B230,WageIds,0)),WGTbl,2,0),"—"))</f>
        <v/>
      </c>
      <c r="H230" s="12" t="n"/>
    </row>
    <row r="231">
      <c r="A231" s="10">
        <f>IF($B231="","",COUNTA($B$9:$B231))</f>
        <v/>
      </c>
      <c r="B231" s="12" t="n"/>
      <c r="C231" s="13" t="n"/>
      <c r="D231" s="14">
        <f>IF($C231="","",IFERROR(IF(VLOOKUP($C231,AcctTblE,4,0)="","(بدون نام)",VLOOKUP($C231,AcctTblE,4,0)),"کد ناشناخته"))</f>
        <v/>
      </c>
      <c r="E231" s="15" t="n"/>
      <c r="F231" s="14">
        <f>IF($B231="","",IFERROR(INDEX(WageDates,MATCH($B231,WageIds,0)),"—"))</f>
        <v/>
      </c>
      <c r="G231" s="14">
        <f>IF($B231="","",IFERROR(VLOOKUP(INDEX(WageParty,MATCH($B231,WageIds,0)),WGTbl,2,0),"—"))</f>
        <v/>
      </c>
      <c r="H231" s="12" t="n"/>
    </row>
    <row r="232">
      <c r="A232" s="19">
        <f>IF($B232="","",COUNTA($B$9:$B232))</f>
        <v/>
      </c>
      <c r="B232" s="12" t="n"/>
      <c r="C232" s="13" t="n"/>
      <c r="D232" s="20">
        <f>IF($C232="","",IFERROR(IF(VLOOKUP($C232,AcctTblE,4,0)="","(بدون نام)",VLOOKUP($C232,AcctTblE,4,0)),"کد ناشناخته"))</f>
        <v/>
      </c>
      <c r="E232" s="15" t="n"/>
      <c r="F232" s="20">
        <f>IF($B232="","",IFERROR(INDEX(WageDates,MATCH($B232,WageIds,0)),"—"))</f>
        <v/>
      </c>
      <c r="G232" s="20">
        <f>IF($B232="","",IFERROR(VLOOKUP(INDEX(WageParty,MATCH($B232,WageIds,0)),WGTbl,2,0),"—"))</f>
        <v/>
      </c>
      <c r="H232" s="12" t="n"/>
    </row>
    <row r="233">
      <c r="A233" s="10">
        <f>IF($B233="","",COUNTA($B$9:$B233))</f>
        <v/>
      </c>
      <c r="B233" s="12" t="n"/>
      <c r="C233" s="13" t="n"/>
      <c r="D233" s="14">
        <f>IF($C233="","",IFERROR(IF(VLOOKUP($C233,AcctTblE,4,0)="","(بدون نام)",VLOOKUP($C233,AcctTblE,4,0)),"کد ناشناخته"))</f>
        <v/>
      </c>
      <c r="E233" s="15" t="n"/>
      <c r="F233" s="14">
        <f>IF($B233="","",IFERROR(INDEX(WageDates,MATCH($B233,WageIds,0)),"—"))</f>
        <v/>
      </c>
      <c r="G233" s="14">
        <f>IF($B233="","",IFERROR(VLOOKUP(INDEX(WageParty,MATCH($B233,WageIds,0)),WGTbl,2,0),"—"))</f>
        <v/>
      </c>
      <c r="H233" s="12" t="n"/>
    </row>
    <row r="234">
      <c r="A234" s="19">
        <f>IF($B234="","",COUNTA($B$9:$B234))</f>
        <v/>
      </c>
      <c r="B234" s="12" t="n"/>
      <c r="C234" s="13" t="n"/>
      <c r="D234" s="20">
        <f>IF($C234="","",IFERROR(IF(VLOOKUP($C234,AcctTblE,4,0)="","(بدون نام)",VLOOKUP($C234,AcctTblE,4,0)),"کد ناشناخته"))</f>
        <v/>
      </c>
      <c r="E234" s="15" t="n"/>
      <c r="F234" s="20">
        <f>IF($B234="","",IFERROR(INDEX(WageDates,MATCH($B234,WageIds,0)),"—"))</f>
        <v/>
      </c>
      <c r="G234" s="20">
        <f>IF($B234="","",IFERROR(VLOOKUP(INDEX(WageParty,MATCH($B234,WageIds,0)),WGTbl,2,0),"—"))</f>
        <v/>
      </c>
      <c r="H234" s="12" t="n"/>
    </row>
    <row r="235">
      <c r="A235" s="10">
        <f>IF($B235="","",COUNTA($B$9:$B235))</f>
        <v/>
      </c>
      <c r="B235" s="12" t="n"/>
      <c r="C235" s="13" t="n"/>
      <c r="D235" s="14">
        <f>IF($C235="","",IFERROR(IF(VLOOKUP($C235,AcctTblE,4,0)="","(بدون نام)",VLOOKUP($C235,AcctTblE,4,0)),"کد ناشناخته"))</f>
        <v/>
      </c>
      <c r="E235" s="15" t="n"/>
      <c r="F235" s="14">
        <f>IF($B235="","",IFERROR(INDEX(WageDates,MATCH($B235,WageIds,0)),"—"))</f>
        <v/>
      </c>
      <c r="G235" s="14">
        <f>IF($B235="","",IFERROR(VLOOKUP(INDEX(WageParty,MATCH($B235,WageIds,0)),WGTbl,2,0),"—"))</f>
        <v/>
      </c>
      <c r="H235" s="12" t="n"/>
    </row>
    <row r="236">
      <c r="A236" s="19">
        <f>IF($B236="","",COUNTA($B$9:$B236))</f>
        <v/>
      </c>
      <c r="B236" s="12" t="n"/>
      <c r="C236" s="13" t="n"/>
      <c r="D236" s="20">
        <f>IF($C236="","",IFERROR(IF(VLOOKUP($C236,AcctTblE,4,0)="","(بدون نام)",VLOOKUP($C236,AcctTblE,4,0)),"کد ناشناخته"))</f>
        <v/>
      </c>
      <c r="E236" s="15" t="n"/>
      <c r="F236" s="20">
        <f>IF($B236="","",IFERROR(INDEX(WageDates,MATCH($B236,WageIds,0)),"—"))</f>
        <v/>
      </c>
      <c r="G236" s="20">
        <f>IF($B236="","",IFERROR(VLOOKUP(INDEX(WageParty,MATCH($B236,WageIds,0)),WGTbl,2,0),"—"))</f>
        <v/>
      </c>
      <c r="H236" s="12" t="n"/>
    </row>
    <row r="237">
      <c r="A237" s="10">
        <f>IF($B237="","",COUNTA($B$9:$B237))</f>
        <v/>
      </c>
      <c r="B237" s="12" t="n"/>
      <c r="C237" s="13" t="n"/>
      <c r="D237" s="14">
        <f>IF($C237="","",IFERROR(IF(VLOOKUP($C237,AcctTblE,4,0)="","(بدون نام)",VLOOKUP($C237,AcctTblE,4,0)),"کد ناشناخته"))</f>
        <v/>
      </c>
      <c r="E237" s="15" t="n"/>
      <c r="F237" s="14">
        <f>IF($B237="","",IFERROR(INDEX(WageDates,MATCH($B237,WageIds,0)),"—"))</f>
        <v/>
      </c>
      <c r="G237" s="14">
        <f>IF($B237="","",IFERROR(VLOOKUP(INDEX(WageParty,MATCH($B237,WageIds,0)),WGTbl,2,0),"—"))</f>
        <v/>
      </c>
      <c r="H237" s="12" t="n"/>
    </row>
    <row r="238">
      <c r="A238" s="19">
        <f>IF($B238="","",COUNTA($B$9:$B238))</f>
        <v/>
      </c>
      <c r="B238" s="12" t="n"/>
      <c r="C238" s="13" t="n"/>
      <c r="D238" s="20">
        <f>IF($C238="","",IFERROR(IF(VLOOKUP($C238,AcctTblE,4,0)="","(بدون نام)",VLOOKUP($C238,AcctTblE,4,0)),"کد ناشناخته"))</f>
        <v/>
      </c>
      <c r="E238" s="15" t="n"/>
      <c r="F238" s="20">
        <f>IF($B238="","",IFERROR(INDEX(WageDates,MATCH($B238,WageIds,0)),"—"))</f>
        <v/>
      </c>
      <c r="G238" s="20">
        <f>IF($B238="","",IFERROR(VLOOKUP(INDEX(WageParty,MATCH($B238,WageIds,0)),WGTbl,2,0),"—"))</f>
        <v/>
      </c>
      <c r="H238" s="12" t="n"/>
    </row>
    <row r="239">
      <c r="A239" s="10">
        <f>IF($B239="","",COUNTA($B$9:$B239))</f>
        <v/>
      </c>
      <c r="B239" s="12" t="n"/>
      <c r="C239" s="13" t="n"/>
      <c r="D239" s="14">
        <f>IF($C239="","",IFERROR(IF(VLOOKUP($C239,AcctTblE,4,0)="","(بدون نام)",VLOOKUP($C239,AcctTblE,4,0)),"کد ناشناخته"))</f>
        <v/>
      </c>
      <c r="E239" s="15" t="n"/>
      <c r="F239" s="14">
        <f>IF($B239="","",IFERROR(INDEX(WageDates,MATCH($B239,WageIds,0)),"—"))</f>
        <v/>
      </c>
      <c r="G239" s="14">
        <f>IF($B239="","",IFERROR(VLOOKUP(INDEX(WageParty,MATCH($B239,WageIds,0)),WGTbl,2,0),"—"))</f>
        <v/>
      </c>
      <c r="H239" s="12" t="n"/>
    </row>
    <row r="240">
      <c r="A240" s="19">
        <f>IF($B240="","",COUNTA($B$9:$B240))</f>
        <v/>
      </c>
      <c r="B240" s="12" t="n"/>
      <c r="C240" s="13" t="n"/>
      <c r="D240" s="20">
        <f>IF($C240="","",IFERROR(IF(VLOOKUP($C240,AcctTblE,4,0)="","(بدون نام)",VLOOKUP($C240,AcctTblE,4,0)),"کد ناشناخته"))</f>
        <v/>
      </c>
      <c r="E240" s="15" t="n"/>
      <c r="F240" s="20">
        <f>IF($B240="","",IFERROR(INDEX(WageDates,MATCH($B240,WageIds,0)),"—"))</f>
        <v/>
      </c>
      <c r="G240" s="20">
        <f>IF($B240="","",IFERROR(VLOOKUP(INDEX(WageParty,MATCH($B240,WageIds,0)),WGTbl,2,0),"—"))</f>
        <v/>
      </c>
      <c r="H240" s="12" t="n"/>
    </row>
    <row r="241">
      <c r="A241" s="10">
        <f>IF($B241="","",COUNTA($B$9:$B241))</f>
        <v/>
      </c>
      <c r="B241" s="12" t="n"/>
      <c r="C241" s="13" t="n"/>
      <c r="D241" s="14">
        <f>IF($C241="","",IFERROR(IF(VLOOKUP($C241,AcctTblE,4,0)="","(بدون نام)",VLOOKUP($C241,AcctTblE,4,0)),"کد ناشناخته"))</f>
        <v/>
      </c>
      <c r="E241" s="15" t="n"/>
      <c r="F241" s="14">
        <f>IF($B241="","",IFERROR(INDEX(WageDates,MATCH($B241,WageIds,0)),"—"))</f>
        <v/>
      </c>
      <c r="G241" s="14">
        <f>IF($B241="","",IFERROR(VLOOKUP(INDEX(WageParty,MATCH($B241,WageIds,0)),WGTbl,2,0),"—"))</f>
        <v/>
      </c>
      <c r="H241" s="12" t="n"/>
    </row>
    <row r="242">
      <c r="A242" s="19">
        <f>IF($B242="","",COUNTA($B$9:$B242))</f>
        <v/>
      </c>
      <c r="B242" s="12" t="n"/>
      <c r="C242" s="13" t="n"/>
      <c r="D242" s="20">
        <f>IF($C242="","",IFERROR(IF(VLOOKUP($C242,AcctTblE,4,0)="","(بدون نام)",VLOOKUP($C242,AcctTblE,4,0)),"کد ناشناخته"))</f>
        <v/>
      </c>
      <c r="E242" s="15" t="n"/>
      <c r="F242" s="20">
        <f>IF($B242="","",IFERROR(INDEX(WageDates,MATCH($B242,WageIds,0)),"—"))</f>
        <v/>
      </c>
      <c r="G242" s="20">
        <f>IF($B242="","",IFERROR(VLOOKUP(INDEX(WageParty,MATCH($B242,WageIds,0)),WGTbl,2,0),"—"))</f>
        <v/>
      </c>
      <c r="H242" s="12" t="n"/>
    </row>
    <row r="243">
      <c r="A243" s="10">
        <f>IF($B243="","",COUNTA($B$9:$B243))</f>
        <v/>
      </c>
      <c r="B243" s="12" t="n"/>
      <c r="C243" s="13" t="n"/>
      <c r="D243" s="14">
        <f>IF($C243="","",IFERROR(IF(VLOOKUP($C243,AcctTblE,4,0)="","(بدون نام)",VLOOKUP($C243,AcctTblE,4,0)),"کد ناشناخته"))</f>
        <v/>
      </c>
      <c r="E243" s="15" t="n"/>
      <c r="F243" s="14">
        <f>IF($B243="","",IFERROR(INDEX(WageDates,MATCH($B243,WageIds,0)),"—"))</f>
        <v/>
      </c>
      <c r="G243" s="14">
        <f>IF($B243="","",IFERROR(VLOOKUP(INDEX(WageParty,MATCH($B243,WageIds,0)),WGTbl,2,0),"—"))</f>
        <v/>
      </c>
      <c r="H243" s="12" t="n"/>
    </row>
    <row r="244">
      <c r="A244" s="19">
        <f>IF($B244="","",COUNTA($B$9:$B244))</f>
        <v/>
      </c>
      <c r="B244" s="12" t="n"/>
      <c r="C244" s="13" t="n"/>
      <c r="D244" s="20">
        <f>IF($C244="","",IFERROR(IF(VLOOKUP($C244,AcctTblE,4,0)="","(بدون نام)",VLOOKUP($C244,AcctTblE,4,0)),"کد ناشناخته"))</f>
        <v/>
      </c>
      <c r="E244" s="15" t="n"/>
      <c r="F244" s="20">
        <f>IF($B244="","",IFERROR(INDEX(WageDates,MATCH($B244,WageIds,0)),"—"))</f>
        <v/>
      </c>
      <c r="G244" s="20">
        <f>IF($B244="","",IFERROR(VLOOKUP(INDEX(WageParty,MATCH($B244,WageIds,0)),WGTbl,2,0),"—"))</f>
        <v/>
      </c>
      <c r="H244" s="12" t="n"/>
    </row>
    <row r="245">
      <c r="A245" s="10">
        <f>IF($B245="","",COUNTA($B$9:$B245))</f>
        <v/>
      </c>
      <c r="B245" s="12" t="n"/>
      <c r="C245" s="13" t="n"/>
      <c r="D245" s="14">
        <f>IF($C245="","",IFERROR(IF(VLOOKUP($C245,AcctTblE,4,0)="","(بدون نام)",VLOOKUP($C245,AcctTblE,4,0)),"کد ناشناخته"))</f>
        <v/>
      </c>
      <c r="E245" s="15" t="n"/>
      <c r="F245" s="14">
        <f>IF($B245="","",IFERROR(INDEX(WageDates,MATCH($B245,WageIds,0)),"—"))</f>
        <v/>
      </c>
      <c r="G245" s="14">
        <f>IF($B245="","",IFERROR(VLOOKUP(INDEX(WageParty,MATCH($B245,WageIds,0)),WGTbl,2,0),"—"))</f>
        <v/>
      </c>
      <c r="H245" s="12" t="n"/>
    </row>
    <row r="246">
      <c r="A246" s="19">
        <f>IF($B246="","",COUNTA($B$9:$B246))</f>
        <v/>
      </c>
      <c r="B246" s="12" t="n"/>
      <c r="C246" s="13" t="n"/>
      <c r="D246" s="20">
        <f>IF($C246="","",IFERROR(IF(VLOOKUP($C246,AcctTblE,4,0)="","(بدون نام)",VLOOKUP($C246,AcctTblE,4,0)),"کد ناشناخته"))</f>
        <v/>
      </c>
      <c r="E246" s="15" t="n"/>
      <c r="F246" s="20">
        <f>IF($B246="","",IFERROR(INDEX(WageDates,MATCH($B246,WageIds,0)),"—"))</f>
        <v/>
      </c>
      <c r="G246" s="20">
        <f>IF($B246="","",IFERROR(VLOOKUP(INDEX(WageParty,MATCH($B246,WageIds,0)),WGTbl,2,0),"—"))</f>
        <v/>
      </c>
      <c r="H246" s="12" t="n"/>
    </row>
    <row r="247">
      <c r="A247" s="10">
        <f>IF($B247="","",COUNTA($B$9:$B247))</f>
        <v/>
      </c>
      <c r="B247" s="12" t="n"/>
      <c r="C247" s="13" t="n"/>
      <c r="D247" s="14">
        <f>IF($C247="","",IFERROR(IF(VLOOKUP($C247,AcctTblE,4,0)="","(بدون نام)",VLOOKUP($C247,AcctTblE,4,0)),"کد ناشناخته"))</f>
        <v/>
      </c>
      <c r="E247" s="15" t="n"/>
      <c r="F247" s="14">
        <f>IF($B247="","",IFERROR(INDEX(WageDates,MATCH($B247,WageIds,0)),"—"))</f>
        <v/>
      </c>
      <c r="G247" s="14">
        <f>IF($B247="","",IFERROR(VLOOKUP(INDEX(WageParty,MATCH($B247,WageIds,0)),WGTbl,2,0),"—"))</f>
        <v/>
      </c>
      <c r="H247" s="12" t="n"/>
    </row>
    <row r="248">
      <c r="A248" s="19">
        <f>IF($B248="","",COUNTA($B$9:$B248))</f>
        <v/>
      </c>
      <c r="B248" s="12" t="n"/>
      <c r="C248" s="13" t="n"/>
      <c r="D248" s="20">
        <f>IF($C248="","",IFERROR(IF(VLOOKUP($C248,AcctTblE,4,0)="","(بدون نام)",VLOOKUP($C248,AcctTblE,4,0)),"کد ناشناخته"))</f>
        <v/>
      </c>
      <c r="E248" s="15" t="n"/>
      <c r="F248" s="20">
        <f>IF($B248="","",IFERROR(INDEX(WageDates,MATCH($B248,WageIds,0)),"—"))</f>
        <v/>
      </c>
      <c r="G248" s="20">
        <f>IF($B248="","",IFERROR(VLOOKUP(INDEX(WageParty,MATCH($B248,WageIds,0)),WGTbl,2,0),"—"))</f>
        <v/>
      </c>
      <c r="H248" s="12" t="n"/>
    </row>
    <row r="249">
      <c r="A249" s="10">
        <f>IF($B249="","",COUNTA($B$9:$B249))</f>
        <v/>
      </c>
      <c r="B249" s="12" t="n"/>
      <c r="C249" s="13" t="n"/>
      <c r="D249" s="14">
        <f>IF($C249="","",IFERROR(IF(VLOOKUP($C249,AcctTblE,4,0)="","(بدون نام)",VLOOKUP($C249,AcctTblE,4,0)),"کد ناشناخته"))</f>
        <v/>
      </c>
      <c r="E249" s="15" t="n"/>
      <c r="F249" s="14">
        <f>IF($B249="","",IFERROR(INDEX(WageDates,MATCH($B249,WageIds,0)),"—"))</f>
        <v/>
      </c>
      <c r="G249" s="14">
        <f>IF($B249="","",IFERROR(VLOOKUP(INDEX(WageParty,MATCH($B249,WageIds,0)),WGTbl,2,0),"—"))</f>
        <v/>
      </c>
      <c r="H249" s="12" t="n"/>
    </row>
    <row r="250">
      <c r="A250" s="19">
        <f>IF($B250="","",COUNTA($B$9:$B250))</f>
        <v/>
      </c>
      <c r="B250" s="12" t="n"/>
      <c r="C250" s="13" t="n"/>
      <c r="D250" s="20">
        <f>IF($C250="","",IFERROR(IF(VLOOKUP($C250,AcctTblE,4,0)="","(بدون نام)",VLOOKUP($C250,AcctTblE,4,0)),"کد ناشناخته"))</f>
        <v/>
      </c>
      <c r="E250" s="15" t="n"/>
      <c r="F250" s="20">
        <f>IF($B250="","",IFERROR(INDEX(WageDates,MATCH($B250,WageIds,0)),"—"))</f>
        <v/>
      </c>
      <c r="G250" s="20">
        <f>IF($B250="","",IFERROR(VLOOKUP(INDEX(WageParty,MATCH($B250,WageIds,0)),WGTbl,2,0),"—"))</f>
        <v/>
      </c>
      <c r="H250" s="12" t="n"/>
    </row>
    <row r="251">
      <c r="A251" s="10">
        <f>IF($B251="","",COUNTA($B$9:$B251))</f>
        <v/>
      </c>
      <c r="B251" s="12" t="n"/>
      <c r="C251" s="13" t="n"/>
      <c r="D251" s="14">
        <f>IF($C251="","",IFERROR(IF(VLOOKUP($C251,AcctTblE,4,0)="","(بدون نام)",VLOOKUP($C251,AcctTblE,4,0)),"کد ناشناخته"))</f>
        <v/>
      </c>
      <c r="E251" s="15" t="n"/>
      <c r="F251" s="14">
        <f>IF($B251="","",IFERROR(INDEX(WageDates,MATCH($B251,WageIds,0)),"—"))</f>
        <v/>
      </c>
      <c r="G251" s="14">
        <f>IF($B251="","",IFERROR(VLOOKUP(INDEX(WageParty,MATCH($B251,WageIds,0)),WGTbl,2,0),"—"))</f>
        <v/>
      </c>
      <c r="H251" s="12" t="n"/>
    </row>
    <row r="252">
      <c r="A252" s="19">
        <f>IF($B252="","",COUNTA($B$9:$B252))</f>
        <v/>
      </c>
      <c r="B252" s="12" t="n"/>
      <c r="C252" s="13" t="n"/>
      <c r="D252" s="20">
        <f>IF($C252="","",IFERROR(IF(VLOOKUP($C252,AcctTblE,4,0)="","(بدون نام)",VLOOKUP($C252,AcctTblE,4,0)),"کد ناشناخته"))</f>
        <v/>
      </c>
      <c r="E252" s="15" t="n"/>
      <c r="F252" s="20">
        <f>IF($B252="","",IFERROR(INDEX(WageDates,MATCH($B252,WageIds,0)),"—"))</f>
        <v/>
      </c>
      <c r="G252" s="20">
        <f>IF($B252="","",IFERROR(VLOOKUP(INDEX(WageParty,MATCH($B252,WageIds,0)),WGTbl,2,0),"—"))</f>
        <v/>
      </c>
      <c r="H252" s="12" t="n"/>
    </row>
    <row r="253">
      <c r="A253" s="10">
        <f>IF($B253="","",COUNTA($B$9:$B253))</f>
        <v/>
      </c>
      <c r="B253" s="12" t="n"/>
      <c r="C253" s="13" t="n"/>
      <c r="D253" s="14">
        <f>IF($C253="","",IFERROR(IF(VLOOKUP($C253,AcctTblE,4,0)="","(بدون نام)",VLOOKUP($C253,AcctTblE,4,0)),"کد ناشناخته"))</f>
        <v/>
      </c>
      <c r="E253" s="15" t="n"/>
      <c r="F253" s="14">
        <f>IF($B253="","",IFERROR(INDEX(WageDates,MATCH($B253,WageIds,0)),"—"))</f>
        <v/>
      </c>
      <c r="G253" s="14">
        <f>IF($B253="","",IFERROR(VLOOKUP(INDEX(WageParty,MATCH($B253,WageIds,0)),WGTbl,2,0),"—"))</f>
        <v/>
      </c>
      <c r="H253" s="12" t="n"/>
    </row>
    <row r="254">
      <c r="A254" s="19">
        <f>IF($B254="","",COUNTA($B$9:$B254))</f>
        <v/>
      </c>
      <c r="B254" s="12" t="n"/>
      <c r="C254" s="13" t="n"/>
      <c r="D254" s="20">
        <f>IF($C254="","",IFERROR(IF(VLOOKUP($C254,AcctTblE,4,0)="","(بدون نام)",VLOOKUP($C254,AcctTblE,4,0)),"کد ناشناخته"))</f>
        <v/>
      </c>
      <c r="E254" s="15" t="n"/>
      <c r="F254" s="20">
        <f>IF($B254="","",IFERROR(INDEX(WageDates,MATCH($B254,WageIds,0)),"—"))</f>
        <v/>
      </c>
      <c r="G254" s="20">
        <f>IF($B254="","",IFERROR(VLOOKUP(INDEX(WageParty,MATCH($B254,WageIds,0)),WGTbl,2,0),"—"))</f>
        <v/>
      </c>
      <c r="H254" s="12" t="n"/>
    </row>
    <row r="255">
      <c r="A255" s="10">
        <f>IF($B255="","",COUNTA($B$9:$B255))</f>
        <v/>
      </c>
      <c r="B255" s="12" t="n"/>
      <c r="C255" s="13" t="n"/>
      <c r="D255" s="14">
        <f>IF($C255="","",IFERROR(IF(VLOOKUP($C255,AcctTblE,4,0)="","(بدون نام)",VLOOKUP($C255,AcctTblE,4,0)),"کد ناشناخته"))</f>
        <v/>
      </c>
      <c r="E255" s="15" t="n"/>
      <c r="F255" s="14">
        <f>IF($B255="","",IFERROR(INDEX(WageDates,MATCH($B255,WageIds,0)),"—"))</f>
        <v/>
      </c>
      <c r="G255" s="14">
        <f>IF($B255="","",IFERROR(VLOOKUP(INDEX(WageParty,MATCH($B255,WageIds,0)),WGTbl,2,0),"—"))</f>
        <v/>
      </c>
      <c r="H255" s="12" t="n"/>
    </row>
    <row r="256">
      <c r="A256" s="19">
        <f>IF($B256="","",COUNTA($B$9:$B256))</f>
        <v/>
      </c>
      <c r="B256" s="12" t="n"/>
      <c r="C256" s="13" t="n"/>
      <c r="D256" s="20">
        <f>IF($C256="","",IFERROR(IF(VLOOKUP($C256,AcctTblE,4,0)="","(بدون نام)",VLOOKUP($C256,AcctTblE,4,0)),"کد ناشناخته"))</f>
        <v/>
      </c>
      <c r="E256" s="15" t="n"/>
      <c r="F256" s="20">
        <f>IF($B256="","",IFERROR(INDEX(WageDates,MATCH($B256,WageIds,0)),"—"))</f>
        <v/>
      </c>
      <c r="G256" s="20">
        <f>IF($B256="","",IFERROR(VLOOKUP(INDEX(WageParty,MATCH($B256,WageIds,0)),WGTbl,2,0),"—"))</f>
        <v/>
      </c>
      <c r="H256" s="12" t="n"/>
    </row>
    <row r="257">
      <c r="A257" s="10">
        <f>IF($B257="","",COUNTA($B$9:$B257))</f>
        <v/>
      </c>
      <c r="B257" s="12" t="n"/>
      <c r="C257" s="13" t="n"/>
      <c r="D257" s="14">
        <f>IF($C257="","",IFERROR(IF(VLOOKUP($C257,AcctTblE,4,0)="","(بدون نام)",VLOOKUP($C257,AcctTblE,4,0)),"کد ناشناخته"))</f>
        <v/>
      </c>
      <c r="E257" s="15" t="n"/>
      <c r="F257" s="14">
        <f>IF($B257="","",IFERROR(INDEX(WageDates,MATCH($B257,WageIds,0)),"—"))</f>
        <v/>
      </c>
      <c r="G257" s="14">
        <f>IF($B257="","",IFERROR(VLOOKUP(INDEX(WageParty,MATCH($B257,WageIds,0)),WGTbl,2,0),"—"))</f>
        <v/>
      </c>
      <c r="H257" s="12" t="n"/>
    </row>
    <row r="258">
      <c r="A258" s="19">
        <f>IF($B258="","",COUNTA($B$9:$B258))</f>
        <v/>
      </c>
      <c r="B258" s="12" t="n"/>
      <c r="C258" s="13" t="n"/>
      <c r="D258" s="20">
        <f>IF($C258="","",IFERROR(IF(VLOOKUP($C258,AcctTblE,4,0)="","(بدون نام)",VLOOKUP($C258,AcctTblE,4,0)),"کد ناشناخته"))</f>
        <v/>
      </c>
      <c r="E258" s="15" t="n"/>
      <c r="F258" s="20">
        <f>IF($B258="","",IFERROR(INDEX(WageDates,MATCH($B258,WageIds,0)),"—"))</f>
        <v/>
      </c>
      <c r="G258" s="20">
        <f>IF($B258="","",IFERROR(VLOOKUP(INDEX(WageParty,MATCH($B258,WageIds,0)),WGTbl,2,0),"—"))</f>
        <v/>
      </c>
      <c r="H258" s="12" t="n"/>
    </row>
    <row r="259">
      <c r="A259" s="10">
        <f>IF($B259="","",COUNTA($B$9:$B259))</f>
        <v/>
      </c>
      <c r="B259" s="12" t="n"/>
      <c r="C259" s="13" t="n"/>
      <c r="D259" s="14">
        <f>IF($C259="","",IFERROR(IF(VLOOKUP($C259,AcctTblE,4,0)="","(بدون نام)",VLOOKUP($C259,AcctTblE,4,0)),"کد ناشناخته"))</f>
        <v/>
      </c>
      <c r="E259" s="15" t="n"/>
      <c r="F259" s="14">
        <f>IF($B259="","",IFERROR(INDEX(WageDates,MATCH($B259,WageIds,0)),"—"))</f>
        <v/>
      </c>
      <c r="G259" s="14">
        <f>IF($B259="","",IFERROR(VLOOKUP(INDEX(WageParty,MATCH($B259,WageIds,0)),WGTbl,2,0),"—"))</f>
        <v/>
      </c>
      <c r="H259" s="12" t="n"/>
    </row>
    <row r="260">
      <c r="A260" s="19">
        <f>IF($B260="","",COUNTA($B$9:$B260))</f>
        <v/>
      </c>
      <c r="B260" s="12" t="n"/>
      <c r="C260" s="13" t="n"/>
      <c r="D260" s="20">
        <f>IF($C260="","",IFERROR(IF(VLOOKUP($C260,AcctTblE,4,0)="","(بدون نام)",VLOOKUP($C260,AcctTblE,4,0)),"کد ناشناخته"))</f>
        <v/>
      </c>
      <c r="E260" s="15" t="n"/>
      <c r="F260" s="20">
        <f>IF($B260="","",IFERROR(INDEX(WageDates,MATCH($B260,WageIds,0)),"—"))</f>
        <v/>
      </c>
      <c r="G260" s="20">
        <f>IF($B260="","",IFERROR(VLOOKUP(INDEX(WageParty,MATCH($B260,WageIds,0)),WGTbl,2,0),"—"))</f>
        <v/>
      </c>
      <c r="H260" s="12" t="n"/>
    </row>
    <row r="261">
      <c r="A261" s="10">
        <f>IF($B261="","",COUNTA($B$9:$B261))</f>
        <v/>
      </c>
      <c r="B261" s="12" t="n"/>
      <c r="C261" s="13" t="n"/>
      <c r="D261" s="14">
        <f>IF($C261="","",IFERROR(IF(VLOOKUP($C261,AcctTblE,4,0)="","(بدون نام)",VLOOKUP($C261,AcctTblE,4,0)),"کد ناشناخته"))</f>
        <v/>
      </c>
      <c r="E261" s="15" t="n"/>
      <c r="F261" s="14">
        <f>IF($B261="","",IFERROR(INDEX(WageDates,MATCH($B261,WageIds,0)),"—"))</f>
        <v/>
      </c>
      <c r="G261" s="14">
        <f>IF($B261="","",IFERROR(VLOOKUP(INDEX(WageParty,MATCH($B261,WageIds,0)),WGTbl,2,0),"—"))</f>
        <v/>
      </c>
      <c r="H261" s="12" t="n"/>
    </row>
    <row r="262">
      <c r="A262" s="19">
        <f>IF($B262="","",COUNTA($B$9:$B262))</f>
        <v/>
      </c>
      <c r="B262" s="12" t="n"/>
      <c r="C262" s="13" t="n"/>
      <c r="D262" s="20">
        <f>IF($C262="","",IFERROR(IF(VLOOKUP($C262,AcctTblE,4,0)="","(بدون نام)",VLOOKUP($C262,AcctTblE,4,0)),"کد ناشناخته"))</f>
        <v/>
      </c>
      <c r="E262" s="15" t="n"/>
      <c r="F262" s="20">
        <f>IF($B262="","",IFERROR(INDEX(WageDates,MATCH($B262,WageIds,0)),"—"))</f>
        <v/>
      </c>
      <c r="G262" s="20">
        <f>IF($B262="","",IFERROR(VLOOKUP(INDEX(WageParty,MATCH($B262,WageIds,0)),WGTbl,2,0),"—"))</f>
        <v/>
      </c>
      <c r="H262" s="12" t="n"/>
    </row>
    <row r="263">
      <c r="A263" s="10">
        <f>IF($B263="","",COUNTA($B$9:$B263))</f>
        <v/>
      </c>
      <c r="B263" s="12" t="n"/>
      <c r="C263" s="13" t="n"/>
      <c r="D263" s="14">
        <f>IF($C263="","",IFERROR(IF(VLOOKUP($C263,AcctTblE,4,0)="","(بدون نام)",VLOOKUP($C263,AcctTblE,4,0)),"کد ناشناخته"))</f>
        <v/>
      </c>
      <c r="E263" s="15" t="n"/>
      <c r="F263" s="14">
        <f>IF($B263="","",IFERROR(INDEX(WageDates,MATCH($B263,WageIds,0)),"—"))</f>
        <v/>
      </c>
      <c r="G263" s="14">
        <f>IF($B263="","",IFERROR(VLOOKUP(INDEX(WageParty,MATCH($B263,WageIds,0)),WGTbl,2,0),"—"))</f>
        <v/>
      </c>
      <c r="H263" s="12" t="n"/>
    </row>
    <row r="264">
      <c r="A264" s="19">
        <f>IF($B264="","",COUNTA($B$9:$B264))</f>
        <v/>
      </c>
      <c r="B264" s="12" t="n"/>
      <c r="C264" s="13" t="n"/>
      <c r="D264" s="20">
        <f>IF($C264="","",IFERROR(IF(VLOOKUP($C264,AcctTblE,4,0)="","(بدون نام)",VLOOKUP($C264,AcctTblE,4,0)),"کد ناشناخته"))</f>
        <v/>
      </c>
      <c r="E264" s="15" t="n"/>
      <c r="F264" s="20">
        <f>IF($B264="","",IFERROR(INDEX(WageDates,MATCH($B264,WageIds,0)),"—"))</f>
        <v/>
      </c>
      <c r="G264" s="20">
        <f>IF($B264="","",IFERROR(VLOOKUP(INDEX(WageParty,MATCH($B264,WageIds,0)),WGTbl,2,0),"—"))</f>
        <v/>
      </c>
      <c r="H264" s="12" t="n"/>
    </row>
    <row r="265">
      <c r="A265" s="10">
        <f>IF($B265="","",COUNTA($B$9:$B265))</f>
        <v/>
      </c>
      <c r="B265" s="12" t="n"/>
      <c r="C265" s="13" t="n"/>
      <c r="D265" s="14">
        <f>IF($C265="","",IFERROR(IF(VLOOKUP($C265,AcctTblE,4,0)="","(بدون نام)",VLOOKUP($C265,AcctTblE,4,0)),"کد ناشناخته"))</f>
        <v/>
      </c>
      <c r="E265" s="15" t="n"/>
      <c r="F265" s="14">
        <f>IF($B265="","",IFERROR(INDEX(WageDates,MATCH($B265,WageIds,0)),"—"))</f>
        <v/>
      </c>
      <c r="G265" s="14">
        <f>IF($B265="","",IFERROR(VLOOKUP(INDEX(WageParty,MATCH($B265,WageIds,0)),WGTbl,2,0),"—"))</f>
        <v/>
      </c>
      <c r="H265" s="12" t="n"/>
    </row>
    <row r="266">
      <c r="A266" s="19">
        <f>IF($B266="","",COUNTA($B$9:$B266))</f>
        <v/>
      </c>
      <c r="B266" s="12" t="n"/>
      <c r="C266" s="13" t="n"/>
      <c r="D266" s="20">
        <f>IF($C266="","",IFERROR(IF(VLOOKUP($C266,AcctTblE,4,0)="","(بدون نام)",VLOOKUP($C266,AcctTblE,4,0)),"کد ناشناخته"))</f>
        <v/>
      </c>
      <c r="E266" s="15" t="n"/>
      <c r="F266" s="20">
        <f>IF($B266="","",IFERROR(INDEX(WageDates,MATCH($B266,WageIds,0)),"—"))</f>
        <v/>
      </c>
      <c r="G266" s="20">
        <f>IF($B266="","",IFERROR(VLOOKUP(INDEX(WageParty,MATCH($B266,WageIds,0)),WGTbl,2,0),"—"))</f>
        <v/>
      </c>
      <c r="H266" s="12" t="n"/>
    </row>
    <row r="267">
      <c r="A267" s="10">
        <f>IF($B267="","",COUNTA($B$9:$B267))</f>
        <v/>
      </c>
      <c r="B267" s="12" t="n"/>
      <c r="C267" s="13" t="n"/>
      <c r="D267" s="14">
        <f>IF($C267="","",IFERROR(IF(VLOOKUP($C267,AcctTblE,4,0)="","(بدون نام)",VLOOKUP($C267,AcctTblE,4,0)),"کد ناشناخته"))</f>
        <v/>
      </c>
      <c r="E267" s="15" t="n"/>
      <c r="F267" s="14">
        <f>IF($B267="","",IFERROR(INDEX(WageDates,MATCH($B267,WageIds,0)),"—"))</f>
        <v/>
      </c>
      <c r="G267" s="14">
        <f>IF($B267="","",IFERROR(VLOOKUP(INDEX(WageParty,MATCH($B267,WageIds,0)),WGTbl,2,0),"—"))</f>
        <v/>
      </c>
      <c r="H267" s="12" t="n"/>
    </row>
    <row r="268">
      <c r="A268" s="19">
        <f>IF($B268="","",COUNTA($B$9:$B268))</f>
        <v/>
      </c>
      <c r="B268" s="12" t="n"/>
      <c r="C268" s="13" t="n"/>
      <c r="D268" s="20">
        <f>IF($C268="","",IFERROR(IF(VLOOKUP($C268,AcctTblE,4,0)="","(بدون نام)",VLOOKUP($C268,AcctTblE,4,0)),"کد ناشناخته"))</f>
        <v/>
      </c>
      <c r="E268" s="15" t="n"/>
      <c r="F268" s="20">
        <f>IF($B268="","",IFERROR(INDEX(WageDates,MATCH($B268,WageIds,0)),"—"))</f>
        <v/>
      </c>
      <c r="G268" s="20">
        <f>IF($B268="","",IFERROR(VLOOKUP(INDEX(WageParty,MATCH($B268,WageIds,0)),WGTbl,2,0),"—"))</f>
        <v/>
      </c>
      <c r="H268" s="12" t="n"/>
    </row>
    <row r="269">
      <c r="A269" s="10">
        <f>IF($B269="","",COUNTA($B$9:$B269))</f>
        <v/>
      </c>
      <c r="B269" s="12" t="n"/>
      <c r="C269" s="13" t="n"/>
      <c r="D269" s="14">
        <f>IF($C269="","",IFERROR(IF(VLOOKUP($C269,AcctTblE,4,0)="","(بدون نام)",VLOOKUP($C269,AcctTblE,4,0)),"کد ناشناخته"))</f>
        <v/>
      </c>
      <c r="E269" s="15" t="n"/>
      <c r="F269" s="14">
        <f>IF($B269="","",IFERROR(INDEX(WageDates,MATCH($B269,WageIds,0)),"—"))</f>
        <v/>
      </c>
      <c r="G269" s="14">
        <f>IF($B269="","",IFERROR(VLOOKUP(INDEX(WageParty,MATCH($B269,WageIds,0)),WGTbl,2,0),"—"))</f>
        <v/>
      </c>
      <c r="H269" s="12" t="n"/>
    </row>
    <row r="270">
      <c r="A270" s="19">
        <f>IF($B270="","",COUNTA($B$9:$B270))</f>
        <v/>
      </c>
      <c r="B270" s="12" t="n"/>
      <c r="C270" s="13" t="n"/>
      <c r="D270" s="20">
        <f>IF($C270="","",IFERROR(IF(VLOOKUP($C270,AcctTblE,4,0)="","(بدون نام)",VLOOKUP($C270,AcctTblE,4,0)),"کد ناشناخته"))</f>
        <v/>
      </c>
      <c r="E270" s="15" t="n"/>
      <c r="F270" s="20">
        <f>IF($B270="","",IFERROR(INDEX(WageDates,MATCH($B270,WageIds,0)),"—"))</f>
        <v/>
      </c>
      <c r="G270" s="20">
        <f>IF($B270="","",IFERROR(VLOOKUP(INDEX(WageParty,MATCH($B270,WageIds,0)),WGTbl,2,0),"—"))</f>
        <v/>
      </c>
      <c r="H270" s="12" t="n"/>
    </row>
    <row r="271">
      <c r="A271" s="10">
        <f>IF($B271="","",COUNTA($B$9:$B271))</f>
        <v/>
      </c>
      <c r="B271" s="12" t="n"/>
      <c r="C271" s="13" t="n"/>
      <c r="D271" s="14">
        <f>IF($C271="","",IFERROR(IF(VLOOKUP($C271,AcctTblE,4,0)="","(بدون نام)",VLOOKUP($C271,AcctTblE,4,0)),"کد ناشناخته"))</f>
        <v/>
      </c>
      <c r="E271" s="15" t="n"/>
      <c r="F271" s="14">
        <f>IF($B271="","",IFERROR(INDEX(WageDates,MATCH($B271,WageIds,0)),"—"))</f>
        <v/>
      </c>
      <c r="G271" s="14">
        <f>IF($B271="","",IFERROR(VLOOKUP(INDEX(WageParty,MATCH($B271,WageIds,0)),WGTbl,2,0),"—"))</f>
        <v/>
      </c>
      <c r="H271" s="12" t="n"/>
    </row>
    <row r="272">
      <c r="A272" s="19">
        <f>IF($B272="","",COUNTA($B$9:$B272))</f>
        <v/>
      </c>
      <c r="B272" s="12" t="n"/>
      <c r="C272" s="13" t="n"/>
      <c r="D272" s="20">
        <f>IF($C272="","",IFERROR(IF(VLOOKUP($C272,AcctTblE,4,0)="","(بدون نام)",VLOOKUP($C272,AcctTblE,4,0)),"کد ناشناخته"))</f>
        <v/>
      </c>
      <c r="E272" s="15" t="n"/>
      <c r="F272" s="20">
        <f>IF($B272="","",IFERROR(INDEX(WageDates,MATCH($B272,WageIds,0)),"—"))</f>
        <v/>
      </c>
      <c r="G272" s="20">
        <f>IF($B272="","",IFERROR(VLOOKUP(INDEX(WageParty,MATCH($B272,WageIds,0)),WGTbl,2,0),"—"))</f>
        <v/>
      </c>
      <c r="H272" s="12" t="n"/>
    </row>
    <row r="273">
      <c r="A273" s="10">
        <f>IF($B273="","",COUNTA($B$9:$B273))</f>
        <v/>
      </c>
      <c r="B273" s="12" t="n"/>
      <c r="C273" s="13" t="n"/>
      <c r="D273" s="14">
        <f>IF($C273="","",IFERROR(IF(VLOOKUP($C273,AcctTblE,4,0)="","(بدون نام)",VLOOKUP($C273,AcctTblE,4,0)),"کد ناشناخته"))</f>
        <v/>
      </c>
      <c r="E273" s="15" t="n"/>
      <c r="F273" s="14">
        <f>IF($B273="","",IFERROR(INDEX(WageDates,MATCH($B273,WageIds,0)),"—"))</f>
        <v/>
      </c>
      <c r="G273" s="14">
        <f>IF($B273="","",IFERROR(VLOOKUP(INDEX(WageParty,MATCH($B273,WageIds,0)),WGTbl,2,0),"—"))</f>
        <v/>
      </c>
      <c r="H273" s="12" t="n"/>
    </row>
    <row r="274">
      <c r="A274" s="19">
        <f>IF($B274="","",COUNTA($B$9:$B274))</f>
        <v/>
      </c>
      <c r="B274" s="12" t="n"/>
      <c r="C274" s="13" t="n"/>
      <c r="D274" s="20">
        <f>IF($C274="","",IFERROR(IF(VLOOKUP($C274,AcctTblE,4,0)="","(بدون نام)",VLOOKUP($C274,AcctTblE,4,0)),"کد ناشناخته"))</f>
        <v/>
      </c>
      <c r="E274" s="15" t="n"/>
      <c r="F274" s="20">
        <f>IF($B274="","",IFERROR(INDEX(WageDates,MATCH($B274,WageIds,0)),"—"))</f>
        <v/>
      </c>
      <c r="G274" s="20">
        <f>IF($B274="","",IFERROR(VLOOKUP(INDEX(WageParty,MATCH($B274,WageIds,0)),WGTbl,2,0),"—"))</f>
        <v/>
      </c>
      <c r="H274" s="12" t="n"/>
    </row>
    <row r="275">
      <c r="A275" s="10">
        <f>IF($B275="","",COUNTA($B$9:$B275))</f>
        <v/>
      </c>
      <c r="B275" s="12" t="n"/>
      <c r="C275" s="13" t="n"/>
      <c r="D275" s="14">
        <f>IF($C275="","",IFERROR(IF(VLOOKUP($C275,AcctTblE,4,0)="","(بدون نام)",VLOOKUP($C275,AcctTblE,4,0)),"کد ناشناخته"))</f>
        <v/>
      </c>
      <c r="E275" s="15" t="n"/>
      <c r="F275" s="14">
        <f>IF($B275="","",IFERROR(INDEX(WageDates,MATCH($B275,WageIds,0)),"—"))</f>
        <v/>
      </c>
      <c r="G275" s="14">
        <f>IF($B275="","",IFERROR(VLOOKUP(INDEX(WageParty,MATCH($B275,WageIds,0)),WGTbl,2,0),"—"))</f>
        <v/>
      </c>
      <c r="H275" s="12" t="n"/>
    </row>
    <row r="276">
      <c r="A276" s="19">
        <f>IF($B276="","",COUNTA($B$9:$B276))</f>
        <v/>
      </c>
      <c r="B276" s="12" t="n"/>
      <c r="C276" s="13" t="n"/>
      <c r="D276" s="20">
        <f>IF($C276="","",IFERROR(IF(VLOOKUP($C276,AcctTblE,4,0)="","(بدون نام)",VLOOKUP($C276,AcctTblE,4,0)),"کد ناشناخته"))</f>
        <v/>
      </c>
      <c r="E276" s="15" t="n"/>
      <c r="F276" s="20">
        <f>IF($B276="","",IFERROR(INDEX(WageDates,MATCH($B276,WageIds,0)),"—"))</f>
        <v/>
      </c>
      <c r="G276" s="20">
        <f>IF($B276="","",IFERROR(VLOOKUP(INDEX(WageParty,MATCH($B276,WageIds,0)),WGTbl,2,0),"—"))</f>
        <v/>
      </c>
      <c r="H276" s="12" t="n"/>
    </row>
    <row r="277">
      <c r="A277" s="10">
        <f>IF($B277="","",COUNTA($B$9:$B277))</f>
        <v/>
      </c>
      <c r="B277" s="12" t="n"/>
      <c r="C277" s="13" t="n"/>
      <c r="D277" s="14">
        <f>IF($C277="","",IFERROR(IF(VLOOKUP($C277,AcctTblE,4,0)="","(بدون نام)",VLOOKUP($C277,AcctTblE,4,0)),"کد ناشناخته"))</f>
        <v/>
      </c>
      <c r="E277" s="15" t="n"/>
      <c r="F277" s="14">
        <f>IF($B277="","",IFERROR(INDEX(WageDates,MATCH($B277,WageIds,0)),"—"))</f>
        <v/>
      </c>
      <c r="G277" s="14">
        <f>IF($B277="","",IFERROR(VLOOKUP(INDEX(WageParty,MATCH($B277,WageIds,0)),WGTbl,2,0),"—"))</f>
        <v/>
      </c>
      <c r="H277" s="12" t="n"/>
    </row>
    <row r="278">
      <c r="A278" s="19">
        <f>IF($B278="","",COUNTA($B$9:$B278))</f>
        <v/>
      </c>
      <c r="B278" s="12" t="n"/>
      <c r="C278" s="13" t="n"/>
      <c r="D278" s="20">
        <f>IF($C278="","",IFERROR(IF(VLOOKUP($C278,AcctTblE,4,0)="","(بدون نام)",VLOOKUP($C278,AcctTblE,4,0)),"کد ناشناخته"))</f>
        <v/>
      </c>
      <c r="E278" s="15" t="n"/>
      <c r="F278" s="20">
        <f>IF($B278="","",IFERROR(INDEX(WageDates,MATCH($B278,WageIds,0)),"—"))</f>
        <v/>
      </c>
      <c r="G278" s="20">
        <f>IF($B278="","",IFERROR(VLOOKUP(INDEX(WageParty,MATCH($B278,WageIds,0)),WGTbl,2,0),"—"))</f>
        <v/>
      </c>
      <c r="H278" s="12" t="n"/>
    </row>
    <row r="279">
      <c r="A279" s="10">
        <f>IF($B279="","",COUNTA($B$9:$B279))</f>
        <v/>
      </c>
      <c r="B279" s="12" t="n"/>
      <c r="C279" s="13" t="n"/>
      <c r="D279" s="14">
        <f>IF($C279="","",IFERROR(IF(VLOOKUP($C279,AcctTblE,4,0)="","(بدون نام)",VLOOKUP($C279,AcctTblE,4,0)),"کد ناشناخته"))</f>
        <v/>
      </c>
      <c r="E279" s="15" t="n"/>
      <c r="F279" s="14">
        <f>IF($B279="","",IFERROR(INDEX(WageDates,MATCH($B279,WageIds,0)),"—"))</f>
        <v/>
      </c>
      <c r="G279" s="14">
        <f>IF($B279="","",IFERROR(VLOOKUP(INDEX(WageParty,MATCH($B279,WageIds,0)),WGTbl,2,0),"—"))</f>
        <v/>
      </c>
      <c r="H279" s="12" t="n"/>
    </row>
    <row r="280">
      <c r="A280" s="19">
        <f>IF($B280="","",COUNTA($B$9:$B280))</f>
        <v/>
      </c>
      <c r="B280" s="12" t="n"/>
      <c r="C280" s="13" t="n"/>
      <c r="D280" s="20">
        <f>IF($C280="","",IFERROR(IF(VLOOKUP($C280,AcctTblE,4,0)="","(بدون نام)",VLOOKUP($C280,AcctTblE,4,0)),"کد ناشناخته"))</f>
        <v/>
      </c>
      <c r="E280" s="15" t="n"/>
      <c r="F280" s="20">
        <f>IF($B280="","",IFERROR(INDEX(WageDates,MATCH($B280,WageIds,0)),"—"))</f>
        <v/>
      </c>
      <c r="G280" s="20">
        <f>IF($B280="","",IFERROR(VLOOKUP(INDEX(WageParty,MATCH($B280,WageIds,0)),WGTbl,2,0),"—"))</f>
        <v/>
      </c>
      <c r="H280" s="12" t="n"/>
    </row>
    <row r="281">
      <c r="A281" s="10">
        <f>IF($B281="","",COUNTA($B$9:$B281))</f>
        <v/>
      </c>
      <c r="B281" s="12" t="n"/>
      <c r="C281" s="13" t="n"/>
      <c r="D281" s="14">
        <f>IF($C281="","",IFERROR(IF(VLOOKUP($C281,AcctTblE,4,0)="","(بدون نام)",VLOOKUP($C281,AcctTblE,4,0)),"کد ناشناخته"))</f>
        <v/>
      </c>
      <c r="E281" s="15" t="n"/>
      <c r="F281" s="14">
        <f>IF($B281="","",IFERROR(INDEX(WageDates,MATCH($B281,WageIds,0)),"—"))</f>
        <v/>
      </c>
      <c r="G281" s="14">
        <f>IF($B281="","",IFERROR(VLOOKUP(INDEX(WageParty,MATCH($B281,WageIds,0)),WGTbl,2,0),"—"))</f>
        <v/>
      </c>
      <c r="H281" s="12" t="n"/>
    </row>
    <row r="282">
      <c r="A282" s="19">
        <f>IF($B282="","",COUNTA($B$9:$B282))</f>
        <v/>
      </c>
      <c r="B282" s="12" t="n"/>
      <c r="C282" s="13" t="n"/>
      <c r="D282" s="20">
        <f>IF($C282="","",IFERROR(IF(VLOOKUP($C282,AcctTblE,4,0)="","(بدون نام)",VLOOKUP($C282,AcctTblE,4,0)),"کد ناشناخته"))</f>
        <v/>
      </c>
      <c r="E282" s="15" t="n"/>
      <c r="F282" s="20">
        <f>IF($B282="","",IFERROR(INDEX(WageDates,MATCH($B282,WageIds,0)),"—"))</f>
        <v/>
      </c>
      <c r="G282" s="20">
        <f>IF($B282="","",IFERROR(VLOOKUP(INDEX(WageParty,MATCH($B282,WageIds,0)),WGTbl,2,0),"—"))</f>
        <v/>
      </c>
      <c r="H282" s="12" t="n"/>
    </row>
    <row r="283">
      <c r="A283" s="10">
        <f>IF($B283="","",COUNTA($B$9:$B283))</f>
        <v/>
      </c>
      <c r="B283" s="12" t="n"/>
      <c r="C283" s="13" t="n"/>
      <c r="D283" s="14">
        <f>IF($C283="","",IFERROR(IF(VLOOKUP($C283,AcctTblE,4,0)="","(بدون نام)",VLOOKUP($C283,AcctTblE,4,0)),"کد ناشناخته"))</f>
        <v/>
      </c>
      <c r="E283" s="15" t="n"/>
      <c r="F283" s="14">
        <f>IF($B283="","",IFERROR(INDEX(WageDates,MATCH($B283,WageIds,0)),"—"))</f>
        <v/>
      </c>
      <c r="G283" s="14">
        <f>IF($B283="","",IFERROR(VLOOKUP(INDEX(WageParty,MATCH($B283,WageIds,0)),WGTbl,2,0),"—"))</f>
        <v/>
      </c>
      <c r="H283" s="12" t="n"/>
    </row>
    <row r="284">
      <c r="A284" s="19">
        <f>IF($B284="","",COUNTA($B$9:$B284))</f>
        <v/>
      </c>
      <c r="B284" s="12" t="n"/>
      <c r="C284" s="13" t="n"/>
      <c r="D284" s="20">
        <f>IF($C284="","",IFERROR(IF(VLOOKUP($C284,AcctTblE,4,0)="","(بدون نام)",VLOOKUP($C284,AcctTblE,4,0)),"کد ناشناخته"))</f>
        <v/>
      </c>
      <c r="E284" s="15" t="n"/>
      <c r="F284" s="20">
        <f>IF($B284="","",IFERROR(INDEX(WageDates,MATCH($B284,WageIds,0)),"—"))</f>
        <v/>
      </c>
      <c r="G284" s="20">
        <f>IF($B284="","",IFERROR(VLOOKUP(INDEX(WageParty,MATCH($B284,WageIds,0)),WGTbl,2,0),"—"))</f>
        <v/>
      </c>
      <c r="H284" s="12" t="n"/>
    </row>
    <row r="285">
      <c r="A285" s="10">
        <f>IF($B285="","",COUNTA($B$9:$B285))</f>
        <v/>
      </c>
      <c r="B285" s="12" t="n"/>
      <c r="C285" s="13" t="n"/>
      <c r="D285" s="14">
        <f>IF($C285="","",IFERROR(IF(VLOOKUP($C285,AcctTblE,4,0)="","(بدون نام)",VLOOKUP($C285,AcctTblE,4,0)),"کد ناشناخته"))</f>
        <v/>
      </c>
      <c r="E285" s="15" t="n"/>
      <c r="F285" s="14">
        <f>IF($B285="","",IFERROR(INDEX(WageDates,MATCH($B285,WageIds,0)),"—"))</f>
        <v/>
      </c>
      <c r="G285" s="14">
        <f>IF($B285="","",IFERROR(VLOOKUP(INDEX(WageParty,MATCH($B285,WageIds,0)),WGTbl,2,0),"—"))</f>
        <v/>
      </c>
      <c r="H285" s="12" t="n"/>
    </row>
    <row r="286">
      <c r="A286" s="19">
        <f>IF($B286="","",COUNTA($B$9:$B286))</f>
        <v/>
      </c>
      <c r="B286" s="12" t="n"/>
      <c r="C286" s="13" t="n"/>
      <c r="D286" s="20">
        <f>IF($C286="","",IFERROR(IF(VLOOKUP($C286,AcctTblE,4,0)="","(بدون نام)",VLOOKUP($C286,AcctTblE,4,0)),"کد ناشناخته"))</f>
        <v/>
      </c>
      <c r="E286" s="15" t="n"/>
      <c r="F286" s="20">
        <f>IF($B286="","",IFERROR(INDEX(WageDates,MATCH($B286,WageIds,0)),"—"))</f>
        <v/>
      </c>
      <c r="G286" s="20">
        <f>IF($B286="","",IFERROR(VLOOKUP(INDEX(WageParty,MATCH($B286,WageIds,0)),WGTbl,2,0),"—"))</f>
        <v/>
      </c>
      <c r="H286" s="12" t="n"/>
    </row>
    <row r="287">
      <c r="A287" s="10">
        <f>IF($B287="","",COUNTA($B$9:$B287))</f>
        <v/>
      </c>
      <c r="B287" s="12" t="n"/>
      <c r="C287" s="13" t="n"/>
      <c r="D287" s="14">
        <f>IF($C287="","",IFERROR(IF(VLOOKUP($C287,AcctTblE,4,0)="","(بدون نام)",VLOOKUP($C287,AcctTblE,4,0)),"کد ناشناخته"))</f>
        <v/>
      </c>
      <c r="E287" s="15" t="n"/>
      <c r="F287" s="14">
        <f>IF($B287="","",IFERROR(INDEX(WageDates,MATCH($B287,WageIds,0)),"—"))</f>
        <v/>
      </c>
      <c r="G287" s="14">
        <f>IF($B287="","",IFERROR(VLOOKUP(INDEX(WageParty,MATCH($B287,WageIds,0)),WGTbl,2,0),"—"))</f>
        <v/>
      </c>
      <c r="H287" s="12" t="n"/>
    </row>
    <row r="288">
      <c r="A288" s="19">
        <f>IF($B288="","",COUNTA($B$9:$B288))</f>
        <v/>
      </c>
      <c r="B288" s="12" t="n"/>
      <c r="C288" s="13" t="n"/>
      <c r="D288" s="20">
        <f>IF($C288="","",IFERROR(IF(VLOOKUP($C288,AcctTblE,4,0)="","(بدون نام)",VLOOKUP($C288,AcctTblE,4,0)),"کد ناشناخته"))</f>
        <v/>
      </c>
      <c r="E288" s="15" t="n"/>
      <c r="F288" s="20">
        <f>IF($B288="","",IFERROR(INDEX(WageDates,MATCH($B288,WageIds,0)),"—"))</f>
        <v/>
      </c>
      <c r="G288" s="20">
        <f>IF($B288="","",IFERROR(VLOOKUP(INDEX(WageParty,MATCH($B288,WageIds,0)),WGTbl,2,0),"—"))</f>
        <v/>
      </c>
      <c r="H288" s="12" t="n"/>
    </row>
    <row r="289">
      <c r="A289" s="10">
        <f>IF($B289="","",COUNTA($B$9:$B289))</f>
        <v/>
      </c>
      <c r="B289" s="12" t="n"/>
      <c r="C289" s="13" t="n"/>
      <c r="D289" s="14">
        <f>IF($C289="","",IFERROR(IF(VLOOKUP($C289,AcctTblE,4,0)="","(بدون نام)",VLOOKUP($C289,AcctTblE,4,0)),"کد ناشناخته"))</f>
        <v/>
      </c>
      <c r="E289" s="15" t="n"/>
      <c r="F289" s="14">
        <f>IF($B289="","",IFERROR(INDEX(WageDates,MATCH($B289,WageIds,0)),"—"))</f>
        <v/>
      </c>
      <c r="G289" s="14">
        <f>IF($B289="","",IFERROR(VLOOKUP(INDEX(WageParty,MATCH($B289,WageIds,0)),WGTbl,2,0),"—"))</f>
        <v/>
      </c>
      <c r="H289" s="12" t="n"/>
    </row>
    <row r="290">
      <c r="A290" s="19">
        <f>IF($B290="","",COUNTA($B$9:$B290))</f>
        <v/>
      </c>
      <c r="B290" s="12" t="n"/>
      <c r="C290" s="13" t="n"/>
      <c r="D290" s="20">
        <f>IF($C290="","",IFERROR(IF(VLOOKUP($C290,AcctTblE,4,0)="","(بدون نام)",VLOOKUP($C290,AcctTblE,4,0)),"کد ناشناخته"))</f>
        <v/>
      </c>
      <c r="E290" s="15" t="n"/>
      <c r="F290" s="20">
        <f>IF($B290="","",IFERROR(INDEX(WageDates,MATCH($B290,WageIds,0)),"—"))</f>
        <v/>
      </c>
      <c r="G290" s="20">
        <f>IF($B290="","",IFERROR(VLOOKUP(INDEX(WageParty,MATCH($B290,WageIds,0)),WGTbl,2,0),"—"))</f>
        <v/>
      </c>
      <c r="H290" s="12" t="n"/>
    </row>
    <row r="291">
      <c r="A291" s="10">
        <f>IF($B291="","",COUNTA($B$9:$B291))</f>
        <v/>
      </c>
      <c r="B291" s="12" t="n"/>
      <c r="C291" s="13" t="n"/>
      <c r="D291" s="14">
        <f>IF($C291="","",IFERROR(IF(VLOOKUP($C291,AcctTblE,4,0)="","(بدون نام)",VLOOKUP($C291,AcctTblE,4,0)),"کد ناشناخته"))</f>
        <v/>
      </c>
      <c r="E291" s="15" t="n"/>
      <c r="F291" s="14">
        <f>IF($B291="","",IFERROR(INDEX(WageDates,MATCH($B291,WageIds,0)),"—"))</f>
        <v/>
      </c>
      <c r="G291" s="14">
        <f>IF($B291="","",IFERROR(VLOOKUP(INDEX(WageParty,MATCH($B291,WageIds,0)),WGTbl,2,0),"—"))</f>
        <v/>
      </c>
      <c r="H291" s="12" t="n"/>
    </row>
    <row r="292">
      <c r="A292" s="19">
        <f>IF($B292="","",COUNTA($B$9:$B292))</f>
        <v/>
      </c>
      <c r="B292" s="12" t="n"/>
      <c r="C292" s="13" t="n"/>
      <c r="D292" s="20">
        <f>IF($C292="","",IFERROR(IF(VLOOKUP($C292,AcctTblE,4,0)="","(بدون نام)",VLOOKUP($C292,AcctTblE,4,0)),"کد ناشناخته"))</f>
        <v/>
      </c>
      <c r="E292" s="15" t="n"/>
      <c r="F292" s="20">
        <f>IF($B292="","",IFERROR(INDEX(WageDates,MATCH($B292,WageIds,0)),"—"))</f>
        <v/>
      </c>
      <c r="G292" s="20">
        <f>IF($B292="","",IFERROR(VLOOKUP(INDEX(WageParty,MATCH($B292,WageIds,0)),WGTbl,2,0),"—"))</f>
        <v/>
      </c>
      <c r="H292" s="12" t="n"/>
    </row>
    <row r="293">
      <c r="A293" s="10">
        <f>IF($B293="","",COUNTA($B$9:$B293))</f>
        <v/>
      </c>
      <c r="B293" s="12" t="n"/>
      <c r="C293" s="13" t="n"/>
      <c r="D293" s="14">
        <f>IF($C293="","",IFERROR(IF(VLOOKUP($C293,AcctTblE,4,0)="","(بدون نام)",VLOOKUP($C293,AcctTblE,4,0)),"کد ناشناخته"))</f>
        <v/>
      </c>
      <c r="E293" s="15" t="n"/>
      <c r="F293" s="14">
        <f>IF($B293="","",IFERROR(INDEX(WageDates,MATCH($B293,WageIds,0)),"—"))</f>
        <v/>
      </c>
      <c r="G293" s="14">
        <f>IF($B293="","",IFERROR(VLOOKUP(INDEX(WageParty,MATCH($B293,WageIds,0)),WGTbl,2,0),"—"))</f>
        <v/>
      </c>
      <c r="H293" s="12" t="n"/>
    </row>
    <row r="294">
      <c r="A294" s="19">
        <f>IF($B294="","",COUNTA($B$9:$B294))</f>
        <v/>
      </c>
      <c r="B294" s="12" t="n"/>
      <c r="C294" s="13" t="n"/>
      <c r="D294" s="20">
        <f>IF($C294="","",IFERROR(IF(VLOOKUP($C294,AcctTblE,4,0)="","(بدون نام)",VLOOKUP($C294,AcctTblE,4,0)),"کد ناشناخته"))</f>
        <v/>
      </c>
      <c r="E294" s="15" t="n"/>
      <c r="F294" s="20">
        <f>IF($B294="","",IFERROR(INDEX(WageDates,MATCH($B294,WageIds,0)),"—"))</f>
        <v/>
      </c>
      <c r="G294" s="20">
        <f>IF($B294="","",IFERROR(VLOOKUP(INDEX(WageParty,MATCH($B294,WageIds,0)),WGTbl,2,0),"—"))</f>
        <v/>
      </c>
      <c r="H294" s="12" t="n"/>
    </row>
    <row r="295">
      <c r="A295" s="10">
        <f>IF($B295="","",COUNTA($B$9:$B295))</f>
        <v/>
      </c>
      <c r="B295" s="12" t="n"/>
      <c r="C295" s="13" t="n"/>
      <c r="D295" s="14">
        <f>IF($C295="","",IFERROR(IF(VLOOKUP($C295,AcctTblE,4,0)="","(بدون نام)",VLOOKUP($C295,AcctTblE,4,0)),"کد ناشناخته"))</f>
        <v/>
      </c>
      <c r="E295" s="15" t="n"/>
      <c r="F295" s="14">
        <f>IF($B295="","",IFERROR(INDEX(WageDates,MATCH($B295,WageIds,0)),"—"))</f>
        <v/>
      </c>
      <c r="G295" s="14">
        <f>IF($B295="","",IFERROR(VLOOKUP(INDEX(WageParty,MATCH($B295,WageIds,0)),WGTbl,2,0),"—"))</f>
        <v/>
      </c>
      <c r="H295" s="12" t="n"/>
    </row>
    <row r="296">
      <c r="A296" s="19">
        <f>IF($B296="","",COUNTA($B$9:$B296))</f>
        <v/>
      </c>
      <c r="B296" s="12" t="n"/>
      <c r="C296" s="13" t="n"/>
      <c r="D296" s="20">
        <f>IF($C296="","",IFERROR(IF(VLOOKUP($C296,AcctTblE,4,0)="","(بدون نام)",VLOOKUP($C296,AcctTblE,4,0)),"کد ناشناخته"))</f>
        <v/>
      </c>
      <c r="E296" s="15" t="n"/>
      <c r="F296" s="20">
        <f>IF($B296="","",IFERROR(INDEX(WageDates,MATCH($B296,WageIds,0)),"—"))</f>
        <v/>
      </c>
      <c r="G296" s="20">
        <f>IF($B296="","",IFERROR(VLOOKUP(INDEX(WageParty,MATCH($B296,WageIds,0)),WGTbl,2,0),"—"))</f>
        <v/>
      </c>
      <c r="H296" s="12" t="n"/>
    </row>
    <row r="297">
      <c r="A297" s="10">
        <f>IF($B297="","",COUNTA($B$9:$B297))</f>
        <v/>
      </c>
      <c r="B297" s="12" t="n"/>
      <c r="C297" s="13" t="n"/>
      <c r="D297" s="14">
        <f>IF($C297="","",IFERROR(IF(VLOOKUP($C297,AcctTblE,4,0)="","(بدون نام)",VLOOKUP($C297,AcctTblE,4,0)),"کد ناشناخته"))</f>
        <v/>
      </c>
      <c r="E297" s="15" t="n"/>
      <c r="F297" s="14">
        <f>IF($B297="","",IFERROR(INDEX(WageDates,MATCH($B297,WageIds,0)),"—"))</f>
        <v/>
      </c>
      <c r="G297" s="14">
        <f>IF($B297="","",IFERROR(VLOOKUP(INDEX(WageParty,MATCH($B297,WageIds,0)),WGTbl,2,0),"—"))</f>
        <v/>
      </c>
      <c r="H297" s="12" t="n"/>
    </row>
    <row r="298">
      <c r="A298" s="19">
        <f>IF($B298="","",COUNTA($B$9:$B298))</f>
        <v/>
      </c>
      <c r="B298" s="12" t="n"/>
      <c r="C298" s="13" t="n"/>
      <c r="D298" s="20">
        <f>IF($C298="","",IFERROR(IF(VLOOKUP($C298,AcctTblE,4,0)="","(بدون نام)",VLOOKUP($C298,AcctTblE,4,0)),"کد ناشناخته"))</f>
        <v/>
      </c>
      <c r="E298" s="15" t="n"/>
      <c r="F298" s="20">
        <f>IF($B298="","",IFERROR(INDEX(WageDates,MATCH($B298,WageIds,0)),"—"))</f>
        <v/>
      </c>
      <c r="G298" s="20">
        <f>IF($B298="","",IFERROR(VLOOKUP(INDEX(WageParty,MATCH($B298,WageIds,0)),WGTbl,2,0),"—"))</f>
        <v/>
      </c>
      <c r="H298" s="12" t="n"/>
    </row>
    <row r="299">
      <c r="A299" s="10">
        <f>IF($B299="","",COUNTA($B$9:$B299))</f>
        <v/>
      </c>
      <c r="B299" s="12" t="n"/>
      <c r="C299" s="13" t="n"/>
      <c r="D299" s="14">
        <f>IF($C299="","",IFERROR(IF(VLOOKUP($C299,AcctTblE,4,0)="","(بدون نام)",VLOOKUP($C299,AcctTblE,4,0)),"کد ناشناخته"))</f>
        <v/>
      </c>
      <c r="E299" s="15" t="n"/>
      <c r="F299" s="14">
        <f>IF($B299="","",IFERROR(INDEX(WageDates,MATCH($B299,WageIds,0)),"—"))</f>
        <v/>
      </c>
      <c r="G299" s="14">
        <f>IF($B299="","",IFERROR(VLOOKUP(INDEX(WageParty,MATCH($B299,WageIds,0)),WGTbl,2,0),"—"))</f>
        <v/>
      </c>
      <c r="H299" s="12" t="n"/>
    </row>
    <row r="300">
      <c r="A300" s="19">
        <f>IF($B300="","",COUNTA($B$9:$B300))</f>
        <v/>
      </c>
      <c r="B300" s="12" t="n"/>
      <c r="C300" s="13" t="n"/>
      <c r="D300" s="20">
        <f>IF($C300="","",IFERROR(IF(VLOOKUP($C300,AcctTblE,4,0)="","(بدون نام)",VLOOKUP($C300,AcctTblE,4,0)),"کد ناشناخته"))</f>
        <v/>
      </c>
      <c r="E300" s="15" t="n"/>
      <c r="F300" s="20">
        <f>IF($B300="","",IFERROR(INDEX(WageDates,MATCH($B300,WageIds,0)),"—"))</f>
        <v/>
      </c>
      <c r="G300" s="20">
        <f>IF($B300="","",IFERROR(VLOOKUP(INDEX(WageParty,MATCH($B300,WageIds,0)),WGTbl,2,0),"—"))</f>
        <v/>
      </c>
      <c r="H300" s="12" t="n"/>
    </row>
    <row r="301">
      <c r="A301" s="10">
        <f>IF($B301="","",COUNTA($B$9:$B301))</f>
        <v/>
      </c>
      <c r="B301" s="12" t="n"/>
      <c r="C301" s="13" t="n"/>
      <c r="D301" s="14">
        <f>IF($C301="","",IFERROR(IF(VLOOKUP($C301,AcctTblE,4,0)="","(بدون نام)",VLOOKUP($C301,AcctTblE,4,0)),"کد ناشناخته"))</f>
        <v/>
      </c>
      <c r="E301" s="15" t="n"/>
      <c r="F301" s="14">
        <f>IF($B301="","",IFERROR(INDEX(WageDates,MATCH($B301,WageIds,0)),"—"))</f>
        <v/>
      </c>
      <c r="G301" s="14">
        <f>IF($B301="","",IFERROR(VLOOKUP(INDEX(WageParty,MATCH($B301,WageIds,0)),WGTbl,2,0),"—"))</f>
        <v/>
      </c>
      <c r="H301" s="12" t="n"/>
    </row>
    <row r="302">
      <c r="A302" s="19">
        <f>IF($B302="","",COUNTA($B$9:$B302))</f>
        <v/>
      </c>
      <c r="B302" s="12" t="n"/>
      <c r="C302" s="13" t="n"/>
      <c r="D302" s="20">
        <f>IF($C302="","",IFERROR(IF(VLOOKUP($C302,AcctTblE,4,0)="","(بدون نام)",VLOOKUP($C302,AcctTblE,4,0)),"کد ناشناخته"))</f>
        <v/>
      </c>
      <c r="E302" s="15" t="n"/>
      <c r="F302" s="20">
        <f>IF($B302="","",IFERROR(INDEX(WageDates,MATCH($B302,WageIds,0)),"—"))</f>
        <v/>
      </c>
      <c r="G302" s="20">
        <f>IF($B302="","",IFERROR(VLOOKUP(INDEX(WageParty,MATCH($B302,WageIds,0)),WGTbl,2,0),"—"))</f>
        <v/>
      </c>
      <c r="H302" s="12" t="n"/>
    </row>
    <row r="303">
      <c r="A303" s="10">
        <f>IF($B303="","",COUNTA($B$9:$B303))</f>
        <v/>
      </c>
      <c r="B303" s="12" t="n"/>
      <c r="C303" s="13" t="n"/>
      <c r="D303" s="14">
        <f>IF($C303="","",IFERROR(IF(VLOOKUP($C303,AcctTblE,4,0)="","(بدون نام)",VLOOKUP($C303,AcctTblE,4,0)),"کد ناشناخته"))</f>
        <v/>
      </c>
      <c r="E303" s="15" t="n"/>
      <c r="F303" s="14">
        <f>IF($B303="","",IFERROR(INDEX(WageDates,MATCH($B303,WageIds,0)),"—"))</f>
        <v/>
      </c>
      <c r="G303" s="14">
        <f>IF($B303="","",IFERROR(VLOOKUP(INDEX(WageParty,MATCH($B303,WageIds,0)),WGTbl,2,0),"—"))</f>
        <v/>
      </c>
      <c r="H303" s="12" t="n"/>
    </row>
    <row r="304">
      <c r="A304" s="19">
        <f>IF($B304="","",COUNTA($B$9:$B304))</f>
        <v/>
      </c>
      <c r="B304" s="12" t="n"/>
      <c r="C304" s="13" t="n"/>
      <c r="D304" s="20">
        <f>IF($C304="","",IFERROR(IF(VLOOKUP($C304,AcctTblE,4,0)="","(بدون نام)",VLOOKUP($C304,AcctTblE,4,0)),"کد ناشناخته"))</f>
        <v/>
      </c>
      <c r="E304" s="15" t="n"/>
      <c r="F304" s="20">
        <f>IF($B304="","",IFERROR(INDEX(WageDates,MATCH($B304,WageIds,0)),"—"))</f>
        <v/>
      </c>
      <c r="G304" s="20">
        <f>IF($B304="","",IFERROR(VLOOKUP(INDEX(WageParty,MATCH($B304,WageIds,0)),WGTbl,2,0),"—"))</f>
        <v/>
      </c>
      <c r="H304" s="12" t="n"/>
    </row>
    <row r="305">
      <c r="A305" s="10">
        <f>IF($B305="","",COUNTA($B$9:$B305))</f>
        <v/>
      </c>
      <c r="B305" s="12" t="n"/>
      <c r="C305" s="13" t="n"/>
      <c r="D305" s="14">
        <f>IF($C305="","",IFERROR(IF(VLOOKUP($C305,AcctTblE,4,0)="","(بدون نام)",VLOOKUP($C305,AcctTblE,4,0)),"کد ناشناخته"))</f>
        <v/>
      </c>
      <c r="E305" s="15" t="n"/>
      <c r="F305" s="14">
        <f>IF($B305="","",IFERROR(INDEX(WageDates,MATCH($B305,WageIds,0)),"—"))</f>
        <v/>
      </c>
      <c r="G305" s="14">
        <f>IF($B305="","",IFERROR(VLOOKUP(INDEX(WageParty,MATCH($B305,WageIds,0)),WGTbl,2,0),"—"))</f>
        <v/>
      </c>
      <c r="H305" s="12" t="n"/>
    </row>
    <row r="306">
      <c r="A306" s="19">
        <f>IF($B306="","",COUNTA($B$9:$B306))</f>
        <v/>
      </c>
      <c r="B306" s="12" t="n"/>
      <c r="C306" s="13" t="n"/>
      <c r="D306" s="20">
        <f>IF($C306="","",IFERROR(IF(VLOOKUP($C306,AcctTblE,4,0)="","(بدون نام)",VLOOKUP($C306,AcctTblE,4,0)),"کد ناشناخته"))</f>
        <v/>
      </c>
      <c r="E306" s="15" t="n"/>
      <c r="F306" s="20">
        <f>IF($B306="","",IFERROR(INDEX(WageDates,MATCH($B306,WageIds,0)),"—"))</f>
        <v/>
      </c>
      <c r="G306" s="20">
        <f>IF($B306="","",IFERROR(VLOOKUP(INDEX(WageParty,MATCH($B306,WageIds,0)),WGTbl,2,0),"—"))</f>
        <v/>
      </c>
      <c r="H306" s="12" t="n"/>
    </row>
    <row r="307">
      <c r="A307" s="10">
        <f>IF($B307="","",COUNTA($B$9:$B307))</f>
        <v/>
      </c>
      <c r="B307" s="12" t="n"/>
      <c r="C307" s="13" t="n"/>
      <c r="D307" s="14">
        <f>IF($C307="","",IFERROR(IF(VLOOKUP($C307,AcctTblE,4,0)="","(بدون نام)",VLOOKUP($C307,AcctTblE,4,0)),"کد ناشناخته"))</f>
        <v/>
      </c>
      <c r="E307" s="15" t="n"/>
      <c r="F307" s="14">
        <f>IF($B307="","",IFERROR(INDEX(WageDates,MATCH($B307,WageIds,0)),"—"))</f>
        <v/>
      </c>
      <c r="G307" s="14">
        <f>IF($B307="","",IFERROR(VLOOKUP(INDEX(WageParty,MATCH($B307,WageIds,0)),WGTbl,2,0),"—"))</f>
        <v/>
      </c>
      <c r="H307" s="12" t="n"/>
    </row>
    <row r="308">
      <c r="A308" s="19">
        <f>IF($B308="","",COUNTA($B$9:$B308))</f>
        <v/>
      </c>
      <c r="B308" s="12" t="n"/>
      <c r="C308" s="13" t="n"/>
      <c r="D308" s="20">
        <f>IF($C308="","",IFERROR(IF(VLOOKUP($C308,AcctTblE,4,0)="","(بدون نام)",VLOOKUP($C308,AcctTblE,4,0)),"کد ناشناخته"))</f>
        <v/>
      </c>
      <c r="E308" s="15" t="n"/>
      <c r="F308" s="20">
        <f>IF($B308="","",IFERROR(INDEX(WageDates,MATCH($B308,WageIds,0)),"—"))</f>
        <v/>
      </c>
      <c r="G308" s="20">
        <f>IF($B308="","",IFERROR(VLOOKUP(INDEX(WageParty,MATCH($B308,WageIds,0)),WGTbl,2,0),"—"))</f>
        <v/>
      </c>
      <c r="H308" s="12" t="n"/>
    </row>
    <row r="309">
      <c r="A309" s="10">
        <f>IF($B309="","",COUNTA($B$9:$B309))</f>
        <v/>
      </c>
      <c r="B309" s="12" t="n"/>
      <c r="C309" s="13" t="n"/>
      <c r="D309" s="14">
        <f>IF($C309="","",IFERROR(IF(VLOOKUP($C309,AcctTblE,4,0)="","(بدون نام)",VLOOKUP($C309,AcctTblE,4,0)),"کد ناشناخته"))</f>
        <v/>
      </c>
      <c r="E309" s="15" t="n"/>
      <c r="F309" s="14">
        <f>IF($B309="","",IFERROR(INDEX(WageDates,MATCH($B309,WageIds,0)),"—"))</f>
        <v/>
      </c>
      <c r="G309" s="14">
        <f>IF($B309="","",IFERROR(VLOOKUP(INDEX(WageParty,MATCH($B309,WageIds,0)),WGTbl,2,0),"—"))</f>
        <v/>
      </c>
      <c r="H309" s="12" t="n"/>
    </row>
    <row r="310">
      <c r="A310" s="19">
        <f>IF($B310="","",COUNTA($B$9:$B310))</f>
        <v/>
      </c>
      <c r="B310" s="12" t="n"/>
      <c r="C310" s="13" t="n"/>
      <c r="D310" s="20">
        <f>IF($C310="","",IFERROR(IF(VLOOKUP($C310,AcctTblE,4,0)="","(بدون نام)",VLOOKUP($C310,AcctTblE,4,0)),"کد ناشناخته"))</f>
        <v/>
      </c>
      <c r="E310" s="15" t="n"/>
      <c r="F310" s="20">
        <f>IF($B310="","",IFERROR(INDEX(WageDates,MATCH($B310,WageIds,0)),"—"))</f>
        <v/>
      </c>
      <c r="G310" s="20">
        <f>IF($B310="","",IFERROR(VLOOKUP(INDEX(WageParty,MATCH($B310,WageIds,0)),WGTbl,2,0),"—"))</f>
        <v/>
      </c>
      <c r="H310" s="12" t="n"/>
    </row>
    <row r="311">
      <c r="A311" s="10">
        <f>IF($B311="","",COUNTA($B$9:$B311))</f>
        <v/>
      </c>
      <c r="B311" s="12" t="n"/>
      <c r="C311" s="13" t="n"/>
      <c r="D311" s="14">
        <f>IF($C311="","",IFERROR(IF(VLOOKUP($C311,AcctTblE,4,0)="","(بدون نام)",VLOOKUP($C311,AcctTblE,4,0)),"کد ناشناخته"))</f>
        <v/>
      </c>
      <c r="E311" s="15" t="n"/>
      <c r="F311" s="14">
        <f>IF($B311="","",IFERROR(INDEX(WageDates,MATCH($B311,WageIds,0)),"—"))</f>
        <v/>
      </c>
      <c r="G311" s="14">
        <f>IF($B311="","",IFERROR(VLOOKUP(INDEX(WageParty,MATCH($B311,WageIds,0)),WGTbl,2,0),"—"))</f>
        <v/>
      </c>
      <c r="H311" s="12" t="n"/>
    </row>
    <row r="312">
      <c r="A312" s="19">
        <f>IF($B312="","",COUNTA($B$9:$B312))</f>
        <v/>
      </c>
      <c r="B312" s="12" t="n"/>
      <c r="C312" s="13" t="n"/>
      <c r="D312" s="20">
        <f>IF($C312="","",IFERROR(IF(VLOOKUP($C312,AcctTblE,4,0)="","(بدون نام)",VLOOKUP($C312,AcctTblE,4,0)),"کد ناشناخته"))</f>
        <v/>
      </c>
      <c r="E312" s="15" t="n"/>
      <c r="F312" s="20">
        <f>IF($B312="","",IFERROR(INDEX(WageDates,MATCH($B312,WageIds,0)),"—"))</f>
        <v/>
      </c>
      <c r="G312" s="20">
        <f>IF($B312="","",IFERROR(VLOOKUP(INDEX(WageParty,MATCH($B312,WageIds,0)),WGTbl,2,0),"—"))</f>
        <v/>
      </c>
      <c r="H312" s="12" t="n"/>
    </row>
    <row r="313">
      <c r="A313" s="10">
        <f>IF($B313="","",COUNTA($B$9:$B313))</f>
        <v/>
      </c>
      <c r="B313" s="12" t="n"/>
      <c r="C313" s="13" t="n"/>
      <c r="D313" s="14">
        <f>IF($C313="","",IFERROR(IF(VLOOKUP($C313,AcctTblE,4,0)="","(بدون نام)",VLOOKUP($C313,AcctTblE,4,0)),"کد ناشناخته"))</f>
        <v/>
      </c>
      <c r="E313" s="15" t="n"/>
      <c r="F313" s="14">
        <f>IF($B313="","",IFERROR(INDEX(WageDates,MATCH($B313,WageIds,0)),"—"))</f>
        <v/>
      </c>
      <c r="G313" s="14">
        <f>IF($B313="","",IFERROR(VLOOKUP(INDEX(WageParty,MATCH($B313,WageIds,0)),WGTbl,2,0),"—"))</f>
        <v/>
      </c>
      <c r="H313" s="12" t="n"/>
    </row>
    <row r="314">
      <c r="A314" s="19">
        <f>IF($B314="","",COUNTA($B$9:$B314))</f>
        <v/>
      </c>
      <c r="B314" s="12" t="n"/>
      <c r="C314" s="13" t="n"/>
      <c r="D314" s="20">
        <f>IF($C314="","",IFERROR(IF(VLOOKUP($C314,AcctTblE,4,0)="","(بدون نام)",VLOOKUP($C314,AcctTblE,4,0)),"کد ناشناخته"))</f>
        <v/>
      </c>
      <c r="E314" s="15" t="n"/>
      <c r="F314" s="20">
        <f>IF($B314="","",IFERROR(INDEX(WageDates,MATCH($B314,WageIds,0)),"—"))</f>
        <v/>
      </c>
      <c r="G314" s="20">
        <f>IF($B314="","",IFERROR(VLOOKUP(INDEX(WageParty,MATCH($B314,WageIds,0)),WGTbl,2,0),"—"))</f>
        <v/>
      </c>
      <c r="H314" s="12" t="n"/>
    </row>
    <row r="315">
      <c r="A315" s="10">
        <f>IF($B315="","",COUNTA($B$9:$B315))</f>
        <v/>
      </c>
      <c r="B315" s="12" t="n"/>
      <c r="C315" s="13" t="n"/>
      <c r="D315" s="14">
        <f>IF($C315="","",IFERROR(IF(VLOOKUP($C315,AcctTblE,4,0)="","(بدون نام)",VLOOKUP($C315,AcctTblE,4,0)),"کد ناشناخته"))</f>
        <v/>
      </c>
      <c r="E315" s="15" t="n"/>
      <c r="F315" s="14">
        <f>IF($B315="","",IFERROR(INDEX(WageDates,MATCH($B315,WageIds,0)),"—"))</f>
        <v/>
      </c>
      <c r="G315" s="14">
        <f>IF($B315="","",IFERROR(VLOOKUP(INDEX(WageParty,MATCH($B315,WageIds,0)),WGTbl,2,0),"—"))</f>
        <v/>
      </c>
      <c r="H315" s="12" t="n"/>
    </row>
    <row r="316">
      <c r="A316" s="19">
        <f>IF($B316="","",COUNTA($B$9:$B316))</f>
        <v/>
      </c>
      <c r="B316" s="12" t="n"/>
      <c r="C316" s="13" t="n"/>
      <c r="D316" s="20">
        <f>IF($C316="","",IFERROR(IF(VLOOKUP($C316,AcctTblE,4,0)="","(بدون نام)",VLOOKUP($C316,AcctTblE,4,0)),"کد ناشناخته"))</f>
        <v/>
      </c>
      <c r="E316" s="15" t="n"/>
      <c r="F316" s="20">
        <f>IF($B316="","",IFERROR(INDEX(WageDates,MATCH($B316,WageIds,0)),"—"))</f>
        <v/>
      </c>
      <c r="G316" s="20">
        <f>IF($B316="","",IFERROR(VLOOKUP(INDEX(WageParty,MATCH($B316,WageIds,0)),WGTbl,2,0),"—"))</f>
        <v/>
      </c>
      <c r="H316" s="12" t="n"/>
    </row>
    <row r="317">
      <c r="A317" s="10">
        <f>IF($B317="","",COUNTA($B$9:$B317))</f>
        <v/>
      </c>
      <c r="B317" s="12" t="n"/>
      <c r="C317" s="13" t="n"/>
      <c r="D317" s="14">
        <f>IF($C317="","",IFERROR(IF(VLOOKUP($C317,AcctTblE,4,0)="","(بدون نام)",VLOOKUP($C317,AcctTblE,4,0)),"کد ناشناخته"))</f>
        <v/>
      </c>
      <c r="E317" s="15" t="n"/>
      <c r="F317" s="14">
        <f>IF($B317="","",IFERROR(INDEX(WageDates,MATCH($B317,WageIds,0)),"—"))</f>
        <v/>
      </c>
      <c r="G317" s="14">
        <f>IF($B317="","",IFERROR(VLOOKUP(INDEX(WageParty,MATCH($B317,WageIds,0)),WGTbl,2,0),"—"))</f>
        <v/>
      </c>
      <c r="H317" s="12" t="n"/>
    </row>
    <row r="318">
      <c r="A318" s="19">
        <f>IF($B318="","",COUNTA($B$9:$B318))</f>
        <v/>
      </c>
      <c r="B318" s="12" t="n"/>
      <c r="C318" s="13" t="n"/>
      <c r="D318" s="20">
        <f>IF($C318="","",IFERROR(IF(VLOOKUP($C318,AcctTblE,4,0)="","(بدون نام)",VLOOKUP($C318,AcctTblE,4,0)),"کد ناشناخته"))</f>
        <v/>
      </c>
      <c r="E318" s="15" t="n"/>
      <c r="F318" s="20">
        <f>IF($B318="","",IFERROR(INDEX(WageDates,MATCH($B318,WageIds,0)),"—"))</f>
        <v/>
      </c>
      <c r="G318" s="20">
        <f>IF($B318="","",IFERROR(VLOOKUP(INDEX(WageParty,MATCH($B318,WageIds,0)),WGTbl,2,0),"—"))</f>
        <v/>
      </c>
      <c r="H318" s="12" t="n"/>
    </row>
    <row r="319">
      <c r="A319" s="10">
        <f>IF($B319="","",COUNTA($B$9:$B319))</f>
        <v/>
      </c>
      <c r="B319" s="12" t="n"/>
      <c r="C319" s="13" t="n"/>
      <c r="D319" s="14">
        <f>IF($C319="","",IFERROR(IF(VLOOKUP($C319,AcctTblE,4,0)="","(بدون نام)",VLOOKUP($C319,AcctTblE,4,0)),"کد ناشناخته"))</f>
        <v/>
      </c>
      <c r="E319" s="15" t="n"/>
      <c r="F319" s="14">
        <f>IF($B319="","",IFERROR(INDEX(WageDates,MATCH($B319,WageIds,0)),"—"))</f>
        <v/>
      </c>
      <c r="G319" s="14">
        <f>IF($B319="","",IFERROR(VLOOKUP(INDEX(WageParty,MATCH($B319,WageIds,0)),WGTbl,2,0),"—"))</f>
        <v/>
      </c>
      <c r="H319" s="12" t="n"/>
    </row>
    <row r="320">
      <c r="A320" s="19">
        <f>IF($B320="","",COUNTA($B$9:$B320))</f>
        <v/>
      </c>
      <c r="B320" s="12" t="n"/>
      <c r="C320" s="13" t="n"/>
      <c r="D320" s="20">
        <f>IF($C320="","",IFERROR(IF(VLOOKUP($C320,AcctTblE,4,0)="","(بدون نام)",VLOOKUP($C320,AcctTblE,4,0)),"کد ناشناخته"))</f>
        <v/>
      </c>
      <c r="E320" s="15" t="n"/>
      <c r="F320" s="20">
        <f>IF($B320="","",IFERROR(INDEX(WageDates,MATCH($B320,WageIds,0)),"—"))</f>
        <v/>
      </c>
      <c r="G320" s="20">
        <f>IF($B320="","",IFERROR(VLOOKUP(INDEX(WageParty,MATCH($B320,WageIds,0)),WGTbl,2,0),"—"))</f>
        <v/>
      </c>
      <c r="H320" s="12" t="n"/>
    </row>
    <row r="321">
      <c r="A321" s="10">
        <f>IF($B321="","",COUNTA($B$9:$B321))</f>
        <v/>
      </c>
      <c r="B321" s="12" t="n"/>
      <c r="C321" s="13" t="n"/>
      <c r="D321" s="14">
        <f>IF($C321="","",IFERROR(IF(VLOOKUP($C321,AcctTblE,4,0)="","(بدون نام)",VLOOKUP($C321,AcctTblE,4,0)),"کد ناشناخته"))</f>
        <v/>
      </c>
      <c r="E321" s="15" t="n"/>
      <c r="F321" s="14">
        <f>IF($B321="","",IFERROR(INDEX(WageDates,MATCH($B321,WageIds,0)),"—"))</f>
        <v/>
      </c>
      <c r="G321" s="14">
        <f>IF($B321="","",IFERROR(VLOOKUP(INDEX(WageParty,MATCH($B321,WageIds,0)),WGTbl,2,0),"—"))</f>
        <v/>
      </c>
      <c r="H321" s="12" t="n"/>
    </row>
    <row r="322">
      <c r="A322" s="19">
        <f>IF($B322="","",COUNTA($B$9:$B322))</f>
        <v/>
      </c>
      <c r="B322" s="12" t="n"/>
      <c r="C322" s="13" t="n"/>
      <c r="D322" s="20">
        <f>IF($C322="","",IFERROR(IF(VLOOKUP($C322,AcctTblE,4,0)="","(بدون نام)",VLOOKUP($C322,AcctTblE,4,0)),"کد ناشناخته"))</f>
        <v/>
      </c>
      <c r="E322" s="15" t="n"/>
      <c r="F322" s="20">
        <f>IF($B322="","",IFERROR(INDEX(WageDates,MATCH($B322,WageIds,0)),"—"))</f>
        <v/>
      </c>
      <c r="G322" s="20">
        <f>IF($B322="","",IFERROR(VLOOKUP(INDEX(WageParty,MATCH($B322,WageIds,0)),WGTbl,2,0),"—"))</f>
        <v/>
      </c>
      <c r="H322" s="12" t="n"/>
    </row>
    <row r="323">
      <c r="A323" s="10">
        <f>IF($B323="","",COUNTA($B$9:$B323))</f>
        <v/>
      </c>
      <c r="B323" s="12" t="n"/>
      <c r="C323" s="13" t="n"/>
      <c r="D323" s="14">
        <f>IF($C323="","",IFERROR(IF(VLOOKUP($C323,AcctTblE,4,0)="","(بدون نام)",VLOOKUP($C323,AcctTblE,4,0)),"کد ناشناخته"))</f>
        <v/>
      </c>
      <c r="E323" s="15" t="n"/>
      <c r="F323" s="14">
        <f>IF($B323="","",IFERROR(INDEX(WageDates,MATCH($B323,WageIds,0)),"—"))</f>
        <v/>
      </c>
      <c r="G323" s="14">
        <f>IF($B323="","",IFERROR(VLOOKUP(INDEX(WageParty,MATCH($B323,WageIds,0)),WGTbl,2,0),"—"))</f>
        <v/>
      </c>
      <c r="H323" s="12" t="n"/>
    </row>
    <row r="324">
      <c r="A324" s="19">
        <f>IF($B324="","",COUNTA($B$9:$B324))</f>
        <v/>
      </c>
      <c r="B324" s="12" t="n"/>
      <c r="C324" s="13" t="n"/>
      <c r="D324" s="20">
        <f>IF($C324="","",IFERROR(IF(VLOOKUP($C324,AcctTblE,4,0)="","(بدون نام)",VLOOKUP($C324,AcctTblE,4,0)),"کد ناشناخته"))</f>
        <v/>
      </c>
      <c r="E324" s="15" t="n"/>
      <c r="F324" s="20">
        <f>IF($B324="","",IFERROR(INDEX(WageDates,MATCH($B324,WageIds,0)),"—"))</f>
        <v/>
      </c>
      <c r="G324" s="20">
        <f>IF($B324="","",IFERROR(VLOOKUP(INDEX(WageParty,MATCH($B324,WageIds,0)),WGTbl,2,0),"—"))</f>
        <v/>
      </c>
      <c r="H324" s="12" t="n"/>
    </row>
    <row r="325">
      <c r="A325" s="10">
        <f>IF($B325="","",COUNTA($B$9:$B325))</f>
        <v/>
      </c>
      <c r="B325" s="12" t="n"/>
      <c r="C325" s="13" t="n"/>
      <c r="D325" s="14">
        <f>IF($C325="","",IFERROR(IF(VLOOKUP($C325,AcctTblE,4,0)="","(بدون نام)",VLOOKUP($C325,AcctTblE,4,0)),"کد ناشناخته"))</f>
        <v/>
      </c>
      <c r="E325" s="15" t="n"/>
      <c r="F325" s="14">
        <f>IF($B325="","",IFERROR(INDEX(WageDates,MATCH($B325,WageIds,0)),"—"))</f>
        <v/>
      </c>
      <c r="G325" s="14">
        <f>IF($B325="","",IFERROR(VLOOKUP(INDEX(WageParty,MATCH($B325,WageIds,0)),WGTbl,2,0),"—"))</f>
        <v/>
      </c>
      <c r="H325" s="12" t="n"/>
    </row>
    <row r="326">
      <c r="A326" s="19">
        <f>IF($B326="","",COUNTA($B$9:$B326))</f>
        <v/>
      </c>
      <c r="B326" s="12" t="n"/>
      <c r="C326" s="13" t="n"/>
      <c r="D326" s="20">
        <f>IF($C326="","",IFERROR(IF(VLOOKUP($C326,AcctTblE,4,0)="","(بدون نام)",VLOOKUP($C326,AcctTblE,4,0)),"کد ناشناخته"))</f>
        <v/>
      </c>
      <c r="E326" s="15" t="n"/>
      <c r="F326" s="20">
        <f>IF($B326="","",IFERROR(INDEX(WageDates,MATCH($B326,WageIds,0)),"—"))</f>
        <v/>
      </c>
      <c r="G326" s="20">
        <f>IF($B326="","",IFERROR(VLOOKUP(INDEX(WageParty,MATCH($B326,WageIds,0)),WGTbl,2,0),"—"))</f>
        <v/>
      </c>
      <c r="H326" s="12" t="n"/>
    </row>
    <row r="327">
      <c r="A327" s="10">
        <f>IF($B327="","",COUNTA($B$9:$B327))</f>
        <v/>
      </c>
      <c r="B327" s="12" t="n"/>
      <c r="C327" s="13" t="n"/>
      <c r="D327" s="14">
        <f>IF($C327="","",IFERROR(IF(VLOOKUP($C327,AcctTblE,4,0)="","(بدون نام)",VLOOKUP($C327,AcctTblE,4,0)),"کد ناشناخته"))</f>
        <v/>
      </c>
      <c r="E327" s="15" t="n"/>
      <c r="F327" s="14">
        <f>IF($B327="","",IFERROR(INDEX(WageDates,MATCH($B327,WageIds,0)),"—"))</f>
        <v/>
      </c>
      <c r="G327" s="14">
        <f>IF($B327="","",IFERROR(VLOOKUP(INDEX(WageParty,MATCH($B327,WageIds,0)),WGTbl,2,0),"—"))</f>
        <v/>
      </c>
      <c r="H327" s="12" t="n"/>
    </row>
    <row r="328">
      <c r="A328" s="19">
        <f>IF($B328="","",COUNTA($B$9:$B328))</f>
        <v/>
      </c>
      <c r="B328" s="12" t="n"/>
      <c r="C328" s="13" t="n"/>
      <c r="D328" s="20">
        <f>IF($C328="","",IFERROR(IF(VLOOKUP($C328,AcctTblE,4,0)="","(بدون نام)",VLOOKUP($C328,AcctTblE,4,0)),"کد ناشناخته"))</f>
        <v/>
      </c>
      <c r="E328" s="15" t="n"/>
      <c r="F328" s="20">
        <f>IF($B328="","",IFERROR(INDEX(WageDates,MATCH($B328,WageIds,0)),"—"))</f>
        <v/>
      </c>
      <c r="G328" s="20">
        <f>IF($B328="","",IFERROR(VLOOKUP(INDEX(WageParty,MATCH($B328,WageIds,0)),WGTbl,2,0),"—"))</f>
        <v/>
      </c>
      <c r="H328" s="12" t="n"/>
    </row>
    <row r="329">
      <c r="A329" s="10">
        <f>IF($B329="","",COUNTA($B$9:$B329))</f>
        <v/>
      </c>
      <c r="B329" s="12" t="n"/>
      <c r="C329" s="13" t="n"/>
      <c r="D329" s="14">
        <f>IF($C329="","",IFERROR(IF(VLOOKUP($C329,AcctTblE,4,0)="","(بدون نام)",VLOOKUP($C329,AcctTblE,4,0)),"کد ناشناخته"))</f>
        <v/>
      </c>
      <c r="E329" s="15" t="n"/>
      <c r="F329" s="14">
        <f>IF($B329="","",IFERROR(INDEX(WageDates,MATCH($B329,WageIds,0)),"—"))</f>
        <v/>
      </c>
      <c r="G329" s="14">
        <f>IF($B329="","",IFERROR(VLOOKUP(INDEX(WageParty,MATCH($B329,WageIds,0)),WGTbl,2,0),"—"))</f>
        <v/>
      </c>
      <c r="H329" s="12" t="n"/>
    </row>
    <row r="330">
      <c r="A330" s="19">
        <f>IF($B330="","",COUNTA($B$9:$B330))</f>
        <v/>
      </c>
      <c r="B330" s="12" t="n"/>
      <c r="C330" s="13" t="n"/>
      <c r="D330" s="20">
        <f>IF($C330="","",IFERROR(IF(VLOOKUP($C330,AcctTblE,4,0)="","(بدون نام)",VLOOKUP($C330,AcctTblE,4,0)),"کد ناشناخته"))</f>
        <v/>
      </c>
      <c r="E330" s="15" t="n"/>
      <c r="F330" s="20">
        <f>IF($B330="","",IFERROR(INDEX(WageDates,MATCH($B330,WageIds,0)),"—"))</f>
        <v/>
      </c>
      <c r="G330" s="20">
        <f>IF($B330="","",IFERROR(VLOOKUP(INDEX(WageParty,MATCH($B330,WageIds,0)),WGTbl,2,0),"—"))</f>
        <v/>
      </c>
      <c r="H330" s="12" t="n"/>
    </row>
    <row r="331">
      <c r="A331" s="10">
        <f>IF($B331="","",COUNTA($B$9:$B331))</f>
        <v/>
      </c>
      <c r="B331" s="12" t="n"/>
      <c r="C331" s="13" t="n"/>
      <c r="D331" s="14">
        <f>IF($C331="","",IFERROR(IF(VLOOKUP($C331,AcctTblE,4,0)="","(بدون نام)",VLOOKUP($C331,AcctTblE,4,0)),"کد ناشناخته"))</f>
        <v/>
      </c>
      <c r="E331" s="15" t="n"/>
      <c r="F331" s="14">
        <f>IF($B331="","",IFERROR(INDEX(WageDates,MATCH($B331,WageIds,0)),"—"))</f>
        <v/>
      </c>
      <c r="G331" s="14">
        <f>IF($B331="","",IFERROR(VLOOKUP(INDEX(WageParty,MATCH($B331,WageIds,0)),WGTbl,2,0),"—"))</f>
        <v/>
      </c>
      <c r="H331" s="12" t="n"/>
    </row>
    <row r="332">
      <c r="A332" s="19">
        <f>IF($B332="","",COUNTA($B$9:$B332))</f>
        <v/>
      </c>
      <c r="B332" s="12" t="n"/>
      <c r="C332" s="13" t="n"/>
      <c r="D332" s="20">
        <f>IF($C332="","",IFERROR(IF(VLOOKUP($C332,AcctTblE,4,0)="","(بدون نام)",VLOOKUP($C332,AcctTblE,4,0)),"کد ناشناخته"))</f>
        <v/>
      </c>
      <c r="E332" s="15" t="n"/>
      <c r="F332" s="20">
        <f>IF($B332="","",IFERROR(INDEX(WageDates,MATCH($B332,WageIds,0)),"—"))</f>
        <v/>
      </c>
      <c r="G332" s="20">
        <f>IF($B332="","",IFERROR(VLOOKUP(INDEX(WageParty,MATCH($B332,WageIds,0)),WGTbl,2,0),"—"))</f>
        <v/>
      </c>
      <c r="H332" s="12" t="n"/>
    </row>
    <row r="333">
      <c r="A333" s="10">
        <f>IF($B333="","",COUNTA($B$9:$B333))</f>
        <v/>
      </c>
      <c r="B333" s="12" t="n"/>
      <c r="C333" s="13" t="n"/>
      <c r="D333" s="14">
        <f>IF($C333="","",IFERROR(IF(VLOOKUP($C333,AcctTblE,4,0)="","(بدون نام)",VLOOKUP($C333,AcctTblE,4,0)),"کد ناشناخته"))</f>
        <v/>
      </c>
      <c r="E333" s="15" t="n"/>
      <c r="F333" s="14">
        <f>IF($B333="","",IFERROR(INDEX(WageDates,MATCH($B333,WageIds,0)),"—"))</f>
        <v/>
      </c>
      <c r="G333" s="14">
        <f>IF($B333="","",IFERROR(VLOOKUP(INDEX(WageParty,MATCH($B333,WageIds,0)),WGTbl,2,0),"—"))</f>
        <v/>
      </c>
      <c r="H333" s="12" t="n"/>
    </row>
    <row r="334">
      <c r="A334" s="19">
        <f>IF($B334="","",COUNTA($B$9:$B334))</f>
        <v/>
      </c>
      <c r="B334" s="12" t="n"/>
      <c r="C334" s="13" t="n"/>
      <c r="D334" s="20">
        <f>IF($C334="","",IFERROR(IF(VLOOKUP($C334,AcctTblE,4,0)="","(بدون نام)",VLOOKUP($C334,AcctTblE,4,0)),"کد ناشناخته"))</f>
        <v/>
      </c>
      <c r="E334" s="15" t="n"/>
      <c r="F334" s="20">
        <f>IF($B334="","",IFERROR(INDEX(WageDates,MATCH($B334,WageIds,0)),"—"))</f>
        <v/>
      </c>
      <c r="G334" s="20">
        <f>IF($B334="","",IFERROR(VLOOKUP(INDEX(WageParty,MATCH($B334,WageIds,0)),WGTbl,2,0),"—"))</f>
        <v/>
      </c>
      <c r="H334" s="12" t="n"/>
    </row>
    <row r="335">
      <c r="A335" s="10">
        <f>IF($B335="","",COUNTA($B$9:$B335))</f>
        <v/>
      </c>
      <c r="B335" s="12" t="n"/>
      <c r="C335" s="13" t="n"/>
      <c r="D335" s="14">
        <f>IF($C335="","",IFERROR(IF(VLOOKUP($C335,AcctTblE,4,0)="","(بدون نام)",VLOOKUP($C335,AcctTblE,4,0)),"کد ناشناخته"))</f>
        <v/>
      </c>
      <c r="E335" s="15" t="n"/>
      <c r="F335" s="14">
        <f>IF($B335="","",IFERROR(INDEX(WageDates,MATCH($B335,WageIds,0)),"—"))</f>
        <v/>
      </c>
      <c r="G335" s="14">
        <f>IF($B335="","",IFERROR(VLOOKUP(INDEX(WageParty,MATCH($B335,WageIds,0)),WGTbl,2,0),"—"))</f>
        <v/>
      </c>
      <c r="H335" s="12" t="n"/>
    </row>
    <row r="336">
      <c r="A336" s="19">
        <f>IF($B336="","",COUNTA($B$9:$B336))</f>
        <v/>
      </c>
      <c r="B336" s="12" t="n"/>
      <c r="C336" s="13" t="n"/>
      <c r="D336" s="20">
        <f>IF($C336="","",IFERROR(IF(VLOOKUP($C336,AcctTblE,4,0)="","(بدون نام)",VLOOKUP($C336,AcctTblE,4,0)),"کد ناشناخته"))</f>
        <v/>
      </c>
      <c r="E336" s="15" t="n"/>
      <c r="F336" s="20">
        <f>IF($B336="","",IFERROR(INDEX(WageDates,MATCH($B336,WageIds,0)),"—"))</f>
        <v/>
      </c>
      <c r="G336" s="20">
        <f>IF($B336="","",IFERROR(VLOOKUP(INDEX(WageParty,MATCH($B336,WageIds,0)),WGTbl,2,0),"—"))</f>
        <v/>
      </c>
      <c r="H336" s="12" t="n"/>
    </row>
    <row r="337">
      <c r="A337" s="10">
        <f>IF($B337="","",COUNTA($B$9:$B337))</f>
        <v/>
      </c>
      <c r="B337" s="12" t="n"/>
      <c r="C337" s="13" t="n"/>
      <c r="D337" s="14">
        <f>IF($C337="","",IFERROR(IF(VLOOKUP($C337,AcctTblE,4,0)="","(بدون نام)",VLOOKUP($C337,AcctTblE,4,0)),"کد ناشناخته"))</f>
        <v/>
      </c>
      <c r="E337" s="15" t="n"/>
      <c r="F337" s="14">
        <f>IF($B337="","",IFERROR(INDEX(WageDates,MATCH($B337,WageIds,0)),"—"))</f>
        <v/>
      </c>
      <c r="G337" s="14">
        <f>IF($B337="","",IFERROR(VLOOKUP(INDEX(WageParty,MATCH($B337,WageIds,0)),WGTbl,2,0),"—"))</f>
        <v/>
      </c>
      <c r="H337" s="12" t="n"/>
    </row>
    <row r="338">
      <c r="A338" s="19">
        <f>IF($B338="","",COUNTA($B$9:$B338))</f>
        <v/>
      </c>
      <c r="B338" s="12" t="n"/>
      <c r="C338" s="13" t="n"/>
      <c r="D338" s="20">
        <f>IF($C338="","",IFERROR(IF(VLOOKUP($C338,AcctTblE,4,0)="","(بدون نام)",VLOOKUP($C338,AcctTblE,4,0)),"کد ناشناخته"))</f>
        <v/>
      </c>
      <c r="E338" s="15" t="n"/>
      <c r="F338" s="20">
        <f>IF($B338="","",IFERROR(INDEX(WageDates,MATCH($B338,WageIds,0)),"—"))</f>
        <v/>
      </c>
      <c r="G338" s="20">
        <f>IF($B338="","",IFERROR(VLOOKUP(INDEX(WageParty,MATCH($B338,WageIds,0)),WGTbl,2,0),"—"))</f>
        <v/>
      </c>
      <c r="H338" s="12" t="n"/>
    </row>
    <row r="339">
      <c r="A339" s="10">
        <f>IF($B339="","",COUNTA($B$9:$B339))</f>
        <v/>
      </c>
      <c r="B339" s="12" t="n"/>
      <c r="C339" s="13" t="n"/>
      <c r="D339" s="14">
        <f>IF($C339="","",IFERROR(IF(VLOOKUP($C339,AcctTblE,4,0)="","(بدون نام)",VLOOKUP($C339,AcctTblE,4,0)),"کد ناشناخته"))</f>
        <v/>
      </c>
      <c r="E339" s="15" t="n"/>
      <c r="F339" s="14">
        <f>IF($B339="","",IFERROR(INDEX(WageDates,MATCH($B339,WageIds,0)),"—"))</f>
        <v/>
      </c>
      <c r="G339" s="14">
        <f>IF($B339="","",IFERROR(VLOOKUP(INDEX(WageParty,MATCH($B339,WageIds,0)),WGTbl,2,0),"—"))</f>
        <v/>
      </c>
      <c r="H339" s="12" t="n"/>
    </row>
    <row r="340">
      <c r="A340" s="19">
        <f>IF($B340="","",COUNTA($B$9:$B340))</f>
        <v/>
      </c>
      <c r="B340" s="12" t="n"/>
      <c r="C340" s="13" t="n"/>
      <c r="D340" s="20">
        <f>IF($C340="","",IFERROR(IF(VLOOKUP($C340,AcctTblE,4,0)="","(بدون نام)",VLOOKUP($C340,AcctTblE,4,0)),"کد ناشناخته"))</f>
        <v/>
      </c>
      <c r="E340" s="15" t="n"/>
      <c r="F340" s="20">
        <f>IF($B340="","",IFERROR(INDEX(WageDates,MATCH($B340,WageIds,0)),"—"))</f>
        <v/>
      </c>
      <c r="G340" s="20">
        <f>IF($B340="","",IFERROR(VLOOKUP(INDEX(WageParty,MATCH($B340,WageIds,0)),WGTbl,2,0),"—"))</f>
        <v/>
      </c>
      <c r="H340" s="12" t="n"/>
    </row>
    <row r="341">
      <c r="A341" s="10">
        <f>IF($B341="","",COUNTA($B$9:$B341))</f>
        <v/>
      </c>
      <c r="B341" s="12" t="n"/>
      <c r="C341" s="13" t="n"/>
      <c r="D341" s="14">
        <f>IF($C341="","",IFERROR(IF(VLOOKUP($C341,AcctTblE,4,0)="","(بدون نام)",VLOOKUP($C341,AcctTblE,4,0)),"کد ناشناخته"))</f>
        <v/>
      </c>
      <c r="E341" s="15" t="n"/>
      <c r="F341" s="14">
        <f>IF($B341="","",IFERROR(INDEX(WageDates,MATCH($B341,WageIds,0)),"—"))</f>
        <v/>
      </c>
      <c r="G341" s="14">
        <f>IF($B341="","",IFERROR(VLOOKUP(INDEX(WageParty,MATCH($B341,WageIds,0)),WGTbl,2,0),"—"))</f>
        <v/>
      </c>
      <c r="H341" s="12" t="n"/>
    </row>
    <row r="342">
      <c r="A342" s="19">
        <f>IF($B342="","",COUNTA($B$9:$B342))</f>
        <v/>
      </c>
      <c r="B342" s="12" t="n"/>
      <c r="C342" s="13" t="n"/>
      <c r="D342" s="20">
        <f>IF($C342="","",IFERROR(IF(VLOOKUP($C342,AcctTblE,4,0)="","(بدون نام)",VLOOKUP($C342,AcctTblE,4,0)),"کد ناشناخته"))</f>
        <v/>
      </c>
      <c r="E342" s="15" t="n"/>
      <c r="F342" s="20">
        <f>IF($B342="","",IFERROR(INDEX(WageDates,MATCH($B342,WageIds,0)),"—"))</f>
        <v/>
      </c>
      <c r="G342" s="20">
        <f>IF($B342="","",IFERROR(VLOOKUP(INDEX(WageParty,MATCH($B342,WageIds,0)),WGTbl,2,0),"—"))</f>
        <v/>
      </c>
      <c r="H342" s="12" t="n"/>
    </row>
    <row r="343">
      <c r="A343" s="10">
        <f>IF($B343="","",COUNTA($B$9:$B343))</f>
        <v/>
      </c>
      <c r="B343" s="12" t="n"/>
      <c r="C343" s="13" t="n"/>
      <c r="D343" s="14">
        <f>IF($C343="","",IFERROR(IF(VLOOKUP($C343,AcctTblE,4,0)="","(بدون نام)",VLOOKUP($C343,AcctTblE,4,0)),"کد ناشناخته"))</f>
        <v/>
      </c>
      <c r="E343" s="15" t="n"/>
      <c r="F343" s="14">
        <f>IF($B343="","",IFERROR(INDEX(WageDates,MATCH($B343,WageIds,0)),"—"))</f>
        <v/>
      </c>
      <c r="G343" s="14">
        <f>IF($B343="","",IFERROR(VLOOKUP(INDEX(WageParty,MATCH($B343,WageIds,0)),WGTbl,2,0),"—"))</f>
        <v/>
      </c>
      <c r="H343" s="12" t="n"/>
    </row>
    <row r="344">
      <c r="A344" s="19">
        <f>IF($B344="","",COUNTA($B$9:$B344))</f>
        <v/>
      </c>
      <c r="B344" s="12" t="n"/>
      <c r="C344" s="13" t="n"/>
      <c r="D344" s="20">
        <f>IF($C344="","",IFERROR(IF(VLOOKUP($C344,AcctTblE,4,0)="","(بدون نام)",VLOOKUP($C344,AcctTblE,4,0)),"کد ناشناخته"))</f>
        <v/>
      </c>
      <c r="E344" s="15" t="n"/>
      <c r="F344" s="20">
        <f>IF($B344="","",IFERROR(INDEX(WageDates,MATCH($B344,WageIds,0)),"—"))</f>
        <v/>
      </c>
      <c r="G344" s="20">
        <f>IF($B344="","",IFERROR(VLOOKUP(INDEX(WageParty,MATCH($B344,WageIds,0)),WGTbl,2,0),"—"))</f>
        <v/>
      </c>
      <c r="H344" s="12" t="n"/>
    </row>
    <row r="345">
      <c r="A345" s="10">
        <f>IF($B345="","",COUNTA($B$9:$B345))</f>
        <v/>
      </c>
      <c r="B345" s="12" t="n"/>
      <c r="C345" s="13" t="n"/>
      <c r="D345" s="14">
        <f>IF($C345="","",IFERROR(IF(VLOOKUP($C345,AcctTblE,4,0)="","(بدون نام)",VLOOKUP($C345,AcctTblE,4,0)),"کد ناشناخته"))</f>
        <v/>
      </c>
      <c r="E345" s="15" t="n"/>
      <c r="F345" s="14">
        <f>IF($B345="","",IFERROR(INDEX(WageDates,MATCH($B345,WageIds,0)),"—"))</f>
        <v/>
      </c>
      <c r="G345" s="14">
        <f>IF($B345="","",IFERROR(VLOOKUP(INDEX(WageParty,MATCH($B345,WageIds,0)),WGTbl,2,0),"—"))</f>
        <v/>
      </c>
      <c r="H345" s="12" t="n"/>
    </row>
    <row r="346">
      <c r="A346" s="19">
        <f>IF($B346="","",COUNTA($B$9:$B346))</f>
        <v/>
      </c>
      <c r="B346" s="12" t="n"/>
      <c r="C346" s="13" t="n"/>
      <c r="D346" s="20">
        <f>IF($C346="","",IFERROR(IF(VLOOKUP($C346,AcctTblE,4,0)="","(بدون نام)",VLOOKUP($C346,AcctTblE,4,0)),"کد ناشناخته"))</f>
        <v/>
      </c>
      <c r="E346" s="15" t="n"/>
      <c r="F346" s="20">
        <f>IF($B346="","",IFERROR(INDEX(WageDates,MATCH($B346,WageIds,0)),"—"))</f>
        <v/>
      </c>
      <c r="G346" s="20">
        <f>IF($B346="","",IFERROR(VLOOKUP(INDEX(WageParty,MATCH($B346,WageIds,0)),WGTbl,2,0),"—"))</f>
        <v/>
      </c>
      <c r="H346" s="12" t="n"/>
    </row>
    <row r="347">
      <c r="A347" s="10">
        <f>IF($B347="","",COUNTA($B$9:$B347))</f>
        <v/>
      </c>
      <c r="B347" s="12" t="n"/>
      <c r="C347" s="13" t="n"/>
      <c r="D347" s="14">
        <f>IF($C347="","",IFERROR(IF(VLOOKUP($C347,AcctTblE,4,0)="","(بدون نام)",VLOOKUP($C347,AcctTblE,4,0)),"کد ناشناخته"))</f>
        <v/>
      </c>
      <c r="E347" s="15" t="n"/>
      <c r="F347" s="14">
        <f>IF($B347="","",IFERROR(INDEX(WageDates,MATCH($B347,WageIds,0)),"—"))</f>
        <v/>
      </c>
      <c r="G347" s="14">
        <f>IF($B347="","",IFERROR(VLOOKUP(INDEX(WageParty,MATCH($B347,WageIds,0)),WGTbl,2,0),"—"))</f>
        <v/>
      </c>
      <c r="H347" s="12" t="n"/>
    </row>
    <row r="348">
      <c r="A348" s="19">
        <f>IF($B348="","",COUNTA($B$9:$B348))</f>
        <v/>
      </c>
      <c r="B348" s="12" t="n"/>
      <c r="C348" s="13" t="n"/>
      <c r="D348" s="20">
        <f>IF($C348="","",IFERROR(IF(VLOOKUP($C348,AcctTblE,4,0)="","(بدون نام)",VLOOKUP($C348,AcctTblE,4,0)),"کد ناشناخته"))</f>
        <v/>
      </c>
      <c r="E348" s="15" t="n"/>
      <c r="F348" s="20">
        <f>IF($B348="","",IFERROR(INDEX(WageDates,MATCH($B348,WageIds,0)),"—"))</f>
        <v/>
      </c>
      <c r="G348" s="20">
        <f>IF($B348="","",IFERROR(VLOOKUP(INDEX(WageParty,MATCH($B348,WageIds,0)),WGTbl,2,0),"—"))</f>
        <v/>
      </c>
      <c r="H348" s="12" t="n"/>
    </row>
    <row r="349">
      <c r="A349" s="10">
        <f>IF($B349="","",COUNTA($B$9:$B349))</f>
        <v/>
      </c>
      <c r="B349" s="12" t="n"/>
      <c r="C349" s="13" t="n"/>
      <c r="D349" s="14">
        <f>IF($C349="","",IFERROR(IF(VLOOKUP($C349,AcctTblE,4,0)="","(بدون نام)",VLOOKUP($C349,AcctTblE,4,0)),"کد ناشناخته"))</f>
        <v/>
      </c>
      <c r="E349" s="15" t="n"/>
      <c r="F349" s="14">
        <f>IF($B349="","",IFERROR(INDEX(WageDates,MATCH($B349,WageIds,0)),"—"))</f>
        <v/>
      </c>
      <c r="G349" s="14">
        <f>IF($B349="","",IFERROR(VLOOKUP(INDEX(WageParty,MATCH($B349,WageIds,0)),WGTbl,2,0),"—"))</f>
        <v/>
      </c>
      <c r="H349" s="12" t="n"/>
    </row>
    <row r="350">
      <c r="A350" s="19">
        <f>IF($B350="","",COUNTA($B$9:$B350))</f>
        <v/>
      </c>
      <c r="B350" s="12" t="n"/>
      <c r="C350" s="13" t="n"/>
      <c r="D350" s="20">
        <f>IF($C350="","",IFERROR(IF(VLOOKUP($C350,AcctTblE,4,0)="","(بدون نام)",VLOOKUP($C350,AcctTblE,4,0)),"کد ناشناخته"))</f>
        <v/>
      </c>
      <c r="E350" s="15" t="n"/>
      <c r="F350" s="20">
        <f>IF($B350="","",IFERROR(INDEX(WageDates,MATCH($B350,WageIds,0)),"—"))</f>
        <v/>
      </c>
      <c r="G350" s="20">
        <f>IF($B350="","",IFERROR(VLOOKUP(INDEX(WageParty,MATCH($B350,WageIds,0)),WGTbl,2,0),"—"))</f>
        <v/>
      </c>
      <c r="H350" s="12" t="n"/>
    </row>
    <row r="351">
      <c r="A351" s="10">
        <f>IF($B351="","",COUNTA($B$9:$B351))</f>
        <v/>
      </c>
      <c r="B351" s="12" t="n"/>
      <c r="C351" s="13" t="n"/>
      <c r="D351" s="14">
        <f>IF($C351="","",IFERROR(IF(VLOOKUP($C351,AcctTblE,4,0)="","(بدون نام)",VLOOKUP($C351,AcctTblE,4,0)),"کد ناشناخته"))</f>
        <v/>
      </c>
      <c r="E351" s="15" t="n"/>
      <c r="F351" s="14">
        <f>IF($B351="","",IFERROR(INDEX(WageDates,MATCH($B351,WageIds,0)),"—"))</f>
        <v/>
      </c>
      <c r="G351" s="14">
        <f>IF($B351="","",IFERROR(VLOOKUP(INDEX(WageParty,MATCH($B351,WageIds,0)),WGTbl,2,0),"—"))</f>
        <v/>
      </c>
      <c r="H351" s="12" t="n"/>
    </row>
    <row r="352">
      <c r="A352" s="19">
        <f>IF($B352="","",COUNTA($B$9:$B352))</f>
        <v/>
      </c>
      <c r="B352" s="12" t="n"/>
      <c r="C352" s="13" t="n"/>
      <c r="D352" s="20">
        <f>IF($C352="","",IFERROR(IF(VLOOKUP($C352,AcctTblE,4,0)="","(بدون نام)",VLOOKUP($C352,AcctTblE,4,0)),"کد ناشناخته"))</f>
        <v/>
      </c>
      <c r="E352" s="15" t="n"/>
      <c r="F352" s="20">
        <f>IF($B352="","",IFERROR(INDEX(WageDates,MATCH($B352,WageIds,0)),"—"))</f>
        <v/>
      </c>
      <c r="G352" s="20">
        <f>IF($B352="","",IFERROR(VLOOKUP(INDEX(WageParty,MATCH($B352,WageIds,0)),WGTbl,2,0),"—"))</f>
        <v/>
      </c>
      <c r="H352" s="12" t="n"/>
    </row>
    <row r="353">
      <c r="A353" s="10">
        <f>IF($B353="","",COUNTA($B$9:$B353))</f>
        <v/>
      </c>
      <c r="B353" s="12" t="n"/>
      <c r="C353" s="13" t="n"/>
      <c r="D353" s="14">
        <f>IF($C353="","",IFERROR(IF(VLOOKUP($C353,AcctTblE,4,0)="","(بدون نام)",VLOOKUP($C353,AcctTblE,4,0)),"کد ناشناخته"))</f>
        <v/>
      </c>
      <c r="E353" s="15" t="n"/>
      <c r="F353" s="14">
        <f>IF($B353="","",IFERROR(INDEX(WageDates,MATCH($B353,WageIds,0)),"—"))</f>
        <v/>
      </c>
      <c r="G353" s="14">
        <f>IF($B353="","",IFERROR(VLOOKUP(INDEX(WageParty,MATCH($B353,WageIds,0)),WGTbl,2,0),"—"))</f>
        <v/>
      </c>
      <c r="H353" s="12" t="n"/>
    </row>
    <row r="354">
      <c r="A354" s="19">
        <f>IF($B354="","",COUNTA($B$9:$B354))</f>
        <v/>
      </c>
      <c r="B354" s="12" t="n"/>
      <c r="C354" s="13" t="n"/>
      <c r="D354" s="20">
        <f>IF($C354="","",IFERROR(IF(VLOOKUP($C354,AcctTblE,4,0)="","(بدون نام)",VLOOKUP($C354,AcctTblE,4,0)),"کد ناشناخته"))</f>
        <v/>
      </c>
      <c r="E354" s="15" t="n"/>
      <c r="F354" s="20">
        <f>IF($B354="","",IFERROR(INDEX(WageDates,MATCH($B354,WageIds,0)),"—"))</f>
        <v/>
      </c>
      <c r="G354" s="20">
        <f>IF($B354="","",IFERROR(VLOOKUP(INDEX(WageParty,MATCH($B354,WageIds,0)),WGTbl,2,0),"—"))</f>
        <v/>
      </c>
      <c r="H354" s="12" t="n"/>
    </row>
    <row r="355">
      <c r="A355" s="10">
        <f>IF($B355="","",COUNTA($B$9:$B355))</f>
        <v/>
      </c>
      <c r="B355" s="12" t="n"/>
      <c r="C355" s="13" t="n"/>
      <c r="D355" s="14">
        <f>IF($C355="","",IFERROR(IF(VLOOKUP($C355,AcctTblE,4,0)="","(بدون نام)",VLOOKUP($C355,AcctTblE,4,0)),"کد ناشناخته"))</f>
        <v/>
      </c>
      <c r="E355" s="15" t="n"/>
      <c r="F355" s="14">
        <f>IF($B355="","",IFERROR(INDEX(WageDates,MATCH($B355,WageIds,0)),"—"))</f>
        <v/>
      </c>
      <c r="G355" s="14">
        <f>IF($B355="","",IFERROR(VLOOKUP(INDEX(WageParty,MATCH($B355,WageIds,0)),WGTbl,2,0),"—"))</f>
        <v/>
      </c>
      <c r="H355" s="12" t="n"/>
    </row>
    <row r="356">
      <c r="A356" s="19">
        <f>IF($B356="","",COUNTA($B$9:$B356))</f>
        <v/>
      </c>
      <c r="B356" s="12" t="n"/>
      <c r="C356" s="13" t="n"/>
      <c r="D356" s="20">
        <f>IF($C356="","",IFERROR(IF(VLOOKUP($C356,AcctTblE,4,0)="","(بدون نام)",VLOOKUP($C356,AcctTblE,4,0)),"کد ناشناخته"))</f>
        <v/>
      </c>
      <c r="E356" s="15" t="n"/>
      <c r="F356" s="20">
        <f>IF($B356="","",IFERROR(INDEX(WageDates,MATCH($B356,WageIds,0)),"—"))</f>
        <v/>
      </c>
      <c r="G356" s="20">
        <f>IF($B356="","",IFERROR(VLOOKUP(INDEX(WageParty,MATCH($B356,WageIds,0)),WGTbl,2,0),"—"))</f>
        <v/>
      </c>
      <c r="H356" s="12" t="n"/>
    </row>
    <row r="357">
      <c r="A357" s="10">
        <f>IF($B357="","",COUNTA($B$9:$B357))</f>
        <v/>
      </c>
      <c r="B357" s="12" t="n"/>
      <c r="C357" s="13" t="n"/>
      <c r="D357" s="14">
        <f>IF($C357="","",IFERROR(IF(VLOOKUP($C357,AcctTblE,4,0)="","(بدون نام)",VLOOKUP($C357,AcctTblE,4,0)),"کد ناشناخته"))</f>
        <v/>
      </c>
      <c r="E357" s="15" t="n"/>
      <c r="F357" s="14">
        <f>IF($B357="","",IFERROR(INDEX(WageDates,MATCH($B357,WageIds,0)),"—"))</f>
        <v/>
      </c>
      <c r="G357" s="14">
        <f>IF($B357="","",IFERROR(VLOOKUP(INDEX(WageParty,MATCH($B357,WageIds,0)),WGTbl,2,0),"—"))</f>
        <v/>
      </c>
      <c r="H357" s="12" t="n"/>
    </row>
    <row r="358">
      <c r="A358" s="19">
        <f>IF($B358="","",COUNTA($B$9:$B358))</f>
        <v/>
      </c>
      <c r="B358" s="12" t="n"/>
      <c r="C358" s="13" t="n"/>
      <c r="D358" s="20">
        <f>IF($C358="","",IFERROR(IF(VLOOKUP($C358,AcctTblE,4,0)="","(بدون نام)",VLOOKUP($C358,AcctTblE,4,0)),"کد ناشناخته"))</f>
        <v/>
      </c>
      <c r="E358" s="15" t="n"/>
      <c r="F358" s="20">
        <f>IF($B358="","",IFERROR(INDEX(WageDates,MATCH($B358,WageIds,0)),"—"))</f>
        <v/>
      </c>
      <c r="G358" s="20">
        <f>IF($B358="","",IFERROR(VLOOKUP(INDEX(WageParty,MATCH($B358,WageIds,0)),WGTbl,2,0),"—"))</f>
        <v/>
      </c>
      <c r="H358" s="12" t="n"/>
    </row>
    <row r="359">
      <c r="A359" s="10">
        <f>IF($B359="","",COUNTA($B$9:$B359))</f>
        <v/>
      </c>
      <c r="B359" s="12" t="n"/>
      <c r="C359" s="13" t="n"/>
      <c r="D359" s="14">
        <f>IF($C359="","",IFERROR(IF(VLOOKUP($C359,AcctTblE,4,0)="","(بدون نام)",VLOOKUP($C359,AcctTblE,4,0)),"کد ناشناخته"))</f>
        <v/>
      </c>
      <c r="E359" s="15" t="n"/>
      <c r="F359" s="14">
        <f>IF($B359="","",IFERROR(INDEX(WageDates,MATCH($B359,WageIds,0)),"—"))</f>
        <v/>
      </c>
      <c r="G359" s="14">
        <f>IF($B359="","",IFERROR(VLOOKUP(INDEX(WageParty,MATCH($B359,WageIds,0)),WGTbl,2,0),"—"))</f>
        <v/>
      </c>
      <c r="H359" s="12" t="n"/>
    </row>
    <row r="360">
      <c r="A360" s="19">
        <f>IF($B360="","",COUNTA($B$9:$B360))</f>
        <v/>
      </c>
      <c r="B360" s="12" t="n"/>
      <c r="C360" s="13" t="n"/>
      <c r="D360" s="20">
        <f>IF($C360="","",IFERROR(IF(VLOOKUP($C360,AcctTblE,4,0)="","(بدون نام)",VLOOKUP($C360,AcctTblE,4,0)),"کد ناشناخته"))</f>
        <v/>
      </c>
      <c r="E360" s="15" t="n"/>
      <c r="F360" s="20">
        <f>IF($B360="","",IFERROR(INDEX(WageDates,MATCH($B360,WageIds,0)),"—"))</f>
        <v/>
      </c>
      <c r="G360" s="20">
        <f>IF($B360="","",IFERROR(VLOOKUP(INDEX(WageParty,MATCH($B360,WageIds,0)),WGTbl,2,0),"—"))</f>
        <v/>
      </c>
      <c r="H360" s="12" t="n"/>
    </row>
    <row r="361">
      <c r="A361" s="10">
        <f>IF($B361="","",COUNTA($B$9:$B361))</f>
        <v/>
      </c>
      <c r="B361" s="12" t="n"/>
      <c r="C361" s="13" t="n"/>
      <c r="D361" s="14">
        <f>IF($C361="","",IFERROR(IF(VLOOKUP($C361,AcctTblE,4,0)="","(بدون نام)",VLOOKUP($C361,AcctTblE,4,0)),"کد ناشناخته"))</f>
        <v/>
      </c>
      <c r="E361" s="15" t="n"/>
      <c r="F361" s="14">
        <f>IF($B361="","",IFERROR(INDEX(WageDates,MATCH($B361,WageIds,0)),"—"))</f>
        <v/>
      </c>
      <c r="G361" s="14">
        <f>IF($B361="","",IFERROR(VLOOKUP(INDEX(WageParty,MATCH($B361,WageIds,0)),WGTbl,2,0),"—"))</f>
        <v/>
      </c>
      <c r="H361" s="12" t="n"/>
    </row>
    <row r="362">
      <c r="A362" s="19">
        <f>IF($B362="","",COUNTA($B$9:$B362))</f>
        <v/>
      </c>
      <c r="B362" s="12" t="n"/>
      <c r="C362" s="13" t="n"/>
      <c r="D362" s="20">
        <f>IF($C362="","",IFERROR(IF(VLOOKUP($C362,AcctTblE,4,0)="","(بدون نام)",VLOOKUP($C362,AcctTblE,4,0)),"کد ناشناخته"))</f>
        <v/>
      </c>
      <c r="E362" s="15" t="n"/>
      <c r="F362" s="20">
        <f>IF($B362="","",IFERROR(INDEX(WageDates,MATCH($B362,WageIds,0)),"—"))</f>
        <v/>
      </c>
      <c r="G362" s="20">
        <f>IF($B362="","",IFERROR(VLOOKUP(INDEX(WageParty,MATCH($B362,WageIds,0)),WGTbl,2,0),"—"))</f>
        <v/>
      </c>
      <c r="H362" s="12" t="n"/>
    </row>
    <row r="363">
      <c r="A363" s="10">
        <f>IF($B363="","",COUNTA($B$9:$B363))</f>
        <v/>
      </c>
      <c r="B363" s="12" t="n"/>
      <c r="C363" s="13" t="n"/>
      <c r="D363" s="14">
        <f>IF($C363="","",IFERROR(IF(VLOOKUP($C363,AcctTblE,4,0)="","(بدون نام)",VLOOKUP($C363,AcctTblE,4,0)),"کد ناشناخته"))</f>
        <v/>
      </c>
      <c r="E363" s="15" t="n"/>
      <c r="F363" s="14">
        <f>IF($B363="","",IFERROR(INDEX(WageDates,MATCH($B363,WageIds,0)),"—"))</f>
        <v/>
      </c>
      <c r="G363" s="14">
        <f>IF($B363="","",IFERROR(VLOOKUP(INDEX(WageParty,MATCH($B363,WageIds,0)),WGTbl,2,0),"—"))</f>
        <v/>
      </c>
      <c r="H363" s="12" t="n"/>
    </row>
    <row r="364">
      <c r="A364" s="19">
        <f>IF($B364="","",COUNTA($B$9:$B364))</f>
        <v/>
      </c>
      <c r="B364" s="12" t="n"/>
      <c r="C364" s="13" t="n"/>
      <c r="D364" s="20">
        <f>IF($C364="","",IFERROR(IF(VLOOKUP($C364,AcctTblE,4,0)="","(بدون نام)",VLOOKUP($C364,AcctTblE,4,0)),"کد ناشناخته"))</f>
        <v/>
      </c>
      <c r="E364" s="15" t="n"/>
      <c r="F364" s="20">
        <f>IF($B364="","",IFERROR(INDEX(WageDates,MATCH($B364,WageIds,0)),"—"))</f>
        <v/>
      </c>
      <c r="G364" s="20">
        <f>IF($B364="","",IFERROR(VLOOKUP(INDEX(WageParty,MATCH($B364,WageIds,0)),WGTbl,2,0),"—"))</f>
        <v/>
      </c>
      <c r="H364" s="12" t="n"/>
    </row>
    <row r="365">
      <c r="A365" s="10">
        <f>IF($B365="","",COUNTA($B$9:$B365))</f>
        <v/>
      </c>
      <c r="B365" s="12" t="n"/>
      <c r="C365" s="13" t="n"/>
      <c r="D365" s="14">
        <f>IF($C365="","",IFERROR(IF(VLOOKUP($C365,AcctTblE,4,0)="","(بدون نام)",VLOOKUP($C365,AcctTblE,4,0)),"کد ناشناخته"))</f>
        <v/>
      </c>
      <c r="E365" s="15" t="n"/>
      <c r="F365" s="14">
        <f>IF($B365="","",IFERROR(INDEX(WageDates,MATCH($B365,WageIds,0)),"—"))</f>
        <v/>
      </c>
      <c r="G365" s="14">
        <f>IF($B365="","",IFERROR(VLOOKUP(INDEX(WageParty,MATCH($B365,WageIds,0)),WGTbl,2,0),"—"))</f>
        <v/>
      </c>
      <c r="H365" s="12" t="n"/>
    </row>
    <row r="366">
      <c r="A366" s="19">
        <f>IF($B366="","",COUNTA($B$9:$B366))</f>
        <v/>
      </c>
      <c r="B366" s="12" t="n"/>
      <c r="C366" s="13" t="n"/>
      <c r="D366" s="20">
        <f>IF($C366="","",IFERROR(IF(VLOOKUP($C366,AcctTblE,4,0)="","(بدون نام)",VLOOKUP($C366,AcctTblE,4,0)),"کد ناشناخته"))</f>
        <v/>
      </c>
      <c r="E366" s="15" t="n"/>
      <c r="F366" s="20">
        <f>IF($B366="","",IFERROR(INDEX(WageDates,MATCH($B366,WageIds,0)),"—"))</f>
        <v/>
      </c>
      <c r="G366" s="20">
        <f>IF($B366="","",IFERROR(VLOOKUP(INDEX(WageParty,MATCH($B366,WageIds,0)),WGTbl,2,0),"—"))</f>
        <v/>
      </c>
      <c r="H366" s="12" t="n"/>
    </row>
    <row r="367">
      <c r="A367" s="10">
        <f>IF($B367="","",COUNTA($B$9:$B367))</f>
        <v/>
      </c>
      <c r="B367" s="12" t="n"/>
      <c r="C367" s="13" t="n"/>
      <c r="D367" s="14">
        <f>IF($C367="","",IFERROR(IF(VLOOKUP($C367,AcctTblE,4,0)="","(بدون نام)",VLOOKUP($C367,AcctTblE,4,0)),"کد ناشناخته"))</f>
        <v/>
      </c>
      <c r="E367" s="15" t="n"/>
      <c r="F367" s="14">
        <f>IF($B367="","",IFERROR(INDEX(WageDates,MATCH($B367,WageIds,0)),"—"))</f>
        <v/>
      </c>
      <c r="G367" s="14">
        <f>IF($B367="","",IFERROR(VLOOKUP(INDEX(WageParty,MATCH($B367,WageIds,0)),WGTbl,2,0),"—"))</f>
        <v/>
      </c>
      <c r="H367" s="12" t="n"/>
    </row>
    <row r="368">
      <c r="A368" s="19">
        <f>IF($B368="","",COUNTA($B$9:$B368))</f>
        <v/>
      </c>
      <c r="B368" s="12" t="n"/>
      <c r="C368" s="13" t="n"/>
      <c r="D368" s="20">
        <f>IF($C368="","",IFERROR(IF(VLOOKUP($C368,AcctTblE,4,0)="","(بدون نام)",VLOOKUP($C368,AcctTblE,4,0)),"کد ناشناخته"))</f>
        <v/>
      </c>
      <c r="E368" s="15" t="n"/>
      <c r="F368" s="20">
        <f>IF($B368="","",IFERROR(INDEX(WageDates,MATCH($B368,WageIds,0)),"—"))</f>
        <v/>
      </c>
      <c r="G368" s="20">
        <f>IF($B368="","",IFERROR(VLOOKUP(INDEX(WageParty,MATCH($B368,WageIds,0)),WGTbl,2,0),"—"))</f>
        <v/>
      </c>
      <c r="H368" s="12" t="n"/>
    </row>
    <row r="369">
      <c r="A369" s="10">
        <f>IF($B369="","",COUNTA($B$9:$B369))</f>
        <v/>
      </c>
      <c r="B369" s="12" t="n"/>
      <c r="C369" s="13" t="n"/>
      <c r="D369" s="14">
        <f>IF($C369="","",IFERROR(IF(VLOOKUP($C369,AcctTblE,4,0)="","(بدون نام)",VLOOKUP($C369,AcctTblE,4,0)),"کد ناشناخته"))</f>
        <v/>
      </c>
      <c r="E369" s="15" t="n"/>
      <c r="F369" s="14">
        <f>IF($B369="","",IFERROR(INDEX(WageDates,MATCH($B369,WageIds,0)),"—"))</f>
        <v/>
      </c>
      <c r="G369" s="14">
        <f>IF($B369="","",IFERROR(VLOOKUP(INDEX(WageParty,MATCH($B369,WageIds,0)),WGTbl,2,0),"—"))</f>
        <v/>
      </c>
      <c r="H369" s="12" t="n"/>
    </row>
    <row r="370">
      <c r="A370" s="19">
        <f>IF($B370="","",COUNTA($B$9:$B370))</f>
        <v/>
      </c>
      <c r="B370" s="12" t="n"/>
      <c r="C370" s="13" t="n"/>
      <c r="D370" s="20">
        <f>IF($C370="","",IFERROR(IF(VLOOKUP($C370,AcctTblE,4,0)="","(بدون نام)",VLOOKUP($C370,AcctTblE,4,0)),"کد ناشناخته"))</f>
        <v/>
      </c>
      <c r="E370" s="15" t="n"/>
      <c r="F370" s="20">
        <f>IF($B370="","",IFERROR(INDEX(WageDates,MATCH($B370,WageIds,0)),"—"))</f>
        <v/>
      </c>
      <c r="G370" s="20">
        <f>IF($B370="","",IFERROR(VLOOKUP(INDEX(WageParty,MATCH($B370,WageIds,0)),WGTbl,2,0),"—"))</f>
        <v/>
      </c>
      <c r="H370" s="12" t="n"/>
    </row>
    <row r="371">
      <c r="A371" s="10">
        <f>IF($B371="","",COUNTA($B$9:$B371))</f>
        <v/>
      </c>
      <c r="B371" s="12" t="n"/>
      <c r="C371" s="13" t="n"/>
      <c r="D371" s="14">
        <f>IF($C371="","",IFERROR(IF(VLOOKUP($C371,AcctTblE,4,0)="","(بدون نام)",VLOOKUP($C371,AcctTblE,4,0)),"کد ناشناخته"))</f>
        <v/>
      </c>
      <c r="E371" s="15" t="n"/>
      <c r="F371" s="14">
        <f>IF($B371="","",IFERROR(INDEX(WageDates,MATCH($B371,WageIds,0)),"—"))</f>
        <v/>
      </c>
      <c r="G371" s="14">
        <f>IF($B371="","",IFERROR(VLOOKUP(INDEX(WageParty,MATCH($B371,WageIds,0)),WGTbl,2,0),"—"))</f>
        <v/>
      </c>
      <c r="H371" s="12" t="n"/>
    </row>
    <row r="372">
      <c r="A372" s="19">
        <f>IF($B372="","",COUNTA($B$9:$B372))</f>
        <v/>
      </c>
      <c r="B372" s="12" t="n"/>
      <c r="C372" s="13" t="n"/>
      <c r="D372" s="20">
        <f>IF($C372="","",IFERROR(IF(VLOOKUP($C372,AcctTblE,4,0)="","(بدون نام)",VLOOKUP($C372,AcctTblE,4,0)),"کد ناشناخته"))</f>
        <v/>
      </c>
      <c r="E372" s="15" t="n"/>
      <c r="F372" s="20">
        <f>IF($B372="","",IFERROR(INDEX(WageDates,MATCH($B372,WageIds,0)),"—"))</f>
        <v/>
      </c>
      <c r="G372" s="20">
        <f>IF($B372="","",IFERROR(VLOOKUP(INDEX(WageParty,MATCH($B372,WageIds,0)),WGTbl,2,0),"—"))</f>
        <v/>
      </c>
      <c r="H372" s="12" t="n"/>
    </row>
    <row r="373">
      <c r="A373" s="10">
        <f>IF($B373="","",COUNTA($B$9:$B373))</f>
        <v/>
      </c>
      <c r="B373" s="12" t="n"/>
      <c r="C373" s="13" t="n"/>
      <c r="D373" s="14">
        <f>IF($C373="","",IFERROR(IF(VLOOKUP($C373,AcctTblE,4,0)="","(بدون نام)",VLOOKUP($C373,AcctTblE,4,0)),"کد ناشناخته"))</f>
        <v/>
      </c>
      <c r="E373" s="15" t="n"/>
      <c r="F373" s="14">
        <f>IF($B373="","",IFERROR(INDEX(WageDates,MATCH($B373,WageIds,0)),"—"))</f>
        <v/>
      </c>
      <c r="G373" s="14">
        <f>IF($B373="","",IFERROR(VLOOKUP(INDEX(WageParty,MATCH($B373,WageIds,0)),WGTbl,2,0),"—"))</f>
        <v/>
      </c>
      <c r="H373" s="12" t="n"/>
    </row>
    <row r="374">
      <c r="A374" s="19">
        <f>IF($B374="","",COUNTA($B$9:$B374))</f>
        <v/>
      </c>
      <c r="B374" s="12" t="n"/>
      <c r="C374" s="13" t="n"/>
      <c r="D374" s="20">
        <f>IF($C374="","",IFERROR(IF(VLOOKUP($C374,AcctTblE,4,0)="","(بدون نام)",VLOOKUP($C374,AcctTblE,4,0)),"کد ناشناخته"))</f>
        <v/>
      </c>
      <c r="E374" s="15" t="n"/>
      <c r="F374" s="20">
        <f>IF($B374="","",IFERROR(INDEX(WageDates,MATCH($B374,WageIds,0)),"—"))</f>
        <v/>
      </c>
      <c r="G374" s="20">
        <f>IF($B374="","",IFERROR(VLOOKUP(INDEX(WageParty,MATCH($B374,WageIds,0)),WGTbl,2,0),"—"))</f>
        <v/>
      </c>
      <c r="H374" s="12" t="n"/>
    </row>
    <row r="375">
      <c r="A375" s="10">
        <f>IF($B375="","",COUNTA($B$9:$B375))</f>
        <v/>
      </c>
      <c r="B375" s="12" t="n"/>
      <c r="C375" s="13" t="n"/>
      <c r="D375" s="14">
        <f>IF($C375="","",IFERROR(IF(VLOOKUP($C375,AcctTblE,4,0)="","(بدون نام)",VLOOKUP($C375,AcctTblE,4,0)),"کد ناشناخته"))</f>
        <v/>
      </c>
      <c r="E375" s="15" t="n"/>
      <c r="F375" s="14">
        <f>IF($B375="","",IFERROR(INDEX(WageDates,MATCH($B375,WageIds,0)),"—"))</f>
        <v/>
      </c>
      <c r="G375" s="14">
        <f>IF($B375="","",IFERROR(VLOOKUP(INDEX(WageParty,MATCH($B375,WageIds,0)),WGTbl,2,0),"—"))</f>
        <v/>
      </c>
      <c r="H375" s="12" t="n"/>
    </row>
    <row r="376">
      <c r="A376" s="19">
        <f>IF($B376="","",COUNTA($B$9:$B376))</f>
        <v/>
      </c>
      <c r="B376" s="12" t="n"/>
      <c r="C376" s="13" t="n"/>
      <c r="D376" s="20">
        <f>IF($C376="","",IFERROR(IF(VLOOKUP($C376,AcctTblE,4,0)="","(بدون نام)",VLOOKUP($C376,AcctTblE,4,0)),"کد ناشناخته"))</f>
        <v/>
      </c>
      <c r="E376" s="15" t="n"/>
      <c r="F376" s="20">
        <f>IF($B376="","",IFERROR(INDEX(WageDates,MATCH($B376,WageIds,0)),"—"))</f>
        <v/>
      </c>
      <c r="G376" s="20">
        <f>IF($B376="","",IFERROR(VLOOKUP(INDEX(WageParty,MATCH($B376,WageIds,0)),WGTbl,2,0),"—"))</f>
        <v/>
      </c>
      <c r="H376" s="12" t="n"/>
    </row>
    <row r="377">
      <c r="A377" s="10">
        <f>IF($B377="","",COUNTA($B$9:$B377))</f>
        <v/>
      </c>
      <c r="B377" s="12" t="n"/>
      <c r="C377" s="13" t="n"/>
      <c r="D377" s="14">
        <f>IF($C377="","",IFERROR(IF(VLOOKUP($C377,AcctTblE,4,0)="","(بدون نام)",VLOOKUP($C377,AcctTblE,4,0)),"کد ناشناخته"))</f>
        <v/>
      </c>
      <c r="E377" s="15" t="n"/>
      <c r="F377" s="14">
        <f>IF($B377="","",IFERROR(INDEX(WageDates,MATCH($B377,WageIds,0)),"—"))</f>
        <v/>
      </c>
      <c r="G377" s="14">
        <f>IF($B377="","",IFERROR(VLOOKUP(INDEX(WageParty,MATCH($B377,WageIds,0)),WGTbl,2,0),"—"))</f>
        <v/>
      </c>
      <c r="H377" s="12" t="n"/>
    </row>
    <row r="378">
      <c r="A378" s="19">
        <f>IF($B378="","",COUNTA($B$9:$B378))</f>
        <v/>
      </c>
      <c r="B378" s="12" t="n"/>
      <c r="C378" s="13" t="n"/>
      <c r="D378" s="20">
        <f>IF($C378="","",IFERROR(IF(VLOOKUP($C378,AcctTblE,4,0)="","(بدون نام)",VLOOKUP($C378,AcctTblE,4,0)),"کد ناشناخته"))</f>
        <v/>
      </c>
      <c r="E378" s="15" t="n"/>
      <c r="F378" s="20">
        <f>IF($B378="","",IFERROR(INDEX(WageDates,MATCH($B378,WageIds,0)),"—"))</f>
        <v/>
      </c>
      <c r="G378" s="20">
        <f>IF($B378="","",IFERROR(VLOOKUP(INDEX(WageParty,MATCH($B378,WageIds,0)),WGTbl,2,0),"—"))</f>
        <v/>
      </c>
      <c r="H378" s="12" t="n"/>
    </row>
    <row r="379">
      <c r="A379" s="10">
        <f>IF($B379="","",COUNTA($B$9:$B379))</f>
        <v/>
      </c>
      <c r="B379" s="12" t="n"/>
      <c r="C379" s="13" t="n"/>
      <c r="D379" s="14">
        <f>IF($C379="","",IFERROR(IF(VLOOKUP($C379,AcctTblE,4,0)="","(بدون نام)",VLOOKUP($C379,AcctTblE,4,0)),"کد ناشناخته"))</f>
        <v/>
      </c>
      <c r="E379" s="15" t="n"/>
      <c r="F379" s="14">
        <f>IF($B379="","",IFERROR(INDEX(WageDates,MATCH($B379,WageIds,0)),"—"))</f>
        <v/>
      </c>
      <c r="G379" s="14">
        <f>IF($B379="","",IFERROR(VLOOKUP(INDEX(WageParty,MATCH($B379,WageIds,0)),WGTbl,2,0),"—"))</f>
        <v/>
      </c>
      <c r="H379" s="12" t="n"/>
    </row>
    <row r="380">
      <c r="A380" s="19">
        <f>IF($B380="","",COUNTA($B$9:$B380))</f>
        <v/>
      </c>
      <c r="B380" s="12" t="n"/>
      <c r="C380" s="13" t="n"/>
      <c r="D380" s="20">
        <f>IF($C380="","",IFERROR(IF(VLOOKUP($C380,AcctTblE,4,0)="","(بدون نام)",VLOOKUP($C380,AcctTblE,4,0)),"کد ناشناخته"))</f>
        <v/>
      </c>
      <c r="E380" s="15" t="n"/>
      <c r="F380" s="20">
        <f>IF($B380="","",IFERROR(INDEX(WageDates,MATCH($B380,WageIds,0)),"—"))</f>
        <v/>
      </c>
      <c r="G380" s="20">
        <f>IF($B380="","",IFERROR(VLOOKUP(INDEX(WageParty,MATCH($B380,WageIds,0)),WGTbl,2,0),"—"))</f>
        <v/>
      </c>
      <c r="H380" s="12" t="n"/>
    </row>
    <row r="381">
      <c r="A381" s="10">
        <f>IF($B381="","",COUNTA($B$9:$B381))</f>
        <v/>
      </c>
      <c r="B381" s="12" t="n"/>
      <c r="C381" s="13" t="n"/>
      <c r="D381" s="14">
        <f>IF($C381="","",IFERROR(IF(VLOOKUP($C381,AcctTblE,4,0)="","(بدون نام)",VLOOKUP($C381,AcctTblE,4,0)),"کد ناشناخته"))</f>
        <v/>
      </c>
      <c r="E381" s="15" t="n"/>
      <c r="F381" s="14">
        <f>IF($B381="","",IFERROR(INDEX(WageDates,MATCH($B381,WageIds,0)),"—"))</f>
        <v/>
      </c>
      <c r="G381" s="14">
        <f>IF($B381="","",IFERROR(VLOOKUP(INDEX(WageParty,MATCH($B381,WageIds,0)),WGTbl,2,0),"—"))</f>
        <v/>
      </c>
      <c r="H381" s="12" t="n"/>
    </row>
    <row r="382">
      <c r="A382" s="19">
        <f>IF($B382="","",COUNTA($B$9:$B382))</f>
        <v/>
      </c>
      <c r="B382" s="12" t="n"/>
      <c r="C382" s="13" t="n"/>
      <c r="D382" s="20">
        <f>IF($C382="","",IFERROR(IF(VLOOKUP($C382,AcctTblE,4,0)="","(بدون نام)",VLOOKUP($C382,AcctTblE,4,0)),"کد ناشناخته"))</f>
        <v/>
      </c>
      <c r="E382" s="15" t="n"/>
      <c r="F382" s="20">
        <f>IF($B382="","",IFERROR(INDEX(WageDates,MATCH($B382,WageIds,0)),"—"))</f>
        <v/>
      </c>
      <c r="G382" s="20">
        <f>IF($B382="","",IFERROR(VLOOKUP(INDEX(WageParty,MATCH($B382,WageIds,0)),WGTbl,2,0),"—"))</f>
        <v/>
      </c>
      <c r="H382" s="12" t="n"/>
    </row>
    <row r="383">
      <c r="A383" s="10">
        <f>IF($B383="","",COUNTA($B$9:$B383))</f>
        <v/>
      </c>
      <c r="B383" s="12" t="n"/>
      <c r="C383" s="13" t="n"/>
      <c r="D383" s="14">
        <f>IF($C383="","",IFERROR(IF(VLOOKUP($C383,AcctTblE,4,0)="","(بدون نام)",VLOOKUP($C383,AcctTblE,4,0)),"کد ناشناخته"))</f>
        <v/>
      </c>
      <c r="E383" s="15" t="n"/>
      <c r="F383" s="14">
        <f>IF($B383="","",IFERROR(INDEX(WageDates,MATCH($B383,WageIds,0)),"—"))</f>
        <v/>
      </c>
      <c r="G383" s="14">
        <f>IF($B383="","",IFERROR(VLOOKUP(INDEX(WageParty,MATCH($B383,WageIds,0)),WGTbl,2,0),"—"))</f>
        <v/>
      </c>
      <c r="H383" s="12" t="n"/>
    </row>
    <row r="384">
      <c r="A384" s="19">
        <f>IF($B384="","",COUNTA($B$9:$B384))</f>
        <v/>
      </c>
      <c r="B384" s="12" t="n"/>
      <c r="C384" s="13" t="n"/>
      <c r="D384" s="20">
        <f>IF($C384="","",IFERROR(IF(VLOOKUP($C384,AcctTblE,4,0)="","(بدون نام)",VLOOKUP($C384,AcctTblE,4,0)),"کد ناشناخته"))</f>
        <v/>
      </c>
      <c r="E384" s="15" t="n"/>
      <c r="F384" s="20">
        <f>IF($B384="","",IFERROR(INDEX(WageDates,MATCH($B384,WageIds,0)),"—"))</f>
        <v/>
      </c>
      <c r="G384" s="20">
        <f>IF($B384="","",IFERROR(VLOOKUP(INDEX(WageParty,MATCH($B384,WageIds,0)),WGTbl,2,0),"—"))</f>
        <v/>
      </c>
      <c r="H384" s="12" t="n"/>
    </row>
    <row r="385">
      <c r="A385" s="10">
        <f>IF($B385="","",COUNTA($B$9:$B385))</f>
        <v/>
      </c>
      <c r="B385" s="12" t="n"/>
      <c r="C385" s="13" t="n"/>
      <c r="D385" s="14">
        <f>IF($C385="","",IFERROR(IF(VLOOKUP($C385,AcctTblE,4,0)="","(بدون نام)",VLOOKUP($C385,AcctTblE,4,0)),"کد ناشناخته"))</f>
        <v/>
      </c>
      <c r="E385" s="15" t="n"/>
      <c r="F385" s="14">
        <f>IF($B385="","",IFERROR(INDEX(WageDates,MATCH($B385,WageIds,0)),"—"))</f>
        <v/>
      </c>
      <c r="G385" s="14">
        <f>IF($B385="","",IFERROR(VLOOKUP(INDEX(WageParty,MATCH($B385,WageIds,0)),WGTbl,2,0),"—"))</f>
        <v/>
      </c>
      <c r="H385" s="12" t="n"/>
    </row>
    <row r="386">
      <c r="A386" s="19">
        <f>IF($B386="","",COUNTA($B$9:$B386))</f>
        <v/>
      </c>
      <c r="B386" s="12" t="n"/>
      <c r="C386" s="13" t="n"/>
      <c r="D386" s="20">
        <f>IF($C386="","",IFERROR(IF(VLOOKUP($C386,AcctTblE,4,0)="","(بدون نام)",VLOOKUP($C386,AcctTblE,4,0)),"کد ناشناخته"))</f>
        <v/>
      </c>
      <c r="E386" s="15" t="n"/>
      <c r="F386" s="20">
        <f>IF($B386="","",IFERROR(INDEX(WageDates,MATCH($B386,WageIds,0)),"—"))</f>
        <v/>
      </c>
      <c r="G386" s="20">
        <f>IF($B386="","",IFERROR(VLOOKUP(INDEX(WageParty,MATCH($B386,WageIds,0)),WGTbl,2,0),"—"))</f>
        <v/>
      </c>
      <c r="H386" s="12" t="n"/>
    </row>
    <row r="387">
      <c r="A387" s="10">
        <f>IF($B387="","",COUNTA($B$9:$B387))</f>
        <v/>
      </c>
      <c r="B387" s="12" t="n"/>
      <c r="C387" s="13" t="n"/>
      <c r="D387" s="14">
        <f>IF($C387="","",IFERROR(IF(VLOOKUP($C387,AcctTblE,4,0)="","(بدون نام)",VLOOKUP($C387,AcctTblE,4,0)),"کد ناشناخته"))</f>
        <v/>
      </c>
      <c r="E387" s="15" t="n"/>
      <c r="F387" s="14">
        <f>IF($B387="","",IFERROR(INDEX(WageDates,MATCH($B387,WageIds,0)),"—"))</f>
        <v/>
      </c>
      <c r="G387" s="14">
        <f>IF($B387="","",IFERROR(VLOOKUP(INDEX(WageParty,MATCH($B387,WageIds,0)),WGTbl,2,0),"—"))</f>
        <v/>
      </c>
      <c r="H387" s="12" t="n"/>
    </row>
    <row r="388">
      <c r="A388" s="19">
        <f>IF($B388="","",COUNTA($B$9:$B388))</f>
        <v/>
      </c>
      <c r="B388" s="12" t="n"/>
      <c r="C388" s="13" t="n"/>
      <c r="D388" s="20">
        <f>IF($C388="","",IFERROR(IF(VLOOKUP($C388,AcctTblE,4,0)="","(بدون نام)",VLOOKUP($C388,AcctTblE,4,0)),"کد ناشناخته"))</f>
        <v/>
      </c>
      <c r="E388" s="15" t="n"/>
      <c r="F388" s="20">
        <f>IF($B388="","",IFERROR(INDEX(WageDates,MATCH($B388,WageIds,0)),"—"))</f>
        <v/>
      </c>
      <c r="G388" s="20">
        <f>IF($B388="","",IFERROR(VLOOKUP(INDEX(WageParty,MATCH($B388,WageIds,0)),WGTbl,2,0),"—"))</f>
        <v/>
      </c>
      <c r="H388" s="12" t="n"/>
    </row>
    <row r="389">
      <c r="A389" s="10">
        <f>IF($B389="","",COUNTA($B$9:$B389))</f>
        <v/>
      </c>
      <c r="B389" s="12" t="n"/>
      <c r="C389" s="13" t="n"/>
      <c r="D389" s="14">
        <f>IF($C389="","",IFERROR(IF(VLOOKUP($C389,AcctTblE,4,0)="","(بدون نام)",VLOOKUP($C389,AcctTblE,4,0)),"کد ناشناخته"))</f>
        <v/>
      </c>
      <c r="E389" s="15" t="n"/>
      <c r="F389" s="14">
        <f>IF($B389="","",IFERROR(INDEX(WageDates,MATCH($B389,WageIds,0)),"—"))</f>
        <v/>
      </c>
      <c r="G389" s="14">
        <f>IF($B389="","",IFERROR(VLOOKUP(INDEX(WageParty,MATCH($B389,WageIds,0)),WGTbl,2,0),"—"))</f>
        <v/>
      </c>
      <c r="H389" s="12" t="n"/>
    </row>
    <row r="390">
      <c r="A390" s="19">
        <f>IF($B390="","",COUNTA($B$9:$B390))</f>
        <v/>
      </c>
      <c r="B390" s="12" t="n"/>
      <c r="C390" s="13" t="n"/>
      <c r="D390" s="20">
        <f>IF($C390="","",IFERROR(IF(VLOOKUP($C390,AcctTblE,4,0)="","(بدون نام)",VLOOKUP($C390,AcctTblE,4,0)),"کد ناشناخته"))</f>
        <v/>
      </c>
      <c r="E390" s="15" t="n"/>
      <c r="F390" s="20">
        <f>IF($B390="","",IFERROR(INDEX(WageDates,MATCH($B390,WageIds,0)),"—"))</f>
        <v/>
      </c>
      <c r="G390" s="20">
        <f>IF($B390="","",IFERROR(VLOOKUP(INDEX(WageParty,MATCH($B390,WageIds,0)),WGTbl,2,0),"—"))</f>
        <v/>
      </c>
      <c r="H390" s="12" t="n"/>
    </row>
    <row r="391">
      <c r="A391" s="10">
        <f>IF($B391="","",COUNTA($B$9:$B391))</f>
        <v/>
      </c>
      <c r="B391" s="12" t="n"/>
      <c r="C391" s="13" t="n"/>
      <c r="D391" s="14">
        <f>IF($C391="","",IFERROR(IF(VLOOKUP($C391,AcctTblE,4,0)="","(بدون نام)",VLOOKUP($C391,AcctTblE,4,0)),"کد ناشناخته"))</f>
        <v/>
      </c>
      <c r="E391" s="15" t="n"/>
      <c r="F391" s="14">
        <f>IF($B391="","",IFERROR(INDEX(WageDates,MATCH($B391,WageIds,0)),"—"))</f>
        <v/>
      </c>
      <c r="G391" s="14">
        <f>IF($B391="","",IFERROR(VLOOKUP(INDEX(WageParty,MATCH($B391,WageIds,0)),WGTbl,2,0),"—"))</f>
        <v/>
      </c>
      <c r="H391" s="12" t="n"/>
    </row>
    <row r="392">
      <c r="A392" s="19">
        <f>IF($B392="","",COUNTA($B$9:$B392))</f>
        <v/>
      </c>
      <c r="B392" s="12" t="n"/>
      <c r="C392" s="13" t="n"/>
      <c r="D392" s="20">
        <f>IF($C392="","",IFERROR(IF(VLOOKUP($C392,AcctTblE,4,0)="","(بدون نام)",VLOOKUP($C392,AcctTblE,4,0)),"کد ناشناخته"))</f>
        <v/>
      </c>
      <c r="E392" s="15" t="n"/>
      <c r="F392" s="20">
        <f>IF($B392="","",IFERROR(INDEX(WageDates,MATCH($B392,WageIds,0)),"—"))</f>
        <v/>
      </c>
      <c r="G392" s="20">
        <f>IF($B392="","",IFERROR(VLOOKUP(INDEX(WageParty,MATCH($B392,WageIds,0)),WGTbl,2,0),"—"))</f>
        <v/>
      </c>
      <c r="H392" s="12" t="n"/>
    </row>
    <row r="393">
      <c r="A393" s="10">
        <f>IF($B393="","",COUNTA($B$9:$B393))</f>
        <v/>
      </c>
      <c r="B393" s="12" t="n"/>
      <c r="C393" s="13" t="n"/>
      <c r="D393" s="14">
        <f>IF($C393="","",IFERROR(IF(VLOOKUP($C393,AcctTblE,4,0)="","(بدون نام)",VLOOKUP($C393,AcctTblE,4,0)),"کد ناشناخته"))</f>
        <v/>
      </c>
      <c r="E393" s="15" t="n"/>
      <c r="F393" s="14">
        <f>IF($B393="","",IFERROR(INDEX(WageDates,MATCH($B393,WageIds,0)),"—"))</f>
        <v/>
      </c>
      <c r="G393" s="14">
        <f>IF($B393="","",IFERROR(VLOOKUP(INDEX(WageParty,MATCH($B393,WageIds,0)),WGTbl,2,0),"—"))</f>
        <v/>
      </c>
      <c r="H393" s="12" t="n"/>
    </row>
    <row r="394">
      <c r="A394" s="19">
        <f>IF($B394="","",COUNTA($B$9:$B394))</f>
        <v/>
      </c>
      <c r="B394" s="12" t="n"/>
      <c r="C394" s="13" t="n"/>
      <c r="D394" s="20">
        <f>IF($C394="","",IFERROR(IF(VLOOKUP($C394,AcctTblE,4,0)="","(بدون نام)",VLOOKUP($C394,AcctTblE,4,0)),"کد ناشناخته"))</f>
        <v/>
      </c>
      <c r="E394" s="15" t="n"/>
      <c r="F394" s="20">
        <f>IF($B394="","",IFERROR(INDEX(WageDates,MATCH($B394,WageIds,0)),"—"))</f>
        <v/>
      </c>
      <c r="G394" s="20">
        <f>IF($B394="","",IFERROR(VLOOKUP(INDEX(WageParty,MATCH($B394,WageIds,0)),WGTbl,2,0),"—"))</f>
        <v/>
      </c>
      <c r="H394" s="12" t="n"/>
    </row>
    <row r="395">
      <c r="A395" s="10">
        <f>IF($B395="","",COUNTA($B$9:$B395))</f>
        <v/>
      </c>
      <c r="B395" s="12" t="n"/>
      <c r="C395" s="13" t="n"/>
      <c r="D395" s="14">
        <f>IF($C395="","",IFERROR(IF(VLOOKUP($C395,AcctTblE,4,0)="","(بدون نام)",VLOOKUP($C395,AcctTblE,4,0)),"کد ناشناخته"))</f>
        <v/>
      </c>
      <c r="E395" s="15" t="n"/>
      <c r="F395" s="14">
        <f>IF($B395="","",IFERROR(INDEX(WageDates,MATCH($B395,WageIds,0)),"—"))</f>
        <v/>
      </c>
      <c r="G395" s="14">
        <f>IF($B395="","",IFERROR(VLOOKUP(INDEX(WageParty,MATCH($B395,WageIds,0)),WGTbl,2,0),"—"))</f>
        <v/>
      </c>
      <c r="H395" s="12" t="n"/>
    </row>
    <row r="396">
      <c r="A396" s="19">
        <f>IF($B396="","",COUNTA($B$9:$B396))</f>
        <v/>
      </c>
      <c r="B396" s="12" t="n"/>
      <c r="C396" s="13" t="n"/>
      <c r="D396" s="20">
        <f>IF($C396="","",IFERROR(IF(VLOOKUP($C396,AcctTblE,4,0)="","(بدون نام)",VLOOKUP($C396,AcctTblE,4,0)),"کد ناشناخته"))</f>
        <v/>
      </c>
      <c r="E396" s="15" t="n"/>
      <c r="F396" s="20">
        <f>IF($B396="","",IFERROR(INDEX(WageDates,MATCH($B396,WageIds,0)),"—"))</f>
        <v/>
      </c>
      <c r="G396" s="20">
        <f>IF($B396="","",IFERROR(VLOOKUP(INDEX(WageParty,MATCH($B396,WageIds,0)),WGTbl,2,0),"—"))</f>
        <v/>
      </c>
      <c r="H396" s="12" t="n"/>
    </row>
    <row r="397">
      <c r="A397" s="10">
        <f>IF($B397="","",COUNTA($B$9:$B397))</f>
        <v/>
      </c>
      <c r="B397" s="12" t="n"/>
      <c r="C397" s="13" t="n"/>
      <c r="D397" s="14">
        <f>IF($C397="","",IFERROR(IF(VLOOKUP($C397,AcctTblE,4,0)="","(بدون نام)",VLOOKUP($C397,AcctTblE,4,0)),"کد ناشناخته"))</f>
        <v/>
      </c>
      <c r="E397" s="15" t="n"/>
      <c r="F397" s="14">
        <f>IF($B397="","",IFERROR(INDEX(WageDates,MATCH($B397,WageIds,0)),"—"))</f>
        <v/>
      </c>
      <c r="G397" s="14">
        <f>IF($B397="","",IFERROR(VLOOKUP(INDEX(WageParty,MATCH($B397,WageIds,0)),WGTbl,2,0),"—"))</f>
        <v/>
      </c>
      <c r="H397" s="12" t="n"/>
    </row>
    <row r="398">
      <c r="A398" s="19">
        <f>IF($B398="","",COUNTA($B$9:$B398))</f>
        <v/>
      </c>
      <c r="B398" s="12" t="n"/>
      <c r="C398" s="13" t="n"/>
      <c r="D398" s="20">
        <f>IF($C398="","",IFERROR(IF(VLOOKUP($C398,AcctTblE,4,0)="","(بدون نام)",VLOOKUP($C398,AcctTblE,4,0)),"کد ناشناخته"))</f>
        <v/>
      </c>
      <c r="E398" s="15" t="n"/>
      <c r="F398" s="20">
        <f>IF($B398="","",IFERROR(INDEX(WageDates,MATCH($B398,WageIds,0)),"—"))</f>
        <v/>
      </c>
      <c r="G398" s="20">
        <f>IF($B398="","",IFERROR(VLOOKUP(INDEX(WageParty,MATCH($B398,WageIds,0)),WGTbl,2,0),"—"))</f>
        <v/>
      </c>
      <c r="H398" s="12" t="n"/>
    </row>
    <row r="399">
      <c r="A399" s="10">
        <f>IF($B399="","",COUNTA($B$9:$B399))</f>
        <v/>
      </c>
      <c r="B399" s="12" t="n"/>
      <c r="C399" s="13" t="n"/>
      <c r="D399" s="14">
        <f>IF($C399="","",IFERROR(IF(VLOOKUP($C399,AcctTblE,4,0)="","(بدون نام)",VLOOKUP($C399,AcctTblE,4,0)),"کد ناشناخته"))</f>
        <v/>
      </c>
      <c r="E399" s="15" t="n"/>
      <c r="F399" s="14">
        <f>IF($B399="","",IFERROR(INDEX(WageDates,MATCH($B399,WageIds,0)),"—"))</f>
        <v/>
      </c>
      <c r="G399" s="14">
        <f>IF($B399="","",IFERROR(VLOOKUP(INDEX(WageParty,MATCH($B399,WageIds,0)),WGTbl,2,0),"—"))</f>
        <v/>
      </c>
      <c r="H399" s="12" t="n"/>
    </row>
    <row r="400">
      <c r="A400" s="19">
        <f>IF($B400="","",COUNTA($B$9:$B400))</f>
        <v/>
      </c>
      <c r="B400" s="12" t="n"/>
      <c r="C400" s="13" t="n"/>
      <c r="D400" s="20">
        <f>IF($C400="","",IFERROR(IF(VLOOKUP($C400,AcctTblE,4,0)="","(بدون نام)",VLOOKUP($C400,AcctTblE,4,0)),"کد ناشناخته"))</f>
        <v/>
      </c>
      <c r="E400" s="15" t="n"/>
      <c r="F400" s="20">
        <f>IF($B400="","",IFERROR(INDEX(WageDates,MATCH($B400,WageIds,0)),"—"))</f>
        <v/>
      </c>
      <c r="G400" s="20">
        <f>IF($B400="","",IFERROR(VLOOKUP(INDEX(WageParty,MATCH($B400,WageIds,0)),WGTbl,2,0),"—"))</f>
        <v/>
      </c>
      <c r="H400" s="12" t="n"/>
    </row>
    <row r="401">
      <c r="A401" s="10">
        <f>IF($B401="","",COUNTA($B$9:$B401))</f>
        <v/>
      </c>
      <c r="B401" s="12" t="n"/>
      <c r="C401" s="13" t="n"/>
      <c r="D401" s="14">
        <f>IF($C401="","",IFERROR(IF(VLOOKUP($C401,AcctTblE,4,0)="","(بدون نام)",VLOOKUP($C401,AcctTblE,4,0)),"کد ناشناخته"))</f>
        <v/>
      </c>
      <c r="E401" s="15" t="n"/>
      <c r="F401" s="14">
        <f>IF($B401="","",IFERROR(INDEX(WageDates,MATCH($B401,WageIds,0)),"—"))</f>
        <v/>
      </c>
      <c r="G401" s="14">
        <f>IF($B401="","",IFERROR(VLOOKUP(INDEX(WageParty,MATCH($B401,WageIds,0)),WGTbl,2,0),"—"))</f>
        <v/>
      </c>
      <c r="H401" s="12" t="n"/>
    </row>
    <row r="402">
      <c r="A402" s="19">
        <f>IF($B402="","",COUNTA($B$9:$B402))</f>
        <v/>
      </c>
      <c r="B402" s="12" t="n"/>
      <c r="C402" s="13" t="n"/>
      <c r="D402" s="20">
        <f>IF($C402="","",IFERROR(IF(VLOOKUP($C402,AcctTblE,4,0)="","(بدون نام)",VLOOKUP($C402,AcctTblE,4,0)),"کد ناشناخته"))</f>
        <v/>
      </c>
      <c r="E402" s="15" t="n"/>
      <c r="F402" s="20">
        <f>IF($B402="","",IFERROR(INDEX(WageDates,MATCH($B402,WageIds,0)),"—"))</f>
        <v/>
      </c>
      <c r="G402" s="20">
        <f>IF($B402="","",IFERROR(VLOOKUP(INDEX(WageParty,MATCH($B402,WageIds,0)),WGTbl,2,0),"—"))</f>
        <v/>
      </c>
      <c r="H402" s="12" t="n"/>
    </row>
    <row r="403">
      <c r="A403" s="10">
        <f>IF($B403="","",COUNTA($B$9:$B403))</f>
        <v/>
      </c>
      <c r="B403" s="12" t="n"/>
      <c r="C403" s="13" t="n"/>
      <c r="D403" s="14">
        <f>IF($C403="","",IFERROR(IF(VLOOKUP($C403,AcctTblE,4,0)="","(بدون نام)",VLOOKUP($C403,AcctTblE,4,0)),"کد ناشناخته"))</f>
        <v/>
      </c>
      <c r="E403" s="15" t="n"/>
      <c r="F403" s="14">
        <f>IF($B403="","",IFERROR(INDEX(WageDates,MATCH($B403,WageIds,0)),"—"))</f>
        <v/>
      </c>
      <c r="G403" s="14">
        <f>IF($B403="","",IFERROR(VLOOKUP(INDEX(WageParty,MATCH($B403,WageIds,0)),WGTbl,2,0),"—"))</f>
        <v/>
      </c>
      <c r="H403" s="12" t="n"/>
    </row>
    <row r="404">
      <c r="A404" s="19">
        <f>IF($B404="","",COUNTA($B$9:$B404))</f>
        <v/>
      </c>
      <c r="B404" s="12" t="n"/>
      <c r="C404" s="13" t="n"/>
      <c r="D404" s="20">
        <f>IF($C404="","",IFERROR(IF(VLOOKUP($C404,AcctTblE,4,0)="","(بدون نام)",VLOOKUP($C404,AcctTblE,4,0)),"کد ناشناخته"))</f>
        <v/>
      </c>
      <c r="E404" s="15" t="n"/>
      <c r="F404" s="20">
        <f>IF($B404="","",IFERROR(INDEX(WageDates,MATCH($B404,WageIds,0)),"—"))</f>
        <v/>
      </c>
      <c r="G404" s="20">
        <f>IF($B404="","",IFERROR(VLOOKUP(INDEX(WageParty,MATCH($B404,WageIds,0)),WGTbl,2,0),"—"))</f>
        <v/>
      </c>
      <c r="H404" s="12" t="n"/>
    </row>
    <row r="405">
      <c r="A405" s="10">
        <f>IF($B405="","",COUNTA($B$9:$B405))</f>
        <v/>
      </c>
      <c r="B405" s="12" t="n"/>
      <c r="C405" s="13" t="n"/>
      <c r="D405" s="14">
        <f>IF($C405="","",IFERROR(IF(VLOOKUP($C405,AcctTblE,4,0)="","(بدون نام)",VLOOKUP($C405,AcctTblE,4,0)),"کد ناشناخته"))</f>
        <v/>
      </c>
      <c r="E405" s="15" t="n"/>
      <c r="F405" s="14">
        <f>IF($B405="","",IFERROR(INDEX(WageDates,MATCH($B405,WageIds,0)),"—"))</f>
        <v/>
      </c>
      <c r="G405" s="14">
        <f>IF($B405="","",IFERROR(VLOOKUP(INDEX(WageParty,MATCH($B405,WageIds,0)),WGTbl,2,0),"—"))</f>
        <v/>
      </c>
      <c r="H405" s="12" t="n"/>
    </row>
    <row r="406">
      <c r="A406" s="19">
        <f>IF($B406="","",COUNTA($B$9:$B406))</f>
        <v/>
      </c>
      <c r="B406" s="12" t="n"/>
      <c r="C406" s="13" t="n"/>
      <c r="D406" s="20">
        <f>IF($C406="","",IFERROR(IF(VLOOKUP($C406,AcctTblE,4,0)="","(بدون نام)",VLOOKUP($C406,AcctTblE,4,0)),"کد ناشناخته"))</f>
        <v/>
      </c>
      <c r="E406" s="15" t="n"/>
      <c r="F406" s="20">
        <f>IF($B406="","",IFERROR(INDEX(WageDates,MATCH($B406,WageIds,0)),"—"))</f>
        <v/>
      </c>
      <c r="G406" s="20">
        <f>IF($B406="","",IFERROR(VLOOKUP(INDEX(WageParty,MATCH($B406,WageIds,0)),WGTbl,2,0),"—"))</f>
        <v/>
      </c>
      <c r="H406" s="12" t="n"/>
    </row>
    <row r="407">
      <c r="A407" s="10">
        <f>IF($B407="","",COUNTA($B$9:$B407))</f>
        <v/>
      </c>
      <c r="B407" s="12" t="n"/>
      <c r="C407" s="13" t="n"/>
      <c r="D407" s="14">
        <f>IF($C407="","",IFERROR(IF(VLOOKUP($C407,AcctTblE,4,0)="","(بدون نام)",VLOOKUP($C407,AcctTblE,4,0)),"کد ناشناخته"))</f>
        <v/>
      </c>
      <c r="E407" s="15" t="n"/>
      <c r="F407" s="14">
        <f>IF($B407="","",IFERROR(INDEX(WageDates,MATCH($B407,WageIds,0)),"—"))</f>
        <v/>
      </c>
      <c r="G407" s="14">
        <f>IF($B407="","",IFERROR(VLOOKUP(INDEX(WageParty,MATCH($B407,WageIds,0)),WGTbl,2,0),"—"))</f>
        <v/>
      </c>
      <c r="H407" s="12" t="n"/>
    </row>
    <row r="408">
      <c r="A408" s="19">
        <f>IF($B408="","",COUNTA($B$9:$B408))</f>
        <v/>
      </c>
      <c r="B408" s="12" t="n"/>
      <c r="C408" s="13" t="n"/>
      <c r="D408" s="20">
        <f>IF($C408="","",IFERROR(IF(VLOOKUP($C408,AcctTblE,4,0)="","(بدون نام)",VLOOKUP($C408,AcctTblE,4,0)),"کد ناشناخته"))</f>
        <v/>
      </c>
      <c r="E408" s="15" t="n"/>
      <c r="F408" s="20">
        <f>IF($B408="","",IFERROR(INDEX(WageDates,MATCH($B408,WageIds,0)),"—"))</f>
        <v/>
      </c>
      <c r="G408" s="20">
        <f>IF($B408="","",IFERROR(VLOOKUP(INDEX(WageParty,MATCH($B408,WageIds,0)),WGTbl,2,0),"—"))</f>
        <v/>
      </c>
      <c r="H408" s="12" t="n"/>
    </row>
    <row r="409">
      <c r="A409" s="10">
        <f>IF($B409="","",COUNTA($B$9:$B409))</f>
        <v/>
      </c>
      <c r="B409" s="12" t="n"/>
      <c r="C409" s="13" t="n"/>
      <c r="D409" s="14">
        <f>IF($C409="","",IFERROR(IF(VLOOKUP($C409,AcctTblE,4,0)="","(بدون نام)",VLOOKUP($C409,AcctTblE,4,0)),"کد ناشناخته"))</f>
        <v/>
      </c>
      <c r="E409" s="15" t="n"/>
      <c r="F409" s="14">
        <f>IF($B409="","",IFERROR(INDEX(WageDates,MATCH($B409,WageIds,0)),"—"))</f>
        <v/>
      </c>
      <c r="G409" s="14">
        <f>IF($B409="","",IFERROR(VLOOKUP(INDEX(WageParty,MATCH($B409,WageIds,0)),WGTbl,2,0),"—"))</f>
        <v/>
      </c>
      <c r="H409" s="12" t="n"/>
    </row>
    <row r="410">
      <c r="A410" s="19">
        <f>IF($B410="","",COUNTA($B$9:$B410))</f>
        <v/>
      </c>
      <c r="B410" s="12" t="n"/>
      <c r="C410" s="13" t="n"/>
      <c r="D410" s="20">
        <f>IF($C410="","",IFERROR(IF(VLOOKUP($C410,AcctTblE,4,0)="","(بدون نام)",VLOOKUP($C410,AcctTblE,4,0)),"کد ناشناخته"))</f>
        <v/>
      </c>
      <c r="E410" s="15" t="n"/>
      <c r="F410" s="20">
        <f>IF($B410="","",IFERROR(INDEX(WageDates,MATCH($B410,WageIds,0)),"—"))</f>
        <v/>
      </c>
      <c r="G410" s="20">
        <f>IF($B410="","",IFERROR(VLOOKUP(INDEX(WageParty,MATCH($B410,WageIds,0)),WGTbl,2,0),"—"))</f>
        <v/>
      </c>
      <c r="H410" s="12" t="n"/>
    </row>
    <row r="411">
      <c r="A411" s="10">
        <f>IF($B411="","",COUNTA($B$9:$B411))</f>
        <v/>
      </c>
      <c r="B411" s="12" t="n"/>
      <c r="C411" s="13" t="n"/>
      <c r="D411" s="14">
        <f>IF($C411="","",IFERROR(IF(VLOOKUP($C411,AcctTblE,4,0)="","(بدون نام)",VLOOKUP($C411,AcctTblE,4,0)),"کد ناشناخته"))</f>
        <v/>
      </c>
      <c r="E411" s="15" t="n"/>
      <c r="F411" s="14">
        <f>IF($B411="","",IFERROR(INDEX(WageDates,MATCH($B411,WageIds,0)),"—"))</f>
        <v/>
      </c>
      <c r="G411" s="14">
        <f>IF($B411="","",IFERROR(VLOOKUP(INDEX(WageParty,MATCH($B411,WageIds,0)),WGTbl,2,0),"—"))</f>
        <v/>
      </c>
      <c r="H411" s="12" t="n"/>
    </row>
    <row r="412">
      <c r="A412" s="19">
        <f>IF($B412="","",COUNTA($B$9:$B412))</f>
        <v/>
      </c>
      <c r="B412" s="12" t="n"/>
      <c r="C412" s="13" t="n"/>
      <c r="D412" s="20">
        <f>IF($C412="","",IFERROR(IF(VLOOKUP($C412,AcctTblE,4,0)="","(بدون نام)",VLOOKUP($C412,AcctTblE,4,0)),"کد ناشناخته"))</f>
        <v/>
      </c>
      <c r="E412" s="15" t="n"/>
      <c r="F412" s="20">
        <f>IF($B412="","",IFERROR(INDEX(WageDates,MATCH($B412,WageIds,0)),"—"))</f>
        <v/>
      </c>
      <c r="G412" s="20">
        <f>IF($B412="","",IFERROR(VLOOKUP(INDEX(WageParty,MATCH($B412,WageIds,0)),WGTbl,2,0),"—"))</f>
        <v/>
      </c>
      <c r="H412" s="12" t="n"/>
    </row>
    <row r="413">
      <c r="A413" s="10">
        <f>IF($B413="","",COUNTA($B$9:$B413))</f>
        <v/>
      </c>
      <c r="B413" s="12" t="n"/>
      <c r="C413" s="13" t="n"/>
      <c r="D413" s="14">
        <f>IF($C413="","",IFERROR(IF(VLOOKUP($C413,AcctTblE,4,0)="","(بدون نام)",VLOOKUP($C413,AcctTblE,4,0)),"کد ناشناخته"))</f>
        <v/>
      </c>
      <c r="E413" s="15" t="n"/>
      <c r="F413" s="14">
        <f>IF($B413="","",IFERROR(INDEX(WageDates,MATCH($B413,WageIds,0)),"—"))</f>
        <v/>
      </c>
      <c r="G413" s="14">
        <f>IF($B413="","",IFERROR(VLOOKUP(INDEX(WageParty,MATCH($B413,WageIds,0)),WGTbl,2,0),"—"))</f>
        <v/>
      </c>
      <c r="H413" s="12" t="n"/>
    </row>
    <row r="414">
      <c r="A414" s="19">
        <f>IF($B414="","",COUNTA($B$9:$B414))</f>
        <v/>
      </c>
      <c r="B414" s="12" t="n"/>
      <c r="C414" s="13" t="n"/>
      <c r="D414" s="20">
        <f>IF($C414="","",IFERROR(IF(VLOOKUP($C414,AcctTblE,4,0)="","(بدون نام)",VLOOKUP($C414,AcctTblE,4,0)),"کد ناشناخته"))</f>
        <v/>
      </c>
      <c r="E414" s="15" t="n"/>
      <c r="F414" s="20">
        <f>IF($B414="","",IFERROR(INDEX(WageDates,MATCH($B414,WageIds,0)),"—"))</f>
        <v/>
      </c>
      <c r="G414" s="20">
        <f>IF($B414="","",IFERROR(VLOOKUP(INDEX(WageParty,MATCH($B414,WageIds,0)),WGTbl,2,0),"—"))</f>
        <v/>
      </c>
      <c r="H414" s="12" t="n"/>
    </row>
    <row r="415">
      <c r="A415" s="10">
        <f>IF($B415="","",COUNTA($B$9:$B415))</f>
        <v/>
      </c>
      <c r="B415" s="12" t="n"/>
      <c r="C415" s="13" t="n"/>
      <c r="D415" s="14">
        <f>IF($C415="","",IFERROR(IF(VLOOKUP($C415,AcctTblE,4,0)="","(بدون نام)",VLOOKUP($C415,AcctTblE,4,0)),"کد ناشناخته"))</f>
        <v/>
      </c>
      <c r="E415" s="15" t="n"/>
      <c r="F415" s="14">
        <f>IF($B415="","",IFERROR(INDEX(WageDates,MATCH($B415,WageIds,0)),"—"))</f>
        <v/>
      </c>
      <c r="G415" s="14">
        <f>IF($B415="","",IFERROR(VLOOKUP(INDEX(WageParty,MATCH($B415,WageIds,0)),WGTbl,2,0),"—"))</f>
        <v/>
      </c>
      <c r="H415" s="12" t="n"/>
    </row>
    <row r="416">
      <c r="A416" s="19">
        <f>IF($B416="","",COUNTA($B$9:$B416))</f>
        <v/>
      </c>
      <c r="B416" s="12" t="n"/>
      <c r="C416" s="13" t="n"/>
      <c r="D416" s="20">
        <f>IF($C416="","",IFERROR(IF(VLOOKUP($C416,AcctTblE,4,0)="","(بدون نام)",VLOOKUP($C416,AcctTblE,4,0)),"کد ناشناخته"))</f>
        <v/>
      </c>
      <c r="E416" s="15" t="n"/>
      <c r="F416" s="20">
        <f>IF($B416="","",IFERROR(INDEX(WageDates,MATCH($B416,WageIds,0)),"—"))</f>
        <v/>
      </c>
      <c r="G416" s="20">
        <f>IF($B416="","",IFERROR(VLOOKUP(INDEX(WageParty,MATCH($B416,WageIds,0)),WGTbl,2,0),"—"))</f>
        <v/>
      </c>
      <c r="H416" s="12" t="n"/>
    </row>
    <row r="417">
      <c r="A417" s="10">
        <f>IF($B417="","",COUNTA($B$9:$B417))</f>
        <v/>
      </c>
      <c r="B417" s="12" t="n"/>
      <c r="C417" s="13" t="n"/>
      <c r="D417" s="14">
        <f>IF($C417="","",IFERROR(IF(VLOOKUP($C417,AcctTblE,4,0)="","(بدون نام)",VLOOKUP($C417,AcctTblE,4,0)),"کد ناشناخته"))</f>
        <v/>
      </c>
      <c r="E417" s="15" t="n"/>
      <c r="F417" s="14">
        <f>IF($B417="","",IFERROR(INDEX(WageDates,MATCH($B417,WageIds,0)),"—"))</f>
        <v/>
      </c>
      <c r="G417" s="14">
        <f>IF($B417="","",IFERROR(VLOOKUP(INDEX(WageParty,MATCH($B417,WageIds,0)),WGTbl,2,0),"—"))</f>
        <v/>
      </c>
      <c r="H417" s="12" t="n"/>
    </row>
    <row r="418">
      <c r="A418" s="19">
        <f>IF($B418="","",COUNTA($B$9:$B418))</f>
        <v/>
      </c>
      <c r="B418" s="12" t="n"/>
      <c r="C418" s="13" t="n"/>
      <c r="D418" s="20">
        <f>IF($C418="","",IFERROR(IF(VLOOKUP($C418,AcctTblE,4,0)="","(بدون نام)",VLOOKUP($C418,AcctTblE,4,0)),"کد ناشناخته"))</f>
        <v/>
      </c>
      <c r="E418" s="15" t="n"/>
      <c r="F418" s="20">
        <f>IF($B418="","",IFERROR(INDEX(WageDates,MATCH($B418,WageIds,0)),"—"))</f>
        <v/>
      </c>
      <c r="G418" s="20">
        <f>IF($B418="","",IFERROR(VLOOKUP(INDEX(WageParty,MATCH($B418,WageIds,0)),WGTbl,2,0),"—"))</f>
        <v/>
      </c>
      <c r="H418" s="12" t="n"/>
    </row>
    <row r="419">
      <c r="A419" s="10">
        <f>IF($B419="","",COUNTA($B$9:$B419))</f>
        <v/>
      </c>
      <c r="B419" s="12" t="n"/>
      <c r="C419" s="13" t="n"/>
      <c r="D419" s="14">
        <f>IF($C419="","",IFERROR(IF(VLOOKUP($C419,AcctTblE,4,0)="","(بدون نام)",VLOOKUP($C419,AcctTblE,4,0)),"کد ناشناخته"))</f>
        <v/>
      </c>
      <c r="E419" s="15" t="n"/>
      <c r="F419" s="14">
        <f>IF($B419="","",IFERROR(INDEX(WageDates,MATCH($B419,WageIds,0)),"—"))</f>
        <v/>
      </c>
      <c r="G419" s="14">
        <f>IF($B419="","",IFERROR(VLOOKUP(INDEX(WageParty,MATCH($B419,WageIds,0)),WGTbl,2,0),"—"))</f>
        <v/>
      </c>
      <c r="H419" s="12" t="n"/>
    </row>
    <row r="420">
      <c r="A420" s="19">
        <f>IF($B420="","",COUNTA($B$9:$B420))</f>
        <v/>
      </c>
      <c r="B420" s="12" t="n"/>
      <c r="C420" s="13" t="n"/>
      <c r="D420" s="20">
        <f>IF($C420="","",IFERROR(IF(VLOOKUP($C420,AcctTblE,4,0)="","(بدون نام)",VLOOKUP($C420,AcctTblE,4,0)),"کد ناشناخته"))</f>
        <v/>
      </c>
      <c r="E420" s="15" t="n"/>
      <c r="F420" s="20">
        <f>IF($B420="","",IFERROR(INDEX(WageDates,MATCH($B420,WageIds,0)),"—"))</f>
        <v/>
      </c>
      <c r="G420" s="20">
        <f>IF($B420="","",IFERROR(VLOOKUP(INDEX(WageParty,MATCH($B420,WageIds,0)),WGTbl,2,0),"—"))</f>
        <v/>
      </c>
      <c r="H420" s="12" t="n"/>
    </row>
    <row r="421">
      <c r="A421" s="10">
        <f>IF($B421="","",COUNTA($B$9:$B421))</f>
        <v/>
      </c>
      <c r="B421" s="12" t="n"/>
      <c r="C421" s="13" t="n"/>
      <c r="D421" s="14">
        <f>IF($C421="","",IFERROR(IF(VLOOKUP($C421,AcctTblE,4,0)="","(بدون نام)",VLOOKUP($C421,AcctTblE,4,0)),"کد ناشناخته"))</f>
        <v/>
      </c>
      <c r="E421" s="15" t="n"/>
      <c r="F421" s="14">
        <f>IF($B421="","",IFERROR(INDEX(WageDates,MATCH($B421,WageIds,0)),"—"))</f>
        <v/>
      </c>
      <c r="G421" s="14">
        <f>IF($B421="","",IFERROR(VLOOKUP(INDEX(WageParty,MATCH($B421,WageIds,0)),WGTbl,2,0),"—"))</f>
        <v/>
      </c>
      <c r="H421" s="12" t="n"/>
    </row>
    <row r="422">
      <c r="A422" s="19">
        <f>IF($B422="","",COUNTA($B$9:$B422))</f>
        <v/>
      </c>
      <c r="B422" s="12" t="n"/>
      <c r="C422" s="13" t="n"/>
      <c r="D422" s="20">
        <f>IF($C422="","",IFERROR(IF(VLOOKUP($C422,AcctTblE,4,0)="","(بدون نام)",VLOOKUP($C422,AcctTblE,4,0)),"کد ناشناخته"))</f>
        <v/>
      </c>
      <c r="E422" s="15" t="n"/>
      <c r="F422" s="20">
        <f>IF($B422="","",IFERROR(INDEX(WageDates,MATCH($B422,WageIds,0)),"—"))</f>
        <v/>
      </c>
      <c r="G422" s="20">
        <f>IF($B422="","",IFERROR(VLOOKUP(INDEX(WageParty,MATCH($B422,WageIds,0)),WGTbl,2,0),"—"))</f>
        <v/>
      </c>
      <c r="H422" s="12" t="n"/>
    </row>
    <row r="423">
      <c r="A423" s="10">
        <f>IF($B423="","",COUNTA($B$9:$B423))</f>
        <v/>
      </c>
      <c r="B423" s="12" t="n"/>
      <c r="C423" s="13" t="n"/>
      <c r="D423" s="14">
        <f>IF($C423="","",IFERROR(IF(VLOOKUP($C423,AcctTblE,4,0)="","(بدون نام)",VLOOKUP($C423,AcctTblE,4,0)),"کد ناشناخته"))</f>
        <v/>
      </c>
      <c r="E423" s="15" t="n"/>
      <c r="F423" s="14">
        <f>IF($B423="","",IFERROR(INDEX(WageDates,MATCH($B423,WageIds,0)),"—"))</f>
        <v/>
      </c>
      <c r="G423" s="14">
        <f>IF($B423="","",IFERROR(VLOOKUP(INDEX(WageParty,MATCH($B423,WageIds,0)),WGTbl,2,0),"—"))</f>
        <v/>
      </c>
      <c r="H423" s="12" t="n"/>
    </row>
    <row r="424">
      <c r="A424" s="19">
        <f>IF($B424="","",COUNTA($B$9:$B424))</f>
        <v/>
      </c>
      <c r="B424" s="12" t="n"/>
      <c r="C424" s="13" t="n"/>
      <c r="D424" s="20">
        <f>IF($C424="","",IFERROR(IF(VLOOKUP($C424,AcctTblE,4,0)="","(بدون نام)",VLOOKUP($C424,AcctTblE,4,0)),"کد ناشناخته"))</f>
        <v/>
      </c>
      <c r="E424" s="15" t="n"/>
      <c r="F424" s="20">
        <f>IF($B424="","",IFERROR(INDEX(WageDates,MATCH($B424,WageIds,0)),"—"))</f>
        <v/>
      </c>
      <c r="G424" s="20">
        <f>IF($B424="","",IFERROR(VLOOKUP(INDEX(WageParty,MATCH($B424,WageIds,0)),WGTbl,2,0),"—"))</f>
        <v/>
      </c>
      <c r="H424" s="12" t="n"/>
    </row>
    <row r="425">
      <c r="A425" s="10">
        <f>IF($B425="","",COUNTA($B$9:$B425))</f>
        <v/>
      </c>
      <c r="B425" s="12" t="n"/>
      <c r="C425" s="13" t="n"/>
      <c r="D425" s="14">
        <f>IF($C425="","",IFERROR(IF(VLOOKUP($C425,AcctTblE,4,0)="","(بدون نام)",VLOOKUP($C425,AcctTblE,4,0)),"کد ناشناخته"))</f>
        <v/>
      </c>
      <c r="E425" s="15" t="n"/>
      <c r="F425" s="14">
        <f>IF($B425="","",IFERROR(INDEX(WageDates,MATCH($B425,WageIds,0)),"—"))</f>
        <v/>
      </c>
      <c r="G425" s="14">
        <f>IF($B425="","",IFERROR(VLOOKUP(INDEX(WageParty,MATCH($B425,WageIds,0)),WGTbl,2,0),"—"))</f>
        <v/>
      </c>
      <c r="H425" s="12" t="n"/>
    </row>
    <row r="426">
      <c r="A426" s="19">
        <f>IF($B426="","",COUNTA($B$9:$B426))</f>
        <v/>
      </c>
      <c r="B426" s="12" t="n"/>
      <c r="C426" s="13" t="n"/>
      <c r="D426" s="20">
        <f>IF($C426="","",IFERROR(IF(VLOOKUP($C426,AcctTblE,4,0)="","(بدون نام)",VLOOKUP($C426,AcctTblE,4,0)),"کد ناشناخته"))</f>
        <v/>
      </c>
      <c r="E426" s="15" t="n"/>
      <c r="F426" s="20">
        <f>IF($B426="","",IFERROR(INDEX(WageDates,MATCH($B426,WageIds,0)),"—"))</f>
        <v/>
      </c>
      <c r="G426" s="20">
        <f>IF($B426="","",IFERROR(VLOOKUP(INDEX(WageParty,MATCH($B426,WageIds,0)),WGTbl,2,0),"—"))</f>
        <v/>
      </c>
      <c r="H426" s="12" t="n"/>
    </row>
    <row r="427">
      <c r="A427" s="10">
        <f>IF($B427="","",COUNTA($B$9:$B427))</f>
        <v/>
      </c>
      <c r="B427" s="12" t="n"/>
      <c r="C427" s="13" t="n"/>
      <c r="D427" s="14">
        <f>IF($C427="","",IFERROR(IF(VLOOKUP($C427,AcctTblE,4,0)="","(بدون نام)",VLOOKUP($C427,AcctTblE,4,0)),"کد ناشناخته"))</f>
        <v/>
      </c>
      <c r="E427" s="15" t="n"/>
      <c r="F427" s="14">
        <f>IF($B427="","",IFERROR(INDEX(WageDates,MATCH($B427,WageIds,0)),"—"))</f>
        <v/>
      </c>
      <c r="G427" s="14">
        <f>IF($B427="","",IFERROR(VLOOKUP(INDEX(WageParty,MATCH($B427,WageIds,0)),WGTbl,2,0),"—"))</f>
        <v/>
      </c>
      <c r="H427" s="12" t="n"/>
    </row>
    <row r="428">
      <c r="A428" s="19">
        <f>IF($B428="","",COUNTA($B$9:$B428))</f>
        <v/>
      </c>
      <c r="B428" s="12" t="n"/>
      <c r="C428" s="13" t="n"/>
      <c r="D428" s="20">
        <f>IF($C428="","",IFERROR(IF(VLOOKUP($C428,AcctTblE,4,0)="","(بدون نام)",VLOOKUP($C428,AcctTblE,4,0)),"کد ناشناخته"))</f>
        <v/>
      </c>
      <c r="E428" s="15" t="n"/>
      <c r="F428" s="20">
        <f>IF($B428="","",IFERROR(INDEX(WageDates,MATCH($B428,WageIds,0)),"—"))</f>
        <v/>
      </c>
      <c r="G428" s="20">
        <f>IF($B428="","",IFERROR(VLOOKUP(INDEX(WageParty,MATCH($B428,WageIds,0)),WGTbl,2,0),"—"))</f>
        <v/>
      </c>
      <c r="H428" s="12" t="n"/>
    </row>
    <row r="429">
      <c r="A429" s="10">
        <f>IF($B429="","",COUNTA($B$9:$B429))</f>
        <v/>
      </c>
      <c r="B429" s="12" t="n"/>
      <c r="C429" s="13" t="n"/>
      <c r="D429" s="14">
        <f>IF($C429="","",IFERROR(IF(VLOOKUP($C429,AcctTblE,4,0)="","(بدون نام)",VLOOKUP($C429,AcctTblE,4,0)),"کد ناشناخته"))</f>
        <v/>
      </c>
      <c r="E429" s="15" t="n"/>
      <c r="F429" s="14">
        <f>IF($B429="","",IFERROR(INDEX(WageDates,MATCH($B429,WageIds,0)),"—"))</f>
        <v/>
      </c>
      <c r="G429" s="14">
        <f>IF($B429="","",IFERROR(VLOOKUP(INDEX(WageParty,MATCH($B429,WageIds,0)),WGTbl,2,0),"—"))</f>
        <v/>
      </c>
      <c r="H429" s="12" t="n"/>
    </row>
    <row r="430">
      <c r="A430" s="19">
        <f>IF($B430="","",COUNTA($B$9:$B430))</f>
        <v/>
      </c>
      <c r="B430" s="12" t="n"/>
      <c r="C430" s="13" t="n"/>
      <c r="D430" s="20">
        <f>IF($C430="","",IFERROR(IF(VLOOKUP($C430,AcctTblE,4,0)="","(بدون نام)",VLOOKUP($C430,AcctTblE,4,0)),"کد ناشناخته"))</f>
        <v/>
      </c>
      <c r="E430" s="15" t="n"/>
      <c r="F430" s="20">
        <f>IF($B430="","",IFERROR(INDEX(WageDates,MATCH($B430,WageIds,0)),"—"))</f>
        <v/>
      </c>
      <c r="G430" s="20">
        <f>IF($B430="","",IFERROR(VLOOKUP(INDEX(WageParty,MATCH($B430,WageIds,0)),WGTbl,2,0),"—"))</f>
        <v/>
      </c>
      <c r="H430" s="12" t="n"/>
    </row>
    <row r="431">
      <c r="A431" s="10">
        <f>IF($B431="","",COUNTA($B$9:$B431))</f>
        <v/>
      </c>
      <c r="B431" s="12" t="n"/>
      <c r="C431" s="13" t="n"/>
      <c r="D431" s="14">
        <f>IF($C431="","",IFERROR(IF(VLOOKUP($C431,AcctTblE,4,0)="","(بدون نام)",VLOOKUP($C431,AcctTblE,4,0)),"کد ناشناخته"))</f>
        <v/>
      </c>
      <c r="E431" s="15" t="n"/>
      <c r="F431" s="14">
        <f>IF($B431="","",IFERROR(INDEX(WageDates,MATCH($B431,WageIds,0)),"—"))</f>
        <v/>
      </c>
      <c r="G431" s="14">
        <f>IF($B431="","",IFERROR(VLOOKUP(INDEX(WageParty,MATCH($B431,WageIds,0)),WGTbl,2,0),"—"))</f>
        <v/>
      </c>
      <c r="H431" s="12" t="n"/>
    </row>
    <row r="432">
      <c r="A432" s="19">
        <f>IF($B432="","",COUNTA($B$9:$B432))</f>
        <v/>
      </c>
      <c r="B432" s="12" t="n"/>
      <c r="C432" s="13" t="n"/>
      <c r="D432" s="20">
        <f>IF($C432="","",IFERROR(IF(VLOOKUP($C432,AcctTblE,4,0)="","(بدون نام)",VLOOKUP($C432,AcctTblE,4,0)),"کد ناشناخته"))</f>
        <v/>
      </c>
      <c r="E432" s="15" t="n"/>
      <c r="F432" s="20">
        <f>IF($B432="","",IFERROR(INDEX(WageDates,MATCH($B432,WageIds,0)),"—"))</f>
        <v/>
      </c>
      <c r="G432" s="20">
        <f>IF($B432="","",IFERROR(VLOOKUP(INDEX(WageParty,MATCH($B432,WageIds,0)),WGTbl,2,0),"—"))</f>
        <v/>
      </c>
      <c r="H432" s="12" t="n"/>
    </row>
    <row r="433">
      <c r="A433" s="10">
        <f>IF($B433="","",COUNTA($B$9:$B433))</f>
        <v/>
      </c>
      <c r="B433" s="12" t="n"/>
      <c r="C433" s="13" t="n"/>
      <c r="D433" s="14">
        <f>IF($C433="","",IFERROR(IF(VLOOKUP($C433,AcctTblE,4,0)="","(بدون نام)",VLOOKUP($C433,AcctTblE,4,0)),"کد ناشناخته"))</f>
        <v/>
      </c>
      <c r="E433" s="15" t="n"/>
      <c r="F433" s="14">
        <f>IF($B433="","",IFERROR(INDEX(WageDates,MATCH($B433,WageIds,0)),"—"))</f>
        <v/>
      </c>
      <c r="G433" s="14">
        <f>IF($B433="","",IFERROR(VLOOKUP(INDEX(WageParty,MATCH($B433,WageIds,0)),WGTbl,2,0),"—"))</f>
        <v/>
      </c>
      <c r="H433" s="12" t="n"/>
    </row>
    <row r="434">
      <c r="A434" s="19">
        <f>IF($B434="","",COUNTA($B$9:$B434))</f>
        <v/>
      </c>
      <c r="B434" s="12" t="n"/>
      <c r="C434" s="13" t="n"/>
      <c r="D434" s="20">
        <f>IF($C434="","",IFERROR(IF(VLOOKUP($C434,AcctTblE,4,0)="","(بدون نام)",VLOOKUP($C434,AcctTblE,4,0)),"کد ناشناخته"))</f>
        <v/>
      </c>
      <c r="E434" s="15" t="n"/>
      <c r="F434" s="20">
        <f>IF($B434="","",IFERROR(INDEX(WageDates,MATCH($B434,WageIds,0)),"—"))</f>
        <v/>
      </c>
      <c r="G434" s="20">
        <f>IF($B434="","",IFERROR(VLOOKUP(INDEX(WageParty,MATCH($B434,WageIds,0)),WGTbl,2,0),"—"))</f>
        <v/>
      </c>
      <c r="H434" s="12" t="n"/>
    </row>
    <row r="435">
      <c r="A435" s="10">
        <f>IF($B435="","",COUNTA($B$9:$B435))</f>
        <v/>
      </c>
      <c r="B435" s="12" t="n"/>
      <c r="C435" s="13" t="n"/>
      <c r="D435" s="14">
        <f>IF($C435="","",IFERROR(IF(VLOOKUP($C435,AcctTblE,4,0)="","(بدون نام)",VLOOKUP($C435,AcctTblE,4,0)),"کد ناشناخته"))</f>
        <v/>
      </c>
      <c r="E435" s="15" t="n"/>
      <c r="F435" s="14">
        <f>IF($B435="","",IFERROR(INDEX(WageDates,MATCH($B435,WageIds,0)),"—"))</f>
        <v/>
      </c>
      <c r="G435" s="14">
        <f>IF($B435="","",IFERROR(VLOOKUP(INDEX(WageParty,MATCH($B435,WageIds,0)),WGTbl,2,0),"—"))</f>
        <v/>
      </c>
      <c r="H435" s="12" t="n"/>
    </row>
    <row r="436">
      <c r="A436" s="19">
        <f>IF($B436="","",COUNTA($B$9:$B436))</f>
        <v/>
      </c>
      <c r="B436" s="12" t="n"/>
      <c r="C436" s="13" t="n"/>
      <c r="D436" s="20">
        <f>IF($C436="","",IFERROR(IF(VLOOKUP($C436,AcctTblE,4,0)="","(بدون نام)",VLOOKUP($C436,AcctTblE,4,0)),"کد ناشناخته"))</f>
        <v/>
      </c>
      <c r="E436" s="15" t="n"/>
      <c r="F436" s="20">
        <f>IF($B436="","",IFERROR(INDEX(WageDates,MATCH($B436,WageIds,0)),"—"))</f>
        <v/>
      </c>
      <c r="G436" s="20">
        <f>IF($B436="","",IFERROR(VLOOKUP(INDEX(WageParty,MATCH($B436,WageIds,0)),WGTbl,2,0),"—"))</f>
        <v/>
      </c>
      <c r="H436" s="12" t="n"/>
    </row>
    <row r="437">
      <c r="A437" s="10">
        <f>IF($B437="","",COUNTA($B$9:$B437))</f>
        <v/>
      </c>
      <c r="B437" s="12" t="n"/>
      <c r="C437" s="13" t="n"/>
      <c r="D437" s="14">
        <f>IF($C437="","",IFERROR(IF(VLOOKUP($C437,AcctTblE,4,0)="","(بدون نام)",VLOOKUP($C437,AcctTblE,4,0)),"کد ناشناخته"))</f>
        <v/>
      </c>
      <c r="E437" s="15" t="n"/>
      <c r="F437" s="14">
        <f>IF($B437="","",IFERROR(INDEX(WageDates,MATCH($B437,WageIds,0)),"—"))</f>
        <v/>
      </c>
      <c r="G437" s="14">
        <f>IF($B437="","",IFERROR(VLOOKUP(INDEX(WageParty,MATCH($B437,WageIds,0)),WGTbl,2,0),"—"))</f>
        <v/>
      </c>
      <c r="H437" s="12" t="n"/>
    </row>
    <row r="438">
      <c r="A438" s="19">
        <f>IF($B438="","",COUNTA($B$9:$B438))</f>
        <v/>
      </c>
      <c r="B438" s="12" t="n"/>
      <c r="C438" s="13" t="n"/>
      <c r="D438" s="20">
        <f>IF($C438="","",IFERROR(IF(VLOOKUP($C438,AcctTblE,4,0)="","(بدون نام)",VLOOKUP($C438,AcctTblE,4,0)),"کد ناشناخته"))</f>
        <v/>
      </c>
      <c r="E438" s="15" t="n"/>
      <c r="F438" s="20">
        <f>IF($B438="","",IFERROR(INDEX(WageDates,MATCH($B438,WageIds,0)),"—"))</f>
        <v/>
      </c>
      <c r="G438" s="20">
        <f>IF($B438="","",IFERROR(VLOOKUP(INDEX(WageParty,MATCH($B438,WageIds,0)),WGTbl,2,0),"—"))</f>
        <v/>
      </c>
      <c r="H438" s="12" t="n"/>
    </row>
    <row r="439">
      <c r="A439" s="10">
        <f>IF($B439="","",COUNTA($B$9:$B439))</f>
        <v/>
      </c>
      <c r="B439" s="12" t="n"/>
      <c r="C439" s="13" t="n"/>
      <c r="D439" s="14">
        <f>IF($C439="","",IFERROR(IF(VLOOKUP($C439,AcctTblE,4,0)="","(بدون نام)",VLOOKUP($C439,AcctTblE,4,0)),"کد ناشناخته"))</f>
        <v/>
      </c>
      <c r="E439" s="15" t="n"/>
      <c r="F439" s="14">
        <f>IF($B439="","",IFERROR(INDEX(WageDates,MATCH($B439,WageIds,0)),"—"))</f>
        <v/>
      </c>
      <c r="G439" s="14">
        <f>IF($B439="","",IFERROR(VLOOKUP(INDEX(WageParty,MATCH($B439,WageIds,0)),WGTbl,2,0),"—"))</f>
        <v/>
      </c>
      <c r="H439" s="12" t="n"/>
    </row>
    <row r="440">
      <c r="A440" s="19">
        <f>IF($B440="","",COUNTA($B$9:$B440))</f>
        <v/>
      </c>
      <c r="B440" s="12" t="n"/>
      <c r="C440" s="13" t="n"/>
      <c r="D440" s="20">
        <f>IF($C440="","",IFERROR(IF(VLOOKUP($C440,AcctTblE,4,0)="","(بدون نام)",VLOOKUP($C440,AcctTblE,4,0)),"کد ناشناخته"))</f>
        <v/>
      </c>
      <c r="E440" s="15" t="n"/>
      <c r="F440" s="20">
        <f>IF($B440="","",IFERROR(INDEX(WageDates,MATCH($B440,WageIds,0)),"—"))</f>
        <v/>
      </c>
      <c r="G440" s="20">
        <f>IF($B440="","",IFERROR(VLOOKUP(INDEX(WageParty,MATCH($B440,WageIds,0)),WGTbl,2,0),"—"))</f>
        <v/>
      </c>
      <c r="H440" s="12" t="n"/>
    </row>
    <row r="441">
      <c r="A441" s="10">
        <f>IF($B441="","",COUNTA($B$9:$B441))</f>
        <v/>
      </c>
      <c r="B441" s="12" t="n"/>
      <c r="C441" s="13" t="n"/>
      <c r="D441" s="14">
        <f>IF($C441="","",IFERROR(IF(VLOOKUP($C441,AcctTblE,4,0)="","(بدون نام)",VLOOKUP($C441,AcctTblE,4,0)),"کد ناشناخته"))</f>
        <v/>
      </c>
      <c r="E441" s="15" t="n"/>
      <c r="F441" s="14">
        <f>IF($B441="","",IFERROR(INDEX(WageDates,MATCH($B441,WageIds,0)),"—"))</f>
        <v/>
      </c>
      <c r="G441" s="14">
        <f>IF($B441="","",IFERROR(VLOOKUP(INDEX(WageParty,MATCH($B441,WageIds,0)),WGTbl,2,0),"—"))</f>
        <v/>
      </c>
      <c r="H441" s="12" t="n"/>
    </row>
    <row r="442">
      <c r="A442" s="19">
        <f>IF($B442="","",COUNTA($B$9:$B442))</f>
        <v/>
      </c>
      <c r="B442" s="12" t="n"/>
      <c r="C442" s="13" t="n"/>
      <c r="D442" s="20">
        <f>IF($C442="","",IFERROR(IF(VLOOKUP($C442,AcctTblE,4,0)="","(بدون نام)",VLOOKUP($C442,AcctTblE,4,0)),"کد ناشناخته"))</f>
        <v/>
      </c>
      <c r="E442" s="15" t="n"/>
      <c r="F442" s="20">
        <f>IF($B442="","",IFERROR(INDEX(WageDates,MATCH($B442,WageIds,0)),"—"))</f>
        <v/>
      </c>
      <c r="G442" s="20">
        <f>IF($B442="","",IFERROR(VLOOKUP(INDEX(WageParty,MATCH($B442,WageIds,0)),WGTbl,2,0),"—"))</f>
        <v/>
      </c>
      <c r="H442" s="12" t="n"/>
    </row>
    <row r="443">
      <c r="A443" s="10">
        <f>IF($B443="","",COUNTA($B$9:$B443))</f>
        <v/>
      </c>
      <c r="B443" s="12" t="n"/>
      <c r="C443" s="13" t="n"/>
      <c r="D443" s="14">
        <f>IF($C443="","",IFERROR(IF(VLOOKUP($C443,AcctTblE,4,0)="","(بدون نام)",VLOOKUP($C443,AcctTblE,4,0)),"کد ناشناخته"))</f>
        <v/>
      </c>
      <c r="E443" s="15" t="n"/>
      <c r="F443" s="14">
        <f>IF($B443="","",IFERROR(INDEX(WageDates,MATCH($B443,WageIds,0)),"—"))</f>
        <v/>
      </c>
      <c r="G443" s="14">
        <f>IF($B443="","",IFERROR(VLOOKUP(INDEX(WageParty,MATCH($B443,WageIds,0)),WGTbl,2,0),"—"))</f>
        <v/>
      </c>
      <c r="H443" s="12" t="n"/>
    </row>
    <row r="444">
      <c r="A444" s="19">
        <f>IF($B444="","",COUNTA($B$9:$B444))</f>
        <v/>
      </c>
      <c r="B444" s="12" t="n"/>
      <c r="C444" s="13" t="n"/>
      <c r="D444" s="20">
        <f>IF($C444="","",IFERROR(IF(VLOOKUP($C444,AcctTblE,4,0)="","(بدون نام)",VLOOKUP($C444,AcctTblE,4,0)),"کد ناشناخته"))</f>
        <v/>
      </c>
      <c r="E444" s="15" t="n"/>
      <c r="F444" s="20">
        <f>IF($B444="","",IFERROR(INDEX(WageDates,MATCH($B444,WageIds,0)),"—"))</f>
        <v/>
      </c>
      <c r="G444" s="20">
        <f>IF($B444="","",IFERROR(VLOOKUP(INDEX(WageParty,MATCH($B444,WageIds,0)),WGTbl,2,0),"—"))</f>
        <v/>
      </c>
      <c r="H444" s="12" t="n"/>
    </row>
    <row r="445">
      <c r="A445" s="10">
        <f>IF($B445="","",COUNTA($B$9:$B445))</f>
        <v/>
      </c>
      <c r="B445" s="12" t="n"/>
      <c r="C445" s="13" t="n"/>
      <c r="D445" s="14">
        <f>IF($C445="","",IFERROR(IF(VLOOKUP($C445,AcctTblE,4,0)="","(بدون نام)",VLOOKUP($C445,AcctTblE,4,0)),"کد ناشناخته"))</f>
        <v/>
      </c>
      <c r="E445" s="15" t="n"/>
      <c r="F445" s="14">
        <f>IF($B445="","",IFERROR(INDEX(WageDates,MATCH($B445,WageIds,0)),"—"))</f>
        <v/>
      </c>
      <c r="G445" s="14">
        <f>IF($B445="","",IFERROR(VLOOKUP(INDEX(WageParty,MATCH($B445,WageIds,0)),WGTbl,2,0),"—"))</f>
        <v/>
      </c>
      <c r="H445" s="12" t="n"/>
    </row>
    <row r="446">
      <c r="A446" s="19">
        <f>IF($B446="","",COUNTA($B$9:$B446))</f>
        <v/>
      </c>
      <c r="B446" s="12" t="n"/>
      <c r="C446" s="13" t="n"/>
      <c r="D446" s="20">
        <f>IF($C446="","",IFERROR(IF(VLOOKUP($C446,AcctTblE,4,0)="","(بدون نام)",VLOOKUP($C446,AcctTblE,4,0)),"کد ناشناخته"))</f>
        <v/>
      </c>
      <c r="E446" s="15" t="n"/>
      <c r="F446" s="20">
        <f>IF($B446="","",IFERROR(INDEX(WageDates,MATCH($B446,WageIds,0)),"—"))</f>
        <v/>
      </c>
      <c r="G446" s="20">
        <f>IF($B446="","",IFERROR(VLOOKUP(INDEX(WageParty,MATCH($B446,WageIds,0)),WGTbl,2,0),"—"))</f>
        <v/>
      </c>
      <c r="H446" s="12" t="n"/>
    </row>
    <row r="447">
      <c r="A447" s="10">
        <f>IF($B447="","",COUNTA($B$9:$B447))</f>
        <v/>
      </c>
      <c r="B447" s="12" t="n"/>
      <c r="C447" s="13" t="n"/>
      <c r="D447" s="14">
        <f>IF($C447="","",IFERROR(IF(VLOOKUP($C447,AcctTblE,4,0)="","(بدون نام)",VLOOKUP($C447,AcctTblE,4,0)),"کد ناشناخته"))</f>
        <v/>
      </c>
      <c r="E447" s="15" t="n"/>
      <c r="F447" s="14">
        <f>IF($B447="","",IFERROR(INDEX(WageDates,MATCH($B447,WageIds,0)),"—"))</f>
        <v/>
      </c>
      <c r="G447" s="14">
        <f>IF($B447="","",IFERROR(VLOOKUP(INDEX(WageParty,MATCH($B447,WageIds,0)),WGTbl,2,0),"—"))</f>
        <v/>
      </c>
      <c r="H447" s="12" t="n"/>
    </row>
    <row r="448">
      <c r="A448" s="19">
        <f>IF($B448="","",COUNTA($B$9:$B448))</f>
        <v/>
      </c>
      <c r="B448" s="12" t="n"/>
      <c r="C448" s="13" t="n"/>
      <c r="D448" s="20">
        <f>IF($C448="","",IFERROR(IF(VLOOKUP($C448,AcctTblE,4,0)="","(بدون نام)",VLOOKUP($C448,AcctTblE,4,0)),"کد ناشناخته"))</f>
        <v/>
      </c>
      <c r="E448" s="15" t="n"/>
      <c r="F448" s="20">
        <f>IF($B448="","",IFERROR(INDEX(WageDates,MATCH($B448,WageIds,0)),"—"))</f>
        <v/>
      </c>
      <c r="G448" s="20">
        <f>IF($B448="","",IFERROR(VLOOKUP(INDEX(WageParty,MATCH($B448,WageIds,0)),WGTbl,2,0),"—"))</f>
        <v/>
      </c>
      <c r="H448" s="12" t="n"/>
    </row>
    <row r="449">
      <c r="A449" s="10">
        <f>IF($B449="","",COUNTA($B$9:$B449))</f>
        <v/>
      </c>
      <c r="B449" s="12" t="n"/>
      <c r="C449" s="13" t="n"/>
      <c r="D449" s="14">
        <f>IF($C449="","",IFERROR(IF(VLOOKUP($C449,AcctTblE,4,0)="","(بدون نام)",VLOOKUP($C449,AcctTblE,4,0)),"کد ناشناخته"))</f>
        <v/>
      </c>
      <c r="E449" s="15" t="n"/>
      <c r="F449" s="14">
        <f>IF($B449="","",IFERROR(INDEX(WageDates,MATCH($B449,WageIds,0)),"—"))</f>
        <v/>
      </c>
      <c r="G449" s="14">
        <f>IF($B449="","",IFERROR(VLOOKUP(INDEX(WageParty,MATCH($B449,WageIds,0)),WGTbl,2,0),"—"))</f>
        <v/>
      </c>
      <c r="H449" s="12" t="n"/>
    </row>
    <row r="450">
      <c r="A450" s="19">
        <f>IF($B450="","",COUNTA($B$9:$B450))</f>
        <v/>
      </c>
      <c r="B450" s="12" t="n"/>
      <c r="C450" s="13" t="n"/>
      <c r="D450" s="20">
        <f>IF($C450="","",IFERROR(IF(VLOOKUP($C450,AcctTblE,4,0)="","(بدون نام)",VLOOKUP($C450,AcctTblE,4,0)),"کد ناشناخته"))</f>
        <v/>
      </c>
      <c r="E450" s="15" t="n"/>
      <c r="F450" s="20">
        <f>IF($B450="","",IFERROR(INDEX(WageDates,MATCH($B450,WageIds,0)),"—"))</f>
        <v/>
      </c>
      <c r="G450" s="20">
        <f>IF($B450="","",IFERROR(VLOOKUP(INDEX(WageParty,MATCH($B450,WageIds,0)),WGTbl,2,0),"—"))</f>
        <v/>
      </c>
      <c r="H450" s="12" t="n"/>
    </row>
    <row r="451">
      <c r="A451" s="10">
        <f>IF($B451="","",COUNTA($B$9:$B451))</f>
        <v/>
      </c>
      <c r="B451" s="12" t="n"/>
      <c r="C451" s="13" t="n"/>
      <c r="D451" s="14">
        <f>IF($C451="","",IFERROR(IF(VLOOKUP($C451,AcctTblE,4,0)="","(بدون نام)",VLOOKUP($C451,AcctTblE,4,0)),"کد ناشناخته"))</f>
        <v/>
      </c>
      <c r="E451" s="15" t="n"/>
      <c r="F451" s="14">
        <f>IF($B451="","",IFERROR(INDEX(WageDates,MATCH($B451,WageIds,0)),"—"))</f>
        <v/>
      </c>
      <c r="G451" s="14">
        <f>IF($B451="","",IFERROR(VLOOKUP(INDEX(WageParty,MATCH($B451,WageIds,0)),WGTbl,2,0),"—"))</f>
        <v/>
      </c>
      <c r="H451" s="12" t="n"/>
    </row>
    <row r="452">
      <c r="A452" s="19">
        <f>IF($B452="","",COUNTA($B$9:$B452))</f>
        <v/>
      </c>
      <c r="B452" s="12" t="n"/>
      <c r="C452" s="13" t="n"/>
      <c r="D452" s="20">
        <f>IF($C452="","",IFERROR(IF(VLOOKUP($C452,AcctTblE,4,0)="","(بدون نام)",VLOOKUP($C452,AcctTblE,4,0)),"کد ناشناخته"))</f>
        <v/>
      </c>
      <c r="E452" s="15" t="n"/>
      <c r="F452" s="20">
        <f>IF($B452="","",IFERROR(INDEX(WageDates,MATCH($B452,WageIds,0)),"—"))</f>
        <v/>
      </c>
      <c r="G452" s="20">
        <f>IF($B452="","",IFERROR(VLOOKUP(INDEX(WageParty,MATCH($B452,WageIds,0)),WGTbl,2,0),"—"))</f>
        <v/>
      </c>
      <c r="H452" s="12" t="n"/>
    </row>
    <row r="453">
      <c r="A453" s="10">
        <f>IF($B453="","",COUNTA($B$9:$B453))</f>
        <v/>
      </c>
      <c r="B453" s="12" t="n"/>
      <c r="C453" s="13" t="n"/>
      <c r="D453" s="14">
        <f>IF($C453="","",IFERROR(IF(VLOOKUP($C453,AcctTblE,4,0)="","(بدون نام)",VLOOKUP($C453,AcctTblE,4,0)),"کد ناشناخته"))</f>
        <v/>
      </c>
      <c r="E453" s="15" t="n"/>
      <c r="F453" s="14">
        <f>IF($B453="","",IFERROR(INDEX(WageDates,MATCH($B453,WageIds,0)),"—"))</f>
        <v/>
      </c>
      <c r="G453" s="14">
        <f>IF($B453="","",IFERROR(VLOOKUP(INDEX(WageParty,MATCH($B453,WageIds,0)),WGTbl,2,0),"—"))</f>
        <v/>
      </c>
      <c r="H453" s="12" t="n"/>
    </row>
    <row r="454">
      <c r="A454" s="19">
        <f>IF($B454="","",COUNTA($B$9:$B454))</f>
        <v/>
      </c>
      <c r="B454" s="12" t="n"/>
      <c r="C454" s="13" t="n"/>
      <c r="D454" s="20">
        <f>IF($C454="","",IFERROR(IF(VLOOKUP($C454,AcctTblE,4,0)="","(بدون نام)",VLOOKUP($C454,AcctTblE,4,0)),"کد ناشناخته"))</f>
        <v/>
      </c>
      <c r="E454" s="15" t="n"/>
      <c r="F454" s="20">
        <f>IF($B454="","",IFERROR(INDEX(WageDates,MATCH($B454,WageIds,0)),"—"))</f>
        <v/>
      </c>
      <c r="G454" s="20">
        <f>IF($B454="","",IFERROR(VLOOKUP(INDEX(WageParty,MATCH($B454,WageIds,0)),WGTbl,2,0),"—"))</f>
        <v/>
      </c>
      <c r="H454" s="12" t="n"/>
    </row>
    <row r="455">
      <c r="A455" s="10">
        <f>IF($B455="","",COUNTA($B$9:$B455))</f>
        <v/>
      </c>
      <c r="B455" s="12" t="n"/>
      <c r="C455" s="13" t="n"/>
      <c r="D455" s="14">
        <f>IF($C455="","",IFERROR(IF(VLOOKUP($C455,AcctTblE,4,0)="","(بدون نام)",VLOOKUP($C455,AcctTblE,4,0)),"کد ناشناخته"))</f>
        <v/>
      </c>
      <c r="E455" s="15" t="n"/>
      <c r="F455" s="14">
        <f>IF($B455="","",IFERROR(INDEX(WageDates,MATCH($B455,WageIds,0)),"—"))</f>
        <v/>
      </c>
      <c r="G455" s="14">
        <f>IF($B455="","",IFERROR(VLOOKUP(INDEX(WageParty,MATCH($B455,WageIds,0)),WGTbl,2,0),"—"))</f>
        <v/>
      </c>
      <c r="H455" s="12" t="n"/>
    </row>
    <row r="456">
      <c r="A456" s="19">
        <f>IF($B456="","",COUNTA($B$9:$B456))</f>
        <v/>
      </c>
      <c r="B456" s="12" t="n"/>
      <c r="C456" s="13" t="n"/>
      <c r="D456" s="20">
        <f>IF($C456="","",IFERROR(IF(VLOOKUP($C456,AcctTblE,4,0)="","(بدون نام)",VLOOKUP($C456,AcctTblE,4,0)),"کد ناشناخته"))</f>
        <v/>
      </c>
      <c r="E456" s="15" t="n"/>
      <c r="F456" s="20">
        <f>IF($B456="","",IFERROR(INDEX(WageDates,MATCH($B456,WageIds,0)),"—"))</f>
        <v/>
      </c>
      <c r="G456" s="20">
        <f>IF($B456="","",IFERROR(VLOOKUP(INDEX(WageParty,MATCH($B456,WageIds,0)),WGTbl,2,0),"—"))</f>
        <v/>
      </c>
      <c r="H456" s="12" t="n"/>
    </row>
    <row r="457">
      <c r="A457" s="10">
        <f>IF($B457="","",COUNTA($B$9:$B457))</f>
        <v/>
      </c>
      <c r="B457" s="12" t="n"/>
      <c r="C457" s="13" t="n"/>
      <c r="D457" s="14">
        <f>IF($C457="","",IFERROR(IF(VLOOKUP($C457,AcctTblE,4,0)="","(بدون نام)",VLOOKUP($C457,AcctTblE,4,0)),"کد ناشناخته"))</f>
        <v/>
      </c>
      <c r="E457" s="15" t="n"/>
      <c r="F457" s="14">
        <f>IF($B457="","",IFERROR(INDEX(WageDates,MATCH($B457,WageIds,0)),"—"))</f>
        <v/>
      </c>
      <c r="G457" s="14">
        <f>IF($B457="","",IFERROR(VLOOKUP(INDEX(WageParty,MATCH($B457,WageIds,0)),WGTbl,2,0),"—"))</f>
        <v/>
      </c>
      <c r="H457" s="12" t="n"/>
    </row>
    <row r="458">
      <c r="A458" s="19">
        <f>IF($B458="","",COUNTA($B$9:$B458))</f>
        <v/>
      </c>
      <c r="B458" s="12" t="n"/>
      <c r="C458" s="13" t="n"/>
      <c r="D458" s="20">
        <f>IF($C458="","",IFERROR(IF(VLOOKUP($C458,AcctTblE,4,0)="","(بدون نام)",VLOOKUP($C458,AcctTblE,4,0)),"کد ناشناخته"))</f>
        <v/>
      </c>
      <c r="E458" s="15" t="n"/>
      <c r="F458" s="20">
        <f>IF($B458="","",IFERROR(INDEX(WageDates,MATCH($B458,WageIds,0)),"—"))</f>
        <v/>
      </c>
      <c r="G458" s="20">
        <f>IF($B458="","",IFERROR(VLOOKUP(INDEX(WageParty,MATCH($B458,WageIds,0)),WGTbl,2,0),"—"))</f>
        <v/>
      </c>
      <c r="H458" s="12" t="n"/>
    </row>
    <row r="459">
      <c r="A459" s="10">
        <f>IF($B459="","",COUNTA($B$9:$B459))</f>
        <v/>
      </c>
      <c r="B459" s="12" t="n"/>
      <c r="C459" s="13" t="n"/>
      <c r="D459" s="14">
        <f>IF($C459="","",IFERROR(IF(VLOOKUP($C459,AcctTblE,4,0)="","(بدون نام)",VLOOKUP($C459,AcctTblE,4,0)),"کد ناشناخته"))</f>
        <v/>
      </c>
      <c r="E459" s="15" t="n"/>
      <c r="F459" s="14">
        <f>IF($B459="","",IFERROR(INDEX(WageDates,MATCH($B459,WageIds,0)),"—"))</f>
        <v/>
      </c>
      <c r="G459" s="14">
        <f>IF($B459="","",IFERROR(VLOOKUP(INDEX(WageParty,MATCH($B459,WageIds,0)),WGTbl,2,0),"—"))</f>
        <v/>
      </c>
      <c r="H459" s="12" t="n"/>
    </row>
    <row r="460">
      <c r="A460" s="19">
        <f>IF($B460="","",COUNTA($B$9:$B460))</f>
        <v/>
      </c>
      <c r="B460" s="12" t="n"/>
      <c r="C460" s="13" t="n"/>
      <c r="D460" s="20">
        <f>IF($C460="","",IFERROR(IF(VLOOKUP($C460,AcctTblE,4,0)="","(بدون نام)",VLOOKUP($C460,AcctTblE,4,0)),"کد ناشناخته"))</f>
        <v/>
      </c>
      <c r="E460" s="15" t="n"/>
      <c r="F460" s="20">
        <f>IF($B460="","",IFERROR(INDEX(WageDates,MATCH($B460,WageIds,0)),"—"))</f>
        <v/>
      </c>
      <c r="G460" s="20">
        <f>IF($B460="","",IFERROR(VLOOKUP(INDEX(WageParty,MATCH($B460,WageIds,0)),WGTbl,2,0),"—"))</f>
        <v/>
      </c>
      <c r="H460" s="12" t="n"/>
    </row>
    <row r="461">
      <c r="A461" s="10">
        <f>IF($B461="","",COUNTA($B$9:$B461))</f>
        <v/>
      </c>
      <c r="B461" s="12" t="n"/>
      <c r="C461" s="13" t="n"/>
      <c r="D461" s="14">
        <f>IF($C461="","",IFERROR(IF(VLOOKUP($C461,AcctTblE,4,0)="","(بدون نام)",VLOOKUP($C461,AcctTblE,4,0)),"کد ناشناخته"))</f>
        <v/>
      </c>
      <c r="E461" s="15" t="n"/>
      <c r="F461" s="14">
        <f>IF($B461="","",IFERROR(INDEX(WageDates,MATCH($B461,WageIds,0)),"—"))</f>
        <v/>
      </c>
      <c r="G461" s="14">
        <f>IF($B461="","",IFERROR(VLOOKUP(INDEX(WageParty,MATCH($B461,WageIds,0)),WGTbl,2,0),"—"))</f>
        <v/>
      </c>
      <c r="H461" s="12" t="n"/>
    </row>
    <row r="462">
      <c r="A462" s="19">
        <f>IF($B462="","",COUNTA($B$9:$B462))</f>
        <v/>
      </c>
      <c r="B462" s="12" t="n"/>
      <c r="C462" s="13" t="n"/>
      <c r="D462" s="20">
        <f>IF($C462="","",IFERROR(IF(VLOOKUP($C462,AcctTblE,4,0)="","(بدون نام)",VLOOKUP($C462,AcctTblE,4,0)),"کد ناشناخته"))</f>
        <v/>
      </c>
      <c r="E462" s="15" t="n"/>
      <c r="F462" s="20">
        <f>IF($B462="","",IFERROR(INDEX(WageDates,MATCH($B462,WageIds,0)),"—"))</f>
        <v/>
      </c>
      <c r="G462" s="20">
        <f>IF($B462="","",IFERROR(VLOOKUP(INDEX(WageParty,MATCH($B462,WageIds,0)),WGTbl,2,0),"—"))</f>
        <v/>
      </c>
      <c r="H462" s="12" t="n"/>
    </row>
    <row r="463">
      <c r="A463" s="10">
        <f>IF($B463="","",COUNTA($B$9:$B463))</f>
        <v/>
      </c>
      <c r="B463" s="12" t="n"/>
      <c r="C463" s="13" t="n"/>
      <c r="D463" s="14">
        <f>IF($C463="","",IFERROR(IF(VLOOKUP($C463,AcctTblE,4,0)="","(بدون نام)",VLOOKUP($C463,AcctTblE,4,0)),"کد ناشناخته"))</f>
        <v/>
      </c>
      <c r="E463" s="15" t="n"/>
      <c r="F463" s="14">
        <f>IF($B463="","",IFERROR(INDEX(WageDates,MATCH($B463,WageIds,0)),"—"))</f>
        <v/>
      </c>
      <c r="G463" s="14">
        <f>IF($B463="","",IFERROR(VLOOKUP(INDEX(WageParty,MATCH($B463,WageIds,0)),WGTbl,2,0),"—"))</f>
        <v/>
      </c>
      <c r="H463" s="12" t="n"/>
    </row>
    <row r="464">
      <c r="A464" s="19">
        <f>IF($B464="","",COUNTA($B$9:$B464))</f>
        <v/>
      </c>
      <c r="B464" s="12" t="n"/>
      <c r="C464" s="13" t="n"/>
      <c r="D464" s="20">
        <f>IF($C464="","",IFERROR(IF(VLOOKUP($C464,AcctTblE,4,0)="","(بدون نام)",VLOOKUP($C464,AcctTblE,4,0)),"کد ناشناخته"))</f>
        <v/>
      </c>
      <c r="E464" s="15" t="n"/>
      <c r="F464" s="20">
        <f>IF($B464="","",IFERROR(INDEX(WageDates,MATCH($B464,WageIds,0)),"—"))</f>
        <v/>
      </c>
      <c r="G464" s="20">
        <f>IF($B464="","",IFERROR(VLOOKUP(INDEX(WageParty,MATCH($B464,WageIds,0)),WGTbl,2,0),"—"))</f>
        <v/>
      </c>
      <c r="H464" s="12" t="n"/>
    </row>
    <row r="465">
      <c r="A465" s="10">
        <f>IF($B465="","",COUNTA($B$9:$B465))</f>
        <v/>
      </c>
      <c r="B465" s="12" t="n"/>
      <c r="C465" s="13" t="n"/>
      <c r="D465" s="14">
        <f>IF($C465="","",IFERROR(IF(VLOOKUP($C465,AcctTblE,4,0)="","(بدون نام)",VLOOKUP($C465,AcctTblE,4,0)),"کد ناشناخته"))</f>
        <v/>
      </c>
      <c r="E465" s="15" t="n"/>
      <c r="F465" s="14">
        <f>IF($B465="","",IFERROR(INDEX(WageDates,MATCH($B465,WageIds,0)),"—"))</f>
        <v/>
      </c>
      <c r="G465" s="14">
        <f>IF($B465="","",IFERROR(VLOOKUP(INDEX(WageParty,MATCH($B465,WageIds,0)),WGTbl,2,0),"—"))</f>
        <v/>
      </c>
      <c r="H465" s="12" t="n"/>
    </row>
    <row r="466">
      <c r="A466" s="19">
        <f>IF($B466="","",COUNTA($B$9:$B466))</f>
        <v/>
      </c>
      <c r="B466" s="12" t="n"/>
      <c r="C466" s="13" t="n"/>
      <c r="D466" s="20">
        <f>IF($C466="","",IFERROR(IF(VLOOKUP($C466,AcctTblE,4,0)="","(بدون نام)",VLOOKUP($C466,AcctTblE,4,0)),"کد ناشناخته"))</f>
        <v/>
      </c>
      <c r="E466" s="15" t="n"/>
      <c r="F466" s="20">
        <f>IF($B466="","",IFERROR(INDEX(WageDates,MATCH($B466,WageIds,0)),"—"))</f>
        <v/>
      </c>
      <c r="G466" s="20">
        <f>IF($B466="","",IFERROR(VLOOKUP(INDEX(WageParty,MATCH($B466,WageIds,0)),WGTbl,2,0),"—"))</f>
        <v/>
      </c>
      <c r="H466" s="12" t="n"/>
    </row>
    <row r="467">
      <c r="A467" s="10">
        <f>IF($B467="","",COUNTA($B$9:$B467))</f>
        <v/>
      </c>
      <c r="B467" s="12" t="n"/>
      <c r="C467" s="13" t="n"/>
      <c r="D467" s="14">
        <f>IF($C467="","",IFERROR(IF(VLOOKUP($C467,AcctTblE,4,0)="","(بدون نام)",VLOOKUP($C467,AcctTblE,4,0)),"کد ناشناخته"))</f>
        <v/>
      </c>
      <c r="E467" s="15" t="n"/>
      <c r="F467" s="14">
        <f>IF($B467="","",IFERROR(INDEX(WageDates,MATCH($B467,WageIds,0)),"—"))</f>
        <v/>
      </c>
      <c r="G467" s="14">
        <f>IF($B467="","",IFERROR(VLOOKUP(INDEX(WageParty,MATCH($B467,WageIds,0)),WGTbl,2,0),"—"))</f>
        <v/>
      </c>
      <c r="H467" s="12" t="n"/>
    </row>
    <row r="468">
      <c r="A468" s="19">
        <f>IF($B468="","",COUNTA($B$9:$B468))</f>
        <v/>
      </c>
      <c r="B468" s="12" t="n"/>
      <c r="C468" s="13" t="n"/>
      <c r="D468" s="20">
        <f>IF($C468="","",IFERROR(IF(VLOOKUP($C468,AcctTblE,4,0)="","(بدون نام)",VLOOKUP($C468,AcctTblE,4,0)),"کد ناشناخته"))</f>
        <v/>
      </c>
      <c r="E468" s="15" t="n"/>
      <c r="F468" s="20">
        <f>IF($B468="","",IFERROR(INDEX(WageDates,MATCH($B468,WageIds,0)),"—"))</f>
        <v/>
      </c>
      <c r="G468" s="20">
        <f>IF($B468="","",IFERROR(VLOOKUP(INDEX(WageParty,MATCH($B468,WageIds,0)),WGTbl,2,0),"—"))</f>
        <v/>
      </c>
      <c r="H468" s="12" t="n"/>
    </row>
    <row r="469">
      <c r="A469" s="10">
        <f>IF($B469="","",COUNTA($B$9:$B469))</f>
        <v/>
      </c>
      <c r="B469" s="12" t="n"/>
      <c r="C469" s="13" t="n"/>
      <c r="D469" s="14">
        <f>IF($C469="","",IFERROR(IF(VLOOKUP($C469,AcctTblE,4,0)="","(بدون نام)",VLOOKUP($C469,AcctTblE,4,0)),"کد ناشناخته"))</f>
        <v/>
      </c>
      <c r="E469" s="15" t="n"/>
      <c r="F469" s="14">
        <f>IF($B469="","",IFERROR(INDEX(WageDates,MATCH($B469,WageIds,0)),"—"))</f>
        <v/>
      </c>
      <c r="G469" s="14">
        <f>IF($B469="","",IFERROR(VLOOKUP(INDEX(WageParty,MATCH($B469,WageIds,0)),WGTbl,2,0),"—"))</f>
        <v/>
      </c>
      <c r="H469" s="12" t="n"/>
    </row>
    <row r="470">
      <c r="A470" s="19">
        <f>IF($B470="","",COUNTA($B$9:$B470))</f>
        <v/>
      </c>
      <c r="B470" s="12" t="n"/>
      <c r="C470" s="13" t="n"/>
      <c r="D470" s="20">
        <f>IF($C470="","",IFERROR(IF(VLOOKUP($C470,AcctTblE,4,0)="","(بدون نام)",VLOOKUP($C470,AcctTblE,4,0)),"کد ناشناخته"))</f>
        <v/>
      </c>
      <c r="E470" s="15" t="n"/>
      <c r="F470" s="20">
        <f>IF($B470="","",IFERROR(INDEX(WageDates,MATCH($B470,WageIds,0)),"—"))</f>
        <v/>
      </c>
      <c r="G470" s="20">
        <f>IF($B470="","",IFERROR(VLOOKUP(INDEX(WageParty,MATCH($B470,WageIds,0)),WGTbl,2,0),"—"))</f>
        <v/>
      </c>
      <c r="H470" s="12" t="n"/>
    </row>
    <row r="471">
      <c r="A471" s="10">
        <f>IF($B471="","",COUNTA($B$9:$B471))</f>
        <v/>
      </c>
      <c r="B471" s="12" t="n"/>
      <c r="C471" s="13" t="n"/>
      <c r="D471" s="14">
        <f>IF($C471="","",IFERROR(IF(VLOOKUP($C471,AcctTblE,4,0)="","(بدون نام)",VLOOKUP($C471,AcctTblE,4,0)),"کد ناشناخته"))</f>
        <v/>
      </c>
      <c r="E471" s="15" t="n"/>
      <c r="F471" s="14">
        <f>IF($B471="","",IFERROR(INDEX(WageDates,MATCH($B471,WageIds,0)),"—"))</f>
        <v/>
      </c>
      <c r="G471" s="14">
        <f>IF($B471="","",IFERROR(VLOOKUP(INDEX(WageParty,MATCH($B471,WageIds,0)),WGTbl,2,0),"—"))</f>
        <v/>
      </c>
      <c r="H471" s="12" t="n"/>
    </row>
    <row r="472">
      <c r="A472" s="19">
        <f>IF($B472="","",COUNTA($B$9:$B472))</f>
        <v/>
      </c>
      <c r="B472" s="12" t="n"/>
      <c r="C472" s="13" t="n"/>
      <c r="D472" s="20">
        <f>IF($C472="","",IFERROR(IF(VLOOKUP($C472,AcctTblE,4,0)="","(بدون نام)",VLOOKUP($C472,AcctTblE,4,0)),"کد ناشناخته"))</f>
        <v/>
      </c>
      <c r="E472" s="15" t="n"/>
      <c r="F472" s="20">
        <f>IF($B472="","",IFERROR(INDEX(WageDates,MATCH($B472,WageIds,0)),"—"))</f>
        <v/>
      </c>
      <c r="G472" s="20">
        <f>IF($B472="","",IFERROR(VLOOKUP(INDEX(WageParty,MATCH($B472,WageIds,0)),WGTbl,2,0),"—"))</f>
        <v/>
      </c>
      <c r="H472" s="12" t="n"/>
    </row>
    <row r="473">
      <c r="A473" s="10">
        <f>IF($B473="","",COUNTA($B$9:$B473))</f>
        <v/>
      </c>
      <c r="B473" s="12" t="n"/>
      <c r="C473" s="13" t="n"/>
      <c r="D473" s="14">
        <f>IF($C473="","",IFERROR(IF(VLOOKUP($C473,AcctTblE,4,0)="","(بدون نام)",VLOOKUP($C473,AcctTblE,4,0)),"کد ناشناخته"))</f>
        <v/>
      </c>
      <c r="E473" s="15" t="n"/>
      <c r="F473" s="14">
        <f>IF($B473="","",IFERROR(INDEX(WageDates,MATCH($B473,WageIds,0)),"—"))</f>
        <v/>
      </c>
      <c r="G473" s="14">
        <f>IF($B473="","",IFERROR(VLOOKUP(INDEX(WageParty,MATCH($B473,WageIds,0)),WGTbl,2,0),"—"))</f>
        <v/>
      </c>
      <c r="H473" s="12" t="n"/>
    </row>
    <row r="474">
      <c r="A474" s="19">
        <f>IF($B474="","",COUNTA($B$9:$B474))</f>
        <v/>
      </c>
      <c r="B474" s="12" t="n"/>
      <c r="C474" s="13" t="n"/>
      <c r="D474" s="20">
        <f>IF($C474="","",IFERROR(IF(VLOOKUP($C474,AcctTblE,4,0)="","(بدون نام)",VLOOKUP($C474,AcctTblE,4,0)),"کد ناشناخته"))</f>
        <v/>
      </c>
      <c r="E474" s="15" t="n"/>
      <c r="F474" s="20">
        <f>IF($B474="","",IFERROR(INDEX(WageDates,MATCH($B474,WageIds,0)),"—"))</f>
        <v/>
      </c>
      <c r="G474" s="20">
        <f>IF($B474="","",IFERROR(VLOOKUP(INDEX(WageParty,MATCH($B474,WageIds,0)),WGTbl,2,0),"—"))</f>
        <v/>
      </c>
      <c r="H474" s="12" t="n"/>
    </row>
    <row r="475">
      <c r="A475" s="10">
        <f>IF($B475="","",COUNTA($B$9:$B475))</f>
        <v/>
      </c>
      <c r="B475" s="12" t="n"/>
      <c r="C475" s="13" t="n"/>
      <c r="D475" s="14">
        <f>IF($C475="","",IFERROR(IF(VLOOKUP($C475,AcctTblE,4,0)="","(بدون نام)",VLOOKUP($C475,AcctTblE,4,0)),"کد ناشناخته"))</f>
        <v/>
      </c>
      <c r="E475" s="15" t="n"/>
      <c r="F475" s="14">
        <f>IF($B475="","",IFERROR(INDEX(WageDates,MATCH($B475,WageIds,0)),"—"))</f>
        <v/>
      </c>
      <c r="G475" s="14">
        <f>IF($B475="","",IFERROR(VLOOKUP(INDEX(WageParty,MATCH($B475,WageIds,0)),WGTbl,2,0),"—"))</f>
        <v/>
      </c>
      <c r="H475" s="12" t="n"/>
    </row>
    <row r="476">
      <c r="A476" s="19">
        <f>IF($B476="","",COUNTA($B$9:$B476))</f>
        <v/>
      </c>
      <c r="B476" s="12" t="n"/>
      <c r="C476" s="13" t="n"/>
      <c r="D476" s="20">
        <f>IF($C476="","",IFERROR(IF(VLOOKUP($C476,AcctTblE,4,0)="","(بدون نام)",VLOOKUP($C476,AcctTblE,4,0)),"کد ناشناخته"))</f>
        <v/>
      </c>
      <c r="E476" s="15" t="n"/>
      <c r="F476" s="20">
        <f>IF($B476="","",IFERROR(INDEX(WageDates,MATCH($B476,WageIds,0)),"—"))</f>
        <v/>
      </c>
      <c r="G476" s="20">
        <f>IF($B476="","",IFERROR(VLOOKUP(INDEX(WageParty,MATCH($B476,WageIds,0)),WGTbl,2,0),"—"))</f>
        <v/>
      </c>
      <c r="H476" s="12" t="n"/>
    </row>
    <row r="477">
      <c r="A477" s="10">
        <f>IF($B477="","",COUNTA($B$9:$B477))</f>
        <v/>
      </c>
      <c r="B477" s="12" t="n"/>
      <c r="C477" s="13" t="n"/>
      <c r="D477" s="14">
        <f>IF($C477="","",IFERROR(IF(VLOOKUP($C477,AcctTblE,4,0)="","(بدون نام)",VLOOKUP($C477,AcctTblE,4,0)),"کد ناشناخته"))</f>
        <v/>
      </c>
      <c r="E477" s="15" t="n"/>
      <c r="F477" s="14">
        <f>IF($B477="","",IFERROR(INDEX(WageDates,MATCH($B477,WageIds,0)),"—"))</f>
        <v/>
      </c>
      <c r="G477" s="14">
        <f>IF($B477="","",IFERROR(VLOOKUP(INDEX(WageParty,MATCH($B477,WageIds,0)),WGTbl,2,0),"—"))</f>
        <v/>
      </c>
      <c r="H477" s="12" t="n"/>
    </row>
    <row r="478">
      <c r="A478" s="19">
        <f>IF($B478="","",COUNTA($B$9:$B478))</f>
        <v/>
      </c>
      <c r="B478" s="12" t="n"/>
      <c r="C478" s="13" t="n"/>
      <c r="D478" s="20">
        <f>IF($C478="","",IFERROR(IF(VLOOKUP($C478,AcctTblE,4,0)="","(بدون نام)",VLOOKUP($C478,AcctTblE,4,0)),"کد ناشناخته"))</f>
        <v/>
      </c>
      <c r="E478" s="15" t="n"/>
      <c r="F478" s="20">
        <f>IF($B478="","",IFERROR(INDEX(WageDates,MATCH($B478,WageIds,0)),"—"))</f>
        <v/>
      </c>
      <c r="G478" s="20">
        <f>IF($B478="","",IFERROR(VLOOKUP(INDEX(WageParty,MATCH($B478,WageIds,0)),WGTbl,2,0),"—"))</f>
        <v/>
      </c>
      <c r="H478" s="12" t="n"/>
    </row>
    <row r="479">
      <c r="A479" s="10">
        <f>IF($B479="","",COUNTA($B$9:$B479))</f>
        <v/>
      </c>
      <c r="B479" s="12" t="n"/>
      <c r="C479" s="13" t="n"/>
      <c r="D479" s="14">
        <f>IF($C479="","",IFERROR(IF(VLOOKUP($C479,AcctTblE,4,0)="","(بدون نام)",VLOOKUP($C479,AcctTblE,4,0)),"کد ناشناخته"))</f>
        <v/>
      </c>
      <c r="E479" s="15" t="n"/>
      <c r="F479" s="14">
        <f>IF($B479="","",IFERROR(INDEX(WageDates,MATCH($B479,WageIds,0)),"—"))</f>
        <v/>
      </c>
      <c r="G479" s="14">
        <f>IF($B479="","",IFERROR(VLOOKUP(INDEX(WageParty,MATCH($B479,WageIds,0)),WGTbl,2,0),"—"))</f>
        <v/>
      </c>
      <c r="H479" s="12" t="n"/>
    </row>
    <row r="480">
      <c r="A480" s="19">
        <f>IF($B480="","",COUNTA($B$9:$B480))</f>
        <v/>
      </c>
      <c r="B480" s="12" t="n"/>
      <c r="C480" s="13" t="n"/>
      <c r="D480" s="20">
        <f>IF($C480="","",IFERROR(IF(VLOOKUP($C480,AcctTblE,4,0)="","(بدون نام)",VLOOKUP($C480,AcctTblE,4,0)),"کد ناشناخته"))</f>
        <v/>
      </c>
      <c r="E480" s="15" t="n"/>
      <c r="F480" s="20">
        <f>IF($B480="","",IFERROR(INDEX(WageDates,MATCH($B480,WageIds,0)),"—"))</f>
        <v/>
      </c>
      <c r="G480" s="20">
        <f>IF($B480="","",IFERROR(VLOOKUP(INDEX(WageParty,MATCH($B480,WageIds,0)),WGTbl,2,0),"—"))</f>
        <v/>
      </c>
      <c r="H480" s="12" t="n"/>
    </row>
    <row r="481">
      <c r="A481" s="10">
        <f>IF($B481="","",COUNTA($B$9:$B481))</f>
        <v/>
      </c>
      <c r="B481" s="12" t="n"/>
      <c r="C481" s="13" t="n"/>
      <c r="D481" s="14">
        <f>IF($C481="","",IFERROR(IF(VLOOKUP($C481,AcctTblE,4,0)="","(بدون نام)",VLOOKUP($C481,AcctTblE,4,0)),"کد ناشناخته"))</f>
        <v/>
      </c>
      <c r="E481" s="15" t="n"/>
      <c r="F481" s="14">
        <f>IF($B481="","",IFERROR(INDEX(WageDates,MATCH($B481,WageIds,0)),"—"))</f>
        <v/>
      </c>
      <c r="G481" s="14">
        <f>IF($B481="","",IFERROR(VLOOKUP(INDEX(WageParty,MATCH($B481,WageIds,0)),WGTbl,2,0),"—"))</f>
        <v/>
      </c>
      <c r="H481" s="12" t="n"/>
    </row>
    <row r="482">
      <c r="A482" s="19">
        <f>IF($B482="","",COUNTA($B$9:$B482))</f>
        <v/>
      </c>
      <c r="B482" s="12" t="n"/>
      <c r="C482" s="13" t="n"/>
      <c r="D482" s="20">
        <f>IF($C482="","",IFERROR(IF(VLOOKUP($C482,AcctTblE,4,0)="","(بدون نام)",VLOOKUP($C482,AcctTblE,4,0)),"کد ناشناخته"))</f>
        <v/>
      </c>
      <c r="E482" s="15" t="n"/>
      <c r="F482" s="20">
        <f>IF($B482="","",IFERROR(INDEX(WageDates,MATCH($B482,WageIds,0)),"—"))</f>
        <v/>
      </c>
      <c r="G482" s="20">
        <f>IF($B482="","",IFERROR(VLOOKUP(INDEX(WageParty,MATCH($B482,WageIds,0)),WGTbl,2,0),"—"))</f>
        <v/>
      </c>
      <c r="H482" s="12" t="n"/>
    </row>
    <row r="483">
      <c r="A483" s="10">
        <f>IF($B483="","",COUNTA($B$9:$B483))</f>
        <v/>
      </c>
      <c r="B483" s="12" t="n"/>
      <c r="C483" s="13" t="n"/>
      <c r="D483" s="14">
        <f>IF($C483="","",IFERROR(IF(VLOOKUP($C483,AcctTblE,4,0)="","(بدون نام)",VLOOKUP($C483,AcctTblE,4,0)),"کد ناشناخته"))</f>
        <v/>
      </c>
      <c r="E483" s="15" t="n"/>
      <c r="F483" s="14">
        <f>IF($B483="","",IFERROR(INDEX(WageDates,MATCH($B483,WageIds,0)),"—"))</f>
        <v/>
      </c>
      <c r="G483" s="14">
        <f>IF($B483="","",IFERROR(VLOOKUP(INDEX(WageParty,MATCH($B483,WageIds,0)),WGTbl,2,0),"—"))</f>
        <v/>
      </c>
      <c r="H483" s="12" t="n"/>
    </row>
    <row r="484">
      <c r="A484" s="19">
        <f>IF($B484="","",COUNTA($B$9:$B484))</f>
        <v/>
      </c>
      <c r="B484" s="12" t="n"/>
      <c r="C484" s="13" t="n"/>
      <c r="D484" s="20">
        <f>IF($C484="","",IFERROR(IF(VLOOKUP($C484,AcctTblE,4,0)="","(بدون نام)",VLOOKUP($C484,AcctTblE,4,0)),"کد ناشناخته"))</f>
        <v/>
      </c>
      <c r="E484" s="15" t="n"/>
      <c r="F484" s="20">
        <f>IF($B484="","",IFERROR(INDEX(WageDates,MATCH($B484,WageIds,0)),"—"))</f>
        <v/>
      </c>
      <c r="G484" s="20">
        <f>IF($B484="","",IFERROR(VLOOKUP(INDEX(WageParty,MATCH($B484,WageIds,0)),WGTbl,2,0),"—"))</f>
        <v/>
      </c>
      <c r="H484" s="12" t="n"/>
    </row>
    <row r="485">
      <c r="A485" s="10">
        <f>IF($B485="","",COUNTA($B$9:$B485))</f>
        <v/>
      </c>
      <c r="B485" s="12" t="n"/>
      <c r="C485" s="13" t="n"/>
      <c r="D485" s="14">
        <f>IF($C485="","",IFERROR(IF(VLOOKUP($C485,AcctTblE,4,0)="","(بدون نام)",VLOOKUP($C485,AcctTblE,4,0)),"کد ناشناخته"))</f>
        <v/>
      </c>
      <c r="E485" s="15" t="n"/>
      <c r="F485" s="14">
        <f>IF($B485="","",IFERROR(INDEX(WageDates,MATCH($B485,WageIds,0)),"—"))</f>
        <v/>
      </c>
      <c r="G485" s="14">
        <f>IF($B485="","",IFERROR(VLOOKUP(INDEX(WageParty,MATCH($B485,WageIds,0)),WGTbl,2,0),"—"))</f>
        <v/>
      </c>
      <c r="H485" s="12" t="n"/>
    </row>
    <row r="486">
      <c r="A486" s="19">
        <f>IF($B486="","",COUNTA($B$9:$B486))</f>
        <v/>
      </c>
      <c r="B486" s="12" t="n"/>
      <c r="C486" s="13" t="n"/>
      <c r="D486" s="20">
        <f>IF($C486="","",IFERROR(IF(VLOOKUP($C486,AcctTblE,4,0)="","(بدون نام)",VLOOKUP($C486,AcctTblE,4,0)),"کد ناشناخته"))</f>
        <v/>
      </c>
      <c r="E486" s="15" t="n"/>
      <c r="F486" s="20">
        <f>IF($B486="","",IFERROR(INDEX(WageDates,MATCH($B486,WageIds,0)),"—"))</f>
        <v/>
      </c>
      <c r="G486" s="20">
        <f>IF($B486="","",IFERROR(VLOOKUP(INDEX(WageParty,MATCH($B486,WageIds,0)),WGTbl,2,0),"—"))</f>
        <v/>
      </c>
      <c r="H486" s="12" t="n"/>
    </row>
    <row r="487">
      <c r="A487" s="10">
        <f>IF($B487="","",COUNTA($B$9:$B487))</f>
        <v/>
      </c>
      <c r="B487" s="12" t="n"/>
      <c r="C487" s="13" t="n"/>
      <c r="D487" s="14">
        <f>IF($C487="","",IFERROR(IF(VLOOKUP($C487,AcctTblE,4,0)="","(بدون نام)",VLOOKUP($C487,AcctTblE,4,0)),"کد ناشناخته"))</f>
        <v/>
      </c>
      <c r="E487" s="15" t="n"/>
      <c r="F487" s="14">
        <f>IF($B487="","",IFERROR(INDEX(WageDates,MATCH($B487,WageIds,0)),"—"))</f>
        <v/>
      </c>
      <c r="G487" s="14">
        <f>IF($B487="","",IFERROR(VLOOKUP(INDEX(WageParty,MATCH($B487,WageIds,0)),WGTbl,2,0),"—"))</f>
        <v/>
      </c>
      <c r="H487" s="12" t="n"/>
    </row>
    <row r="488">
      <c r="A488" s="19">
        <f>IF($B488="","",COUNTA($B$9:$B488))</f>
        <v/>
      </c>
      <c r="B488" s="12" t="n"/>
      <c r="C488" s="13" t="n"/>
      <c r="D488" s="20">
        <f>IF($C488="","",IFERROR(IF(VLOOKUP($C488,AcctTblE,4,0)="","(بدون نام)",VLOOKUP($C488,AcctTblE,4,0)),"کد ناشناخته"))</f>
        <v/>
      </c>
      <c r="E488" s="15" t="n"/>
      <c r="F488" s="20">
        <f>IF($B488="","",IFERROR(INDEX(WageDates,MATCH($B488,WageIds,0)),"—"))</f>
        <v/>
      </c>
      <c r="G488" s="20">
        <f>IF($B488="","",IFERROR(VLOOKUP(INDEX(WageParty,MATCH($B488,WageIds,0)),WGTbl,2,0),"—"))</f>
        <v/>
      </c>
      <c r="H488" s="12" t="n"/>
    </row>
    <row r="489">
      <c r="A489" s="10">
        <f>IF($B489="","",COUNTA($B$9:$B489))</f>
        <v/>
      </c>
      <c r="B489" s="12" t="n"/>
      <c r="C489" s="13" t="n"/>
      <c r="D489" s="14">
        <f>IF($C489="","",IFERROR(IF(VLOOKUP($C489,AcctTblE,4,0)="","(بدون نام)",VLOOKUP($C489,AcctTblE,4,0)),"کد ناشناخته"))</f>
        <v/>
      </c>
      <c r="E489" s="15" t="n"/>
      <c r="F489" s="14">
        <f>IF($B489="","",IFERROR(INDEX(WageDates,MATCH($B489,WageIds,0)),"—"))</f>
        <v/>
      </c>
      <c r="G489" s="14">
        <f>IF($B489="","",IFERROR(VLOOKUP(INDEX(WageParty,MATCH($B489,WageIds,0)),WGTbl,2,0),"—"))</f>
        <v/>
      </c>
      <c r="H489" s="12" t="n"/>
    </row>
    <row r="490">
      <c r="A490" s="19">
        <f>IF($B490="","",COUNTA($B$9:$B490))</f>
        <v/>
      </c>
      <c r="B490" s="12" t="n"/>
      <c r="C490" s="13" t="n"/>
      <c r="D490" s="20">
        <f>IF($C490="","",IFERROR(IF(VLOOKUP($C490,AcctTblE,4,0)="","(بدون نام)",VLOOKUP($C490,AcctTblE,4,0)),"کد ناشناخته"))</f>
        <v/>
      </c>
      <c r="E490" s="15" t="n"/>
      <c r="F490" s="20">
        <f>IF($B490="","",IFERROR(INDEX(WageDates,MATCH($B490,WageIds,0)),"—"))</f>
        <v/>
      </c>
      <c r="G490" s="20">
        <f>IF($B490="","",IFERROR(VLOOKUP(INDEX(WageParty,MATCH($B490,WageIds,0)),WGTbl,2,0),"—"))</f>
        <v/>
      </c>
      <c r="H490" s="12" t="n"/>
    </row>
    <row r="491">
      <c r="A491" s="10">
        <f>IF($B491="","",COUNTA($B$9:$B491))</f>
        <v/>
      </c>
      <c r="B491" s="12" t="n"/>
      <c r="C491" s="13" t="n"/>
      <c r="D491" s="14">
        <f>IF($C491="","",IFERROR(IF(VLOOKUP($C491,AcctTblE,4,0)="","(بدون نام)",VLOOKUP($C491,AcctTblE,4,0)),"کد ناشناخته"))</f>
        <v/>
      </c>
      <c r="E491" s="15" t="n"/>
      <c r="F491" s="14">
        <f>IF($B491="","",IFERROR(INDEX(WageDates,MATCH($B491,WageIds,0)),"—"))</f>
        <v/>
      </c>
      <c r="G491" s="14">
        <f>IF($B491="","",IFERROR(VLOOKUP(INDEX(WageParty,MATCH($B491,WageIds,0)),WGTbl,2,0),"—"))</f>
        <v/>
      </c>
      <c r="H491" s="12" t="n"/>
    </row>
    <row r="492">
      <c r="A492" s="19">
        <f>IF($B492="","",COUNTA($B$9:$B492))</f>
        <v/>
      </c>
      <c r="B492" s="12" t="n"/>
      <c r="C492" s="13" t="n"/>
      <c r="D492" s="20">
        <f>IF($C492="","",IFERROR(IF(VLOOKUP($C492,AcctTblE,4,0)="","(بدون نام)",VLOOKUP($C492,AcctTblE,4,0)),"کد ناشناخته"))</f>
        <v/>
      </c>
      <c r="E492" s="15" t="n"/>
      <c r="F492" s="20">
        <f>IF($B492="","",IFERROR(INDEX(WageDates,MATCH($B492,WageIds,0)),"—"))</f>
        <v/>
      </c>
      <c r="G492" s="20">
        <f>IF($B492="","",IFERROR(VLOOKUP(INDEX(WageParty,MATCH($B492,WageIds,0)),WGTbl,2,0),"—"))</f>
        <v/>
      </c>
      <c r="H492" s="12" t="n"/>
    </row>
    <row r="493">
      <c r="A493" s="10">
        <f>IF($B493="","",COUNTA($B$9:$B493))</f>
        <v/>
      </c>
      <c r="B493" s="12" t="n"/>
      <c r="C493" s="13" t="n"/>
      <c r="D493" s="14">
        <f>IF($C493="","",IFERROR(IF(VLOOKUP($C493,AcctTblE,4,0)="","(بدون نام)",VLOOKUP($C493,AcctTblE,4,0)),"کد ناشناخته"))</f>
        <v/>
      </c>
      <c r="E493" s="15" t="n"/>
      <c r="F493" s="14">
        <f>IF($B493="","",IFERROR(INDEX(WageDates,MATCH($B493,WageIds,0)),"—"))</f>
        <v/>
      </c>
      <c r="G493" s="14">
        <f>IF($B493="","",IFERROR(VLOOKUP(INDEX(WageParty,MATCH($B493,WageIds,0)),WGTbl,2,0),"—"))</f>
        <v/>
      </c>
      <c r="H493" s="12" t="n"/>
    </row>
    <row r="494">
      <c r="A494" s="19">
        <f>IF($B494="","",COUNTA($B$9:$B494))</f>
        <v/>
      </c>
      <c r="B494" s="12" t="n"/>
      <c r="C494" s="13" t="n"/>
      <c r="D494" s="20">
        <f>IF($C494="","",IFERROR(IF(VLOOKUP($C494,AcctTblE,4,0)="","(بدون نام)",VLOOKUP($C494,AcctTblE,4,0)),"کد ناشناخته"))</f>
        <v/>
      </c>
      <c r="E494" s="15" t="n"/>
      <c r="F494" s="20">
        <f>IF($B494="","",IFERROR(INDEX(WageDates,MATCH($B494,WageIds,0)),"—"))</f>
        <v/>
      </c>
      <c r="G494" s="20">
        <f>IF($B494="","",IFERROR(VLOOKUP(INDEX(WageParty,MATCH($B494,WageIds,0)),WGTbl,2,0),"—"))</f>
        <v/>
      </c>
      <c r="H494" s="12" t="n"/>
    </row>
    <row r="495">
      <c r="A495" s="10">
        <f>IF($B495="","",COUNTA($B$9:$B495))</f>
        <v/>
      </c>
      <c r="B495" s="12" t="n"/>
      <c r="C495" s="13" t="n"/>
      <c r="D495" s="14">
        <f>IF($C495="","",IFERROR(IF(VLOOKUP($C495,AcctTblE,4,0)="","(بدون نام)",VLOOKUP($C495,AcctTblE,4,0)),"کد ناشناخته"))</f>
        <v/>
      </c>
      <c r="E495" s="15" t="n"/>
      <c r="F495" s="14">
        <f>IF($B495="","",IFERROR(INDEX(WageDates,MATCH($B495,WageIds,0)),"—"))</f>
        <v/>
      </c>
      <c r="G495" s="14">
        <f>IF($B495="","",IFERROR(VLOOKUP(INDEX(WageParty,MATCH($B495,WageIds,0)),WGTbl,2,0),"—"))</f>
        <v/>
      </c>
      <c r="H495" s="12" t="n"/>
    </row>
    <row r="496">
      <c r="A496" s="19">
        <f>IF($B496="","",COUNTA($B$9:$B496))</f>
        <v/>
      </c>
      <c r="B496" s="12" t="n"/>
      <c r="C496" s="13" t="n"/>
      <c r="D496" s="20">
        <f>IF($C496="","",IFERROR(IF(VLOOKUP($C496,AcctTblE,4,0)="","(بدون نام)",VLOOKUP($C496,AcctTblE,4,0)),"کد ناشناخته"))</f>
        <v/>
      </c>
      <c r="E496" s="15" t="n"/>
      <c r="F496" s="20">
        <f>IF($B496="","",IFERROR(INDEX(WageDates,MATCH($B496,WageIds,0)),"—"))</f>
        <v/>
      </c>
      <c r="G496" s="20">
        <f>IF($B496="","",IFERROR(VLOOKUP(INDEX(WageParty,MATCH($B496,WageIds,0)),WGTbl,2,0),"—"))</f>
        <v/>
      </c>
      <c r="H496" s="12" t="n"/>
    </row>
    <row r="497">
      <c r="A497" s="10">
        <f>IF($B497="","",COUNTA($B$9:$B497))</f>
        <v/>
      </c>
      <c r="B497" s="12" t="n"/>
      <c r="C497" s="13" t="n"/>
      <c r="D497" s="14">
        <f>IF($C497="","",IFERROR(IF(VLOOKUP($C497,AcctTblE,4,0)="","(بدون نام)",VLOOKUP($C497,AcctTblE,4,0)),"کد ناشناخته"))</f>
        <v/>
      </c>
      <c r="E497" s="15" t="n"/>
      <c r="F497" s="14">
        <f>IF($B497="","",IFERROR(INDEX(WageDates,MATCH($B497,WageIds,0)),"—"))</f>
        <v/>
      </c>
      <c r="G497" s="14">
        <f>IF($B497="","",IFERROR(VLOOKUP(INDEX(WageParty,MATCH($B497,WageIds,0)),WGTbl,2,0),"—"))</f>
        <v/>
      </c>
      <c r="H497" s="12" t="n"/>
    </row>
    <row r="498">
      <c r="A498" s="19">
        <f>IF($B498="","",COUNTA($B$9:$B498))</f>
        <v/>
      </c>
      <c r="B498" s="12" t="n"/>
      <c r="C498" s="13" t="n"/>
      <c r="D498" s="20">
        <f>IF($C498="","",IFERROR(IF(VLOOKUP($C498,AcctTblE,4,0)="","(بدون نام)",VLOOKUP($C498,AcctTblE,4,0)),"کد ناشناخته"))</f>
        <v/>
      </c>
      <c r="E498" s="15" t="n"/>
      <c r="F498" s="20">
        <f>IF($B498="","",IFERROR(INDEX(WageDates,MATCH($B498,WageIds,0)),"—"))</f>
        <v/>
      </c>
      <c r="G498" s="20">
        <f>IF($B498="","",IFERROR(VLOOKUP(INDEX(WageParty,MATCH($B498,WageIds,0)),WGTbl,2,0),"—"))</f>
        <v/>
      </c>
      <c r="H498" s="12" t="n"/>
    </row>
    <row r="499">
      <c r="A499" s="10">
        <f>IF($B499="","",COUNTA($B$9:$B499))</f>
        <v/>
      </c>
      <c r="B499" s="12" t="n"/>
      <c r="C499" s="13" t="n"/>
      <c r="D499" s="14">
        <f>IF($C499="","",IFERROR(IF(VLOOKUP($C499,AcctTblE,4,0)="","(بدون نام)",VLOOKUP($C499,AcctTblE,4,0)),"کد ناشناخته"))</f>
        <v/>
      </c>
      <c r="E499" s="15" t="n"/>
      <c r="F499" s="14">
        <f>IF($B499="","",IFERROR(INDEX(WageDates,MATCH($B499,WageIds,0)),"—"))</f>
        <v/>
      </c>
      <c r="G499" s="14">
        <f>IF($B499="","",IFERROR(VLOOKUP(INDEX(WageParty,MATCH($B499,WageIds,0)),WGTbl,2,0),"—"))</f>
        <v/>
      </c>
      <c r="H499" s="12" t="n"/>
    </row>
    <row r="500">
      <c r="A500" s="19">
        <f>IF($B500="","",COUNTA($B$9:$B500))</f>
        <v/>
      </c>
      <c r="B500" s="12" t="n"/>
      <c r="C500" s="13" t="n"/>
      <c r="D500" s="20">
        <f>IF($C500="","",IFERROR(IF(VLOOKUP($C500,AcctTblE,4,0)="","(بدون نام)",VLOOKUP($C500,AcctTblE,4,0)),"کد ناشناخته"))</f>
        <v/>
      </c>
      <c r="E500" s="15" t="n"/>
      <c r="F500" s="20">
        <f>IF($B500="","",IFERROR(INDEX(WageDates,MATCH($B500,WageIds,0)),"—"))</f>
        <v/>
      </c>
      <c r="G500" s="20">
        <f>IF($B500="","",IFERROR(VLOOKUP(INDEX(WageParty,MATCH($B500,WageIds,0)),WGTbl,2,0),"—"))</f>
        <v/>
      </c>
      <c r="H500" s="12" t="n"/>
    </row>
    <row r="501">
      <c r="A501" s="10">
        <f>IF($B501="","",COUNTA($B$9:$B501))</f>
        <v/>
      </c>
      <c r="B501" s="12" t="n"/>
      <c r="C501" s="13" t="n"/>
      <c r="D501" s="14">
        <f>IF($C501="","",IFERROR(IF(VLOOKUP($C501,AcctTblE,4,0)="","(بدون نام)",VLOOKUP($C501,AcctTblE,4,0)),"کد ناشناخته"))</f>
        <v/>
      </c>
      <c r="E501" s="15" t="n"/>
      <c r="F501" s="14">
        <f>IF($B501="","",IFERROR(INDEX(WageDates,MATCH($B501,WageIds,0)),"—"))</f>
        <v/>
      </c>
      <c r="G501" s="14">
        <f>IF($B501="","",IFERROR(VLOOKUP(INDEX(WageParty,MATCH($B501,WageIds,0)),WGTbl,2,0),"—"))</f>
        <v/>
      </c>
      <c r="H501" s="12" t="n"/>
    </row>
    <row r="502">
      <c r="A502" s="19">
        <f>IF($B502="","",COUNTA($B$9:$B502))</f>
        <v/>
      </c>
      <c r="B502" s="12" t="n"/>
      <c r="C502" s="13" t="n"/>
      <c r="D502" s="20">
        <f>IF($C502="","",IFERROR(IF(VLOOKUP($C502,AcctTblE,4,0)="","(بدون نام)",VLOOKUP($C502,AcctTblE,4,0)),"کد ناشناخته"))</f>
        <v/>
      </c>
      <c r="E502" s="15" t="n"/>
      <c r="F502" s="20">
        <f>IF($B502="","",IFERROR(INDEX(WageDates,MATCH($B502,WageIds,0)),"—"))</f>
        <v/>
      </c>
      <c r="G502" s="20">
        <f>IF($B502="","",IFERROR(VLOOKUP(INDEX(WageParty,MATCH($B502,WageIds,0)),WGTbl,2,0),"—"))</f>
        <v/>
      </c>
      <c r="H502" s="12" t="n"/>
    </row>
    <row r="503">
      <c r="A503" s="10">
        <f>IF($B503="","",COUNTA($B$9:$B503))</f>
        <v/>
      </c>
      <c r="B503" s="12" t="n"/>
      <c r="C503" s="13" t="n"/>
      <c r="D503" s="14">
        <f>IF($C503="","",IFERROR(IF(VLOOKUP($C503,AcctTblE,4,0)="","(بدون نام)",VLOOKUP($C503,AcctTblE,4,0)),"کد ناشناخته"))</f>
        <v/>
      </c>
      <c r="E503" s="15" t="n"/>
      <c r="F503" s="14">
        <f>IF($B503="","",IFERROR(INDEX(WageDates,MATCH($B503,WageIds,0)),"—"))</f>
        <v/>
      </c>
      <c r="G503" s="14">
        <f>IF($B503="","",IFERROR(VLOOKUP(INDEX(WageParty,MATCH($B503,WageIds,0)),WGTbl,2,0),"—"))</f>
        <v/>
      </c>
      <c r="H503" s="12" t="n"/>
    </row>
    <row r="504">
      <c r="A504" s="19">
        <f>IF($B504="","",COUNTA($B$9:$B504))</f>
        <v/>
      </c>
      <c r="B504" s="12" t="n"/>
      <c r="C504" s="13" t="n"/>
      <c r="D504" s="20">
        <f>IF($C504="","",IFERROR(IF(VLOOKUP($C504,AcctTblE,4,0)="","(بدون نام)",VLOOKUP($C504,AcctTblE,4,0)),"کد ناشناخته"))</f>
        <v/>
      </c>
      <c r="E504" s="15" t="n"/>
      <c r="F504" s="20">
        <f>IF($B504="","",IFERROR(INDEX(WageDates,MATCH($B504,WageIds,0)),"—"))</f>
        <v/>
      </c>
      <c r="G504" s="20">
        <f>IF($B504="","",IFERROR(VLOOKUP(INDEX(WageParty,MATCH($B504,WageIds,0)),WGTbl,2,0),"—"))</f>
        <v/>
      </c>
      <c r="H504" s="12" t="n"/>
    </row>
    <row r="505">
      <c r="A505" s="10">
        <f>IF($B505="","",COUNTA($B$9:$B505))</f>
        <v/>
      </c>
      <c r="B505" s="12" t="n"/>
      <c r="C505" s="13" t="n"/>
      <c r="D505" s="14">
        <f>IF($C505="","",IFERROR(IF(VLOOKUP($C505,AcctTblE,4,0)="","(بدون نام)",VLOOKUP($C505,AcctTblE,4,0)),"کد ناشناخته"))</f>
        <v/>
      </c>
      <c r="E505" s="15" t="n"/>
      <c r="F505" s="14">
        <f>IF($B505="","",IFERROR(INDEX(WageDates,MATCH($B505,WageIds,0)),"—"))</f>
        <v/>
      </c>
      <c r="G505" s="14">
        <f>IF($B505="","",IFERROR(VLOOKUP(INDEX(WageParty,MATCH($B505,WageIds,0)),WGTbl,2,0),"—"))</f>
        <v/>
      </c>
      <c r="H505" s="12" t="n"/>
    </row>
    <row r="506">
      <c r="A506" s="19">
        <f>IF($B506="","",COUNTA($B$9:$B506))</f>
        <v/>
      </c>
      <c r="B506" s="12" t="n"/>
      <c r="C506" s="13" t="n"/>
      <c r="D506" s="20">
        <f>IF($C506="","",IFERROR(IF(VLOOKUP($C506,AcctTblE,4,0)="","(بدون نام)",VLOOKUP($C506,AcctTblE,4,0)),"کد ناشناخته"))</f>
        <v/>
      </c>
      <c r="E506" s="15" t="n"/>
      <c r="F506" s="20">
        <f>IF($B506="","",IFERROR(INDEX(WageDates,MATCH($B506,WageIds,0)),"—"))</f>
        <v/>
      </c>
      <c r="G506" s="20">
        <f>IF($B506="","",IFERROR(VLOOKUP(INDEX(WageParty,MATCH($B506,WageIds,0)),WGTbl,2,0),"—"))</f>
        <v/>
      </c>
      <c r="H506" s="12" t="n"/>
    </row>
    <row r="507">
      <c r="A507" s="10">
        <f>IF($B507="","",COUNTA($B$9:$B507))</f>
        <v/>
      </c>
      <c r="B507" s="12" t="n"/>
      <c r="C507" s="13" t="n"/>
      <c r="D507" s="14">
        <f>IF($C507="","",IFERROR(IF(VLOOKUP($C507,AcctTblE,4,0)="","(بدون نام)",VLOOKUP($C507,AcctTblE,4,0)),"کد ناشناخته"))</f>
        <v/>
      </c>
      <c r="E507" s="15" t="n"/>
      <c r="F507" s="14">
        <f>IF($B507="","",IFERROR(INDEX(WageDates,MATCH($B507,WageIds,0)),"—"))</f>
        <v/>
      </c>
      <c r="G507" s="14">
        <f>IF($B507="","",IFERROR(VLOOKUP(INDEX(WageParty,MATCH($B507,WageIds,0)),WGTbl,2,0),"—"))</f>
        <v/>
      </c>
      <c r="H507" s="12" t="n"/>
    </row>
    <row r="508">
      <c r="A508" s="19">
        <f>IF($B508="","",COUNTA($B$9:$B508))</f>
        <v/>
      </c>
      <c r="B508" s="12" t="n"/>
      <c r="C508" s="13" t="n"/>
      <c r="D508" s="20">
        <f>IF($C508="","",IFERROR(IF(VLOOKUP($C508,AcctTblE,4,0)="","(بدون نام)",VLOOKUP($C508,AcctTblE,4,0)),"کد ناشناخته"))</f>
        <v/>
      </c>
      <c r="E508" s="15" t="n"/>
      <c r="F508" s="20">
        <f>IF($B508="","",IFERROR(INDEX(WageDates,MATCH($B508,WageIds,0)),"—"))</f>
        <v/>
      </c>
      <c r="G508" s="20">
        <f>IF($B508="","",IFERROR(VLOOKUP(INDEX(WageParty,MATCH($B508,WageIds,0)),WGTbl,2,0),"—"))</f>
        <v/>
      </c>
      <c r="H508" s="12" t="n"/>
    </row>
    <row r="509">
      <c r="A509" s="10">
        <f>IF($B509="","",COUNTA($B$9:$B509))</f>
        <v/>
      </c>
      <c r="B509" s="12" t="n"/>
      <c r="C509" s="13" t="n"/>
      <c r="D509" s="14">
        <f>IF($C509="","",IFERROR(IF(VLOOKUP($C509,AcctTblE,4,0)="","(بدون نام)",VLOOKUP($C509,AcctTblE,4,0)),"کد ناشناخته"))</f>
        <v/>
      </c>
      <c r="E509" s="15" t="n"/>
      <c r="F509" s="14">
        <f>IF($B509="","",IFERROR(INDEX(WageDates,MATCH($B509,WageIds,0)),"—"))</f>
        <v/>
      </c>
      <c r="G509" s="14">
        <f>IF($B509="","",IFERROR(VLOOKUP(INDEX(WageParty,MATCH($B509,WageIds,0)),WGTbl,2,0),"—"))</f>
        <v/>
      </c>
      <c r="H509" s="12" t="n"/>
    </row>
    <row r="510">
      <c r="A510" s="19">
        <f>IF($B510="","",COUNTA($B$9:$B510))</f>
        <v/>
      </c>
      <c r="B510" s="12" t="n"/>
      <c r="C510" s="13" t="n"/>
      <c r="D510" s="20">
        <f>IF($C510="","",IFERROR(IF(VLOOKUP($C510,AcctTblE,4,0)="","(بدون نام)",VLOOKUP($C510,AcctTblE,4,0)),"کد ناشناخته"))</f>
        <v/>
      </c>
      <c r="E510" s="15" t="n"/>
      <c r="F510" s="20">
        <f>IF($B510="","",IFERROR(INDEX(WageDates,MATCH($B510,WageIds,0)),"—"))</f>
        <v/>
      </c>
      <c r="G510" s="20">
        <f>IF($B510="","",IFERROR(VLOOKUP(INDEX(WageParty,MATCH($B510,WageIds,0)),WGTbl,2,0),"—"))</f>
        <v/>
      </c>
      <c r="H510" s="12" t="n"/>
    </row>
    <row r="511">
      <c r="A511" s="10">
        <f>IF($B511="","",COUNTA($B$9:$B511))</f>
        <v/>
      </c>
      <c r="B511" s="12" t="n"/>
      <c r="C511" s="13" t="n"/>
      <c r="D511" s="14">
        <f>IF($C511="","",IFERROR(IF(VLOOKUP($C511,AcctTblE,4,0)="","(بدون نام)",VLOOKUP($C511,AcctTblE,4,0)),"کد ناشناخته"))</f>
        <v/>
      </c>
      <c r="E511" s="15" t="n"/>
      <c r="F511" s="14">
        <f>IF($B511="","",IFERROR(INDEX(WageDates,MATCH($B511,WageIds,0)),"—"))</f>
        <v/>
      </c>
      <c r="G511" s="14">
        <f>IF($B511="","",IFERROR(VLOOKUP(INDEX(WageParty,MATCH($B511,WageIds,0)),WGTbl,2,0),"—"))</f>
        <v/>
      </c>
      <c r="H511" s="12" t="n"/>
    </row>
    <row r="512">
      <c r="A512" s="19">
        <f>IF($B512="","",COUNTA($B$9:$B512))</f>
        <v/>
      </c>
      <c r="B512" s="12" t="n"/>
      <c r="C512" s="13" t="n"/>
      <c r="D512" s="20">
        <f>IF($C512="","",IFERROR(IF(VLOOKUP($C512,AcctTblE,4,0)="","(بدون نام)",VLOOKUP($C512,AcctTblE,4,0)),"کد ناشناخته"))</f>
        <v/>
      </c>
      <c r="E512" s="15" t="n"/>
      <c r="F512" s="20">
        <f>IF($B512="","",IFERROR(INDEX(WageDates,MATCH($B512,WageIds,0)),"—"))</f>
        <v/>
      </c>
      <c r="G512" s="20">
        <f>IF($B512="","",IFERROR(VLOOKUP(INDEX(WageParty,MATCH($B512,WageIds,0)),WGTbl,2,0),"—"))</f>
        <v/>
      </c>
      <c r="H512" s="12" t="n"/>
    </row>
    <row r="513">
      <c r="A513" s="10">
        <f>IF($B513="","",COUNTA($B$9:$B513))</f>
        <v/>
      </c>
      <c r="B513" s="12" t="n"/>
      <c r="C513" s="13" t="n"/>
      <c r="D513" s="14">
        <f>IF($C513="","",IFERROR(IF(VLOOKUP($C513,AcctTblE,4,0)="","(بدون نام)",VLOOKUP($C513,AcctTblE,4,0)),"کد ناشناخته"))</f>
        <v/>
      </c>
      <c r="E513" s="15" t="n"/>
      <c r="F513" s="14">
        <f>IF($B513="","",IFERROR(INDEX(WageDates,MATCH($B513,WageIds,0)),"—"))</f>
        <v/>
      </c>
      <c r="G513" s="14">
        <f>IF($B513="","",IFERROR(VLOOKUP(INDEX(WageParty,MATCH($B513,WageIds,0)),WGTbl,2,0),"—"))</f>
        <v/>
      </c>
      <c r="H513" s="12" t="n"/>
    </row>
    <row r="514">
      <c r="A514" s="19">
        <f>IF($B514="","",COUNTA($B$9:$B514))</f>
        <v/>
      </c>
      <c r="B514" s="12" t="n"/>
      <c r="C514" s="13" t="n"/>
      <c r="D514" s="20">
        <f>IF($C514="","",IFERROR(IF(VLOOKUP($C514,AcctTblE,4,0)="","(بدون نام)",VLOOKUP($C514,AcctTblE,4,0)),"کد ناشناخته"))</f>
        <v/>
      </c>
      <c r="E514" s="15" t="n"/>
      <c r="F514" s="20">
        <f>IF($B514="","",IFERROR(INDEX(WageDates,MATCH($B514,WageIds,0)),"—"))</f>
        <v/>
      </c>
      <c r="G514" s="20">
        <f>IF($B514="","",IFERROR(VLOOKUP(INDEX(WageParty,MATCH($B514,WageIds,0)),WGTbl,2,0),"—"))</f>
        <v/>
      </c>
      <c r="H514" s="12" t="n"/>
    </row>
    <row r="515">
      <c r="A515" s="10">
        <f>IF($B515="","",COUNTA($B$9:$B515))</f>
        <v/>
      </c>
      <c r="B515" s="12" t="n"/>
      <c r="C515" s="13" t="n"/>
      <c r="D515" s="14">
        <f>IF($C515="","",IFERROR(IF(VLOOKUP($C515,AcctTblE,4,0)="","(بدون نام)",VLOOKUP($C515,AcctTblE,4,0)),"کد ناشناخته"))</f>
        <v/>
      </c>
      <c r="E515" s="15" t="n"/>
      <c r="F515" s="14">
        <f>IF($B515="","",IFERROR(INDEX(WageDates,MATCH($B515,WageIds,0)),"—"))</f>
        <v/>
      </c>
      <c r="G515" s="14">
        <f>IF($B515="","",IFERROR(VLOOKUP(INDEX(WageParty,MATCH($B515,WageIds,0)),WGTbl,2,0),"—"))</f>
        <v/>
      </c>
      <c r="H515" s="12" t="n"/>
    </row>
    <row r="516">
      <c r="A516" s="19">
        <f>IF($B516="","",COUNTA($B$9:$B516))</f>
        <v/>
      </c>
      <c r="B516" s="12" t="n"/>
      <c r="C516" s="13" t="n"/>
      <c r="D516" s="20">
        <f>IF($C516="","",IFERROR(IF(VLOOKUP($C516,AcctTblE,4,0)="","(بدون نام)",VLOOKUP($C516,AcctTblE,4,0)),"کد ناشناخته"))</f>
        <v/>
      </c>
      <c r="E516" s="15" t="n"/>
      <c r="F516" s="20">
        <f>IF($B516="","",IFERROR(INDEX(WageDates,MATCH($B516,WageIds,0)),"—"))</f>
        <v/>
      </c>
      <c r="G516" s="20">
        <f>IF($B516="","",IFERROR(VLOOKUP(INDEX(WageParty,MATCH($B516,WageIds,0)),WGTbl,2,0),"—"))</f>
        <v/>
      </c>
      <c r="H516" s="12" t="n"/>
    </row>
    <row r="517">
      <c r="A517" s="10">
        <f>IF($B517="","",COUNTA($B$9:$B517))</f>
        <v/>
      </c>
      <c r="B517" s="12" t="n"/>
      <c r="C517" s="13" t="n"/>
      <c r="D517" s="14">
        <f>IF($C517="","",IFERROR(IF(VLOOKUP($C517,AcctTblE,4,0)="","(بدون نام)",VLOOKUP($C517,AcctTblE,4,0)),"کد ناشناخته"))</f>
        <v/>
      </c>
      <c r="E517" s="15" t="n"/>
      <c r="F517" s="14">
        <f>IF($B517="","",IFERROR(INDEX(WageDates,MATCH($B517,WageIds,0)),"—"))</f>
        <v/>
      </c>
      <c r="G517" s="14">
        <f>IF($B517="","",IFERROR(VLOOKUP(INDEX(WageParty,MATCH($B517,WageIds,0)),WGTbl,2,0),"—"))</f>
        <v/>
      </c>
      <c r="H517" s="12" t="n"/>
    </row>
    <row r="518">
      <c r="A518" s="19">
        <f>IF($B518="","",COUNTA($B$9:$B518))</f>
        <v/>
      </c>
      <c r="B518" s="12" t="n"/>
      <c r="C518" s="13" t="n"/>
      <c r="D518" s="20">
        <f>IF($C518="","",IFERROR(IF(VLOOKUP($C518,AcctTblE,4,0)="","(بدون نام)",VLOOKUP($C518,AcctTblE,4,0)),"کد ناشناخته"))</f>
        <v/>
      </c>
      <c r="E518" s="15" t="n"/>
      <c r="F518" s="20">
        <f>IF($B518="","",IFERROR(INDEX(WageDates,MATCH($B518,WageIds,0)),"—"))</f>
        <v/>
      </c>
      <c r="G518" s="20">
        <f>IF($B518="","",IFERROR(VLOOKUP(INDEX(WageParty,MATCH($B518,WageIds,0)),WGTbl,2,0),"—"))</f>
        <v/>
      </c>
      <c r="H518" s="12" t="n"/>
    </row>
    <row r="519">
      <c r="A519" s="10">
        <f>IF($B519="","",COUNTA($B$9:$B519))</f>
        <v/>
      </c>
      <c r="B519" s="12" t="n"/>
      <c r="C519" s="13" t="n"/>
      <c r="D519" s="14">
        <f>IF($C519="","",IFERROR(IF(VLOOKUP($C519,AcctTblE,4,0)="","(بدون نام)",VLOOKUP($C519,AcctTblE,4,0)),"کد ناشناخته"))</f>
        <v/>
      </c>
      <c r="E519" s="15" t="n"/>
      <c r="F519" s="14">
        <f>IF($B519="","",IFERROR(INDEX(WageDates,MATCH($B519,WageIds,0)),"—"))</f>
        <v/>
      </c>
      <c r="G519" s="14">
        <f>IF($B519="","",IFERROR(VLOOKUP(INDEX(WageParty,MATCH($B519,WageIds,0)),WGTbl,2,0),"—"))</f>
        <v/>
      </c>
      <c r="H519" s="12" t="n"/>
    </row>
    <row r="520">
      <c r="A520" s="19">
        <f>IF($B520="","",COUNTA($B$9:$B520))</f>
        <v/>
      </c>
      <c r="B520" s="12" t="n"/>
      <c r="C520" s="13" t="n"/>
      <c r="D520" s="20">
        <f>IF($C520="","",IFERROR(IF(VLOOKUP($C520,AcctTblE,4,0)="","(بدون نام)",VLOOKUP($C520,AcctTblE,4,0)),"کد ناشناخته"))</f>
        <v/>
      </c>
      <c r="E520" s="15" t="n"/>
      <c r="F520" s="20">
        <f>IF($B520="","",IFERROR(INDEX(WageDates,MATCH($B520,WageIds,0)),"—"))</f>
        <v/>
      </c>
      <c r="G520" s="20">
        <f>IF($B520="","",IFERROR(VLOOKUP(INDEX(WageParty,MATCH($B520,WageIds,0)),WGTbl,2,0),"—"))</f>
        <v/>
      </c>
      <c r="H520" s="12" t="n"/>
    </row>
    <row r="521">
      <c r="A521" s="10">
        <f>IF($B521="","",COUNTA($B$9:$B521))</f>
        <v/>
      </c>
      <c r="B521" s="12" t="n"/>
      <c r="C521" s="13" t="n"/>
      <c r="D521" s="14">
        <f>IF($C521="","",IFERROR(IF(VLOOKUP($C521,AcctTblE,4,0)="","(بدون نام)",VLOOKUP($C521,AcctTblE,4,0)),"کد ناشناخته"))</f>
        <v/>
      </c>
      <c r="E521" s="15" t="n"/>
      <c r="F521" s="14">
        <f>IF($B521="","",IFERROR(INDEX(WageDates,MATCH($B521,WageIds,0)),"—"))</f>
        <v/>
      </c>
      <c r="G521" s="14">
        <f>IF($B521="","",IFERROR(VLOOKUP(INDEX(WageParty,MATCH($B521,WageIds,0)),WGTbl,2,0),"—"))</f>
        <v/>
      </c>
      <c r="H521" s="12" t="n"/>
    </row>
    <row r="522">
      <c r="A522" s="19">
        <f>IF($B522="","",COUNTA($B$9:$B522))</f>
        <v/>
      </c>
      <c r="B522" s="12" t="n"/>
      <c r="C522" s="13" t="n"/>
      <c r="D522" s="20">
        <f>IF($C522="","",IFERROR(IF(VLOOKUP($C522,AcctTblE,4,0)="","(بدون نام)",VLOOKUP($C522,AcctTblE,4,0)),"کد ناشناخته"))</f>
        <v/>
      </c>
      <c r="E522" s="15" t="n"/>
      <c r="F522" s="20">
        <f>IF($B522="","",IFERROR(INDEX(WageDates,MATCH($B522,WageIds,0)),"—"))</f>
        <v/>
      </c>
      <c r="G522" s="20">
        <f>IF($B522="","",IFERROR(VLOOKUP(INDEX(WageParty,MATCH($B522,WageIds,0)),WGTbl,2,0),"—"))</f>
        <v/>
      </c>
      <c r="H522" s="12" t="n"/>
    </row>
    <row r="523">
      <c r="A523" s="10">
        <f>IF($B523="","",COUNTA($B$9:$B523))</f>
        <v/>
      </c>
      <c r="B523" s="12" t="n"/>
      <c r="C523" s="13" t="n"/>
      <c r="D523" s="14">
        <f>IF($C523="","",IFERROR(IF(VLOOKUP($C523,AcctTblE,4,0)="","(بدون نام)",VLOOKUP($C523,AcctTblE,4,0)),"کد ناشناخته"))</f>
        <v/>
      </c>
      <c r="E523" s="15" t="n"/>
      <c r="F523" s="14">
        <f>IF($B523="","",IFERROR(INDEX(WageDates,MATCH($B523,WageIds,0)),"—"))</f>
        <v/>
      </c>
      <c r="G523" s="14">
        <f>IF($B523="","",IFERROR(VLOOKUP(INDEX(WageParty,MATCH($B523,WageIds,0)),WGTbl,2,0),"—"))</f>
        <v/>
      </c>
      <c r="H523" s="12" t="n"/>
    </row>
    <row r="524">
      <c r="A524" s="19">
        <f>IF($B524="","",COUNTA($B$9:$B524))</f>
        <v/>
      </c>
      <c r="B524" s="12" t="n"/>
      <c r="C524" s="13" t="n"/>
      <c r="D524" s="20">
        <f>IF($C524="","",IFERROR(IF(VLOOKUP($C524,AcctTblE,4,0)="","(بدون نام)",VLOOKUP($C524,AcctTblE,4,0)),"کد ناشناخته"))</f>
        <v/>
      </c>
      <c r="E524" s="15" t="n"/>
      <c r="F524" s="20">
        <f>IF($B524="","",IFERROR(INDEX(WageDates,MATCH($B524,WageIds,0)),"—"))</f>
        <v/>
      </c>
      <c r="G524" s="20">
        <f>IF($B524="","",IFERROR(VLOOKUP(INDEX(WageParty,MATCH($B524,WageIds,0)),WGTbl,2,0),"—"))</f>
        <v/>
      </c>
      <c r="H524" s="12" t="n"/>
    </row>
    <row r="525">
      <c r="A525" s="10">
        <f>IF($B525="","",COUNTA($B$9:$B525))</f>
        <v/>
      </c>
      <c r="B525" s="12" t="n"/>
      <c r="C525" s="13" t="n"/>
      <c r="D525" s="14">
        <f>IF($C525="","",IFERROR(IF(VLOOKUP($C525,AcctTblE,4,0)="","(بدون نام)",VLOOKUP($C525,AcctTblE,4,0)),"کد ناشناخته"))</f>
        <v/>
      </c>
      <c r="E525" s="15" t="n"/>
      <c r="F525" s="14">
        <f>IF($B525="","",IFERROR(INDEX(WageDates,MATCH($B525,WageIds,0)),"—"))</f>
        <v/>
      </c>
      <c r="G525" s="14">
        <f>IF($B525="","",IFERROR(VLOOKUP(INDEX(WageParty,MATCH($B525,WageIds,0)),WGTbl,2,0),"—"))</f>
        <v/>
      </c>
      <c r="H525" s="12" t="n"/>
    </row>
    <row r="526">
      <c r="A526" s="19">
        <f>IF($B526="","",COUNTA($B$9:$B526))</f>
        <v/>
      </c>
      <c r="B526" s="12" t="n"/>
      <c r="C526" s="13" t="n"/>
      <c r="D526" s="20">
        <f>IF($C526="","",IFERROR(IF(VLOOKUP($C526,AcctTblE,4,0)="","(بدون نام)",VLOOKUP($C526,AcctTblE,4,0)),"کد ناشناخته"))</f>
        <v/>
      </c>
      <c r="E526" s="15" t="n"/>
      <c r="F526" s="20">
        <f>IF($B526="","",IFERROR(INDEX(WageDates,MATCH($B526,WageIds,0)),"—"))</f>
        <v/>
      </c>
      <c r="G526" s="20">
        <f>IF($B526="","",IFERROR(VLOOKUP(INDEX(WageParty,MATCH($B526,WageIds,0)),WGTbl,2,0),"—"))</f>
        <v/>
      </c>
      <c r="H526" s="12" t="n"/>
    </row>
    <row r="527">
      <c r="A527" s="10">
        <f>IF($B527="","",COUNTA($B$9:$B527))</f>
        <v/>
      </c>
      <c r="B527" s="12" t="n"/>
      <c r="C527" s="13" t="n"/>
      <c r="D527" s="14">
        <f>IF($C527="","",IFERROR(IF(VLOOKUP($C527,AcctTblE,4,0)="","(بدون نام)",VLOOKUP($C527,AcctTblE,4,0)),"کد ناشناخته"))</f>
        <v/>
      </c>
      <c r="E527" s="15" t="n"/>
      <c r="F527" s="14">
        <f>IF($B527="","",IFERROR(INDEX(WageDates,MATCH($B527,WageIds,0)),"—"))</f>
        <v/>
      </c>
      <c r="G527" s="14">
        <f>IF($B527="","",IFERROR(VLOOKUP(INDEX(WageParty,MATCH($B527,WageIds,0)),WGTbl,2,0),"—"))</f>
        <v/>
      </c>
      <c r="H527" s="12" t="n"/>
    </row>
    <row r="528">
      <c r="A528" s="19">
        <f>IF($B528="","",COUNTA($B$9:$B528))</f>
        <v/>
      </c>
      <c r="B528" s="12" t="n"/>
      <c r="C528" s="13" t="n"/>
      <c r="D528" s="20">
        <f>IF($C528="","",IFERROR(IF(VLOOKUP($C528,AcctTblE,4,0)="","(بدون نام)",VLOOKUP($C528,AcctTblE,4,0)),"کد ناشناخته"))</f>
        <v/>
      </c>
      <c r="E528" s="15" t="n"/>
      <c r="F528" s="20">
        <f>IF($B528="","",IFERROR(INDEX(WageDates,MATCH($B528,WageIds,0)),"—"))</f>
        <v/>
      </c>
      <c r="G528" s="20">
        <f>IF($B528="","",IFERROR(VLOOKUP(INDEX(WageParty,MATCH($B528,WageIds,0)),WGTbl,2,0),"—"))</f>
        <v/>
      </c>
      <c r="H528" s="12" t="n"/>
    </row>
    <row r="529">
      <c r="A529" s="10">
        <f>IF($B529="","",COUNTA($B$9:$B529))</f>
        <v/>
      </c>
      <c r="B529" s="12" t="n"/>
      <c r="C529" s="13" t="n"/>
      <c r="D529" s="14">
        <f>IF($C529="","",IFERROR(IF(VLOOKUP($C529,AcctTblE,4,0)="","(بدون نام)",VLOOKUP($C529,AcctTblE,4,0)),"کد ناشناخته"))</f>
        <v/>
      </c>
      <c r="E529" s="15" t="n"/>
      <c r="F529" s="14">
        <f>IF($B529="","",IFERROR(INDEX(WageDates,MATCH($B529,WageIds,0)),"—"))</f>
        <v/>
      </c>
      <c r="G529" s="14">
        <f>IF($B529="","",IFERROR(VLOOKUP(INDEX(WageParty,MATCH($B529,WageIds,0)),WGTbl,2,0),"—"))</f>
        <v/>
      </c>
      <c r="H529" s="12" t="n"/>
    </row>
    <row r="530">
      <c r="A530" s="19">
        <f>IF($B530="","",COUNTA($B$9:$B530))</f>
        <v/>
      </c>
      <c r="B530" s="12" t="n"/>
      <c r="C530" s="13" t="n"/>
      <c r="D530" s="20">
        <f>IF($C530="","",IFERROR(IF(VLOOKUP($C530,AcctTblE,4,0)="","(بدون نام)",VLOOKUP($C530,AcctTblE,4,0)),"کد ناشناخته"))</f>
        <v/>
      </c>
      <c r="E530" s="15" t="n"/>
      <c r="F530" s="20">
        <f>IF($B530="","",IFERROR(INDEX(WageDates,MATCH($B530,WageIds,0)),"—"))</f>
        <v/>
      </c>
      <c r="G530" s="20">
        <f>IF($B530="","",IFERROR(VLOOKUP(INDEX(WageParty,MATCH($B530,WageIds,0)),WGTbl,2,0),"—"))</f>
        <v/>
      </c>
      <c r="H530" s="12" t="n"/>
    </row>
    <row r="531">
      <c r="A531" s="10">
        <f>IF($B531="","",COUNTA($B$9:$B531))</f>
        <v/>
      </c>
      <c r="B531" s="12" t="n"/>
      <c r="C531" s="13" t="n"/>
      <c r="D531" s="14">
        <f>IF($C531="","",IFERROR(IF(VLOOKUP($C531,AcctTblE,4,0)="","(بدون نام)",VLOOKUP($C531,AcctTblE,4,0)),"کد ناشناخته"))</f>
        <v/>
      </c>
      <c r="E531" s="15" t="n"/>
      <c r="F531" s="14">
        <f>IF($B531="","",IFERROR(INDEX(WageDates,MATCH($B531,WageIds,0)),"—"))</f>
        <v/>
      </c>
      <c r="G531" s="14">
        <f>IF($B531="","",IFERROR(VLOOKUP(INDEX(WageParty,MATCH($B531,WageIds,0)),WGTbl,2,0),"—"))</f>
        <v/>
      </c>
      <c r="H531" s="12" t="n"/>
    </row>
    <row r="532">
      <c r="A532" s="19">
        <f>IF($B532="","",COUNTA($B$9:$B532))</f>
        <v/>
      </c>
      <c r="B532" s="12" t="n"/>
      <c r="C532" s="13" t="n"/>
      <c r="D532" s="20">
        <f>IF($C532="","",IFERROR(IF(VLOOKUP($C532,AcctTblE,4,0)="","(بدون نام)",VLOOKUP($C532,AcctTblE,4,0)),"کد ناشناخته"))</f>
        <v/>
      </c>
      <c r="E532" s="15" t="n"/>
      <c r="F532" s="20">
        <f>IF($B532="","",IFERROR(INDEX(WageDates,MATCH($B532,WageIds,0)),"—"))</f>
        <v/>
      </c>
      <c r="G532" s="20">
        <f>IF($B532="","",IFERROR(VLOOKUP(INDEX(WageParty,MATCH($B532,WageIds,0)),WGTbl,2,0),"—"))</f>
        <v/>
      </c>
      <c r="H532" s="12" t="n"/>
    </row>
    <row r="533">
      <c r="A533" s="10">
        <f>IF($B533="","",COUNTA($B$9:$B533))</f>
        <v/>
      </c>
      <c r="B533" s="12" t="n"/>
      <c r="C533" s="13" t="n"/>
      <c r="D533" s="14">
        <f>IF($C533="","",IFERROR(IF(VLOOKUP($C533,AcctTblE,4,0)="","(بدون نام)",VLOOKUP($C533,AcctTblE,4,0)),"کد ناشناخته"))</f>
        <v/>
      </c>
      <c r="E533" s="15" t="n"/>
      <c r="F533" s="14">
        <f>IF($B533="","",IFERROR(INDEX(WageDates,MATCH($B533,WageIds,0)),"—"))</f>
        <v/>
      </c>
      <c r="G533" s="14">
        <f>IF($B533="","",IFERROR(VLOOKUP(INDEX(WageParty,MATCH($B533,WageIds,0)),WGTbl,2,0),"—"))</f>
        <v/>
      </c>
      <c r="H533" s="12" t="n"/>
    </row>
    <row r="534">
      <c r="A534" s="19">
        <f>IF($B534="","",COUNTA($B$9:$B534))</f>
        <v/>
      </c>
      <c r="B534" s="12" t="n"/>
      <c r="C534" s="13" t="n"/>
      <c r="D534" s="20">
        <f>IF($C534="","",IFERROR(IF(VLOOKUP($C534,AcctTblE,4,0)="","(بدون نام)",VLOOKUP($C534,AcctTblE,4,0)),"کد ناشناخته"))</f>
        <v/>
      </c>
      <c r="E534" s="15" t="n"/>
      <c r="F534" s="20">
        <f>IF($B534="","",IFERROR(INDEX(WageDates,MATCH($B534,WageIds,0)),"—"))</f>
        <v/>
      </c>
      <c r="G534" s="20">
        <f>IF($B534="","",IFERROR(VLOOKUP(INDEX(WageParty,MATCH($B534,WageIds,0)),WGTbl,2,0),"—"))</f>
        <v/>
      </c>
      <c r="H534" s="12" t="n"/>
    </row>
    <row r="535">
      <c r="A535" s="10">
        <f>IF($B535="","",COUNTA($B$9:$B535))</f>
        <v/>
      </c>
      <c r="B535" s="12" t="n"/>
      <c r="C535" s="13" t="n"/>
      <c r="D535" s="14">
        <f>IF($C535="","",IFERROR(IF(VLOOKUP($C535,AcctTblE,4,0)="","(بدون نام)",VLOOKUP($C535,AcctTblE,4,0)),"کد ناشناخته"))</f>
        <v/>
      </c>
      <c r="E535" s="15" t="n"/>
      <c r="F535" s="14">
        <f>IF($B535="","",IFERROR(INDEX(WageDates,MATCH($B535,WageIds,0)),"—"))</f>
        <v/>
      </c>
      <c r="G535" s="14">
        <f>IF($B535="","",IFERROR(VLOOKUP(INDEX(WageParty,MATCH($B535,WageIds,0)),WGTbl,2,0),"—"))</f>
        <v/>
      </c>
      <c r="H535" s="12" t="n"/>
    </row>
    <row r="536">
      <c r="A536" s="19">
        <f>IF($B536="","",COUNTA($B$9:$B536))</f>
        <v/>
      </c>
      <c r="B536" s="12" t="n"/>
      <c r="C536" s="13" t="n"/>
      <c r="D536" s="20">
        <f>IF($C536="","",IFERROR(IF(VLOOKUP($C536,AcctTblE,4,0)="","(بدون نام)",VLOOKUP($C536,AcctTblE,4,0)),"کد ناشناخته"))</f>
        <v/>
      </c>
      <c r="E536" s="15" t="n"/>
      <c r="F536" s="20">
        <f>IF($B536="","",IFERROR(INDEX(WageDates,MATCH($B536,WageIds,0)),"—"))</f>
        <v/>
      </c>
      <c r="G536" s="20">
        <f>IF($B536="","",IFERROR(VLOOKUP(INDEX(WageParty,MATCH($B536,WageIds,0)),WGTbl,2,0),"—"))</f>
        <v/>
      </c>
      <c r="H536" s="12" t="n"/>
    </row>
    <row r="537">
      <c r="A537" s="10">
        <f>IF($B537="","",COUNTA($B$9:$B537))</f>
        <v/>
      </c>
      <c r="B537" s="12" t="n"/>
      <c r="C537" s="13" t="n"/>
      <c r="D537" s="14">
        <f>IF($C537="","",IFERROR(IF(VLOOKUP($C537,AcctTblE,4,0)="","(بدون نام)",VLOOKUP($C537,AcctTblE,4,0)),"کد ناشناخته"))</f>
        <v/>
      </c>
      <c r="E537" s="15" t="n"/>
      <c r="F537" s="14">
        <f>IF($B537="","",IFERROR(INDEX(WageDates,MATCH($B537,WageIds,0)),"—"))</f>
        <v/>
      </c>
      <c r="G537" s="14">
        <f>IF($B537="","",IFERROR(VLOOKUP(INDEX(WageParty,MATCH($B537,WageIds,0)),WGTbl,2,0),"—"))</f>
        <v/>
      </c>
      <c r="H537" s="12" t="n"/>
    </row>
    <row r="538">
      <c r="A538" s="19">
        <f>IF($B538="","",COUNTA($B$9:$B538))</f>
        <v/>
      </c>
      <c r="B538" s="12" t="n"/>
      <c r="C538" s="13" t="n"/>
      <c r="D538" s="20">
        <f>IF($C538="","",IFERROR(IF(VLOOKUP($C538,AcctTblE,4,0)="","(بدون نام)",VLOOKUP($C538,AcctTblE,4,0)),"کد ناشناخته"))</f>
        <v/>
      </c>
      <c r="E538" s="15" t="n"/>
      <c r="F538" s="20">
        <f>IF($B538="","",IFERROR(INDEX(WageDates,MATCH($B538,WageIds,0)),"—"))</f>
        <v/>
      </c>
      <c r="G538" s="20">
        <f>IF($B538="","",IFERROR(VLOOKUP(INDEX(WageParty,MATCH($B538,WageIds,0)),WGTbl,2,0),"—"))</f>
        <v/>
      </c>
      <c r="H538" s="12" t="n"/>
    </row>
    <row r="539">
      <c r="A539" s="10">
        <f>IF($B539="","",COUNTA($B$9:$B539))</f>
        <v/>
      </c>
      <c r="B539" s="12" t="n"/>
      <c r="C539" s="13" t="n"/>
      <c r="D539" s="14">
        <f>IF($C539="","",IFERROR(IF(VLOOKUP($C539,AcctTblE,4,0)="","(بدون نام)",VLOOKUP($C539,AcctTblE,4,0)),"کد ناشناخته"))</f>
        <v/>
      </c>
      <c r="E539" s="15" t="n"/>
      <c r="F539" s="14">
        <f>IF($B539="","",IFERROR(INDEX(WageDates,MATCH($B539,WageIds,0)),"—"))</f>
        <v/>
      </c>
      <c r="G539" s="14">
        <f>IF($B539="","",IFERROR(VLOOKUP(INDEX(WageParty,MATCH($B539,WageIds,0)),WGTbl,2,0),"—"))</f>
        <v/>
      </c>
      <c r="H539" s="12" t="n"/>
    </row>
    <row r="540">
      <c r="A540" s="19">
        <f>IF($B540="","",COUNTA($B$9:$B540))</f>
        <v/>
      </c>
      <c r="B540" s="12" t="n"/>
      <c r="C540" s="13" t="n"/>
      <c r="D540" s="20">
        <f>IF($C540="","",IFERROR(IF(VLOOKUP($C540,AcctTblE,4,0)="","(بدون نام)",VLOOKUP($C540,AcctTblE,4,0)),"کد ناشناخته"))</f>
        <v/>
      </c>
      <c r="E540" s="15" t="n"/>
      <c r="F540" s="20">
        <f>IF($B540="","",IFERROR(INDEX(WageDates,MATCH($B540,WageIds,0)),"—"))</f>
        <v/>
      </c>
      <c r="G540" s="20">
        <f>IF($B540="","",IFERROR(VLOOKUP(INDEX(WageParty,MATCH($B540,WageIds,0)),WGTbl,2,0),"—"))</f>
        <v/>
      </c>
      <c r="H540" s="12" t="n"/>
    </row>
    <row r="541">
      <c r="A541" s="10">
        <f>IF($B541="","",COUNTA($B$9:$B541))</f>
        <v/>
      </c>
      <c r="B541" s="12" t="n"/>
      <c r="C541" s="13" t="n"/>
      <c r="D541" s="14">
        <f>IF($C541="","",IFERROR(IF(VLOOKUP($C541,AcctTblE,4,0)="","(بدون نام)",VLOOKUP($C541,AcctTblE,4,0)),"کد ناشناخته"))</f>
        <v/>
      </c>
      <c r="E541" s="15" t="n"/>
      <c r="F541" s="14">
        <f>IF($B541="","",IFERROR(INDEX(WageDates,MATCH($B541,WageIds,0)),"—"))</f>
        <v/>
      </c>
      <c r="G541" s="14">
        <f>IF($B541="","",IFERROR(VLOOKUP(INDEX(WageParty,MATCH($B541,WageIds,0)),WGTbl,2,0),"—"))</f>
        <v/>
      </c>
      <c r="H541" s="12" t="n"/>
    </row>
    <row r="542">
      <c r="A542" s="19">
        <f>IF($B542="","",COUNTA($B$9:$B542))</f>
        <v/>
      </c>
      <c r="B542" s="12" t="n"/>
      <c r="C542" s="13" t="n"/>
      <c r="D542" s="20">
        <f>IF($C542="","",IFERROR(IF(VLOOKUP($C542,AcctTblE,4,0)="","(بدون نام)",VLOOKUP($C542,AcctTblE,4,0)),"کد ناشناخته"))</f>
        <v/>
      </c>
      <c r="E542" s="15" t="n"/>
      <c r="F542" s="20">
        <f>IF($B542="","",IFERROR(INDEX(WageDates,MATCH($B542,WageIds,0)),"—"))</f>
        <v/>
      </c>
      <c r="G542" s="20">
        <f>IF($B542="","",IFERROR(VLOOKUP(INDEX(WageParty,MATCH($B542,WageIds,0)),WGTbl,2,0),"—"))</f>
        <v/>
      </c>
      <c r="H542" s="12" t="n"/>
    </row>
    <row r="543">
      <c r="A543" s="10">
        <f>IF($B543="","",COUNTA($B$9:$B543))</f>
        <v/>
      </c>
      <c r="B543" s="12" t="n"/>
      <c r="C543" s="13" t="n"/>
      <c r="D543" s="14">
        <f>IF($C543="","",IFERROR(IF(VLOOKUP($C543,AcctTblE,4,0)="","(بدون نام)",VLOOKUP($C543,AcctTblE,4,0)),"کد ناشناخته"))</f>
        <v/>
      </c>
      <c r="E543" s="15" t="n"/>
      <c r="F543" s="14">
        <f>IF($B543="","",IFERROR(INDEX(WageDates,MATCH($B543,WageIds,0)),"—"))</f>
        <v/>
      </c>
      <c r="G543" s="14">
        <f>IF($B543="","",IFERROR(VLOOKUP(INDEX(WageParty,MATCH($B543,WageIds,0)),WGTbl,2,0),"—"))</f>
        <v/>
      </c>
      <c r="H543" s="12" t="n"/>
    </row>
    <row r="544">
      <c r="A544" s="19">
        <f>IF($B544="","",COUNTA($B$9:$B544))</f>
        <v/>
      </c>
      <c r="B544" s="12" t="n"/>
      <c r="C544" s="13" t="n"/>
      <c r="D544" s="20">
        <f>IF($C544="","",IFERROR(IF(VLOOKUP($C544,AcctTblE,4,0)="","(بدون نام)",VLOOKUP($C544,AcctTblE,4,0)),"کد ناشناخته"))</f>
        <v/>
      </c>
      <c r="E544" s="15" t="n"/>
      <c r="F544" s="20">
        <f>IF($B544="","",IFERROR(INDEX(WageDates,MATCH($B544,WageIds,0)),"—"))</f>
        <v/>
      </c>
      <c r="G544" s="20">
        <f>IF($B544="","",IFERROR(VLOOKUP(INDEX(WageParty,MATCH($B544,WageIds,0)),WGTbl,2,0),"—"))</f>
        <v/>
      </c>
      <c r="H544" s="12" t="n"/>
    </row>
    <row r="545">
      <c r="A545" s="10">
        <f>IF($B545="","",COUNTA($B$9:$B545))</f>
        <v/>
      </c>
      <c r="B545" s="12" t="n"/>
      <c r="C545" s="13" t="n"/>
      <c r="D545" s="14">
        <f>IF($C545="","",IFERROR(IF(VLOOKUP($C545,AcctTblE,4,0)="","(بدون نام)",VLOOKUP($C545,AcctTblE,4,0)),"کد ناشناخته"))</f>
        <v/>
      </c>
      <c r="E545" s="15" t="n"/>
      <c r="F545" s="14">
        <f>IF($B545="","",IFERROR(INDEX(WageDates,MATCH($B545,WageIds,0)),"—"))</f>
        <v/>
      </c>
      <c r="G545" s="14">
        <f>IF($B545="","",IFERROR(VLOOKUP(INDEX(WageParty,MATCH($B545,WageIds,0)),WGTbl,2,0),"—"))</f>
        <v/>
      </c>
      <c r="H545" s="12" t="n"/>
    </row>
    <row r="546">
      <c r="A546" s="19">
        <f>IF($B546="","",COUNTA($B$9:$B546))</f>
        <v/>
      </c>
      <c r="B546" s="12" t="n"/>
      <c r="C546" s="13" t="n"/>
      <c r="D546" s="20">
        <f>IF($C546="","",IFERROR(IF(VLOOKUP($C546,AcctTblE,4,0)="","(بدون نام)",VLOOKUP($C546,AcctTblE,4,0)),"کد ناشناخته"))</f>
        <v/>
      </c>
      <c r="E546" s="15" t="n"/>
      <c r="F546" s="20">
        <f>IF($B546="","",IFERROR(INDEX(WageDates,MATCH($B546,WageIds,0)),"—"))</f>
        <v/>
      </c>
      <c r="G546" s="20">
        <f>IF($B546="","",IFERROR(VLOOKUP(INDEX(WageParty,MATCH($B546,WageIds,0)),WGTbl,2,0),"—"))</f>
        <v/>
      </c>
      <c r="H546" s="12" t="n"/>
    </row>
    <row r="547">
      <c r="A547" s="10">
        <f>IF($B547="","",COUNTA($B$9:$B547))</f>
        <v/>
      </c>
      <c r="B547" s="12" t="n"/>
      <c r="C547" s="13" t="n"/>
      <c r="D547" s="14">
        <f>IF($C547="","",IFERROR(IF(VLOOKUP($C547,AcctTblE,4,0)="","(بدون نام)",VLOOKUP($C547,AcctTblE,4,0)),"کد ناشناخته"))</f>
        <v/>
      </c>
      <c r="E547" s="15" t="n"/>
      <c r="F547" s="14">
        <f>IF($B547="","",IFERROR(INDEX(WageDates,MATCH($B547,WageIds,0)),"—"))</f>
        <v/>
      </c>
      <c r="G547" s="14">
        <f>IF($B547="","",IFERROR(VLOOKUP(INDEX(WageParty,MATCH($B547,WageIds,0)),WGTbl,2,0),"—"))</f>
        <v/>
      </c>
      <c r="H547" s="12" t="n"/>
    </row>
    <row r="548">
      <c r="A548" s="19">
        <f>IF($B548="","",COUNTA($B$9:$B548))</f>
        <v/>
      </c>
      <c r="B548" s="12" t="n"/>
      <c r="C548" s="13" t="n"/>
      <c r="D548" s="20">
        <f>IF($C548="","",IFERROR(IF(VLOOKUP($C548,AcctTblE,4,0)="","(بدون نام)",VLOOKUP($C548,AcctTblE,4,0)),"کد ناشناخته"))</f>
        <v/>
      </c>
      <c r="E548" s="15" t="n"/>
      <c r="F548" s="20">
        <f>IF($B548="","",IFERROR(INDEX(WageDates,MATCH($B548,WageIds,0)),"—"))</f>
        <v/>
      </c>
      <c r="G548" s="20">
        <f>IF($B548="","",IFERROR(VLOOKUP(INDEX(WageParty,MATCH($B548,WageIds,0)),WGTbl,2,0),"—"))</f>
        <v/>
      </c>
      <c r="H548" s="12" t="n"/>
    </row>
    <row r="549">
      <c r="A549" s="10">
        <f>IF($B549="","",COUNTA($B$9:$B549))</f>
        <v/>
      </c>
      <c r="B549" s="12" t="n"/>
      <c r="C549" s="13" t="n"/>
      <c r="D549" s="14">
        <f>IF($C549="","",IFERROR(IF(VLOOKUP($C549,AcctTblE,4,0)="","(بدون نام)",VLOOKUP($C549,AcctTblE,4,0)),"کد ناشناخته"))</f>
        <v/>
      </c>
      <c r="E549" s="15" t="n"/>
      <c r="F549" s="14">
        <f>IF($B549="","",IFERROR(INDEX(WageDates,MATCH($B549,WageIds,0)),"—"))</f>
        <v/>
      </c>
      <c r="G549" s="14">
        <f>IF($B549="","",IFERROR(VLOOKUP(INDEX(WageParty,MATCH($B549,WageIds,0)),WGTbl,2,0),"—"))</f>
        <v/>
      </c>
      <c r="H549" s="12" t="n"/>
    </row>
    <row r="550">
      <c r="A550" s="19">
        <f>IF($B550="","",COUNTA($B$9:$B550))</f>
        <v/>
      </c>
      <c r="B550" s="12" t="n"/>
      <c r="C550" s="13" t="n"/>
      <c r="D550" s="20">
        <f>IF($C550="","",IFERROR(IF(VLOOKUP($C550,AcctTblE,4,0)="","(بدون نام)",VLOOKUP($C550,AcctTblE,4,0)),"کد ناشناخته"))</f>
        <v/>
      </c>
      <c r="E550" s="15" t="n"/>
      <c r="F550" s="20">
        <f>IF($B550="","",IFERROR(INDEX(WageDates,MATCH($B550,WageIds,0)),"—"))</f>
        <v/>
      </c>
      <c r="G550" s="20">
        <f>IF($B550="","",IFERROR(VLOOKUP(INDEX(WageParty,MATCH($B550,WageIds,0)),WGTbl,2,0),"—"))</f>
        <v/>
      </c>
      <c r="H550" s="12" t="n"/>
    </row>
    <row r="551">
      <c r="A551" s="10">
        <f>IF($B551="","",COUNTA($B$9:$B551))</f>
        <v/>
      </c>
      <c r="B551" s="12" t="n"/>
      <c r="C551" s="13" t="n"/>
      <c r="D551" s="14">
        <f>IF($C551="","",IFERROR(IF(VLOOKUP($C551,AcctTblE,4,0)="","(بدون نام)",VLOOKUP($C551,AcctTblE,4,0)),"کد ناشناخته"))</f>
        <v/>
      </c>
      <c r="E551" s="15" t="n"/>
      <c r="F551" s="14">
        <f>IF($B551="","",IFERROR(INDEX(WageDates,MATCH($B551,WageIds,0)),"—"))</f>
        <v/>
      </c>
      <c r="G551" s="14">
        <f>IF($B551="","",IFERROR(VLOOKUP(INDEX(WageParty,MATCH($B551,WageIds,0)),WGTbl,2,0),"—"))</f>
        <v/>
      </c>
      <c r="H551" s="12" t="n"/>
    </row>
    <row r="552">
      <c r="A552" s="19">
        <f>IF($B552="","",COUNTA($B$9:$B552))</f>
        <v/>
      </c>
      <c r="B552" s="12" t="n"/>
      <c r="C552" s="13" t="n"/>
      <c r="D552" s="20">
        <f>IF($C552="","",IFERROR(IF(VLOOKUP($C552,AcctTblE,4,0)="","(بدون نام)",VLOOKUP($C552,AcctTblE,4,0)),"کد ناشناخته"))</f>
        <v/>
      </c>
      <c r="E552" s="15" t="n"/>
      <c r="F552" s="20">
        <f>IF($B552="","",IFERROR(INDEX(WageDates,MATCH($B552,WageIds,0)),"—"))</f>
        <v/>
      </c>
      <c r="G552" s="20">
        <f>IF($B552="","",IFERROR(VLOOKUP(INDEX(WageParty,MATCH($B552,WageIds,0)),WGTbl,2,0),"—"))</f>
        <v/>
      </c>
      <c r="H552" s="12" t="n"/>
    </row>
    <row r="553">
      <c r="A553" s="10">
        <f>IF($B553="","",COUNTA($B$9:$B553))</f>
        <v/>
      </c>
      <c r="B553" s="12" t="n"/>
      <c r="C553" s="13" t="n"/>
      <c r="D553" s="14">
        <f>IF($C553="","",IFERROR(IF(VLOOKUP($C553,AcctTblE,4,0)="","(بدون نام)",VLOOKUP($C553,AcctTblE,4,0)),"کد ناشناخته"))</f>
        <v/>
      </c>
      <c r="E553" s="15" t="n"/>
      <c r="F553" s="14">
        <f>IF($B553="","",IFERROR(INDEX(WageDates,MATCH($B553,WageIds,0)),"—"))</f>
        <v/>
      </c>
      <c r="G553" s="14">
        <f>IF($B553="","",IFERROR(VLOOKUP(INDEX(WageParty,MATCH($B553,WageIds,0)),WGTbl,2,0),"—"))</f>
        <v/>
      </c>
      <c r="H553" s="12" t="n"/>
    </row>
    <row r="554">
      <c r="A554" s="19">
        <f>IF($B554="","",COUNTA($B$9:$B554))</f>
        <v/>
      </c>
      <c r="B554" s="12" t="n"/>
      <c r="C554" s="13" t="n"/>
      <c r="D554" s="20">
        <f>IF($C554="","",IFERROR(IF(VLOOKUP($C554,AcctTblE,4,0)="","(بدون نام)",VLOOKUP($C554,AcctTblE,4,0)),"کد ناشناخته"))</f>
        <v/>
      </c>
      <c r="E554" s="15" t="n"/>
      <c r="F554" s="20">
        <f>IF($B554="","",IFERROR(INDEX(WageDates,MATCH($B554,WageIds,0)),"—"))</f>
        <v/>
      </c>
      <c r="G554" s="20">
        <f>IF($B554="","",IFERROR(VLOOKUP(INDEX(WageParty,MATCH($B554,WageIds,0)),WGTbl,2,0),"—"))</f>
        <v/>
      </c>
      <c r="H554" s="12" t="n"/>
    </row>
    <row r="555">
      <c r="A555" s="10">
        <f>IF($B555="","",COUNTA($B$9:$B555))</f>
        <v/>
      </c>
      <c r="B555" s="12" t="n"/>
      <c r="C555" s="13" t="n"/>
      <c r="D555" s="14">
        <f>IF($C555="","",IFERROR(IF(VLOOKUP($C555,AcctTblE,4,0)="","(بدون نام)",VLOOKUP($C555,AcctTblE,4,0)),"کد ناشناخته"))</f>
        <v/>
      </c>
      <c r="E555" s="15" t="n"/>
      <c r="F555" s="14">
        <f>IF($B555="","",IFERROR(INDEX(WageDates,MATCH($B555,WageIds,0)),"—"))</f>
        <v/>
      </c>
      <c r="G555" s="14">
        <f>IF($B555="","",IFERROR(VLOOKUP(INDEX(WageParty,MATCH($B555,WageIds,0)),WGTbl,2,0),"—"))</f>
        <v/>
      </c>
      <c r="H555" s="12" t="n"/>
    </row>
    <row r="556">
      <c r="A556" s="19">
        <f>IF($B556="","",COUNTA($B$9:$B556))</f>
        <v/>
      </c>
      <c r="B556" s="12" t="n"/>
      <c r="C556" s="13" t="n"/>
      <c r="D556" s="20">
        <f>IF($C556="","",IFERROR(IF(VLOOKUP($C556,AcctTblE,4,0)="","(بدون نام)",VLOOKUP($C556,AcctTblE,4,0)),"کد ناشناخته"))</f>
        <v/>
      </c>
      <c r="E556" s="15" t="n"/>
      <c r="F556" s="20">
        <f>IF($B556="","",IFERROR(INDEX(WageDates,MATCH($B556,WageIds,0)),"—"))</f>
        <v/>
      </c>
      <c r="G556" s="20">
        <f>IF($B556="","",IFERROR(VLOOKUP(INDEX(WageParty,MATCH($B556,WageIds,0)),WGTbl,2,0),"—"))</f>
        <v/>
      </c>
      <c r="H556" s="12" t="n"/>
    </row>
    <row r="557">
      <c r="A557" s="10">
        <f>IF($B557="","",COUNTA($B$9:$B557))</f>
        <v/>
      </c>
      <c r="B557" s="12" t="n"/>
      <c r="C557" s="13" t="n"/>
      <c r="D557" s="14">
        <f>IF($C557="","",IFERROR(IF(VLOOKUP($C557,AcctTblE,4,0)="","(بدون نام)",VLOOKUP($C557,AcctTblE,4,0)),"کد ناشناخته"))</f>
        <v/>
      </c>
      <c r="E557" s="15" t="n"/>
      <c r="F557" s="14">
        <f>IF($B557="","",IFERROR(INDEX(WageDates,MATCH($B557,WageIds,0)),"—"))</f>
        <v/>
      </c>
      <c r="G557" s="14">
        <f>IF($B557="","",IFERROR(VLOOKUP(INDEX(WageParty,MATCH($B557,WageIds,0)),WGTbl,2,0),"—"))</f>
        <v/>
      </c>
      <c r="H557" s="12" t="n"/>
    </row>
    <row r="558">
      <c r="A558" s="19">
        <f>IF($B558="","",COUNTA($B$9:$B558))</f>
        <v/>
      </c>
      <c r="B558" s="12" t="n"/>
      <c r="C558" s="13" t="n"/>
      <c r="D558" s="20">
        <f>IF($C558="","",IFERROR(IF(VLOOKUP($C558,AcctTblE,4,0)="","(بدون نام)",VLOOKUP($C558,AcctTblE,4,0)),"کد ناشناخته"))</f>
        <v/>
      </c>
      <c r="E558" s="15" t="n"/>
      <c r="F558" s="20">
        <f>IF($B558="","",IFERROR(INDEX(WageDates,MATCH($B558,WageIds,0)),"—"))</f>
        <v/>
      </c>
      <c r="G558" s="20">
        <f>IF($B558="","",IFERROR(VLOOKUP(INDEX(WageParty,MATCH($B558,WageIds,0)),WGTbl,2,0),"—"))</f>
        <v/>
      </c>
      <c r="H558" s="12" t="n"/>
    </row>
    <row r="559">
      <c r="A559" s="10">
        <f>IF($B559="","",COUNTA($B$9:$B559))</f>
        <v/>
      </c>
      <c r="B559" s="12" t="n"/>
      <c r="C559" s="13" t="n"/>
      <c r="D559" s="14">
        <f>IF($C559="","",IFERROR(IF(VLOOKUP($C559,AcctTblE,4,0)="","(بدون نام)",VLOOKUP($C559,AcctTblE,4,0)),"کد ناشناخته"))</f>
        <v/>
      </c>
      <c r="E559" s="15" t="n"/>
      <c r="F559" s="14">
        <f>IF($B559="","",IFERROR(INDEX(WageDates,MATCH($B559,WageIds,0)),"—"))</f>
        <v/>
      </c>
      <c r="G559" s="14">
        <f>IF($B559="","",IFERROR(VLOOKUP(INDEX(WageParty,MATCH($B559,WageIds,0)),WGTbl,2,0),"—"))</f>
        <v/>
      </c>
      <c r="H559" s="12" t="n"/>
    </row>
    <row r="560">
      <c r="A560" s="19">
        <f>IF($B560="","",COUNTA($B$9:$B560))</f>
        <v/>
      </c>
      <c r="B560" s="12" t="n"/>
      <c r="C560" s="13" t="n"/>
      <c r="D560" s="20">
        <f>IF($C560="","",IFERROR(IF(VLOOKUP($C560,AcctTblE,4,0)="","(بدون نام)",VLOOKUP($C560,AcctTblE,4,0)),"کد ناشناخته"))</f>
        <v/>
      </c>
      <c r="E560" s="15" t="n"/>
      <c r="F560" s="20">
        <f>IF($B560="","",IFERROR(INDEX(WageDates,MATCH($B560,WageIds,0)),"—"))</f>
        <v/>
      </c>
      <c r="G560" s="20">
        <f>IF($B560="","",IFERROR(VLOOKUP(INDEX(WageParty,MATCH($B560,WageIds,0)),WGTbl,2,0),"—"))</f>
        <v/>
      </c>
      <c r="H560" s="12" t="n"/>
    </row>
    <row r="561">
      <c r="A561" s="10">
        <f>IF($B561="","",COUNTA($B$9:$B561))</f>
        <v/>
      </c>
      <c r="B561" s="12" t="n"/>
      <c r="C561" s="13" t="n"/>
      <c r="D561" s="14">
        <f>IF($C561="","",IFERROR(IF(VLOOKUP($C561,AcctTblE,4,0)="","(بدون نام)",VLOOKUP($C561,AcctTblE,4,0)),"کد ناشناخته"))</f>
        <v/>
      </c>
      <c r="E561" s="15" t="n"/>
      <c r="F561" s="14">
        <f>IF($B561="","",IFERROR(INDEX(WageDates,MATCH($B561,WageIds,0)),"—"))</f>
        <v/>
      </c>
      <c r="G561" s="14">
        <f>IF($B561="","",IFERROR(VLOOKUP(INDEX(WageParty,MATCH($B561,WageIds,0)),WGTbl,2,0),"—"))</f>
        <v/>
      </c>
      <c r="H561" s="12" t="n"/>
    </row>
    <row r="562">
      <c r="A562" s="19">
        <f>IF($B562="","",COUNTA($B$9:$B562))</f>
        <v/>
      </c>
      <c r="B562" s="12" t="n"/>
      <c r="C562" s="13" t="n"/>
      <c r="D562" s="20">
        <f>IF($C562="","",IFERROR(IF(VLOOKUP($C562,AcctTblE,4,0)="","(بدون نام)",VLOOKUP($C562,AcctTblE,4,0)),"کد ناشناخته"))</f>
        <v/>
      </c>
      <c r="E562" s="15" t="n"/>
      <c r="F562" s="20">
        <f>IF($B562="","",IFERROR(INDEX(WageDates,MATCH($B562,WageIds,0)),"—"))</f>
        <v/>
      </c>
      <c r="G562" s="20">
        <f>IF($B562="","",IFERROR(VLOOKUP(INDEX(WageParty,MATCH($B562,WageIds,0)),WGTbl,2,0),"—"))</f>
        <v/>
      </c>
      <c r="H562" s="12" t="n"/>
    </row>
    <row r="563">
      <c r="A563" s="10">
        <f>IF($B563="","",COUNTA($B$9:$B563))</f>
        <v/>
      </c>
      <c r="B563" s="12" t="n"/>
      <c r="C563" s="13" t="n"/>
      <c r="D563" s="14">
        <f>IF($C563="","",IFERROR(IF(VLOOKUP($C563,AcctTblE,4,0)="","(بدون نام)",VLOOKUP($C563,AcctTblE,4,0)),"کد ناشناخته"))</f>
        <v/>
      </c>
      <c r="E563" s="15" t="n"/>
      <c r="F563" s="14">
        <f>IF($B563="","",IFERROR(INDEX(WageDates,MATCH($B563,WageIds,0)),"—"))</f>
        <v/>
      </c>
      <c r="G563" s="14">
        <f>IF($B563="","",IFERROR(VLOOKUP(INDEX(WageParty,MATCH($B563,WageIds,0)),WGTbl,2,0),"—"))</f>
        <v/>
      </c>
      <c r="H563" s="12" t="n"/>
    </row>
    <row r="564">
      <c r="A564" s="19">
        <f>IF($B564="","",COUNTA($B$9:$B564))</f>
        <v/>
      </c>
      <c r="B564" s="12" t="n"/>
      <c r="C564" s="13" t="n"/>
      <c r="D564" s="20">
        <f>IF($C564="","",IFERROR(IF(VLOOKUP($C564,AcctTblE,4,0)="","(بدون نام)",VLOOKUP($C564,AcctTblE,4,0)),"کد ناشناخته"))</f>
        <v/>
      </c>
      <c r="E564" s="15" t="n"/>
      <c r="F564" s="20">
        <f>IF($B564="","",IFERROR(INDEX(WageDates,MATCH($B564,WageIds,0)),"—"))</f>
        <v/>
      </c>
      <c r="G564" s="20">
        <f>IF($B564="","",IFERROR(VLOOKUP(INDEX(WageParty,MATCH($B564,WageIds,0)),WGTbl,2,0),"—"))</f>
        <v/>
      </c>
      <c r="H564" s="12" t="n"/>
    </row>
    <row r="565">
      <c r="A565" s="10">
        <f>IF($B565="","",COUNTA($B$9:$B565))</f>
        <v/>
      </c>
      <c r="B565" s="12" t="n"/>
      <c r="C565" s="13" t="n"/>
      <c r="D565" s="14">
        <f>IF($C565="","",IFERROR(IF(VLOOKUP($C565,AcctTblE,4,0)="","(بدون نام)",VLOOKUP($C565,AcctTblE,4,0)),"کد ناشناخته"))</f>
        <v/>
      </c>
      <c r="E565" s="15" t="n"/>
      <c r="F565" s="14">
        <f>IF($B565="","",IFERROR(INDEX(WageDates,MATCH($B565,WageIds,0)),"—"))</f>
        <v/>
      </c>
      <c r="G565" s="14">
        <f>IF($B565="","",IFERROR(VLOOKUP(INDEX(WageParty,MATCH($B565,WageIds,0)),WGTbl,2,0),"—"))</f>
        <v/>
      </c>
      <c r="H565" s="12" t="n"/>
    </row>
    <row r="566">
      <c r="A566" s="19">
        <f>IF($B566="","",COUNTA($B$9:$B566))</f>
        <v/>
      </c>
      <c r="B566" s="12" t="n"/>
      <c r="C566" s="13" t="n"/>
      <c r="D566" s="20">
        <f>IF($C566="","",IFERROR(IF(VLOOKUP($C566,AcctTblE,4,0)="","(بدون نام)",VLOOKUP($C566,AcctTblE,4,0)),"کد ناشناخته"))</f>
        <v/>
      </c>
      <c r="E566" s="15" t="n"/>
      <c r="F566" s="20">
        <f>IF($B566="","",IFERROR(INDEX(WageDates,MATCH($B566,WageIds,0)),"—"))</f>
        <v/>
      </c>
      <c r="G566" s="20">
        <f>IF($B566="","",IFERROR(VLOOKUP(INDEX(WageParty,MATCH($B566,WageIds,0)),WGTbl,2,0),"—"))</f>
        <v/>
      </c>
      <c r="H566" s="12" t="n"/>
    </row>
    <row r="567">
      <c r="A567" s="10">
        <f>IF($B567="","",COUNTA($B$9:$B567))</f>
        <v/>
      </c>
      <c r="B567" s="12" t="n"/>
      <c r="C567" s="13" t="n"/>
      <c r="D567" s="14">
        <f>IF($C567="","",IFERROR(IF(VLOOKUP($C567,AcctTblE,4,0)="","(بدون نام)",VLOOKUP($C567,AcctTblE,4,0)),"کد ناشناخته"))</f>
        <v/>
      </c>
      <c r="E567" s="15" t="n"/>
      <c r="F567" s="14">
        <f>IF($B567="","",IFERROR(INDEX(WageDates,MATCH($B567,WageIds,0)),"—"))</f>
        <v/>
      </c>
      <c r="G567" s="14">
        <f>IF($B567="","",IFERROR(VLOOKUP(INDEX(WageParty,MATCH($B567,WageIds,0)),WGTbl,2,0),"—"))</f>
        <v/>
      </c>
      <c r="H567" s="12" t="n"/>
    </row>
    <row r="568">
      <c r="A568" s="19">
        <f>IF($B568="","",COUNTA($B$9:$B568))</f>
        <v/>
      </c>
      <c r="B568" s="12" t="n"/>
      <c r="C568" s="13" t="n"/>
      <c r="D568" s="20">
        <f>IF($C568="","",IFERROR(IF(VLOOKUP($C568,AcctTblE,4,0)="","(بدون نام)",VLOOKUP($C568,AcctTblE,4,0)),"کد ناشناخته"))</f>
        <v/>
      </c>
      <c r="E568" s="15" t="n"/>
      <c r="F568" s="20">
        <f>IF($B568="","",IFERROR(INDEX(WageDates,MATCH($B568,WageIds,0)),"—"))</f>
        <v/>
      </c>
      <c r="G568" s="20">
        <f>IF($B568="","",IFERROR(VLOOKUP(INDEX(WageParty,MATCH($B568,WageIds,0)),WGTbl,2,0),"—"))</f>
        <v/>
      </c>
      <c r="H568" s="12" t="n"/>
    </row>
    <row r="569">
      <c r="A569" s="10">
        <f>IF($B569="","",COUNTA($B$9:$B569))</f>
        <v/>
      </c>
      <c r="B569" s="12" t="n"/>
      <c r="C569" s="13" t="n"/>
      <c r="D569" s="14">
        <f>IF($C569="","",IFERROR(IF(VLOOKUP($C569,AcctTblE,4,0)="","(بدون نام)",VLOOKUP($C569,AcctTblE,4,0)),"کد ناشناخته"))</f>
        <v/>
      </c>
      <c r="E569" s="15" t="n"/>
      <c r="F569" s="14">
        <f>IF($B569="","",IFERROR(INDEX(WageDates,MATCH($B569,WageIds,0)),"—"))</f>
        <v/>
      </c>
      <c r="G569" s="14">
        <f>IF($B569="","",IFERROR(VLOOKUP(INDEX(WageParty,MATCH($B569,WageIds,0)),WGTbl,2,0),"—"))</f>
        <v/>
      </c>
      <c r="H569" s="12" t="n"/>
    </row>
    <row r="570">
      <c r="A570" s="19">
        <f>IF($B570="","",COUNTA($B$9:$B570))</f>
        <v/>
      </c>
      <c r="B570" s="12" t="n"/>
      <c r="C570" s="13" t="n"/>
      <c r="D570" s="20">
        <f>IF($C570="","",IFERROR(IF(VLOOKUP($C570,AcctTblE,4,0)="","(بدون نام)",VLOOKUP($C570,AcctTblE,4,0)),"کد ناشناخته"))</f>
        <v/>
      </c>
      <c r="E570" s="15" t="n"/>
      <c r="F570" s="20">
        <f>IF($B570="","",IFERROR(INDEX(WageDates,MATCH($B570,WageIds,0)),"—"))</f>
        <v/>
      </c>
      <c r="G570" s="20">
        <f>IF($B570="","",IFERROR(VLOOKUP(INDEX(WageParty,MATCH($B570,WageIds,0)),WGTbl,2,0),"—"))</f>
        <v/>
      </c>
      <c r="H570" s="12" t="n"/>
    </row>
    <row r="571">
      <c r="A571" s="10">
        <f>IF($B571="","",COUNTA($B$9:$B571))</f>
        <v/>
      </c>
      <c r="B571" s="12" t="n"/>
      <c r="C571" s="13" t="n"/>
      <c r="D571" s="14">
        <f>IF($C571="","",IFERROR(IF(VLOOKUP($C571,AcctTblE,4,0)="","(بدون نام)",VLOOKUP($C571,AcctTblE,4,0)),"کد ناشناخته"))</f>
        <v/>
      </c>
      <c r="E571" s="15" t="n"/>
      <c r="F571" s="14">
        <f>IF($B571="","",IFERROR(INDEX(WageDates,MATCH($B571,WageIds,0)),"—"))</f>
        <v/>
      </c>
      <c r="G571" s="14">
        <f>IF($B571="","",IFERROR(VLOOKUP(INDEX(WageParty,MATCH($B571,WageIds,0)),WGTbl,2,0),"—"))</f>
        <v/>
      </c>
      <c r="H571" s="12" t="n"/>
    </row>
    <row r="572">
      <c r="A572" s="19">
        <f>IF($B572="","",COUNTA($B$9:$B572))</f>
        <v/>
      </c>
      <c r="B572" s="12" t="n"/>
      <c r="C572" s="13" t="n"/>
      <c r="D572" s="20">
        <f>IF($C572="","",IFERROR(IF(VLOOKUP($C572,AcctTblE,4,0)="","(بدون نام)",VLOOKUP($C572,AcctTblE,4,0)),"کد ناشناخته"))</f>
        <v/>
      </c>
      <c r="E572" s="15" t="n"/>
      <c r="F572" s="20">
        <f>IF($B572="","",IFERROR(INDEX(WageDates,MATCH($B572,WageIds,0)),"—"))</f>
        <v/>
      </c>
      <c r="G572" s="20">
        <f>IF($B572="","",IFERROR(VLOOKUP(INDEX(WageParty,MATCH($B572,WageIds,0)),WGTbl,2,0),"—"))</f>
        <v/>
      </c>
      <c r="H572" s="12" t="n"/>
    </row>
    <row r="573">
      <c r="A573" s="10">
        <f>IF($B573="","",COUNTA($B$9:$B573))</f>
        <v/>
      </c>
      <c r="B573" s="12" t="n"/>
      <c r="C573" s="13" t="n"/>
      <c r="D573" s="14">
        <f>IF($C573="","",IFERROR(IF(VLOOKUP($C573,AcctTblE,4,0)="","(بدون نام)",VLOOKUP($C573,AcctTblE,4,0)),"کد ناشناخته"))</f>
        <v/>
      </c>
      <c r="E573" s="15" t="n"/>
      <c r="F573" s="14">
        <f>IF($B573="","",IFERROR(INDEX(WageDates,MATCH($B573,WageIds,0)),"—"))</f>
        <v/>
      </c>
      <c r="G573" s="14">
        <f>IF($B573="","",IFERROR(VLOOKUP(INDEX(WageParty,MATCH($B573,WageIds,0)),WGTbl,2,0),"—"))</f>
        <v/>
      </c>
      <c r="H573" s="12" t="n"/>
    </row>
    <row r="574">
      <c r="A574" s="19">
        <f>IF($B574="","",COUNTA($B$9:$B574))</f>
        <v/>
      </c>
      <c r="B574" s="12" t="n"/>
      <c r="C574" s="13" t="n"/>
      <c r="D574" s="20">
        <f>IF($C574="","",IFERROR(IF(VLOOKUP($C574,AcctTblE,4,0)="","(بدون نام)",VLOOKUP($C574,AcctTblE,4,0)),"کد ناشناخته"))</f>
        <v/>
      </c>
      <c r="E574" s="15" t="n"/>
      <c r="F574" s="20">
        <f>IF($B574="","",IFERROR(INDEX(WageDates,MATCH($B574,WageIds,0)),"—"))</f>
        <v/>
      </c>
      <c r="G574" s="20">
        <f>IF($B574="","",IFERROR(VLOOKUP(INDEX(WageParty,MATCH($B574,WageIds,0)),WGTbl,2,0),"—"))</f>
        <v/>
      </c>
      <c r="H574" s="12" t="n"/>
    </row>
    <row r="575">
      <c r="A575" s="10">
        <f>IF($B575="","",COUNTA($B$9:$B575))</f>
        <v/>
      </c>
      <c r="B575" s="12" t="n"/>
      <c r="C575" s="13" t="n"/>
      <c r="D575" s="14">
        <f>IF($C575="","",IFERROR(IF(VLOOKUP($C575,AcctTblE,4,0)="","(بدون نام)",VLOOKUP($C575,AcctTblE,4,0)),"کد ناشناخته"))</f>
        <v/>
      </c>
      <c r="E575" s="15" t="n"/>
      <c r="F575" s="14">
        <f>IF($B575="","",IFERROR(INDEX(WageDates,MATCH($B575,WageIds,0)),"—"))</f>
        <v/>
      </c>
      <c r="G575" s="14">
        <f>IF($B575="","",IFERROR(VLOOKUP(INDEX(WageParty,MATCH($B575,WageIds,0)),WGTbl,2,0),"—"))</f>
        <v/>
      </c>
      <c r="H575" s="12" t="n"/>
    </row>
    <row r="576">
      <c r="A576" s="19">
        <f>IF($B576="","",COUNTA($B$9:$B576))</f>
        <v/>
      </c>
      <c r="B576" s="12" t="n"/>
      <c r="C576" s="13" t="n"/>
      <c r="D576" s="20">
        <f>IF($C576="","",IFERROR(IF(VLOOKUP($C576,AcctTblE,4,0)="","(بدون نام)",VLOOKUP($C576,AcctTblE,4,0)),"کد ناشناخته"))</f>
        <v/>
      </c>
      <c r="E576" s="15" t="n"/>
      <c r="F576" s="20">
        <f>IF($B576="","",IFERROR(INDEX(WageDates,MATCH($B576,WageIds,0)),"—"))</f>
        <v/>
      </c>
      <c r="G576" s="20">
        <f>IF($B576="","",IFERROR(VLOOKUP(INDEX(WageParty,MATCH($B576,WageIds,0)),WGTbl,2,0),"—"))</f>
        <v/>
      </c>
      <c r="H576" s="12" t="n"/>
    </row>
    <row r="577">
      <c r="A577" s="10">
        <f>IF($B577="","",COUNTA($B$9:$B577))</f>
        <v/>
      </c>
      <c r="B577" s="12" t="n"/>
      <c r="C577" s="13" t="n"/>
      <c r="D577" s="14">
        <f>IF($C577="","",IFERROR(IF(VLOOKUP($C577,AcctTblE,4,0)="","(بدون نام)",VLOOKUP($C577,AcctTblE,4,0)),"کد ناشناخته"))</f>
        <v/>
      </c>
      <c r="E577" s="15" t="n"/>
      <c r="F577" s="14">
        <f>IF($B577="","",IFERROR(INDEX(WageDates,MATCH($B577,WageIds,0)),"—"))</f>
        <v/>
      </c>
      <c r="G577" s="14">
        <f>IF($B577="","",IFERROR(VLOOKUP(INDEX(WageParty,MATCH($B577,WageIds,0)),WGTbl,2,0),"—"))</f>
        <v/>
      </c>
      <c r="H577" s="12" t="n"/>
    </row>
    <row r="578">
      <c r="A578" s="19">
        <f>IF($B578="","",COUNTA($B$9:$B578))</f>
        <v/>
      </c>
      <c r="B578" s="12" t="n"/>
      <c r="C578" s="13" t="n"/>
      <c r="D578" s="20">
        <f>IF($C578="","",IFERROR(IF(VLOOKUP($C578,AcctTblE,4,0)="","(بدون نام)",VLOOKUP($C578,AcctTblE,4,0)),"کد ناشناخته"))</f>
        <v/>
      </c>
      <c r="E578" s="15" t="n"/>
      <c r="F578" s="20">
        <f>IF($B578="","",IFERROR(INDEX(WageDates,MATCH($B578,WageIds,0)),"—"))</f>
        <v/>
      </c>
      <c r="G578" s="20">
        <f>IF($B578="","",IFERROR(VLOOKUP(INDEX(WageParty,MATCH($B578,WageIds,0)),WGTbl,2,0),"—"))</f>
        <v/>
      </c>
      <c r="H578" s="12" t="n"/>
    </row>
    <row r="579">
      <c r="A579" s="10">
        <f>IF($B579="","",COUNTA($B$9:$B579))</f>
        <v/>
      </c>
      <c r="B579" s="12" t="n"/>
      <c r="C579" s="13" t="n"/>
      <c r="D579" s="14">
        <f>IF($C579="","",IFERROR(IF(VLOOKUP($C579,AcctTblE,4,0)="","(بدون نام)",VLOOKUP($C579,AcctTblE,4,0)),"کد ناشناخته"))</f>
        <v/>
      </c>
      <c r="E579" s="15" t="n"/>
      <c r="F579" s="14">
        <f>IF($B579="","",IFERROR(INDEX(WageDates,MATCH($B579,WageIds,0)),"—"))</f>
        <v/>
      </c>
      <c r="G579" s="14">
        <f>IF($B579="","",IFERROR(VLOOKUP(INDEX(WageParty,MATCH($B579,WageIds,0)),WGTbl,2,0),"—"))</f>
        <v/>
      </c>
      <c r="H579" s="12" t="n"/>
    </row>
    <row r="580">
      <c r="A580" s="19">
        <f>IF($B580="","",COUNTA($B$9:$B580))</f>
        <v/>
      </c>
      <c r="B580" s="12" t="n"/>
      <c r="C580" s="13" t="n"/>
      <c r="D580" s="20">
        <f>IF($C580="","",IFERROR(IF(VLOOKUP($C580,AcctTblE,4,0)="","(بدون نام)",VLOOKUP($C580,AcctTblE,4,0)),"کد ناشناخته"))</f>
        <v/>
      </c>
      <c r="E580" s="15" t="n"/>
      <c r="F580" s="20">
        <f>IF($B580="","",IFERROR(INDEX(WageDates,MATCH($B580,WageIds,0)),"—"))</f>
        <v/>
      </c>
      <c r="G580" s="20">
        <f>IF($B580="","",IFERROR(VLOOKUP(INDEX(WageParty,MATCH($B580,WageIds,0)),WGTbl,2,0),"—"))</f>
        <v/>
      </c>
      <c r="H580" s="12" t="n"/>
    </row>
    <row r="581">
      <c r="A581" s="10">
        <f>IF($B581="","",COUNTA($B$9:$B581))</f>
        <v/>
      </c>
      <c r="B581" s="12" t="n"/>
      <c r="C581" s="13" t="n"/>
      <c r="D581" s="14">
        <f>IF($C581="","",IFERROR(IF(VLOOKUP($C581,AcctTblE,4,0)="","(بدون نام)",VLOOKUP($C581,AcctTblE,4,0)),"کد ناشناخته"))</f>
        <v/>
      </c>
      <c r="E581" s="15" t="n"/>
      <c r="F581" s="14">
        <f>IF($B581="","",IFERROR(INDEX(WageDates,MATCH($B581,WageIds,0)),"—"))</f>
        <v/>
      </c>
      <c r="G581" s="14">
        <f>IF($B581="","",IFERROR(VLOOKUP(INDEX(WageParty,MATCH($B581,WageIds,0)),WGTbl,2,0),"—"))</f>
        <v/>
      </c>
      <c r="H581" s="12" t="n"/>
    </row>
    <row r="582">
      <c r="A582" s="19">
        <f>IF($B582="","",COUNTA($B$9:$B582))</f>
        <v/>
      </c>
      <c r="B582" s="12" t="n"/>
      <c r="C582" s="13" t="n"/>
      <c r="D582" s="20">
        <f>IF($C582="","",IFERROR(IF(VLOOKUP($C582,AcctTblE,4,0)="","(بدون نام)",VLOOKUP($C582,AcctTblE,4,0)),"کد ناشناخته"))</f>
        <v/>
      </c>
      <c r="E582" s="15" t="n"/>
      <c r="F582" s="20">
        <f>IF($B582="","",IFERROR(INDEX(WageDates,MATCH($B582,WageIds,0)),"—"))</f>
        <v/>
      </c>
      <c r="G582" s="20">
        <f>IF($B582="","",IFERROR(VLOOKUP(INDEX(WageParty,MATCH($B582,WageIds,0)),WGTbl,2,0),"—"))</f>
        <v/>
      </c>
      <c r="H582" s="12" t="n"/>
    </row>
    <row r="583">
      <c r="A583" s="10">
        <f>IF($B583="","",COUNTA($B$9:$B583))</f>
        <v/>
      </c>
      <c r="B583" s="12" t="n"/>
      <c r="C583" s="13" t="n"/>
      <c r="D583" s="14">
        <f>IF($C583="","",IFERROR(IF(VLOOKUP($C583,AcctTblE,4,0)="","(بدون نام)",VLOOKUP($C583,AcctTblE,4,0)),"کد ناشناخته"))</f>
        <v/>
      </c>
      <c r="E583" s="15" t="n"/>
      <c r="F583" s="14">
        <f>IF($B583="","",IFERROR(INDEX(WageDates,MATCH($B583,WageIds,0)),"—"))</f>
        <v/>
      </c>
      <c r="G583" s="14">
        <f>IF($B583="","",IFERROR(VLOOKUP(INDEX(WageParty,MATCH($B583,WageIds,0)),WGTbl,2,0),"—"))</f>
        <v/>
      </c>
      <c r="H583" s="12" t="n"/>
    </row>
    <row r="584">
      <c r="A584" s="19">
        <f>IF($B584="","",COUNTA($B$9:$B584))</f>
        <v/>
      </c>
      <c r="B584" s="12" t="n"/>
      <c r="C584" s="13" t="n"/>
      <c r="D584" s="20">
        <f>IF($C584="","",IFERROR(IF(VLOOKUP($C584,AcctTblE,4,0)="","(بدون نام)",VLOOKUP($C584,AcctTblE,4,0)),"کد ناشناخته"))</f>
        <v/>
      </c>
      <c r="E584" s="15" t="n"/>
      <c r="F584" s="20">
        <f>IF($B584="","",IFERROR(INDEX(WageDates,MATCH($B584,WageIds,0)),"—"))</f>
        <v/>
      </c>
      <c r="G584" s="20">
        <f>IF($B584="","",IFERROR(VLOOKUP(INDEX(WageParty,MATCH($B584,WageIds,0)),WGTbl,2,0),"—"))</f>
        <v/>
      </c>
      <c r="H584" s="12" t="n"/>
    </row>
    <row r="585">
      <c r="A585" s="10">
        <f>IF($B585="","",COUNTA($B$9:$B585))</f>
        <v/>
      </c>
      <c r="B585" s="12" t="n"/>
      <c r="C585" s="13" t="n"/>
      <c r="D585" s="14">
        <f>IF($C585="","",IFERROR(IF(VLOOKUP($C585,AcctTblE,4,0)="","(بدون نام)",VLOOKUP($C585,AcctTblE,4,0)),"کد ناشناخته"))</f>
        <v/>
      </c>
      <c r="E585" s="15" t="n"/>
      <c r="F585" s="14">
        <f>IF($B585="","",IFERROR(INDEX(WageDates,MATCH($B585,WageIds,0)),"—"))</f>
        <v/>
      </c>
      <c r="G585" s="14">
        <f>IF($B585="","",IFERROR(VLOOKUP(INDEX(WageParty,MATCH($B585,WageIds,0)),WGTbl,2,0),"—"))</f>
        <v/>
      </c>
      <c r="H585" s="12" t="n"/>
    </row>
    <row r="586">
      <c r="A586" s="19">
        <f>IF($B586="","",COUNTA($B$9:$B586))</f>
        <v/>
      </c>
      <c r="B586" s="12" t="n"/>
      <c r="C586" s="13" t="n"/>
      <c r="D586" s="20">
        <f>IF($C586="","",IFERROR(IF(VLOOKUP($C586,AcctTblE,4,0)="","(بدون نام)",VLOOKUP($C586,AcctTblE,4,0)),"کد ناشناخته"))</f>
        <v/>
      </c>
      <c r="E586" s="15" t="n"/>
      <c r="F586" s="20">
        <f>IF($B586="","",IFERROR(INDEX(WageDates,MATCH($B586,WageIds,0)),"—"))</f>
        <v/>
      </c>
      <c r="G586" s="20">
        <f>IF($B586="","",IFERROR(VLOOKUP(INDEX(WageParty,MATCH($B586,WageIds,0)),WGTbl,2,0),"—"))</f>
        <v/>
      </c>
      <c r="H586" s="12" t="n"/>
    </row>
    <row r="587">
      <c r="A587" s="10">
        <f>IF($B587="","",COUNTA($B$9:$B587))</f>
        <v/>
      </c>
      <c r="B587" s="12" t="n"/>
      <c r="C587" s="13" t="n"/>
      <c r="D587" s="14">
        <f>IF($C587="","",IFERROR(IF(VLOOKUP($C587,AcctTblE,4,0)="","(بدون نام)",VLOOKUP($C587,AcctTblE,4,0)),"کد ناشناخته"))</f>
        <v/>
      </c>
      <c r="E587" s="15" t="n"/>
      <c r="F587" s="14">
        <f>IF($B587="","",IFERROR(INDEX(WageDates,MATCH($B587,WageIds,0)),"—"))</f>
        <v/>
      </c>
      <c r="G587" s="14">
        <f>IF($B587="","",IFERROR(VLOOKUP(INDEX(WageParty,MATCH($B587,WageIds,0)),WGTbl,2,0),"—"))</f>
        <v/>
      </c>
      <c r="H587" s="12" t="n"/>
    </row>
    <row r="588">
      <c r="A588" s="19">
        <f>IF($B588="","",COUNTA($B$9:$B588))</f>
        <v/>
      </c>
      <c r="B588" s="12" t="n"/>
      <c r="C588" s="13" t="n"/>
      <c r="D588" s="20">
        <f>IF($C588="","",IFERROR(IF(VLOOKUP($C588,AcctTblE,4,0)="","(بدون نام)",VLOOKUP($C588,AcctTblE,4,0)),"کد ناشناخته"))</f>
        <v/>
      </c>
      <c r="E588" s="15" t="n"/>
      <c r="F588" s="20">
        <f>IF($B588="","",IFERROR(INDEX(WageDates,MATCH($B588,WageIds,0)),"—"))</f>
        <v/>
      </c>
      <c r="G588" s="20">
        <f>IF($B588="","",IFERROR(VLOOKUP(INDEX(WageParty,MATCH($B588,WageIds,0)),WGTbl,2,0),"—"))</f>
        <v/>
      </c>
      <c r="H588" s="12" t="n"/>
    </row>
    <row r="589">
      <c r="A589" s="10">
        <f>IF($B589="","",COUNTA($B$9:$B589))</f>
        <v/>
      </c>
      <c r="B589" s="12" t="n"/>
      <c r="C589" s="13" t="n"/>
      <c r="D589" s="14">
        <f>IF($C589="","",IFERROR(IF(VLOOKUP($C589,AcctTblE,4,0)="","(بدون نام)",VLOOKUP($C589,AcctTblE,4,0)),"کد ناشناخته"))</f>
        <v/>
      </c>
      <c r="E589" s="15" t="n"/>
      <c r="F589" s="14">
        <f>IF($B589="","",IFERROR(INDEX(WageDates,MATCH($B589,WageIds,0)),"—"))</f>
        <v/>
      </c>
      <c r="G589" s="14">
        <f>IF($B589="","",IFERROR(VLOOKUP(INDEX(WageParty,MATCH($B589,WageIds,0)),WGTbl,2,0),"—"))</f>
        <v/>
      </c>
      <c r="H589" s="12" t="n"/>
    </row>
    <row r="590">
      <c r="A590" s="19">
        <f>IF($B590="","",COUNTA($B$9:$B590))</f>
        <v/>
      </c>
      <c r="B590" s="12" t="n"/>
      <c r="C590" s="13" t="n"/>
      <c r="D590" s="20">
        <f>IF($C590="","",IFERROR(IF(VLOOKUP($C590,AcctTblE,4,0)="","(بدون نام)",VLOOKUP($C590,AcctTblE,4,0)),"کد ناشناخته"))</f>
        <v/>
      </c>
      <c r="E590" s="15" t="n"/>
      <c r="F590" s="20">
        <f>IF($B590="","",IFERROR(INDEX(WageDates,MATCH($B590,WageIds,0)),"—"))</f>
        <v/>
      </c>
      <c r="G590" s="20">
        <f>IF($B590="","",IFERROR(VLOOKUP(INDEX(WageParty,MATCH($B590,WageIds,0)),WGTbl,2,0),"—"))</f>
        <v/>
      </c>
      <c r="H590" s="12" t="n"/>
    </row>
    <row r="591">
      <c r="A591" s="10">
        <f>IF($B591="","",COUNTA($B$9:$B591))</f>
        <v/>
      </c>
      <c r="B591" s="12" t="n"/>
      <c r="C591" s="13" t="n"/>
      <c r="D591" s="14">
        <f>IF($C591="","",IFERROR(IF(VLOOKUP($C591,AcctTblE,4,0)="","(بدون نام)",VLOOKUP($C591,AcctTblE,4,0)),"کد ناشناخته"))</f>
        <v/>
      </c>
      <c r="E591" s="15" t="n"/>
      <c r="F591" s="14">
        <f>IF($B591="","",IFERROR(INDEX(WageDates,MATCH($B591,WageIds,0)),"—"))</f>
        <v/>
      </c>
      <c r="G591" s="14">
        <f>IF($B591="","",IFERROR(VLOOKUP(INDEX(WageParty,MATCH($B591,WageIds,0)),WGTbl,2,0),"—"))</f>
        <v/>
      </c>
      <c r="H591" s="12" t="n"/>
    </row>
    <row r="592">
      <c r="A592" s="19">
        <f>IF($B592="","",COUNTA($B$9:$B592))</f>
        <v/>
      </c>
      <c r="B592" s="12" t="n"/>
      <c r="C592" s="13" t="n"/>
      <c r="D592" s="20">
        <f>IF($C592="","",IFERROR(IF(VLOOKUP($C592,AcctTblE,4,0)="","(بدون نام)",VLOOKUP($C592,AcctTblE,4,0)),"کد ناشناخته"))</f>
        <v/>
      </c>
      <c r="E592" s="15" t="n"/>
      <c r="F592" s="20">
        <f>IF($B592="","",IFERROR(INDEX(WageDates,MATCH($B592,WageIds,0)),"—"))</f>
        <v/>
      </c>
      <c r="G592" s="20">
        <f>IF($B592="","",IFERROR(VLOOKUP(INDEX(WageParty,MATCH($B592,WageIds,0)),WGTbl,2,0),"—"))</f>
        <v/>
      </c>
      <c r="H592" s="12" t="n"/>
    </row>
    <row r="593">
      <c r="A593" s="10">
        <f>IF($B593="","",COUNTA($B$9:$B593))</f>
        <v/>
      </c>
      <c r="B593" s="12" t="n"/>
      <c r="C593" s="13" t="n"/>
      <c r="D593" s="14">
        <f>IF($C593="","",IFERROR(IF(VLOOKUP($C593,AcctTblE,4,0)="","(بدون نام)",VLOOKUP($C593,AcctTblE,4,0)),"کد ناشناخته"))</f>
        <v/>
      </c>
      <c r="E593" s="15" t="n"/>
      <c r="F593" s="14">
        <f>IF($B593="","",IFERROR(INDEX(WageDates,MATCH($B593,WageIds,0)),"—"))</f>
        <v/>
      </c>
      <c r="G593" s="14">
        <f>IF($B593="","",IFERROR(VLOOKUP(INDEX(WageParty,MATCH($B593,WageIds,0)),WGTbl,2,0),"—"))</f>
        <v/>
      </c>
      <c r="H593" s="12" t="n"/>
    </row>
    <row r="594">
      <c r="A594" s="19">
        <f>IF($B594="","",COUNTA($B$9:$B594))</f>
        <v/>
      </c>
      <c r="B594" s="12" t="n"/>
      <c r="C594" s="13" t="n"/>
      <c r="D594" s="20">
        <f>IF($C594="","",IFERROR(IF(VLOOKUP($C594,AcctTblE,4,0)="","(بدون نام)",VLOOKUP($C594,AcctTblE,4,0)),"کد ناشناخته"))</f>
        <v/>
      </c>
      <c r="E594" s="15" t="n"/>
      <c r="F594" s="20">
        <f>IF($B594="","",IFERROR(INDEX(WageDates,MATCH($B594,WageIds,0)),"—"))</f>
        <v/>
      </c>
      <c r="G594" s="20">
        <f>IF($B594="","",IFERROR(VLOOKUP(INDEX(WageParty,MATCH($B594,WageIds,0)),WGTbl,2,0),"—"))</f>
        <v/>
      </c>
      <c r="H594" s="12" t="n"/>
    </row>
    <row r="595">
      <c r="A595" s="10">
        <f>IF($B595="","",COUNTA($B$9:$B595))</f>
        <v/>
      </c>
      <c r="B595" s="12" t="n"/>
      <c r="C595" s="13" t="n"/>
      <c r="D595" s="14">
        <f>IF($C595="","",IFERROR(IF(VLOOKUP($C595,AcctTblE,4,0)="","(بدون نام)",VLOOKUP($C595,AcctTblE,4,0)),"کد ناشناخته"))</f>
        <v/>
      </c>
      <c r="E595" s="15" t="n"/>
      <c r="F595" s="14">
        <f>IF($B595="","",IFERROR(INDEX(WageDates,MATCH($B595,WageIds,0)),"—"))</f>
        <v/>
      </c>
      <c r="G595" s="14">
        <f>IF($B595="","",IFERROR(VLOOKUP(INDEX(WageParty,MATCH($B595,WageIds,0)),WGTbl,2,0),"—"))</f>
        <v/>
      </c>
      <c r="H595" s="12" t="n"/>
    </row>
    <row r="596">
      <c r="A596" s="19">
        <f>IF($B596="","",COUNTA($B$9:$B596))</f>
        <v/>
      </c>
      <c r="B596" s="12" t="n"/>
      <c r="C596" s="13" t="n"/>
      <c r="D596" s="20">
        <f>IF($C596="","",IFERROR(IF(VLOOKUP($C596,AcctTblE,4,0)="","(بدون نام)",VLOOKUP($C596,AcctTblE,4,0)),"کد ناشناخته"))</f>
        <v/>
      </c>
      <c r="E596" s="15" t="n"/>
      <c r="F596" s="20">
        <f>IF($B596="","",IFERROR(INDEX(WageDates,MATCH($B596,WageIds,0)),"—"))</f>
        <v/>
      </c>
      <c r="G596" s="20">
        <f>IF($B596="","",IFERROR(VLOOKUP(INDEX(WageParty,MATCH($B596,WageIds,0)),WGTbl,2,0),"—"))</f>
        <v/>
      </c>
      <c r="H596" s="12" t="n"/>
    </row>
    <row r="597">
      <c r="A597" s="10">
        <f>IF($B597="","",COUNTA($B$9:$B597))</f>
        <v/>
      </c>
      <c r="B597" s="12" t="n"/>
      <c r="C597" s="13" t="n"/>
      <c r="D597" s="14">
        <f>IF($C597="","",IFERROR(IF(VLOOKUP($C597,AcctTblE,4,0)="","(بدون نام)",VLOOKUP($C597,AcctTblE,4,0)),"کد ناشناخته"))</f>
        <v/>
      </c>
      <c r="E597" s="15" t="n"/>
      <c r="F597" s="14">
        <f>IF($B597="","",IFERROR(INDEX(WageDates,MATCH($B597,WageIds,0)),"—"))</f>
        <v/>
      </c>
      <c r="G597" s="14">
        <f>IF($B597="","",IFERROR(VLOOKUP(INDEX(WageParty,MATCH($B597,WageIds,0)),WGTbl,2,0),"—"))</f>
        <v/>
      </c>
      <c r="H597" s="12" t="n"/>
    </row>
    <row r="598">
      <c r="A598" s="19">
        <f>IF($B598="","",COUNTA($B$9:$B598))</f>
        <v/>
      </c>
      <c r="B598" s="12" t="n"/>
      <c r="C598" s="13" t="n"/>
      <c r="D598" s="20">
        <f>IF($C598="","",IFERROR(IF(VLOOKUP($C598,AcctTblE,4,0)="","(بدون نام)",VLOOKUP($C598,AcctTblE,4,0)),"کد ناشناخته"))</f>
        <v/>
      </c>
      <c r="E598" s="15" t="n"/>
      <c r="F598" s="20">
        <f>IF($B598="","",IFERROR(INDEX(WageDates,MATCH($B598,WageIds,0)),"—"))</f>
        <v/>
      </c>
      <c r="G598" s="20">
        <f>IF($B598="","",IFERROR(VLOOKUP(INDEX(WageParty,MATCH($B598,WageIds,0)),WGTbl,2,0),"—"))</f>
        <v/>
      </c>
      <c r="H598" s="12" t="n"/>
    </row>
    <row r="599">
      <c r="A599" s="10">
        <f>IF($B599="","",COUNTA($B$9:$B599))</f>
        <v/>
      </c>
      <c r="B599" s="12" t="n"/>
      <c r="C599" s="13" t="n"/>
      <c r="D599" s="14">
        <f>IF($C599="","",IFERROR(IF(VLOOKUP($C599,AcctTblE,4,0)="","(بدون نام)",VLOOKUP($C599,AcctTblE,4,0)),"کد ناشناخته"))</f>
        <v/>
      </c>
      <c r="E599" s="15" t="n"/>
      <c r="F599" s="14">
        <f>IF($B599="","",IFERROR(INDEX(WageDates,MATCH($B599,WageIds,0)),"—"))</f>
        <v/>
      </c>
      <c r="G599" s="14">
        <f>IF($B599="","",IFERROR(VLOOKUP(INDEX(WageParty,MATCH($B599,WageIds,0)),WGTbl,2,0),"—"))</f>
        <v/>
      </c>
      <c r="H599" s="12" t="n"/>
    </row>
    <row r="600">
      <c r="A600" s="19">
        <f>IF($B600="","",COUNTA($B$9:$B600))</f>
        <v/>
      </c>
      <c r="B600" s="12" t="n"/>
      <c r="C600" s="13" t="n"/>
      <c r="D600" s="20">
        <f>IF($C600="","",IFERROR(IF(VLOOKUP($C600,AcctTblE,4,0)="","(بدون نام)",VLOOKUP($C600,AcctTblE,4,0)),"کد ناشناخته"))</f>
        <v/>
      </c>
      <c r="E600" s="15" t="n"/>
      <c r="F600" s="20">
        <f>IF($B600="","",IFERROR(INDEX(WageDates,MATCH($B600,WageIds,0)),"—"))</f>
        <v/>
      </c>
      <c r="G600" s="20">
        <f>IF($B600="","",IFERROR(VLOOKUP(INDEX(WageParty,MATCH($B600,WageIds,0)),WGTbl,2,0),"—"))</f>
        <v/>
      </c>
      <c r="H600" s="12" t="n"/>
    </row>
    <row r="601">
      <c r="A601" s="10">
        <f>IF($B601="","",COUNTA($B$9:$B601))</f>
        <v/>
      </c>
      <c r="B601" s="12" t="n"/>
      <c r="C601" s="13" t="n"/>
      <c r="D601" s="14">
        <f>IF($C601="","",IFERROR(IF(VLOOKUP($C601,AcctTblE,4,0)="","(بدون نام)",VLOOKUP($C601,AcctTblE,4,0)),"کد ناشناخته"))</f>
        <v/>
      </c>
      <c r="E601" s="15" t="n"/>
      <c r="F601" s="14">
        <f>IF($B601="","",IFERROR(INDEX(WageDates,MATCH($B601,WageIds,0)),"—"))</f>
        <v/>
      </c>
      <c r="G601" s="14">
        <f>IF($B601="","",IFERROR(VLOOKUP(INDEX(WageParty,MATCH($B601,WageIds,0)),WGTbl,2,0),"—"))</f>
        <v/>
      </c>
      <c r="H601" s="12" t="n"/>
    </row>
    <row r="602">
      <c r="A602" s="19">
        <f>IF($B602="","",COUNTA($B$9:$B602))</f>
        <v/>
      </c>
      <c r="B602" s="12" t="n"/>
      <c r="C602" s="13" t="n"/>
      <c r="D602" s="20">
        <f>IF($C602="","",IFERROR(IF(VLOOKUP($C602,AcctTblE,4,0)="","(بدون نام)",VLOOKUP($C602,AcctTblE,4,0)),"کد ناشناخته"))</f>
        <v/>
      </c>
      <c r="E602" s="15" t="n"/>
      <c r="F602" s="20">
        <f>IF($B602="","",IFERROR(INDEX(WageDates,MATCH($B602,WageIds,0)),"—"))</f>
        <v/>
      </c>
      <c r="G602" s="20">
        <f>IF($B602="","",IFERROR(VLOOKUP(INDEX(WageParty,MATCH($B602,WageIds,0)),WGTbl,2,0),"—"))</f>
        <v/>
      </c>
      <c r="H602" s="12" t="n"/>
    </row>
    <row r="603">
      <c r="A603" s="10">
        <f>IF($B603="","",COUNTA($B$9:$B603))</f>
        <v/>
      </c>
      <c r="B603" s="12" t="n"/>
      <c r="C603" s="13" t="n"/>
      <c r="D603" s="14">
        <f>IF($C603="","",IFERROR(IF(VLOOKUP($C603,AcctTblE,4,0)="","(بدون نام)",VLOOKUP($C603,AcctTblE,4,0)),"کد ناشناخته"))</f>
        <v/>
      </c>
      <c r="E603" s="15" t="n"/>
      <c r="F603" s="14">
        <f>IF($B603="","",IFERROR(INDEX(WageDates,MATCH($B603,WageIds,0)),"—"))</f>
        <v/>
      </c>
      <c r="G603" s="14">
        <f>IF($B603="","",IFERROR(VLOOKUP(INDEX(WageParty,MATCH($B603,WageIds,0)),WGTbl,2,0),"—"))</f>
        <v/>
      </c>
      <c r="H603" s="12" t="n"/>
    </row>
    <row r="604">
      <c r="A604" s="19">
        <f>IF($B604="","",COUNTA($B$9:$B604))</f>
        <v/>
      </c>
      <c r="B604" s="12" t="n"/>
      <c r="C604" s="13" t="n"/>
      <c r="D604" s="20">
        <f>IF($C604="","",IFERROR(IF(VLOOKUP($C604,AcctTblE,4,0)="","(بدون نام)",VLOOKUP($C604,AcctTblE,4,0)),"کد ناشناخته"))</f>
        <v/>
      </c>
      <c r="E604" s="15" t="n"/>
      <c r="F604" s="20">
        <f>IF($B604="","",IFERROR(INDEX(WageDates,MATCH($B604,WageIds,0)),"—"))</f>
        <v/>
      </c>
      <c r="G604" s="20">
        <f>IF($B604="","",IFERROR(VLOOKUP(INDEX(WageParty,MATCH($B604,WageIds,0)),WGTbl,2,0),"—"))</f>
        <v/>
      </c>
      <c r="H604" s="12" t="n"/>
    </row>
    <row r="605">
      <c r="A605" s="10">
        <f>IF($B605="","",COUNTA($B$9:$B605))</f>
        <v/>
      </c>
      <c r="B605" s="12" t="n"/>
      <c r="C605" s="13" t="n"/>
      <c r="D605" s="14">
        <f>IF($C605="","",IFERROR(IF(VLOOKUP($C605,AcctTblE,4,0)="","(بدون نام)",VLOOKUP($C605,AcctTblE,4,0)),"کد ناشناخته"))</f>
        <v/>
      </c>
      <c r="E605" s="15" t="n"/>
      <c r="F605" s="14">
        <f>IF($B605="","",IFERROR(INDEX(WageDates,MATCH($B605,WageIds,0)),"—"))</f>
        <v/>
      </c>
      <c r="G605" s="14">
        <f>IF($B605="","",IFERROR(VLOOKUP(INDEX(WageParty,MATCH($B605,WageIds,0)),WGTbl,2,0),"—"))</f>
        <v/>
      </c>
      <c r="H605" s="12" t="n"/>
    </row>
    <row r="606">
      <c r="A606" s="19">
        <f>IF($B606="","",COUNTA($B$9:$B606))</f>
        <v/>
      </c>
      <c r="B606" s="12" t="n"/>
      <c r="C606" s="13" t="n"/>
      <c r="D606" s="20">
        <f>IF($C606="","",IFERROR(IF(VLOOKUP($C606,AcctTblE,4,0)="","(بدون نام)",VLOOKUP($C606,AcctTblE,4,0)),"کد ناشناخته"))</f>
        <v/>
      </c>
      <c r="E606" s="15" t="n"/>
      <c r="F606" s="20">
        <f>IF($B606="","",IFERROR(INDEX(WageDates,MATCH($B606,WageIds,0)),"—"))</f>
        <v/>
      </c>
      <c r="G606" s="20">
        <f>IF($B606="","",IFERROR(VLOOKUP(INDEX(WageParty,MATCH($B606,WageIds,0)),WGTbl,2,0),"—"))</f>
        <v/>
      </c>
      <c r="H606" s="12" t="n"/>
    </row>
    <row r="607">
      <c r="A607" s="10">
        <f>IF($B607="","",COUNTA($B$9:$B607))</f>
        <v/>
      </c>
      <c r="B607" s="12" t="n"/>
      <c r="C607" s="13" t="n"/>
      <c r="D607" s="14">
        <f>IF($C607="","",IFERROR(IF(VLOOKUP($C607,AcctTblE,4,0)="","(بدون نام)",VLOOKUP($C607,AcctTblE,4,0)),"کد ناشناخته"))</f>
        <v/>
      </c>
      <c r="E607" s="15" t="n"/>
      <c r="F607" s="14">
        <f>IF($B607="","",IFERROR(INDEX(WageDates,MATCH($B607,WageIds,0)),"—"))</f>
        <v/>
      </c>
      <c r="G607" s="14">
        <f>IF($B607="","",IFERROR(VLOOKUP(INDEX(WageParty,MATCH($B607,WageIds,0)),WGTbl,2,0),"—"))</f>
        <v/>
      </c>
      <c r="H607" s="12" t="n"/>
    </row>
    <row r="608">
      <c r="A608" s="19">
        <f>IF($B608="","",COUNTA($B$9:$B608))</f>
        <v/>
      </c>
      <c r="B608" s="12" t="n"/>
      <c r="C608" s="13" t="n"/>
      <c r="D608" s="20">
        <f>IF($C608="","",IFERROR(IF(VLOOKUP($C608,AcctTblE,4,0)="","(بدون نام)",VLOOKUP($C608,AcctTblE,4,0)),"کد ناشناخته"))</f>
        <v/>
      </c>
      <c r="E608" s="15" t="n"/>
      <c r="F608" s="20">
        <f>IF($B608="","",IFERROR(INDEX(WageDates,MATCH($B608,WageIds,0)),"—"))</f>
        <v/>
      </c>
      <c r="G608" s="20">
        <f>IF($B608="","",IFERROR(VLOOKUP(INDEX(WageParty,MATCH($B608,WageIds,0)),WGTbl,2,0),"—"))</f>
        <v/>
      </c>
      <c r="H608" s="12" t="n"/>
    </row>
    <row r="609">
      <c r="A609" s="10">
        <f>IF($B609="","",COUNTA($B$9:$B609))</f>
        <v/>
      </c>
      <c r="B609" s="12" t="n"/>
      <c r="C609" s="13" t="n"/>
      <c r="D609" s="14">
        <f>IF($C609="","",IFERROR(IF(VLOOKUP($C609,AcctTblE,4,0)="","(بدون نام)",VLOOKUP($C609,AcctTblE,4,0)),"کد ناشناخته"))</f>
        <v/>
      </c>
      <c r="E609" s="15" t="n"/>
      <c r="F609" s="14">
        <f>IF($B609="","",IFERROR(INDEX(WageDates,MATCH($B609,WageIds,0)),"—"))</f>
        <v/>
      </c>
      <c r="G609" s="14">
        <f>IF($B609="","",IFERROR(VLOOKUP(INDEX(WageParty,MATCH($B609,WageIds,0)),WGTbl,2,0),"—"))</f>
        <v/>
      </c>
      <c r="H609" s="12" t="n"/>
    </row>
    <row r="610">
      <c r="A610" s="19">
        <f>IF($B610="","",COUNTA($B$9:$B610))</f>
        <v/>
      </c>
      <c r="B610" s="12" t="n"/>
      <c r="C610" s="13" t="n"/>
      <c r="D610" s="20">
        <f>IF($C610="","",IFERROR(IF(VLOOKUP($C610,AcctTblE,4,0)="","(بدون نام)",VLOOKUP($C610,AcctTblE,4,0)),"کد ناشناخته"))</f>
        <v/>
      </c>
      <c r="E610" s="15" t="n"/>
      <c r="F610" s="20">
        <f>IF($B610="","",IFERROR(INDEX(WageDates,MATCH($B610,WageIds,0)),"—"))</f>
        <v/>
      </c>
      <c r="G610" s="20">
        <f>IF($B610="","",IFERROR(VLOOKUP(INDEX(WageParty,MATCH($B610,WageIds,0)),WGTbl,2,0),"—"))</f>
        <v/>
      </c>
      <c r="H610" s="12" t="n"/>
    </row>
    <row r="611">
      <c r="A611" s="10">
        <f>IF($B611="","",COUNTA($B$9:$B611))</f>
        <v/>
      </c>
      <c r="B611" s="12" t="n"/>
      <c r="C611" s="13" t="n"/>
      <c r="D611" s="14">
        <f>IF($C611="","",IFERROR(IF(VLOOKUP($C611,AcctTblE,4,0)="","(بدون نام)",VLOOKUP($C611,AcctTblE,4,0)),"کد ناشناخته"))</f>
        <v/>
      </c>
      <c r="E611" s="15" t="n"/>
      <c r="F611" s="14">
        <f>IF($B611="","",IFERROR(INDEX(WageDates,MATCH($B611,WageIds,0)),"—"))</f>
        <v/>
      </c>
      <c r="G611" s="14">
        <f>IF($B611="","",IFERROR(VLOOKUP(INDEX(WageParty,MATCH($B611,WageIds,0)),WGTbl,2,0),"—"))</f>
        <v/>
      </c>
      <c r="H611" s="12" t="n"/>
    </row>
    <row r="612">
      <c r="A612" s="19">
        <f>IF($B612="","",COUNTA($B$9:$B612))</f>
        <v/>
      </c>
      <c r="B612" s="12" t="n"/>
      <c r="C612" s="13" t="n"/>
      <c r="D612" s="20">
        <f>IF($C612="","",IFERROR(IF(VLOOKUP($C612,AcctTblE,4,0)="","(بدون نام)",VLOOKUP($C612,AcctTblE,4,0)),"کد ناشناخته"))</f>
        <v/>
      </c>
      <c r="E612" s="15" t="n"/>
      <c r="F612" s="20">
        <f>IF($B612="","",IFERROR(INDEX(WageDates,MATCH($B612,WageIds,0)),"—"))</f>
        <v/>
      </c>
      <c r="G612" s="20">
        <f>IF($B612="","",IFERROR(VLOOKUP(INDEX(WageParty,MATCH($B612,WageIds,0)),WGTbl,2,0),"—"))</f>
        <v/>
      </c>
      <c r="H612" s="12" t="n"/>
    </row>
    <row r="613">
      <c r="A613" s="10">
        <f>IF($B613="","",COUNTA($B$9:$B613))</f>
        <v/>
      </c>
      <c r="B613" s="12" t="n"/>
      <c r="C613" s="13" t="n"/>
      <c r="D613" s="14">
        <f>IF($C613="","",IFERROR(IF(VLOOKUP($C613,AcctTblE,4,0)="","(بدون نام)",VLOOKUP($C613,AcctTblE,4,0)),"کد ناشناخته"))</f>
        <v/>
      </c>
      <c r="E613" s="15" t="n"/>
      <c r="F613" s="14">
        <f>IF($B613="","",IFERROR(INDEX(WageDates,MATCH($B613,WageIds,0)),"—"))</f>
        <v/>
      </c>
      <c r="G613" s="14">
        <f>IF($B613="","",IFERROR(VLOOKUP(INDEX(WageParty,MATCH($B613,WageIds,0)),WGTbl,2,0),"—"))</f>
        <v/>
      </c>
      <c r="H613" s="12" t="n"/>
    </row>
    <row r="614">
      <c r="A614" s="19">
        <f>IF($B614="","",COUNTA($B$9:$B614))</f>
        <v/>
      </c>
      <c r="B614" s="12" t="n"/>
      <c r="C614" s="13" t="n"/>
      <c r="D614" s="20">
        <f>IF($C614="","",IFERROR(IF(VLOOKUP($C614,AcctTblE,4,0)="","(بدون نام)",VLOOKUP($C614,AcctTblE,4,0)),"کد ناشناخته"))</f>
        <v/>
      </c>
      <c r="E614" s="15" t="n"/>
      <c r="F614" s="20">
        <f>IF($B614="","",IFERROR(INDEX(WageDates,MATCH($B614,WageIds,0)),"—"))</f>
        <v/>
      </c>
      <c r="G614" s="20">
        <f>IF($B614="","",IFERROR(VLOOKUP(INDEX(WageParty,MATCH($B614,WageIds,0)),WGTbl,2,0),"—"))</f>
        <v/>
      </c>
      <c r="H614" s="12" t="n"/>
    </row>
    <row r="615">
      <c r="A615" s="10">
        <f>IF($B615="","",COUNTA($B$9:$B615))</f>
        <v/>
      </c>
      <c r="B615" s="12" t="n"/>
      <c r="C615" s="13" t="n"/>
      <c r="D615" s="14">
        <f>IF($C615="","",IFERROR(IF(VLOOKUP($C615,AcctTblE,4,0)="","(بدون نام)",VLOOKUP($C615,AcctTblE,4,0)),"کد ناشناخته"))</f>
        <v/>
      </c>
      <c r="E615" s="15" t="n"/>
      <c r="F615" s="14">
        <f>IF($B615="","",IFERROR(INDEX(WageDates,MATCH($B615,WageIds,0)),"—"))</f>
        <v/>
      </c>
      <c r="G615" s="14">
        <f>IF($B615="","",IFERROR(VLOOKUP(INDEX(WageParty,MATCH($B615,WageIds,0)),WGTbl,2,0),"—"))</f>
        <v/>
      </c>
      <c r="H615" s="12" t="n"/>
    </row>
    <row r="616">
      <c r="A616" s="19">
        <f>IF($B616="","",COUNTA($B$9:$B616))</f>
        <v/>
      </c>
      <c r="B616" s="12" t="n"/>
      <c r="C616" s="13" t="n"/>
      <c r="D616" s="20">
        <f>IF($C616="","",IFERROR(IF(VLOOKUP($C616,AcctTblE,4,0)="","(بدون نام)",VLOOKUP($C616,AcctTblE,4,0)),"کد ناشناخته"))</f>
        <v/>
      </c>
      <c r="E616" s="15" t="n"/>
      <c r="F616" s="20">
        <f>IF($B616="","",IFERROR(INDEX(WageDates,MATCH($B616,WageIds,0)),"—"))</f>
        <v/>
      </c>
      <c r="G616" s="20">
        <f>IF($B616="","",IFERROR(VLOOKUP(INDEX(WageParty,MATCH($B616,WageIds,0)),WGTbl,2,0),"—"))</f>
        <v/>
      </c>
      <c r="H616" s="12" t="n"/>
    </row>
    <row r="617">
      <c r="A617" s="10">
        <f>IF($B617="","",COUNTA($B$9:$B617))</f>
        <v/>
      </c>
      <c r="B617" s="12" t="n"/>
      <c r="C617" s="13" t="n"/>
      <c r="D617" s="14">
        <f>IF($C617="","",IFERROR(IF(VLOOKUP($C617,AcctTblE,4,0)="","(بدون نام)",VLOOKUP($C617,AcctTblE,4,0)),"کد ناشناخته"))</f>
        <v/>
      </c>
      <c r="E617" s="15" t="n"/>
      <c r="F617" s="14">
        <f>IF($B617="","",IFERROR(INDEX(WageDates,MATCH($B617,WageIds,0)),"—"))</f>
        <v/>
      </c>
      <c r="G617" s="14">
        <f>IF($B617="","",IFERROR(VLOOKUP(INDEX(WageParty,MATCH($B617,WageIds,0)),WGTbl,2,0),"—"))</f>
        <v/>
      </c>
      <c r="H617" s="12" t="n"/>
    </row>
    <row r="618">
      <c r="A618" s="19">
        <f>IF($B618="","",COUNTA($B$9:$B618))</f>
        <v/>
      </c>
      <c r="B618" s="12" t="n"/>
      <c r="C618" s="13" t="n"/>
      <c r="D618" s="20">
        <f>IF($C618="","",IFERROR(IF(VLOOKUP($C618,AcctTblE,4,0)="","(بدون نام)",VLOOKUP($C618,AcctTblE,4,0)),"کد ناشناخته"))</f>
        <v/>
      </c>
      <c r="E618" s="15" t="n"/>
      <c r="F618" s="20">
        <f>IF($B618="","",IFERROR(INDEX(WageDates,MATCH($B618,WageIds,0)),"—"))</f>
        <v/>
      </c>
      <c r="G618" s="20">
        <f>IF($B618="","",IFERROR(VLOOKUP(INDEX(WageParty,MATCH($B618,WageIds,0)),WGTbl,2,0),"—"))</f>
        <v/>
      </c>
      <c r="H618" s="12" t="n"/>
    </row>
    <row r="619">
      <c r="A619" s="10">
        <f>IF($B619="","",COUNTA($B$9:$B619))</f>
        <v/>
      </c>
      <c r="B619" s="12" t="n"/>
      <c r="C619" s="13" t="n"/>
      <c r="D619" s="14">
        <f>IF($C619="","",IFERROR(IF(VLOOKUP($C619,AcctTblE,4,0)="","(بدون نام)",VLOOKUP($C619,AcctTblE,4,0)),"کد ناشناخته"))</f>
        <v/>
      </c>
      <c r="E619" s="15" t="n"/>
      <c r="F619" s="14">
        <f>IF($B619="","",IFERROR(INDEX(WageDates,MATCH($B619,WageIds,0)),"—"))</f>
        <v/>
      </c>
      <c r="G619" s="14">
        <f>IF($B619="","",IFERROR(VLOOKUP(INDEX(WageParty,MATCH($B619,WageIds,0)),WGTbl,2,0),"—"))</f>
        <v/>
      </c>
      <c r="H619" s="12" t="n"/>
    </row>
    <row r="620">
      <c r="A620" s="19">
        <f>IF($B620="","",COUNTA($B$9:$B620))</f>
        <v/>
      </c>
      <c r="B620" s="12" t="n"/>
      <c r="C620" s="13" t="n"/>
      <c r="D620" s="20">
        <f>IF($C620="","",IFERROR(IF(VLOOKUP($C620,AcctTblE,4,0)="","(بدون نام)",VLOOKUP($C620,AcctTblE,4,0)),"کد ناشناخته"))</f>
        <v/>
      </c>
      <c r="E620" s="15" t="n"/>
      <c r="F620" s="20">
        <f>IF($B620="","",IFERROR(INDEX(WageDates,MATCH($B620,WageIds,0)),"—"))</f>
        <v/>
      </c>
      <c r="G620" s="20">
        <f>IF($B620="","",IFERROR(VLOOKUP(INDEX(WageParty,MATCH($B620,WageIds,0)),WGTbl,2,0),"—"))</f>
        <v/>
      </c>
      <c r="H620" s="12" t="n"/>
    </row>
    <row r="621">
      <c r="A621" s="10">
        <f>IF($B621="","",COUNTA($B$9:$B621))</f>
        <v/>
      </c>
      <c r="B621" s="12" t="n"/>
      <c r="C621" s="13" t="n"/>
      <c r="D621" s="14">
        <f>IF($C621="","",IFERROR(IF(VLOOKUP($C621,AcctTblE,4,0)="","(بدون نام)",VLOOKUP($C621,AcctTblE,4,0)),"کد ناشناخته"))</f>
        <v/>
      </c>
      <c r="E621" s="15" t="n"/>
      <c r="F621" s="14">
        <f>IF($B621="","",IFERROR(INDEX(WageDates,MATCH($B621,WageIds,0)),"—"))</f>
        <v/>
      </c>
      <c r="G621" s="14">
        <f>IF($B621="","",IFERROR(VLOOKUP(INDEX(WageParty,MATCH($B621,WageIds,0)),WGTbl,2,0),"—"))</f>
        <v/>
      </c>
      <c r="H621" s="12" t="n"/>
    </row>
    <row r="622">
      <c r="A622" s="19">
        <f>IF($B622="","",COUNTA($B$9:$B622))</f>
        <v/>
      </c>
      <c r="B622" s="12" t="n"/>
      <c r="C622" s="13" t="n"/>
      <c r="D622" s="20">
        <f>IF($C622="","",IFERROR(IF(VLOOKUP($C622,AcctTblE,4,0)="","(بدون نام)",VLOOKUP($C622,AcctTblE,4,0)),"کد ناشناخته"))</f>
        <v/>
      </c>
      <c r="E622" s="15" t="n"/>
      <c r="F622" s="20">
        <f>IF($B622="","",IFERROR(INDEX(WageDates,MATCH($B622,WageIds,0)),"—"))</f>
        <v/>
      </c>
      <c r="G622" s="20">
        <f>IF($B622="","",IFERROR(VLOOKUP(INDEX(WageParty,MATCH($B622,WageIds,0)),WGTbl,2,0),"—"))</f>
        <v/>
      </c>
      <c r="H622" s="12" t="n"/>
    </row>
    <row r="623">
      <c r="A623" s="10">
        <f>IF($B623="","",COUNTA($B$9:$B623))</f>
        <v/>
      </c>
      <c r="B623" s="12" t="n"/>
      <c r="C623" s="13" t="n"/>
      <c r="D623" s="14">
        <f>IF($C623="","",IFERROR(IF(VLOOKUP($C623,AcctTblE,4,0)="","(بدون نام)",VLOOKUP($C623,AcctTblE,4,0)),"کد ناشناخته"))</f>
        <v/>
      </c>
      <c r="E623" s="15" t="n"/>
      <c r="F623" s="14">
        <f>IF($B623="","",IFERROR(INDEX(WageDates,MATCH($B623,WageIds,0)),"—"))</f>
        <v/>
      </c>
      <c r="G623" s="14">
        <f>IF($B623="","",IFERROR(VLOOKUP(INDEX(WageParty,MATCH($B623,WageIds,0)),WGTbl,2,0),"—"))</f>
        <v/>
      </c>
      <c r="H623" s="12" t="n"/>
    </row>
    <row r="624">
      <c r="A624" s="19">
        <f>IF($B624="","",COUNTA($B$9:$B624))</f>
        <v/>
      </c>
      <c r="B624" s="12" t="n"/>
      <c r="C624" s="13" t="n"/>
      <c r="D624" s="20">
        <f>IF($C624="","",IFERROR(IF(VLOOKUP($C624,AcctTblE,4,0)="","(بدون نام)",VLOOKUP($C624,AcctTblE,4,0)),"کد ناشناخته"))</f>
        <v/>
      </c>
      <c r="E624" s="15" t="n"/>
      <c r="F624" s="20">
        <f>IF($B624="","",IFERROR(INDEX(WageDates,MATCH($B624,WageIds,0)),"—"))</f>
        <v/>
      </c>
      <c r="G624" s="20">
        <f>IF($B624="","",IFERROR(VLOOKUP(INDEX(WageParty,MATCH($B624,WageIds,0)),WGTbl,2,0),"—"))</f>
        <v/>
      </c>
      <c r="H624" s="12" t="n"/>
    </row>
    <row r="625">
      <c r="A625" s="10">
        <f>IF($B625="","",COUNTA($B$9:$B625))</f>
        <v/>
      </c>
      <c r="B625" s="12" t="n"/>
      <c r="C625" s="13" t="n"/>
      <c r="D625" s="14">
        <f>IF($C625="","",IFERROR(IF(VLOOKUP($C625,AcctTblE,4,0)="","(بدون نام)",VLOOKUP($C625,AcctTblE,4,0)),"کد ناشناخته"))</f>
        <v/>
      </c>
      <c r="E625" s="15" t="n"/>
      <c r="F625" s="14">
        <f>IF($B625="","",IFERROR(INDEX(WageDates,MATCH($B625,WageIds,0)),"—"))</f>
        <v/>
      </c>
      <c r="G625" s="14">
        <f>IF($B625="","",IFERROR(VLOOKUP(INDEX(WageParty,MATCH($B625,WageIds,0)),WGTbl,2,0),"—"))</f>
        <v/>
      </c>
      <c r="H625" s="12" t="n"/>
    </row>
    <row r="626">
      <c r="A626" s="19">
        <f>IF($B626="","",COUNTA($B$9:$B626))</f>
        <v/>
      </c>
      <c r="B626" s="12" t="n"/>
      <c r="C626" s="13" t="n"/>
      <c r="D626" s="20">
        <f>IF($C626="","",IFERROR(IF(VLOOKUP($C626,AcctTblE,4,0)="","(بدون نام)",VLOOKUP($C626,AcctTblE,4,0)),"کد ناشناخته"))</f>
        <v/>
      </c>
      <c r="E626" s="15" t="n"/>
      <c r="F626" s="20">
        <f>IF($B626="","",IFERROR(INDEX(WageDates,MATCH($B626,WageIds,0)),"—"))</f>
        <v/>
      </c>
      <c r="G626" s="20">
        <f>IF($B626="","",IFERROR(VLOOKUP(INDEX(WageParty,MATCH($B626,WageIds,0)),WGTbl,2,0),"—"))</f>
        <v/>
      </c>
      <c r="H626" s="12" t="n"/>
    </row>
    <row r="627">
      <c r="A627" s="10">
        <f>IF($B627="","",COUNTA($B$9:$B627))</f>
        <v/>
      </c>
      <c r="B627" s="12" t="n"/>
      <c r="C627" s="13" t="n"/>
      <c r="D627" s="14">
        <f>IF($C627="","",IFERROR(IF(VLOOKUP($C627,AcctTblE,4,0)="","(بدون نام)",VLOOKUP($C627,AcctTblE,4,0)),"کد ناشناخته"))</f>
        <v/>
      </c>
      <c r="E627" s="15" t="n"/>
      <c r="F627" s="14">
        <f>IF($B627="","",IFERROR(INDEX(WageDates,MATCH($B627,WageIds,0)),"—"))</f>
        <v/>
      </c>
      <c r="G627" s="14">
        <f>IF($B627="","",IFERROR(VLOOKUP(INDEX(WageParty,MATCH($B627,WageIds,0)),WGTbl,2,0),"—"))</f>
        <v/>
      </c>
      <c r="H627" s="12" t="n"/>
    </row>
    <row r="628">
      <c r="A628" s="19">
        <f>IF($B628="","",COUNTA($B$9:$B628))</f>
        <v/>
      </c>
      <c r="B628" s="12" t="n"/>
      <c r="C628" s="13" t="n"/>
      <c r="D628" s="20">
        <f>IF($C628="","",IFERROR(IF(VLOOKUP($C628,AcctTblE,4,0)="","(بدون نام)",VLOOKUP($C628,AcctTblE,4,0)),"کد ناشناخته"))</f>
        <v/>
      </c>
      <c r="E628" s="15" t="n"/>
      <c r="F628" s="20">
        <f>IF($B628="","",IFERROR(INDEX(WageDates,MATCH($B628,WageIds,0)),"—"))</f>
        <v/>
      </c>
      <c r="G628" s="20">
        <f>IF($B628="","",IFERROR(VLOOKUP(INDEX(WageParty,MATCH($B628,WageIds,0)),WGTbl,2,0),"—"))</f>
        <v/>
      </c>
      <c r="H628" s="12" t="n"/>
    </row>
    <row r="629">
      <c r="A629" s="10">
        <f>IF($B629="","",COUNTA($B$9:$B629))</f>
        <v/>
      </c>
      <c r="B629" s="12" t="n"/>
      <c r="C629" s="13" t="n"/>
      <c r="D629" s="14">
        <f>IF($C629="","",IFERROR(IF(VLOOKUP($C629,AcctTblE,4,0)="","(بدون نام)",VLOOKUP($C629,AcctTblE,4,0)),"کد ناشناخته"))</f>
        <v/>
      </c>
      <c r="E629" s="15" t="n"/>
      <c r="F629" s="14">
        <f>IF($B629="","",IFERROR(INDEX(WageDates,MATCH($B629,WageIds,0)),"—"))</f>
        <v/>
      </c>
      <c r="G629" s="14">
        <f>IF($B629="","",IFERROR(VLOOKUP(INDEX(WageParty,MATCH($B629,WageIds,0)),WGTbl,2,0),"—"))</f>
        <v/>
      </c>
      <c r="H629" s="12" t="n"/>
    </row>
    <row r="630">
      <c r="A630" s="19">
        <f>IF($B630="","",COUNTA($B$9:$B630))</f>
        <v/>
      </c>
      <c r="B630" s="12" t="n"/>
      <c r="C630" s="13" t="n"/>
      <c r="D630" s="20">
        <f>IF($C630="","",IFERROR(IF(VLOOKUP($C630,AcctTblE,4,0)="","(بدون نام)",VLOOKUP($C630,AcctTblE,4,0)),"کد ناشناخته"))</f>
        <v/>
      </c>
      <c r="E630" s="15" t="n"/>
      <c r="F630" s="20">
        <f>IF($B630="","",IFERROR(INDEX(WageDates,MATCH($B630,WageIds,0)),"—"))</f>
        <v/>
      </c>
      <c r="G630" s="20">
        <f>IF($B630="","",IFERROR(VLOOKUP(INDEX(WageParty,MATCH($B630,WageIds,0)),WGTbl,2,0),"—"))</f>
        <v/>
      </c>
      <c r="H630" s="12" t="n"/>
    </row>
    <row r="631">
      <c r="A631" s="10">
        <f>IF($B631="","",COUNTA($B$9:$B631))</f>
        <v/>
      </c>
      <c r="B631" s="12" t="n"/>
      <c r="C631" s="13" t="n"/>
      <c r="D631" s="14">
        <f>IF($C631="","",IFERROR(IF(VLOOKUP($C631,AcctTblE,4,0)="","(بدون نام)",VLOOKUP($C631,AcctTblE,4,0)),"کد ناشناخته"))</f>
        <v/>
      </c>
      <c r="E631" s="15" t="n"/>
      <c r="F631" s="14">
        <f>IF($B631="","",IFERROR(INDEX(WageDates,MATCH($B631,WageIds,0)),"—"))</f>
        <v/>
      </c>
      <c r="G631" s="14">
        <f>IF($B631="","",IFERROR(VLOOKUP(INDEX(WageParty,MATCH($B631,WageIds,0)),WGTbl,2,0),"—"))</f>
        <v/>
      </c>
      <c r="H631" s="12" t="n"/>
    </row>
    <row r="632">
      <c r="A632" s="19">
        <f>IF($B632="","",COUNTA($B$9:$B632))</f>
        <v/>
      </c>
      <c r="B632" s="12" t="n"/>
      <c r="C632" s="13" t="n"/>
      <c r="D632" s="20">
        <f>IF($C632="","",IFERROR(IF(VLOOKUP($C632,AcctTblE,4,0)="","(بدون نام)",VLOOKUP($C632,AcctTblE,4,0)),"کد ناشناخته"))</f>
        <v/>
      </c>
      <c r="E632" s="15" t="n"/>
      <c r="F632" s="20">
        <f>IF($B632="","",IFERROR(INDEX(WageDates,MATCH($B632,WageIds,0)),"—"))</f>
        <v/>
      </c>
      <c r="G632" s="20">
        <f>IF($B632="","",IFERROR(VLOOKUP(INDEX(WageParty,MATCH($B632,WageIds,0)),WGTbl,2,0),"—"))</f>
        <v/>
      </c>
      <c r="H632" s="12" t="n"/>
    </row>
    <row r="633">
      <c r="A633" s="10">
        <f>IF($B633="","",COUNTA($B$9:$B633))</f>
        <v/>
      </c>
      <c r="B633" s="12" t="n"/>
      <c r="C633" s="13" t="n"/>
      <c r="D633" s="14">
        <f>IF($C633="","",IFERROR(IF(VLOOKUP($C633,AcctTblE,4,0)="","(بدون نام)",VLOOKUP($C633,AcctTblE,4,0)),"کد ناشناخته"))</f>
        <v/>
      </c>
      <c r="E633" s="15" t="n"/>
      <c r="F633" s="14">
        <f>IF($B633="","",IFERROR(INDEX(WageDates,MATCH($B633,WageIds,0)),"—"))</f>
        <v/>
      </c>
      <c r="G633" s="14">
        <f>IF($B633="","",IFERROR(VLOOKUP(INDEX(WageParty,MATCH($B633,WageIds,0)),WGTbl,2,0),"—"))</f>
        <v/>
      </c>
      <c r="H633" s="12" t="n"/>
    </row>
    <row r="634">
      <c r="A634" s="19">
        <f>IF($B634="","",COUNTA($B$9:$B634))</f>
        <v/>
      </c>
      <c r="B634" s="12" t="n"/>
      <c r="C634" s="13" t="n"/>
      <c r="D634" s="20">
        <f>IF($C634="","",IFERROR(IF(VLOOKUP($C634,AcctTblE,4,0)="","(بدون نام)",VLOOKUP($C634,AcctTblE,4,0)),"کد ناشناخته"))</f>
        <v/>
      </c>
      <c r="E634" s="15" t="n"/>
      <c r="F634" s="20">
        <f>IF($B634="","",IFERROR(INDEX(WageDates,MATCH($B634,WageIds,0)),"—"))</f>
        <v/>
      </c>
      <c r="G634" s="20">
        <f>IF($B634="","",IFERROR(VLOOKUP(INDEX(WageParty,MATCH($B634,WageIds,0)),WGTbl,2,0),"—"))</f>
        <v/>
      </c>
      <c r="H634" s="12" t="n"/>
    </row>
    <row r="635">
      <c r="A635" s="10">
        <f>IF($B635="","",COUNTA($B$9:$B635))</f>
        <v/>
      </c>
      <c r="B635" s="12" t="n"/>
      <c r="C635" s="13" t="n"/>
      <c r="D635" s="14">
        <f>IF($C635="","",IFERROR(IF(VLOOKUP($C635,AcctTblE,4,0)="","(بدون نام)",VLOOKUP($C635,AcctTblE,4,0)),"کد ناشناخته"))</f>
        <v/>
      </c>
      <c r="E635" s="15" t="n"/>
      <c r="F635" s="14">
        <f>IF($B635="","",IFERROR(INDEX(WageDates,MATCH($B635,WageIds,0)),"—"))</f>
        <v/>
      </c>
      <c r="G635" s="14">
        <f>IF($B635="","",IFERROR(VLOOKUP(INDEX(WageParty,MATCH($B635,WageIds,0)),WGTbl,2,0),"—"))</f>
        <v/>
      </c>
      <c r="H635" s="12" t="n"/>
    </row>
    <row r="636">
      <c r="A636" s="19">
        <f>IF($B636="","",COUNTA($B$9:$B636))</f>
        <v/>
      </c>
      <c r="B636" s="12" t="n"/>
      <c r="C636" s="13" t="n"/>
      <c r="D636" s="20">
        <f>IF($C636="","",IFERROR(IF(VLOOKUP($C636,AcctTblE,4,0)="","(بدون نام)",VLOOKUP($C636,AcctTblE,4,0)),"کد ناشناخته"))</f>
        <v/>
      </c>
      <c r="E636" s="15" t="n"/>
      <c r="F636" s="20">
        <f>IF($B636="","",IFERROR(INDEX(WageDates,MATCH($B636,WageIds,0)),"—"))</f>
        <v/>
      </c>
      <c r="G636" s="20">
        <f>IF($B636="","",IFERROR(VLOOKUP(INDEX(WageParty,MATCH($B636,WageIds,0)),WGTbl,2,0),"—"))</f>
        <v/>
      </c>
      <c r="H636" s="12" t="n"/>
    </row>
    <row r="637">
      <c r="A637" s="10">
        <f>IF($B637="","",COUNTA($B$9:$B637))</f>
        <v/>
      </c>
      <c r="B637" s="12" t="n"/>
      <c r="C637" s="13" t="n"/>
      <c r="D637" s="14">
        <f>IF($C637="","",IFERROR(IF(VLOOKUP($C637,AcctTblE,4,0)="","(بدون نام)",VLOOKUP($C637,AcctTblE,4,0)),"کد ناشناخته"))</f>
        <v/>
      </c>
      <c r="E637" s="15" t="n"/>
      <c r="F637" s="14">
        <f>IF($B637="","",IFERROR(INDEX(WageDates,MATCH($B637,WageIds,0)),"—"))</f>
        <v/>
      </c>
      <c r="G637" s="14">
        <f>IF($B637="","",IFERROR(VLOOKUP(INDEX(WageParty,MATCH($B637,WageIds,0)),WGTbl,2,0),"—"))</f>
        <v/>
      </c>
      <c r="H637" s="12" t="n"/>
    </row>
    <row r="638">
      <c r="A638" s="19">
        <f>IF($B638="","",COUNTA($B$9:$B638))</f>
        <v/>
      </c>
      <c r="B638" s="12" t="n"/>
      <c r="C638" s="13" t="n"/>
      <c r="D638" s="20">
        <f>IF($C638="","",IFERROR(IF(VLOOKUP($C638,AcctTblE,4,0)="","(بدون نام)",VLOOKUP($C638,AcctTblE,4,0)),"کد ناشناخته"))</f>
        <v/>
      </c>
      <c r="E638" s="15" t="n"/>
      <c r="F638" s="20">
        <f>IF($B638="","",IFERROR(INDEX(WageDates,MATCH($B638,WageIds,0)),"—"))</f>
        <v/>
      </c>
      <c r="G638" s="20">
        <f>IF($B638="","",IFERROR(VLOOKUP(INDEX(WageParty,MATCH($B638,WageIds,0)),WGTbl,2,0),"—"))</f>
        <v/>
      </c>
      <c r="H638" s="12" t="n"/>
    </row>
    <row r="639">
      <c r="A639" s="10">
        <f>IF($B639="","",COUNTA($B$9:$B639))</f>
        <v/>
      </c>
      <c r="B639" s="12" t="n"/>
      <c r="C639" s="13" t="n"/>
      <c r="D639" s="14">
        <f>IF($C639="","",IFERROR(IF(VLOOKUP($C639,AcctTblE,4,0)="","(بدون نام)",VLOOKUP($C639,AcctTblE,4,0)),"کد ناشناخته"))</f>
        <v/>
      </c>
      <c r="E639" s="15" t="n"/>
      <c r="F639" s="14">
        <f>IF($B639="","",IFERROR(INDEX(WageDates,MATCH($B639,WageIds,0)),"—"))</f>
        <v/>
      </c>
      <c r="G639" s="14">
        <f>IF($B639="","",IFERROR(VLOOKUP(INDEX(WageParty,MATCH($B639,WageIds,0)),WGTbl,2,0),"—"))</f>
        <v/>
      </c>
      <c r="H639" s="12" t="n"/>
    </row>
    <row r="640">
      <c r="A640" s="19">
        <f>IF($B640="","",COUNTA($B$9:$B640))</f>
        <v/>
      </c>
      <c r="B640" s="12" t="n"/>
      <c r="C640" s="13" t="n"/>
      <c r="D640" s="20">
        <f>IF($C640="","",IFERROR(IF(VLOOKUP($C640,AcctTblE,4,0)="","(بدون نام)",VLOOKUP($C640,AcctTblE,4,0)),"کد ناشناخته"))</f>
        <v/>
      </c>
      <c r="E640" s="15" t="n"/>
      <c r="F640" s="20">
        <f>IF($B640="","",IFERROR(INDEX(WageDates,MATCH($B640,WageIds,0)),"—"))</f>
        <v/>
      </c>
      <c r="G640" s="20">
        <f>IF($B640="","",IFERROR(VLOOKUP(INDEX(WageParty,MATCH($B640,WageIds,0)),WGTbl,2,0),"—"))</f>
        <v/>
      </c>
      <c r="H640" s="12" t="n"/>
    </row>
    <row r="641">
      <c r="A641" s="10">
        <f>IF($B641="","",COUNTA($B$9:$B641))</f>
        <v/>
      </c>
      <c r="B641" s="12" t="n"/>
      <c r="C641" s="13" t="n"/>
      <c r="D641" s="14">
        <f>IF($C641="","",IFERROR(IF(VLOOKUP($C641,AcctTblE,4,0)="","(بدون نام)",VLOOKUP($C641,AcctTblE,4,0)),"کد ناشناخته"))</f>
        <v/>
      </c>
      <c r="E641" s="15" t="n"/>
      <c r="F641" s="14">
        <f>IF($B641="","",IFERROR(INDEX(WageDates,MATCH($B641,WageIds,0)),"—"))</f>
        <v/>
      </c>
      <c r="G641" s="14">
        <f>IF($B641="","",IFERROR(VLOOKUP(INDEX(WageParty,MATCH($B641,WageIds,0)),WGTbl,2,0),"—"))</f>
        <v/>
      </c>
      <c r="H641" s="12" t="n"/>
    </row>
    <row r="642">
      <c r="A642" s="19">
        <f>IF($B642="","",COUNTA($B$9:$B642))</f>
        <v/>
      </c>
      <c r="B642" s="12" t="n"/>
      <c r="C642" s="13" t="n"/>
      <c r="D642" s="20">
        <f>IF($C642="","",IFERROR(IF(VLOOKUP($C642,AcctTblE,4,0)="","(بدون نام)",VLOOKUP($C642,AcctTblE,4,0)),"کد ناشناخته"))</f>
        <v/>
      </c>
      <c r="E642" s="15" t="n"/>
      <c r="F642" s="20">
        <f>IF($B642="","",IFERROR(INDEX(WageDates,MATCH($B642,WageIds,0)),"—"))</f>
        <v/>
      </c>
      <c r="G642" s="20">
        <f>IF($B642="","",IFERROR(VLOOKUP(INDEX(WageParty,MATCH($B642,WageIds,0)),WGTbl,2,0),"—"))</f>
        <v/>
      </c>
      <c r="H642" s="12" t="n"/>
    </row>
    <row r="643">
      <c r="A643" s="10">
        <f>IF($B643="","",COUNTA($B$9:$B643))</f>
        <v/>
      </c>
      <c r="B643" s="12" t="n"/>
      <c r="C643" s="13" t="n"/>
      <c r="D643" s="14">
        <f>IF($C643="","",IFERROR(IF(VLOOKUP($C643,AcctTblE,4,0)="","(بدون نام)",VLOOKUP($C643,AcctTblE,4,0)),"کد ناشناخته"))</f>
        <v/>
      </c>
      <c r="E643" s="15" t="n"/>
      <c r="F643" s="14">
        <f>IF($B643="","",IFERROR(INDEX(WageDates,MATCH($B643,WageIds,0)),"—"))</f>
        <v/>
      </c>
      <c r="G643" s="14">
        <f>IF($B643="","",IFERROR(VLOOKUP(INDEX(WageParty,MATCH($B643,WageIds,0)),WGTbl,2,0),"—"))</f>
        <v/>
      </c>
      <c r="H643" s="12" t="n"/>
    </row>
    <row r="644">
      <c r="A644" s="19">
        <f>IF($B644="","",COUNTA($B$9:$B644))</f>
        <v/>
      </c>
      <c r="B644" s="12" t="n"/>
      <c r="C644" s="13" t="n"/>
      <c r="D644" s="20">
        <f>IF($C644="","",IFERROR(IF(VLOOKUP($C644,AcctTblE,4,0)="","(بدون نام)",VLOOKUP($C644,AcctTblE,4,0)),"کد ناشناخته"))</f>
        <v/>
      </c>
      <c r="E644" s="15" t="n"/>
      <c r="F644" s="20">
        <f>IF($B644="","",IFERROR(INDEX(WageDates,MATCH($B644,WageIds,0)),"—"))</f>
        <v/>
      </c>
      <c r="G644" s="20">
        <f>IF($B644="","",IFERROR(VLOOKUP(INDEX(WageParty,MATCH($B644,WageIds,0)),WGTbl,2,0),"—"))</f>
        <v/>
      </c>
      <c r="H644" s="12" t="n"/>
    </row>
    <row r="645">
      <c r="A645" s="10">
        <f>IF($B645="","",COUNTA($B$9:$B645))</f>
        <v/>
      </c>
      <c r="B645" s="12" t="n"/>
      <c r="C645" s="13" t="n"/>
      <c r="D645" s="14">
        <f>IF($C645="","",IFERROR(IF(VLOOKUP($C645,AcctTblE,4,0)="","(بدون نام)",VLOOKUP($C645,AcctTblE,4,0)),"کد ناشناخته"))</f>
        <v/>
      </c>
      <c r="E645" s="15" t="n"/>
      <c r="F645" s="14">
        <f>IF($B645="","",IFERROR(INDEX(WageDates,MATCH($B645,WageIds,0)),"—"))</f>
        <v/>
      </c>
      <c r="G645" s="14">
        <f>IF($B645="","",IFERROR(VLOOKUP(INDEX(WageParty,MATCH($B645,WageIds,0)),WGTbl,2,0),"—"))</f>
        <v/>
      </c>
      <c r="H645" s="12" t="n"/>
    </row>
    <row r="646">
      <c r="A646" s="19">
        <f>IF($B646="","",COUNTA($B$9:$B646))</f>
        <v/>
      </c>
      <c r="B646" s="12" t="n"/>
      <c r="C646" s="13" t="n"/>
      <c r="D646" s="20">
        <f>IF($C646="","",IFERROR(IF(VLOOKUP($C646,AcctTblE,4,0)="","(بدون نام)",VLOOKUP($C646,AcctTblE,4,0)),"کد ناشناخته"))</f>
        <v/>
      </c>
      <c r="E646" s="15" t="n"/>
      <c r="F646" s="20">
        <f>IF($B646="","",IFERROR(INDEX(WageDates,MATCH($B646,WageIds,0)),"—"))</f>
        <v/>
      </c>
      <c r="G646" s="20">
        <f>IF($B646="","",IFERROR(VLOOKUP(INDEX(WageParty,MATCH($B646,WageIds,0)),WGTbl,2,0),"—"))</f>
        <v/>
      </c>
      <c r="H646" s="12" t="n"/>
    </row>
    <row r="647">
      <c r="A647" s="10">
        <f>IF($B647="","",COUNTA($B$9:$B647))</f>
        <v/>
      </c>
      <c r="B647" s="12" t="n"/>
      <c r="C647" s="13" t="n"/>
      <c r="D647" s="14">
        <f>IF($C647="","",IFERROR(IF(VLOOKUP($C647,AcctTblE,4,0)="","(بدون نام)",VLOOKUP($C647,AcctTblE,4,0)),"کد ناشناخته"))</f>
        <v/>
      </c>
      <c r="E647" s="15" t="n"/>
      <c r="F647" s="14">
        <f>IF($B647="","",IFERROR(INDEX(WageDates,MATCH($B647,WageIds,0)),"—"))</f>
        <v/>
      </c>
      <c r="G647" s="14">
        <f>IF($B647="","",IFERROR(VLOOKUP(INDEX(WageParty,MATCH($B647,WageIds,0)),WGTbl,2,0),"—"))</f>
        <v/>
      </c>
      <c r="H647" s="12" t="n"/>
    </row>
    <row r="648">
      <c r="A648" s="19">
        <f>IF($B648="","",COUNTA($B$9:$B648))</f>
        <v/>
      </c>
      <c r="B648" s="12" t="n"/>
      <c r="C648" s="13" t="n"/>
      <c r="D648" s="20">
        <f>IF($C648="","",IFERROR(IF(VLOOKUP($C648,AcctTblE,4,0)="","(بدون نام)",VLOOKUP($C648,AcctTblE,4,0)),"کد ناشناخته"))</f>
        <v/>
      </c>
      <c r="E648" s="15" t="n"/>
      <c r="F648" s="20">
        <f>IF($B648="","",IFERROR(INDEX(WageDates,MATCH($B648,WageIds,0)),"—"))</f>
        <v/>
      </c>
      <c r="G648" s="20">
        <f>IF($B648="","",IFERROR(VLOOKUP(INDEX(WageParty,MATCH($B648,WageIds,0)),WGTbl,2,0),"—"))</f>
        <v/>
      </c>
      <c r="H648" s="12" t="n"/>
    </row>
    <row r="649">
      <c r="A649" s="10">
        <f>IF($B649="","",COUNTA($B$9:$B649))</f>
        <v/>
      </c>
      <c r="B649" s="12" t="n"/>
      <c r="C649" s="13" t="n"/>
      <c r="D649" s="14">
        <f>IF($C649="","",IFERROR(IF(VLOOKUP($C649,AcctTblE,4,0)="","(بدون نام)",VLOOKUP($C649,AcctTblE,4,0)),"کد ناشناخته"))</f>
        <v/>
      </c>
      <c r="E649" s="15" t="n"/>
      <c r="F649" s="14">
        <f>IF($B649="","",IFERROR(INDEX(WageDates,MATCH($B649,WageIds,0)),"—"))</f>
        <v/>
      </c>
      <c r="G649" s="14">
        <f>IF($B649="","",IFERROR(VLOOKUP(INDEX(WageParty,MATCH($B649,WageIds,0)),WGTbl,2,0),"—"))</f>
        <v/>
      </c>
      <c r="H649" s="12" t="n"/>
    </row>
    <row r="650">
      <c r="A650" s="19">
        <f>IF($B650="","",COUNTA($B$9:$B650))</f>
        <v/>
      </c>
      <c r="B650" s="12" t="n"/>
      <c r="C650" s="13" t="n"/>
      <c r="D650" s="20">
        <f>IF($C650="","",IFERROR(IF(VLOOKUP($C650,AcctTblE,4,0)="","(بدون نام)",VLOOKUP($C650,AcctTblE,4,0)),"کد ناشناخته"))</f>
        <v/>
      </c>
      <c r="E650" s="15" t="n"/>
      <c r="F650" s="20">
        <f>IF($B650="","",IFERROR(INDEX(WageDates,MATCH($B650,WageIds,0)),"—"))</f>
        <v/>
      </c>
      <c r="G650" s="20">
        <f>IF($B650="","",IFERROR(VLOOKUP(INDEX(WageParty,MATCH($B650,WageIds,0)),WGTbl,2,0),"—"))</f>
        <v/>
      </c>
      <c r="H650" s="12" t="n"/>
    </row>
    <row r="651">
      <c r="A651" s="10">
        <f>IF($B651="","",COUNTA($B$9:$B651))</f>
        <v/>
      </c>
      <c r="B651" s="12" t="n"/>
      <c r="C651" s="13" t="n"/>
      <c r="D651" s="14">
        <f>IF($C651="","",IFERROR(IF(VLOOKUP($C651,AcctTblE,4,0)="","(بدون نام)",VLOOKUP($C651,AcctTblE,4,0)),"کد ناشناخته"))</f>
        <v/>
      </c>
      <c r="E651" s="15" t="n"/>
      <c r="F651" s="14">
        <f>IF($B651="","",IFERROR(INDEX(WageDates,MATCH($B651,WageIds,0)),"—"))</f>
        <v/>
      </c>
      <c r="G651" s="14">
        <f>IF($B651="","",IFERROR(VLOOKUP(INDEX(WageParty,MATCH($B651,WageIds,0)),WGTbl,2,0),"—"))</f>
        <v/>
      </c>
      <c r="H651" s="12" t="n"/>
    </row>
    <row r="652">
      <c r="A652" s="19">
        <f>IF($B652="","",COUNTA($B$9:$B652))</f>
        <v/>
      </c>
      <c r="B652" s="12" t="n"/>
      <c r="C652" s="13" t="n"/>
      <c r="D652" s="20">
        <f>IF($C652="","",IFERROR(IF(VLOOKUP($C652,AcctTblE,4,0)="","(بدون نام)",VLOOKUP($C652,AcctTblE,4,0)),"کد ناشناخته"))</f>
        <v/>
      </c>
      <c r="E652" s="15" t="n"/>
      <c r="F652" s="20">
        <f>IF($B652="","",IFERROR(INDEX(WageDates,MATCH($B652,WageIds,0)),"—"))</f>
        <v/>
      </c>
      <c r="G652" s="20">
        <f>IF($B652="","",IFERROR(VLOOKUP(INDEX(WageParty,MATCH($B652,WageIds,0)),WGTbl,2,0),"—"))</f>
        <v/>
      </c>
      <c r="H652" s="12" t="n"/>
    </row>
    <row r="653">
      <c r="A653" s="10">
        <f>IF($B653="","",COUNTA($B$9:$B653))</f>
        <v/>
      </c>
      <c r="B653" s="12" t="n"/>
      <c r="C653" s="13" t="n"/>
      <c r="D653" s="14">
        <f>IF($C653="","",IFERROR(IF(VLOOKUP($C653,AcctTblE,4,0)="","(بدون نام)",VLOOKUP($C653,AcctTblE,4,0)),"کد ناشناخته"))</f>
        <v/>
      </c>
      <c r="E653" s="15" t="n"/>
      <c r="F653" s="14">
        <f>IF($B653="","",IFERROR(INDEX(WageDates,MATCH($B653,WageIds,0)),"—"))</f>
        <v/>
      </c>
      <c r="G653" s="14">
        <f>IF($B653="","",IFERROR(VLOOKUP(INDEX(WageParty,MATCH($B653,WageIds,0)),WGTbl,2,0),"—"))</f>
        <v/>
      </c>
      <c r="H653" s="12" t="n"/>
    </row>
    <row r="654">
      <c r="A654" s="19">
        <f>IF($B654="","",COUNTA($B$9:$B654))</f>
        <v/>
      </c>
      <c r="B654" s="12" t="n"/>
      <c r="C654" s="13" t="n"/>
      <c r="D654" s="20">
        <f>IF($C654="","",IFERROR(IF(VLOOKUP($C654,AcctTblE,4,0)="","(بدون نام)",VLOOKUP($C654,AcctTblE,4,0)),"کد ناشناخته"))</f>
        <v/>
      </c>
      <c r="E654" s="15" t="n"/>
      <c r="F654" s="20">
        <f>IF($B654="","",IFERROR(INDEX(WageDates,MATCH($B654,WageIds,0)),"—"))</f>
        <v/>
      </c>
      <c r="G654" s="20">
        <f>IF($B654="","",IFERROR(VLOOKUP(INDEX(WageParty,MATCH($B654,WageIds,0)),WGTbl,2,0),"—"))</f>
        <v/>
      </c>
      <c r="H654" s="12" t="n"/>
    </row>
    <row r="655">
      <c r="A655" s="10">
        <f>IF($B655="","",COUNTA($B$9:$B655))</f>
        <v/>
      </c>
      <c r="B655" s="12" t="n"/>
      <c r="C655" s="13" t="n"/>
      <c r="D655" s="14">
        <f>IF($C655="","",IFERROR(IF(VLOOKUP($C655,AcctTblE,4,0)="","(بدون نام)",VLOOKUP($C655,AcctTblE,4,0)),"کد ناشناخته"))</f>
        <v/>
      </c>
      <c r="E655" s="15" t="n"/>
      <c r="F655" s="14">
        <f>IF($B655="","",IFERROR(INDEX(WageDates,MATCH($B655,WageIds,0)),"—"))</f>
        <v/>
      </c>
      <c r="G655" s="14">
        <f>IF($B655="","",IFERROR(VLOOKUP(INDEX(WageParty,MATCH($B655,WageIds,0)),WGTbl,2,0),"—"))</f>
        <v/>
      </c>
      <c r="H655" s="12" t="n"/>
    </row>
    <row r="656">
      <c r="A656" s="19">
        <f>IF($B656="","",COUNTA($B$9:$B656))</f>
        <v/>
      </c>
      <c r="B656" s="12" t="n"/>
      <c r="C656" s="13" t="n"/>
      <c r="D656" s="20">
        <f>IF($C656="","",IFERROR(IF(VLOOKUP($C656,AcctTblE,4,0)="","(بدون نام)",VLOOKUP($C656,AcctTblE,4,0)),"کد ناشناخته"))</f>
        <v/>
      </c>
      <c r="E656" s="15" t="n"/>
      <c r="F656" s="20">
        <f>IF($B656="","",IFERROR(INDEX(WageDates,MATCH($B656,WageIds,0)),"—"))</f>
        <v/>
      </c>
      <c r="G656" s="20">
        <f>IF($B656="","",IFERROR(VLOOKUP(INDEX(WageParty,MATCH($B656,WageIds,0)),WGTbl,2,0),"—"))</f>
        <v/>
      </c>
      <c r="H656" s="12" t="n"/>
    </row>
    <row r="657">
      <c r="A657" s="10">
        <f>IF($B657="","",COUNTA($B$9:$B657))</f>
        <v/>
      </c>
      <c r="B657" s="12" t="n"/>
      <c r="C657" s="13" t="n"/>
      <c r="D657" s="14">
        <f>IF($C657="","",IFERROR(IF(VLOOKUP($C657,AcctTblE,4,0)="","(بدون نام)",VLOOKUP($C657,AcctTblE,4,0)),"کد ناشناخته"))</f>
        <v/>
      </c>
      <c r="E657" s="15" t="n"/>
      <c r="F657" s="14">
        <f>IF($B657="","",IFERROR(INDEX(WageDates,MATCH($B657,WageIds,0)),"—"))</f>
        <v/>
      </c>
      <c r="G657" s="14">
        <f>IF($B657="","",IFERROR(VLOOKUP(INDEX(WageParty,MATCH($B657,WageIds,0)),WGTbl,2,0),"—"))</f>
        <v/>
      </c>
      <c r="H657" s="12" t="n"/>
    </row>
    <row r="658">
      <c r="A658" s="19">
        <f>IF($B658="","",COUNTA($B$9:$B658))</f>
        <v/>
      </c>
      <c r="B658" s="12" t="n"/>
      <c r="C658" s="13" t="n"/>
      <c r="D658" s="20">
        <f>IF($C658="","",IFERROR(IF(VLOOKUP($C658,AcctTblE,4,0)="","(بدون نام)",VLOOKUP($C658,AcctTblE,4,0)),"کد ناشناخته"))</f>
        <v/>
      </c>
      <c r="E658" s="15" t="n"/>
      <c r="F658" s="20">
        <f>IF($B658="","",IFERROR(INDEX(WageDates,MATCH($B658,WageIds,0)),"—"))</f>
        <v/>
      </c>
      <c r="G658" s="20">
        <f>IF($B658="","",IFERROR(VLOOKUP(INDEX(WageParty,MATCH($B658,WageIds,0)),WGTbl,2,0),"—"))</f>
        <v/>
      </c>
      <c r="H658" s="12" t="n"/>
    </row>
    <row r="659">
      <c r="A659" s="10">
        <f>IF($B659="","",COUNTA($B$9:$B659))</f>
        <v/>
      </c>
      <c r="B659" s="12" t="n"/>
      <c r="C659" s="13" t="n"/>
      <c r="D659" s="14">
        <f>IF($C659="","",IFERROR(IF(VLOOKUP($C659,AcctTblE,4,0)="","(بدون نام)",VLOOKUP($C659,AcctTblE,4,0)),"کد ناشناخته"))</f>
        <v/>
      </c>
      <c r="E659" s="15" t="n"/>
      <c r="F659" s="14">
        <f>IF($B659="","",IFERROR(INDEX(WageDates,MATCH($B659,WageIds,0)),"—"))</f>
        <v/>
      </c>
      <c r="G659" s="14">
        <f>IF($B659="","",IFERROR(VLOOKUP(INDEX(WageParty,MATCH($B659,WageIds,0)),WGTbl,2,0),"—"))</f>
        <v/>
      </c>
      <c r="H659" s="12" t="n"/>
    </row>
    <row r="660">
      <c r="A660" s="19">
        <f>IF($B660="","",COUNTA($B$9:$B660))</f>
        <v/>
      </c>
      <c r="B660" s="12" t="n"/>
      <c r="C660" s="13" t="n"/>
      <c r="D660" s="20">
        <f>IF($C660="","",IFERROR(IF(VLOOKUP($C660,AcctTblE,4,0)="","(بدون نام)",VLOOKUP($C660,AcctTblE,4,0)),"کد ناشناخته"))</f>
        <v/>
      </c>
      <c r="E660" s="15" t="n"/>
      <c r="F660" s="20">
        <f>IF($B660="","",IFERROR(INDEX(WageDates,MATCH($B660,WageIds,0)),"—"))</f>
        <v/>
      </c>
      <c r="G660" s="20">
        <f>IF($B660="","",IFERROR(VLOOKUP(INDEX(WageParty,MATCH($B660,WageIds,0)),WGTbl,2,0),"—"))</f>
        <v/>
      </c>
      <c r="H660" s="12" t="n"/>
    </row>
    <row r="661">
      <c r="A661" s="10">
        <f>IF($B661="","",COUNTA($B$9:$B661))</f>
        <v/>
      </c>
      <c r="B661" s="12" t="n"/>
      <c r="C661" s="13" t="n"/>
      <c r="D661" s="14">
        <f>IF($C661="","",IFERROR(IF(VLOOKUP($C661,AcctTblE,4,0)="","(بدون نام)",VLOOKUP($C661,AcctTblE,4,0)),"کد ناشناخته"))</f>
        <v/>
      </c>
      <c r="E661" s="15" t="n"/>
      <c r="F661" s="14">
        <f>IF($B661="","",IFERROR(INDEX(WageDates,MATCH($B661,WageIds,0)),"—"))</f>
        <v/>
      </c>
      <c r="G661" s="14">
        <f>IF($B661="","",IFERROR(VLOOKUP(INDEX(WageParty,MATCH($B661,WageIds,0)),WGTbl,2,0),"—"))</f>
        <v/>
      </c>
      <c r="H661" s="12" t="n"/>
    </row>
    <row r="662">
      <c r="A662" s="19">
        <f>IF($B662="","",COUNTA($B$9:$B662))</f>
        <v/>
      </c>
      <c r="B662" s="12" t="n"/>
      <c r="C662" s="13" t="n"/>
      <c r="D662" s="20">
        <f>IF($C662="","",IFERROR(IF(VLOOKUP($C662,AcctTblE,4,0)="","(بدون نام)",VLOOKUP($C662,AcctTblE,4,0)),"کد ناشناخته"))</f>
        <v/>
      </c>
      <c r="E662" s="15" t="n"/>
      <c r="F662" s="20">
        <f>IF($B662="","",IFERROR(INDEX(WageDates,MATCH($B662,WageIds,0)),"—"))</f>
        <v/>
      </c>
      <c r="G662" s="20">
        <f>IF($B662="","",IFERROR(VLOOKUP(INDEX(WageParty,MATCH($B662,WageIds,0)),WGTbl,2,0),"—"))</f>
        <v/>
      </c>
      <c r="H662" s="12" t="n"/>
    </row>
    <row r="663">
      <c r="A663" s="10">
        <f>IF($B663="","",COUNTA($B$9:$B663))</f>
        <v/>
      </c>
      <c r="B663" s="12" t="n"/>
      <c r="C663" s="13" t="n"/>
      <c r="D663" s="14">
        <f>IF($C663="","",IFERROR(IF(VLOOKUP($C663,AcctTblE,4,0)="","(بدون نام)",VLOOKUP($C663,AcctTblE,4,0)),"کد ناشناخته"))</f>
        <v/>
      </c>
      <c r="E663" s="15" t="n"/>
      <c r="F663" s="14">
        <f>IF($B663="","",IFERROR(INDEX(WageDates,MATCH($B663,WageIds,0)),"—"))</f>
        <v/>
      </c>
      <c r="G663" s="14">
        <f>IF($B663="","",IFERROR(VLOOKUP(INDEX(WageParty,MATCH($B663,WageIds,0)),WGTbl,2,0),"—"))</f>
        <v/>
      </c>
      <c r="H663" s="12" t="n"/>
    </row>
    <row r="664">
      <c r="A664" s="19">
        <f>IF($B664="","",COUNTA($B$9:$B664))</f>
        <v/>
      </c>
      <c r="B664" s="12" t="n"/>
      <c r="C664" s="13" t="n"/>
      <c r="D664" s="20">
        <f>IF($C664="","",IFERROR(IF(VLOOKUP($C664,AcctTblE,4,0)="","(بدون نام)",VLOOKUP($C664,AcctTblE,4,0)),"کد ناشناخته"))</f>
        <v/>
      </c>
      <c r="E664" s="15" t="n"/>
      <c r="F664" s="20">
        <f>IF($B664="","",IFERROR(INDEX(WageDates,MATCH($B664,WageIds,0)),"—"))</f>
        <v/>
      </c>
      <c r="G664" s="20">
        <f>IF($B664="","",IFERROR(VLOOKUP(INDEX(WageParty,MATCH($B664,WageIds,0)),WGTbl,2,0),"—"))</f>
        <v/>
      </c>
      <c r="H664" s="12" t="n"/>
    </row>
    <row r="665">
      <c r="A665" s="10">
        <f>IF($B665="","",COUNTA($B$9:$B665))</f>
        <v/>
      </c>
      <c r="B665" s="12" t="n"/>
      <c r="C665" s="13" t="n"/>
      <c r="D665" s="14">
        <f>IF($C665="","",IFERROR(IF(VLOOKUP($C665,AcctTblE,4,0)="","(بدون نام)",VLOOKUP($C665,AcctTblE,4,0)),"کد ناشناخته"))</f>
        <v/>
      </c>
      <c r="E665" s="15" t="n"/>
      <c r="F665" s="14">
        <f>IF($B665="","",IFERROR(INDEX(WageDates,MATCH($B665,WageIds,0)),"—"))</f>
        <v/>
      </c>
      <c r="G665" s="14">
        <f>IF($B665="","",IFERROR(VLOOKUP(INDEX(WageParty,MATCH($B665,WageIds,0)),WGTbl,2,0),"—"))</f>
        <v/>
      </c>
      <c r="H665" s="12" t="n"/>
    </row>
    <row r="666">
      <c r="A666" s="19">
        <f>IF($B666="","",COUNTA($B$9:$B666))</f>
        <v/>
      </c>
      <c r="B666" s="12" t="n"/>
      <c r="C666" s="13" t="n"/>
      <c r="D666" s="20">
        <f>IF($C666="","",IFERROR(IF(VLOOKUP($C666,AcctTblE,4,0)="","(بدون نام)",VLOOKUP($C666,AcctTblE,4,0)),"کد ناشناخته"))</f>
        <v/>
      </c>
      <c r="E666" s="15" t="n"/>
      <c r="F666" s="20">
        <f>IF($B666="","",IFERROR(INDEX(WageDates,MATCH($B666,WageIds,0)),"—"))</f>
        <v/>
      </c>
      <c r="G666" s="20">
        <f>IF($B666="","",IFERROR(VLOOKUP(INDEX(WageParty,MATCH($B666,WageIds,0)),WGTbl,2,0),"—"))</f>
        <v/>
      </c>
      <c r="H666" s="12" t="n"/>
    </row>
    <row r="667">
      <c r="A667" s="10">
        <f>IF($B667="","",COUNTA($B$9:$B667))</f>
        <v/>
      </c>
      <c r="B667" s="12" t="n"/>
      <c r="C667" s="13" t="n"/>
      <c r="D667" s="14">
        <f>IF($C667="","",IFERROR(IF(VLOOKUP($C667,AcctTblE,4,0)="","(بدون نام)",VLOOKUP($C667,AcctTblE,4,0)),"کد ناشناخته"))</f>
        <v/>
      </c>
      <c r="E667" s="15" t="n"/>
      <c r="F667" s="14">
        <f>IF($B667="","",IFERROR(INDEX(WageDates,MATCH($B667,WageIds,0)),"—"))</f>
        <v/>
      </c>
      <c r="G667" s="14">
        <f>IF($B667="","",IFERROR(VLOOKUP(INDEX(WageParty,MATCH($B667,WageIds,0)),WGTbl,2,0),"—"))</f>
        <v/>
      </c>
      <c r="H667" s="12" t="n"/>
    </row>
    <row r="668">
      <c r="A668" s="19">
        <f>IF($B668="","",COUNTA($B$9:$B668))</f>
        <v/>
      </c>
      <c r="B668" s="12" t="n"/>
      <c r="C668" s="13" t="n"/>
      <c r="D668" s="20">
        <f>IF($C668="","",IFERROR(IF(VLOOKUP($C668,AcctTblE,4,0)="","(بدون نام)",VLOOKUP($C668,AcctTblE,4,0)),"کد ناشناخته"))</f>
        <v/>
      </c>
      <c r="E668" s="15" t="n"/>
      <c r="F668" s="20">
        <f>IF($B668="","",IFERROR(INDEX(WageDates,MATCH($B668,WageIds,0)),"—"))</f>
        <v/>
      </c>
      <c r="G668" s="20">
        <f>IF($B668="","",IFERROR(VLOOKUP(INDEX(WageParty,MATCH($B668,WageIds,0)),WGTbl,2,0),"—"))</f>
        <v/>
      </c>
      <c r="H668" s="12" t="n"/>
    </row>
    <row r="669">
      <c r="A669" s="10">
        <f>IF($B669="","",COUNTA($B$9:$B669))</f>
        <v/>
      </c>
      <c r="B669" s="12" t="n"/>
      <c r="C669" s="13" t="n"/>
      <c r="D669" s="14">
        <f>IF($C669="","",IFERROR(IF(VLOOKUP($C669,AcctTblE,4,0)="","(بدون نام)",VLOOKUP($C669,AcctTblE,4,0)),"کد ناشناخته"))</f>
        <v/>
      </c>
      <c r="E669" s="15" t="n"/>
      <c r="F669" s="14">
        <f>IF($B669="","",IFERROR(INDEX(WageDates,MATCH($B669,WageIds,0)),"—"))</f>
        <v/>
      </c>
      <c r="G669" s="14">
        <f>IF($B669="","",IFERROR(VLOOKUP(INDEX(WageParty,MATCH($B669,WageIds,0)),WGTbl,2,0),"—"))</f>
        <v/>
      </c>
      <c r="H669" s="12" t="n"/>
    </row>
    <row r="670">
      <c r="A670" s="19">
        <f>IF($B670="","",COUNTA($B$9:$B670))</f>
        <v/>
      </c>
      <c r="B670" s="12" t="n"/>
      <c r="C670" s="13" t="n"/>
      <c r="D670" s="20">
        <f>IF($C670="","",IFERROR(IF(VLOOKUP($C670,AcctTblE,4,0)="","(بدون نام)",VLOOKUP($C670,AcctTblE,4,0)),"کد ناشناخته"))</f>
        <v/>
      </c>
      <c r="E670" s="15" t="n"/>
      <c r="F670" s="20">
        <f>IF($B670="","",IFERROR(INDEX(WageDates,MATCH($B670,WageIds,0)),"—"))</f>
        <v/>
      </c>
      <c r="G670" s="20">
        <f>IF($B670="","",IFERROR(VLOOKUP(INDEX(WageParty,MATCH($B670,WageIds,0)),WGTbl,2,0),"—"))</f>
        <v/>
      </c>
      <c r="H670" s="12" t="n"/>
    </row>
    <row r="671">
      <c r="A671" s="10">
        <f>IF($B671="","",COUNTA($B$9:$B671))</f>
        <v/>
      </c>
      <c r="B671" s="12" t="n"/>
      <c r="C671" s="13" t="n"/>
      <c r="D671" s="14">
        <f>IF($C671="","",IFERROR(IF(VLOOKUP($C671,AcctTblE,4,0)="","(بدون نام)",VLOOKUP($C671,AcctTblE,4,0)),"کد ناشناخته"))</f>
        <v/>
      </c>
      <c r="E671" s="15" t="n"/>
      <c r="F671" s="14">
        <f>IF($B671="","",IFERROR(INDEX(WageDates,MATCH($B671,WageIds,0)),"—"))</f>
        <v/>
      </c>
      <c r="G671" s="14">
        <f>IF($B671="","",IFERROR(VLOOKUP(INDEX(WageParty,MATCH($B671,WageIds,0)),WGTbl,2,0),"—"))</f>
        <v/>
      </c>
      <c r="H671" s="12" t="n"/>
    </row>
    <row r="672">
      <c r="A672" s="19">
        <f>IF($B672="","",COUNTA($B$9:$B672))</f>
        <v/>
      </c>
      <c r="B672" s="12" t="n"/>
      <c r="C672" s="13" t="n"/>
      <c r="D672" s="20">
        <f>IF($C672="","",IFERROR(IF(VLOOKUP($C672,AcctTblE,4,0)="","(بدون نام)",VLOOKUP($C672,AcctTblE,4,0)),"کد ناشناخته"))</f>
        <v/>
      </c>
      <c r="E672" s="15" t="n"/>
      <c r="F672" s="20">
        <f>IF($B672="","",IFERROR(INDEX(WageDates,MATCH($B672,WageIds,0)),"—"))</f>
        <v/>
      </c>
      <c r="G672" s="20">
        <f>IF($B672="","",IFERROR(VLOOKUP(INDEX(WageParty,MATCH($B672,WageIds,0)),WGTbl,2,0),"—"))</f>
        <v/>
      </c>
      <c r="H672" s="12" t="n"/>
    </row>
    <row r="673">
      <c r="A673" s="10">
        <f>IF($B673="","",COUNTA($B$9:$B673))</f>
        <v/>
      </c>
      <c r="B673" s="12" t="n"/>
      <c r="C673" s="13" t="n"/>
      <c r="D673" s="14">
        <f>IF($C673="","",IFERROR(IF(VLOOKUP($C673,AcctTblE,4,0)="","(بدون نام)",VLOOKUP($C673,AcctTblE,4,0)),"کد ناشناخته"))</f>
        <v/>
      </c>
      <c r="E673" s="15" t="n"/>
      <c r="F673" s="14">
        <f>IF($B673="","",IFERROR(INDEX(WageDates,MATCH($B673,WageIds,0)),"—"))</f>
        <v/>
      </c>
      <c r="G673" s="14">
        <f>IF($B673="","",IFERROR(VLOOKUP(INDEX(WageParty,MATCH($B673,WageIds,0)),WGTbl,2,0),"—"))</f>
        <v/>
      </c>
      <c r="H673" s="12" t="n"/>
    </row>
    <row r="674">
      <c r="A674" s="19">
        <f>IF($B674="","",COUNTA($B$9:$B674))</f>
        <v/>
      </c>
      <c r="B674" s="12" t="n"/>
      <c r="C674" s="13" t="n"/>
      <c r="D674" s="20">
        <f>IF($C674="","",IFERROR(IF(VLOOKUP($C674,AcctTblE,4,0)="","(بدون نام)",VLOOKUP($C674,AcctTblE,4,0)),"کد ناشناخته"))</f>
        <v/>
      </c>
      <c r="E674" s="15" t="n"/>
      <c r="F674" s="20">
        <f>IF($B674="","",IFERROR(INDEX(WageDates,MATCH($B674,WageIds,0)),"—"))</f>
        <v/>
      </c>
      <c r="G674" s="20">
        <f>IF($B674="","",IFERROR(VLOOKUP(INDEX(WageParty,MATCH($B674,WageIds,0)),WGTbl,2,0),"—"))</f>
        <v/>
      </c>
      <c r="H674" s="12" t="n"/>
    </row>
    <row r="675">
      <c r="A675" s="10">
        <f>IF($B675="","",COUNTA($B$9:$B675))</f>
        <v/>
      </c>
      <c r="B675" s="12" t="n"/>
      <c r="C675" s="13" t="n"/>
      <c r="D675" s="14">
        <f>IF($C675="","",IFERROR(IF(VLOOKUP($C675,AcctTblE,4,0)="","(بدون نام)",VLOOKUP($C675,AcctTblE,4,0)),"کد ناشناخته"))</f>
        <v/>
      </c>
      <c r="E675" s="15" t="n"/>
      <c r="F675" s="14">
        <f>IF($B675="","",IFERROR(INDEX(WageDates,MATCH($B675,WageIds,0)),"—"))</f>
        <v/>
      </c>
      <c r="G675" s="14">
        <f>IF($B675="","",IFERROR(VLOOKUP(INDEX(WageParty,MATCH($B675,WageIds,0)),WGTbl,2,0),"—"))</f>
        <v/>
      </c>
      <c r="H675" s="12" t="n"/>
    </row>
    <row r="676">
      <c r="A676" s="19">
        <f>IF($B676="","",COUNTA($B$9:$B676))</f>
        <v/>
      </c>
      <c r="B676" s="12" t="n"/>
      <c r="C676" s="13" t="n"/>
      <c r="D676" s="20">
        <f>IF($C676="","",IFERROR(IF(VLOOKUP($C676,AcctTblE,4,0)="","(بدون نام)",VLOOKUP($C676,AcctTblE,4,0)),"کد ناشناخته"))</f>
        <v/>
      </c>
      <c r="E676" s="15" t="n"/>
      <c r="F676" s="20">
        <f>IF($B676="","",IFERROR(INDEX(WageDates,MATCH($B676,WageIds,0)),"—"))</f>
        <v/>
      </c>
      <c r="G676" s="20">
        <f>IF($B676="","",IFERROR(VLOOKUP(INDEX(WageParty,MATCH($B676,WageIds,0)),WGTbl,2,0),"—"))</f>
        <v/>
      </c>
      <c r="H676" s="12" t="n"/>
    </row>
    <row r="677">
      <c r="A677" s="10">
        <f>IF($B677="","",COUNTA($B$9:$B677))</f>
        <v/>
      </c>
      <c r="B677" s="12" t="n"/>
      <c r="C677" s="13" t="n"/>
      <c r="D677" s="14">
        <f>IF($C677="","",IFERROR(IF(VLOOKUP($C677,AcctTblE,4,0)="","(بدون نام)",VLOOKUP($C677,AcctTblE,4,0)),"کد ناشناخته"))</f>
        <v/>
      </c>
      <c r="E677" s="15" t="n"/>
      <c r="F677" s="14">
        <f>IF($B677="","",IFERROR(INDEX(WageDates,MATCH($B677,WageIds,0)),"—"))</f>
        <v/>
      </c>
      <c r="G677" s="14">
        <f>IF($B677="","",IFERROR(VLOOKUP(INDEX(WageParty,MATCH($B677,WageIds,0)),WGTbl,2,0),"—"))</f>
        <v/>
      </c>
      <c r="H677" s="12" t="n"/>
    </row>
    <row r="678">
      <c r="A678" s="19">
        <f>IF($B678="","",COUNTA($B$9:$B678))</f>
        <v/>
      </c>
      <c r="B678" s="12" t="n"/>
      <c r="C678" s="13" t="n"/>
      <c r="D678" s="20">
        <f>IF($C678="","",IFERROR(IF(VLOOKUP($C678,AcctTblE,4,0)="","(بدون نام)",VLOOKUP($C678,AcctTblE,4,0)),"کد ناشناخته"))</f>
        <v/>
      </c>
      <c r="E678" s="15" t="n"/>
      <c r="F678" s="20">
        <f>IF($B678="","",IFERROR(INDEX(WageDates,MATCH($B678,WageIds,0)),"—"))</f>
        <v/>
      </c>
      <c r="G678" s="20">
        <f>IF($B678="","",IFERROR(VLOOKUP(INDEX(WageParty,MATCH($B678,WageIds,0)),WGTbl,2,0),"—"))</f>
        <v/>
      </c>
      <c r="H678" s="12" t="n"/>
    </row>
    <row r="679">
      <c r="A679" s="10">
        <f>IF($B679="","",COUNTA($B$9:$B679))</f>
        <v/>
      </c>
      <c r="B679" s="12" t="n"/>
      <c r="C679" s="13" t="n"/>
      <c r="D679" s="14">
        <f>IF($C679="","",IFERROR(IF(VLOOKUP($C679,AcctTblE,4,0)="","(بدون نام)",VLOOKUP($C679,AcctTblE,4,0)),"کد ناشناخته"))</f>
        <v/>
      </c>
      <c r="E679" s="15" t="n"/>
      <c r="F679" s="14">
        <f>IF($B679="","",IFERROR(INDEX(WageDates,MATCH($B679,WageIds,0)),"—"))</f>
        <v/>
      </c>
      <c r="G679" s="14">
        <f>IF($B679="","",IFERROR(VLOOKUP(INDEX(WageParty,MATCH($B679,WageIds,0)),WGTbl,2,0),"—"))</f>
        <v/>
      </c>
      <c r="H679" s="12" t="n"/>
    </row>
    <row r="680">
      <c r="A680" s="19">
        <f>IF($B680="","",COUNTA($B$9:$B680))</f>
        <v/>
      </c>
      <c r="B680" s="12" t="n"/>
      <c r="C680" s="13" t="n"/>
      <c r="D680" s="20">
        <f>IF($C680="","",IFERROR(IF(VLOOKUP($C680,AcctTblE,4,0)="","(بدون نام)",VLOOKUP($C680,AcctTblE,4,0)),"کد ناشناخته"))</f>
        <v/>
      </c>
      <c r="E680" s="15" t="n"/>
      <c r="F680" s="20">
        <f>IF($B680="","",IFERROR(INDEX(WageDates,MATCH($B680,WageIds,0)),"—"))</f>
        <v/>
      </c>
      <c r="G680" s="20">
        <f>IF($B680="","",IFERROR(VLOOKUP(INDEX(WageParty,MATCH($B680,WageIds,0)),WGTbl,2,0),"—"))</f>
        <v/>
      </c>
      <c r="H680" s="12" t="n"/>
    </row>
    <row r="681">
      <c r="A681" s="10">
        <f>IF($B681="","",COUNTA($B$9:$B681))</f>
        <v/>
      </c>
      <c r="B681" s="12" t="n"/>
      <c r="C681" s="13" t="n"/>
      <c r="D681" s="14">
        <f>IF($C681="","",IFERROR(IF(VLOOKUP($C681,AcctTblE,4,0)="","(بدون نام)",VLOOKUP($C681,AcctTblE,4,0)),"کد ناشناخته"))</f>
        <v/>
      </c>
      <c r="E681" s="15" t="n"/>
      <c r="F681" s="14">
        <f>IF($B681="","",IFERROR(INDEX(WageDates,MATCH($B681,WageIds,0)),"—"))</f>
        <v/>
      </c>
      <c r="G681" s="14">
        <f>IF($B681="","",IFERROR(VLOOKUP(INDEX(WageParty,MATCH($B681,WageIds,0)),WGTbl,2,0),"—"))</f>
        <v/>
      </c>
      <c r="H681" s="12" t="n"/>
    </row>
    <row r="682">
      <c r="A682" s="19">
        <f>IF($B682="","",COUNTA($B$9:$B682))</f>
        <v/>
      </c>
      <c r="B682" s="12" t="n"/>
      <c r="C682" s="13" t="n"/>
      <c r="D682" s="20">
        <f>IF($C682="","",IFERROR(IF(VLOOKUP($C682,AcctTblE,4,0)="","(بدون نام)",VLOOKUP($C682,AcctTblE,4,0)),"کد ناشناخته"))</f>
        <v/>
      </c>
      <c r="E682" s="15" t="n"/>
      <c r="F682" s="20">
        <f>IF($B682="","",IFERROR(INDEX(WageDates,MATCH($B682,WageIds,0)),"—"))</f>
        <v/>
      </c>
      <c r="G682" s="20">
        <f>IF($B682="","",IFERROR(VLOOKUP(INDEX(WageParty,MATCH($B682,WageIds,0)),WGTbl,2,0),"—"))</f>
        <v/>
      </c>
      <c r="H682" s="12" t="n"/>
    </row>
    <row r="683">
      <c r="A683" s="10">
        <f>IF($B683="","",COUNTA($B$9:$B683))</f>
        <v/>
      </c>
      <c r="B683" s="12" t="n"/>
      <c r="C683" s="13" t="n"/>
      <c r="D683" s="14">
        <f>IF($C683="","",IFERROR(IF(VLOOKUP($C683,AcctTblE,4,0)="","(بدون نام)",VLOOKUP($C683,AcctTblE,4,0)),"کد ناشناخته"))</f>
        <v/>
      </c>
      <c r="E683" s="15" t="n"/>
      <c r="F683" s="14">
        <f>IF($B683="","",IFERROR(INDEX(WageDates,MATCH($B683,WageIds,0)),"—"))</f>
        <v/>
      </c>
      <c r="G683" s="14">
        <f>IF($B683="","",IFERROR(VLOOKUP(INDEX(WageParty,MATCH($B683,WageIds,0)),WGTbl,2,0),"—"))</f>
        <v/>
      </c>
      <c r="H683" s="12" t="n"/>
    </row>
    <row r="684">
      <c r="A684" s="19">
        <f>IF($B684="","",COUNTA($B$9:$B684))</f>
        <v/>
      </c>
      <c r="B684" s="12" t="n"/>
      <c r="C684" s="13" t="n"/>
      <c r="D684" s="20">
        <f>IF($C684="","",IFERROR(IF(VLOOKUP($C684,AcctTblE,4,0)="","(بدون نام)",VLOOKUP($C684,AcctTblE,4,0)),"کد ناشناخته"))</f>
        <v/>
      </c>
      <c r="E684" s="15" t="n"/>
      <c r="F684" s="20">
        <f>IF($B684="","",IFERROR(INDEX(WageDates,MATCH($B684,WageIds,0)),"—"))</f>
        <v/>
      </c>
      <c r="G684" s="20">
        <f>IF($B684="","",IFERROR(VLOOKUP(INDEX(WageParty,MATCH($B684,WageIds,0)),WGTbl,2,0),"—"))</f>
        <v/>
      </c>
      <c r="H684" s="12" t="n"/>
    </row>
    <row r="685">
      <c r="A685" s="10">
        <f>IF($B685="","",COUNTA($B$9:$B685))</f>
        <v/>
      </c>
      <c r="B685" s="12" t="n"/>
      <c r="C685" s="13" t="n"/>
      <c r="D685" s="14">
        <f>IF($C685="","",IFERROR(IF(VLOOKUP($C685,AcctTblE,4,0)="","(بدون نام)",VLOOKUP($C685,AcctTblE,4,0)),"کد ناشناخته"))</f>
        <v/>
      </c>
      <c r="E685" s="15" t="n"/>
      <c r="F685" s="14">
        <f>IF($B685="","",IFERROR(INDEX(WageDates,MATCH($B685,WageIds,0)),"—"))</f>
        <v/>
      </c>
      <c r="G685" s="14">
        <f>IF($B685="","",IFERROR(VLOOKUP(INDEX(WageParty,MATCH($B685,WageIds,0)),WGTbl,2,0),"—"))</f>
        <v/>
      </c>
      <c r="H685" s="12" t="n"/>
    </row>
    <row r="686">
      <c r="A686" s="19">
        <f>IF($B686="","",COUNTA($B$9:$B686))</f>
        <v/>
      </c>
      <c r="B686" s="12" t="n"/>
      <c r="C686" s="13" t="n"/>
      <c r="D686" s="20">
        <f>IF($C686="","",IFERROR(IF(VLOOKUP($C686,AcctTblE,4,0)="","(بدون نام)",VLOOKUP($C686,AcctTblE,4,0)),"کد ناشناخته"))</f>
        <v/>
      </c>
      <c r="E686" s="15" t="n"/>
      <c r="F686" s="20">
        <f>IF($B686="","",IFERROR(INDEX(WageDates,MATCH($B686,WageIds,0)),"—"))</f>
        <v/>
      </c>
      <c r="G686" s="20">
        <f>IF($B686="","",IFERROR(VLOOKUP(INDEX(WageParty,MATCH($B686,WageIds,0)),WGTbl,2,0),"—"))</f>
        <v/>
      </c>
      <c r="H686" s="12" t="n"/>
    </row>
    <row r="687">
      <c r="A687" s="10">
        <f>IF($B687="","",COUNTA($B$9:$B687))</f>
        <v/>
      </c>
      <c r="B687" s="12" t="n"/>
      <c r="C687" s="13" t="n"/>
      <c r="D687" s="14">
        <f>IF($C687="","",IFERROR(IF(VLOOKUP($C687,AcctTblE,4,0)="","(بدون نام)",VLOOKUP($C687,AcctTblE,4,0)),"کد ناشناخته"))</f>
        <v/>
      </c>
      <c r="E687" s="15" t="n"/>
      <c r="F687" s="14">
        <f>IF($B687="","",IFERROR(INDEX(WageDates,MATCH($B687,WageIds,0)),"—"))</f>
        <v/>
      </c>
      <c r="G687" s="14">
        <f>IF($B687="","",IFERROR(VLOOKUP(INDEX(WageParty,MATCH($B687,WageIds,0)),WGTbl,2,0),"—"))</f>
        <v/>
      </c>
      <c r="H687" s="12" t="n"/>
    </row>
    <row r="688">
      <c r="A688" s="19">
        <f>IF($B688="","",COUNTA($B$9:$B688))</f>
        <v/>
      </c>
      <c r="B688" s="12" t="n"/>
      <c r="C688" s="13" t="n"/>
      <c r="D688" s="20">
        <f>IF($C688="","",IFERROR(IF(VLOOKUP($C688,AcctTblE,4,0)="","(بدون نام)",VLOOKUP($C688,AcctTblE,4,0)),"کد ناشناخته"))</f>
        <v/>
      </c>
      <c r="E688" s="15" t="n"/>
      <c r="F688" s="20">
        <f>IF($B688="","",IFERROR(INDEX(WageDates,MATCH($B688,WageIds,0)),"—"))</f>
        <v/>
      </c>
      <c r="G688" s="20">
        <f>IF($B688="","",IFERROR(VLOOKUP(INDEX(WageParty,MATCH($B688,WageIds,0)),WGTbl,2,0),"—"))</f>
        <v/>
      </c>
      <c r="H688" s="12" t="n"/>
    </row>
    <row r="689">
      <c r="A689" s="10">
        <f>IF($B689="","",COUNTA($B$9:$B689))</f>
        <v/>
      </c>
      <c r="B689" s="12" t="n"/>
      <c r="C689" s="13" t="n"/>
      <c r="D689" s="14">
        <f>IF($C689="","",IFERROR(IF(VLOOKUP($C689,AcctTblE,4,0)="","(بدون نام)",VLOOKUP($C689,AcctTblE,4,0)),"کد ناشناخته"))</f>
        <v/>
      </c>
      <c r="E689" s="15" t="n"/>
      <c r="F689" s="14">
        <f>IF($B689="","",IFERROR(INDEX(WageDates,MATCH($B689,WageIds,0)),"—"))</f>
        <v/>
      </c>
      <c r="G689" s="14">
        <f>IF($B689="","",IFERROR(VLOOKUP(INDEX(WageParty,MATCH($B689,WageIds,0)),WGTbl,2,0),"—"))</f>
        <v/>
      </c>
      <c r="H689" s="12" t="n"/>
    </row>
    <row r="690">
      <c r="A690" s="19">
        <f>IF($B690="","",COUNTA($B$9:$B690))</f>
        <v/>
      </c>
      <c r="B690" s="12" t="n"/>
      <c r="C690" s="13" t="n"/>
      <c r="D690" s="20">
        <f>IF($C690="","",IFERROR(IF(VLOOKUP($C690,AcctTblE,4,0)="","(بدون نام)",VLOOKUP($C690,AcctTblE,4,0)),"کد ناشناخته"))</f>
        <v/>
      </c>
      <c r="E690" s="15" t="n"/>
      <c r="F690" s="20">
        <f>IF($B690="","",IFERROR(INDEX(WageDates,MATCH($B690,WageIds,0)),"—"))</f>
        <v/>
      </c>
      <c r="G690" s="20">
        <f>IF($B690="","",IFERROR(VLOOKUP(INDEX(WageParty,MATCH($B690,WageIds,0)),WGTbl,2,0),"—"))</f>
        <v/>
      </c>
      <c r="H690" s="12" t="n"/>
    </row>
    <row r="691">
      <c r="A691" s="10">
        <f>IF($B691="","",COUNTA($B$9:$B691))</f>
        <v/>
      </c>
      <c r="B691" s="12" t="n"/>
      <c r="C691" s="13" t="n"/>
      <c r="D691" s="14">
        <f>IF($C691="","",IFERROR(IF(VLOOKUP($C691,AcctTblE,4,0)="","(بدون نام)",VLOOKUP($C691,AcctTblE,4,0)),"کد ناشناخته"))</f>
        <v/>
      </c>
      <c r="E691" s="15" t="n"/>
      <c r="F691" s="14">
        <f>IF($B691="","",IFERROR(INDEX(WageDates,MATCH($B691,WageIds,0)),"—"))</f>
        <v/>
      </c>
      <c r="G691" s="14">
        <f>IF($B691="","",IFERROR(VLOOKUP(INDEX(WageParty,MATCH($B691,WageIds,0)),WGTbl,2,0),"—"))</f>
        <v/>
      </c>
      <c r="H691" s="12" t="n"/>
    </row>
    <row r="692">
      <c r="A692" s="19">
        <f>IF($B692="","",COUNTA($B$9:$B692))</f>
        <v/>
      </c>
      <c r="B692" s="12" t="n"/>
      <c r="C692" s="13" t="n"/>
      <c r="D692" s="20">
        <f>IF($C692="","",IFERROR(IF(VLOOKUP($C692,AcctTblE,4,0)="","(بدون نام)",VLOOKUP($C692,AcctTblE,4,0)),"کد ناشناخته"))</f>
        <v/>
      </c>
      <c r="E692" s="15" t="n"/>
      <c r="F692" s="20">
        <f>IF($B692="","",IFERROR(INDEX(WageDates,MATCH($B692,WageIds,0)),"—"))</f>
        <v/>
      </c>
      <c r="G692" s="20">
        <f>IF($B692="","",IFERROR(VLOOKUP(INDEX(WageParty,MATCH($B692,WageIds,0)),WGTbl,2,0),"—"))</f>
        <v/>
      </c>
      <c r="H692" s="12" t="n"/>
    </row>
    <row r="693">
      <c r="A693" s="10">
        <f>IF($B693="","",COUNTA($B$9:$B693))</f>
        <v/>
      </c>
      <c r="B693" s="12" t="n"/>
      <c r="C693" s="13" t="n"/>
      <c r="D693" s="14">
        <f>IF($C693="","",IFERROR(IF(VLOOKUP($C693,AcctTblE,4,0)="","(بدون نام)",VLOOKUP($C693,AcctTblE,4,0)),"کد ناشناخته"))</f>
        <v/>
      </c>
      <c r="E693" s="15" t="n"/>
      <c r="F693" s="14">
        <f>IF($B693="","",IFERROR(INDEX(WageDates,MATCH($B693,WageIds,0)),"—"))</f>
        <v/>
      </c>
      <c r="G693" s="14">
        <f>IF($B693="","",IFERROR(VLOOKUP(INDEX(WageParty,MATCH($B693,WageIds,0)),WGTbl,2,0),"—"))</f>
        <v/>
      </c>
      <c r="H693" s="12" t="n"/>
    </row>
    <row r="694">
      <c r="A694" s="19">
        <f>IF($B694="","",COUNTA($B$9:$B694))</f>
        <v/>
      </c>
      <c r="B694" s="12" t="n"/>
      <c r="C694" s="13" t="n"/>
      <c r="D694" s="20">
        <f>IF($C694="","",IFERROR(IF(VLOOKUP($C694,AcctTblE,4,0)="","(بدون نام)",VLOOKUP($C694,AcctTblE,4,0)),"کد ناشناخته"))</f>
        <v/>
      </c>
      <c r="E694" s="15" t="n"/>
      <c r="F694" s="20">
        <f>IF($B694="","",IFERROR(INDEX(WageDates,MATCH($B694,WageIds,0)),"—"))</f>
        <v/>
      </c>
      <c r="G694" s="20">
        <f>IF($B694="","",IFERROR(VLOOKUP(INDEX(WageParty,MATCH($B694,WageIds,0)),WGTbl,2,0),"—"))</f>
        <v/>
      </c>
      <c r="H694" s="12" t="n"/>
    </row>
    <row r="695">
      <c r="A695" s="10">
        <f>IF($B695="","",COUNTA($B$9:$B695))</f>
        <v/>
      </c>
      <c r="B695" s="12" t="n"/>
      <c r="C695" s="13" t="n"/>
      <c r="D695" s="14">
        <f>IF($C695="","",IFERROR(IF(VLOOKUP($C695,AcctTblE,4,0)="","(بدون نام)",VLOOKUP($C695,AcctTblE,4,0)),"کد ناشناخته"))</f>
        <v/>
      </c>
      <c r="E695" s="15" t="n"/>
      <c r="F695" s="14">
        <f>IF($B695="","",IFERROR(INDEX(WageDates,MATCH($B695,WageIds,0)),"—"))</f>
        <v/>
      </c>
      <c r="G695" s="14">
        <f>IF($B695="","",IFERROR(VLOOKUP(INDEX(WageParty,MATCH($B695,WageIds,0)),WGTbl,2,0),"—"))</f>
        <v/>
      </c>
      <c r="H695" s="12" t="n"/>
    </row>
    <row r="696">
      <c r="A696" s="19">
        <f>IF($B696="","",COUNTA($B$9:$B696))</f>
        <v/>
      </c>
      <c r="B696" s="12" t="n"/>
      <c r="C696" s="13" t="n"/>
      <c r="D696" s="20">
        <f>IF($C696="","",IFERROR(IF(VLOOKUP($C696,AcctTblE,4,0)="","(بدون نام)",VLOOKUP($C696,AcctTblE,4,0)),"کد ناشناخته"))</f>
        <v/>
      </c>
      <c r="E696" s="15" t="n"/>
      <c r="F696" s="20">
        <f>IF($B696="","",IFERROR(INDEX(WageDates,MATCH($B696,WageIds,0)),"—"))</f>
        <v/>
      </c>
      <c r="G696" s="20">
        <f>IF($B696="","",IFERROR(VLOOKUP(INDEX(WageParty,MATCH($B696,WageIds,0)),WGTbl,2,0),"—"))</f>
        <v/>
      </c>
      <c r="H696" s="12" t="n"/>
    </row>
    <row r="697">
      <c r="A697" s="10">
        <f>IF($B697="","",COUNTA($B$9:$B697))</f>
        <v/>
      </c>
      <c r="B697" s="12" t="n"/>
      <c r="C697" s="13" t="n"/>
      <c r="D697" s="14">
        <f>IF($C697="","",IFERROR(IF(VLOOKUP($C697,AcctTblE,4,0)="","(بدون نام)",VLOOKUP($C697,AcctTblE,4,0)),"کد ناشناخته"))</f>
        <v/>
      </c>
      <c r="E697" s="15" t="n"/>
      <c r="F697" s="14">
        <f>IF($B697="","",IFERROR(INDEX(WageDates,MATCH($B697,WageIds,0)),"—"))</f>
        <v/>
      </c>
      <c r="G697" s="14">
        <f>IF($B697="","",IFERROR(VLOOKUP(INDEX(WageParty,MATCH($B697,WageIds,0)),WGTbl,2,0),"—"))</f>
        <v/>
      </c>
      <c r="H697" s="12" t="n"/>
    </row>
    <row r="698">
      <c r="A698" s="19">
        <f>IF($B698="","",COUNTA($B$9:$B698))</f>
        <v/>
      </c>
      <c r="B698" s="12" t="n"/>
      <c r="C698" s="13" t="n"/>
      <c r="D698" s="20">
        <f>IF($C698="","",IFERROR(IF(VLOOKUP($C698,AcctTblE,4,0)="","(بدون نام)",VLOOKUP($C698,AcctTblE,4,0)),"کد ناشناخته"))</f>
        <v/>
      </c>
      <c r="E698" s="15" t="n"/>
      <c r="F698" s="20">
        <f>IF($B698="","",IFERROR(INDEX(WageDates,MATCH($B698,WageIds,0)),"—"))</f>
        <v/>
      </c>
      <c r="G698" s="20">
        <f>IF($B698="","",IFERROR(VLOOKUP(INDEX(WageParty,MATCH($B698,WageIds,0)),WGTbl,2,0),"—"))</f>
        <v/>
      </c>
      <c r="H698" s="12" t="n"/>
    </row>
    <row r="699">
      <c r="A699" s="10">
        <f>IF($B699="","",COUNTA($B$9:$B699))</f>
        <v/>
      </c>
      <c r="B699" s="12" t="n"/>
      <c r="C699" s="13" t="n"/>
      <c r="D699" s="14">
        <f>IF($C699="","",IFERROR(IF(VLOOKUP($C699,AcctTblE,4,0)="","(بدون نام)",VLOOKUP($C699,AcctTblE,4,0)),"کد ناشناخته"))</f>
        <v/>
      </c>
      <c r="E699" s="15" t="n"/>
      <c r="F699" s="14">
        <f>IF($B699="","",IFERROR(INDEX(WageDates,MATCH($B699,WageIds,0)),"—"))</f>
        <v/>
      </c>
      <c r="G699" s="14">
        <f>IF($B699="","",IFERROR(VLOOKUP(INDEX(WageParty,MATCH($B699,WageIds,0)),WGTbl,2,0),"—"))</f>
        <v/>
      </c>
      <c r="H699" s="12" t="n"/>
    </row>
    <row r="700">
      <c r="A700" s="19">
        <f>IF($B700="","",COUNTA($B$9:$B700))</f>
        <v/>
      </c>
      <c r="B700" s="12" t="n"/>
      <c r="C700" s="13" t="n"/>
      <c r="D700" s="20">
        <f>IF($C700="","",IFERROR(IF(VLOOKUP($C700,AcctTblE,4,0)="","(بدون نام)",VLOOKUP($C700,AcctTblE,4,0)),"کد ناشناخته"))</f>
        <v/>
      </c>
      <c r="E700" s="15" t="n"/>
      <c r="F700" s="20">
        <f>IF($B700="","",IFERROR(INDEX(WageDates,MATCH($B700,WageIds,0)),"—"))</f>
        <v/>
      </c>
      <c r="G700" s="20">
        <f>IF($B700="","",IFERROR(VLOOKUP(INDEX(WageParty,MATCH($B700,WageIds,0)),WGTbl,2,0),"—"))</f>
        <v/>
      </c>
      <c r="H700" s="12" t="n"/>
    </row>
    <row r="701">
      <c r="A701" s="10">
        <f>IF($B701="","",COUNTA($B$9:$B701))</f>
        <v/>
      </c>
      <c r="B701" s="12" t="n"/>
      <c r="C701" s="13" t="n"/>
      <c r="D701" s="14">
        <f>IF($C701="","",IFERROR(IF(VLOOKUP($C701,AcctTblE,4,0)="","(بدون نام)",VLOOKUP($C701,AcctTblE,4,0)),"کد ناشناخته"))</f>
        <v/>
      </c>
      <c r="E701" s="15" t="n"/>
      <c r="F701" s="14">
        <f>IF($B701="","",IFERROR(INDEX(WageDates,MATCH($B701,WageIds,0)),"—"))</f>
        <v/>
      </c>
      <c r="G701" s="14">
        <f>IF($B701="","",IFERROR(VLOOKUP(INDEX(WageParty,MATCH($B701,WageIds,0)),WGTbl,2,0),"—"))</f>
        <v/>
      </c>
      <c r="H701" s="12" t="n"/>
    </row>
    <row r="702">
      <c r="A702" s="19">
        <f>IF($B702="","",COUNTA($B$9:$B702))</f>
        <v/>
      </c>
      <c r="B702" s="12" t="n"/>
      <c r="C702" s="13" t="n"/>
      <c r="D702" s="20">
        <f>IF($C702="","",IFERROR(IF(VLOOKUP($C702,AcctTblE,4,0)="","(بدون نام)",VLOOKUP($C702,AcctTblE,4,0)),"کد ناشناخته"))</f>
        <v/>
      </c>
      <c r="E702" s="15" t="n"/>
      <c r="F702" s="20">
        <f>IF($B702="","",IFERROR(INDEX(WageDates,MATCH($B702,WageIds,0)),"—"))</f>
        <v/>
      </c>
      <c r="G702" s="20">
        <f>IF($B702="","",IFERROR(VLOOKUP(INDEX(WageParty,MATCH($B702,WageIds,0)),WGTbl,2,0),"—"))</f>
        <v/>
      </c>
      <c r="H702" s="12" t="n"/>
    </row>
    <row r="703">
      <c r="A703" s="10">
        <f>IF($B703="","",COUNTA($B$9:$B703))</f>
        <v/>
      </c>
      <c r="B703" s="12" t="n"/>
      <c r="C703" s="13" t="n"/>
      <c r="D703" s="14">
        <f>IF($C703="","",IFERROR(IF(VLOOKUP($C703,AcctTblE,4,0)="","(بدون نام)",VLOOKUP($C703,AcctTblE,4,0)),"کد ناشناخته"))</f>
        <v/>
      </c>
      <c r="E703" s="15" t="n"/>
      <c r="F703" s="14">
        <f>IF($B703="","",IFERROR(INDEX(WageDates,MATCH($B703,WageIds,0)),"—"))</f>
        <v/>
      </c>
      <c r="G703" s="14">
        <f>IF($B703="","",IFERROR(VLOOKUP(INDEX(WageParty,MATCH($B703,WageIds,0)),WGTbl,2,0),"—"))</f>
        <v/>
      </c>
      <c r="H703" s="12" t="n"/>
    </row>
    <row r="704">
      <c r="A704" s="19">
        <f>IF($B704="","",COUNTA($B$9:$B704))</f>
        <v/>
      </c>
      <c r="B704" s="12" t="n"/>
      <c r="C704" s="13" t="n"/>
      <c r="D704" s="20">
        <f>IF($C704="","",IFERROR(IF(VLOOKUP($C704,AcctTblE,4,0)="","(بدون نام)",VLOOKUP($C704,AcctTblE,4,0)),"کد ناشناخته"))</f>
        <v/>
      </c>
      <c r="E704" s="15" t="n"/>
      <c r="F704" s="20">
        <f>IF($B704="","",IFERROR(INDEX(WageDates,MATCH($B704,WageIds,0)),"—"))</f>
        <v/>
      </c>
      <c r="G704" s="20">
        <f>IF($B704="","",IFERROR(VLOOKUP(INDEX(WageParty,MATCH($B704,WageIds,0)),WGTbl,2,0),"—"))</f>
        <v/>
      </c>
      <c r="H704" s="12" t="n"/>
    </row>
    <row r="705">
      <c r="A705" s="10">
        <f>IF($B705="","",COUNTA($B$9:$B705))</f>
        <v/>
      </c>
      <c r="B705" s="12" t="n"/>
      <c r="C705" s="13" t="n"/>
      <c r="D705" s="14">
        <f>IF($C705="","",IFERROR(IF(VLOOKUP($C705,AcctTblE,4,0)="","(بدون نام)",VLOOKUP($C705,AcctTblE,4,0)),"کد ناشناخته"))</f>
        <v/>
      </c>
      <c r="E705" s="15" t="n"/>
      <c r="F705" s="14">
        <f>IF($B705="","",IFERROR(INDEX(WageDates,MATCH($B705,WageIds,0)),"—"))</f>
        <v/>
      </c>
      <c r="G705" s="14">
        <f>IF($B705="","",IFERROR(VLOOKUP(INDEX(WageParty,MATCH($B705,WageIds,0)),WGTbl,2,0),"—"))</f>
        <v/>
      </c>
      <c r="H705" s="12" t="n"/>
    </row>
    <row r="706">
      <c r="A706" s="19">
        <f>IF($B706="","",COUNTA($B$9:$B706))</f>
        <v/>
      </c>
      <c r="B706" s="12" t="n"/>
      <c r="C706" s="13" t="n"/>
      <c r="D706" s="20">
        <f>IF($C706="","",IFERROR(IF(VLOOKUP($C706,AcctTblE,4,0)="","(بدون نام)",VLOOKUP($C706,AcctTblE,4,0)),"کد ناشناخته"))</f>
        <v/>
      </c>
      <c r="E706" s="15" t="n"/>
      <c r="F706" s="20">
        <f>IF($B706="","",IFERROR(INDEX(WageDates,MATCH($B706,WageIds,0)),"—"))</f>
        <v/>
      </c>
      <c r="G706" s="20">
        <f>IF($B706="","",IFERROR(VLOOKUP(INDEX(WageParty,MATCH($B706,WageIds,0)),WGTbl,2,0),"—"))</f>
        <v/>
      </c>
      <c r="H706" s="12" t="n"/>
    </row>
    <row r="707">
      <c r="A707" s="10">
        <f>IF($B707="","",COUNTA($B$9:$B707))</f>
        <v/>
      </c>
      <c r="B707" s="12" t="n"/>
      <c r="C707" s="13" t="n"/>
      <c r="D707" s="14">
        <f>IF($C707="","",IFERROR(IF(VLOOKUP($C707,AcctTblE,4,0)="","(بدون نام)",VLOOKUP($C707,AcctTblE,4,0)),"کد ناشناخته"))</f>
        <v/>
      </c>
      <c r="E707" s="15" t="n"/>
      <c r="F707" s="14">
        <f>IF($B707="","",IFERROR(INDEX(WageDates,MATCH($B707,WageIds,0)),"—"))</f>
        <v/>
      </c>
      <c r="G707" s="14">
        <f>IF($B707="","",IFERROR(VLOOKUP(INDEX(WageParty,MATCH($B707,WageIds,0)),WGTbl,2,0),"—"))</f>
        <v/>
      </c>
      <c r="H707" s="12" t="n"/>
    </row>
    <row r="708">
      <c r="A708" s="19">
        <f>IF($B708="","",COUNTA($B$9:$B708))</f>
        <v/>
      </c>
      <c r="B708" s="12" t="n"/>
      <c r="C708" s="13" t="n"/>
      <c r="D708" s="20">
        <f>IF($C708="","",IFERROR(IF(VLOOKUP($C708,AcctTblE,4,0)="","(بدون نام)",VLOOKUP($C708,AcctTblE,4,0)),"کد ناشناخته"))</f>
        <v/>
      </c>
      <c r="E708" s="15" t="n"/>
      <c r="F708" s="20">
        <f>IF($B708="","",IFERROR(INDEX(WageDates,MATCH($B708,WageIds,0)),"—"))</f>
        <v/>
      </c>
      <c r="G708" s="20">
        <f>IF($B708="","",IFERROR(VLOOKUP(INDEX(WageParty,MATCH($B708,WageIds,0)),WGTbl,2,0),"—"))</f>
        <v/>
      </c>
      <c r="H708" s="12" t="n"/>
    </row>
    <row r="709">
      <c r="A709" s="10">
        <f>IF($B709="","",COUNTA($B$9:$B709))</f>
        <v/>
      </c>
      <c r="B709" s="12" t="n"/>
      <c r="C709" s="13" t="n"/>
      <c r="D709" s="14">
        <f>IF($C709="","",IFERROR(IF(VLOOKUP($C709,AcctTblE,4,0)="","(بدون نام)",VLOOKUP($C709,AcctTblE,4,0)),"کد ناشناخته"))</f>
        <v/>
      </c>
      <c r="E709" s="15" t="n"/>
      <c r="F709" s="14">
        <f>IF($B709="","",IFERROR(INDEX(WageDates,MATCH($B709,WageIds,0)),"—"))</f>
        <v/>
      </c>
      <c r="G709" s="14">
        <f>IF($B709="","",IFERROR(VLOOKUP(INDEX(WageParty,MATCH($B709,WageIds,0)),WGTbl,2,0),"—"))</f>
        <v/>
      </c>
      <c r="H709" s="12" t="n"/>
    </row>
    <row r="710">
      <c r="A710" s="19">
        <f>IF($B710="","",COUNTA($B$9:$B710))</f>
        <v/>
      </c>
      <c r="B710" s="12" t="n"/>
      <c r="C710" s="13" t="n"/>
      <c r="D710" s="20">
        <f>IF($C710="","",IFERROR(IF(VLOOKUP($C710,AcctTblE,4,0)="","(بدون نام)",VLOOKUP($C710,AcctTblE,4,0)),"کد ناشناخته"))</f>
        <v/>
      </c>
      <c r="E710" s="15" t="n"/>
      <c r="F710" s="20">
        <f>IF($B710="","",IFERROR(INDEX(WageDates,MATCH($B710,WageIds,0)),"—"))</f>
        <v/>
      </c>
      <c r="G710" s="20">
        <f>IF($B710="","",IFERROR(VLOOKUP(INDEX(WageParty,MATCH($B710,WageIds,0)),WGTbl,2,0),"—"))</f>
        <v/>
      </c>
      <c r="H710" s="12" t="n"/>
    </row>
    <row r="711">
      <c r="A711" s="10">
        <f>IF($B711="","",COUNTA($B$9:$B711))</f>
        <v/>
      </c>
      <c r="B711" s="12" t="n"/>
      <c r="C711" s="13" t="n"/>
      <c r="D711" s="14">
        <f>IF($C711="","",IFERROR(IF(VLOOKUP($C711,AcctTblE,4,0)="","(بدون نام)",VLOOKUP($C711,AcctTblE,4,0)),"کد ناشناخته"))</f>
        <v/>
      </c>
      <c r="E711" s="15" t="n"/>
      <c r="F711" s="14">
        <f>IF($B711="","",IFERROR(INDEX(WageDates,MATCH($B711,WageIds,0)),"—"))</f>
        <v/>
      </c>
      <c r="G711" s="14">
        <f>IF($B711="","",IFERROR(VLOOKUP(INDEX(WageParty,MATCH($B711,WageIds,0)),WGTbl,2,0),"—"))</f>
        <v/>
      </c>
      <c r="H711" s="12" t="n"/>
    </row>
    <row r="712">
      <c r="A712" s="19">
        <f>IF($B712="","",COUNTA($B$9:$B712))</f>
        <v/>
      </c>
      <c r="B712" s="12" t="n"/>
      <c r="C712" s="13" t="n"/>
      <c r="D712" s="20">
        <f>IF($C712="","",IFERROR(IF(VLOOKUP($C712,AcctTblE,4,0)="","(بدون نام)",VLOOKUP($C712,AcctTblE,4,0)),"کد ناشناخته"))</f>
        <v/>
      </c>
      <c r="E712" s="15" t="n"/>
      <c r="F712" s="20">
        <f>IF($B712="","",IFERROR(INDEX(WageDates,MATCH($B712,WageIds,0)),"—"))</f>
        <v/>
      </c>
      <c r="G712" s="20">
        <f>IF($B712="","",IFERROR(VLOOKUP(INDEX(WageParty,MATCH($B712,WageIds,0)),WGTbl,2,0),"—"))</f>
        <v/>
      </c>
      <c r="H712" s="12" t="n"/>
    </row>
    <row r="713">
      <c r="A713" s="10">
        <f>IF($B713="","",COUNTA($B$9:$B713))</f>
        <v/>
      </c>
      <c r="B713" s="12" t="n"/>
      <c r="C713" s="13" t="n"/>
      <c r="D713" s="14">
        <f>IF($C713="","",IFERROR(IF(VLOOKUP($C713,AcctTblE,4,0)="","(بدون نام)",VLOOKUP($C713,AcctTblE,4,0)),"کد ناشناخته"))</f>
        <v/>
      </c>
      <c r="E713" s="15" t="n"/>
      <c r="F713" s="14">
        <f>IF($B713="","",IFERROR(INDEX(WageDates,MATCH($B713,WageIds,0)),"—"))</f>
        <v/>
      </c>
      <c r="G713" s="14">
        <f>IF($B713="","",IFERROR(VLOOKUP(INDEX(WageParty,MATCH($B713,WageIds,0)),WGTbl,2,0),"—"))</f>
        <v/>
      </c>
      <c r="H713" s="12" t="n"/>
    </row>
    <row r="714">
      <c r="A714" s="19">
        <f>IF($B714="","",COUNTA($B$9:$B714))</f>
        <v/>
      </c>
      <c r="B714" s="12" t="n"/>
      <c r="C714" s="13" t="n"/>
      <c r="D714" s="20">
        <f>IF($C714="","",IFERROR(IF(VLOOKUP($C714,AcctTblE,4,0)="","(بدون نام)",VLOOKUP($C714,AcctTblE,4,0)),"کد ناشناخته"))</f>
        <v/>
      </c>
      <c r="E714" s="15" t="n"/>
      <c r="F714" s="20">
        <f>IF($B714="","",IFERROR(INDEX(WageDates,MATCH($B714,WageIds,0)),"—"))</f>
        <v/>
      </c>
      <c r="G714" s="20">
        <f>IF($B714="","",IFERROR(VLOOKUP(INDEX(WageParty,MATCH($B714,WageIds,0)),WGTbl,2,0),"—"))</f>
        <v/>
      </c>
      <c r="H714" s="12" t="n"/>
    </row>
    <row r="715">
      <c r="A715" s="10">
        <f>IF($B715="","",COUNTA($B$9:$B715))</f>
        <v/>
      </c>
      <c r="B715" s="12" t="n"/>
      <c r="C715" s="13" t="n"/>
      <c r="D715" s="14">
        <f>IF($C715="","",IFERROR(IF(VLOOKUP($C715,AcctTblE,4,0)="","(بدون نام)",VLOOKUP($C715,AcctTblE,4,0)),"کد ناشناخته"))</f>
        <v/>
      </c>
      <c r="E715" s="15" t="n"/>
      <c r="F715" s="14">
        <f>IF($B715="","",IFERROR(INDEX(WageDates,MATCH($B715,WageIds,0)),"—"))</f>
        <v/>
      </c>
      <c r="G715" s="14">
        <f>IF($B715="","",IFERROR(VLOOKUP(INDEX(WageParty,MATCH($B715,WageIds,0)),WGTbl,2,0),"—"))</f>
        <v/>
      </c>
      <c r="H715" s="12" t="n"/>
    </row>
    <row r="716">
      <c r="A716" s="19">
        <f>IF($B716="","",COUNTA($B$9:$B716))</f>
        <v/>
      </c>
      <c r="B716" s="12" t="n"/>
      <c r="C716" s="13" t="n"/>
      <c r="D716" s="20">
        <f>IF($C716="","",IFERROR(IF(VLOOKUP($C716,AcctTblE,4,0)="","(بدون نام)",VLOOKUP($C716,AcctTblE,4,0)),"کد ناشناخته"))</f>
        <v/>
      </c>
      <c r="E716" s="15" t="n"/>
      <c r="F716" s="20">
        <f>IF($B716="","",IFERROR(INDEX(WageDates,MATCH($B716,WageIds,0)),"—"))</f>
        <v/>
      </c>
      <c r="G716" s="20">
        <f>IF($B716="","",IFERROR(VLOOKUP(INDEX(WageParty,MATCH($B716,WageIds,0)),WGTbl,2,0),"—"))</f>
        <v/>
      </c>
      <c r="H716" s="12" t="n"/>
    </row>
    <row r="717">
      <c r="A717" s="10">
        <f>IF($B717="","",COUNTA($B$9:$B717))</f>
        <v/>
      </c>
      <c r="B717" s="12" t="n"/>
      <c r="C717" s="13" t="n"/>
      <c r="D717" s="14">
        <f>IF($C717="","",IFERROR(IF(VLOOKUP($C717,AcctTblE,4,0)="","(بدون نام)",VLOOKUP($C717,AcctTblE,4,0)),"کد ناشناخته"))</f>
        <v/>
      </c>
      <c r="E717" s="15" t="n"/>
      <c r="F717" s="14">
        <f>IF($B717="","",IFERROR(INDEX(WageDates,MATCH($B717,WageIds,0)),"—"))</f>
        <v/>
      </c>
      <c r="G717" s="14">
        <f>IF($B717="","",IFERROR(VLOOKUP(INDEX(WageParty,MATCH($B717,WageIds,0)),WGTbl,2,0),"—"))</f>
        <v/>
      </c>
      <c r="H717" s="12" t="n"/>
    </row>
    <row r="718">
      <c r="A718" s="19">
        <f>IF($B718="","",COUNTA($B$9:$B718))</f>
        <v/>
      </c>
      <c r="B718" s="12" t="n"/>
      <c r="C718" s="13" t="n"/>
      <c r="D718" s="20">
        <f>IF($C718="","",IFERROR(IF(VLOOKUP($C718,AcctTblE,4,0)="","(بدون نام)",VLOOKUP($C718,AcctTblE,4,0)),"کد ناشناخته"))</f>
        <v/>
      </c>
      <c r="E718" s="15" t="n"/>
      <c r="F718" s="20">
        <f>IF($B718="","",IFERROR(INDEX(WageDates,MATCH($B718,WageIds,0)),"—"))</f>
        <v/>
      </c>
      <c r="G718" s="20">
        <f>IF($B718="","",IFERROR(VLOOKUP(INDEX(WageParty,MATCH($B718,WageIds,0)),WGTbl,2,0),"—"))</f>
        <v/>
      </c>
      <c r="H718" s="12" t="n"/>
    </row>
    <row r="719">
      <c r="A719" s="10">
        <f>IF($B719="","",COUNTA($B$9:$B719))</f>
        <v/>
      </c>
      <c r="B719" s="12" t="n"/>
      <c r="C719" s="13" t="n"/>
      <c r="D719" s="14">
        <f>IF($C719="","",IFERROR(IF(VLOOKUP($C719,AcctTblE,4,0)="","(بدون نام)",VLOOKUP($C719,AcctTblE,4,0)),"کد ناشناخته"))</f>
        <v/>
      </c>
      <c r="E719" s="15" t="n"/>
      <c r="F719" s="14">
        <f>IF($B719="","",IFERROR(INDEX(WageDates,MATCH($B719,WageIds,0)),"—"))</f>
        <v/>
      </c>
      <c r="G719" s="14">
        <f>IF($B719="","",IFERROR(VLOOKUP(INDEX(WageParty,MATCH($B719,WageIds,0)),WGTbl,2,0),"—"))</f>
        <v/>
      </c>
      <c r="H719" s="12" t="n"/>
    </row>
    <row r="720">
      <c r="A720" s="19">
        <f>IF($B720="","",COUNTA($B$9:$B720))</f>
        <v/>
      </c>
      <c r="B720" s="12" t="n"/>
      <c r="C720" s="13" t="n"/>
      <c r="D720" s="20">
        <f>IF($C720="","",IFERROR(IF(VLOOKUP($C720,AcctTblE,4,0)="","(بدون نام)",VLOOKUP($C720,AcctTblE,4,0)),"کد ناشناخته"))</f>
        <v/>
      </c>
      <c r="E720" s="15" t="n"/>
      <c r="F720" s="20">
        <f>IF($B720="","",IFERROR(INDEX(WageDates,MATCH($B720,WageIds,0)),"—"))</f>
        <v/>
      </c>
      <c r="G720" s="20">
        <f>IF($B720="","",IFERROR(VLOOKUP(INDEX(WageParty,MATCH($B720,WageIds,0)),WGTbl,2,0),"—"))</f>
        <v/>
      </c>
      <c r="H720" s="12" t="n"/>
    </row>
    <row r="721">
      <c r="A721" s="10">
        <f>IF($B721="","",COUNTA($B$9:$B721))</f>
        <v/>
      </c>
      <c r="B721" s="12" t="n"/>
      <c r="C721" s="13" t="n"/>
      <c r="D721" s="14">
        <f>IF($C721="","",IFERROR(IF(VLOOKUP($C721,AcctTblE,4,0)="","(بدون نام)",VLOOKUP($C721,AcctTblE,4,0)),"کد ناشناخته"))</f>
        <v/>
      </c>
      <c r="E721" s="15" t="n"/>
      <c r="F721" s="14">
        <f>IF($B721="","",IFERROR(INDEX(WageDates,MATCH($B721,WageIds,0)),"—"))</f>
        <v/>
      </c>
      <c r="G721" s="14">
        <f>IF($B721="","",IFERROR(VLOOKUP(INDEX(WageParty,MATCH($B721,WageIds,0)),WGTbl,2,0),"—"))</f>
        <v/>
      </c>
      <c r="H721" s="12" t="n"/>
    </row>
    <row r="722">
      <c r="A722" s="19">
        <f>IF($B722="","",COUNTA($B$9:$B722))</f>
        <v/>
      </c>
      <c r="B722" s="12" t="n"/>
      <c r="C722" s="13" t="n"/>
      <c r="D722" s="20">
        <f>IF($C722="","",IFERROR(IF(VLOOKUP($C722,AcctTblE,4,0)="","(بدون نام)",VLOOKUP($C722,AcctTblE,4,0)),"کد ناشناخته"))</f>
        <v/>
      </c>
      <c r="E722" s="15" t="n"/>
      <c r="F722" s="20">
        <f>IF($B722="","",IFERROR(INDEX(WageDates,MATCH($B722,WageIds,0)),"—"))</f>
        <v/>
      </c>
      <c r="G722" s="20">
        <f>IF($B722="","",IFERROR(VLOOKUP(INDEX(WageParty,MATCH($B722,WageIds,0)),WGTbl,2,0),"—"))</f>
        <v/>
      </c>
      <c r="H722" s="12" t="n"/>
    </row>
    <row r="723">
      <c r="A723" s="10">
        <f>IF($B723="","",COUNTA($B$9:$B723))</f>
        <v/>
      </c>
      <c r="B723" s="12" t="n"/>
      <c r="C723" s="13" t="n"/>
      <c r="D723" s="14">
        <f>IF($C723="","",IFERROR(IF(VLOOKUP($C723,AcctTblE,4,0)="","(بدون نام)",VLOOKUP($C723,AcctTblE,4,0)),"کد ناشناخته"))</f>
        <v/>
      </c>
      <c r="E723" s="15" t="n"/>
      <c r="F723" s="14">
        <f>IF($B723="","",IFERROR(INDEX(WageDates,MATCH($B723,WageIds,0)),"—"))</f>
        <v/>
      </c>
      <c r="G723" s="14">
        <f>IF($B723="","",IFERROR(VLOOKUP(INDEX(WageParty,MATCH($B723,WageIds,0)),WGTbl,2,0),"—"))</f>
        <v/>
      </c>
      <c r="H723" s="12" t="n"/>
    </row>
    <row r="724">
      <c r="A724" s="19">
        <f>IF($B724="","",COUNTA($B$9:$B724))</f>
        <v/>
      </c>
      <c r="B724" s="12" t="n"/>
      <c r="C724" s="13" t="n"/>
      <c r="D724" s="20">
        <f>IF($C724="","",IFERROR(IF(VLOOKUP($C724,AcctTblE,4,0)="","(بدون نام)",VLOOKUP($C724,AcctTblE,4,0)),"کد ناشناخته"))</f>
        <v/>
      </c>
      <c r="E724" s="15" t="n"/>
      <c r="F724" s="20">
        <f>IF($B724="","",IFERROR(INDEX(WageDates,MATCH($B724,WageIds,0)),"—"))</f>
        <v/>
      </c>
      <c r="G724" s="20">
        <f>IF($B724="","",IFERROR(VLOOKUP(INDEX(WageParty,MATCH($B724,WageIds,0)),WGTbl,2,0),"—"))</f>
        <v/>
      </c>
      <c r="H724" s="12" t="n"/>
    </row>
    <row r="725">
      <c r="A725" s="10">
        <f>IF($B725="","",COUNTA($B$9:$B725))</f>
        <v/>
      </c>
      <c r="B725" s="12" t="n"/>
      <c r="C725" s="13" t="n"/>
      <c r="D725" s="14">
        <f>IF($C725="","",IFERROR(IF(VLOOKUP($C725,AcctTblE,4,0)="","(بدون نام)",VLOOKUP($C725,AcctTblE,4,0)),"کد ناشناخته"))</f>
        <v/>
      </c>
      <c r="E725" s="15" t="n"/>
      <c r="F725" s="14">
        <f>IF($B725="","",IFERROR(INDEX(WageDates,MATCH($B725,WageIds,0)),"—"))</f>
        <v/>
      </c>
      <c r="G725" s="14">
        <f>IF($B725="","",IFERROR(VLOOKUP(INDEX(WageParty,MATCH($B725,WageIds,0)),WGTbl,2,0),"—"))</f>
        <v/>
      </c>
      <c r="H725" s="12" t="n"/>
    </row>
    <row r="726">
      <c r="A726" s="19">
        <f>IF($B726="","",COUNTA($B$9:$B726))</f>
        <v/>
      </c>
      <c r="B726" s="12" t="n"/>
      <c r="C726" s="13" t="n"/>
      <c r="D726" s="20">
        <f>IF($C726="","",IFERROR(IF(VLOOKUP($C726,AcctTblE,4,0)="","(بدون نام)",VLOOKUP($C726,AcctTblE,4,0)),"کد ناشناخته"))</f>
        <v/>
      </c>
      <c r="E726" s="15" t="n"/>
      <c r="F726" s="20">
        <f>IF($B726="","",IFERROR(INDEX(WageDates,MATCH($B726,WageIds,0)),"—"))</f>
        <v/>
      </c>
      <c r="G726" s="20">
        <f>IF($B726="","",IFERROR(VLOOKUP(INDEX(WageParty,MATCH($B726,WageIds,0)),WGTbl,2,0),"—"))</f>
        <v/>
      </c>
      <c r="H726" s="12" t="n"/>
    </row>
    <row r="727">
      <c r="A727" s="10">
        <f>IF($B727="","",COUNTA($B$9:$B727))</f>
        <v/>
      </c>
      <c r="B727" s="12" t="n"/>
      <c r="C727" s="13" t="n"/>
      <c r="D727" s="14">
        <f>IF($C727="","",IFERROR(IF(VLOOKUP($C727,AcctTblE,4,0)="","(بدون نام)",VLOOKUP($C727,AcctTblE,4,0)),"کد ناشناخته"))</f>
        <v/>
      </c>
      <c r="E727" s="15" t="n"/>
      <c r="F727" s="14">
        <f>IF($B727="","",IFERROR(INDEX(WageDates,MATCH($B727,WageIds,0)),"—"))</f>
        <v/>
      </c>
      <c r="G727" s="14">
        <f>IF($B727="","",IFERROR(VLOOKUP(INDEX(WageParty,MATCH($B727,WageIds,0)),WGTbl,2,0),"—"))</f>
        <v/>
      </c>
      <c r="H727" s="12" t="n"/>
    </row>
    <row r="728">
      <c r="A728" s="19">
        <f>IF($B728="","",COUNTA($B$9:$B728))</f>
        <v/>
      </c>
      <c r="B728" s="12" t="n"/>
      <c r="C728" s="13" t="n"/>
      <c r="D728" s="20">
        <f>IF($C728="","",IFERROR(IF(VLOOKUP($C728,AcctTblE,4,0)="","(بدون نام)",VLOOKUP($C728,AcctTblE,4,0)),"کد ناشناخته"))</f>
        <v/>
      </c>
      <c r="E728" s="15" t="n"/>
      <c r="F728" s="20">
        <f>IF($B728="","",IFERROR(INDEX(WageDates,MATCH($B728,WageIds,0)),"—"))</f>
        <v/>
      </c>
      <c r="G728" s="20">
        <f>IF($B728="","",IFERROR(VLOOKUP(INDEX(WageParty,MATCH($B728,WageIds,0)),WGTbl,2,0),"—"))</f>
        <v/>
      </c>
      <c r="H728" s="12" t="n"/>
    </row>
    <row r="729">
      <c r="A729" s="10">
        <f>IF($B729="","",COUNTA($B$9:$B729))</f>
        <v/>
      </c>
      <c r="B729" s="12" t="n"/>
      <c r="C729" s="13" t="n"/>
      <c r="D729" s="14">
        <f>IF($C729="","",IFERROR(IF(VLOOKUP($C729,AcctTblE,4,0)="","(بدون نام)",VLOOKUP($C729,AcctTblE,4,0)),"کد ناشناخته"))</f>
        <v/>
      </c>
      <c r="E729" s="15" t="n"/>
      <c r="F729" s="14">
        <f>IF($B729="","",IFERROR(INDEX(WageDates,MATCH($B729,WageIds,0)),"—"))</f>
        <v/>
      </c>
      <c r="G729" s="14">
        <f>IF($B729="","",IFERROR(VLOOKUP(INDEX(WageParty,MATCH($B729,WageIds,0)),WGTbl,2,0),"—"))</f>
        <v/>
      </c>
      <c r="H729" s="12" t="n"/>
    </row>
    <row r="730">
      <c r="A730" s="19">
        <f>IF($B730="","",COUNTA($B$9:$B730))</f>
        <v/>
      </c>
      <c r="B730" s="12" t="n"/>
      <c r="C730" s="13" t="n"/>
      <c r="D730" s="20">
        <f>IF($C730="","",IFERROR(IF(VLOOKUP($C730,AcctTblE,4,0)="","(بدون نام)",VLOOKUP($C730,AcctTblE,4,0)),"کد ناشناخته"))</f>
        <v/>
      </c>
      <c r="E730" s="15" t="n"/>
      <c r="F730" s="20">
        <f>IF($B730="","",IFERROR(INDEX(WageDates,MATCH($B730,WageIds,0)),"—"))</f>
        <v/>
      </c>
      <c r="G730" s="20">
        <f>IF($B730="","",IFERROR(VLOOKUP(INDEX(WageParty,MATCH($B730,WageIds,0)),WGTbl,2,0),"—"))</f>
        <v/>
      </c>
      <c r="H730" s="12" t="n"/>
    </row>
    <row r="731">
      <c r="A731" s="10">
        <f>IF($B731="","",COUNTA($B$9:$B731))</f>
        <v/>
      </c>
      <c r="B731" s="12" t="n"/>
      <c r="C731" s="13" t="n"/>
      <c r="D731" s="14">
        <f>IF($C731="","",IFERROR(IF(VLOOKUP($C731,AcctTblE,4,0)="","(بدون نام)",VLOOKUP($C731,AcctTblE,4,0)),"کد ناشناخته"))</f>
        <v/>
      </c>
      <c r="E731" s="15" t="n"/>
      <c r="F731" s="14">
        <f>IF($B731="","",IFERROR(INDEX(WageDates,MATCH($B731,WageIds,0)),"—"))</f>
        <v/>
      </c>
      <c r="G731" s="14">
        <f>IF($B731="","",IFERROR(VLOOKUP(INDEX(WageParty,MATCH($B731,WageIds,0)),WGTbl,2,0),"—"))</f>
        <v/>
      </c>
      <c r="H731" s="12" t="n"/>
    </row>
    <row r="732">
      <c r="A732" s="19">
        <f>IF($B732="","",COUNTA($B$9:$B732))</f>
        <v/>
      </c>
      <c r="B732" s="12" t="n"/>
      <c r="C732" s="13" t="n"/>
      <c r="D732" s="20">
        <f>IF($C732="","",IFERROR(IF(VLOOKUP($C732,AcctTblE,4,0)="","(بدون نام)",VLOOKUP($C732,AcctTblE,4,0)),"کد ناشناخته"))</f>
        <v/>
      </c>
      <c r="E732" s="15" t="n"/>
      <c r="F732" s="20">
        <f>IF($B732="","",IFERROR(INDEX(WageDates,MATCH($B732,WageIds,0)),"—"))</f>
        <v/>
      </c>
      <c r="G732" s="20">
        <f>IF($B732="","",IFERROR(VLOOKUP(INDEX(WageParty,MATCH($B732,WageIds,0)),WGTbl,2,0),"—"))</f>
        <v/>
      </c>
      <c r="H732" s="12" t="n"/>
    </row>
    <row r="733">
      <c r="A733" s="10">
        <f>IF($B733="","",COUNTA($B$9:$B733))</f>
        <v/>
      </c>
      <c r="B733" s="12" t="n"/>
      <c r="C733" s="13" t="n"/>
      <c r="D733" s="14">
        <f>IF($C733="","",IFERROR(IF(VLOOKUP($C733,AcctTblE,4,0)="","(بدون نام)",VLOOKUP($C733,AcctTblE,4,0)),"کد ناشناخته"))</f>
        <v/>
      </c>
      <c r="E733" s="15" t="n"/>
      <c r="F733" s="14">
        <f>IF($B733="","",IFERROR(INDEX(WageDates,MATCH($B733,WageIds,0)),"—"))</f>
        <v/>
      </c>
      <c r="G733" s="14">
        <f>IF($B733="","",IFERROR(VLOOKUP(INDEX(WageParty,MATCH($B733,WageIds,0)),WGTbl,2,0),"—"))</f>
        <v/>
      </c>
      <c r="H733" s="12" t="n"/>
    </row>
    <row r="734">
      <c r="A734" s="19">
        <f>IF($B734="","",COUNTA($B$9:$B734))</f>
        <v/>
      </c>
      <c r="B734" s="12" t="n"/>
      <c r="C734" s="13" t="n"/>
      <c r="D734" s="20">
        <f>IF($C734="","",IFERROR(IF(VLOOKUP($C734,AcctTblE,4,0)="","(بدون نام)",VLOOKUP($C734,AcctTblE,4,0)),"کد ناشناخته"))</f>
        <v/>
      </c>
      <c r="E734" s="15" t="n"/>
      <c r="F734" s="20">
        <f>IF($B734="","",IFERROR(INDEX(WageDates,MATCH($B734,WageIds,0)),"—"))</f>
        <v/>
      </c>
      <c r="G734" s="20">
        <f>IF($B734="","",IFERROR(VLOOKUP(INDEX(WageParty,MATCH($B734,WageIds,0)),WGTbl,2,0),"—"))</f>
        <v/>
      </c>
      <c r="H734" s="12" t="n"/>
    </row>
    <row r="735">
      <c r="A735" s="10">
        <f>IF($B735="","",COUNTA($B$9:$B735))</f>
        <v/>
      </c>
      <c r="B735" s="12" t="n"/>
      <c r="C735" s="13" t="n"/>
      <c r="D735" s="14">
        <f>IF($C735="","",IFERROR(IF(VLOOKUP($C735,AcctTblE,4,0)="","(بدون نام)",VLOOKUP($C735,AcctTblE,4,0)),"کد ناشناخته"))</f>
        <v/>
      </c>
      <c r="E735" s="15" t="n"/>
      <c r="F735" s="14">
        <f>IF($B735="","",IFERROR(INDEX(WageDates,MATCH($B735,WageIds,0)),"—"))</f>
        <v/>
      </c>
      <c r="G735" s="14">
        <f>IF($B735="","",IFERROR(VLOOKUP(INDEX(WageParty,MATCH($B735,WageIds,0)),WGTbl,2,0),"—"))</f>
        <v/>
      </c>
      <c r="H735" s="12" t="n"/>
    </row>
    <row r="736">
      <c r="A736" s="19">
        <f>IF($B736="","",COUNTA($B$9:$B736))</f>
        <v/>
      </c>
      <c r="B736" s="12" t="n"/>
      <c r="C736" s="13" t="n"/>
      <c r="D736" s="20">
        <f>IF($C736="","",IFERROR(IF(VLOOKUP($C736,AcctTblE,4,0)="","(بدون نام)",VLOOKUP($C736,AcctTblE,4,0)),"کد ناشناخته"))</f>
        <v/>
      </c>
      <c r="E736" s="15" t="n"/>
      <c r="F736" s="20">
        <f>IF($B736="","",IFERROR(INDEX(WageDates,MATCH($B736,WageIds,0)),"—"))</f>
        <v/>
      </c>
      <c r="G736" s="20">
        <f>IF($B736="","",IFERROR(VLOOKUP(INDEX(WageParty,MATCH($B736,WageIds,0)),WGTbl,2,0),"—"))</f>
        <v/>
      </c>
      <c r="H736" s="12" t="n"/>
    </row>
    <row r="737">
      <c r="A737" s="10">
        <f>IF($B737="","",COUNTA($B$9:$B737))</f>
        <v/>
      </c>
      <c r="B737" s="12" t="n"/>
      <c r="C737" s="13" t="n"/>
      <c r="D737" s="14">
        <f>IF($C737="","",IFERROR(IF(VLOOKUP($C737,AcctTblE,4,0)="","(بدون نام)",VLOOKUP($C737,AcctTblE,4,0)),"کد ناشناخته"))</f>
        <v/>
      </c>
      <c r="E737" s="15" t="n"/>
      <c r="F737" s="14">
        <f>IF($B737="","",IFERROR(INDEX(WageDates,MATCH($B737,WageIds,0)),"—"))</f>
        <v/>
      </c>
      <c r="G737" s="14">
        <f>IF($B737="","",IFERROR(VLOOKUP(INDEX(WageParty,MATCH($B737,WageIds,0)),WGTbl,2,0),"—"))</f>
        <v/>
      </c>
      <c r="H737" s="12" t="n"/>
    </row>
    <row r="738">
      <c r="A738" s="19">
        <f>IF($B738="","",COUNTA($B$9:$B738))</f>
        <v/>
      </c>
      <c r="B738" s="12" t="n"/>
      <c r="C738" s="13" t="n"/>
      <c r="D738" s="20">
        <f>IF($C738="","",IFERROR(IF(VLOOKUP($C738,AcctTblE,4,0)="","(بدون نام)",VLOOKUP($C738,AcctTblE,4,0)),"کد ناشناخته"))</f>
        <v/>
      </c>
      <c r="E738" s="15" t="n"/>
      <c r="F738" s="20">
        <f>IF($B738="","",IFERROR(INDEX(WageDates,MATCH($B738,WageIds,0)),"—"))</f>
        <v/>
      </c>
      <c r="G738" s="20">
        <f>IF($B738="","",IFERROR(VLOOKUP(INDEX(WageParty,MATCH($B738,WageIds,0)),WGTbl,2,0),"—"))</f>
        <v/>
      </c>
      <c r="H738" s="12" t="n"/>
    </row>
    <row r="739">
      <c r="A739" s="10">
        <f>IF($B739="","",COUNTA($B$9:$B739))</f>
        <v/>
      </c>
      <c r="B739" s="12" t="n"/>
      <c r="C739" s="13" t="n"/>
      <c r="D739" s="14">
        <f>IF($C739="","",IFERROR(IF(VLOOKUP($C739,AcctTblE,4,0)="","(بدون نام)",VLOOKUP($C739,AcctTblE,4,0)),"کد ناشناخته"))</f>
        <v/>
      </c>
      <c r="E739" s="15" t="n"/>
      <c r="F739" s="14">
        <f>IF($B739="","",IFERROR(INDEX(WageDates,MATCH($B739,WageIds,0)),"—"))</f>
        <v/>
      </c>
      <c r="G739" s="14">
        <f>IF($B739="","",IFERROR(VLOOKUP(INDEX(WageParty,MATCH($B739,WageIds,0)),WGTbl,2,0),"—"))</f>
        <v/>
      </c>
      <c r="H739" s="12" t="n"/>
    </row>
    <row r="740">
      <c r="A740" s="19">
        <f>IF($B740="","",COUNTA($B$9:$B740))</f>
        <v/>
      </c>
      <c r="B740" s="12" t="n"/>
      <c r="C740" s="13" t="n"/>
      <c r="D740" s="20">
        <f>IF($C740="","",IFERROR(IF(VLOOKUP($C740,AcctTblE,4,0)="","(بدون نام)",VLOOKUP($C740,AcctTblE,4,0)),"کد ناشناخته"))</f>
        <v/>
      </c>
      <c r="E740" s="15" t="n"/>
      <c r="F740" s="20">
        <f>IF($B740="","",IFERROR(INDEX(WageDates,MATCH($B740,WageIds,0)),"—"))</f>
        <v/>
      </c>
      <c r="G740" s="20">
        <f>IF($B740="","",IFERROR(VLOOKUP(INDEX(WageParty,MATCH($B740,WageIds,0)),WGTbl,2,0),"—"))</f>
        <v/>
      </c>
      <c r="H740" s="12" t="n"/>
    </row>
    <row r="741">
      <c r="A741" s="10">
        <f>IF($B741="","",COUNTA($B$9:$B741))</f>
        <v/>
      </c>
      <c r="B741" s="12" t="n"/>
      <c r="C741" s="13" t="n"/>
      <c r="D741" s="14">
        <f>IF($C741="","",IFERROR(IF(VLOOKUP($C741,AcctTblE,4,0)="","(بدون نام)",VLOOKUP($C741,AcctTblE,4,0)),"کد ناشناخته"))</f>
        <v/>
      </c>
      <c r="E741" s="15" t="n"/>
      <c r="F741" s="14">
        <f>IF($B741="","",IFERROR(INDEX(WageDates,MATCH($B741,WageIds,0)),"—"))</f>
        <v/>
      </c>
      <c r="G741" s="14">
        <f>IF($B741="","",IFERROR(VLOOKUP(INDEX(WageParty,MATCH($B741,WageIds,0)),WGTbl,2,0),"—"))</f>
        <v/>
      </c>
      <c r="H741" s="12" t="n"/>
    </row>
    <row r="742">
      <c r="A742" s="19">
        <f>IF($B742="","",COUNTA($B$9:$B742))</f>
        <v/>
      </c>
      <c r="B742" s="12" t="n"/>
      <c r="C742" s="13" t="n"/>
      <c r="D742" s="20">
        <f>IF($C742="","",IFERROR(IF(VLOOKUP($C742,AcctTblE,4,0)="","(بدون نام)",VLOOKUP($C742,AcctTblE,4,0)),"کد ناشناخته"))</f>
        <v/>
      </c>
      <c r="E742" s="15" t="n"/>
      <c r="F742" s="20">
        <f>IF($B742="","",IFERROR(INDEX(WageDates,MATCH($B742,WageIds,0)),"—"))</f>
        <v/>
      </c>
      <c r="G742" s="20">
        <f>IF($B742="","",IFERROR(VLOOKUP(INDEX(WageParty,MATCH($B742,WageIds,0)),WGTbl,2,0),"—"))</f>
        <v/>
      </c>
      <c r="H742" s="12" t="n"/>
    </row>
    <row r="743">
      <c r="A743" s="10">
        <f>IF($B743="","",COUNTA($B$9:$B743))</f>
        <v/>
      </c>
      <c r="B743" s="12" t="n"/>
      <c r="C743" s="13" t="n"/>
      <c r="D743" s="14">
        <f>IF($C743="","",IFERROR(IF(VLOOKUP($C743,AcctTblE,4,0)="","(بدون نام)",VLOOKUP($C743,AcctTblE,4,0)),"کد ناشناخته"))</f>
        <v/>
      </c>
      <c r="E743" s="15" t="n"/>
      <c r="F743" s="14">
        <f>IF($B743="","",IFERROR(INDEX(WageDates,MATCH($B743,WageIds,0)),"—"))</f>
        <v/>
      </c>
      <c r="G743" s="14">
        <f>IF($B743="","",IFERROR(VLOOKUP(INDEX(WageParty,MATCH($B743,WageIds,0)),WGTbl,2,0),"—"))</f>
        <v/>
      </c>
      <c r="H743" s="12" t="n"/>
    </row>
    <row r="744">
      <c r="A744" s="19">
        <f>IF($B744="","",COUNTA($B$9:$B744))</f>
        <v/>
      </c>
      <c r="B744" s="12" t="n"/>
      <c r="C744" s="13" t="n"/>
      <c r="D744" s="20">
        <f>IF($C744="","",IFERROR(IF(VLOOKUP($C744,AcctTblE,4,0)="","(بدون نام)",VLOOKUP($C744,AcctTblE,4,0)),"کد ناشناخته"))</f>
        <v/>
      </c>
      <c r="E744" s="15" t="n"/>
      <c r="F744" s="20">
        <f>IF($B744="","",IFERROR(INDEX(WageDates,MATCH($B744,WageIds,0)),"—"))</f>
        <v/>
      </c>
      <c r="G744" s="20">
        <f>IF($B744="","",IFERROR(VLOOKUP(INDEX(WageParty,MATCH($B744,WageIds,0)),WGTbl,2,0),"—"))</f>
        <v/>
      </c>
      <c r="H744" s="12" t="n"/>
    </row>
    <row r="745">
      <c r="A745" s="10">
        <f>IF($B745="","",COUNTA($B$9:$B745))</f>
        <v/>
      </c>
      <c r="B745" s="12" t="n"/>
      <c r="C745" s="13" t="n"/>
      <c r="D745" s="14">
        <f>IF($C745="","",IFERROR(IF(VLOOKUP($C745,AcctTblE,4,0)="","(بدون نام)",VLOOKUP($C745,AcctTblE,4,0)),"کد ناشناخته"))</f>
        <v/>
      </c>
      <c r="E745" s="15" t="n"/>
      <c r="F745" s="14">
        <f>IF($B745="","",IFERROR(INDEX(WageDates,MATCH($B745,WageIds,0)),"—"))</f>
        <v/>
      </c>
      <c r="G745" s="14">
        <f>IF($B745="","",IFERROR(VLOOKUP(INDEX(WageParty,MATCH($B745,WageIds,0)),WGTbl,2,0),"—"))</f>
        <v/>
      </c>
      <c r="H745" s="12" t="n"/>
    </row>
    <row r="746">
      <c r="A746" s="19">
        <f>IF($B746="","",COUNTA($B$9:$B746))</f>
        <v/>
      </c>
      <c r="B746" s="12" t="n"/>
      <c r="C746" s="13" t="n"/>
      <c r="D746" s="20">
        <f>IF($C746="","",IFERROR(IF(VLOOKUP($C746,AcctTblE,4,0)="","(بدون نام)",VLOOKUP($C746,AcctTblE,4,0)),"کد ناشناخته"))</f>
        <v/>
      </c>
      <c r="E746" s="15" t="n"/>
      <c r="F746" s="20">
        <f>IF($B746="","",IFERROR(INDEX(WageDates,MATCH($B746,WageIds,0)),"—"))</f>
        <v/>
      </c>
      <c r="G746" s="20">
        <f>IF($B746="","",IFERROR(VLOOKUP(INDEX(WageParty,MATCH($B746,WageIds,0)),WGTbl,2,0),"—"))</f>
        <v/>
      </c>
      <c r="H746" s="12" t="n"/>
    </row>
    <row r="747">
      <c r="A747" s="10">
        <f>IF($B747="","",COUNTA($B$9:$B747))</f>
        <v/>
      </c>
      <c r="B747" s="12" t="n"/>
      <c r="C747" s="13" t="n"/>
      <c r="D747" s="14">
        <f>IF($C747="","",IFERROR(IF(VLOOKUP($C747,AcctTblE,4,0)="","(بدون نام)",VLOOKUP($C747,AcctTblE,4,0)),"کد ناشناخته"))</f>
        <v/>
      </c>
      <c r="E747" s="15" t="n"/>
      <c r="F747" s="14">
        <f>IF($B747="","",IFERROR(INDEX(WageDates,MATCH($B747,WageIds,0)),"—"))</f>
        <v/>
      </c>
      <c r="G747" s="14">
        <f>IF($B747="","",IFERROR(VLOOKUP(INDEX(WageParty,MATCH($B747,WageIds,0)),WGTbl,2,0),"—"))</f>
        <v/>
      </c>
      <c r="H747" s="12" t="n"/>
    </row>
    <row r="748">
      <c r="A748" s="19">
        <f>IF($B748="","",COUNTA($B$9:$B748))</f>
        <v/>
      </c>
      <c r="B748" s="12" t="n"/>
      <c r="C748" s="13" t="n"/>
      <c r="D748" s="20">
        <f>IF($C748="","",IFERROR(IF(VLOOKUP($C748,AcctTblE,4,0)="","(بدون نام)",VLOOKUP($C748,AcctTblE,4,0)),"کد ناشناخته"))</f>
        <v/>
      </c>
      <c r="E748" s="15" t="n"/>
      <c r="F748" s="20">
        <f>IF($B748="","",IFERROR(INDEX(WageDates,MATCH($B748,WageIds,0)),"—"))</f>
        <v/>
      </c>
      <c r="G748" s="20">
        <f>IF($B748="","",IFERROR(VLOOKUP(INDEX(WageParty,MATCH($B748,WageIds,0)),WGTbl,2,0),"—"))</f>
        <v/>
      </c>
      <c r="H748" s="12" t="n"/>
    </row>
    <row r="749">
      <c r="A749" s="10">
        <f>IF($B749="","",COUNTA($B$9:$B749))</f>
        <v/>
      </c>
      <c r="B749" s="12" t="n"/>
      <c r="C749" s="13" t="n"/>
      <c r="D749" s="14">
        <f>IF($C749="","",IFERROR(IF(VLOOKUP($C749,AcctTblE,4,0)="","(بدون نام)",VLOOKUP($C749,AcctTblE,4,0)),"کد ناشناخته"))</f>
        <v/>
      </c>
      <c r="E749" s="15" t="n"/>
      <c r="F749" s="14">
        <f>IF($B749="","",IFERROR(INDEX(WageDates,MATCH($B749,WageIds,0)),"—"))</f>
        <v/>
      </c>
      <c r="G749" s="14">
        <f>IF($B749="","",IFERROR(VLOOKUP(INDEX(WageParty,MATCH($B749,WageIds,0)),WGTbl,2,0),"—"))</f>
        <v/>
      </c>
      <c r="H749" s="12" t="n"/>
    </row>
    <row r="750">
      <c r="A750" s="19">
        <f>IF($B750="","",COUNTA($B$9:$B750))</f>
        <v/>
      </c>
      <c r="B750" s="12" t="n"/>
      <c r="C750" s="13" t="n"/>
      <c r="D750" s="20">
        <f>IF($C750="","",IFERROR(IF(VLOOKUP($C750,AcctTblE,4,0)="","(بدون نام)",VLOOKUP($C750,AcctTblE,4,0)),"کد ناشناخته"))</f>
        <v/>
      </c>
      <c r="E750" s="15" t="n"/>
      <c r="F750" s="20">
        <f>IF($B750="","",IFERROR(INDEX(WageDates,MATCH($B750,WageIds,0)),"—"))</f>
        <v/>
      </c>
      <c r="G750" s="20">
        <f>IF($B750="","",IFERROR(VLOOKUP(INDEX(WageParty,MATCH($B750,WageIds,0)),WGTbl,2,0),"—"))</f>
        <v/>
      </c>
      <c r="H750" s="12" t="n"/>
    </row>
    <row r="751">
      <c r="A751" s="10">
        <f>IF($B751="","",COUNTA($B$9:$B751))</f>
        <v/>
      </c>
      <c r="B751" s="12" t="n"/>
      <c r="C751" s="13" t="n"/>
      <c r="D751" s="14">
        <f>IF($C751="","",IFERROR(IF(VLOOKUP($C751,AcctTblE,4,0)="","(بدون نام)",VLOOKUP($C751,AcctTblE,4,0)),"کد ناشناخته"))</f>
        <v/>
      </c>
      <c r="E751" s="15" t="n"/>
      <c r="F751" s="14">
        <f>IF($B751="","",IFERROR(INDEX(WageDates,MATCH($B751,WageIds,0)),"—"))</f>
        <v/>
      </c>
      <c r="G751" s="14">
        <f>IF($B751="","",IFERROR(VLOOKUP(INDEX(WageParty,MATCH($B751,WageIds,0)),WGTbl,2,0),"—"))</f>
        <v/>
      </c>
      <c r="H751" s="12" t="n"/>
    </row>
    <row r="752">
      <c r="A752" s="19">
        <f>IF($B752="","",COUNTA($B$9:$B752))</f>
        <v/>
      </c>
      <c r="B752" s="12" t="n"/>
      <c r="C752" s="13" t="n"/>
      <c r="D752" s="20">
        <f>IF($C752="","",IFERROR(IF(VLOOKUP($C752,AcctTblE,4,0)="","(بدون نام)",VLOOKUP($C752,AcctTblE,4,0)),"کد ناشناخته"))</f>
        <v/>
      </c>
      <c r="E752" s="15" t="n"/>
      <c r="F752" s="20">
        <f>IF($B752="","",IFERROR(INDEX(WageDates,MATCH($B752,WageIds,0)),"—"))</f>
        <v/>
      </c>
      <c r="G752" s="20">
        <f>IF($B752="","",IFERROR(VLOOKUP(INDEX(WageParty,MATCH($B752,WageIds,0)),WGTbl,2,0),"—"))</f>
        <v/>
      </c>
      <c r="H752" s="12" t="n"/>
    </row>
    <row r="753">
      <c r="A753" s="10">
        <f>IF($B753="","",COUNTA($B$9:$B753))</f>
        <v/>
      </c>
      <c r="B753" s="12" t="n"/>
      <c r="C753" s="13" t="n"/>
      <c r="D753" s="14">
        <f>IF($C753="","",IFERROR(IF(VLOOKUP($C753,AcctTblE,4,0)="","(بدون نام)",VLOOKUP($C753,AcctTblE,4,0)),"کد ناشناخته"))</f>
        <v/>
      </c>
      <c r="E753" s="15" t="n"/>
      <c r="F753" s="14">
        <f>IF($B753="","",IFERROR(INDEX(WageDates,MATCH($B753,WageIds,0)),"—"))</f>
        <v/>
      </c>
      <c r="G753" s="14">
        <f>IF($B753="","",IFERROR(VLOOKUP(INDEX(WageParty,MATCH($B753,WageIds,0)),WGTbl,2,0),"—"))</f>
        <v/>
      </c>
      <c r="H753" s="12" t="n"/>
    </row>
    <row r="754">
      <c r="A754" s="19">
        <f>IF($B754="","",COUNTA($B$9:$B754))</f>
        <v/>
      </c>
      <c r="B754" s="12" t="n"/>
      <c r="C754" s="13" t="n"/>
      <c r="D754" s="20">
        <f>IF($C754="","",IFERROR(IF(VLOOKUP($C754,AcctTblE,4,0)="","(بدون نام)",VLOOKUP($C754,AcctTblE,4,0)),"کد ناشناخته"))</f>
        <v/>
      </c>
      <c r="E754" s="15" t="n"/>
      <c r="F754" s="20">
        <f>IF($B754="","",IFERROR(INDEX(WageDates,MATCH($B754,WageIds,0)),"—"))</f>
        <v/>
      </c>
      <c r="G754" s="20">
        <f>IF($B754="","",IFERROR(VLOOKUP(INDEX(WageParty,MATCH($B754,WageIds,0)),WGTbl,2,0),"—"))</f>
        <v/>
      </c>
      <c r="H754" s="12" t="n"/>
    </row>
    <row r="755">
      <c r="A755" s="10">
        <f>IF($B755="","",COUNTA($B$9:$B755))</f>
        <v/>
      </c>
      <c r="B755" s="12" t="n"/>
      <c r="C755" s="13" t="n"/>
      <c r="D755" s="14">
        <f>IF($C755="","",IFERROR(IF(VLOOKUP($C755,AcctTblE,4,0)="","(بدون نام)",VLOOKUP($C755,AcctTblE,4,0)),"کد ناشناخته"))</f>
        <v/>
      </c>
      <c r="E755" s="15" t="n"/>
      <c r="F755" s="14">
        <f>IF($B755="","",IFERROR(INDEX(WageDates,MATCH($B755,WageIds,0)),"—"))</f>
        <v/>
      </c>
      <c r="G755" s="14">
        <f>IF($B755="","",IFERROR(VLOOKUP(INDEX(WageParty,MATCH($B755,WageIds,0)),WGTbl,2,0),"—"))</f>
        <v/>
      </c>
      <c r="H755" s="12" t="n"/>
    </row>
    <row r="756">
      <c r="A756" s="19">
        <f>IF($B756="","",COUNTA($B$9:$B756))</f>
        <v/>
      </c>
      <c r="B756" s="12" t="n"/>
      <c r="C756" s="13" t="n"/>
      <c r="D756" s="20">
        <f>IF($C756="","",IFERROR(IF(VLOOKUP($C756,AcctTblE,4,0)="","(بدون نام)",VLOOKUP($C756,AcctTblE,4,0)),"کد ناشناخته"))</f>
        <v/>
      </c>
      <c r="E756" s="15" t="n"/>
      <c r="F756" s="20">
        <f>IF($B756="","",IFERROR(INDEX(WageDates,MATCH($B756,WageIds,0)),"—"))</f>
        <v/>
      </c>
      <c r="G756" s="20">
        <f>IF($B756="","",IFERROR(VLOOKUP(INDEX(WageParty,MATCH($B756,WageIds,0)),WGTbl,2,0),"—"))</f>
        <v/>
      </c>
      <c r="H756" s="12" t="n"/>
    </row>
    <row r="757">
      <c r="A757" s="10">
        <f>IF($B757="","",COUNTA($B$9:$B757))</f>
        <v/>
      </c>
      <c r="B757" s="12" t="n"/>
      <c r="C757" s="13" t="n"/>
      <c r="D757" s="14">
        <f>IF($C757="","",IFERROR(IF(VLOOKUP($C757,AcctTblE,4,0)="","(بدون نام)",VLOOKUP($C757,AcctTblE,4,0)),"کد ناشناخته"))</f>
        <v/>
      </c>
      <c r="E757" s="15" t="n"/>
      <c r="F757" s="14">
        <f>IF($B757="","",IFERROR(INDEX(WageDates,MATCH($B757,WageIds,0)),"—"))</f>
        <v/>
      </c>
      <c r="G757" s="14">
        <f>IF($B757="","",IFERROR(VLOOKUP(INDEX(WageParty,MATCH($B757,WageIds,0)),WGTbl,2,0),"—"))</f>
        <v/>
      </c>
      <c r="H757" s="12" t="n"/>
    </row>
    <row r="758">
      <c r="A758" s="19">
        <f>IF($B758="","",COUNTA($B$9:$B758))</f>
        <v/>
      </c>
      <c r="B758" s="12" t="n"/>
      <c r="C758" s="13" t="n"/>
      <c r="D758" s="20">
        <f>IF($C758="","",IFERROR(IF(VLOOKUP($C758,AcctTblE,4,0)="","(بدون نام)",VLOOKUP($C758,AcctTblE,4,0)),"کد ناشناخته"))</f>
        <v/>
      </c>
      <c r="E758" s="15" t="n"/>
      <c r="F758" s="20">
        <f>IF($B758="","",IFERROR(INDEX(WageDates,MATCH($B758,WageIds,0)),"—"))</f>
        <v/>
      </c>
      <c r="G758" s="20">
        <f>IF($B758="","",IFERROR(VLOOKUP(INDEX(WageParty,MATCH($B758,WageIds,0)),WGTbl,2,0),"—"))</f>
        <v/>
      </c>
      <c r="H758" s="12" t="n"/>
    </row>
    <row r="759">
      <c r="A759" s="10">
        <f>IF($B759="","",COUNTA($B$9:$B759))</f>
        <v/>
      </c>
      <c r="B759" s="12" t="n"/>
      <c r="C759" s="13" t="n"/>
      <c r="D759" s="14">
        <f>IF($C759="","",IFERROR(IF(VLOOKUP($C759,AcctTblE,4,0)="","(بدون نام)",VLOOKUP($C759,AcctTblE,4,0)),"کد ناشناخته"))</f>
        <v/>
      </c>
      <c r="E759" s="15" t="n"/>
      <c r="F759" s="14">
        <f>IF($B759="","",IFERROR(INDEX(WageDates,MATCH($B759,WageIds,0)),"—"))</f>
        <v/>
      </c>
      <c r="G759" s="14">
        <f>IF($B759="","",IFERROR(VLOOKUP(INDEX(WageParty,MATCH($B759,WageIds,0)),WGTbl,2,0),"—"))</f>
        <v/>
      </c>
      <c r="H759" s="12" t="n"/>
    </row>
    <row r="760">
      <c r="A760" s="19">
        <f>IF($B760="","",COUNTA($B$9:$B760))</f>
        <v/>
      </c>
      <c r="B760" s="12" t="n"/>
      <c r="C760" s="13" t="n"/>
      <c r="D760" s="20">
        <f>IF($C760="","",IFERROR(IF(VLOOKUP($C760,AcctTblE,4,0)="","(بدون نام)",VLOOKUP($C760,AcctTblE,4,0)),"کد ناشناخته"))</f>
        <v/>
      </c>
      <c r="E760" s="15" t="n"/>
      <c r="F760" s="20">
        <f>IF($B760="","",IFERROR(INDEX(WageDates,MATCH($B760,WageIds,0)),"—"))</f>
        <v/>
      </c>
      <c r="G760" s="20">
        <f>IF($B760="","",IFERROR(VLOOKUP(INDEX(WageParty,MATCH($B760,WageIds,0)),WGTbl,2,0),"—"))</f>
        <v/>
      </c>
      <c r="H760" s="12" t="n"/>
    </row>
    <row r="761">
      <c r="A761" s="10">
        <f>IF($B761="","",COUNTA($B$9:$B761))</f>
        <v/>
      </c>
      <c r="B761" s="12" t="n"/>
      <c r="C761" s="13" t="n"/>
      <c r="D761" s="14">
        <f>IF($C761="","",IFERROR(IF(VLOOKUP($C761,AcctTblE,4,0)="","(بدون نام)",VLOOKUP($C761,AcctTblE,4,0)),"کد ناشناخته"))</f>
        <v/>
      </c>
      <c r="E761" s="15" t="n"/>
      <c r="F761" s="14">
        <f>IF($B761="","",IFERROR(INDEX(WageDates,MATCH($B761,WageIds,0)),"—"))</f>
        <v/>
      </c>
      <c r="G761" s="14">
        <f>IF($B761="","",IFERROR(VLOOKUP(INDEX(WageParty,MATCH($B761,WageIds,0)),WGTbl,2,0),"—"))</f>
        <v/>
      </c>
      <c r="H761" s="12" t="n"/>
    </row>
    <row r="762">
      <c r="A762" s="19">
        <f>IF($B762="","",COUNTA($B$9:$B762))</f>
        <v/>
      </c>
      <c r="B762" s="12" t="n"/>
      <c r="C762" s="13" t="n"/>
      <c r="D762" s="20">
        <f>IF($C762="","",IFERROR(IF(VLOOKUP($C762,AcctTblE,4,0)="","(بدون نام)",VLOOKUP($C762,AcctTblE,4,0)),"کد ناشناخته"))</f>
        <v/>
      </c>
      <c r="E762" s="15" t="n"/>
      <c r="F762" s="20">
        <f>IF($B762="","",IFERROR(INDEX(WageDates,MATCH($B762,WageIds,0)),"—"))</f>
        <v/>
      </c>
      <c r="G762" s="20">
        <f>IF($B762="","",IFERROR(VLOOKUP(INDEX(WageParty,MATCH($B762,WageIds,0)),WGTbl,2,0),"—"))</f>
        <v/>
      </c>
      <c r="H762" s="12" t="n"/>
    </row>
    <row r="763">
      <c r="A763" s="10">
        <f>IF($B763="","",COUNTA($B$9:$B763))</f>
        <v/>
      </c>
      <c r="B763" s="12" t="n"/>
      <c r="C763" s="13" t="n"/>
      <c r="D763" s="14">
        <f>IF($C763="","",IFERROR(IF(VLOOKUP($C763,AcctTblE,4,0)="","(بدون نام)",VLOOKUP($C763,AcctTblE,4,0)),"کد ناشناخته"))</f>
        <v/>
      </c>
      <c r="E763" s="15" t="n"/>
      <c r="F763" s="14">
        <f>IF($B763="","",IFERROR(INDEX(WageDates,MATCH($B763,WageIds,0)),"—"))</f>
        <v/>
      </c>
      <c r="G763" s="14">
        <f>IF($B763="","",IFERROR(VLOOKUP(INDEX(WageParty,MATCH($B763,WageIds,0)),WGTbl,2,0),"—"))</f>
        <v/>
      </c>
      <c r="H763" s="12" t="n"/>
    </row>
    <row r="764">
      <c r="A764" s="19">
        <f>IF($B764="","",COUNTA($B$9:$B764))</f>
        <v/>
      </c>
      <c r="B764" s="12" t="n"/>
      <c r="C764" s="13" t="n"/>
      <c r="D764" s="20">
        <f>IF($C764="","",IFERROR(IF(VLOOKUP($C764,AcctTblE,4,0)="","(بدون نام)",VLOOKUP($C764,AcctTblE,4,0)),"کد ناشناخته"))</f>
        <v/>
      </c>
      <c r="E764" s="15" t="n"/>
      <c r="F764" s="20">
        <f>IF($B764="","",IFERROR(INDEX(WageDates,MATCH($B764,WageIds,0)),"—"))</f>
        <v/>
      </c>
      <c r="G764" s="20">
        <f>IF($B764="","",IFERROR(VLOOKUP(INDEX(WageParty,MATCH($B764,WageIds,0)),WGTbl,2,0),"—"))</f>
        <v/>
      </c>
      <c r="H764" s="12" t="n"/>
    </row>
    <row r="765">
      <c r="A765" s="10">
        <f>IF($B765="","",COUNTA($B$9:$B765))</f>
        <v/>
      </c>
      <c r="B765" s="12" t="n"/>
      <c r="C765" s="13" t="n"/>
      <c r="D765" s="14">
        <f>IF($C765="","",IFERROR(IF(VLOOKUP($C765,AcctTblE,4,0)="","(بدون نام)",VLOOKUP($C765,AcctTblE,4,0)),"کد ناشناخته"))</f>
        <v/>
      </c>
      <c r="E765" s="15" t="n"/>
      <c r="F765" s="14">
        <f>IF($B765="","",IFERROR(INDEX(WageDates,MATCH($B765,WageIds,0)),"—"))</f>
        <v/>
      </c>
      <c r="G765" s="14">
        <f>IF($B765="","",IFERROR(VLOOKUP(INDEX(WageParty,MATCH($B765,WageIds,0)),WGTbl,2,0),"—"))</f>
        <v/>
      </c>
      <c r="H765" s="12" t="n"/>
    </row>
    <row r="766">
      <c r="A766" s="19">
        <f>IF($B766="","",COUNTA($B$9:$B766))</f>
        <v/>
      </c>
      <c r="B766" s="12" t="n"/>
      <c r="C766" s="13" t="n"/>
      <c r="D766" s="20">
        <f>IF($C766="","",IFERROR(IF(VLOOKUP($C766,AcctTblE,4,0)="","(بدون نام)",VLOOKUP($C766,AcctTblE,4,0)),"کد ناشناخته"))</f>
        <v/>
      </c>
      <c r="E766" s="15" t="n"/>
      <c r="F766" s="20">
        <f>IF($B766="","",IFERROR(INDEX(WageDates,MATCH($B766,WageIds,0)),"—"))</f>
        <v/>
      </c>
      <c r="G766" s="20">
        <f>IF($B766="","",IFERROR(VLOOKUP(INDEX(WageParty,MATCH($B766,WageIds,0)),WGTbl,2,0),"—"))</f>
        <v/>
      </c>
      <c r="H766" s="12" t="n"/>
    </row>
    <row r="767">
      <c r="A767" s="10">
        <f>IF($B767="","",COUNTA($B$9:$B767))</f>
        <v/>
      </c>
      <c r="B767" s="12" t="n"/>
      <c r="C767" s="13" t="n"/>
      <c r="D767" s="14">
        <f>IF($C767="","",IFERROR(IF(VLOOKUP($C767,AcctTblE,4,0)="","(بدون نام)",VLOOKUP($C767,AcctTblE,4,0)),"کد ناشناخته"))</f>
        <v/>
      </c>
      <c r="E767" s="15" t="n"/>
      <c r="F767" s="14">
        <f>IF($B767="","",IFERROR(INDEX(WageDates,MATCH($B767,WageIds,0)),"—"))</f>
        <v/>
      </c>
      <c r="G767" s="14">
        <f>IF($B767="","",IFERROR(VLOOKUP(INDEX(WageParty,MATCH($B767,WageIds,0)),WGTbl,2,0),"—"))</f>
        <v/>
      </c>
      <c r="H767" s="12" t="n"/>
    </row>
    <row r="768">
      <c r="A768" s="19">
        <f>IF($B768="","",COUNTA($B$9:$B768))</f>
        <v/>
      </c>
      <c r="B768" s="12" t="n"/>
      <c r="C768" s="13" t="n"/>
      <c r="D768" s="20">
        <f>IF($C768="","",IFERROR(IF(VLOOKUP($C768,AcctTblE,4,0)="","(بدون نام)",VLOOKUP($C768,AcctTblE,4,0)),"کد ناشناخته"))</f>
        <v/>
      </c>
      <c r="E768" s="15" t="n"/>
      <c r="F768" s="20">
        <f>IF($B768="","",IFERROR(INDEX(WageDates,MATCH($B768,WageIds,0)),"—"))</f>
        <v/>
      </c>
      <c r="G768" s="20">
        <f>IF($B768="","",IFERROR(VLOOKUP(INDEX(WageParty,MATCH($B768,WageIds,0)),WGTbl,2,0),"—"))</f>
        <v/>
      </c>
      <c r="H768" s="12" t="n"/>
    </row>
    <row r="769">
      <c r="A769" s="10">
        <f>IF($B769="","",COUNTA($B$9:$B769))</f>
        <v/>
      </c>
      <c r="B769" s="12" t="n"/>
      <c r="C769" s="13" t="n"/>
      <c r="D769" s="14">
        <f>IF($C769="","",IFERROR(IF(VLOOKUP($C769,AcctTblE,4,0)="","(بدون نام)",VLOOKUP($C769,AcctTblE,4,0)),"کد ناشناخته"))</f>
        <v/>
      </c>
      <c r="E769" s="15" t="n"/>
      <c r="F769" s="14">
        <f>IF($B769="","",IFERROR(INDEX(WageDates,MATCH($B769,WageIds,0)),"—"))</f>
        <v/>
      </c>
      <c r="G769" s="14">
        <f>IF($B769="","",IFERROR(VLOOKUP(INDEX(WageParty,MATCH($B769,WageIds,0)),WGTbl,2,0),"—"))</f>
        <v/>
      </c>
      <c r="H769" s="12" t="n"/>
    </row>
    <row r="770">
      <c r="A770" s="19">
        <f>IF($B770="","",COUNTA($B$9:$B770))</f>
        <v/>
      </c>
      <c r="B770" s="12" t="n"/>
      <c r="C770" s="13" t="n"/>
      <c r="D770" s="20">
        <f>IF($C770="","",IFERROR(IF(VLOOKUP($C770,AcctTblE,4,0)="","(بدون نام)",VLOOKUP($C770,AcctTblE,4,0)),"کد ناشناخته"))</f>
        <v/>
      </c>
      <c r="E770" s="15" t="n"/>
      <c r="F770" s="20">
        <f>IF($B770="","",IFERROR(INDEX(WageDates,MATCH($B770,WageIds,0)),"—"))</f>
        <v/>
      </c>
      <c r="G770" s="20">
        <f>IF($B770="","",IFERROR(VLOOKUP(INDEX(WageParty,MATCH($B770,WageIds,0)),WGTbl,2,0),"—"))</f>
        <v/>
      </c>
      <c r="H770" s="12" t="n"/>
    </row>
    <row r="771">
      <c r="A771" s="10">
        <f>IF($B771="","",COUNTA($B$9:$B771))</f>
        <v/>
      </c>
      <c r="B771" s="12" t="n"/>
      <c r="C771" s="13" t="n"/>
      <c r="D771" s="14">
        <f>IF($C771="","",IFERROR(IF(VLOOKUP($C771,AcctTblE,4,0)="","(بدون نام)",VLOOKUP($C771,AcctTblE,4,0)),"کد ناشناخته"))</f>
        <v/>
      </c>
      <c r="E771" s="15" t="n"/>
      <c r="F771" s="14">
        <f>IF($B771="","",IFERROR(INDEX(WageDates,MATCH($B771,WageIds,0)),"—"))</f>
        <v/>
      </c>
      <c r="G771" s="14">
        <f>IF($B771="","",IFERROR(VLOOKUP(INDEX(WageParty,MATCH($B771,WageIds,0)),WGTbl,2,0),"—"))</f>
        <v/>
      </c>
      <c r="H771" s="12" t="n"/>
    </row>
    <row r="772">
      <c r="A772" s="19">
        <f>IF($B772="","",COUNTA($B$9:$B772))</f>
        <v/>
      </c>
      <c r="B772" s="12" t="n"/>
      <c r="C772" s="13" t="n"/>
      <c r="D772" s="20">
        <f>IF($C772="","",IFERROR(IF(VLOOKUP($C772,AcctTblE,4,0)="","(بدون نام)",VLOOKUP($C772,AcctTblE,4,0)),"کد ناشناخته"))</f>
        <v/>
      </c>
      <c r="E772" s="15" t="n"/>
      <c r="F772" s="20">
        <f>IF($B772="","",IFERROR(INDEX(WageDates,MATCH($B772,WageIds,0)),"—"))</f>
        <v/>
      </c>
      <c r="G772" s="20">
        <f>IF($B772="","",IFERROR(VLOOKUP(INDEX(WageParty,MATCH($B772,WageIds,0)),WGTbl,2,0),"—"))</f>
        <v/>
      </c>
      <c r="H772" s="12" t="n"/>
    </row>
    <row r="773">
      <c r="A773" s="10">
        <f>IF($B773="","",COUNTA($B$9:$B773))</f>
        <v/>
      </c>
      <c r="B773" s="12" t="n"/>
      <c r="C773" s="13" t="n"/>
      <c r="D773" s="14">
        <f>IF($C773="","",IFERROR(IF(VLOOKUP($C773,AcctTblE,4,0)="","(بدون نام)",VLOOKUP($C773,AcctTblE,4,0)),"کد ناشناخته"))</f>
        <v/>
      </c>
      <c r="E773" s="15" t="n"/>
      <c r="F773" s="14">
        <f>IF($B773="","",IFERROR(INDEX(WageDates,MATCH($B773,WageIds,0)),"—"))</f>
        <v/>
      </c>
      <c r="G773" s="14">
        <f>IF($B773="","",IFERROR(VLOOKUP(INDEX(WageParty,MATCH($B773,WageIds,0)),WGTbl,2,0),"—"))</f>
        <v/>
      </c>
      <c r="H773" s="12" t="n"/>
    </row>
    <row r="774">
      <c r="A774" s="19">
        <f>IF($B774="","",COUNTA($B$9:$B774))</f>
        <v/>
      </c>
      <c r="B774" s="12" t="n"/>
      <c r="C774" s="13" t="n"/>
      <c r="D774" s="20">
        <f>IF($C774="","",IFERROR(IF(VLOOKUP($C774,AcctTblE,4,0)="","(بدون نام)",VLOOKUP($C774,AcctTblE,4,0)),"کد ناشناخته"))</f>
        <v/>
      </c>
      <c r="E774" s="15" t="n"/>
      <c r="F774" s="20">
        <f>IF($B774="","",IFERROR(INDEX(WageDates,MATCH($B774,WageIds,0)),"—"))</f>
        <v/>
      </c>
      <c r="G774" s="20">
        <f>IF($B774="","",IFERROR(VLOOKUP(INDEX(WageParty,MATCH($B774,WageIds,0)),WGTbl,2,0),"—"))</f>
        <v/>
      </c>
      <c r="H774" s="12" t="n"/>
    </row>
    <row r="775">
      <c r="A775" s="10">
        <f>IF($B775="","",COUNTA($B$9:$B775))</f>
        <v/>
      </c>
      <c r="B775" s="12" t="n"/>
      <c r="C775" s="13" t="n"/>
      <c r="D775" s="14">
        <f>IF($C775="","",IFERROR(IF(VLOOKUP($C775,AcctTblE,4,0)="","(بدون نام)",VLOOKUP($C775,AcctTblE,4,0)),"کد ناشناخته"))</f>
        <v/>
      </c>
      <c r="E775" s="15" t="n"/>
      <c r="F775" s="14">
        <f>IF($B775="","",IFERROR(INDEX(WageDates,MATCH($B775,WageIds,0)),"—"))</f>
        <v/>
      </c>
      <c r="G775" s="14">
        <f>IF($B775="","",IFERROR(VLOOKUP(INDEX(WageParty,MATCH($B775,WageIds,0)),WGTbl,2,0),"—"))</f>
        <v/>
      </c>
      <c r="H775" s="12" t="n"/>
    </row>
    <row r="776">
      <c r="A776" s="19">
        <f>IF($B776="","",COUNTA($B$9:$B776))</f>
        <v/>
      </c>
      <c r="B776" s="12" t="n"/>
      <c r="C776" s="13" t="n"/>
      <c r="D776" s="20">
        <f>IF($C776="","",IFERROR(IF(VLOOKUP($C776,AcctTblE,4,0)="","(بدون نام)",VLOOKUP($C776,AcctTblE,4,0)),"کد ناشناخته"))</f>
        <v/>
      </c>
      <c r="E776" s="15" t="n"/>
      <c r="F776" s="20">
        <f>IF($B776="","",IFERROR(INDEX(WageDates,MATCH($B776,WageIds,0)),"—"))</f>
        <v/>
      </c>
      <c r="G776" s="20">
        <f>IF($B776="","",IFERROR(VLOOKUP(INDEX(WageParty,MATCH($B776,WageIds,0)),WGTbl,2,0),"—"))</f>
        <v/>
      </c>
      <c r="H776" s="12" t="n"/>
    </row>
    <row r="777">
      <c r="A777" s="10">
        <f>IF($B777="","",COUNTA($B$9:$B777))</f>
        <v/>
      </c>
      <c r="B777" s="12" t="n"/>
      <c r="C777" s="13" t="n"/>
      <c r="D777" s="14">
        <f>IF($C777="","",IFERROR(IF(VLOOKUP($C777,AcctTblE,4,0)="","(بدون نام)",VLOOKUP($C777,AcctTblE,4,0)),"کد ناشناخته"))</f>
        <v/>
      </c>
      <c r="E777" s="15" t="n"/>
      <c r="F777" s="14">
        <f>IF($B777="","",IFERROR(INDEX(WageDates,MATCH($B777,WageIds,0)),"—"))</f>
        <v/>
      </c>
      <c r="G777" s="14">
        <f>IF($B777="","",IFERROR(VLOOKUP(INDEX(WageParty,MATCH($B777,WageIds,0)),WGTbl,2,0),"—"))</f>
        <v/>
      </c>
      <c r="H777" s="12" t="n"/>
    </row>
    <row r="778">
      <c r="A778" s="19">
        <f>IF($B778="","",COUNTA($B$9:$B778))</f>
        <v/>
      </c>
      <c r="B778" s="12" t="n"/>
      <c r="C778" s="13" t="n"/>
      <c r="D778" s="20">
        <f>IF($C778="","",IFERROR(IF(VLOOKUP($C778,AcctTblE,4,0)="","(بدون نام)",VLOOKUP($C778,AcctTblE,4,0)),"کد ناشناخته"))</f>
        <v/>
      </c>
      <c r="E778" s="15" t="n"/>
      <c r="F778" s="20">
        <f>IF($B778="","",IFERROR(INDEX(WageDates,MATCH($B778,WageIds,0)),"—"))</f>
        <v/>
      </c>
      <c r="G778" s="20">
        <f>IF($B778="","",IFERROR(VLOOKUP(INDEX(WageParty,MATCH($B778,WageIds,0)),WGTbl,2,0),"—"))</f>
        <v/>
      </c>
      <c r="H778" s="12" t="n"/>
    </row>
    <row r="779">
      <c r="A779" s="10">
        <f>IF($B779="","",COUNTA($B$9:$B779))</f>
        <v/>
      </c>
      <c r="B779" s="12" t="n"/>
      <c r="C779" s="13" t="n"/>
      <c r="D779" s="14">
        <f>IF($C779="","",IFERROR(IF(VLOOKUP($C779,AcctTblE,4,0)="","(بدون نام)",VLOOKUP($C779,AcctTblE,4,0)),"کد ناشناخته"))</f>
        <v/>
      </c>
      <c r="E779" s="15" t="n"/>
      <c r="F779" s="14">
        <f>IF($B779="","",IFERROR(INDEX(WageDates,MATCH($B779,WageIds,0)),"—"))</f>
        <v/>
      </c>
      <c r="G779" s="14">
        <f>IF($B779="","",IFERROR(VLOOKUP(INDEX(WageParty,MATCH($B779,WageIds,0)),WGTbl,2,0),"—"))</f>
        <v/>
      </c>
      <c r="H779" s="12" t="n"/>
    </row>
    <row r="780">
      <c r="A780" s="19">
        <f>IF($B780="","",COUNTA($B$9:$B780))</f>
        <v/>
      </c>
      <c r="B780" s="12" t="n"/>
      <c r="C780" s="13" t="n"/>
      <c r="D780" s="20">
        <f>IF($C780="","",IFERROR(IF(VLOOKUP($C780,AcctTblE,4,0)="","(بدون نام)",VLOOKUP($C780,AcctTblE,4,0)),"کد ناشناخته"))</f>
        <v/>
      </c>
      <c r="E780" s="15" t="n"/>
      <c r="F780" s="20">
        <f>IF($B780="","",IFERROR(INDEX(WageDates,MATCH($B780,WageIds,0)),"—"))</f>
        <v/>
      </c>
      <c r="G780" s="20">
        <f>IF($B780="","",IFERROR(VLOOKUP(INDEX(WageParty,MATCH($B780,WageIds,0)),WGTbl,2,0),"—"))</f>
        <v/>
      </c>
      <c r="H780" s="12" t="n"/>
    </row>
    <row r="781">
      <c r="A781" s="10">
        <f>IF($B781="","",COUNTA($B$9:$B781))</f>
        <v/>
      </c>
      <c r="B781" s="12" t="n"/>
      <c r="C781" s="13" t="n"/>
      <c r="D781" s="14">
        <f>IF($C781="","",IFERROR(IF(VLOOKUP($C781,AcctTblE,4,0)="","(بدون نام)",VLOOKUP($C781,AcctTblE,4,0)),"کد ناشناخته"))</f>
        <v/>
      </c>
      <c r="E781" s="15" t="n"/>
      <c r="F781" s="14">
        <f>IF($B781="","",IFERROR(INDEX(WageDates,MATCH($B781,WageIds,0)),"—"))</f>
        <v/>
      </c>
      <c r="G781" s="14">
        <f>IF($B781="","",IFERROR(VLOOKUP(INDEX(WageParty,MATCH($B781,WageIds,0)),WGTbl,2,0),"—"))</f>
        <v/>
      </c>
      <c r="H781" s="12" t="n"/>
    </row>
    <row r="782">
      <c r="A782" s="19">
        <f>IF($B782="","",COUNTA($B$9:$B782))</f>
        <v/>
      </c>
      <c r="B782" s="12" t="n"/>
      <c r="C782" s="13" t="n"/>
      <c r="D782" s="20">
        <f>IF($C782="","",IFERROR(IF(VLOOKUP($C782,AcctTblE,4,0)="","(بدون نام)",VLOOKUP($C782,AcctTblE,4,0)),"کد ناشناخته"))</f>
        <v/>
      </c>
      <c r="E782" s="15" t="n"/>
      <c r="F782" s="20">
        <f>IF($B782="","",IFERROR(INDEX(WageDates,MATCH($B782,WageIds,0)),"—"))</f>
        <v/>
      </c>
      <c r="G782" s="20">
        <f>IF($B782="","",IFERROR(VLOOKUP(INDEX(WageParty,MATCH($B782,WageIds,0)),WGTbl,2,0),"—"))</f>
        <v/>
      </c>
      <c r="H782" s="12" t="n"/>
    </row>
    <row r="783">
      <c r="A783" s="10">
        <f>IF($B783="","",COUNTA($B$9:$B783))</f>
        <v/>
      </c>
      <c r="B783" s="12" t="n"/>
      <c r="C783" s="13" t="n"/>
      <c r="D783" s="14">
        <f>IF($C783="","",IFERROR(IF(VLOOKUP($C783,AcctTblE,4,0)="","(بدون نام)",VLOOKUP($C783,AcctTblE,4,0)),"کد ناشناخته"))</f>
        <v/>
      </c>
      <c r="E783" s="15" t="n"/>
      <c r="F783" s="14">
        <f>IF($B783="","",IFERROR(INDEX(WageDates,MATCH($B783,WageIds,0)),"—"))</f>
        <v/>
      </c>
      <c r="G783" s="14">
        <f>IF($B783="","",IFERROR(VLOOKUP(INDEX(WageParty,MATCH($B783,WageIds,0)),WGTbl,2,0),"—"))</f>
        <v/>
      </c>
      <c r="H783" s="12" t="n"/>
    </row>
    <row r="784">
      <c r="A784" s="19">
        <f>IF($B784="","",COUNTA($B$9:$B784))</f>
        <v/>
      </c>
      <c r="B784" s="12" t="n"/>
      <c r="C784" s="13" t="n"/>
      <c r="D784" s="20">
        <f>IF($C784="","",IFERROR(IF(VLOOKUP($C784,AcctTblE,4,0)="","(بدون نام)",VLOOKUP($C784,AcctTblE,4,0)),"کد ناشناخته"))</f>
        <v/>
      </c>
      <c r="E784" s="15" t="n"/>
      <c r="F784" s="20">
        <f>IF($B784="","",IFERROR(INDEX(WageDates,MATCH($B784,WageIds,0)),"—"))</f>
        <v/>
      </c>
      <c r="G784" s="20">
        <f>IF($B784="","",IFERROR(VLOOKUP(INDEX(WageParty,MATCH($B784,WageIds,0)),WGTbl,2,0),"—"))</f>
        <v/>
      </c>
      <c r="H784" s="12" t="n"/>
    </row>
    <row r="785">
      <c r="A785" s="10">
        <f>IF($B785="","",COUNTA($B$9:$B785))</f>
        <v/>
      </c>
      <c r="B785" s="12" t="n"/>
      <c r="C785" s="13" t="n"/>
      <c r="D785" s="14">
        <f>IF($C785="","",IFERROR(IF(VLOOKUP($C785,AcctTblE,4,0)="","(بدون نام)",VLOOKUP($C785,AcctTblE,4,0)),"کد ناشناخته"))</f>
        <v/>
      </c>
      <c r="E785" s="15" t="n"/>
      <c r="F785" s="14">
        <f>IF($B785="","",IFERROR(INDEX(WageDates,MATCH($B785,WageIds,0)),"—"))</f>
        <v/>
      </c>
      <c r="G785" s="14">
        <f>IF($B785="","",IFERROR(VLOOKUP(INDEX(WageParty,MATCH($B785,WageIds,0)),WGTbl,2,0),"—"))</f>
        <v/>
      </c>
      <c r="H785" s="12" t="n"/>
    </row>
    <row r="786">
      <c r="A786" s="19">
        <f>IF($B786="","",COUNTA($B$9:$B786))</f>
        <v/>
      </c>
      <c r="B786" s="12" t="n"/>
      <c r="C786" s="13" t="n"/>
      <c r="D786" s="20">
        <f>IF($C786="","",IFERROR(IF(VLOOKUP($C786,AcctTblE,4,0)="","(بدون نام)",VLOOKUP($C786,AcctTblE,4,0)),"کد ناشناخته"))</f>
        <v/>
      </c>
      <c r="E786" s="15" t="n"/>
      <c r="F786" s="20">
        <f>IF($B786="","",IFERROR(INDEX(WageDates,MATCH($B786,WageIds,0)),"—"))</f>
        <v/>
      </c>
      <c r="G786" s="20">
        <f>IF($B786="","",IFERROR(VLOOKUP(INDEX(WageParty,MATCH($B786,WageIds,0)),WGTbl,2,0),"—"))</f>
        <v/>
      </c>
      <c r="H786" s="12" t="n"/>
    </row>
    <row r="787">
      <c r="A787" s="10">
        <f>IF($B787="","",COUNTA($B$9:$B787))</f>
        <v/>
      </c>
      <c r="B787" s="12" t="n"/>
      <c r="C787" s="13" t="n"/>
      <c r="D787" s="14">
        <f>IF($C787="","",IFERROR(IF(VLOOKUP($C787,AcctTblE,4,0)="","(بدون نام)",VLOOKUP($C787,AcctTblE,4,0)),"کد ناشناخته"))</f>
        <v/>
      </c>
      <c r="E787" s="15" t="n"/>
      <c r="F787" s="14">
        <f>IF($B787="","",IFERROR(INDEX(WageDates,MATCH($B787,WageIds,0)),"—"))</f>
        <v/>
      </c>
      <c r="G787" s="14">
        <f>IF($B787="","",IFERROR(VLOOKUP(INDEX(WageParty,MATCH($B787,WageIds,0)),WGTbl,2,0),"—"))</f>
        <v/>
      </c>
      <c r="H787" s="12" t="n"/>
    </row>
    <row r="788">
      <c r="A788" s="19">
        <f>IF($B788="","",COUNTA($B$9:$B788))</f>
        <v/>
      </c>
      <c r="B788" s="12" t="n"/>
      <c r="C788" s="13" t="n"/>
      <c r="D788" s="20">
        <f>IF($C788="","",IFERROR(IF(VLOOKUP($C788,AcctTblE,4,0)="","(بدون نام)",VLOOKUP($C788,AcctTblE,4,0)),"کد ناشناخته"))</f>
        <v/>
      </c>
      <c r="E788" s="15" t="n"/>
      <c r="F788" s="20">
        <f>IF($B788="","",IFERROR(INDEX(WageDates,MATCH($B788,WageIds,0)),"—"))</f>
        <v/>
      </c>
      <c r="G788" s="20">
        <f>IF($B788="","",IFERROR(VLOOKUP(INDEX(WageParty,MATCH($B788,WageIds,0)),WGTbl,2,0),"—"))</f>
        <v/>
      </c>
      <c r="H788" s="12" t="n"/>
    </row>
    <row r="789">
      <c r="A789" s="10">
        <f>IF($B789="","",COUNTA($B$9:$B789))</f>
        <v/>
      </c>
      <c r="B789" s="12" t="n"/>
      <c r="C789" s="13" t="n"/>
      <c r="D789" s="14">
        <f>IF($C789="","",IFERROR(IF(VLOOKUP($C789,AcctTblE,4,0)="","(بدون نام)",VLOOKUP($C789,AcctTblE,4,0)),"کد ناشناخته"))</f>
        <v/>
      </c>
      <c r="E789" s="15" t="n"/>
      <c r="F789" s="14">
        <f>IF($B789="","",IFERROR(INDEX(WageDates,MATCH($B789,WageIds,0)),"—"))</f>
        <v/>
      </c>
      <c r="G789" s="14">
        <f>IF($B789="","",IFERROR(VLOOKUP(INDEX(WageParty,MATCH($B789,WageIds,0)),WGTbl,2,0),"—"))</f>
        <v/>
      </c>
      <c r="H789" s="12" t="n"/>
    </row>
    <row r="790">
      <c r="A790" s="19">
        <f>IF($B790="","",COUNTA($B$9:$B790))</f>
        <v/>
      </c>
      <c r="B790" s="12" t="n"/>
      <c r="C790" s="13" t="n"/>
      <c r="D790" s="20">
        <f>IF($C790="","",IFERROR(IF(VLOOKUP($C790,AcctTblE,4,0)="","(بدون نام)",VLOOKUP($C790,AcctTblE,4,0)),"کد ناشناخته"))</f>
        <v/>
      </c>
      <c r="E790" s="15" t="n"/>
      <c r="F790" s="20">
        <f>IF($B790="","",IFERROR(INDEX(WageDates,MATCH($B790,WageIds,0)),"—"))</f>
        <v/>
      </c>
      <c r="G790" s="20">
        <f>IF($B790="","",IFERROR(VLOOKUP(INDEX(WageParty,MATCH($B790,WageIds,0)),WGTbl,2,0),"—"))</f>
        <v/>
      </c>
      <c r="H790" s="12" t="n"/>
    </row>
    <row r="791">
      <c r="A791" s="10">
        <f>IF($B791="","",COUNTA($B$9:$B791))</f>
        <v/>
      </c>
      <c r="B791" s="12" t="n"/>
      <c r="C791" s="13" t="n"/>
      <c r="D791" s="14">
        <f>IF($C791="","",IFERROR(IF(VLOOKUP($C791,AcctTblE,4,0)="","(بدون نام)",VLOOKUP($C791,AcctTblE,4,0)),"کد ناشناخته"))</f>
        <v/>
      </c>
      <c r="E791" s="15" t="n"/>
      <c r="F791" s="14">
        <f>IF($B791="","",IFERROR(INDEX(WageDates,MATCH($B791,WageIds,0)),"—"))</f>
        <v/>
      </c>
      <c r="G791" s="14">
        <f>IF($B791="","",IFERROR(VLOOKUP(INDEX(WageParty,MATCH($B791,WageIds,0)),WGTbl,2,0),"—"))</f>
        <v/>
      </c>
      <c r="H791" s="12" t="n"/>
    </row>
    <row r="792">
      <c r="A792" s="19">
        <f>IF($B792="","",COUNTA($B$9:$B792))</f>
        <v/>
      </c>
      <c r="B792" s="12" t="n"/>
      <c r="C792" s="13" t="n"/>
      <c r="D792" s="20">
        <f>IF($C792="","",IFERROR(IF(VLOOKUP($C792,AcctTblE,4,0)="","(بدون نام)",VLOOKUP($C792,AcctTblE,4,0)),"کد ناشناخته"))</f>
        <v/>
      </c>
      <c r="E792" s="15" t="n"/>
      <c r="F792" s="20">
        <f>IF($B792="","",IFERROR(INDEX(WageDates,MATCH($B792,WageIds,0)),"—"))</f>
        <v/>
      </c>
      <c r="G792" s="20">
        <f>IF($B792="","",IFERROR(VLOOKUP(INDEX(WageParty,MATCH($B792,WageIds,0)),WGTbl,2,0),"—"))</f>
        <v/>
      </c>
      <c r="H792" s="12" t="n"/>
    </row>
    <row r="793">
      <c r="A793" s="10">
        <f>IF($B793="","",COUNTA($B$9:$B793))</f>
        <v/>
      </c>
      <c r="B793" s="12" t="n"/>
      <c r="C793" s="13" t="n"/>
      <c r="D793" s="14">
        <f>IF($C793="","",IFERROR(IF(VLOOKUP($C793,AcctTblE,4,0)="","(بدون نام)",VLOOKUP($C793,AcctTblE,4,0)),"کد ناشناخته"))</f>
        <v/>
      </c>
      <c r="E793" s="15" t="n"/>
      <c r="F793" s="14">
        <f>IF($B793="","",IFERROR(INDEX(WageDates,MATCH($B793,WageIds,0)),"—"))</f>
        <v/>
      </c>
      <c r="G793" s="14">
        <f>IF($B793="","",IFERROR(VLOOKUP(INDEX(WageParty,MATCH($B793,WageIds,0)),WGTbl,2,0),"—"))</f>
        <v/>
      </c>
      <c r="H793" s="12" t="n"/>
    </row>
    <row r="794">
      <c r="A794" s="19">
        <f>IF($B794="","",COUNTA($B$9:$B794))</f>
        <v/>
      </c>
      <c r="B794" s="12" t="n"/>
      <c r="C794" s="13" t="n"/>
      <c r="D794" s="20">
        <f>IF($C794="","",IFERROR(IF(VLOOKUP($C794,AcctTblE,4,0)="","(بدون نام)",VLOOKUP($C794,AcctTblE,4,0)),"کد ناشناخته"))</f>
        <v/>
      </c>
      <c r="E794" s="15" t="n"/>
      <c r="F794" s="20">
        <f>IF($B794="","",IFERROR(INDEX(WageDates,MATCH($B794,WageIds,0)),"—"))</f>
        <v/>
      </c>
      <c r="G794" s="20">
        <f>IF($B794="","",IFERROR(VLOOKUP(INDEX(WageParty,MATCH($B794,WageIds,0)),WGTbl,2,0),"—"))</f>
        <v/>
      </c>
      <c r="H794" s="12" t="n"/>
    </row>
    <row r="795">
      <c r="A795" s="10">
        <f>IF($B795="","",COUNTA($B$9:$B795))</f>
        <v/>
      </c>
      <c r="B795" s="12" t="n"/>
      <c r="C795" s="13" t="n"/>
      <c r="D795" s="14">
        <f>IF($C795="","",IFERROR(IF(VLOOKUP($C795,AcctTblE,4,0)="","(بدون نام)",VLOOKUP($C795,AcctTblE,4,0)),"کد ناشناخته"))</f>
        <v/>
      </c>
      <c r="E795" s="15" t="n"/>
      <c r="F795" s="14">
        <f>IF($B795="","",IFERROR(INDEX(WageDates,MATCH($B795,WageIds,0)),"—"))</f>
        <v/>
      </c>
      <c r="G795" s="14">
        <f>IF($B795="","",IFERROR(VLOOKUP(INDEX(WageParty,MATCH($B795,WageIds,0)),WGTbl,2,0),"—"))</f>
        <v/>
      </c>
      <c r="H795" s="12" t="n"/>
    </row>
    <row r="796">
      <c r="A796" s="19">
        <f>IF($B796="","",COUNTA($B$9:$B796))</f>
        <v/>
      </c>
      <c r="B796" s="12" t="n"/>
      <c r="C796" s="13" t="n"/>
      <c r="D796" s="20">
        <f>IF($C796="","",IFERROR(IF(VLOOKUP($C796,AcctTblE,4,0)="","(بدون نام)",VLOOKUP($C796,AcctTblE,4,0)),"کد ناشناخته"))</f>
        <v/>
      </c>
      <c r="E796" s="15" t="n"/>
      <c r="F796" s="20">
        <f>IF($B796="","",IFERROR(INDEX(WageDates,MATCH($B796,WageIds,0)),"—"))</f>
        <v/>
      </c>
      <c r="G796" s="20">
        <f>IF($B796="","",IFERROR(VLOOKUP(INDEX(WageParty,MATCH($B796,WageIds,0)),WGTbl,2,0),"—"))</f>
        <v/>
      </c>
      <c r="H796" s="12" t="n"/>
    </row>
    <row r="797">
      <c r="A797" s="10">
        <f>IF($B797="","",COUNTA($B$9:$B797))</f>
        <v/>
      </c>
      <c r="B797" s="12" t="n"/>
      <c r="C797" s="13" t="n"/>
      <c r="D797" s="14">
        <f>IF($C797="","",IFERROR(IF(VLOOKUP($C797,AcctTblE,4,0)="","(بدون نام)",VLOOKUP($C797,AcctTblE,4,0)),"کد ناشناخته"))</f>
        <v/>
      </c>
      <c r="E797" s="15" t="n"/>
      <c r="F797" s="14">
        <f>IF($B797="","",IFERROR(INDEX(WageDates,MATCH($B797,WageIds,0)),"—"))</f>
        <v/>
      </c>
      <c r="G797" s="14">
        <f>IF($B797="","",IFERROR(VLOOKUP(INDEX(WageParty,MATCH($B797,WageIds,0)),WGTbl,2,0),"—"))</f>
        <v/>
      </c>
      <c r="H797" s="12" t="n"/>
    </row>
    <row r="798">
      <c r="A798" s="19">
        <f>IF($B798="","",COUNTA($B$9:$B798))</f>
        <v/>
      </c>
      <c r="B798" s="12" t="n"/>
      <c r="C798" s="13" t="n"/>
      <c r="D798" s="20">
        <f>IF($C798="","",IFERROR(IF(VLOOKUP($C798,AcctTblE,4,0)="","(بدون نام)",VLOOKUP($C798,AcctTblE,4,0)),"کد ناشناخته"))</f>
        <v/>
      </c>
      <c r="E798" s="15" t="n"/>
      <c r="F798" s="20">
        <f>IF($B798="","",IFERROR(INDEX(WageDates,MATCH($B798,WageIds,0)),"—"))</f>
        <v/>
      </c>
      <c r="G798" s="20">
        <f>IF($B798="","",IFERROR(VLOOKUP(INDEX(WageParty,MATCH($B798,WageIds,0)),WGTbl,2,0),"—"))</f>
        <v/>
      </c>
      <c r="H798" s="12" t="n"/>
    </row>
    <row r="799">
      <c r="A799" s="10">
        <f>IF($B799="","",COUNTA($B$9:$B799))</f>
        <v/>
      </c>
      <c r="B799" s="12" t="n"/>
      <c r="C799" s="13" t="n"/>
      <c r="D799" s="14">
        <f>IF($C799="","",IFERROR(IF(VLOOKUP($C799,AcctTblE,4,0)="","(بدون نام)",VLOOKUP($C799,AcctTblE,4,0)),"کد ناشناخته"))</f>
        <v/>
      </c>
      <c r="E799" s="15" t="n"/>
      <c r="F799" s="14">
        <f>IF($B799="","",IFERROR(INDEX(WageDates,MATCH($B799,WageIds,0)),"—"))</f>
        <v/>
      </c>
      <c r="G799" s="14">
        <f>IF($B799="","",IFERROR(VLOOKUP(INDEX(WageParty,MATCH($B799,WageIds,0)),WGTbl,2,0),"—"))</f>
        <v/>
      </c>
      <c r="H799" s="12" t="n"/>
    </row>
    <row r="800">
      <c r="A800" s="19">
        <f>IF($B800="","",COUNTA($B$9:$B800))</f>
        <v/>
      </c>
      <c r="B800" s="12" t="n"/>
      <c r="C800" s="13" t="n"/>
      <c r="D800" s="20">
        <f>IF($C800="","",IFERROR(IF(VLOOKUP($C800,AcctTblE,4,0)="","(بدون نام)",VLOOKUP($C800,AcctTblE,4,0)),"کد ناشناخته"))</f>
        <v/>
      </c>
      <c r="E800" s="15" t="n"/>
      <c r="F800" s="20">
        <f>IF($B800="","",IFERROR(INDEX(WageDates,MATCH($B800,WageIds,0)),"—"))</f>
        <v/>
      </c>
      <c r="G800" s="20">
        <f>IF($B800="","",IFERROR(VLOOKUP(INDEX(WageParty,MATCH($B800,WageIds,0)),WGTbl,2,0),"—"))</f>
        <v/>
      </c>
      <c r="H800" s="12" t="n"/>
    </row>
    <row r="801">
      <c r="A801" s="10">
        <f>IF($B801="","",COUNTA($B$9:$B801))</f>
        <v/>
      </c>
      <c r="B801" s="12" t="n"/>
      <c r="C801" s="13" t="n"/>
      <c r="D801" s="14">
        <f>IF($C801="","",IFERROR(IF(VLOOKUP($C801,AcctTblE,4,0)="","(بدون نام)",VLOOKUP($C801,AcctTblE,4,0)),"کد ناشناخته"))</f>
        <v/>
      </c>
      <c r="E801" s="15" t="n"/>
      <c r="F801" s="14">
        <f>IF($B801="","",IFERROR(INDEX(WageDates,MATCH($B801,WageIds,0)),"—"))</f>
        <v/>
      </c>
      <c r="G801" s="14">
        <f>IF($B801="","",IFERROR(VLOOKUP(INDEX(WageParty,MATCH($B801,WageIds,0)),WGTbl,2,0),"—"))</f>
        <v/>
      </c>
      <c r="H801" s="12" t="n"/>
    </row>
    <row r="802">
      <c r="A802" s="19">
        <f>IF($B802="","",COUNTA($B$9:$B802))</f>
        <v/>
      </c>
      <c r="B802" s="12" t="n"/>
      <c r="C802" s="13" t="n"/>
      <c r="D802" s="20">
        <f>IF($C802="","",IFERROR(IF(VLOOKUP($C802,AcctTblE,4,0)="","(بدون نام)",VLOOKUP($C802,AcctTblE,4,0)),"کد ناشناخته"))</f>
        <v/>
      </c>
      <c r="E802" s="15" t="n"/>
      <c r="F802" s="20">
        <f>IF($B802="","",IFERROR(INDEX(WageDates,MATCH($B802,WageIds,0)),"—"))</f>
        <v/>
      </c>
      <c r="G802" s="20">
        <f>IF($B802="","",IFERROR(VLOOKUP(INDEX(WageParty,MATCH($B802,WageIds,0)),WGTbl,2,0),"—"))</f>
        <v/>
      </c>
      <c r="H802" s="12" t="n"/>
    </row>
    <row r="803">
      <c r="A803" s="10">
        <f>IF($B803="","",COUNTA($B$9:$B803))</f>
        <v/>
      </c>
      <c r="B803" s="12" t="n"/>
      <c r="C803" s="13" t="n"/>
      <c r="D803" s="14">
        <f>IF($C803="","",IFERROR(IF(VLOOKUP($C803,AcctTblE,4,0)="","(بدون نام)",VLOOKUP($C803,AcctTblE,4,0)),"کد ناشناخته"))</f>
        <v/>
      </c>
      <c r="E803" s="15" t="n"/>
      <c r="F803" s="14">
        <f>IF($B803="","",IFERROR(INDEX(WageDates,MATCH($B803,WageIds,0)),"—"))</f>
        <v/>
      </c>
      <c r="G803" s="14">
        <f>IF($B803="","",IFERROR(VLOOKUP(INDEX(WageParty,MATCH($B803,WageIds,0)),WGTbl,2,0),"—"))</f>
        <v/>
      </c>
      <c r="H803" s="12" t="n"/>
    </row>
    <row r="804">
      <c r="A804" s="19">
        <f>IF($B804="","",COUNTA($B$9:$B804))</f>
        <v/>
      </c>
      <c r="B804" s="12" t="n"/>
      <c r="C804" s="13" t="n"/>
      <c r="D804" s="20">
        <f>IF($C804="","",IFERROR(IF(VLOOKUP($C804,AcctTblE,4,0)="","(بدون نام)",VLOOKUP($C804,AcctTblE,4,0)),"کد ناشناخته"))</f>
        <v/>
      </c>
      <c r="E804" s="15" t="n"/>
      <c r="F804" s="20">
        <f>IF($B804="","",IFERROR(INDEX(WageDates,MATCH($B804,WageIds,0)),"—"))</f>
        <v/>
      </c>
      <c r="G804" s="20">
        <f>IF($B804="","",IFERROR(VLOOKUP(INDEX(WageParty,MATCH($B804,WageIds,0)),WGTbl,2,0),"—"))</f>
        <v/>
      </c>
      <c r="H804" s="12" t="n"/>
    </row>
    <row r="805">
      <c r="A805" s="10">
        <f>IF($B805="","",COUNTA($B$9:$B805))</f>
        <v/>
      </c>
      <c r="B805" s="12" t="n"/>
      <c r="C805" s="13" t="n"/>
      <c r="D805" s="14">
        <f>IF($C805="","",IFERROR(IF(VLOOKUP($C805,AcctTblE,4,0)="","(بدون نام)",VLOOKUP($C805,AcctTblE,4,0)),"کد ناشناخته"))</f>
        <v/>
      </c>
      <c r="E805" s="15" t="n"/>
      <c r="F805" s="14">
        <f>IF($B805="","",IFERROR(INDEX(WageDates,MATCH($B805,WageIds,0)),"—"))</f>
        <v/>
      </c>
      <c r="G805" s="14">
        <f>IF($B805="","",IFERROR(VLOOKUP(INDEX(WageParty,MATCH($B805,WageIds,0)),WGTbl,2,0),"—"))</f>
        <v/>
      </c>
      <c r="H805" s="12" t="n"/>
    </row>
    <row r="806">
      <c r="A806" s="19">
        <f>IF($B806="","",COUNTA($B$9:$B806))</f>
        <v/>
      </c>
      <c r="B806" s="12" t="n"/>
      <c r="C806" s="13" t="n"/>
      <c r="D806" s="20">
        <f>IF($C806="","",IFERROR(IF(VLOOKUP($C806,AcctTblE,4,0)="","(بدون نام)",VLOOKUP($C806,AcctTblE,4,0)),"کد ناشناخته"))</f>
        <v/>
      </c>
      <c r="E806" s="15" t="n"/>
      <c r="F806" s="20">
        <f>IF($B806="","",IFERROR(INDEX(WageDates,MATCH($B806,WageIds,0)),"—"))</f>
        <v/>
      </c>
      <c r="G806" s="20">
        <f>IF($B806="","",IFERROR(VLOOKUP(INDEX(WageParty,MATCH($B806,WageIds,0)),WGTbl,2,0),"—"))</f>
        <v/>
      </c>
      <c r="H806" s="12" t="n"/>
    </row>
    <row r="807">
      <c r="A807" s="10">
        <f>IF($B807="","",COUNTA($B$9:$B807))</f>
        <v/>
      </c>
      <c r="B807" s="12" t="n"/>
      <c r="C807" s="13" t="n"/>
      <c r="D807" s="14">
        <f>IF($C807="","",IFERROR(IF(VLOOKUP($C807,AcctTblE,4,0)="","(بدون نام)",VLOOKUP($C807,AcctTblE,4,0)),"کد ناشناخته"))</f>
        <v/>
      </c>
      <c r="E807" s="15" t="n"/>
      <c r="F807" s="14">
        <f>IF($B807="","",IFERROR(INDEX(WageDates,MATCH($B807,WageIds,0)),"—"))</f>
        <v/>
      </c>
      <c r="G807" s="14">
        <f>IF($B807="","",IFERROR(VLOOKUP(INDEX(WageParty,MATCH($B807,WageIds,0)),WGTbl,2,0),"—"))</f>
        <v/>
      </c>
      <c r="H807" s="12" t="n"/>
    </row>
    <row r="808">
      <c r="A808" s="19">
        <f>IF($B808="","",COUNTA($B$9:$B808))</f>
        <v/>
      </c>
      <c r="B808" s="12" t="n"/>
      <c r="C808" s="13" t="n"/>
      <c r="D808" s="20">
        <f>IF($C808="","",IFERROR(IF(VLOOKUP($C808,AcctTblE,4,0)="","(بدون نام)",VLOOKUP($C808,AcctTblE,4,0)),"کد ناشناخته"))</f>
        <v/>
      </c>
      <c r="E808" s="15" t="n"/>
      <c r="F808" s="20">
        <f>IF($B808="","",IFERROR(INDEX(WageDates,MATCH($B808,WageIds,0)),"—"))</f>
        <v/>
      </c>
      <c r="G808" s="20">
        <f>IF($B808="","",IFERROR(VLOOKUP(INDEX(WageParty,MATCH($B808,WageIds,0)),WGTbl,2,0),"—"))</f>
        <v/>
      </c>
      <c r="H808" s="12" t="n"/>
    </row>
    <row r="809">
      <c r="A809" s="10">
        <f>IF($B809="","",COUNTA($B$9:$B809))</f>
        <v/>
      </c>
      <c r="B809" s="12" t="n"/>
      <c r="C809" s="13" t="n"/>
      <c r="D809" s="14">
        <f>IF($C809="","",IFERROR(IF(VLOOKUP($C809,AcctTblE,4,0)="","(بدون نام)",VLOOKUP($C809,AcctTblE,4,0)),"کد ناشناخته"))</f>
        <v/>
      </c>
      <c r="E809" s="15" t="n"/>
      <c r="F809" s="14">
        <f>IF($B809="","",IFERROR(INDEX(WageDates,MATCH($B809,WageIds,0)),"—"))</f>
        <v/>
      </c>
      <c r="G809" s="14">
        <f>IF($B809="","",IFERROR(VLOOKUP(INDEX(WageParty,MATCH($B809,WageIds,0)),WGTbl,2,0),"—"))</f>
        <v/>
      </c>
      <c r="H809" s="12" t="n"/>
    </row>
    <row r="810">
      <c r="A810" s="19">
        <f>IF($B810="","",COUNTA($B$9:$B810))</f>
        <v/>
      </c>
      <c r="B810" s="12" t="n"/>
      <c r="C810" s="13" t="n"/>
      <c r="D810" s="20">
        <f>IF($C810="","",IFERROR(IF(VLOOKUP($C810,AcctTblE,4,0)="","(بدون نام)",VLOOKUP($C810,AcctTblE,4,0)),"کد ناشناخته"))</f>
        <v/>
      </c>
      <c r="E810" s="15" t="n"/>
      <c r="F810" s="20">
        <f>IF($B810="","",IFERROR(INDEX(WageDates,MATCH($B810,WageIds,0)),"—"))</f>
        <v/>
      </c>
      <c r="G810" s="20">
        <f>IF($B810="","",IFERROR(VLOOKUP(INDEX(WageParty,MATCH($B810,WageIds,0)),WGTbl,2,0),"—"))</f>
        <v/>
      </c>
      <c r="H810" s="12" t="n"/>
    </row>
    <row r="811">
      <c r="A811" s="10">
        <f>IF($B811="","",COUNTA($B$9:$B811))</f>
        <v/>
      </c>
      <c r="B811" s="12" t="n"/>
      <c r="C811" s="13" t="n"/>
      <c r="D811" s="14">
        <f>IF($C811="","",IFERROR(IF(VLOOKUP($C811,AcctTblE,4,0)="","(بدون نام)",VLOOKUP($C811,AcctTblE,4,0)),"کد ناشناخته"))</f>
        <v/>
      </c>
      <c r="E811" s="15" t="n"/>
      <c r="F811" s="14">
        <f>IF($B811="","",IFERROR(INDEX(WageDates,MATCH($B811,WageIds,0)),"—"))</f>
        <v/>
      </c>
      <c r="G811" s="14">
        <f>IF($B811="","",IFERROR(VLOOKUP(INDEX(WageParty,MATCH($B811,WageIds,0)),WGTbl,2,0),"—"))</f>
        <v/>
      </c>
      <c r="H811" s="12" t="n"/>
    </row>
    <row r="812">
      <c r="A812" s="19">
        <f>IF($B812="","",COUNTA($B$9:$B812))</f>
        <v/>
      </c>
      <c r="B812" s="12" t="n"/>
      <c r="C812" s="13" t="n"/>
      <c r="D812" s="20">
        <f>IF($C812="","",IFERROR(IF(VLOOKUP($C812,AcctTblE,4,0)="","(بدون نام)",VLOOKUP($C812,AcctTblE,4,0)),"کد ناشناخته"))</f>
        <v/>
      </c>
      <c r="E812" s="15" t="n"/>
      <c r="F812" s="20">
        <f>IF($B812="","",IFERROR(INDEX(WageDates,MATCH($B812,WageIds,0)),"—"))</f>
        <v/>
      </c>
      <c r="G812" s="20">
        <f>IF($B812="","",IFERROR(VLOOKUP(INDEX(WageParty,MATCH($B812,WageIds,0)),WGTbl,2,0),"—"))</f>
        <v/>
      </c>
      <c r="H812" s="12" t="n"/>
    </row>
    <row r="813">
      <c r="A813" s="10">
        <f>IF($B813="","",COUNTA($B$9:$B813))</f>
        <v/>
      </c>
      <c r="B813" s="12" t="n"/>
      <c r="C813" s="13" t="n"/>
      <c r="D813" s="14">
        <f>IF($C813="","",IFERROR(IF(VLOOKUP($C813,AcctTblE,4,0)="","(بدون نام)",VLOOKUP($C813,AcctTblE,4,0)),"کد ناشناخته"))</f>
        <v/>
      </c>
      <c r="E813" s="15" t="n"/>
      <c r="F813" s="14">
        <f>IF($B813="","",IFERROR(INDEX(WageDates,MATCH($B813,WageIds,0)),"—"))</f>
        <v/>
      </c>
      <c r="G813" s="14">
        <f>IF($B813="","",IFERROR(VLOOKUP(INDEX(WageParty,MATCH($B813,WageIds,0)),WGTbl,2,0),"—"))</f>
        <v/>
      </c>
      <c r="H813" s="12" t="n"/>
    </row>
    <row r="814">
      <c r="A814" s="19">
        <f>IF($B814="","",COUNTA($B$9:$B814))</f>
        <v/>
      </c>
      <c r="B814" s="12" t="n"/>
      <c r="C814" s="13" t="n"/>
      <c r="D814" s="20">
        <f>IF($C814="","",IFERROR(IF(VLOOKUP($C814,AcctTblE,4,0)="","(بدون نام)",VLOOKUP($C814,AcctTblE,4,0)),"کد ناشناخته"))</f>
        <v/>
      </c>
      <c r="E814" s="15" t="n"/>
      <c r="F814" s="20">
        <f>IF($B814="","",IFERROR(INDEX(WageDates,MATCH($B814,WageIds,0)),"—"))</f>
        <v/>
      </c>
      <c r="G814" s="20">
        <f>IF($B814="","",IFERROR(VLOOKUP(INDEX(WageParty,MATCH($B814,WageIds,0)),WGTbl,2,0),"—"))</f>
        <v/>
      </c>
      <c r="H814" s="12" t="n"/>
    </row>
    <row r="815">
      <c r="A815" s="10">
        <f>IF($B815="","",COUNTA($B$9:$B815))</f>
        <v/>
      </c>
      <c r="B815" s="12" t="n"/>
      <c r="C815" s="13" t="n"/>
      <c r="D815" s="14">
        <f>IF($C815="","",IFERROR(IF(VLOOKUP($C815,AcctTblE,4,0)="","(بدون نام)",VLOOKUP($C815,AcctTblE,4,0)),"کد ناشناخته"))</f>
        <v/>
      </c>
      <c r="E815" s="15" t="n"/>
      <c r="F815" s="14">
        <f>IF($B815="","",IFERROR(INDEX(WageDates,MATCH($B815,WageIds,0)),"—"))</f>
        <v/>
      </c>
      <c r="G815" s="14">
        <f>IF($B815="","",IFERROR(VLOOKUP(INDEX(WageParty,MATCH($B815,WageIds,0)),WGTbl,2,0),"—"))</f>
        <v/>
      </c>
      <c r="H815" s="12" t="n"/>
    </row>
    <row r="816">
      <c r="A816" s="19">
        <f>IF($B816="","",COUNTA($B$9:$B816))</f>
        <v/>
      </c>
      <c r="B816" s="12" t="n"/>
      <c r="C816" s="13" t="n"/>
      <c r="D816" s="20">
        <f>IF($C816="","",IFERROR(IF(VLOOKUP($C816,AcctTblE,4,0)="","(بدون نام)",VLOOKUP($C816,AcctTblE,4,0)),"کد ناشناخته"))</f>
        <v/>
      </c>
      <c r="E816" s="15" t="n"/>
      <c r="F816" s="20">
        <f>IF($B816="","",IFERROR(INDEX(WageDates,MATCH($B816,WageIds,0)),"—"))</f>
        <v/>
      </c>
      <c r="G816" s="20">
        <f>IF($B816="","",IFERROR(VLOOKUP(INDEX(WageParty,MATCH($B816,WageIds,0)),WGTbl,2,0),"—"))</f>
        <v/>
      </c>
      <c r="H816" s="12" t="n"/>
    </row>
    <row r="817">
      <c r="A817" s="10">
        <f>IF($B817="","",COUNTA($B$9:$B817))</f>
        <v/>
      </c>
      <c r="B817" s="12" t="n"/>
      <c r="C817" s="13" t="n"/>
      <c r="D817" s="14">
        <f>IF($C817="","",IFERROR(IF(VLOOKUP($C817,AcctTblE,4,0)="","(بدون نام)",VLOOKUP($C817,AcctTblE,4,0)),"کد ناشناخته"))</f>
        <v/>
      </c>
      <c r="E817" s="15" t="n"/>
      <c r="F817" s="14">
        <f>IF($B817="","",IFERROR(INDEX(WageDates,MATCH($B817,WageIds,0)),"—"))</f>
        <v/>
      </c>
      <c r="G817" s="14">
        <f>IF($B817="","",IFERROR(VLOOKUP(INDEX(WageParty,MATCH($B817,WageIds,0)),WGTbl,2,0),"—"))</f>
        <v/>
      </c>
      <c r="H817" s="12" t="n"/>
    </row>
    <row r="818">
      <c r="A818" s="19">
        <f>IF($B818="","",COUNTA($B$9:$B818))</f>
        <v/>
      </c>
      <c r="B818" s="12" t="n"/>
      <c r="C818" s="13" t="n"/>
      <c r="D818" s="20">
        <f>IF($C818="","",IFERROR(IF(VLOOKUP($C818,AcctTblE,4,0)="","(بدون نام)",VLOOKUP($C818,AcctTblE,4,0)),"کد ناشناخته"))</f>
        <v/>
      </c>
      <c r="E818" s="15" t="n"/>
      <c r="F818" s="20">
        <f>IF($B818="","",IFERROR(INDEX(WageDates,MATCH($B818,WageIds,0)),"—"))</f>
        <v/>
      </c>
      <c r="G818" s="20">
        <f>IF($B818="","",IFERROR(VLOOKUP(INDEX(WageParty,MATCH($B818,WageIds,0)),WGTbl,2,0),"—"))</f>
        <v/>
      </c>
      <c r="H818" s="12" t="n"/>
    </row>
    <row r="819">
      <c r="A819" s="10">
        <f>IF($B819="","",COUNTA($B$9:$B819))</f>
        <v/>
      </c>
      <c r="B819" s="12" t="n"/>
      <c r="C819" s="13" t="n"/>
      <c r="D819" s="14">
        <f>IF($C819="","",IFERROR(IF(VLOOKUP($C819,AcctTblE,4,0)="","(بدون نام)",VLOOKUP($C819,AcctTblE,4,0)),"کد ناشناخته"))</f>
        <v/>
      </c>
      <c r="E819" s="15" t="n"/>
      <c r="F819" s="14">
        <f>IF($B819="","",IFERROR(INDEX(WageDates,MATCH($B819,WageIds,0)),"—"))</f>
        <v/>
      </c>
      <c r="G819" s="14">
        <f>IF($B819="","",IFERROR(VLOOKUP(INDEX(WageParty,MATCH($B819,WageIds,0)),WGTbl,2,0),"—"))</f>
        <v/>
      </c>
      <c r="H819" s="12" t="n"/>
    </row>
    <row r="820">
      <c r="A820" s="19">
        <f>IF($B820="","",COUNTA($B$9:$B820))</f>
        <v/>
      </c>
      <c r="B820" s="12" t="n"/>
      <c r="C820" s="13" t="n"/>
      <c r="D820" s="20">
        <f>IF($C820="","",IFERROR(IF(VLOOKUP($C820,AcctTblE,4,0)="","(بدون نام)",VLOOKUP($C820,AcctTblE,4,0)),"کد ناشناخته"))</f>
        <v/>
      </c>
      <c r="E820" s="15" t="n"/>
      <c r="F820" s="20">
        <f>IF($B820="","",IFERROR(INDEX(WageDates,MATCH($B820,WageIds,0)),"—"))</f>
        <v/>
      </c>
      <c r="G820" s="20">
        <f>IF($B820="","",IFERROR(VLOOKUP(INDEX(WageParty,MATCH($B820,WageIds,0)),WGTbl,2,0),"—"))</f>
        <v/>
      </c>
      <c r="H820" s="12" t="n"/>
    </row>
    <row r="821">
      <c r="A821" s="10">
        <f>IF($B821="","",COUNTA($B$9:$B821))</f>
        <v/>
      </c>
      <c r="B821" s="12" t="n"/>
      <c r="C821" s="13" t="n"/>
      <c r="D821" s="14">
        <f>IF($C821="","",IFERROR(IF(VLOOKUP($C821,AcctTblE,4,0)="","(بدون نام)",VLOOKUP($C821,AcctTblE,4,0)),"کد ناشناخته"))</f>
        <v/>
      </c>
      <c r="E821" s="15" t="n"/>
      <c r="F821" s="14">
        <f>IF($B821="","",IFERROR(INDEX(WageDates,MATCH($B821,WageIds,0)),"—"))</f>
        <v/>
      </c>
      <c r="G821" s="14">
        <f>IF($B821="","",IFERROR(VLOOKUP(INDEX(WageParty,MATCH($B821,WageIds,0)),WGTbl,2,0),"—"))</f>
        <v/>
      </c>
      <c r="H821" s="12" t="n"/>
    </row>
    <row r="822">
      <c r="A822" s="19">
        <f>IF($B822="","",COUNTA($B$9:$B822))</f>
        <v/>
      </c>
      <c r="B822" s="12" t="n"/>
      <c r="C822" s="13" t="n"/>
      <c r="D822" s="20">
        <f>IF($C822="","",IFERROR(IF(VLOOKUP($C822,AcctTblE,4,0)="","(بدون نام)",VLOOKUP($C822,AcctTblE,4,0)),"کد ناشناخته"))</f>
        <v/>
      </c>
      <c r="E822" s="15" t="n"/>
      <c r="F822" s="20">
        <f>IF($B822="","",IFERROR(INDEX(WageDates,MATCH($B822,WageIds,0)),"—"))</f>
        <v/>
      </c>
      <c r="G822" s="20">
        <f>IF($B822="","",IFERROR(VLOOKUP(INDEX(WageParty,MATCH($B822,WageIds,0)),WGTbl,2,0),"—"))</f>
        <v/>
      </c>
      <c r="H822" s="12" t="n"/>
    </row>
    <row r="823">
      <c r="A823" s="10">
        <f>IF($B823="","",COUNTA($B$9:$B823))</f>
        <v/>
      </c>
      <c r="B823" s="12" t="n"/>
      <c r="C823" s="13" t="n"/>
      <c r="D823" s="14">
        <f>IF($C823="","",IFERROR(IF(VLOOKUP($C823,AcctTblE,4,0)="","(بدون نام)",VLOOKUP($C823,AcctTblE,4,0)),"کد ناشناخته"))</f>
        <v/>
      </c>
      <c r="E823" s="15" t="n"/>
      <c r="F823" s="14">
        <f>IF($B823="","",IFERROR(INDEX(WageDates,MATCH($B823,WageIds,0)),"—"))</f>
        <v/>
      </c>
      <c r="G823" s="14">
        <f>IF($B823="","",IFERROR(VLOOKUP(INDEX(WageParty,MATCH($B823,WageIds,0)),WGTbl,2,0),"—"))</f>
        <v/>
      </c>
      <c r="H823" s="12" t="n"/>
    </row>
    <row r="824">
      <c r="A824" s="19">
        <f>IF($B824="","",COUNTA($B$9:$B824))</f>
        <v/>
      </c>
      <c r="B824" s="12" t="n"/>
      <c r="C824" s="13" t="n"/>
      <c r="D824" s="20">
        <f>IF($C824="","",IFERROR(IF(VLOOKUP($C824,AcctTblE,4,0)="","(بدون نام)",VLOOKUP($C824,AcctTblE,4,0)),"کد ناشناخته"))</f>
        <v/>
      </c>
      <c r="E824" s="15" t="n"/>
      <c r="F824" s="20">
        <f>IF($B824="","",IFERROR(INDEX(WageDates,MATCH($B824,WageIds,0)),"—"))</f>
        <v/>
      </c>
      <c r="G824" s="20">
        <f>IF($B824="","",IFERROR(VLOOKUP(INDEX(WageParty,MATCH($B824,WageIds,0)),WGTbl,2,0),"—"))</f>
        <v/>
      </c>
      <c r="H824" s="12" t="n"/>
    </row>
    <row r="825">
      <c r="A825" s="10">
        <f>IF($B825="","",COUNTA($B$9:$B825))</f>
        <v/>
      </c>
      <c r="B825" s="12" t="n"/>
      <c r="C825" s="13" t="n"/>
      <c r="D825" s="14">
        <f>IF($C825="","",IFERROR(IF(VLOOKUP($C825,AcctTblE,4,0)="","(بدون نام)",VLOOKUP($C825,AcctTblE,4,0)),"کد ناشناخته"))</f>
        <v/>
      </c>
      <c r="E825" s="15" t="n"/>
      <c r="F825" s="14">
        <f>IF($B825="","",IFERROR(INDEX(WageDates,MATCH($B825,WageIds,0)),"—"))</f>
        <v/>
      </c>
      <c r="G825" s="14">
        <f>IF($B825="","",IFERROR(VLOOKUP(INDEX(WageParty,MATCH($B825,WageIds,0)),WGTbl,2,0),"—"))</f>
        <v/>
      </c>
      <c r="H825" s="12" t="n"/>
    </row>
    <row r="826">
      <c r="A826" s="19">
        <f>IF($B826="","",COUNTA($B$9:$B826))</f>
        <v/>
      </c>
      <c r="B826" s="12" t="n"/>
      <c r="C826" s="13" t="n"/>
      <c r="D826" s="20">
        <f>IF($C826="","",IFERROR(IF(VLOOKUP($C826,AcctTblE,4,0)="","(بدون نام)",VLOOKUP($C826,AcctTblE,4,0)),"کد ناشناخته"))</f>
        <v/>
      </c>
      <c r="E826" s="15" t="n"/>
      <c r="F826" s="20">
        <f>IF($B826="","",IFERROR(INDEX(WageDates,MATCH($B826,WageIds,0)),"—"))</f>
        <v/>
      </c>
      <c r="G826" s="20">
        <f>IF($B826="","",IFERROR(VLOOKUP(INDEX(WageParty,MATCH($B826,WageIds,0)),WGTbl,2,0),"—"))</f>
        <v/>
      </c>
      <c r="H826" s="12" t="n"/>
    </row>
    <row r="827">
      <c r="A827" s="10">
        <f>IF($B827="","",COUNTA($B$9:$B827))</f>
        <v/>
      </c>
      <c r="B827" s="12" t="n"/>
      <c r="C827" s="13" t="n"/>
      <c r="D827" s="14">
        <f>IF($C827="","",IFERROR(IF(VLOOKUP($C827,AcctTblE,4,0)="","(بدون نام)",VLOOKUP($C827,AcctTblE,4,0)),"کد ناشناخته"))</f>
        <v/>
      </c>
      <c r="E827" s="15" t="n"/>
      <c r="F827" s="14">
        <f>IF($B827="","",IFERROR(INDEX(WageDates,MATCH($B827,WageIds,0)),"—"))</f>
        <v/>
      </c>
      <c r="G827" s="14">
        <f>IF($B827="","",IFERROR(VLOOKUP(INDEX(WageParty,MATCH($B827,WageIds,0)),WGTbl,2,0),"—"))</f>
        <v/>
      </c>
      <c r="H827" s="12" t="n"/>
    </row>
    <row r="828">
      <c r="A828" s="19">
        <f>IF($B828="","",COUNTA($B$9:$B828))</f>
        <v/>
      </c>
      <c r="B828" s="12" t="n"/>
      <c r="C828" s="13" t="n"/>
      <c r="D828" s="20">
        <f>IF($C828="","",IFERROR(IF(VLOOKUP($C828,AcctTblE,4,0)="","(بدون نام)",VLOOKUP($C828,AcctTblE,4,0)),"کد ناشناخته"))</f>
        <v/>
      </c>
      <c r="E828" s="15" t="n"/>
      <c r="F828" s="20">
        <f>IF($B828="","",IFERROR(INDEX(WageDates,MATCH($B828,WageIds,0)),"—"))</f>
        <v/>
      </c>
      <c r="G828" s="20">
        <f>IF($B828="","",IFERROR(VLOOKUP(INDEX(WageParty,MATCH($B828,WageIds,0)),WGTbl,2,0),"—"))</f>
        <v/>
      </c>
      <c r="H828" s="12" t="n"/>
    </row>
    <row r="829">
      <c r="A829" s="10">
        <f>IF($B829="","",COUNTA($B$9:$B829))</f>
        <v/>
      </c>
      <c r="B829" s="12" t="n"/>
      <c r="C829" s="13" t="n"/>
      <c r="D829" s="14">
        <f>IF($C829="","",IFERROR(IF(VLOOKUP($C829,AcctTblE,4,0)="","(بدون نام)",VLOOKUP($C829,AcctTblE,4,0)),"کد ناشناخته"))</f>
        <v/>
      </c>
      <c r="E829" s="15" t="n"/>
      <c r="F829" s="14">
        <f>IF($B829="","",IFERROR(INDEX(WageDates,MATCH($B829,WageIds,0)),"—"))</f>
        <v/>
      </c>
      <c r="G829" s="14">
        <f>IF($B829="","",IFERROR(VLOOKUP(INDEX(WageParty,MATCH($B829,WageIds,0)),WGTbl,2,0),"—"))</f>
        <v/>
      </c>
      <c r="H829" s="12" t="n"/>
    </row>
    <row r="830">
      <c r="A830" s="19">
        <f>IF($B830="","",COUNTA($B$9:$B830))</f>
        <v/>
      </c>
      <c r="B830" s="12" t="n"/>
      <c r="C830" s="13" t="n"/>
      <c r="D830" s="20">
        <f>IF($C830="","",IFERROR(IF(VLOOKUP($C830,AcctTblE,4,0)="","(بدون نام)",VLOOKUP($C830,AcctTblE,4,0)),"کد ناشناخته"))</f>
        <v/>
      </c>
      <c r="E830" s="15" t="n"/>
      <c r="F830" s="20">
        <f>IF($B830="","",IFERROR(INDEX(WageDates,MATCH($B830,WageIds,0)),"—"))</f>
        <v/>
      </c>
      <c r="G830" s="20">
        <f>IF($B830="","",IFERROR(VLOOKUP(INDEX(WageParty,MATCH($B830,WageIds,0)),WGTbl,2,0),"—"))</f>
        <v/>
      </c>
      <c r="H830" s="12" t="n"/>
    </row>
    <row r="831">
      <c r="A831" s="10">
        <f>IF($B831="","",COUNTA($B$9:$B831))</f>
        <v/>
      </c>
      <c r="B831" s="12" t="n"/>
      <c r="C831" s="13" t="n"/>
      <c r="D831" s="14">
        <f>IF($C831="","",IFERROR(IF(VLOOKUP($C831,AcctTblE,4,0)="","(بدون نام)",VLOOKUP($C831,AcctTblE,4,0)),"کد ناشناخته"))</f>
        <v/>
      </c>
      <c r="E831" s="15" t="n"/>
      <c r="F831" s="14">
        <f>IF($B831="","",IFERROR(INDEX(WageDates,MATCH($B831,WageIds,0)),"—"))</f>
        <v/>
      </c>
      <c r="G831" s="14">
        <f>IF($B831="","",IFERROR(VLOOKUP(INDEX(WageParty,MATCH($B831,WageIds,0)),WGTbl,2,0),"—"))</f>
        <v/>
      </c>
      <c r="H831" s="12" t="n"/>
    </row>
    <row r="832">
      <c r="A832" s="19">
        <f>IF($B832="","",COUNTA($B$9:$B832))</f>
        <v/>
      </c>
      <c r="B832" s="12" t="n"/>
      <c r="C832" s="13" t="n"/>
      <c r="D832" s="20">
        <f>IF($C832="","",IFERROR(IF(VLOOKUP($C832,AcctTblE,4,0)="","(بدون نام)",VLOOKUP($C832,AcctTblE,4,0)),"کد ناشناخته"))</f>
        <v/>
      </c>
      <c r="E832" s="15" t="n"/>
      <c r="F832" s="20">
        <f>IF($B832="","",IFERROR(INDEX(WageDates,MATCH($B832,WageIds,0)),"—"))</f>
        <v/>
      </c>
      <c r="G832" s="20">
        <f>IF($B832="","",IFERROR(VLOOKUP(INDEX(WageParty,MATCH($B832,WageIds,0)),WGTbl,2,0),"—"))</f>
        <v/>
      </c>
      <c r="H832" s="12" t="n"/>
    </row>
    <row r="833">
      <c r="A833" s="10">
        <f>IF($B833="","",COUNTA($B$9:$B833))</f>
        <v/>
      </c>
      <c r="B833" s="12" t="n"/>
      <c r="C833" s="13" t="n"/>
      <c r="D833" s="14">
        <f>IF($C833="","",IFERROR(IF(VLOOKUP($C833,AcctTblE,4,0)="","(بدون نام)",VLOOKUP($C833,AcctTblE,4,0)),"کد ناشناخته"))</f>
        <v/>
      </c>
      <c r="E833" s="15" t="n"/>
      <c r="F833" s="14">
        <f>IF($B833="","",IFERROR(INDEX(WageDates,MATCH($B833,WageIds,0)),"—"))</f>
        <v/>
      </c>
      <c r="G833" s="14">
        <f>IF($B833="","",IFERROR(VLOOKUP(INDEX(WageParty,MATCH($B833,WageIds,0)),WGTbl,2,0),"—"))</f>
        <v/>
      </c>
      <c r="H833" s="12" t="n"/>
    </row>
    <row r="834">
      <c r="A834" s="19">
        <f>IF($B834="","",COUNTA($B$9:$B834))</f>
        <v/>
      </c>
      <c r="B834" s="12" t="n"/>
      <c r="C834" s="13" t="n"/>
      <c r="D834" s="20">
        <f>IF($C834="","",IFERROR(IF(VLOOKUP($C834,AcctTblE,4,0)="","(بدون نام)",VLOOKUP($C834,AcctTblE,4,0)),"کد ناشناخته"))</f>
        <v/>
      </c>
      <c r="E834" s="15" t="n"/>
      <c r="F834" s="20">
        <f>IF($B834="","",IFERROR(INDEX(WageDates,MATCH($B834,WageIds,0)),"—"))</f>
        <v/>
      </c>
      <c r="G834" s="20">
        <f>IF($B834="","",IFERROR(VLOOKUP(INDEX(WageParty,MATCH($B834,WageIds,0)),WGTbl,2,0),"—"))</f>
        <v/>
      </c>
      <c r="H834" s="12" t="n"/>
    </row>
    <row r="835">
      <c r="A835" s="10">
        <f>IF($B835="","",COUNTA($B$9:$B835))</f>
        <v/>
      </c>
      <c r="B835" s="12" t="n"/>
      <c r="C835" s="13" t="n"/>
      <c r="D835" s="14">
        <f>IF($C835="","",IFERROR(IF(VLOOKUP($C835,AcctTblE,4,0)="","(بدون نام)",VLOOKUP($C835,AcctTblE,4,0)),"کد ناشناخته"))</f>
        <v/>
      </c>
      <c r="E835" s="15" t="n"/>
      <c r="F835" s="14">
        <f>IF($B835="","",IFERROR(INDEX(WageDates,MATCH($B835,WageIds,0)),"—"))</f>
        <v/>
      </c>
      <c r="G835" s="14">
        <f>IF($B835="","",IFERROR(VLOOKUP(INDEX(WageParty,MATCH($B835,WageIds,0)),WGTbl,2,0),"—"))</f>
        <v/>
      </c>
      <c r="H835" s="12" t="n"/>
    </row>
    <row r="836">
      <c r="A836" s="19">
        <f>IF($B836="","",COUNTA($B$9:$B836))</f>
        <v/>
      </c>
      <c r="B836" s="12" t="n"/>
      <c r="C836" s="13" t="n"/>
      <c r="D836" s="20">
        <f>IF($C836="","",IFERROR(IF(VLOOKUP($C836,AcctTblE,4,0)="","(بدون نام)",VLOOKUP($C836,AcctTblE,4,0)),"کد ناشناخته"))</f>
        <v/>
      </c>
      <c r="E836" s="15" t="n"/>
      <c r="F836" s="20">
        <f>IF($B836="","",IFERROR(INDEX(WageDates,MATCH($B836,WageIds,0)),"—"))</f>
        <v/>
      </c>
      <c r="G836" s="20">
        <f>IF($B836="","",IFERROR(VLOOKUP(INDEX(WageParty,MATCH($B836,WageIds,0)),WGTbl,2,0),"—"))</f>
        <v/>
      </c>
      <c r="H836" s="12" t="n"/>
    </row>
    <row r="837">
      <c r="A837" s="10">
        <f>IF($B837="","",COUNTA($B$9:$B837))</f>
        <v/>
      </c>
      <c r="B837" s="12" t="n"/>
      <c r="C837" s="13" t="n"/>
      <c r="D837" s="14">
        <f>IF($C837="","",IFERROR(IF(VLOOKUP($C837,AcctTblE,4,0)="","(بدون نام)",VLOOKUP($C837,AcctTblE,4,0)),"کد ناشناخته"))</f>
        <v/>
      </c>
      <c r="E837" s="15" t="n"/>
      <c r="F837" s="14">
        <f>IF($B837="","",IFERROR(INDEX(WageDates,MATCH($B837,WageIds,0)),"—"))</f>
        <v/>
      </c>
      <c r="G837" s="14">
        <f>IF($B837="","",IFERROR(VLOOKUP(INDEX(WageParty,MATCH($B837,WageIds,0)),WGTbl,2,0),"—"))</f>
        <v/>
      </c>
      <c r="H837" s="12" t="n"/>
    </row>
    <row r="838">
      <c r="A838" s="19">
        <f>IF($B838="","",COUNTA($B$9:$B838))</f>
        <v/>
      </c>
      <c r="B838" s="12" t="n"/>
      <c r="C838" s="13" t="n"/>
      <c r="D838" s="20">
        <f>IF($C838="","",IFERROR(IF(VLOOKUP($C838,AcctTblE,4,0)="","(بدون نام)",VLOOKUP($C838,AcctTblE,4,0)),"کد ناشناخته"))</f>
        <v/>
      </c>
      <c r="E838" s="15" t="n"/>
      <c r="F838" s="20">
        <f>IF($B838="","",IFERROR(INDEX(WageDates,MATCH($B838,WageIds,0)),"—"))</f>
        <v/>
      </c>
      <c r="G838" s="20">
        <f>IF($B838="","",IFERROR(VLOOKUP(INDEX(WageParty,MATCH($B838,WageIds,0)),WGTbl,2,0),"—"))</f>
        <v/>
      </c>
      <c r="H838" s="12" t="n"/>
    </row>
    <row r="839">
      <c r="A839" s="10">
        <f>IF($B839="","",COUNTA($B$9:$B839))</f>
        <v/>
      </c>
      <c r="B839" s="12" t="n"/>
      <c r="C839" s="13" t="n"/>
      <c r="D839" s="14">
        <f>IF($C839="","",IFERROR(IF(VLOOKUP($C839,AcctTblE,4,0)="","(بدون نام)",VLOOKUP($C839,AcctTblE,4,0)),"کد ناشناخته"))</f>
        <v/>
      </c>
      <c r="E839" s="15" t="n"/>
      <c r="F839" s="14">
        <f>IF($B839="","",IFERROR(INDEX(WageDates,MATCH($B839,WageIds,0)),"—"))</f>
        <v/>
      </c>
      <c r="G839" s="14">
        <f>IF($B839="","",IFERROR(VLOOKUP(INDEX(WageParty,MATCH($B839,WageIds,0)),WGTbl,2,0),"—"))</f>
        <v/>
      </c>
      <c r="H839" s="12" t="n"/>
    </row>
    <row r="840">
      <c r="A840" s="19">
        <f>IF($B840="","",COUNTA($B$9:$B840))</f>
        <v/>
      </c>
      <c r="B840" s="12" t="n"/>
      <c r="C840" s="13" t="n"/>
      <c r="D840" s="20">
        <f>IF($C840="","",IFERROR(IF(VLOOKUP($C840,AcctTblE,4,0)="","(بدون نام)",VLOOKUP($C840,AcctTblE,4,0)),"کد ناشناخته"))</f>
        <v/>
      </c>
      <c r="E840" s="15" t="n"/>
      <c r="F840" s="20">
        <f>IF($B840="","",IFERROR(INDEX(WageDates,MATCH($B840,WageIds,0)),"—"))</f>
        <v/>
      </c>
      <c r="G840" s="20">
        <f>IF($B840="","",IFERROR(VLOOKUP(INDEX(WageParty,MATCH($B840,WageIds,0)),WGTbl,2,0),"—"))</f>
        <v/>
      </c>
      <c r="H840" s="12" t="n"/>
    </row>
    <row r="841">
      <c r="A841" s="10">
        <f>IF($B841="","",COUNTA($B$9:$B841))</f>
        <v/>
      </c>
      <c r="B841" s="12" t="n"/>
      <c r="C841" s="13" t="n"/>
      <c r="D841" s="14">
        <f>IF($C841="","",IFERROR(IF(VLOOKUP($C841,AcctTblE,4,0)="","(بدون نام)",VLOOKUP($C841,AcctTblE,4,0)),"کد ناشناخته"))</f>
        <v/>
      </c>
      <c r="E841" s="15" t="n"/>
      <c r="F841" s="14">
        <f>IF($B841="","",IFERROR(INDEX(WageDates,MATCH($B841,WageIds,0)),"—"))</f>
        <v/>
      </c>
      <c r="G841" s="14">
        <f>IF($B841="","",IFERROR(VLOOKUP(INDEX(WageParty,MATCH($B841,WageIds,0)),WGTbl,2,0),"—"))</f>
        <v/>
      </c>
      <c r="H841" s="12" t="n"/>
    </row>
    <row r="842">
      <c r="A842" s="19">
        <f>IF($B842="","",COUNTA($B$9:$B842))</f>
        <v/>
      </c>
      <c r="B842" s="12" t="n"/>
      <c r="C842" s="13" t="n"/>
      <c r="D842" s="20">
        <f>IF($C842="","",IFERROR(IF(VLOOKUP($C842,AcctTblE,4,0)="","(بدون نام)",VLOOKUP($C842,AcctTblE,4,0)),"کد ناشناخته"))</f>
        <v/>
      </c>
      <c r="E842" s="15" t="n"/>
      <c r="F842" s="20">
        <f>IF($B842="","",IFERROR(INDEX(WageDates,MATCH($B842,WageIds,0)),"—"))</f>
        <v/>
      </c>
      <c r="G842" s="20">
        <f>IF($B842="","",IFERROR(VLOOKUP(INDEX(WageParty,MATCH($B842,WageIds,0)),WGTbl,2,0),"—"))</f>
        <v/>
      </c>
      <c r="H842" s="12" t="n"/>
    </row>
    <row r="843">
      <c r="A843" s="10">
        <f>IF($B843="","",COUNTA($B$9:$B843))</f>
        <v/>
      </c>
      <c r="B843" s="12" t="n"/>
      <c r="C843" s="13" t="n"/>
      <c r="D843" s="14">
        <f>IF($C843="","",IFERROR(IF(VLOOKUP($C843,AcctTblE,4,0)="","(بدون نام)",VLOOKUP($C843,AcctTblE,4,0)),"کد ناشناخته"))</f>
        <v/>
      </c>
      <c r="E843" s="15" t="n"/>
      <c r="F843" s="14">
        <f>IF($B843="","",IFERROR(INDEX(WageDates,MATCH($B843,WageIds,0)),"—"))</f>
        <v/>
      </c>
      <c r="G843" s="14">
        <f>IF($B843="","",IFERROR(VLOOKUP(INDEX(WageParty,MATCH($B843,WageIds,0)),WGTbl,2,0),"—"))</f>
        <v/>
      </c>
      <c r="H843" s="12" t="n"/>
    </row>
    <row r="844">
      <c r="A844" s="19">
        <f>IF($B844="","",COUNTA($B$9:$B844))</f>
        <v/>
      </c>
      <c r="B844" s="12" t="n"/>
      <c r="C844" s="13" t="n"/>
      <c r="D844" s="20">
        <f>IF($C844="","",IFERROR(IF(VLOOKUP($C844,AcctTblE,4,0)="","(بدون نام)",VLOOKUP($C844,AcctTblE,4,0)),"کد ناشناخته"))</f>
        <v/>
      </c>
      <c r="E844" s="15" t="n"/>
      <c r="F844" s="20">
        <f>IF($B844="","",IFERROR(INDEX(WageDates,MATCH($B844,WageIds,0)),"—"))</f>
        <v/>
      </c>
      <c r="G844" s="20">
        <f>IF($B844="","",IFERROR(VLOOKUP(INDEX(WageParty,MATCH($B844,WageIds,0)),WGTbl,2,0),"—"))</f>
        <v/>
      </c>
      <c r="H844" s="12" t="n"/>
    </row>
    <row r="845">
      <c r="A845" s="10">
        <f>IF($B845="","",COUNTA($B$9:$B845))</f>
        <v/>
      </c>
      <c r="B845" s="12" t="n"/>
      <c r="C845" s="13" t="n"/>
      <c r="D845" s="14">
        <f>IF($C845="","",IFERROR(IF(VLOOKUP($C845,AcctTblE,4,0)="","(بدون نام)",VLOOKUP($C845,AcctTblE,4,0)),"کد ناشناخته"))</f>
        <v/>
      </c>
      <c r="E845" s="15" t="n"/>
      <c r="F845" s="14">
        <f>IF($B845="","",IFERROR(INDEX(WageDates,MATCH($B845,WageIds,0)),"—"))</f>
        <v/>
      </c>
      <c r="G845" s="14">
        <f>IF($B845="","",IFERROR(VLOOKUP(INDEX(WageParty,MATCH($B845,WageIds,0)),WGTbl,2,0),"—"))</f>
        <v/>
      </c>
      <c r="H845" s="12" t="n"/>
    </row>
    <row r="846">
      <c r="A846" s="19">
        <f>IF($B846="","",COUNTA($B$9:$B846))</f>
        <v/>
      </c>
      <c r="B846" s="12" t="n"/>
      <c r="C846" s="13" t="n"/>
      <c r="D846" s="20">
        <f>IF($C846="","",IFERROR(IF(VLOOKUP($C846,AcctTblE,4,0)="","(بدون نام)",VLOOKUP($C846,AcctTblE,4,0)),"کد ناشناخته"))</f>
        <v/>
      </c>
      <c r="E846" s="15" t="n"/>
      <c r="F846" s="20">
        <f>IF($B846="","",IFERROR(INDEX(WageDates,MATCH($B846,WageIds,0)),"—"))</f>
        <v/>
      </c>
      <c r="G846" s="20">
        <f>IF($B846="","",IFERROR(VLOOKUP(INDEX(WageParty,MATCH($B846,WageIds,0)),WGTbl,2,0),"—"))</f>
        <v/>
      </c>
      <c r="H846" s="12" t="n"/>
    </row>
    <row r="847">
      <c r="A847" s="10">
        <f>IF($B847="","",COUNTA($B$9:$B847))</f>
        <v/>
      </c>
      <c r="B847" s="12" t="n"/>
      <c r="C847" s="13" t="n"/>
      <c r="D847" s="14">
        <f>IF($C847="","",IFERROR(IF(VLOOKUP($C847,AcctTblE,4,0)="","(بدون نام)",VLOOKUP($C847,AcctTblE,4,0)),"کد ناشناخته"))</f>
        <v/>
      </c>
      <c r="E847" s="15" t="n"/>
      <c r="F847" s="14">
        <f>IF($B847="","",IFERROR(INDEX(WageDates,MATCH($B847,WageIds,0)),"—"))</f>
        <v/>
      </c>
      <c r="G847" s="14">
        <f>IF($B847="","",IFERROR(VLOOKUP(INDEX(WageParty,MATCH($B847,WageIds,0)),WGTbl,2,0),"—"))</f>
        <v/>
      </c>
      <c r="H847" s="12" t="n"/>
    </row>
    <row r="848">
      <c r="A848" s="19">
        <f>IF($B848="","",COUNTA($B$9:$B848))</f>
        <v/>
      </c>
      <c r="B848" s="12" t="n"/>
      <c r="C848" s="13" t="n"/>
      <c r="D848" s="20">
        <f>IF($C848="","",IFERROR(IF(VLOOKUP($C848,AcctTblE,4,0)="","(بدون نام)",VLOOKUP($C848,AcctTblE,4,0)),"کد ناشناخته"))</f>
        <v/>
      </c>
      <c r="E848" s="15" t="n"/>
      <c r="F848" s="20">
        <f>IF($B848="","",IFERROR(INDEX(WageDates,MATCH($B848,WageIds,0)),"—"))</f>
        <v/>
      </c>
      <c r="G848" s="20">
        <f>IF($B848="","",IFERROR(VLOOKUP(INDEX(WageParty,MATCH($B848,WageIds,0)),WGTbl,2,0),"—"))</f>
        <v/>
      </c>
      <c r="H848" s="12" t="n"/>
    </row>
    <row r="849">
      <c r="A849" s="10">
        <f>IF($B849="","",COUNTA($B$9:$B849))</f>
        <v/>
      </c>
      <c r="B849" s="12" t="n"/>
      <c r="C849" s="13" t="n"/>
      <c r="D849" s="14">
        <f>IF($C849="","",IFERROR(IF(VLOOKUP($C849,AcctTblE,4,0)="","(بدون نام)",VLOOKUP($C849,AcctTblE,4,0)),"کد ناشناخته"))</f>
        <v/>
      </c>
      <c r="E849" s="15" t="n"/>
      <c r="F849" s="14">
        <f>IF($B849="","",IFERROR(INDEX(WageDates,MATCH($B849,WageIds,0)),"—"))</f>
        <v/>
      </c>
      <c r="G849" s="14">
        <f>IF($B849="","",IFERROR(VLOOKUP(INDEX(WageParty,MATCH($B849,WageIds,0)),WGTbl,2,0),"—"))</f>
        <v/>
      </c>
      <c r="H849" s="12" t="n"/>
    </row>
    <row r="850">
      <c r="A850" s="19">
        <f>IF($B850="","",COUNTA($B$9:$B850))</f>
        <v/>
      </c>
      <c r="B850" s="12" t="n"/>
      <c r="C850" s="13" t="n"/>
      <c r="D850" s="20">
        <f>IF($C850="","",IFERROR(IF(VLOOKUP($C850,AcctTblE,4,0)="","(بدون نام)",VLOOKUP($C850,AcctTblE,4,0)),"کد ناشناخته"))</f>
        <v/>
      </c>
      <c r="E850" s="15" t="n"/>
      <c r="F850" s="20">
        <f>IF($B850="","",IFERROR(INDEX(WageDates,MATCH($B850,WageIds,0)),"—"))</f>
        <v/>
      </c>
      <c r="G850" s="20">
        <f>IF($B850="","",IFERROR(VLOOKUP(INDEX(WageParty,MATCH($B850,WageIds,0)),WGTbl,2,0),"—"))</f>
        <v/>
      </c>
      <c r="H850" s="12" t="n"/>
    </row>
    <row r="851">
      <c r="A851" s="10">
        <f>IF($B851="","",COUNTA($B$9:$B851))</f>
        <v/>
      </c>
      <c r="B851" s="12" t="n"/>
      <c r="C851" s="13" t="n"/>
      <c r="D851" s="14">
        <f>IF($C851="","",IFERROR(IF(VLOOKUP($C851,AcctTblE,4,0)="","(بدون نام)",VLOOKUP($C851,AcctTblE,4,0)),"کد ناشناخته"))</f>
        <v/>
      </c>
      <c r="E851" s="15" t="n"/>
      <c r="F851" s="14">
        <f>IF($B851="","",IFERROR(INDEX(WageDates,MATCH($B851,WageIds,0)),"—"))</f>
        <v/>
      </c>
      <c r="G851" s="14">
        <f>IF($B851="","",IFERROR(VLOOKUP(INDEX(WageParty,MATCH($B851,WageIds,0)),WGTbl,2,0),"—"))</f>
        <v/>
      </c>
      <c r="H851" s="12" t="n"/>
    </row>
    <row r="852">
      <c r="A852" s="19">
        <f>IF($B852="","",COUNTA($B$9:$B852))</f>
        <v/>
      </c>
      <c r="B852" s="12" t="n"/>
      <c r="C852" s="13" t="n"/>
      <c r="D852" s="20">
        <f>IF($C852="","",IFERROR(IF(VLOOKUP($C852,AcctTblE,4,0)="","(بدون نام)",VLOOKUP($C852,AcctTblE,4,0)),"کد ناشناخته"))</f>
        <v/>
      </c>
      <c r="E852" s="15" t="n"/>
      <c r="F852" s="20">
        <f>IF($B852="","",IFERROR(INDEX(WageDates,MATCH($B852,WageIds,0)),"—"))</f>
        <v/>
      </c>
      <c r="G852" s="20">
        <f>IF($B852="","",IFERROR(VLOOKUP(INDEX(WageParty,MATCH($B852,WageIds,0)),WGTbl,2,0),"—"))</f>
        <v/>
      </c>
      <c r="H852" s="12" t="n"/>
    </row>
    <row r="853">
      <c r="A853" s="10">
        <f>IF($B853="","",COUNTA($B$9:$B853))</f>
        <v/>
      </c>
      <c r="B853" s="12" t="n"/>
      <c r="C853" s="13" t="n"/>
      <c r="D853" s="14">
        <f>IF($C853="","",IFERROR(IF(VLOOKUP($C853,AcctTblE,4,0)="","(بدون نام)",VLOOKUP($C853,AcctTblE,4,0)),"کد ناشناخته"))</f>
        <v/>
      </c>
      <c r="E853" s="15" t="n"/>
      <c r="F853" s="14">
        <f>IF($B853="","",IFERROR(INDEX(WageDates,MATCH($B853,WageIds,0)),"—"))</f>
        <v/>
      </c>
      <c r="G853" s="14">
        <f>IF($B853="","",IFERROR(VLOOKUP(INDEX(WageParty,MATCH($B853,WageIds,0)),WGTbl,2,0),"—"))</f>
        <v/>
      </c>
      <c r="H853" s="12" t="n"/>
    </row>
    <row r="854">
      <c r="A854" s="19">
        <f>IF($B854="","",COUNTA($B$9:$B854))</f>
        <v/>
      </c>
      <c r="B854" s="12" t="n"/>
      <c r="C854" s="13" t="n"/>
      <c r="D854" s="20">
        <f>IF($C854="","",IFERROR(IF(VLOOKUP($C854,AcctTblE,4,0)="","(بدون نام)",VLOOKUP($C854,AcctTblE,4,0)),"کد ناشناخته"))</f>
        <v/>
      </c>
      <c r="E854" s="15" t="n"/>
      <c r="F854" s="20">
        <f>IF($B854="","",IFERROR(INDEX(WageDates,MATCH($B854,WageIds,0)),"—"))</f>
        <v/>
      </c>
      <c r="G854" s="20">
        <f>IF($B854="","",IFERROR(VLOOKUP(INDEX(WageParty,MATCH($B854,WageIds,0)),WGTbl,2,0),"—"))</f>
        <v/>
      </c>
      <c r="H854" s="12" t="n"/>
    </row>
    <row r="855">
      <c r="A855" s="10">
        <f>IF($B855="","",COUNTA($B$9:$B855))</f>
        <v/>
      </c>
      <c r="B855" s="12" t="n"/>
      <c r="C855" s="13" t="n"/>
      <c r="D855" s="14">
        <f>IF($C855="","",IFERROR(IF(VLOOKUP($C855,AcctTblE,4,0)="","(بدون نام)",VLOOKUP($C855,AcctTblE,4,0)),"کد ناشناخته"))</f>
        <v/>
      </c>
      <c r="E855" s="15" t="n"/>
      <c r="F855" s="14">
        <f>IF($B855="","",IFERROR(INDEX(WageDates,MATCH($B855,WageIds,0)),"—"))</f>
        <v/>
      </c>
      <c r="G855" s="14">
        <f>IF($B855="","",IFERROR(VLOOKUP(INDEX(WageParty,MATCH($B855,WageIds,0)),WGTbl,2,0),"—"))</f>
        <v/>
      </c>
      <c r="H855" s="12" t="n"/>
    </row>
    <row r="856">
      <c r="A856" s="19">
        <f>IF($B856="","",COUNTA($B$9:$B856))</f>
        <v/>
      </c>
      <c r="B856" s="12" t="n"/>
      <c r="C856" s="13" t="n"/>
      <c r="D856" s="20">
        <f>IF($C856="","",IFERROR(IF(VLOOKUP($C856,AcctTblE,4,0)="","(بدون نام)",VLOOKUP($C856,AcctTblE,4,0)),"کد ناشناخته"))</f>
        <v/>
      </c>
      <c r="E856" s="15" t="n"/>
      <c r="F856" s="20">
        <f>IF($B856="","",IFERROR(INDEX(WageDates,MATCH($B856,WageIds,0)),"—"))</f>
        <v/>
      </c>
      <c r="G856" s="20">
        <f>IF($B856="","",IFERROR(VLOOKUP(INDEX(WageParty,MATCH($B856,WageIds,0)),WGTbl,2,0),"—"))</f>
        <v/>
      </c>
      <c r="H856" s="12" t="n"/>
    </row>
    <row r="857">
      <c r="A857" s="10">
        <f>IF($B857="","",COUNTA($B$9:$B857))</f>
        <v/>
      </c>
      <c r="B857" s="12" t="n"/>
      <c r="C857" s="13" t="n"/>
      <c r="D857" s="14">
        <f>IF($C857="","",IFERROR(IF(VLOOKUP($C857,AcctTblE,4,0)="","(بدون نام)",VLOOKUP($C857,AcctTblE,4,0)),"کد ناشناخته"))</f>
        <v/>
      </c>
      <c r="E857" s="15" t="n"/>
      <c r="F857" s="14">
        <f>IF($B857="","",IFERROR(INDEX(WageDates,MATCH($B857,WageIds,0)),"—"))</f>
        <v/>
      </c>
      <c r="G857" s="14">
        <f>IF($B857="","",IFERROR(VLOOKUP(INDEX(WageParty,MATCH($B857,WageIds,0)),WGTbl,2,0),"—"))</f>
        <v/>
      </c>
      <c r="H857" s="12" t="n"/>
    </row>
    <row r="858">
      <c r="A858" s="19">
        <f>IF($B858="","",COUNTA($B$9:$B858))</f>
        <v/>
      </c>
      <c r="B858" s="12" t="n"/>
      <c r="C858" s="13" t="n"/>
      <c r="D858" s="20">
        <f>IF($C858="","",IFERROR(IF(VLOOKUP($C858,AcctTblE,4,0)="","(بدون نام)",VLOOKUP($C858,AcctTblE,4,0)),"کد ناشناخته"))</f>
        <v/>
      </c>
      <c r="E858" s="15" t="n"/>
      <c r="F858" s="20">
        <f>IF($B858="","",IFERROR(INDEX(WageDates,MATCH($B858,WageIds,0)),"—"))</f>
        <v/>
      </c>
      <c r="G858" s="20">
        <f>IF($B858="","",IFERROR(VLOOKUP(INDEX(WageParty,MATCH($B858,WageIds,0)),WGTbl,2,0),"—"))</f>
        <v/>
      </c>
      <c r="H858" s="12" t="n"/>
    </row>
    <row r="859">
      <c r="A859" s="10">
        <f>IF($B859="","",COUNTA($B$9:$B859))</f>
        <v/>
      </c>
      <c r="B859" s="12" t="n"/>
      <c r="C859" s="13" t="n"/>
      <c r="D859" s="14">
        <f>IF($C859="","",IFERROR(IF(VLOOKUP($C859,AcctTblE,4,0)="","(بدون نام)",VLOOKUP($C859,AcctTblE,4,0)),"کد ناشناخته"))</f>
        <v/>
      </c>
      <c r="E859" s="15" t="n"/>
      <c r="F859" s="14">
        <f>IF($B859="","",IFERROR(INDEX(WageDates,MATCH($B859,WageIds,0)),"—"))</f>
        <v/>
      </c>
      <c r="G859" s="14">
        <f>IF($B859="","",IFERROR(VLOOKUP(INDEX(WageParty,MATCH($B859,WageIds,0)),WGTbl,2,0),"—"))</f>
        <v/>
      </c>
      <c r="H859" s="12" t="n"/>
    </row>
    <row r="860">
      <c r="A860" s="19">
        <f>IF($B860="","",COUNTA($B$9:$B860))</f>
        <v/>
      </c>
      <c r="B860" s="12" t="n"/>
      <c r="C860" s="13" t="n"/>
      <c r="D860" s="20">
        <f>IF($C860="","",IFERROR(IF(VLOOKUP($C860,AcctTblE,4,0)="","(بدون نام)",VLOOKUP($C860,AcctTblE,4,0)),"کد ناشناخته"))</f>
        <v/>
      </c>
      <c r="E860" s="15" t="n"/>
      <c r="F860" s="20">
        <f>IF($B860="","",IFERROR(INDEX(WageDates,MATCH($B860,WageIds,0)),"—"))</f>
        <v/>
      </c>
      <c r="G860" s="20">
        <f>IF($B860="","",IFERROR(VLOOKUP(INDEX(WageParty,MATCH($B860,WageIds,0)),WGTbl,2,0),"—"))</f>
        <v/>
      </c>
      <c r="H860" s="12" t="n"/>
    </row>
    <row r="861">
      <c r="A861" s="10">
        <f>IF($B861="","",COUNTA($B$9:$B861))</f>
        <v/>
      </c>
      <c r="B861" s="12" t="n"/>
      <c r="C861" s="13" t="n"/>
      <c r="D861" s="14">
        <f>IF($C861="","",IFERROR(IF(VLOOKUP($C861,AcctTblE,4,0)="","(بدون نام)",VLOOKUP($C861,AcctTblE,4,0)),"کد ناشناخته"))</f>
        <v/>
      </c>
      <c r="E861" s="15" t="n"/>
      <c r="F861" s="14">
        <f>IF($B861="","",IFERROR(INDEX(WageDates,MATCH($B861,WageIds,0)),"—"))</f>
        <v/>
      </c>
      <c r="G861" s="14">
        <f>IF($B861="","",IFERROR(VLOOKUP(INDEX(WageParty,MATCH($B861,WageIds,0)),WGTbl,2,0),"—"))</f>
        <v/>
      </c>
      <c r="H861" s="12" t="n"/>
    </row>
    <row r="862">
      <c r="A862" s="19">
        <f>IF($B862="","",COUNTA($B$9:$B862))</f>
        <v/>
      </c>
      <c r="B862" s="12" t="n"/>
      <c r="C862" s="13" t="n"/>
      <c r="D862" s="20">
        <f>IF($C862="","",IFERROR(IF(VLOOKUP($C862,AcctTblE,4,0)="","(بدون نام)",VLOOKUP($C862,AcctTblE,4,0)),"کد ناشناخته"))</f>
        <v/>
      </c>
      <c r="E862" s="15" t="n"/>
      <c r="F862" s="20">
        <f>IF($B862="","",IFERROR(INDEX(WageDates,MATCH($B862,WageIds,0)),"—"))</f>
        <v/>
      </c>
      <c r="G862" s="20">
        <f>IF($B862="","",IFERROR(VLOOKUP(INDEX(WageParty,MATCH($B862,WageIds,0)),WGTbl,2,0),"—"))</f>
        <v/>
      </c>
      <c r="H862" s="12" t="n"/>
    </row>
    <row r="863">
      <c r="A863" s="10">
        <f>IF($B863="","",COUNTA($B$9:$B863))</f>
        <v/>
      </c>
      <c r="B863" s="12" t="n"/>
      <c r="C863" s="13" t="n"/>
      <c r="D863" s="14">
        <f>IF($C863="","",IFERROR(IF(VLOOKUP($C863,AcctTblE,4,0)="","(بدون نام)",VLOOKUP($C863,AcctTblE,4,0)),"کد ناشناخته"))</f>
        <v/>
      </c>
      <c r="E863" s="15" t="n"/>
      <c r="F863" s="14">
        <f>IF($B863="","",IFERROR(INDEX(WageDates,MATCH($B863,WageIds,0)),"—"))</f>
        <v/>
      </c>
      <c r="G863" s="14">
        <f>IF($B863="","",IFERROR(VLOOKUP(INDEX(WageParty,MATCH($B863,WageIds,0)),WGTbl,2,0),"—"))</f>
        <v/>
      </c>
      <c r="H863" s="12" t="n"/>
    </row>
    <row r="864">
      <c r="A864" s="19">
        <f>IF($B864="","",COUNTA($B$9:$B864))</f>
        <v/>
      </c>
      <c r="B864" s="12" t="n"/>
      <c r="C864" s="13" t="n"/>
      <c r="D864" s="20">
        <f>IF($C864="","",IFERROR(IF(VLOOKUP($C864,AcctTblE,4,0)="","(بدون نام)",VLOOKUP($C864,AcctTblE,4,0)),"کد ناشناخته"))</f>
        <v/>
      </c>
      <c r="E864" s="15" t="n"/>
      <c r="F864" s="20">
        <f>IF($B864="","",IFERROR(INDEX(WageDates,MATCH($B864,WageIds,0)),"—"))</f>
        <v/>
      </c>
      <c r="G864" s="20">
        <f>IF($B864="","",IFERROR(VLOOKUP(INDEX(WageParty,MATCH($B864,WageIds,0)),WGTbl,2,0),"—"))</f>
        <v/>
      </c>
      <c r="H864" s="12" t="n"/>
    </row>
    <row r="865">
      <c r="A865" s="10">
        <f>IF($B865="","",COUNTA($B$9:$B865))</f>
        <v/>
      </c>
      <c r="B865" s="12" t="n"/>
      <c r="C865" s="13" t="n"/>
      <c r="D865" s="14">
        <f>IF($C865="","",IFERROR(IF(VLOOKUP($C865,AcctTblE,4,0)="","(بدون نام)",VLOOKUP($C865,AcctTblE,4,0)),"کد ناشناخته"))</f>
        <v/>
      </c>
      <c r="E865" s="15" t="n"/>
      <c r="F865" s="14">
        <f>IF($B865="","",IFERROR(INDEX(WageDates,MATCH($B865,WageIds,0)),"—"))</f>
        <v/>
      </c>
      <c r="G865" s="14">
        <f>IF($B865="","",IFERROR(VLOOKUP(INDEX(WageParty,MATCH($B865,WageIds,0)),WGTbl,2,0),"—"))</f>
        <v/>
      </c>
      <c r="H865" s="12" t="n"/>
    </row>
    <row r="866">
      <c r="A866" s="19">
        <f>IF($B866="","",COUNTA($B$9:$B866))</f>
        <v/>
      </c>
      <c r="B866" s="12" t="n"/>
      <c r="C866" s="13" t="n"/>
      <c r="D866" s="20">
        <f>IF($C866="","",IFERROR(IF(VLOOKUP($C866,AcctTblE,4,0)="","(بدون نام)",VLOOKUP($C866,AcctTblE,4,0)),"کد ناشناخته"))</f>
        <v/>
      </c>
      <c r="E866" s="15" t="n"/>
      <c r="F866" s="20">
        <f>IF($B866="","",IFERROR(INDEX(WageDates,MATCH($B866,WageIds,0)),"—"))</f>
        <v/>
      </c>
      <c r="G866" s="20">
        <f>IF($B866="","",IFERROR(VLOOKUP(INDEX(WageParty,MATCH($B866,WageIds,0)),WGTbl,2,0),"—"))</f>
        <v/>
      </c>
      <c r="H866" s="12" t="n"/>
    </row>
    <row r="867">
      <c r="A867" s="10">
        <f>IF($B867="","",COUNTA($B$9:$B867))</f>
        <v/>
      </c>
      <c r="B867" s="12" t="n"/>
      <c r="C867" s="13" t="n"/>
      <c r="D867" s="14">
        <f>IF($C867="","",IFERROR(IF(VLOOKUP($C867,AcctTblE,4,0)="","(بدون نام)",VLOOKUP($C867,AcctTblE,4,0)),"کد ناشناخته"))</f>
        <v/>
      </c>
      <c r="E867" s="15" t="n"/>
      <c r="F867" s="14">
        <f>IF($B867="","",IFERROR(INDEX(WageDates,MATCH($B867,WageIds,0)),"—"))</f>
        <v/>
      </c>
      <c r="G867" s="14">
        <f>IF($B867="","",IFERROR(VLOOKUP(INDEX(WageParty,MATCH($B867,WageIds,0)),WGTbl,2,0),"—"))</f>
        <v/>
      </c>
      <c r="H867" s="12" t="n"/>
    </row>
    <row r="868">
      <c r="A868" s="19">
        <f>IF($B868="","",COUNTA($B$9:$B868))</f>
        <v/>
      </c>
      <c r="B868" s="12" t="n"/>
      <c r="C868" s="13" t="n"/>
      <c r="D868" s="20">
        <f>IF($C868="","",IFERROR(IF(VLOOKUP($C868,AcctTblE,4,0)="","(بدون نام)",VLOOKUP($C868,AcctTblE,4,0)),"کد ناشناخته"))</f>
        <v/>
      </c>
      <c r="E868" s="15" t="n"/>
      <c r="F868" s="20">
        <f>IF($B868="","",IFERROR(INDEX(WageDates,MATCH($B868,WageIds,0)),"—"))</f>
        <v/>
      </c>
      <c r="G868" s="20">
        <f>IF($B868="","",IFERROR(VLOOKUP(INDEX(WageParty,MATCH($B868,WageIds,0)),WGTbl,2,0),"—"))</f>
        <v/>
      </c>
      <c r="H868" s="12" t="n"/>
    </row>
    <row r="869">
      <c r="A869" s="10">
        <f>IF($B869="","",COUNTA($B$9:$B869))</f>
        <v/>
      </c>
      <c r="B869" s="12" t="n"/>
      <c r="C869" s="13" t="n"/>
      <c r="D869" s="14">
        <f>IF($C869="","",IFERROR(IF(VLOOKUP($C869,AcctTblE,4,0)="","(بدون نام)",VLOOKUP($C869,AcctTblE,4,0)),"کد ناشناخته"))</f>
        <v/>
      </c>
      <c r="E869" s="15" t="n"/>
      <c r="F869" s="14">
        <f>IF($B869="","",IFERROR(INDEX(WageDates,MATCH($B869,WageIds,0)),"—"))</f>
        <v/>
      </c>
      <c r="G869" s="14">
        <f>IF($B869="","",IFERROR(VLOOKUP(INDEX(WageParty,MATCH($B869,WageIds,0)),WGTbl,2,0),"—"))</f>
        <v/>
      </c>
      <c r="H869" s="12" t="n"/>
    </row>
    <row r="870">
      <c r="A870" s="19">
        <f>IF($B870="","",COUNTA($B$9:$B870))</f>
        <v/>
      </c>
      <c r="B870" s="12" t="n"/>
      <c r="C870" s="13" t="n"/>
      <c r="D870" s="20">
        <f>IF($C870="","",IFERROR(IF(VLOOKUP($C870,AcctTblE,4,0)="","(بدون نام)",VLOOKUP($C870,AcctTblE,4,0)),"کد ناشناخته"))</f>
        <v/>
      </c>
      <c r="E870" s="15" t="n"/>
      <c r="F870" s="20">
        <f>IF($B870="","",IFERROR(INDEX(WageDates,MATCH($B870,WageIds,0)),"—"))</f>
        <v/>
      </c>
      <c r="G870" s="20">
        <f>IF($B870="","",IFERROR(VLOOKUP(INDEX(WageParty,MATCH($B870,WageIds,0)),WGTbl,2,0),"—"))</f>
        <v/>
      </c>
      <c r="H870" s="12" t="n"/>
    </row>
    <row r="871">
      <c r="A871" s="10">
        <f>IF($B871="","",COUNTA($B$9:$B871))</f>
        <v/>
      </c>
      <c r="B871" s="12" t="n"/>
      <c r="C871" s="13" t="n"/>
      <c r="D871" s="14">
        <f>IF($C871="","",IFERROR(IF(VLOOKUP($C871,AcctTblE,4,0)="","(بدون نام)",VLOOKUP($C871,AcctTblE,4,0)),"کد ناشناخته"))</f>
        <v/>
      </c>
      <c r="E871" s="15" t="n"/>
      <c r="F871" s="14">
        <f>IF($B871="","",IFERROR(INDEX(WageDates,MATCH($B871,WageIds,0)),"—"))</f>
        <v/>
      </c>
      <c r="G871" s="14">
        <f>IF($B871="","",IFERROR(VLOOKUP(INDEX(WageParty,MATCH($B871,WageIds,0)),WGTbl,2,0),"—"))</f>
        <v/>
      </c>
      <c r="H871" s="12" t="n"/>
    </row>
    <row r="872">
      <c r="A872" s="19">
        <f>IF($B872="","",COUNTA($B$9:$B872))</f>
        <v/>
      </c>
      <c r="B872" s="12" t="n"/>
      <c r="C872" s="13" t="n"/>
      <c r="D872" s="20">
        <f>IF($C872="","",IFERROR(IF(VLOOKUP($C872,AcctTblE,4,0)="","(بدون نام)",VLOOKUP($C872,AcctTblE,4,0)),"کد ناشناخته"))</f>
        <v/>
      </c>
      <c r="E872" s="15" t="n"/>
      <c r="F872" s="20">
        <f>IF($B872="","",IFERROR(INDEX(WageDates,MATCH($B872,WageIds,0)),"—"))</f>
        <v/>
      </c>
      <c r="G872" s="20">
        <f>IF($B872="","",IFERROR(VLOOKUP(INDEX(WageParty,MATCH($B872,WageIds,0)),WGTbl,2,0),"—"))</f>
        <v/>
      </c>
      <c r="H872" s="12" t="n"/>
    </row>
    <row r="873">
      <c r="A873" s="10">
        <f>IF($B873="","",COUNTA($B$9:$B873))</f>
        <v/>
      </c>
      <c r="B873" s="12" t="n"/>
      <c r="C873" s="13" t="n"/>
      <c r="D873" s="14">
        <f>IF($C873="","",IFERROR(IF(VLOOKUP($C873,AcctTblE,4,0)="","(بدون نام)",VLOOKUP($C873,AcctTblE,4,0)),"کد ناشناخته"))</f>
        <v/>
      </c>
      <c r="E873" s="15" t="n"/>
      <c r="F873" s="14">
        <f>IF($B873="","",IFERROR(INDEX(WageDates,MATCH($B873,WageIds,0)),"—"))</f>
        <v/>
      </c>
      <c r="G873" s="14">
        <f>IF($B873="","",IFERROR(VLOOKUP(INDEX(WageParty,MATCH($B873,WageIds,0)),WGTbl,2,0),"—"))</f>
        <v/>
      </c>
      <c r="H873" s="12" t="n"/>
    </row>
    <row r="874">
      <c r="A874" s="19">
        <f>IF($B874="","",COUNTA($B$9:$B874))</f>
        <v/>
      </c>
      <c r="B874" s="12" t="n"/>
      <c r="C874" s="13" t="n"/>
      <c r="D874" s="20">
        <f>IF($C874="","",IFERROR(IF(VLOOKUP($C874,AcctTblE,4,0)="","(بدون نام)",VLOOKUP($C874,AcctTblE,4,0)),"کد ناشناخته"))</f>
        <v/>
      </c>
      <c r="E874" s="15" t="n"/>
      <c r="F874" s="20">
        <f>IF($B874="","",IFERROR(INDEX(WageDates,MATCH($B874,WageIds,0)),"—"))</f>
        <v/>
      </c>
      <c r="G874" s="20">
        <f>IF($B874="","",IFERROR(VLOOKUP(INDEX(WageParty,MATCH($B874,WageIds,0)),WGTbl,2,0),"—"))</f>
        <v/>
      </c>
      <c r="H874" s="12" t="n"/>
    </row>
    <row r="875">
      <c r="A875" s="10">
        <f>IF($B875="","",COUNTA($B$9:$B875))</f>
        <v/>
      </c>
      <c r="B875" s="12" t="n"/>
      <c r="C875" s="13" t="n"/>
      <c r="D875" s="14">
        <f>IF($C875="","",IFERROR(IF(VLOOKUP($C875,AcctTblE,4,0)="","(بدون نام)",VLOOKUP($C875,AcctTblE,4,0)),"کد ناشناخته"))</f>
        <v/>
      </c>
      <c r="E875" s="15" t="n"/>
      <c r="F875" s="14">
        <f>IF($B875="","",IFERROR(INDEX(WageDates,MATCH($B875,WageIds,0)),"—"))</f>
        <v/>
      </c>
      <c r="G875" s="14">
        <f>IF($B875="","",IFERROR(VLOOKUP(INDEX(WageParty,MATCH($B875,WageIds,0)),WGTbl,2,0),"—"))</f>
        <v/>
      </c>
      <c r="H875" s="12" t="n"/>
    </row>
    <row r="876">
      <c r="A876" s="19">
        <f>IF($B876="","",COUNTA($B$9:$B876))</f>
        <v/>
      </c>
      <c r="B876" s="12" t="n"/>
      <c r="C876" s="13" t="n"/>
      <c r="D876" s="20">
        <f>IF($C876="","",IFERROR(IF(VLOOKUP($C876,AcctTblE,4,0)="","(بدون نام)",VLOOKUP($C876,AcctTblE,4,0)),"کد ناشناخته"))</f>
        <v/>
      </c>
      <c r="E876" s="15" t="n"/>
      <c r="F876" s="20">
        <f>IF($B876="","",IFERROR(INDEX(WageDates,MATCH($B876,WageIds,0)),"—"))</f>
        <v/>
      </c>
      <c r="G876" s="20">
        <f>IF($B876="","",IFERROR(VLOOKUP(INDEX(WageParty,MATCH($B876,WageIds,0)),WGTbl,2,0),"—"))</f>
        <v/>
      </c>
      <c r="H876" s="12" t="n"/>
    </row>
    <row r="877">
      <c r="A877" s="10">
        <f>IF($B877="","",COUNTA($B$9:$B877))</f>
        <v/>
      </c>
      <c r="B877" s="12" t="n"/>
      <c r="C877" s="13" t="n"/>
      <c r="D877" s="14">
        <f>IF($C877="","",IFERROR(IF(VLOOKUP($C877,AcctTblE,4,0)="","(بدون نام)",VLOOKUP($C877,AcctTblE,4,0)),"کد ناشناخته"))</f>
        <v/>
      </c>
      <c r="E877" s="15" t="n"/>
      <c r="F877" s="14">
        <f>IF($B877="","",IFERROR(INDEX(WageDates,MATCH($B877,WageIds,0)),"—"))</f>
        <v/>
      </c>
      <c r="G877" s="14">
        <f>IF($B877="","",IFERROR(VLOOKUP(INDEX(WageParty,MATCH($B877,WageIds,0)),WGTbl,2,0),"—"))</f>
        <v/>
      </c>
      <c r="H877" s="12" t="n"/>
    </row>
    <row r="878">
      <c r="A878" s="19">
        <f>IF($B878="","",COUNTA($B$9:$B878))</f>
        <v/>
      </c>
      <c r="B878" s="12" t="n"/>
      <c r="C878" s="13" t="n"/>
      <c r="D878" s="20">
        <f>IF($C878="","",IFERROR(IF(VLOOKUP($C878,AcctTblE,4,0)="","(بدون نام)",VLOOKUP($C878,AcctTblE,4,0)),"کد ناشناخته"))</f>
        <v/>
      </c>
      <c r="E878" s="15" t="n"/>
      <c r="F878" s="20">
        <f>IF($B878="","",IFERROR(INDEX(WageDates,MATCH($B878,WageIds,0)),"—"))</f>
        <v/>
      </c>
      <c r="G878" s="20">
        <f>IF($B878="","",IFERROR(VLOOKUP(INDEX(WageParty,MATCH($B878,WageIds,0)),WGTbl,2,0),"—"))</f>
        <v/>
      </c>
      <c r="H878" s="12" t="n"/>
    </row>
    <row r="879">
      <c r="A879" s="10">
        <f>IF($B879="","",COUNTA($B$9:$B879))</f>
        <v/>
      </c>
      <c r="B879" s="12" t="n"/>
      <c r="C879" s="13" t="n"/>
      <c r="D879" s="14">
        <f>IF($C879="","",IFERROR(IF(VLOOKUP($C879,AcctTblE,4,0)="","(بدون نام)",VLOOKUP($C879,AcctTblE,4,0)),"کد ناشناخته"))</f>
        <v/>
      </c>
      <c r="E879" s="15" t="n"/>
      <c r="F879" s="14">
        <f>IF($B879="","",IFERROR(INDEX(WageDates,MATCH($B879,WageIds,0)),"—"))</f>
        <v/>
      </c>
      <c r="G879" s="14">
        <f>IF($B879="","",IFERROR(VLOOKUP(INDEX(WageParty,MATCH($B879,WageIds,0)),WGTbl,2,0),"—"))</f>
        <v/>
      </c>
      <c r="H879" s="12" t="n"/>
    </row>
    <row r="880">
      <c r="A880" s="19">
        <f>IF($B880="","",COUNTA($B$9:$B880))</f>
        <v/>
      </c>
      <c r="B880" s="12" t="n"/>
      <c r="C880" s="13" t="n"/>
      <c r="D880" s="20">
        <f>IF($C880="","",IFERROR(IF(VLOOKUP($C880,AcctTblE,4,0)="","(بدون نام)",VLOOKUP($C880,AcctTblE,4,0)),"کد ناشناخته"))</f>
        <v/>
      </c>
      <c r="E880" s="15" t="n"/>
      <c r="F880" s="20">
        <f>IF($B880="","",IFERROR(INDEX(WageDates,MATCH($B880,WageIds,0)),"—"))</f>
        <v/>
      </c>
      <c r="G880" s="20">
        <f>IF($B880="","",IFERROR(VLOOKUP(INDEX(WageParty,MATCH($B880,WageIds,0)),WGTbl,2,0),"—"))</f>
        <v/>
      </c>
      <c r="H880" s="12" t="n"/>
    </row>
    <row r="881">
      <c r="A881" s="10">
        <f>IF($B881="","",COUNTA($B$9:$B881))</f>
        <v/>
      </c>
      <c r="B881" s="12" t="n"/>
      <c r="C881" s="13" t="n"/>
      <c r="D881" s="14">
        <f>IF($C881="","",IFERROR(IF(VLOOKUP($C881,AcctTblE,4,0)="","(بدون نام)",VLOOKUP($C881,AcctTblE,4,0)),"کد ناشناخته"))</f>
        <v/>
      </c>
      <c r="E881" s="15" t="n"/>
      <c r="F881" s="14">
        <f>IF($B881="","",IFERROR(INDEX(WageDates,MATCH($B881,WageIds,0)),"—"))</f>
        <v/>
      </c>
      <c r="G881" s="14">
        <f>IF($B881="","",IFERROR(VLOOKUP(INDEX(WageParty,MATCH($B881,WageIds,0)),WGTbl,2,0),"—"))</f>
        <v/>
      </c>
      <c r="H881" s="12" t="n"/>
    </row>
    <row r="882">
      <c r="A882" s="19">
        <f>IF($B882="","",COUNTA($B$9:$B882))</f>
        <v/>
      </c>
      <c r="B882" s="12" t="n"/>
      <c r="C882" s="13" t="n"/>
      <c r="D882" s="20">
        <f>IF($C882="","",IFERROR(IF(VLOOKUP($C882,AcctTblE,4,0)="","(بدون نام)",VLOOKUP($C882,AcctTblE,4,0)),"کد ناشناخته"))</f>
        <v/>
      </c>
      <c r="E882" s="15" t="n"/>
      <c r="F882" s="20">
        <f>IF($B882="","",IFERROR(INDEX(WageDates,MATCH($B882,WageIds,0)),"—"))</f>
        <v/>
      </c>
      <c r="G882" s="20">
        <f>IF($B882="","",IFERROR(VLOOKUP(INDEX(WageParty,MATCH($B882,WageIds,0)),WGTbl,2,0),"—"))</f>
        <v/>
      </c>
      <c r="H882" s="12" t="n"/>
    </row>
    <row r="883">
      <c r="A883" s="10">
        <f>IF($B883="","",COUNTA($B$9:$B883))</f>
        <v/>
      </c>
      <c r="B883" s="12" t="n"/>
      <c r="C883" s="13" t="n"/>
      <c r="D883" s="14">
        <f>IF($C883="","",IFERROR(IF(VLOOKUP($C883,AcctTblE,4,0)="","(بدون نام)",VLOOKUP($C883,AcctTblE,4,0)),"کد ناشناخته"))</f>
        <v/>
      </c>
      <c r="E883" s="15" t="n"/>
      <c r="F883" s="14">
        <f>IF($B883="","",IFERROR(INDEX(WageDates,MATCH($B883,WageIds,0)),"—"))</f>
        <v/>
      </c>
      <c r="G883" s="14">
        <f>IF($B883="","",IFERROR(VLOOKUP(INDEX(WageParty,MATCH($B883,WageIds,0)),WGTbl,2,0),"—"))</f>
        <v/>
      </c>
      <c r="H883" s="12" t="n"/>
    </row>
    <row r="884">
      <c r="A884" s="19">
        <f>IF($B884="","",COUNTA($B$9:$B884))</f>
        <v/>
      </c>
      <c r="B884" s="12" t="n"/>
      <c r="C884" s="13" t="n"/>
      <c r="D884" s="20">
        <f>IF($C884="","",IFERROR(IF(VLOOKUP($C884,AcctTblE,4,0)="","(بدون نام)",VLOOKUP($C884,AcctTblE,4,0)),"کد ناشناخته"))</f>
        <v/>
      </c>
      <c r="E884" s="15" t="n"/>
      <c r="F884" s="20">
        <f>IF($B884="","",IFERROR(INDEX(WageDates,MATCH($B884,WageIds,0)),"—"))</f>
        <v/>
      </c>
      <c r="G884" s="20">
        <f>IF($B884="","",IFERROR(VLOOKUP(INDEX(WageParty,MATCH($B884,WageIds,0)),WGTbl,2,0),"—"))</f>
        <v/>
      </c>
      <c r="H884" s="12" t="n"/>
    </row>
    <row r="885">
      <c r="A885" s="10">
        <f>IF($B885="","",COUNTA($B$9:$B885))</f>
        <v/>
      </c>
      <c r="B885" s="12" t="n"/>
      <c r="C885" s="13" t="n"/>
      <c r="D885" s="14">
        <f>IF($C885="","",IFERROR(IF(VLOOKUP($C885,AcctTblE,4,0)="","(بدون نام)",VLOOKUP($C885,AcctTblE,4,0)),"کد ناشناخته"))</f>
        <v/>
      </c>
      <c r="E885" s="15" t="n"/>
      <c r="F885" s="14">
        <f>IF($B885="","",IFERROR(INDEX(WageDates,MATCH($B885,WageIds,0)),"—"))</f>
        <v/>
      </c>
      <c r="G885" s="14">
        <f>IF($B885="","",IFERROR(VLOOKUP(INDEX(WageParty,MATCH($B885,WageIds,0)),WGTbl,2,0),"—"))</f>
        <v/>
      </c>
      <c r="H885" s="12" t="n"/>
    </row>
    <row r="886">
      <c r="A886" s="19">
        <f>IF($B886="","",COUNTA($B$9:$B886))</f>
        <v/>
      </c>
      <c r="B886" s="12" t="n"/>
      <c r="C886" s="13" t="n"/>
      <c r="D886" s="20">
        <f>IF($C886="","",IFERROR(IF(VLOOKUP($C886,AcctTblE,4,0)="","(بدون نام)",VLOOKUP($C886,AcctTblE,4,0)),"کد ناشناخته"))</f>
        <v/>
      </c>
      <c r="E886" s="15" t="n"/>
      <c r="F886" s="20">
        <f>IF($B886="","",IFERROR(INDEX(WageDates,MATCH($B886,WageIds,0)),"—"))</f>
        <v/>
      </c>
      <c r="G886" s="20">
        <f>IF($B886="","",IFERROR(VLOOKUP(INDEX(WageParty,MATCH($B886,WageIds,0)),WGTbl,2,0),"—"))</f>
        <v/>
      </c>
      <c r="H886" s="12" t="n"/>
    </row>
    <row r="887">
      <c r="A887" s="10">
        <f>IF($B887="","",COUNTA($B$9:$B887))</f>
        <v/>
      </c>
      <c r="B887" s="12" t="n"/>
      <c r="C887" s="13" t="n"/>
      <c r="D887" s="14">
        <f>IF($C887="","",IFERROR(IF(VLOOKUP($C887,AcctTblE,4,0)="","(بدون نام)",VLOOKUP($C887,AcctTblE,4,0)),"کد ناشناخته"))</f>
        <v/>
      </c>
      <c r="E887" s="15" t="n"/>
      <c r="F887" s="14">
        <f>IF($B887="","",IFERROR(INDEX(WageDates,MATCH($B887,WageIds,0)),"—"))</f>
        <v/>
      </c>
      <c r="G887" s="14">
        <f>IF($B887="","",IFERROR(VLOOKUP(INDEX(WageParty,MATCH($B887,WageIds,0)),WGTbl,2,0),"—"))</f>
        <v/>
      </c>
      <c r="H887" s="12" t="n"/>
    </row>
    <row r="888">
      <c r="A888" s="19">
        <f>IF($B888="","",COUNTA($B$9:$B888))</f>
        <v/>
      </c>
      <c r="B888" s="12" t="n"/>
      <c r="C888" s="13" t="n"/>
      <c r="D888" s="20">
        <f>IF($C888="","",IFERROR(IF(VLOOKUP($C888,AcctTblE,4,0)="","(بدون نام)",VLOOKUP($C888,AcctTblE,4,0)),"کد ناشناخته"))</f>
        <v/>
      </c>
      <c r="E888" s="15" t="n"/>
      <c r="F888" s="20">
        <f>IF($B888="","",IFERROR(INDEX(WageDates,MATCH($B888,WageIds,0)),"—"))</f>
        <v/>
      </c>
      <c r="G888" s="20">
        <f>IF($B888="","",IFERROR(VLOOKUP(INDEX(WageParty,MATCH($B888,WageIds,0)),WGTbl,2,0),"—"))</f>
        <v/>
      </c>
      <c r="H888" s="12" t="n"/>
    </row>
    <row r="889">
      <c r="A889" s="10">
        <f>IF($B889="","",COUNTA($B$9:$B889))</f>
        <v/>
      </c>
      <c r="B889" s="12" t="n"/>
      <c r="C889" s="13" t="n"/>
      <c r="D889" s="14">
        <f>IF($C889="","",IFERROR(IF(VLOOKUP($C889,AcctTblE,4,0)="","(بدون نام)",VLOOKUP($C889,AcctTblE,4,0)),"کد ناشناخته"))</f>
        <v/>
      </c>
      <c r="E889" s="15" t="n"/>
      <c r="F889" s="14">
        <f>IF($B889="","",IFERROR(INDEX(WageDates,MATCH($B889,WageIds,0)),"—"))</f>
        <v/>
      </c>
      <c r="G889" s="14">
        <f>IF($B889="","",IFERROR(VLOOKUP(INDEX(WageParty,MATCH($B889,WageIds,0)),WGTbl,2,0),"—"))</f>
        <v/>
      </c>
      <c r="H889" s="12" t="n"/>
    </row>
    <row r="890">
      <c r="A890" s="19">
        <f>IF($B890="","",COUNTA($B$9:$B890))</f>
        <v/>
      </c>
      <c r="B890" s="12" t="n"/>
      <c r="C890" s="13" t="n"/>
      <c r="D890" s="20">
        <f>IF($C890="","",IFERROR(IF(VLOOKUP($C890,AcctTblE,4,0)="","(بدون نام)",VLOOKUP($C890,AcctTblE,4,0)),"کد ناشناخته"))</f>
        <v/>
      </c>
      <c r="E890" s="15" t="n"/>
      <c r="F890" s="20">
        <f>IF($B890="","",IFERROR(INDEX(WageDates,MATCH($B890,WageIds,0)),"—"))</f>
        <v/>
      </c>
      <c r="G890" s="20">
        <f>IF($B890="","",IFERROR(VLOOKUP(INDEX(WageParty,MATCH($B890,WageIds,0)),WGTbl,2,0),"—"))</f>
        <v/>
      </c>
      <c r="H890" s="12" t="n"/>
    </row>
    <row r="891">
      <c r="A891" s="10">
        <f>IF($B891="","",COUNTA($B$9:$B891))</f>
        <v/>
      </c>
      <c r="B891" s="12" t="n"/>
      <c r="C891" s="13" t="n"/>
      <c r="D891" s="14">
        <f>IF($C891="","",IFERROR(IF(VLOOKUP($C891,AcctTblE,4,0)="","(بدون نام)",VLOOKUP($C891,AcctTblE,4,0)),"کد ناشناخته"))</f>
        <v/>
      </c>
      <c r="E891" s="15" t="n"/>
      <c r="F891" s="14">
        <f>IF($B891="","",IFERROR(INDEX(WageDates,MATCH($B891,WageIds,0)),"—"))</f>
        <v/>
      </c>
      <c r="G891" s="14">
        <f>IF($B891="","",IFERROR(VLOOKUP(INDEX(WageParty,MATCH($B891,WageIds,0)),WGTbl,2,0),"—"))</f>
        <v/>
      </c>
      <c r="H891" s="12" t="n"/>
    </row>
    <row r="892">
      <c r="A892" s="19">
        <f>IF($B892="","",COUNTA($B$9:$B892))</f>
        <v/>
      </c>
      <c r="B892" s="12" t="n"/>
      <c r="C892" s="13" t="n"/>
      <c r="D892" s="20">
        <f>IF($C892="","",IFERROR(IF(VLOOKUP($C892,AcctTblE,4,0)="","(بدون نام)",VLOOKUP($C892,AcctTblE,4,0)),"کد ناشناخته"))</f>
        <v/>
      </c>
      <c r="E892" s="15" t="n"/>
      <c r="F892" s="20">
        <f>IF($B892="","",IFERROR(INDEX(WageDates,MATCH($B892,WageIds,0)),"—"))</f>
        <v/>
      </c>
      <c r="G892" s="20">
        <f>IF($B892="","",IFERROR(VLOOKUP(INDEX(WageParty,MATCH($B892,WageIds,0)),WGTbl,2,0),"—"))</f>
        <v/>
      </c>
      <c r="H892" s="12" t="n"/>
    </row>
    <row r="893">
      <c r="A893" s="10">
        <f>IF($B893="","",COUNTA($B$9:$B893))</f>
        <v/>
      </c>
      <c r="B893" s="12" t="n"/>
      <c r="C893" s="13" t="n"/>
      <c r="D893" s="14">
        <f>IF($C893="","",IFERROR(IF(VLOOKUP($C893,AcctTblE,4,0)="","(بدون نام)",VLOOKUP($C893,AcctTblE,4,0)),"کد ناشناخته"))</f>
        <v/>
      </c>
      <c r="E893" s="15" t="n"/>
      <c r="F893" s="14">
        <f>IF($B893="","",IFERROR(INDEX(WageDates,MATCH($B893,WageIds,0)),"—"))</f>
        <v/>
      </c>
      <c r="G893" s="14">
        <f>IF($B893="","",IFERROR(VLOOKUP(INDEX(WageParty,MATCH($B893,WageIds,0)),WGTbl,2,0),"—"))</f>
        <v/>
      </c>
      <c r="H893" s="12" t="n"/>
    </row>
    <row r="894">
      <c r="A894" s="19">
        <f>IF($B894="","",COUNTA($B$9:$B894))</f>
        <v/>
      </c>
      <c r="B894" s="12" t="n"/>
      <c r="C894" s="13" t="n"/>
      <c r="D894" s="20">
        <f>IF($C894="","",IFERROR(IF(VLOOKUP($C894,AcctTblE,4,0)="","(بدون نام)",VLOOKUP($C894,AcctTblE,4,0)),"کد ناشناخته"))</f>
        <v/>
      </c>
      <c r="E894" s="15" t="n"/>
      <c r="F894" s="20">
        <f>IF($B894="","",IFERROR(INDEX(WageDates,MATCH($B894,WageIds,0)),"—"))</f>
        <v/>
      </c>
      <c r="G894" s="20">
        <f>IF($B894="","",IFERROR(VLOOKUP(INDEX(WageParty,MATCH($B894,WageIds,0)),WGTbl,2,0),"—"))</f>
        <v/>
      </c>
      <c r="H894" s="12" t="n"/>
    </row>
    <row r="895">
      <c r="A895" s="10">
        <f>IF($B895="","",COUNTA($B$9:$B895))</f>
        <v/>
      </c>
      <c r="B895" s="12" t="n"/>
      <c r="C895" s="13" t="n"/>
      <c r="D895" s="14">
        <f>IF($C895="","",IFERROR(IF(VLOOKUP($C895,AcctTblE,4,0)="","(بدون نام)",VLOOKUP($C895,AcctTblE,4,0)),"کد ناشناخته"))</f>
        <v/>
      </c>
      <c r="E895" s="15" t="n"/>
      <c r="F895" s="14">
        <f>IF($B895="","",IFERROR(INDEX(WageDates,MATCH($B895,WageIds,0)),"—"))</f>
        <v/>
      </c>
      <c r="G895" s="14">
        <f>IF($B895="","",IFERROR(VLOOKUP(INDEX(WageParty,MATCH($B895,WageIds,0)),WGTbl,2,0),"—"))</f>
        <v/>
      </c>
      <c r="H895" s="12" t="n"/>
    </row>
    <row r="896">
      <c r="A896" s="19">
        <f>IF($B896="","",COUNTA($B$9:$B896))</f>
        <v/>
      </c>
      <c r="B896" s="12" t="n"/>
      <c r="C896" s="13" t="n"/>
      <c r="D896" s="20">
        <f>IF($C896="","",IFERROR(IF(VLOOKUP($C896,AcctTblE,4,0)="","(بدون نام)",VLOOKUP($C896,AcctTblE,4,0)),"کد ناشناخته"))</f>
        <v/>
      </c>
      <c r="E896" s="15" t="n"/>
      <c r="F896" s="20">
        <f>IF($B896="","",IFERROR(INDEX(WageDates,MATCH($B896,WageIds,0)),"—"))</f>
        <v/>
      </c>
      <c r="G896" s="20">
        <f>IF($B896="","",IFERROR(VLOOKUP(INDEX(WageParty,MATCH($B896,WageIds,0)),WGTbl,2,0),"—"))</f>
        <v/>
      </c>
      <c r="H896" s="12" t="n"/>
    </row>
    <row r="897">
      <c r="A897" s="10">
        <f>IF($B897="","",COUNTA($B$9:$B897))</f>
        <v/>
      </c>
      <c r="B897" s="12" t="n"/>
      <c r="C897" s="13" t="n"/>
      <c r="D897" s="14">
        <f>IF($C897="","",IFERROR(IF(VLOOKUP($C897,AcctTblE,4,0)="","(بدون نام)",VLOOKUP($C897,AcctTblE,4,0)),"کد ناشناخته"))</f>
        <v/>
      </c>
      <c r="E897" s="15" t="n"/>
      <c r="F897" s="14">
        <f>IF($B897="","",IFERROR(INDEX(WageDates,MATCH($B897,WageIds,0)),"—"))</f>
        <v/>
      </c>
      <c r="G897" s="14">
        <f>IF($B897="","",IFERROR(VLOOKUP(INDEX(WageParty,MATCH($B897,WageIds,0)),WGTbl,2,0),"—"))</f>
        <v/>
      </c>
      <c r="H897" s="12" t="n"/>
    </row>
    <row r="898">
      <c r="A898" s="19">
        <f>IF($B898="","",COUNTA($B$9:$B898))</f>
        <v/>
      </c>
      <c r="B898" s="12" t="n"/>
      <c r="C898" s="13" t="n"/>
      <c r="D898" s="20">
        <f>IF($C898="","",IFERROR(IF(VLOOKUP($C898,AcctTblE,4,0)="","(بدون نام)",VLOOKUP($C898,AcctTblE,4,0)),"کد ناشناخته"))</f>
        <v/>
      </c>
      <c r="E898" s="15" t="n"/>
      <c r="F898" s="20">
        <f>IF($B898="","",IFERROR(INDEX(WageDates,MATCH($B898,WageIds,0)),"—"))</f>
        <v/>
      </c>
      <c r="G898" s="20">
        <f>IF($B898="","",IFERROR(VLOOKUP(INDEX(WageParty,MATCH($B898,WageIds,0)),WGTbl,2,0),"—"))</f>
        <v/>
      </c>
      <c r="H898" s="12" t="n"/>
    </row>
    <row r="899">
      <c r="A899" s="10">
        <f>IF($B899="","",COUNTA($B$9:$B899))</f>
        <v/>
      </c>
      <c r="B899" s="12" t="n"/>
      <c r="C899" s="13" t="n"/>
      <c r="D899" s="14">
        <f>IF($C899="","",IFERROR(IF(VLOOKUP($C899,AcctTblE,4,0)="","(بدون نام)",VLOOKUP($C899,AcctTblE,4,0)),"کد ناشناخته"))</f>
        <v/>
      </c>
      <c r="E899" s="15" t="n"/>
      <c r="F899" s="14">
        <f>IF($B899="","",IFERROR(INDEX(WageDates,MATCH($B899,WageIds,0)),"—"))</f>
        <v/>
      </c>
      <c r="G899" s="14">
        <f>IF($B899="","",IFERROR(VLOOKUP(INDEX(WageParty,MATCH($B899,WageIds,0)),WGTbl,2,0),"—"))</f>
        <v/>
      </c>
      <c r="H899" s="12" t="n"/>
    </row>
    <row r="900">
      <c r="A900" s="19">
        <f>IF($B900="","",COUNTA($B$9:$B900))</f>
        <v/>
      </c>
      <c r="B900" s="12" t="n"/>
      <c r="C900" s="13" t="n"/>
      <c r="D900" s="20">
        <f>IF($C900="","",IFERROR(IF(VLOOKUP($C900,AcctTblE,4,0)="","(بدون نام)",VLOOKUP($C900,AcctTblE,4,0)),"کد ناشناخته"))</f>
        <v/>
      </c>
      <c r="E900" s="15" t="n"/>
      <c r="F900" s="20">
        <f>IF($B900="","",IFERROR(INDEX(WageDates,MATCH($B900,WageIds,0)),"—"))</f>
        <v/>
      </c>
      <c r="G900" s="20">
        <f>IF($B900="","",IFERROR(VLOOKUP(INDEX(WageParty,MATCH($B900,WageIds,0)),WGTbl,2,0),"—"))</f>
        <v/>
      </c>
      <c r="H900" s="12" t="n"/>
    </row>
    <row r="901">
      <c r="A901" s="10">
        <f>IF($B901="","",COUNTA($B$9:$B901))</f>
        <v/>
      </c>
      <c r="B901" s="12" t="n"/>
      <c r="C901" s="13" t="n"/>
      <c r="D901" s="14">
        <f>IF($C901="","",IFERROR(IF(VLOOKUP($C901,AcctTblE,4,0)="","(بدون نام)",VLOOKUP($C901,AcctTblE,4,0)),"کد ناشناخته"))</f>
        <v/>
      </c>
      <c r="E901" s="15" t="n"/>
      <c r="F901" s="14">
        <f>IF($B901="","",IFERROR(INDEX(WageDates,MATCH($B901,WageIds,0)),"—"))</f>
        <v/>
      </c>
      <c r="G901" s="14">
        <f>IF($B901="","",IFERROR(VLOOKUP(INDEX(WageParty,MATCH($B901,WageIds,0)),WGTbl,2,0),"—"))</f>
        <v/>
      </c>
      <c r="H901" s="12" t="n"/>
    </row>
    <row r="902">
      <c r="A902" s="19">
        <f>IF($B902="","",COUNTA($B$9:$B902))</f>
        <v/>
      </c>
      <c r="B902" s="12" t="n"/>
      <c r="C902" s="13" t="n"/>
      <c r="D902" s="20">
        <f>IF($C902="","",IFERROR(IF(VLOOKUP($C902,AcctTblE,4,0)="","(بدون نام)",VLOOKUP($C902,AcctTblE,4,0)),"کد ناشناخته"))</f>
        <v/>
      </c>
      <c r="E902" s="15" t="n"/>
      <c r="F902" s="20">
        <f>IF($B902="","",IFERROR(INDEX(WageDates,MATCH($B902,WageIds,0)),"—"))</f>
        <v/>
      </c>
      <c r="G902" s="20">
        <f>IF($B902="","",IFERROR(VLOOKUP(INDEX(WageParty,MATCH($B902,WageIds,0)),WGTbl,2,0),"—"))</f>
        <v/>
      </c>
      <c r="H902" s="12" t="n"/>
    </row>
    <row r="903">
      <c r="A903" s="10">
        <f>IF($B903="","",COUNTA($B$9:$B903))</f>
        <v/>
      </c>
      <c r="B903" s="12" t="n"/>
      <c r="C903" s="13" t="n"/>
      <c r="D903" s="14">
        <f>IF($C903="","",IFERROR(IF(VLOOKUP($C903,AcctTblE,4,0)="","(بدون نام)",VLOOKUP($C903,AcctTblE,4,0)),"کد ناشناخته"))</f>
        <v/>
      </c>
      <c r="E903" s="15" t="n"/>
      <c r="F903" s="14">
        <f>IF($B903="","",IFERROR(INDEX(WageDates,MATCH($B903,WageIds,0)),"—"))</f>
        <v/>
      </c>
      <c r="G903" s="14">
        <f>IF($B903="","",IFERROR(VLOOKUP(INDEX(WageParty,MATCH($B903,WageIds,0)),WGTbl,2,0),"—"))</f>
        <v/>
      </c>
      <c r="H903" s="12" t="n"/>
    </row>
    <row r="904">
      <c r="A904" s="19">
        <f>IF($B904="","",COUNTA($B$9:$B904))</f>
        <v/>
      </c>
      <c r="B904" s="12" t="n"/>
      <c r="C904" s="13" t="n"/>
      <c r="D904" s="20">
        <f>IF($C904="","",IFERROR(IF(VLOOKUP($C904,AcctTblE,4,0)="","(بدون نام)",VLOOKUP($C904,AcctTblE,4,0)),"کد ناشناخته"))</f>
        <v/>
      </c>
      <c r="E904" s="15" t="n"/>
      <c r="F904" s="20">
        <f>IF($B904="","",IFERROR(INDEX(WageDates,MATCH($B904,WageIds,0)),"—"))</f>
        <v/>
      </c>
      <c r="G904" s="20">
        <f>IF($B904="","",IFERROR(VLOOKUP(INDEX(WageParty,MATCH($B904,WageIds,0)),WGTbl,2,0),"—"))</f>
        <v/>
      </c>
      <c r="H904" s="12" t="n"/>
    </row>
    <row r="905">
      <c r="A905" s="10">
        <f>IF($B905="","",COUNTA($B$9:$B905))</f>
        <v/>
      </c>
      <c r="B905" s="12" t="n"/>
      <c r="C905" s="13" t="n"/>
      <c r="D905" s="14">
        <f>IF($C905="","",IFERROR(IF(VLOOKUP($C905,AcctTblE,4,0)="","(بدون نام)",VLOOKUP($C905,AcctTblE,4,0)),"کد ناشناخته"))</f>
        <v/>
      </c>
      <c r="E905" s="15" t="n"/>
      <c r="F905" s="14">
        <f>IF($B905="","",IFERROR(INDEX(WageDates,MATCH($B905,WageIds,0)),"—"))</f>
        <v/>
      </c>
      <c r="G905" s="14">
        <f>IF($B905="","",IFERROR(VLOOKUP(INDEX(WageParty,MATCH($B905,WageIds,0)),WGTbl,2,0),"—"))</f>
        <v/>
      </c>
      <c r="H905" s="12" t="n"/>
    </row>
    <row r="906">
      <c r="A906" s="19">
        <f>IF($B906="","",COUNTA($B$9:$B906))</f>
        <v/>
      </c>
      <c r="B906" s="12" t="n"/>
      <c r="C906" s="13" t="n"/>
      <c r="D906" s="20">
        <f>IF($C906="","",IFERROR(IF(VLOOKUP($C906,AcctTblE,4,0)="","(بدون نام)",VLOOKUP($C906,AcctTblE,4,0)),"کد ناشناخته"))</f>
        <v/>
      </c>
      <c r="E906" s="15" t="n"/>
      <c r="F906" s="20">
        <f>IF($B906="","",IFERROR(INDEX(WageDates,MATCH($B906,WageIds,0)),"—"))</f>
        <v/>
      </c>
      <c r="G906" s="20">
        <f>IF($B906="","",IFERROR(VLOOKUP(INDEX(WageParty,MATCH($B906,WageIds,0)),WGTbl,2,0),"—"))</f>
        <v/>
      </c>
      <c r="H906" s="12" t="n"/>
    </row>
    <row r="907">
      <c r="A907" s="10">
        <f>IF($B907="","",COUNTA($B$9:$B907))</f>
        <v/>
      </c>
      <c r="B907" s="12" t="n"/>
      <c r="C907" s="13" t="n"/>
      <c r="D907" s="14">
        <f>IF($C907="","",IFERROR(IF(VLOOKUP($C907,AcctTblE,4,0)="","(بدون نام)",VLOOKUP($C907,AcctTblE,4,0)),"کد ناشناخته"))</f>
        <v/>
      </c>
      <c r="E907" s="15" t="n"/>
      <c r="F907" s="14">
        <f>IF($B907="","",IFERROR(INDEX(WageDates,MATCH($B907,WageIds,0)),"—"))</f>
        <v/>
      </c>
      <c r="G907" s="14">
        <f>IF($B907="","",IFERROR(VLOOKUP(INDEX(WageParty,MATCH($B907,WageIds,0)),WGTbl,2,0),"—"))</f>
        <v/>
      </c>
      <c r="H907" s="12" t="n"/>
    </row>
    <row r="908">
      <c r="A908" s="19">
        <f>IF($B908="","",COUNTA($B$9:$B908))</f>
        <v/>
      </c>
      <c r="B908" s="12" t="n"/>
      <c r="C908" s="13" t="n"/>
      <c r="D908" s="20">
        <f>IF($C908="","",IFERROR(IF(VLOOKUP($C908,AcctTblE,4,0)="","(بدون نام)",VLOOKUP($C908,AcctTblE,4,0)),"کد ناشناخته"))</f>
        <v/>
      </c>
      <c r="E908" s="15" t="n"/>
      <c r="F908" s="20">
        <f>IF($B908="","",IFERROR(INDEX(WageDates,MATCH($B908,WageIds,0)),"—"))</f>
        <v/>
      </c>
      <c r="G908" s="20">
        <f>IF($B908="","",IFERROR(VLOOKUP(INDEX(WageParty,MATCH($B908,WageIds,0)),WGTbl,2,0),"—"))</f>
        <v/>
      </c>
      <c r="H908" s="12" t="n"/>
    </row>
    <row r="909">
      <c r="A909" s="10">
        <f>IF($B909="","",COUNTA($B$9:$B909))</f>
        <v/>
      </c>
      <c r="B909" s="12" t="n"/>
      <c r="C909" s="13" t="n"/>
      <c r="D909" s="14">
        <f>IF($C909="","",IFERROR(IF(VLOOKUP($C909,AcctTblE,4,0)="","(بدون نام)",VLOOKUP($C909,AcctTblE,4,0)),"کد ناشناخته"))</f>
        <v/>
      </c>
      <c r="E909" s="15" t="n"/>
      <c r="F909" s="14">
        <f>IF($B909="","",IFERROR(INDEX(WageDates,MATCH($B909,WageIds,0)),"—"))</f>
        <v/>
      </c>
      <c r="G909" s="14">
        <f>IF($B909="","",IFERROR(VLOOKUP(INDEX(WageParty,MATCH($B909,WageIds,0)),WGTbl,2,0),"—"))</f>
        <v/>
      </c>
      <c r="H909" s="12" t="n"/>
    </row>
    <row r="910">
      <c r="A910" s="19">
        <f>IF($B910="","",COUNTA($B$9:$B910))</f>
        <v/>
      </c>
      <c r="B910" s="12" t="n"/>
      <c r="C910" s="13" t="n"/>
      <c r="D910" s="20">
        <f>IF($C910="","",IFERROR(IF(VLOOKUP($C910,AcctTblE,4,0)="","(بدون نام)",VLOOKUP($C910,AcctTblE,4,0)),"کد ناشناخته"))</f>
        <v/>
      </c>
      <c r="E910" s="15" t="n"/>
      <c r="F910" s="20">
        <f>IF($B910="","",IFERROR(INDEX(WageDates,MATCH($B910,WageIds,0)),"—"))</f>
        <v/>
      </c>
      <c r="G910" s="20">
        <f>IF($B910="","",IFERROR(VLOOKUP(INDEX(WageParty,MATCH($B910,WageIds,0)),WGTbl,2,0),"—"))</f>
        <v/>
      </c>
      <c r="H910" s="12" t="n"/>
    </row>
    <row r="911">
      <c r="A911" s="10">
        <f>IF($B911="","",COUNTA($B$9:$B911))</f>
        <v/>
      </c>
      <c r="B911" s="12" t="n"/>
      <c r="C911" s="13" t="n"/>
      <c r="D911" s="14">
        <f>IF($C911="","",IFERROR(IF(VLOOKUP($C911,AcctTblE,4,0)="","(بدون نام)",VLOOKUP($C911,AcctTblE,4,0)),"کد ناشناخته"))</f>
        <v/>
      </c>
      <c r="E911" s="15" t="n"/>
      <c r="F911" s="14">
        <f>IF($B911="","",IFERROR(INDEX(WageDates,MATCH($B911,WageIds,0)),"—"))</f>
        <v/>
      </c>
      <c r="G911" s="14">
        <f>IF($B911="","",IFERROR(VLOOKUP(INDEX(WageParty,MATCH($B911,WageIds,0)),WGTbl,2,0),"—"))</f>
        <v/>
      </c>
      <c r="H911" s="12" t="n"/>
    </row>
    <row r="912">
      <c r="A912" s="19">
        <f>IF($B912="","",COUNTA($B$9:$B912))</f>
        <v/>
      </c>
      <c r="B912" s="12" t="n"/>
      <c r="C912" s="13" t="n"/>
      <c r="D912" s="20">
        <f>IF($C912="","",IFERROR(IF(VLOOKUP($C912,AcctTblE,4,0)="","(بدون نام)",VLOOKUP($C912,AcctTblE,4,0)),"کد ناشناخته"))</f>
        <v/>
      </c>
      <c r="E912" s="15" t="n"/>
      <c r="F912" s="20">
        <f>IF($B912="","",IFERROR(INDEX(WageDates,MATCH($B912,WageIds,0)),"—"))</f>
        <v/>
      </c>
      <c r="G912" s="20">
        <f>IF($B912="","",IFERROR(VLOOKUP(INDEX(WageParty,MATCH($B912,WageIds,0)),WGTbl,2,0),"—"))</f>
        <v/>
      </c>
      <c r="H912" s="12" t="n"/>
    </row>
    <row r="913">
      <c r="A913" s="10">
        <f>IF($B913="","",COUNTA($B$9:$B913))</f>
        <v/>
      </c>
      <c r="B913" s="12" t="n"/>
      <c r="C913" s="13" t="n"/>
      <c r="D913" s="14">
        <f>IF($C913="","",IFERROR(IF(VLOOKUP($C913,AcctTblE,4,0)="","(بدون نام)",VLOOKUP($C913,AcctTblE,4,0)),"کد ناشناخته"))</f>
        <v/>
      </c>
      <c r="E913" s="15" t="n"/>
      <c r="F913" s="14">
        <f>IF($B913="","",IFERROR(INDEX(WageDates,MATCH($B913,WageIds,0)),"—"))</f>
        <v/>
      </c>
      <c r="G913" s="14">
        <f>IF($B913="","",IFERROR(VLOOKUP(INDEX(WageParty,MATCH($B913,WageIds,0)),WGTbl,2,0),"—"))</f>
        <v/>
      </c>
      <c r="H913" s="12" t="n"/>
    </row>
    <row r="914">
      <c r="A914" s="19">
        <f>IF($B914="","",COUNTA($B$9:$B914))</f>
        <v/>
      </c>
      <c r="B914" s="12" t="n"/>
      <c r="C914" s="13" t="n"/>
      <c r="D914" s="20">
        <f>IF($C914="","",IFERROR(IF(VLOOKUP($C914,AcctTblE,4,0)="","(بدون نام)",VLOOKUP($C914,AcctTblE,4,0)),"کد ناشناخته"))</f>
        <v/>
      </c>
      <c r="E914" s="15" t="n"/>
      <c r="F914" s="20">
        <f>IF($B914="","",IFERROR(INDEX(WageDates,MATCH($B914,WageIds,0)),"—"))</f>
        <v/>
      </c>
      <c r="G914" s="20">
        <f>IF($B914="","",IFERROR(VLOOKUP(INDEX(WageParty,MATCH($B914,WageIds,0)),WGTbl,2,0),"—"))</f>
        <v/>
      </c>
      <c r="H914" s="12" t="n"/>
    </row>
    <row r="915">
      <c r="A915" s="10">
        <f>IF($B915="","",COUNTA($B$9:$B915))</f>
        <v/>
      </c>
      <c r="B915" s="12" t="n"/>
      <c r="C915" s="13" t="n"/>
      <c r="D915" s="14">
        <f>IF($C915="","",IFERROR(IF(VLOOKUP($C915,AcctTblE,4,0)="","(بدون نام)",VLOOKUP($C915,AcctTblE,4,0)),"کد ناشناخته"))</f>
        <v/>
      </c>
      <c r="E915" s="15" t="n"/>
      <c r="F915" s="14">
        <f>IF($B915="","",IFERROR(INDEX(WageDates,MATCH($B915,WageIds,0)),"—"))</f>
        <v/>
      </c>
      <c r="G915" s="14">
        <f>IF($B915="","",IFERROR(VLOOKUP(INDEX(WageParty,MATCH($B915,WageIds,0)),WGTbl,2,0),"—"))</f>
        <v/>
      </c>
      <c r="H915" s="12" t="n"/>
    </row>
    <row r="916">
      <c r="A916" s="19">
        <f>IF($B916="","",COUNTA($B$9:$B916))</f>
        <v/>
      </c>
      <c r="B916" s="12" t="n"/>
      <c r="C916" s="13" t="n"/>
      <c r="D916" s="20">
        <f>IF($C916="","",IFERROR(IF(VLOOKUP($C916,AcctTblE,4,0)="","(بدون نام)",VLOOKUP($C916,AcctTblE,4,0)),"کد ناشناخته"))</f>
        <v/>
      </c>
      <c r="E916" s="15" t="n"/>
      <c r="F916" s="20">
        <f>IF($B916="","",IFERROR(INDEX(WageDates,MATCH($B916,WageIds,0)),"—"))</f>
        <v/>
      </c>
      <c r="G916" s="20">
        <f>IF($B916="","",IFERROR(VLOOKUP(INDEX(WageParty,MATCH($B916,WageIds,0)),WGTbl,2,0),"—"))</f>
        <v/>
      </c>
      <c r="H916" s="12" t="n"/>
    </row>
    <row r="917">
      <c r="A917" s="10">
        <f>IF($B917="","",COUNTA($B$9:$B917))</f>
        <v/>
      </c>
      <c r="B917" s="12" t="n"/>
      <c r="C917" s="13" t="n"/>
      <c r="D917" s="14">
        <f>IF($C917="","",IFERROR(IF(VLOOKUP($C917,AcctTblE,4,0)="","(بدون نام)",VLOOKUP($C917,AcctTblE,4,0)),"کد ناشناخته"))</f>
        <v/>
      </c>
      <c r="E917" s="15" t="n"/>
      <c r="F917" s="14">
        <f>IF($B917="","",IFERROR(INDEX(WageDates,MATCH($B917,WageIds,0)),"—"))</f>
        <v/>
      </c>
      <c r="G917" s="14">
        <f>IF($B917="","",IFERROR(VLOOKUP(INDEX(WageParty,MATCH($B917,WageIds,0)),WGTbl,2,0),"—"))</f>
        <v/>
      </c>
      <c r="H917" s="12" t="n"/>
    </row>
    <row r="918">
      <c r="A918" s="19">
        <f>IF($B918="","",COUNTA($B$9:$B918))</f>
        <v/>
      </c>
      <c r="B918" s="12" t="n"/>
      <c r="C918" s="13" t="n"/>
      <c r="D918" s="20">
        <f>IF($C918="","",IFERROR(IF(VLOOKUP($C918,AcctTblE,4,0)="","(بدون نام)",VLOOKUP($C918,AcctTblE,4,0)),"کد ناشناخته"))</f>
        <v/>
      </c>
      <c r="E918" s="15" t="n"/>
      <c r="F918" s="20">
        <f>IF($B918="","",IFERROR(INDEX(WageDates,MATCH($B918,WageIds,0)),"—"))</f>
        <v/>
      </c>
      <c r="G918" s="20">
        <f>IF($B918="","",IFERROR(VLOOKUP(INDEX(WageParty,MATCH($B918,WageIds,0)),WGTbl,2,0),"—"))</f>
        <v/>
      </c>
      <c r="H918" s="12" t="n"/>
    </row>
    <row r="919">
      <c r="A919" s="10">
        <f>IF($B919="","",COUNTA($B$9:$B919))</f>
        <v/>
      </c>
      <c r="B919" s="12" t="n"/>
      <c r="C919" s="13" t="n"/>
      <c r="D919" s="14">
        <f>IF($C919="","",IFERROR(IF(VLOOKUP($C919,AcctTblE,4,0)="","(بدون نام)",VLOOKUP($C919,AcctTblE,4,0)),"کد ناشناخته"))</f>
        <v/>
      </c>
      <c r="E919" s="15" t="n"/>
      <c r="F919" s="14">
        <f>IF($B919="","",IFERROR(INDEX(WageDates,MATCH($B919,WageIds,0)),"—"))</f>
        <v/>
      </c>
      <c r="G919" s="14">
        <f>IF($B919="","",IFERROR(VLOOKUP(INDEX(WageParty,MATCH($B919,WageIds,0)),WGTbl,2,0),"—"))</f>
        <v/>
      </c>
      <c r="H919" s="12" t="n"/>
    </row>
    <row r="920">
      <c r="A920" s="19">
        <f>IF($B920="","",COUNTA($B$9:$B920))</f>
        <v/>
      </c>
      <c r="B920" s="12" t="n"/>
      <c r="C920" s="13" t="n"/>
      <c r="D920" s="20">
        <f>IF($C920="","",IFERROR(IF(VLOOKUP($C920,AcctTblE,4,0)="","(بدون نام)",VLOOKUP($C920,AcctTblE,4,0)),"کد ناشناخته"))</f>
        <v/>
      </c>
      <c r="E920" s="15" t="n"/>
      <c r="F920" s="20">
        <f>IF($B920="","",IFERROR(INDEX(WageDates,MATCH($B920,WageIds,0)),"—"))</f>
        <v/>
      </c>
      <c r="G920" s="20">
        <f>IF($B920="","",IFERROR(VLOOKUP(INDEX(WageParty,MATCH($B920,WageIds,0)),WGTbl,2,0),"—"))</f>
        <v/>
      </c>
      <c r="H920" s="12" t="n"/>
    </row>
    <row r="921">
      <c r="A921" s="10">
        <f>IF($B921="","",COUNTA($B$9:$B921))</f>
        <v/>
      </c>
      <c r="B921" s="12" t="n"/>
      <c r="C921" s="13" t="n"/>
      <c r="D921" s="14">
        <f>IF($C921="","",IFERROR(IF(VLOOKUP($C921,AcctTblE,4,0)="","(بدون نام)",VLOOKUP($C921,AcctTblE,4,0)),"کد ناشناخته"))</f>
        <v/>
      </c>
      <c r="E921" s="15" t="n"/>
      <c r="F921" s="14">
        <f>IF($B921="","",IFERROR(INDEX(WageDates,MATCH($B921,WageIds,0)),"—"))</f>
        <v/>
      </c>
      <c r="G921" s="14">
        <f>IF($B921="","",IFERROR(VLOOKUP(INDEX(WageParty,MATCH($B921,WageIds,0)),WGTbl,2,0),"—"))</f>
        <v/>
      </c>
      <c r="H921" s="12" t="n"/>
    </row>
    <row r="922">
      <c r="A922" s="19">
        <f>IF($B922="","",COUNTA($B$9:$B922))</f>
        <v/>
      </c>
      <c r="B922" s="12" t="n"/>
      <c r="C922" s="13" t="n"/>
      <c r="D922" s="20">
        <f>IF($C922="","",IFERROR(IF(VLOOKUP($C922,AcctTblE,4,0)="","(بدون نام)",VLOOKUP($C922,AcctTblE,4,0)),"کد ناشناخته"))</f>
        <v/>
      </c>
      <c r="E922" s="15" t="n"/>
      <c r="F922" s="20">
        <f>IF($B922="","",IFERROR(INDEX(WageDates,MATCH($B922,WageIds,0)),"—"))</f>
        <v/>
      </c>
      <c r="G922" s="20">
        <f>IF($B922="","",IFERROR(VLOOKUP(INDEX(WageParty,MATCH($B922,WageIds,0)),WGTbl,2,0),"—"))</f>
        <v/>
      </c>
      <c r="H922" s="12" t="n"/>
    </row>
    <row r="923">
      <c r="A923" s="10">
        <f>IF($B923="","",COUNTA($B$9:$B923))</f>
        <v/>
      </c>
      <c r="B923" s="12" t="n"/>
      <c r="C923" s="13" t="n"/>
      <c r="D923" s="14">
        <f>IF($C923="","",IFERROR(IF(VLOOKUP($C923,AcctTblE,4,0)="","(بدون نام)",VLOOKUP($C923,AcctTblE,4,0)),"کد ناشناخته"))</f>
        <v/>
      </c>
      <c r="E923" s="15" t="n"/>
      <c r="F923" s="14">
        <f>IF($B923="","",IFERROR(INDEX(WageDates,MATCH($B923,WageIds,0)),"—"))</f>
        <v/>
      </c>
      <c r="G923" s="14">
        <f>IF($B923="","",IFERROR(VLOOKUP(INDEX(WageParty,MATCH($B923,WageIds,0)),WGTbl,2,0),"—"))</f>
        <v/>
      </c>
      <c r="H923" s="12" t="n"/>
    </row>
    <row r="924">
      <c r="A924" s="19">
        <f>IF($B924="","",COUNTA($B$9:$B924))</f>
        <v/>
      </c>
      <c r="B924" s="12" t="n"/>
      <c r="C924" s="13" t="n"/>
      <c r="D924" s="20">
        <f>IF($C924="","",IFERROR(IF(VLOOKUP($C924,AcctTblE,4,0)="","(بدون نام)",VLOOKUP($C924,AcctTblE,4,0)),"کد ناشناخته"))</f>
        <v/>
      </c>
      <c r="E924" s="15" t="n"/>
      <c r="F924" s="20">
        <f>IF($B924="","",IFERROR(INDEX(WageDates,MATCH($B924,WageIds,0)),"—"))</f>
        <v/>
      </c>
      <c r="G924" s="20">
        <f>IF($B924="","",IFERROR(VLOOKUP(INDEX(WageParty,MATCH($B924,WageIds,0)),WGTbl,2,0),"—"))</f>
        <v/>
      </c>
      <c r="H924" s="12" t="n"/>
    </row>
    <row r="925">
      <c r="A925" s="10">
        <f>IF($B925="","",COUNTA($B$9:$B925))</f>
        <v/>
      </c>
      <c r="B925" s="12" t="n"/>
      <c r="C925" s="13" t="n"/>
      <c r="D925" s="14">
        <f>IF($C925="","",IFERROR(IF(VLOOKUP($C925,AcctTblE,4,0)="","(بدون نام)",VLOOKUP($C925,AcctTblE,4,0)),"کد ناشناخته"))</f>
        <v/>
      </c>
      <c r="E925" s="15" t="n"/>
      <c r="F925" s="14">
        <f>IF($B925="","",IFERROR(INDEX(WageDates,MATCH($B925,WageIds,0)),"—"))</f>
        <v/>
      </c>
      <c r="G925" s="14">
        <f>IF($B925="","",IFERROR(VLOOKUP(INDEX(WageParty,MATCH($B925,WageIds,0)),WGTbl,2,0),"—"))</f>
        <v/>
      </c>
      <c r="H925" s="12" t="n"/>
    </row>
    <row r="926">
      <c r="A926" s="19">
        <f>IF($B926="","",COUNTA($B$9:$B926))</f>
        <v/>
      </c>
      <c r="B926" s="12" t="n"/>
      <c r="C926" s="13" t="n"/>
      <c r="D926" s="20">
        <f>IF($C926="","",IFERROR(IF(VLOOKUP($C926,AcctTblE,4,0)="","(بدون نام)",VLOOKUP($C926,AcctTblE,4,0)),"کد ناشناخته"))</f>
        <v/>
      </c>
      <c r="E926" s="15" t="n"/>
      <c r="F926" s="20">
        <f>IF($B926="","",IFERROR(INDEX(WageDates,MATCH($B926,WageIds,0)),"—"))</f>
        <v/>
      </c>
      <c r="G926" s="20">
        <f>IF($B926="","",IFERROR(VLOOKUP(INDEX(WageParty,MATCH($B926,WageIds,0)),WGTbl,2,0),"—"))</f>
        <v/>
      </c>
      <c r="H926" s="12" t="n"/>
    </row>
    <row r="927">
      <c r="A927" s="10">
        <f>IF($B927="","",COUNTA($B$9:$B927))</f>
        <v/>
      </c>
      <c r="B927" s="12" t="n"/>
      <c r="C927" s="13" t="n"/>
      <c r="D927" s="14">
        <f>IF($C927="","",IFERROR(IF(VLOOKUP($C927,AcctTblE,4,0)="","(بدون نام)",VLOOKUP($C927,AcctTblE,4,0)),"کد ناشناخته"))</f>
        <v/>
      </c>
      <c r="E927" s="15" t="n"/>
      <c r="F927" s="14">
        <f>IF($B927="","",IFERROR(INDEX(WageDates,MATCH($B927,WageIds,0)),"—"))</f>
        <v/>
      </c>
      <c r="G927" s="14">
        <f>IF($B927="","",IFERROR(VLOOKUP(INDEX(WageParty,MATCH($B927,WageIds,0)),WGTbl,2,0),"—"))</f>
        <v/>
      </c>
      <c r="H927" s="12" t="n"/>
    </row>
    <row r="928">
      <c r="A928" s="19">
        <f>IF($B928="","",COUNTA($B$9:$B928))</f>
        <v/>
      </c>
      <c r="B928" s="12" t="n"/>
      <c r="C928" s="13" t="n"/>
      <c r="D928" s="20">
        <f>IF($C928="","",IFERROR(IF(VLOOKUP($C928,AcctTblE,4,0)="","(بدون نام)",VLOOKUP($C928,AcctTblE,4,0)),"کد ناشناخته"))</f>
        <v/>
      </c>
      <c r="E928" s="15" t="n"/>
      <c r="F928" s="20">
        <f>IF($B928="","",IFERROR(INDEX(WageDates,MATCH($B928,WageIds,0)),"—"))</f>
        <v/>
      </c>
      <c r="G928" s="20">
        <f>IF($B928="","",IFERROR(VLOOKUP(INDEX(WageParty,MATCH($B928,WageIds,0)),WGTbl,2,0),"—"))</f>
        <v/>
      </c>
      <c r="H928" s="12" t="n"/>
    </row>
    <row r="929">
      <c r="A929" s="10">
        <f>IF($B929="","",COUNTA($B$9:$B929))</f>
        <v/>
      </c>
      <c r="B929" s="12" t="n"/>
      <c r="C929" s="13" t="n"/>
      <c r="D929" s="14">
        <f>IF($C929="","",IFERROR(IF(VLOOKUP($C929,AcctTblE,4,0)="","(بدون نام)",VLOOKUP($C929,AcctTblE,4,0)),"کد ناشناخته"))</f>
        <v/>
      </c>
      <c r="E929" s="15" t="n"/>
      <c r="F929" s="14">
        <f>IF($B929="","",IFERROR(INDEX(WageDates,MATCH($B929,WageIds,0)),"—"))</f>
        <v/>
      </c>
      <c r="G929" s="14">
        <f>IF($B929="","",IFERROR(VLOOKUP(INDEX(WageParty,MATCH($B929,WageIds,0)),WGTbl,2,0),"—"))</f>
        <v/>
      </c>
      <c r="H929" s="12" t="n"/>
    </row>
    <row r="930">
      <c r="A930" s="19">
        <f>IF($B930="","",COUNTA($B$9:$B930))</f>
        <v/>
      </c>
      <c r="B930" s="12" t="n"/>
      <c r="C930" s="13" t="n"/>
      <c r="D930" s="20">
        <f>IF($C930="","",IFERROR(IF(VLOOKUP($C930,AcctTblE,4,0)="","(بدون نام)",VLOOKUP($C930,AcctTblE,4,0)),"کد ناشناخته"))</f>
        <v/>
      </c>
      <c r="E930" s="15" t="n"/>
      <c r="F930" s="20">
        <f>IF($B930="","",IFERROR(INDEX(WageDates,MATCH($B930,WageIds,0)),"—"))</f>
        <v/>
      </c>
      <c r="G930" s="20">
        <f>IF($B930="","",IFERROR(VLOOKUP(INDEX(WageParty,MATCH($B930,WageIds,0)),WGTbl,2,0),"—"))</f>
        <v/>
      </c>
      <c r="H930" s="12" t="n"/>
    </row>
    <row r="931">
      <c r="A931" s="10">
        <f>IF($B931="","",COUNTA($B$9:$B931))</f>
        <v/>
      </c>
      <c r="B931" s="12" t="n"/>
      <c r="C931" s="13" t="n"/>
      <c r="D931" s="14">
        <f>IF($C931="","",IFERROR(IF(VLOOKUP($C931,AcctTblE,4,0)="","(بدون نام)",VLOOKUP($C931,AcctTblE,4,0)),"کد ناشناخته"))</f>
        <v/>
      </c>
      <c r="E931" s="15" t="n"/>
      <c r="F931" s="14">
        <f>IF($B931="","",IFERROR(INDEX(WageDates,MATCH($B931,WageIds,0)),"—"))</f>
        <v/>
      </c>
      <c r="G931" s="14">
        <f>IF($B931="","",IFERROR(VLOOKUP(INDEX(WageParty,MATCH($B931,WageIds,0)),WGTbl,2,0),"—"))</f>
        <v/>
      </c>
      <c r="H931" s="12" t="n"/>
    </row>
    <row r="932">
      <c r="A932" s="19">
        <f>IF($B932="","",COUNTA($B$9:$B932))</f>
        <v/>
      </c>
      <c r="B932" s="12" t="n"/>
      <c r="C932" s="13" t="n"/>
      <c r="D932" s="20">
        <f>IF($C932="","",IFERROR(IF(VLOOKUP($C932,AcctTblE,4,0)="","(بدون نام)",VLOOKUP($C932,AcctTblE,4,0)),"کد ناشناخته"))</f>
        <v/>
      </c>
      <c r="E932" s="15" t="n"/>
      <c r="F932" s="20">
        <f>IF($B932="","",IFERROR(INDEX(WageDates,MATCH($B932,WageIds,0)),"—"))</f>
        <v/>
      </c>
      <c r="G932" s="20">
        <f>IF($B932="","",IFERROR(VLOOKUP(INDEX(WageParty,MATCH($B932,WageIds,0)),WGTbl,2,0),"—"))</f>
        <v/>
      </c>
      <c r="H932" s="12" t="n"/>
    </row>
    <row r="933">
      <c r="A933" s="10">
        <f>IF($B933="","",COUNTA($B$9:$B933))</f>
        <v/>
      </c>
      <c r="B933" s="12" t="n"/>
      <c r="C933" s="13" t="n"/>
      <c r="D933" s="14">
        <f>IF($C933="","",IFERROR(IF(VLOOKUP($C933,AcctTblE,4,0)="","(بدون نام)",VLOOKUP($C933,AcctTblE,4,0)),"کد ناشناخته"))</f>
        <v/>
      </c>
      <c r="E933" s="15" t="n"/>
      <c r="F933" s="14">
        <f>IF($B933="","",IFERROR(INDEX(WageDates,MATCH($B933,WageIds,0)),"—"))</f>
        <v/>
      </c>
      <c r="G933" s="14">
        <f>IF($B933="","",IFERROR(VLOOKUP(INDEX(WageParty,MATCH($B933,WageIds,0)),WGTbl,2,0),"—"))</f>
        <v/>
      </c>
      <c r="H933" s="12" t="n"/>
    </row>
    <row r="934">
      <c r="A934" s="19">
        <f>IF($B934="","",COUNTA($B$9:$B934))</f>
        <v/>
      </c>
      <c r="B934" s="12" t="n"/>
      <c r="C934" s="13" t="n"/>
      <c r="D934" s="20">
        <f>IF($C934="","",IFERROR(IF(VLOOKUP($C934,AcctTblE,4,0)="","(بدون نام)",VLOOKUP($C934,AcctTblE,4,0)),"کد ناشناخته"))</f>
        <v/>
      </c>
      <c r="E934" s="15" t="n"/>
      <c r="F934" s="20">
        <f>IF($B934="","",IFERROR(INDEX(WageDates,MATCH($B934,WageIds,0)),"—"))</f>
        <v/>
      </c>
      <c r="G934" s="20">
        <f>IF($B934="","",IFERROR(VLOOKUP(INDEX(WageParty,MATCH($B934,WageIds,0)),WGTbl,2,0),"—"))</f>
        <v/>
      </c>
      <c r="H934" s="12" t="n"/>
    </row>
    <row r="935">
      <c r="A935" s="10">
        <f>IF($B935="","",COUNTA($B$9:$B935))</f>
        <v/>
      </c>
      <c r="B935" s="12" t="n"/>
      <c r="C935" s="13" t="n"/>
      <c r="D935" s="14">
        <f>IF($C935="","",IFERROR(IF(VLOOKUP($C935,AcctTblE,4,0)="","(بدون نام)",VLOOKUP($C935,AcctTblE,4,0)),"کد ناشناخته"))</f>
        <v/>
      </c>
      <c r="E935" s="15" t="n"/>
      <c r="F935" s="14">
        <f>IF($B935="","",IFERROR(INDEX(WageDates,MATCH($B935,WageIds,0)),"—"))</f>
        <v/>
      </c>
      <c r="G935" s="14">
        <f>IF($B935="","",IFERROR(VLOOKUP(INDEX(WageParty,MATCH($B935,WageIds,0)),WGTbl,2,0),"—"))</f>
        <v/>
      </c>
      <c r="H935" s="12" t="n"/>
    </row>
    <row r="936">
      <c r="A936" s="19">
        <f>IF($B936="","",COUNTA($B$9:$B936))</f>
        <v/>
      </c>
      <c r="B936" s="12" t="n"/>
      <c r="C936" s="13" t="n"/>
      <c r="D936" s="20">
        <f>IF($C936="","",IFERROR(IF(VLOOKUP($C936,AcctTblE,4,0)="","(بدون نام)",VLOOKUP($C936,AcctTblE,4,0)),"کد ناشناخته"))</f>
        <v/>
      </c>
      <c r="E936" s="15" t="n"/>
      <c r="F936" s="20">
        <f>IF($B936="","",IFERROR(INDEX(WageDates,MATCH($B936,WageIds,0)),"—"))</f>
        <v/>
      </c>
      <c r="G936" s="20">
        <f>IF($B936="","",IFERROR(VLOOKUP(INDEX(WageParty,MATCH($B936,WageIds,0)),WGTbl,2,0),"—"))</f>
        <v/>
      </c>
      <c r="H936" s="12" t="n"/>
    </row>
    <row r="937">
      <c r="A937" s="10">
        <f>IF($B937="","",COUNTA($B$9:$B937))</f>
        <v/>
      </c>
      <c r="B937" s="12" t="n"/>
      <c r="C937" s="13" t="n"/>
      <c r="D937" s="14">
        <f>IF($C937="","",IFERROR(IF(VLOOKUP($C937,AcctTblE,4,0)="","(بدون نام)",VLOOKUP($C937,AcctTblE,4,0)),"کد ناشناخته"))</f>
        <v/>
      </c>
      <c r="E937" s="15" t="n"/>
      <c r="F937" s="14">
        <f>IF($B937="","",IFERROR(INDEX(WageDates,MATCH($B937,WageIds,0)),"—"))</f>
        <v/>
      </c>
      <c r="G937" s="14">
        <f>IF($B937="","",IFERROR(VLOOKUP(INDEX(WageParty,MATCH($B937,WageIds,0)),WGTbl,2,0),"—"))</f>
        <v/>
      </c>
      <c r="H937" s="12" t="n"/>
    </row>
    <row r="938">
      <c r="A938" s="19">
        <f>IF($B938="","",COUNTA($B$9:$B938))</f>
        <v/>
      </c>
      <c r="B938" s="12" t="n"/>
      <c r="C938" s="13" t="n"/>
      <c r="D938" s="20">
        <f>IF($C938="","",IFERROR(IF(VLOOKUP($C938,AcctTblE,4,0)="","(بدون نام)",VLOOKUP($C938,AcctTblE,4,0)),"کد ناشناخته"))</f>
        <v/>
      </c>
      <c r="E938" s="15" t="n"/>
      <c r="F938" s="20">
        <f>IF($B938="","",IFERROR(INDEX(WageDates,MATCH($B938,WageIds,0)),"—"))</f>
        <v/>
      </c>
      <c r="G938" s="20">
        <f>IF($B938="","",IFERROR(VLOOKUP(INDEX(WageParty,MATCH($B938,WageIds,0)),WGTbl,2,0),"—"))</f>
        <v/>
      </c>
      <c r="H938" s="12" t="n"/>
    </row>
    <row r="939">
      <c r="A939" s="10">
        <f>IF($B939="","",COUNTA($B$9:$B939))</f>
        <v/>
      </c>
      <c r="B939" s="12" t="n"/>
      <c r="C939" s="13" t="n"/>
      <c r="D939" s="14">
        <f>IF($C939="","",IFERROR(IF(VLOOKUP($C939,AcctTblE,4,0)="","(بدون نام)",VLOOKUP($C939,AcctTblE,4,0)),"کد ناشناخته"))</f>
        <v/>
      </c>
      <c r="E939" s="15" t="n"/>
      <c r="F939" s="14">
        <f>IF($B939="","",IFERROR(INDEX(WageDates,MATCH($B939,WageIds,0)),"—"))</f>
        <v/>
      </c>
      <c r="G939" s="14">
        <f>IF($B939="","",IFERROR(VLOOKUP(INDEX(WageParty,MATCH($B939,WageIds,0)),WGTbl,2,0),"—"))</f>
        <v/>
      </c>
      <c r="H939" s="12" t="n"/>
    </row>
    <row r="940">
      <c r="A940" s="19">
        <f>IF($B940="","",COUNTA($B$9:$B940))</f>
        <v/>
      </c>
      <c r="B940" s="12" t="n"/>
      <c r="C940" s="13" t="n"/>
      <c r="D940" s="20">
        <f>IF($C940="","",IFERROR(IF(VLOOKUP($C940,AcctTblE,4,0)="","(بدون نام)",VLOOKUP($C940,AcctTblE,4,0)),"کد ناشناخته"))</f>
        <v/>
      </c>
      <c r="E940" s="15" t="n"/>
      <c r="F940" s="20">
        <f>IF($B940="","",IFERROR(INDEX(WageDates,MATCH($B940,WageIds,0)),"—"))</f>
        <v/>
      </c>
      <c r="G940" s="20">
        <f>IF($B940="","",IFERROR(VLOOKUP(INDEX(WageParty,MATCH($B940,WageIds,0)),WGTbl,2,0),"—"))</f>
        <v/>
      </c>
      <c r="H940" s="12" t="n"/>
    </row>
    <row r="941">
      <c r="A941" s="10">
        <f>IF($B941="","",COUNTA($B$9:$B941))</f>
        <v/>
      </c>
      <c r="B941" s="12" t="n"/>
      <c r="C941" s="13" t="n"/>
      <c r="D941" s="14">
        <f>IF($C941="","",IFERROR(IF(VLOOKUP($C941,AcctTblE,4,0)="","(بدون نام)",VLOOKUP($C941,AcctTblE,4,0)),"کد ناشناخته"))</f>
        <v/>
      </c>
      <c r="E941" s="15" t="n"/>
      <c r="F941" s="14">
        <f>IF($B941="","",IFERROR(INDEX(WageDates,MATCH($B941,WageIds,0)),"—"))</f>
        <v/>
      </c>
      <c r="G941" s="14">
        <f>IF($B941="","",IFERROR(VLOOKUP(INDEX(WageParty,MATCH($B941,WageIds,0)),WGTbl,2,0),"—"))</f>
        <v/>
      </c>
      <c r="H941" s="12" t="n"/>
    </row>
    <row r="942">
      <c r="A942" s="19">
        <f>IF($B942="","",COUNTA($B$9:$B942))</f>
        <v/>
      </c>
      <c r="B942" s="12" t="n"/>
      <c r="C942" s="13" t="n"/>
      <c r="D942" s="20">
        <f>IF($C942="","",IFERROR(IF(VLOOKUP($C942,AcctTblE,4,0)="","(بدون نام)",VLOOKUP($C942,AcctTblE,4,0)),"کد ناشناخته"))</f>
        <v/>
      </c>
      <c r="E942" s="15" t="n"/>
      <c r="F942" s="20">
        <f>IF($B942="","",IFERROR(INDEX(WageDates,MATCH($B942,WageIds,0)),"—"))</f>
        <v/>
      </c>
      <c r="G942" s="20">
        <f>IF($B942="","",IFERROR(VLOOKUP(INDEX(WageParty,MATCH($B942,WageIds,0)),WGTbl,2,0),"—"))</f>
        <v/>
      </c>
      <c r="H942" s="12" t="n"/>
    </row>
    <row r="943">
      <c r="A943" s="10">
        <f>IF($B943="","",COUNTA($B$9:$B943))</f>
        <v/>
      </c>
      <c r="B943" s="12" t="n"/>
      <c r="C943" s="13" t="n"/>
      <c r="D943" s="14">
        <f>IF($C943="","",IFERROR(IF(VLOOKUP($C943,AcctTblE,4,0)="","(بدون نام)",VLOOKUP($C943,AcctTblE,4,0)),"کد ناشناخته"))</f>
        <v/>
      </c>
      <c r="E943" s="15" t="n"/>
      <c r="F943" s="14">
        <f>IF($B943="","",IFERROR(INDEX(WageDates,MATCH($B943,WageIds,0)),"—"))</f>
        <v/>
      </c>
      <c r="G943" s="14">
        <f>IF($B943="","",IFERROR(VLOOKUP(INDEX(WageParty,MATCH($B943,WageIds,0)),WGTbl,2,0),"—"))</f>
        <v/>
      </c>
      <c r="H943" s="12" t="n"/>
    </row>
    <row r="944">
      <c r="A944" s="19">
        <f>IF($B944="","",COUNTA($B$9:$B944))</f>
        <v/>
      </c>
      <c r="B944" s="12" t="n"/>
      <c r="C944" s="13" t="n"/>
      <c r="D944" s="20">
        <f>IF($C944="","",IFERROR(IF(VLOOKUP($C944,AcctTblE,4,0)="","(بدون نام)",VLOOKUP($C944,AcctTblE,4,0)),"کد ناشناخته"))</f>
        <v/>
      </c>
      <c r="E944" s="15" t="n"/>
      <c r="F944" s="20">
        <f>IF($B944="","",IFERROR(INDEX(WageDates,MATCH($B944,WageIds,0)),"—"))</f>
        <v/>
      </c>
      <c r="G944" s="20">
        <f>IF($B944="","",IFERROR(VLOOKUP(INDEX(WageParty,MATCH($B944,WageIds,0)),WGTbl,2,0),"—"))</f>
        <v/>
      </c>
      <c r="H944" s="12" t="n"/>
    </row>
    <row r="945">
      <c r="A945" s="10">
        <f>IF($B945="","",COUNTA($B$9:$B945))</f>
        <v/>
      </c>
      <c r="B945" s="12" t="n"/>
      <c r="C945" s="13" t="n"/>
      <c r="D945" s="14">
        <f>IF($C945="","",IFERROR(IF(VLOOKUP($C945,AcctTblE,4,0)="","(بدون نام)",VLOOKUP($C945,AcctTblE,4,0)),"کد ناشناخته"))</f>
        <v/>
      </c>
      <c r="E945" s="15" t="n"/>
      <c r="F945" s="14">
        <f>IF($B945="","",IFERROR(INDEX(WageDates,MATCH($B945,WageIds,0)),"—"))</f>
        <v/>
      </c>
      <c r="G945" s="14">
        <f>IF($B945="","",IFERROR(VLOOKUP(INDEX(WageParty,MATCH($B945,WageIds,0)),WGTbl,2,0),"—"))</f>
        <v/>
      </c>
      <c r="H945" s="12" t="n"/>
    </row>
    <row r="946">
      <c r="A946" s="19">
        <f>IF($B946="","",COUNTA($B$9:$B946))</f>
        <v/>
      </c>
      <c r="B946" s="12" t="n"/>
      <c r="C946" s="13" t="n"/>
      <c r="D946" s="20">
        <f>IF($C946="","",IFERROR(IF(VLOOKUP($C946,AcctTblE,4,0)="","(بدون نام)",VLOOKUP($C946,AcctTblE,4,0)),"کد ناشناخته"))</f>
        <v/>
      </c>
      <c r="E946" s="15" t="n"/>
      <c r="F946" s="20">
        <f>IF($B946="","",IFERROR(INDEX(WageDates,MATCH($B946,WageIds,0)),"—"))</f>
        <v/>
      </c>
      <c r="G946" s="20">
        <f>IF($B946="","",IFERROR(VLOOKUP(INDEX(WageParty,MATCH($B946,WageIds,0)),WGTbl,2,0),"—"))</f>
        <v/>
      </c>
      <c r="H946" s="12" t="n"/>
    </row>
    <row r="947">
      <c r="A947" s="10">
        <f>IF($B947="","",COUNTA($B$9:$B947))</f>
        <v/>
      </c>
      <c r="B947" s="12" t="n"/>
      <c r="C947" s="13" t="n"/>
      <c r="D947" s="14">
        <f>IF($C947="","",IFERROR(IF(VLOOKUP($C947,AcctTblE,4,0)="","(بدون نام)",VLOOKUP($C947,AcctTblE,4,0)),"کد ناشناخته"))</f>
        <v/>
      </c>
      <c r="E947" s="15" t="n"/>
      <c r="F947" s="14">
        <f>IF($B947="","",IFERROR(INDEX(WageDates,MATCH($B947,WageIds,0)),"—"))</f>
        <v/>
      </c>
      <c r="G947" s="14">
        <f>IF($B947="","",IFERROR(VLOOKUP(INDEX(WageParty,MATCH($B947,WageIds,0)),WGTbl,2,0),"—"))</f>
        <v/>
      </c>
      <c r="H947" s="12" t="n"/>
    </row>
    <row r="948">
      <c r="A948" s="19">
        <f>IF($B948="","",COUNTA($B$9:$B948))</f>
        <v/>
      </c>
      <c r="B948" s="12" t="n"/>
      <c r="C948" s="13" t="n"/>
      <c r="D948" s="20">
        <f>IF($C948="","",IFERROR(IF(VLOOKUP($C948,AcctTblE,4,0)="","(بدون نام)",VLOOKUP($C948,AcctTblE,4,0)),"کد ناشناخته"))</f>
        <v/>
      </c>
      <c r="E948" s="15" t="n"/>
      <c r="F948" s="20">
        <f>IF($B948="","",IFERROR(INDEX(WageDates,MATCH($B948,WageIds,0)),"—"))</f>
        <v/>
      </c>
      <c r="G948" s="20">
        <f>IF($B948="","",IFERROR(VLOOKUP(INDEX(WageParty,MATCH($B948,WageIds,0)),WGTbl,2,0),"—"))</f>
        <v/>
      </c>
      <c r="H948" s="12" t="n"/>
    </row>
    <row r="949">
      <c r="A949" s="10">
        <f>IF($B949="","",COUNTA($B$9:$B949))</f>
        <v/>
      </c>
      <c r="B949" s="12" t="n"/>
      <c r="C949" s="13" t="n"/>
      <c r="D949" s="14">
        <f>IF($C949="","",IFERROR(IF(VLOOKUP($C949,AcctTblE,4,0)="","(بدون نام)",VLOOKUP($C949,AcctTblE,4,0)),"کد ناشناخته"))</f>
        <v/>
      </c>
      <c r="E949" s="15" t="n"/>
      <c r="F949" s="14">
        <f>IF($B949="","",IFERROR(INDEX(WageDates,MATCH($B949,WageIds,0)),"—"))</f>
        <v/>
      </c>
      <c r="G949" s="14">
        <f>IF($B949="","",IFERROR(VLOOKUP(INDEX(WageParty,MATCH($B949,WageIds,0)),WGTbl,2,0),"—"))</f>
        <v/>
      </c>
      <c r="H949" s="12" t="n"/>
    </row>
    <row r="950">
      <c r="A950" s="19">
        <f>IF($B950="","",COUNTA($B$9:$B950))</f>
        <v/>
      </c>
      <c r="B950" s="12" t="n"/>
      <c r="C950" s="13" t="n"/>
      <c r="D950" s="20">
        <f>IF($C950="","",IFERROR(IF(VLOOKUP($C950,AcctTblE,4,0)="","(بدون نام)",VLOOKUP($C950,AcctTblE,4,0)),"کد ناشناخته"))</f>
        <v/>
      </c>
      <c r="E950" s="15" t="n"/>
      <c r="F950" s="20">
        <f>IF($B950="","",IFERROR(INDEX(WageDates,MATCH($B950,WageIds,0)),"—"))</f>
        <v/>
      </c>
      <c r="G950" s="20">
        <f>IF($B950="","",IFERROR(VLOOKUP(INDEX(WageParty,MATCH($B950,WageIds,0)),WGTbl,2,0),"—"))</f>
        <v/>
      </c>
      <c r="H950" s="12" t="n"/>
    </row>
    <row r="951">
      <c r="A951" s="10">
        <f>IF($B951="","",COUNTA($B$9:$B951))</f>
        <v/>
      </c>
      <c r="B951" s="12" t="n"/>
      <c r="C951" s="13" t="n"/>
      <c r="D951" s="14">
        <f>IF($C951="","",IFERROR(IF(VLOOKUP($C951,AcctTblE,4,0)="","(بدون نام)",VLOOKUP($C951,AcctTblE,4,0)),"کد ناشناخته"))</f>
        <v/>
      </c>
      <c r="E951" s="15" t="n"/>
      <c r="F951" s="14">
        <f>IF($B951="","",IFERROR(INDEX(WageDates,MATCH($B951,WageIds,0)),"—"))</f>
        <v/>
      </c>
      <c r="G951" s="14">
        <f>IF($B951="","",IFERROR(VLOOKUP(INDEX(WageParty,MATCH($B951,WageIds,0)),WGTbl,2,0),"—"))</f>
        <v/>
      </c>
      <c r="H951" s="12" t="n"/>
    </row>
    <row r="952">
      <c r="A952" s="19">
        <f>IF($B952="","",COUNTA($B$9:$B952))</f>
        <v/>
      </c>
      <c r="B952" s="12" t="n"/>
      <c r="C952" s="13" t="n"/>
      <c r="D952" s="20">
        <f>IF($C952="","",IFERROR(IF(VLOOKUP($C952,AcctTblE,4,0)="","(بدون نام)",VLOOKUP($C952,AcctTblE,4,0)),"کد ناشناخته"))</f>
        <v/>
      </c>
      <c r="E952" s="15" t="n"/>
      <c r="F952" s="20">
        <f>IF($B952="","",IFERROR(INDEX(WageDates,MATCH($B952,WageIds,0)),"—"))</f>
        <v/>
      </c>
      <c r="G952" s="20">
        <f>IF($B952="","",IFERROR(VLOOKUP(INDEX(WageParty,MATCH($B952,WageIds,0)),WGTbl,2,0),"—"))</f>
        <v/>
      </c>
      <c r="H952" s="12" t="n"/>
    </row>
    <row r="953">
      <c r="A953" s="10">
        <f>IF($B953="","",COUNTA($B$9:$B953))</f>
        <v/>
      </c>
      <c r="B953" s="12" t="n"/>
      <c r="C953" s="13" t="n"/>
      <c r="D953" s="14">
        <f>IF($C953="","",IFERROR(IF(VLOOKUP($C953,AcctTblE,4,0)="","(بدون نام)",VLOOKUP($C953,AcctTblE,4,0)),"کد ناشناخته"))</f>
        <v/>
      </c>
      <c r="E953" s="15" t="n"/>
      <c r="F953" s="14">
        <f>IF($B953="","",IFERROR(INDEX(WageDates,MATCH($B953,WageIds,0)),"—"))</f>
        <v/>
      </c>
      <c r="G953" s="14">
        <f>IF($B953="","",IFERROR(VLOOKUP(INDEX(WageParty,MATCH($B953,WageIds,0)),WGTbl,2,0),"—"))</f>
        <v/>
      </c>
      <c r="H953" s="12" t="n"/>
    </row>
    <row r="954">
      <c r="A954" s="19">
        <f>IF($B954="","",COUNTA($B$9:$B954))</f>
        <v/>
      </c>
      <c r="B954" s="12" t="n"/>
      <c r="C954" s="13" t="n"/>
      <c r="D954" s="20">
        <f>IF($C954="","",IFERROR(IF(VLOOKUP($C954,AcctTblE,4,0)="","(بدون نام)",VLOOKUP($C954,AcctTblE,4,0)),"کد ناشناخته"))</f>
        <v/>
      </c>
      <c r="E954" s="15" t="n"/>
      <c r="F954" s="20">
        <f>IF($B954="","",IFERROR(INDEX(WageDates,MATCH($B954,WageIds,0)),"—"))</f>
        <v/>
      </c>
      <c r="G954" s="20">
        <f>IF($B954="","",IFERROR(VLOOKUP(INDEX(WageParty,MATCH($B954,WageIds,0)),WGTbl,2,0),"—"))</f>
        <v/>
      </c>
      <c r="H954" s="12" t="n"/>
    </row>
    <row r="955">
      <c r="A955" s="10">
        <f>IF($B955="","",COUNTA($B$9:$B955))</f>
        <v/>
      </c>
      <c r="B955" s="12" t="n"/>
      <c r="C955" s="13" t="n"/>
      <c r="D955" s="14">
        <f>IF($C955="","",IFERROR(IF(VLOOKUP($C955,AcctTblE,4,0)="","(بدون نام)",VLOOKUP($C955,AcctTblE,4,0)),"کد ناشناخته"))</f>
        <v/>
      </c>
      <c r="E955" s="15" t="n"/>
      <c r="F955" s="14">
        <f>IF($B955="","",IFERROR(INDEX(WageDates,MATCH($B955,WageIds,0)),"—"))</f>
        <v/>
      </c>
      <c r="G955" s="14">
        <f>IF($B955="","",IFERROR(VLOOKUP(INDEX(WageParty,MATCH($B955,WageIds,0)),WGTbl,2,0),"—"))</f>
        <v/>
      </c>
      <c r="H955" s="12" t="n"/>
    </row>
    <row r="956">
      <c r="A956" s="19">
        <f>IF($B956="","",COUNTA($B$9:$B956))</f>
        <v/>
      </c>
      <c r="B956" s="12" t="n"/>
      <c r="C956" s="13" t="n"/>
      <c r="D956" s="20">
        <f>IF($C956="","",IFERROR(IF(VLOOKUP($C956,AcctTblE,4,0)="","(بدون نام)",VLOOKUP($C956,AcctTblE,4,0)),"کد ناشناخته"))</f>
        <v/>
      </c>
      <c r="E956" s="15" t="n"/>
      <c r="F956" s="20">
        <f>IF($B956="","",IFERROR(INDEX(WageDates,MATCH($B956,WageIds,0)),"—"))</f>
        <v/>
      </c>
      <c r="G956" s="20">
        <f>IF($B956="","",IFERROR(VLOOKUP(INDEX(WageParty,MATCH($B956,WageIds,0)),WGTbl,2,0),"—"))</f>
        <v/>
      </c>
      <c r="H956" s="12" t="n"/>
    </row>
    <row r="957">
      <c r="A957" s="10">
        <f>IF($B957="","",COUNTA($B$9:$B957))</f>
        <v/>
      </c>
      <c r="B957" s="12" t="n"/>
      <c r="C957" s="13" t="n"/>
      <c r="D957" s="14">
        <f>IF($C957="","",IFERROR(IF(VLOOKUP($C957,AcctTblE,4,0)="","(بدون نام)",VLOOKUP($C957,AcctTblE,4,0)),"کد ناشناخته"))</f>
        <v/>
      </c>
      <c r="E957" s="15" t="n"/>
      <c r="F957" s="14">
        <f>IF($B957="","",IFERROR(INDEX(WageDates,MATCH($B957,WageIds,0)),"—"))</f>
        <v/>
      </c>
      <c r="G957" s="14">
        <f>IF($B957="","",IFERROR(VLOOKUP(INDEX(WageParty,MATCH($B957,WageIds,0)),WGTbl,2,0),"—"))</f>
        <v/>
      </c>
      <c r="H957" s="12" t="n"/>
    </row>
    <row r="958">
      <c r="A958" s="19">
        <f>IF($B958="","",COUNTA($B$9:$B958))</f>
        <v/>
      </c>
      <c r="B958" s="12" t="n"/>
      <c r="C958" s="13" t="n"/>
      <c r="D958" s="20">
        <f>IF($C958="","",IFERROR(IF(VLOOKUP($C958,AcctTblE,4,0)="","(بدون نام)",VLOOKUP($C958,AcctTblE,4,0)),"کد ناشناخته"))</f>
        <v/>
      </c>
      <c r="E958" s="15" t="n"/>
      <c r="F958" s="20">
        <f>IF($B958="","",IFERROR(INDEX(WageDates,MATCH($B958,WageIds,0)),"—"))</f>
        <v/>
      </c>
      <c r="G958" s="20">
        <f>IF($B958="","",IFERROR(VLOOKUP(INDEX(WageParty,MATCH($B958,WageIds,0)),WGTbl,2,0),"—"))</f>
        <v/>
      </c>
      <c r="H958" s="12" t="n"/>
    </row>
    <row r="959">
      <c r="A959" s="10">
        <f>IF($B959="","",COUNTA($B$9:$B959))</f>
        <v/>
      </c>
      <c r="B959" s="12" t="n"/>
      <c r="C959" s="13" t="n"/>
      <c r="D959" s="14">
        <f>IF($C959="","",IFERROR(IF(VLOOKUP($C959,AcctTblE,4,0)="","(بدون نام)",VLOOKUP($C959,AcctTblE,4,0)),"کد ناشناخته"))</f>
        <v/>
      </c>
      <c r="E959" s="15" t="n"/>
      <c r="F959" s="14">
        <f>IF($B959="","",IFERROR(INDEX(WageDates,MATCH($B959,WageIds,0)),"—"))</f>
        <v/>
      </c>
      <c r="G959" s="14">
        <f>IF($B959="","",IFERROR(VLOOKUP(INDEX(WageParty,MATCH($B959,WageIds,0)),WGTbl,2,0),"—"))</f>
        <v/>
      </c>
      <c r="H959" s="12" t="n"/>
    </row>
    <row r="960">
      <c r="A960" s="19">
        <f>IF($B960="","",COUNTA($B$9:$B960))</f>
        <v/>
      </c>
      <c r="B960" s="12" t="n"/>
      <c r="C960" s="13" t="n"/>
      <c r="D960" s="20">
        <f>IF($C960="","",IFERROR(IF(VLOOKUP($C960,AcctTblE,4,0)="","(بدون نام)",VLOOKUP($C960,AcctTblE,4,0)),"کد ناشناخته"))</f>
        <v/>
      </c>
      <c r="E960" s="15" t="n"/>
      <c r="F960" s="20">
        <f>IF($B960="","",IFERROR(INDEX(WageDates,MATCH($B960,WageIds,0)),"—"))</f>
        <v/>
      </c>
      <c r="G960" s="20">
        <f>IF($B960="","",IFERROR(VLOOKUP(INDEX(WageParty,MATCH($B960,WageIds,0)),WGTbl,2,0),"—"))</f>
        <v/>
      </c>
      <c r="H960" s="12" t="n"/>
    </row>
    <row r="961">
      <c r="A961" s="10">
        <f>IF($B961="","",COUNTA($B$9:$B961))</f>
        <v/>
      </c>
      <c r="B961" s="12" t="n"/>
      <c r="C961" s="13" t="n"/>
      <c r="D961" s="14">
        <f>IF($C961="","",IFERROR(IF(VLOOKUP($C961,AcctTblE,4,0)="","(بدون نام)",VLOOKUP($C961,AcctTblE,4,0)),"کد ناشناخته"))</f>
        <v/>
      </c>
      <c r="E961" s="15" t="n"/>
      <c r="F961" s="14">
        <f>IF($B961="","",IFERROR(INDEX(WageDates,MATCH($B961,WageIds,0)),"—"))</f>
        <v/>
      </c>
      <c r="G961" s="14">
        <f>IF($B961="","",IFERROR(VLOOKUP(INDEX(WageParty,MATCH($B961,WageIds,0)),WGTbl,2,0),"—"))</f>
        <v/>
      </c>
      <c r="H961" s="12" t="n"/>
    </row>
    <row r="962">
      <c r="A962" s="19">
        <f>IF($B962="","",COUNTA($B$9:$B962))</f>
        <v/>
      </c>
      <c r="B962" s="12" t="n"/>
      <c r="C962" s="13" t="n"/>
      <c r="D962" s="20">
        <f>IF($C962="","",IFERROR(IF(VLOOKUP($C962,AcctTblE,4,0)="","(بدون نام)",VLOOKUP($C962,AcctTblE,4,0)),"کد ناشناخته"))</f>
        <v/>
      </c>
      <c r="E962" s="15" t="n"/>
      <c r="F962" s="20">
        <f>IF($B962="","",IFERROR(INDEX(WageDates,MATCH($B962,WageIds,0)),"—"))</f>
        <v/>
      </c>
      <c r="G962" s="20">
        <f>IF($B962="","",IFERROR(VLOOKUP(INDEX(WageParty,MATCH($B962,WageIds,0)),WGTbl,2,0),"—"))</f>
        <v/>
      </c>
      <c r="H962" s="12" t="n"/>
    </row>
    <row r="963">
      <c r="A963" s="10">
        <f>IF($B963="","",COUNTA($B$9:$B963))</f>
        <v/>
      </c>
      <c r="B963" s="12" t="n"/>
      <c r="C963" s="13" t="n"/>
      <c r="D963" s="14">
        <f>IF($C963="","",IFERROR(IF(VLOOKUP($C963,AcctTblE,4,0)="","(بدون نام)",VLOOKUP($C963,AcctTblE,4,0)),"کد ناشناخته"))</f>
        <v/>
      </c>
      <c r="E963" s="15" t="n"/>
      <c r="F963" s="14">
        <f>IF($B963="","",IFERROR(INDEX(WageDates,MATCH($B963,WageIds,0)),"—"))</f>
        <v/>
      </c>
      <c r="G963" s="14">
        <f>IF($B963="","",IFERROR(VLOOKUP(INDEX(WageParty,MATCH($B963,WageIds,0)),WGTbl,2,0),"—"))</f>
        <v/>
      </c>
      <c r="H963" s="12" t="n"/>
    </row>
    <row r="964">
      <c r="A964" s="19">
        <f>IF($B964="","",COUNTA($B$9:$B964))</f>
        <v/>
      </c>
      <c r="B964" s="12" t="n"/>
      <c r="C964" s="13" t="n"/>
      <c r="D964" s="20">
        <f>IF($C964="","",IFERROR(IF(VLOOKUP($C964,AcctTblE,4,0)="","(بدون نام)",VLOOKUP($C964,AcctTblE,4,0)),"کد ناشناخته"))</f>
        <v/>
      </c>
      <c r="E964" s="15" t="n"/>
      <c r="F964" s="20">
        <f>IF($B964="","",IFERROR(INDEX(WageDates,MATCH($B964,WageIds,0)),"—"))</f>
        <v/>
      </c>
      <c r="G964" s="20">
        <f>IF($B964="","",IFERROR(VLOOKUP(INDEX(WageParty,MATCH($B964,WageIds,0)),WGTbl,2,0),"—"))</f>
        <v/>
      </c>
      <c r="H964" s="12" t="n"/>
    </row>
    <row r="965">
      <c r="A965" s="10">
        <f>IF($B965="","",COUNTA($B$9:$B965))</f>
        <v/>
      </c>
      <c r="B965" s="12" t="n"/>
      <c r="C965" s="13" t="n"/>
      <c r="D965" s="14">
        <f>IF($C965="","",IFERROR(IF(VLOOKUP($C965,AcctTblE,4,0)="","(بدون نام)",VLOOKUP($C965,AcctTblE,4,0)),"کد ناشناخته"))</f>
        <v/>
      </c>
      <c r="E965" s="15" t="n"/>
      <c r="F965" s="14">
        <f>IF($B965="","",IFERROR(INDEX(WageDates,MATCH($B965,WageIds,0)),"—"))</f>
        <v/>
      </c>
      <c r="G965" s="14">
        <f>IF($B965="","",IFERROR(VLOOKUP(INDEX(WageParty,MATCH($B965,WageIds,0)),WGTbl,2,0),"—"))</f>
        <v/>
      </c>
      <c r="H965" s="12" t="n"/>
    </row>
    <row r="966">
      <c r="A966" s="19">
        <f>IF($B966="","",COUNTA($B$9:$B966))</f>
        <v/>
      </c>
      <c r="B966" s="12" t="n"/>
      <c r="C966" s="13" t="n"/>
      <c r="D966" s="20">
        <f>IF($C966="","",IFERROR(IF(VLOOKUP($C966,AcctTblE,4,0)="","(بدون نام)",VLOOKUP($C966,AcctTblE,4,0)),"کد ناشناخته"))</f>
        <v/>
      </c>
      <c r="E966" s="15" t="n"/>
      <c r="F966" s="20">
        <f>IF($B966="","",IFERROR(INDEX(WageDates,MATCH($B966,WageIds,0)),"—"))</f>
        <v/>
      </c>
      <c r="G966" s="20">
        <f>IF($B966="","",IFERROR(VLOOKUP(INDEX(WageParty,MATCH($B966,WageIds,0)),WGTbl,2,0),"—"))</f>
        <v/>
      </c>
      <c r="H966" s="12" t="n"/>
    </row>
    <row r="967">
      <c r="A967" s="10">
        <f>IF($B967="","",COUNTA($B$9:$B967))</f>
        <v/>
      </c>
      <c r="B967" s="12" t="n"/>
      <c r="C967" s="13" t="n"/>
      <c r="D967" s="14">
        <f>IF($C967="","",IFERROR(IF(VLOOKUP($C967,AcctTblE,4,0)="","(بدون نام)",VLOOKUP($C967,AcctTblE,4,0)),"کد ناشناخته"))</f>
        <v/>
      </c>
      <c r="E967" s="15" t="n"/>
      <c r="F967" s="14">
        <f>IF($B967="","",IFERROR(INDEX(WageDates,MATCH($B967,WageIds,0)),"—"))</f>
        <v/>
      </c>
      <c r="G967" s="14">
        <f>IF($B967="","",IFERROR(VLOOKUP(INDEX(WageParty,MATCH($B967,WageIds,0)),WGTbl,2,0),"—"))</f>
        <v/>
      </c>
      <c r="H967" s="12" t="n"/>
    </row>
    <row r="968">
      <c r="A968" s="19">
        <f>IF($B968="","",COUNTA($B$9:$B968))</f>
        <v/>
      </c>
      <c r="B968" s="12" t="n"/>
      <c r="C968" s="13" t="n"/>
      <c r="D968" s="20">
        <f>IF($C968="","",IFERROR(IF(VLOOKUP($C968,AcctTblE,4,0)="","(بدون نام)",VLOOKUP($C968,AcctTblE,4,0)),"کد ناشناخته"))</f>
        <v/>
      </c>
      <c r="E968" s="15" t="n"/>
      <c r="F968" s="20">
        <f>IF($B968="","",IFERROR(INDEX(WageDates,MATCH($B968,WageIds,0)),"—"))</f>
        <v/>
      </c>
      <c r="G968" s="20">
        <f>IF($B968="","",IFERROR(VLOOKUP(INDEX(WageParty,MATCH($B968,WageIds,0)),WGTbl,2,0),"—"))</f>
        <v/>
      </c>
      <c r="H968" s="12" t="n"/>
    </row>
    <row r="969">
      <c r="A969" s="10">
        <f>IF($B969="","",COUNTA($B$9:$B969))</f>
        <v/>
      </c>
      <c r="B969" s="12" t="n"/>
      <c r="C969" s="13" t="n"/>
      <c r="D969" s="14">
        <f>IF($C969="","",IFERROR(IF(VLOOKUP($C969,AcctTblE,4,0)="","(بدون نام)",VLOOKUP($C969,AcctTblE,4,0)),"کد ناشناخته"))</f>
        <v/>
      </c>
      <c r="E969" s="15" t="n"/>
      <c r="F969" s="14">
        <f>IF($B969="","",IFERROR(INDEX(WageDates,MATCH($B969,WageIds,0)),"—"))</f>
        <v/>
      </c>
      <c r="G969" s="14">
        <f>IF($B969="","",IFERROR(VLOOKUP(INDEX(WageParty,MATCH($B969,WageIds,0)),WGTbl,2,0),"—"))</f>
        <v/>
      </c>
      <c r="H969" s="12" t="n"/>
    </row>
    <row r="970">
      <c r="A970" s="19">
        <f>IF($B970="","",COUNTA($B$9:$B970))</f>
        <v/>
      </c>
      <c r="B970" s="12" t="n"/>
      <c r="C970" s="13" t="n"/>
      <c r="D970" s="20">
        <f>IF($C970="","",IFERROR(IF(VLOOKUP($C970,AcctTblE,4,0)="","(بدون نام)",VLOOKUP($C970,AcctTblE,4,0)),"کد ناشناخته"))</f>
        <v/>
      </c>
      <c r="E970" s="15" t="n"/>
      <c r="F970" s="20">
        <f>IF($B970="","",IFERROR(INDEX(WageDates,MATCH($B970,WageIds,0)),"—"))</f>
        <v/>
      </c>
      <c r="G970" s="20">
        <f>IF($B970="","",IFERROR(VLOOKUP(INDEX(WageParty,MATCH($B970,WageIds,0)),WGTbl,2,0),"—"))</f>
        <v/>
      </c>
      <c r="H970" s="12" t="n"/>
    </row>
    <row r="971">
      <c r="A971" s="10">
        <f>IF($B971="","",COUNTA($B$9:$B971))</f>
        <v/>
      </c>
      <c r="B971" s="12" t="n"/>
      <c r="C971" s="13" t="n"/>
      <c r="D971" s="14">
        <f>IF($C971="","",IFERROR(IF(VLOOKUP($C971,AcctTblE,4,0)="","(بدون نام)",VLOOKUP($C971,AcctTblE,4,0)),"کد ناشناخته"))</f>
        <v/>
      </c>
      <c r="E971" s="15" t="n"/>
      <c r="F971" s="14">
        <f>IF($B971="","",IFERROR(INDEX(WageDates,MATCH($B971,WageIds,0)),"—"))</f>
        <v/>
      </c>
      <c r="G971" s="14">
        <f>IF($B971="","",IFERROR(VLOOKUP(INDEX(WageParty,MATCH($B971,WageIds,0)),WGTbl,2,0),"—"))</f>
        <v/>
      </c>
      <c r="H971" s="12" t="n"/>
    </row>
    <row r="972">
      <c r="A972" s="19">
        <f>IF($B972="","",COUNTA($B$9:$B972))</f>
        <v/>
      </c>
      <c r="B972" s="12" t="n"/>
      <c r="C972" s="13" t="n"/>
      <c r="D972" s="20">
        <f>IF($C972="","",IFERROR(IF(VLOOKUP($C972,AcctTblE,4,0)="","(بدون نام)",VLOOKUP($C972,AcctTblE,4,0)),"کد ناشناخته"))</f>
        <v/>
      </c>
      <c r="E972" s="15" t="n"/>
      <c r="F972" s="20">
        <f>IF($B972="","",IFERROR(INDEX(WageDates,MATCH($B972,WageIds,0)),"—"))</f>
        <v/>
      </c>
      <c r="G972" s="20">
        <f>IF($B972="","",IFERROR(VLOOKUP(INDEX(WageParty,MATCH($B972,WageIds,0)),WGTbl,2,0),"—"))</f>
        <v/>
      </c>
      <c r="H972" s="12" t="n"/>
    </row>
    <row r="973">
      <c r="A973" s="10">
        <f>IF($B973="","",COUNTA($B$9:$B973))</f>
        <v/>
      </c>
      <c r="B973" s="12" t="n"/>
      <c r="C973" s="13" t="n"/>
      <c r="D973" s="14">
        <f>IF($C973="","",IFERROR(IF(VLOOKUP($C973,AcctTblE,4,0)="","(بدون نام)",VLOOKUP($C973,AcctTblE,4,0)),"کد ناشناخته"))</f>
        <v/>
      </c>
      <c r="E973" s="15" t="n"/>
      <c r="F973" s="14">
        <f>IF($B973="","",IFERROR(INDEX(WageDates,MATCH($B973,WageIds,0)),"—"))</f>
        <v/>
      </c>
      <c r="G973" s="14">
        <f>IF($B973="","",IFERROR(VLOOKUP(INDEX(WageParty,MATCH($B973,WageIds,0)),WGTbl,2,0),"—"))</f>
        <v/>
      </c>
      <c r="H973" s="12" t="n"/>
    </row>
    <row r="974">
      <c r="A974" s="19">
        <f>IF($B974="","",COUNTA($B$9:$B974))</f>
        <v/>
      </c>
      <c r="B974" s="12" t="n"/>
      <c r="C974" s="13" t="n"/>
      <c r="D974" s="20">
        <f>IF($C974="","",IFERROR(IF(VLOOKUP($C974,AcctTblE,4,0)="","(بدون نام)",VLOOKUP($C974,AcctTblE,4,0)),"کد ناشناخته"))</f>
        <v/>
      </c>
      <c r="E974" s="15" t="n"/>
      <c r="F974" s="20">
        <f>IF($B974="","",IFERROR(INDEX(WageDates,MATCH($B974,WageIds,0)),"—"))</f>
        <v/>
      </c>
      <c r="G974" s="20">
        <f>IF($B974="","",IFERROR(VLOOKUP(INDEX(WageParty,MATCH($B974,WageIds,0)),WGTbl,2,0),"—"))</f>
        <v/>
      </c>
      <c r="H974" s="12" t="n"/>
    </row>
    <row r="975">
      <c r="A975" s="10">
        <f>IF($B975="","",COUNTA($B$9:$B975))</f>
        <v/>
      </c>
      <c r="B975" s="12" t="n"/>
      <c r="C975" s="13" t="n"/>
      <c r="D975" s="14">
        <f>IF($C975="","",IFERROR(IF(VLOOKUP($C975,AcctTblE,4,0)="","(بدون نام)",VLOOKUP($C975,AcctTblE,4,0)),"کد ناشناخته"))</f>
        <v/>
      </c>
      <c r="E975" s="15" t="n"/>
      <c r="F975" s="14">
        <f>IF($B975="","",IFERROR(INDEX(WageDates,MATCH($B975,WageIds,0)),"—"))</f>
        <v/>
      </c>
      <c r="G975" s="14">
        <f>IF($B975="","",IFERROR(VLOOKUP(INDEX(WageParty,MATCH($B975,WageIds,0)),WGTbl,2,0),"—"))</f>
        <v/>
      </c>
      <c r="H975" s="12" t="n"/>
    </row>
    <row r="976">
      <c r="A976" s="19">
        <f>IF($B976="","",COUNTA($B$9:$B976))</f>
        <v/>
      </c>
      <c r="B976" s="12" t="n"/>
      <c r="C976" s="13" t="n"/>
      <c r="D976" s="20">
        <f>IF($C976="","",IFERROR(IF(VLOOKUP($C976,AcctTblE,4,0)="","(بدون نام)",VLOOKUP($C976,AcctTblE,4,0)),"کد ناشناخته"))</f>
        <v/>
      </c>
      <c r="E976" s="15" t="n"/>
      <c r="F976" s="20">
        <f>IF($B976="","",IFERROR(INDEX(WageDates,MATCH($B976,WageIds,0)),"—"))</f>
        <v/>
      </c>
      <c r="G976" s="20">
        <f>IF($B976="","",IFERROR(VLOOKUP(INDEX(WageParty,MATCH($B976,WageIds,0)),WGTbl,2,0),"—"))</f>
        <v/>
      </c>
      <c r="H976" s="12" t="n"/>
    </row>
    <row r="977">
      <c r="A977" s="10">
        <f>IF($B977="","",COUNTA($B$9:$B977))</f>
        <v/>
      </c>
      <c r="B977" s="12" t="n"/>
      <c r="C977" s="13" t="n"/>
      <c r="D977" s="14">
        <f>IF($C977="","",IFERROR(IF(VLOOKUP($C977,AcctTblE,4,0)="","(بدون نام)",VLOOKUP($C977,AcctTblE,4,0)),"کد ناشناخته"))</f>
        <v/>
      </c>
      <c r="E977" s="15" t="n"/>
      <c r="F977" s="14">
        <f>IF($B977="","",IFERROR(INDEX(WageDates,MATCH($B977,WageIds,0)),"—"))</f>
        <v/>
      </c>
      <c r="G977" s="14">
        <f>IF($B977="","",IFERROR(VLOOKUP(INDEX(WageParty,MATCH($B977,WageIds,0)),WGTbl,2,0),"—"))</f>
        <v/>
      </c>
      <c r="H977" s="12" t="n"/>
    </row>
    <row r="978">
      <c r="A978" s="19">
        <f>IF($B978="","",COUNTA($B$9:$B978))</f>
        <v/>
      </c>
      <c r="B978" s="12" t="n"/>
      <c r="C978" s="13" t="n"/>
      <c r="D978" s="20">
        <f>IF($C978="","",IFERROR(IF(VLOOKUP($C978,AcctTblE,4,0)="","(بدون نام)",VLOOKUP($C978,AcctTblE,4,0)),"کد ناشناخته"))</f>
        <v/>
      </c>
      <c r="E978" s="15" t="n"/>
      <c r="F978" s="20">
        <f>IF($B978="","",IFERROR(INDEX(WageDates,MATCH($B978,WageIds,0)),"—"))</f>
        <v/>
      </c>
      <c r="G978" s="20">
        <f>IF($B978="","",IFERROR(VLOOKUP(INDEX(WageParty,MATCH($B978,WageIds,0)),WGTbl,2,0),"—"))</f>
        <v/>
      </c>
      <c r="H978" s="12" t="n"/>
    </row>
    <row r="979">
      <c r="A979" s="10">
        <f>IF($B979="","",COUNTA($B$9:$B979))</f>
        <v/>
      </c>
      <c r="B979" s="12" t="n"/>
      <c r="C979" s="13" t="n"/>
      <c r="D979" s="14">
        <f>IF($C979="","",IFERROR(IF(VLOOKUP($C979,AcctTblE,4,0)="","(بدون نام)",VLOOKUP($C979,AcctTblE,4,0)),"کد ناشناخته"))</f>
        <v/>
      </c>
      <c r="E979" s="15" t="n"/>
      <c r="F979" s="14">
        <f>IF($B979="","",IFERROR(INDEX(WageDates,MATCH($B979,WageIds,0)),"—"))</f>
        <v/>
      </c>
      <c r="G979" s="14">
        <f>IF($B979="","",IFERROR(VLOOKUP(INDEX(WageParty,MATCH($B979,WageIds,0)),WGTbl,2,0),"—"))</f>
        <v/>
      </c>
      <c r="H979" s="12" t="n"/>
    </row>
    <row r="980">
      <c r="A980" s="19">
        <f>IF($B980="","",COUNTA($B$9:$B980))</f>
        <v/>
      </c>
      <c r="B980" s="12" t="n"/>
      <c r="C980" s="13" t="n"/>
      <c r="D980" s="20">
        <f>IF($C980="","",IFERROR(IF(VLOOKUP($C980,AcctTblE,4,0)="","(بدون نام)",VLOOKUP($C980,AcctTblE,4,0)),"کد ناشناخته"))</f>
        <v/>
      </c>
      <c r="E980" s="15" t="n"/>
      <c r="F980" s="20">
        <f>IF($B980="","",IFERROR(INDEX(WageDates,MATCH($B980,WageIds,0)),"—"))</f>
        <v/>
      </c>
      <c r="G980" s="20">
        <f>IF($B980="","",IFERROR(VLOOKUP(INDEX(WageParty,MATCH($B980,WageIds,0)),WGTbl,2,0),"—"))</f>
        <v/>
      </c>
      <c r="H980" s="12" t="n"/>
    </row>
    <row r="981">
      <c r="A981" s="10">
        <f>IF($B981="","",COUNTA($B$9:$B981))</f>
        <v/>
      </c>
      <c r="B981" s="12" t="n"/>
      <c r="C981" s="13" t="n"/>
      <c r="D981" s="14">
        <f>IF($C981="","",IFERROR(IF(VLOOKUP($C981,AcctTblE,4,0)="","(بدون نام)",VLOOKUP($C981,AcctTblE,4,0)),"کد ناشناخته"))</f>
        <v/>
      </c>
      <c r="E981" s="15" t="n"/>
      <c r="F981" s="14">
        <f>IF($B981="","",IFERROR(INDEX(WageDates,MATCH($B981,WageIds,0)),"—"))</f>
        <v/>
      </c>
      <c r="G981" s="14">
        <f>IF($B981="","",IFERROR(VLOOKUP(INDEX(WageParty,MATCH($B981,WageIds,0)),WGTbl,2,0),"—"))</f>
        <v/>
      </c>
      <c r="H981" s="12" t="n"/>
    </row>
    <row r="982">
      <c r="A982" s="19">
        <f>IF($B982="","",COUNTA($B$9:$B982))</f>
        <v/>
      </c>
      <c r="B982" s="12" t="n"/>
      <c r="C982" s="13" t="n"/>
      <c r="D982" s="20">
        <f>IF($C982="","",IFERROR(IF(VLOOKUP($C982,AcctTblE,4,0)="","(بدون نام)",VLOOKUP($C982,AcctTblE,4,0)),"کد ناشناخته"))</f>
        <v/>
      </c>
      <c r="E982" s="15" t="n"/>
      <c r="F982" s="20">
        <f>IF($B982="","",IFERROR(INDEX(WageDates,MATCH($B982,WageIds,0)),"—"))</f>
        <v/>
      </c>
      <c r="G982" s="20">
        <f>IF($B982="","",IFERROR(VLOOKUP(INDEX(WageParty,MATCH($B982,WageIds,0)),WGTbl,2,0),"—"))</f>
        <v/>
      </c>
      <c r="H982" s="12" t="n"/>
    </row>
    <row r="983">
      <c r="A983" s="10">
        <f>IF($B983="","",COUNTA($B$9:$B983))</f>
        <v/>
      </c>
      <c r="B983" s="12" t="n"/>
      <c r="C983" s="13" t="n"/>
      <c r="D983" s="14">
        <f>IF($C983="","",IFERROR(IF(VLOOKUP($C983,AcctTblE,4,0)="","(بدون نام)",VLOOKUP($C983,AcctTblE,4,0)),"کد ناشناخته"))</f>
        <v/>
      </c>
      <c r="E983" s="15" t="n"/>
      <c r="F983" s="14">
        <f>IF($B983="","",IFERROR(INDEX(WageDates,MATCH($B983,WageIds,0)),"—"))</f>
        <v/>
      </c>
      <c r="G983" s="14">
        <f>IF($B983="","",IFERROR(VLOOKUP(INDEX(WageParty,MATCH($B983,WageIds,0)),WGTbl,2,0),"—"))</f>
        <v/>
      </c>
      <c r="H983" s="12" t="n"/>
    </row>
    <row r="984">
      <c r="A984" s="19">
        <f>IF($B984="","",COUNTA($B$9:$B984))</f>
        <v/>
      </c>
      <c r="B984" s="12" t="n"/>
      <c r="C984" s="13" t="n"/>
      <c r="D984" s="20">
        <f>IF($C984="","",IFERROR(IF(VLOOKUP($C984,AcctTblE,4,0)="","(بدون نام)",VLOOKUP($C984,AcctTblE,4,0)),"کد ناشناخته"))</f>
        <v/>
      </c>
      <c r="E984" s="15" t="n"/>
      <c r="F984" s="20">
        <f>IF($B984="","",IFERROR(INDEX(WageDates,MATCH($B984,WageIds,0)),"—"))</f>
        <v/>
      </c>
      <c r="G984" s="20">
        <f>IF($B984="","",IFERROR(VLOOKUP(INDEX(WageParty,MATCH($B984,WageIds,0)),WGTbl,2,0),"—"))</f>
        <v/>
      </c>
      <c r="H984" s="12" t="n"/>
    </row>
    <row r="985">
      <c r="A985" s="10">
        <f>IF($B985="","",COUNTA($B$9:$B985))</f>
        <v/>
      </c>
      <c r="B985" s="12" t="n"/>
      <c r="C985" s="13" t="n"/>
      <c r="D985" s="14">
        <f>IF($C985="","",IFERROR(IF(VLOOKUP($C985,AcctTblE,4,0)="","(بدون نام)",VLOOKUP($C985,AcctTblE,4,0)),"کد ناشناخته"))</f>
        <v/>
      </c>
      <c r="E985" s="15" t="n"/>
      <c r="F985" s="14">
        <f>IF($B985="","",IFERROR(INDEX(WageDates,MATCH($B985,WageIds,0)),"—"))</f>
        <v/>
      </c>
      <c r="G985" s="14">
        <f>IF($B985="","",IFERROR(VLOOKUP(INDEX(WageParty,MATCH($B985,WageIds,0)),WGTbl,2,0),"—"))</f>
        <v/>
      </c>
      <c r="H985" s="12" t="n"/>
    </row>
    <row r="986">
      <c r="A986" s="19">
        <f>IF($B986="","",COUNTA($B$9:$B986))</f>
        <v/>
      </c>
      <c r="B986" s="12" t="n"/>
      <c r="C986" s="13" t="n"/>
      <c r="D986" s="20">
        <f>IF($C986="","",IFERROR(IF(VLOOKUP($C986,AcctTblE,4,0)="","(بدون نام)",VLOOKUP($C986,AcctTblE,4,0)),"کد ناشناخته"))</f>
        <v/>
      </c>
      <c r="E986" s="15" t="n"/>
      <c r="F986" s="20">
        <f>IF($B986="","",IFERROR(INDEX(WageDates,MATCH($B986,WageIds,0)),"—"))</f>
        <v/>
      </c>
      <c r="G986" s="20">
        <f>IF($B986="","",IFERROR(VLOOKUP(INDEX(WageParty,MATCH($B986,WageIds,0)),WGTbl,2,0),"—"))</f>
        <v/>
      </c>
      <c r="H986" s="12" t="n"/>
    </row>
    <row r="987">
      <c r="A987" s="10">
        <f>IF($B987="","",COUNTA($B$9:$B987))</f>
        <v/>
      </c>
      <c r="B987" s="12" t="n"/>
      <c r="C987" s="13" t="n"/>
      <c r="D987" s="14">
        <f>IF($C987="","",IFERROR(IF(VLOOKUP($C987,AcctTblE,4,0)="","(بدون نام)",VLOOKUP($C987,AcctTblE,4,0)),"کد ناشناخته"))</f>
        <v/>
      </c>
      <c r="E987" s="15" t="n"/>
      <c r="F987" s="14">
        <f>IF($B987="","",IFERROR(INDEX(WageDates,MATCH($B987,WageIds,0)),"—"))</f>
        <v/>
      </c>
      <c r="G987" s="14">
        <f>IF($B987="","",IFERROR(VLOOKUP(INDEX(WageParty,MATCH($B987,WageIds,0)),WGTbl,2,0),"—"))</f>
        <v/>
      </c>
      <c r="H987" s="12" t="n"/>
    </row>
    <row r="988">
      <c r="A988" s="19">
        <f>IF($B988="","",COUNTA($B$9:$B988))</f>
        <v/>
      </c>
      <c r="B988" s="12" t="n"/>
      <c r="C988" s="13" t="n"/>
      <c r="D988" s="20">
        <f>IF($C988="","",IFERROR(IF(VLOOKUP($C988,AcctTblE,4,0)="","(بدون نام)",VLOOKUP($C988,AcctTblE,4,0)),"کد ناشناخته"))</f>
        <v/>
      </c>
      <c r="E988" s="15" t="n"/>
      <c r="F988" s="20">
        <f>IF($B988="","",IFERROR(INDEX(WageDates,MATCH($B988,WageIds,0)),"—"))</f>
        <v/>
      </c>
      <c r="G988" s="20">
        <f>IF($B988="","",IFERROR(VLOOKUP(INDEX(WageParty,MATCH($B988,WageIds,0)),WGTbl,2,0),"—"))</f>
        <v/>
      </c>
      <c r="H988" s="12" t="n"/>
    </row>
    <row r="989">
      <c r="A989" s="10">
        <f>IF($B989="","",COUNTA($B$9:$B989))</f>
        <v/>
      </c>
      <c r="B989" s="12" t="n"/>
      <c r="C989" s="13" t="n"/>
      <c r="D989" s="14">
        <f>IF($C989="","",IFERROR(IF(VLOOKUP($C989,AcctTblE,4,0)="","(بدون نام)",VLOOKUP($C989,AcctTblE,4,0)),"کد ناشناخته"))</f>
        <v/>
      </c>
      <c r="E989" s="15" t="n"/>
      <c r="F989" s="14">
        <f>IF($B989="","",IFERROR(INDEX(WageDates,MATCH($B989,WageIds,0)),"—"))</f>
        <v/>
      </c>
      <c r="G989" s="14">
        <f>IF($B989="","",IFERROR(VLOOKUP(INDEX(WageParty,MATCH($B989,WageIds,0)),WGTbl,2,0),"—"))</f>
        <v/>
      </c>
      <c r="H989" s="12" t="n"/>
    </row>
    <row r="990">
      <c r="A990" s="19">
        <f>IF($B990="","",COUNTA($B$9:$B990))</f>
        <v/>
      </c>
      <c r="B990" s="12" t="n"/>
      <c r="C990" s="13" t="n"/>
      <c r="D990" s="20">
        <f>IF($C990="","",IFERROR(IF(VLOOKUP($C990,AcctTblE,4,0)="","(بدون نام)",VLOOKUP($C990,AcctTblE,4,0)),"کد ناشناخته"))</f>
        <v/>
      </c>
      <c r="E990" s="15" t="n"/>
      <c r="F990" s="20">
        <f>IF($B990="","",IFERROR(INDEX(WageDates,MATCH($B990,WageIds,0)),"—"))</f>
        <v/>
      </c>
      <c r="G990" s="20">
        <f>IF($B990="","",IFERROR(VLOOKUP(INDEX(WageParty,MATCH($B990,WageIds,0)),WGTbl,2,0),"—"))</f>
        <v/>
      </c>
      <c r="H990" s="12" t="n"/>
    </row>
    <row r="991">
      <c r="A991" s="10">
        <f>IF($B991="","",COUNTA($B$9:$B991))</f>
        <v/>
      </c>
      <c r="B991" s="12" t="n"/>
      <c r="C991" s="13" t="n"/>
      <c r="D991" s="14">
        <f>IF($C991="","",IFERROR(IF(VLOOKUP($C991,AcctTblE,4,0)="","(بدون نام)",VLOOKUP($C991,AcctTblE,4,0)),"کد ناشناخته"))</f>
        <v/>
      </c>
      <c r="E991" s="15" t="n"/>
      <c r="F991" s="14">
        <f>IF($B991="","",IFERROR(INDEX(WageDates,MATCH($B991,WageIds,0)),"—"))</f>
        <v/>
      </c>
      <c r="G991" s="14">
        <f>IF($B991="","",IFERROR(VLOOKUP(INDEX(WageParty,MATCH($B991,WageIds,0)),WGTbl,2,0),"—"))</f>
        <v/>
      </c>
      <c r="H991" s="12" t="n"/>
    </row>
    <row r="992">
      <c r="A992" s="19">
        <f>IF($B992="","",COUNTA($B$9:$B992))</f>
        <v/>
      </c>
      <c r="B992" s="12" t="n"/>
      <c r="C992" s="13" t="n"/>
      <c r="D992" s="20">
        <f>IF($C992="","",IFERROR(IF(VLOOKUP($C992,AcctTblE,4,0)="","(بدون نام)",VLOOKUP($C992,AcctTblE,4,0)),"کد ناشناخته"))</f>
        <v/>
      </c>
      <c r="E992" s="15" t="n"/>
      <c r="F992" s="20">
        <f>IF($B992="","",IFERROR(INDEX(WageDates,MATCH($B992,WageIds,0)),"—"))</f>
        <v/>
      </c>
      <c r="G992" s="20">
        <f>IF($B992="","",IFERROR(VLOOKUP(INDEX(WageParty,MATCH($B992,WageIds,0)),WGTbl,2,0),"—"))</f>
        <v/>
      </c>
      <c r="H992" s="12" t="n"/>
    </row>
    <row r="993">
      <c r="A993" s="10">
        <f>IF($B993="","",COUNTA($B$9:$B993))</f>
        <v/>
      </c>
      <c r="B993" s="12" t="n"/>
      <c r="C993" s="13" t="n"/>
      <c r="D993" s="14">
        <f>IF($C993="","",IFERROR(IF(VLOOKUP($C993,AcctTblE,4,0)="","(بدون نام)",VLOOKUP($C993,AcctTblE,4,0)),"کد ناشناخته"))</f>
        <v/>
      </c>
      <c r="E993" s="15" t="n"/>
      <c r="F993" s="14">
        <f>IF($B993="","",IFERROR(INDEX(WageDates,MATCH($B993,WageIds,0)),"—"))</f>
        <v/>
      </c>
      <c r="G993" s="14">
        <f>IF($B993="","",IFERROR(VLOOKUP(INDEX(WageParty,MATCH($B993,WageIds,0)),WGTbl,2,0),"—"))</f>
        <v/>
      </c>
      <c r="H993" s="12" t="n"/>
    </row>
    <row r="994">
      <c r="A994" s="19">
        <f>IF($B994="","",COUNTA($B$9:$B994))</f>
        <v/>
      </c>
      <c r="B994" s="12" t="n"/>
      <c r="C994" s="13" t="n"/>
      <c r="D994" s="20">
        <f>IF($C994="","",IFERROR(IF(VLOOKUP($C994,AcctTblE,4,0)="","(بدون نام)",VLOOKUP($C994,AcctTblE,4,0)),"کد ناشناخته"))</f>
        <v/>
      </c>
      <c r="E994" s="15" t="n"/>
      <c r="F994" s="20">
        <f>IF($B994="","",IFERROR(INDEX(WageDates,MATCH($B994,WageIds,0)),"—"))</f>
        <v/>
      </c>
      <c r="G994" s="20">
        <f>IF($B994="","",IFERROR(VLOOKUP(INDEX(WageParty,MATCH($B994,WageIds,0)),WGTbl,2,0),"—"))</f>
        <v/>
      </c>
      <c r="H994" s="12" t="n"/>
    </row>
    <row r="995">
      <c r="A995" s="10">
        <f>IF($B995="","",COUNTA($B$9:$B995))</f>
        <v/>
      </c>
      <c r="B995" s="12" t="n"/>
      <c r="C995" s="13" t="n"/>
      <c r="D995" s="14">
        <f>IF($C995="","",IFERROR(IF(VLOOKUP($C995,AcctTblE,4,0)="","(بدون نام)",VLOOKUP($C995,AcctTblE,4,0)),"کد ناشناخته"))</f>
        <v/>
      </c>
      <c r="E995" s="15" t="n"/>
      <c r="F995" s="14">
        <f>IF($B995="","",IFERROR(INDEX(WageDates,MATCH($B995,WageIds,0)),"—"))</f>
        <v/>
      </c>
      <c r="G995" s="14">
        <f>IF($B995="","",IFERROR(VLOOKUP(INDEX(WageParty,MATCH($B995,WageIds,0)),WGTbl,2,0),"—"))</f>
        <v/>
      </c>
      <c r="H995" s="12" t="n"/>
    </row>
    <row r="996">
      <c r="A996" s="19">
        <f>IF($B996="","",COUNTA($B$9:$B996))</f>
        <v/>
      </c>
      <c r="B996" s="12" t="n"/>
      <c r="C996" s="13" t="n"/>
      <c r="D996" s="20">
        <f>IF($C996="","",IFERROR(IF(VLOOKUP($C996,AcctTblE,4,0)="","(بدون نام)",VLOOKUP($C996,AcctTblE,4,0)),"کد ناشناخته"))</f>
        <v/>
      </c>
      <c r="E996" s="15" t="n"/>
      <c r="F996" s="20">
        <f>IF($B996="","",IFERROR(INDEX(WageDates,MATCH($B996,WageIds,0)),"—"))</f>
        <v/>
      </c>
      <c r="G996" s="20">
        <f>IF($B996="","",IFERROR(VLOOKUP(INDEX(WageParty,MATCH($B996,WageIds,0)),WGTbl,2,0),"—"))</f>
        <v/>
      </c>
      <c r="H996" s="12" t="n"/>
    </row>
    <row r="997">
      <c r="A997" s="10">
        <f>IF($B997="","",COUNTA($B$9:$B997))</f>
        <v/>
      </c>
      <c r="B997" s="12" t="n"/>
      <c r="C997" s="13" t="n"/>
      <c r="D997" s="14">
        <f>IF($C997="","",IFERROR(IF(VLOOKUP($C997,AcctTblE,4,0)="","(بدون نام)",VLOOKUP($C997,AcctTblE,4,0)),"کد ناشناخته"))</f>
        <v/>
      </c>
      <c r="E997" s="15" t="n"/>
      <c r="F997" s="14">
        <f>IF($B997="","",IFERROR(INDEX(WageDates,MATCH($B997,WageIds,0)),"—"))</f>
        <v/>
      </c>
      <c r="G997" s="14">
        <f>IF($B997="","",IFERROR(VLOOKUP(INDEX(WageParty,MATCH($B997,WageIds,0)),WGTbl,2,0),"—"))</f>
        <v/>
      </c>
      <c r="H997" s="12" t="n"/>
    </row>
    <row r="998">
      <c r="A998" s="19">
        <f>IF($B998="","",COUNTA($B$9:$B998))</f>
        <v/>
      </c>
      <c r="B998" s="12" t="n"/>
      <c r="C998" s="13" t="n"/>
      <c r="D998" s="20">
        <f>IF($C998="","",IFERROR(IF(VLOOKUP($C998,AcctTblE,4,0)="","(بدون نام)",VLOOKUP($C998,AcctTblE,4,0)),"کد ناشناخته"))</f>
        <v/>
      </c>
      <c r="E998" s="15" t="n"/>
      <c r="F998" s="20">
        <f>IF($B998="","",IFERROR(INDEX(WageDates,MATCH($B998,WageIds,0)),"—"))</f>
        <v/>
      </c>
      <c r="G998" s="20">
        <f>IF($B998="","",IFERROR(VLOOKUP(INDEX(WageParty,MATCH($B998,WageIds,0)),WGTbl,2,0),"—"))</f>
        <v/>
      </c>
      <c r="H998" s="12" t="n"/>
    </row>
    <row r="999">
      <c r="A999" s="10">
        <f>IF($B999="","",COUNTA($B$9:$B999))</f>
        <v/>
      </c>
      <c r="B999" s="12" t="n"/>
      <c r="C999" s="13" t="n"/>
      <c r="D999" s="14">
        <f>IF($C999="","",IFERROR(IF(VLOOKUP($C999,AcctTblE,4,0)="","(بدون نام)",VLOOKUP($C999,AcctTblE,4,0)),"کد ناشناخته"))</f>
        <v/>
      </c>
      <c r="E999" s="15" t="n"/>
      <c r="F999" s="14">
        <f>IF($B999="","",IFERROR(INDEX(WageDates,MATCH($B999,WageIds,0)),"—"))</f>
        <v/>
      </c>
      <c r="G999" s="14">
        <f>IF($B999="","",IFERROR(VLOOKUP(INDEX(WageParty,MATCH($B999,WageIds,0)),WGTbl,2,0),"—"))</f>
        <v/>
      </c>
      <c r="H999" s="12" t="n"/>
    </row>
    <row r="1000">
      <c r="A1000" s="19">
        <f>IF($B1000="","",COUNTA($B$9:$B1000))</f>
        <v/>
      </c>
      <c r="B1000" s="12" t="n"/>
      <c r="C1000" s="13" t="n"/>
      <c r="D1000" s="20">
        <f>IF($C1000="","",IFERROR(IF(VLOOKUP($C1000,AcctTblE,4,0)="","(بدون نام)",VLOOKUP($C1000,AcctTblE,4,0)),"کد ناشناخته"))</f>
        <v/>
      </c>
      <c r="E1000" s="15" t="n"/>
      <c r="F1000" s="20">
        <f>IF($B1000="","",IFERROR(INDEX(WageDates,MATCH($B1000,WageIds,0)),"—"))</f>
        <v/>
      </c>
      <c r="G1000" s="20">
        <f>IF($B1000="","",IFERROR(VLOOKUP(INDEX(WageParty,MATCH($B1000,WageIds,0)),WGTbl,2,0),"—"))</f>
        <v/>
      </c>
      <c r="H1000" s="12" t="n"/>
    </row>
    <row r="1001">
      <c r="A1001" s="10">
        <f>IF($B1001="","",COUNTA($B$9:$B1001))</f>
        <v/>
      </c>
      <c r="B1001" s="12" t="n"/>
      <c r="C1001" s="13" t="n"/>
      <c r="D1001" s="14">
        <f>IF($C1001="","",IFERROR(IF(VLOOKUP($C1001,AcctTblE,4,0)="","(بدون نام)",VLOOKUP($C1001,AcctTblE,4,0)),"کد ناشناخته"))</f>
        <v/>
      </c>
      <c r="E1001" s="15" t="n"/>
      <c r="F1001" s="14">
        <f>IF($B1001="","",IFERROR(INDEX(WageDates,MATCH($B1001,WageIds,0)),"—"))</f>
        <v/>
      </c>
      <c r="G1001" s="14">
        <f>IF($B1001="","",IFERROR(VLOOKUP(INDEX(WageParty,MATCH($B1001,WageIds,0)),WGTbl,2,0),"—"))</f>
        <v/>
      </c>
      <c r="H1001" s="12" t="n"/>
    </row>
    <row r="1002">
      <c r="A1002" s="19">
        <f>IF($B1002="","",COUNTA($B$9:$B1002))</f>
        <v/>
      </c>
      <c r="B1002" s="12" t="n"/>
      <c r="C1002" s="13" t="n"/>
      <c r="D1002" s="20">
        <f>IF($C1002="","",IFERROR(IF(VLOOKUP($C1002,AcctTblE,4,0)="","(بدون نام)",VLOOKUP($C1002,AcctTblE,4,0)),"کد ناشناخته"))</f>
        <v/>
      </c>
      <c r="E1002" s="15" t="n"/>
      <c r="F1002" s="20">
        <f>IF($B1002="","",IFERROR(INDEX(WageDates,MATCH($B1002,WageIds,0)),"—"))</f>
        <v/>
      </c>
      <c r="G1002" s="20">
        <f>IF($B1002="","",IFERROR(VLOOKUP(INDEX(WageParty,MATCH($B1002,WageIds,0)),WGTbl,2,0),"—"))</f>
        <v/>
      </c>
      <c r="H1002" s="12" t="n"/>
    </row>
    <row r="1003">
      <c r="A1003" s="10">
        <f>IF($B1003="","",COUNTA($B$9:$B1003))</f>
        <v/>
      </c>
      <c r="B1003" s="12" t="n"/>
      <c r="C1003" s="13" t="n"/>
      <c r="D1003" s="14">
        <f>IF($C1003="","",IFERROR(IF(VLOOKUP($C1003,AcctTblE,4,0)="","(بدون نام)",VLOOKUP($C1003,AcctTblE,4,0)),"کد ناشناخته"))</f>
        <v/>
      </c>
      <c r="E1003" s="15" t="n"/>
      <c r="F1003" s="14">
        <f>IF($B1003="","",IFERROR(INDEX(WageDates,MATCH($B1003,WageIds,0)),"—"))</f>
        <v/>
      </c>
      <c r="G1003" s="14">
        <f>IF($B1003="","",IFERROR(VLOOKUP(INDEX(WageParty,MATCH($B1003,WageIds,0)),WGTbl,2,0),"—"))</f>
        <v/>
      </c>
      <c r="H1003" s="12" t="n"/>
    </row>
    <row r="1004">
      <c r="A1004" s="19">
        <f>IF($B1004="","",COUNTA($B$9:$B1004))</f>
        <v/>
      </c>
      <c r="B1004" s="12" t="n"/>
      <c r="C1004" s="13" t="n"/>
      <c r="D1004" s="20">
        <f>IF($C1004="","",IFERROR(IF(VLOOKUP($C1004,AcctTblE,4,0)="","(بدون نام)",VLOOKUP($C1004,AcctTblE,4,0)),"کد ناشناخته"))</f>
        <v/>
      </c>
      <c r="E1004" s="15" t="n"/>
      <c r="F1004" s="20">
        <f>IF($B1004="","",IFERROR(INDEX(WageDates,MATCH($B1004,WageIds,0)),"—"))</f>
        <v/>
      </c>
      <c r="G1004" s="20">
        <f>IF($B1004="","",IFERROR(VLOOKUP(INDEX(WageParty,MATCH($B1004,WageIds,0)),WGTbl,2,0),"—"))</f>
        <v/>
      </c>
      <c r="H1004" s="12" t="n"/>
    </row>
    <row r="1005">
      <c r="A1005" s="10">
        <f>IF($B1005="","",COUNTA($B$9:$B1005))</f>
        <v/>
      </c>
      <c r="B1005" s="12" t="n"/>
      <c r="C1005" s="13" t="n"/>
      <c r="D1005" s="14">
        <f>IF($C1005="","",IFERROR(IF(VLOOKUP($C1005,AcctTblE,4,0)="","(بدون نام)",VLOOKUP($C1005,AcctTblE,4,0)),"کد ناشناخته"))</f>
        <v/>
      </c>
      <c r="E1005" s="15" t="n"/>
      <c r="F1005" s="14">
        <f>IF($B1005="","",IFERROR(INDEX(WageDates,MATCH($B1005,WageIds,0)),"—"))</f>
        <v/>
      </c>
      <c r="G1005" s="14">
        <f>IF($B1005="","",IFERROR(VLOOKUP(INDEX(WageParty,MATCH($B1005,WageIds,0)),WGTbl,2,0),"—"))</f>
        <v/>
      </c>
      <c r="H1005" s="12" t="n"/>
    </row>
    <row r="1006">
      <c r="A1006" s="19">
        <f>IF($B1006="","",COUNTA($B$9:$B1006))</f>
        <v/>
      </c>
      <c r="B1006" s="12" t="n"/>
      <c r="C1006" s="13" t="n"/>
      <c r="D1006" s="20">
        <f>IF($C1006="","",IFERROR(IF(VLOOKUP($C1006,AcctTblE,4,0)="","(بدون نام)",VLOOKUP($C1006,AcctTblE,4,0)),"کد ناشناخته"))</f>
        <v/>
      </c>
      <c r="E1006" s="15" t="n"/>
      <c r="F1006" s="20">
        <f>IF($B1006="","",IFERROR(INDEX(WageDates,MATCH($B1006,WageIds,0)),"—"))</f>
        <v/>
      </c>
      <c r="G1006" s="20">
        <f>IF($B1006="","",IFERROR(VLOOKUP(INDEX(WageParty,MATCH($B1006,WageIds,0)),WGTbl,2,0),"—"))</f>
        <v/>
      </c>
      <c r="H1006" s="12" t="n"/>
    </row>
    <row r="1007">
      <c r="A1007" s="10">
        <f>IF($B1007="","",COUNTA($B$9:$B1007))</f>
        <v/>
      </c>
      <c r="B1007" s="12" t="n"/>
      <c r="C1007" s="13" t="n"/>
      <c r="D1007" s="14">
        <f>IF($C1007="","",IFERROR(IF(VLOOKUP($C1007,AcctTblE,4,0)="","(بدون نام)",VLOOKUP($C1007,AcctTblE,4,0)),"کد ناشناخته"))</f>
        <v/>
      </c>
      <c r="E1007" s="15" t="n"/>
      <c r="F1007" s="14">
        <f>IF($B1007="","",IFERROR(INDEX(WageDates,MATCH($B1007,WageIds,0)),"—"))</f>
        <v/>
      </c>
      <c r="G1007" s="14">
        <f>IF($B1007="","",IFERROR(VLOOKUP(INDEX(WageParty,MATCH($B1007,WageIds,0)),WGTbl,2,0),"—"))</f>
        <v/>
      </c>
      <c r="H1007" s="12" t="n"/>
    </row>
    <row r="1008">
      <c r="A1008" s="19">
        <f>IF($B1008="","",COUNTA($B$9:$B1008))</f>
        <v/>
      </c>
      <c r="B1008" s="12" t="n"/>
      <c r="C1008" s="13" t="n"/>
      <c r="D1008" s="20">
        <f>IF($C1008="","",IFERROR(IF(VLOOKUP($C1008,AcctTblE,4,0)="","(بدون نام)",VLOOKUP($C1008,AcctTblE,4,0)),"کد ناشناخته"))</f>
        <v/>
      </c>
      <c r="E1008" s="15" t="n"/>
      <c r="F1008" s="20">
        <f>IF($B1008="","",IFERROR(INDEX(WageDates,MATCH($B1008,WageIds,0)),"—"))</f>
        <v/>
      </c>
      <c r="G1008" s="20">
        <f>IF($B1008="","",IFERROR(VLOOKUP(INDEX(WageParty,MATCH($B1008,WageIds,0)),WGTbl,2,0),"—"))</f>
        <v/>
      </c>
      <c r="H1008" s="12" t="n"/>
    </row>
    <row r="1009">
      <c r="A1009" s="10">
        <f>IF($B1009="","",COUNTA($B$9:$B1009))</f>
        <v/>
      </c>
      <c r="B1009" s="12" t="n"/>
      <c r="C1009" s="13" t="n"/>
      <c r="D1009" s="14">
        <f>IF($C1009="","",IFERROR(IF(VLOOKUP($C1009,AcctTblE,4,0)="","(بدون نام)",VLOOKUP($C1009,AcctTblE,4,0)),"کد ناشناخته"))</f>
        <v/>
      </c>
      <c r="E1009" s="15" t="n"/>
      <c r="F1009" s="14">
        <f>IF($B1009="","",IFERROR(INDEX(WageDates,MATCH($B1009,WageIds,0)),"—"))</f>
        <v/>
      </c>
      <c r="G1009" s="14">
        <f>IF($B1009="","",IFERROR(VLOOKUP(INDEX(WageParty,MATCH($B1009,WageIds,0)),WGTbl,2,0),"—"))</f>
        <v/>
      </c>
      <c r="H1009" s="12" t="n"/>
    </row>
    <row r="1010">
      <c r="A1010" s="19">
        <f>IF($B1010="","",COUNTA($B$9:$B1010))</f>
        <v/>
      </c>
      <c r="B1010" s="12" t="n"/>
      <c r="C1010" s="13" t="n"/>
      <c r="D1010" s="20">
        <f>IF($C1010="","",IFERROR(IF(VLOOKUP($C1010,AcctTblE,4,0)="","(بدون نام)",VLOOKUP($C1010,AcctTblE,4,0)),"کد ناشناخته"))</f>
        <v/>
      </c>
      <c r="E1010" s="15" t="n"/>
      <c r="F1010" s="20">
        <f>IF($B1010="","",IFERROR(INDEX(WageDates,MATCH($B1010,WageIds,0)),"—"))</f>
        <v/>
      </c>
      <c r="G1010" s="20">
        <f>IF($B1010="","",IFERROR(VLOOKUP(INDEX(WageParty,MATCH($B1010,WageIds,0)),WGTbl,2,0),"—"))</f>
        <v/>
      </c>
      <c r="H1010" s="12" t="n"/>
    </row>
    <row r="1011">
      <c r="A1011" s="10">
        <f>IF($B1011="","",COUNTA($B$9:$B1011))</f>
        <v/>
      </c>
      <c r="B1011" s="12" t="n"/>
      <c r="C1011" s="13" t="n"/>
      <c r="D1011" s="14">
        <f>IF($C1011="","",IFERROR(IF(VLOOKUP($C1011,AcctTblE,4,0)="","(بدون نام)",VLOOKUP($C1011,AcctTblE,4,0)),"کد ناشناخته"))</f>
        <v/>
      </c>
      <c r="E1011" s="15" t="n"/>
      <c r="F1011" s="14">
        <f>IF($B1011="","",IFERROR(INDEX(WageDates,MATCH($B1011,WageIds,0)),"—"))</f>
        <v/>
      </c>
      <c r="G1011" s="14">
        <f>IF($B1011="","",IFERROR(VLOOKUP(INDEX(WageParty,MATCH($B1011,WageIds,0)),WGTbl,2,0),"—"))</f>
        <v/>
      </c>
      <c r="H1011" s="12" t="n"/>
    </row>
    <row r="1012">
      <c r="A1012" s="19">
        <f>IF($B1012="","",COUNTA($B$9:$B1012))</f>
        <v/>
      </c>
      <c r="B1012" s="12" t="n"/>
      <c r="C1012" s="13" t="n"/>
      <c r="D1012" s="20">
        <f>IF($C1012="","",IFERROR(IF(VLOOKUP($C1012,AcctTblE,4,0)="","(بدون نام)",VLOOKUP($C1012,AcctTblE,4,0)),"کد ناشناخته"))</f>
        <v/>
      </c>
      <c r="E1012" s="15" t="n"/>
      <c r="F1012" s="20">
        <f>IF($B1012="","",IFERROR(INDEX(WageDates,MATCH($B1012,WageIds,0)),"—"))</f>
        <v/>
      </c>
      <c r="G1012" s="20">
        <f>IF($B1012="","",IFERROR(VLOOKUP(INDEX(WageParty,MATCH($B1012,WageIds,0)),WGTbl,2,0),"—"))</f>
        <v/>
      </c>
      <c r="H1012" s="12" t="n"/>
    </row>
    <row r="1013">
      <c r="A1013" s="10">
        <f>IF($B1013="","",COUNTA($B$9:$B1013))</f>
        <v/>
      </c>
      <c r="B1013" s="12" t="n"/>
      <c r="C1013" s="13" t="n"/>
      <c r="D1013" s="14">
        <f>IF($C1013="","",IFERROR(IF(VLOOKUP($C1013,AcctTblE,4,0)="","(بدون نام)",VLOOKUP($C1013,AcctTblE,4,0)),"کد ناشناخته"))</f>
        <v/>
      </c>
      <c r="E1013" s="15" t="n"/>
      <c r="F1013" s="14">
        <f>IF($B1013="","",IFERROR(INDEX(WageDates,MATCH($B1013,WageIds,0)),"—"))</f>
        <v/>
      </c>
      <c r="G1013" s="14">
        <f>IF($B1013="","",IFERROR(VLOOKUP(INDEX(WageParty,MATCH($B1013,WageIds,0)),WGTbl,2,0),"—"))</f>
        <v/>
      </c>
      <c r="H1013" s="12" t="n"/>
    </row>
    <row r="1014">
      <c r="A1014" s="19">
        <f>IF($B1014="","",COUNTA($B$9:$B1014))</f>
        <v/>
      </c>
      <c r="B1014" s="12" t="n"/>
      <c r="C1014" s="13" t="n"/>
      <c r="D1014" s="20">
        <f>IF($C1014="","",IFERROR(IF(VLOOKUP($C1014,AcctTblE,4,0)="","(بدون نام)",VLOOKUP($C1014,AcctTblE,4,0)),"کد ناشناخته"))</f>
        <v/>
      </c>
      <c r="E1014" s="15" t="n"/>
      <c r="F1014" s="20">
        <f>IF($B1014="","",IFERROR(INDEX(WageDates,MATCH($B1014,WageIds,0)),"—"))</f>
        <v/>
      </c>
      <c r="G1014" s="20">
        <f>IF($B1014="","",IFERROR(VLOOKUP(INDEX(WageParty,MATCH($B1014,WageIds,0)),WGTbl,2,0),"—"))</f>
        <v/>
      </c>
      <c r="H1014" s="12" t="n"/>
    </row>
    <row r="1015">
      <c r="A1015" s="10">
        <f>IF($B1015="","",COUNTA($B$9:$B1015))</f>
        <v/>
      </c>
      <c r="B1015" s="12" t="n"/>
      <c r="C1015" s="13" t="n"/>
      <c r="D1015" s="14">
        <f>IF($C1015="","",IFERROR(IF(VLOOKUP($C1015,AcctTblE,4,0)="","(بدون نام)",VLOOKUP($C1015,AcctTblE,4,0)),"کد ناشناخته"))</f>
        <v/>
      </c>
      <c r="E1015" s="15" t="n"/>
      <c r="F1015" s="14">
        <f>IF($B1015="","",IFERROR(INDEX(WageDates,MATCH($B1015,WageIds,0)),"—"))</f>
        <v/>
      </c>
      <c r="G1015" s="14">
        <f>IF($B1015="","",IFERROR(VLOOKUP(INDEX(WageParty,MATCH($B1015,WageIds,0)),WGTbl,2,0),"—"))</f>
        <v/>
      </c>
      <c r="H1015" s="12" t="n"/>
    </row>
    <row r="1016">
      <c r="A1016" s="19">
        <f>IF($B1016="","",COUNTA($B$9:$B1016))</f>
        <v/>
      </c>
      <c r="B1016" s="12" t="n"/>
      <c r="C1016" s="13" t="n"/>
      <c r="D1016" s="20">
        <f>IF($C1016="","",IFERROR(IF(VLOOKUP($C1016,AcctTblE,4,0)="","(بدون نام)",VLOOKUP($C1016,AcctTblE,4,0)),"کد ناشناخته"))</f>
        <v/>
      </c>
      <c r="E1016" s="15" t="n"/>
      <c r="F1016" s="20">
        <f>IF($B1016="","",IFERROR(INDEX(WageDates,MATCH($B1016,WageIds,0)),"—"))</f>
        <v/>
      </c>
      <c r="G1016" s="20">
        <f>IF($B1016="","",IFERROR(VLOOKUP(INDEX(WageParty,MATCH($B1016,WageIds,0)),WGTbl,2,0),"—"))</f>
        <v/>
      </c>
      <c r="H1016" s="12" t="n"/>
    </row>
    <row r="1017">
      <c r="A1017" s="10">
        <f>IF($B1017="","",COUNTA($B$9:$B1017))</f>
        <v/>
      </c>
      <c r="B1017" s="12" t="n"/>
      <c r="C1017" s="13" t="n"/>
      <c r="D1017" s="14">
        <f>IF($C1017="","",IFERROR(IF(VLOOKUP($C1017,AcctTblE,4,0)="","(بدون نام)",VLOOKUP($C1017,AcctTblE,4,0)),"کد ناشناخته"))</f>
        <v/>
      </c>
      <c r="E1017" s="15" t="n"/>
      <c r="F1017" s="14">
        <f>IF($B1017="","",IFERROR(INDEX(WageDates,MATCH($B1017,WageIds,0)),"—"))</f>
        <v/>
      </c>
      <c r="G1017" s="14">
        <f>IF($B1017="","",IFERROR(VLOOKUP(INDEX(WageParty,MATCH($B1017,WageIds,0)),WGTbl,2,0),"—"))</f>
        <v/>
      </c>
      <c r="H1017" s="12" t="n"/>
    </row>
    <row r="1018">
      <c r="A1018" s="19">
        <f>IF($B1018="","",COUNTA($B$9:$B1018))</f>
        <v/>
      </c>
      <c r="B1018" s="12" t="n"/>
      <c r="C1018" s="13" t="n"/>
      <c r="D1018" s="20">
        <f>IF($C1018="","",IFERROR(IF(VLOOKUP($C1018,AcctTblE,4,0)="","(بدون نام)",VLOOKUP($C1018,AcctTblE,4,0)),"کد ناشناخته"))</f>
        <v/>
      </c>
      <c r="E1018" s="15" t="n"/>
      <c r="F1018" s="20">
        <f>IF($B1018="","",IFERROR(INDEX(WageDates,MATCH($B1018,WageIds,0)),"—"))</f>
        <v/>
      </c>
      <c r="G1018" s="20">
        <f>IF($B1018="","",IFERROR(VLOOKUP(INDEX(WageParty,MATCH($B1018,WageIds,0)),WGTbl,2,0),"—"))</f>
        <v/>
      </c>
      <c r="H1018" s="12" t="n"/>
    </row>
    <row r="1019">
      <c r="A1019" s="10">
        <f>IF($B1019="","",COUNTA($B$9:$B1019))</f>
        <v/>
      </c>
      <c r="B1019" s="12" t="n"/>
      <c r="C1019" s="13" t="n"/>
      <c r="D1019" s="14">
        <f>IF($C1019="","",IFERROR(IF(VLOOKUP($C1019,AcctTblE,4,0)="","(بدون نام)",VLOOKUP($C1019,AcctTblE,4,0)),"کد ناشناخته"))</f>
        <v/>
      </c>
      <c r="E1019" s="15" t="n"/>
      <c r="F1019" s="14">
        <f>IF($B1019="","",IFERROR(INDEX(WageDates,MATCH($B1019,WageIds,0)),"—"))</f>
        <v/>
      </c>
      <c r="G1019" s="14">
        <f>IF($B1019="","",IFERROR(VLOOKUP(INDEX(WageParty,MATCH($B1019,WageIds,0)),WGTbl,2,0),"—"))</f>
        <v/>
      </c>
      <c r="H1019" s="12" t="n"/>
    </row>
    <row r="1020">
      <c r="A1020" s="19">
        <f>IF($B1020="","",COUNTA($B$9:$B1020))</f>
        <v/>
      </c>
      <c r="B1020" s="12" t="n"/>
      <c r="C1020" s="13" t="n"/>
      <c r="D1020" s="20">
        <f>IF($C1020="","",IFERROR(IF(VLOOKUP($C1020,AcctTblE,4,0)="","(بدون نام)",VLOOKUP($C1020,AcctTblE,4,0)),"کد ناشناخته"))</f>
        <v/>
      </c>
      <c r="E1020" s="15" t="n"/>
      <c r="F1020" s="20">
        <f>IF($B1020="","",IFERROR(INDEX(WageDates,MATCH($B1020,WageIds,0)),"—"))</f>
        <v/>
      </c>
      <c r="G1020" s="20">
        <f>IF($B1020="","",IFERROR(VLOOKUP(INDEX(WageParty,MATCH($B1020,WageIds,0)),WGTbl,2,0),"—"))</f>
        <v/>
      </c>
      <c r="H1020" s="12" t="n"/>
    </row>
    <row r="1021">
      <c r="A1021" s="10">
        <f>IF($B1021="","",COUNTA($B$9:$B1021))</f>
        <v/>
      </c>
      <c r="B1021" s="12" t="n"/>
      <c r="C1021" s="13" t="n"/>
      <c r="D1021" s="14">
        <f>IF($C1021="","",IFERROR(IF(VLOOKUP($C1021,AcctTblE,4,0)="","(بدون نام)",VLOOKUP($C1021,AcctTblE,4,0)),"کد ناشناخته"))</f>
        <v/>
      </c>
      <c r="E1021" s="15" t="n"/>
      <c r="F1021" s="14">
        <f>IF($B1021="","",IFERROR(INDEX(WageDates,MATCH($B1021,WageIds,0)),"—"))</f>
        <v/>
      </c>
      <c r="G1021" s="14">
        <f>IF($B1021="","",IFERROR(VLOOKUP(INDEX(WageParty,MATCH($B1021,WageIds,0)),WGTbl,2,0),"—"))</f>
        <v/>
      </c>
      <c r="H1021" s="12" t="n"/>
    </row>
    <row r="1022">
      <c r="A1022" s="19">
        <f>IF($B1022="","",COUNTA($B$9:$B1022))</f>
        <v/>
      </c>
      <c r="B1022" s="12" t="n"/>
      <c r="C1022" s="13" t="n"/>
      <c r="D1022" s="20">
        <f>IF($C1022="","",IFERROR(IF(VLOOKUP($C1022,AcctTblE,4,0)="","(بدون نام)",VLOOKUP($C1022,AcctTblE,4,0)),"کد ناشناخته"))</f>
        <v/>
      </c>
      <c r="E1022" s="15" t="n"/>
      <c r="F1022" s="20">
        <f>IF($B1022="","",IFERROR(INDEX(WageDates,MATCH($B1022,WageIds,0)),"—"))</f>
        <v/>
      </c>
      <c r="G1022" s="20">
        <f>IF($B1022="","",IFERROR(VLOOKUP(INDEX(WageParty,MATCH($B1022,WageIds,0)),WGTbl,2,0),"—"))</f>
        <v/>
      </c>
      <c r="H1022" s="12" t="n"/>
    </row>
    <row r="1023">
      <c r="A1023" s="10">
        <f>IF($B1023="","",COUNTA($B$9:$B1023))</f>
        <v/>
      </c>
      <c r="B1023" s="12" t="n"/>
      <c r="C1023" s="13" t="n"/>
      <c r="D1023" s="14">
        <f>IF($C1023="","",IFERROR(IF(VLOOKUP($C1023,AcctTblE,4,0)="","(بدون نام)",VLOOKUP($C1023,AcctTblE,4,0)),"کد ناشناخته"))</f>
        <v/>
      </c>
      <c r="E1023" s="15" t="n"/>
      <c r="F1023" s="14">
        <f>IF($B1023="","",IFERROR(INDEX(WageDates,MATCH($B1023,WageIds,0)),"—"))</f>
        <v/>
      </c>
      <c r="G1023" s="14">
        <f>IF($B1023="","",IFERROR(VLOOKUP(INDEX(WageParty,MATCH($B1023,WageIds,0)),WGTbl,2,0),"—"))</f>
        <v/>
      </c>
      <c r="H1023" s="12" t="n"/>
    </row>
    <row r="1024">
      <c r="A1024" s="19">
        <f>IF($B1024="","",COUNTA($B$9:$B1024))</f>
        <v/>
      </c>
      <c r="B1024" s="12" t="n"/>
      <c r="C1024" s="13" t="n"/>
      <c r="D1024" s="20">
        <f>IF($C1024="","",IFERROR(IF(VLOOKUP($C1024,AcctTblE,4,0)="","(بدون نام)",VLOOKUP($C1024,AcctTblE,4,0)),"کد ناشناخته"))</f>
        <v/>
      </c>
      <c r="E1024" s="15" t="n"/>
      <c r="F1024" s="20">
        <f>IF($B1024="","",IFERROR(INDEX(WageDates,MATCH($B1024,WageIds,0)),"—"))</f>
        <v/>
      </c>
      <c r="G1024" s="20">
        <f>IF($B1024="","",IFERROR(VLOOKUP(INDEX(WageParty,MATCH($B1024,WageIds,0)),WGTbl,2,0),"—"))</f>
        <v/>
      </c>
      <c r="H1024" s="12" t="n"/>
    </row>
    <row r="1025">
      <c r="A1025" s="10">
        <f>IF($B1025="","",COUNTA($B$9:$B1025))</f>
        <v/>
      </c>
      <c r="B1025" s="12" t="n"/>
      <c r="C1025" s="13" t="n"/>
      <c r="D1025" s="14">
        <f>IF($C1025="","",IFERROR(IF(VLOOKUP($C1025,AcctTblE,4,0)="","(بدون نام)",VLOOKUP($C1025,AcctTblE,4,0)),"کد ناشناخته"))</f>
        <v/>
      </c>
      <c r="E1025" s="15" t="n"/>
      <c r="F1025" s="14">
        <f>IF($B1025="","",IFERROR(INDEX(WageDates,MATCH($B1025,WageIds,0)),"—"))</f>
        <v/>
      </c>
      <c r="G1025" s="14">
        <f>IF($B1025="","",IFERROR(VLOOKUP(INDEX(WageParty,MATCH($B1025,WageIds,0)),WGTbl,2,0),"—"))</f>
        <v/>
      </c>
      <c r="H1025" s="12" t="n"/>
    </row>
    <row r="1026">
      <c r="A1026" s="19">
        <f>IF($B1026="","",COUNTA($B$9:$B1026))</f>
        <v/>
      </c>
      <c r="B1026" s="12" t="n"/>
      <c r="C1026" s="13" t="n"/>
      <c r="D1026" s="20">
        <f>IF($C1026="","",IFERROR(IF(VLOOKUP($C1026,AcctTblE,4,0)="","(بدون نام)",VLOOKUP($C1026,AcctTblE,4,0)),"کد ناشناخته"))</f>
        <v/>
      </c>
      <c r="E1026" s="15" t="n"/>
      <c r="F1026" s="20">
        <f>IF($B1026="","",IFERROR(INDEX(WageDates,MATCH($B1026,WageIds,0)),"—"))</f>
        <v/>
      </c>
      <c r="G1026" s="20">
        <f>IF($B1026="","",IFERROR(VLOOKUP(INDEX(WageParty,MATCH($B1026,WageIds,0)),WGTbl,2,0),"—"))</f>
        <v/>
      </c>
      <c r="H1026" s="12" t="n"/>
    </row>
    <row r="1027">
      <c r="A1027" s="10">
        <f>IF($B1027="","",COUNTA($B$9:$B1027))</f>
        <v/>
      </c>
      <c r="B1027" s="12" t="n"/>
      <c r="C1027" s="13" t="n"/>
      <c r="D1027" s="14">
        <f>IF($C1027="","",IFERROR(IF(VLOOKUP($C1027,AcctTblE,4,0)="","(بدون نام)",VLOOKUP($C1027,AcctTblE,4,0)),"کد ناشناخته"))</f>
        <v/>
      </c>
      <c r="E1027" s="15" t="n"/>
      <c r="F1027" s="14">
        <f>IF($B1027="","",IFERROR(INDEX(WageDates,MATCH($B1027,WageIds,0)),"—"))</f>
        <v/>
      </c>
      <c r="G1027" s="14">
        <f>IF($B1027="","",IFERROR(VLOOKUP(INDEX(WageParty,MATCH($B1027,WageIds,0)),WGTbl,2,0),"—"))</f>
        <v/>
      </c>
      <c r="H1027" s="12" t="n"/>
    </row>
    <row r="1028">
      <c r="A1028" s="19">
        <f>IF($B1028="","",COUNTA($B$9:$B1028))</f>
        <v/>
      </c>
      <c r="B1028" s="12" t="n"/>
      <c r="C1028" s="13" t="n"/>
      <c r="D1028" s="20">
        <f>IF($C1028="","",IFERROR(IF(VLOOKUP($C1028,AcctTblE,4,0)="","(بدون نام)",VLOOKUP($C1028,AcctTblE,4,0)),"کد ناشناخته"))</f>
        <v/>
      </c>
      <c r="E1028" s="15" t="n"/>
      <c r="F1028" s="20">
        <f>IF($B1028="","",IFERROR(INDEX(WageDates,MATCH($B1028,WageIds,0)),"—"))</f>
        <v/>
      </c>
      <c r="G1028" s="20">
        <f>IF($B1028="","",IFERROR(VLOOKUP(INDEX(WageParty,MATCH($B1028,WageIds,0)),WGTbl,2,0),"—"))</f>
        <v/>
      </c>
      <c r="H1028" s="12" t="n"/>
    </row>
    <row r="1029">
      <c r="A1029" s="10">
        <f>IF($B1029="","",COUNTA($B$9:$B1029))</f>
        <v/>
      </c>
      <c r="B1029" s="12" t="n"/>
      <c r="C1029" s="13" t="n"/>
      <c r="D1029" s="14">
        <f>IF($C1029="","",IFERROR(IF(VLOOKUP($C1029,AcctTblE,4,0)="","(بدون نام)",VLOOKUP($C1029,AcctTblE,4,0)),"کد ناشناخته"))</f>
        <v/>
      </c>
      <c r="E1029" s="15" t="n"/>
      <c r="F1029" s="14">
        <f>IF($B1029="","",IFERROR(INDEX(WageDates,MATCH($B1029,WageIds,0)),"—"))</f>
        <v/>
      </c>
      <c r="G1029" s="14">
        <f>IF($B1029="","",IFERROR(VLOOKUP(INDEX(WageParty,MATCH($B1029,WageIds,0)),WGTbl,2,0),"—"))</f>
        <v/>
      </c>
      <c r="H1029" s="12" t="n"/>
    </row>
    <row r="1030">
      <c r="A1030" s="19">
        <f>IF($B1030="","",COUNTA($B$9:$B1030))</f>
        <v/>
      </c>
      <c r="B1030" s="12" t="n"/>
      <c r="C1030" s="13" t="n"/>
      <c r="D1030" s="20">
        <f>IF($C1030="","",IFERROR(IF(VLOOKUP($C1030,AcctTblE,4,0)="","(بدون نام)",VLOOKUP($C1030,AcctTblE,4,0)),"کد ناشناخته"))</f>
        <v/>
      </c>
      <c r="E1030" s="15" t="n"/>
      <c r="F1030" s="20">
        <f>IF($B1030="","",IFERROR(INDEX(WageDates,MATCH($B1030,WageIds,0)),"—"))</f>
        <v/>
      </c>
      <c r="G1030" s="20">
        <f>IF($B1030="","",IFERROR(VLOOKUP(INDEX(WageParty,MATCH($B1030,WageIds,0)),WGTbl,2,0),"—"))</f>
        <v/>
      </c>
      <c r="H1030" s="12" t="n"/>
    </row>
    <row r="1031">
      <c r="A1031" s="10">
        <f>IF($B1031="","",COUNTA($B$9:$B1031))</f>
        <v/>
      </c>
      <c r="B1031" s="12" t="n"/>
      <c r="C1031" s="13" t="n"/>
      <c r="D1031" s="14">
        <f>IF($C1031="","",IFERROR(IF(VLOOKUP($C1031,AcctTblE,4,0)="","(بدون نام)",VLOOKUP($C1031,AcctTblE,4,0)),"کد ناشناخته"))</f>
        <v/>
      </c>
      <c r="E1031" s="15" t="n"/>
      <c r="F1031" s="14">
        <f>IF($B1031="","",IFERROR(INDEX(WageDates,MATCH($B1031,WageIds,0)),"—"))</f>
        <v/>
      </c>
      <c r="G1031" s="14">
        <f>IF($B1031="","",IFERROR(VLOOKUP(INDEX(WageParty,MATCH($B1031,WageIds,0)),WGTbl,2,0),"—"))</f>
        <v/>
      </c>
      <c r="H1031" s="12" t="n"/>
    </row>
    <row r="1032">
      <c r="A1032" s="19">
        <f>IF($B1032="","",COUNTA($B$9:$B1032))</f>
        <v/>
      </c>
      <c r="B1032" s="12" t="n"/>
      <c r="C1032" s="13" t="n"/>
      <c r="D1032" s="20">
        <f>IF($C1032="","",IFERROR(IF(VLOOKUP($C1032,AcctTblE,4,0)="","(بدون نام)",VLOOKUP($C1032,AcctTblE,4,0)),"کد ناشناخته"))</f>
        <v/>
      </c>
      <c r="E1032" s="15" t="n"/>
      <c r="F1032" s="20">
        <f>IF($B1032="","",IFERROR(INDEX(WageDates,MATCH($B1032,WageIds,0)),"—"))</f>
        <v/>
      </c>
      <c r="G1032" s="20">
        <f>IF($B1032="","",IFERROR(VLOOKUP(INDEX(WageParty,MATCH($B1032,WageIds,0)),WGTbl,2,0),"—"))</f>
        <v/>
      </c>
      <c r="H1032" s="12" t="n"/>
    </row>
    <row r="1033">
      <c r="A1033" s="10">
        <f>IF($B1033="","",COUNTA($B$9:$B1033))</f>
        <v/>
      </c>
      <c r="B1033" s="12" t="n"/>
      <c r="C1033" s="13" t="n"/>
      <c r="D1033" s="14">
        <f>IF($C1033="","",IFERROR(IF(VLOOKUP($C1033,AcctTblE,4,0)="","(بدون نام)",VLOOKUP($C1033,AcctTblE,4,0)),"کد ناشناخته"))</f>
        <v/>
      </c>
      <c r="E1033" s="15" t="n"/>
      <c r="F1033" s="14">
        <f>IF($B1033="","",IFERROR(INDEX(WageDates,MATCH($B1033,WageIds,0)),"—"))</f>
        <v/>
      </c>
      <c r="G1033" s="14">
        <f>IF($B1033="","",IFERROR(VLOOKUP(INDEX(WageParty,MATCH($B1033,WageIds,0)),WGTbl,2,0),"—"))</f>
        <v/>
      </c>
      <c r="H1033" s="12" t="n"/>
    </row>
    <row r="1034">
      <c r="A1034" s="19">
        <f>IF($B1034="","",COUNTA($B$9:$B1034))</f>
        <v/>
      </c>
      <c r="B1034" s="12" t="n"/>
      <c r="C1034" s="13" t="n"/>
      <c r="D1034" s="20">
        <f>IF($C1034="","",IFERROR(IF(VLOOKUP($C1034,AcctTblE,4,0)="","(بدون نام)",VLOOKUP($C1034,AcctTblE,4,0)),"کد ناشناخته"))</f>
        <v/>
      </c>
      <c r="E1034" s="15" t="n"/>
      <c r="F1034" s="20">
        <f>IF($B1034="","",IFERROR(INDEX(WageDates,MATCH($B1034,WageIds,0)),"—"))</f>
        <v/>
      </c>
      <c r="G1034" s="20">
        <f>IF($B1034="","",IFERROR(VLOOKUP(INDEX(WageParty,MATCH($B1034,WageIds,0)),WGTbl,2,0),"—"))</f>
        <v/>
      </c>
      <c r="H1034" s="12" t="n"/>
    </row>
    <row r="1035">
      <c r="A1035" s="10">
        <f>IF($B1035="","",COUNTA($B$9:$B1035))</f>
        <v/>
      </c>
      <c r="B1035" s="12" t="n"/>
      <c r="C1035" s="13" t="n"/>
      <c r="D1035" s="14">
        <f>IF($C1035="","",IFERROR(IF(VLOOKUP($C1035,AcctTblE,4,0)="","(بدون نام)",VLOOKUP($C1035,AcctTblE,4,0)),"کد ناشناخته"))</f>
        <v/>
      </c>
      <c r="E1035" s="15" t="n"/>
      <c r="F1035" s="14">
        <f>IF($B1035="","",IFERROR(INDEX(WageDates,MATCH($B1035,WageIds,0)),"—"))</f>
        <v/>
      </c>
      <c r="G1035" s="14">
        <f>IF($B1035="","",IFERROR(VLOOKUP(INDEX(WageParty,MATCH($B1035,WageIds,0)),WGTbl,2,0),"—"))</f>
        <v/>
      </c>
      <c r="H1035" s="12" t="n"/>
    </row>
    <row r="1036">
      <c r="A1036" s="19">
        <f>IF($B1036="","",COUNTA($B$9:$B1036))</f>
        <v/>
      </c>
      <c r="B1036" s="12" t="n"/>
      <c r="C1036" s="13" t="n"/>
      <c r="D1036" s="20">
        <f>IF($C1036="","",IFERROR(IF(VLOOKUP($C1036,AcctTblE,4,0)="","(بدون نام)",VLOOKUP($C1036,AcctTblE,4,0)),"کد ناشناخته"))</f>
        <v/>
      </c>
      <c r="E1036" s="15" t="n"/>
      <c r="F1036" s="20">
        <f>IF($B1036="","",IFERROR(INDEX(WageDates,MATCH($B1036,WageIds,0)),"—"))</f>
        <v/>
      </c>
      <c r="G1036" s="20">
        <f>IF($B1036="","",IFERROR(VLOOKUP(INDEX(WageParty,MATCH($B1036,WageIds,0)),WGTbl,2,0),"—"))</f>
        <v/>
      </c>
      <c r="H1036" s="12" t="n"/>
    </row>
    <row r="1037">
      <c r="A1037" s="10">
        <f>IF($B1037="","",COUNTA($B$9:$B1037))</f>
        <v/>
      </c>
      <c r="B1037" s="12" t="n"/>
      <c r="C1037" s="13" t="n"/>
      <c r="D1037" s="14">
        <f>IF($C1037="","",IFERROR(IF(VLOOKUP($C1037,AcctTblE,4,0)="","(بدون نام)",VLOOKUP($C1037,AcctTblE,4,0)),"کد ناشناخته"))</f>
        <v/>
      </c>
      <c r="E1037" s="15" t="n"/>
      <c r="F1037" s="14">
        <f>IF($B1037="","",IFERROR(INDEX(WageDates,MATCH($B1037,WageIds,0)),"—"))</f>
        <v/>
      </c>
      <c r="G1037" s="14">
        <f>IF($B1037="","",IFERROR(VLOOKUP(INDEX(WageParty,MATCH($B1037,WageIds,0)),WGTbl,2,0),"—"))</f>
        <v/>
      </c>
      <c r="H1037" s="12" t="n"/>
    </row>
    <row r="1038">
      <c r="A1038" s="19">
        <f>IF($B1038="","",COUNTA($B$9:$B1038))</f>
        <v/>
      </c>
      <c r="B1038" s="12" t="n"/>
      <c r="C1038" s="13" t="n"/>
      <c r="D1038" s="20">
        <f>IF($C1038="","",IFERROR(IF(VLOOKUP($C1038,AcctTblE,4,0)="","(بدون نام)",VLOOKUP($C1038,AcctTblE,4,0)),"کد ناشناخته"))</f>
        <v/>
      </c>
      <c r="E1038" s="15" t="n"/>
      <c r="F1038" s="20">
        <f>IF($B1038="","",IFERROR(INDEX(WageDates,MATCH($B1038,WageIds,0)),"—"))</f>
        <v/>
      </c>
      <c r="G1038" s="20">
        <f>IF($B1038="","",IFERROR(VLOOKUP(INDEX(WageParty,MATCH($B1038,WageIds,0)),WGTbl,2,0),"—"))</f>
        <v/>
      </c>
      <c r="H1038" s="12" t="n"/>
    </row>
    <row r="1039">
      <c r="A1039" s="10">
        <f>IF($B1039="","",COUNTA($B$9:$B1039))</f>
        <v/>
      </c>
      <c r="B1039" s="12" t="n"/>
      <c r="C1039" s="13" t="n"/>
      <c r="D1039" s="14">
        <f>IF($C1039="","",IFERROR(IF(VLOOKUP($C1039,AcctTblE,4,0)="","(بدون نام)",VLOOKUP($C1039,AcctTblE,4,0)),"کد ناشناخته"))</f>
        <v/>
      </c>
      <c r="E1039" s="15" t="n"/>
      <c r="F1039" s="14">
        <f>IF($B1039="","",IFERROR(INDEX(WageDates,MATCH($B1039,WageIds,0)),"—"))</f>
        <v/>
      </c>
      <c r="G1039" s="14">
        <f>IF($B1039="","",IFERROR(VLOOKUP(INDEX(WageParty,MATCH($B1039,WageIds,0)),WGTbl,2,0),"—"))</f>
        <v/>
      </c>
      <c r="H1039" s="12" t="n"/>
    </row>
    <row r="1040">
      <c r="A1040" s="19">
        <f>IF($B1040="","",COUNTA($B$9:$B1040))</f>
        <v/>
      </c>
      <c r="B1040" s="12" t="n"/>
      <c r="C1040" s="13" t="n"/>
      <c r="D1040" s="20">
        <f>IF($C1040="","",IFERROR(IF(VLOOKUP($C1040,AcctTblE,4,0)="","(بدون نام)",VLOOKUP($C1040,AcctTblE,4,0)),"کد ناشناخته"))</f>
        <v/>
      </c>
      <c r="E1040" s="15" t="n"/>
      <c r="F1040" s="20">
        <f>IF($B1040="","",IFERROR(INDEX(WageDates,MATCH($B1040,WageIds,0)),"—"))</f>
        <v/>
      </c>
      <c r="G1040" s="20">
        <f>IF($B1040="","",IFERROR(VLOOKUP(INDEX(WageParty,MATCH($B1040,WageIds,0)),WGTbl,2,0),"—"))</f>
        <v/>
      </c>
      <c r="H1040" s="12" t="n"/>
    </row>
    <row r="1041">
      <c r="A1041" s="10">
        <f>IF($B1041="","",COUNTA($B$9:$B1041))</f>
        <v/>
      </c>
      <c r="B1041" s="12" t="n"/>
      <c r="C1041" s="13" t="n"/>
      <c r="D1041" s="14">
        <f>IF($C1041="","",IFERROR(IF(VLOOKUP($C1041,AcctTblE,4,0)="","(بدون نام)",VLOOKUP($C1041,AcctTblE,4,0)),"کد ناشناخته"))</f>
        <v/>
      </c>
      <c r="E1041" s="15" t="n"/>
      <c r="F1041" s="14">
        <f>IF($B1041="","",IFERROR(INDEX(WageDates,MATCH($B1041,WageIds,0)),"—"))</f>
        <v/>
      </c>
      <c r="G1041" s="14">
        <f>IF($B1041="","",IFERROR(VLOOKUP(INDEX(WageParty,MATCH($B1041,WageIds,0)),WGTbl,2,0),"—"))</f>
        <v/>
      </c>
      <c r="H1041" s="12" t="n"/>
    </row>
    <row r="1042">
      <c r="A1042" s="19">
        <f>IF($B1042="","",COUNTA($B$9:$B1042))</f>
        <v/>
      </c>
      <c r="B1042" s="12" t="n"/>
      <c r="C1042" s="13" t="n"/>
      <c r="D1042" s="20">
        <f>IF($C1042="","",IFERROR(IF(VLOOKUP($C1042,AcctTblE,4,0)="","(بدون نام)",VLOOKUP($C1042,AcctTblE,4,0)),"کد ناشناخته"))</f>
        <v/>
      </c>
      <c r="E1042" s="15" t="n"/>
      <c r="F1042" s="20">
        <f>IF($B1042="","",IFERROR(INDEX(WageDates,MATCH($B1042,WageIds,0)),"—"))</f>
        <v/>
      </c>
      <c r="G1042" s="20">
        <f>IF($B1042="","",IFERROR(VLOOKUP(INDEX(WageParty,MATCH($B1042,WageIds,0)),WGTbl,2,0),"—"))</f>
        <v/>
      </c>
      <c r="H1042" s="12" t="n"/>
    </row>
    <row r="1043">
      <c r="A1043" s="10">
        <f>IF($B1043="","",COUNTA($B$9:$B1043))</f>
        <v/>
      </c>
      <c r="B1043" s="12" t="n"/>
      <c r="C1043" s="13" t="n"/>
      <c r="D1043" s="14">
        <f>IF($C1043="","",IFERROR(IF(VLOOKUP($C1043,AcctTblE,4,0)="","(بدون نام)",VLOOKUP($C1043,AcctTblE,4,0)),"کد ناشناخته"))</f>
        <v/>
      </c>
      <c r="E1043" s="15" t="n"/>
      <c r="F1043" s="14">
        <f>IF($B1043="","",IFERROR(INDEX(WageDates,MATCH($B1043,WageIds,0)),"—"))</f>
        <v/>
      </c>
      <c r="G1043" s="14">
        <f>IF($B1043="","",IFERROR(VLOOKUP(INDEX(WageParty,MATCH($B1043,WageIds,0)),WGTbl,2,0),"—"))</f>
        <v/>
      </c>
      <c r="H1043" s="12" t="n"/>
    </row>
    <row r="1044">
      <c r="A1044" s="19">
        <f>IF($B1044="","",COUNTA($B$9:$B1044))</f>
        <v/>
      </c>
      <c r="B1044" s="12" t="n"/>
      <c r="C1044" s="13" t="n"/>
      <c r="D1044" s="20">
        <f>IF($C1044="","",IFERROR(IF(VLOOKUP($C1044,AcctTblE,4,0)="","(بدون نام)",VLOOKUP($C1044,AcctTblE,4,0)),"کد ناشناخته"))</f>
        <v/>
      </c>
      <c r="E1044" s="15" t="n"/>
      <c r="F1044" s="20">
        <f>IF($B1044="","",IFERROR(INDEX(WageDates,MATCH($B1044,WageIds,0)),"—"))</f>
        <v/>
      </c>
      <c r="G1044" s="20">
        <f>IF($B1044="","",IFERROR(VLOOKUP(INDEX(WageParty,MATCH($B1044,WageIds,0)),WGTbl,2,0),"—"))</f>
        <v/>
      </c>
      <c r="H1044" s="12" t="n"/>
    </row>
    <row r="1045">
      <c r="A1045" s="10">
        <f>IF($B1045="","",COUNTA($B$9:$B1045))</f>
        <v/>
      </c>
      <c r="B1045" s="12" t="n"/>
      <c r="C1045" s="13" t="n"/>
      <c r="D1045" s="14">
        <f>IF($C1045="","",IFERROR(IF(VLOOKUP($C1045,AcctTblE,4,0)="","(بدون نام)",VLOOKUP($C1045,AcctTblE,4,0)),"کد ناشناخته"))</f>
        <v/>
      </c>
      <c r="E1045" s="15" t="n"/>
      <c r="F1045" s="14">
        <f>IF($B1045="","",IFERROR(INDEX(WageDates,MATCH($B1045,WageIds,0)),"—"))</f>
        <v/>
      </c>
      <c r="G1045" s="14">
        <f>IF($B1045="","",IFERROR(VLOOKUP(INDEX(WageParty,MATCH($B1045,WageIds,0)),WGTbl,2,0),"—"))</f>
        <v/>
      </c>
      <c r="H1045" s="12" t="n"/>
    </row>
    <row r="1046">
      <c r="A1046" s="19">
        <f>IF($B1046="","",COUNTA($B$9:$B1046))</f>
        <v/>
      </c>
      <c r="B1046" s="12" t="n"/>
      <c r="C1046" s="13" t="n"/>
      <c r="D1046" s="20">
        <f>IF($C1046="","",IFERROR(IF(VLOOKUP($C1046,AcctTblE,4,0)="","(بدون نام)",VLOOKUP($C1046,AcctTblE,4,0)),"کد ناشناخته"))</f>
        <v/>
      </c>
      <c r="E1046" s="15" t="n"/>
      <c r="F1046" s="20">
        <f>IF($B1046="","",IFERROR(INDEX(WageDates,MATCH($B1046,WageIds,0)),"—"))</f>
        <v/>
      </c>
      <c r="G1046" s="20">
        <f>IF($B1046="","",IFERROR(VLOOKUP(INDEX(WageParty,MATCH($B1046,WageIds,0)),WGTbl,2,0),"—"))</f>
        <v/>
      </c>
      <c r="H1046" s="12" t="n"/>
    </row>
    <row r="1047">
      <c r="A1047" s="10">
        <f>IF($B1047="","",COUNTA($B$9:$B1047))</f>
        <v/>
      </c>
      <c r="B1047" s="12" t="n"/>
      <c r="C1047" s="13" t="n"/>
      <c r="D1047" s="14">
        <f>IF($C1047="","",IFERROR(IF(VLOOKUP($C1047,AcctTblE,4,0)="","(بدون نام)",VLOOKUP($C1047,AcctTblE,4,0)),"کد ناشناخته"))</f>
        <v/>
      </c>
      <c r="E1047" s="15" t="n"/>
      <c r="F1047" s="14">
        <f>IF($B1047="","",IFERROR(INDEX(WageDates,MATCH($B1047,WageIds,0)),"—"))</f>
        <v/>
      </c>
      <c r="G1047" s="14">
        <f>IF($B1047="","",IFERROR(VLOOKUP(INDEX(WageParty,MATCH($B1047,WageIds,0)),WGTbl,2,0),"—"))</f>
        <v/>
      </c>
      <c r="H1047" s="12" t="n"/>
    </row>
    <row r="1048">
      <c r="A1048" s="19">
        <f>IF($B1048="","",COUNTA($B$9:$B1048))</f>
        <v/>
      </c>
      <c r="B1048" s="12" t="n"/>
      <c r="C1048" s="13" t="n"/>
      <c r="D1048" s="20">
        <f>IF($C1048="","",IFERROR(IF(VLOOKUP($C1048,AcctTblE,4,0)="","(بدون نام)",VLOOKUP($C1048,AcctTblE,4,0)),"کد ناشناخته"))</f>
        <v/>
      </c>
      <c r="E1048" s="15" t="n"/>
      <c r="F1048" s="20">
        <f>IF($B1048="","",IFERROR(INDEX(WageDates,MATCH($B1048,WageIds,0)),"—"))</f>
        <v/>
      </c>
      <c r="G1048" s="20">
        <f>IF($B1048="","",IFERROR(VLOOKUP(INDEX(WageParty,MATCH($B1048,WageIds,0)),WGTbl,2,0),"—"))</f>
        <v/>
      </c>
      <c r="H1048" s="12" t="n"/>
    </row>
    <row r="1049">
      <c r="A1049" s="10">
        <f>IF($B1049="","",COUNTA($B$9:$B1049))</f>
        <v/>
      </c>
      <c r="B1049" s="12" t="n"/>
      <c r="C1049" s="13" t="n"/>
      <c r="D1049" s="14">
        <f>IF($C1049="","",IFERROR(IF(VLOOKUP($C1049,AcctTblE,4,0)="","(بدون نام)",VLOOKUP($C1049,AcctTblE,4,0)),"کد ناشناخته"))</f>
        <v/>
      </c>
      <c r="E1049" s="15" t="n"/>
      <c r="F1049" s="14">
        <f>IF($B1049="","",IFERROR(INDEX(WageDates,MATCH($B1049,WageIds,0)),"—"))</f>
        <v/>
      </c>
      <c r="G1049" s="14">
        <f>IF($B1049="","",IFERROR(VLOOKUP(INDEX(WageParty,MATCH($B1049,WageIds,0)),WGTbl,2,0),"—"))</f>
        <v/>
      </c>
      <c r="H1049" s="12" t="n"/>
    </row>
    <row r="1050">
      <c r="A1050" s="19">
        <f>IF($B1050="","",COUNTA($B$9:$B1050))</f>
        <v/>
      </c>
      <c r="B1050" s="12" t="n"/>
      <c r="C1050" s="13" t="n"/>
      <c r="D1050" s="20">
        <f>IF($C1050="","",IFERROR(IF(VLOOKUP($C1050,AcctTblE,4,0)="","(بدون نام)",VLOOKUP($C1050,AcctTblE,4,0)),"کد ناشناخته"))</f>
        <v/>
      </c>
      <c r="E1050" s="15" t="n"/>
      <c r="F1050" s="20">
        <f>IF($B1050="","",IFERROR(INDEX(WageDates,MATCH($B1050,WageIds,0)),"—"))</f>
        <v/>
      </c>
      <c r="G1050" s="20">
        <f>IF($B1050="","",IFERROR(VLOOKUP(INDEX(WageParty,MATCH($B1050,WageIds,0)),WGTbl,2,0),"—"))</f>
        <v/>
      </c>
      <c r="H1050" s="12" t="n"/>
    </row>
    <row r="1051">
      <c r="A1051" s="10">
        <f>IF($B1051="","",COUNTA($B$9:$B1051))</f>
        <v/>
      </c>
      <c r="B1051" s="12" t="n"/>
      <c r="C1051" s="13" t="n"/>
      <c r="D1051" s="14">
        <f>IF($C1051="","",IFERROR(IF(VLOOKUP($C1051,AcctTblE,4,0)="","(بدون نام)",VLOOKUP($C1051,AcctTblE,4,0)),"کد ناشناخته"))</f>
        <v/>
      </c>
      <c r="E1051" s="15" t="n"/>
      <c r="F1051" s="14">
        <f>IF($B1051="","",IFERROR(INDEX(WageDates,MATCH($B1051,WageIds,0)),"—"))</f>
        <v/>
      </c>
      <c r="G1051" s="14">
        <f>IF($B1051="","",IFERROR(VLOOKUP(INDEX(WageParty,MATCH($B1051,WageIds,0)),WGTbl,2,0),"—"))</f>
        <v/>
      </c>
      <c r="H1051" s="12" t="n"/>
    </row>
    <row r="1052">
      <c r="A1052" s="19">
        <f>IF($B1052="","",COUNTA($B$9:$B1052))</f>
        <v/>
      </c>
      <c r="B1052" s="12" t="n"/>
      <c r="C1052" s="13" t="n"/>
      <c r="D1052" s="20">
        <f>IF($C1052="","",IFERROR(IF(VLOOKUP($C1052,AcctTblE,4,0)="","(بدون نام)",VLOOKUP($C1052,AcctTblE,4,0)),"کد ناشناخته"))</f>
        <v/>
      </c>
      <c r="E1052" s="15" t="n"/>
      <c r="F1052" s="20">
        <f>IF($B1052="","",IFERROR(INDEX(WageDates,MATCH($B1052,WageIds,0)),"—"))</f>
        <v/>
      </c>
      <c r="G1052" s="20">
        <f>IF($B1052="","",IFERROR(VLOOKUP(INDEX(WageParty,MATCH($B1052,WageIds,0)),WGTbl,2,0),"—"))</f>
        <v/>
      </c>
      <c r="H1052" s="12" t="n"/>
    </row>
    <row r="1053">
      <c r="A1053" s="10">
        <f>IF($B1053="","",COUNTA($B$9:$B1053))</f>
        <v/>
      </c>
      <c r="B1053" s="12" t="n"/>
      <c r="C1053" s="13" t="n"/>
      <c r="D1053" s="14">
        <f>IF($C1053="","",IFERROR(IF(VLOOKUP($C1053,AcctTblE,4,0)="","(بدون نام)",VLOOKUP($C1053,AcctTblE,4,0)),"کد ناشناخته"))</f>
        <v/>
      </c>
      <c r="E1053" s="15" t="n"/>
      <c r="F1053" s="14">
        <f>IF($B1053="","",IFERROR(INDEX(WageDates,MATCH($B1053,WageIds,0)),"—"))</f>
        <v/>
      </c>
      <c r="G1053" s="14">
        <f>IF($B1053="","",IFERROR(VLOOKUP(INDEX(WageParty,MATCH($B1053,WageIds,0)),WGTbl,2,0),"—"))</f>
        <v/>
      </c>
      <c r="H1053" s="12" t="n"/>
    </row>
    <row r="1054">
      <c r="A1054" s="19">
        <f>IF($B1054="","",COUNTA($B$9:$B1054))</f>
        <v/>
      </c>
      <c r="B1054" s="12" t="n"/>
      <c r="C1054" s="13" t="n"/>
      <c r="D1054" s="20">
        <f>IF($C1054="","",IFERROR(IF(VLOOKUP($C1054,AcctTblE,4,0)="","(بدون نام)",VLOOKUP($C1054,AcctTblE,4,0)),"کد ناشناخته"))</f>
        <v/>
      </c>
      <c r="E1054" s="15" t="n"/>
      <c r="F1054" s="20">
        <f>IF($B1054="","",IFERROR(INDEX(WageDates,MATCH($B1054,WageIds,0)),"—"))</f>
        <v/>
      </c>
      <c r="G1054" s="20">
        <f>IF($B1054="","",IFERROR(VLOOKUP(INDEX(WageParty,MATCH($B1054,WageIds,0)),WGTbl,2,0),"—"))</f>
        <v/>
      </c>
      <c r="H1054" s="12" t="n"/>
    </row>
    <row r="1055">
      <c r="A1055" s="10">
        <f>IF($B1055="","",COUNTA($B$9:$B1055))</f>
        <v/>
      </c>
      <c r="B1055" s="12" t="n"/>
      <c r="C1055" s="13" t="n"/>
      <c r="D1055" s="14">
        <f>IF($C1055="","",IFERROR(IF(VLOOKUP($C1055,AcctTblE,4,0)="","(بدون نام)",VLOOKUP($C1055,AcctTblE,4,0)),"کد ناشناخته"))</f>
        <v/>
      </c>
      <c r="E1055" s="15" t="n"/>
      <c r="F1055" s="14">
        <f>IF($B1055="","",IFERROR(INDEX(WageDates,MATCH($B1055,WageIds,0)),"—"))</f>
        <v/>
      </c>
      <c r="G1055" s="14">
        <f>IF($B1055="","",IFERROR(VLOOKUP(INDEX(WageParty,MATCH($B1055,WageIds,0)),WGTbl,2,0),"—"))</f>
        <v/>
      </c>
      <c r="H1055" s="12" t="n"/>
    </row>
    <row r="1056">
      <c r="A1056" s="19">
        <f>IF($B1056="","",COUNTA($B$9:$B1056))</f>
        <v/>
      </c>
      <c r="B1056" s="12" t="n"/>
      <c r="C1056" s="13" t="n"/>
      <c r="D1056" s="20">
        <f>IF($C1056="","",IFERROR(IF(VLOOKUP($C1056,AcctTblE,4,0)="","(بدون نام)",VLOOKUP($C1056,AcctTblE,4,0)),"کد ناشناخته"))</f>
        <v/>
      </c>
      <c r="E1056" s="15" t="n"/>
      <c r="F1056" s="20">
        <f>IF($B1056="","",IFERROR(INDEX(WageDates,MATCH($B1056,WageIds,0)),"—"))</f>
        <v/>
      </c>
      <c r="G1056" s="20">
        <f>IF($B1056="","",IFERROR(VLOOKUP(INDEX(WageParty,MATCH($B1056,WageIds,0)),WGTbl,2,0),"—"))</f>
        <v/>
      </c>
      <c r="H1056" s="12" t="n"/>
    </row>
    <row r="1057">
      <c r="A1057" s="10">
        <f>IF($B1057="","",COUNTA($B$9:$B1057))</f>
        <v/>
      </c>
      <c r="B1057" s="12" t="n"/>
      <c r="C1057" s="13" t="n"/>
      <c r="D1057" s="14">
        <f>IF($C1057="","",IFERROR(IF(VLOOKUP($C1057,AcctTblE,4,0)="","(بدون نام)",VLOOKUP($C1057,AcctTblE,4,0)),"کد ناشناخته"))</f>
        <v/>
      </c>
      <c r="E1057" s="15" t="n"/>
      <c r="F1057" s="14">
        <f>IF($B1057="","",IFERROR(INDEX(WageDates,MATCH($B1057,WageIds,0)),"—"))</f>
        <v/>
      </c>
      <c r="G1057" s="14">
        <f>IF($B1057="","",IFERROR(VLOOKUP(INDEX(WageParty,MATCH($B1057,WageIds,0)),WGTbl,2,0),"—"))</f>
        <v/>
      </c>
      <c r="H1057" s="12" t="n"/>
    </row>
    <row r="1058">
      <c r="A1058" s="19">
        <f>IF($B1058="","",COUNTA($B$9:$B1058))</f>
        <v/>
      </c>
      <c r="B1058" s="12" t="n"/>
      <c r="C1058" s="13" t="n"/>
      <c r="D1058" s="20">
        <f>IF($C1058="","",IFERROR(IF(VLOOKUP($C1058,AcctTblE,4,0)="","(بدون نام)",VLOOKUP($C1058,AcctTblE,4,0)),"کد ناشناخته"))</f>
        <v/>
      </c>
      <c r="E1058" s="15" t="n"/>
      <c r="F1058" s="20">
        <f>IF($B1058="","",IFERROR(INDEX(WageDates,MATCH($B1058,WageIds,0)),"—"))</f>
        <v/>
      </c>
      <c r="G1058" s="20">
        <f>IF($B1058="","",IFERROR(VLOOKUP(INDEX(WageParty,MATCH($B1058,WageIds,0)),WGTbl,2,0),"—"))</f>
        <v/>
      </c>
      <c r="H1058" s="12" t="n"/>
    </row>
    <row r="1059">
      <c r="A1059" s="10">
        <f>IF($B1059="","",COUNTA($B$9:$B1059))</f>
        <v/>
      </c>
      <c r="B1059" s="12" t="n"/>
      <c r="C1059" s="13" t="n"/>
      <c r="D1059" s="14">
        <f>IF($C1059="","",IFERROR(IF(VLOOKUP($C1059,AcctTblE,4,0)="","(بدون نام)",VLOOKUP($C1059,AcctTblE,4,0)),"کد ناشناخته"))</f>
        <v/>
      </c>
      <c r="E1059" s="15" t="n"/>
      <c r="F1059" s="14">
        <f>IF($B1059="","",IFERROR(INDEX(WageDates,MATCH($B1059,WageIds,0)),"—"))</f>
        <v/>
      </c>
      <c r="G1059" s="14">
        <f>IF($B1059="","",IFERROR(VLOOKUP(INDEX(WageParty,MATCH($B1059,WageIds,0)),WGTbl,2,0),"—"))</f>
        <v/>
      </c>
      <c r="H1059" s="12" t="n"/>
    </row>
    <row r="1060">
      <c r="A1060" s="19">
        <f>IF($B1060="","",COUNTA($B$9:$B1060))</f>
        <v/>
      </c>
      <c r="B1060" s="12" t="n"/>
      <c r="C1060" s="13" t="n"/>
      <c r="D1060" s="20">
        <f>IF($C1060="","",IFERROR(IF(VLOOKUP($C1060,AcctTblE,4,0)="","(بدون نام)",VLOOKUP($C1060,AcctTblE,4,0)),"کد ناشناخته"))</f>
        <v/>
      </c>
      <c r="E1060" s="15" t="n"/>
      <c r="F1060" s="20">
        <f>IF($B1060="","",IFERROR(INDEX(WageDates,MATCH($B1060,WageIds,0)),"—"))</f>
        <v/>
      </c>
      <c r="G1060" s="20">
        <f>IF($B1060="","",IFERROR(VLOOKUP(INDEX(WageParty,MATCH($B1060,WageIds,0)),WGTbl,2,0),"—"))</f>
        <v/>
      </c>
      <c r="H1060" s="12" t="n"/>
    </row>
    <row r="1061">
      <c r="A1061" s="10">
        <f>IF($B1061="","",COUNTA($B$9:$B1061))</f>
        <v/>
      </c>
      <c r="B1061" s="12" t="n"/>
      <c r="C1061" s="13" t="n"/>
      <c r="D1061" s="14">
        <f>IF($C1061="","",IFERROR(IF(VLOOKUP($C1061,AcctTblE,4,0)="","(بدون نام)",VLOOKUP($C1061,AcctTblE,4,0)),"کد ناشناخته"))</f>
        <v/>
      </c>
      <c r="E1061" s="15" t="n"/>
      <c r="F1061" s="14">
        <f>IF($B1061="","",IFERROR(INDEX(WageDates,MATCH($B1061,WageIds,0)),"—"))</f>
        <v/>
      </c>
      <c r="G1061" s="14">
        <f>IF($B1061="","",IFERROR(VLOOKUP(INDEX(WageParty,MATCH($B1061,WageIds,0)),WGTbl,2,0),"—"))</f>
        <v/>
      </c>
      <c r="H1061" s="12" t="n"/>
    </row>
    <row r="1062">
      <c r="A1062" s="19">
        <f>IF($B1062="","",COUNTA($B$9:$B1062))</f>
        <v/>
      </c>
      <c r="B1062" s="12" t="n"/>
      <c r="C1062" s="13" t="n"/>
      <c r="D1062" s="20">
        <f>IF($C1062="","",IFERROR(IF(VLOOKUP($C1062,AcctTblE,4,0)="","(بدون نام)",VLOOKUP($C1062,AcctTblE,4,0)),"کد ناشناخته"))</f>
        <v/>
      </c>
      <c r="E1062" s="15" t="n"/>
      <c r="F1062" s="20">
        <f>IF($B1062="","",IFERROR(INDEX(WageDates,MATCH($B1062,WageIds,0)),"—"))</f>
        <v/>
      </c>
      <c r="G1062" s="20">
        <f>IF($B1062="","",IFERROR(VLOOKUP(INDEX(WageParty,MATCH($B1062,WageIds,0)),WGTbl,2,0),"—"))</f>
        <v/>
      </c>
      <c r="H1062" s="12" t="n"/>
    </row>
    <row r="1063">
      <c r="A1063" s="10">
        <f>IF($B1063="","",COUNTA($B$9:$B1063))</f>
        <v/>
      </c>
      <c r="B1063" s="12" t="n"/>
      <c r="C1063" s="13" t="n"/>
      <c r="D1063" s="14">
        <f>IF($C1063="","",IFERROR(IF(VLOOKUP($C1063,AcctTblE,4,0)="","(بدون نام)",VLOOKUP($C1063,AcctTblE,4,0)),"کد ناشناخته"))</f>
        <v/>
      </c>
      <c r="E1063" s="15" t="n"/>
      <c r="F1063" s="14">
        <f>IF($B1063="","",IFERROR(INDEX(WageDates,MATCH($B1063,WageIds,0)),"—"))</f>
        <v/>
      </c>
      <c r="G1063" s="14">
        <f>IF($B1063="","",IFERROR(VLOOKUP(INDEX(WageParty,MATCH($B1063,WageIds,0)),WGTbl,2,0),"—"))</f>
        <v/>
      </c>
      <c r="H1063" s="12" t="n"/>
    </row>
    <row r="1064">
      <c r="A1064" s="19">
        <f>IF($B1064="","",COUNTA($B$9:$B1064))</f>
        <v/>
      </c>
      <c r="B1064" s="12" t="n"/>
      <c r="C1064" s="13" t="n"/>
      <c r="D1064" s="20">
        <f>IF($C1064="","",IFERROR(IF(VLOOKUP($C1064,AcctTblE,4,0)="","(بدون نام)",VLOOKUP($C1064,AcctTblE,4,0)),"کد ناشناخته"))</f>
        <v/>
      </c>
      <c r="E1064" s="15" t="n"/>
      <c r="F1064" s="20">
        <f>IF($B1064="","",IFERROR(INDEX(WageDates,MATCH($B1064,WageIds,0)),"—"))</f>
        <v/>
      </c>
      <c r="G1064" s="20">
        <f>IF($B1064="","",IFERROR(VLOOKUP(INDEX(WageParty,MATCH($B1064,WageIds,0)),WGTbl,2,0),"—"))</f>
        <v/>
      </c>
      <c r="H1064" s="12" t="n"/>
    </row>
    <row r="1065">
      <c r="A1065" s="10">
        <f>IF($B1065="","",COUNTA($B$9:$B1065))</f>
        <v/>
      </c>
      <c r="B1065" s="12" t="n"/>
      <c r="C1065" s="13" t="n"/>
      <c r="D1065" s="14">
        <f>IF($C1065="","",IFERROR(IF(VLOOKUP($C1065,AcctTblE,4,0)="","(بدون نام)",VLOOKUP($C1065,AcctTblE,4,0)),"کد ناشناخته"))</f>
        <v/>
      </c>
      <c r="E1065" s="15" t="n"/>
      <c r="F1065" s="14">
        <f>IF($B1065="","",IFERROR(INDEX(WageDates,MATCH($B1065,WageIds,0)),"—"))</f>
        <v/>
      </c>
      <c r="G1065" s="14">
        <f>IF($B1065="","",IFERROR(VLOOKUP(INDEX(WageParty,MATCH($B1065,WageIds,0)),WGTbl,2,0),"—"))</f>
        <v/>
      </c>
      <c r="H1065" s="12" t="n"/>
    </row>
    <row r="1066">
      <c r="A1066" s="19">
        <f>IF($B1066="","",COUNTA($B$9:$B1066))</f>
        <v/>
      </c>
      <c r="B1066" s="12" t="n"/>
      <c r="C1066" s="13" t="n"/>
      <c r="D1066" s="20">
        <f>IF($C1066="","",IFERROR(IF(VLOOKUP($C1066,AcctTblE,4,0)="","(بدون نام)",VLOOKUP($C1066,AcctTblE,4,0)),"کد ناشناخته"))</f>
        <v/>
      </c>
      <c r="E1066" s="15" t="n"/>
      <c r="F1066" s="20">
        <f>IF($B1066="","",IFERROR(INDEX(WageDates,MATCH($B1066,WageIds,0)),"—"))</f>
        <v/>
      </c>
      <c r="G1066" s="20">
        <f>IF($B1066="","",IFERROR(VLOOKUP(INDEX(WageParty,MATCH($B1066,WageIds,0)),WGTbl,2,0),"—"))</f>
        <v/>
      </c>
      <c r="H1066" s="12" t="n"/>
    </row>
    <row r="1067">
      <c r="A1067" s="10">
        <f>IF($B1067="","",COUNTA($B$9:$B1067))</f>
        <v/>
      </c>
      <c r="B1067" s="12" t="n"/>
      <c r="C1067" s="13" t="n"/>
      <c r="D1067" s="14">
        <f>IF($C1067="","",IFERROR(IF(VLOOKUP($C1067,AcctTblE,4,0)="","(بدون نام)",VLOOKUP($C1067,AcctTblE,4,0)),"کد ناشناخته"))</f>
        <v/>
      </c>
      <c r="E1067" s="15" t="n"/>
      <c r="F1067" s="14">
        <f>IF($B1067="","",IFERROR(INDEX(WageDates,MATCH($B1067,WageIds,0)),"—"))</f>
        <v/>
      </c>
      <c r="G1067" s="14">
        <f>IF($B1067="","",IFERROR(VLOOKUP(INDEX(WageParty,MATCH($B1067,WageIds,0)),WGTbl,2,0),"—"))</f>
        <v/>
      </c>
      <c r="H1067" s="12" t="n"/>
    </row>
    <row r="1068">
      <c r="A1068" s="19">
        <f>IF($B1068="","",COUNTA($B$9:$B1068))</f>
        <v/>
      </c>
      <c r="B1068" s="12" t="n"/>
      <c r="C1068" s="13" t="n"/>
      <c r="D1068" s="20">
        <f>IF($C1068="","",IFERROR(IF(VLOOKUP($C1068,AcctTblE,4,0)="","(بدون نام)",VLOOKUP($C1068,AcctTblE,4,0)),"کد ناشناخته"))</f>
        <v/>
      </c>
      <c r="E1068" s="15" t="n"/>
      <c r="F1068" s="20">
        <f>IF($B1068="","",IFERROR(INDEX(WageDates,MATCH($B1068,WageIds,0)),"—"))</f>
        <v/>
      </c>
      <c r="G1068" s="20">
        <f>IF($B1068="","",IFERROR(VLOOKUP(INDEX(WageParty,MATCH($B1068,WageIds,0)),WGTbl,2,0),"—"))</f>
        <v/>
      </c>
      <c r="H1068" s="12" t="n"/>
    </row>
    <row r="1069">
      <c r="A1069" s="10">
        <f>IF($B1069="","",COUNTA($B$9:$B1069))</f>
        <v/>
      </c>
      <c r="B1069" s="12" t="n"/>
      <c r="C1069" s="13" t="n"/>
      <c r="D1069" s="14">
        <f>IF($C1069="","",IFERROR(IF(VLOOKUP($C1069,AcctTblE,4,0)="","(بدون نام)",VLOOKUP($C1069,AcctTblE,4,0)),"کد ناشناخته"))</f>
        <v/>
      </c>
      <c r="E1069" s="15" t="n"/>
      <c r="F1069" s="14">
        <f>IF($B1069="","",IFERROR(INDEX(WageDates,MATCH($B1069,WageIds,0)),"—"))</f>
        <v/>
      </c>
      <c r="G1069" s="14">
        <f>IF($B1069="","",IFERROR(VLOOKUP(INDEX(WageParty,MATCH($B1069,WageIds,0)),WGTbl,2,0),"—"))</f>
        <v/>
      </c>
      <c r="H1069" s="12" t="n"/>
    </row>
    <row r="1070">
      <c r="A1070" s="19">
        <f>IF($B1070="","",COUNTA($B$9:$B1070))</f>
        <v/>
      </c>
      <c r="B1070" s="12" t="n"/>
      <c r="C1070" s="13" t="n"/>
      <c r="D1070" s="20">
        <f>IF($C1070="","",IFERROR(IF(VLOOKUP($C1070,AcctTblE,4,0)="","(بدون نام)",VLOOKUP($C1070,AcctTblE,4,0)),"کد ناشناخته"))</f>
        <v/>
      </c>
      <c r="E1070" s="15" t="n"/>
      <c r="F1070" s="20">
        <f>IF($B1070="","",IFERROR(INDEX(WageDates,MATCH($B1070,WageIds,0)),"—"))</f>
        <v/>
      </c>
      <c r="G1070" s="20">
        <f>IF($B1070="","",IFERROR(VLOOKUP(INDEX(WageParty,MATCH($B1070,WageIds,0)),WGTbl,2,0),"—"))</f>
        <v/>
      </c>
      <c r="H1070" s="12" t="n"/>
    </row>
    <row r="1071">
      <c r="A1071" s="10">
        <f>IF($B1071="","",COUNTA($B$9:$B1071))</f>
        <v/>
      </c>
      <c r="B1071" s="12" t="n"/>
      <c r="C1071" s="13" t="n"/>
      <c r="D1071" s="14">
        <f>IF($C1071="","",IFERROR(IF(VLOOKUP($C1071,AcctTblE,4,0)="","(بدون نام)",VLOOKUP($C1071,AcctTblE,4,0)),"کد ناشناخته"))</f>
        <v/>
      </c>
      <c r="E1071" s="15" t="n"/>
      <c r="F1071" s="14">
        <f>IF($B1071="","",IFERROR(INDEX(WageDates,MATCH($B1071,WageIds,0)),"—"))</f>
        <v/>
      </c>
      <c r="G1071" s="14">
        <f>IF($B1071="","",IFERROR(VLOOKUP(INDEX(WageParty,MATCH($B1071,WageIds,0)),WGTbl,2,0),"—"))</f>
        <v/>
      </c>
      <c r="H1071" s="12" t="n"/>
    </row>
    <row r="1072">
      <c r="A1072" s="19">
        <f>IF($B1072="","",COUNTA($B$9:$B1072))</f>
        <v/>
      </c>
      <c r="B1072" s="12" t="n"/>
      <c r="C1072" s="13" t="n"/>
      <c r="D1072" s="20">
        <f>IF($C1072="","",IFERROR(IF(VLOOKUP($C1072,AcctTblE,4,0)="","(بدون نام)",VLOOKUP($C1072,AcctTblE,4,0)),"کد ناشناخته"))</f>
        <v/>
      </c>
      <c r="E1072" s="15" t="n"/>
      <c r="F1072" s="20">
        <f>IF($B1072="","",IFERROR(INDEX(WageDates,MATCH($B1072,WageIds,0)),"—"))</f>
        <v/>
      </c>
      <c r="G1072" s="20">
        <f>IF($B1072="","",IFERROR(VLOOKUP(INDEX(WageParty,MATCH($B1072,WageIds,0)),WGTbl,2,0),"—"))</f>
        <v/>
      </c>
      <c r="H1072" s="12" t="n"/>
    </row>
    <row r="1073">
      <c r="A1073" s="10">
        <f>IF($B1073="","",COUNTA($B$9:$B1073))</f>
        <v/>
      </c>
      <c r="B1073" s="12" t="n"/>
      <c r="C1073" s="13" t="n"/>
      <c r="D1073" s="14">
        <f>IF($C1073="","",IFERROR(IF(VLOOKUP($C1073,AcctTblE,4,0)="","(بدون نام)",VLOOKUP($C1073,AcctTblE,4,0)),"کد ناشناخته"))</f>
        <v/>
      </c>
      <c r="E1073" s="15" t="n"/>
      <c r="F1073" s="14">
        <f>IF($B1073="","",IFERROR(INDEX(WageDates,MATCH($B1073,WageIds,0)),"—"))</f>
        <v/>
      </c>
      <c r="G1073" s="14">
        <f>IF($B1073="","",IFERROR(VLOOKUP(INDEX(WageParty,MATCH($B1073,WageIds,0)),WGTbl,2,0),"—"))</f>
        <v/>
      </c>
      <c r="H1073" s="12" t="n"/>
    </row>
    <row r="1074">
      <c r="A1074" s="19">
        <f>IF($B1074="","",COUNTA($B$9:$B1074))</f>
        <v/>
      </c>
      <c r="B1074" s="12" t="n"/>
      <c r="C1074" s="13" t="n"/>
      <c r="D1074" s="20">
        <f>IF($C1074="","",IFERROR(IF(VLOOKUP($C1074,AcctTblE,4,0)="","(بدون نام)",VLOOKUP($C1074,AcctTblE,4,0)),"کد ناشناخته"))</f>
        <v/>
      </c>
      <c r="E1074" s="15" t="n"/>
      <c r="F1074" s="20">
        <f>IF($B1074="","",IFERROR(INDEX(WageDates,MATCH($B1074,WageIds,0)),"—"))</f>
        <v/>
      </c>
      <c r="G1074" s="20">
        <f>IF($B1074="","",IFERROR(VLOOKUP(INDEX(WageParty,MATCH($B1074,WageIds,0)),WGTbl,2,0),"—"))</f>
        <v/>
      </c>
      <c r="H1074" s="12" t="n"/>
    </row>
    <row r="1075">
      <c r="A1075" s="10">
        <f>IF($B1075="","",COUNTA($B$9:$B1075))</f>
        <v/>
      </c>
      <c r="B1075" s="12" t="n"/>
      <c r="C1075" s="13" t="n"/>
      <c r="D1075" s="14">
        <f>IF($C1075="","",IFERROR(IF(VLOOKUP($C1075,AcctTblE,4,0)="","(بدون نام)",VLOOKUP($C1075,AcctTblE,4,0)),"کد ناشناخته"))</f>
        <v/>
      </c>
      <c r="E1075" s="15" t="n"/>
      <c r="F1075" s="14">
        <f>IF($B1075="","",IFERROR(INDEX(WageDates,MATCH($B1075,WageIds,0)),"—"))</f>
        <v/>
      </c>
      <c r="G1075" s="14">
        <f>IF($B1075="","",IFERROR(VLOOKUP(INDEX(WageParty,MATCH($B1075,WageIds,0)),WGTbl,2,0),"—"))</f>
        <v/>
      </c>
      <c r="H1075" s="12" t="n"/>
    </row>
    <row r="1076">
      <c r="A1076" s="19">
        <f>IF($B1076="","",COUNTA($B$9:$B1076))</f>
        <v/>
      </c>
      <c r="B1076" s="12" t="n"/>
      <c r="C1076" s="13" t="n"/>
      <c r="D1076" s="20">
        <f>IF($C1076="","",IFERROR(IF(VLOOKUP($C1076,AcctTblE,4,0)="","(بدون نام)",VLOOKUP($C1076,AcctTblE,4,0)),"کد ناشناخته"))</f>
        <v/>
      </c>
      <c r="E1076" s="15" t="n"/>
      <c r="F1076" s="20">
        <f>IF($B1076="","",IFERROR(INDEX(WageDates,MATCH($B1076,WageIds,0)),"—"))</f>
        <v/>
      </c>
      <c r="G1076" s="20">
        <f>IF($B1076="","",IFERROR(VLOOKUP(INDEX(WageParty,MATCH($B1076,WageIds,0)),WGTbl,2,0),"—"))</f>
        <v/>
      </c>
      <c r="H1076" s="12" t="n"/>
    </row>
    <row r="1077">
      <c r="A1077" s="10">
        <f>IF($B1077="","",COUNTA($B$9:$B1077))</f>
        <v/>
      </c>
      <c r="B1077" s="12" t="n"/>
      <c r="C1077" s="13" t="n"/>
      <c r="D1077" s="14">
        <f>IF($C1077="","",IFERROR(IF(VLOOKUP($C1077,AcctTblE,4,0)="","(بدون نام)",VLOOKUP($C1077,AcctTblE,4,0)),"کد ناشناخته"))</f>
        <v/>
      </c>
      <c r="E1077" s="15" t="n"/>
      <c r="F1077" s="14">
        <f>IF($B1077="","",IFERROR(INDEX(WageDates,MATCH($B1077,WageIds,0)),"—"))</f>
        <v/>
      </c>
      <c r="G1077" s="14">
        <f>IF($B1077="","",IFERROR(VLOOKUP(INDEX(WageParty,MATCH($B1077,WageIds,0)),WGTbl,2,0),"—"))</f>
        <v/>
      </c>
      <c r="H1077" s="12" t="n"/>
    </row>
    <row r="1078">
      <c r="A1078" s="19">
        <f>IF($B1078="","",COUNTA($B$9:$B1078))</f>
        <v/>
      </c>
      <c r="B1078" s="12" t="n"/>
      <c r="C1078" s="13" t="n"/>
      <c r="D1078" s="20">
        <f>IF($C1078="","",IFERROR(IF(VLOOKUP($C1078,AcctTblE,4,0)="","(بدون نام)",VLOOKUP($C1078,AcctTblE,4,0)),"کد ناشناخته"))</f>
        <v/>
      </c>
      <c r="E1078" s="15" t="n"/>
      <c r="F1078" s="20">
        <f>IF($B1078="","",IFERROR(INDEX(WageDates,MATCH($B1078,WageIds,0)),"—"))</f>
        <v/>
      </c>
      <c r="G1078" s="20">
        <f>IF($B1078="","",IFERROR(VLOOKUP(INDEX(WageParty,MATCH($B1078,WageIds,0)),WGTbl,2,0),"—"))</f>
        <v/>
      </c>
      <c r="H1078" s="12" t="n"/>
    </row>
    <row r="1079">
      <c r="A1079" s="10">
        <f>IF($B1079="","",COUNTA($B$9:$B1079))</f>
        <v/>
      </c>
      <c r="B1079" s="12" t="n"/>
      <c r="C1079" s="13" t="n"/>
      <c r="D1079" s="14">
        <f>IF($C1079="","",IFERROR(IF(VLOOKUP($C1079,AcctTblE,4,0)="","(بدون نام)",VLOOKUP($C1079,AcctTblE,4,0)),"کد ناشناخته"))</f>
        <v/>
      </c>
      <c r="E1079" s="15" t="n"/>
      <c r="F1079" s="14">
        <f>IF($B1079="","",IFERROR(INDEX(WageDates,MATCH($B1079,WageIds,0)),"—"))</f>
        <v/>
      </c>
      <c r="G1079" s="14">
        <f>IF($B1079="","",IFERROR(VLOOKUP(INDEX(WageParty,MATCH($B1079,WageIds,0)),WGTbl,2,0),"—"))</f>
        <v/>
      </c>
      <c r="H1079" s="12" t="n"/>
    </row>
    <row r="1080">
      <c r="A1080" s="19">
        <f>IF($B1080="","",COUNTA($B$9:$B1080))</f>
        <v/>
      </c>
      <c r="B1080" s="12" t="n"/>
      <c r="C1080" s="13" t="n"/>
      <c r="D1080" s="20">
        <f>IF($C1080="","",IFERROR(IF(VLOOKUP($C1080,AcctTblE,4,0)="","(بدون نام)",VLOOKUP($C1080,AcctTblE,4,0)),"کد ناشناخته"))</f>
        <v/>
      </c>
      <c r="E1080" s="15" t="n"/>
      <c r="F1080" s="20">
        <f>IF($B1080="","",IFERROR(INDEX(WageDates,MATCH($B1080,WageIds,0)),"—"))</f>
        <v/>
      </c>
      <c r="G1080" s="20">
        <f>IF($B1080="","",IFERROR(VLOOKUP(INDEX(WageParty,MATCH($B1080,WageIds,0)),WGTbl,2,0),"—"))</f>
        <v/>
      </c>
      <c r="H1080" s="12" t="n"/>
    </row>
    <row r="1081">
      <c r="A1081" s="10">
        <f>IF($B1081="","",COUNTA($B$9:$B1081))</f>
        <v/>
      </c>
      <c r="B1081" s="12" t="n"/>
      <c r="C1081" s="13" t="n"/>
      <c r="D1081" s="14">
        <f>IF($C1081="","",IFERROR(IF(VLOOKUP($C1081,AcctTblE,4,0)="","(بدون نام)",VLOOKUP($C1081,AcctTblE,4,0)),"کد ناشناخته"))</f>
        <v/>
      </c>
      <c r="E1081" s="15" t="n"/>
      <c r="F1081" s="14">
        <f>IF($B1081="","",IFERROR(INDEX(WageDates,MATCH($B1081,WageIds,0)),"—"))</f>
        <v/>
      </c>
      <c r="G1081" s="14">
        <f>IF($B1081="","",IFERROR(VLOOKUP(INDEX(WageParty,MATCH($B1081,WageIds,0)),WGTbl,2,0),"—"))</f>
        <v/>
      </c>
      <c r="H1081" s="12" t="n"/>
    </row>
    <row r="1082">
      <c r="A1082" s="19">
        <f>IF($B1082="","",COUNTA($B$9:$B1082))</f>
        <v/>
      </c>
      <c r="B1082" s="12" t="n"/>
      <c r="C1082" s="13" t="n"/>
      <c r="D1082" s="20">
        <f>IF($C1082="","",IFERROR(IF(VLOOKUP($C1082,AcctTblE,4,0)="","(بدون نام)",VLOOKUP($C1082,AcctTblE,4,0)),"کد ناشناخته"))</f>
        <v/>
      </c>
      <c r="E1082" s="15" t="n"/>
      <c r="F1082" s="20">
        <f>IF($B1082="","",IFERROR(INDEX(WageDates,MATCH($B1082,WageIds,0)),"—"))</f>
        <v/>
      </c>
      <c r="G1082" s="20">
        <f>IF($B1082="","",IFERROR(VLOOKUP(INDEX(WageParty,MATCH($B1082,WageIds,0)),WGTbl,2,0),"—"))</f>
        <v/>
      </c>
      <c r="H1082" s="12" t="n"/>
    </row>
    <row r="1083">
      <c r="A1083" s="10">
        <f>IF($B1083="","",COUNTA($B$9:$B1083))</f>
        <v/>
      </c>
      <c r="B1083" s="12" t="n"/>
      <c r="C1083" s="13" t="n"/>
      <c r="D1083" s="14">
        <f>IF($C1083="","",IFERROR(IF(VLOOKUP($C1083,AcctTblE,4,0)="","(بدون نام)",VLOOKUP($C1083,AcctTblE,4,0)),"کد ناشناخته"))</f>
        <v/>
      </c>
      <c r="E1083" s="15" t="n"/>
      <c r="F1083" s="14">
        <f>IF($B1083="","",IFERROR(INDEX(WageDates,MATCH($B1083,WageIds,0)),"—"))</f>
        <v/>
      </c>
      <c r="G1083" s="14">
        <f>IF($B1083="","",IFERROR(VLOOKUP(INDEX(WageParty,MATCH($B1083,WageIds,0)),WGTbl,2,0),"—"))</f>
        <v/>
      </c>
      <c r="H1083" s="12" t="n"/>
    </row>
    <row r="1084">
      <c r="A1084" s="19">
        <f>IF($B1084="","",COUNTA($B$9:$B1084))</f>
        <v/>
      </c>
      <c r="B1084" s="12" t="n"/>
      <c r="C1084" s="13" t="n"/>
      <c r="D1084" s="20">
        <f>IF($C1084="","",IFERROR(IF(VLOOKUP($C1084,AcctTblE,4,0)="","(بدون نام)",VLOOKUP($C1084,AcctTblE,4,0)),"کد ناشناخته"))</f>
        <v/>
      </c>
      <c r="E1084" s="15" t="n"/>
      <c r="F1084" s="20">
        <f>IF($B1084="","",IFERROR(INDEX(WageDates,MATCH($B1084,WageIds,0)),"—"))</f>
        <v/>
      </c>
      <c r="G1084" s="20">
        <f>IF($B1084="","",IFERROR(VLOOKUP(INDEX(WageParty,MATCH($B1084,WageIds,0)),WGTbl,2,0),"—"))</f>
        <v/>
      </c>
      <c r="H1084" s="12" t="n"/>
    </row>
    <row r="1085">
      <c r="A1085" s="10">
        <f>IF($B1085="","",COUNTA($B$9:$B1085))</f>
        <v/>
      </c>
      <c r="B1085" s="12" t="n"/>
      <c r="C1085" s="13" t="n"/>
      <c r="D1085" s="14">
        <f>IF($C1085="","",IFERROR(IF(VLOOKUP($C1085,AcctTblE,4,0)="","(بدون نام)",VLOOKUP($C1085,AcctTblE,4,0)),"کد ناشناخته"))</f>
        <v/>
      </c>
      <c r="E1085" s="15" t="n"/>
      <c r="F1085" s="14">
        <f>IF($B1085="","",IFERROR(INDEX(WageDates,MATCH($B1085,WageIds,0)),"—"))</f>
        <v/>
      </c>
      <c r="G1085" s="14">
        <f>IF($B1085="","",IFERROR(VLOOKUP(INDEX(WageParty,MATCH($B1085,WageIds,0)),WGTbl,2,0),"—"))</f>
        <v/>
      </c>
      <c r="H1085" s="12" t="n"/>
    </row>
    <row r="1086">
      <c r="A1086" s="19">
        <f>IF($B1086="","",COUNTA($B$9:$B1086))</f>
        <v/>
      </c>
      <c r="B1086" s="12" t="n"/>
      <c r="C1086" s="13" t="n"/>
      <c r="D1086" s="20">
        <f>IF($C1086="","",IFERROR(IF(VLOOKUP($C1086,AcctTblE,4,0)="","(بدون نام)",VLOOKUP($C1086,AcctTblE,4,0)),"کد ناشناخته"))</f>
        <v/>
      </c>
      <c r="E1086" s="15" t="n"/>
      <c r="F1086" s="20">
        <f>IF($B1086="","",IFERROR(INDEX(WageDates,MATCH($B1086,WageIds,0)),"—"))</f>
        <v/>
      </c>
      <c r="G1086" s="20">
        <f>IF($B1086="","",IFERROR(VLOOKUP(INDEX(WageParty,MATCH($B1086,WageIds,0)),WGTbl,2,0),"—"))</f>
        <v/>
      </c>
      <c r="H1086" s="12" t="n"/>
    </row>
    <row r="1087">
      <c r="A1087" s="10">
        <f>IF($B1087="","",COUNTA($B$9:$B1087))</f>
        <v/>
      </c>
      <c r="B1087" s="12" t="n"/>
      <c r="C1087" s="13" t="n"/>
      <c r="D1087" s="14">
        <f>IF($C1087="","",IFERROR(IF(VLOOKUP($C1087,AcctTblE,4,0)="","(بدون نام)",VLOOKUP($C1087,AcctTblE,4,0)),"کد ناشناخته"))</f>
        <v/>
      </c>
      <c r="E1087" s="15" t="n"/>
      <c r="F1087" s="14">
        <f>IF($B1087="","",IFERROR(INDEX(WageDates,MATCH($B1087,WageIds,0)),"—"))</f>
        <v/>
      </c>
      <c r="G1087" s="14">
        <f>IF($B1087="","",IFERROR(VLOOKUP(INDEX(WageParty,MATCH($B1087,WageIds,0)),WGTbl,2,0),"—"))</f>
        <v/>
      </c>
      <c r="H1087" s="12" t="n"/>
    </row>
    <row r="1088">
      <c r="A1088" s="19">
        <f>IF($B1088="","",COUNTA($B$9:$B1088))</f>
        <v/>
      </c>
      <c r="B1088" s="12" t="n"/>
      <c r="C1088" s="13" t="n"/>
      <c r="D1088" s="20">
        <f>IF($C1088="","",IFERROR(IF(VLOOKUP($C1088,AcctTblE,4,0)="","(بدون نام)",VLOOKUP($C1088,AcctTblE,4,0)),"کد ناشناخته"))</f>
        <v/>
      </c>
      <c r="E1088" s="15" t="n"/>
      <c r="F1088" s="20">
        <f>IF($B1088="","",IFERROR(INDEX(WageDates,MATCH($B1088,WageIds,0)),"—"))</f>
        <v/>
      </c>
      <c r="G1088" s="20">
        <f>IF($B1088="","",IFERROR(VLOOKUP(INDEX(WageParty,MATCH($B1088,WageIds,0)),WGTbl,2,0),"—"))</f>
        <v/>
      </c>
      <c r="H1088" s="12" t="n"/>
    </row>
    <row r="1089">
      <c r="A1089" s="10">
        <f>IF($B1089="","",COUNTA($B$9:$B1089))</f>
        <v/>
      </c>
      <c r="B1089" s="12" t="n"/>
      <c r="C1089" s="13" t="n"/>
      <c r="D1089" s="14">
        <f>IF($C1089="","",IFERROR(IF(VLOOKUP($C1089,AcctTblE,4,0)="","(بدون نام)",VLOOKUP($C1089,AcctTblE,4,0)),"کد ناشناخته"))</f>
        <v/>
      </c>
      <c r="E1089" s="15" t="n"/>
      <c r="F1089" s="14">
        <f>IF($B1089="","",IFERROR(INDEX(WageDates,MATCH($B1089,WageIds,0)),"—"))</f>
        <v/>
      </c>
      <c r="G1089" s="14">
        <f>IF($B1089="","",IFERROR(VLOOKUP(INDEX(WageParty,MATCH($B1089,WageIds,0)),WGTbl,2,0),"—"))</f>
        <v/>
      </c>
      <c r="H1089" s="12" t="n"/>
    </row>
    <row r="1090">
      <c r="A1090" s="19">
        <f>IF($B1090="","",COUNTA($B$9:$B1090))</f>
        <v/>
      </c>
      <c r="B1090" s="12" t="n"/>
      <c r="C1090" s="13" t="n"/>
      <c r="D1090" s="20">
        <f>IF($C1090="","",IFERROR(IF(VLOOKUP($C1090,AcctTblE,4,0)="","(بدون نام)",VLOOKUP($C1090,AcctTblE,4,0)),"کد ناشناخته"))</f>
        <v/>
      </c>
      <c r="E1090" s="15" t="n"/>
      <c r="F1090" s="20">
        <f>IF($B1090="","",IFERROR(INDEX(WageDates,MATCH($B1090,WageIds,0)),"—"))</f>
        <v/>
      </c>
      <c r="G1090" s="20">
        <f>IF($B1090="","",IFERROR(VLOOKUP(INDEX(WageParty,MATCH($B1090,WageIds,0)),WGTbl,2,0),"—"))</f>
        <v/>
      </c>
      <c r="H1090" s="12" t="n"/>
    </row>
    <row r="1091">
      <c r="A1091" s="10">
        <f>IF($B1091="","",COUNTA($B$9:$B1091))</f>
        <v/>
      </c>
      <c r="B1091" s="12" t="n"/>
      <c r="C1091" s="13" t="n"/>
      <c r="D1091" s="14">
        <f>IF($C1091="","",IFERROR(IF(VLOOKUP($C1091,AcctTblE,4,0)="","(بدون نام)",VLOOKUP($C1091,AcctTblE,4,0)),"کد ناشناخته"))</f>
        <v/>
      </c>
      <c r="E1091" s="15" t="n"/>
      <c r="F1091" s="14">
        <f>IF($B1091="","",IFERROR(INDEX(WageDates,MATCH($B1091,WageIds,0)),"—"))</f>
        <v/>
      </c>
      <c r="G1091" s="14">
        <f>IF($B1091="","",IFERROR(VLOOKUP(INDEX(WageParty,MATCH($B1091,WageIds,0)),WGTbl,2,0),"—"))</f>
        <v/>
      </c>
      <c r="H1091" s="12" t="n"/>
    </row>
    <row r="1092">
      <c r="A1092" s="19">
        <f>IF($B1092="","",COUNTA($B$9:$B1092))</f>
        <v/>
      </c>
      <c r="B1092" s="12" t="n"/>
      <c r="C1092" s="13" t="n"/>
      <c r="D1092" s="20">
        <f>IF($C1092="","",IFERROR(IF(VLOOKUP($C1092,AcctTblE,4,0)="","(بدون نام)",VLOOKUP($C1092,AcctTblE,4,0)),"کد ناشناخته"))</f>
        <v/>
      </c>
      <c r="E1092" s="15" t="n"/>
      <c r="F1092" s="20">
        <f>IF($B1092="","",IFERROR(INDEX(WageDates,MATCH($B1092,WageIds,0)),"—"))</f>
        <v/>
      </c>
      <c r="G1092" s="20">
        <f>IF($B1092="","",IFERROR(VLOOKUP(INDEX(WageParty,MATCH($B1092,WageIds,0)),WGTbl,2,0),"—"))</f>
        <v/>
      </c>
      <c r="H1092" s="12" t="n"/>
    </row>
    <row r="1093">
      <c r="A1093" s="10">
        <f>IF($B1093="","",COUNTA($B$9:$B1093))</f>
        <v/>
      </c>
      <c r="B1093" s="12" t="n"/>
      <c r="C1093" s="13" t="n"/>
      <c r="D1093" s="14">
        <f>IF($C1093="","",IFERROR(IF(VLOOKUP($C1093,AcctTblE,4,0)="","(بدون نام)",VLOOKUP($C1093,AcctTblE,4,0)),"کد ناشناخته"))</f>
        <v/>
      </c>
      <c r="E1093" s="15" t="n"/>
      <c r="F1093" s="14">
        <f>IF($B1093="","",IFERROR(INDEX(WageDates,MATCH($B1093,WageIds,0)),"—"))</f>
        <v/>
      </c>
      <c r="G1093" s="14">
        <f>IF($B1093="","",IFERROR(VLOOKUP(INDEX(WageParty,MATCH($B1093,WageIds,0)),WGTbl,2,0),"—"))</f>
        <v/>
      </c>
      <c r="H1093" s="12" t="n"/>
    </row>
    <row r="1094">
      <c r="A1094" s="19">
        <f>IF($B1094="","",COUNTA($B$9:$B1094))</f>
        <v/>
      </c>
      <c r="B1094" s="12" t="n"/>
      <c r="C1094" s="13" t="n"/>
      <c r="D1094" s="20">
        <f>IF($C1094="","",IFERROR(IF(VLOOKUP($C1094,AcctTblE,4,0)="","(بدون نام)",VLOOKUP($C1094,AcctTblE,4,0)),"کد ناشناخته"))</f>
        <v/>
      </c>
      <c r="E1094" s="15" t="n"/>
      <c r="F1094" s="20">
        <f>IF($B1094="","",IFERROR(INDEX(WageDates,MATCH($B1094,WageIds,0)),"—"))</f>
        <v/>
      </c>
      <c r="G1094" s="20">
        <f>IF($B1094="","",IFERROR(VLOOKUP(INDEX(WageParty,MATCH($B1094,WageIds,0)),WGTbl,2,0),"—"))</f>
        <v/>
      </c>
      <c r="H1094" s="12" t="n"/>
    </row>
    <row r="1095">
      <c r="A1095" s="10">
        <f>IF($B1095="","",COUNTA($B$9:$B1095))</f>
        <v/>
      </c>
      <c r="B1095" s="12" t="n"/>
      <c r="C1095" s="13" t="n"/>
      <c r="D1095" s="14">
        <f>IF($C1095="","",IFERROR(IF(VLOOKUP($C1095,AcctTblE,4,0)="","(بدون نام)",VLOOKUP($C1095,AcctTblE,4,0)),"کد ناشناخته"))</f>
        <v/>
      </c>
      <c r="E1095" s="15" t="n"/>
      <c r="F1095" s="14">
        <f>IF($B1095="","",IFERROR(INDEX(WageDates,MATCH($B1095,WageIds,0)),"—"))</f>
        <v/>
      </c>
      <c r="G1095" s="14">
        <f>IF($B1095="","",IFERROR(VLOOKUP(INDEX(WageParty,MATCH($B1095,WageIds,0)),WGTbl,2,0),"—"))</f>
        <v/>
      </c>
      <c r="H1095" s="12" t="n"/>
    </row>
    <row r="1096">
      <c r="A1096" s="19">
        <f>IF($B1096="","",COUNTA($B$9:$B1096))</f>
        <v/>
      </c>
      <c r="B1096" s="12" t="n"/>
      <c r="C1096" s="13" t="n"/>
      <c r="D1096" s="20">
        <f>IF($C1096="","",IFERROR(IF(VLOOKUP($C1096,AcctTblE,4,0)="","(بدون نام)",VLOOKUP($C1096,AcctTblE,4,0)),"کد ناشناخته"))</f>
        <v/>
      </c>
      <c r="E1096" s="15" t="n"/>
      <c r="F1096" s="20">
        <f>IF($B1096="","",IFERROR(INDEX(WageDates,MATCH($B1096,WageIds,0)),"—"))</f>
        <v/>
      </c>
      <c r="G1096" s="20">
        <f>IF($B1096="","",IFERROR(VLOOKUP(INDEX(WageParty,MATCH($B1096,WageIds,0)),WGTbl,2,0),"—"))</f>
        <v/>
      </c>
      <c r="H1096" s="12" t="n"/>
    </row>
    <row r="1097">
      <c r="A1097" s="10">
        <f>IF($B1097="","",COUNTA($B$9:$B1097))</f>
        <v/>
      </c>
      <c r="B1097" s="12" t="n"/>
      <c r="C1097" s="13" t="n"/>
      <c r="D1097" s="14">
        <f>IF($C1097="","",IFERROR(IF(VLOOKUP($C1097,AcctTblE,4,0)="","(بدون نام)",VLOOKUP($C1097,AcctTblE,4,0)),"کد ناشناخته"))</f>
        <v/>
      </c>
      <c r="E1097" s="15" t="n"/>
      <c r="F1097" s="14">
        <f>IF($B1097="","",IFERROR(INDEX(WageDates,MATCH($B1097,WageIds,0)),"—"))</f>
        <v/>
      </c>
      <c r="G1097" s="14">
        <f>IF($B1097="","",IFERROR(VLOOKUP(INDEX(WageParty,MATCH($B1097,WageIds,0)),WGTbl,2,0),"—"))</f>
        <v/>
      </c>
      <c r="H1097" s="12" t="n"/>
    </row>
    <row r="1098">
      <c r="A1098" s="19">
        <f>IF($B1098="","",COUNTA($B$9:$B1098))</f>
        <v/>
      </c>
      <c r="B1098" s="12" t="n"/>
      <c r="C1098" s="13" t="n"/>
      <c r="D1098" s="20">
        <f>IF($C1098="","",IFERROR(IF(VLOOKUP($C1098,AcctTblE,4,0)="","(بدون نام)",VLOOKUP($C1098,AcctTblE,4,0)),"کد ناشناخته"))</f>
        <v/>
      </c>
      <c r="E1098" s="15" t="n"/>
      <c r="F1098" s="20">
        <f>IF($B1098="","",IFERROR(INDEX(WageDates,MATCH($B1098,WageIds,0)),"—"))</f>
        <v/>
      </c>
      <c r="G1098" s="20">
        <f>IF($B1098="","",IFERROR(VLOOKUP(INDEX(WageParty,MATCH($B1098,WageIds,0)),WGTbl,2,0),"—"))</f>
        <v/>
      </c>
      <c r="H1098" s="12" t="n"/>
    </row>
    <row r="1099">
      <c r="A1099" s="10">
        <f>IF($B1099="","",COUNTA($B$9:$B1099))</f>
        <v/>
      </c>
      <c r="B1099" s="12" t="n"/>
      <c r="C1099" s="13" t="n"/>
      <c r="D1099" s="14">
        <f>IF($C1099="","",IFERROR(IF(VLOOKUP($C1099,AcctTblE,4,0)="","(بدون نام)",VLOOKUP($C1099,AcctTblE,4,0)),"کد ناشناخته"))</f>
        <v/>
      </c>
      <c r="E1099" s="15" t="n"/>
      <c r="F1099" s="14">
        <f>IF($B1099="","",IFERROR(INDEX(WageDates,MATCH($B1099,WageIds,0)),"—"))</f>
        <v/>
      </c>
      <c r="G1099" s="14">
        <f>IF($B1099="","",IFERROR(VLOOKUP(INDEX(WageParty,MATCH($B1099,WageIds,0)),WGTbl,2,0),"—"))</f>
        <v/>
      </c>
      <c r="H1099" s="12" t="n"/>
    </row>
    <row r="1100">
      <c r="A1100" s="19">
        <f>IF($B1100="","",COUNTA($B$9:$B1100))</f>
        <v/>
      </c>
      <c r="B1100" s="12" t="n"/>
      <c r="C1100" s="13" t="n"/>
      <c r="D1100" s="20">
        <f>IF($C1100="","",IFERROR(IF(VLOOKUP($C1100,AcctTblE,4,0)="","(بدون نام)",VLOOKUP($C1100,AcctTblE,4,0)),"کد ناشناخته"))</f>
        <v/>
      </c>
      <c r="E1100" s="15" t="n"/>
      <c r="F1100" s="20">
        <f>IF($B1100="","",IFERROR(INDEX(WageDates,MATCH($B1100,WageIds,0)),"—"))</f>
        <v/>
      </c>
      <c r="G1100" s="20">
        <f>IF($B1100="","",IFERROR(VLOOKUP(INDEX(WageParty,MATCH($B1100,WageIds,0)),WGTbl,2,0),"—"))</f>
        <v/>
      </c>
      <c r="H1100" s="12" t="n"/>
    </row>
    <row r="1101">
      <c r="A1101" s="10">
        <f>IF($B1101="","",COUNTA($B$9:$B1101))</f>
        <v/>
      </c>
      <c r="B1101" s="12" t="n"/>
      <c r="C1101" s="13" t="n"/>
      <c r="D1101" s="14">
        <f>IF($C1101="","",IFERROR(IF(VLOOKUP($C1101,AcctTblE,4,0)="","(بدون نام)",VLOOKUP($C1101,AcctTblE,4,0)),"کد ناشناخته"))</f>
        <v/>
      </c>
      <c r="E1101" s="15" t="n"/>
      <c r="F1101" s="14">
        <f>IF($B1101="","",IFERROR(INDEX(WageDates,MATCH($B1101,WageIds,0)),"—"))</f>
        <v/>
      </c>
      <c r="G1101" s="14">
        <f>IF($B1101="","",IFERROR(VLOOKUP(INDEX(WageParty,MATCH($B1101,WageIds,0)),WGTbl,2,0),"—"))</f>
        <v/>
      </c>
      <c r="H1101" s="12" t="n"/>
    </row>
    <row r="1102">
      <c r="A1102" s="19">
        <f>IF($B1102="","",COUNTA($B$9:$B1102))</f>
        <v/>
      </c>
      <c r="B1102" s="12" t="n"/>
      <c r="C1102" s="13" t="n"/>
      <c r="D1102" s="20">
        <f>IF($C1102="","",IFERROR(IF(VLOOKUP($C1102,AcctTblE,4,0)="","(بدون نام)",VLOOKUP($C1102,AcctTblE,4,0)),"کد ناشناخته"))</f>
        <v/>
      </c>
      <c r="E1102" s="15" t="n"/>
      <c r="F1102" s="20">
        <f>IF($B1102="","",IFERROR(INDEX(WageDates,MATCH($B1102,WageIds,0)),"—"))</f>
        <v/>
      </c>
      <c r="G1102" s="20">
        <f>IF($B1102="","",IFERROR(VLOOKUP(INDEX(WageParty,MATCH($B1102,WageIds,0)),WGTbl,2,0),"—"))</f>
        <v/>
      </c>
      <c r="H1102" s="12" t="n"/>
    </row>
    <row r="1103">
      <c r="A1103" s="10">
        <f>IF($B1103="","",COUNTA($B$9:$B1103))</f>
        <v/>
      </c>
      <c r="B1103" s="12" t="n"/>
      <c r="C1103" s="13" t="n"/>
      <c r="D1103" s="14">
        <f>IF($C1103="","",IFERROR(IF(VLOOKUP($C1103,AcctTblE,4,0)="","(بدون نام)",VLOOKUP($C1103,AcctTblE,4,0)),"کد ناشناخته"))</f>
        <v/>
      </c>
      <c r="E1103" s="15" t="n"/>
      <c r="F1103" s="14">
        <f>IF($B1103="","",IFERROR(INDEX(WageDates,MATCH($B1103,WageIds,0)),"—"))</f>
        <v/>
      </c>
      <c r="G1103" s="14">
        <f>IF($B1103="","",IFERROR(VLOOKUP(INDEX(WageParty,MATCH($B1103,WageIds,0)),WGTbl,2,0),"—"))</f>
        <v/>
      </c>
      <c r="H1103" s="12" t="n"/>
    </row>
    <row r="1104">
      <c r="A1104" s="19">
        <f>IF($B1104="","",COUNTA($B$9:$B1104))</f>
        <v/>
      </c>
      <c r="B1104" s="12" t="n"/>
      <c r="C1104" s="13" t="n"/>
      <c r="D1104" s="20">
        <f>IF($C1104="","",IFERROR(IF(VLOOKUP($C1104,AcctTblE,4,0)="","(بدون نام)",VLOOKUP($C1104,AcctTblE,4,0)),"کد ناشناخته"))</f>
        <v/>
      </c>
      <c r="E1104" s="15" t="n"/>
      <c r="F1104" s="20">
        <f>IF($B1104="","",IFERROR(INDEX(WageDates,MATCH($B1104,WageIds,0)),"—"))</f>
        <v/>
      </c>
      <c r="G1104" s="20">
        <f>IF($B1104="","",IFERROR(VLOOKUP(INDEX(WageParty,MATCH($B1104,WageIds,0)),WGTbl,2,0),"—"))</f>
        <v/>
      </c>
      <c r="H1104" s="12" t="n"/>
    </row>
    <row r="1105">
      <c r="A1105" s="10">
        <f>IF($B1105="","",COUNTA($B$9:$B1105))</f>
        <v/>
      </c>
      <c r="B1105" s="12" t="n"/>
      <c r="C1105" s="13" t="n"/>
      <c r="D1105" s="14">
        <f>IF($C1105="","",IFERROR(IF(VLOOKUP($C1105,AcctTblE,4,0)="","(بدون نام)",VLOOKUP($C1105,AcctTblE,4,0)),"کد ناشناخته"))</f>
        <v/>
      </c>
      <c r="E1105" s="15" t="n"/>
      <c r="F1105" s="14">
        <f>IF($B1105="","",IFERROR(INDEX(WageDates,MATCH($B1105,WageIds,0)),"—"))</f>
        <v/>
      </c>
      <c r="G1105" s="14">
        <f>IF($B1105="","",IFERROR(VLOOKUP(INDEX(WageParty,MATCH($B1105,WageIds,0)),WGTbl,2,0),"—"))</f>
        <v/>
      </c>
      <c r="H1105" s="12" t="n"/>
    </row>
    <row r="1106">
      <c r="A1106" s="19">
        <f>IF($B1106="","",COUNTA($B$9:$B1106))</f>
        <v/>
      </c>
      <c r="B1106" s="12" t="n"/>
      <c r="C1106" s="13" t="n"/>
      <c r="D1106" s="20">
        <f>IF($C1106="","",IFERROR(IF(VLOOKUP($C1106,AcctTblE,4,0)="","(بدون نام)",VLOOKUP($C1106,AcctTblE,4,0)),"کد ناشناخته"))</f>
        <v/>
      </c>
      <c r="E1106" s="15" t="n"/>
      <c r="F1106" s="20">
        <f>IF($B1106="","",IFERROR(INDEX(WageDates,MATCH($B1106,WageIds,0)),"—"))</f>
        <v/>
      </c>
      <c r="G1106" s="20">
        <f>IF($B1106="","",IFERROR(VLOOKUP(INDEX(WageParty,MATCH($B1106,WageIds,0)),WGTbl,2,0),"—"))</f>
        <v/>
      </c>
      <c r="H1106" s="12" t="n"/>
    </row>
    <row r="1107">
      <c r="A1107" s="10">
        <f>IF($B1107="","",COUNTA($B$9:$B1107))</f>
        <v/>
      </c>
      <c r="B1107" s="12" t="n"/>
      <c r="C1107" s="13" t="n"/>
      <c r="D1107" s="14">
        <f>IF($C1107="","",IFERROR(IF(VLOOKUP($C1107,AcctTblE,4,0)="","(بدون نام)",VLOOKUP($C1107,AcctTblE,4,0)),"کد ناشناخته"))</f>
        <v/>
      </c>
      <c r="E1107" s="15" t="n"/>
      <c r="F1107" s="14">
        <f>IF($B1107="","",IFERROR(INDEX(WageDates,MATCH($B1107,WageIds,0)),"—"))</f>
        <v/>
      </c>
      <c r="G1107" s="14">
        <f>IF($B1107="","",IFERROR(VLOOKUP(INDEX(WageParty,MATCH($B1107,WageIds,0)),WGTbl,2,0),"—"))</f>
        <v/>
      </c>
      <c r="H1107" s="12" t="n"/>
    </row>
    <row r="1108">
      <c r="A1108" s="19">
        <f>IF($B1108="","",COUNTA($B$9:$B1108))</f>
        <v/>
      </c>
      <c r="B1108" s="12" t="n"/>
      <c r="C1108" s="13" t="n"/>
      <c r="D1108" s="20">
        <f>IF($C1108="","",IFERROR(IF(VLOOKUP($C1108,AcctTblE,4,0)="","(بدون نام)",VLOOKUP($C1108,AcctTblE,4,0)),"کد ناشناخته"))</f>
        <v/>
      </c>
      <c r="E1108" s="15" t="n"/>
      <c r="F1108" s="20">
        <f>IF($B1108="","",IFERROR(INDEX(WageDates,MATCH($B1108,WageIds,0)),"—"))</f>
        <v/>
      </c>
      <c r="G1108" s="20">
        <f>IF($B1108="","",IFERROR(VLOOKUP(INDEX(WageParty,MATCH($B1108,WageIds,0)),WGTbl,2,0),"—"))</f>
        <v/>
      </c>
      <c r="H1108" s="12" t="n"/>
    </row>
    <row r="1109">
      <c r="A1109" s="10">
        <f>IF($B1109="","",COUNTA($B$9:$B1109))</f>
        <v/>
      </c>
      <c r="B1109" s="12" t="n"/>
      <c r="C1109" s="13" t="n"/>
      <c r="D1109" s="14">
        <f>IF($C1109="","",IFERROR(IF(VLOOKUP($C1109,AcctTblE,4,0)="","(بدون نام)",VLOOKUP($C1109,AcctTblE,4,0)),"کد ناشناخته"))</f>
        <v/>
      </c>
      <c r="E1109" s="15" t="n"/>
      <c r="F1109" s="14">
        <f>IF($B1109="","",IFERROR(INDEX(WageDates,MATCH($B1109,WageIds,0)),"—"))</f>
        <v/>
      </c>
      <c r="G1109" s="14">
        <f>IF($B1109="","",IFERROR(VLOOKUP(INDEX(WageParty,MATCH($B1109,WageIds,0)),WGTbl,2,0),"—"))</f>
        <v/>
      </c>
      <c r="H1109" s="12" t="n"/>
    </row>
    <row r="1110">
      <c r="A1110" s="19">
        <f>IF($B1110="","",COUNTA($B$9:$B1110))</f>
        <v/>
      </c>
      <c r="B1110" s="12" t="n"/>
      <c r="C1110" s="13" t="n"/>
      <c r="D1110" s="20">
        <f>IF($C1110="","",IFERROR(IF(VLOOKUP($C1110,AcctTblE,4,0)="","(بدون نام)",VLOOKUP($C1110,AcctTblE,4,0)),"کد ناشناخته"))</f>
        <v/>
      </c>
      <c r="E1110" s="15" t="n"/>
      <c r="F1110" s="20">
        <f>IF($B1110="","",IFERROR(INDEX(WageDates,MATCH($B1110,WageIds,0)),"—"))</f>
        <v/>
      </c>
      <c r="G1110" s="20">
        <f>IF($B1110="","",IFERROR(VLOOKUP(INDEX(WageParty,MATCH($B1110,WageIds,0)),WGTbl,2,0),"—"))</f>
        <v/>
      </c>
      <c r="H1110" s="12" t="n"/>
    </row>
    <row r="1111">
      <c r="A1111" s="10">
        <f>IF($B1111="","",COUNTA($B$9:$B1111))</f>
        <v/>
      </c>
      <c r="B1111" s="12" t="n"/>
      <c r="C1111" s="13" t="n"/>
      <c r="D1111" s="14">
        <f>IF($C1111="","",IFERROR(IF(VLOOKUP($C1111,AcctTblE,4,0)="","(بدون نام)",VLOOKUP($C1111,AcctTblE,4,0)),"کد ناشناخته"))</f>
        <v/>
      </c>
      <c r="E1111" s="15" t="n"/>
      <c r="F1111" s="14">
        <f>IF($B1111="","",IFERROR(INDEX(WageDates,MATCH($B1111,WageIds,0)),"—"))</f>
        <v/>
      </c>
      <c r="G1111" s="14">
        <f>IF($B1111="","",IFERROR(VLOOKUP(INDEX(WageParty,MATCH($B1111,WageIds,0)),WGTbl,2,0),"—"))</f>
        <v/>
      </c>
      <c r="H1111" s="12" t="n"/>
    </row>
    <row r="1112">
      <c r="A1112" s="19">
        <f>IF($B1112="","",COUNTA($B$9:$B1112))</f>
        <v/>
      </c>
      <c r="B1112" s="12" t="n"/>
      <c r="C1112" s="13" t="n"/>
      <c r="D1112" s="20">
        <f>IF($C1112="","",IFERROR(IF(VLOOKUP($C1112,AcctTblE,4,0)="","(بدون نام)",VLOOKUP($C1112,AcctTblE,4,0)),"کد ناشناخته"))</f>
        <v/>
      </c>
      <c r="E1112" s="15" t="n"/>
      <c r="F1112" s="20">
        <f>IF($B1112="","",IFERROR(INDEX(WageDates,MATCH($B1112,WageIds,0)),"—"))</f>
        <v/>
      </c>
      <c r="G1112" s="20">
        <f>IF($B1112="","",IFERROR(VLOOKUP(INDEX(WageParty,MATCH($B1112,WageIds,0)),WGTbl,2,0),"—"))</f>
        <v/>
      </c>
      <c r="H1112" s="12" t="n"/>
    </row>
    <row r="1113">
      <c r="A1113" s="10">
        <f>IF($B1113="","",COUNTA($B$9:$B1113))</f>
        <v/>
      </c>
      <c r="B1113" s="12" t="n"/>
      <c r="C1113" s="13" t="n"/>
      <c r="D1113" s="14">
        <f>IF($C1113="","",IFERROR(IF(VLOOKUP($C1113,AcctTblE,4,0)="","(بدون نام)",VLOOKUP($C1113,AcctTblE,4,0)),"کد ناشناخته"))</f>
        <v/>
      </c>
      <c r="E1113" s="15" t="n"/>
      <c r="F1113" s="14">
        <f>IF($B1113="","",IFERROR(INDEX(WageDates,MATCH($B1113,WageIds,0)),"—"))</f>
        <v/>
      </c>
      <c r="G1113" s="14">
        <f>IF($B1113="","",IFERROR(VLOOKUP(INDEX(WageParty,MATCH($B1113,WageIds,0)),WGTbl,2,0),"—"))</f>
        <v/>
      </c>
      <c r="H1113" s="12" t="n"/>
    </row>
    <row r="1114">
      <c r="A1114" s="19">
        <f>IF($B1114="","",COUNTA($B$9:$B1114))</f>
        <v/>
      </c>
      <c r="B1114" s="12" t="n"/>
      <c r="C1114" s="13" t="n"/>
      <c r="D1114" s="20">
        <f>IF($C1114="","",IFERROR(IF(VLOOKUP($C1114,AcctTblE,4,0)="","(بدون نام)",VLOOKUP($C1114,AcctTblE,4,0)),"کد ناشناخته"))</f>
        <v/>
      </c>
      <c r="E1114" s="15" t="n"/>
      <c r="F1114" s="20">
        <f>IF($B1114="","",IFERROR(INDEX(WageDates,MATCH($B1114,WageIds,0)),"—"))</f>
        <v/>
      </c>
      <c r="G1114" s="20">
        <f>IF($B1114="","",IFERROR(VLOOKUP(INDEX(WageParty,MATCH($B1114,WageIds,0)),WGTbl,2,0),"—"))</f>
        <v/>
      </c>
      <c r="H1114" s="12" t="n"/>
    </row>
    <row r="1115">
      <c r="A1115" s="10">
        <f>IF($B1115="","",COUNTA($B$9:$B1115))</f>
        <v/>
      </c>
      <c r="B1115" s="12" t="n"/>
      <c r="C1115" s="13" t="n"/>
      <c r="D1115" s="14">
        <f>IF($C1115="","",IFERROR(IF(VLOOKUP($C1115,AcctTblE,4,0)="","(بدون نام)",VLOOKUP($C1115,AcctTblE,4,0)),"کد ناشناخته"))</f>
        <v/>
      </c>
      <c r="E1115" s="15" t="n"/>
      <c r="F1115" s="14">
        <f>IF($B1115="","",IFERROR(INDEX(WageDates,MATCH($B1115,WageIds,0)),"—"))</f>
        <v/>
      </c>
      <c r="G1115" s="14">
        <f>IF($B1115="","",IFERROR(VLOOKUP(INDEX(WageParty,MATCH($B1115,WageIds,0)),WGTbl,2,0),"—"))</f>
        <v/>
      </c>
      <c r="H1115" s="12" t="n"/>
    </row>
    <row r="1116">
      <c r="A1116" s="19">
        <f>IF($B1116="","",COUNTA($B$9:$B1116))</f>
        <v/>
      </c>
      <c r="B1116" s="12" t="n"/>
      <c r="C1116" s="13" t="n"/>
      <c r="D1116" s="20">
        <f>IF($C1116="","",IFERROR(IF(VLOOKUP($C1116,AcctTblE,4,0)="","(بدون نام)",VLOOKUP($C1116,AcctTblE,4,0)),"کد ناشناخته"))</f>
        <v/>
      </c>
      <c r="E1116" s="15" t="n"/>
      <c r="F1116" s="20">
        <f>IF($B1116="","",IFERROR(INDEX(WageDates,MATCH($B1116,WageIds,0)),"—"))</f>
        <v/>
      </c>
      <c r="G1116" s="20">
        <f>IF($B1116="","",IFERROR(VLOOKUP(INDEX(WageParty,MATCH($B1116,WageIds,0)),WGTbl,2,0),"—"))</f>
        <v/>
      </c>
      <c r="H1116" s="12" t="n"/>
    </row>
    <row r="1117">
      <c r="A1117" s="10">
        <f>IF($B1117="","",COUNTA($B$9:$B1117))</f>
        <v/>
      </c>
      <c r="B1117" s="12" t="n"/>
      <c r="C1117" s="13" t="n"/>
      <c r="D1117" s="14">
        <f>IF($C1117="","",IFERROR(IF(VLOOKUP($C1117,AcctTblE,4,0)="","(بدون نام)",VLOOKUP($C1117,AcctTblE,4,0)),"کد ناشناخته"))</f>
        <v/>
      </c>
      <c r="E1117" s="15" t="n"/>
      <c r="F1117" s="14">
        <f>IF($B1117="","",IFERROR(INDEX(WageDates,MATCH($B1117,WageIds,0)),"—"))</f>
        <v/>
      </c>
      <c r="G1117" s="14">
        <f>IF($B1117="","",IFERROR(VLOOKUP(INDEX(WageParty,MATCH($B1117,WageIds,0)),WGTbl,2,0),"—"))</f>
        <v/>
      </c>
      <c r="H1117" s="12" t="n"/>
    </row>
    <row r="1118">
      <c r="A1118" s="19">
        <f>IF($B1118="","",COUNTA($B$9:$B1118))</f>
        <v/>
      </c>
      <c r="B1118" s="12" t="n"/>
      <c r="C1118" s="13" t="n"/>
      <c r="D1118" s="20">
        <f>IF($C1118="","",IFERROR(IF(VLOOKUP($C1118,AcctTblE,4,0)="","(بدون نام)",VLOOKUP($C1118,AcctTblE,4,0)),"کد ناشناخته"))</f>
        <v/>
      </c>
      <c r="E1118" s="15" t="n"/>
      <c r="F1118" s="20">
        <f>IF($B1118="","",IFERROR(INDEX(WageDates,MATCH($B1118,WageIds,0)),"—"))</f>
        <v/>
      </c>
      <c r="G1118" s="20">
        <f>IF($B1118="","",IFERROR(VLOOKUP(INDEX(WageParty,MATCH($B1118,WageIds,0)),WGTbl,2,0),"—"))</f>
        <v/>
      </c>
      <c r="H1118" s="12" t="n"/>
    </row>
    <row r="1119">
      <c r="A1119" s="10">
        <f>IF($B1119="","",COUNTA($B$9:$B1119))</f>
        <v/>
      </c>
      <c r="B1119" s="12" t="n"/>
      <c r="C1119" s="13" t="n"/>
      <c r="D1119" s="14">
        <f>IF($C1119="","",IFERROR(IF(VLOOKUP($C1119,AcctTblE,4,0)="","(بدون نام)",VLOOKUP($C1119,AcctTblE,4,0)),"کد ناشناخته"))</f>
        <v/>
      </c>
      <c r="E1119" s="15" t="n"/>
      <c r="F1119" s="14">
        <f>IF($B1119="","",IFERROR(INDEX(WageDates,MATCH($B1119,WageIds,0)),"—"))</f>
        <v/>
      </c>
      <c r="G1119" s="14">
        <f>IF($B1119="","",IFERROR(VLOOKUP(INDEX(WageParty,MATCH($B1119,WageIds,0)),WGTbl,2,0),"—"))</f>
        <v/>
      </c>
      <c r="H1119" s="12" t="n"/>
    </row>
    <row r="1120">
      <c r="A1120" s="19">
        <f>IF($B1120="","",COUNTA($B$9:$B1120))</f>
        <v/>
      </c>
      <c r="B1120" s="12" t="n"/>
      <c r="C1120" s="13" t="n"/>
      <c r="D1120" s="20">
        <f>IF($C1120="","",IFERROR(IF(VLOOKUP($C1120,AcctTblE,4,0)="","(بدون نام)",VLOOKUP($C1120,AcctTblE,4,0)),"کد ناشناخته"))</f>
        <v/>
      </c>
      <c r="E1120" s="15" t="n"/>
      <c r="F1120" s="20">
        <f>IF($B1120="","",IFERROR(INDEX(WageDates,MATCH($B1120,WageIds,0)),"—"))</f>
        <v/>
      </c>
      <c r="G1120" s="20">
        <f>IF($B1120="","",IFERROR(VLOOKUP(INDEX(WageParty,MATCH($B1120,WageIds,0)),WGTbl,2,0),"—"))</f>
        <v/>
      </c>
      <c r="H1120" s="12" t="n"/>
    </row>
    <row r="1121">
      <c r="A1121" s="10">
        <f>IF($B1121="","",COUNTA($B$9:$B1121))</f>
        <v/>
      </c>
      <c r="B1121" s="12" t="n"/>
      <c r="C1121" s="13" t="n"/>
      <c r="D1121" s="14">
        <f>IF($C1121="","",IFERROR(IF(VLOOKUP($C1121,AcctTblE,4,0)="","(بدون نام)",VLOOKUP($C1121,AcctTblE,4,0)),"کد ناشناخته"))</f>
        <v/>
      </c>
      <c r="E1121" s="15" t="n"/>
      <c r="F1121" s="14">
        <f>IF($B1121="","",IFERROR(INDEX(WageDates,MATCH($B1121,WageIds,0)),"—"))</f>
        <v/>
      </c>
      <c r="G1121" s="14">
        <f>IF($B1121="","",IFERROR(VLOOKUP(INDEX(WageParty,MATCH($B1121,WageIds,0)),WGTbl,2,0),"—"))</f>
        <v/>
      </c>
      <c r="H1121" s="12" t="n"/>
    </row>
    <row r="1122">
      <c r="A1122" s="19">
        <f>IF($B1122="","",COUNTA($B$9:$B1122))</f>
        <v/>
      </c>
      <c r="B1122" s="12" t="n"/>
      <c r="C1122" s="13" t="n"/>
      <c r="D1122" s="20">
        <f>IF($C1122="","",IFERROR(IF(VLOOKUP($C1122,AcctTblE,4,0)="","(بدون نام)",VLOOKUP($C1122,AcctTblE,4,0)),"کد ناشناخته"))</f>
        <v/>
      </c>
      <c r="E1122" s="15" t="n"/>
      <c r="F1122" s="20">
        <f>IF($B1122="","",IFERROR(INDEX(WageDates,MATCH($B1122,WageIds,0)),"—"))</f>
        <v/>
      </c>
      <c r="G1122" s="20">
        <f>IF($B1122="","",IFERROR(VLOOKUP(INDEX(WageParty,MATCH($B1122,WageIds,0)),WGTbl,2,0),"—"))</f>
        <v/>
      </c>
      <c r="H1122" s="12" t="n"/>
    </row>
    <row r="1123">
      <c r="A1123" s="10">
        <f>IF($B1123="","",COUNTA($B$9:$B1123))</f>
        <v/>
      </c>
      <c r="B1123" s="12" t="n"/>
      <c r="C1123" s="13" t="n"/>
      <c r="D1123" s="14">
        <f>IF($C1123="","",IFERROR(IF(VLOOKUP($C1123,AcctTblE,4,0)="","(بدون نام)",VLOOKUP($C1123,AcctTblE,4,0)),"کد ناشناخته"))</f>
        <v/>
      </c>
      <c r="E1123" s="15" t="n"/>
      <c r="F1123" s="14">
        <f>IF($B1123="","",IFERROR(INDEX(WageDates,MATCH($B1123,WageIds,0)),"—"))</f>
        <v/>
      </c>
      <c r="G1123" s="14">
        <f>IF($B1123="","",IFERROR(VLOOKUP(INDEX(WageParty,MATCH($B1123,WageIds,0)),WGTbl,2,0),"—"))</f>
        <v/>
      </c>
      <c r="H1123" s="12" t="n"/>
    </row>
    <row r="1124">
      <c r="A1124" s="19">
        <f>IF($B1124="","",COUNTA($B$9:$B1124))</f>
        <v/>
      </c>
      <c r="B1124" s="12" t="n"/>
      <c r="C1124" s="13" t="n"/>
      <c r="D1124" s="20">
        <f>IF($C1124="","",IFERROR(IF(VLOOKUP($C1124,AcctTblE,4,0)="","(بدون نام)",VLOOKUP($C1124,AcctTblE,4,0)),"کد ناشناخته"))</f>
        <v/>
      </c>
      <c r="E1124" s="15" t="n"/>
      <c r="F1124" s="20">
        <f>IF($B1124="","",IFERROR(INDEX(WageDates,MATCH($B1124,WageIds,0)),"—"))</f>
        <v/>
      </c>
      <c r="G1124" s="20">
        <f>IF($B1124="","",IFERROR(VLOOKUP(INDEX(WageParty,MATCH($B1124,WageIds,0)),WGTbl,2,0),"—"))</f>
        <v/>
      </c>
      <c r="H1124" s="12" t="n"/>
    </row>
    <row r="1125">
      <c r="A1125" s="10">
        <f>IF($B1125="","",COUNTA($B$9:$B1125))</f>
        <v/>
      </c>
      <c r="B1125" s="12" t="n"/>
      <c r="C1125" s="13" t="n"/>
      <c r="D1125" s="14">
        <f>IF($C1125="","",IFERROR(IF(VLOOKUP($C1125,AcctTblE,4,0)="","(بدون نام)",VLOOKUP($C1125,AcctTblE,4,0)),"کد ناشناخته"))</f>
        <v/>
      </c>
      <c r="E1125" s="15" t="n"/>
      <c r="F1125" s="14">
        <f>IF($B1125="","",IFERROR(INDEX(WageDates,MATCH($B1125,WageIds,0)),"—"))</f>
        <v/>
      </c>
      <c r="G1125" s="14">
        <f>IF($B1125="","",IFERROR(VLOOKUP(INDEX(WageParty,MATCH($B1125,WageIds,0)),WGTbl,2,0),"—"))</f>
        <v/>
      </c>
      <c r="H1125" s="12" t="n"/>
    </row>
    <row r="1126">
      <c r="A1126" s="19">
        <f>IF($B1126="","",COUNTA($B$9:$B1126))</f>
        <v/>
      </c>
      <c r="B1126" s="12" t="n"/>
      <c r="C1126" s="13" t="n"/>
      <c r="D1126" s="20">
        <f>IF($C1126="","",IFERROR(IF(VLOOKUP($C1126,AcctTblE,4,0)="","(بدون نام)",VLOOKUP($C1126,AcctTblE,4,0)),"کد ناشناخته"))</f>
        <v/>
      </c>
      <c r="E1126" s="15" t="n"/>
      <c r="F1126" s="20">
        <f>IF($B1126="","",IFERROR(INDEX(WageDates,MATCH($B1126,WageIds,0)),"—"))</f>
        <v/>
      </c>
      <c r="G1126" s="20">
        <f>IF($B1126="","",IFERROR(VLOOKUP(INDEX(WageParty,MATCH($B1126,WageIds,0)),WGTbl,2,0),"—"))</f>
        <v/>
      </c>
      <c r="H1126" s="12" t="n"/>
    </row>
    <row r="1127">
      <c r="A1127" s="10">
        <f>IF($B1127="","",COUNTA($B$9:$B1127))</f>
        <v/>
      </c>
      <c r="B1127" s="12" t="n"/>
      <c r="C1127" s="13" t="n"/>
      <c r="D1127" s="14">
        <f>IF($C1127="","",IFERROR(IF(VLOOKUP($C1127,AcctTblE,4,0)="","(بدون نام)",VLOOKUP($C1127,AcctTblE,4,0)),"کد ناشناخته"))</f>
        <v/>
      </c>
      <c r="E1127" s="15" t="n"/>
      <c r="F1127" s="14">
        <f>IF($B1127="","",IFERROR(INDEX(WageDates,MATCH($B1127,WageIds,0)),"—"))</f>
        <v/>
      </c>
      <c r="G1127" s="14">
        <f>IF($B1127="","",IFERROR(VLOOKUP(INDEX(WageParty,MATCH($B1127,WageIds,0)),WGTbl,2,0),"—"))</f>
        <v/>
      </c>
      <c r="H1127" s="12" t="n"/>
    </row>
    <row r="1128">
      <c r="A1128" s="19">
        <f>IF($B1128="","",COUNTA($B$9:$B1128))</f>
        <v/>
      </c>
      <c r="B1128" s="12" t="n"/>
      <c r="C1128" s="13" t="n"/>
      <c r="D1128" s="20">
        <f>IF($C1128="","",IFERROR(IF(VLOOKUP($C1128,AcctTblE,4,0)="","(بدون نام)",VLOOKUP($C1128,AcctTblE,4,0)),"کد ناشناخته"))</f>
        <v/>
      </c>
      <c r="E1128" s="15" t="n"/>
      <c r="F1128" s="20">
        <f>IF($B1128="","",IFERROR(INDEX(WageDates,MATCH($B1128,WageIds,0)),"—"))</f>
        <v/>
      </c>
      <c r="G1128" s="20">
        <f>IF($B1128="","",IFERROR(VLOOKUP(INDEX(WageParty,MATCH($B1128,WageIds,0)),WGTbl,2,0),"—"))</f>
        <v/>
      </c>
      <c r="H1128" s="12" t="n"/>
    </row>
    <row r="1129">
      <c r="A1129" s="10">
        <f>IF($B1129="","",COUNTA($B$9:$B1129))</f>
        <v/>
      </c>
      <c r="B1129" s="12" t="n"/>
      <c r="C1129" s="13" t="n"/>
      <c r="D1129" s="14">
        <f>IF($C1129="","",IFERROR(IF(VLOOKUP($C1129,AcctTblE,4,0)="","(بدون نام)",VLOOKUP($C1129,AcctTblE,4,0)),"کد ناشناخته"))</f>
        <v/>
      </c>
      <c r="E1129" s="15" t="n"/>
      <c r="F1129" s="14">
        <f>IF($B1129="","",IFERROR(INDEX(WageDates,MATCH($B1129,WageIds,0)),"—"))</f>
        <v/>
      </c>
      <c r="G1129" s="14">
        <f>IF($B1129="","",IFERROR(VLOOKUP(INDEX(WageParty,MATCH($B1129,WageIds,0)),WGTbl,2,0),"—"))</f>
        <v/>
      </c>
      <c r="H1129" s="12" t="n"/>
    </row>
    <row r="1130">
      <c r="A1130" s="19">
        <f>IF($B1130="","",COUNTA($B$9:$B1130))</f>
        <v/>
      </c>
      <c r="B1130" s="12" t="n"/>
      <c r="C1130" s="13" t="n"/>
      <c r="D1130" s="20">
        <f>IF($C1130="","",IFERROR(IF(VLOOKUP($C1130,AcctTblE,4,0)="","(بدون نام)",VLOOKUP($C1130,AcctTblE,4,0)),"کد ناشناخته"))</f>
        <v/>
      </c>
      <c r="E1130" s="15" t="n"/>
      <c r="F1130" s="20">
        <f>IF($B1130="","",IFERROR(INDEX(WageDates,MATCH($B1130,WageIds,0)),"—"))</f>
        <v/>
      </c>
      <c r="G1130" s="20">
        <f>IF($B1130="","",IFERROR(VLOOKUP(INDEX(WageParty,MATCH($B1130,WageIds,0)),WGTbl,2,0),"—"))</f>
        <v/>
      </c>
      <c r="H1130" s="12" t="n"/>
    </row>
    <row r="1131">
      <c r="A1131" s="10">
        <f>IF($B1131="","",COUNTA($B$9:$B1131))</f>
        <v/>
      </c>
      <c r="B1131" s="12" t="n"/>
      <c r="C1131" s="13" t="n"/>
      <c r="D1131" s="14">
        <f>IF($C1131="","",IFERROR(IF(VLOOKUP($C1131,AcctTblE,4,0)="","(بدون نام)",VLOOKUP($C1131,AcctTblE,4,0)),"کد ناشناخته"))</f>
        <v/>
      </c>
      <c r="E1131" s="15" t="n"/>
      <c r="F1131" s="14">
        <f>IF($B1131="","",IFERROR(INDEX(WageDates,MATCH($B1131,WageIds,0)),"—"))</f>
        <v/>
      </c>
      <c r="G1131" s="14">
        <f>IF($B1131="","",IFERROR(VLOOKUP(INDEX(WageParty,MATCH($B1131,WageIds,0)),WGTbl,2,0),"—"))</f>
        <v/>
      </c>
      <c r="H1131" s="12" t="n"/>
    </row>
    <row r="1132">
      <c r="A1132" s="19">
        <f>IF($B1132="","",COUNTA($B$9:$B1132))</f>
        <v/>
      </c>
      <c r="B1132" s="12" t="n"/>
      <c r="C1132" s="13" t="n"/>
      <c r="D1132" s="20">
        <f>IF($C1132="","",IFERROR(IF(VLOOKUP($C1132,AcctTblE,4,0)="","(بدون نام)",VLOOKUP($C1132,AcctTblE,4,0)),"کد ناشناخته"))</f>
        <v/>
      </c>
      <c r="E1132" s="15" t="n"/>
      <c r="F1132" s="20">
        <f>IF($B1132="","",IFERROR(INDEX(WageDates,MATCH($B1132,WageIds,0)),"—"))</f>
        <v/>
      </c>
      <c r="G1132" s="20">
        <f>IF($B1132="","",IFERROR(VLOOKUP(INDEX(WageParty,MATCH($B1132,WageIds,0)),WGTbl,2,0),"—"))</f>
        <v/>
      </c>
      <c r="H1132" s="12" t="n"/>
    </row>
    <row r="1133">
      <c r="A1133" s="10">
        <f>IF($B1133="","",COUNTA($B$9:$B1133))</f>
        <v/>
      </c>
      <c r="B1133" s="12" t="n"/>
      <c r="C1133" s="13" t="n"/>
      <c r="D1133" s="14">
        <f>IF($C1133="","",IFERROR(IF(VLOOKUP($C1133,AcctTblE,4,0)="","(بدون نام)",VLOOKUP($C1133,AcctTblE,4,0)),"کد ناشناخته"))</f>
        <v/>
      </c>
      <c r="E1133" s="15" t="n"/>
      <c r="F1133" s="14">
        <f>IF($B1133="","",IFERROR(INDEX(WageDates,MATCH($B1133,WageIds,0)),"—"))</f>
        <v/>
      </c>
      <c r="G1133" s="14">
        <f>IF($B1133="","",IFERROR(VLOOKUP(INDEX(WageParty,MATCH($B1133,WageIds,0)),WGTbl,2,0),"—"))</f>
        <v/>
      </c>
      <c r="H1133" s="12" t="n"/>
    </row>
    <row r="1134">
      <c r="A1134" s="19">
        <f>IF($B1134="","",COUNTA($B$9:$B1134))</f>
        <v/>
      </c>
      <c r="B1134" s="12" t="n"/>
      <c r="C1134" s="13" t="n"/>
      <c r="D1134" s="20">
        <f>IF($C1134="","",IFERROR(IF(VLOOKUP($C1134,AcctTblE,4,0)="","(بدون نام)",VLOOKUP($C1134,AcctTblE,4,0)),"کد ناشناخته"))</f>
        <v/>
      </c>
      <c r="E1134" s="15" t="n"/>
      <c r="F1134" s="20">
        <f>IF($B1134="","",IFERROR(INDEX(WageDates,MATCH($B1134,WageIds,0)),"—"))</f>
        <v/>
      </c>
      <c r="G1134" s="20">
        <f>IF($B1134="","",IFERROR(VLOOKUP(INDEX(WageParty,MATCH($B1134,WageIds,0)),WGTbl,2,0),"—"))</f>
        <v/>
      </c>
      <c r="H1134" s="12" t="n"/>
    </row>
    <row r="1135">
      <c r="A1135" s="10">
        <f>IF($B1135="","",COUNTA($B$9:$B1135))</f>
        <v/>
      </c>
      <c r="B1135" s="12" t="n"/>
      <c r="C1135" s="13" t="n"/>
      <c r="D1135" s="14">
        <f>IF($C1135="","",IFERROR(IF(VLOOKUP($C1135,AcctTblE,4,0)="","(بدون نام)",VLOOKUP($C1135,AcctTblE,4,0)),"کد ناشناخته"))</f>
        <v/>
      </c>
      <c r="E1135" s="15" t="n"/>
      <c r="F1135" s="14">
        <f>IF($B1135="","",IFERROR(INDEX(WageDates,MATCH($B1135,WageIds,0)),"—"))</f>
        <v/>
      </c>
      <c r="G1135" s="14">
        <f>IF($B1135="","",IFERROR(VLOOKUP(INDEX(WageParty,MATCH($B1135,WageIds,0)),WGTbl,2,0),"—"))</f>
        <v/>
      </c>
      <c r="H1135" s="12" t="n"/>
    </row>
    <row r="1136">
      <c r="A1136" s="19">
        <f>IF($B1136="","",COUNTA($B$9:$B1136))</f>
        <v/>
      </c>
      <c r="B1136" s="12" t="n"/>
      <c r="C1136" s="13" t="n"/>
      <c r="D1136" s="20">
        <f>IF($C1136="","",IFERROR(IF(VLOOKUP($C1136,AcctTblE,4,0)="","(بدون نام)",VLOOKUP($C1136,AcctTblE,4,0)),"کد ناشناخته"))</f>
        <v/>
      </c>
      <c r="E1136" s="15" t="n"/>
      <c r="F1136" s="20">
        <f>IF($B1136="","",IFERROR(INDEX(WageDates,MATCH($B1136,WageIds,0)),"—"))</f>
        <v/>
      </c>
      <c r="G1136" s="20">
        <f>IF($B1136="","",IFERROR(VLOOKUP(INDEX(WageParty,MATCH($B1136,WageIds,0)),WGTbl,2,0),"—"))</f>
        <v/>
      </c>
      <c r="H1136" s="12" t="n"/>
    </row>
    <row r="1137">
      <c r="A1137" s="10">
        <f>IF($B1137="","",COUNTA($B$9:$B1137))</f>
        <v/>
      </c>
      <c r="B1137" s="12" t="n"/>
      <c r="C1137" s="13" t="n"/>
      <c r="D1137" s="14">
        <f>IF($C1137="","",IFERROR(IF(VLOOKUP($C1137,AcctTblE,4,0)="","(بدون نام)",VLOOKUP($C1137,AcctTblE,4,0)),"کد ناشناخته"))</f>
        <v/>
      </c>
      <c r="E1137" s="15" t="n"/>
      <c r="F1137" s="14">
        <f>IF($B1137="","",IFERROR(INDEX(WageDates,MATCH($B1137,WageIds,0)),"—"))</f>
        <v/>
      </c>
      <c r="G1137" s="14">
        <f>IF($B1137="","",IFERROR(VLOOKUP(INDEX(WageParty,MATCH($B1137,WageIds,0)),WGTbl,2,0),"—"))</f>
        <v/>
      </c>
      <c r="H1137" s="12" t="n"/>
    </row>
    <row r="1138">
      <c r="A1138" s="19">
        <f>IF($B1138="","",COUNTA($B$9:$B1138))</f>
        <v/>
      </c>
      <c r="B1138" s="12" t="n"/>
      <c r="C1138" s="13" t="n"/>
      <c r="D1138" s="20">
        <f>IF($C1138="","",IFERROR(IF(VLOOKUP($C1138,AcctTblE,4,0)="","(بدون نام)",VLOOKUP($C1138,AcctTblE,4,0)),"کد ناشناخته"))</f>
        <v/>
      </c>
      <c r="E1138" s="15" t="n"/>
      <c r="F1138" s="20">
        <f>IF($B1138="","",IFERROR(INDEX(WageDates,MATCH($B1138,WageIds,0)),"—"))</f>
        <v/>
      </c>
      <c r="G1138" s="20">
        <f>IF($B1138="","",IFERROR(VLOOKUP(INDEX(WageParty,MATCH($B1138,WageIds,0)),WGTbl,2,0),"—"))</f>
        <v/>
      </c>
      <c r="H1138" s="12" t="n"/>
    </row>
    <row r="1139">
      <c r="A1139" s="10">
        <f>IF($B1139="","",COUNTA($B$9:$B1139))</f>
        <v/>
      </c>
      <c r="B1139" s="12" t="n"/>
      <c r="C1139" s="13" t="n"/>
      <c r="D1139" s="14">
        <f>IF($C1139="","",IFERROR(IF(VLOOKUP($C1139,AcctTblE,4,0)="","(بدون نام)",VLOOKUP($C1139,AcctTblE,4,0)),"کد ناشناخته"))</f>
        <v/>
      </c>
      <c r="E1139" s="15" t="n"/>
      <c r="F1139" s="14">
        <f>IF($B1139="","",IFERROR(INDEX(WageDates,MATCH($B1139,WageIds,0)),"—"))</f>
        <v/>
      </c>
      <c r="G1139" s="14">
        <f>IF($B1139="","",IFERROR(VLOOKUP(INDEX(WageParty,MATCH($B1139,WageIds,0)),WGTbl,2,0),"—"))</f>
        <v/>
      </c>
      <c r="H1139" s="12" t="n"/>
    </row>
    <row r="1140">
      <c r="A1140" s="19">
        <f>IF($B1140="","",COUNTA($B$9:$B1140))</f>
        <v/>
      </c>
      <c r="B1140" s="12" t="n"/>
      <c r="C1140" s="13" t="n"/>
      <c r="D1140" s="20">
        <f>IF($C1140="","",IFERROR(IF(VLOOKUP($C1140,AcctTblE,4,0)="","(بدون نام)",VLOOKUP($C1140,AcctTblE,4,0)),"کد ناشناخته"))</f>
        <v/>
      </c>
      <c r="E1140" s="15" t="n"/>
      <c r="F1140" s="20">
        <f>IF($B1140="","",IFERROR(INDEX(WageDates,MATCH($B1140,WageIds,0)),"—"))</f>
        <v/>
      </c>
      <c r="G1140" s="20">
        <f>IF($B1140="","",IFERROR(VLOOKUP(INDEX(WageParty,MATCH($B1140,WageIds,0)),WGTbl,2,0),"—"))</f>
        <v/>
      </c>
      <c r="H1140" s="12" t="n"/>
    </row>
    <row r="1141">
      <c r="A1141" s="10">
        <f>IF($B1141="","",COUNTA($B$9:$B1141))</f>
        <v/>
      </c>
      <c r="B1141" s="12" t="n"/>
      <c r="C1141" s="13" t="n"/>
      <c r="D1141" s="14">
        <f>IF($C1141="","",IFERROR(IF(VLOOKUP($C1141,AcctTblE,4,0)="","(بدون نام)",VLOOKUP($C1141,AcctTblE,4,0)),"کد ناشناخته"))</f>
        <v/>
      </c>
      <c r="E1141" s="15" t="n"/>
      <c r="F1141" s="14">
        <f>IF($B1141="","",IFERROR(INDEX(WageDates,MATCH($B1141,WageIds,0)),"—"))</f>
        <v/>
      </c>
      <c r="G1141" s="14">
        <f>IF($B1141="","",IFERROR(VLOOKUP(INDEX(WageParty,MATCH($B1141,WageIds,0)),WGTbl,2,0),"—"))</f>
        <v/>
      </c>
      <c r="H1141" s="12" t="n"/>
    </row>
    <row r="1142">
      <c r="A1142" s="19">
        <f>IF($B1142="","",COUNTA($B$9:$B1142))</f>
        <v/>
      </c>
      <c r="B1142" s="12" t="n"/>
      <c r="C1142" s="13" t="n"/>
      <c r="D1142" s="20">
        <f>IF($C1142="","",IFERROR(IF(VLOOKUP($C1142,AcctTblE,4,0)="","(بدون نام)",VLOOKUP($C1142,AcctTblE,4,0)),"کد ناشناخته"))</f>
        <v/>
      </c>
      <c r="E1142" s="15" t="n"/>
      <c r="F1142" s="20">
        <f>IF($B1142="","",IFERROR(INDEX(WageDates,MATCH($B1142,WageIds,0)),"—"))</f>
        <v/>
      </c>
      <c r="G1142" s="20">
        <f>IF($B1142="","",IFERROR(VLOOKUP(INDEX(WageParty,MATCH($B1142,WageIds,0)),WGTbl,2,0),"—"))</f>
        <v/>
      </c>
      <c r="H1142" s="12" t="n"/>
    </row>
    <row r="1143">
      <c r="A1143" s="10">
        <f>IF($B1143="","",COUNTA($B$9:$B1143))</f>
        <v/>
      </c>
      <c r="B1143" s="12" t="n"/>
      <c r="C1143" s="13" t="n"/>
      <c r="D1143" s="14">
        <f>IF($C1143="","",IFERROR(IF(VLOOKUP($C1143,AcctTblE,4,0)="","(بدون نام)",VLOOKUP($C1143,AcctTblE,4,0)),"کد ناشناخته"))</f>
        <v/>
      </c>
      <c r="E1143" s="15" t="n"/>
      <c r="F1143" s="14">
        <f>IF($B1143="","",IFERROR(INDEX(WageDates,MATCH($B1143,WageIds,0)),"—"))</f>
        <v/>
      </c>
      <c r="G1143" s="14">
        <f>IF($B1143="","",IFERROR(VLOOKUP(INDEX(WageParty,MATCH($B1143,WageIds,0)),WGTbl,2,0),"—"))</f>
        <v/>
      </c>
      <c r="H1143" s="12" t="n"/>
    </row>
    <row r="1144">
      <c r="A1144" s="19">
        <f>IF($B1144="","",COUNTA($B$9:$B1144))</f>
        <v/>
      </c>
      <c r="B1144" s="12" t="n"/>
      <c r="C1144" s="13" t="n"/>
      <c r="D1144" s="20">
        <f>IF($C1144="","",IFERROR(IF(VLOOKUP($C1144,AcctTblE,4,0)="","(بدون نام)",VLOOKUP($C1144,AcctTblE,4,0)),"کد ناشناخته"))</f>
        <v/>
      </c>
      <c r="E1144" s="15" t="n"/>
      <c r="F1144" s="20">
        <f>IF($B1144="","",IFERROR(INDEX(WageDates,MATCH($B1144,WageIds,0)),"—"))</f>
        <v/>
      </c>
      <c r="G1144" s="20">
        <f>IF($B1144="","",IFERROR(VLOOKUP(INDEX(WageParty,MATCH($B1144,WageIds,0)),WGTbl,2,0),"—"))</f>
        <v/>
      </c>
      <c r="H1144" s="12" t="n"/>
    </row>
    <row r="1145">
      <c r="A1145" s="10">
        <f>IF($B1145="","",COUNTA($B$9:$B1145))</f>
        <v/>
      </c>
      <c r="B1145" s="12" t="n"/>
      <c r="C1145" s="13" t="n"/>
      <c r="D1145" s="14">
        <f>IF($C1145="","",IFERROR(IF(VLOOKUP($C1145,AcctTblE,4,0)="","(بدون نام)",VLOOKUP($C1145,AcctTblE,4,0)),"کد ناشناخته"))</f>
        <v/>
      </c>
      <c r="E1145" s="15" t="n"/>
      <c r="F1145" s="14">
        <f>IF($B1145="","",IFERROR(INDEX(WageDates,MATCH($B1145,WageIds,0)),"—"))</f>
        <v/>
      </c>
      <c r="G1145" s="14">
        <f>IF($B1145="","",IFERROR(VLOOKUP(INDEX(WageParty,MATCH($B1145,WageIds,0)),WGTbl,2,0),"—"))</f>
        <v/>
      </c>
      <c r="H1145" s="12" t="n"/>
    </row>
    <row r="1146">
      <c r="A1146" s="19">
        <f>IF($B1146="","",COUNTA($B$9:$B1146))</f>
        <v/>
      </c>
      <c r="B1146" s="12" t="n"/>
      <c r="C1146" s="13" t="n"/>
      <c r="D1146" s="20">
        <f>IF($C1146="","",IFERROR(IF(VLOOKUP($C1146,AcctTblE,4,0)="","(بدون نام)",VLOOKUP($C1146,AcctTblE,4,0)),"کد ناشناخته"))</f>
        <v/>
      </c>
      <c r="E1146" s="15" t="n"/>
      <c r="F1146" s="20">
        <f>IF($B1146="","",IFERROR(INDEX(WageDates,MATCH($B1146,WageIds,0)),"—"))</f>
        <v/>
      </c>
      <c r="G1146" s="20">
        <f>IF($B1146="","",IFERROR(VLOOKUP(INDEX(WageParty,MATCH($B1146,WageIds,0)),WGTbl,2,0),"—"))</f>
        <v/>
      </c>
      <c r="H1146" s="12" t="n"/>
    </row>
    <row r="1147">
      <c r="A1147" s="10">
        <f>IF($B1147="","",COUNTA($B$9:$B1147))</f>
        <v/>
      </c>
      <c r="B1147" s="12" t="n"/>
      <c r="C1147" s="13" t="n"/>
      <c r="D1147" s="14">
        <f>IF($C1147="","",IFERROR(IF(VLOOKUP($C1147,AcctTblE,4,0)="","(بدون نام)",VLOOKUP($C1147,AcctTblE,4,0)),"کد ناشناخته"))</f>
        <v/>
      </c>
      <c r="E1147" s="15" t="n"/>
      <c r="F1147" s="14">
        <f>IF($B1147="","",IFERROR(INDEX(WageDates,MATCH($B1147,WageIds,0)),"—"))</f>
        <v/>
      </c>
      <c r="G1147" s="14">
        <f>IF($B1147="","",IFERROR(VLOOKUP(INDEX(WageParty,MATCH($B1147,WageIds,0)),WGTbl,2,0),"—"))</f>
        <v/>
      </c>
      <c r="H1147" s="12" t="n"/>
    </row>
    <row r="1148">
      <c r="A1148" s="19">
        <f>IF($B1148="","",COUNTA($B$9:$B1148))</f>
        <v/>
      </c>
      <c r="B1148" s="12" t="n"/>
      <c r="C1148" s="13" t="n"/>
      <c r="D1148" s="20">
        <f>IF($C1148="","",IFERROR(IF(VLOOKUP($C1148,AcctTblE,4,0)="","(بدون نام)",VLOOKUP($C1148,AcctTblE,4,0)),"کد ناشناخته"))</f>
        <v/>
      </c>
      <c r="E1148" s="15" t="n"/>
      <c r="F1148" s="20">
        <f>IF($B1148="","",IFERROR(INDEX(WageDates,MATCH($B1148,WageIds,0)),"—"))</f>
        <v/>
      </c>
      <c r="G1148" s="20">
        <f>IF($B1148="","",IFERROR(VLOOKUP(INDEX(WageParty,MATCH($B1148,WageIds,0)),WGTbl,2,0),"—"))</f>
        <v/>
      </c>
      <c r="H1148" s="12" t="n"/>
    </row>
    <row r="1149">
      <c r="A1149" s="10">
        <f>IF($B1149="","",COUNTA($B$9:$B1149))</f>
        <v/>
      </c>
      <c r="B1149" s="12" t="n"/>
      <c r="C1149" s="13" t="n"/>
      <c r="D1149" s="14">
        <f>IF($C1149="","",IFERROR(IF(VLOOKUP($C1149,AcctTblE,4,0)="","(بدون نام)",VLOOKUP($C1149,AcctTblE,4,0)),"کد ناشناخته"))</f>
        <v/>
      </c>
      <c r="E1149" s="15" t="n"/>
      <c r="F1149" s="14">
        <f>IF($B1149="","",IFERROR(INDEX(WageDates,MATCH($B1149,WageIds,0)),"—"))</f>
        <v/>
      </c>
      <c r="G1149" s="14">
        <f>IF($B1149="","",IFERROR(VLOOKUP(INDEX(WageParty,MATCH($B1149,WageIds,0)),WGTbl,2,0),"—"))</f>
        <v/>
      </c>
      <c r="H1149" s="12" t="n"/>
    </row>
    <row r="1150">
      <c r="A1150" s="19">
        <f>IF($B1150="","",COUNTA($B$9:$B1150))</f>
        <v/>
      </c>
      <c r="B1150" s="12" t="n"/>
      <c r="C1150" s="13" t="n"/>
      <c r="D1150" s="20">
        <f>IF($C1150="","",IFERROR(IF(VLOOKUP($C1150,AcctTblE,4,0)="","(بدون نام)",VLOOKUP($C1150,AcctTblE,4,0)),"کد ناشناخته"))</f>
        <v/>
      </c>
      <c r="E1150" s="15" t="n"/>
      <c r="F1150" s="20">
        <f>IF($B1150="","",IFERROR(INDEX(WageDates,MATCH($B1150,WageIds,0)),"—"))</f>
        <v/>
      </c>
      <c r="G1150" s="20">
        <f>IF($B1150="","",IFERROR(VLOOKUP(INDEX(WageParty,MATCH($B1150,WageIds,0)),WGTbl,2,0),"—"))</f>
        <v/>
      </c>
      <c r="H1150" s="12" t="n"/>
    </row>
    <row r="1151">
      <c r="A1151" s="10">
        <f>IF($B1151="","",COUNTA($B$9:$B1151))</f>
        <v/>
      </c>
      <c r="B1151" s="12" t="n"/>
      <c r="C1151" s="13" t="n"/>
      <c r="D1151" s="14">
        <f>IF($C1151="","",IFERROR(IF(VLOOKUP($C1151,AcctTblE,4,0)="","(بدون نام)",VLOOKUP($C1151,AcctTblE,4,0)),"کد ناشناخته"))</f>
        <v/>
      </c>
      <c r="E1151" s="15" t="n"/>
      <c r="F1151" s="14">
        <f>IF($B1151="","",IFERROR(INDEX(WageDates,MATCH($B1151,WageIds,0)),"—"))</f>
        <v/>
      </c>
      <c r="G1151" s="14">
        <f>IF($B1151="","",IFERROR(VLOOKUP(INDEX(WageParty,MATCH($B1151,WageIds,0)),WGTbl,2,0),"—"))</f>
        <v/>
      </c>
      <c r="H1151" s="12" t="n"/>
    </row>
    <row r="1152">
      <c r="A1152" s="19">
        <f>IF($B1152="","",COUNTA($B$9:$B1152))</f>
        <v/>
      </c>
      <c r="B1152" s="12" t="n"/>
      <c r="C1152" s="13" t="n"/>
      <c r="D1152" s="20">
        <f>IF($C1152="","",IFERROR(IF(VLOOKUP($C1152,AcctTblE,4,0)="","(بدون نام)",VLOOKUP($C1152,AcctTblE,4,0)),"کد ناشناخته"))</f>
        <v/>
      </c>
      <c r="E1152" s="15" t="n"/>
      <c r="F1152" s="20">
        <f>IF($B1152="","",IFERROR(INDEX(WageDates,MATCH($B1152,WageIds,0)),"—"))</f>
        <v/>
      </c>
      <c r="G1152" s="20">
        <f>IF($B1152="","",IFERROR(VLOOKUP(INDEX(WageParty,MATCH($B1152,WageIds,0)),WGTbl,2,0),"—"))</f>
        <v/>
      </c>
      <c r="H1152" s="12" t="n"/>
    </row>
    <row r="1153">
      <c r="A1153" s="10">
        <f>IF($B1153="","",COUNTA($B$9:$B1153))</f>
        <v/>
      </c>
      <c r="B1153" s="12" t="n"/>
      <c r="C1153" s="13" t="n"/>
      <c r="D1153" s="14">
        <f>IF($C1153="","",IFERROR(IF(VLOOKUP($C1153,AcctTblE,4,0)="","(بدون نام)",VLOOKUP($C1153,AcctTblE,4,0)),"کد ناشناخته"))</f>
        <v/>
      </c>
      <c r="E1153" s="15" t="n"/>
      <c r="F1153" s="14">
        <f>IF($B1153="","",IFERROR(INDEX(WageDates,MATCH($B1153,WageIds,0)),"—"))</f>
        <v/>
      </c>
      <c r="G1153" s="14">
        <f>IF($B1153="","",IFERROR(VLOOKUP(INDEX(WageParty,MATCH($B1153,WageIds,0)),WGTbl,2,0),"—"))</f>
        <v/>
      </c>
      <c r="H1153" s="12" t="n"/>
    </row>
    <row r="1154">
      <c r="A1154" s="19">
        <f>IF($B1154="","",COUNTA($B$9:$B1154))</f>
        <v/>
      </c>
      <c r="B1154" s="12" t="n"/>
      <c r="C1154" s="13" t="n"/>
      <c r="D1154" s="20">
        <f>IF($C1154="","",IFERROR(IF(VLOOKUP($C1154,AcctTblE,4,0)="","(بدون نام)",VLOOKUP($C1154,AcctTblE,4,0)),"کد ناشناخته"))</f>
        <v/>
      </c>
      <c r="E1154" s="15" t="n"/>
      <c r="F1154" s="20">
        <f>IF($B1154="","",IFERROR(INDEX(WageDates,MATCH($B1154,WageIds,0)),"—"))</f>
        <v/>
      </c>
      <c r="G1154" s="20">
        <f>IF($B1154="","",IFERROR(VLOOKUP(INDEX(WageParty,MATCH($B1154,WageIds,0)),WGTbl,2,0),"—"))</f>
        <v/>
      </c>
      <c r="H1154" s="12" t="n"/>
    </row>
    <row r="1155">
      <c r="A1155" s="10">
        <f>IF($B1155="","",COUNTA($B$9:$B1155))</f>
        <v/>
      </c>
      <c r="B1155" s="12" t="n"/>
      <c r="C1155" s="13" t="n"/>
      <c r="D1155" s="14">
        <f>IF($C1155="","",IFERROR(IF(VLOOKUP($C1155,AcctTblE,4,0)="","(بدون نام)",VLOOKUP($C1155,AcctTblE,4,0)),"کد ناشناخته"))</f>
        <v/>
      </c>
      <c r="E1155" s="15" t="n"/>
      <c r="F1155" s="14">
        <f>IF($B1155="","",IFERROR(INDEX(WageDates,MATCH($B1155,WageIds,0)),"—"))</f>
        <v/>
      </c>
      <c r="G1155" s="14">
        <f>IF($B1155="","",IFERROR(VLOOKUP(INDEX(WageParty,MATCH($B1155,WageIds,0)),WGTbl,2,0),"—"))</f>
        <v/>
      </c>
      <c r="H1155" s="12" t="n"/>
    </row>
    <row r="1156">
      <c r="A1156" s="19">
        <f>IF($B1156="","",COUNTA($B$9:$B1156))</f>
        <v/>
      </c>
      <c r="B1156" s="12" t="n"/>
      <c r="C1156" s="13" t="n"/>
      <c r="D1156" s="20">
        <f>IF($C1156="","",IFERROR(IF(VLOOKUP($C1156,AcctTblE,4,0)="","(بدون نام)",VLOOKUP($C1156,AcctTblE,4,0)),"کد ناشناخته"))</f>
        <v/>
      </c>
      <c r="E1156" s="15" t="n"/>
      <c r="F1156" s="20">
        <f>IF($B1156="","",IFERROR(INDEX(WageDates,MATCH($B1156,WageIds,0)),"—"))</f>
        <v/>
      </c>
      <c r="G1156" s="20">
        <f>IF($B1156="","",IFERROR(VLOOKUP(INDEX(WageParty,MATCH($B1156,WageIds,0)),WGTbl,2,0),"—"))</f>
        <v/>
      </c>
      <c r="H1156" s="12" t="n"/>
    </row>
    <row r="1157">
      <c r="A1157" s="10">
        <f>IF($B1157="","",COUNTA($B$9:$B1157))</f>
        <v/>
      </c>
      <c r="B1157" s="12" t="n"/>
      <c r="C1157" s="13" t="n"/>
      <c r="D1157" s="14">
        <f>IF($C1157="","",IFERROR(IF(VLOOKUP($C1157,AcctTblE,4,0)="","(بدون نام)",VLOOKUP($C1157,AcctTblE,4,0)),"کد ناشناخته"))</f>
        <v/>
      </c>
      <c r="E1157" s="15" t="n"/>
      <c r="F1157" s="14">
        <f>IF($B1157="","",IFERROR(INDEX(WageDates,MATCH($B1157,WageIds,0)),"—"))</f>
        <v/>
      </c>
      <c r="G1157" s="14">
        <f>IF($B1157="","",IFERROR(VLOOKUP(INDEX(WageParty,MATCH($B1157,WageIds,0)),WGTbl,2,0),"—"))</f>
        <v/>
      </c>
      <c r="H1157" s="12" t="n"/>
    </row>
    <row r="1158">
      <c r="A1158" s="19">
        <f>IF($B1158="","",COUNTA($B$9:$B1158))</f>
        <v/>
      </c>
      <c r="B1158" s="12" t="n"/>
      <c r="C1158" s="13" t="n"/>
      <c r="D1158" s="20">
        <f>IF($C1158="","",IFERROR(IF(VLOOKUP($C1158,AcctTblE,4,0)="","(بدون نام)",VLOOKUP($C1158,AcctTblE,4,0)),"کد ناشناخته"))</f>
        <v/>
      </c>
      <c r="E1158" s="15" t="n"/>
      <c r="F1158" s="20">
        <f>IF($B1158="","",IFERROR(INDEX(WageDates,MATCH($B1158,WageIds,0)),"—"))</f>
        <v/>
      </c>
      <c r="G1158" s="20">
        <f>IF($B1158="","",IFERROR(VLOOKUP(INDEX(WageParty,MATCH($B1158,WageIds,0)),WGTbl,2,0),"—"))</f>
        <v/>
      </c>
      <c r="H1158" s="12" t="n"/>
    </row>
    <row r="1159">
      <c r="A1159" s="10">
        <f>IF($B1159="","",COUNTA($B$9:$B1159))</f>
        <v/>
      </c>
      <c r="B1159" s="12" t="n"/>
      <c r="C1159" s="13" t="n"/>
      <c r="D1159" s="14">
        <f>IF($C1159="","",IFERROR(IF(VLOOKUP($C1159,AcctTblE,4,0)="","(بدون نام)",VLOOKUP($C1159,AcctTblE,4,0)),"کد ناشناخته"))</f>
        <v/>
      </c>
      <c r="E1159" s="15" t="n"/>
      <c r="F1159" s="14">
        <f>IF($B1159="","",IFERROR(INDEX(WageDates,MATCH($B1159,WageIds,0)),"—"))</f>
        <v/>
      </c>
      <c r="G1159" s="14">
        <f>IF($B1159="","",IFERROR(VLOOKUP(INDEX(WageParty,MATCH($B1159,WageIds,0)),WGTbl,2,0),"—"))</f>
        <v/>
      </c>
      <c r="H1159" s="12" t="n"/>
    </row>
    <row r="1160">
      <c r="A1160" s="19">
        <f>IF($B1160="","",COUNTA($B$9:$B1160))</f>
        <v/>
      </c>
      <c r="B1160" s="12" t="n"/>
      <c r="C1160" s="13" t="n"/>
      <c r="D1160" s="20">
        <f>IF($C1160="","",IFERROR(IF(VLOOKUP($C1160,AcctTblE,4,0)="","(بدون نام)",VLOOKUP($C1160,AcctTblE,4,0)),"کد ناشناخته"))</f>
        <v/>
      </c>
      <c r="E1160" s="15" t="n"/>
      <c r="F1160" s="20">
        <f>IF($B1160="","",IFERROR(INDEX(WageDates,MATCH($B1160,WageIds,0)),"—"))</f>
        <v/>
      </c>
      <c r="G1160" s="20">
        <f>IF($B1160="","",IFERROR(VLOOKUP(INDEX(WageParty,MATCH($B1160,WageIds,0)),WGTbl,2,0),"—"))</f>
        <v/>
      </c>
      <c r="H1160" s="12" t="n"/>
    </row>
    <row r="1161">
      <c r="A1161" s="10">
        <f>IF($B1161="","",COUNTA($B$9:$B1161))</f>
        <v/>
      </c>
      <c r="B1161" s="12" t="n"/>
      <c r="C1161" s="13" t="n"/>
      <c r="D1161" s="14">
        <f>IF($C1161="","",IFERROR(IF(VLOOKUP($C1161,AcctTblE,4,0)="","(بدون نام)",VLOOKUP($C1161,AcctTblE,4,0)),"کد ناشناخته"))</f>
        <v/>
      </c>
      <c r="E1161" s="15" t="n"/>
      <c r="F1161" s="14">
        <f>IF($B1161="","",IFERROR(INDEX(WageDates,MATCH($B1161,WageIds,0)),"—"))</f>
        <v/>
      </c>
      <c r="G1161" s="14">
        <f>IF($B1161="","",IFERROR(VLOOKUP(INDEX(WageParty,MATCH($B1161,WageIds,0)),WGTbl,2,0),"—"))</f>
        <v/>
      </c>
      <c r="H1161" s="12" t="n"/>
    </row>
    <row r="1162">
      <c r="A1162" s="19">
        <f>IF($B1162="","",COUNTA($B$9:$B1162))</f>
        <v/>
      </c>
      <c r="B1162" s="12" t="n"/>
      <c r="C1162" s="13" t="n"/>
      <c r="D1162" s="20">
        <f>IF($C1162="","",IFERROR(IF(VLOOKUP($C1162,AcctTblE,4,0)="","(بدون نام)",VLOOKUP($C1162,AcctTblE,4,0)),"کد ناشناخته"))</f>
        <v/>
      </c>
      <c r="E1162" s="15" t="n"/>
      <c r="F1162" s="20">
        <f>IF($B1162="","",IFERROR(INDEX(WageDates,MATCH($B1162,WageIds,0)),"—"))</f>
        <v/>
      </c>
      <c r="G1162" s="20">
        <f>IF($B1162="","",IFERROR(VLOOKUP(INDEX(WageParty,MATCH($B1162,WageIds,0)),WGTbl,2,0),"—"))</f>
        <v/>
      </c>
      <c r="H1162" s="12" t="n"/>
    </row>
    <row r="1163">
      <c r="A1163" s="10">
        <f>IF($B1163="","",COUNTA($B$9:$B1163))</f>
        <v/>
      </c>
      <c r="B1163" s="12" t="n"/>
      <c r="C1163" s="13" t="n"/>
      <c r="D1163" s="14">
        <f>IF($C1163="","",IFERROR(IF(VLOOKUP($C1163,AcctTblE,4,0)="","(بدون نام)",VLOOKUP($C1163,AcctTblE,4,0)),"کد ناشناخته"))</f>
        <v/>
      </c>
      <c r="E1163" s="15" t="n"/>
      <c r="F1163" s="14">
        <f>IF($B1163="","",IFERROR(INDEX(WageDates,MATCH($B1163,WageIds,0)),"—"))</f>
        <v/>
      </c>
      <c r="G1163" s="14">
        <f>IF($B1163="","",IFERROR(VLOOKUP(INDEX(WageParty,MATCH($B1163,WageIds,0)),WGTbl,2,0),"—"))</f>
        <v/>
      </c>
      <c r="H1163" s="12" t="n"/>
    </row>
    <row r="1164">
      <c r="A1164" s="19">
        <f>IF($B1164="","",COUNTA($B$9:$B1164))</f>
        <v/>
      </c>
      <c r="B1164" s="12" t="n"/>
      <c r="C1164" s="13" t="n"/>
      <c r="D1164" s="20">
        <f>IF($C1164="","",IFERROR(IF(VLOOKUP($C1164,AcctTblE,4,0)="","(بدون نام)",VLOOKUP($C1164,AcctTblE,4,0)),"کد ناشناخته"))</f>
        <v/>
      </c>
      <c r="E1164" s="15" t="n"/>
      <c r="F1164" s="20">
        <f>IF($B1164="","",IFERROR(INDEX(WageDates,MATCH($B1164,WageIds,0)),"—"))</f>
        <v/>
      </c>
      <c r="G1164" s="20">
        <f>IF($B1164="","",IFERROR(VLOOKUP(INDEX(WageParty,MATCH($B1164,WageIds,0)),WGTbl,2,0),"—"))</f>
        <v/>
      </c>
      <c r="H1164" s="12" t="n"/>
    </row>
    <row r="1165">
      <c r="A1165" s="10">
        <f>IF($B1165="","",COUNTA($B$9:$B1165))</f>
        <v/>
      </c>
      <c r="B1165" s="12" t="n"/>
      <c r="C1165" s="13" t="n"/>
      <c r="D1165" s="14">
        <f>IF($C1165="","",IFERROR(IF(VLOOKUP($C1165,AcctTblE,4,0)="","(بدون نام)",VLOOKUP($C1165,AcctTblE,4,0)),"کد ناشناخته"))</f>
        <v/>
      </c>
      <c r="E1165" s="15" t="n"/>
      <c r="F1165" s="14">
        <f>IF($B1165="","",IFERROR(INDEX(WageDates,MATCH($B1165,WageIds,0)),"—"))</f>
        <v/>
      </c>
      <c r="G1165" s="14">
        <f>IF($B1165="","",IFERROR(VLOOKUP(INDEX(WageParty,MATCH($B1165,WageIds,0)),WGTbl,2,0),"—"))</f>
        <v/>
      </c>
      <c r="H1165" s="12" t="n"/>
    </row>
    <row r="1166">
      <c r="A1166" s="19">
        <f>IF($B1166="","",COUNTA($B$9:$B1166))</f>
        <v/>
      </c>
      <c r="B1166" s="12" t="n"/>
      <c r="C1166" s="13" t="n"/>
      <c r="D1166" s="20">
        <f>IF($C1166="","",IFERROR(IF(VLOOKUP($C1166,AcctTblE,4,0)="","(بدون نام)",VLOOKUP($C1166,AcctTblE,4,0)),"کد ناشناخته"))</f>
        <v/>
      </c>
      <c r="E1166" s="15" t="n"/>
      <c r="F1166" s="20">
        <f>IF($B1166="","",IFERROR(INDEX(WageDates,MATCH($B1166,WageIds,0)),"—"))</f>
        <v/>
      </c>
      <c r="G1166" s="20">
        <f>IF($B1166="","",IFERROR(VLOOKUP(INDEX(WageParty,MATCH($B1166,WageIds,0)),WGTbl,2,0),"—"))</f>
        <v/>
      </c>
      <c r="H1166" s="12" t="n"/>
    </row>
    <row r="1167">
      <c r="A1167" s="10">
        <f>IF($B1167="","",COUNTA($B$9:$B1167))</f>
        <v/>
      </c>
      <c r="B1167" s="12" t="n"/>
      <c r="C1167" s="13" t="n"/>
      <c r="D1167" s="14">
        <f>IF($C1167="","",IFERROR(IF(VLOOKUP($C1167,AcctTblE,4,0)="","(بدون نام)",VLOOKUP($C1167,AcctTblE,4,0)),"کد ناشناخته"))</f>
        <v/>
      </c>
      <c r="E1167" s="15" t="n"/>
      <c r="F1167" s="14">
        <f>IF($B1167="","",IFERROR(INDEX(WageDates,MATCH($B1167,WageIds,0)),"—"))</f>
        <v/>
      </c>
      <c r="G1167" s="14">
        <f>IF($B1167="","",IFERROR(VLOOKUP(INDEX(WageParty,MATCH($B1167,WageIds,0)),WGTbl,2,0),"—"))</f>
        <v/>
      </c>
      <c r="H1167" s="12" t="n"/>
    </row>
    <row r="1168">
      <c r="A1168" s="19">
        <f>IF($B1168="","",COUNTA($B$9:$B1168))</f>
        <v/>
      </c>
      <c r="B1168" s="12" t="n"/>
      <c r="C1168" s="13" t="n"/>
      <c r="D1168" s="20">
        <f>IF($C1168="","",IFERROR(IF(VLOOKUP($C1168,AcctTblE,4,0)="","(بدون نام)",VLOOKUP($C1168,AcctTblE,4,0)),"کد ناشناخته"))</f>
        <v/>
      </c>
      <c r="E1168" s="15" t="n"/>
      <c r="F1168" s="20">
        <f>IF($B1168="","",IFERROR(INDEX(WageDates,MATCH($B1168,WageIds,0)),"—"))</f>
        <v/>
      </c>
      <c r="G1168" s="20">
        <f>IF($B1168="","",IFERROR(VLOOKUP(INDEX(WageParty,MATCH($B1168,WageIds,0)),WGTbl,2,0),"—"))</f>
        <v/>
      </c>
      <c r="H1168" s="12" t="n"/>
    </row>
    <row r="1169">
      <c r="A1169" s="10">
        <f>IF($B1169="","",COUNTA($B$9:$B1169))</f>
        <v/>
      </c>
      <c r="B1169" s="12" t="n"/>
      <c r="C1169" s="13" t="n"/>
      <c r="D1169" s="14">
        <f>IF($C1169="","",IFERROR(IF(VLOOKUP($C1169,AcctTblE,4,0)="","(بدون نام)",VLOOKUP($C1169,AcctTblE,4,0)),"کد ناشناخته"))</f>
        <v/>
      </c>
      <c r="E1169" s="15" t="n"/>
      <c r="F1169" s="14">
        <f>IF($B1169="","",IFERROR(INDEX(WageDates,MATCH($B1169,WageIds,0)),"—"))</f>
        <v/>
      </c>
      <c r="G1169" s="14">
        <f>IF($B1169="","",IFERROR(VLOOKUP(INDEX(WageParty,MATCH($B1169,WageIds,0)),WGTbl,2,0),"—"))</f>
        <v/>
      </c>
      <c r="H1169" s="12" t="n"/>
    </row>
    <row r="1170">
      <c r="A1170" s="19">
        <f>IF($B1170="","",COUNTA($B$9:$B1170))</f>
        <v/>
      </c>
      <c r="B1170" s="12" t="n"/>
      <c r="C1170" s="13" t="n"/>
      <c r="D1170" s="20">
        <f>IF($C1170="","",IFERROR(IF(VLOOKUP($C1170,AcctTblE,4,0)="","(بدون نام)",VLOOKUP($C1170,AcctTblE,4,0)),"کد ناشناخته"))</f>
        <v/>
      </c>
      <c r="E1170" s="15" t="n"/>
      <c r="F1170" s="20">
        <f>IF($B1170="","",IFERROR(INDEX(WageDates,MATCH($B1170,WageIds,0)),"—"))</f>
        <v/>
      </c>
      <c r="G1170" s="20">
        <f>IF($B1170="","",IFERROR(VLOOKUP(INDEX(WageParty,MATCH($B1170,WageIds,0)),WGTbl,2,0),"—"))</f>
        <v/>
      </c>
      <c r="H1170" s="12" t="n"/>
    </row>
    <row r="1171">
      <c r="A1171" s="10">
        <f>IF($B1171="","",COUNTA($B$9:$B1171))</f>
        <v/>
      </c>
      <c r="B1171" s="12" t="n"/>
      <c r="C1171" s="13" t="n"/>
      <c r="D1171" s="14">
        <f>IF($C1171="","",IFERROR(IF(VLOOKUP($C1171,AcctTblE,4,0)="","(بدون نام)",VLOOKUP($C1171,AcctTblE,4,0)),"کد ناشناخته"))</f>
        <v/>
      </c>
      <c r="E1171" s="15" t="n"/>
      <c r="F1171" s="14">
        <f>IF($B1171="","",IFERROR(INDEX(WageDates,MATCH($B1171,WageIds,0)),"—"))</f>
        <v/>
      </c>
      <c r="G1171" s="14">
        <f>IF($B1171="","",IFERROR(VLOOKUP(INDEX(WageParty,MATCH($B1171,WageIds,0)),WGTbl,2,0),"—"))</f>
        <v/>
      </c>
      <c r="H1171" s="12" t="n"/>
    </row>
    <row r="1172">
      <c r="A1172" s="19">
        <f>IF($B1172="","",COUNTA($B$9:$B1172))</f>
        <v/>
      </c>
      <c r="B1172" s="12" t="n"/>
      <c r="C1172" s="13" t="n"/>
      <c r="D1172" s="20">
        <f>IF($C1172="","",IFERROR(IF(VLOOKUP($C1172,AcctTblE,4,0)="","(بدون نام)",VLOOKUP($C1172,AcctTblE,4,0)),"کد ناشناخته"))</f>
        <v/>
      </c>
      <c r="E1172" s="15" t="n"/>
      <c r="F1172" s="20">
        <f>IF($B1172="","",IFERROR(INDEX(WageDates,MATCH($B1172,WageIds,0)),"—"))</f>
        <v/>
      </c>
      <c r="G1172" s="20">
        <f>IF($B1172="","",IFERROR(VLOOKUP(INDEX(WageParty,MATCH($B1172,WageIds,0)),WGTbl,2,0),"—"))</f>
        <v/>
      </c>
      <c r="H1172" s="12" t="n"/>
    </row>
    <row r="1173">
      <c r="A1173" s="10">
        <f>IF($B1173="","",COUNTA($B$9:$B1173))</f>
        <v/>
      </c>
      <c r="B1173" s="12" t="n"/>
      <c r="C1173" s="13" t="n"/>
      <c r="D1173" s="14">
        <f>IF($C1173="","",IFERROR(IF(VLOOKUP($C1173,AcctTblE,4,0)="","(بدون نام)",VLOOKUP($C1173,AcctTblE,4,0)),"کد ناشناخته"))</f>
        <v/>
      </c>
      <c r="E1173" s="15" t="n"/>
      <c r="F1173" s="14">
        <f>IF($B1173="","",IFERROR(INDEX(WageDates,MATCH($B1173,WageIds,0)),"—"))</f>
        <v/>
      </c>
      <c r="G1173" s="14">
        <f>IF($B1173="","",IFERROR(VLOOKUP(INDEX(WageParty,MATCH($B1173,WageIds,0)),WGTbl,2,0),"—"))</f>
        <v/>
      </c>
      <c r="H1173" s="12" t="n"/>
    </row>
    <row r="1174">
      <c r="A1174" s="19">
        <f>IF($B1174="","",COUNTA($B$9:$B1174))</f>
        <v/>
      </c>
      <c r="B1174" s="12" t="n"/>
      <c r="C1174" s="13" t="n"/>
      <c r="D1174" s="20">
        <f>IF($C1174="","",IFERROR(IF(VLOOKUP($C1174,AcctTblE,4,0)="","(بدون نام)",VLOOKUP($C1174,AcctTblE,4,0)),"کد ناشناخته"))</f>
        <v/>
      </c>
      <c r="E1174" s="15" t="n"/>
      <c r="F1174" s="20">
        <f>IF($B1174="","",IFERROR(INDEX(WageDates,MATCH($B1174,WageIds,0)),"—"))</f>
        <v/>
      </c>
      <c r="G1174" s="20">
        <f>IF($B1174="","",IFERROR(VLOOKUP(INDEX(WageParty,MATCH($B1174,WageIds,0)),WGTbl,2,0),"—"))</f>
        <v/>
      </c>
      <c r="H1174" s="12" t="n"/>
    </row>
    <row r="1175">
      <c r="A1175" s="10">
        <f>IF($B1175="","",COUNTA($B$9:$B1175))</f>
        <v/>
      </c>
      <c r="B1175" s="12" t="n"/>
      <c r="C1175" s="13" t="n"/>
      <c r="D1175" s="14">
        <f>IF($C1175="","",IFERROR(IF(VLOOKUP($C1175,AcctTblE,4,0)="","(بدون نام)",VLOOKUP($C1175,AcctTblE,4,0)),"کد ناشناخته"))</f>
        <v/>
      </c>
      <c r="E1175" s="15" t="n"/>
      <c r="F1175" s="14">
        <f>IF($B1175="","",IFERROR(INDEX(WageDates,MATCH($B1175,WageIds,0)),"—"))</f>
        <v/>
      </c>
      <c r="G1175" s="14">
        <f>IF($B1175="","",IFERROR(VLOOKUP(INDEX(WageParty,MATCH($B1175,WageIds,0)),WGTbl,2,0),"—"))</f>
        <v/>
      </c>
      <c r="H1175" s="12" t="n"/>
    </row>
    <row r="1176">
      <c r="A1176" s="19">
        <f>IF($B1176="","",COUNTA($B$9:$B1176))</f>
        <v/>
      </c>
      <c r="B1176" s="12" t="n"/>
      <c r="C1176" s="13" t="n"/>
      <c r="D1176" s="20">
        <f>IF($C1176="","",IFERROR(IF(VLOOKUP($C1176,AcctTblE,4,0)="","(بدون نام)",VLOOKUP($C1176,AcctTblE,4,0)),"کد ناشناخته"))</f>
        <v/>
      </c>
      <c r="E1176" s="15" t="n"/>
      <c r="F1176" s="20">
        <f>IF($B1176="","",IFERROR(INDEX(WageDates,MATCH($B1176,WageIds,0)),"—"))</f>
        <v/>
      </c>
      <c r="G1176" s="20">
        <f>IF($B1176="","",IFERROR(VLOOKUP(INDEX(WageParty,MATCH($B1176,WageIds,0)),WGTbl,2,0),"—"))</f>
        <v/>
      </c>
      <c r="H1176" s="12" t="n"/>
    </row>
    <row r="1177">
      <c r="A1177" s="10">
        <f>IF($B1177="","",COUNTA($B$9:$B1177))</f>
        <v/>
      </c>
      <c r="B1177" s="12" t="n"/>
      <c r="C1177" s="13" t="n"/>
      <c r="D1177" s="14">
        <f>IF($C1177="","",IFERROR(IF(VLOOKUP($C1177,AcctTblE,4,0)="","(بدون نام)",VLOOKUP($C1177,AcctTblE,4,0)),"کد ناشناخته"))</f>
        <v/>
      </c>
      <c r="E1177" s="15" t="n"/>
      <c r="F1177" s="14">
        <f>IF($B1177="","",IFERROR(INDEX(WageDates,MATCH($B1177,WageIds,0)),"—"))</f>
        <v/>
      </c>
      <c r="G1177" s="14">
        <f>IF($B1177="","",IFERROR(VLOOKUP(INDEX(WageParty,MATCH($B1177,WageIds,0)),WGTbl,2,0),"—"))</f>
        <v/>
      </c>
      <c r="H1177" s="12" t="n"/>
    </row>
    <row r="1178">
      <c r="A1178" s="19">
        <f>IF($B1178="","",COUNTA($B$9:$B1178))</f>
        <v/>
      </c>
      <c r="B1178" s="12" t="n"/>
      <c r="C1178" s="13" t="n"/>
      <c r="D1178" s="20">
        <f>IF($C1178="","",IFERROR(IF(VLOOKUP($C1178,AcctTblE,4,0)="","(بدون نام)",VLOOKUP($C1178,AcctTblE,4,0)),"کد ناشناخته"))</f>
        <v/>
      </c>
      <c r="E1178" s="15" t="n"/>
      <c r="F1178" s="20">
        <f>IF($B1178="","",IFERROR(INDEX(WageDates,MATCH($B1178,WageIds,0)),"—"))</f>
        <v/>
      </c>
      <c r="G1178" s="20">
        <f>IF($B1178="","",IFERROR(VLOOKUP(INDEX(WageParty,MATCH($B1178,WageIds,0)),WGTbl,2,0),"—"))</f>
        <v/>
      </c>
      <c r="H1178" s="12" t="n"/>
    </row>
    <row r="1179">
      <c r="A1179" s="10">
        <f>IF($B1179="","",COUNTA($B$9:$B1179))</f>
        <v/>
      </c>
      <c r="B1179" s="12" t="n"/>
      <c r="C1179" s="13" t="n"/>
      <c r="D1179" s="14">
        <f>IF($C1179="","",IFERROR(IF(VLOOKUP($C1179,AcctTblE,4,0)="","(بدون نام)",VLOOKUP($C1179,AcctTblE,4,0)),"کد ناشناخته"))</f>
        <v/>
      </c>
      <c r="E1179" s="15" t="n"/>
      <c r="F1179" s="14">
        <f>IF($B1179="","",IFERROR(INDEX(WageDates,MATCH($B1179,WageIds,0)),"—"))</f>
        <v/>
      </c>
      <c r="G1179" s="14">
        <f>IF($B1179="","",IFERROR(VLOOKUP(INDEX(WageParty,MATCH($B1179,WageIds,0)),WGTbl,2,0),"—"))</f>
        <v/>
      </c>
      <c r="H1179" s="12" t="n"/>
    </row>
    <row r="1180">
      <c r="A1180" s="19">
        <f>IF($B1180="","",COUNTA($B$9:$B1180))</f>
        <v/>
      </c>
      <c r="B1180" s="12" t="n"/>
      <c r="C1180" s="13" t="n"/>
      <c r="D1180" s="20">
        <f>IF($C1180="","",IFERROR(IF(VLOOKUP($C1180,AcctTblE,4,0)="","(بدون نام)",VLOOKUP($C1180,AcctTblE,4,0)),"کد ناشناخته"))</f>
        <v/>
      </c>
      <c r="E1180" s="15" t="n"/>
      <c r="F1180" s="20">
        <f>IF($B1180="","",IFERROR(INDEX(WageDates,MATCH($B1180,WageIds,0)),"—"))</f>
        <v/>
      </c>
      <c r="G1180" s="20">
        <f>IF($B1180="","",IFERROR(VLOOKUP(INDEX(WageParty,MATCH($B1180,WageIds,0)),WGTbl,2,0),"—"))</f>
        <v/>
      </c>
      <c r="H1180" s="12" t="n"/>
    </row>
    <row r="1181">
      <c r="A1181" s="10">
        <f>IF($B1181="","",COUNTA($B$9:$B1181))</f>
        <v/>
      </c>
      <c r="B1181" s="12" t="n"/>
      <c r="C1181" s="13" t="n"/>
      <c r="D1181" s="14">
        <f>IF($C1181="","",IFERROR(IF(VLOOKUP($C1181,AcctTblE,4,0)="","(بدون نام)",VLOOKUP($C1181,AcctTblE,4,0)),"کد ناشناخته"))</f>
        <v/>
      </c>
      <c r="E1181" s="15" t="n"/>
      <c r="F1181" s="14">
        <f>IF($B1181="","",IFERROR(INDEX(WageDates,MATCH($B1181,WageIds,0)),"—"))</f>
        <v/>
      </c>
      <c r="G1181" s="14">
        <f>IF($B1181="","",IFERROR(VLOOKUP(INDEX(WageParty,MATCH($B1181,WageIds,0)),WGTbl,2,0),"—"))</f>
        <v/>
      </c>
      <c r="H1181" s="12" t="n"/>
    </row>
    <row r="1182">
      <c r="A1182" s="19">
        <f>IF($B1182="","",COUNTA($B$9:$B1182))</f>
        <v/>
      </c>
      <c r="B1182" s="12" t="n"/>
      <c r="C1182" s="13" t="n"/>
      <c r="D1182" s="20">
        <f>IF($C1182="","",IFERROR(IF(VLOOKUP($C1182,AcctTblE,4,0)="","(بدون نام)",VLOOKUP($C1182,AcctTblE,4,0)),"کد ناشناخته"))</f>
        <v/>
      </c>
      <c r="E1182" s="15" t="n"/>
      <c r="F1182" s="20">
        <f>IF($B1182="","",IFERROR(INDEX(WageDates,MATCH($B1182,WageIds,0)),"—"))</f>
        <v/>
      </c>
      <c r="G1182" s="20">
        <f>IF($B1182="","",IFERROR(VLOOKUP(INDEX(WageParty,MATCH($B1182,WageIds,0)),WGTbl,2,0),"—"))</f>
        <v/>
      </c>
      <c r="H1182" s="12" t="n"/>
    </row>
    <row r="1183">
      <c r="A1183" s="10">
        <f>IF($B1183="","",COUNTA($B$9:$B1183))</f>
        <v/>
      </c>
      <c r="B1183" s="12" t="n"/>
      <c r="C1183" s="13" t="n"/>
      <c r="D1183" s="14">
        <f>IF($C1183="","",IFERROR(IF(VLOOKUP($C1183,AcctTblE,4,0)="","(بدون نام)",VLOOKUP($C1183,AcctTblE,4,0)),"کد ناشناخته"))</f>
        <v/>
      </c>
      <c r="E1183" s="15" t="n"/>
      <c r="F1183" s="14">
        <f>IF($B1183="","",IFERROR(INDEX(WageDates,MATCH($B1183,WageIds,0)),"—"))</f>
        <v/>
      </c>
      <c r="G1183" s="14">
        <f>IF($B1183="","",IFERROR(VLOOKUP(INDEX(WageParty,MATCH($B1183,WageIds,0)),WGTbl,2,0),"—"))</f>
        <v/>
      </c>
      <c r="H1183" s="12" t="n"/>
    </row>
    <row r="1184">
      <c r="A1184" s="19">
        <f>IF($B1184="","",COUNTA($B$9:$B1184))</f>
        <v/>
      </c>
      <c r="B1184" s="12" t="n"/>
      <c r="C1184" s="13" t="n"/>
      <c r="D1184" s="20">
        <f>IF($C1184="","",IFERROR(IF(VLOOKUP($C1184,AcctTblE,4,0)="","(بدون نام)",VLOOKUP($C1184,AcctTblE,4,0)),"کد ناشناخته"))</f>
        <v/>
      </c>
      <c r="E1184" s="15" t="n"/>
      <c r="F1184" s="20">
        <f>IF($B1184="","",IFERROR(INDEX(WageDates,MATCH($B1184,WageIds,0)),"—"))</f>
        <v/>
      </c>
      <c r="G1184" s="20">
        <f>IF($B1184="","",IFERROR(VLOOKUP(INDEX(WageParty,MATCH($B1184,WageIds,0)),WGTbl,2,0),"—"))</f>
        <v/>
      </c>
      <c r="H1184" s="12" t="n"/>
    </row>
    <row r="1185">
      <c r="A1185" s="10">
        <f>IF($B1185="","",COUNTA($B$9:$B1185))</f>
        <v/>
      </c>
      <c r="B1185" s="12" t="n"/>
      <c r="C1185" s="13" t="n"/>
      <c r="D1185" s="14">
        <f>IF($C1185="","",IFERROR(IF(VLOOKUP($C1185,AcctTblE,4,0)="","(بدون نام)",VLOOKUP($C1185,AcctTblE,4,0)),"کد ناشناخته"))</f>
        <v/>
      </c>
      <c r="E1185" s="15" t="n"/>
      <c r="F1185" s="14">
        <f>IF($B1185="","",IFERROR(INDEX(WageDates,MATCH($B1185,WageIds,0)),"—"))</f>
        <v/>
      </c>
      <c r="G1185" s="14">
        <f>IF($B1185="","",IFERROR(VLOOKUP(INDEX(WageParty,MATCH($B1185,WageIds,0)),WGTbl,2,0),"—"))</f>
        <v/>
      </c>
      <c r="H1185" s="12" t="n"/>
    </row>
    <row r="1186">
      <c r="A1186" s="19">
        <f>IF($B1186="","",COUNTA($B$9:$B1186))</f>
        <v/>
      </c>
      <c r="B1186" s="12" t="n"/>
      <c r="C1186" s="13" t="n"/>
      <c r="D1186" s="20">
        <f>IF($C1186="","",IFERROR(IF(VLOOKUP($C1186,AcctTblE,4,0)="","(بدون نام)",VLOOKUP($C1186,AcctTblE,4,0)),"کد ناشناخته"))</f>
        <v/>
      </c>
      <c r="E1186" s="15" t="n"/>
      <c r="F1186" s="20">
        <f>IF($B1186="","",IFERROR(INDEX(WageDates,MATCH($B1186,WageIds,0)),"—"))</f>
        <v/>
      </c>
      <c r="G1186" s="20">
        <f>IF($B1186="","",IFERROR(VLOOKUP(INDEX(WageParty,MATCH($B1186,WageIds,0)),WGTbl,2,0),"—"))</f>
        <v/>
      </c>
      <c r="H1186" s="12" t="n"/>
    </row>
    <row r="1187">
      <c r="A1187" s="10">
        <f>IF($B1187="","",COUNTA($B$9:$B1187))</f>
        <v/>
      </c>
      <c r="B1187" s="12" t="n"/>
      <c r="C1187" s="13" t="n"/>
      <c r="D1187" s="14">
        <f>IF($C1187="","",IFERROR(IF(VLOOKUP($C1187,AcctTblE,4,0)="","(بدون نام)",VLOOKUP($C1187,AcctTblE,4,0)),"کد ناشناخته"))</f>
        <v/>
      </c>
      <c r="E1187" s="15" t="n"/>
      <c r="F1187" s="14">
        <f>IF($B1187="","",IFERROR(INDEX(WageDates,MATCH($B1187,WageIds,0)),"—"))</f>
        <v/>
      </c>
      <c r="G1187" s="14">
        <f>IF($B1187="","",IFERROR(VLOOKUP(INDEX(WageParty,MATCH($B1187,WageIds,0)),WGTbl,2,0),"—"))</f>
        <v/>
      </c>
      <c r="H1187" s="12" t="n"/>
    </row>
    <row r="1188">
      <c r="A1188" s="19">
        <f>IF($B1188="","",COUNTA($B$9:$B1188))</f>
        <v/>
      </c>
      <c r="B1188" s="12" t="n"/>
      <c r="C1188" s="13" t="n"/>
      <c r="D1188" s="20">
        <f>IF($C1188="","",IFERROR(IF(VLOOKUP($C1188,AcctTblE,4,0)="","(بدون نام)",VLOOKUP($C1188,AcctTblE,4,0)),"کد ناشناخته"))</f>
        <v/>
      </c>
      <c r="E1188" s="15" t="n"/>
      <c r="F1188" s="20">
        <f>IF($B1188="","",IFERROR(INDEX(WageDates,MATCH($B1188,WageIds,0)),"—"))</f>
        <v/>
      </c>
      <c r="G1188" s="20">
        <f>IF($B1188="","",IFERROR(VLOOKUP(INDEX(WageParty,MATCH($B1188,WageIds,0)),WGTbl,2,0),"—"))</f>
        <v/>
      </c>
      <c r="H1188" s="12" t="n"/>
    </row>
    <row r="1189">
      <c r="A1189" s="10">
        <f>IF($B1189="","",COUNTA($B$9:$B1189))</f>
        <v/>
      </c>
      <c r="B1189" s="12" t="n"/>
      <c r="C1189" s="13" t="n"/>
      <c r="D1189" s="14">
        <f>IF($C1189="","",IFERROR(IF(VLOOKUP($C1189,AcctTblE,4,0)="","(بدون نام)",VLOOKUP($C1189,AcctTblE,4,0)),"کد ناشناخته"))</f>
        <v/>
      </c>
      <c r="E1189" s="15" t="n"/>
      <c r="F1189" s="14">
        <f>IF($B1189="","",IFERROR(INDEX(WageDates,MATCH($B1189,WageIds,0)),"—"))</f>
        <v/>
      </c>
      <c r="G1189" s="14">
        <f>IF($B1189="","",IFERROR(VLOOKUP(INDEX(WageParty,MATCH($B1189,WageIds,0)),WGTbl,2,0),"—"))</f>
        <v/>
      </c>
      <c r="H1189" s="12" t="n"/>
    </row>
    <row r="1190">
      <c r="A1190" s="19">
        <f>IF($B1190="","",COUNTA($B$9:$B1190))</f>
        <v/>
      </c>
      <c r="B1190" s="12" t="n"/>
      <c r="C1190" s="13" t="n"/>
      <c r="D1190" s="20">
        <f>IF($C1190="","",IFERROR(IF(VLOOKUP($C1190,AcctTblE,4,0)="","(بدون نام)",VLOOKUP($C1190,AcctTblE,4,0)),"کد ناشناخته"))</f>
        <v/>
      </c>
      <c r="E1190" s="15" t="n"/>
      <c r="F1190" s="20">
        <f>IF($B1190="","",IFERROR(INDEX(WageDates,MATCH($B1190,WageIds,0)),"—"))</f>
        <v/>
      </c>
      <c r="G1190" s="20">
        <f>IF($B1190="","",IFERROR(VLOOKUP(INDEX(WageParty,MATCH($B1190,WageIds,0)),WGTbl,2,0),"—"))</f>
        <v/>
      </c>
      <c r="H1190" s="12" t="n"/>
    </row>
    <row r="1191">
      <c r="A1191" s="10">
        <f>IF($B1191="","",COUNTA($B$9:$B1191))</f>
        <v/>
      </c>
      <c r="B1191" s="12" t="n"/>
      <c r="C1191" s="13" t="n"/>
      <c r="D1191" s="14">
        <f>IF($C1191="","",IFERROR(IF(VLOOKUP($C1191,AcctTblE,4,0)="","(بدون نام)",VLOOKUP($C1191,AcctTblE,4,0)),"کد ناشناخته"))</f>
        <v/>
      </c>
      <c r="E1191" s="15" t="n"/>
      <c r="F1191" s="14">
        <f>IF($B1191="","",IFERROR(INDEX(WageDates,MATCH($B1191,WageIds,0)),"—"))</f>
        <v/>
      </c>
      <c r="G1191" s="14">
        <f>IF($B1191="","",IFERROR(VLOOKUP(INDEX(WageParty,MATCH($B1191,WageIds,0)),WGTbl,2,0),"—"))</f>
        <v/>
      </c>
      <c r="H1191" s="12" t="n"/>
    </row>
    <row r="1192">
      <c r="A1192" s="19">
        <f>IF($B1192="","",COUNTA($B$9:$B1192))</f>
        <v/>
      </c>
      <c r="B1192" s="12" t="n"/>
      <c r="C1192" s="13" t="n"/>
      <c r="D1192" s="20">
        <f>IF($C1192="","",IFERROR(IF(VLOOKUP($C1192,AcctTblE,4,0)="","(بدون نام)",VLOOKUP($C1192,AcctTblE,4,0)),"کد ناشناخته"))</f>
        <v/>
      </c>
      <c r="E1192" s="15" t="n"/>
      <c r="F1192" s="20">
        <f>IF($B1192="","",IFERROR(INDEX(WageDates,MATCH($B1192,WageIds,0)),"—"))</f>
        <v/>
      </c>
      <c r="G1192" s="20">
        <f>IF($B1192="","",IFERROR(VLOOKUP(INDEX(WageParty,MATCH($B1192,WageIds,0)),WGTbl,2,0),"—"))</f>
        <v/>
      </c>
      <c r="H1192" s="12" t="n"/>
    </row>
    <row r="1193">
      <c r="A1193" s="10">
        <f>IF($B1193="","",COUNTA($B$9:$B1193))</f>
        <v/>
      </c>
      <c r="B1193" s="12" t="n"/>
      <c r="C1193" s="13" t="n"/>
      <c r="D1193" s="14">
        <f>IF($C1193="","",IFERROR(IF(VLOOKUP($C1193,AcctTblE,4,0)="","(بدون نام)",VLOOKUP($C1193,AcctTblE,4,0)),"کد ناشناخته"))</f>
        <v/>
      </c>
      <c r="E1193" s="15" t="n"/>
      <c r="F1193" s="14">
        <f>IF($B1193="","",IFERROR(INDEX(WageDates,MATCH($B1193,WageIds,0)),"—"))</f>
        <v/>
      </c>
      <c r="G1193" s="14">
        <f>IF($B1193="","",IFERROR(VLOOKUP(INDEX(WageParty,MATCH($B1193,WageIds,0)),WGTbl,2,0),"—"))</f>
        <v/>
      </c>
      <c r="H1193" s="12" t="n"/>
    </row>
    <row r="1194">
      <c r="A1194" s="19">
        <f>IF($B1194="","",COUNTA($B$9:$B1194))</f>
        <v/>
      </c>
      <c r="B1194" s="12" t="n"/>
      <c r="C1194" s="13" t="n"/>
      <c r="D1194" s="20">
        <f>IF($C1194="","",IFERROR(IF(VLOOKUP($C1194,AcctTblE,4,0)="","(بدون نام)",VLOOKUP($C1194,AcctTblE,4,0)),"کد ناشناخته"))</f>
        <v/>
      </c>
      <c r="E1194" s="15" t="n"/>
      <c r="F1194" s="20">
        <f>IF($B1194="","",IFERROR(INDEX(WageDates,MATCH($B1194,WageIds,0)),"—"))</f>
        <v/>
      </c>
      <c r="G1194" s="20">
        <f>IF($B1194="","",IFERROR(VLOOKUP(INDEX(WageParty,MATCH($B1194,WageIds,0)),WGTbl,2,0),"—"))</f>
        <v/>
      </c>
      <c r="H1194" s="12" t="n"/>
    </row>
    <row r="1195">
      <c r="A1195" s="10">
        <f>IF($B1195="","",COUNTA($B$9:$B1195))</f>
        <v/>
      </c>
      <c r="B1195" s="12" t="n"/>
      <c r="C1195" s="13" t="n"/>
      <c r="D1195" s="14">
        <f>IF($C1195="","",IFERROR(IF(VLOOKUP($C1195,AcctTblE,4,0)="","(بدون نام)",VLOOKUP($C1195,AcctTblE,4,0)),"کد ناشناخته"))</f>
        <v/>
      </c>
      <c r="E1195" s="15" t="n"/>
      <c r="F1195" s="14">
        <f>IF($B1195="","",IFERROR(INDEX(WageDates,MATCH($B1195,WageIds,0)),"—"))</f>
        <v/>
      </c>
      <c r="G1195" s="14">
        <f>IF($B1195="","",IFERROR(VLOOKUP(INDEX(WageParty,MATCH($B1195,WageIds,0)),WGTbl,2,0),"—"))</f>
        <v/>
      </c>
      <c r="H1195" s="12" t="n"/>
    </row>
    <row r="1196">
      <c r="A1196" s="19">
        <f>IF($B1196="","",COUNTA($B$9:$B1196))</f>
        <v/>
      </c>
      <c r="B1196" s="12" t="n"/>
      <c r="C1196" s="13" t="n"/>
      <c r="D1196" s="20">
        <f>IF($C1196="","",IFERROR(IF(VLOOKUP($C1196,AcctTblE,4,0)="","(بدون نام)",VLOOKUP($C1196,AcctTblE,4,0)),"کد ناشناخته"))</f>
        <v/>
      </c>
      <c r="E1196" s="15" t="n"/>
      <c r="F1196" s="20">
        <f>IF($B1196="","",IFERROR(INDEX(WageDates,MATCH($B1196,WageIds,0)),"—"))</f>
        <v/>
      </c>
      <c r="G1196" s="20">
        <f>IF($B1196="","",IFERROR(VLOOKUP(INDEX(WageParty,MATCH($B1196,WageIds,0)),WGTbl,2,0),"—"))</f>
        <v/>
      </c>
      <c r="H1196" s="12" t="n"/>
    </row>
    <row r="1197">
      <c r="A1197" s="10">
        <f>IF($B1197="","",COUNTA($B$9:$B1197))</f>
        <v/>
      </c>
      <c r="B1197" s="12" t="n"/>
      <c r="C1197" s="13" t="n"/>
      <c r="D1197" s="14">
        <f>IF($C1197="","",IFERROR(IF(VLOOKUP($C1197,AcctTblE,4,0)="","(بدون نام)",VLOOKUP($C1197,AcctTblE,4,0)),"کد ناشناخته"))</f>
        <v/>
      </c>
      <c r="E1197" s="15" t="n"/>
      <c r="F1197" s="14">
        <f>IF($B1197="","",IFERROR(INDEX(WageDates,MATCH($B1197,WageIds,0)),"—"))</f>
        <v/>
      </c>
      <c r="G1197" s="14">
        <f>IF($B1197="","",IFERROR(VLOOKUP(INDEX(WageParty,MATCH($B1197,WageIds,0)),WGTbl,2,0),"—"))</f>
        <v/>
      </c>
      <c r="H1197" s="12" t="n"/>
    </row>
    <row r="1198">
      <c r="A1198" s="19">
        <f>IF($B1198="","",COUNTA($B$9:$B1198))</f>
        <v/>
      </c>
      <c r="B1198" s="12" t="n"/>
      <c r="C1198" s="13" t="n"/>
      <c r="D1198" s="20">
        <f>IF($C1198="","",IFERROR(IF(VLOOKUP($C1198,AcctTblE,4,0)="","(بدون نام)",VLOOKUP($C1198,AcctTblE,4,0)),"کد ناشناخته"))</f>
        <v/>
      </c>
      <c r="E1198" s="15" t="n"/>
      <c r="F1198" s="20">
        <f>IF($B1198="","",IFERROR(INDEX(WageDates,MATCH($B1198,WageIds,0)),"—"))</f>
        <v/>
      </c>
      <c r="G1198" s="20">
        <f>IF($B1198="","",IFERROR(VLOOKUP(INDEX(WageParty,MATCH($B1198,WageIds,0)),WGTbl,2,0),"—"))</f>
        <v/>
      </c>
      <c r="H1198" s="12" t="n"/>
    </row>
    <row r="1199">
      <c r="A1199" s="10">
        <f>IF($B1199="","",COUNTA($B$9:$B1199))</f>
        <v/>
      </c>
      <c r="B1199" s="12" t="n"/>
      <c r="C1199" s="13" t="n"/>
      <c r="D1199" s="14">
        <f>IF($C1199="","",IFERROR(IF(VLOOKUP($C1199,AcctTblE,4,0)="","(بدون نام)",VLOOKUP($C1199,AcctTblE,4,0)),"کد ناشناخته"))</f>
        <v/>
      </c>
      <c r="E1199" s="15" t="n"/>
      <c r="F1199" s="14">
        <f>IF($B1199="","",IFERROR(INDEX(WageDates,MATCH($B1199,WageIds,0)),"—"))</f>
        <v/>
      </c>
      <c r="G1199" s="14">
        <f>IF($B1199="","",IFERROR(VLOOKUP(INDEX(WageParty,MATCH($B1199,WageIds,0)),WGTbl,2,0),"—"))</f>
        <v/>
      </c>
      <c r="H1199" s="12" t="n"/>
    </row>
    <row r="1200">
      <c r="A1200" s="19">
        <f>IF($B1200="","",COUNTA($B$9:$B1200))</f>
        <v/>
      </c>
      <c r="B1200" s="12" t="n"/>
      <c r="C1200" s="13" t="n"/>
      <c r="D1200" s="20">
        <f>IF($C1200="","",IFERROR(IF(VLOOKUP($C1200,AcctTblE,4,0)="","(بدون نام)",VLOOKUP($C1200,AcctTblE,4,0)),"کد ناشناخته"))</f>
        <v/>
      </c>
      <c r="E1200" s="15" t="n"/>
      <c r="F1200" s="20">
        <f>IF($B1200="","",IFERROR(INDEX(WageDates,MATCH($B1200,WageIds,0)),"—"))</f>
        <v/>
      </c>
      <c r="G1200" s="20">
        <f>IF($B1200="","",IFERROR(VLOOKUP(INDEX(WageParty,MATCH($B1200,WageIds,0)),WGTbl,2,0),"—"))</f>
        <v/>
      </c>
      <c r="H1200" s="12" t="n"/>
    </row>
    <row r="1201">
      <c r="A1201" s="10">
        <f>IF($B1201="","",COUNTA($B$9:$B1201))</f>
        <v/>
      </c>
      <c r="B1201" s="12" t="n"/>
      <c r="C1201" s="13" t="n"/>
      <c r="D1201" s="14">
        <f>IF($C1201="","",IFERROR(IF(VLOOKUP($C1201,AcctTblE,4,0)="","(بدون نام)",VLOOKUP($C1201,AcctTblE,4,0)),"کد ناشناخته"))</f>
        <v/>
      </c>
      <c r="E1201" s="15" t="n"/>
      <c r="F1201" s="14">
        <f>IF($B1201="","",IFERROR(INDEX(WageDates,MATCH($B1201,WageIds,0)),"—"))</f>
        <v/>
      </c>
      <c r="G1201" s="14">
        <f>IF($B1201="","",IFERROR(VLOOKUP(INDEX(WageParty,MATCH($B1201,WageIds,0)),WGTbl,2,0),"—"))</f>
        <v/>
      </c>
      <c r="H1201" s="12" t="n"/>
    </row>
    <row r="1202">
      <c r="A1202" s="19">
        <f>IF($B1202="","",COUNTA($B$9:$B1202))</f>
        <v/>
      </c>
      <c r="B1202" s="12" t="n"/>
      <c r="C1202" s="13" t="n"/>
      <c r="D1202" s="20">
        <f>IF($C1202="","",IFERROR(IF(VLOOKUP($C1202,AcctTblE,4,0)="","(بدون نام)",VLOOKUP($C1202,AcctTblE,4,0)),"کد ناشناخته"))</f>
        <v/>
      </c>
      <c r="E1202" s="15" t="n"/>
      <c r="F1202" s="20">
        <f>IF($B1202="","",IFERROR(INDEX(WageDates,MATCH($B1202,WageIds,0)),"—"))</f>
        <v/>
      </c>
      <c r="G1202" s="20">
        <f>IF($B1202="","",IFERROR(VLOOKUP(INDEX(WageParty,MATCH($B1202,WageIds,0)),WGTbl,2,0),"—"))</f>
        <v/>
      </c>
      <c r="H1202" s="12" t="n"/>
    </row>
    <row r="1203">
      <c r="A1203" s="10">
        <f>IF($B1203="","",COUNTA($B$9:$B1203))</f>
        <v/>
      </c>
      <c r="B1203" s="12" t="n"/>
      <c r="C1203" s="13" t="n"/>
      <c r="D1203" s="14">
        <f>IF($C1203="","",IFERROR(IF(VLOOKUP($C1203,AcctTblE,4,0)="","(بدون نام)",VLOOKUP($C1203,AcctTblE,4,0)),"کد ناشناخته"))</f>
        <v/>
      </c>
      <c r="E1203" s="15" t="n"/>
      <c r="F1203" s="14">
        <f>IF($B1203="","",IFERROR(INDEX(WageDates,MATCH($B1203,WageIds,0)),"—"))</f>
        <v/>
      </c>
      <c r="G1203" s="14">
        <f>IF($B1203="","",IFERROR(VLOOKUP(INDEX(WageParty,MATCH($B1203,WageIds,0)),WGTbl,2,0),"—"))</f>
        <v/>
      </c>
      <c r="H1203" s="12" t="n"/>
    </row>
    <row r="1204">
      <c r="A1204" s="19">
        <f>IF($B1204="","",COUNTA($B$9:$B1204))</f>
        <v/>
      </c>
      <c r="B1204" s="12" t="n"/>
      <c r="C1204" s="13" t="n"/>
      <c r="D1204" s="20">
        <f>IF($C1204="","",IFERROR(IF(VLOOKUP($C1204,AcctTblE,4,0)="","(بدون نام)",VLOOKUP($C1204,AcctTblE,4,0)),"کد ناشناخته"))</f>
        <v/>
      </c>
      <c r="E1204" s="15" t="n"/>
      <c r="F1204" s="20">
        <f>IF($B1204="","",IFERROR(INDEX(WageDates,MATCH($B1204,WageIds,0)),"—"))</f>
        <v/>
      </c>
      <c r="G1204" s="20">
        <f>IF($B1204="","",IFERROR(VLOOKUP(INDEX(WageParty,MATCH($B1204,WageIds,0)),WGTbl,2,0),"—"))</f>
        <v/>
      </c>
      <c r="H1204" s="12" t="n"/>
    </row>
    <row r="1205">
      <c r="A1205" s="10">
        <f>IF($B1205="","",COUNTA($B$9:$B1205))</f>
        <v/>
      </c>
      <c r="B1205" s="12" t="n"/>
      <c r="C1205" s="13" t="n"/>
      <c r="D1205" s="14">
        <f>IF($C1205="","",IFERROR(IF(VLOOKUP($C1205,AcctTblE,4,0)="","(بدون نام)",VLOOKUP($C1205,AcctTblE,4,0)),"کد ناشناخته"))</f>
        <v/>
      </c>
      <c r="E1205" s="15" t="n"/>
      <c r="F1205" s="14">
        <f>IF($B1205="","",IFERROR(INDEX(WageDates,MATCH($B1205,WageIds,0)),"—"))</f>
        <v/>
      </c>
      <c r="G1205" s="14">
        <f>IF($B1205="","",IFERROR(VLOOKUP(INDEX(WageParty,MATCH($B1205,WageIds,0)),WGTbl,2,0),"—"))</f>
        <v/>
      </c>
      <c r="H1205" s="12" t="n"/>
    </row>
    <row r="1206">
      <c r="A1206" s="19">
        <f>IF($B1206="","",COUNTA($B$9:$B1206))</f>
        <v/>
      </c>
      <c r="B1206" s="12" t="n"/>
      <c r="C1206" s="13" t="n"/>
      <c r="D1206" s="20">
        <f>IF($C1206="","",IFERROR(IF(VLOOKUP($C1206,AcctTblE,4,0)="","(بدون نام)",VLOOKUP($C1206,AcctTblE,4,0)),"کد ناشناخته"))</f>
        <v/>
      </c>
      <c r="E1206" s="15" t="n"/>
      <c r="F1206" s="20">
        <f>IF($B1206="","",IFERROR(INDEX(WageDates,MATCH($B1206,WageIds,0)),"—"))</f>
        <v/>
      </c>
      <c r="G1206" s="20">
        <f>IF($B1206="","",IFERROR(VLOOKUP(INDEX(WageParty,MATCH($B1206,WageIds,0)),WGTbl,2,0),"—"))</f>
        <v/>
      </c>
      <c r="H1206" s="12" t="n"/>
    </row>
    <row r="1207">
      <c r="A1207" s="10">
        <f>IF($B1207="","",COUNTA($B$9:$B1207))</f>
        <v/>
      </c>
      <c r="B1207" s="12" t="n"/>
      <c r="C1207" s="13" t="n"/>
      <c r="D1207" s="14">
        <f>IF($C1207="","",IFERROR(IF(VLOOKUP($C1207,AcctTblE,4,0)="","(بدون نام)",VLOOKUP($C1207,AcctTblE,4,0)),"کد ناشناخته"))</f>
        <v/>
      </c>
      <c r="E1207" s="15" t="n"/>
      <c r="F1207" s="14">
        <f>IF($B1207="","",IFERROR(INDEX(WageDates,MATCH($B1207,WageIds,0)),"—"))</f>
        <v/>
      </c>
      <c r="G1207" s="14">
        <f>IF($B1207="","",IFERROR(VLOOKUP(INDEX(WageParty,MATCH($B1207,WageIds,0)),WGTbl,2,0),"—"))</f>
        <v/>
      </c>
      <c r="H1207" s="12" t="n"/>
    </row>
    <row r="1208">
      <c r="A1208" s="19">
        <f>IF($B1208="","",COUNTA($B$9:$B1208))</f>
        <v/>
      </c>
      <c r="B1208" s="12" t="n"/>
      <c r="C1208" s="13" t="n"/>
      <c r="D1208" s="20">
        <f>IF($C1208="","",IFERROR(IF(VLOOKUP($C1208,AcctTblE,4,0)="","(بدون نام)",VLOOKUP($C1208,AcctTblE,4,0)),"کد ناشناخته"))</f>
        <v/>
      </c>
      <c r="E1208" s="15" t="n"/>
      <c r="F1208" s="20">
        <f>IF($B1208="","",IFERROR(INDEX(WageDates,MATCH($B1208,WageIds,0)),"—"))</f>
        <v/>
      </c>
      <c r="G1208" s="20">
        <f>IF($B1208="","",IFERROR(VLOOKUP(INDEX(WageParty,MATCH($B1208,WageIds,0)),WGTbl,2,0),"—"))</f>
        <v/>
      </c>
      <c r="H1208" s="12" t="n"/>
    </row>
    <row r="1209">
      <c r="A1209" s="10">
        <f>IF($B1209="","",COUNTA($B$9:$B1209))</f>
        <v/>
      </c>
      <c r="B1209" s="12" t="n"/>
      <c r="C1209" s="13" t="n"/>
      <c r="D1209" s="14">
        <f>IF($C1209="","",IFERROR(IF(VLOOKUP($C1209,AcctTblE,4,0)="","(بدون نام)",VLOOKUP($C1209,AcctTblE,4,0)),"کد ناشناخته"))</f>
        <v/>
      </c>
      <c r="E1209" s="15" t="n"/>
      <c r="F1209" s="14">
        <f>IF($B1209="","",IFERROR(INDEX(WageDates,MATCH($B1209,WageIds,0)),"—"))</f>
        <v/>
      </c>
      <c r="G1209" s="14">
        <f>IF($B1209="","",IFERROR(VLOOKUP(INDEX(WageParty,MATCH($B1209,WageIds,0)),WGTbl,2,0),"—"))</f>
        <v/>
      </c>
      <c r="H1209" s="12" t="n"/>
    </row>
    <row r="1210">
      <c r="A1210" s="19">
        <f>IF($B1210="","",COUNTA($B$9:$B1210))</f>
        <v/>
      </c>
      <c r="B1210" s="12" t="n"/>
      <c r="C1210" s="13" t="n"/>
      <c r="D1210" s="20">
        <f>IF($C1210="","",IFERROR(IF(VLOOKUP($C1210,AcctTblE,4,0)="","(بدون نام)",VLOOKUP($C1210,AcctTblE,4,0)),"کد ناشناخته"))</f>
        <v/>
      </c>
      <c r="E1210" s="15" t="n"/>
      <c r="F1210" s="20">
        <f>IF($B1210="","",IFERROR(INDEX(WageDates,MATCH($B1210,WageIds,0)),"—"))</f>
        <v/>
      </c>
      <c r="G1210" s="20">
        <f>IF($B1210="","",IFERROR(VLOOKUP(INDEX(WageParty,MATCH($B1210,WageIds,0)),WGTbl,2,0),"—"))</f>
        <v/>
      </c>
      <c r="H1210" s="12" t="n"/>
    </row>
    <row r="1211">
      <c r="A1211" s="10">
        <f>IF($B1211="","",COUNTA($B$9:$B1211))</f>
        <v/>
      </c>
      <c r="B1211" s="12" t="n"/>
      <c r="C1211" s="13" t="n"/>
      <c r="D1211" s="14">
        <f>IF($C1211="","",IFERROR(IF(VLOOKUP($C1211,AcctTblE,4,0)="","(بدون نام)",VLOOKUP($C1211,AcctTblE,4,0)),"کد ناشناخته"))</f>
        <v/>
      </c>
      <c r="E1211" s="15" t="n"/>
      <c r="F1211" s="14">
        <f>IF($B1211="","",IFERROR(INDEX(WageDates,MATCH($B1211,WageIds,0)),"—"))</f>
        <v/>
      </c>
      <c r="G1211" s="14">
        <f>IF($B1211="","",IFERROR(VLOOKUP(INDEX(WageParty,MATCH($B1211,WageIds,0)),WGTbl,2,0),"—"))</f>
        <v/>
      </c>
      <c r="H1211" s="12" t="n"/>
    </row>
    <row r="1212">
      <c r="A1212" s="19">
        <f>IF($B1212="","",COUNTA($B$9:$B1212))</f>
        <v/>
      </c>
      <c r="B1212" s="12" t="n"/>
      <c r="C1212" s="13" t="n"/>
      <c r="D1212" s="20">
        <f>IF($C1212="","",IFERROR(IF(VLOOKUP($C1212,AcctTblE,4,0)="","(بدون نام)",VLOOKUP($C1212,AcctTblE,4,0)),"کد ناشناخته"))</f>
        <v/>
      </c>
      <c r="E1212" s="15" t="n"/>
      <c r="F1212" s="20">
        <f>IF($B1212="","",IFERROR(INDEX(WageDates,MATCH($B1212,WageIds,0)),"—"))</f>
        <v/>
      </c>
      <c r="G1212" s="20">
        <f>IF($B1212="","",IFERROR(VLOOKUP(INDEX(WageParty,MATCH($B1212,WageIds,0)),WGTbl,2,0),"—"))</f>
        <v/>
      </c>
      <c r="H1212" s="12" t="n"/>
    </row>
    <row r="1213">
      <c r="A1213" s="10">
        <f>IF($B1213="","",COUNTA($B$9:$B1213))</f>
        <v/>
      </c>
      <c r="B1213" s="12" t="n"/>
      <c r="C1213" s="13" t="n"/>
      <c r="D1213" s="14">
        <f>IF($C1213="","",IFERROR(IF(VLOOKUP($C1213,AcctTblE,4,0)="","(بدون نام)",VLOOKUP($C1213,AcctTblE,4,0)),"کد ناشناخته"))</f>
        <v/>
      </c>
      <c r="E1213" s="15" t="n"/>
      <c r="F1213" s="14">
        <f>IF($B1213="","",IFERROR(INDEX(WageDates,MATCH($B1213,WageIds,0)),"—"))</f>
        <v/>
      </c>
      <c r="G1213" s="14">
        <f>IF($B1213="","",IFERROR(VLOOKUP(INDEX(WageParty,MATCH($B1213,WageIds,0)),WGTbl,2,0),"—"))</f>
        <v/>
      </c>
      <c r="H1213" s="12" t="n"/>
    </row>
    <row r="1214">
      <c r="A1214" s="19">
        <f>IF($B1214="","",COUNTA($B$9:$B1214))</f>
        <v/>
      </c>
      <c r="B1214" s="12" t="n"/>
      <c r="C1214" s="13" t="n"/>
      <c r="D1214" s="20">
        <f>IF($C1214="","",IFERROR(IF(VLOOKUP($C1214,AcctTblE,4,0)="","(بدون نام)",VLOOKUP($C1214,AcctTblE,4,0)),"کد ناشناخته"))</f>
        <v/>
      </c>
      <c r="E1214" s="15" t="n"/>
      <c r="F1214" s="20">
        <f>IF($B1214="","",IFERROR(INDEX(WageDates,MATCH($B1214,WageIds,0)),"—"))</f>
        <v/>
      </c>
      <c r="G1214" s="20">
        <f>IF($B1214="","",IFERROR(VLOOKUP(INDEX(WageParty,MATCH($B1214,WageIds,0)),WGTbl,2,0),"—"))</f>
        <v/>
      </c>
      <c r="H1214" s="12" t="n"/>
    </row>
    <row r="1215">
      <c r="A1215" s="10">
        <f>IF($B1215="","",COUNTA($B$9:$B1215))</f>
        <v/>
      </c>
      <c r="B1215" s="12" t="n"/>
      <c r="C1215" s="13" t="n"/>
      <c r="D1215" s="14">
        <f>IF($C1215="","",IFERROR(IF(VLOOKUP($C1215,AcctTblE,4,0)="","(بدون نام)",VLOOKUP($C1215,AcctTblE,4,0)),"کد ناشناخته"))</f>
        <v/>
      </c>
      <c r="E1215" s="15" t="n"/>
      <c r="F1215" s="14">
        <f>IF($B1215="","",IFERROR(INDEX(WageDates,MATCH($B1215,WageIds,0)),"—"))</f>
        <v/>
      </c>
      <c r="G1215" s="14">
        <f>IF($B1215="","",IFERROR(VLOOKUP(INDEX(WageParty,MATCH($B1215,WageIds,0)),WGTbl,2,0),"—"))</f>
        <v/>
      </c>
      <c r="H1215" s="12" t="n"/>
    </row>
    <row r="1216">
      <c r="A1216" s="19">
        <f>IF($B1216="","",COUNTA($B$9:$B1216))</f>
        <v/>
      </c>
      <c r="B1216" s="12" t="n"/>
      <c r="C1216" s="13" t="n"/>
      <c r="D1216" s="20">
        <f>IF($C1216="","",IFERROR(IF(VLOOKUP($C1216,AcctTblE,4,0)="","(بدون نام)",VLOOKUP($C1216,AcctTblE,4,0)),"کد ناشناخته"))</f>
        <v/>
      </c>
      <c r="E1216" s="15" t="n"/>
      <c r="F1216" s="20">
        <f>IF($B1216="","",IFERROR(INDEX(WageDates,MATCH($B1216,WageIds,0)),"—"))</f>
        <v/>
      </c>
      <c r="G1216" s="20">
        <f>IF($B1216="","",IFERROR(VLOOKUP(INDEX(WageParty,MATCH($B1216,WageIds,0)),WGTbl,2,0),"—"))</f>
        <v/>
      </c>
      <c r="H1216" s="12" t="n"/>
    </row>
    <row r="1217">
      <c r="A1217" s="10">
        <f>IF($B1217="","",COUNTA($B$9:$B1217))</f>
        <v/>
      </c>
      <c r="B1217" s="12" t="n"/>
      <c r="C1217" s="13" t="n"/>
      <c r="D1217" s="14">
        <f>IF($C1217="","",IFERROR(IF(VLOOKUP($C1217,AcctTblE,4,0)="","(بدون نام)",VLOOKUP($C1217,AcctTblE,4,0)),"کد ناشناخته"))</f>
        <v/>
      </c>
      <c r="E1217" s="15" t="n"/>
      <c r="F1217" s="14">
        <f>IF($B1217="","",IFERROR(INDEX(WageDates,MATCH($B1217,WageIds,0)),"—"))</f>
        <v/>
      </c>
      <c r="G1217" s="14">
        <f>IF($B1217="","",IFERROR(VLOOKUP(INDEX(WageParty,MATCH($B1217,WageIds,0)),WGTbl,2,0),"—"))</f>
        <v/>
      </c>
      <c r="H1217" s="12" t="n"/>
    </row>
    <row r="1218">
      <c r="A1218" s="19">
        <f>IF($B1218="","",COUNTA($B$9:$B1218))</f>
        <v/>
      </c>
      <c r="B1218" s="12" t="n"/>
      <c r="C1218" s="13" t="n"/>
      <c r="D1218" s="20">
        <f>IF($C1218="","",IFERROR(IF(VLOOKUP($C1218,AcctTblE,4,0)="","(بدون نام)",VLOOKUP($C1218,AcctTblE,4,0)),"کد ناشناخته"))</f>
        <v/>
      </c>
      <c r="E1218" s="15" t="n"/>
      <c r="F1218" s="20">
        <f>IF($B1218="","",IFERROR(INDEX(WageDates,MATCH($B1218,WageIds,0)),"—"))</f>
        <v/>
      </c>
      <c r="G1218" s="20">
        <f>IF($B1218="","",IFERROR(VLOOKUP(INDEX(WageParty,MATCH($B1218,WageIds,0)),WGTbl,2,0),"—"))</f>
        <v/>
      </c>
      <c r="H1218" s="12" t="n"/>
    </row>
    <row r="1219">
      <c r="A1219" s="10">
        <f>IF($B1219="","",COUNTA($B$9:$B1219))</f>
        <v/>
      </c>
      <c r="B1219" s="12" t="n"/>
      <c r="C1219" s="13" t="n"/>
      <c r="D1219" s="14">
        <f>IF($C1219="","",IFERROR(IF(VLOOKUP($C1219,AcctTblE,4,0)="","(بدون نام)",VLOOKUP($C1219,AcctTblE,4,0)),"کد ناشناخته"))</f>
        <v/>
      </c>
      <c r="E1219" s="15" t="n"/>
      <c r="F1219" s="14">
        <f>IF($B1219="","",IFERROR(INDEX(WageDates,MATCH($B1219,WageIds,0)),"—"))</f>
        <v/>
      </c>
      <c r="G1219" s="14">
        <f>IF($B1219="","",IFERROR(VLOOKUP(INDEX(WageParty,MATCH($B1219,WageIds,0)),WGTbl,2,0),"—"))</f>
        <v/>
      </c>
      <c r="H1219" s="12" t="n"/>
    </row>
    <row r="1220">
      <c r="A1220" s="19">
        <f>IF($B1220="","",COUNTA($B$9:$B1220))</f>
        <v/>
      </c>
      <c r="B1220" s="12" t="n"/>
      <c r="C1220" s="13" t="n"/>
      <c r="D1220" s="20">
        <f>IF($C1220="","",IFERROR(IF(VLOOKUP($C1220,AcctTblE,4,0)="","(بدون نام)",VLOOKUP($C1220,AcctTblE,4,0)),"کد ناشناخته"))</f>
        <v/>
      </c>
      <c r="E1220" s="15" t="n"/>
      <c r="F1220" s="20">
        <f>IF($B1220="","",IFERROR(INDEX(WageDates,MATCH($B1220,WageIds,0)),"—"))</f>
        <v/>
      </c>
      <c r="G1220" s="20">
        <f>IF($B1220="","",IFERROR(VLOOKUP(INDEX(WageParty,MATCH($B1220,WageIds,0)),WGTbl,2,0),"—"))</f>
        <v/>
      </c>
      <c r="H1220" s="12" t="n"/>
    </row>
    <row r="1221">
      <c r="A1221" s="10">
        <f>IF($B1221="","",COUNTA($B$9:$B1221))</f>
        <v/>
      </c>
      <c r="B1221" s="12" t="n"/>
      <c r="C1221" s="13" t="n"/>
      <c r="D1221" s="14">
        <f>IF($C1221="","",IFERROR(IF(VLOOKUP($C1221,AcctTblE,4,0)="","(بدون نام)",VLOOKUP($C1221,AcctTblE,4,0)),"کد ناشناخته"))</f>
        <v/>
      </c>
      <c r="E1221" s="15" t="n"/>
      <c r="F1221" s="14">
        <f>IF($B1221="","",IFERROR(INDEX(WageDates,MATCH($B1221,WageIds,0)),"—"))</f>
        <v/>
      </c>
      <c r="G1221" s="14">
        <f>IF($B1221="","",IFERROR(VLOOKUP(INDEX(WageParty,MATCH($B1221,WageIds,0)),WGTbl,2,0),"—"))</f>
        <v/>
      </c>
      <c r="H1221" s="12" t="n"/>
    </row>
    <row r="1222">
      <c r="A1222" s="19">
        <f>IF($B1222="","",COUNTA($B$9:$B1222))</f>
        <v/>
      </c>
      <c r="B1222" s="12" t="n"/>
      <c r="C1222" s="13" t="n"/>
      <c r="D1222" s="20">
        <f>IF($C1222="","",IFERROR(IF(VLOOKUP($C1222,AcctTblE,4,0)="","(بدون نام)",VLOOKUP($C1222,AcctTblE,4,0)),"کد ناشناخته"))</f>
        <v/>
      </c>
      <c r="E1222" s="15" t="n"/>
      <c r="F1222" s="20">
        <f>IF($B1222="","",IFERROR(INDEX(WageDates,MATCH($B1222,WageIds,0)),"—"))</f>
        <v/>
      </c>
      <c r="G1222" s="20">
        <f>IF($B1222="","",IFERROR(VLOOKUP(INDEX(WageParty,MATCH($B1222,WageIds,0)),WGTbl,2,0),"—"))</f>
        <v/>
      </c>
      <c r="H1222" s="12" t="n"/>
    </row>
    <row r="1223">
      <c r="A1223" s="10">
        <f>IF($B1223="","",COUNTA($B$9:$B1223))</f>
        <v/>
      </c>
      <c r="B1223" s="12" t="n"/>
      <c r="C1223" s="13" t="n"/>
      <c r="D1223" s="14">
        <f>IF($C1223="","",IFERROR(IF(VLOOKUP($C1223,AcctTblE,4,0)="","(بدون نام)",VLOOKUP($C1223,AcctTblE,4,0)),"کد ناشناخته"))</f>
        <v/>
      </c>
      <c r="E1223" s="15" t="n"/>
      <c r="F1223" s="14">
        <f>IF($B1223="","",IFERROR(INDEX(WageDates,MATCH($B1223,WageIds,0)),"—"))</f>
        <v/>
      </c>
      <c r="G1223" s="14">
        <f>IF($B1223="","",IFERROR(VLOOKUP(INDEX(WageParty,MATCH($B1223,WageIds,0)),WGTbl,2,0),"—"))</f>
        <v/>
      </c>
      <c r="H1223" s="12" t="n"/>
    </row>
    <row r="1224">
      <c r="A1224" s="19">
        <f>IF($B1224="","",COUNTA($B$9:$B1224))</f>
        <v/>
      </c>
      <c r="B1224" s="12" t="n"/>
      <c r="C1224" s="13" t="n"/>
      <c r="D1224" s="20">
        <f>IF($C1224="","",IFERROR(IF(VLOOKUP($C1224,AcctTblE,4,0)="","(بدون نام)",VLOOKUP($C1224,AcctTblE,4,0)),"کد ناشناخته"))</f>
        <v/>
      </c>
      <c r="E1224" s="15" t="n"/>
      <c r="F1224" s="20">
        <f>IF($B1224="","",IFERROR(INDEX(WageDates,MATCH($B1224,WageIds,0)),"—"))</f>
        <v/>
      </c>
      <c r="G1224" s="20">
        <f>IF($B1224="","",IFERROR(VLOOKUP(INDEX(WageParty,MATCH($B1224,WageIds,0)),WGTbl,2,0),"—"))</f>
        <v/>
      </c>
      <c r="H1224" s="12" t="n"/>
    </row>
    <row r="1225">
      <c r="A1225" s="10">
        <f>IF($B1225="","",COUNTA($B$9:$B1225))</f>
        <v/>
      </c>
      <c r="B1225" s="12" t="n"/>
      <c r="C1225" s="13" t="n"/>
      <c r="D1225" s="14">
        <f>IF($C1225="","",IFERROR(IF(VLOOKUP($C1225,AcctTblE,4,0)="","(بدون نام)",VLOOKUP($C1225,AcctTblE,4,0)),"کد ناشناخته"))</f>
        <v/>
      </c>
      <c r="E1225" s="15" t="n"/>
      <c r="F1225" s="14">
        <f>IF($B1225="","",IFERROR(INDEX(WageDates,MATCH($B1225,WageIds,0)),"—"))</f>
        <v/>
      </c>
      <c r="G1225" s="14">
        <f>IF($B1225="","",IFERROR(VLOOKUP(INDEX(WageParty,MATCH($B1225,WageIds,0)),WGTbl,2,0),"—"))</f>
        <v/>
      </c>
      <c r="H1225" s="12" t="n"/>
    </row>
    <row r="1226">
      <c r="A1226" s="19">
        <f>IF($B1226="","",COUNTA($B$9:$B1226))</f>
        <v/>
      </c>
      <c r="B1226" s="12" t="n"/>
      <c r="C1226" s="13" t="n"/>
      <c r="D1226" s="20">
        <f>IF($C1226="","",IFERROR(IF(VLOOKUP($C1226,AcctTblE,4,0)="","(بدون نام)",VLOOKUP($C1226,AcctTblE,4,0)),"کد ناشناخته"))</f>
        <v/>
      </c>
      <c r="E1226" s="15" t="n"/>
      <c r="F1226" s="20">
        <f>IF($B1226="","",IFERROR(INDEX(WageDates,MATCH($B1226,WageIds,0)),"—"))</f>
        <v/>
      </c>
      <c r="G1226" s="20">
        <f>IF($B1226="","",IFERROR(VLOOKUP(INDEX(WageParty,MATCH($B1226,WageIds,0)),WGTbl,2,0),"—"))</f>
        <v/>
      </c>
      <c r="H1226" s="12" t="n"/>
    </row>
    <row r="1227">
      <c r="A1227" s="10">
        <f>IF($B1227="","",COUNTA($B$9:$B1227))</f>
        <v/>
      </c>
      <c r="B1227" s="12" t="n"/>
      <c r="C1227" s="13" t="n"/>
      <c r="D1227" s="14">
        <f>IF($C1227="","",IFERROR(IF(VLOOKUP($C1227,AcctTblE,4,0)="","(بدون نام)",VLOOKUP($C1227,AcctTblE,4,0)),"کد ناشناخته"))</f>
        <v/>
      </c>
      <c r="E1227" s="15" t="n"/>
      <c r="F1227" s="14">
        <f>IF($B1227="","",IFERROR(INDEX(WageDates,MATCH($B1227,WageIds,0)),"—"))</f>
        <v/>
      </c>
      <c r="G1227" s="14">
        <f>IF($B1227="","",IFERROR(VLOOKUP(INDEX(WageParty,MATCH($B1227,WageIds,0)),WGTbl,2,0),"—"))</f>
        <v/>
      </c>
      <c r="H1227" s="12" t="n"/>
    </row>
    <row r="1228">
      <c r="A1228" s="19">
        <f>IF($B1228="","",COUNTA($B$9:$B1228))</f>
        <v/>
      </c>
      <c r="B1228" s="12" t="n"/>
      <c r="C1228" s="13" t="n"/>
      <c r="D1228" s="20">
        <f>IF($C1228="","",IFERROR(IF(VLOOKUP($C1228,AcctTblE,4,0)="","(بدون نام)",VLOOKUP($C1228,AcctTblE,4,0)),"کد ناشناخته"))</f>
        <v/>
      </c>
      <c r="E1228" s="15" t="n"/>
      <c r="F1228" s="20">
        <f>IF($B1228="","",IFERROR(INDEX(WageDates,MATCH($B1228,WageIds,0)),"—"))</f>
        <v/>
      </c>
      <c r="G1228" s="20">
        <f>IF($B1228="","",IFERROR(VLOOKUP(INDEX(WageParty,MATCH($B1228,WageIds,0)),WGTbl,2,0),"—"))</f>
        <v/>
      </c>
      <c r="H1228" s="12" t="n"/>
    </row>
    <row r="1229">
      <c r="A1229" s="10">
        <f>IF($B1229="","",COUNTA($B$9:$B1229))</f>
        <v/>
      </c>
      <c r="B1229" s="12" t="n"/>
      <c r="C1229" s="13" t="n"/>
      <c r="D1229" s="14">
        <f>IF($C1229="","",IFERROR(IF(VLOOKUP($C1229,AcctTblE,4,0)="","(بدون نام)",VLOOKUP($C1229,AcctTblE,4,0)),"کد ناشناخته"))</f>
        <v/>
      </c>
      <c r="E1229" s="15" t="n"/>
      <c r="F1229" s="14">
        <f>IF($B1229="","",IFERROR(INDEX(WageDates,MATCH($B1229,WageIds,0)),"—"))</f>
        <v/>
      </c>
      <c r="G1229" s="14">
        <f>IF($B1229="","",IFERROR(VLOOKUP(INDEX(WageParty,MATCH($B1229,WageIds,0)),WGTbl,2,0),"—"))</f>
        <v/>
      </c>
      <c r="H1229" s="12" t="n"/>
    </row>
    <row r="1230">
      <c r="A1230" s="19">
        <f>IF($B1230="","",COUNTA($B$9:$B1230))</f>
        <v/>
      </c>
      <c r="B1230" s="12" t="n"/>
      <c r="C1230" s="13" t="n"/>
      <c r="D1230" s="20">
        <f>IF($C1230="","",IFERROR(IF(VLOOKUP($C1230,AcctTblE,4,0)="","(بدون نام)",VLOOKUP($C1230,AcctTblE,4,0)),"کد ناشناخته"))</f>
        <v/>
      </c>
      <c r="E1230" s="15" t="n"/>
      <c r="F1230" s="20">
        <f>IF($B1230="","",IFERROR(INDEX(WageDates,MATCH($B1230,WageIds,0)),"—"))</f>
        <v/>
      </c>
      <c r="G1230" s="20">
        <f>IF($B1230="","",IFERROR(VLOOKUP(INDEX(WageParty,MATCH($B1230,WageIds,0)),WGTbl,2,0),"—"))</f>
        <v/>
      </c>
      <c r="H1230" s="12" t="n"/>
    </row>
    <row r="1231">
      <c r="A1231" s="10">
        <f>IF($B1231="","",COUNTA($B$9:$B1231))</f>
        <v/>
      </c>
      <c r="B1231" s="12" t="n"/>
      <c r="C1231" s="13" t="n"/>
      <c r="D1231" s="14">
        <f>IF($C1231="","",IFERROR(IF(VLOOKUP($C1231,AcctTblE,4,0)="","(بدون نام)",VLOOKUP($C1231,AcctTblE,4,0)),"کد ناشناخته"))</f>
        <v/>
      </c>
      <c r="E1231" s="15" t="n"/>
      <c r="F1231" s="14">
        <f>IF($B1231="","",IFERROR(INDEX(WageDates,MATCH($B1231,WageIds,0)),"—"))</f>
        <v/>
      </c>
      <c r="G1231" s="14">
        <f>IF($B1231="","",IFERROR(VLOOKUP(INDEX(WageParty,MATCH($B1231,WageIds,0)),WGTbl,2,0),"—"))</f>
        <v/>
      </c>
      <c r="H1231" s="12" t="n"/>
    </row>
    <row r="1232">
      <c r="A1232" s="19">
        <f>IF($B1232="","",COUNTA($B$9:$B1232))</f>
        <v/>
      </c>
      <c r="B1232" s="12" t="n"/>
      <c r="C1232" s="13" t="n"/>
      <c r="D1232" s="20">
        <f>IF($C1232="","",IFERROR(IF(VLOOKUP($C1232,AcctTblE,4,0)="","(بدون نام)",VLOOKUP($C1232,AcctTblE,4,0)),"کد ناشناخته"))</f>
        <v/>
      </c>
      <c r="E1232" s="15" t="n"/>
      <c r="F1232" s="20">
        <f>IF($B1232="","",IFERROR(INDEX(WageDates,MATCH($B1232,WageIds,0)),"—"))</f>
        <v/>
      </c>
      <c r="G1232" s="20">
        <f>IF($B1232="","",IFERROR(VLOOKUP(INDEX(WageParty,MATCH($B1232,WageIds,0)),WGTbl,2,0),"—"))</f>
        <v/>
      </c>
      <c r="H1232" s="12" t="n"/>
    </row>
    <row r="1233">
      <c r="A1233" s="10">
        <f>IF($B1233="","",COUNTA($B$9:$B1233))</f>
        <v/>
      </c>
      <c r="B1233" s="12" t="n"/>
      <c r="C1233" s="13" t="n"/>
      <c r="D1233" s="14">
        <f>IF($C1233="","",IFERROR(IF(VLOOKUP($C1233,AcctTblE,4,0)="","(بدون نام)",VLOOKUP($C1233,AcctTblE,4,0)),"کد ناشناخته"))</f>
        <v/>
      </c>
      <c r="E1233" s="15" t="n"/>
      <c r="F1233" s="14">
        <f>IF($B1233="","",IFERROR(INDEX(WageDates,MATCH($B1233,WageIds,0)),"—"))</f>
        <v/>
      </c>
      <c r="G1233" s="14">
        <f>IF($B1233="","",IFERROR(VLOOKUP(INDEX(WageParty,MATCH($B1233,WageIds,0)),WGTbl,2,0),"—"))</f>
        <v/>
      </c>
      <c r="H1233" s="12" t="n"/>
    </row>
    <row r="1234">
      <c r="A1234" s="19">
        <f>IF($B1234="","",COUNTA($B$9:$B1234))</f>
        <v/>
      </c>
      <c r="B1234" s="12" t="n"/>
      <c r="C1234" s="13" t="n"/>
      <c r="D1234" s="20">
        <f>IF($C1234="","",IFERROR(IF(VLOOKUP($C1234,AcctTblE,4,0)="","(بدون نام)",VLOOKUP($C1234,AcctTblE,4,0)),"کد ناشناخته"))</f>
        <v/>
      </c>
      <c r="E1234" s="15" t="n"/>
      <c r="F1234" s="20">
        <f>IF($B1234="","",IFERROR(INDEX(WageDates,MATCH($B1234,WageIds,0)),"—"))</f>
        <v/>
      </c>
      <c r="G1234" s="20">
        <f>IF($B1234="","",IFERROR(VLOOKUP(INDEX(WageParty,MATCH($B1234,WageIds,0)),WGTbl,2,0),"—"))</f>
        <v/>
      </c>
      <c r="H1234" s="12" t="n"/>
    </row>
    <row r="1235">
      <c r="A1235" s="10">
        <f>IF($B1235="","",COUNTA($B$9:$B1235))</f>
        <v/>
      </c>
      <c r="B1235" s="12" t="n"/>
      <c r="C1235" s="13" t="n"/>
      <c r="D1235" s="14">
        <f>IF($C1235="","",IFERROR(IF(VLOOKUP($C1235,AcctTblE,4,0)="","(بدون نام)",VLOOKUP($C1235,AcctTblE,4,0)),"کد ناشناخته"))</f>
        <v/>
      </c>
      <c r="E1235" s="15" t="n"/>
      <c r="F1235" s="14">
        <f>IF($B1235="","",IFERROR(INDEX(WageDates,MATCH($B1235,WageIds,0)),"—"))</f>
        <v/>
      </c>
      <c r="G1235" s="14">
        <f>IF($B1235="","",IFERROR(VLOOKUP(INDEX(WageParty,MATCH($B1235,WageIds,0)),WGTbl,2,0),"—"))</f>
        <v/>
      </c>
      <c r="H1235" s="12" t="n"/>
    </row>
    <row r="1236">
      <c r="A1236" s="19">
        <f>IF($B1236="","",COUNTA($B$9:$B1236))</f>
        <v/>
      </c>
      <c r="B1236" s="12" t="n"/>
      <c r="C1236" s="13" t="n"/>
      <c r="D1236" s="20">
        <f>IF($C1236="","",IFERROR(IF(VLOOKUP($C1236,AcctTblE,4,0)="","(بدون نام)",VLOOKUP($C1236,AcctTblE,4,0)),"کد ناشناخته"))</f>
        <v/>
      </c>
      <c r="E1236" s="15" t="n"/>
      <c r="F1236" s="20">
        <f>IF($B1236="","",IFERROR(INDEX(WageDates,MATCH($B1236,WageIds,0)),"—"))</f>
        <v/>
      </c>
      <c r="G1236" s="20">
        <f>IF($B1236="","",IFERROR(VLOOKUP(INDEX(WageParty,MATCH($B1236,WageIds,0)),WGTbl,2,0),"—"))</f>
        <v/>
      </c>
      <c r="H1236" s="12" t="n"/>
    </row>
    <row r="1237">
      <c r="A1237" s="10">
        <f>IF($B1237="","",COUNTA($B$9:$B1237))</f>
        <v/>
      </c>
      <c r="B1237" s="12" t="n"/>
      <c r="C1237" s="13" t="n"/>
      <c r="D1237" s="14">
        <f>IF($C1237="","",IFERROR(IF(VLOOKUP($C1237,AcctTblE,4,0)="","(بدون نام)",VLOOKUP($C1237,AcctTblE,4,0)),"کد ناشناخته"))</f>
        <v/>
      </c>
      <c r="E1237" s="15" t="n"/>
      <c r="F1237" s="14">
        <f>IF($B1237="","",IFERROR(INDEX(WageDates,MATCH($B1237,WageIds,0)),"—"))</f>
        <v/>
      </c>
      <c r="G1237" s="14">
        <f>IF($B1237="","",IFERROR(VLOOKUP(INDEX(WageParty,MATCH($B1237,WageIds,0)),WGTbl,2,0),"—"))</f>
        <v/>
      </c>
      <c r="H1237" s="12" t="n"/>
    </row>
    <row r="1238">
      <c r="A1238" s="19">
        <f>IF($B1238="","",COUNTA($B$9:$B1238))</f>
        <v/>
      </c>
      <c r="B1238" s="12" t="n"/>
      <c r="C1238" s="13" t="n"/>
      <c r="D1238" s="20">
        <f>IF($C1238="","",IFERROR(IF(VLOOKUP($C1238,AcctTblE,4,0)="","(بدون نام)",VLOOKUP($C1238,AcctTblE,4,0)),"کد ناشناخته"))</f>
        <v/>
      </c>
      <c r="E1238" s="15" t="n"/>
      <c r="F1238" s="20">
        <f>IF($B1238="","",IFERROR(INDEX(WageDates,MATCH($B1238,WageIds,0)),"—"))</f>
        <v/>
      </c>
      <c r="G1238" s="20">
        <f>IF($B1238="","",IFERROR(VLOOKUP(INDEX(WageParty,MATCH($B1238,WageIds,0)),WGTbl,2,0),"—"))</f>
        <v/>
      </c>
      <c r="H1238" s="12" t="n"/>
    </row>
    <row r="1239">
      <c r="A1239" s="10">
        <f>IF($B1239="","",COUNTA($B$9:$B1239))</f>
        <v/>
      </c>
      <c r="B1239" s="12" t="n"/>
      <c r="C1239" s="13" t="n"/>
      <c r="D1239" s="14">
        <f>IF($C1239="","",IFERROR(IF(VLOOKUP($C1239,AcctTblE,4,0)="","(بدون نام)",VLOOKUP($C1239,AcctTblE,4,0)),"کد ناشناخته"))</f>
        <v/>
      </c>
      <c r="E1239" s="15" t="n"/>
      <c r="F1239" s="14">
        <f>IF($B1239="","",IFERROR(INDEX(WageDates,MATCH($B1239,WageIds,0)),"—"))</f>
        <v/>
      </c>
      <c r="G1239" s="14">
        <f>IF($B1239="","",IFERROR(VLOOKUP(INDEX(WageParty,MATCH($B1239,WageIds,0)),WGTbl,2,0),"—"))</f>
        <v/>
      </c>
      <c r="H1239" s="12" t="n"/>
    </row>
    <row r="1240">
      <c r="A1240" s="19">
        <f>IF($B1240="","",COUNTA($B$9:$B1240))</f>
        <v/>
      </c>
      <c r="B1240" s="12" t="n"/>
      <c r="C1240" s="13" t="n"/>
      <c r="D1240" s="20">
        <f>IF($C1240="","",IFERROR(IF(VLOOKUP($C1240,AcctTblE,4,0)="","(بدون نام)",VLOOKUP($C1240,AcctTblE,4,0)),"کد ناشناخته"))</f>
        <v/>
      </c>
      <c r="E1240" s="15" t="n"/>
      <c r="F1240" s="20">
        <f>IF($B1240="","",IFERROR(INDEX(WageDates,MATCH($B1240,WageIds,0)),"—"))</f>
        <v/>
      </c>
      <c r="G1240" s="20">
        <f>IF($B1240="","",IFERROR(VLOOKUP(INDEX(WageParty,MATCH($B1240,WageIds,0)),WGTbl,2,0),"—"))</f>
        <v/>
      </c>
      <c r="H1240" s="12" t="n"/>
    </row>
    <row r="1241">
      <c r="A1241" s="10">
        <f>IF($B1241="","",COUNTA($B$9:$B1241))</f>
        <v/>
      </c>
      <c r="B1241" s="12" t="n"/>
      <c r="C1241" s="13" t="n"/>
      <c r="D1241" s="14">
        <f>IF($C1241="","",IFERROR(IF(VLOOKUP($C1241,AcctTblE,4,0)="","(بدون نام)",VLOOKUP($C1241,AcctTblE,4,0)),"کد ناشناخته"))</f>
        <v/>
      </c>
      <c r="E1241" s="15" t="n"/>
      <c r="F1241" s="14">
        <f>IF($B1241="","",IFERROR(INDEX(WageDates,MATCH($B1241,WageIds,0)),"—"))</f>
        <v/>
      </c>
      <c r="G1241" s="14">
        <f>IF($B1241="","",IFERROR(VLOOKUP(INDEX(WageParty,MATCH($B1241,WageIds,0)),WGTbl,2,0),"—"))</f>
        <v/>
      </c>
      <c r="H1241" s="12" t="n"/>
    </row>
    <row r="1242">
      <c r="A1242" s="19">
        <f>IF($B1242="","",COUNTA($B$9:$B1242))</f>
        <v/>
      </c>
      <c r="B1242" s="12" t="n"/>
      <c r="C1242" s="13" t="n"/>
      <c r="D1242" s="20">
        <f>IF($C1242="","",IFERROR(IF(VLOOKUP($C1242,AcctTblE,4,0)="","(بدون نام)",VLOOKUP($C1242,AcctTblE,4,0)),"کد ناشناخته"))</f>
        <v/>
      </c>
      <c r="E1242" s="15" t="n"/>
      <c r="F1242" s="20">
        <f>IF($B1242="","",IFERROR(INDEX(WageDates,MATCH($B1242,WageIds,0)),"—"))</f>
        <v/>
      </c>
      <c r="G1242" s="20">
        <f>IF($B1242="","",IFERROR(VLOOKUP(INDEX(WageParty,MATCH($B1242,WageIds,0)),WGTbl,2,0),"—"))</f>
        <v/>
      </c>
      <c r="H1242" s="12" t="n"/>
    </row>
    <row r="1243">
      <c r="A1243" s="10">
        <f>IF($B1243="","",COUNTA($B$9:$B1243))</f>
        <v/>
      </c>
      <c r="B1243" s="12" t="n"/>
      <c r="C1243" s="13" t="n"/>
      <c r="D1243" s="14">
        <f>IF($C1243="","",IFERROR(IF(VLOOKUP($C1243,AcctTblE,4,0)="","(بدون نام)",VLOOKUP($C1243,AcctTblE,4,0)),"کد ناشناخته"))</f>
        <v/>
      </c>
      <c r="E1243" s="15" t="n"/>
      <c r="F1243" s="14">
        <f>IF($B1243="","",IFERROR(INDEX(WageDates,MATCH($B1243,WageIds,0)),"—"))</f>
        <v/>
      </c>
      <c r="G1243" s="14">
        <f>IF($B1243="","",IFERROR(VLOOKUP(INDEX(WageParty,MATCH($B1243,WageIds,0)),WGTbl,2,0),"—"))</f>
        <v/>
      </c>
      <c r="H1243" s="12" t="n"/>
    </row>
    <row r="1244">
      <c r="A1244" s="19">
        <f>IF($B1244="","",COUNTA($B$9:$B1244))</f>
        <v/>
      </c>
      <c r="B1244" s="12" t="n"/>
      <c r="C1244" s="13" t="n"/>
      <c r="D1244" s="20">
        <f>IF($C1244="","",IFERROR(IF(VLOOKUP($C1244,AcctTblE,4,0)="","(بدون نام)",VLOOKUP($C1244,AcctTblE,4,0)),"کد ناشناخته"))</f>
        <v/>
      </c>
      <c r="E1244" s="15" t="n"/>
      <c r="F1244" s="20">
        <f>IF($B1244="","",IFERROR(INDEX(WageDates,MATCH($B1244,WageIds,0)),"—"))</f>
        <v/>
      </c>
      <c r="G1244" s="20">
        <f>IF($B1244="","",IFERROR(VLOOKUP(INDEX(WageParty,MATCH($B1244,WageIds,0)),WGTbl,2,0),"—"))</f>
        <v/>
      </c>
      <c r="H1244" s="12" t="n"/>
    </row>
    <row r="1245">
      <c r="A1245" s="10">
        <f>IF($B1245="","",COUNTA($B$9:$B1245))</f>
        <v/>
      </c>
      <c r="B1245" s="12" t="n"/>
      <c r="C1245" s="13" t="n"/>
      <c r="D1245" s="14">
        <f>IF($C1245="","",IFERROR(IF(VLOOKUP($C1245,AcctTblE,4,0)="","(بدون نام)",VLOOKUP($C1245,AcctTblE,4,0)),"کد ناشناخته"))</f>
        <v/>
      </c>
      <c r="E1245" s="15" t="n"/>
      <c r="F1245" s="14">
        <f>IF($B1245="","",IFERROR(INDEX(WageDates,MATCH($B1245,WageIds,0)),"—"))</f>
        <v/>
      </c>
      <c r="G1245" s="14">
        <f>IF($B1245="","",IFERROR(VLOOKUP(INDEX(WageParty,MATCH($B1245,WageIds,0)),WGTbl,2,0),"—"))</f>
        <v/>
      </c>
      <c r="H1245" s="12" t="n"/>
    </row>
    <row r="1246">
      <c r="A1246" s="19">
        <f>IF($B1246="","",COUNTA($B$9:$B1246))</f>
        <v/>
      </c>
      <c r="B1246" s="12" t="n"/>
      <c r="C1246" s="13" t="n"/>
      <c r="D1246" s="20">
        <f>IF($C1246="","",IFERROR(IF(VLOOKUP($C1246,AcctTblE,4,0)="","(بدون نام)",VLOOKUP($C1246,AcctTblE,4,0)),"کد ناشناخته"))</f>
        <v/>
      </c>
      <c r="E1246" s="15" t="n"/>
      <c r="F1246" s="20">
        <f>IF($B1246="","",IFERROR(INDEX(WageDates,MATCH($B1246,WageIds,0)),"—"))</f>
        <v/>
      </c>
      <c r="G1246" s="20">
        <f>IF($B1246="","",IFERROR(VLOOKUP(INDEX(WageParty,MATCH($B1246,WageIds,0)),WGTbl,2,0),"—"))</f>
        <v/>
      </c>
      <c r="H1246" s="12" t="n"/>
    </row>
    <row r="1247">
      <c r="A1247" s="10">
        <f>IF($B1247="","",COUNTA($B$9:$B1247))</f>
        <v/>
      </c>
      <c r="B1247" s="12" t="n"/>
      <c r="C1247" s="13" t="n"/>
      <c r="D1247" s="14">
        <f>IF($C1247="","",IFERROR(IF(VLOOKUP($C1247,AcctTblE,4,0)="","(بدون نام)",VLOOKUP($C1247,AcctTblE,4,0)),"کد ناشناخته"))</f>
        <v/>
      </c>
      <c r="E1247" s="15" t="n"/>
      <c r="F1247" s="14">
        <f>IF($B1247="","",IFERROR(INDEX(WageDates,MATCH($B1247,WageIds,0)),"—"))</f>
        <v/>
      </c>
      <c r="G1247" s="14">
        <f>IF($B1247="","",IFERROR(VLOOKUP(INDEX(WageParty,MATCH($B1247,WageIds,0)),WGTbl,2,0),"—"))</f>
        <v/>
      </c>
      <c r="H1247" s="12" t="n"/>
    </row>
    <row r="1248">
      <c r="A1248" s="19">
        <f>IF($B1248="","",COUNTA($B$9:$B1248))</f>
        <v/>
      </c>
      <c r="B1248" s="12" t="n"/>
      <c r="C1248" s="13" t="n"/>
      <c r="D1248" s="20">
        <f>IF($C1248="","",IFERROR(IF(VLOOKUP($C1248,AcctTblE,4,0)="","(بدون نام)",VLOOKUP($C1248,AcctTblE,4,0)),"کد ناشناخته"))</f>
        <v/>
      </c>
      <c r="E1248" s="15" t="n"/>
      <c r="F1248" s="20">
        <f>IF($B1248="","",IFERROR(INDEX(WageDates,MATCH($B1248,WageIds,0)),"—"))</f>
        <v/>
      </c>
      <c r="G1248" s="20">
        <f>IF($B1248="","",IFERROR(VLOOKUP(INDEX(WageParty,MATCH($B1248,WageIds,0)),WGTbl,2,0),"—"))</f>
        <v/>
      </c>
      <c r="H1248" s="12" t="n"/>
    </row>
    <row r="1249">
      <c r="A1249" s="10">
        <f>IF($B1249="","",COUNTA($B$9:$B1249))</f>
        <v/>
      </c>
      <c r="B1249" s="12" t="n"/>
      <c r="C1249" s="13" t="n"/>
      <c r="D1249" s="14">
        <f>IF($C1249="","",IFERROR(IF(VLOOKUP($C1249,AcctTblE,4,0)="","(بدون نام)",VLOOKUP($C1249,AcctTblE,4,0)),"کد ناشناخته"))</f>
        <v/>
      </c>
      <c r="E1249" s="15" t="n"/>
      <c r="F1249" s="14">
        <f>IF($B1249="","",IFERROR(INDEX(WageDates,MATCH($B1249,WageIds,0)),"—"))</f>
        <v/>
      </c>
      <c r="G1249" s="14">
        <f>IF($B1249="","",IFERROR(VLOOKUP(INDEX(WageParty,MATCH($B1249,WageIds,0)),WGTbl,2,0),"—"))</f>
        <v/>
      </c>
      <c r="H1249" s="12" t="n"/>
    </row>
    <row r="1250">
      <c r="A1250" s="19">
        <f>IF($B1250="","",COUNTA($B$9:$B1250))</f>
        <v/>
      </c>
      <c r="B1250" s="12" t="n"/>
      <c r="C1250" s="13" t="n"/>
      <c r="D1250" s="20">
        <f>IF($C1250="","",IFERROR(IF(VLOOKUP($C1250,AcctTblE,4,0)="","(بدون نام)",VLOOKUP($C1250,AcctTblE,4,0)),"کد ناشناخته"))</f>
        <v/>
      </c>
      <c r="E1250" s="15" t="n"/>
      <c r="F1250" s="20">
        <f>IF($B1250="","",IFERROR(INDEX(WageDates,MATCH($B1250,WageIds,0)),"—"))</f>
        <v/>
      </c>
      <c r="G1250" s="20">
        <f>IF($B1250="","",IFERROR(VLOOKUP(INDEX(WageParty,MATCH($B1250,WageIds,0)),WGTbl,2,0),"—"))</f>
        <v/>
      </c>
      <c r="H1250" s="12" t="n"/>
    </row>
    <row r="1251">
      <c r="A1251" s="10">
        <f>IF($B1251="","",COUNTA($B$9:$B1251))</f>
        <v/>
      </c>
      <c r="B1251" s="12" t="n"/>
      <c r="C1251" s="13" t="n"/>
      <c r="D1251" s="14">
        <f>IF($C1251="","",IFERROR(IF(VLOOKUP($C1251,AcctTblE,4,0)="","(بدون نام)",VLOOKUP($C1251,AcctTblE,4,0)),"کد ناشناخته"))</f>
        <v/>
      </c>
      <c r="E1251" s="15" t="n"/>
      <c r="F1251" s="14">
        <f>IF($B1251="","",IFERROR(INDEX(WageDates,MATCH($B1251,WageIds,0)),"—"))</f>
        <v/>
      </c>
      <c r="G1251" s="14">
        <f>IF($B1251="","",IFERROR(VLOOKUP(INDEX(WageParty,MATCH($B1251,WageIds,0)),WGTbl,2,0),"—"))</f>
        <v/>
      </c>
      <c r="H1251" s="12" t="n"/>
    </row>
    <row r="1252">
      <c r="A1252" s="19">
        <f>IF($B1252="","",COUNTA($B$9:$B1252))</f>
        <v/>
      </c>
      <c r="B1252" s="12" t="n"/>
      <c r="C1252" s="13" t="n"/>
      <c r="D1252" s="20">
        <f>IF($C1252="","",IFERROR(IF(VLOOKUP($C1252,AcctTblE,4,0)="","(بدون نام)",VLOOKUP($C1252,AcctTblE,4,0)),"کد ناشناخته"))</f>
        <v/>
      </c>
      <c r="E1252" s="15" t="n"/>
      <c r="F1252" s="20">
        <f>IF($B1252="","",IFERROR(INDEX(WageDates,MATCH($B1252,WageIds,0)),"—"))</f>
        <v/>
      </c>
      <c r="G1252" s="20">
        <f>IF($B1252="","",IFERROR(VLOOKUP(INDEX(WageParty,MATCH($B1252,WageIds,0)),WGTbl,2,0),"—"))</f>
        <v/>
      </c>
      <c r="H1252" s="12" t="n"/>
    </row>
    <row r="1253">
      <c r="A1253" s="10">
        <f>IF($B1253="","",COUNTA($B$9:$B1253))</f>
        <v/>
      </c>
      <c r="B1253" s="12" t="n"/>
      <c r="C1253" s="13" t="n"/>
      <c r="D1253" s="14">
        <f>IF($C1253="","",IFERROR(IF(VLOOKUP($C1253,AcctTblE,4,0)="","(بدون نام)",VLOOKUP($C1253,AcctTblE,4,0)),"کد ناشناخته"))</f>
        <v/>
      </c>
      <c r="E1253" s="15" t="n"/>
      <c r="F1253" s="14">
        <f>IF($B1253="","",IFERROR(INDEX(WageDates,MATCH($B1253,WageIds,0)),"—"))</f>
        <v/>
      </c>
      <c r="G1253" s="14">
        <f>IF($B1253="","",IFERROR(VLOOKUP(INDEX(WageParty,MATCH($B1253,WageIds,0)),WGTbl,2,0),"—"))</f>
        <v/>
      </c>
      <c r="H1253" s="12" t="n"/>
    </row>
    <row r="1254">
      <c r="A1254" s="19">
        <f>IF($B1254="","",COUNTA($B$9:$B1254))</f>
        <v/>
      </c>
      <c r="B1254" s="12" t="n"/>
      <c r="C1254" s="13" t="n"/>
      <c r="D1254" s="20">
        <f>IF($C1254="","",IFERROR(IF(VLOOKUP($C1254,AcctTblE,4,0)="","(بدون نام)",VLOOKUP($C1254,AcctTblE,4,0)),"کد ناشناخته"))</f>
        <v/>
      </c>
      <c r="E1254" s="15" t="n"/>
      <c r="F1254" s="20">
        <f>IF($B1254="","",IFERROR(INDEX(WageDates,MATCH($B1254,WageIds,0)),"—"))</f>
        <v/>
      </c>
      <c r="G1254" s="20">
        <f>IF($B1254="","",IFERROR(VLOOKUP(INDEX(WageParty,MATCH($B1254,WageIds,0)),WGTbl,2,0),"—"))</f>
        <v/>
      </c>
      <c r="H1254" s="12" t="n"/>
    </row>
    <row r="1255">
      <c r="A1255" s="10">
        <f>IF($B1255="","",COUNTA($B$9:$B1255))</f>
        <v/>
      </c>
      <c r="B1255" s="12" t="n"/>
      <c r="C1255" s="13" t="n"/>
      <c r="D1255" s="14">
        <f>IF($C1255="","",IFERROR(IF(VLOOKUP($C1255,AcctTblE,4,0)="","(بدون نام)",VLOOKUP($C1255,AcctTblE,4,0)),"کد ناشناخته"))</f>
        <v/>
      </c>
      <c r="E1255" s="15" t="n"/>
      <c r="F1255" s="14">
        <f>IF($B1255="","",IFERROR(INDEX(WageDates,MATCH($B1255,WageIds,0)),"—"))</f>
        <v/>
      </c>
      <c r="G1255" s="14">
        <f>IF($B1255="","",IFERROR(VLOOKUP(INDEX(WageParty,MATCH($B1255,WageIds,0)),WGTbl,2,0),"—"))</f>
        <v/>
      </c>
      <c r="H1255" s="12" t="n"/>
    </row>
    <row r="1256">
      <c r="A1256" s="19">
        <f>IF($B1256="","",COUNTA($B$9:$B1256))</f>
        <v/>
      </c>
      <c r="B1256" s="12" t="n"/>
      <c r="C1256" s="13" t="n"/>
      <c r="D1256" s="20">
        <f>IF($C1256="","",IFERROR(IF(VLOOKUP($C1256,AcctTblE,4,0)="","(بدون نام)",VLOOKUP($C1256,AcctTblE,4,0)),"کد ناشناخته"))</f>
        <v/>
      </c>
      <c r="E1256" s="15" t="n"/>
      <c r="F1256" s="20">
        <f>IF($B1256="","",IFERROR(INDEX(WageDates,MATCH($B1256,WageIds,0)),"—"))</f>
        <v/>
      </c>
      <c r="G1256" s="20">
        <f>IF($B1256="","",IFERROR(VLOOKUP(INDEX(WageParty,MATCH($B1256,WageIds,0)),WGTbl,2,0),"—"))</f>
        <v/>
      </c>
      <c r="H1256" s="12" t="n"/>
    </row>
    <row r="1257">
      <c r="A1257" s="10">
        <f>IF($B1257="","",COUNTA($B$9:$B1257))</f>
        <v/>
      </c>
      <c r="B1257" s="12" t="n"/>
      <c r="C1257" s="13" t="n"/>
      <c r="D1257" s="14">
        <f>IF($C1257="","",IFERROR(IF(VLOOKUP($C1257,AcctTblE,4,0)="","(بدون نام)",VLOOKUP($C1257,AcctTblE,4,0)),"کد ناشناخته"))</f>
        <v/>
      </c>
      <c r="E1257" s="15" t="n"/>
      <c r="F1257" s="14">
        <f>IF($B1257="","",IFERROR(INDEX(WageDates,MATCH($B1257,WageIds,0)),"—"))</f>
        <v/>
      </c>
      <c r="G1257" s="14">
        <f>IF($B1257="","",IFERROR(VLOOKUP(INDEX(WageParty,MATCH($B1257,WageIds,0)),WGTbl,2,0),"—"))</f>
        <v/>
      </c>
      <c r="H1257" s="12" t="n"/>
    </row>
    <row r="1258">
      <c r="A1258" s="19">
        <f>IF($B1258="","",COUNTA($B$9:$B1258))</f>
        <v/>
      </c>
      <c r="B1258" s="12" t="n"/>
      <c r="C1258" s="13" t="n"/>
      <c r="D1258" s="20">
        <f>IF($C1258="","",IFERROR(IF(VLOOKUP($C1258,AcctTblE,4,0)="","(بدون نام)",VLOOKUP($C1258,AcctTblE,4,0)),"کد ناشناخته"))</f>
        <v/>
      </c>
      <c r="E1258" s="15" t="n"/>
      <c r="F1258" s="20">
        <f>IF($B1258="","",IFERROR(INDEX(WageDates,MATCH($B1258,WageIds,0)),"—"))</f>
        <v/>
      </c>
      <c r="G1258" s="20">
        <f>IF($B1258="","",IFERROR(VLOOKUP(INDEX(WageParty,MATCH($B1258,WageIds,0)),WGTbl,2,0),"—"))</f>
        <v/>
      </c>
      <c r="H1258" s="12" t="n"/>
    </row>
    <row r="1259">
      <c r="A1259" s="10">
        <f>IF($B1259="","",COUNTA($B$9:$B1259))</f>
        <v/>
      </c>
      <c r="B1259" s="12" t="n"/>
      <c r="C1259" s="13" t="n"/>
      <c r="D1259" s="14">
        <f>IF($C1259="","",IFERROR(IF(VLOOKUP($C1259,AcctTblE,4,0)="","(بدون نام)",VLOOKUP($C1259,AcctTblE,4,0)),"کد ناشناخته"))</f>
        <v/>
      </c>
      <c r="E1259" s="15" t="n"/>
      <c r="F1259" s="14">
        <f>IF($B1259="","",IFERROR(INDEX(WageDates,MATCH($B1259,WageIds,0)),"—"))</f>
        <v/>
      </c>
      <c r="G1259" s="14">
        <f>IF($B1259="","",IFERROR(VLOOKUP(INDEX(WageParty,MATCH($B1259,WageIds,0)),WGTbl,2,0),"—"))</f>
        <v/>
      </c>
      <c r="H1259" s="12" t="n"/>
    </row>
    <row r="1260">
      <c r="A1260" s="19">
        <f>IF($B1260="","",COUNTA($B$9:$B1260))</f>
        <v/>
      </c>
      <c r="B1260" s="12" t="n"/>
      <c r="C1260" s="13" t="n"/>
      <c r="D1260" s="20">
        <f>IF($C1260="","",IFERROR(IF(VLOOKUP($C1260,AcctTblE,4,0)="","(بدون نام)",VLOOKUP($C1260,AcctTblE,4,0)),"کد ناشناخته"))</f>
        <v/>
      </c>
      <c r="E1260" s="15" t="n"/>
      <c r="F1260" s="20">
        <f>IF($B1260="","",IFERROR(INDEX(WageDates,MATCH($B1260,WageIds,0)),"—"))</f>
        <v/>
      </c>
      <c r="G1260" s="20">
        <f>IF($B1260="","",IFERROR(VLOOKUP(INDEX(WageParty,MATCH($B1260,WageIds,0)),WGTbl,2,0),"—"))</f>
        <v/>
      </c>
      <c r="H1260" s="12" t="n"/>
    </row>
    <row r="1261">
      <c r="A1261" s="10">
        <f>IF($B1261="","",COUNTA($B$9:$B1261))</f>
        <v/>
      </c>
      <c r="B1261" s="12" t="n"/>
      <c r="C1261" s="13" t="n"/>
      <c r="D1261" s="14">
        <f>IF($C1261="","",IFERROR(IF(VLOOKUP($C1261,AcctTblE,4,0)="","(بدون نام)",VLOOKUP($C1261,AcctTblE,4,0)),"کد ناشناخته"))</f>
        <v/>
      </c>
      <c r="E1261" s="15" t="n"/>
      <c r="F1261" s="14">
        <f>IF($B1261="","",IFERROR(INDEX(WageDates,MATCH($B1261,WageIds,0)),"—"))</f>
        <v/>
      </c>
      <c r="G1261" s="14">
        <f>IF($B1261="","",IFERROR(VLOOKUP(INDEX(WageParty,MATCH($B1261,WageIds,0)),WGTbl,2,0),"—"))</f>
        <v/>
      </c>
      <c r="H1261" s="12" t="n"/>
    </row>
    <row r="1262">
      <c r="A1262" s="19">
        <f>IF($B1262="","",COUNTA($B$9:$B1262))</f>
        <v/>
      </c>
      <c r="B1262" s="12" t="n"/>
      <c r="C1262" s="13" t="n"/>
      <c r="D1262" s="20">
        <f>IF($C1262="","",IFERROR(IF(VLOOKUP($C1262,AcctTblE,4,0)="","(بدون نام)",VLOOKUP($C1262,AcctTblE,4,0)),"کد ناشناخته"))</f>
        <v/>
      </c>
      <c r="E1262" s="15" t="n"/>
      <c r="F1262" s="20">
        <f>IF($B1262="","",IFERROR(INDEX(WageDates,MATCH($B1262,WageIds,0)),"—"))</f>
        <v/>
      </c>
      <c r="G1262" s="20">
        <f>IF($B1262="","",IFERROR(VLOOKUP(INDEX(WageParty,MATCH($B1262,WageIds,0)),WGTbl,2,0),"—"))</f>
        <v/>
      </c>
      <c r="H1262" s="12" t="n"/>
    </row>
    <row r="1263">
      <c r="A1263" s="10">
        <f>IF($B1263="","",COUNTA($B$9:$B1263))</f>
        <v/>
      </c>
      <c r="B1263" s="12" t="n"/>
      <c r="C1263" s="13" t="n"/>
      <c r="D1263" s="14">
        <f>IF($C1263="","",IFERROR(IF(VLOOKUP($C1263,AcctTblE,4,0)="","(بدون نام)",VLOOKUP($C1263,AcctTblE,4,0)),"کد ناشناخته"))</f>
        <v/>
      </c>
      <c r="E1263" s="15" t="n"/>
      <c r="F1263" s="14">
        <f>IF($B1263="","",IFERROR(INDEX(WageDates,MATCH($B1263,WageIds,0)),"—"))</f>
        <v/>
      </c>
      <c r="G1263" s="14">
        <f>IF($B1263="","",IFERROR(VLOOKUP(INDEX(WageParty,MATCH($B1263,WageIds,0)),WGTbl,2,0),"—"))</f>
        <v/>
      </c>
      <c r="H1263" s="12" t="n"/>
    </row>
    <row r="1264">
      <c r="A1264" s="19">
        <f>IF($B1264="","",COUNTA($B$9:$B1264))</f>
        <v/>
      </c>
      <c r="B1264" s="12" t="n"/>
      <c r="C1264" s="13" t="n"/>
      <c r="D1264" s="20">
        <f>IF($C1264="","",IFERROR(IF(VLOOKUP($C1264,AcctTblE,4,0)="","(بدون نام)",VLOOKUP($C1264,AcctTblE,4,0)),"کد ناشناخته"))</f>
        <v/>
      </c>
      <c r="E1264" s="15" t="n"/>
      <c r="F1264" s="20">
        <f>IF($B1264="","",IFERROR(INDEX(WageDates,MATCH($B1264,WageIds,0)),"—"))</f>
        <v/>
      </c>
      <c r="G1264" s="20">
        <f>IF($B1264="","",IFERROR(VLOOKUP(INDEX(WageParty,MATCH($B1264,WageIds,0)),WGTbl,2,0),"—"))</f>
        <v/>
      </c>
      <c r="H1264" s="12" t="n"/>
    </row>
    <row r="1265">
      <c r="A1265" s="10">
        <f>IF($B1265="","",COUNTA($B$9:$B1265))</f>
        <v/>
      </c>
      <c r="B1265" s="12" t="n"/>
      <c r="C1265" s="13" t="n"/>
      <c r="D1265" s="14">
        <f>IF($C1265="","",IFERROR(IF(VLOOKUP($C1265,AcctTblE,4,0)="","(بدون نام)",VLOOKUP($C1265,AcctTblE,4,0)),"کد ناشناخته"))</f>
        <v/>
      </c>
      <c r="E1265" s="15" t="n"/>
      <c r="F1265" s="14">
        <f>IF($B1265="","",IFERROR(INDEX(WageDates,MATCH($B1265,WageIds,0)),"—"))</f>
        <v/>
      </c>
      <c r="G1265" s="14">
        <f>IF($B1265="","",IFERROR(VLOOKUP(INDEX(WageParty,MATCH($B1265,WageIds,0)),WGTbl,2,0),"—"))</f>
        <v/>
      </c>
      <c r="H1265" s="12" t="n"/>
    </row>
    <row r="1266">
      <c r="A1266" s="19">
        <f>IF($B1266="","",COUNTA($B$9:$B1266))</f>
        <v/>
      </c>
      <c r="B1266" s="12" t="n"/>
      <c r="C1266" s="13" t="n"/>
      <c r="D1266" s="20">
        <f>IF($C1266="","",IFERROR(IF(VLOOKUP($C1266,AcctTblE,4,0)="","(بدون نام)",VLOOKUP($C1266,AcctTblE,4,0)),"کد ناشناخته"))</f>
        <v/>
      </c>
      <c r="E1266" s="15" t="n"/>
      <c r="F1266" s="20">
        <f>IF($B1266="","",IFERROR(INDEX(WageDates,MATCH($B1266,WageIds,0)),"—"))</f>
        <v/>
      </c>
      <c r="G1266" s="20">
        <f>IF($B1266="","",IFERROR(VLOOKUP(INDEX(WageParty,MATCH($B1266,WageIds,0)),WGTbl,2,0),"—"))</f>
        <v/>
      </c>
      <c r="H1266" s="12" t="n"/>
    </row>
    <row r="1267">
      <c r="A1267" s="10">
        <f>IF($B1267="","",COUNTA($B$9:$B1267))</f>
        <v/>
      </c>
      <c r="B1267" s="12" t="n"/>
      <c r="C1267" s="13" t="n"/>
      <c r="D1267" s="14">
        <f>IF($C1267="","",IFERROR(IF(VLOOKUP($C1267,AcctTblE,4,0)="","(بدون نام)",VLOOKUP($C1267,AcctTblE,4,0)),"کد ناشناخته"))</f>
        <v/>
      </c>
      <c r="E1267" s="15" t="n"/>
      <c r="F1267" s="14">
        <f>IF($B1267="","",IFERROR(INDEX(WageDates,MATCH($B1267,WageIds,0)),"—"))</f>
        <v/>
      </c>
      <c r="G1267" s="14">
        <f>IF($B1267="","",IFERROR(VLOOKUP(INDEX(WageParty,MATCH($B1267,WageIds,0)),WGTbl,2,0),"—"))</f>
        <v/>
      </c>
      <c r="H1267" s="12" t="n"/>
    </row>
    <row r="1268">
      <c r="A1268" s="19">
        <f>IF($B1268="","",COUNTA($B$9:$B1268))</f>
        <v/>
      </c>
      <c r="B1268" s="12" t="n"/>
      <c r="C1268" s="13" t="n"/>
      <c r="D1268" s="20">
        <f>IF($C1268="","",IFERROR(IF(VLOOKUP($C1268,AcctTblE,4,0)="","(بدون نام)",VLOOKUP($C1268,AcctTblE,4,0)),"کد ناشناخته"))</f>
        <v/>
      </c>
      <c r="E1268" s="15" t="n"/>
      <c r="F1268" s="20">
        <f>IF($B1268="","",IFERROR(INDEX(WageDates,MATCH($B1268,WageIds,0)),"—"))</f>
        <v/>
      </c>
      <c r="G1268" s="20">
        <f>IF($B1268="","",IFERROR(VLOOKUP(INDEX(WageParty,MATCH($B1268,WageIds,0)),WGTbl,2,0),"—"))</f>
        <v/>
      </c>
      <c r="H1268" s="12" t="n"/>
    </row>
    <row r="1269">
      <c r="A1269" s="10">
        <f>IF($B1269="","",COUNTA($B$9:$B1269))</f>
        <v/>
      </c>
      <c r="B1269" s="12" t="n"/>
      <c r="C1269" s="13" t="n"/>
      <c r="D1269" s="14">
        <f>IF($C1269="","",IFERROR(IF(VLOOKUP($C1269,AcctTblE,4,0)="","(بدون نام)",VLOOKUP($C1269,AcctTblE,4,0)),"کد ناشناخته"))</f>
        <v/>
      </c>
      <c r="E1269" s="15" t="n"/>
      <c r="F1269" s="14">
        <f>IF($B1269="","",IFERROR(INDEX(WageDates,MATCH($B1269,WageIds,0)),"—"))</f>
        <v/>
      </c>
      <c r="G1269" s="14">
        <f>IF($B1269="","",IFERROR(VLOOKUP(INDEX(WageParty,MATCH($B1269,WageIds,0)),WGTbl,2,0),"—"))</f>
        <v/>
      </c>
      <c r="H1269" s="12" t="n"/>
    </row>
    <row r="1270">
      <c r="A1270" s="19">
        <f>IF($B1270="","",COUNTA($B$9:$B1270))</f>
        <v/>
      </c>
      <c r="B1270" s="12" t="n"/>
      <c r="C1270" s="13" t="n"/>
      <c r="D1270" s="20">
        <f>IF($C1270="","",IFERROR(IF(VLOOKUP($C1270,AcctTblE,4,0)="","(بدون نام)",VLOOKUP($C1270,AcctTblE,4,0)),"کد ناشناخته"))</f>
        <v/>
      </c>
      <c r="E1270" s="15" t="n"/>
      <c r="F1270" s="20">
        <f>IF($B1270="","",IFERROR(INDEX(WageDates,MATCH($B1270,WageIds,0)),"—"))</f>
        <v/>
      </c>
      <c r="G1270" s="20">
        <f>IF($B1270="","",IFERROR(VLOOKUP(INDEX(WageParty,MATCH($B1270,WageIds,0)),WGTbl,2,0),"—"))</f>
        <v/>
      </c>
      <c r="H1270" s="12" t="n"/>
    </row>
    <row r="1271">
      <c r="A1271" s="10">
        <f>IF($B1271="","",COUNTA($B$9:$B1271))</f>
        <v/>
      </c>
      <c r="B1271" s="12" t="n"/>
      <c r="C1271" s="13" t="n"/>
      <c r="D1271" s="14">
        <f>IF($C1271="","",IFERROR(IF(VLOOKUP($C1271,AcctTblE,4,0)="","(بدون نام)",VLOOKUP($C1271,AcctTblE,4,0)),"کد ناشناخته"))</f>
        <v/>
      </c>
      <c r="E1271" s="15" t="n"/>
      <c r="F1271" s="14">
        <f>IF($B1271="","",IFERROR(INDEX(WageDates,MATCH($B1271,WageIds,0)),"—"))</f>
        <v/>
      </c>
      <c r="G1271" s="14">
        <f>IF($B1271="","",IFERROR(VLOOKUP(INDEX(WageParty,MATCH($B1271,WageIds,0)),WGTbl,2,0),"—"))</f>
        <v/>
      </c>
      <c r="H1271" s="12" t="n"/>
    </row>
    <row r="1272">
      <c r="A1272" s="19">
        <f>IF($B1272="","",COUNTA($B$9:$B1272))</f>
        <v/>
      </c>
      <c r="B1272" s="12" t="n"/>
      <c r="C1272" s="13" t="n"/>
      <c r="D1272" s="20">
        <f>IF($C1272="","",IFERROR(IF(VLOOKUP($C1272,AcctTblE,4,0)="","(بدون نام)",VLOOKUP($C1272,AcctTblE,4,0)),"کد ناشناخته"))</f>
        <v/>
      </c>
      <c r="E1272" s="15" t="n"/>
      <c r="F1272" s="20">
        <f>IF($B1272="","",IFERROR(INDEX(WageDates,MATCH($B1272,WageIds,0)),"—"))</f>
        <v/>
      </c>
      <c r="G1272" s="20">
        <f>IF($B1272="","",IFERROR(VLOOKUP(INDEX(WageParty,MATCH($B1272,WageIds,0)),WGTbl,2,0),"—"))</f>
        <v/>
      </c>
      <c r="H1272" s="12" t="n"/>
    </row>
    <row r="1273">
      <c r="A1273" s="10">
        <f>IF($B1273="","",COUNTA($B$9:$B1273))</f>
        <v/>
      </c>
      <c r="B1273" s="12" t="n"/>
      <c r="C1273" s="13" t="n"/>
      <c r="D1273" s="14">
        <f>IF($C1273="","",IFERROR(IF(VLOOKUP($C1273,AcctTblE,4,0)="","(بدون نام)",VLOOKUP($C1273,AcctTblE,4,0)),"کد ناشناخته"))</f>
        <v/>
      </c>
      <c r="E1273" s="15" t="n"/>
      <c r="F1273" s="14">
        <f>IF($B1273="","",IFERROR(INDEX(WageDates,MATCH($B1273,WageIds,0)),"—"))</f>
        <v/>
      </c>
      <c r="G1273" s="14">
        <f>IF($B1273="","",IFERROR(VLOOKUP(INDEX(WageParty,MATCH($B1273,WageIds,0)),WGTbl,2,0),"—"))</f>
        <v/>
      </c>
      <c r="H1273" s="12" t="n"/>
    </row>
    <row r="1274">
      <c r="A1274" s="19">
        <f>IF($B1274="","",COUNTA($B$9:$B1274))</f>
        <v/>
      </c>
      <c r="B1274" s="12" t="n"/>
      <c r="C1274" s="13" t="n"/>
      <c r="D1274" s="20">
        <f>IF($C1274="","",IFERROR(IF(VLOOKUP($C1274,AcctTblE,4,0)="","(بدون نام)",VLOOKUP($C1274,AcctTblE,4,0)),"کد ناشناخته"))</f>
        <v/>
      </c>
      <c r="E1274" s="15" t="n"/>
      <c r="F1274" s="20">
        <f>IF($B1274="","",IFERROR(INDEX(WageDates,MATCH($B1274,WageIds,0)),"—"))</f>
        <v/>
      </c>
      <c r="G1274" s="20">
        <f>IF($B1274="","",IFERROR(VLOOKUP(INDEX(WageParty,MATCH($B1274,WageIds,0)),WGTbl,2,0),"—"))</f>
        <v/>
      </c>
      <c r="H1274" s="12" t="n"/>
    </row>
    <row r="1275">
      <c r="A1275" s="10">
        <f>IF($B1275="","",COUNTA($B$9:$B1275))</f>
        <v/>
      </c>
      <c r="B1275" s="12" t="n"/>
      <c r="C1275" s="13" t="n"/>
      <c r="D1275" s="14">
        <f>IF($C1275="","",IFERROR(IF(VLOOKUP($C1275,AcctTblE,4,0)="","(بدون نام)",VLOOKUP($C1275,AcctTblE,4,0)),"کد ناشناخته"))</f>
        <v/>
      </c>
      <c r="E1275" s="15" t="n"/>
      <c r="F1275" s="14">
        <f>IF($B1275="","",IFERROR(INDEX(WageDates,MATCH($B1275,WageIds,0)),"—"))</f>
        <v/>
      </c>
      <c r="G1275" s="14">
        <f>IF($B1275="","",IFERROR(VLOOKUP(INDEX(WageParty,MATCH($B1275,WageIds,0)),WGTbl,2,0),"—"))</f>
        <v/>
      </c>
      <c r="H1275" s="12" t="n"/>
    </row>
    <row r="1276">
      <c r="A1276" s="19">
        <f>IF($B1276="","",COUNTA($B$9:$B1276))</f>
        <v/>
      </c>
      <c r="B1276" s="12" t="n"/>
      <c r="C1276" s="13" t="n"/>
      <c r="D1276" s="20">
        <f>IF($C1276="","",IFERROR(IF(VLOOKUP($C1276,AcctTblE,4,0)="","(بدون نام)",VLOOKUP($C1276,AcctTblE,4,0)),"کد ناشناخته"))</f>
        <v/>
      </c>
      <c r="E1276" s="15" t="n"/>
      <c r="F1276" s="20">
        <f>IF($B1276="","",IFERROR(INDEX(WageDates,MATCH($B1276,WageIds,0)),"—"))</f>
        <v/>
      </c>
      <c r="G1276" s="20">
        <f>IF($B1276="","",IFERROR(VLOOKUP(INDEX(WageParty,MATCH($B1276,WageIds,0)),WGTbl,2,0),"—"))</f>
        <v/>
      </c>
      <c r="H1276" s="12" t="n"/>
    </row>
    <row r="1277">
      <c r="A1277" s="10">
        <f>IF($B1277="","",COUNTA($B$9:$B1277))</f>
        <v/>
      </c>
      <c r="B1277" s="12" t="n"/>
      <c r="C1277" s="13" t="n"/>
      <c r="D1277" s="14">
        <f>IF($C1277="","",IFERROR(IF(VLOOKUP($C1277,AcctTblE,4,0)="","(بدون نام)",VLOOKUP($C1277,AcctTblE,4,0)),"کد ناشناخته"))</f>
        <v/>
      </c>
      <c r="E1277" s="15" t="n"/>
      <c r="F1277" s="14">
        <f>IF($B1277="","",IFERROR(INDEX(WageDates,MATCH($B1277,WageIds,0)),"—"))</f>
        <v/>
      </c>
      <c r="G1277" s="14">
        <f>IF($B1277="","",IFERROR(VLOOKUP(INDEX(WageParty,MATCH($B1277,WageIds,0)),WGTbl,2,0),"—"))</f>
        <v/>
      </c>
      <c r="H1277" s="12" t="n"/>
    </row>
    <row r="1278">
      <c r="A1278" s="19">
        <f>IF($B1278="","",COUNTA($B$9:$B1278))</f>
        <v/>
      </c>
      <c r="B1278" s="12" t="n"/>
      <c r="C1278" s="13" t="n"/>
      <c r="D1278" s="20">
        <f>IF($C1278="","",IFERROR(IF(VLOOKUP($C1278,AcctTblE,4,0)="","(بدون نام)",VLOOKUP($C1278,AcctTblE,4,0)),"کد ناشناخته"))</f>
        <v/>
      </c>
      <c r="E1278" s="15" t="n"/>
      <c r="F1278" s="20">
        <f>IF($B1278="","",IFERROR(INDEX(WageDates,MATCH($B1278,WageIds,0)),"—"))</f>
        <v/>
      </c>
      <c r="G1278" s="20">
        <f>IF($B1278="","",IFERROR(VLOOKUP(INDEX(WageParty,MATCH($B1278,WageIds,0)),WGTbl,2,0),"—"))</f>
        <v/>
      </c>
      <c r="H1278" s="12" t="n"/>
    </row>
    <row r="1279">
      <c r="A1279" s="10">
        <f>IF($B1279="","",COUNTA($B$9:$B1279))</f>
        <v/>
      </c>
      <c r="B1279" s="12" t="n"/>
      <c r="C1279" s="13" t="n"/>
      <c r="D1279" s="14">
        <f>IF($C1279="","",IFERROR(IF(VLOOKUP($C1279,AcctTblE,4,0)="","(بدون نام)",VLOOKUP($C1279,AcctTblE,4,0)),"کد ناشناخته"))</f>
        <v/>
      </c>
      <c r="E1279" s="15" t="n"/>
      <c r="F1279" s="14">
        <f>IF($B1279="","",IFERROR(INDEX(WageDates,MATCH($B1279,WageIds,0)),"—"))</f>
        <v/>
      </c>
      <c r="G1279" s="14">
        <f>IF($B1279="","",IFERROR(VLOOKUP(INDEX(WageParty,MATCH($B1279,WageIds,0)),WGTbl,2,0),"—"))</f>
        <v/>
      </c>
      <c r="H1279" s="12" t="n"/>
    </row>
    <row r="1280">
      <c r="A1280" s="19">
        <f>IF($B1280="","",COUNTA($B$9:$B1280))</f>
        <v/>
      </c>
      <c r="B1280" s="12" t="n"/>
      <c r="C1280" s="13" t="n"/>
      <c r="D1280" s="20">
        <f>IF($C1280="","",IFERROR(IF(VLOOKUP($C1280,AcctTblE,4,0)="","(بدون نام)",VLOOKUP($C1280,AcctTblE,4,0)),"کد ناشناخته"))</f>
        <v/>
      </c>
      <c r="E1280" s="15" t="n"/>
      <c r="F1280" s="20">
        <f>IF($B1280="","",IFERROR(INDEX(WageDates,MATCH($B1280,WageIds,0)),"—"))</f>
        <v/>
      </c>
      <c r="G1280" s="20">
        <f>IF($B1280="","",IFERROR(VLOOKUP(INDEX(WageParty,MATCH($B1280,WageIds,0)),WGTbl,2,0),"—"))</f>
        <v/>
      </c>
      <c r="H1280" s="12" t="n"/>
    </row>
    <row r="1281">
      <c r="A1281" s="10">
        <f>IF($B1281="","",COUNTA($B$9:$B1281))</f>
        <v/>
      </c>
      <c r="B1281" s="12" t="n"/>
      <c r="C1281" s="13" t="n"/>
      <c r="D1281" s="14">
        <f>IF($C1281="","",IFERROR(IF(VLOOKUP($C1281,AcctTblE,4,0)="","(بدون نام)",VLOOKUP($C1281,AcctTblE,4,0)),"کد ناشناخته"))</f>
        <v/>
      </c>
      <c r="E1281" s="15" t="n"/>
      <c r="F1281" s="14">
        <f>IF($B1281="","",IFERROR(INDEX(WageDates,MATCH($B1281,WageIds,0)),"—"))</f>
        <v/>
      </c>
      <c r="G1281" s="14">
        <f>IF($B1281="","",IFERROR(VLOOKUP(INDEX(WageParty,MATCH($B1281,WageIds,0)),WGTbl,2,0),"—"))</f>
        <v/>
      </c>
      <c r="H1281" s="12" t="n"/>
    </row>
    <row r="1282">
      <c r="A1282" s="19">
        <f>IF($B1282="","",COUNTA($B$9:$B1282))</f>
        <v/>
      </c>
      <c r="B1282" s="12" t="n"/>
      <c r="C1282" s="13" t="n"/>
      <c r="D1282" s="20">
        <f>IF($C1282="","",IFERROR(IF(VLOOKUP($C1282,AcctTblE,4,0)="","(بدون نام)",VLOOKUP($C1282,AcctTblE,4,0)),"کد ناشناخته"))</f>
        <v/>
      </c>
      <c r="E1282" s="15" t="n"/>
      <c r="F1282" s="20">
        <f>IF($B1282="","",IFERROR(INDEX(WageDates,MATCH($B1282,WageIds,0)),"—"))</f>
        <v/>
      </c>
      <c r="G1282" s="20">
        <f>IF($B1282="","",IFERROR(VLOOKUP(INDEX(WageParty,MATCH($B1282,WageIds,0)),WGTbl,2,0),"—"))</f>
        <v/>
      </c>
      <c r="H1282" s="12" t="n"/>
    </row>
    <row r="1283">
      <c r="A1283" s="10">
        <f>IF($B1283="","",COUNTA($B$9:$B1283))</f>
        <v/>
      </c>
      <c r="B1283" s="12" t="n"/>
      <c r="C1283" s="13" t="n"/>
      <c r="D1283" s="14">
        <f>IF($C1283="","",IFERROR(IF(VLOOKUP($C1283,AcctTblE,4,0)="","(بدون نام)",VLOOKUP($C1283,AcctTblE,4,0)),"کد ناشناخته"))</f>
        <v/>
      </c>
      <c r="E1283" s="15" t="n"/>
      <c r="F1283" s="14">
        <f>IF($B1283="","",IFERROR(INDEX(WageDates,MATCH($B1283,WageIds,0)),"—"))</f>
        <v/>
      </c>
      <c r="G1283" s="14">
        <f>IF($B1283="","",IFERROR(VLOOKUP(INDEX(WageParty,MATCH($B1283,WageIds,0)),WGTbl,2,0),"—"))</f>
        <v/>
      </c>
      <c r="H1283" s="12" t="n"/>
    </row>
    <row r="1284">
      <c r="A1284" s="19">
        <f>IF($B1284="","",COUNTA($B$9:$B1284))</f>
        <v/>
      </c>
      <c r="B1284" s="12" t="n"/>
      <c r="C1284" s="13" t="n"/>
      <c r="D1284" s="20">
        <f>IF($C1284="","",IFERROR(IF(VLOOKUP($C1284,AcctTblE,4,0)="","(بدون نام)",VLOOKUP($C1284,AcctTblE,4,0)),"کد ناشناخته"))</f>
        <v/>
      </c>
      <c r="E1284" s="15" t="n"/>
      <c r="F1284" s="20">
        <f>IF($B1284="","",IFERROR(INDEX(WageDates,MATCH($B1284,WageIds,0)),"—"))</f>
        <v/>
      </c>
      <c r="G1284" s="20">
        <f>IF($B1284="","",IFERROR(VLOOKUP(INDEX(WageParty,MATCH($B1284,WageIds,0)),WGTbl,2,0),"—"))</f>
        <v/>
      </c>
      <c r="H1284" s="12" t="n"/>
    </row>
    <row r="1285">
      <c r="A1285" s="10">
        <f>IF($B1285="","",COUNTA($B$9:$B1285))</f>
        <v/>
      </c>
      <c r="B1285" s="12" t="n"/>
      <c r="C1285" s="13" t="n"/>
      <c r="D1285" s="14">
        <f>IF($C1285="","",IFERROR(IF(VLOOKUP($C1285,AcctTblE,4,0)="","(بدون نام)",VLOOKUP($C1285,AcctTblE,4,0)),"کد ناشناخته"))</f>
        <v/>
      </c>
      <c r="E1285" s="15" t="n"/>
      <c r="F1285" s="14">
        <f>IF($B1285="","",IFERROR(INDEX(WageDates,MATCH($B1285,WageIds,0)),"—"))</f>
        <v/>
      </c>
      <c r="G1285" s="14">
        <f>IF($B1285="","",IFERROR(VLOOKUP(INDEX(WageParty,MATCH($B1285,WageIds,0)),WGTbl,2,0),"—"))</f>
        <v/>
      </c>
      <c r="H1285" s="12" t="n"/>
    </row>
    <row r="1286">
      <c r="A1286" s="19">
        <f>IF($B1286="","",COUNTA($B$9:$B1286))</f>
        <v/>
      </c>
      <c r="B1286" s="12" t="n"/>
      <c r="C1286" s="13" t="n"/>
      <c r="D1286" s="20">
        <f>IF($C1286="","",IFERROR(IF(VLOOKUP($C1286,AcctTblE,4,0)="","(بدون نام)",VLOOKUP($C1286,AcctTblE,4,0)),"کد ناشناخته"))</f>
        <v/>
      </c>
      <c r="E1286" s="15" t="n"/>
      <c r="F1286" s="20">
        <f>IF($B1286="","",IFERROR(INDEX(WageDates,MATCH($B1286,WageIds,0)),"—"))</f>
        <v/>
      </c>
      <c r="G1286" s="20">
        <f>IF($B1286="","",IFERROR(VLOOKUP(INDEX(WageParty,MATCH($B1286,WageIds,0)),WGTbl,2,0),"—"))</f>
        <v/>
      </c>
      <c r="H1286" s="12" t="n"/>
    </row>
    <row r="1287">
      <c r="A1287" s="10">
        <f>IF($B1287="","",COUNTA($B$9:$B1287))</f>
        <v/>
      </c>
      <c r="B1287" s="12" t="n"/>
      <c r="C1287" s="13" t="n"/>
      <c r="D1287" s="14">
        <f>IF($C1287="","",IFERROR(IF(VLOOKUP($C1287,AcctTblE,4,0)="","(بدون نام)",VLOOKUP($C1287,AcctTblE,4,0)),"کد ناشناخته"))</f>
        <v/>
      </c>
      <c r="E1287" s="15" t="n"/>
      <c r="F1287" s="14">
        <f>IF($B1287="","",IFERROR(INDEX(WageDates,MATCH($B1287,WageIds,0)),"—"))</f>
        <v/>
      </c>
      <c r="G1287" s="14">
        <f>IF($B1287="","",IFERROR(VLOOKUP(INDEX(WageParty,MATCH($B1287,WageIds,0)),WGTbl,2,0),"—"))</f>
        <v/>
      </c>
      <c r="H1287" s="12" t="n"/>
    </row>
    <row r="1288">
      <c r="A1288" s="19">
        <f>IF($B1288="","",COUNTA($B$9:$B1288))</f>
        <v/>
      </c>
      <c r="B1288" s="12" t="n"/>
      <c r="C1288" s="13" t="n"/>
      <c r="D1288" s="20">
        <f>IF($C1288="","",IFERROR(IF(VLOOKUP($C1288,AcctTblE,4,0)="","(بدون نام)",VLOOKUP($C1288,AcctTblE,4,0)),"کد ناشناخته"))</f>
        <v/>
      </c>
      <c r="E1288" s="15" t="n"/>
      <c r="F1288" s="20">
        <f>IF($B1288="","",IFERROR(INDEX(WageDates,MATCH($B1288,WageIds,0)),"—"))</f>
        <v/>
      </c>
      <c r="G1288" s="20">
        <f>IF($B1288="","",IFERROR(VLOOKUP(INDEX(WageParty,MATCH($B1288,WageIds,0)),WGTbl,2,0),"—"))</f>
        <v/>
      </c>
      <c r="H1288" s="12" t="n"/>
    </row>
    <row r="1289">
      <c r="A1289" s="10">
        <f>IF($B1289="","",COUNTA($B$9:$B1289))</f>
        <v/>
      </c>
      <c r="B1289" s="12" t="n"/>
      <c r="C1289" s="13" t="n"/>
      <c r="D1289" s="14">
        <f>IF($C1289="","",IFERROR(IF(VLOOKUP($C1289,AcctTblE,4,0)="","(بدون نام)",VLOOKUP($C1289,AcctTblE,4,0)),"کد ناشناخته"))</f>
        <v/>
      </c>
      <c r="E1289" s="15" t="n"/>
      <c r="F1289" s="14">
        <f>IF($B1289="","",IFERROR(INDEX(WageDates,MATCH($B1289,WageIds,0)),"—"))</f>
        <v/>
      </c>
      <c r="G1289" s="14">
        <f>IF($B1289="","",IFERROR(VLOOKUP(INDEX(WageParty,MATCH($B1289,WageIds,0)),WGTbl,2,0),"—"))</f>
        <v/>
      </c>
      <c r="H1289" s="12" t="n"/>
    </row>
    <row r="1290">
      <c r="A1290" s="19">
        <f>IF($B1290="","",COUNTA($B$9:$B1290))</f>
        <v/>
      </c>
      <c r="B1290" s="12" t="n"/>
      <c r="C1290" s="13" t="n"/>
      <c r="D1290" s="20">
        <f>IF($C1290="","",IFERROR(IF(VLOOKUP($C1290,AcctTblE,4,0)="","(بدون نام)",VLOOKUP($C1290,AcctTblE,4,0)),"کد ناشناخته"))</f>
        <v/>
      </c>
      <c r="E1290" s="15" t="n"/>
      <c r="F1290" s="20">
        <f>IF($B1290="","",IFERROR(INDEX(WageDates,MATCH($B1290,WageIds,0)),"—"))</f>
        <v/>
      </c>
      <c r="G1290" s="20">
        <f>IF($B1290="","",IFERROR(VLOOKUP(INDEX(WageParty,MATCH($B1290,WageIds,0)),WGTbl,2,0),"—"))</f>
        <v/>
      </c>
      <c r="H1290" s="12" t="n"/>
    </row>
    <row r="1291">
      <c r="A1291" s="10">
        <f>IF($B1291="","",COUNTA($B$9:$B1291))</f>
        <v/>
      </c>
      <c r="B1291" s="12" t="n"/>
      <c r="C1291" s="13" t="n"/>
      <c r="D1291" s="14">
        <f>IF($C1291="","",IFERROR(IF(VLOOKUP($C1291,AcctTblE,4,0)="","(بدون نام)",VLOOKUP($C1291,AcctTblE,4,0)),"کد ناشناخته"))</f>
        <v/>
      </c>
      <c r="E1291" s="15" t="n"/>
      <c r="F1291" s="14">
        <f>IF($B1291="","",IFERROR(INDEX(WageDates,MATCH($B1291,WageIds,0)),"—"))</f>
        <v/>
      </c>
      <c r="G1291" s="14">
        <f>IF($B1291="","",IFERROR(VLOOKUP(INDEX(WageParty,MATCH($B1291,WageIds,0)),WGTbl,2,0),"—"))</f>
        <v/>
      </c>
      <c r="H1291" s="12" t="n"/>
    </row>
    <row r="1292">
      <c r="A1292" s="19">
        <f>IF($B1292="","",COUNTA($B$9:$B1292))</f>
        <v/>
      </c>
      <c r="B1292" s="12" t="n"/>
      <c r="C1292" s="13" t="n"/>
      <c r="D1292" s="20">
        <f>IF($C1292="","",IFERROR(IF(VLOOKUP($C1292,AcctTblE,4,0)="","(بدون نام)",VLOOKUP($C1292,AcctTblE,4,0)),"کد ناشناخته"))</f>
        <v/>
      </c>
      <c r="E1292" s="15" t="n"/>
      <c r="F1292" s="20">
        <f>IF($B1292="","",IFERROR(INDEX(WageDates,MATCH($B1292,WageIds,0)),"—"))</f>
        <v/>
      </c>
      <c r="G1292" s="20">
        <f>IF($B1292="","",IFERROR(VLOOKUP(INDEX(WageParty,MATCH($B1292,WageIds,0)),WGTbl,2,0),"—"))</f>
        <v/>
      </c>
      <c r="H1292" s="12" t="n"/>
    </row>
    <row r="1293">
      <c r="A1293" s="10">
        <f>IF($B1293="","",COUNTA($B$9:$B1293))</f>
        <v/>
      </c>
      <c r="B1293" s="12" t="n"/>
      <c r="C1293" s="13" t="n"/>
      <c r="D1293" s="14">
        <f>IF($C1293="","",IFERROR(IF(VLOOKUP($C1293,AcctTblE,4,0)="","(بدون نام)",VLOOKUP($C1293,AcctTblE,4,0)),"کد ناشناخته"))</f>
        <v/>
      </c>
      <c r="E1293" s="15" t="n"/>
      <c r="F1293" s="14">
        <f>IF($B1293="","",IFERROR(INDEX(WageDates,MATCH($B1293,WageIds,0)),"—"))</f>
        <v/>
      </c>
      <c r="G1293" s="14">
        <f>IF($B1293="","",IFERROR(VLOOKUP(INDEX(WageParty,MATCH($B1293,WageIds,0)),WGTbl,2,0),"—"))</f>
        <v/>
      </c>
      <c r="H1293" s="12" t="n"/>
    </row>
    <row r="1294">
      <c r="A1294" s="19">
        <f>IF($B1294="","",COUNTA($B$9:$B1294))</f>
        <v/>
      </c>
      <c r="B1294" s="12" t="n"/>
      <c r="C1294" s="13" t="n"/>
      <c r="D1294" s="20">
        <f>IF($C1294="","",IFERROR(IF(VLOOKUP($C1294,AcctTblE,4,0)="","(بدون نام)",VLOOKUP($C1294,AcctTblE,4,0)),"کد ناشناخته"))</f>
        <v/>
      </c>
      <c r="E1294" s="15" t="n"/>
      <c r="F1294" s="20">
        <f>IF($B1294="","",IFERROR(INDEX(WageDates,MATCH($B1294,WageIds,0)),"—"))</f>
        <v/>
      </c>
      <c r="G1294" s="20">
        <f>IF($B1294="","",IFERROR(VLOOKUP(INDEX(WageParty,MATCH($B1294,WageIds,0)),WGTbl,2,0),"—"))</f>
        <v/>
      </c>
      <c r="H1294" s="12" t="n"/>
    </row>
    <row r="1295">
      <c r="A1295" s="10">
        <f>IF($B1295="","",COUNTA($B$9:$B1295))</f>
        <v/>
      </c>
      <c r="B1295" s="12" t="n"/>
      <c r="C1295" s="13" t="n"/>
      <c r="D1295" s="14">
        <f>IF($C1295="","",IFERROR(IF(VLOOKUP($C1295,AcctTblE,4,0)="","(بدون نام)",VLOOKUP($C1295,AcctTblE,4,0)),"کد ناشناخته"))</f>
        <v/>
      </c>
      <c r="E1295" s="15" t="n"/>
      <c r="F1295" s="14">
        <f>IF($B1295="","",IFERROR(INDEX(WageDates,MATCH($B1295,WageIds,0)),"—"))</f>
        <v/>
      </c>
      <c r="G1295" s="14">
        <f>IF($B1295="","",IFERROR(VLOOKUP(INDEX(WageParty,MATCH($B1295,WageIds,0)),WGTbl,2,0),"—"))</f>
        <v/>
      </c>
      <c r="H1295" s="12" t="n"/>
    </row>
    <row r="1296">
      <c r="A1296" s="19">
        <f>IF($B1296="","",COUNTA($B$9:$B1296))</f>
        <v/>
      </c>
      <c r="B1296" s="12" t="n"/>
      <c r="C1296" s="13" t="n"/>
      <c r="D1296" s="20">
        <f>IF($C1296="","",IFERROR(IF(VLOOKUP($C1296,AcctTblE,4,0)="","(بدون نام)",VLOOKUP($C1296,AcctTblE,4,0)),"کد ناشناخته"))</f>
        <v/>
      </c>
      <c r="E1296" s="15" t="n"/>
      <c r="F1296" s="20">
        <f>IF($B1296="","",IFERROR(INDEX(WageDates,MATCH($B1296,WageIds,0)),"—"))</f>
        <v/>
      </c>
      <c r="G1296" s="20">
        <f>IF($B1296="","",IFERROR(VLOOKUP(INDEX(WageParty,MATCH($B1296,WageIds,0)),WGTbl,2,0),"—"))</f>
        <v/>
      </c>
      <c r="H1296" s="12" t="n"/>
    </row>
    <row r="1297">
      <c r="A1297" s="10">
        <f>IF($B1297="","",COUNTA($B$9:$B1297))</f>
        <v/>
      </c>
      <c r="B1297" s="12" t="n"/>
      <c r="C1297" s="13" t="n"/>
      <c r="D1297" s="14">
        <f>IF($C1297="","",IFERROR(IF(VLOOKUP($C1297,AcctTblE,4,0)="","(بدون نام)",VLOOKUP($C1297,AcctTblE,4,0)),"کد ناشناخته"))</f>
        <v/>
      </c>
      <c r="E1297" s="15" t="n"/>
      <c r="F1297" s="14">
        <f>IF($B1297="","",IFERROR(INDEX(WageDates,MATCH($B1297,WageIds,0)),"—"))</f>
        <v/>
      </c>
      <c r="G1297" s="14">
        <f>IF($B1297="","",IFERROR(VLOOKUP(INDEX(WageParty,MATCH($B1297,WageIds,0)),WGTbl,2,0),"—"))</f>
        <v/>
      </c>
      <c r="H1297" s="12" t="n"/>
    </row>
    <row r="1298">
      <c r="A1298" s="19">
        <f>IF($B1298="","",COUNTA($B$9:$B1298))</f>
        <v/>
      </c>
      <c r="B1298" s="12" t="n"/>
      <c r="C1298" s="13" t="n"/>
      <c r="D1298" s="20">
        <f>IF($C1298="","",IFERROR(IF(VLOOKUP($C1298,AcctTblE,4,0)="","(بدون نام)",VLOOKUP($C1298,AcctTblE,4,0)),"کد ناشناخته"))</f>
        <v/>
      </c>
      <c r="E1298" s="15" t="n"/>
      <c r="F1298" s="20">
        <f>IF($B1298="","",IFERROR(INDEX(WageDates,MATCH($B1298,WageIds,0)),"—"))</f>
        <v/>
      </c>
      <c r="G1298" s="20">
        <f>IF($B1298="","",IFERROR(VLOOKUP(INDEX(WageParty,MATCH($B1298,WageIds,0)),WGTbl,2,0),"—"))</f>
        <v/>
      </c>
      <c r="H1298" s="12" t="n"/>
    </row>
    <row r="1299">
      <c r="A1299" s="10">
        <f>IF($B1299="","",COUNTA($B$9:$B1299))</f>
        <v/>
      </c>
      <c r="B1299" s="12" t="n"/>
      <c r="C1299" s="13" t="n"/>
      <c r="D1299" s="14">
        <f>IF($C1299="","",IFERROR(IF(VLOOKUP($C1299,AcctTblE,4,0)="","(بدون نام)",VLOOKUP($C1299,AcctTblE,4,0)),"کد ناشناخته"))</f>
        <v/>
      </c>
      <c r="E1299" s="15" t="n"/>
      <c r="F1299" s="14">
        <f>IF($B1299="","",IFERROR(INDEX(WageDates,MATCH($B1299,WageIds,0)),"—"))</f>
        <v/>
      </c>
      <c r="G1299" s="14">
        <f>IF($B1299="","",IFERROR(VLOOKUP(INDEX(WageParty,MATCH($B1299,WageIds,0)),WGTbl,2,0),"—"))</f>
        <v/>
      </c>
      <c r="H1299" s="12" t="n"/>
    </row>
    <row r="1300">
      <c r="A1300" s="19">
        <f>IF($B1300="","",COUNTA($B$9:$B1300))</f>
        <v/>
      </c>
      <c r="B1300" s="12" t="n"/>
      <c r="C1300" s="13" t="n"/>
      <c r="D1300" s="20">
        <f>IF($C1300="","",IFERROR(IF(VLOOKUP($C1300,AcctTblE,4,0)="","(بدون نام)",VLOOKUP($C1300,AcctTblE,4,0)),"کد ناشناخته"))</f>
        <v/>
      </c>
      <c r="E1300" s="15" t="n"/>
      <c r="F1300" s="20">
        <f>IF($B1300="","",IFERROR(INDEX(WageDates,MATCH($B1300,WageIds,0)),"—"))</f>
        <v/>
      </c>
      <c r="G1300" s="20">
        <f>IF($B1300="","",IFERROR(VLOOKUP(INDEX(WageParty,MATCH($B1300,WageIds,0)),WGTbl,2,0),"—"))</f>
        <v/>
      </c>
      <c r="H1300" s="12" t="n"/>
    </row>
    <row r="1301">
      <c r="A1301" s="10">
        <f>IF($B1301="","",COUNTA($B$9:$B1301))</f>
        <v/>
      </c>
      <c r="B1301" s="12" t="n"/>
      <c r="C1301" s="13" t="n"/>
      <c r="D1301" s="14">
        <f>IF($C1301="","",IFERROR(IF(VLOOKUP($C1301,AcctTblE,4,0)="","(بدون نام)",VLOOKUP($C1301,AcctTblE,4,0)),"کد ناشناخته"))</f>
        <v/>
      </c>
      <c r="E1301" s="15" t="n"/>
      <c r="F1301" s="14">
        <f>IF($B1301="","",IFERROR(INDEX(WageDates,MATCH($B1301,WageIds,0)),"—"))</f>
        <v/>
      </c>
      <c r="G1301" s="14">
        <f>IF($B1301="","",IFERROR(VLOOKUP(INDEX(WageParty,MATCH($B1301,WageIds,0)),WGTbl,2,0),"—"))</f>
        <v/>
      </c>
      <c r="H1301" s="12" t="n"/>
    </row>
    <row r="1302">
      <c r="A1302" s="19">
        <f>IF($B1302="","",COUNTA($B$9:$B1302))</f>
        <v/>
      </c>
      <c r="B1302" s="12" t="n"/>
      <c r="C1302" s="13" t="n"/>
      <c r="D1302" s="20">
        <f>IF($C1302="","",IFERROR(IF(VLOOKUP($C1302,AcctTblE,4,0)="","(بدون نام)",VLOOKUP($C1302,AcctTblE,4,0)),"کد ناشناخته"))</f>
        <v/>
      </c>
      <c r="E1302" s="15" t="n"/>
      <c r="F1302" s="20">
        <f>IF($B1302="","",IFERROR(INDEX(WageDates,MATCH($B1302,WageIds,0)),"—"))</f>
        <v/>
      </c>
      <c r="G1302" s="20">
        <f>IF($B1302="","",IFERROR(VLOOKUP(INDEX(WageParty,MATCH($B1302,WageIds,0)),WGTbl,2,0),"—"))</f>
        <v/>
      </c>
      <c r="H1302" s="12" t="n"/>
    </row>
    <row r="1303">
      <c r="A1303" s="10">
        <f>IF($B1303="","",COUNTA($B$9:$B1303))</f>
        <v/>
      </c>
      <c r="B1303" s="12" t="n"/>
      <c r="C1303" s="13" t="n"/>
      <c r="D1303" s="14">
        <f>IF($C1303="","",IFERROR(IF(VLOOKUP($C1303,AcctTblE,4,0)="","(بدون نام)",VLOOKUP($C1303,AcctTblE,4,0)),"کد ناشناخته"))</f>
        <v/>
      </c>
      <c r="E1303" s="15" t="n"/>
      <c r="F1303" s="14">
        <f>IF($B1303="","",IFERROR(INDEX(WageDates,MATCH($B1303,WageIds,0)),"—"))</f>
        <v/>
      </c>
      <c r="G1303" s="14">
        <f>IF($B1303="","",IFERROR(VLOOKUP(INDEX(WageParty,MATCH($B1303,WageIds,0)),WGTbl,2,0),"—"))</f>
        <v/>
      </c>
      <c r="H1303" s="12" t="n"/>
    </row>
    <row r="1304">
      <c r="A1304" s="19">
        <f>IF($B1304="","",COUNTA($B$9:$B1304))</f>
        <v/>
      </c>
      <c r="B1304" s="12" t="n"/>
      <c r="C1304" s="13" t="n"/>
      <c r="D1304" s="20">
        <f>IF($C1304="","",IFERROR(IF(VLOOKUP($C1304,AcctTblE,4,0)="","(بدون نام)",VLOOKUP($C1304,AcctTblE,4,0)),"کد ناشناخته"))</f>
        <v/>
      </c>
      <c r="E1304" s="15" t="n"/>
      <c r="F1304" s="20">
        <f>IF($B1304="","",IFERROR(INDEX(WageDates,MATCH($B1304,WageIds,0)),"—"))</f>
        <v/>
      </c>
      <c r="G1304" s="20">
        <f>IF($B1304="","",IFERROR(VLOOKUP(INDEX(WageParty,MATCH($B1304,WageIds,0)),WGTbl,2,0),"—"))</f>
        <v/>
      </c>
      <c r="H1304" s="12" t="n"/>
    </row>
    <row r="1305">
      <c r="A1305" s="10">
        <f>IF($B1305="","",COUNTA($B$9:$B1305))</f>
        <v/>
      </c>
      <c r="B1305" s="12" t="n"/>
      <c r="C1305" s="13" t="n"/>
      <c r="D1305" s="14">
        <f>IF($C1305="","",IFERROR(IF(VLOOKUP($C1305,AcctTblE,4,0)="","(بدون نام)",VLOOKUP($C1305,AcctTblE,4,0)),"کد ناشناخته"))</f>
        <v/>
      </c>
      <c r="E1305" s="15" t="n"/>
      <c r="F1305" s="14">
        <f>IF($B1305="","",IFERROR(INDEX(WageDates,MATCH($B1305,WageIds,0)),"—"))</f>
        <v/>
      </c>
      <c r="G1305" s="14">
        <f>IF($B1305="","",IFERROR(VLOOKUP(INDEX(WageParty,MATCH($B1305,WageIds,0)),WGTbl,2,0),"—"))</f>
        <v/>
      </c>
      <c r="H1305" s="12" t="n"/>
    </row>
    <row r="1306">
      <c r="A1306" s="19">
        <f>IF($B1306="","",COUNTA($B$9:$B1306))</f>
        <v/>
      </c>
      <c r="B1306" s="12" t="n"/>
      <c r="C1306" s="13" t="n"/>
      <c r="D1306" s="20">
        <f>IF($C1306="","",IFERROR(IF(VLOOKUP($C1306,AcctTblE,4,0)="","(بدون نام)",VLOOKUP($C1306,AcctTblE,4,0)),"کد ناشناخته"))</f>
        <v/>
      </c>
      <c r="E1306" s="15" t="n"/>
      <c r="F1306" s="20">
        <f>IF($B1306="","",IFERROR(INDEX(WageDates,MATCH($B1306,WageIds,0)),"—"))</f>
        <v/>
      </c>
      <c r="G1306" s="20">
        <f>IF($B1306="","",IFERROR(VLOOKUP(INDEX(WageParty,MATCH($B1306,WageIds,0)),WGTbl,2,0),"—"))</f>
        <v/>
      </c>
      <c r="H1306" s="12" t="n"/>
    </row>
    <row r="1307">
      <c r="A1307" s="10">
        <f>IF($B1307="","",COUNTA($B$9:$B1307))</f>
        <v/>
      </c>
      <c r="B1307" s="12" t="n"/>
      <c r="C1307" s="13" t="n"/>
      <c r="D1307" s="14">
        <f>IF($C1307="","",IFERROR(IF(VLOOKUP($C1307,AcctTblE,4,0)="","(بدون نام)",VLOOKUP($C1307,AcctTblE,4,0)),"کد ناشناخته"))</f>
        <v/>
      </c>
      <c r="E1307" s="15" t="n"/>
      <c r="F1307" s="14">
        <f>IF($B1307="","",IFERROR(INDEX(WageDates,MATCH($B1307,WageIds,0)),"—"))</f>
        <v/>
      </c>
      <c r="G1307" s="14">
        <f>IF($B1307="","",IFERROR(VLOOKUP(INDEX(WageParty,MATCH($B1307,WageIds,0)),WGTbl,2,0),"—"))</f>
        <v/>
      </c>
      <c r="H1307" s="12" t="n"/>
    </row>
    <row r="1308">
      <c r="A1308" s="19">
        <f>IF($B1308="","",COUNTA($B$9:$B1308))</f>
        <v/>
      </c>
      <c r="B1308" s="12" t="n"/>
      <c r="C1308" s="13" t="n"/>
      <c r="D1308" s="20">
        <f>IF($C1308="","",IFERROR(IF(VLOOKUP($C1308,AcctTblE,4,0)="","(بدون نام)",VLOOKUP($C1308,AcctTblE,4,0)),"کد ناشناخته"))</f>
        <v/>
      </c>
      <c r="E1308" s="15" t="n"/>
      <c r="F1308" s="20">
        <f>IF($B1308="","",IFERROR(INDEX(WageDates,MATCH($B1308,WageIds,0)),"—"))</f>
        <v/>
      </c>
      <c r="G1308" s="20">
        <f>IF($B1308="","",IFERROR(VLOOKUP(INDEX(WageParty,MATCH($B1308,WageIds,0)),WGTbl,2,0),"—"))</f>
        <v/>
      </c>
      <c r="H1308" s="12" t="n"/>
    </row>
    <row r="1309">
      <c r="A1309" s="10">
        <f>IF($B1309="","",COUNTA($B$9:$B1309))</f>
        <v/>
      </c>
      <c r="B1309" s="12" t="n"/>
      <c r="C1309" s="13" t="n"/>
      <c r="D1309" s="14">
        <f>IF($C1309="","",IFERROR(IF(VLOOKUP($C1309,AcctTblE,4,0)="","(بدون نام)",VLOOKUP($C1309,AcctTblE,4,0)),"کد ناشناخته"))</f>
        <v/>
      </c>
      <c r="E1309" s="15" t="n"/>
      <c r="F1309" s="14">
        <f>IF($B1309="","",IFERROR(INDEX(WageDates,MATCH($B1309,WageIds,0)),"—"))</f>
        <v/>
      </c>
      <c r="G1309" s="14">
        <f>IF($B1309="","",IFERROR(VLOOKUP(INDEX(WageParty,MATCH($B1309,WageIds,0)),WGTbl,2,0),"—"))</f>
        <v/>
      </c>
      <c r="H1309" s="12" t="n"/>
    </row>
    <row r="1310">
      <c r="A1310" s="19">
        <f>IF($B1310="","",COUNTA($B$9:$B1310))</f>
        <v/>
      </c>
      <c r="B1310" s="12" t="n"/>
      <c r="C1310" s="13" t="n"/>
      <c r="D1310" s="20">
        <f>IF($C1310="","",IFERROR(IF(VLOOKUP($C1310,AcctTblE,4,0)="","(بدون نام)",VLOOKUP($C1310,AcctTblE,4,0)),"کد ناشناخته"))</f>
        <v/>
      </c>
      <c r="E1310" s="15" t="n"/>
      <c r="F1310" s="20">
        <f>IF($B1310="","",IFERROR(INDEX(WageDates,MATCH($B1310,WageIds,0)),"—"))</f>
        <v/>
      </c>
      <c r="G1310" s="20">
        <f>IF($B1310="","",IFERROR(VLOOKUP(INDEX(WageParty,MATCH($B1310,WageIds,0)),WGTbl,2,0),"—"))</f>
        <v/>
      </c>
      <c r="H1310" s="12" t="n"/>
    </row>
    <row r="1311">
      <c r="A1311" s="10">
        <f>IF($B1311="","",COUNTA($B$9:$B1311))</f>
        <v/>
      </c>
      <c r="B1311" s="12" t="n"/>
      <c r="C1311" s="13" t="n"/>
      <c r="D1311" s="14">
        <f>IF($C1311="","",IFERROR(IF(VLOOKUP($C1311,AcctTblE,4,0)="","(بدون نام)",VLOOKUP($C1311,AcctTblE,4,0)),"کد ناشناخته"))</f>
        <v/>
      </c>
      <c r="E1311" s="15" t="n"/>
      <c r="F1311" s="14">
        <f>IF($B1311="","",IFERROR(INDEX(WageDates,MATCH($B1311,WageIds,0)),"—"))</f>
        <v/>
      </c>
      <c r="G1311" s="14">
        <f>IF($B1311="","",IFERROR(VLOOKUP(INDEX(WageParty,MATCH($B1311,WageIds,0)),WGTbl,2,0),"—"))</f>
        <v/>
      </c>
      <c r="H1311" s="12" t="n"/>
    </row>
    <row r="1312">
      <c r="A1312" s="19">
        <f>IF($B1312="","",COUNTA($B$9:$B1312))</f>
        <v/>
      </c>
      <c r="B1312" s="12" t="n"/>
      <c r="C1312" s="13" t="n"/>
      <c r="D1312" s="20">
        <f>IF($C1312="","",IFERROR(IF(VLOOKUP($C1312,AcctTblE,4,0)="","(بدون نام)",VLOOKUP($C1312,AcctTblE,4,0)),"کد ناشناخته"))</f>
        <v/>
      </c>
      <c r="E1312" s="15" t="n"/>
      <c r="F1312" s="20">
        <f>IF($B1312="","",IFERROR(INDEX(WageDates,MATCH($B1312,WageIds,0)),"—"))</f>
        <v/>
      </c>
      <c r="G1312" s="20">
        <f>IF($B1312="","",IFERROR(VLOOKUP(INDEX(WageParty,MATCH($B1312,WageIds,0)),WGTbl,2,0),"—"))</f>
        <v/>
      </c>
      <c r="H1312" s="12" t="n"/>
    </row>
    <row r="1313">
      <c r="A1313" s="10">
        <f>IF($B1313="","",COUNTA($B$9:$B1313))</f>
        <v/>
      </c>
      <c r="B1313" s="12" t="n"/>
      <c r="C1313" s="13" t="n"/>
      <c r="D1313" s="14">
        <f>IF($C1313="","",IFERROR(IF(VLOOKUP($C1313,AcctTblE,4,0)="","(بدون نام)",VLOOKUP($C1313,AcctTblE,4,0)),"کد ناشناخته"))</f>
        <v/>
      </c>
      <c r="E1313" s="15" t="n"/>
      <c r="F1313" s="14">
        <f>IF($B1313="","",IFERROR(INDEX(WageDates,MATCH($B1313,WageIds,0)),"—"))</f>
        <v/>
      </c>
      <c r="G1313" s="14">
        <f>IF($B1313="","",IFERROR(VLOOKUP(INDEX(WageParty,MATCH($B1313,WageIds,0)),WGTbl,2,0),"—"))</f>
        <v/>
      </c>
      <c r="H1313" s="12" t="n"/>
    </row>
    <row r="1314">
      <c r="A1314" s="19">
        <f>IF($B1314="","",COUNTA($B$9:$B1314))</f>
        <v/>
      </c>
      <c r="B1314" s="12" t="n"/>
      <c r="C1314" s="13" t="n"/>
      <c r="D1314" s="20">
        <f>IF($C1314="","",IFERROR(IF(VLOOKUP($C1314,AcctTblE,4,0)="","(بدون نام)",VLOOKUP($C1314,AcctTblE,4,0)),"کد ناشناخته"))</f>
        <v/>
      </c>
      <c r="E1314" s="15" t="n"/>
      <c r="F1314" s="20">
        <f>IF($B1314="","",IFERROR(INDEX(WageDates,MATCH($B1314,WageIds,0)),"—"))</f>
        <v/>
      </c>
      <c r="G1314" s="20">
        <f>IF($B1314="","",IFERROR(VLOOKUP(INDEX(WageParty,MATCH($B1314,WageIds,0)),WGTbl,2,0),"—"))</f>
        <v/>
      </c>
      <c r="H1314" s="12" t="n"/>
    </row>
    <row r="1315">
      <c r="A1315" s="10">
        <f>IF($B1315="","",COUNTA($B$9:$B1315))</f>
        <v/>
      </c>
      <c r="B1315" s="12" t="n"/>
      <c r="C1315" s="13" t="n"/>
      <c r="D1315" s="14">
        <f>IF($C1315="","",IFERROR(IF(VLOOKUP($C1315,AcctTblE,4,0)="","(بدون نام)",VLOOKUP($C1315,AcctTblE,4,0)),"کد ناشناخته"))</f>
        <v/>
      </c>
      <c r="E1315" s="15" t="n"/>
      <c r="F1315" s="14">
        <f>IF($B1315="","",IFERROR(INDEX(WageDates,MATCH($B1315,WageIds,0)),"—"))</f>
        <v/>
      </c>
      <c r="G1315" s="14">
        <f>IF($B1315="","",IFERROR(VLOOKUP(INDEX(WageParty,MATCH($B1315,WageIds,0)),WGTbl,2,0),"—"))</f>
        <v/>
      </c>
      <c r="H1315" s="12" t="n"/>
    </row>
    <row r="1316">
      <c r="A1316" s="19">
        <f>IF($B1316="","",COUNTA($B$9:$B1316))</f>
        <v/>
      </c>
      <c r="B1316" s="12" t="n"/>
      <c r="C1316" s="13" t="n"/>
      <c r="D1316" s="20">
        <f>IF($C1316="","",IFERROR(IF(VLOOKUP($C1316,AcctTblE,4,0)="","(بدون نام)",VLOOKUP($C1316,AcctTblE,4,0)),"کد ناشناخته"))</f>
        <v/>
      </c>
      <c r="E1316" s="15" t="n"/>
      <c r="F1316" s="20">
        <f>IF($B1316="","",IFERROR(INDEX(WageDates,MATCH($B1316,WageIds,0)),"—"))</f>
        <v/>
      </c>
      <c r="G1316" s="20">
        <f>IF($B1316="","",IFERROR(VLOOKUP(INDEX(WageParty,MATCH($B1316,WageIds,0)),WGTbl,2,0),"—"))</f>
        <v/>
      </c>
      <c r="H1316" s="12" t="n"/>
    </row>
    <row r="1317">
      <c r="A1317" s="10">
        <f>IF($B1317="","",COUNTA($B$9:$B1317))</f>
        <v/>
      </c>
      <c r="B1317" s="12" t="n"/>
      <c r="C1317" s="13" t="n"/>
      <c r="D1317" s="14">
        <f>IF($C1317="","",IFERROR(IF(VLOOKUP($C1317,AcctTblE,4,0)="","(بدون نام)",VLOOKUP($C1317,AcctTblE,4,0)),"کد ناشناخته"))</f>
        <v/>
      </c>
      <c r="E1317" s="15" t="n"/>
      <c r="F1317" s="14">
        <f>IF($B1317="","",IFERROR(INDEX(WageDates,MATCH($B1317,WageIds,0)),"—"))</f>
        <v/>
      </c>
      <c r="G1317" s="14">
        <f>IF($B1317="","",IFERROR(VLOOKUP(INDEX(WageParty,MATCH($B1317,WageIds,0)),WGTbl,2,0),"—"))</f>
        <v/>
      </c>
      <c r="H1317" s="12" t="n"/>
    </row>
    <row r="1318">
      <c r="A1318" s="19">
        <f>IF($B1318="","",COUNTA($B$9:$B1318))</f>
        <v/>
      </c>
      <c r="B1318" s="12" t="n"/>
      <c r="C1318" s="13" t="n"/>
      <c r="D1318" s="20">
        <f>IF($C1318="","",IFERROR(IF(VLOOKUP($C1318,AcctTblE,4,0)="","(بدون نام)",VLOOKUP($C1318,AcctTblE,4,0)),"کد ناشناخته"))</f>
        <v/>
      </c>
      <c r="E1318" s="15" t="n"/>
      <c r="F1318" s="20">
        <f>IF($B1318="","",IFERROR(INDEX(WageDates,MATCH($B1318,WageIds,0)),"—"))</f>
        <v/>
      </c>
      <c r="G1318" s="20">
        <f>IF($B1318="","",IFERROR(VLOOKUP(INDEX(WageParty,MATCH($B1318,WageIds,0)),WGTbl,2,0),"—"))</f>
        <v/>
      </c>
      <c r="H1318" s="12" t="n"/>
    </row>
    <row r="1319">
      <c r="A1319" s="10">
        <f>IF($B1319="","",COUNTA($B$9:$B1319))</f>
        <v/>
      </c>
      <c r="B1319" s="12" t="n"/>
      <c r="C1319" s="13" t="n"/>
      <c r="D1319" s="14">
        <f>IF($C1319="","",IFERROR(IF(VLOOKUP($C1319,AcctTblE,4,0)="","(بدون نام)",VLOOKUP($C1319,AcctTblE,4,0)),"کد ناشناخته"))</f>
        <v/>
      </c>
      <c r="E1319" s="15" t="n"/>
      <c r="F1319" s="14">
        <f>IF($B1319="","",IFERROR(INDEX(WageDates,MATCH($B1319,WageIds,0)),"—"))</f>
        <v/>
      </c>
      <c r="G1319" s="14">
        <f>IF($B1319="","",IFERROR(VLOOKUP(INDEX(WageParty,MATCH($B1319,WageIds,0)),WGTbl,2,0),"—"))</f>
        <v/>
      </c>
      <c r="H1319" s="12" t="n"/>
    </row>
    <row r="1320">
      <c r="A1320" s="19">
        <f>IF($B1320="","",COUNTA($B$9:$B1320))</f>
        <v/>
      </c>
      <c r="B1320" s="12" t="n"/>
      <c r="C1320" s="13" t="n"/>
      <c r="D1320" s="20">
        <f>IF($C1320="","",IFERROR(IF(VLOOKUP($C1320,AcctTblE,4,0)="","(بدون نام)",VLOOKUP($C1320,AcctTblE,4,0)),"کد ناشناخته"))</f>
        <v/>
      </c>
      <c r="E1320" s="15" t="n"/>
      <c r="F1320" s="20">
        <f>IF($B1320="","",IFERROR(INDEX(WageDates,MATCH($B1320,WageIds,0)),"—"))</f>
        <v/>
      </c>
      <c r="G1320" s="20">
        <f>IF($B1320="","",IFERROR(VLOOKUP(INDEX(WageParty,MATCH($B1320,WageIds,0)),WGTbl,2,0),"—"))</f>
        <v/>
      </c>
      <c r="H1320" s="12" t="n"/>
    </row>
    <row r="1321">
      <c r="A1321" s="10">
        <f>IF($B1321="","",COUNTA($B$9:$B1321))</f>
        <v/>
      </c>
      <c r="B1321" s="12" t="n"/>
      <c r="C1321" s="13" t="n"/>
      <c r="D1321" s="14">
        <f>IF($C1321="","",IFERROR(IF(VLOOKUP($C1321,AcctTblE,4,0)="","(بدون نام)",VLOOKUP($C1321,AcctTblE,4,0)),"کد ناشناخته"))</f>
        <v/>
      </c>
      <c r="E1321" s="15" t="n"/>
      <c r="F1321" s="14">
        <f>IF($B1321="","",IFERROR(INDEX(WageDates,MATCH($B1321,WageIds,0)),"—"))</f>
        <v/>
      </c>
      <c r="G1321" s="14">
        <f>IF($B1321="","",IFERROR(VLOOKUP(INDEX(WageParty,MATCH($B1321,WageIds,0)),WGTbl,2,0),"—"))</f>
        <v/>
      </c>
      <c r="H1321" s="12" t="n"/>
    </row>
    <row r="1322">
      <c r="A1322" s="19">
        <f>IF($B1322="","",COUNTA($B$9:$B1322))</f>
        <v/>
      </c>
      <c r="B1322" s="12" t="n"/>
      <c r="C1322" s="13" t="n"/>
      <c r="D1322" s="20">
        <f>IF($C1322="","",IFERROR(IF(VLOOKUP($C1322,AcctTblE,4,0)="","(بدون نام)",VLOOKUP($C1322,AcctTblE,4,0)),"کد ناشناخته"))</f>
        <v/>
      </c>
      <c r="E1322" s="15" t="n"/>
      <c r="F1322" s="20">
        <f>IF($B1322="","",IFERROR(INDEX(WageDates,MATCH($B1322,WageIds,0)),"—"))</f>
        <v/>
      </c>
      <c r="G1322" s="20">
        <f>IF($B1322="","",IFERROR(VLOOKUP(INDEX(WageParty,MATCH($B1322,WageIds,0)),WGTbl,2,0),"—"))</f>
        <v/>
      </c>
      <c r="H1322" s="12" t="n"/>
    </row>
    <row r="1323">
      <c r="A1323" s="10">
        <f>IF($B1323="","",COUNTA($B$9:$B1323))</f>
        <v/>
      </c>
      <c r="B1323" s="12" t="n"/>
      <c r="C1323" s="13" t="n"/>
      <c r="D1323" s="14">
        <f>IF($C1323="","",IFERROR(IF(VLOOKUP($C1323,AcctTblE,4,0)="","(بدون نام)",VLOOKUP($C1323,AcctTblE,4,0)),"کد ناشناخته"))</f>
        <v/>
      </c>
      <c r="E1323" s="15" t="n"/>
      <c r="F1323" s="14">
        <f>IF($B1323="","",IFERROR(INDEX(WageDates,MATCH($B1323,WageIds,0)),"—"))</f>
        <v/>
      </c>
      <c r="G1323" s="14">
        <f>IF($B1323="","",IFERROR(VLOOKUP(INDEX(WageParty,MATCH($B1323,WageIds,0)),WGTbl,2,0),"—"))</f>
        <v/>
      </c>
      <c r="H1323" s="12" t="n"/>
    </row>
    <row r="1324">
      <c r="A1324" s="19">
        <f>IF($B1324="","",COUNTA($B$9:$B1324))</f>
        <v/>
      </c>
      <c r="B1324" s="12" t="n"/>
      <c r="C1324" s="13" t="n"/>
      <c r="D1324" s="20">
        <f>IF($C1324="","",IFERROR(IF(VLOOKUP($C1324,AcctTblE,4,0)="","(بدون نام)",VLOOKUP($C1324,AcctTblE,4,0)),"کد ناشناخته"))</f>
        <v/>
      </c>
      <c r="E1324" s="15" t="n"/>
      <c r="F1324" s="20">
        <f>IF($B1324="","",IFERROR(INDEX(WageDates,MATCH($B1324,WageIds,0)),"—"))</f>
        <v/>
      </c>
      <c r="G1324" s="20">
        <f>IF($B1324="","",IFERROR(VLOOKUP(INDEX(WageParty,MATCH($B1324,WageIds,0)),WGTbl,2,0),"—"))</f>
        <v/>
      </c>
      <c r="H1324" s="12" t="n"/>
    </row>
    <row r="1325">
      <c r="A1325" s="10">
        <f>IF($B1325="","",COUNTA($B$9:$B1325))</f>
        <v/>
      </c>
      <c r="B1325" s="12" t="n"/>
      <c r="C1325" s="13" t="n"/>
      <c r="D1325" s="14">
        <f>IF($C1325="","",IFERROR(IF(VLOOKUP($C1325,AcctTblE,4,0)="","(بدون نام)",VLOOKUP($C1325,AcctTblE,4,0)),"کد ناشناخته"))</f>
        <v/>
      </c>
      <c r="E1325" s="15" t="n"/>
      <c r="F1325" s="14">
        <f>IF($B1325="","",IFERROR(INDEX(WageDates,MATCH($B1325,WageIds,0)),"—"))</f>
        <v/>
      </c>
      <c r="G1325" s="14">
        <f>IF($B1325="","",IFERROR(VLOOKUP(INDEX(WageParty,MATCH($B1325,WageIds,0)),WGTbl,2,0),"—"))</f>
        <v/>
      </c>
      <c r="H1325" s="12" t="n"/>
    </row>
    <row r="1326">
      <c r="A1326" s="19">
        <f>IF($B1326="","",COUNTA($B$9:$B1326))</f>
        <v/>
      </c>
      <c r="B1326" s="12" t="n"/>
      <c r="C1326" s="13" t="n"/>
      <c r="D1326" s="20">
        <f>IF($C1326="","",IFERROR(IF(VLOOKUP($C1326,AcctTblE,4,0)="","(بدون نام)",VLOOKUP($C1326,AcctTblE,4,0)),"کد ناشناخته"))</f>
        <v/>
      </c>
      <c r="E1326" s="15" t="n"/>
      <c r="F1326" s="20">
        <f>IF($B1326="","",IFERROR(INDEX(WageDates,MATCH($B1326,WageIds,0)),"—"))</f>
        <v/>
      </c>
      <c r="G1326" s="20">
        <f>IF($B1326="","",IFERROR(VLOOKUP(INDEX(WageParty,MATCH($B1326,WageIds,0)),WGTbl,2,0),"—"))</f>
        <v/>
      </c>
      <c r="H1326" s="12" t="n"/>
    </row>
    <row r="1327">
      <c r="A1327" s="10">
        <f>IF($B1327="","",COUNTA($B$9:$B1327))</f>
        <v/>
      </c>
      <c r="B1327" s="12" t="n"/>
      <c r="C1327" s="13" t="n"/>
      <c r="D1327" s="14">
        <f>IF($C1327="","",IFERROR(IF(VLOOKUP($C1327,AcctTblE,4,0)="","(بدون نام)",VLOOKUP($C1327,AcctTblE,4,0)),"کد ناشناخته"))</f>
        <v/>
      </c>
      <c r="E1327" s="15" t="n"/>
      <c r="F1327" s="14">
        <f>IF($B1327="","",IFERROR(INDEX(WageDates,MATCH($B1327,WageIds,0)),"—"))</f>
        <v/>
      </c>
      <c r="G1327" s="14">
        <f>IF($B1327="","",IFERROR(VLOOKUP(INDEX(WageParty,MATCH($B1327,WageIds,0)),WGTbl,2,0),"—"))</f>
        <v/>
      </c>
      <c r="H1327" s="12" t="n"/>
    </row>
    <row r="1328">
      <c r="A1328" s="19">
        <f>IF($B1328="","",COUNTA($B$9:$B1328))</f>
        <v/>
      </c>
      <c r="B1328" s="12" t="n"/>
      <c r="C1328" s="13" t="n"/>
      <c r="D1328" s="20">
        <f>IF($C1328="","",IFERROR(IF(VLOOKUP($C1328,AcctTblE,4,0)="","(بدون نام)",VLOOKUP($C1328,AcctTblE,4,0)),"کد ناشناخته"))</f>
        <v/>
      </c>
      <c r="E1328" s="15" t="n"/>
      <c r="F1328" s="20">
        <f>IF($B1328="","",IFERROR(INDEX(WageDates,MATCH($B1328,WageIds,0)),"—"))</f>
        <v/>
      </c>
      <c r="G1328" s="20">
        <f>IF($B1328="","",IFERROR(VLOOKUP(INDEX(WageParty,MATCH($B1328,WageIds,0)),WGTbl,2,0),"—"))</f>
        <v/>
      </c>
      <c r="H1328" s="12" t="n"/>
    </row>
    <row r="1329">
      <c r="A1329" s="10">
        <f>IF($B1329="","",COUNTA($B$9:$B1329))</f>
        <v/>
      </c>
      <c r="B1329" s="12" t="n"/>
      <c r="C1329" s="13" t="n"/>
      <c r="D1329" s="14">
        <f>IF($C1329="","",IFERROR(IF(VLOOKUP($C1329,AcctTblE,4,0)="","(بدون نام)",VLOOKUP($C1329,AcctTblE,4,0)),"کد ناشناخته"))</f>
        <v/>
      </c>
      <c r="E1329" s="15" t="n"/>
      <c r="F1329" s="14">
        <f>IF($B1329="","",IFERROR(INDEX(WageDates,MATCH($B1329,WageIds,0)),"—"))</f>
        <v/>
      </c>
      <c r="G1329" s="14">
        <f>IF($B1329="","",IFERROR(VLOOKUP(INDEX(WageParty,MATCH($B1329,WageIds,0)),WGTbl,2,0),"—"))</f>
        <v/>
      </c>
      <c r="H1329" s="12" t="n"/>
    </row>
    <row r="1330">
      <c r="A1330" s="19">
        <f>IF($B1330="","",COUNTA($B$9:$B1330))</f>
        <v/>
      </c>
      <c r="B1330" s="12" t="n"/>
      <c r="C1330" s="13" t="n"/>
      <c r="D1330" s="20">
        <f>IF($C1330="","",IFERROR(IF(VLOOKUP($C1330,AcctTblE,4,0)="","(بدون نام)",VLOOKUP($C1330,AcctTblE,4,0)),"کد ناشناخته"))</f>
        <v/>
      </c>
      <c r="E1330" s="15" t="n"/>
      <c r="F1330" s="20">
        <f>IF($B1330="","",IFERROR(INDEX(WageDates,MATCH($B1330,WageIds,0)),"—"))</f>
        <v/>
      </c>
      <c r="G1330" s="20">
        <f>IF($B1330="","",IFERROR(VLOOKUP(INDEX(WageParty,MATCH($B1330,WageIds,0)),WGTbl,2,0),"—"))</f>
        <v/>
      </c>
      <c r="H1330" s="12" t="n"/>
    </row>
    <row r="1331">
      <c r="A1331" s="10">
        <f>IF($B1331="","",COUNTA($B$9:$B1331))</f>
        <v/>
      </c>
      <c r="B1331" s="12" t="n"/>
      <c r="C1331" s="13" t="n"/>
      <c r="D1331" s="14">
        <f>IF($C1331="","",IFERROR(IF(VLOOKUP($C1331,AcctTblE,4,0)="","(بدون نام)",VLOOKUP($C1331,AcctTblE,4,0)),"کد ناشناخته"))</f>
        <v/>
      </c>
      <c r="E1331" s="15" t="n"/>
      <c r="F1331" s="14">
        <f>IF($B1331="","",IFERROR(INDEX(WageDates,MATCH($B1331,WageIds,0)),"—"))</f>
        <v/>
      </c>
      <c r="G1331" s="14">
        <f>IF($B1331="","",IFERROR(VLOOKUP(INDEX(WageParty,MATCH($B1331,WageIds,0)),WGTbl,2,0),"—"))</f>
        <v/>
      </c>
      <c r="H1331" s="12" t="n"/>
    </row>
    <row r="1332">
      <c r="A1332" s="19">
        <f>IF($B1332="","",COUNTA($B$9:$B1332))</f>
        <v/>
      </c>
      <c r="B1332" s="12" t="n"/>
      <c r="C1332" s="13" t="n"/>
      <c r="D1332" s="20">
        <f>IF($C1332="","",IFERROR(IF(VLOOKUP($C1332,AcctTblE,4,0)="","(بدون نام)",VLOOKUP($C1332,AcctTblE,4,0)),"کد ناشناخته"))</f>
        <v/>
      </c>
      <c r="E1332" s="15" t="n"/>
      <c r="F1332" s="20">
        <f>IF($B1332="","",IFERROR(INDEX(WageDates,MATCH($B1332,WageIds,0)),"—"))</f>
        <v/>
      </c>
      <c r="G1332" s="20">
        <f>IF($B1332="","",IFERROR(VLOOKUP(INDEX(WageParty,MATCH($B1332,WageIds,0)),WGTbl,2,0),"—"))</f>
        <v/>
      </c>
      <c r="H1332" s="12" t="n"/>
    </row>
    <row r="1333">
      <c r="A1333" s="10">
        <f>IF($B1333="","",COUNTA($B$9:$B1333))</f>
        <v/>
      </c>
      <c r="B1333" s="12" t="n"/>
      <c r="C1333" s="13" t="n"/>
      <c r="D1333" s="14">
        <f>IF($C1333="","",IFERROR(IF(VLOOKUP($C1333,AcctTblE,4,0)="","(بدون نام)",VLOOKUP($C1333,AcctTblE,4,0)),"کد ناشناخته"))</f>
        <v/>
      </c>
      <c r="E1333" s="15" t="n"/>
      <c r="F1333" s="14">
        <f>IF($B1333="","",IFERROR(INDEX(WageDates,MATCH($B1333,WageIds,0)),"—"))</f>
        <v/>
      </c>
      <c r="G1333" s="14">
        <f>IF($B1333="","",IFERROR(VLOOKUP(INDEX(WageParty,MATCH($B1333,WageIds,0)),WGTbl,2,0),"—"))</f>
        <v/>
      </c>
      <c r="H1333" s="12" t="n"/>
    </row>
    <row r="1334">
      <c r="A1334" s="19">
        <f>IF($B1334="","",COUNTA($B$9:$B1334))</f>
        <v/>
      </c>
      <c r="B1334" s="12" t="n"/>
      <c r="C1334" s="13" t="n"/>
      <c r="D1334" s="20">
        <f>IF($C1334="","",IFERROR(IF(VLOOKUP($C1334,AcctTblE,4,0)="","(بدون نام)",VLOOKUP($C1334,AcctTblE,4,0)),"کد ناشناخته"))</f>
        <v/>
      </c>
      <c r="E1334" s="15" t="n"/>
      <c r="F1334" s="20">
        <f>IF($B1334="","",IFERROR(INDEX(WageDates,MATCH($B1334,WageIds,0)),"—"))</f>
        <v/>
      </c>
      <c r="G1334" s="20">
        <f>IF($B1334="","",IFERROR(VLOOKUP(INDEX(WageParty,MATCH($B1334,WageIds,0)),WGTbl,2,0),"—"))</f>
        <v/>
      </c>
      <c r="H1334" s="12" t="n"/>
    </row>
    <row r="1335">
      <c r="A1335" s="10">
        <f>IF($B1335="","",COUNTA($B$9:$B1335))</f>
        <v/>
      </c>
      <c r="B1335" s="12" t="n"/>
      <c r="C1335" s="13" t="n"/>
      <c r="D1335" s="14">
        <f>IF($C1335="","",IFERROR(IF(VLOOKUP($C1335,AcctTblE,4,0)="","(بدون نام)",VLOOKUP($C1335,AcctTblE,4,0)),"کد ناشناخته"))</f>
        <v/>
      </c>
      <c r="E1335" s="15" t="n"/>
      <c r="F1335" s="14">
        <f>IF($B1335="","",IFERROR(INDEX(WageDates,MATCH($B1335,WageIds,0)),"—"))</f>
        <v/>
      </c>
      <c r="G1335" s="14">
        <f>IF($B1335="","",IFERROR(VLOOKUP(INDEX(WageParty,MATCH($B1335,WageIds,0)),WGTbl,2,0),"—"))</f>
        <v/>
      </c>
      <c r="H1335" s="12" t="n"/>
    </row>
    <row r="1336">
      <c r="A1336" s="19">
        <f>IF($B1336="","",COUNTA($B$9:$B1336))</f>
        <v/>
      </c>
      <c r="B1336" s="12" t="n"/>
      <c r="C1336" s="13" t="n"/>
      <c r="D1336" s="20">
        <f>IF($C1336="","",IFERROR(IF(VLOOKUP($C1336,AcctTblE,4,0)="","(بدون نام)",VLOOKUP($C1336,AcctTblE,4,0)),"کد ناشناخته"))</f>
        <v/>
      </c>
      <c r="E1336" s="15" t="n"/>
      <c r="F1336" s="20">
        <f>IF($B1336="","",IFERROR(INDEX(WageDates,MATCH($B1336,WageIds,0)),"—"))</f>
        <v/>
      </c>
      <c r="G1336" s="20">
        <f>IF($B1336="","",IFERROR(VLOOKUP(INDEX(WageParty,MATCH($B1336,WageIds,0)),WGTbl,2,0),"—"))</f>
        <v/>
      </c>
      <c r="H1336" s="12" t="n"/>
    </row>
    <row r="1337">
      <c r="A1337" s="10">
        <f>IF($B1337="","",COUNTA($B$9:$B1337))</f>
        <v/>
      </c>
      <c r="B1337" s="12" t="n"/>
      <c r="C1337" s="13" t="n"/>
      <c r="D1337" s="14">
        <f>IF($C1337="","",IFERROR(IF(VLOOKUP($C1337,AcctTblE,4,0)="","(بدون نام)",VLOOKUP($C1337,AcctTblE,4,0)),"کد ناشناخته"))</f>
        <v/>
      </c>
      <c r="E1337" s="15" t="n"/>
      <c r="F1337" s="14">
        <f>IF($B1337="","",IFERROR(INDEX(WageDates,MATCH($B1337,WageIds,0)),"—"))</f>
        <v/>
      </c>
      <c r="G1337" s="14">
        <f>IF($B1337="","",IFERROR(VLOOKUP(INDEX(WageParty,MATCH($B1337,WageIds,0)),WGTbl,2,0),"—"))</f>
        <v/>
      </c>
      <c r="H1337" s="12" t="n"/>
    </row>
    <row r="1338">
      <c r="A1338" s="19">
        <f>IF($B1338="","",COUNTA($B$9:$B1338))</f>
        <v/>
      </c>
      <c r="B1338" s="12" t="n"/>
      <c r="C1338" s="13" t="n"/>
      <c r="D1338" s="20">
        <f>IF($C1338="","",IFERROR(IF(VLOOKUP($C1338,AcctTblE,4,0)="","(بدون نام)",VLOOKUP($C1338,AcctTblE,4,0)),"کد ناشناخته"))</f>
        <v/>
      </c>
      <c r="E1338" s="15" t="n"/>
      <c r="F1338" s="20">
        <f>IF($B1338="","",IFERROR(INDEX(WageDates,MATCH($B1338,WageIds,0)),"—"))</f>
        <v/>
      </c>
      <c r="G1338" s="20">
        <f>IF($B1338="","",IFERROR(VLOOKUP(INDEX(WageParty,MATCH($B1338,WageIds,0)),WGTbl,2,0),"—"))</f>
        <v/>
      </c>
      <c r="H1338" s="12" t="n"/>
    </row>
    <row r="1339">
      <c r="A1339" s="10">
        <f>IF($B1339="","",COUNTA($B$9:$B1339))</f>
        <v/>
      </c>
      <c r="B1339" s="12" t="n"/>
      <c r="C1339" s="13" t="n"/>
      <c r="D1339" s="14">
        <f>IF($C1339="","",IFERROR(IF(VLOOKUP($C1339,AcctTblE,4,0)="","(بدون نام)",VLOOKUP($C1339,AcctTblE,4,0)),"کد ناشناخته"))</f>
        <v/>
      </c>
      <c r="E1339" s="15" t="n"/>
      <c r="F1339" s="14">
        <f>IF($B1339="","",IFERROR(INDEX(WageDates,MATCH($B1339,WageIds,0)),"—"))</f>
        <v/>
      </c>
      <c r="G1339" s="14">
        <f>IF($B1339="","",IFERROR(VLOOKUP(INDEX(WageParty,MATCH($B1339,WageIds,0)),WGTbl,2,0),"—"))</f>
        <v/>
      </c>
      <c r="H1339" s="12" t="n"/>
    </row>
    <row r="1340">
      <c r="A1340" s="19">
        <f>IF($B1340="","",COUNTA($B$9:$B1340))</f>
        <v/>
      </c>
      <c r="B1340" s="12" t="n"/>
      <c r="C1340" s="13" t="n"/>
      <c r="D1340" s="20">
        <f>IF($C1340="","",IFERROR(IF(VLOOKUP($C1340,AcctTblE,4,0)="","(بدون نام)",VLOOKUP($C1340,AcctTblE,4,0)),"کد ناشناخته"))</f>
        <v/>
      </c>
      <c r="E1340" s="15" t="n"/>
      <c r="F1340" s="20">
        <f>IF($B1340="","",IFERROR(INDEX(WageDates,MATCH($B1340,WageIds,0)),"—"))</f>
        <v/>
      </c>
      <c r="G1340" s="20">
        <f>IF($B1340="","",IFERROR(VLOOKUP(INDEX(WageParty,MATCH($B1340,WageIds,0)),WGTbl,2,0),"—"))</f>
        <v/>
      </c>
      <c r="H1340" s="12" t="n"/>
    </row>
    <row r="1341">
      <c r="A1341" s="10">
        <f>IF($B1341="","",COUNTA($B$9:$B1341))</f>
        <v/>
      </c>
      <c r="B1341" s="12" t="n"/>
      <c r="C1341" s="13" t="n"/>
      <c r="D1341" s="14">
        <f>IF($C1341="","",IFERROR(IF(VLOOKUP($C1341,AcctTblE,4,0)="","(بدون نام)",VLOOKUP($C1341,AcctTblE,4,0)),"کد ناشناخته"))</f>
        <v/>
      </c>
      <c r="E1341" s="15" t="n"/>
      <c r="F1341" s="14">
        <f>IF($B1341="","",IFERROR(INDEX(WageDates,MATCH($B1341,WageIds,0)),"—"))</f>
        <v/>
      </c>
      <c r="G1341" s="14">
        <f>IF($B1341="","",IFERROR(VLOOKUP(INDEX(WageParty,MATCH($B1341,WageIds,0)),WGTbl,2,0),"—"))</f>
        <v/>
      </c>
      <c r="H1341" s="12" t="n"/>
    </row>
    <row r="1342">
      <c r="A1342" s="19">
        <f>IF($B1342="","",COUNTA($B$9:$B1342))</f>
        <v/>
      </c>
      <c r="B1342" s="12" t="n"/>
      <c r="C1342" s="13" t="n"/>
      <c r="D1342" s="20">
        <f>IF($C1342="","",IFERROR(IF(VLOOKUP($C1342,AcctTblE,4,0)="","(بدون نام)",VLOOKUP($C1342,AcctTblE,4,0)),"کد ناشناخته"))</f>
        <v/>
      </c>
      <c r="E1342" s="15" t="n"/>
      <c r="F1342" s="20">
        <f>IF($B1342="","",IFERROR(INDEX(WageDates,MATCH($B1342,WageIds,0)),"—"))</f>
        <v/>
      </c>
      <c r="G1342" s="20">
        <f>IF($B1342="","",IFERROR(VLOOKUP(INDEX(WageParty,MATCH($B1342,WageIds,0)),WGTbl,2,0),"—"))</f>
        <v/>
      </c>
      <c r="H1342" s="12" t="n"/>
    </row>
    <row r="1343">
      <c r="A1343" s="10">
        <f>IF($B1343="","",COUNTA($B$9:$B1343))</f>
        <v/>
      </c>
      <c r="B1343" s="12" t="n"/>
      <c r="C1343" s="13" t="n"/>
      <c r="D1343" s="14">
        <f>IF($C1343="","",IFERROR(IF(VLOOKUP($C1343,AcctTblE,4,0)="","(بدون نام)",VLOOKUP($C1343,AcctTblE,4,0)),"کد ناشناخته"))</f>
        <v/>
      </c>
      <c r="E1343" s="15" t="n"/>
      <c r="F1343" s="14">
        <f>IF($B1343="","",IFERROR(INDEX(WageDates,MATCH($B1343,WageIds,0)),"—"))</f>
        <v/>
      </c>
      <c r="G1343" s="14">
        <f>IF($B1343="","",IFERROR(VLOOKUP(INDEX(WageParty,MATCH($B1343,WageIds,0)),WGTbl,2,0),"—"))</f>
        <v/>
      </c>
      <c r="H1343" s="12" t="n"/>
    </row>
    <row r="1344">
      <c r="A1344" s="19">
        <f>IF($B1344="","",COUNTA($B$9:$B1344))</f>
        <v/>
      </c>
      <c r="B1344" s="12" t="n"/>
      <c r="C1344" s="13" t="n"/>
      <c r="D1344" s="20">
        <f>IF($C1344="","",IFERROR(IF(VLOOKUP($C1344,AcctTblE,4,0)="","(بدون نام)",VLOOKUP($C1344,AcctTblE,4,0)),"کد ناشناخته"))</f>
        <v/>
      </c>
      <c r="E1344" s="15" t="n"/>
      <c r="F1344" s="20">
        <f>IF($B1344="","",IFERROR(INDEX(WageDates,MATCH($B1344,WageIds,0)),"—"))</f>
        <v/>
      </c>
      <c r="G1344" s="20">
        <f>IF($B1344="","",IFERROR(VLOOKUP(INDEX(WageParty,MATCH($B1344,WageIds,0)),WGTbl,2,0),"—"))</f>
        <v/>
      </c>
      <c r="H1344" s="12" t="n"/>
    </row>
    <row r="1345">
      <c r="A1345" s="10">
        <f>IF($B1345="","",COUNTA($B$9:$B1345))</f>
        <v/>
      </c>
      <c r="B1345" s="12" t="n"/>
      <c r="C1345" s="13" t="n"/>
      <c r="D1345" s="14">
        <f>IF($C1345="","",IFERROR(IF(VLOOKUP($C1345,AcctTblE,4,0)="","(بدون نام)",VLOOKUP($C1345,AcctTblE,4,0)),"کد ناشناخته"))</f>
        <v/>
      </c>
      <c r="E1345" s="15" t="n"/>
      <c r="F1345" s="14">
        <f>IF($B1345="","",IFERROR(INDEX(WageDates,MATCH($B1345,WageIds,0)),"—"))</f>
        <v/>
      </c>
      <c r="G1345" s="14">
        <f>IF($B1345="","",IFERROR(VLOOKUP(INDEX(WageParty,MATCH($B1345,WageIds,0)),WGTbl,2,0),"—"))</f>
        <v/>
      </c>
      <c r="H1345" s="12" t="n"/>
    </row>
    <row r="1346">
      <c r="A1346" s="19">
        <f>IF($B1346="","",COUNTA($B$9:$B1346))</f>
        <v/>
      </c>
      <c r="B1346" s="12" t="n"/>
      <c r="C1346" s="13" t="n"/>
      <c r="D1346" s="20">
        <f>IF($C1346="","",IFERROR(IF(VLOOKUP($C1346,AcctTblE,4,0)="","(بدون نام)",VLOOKUP($C1346,AcctTblE,4,0)),"کد ناشناخته"))</f>
        <v/>
      </c>
      <c r="E1346" s="15" t="n"/>
      <c r="F1346" s="20">
        <f>IF($B1346="","",IFERROR(INDEX(WageDates,MATCH($B1346,WageIds,0)),"—"))</f>
        <v/>
      </c>
      <c r="G1346" s="20">
        <f>IF($B1346="","",IFERROR(VLOOKUP(INDEX(WageParty,MATCH($B1346,WageIds,0)),WGTbl,2,0),"—"))</f>
        <v/>
      </c>
      <c r="H1346" s="12" t="n"/>
    </row>
    <row r="1347">
      <c r="A1347" s="10">
        <f>IF($B1347="","",COUNTA($B$9:$B1347))</f>
        <v/>
      </c>
      <c r="B1347" s="12" t="n"/>
      <c r="C1347" s="13" t="n"/>
      <c r="D1347" s="14">
        <f>IF($C1347="","",IFERROR(IF(VLOOKUP($C1347,AcctTblE,4,0)="","(بدون نام)",VLOOKUP($C1347,AcctTblE,4,0)),"کد ناشناخته"))</f>
        <v/>
      </c>
      <c r="E1347" s="15" t="n"/>
      <c r="F1347" s="14">
        <f>IF($B1347="","",IFERROR(INDEX(WageDates,MATCH($B1347,WageIds,0)),"—"))</f>
        <v/>
      </c>
      <c r="G1347" s="14">
        <f>IF($B1347="","",IFERROR(VLOOKUP(INDEX(WageParty,MATCH($B1347,WageIds,0)),WGTbl,2,0),"—"))</f>
        <v/>
      </c>
      <c r="H1347" s="12" t="n"/>
    </row>
    <row r="1348">
      <c r="A1348" s="19">
        <f>IF($B1348="","",COUNTA($B$9:$B1348))</f>
        <v/>
      </c>
      <c r="B1348" s="12" t="n"/>
      <c r="C1348" s="13" t="n"/>
      <c r="D1348" s="20">
        <f>IF($C1348="","",IFERROR(IF(VLOOKUP($C1348,AcctTblE,4,0)="","(بدون نام)",VLOOKUP($C1348,AcctTblE,4,0)),"کد ناشناخته"))</f>
        <v/>
      </c>
      <c r="E1348" s="15" t="n"/>
      <c r="F1348" s="20">
        <f>IF($B1348="","",IFERROR(INDEX(WageDates,MATCH($B1348,WageIds,0)),"—"))</f>
        <v/>
      </c>
      <c r="G1348" s="20">
        <f>IF($B1348="","",IFERROR(VLOOKUP(INDEX(WageParty,MATCH($B1348,WageIds,0)),WGTbl,2,0),"—"))</f>
        <v/>
      </c>
      <c r="H1348" s="12" t="n"/>
    </row>
    <row r="1349">
      <c r="A1349" s="10">
        <f>IF($B1349="","",COUNTA($B$9:$B1349))</f>
        <v/>
      </c>
      <c r="B1349" s="12" t="n"/>
      <c r="C1349" s="13" t="n"/>
      <c r="D1349" s="14">
        <f>IF($C1349="","",IFERROR(IF(VLOOKUP($C1349,AcctTblE,4,0)="","(بدون نام)",VLOOKUP($C1349,AcctTblE,4,0)),"کد ناشناخته"))</f>
        <v/>
      </c>
      <c r="E1349" s="15" t="n"/>
      <c r="F1349" s="14">
        <f>IF($B1349="","",IFERROR(INDEX(WageDates,MATCH($B1349,WageIds,0)),"—"))</f>
        <v/>
      </c>
      <c r="G1349" s="14">
        <f>IF($B1349="","",IFERROR(VLOOKUP(INDEX(WageParty,MATCH($B1349,WageIds,0)),WGTbl,2,0),"—"))</f>
        <v/>
      </c>
      <c r="H1349" s="12" t="n"/>
    </row>
    <row r="1350">
      <c r="A1350" s="19">
        <f>IF($B1350="","",COUNTA($B$9:$B1350))</f>
        <v/>
      </c>
      <c r="B1350" s="12" t="n"/>
      <c r="C1350" s="13" t="n"/>
      <c r="D1350" s="20">
        <f>IF($C1350="","",IFERROR(IF(VLOOKUP($C1350,AcctTblE,4,0)="","(بدون نام)",VLOOKUP($C1350,AcctTblE,4,0)),"کد ناشناخته"))</f>
        <v/>
      </c>
      <c r="E1350" s="15" t="n"/>
      <c r="F1350" s="20">
        <f>IF($B1350="","",IFERROR(INDEX(WageDates,MATCH($B1350,WageIds,0)),"—"))</f>
        <v/>
      </c>
      <c r="G1350" s="20">
        <f>IF($B1350="","",IFERROR(VLOOKUP(INDEX(WageParty,MATCH($B1350,WageIds,0)),WGTbl,2,0),"—"))</f>
        <v/>
      </c>
      <c r="H1350" s="12" t="n"/>
    </row>
    <row r="1351">
      <c r="A1351" s="10">
        <f>IF($B1351="","",COUNTA($B$9:$B1351))</f>
        <v/>
      </c>
      <c r="B1351" s="12" t="n"/>
      <c r="C1351" s="13" t="n"/>
      <c r="D1351" s="14">
        <f>IF($C1351="","",IFERROR(IF(VLOOKUP($C1351,AcctTblE,4,0)="","(بدون نام)",VLOOKUP($C1351,AcctTblE,4,0)),"کد ناشناخته"))</f>
        <v/>
      </c>
      <c r="E1351" s="15" t="n"/>
      <c r="F1351" s="14">
        <f>IF($B1351="","",IFERROR(INDEX(WageDates,MATCH($B1351,WageIds,0)),"—"))</f>
        <v/>
      </c>
      <c r="G1351" s="14">
        <f>IF($B1351="","",IFERROR(VLOOKUP(INDEX(WageParty,MATCH($B1351,WageIds,0)),WGTbl,2,0),"—"))</f>
        <v/>
      </c>
      <c r="H1351" s="12" t="n"/>
    </row>
    <row r="1352">
      <c r="A1352" s="19">
        <f>IF($B1352="","",COUNTA($B$9:$B1352))</f>
        <v/>
      </c>
      <c r="B1352" s="12" t="n"/>
      <c r="C1352" s="13" t="n"/>
      <c r="D1352" s="20">
        <f>IF($C1352="","",IFERROR(IF(VLOOKUP($C1352,AcctTblE,4,0)="","(بدون نام)",VLOOKUP($C1352,AcctTblE,4,0)),"کد ناشناخته"))</f>
        <v/>
      </c>
      <c r="E1352" s="15" t="n"/>
      <c r="F1352" s="20">
        <f>IF($B1352="","",IFERROR(INDEX(WageDates,MATCH($B1352,WageIds,0)),"—"))</f>
        <v/>
      </c>
      <c r="G1352" s="20">
        <f>IF($B1352="","",IFERROR(VLOOKUP(INDEX(WageParty,MATCH($B1352,WageIds,0)),WGTbl,2,0),"—"))</f>
        <v/>
      </c>
      <c r="H1352" s="12" t="n"/>
    </row>
    <row r="1353">
      <c r="A1353" s="10">
        <f>IF($B1353="","",COUNTA($B$9:$B1353))</f>
        <v/>
      </c>
      <c r="B1353" s="12" t="n"/>
      <c r="C1353" s="13" t="n"/>
      <c r="D1353" s="14">
        <f>IF($C1353="","",IFERROR(IF(VLOOKUP($C1353,AcctTblE,4,0)="","(بدون نام)",VLOOKUP($C1353,AcctTblE,4,0)),"کد ناشناخته"))</f>
        <v/>
      </c>
      <c r="E1353" s="15" t="n"/>
      <c r="F1353" s="14">
        <f>IF($B1353="","",IFERROR(INDEX(WageDates,MATCH($B1353,WageIds,0)),"—"))</f>
        <v/>
      </c>
      <c r="G1353" s="14">
        <f>IF($B1353="","",IFERROR(VLOOKUP(INDEX(WageParty,MATCH($B1353,WageIds,0)),WGTbl,2,0),"—"))</f>
        <v/>
      </c>
      <c r="H1353" s="12" t="n"/>
    </row>
    <row r="1354">
      <c r="A1354" s="19">
        <f>IF($B1354="","",COUNTA($B$9:$B1354))</f>
        <v/>
      </c>
      <c r="B1354" s="12" t="n"/>
      <c r="C1354" s="13" t="n"/>
      <c r="D1354" s="20">
        <f>IF($C1354="","",IFERROR(IF(VLOOKUP($C1354,AcctTblE,4,0)="","(بدون نام)",VLOOKUP($C1354,AcctTblE,4,0)),"کد ناشناخته"))</f>
        <v/>
      </c>
      <c r="E1354" s="15" t="n"/>
      <c r="F1354" s="20">
        <f>IF($B1354="","",IFERROR(INDEX(WageDates,MATCH($B1354,WageIds,0)),"—"))</f>
        <v/>
      </c>
      <c r="G1354" s="20">
        <f>IF($B1354="","",IFERROR(VLOOKUP(INDEX(WageParty,MATCH($B1354,WageIds,0)),WGTbl,2,0),"—"))</f>
        <v/>
      </c>
      <c r="H1354" s="12" t="n"/>
    </row>
    <row r="1355">
      <c r="A1355" s="10">
        <f>IF($B1355="","",COUNTA($B$9:$B1355))</f>
        <v/>
      </c>
      <c r="B1355" s="12" t="n"/>
      <c r="C1355" s="13" t="n"/>
      <c r="D1355" s="14">
        <f>IF($C1355="","",IFERROR(IF(VLOOKUP($C1355,AcctTblE,4,0)="","(بدون نام)",VLOOKUP($C1355,AcctTblE,4,0)),"کد ناشناخته"))</f>
        <v/>
      </c>
      <c r="E1355" s="15" t="n"/>
      <c r="F1355" s="14">
        <f>IF($B1355="","",IFERROR(INDEX(WageDates,MATCH($B1355,WageIds,0)),"—"))</f>
        <v/>
      </c>
      <c r="G1355" s="14">
        <f>IF($B1355="","",IFERROR(VLOOKUP(INDEX(WageParty,MATCH($B1355,WageIds,0)),WGTbl,2,0),"—"))</f>
        <v/>
      </c>
      <c r="H1355" s="12" t="n"/>
    </row>
    <row r="1356">
      <c r="A1356" s="19">
        <f>IF($B1356="","",COUNTA($B$9:$B1356))</f>
        <v/>
      </c>
      <c r="B1356" s="12" t="n"/>
      <c r="C1356" s="13" t="n"/>
      <c r="D1356" s="20">
        <f>IF($C1356="","",IFERROR(IF(VLOOKUP($C1356,AcctTblE,4,0)="","(بدون نام)",VLOOKUP($C1356,AcctTblE,4,0)),"کد ناشناخته"))</f>
        <v/>
      </c>
      <c r="E1356" s="15" t="n"/>
      <c r="F1356" s="20">
        <f>IF($B1356="","",IFERROR(INDEX(WageDates,MATCH($B1356,WageIds,0)),"—"))</f>
        <v/>
      </c>
      <c r="G1356" s="20">
        <f>IF($B1356="","",IFERROR(VLOOKUP(INDEX(WageParty,MATCH($B1356,WageIds,0)),WGTbl,2,0),"—"))</f>
        <v/>
      </c>
      <c r="H1356" s="12" t="n"/>
    </row>
    <row r="1357">
      <c r="A1357" s="10">
        <f>IF($B1357="","",COUNTA($B$9:$B1357))</f>
        <v/>
      </c>
      <c r="B1357" s="12" t="n"/>
      <c r="C1357" s="13" t="n"/>
      <c r="D1357" s="14">
        <f>IF($C1357="","",IFERROR(IF(VLOOKUP($C1357,AcctTblE,4,0)="","(بدون نام)",VLOOKUP($C1357,AcctTblE,4,0)),"کد ناشناخته"))</f>
        <v/>
      </c>
      <c r="E1357" s="15" t="n"/>
      <c r="F1357" s="14">
        <f>IF($B1357="","",IFERROR(INDEX(WageDates,MATCH($B1357,WageIds,0)),"—"))</f>
        <v/>
      </c>
      <c r="G1357" s="14">
        <f>IF($B1357="","",IFERROR(VLOOKUP(INDEX(WageParty,MATCH($B1357,WageIds,0)),WGTbl,2,0),"—"))</f>
        <v/>
      </c>
      <c r="H1357" s="12" t="n"/>
    </row>
    <row r="1358">
      <c r="A1358" s="19">
        <f>IF($B1358="","",COUNTA($B$9:$B1358))</f>
        <v/>
      </c>
      <c r="B1358" s="12" t="n"/>
      <c r="C1358" s="13" t="n"/>
      <c r="D1358" s="20">
        <f>IF($C1358="","",IFERROR(IF(VLOOKUP($C1358,AcctTblE,4,0)="","(بدون نام)",VLOOKUP($C1358,AcctTblE,4,0)),"کد ناشناخته"))</f>
        <v/>
      </c>
      <c r="E1358" s="15" t="n"/>
      <c r="F1358" s="20">
        <f>IF($B1358="","",IFERROR(INDEX(WageDates,MATCH($B1358,WageIds,0)),"—"))</f>
        <v/>
      </c>
      <c r="G1358" s="20">
        <f>IF($B1358="","",IFERROR(VLOOKUP(INDEX(WageParty,MATCH($B1358,WageIds,0)),WGTbl,2,0),"—"))</f>
        <v/>
      </c>
      <c r="H1358" s="12" t="n"/>
    </row>
    <row r="1359">
      <c r="A1359" s="10">
        <f>IF($B1359="","",COUNTA($B$9:$B1359))</f>
        <v/>
      </c>
      <c r="B1359" s="12" t="n"/>
      <c r="C1359" s="13" t="n"/>
      <c r="D1359" s="14">
        <f>IF($C1359="","",IFERROR(IF(VLOOKUP($C1359,AcctTblE,4,0)="","(بدون نام)",VLOOKUP($C1359,AcctTblE,4,0)),"کد ناشناخته"))</f>
        <v/>
      </c>
      <c r="E1359" s="15" t="n"/>
      <c r="F1359" s="14">
        <f>IF($B1359="","",IFERROR(INDEX(WageDates,MATCH($B1359,WageIds,0)),"—"))</f>
        <v/>
      </c>
      <c r="G1359" s="14">
        <f>IF($B1359="","",IFERROR(VLOOKUP(INDEX(WageParty,MATCH($B1359,WageIds,0)),WGTbl,2,0),"—"))</f>
        <v/>
      </c>
      <c r="H1359" s="12" t="n"/>
    </row>
    <row r="1360">
      <c r="A1360" s="19">
        <f>IF($B1360="","",COUNTA($B$9:$B1360))</f>
        <v/>
      </c>
      <c r="B1360" s="12" t="n"/>
      <c r="C1360" s="13" t="n"/>
      <c r="D1360" s="20">
        <f>IF($C1360="","",IFERROR(IF(VLOOKUP($C1360,AcctTblE,4,0)="","(بدون نام)",VLOOKUP($C1360,AcctTblE,4,0)),"کد ناشناخته"))</f>
        <v/>
      </c>
      <c r="E1360" s="15" t="n"/>
      <c r="F1360" s="20">
        <f>IF($B1360="","",IFERROR(INDEX(WageDates,MATCH($B1360,WageIds,0)),"—"))</f>
        <v/>
      </c>
      <c r="G1360" s="20">
        <f>IF($B1360="","",IFERROR(VLOOKUP(INDEX(WageParty,MATCH($B1360,WageIds,0)),WGTbl,2,0),"—"))</f>
        <v/>
      </c>
      <c r="H1360" s="12" t="n"/>
    </row>
    <row r="1361">
      <c r="A1361" s="10">
        <f>IF($B1361="","",COUNTA($B$9:$B1361))</f>
        <v/>
      </c>
      <c r="B1361" s="12" t="n"/>
      <c r="C1361" s="13" t="n"/>
      <c r="D1361" s="14">
        <f>IF($C1361="","",IFERROR(IF(VLOOKUP($C1361,AcctTblE,4,0)="","(بدون نام)",VLOOKUP($C1361,AcctTblE,4,0)),"کد ناشناخته"))</f>
        <v/>
      </c>
      <c r="E1361" s="15" t="n"/>
      <c r="F1361" s="14">
        <f>IF($B1361="","",IFERROR(INDEX(WageDates,MATCH($B1361,WageIds,0)),"—"))</f>
        <v/>
      </c>
      <c r="G1361" s="14">
        <f>IF($B1361="","",IFERROR(VLOOKUP(INDEX(WageParty,MATCH($B1361,WageIds,0)),WGTbl,2,0),"—"))</f>
        <v/>
      </c>
      <c r="H1361" s="12" t="n"/>
    </row>
    <row r="1362">
      <c r="A1362" s="19">
        <f>IF($B1362="","",COUNTA($B$9:$B1362))</f>
        <v/>
      </c>
      <c r="B1362" s="12" t="n"/>
      <c r="C1362" s="13" t="n"/>
      <c r="D1362" s="20">
        <f>IF($C1362="","",IFERROR(IF(VLOOKUP($C1362,AcctTblE,4,0)="","(بدون نام)",VLOOKUP($C1362,AcctTblE,4,0)),"کد ناشناخته"))</f>
        <v/>
      </c>
      <c r="E1362" s="15" t="n"/>
      <c r="F1362" s="20">
        <f>IF($B1362="","",IFERROR(INDEX(WageDates,MATCH($B1362,WageIds,0)),"—"))</f>
        <v/>
      </c>
      <c r="G1362" s="20">
        <f>IF($B1362="","",IFERROR(VLOOKUP(INDEX(WageParty,MATCH($B1362,WageIds,0)),WGTbl,2,0),"—"))</f>
        <v/>
      </c>
      <c r="H1362" s="12" t="n"/>
    </row>
    <row r="1363">
      <c r="A1363" s="10">
        <f>IF($B1363="","",COUNTA($B$9:$B1363))</f>
        <v/>
      </c>
      <c r="B1363" s="12" t="n"/>
      <c r="C1363" s="13" t="n"/>
      <c r="D1363" s="14">
        <f>IF($C1363="","",IFERROR(IF(VLOOKUP($C1363,AcctTblE,4,0)="","(بدون نام)",VLOOKUP($C1363,AcctTblE,4,0)),"کد ناشناخته"))</f>
        <v/>
      </c>
      <c r="E1363" s="15" t="n"/>
      <c r="F1363" s="14">
        <f>IF($B1363="","",IFERROR(INDEX(WageDates,MATCH($B1363,WageIds,0)),"—"))</f>
        <v/>
      </c>
      <c r="G1363" s="14">
        <f>IF($B1363="","",IFERROR(VLOOKUP(INDEX(WageParty,MATCH($B1363,WageIds,0)),WGTbl,2,0),"—"))</f>
        <v/>
      </c>
      <c r="H1363" s="12" t="n"/>
    </row>
    <row r="1364">
      <c r="A1364" s="19">
        <f>IF($B1364="","",COUNTA($B$9:$B1364))</f>
        <v/>
      </c>
      <c r="B1364" s="12" t="n"/>
      <c r="C1364" s="13" t="n"/>
      <c r="D1364" s="20">
        <f>IF($C1364="","",IFERROR(IF(VLOOKUP($C1364,AcctTblE,4,0)="","(بدون نام)",VLOOKUP($C1364,AcctTblE,4,0)),"کد ناشناخته"))</f>
        <v/>
      </c>
      <c r="E1364" s="15" t="n"/>
      <c r="F1364" s="20">
        <f>IF($B1364="","",IFERROR(INDEX(WageDates,MATCH($B1364,WageIds,0)),"—"))</f>
        <v/>
      </c>
      <c r="G1364" s="20">
        <f>IF($B1364="","",IFERROR(VLOOKUP(INDEX(WageParty,MATCH($B1364,WageIds,0)),WGTbl,2,0),"—"))</f>
        <v/>
      </c>
      <c r="H1364" s="12" t="n"/>
    </row>
    <row r="1365">
      <c r="A1365" s="10">
        <f>IF($B1365="","",COUNTA($B$9:$B1365))</f>
        <v/>
      </c>
      <c r="B1365" s="12" t="n"/>
      <c r="C1365" s="13" t="n"/>
      <c r="D1365" s="14">
        <f>IF($C1365="","",IFERROR(IF(VLOOKUP($C1365,AcctTblE,4,0)="","(بدون نام)",VLOOKUP($C1365,AcctTblE,4,0)),"کد ناشناخته"))</f>
        <v/>
      </c>
      <c r="E1365" s="15" t="n"/>
      <c r="F1365" s="14">
        <f>IF($B1365="","",IFERROR(INDEX(WageDates,MATCH($B1365,WageIds,0)),"—"))</f>
        <v/>
      </c>
      <c r="G1365" s="14">
        <f>IF($B1365="","",IFERROR(VLOOKUP(INDEX(WageParty,MATCH($B1365,WageIds,0)),WGTbl,2,0),"—"))</f>
        <v/>
      </c>
      <c r="H1365" s="12" t="n"/>
    </row>
    <row r="1366">
      <c r="A1366" s="19">
        <f>IF($B1366="","",COUNTA($B$9:$B1366))</f>
        <v/>
      </c>
      <c r="B1366" s="12" t="n"/>
      <c r="C1366" s="13" t="n"/>
      <c r="D1366" s="20">
        <f>IF($C1366="","",IFERROR(IF(VLOOKUP($C1366,AcctTblE,4,0)="","(بدون نام)",VLOOKUP($C1366,AcctTblE,4,0)),"کد ناشناخته"))</f>
        <v/>
      </c>
      <c r="E1366" s="15" t="n"/>
      <c r="F1366" s="20">
        <f>IF($B1366="","",IFERROR(INDEX(WageDates,MATCH($B1366,WageIds,0)),"—"))</f>
        <v/>
      </c>
      <c r="G1366" s="20">
        <f>IF($B1366="","",IFERROR(VLOOKUP(INDEX(WageParty,MATCH($B1366,WageIds,0)),WGTbl,2,0),"—"))</f>
        <v/>
      </c>
      <c r="H1366" s="12" t="n"/>
    </row>
    <row r="1367">
      <c r="A1367" s="10">
        <f>IF($B1367="","",COUNTA($B$9:$B1367))</f>
        <v/>
      </c>
      <c r="B1367" s="12" t="n"/>
      <c r="C1367" s="13" t="n"/>
      <c r="D1367" s="14">
        <f>IF($C1367="","",IFERROR(IF(VLOOKUP($C1367,AcctTblE,4,0)="","(بدون نام)",VLOOKUP($C1367,AcctTblE,4,0)),"کد ناشناخته"))</f>
        <v/>
      </c>
      <c r="E1367" s="15" t="n"/>
      <c r="F1367" s="14">
        <f>IF($B1367="","",IFERROR(INDEX(WageDates,MATCH($B1367,WageIds,0)),"—"))</f>
        <v/>
      </c>
      <c r="G1367" s="14">
        <f>IF($B1367="","",IFERROR(VLOOKUP(INDEX(WageParty,MATCH($B1367,WageIds,0)),WGTbl,2,0),"—"))</f>
        <v/>
      </c>
      <c r="H1367" s="12" t="n"/>
    </row>
    <row r="1368">
      <c r="A1368" s="19">
        <f>IF($B1368="","",COUNTA($B$9:$B1368))</f>
        <v/>
      </c>
      <c r="B1368" s="12" t="n"/>
      <c r="C1368" s="13" t="n"/>
      <c r="D1368" s="20">
        <f>IF($C1368="","",IFERROR(IF(VLOOKUP($C1368,AcctTblE,4,0)="","(بدون نام)",VLOOKUP($C1368,AcctTblE,4,0)),"کد ناشناخته"))</f>
        <v/>
      </c>
      <c r="E1368" s="15" t="n"/>
      <c r="F1368" s="20">
        <f>IF($B1368="","",IFERROR(INDEX(WageDates,MATCH($B1368,WageIds,0)),"—"))</f>
        <v/>
      </c>
      <c r="G1368" s="20">
        <f>IF($B1368="","",IFERROR(VLOOKUP(INDEX(WageParty,MATCH($B1368,WageIds,0)),WGTbl,2,0),"—"))</f>
        <v/>
      </c>
      <c r="H1368" s="12" t="n"/>
    </row>
    <row r="1369">
      <c r="A1369" s="10">
        <f>IF($B1369="","",COUNTA($B$9:$B1369))</f>
        <v/>
      </c>
      <c r="B1369" s="12" t="n"/>
      <c r="C1369" s="13" t="n"/>
      <c r="D1369" s="14">
        <f>IF($C1369="","",IFERROR(IF(VLOOKUP($C1369,AcctTblE,4,0)="","(بدون نام)",VLOOKUP($C1369,AcctTblE,4,0)),"کد ناشناخته"))</f>
        <v/>
      </c>
      <c r="E1369" s="15" t="n"/>
      <c r="F1369" s="14">
        <f>IF($B1369="","",IFERROR(INDEX(WageDates,MATCH($B1369,WageIds,0)),"—"))</f>
        <v/>
      </c>
      <c r="G1369" s="14">
        <f>IF($B1369="","",IFERROR(VLOOKUP(INDEX(WageParty,MATCH($B1369,WageIds,0)),WGTbl,2,0),"—"))</f>
        <v/>
      </c>
      <c r="H1369" s="12" t="n"/>
    </row>
    <row r="1370">
      <c r="A1370" s="19">
        <f>IF($B1370="","",COUNTA($B$9:$B1370))</f>
        <v/>
      </c>
      <c r="B1370" s="12" t="n"/>
      <c r="C1370" s="13" t="n"/>
      <c r="D1370" s="20">
        <f>IF($C1370="","",IFERROR(IF(VLOOKUP($C1370,AcctTblE,4,0)="","(بدون نام)",VLOOKUP($C1370,AcctTblE,4,0)),"کد ناشناخته"))</f>
        <v/>
      </c>
      <c r="E1370" s="15" t="n"/>
      <c r="F1370" s="20">
        <f>IF($B1370="","",IFERROR(INDEX(WageDates,MATCH($B1370,WageIds,0)),"—"))</f>
        <v/>
      </c>
      <c r="G1370" s="20">
        <f>IF($B1370="","",IFERROR(VLOOKUP(INDEX(WageParty,MATCH($B1370,WageIds,0)),WGTbl,2,0),"—"))</f>
        <v/>
      </c>
      <c r="H1370" s="12" t="n"/>
    </row>
    <row r="1371">
      <c r="A1371" s="10">
        <f>IF($B1371="","",COUNTA($B$9:$B1371))</f>
        <v/>
      </c>
      <c r="B1371" s="12" t="n"/>
      <c r="C1371" s="13" t="n"/>
      <c r="D1371" s="14">
        <f>IF($C1371="","",IFERROR(IF(VLOOKUP($C1371,AcctTblE,4,0)="","(بدون نام)",VLOOKUP($C1371,AcctTblE,4,0)),"کد ناشناخته"))</f>
        <v/>
      </c>
      <c r="E1371" s="15" t="n"/>
      <c r="F1371" s="14">
        <f>IF($B1371="","",IFERROR(INDEX(WageDates,MATCH($B1371,WageIds,0)),"—"))</f>
        <v/>
      </c>
      <c r="G1371" s="14">
        <f>IF($B1371="","",IFERROR(VLOOKUP(INDEX(WageParty,MATCH($B1371,WageIds,0)),WGTbl,2,0),"—"))</f>
        <v/>
      </c>
      <c r="H1371" s="12" t="n"/>
    </row>
    <row r="1372">
      <c r="A1372" s="19">
        <f>IF($B1372="","",COUNTA($B$9:$B1372))</f>
        <v/>
      </c>
      <c r="B1372" s="12" t="n"/>
      <c r="C1372" s="13" t="n"/>
      <c r="D1372" s="20">
        <f>IF($C1372="","",IFERROR(IF(VLOOKUP($C1372,AcctTblE,4,0)="","(بدون نام)",VLOOKUP($C1372,AcctTblE,4,0)),"کد ناشناخته"))</f>
        <v/>
      </c>
      <c r="E1372" s="15" t="n"/>
      <c r="F1372" s="20">
        <f>IF($B1372="","",IFERROR(INDEX(WageDates,MATCH($B1372,WageIds,0)),"—"))</f>
        <v/>
      </c>
      <c r="G1372" s="20">
        <f>IF($B1372="","",IFERROR(VLOOKUP(INDEX(WageParty,MATCH($B1372,WageIds,0)),WGTbl,2,0),"—"))</f>
        <v/>
      </c>
      <c r="H1372" s="12" t="n"/>
    </row>
    <row r="1373">
      <c r="A1373" s="10">
        <f>IF($B1373="","",COUNTA($B$9:$B1373))</f>
        <v/>
      </c>
      <c r="B1373" s="12" t="n"/>
      <c r="C1373" s="13" t="n"/>
      <c r="D1373" s="14">
        <f>IF($C1373="","",IFERROR(IF(VLOOKUP($C1373,AcctTblE,4,0)="","(بدون نام)",VLOOKUP($C1373,AcctTblE,4,0)),"کد ناشناخته"))</f>
        <v/>
      </c>
      <c r="E1373" s="15" t="n"/>
      <c r="F1373" s="14">
        <f>IF($B1373="","",IFERROR(INDEX(WageDates,MATCH($B1373,WageIds,0)),"—"))</f>
        <v/>
      </c>
      <c r="G1373" s="14">
        <f>IF($B1373="","",IFERROR(VLOOKUP(INDEX(WageParty,MATCH($B1373,WageIds,0)),WGTbl,2,0),"—"))</f>
        <v/>
      </c>
      <c r="H1373" s="12" t="n"/>
    </row>
    <row r="1374">
      <c r="A1374" s="19">
        <f>IF($B1374="","",COUNTA($B$9:$B1374))</f>
        <v/>
      </c>
      <c r="B1374" s="12" t="n"/>
      <c r="C1374" s="13" t="n"/>
      <c r="D1374" s="20">
        <f>IF($C1374="","",IFERROR(IF(VLOOKUP($C1374,AcctTblE,4,0)="","(بدون نام)",VLOOKUP($C1374,AcctTblE,4,0)),"کد ناشناخته"))</f>
        <v/>
      </c>
      <c r="E1374" s="15" t="n"/>
      <c r="F1374" s="20">
        <f>IF($B1374="","",IFERROR(INDEX(WageDates,MATCH($B1374,WageIds,0)),"—"))</f>
        <v/>
      </c>
      <c r="G1374" s="20">
        <f>IF($B1374="","",IFERROR(VLOOKUP(INDEX(WageParty,MATCH($B1374,WageIds,0)),WGTbl,2,0),"—"))</f>
        <v/>
      </c>
      <c r="H1374" s="12" t="n"/>
    </row>
    <row r="1375">
      <c r="A1375" s="10">
        <f>IF($B1375="","",COUNTA($B$9:$B1375))</f>
        <v/>
      </c>
      <c r="B1375" s="12" t="n"/>
      <c r="C1375" s="13" t="n"/>
      <c r="D1375" s="14">
        <f>IF($C1375="","",IFERROR(IF(VLOOKUP($C1375,AcctTblE,4,0)="","(بدون نام)",VLOOKUP($C1375,AcctTblE,4,0)),"کد ناشناخته"))</f>
        <v/>
      </c>
      <c r="E1375" s="15" t="n"/>
      <c r="F1375" s="14">
        <f>IF($B1375="","",IFERROR(INDEX(WageDates,MATCH($B1375,WageIds,0)),"—"))</f>
        <v/>
      </c>
      <c r="G1375" s="14">
        <f>IF($B1375="","",IFERROR(VLOOKUP(INDEX(WageParty,MATCH($B1375,WageIds,0)),WGTbl,2,0),"—"))</f>
        <v/>
      </c>
      <c r="H1375" s="12" t="n"/>
    </row>
    <row r="1376">
      <c r="A1376" s="19">
        <f>IF($B1376="","",COUNTA($B$9:$B1376))</f>
        <v/>
      </c>
      <c r="B1376" s="12" t="n"/>
      <c r="C1376" s="13" t="n"/>
      <c r="D1376" s="20">
        <f>IF($C1376="","",IFERROR(IF(VLOOKUP($C1376,AcctTblE,4,0)="","(بدون نام)",VLOOKUP($C1376,AcctTblE,4,0)),"کد ناشناخته"))</f>
        <v/>
      </c>
      <c r="E1376" s="15" t="n"/>
      <c r="F1376" s="20">
        <f>IF($B1376="","",IFERROR(INDEX(WageDates,MATCH($B1376,WageIds,0)),"—"))</f>
        <v/>
      </c>
      <c r="G1376" s="20">
        <f>IF($B1376="","",IFERROR(VLOOKUP(INDEX(WageParty,MATCH($B1376,WageIds,0)),WGTbl,2,0),"—"))</f>
        <v/>
      </c>
      <c r="H1376" s="12" t="n"/>
    </row>
    <row r="1377">
      <c r="A1377" s="10">
        <f>IF($B1377="","",COUNTA($B$9:$B1377))</f>
        <v/>
      </c>
      <c r="B1377" s="12" t="n"/>
      <c r="C1377" s="13" t="n"/>
      <c r="D1377" s="14">
        <f>IF($C1377="","",IFERROR(IF(VLOOKUP($C1377,AcctTblE,4,0)="","(بدون نام)",VLOOKUP($C1377,AcctTblE,4,0)),"کد ناشناخته"))</f>
        <v/>
      </c>
      <c r="E1377" s="15" t="n"/>
      <c r="F1377" s="14">
        <f>IF($B1377="","",IFERROR(INDEX(WageDates,MATCH($B1377,WageIds,0)),"—"))</f>
        <v/>
      </c>
      <c r="G1377" s="14">
        <f>IF($B1377="","",IFERROR(VLOOKUP(INDEX(WageParty,MATCH($B1377,WageIds,0)),WGTbl,2,0),"—"))</f>
        <v/>
      </c>
      <c r="H1377" s="12" t="n"/>
    </row>
    <row r="1378">
      <c r="A1378" s="19">
        <f>IF($B1378="","",COUNTA($B$9:$B1378))</f>
        <v/>
      </c>
      <c r="B1378" s="12" t="n"/>
      <c r="C1378" s="13" t="n"/>
      <c r="D1378" s="20">
        <f>IF($C1378="","",IFERROR(IF(VLOOKUP($C1378,AcctTblE,4,0)="","(بدون نام)",VLOOKUP($C1378,AcctTblE,4,0)),"کد ناشناخته"))</f>
        <v/>
      </c>
      <c r="E1378" s="15" t="n"/>
      <c r="F1378" s="20">
        <f>IF($B1378="","",IFERROR(INDEX(WageDates,MATCH($B1378,WageIds,0)),"—"))</f>
        <v/>
      </c>
      <c r="G1378" s="20">
        <f>IF($B1378="","",IFERROR(VLOOKUP(INDEX(WageParty,MATCH($B1378,WageIds,0)),WGTbl,2,0),"—"))</f>
        <v/>
      </c>
      <c r="H1378" s="12" t="n"/>
    </row>
    <row r="1379">
      <c r="A1379" s="10">
        <f>IF($B1379="","",COUNTA($B$9:$B1379))</f>
        <v/>
      </c>
      <c r="B1379" s="12" t="n"/>
      <c r="C1379" s="13" t="n"/>
      <c r="D1379" s="14">
        <f>IF($C1379="","",IFERROR(IF(VLOOKUP($C1379,AcctTblE,4,0)="","(بدون نام)",VLOOKUP($C1379,AcctTblE,4,0)),"کد ناشناخته"))</f>
        <v/>
      </c>
      <c r="E1379" s="15" t="n"/>
      <c r="F1379" s="14">
        <f>IF($B1379="","",IFERROR(INDEX(WageDates,MATCH($B1379,WageIds,0)),"—"))</f>
        <v/>
      </c>
      <c r="G1379" s="14">
        <f>IF($B1379="","",IFERROR(VLOOKUP(INDEX(WageParty,MATCH($B1379,WageIds,0)),WGTbl,2,0),"—"))</f>
        <v/>
      </c>
      <c r="H1379" s="12" t="n"/>
    </row>
    <row r="1380">
      <c r="A1380" s="19">
        <f>IF($B1380="","",COUNTA($B$9:$B1380))</f>
        <v/>
      </c>
      <c r="B1380" s="12" t="n"/>
      <c r="C1380" s="13" t="n"/>
      <c r="D1380" s="20">
        <f>IF($C1380="","",IFERROR(IF(VLOOKUP($C1380,AcctTblE,4,0)="","(بدون نام)",VLOOKUP($C1380,AcctTblE,4,0)),"کد ناشناخته"))</f>
        <v/>
      </c>
      <c r="E1380" s="15" t="n"/>
      <c r="F1380" s="20">
        <f>IF($B1380="","",IFERROR(INDEX(WageDates,MATCH($B1380,WageIds,0)),"—"))</f>
        <v/>
      </c>
      <c r="G1380" s="20">
        <f>IF($B1380="","",IFERROR(VLOOKUP(INDEX(WageParty,MATCH($B1380,WageIds,0)),WGTbl,2,0),"—"))</f>
        <v/>
      </c>
      <c r="H1380" s="12" t="n"/>
    </row>
    <row r="1381">
      <c r="A1381" s="10">
        <f>IF($B1381="","",COUNTA($B$9:$B1381))</f>
        <v/>
      </c>
      <c r="B1381" s="12" t="n"/>
      <c r="C1381" s="13" t="n"/>
      <c r="D1381" s="14">
        <f>IF($C1381="","",IFERROR(IF(VLOOKUP($C1381,AcctTblE,4,0)="","(بدون نام)",VLOOKUP($C1381,AcctTblE,4,0)),"کد ناشناخته"))</f>
        <v/>
      </c>
      <c r="E1381" s="15" t="n"/>
      <c r="F1381" s="14">
        <f>IF($B1381="","",IFERROR(INDEX(WageDates,MATCH($B1381,WageIds,0)),"—"))</f>
        <v/>
      </c>
      <c r="G1381" s="14">
        <f>IF($B1381="","",IFERROR(VLOOKUP(INDEX(WageParty,MATCH($B1381,WageIds,0)),WGTbl,2,0),"—"))</f>
        <v/>
      </c>
      <c r="H1381" s="12" t="n"/>
    </row>
    <row r="1382">
      <c r="A1382" s="19">
        <f>IF($B1382="","",COUNTA($B$9:$B1382))</f>
        <v/>
      </c>
      <c r="B1382" s="12" t="n"/>
      <c r="C1382" s="13" t="n"/>
      <c r="D1382" s="20">
        <f>IF($C1382="","",IFERROR(IF(VLOOKUP($C1382,AcctTblE,4,0)="","(بدون نام)",VLOOKUP($C1382,AcctTblE,4,0)),"کد ناشناخته"))</f>
        <v/>
      </c>
      <c r="E1382" s="15" t="n"/>
      <c r="F1382" s="20">
        <f>IF($B1382="","",IFERROR(INDEX(WageDates,MATCH($B1382,WageIds,0)),"—"))</f>
        <v/>
      </c>
      <c r="G1382" s="20">
        <f>IF($B1382="","",IFERROR(VLOOKUP(INDEX(WageParty,MATCH($B1382,WageIds,0)),WGTbl,2,0),"—"))</f>
        <v/>
      </c>
      <c r="H1382" s="12" t="n"/>
    </row>
    <row r="1383">
      <c r="A1383" s="10">
        <f>IF($B1383="","",COUNTA($B$9:$B1383))</f>
        <v/>
      </c>
      <c r="B1383" s="12" t="n"/>
      <c r="C1383" s="13" t="n"/>
      <c r="D1383" s="14">
        <f>IF($C1383="","",IFERROR(IF(VLOOKUP($C1383,AcctTblE,4,0)="","(بدون نام)",VLOOKUP($C1383,AcctTblE,4,0)),"کد ناشناخته"))</f>
        <v/>
      </c>
      <c r="E1383" s="15" t="n"/>
      <c r="F1383" s="14">
        <f>IF($B1383="","",IFERROR(INDEX(WageDates,MATCH($B1383,WageIds,0)),"—"))</f>
        <v/>
      </c>
      <c r="G1383" s="14">
        <f>IF($B1383="","",IFERROR(VLOOKUP(INDEX(WageParty,MATCH($B1383,WageIds,0)),WGTbl,2,0),"—"))</f>
        <v/>
      </c>
      <c r="H1383" s="12" t="n"/>
    </row>
    <row r="1384">
      <c r="A1384" s="19">
        <f>IF($B1384="","",COUNTA($B$9:$B1384))</f>
        <v/>
      </c>
      <c r="B1384" s="12" t="n"/>
      <c r="C1384" s="13" t="n"/>
      <c r="D1384" s="20">
        <f>IF($C1384="","",IFERROR(IF(VLOOKUP($C1384,AcctTblE,4,0)="","(بدون نام)",VLOOKUP($C1384,AcctTblE,4,0)),"کد ناشناخته"))</f>
        <v/>
      </c>
      <c r="E1384" s="15" t="n"/>
      <c r="F1384" s="20">
        <f>IF($B1384="","",IFERROR(INDEX(WageDates,MATCH($B1384,WageIds,0)),"—"))</f>
        <v/>
      </c>
      <c r="G1384" s="20">
        <f>IF($B1384="","",IFERROR(VLOOKUP(INDEX(WageParty,MATCH($B1384,WageIds,0)),WGTbl,2,0),"—"))</f>
        <v/>
      </c>
      <c r="H1384" s="12" t="n"/>
    </row>
    <row r="1385">
      <c r="A1385" s="10">
        <f>IF($B1385="","",COUNTA($B$9:$B1385))</f>
        <v/>
      </c>
      <c r="B1385" s="12" t="n"/>
      <c r="C1385" s="13" t="n"/>
      <c r="D1385" s="14">
        <f>IF($C1385="","",IFERROR(IF(VLOOKUP($C1385,AcctTblE,4,0)="","(بدون نام)",VLOOKUP($C1385,AcctTblE,4,0)),"کد ناشناخته"))</f>
        <v/>
      </c>
      <c r="E1385" s="15" t="n"/>
      <c r="F1385" s="14">
        <f>IF($B1385="","",IFERROR(INDEX(WageDates,MATCH($B1385,WageIds,0)),"—"))</f>
        <v/>
      </c>
      <c r="G1385" s="14">
        <f>IF($B1385="","",IFERROR(VLOOKUP(INDEX(WageParty,MATCH($B1385,WageIds,0)),WGTbl,2,0),"—"))</f>
        <v/>
      </c>
      <c r="H1385" s="12" t="n"/>
    </row>
    <row r="1386">
      <c r="A1386" s="19">
        <f>IF($B1386="","",COUNTA($B$9:$B1386))</f>
        <v/>
      </c>
      <c r="B1386" s="12" t="n"/>
      <c r="C1386" s="13" t="n"/>
      <c r="D1386" s="20">
        <f>IF($C1386="","",IFERROR(IF(VLOOKUP($C1386,AcctTblE,4,0)="","(بدون نام)",VLOOKUP($C1386,AcctTblE,4,0)),"کد ناشناخته"))</f>
        <v/>
      </c>
      <c r="E1386" s="15" t="n"/>
      <c r="F1386" s="20">
        <f>IF($B1386="","",IFERROR(INDEX(WageDates,MATCH($B1386,WageIds,0)),"—"))</f>
        <v/>
      </c>
      <c r="G1386" s="20">
        <f>IF($B1386="","",IFERROR(VLOOKUP(INDEX(WageParty,MATCH($B1386,WageIds,0)),WGTbl,2,0),"—"))</f>
        <v/>
      </c>
      <c r="H1386" s="12" t="n"/>
    </row>
    <row r="1387">
      <c r="A1387" s="10">
        <f>IF($B1387="","",COUNTA($B$9:$B1387))</f>
        <v/>
      </c>
      <c r="B1387" s="12" t="n"/>
      <c r="C1387" s="13" t="n"/>
      <c r="D1387" s="14">
        <f>IF($C1387="","",IFERROR(IF(VLOOKUP($C1387,AcctTblE,4,0)="","(بدون نام)",VLOOKUP($C1387,AcctTblE,4,0)),"کد ناشناخته"))</f>
        <v/>
      </c>
      <c r="E1387" s="15" t="n"/>
      <c r="F1387" s="14">
        <f>IF($B1387="","",IFERROR(INDEX(WageDates,MATCH($B1387,WageIds,0)),"—"))</f>
        <v/>
      </c>
      <c r="G1387" s="14">
        <f>IF($B1387="","",IFERROR(VLOOKUP(INDEX(WageParty,MATCH($B1387,WageIds,0)),WGTbl,2,0),"—"))</f>
        <v/>
      </c>
      <c r="H1387" s="12" t="n"/>
    </row>
    <row r="1388">
      <c r="A1388" s="19">
        <f>IF($B1388="","",COUNTA($B$9:$B1388))</f>
        <v/>
      </c>
      <c r="B1388" s="12" t="n"/>
      <c r="C1388" s="13" t="n"/>
      <c r="D1388" s="20">
        <f>IF($C1388="","",IFERROR(IF(VLOOKUP($C1388,AcctTblE,4,0)="","(بدون نام)",VLOOKUP($C1388,AcctTblE,4,0)),"کد ناشناخته"))</f>
        <v/>
      </c>
      <c r="E1388" s="15" t="n"/>
      <c r="F1388" s="20">
        <f>IF($B1388="","",IFERROR(INDEX(WageDates,MATCH($B1388,WageIds,0)),"—"))</f>
        <v/>
      </c>
      <c r="G1388" s="20">
        <f>IF($B1388="","",IFERROR(VLOOKUP(INDEX(WageParty,MATCH($B1388,WageIds,0)),WGTbl,2,0),"—"))</f>
        <v/>
      </c>
      <c r="H1388" s="12" t="n"/>
    </row>
    <row r="1389">
      <c r="A1389" s="10">
        <f>IF($B1389="","",COUNTA($B$9:$B1389))</f>
        <v/>
      </c>
      <c r="B1389" s="12" t="n"/>
      <c r="C1389" s="13" t="n"/>
      <c r="D1389" s="14">
        <f>IF($C1389="","",IFERROR(IF(VLOOKUP($C1389,AcctTblE,4,0)="","(بدون نام)",VLOOKUP($C1389,AcctTblE,4,0)),"کد ناشناخته"))</f>
        <v/>
      </c>
      <c r="E1389" s="15" t="n"/>
      <c r="F1389" s="14">
        <f>IF($B1389="","",IFERROR(INDEX(WageDates,MATCH($B1389,WageIds,0)),"—"))</f>
        <v/>
      </c>
      <c r="G1389" s="14">
        <f>IF($B1389="","",IFERROR(VLOOKUP(INDEX(WageParty,MATCH($B1389,WageIds,0)),WGTbl,2,0),"—"))</f>
        <v/>
      </c>
      <c r="H1389" s="12" t="n"/>
    </row>
    <row r="1390">
      <c r="A1390" s="19">
        <f>IF($B1390="","",COUNTA($B$9:$B1390))</f>
        <v/>
      </c>
      <c r="B1390" s="12" t="n"/>
      <c r="C1390" s="13" t="n"/>
      <c r="D1390" s="20">
        <f>IF($C1390="","",IFERROR(IF(VLOOKUP($C1390,AcctTblE,4,0)="","(بدون نام)",VLOOKUP($C1390,AcctTblE,4,0)),"کد ناشناخته"))</f>
        <v/>
      </c>
      <c r="E1390" s="15" t="n"/>
      <c r="F1390" s="20">
        <f>IF($B1390="","",IFERROR(INDEX(WageDates,MATCH($B1390,WageIds,0)),"—"))</f>
        <v/>
      </c>
      <c r="G1390" s="20">
        <f>IF($B1390="","",IFERROR(VLOOKUP(INDEX(WageParty,MATCH($B1390,WageIds,0)),WGTbl,2,0),"—"))</f>
        <v/>
      </c>
      <c r="H1390" s="12" t="n"/>
    </row>
    <row r="1391">
      <c r="A1391" s="10">
        <f>IF($B1391="","",COUNTA($B$9:$B1391))</f>
        <v/>
      </c>
      <c r="B1391" s="12" t="n"/>
      <c r="C1391" s="13" t="n"/>
      <c r="D1391" s="14">
        <f>IF($C1391="","",IFERROR(IF(VLOOKUP($C1391,AcctTblE,4,0)="","(بدون نام)",VLOOKUP($C1391,AcctTblE,4,0)),"کد ناشناخته"))</f>
        <v/>
      </c>
      <c r="E1391" s="15" t="n"/>
      <c r="F1391" s="14">
        <f>IF($B1391="","",IFERROR(INDEX(WageDates,MATCH($B1391,WageIds,0)),"—"))</f>
        <v/>
      </c>
      <c r="G1391" s="14">
        <f>IF($B1391="","",IFERROR(VLOOKUP(INDEX(WageParty,MATCH($B1391,WageIds,0)),WGTbl,2,0),"—"))</f>
        <v/>
      </c>
      <c r="H1391" s="12" t="n"/>
    </row>
    <row r="1392">
      <c r="A1392" s="19">
        <f>IF($B1392="","",COUNTA($B$9:$B1392))</f>
        <v/>
      </c>
      <c r="B1392" s="12" t="n"/>
      <c r="C1392" s="13" t="n"/>
      <c r="D1392" s="20">
        <f>IF($C1392="","",IFERROR(IF(VLOOKUP($C1392,AcctTblE,4,0)="","(بدون نام)",VLOOKUP($C1392,AcctTblE,4,0)),"کد ناشناخته"))</f>
        <v/>
      </c>
      <c r="E1392" s="15" t="n"/>
      <c r="F1392" s="20">
        <f>IF($B1392="","",IFERROR(INDEX(WageDates,MATCH($B1392,WageIds,0)),"—"))</f>
        <v/>
      </c>
      <c r="G1392" s="20">
        <f>IF($B1392="","",IFERROR(VLOOKUP(INDEX(WageParty,MATCH($B1392,WageIds,0)),WGTbl,2,0),"—"))</f>
        <v/>
      </c>
      <c r="H1392" s="12" t="n"/>
    </row>
    <row r="1393">
      <c r="A1393" s="10">
        <f>IF($B1393="","",COUNTA($B$9:$B1393))</f>
        <v/>
      </c>
      <c r="B1393" s="12" t="n"/>
      <c r="C1393" s="13" t="n"/>
      <c r="D1393" s="14">
        <f>IF($C1393="","",IFERROR(IF(VLOOKUP($C1393,AcctTblE,4,0)="","(بدون نام)",VLOOKUP($C1393,AcctTblE,4,0)),"کد ناشناخته"))</f>
        <v/>
      </c>
      <c r="E1393" s="15" t="n"/>
      <c r="F1393" s="14">
        <f>IF($B1393="","",IFERROR(INDEX(WageDates,MATCH($B1393,WageIds,0)),"—"))</f>
        <v/>
      </c>
      <c r="G1393" s="14">
        <f>IF($B1393="","",IFERROR(VLOOKUP(INDEX(WageParty,MATCH($B1393,WageIds,0)),WGTbl,2,0),"—"))</f>
        <v/>
      </c>
      <c r="H1393" s="12" t="n"/>
    </row>
    <row r="1394">
      <c r="A1394" s="19">
        <f>IF($B1394="","",COUNTA($B$9:$B1394))</f>
        <v/>
      </c>
      <c r="B1394" s="12" t="n"/>
      <c r="C1394" s="13" t="n"/>
      <c r="D1394" s="20">
        <f>IF($C1394="","",IFERROR(IF(VLOOKUP($C1394,AcctTblE,4,0)="","(بدون نام)",VLOOKUP($C1394,AcctTblE,4,0)),"کد ناشناخته"))</f>
        <v/>
      </c>
      <c r="E1394" s="15" t="n"/>
      <c r="F1394" s="20">
        <f>IF($B1394="","",IFERROR(INDEX(WageDates,MATCH($B1394,WageIds,0)),"—"))</f>
        <v/>
      </c>
      <c r="G1394" s="20">
        <f>IF($B1394="","",IFERROR(VLOOKUP(INDEX(WageParty,MATCH($B1394,WageIds,0)),WGTbl,2,0),"—"))</f>
        <v/>
      </c>
      <c r="H1394" s="12" t="n"/>
    </row>
    <row r="1395">
      <c r="A1395" s="10">
        <f>IF($B1395="","",COUNTA($B$9:$B1395))</f>
        <v/>
      </c>
      <c r="B1395" s="12" t="n"/>
      <c r="C1395" s="13" t="n"/>
      <c r="D1395" s="14">
        <f>IF($C1395="","",IFERROR(IF(VLOOKUP($C1395,AcctTblE,4,0)="","(بدون نام)",VLOOKUP($C1395,AcctTblE,4,0)),"کد ناشناخته"))</f>
        <v/>
      </c>
      <c r="E1395" s="15" t="n"/>
      <c r="F1395" s="14">
        <f>IF($B1395="","",IFERROR(INDEX(WageDates,MATCH($B1395,WageIds,0)),"—"))</f>
        <v/>
      </c>
      <c r="G1395" s="14">
        <f>IF($B1395="","",IFERROR(VLOOKUP(INDEX(WageParty,MATCH($B1395,WageIds,0)),WGTbl,2,0),"—"))</f>
        <v/>
      </c>
      <c r="H1395" s="12" t="n"/>
    </row>
    <row r="1396">
      <c r="A1396" s="19">
        <f>IF($B1396="","",COUNTA($B$9:$B1396))</f>
        <v/>
      </c>
      <c r="B1396" s="12" t="n"/>
      <c r="C1396" s="13" t="n"/>
      <c r="D1396" s="20">
        <f>IF($C1396="","",IFERROR(IF(VLOOKUP($C1396,AcctTblE,4,0)="","(بدون نام)",VLOOKUP($C1396,AcctTblE,4,0)),"کد ناشناخته"))</f>
        <v/>
      </c>
      <c r="E1396" s="15" t="n"/>
      <c r="F1396" s="20">
        <f>IF($B1396="","",IFERROR(INDEX(WageDates,MATCH($B1396,WageIds,0)),"—"))</f>
        <v/>
      </c>
      <c r="G1396" s="20">
        <f>IF($B1396="","",IFERROR(VLOOKUP(INDEX(WageParty,MATCH($B1396,WageIds,0)),WGTbl,2,0),"—"))</f>
        <v/>
      </c>
      <c r="H1396" s="12" t="n"/>
    </row>
    <row r="1397">
      <c r="A1397" s="10">
        <f>IF($B1397="","",COUNTA($B$9:$B1397))</f>
        <v/>
      </c>
      <c r="B1397" s="12" t="n"/>
      <c r="C1397" s="13" t="n"/>
      <c r="D1397" s="14">
        <f>IF($C1397="","",IFERROR(IF(VLOOKUP($C1397,AcctTblE,4,0)="","(بدون نام)",VLOOKUP($C1397,AcctTblE,4,0)),"کد ناشناخته"))</f>
        <v/>
      </c>
      <c r="E1397" s="15" t="n"/>
      <c r="F1397" s="14">
        <f>IF($B1397="","",IFERROR(INDEX(WageDates,MATCH($B1397,WageIds,0)),"—"))</f>
        <v/>
      </c>
      <c r="G1397" s="14">
        <f>IF($B1397="","",IFERROR(VLOOKUP(INDEX(WageParty,MATCH($B1397,WageIds,0)),WGTbl,2,0),"—"))</f>
        <v/>
      </c>
      <c r="H1397" s="12" t="n"/>
    </row>
    <row r="1398">
      <c r="A1398" s="19">
        <f>IF($B1398="","",COUNTA($B$9:$B1398))</f>
        <v/>
      </c>
      <c r="B1398" s="12" t="n"/>
      <c r="C1398" s="13" t="n"/>
      <c r="D1398" s="20">
        <f>IF($C1398="","",IFERROR(IF(VLOOKUP($C1398,AcctTblE,4,0)="","(بدون نام)",VLOOKUP($C1398,AcctTblE,4,0)),"کد ناشناخته"))</f>
        <v/>
      </c>
      <c r="E1398" s="15" t="n"/>
      <c r="F1398" s="20">
        <f>IF($B1398="","",IFERROR(INDEX(WageDates,MATCH($B1398,WageIds,0)),"—"))</f>
        <v/>
      </c>
      <c r="G1398" s="20">
        <f>IF($B1398="","",IFERROR(VLOOKUP(INDEX(WageParty,MATCH($B1398,WageIds,0)),WGTbl,2,0),"—"))</f>
        <v/>
      </c>
      <c r="H1398" s="12" t="n"/>
    </row>
    <row r="1399">
      <c r="A1399" s="10">
        <f>IF($B1399="","",COUNTA($B$9:$B1399))</f>
        <v/>
      </c>
      <c r="B1399" s="12" t="n"/>
      <c r="C1399" s="13" t="n"/>
      <c r="D1399" s="14">
        <f>IF($C1399="","",IFERROR(IF(VLOOKUP($C1399,AcctTblE,4,0)="","(بدون نام)",VLOOKUP($C1399,AcctTblE,4,0)),"کد ناشناخته"))</f>
        <v/>
      </c>
      <c r="E1399" s="15" t="n"/>
      <c r="F1399" s="14">
        <f>IF($B1399="","",IFERROR(INDEX(WageDates,MATCH($B1399,WageIds,0)),"—"))</f>
        <v/>
      </c>
      <c r="G1399" s="14">
        <f>IF($B1399="","",IFERROR(VLOOKUP(INDEX(WageParty,MATCH($B1399,WageIds,0)),WGTbl,2,0),"—"))</f>
        <v/>
      </c>
      <c r="H1399" s="12" t="n"/>
    </row>
    <row r="1400">
      <c r="A1400" s="19">
        <f>IF($B1400="","",COUNTA($B$9:$B1400))</f>
        <v/>
      </c>
      <c r="B1400" s="12" t="n"/>
      <c r="C1400" s="13" t="n"/>
      <c r="D1400" s="20">
        <f>IF($C1400="","",IFERROR(IF(VLOOKUP($C1400,AcctTblE,4,0)="","(بدون نام)",VLOOKUP($C1400,AcctTblE,4,0)),"کد ناشناخته"))</f>
        <v/>
      </c>
      <c r="E1400" s="15" t="n"/>
      <c r="F1400" s="20">
        <f>IF($B1400="","",IFERROR(INDEX(WageDates,MATCH($B1400,WageIds,0)),"—"))</f>
        <v/>
      </c>
      <c r="G1400" s="20">
        <f>IF($B1400="","",IFERROR(VLOOKUP(INDEX(WageParty,MATCH($B1400,WageIds,0)),WGTbl,2,0),"—"))</f>
        <v/>
      </c>
      <c r="H1400" s="12" t="n"/>
    </row>
    <row r="1401">
      <c r="A1401" s="10">
        <f>IF($B1401="","",COUNTA($B$9:$B1401))</f>
        <v/>
      </c>
      <c r="B1401" s="12" t="n"/>
      <c r="C1401" s="13" t="n"/>
      <c r="D1401" s="14">
        <f>IF($C1401="","",IFERROR(IF(VLOOKUP($C1401,AcctTblE,4,0)="","(بدون نام)",VLOOKUP($C1401,AcctTblE,4,0)),"کد ناشناخته"))</f>
        <v/>
      </c>
      <c r="E1401" s="15" t="n"/>
      <c r="F1401" s="14">
        <f>IF($B1401="","",IFERROR(INDEX(WageDates,MATCH($B1401,WageIds,0)),"—"))</f>
        <v/>
      </c>
      <c r="G1401" s="14">
        <f>IF($B1401="","",IFERROR(VLOOKUP(INDEX(WageParty,MATCH($B1401,WageIds,0)),WGTbl,2,0),"—"))</f>
        <v/>
      </c>
      <c r="H1401" s="12" t="n"/>
    </row>
    <row r="1402">
      <c r="A1402" s="19">
        <f>IF($B1402="","",COUNTA($B$9:$B1402))</f>
        <v/>
      </c>
      <c r="B1402" s="12" t="n"/>
      <c r="C1402" s="13" t="n"/>
      <c r="D1402" s="20">
        <f>IF($C1402="","",IFERROR(IF(VLOOKUP($C1402,AcctTblE,4,0)="","(بدون نام)",VLOOKUP($C1402,AcctTblE,4,0)),"کد ناشناخته"))</f>
        <v/>
      </c>
      <c r="E1402" s="15" t="n"/>
      <c r="F1402" s="20">
        <f>IF($B1402="","",IFERROR(INDEX(WageDates,MATCH($B1402,WageIds,0)),"—"))</f>
        <v/>
      </c>
      <c r="G1402" s="20">
        <f>IF($B1402="","",IFERROR(VLOOKUP(INDEX(WageParty,MATCH($B1402,WageIds,0)),WGTbl,2,0),"—"))</f>
        <v/>
      </c>
      <c r="H1402" s="12" t="n"/>
    </row>
    <row r="1403">
      <c r="A1403" s="10">
        <f>IF($B1403="","",COUNTA($B$9:$B1403))</f>
        <v/>
      </c>
      <c r="B1403" s="12" t="n"/>
      <c r="C1403" s="13" t="n"/>
      <c r="D1403" s="14">
        <f>IF($C1403="","",IFERROR(IF(VLOOKUP($C1403,AcctTblE,4,0)="","(بدون نام)",VLOOKUP($C1403,AcctTblE,4,0)),"کد ناشناخته"))</f>
        <v/>
      </c>
      <c r="E1403" s="15" t="n"/>
      <c r="F1403" s="14">
        <f>IF($B1403="","",IFERROR(INDEX(WageDates,MATCH($B1403,WageIds,0)),"—"))</f>
        <v/>
      </c>
      <c r="G1403" s="14">
        <f>IF($B1403="","",IFERROR(VLOOKUP(INDEX(WageParty,MATCH($B1403,WageIds,0)),WGTbl,2,0),"—"))</f>
        <v/>
      </c>
      <c r="H1403" s="12" t="n"/>
    </row>
    <row r="1404">
      <c r="A1404" s="19">
        <f>IF($B1404="","",COUNTA($B$9:$B1404))</f>
        <v/>
      </c>
      <c r="B1404" s="12" t="n"/>
      <c r="C1404" s="13" t="n"/>
      <c r="D1404" s="20">
        <f>IF($C1404="","",IFERROR(IF(VLOOKUP($C1404,AcctTblE,4,0)="","(بدون نام)",VLOOKUP($C1404,AcctTblE,4,0)),"کد ناشناخته"))</f>
        <v/>
      </c>
      <c r="E1404" s="15" t="n"/>
      <c r="F1404" s="20">
        <f>IF($B1404="","",IFERROR(INDEX(WageDates,MATCH($B1404,WageIds,0)),"—"))</f>
        <v/>
      </c>
      <c r="G1404" s="20">
        <f>IF($B1404="","",IFERROR(VLOOKUP(INDEX(WageParty,MATCH($B1404,WageIds,0)),WGTbl,2,0),"—"))</f>
        <v/>
      </c>
      <c r="H1404" s="12" t="n"/>
    </row>
    <row r="1405">
      <c r="A1405" s="10">
        <f>IF($B1405="","",COUNTA($B$9:$B1405))</f>
        <v/>
      </c>
      <c r="B1405" s="12" t="n"/>
      <c r="C1405" s="13" t="n"/>
      <c r="D1405" s="14">
        <f>IF($C1405="","",IFERROR(IF(VLOOKUP($C1405,AcctTblE,4,0)="","(بدون نام)",VLOOKUP($C1405,AcctTblE,4,0)),"کد ناشناخته"))</f>
        <v/>
      </c>
      <c r="E1405" s="15" t="n"/>
      <c r="F1405" s="14">
        <f>IF($B1405="","",IFERROR(INDEX(WageDates,MATCH($B1405,WageIds,0)),"—"))</f>
        <v/>
      </c>
      <c r="G1405" s="14">
        <f>IF($B1405="","",IFERROR(VLOOKUP(INDEX(WageParty,MATCH($B1405,WageIds,0)),WGTbl,2,0),"—"))</f>
        <v/>
      </c>
      <c r="H1405" s="12" t="n"/>
    </row>
    <row r="1406">
      <c r="A1406" s="19">
        <f>IF($B1406="","",COUNTA($B$9:$B1406))</f>
        <v/>
      </c>
      <c r="B1406" s="12" t="n"/>
      <c r="C1406" s="13" t="n"/>
      <c r="D1406" s="20">
        <f>IF($C1406="","",IFERROR(IF(VLOOKUP($C1406,AcctTblE,4,0)="","(بدون نام)",VLOOKUP($C1406,AcctTblE,4,0)),"کد ناشناخته"))</f>
        <v/>
      </c>
      <c r="E1406" s="15" t="n"/>
      <c r="F1406" s="20">
        <f>IF($B1406="","",IFERROR(INDEX(WageDates,MATCH($B1406,WageIds,0)),"—"))</f>
        <v/>
      </c>
      <c r="G1406" s="20">
        <f>IF($B1406="","",IFERROR(VLOOKUP(INDEX(WageParty,MATCH($B1406,WageIds,0)),WGTbl,2,0),"—"))</f>
        <v/>
      </c>
      <c r="H1406" s="12" t="n"/>
    </row>
    <row r="1407">
      <c r="A1407" s="10">
        <f>IF($B1407="","",COUNTA($B$9:$B1407))</f>
        <v/>
      </c>
      <c r="B1407" s="12" t="n"/>
      <c r="C1407" s="13" t="n"/>
      <c r="D1407" s="14">
        <f>IF($C1407="","",IFERROR(IF(VLOOKUP($C1407,AcctTblE,4,0)="","(بدون نام)",VLOOKUP($C1407,AcctTblE,4,0)),"کد ناشناخته"))</f>
        <v/>
      </c>
      <c r="E1407" s="15" t="n"/>
      <c r="F1407" s="14">
        <f>IF($B1407="","",IFERROR(INDEX(WageDates,MATCH($B1407,WageIds,0)),"—"))</f>
        <v/>
      </c>
      <c r="G1407" s="14">
        <f>IF($B1407="","",IFERROR(VLOOKUP(INDEX(WageParty,MATCH($B1407,WageIds,0)),WGTbl,2,0),"—"))</f>
        <v/>
      </c>
      <c r="H1407" s="12" t="n"/>
    </row>
    <row r="1408">
      <c r="A1408" s="19">
        <f>IF($B1408="","",COUNTA($B$9:$B1408))</f>
        <v/>
      </c>
      <c r="B1408" s="12" t="n"/>
      <c r="C1408" s="13" t="n"/>
      <c r="D1408" s="20">
        <f>IF($C1408="","",IFERROR(IF(VLOOKUP($C1408,AcctTblE,4,0)="","(بدون نام)",VLOOKUP($C1408,AcctTblE,4,0)),"کد ناشناخته"))</f>
        <v/>
      </c>
      <c r="E1408" s="15" t="n"/>
      <c r="F1408" s="20">
        <f>IF($B1408="","",IFERROR(INDEX(WageDates,MATCH($B1408,WageIds,0)),"—"))</f>
        <v/>
      </c>
      <c r="G1408" s="20">
        <f>IF($B1408="","",IFERROR(VLOOKUP(INDEX(WageParty,MATCH($B1408,WageIds,0)),WGTbl,2,0),"—"))</f>
        <v/>
      </c>
      <c r="H1408" s="12" t="n"/>
    </row>
    <row r="1409">
      <c r="A1409" s="10">
        <f>IF($B1409="","",COUNTA($B$9:$B1409))</f>
        <v/>
      </c>
      <c r="B1409" s="12" t="n"/>
      <c r="C1409" s="13" t="n"/>
      <c r="D1409" s="14">
        <f>IF($C1409="","",IFERROR(IF(VLOOKUP($C1409,AcctTblE,4,0)="","(بدون نام)",VLOOKUP($C1409,AcctTblE,4,0)),"کد ناشناخته"))</f>
        <v/>
      </c>
      <c r="E1409" s="15" t="n"/>
      <c r="F1409" s="14">
        <f>IF($B1409="","",IFERROR(INDEX(WageDates,MATCH($B1409,WageIds,0)),"—"))</f>
        <v/>
      </c>
      <c r="G1409" s="14">
        <f>IF($B1409="","",IFERROR(VLOOKUP(INDEX(WageParty,MATCH($B1409,WageIds,0)),WGTbl,2,0),"—"))</f>
        <v/>
      </c>
      <c r="H1409" s="12" t="n"/>
    </row>
    <row r="1410">
      <c r="A1410" s="19">
        <f>IF($B1410="","",COUNTA($B$9:$B1410))</f>
        <v/>
      </c>
      <c r="B1410" s="12" t="n"/>
      <c r="C1410" s="13" t="n"/>
      <c r="D1410" s="20">
        <f>IF($C1410="","",IFERROR(IF(VLOOKUP($C1410,AcctTblE,4,0)="","(بدون نام)",VLOOKUP($C1410,AcctTblE,4,0)),"کد ناشناخته"))</f>
        <v/>
      </c>
      <c r="E1410" s="15" t="n"/>
      <c r="F1410" s="20">
        <f>IF($B1410="","",IFERROR(INDEX(WageDates,MATCH($B1410,WageIds,0)),"—"))</f>
        <v/>
      </c>
      <c r="G1410" s="20">
        <f>IF($B1410="","",IFERROR(VLOOKUP(INDEX(WageParty,MATCH($B1410,WageIds,0)),WGTbl,2,0),"—"))</f>
        <v/>
      </c>
      <c r="H1410" s="12" t="n"/>
    </row>
    <row r="1411">
      <c r="A1411" s="10">
        <f>IF($B1411="","",COUNTA($B$9:$B1411))</f>
        <v/>
      </c>
      <c r="B1411" s="12" t="n"/>
      <c r="C1411" s="13" t="n"/>
      <c r="D1411" s="14">
        <f>IF($C1411="","",IFERROR(IF(VLOOKUP($C1411,AcctTblE,4,0)="","(بدون نام)",VLOOKUP($C1411,AcctTblE,4,0)),"کد ناشناخته"))</f>
        <v/>
      </c>
      <c r="E1411" s="15" t="n"/>
      <c r="F1411" s="14">
        <f>IF($B1411="","",IFERROR(INDEX(WageDates,MATCH($B1411,WageIds,0)),"—"))</f>
        <v/>
      </c>
      <c r="G1411" s="14">
        <f>IF($B1411="","",IFERROR(VLOOKUP(INDEX(WageParty,MATCH($B1411,WageIds,0)),WGTbl,2,0),"—"))</f>
        <v/>
      </c>
      <c r="H1411" s="12" t="n"/>
    </row>
    <row r="1412">
      <c r="A1412" s="19">
        <f>IF($B1412="","",COUNTA($B$9:$B1412))</f>
        <v/>
      </c>
      <c r="B1412" s="12" t="n"/>
      <c r="C1412" s="13" t="n"/>
      <c r="D1412" s="20">
        <f>IF($C1412="","",IFERROR(IF(VLOOKUP($C1412,AcctTblE,4,0)="","(بدون نام)",VLOOKUP($C1412,AcctTblE,4,0)),"کد ناشناخته"))</f>
        <v/>
      </c>
      <c r="E1412" s="15" t="n"/>
      <c r="F1412" s="20">
        <f>IF($B1412="","",IFERROR(INDEX(WageDates,MATCH($B1412,WageIds,0)),"—"))</f>
        <v/>
      </c>
      <c r="G1412" s="20">
        <f>IF($B1412="","",IFERROR(VLOOKUP(INDEX(WageParty,MATCH($B1412,WageIds,0)),WGTbl,2,0),"—"))</f>
        <v/>
      </c>
      <c r="H1412" s="12" t="n"/>
    </row>
    <row r="1413">
      <c r="A1413" s="10">
        <f>IF($B1413="","",COUNTA($B$9:$B1413))</f>
        <v/>
      </c>
      <c r="B1413" s="12" t="n"/>
      <c r="C1413" s="13" t="n"/>
      <c r="D1413" s="14">
        <f>IF($C1413="","",IFERROR(IF(VLOOKUP($C1413,AcctTblE,4,0)="","(بدون نام)",VLOOKUP($C1413,AcctTblE,4,0)),"کد ناشناخته"))</f>
        <v/>
      </c>
      <c r="E1413" s="15" t="n"/>
      <c r="F1413" s="14">
        <f>IF($B1413="","",IFERROR(INDEX(WageDates,MATCH($B1413,WageIds,0)),"—"))</f>
        <v/>
      </c>
      <c r="G1413" s="14">
        <f>IF($B1413="","",IFERROR(VLOOKUP(INDEX(WageParty,MATCH($B1413,WageIds,0)),WGTbl,2,0),"—"))</f>
        <v/>
      </c>
      <c r="H1413" s="12" t="n"/>
    </row>
    <row r="1414">
      <c r="A1414" s="19">
        <f>IF($B1414="","",COUNTA($B$9:$B1414))</f>
        <v/>
      </c>
      <c r="B1414" s="12" t="n"/>
      <c r="C1414" s="13" t="n"/>
      <c r="D1414" s="20">
        <f>IF($C1414="","",IFERROR(IF(VLOOKUP($C1414,AcctTblE,4,0)="","(بدون نام)",VLOOKUP($C1414,AcctTblE,4,0)),"کد ناشناخته"))</f>
        <v/>
      </c>
      <c r="E1414" s="15" t="n"/>
      <c r="F1414" s="20">
        <f>IF($B1414="","",IFERROR(INDEX(WageDates,MATCH($B1414,WageIds,0)),"—"))</f>
        <v/>
      </c>
      <c r="G1414" s="20">
        <f>IF($B1414="","",IFERROR(VLOOKUP(INDEX(WageParty,MATCH($B1414,WageIds,0)),WGTbl,2,0),"—"))</f>
        <v/>
      </c>
      <c r="H1414" s="12" t="n"/>
    </row>
    <row r="1415">
      <c r="A1415" s="10">
        <f>IF($B1415="","",COUNTA($B$9:$B1415))</f>
        <v/>
      </c>
      <c r="B1415" s="12" t="n"/>
      <c r="C1415" s="13" t="n"/>
      <c r="D1415" s="14">
        <f>IF($C1415="","",IFERROR(IF(VLOOKUP($C1415,AcctTblE,4,0)="","(بدون نام)",VLOOKUP($C1415,AcctTblE,4,0)),"کد ناشناخته"))</f>
        <v/>
      </c>
      <c r="E1415" s="15" t="n"/>
      <c r="F1415" s="14">
        <f>IF($B1415="","",IFERROR(INDEX(WageDates,MATCH($B1415,WageIds,0)),"—"))</f>
        <v/>
      </c>
      <c r="G1415" s="14">
        <f>IF($B1415="","",IFERROR(VLOOKUP(INDEX(WageParty,MATCH($B1415,WageIds,0)),WGTbl,2,0),"—"))</f>
        <v/>
      </c>
      <c r="H1415" s="12" t="n"/>
    </row>
    <row r="1416">
      <c r="A1416" s="19">
        <f>IF($B1416="","",COUNTA($B$9:$B1416))</f>
        <v/>
      </c>
      <c r="B1416" s="12" t="n"/>
      <c r="C1416" s="13" t="n"/>
      <c r="D1416" s="20">
        <f>IF($C1416="","",IFERROR(IF(VLOOKUP($C1416,AcctTblE,4,0)="","(بدون نام)",VLOOKUP($C1416,AcctTblE,4,0)),"کد ناشناخته"))</f>
        <v/>
      </c>
      <c r="E1416" s="15" t="n"/>
      <c r="F1416" s="20">
        <f>IF($B1416="","",IFERROR(INDEX(WageDates,MATCH($B1416,WageIds,0)),"—"))</f>
        <v/>
      </c>
      <c r="G1416" s="20">
        <f>IF($B1416="","",IFERROR(VLOOKUP(INDEX(WageParty,MATCH($B1416,WageIds,0)),WGTbl,2,0),"—"))</f>
        <v/>
      </c>
      <c r="H1416" s="12" t="n"/>
    </row>
    <row r="1417">
      <c r="A1417" s="10">
        <f>IF($B1417="","",COUNTA($B$9:$B1417))</f>
        <v/>
      </c>
      <c r="B1417" s="12" t="n"/>
      <c r="C1417" s="13" t="n"/>
      <c r="D1417" s="14">
        <f>IF($C1417="","",IFERROR(IF(VLOOKUP($C1417,AcctTblE,4,0)="","(بدون نام)",VLOOKUP($C1417,AcctTblE,4,0)),"کد ناشناخته"))</f>
        <v/>
      </c>
      <c r="E1417" s="15" t="n"/>
      <c r="F1417" s="14">
        <f>IF($B1417="","",IFERROR(INDEX(WageDates,MATCH($B1417,WageIds,0)),"—"))</f>
        <v/>
      </c>
      <c r="G1417" s="14">
        <f>IF($B1417="","",IFERROR(VLOOKUP(INDEX(WageParty,MATCH($B1417,WageIds,0)),WGTbl,2,0),"—"))</f>
        <v/>
      </c>
      <c r="H1417" s="12" t="n"/>
    </row>
    <row r="1418">
      <c r="A1418" s="19">
        <f>IF($B1418="","",COUNTA($B$9:$B1418))</f>
        <v/>
      </c>
      <c r="B1418" s="12" t="n"/>
      <c r="C1418" s="13" t="n"/>
      <c r="D1418" s="20">
        <f>IF($C1418="","",IFERROR(IF(VLOOKUP($C1418,AcctTblE,4,0)="","(بدون نام)",VLOOKUP($C1418,AcctTblE,4,0)),"کد ناشناخته"))</f>
        <v/>
      </c>
      <c r="E1418" s="15" t="n"/>
      <c r="F1418" s="20">
        <f>IF($B1418="","",IFERROR(INDEX(WageDates,MATCH($B1418,WageIds,0)),"—"))</f>
        <v/>
      </c>
      <c r="G1418" s="20">
        <f>IF($B1418="","",IFERROR(VLOOKUP(INDEX(WageParty,MATCH($B1418,WageIds,0)),WGTbl,2,0),"—"))</f>
        <v/>
      </c>
      <c r="H1418" s="12" t="n"/>
    </row>
    <row r="1419">
      <c r="A1419" s="10">
        <f>IF($B1419="","",COUNTA($B$9:$B1419))</f>
        <v/>
      </c>
      <c r="B1419" s="12" t="n"/>
      <c r="C1419" s="13" t="n"/>
      <c r="D1419" s="14">
        <f>IF($C1419="","",IFERROR(IF(VLOOKUP($C1419,AcctTblE,4,0)="","(بدون نام)",VLOOKUP($C1419,AcctTblE,4,0)),"کد ناشناخته"))</f>
        <v/>
      </c>
      <c r="E1419" s="15" t="n"/>
      <c r="F1419" s="14">
        <f>IF($B1419="","",IFERROR(INDEX(WageDates,MATCH($B1419,WageIds,0)),"—"))</f>
        <v/>
      </c>
      <c r="G1419" s="14">
        <f>IF($B1419="","",IFERROR(VLOOKUP(INDEX(WageParty,MATCH($B1419,WageIds,0)),WGTbl,2,0),"—"))</f>
        <v/>
      </c>
      <c r="H1419" s="12" t="n"/>
    </row>
    <row r="1420">
      <c r="A1420" s="19">
        <f>IF($B1420="","",COUNTA($B$9:$B1420))</f>
        <v/>
      </c>
      <c r="B1420" s="12" t="n"/>
      <c r="C1420" s="13" t="n"/>
      <c r="D1420" s="20">
        <f>IF($C1420="","",IFERROR(IF(VLOOKUP($C1420,AcctTblE,4,0)="","(بدون نام)",VLOOKUP($C1420,AcctTblE,4,0)),"کد ناشناخته"))</f>
        <v/>
      </c>
      <c r="E1420" s="15" t="n"/>
      <c r="F1420" s="20">
        <f>IF($B1420="","",IFERROR(INDEX(WageDates,MATCH($B1420,WageIds,0)),"—"))</f>
        <v/>
      </c>
      <c r="G1420" s="20">
        <f>IF($B1420="","",IFERROR(VLOOKUP(INDEX(WageParty,MATCH($B1420,WageIds,0)),WGTbl,2,0),"—"))</f>
        <v/>
      </c>
      <c r="H1420" s="12" t="n"/>
    </row>
    <row r="1421">
      <c r="A1421" s="10">
        <f>IF($B1421="","",COUNTA($B$9:$B1421))</f>
        <v/>
      </c>
      <c r="B1421" s="12" t="n"/>
      <c r="C1421" s="13" t="n"/>
      <c r="D1421" s="14">
        <f>IF($C1421="","",IFERROR(IF(VLOOKUP($C1421,AcctTblE,4,0)="","(بدون نام)",VLOOKUP($C1421,AcctTblE,4,0)),"کد ناشناخته"))</f>
        <v/>
      </c>
      <c r="E1421" s="15" t="n"/>
      <c r="F1421" s="14">
        <f>IF($B1421="","",IFERROR(INDEX(WageDates,MATCH($B1421,WageIds,0)),"—"))</f>
        <v/>
      </c>
      <c r="G1421" s="14">
        <f>IF($B1421="","",IFERROR(VLOOKUP(INDEX(WageParty,MATCH($B1421,WageIds,0)),WGTbl,2,0),"—"))</f>
        <v/>
      </c>
      <c r="H1421" s="12" t="n"/>
    </row>
    <row r="1422">
      <c r="A1422" s="19">
        <f>IF($B1422="","",COUNTA($B$9:$B1422))</f>
        <v/>
      </c>
      <c r="B1422" s="12" t="n"/>
      <c r="C1422" s="13" t="n"/>
      <c r="D1422" s="20">
        <f>IF($C1422="","",IFERROR(IF(VLOOKUP($C1422,AcctTblE,4,0)="","(بدون نام)",VLOOKUP($C1422,AcctTblE,4,0)),"کد ناشناخته"))</f>
        <v/>
      </c>
      <c r="E1422" s="15" t="n"/>
      <c r="F1422" s="20">
        <f>IF($B1422="","",IFERROR(INDEX(WageDates,MATCH($B1422,WageIds,0)),"—"))</f>
        <v/>
      </c>
      <c r="G1422" s="20">
        <f>IF($B1422="","",IFERROR(VLOOKUP(INDEX(WageParty,MATCH($B1422,WageIds,0)),WGTbl,2,0),"—"))</f>
        <v/>
      </c>
      <c r="H1422" s="12" t="n"/>
    </row>
    <row r="1423">
      <c r="A1423" s="10">
        <f>IF($B1423="","",COUNTA($B$9:$B1423))</f>
        <v/>
      </c>
      <c r="B1423" s="12" t="n"/>
      <c r="C1423" s="13" t="n"/>
      <c r="D1423" s="14">
        <f>IF($C1423="","",IFERROR(IF(VLOOKUP($C1423,AcctTblE,4,0)="","(بدون نام)",VLOOKUP($C1423,AcctTblE,4,0)),"کد ناشناخته"))</f>
        <v/>
      </c>
      <c r="E1423" s="15" t="n"/>
      <c r="F1423" s="14">
        <f>IF($B1423="","",IFERROR(INDEX(WageDates,MATCH($B1423,WageIds,0)),"—"))</f>
        <v/>
      </c>
      <c r="G1423" s="14">
        <f>IF($B1423="","",IFERROR(VLOOKUP(INDEX(WageParty,MATCH($B1423,WageIds,0)),WGTbl,2,0),"—"))</f>
        <v/>
      </c>
      <c r="H1423" s="12" t="n"/>
    </row>
    <row r="1424">
      <c r="A1424" s="19">
        <f>IF($B1424="","",COUNTA($B$9:$B1424))</f>
        <v/>
      </c>
      <c r="B1424" s="12" t="n"/>
      <c r="C1424" s="13" t="n"/>
      <c r="D1424" s="20">
        <f>IF($C1424="","",IFERROR(IF(VLOOKUP($C1424,AcctTblE,4,0)="","(بدون نام)",VLOOKUP($C1424,AcctTblE,4,0)),"کد ناشناخته"))</f>
        <v/>
      </c>
      <c r="E1424" s="15" t="n"/>
      <c r="F1424" s="20">
        <f>IF($B1424="","",IFERROR(INDEX(WageDates,MATCH($B1424,WageIds,0)),"—"))</f>
        <v/>
      </c>
      <c r="G1424" s="20">
        <f>IF($B1424="","",IFERROR(VLOOKUP(INDEX(WageParty,MATCH($B1424,WageIds,0)),WGTbl,2,0),"—"))</f>
        <v/>
      </c>
      <c r="H1424" s="12" t="n"/>
    </row>
    <row r="1425">
      <c r="A1425" s="10">
        <f>IF($B1425="","",COUNTA($B$9:$B1425))</f>
        <v/>
      </c>
      <c r="B1425" s="12" t="n"/>
      <c r="C1425" s="13" t="n"/>
      <c r="D1425" s="14">
        <f>IF($C1425="","",IFERROR(IF(VLOOKUP($C1425,AcctTblE,4,0)="","(بدون نام)",VLOOKUP($C1425,AcctTblE,4,0)),"کد ناشناخته"))</f>
        <v/>
      </c>
      <c r="E1425" s="15" t="n"/>
      <c r="F1425" s="14">
        <f>IF($B1425="","",IFERROR(INDEX(WageDates,MATCH($B1425,WageIds,0)),"—"))</f>
        <v/>
      </c>
      <c r="G1425" s="14">
        <f>IF($B1425="","",IFERROR(VLOOKUP(INDEX(WageParty,MATCH($B1425,WageIds,0)),WGTbl,2,0),"—"))</f>
        <v/>
      </c>
      <c r="H1425" s="12" t="n"/>
    </row>
    <row r="1426">
      <c r="A1426" s="19">
        <f>IF($B1426="","",COUNTA($B$9:$B1426))</f>
        <v/>
      </c>
      <c r="B1426" s="12" t="n"/>
      <c r="C1426" s="13" t="n"/>
      <c r="D1426" s="20">
        <f>IF($C1426="","",IFERROR(IF(VLOOKUP($C1426,AcctTblE,4,0)="","(بدون نام)",VLOOKUP($C1426,AcctTblE,4,0)),"کد ناشناخته"))</f>
        <v/>
      </c>
      <c r="E1426" s="15" t="n"/>
      <c r="F1426" s="20">
        <f>IF($B1426="","",IFERROR(INDEX(WageDates,MATCH($B1426,WageIds,0)),"—"))</f>
        <v/>
      </c>
      <c r="G1426" s="20">
        <f>IF($B1426="","",IFERROR(VLOOKUP(INDEX(WageParty,MATCH($B1426,WageIds,0)),WGTbl,2,0),"—"))</f>
        <v/>
      </c>
      <c r="H1426" s="12" t="n"/>
    </row>
    <row r="1427">
      <c r="A1427" s="10">
        <f>IF($B1427="","",COUNTA($B$9:$B1427))</f>
        <v/>
      </c>
      <c r="B1427" s="12" t="n"/>
      <c r="C1427" s="13" t="n"/>
      <c r="D1427" s="14">
        <f>IF($C1427="","",IFERROR(IF(VLOOKUP($C1427,AcctTblE,4,0)="","(بدون نام)",VLOOKUP($C1427,AcctTblE,4,0)),"کد ناشناخته"))</f>
        <v/>
      </c>
      <c r="E1427" s="15" t="n"/>
      <c r="F1427" s="14">
        <f>IF($B1427="","",IFERROR(INDEX(WageDates,MATCH($B1427,WageIds,0)),"—"))</f>
        <v/>
      </c>
      <c r="G1427" s="14">
        <f>IF($B1427="","",IFERROR(VLOOKUP(INDEX(WageParty,MATCH($B1427,WageIds,0)),WGTbl,2,0),"—"))</f>
        <v/>
      </c>
      <c r="H1427" s="12" t="n"/>
    </row>
    <row r="1428">
      <c r="A1428" s="19">
        <f>IF($B1428="","",COUNTA($B$9:$B1428))</f>
        <v/>
      </c>
      <c r="B1428" s="12" t="n"/>
      <c r="C1428" s="13" t="n"/>
      <c r="D1428" s="20">
        <f>IF($C1428="","",IFERROR(IF(VLOOKUP($C1428,AcctTblE,4,0)="","(بدون نام)",VLOOKUP($C1428,AcctTblE,4,0)),"کد ناشناخته"))</f>
        <v/>
      </c>
      <c r="E1428" s="15" t="n"/>
      <c r="F1428" s="20">
        <f>IF($B1428="","",IFERROR(INDEX(WageDates,MATCH($B1428,WageIds,0)),"—"))</f>
        <v/>
      </c>
      <c r="G1428" s="20">
        <f>IF($B1428="","",IFERROR(VLOOKUP(INDEX(WageParty,MATCH($B1428,WageIds,0)),WGTbl,2,0),"—"))</f>
        <v/>
      </c>
      <c r="H1428" s="12" t="n"/>
    </row>
    <row r="1429">
      <c r="A1429" s="10">
        <f>IF($B1429="","",COUNTA($B$9:$B1429))</f>
        <v/>
      </c>
      <c r="B1429" s="12" t="n"/>
      <c r="C1429" s="13" t="n"/>
      <c r="D1429" s="14">
        <f>IF($C1429="","",IFERROR(IF(VLOOKUP($C1429,AcctTblE,4,0)="","(بدون نام)",VLOOKUP($C1429,AcctTblE,4,0)),"کد ناشناخته"))</f>
        <v/>
      </c>
      <c r="E1429" s="15" t="n"/>
      <c r="F1429" s="14">
        <f>IF($B1429="","",IFERROR(INDEX(WageDates,MATCH($B1429,WageIds,0)),"—"))</f>
        <v/>
      </c>
      <c r="G1429" s="14">
        <f>IF($B1429="","",IFERROR(VLOOKUP(INDEX(WageParty,MATCH($B1429,WageIds,0)),WGTbl,2,0),"—"))</f>
        <v/>
      </c>
      <c r="H1429" s="12" t="n"/>
    </row>
    <row r="1430">
      <c r="A1430" s="19">
        <f>IF($B1430="","",COUNTA($B$9:$B1430))</f>
        <v/>
      </c>
      <c r="B1430" s="12" t="n"/>
      <c r="C1430" s="13" t="n"/>
      <c r="D1430" s="20">
        <f>IF($C1430="","",IFERROR(IF(VLOOKUP($C1430,AcctTblE,4,0)="","(بدون نام)",VLOOKUP($C1430,AcctTblE,4,0)),"کد ناشناخته"))</f>
        <v/>
      </c>
      <c r="E1430" s="15" t="n"/>
      <c r="F1430" s="20">
        <f>IF($B1430="","",IFERROR(INDEX(WageDates,MATCH($B1430,WageIds,0)),"—"))</f>
        <v/>
      </c>
      <c r="G1430" s="20">
        <f>IF($B1430="","",IFERROR(VLOOKUP(INDEX(WageParty,MATCH($B1430,WageIds,0)),WGTbl,2,0),"—"))</f>
        <v/>
      </c>
      <c r="H1430" s="12" t="n"/>
    </row>
    <row r="1431">
      <c r="A1431" s="10">
        <f>IF($B1431="","",COUNTA($B$9:$B1431))</f>
        <v/>
      </c>
      <c r="B1431" s="12" t="n"/>
      <c r="C1431" s="13" t="n"/>
      <c r="D1431" s="14">
        <f>IF($C1431="","",IFERROR(IF(VLOOKUP($C1431,AcctTblE,4,0)="","(بدون نام)",VLOOKUP($C1431,AcctTblE,4,0)),"کد ناشناخته"))</f>
        <v/>
      </c>
      <c r="E1431" s="15" t="n"/>
      <c r="F1431" s="14">
        <f>IF($B1431="","",IFERROR(INDEX(WageDates,MATCH($B1431,WageIds,0)),"—"))</f>
        <v/>
      </c>
      <c r="G1431" s="14">
        <f>IF($B1431="","",IFERROR(VLOOKUP(INDEX(WageParty,MATCH($B1431,WageIds,0)),WGTbl,2,0),"—"))</f>
        <v/>
      </c>
      <c r="H1431" s="12" t="n"/>
    </row>
    <row r="1432">
      <c r="A1432" s="19">
        <f>IF($B1432="","",COUNTA($B$9:$B1432))</f>
        <v/>
      </c>
      <c r="B1432" s="12" t="n"/>
      <c r="C1432" s="13" t="n"/>
      <c r="D1432" s="20">
        <f>IF($C1432="","",IFERROR(IF(VLOOKUP($C1432,AcctTblE,4,0)="","(بدون نام)",VLOOKUP($C1432,AcctTblE,4,0)),"کد ناشناخته"))</f>
        <v/>
      </c>
      <c r="E1432" s="15" t="n"/>
      <c r="F1432" s="20">
        <f>IF($B1432="","",IFERROR(INDEX(WageDates,MATCH($B1432,WageIds,0)),"—"))</f>
        <v/>
      </c>
      <c r="G1432" s="20">
        <f>IF($B1432="","",IFERROR(VLOOKUP(INDEX(WageParty,MATCH($B1432,WageIds,0)),WGTbl,2,0),"—"))</f>
        <v/>
      </c>
      <c r="H1432" s="12" t="n"/>
    </row>
    <row r="1433">
      <c r="A1433" s="10">
        <f>IF($B1433="","",COUNTA($B$9:$B1433))</f>
        <v/>
      </c>
      <c r="B1433" s="12" t="n"/>
      <c r="C1433" s="13" t="n"/>
      <c r="D1433" s="14">
        <f>IF($C1433="","",IFERROR(IF(VLOOKUP($C1433,AcctTblE,4,0)="","(بدون نام)",VLOOKUP($C1433,AcctTblE,4,0)),"کد ناشناخته"))</f>
        <v/>
      </c>
      <c r="E1433" s="15" t="n"/>
      <c r="F1433" s="14">
        <f>IF($B1433="","",IFERROR(INDEX(WageDates,MATCH($B1433,WageIds,0)),"—"))</f>
        <v/>
      </c>
      <c r="G1433" s="14">
        <f>IF($B1433="","",IFERROR(VLOOKUP(INDEX(WageParty,MATCH($B1433,WageIds,0)),WGTbl,2,0),"—"))</f>
        <v/>
      </c>
      <c r="H1433" s="12" t="n"/>
    </row>
    <row r="1434">
      <c r="A1434" s="19">
        <f>IF($B1434="","",COUNTA($B$9:$B1434))</f>
        <v/>
      </c>
      <c r="B1434" s="12" t="n"/>
      <c r="C1434" s="13" t="n"/>
      <c r="D1434" s="20">
        <f>IF($C1434="","",IFERROR(IF(VLOOKUP($C1434,AcctTblE,4,0)="","(بدون نام)",VLOOKUP($C1434,AcctTblE,4,0)),"کد ناشناخته"))</f>
        <v/>
      </c>
      <c r="E1434" s="15" t="n"/>
      <c r="F1434" s="20">
        <f>IF($B1434="","",IFERROR(INDEX(WageDates,MATCH($B1434,WageIds,0)),"—"))</f>
        <v/>
      </c>
      <c r="G1434" s="20">
        <f>IF($B1434="","",IFERROR(VLOOKUP(INDEX(WageParty,MATCH($B1434,WageIds,0)),WGTbl,2,0),"—"))</f>
        <v/>
      </c>
      <c r="H1434" s="12" t="n"/>
    </row>
    <row r="1435">
      <c r="A1435" s="10">
        <f>IF($B1435="","",COUNTA($B$9:$B1435))</f>
        <v/>
      </c>
      <c r="B1435" s="12" t="n"/>
      <c r="C1435" s="13" t="n"/>
      <c r="D1435" s="14">
        <f>IF($C1435="","",IFERROR(IF(VLOOKUP($C1435,AcctTblE,4,0)="","(بدون نام)",VLOOKUP($C1435,AcctTblE,4,0)),"کد ناشناخته"))</f>
        <v/>
      </c>
      <c r="E1435" s="15" t="n"/>
      <c r="F1435" s="14">
        <f>IF($B1435="","",IFERROR(INDEX(WageDates,MATCH($B1435,WageIds,0)),"—"))</f>
        <v/>
      </c>
      <c r="G1435" s="14">
        <f>IF($B1435="","",IFERROR(VLOOKUP(INDEX(WageParty,MATCH($B1435,WageIds,0)),WGTbl,2,0),"—"))</f>
        <v/>
      </c>
      <c r="H1435" s="12" t="n"/>
    </row>
    <row r="1436">
      <c r="A1436" s="19">
        <f>IF($B1436="","",COUNTA($B$9:$B1436))</f>
        <v/>
      </c>
      <c r="B1436" s="12" t="n"/>
      <c r="C1436" s="13" t="n"/>
      <c r="D1436" s="20">
        <f>IF($C1436="","",IFERROR(IF(VLOOKUP($C1436,AcctTblE,4,0)="","(بدون نام)",VLOOKUP($C1436,AcctTblE,4,0)),"کد ناشناخته"))</f>
        <v/>
      </c>
      <c r="E1436" s="15" t="n"/>
      <c r="F1436" s="20">
        <f>IF($B1436="","",IFERROR(INDEX(WageDates,MATCH($B1436,WageIds,0)),"—"))</f>
        <v/>
      </c>
      <c r="G1436" s="20">
        <f>IF($B1436="","",IFERROR(VLOOKUP(INDEX(WageParty,MATCH($B1436,WageIds,0)),WGTbl,2,0),"—"))</f>
        <v/>
      </c>
      <c r="H1436" s="12" t="n"/>
    </row>
    <row r="1437">
      <c r="A1437" s="10">
        <f>IF($B1437="","",COUNTA($B$9:$B1437))</f>
        <v/>
      </c>
      <c r="B1437" s="12" t="n"/>
      <c r="C1437" s="13" t="n"/>
      <c r="D1437" s="14">
        <f>IF($C1437="","",IFERROR(IF(VLOOKUP($C1437,AcctTblE,4,0)="","(بدون نام)",VLOOKUP($C1437,AcctTblE,4,0)),"کد ناشناخته"))</f>
        <v/>
      </c>
      <c r="E1437" s="15" t="n"/>
      <c r="F1437" s="14">
        <f>IF($B1437="","",IFERROR(INDEX(WageDates,MATCH($B1437,WageIds,0)),"—"))</f>
        <v/>
      </c>
      <c r="G1437" s="14">
        <f>IF($B1437="","",IFERROR(VLOOKUP(INDEX(WageParty,MATCH($B1437,WageIds,0)),WGTbl,2,0),"—"))</f>
        <v/>
      </c>
      <c r="H1437" s="12" t="n"/>
    </row>
    <row r="1438">
      <c r="A1438" s="19">
        <f>IF($B1438="","",COUNTA($B$9:$B1438))</f>
        <v/>
      </c>
      <c r="B1438" s="12" t="n"/>
      <c r="C1438" s="13" t="n"/>
      <c r="D1438" s="20">
        <f>IF($C1438="","",IFERROR(IF(VLOOKUP($C1438,AcctTblE,4,0)="","(بدون نام)",VLOOKUP($C1438,AcctTblE,4,0)),"کد ناشناخته"))</f>
        <v/>
      </c>
      <c r="E1438" s="15" t="n"/>
      <c r="F1438" s="20">
        <f>IF($B1438="","",IFERROR(INDEX(WageDates,MATCH($B1438,WageIds,0)),"—"))</f>
        <v/>
      </c>
      <c r="G1438" s="20">
        <f>IF($B1438="","",IFERROR(VLOOKUP(INDEX(WageParty,MATCH($B1438,WageIds,0)),WGTbl,2,0),"—"))</f>
        <v/>
      </c>
      <c r="H1438" s="12" t="n"/>
    </row>
    <row r="1439">
      <c r="A1439" s="10">
        <f>IF($B1439="","",COUNTA($B$9:$B1439))</f>
        <v/>
      </c>
      <c r="B1439" s="12" t="n"/>
      <c r="C1439" s="13" t="n"/>
      <c r="D1439" s="14">
        <f>IF($C1439="","",IFERROR(IF(VLOOKUP($C1439,AcctTblE,4,0)="","(بدون نام)",VLOOKUP($C1439,AcctTblE,4,0)),"کد ناشناخته"))</f>
        <v/>
      </c>
      <c r="E1439" s="15" t="n"/>
      <c r="F1439" s="14">
        <f>IF($B1439="","",IFERROR(INDEX(WageDates,MATCH($B1439,WageIds,0)),"—"))</f>
        <v/>
      </c>
      <c r="G1439" s="14">
        <f>IF($B1439="","",IFERROR(VLOOKUP(INDEX(WageParty,MATCH($B1439,WageIds,0)),WGTbl,2,0),"—"))</f>
        <v/>
      </c>
      <c r="H1439" s="12" t="n"/>
    </row>
    <row r="1440">
      <c r="A1440" s="19">
        <f>IF($B1440="","",COUNTA($B$9:$B1440))</f>
        <v/>
      </c>
      <c r="B1440" s="12" t="n"/>
      <c r="C1440" s="13" t="n"/>
      <c r="D1440" s="20">
        <f>IF($C1440="","",IFERROR(IF(VLOOKUP($C1440,AcctTblE,4,0)="","(بدون نام)",VLOOKUP($C1440,AcctTblE,4,0)),"کد ناشناخته"))</f>
        <v/>
      </c>
      <c r="E1440" s="15" t="n"/>
      <c r="F1440" s="20">
        <f>IF($B1440="","",IFERROR(INDEX(WageDates,MATCH($B1440,WageIds,0)),"—"))</f>
        <v/>
      </c>
      <c r="G1440" s="20">
        <f>IF($B1440="","",IFERROR(VLOOKUP(INDEX(WageParty,MATCH($B1440,WageIds,0)),WGTbl,2,0),"—"))</f>
        <v/>
      </c>
      <c r="H1440" s="12" t="n"/>
    </row>
    <row r="1441">
      <c r="A1441" s="10">
        <f>IF($B1441="","",COUNTA($B$9:$B1441))</f>
        <v/>
      </c>
      <c r="B1441" s="12" t="n"/>
      <c r="C1441" s="13" t="n"/>
      <c r="D1441" s="14">
        <f>IF($C1441="","",IFERROR(IF(VLOOKUP($C1441,AcctTblE,4,0)="","(بدون نام)",VLOOKUP($C1441,AcctTblE,4,0)),"کد ناشناخته"))</f>
        <v/>
      </c>
      <c r="E1441" s="15" t="n"/>
      <c r="F1441" s="14">
        <f>IF($B1441="","",IFERROR(INDEX(WageDates,MATCH($B1441,WageIds,0)),"—"))</f>
        <v/>
      </c>
      <c r="G1441" s="14">
        <f>IF($B1441="","",IFERROR(VLOOKUP(INDEX(WageParty,MATCH($B1441,WageIds,0)),WGTbl,2,0),"—"))</f>
        <v/>
      </c>
      <c r="H1441" s="12" t="n"/>
    </row>
    <row r="1442">
      <c r="A1442" s="19">
        <f>IF($B1442="","",COUNTA($B$9:$B1442))</f>
        <v/>
      </c>
      <c r="B1442" s="12" t="n"/>
      <c r="C1442" s="13" t="n"/>
      <c r="D1442" s="20">
        <f>IF($C1442="","",IFERROR(IF(VLOOKUP($C1442,AcctTblE,4,0)="","(بدون نام)",VLOOKUP($C1442,AcctTblE,4,0)),"کد ناشناخته"))</f>
        <v/>
      </c>
      <c r="E1442" s="15" t="n"/>
      <c r="F1442" s="20">
        <f>IF($B1442="","",IFERROR(INDEX(WageDates,MATCH($B1442,WageIds,0)),"—"))</f>
        <v/>
      </c>
      <c r="G1442" s="20">
        <f>IF($B1442="","",IFERROR(VLOOKUP(INDEX(WageParty,MATCH($B1442,WageIds,0)),WGTbl,2,0),"—"))</f>
        <v/>
      </c>
      <c r="H1442" s="12" t="n"/>
    </row>
    <row r="1443">
      <c r="A1443" s="10">
        <f>IF($B1443="","",COUNTA($B$9:$B1443))</f>
        <v/>
      </c>
      <c r="B1443" s="12" t="n"/>
      <c r="C1443" s="13" t="n"/>
      <c r="D1443" s="14">
        <f>IF($C1443="","",IFERROR(IF(VLOOKUP($C1443,AcctTblE,4,0)="","(بدون نام)",VLOOKUP($C1443,AcctTblE,4,0)),"کد ناشناخته"))</f>
        <v/>
      </c>
      <c r="E1443" s="15" t="n"/>
      <c r="F1443" s="14">
        <f>IF($B1443="","",IFERROR(INDEX(WageDates,MATCH($B1443,WageIds,0)),"—"))</f>
        <v/>
      </c>
      <c r="G1443" s="14">
        <f>IF($B1443="","",IFERROR(VLOOKUP(INDEX(WageParty,MATCH($B1443,WageIds,0)),WGTbl,2,0),"—"))</f>
        <v/>
      </c>
      <c r="H1443" s="12" t="n"/>
    </row>
    <row r="1444">
      <c r="A1444" s="19">
        <f>IF($B1444="","",COUNTA($B$9:$B1444))</f>
        <v/>
      </c>
      <c r="B1444" s="12" t="n"/>
      <c r="C1444" s="13" t="n"/>
      <c r="D1444" s="20">
        <f>IF($C1444="","",IFERROR(IF(VLOOKUP($C1444,AcctTblE,4,0)="","(بدون نام)",VLOOKUP($C1444,AcctTblE,4,0)),"کد ناشناخته"))</f>
        <v/>
      </c>
      <c r="E1444" s="15" t="n"/>
      <c r="F1444" s="20">
        <f>IF($B1444="","",IFERROR(INDEX(WageDates,MATCH($B1444,WageIds,0)),"—"))</f>
        <v/>
      </c>
      <c r="G1444" s="20">
        <f>IF($B1444="","",IFERROR(VLOOKUP(INDEX(WageParty,MATCH($B1444,WageIds,0)),WGTbl,2,0),"—"))</f>
        <v/>
      </c>
      <c r="H1444" s="12" t="n"/>
    </row>
    <row r="1445">
      <c r="A1445" s="10">
        <f>IF($B1445="","",COUNTA($B$9:$B1445))</f>
        <v/>
      </c>
      <c r="B1445" s="12" t="n"/>
      <c r="C1445" s="13" t="n"/>
      <c r="D1445" s="14">
        <f>IF($C1445="","",IFERROR(IF(VLOOKUP($C1445,AcctTblE,4,0)="","(بدون نام)",VLOOKUP($C1445,AcctTblE,4,0)),"کد ناشناخته"))</f>
        <v/>
      </c>
      <c r="E1445" s="15" t="n"/>
      <c r="F1445" s="14">
        <f>IF($B1445="","",IFERROR(INDEX(WageDates,MATCH($B1445,WageIds,0)),"—"))</f>
        <v/>
      </c>
      <c r="G1445" s="14">
        <f>IF($B1445="","",IFERROR(VLOOKUP(INDEX(WageParty,MATCH($B1445,WageIds,0)),WGTbl,2,0),"—"))</f>
        <v/>
      </c>
      <c r="H1445" s="12" t="n"/>
    </row>
    <row r="1446">
      <c r="A1446" s="19">
        <f>IF($B1446="","",COUNTA($B$9:$B1446))</f>
        <v/>
      </c>
      <c r="B1446" s="12" t="n"/>
      <c r="C1446" s="13" t="n"/>
      <c r="D1446" s="20">
        <f>IF($C1446="","",IFERROR(IF(VLOOKUP($C1446,AcctTblE,4,0)="","(بدون نام)",VLOOKUP($C1446,AcctTblE,4,0)),"کد ناشناخته"))</f>
        <v/>
      </c>
      <c r="E1446" s="15" t="n"/>
      <c r="F1446" s="20">
        <f>IF($B1446="","",IFERROR(INDEX(WageDates,MATCH($B1446,WageIds,0)),"—"))</f>
        <v/>
      </c>
      <c r="G1446" s="20">
        <f>IF($B1446="","",IFERROR(VLOOKUP(INDEX(WageParty,MATCH($B1446,WageIds,0)),WGTbl,2,0),"—"))</f>
        <v/>
      </c>
      <c r="H1446" s="12" t="n"/>
    </row>
    <row r="1447">
      <c r="A1447" s="10">
        <f>IF($B1447="","",COUNTA($B$9:$B1447))</f>
        <v/>
      </c>
      <c r="B1447" s="12" t="n"/>
      <c r="C1447" s="13" t="n"/>
      <c r="D1447" s="14">
        <f>IF($C1447="","",IFERROR(IF(VLOOKUP($C1447,AcctTblE,4,0)="","(بدون نام)",VLOOKUP($C1447,AcctTblE,4,0)),"کد ناشناخته"))</f>
        <v/>
      </c>
      <c r="E1447" s="15" t="n"/>
      <c r="F1447" s="14">
        <f>IF($B1447="","",IFERROR(INDEX(WageDates,MATCH($B1447,WageIds,0)),"—"))</f>
        <v/>
      </c>
      <c r="G1447" s="14">
        <f>IF($B1447="","",IFERROR(VLOOKUP(INDEX(WageParty,MATCH($B1447,WageIds,0)),WGTbl,2,0),"—"))</f>
        <v/>
      </c>
      <c r="H1447" s="12" t="n"/>
    </row>
    <row r="1448">
      <c r="A1448" s="19">
        <f>IF($B1448="","",COUNTA($B$9:$B1448))</f>
        <v/>
      </c>
      <c r="B1448" s="12" t="n"/>
      <c r="C1448" s="13" t="n"/>
      <c r="D1448" s="20">
        <f>IF($C1448="","",IFERROR(IF(VLOOKUP($C1448,AcctTblE,4,0)="","(بدون نام)",VLOOKUP($C1448,AcctTblE,4,0)),"کد ناشناخته"))</f>
        <v/>
      </c>
      <c r="E1448" s="15" t="n"/>
      <c r="F1448" s="20">
        <f>IF($B1448="","",IFERROR(INDEX(WageDates,MATCH($B1448,WageIds,0)),"—"))</f>
        <v/>
      </c>
      <c r="G1448" s="20">
        <f>IF($B1448="","",IFERROR(VLOOKUP(INDEX(WageParty,MATCH($B1448,WageIds,0)),WGTbl,2,0),"—"))</f>
        <v/>
      </c>
      <c r="H1448" s="12" t="n"/>
    </row>
    <row r="1449">
      <c r="A1449" s="10">
        <f>IF($B1449="","",COUNTA($B$9:$B1449))</f>
        <v/>
      </c>
      <c r="B1449" s="12" t="n"/>
      <c r="C1449" s="13" t="n"/>
      <c r="D1449" s="14">
        <f>IF($C1449="","",IFERROR(IF(VLOOKUP($C1449,AcctTblE,4,0)="","(بدون نام)",VLOOKUP($C1449,AcctTblE,4,0)),"کد ناشناخته"))</f>
        <v/>
      </c>
      <c r="E1449" s="15" t="n"/>
      <c r="F1449" s="14">
        <f>IF($B1449="","",IFERROR(INDEX(WageDates,MATCH($B1449,WageIds,0)),"—"))</f>
        <v/>
      </c>
      <c r="G1449" s="14">
        <f>IF($B1449="","",IFERROR(VLOOKUP(INDEX(WageParty,MATCH($B1449,WageIds,0)),WGTbl,2,0),"—"))</f>
        <v/>
      </c>
      <c r="H1449" s="12" t="n"/>
    </row>
    <row r="1450">
      <c r="A1450" s="19">
        <f>IF($B1450="","",COUNTA($B$9:$B1450))</f>
        <v/>
      </c>
      <c r="B1450" s="12" t="n"/>
      <c r="C1450" s="13" t="n"/>
      <c r="D1450" s="20">
        <f>IF($C1450="","",IFERROR(IF(VLOOKUP($C1450,AcctTblE,4,0)="","(بدون نام)",VLOOKUP($C1450,AcctTblE,4,0)),"کد ناشناخته"))</f>
        <v/>
      </c>
      <c r="E1450" s="15" t="n"/>
      <c r="F1450" s="20">
        <f>IF($B1450="","",IFERROR(INDEX(WageDates,MATCH($B1450,WageIds,0)),"—"))</f>
        <v/>
      </c>
      <c r="G1450" s="20">
        <f>IF($B1450="","",IFERROR(VLOOKUP(INDEX(WageParty,MATCH($B1450,WageIds,0)),WGTbl,2,0),"—"))</f>
        <v/>
      </c>
      <c r="H1450" s="12" t="n"/>
    </row>
    <row r="1451">
      <c r="A1451" s="10">
        <f>IF($B1451="","",COUNTA($B$9:$B1451))</f>
        <v/>
      </c>
      <c r="B1451" s="12" t="n"/>
      <c r="C1451" s="13" t="n"/>
      <c r="D1451" s="14">
        <f>IF($C1451="","",IFERROR(IF(VLOOKUP($C1451,AcctTblE,4,0)="","(بدون نام)",VLOOKUP($C1451,AcctTblE,4,0)),"کد ناشناخته"))</f>
        <v/>
      </c>
      <c r="E1451" s="15" t="n"/>
      <c r="F1451" s="14">
        <f>IF($B1451="","",IFERROR(INDEX(WageDates,MATCH($B1451,WageIds,0)),"—"))</f>
        <v/>
      </c>
      <c r="G1451" s="14">
        <f>IF($B1451="","",IFERROR(VLOOKUP(INDEX(WageParty,MATCH($B1451,WageIds,0)),WGTbl,2,0),"—"))</f>
        <v/>
      </c>
      <c r="H1451" s="12" t="n"/>
    </row>
    <row r="1452">
      <c r="A1452" s="19">
        <f>IF($B1452="","",COUNTA($B$9:$B1452))</f>
        <v/>
      </c>
      <c r="B1452" s="12" t="n"/>
      <c r="C1452" s="13" t="n"/>
      <c r="D1452" s="20">
        <f>IF($C1452="","",IFERROR(IF(VLOOKUP($C1452,AcctTblE,4,0)="","(بدون نام)",VLOOKUP($C1452,AcctTblE,4,0)),"کد ناشناخته"))</f>
        <v/>
      </c>
      <c r="E1452" s="15" t="n"/>
      <c r="F1452" s="20">
        <f>IF($B1452="","",IFERROR(INDEX(WageDates,MATCH($B1452,WageIds,0)),"—"))</f>
        <v/>
      </c>
      <c r="G1452" s="20">
        <f>IF($B1452="","",IFERROR(VLOOKUP(INDEX(WageParty,MATCH($B1452,WageIds,0)),WGTbl,2,0),"—"))</f>
        <v/>
      </c>
      <c r="H1452" s="12" t="n"/>
    </row>
    <row r="1453">
      <c r="A1453" s="10">
        <f>IF($B1453="","",COUNTA($B$9:$B1453))</f>
        <v/>
      </c>
      <c r="B1453" s="12" t="n"/>
      <c r="C1453" s="13" t="n"/>
      <c r="D1453" s="14">
        <f>IF($C1453="","",IFERROR(IF(VLOOKUP($C1453,AcctTblE,4,0)="","(بدون نام)",VLOOKUP($C1453,AcctTblE,4,0)),"کد ناشناخته"))</f>
        <v/>
      </c>
      <c r="E1453" s="15" t="n"/>
      <c r="F1453" s="14">
        <f>IF($B1453="","",IFERROR(INDEX(WageDates,MATCH($B1453,WageIds,0)),"—"))</f>
        <v/>
      </c>
      <c r="G1453" s="14">
        <f>IF($B1453="","",IFERROR(VLOOKUP(INDEX(WageParty,MATCH($B1453,WageIds,0)),WGTbl,2,0),"—"))</f>
        <v/>
      </c>
      <c r="H1453" s="12" t="n"/>
    </row>
    <row r="1454">
      <c r="A1454" s="19">
        <f>IF($B1454="","",COUNTA($B$9:$B1454))</f>
        <v/>
      </c>
      <c r="B1454" s="12" t="n"/>
      <c r="C1454" s="13" t="n"/>
      <c r="D1454" s="20">
        <f>IF($C1454="","",IFERROR(IF(VLOOKUP($C1454,AcctTblE,4,0)="","(بدون نام)",VLOOKUP($C1454,AcctTblE,4,0)),"کد ناشناخته"))</f>
        <v/>
      </c>
      <c r="E1454" s="15" t="n"/>
      <c r="F1454" s="20">
        <f>IF($B1454="","",IFERROR(INDEX(WageDates,MATCH($B1454,WageIds,0)),"—"))</f>
        <v/>
      </c>
      <c r="G1454" s="20">
        <f>IF($B1454="","",IFERROR(VLOOKUP(INDEX(WageParty,MATCH($B1454,WageIds,0)),WGTbl,2,0),"—"))</f>
        <v/>
      </c>
      <c r="H1454" s="12" t="n"/>
    </row>
    <row r="1455">
      <c r="A1455" s="10">
        <f>IF($B1455="","",COUNTA($B$9:$B1455))</f>
        <v/>
      </c>
      <c r="B1455" s="12" t="n"/>
      <c r="C1455" s="13" t="n"/>
      <c r="D1455" s="14">
        <f>IF($C1455="","",IFERROR(IF(VLOOKUP($C1455,AcctTblE,4,0)="","(بدون نام)",VLOOKUP($C1455,AcctTblE,4,0)),"کد ناشناخته"))</f>
        <v/>
      </c>
      <c r="E1455" s="15" t="n"/>
      <c r="F1455" s="14">
        <f>IF($B1455="","",IFERROR(INDEX(WageDates,MATCH($B1455,WageIds,0)),"—"))</f>
        <v/>
      </c>
      <c r="G1455" s="14">
        <f>IF($B1455="","",IFERROR(VLOOKUP(INDEX(WageParty,MATCH($B1455,WageIds,0)),WGTbl,2,0),"—"))</f>
        <v/>
      </c>
      <c r="H1455" s="12" t="n"/>
    </row>
    <row r="1456">
      <c r="A1456" s="19">
        <f>IF($B1456="","",COUNTA($B$9:$B1456))</f>
        <v/>
      </c>
      <c r="B1456" s="12" t="n"/>
      <c r="C1456" s="13" t="n"/>
      <c r="D1456" s="20">
        <f>IF($C1456="","",IFERROR(IF(VLOOKUP($C1456,AcctTblE,4,0)="","(بدون نام)",VLOOKUP($C1456,AcctTblE,4,0)),"کد ناشناخته"))</f>
        <v/>
      </c>
      <c r="E1456" s="15" t="n"/>
      <c r="F1456" s="20">
        <f>IF($B1456="","",IFERROR(INDEX(WageDates,MATCH($B1456,WageIds,0)),"—"))</f>
        <v/>
      </c>
      <c r="G1456" s="20">
        <f>IF($B1456="","",IFERROR(VLOOKUP(INDEX(WageParty,MATCH($B1456,WageIds,0)),WGTbl,2,0),"—"))</f>
        <v/>
      </c>
      <c r="H1456" s="12" t="n"/>
    </row>
    <row r="1457">
      <c r="A1457" s="10">
        <f>IF($B1457="","",COUNTA($B$9:$B1457))</f>
        <v/>
      </c>
      <c r="B1457" s="12" t="n"/>
      <c r="C1457" s="13" t="n"/>
      <c r="D1457" s="14">
        <f>IF($C1457="","",IFERROR(IF(VLOOKUP($C1457,AcctTblE,4,0)="","(بدون نام)",VLOOKUP($C1457,AcctTblE,4,0)),"کد ناشناخته"))</f>
        <v/>
      </c>
      <c r="E1457" s="15" t="n"/>
      <c r="F1457" s="14">
        <f>IF($B1457="","",IFERROR(INDEX(WageDates,MATCH($B1457,WageIds,0)),"—"))</f>
        <v/>
      </c>
      <c r="G1457" s="14">
        <f>IF($B1457="","",IFERROR(VLOOKUP(INDEX(WageParty,MATCH($B1457,WageIds,0)),WGTbl,2,0),"—"))</f>
        <v/>
      </c>
      <c r="H1457" s="12" t="n"/>
    </row>
    <row r="1458">
      <c r="A1458" s="19">
        <f>IF($B1458="","",COUNTA($B$9:$B1458))</f>
        <v/>
      </c>
      <c r="B1458" s="12" t="n"/>
      <c r="C1458" s="13" t="n"/>
      <c r="D1458" s="20">
        <f>IF($C1458="","",IFERROR(IF(VLOOKUP($C1458,AcctTblE,4,0)="","(بدون نام)",VLOOKUP($C1458,AcctTblE,4,0)),"کد ناشناخته"))</f>
        <v/>
      </c>
      <c r="E1458" s="15" t="n"/>
      <c r="F1458" s="20">
        <f>IF($B1458="","",IFERROR(INDEX(WageDates,MATCH($B1458,WageIds,0)),"—"))</f>
        <v/>
      </c>
      <c r="G1458" s="20">
        <f>IF($B1458="","",IFERROR(VLOOKUP(INDEX(WageParty,MATCH($B1458,WageIds,0)),WGTbl,2,0),"—"))</f>
        <v/>
      </c>
      <c r="H1458" s="12" t="n"/>
    </row>
    <row r="1459">
      <c r="A1459" s="10">
        <f>IF($B1459="","",COUNTA($B$9:$B1459))</f>
        <v/>
      </c>
      <c r="B1459" s="12" t="n"/>
      <c r="C1459" s="13" t="n"/>
      <c r="D1459" s="14">
        <f>IF($C1459="","",IFERROR(IF(VLOOKUP($C1459,AcctTblE,4,0)="","(بدون نام)",VLOOKUP($C1459,AcctTblE,4,0)),"کد ناشناخته"))</f>
        <v/>
      </c>
      <c r="E1459" s="15" t="n"/>
      <c r="F1459" s="14">
        <f>IF($B1459="","",IFERROR(INDEX(WageDates,MATCH($B1459,WageIds,0)),"—"))</f>
        <v/>
      </c>
      <c r="G1459" s="14">
        <f>IF($B1459="","",IFERROR(VLOOKUP(INDEX(WageParty,MATCH($B1459,WageIds,0)),WGTbl,2,0),"—"))</f>
        <v/>
      </c>
      <c r="H1459" s="12" t="n"/>
    </row>
    <row r="1460">
      <c r="A1460" s="19">
        <f>IF($B1460="","",COUNTA($B$9:$B1460))</f>
        <v/>
      </c>
      <c r="B1460" s="12" t="n"/>
      <c r="C1460" s="13" t="n"/>
      <c r="D1460" s="20">
        <f>IF($C1460="","",IFERROR(IF(VLOOKUP($C1460,AcctTblE,4,0)="","(بدون نام)",VLOOKUP($C1460,AcctTblE,4,0)),"کد ناشناخته"))</f>
        <v/>
      </c>
      <c r="E1460" s="15" t="n"/>
      <c r="F1460" s="20">
        <f>IF($B1460="","",IFERROR(INDEX(WageDates,MATCH($B1460,WageIds,0)),"—"))</f>
        <v/>
      </c>
      <c r="G1460" s="20">
        <f>IF($B1460="","",IFERROR(VLOOKUP(INDEX(WageParty,MATCH($B1460,WageIds,0)),WGTbl,2,0),"—"))</f>
        <v/>
      </c>
      <c r="H1460" s="12" t="n"/>
    </row>
    <row r="1461">
      <c r="A1461" s="10">
        <f>IF($B1461="","",COUNTA($B$9:$B1461))</f>
        <v/>
      </c>
      <c r="B1461" s="12" t="n"/>
      <c r="C1461" s="13" t="n"/>
      <c r="D1461" s="14">
        <f>IF($C1461="","",IFERROR(IF(VLOOKUP($C1461,AcctTblE,4,0)="","(بدون نام)",VLOOKUP($C1461,AcctTblE,4,0)),"کد ناشناخته"))</f>
        <v/>
      </c>
      <c r="E1461" s="15" t="n"/>
      <c r="F1461" s="14">
        <f>IF($B1461="","",IFERROR(INDEX(WageDates,MATCH($B1461,WageIds,0)),"—"))</f>
        <v/>
      </c>
      <c r="G1461" s="14">
        <f>IF($B1461="","",IFERROR(VLOOKUP(INDEX(WageParty,MATCH($B1461,WageIds,0)),WGTbl,2,0),"—"))</f>
        <v/>
      </c>
      <c r="H1461" s="12" t="n"/>
    </row>
    <row r="1462">
      <c r="A1462" s="19">
        <f>IF($B1462="","",COUNTA($B$9:$B1462))</f>
        <v/>
      </c>
      <c r="B1462" s="12" t="n"/>
      <c r="C1462" s="13" t="n"/>
      <c r="D1462" s="20">
        <f>IF($C1462="","",IFERROR(IF(VLOOKUP($C1462,AcctTblE,4,0)="","(بدون نام)",VLOOKUP($C1462,AcctTblE,4,0)),"کد ناشناخته"))</f>
        <v/>
      </c>
      <c r="E1462" s="15" t="n"/>
      <c r="F1462" s="20">
        <f>IF($B1462="","",IFERROR(INDEX(WageDates,MATCH($B1462,WageIds,0)),"—"))</f>
        <v/>
      </c>
      <c r="G1462" s="20">
        <f>IF($B1462="","",IFERROR(VLOOKUP(INDEX(WageParty,MATCH($B1462,WageIds,0)),WGTbl,2,0),"—"))</f>
        <v/>
      </c>
      <c r="H1462" s="12" t="n"/>
    </row>
    <row r="1463">
      <c r="A1463" s="10">
        <f>IF($B1463="","",COUNTA($B$9:$B1463))</f>
        <v/>
      </c>
      <c r="B1463" s="12" t="n"/>
      <c r="C1463" s="13" t="n"/>
      <c r="D1463" s="14">
        <f>IF($C1463="","",IFERROR(IF(VLOOKUP($C1463,AcctTblE,4,0)="","(بدون نام)",VLOOKUP($C1463,AcctTblE,4,0)),"کد ناشناخته"))</f>
        <v/>
      </c>
      <c r="E1463" s="15" t="n"/>
      <c r="F1463" s="14">
        <f>IF($B1463="","",IFERROR(INDEX(WageDates,MATCH($B1463,WageIds,0)),"—"))</f>
        <v/>
      </c>
      <c r="G1463" s="14">
        <f>IF($B1463="","",IFERROR(VLOOKUP(INDEX(WageParty,MATCH($B1463,WageIds,0)),WGTbl,2,0),"—"))</f>
        <v/>
      </c>
      <c r="H1463" s="12" t="n"/>
    </row>
    <row r="1464">
      <c r="A1464" s="19">
        <f>IF($B1464="","",COUNTA($B$9:$B1464))</f>
        <v/>
      </c>
      <c r="B1464" s="12" t="n"/>
      <c r="C1464" s="13" t="n"/>
      <c r="D1464" s="20">
        <f>IF($C1464="","",IFERROR(IF(VLOOKUP($C1464,AcctTblE,4,0)="","(بدون نام)",VLOOKUP($C1464,AcctTblE,4,0)),"کد ناشناخته"))</f>
        <v/>
      </c>
      <c r="E1464" s="15" t="n"/>
      <c r="F1464" s="20">
        <f>IF($B1464="","",IFERROR(INDEX(WageDates,MATCH($B1464,WageIds,0)),"—"))</f>
        <v/>
      </c>
      <c r="G1464" s="20">
        <f>IF($B1464="","",IFERROR(VLOOKUP(INDEX(WageParty,MATCH($B1464,WageIds,0)),WGTbl,2,0),"—"))</f>
        <v/>
      </c>
      <c r="H1464" s="12" t="n"/>
    </row>
    <row r="1465">
      <c r="A1465" s="10">
        <f>IF($B1465="","",COUNTA($B$9:$B1465))</f>
        <v/>
      </c>
      <c r="B1465" s="12" t="n"/>
      <c r="C1465" s="13" t="n"/>
      <c r="D1465" s="14">
        <f>IF($C1465="","",IFERROR(IF(VLOOKUP($C1465,AcctTblE,4,0)="","(بدون نام)",VLOOKUP($C1465,AcctTblE,4,0)),"کد ناشناخته"))</f>
        <v/>
      </c>
      <c r="E1465" s="15" t="n"/>
      <c r="F1465" s="14">
        <f>IF($B1465="","",IFERROR(INDEX(WageDates,MATCH($B1465,WageIds,0)),"—"))</f>
        <v/>
      </c>
      <c r="G1465" s="14">
        <f>IF($B1465="","",IFERROR(VLOOKUP(INDEX(WageParty,MATCH($B1465,WageIds,0)),WGTbl,2,0),"—"))</f>
        <v/>
      </c>
      <c r="H1465" s="12" t="n"/>
    </row>
    <row r="1466">
      <c r="A1466" s="19">
        <f>IF($B1466="","",COUNTA($B$9:$B1466))</f>
        <v/>
      </c>
      <c r="B1466" s="12" t="n"/>
      <c r="C1466" s="13" t="n"/>
      <c r="D1466" s="20">
        <f>IF($C1466="","",IFERROR(IF(VLOOKUP($C1466,AcctTblE,4,0)="","(بدون نام)",VLOOKUP($C1466,AcctTblE,4,0)),"کد ناشناخته"))</f>
        <v/>
      </c>
      <c r="E1466" s="15" t="n"/>
      <c r="F1466" s="20">
        <f>IF($B1466="","",IFERROR(INDEX(WageDates,MATCH($B1466,WageIds,0)),"—"))</f>
        <v/>
      </c>
      <c r="G1466" s="20">
        <f>IF($B1466="","",IFERROR(VLOOKUP(INDEX(WageParty,MATCH($B1466,WageIds,0)),WGTbl,2,0),"—"))</f>
        <v/>
      </c>
      <c r="H1466" s="12" t="n"/>
    </row>
    <row r="1467">
      <c r="A1467" s="10">
        <f>IF($B1467="","",COUNTA($B$9:$B1467))</f>
        <v/>
      </c>
      <c r="B1467" s="12" t="n"/>
      <c r="C1467" s="13" t="n"/>
      <c r="D1467" s="14">
        <f>IF($C1467="","",IFERROR(IF(VLOOKUP($C1467,AcctTblE,4,0)="","(بدون نام)",VLOOKUP($C1467,AcctTblE,4,0)),"کد ناشناخته"))</f>
        <v/>
      </c>
      <c r="E1467" s="15" t="n"/>
      <c r="F1467" s="14">
        <f>IF($B1467="","",IFERROR(INDEX(WageDates,MATCH($B1467,WageIds,0)),"—"))</f>
        <v/>
      </c>
      <c r="G1467" s="14">
        <f>IF($B1467="","",IFERROR(VLOOKUP(INDEX(WageParty,MATCH($B1467,WageIds,0)),WGTbl,2,0),"—"))</f>
        <v/>
      </c>
      <c r="H1467" s="12" t="n"/>
    </row>
    <row r="1468">
      <c r="A1468" s="19">
        <f>IF($B1468="","",COUNTA($B$9:$B1468))</f>
        <v/>
      </c>
      <c r="B1468" s="12" t="n"/>
      <c r="C1468" s="13" t="n"/>
      <c r="D1468" s="20">
        <f>IF($C1468="","",IFERROR(IF(VLOOKUP($C1468,AcctTblE,4,0)="","(بدون نام)",VLOOKUP($C1468,AcctTblE,4,0)),"کد ناشناخته"))</f>
        <v/>
      </c>
      <c r="E1468" s="15" t="n"/>
      <c r="F1468" s="20">
        <f>IF($B1468="","",IFERROR(INDEX(WageDates,MATCH($B1468,WageIds,0)),"—"))</f>
        <v/>
      </c>
      <c r="G1468" s="20">
        <f>IF($B1468="","",IFERROR(VLOOKUP(INDEX(WageParty,MATCH($B1468,WageIds,0)),WGTbl,2,0),"—"))</f>
        <v/>
      </c>
      <c r="H1468" s="12" t="n"/>
    </row>
    <row r="1469">
      <c r="A1469" s="10">
        <f>IF($B1469="","",COUNTA($B$9:$B1469))</f>
        <v/>
      </c>
      <c r="B1469" s="12" t="n"/>
      <c r="C1469" s="13" t="n"/>
      <c r="D1469" s="14">
        <f>IF($C1469="","",IFERROR(IF(VLOOKUP($C1469,AcctTblE,4,0)="","(بدون نام)",VLOOKUP($C1469,AcctTblE,4,0)),"کد ناشناخته"))</f>
        <v/>
      </c>
      <c r="E1469" s="15" t="n"/>
      <c r="F1469" s="14">
        <f>IF($B1469="","",IFERROR(INDEX(WageDates,MATCH($B1469,WageIds,0)),"—"))</f>
        <v/>
      </c>
      <c r="G1469" s="14">
        <f>IF($B1469="","",IFERROR(VLOOKUP(INDEX(WageParty,MATCH($B1469,WageIds,0)),WGTbl,2,0),"—"))</f>
        <v/>
      </c>
      <c r="H1469" s="12" t="n"/>
    </row>
    <row r="1470">
      <c r="A1470" s="19">
        <f>IF($B1470="","",COUNTA($B$9:$B1470))</f>
        <v/>
      </c>
      <c r="B1470" s="12" t="n"/>
      <c r="C1470" s="13" t="n"/>
      <c r="D1470" s="20">
        <f>IF($C1470="","",IFERROR(IF(VLOOKUP($C1470,AcctTblE,4,0)="","(بدون نام)",VLOOKUP($C1470,AcctTblE,4,0)),"کد ناشناخته"))</f>
        <v/>
      </c>
      <c r="E1470" s="15" t="n"/>
      <c r="F1470" s="20">
        <f>IF($B1470="","",IFERROR(INDEX(WageDates,MATCH($B1470,WageIds,0)),"—"))</f>
        <v/>
      </c>
      <c r="G1470" s="20">
        <f>IF($B1470="","",IFERROR(VLOOKUP(INDEX(WageParty,MATCH($B1470,WageIds,0)),WGTbl,2,0),"—"))</f>
        <v/>
      </c>
      <c r="H1470" s="12" t="n"/>
    </row>
    <row r="1471">
      <c r="A1471" s="10">
        <f>IF($B1471="","",COUNTA($B$9:$B1471))</f>
        <v/>
      </c>
      <c r="B1471" s="12" t="n"/>
      <c r="C1471" s="13" t="n"/>
      <c r="D1471" s="14">
        <f>IF($C1471="","",IFERROR(IF(VLOOKUP($C1471,AcctTblE,4,0)="","(بدون نام)",VLOOKUP($C1471,AcctTblE,4,0)),"کد ناشناخته"))</f>
        <v/>
      </c>
      <c r="E1471" s="15" t="n"/>
      <c r="F1471" s="14">
        <f>IF($B1471="","",IFERROR(INDEX(WageDates,MATCH($B1471,WageIds,0)),"—"))</f>
        <v/>
      </c>
      <c r="G1471" s="14">
        <f>IF($B1471="","",IFERROR(VLOOKUP(INDEX(WageParty,MATCH($B1471,WageIds,0)),WGTbl,2,0),"—"))</f>
        <v/>
      </c>
      <c r="H1471" s="12" t="n"/>
    </row>
    <row r="1472">
      <c r="A1472" s="19">
        <f>IF($B1472="","",COUNTA($B$9:$B1472))</f>
        <v/>
      </c>
      <c r="B1472" s="12" t="n"/>
      <c r="C1472" s="13" t="n"/>
      <c r="D1472" s="20">
        <f>IF($C1472="","",IFERROR(IF(VLOOKUP($C1472,AcctTblE,4,0)="","(بدون نام)",VLOOKUP($C1472,AcctTblE,4,0)),"کد ناشناخته"))</f>
        <v/>
      </c>
      <c r="E1472" s="15" t="n"/>
      <c r="F1472" s="20">
        <f>IF($B1472="","",IFERROR(INDEX(WageDates,MATCH($B1472,WageIds,0)),"—"))</f>
        <v/>
      </c>
      <c r="G1472" s="20">
        <f>IF($B1472="","",IFERROR(VLOOKUP(INDEX(WageParty,MATCH($B1472,WageIds,0)),WGTbl,2,0),"—"))</f>
        <v/>
      </c>
      <c r="H1472" s="12" t="n"/>
    </row>
    <row r="1473">
      <c r="A1473" s="10">
        <f>IF($B1473="","",COUNTA($B$9:$B1473))</f>
        <v/>
      </c>
      <c r="B1473" s="12" t="n"/>
      <c r="C1473" s="13" t="n"/>
      <c r="D1473" s="14">
        <f>IF($C1473="","",IFERROR(IF(VLOOKUP($C1473,AcctTblE,4,0)="","(بدون نام)",VLOOKUP($C1473,AcctTblE,4,0)),"کد ناشناخته"))</f>
        <v/>
      </c>
      <c r="E1473" s="15" t="n"/>
      <c r="F1473" s="14">
        <f>IF($B1473="","",IFERROR(INDEX(WageDates,MATCH($B1473,WageIds,0)),"—"))</f>
        <v/>
      </c>
      <c r="G1473" s="14">
        <f>IF($B1473="","",IFERROR(VLOOKUP(INDEX(WageParty,MATCH($B1473,WageIds,0)),WGTbl,2,0),"—"))</f>
        <v/>
      </c>
      <c r="H1473" s="12" t="n"/>
    </row>
    <row r="1474">
      <c r="A1474" s="19">
        <f>IF($B1474="","",COUNTA($B$9:$B1474))</f>
        <v/>
      </c>
      <c r="B1474" s="12" t="n"/>
      <c r="C1474" s="13" t="n"/>
      <c r="D1474" s="20">
        <f>IF($C1474="","",IFERROR(IF(VLOOKUP($C1474,AcctTblE,4,0)="","(بدون نام)",VLOOKUP($C1474,AcctTblE,4,0)),"کد ناشناخته"))</f>
        <v/>
      </c>
      <c r="E1474" s="15" t="n"/>
      <c r="F1474" s="20">
        <f>IF($B1474="","",IFERROR(INDEX(WageDates,MATCH($B1474,WageIds,0)),"—"))</f>
        <v/>
      </c>
      <c r="G1474" s="20">
        <f>IF($B1474="","",IFERROR(VLOOKUP(INDEX(WageParty,MATCH($B1474,WageIds,0)),WGTbl,2,0),"—"))</f>
        <v/>
      </c>
      <c r="H1474" s="12" t="n"/>
    </row>
    <row r="1475">
      <c r="A1475" s="10">
        <f>IF($B1475="","",COUNTA($B$9:$B1475))</f>
        <v/>
      </c>
      <c r="B1475" s="12" t="n"/>
      <c r="C1475" s="13" t="n"/>
      <c r="D1475" s="14">
        <f>IF($C1475="","",IFERROR(IF(VLOOKUP($C1475,AcctTblE,4,0)="","(بدون نام)",VLOOKUP($C1475,AcctTblE,4,0)),"کد ناشناخته"))</f>
        <v/>
      </c>
      <c r="E1475" s="15" t="n"/>
      <c r="F1475" s="14">
        <f>IF($B1475="","",IFERROR(INDEX(WageDates,MATCH($B1475,WageIds,0)),"—"))</f>
        <v/>
      </c>
      <c r="G1475" s="14">
        <f>IF($B1475="","",IFERROR(VLOOKUP(INDEX(WageParty,MATCH($B1475,WageIds,0)),WGTbl,2,0),"—"))</f>
        <v/>
      </c>
      <c r="H1475" s="12" t="n"/>
    </row>
    <row r="1476">
      <c r="A1476" s="19">
        <f>IF($B1476="","",COUNTA($B$9:$B1476))</f>
        <v/>
      </c>
      <c r="B1476" s="12" t="n"/>
      <c r="C1476" s="13" t="n"/>
      <c r="D1476" s="20">
        <f>IF($C1476="","",IFERROR(IF(VLOOKUP($C1476,AcctTblE,4,0)="","(بدون نام)",VLOOKUP($C1476,AcctTblE,4,0)),"کد ناشناخته"))</f>
        <v/>
      </c>
      <c r="E1476" s="15" t="n"/>
      <c r="F1476" s="20">
        <f>IF($B1476="","",IFERROR(INDEX(WageDates,MATCH($B1476,WageIds,0)),"—"))</f>
        <v/>
      </c>
      <c r="G1476" s="20">
        <f>IF($B1476="","",IFERROR(VLOOKUP(INDEX(WageParty,MATCH($B1476,WageIds,0)),WGTbl,2,0),"—"))</f>
        <v/>
      </c>
      <c r="H1476" s="12" t="n"/>
    </row>
    <row r="1477">
      <c r="A1477" s="10">
        <f>IF($B1477="","",COUNTA($B$9:$B1477))</f>
        <v/>
      </c>
      <c r="B1477" s="12" t="n"/>
      <c r="C1477" s="13" t="n"/>
      <c r="D1477" s="14">
        <f>IF($C1477="","",IFERROR(IF(VLOOKUP($C1477,AcctTblE,4,0)="","(بدون نام)",VLOOKUP($C1477,AcctTblE,4,0)),"کد ناشناخته"))</f>
        <v/>
      </c>
      <c r="E1477" s="15" t="n"/>
      <c r="F1477" s="14">
        <f>IF($B1477="","",IFERROR(INDEX(WageDates,MATCH($B1477,WageIds,0)),"—"))</f>
        <v/>
      </c>
      <c r="G1477" s="14">
        <f>IF($B1477="","",IFERROR(VLOOKUP(INDEX(WageParty,MATCH($B1477,WageIds,0)),WGTbl,2,0),"—"))</f>
        <v/>
      </c>
      <c r="H1477" s="12" t="n"/>
    </row>
    <row r="1478">
      <c r="A1478" s="19">
        <f>IF($B1478="","",COUNTA($B$9:$B1478))</f>
        <v/>
      </c>
      <c r="B1478" s="12" t="n"/>
      <c r="C1478" s="13" t="n"/>
      <c r="D1478" s="20">
        <f>IF($C1478="","",IFERROR(IF(VLOOKUP($C1478,AcctTblE,4,0)="","(بدون نام)",VLOOKUP($C1478,AcctTblE,4,0)),"کد ناشناخته"))</f>
        <v/>
      </c>
      <c r="E1478" s="15" t="n"/>
      <c r="F1478" s="20">
        <f>IF($B1478="","",IFERROR(INDEX(WageDates,MATCH($B1478,WageIds,0)),"—"))</f>
        <v/>
      </c>
      <c r="G1478" s="20">
        <f>IF($B1478="","",IFERROR(VLOOKUP(INDEX(WageParty,MATCH($B1478,WageIds,0)),WGTbl,2,0),"—"))</f>
        <v/>
      </c>
      <c r="H1478" s="12" t="n"/>
    </row>
    <row r="1479">
      <c r="A1479" s="10">
        <f>IF($B1479="","",COUNTA($B$9:$B1479))</f>
        <v/>
      </c>
      <c r="B1479" s="12" t="n"/>
      <c r="C1479" s="13" t="n"/>
      <c r="D1479" s="14">
        <f>IF($C1479="","",IFERROR(IF(VLOOKUP($C1479,AcctTblE,4,0)="","(بدون نام)",VLOOKUP($C1479,AcctTblE,4,0)),"کد ناشناخته"))</f>
        <v/>
      </c>
      <c r="E1479" s="15" t="n"/>
      <c r="F1479" s="14">
        <f>IF($B1479="","",IFERROR(INDEX(WageDates,MATCH($B1479,WageIds,0)),"—"))</f>
        <v/>
      </c>
      <c r="G1479" s="14">
        <f>IF($B1479="","",IFERROR(VLOOKUP(INDEX(WageParty,MATCH($B1479,WageIds,0)),WGTbl,2,0),"—"))</f>
        <v/>
      </c>
      <c r="H1479" s="12" t="n"/>
    </row>
    <row r="1480">
      <c r="A1480" s="19">
        <f>IF($B1480="","",COUNTA($B$9:$B1480))</f>
        <v/>
      </c>
      <c r="B1480" s="12" t="n"/>
      <c r="C1480" s="13" t="n"/>
      <c r="D1480" s="20">
        <f>IF($C1480="","",IFERROR(IF(VLOOKUP($C1480,AcctTblE,4,0)="","(بدون نام)",VLOOKUP($C1480,AcctTblE,4,0)),"کد ناشناخته"))</f>
        <v/>
      </c>
      <c r="E1480" s="15" t="n"/>
      <c r="F1480" s="20">
        <f>IF($B1480="","",IFERROR(INDEX(WageDates,MATCH($B1480,WageIds,0)),"—"))</f>
        <v/>
      </c>
      <c r="G1480" s="20">
        <f>IF($B1480="","",IFERROR(VLOOKUP(INDEX(WageParty,MATCH($B1480,WageIds,0)),WGTbl,2,0),"—"))</f>
        <v/>
      </c>
      <c r="H1480" s="12" t="n"/>
    </row>
    <row r="1481">
      <c r="A1481" s="10">
        <f>IF($B1481="","",COUNTA($B$9:$B1481))</f>
        <v/>
      </c>
      <c r="B1481" s="12" t="n"/>
      <c r="C1481" s="13" t="n"/>
      <c r="D1481" s="14">
        <f>IF($C1481="","",IFERROR(IF(VLOOKUP($C1481,AcctTblE,4,0)="","(بدون نام)",VLOOKUP($C1481,AcctTblE,4,0)),"کد ناشناخته"))</f>
        <v/>
      </c>
      <c r="E1481" s="15" t="n"/>
      <c r="F1481" s="14">
        <f>IF($B1481="","",IFERROR(INDEX(WageDates,MATCH($B1481,WageIds,0)),"—"))</f>
        <v/>
      </c>
      <c r="G1481" s="14">
        <f>IF($B1481="","",IFERROR(VLOOKUP(INDEX(WageParty,MATCH($B1481,WageIds,0)),WGTbl,2,0),"—"))</f>
        <v/>
      </c>
      <c r="H1481" s="12" t="n"/>
    </row>
    <row r="1482">
      <c r="A1482" s="19">
        <f>IF($B1482="","",COUNTA($B$9:$B1482))</f>
        <v/>
      </c>
      <c r="B1482" s="12" t="n"/>
      <c r="C1482" s="13" t="n"/>
      <c r="D1482" s="20">
        <f>IF($C1482="","",IFERROR(IF(VLOOKUP($C1482,AcctTblE,4,0)="","(بدون نام)",VLOOKUP($C1482,AcctTblE,4,0)),"کد ناشناخته"))</f>
        <v/>
      </c>
      <c r="E1482" s="15" t="n"/>
      <c r="F1482" s="20">
        <f>IF($B1482="","",IFERROR(INDEX(WageDates,MATCH($B1482,WageIds,0)),"—"))</f>
        <v/>
      </c>
      <c r="G1482" s="20">
        <f>IF($B1482="","",IFERROR(VLOOKUP(INDEX(WageParty,MATCH($B1482,WageIds,0)),WGTbl,2,0),"—"))</f>
        <v/>
      </c>
      <c r="H1482" s="12" t="n"/>
    </row>
    <row r="1483">
      <c r="A1483" s="10">
        <f>IF($B1483="","",COUNTA($B$9:$B1483))</f>
        <v/>
      </c>
      <c r="B1483" s="12" t="n"/>
      <c r="C1483" s="13" t="n"/>
      <c r="D1483" s="14">
        <f>IF($C1483="","",IFERROR(IF(VLOOKUP($C1483,AcctTblE,4,0)="","(بدون نام)",VLOOKUP($C1483,AcctTblE,4,0)),"کد ناشناخته"))</f>
        <v/>
      </c>
      <c r="E1483" s="15" t="n"/>
      <c r="F1483" s="14">
        <f>IF($B1483="","",IFERROR(INDEX(WageDates,MATCH($B1483,WageIds,0)),"—"))</f>
        <v/>
      </c>
      <c r="G1483" s="14">
        <f>IF($B1483="","",IFERROR(VLOOKUP(INDEX(WageParty,MATCH($B1483,WageIds,0)),WGTbl,2,0),"—"))</f>
        <v/>
      </c>
      <c r="H1483" s="12" t="n"/>
    </row>
    <row r="1484">
      <c r="A1484" s="19">
        <f>IF($B1484="","",COUNTA($B$9:$B1484))</f>
        <v/>
      </c>
      <c r="B1484" s="12" t="n"/>
      <c r="C1484" s="13" t="n"/>
      <c r="D1484" s="20">
        <f>IF($C1484="","",IFERROR(IF(VLOOKUP($C1484,AcctTblE,4,0)="","(بدون نام)",VLOOKUP($C1484,AcctTblE,4,0)),"کد ناشناخته"))</f>
        <v/>
      </c>
      <c r="E1484" s="15" t="n"/>
      <c r="F1484" s="20">
        <f>IF($B1484="","",IFERROR(INDEX(WageDates,MATCH($B1484,WageIds,0)),"—"))</f>
        <v/>
      </c>
      <c r="G1484" s="20">
        <f>IF($B1484="","",IFERROR(VLOOKUP(INDEX(WageParty,MATCH($B1484,WageIds,0)),WGTbl,2,0),"—"))</f>
        <v/>
      </c>
      <c r="H1484" s="12" t="n"/>
    </row>
    <row r="1485">
      <c r="A1485" s="10">
        <f>IF($B1485="","",COUNTA($B$9:$B1485))</f>
        <v/>
      </c>
      <c r="B1485" s="12" t="n"/>
      <c r="C1485" s="13" t="n"/>
      <c r="D1485" s="14">
        <f>IF($C1485="","",IFERROR(IF(VLOOKUP($C1485,AcctTblE,4,0)="","(بدون نام)",VLOOKUP($C1485,AcctTblE,4,0)),"کد ناشناخته"))</f>
        <v/>
      </c>
      <c r="E1485" s="15" t="n"/>
      <c r="F1485" s="14">
        <f>IF($B1485="","",IFERROR(INDEX(WageDates,MATCH($B1485,WageIds,0)),"—"))</f>
        <v/>
      </c>
      <c r="G1485" s="14">
        <f>IF($B1485="","",IFERROR(VLOOKUP(INDEX(WageParty,MATCH($B1485,WageIds,0)),WGTbl,2,0),"—"))</f>
        <v/>
      </c>
      <c r="H1485" s="12" t="n"/>
    </row>
    <row r="1486">
      <c r="A1486" s="19">
        <f>IF($B1486="","",COUNTA($B$9:$B1486))</f>
        <v/>
      </c>
      <c r="B1486" s="12" t="n"/>
      <c r="C1486" s="13" t="n"/>
      <c r="D1486" s="20">
        <f>IF($C1486="","",IFERROR(IF(VLOOKUP($C1486,AcctTblE,4,0)="","(بدون نام)",VLOOKUP($C1486,AcctTblE,4,0)),"کد ناشناخته"))</f>
        <v/>
      </c>
      <c r="E1486" s="15" t="n"/>
      <c r="F1486" s="20">
        <f>IF($B1486="","",IFERROR(INDEX(WageDates,MATCH($B1486,WageIds,0)),"—"))</f>
        <v/>
      </c>
      <c r="G1486" s="20">
        <f>IF($B1486="","",IFERROR(VLOOKUP(INDEX(WageParty,MATCH($B1486,WageIds,0)),WGTbl,2,0),"—"))</f>
        <v/>
      </c>
      <c r="H1486" s="12" t="n"/>
    </row>
    <row r="1487">
      <c r="A1487" s="10">
        <f>IF($B1487="","",COUNTA($B$9:$B1487))</f>
        <v/>
      </c>
      <c r="B1487" s="12" t="n"/>
      <c r="C1487" s="13" t="n"/>
      <c r="D1487" s="14">
        <f>IF($C1487="","",IFERROR(IF(VLOOKUP($C1487,AcctTblE,4,0)="","(بدون نام)",VLOOKUP($C1487,AcctTblE,4,0)),"کد ناشناخته"))</f>
        <v/>
      </c>
      <c r="E1487" s="15" t="n"/>
      <c r="F1487" s="14">
        <f>IF($B1487="","",IFERROR(INDEX(WageDates,MATCH($B1487,WageIds,0)),"—"))</f>
        <v/>
      </c>
      <c r="G1487" s="14">
        <f>IF($B1487="","",IFERROR(VLOOKUP(INDEX(WageParty,MATCH($B1487,WageIds,0)),WGTbl,2,0),"—"))</f>
        <v/>
      </c>
      <c r="H1487" s="12" t="n"/>
    </row>
    <row r="1488">
      <c r="A1488" s="19">
        <f>IF($B1488="","",COUNTA($B$9:$B1488))</f>
        <v/>
      </c>
      <c r="B1488" s="12" t="n"/>
      <c r="C1488" s="13" t="n"/>
      <c r="D1488" s="20">
        <f>IF($C1488="","",IFERROR(IF(VLOOKUP($C1488,AcctTblE,4,0)="","(بدون نام)",VLOOKUP($C1488,AcctTblE,4,0)),"کد ناشناخته"))</f>
        <v/>
      </c>
      <c r="E1488" s="15" t="n"/>
      <c r="F1488" s="20">
        <f>IF($B1488="","",IFERROR(INDEX(WageDates,MATCH($B1488,WageIds,0)),"—"))</f>
        <v/>
      </c>
      <c r="G1488" s="20">
        <f>IF($B1488="","",IFERROR(VLOOKUP(INDEX(WageParty,MATCH($B1488,WageIds,0)),WGTbl,2,0),"—"))</f>
        <v/>
      </c>
      <c r="H1488" s="12" t="n"/>
    </row>
    <row r="1489">
      <c r="A1489" s="10">
        <f>IF($B1489="","",COUNTA($B$9:$B1489))</f>
        <v/>
      </c>
      <c r="B1489" s="12" t="n"/>
      <c r="C1489" s="13" t="n"/>
      <c r="D1489" s="14">
        <f>IF($C1489="","",IFERROR(IF(VLOOKUP($C1489,AcctTblE,4,0)="","(بدون نام)",VLOOKUP($C1489,AcctTblE,4,0)),"کد ناشناخته"))</f>
        <v/>
      </c>
      <c r="E1489" s="15" t="n"/>
      <c r="F1489" s="14">
        <f>IF($B1489="","",IFERROR(INDEX(WageDates,MATCH($B1489,WageIds,0)),"—"))</f>
        <v/>
      </c>
      <c r="G1489" s="14">
        <f>IF($B1489="","",IFERROR(VLOOKUP(INDEX(WageParty,MATCH($B1489,WageIds,0)),WGTbl,2,0),"—"))</f>
        <v/>
      </c>
      <c r="H1489" s="12" t="n"/>
    </row>
    <row r="1490">
      <c r="A1490" s="19">
        <f>IF($B1490="","",COUNTA($B$9:$B1490))</f>
        <v/>
      </c>
      <c r="B1490" s="12" t="n"/>
      <c r="C1490" s="13" t="n"/>
      <c r="D1490" s="20">
        <f>IF($C1490="","",IFERROR(IF(VLOOKUP($C1490,AcctTblE,4,0)="","(بدون نام)",VLOOKUP($C1490,AcctTblE,4,0)),"کد ناشناخته"))</f>
        <v/>
      </c>
      <c r="E1490" s="15" t="n"/>
      <c r="F1490" s="20">
        <f>IF($B1490="","",IFERROR(INDEX(WageDates,MATCH($B1490,WageIds,0)),"—"))</f>
        <v/>
      </c>
      <c r="G1490" s="20">
        <f>IF($B1490="","",IFERROR(VLOOKUP(INDEX(WageParty,MATCH($B1490,WageIds,0)),WGTbl,2,0),"—"))</f>
        <v/>
      </c>
      <c r="H1490" s="12" t="n"/>
    </row>
    <row r="1491">
      <c r="A1491" s="10">
        <f>IF($B1491="","",COUNTA($B$9:$B1491))</f>
        <v/>
      </c>
      <c r="B1491" s="12" t="n"/>
      <c r="C1491" s="13" t="n"/>
      <c r="D1491" s="14">
        <f>IF($C1491="","",IFERROR(IF(VLOOKUP($C1491,AcctTblE,4,0)="","(بدون نام)",VLOOKUP($C1491,AcctTblE,4,0)),"کد ناشناخته"))</f>
        <v/>
      </c>
      <c r="E1491" s="15" t="n"/>
      <c r="F1491" s="14">
        <f>IF($B1491="","",IFERROR(INDEX(WageDates,MATCH($B1491,WageIds,0)),"—"))</f>
        <v/>
      </c>
      <c r="G1491" s="14">
        <f>IF($B1491="","",IFERROR(VLOOKUP(INDEX(WageParty,MATCH($B1491,WageIds,0)),WGTbl,2,0),"—"))</f>
        <v/>
      </c>
      <c r="H1491" s="12" t="n"/>
    </row>
    <row r="1492">
      <c r="A1492" s="19">
        <f>IF($B1492="","",COUNTA($B$9:$B1492))</f>
        <v/>
      </c>
      <c r="B1492" s="12" t="n"/>
      <c r="C1492" s="13" t="n"/>
      <c r="D1492" s="20">
        <f>IF($C1492="","",IFERROR(IF(VLOOKUP($C1492,AcctTblE,4,0)="","(بدون نام)",VLOOKUP($C1492,AcctTblE,4,0)),"کد ناشناخته"))</f>
        <v/>
      </c>
      <c r="E1492" s="15" t="n"/>
      <c r="F1492" s="20">
        <f>IF($B1492="","",IFERROR(INDEX(WageDates,MATCH($B1492,WageIds,0)),"—"))</f>
        <v/>
      </c>
      <c r="G1492" s="20">
        <f>IF($B1492="","",IFERROR(VLOOKUP(INDEX(WageParty,MATCH($B1492,WageIds,0)),WGTbl,2,0),"—"))</f>
        <v/>
      </c>
      <c r="H1492" s="12" t="n"/>
    </row>
    <row r="1493">
      <c r="A1493" s="10">
        <f>IF($B1493="","",COUNTA($B$9:$B1493))</f>
        <v/>
      </c>
      <c r="B1493" s="12" t="n"/>
      <c r="C1493" s="13" t="n"/>
      <c r="D1493" s="14">
        <f>IF($C1493="","",IFERROR(IF(VLOOKUP($C1493,AcctTblE,4,0)="","(بدون نام)",VLOOKUP($C1493,AcctTblE,4,0)),"کد ناشناخته"))</f>
        <v/>
      </c>
      <c r="E1493" s="15" t="n"/>
      <c r="F1493" s="14">
        <f>IF($B1493="","",IFERROR(INDEX(WageDates,MATCH($B1493,WageIds,0)),"—"))</f>
        <v/>
      </c>
      <c r="G1493" s="14">
        <f>IF($B1493="","",IFERROR(VLOOKUP(INDEX(WageParty,MATCH($B1493,WageIds,0)),WGTbl,2,0),"—"))</f>
        <v/>
      </c>
      <c r="H1493" s="12" t="n"/>
    </row>
    <row r="1494">
      <c r="A1494" s="19">
        <f>IF($B1494="","",COUNTA($B$9:$B1494))</f>
        <v/>
      </c>
      <c r="B1494" s="12" t="n"/>
      <c r="C1494" s="13" t="n"/>
      <c r="D1494" s="20">
        <f>IF($C1494="","",IFERROR(IF(VLOOKUP($C1494,AcctTblE,4,0)="","(بدون نام)",VLOOKUP($C1494,AcctTblE,4,0)),"کد ناشناخته"))</f>
        <v/>
      </c>
      <c r="E1494" s="15" t="n"/>
      <c r="F1494" s="20">
        <f>IF($B1494="","",IFERROR(INDEX(WageDates,MATCH($B1494,WageIds,0)),"—"))</f>
        <v/>
      </c>
      <c r="G1494" s="20">
        <f>IF($B1494="","",IFERROR(VLOOKUP(INDEX(WageParty,MATCH($B1494,WageIds,0)),WGTbl,2,0),"—"))</f>
        <v/>
      </c>
      <c r="H1494" s="12" t="n"/>
    </row>
    <row r="1495">
      <c r="A1495" s="10">
        <f>IF($B1495="","",COUNTA($B$9:$B1495))</f>
        <v/>
      </c>
      <c r="B1495" s="12" t="n"/>
      <c r="C1495" s="13" t="n"/>
      <c r="D1495" s="14">
        <f>IF($C1495="","",IFERROR(IF(VLOOKUP($C1495,AcctTblE,4,0)="","(بدون نام)",VLOOKUP($C1495,AcctTblE,4,0)),"کد ناشناخته"))</f>
        <v/>
      </c>
      <c r="E1495" s="15" t="n"/>
      <c r="F1495" s="14">
        <f>IF($B1495="","",IFERROR(INDEX(WageDates,MATCH($B1495,WageIds,0)),"—"))</f>
        <v/>
      </c>
      <c r="G1495" s="14">
        <f>IF($B1495="","",IFERROR(VLOOKUP(INDEX(WageParty,MATCH($B1495,WageIds,0)),WGTbl,2,0),"—"))</f>
        <v/>
      </c>
      <c r="H1495" s="12" t="n"/>
    </row>
    <row r="1496">
      <c r="A1496" s="19">
        <f>IF($B1496="","",COUNTA($B$9:$B1496))</f>
        <v/>
      </c>
      <c r="B1496" s="12" t="n"/>
      <c r="C1496" s="13" t="n"/>
      <c r="D1496" s="20">
        <f>IF($C1496="","",IFERROR(IF(VLOOKUP($C1496,AcctTblE,4,0)="","(بدون نام)",VLOOKUP($C1496,AcctTblE,4,0)),"کد ناشناخته"))</f>
        <v/>
      </c>
      <c r="E1496" s="15" t="n"/>
      <c r="F1496" s="20">
        <f>IF($B1496="","",IFERROR(INDEX(WageDates,MATCH($B1496,WageIds,0)),"—"))</f>
        <v/>
      </c>
      <c r="G1496" s="20">
        <f>IF($B1496="","",IFERROR(VLOOKUP(INDEX(WageParty,MATCH($B1496,WageIds,0)),WGTbl,2,0),"—"))</f>
        <v/>
      </c>
      <c r="H1496" s="12" t="n"/>
    </row>
    <row r="1497">
      <c r="A1497" s="10">
        <f>IF($B1497="","",COUNTA($B$9:$B1497))</f>
        <v/>
      </c>
      <c r="B1497" s="12" t="n"/>
      <c r="C1497" s="13" t="n"/>
      <c r="D1497" s="14">
        <f>IF($C1497="","",IFERROR(IF(VLOOKUP($C1497,AcctTblE,4,0)="","(بدون نام)",VLOOKUP($C1497,AcctTblE,4,0)),"کد ناشناخته"))</f>
        <v/>
      </c>
      <c r="E1497" s="15" t="n"/>
      <c r="F1497" s="14">
        <f>IF($B1497="","",IFERROR(INDEX(WageDates,MATCH($B1497,WageIds,0)),"—"))</f>
        <v/>
      </c>
      <c r="G1497" s="14">
        <f>IF($B1497="","",IFERROR(VLOOKUP(INDEX(WageParty,MATCH($B1497,WageIds,0)),WGTbl,2,0),"—"))</f>
        <v/>
      </c>
      <c r="H1497" s="12" t="n"/>
    </row>
    <row r="1498">
      <c r="A1498" s="19">
        <f>IF($B1498="","",COUNTA($B$9:$B1498))</f>
        <v/>
      </c>
      <c r="B1498" s="12" t="n"/>
      <c r="C1498" s="13" t="n"/>
      <c r="D1498" s="20">
        <f>IF($C1498="","",IFERROR(IF(VLOOKUP($C1498,AcctTblE,4,0)="","(بدون نام)",VLOOKUP($C1498,AcctTblE,4,0)),"کد ناشناخته"))</f>
        <v/>
      </c>
      <c r="E1498" s="15" t="n"/>
      <c r="F1498" s="20">
        <f>IF($B1498="","",IFERROR(INDEX(WageDates,MATCH($B1498,WageIds,0)),"—"))</f>
        <v/>
      </c>
      <c r="G1498" s="20">
        <f>IF($B1498="","",IFERROR(VLOOKUP(INDEX(WageParty,MATCH($B1498,WageIds,0)),WGTbl,2,0),"—"))</f>
        <v/>
      </c>
      <c r="H1498" s="12" t="n"/>
    </row>
    <row r="1499">
      <c r="A1499" s="10">
        <f>IF($B1499="","",COUNTA($B$9:$B1499))</f>
        <v/>
      </c>
      <c r="B1499" s="12" t="n"/>
      <c r="C1499" s="13" t="n"/>
      <c r="D1499" s="14">
        <f>IF($C1499="","",IFERROR(IF(VLOOKUP($C1499,AcctTblE,4,0)="","(بدون نام)",VLOOKUP($C1499,AcctTblE,4,0)),"کد ناشناخته"))</f>
        <v/>
      </c>
      <c r="E1499" s="15" t="n"/>
      <c r="F1499" s="14">
        <f>IF($B1499="","",IFERROR(INDEX(WageDates,MATCH($B1499,WageIds,0)),"—"))</f>
        <v/>
      </c>
      <c r="G1499" s="14">
        <f>IF($B1499="","",IFERROR(VLOOKUP(INDEX(WageParty,MATCH($B1499,WageIds,0)),WGTbl,2,0),"—"))</f>
        <v/>
      </c>
      <c r="H1499" s="12" t="n"/>
    </row>
    <row r="1500">
      <c r="A1500" s="19">
        <f>IF($B1500="","",COUNTA($B$9:$B1500))</f>
        <v/>
      </c>
      <c r="B1500" s="12" t="n"/>
      <c r="C1500" s="13" t="n"/>
      <c r="D1500" s="20">
        <f>IF($C1500="","",IFERROR(IF(VLOOKUP($C1500,AcctTblE,4,0)="","(بدون نام)",VLOOKUP($C1500,AcctTblE,4,0)),"کد ناشناخته"))</f>
        <v/>
      </c>
      <c r="E1500" s="15" t="n"/>
      <c r="F1500" s="20">
        <f>IF($B1500="","",IFERROR(INDEX(WageDates,MATCH($B1500,WageIds,0)),"—"))</f>
        <v/>
      </c>
      <c r="G1500" s="20">
        <f>IF($B1500="","",IFERROR(VLOOKUP(INDEX(WageParty,MATCH($B1500,WageIds,0)),WGTbl,2,0),"—"))</f>
        <v/>
      </c>
      <c r="H1500" s="12" t="n"/>
    </row>
    <row r="1501">
      <c r="A1501" s="10">
        <f>IF($B1501="","",COUNTA($B$9:$B1501))</f>
        <v/>
      </c>
      <c r="B1501" s="12" t="n"/>
      <c r="C1501" s="13" t="n"/>
      <c r="D1501" s="14">
        <f>IF($C1501="","",IFERROR(IF(VLOOKUP($C1501,AcctTblE,4,0)="","(بدون نام)",VLOOKUP($C1501,AcctTblE,4,0)),"کد ناشناخته"))</f>
        <v/>
      </c>
      <c r="E1501" s="15" t="n"/>
      <c r="F1501" s="14">
        <f>IF($B1501="","",IFERROR(INDEX(WageDates,MATCH($B1501,WageIds,0)),"—"))</f>
        <v/>
      </c>
      <c r="G1501" s="14">
        <f>IF($B1501="","",IFERROR(VLOOKUP(INDEX(WageParty,MATCH($B1501,WageIds,0)),WGTbl,2,0),"—"))</f>
        <v/>
      </c>
      <c r="H1501" s="12" t="n"/>
    </row>
    <row r="1502">
      <c r="A1502" s="19">
        <f>IF($B1502="","",COUNTA($B$9:$B1502))</f>
        <v/>
      </c>
      <c r="B1502" s="12" t="n"/>
      <c r="C1502" s="13" t="n"/>
      <c r="D1502" s="20">
        <f>IF($C1502="","",IFERROR(IF(VLOOKUP($C1502,AcctTblE,4,0)="","(بدون نام)",VLOOKUP($C1502,AcctTblE,4,0)),"کد ناشناخته"))</f>
        <v/>
      </c>
      <c r="E1502" s="15" t="n"/>
      <c r="F1502" s="20">
        <f>IF($B1502="","",IFERROR(INDEX(WageDates,MATCH($B1502,WageIds,0)),"—"))</f>
        <v/>
      </c>
      <c r="G1502" s="20">
        <f>IF($B1502="","",IFERROR(VLOOKUP(INDEX(WageParty,MATCH($B1502,WageIds,0)),WGTbl,2,0),"—"))</f>
        <v/>
      </c>
      <c r="H1502" s="12" t="n"/>
    </row>
    <row r="1503">
      <c r="A1503" s="10">
        <f>IF($B1503="","",COUNTA($B$9:$B1503))</f>
        <v/>
      </c>
      <c r="B1503" s="12" t="n"/>
      <c r="C1503" s="13" t="n"/>
      <c r="D1503" s="14">
        <f>IF($C1503="","",IFERROR(IF(VLOOKUP($C1503,AcctTblE,4,0)="","(بدون نام)",VLOOKUP($C1503,AcctTblE,4,0)),"کد ناشناخته"))</f>
        <v/>
      </c>
      <c r="E1503" s="15" t="n"/>
      <c r="F1503" s="14">
        <f>IF($B1503="","",IFERROR(INDEX(WageDates,MATCH($B1503,WageIds,0)),"—"))</f>
        <v/>
      </c>
      <c r="G1503" s="14">
        <f>IF($B1503="","",IFERROR(VLOOKUP(INDEX(WageParty,MATCH($B1503,WageIds,0)),WGTbl,2,0),"—"))</f>
        <v/>
      </c>
      <c r="H1503" s="12" t="n"/>
    </row>
    <row r="1504">
      <c r="A1504" s="19">
        <f>IF($B1504="","",COUNTA($B$9:$B1504))</f>
        <v/>
      </c>
      <c r="B1504" s="12" t="n"/>
      <c r="C1504" s="13" t="n"/>
      <c r="D1504" s="20">
        <f>IF($C1504="","",IFERROR(IF(VLOOKUP($C1504,AcctTblE,4,0)="","(بدون نام)",VLOOKUP($C1504,AcctTblE,4,0)),"کد ناشناخته"))</f>
        <v/>
      </c>
      <c r="E1504" s="15" t="n"/>
      <c r="F1504" s="20">
        <f>IF($B1504="","",IFERROR(INDEX(WageDates,MATCH($B1504,WageIds,0)),"—"))</f>
        <v/>
      </c>
      <c r="G1504" s="20">
        <f>IF($B1504="","",IFERROR(VLOOKUP(INDEX(WageParty,MATCH($B1504,WageIds,0)),WGTbl,2,0),"—"))</f>
        <v/>
      </c>
      <c r="H1504" s="12" t="n"/>
    </row>
    <row r="1505">
      <c r="A1505" s="10">
        <f>IF($B1505="","",COUNTA($B$9:$B1505))</f>
        <v/>
      </c>
      <c r="B1505" s="12" t="n"/>
      <c r="C1505" s="13" t="n"/>
      <c r="D1505" s="14">
        <f>IF($C1505="","",IFERROR(IF(VLOOKUP($C1505,AcctTblE,4,0)="","(بدون نام)",VLOOKUP($C1505,AcctTblE,4,0)),"کد ناشناخته"))</f>
        <v/>
      </c>
      <c r="E1505" s="15" t="n"/>
      <c r="F1505" s="14">
        <f>IF($B1505="","",IFERROR(INDEX(WageDates,MATCH($B1505,WageIds,0)),"—"))</f>
        <v/>
      </c>
      <c r="G1505" s="14">
        <f>IF($B1505="","",IFERROR(VLOOKUP(INDEX(WageParty,MATCH($B1505,WageIds,0)),WGTbl,2,0),"—"))</f>
        <v/>
      </c>
      <c r="H1505" s="12" t="n"/>
    </row>
    <row r="1506">
      <c r="A1506" s="19">
        <f>IF($B1506="","",COUNTA($B$9:$B1506))</f>
        <v/>
      </c>
      <c r="B1506" s="12" t="n"/>
      <c r="C1506" s="13" t="n"/>
      <c r="D1506" s="20">
        <f>IF($C1506="","",IFERROR(IF(VLOOKUP($C1506,AcctTblE,4,0)="","(بدون نام)",VLOOKUP($C1506,AcctTblE,4,0)),"کد ناشناخته"))</f>
        <v/>
      </c>
      <c r="E1506" s="15" t="n"/>
      <c r="F1506" s="20">
        <f>IF($B1506="","",IFERROR(INDEX(WageDates,MATCH($B1506,WageIds,0)),"—"))</f>
        <v/>
      </c>
      <c r="G1506" s="20">
        <f>IF($B1506="","",IFERROR(VLOOKUP(INDEX(WageParty,MATCH($B1506,WageIds,0)),WGTbl,2,0),"—"))</f>
        <v/>
      </c>
      <c r="H1506" s="12" t="n"/>
    </row>
    <row r="1507">
      <c r="A1507" s="10">
        <f>IF($B1507="","",COUNTA($B$9:$B1507))</f>
        <v/>
      </c>
      <c r="B1507" s="12" t="n"/>
      <c r="C1507" s="13" t="n"/>
      <c r="D1507" s="14">
        <f>IF($C1507="","",IFERROR(IF(VLOOKUP($C1507,AcctTblE,4,0)="","(بدون نام)",VLOOKUP($C1507,AcctTblE,4,0)),"کد ناشناخته"))</f>
        <v/>
      </c>
      <c r="E1507" s="15" t="n"/>
      <c r="F1507" s="14">
        <f>IF($B1507="","",IFERROR(INDEX(WageDates,MATCH($B1507,WageIds,0)),"—"))</f>
        <v/>
      </c>
      <c r="G1507" s="14">
        <f>IF($B1507="","",IFERROR(VLOOKUP(INDEX(WageParty,MATCH($B1507,WageIds,0)),WGTbl,2,0),"—"))</f>
        <v/>
      </c>
      <c r="H1507" s="12" t="n"/>
    </row>
    <row r="1508">
      <c r="A1508" s="19">
        <f>IF($B1508="","",COUNTA($B$9:$B1508))</f>
        <v/>
      </c>
      <c r="B1508" s="12" t="n"/>
      <c r="C1508" s="13" t="n"/>
      <c r="D1508" s="20">
        <f>IF($C1508="","",IFERROR(IF(VLOOKUP($C1508,AcctTblE,4,0)="","(بدون نام)",VLOOKUP($C1508,AcctTblE,4,0)),"کد ناشناخته"))</f>
        <v/>
      </c>
      <c r="E1508" s="15" t="n"/>
      <c r="F1508" s="20">
        <f>IF($B1508="","",IFERROR(INDEX(WageDates,MATCH($B1508,WageIds,0)),"—"))</f>
        <v/>
      </c>
      <c r="G1508" s="20">
        <f>IF($B1508="","",IFERROR(VLOOKUP(INDEX(WageParty,MATCH($B1508,WageIds,0)),WGTbl,2,0),"—"))</f>
        <v/>
      </c>
      <c r="H1508" s="12" t="n"/>
    </row>
    <row r="1509">
      <c r="A1509" s="10">
        <f>IF($B1509="","",COUNTA($B$9:$B1509))</f>
        <v/>
      </c>
      <c r="B1509" s="12" t="n"/>
      <c r="C1509" s="13" t="n"/>
      <c r="D1509" s="14">
        <f>IF($C1509="","",IFERROR(IF(VLOOKUP($C1509,AcctTblE,4,0)="","(بدون نام)",VLOOKUP($C1509,AcctTblE,4,0)),"کد ناشناخته"))</f>
        <v/>
      </c>
      <c r="E1509" s="15" t="n"/>
      <c r="F1509" s="14">
        <f>IF($B1509="","",IFERROR(INDEX(WageDates,MATCH($B1509,WageIds,0)),"—"))</f>
        <v/>
      </c>
      <c r="G1509" s="14">
        <f>IF($B1509="","",IFERROR(VLOOKUP(INDEX(WageParty,MATCH($B1509,WageIds,0)),WGTbl,2,0),"—"))</f>
        <v/>
      </c>
      <c r="H1509" s="12" t="n"/>
    </row>
    <row r="1510">
      <c r="A1510" s="19">
        <f>IF($B1510="","",COUNTA($B$9:$B1510))</f>
        <v/>
      </c>
      <c r="B1510" s="12" t="n"/>
      <c r="C1510" s="13" t="n"/>
      <c r="D1510" s="20">
        <f>IF($C1510="","",IFERROR(IF(VLOOKUP($C1510,AcctTblE,4,0)="","(بدون نام)",VLOOKUP($C1510,AcctTblE,4,0)),"کد ناشناخته"))</f>
        <v/>
      </c>
      <c r="E1510" s="15" t="n"/>
      <c r="F1510" s="20">
        <f>IF($B1510="","",IFERROR(INDEX(WageDates,MATCH($B1510,WageIds,0)),"—"))</f>
        <v/>
      </c>
      <c r="G1510" s="20">
        <f>IF($B1510="","",IFERROR(VLOOKUP(INDEX(WageParty,MATCH($B1510,WageIds,0)),WGTbl,2,0),"—"))</f>
        <v/>
      </c>
      <c r="H1510" s="12" t="n"/>
    </row>
    <row r="1511">
      <c r="A1511" s="10">
        <f>IF($B1511="","",COUNTA($B$9:$B1511))</f>
        <v/>
      </c>
      <c r="B1511" s="12" t="n"/>
      <c r="C1511" s="13" t="n"/>
      <c r="D1511" s="14">
        <f>IF($C1511="","",IFERROR(IF(VLOOKUP($C1511,AcctTblE,4,0)="","(بدون نام)",VLOOKUP($C1511,AcctTblE,4,0)),"کد ناشناخته"))</f>
        <v/>
      </c>
      <c r="E1511" s="15" t="n"/>
      <c r="F1511" s="14">
        <f>IF($B1511="","",IFERROR(INDEX(WageDates,MATCH($B1511,WageIds,0)),"—"))</f>
        <v/>
      </c>
      <c r="G1511" s="14">
        <f>IF($B1511="","",IFERROR(VLOOKUP(INDEX(WageParty,MATCH($B1511,WageIds,0)),WGTbl,2,0),"—"))</f>
        <v/>
      </c>
      <c r="H1511" s="12" t="n"/>
    </row>
    <row r="1512">
      <c r="A1512" s="19">
        <f>IF($B1512="","",COUNTA($B$9:$B1512))</f>
        <v/>
      </c>
      <c r="B1512" s="12" t="n"/>
      <c r="C1512" s="13" t="n"/>
      <c r="D1512" s="20">
        <f>IF($C1512="","",IFERROR(IF(VLOOKUP($C1512,AcctTblE,4,0)="","(بدون نام)",VLOOKUP($C1512,AcctTblE,4,0)),"کد ناشناخته"))</f>
        <v/>
      </c>
      <c r="E1512" s="15" t="n"/>
      <c r="F1512" s="20">
        <f>IF($B1512="","",IFERROR(INDEX(WageDates,MATCH($B1512,WageIds,0)),"—"))</f>
        <v/>
      </c>
      <c r="G1512" s="20">
        <f>IF($B1512="","",IFERROR(VLOOKUP(INDEX(WageParty,MATCH($B1512,WageIds,0)),WGTbl,2,0),"—"))</f>
        <v/>
      </c>
      <c r="H1512" s="12" t="n"/>
    </row>
    <row r="1513">
      <c r="A1513" s="10">
        <f>IF($B1513="","",COUNTA($B$9:$B1513))</f>
        <v/>
      </c>
      <c r="B1513" s="12" t="n"/>
      <c r="C1513" s="13" t="n"/>
      <c r="D1513" s="14">
        <f>IF($C1513="","",IFERROR(IF(VLOOKUP($C1513,AcctTblE,4,0)="","(بدون نام)",VLOOKUP($C1513,AcctTblE,4,0)),"کد ناشناخته"))</f>
        <v/>
      </c>
      <c r="E1513" s="15" t="n"/>
      <c r="F1513" s="14">
        <f>IF($B1513="","",IFERROR(INDEX(WageDates,MATCH($B1513,WageIds,0)),"—"))</f>
        <v/>
      </c>
      <c r="G1513" s="14">
        <f>IF($B1513="","",IFERROR(VLOOKUP(INDEX(WageParty,MATCH($B1513,WageIds,0)),WGTbl,2,0),"—"))</f>
        <v/>
      </c>
      <c r="H1513" s="12" t="n"/>
    </row>
    <row r="1514">
      <c r="A1514" s="19">
        <f>IF($B1514="","",COUNTA($B$9:$B1514))</f>
        <v/>
      </c>
      <c r="B1514" s="12" t="n"/>
      <c r="C1514" s="13" t="n"/>
      <c r="D1514" s="20">
        <f>IF($C1514="","",IFERROR(IF(VLOOKUP($C1514,AcctTblE,4,0)="","(بدون نام)",VLOOKUP($C1514,AcctTblE,4,0)),"کد ناشناخته"))</f>
        <v/>
      </c>
      <c r="E1514" s="15" t="n"/>
      <c r="F1514" s="20">
        <f>IF($B1514="","",IFERROR(INDEX(WageDates,MATCH($B1514,WageIds,0)),"—"))</f>
        <v/>
      </c>
      <c r="G1514" s="20">
        <f>IF($B1514="","",IFERROR(VLOOKUP(INDEX(WageParty,MATCH($B1514,WageIds,0)),WGTbl,2,0),"—"))</f>
        <v/>
      </c>
      <c r="H1514" s="12" t="n"/>
    </row>
    <row r="1515">
      <c r="A1515" s="10">
        <f>IF($B1515="","",COUNTA($B$9:$B1515))</f>
        <v/>
      </c>
      <c r="B1515" s="12" t="n"/>
      <c r="C1515" s="13" t="n"/>
      <c r="D1515" s="14">
        <f>IF($C1515="","",IFERROR(IF(VLOOKUP($C1515,AcctTblE,4,0)="","(بدون نام)",VLOOKUP($C1515,AcctTblE,4,0)),"کد ناشناخته"))</f>
        <v/>
      </c>
      <c r="E1515" s="15" t="n"/>
      <c r="F1515" s="14">
        <f>IF($B1515="","",IFERROR(INDEX(WageDates,MATCH($B1515,WageIds,0)),"—"))</f>
        <v/>
      </c>
      <c r="G1515" s="14">
        <f>IF($B1515="","",IFERROR(VLOOKUP(INDEX(WageParty,MATCH($B1515,WageIds,0)),WGTbl,2,0),"—"))</f>
        <v/>
      </c>
      <c r="H1515" s="12" t="n"/>
    </row>
    <row r="1516">
      <c r="A1516" s="19">
        <f>IF($B1516="","",COUNTA($B$9:$B1516))</f>
        <v/>
      </c>
      <c r="B1516" s="12" t="n"/>
      <c r="C1516" s="13" t="n"/>
      <c r="D1516" s="20">
        <f>IF($C1516="","",IFERROR(IF(VLOOKUP($C1516,AcctTblE,4,0)="","(بدون نام)",VLOOKUP($C1516,AcctTblE,4,0)),"کد ناشناخته"))</f>
        <v/>
      </c>
      <c r="E1516" s="15" t="n"/>
      <c r="F1516" s="20">
        <f>IF($B1516="","",IFERROR(INDEX(WageDates,MATCH($B1516,WageIds,0)),"—"))</f>
        <v/>
      </c>
      <c r="G1516" s="20">
        <f>IF($B1516="","",IFERROR(VLOOKUP(INDEX(WageParty,MATCH($B1516,WageIds,0)),WGTbl,2,0),"—"))</f>
        <v/>
      </c>
      <c r="H1516" s="12" t="n"/>
    </row>
    <row r="1517">
      <c r="A1517" s="10">
        <f>IF($B1517="","",COUNTA($B$9:$B1517))</f>
        <v/>
      </c>
      <c r="B1517" s="12" t="n"/>
      <c r="C1517" s="13" t="n"/>
      <c r="D1517" s="14">
        <f>IF($C1517="","",IFERROR(IF(VLOOKUP($C1517,AcctTblE,4,0)="","(بدون نام)",VLOOKUP($C1517,AcctTblE,4,0)),"کد ناشناخته"))</f>
        <v/>
      </c>
      <c r="E1517" s="15" t="n"/>
      <c r="F1517" s="14">
        <f>IF($B1517="","",IFERROR(INDEX(WageDates,MATCH($B1517,WageIds,0)),"—"))</f>
        <v/>
      </c>
      <c r="G1517" s="14">
        <f>IF($B1517="","",IFERROR(VLOOKUP(INDEX(WageParty,MATCH($B1517,WageIds,0)),WGTbl,2,0),"—"))</f>
        <v/>
      </c>
      <c r="H1517" s="12" t="n"/>
    </row>
    <row r="1518">
      <c r="A1518" s="19">
        <f>IF($B1518="","",COUNTA($B$9:$B1518))</f>
        <v/>
      </c>
      <c r="B1518" s="12" t="n"/>
      <c r="C1518" s="13" t="n"/>
      <c r="D1518" s="20">
        <f>IF($C1518="","",IFERROR(IF(VLOOKUP($C1518,AcctTblE,4,0)="","(بدون نام)",VLOOKUP($C1518,AcctTblE,4,0)),"کد ناشناخته"))</f>
        <v/>
      </c>
      <c r="E1518" s="15" t="n"/>
      <c r="F1518" s="20">
        <f>IF($B1518="","",IFERROR(INDEX(WageDates,MATCH($B1518,WageIds,0)),"—"))</f>
        <v/>
      </c>
      <c r="G1518" s="20">
        <f>IF($B1518="","",IFERROR(VLOOKUP(INDEX(WageParty,MATCH($B1518,WageIds,0)),WGTbl,2,0),"—"))</f>
        <v/>
      </c>
      <c r="H1518" s="12" t="n"/>
    </row>
    <row r="1519">
      <c r="A1519" s="10">
        <f>IF($B1519="","",COUNTA($B$9:$B1519))</f>
        <v/>
      </c>
      <c r="B1519" s="12" t="n"/>
      <c r="C1519" s="13" t="n"/>
      <c r="D1519" s="14">
        <f>IF($C1519="","",IFERROR(IF(VLOOKUP($C1519,AcctTblE,4,0)="","(بدون نام)",VLOOKUP($C1519,AcctTblE,4,0)),"کد ناشناخته"))</f>
        <v/>
      </c>
      <c r="E1519" s="15" t="n"/>
      <c r="F1519" s="14">
        <f>IF($B1519="","",IFERROR(INDEX(WageDates,MATCH($B1519,WageIds,0)),"—"))</f>
        <v/>
      </c>
      <c r="G1519" s="14">
        <f>IF($B1519="","",IFERROR(VLOOKUP(INDEX(WageParty,MATCH($B1519,WageIds,0)),WGTbl,2,0),"—"))</f>
        <v/>
      </c>
      <c r="H1519" s="12" t="n"/>
    </row>
    <row r="1520">
      <c r="A1520" s="19">
        <f>IF($B1520="","",COUNTA($B$9:$B1520))</f>
        <v/>
      </c>
      <c r="B1520" s="12" t="n"/>
      <c r="C1520" s="13" t="n"/>
      <c r="D1520" s="20">
        <f>IF($C1520="","",IFERROR(IF(VLOOKUP($C1520,AcctTblE,4,0)="","(بدون نام)",VLOOKUP($C1520,AcctTblE,4,0)),"کد ناشناخته"))</f>
        <v/>
      </c>
      <c r="E1520" s="15" t="n"/>
      <c r="F1520" s="20">
        <f>IF($B1520="","",IFERROR(INDEX(WageDates,MATCH($B1520,WageIds,0)),"—"))</f>
        <v/>
      </c>
      <c r="G1520" s="20">
        <f>IF($B1520="","",IFERROR(VLOOKUP(INDEX(WageParty,MATCH($B1520,WageIds,0)),WGTbl,2,0),"—"))</f>
        <v/>
      </c>
      <c r="H1520" s="12" t="n"/>
    </row>
    <row r="1521">
      <c r="A1521" s="10">
        <f>IF($B1521="","",COUNTA($B$9:$B1521))</f>
        <v/>
      </c>
      <c r="B1521" s="12" t="n"/>
      <c r="C1521" s="13" t="n"/>
      <c r="D1521" s="14">
        <f>IF($C1521="","",IFERROR(IF(VLOOKUP($C1521,AcctTblE,4,0)="","(بدون نام)",VLOOKUP($C1521,AcctTblE,4,0)),"کد ناشناخته"))</f>
        <v/>
      </c>
      <c r="E1521" s="15" t="n"/>
      <c r="F1521" s="14">
        <f>IF($B1521="","",IFERROR(INDEX(WageDates,MATCH($B1521,WageIds,0)),"—"))</f>
        <v/>
      </c>
      <c r="G1521" s="14">
        <f>IF($B1521="","",IFERROR(VLOOKUP(INDEX(WageParty,MATCH($B1521,WageIds,0)),WGTbl,2,0),"—"))</f>
        <v/>
      </c>
      <c r="H1521" s="12" t="n"/>
    </row>
    <row r="1522">
      <c r="A1522" s="19">
        <f>IF($B1522="","",COUNTA($B$9:$B1522))</f>
        <v/>
      </c>
      <c r="B1522" s="12" t="n"/>
      <c r="C1522" s="13" t="n"/>
      <c r="D1522" s="20">
        <f>IF($C1522="","",IFERROR(IF(VLOOKUP($C1522,AcctTblE,4,0)="","(بدون نام)",VLOOKUP($C1522,AcctTblE,4,0)),"کد ناشناخته"))</f>
        <v/>
      </c>
      <c r="E1522" s="15" t="n"/>
      <c r="F1522" s="20">
        <f>IF($B1522="","",IFERROR(INDEX(WageDates,MATCH($B1522,WageIds,0)),"—"))</f>
        <v/>
      </c>
      <c r="G1522" s="20">
        <f>IF($B1522="","",IFERROR(VLOOKUP(INDEX(WageParty,MATCH($B1522,WageIds,0)),WGTbl,2,0),"—"))</f>
        <v/>
      </c>
      <c r="H1522" s="12" t="n"/>
    </row>
    <row r="1523">
      <c r="A1523" s="10">
        <f>IF($B1523="","",COUNTA($B$9:$B1523))</f>
        <v/>
      </c>
      <c r="B1523" s="12" t="n"/>
      <c r="C1523" s="13" t="n"/>
      <c r="D1523" s="14">
        <f>IF($C1523="","",IFERROR(IF(VLOOKUP($C1523,AcctTblE,4,0)="","(بدون نام)",VLOOKUP($C1523,AcctTblE,4,0)),"کد ناشناخته"))</f>
        <v/>
      </c>
      <c r="E1523" s="15" t="n"/>
      <c r="F1523" s="14">
        <f>IF($B1523="","",IFERROR(INDEX(WageDates,MATCH($B1523,WageIds,0)),"—"))</f>
        <v/>
      </c>
      <c r="G1523" s="14">
        <f>IF($B1523="","",IFERROR(VLOOKUP(INDEX(WageParty,MATCH($B1523,WageIds,0)),WGTbl,2,0),"—"))</f>
        <v/>
      </c>
      <c r="H1523" s="12" t="n"/>
    </row>
    <row r="1524">
      <c r="A1524" s="19">
        <f>IF($B1524="","",COUNTA($B$9:$B1524))</f>
        <v/>
      </c>
      <c r="B1524" s="12" t="n"/>
      <c r="C1524" s="13" t="n"/>
      <c r="D1524" s="20">
        <f>IF($C1524="","",IFERROR(IF(VLOOKUP($C1524,AcctTblE,4,0)="","(بدون نام)",VLOOKUP($C1524,AcctTblE,4,0)),"کد ناشناخته"))</f>
        <v/>
      </c>
      <c r="E1524" s="15" t="n"/>
      <c r="F1524" s="20">
        <f>IF($B1524="","",IFERROR(INDEX(WageDates,MATCH($B1524,WageIds,0)),"—"))</f>
        <v/>
      </c>
      <c r="G1524" s="20">
        <f>IF($B1524="","",IFERROR(VLOOKUP(INDEX(WageParty,MATCH($B1524,WageIds,0)),WGTbl,2,0),"—"))</f>
        <v/>
      </c>
      <c r="H1524" s="12" t="n"/>
    </row>
    <row r="1525">
      <c r="A1525" s="10">
        <f>IF($B1525="","",COUNTA($B$9:$B1525))</f>
        <v/>
      </c>
      <c r="B1525" s="12" t="n"/>
      <c r="C1525" s="13" t="n"/>
      <c r="D1525" s="14">
        <f>IF($C1525="","",IFERROR(IF(VLOOKUP($C1525,AcctTblE,4,0)="","(بدون نام)",VLOOKUP($C1525,AcctTblE,4,0)),"کد ناشناخته"))</f>
        <v/>
      </c>
      <c r="E1525" s="15" t="n"/>
      <c r="F1525" s="14">
        <f>IF($B1525="","",IFERROR(INDEX(WageDates,MATCH($B1525,WageIds,0)),"—"))</f>
        <v/>
      </c>
      <c r="G1525" s="14">
        <f>IF($B1525="","",IFERROR(VLOOKUP(INDEX(WageParty,MATCH($B1525,WageIds,0)),WGTbl,2,0),"—"))</f>
        <v/>
      </c>
      <c r="H1525" s="12" t="n"/>
    </row>
    <row r="1526">
      <c r="A1526" s="19">
        <f>IF($B1526="","",COUNTA($B$9:$B1526))</f>
        <v/>
      </c>
      <c r="B1526" s="12" t="n"/>
      <c r="C1526" s="13" t="n"/>
      <c r="D1526" s="20">
        <f>IF($C1526="","",IFERROR(IF(VLOOKUP($C1526,AcctTblE,4,0)="","(بدون نام)",VLOOKUP($C1526,AcctTblE,4,0)),"کد ناشناخته"))</f>
        <v/>
      </c>
      <c r="E1526" s="15" t="n"/>
      <c r="F1526" s="20">
        <f>IF($B1526="","",IFERROR(INDEX(WageDates,MATCH($B1526,WageIds,0)),"—"))</f>
        <v/>
      </c>
      <c r="G1526" s="20">
        <f>IF($B1526="","",IFERROR(VLOOKUP(INDEX(WageParty,MATCH($B1526,WageIds,0)),WGTbl,2,0),"—"))</f>
        <v/>
      </c>
      <c r="H1526" s="12" t="n"/>
    </row>
    <row r="1527">
      <c r="A1527" s="10">
        <f>IF($B1527="","",COUNTA($B$9:$B1527))</f>
        <v/>
      </c>
      <c r="B1527" s="12" t="n"/>
      <c r="C1527" s="13" t="n"/>
      <c r="D1527" s="14">
        <f>IF($C1527="","",IFERROR(IF(VLOOKUP($C1527,AcctTblE,4,0)="","(بدون نام)",VLOOKUP($C1527,AcctTblE,4,0)),"کد ناشناخته"))</f>
        <v/>
      </c>
      <c r="E1527" s="15" t="n"/>
      <c r="F1527" s="14">
        <f>IF($B1527="","",IFERROR(INDEX(WageDates,MATCH($B1527,WageIds,0)),"—"))</f>
        <v/>
      </c>
      <c r="G1527" s="14">
        <f>IF($B1527="","",IFERROR(VLOOKUP(INDEX(WageParty,MATCH($B1527,WageIds,0)),WGTbl,2,0),"—"))</f>
        <v/>
      </c>
      <c r="H1527" s="12" t="n"/>
    </row>
    <row r="1528">
      <c r="A1528" s="19">
        <f>IF($B1528="","",COUNTA($B$9:$B1528))</f>
        <v/>
      </c>
      <c r="B1528" s="12" t="n"/>
      <c r="C1528" s="13" t="n"/>
      <c r="D1528" s="20">
        <f>IF($C1528="","",IFERROR(IF(VLOOKUP($C1528,AcctTblE,4,0)="","(بدون نام)",VLOOKUP($C1528,AcctTblE,4,0)),"کد ناشناخته"))</f>
        <v/>
      </c>
      <c r="E1528" s="15" t="n"/>
      <c r="F1528" s="20">
        <f>IF($B1528="","",IFERROR(INDEX(WageDates,MATCH($B1528,WageIds,0)),"—"))</f>
        <v/>
      </c>
      <c r="G1528" s="20">
        <f>IF($B1528="","",IFERROR(VLOOKUP(INDEX(WageParty,MATCH($B1528,WageIds,0)),WGTbl,2,0),"—"))</f>
        <v/>
      </c>
      <c r="H1528" s="12" t="n"/>
    </row>
    <row r="1529">
      <c r="A1529" s="10">
        <f>IF($B1529="","",COUNTA($B$9:$B1529))</f>
        <v/>
      </c>
      <c r="B1529" s="12" t="n"/>
      <c r="C1529" s="13" t="n"/>
      <c r="D1529" s="14">
        <f>IF($C1529="","",IFERROR(IF(VLOOKUP($C1529,AcctTblE,4,0)="","(بدون نام)",VLOOKUP($C1529,AcctTblE,4,0)),"کد ناشناخته"))</f>
        <v/>
      </c>
      <c r="E1529" s="15" t="n"/>
      <c r="F1529" s="14">
        <f>IF($B1529="","",IFERROR(INDEX(WageDates,MATCH($B1529,WageIds,0)),"—"))</f>
        <v/>
      </c>
      <c r="G1529" s="14">
        <f>IF($B1529="","",IFERROR(VLOOKUP(INDEX(WageParty,MATCH($B1529,WageIds,0)),WGTbl,2,0),"—"))</f>
        <v/>
      </c>
      <c r="H1529" s="12" t="n"/>
    </row>
    <row r="1530">
      <c r="A1530" s="19">
        <f>IF($B1530="","",COUNTA($B$9:$B1530))</f>
        <v/>
      </c>
      <c r="B1530" s="12" t="n"/>
      <c r="C1530" s="13" t="n"/>
      <c r="D1530" s="20">
        <f>IF($C1530="","",IFERROR(IF(VLOOKUP($C1530,AcctTblE,4,0)="","(بدون نام)",VLOOKUP($C1530,AcctTblE,4,0)),"کد ناشناخته"))</f>
        <v/>
      </c>
      <c r="E1530" s="15" t="n"/>
      <c r="F1530" s="20">
        <f>IF($B1530="","",IFERROR(INDEX(WageDates,MATCH($B1530,WageIds,0)),"—"))</f>
        <v/>
      </c>
      <c r="G1530" s="20">
        <f>IF($B1530="","",IFERROR(VLOOKUP(INDEX(WageParty,MATCH($B1530,WageIds,0)),WGTbl,2,0),"—"))</f>
        <v/>
      </c>
      <c r="H1530" s="12" t="n"/>
    </row>
    <row r="1531">
      <c r="A1531" s="10">
        <f>IF($B1531="","",COUNTA($B$9:$B1531))</f>
        <v/>
      </c>
      <c r="B1531" s="12" t="n"/>
      <c r="C1531" s="13" t="n"/>
      <c r="D1531" s="14">
        <f>IF($C1531="","",IFERROR(IF(VLOOKUP($C1531,AcctTblE,4,0)="","(بدون نام)",VLOOKUP($C1531,AcctTblE,4,0)),"کد ناشناخته"))</f>
        <v/>
      </c>
      <c r="E1531" s="15" t="n"/>
      <c r="F1531" s="14">
        <f>IF($B1531="","",IFERROR(INDEX(WageDates,MATCH($B1531,WageIds,0)),"—"))</f>
        <v/>
      </c>
      <c r="G1531" s="14">
        <f>IF($B1531="","",IFERROR(VLOOKUP(INDEX(WageParty,MATCH($B1531,WageIds,0)),WGTbl,2,0),"—"))</f>
        <v/>
      </c>
      <c r="H1531" s="12" t="n"/>
    </row>
    <row r="1532">
      <c r="A1532" s="19">
        <f>IF($B1532="","",COUNTA($B$9:$B1532))</f>
        <v/>
      </c>
      <c r="B1532" s="12" t="n"/>
      <c r="C1532" s="13" t="n"/>
      <c r="D1532" s="20">
        <f>IF($C1532="","",IFERROR(IF(VLOOKUP($C1532,AcctTblE,4,0)="","(بدون نام)",VLOOKUP($C1532,AcctTblE,4,0)),"کد ناشناخته"))</f>
        <v/>
      </c>
      <c r="E1532" s="15" t="n"/>
      <c r="F1532" s="20">
        <f>IF($B1532="","",IFERROR(INDEX(WageDates,MATCH($B1532,WageIds,0)),"—"))</f>
        <v/>
      </c>
      <c r="G1532" s="20">
        <f>IF($B1532="","",IFERROR(VLOOKUP(INDEX(WageParty,MATCH($B1532,WageIds,0)),WGTbl,2,0),"—"))</f>
        <v/>
      </c>
      <c r="H1532" s="12" t="n"/>
    </row>
    <row r="1533">
      <c r="A1533" s="10">
        <f>IF($B1533="","",COUNTA($B$9:$B1533))</f>
        <v/>
      </c>
      <c r="B1533" s="12" t="n"/>
      <c r="C1533" s="13" t="n"/>
      <c r="D1533" s="14">
        <f>IF($C1533="","",IFERROR(IF(VLOOKUP($C1533,AcctTblE,4,0)="","(بدون نام)",VLOOKUP($C1533,AcctTblE,4,0)),"کد ناشناخته"))</f>
        <v/>
      </c>
      <c r="E1533" s="15" t="n"/>
      <c r="F1533" s="14">
        <f>IF($B1533="","",IFERROR(INDEX(WageDates,MATCH($B1533,WageIds,0)),"—"))</f>
        <v/>
      </c>
      <c r="G1533" s="14">
        <f>IF($B1533="","",IFERROR(VLOOKUP(INDEX(WageParty,MATCH($B1533,WageIds,0)),WGTbl,2,0),"—"))</f>
        <v/>
      </c>
      <c r="H1533" s="12" t="n"/>
    </row>
    <row r="1534">
      <c r="A1534" s="19">
        <f>IF($B1534="","",COUNTA($B$9:$B1534))</f>
        <v/>
      </c>
      <c r="B1534" s="12" t="n"/>
      <c r="C1534" s="13" t="n"/>
      <c r="D1534" s="20">
        <f>IF($C1534="","",IFERROR(IF(VLOOKUP($C1534,AcctTblE,4,0)="","(بدون نام)",VLOOKUP($C1534,AcctTblE,4,0)),"کد ناشناخته"))</f>
        <v/>
      </c>
      <c r="E1534" s="15" t="n"/>
      <c r="F1534" s="20">
        <f>IF($B1534="","",IFERROR(INDEX(WageDates,MATCH($B1534,WageIds,0)),"—"))</f>
        <v/>
      </c>
      <c r="G1534" s="20">
        <f>IF($B1534="","",IFERROR(VLOOKUP(INDEX(WageParty,MATCH($B1534,WageIds,0)),WGTbl,2,0),"—"))</f>
        <v/>
      </c>
      <c r="H1534" s="12" t="n"/>
    </row>
    <row r="1535">
      <c r="A1535" s="10">
        <f>IF($B1535="","",COUNTA($B$9:$B1535))</f>
        <v/>
      </c>
      <c r="B1535" s="12" t="n"/>
      <c r="C1535" s="13" t="n"/>
      <c r="D1535" s="14">
        <f>IF($C1535="","",IFERROR(IF(VLOOKUP($C1535,AcctTblE,4,0)="","(بدون نام)",VLOOKUP($C1535,AcctTblE,4,0)),"کد ناشناخته"))</f>
        <v/>
      </c>
      <c r="E1535" s="15" t="n"/>
      <c r="F1535" s="14">
        <f>IF($B1535="","",IFERROR(INDEX(WageDates,MATCH($B1535,WageIds,0)),"—"))</f>
        <v/>
      </c>
      <c r="G1535" s="14">
        <f>IF($B1535="","",IFERROR(VLOOKUP(INDEX(WageParty,MATCH($B1535,WageIds,0)),WGTbl,2,0),"—"))</f>
        <v/>
      </c>
      <c r="H1535" s="12" t="n"/>
    </row>
    <row r="1536">
      <c r="A1536" s="19">
        <f>IF($B1536="","",COUNTA($B$9:$B1536))</f>
        <v/>
      </c>
      <c r="B1536" s="12" t="n"/>
      <c r="C1536" s="13" t="n"/>
      <c r="D1536" s="20">
        <f>IF($C1536="","",IFERROR(IF(VLOOKUP($C1536,AcctTblE,4,0)="","(بدون نام)",VLOOKUP($C1536,AcctTblE,4,0)),"کد ناشناخته"))</f>
        <v/>
      </c>
      <c r="E1536" s="15" t="n"/>
      <c r="F1536" s="20">
        <f>IF($B1536="","",IFERROR(INDEX(WageDates,MATCH($B1536,WageIds,0)),"—"))</f>
        <v/>
      </c>
      <c r="G1536" s="20">
        <f>IF($B1536="","",IFERROR(VLOOKUP(INDEX(WageParty,MATCH($B1536,WageIds,0)),WGTbl,2,0),"—"))</f>
        <v/>
      </c>
      <c r="H1536" s="12" t="n"/>
    </row>
    <row r="1537">
      <c r="A1537" s="10">
        <f>IF($B1537="","",COUNTA($B$9:$B1537))</f>
        <v/>
      </c>
      <c r="B1537" s="12" t="n"/>
      <c r="C1537" s="13" t="n"/>
      <c r="D1537" s="14">
        <f>IF($C1537="","",IFERROR(IF(VLOOKUP($C1537,AcctTblE,4,0)="","(بدون نام)",VLOOKUP($C1537,AcctTblE,4,0)),"کد ناشناخته"))</f>
        <v/>
      </c>
      <c r="E1537" s="15" t="n"/>
      <c r="F1537" s="14">
        <f>IF($B1537="","",IFERROR(INDEX(WageDates,MATCH($B1537,WageIds,0)),"—"))</f>
        <v/>
      </c>
      <c r="G1537" s="14">
        <f>IF($B1537="","",IFERROR(VLOOKUP(INDEX(WageParty,MATCH($B1537,WageIds,0)),WGTbl,2,0),"—"))</f>
        <v/>
      </c>
      <c r="H1537" s="12" t="n"/>
    </row>
    <row r="1538">
      <c r="A1538" s="19">
        <f>IF($B1538="","",COUNTA($B$9:$B1538))</f>
        <v/>
      </c>
      <c r="B1538" s="12" t="n"/>
      <c r="C1538" s="13" t="n"/>
      <c r="D1538" s="20">
        <f>IF($C1538="","",IFERROR(IF(VLOOKUP($C1538,AcctTblE,4,0)="","(بدون نام)",VLOOKUP($C1538,AcctTblE,4,0)),"کد ناشناخته"))</f>
        <v/>
      </c>
      <c r="E1538" s="15" t="n"/>
      <c r="F1538" s="20">
        <f>IF($B1538="","",IFERROR(INDEX(WageDates,MATCH($B1538,WageIds,0)),"—"))</f>
        <v/>
      </c>
      <c r="G1538" s="20">
        <f>IF($B1538="","",IFERROR(VLOOKUP(INDEX(WageParty,MATCH($B1538,WageIds,0)),WGTbl,2,0),"—"))</f>
        <v/>
      </c>
      <c r="H1538" s="12" t="n"/>
    </row>
    <row r="1539">
      <c r="A1539" s="10">
        <f>IF($B1539="","",COUNTA($B$9:$B1539))</f>
        <v/>
      </c>
      <c r="B1539" s="12" t="n"/>
      <c r="C1539" s="13" t="n"/>
      <c r="D1539" s="14">
        <f>IF($C1539="","",IFERROR(IF(VLOOKUP($C1539,AcctTblE,4,0)="","(بدون نام)",VLOOKUP($C1539,AcctTblE,4,0)),"کد ناشناخته"))</f>
        <v/>
      </c>
      <c r="E1539" s="15" t="n"/>
      <c r="F1539" s="14">
        <f>IF($B1539="","",IFERROR(INDEX(WageDates,MATCH($B1539,WageIds,0)),"—"))</f>
        <v/>
      </c>
      <c r="G1539" s="14">
        <f>IF($B1539="","",IFERROR(VLOOKUP(INDEX(WageParty,MATCH($B1539,WageIds,0)),WGTbl,2,0),"—"))</f>
        <v/>
      </c>
      <c r="H1539" s="12" t="n"/>
    </row>
    <row r="1540">
      <c r="A1540" s="19">
        <f>IF($B1540="","",COUNTA($B$9:$B1540))</f>
        <v/>
      </c>
      <c r="B1540" s="12" t="n"/>
      <c r="C1540" s="13" t="n"/>
      <c r="D1540" s="20">
        <f>IF($C1540="","",IFERROR(IF(VLOOKUP($C1540,AcctTblE,4,0)="","(بدون نام)",VLOOKUP($C1540,AcctTblE,4,0)),"کد ناشناخته"))</f>
        <v/>
      </c>
      <c r="E1540" s="15" t="n"/>
      <c r="F1540" s="20">
        <f>IF($B1540="","",IFERROR(INDEX(WageDates,MATCH($B1540,WageIds,0)),"—"))</f>
        <v/>
      </c>
      <c r="G1540" s="20">
        <f>IF($B1540="","",IFERROR(VLOOKUP(INDEX(WageParty,MATCH($B1540,WageIds,0)),WGTbl,2,0),"—"))</f>
        <v/>
      </c>
      <c r="H1540" s="12" t="n"/>
    </row>
    <row r="1541">
      <c r="A1541" s="10">
        <f>IF($B1541="","",COUNTA($B$9:$B1541))</f>
        <v/>
      </c>
      <c r="B1541" s="12" t="n"/>
      <c r="C1541" s="13" t="n"/>
      <c r="D1541" s="14">
        <f>IF($C1541="","",IFERROR(IF(VLOOKUP($C1541,AcctTblE,4,0)="","(بدون نام)",VLOOKUP($C1541,AcctTblE,4,0)),"کد ناشناخته"))</f>
        <v/>
      </c>
      <c r="E1541" s="15" t="n"/>
      <c r="F1541" s="14">
        <f>IF($B1541="","",IFERROR(INDEX(WageDates,MATCH($B1541,WageIds,0)),"—"))</f>
        <v/>
      </c>
      <c r="G1541" s="14">
        <f>IF($B1541="","",IFERROR(VLOOKUP(INDEX(WageParty,MATCH($B1541,WageIds,0)),WGTbl,2,0),"—"))</f>
        <v/>
      </c>
      <c r="H1541" s="12" t="n"/>
    </row>
    <row r="1542">
      <c r="A1542" s="19">
        <f>IF($B1542="","",COUNTA($B$9:$B1542))</f>
        <v/>
      </c>
      <c r="B1542" s="12" t="n"/>
      <c r="C1542" s="13" t="n"/>
      <c r="D1542" s="20">
        <f>IF($C1542="","",IFERROR(IF(VLOOKUP($C1542,AcctTblE,4,0)="","(بدون نام)",VLOOKUP($C1542,AcctTblE,4,0)),"کد ناشناخته"))</f>
        <v/>
      </c>
      <c r="E1542" s="15" t="n"/>
      <c r="F1542" s="20">
        <f>IF($B1542="","",IFERROR(INDEX(WageDates,MATCH($B1542,WageIds,0)),"—"))</f>
        <v/>
      </c>
      <c r="G1542" s="20">
        <f>IF($B1542="","",IFERROR(VLOOKUP(INDEX(WageParty,MATCH($B1542,WageIds,0)),WGTbl,2,0),"—"))</f>
        <v/>
      </c>
      <c r="H1542" s="12" t="n"/>
    </row>
    <row r="1543">
      <c r="A1543" s="10">
        <f>IF($B1543="","",COUNTA($B$9:$B1543))</f>
        <v/>
      </c>
      <c r="B1543" s="12" t="n"/>
      <c r="C1543" s="13" t="n"/>
      <c r="D1543" s="14">
        <f>IF($C1543="","",IFERROR(IF(VLOOKUP($C1543,AcctTblE,4,0)="","(بدون نام)",VLOOKUP($C1543,AcctTblE,4,0)),"کد ناشناخته"))</f>
        <v/>
      </c>
      <c r="E1543" s="15" t="n"/>
      <c r="F1543" s="14">
        <f>IF($B1543="","",IFERROR(INDEX(WageDates,MATCH($B1543,WageIds,0)),"—"))</f>
        <v/>
      </c>
      <c r="G1543" s="14">
        <f>IF($B1543="","",IFERROR(VLOOKUP(INDEX(WageParty,MATCH($B1543,WageIds,0)),WGTbl,2,0),"—"))</f>
        <v/>
      </c>
      <c r="H1543" s="12" t="n"/>
    </row>
    <row r="1544">
      <c r="A1544" s="19">
        <f>IF($B1544="","",COUNTA($B$9:$B1544))</f>
        <v/>
      </c>
      <c r="B1544" s="12" t="n"/>
      <c r="C1544" s="13" t="n"/>
      <c r="D1544" s="20">
        <f>IF($C1544="","",IFERROR(IF(VLOOKUP($C1544,AcctTblE,4,0)="","(بدون نام)",VLOOKUP($C1544,AcctTblE,4,0)),"کد ناشناخته"))</f>
        <v/>
      </c>
      <c r="E1544" s="15" t="n"/>
      <c r="F1544" s="20">
        <f>IF($B1544="","",IFERROR(INDEX(WageDates,MATCH($B1544,WageIds,0)),"—"))</f>
        <v/>
      </c>
      <c r="G1544" s="20">
        <f>IF($B1544="","",IFERROR(VLOOKUP(INDEX(WageParty,MATCH($B1544,WageIds,0)),WGTbl,2,0),"—"))</f>
        <v/>
      </c>
      <c r="H1544" s="12" t="n"/>
    </row>
    <row r="1545">
      <c r="A1545" s="10">
        <f>IF($B1545="","",COUNTA($B$9:$B1545))</f>
        <v/>
      </c>
      <c r="B1545" s="12" t="n"/>
      <c r="C1545" s="13" t="n"/>
      <c r="D1545" s="14">
        <f>IF($C1545="","",IFERROR(IF(VLOOKUP($C1545,AcctTblE,4,0)="","(بدون نام)",VLOOKUP($C1545,AcctTblE,4,0)),"کد ناشناخته"))</f>
        <v/>
      </c>
      <c r="E1545" s="15" t="n"/>
      <c r="F1545" s="14">
        <f>IF($B1545="","",IFERROR(INDEX(WageDates,MATCH($B1545,WageIds,0)),"—"))</f>
        <v/>
      </c>
      <c r="G1545" s="14">
        <f>IF($B1545="","",IFERROR(VLOOKUP(INDEX(WageParty,MATCH($B1545,WageIds,0)),WGTbl,2,0),"—"))</f>
        <v/>
      </c>
      <c r="H1545" s="12" t="n"/>
    </row>
    <row r="1546">
      <c r="A1546" s="19">
        <f>IF($B1546="","",COUNTA($B$9:$B1546))</f>
        <v/>
      </c>
      <c r="B1546" s="12" t="n"/>
      <c r="C1546" s="13" t="n"/>
      <c r="D1546" s="20">
        <f>IF($C1546="","",IFERROR(IF(VLOOKUP($C1546,AcctTblE,4,0)="","(بدون نام)",VLOOKUP($C1546,AcctTblE,4,0)),"کد ناشناخته"))</f>
        <v/>
      </c>
      <c r="E1546" s="15" t="n"/>
      <c r="F1546" s="20">
        <f>IF($B1546="","",IFERROR(INDEX(WageDates,MATCH($B1546,WageIds,0)),"—"))</f>
        <v/>
      </c>
      <c r="G1546" s="20">
        <f>IF($B1546="","",IFERROR(VLOOKUP(INDEX(WageParty,MATCH($B1546,WageIds,0)),WGTbl,2,0),"—"))</f>
        <v/>
      </c>
      <c r="H1546" s="12" t="n"/>
    </row>
    <row r="1547">
      <c r="A1547" s="10">
        <f>IF($B1547="","",COUNTA($B$9:$B1547))</f>
        <v/>
      </c>
      <c r="B1547" s="12" t="n"/>
      <c r="C1547" s="13" t="n"/>
      <c r="D1547" s="14">
        <f>IF($C1547="","",IFERROR(IF(VLOOKUP($C1547,AcctTblE,4,0)="","(بدون نام)",VLOOKUP($C1547,AcctTblE,4,0)),"کد ناشناخته"))</f>
        <v/>
      </c>
      <c r="E1547" s="15" t="n"/>
      <c r="F1547" s="14">
        <f>IF($B1547="","",IFERROR(INDEX(WageDates,MATCH($B1547,WageIds,0)),"—"))</f>
        <v/>
      </c>
      <c r="G1547" s="14">
        <f>IF($B1547="","",IFERROR(VLOOKUP(INDEX(WageParty,MATCH($B1547,WageIds,0)),WGTbl,2,0),"—"))</f>
        <v/>
      </c>
      <c r="H1547" s="12" t="n"/>
    </row>
    <row r="1548">
      <c r="A1548" s="19">
        <f>IF($B1548="","",COUNTA($B$9:$B1548))</f>
        <v/>
      </c>
      <c r="B1548" s="12" t="n"/>
      <c r="C1548" s="13" t="n"/>
      <c r="D1548" s="20">
        <f>IF($C1548="","",IFERROR(IF(VLOOKUP($C1548,AcctTblE,4,0)="","(بدون نام)",VLOOKUP($C1548,AcctTblE,4,0)),"کد ناشناخته"))</f>
        <v/>
      </c>
      <c r="E1548" s="15" t="n"/>
      <c r="F1548" s="20">
        <f>IF($B1548="","",IFERROR(INDEX(WageDates,MATCH($B1548,WageIds,0)),"—"))</f>
        <v/>
      </c>
      <c r="G1548" s="20">
        <f>IF($B1548="","",IFERROR(VLOOKUP(INDEX(WageParty,MATCH($B1548,WageIds,0)),WGTbl,2,0),"—"))</f>
        <v/>
      </c>
      <c r="H1548" s="12" t="n"/>
    </row>
    <row r="1549">
      <c r="A1549" s="10">
        <f>IF($B1549="","",COUNTA($B$9:$B1549))</f>
        <v/>
      </c>
      <c r="B1549" s="12" t="n"/>
      <c r="C1549" s="13" t="n"/>
      <c r="D1549" s="14">
        <f>IF($C1549="","",IFERROR(IF(VLOOKUP($C1549,AcctTblE,4,0)="","(بدون نام)",VLOOKUP($C1549,AcctTblE,4,0)),"کد ناشناخته"))</f>
        <v/>
      </c>
      <c r="E1549" s="15" t="n"/>
      <c r="F1549" s="14">
        <f>IF($B1549="","",IFERROR(INDEX(WageDates,MATCH($B1549,WageIds,0)),"—"))</f>
        <v/>
      </c>
      <c r="G1549" s="14">
        <f>IF($B1549="","",IFERROR(VLOOKUP(INDEX(WageParty,MATCH($B1549,WageIds,0)),WGTbl,2,0),"—"))</f>
        <v/>
      </c>
      <c r="H1549" s="12" t="n"/>
    </row>
    <row r="1550">
      <c r="A1550" s="19">
        <f>IF($B1550="","",COUNTA($B$9:$B1550))</f>
        <v/>
      </c>
      <c r="B1550" s="12" t="n"/>
      <c r="C1550" s="13" t="n"/>
      <c r="D1550" s="20">
        <f>IF($C1550="","",IFERROR(IF(VLOOKUP($C1550,AcctTblE,4,0)="","(بدون نام)",VLOOKUP($C1550,AcctTblE,4,0)),"کد ناشناخته"))</f>
        <v/>
      </c>
      <c r="E1550" s="15" t="n"/>
      <c r="F1550" s="20">
        <f>IF($B1550="","",IFERROR(INDEX(WageDates,MATCH($B1550,WageIds,0)),"—"))</f>
        <v/>
      </c>
      <c r="G1550" s="20">
        <f>IF($B1550="","",IFERROR(VLOOKUP(INDEX(WageParty,MATCH($B1550,WageIds,0)),WGTbl,2,0),"—"))</f>
        <v/>
      </c>
      <c r="H1550" s="12" t="n"/>
    </row>
    <row r="1551">
      <c r="A1551" s="10">
        <f>IF($B1551="","",COUNTA($B$9:$B1551))</f>
        <v/>
      </c>
      <c r="B1551" s="12" t="n"/>
      <c r="C1551" s="13" t="n"/>
      <c r="D1551" s="14">
        <f>IF($C1551="","",IFERROR(IF(VLOOKUP($C1551,AcctTblE,4,0)="","(بدون نام)",VLOOKUP($C1551,AcctTblE,4,0)),"کد ناشناخته"))</f>
        <v/>
      </c>
      <c r="E1551" s="15" t="n"/>
      <c r="F1551" s="14">
        <f>IF($B1551="","",IFERROR(INDEX(WageDates,MATCH($B1551,WageIds,0)),"—"))</f>
        <v/>
      </c>
      <c r="G1551" s="14">
        <f>IF($B1551="","",IFERROR(VLOOKUP(INDEX(WageParty,MATCH($B1551,WageIds,0)),WGTbl,2,0),"—"))</f>
        <v/>
      </c>
      <c r="H1551" s="12" t="n"/>
    </row>
    <row r="1552">
      <c r="A1552" s="19">
        <f>IF($B1552="","",COUNTA($B$9:$B1552))</f>
        <v/>
      </c>
      <c r="B1552" s="12" t="n"/>
      <c r="C1552" s="13" t="n"/>
      <c r="D1552" s="20">
        <f>IF($C1552="","",IFERROR(IF(VLOOKUP($C1552,AcctTblE,4,0)="","(بدون نام)",VLOOKUP($C1552,AcctTblE,4,0)),"کد ناشناخته"))</f>
        <v/>
      </c>
      <c r="E1552" s="15" t="n"/>
      <c r="F1552" s="20">
        <f>IF($B1552="","",IFERROR(INDEX(WageDates,MATCH($B1552,WageIds,0)),"—"))</f>
        <v/>
      </c>
      <c r="G1552" s="20">
        <f>IF($B1552="","",IFERROR(VLOOKUP(INDEX(WageParty,MATCH($B1552,WageIds,0)),WGTbl,2,0),"—"))</f>
        <v/>
      </c>
      <c r="H1552" s="12" t="n"/>
    </row>
    <row r="1553">
      <c r="A1553" s="10">
        <f>IF($B1553="","",COUNTA($B$9:$B1553))</f>
        <v/>
      </c>
      <c r="B1553" s="12" t="n"/>
      <c r="C1553" s="13" t="n"/>
      <c r="D1553" s="14">
        <f>IF($C1553="","",IFERROR(IF(VLOOKUP($C1553,AcctTblE,4,0)="","(بدون نام)",VLOOKUP($C1553,AcctTblE,4,0)),"کد ناشناخته"))</f>
        <v/>
      </c>
      <c r="E1553" s="15" t="n"/>
      <c r="F1553" s="14">
        <f>IF($B1553="","",IFERROR(INDEX(WageDates,MATCH($B1553,WageIds,0)),"—"))</f>
        <v/>
      </c>
      <c r="G1553" s="14">
        <f>IF($B1553="","",IFERROR(VLOOKUP(INDEX(WageParty,MATCH($B1553,WageIds,0)),WGTbl,2,0),"—"))</f>
        <v/>
      </c>
      <c r="H1553" s="12" t="n"/>
    </row>
    <row r="1554">
      <c r="A1554" s="19">
        <f>IF($B1554="","",COUNTA($B$9:$B1554))</f>
        <v/>
      </c>
      <c r="B1554" s="12" t="n"/>
      <c r="C1554" s="13" t="n"/>
      <c r="D1554" s="20">
        <f>IF($C1554="","",IFERROR(IF(VLOOKUP($C1554,AcctTblE,4,0)="","(بدون نام)",VLOOKUP($C1554,AcctTblE,4,0)),"کد ناشناخته"))</f>
        <v/>
      </c>
      <c r="E1554" s="15" t="n"/>
      <c r="F1554" s="20">
        <f>IF($B1554="","",IFERROR(INDEX(WageDates,MATCH($B1554,WageIds,0)),"—"))</f>
        <v/>
      </c>
      <c r="G1554" s="20">
        <f>IF($B1554="","",IFERROR(VLOOKUP(INDEX(WageParty,MATCH($B1554,WageIds,0)),WGTbl,2,0),"—"))</f>
        <v/>
      </c>
      <c r="H1554" s="12" t="n"/>
    </row>
    <row r="1555">
      <c r="A1555" s="10">
        <f>IF($B1555="","",COUNTA($B$9:$B1555))</f>
        <v/>
      </c>
      <c r="B1555" s="12" t="n"/>
      <c r="C1555" s="13" t="n"/>
      <c r="D1555" s="14">
        <f>IF($C1555="","",IFERROR(IF(VLOOKUP($C1555,AcctTblE,4,0)="","(بدون نام)",VLOOKUP($C1555,AcctTblE,4,0)),"کد ناشناخته"))</f>
        <v/>
      </c>
      <c r="E1555" s="15" t="n"/>
      <c r="F1555" s="14">
        <f>IF($B1555="","",IFERROR(INDEX(WageDates,MATCH($B1555,WageIds,0)),"—"))</f>
        <v/>
      </c>
      <c r="G1555" s="14">
        <f>IF($B1555="","",IFERROR(VLOOKUP(INDEX(WageParty,MATCH($B1555,WageIds,0)),WGTbl,2,0),"—"))</f>
        <v/>
      </c>
      <c r="H1555" s="12" t="n"/>
    </row>
    <row r="1556">
      <c r="A1556" s="19">
        <f>IF($B1556="","",COUNTA($B$9:$B1556))</f>
        <v/>
      </c>
      <c r="B1556" s="12" t="n"/>
      <c r="C1556" s="13" t="n"/>
      <c r="D1556" s="20">
        <f>IF($C1556="","",IFERROR(IF(VLOOKUP($C1556,AcctTblE,4,0)="","(بدون نام)",VLOOKUP($C1556,AcctTblE,4,0)),"کد ناشناخته"))</f>
        <v/>
      </c>
      <c r="E1556" s="15" t="n"/>
      <c r="F1556" s="20">
        <f>IF($B1556="","",IFERROR(INDEX(WageDates,MATCH($B1556,WageIds,0)),"—"))</f>
        <v/>
      </c>
      <c r="G1556" s="20">
        <f>IF($B1556="","",IFERROR(VLOOKUP(INDEX(WageParty,MATCH($B1556,WageIds,0)),WGTbl,2,0),"—"))</f>
        <v/>
      </c>
      <c r="H1556" s="12" t="n"/>
    </row>
    <row r="1557">
      <c r="A1557" s="10">
        <f>IF($B1557="","",COUNTA($B$9:$B1557))</f>
        <v/>
      </c>
      <c r="B1557" s="12" t="n"/>
      <c r="C1557" s="13" t="n"/>
      <c r="D1557" s="14">
        <f>IF($C1557="","",IFERROR(IF(VLOOKUP($C1557,AcctTblE,4,0)="","(بدون نام)",VLOOKUP($C1557,AcctTblE,4,0)),"کد ناشناخته"))</f>
        <v/>
      </c>
      <c r="E1557" s="15" t="n"/>
      <c r="F1557" s="14">
        <f>IF($B1557="","",IFERROR(INDEX(WageDates,MATCH($B1557,WageIds,0)),"—"))</f>
        <v/>
      </c>
      <c r="G1557" s="14">
        <f>IF($B1557="","",IFERROR(VLOOKUP(INDEX(WageParty,MATCH($B1557,WageIds,0)),WGTbl,2,0),"—"))</f>
        <v/>
      </c>
      <c r="H1557" s="12" t="n"/>
    </row>
    <row r="1558">
      <c r="A1558" s="19">
        <f>IF($B1558="","",COUNTA($B$9:$B1558))</f>
        <v/>
      </c>
      <c r="B1558" s="12" t="n"/>
      <c r="C1558" s="13" t="n"/>
      <c r="D1558" s="20">
        <f>IF($C1558="","",IFERROR(IF(VLOOKUP($C1558,AcctTblE,4,0)="","(بدون نام)",VLOOKUP($C1558,AcctTblE,4,0)),"کد ناشناخته"))</f>
        <v/>
      </c>
      <c r="E1558" s="15" t="n"/>
      <c r="F1558" s="20">
        <f>IF($B1558="","",IFERROR(INDEX(WageDates,MATCH($B1558,WageIds,0)),"—"))</f>
        <v/>
      </c>
      <c r="G1558" s="20">
        <f>IF($B1558="","",IFERROR(VLOOKUP(INDEX(WageParty,MATCH($B1558,WageIds,0)),WGTbl,2,0),"—"))</f>
        <v/>
      </c>
      <c r="H1558" s="12" t="n"/>
    </row>
    <row r="1559">
      <c r="A1559" s="10">
        <f>IF($B1559="","",COUNTA($B$9:$B1559))</f>
        <v/>
      </c>
      <c r="B1559" s="12" t="n"/>
      <c r="C1559" s="13" t="n"/>
      <c r="D1559" s="14">
        <f>IF($C1559="","",IFERROR(IF(VLOOKUP($C1559,AcctTblE,4,0)="","(بدون نام)",VLOOKUP($C1559,AcctTblE,4,0)),"کد ناشناخته"))</f>
        <v/>
      </c>
      <c r="E1559" s="15" t="n"/>
      <c r="F1559" s="14">
        <f>IF($B1559="","",IFERROR(INDEX(WageDates,MATCH($B1559,WageIds,0)),"—"))</f>
        <v/>
      </c>
      <c r="G1559" s="14">
        <f>IF($B1559="","",IFERROR(VLOOKUP(INDEX(WageParty,MATCH($B1559,WageIds,0)),WGTbl,2,0),"—"))</f>
        <v/>
      </c>
      <c r="H1559" s="12" t="n"/>
    </row>
    <row r="1560">
      <c r="A1560" s="19">
        <f>IF($B1560="","",COUNTA($B$9:$B1560))</f>
        <v/>
      </c>
      <c r="B1560" s="12" t="n"/>
      <c r="C1560" s="13" t="n"/>
      <c r="D1560" s="20">
        <f>IF($C1560="","",IFERROR(IF(VLOOKUP($C1560,AcctTblE,4,0)="","(بدون نام)",VLOOKUP($C1560,AcctTblE,4,0)),"کد ناشناخته"))</f>
        <v/>
      </c>
      <c r="E1560" s="15" t="n"/>
      <c r="F1560" s="20">
        <f>IF($B1560="","",IFERROR(INDEX(WageDates,MATCH($B1560,WageIds,0)),"—"))</f>
        <v/>
      </c>
      <c r="G1560" s="20">
        <f>IF($B1560="","",IFERROR(VLOOKUP(INDEX(WageParty,MATCH($B1560,WageIds,0)),WGTbl,2,0),"—"))</f>
        <v/>
      </c>
      <c r="H1560" s="12" t="n"/>
    </row>
    <row r="1561">
      <c r="A1561" s="10">
        <f>IF($B1561="","",COUNTA($B$9:$B1561))</f>
        <v/>
      </c>
      <c r="B1561" s="12" t="n"/>
      <c r="C1561" s="13" t="n"/>
      <c r="D1561" s="14">
        <f>IF($C1561="","",IFERROR(IF(VLOOKUP($C1561,AcctTblE,4,0)="","(بدون نام)",VLOOKUP($C1561,AcctTblE,4,0)),"کد ناشناخته"))</f>
        <v/>
      </c>
      <c r="E1561" s="15" t="n"/>
      <c r="F1561" s="14">
        <f>IF($B1561="","",IFERROR(INDEX(WageDates,MATCH($B1561,WageIds,0)),"—"))</f>
        <v/>
      </c>
      <c r="G1561" s="14">
        <f>IF($B1561="","",IFERROR(VLOOKUP(INDEX(WageParty,MATCH($B1561,WageIds,0)),WGTbl,2,0),"—"))</f>
        <v/>
      </c>
      <c r="H1561" s="12" t="n"/>
    </row>
    <row r="1562">
      <c r="A1562" s="19">
        <f>IF($B1562="","",COUNTA($B$9:$B1562))</f>
        <v/>
      </c>
      <c r="B1562" s="12" t="n"/>
      <c r="C1562" s="13" t="n"/>
      <c r="D1562" s="20">
        <f>IF($C1562="","",IFERROR(IF(VLOOKUP($C1562,AcctTblE,4,0)="","(بدون نام)",VLOOKUP($C1562,AcctTblE,4,0)),"کد ناشناخته"))</f>
        <v/>
      </c>
      <c r="E1562" s="15" t="n"/>
      <c r="F1562" s="20">
        <f>IF($B1562="","",IFERROR(INDEX(WageDates,MATCH($B1562,WageIds,0)),"—"))</f>
        <v/>
      </c>
      <c r="G1562" s="20">
        <f>IF($B1562="","",IFERROR(VLOOKUP(INDEX(WageParty,MATCH($B1562,WageIds,0)),WGTbl,2,0),"—"))</f>
        <v/>
      </c>
      <c r="H1562" s="12" t="n"/>
    </row>
    <row r="1563">
      <c r="A1563" s="10">
        <f>IF($B1563="","",COUNTA($B$9:$B1563))</f>
        <v/>
      </c>
      <c r="B1563" s="12" t="n"/>
      <c r="C1563" s="13" t="n"/>
      <c r="D1563" s="14">
        <f>IF($C1563="","",IFERROR(IF(VLOOKUP($C1563,AcctTblE,4,0)="","(بدون نام)",VLOOKUP($C1563,AcctTblE,4,0)),"کد ناشناخته"))</f>
        <v/>
      </c>
      <c r="E1563" s="15" t="n"/>
      <c r="F1563" s="14">
        <f>IF($B1563="","",IFERROR(INDEX(WageDates,MATCH($B1563,WageIds,0)),"—"))</f>
        <v/>
      </c>
      <c r="G1563" s="14">
        <f>IF($B1563="","",IFERROR(VLOOKUP(INDEX(WageParty,MATCH($B1563,WageIds,0)),WGTbl,2,0),"—"))</f>
        <v/>
      </c>
      <c r="H1563" s="12" t="n"/>
    </row>
    <row r="1564">
      <c r="A1564" s="19">
        <f>IF($B1564="","",COUNTA($B$9:$B1564))</f>
        <v/>
      </c>
      <c r="B1564" s="12" t="n"/>
      <c r="C1564" s="13" t="n"/>
      <c r="D1564" s="20">
        <f>IF($C1564="","",IFERROR(IF(VLOOKUP($C1564,AcctTblE,4,0)="","(بدون نام)",VLOOKUP($C1564,AcctTblE,4,0)),"کد ناشناخته"))</f>
        <v/>
      </c>
      <c r="E1564" s="15" t="n"/>
      <c r="F1564" s="20">
        <f>IF($B1564="","",IFERROR(INDEX(WageDates,MATCH($B1564,WageIds,0)),"—"))</f>
        <v/>
      </c>
      <c r="G1564" s="20">
        <f>IF($B1564="","",IFERROR(VLOOKUP(INDEX(WageParty,MATCH($B1564,WageIds,0)),WGTbl,2,0),"—"))</f>
        <v/>
      </c>
      <c r="H1564" s="12" t="n"/>
    </row>
    <row r="1565">
      <c r="A1565" s="10">
        <f>IF($B1565="","",COUNTA($B$9:$B1565))</f>
        <v/>
      </c>
      <c r="B1565" s="12" t="n"/>
      <c r="C1565" s="13" t="n"/>
      <c r="D1565" s="14">
        <f>IF($C1565="","",IFERROR(IF(VLOOKUP($C1565,AcctTblE,4,0)="","(بدون نام)",VLOOKUP($C1565,AcctTblE,4,0)),"کد ناشناخته"))</f>
        <v/>
      </c>
      <c r="E1565" s="15" t="n"/>
      <c r="F1565" s="14">
        <f>IF($B1565="","",IFERROR(INDEX(WageDates,MATCH($B1565,WageIds,0)),"—"))</f>
        <v/>
      </c>
      <c r="G1565" s="14">
        <f>IF($B1565="","",IFERROR(VLOOKUP(INDEX(WageParty,MATCH($B1565,WageIds,0)),WGTbl,2,0),"—"))</f>
        <v/>
      </c>
      <c r="H1565" s="12" t="n"/>
    </row>
    <row r="1566">
      <c r="A1566" s="19">
        <f>IF($B1566="","",COUNTA($B$9:$B1566))</f>
        <v/>
      </c>
      <c r="B1566" s="12" t="n"/>
      <c r="C1566" s="13" t="n"/>
      <c r="D1566" s="20">
        <f>IF($C1566="","",IFERROR(IF(VLOOKUP($C1566,AcctTblE,4,0)="","(بدون نام)",VLOOKUP($C1566,AcctTblE,4,0)),"کد ناشناخته"))</f>
        <v/>
      </c>
      <c r="E1566" s="15" t="n"/>
      <c r="F1566" s="20">
        <f>IF($B1566="","",IFERROR(INDEX(WageDates,MATCH($B1566,WageIds,0)),"—"))</f>
        <v/>
      </c>
      <c r="G1566" s="20">
        <f>IF($B1566="","",IFERROR(VLOOKUP(INDEX(WageParty,MATCH($B1566,WageIds,0)),WGTbl,2,0),"—"))</f>
        <v/>
      </c>
      <c r="H1566" s="12" t="n"/>
    </row>
    <row r="1567">
      <c r="A1567" s="10">
        <f>IF($B1567="","",COUNTA($B$9:$B1567))</f>
        <v/>
      </c>
      <c r="B1567" s="12" t="n"/>
      <c r="C1567" s="13" t="n"/>
      <c r="D1567" s="14">
        <f>IF($C1567="","",IFERROR(IF(VLOOKUP($C1567,AcctTblE,4,0)="","(بدون نام)",VLOOKUP($C1567,AcctTblE,4,0)),"کد ناشناخته"))</f>
        <v/>
      </c>
      <c r="E1567" s="15" t="n"/>
      <c r="F1567" s="14">
        <f>IF($B1567="","",IFERROR(INDEX(WageDates,MATCH($B1567,WageIds,0)),"—"))</f>
        <v/>
      </c>
      <c r="G1567" s="14">
        <f>IF($B1567="","",IFERROR(VLOOKUP(INDEX(WageParty,MATCH($B1567,WageIds,0)),WGTbl,2,0),"—"))</f>
        <v/>
      </c>
      <c r="H1567" s="12" t="n"/>
    </row>
    <row r="1568">
      <c r="A1568" s="19">
        <f>IF($B1568="","",COUNTA($B$9:$B1568))</f>
        <v/>
      </c>
      <c r="B1568" s="12" t="n"/>
      <c r="C1568" s="13" t="n"/>
      <c r="D1568" s="20">
        <f>IF($C1568="","",IFERROR(IF(VLOOKUP($C1568,AcctTblE,4,0)="","(بدون نام)",VLOOKUP($C1568,AcctTblE,4,0)),"کد ناشناخته"))</f>
        <v/>
      </c>
      <c r="E1568" s="15" t="n"/>
      <c r="F1568" s="20">
        <f>IF($B1568="","",IFERROR(INDEX(WageDates,MATCH($B1568,WageIds,0)),"—"))</f>
        <v/>
      </c>
      <c r="G1568" s="20">
        <f>IF($B1568="","",IFERROR(VLOOKUP(INDEX(WageParty,MATCH($B1568,WageIds,0)),WGTbl,2,0),"—"))</f>
        <v/>
      </c>
      <c r="H1568" s="12" t="n"/>
    </row>
    <row r="1569">
      <c r="A1569" s="10">
        <f>IF($B1569="","",COUNTA($B$9:$B1569))</f>
        <v/>
      </c>
      <c r="B1569" s="12" t="n"/>
      <c r="C1569" s="13" t="n"/>
      <c r="D1569" s="14">
        <f>IF($C1569="","",IFERROR(IF(VLOOKUP($C1569,AcctTblE,4,0)="","(بدون نام)",VLOOKUP($C1569,AcctTblE,4,0)),"کد ناشناخته"))</f>
        <v/>
      </c>
      <c r="E1569" s="15" t="n"/>
      <c r="F1569" s="14">
        <f>IF($B1569="","",IFERROR(INDEX(WageDates,MATCH($B1569,WageIds,0)),"—"))</f>
        <v/>
      </c>
      <c r="G1569" s="14">
        <f>IF($B1569="","",IFERROR(VLOOKUP(INDEX(WageParty,MATCH($B1569,WageIds,0)),WGTbl,2,0),"—"))</f>
        <v/>
      </c>
      <c r="H1569" s="12" t="n"/>
    </row>
    <row r="1570">
      <c r="A1570" s="19">
        <f>IF($B1570="","",COUNTA($B$9:$B1570))</f>
        <v/>
      </c>
      <c r="B1570" s="12" t="n"/>
      <c r="C1570" s="13" t="n"/>
      <c r="D1570" s="20">
        <f>IF($C1570="","",IFERROR(IF(VLOOKUP($C1570,AcctTblE,4,0)="","(بدون نام)",VLOOKUP($C1570,AcctTblE,4,0)),"کد ناشناخته"))</f>
        <v/>
      </c>
      <c r="E1570" s="15" t="n"/>
      <c r="F1570" s="20">
        <f>IF($B1570="","",IFERROR(INDEX(WageDates,MATCH($B1570,WageIds,0)),"—"))</f>
        <v/>
      </c>
      <c r="G1570" s="20">
        <f>IF($B1570="","",IFERROR(VLOOKUP(INDEX(WageParty,MATCH($B1570,WageIds,0)),WGTbl,2,0),"—"))</f>
        <v/>
      </c>
      <c r="H1570" s="12" t="n"/>
    </row>
    <row r="1571">
      <c r="A1571" s="10">
        <f>IF($B1571="","",COUNTA($B$9:$B1571))</f>
        <v/>
      </c>
      <c r="B1571" s="12" t="n"/>
      <c r="C1571" s="13" t="n"/>
      <c r="D1571" s="14">
        <f>IF($C1571="","",IFERROR(IF(VLOOKUP($C1571,AcctTblE,4,0)="","(بدون نام)",VLOOKUP($C1571,AcctTblE,4,0)),"کد ناشناخته"))</f>
        <v/>
      </c>
      <c r="E1571" s="15" t="n"/>
      <c r="F1571" s="14">
        <f>IF($B1571="","",IFERROR(INDEX(WageDates,MATCH($B1571,WageIds,0)),"—"))</f>
        <v/>
      </c>
      <c r="G1571" s="14">
        <f>IF($B1571="","",IFERROR(VLOOKUP(INDEX(WageParty,MATCH($B1571,WageIds,0)),WGTbl,2,0),"—"))</f>
        <v/>
      </c>
      <c r="H1571" s="12" t="n"/>
    </row>
    <row r="1572">
      <c r="A1572" s="19">
        <f>IF($B1572="","",COUNTA($B$9:$B1572))</f>
        <v/>
      </c>
      <c r="B1572" s="12" t="n"/>
      <c r="C1572" s="13" t="n"/>
      <c r="D1572" s="20">
        <f>IF($C1572="","",IFERROR(IF(VLOOKUP($C1572,AcctTblE,4,0)="","(بدون نام)",VLOOKUP($C1572,AcctTblE,4,0)),"کد ناشناخته"))</f>
        <v/>
      </c>
      <c r="E1572" s="15" t="n"/>
      <c r="F1572" s="20">
        <f>IF($B1572="","",IFERROR(INDEX(WageDates,MATCH($B1572,WageIds,0)),"—"))</f>
        <v/>
      </c>
      <c r="G1572" s="20">
        <f>IF($B1572="","",IFERROR(VLOOKUP(INDEX(WageParty,MATCH($B1572,WageIds,0)),WGTbl,2,0),"—"))</f>
        <v/>
      </c>
      <c r="H1572" s="12" t="n"/>
    </row>
    <row r="1573">
      <c r="A1573" s="10">
        <f>IF($B1573="","",COUNTA($B$9:$B1573))</f>
        <v/>
      </c>
      <c r="B1573" s="12" t="n"/>
      <c r="C1573" s="13" t="n"/>
      <c r="D1573" s="14">
        <f>IF($C1573="","",IFERROR(IF(VLOOKUP($C1573,AcctTblE,4,0)="","(بدون نام)",VLOOKUP($C1573,AcctTblE,4,0)),"کد ناشناخته"))</f>
        <v/>
      </c>
      <c r="E1573" s="15" t="n"/>
      <c r="F1573" s="14">
        <f>IF($B1573="","",IFERROR(INDEX(WageDates,MATCH($B1573,WageIds,0)),"—"))</f>
        <v/>
      </c>
      <c r="G1573" s="14">
        <f>IF($B1573="","",IFERROR(VLOOKUP(INDEX(WageParty,MATCH($B1573,WageIds,0)),WGTbl,2,0),"—"))</f>
        <v/>
      </c>
      <c r="H1573" s="12" t="n"/>
    </row>
    <row r="1574">
      <c r="A1574" s="19">
        <f>IF($B1574="","",COUNTA($B$9:$B1574))</f>
        <v/>
      </c>
      <c r="B1574" s="12" t="n"/>
      <c r="C1574" s="13" t="n"/>
      <c r="D1574" s="20">
        <f>IF($C1574="","",IFERROR(IF(VLOOKUP($C1574,AcctTblE,4,0)="","(بدون نام)",VLOOKUP($C1574,AcctTblE,4,0)),"کد ناشناخته"))</f>
        <v/>
      </c>
      <c r="E1574" s="15" t="n"/>
      <c r="F1574" s="20">
        <f>IF($B1574="","",IFERROR(INDEX(WageDates,MATCH($B1574,WageIds,0)),"—"))</f>
        <v/>
      </c>
      <c r="G1574" s="20">
        <f>IF($B1574="","",IFERROR(VLOOKUP(INDEX(WageParty,MATCH($B1574,WageIds,0)),WGTbl,2,0),"—"))</f>
        <v/>
      </c>
      <c r="H1574" s="12" t="n"/>
    </row>
    <row r="1575">
      <c r="A1575" s="10">
        <f>IF($B1575="","",COUNTA($B$9:$B1575))</f>
        <v/>
      </c>
      <c r="B1575" s="12" t="n"/>
      <c r="C1575" s="13" t="n"/>
      <c r="D1575" s="14">
        <f>IF($C1575="","",IFERROR(IF(VLOOKUP($C1575,AcctTblE,4,0)="","(بدون نام)",VLOOKUP($C1575,AcctTblE,4,0)),"کد ناشناخته"))</f>
        <v/>
      </c>
      <c r="E1575" s="15" t="n"/>
      <c r="F1575" s="14">
        <f>IF($B1575="","",IFERROR(INDEX(WageDates,MATCH($B1575,WageIds,0)),"—"))</f>
        <v/>
      </c>
      <c r="G1575" s="14">
        <f>IF($B1575="","",IFERROR(VLOOKUP(INDEX(WageParty,MATCH($B1575,WageIds,0)),WGTbl,2,0),"—"))</f>
        <v/>
      </c>
      <c r="H1575" s="12" t="n"/>
    </row>
    <row r="1576">
      <c r="A1576" s="19">
        <f>IF($B1576="","",COUNTA($B$9:$B1576))</f>
        <v/>
      </c>
      <c r="B1576" s="12" t="n"/>
      <c r="C1576" s="13" t="n"/>
      <c r="D1576" s="20">
        <f>IF($C1576="","",IFERROR(IF(VLOOKUP($C1576,AcctTblE,4,0)="","(بدون نام)",VLOOKUP($C1576,AcctTblE,4,0)),"کد ناشناخته"))</f>
        <v/>
      </c>
      <c r="E1576" s="15" t="n"/>
      <c r="F1576" s="20">
        <f>IF($B1576="","",IFERROR(INDEX(WageDates,MATCH($B1576,WageIds,0)),"—"))</f>
        <v/>
      </c>
      <c r="G1576" s="20">
        <f>IF($B1576="","",IFERROR(VLOOKUP(INDEX(WageParty,MATCH($B1576,WageIds,0)),WGTbl,2,0),"—"))</f>
        <v/>
      </c>
      <c r="H1576" s="12" t="n"/>
    </row>
    <row r="1577">
      <c r="A1577" s="10">
        <f>IF($B1577="","",COUNTA($B$9:$B1577))</f>
        <v/>
      </c>
      <c r="B1577" s="12" t="n"/>
      <c r="C1577" s="13" t="n"/>
      <c r="D1577" s="14">
        <f>IF($C1577="","",IFERROR(IF(VLOOKUP($C1577,AcctTblE,4,0)="","(بدون نام)",VLOOKUP($C1577,AcctTblE,4,0)),"کد ناشناخته"))</f>
        <v/>
      </c>
      <c r="E1577" s="15" t="n"/>
      <c r="F1577" s="14">
        <f>IF($B1577="","",IFERROR(INDEX(WageDates,MATCH($B1577,WageIds,0)),"—"))</f>
        <v/>
      </c>
      <c r="G1577" s="14">
        <f>IF($B1577="","",IFERROR(VLOOKUP(INDEX(WageParty,MATCH($B1577,WageIds,0)),WGTbl,2,0),"—"))</f>
        <v/>
      </c>
      <c r="H1577" s="12" t="n"/>
    </row>
    <row r="1578">
      <c r="A1578" s="19">
        <f>IF($B1578="","",COUNTA($B$9:$B1578))</f>
        <v/>
      </c>
      <c r="B1578" s="12" t="n"/>
      <c r="C1578" s="13" t="n"/>
      <c r="D1578" s="20">
        <f>IF($C1578="","",IFERROR(IF(VLOOKUP($C1578,AcctTblE,4,0)="","(بدون نام)",VLOOKUP($C1578,AcctTblE,4,0)),"کد ناشناخته"))</f>
        <v/>
      </c>
      <c r="E1578" s="15" t="n"/>
      <c r="F1578" s="20">
        <f>IF($B1578="","",IFERROR(INDEX(WageDates,MATCH($B1578,WageIds,0)),"—"))</f>
        <v/>
      </c>
      <c r="G1578" s="20">
        <f>IF($B1578="","",IFERROR(VLOOKUP(INDEX(WageParty,MATCH($B1578,WageIds,0)),WGTbl,2,0),"—"))</f>
        <v/>
      </c>
      <c r="H1578" s="12" t="n"/>
    </row>
    <row r="1579">
      <c r="A1579" s="10">
        <f>IF($B1579="","",COUNTA($B$9:$B1579))</f>
        <v/>
      </c>
      <c r="B1579" s="12" t="n"/>
      <c r="C1579" s="13" t="n"/>
      <c r="D1579" s="14">
        <f>IF($C1579="","",IFERROR(IF(VLOOKUP($C1579,AcctTblE,4,0)="","(بدون نام)",VLOOKUP($C1579,AcctTblE,4,0)),"کد ناشناخته"))</f>
        <v/>
      </c>
      <c r="E1579" s="15" t="n"/>
      <c r="F1579" s="14">
        <f>IF($B1579="","",IFERROR(INDEX(WageDates,MATCH($B1579,WageIds,0)),"—"))</f>
        <v/>
      </c>
      <c r="G1579" s="14">
        <f>IF($B1579="","",IFERROR(VLOOKUP(INDEX(WageParty,MATCH($B1579,WageIds,0)),WGTbl,2,0),"—"))</f>
        <v/>
      </c>
      <c r="H1579" s="12" t="n"/>
    </row>
    <row r="1580">
      <c r="A1580" s="19">
        <f>IF($B1580="","",COUNTA($B$9:$B1580))</f>
        <v/>
      </c>
      <c r="B1580" s="12" t="n"/>
      <c r="C1580" s="13" t="n"/>
      <c r="D1580" s="20">
        <f>IF($C1580="","",IFERROR(IF(VLOOKUP($C1580,AcctTblE,4,0)="","(بدون نام)",VLOOKUP($C1580,AcctTblE,4,0)),"کد ناشناخته"))</f>
        <v/>
      </c>
      <c r="E1580" s="15" t="n"/>
      <c r="F1580" s="20">
        <f>IF($B1580="","",IFERROR(INDEX(WageDates,MATCH($B1580,WageIds,0)),"—"))</f>
        <v/>
      </c>
      <c r="G1580" s="20">
        <f>IF($B1580="","",IFERROR(VLOOKUP(INDEX(WageParty,MATCH($B1580,WageIds,0)),WGTbl,2,0),"—"))</f>
        <v/>
      </c>
      <c r="H1580" s="12" t="n"/>
    </row>
    <row r="1581">
      <c r="A1581" s="10">
        <f>IF($B1581="","",COUNTA($B$9:$B1581))</f>
        <v/>
      </c>
      <c r="B1581" s="12" t="n"/>
      <c r="C1581" s="13" t="n"/>
      <c r="D1581" s="14">
        <f>IF($C1581="","",IFERROR(IF(VLOOKUP($C1581,AcctTblE,4,0)="","(بدون نام)",VLOOKUP($C1581,AcctTblE,4,0)),"کد ناشناخته"))</f>
        <v/>
      </c>
      <c r="E1581" s="15" t="n"/>
      <c r="F1581" s="14">
        <f>IF($B1581="","",IFERROR(INDEX(WageDates,MATCH($B1581,WageIds,0)),"—"))</f>
        <v/>
      </c>
      <c r="G1581" s="14">
        <f>IF($B1581="","",IFERROR(VLOOKUP(INDEX(WageParty,MATCH($B1581,WageIds,0)),WGTbl,2,0),"—"))</f>
        <v/>
      </c>
      <c r="H1581" s="12" t="n"/>
    </row>
    <row r="1582">
      <c r="A1582" s="19">
        <f>IF($B1582="","",COUNTA($B$9:$B1582))</f>
        <v/>
      </c>
      <c r="B1582" s="12" t="n"/>
      <c r="C1582" s="13" t="n"/>
      <c r="D1582" s="20">
        <f>IF($C1582="","",IFERROR(IF(VLOOKUP($C1582,AcctTblE,4,0)="","(بدون نام)",VLOOKUP($C1582,AcctTblE,4,0)),"کد ناشناخته"))</f>
        <v/>
      </c>
      <c r="E1582" s="15" t="n"/>
      <c r="F1582" s="20">
        <f>IF($B1582="","",IFERROR(INDEX(WageDates,MATCH($B1582,WageIds,0)),"—"))</f>
        <v/>
      </c>
      <c r="G1582" s="20">
        <f>IF($B1582="","",IFERROR(VLOOKUP(INDEX(WageParty,MATCH($B1582,WageIds,0)),WGTbl,2,0),"—"))</f>
        <v/>
      </c>
      <c r="H1582" s="12" t="n"/>
    </row>
    <row r="1583">
      <c r="A1583" s="10">
        <f>IF($B1583="","",COUNTA($B$9:$B1583))</f>
        <v/>
      </c>
      <c r="B1583" s="12" t="n"/>
      <c r="C1583" s="13" t="n"/>
      <c r="D1583" s="14">
        <f>IF($C1583="","",IFERROR(IF(VLOOKUP($C1583,AcctTblE,4,0)="","(بدون نام)",VLOOKUP($C1583,AcctTblE,4,0)),"کد ناشناخته"))</f>
        <v/>
      </c>
      <c r="E1583" s="15" t="n"/>
      <c r="F1583" s="14">
        <f>IF($B1583="","",IFERROR(INDEX(WageDates,MATCH($B1583,WageIds,0)),"—"))</f>
        <v/>
      </c>
      <c r="G1583" s="14">
        <f>IF($B1583="","",IFERROR(VLOOKUP(INDEX(WageParty,MATCH($B1583,WageIds,0)),WGTbl,2,0),"—"))</f>
        <v/>
      </c>
      <c r="H1583" s="12" t="n"/>
    </row>
    <row r="1584">
      <c r="A1584" s="19">
        <f>IF($B1584="","",COUNTA($B$9:$B1584))</f>
        <v/>
      </c>
      <c r="B1584" s="12" t="n"/>
      <c r="C1584" s="13" t="n"/>
      <c r="D1584" s="20">
        <f>IF($C1584="","",IFERROR(IF(VLOOKUP($C1584,AcctTblE,4,0)="","(بدون نام)",VLOOKUP($C1584,AcctTblE,4,0)),"کد ناشناخته"))</f>
        <v/>
      </c>
      <c r="E1584" s="15" t="n"/>
      <c r="F1584" s="20">
        <f>IF($B1584="","",IFERROR(INDEX(WageDates,MATCH($B1584,WageIds,0)),"—"))</f>
        <v/>
      </c>
      <c r="G1584" s="20">
        <f>IF($B1584="","",IFERROR(VLOOKUP(INDEX(WageParty,MATCH($B1584,WageIds,0)),WGTbl,2,0),"—"))</f>
        <v/>
      </c>
      <c r="H1584" s="12" t="n"/>
    </row>
    <row r="1585">
      <c r="A1585" s="10">
        <f>IF($B1585="","",COUNTA($B$9:$B1585))</f>
        <v/>
      </c>
      <c r="B1585" s="12" t="n"/>
      <c r="C1585" s="13" t="n"/>
      <c r="D1585" s="14">
        <f>IF($C1585="","",IFERROR(IF(VLOOKUP($C1585,AcctTblE,4,0)="","(بدون نام)",VLOOKUP($C1585,AcctTblE,4,0)),"کد ناشناخته"))</f>
        <v/>
      </c>
      <c r="E1585" s="15" t="n"/>
      <c r="F1585" s="14">
        <f>IF($B1585="","",IFERROR(INDEX(WageDates,MATCH($B1585,WageIds,0)),"—"))</f>
        <v/>
      </c>
      <c r="G1585" s="14">
        <f>IF($B1585="","",IFERROR(VLOOKUP(INDEX(WageParty,MATCH($B1585,WageIds,0)),WGTbl,2,0),"—"))</f>
        <v/>
      </c>
      <c r="H1585" s="12" t="n"/>
    </row>
    <row r="1586">
      <c r="A1586" s="19">
        <f>IF($B1586="","",COUNTA($B$9:$B1586))</f>
        <v/>
      </c>
      <c r="B1586" s="12" t="n"/>
      <c r="C1586" s="13" t="n"/>
      <c r="D1586" s="20">
        <f>IF($C1586="","",IFERROR(IF(VLOOKUP($C1586,AcctTblE,4,0)="","(بدون نام)",VLOOKUP($C1586,AcctTblE,4,0)),"کد ناشناخته"))</f>
        <v/>
      </c>
      <c r="E1586" s="15" t="n"/>
      <c r="F1586" s="20">
        <f>IF($B1586="","",IFERROR(INDEX(WageDates,MATCH($B1586,WageIds,0)),"—"))</f>
        <v/>
      </c>
      <c r="G1586" s="20">
        <f>IF($B1586="","",IFERROR(VLOOKUP(INDEX(WageParty,MATCH($B1586,WageIds,0)),WGTbl,2,0),"—"))</f>
        <v/>
      </c>
      <c r="H1586" s="12" t="n"/>
    </row>
    <row r="1587">
      <c r="A1587" s="10">
        <f>IF($B1587="","",COUNTA($B$9:$B1587))</f>
        <v/>
      </c>
      <c r="B1587" s="12" t="n"/>
      <c r="C1587" s="13" t="n"/>
      <c r="D1587" s="14">
        <f>IF($C1587="","",IFERROR(IF(VLOOKUP($C1587,AcctTblE,4,0)="","(بدون نام)",VLOOKUP($C1587,AcctTblE,4,0)),"کد ناشناخته"))</f>
        <v/>
      </c>
      <c r="E1587" s="15" t="n"/>
      <c r="F1587" s="14">
        <f>IF($B1587="","",IFERROR(INDEX(WageDates,MATCH($B1587,WageIds,0)),"—"))</f>
        <v/>
      </c>
      <c r="G1587" s="14">
        <f>IF($B1587="","",IFERROR(VLOOKUP(INDEX(WageParty,MATCH($B1587,WageIds,0)),WGTbl,2,0),"—"))</f>
        <v/>
      </c>
      <c r="H1587" s="12" t="n"/>
    </row>
    <row r="1588">
      <c r="A1588" s="19">
        <f>IF($B1588="","",COUNTA($B$9:$B1588))</f>
        <v/>
      </c>
      <c r="B1588" s="12" t="n"/>
      <c r="C1588" s="13" t="n"/>
      <c r="D1588" s="20">
        <f>IF($C1588="","",IFERROR(IF(VLOOKUP($C1588,AcctTblE,4,0)="","(بدون نام)",VLOOKUP($C1588,AcctTblE,4,0)),"کد ناشناخته"))</f>
        <v/>
      </c>
      <c r="E1588" s="15" t="n"/>
      <c r="F1588" s="20">
        <f>IF($B1588="","",IFERROR(INDEX(WageDates,MATCH($B1588,WageIds,0)),"—"))</f>
        <v/>
      </c>
      <c r="G1588" s="20">
        <f>IF($B1588="","",IFERROR(VLOOKUP(INDEX(WageParty,MATCH($B1588,WageIds,0)),WGTbl,2,0),"—"))</f>
        <v/>
      </c>
      <c r="H1588" s="12" t="n"/>
    </row>
    <row r="1589">
      <c r="A1589" s="10">
        <f>IF($B1589="","",COUNTA($B$9:$B1589))</f>
        <v/>
      </c>
      <c r="B1589" s="12" t="n"/>
      <c r="C1589" s="13" t="n"/>
      <c r="D1589" s="14">
        <f>IF($C1589="","",IFERROR(IF(VLOOKUP($C1589,AcctTblE,4,0)="","(بدون نام)",VLOOKUP($C1589,AcctTblE,4,0)),"کد ناشناخته"))</f>
        <v/>
      </c>
      <c r="E1589" s="15" t="n"/>
      <c r="F1589" s="14">
        <f>IF($B1589="","",IFERROR(INDEX(WageDates,MATCH($B1589,WageIds,0)),"—"))</f>
        <v/>
      </c>
      <c r="G1589" s="14">
        <f>IF($B1589="","",IFERROR(VLOOKUP(INDEX(WageParty,MATCH($B1589,WageIds,0)),WGTbl,2,0),"—"))</f>
        <v/>
      </c>
      <c r="H1589" s="12" t="n"/>
    </row>
    <row r="1590">
      <c r="A1590" s="19">
        <f>IF($B1590="","",COUNTA($B$9:$B1590))</f>
        <v/>
      </c>
      <c r="B1590" s="12" t="n"/>
      <c r="C1590" s="13" t="n"/>
      <c r="D1590" s="20">
        <f>IF($C1590="","",IFERROR(IF(VLOOKUP($C1590,AcctTblE,4,0)="","(بدون نام)",VLOOKUP($C1590,AcctTblE,4,0)),"کد ناشناخته"))</f>
        <v/>
      </c>
      <c r="E1590" s="15" t="n"/>
      <c r="F1590" s="20">
        <f>IF($B1590="","",IFERROR(INDEX(WageDates,MATCH($B1590,WageIds,0)),"—"))</f>
        <v/>
      </c>
      <c r="G1590" s="20">
        <f>IF($B1590="","",IFERROR(VLOOKUP(INDEX(WageParty,MATCH($B1590,WageIds,0)),WGTbl,2,0),"—"))</f>
        <v/>
      </c>
      <c r="H1590" s="12" t="n"/>
    </row>
    <row r="1591">
      <c r="A1591" s="10">
        <f>IF($B1591="","",COUNTA($B$9:$B1591))</f>
        <v/>
      </c>
      <c r="B1591" s="12" t="n"/>
      <c r="C1591" s="13" t="n"/>
      <c r="D1591" s="14">
        <f>IF($C1591="","",IFERROR(IF(VLOOKUP($C1591,AcctTblE,4,0)="","(بدون نام)",VLOOKUP($C1591,AcctTblE,4,0)),"کد ناشناخته"))</f>
        <v/>
      </c>
      <c r="E1591" s="15" t="n"/>
      <c r="F1591" s="14">
        <f>IF($B1591="","",IFERROR(INDEX(WageDates,MATCH($B1591,WageIds,0)),"—"))</f>
        <v/>
      </c>
      <c r="G1591" s="14">
        <f>IF($B1591="","",IFERROR(VLOOKUP(INDEX(WageParty,MATCH($B1591,WageIds,0)),WGTbl,2,0),"—"))</f>
        <v/>
      </c>
      <c r="H1591" s="12" t="n"/>
    </row>
    <row r="1592">
      <c r="A1592" s="19">
        <f>IF($B1592="","",COUNTA($B$9:$B1592))</f>
        <v/>
      </c>
      <c r="B1592" s="12" t="n"/>
      <c r="C1592" s="13" t="n"/>
      <c r="D1592" s="20">
        <f>IF($C1592="","",IFERROR(IF(VLOOKUP($C1592,AcctTblE,4,0)="","(بدون نام)",VLOOKUP($C1592,AcctTblE,4,0)),"کد ناشناخته"))</f>
        <v/>
      </c>
      <c r="E1592" s="15" t="n"/>
      <c r="F1592" s="20">
        <f>IF($B1592="","",IFERROR(INDEX(WageDates,MATCH($B1592,WageIds,0)),"—"))</f>
        <v/>
      </c>
      <c r="G1592" s="20">
        <f>IF($B1592="","",IFERROR(VLOOKUP(INDEX(WageParty,MATCH($B1592,WageIds,0)),WGTbl,2,0),"—"))</f>
        <v/>
      </c>
      <c r="H1592" s="12" t="n"/>
    </row>
    <row r="1593">
      <c r="A1593" s="10">
        <f>IF($B1593="","",COUNTA($B$9:$B1593))</f>
        <v/>
      </c>
      <c r="B1593" s="12" t="n"/>
      <c r="C1593" s="13" t="n"/>
      <c r="D1593" s="14">
        <f>IF($C1593="","",IFERROR(IF(VLOOKUP($C1593,AcctTblE,4,0)="","(بدون نام)",VLOOKUP($C1593,AcctTblE,4,0)),"کد ناشناخته"))</f>
        <v/>
      </c>
      <c r="E1593" s="15" t="n"/>
      <c r="F1593" s="14">
        <f>IF($B1593="","",IFERROR(INDEX(WageDates,MATCH($B1593,WageIds,0)),"—"))</f>
        <v/>
      </c>
      <c r="G1593" s="14">
        <f>IF($B1593="","",IFERROR(VLOOKUP(INDEX(WageParty,MATCH($B1593,WageIds,0)),WGTbl,2,0),"—"))</f>
        <v/>
      </c>
      <c r="H1593" s="12" t="n"/>
    </row>
    <row r="1594">
      <c r="A1594" s="19">
        <f>IF($B1594="","",COUNTA($B$9:$B1594))</f>
        <v/>
      </c>
      <c r="B1594" s="12" t="n"/>
      <c r="C1594" s="13" t="n"/>
      <c r="D1594" s="20">
        <f>IF($C1594="","",IFERROR(IF(VLOOKUP($C1594,AcctTblE,4,0)="","(بدون نام)",VLOOKUP($C1594,AcctTblE,4,0)),"کد ناشناخته"))</f>
        <v/>
      </c>
      <c r="E1594" s="15" t="n"/>
      <c r="F1594" s="20">
        <f>IF($B1594="","",IFERROR(INDEX(WageDates,MATCH($B1594,WageIds,0)),"—"))</f>
        <v/>
      </c>
      <c r="G1594" s="20">
        <f>IF($B1594="","",IFERROR(VLOOKUP(INDEX(WageParty,MATCH($B1594,WageIds,0)),WGTbl,2,0),"—"))</f>
        <v/>
      </c>
      <c r="H1594" s="12" t="n"/>
    </row>
    <row r="1595">
      <c r="A1595" s="10">
        <f>IF($B1595="","",COUNTA($B$9:$B1595))</f>
        <v/>
      </c>
      <c r="B1595" s="12" t="n"/>
      <c r="C1595" s="13" t="n"/>
      <c r="D1595" s="14">
        <f>IF($C1595="","",IFERROR(IF(VLOOKUP($C1595,AcctTblE,4,0)="","(بدون نام)",VLOOKUP($C1595,AcctTblE,4,0)),"کد ناشناخته"))</f>
        <v/>
      </c>
      <c r="E1595" s="15" t="n"/>
      <c r="F1595" s="14">
        <f>IF($B1595="","",IFERROR(INDEX(WageDates,MATCH($B1595,WageIds,0)),"—"))</f>
        <v/>
      </c>
      <c r="G1595" s="14">
        <f>IF($B1595="","",IFERROR(VLOOKUP(INDEX(WageParty,MATCH($B1595,WageIds,0)),WGTbl,2,0),"—"))</f>
        <v/>
      </c>
      <c r="H1595" s="12" t="n"/>
    </row>
    <row r="1596">
      <c r="A1596" s="19">
        <f>IF($B1596="","",COUNTA($B$9:$B1596))</f>
        <v/>
      </c>
      <c r="B1596" s="12" t="n"/>
      <c r="C1596" s="13" t="n"/>
      <c r="D1596" s="20">
        <f>IF($C1596="","",IFERROR(IF(VLOOKUP($C1596,AcctTblE,4,0)="","(بدون نام)",VLOOKUP($C1596,AcctTblE,4,0)),"کد ناشناخته"))</f>
        <v/>
      </c>
      <c r="E1596" s="15" t="n"/>
      <c r="F1596" s="20">
        <f>IF($B1596="","",IFERROR(INDEX(WageDates,MATCH($B1596,WageIds,0)),"—"))</f>
        <v/>
      </c>
      <c r="G1596" s="20">
        <f>IF($B1596="","",IFERROR(VLOOKUP(INDEX(WageParty,MATCH($B1596,WageIds,0)),WGTbl,2,0),"—"))</f>
        <v/>
      </c>
      <c r="H1596" s="12" t="n"/>
    </row>
    <row r="1597">
      <c r="A1597" s="10">
        <f>IF($B1597="","",COUNTA($B$9:$B1597))</f>
        <v/>
      </c>
      <c r="B1597" s="12" t="n"/>
      <c r="C1597" s="13" t="n"/>
      <c r="D1597" s="14">
        <f>IF($C1597="","",IFERROR(IF(VLOOKUP($C1597,AcctTblE,4,0)="","(بدون نام)",VLOOKUP($C1597,AcctTblE,4,0)),"کد ناشناخته"))</f>
        <v/>
      </c>
      <c r="E1597" s="15" t="n"/>
      <c r="F1597" s="14">
        <f>IF($B1597="","",IFERROR(INDEX(WageDates,MATCH($B1597,WageIds,0)),"—"))</f>
        <v/>
      </c>
      <c r="G1597" s="14">
        <f>IF($B1597="","",IFERROR(VLOOKUP(INDEX(WageParty,MATCH($B1597,WageIds,0)),WGTbl,2,0),"—"))</f>
        <v/>
      </c>
      <c r="H1597" s="12" t="n"/>
    </row>
    <row r="1598">
      <c r="A1598" s="19">
        <f>IF($B1598="","",COUNTA($B$9:$B1598))</f>
        <v/>
      </c>
      <c r="B1598" s="12" t="n"/>
      <c r="C1598" s="13" t="n"/>
      <c r="D1598" s="20">
        <f>IF($C1598="","",IFERROR(IF(VLOOKUP($C1598,AcctTblE,4,0)="","(بدون نام)",VLOOKUP($C1598,AcctTblE,4,0)),"کد ناشناخته"))</f>
        <v/>
      </c>
      <c r="E1598" s="15" t="n"/>
      <c r="F1598" s="20">
        <f>IF($B1598="","",IFERROR(INDEX(WageDates,MATCH($B1598,WageIds,0)),"—"))</f>
        <v/>
      </c>
      <c r="G1598" s="20">
        <f>IF($B1598="","",IFERROR(VLOOKUP(INDEX(WageParty,MATCH($B1598,WageIds,0)),WGTbl,2,0),"—"))</f>
        <v/>
      </c>
      <c r="H1598" s="12" t="n"/>
    </row>
    <row r="1599">
      <c r="A1599" s="10">
        <f>IF($B1599="","",COUNTA($B$9:$B1599))</f>
        <v/>
      </c>
      <c r="B1599" s="12" t="n"/>
      <c r="C1599" s="13" t="n"/>
      <c r="D1599" s="14">
        <f>IF($C1599="","",IFERROR(IF(VLOOKUP($C1599,AcctTblE,4,0)="","(بدون نام)",VLOOKUP($C1599,AcctTblE,4,0)),"کد ناشناخته"))</f>
        <v/>
      </c>
      <c r="E1599" s="15" t="n"/>
      <c r="F1599" s="14">
        <f>IF($B1599="","",IFERROR(INDEX(WageDates,MATCH($B1599,WageIds,0)),"—"))</f>
        <v/>
      </c>
      <c r="G1599" s="14">
        <f>IF($B1599="","",IFERROR(VLOOKUP(INDEX(WageParty,MATCH($B1599,WageIds,0)),WGTbl,2,0),"—"))</f>
        <v/>
      </c>
      <c r="H1599" s="12" t="n"/>
    </row>
    <row r="1600">
      <c r="A1600" s="19">
        <f>IF($B1600="","",COUNTA($B$9:$B1600))</f>
        <v/>
      </c>
      <c r="B1600" s="12" t="n"/>
      <c r="C1600" s="13" t="n"/>
      <c r="D1600" s="20">
        <f>IF($C1600="","",IFERROR(IF(VLOOKUP($C1600,AcctTblE,4,0)="","(بدون نام)",VLOOKUP($C1600,AcctTblE,4,0)),"کد ناشناخته"))</f>
        <v/>
      </c>
      <c r="E1600" s="15" t="n"/>
      <c r="F1600" s="20">
        <f>IF($B1600="","",IFERROR(INDEX(WageDates,MATCH($B1600,WageIds,0)),"—"))</f>
        <v/>
      </c>
      <c r="G1600" s="20">
        <f>IF($B1600="","",IFERROR(VLOOKUP(INDEX(WageParty,MATCH($B1600,WageIds,0)),WGTbl,2,0),"—"))</f>
        <v/>
      </c>
      <c r="H1600" s="12" t="n"/>
    </row>
    <row r="1601">
      <c r="A1601" s="10">
        <f>IF($B1601="","",COUNTA($B$9:$B1601))</f>
        <v/>
      </c>
      <c r="B1601" s="12" t="n"/>
      <c r="C1601" s="13" t="n"/>
      <c r="D1601" s="14">
        <f>IF($C1601="","",IFERROR(IF(VLOOKUP($C1601,AcctTblE,4,0)="","(بدون نام)",VLOOKUP($C1601,AcctTblE,4,0)),"کد ناشناخته"))</f>
        <v/>
      </c>
      <c r="E1601" s="15" t="n"/>
      <c r="F1601" s="14">
        <f>IF($B1601="","",IFERROR(INDEX(WageDates,MATCH($B1601,WageIds,0)),"—"))</f>
        <v/>
      </c>
      <c r="G1601" s="14">
        <f>IF($B1601="","",IFERROR(VLOOKUP(INDEX(WageParty,MATCH($B1601,WageIds,0)),WGTbl,2,0),"—"))</f>
        <v/>
      </c>
      <c r="H1601" s="12" t="n"/>
    </row>
    <row r="1602">
      <c r="A1602" s="19">
        <f>IF($B1602="","",COUNTA($B$9:$B1602))</f>
        <v/>
      </c>
      <c r="B1602" s="12" t="n"/>
      <c r="C1602" s="13" t="n"/>
      <c r="D1602" s="20">
        <f>IF($C1602="","",IFERROR(IF(VLOOKUP($C1602,AcctTblE,4,0)="","(بدون نام)",VLOOKUP($C1602,AcctTblE,4,0)),"کد ناشناخته"))</f>
        <v/>
      </c>
      <c r="E1602" s="15" t="n"/>
      <c r="F1602" s="20">
        <f>IF($B1602="","",IFERROR(INDEX(WageDates,MATCH($B1602,WageIds,0)),"—"))</f>
        <v/>
      </c>
      <c r="G1602" s="20">
        <f>IF($B1602="","",IFERROR(VLOOKUP(INDEX(WageParty,MATCH($B1602,WageIds,0)),WGTbl,2,0),"—"))</f>
        <v/>
      </c>
      <c r="H1602" s="12" t="n"/>
    </row>
    <row r="1603">
      <c r="A1603" s="10">
        <f>IF($B1603="","",COUNTA($B$9:$B1603))</f>
        <v/>
      </c>
      <c r="B1603" s="12" t="n"/>
      <c r="C1603" s="13" t="n"/>
      <c r="D1603" s="14">
        <f>IF($C1603="","",IFERROR(IF(VLOOKUP($C1603,AcctTblE,4,0)="","(بدون نام)",VLOOKUP($C1603,AcctTblE,4,0)),"کد ناشناخته"))</f>
        <v/>
      </c>
      <c r="E1603" s="15" t="n"/>
      <c r="F1603" s="14">
        <f>IF($B1603="","",IFERROR(INDEX(WageDates,MATCH($B1603,WageIds,0)),"—"))</f>
        <v/>
      </c>
      <c r="G1603" s="14">
        <f>IF($B1603="","",IFERROR(VLOOKUP(INDEX(WageParty,MATCH($B1603,WageIds,0)),WGTbl,2,0),"—"))</f>
        <v/>
      </c>
      <c r="H1603" s="12" t="n"/>
    </row>
    <row r="1604">
      <c r="A1604" s="19">
        <f>IF($B1604="","",COUNTA($B$9:$B1604))</f>
        <v/>
      </c>
      <c r="B1604" s="12" t="n"/>
      <c r="C1604" s="13" t="n"/>
      <c r="D1604" s="20">
        <f>IF($C1604="","",IFERROR(IF(VLOOKUP($C1604,AcctTblE,4,0)="","(بدون نام)",VLOOKUP($C1604,AcctTblE,4,0)),"کد ناشناخته"))</f>
        <v/>
      </c>
      <c r="E1604" s="15" t="n"/>
      <c r="F1604" s="20">
        <f>IF($B1604="","",IFERROR(INDEX(WageDates,MATCH($B1604,WageIds,0)),"—"))</f>
        <v/>
      </c>
      <c r="G1604" s="20">
        <f>IF($B1604="","",IFERROR(VLOOKUP(INDEX(WageParty,MATCH($B1604,WageIds,0)),WGTbl,2,0),"—"))</f>
        <v/>
      </c>
      <c r="H1604" s="12" t="n"/>
    </row>
    <row r="1605">
      <c r="A1605" s="10">
        <f>IF($B1605="","",COUNTA($B$9:$B1605))</f>
        <v/>
      </c>
      <c r="B1605" s="12" t="n"/>
      <c r="C1605" s="13" t="n"/>
      <c r="D1605" s="14">
        <f>IF($C1605="","",IFERROR(IF(VLOOKUP($C1605,AcctTblE,4,0)="","(بدون نام)",VLOOKUP($C1605,AcctTblE,4,0)),"کد ناشناخته"))</f>
        <v/>
      </c>
      <c r="E1605" s="15" t="n"/>
      <c r="F1605" s="14">
        <f>IF($B1605="","",IFERROR(INDEX(WageDates,MATCH($B1605,WageIds,0)),"—"))</f>
        <v/>
      </c>
      <c r="G1605" s="14">
        <f>IF($B1605="","",IFERROR(VLOOKUP(INDEX(WageParty,MATCH($B1605,WageIds,0)),WGTbl,2,0),"—"))</f>
        <v/>
      </c>
      <c r="H1605" s="12" t="n"/>
    </row>
    <row r="1606">
      <c r="A1606" s="19">
        <f>IF($B1606="","",COUNTA($B$9:$B1606))</f>
        <v/>
      </c>
      <c r="B1606" s="12" t="n"/>
      <c r="C1606" s="13" t="n"/>
      <c r="D1606" s="20">
        <f>IF($C1606="","",IFERROR(IF(VLOOKUP($C1606,AcctTblE,4,0)="","(بدون نام)",VLOOKUP($C1606,AcctTblE,4,0)),"کد ناشناخته"))</f>
        <v/>
      </c>
      <c r="E1606" s="15" t="n"/>
      <c r="F1606" s="20">
        <f>IF($B1606="","",IFERROR(INDEX(WageDates,MATCH($B1606,WageIds,0)),"—"))</f>
        <v/>
      </c>
      <c r="G1606" s="20">
        <f>IF($B1606="","",IFERROR(VLOOKUP(INDEX(WageParty,MATCH($B1606,WageIds,0)),WGTbl,2,0),"—"))</f>
        <v/>
      </c>
      <c r="H1606" s="12" t="n"/>
    </row>
    <row r="1607">
      <c r="A1607" s="10">
        <f>IF($B1607="","",COUNTA($B$9:$B1607))</f>
        <v/>
      </c>
      <c r="B1607" s="12" t="n"/>
      <c r="C1607" s="13" t="n"/>
      <c r="D1607" s="14">
        <f>IF($C1607="","",IFERROR(IF(VLOOKUP($C1607,AcctTblE,4,0)="","(بدون نام)",VLOOKUP($C1607,AcctTblE,4,0)),"کد ناشناخته"))</f>
        <v/>
      </c>
      <c r="E1607" s="15" t="n"/>
      <c r="F1607" s="14">
        <f>IF($B1607="","",IFERROR(INDEX(WageDates,MATCH($B1607,WageIds,0)),"—"))</f>
        <v/>
      </c>
      <c r="G1607" s="14">
        <f>IF($B1607="","",IFERROR(VLOOKUP(INDEX(WageParty,MATCH($B1607,WageIds,0)),WGTbl,2,0),"—"))</f>
        <v/>
      </c>
      <c r="H1607" s="12" t="n"/>
    </row>
    <row r="1608">
      <c r="A1608" s="19">
        <f>IF($B1608="","",COUNTA($B$9:$B1608))</f>
        <v/>
      </c>
      <c r="B1608" s="12" t="n"/>
      <c r="C1608" s="13" t="n"/>
      <c r="D1608" s="20">
        <f>IF($C1608="","",IFERROR(IF(VLOOKUP($C1608,AcctTblE,4,0)="","(بدون نام)",VLOOKUP($C1608,AcctTblE,4,0)),"کد ناشناخته"))</f>
        <v/>
      </c>
      <c r="E1608" s="15" t="n"/>
      <c r="F1608" s="20">
        <f>IF($B1608="","",IFERROR(INDEX(WageDates,MATCH($B1608,WageIds,0)),"—"))</f>
        <v/>
      </c>
      <c r="G1608" s="20">
        <f>IF($B1608="","",IFERROR(VLOOKUP(INDEX(WageParty,MATCH($B1608,WageIds,0)),WGTbl,2,0),"—"))</f>
        <v/>
      </c>
      <c r="H1608" s="12" t="n"/>
    </row>
    <row r="1609">
      <c r="A1609" s="10">
        <f>IF($B1609="","",COUNTA($B$9:$B1609))</f>
        <v/>
      </c>
      <c r="B1609" s="12" t="n"/>
      <c r="C1609" s="13" t="n"/>
      <c r="D1609" s="14">
        <f>IF($C1609="","",IFERROR(IF(VLOOKUP($C1609,AcctTblE,4,0)="","(بدون نام)",VLOOKUP($C1609,AcctTblE,4,0)),"کد ناشناخته"))</f>
        <v/>
      </c>
      <c r="E1609" s="15" t="n"/>
      <c r="F1609" s="14">
        <f>IF($B1609="","",IFERROR(INDEX(WageDates,MATCH($B1609,WageIds,0)),"—"))</f>
        <v/>
      </c>
      <c r="G1609" s="14">
        <f>IF($B1609="","",IFERROR(VLOOKUP(INDEX(WageParty,MATCH($B1609,WageIds,0)),WGTbl,2,0),"—"))</f>
        <v/>
      </c>
      <c r="H1609" s="12" t="n"/>
    </row>
    <row r="1610">
      <c r="A1610" s="19">
        <f>IF($B1610="","",COUNTA($B$9:$B1610))</f>
        <v/>
      </c>
      <c r="B1610" s="12" t="n"/>
      <c r="C1610" s="13" t="n"/>
      <c r="D1610" s="20">
        <f>IF($C1610="","",IFERROR(IF(VLOOKUP($C1610,AcctTblE,4,0)="","(بدون نام)",VLOOKUP($C1610,AcctTblE,4,0)),"کد ناشناخته"))</f>
        <v/>
      </c>
      <c r="E1610" s="15" t="n"/>
      <c r="F1610" s="20">
        <f>IF($B1610="","",IFERROR(INDEX(WageDates,MATCH($B1610,WageIds,0)),"—"))</f>
        <v/>
      </c>
      <c r="G1610" s="20">
        <f>IF($B1610="","",IFERROR(VLOOKUP(INDEX(WageParty,MATCH($B1610,WageIds,0)),WGTbl,2,0),"—"))</f>
        <v/>
      </c>
      <c r="H1610" s="12" t="n"/>
    </row>
    <row r="1611">
      <c r="A1611" s="10">
        <f>IF($B1611="","",COUNTA($B$9:$B1611))</f>
        <v/>
      </c>
      <c r="B1611" s="12" t="n"/>
      <c r="C1611" s="13" t="n"/>
      <c r="D1611" s="14">
        <f>IF($C1611="","",IFERROR(IF(VLOOKUP($C1611,AcctTblE,4,0)="","(بدون نام)",VLOOKUP($C1611,AcctTblE,4,0)),"کد ناشناخته"))</f>
        <v/>
      </c>
      <c r="E1611" s="15" t="n"/>
      <c r="F1611" s="14">
        <f>IF($B1611="","",IFERROR(INDEX(WageDates,MATCH($B1611,WageIds,0)),"—"))</f>
        <v/>
      </c>
      <c r="G1611" s="14">
        <f>IF($B1611="","",IFERROR(VLOOKUP(INDEX(WageParty,MATCH($B1611,WageIds,0)),WGTbl,2,0),"—"))</f>
        <v/>
      </c>
      <c r="H1611" s="12" t="n"/>
    </row>
    <row r="1612">
      <c r="A1612" s="19">
        <f>IF($B1612="","",COUNTA($B$9:$B1612))</f>
        <v/>
      </c>
      <c r="B1612" s="12" t="n"/>
      <c r="C1612" s="13" t="n"/>
      <c r="D1612" s="20">
        <f>IF($C1612="","",IFERROR(IF(VLOOKUP($C1612,AcctTblE,4,0)="","(بدون نام)",VLOOKUP($C1612,AcctTblE,4,0)),"کد ناشناخته"))</f>
        <v/>
      </c>
      <c r="E1612" s="15" t="n"/>
      <c r="F1612" s="20">
        <f>IF($B1612="","",IFERROR(INDEX(WageDates,MATCH($B1612,WageIds,0)),"—"))</f>
        <v/>
      </c>
      <c r="G1612" s="20">
        <f>IF($B1612="","",IFERROR(VLOOKUP(INDEX(WageParty,MATCH($B1612,WageIds,0)),WGTbl,2,0),"—"))</f>
        <v/>
      </c>
      <c r="H1612" s="12" t="n"/>
    </row>
    <row r="1613">
      <c r="A1613" s="10">
        <f>IF($B1613="","",COUNTA($B$9:$B1613))</f>
        <v/>
      </c>
      <c r="B1613" s="12" t="n"/>
      <c r="C1613" s="13" t="n"/>
      <c r="D1613" s="14">
        <f>IF($C1613="","",IFERROR(IF(VLOOKUP($C1613,AcctTblE,4,0)="","(بدون نام)",VLOOKUP($C1613,AcctTblE,4,0)),"کد ناشناخته"))</f>
        <v/>
      </c>
      <c r="E1613" s="15" t="n"/>
      <c r="F1613" s="14">
        <f>IF($B1613="","",IFERROR(INDEX(WageDates,MATCH($B1613,WageIds,0)),"—"))</f>
        <v/>
      </c>
      <c r="G1613" s="14">
        <f>IF($B1613="","",IFERROR(VLOOKUP(INDEX(WageParty,MATCH($B1613,WageIds,0)),WGTbl,2,0),"—"))</f>
        <v/>
      </c>
      <c r="H1613" s="12" t="n"/>
    </row>
    <row r="1614">
      <c r="A1614" s="19">
        <f>IF($B1614="","",COUNTA($B$9:$B1614))</f>
        <v/>
      </c>
      <c r="B1614" s="12" t="n"/>
      <c r="C1614" s="13" t="n"/>
      <c r="D1614" s="20">
        <f>IF($C1614="","",IFERROR(IF(VLOOKUP($C1614,AcctTblE,4,0)="","(بدون نام)",VLOOKUP($C1614,AcctTblE,4,0)),"کد ناشناخته"))</f>
        <v/>
      </c>
      <c r="E1614" s="15" t="n"/>
      <c r="F1614" s="20">
        <f>IF($B1614="","",IFERROR(INDEX(WageDates,MATCH($B1614,WageIds,0)),"—"))</f>
        <v/>
      </c>
      <c r="G1614" s="20">
        <f>IF($B1614="","",IFERROR(VLOOKUP(INDEX(WageParty,MATCH($B1614,WageIds,0)),WGTbl,2,0),"—"))</f>
        <v/>
      </c>
      <c r="H1614" s="12" t="n"/>
    </row>
    <row r="1615">
      <c r="A1615" s="10">
        <f>IF($B1615="","",COUNTA($B$9:$B1615))</f>
        <v/>
      </c>
      <c r="B1615" s="12" t="n"/>
      <c r="C1615" s="13" t="n"/>
      <c r="D1615" s="14">
        <f>IF($C1615="","",IFERROR(IF(VLOOKUP($C1615,AcctTblE,4,0)="","(بدون نام)",VLOOKUP($C1615,AcctTblE,4,0)),"کد ناشناخته"))</f>
        <v/>
      </c>
      <c r="E1615" s="15" t="n"/>
      <c r="F1615" s="14">
        <f>IF($B1615="","",IFERROR(INDEX(WageDates,MATCH($B1615,WageIds,0)),"—"))</f>
        <v/>
      </c>
      <c r="G1615" s="14">
        <f>IF($B1615="","",IFERROR(VLOOKUP(INDEX(WageParty,MATCH($B1615,WageIds,0)),WGTbl,2,0),"—"))</f>
        <v/>
      </c>
      <c r="H1615" s="12" t="n"/>
    </row>
    <row r="1616">
      <c r="A1616" s="19">
        <f>IF($B1616="","",COUNTA($B$9:$B1616))</f>
        <v/>
      </c>
      <c r="B1616" s="12" t="n"/>
      <c r="C1616" s="13" t="n"/>
      <c r="D1616" s="20">
        <f>IF($C1616="","",IFERROR(IF(VLOOKUP($C1616,AcctTblE,4,0)="","(بدون نام)",VLOOKUP($C1616,AcctTblE,4,0)),"کد ناشناخته"))</f>
        <v/>
      </c>
      <c r="E1616" s="15" t="n"/>
      <c r="F1616" s="20">
        <f>IF($B1616="","",IFERROR(INDEX(WageDates,MATCH($B1616,WageIds,0)),"—"))</f>
        <v/>
      </c>
      <c r="G1616" s="20">
        <f>IF($B1616="","",IFERROR(VLOOKUP(INDEX(WageParty,MATCH($B1616,WageIds,0)),WGTbl,2,0),"—"))</f>
        <v/>
      </c>
      <c r="H1616" s="12" t="n"/>
    </row>
    <row r="1617">
      <c r="A1617" s="10">
        <f>IF($B1617="","",COUNTA($B$9:$B1617))</f>
        <v/>
      </c>
      <c r="B1617" s="12" t="n"/>
      <c r="C1617" s="13" t="n"/>
      <c r="D1617" s="14">
        <f>IF($C1617="","",IFERROR(IF(VLOOKUP($C1617,AcctTblE,4,0)="","(بدون نام)",VLOOKUP($C1617,AcctTblE,4,0)),"کد ناشناخته"))</f>
        <v/>
      </c>
      <c r="E1617" s="15" t="n"/>
      <c r="F1617" s="14">
        <f>IF($B1617="","",IFERROR(INDEX(WageDates,MATCH($B1617,WageIds,0)),"—"))</f>
        <v/>
      </c>
      <c r="G1617" s="14">
        <f>IF($B1617="","",IFERROR(VLOOKUP(INDEX(WageParty,MATCH($B1617,WageIds,0)),WGTbl,2,0),"—"))</f>
        <v/>
      </c>
      <c r="H1617" s="12" t="n"/>
    </row>
    <row r="1618">
      <c r="A1618" s="19">
        <f>IF($B1618="","",COUNTA($B$9:$B1618))</f>
        <v/>
      </c>
      <c r="B1618" s="12" t="n"/>
      <c r="C1618" s="13" t="n"/>
      <c r="D1618" s="20">
        <f>IF($C1618="","",IFERROR(IF(VLOOKUP($C1618,AcctTblE,4,0)="","(بدون نام)",VLOOKUP($C1618,AcctTblE,4,0)),"کد ناشناخته"))</f>
        <v/>
      </c>
      <c r="E1618" s="15" t="n"/>
      <c r="F1618" s="20">
        <f>IF($B1618="","",IFERROR(INDEX(WageDates,MATCH($B1618,WageIds,0)),"—"))</f>
        <v/>
      </c>
      <c r="G1618" s="20">
        <f>IF($B1618="","",IFERROR(VLOOKUP(INDEX(WageParty,MATCH($B1618,WageIds,0)),WGTbl,2,0),"—"))</f>
        <v/>
      </c>
      <c r="H1618" s="12" t="n"/>
    </row>
    <row r="1619">
      <c r="A1619" s="10">
        <f>IF($B1619="","",COUNTA($B$9:$B1619))</f>
        <v/>
      </c>
      <c r="B1619" s="12" t="n"/>
      <c r="C1619" s="13" t="n"/>
      <c r="D1619" s="14">
        <f>IF($C1619="","",IFERROR(IF(VLOOKUP($C1619,AcctTblE,4,0)="","(بدون نام)",VLOOKUP($C1619,AcctTblE,4,0)),"کد ناشناخته"))</f>
        <v/>
      </c>
      <c r="E1619" s="15" t="n"/>
      <c r="F1619" s="14">
        <f>IF($B1619="","",IFERROR(INDEX(WageDates,MATCH($B1619,WageIds,0)),"—"))</f>
        <v/>
      </c>
      <c r="G1619" s="14">
        <f>IF($B1619="","",IFERROR(VLOOKUP(INDEX(WageParty,MATCH($B1619,WageIds,0)),WGTbl,2,0),"—"))</f>
        <v/>
      </c>
      <c r="H1619" s="12" t="n"/>
    </row>
    <row r="1620">
      <c r="A1620" s="19">
        <f>IF($B1620="","",COUNTA($B$9:$B1620))</f>
        <v/>
      </c>
      <c r="B1620" s="12" t="n"/>
      <c r="C1620" s="13" t="n"/>
      <c r="D1620" s="20">
        <f>IF($C1620="","",IFERROR(IF(VLOOKUP($C1620,AcctTblE,4,0)="","(بدون نام)",VLOOKUP($C1620,AcctTblE,4,0)),"کد ناشناخته"))</f>
        <v/>
      </c>
      <c r="E1620" s="15" t="n"/>
      <c r="F1620" s="20">
        <f>IF($B1620="","",IFERROR(INDEX(WageDates,MATCH($B1620,WageIds,0)),"—"))</f>
        <v/>
      </c>
      <c r="G1620" s="20">
        <f>IF($B1620="","",IFERROR(VLOOKUP(INDEX(WageParty,MATCH($B1620,WageIds,0)),WGTbl,2,0),"—"))</f>
        <v/>
      </c>
      <c r="H1620" s="12" t="n"/>
    </row>
    <row r="1621">
      <c r="A1621" s="10">
        <f>IF($B1621="","",COUNTA($B$9:$B1621))</f>
        <v/>
      </c>
      <c r="B1621" s="12" t="n"/>
      <c r="C1621" s="13" t="n"/>
      <c r="D1621" s="14">
        <f>IF($C1621="","",IFERROR(IF(VLOOKUP($C1621,AcctTblE,4,0)="","(بدون نام)",VLOOKUP($C1621,AcctTblE,4,0)),"کد ناشناخته"))</f>
        <v/>
      </c>
      <c r="E1621" s="15" t="n"/>
      <c r="F1621" s="14">
        <f>IF($B1621="","",IFERROR(INDEX(WageDates,MATCH($B1621,WageIds,0)),"—"))</f>
        <v/>
      </c>
      <c r="G1621" s="14">
        <f>IF($B1621="","",IFERROR(VLOOKUP(INDEX(WageParty,MATCH($B1621,WageIds,0)),WGTbl,2,0),"—"))</f>
        <v/>
      </c>
      <c r="H1621" s="12" t="n"/>
    </row>
    <row r="1622">
      <c r="A1622" s="19">
        <f>IF($B1622="","",COUNTA($B$9:$B1622))</f>
        <v/>
      </c>
      <c r="B1622" s="12" t="n"/>
      <c r="C1622" s="13" t="n"/>
      <c r="D1622" s="20">
        <f>IF($C1622="","",IFERROR(IF(VLOOKUP($C1622,AcctTblE,4,0)="","(بدون نام)",VLOOKUP($C1622,AcctTblE,4,0)),"کد ناشناخته"))</f>
        <v/>
      </c>
      <c r="E1622" s="15" t="n"/>
      <c r="F1622" s="20">
        <f>IF($B1622="","",IFERROR(INDEX(WageDates,MATCH($B1622,WageIds,0)),"—"))</f>
        <v/>
      </c>
      <c r="G1622" s="20">
        <f>IF($B1622="","",IFERROR(VLOOKUP(INDEX(WageParty,MATCH($B1622,WageIds,0)),WGTbl,2,0),"—"))</f>
        <v/>
      </c>
      <c r="H1622" s="12" t="n"/>
    </row>
    <row r="1623">
      <c r="A1623" s="10">
        <f>IF($B1623="","",COUNTA($B$9:$B1623))</f>
        <v/>
      </c>
      <c r="B1623" s="12" t="n"/>
      <c r="C1623" s="13" t="n"/>
      <c r="D1623" s="14">
        <f>IF($C1623="","",IFERROR(IF(VLOOKUP($C1623,AcctTblE,4,0)="","(بدون نام)",VLOOKUP($C1623,AcctTblE,4,0)),"کد ناشناخته"))</f>
        <v/>
      </c>
      <c r="E1623" s="15" t="n"/>
      <c r="F1623" s="14">
        <f>IF($B1623="","",IFERROR(INDEX(WageDates,MATCH($B1623,WageIds,0)),"—"))</f>
        <v/>
      </c>
      <c r="G1623" s="14">
        <f>IF($B1623="","",IFERROR(VLOOKUP(INDEX(WageParty,MATCH($B1623,WageIds,0)),WGTbl,2,0),"—"))</f>
        <v/>
      </c>
      <c r="H1623" s="12" t="n"/>
    </row>
    <row r="1624">
      <c r="A1624" s="19">
        <f>IF($B1624="","",COUNTA($B$9:$B1624))</f>
        <v/>
      </c>
      <c r="B1624" s="12" t="n"/>
      <c r="C1624" s="13" t="n"/>
      <c r="D1624" s="20">
        <f>IF($C1624="","",IFERROR(IF(VLOOKUP($C1624,AcctTblE,4,0)="","(بدون نام)",VLOOKUP($C1624,AcctTblE,4,0)),"کد ناشناخته"))</f>
        <v/>
      </c>
      <c r="E1624" s="15" t="n"/>
      <c r="F1624" s="20">
        <f>IF($B1624="","",IFERROR(INDEX(WageDates,MATCH($B1624,WageIds,0)),"—"))</f>
        <v/>
      </c>
      <c r="G1624" s="20">
        <f>IF($B1624="","",IFERROR(VLOOKUP(INDEX(WageParty,MATCH($B1624,WageIds,0)),WGTbl,2,0),"—"))</f>
        <v/>
      </c>
      <c r="H1624" s="12" t="n"/>
    </row>
    <row r="1625">
      <c r="A1625" s="10">
        <f>IF($B1625="","",COUNTA($B$9:$B1625))</f>
        <v/>
      </c>
      <c r="B1625" s="12" t="n"/>
      <c r="C1625" s="13" t="n"/>
      <c r="D1625" s="14">
        <f>IF($C1625="","",IFERROR(IF(VLOOKUP($C1625,AcctTblE,4,0)="","(بدون نام)",VLOOKUP($C1625,AcctTblE,4,0)),"کد ناشناخته"))</f>
        <v/>
      </c>
      <c r="E1625" s="15" t="n"/>
      <c r="F1625" s="14">
        <f>IF($B1625="","",IFERROR(INDEX(WageDates,MATCH($B1625,WageIds,0)),"—"))</f>
        <v/>
      </c>
      <c r="G1625" s="14">
        <f>IF($B1625="","",IFERROR(VLOOKUP(INDEX(WageParty,MATCH($B1625,WageIds,0)),WGTbl,2,0),"—"))</f>
        <v/>
      </c>
      <c r="H1625" s="12" t="n"/>
    </row>
    <row r="1626">
      <c r="A1626" s="19">
        <f>IF($B1626="","",COUNTA($B$9:$B1626))</f>
        <v/>
      </c>
      <c r="B1626" s="12" t="n"/>
      <c r="C1626" s="13" t="n"/>
      <c r="D1626" s="20">
        <f>IF($C1626="","",IFERROR(IF(VLOOKUP($C1626,AcctTblE,4,0)="","(بدون نام)",VLOOKUP($C1626,AcctTblE,4,0)),"کد ناشناخته"))</f>
        <v/>
      </c>
      <c r="E1626" s="15" t="n"/>
      <c r="F1626" s="20">
        <f>IF($B1626="","",IFERROR(INDEX(WageDates,MATCH($B1626,WageIds,0)),"—"))</f>
        <v/>
      </c>
      <c r="G1626" s="20">
        <f>IF($B1626="","",IFERROR(VLOOKUP(INDEX(WageParty,MATCH($B1626,WageIds,0)),WGTbl,2,0),"—"))</f>
        <v/>
      </c>
      <c r="H1626" s="12" t="n"/>
    </row>
    <row r="1627">
      <c r="A1627" s="10">
        <f>IF($B1627="","",COUNTA($B$9:$B1627))</f>
        <v/>
      </c>
      <c r="B1627" s="12" t="n"/>
      <c r="C1627" s="13" t="n"/>
      <c r="D1627" s="14">
        <f>IF($C1627="","",IFERROR(IF(VLOOKUP($C1627,AcctTblE,4,0)="","(بدون نام)",VLOOKUP($C1627,AcctTblE,4,0)),"کد ناشناخته"))</f>
        <v/>
      </c>
      <c r="E1627" s="15" t="n"/>
      <c r="F1627" s="14">
        <f>IF($B1627="","",IFERROR(INDEX(WageDates,MATCH($B1627,WageIds,0)),"—"))</f>
        <v/>
      </c>
      <c r="G1627" s="14">
        <f>IF($B1627="","",IFERROR(VLOOKUP(INDEX(WageParty,MATCH($B1627,WageIds,0)),WGTbl,2,0),"—"))</f>
        <v/>
      </c>
      <c r="H1627" s="12" t="n"/>
    </row>
    <row r="1628">
      <c r="A1628" s="19">
        <f>IF($B1628="","",COUNTA($B$9:$B1628))</f>
        <v/>
      </c>
      <c r="B1628" s="12" t="n"/>
      <c r="C1628" s="13" t="n"/>
      <c r="D1628" s="20">
        <f>IF($C1628="","",IFERROR(IF(VLOOKUP($C1628,AcctTblE,4,0)="","(بدون نام)",VLOOKUP($C1628,AcctTblE,4,0)),"کد ناشناخته"))</f>
        <v/>
      </c>
      <c r="E1628" s="15" t="n"/>
      <c r="F1628" s="20">
        <f>IF($B1628="","",IFERROR(INDEX(WageDates,MATCH($B1628,WageIds,0)),"—"))</f>
        <v/>
      </c>
      <c r="G1628" s="20">
        <f>IF($B1628="","",IFERROR(VLOOKUP(INDEX(WageParty,MATCH($B1628,WageIds,0)),WGTbl,2,0),"—"))</f>
        <v/>
      </c>
      <c r="H1628" s="12" t="n"/>
    </row>
    <row r="1629">
      <c r="A1629" s="10">
        <f>IF($B1629="","",COUNTA($B$9:$B1629))</f>
        <v/>
      </c>
      <c r="B1629" s="12" t="n"/>
      <c r="C1629" s="13" t="n"/>
      <c r="D1629" s="14">
        <f>IF($C1629="","",IFERROR(IF(VLOOKUP($C1629,AcctTblE,4,0)="","(بدون نام)",VLOOKUP($C1629,AcctTblE,4,0)),"کد ناشناخته"))</f>
        <v/>
      </c>
      <c r="E1629" s="15" t="n"/>
      <c r="F1629" s="14">
        <f>IF($B1629="","",IFERROR(INDEX(WageDates,MATCH($B1629,WageIds,0)),"—"))</f>
        <v/>
      </c>
      <c r="G1629" s="14">
        <f>IF($B1629="","",IFERROR(VLOOKUP(INDEX(WageParty,MATCH($B1629,WageIds,0)),WGTbl,2,0),"—"))</f>
        <v/>
      </c>
      <c r="H1629" s="12" t="n"/>
    </row>
    <row r="1630">
      <c r="A1630" s="19">
        <f>IF($B1630="","",COUNTA($B$9:$B1630))</f>
        <v/>
      </c>
      <c r="B1630" s="12" t="n"/>
      <c r="C1630" s="13" t="n"/>
      <c r="D1630" s="20">
        <f>IF($C1630="","",IFERROR(IF(VLOOKUP($C1630,AcctTblE,4,0)="","(بدون نام)",VLOOKUP($C1630,AcctTblE,4,0)),"کد ناشناخته"))</f>
        <v/>
      </c>
      <c r="E1630" s="15" t="n"/>
      <c r="F1630" s="20">
        <f>IF($B1630="","",IFERROR(INDEX(WageDates,MATCH($B1630,WageIds,0)),"—"))</f>
        <v/>
      </c>
      <c r="G1630" s="20">
        <f>IF($B1630="","",IFERROR(VLOOKUP(INDEX(WageParty,MATCH($B1630,WageIds,0)),WGTbl,2,0),"—"))</f>
        <v/>
      </c>
      <c r="H1630" s="12" t="n"/>
    </row>
    <row r="1631">
      <c r="A1631" s="10">
        <f>IF($B1631="","",COUNTA($B$9:$B1631))</f>
        <v/>
      </c>
      <c r="B1631" s="12" t="n"/>
      <c r="C1631" s="13" t="n"/>
      <c r="D1631" s="14">
        <f>IF($C1631="","",IFERROR(IF(VLOOKUP($C1631,AcctTblE,4,0)="","(بدون نام)",VLOOKUP($C1631,AcctTblE,4,0)),"کد ناشناخته"))</f>
        <v/>
      </c>
      <c r="E1631" s="15" t="n"/>
      <c r="F1631" s="14">
        <f>IF($B1631="","",IFERROR(INDEX(WageDates,MATCH($B1631,WageIds,0)),"—"))</f>
        <v/>
      </c>
      <c r="G1631" s="14">
        <f>IF($B1631="","",IFERROR(VLOOKUP(INDEX(WageParty,MATCH($B1631,WageIds,0)),WGTbl,2,0),"—"))</f>
        <v/>
      </c>
      <c r="H1631" s="12" t="n"/>
    </row>
    <row r="1632">
      <c r="A1632" s="19">
        <f>IF($B1632="","",COUNTA($B$9:$B1632))</f>
        <v/>
      </c>
      <c r="B1632" s="12" t="n"/>
      <c r="C1632" s="13" t="n"/>
      <c r="D1632" s="20">
        <f>IF($C1632="","",IFERROR(IF(VLOOKUP($C1632,AcctTblE,4,0)="","(بدون نام)",VLOOKUP($C1632,AcctTblE,4,0)),"کد ناشناخته"))</f>
        <v/>
      </c>
      <c r="E1632" s="15" t="n"/>
      <c r="F1632" s="20">
        <f>IF($B1632="","",IFERROR(INDEX(WageDates,MATCH($B1632,WageIds,0)),"—"))</f>
        <v/>
      </c>
      <c r="G1632" s="20">
        <f>IF($B1632="","",IFERROR(VLOOKUP(INDEX(WageParty,MATCH($B1632,WageIds,0)),WGTbl,2,0),"—"))</f>
        <v/>
      </c>
      <c r="H1632" s="12" t="n"/>
    </row>
    <row r="1633">
      <c r="A1633" s="10">
        <f>IF($B1633="","",COUNTA($B$9:$B1633))</f>
        <v/>
      </c>
      <c r="B1633" s="12" t="n"/>
      <c r="C1633" s="13" t="n"/>
      <c r="D1633" s="14">
        <f>IF($C1633="","",IFERROR(IF(VLOOKUP($C1633,AcctTblE,4,0)="","(بدون نام)",VLOOKUP($C1633,AcctTblE,4,0)),"کد ناشناخته"))</f>
        <v/>
      </c>
      <c r="E1633" s="15" t="n"/>
      <c r="F1633" s="14">
        <f>IF($B1633="","",IFERROR(INDEX(WageDates,MATCH($B1633,WageIds,0)),"—"))</f>
        <v/>
      </c>
      <c r="G1633" s="14">
        <f>IF($B1633="","",IFERROR(VLOOKUP(INDEX(WageParty,MATCH($B1633,WageIds,0)),WGTbl,2,0),"—"))</f>
        <v/>
      </c>
      <c r="H1633" s="12" t="n"/>
    </row>
    <row r="1634">
      <c r="A1634" s="19">
        <f>IF($B1634="","",COUNTA($B$9:$B1634))</f>
        <v/>
      </c>
      <c r="B1634" s="12" t="n"/>
      <c r="C1634" s="13" t="n"/>
      <c r="D1634" s="20">
        <f>IF($C1634="","",IFERROR(IF(VLOOKUP($C1634,AcctTblE,4,0)="","(بدون نام)",VLOOKUP($C1634,AcctTblE,4,0)),"کد ناشناخته"))</f>
        <v/>
      </c>
      <c r="E1634" s="15" t="n"/>
      <c r="F1634" s="20">
        <f>IF($B1634="","",IFERROR(INDEX(WageDates,MATCH($B1634,WageIds,0)),"—"))</f>
        <v/>
      </c>
      <c r="G1634" s="20">
        <f>IF($B1634="","",IFERROR(VLOOKUP(INDEX(WageParty,MATCH($B1634,WageIds,0)),WGTbl,2,0),"—"))</f>
        <v/>
      </c>
      <c r="H1634" s="12" t="n"/>
    </row>
    <row r="1635">
      <c r="A1635" s="10">
        <f>IF($B1635="","",COUNTA($B$9:$B1635))</f>
        <v/>
      </c>
      <c r="B1635" s="12" t="n"/>
      <c r="C1635" s="13" t="n"/>
      <c r="D1635" s="14">
        <f>IF($C1635="","",IFERROR(IF(VLOOKUP($C1635,AcctTblE,4,0)="","(بدون نام)",VLOOKUP($C1635,AcctTblE,4,0)),"کد ناشناخته"))</f>
        <v/>
      </c>
      <c r="E1635" s="15" t="n"/>
      <c r="F1635" s="14">
        <f>IF($B1635="","",IFERROR(INDEX(WageDates,MATCH($B1635,WageIds,0)),"—"))</f>
        <v/>
      </c>
      <c r="G1635" s="14">
        <f>IF($B1635="","",IFERROR(VLOOKUP(INDEX(WageParty,MATCH($B1635,WageIds,0)),WGTbl,2,0),"—"))</f>
        <v/>
      </c>
      <c r="H1635" s="12" t="n"/>
    </row>
    <row r="1636">
      <c r="A1636" s="19">
        <f>IF($B1636="","",COUNTA($B$9:$B1636))</f>
        <v/>
      </c>
      <c r="B1636" s="12" t="n"/>
      <c r="C1636" s="13" t="n"/>
      <c r="D1636" s="20">
        <f>IF($C1636="","",IFERROR(IF(VLOOKUP($C1636,AcctTblE,4,0)="","(بدون نام)",VLOOKUP($C1636,AcctTblE,4,0)),"کد ناشناخته"))</f>
        <v/>
      </c>
      <c r="E1636" s="15" t="n"/>
      <c r="F1636" s="20">
        <f>IF($B1636="","",IFERROR(INDEX(WageDates,MATCH($B1636,WageIds,0)),"—"))</f>
        <v/>
      </c>
      <c r="G1636" s="20">
        <f>IF($B1636="","",IFERROR(VLOOKUP(INDEX(WageParty,MATCH($B1636,WageIds,0)),WGTbl,2,0),"—"))</f>
        <v/>
      </c>
      <c r="H1636" s="12" t="n"/>
    </row>
    <row r="1637">
      <c r="A1637" s="10">
        <f>IF($B1637="","",COUNTA($B$9:$B1637))</f>
        <v/>
      </c>
      <c r="B1637" s="12" t="n"/>
      <c r="C1637" s="13" t="n"/>
      <c r="D1637" s="14">
        <f>IF($C1637="","",IFERROR(IF(VLOOKUP($C1637,AcctTblE,4,0)="","(بدون نام)",VLOOKUP($C1637,AcctTblE,4,0)),"کد ناشناخته"))</f>
        <v/>
      </c>
      <c r="E1637" s="15" t="n"/>
      <c r="F1637" s="14">
        <f>IF($B1637="","",IFERROR(INDEX(WageDates,MATCH($B1637,WageIds,0)),"—"))</f>
        <v/>
      </c>
      <c r="G1637" s="14">
        <f>IF($B1637="","",IFERROR(VLOOKUP(INDEX(WageParty,MATCH($B1637,WageIds,0)),WGTbl,2,0),"—"))</f>
        <v/>
      </c>
      <c r="H1637" s="12" t="n"/>
    </row>
    <row r="1638">
      <c r="A1638" s="19">
        <f>IF($B1638="","",COUNTA($B$9:$B1638))</f>
        <v/>
      </c>
      <c r="B1638" s="12" t="n"/>
      <c r="C1638" s="13" t="n"/>
      <c r="D1638" s="20">
        <f>IF($C1638="","",IFERROR(IF(VLOOKUP($C1638,AcctTblE,4,0)="","(بدون نام)",VLOOKUP($C1638,AcctTblE,4,0)),"کد ناشناخته"))</f>
        <v/>
      </c>
      <c r="E1638" s="15" t="n"/>
      <c r="F1638" s="20">
        <f>IF($B1638="","",IFERROR(INDEX(WageDates,MATCH($B1638,WageIds,0)),"—"))</f>
        <v/>
      </c>
      <c r="G1638" s="20">
        <f>IF($B1638="","",IFERROR(VLOOKUP(INDEX(WageParty,MATCH($B1638,WageIds,0)),WGTbl,2,0),"—"))</f>
        <v/>
      </c>
      <c r="H1638" s="12" t="n"/>
    </row>
    <row r="1639">
      <c r="A1639" s="10">
        <f>IF($B1639="","",COUNTA($B$9:$B1639))</f>
        <v/>
      </c>
      <c r="B1639" s="12" t="n"/>
      <c r="C1639" s="13" t="n"/>
      <c r="D1639" s="14">
        <f>IF($C1639="","",IFERROR(IF(VLOOKUP($C1639,AcctTblE,4,0)="","(بدون نام)",VLOOKUP($C1639,AcctTblE,4,0)),"کد ناشناخته"))</f>
        <v/>
      </c>
      <c r="E1639" s="15" t="n"/>
      <c r="F1639" s="14">
        <f>IF($B1639="","",IFERROR(INDEX(WageDates,MATCH($B1639,WageIds,0)),"—"))</f>
        <v/>
      </c>
      <c r="G1639" s="14">
        <f>IF($B1639="","",IFERROR(VLOOKUP(INDEX(WageParty,MATCH($B1639,WageIds,0)),WGTbl,2,0),"—"))</f>
        <v/>
      </c>
      <c r="H1639" s="12" t="n"/>
    </row>
    <row r="1640">
      <c r="A1640" s="19">
        <f>IF($B1640="","",COUNTA($B$9:$B1640))</f>
        <v/>
      </c>
      <c r="B1640" s="12" t="n"/>
      <c r="C1640" s="13" t="n"/>
      <c r="D1640" s="20">
        <f>IF($C1640="","",IFERROR(IF(VLOOKUP($C1640,AcctTblE,4,0)="","(بدون نام)",VLOOKUP($C1640,AcctTblE,4,0)),"کد ناشناخته"))</f>
        <v/>
      </c>
      <c r="E1640" s="15" t="n"/>
      <c r="F1640" s="20">
        <f>IF($B1640="","",IFERROR(INDEX(WageDates,MATCH($B1640,WageIds,0)),"—"))</f>
        <v/>
      </c>
      <c r="G1640" s="20">
        <f>IF($B1640="","",IFERROR(VLOOKUP(INDEX(WageParty,MATCH($B1640,WageIds,0)),WGTbl,2,0),"—"))</f>
        <v/>
      </c>
      <c r="H1640" s="12" t="n"/>
    </row>
    <row r="1641">
      <c r="A1641" s="10">
        <f>IF($B1641="","",COUNTA($B$9:$B1641))</f>
        <v/>
      </c>
      <c r="B1641" s="12" t="n"/>
      <c r="C1641" s="13" t="n"/>
      <c r="D1641" s="14">
        <f>IF($C1641="","",IFERROR(IF(VLOOKUP($C1641,AcctTblE,4,0)="","(بدون نام)",VLOOKUP($C1641,AcctTblE,4,0)),"کد ناشناخته"))</f>
        <v/>
      </c>
      <c r="E1641" s="15" t="n"/>
      <c r="F1641" s="14">
        <f>IF($B1641="","",IFERROR(INDEX(WageDates,MATCH($B1641,WageIds,0)),"—"))</f>
        <v/>
      </c>
      <c r="G1641" s="14">
        <f>IF($B1641="","",IFERROR(VLOOKUP(INDEX(WageParty,MATCH($B1641,WageIds,0)),WGTbl,2,0),"—"))</f>
        <v/>
      </c>
      <c r="H1641" s="12" t="n"/>
    </row>
    <row r="1642">
      <c r="A1642" s="19">
        <f>IF($B1642="","",COUNTA($B$9:$B1642))</f>
        <v/>
      </c>
      <c r="B1642" s="12" t="n"/>
      <c r="C1642" s="13" t="n"/>
      <c r="D1642" s="20">
        <f>IF($C1642="","",IFERROR(IF(VLOOKUP($C1642,AcctTblE,4,0)="","(بدون نام)",VLOOKUP($C1642,AcctTblE,4,0)),"کد ناشناخته"))</f>
        <v/>
      </c>
      <c r="E1642" s="15" t="n"/>
      <c r="F1642" s="20">
        <f>IF($B1642="","",IFERROR(INDEX(WageDates,MATCH($B1642,WageIds,0)),"—"))</f>
        <v/>
      </c>
      <c r="G1642" s="20">
        <f>IF($B1642="","",IFERROR(VLOOKUP(INDEX(WageParty,MATCH($B1642,WageIds,0)),WGTbl,2,0),"—"))</f>
        <v/>
      </c>
      <c r="H1642" s="12" t="n"/>
    </row>
    <row r="1643">
      <c r="A1643" s="10">
        <f>IF($B1643="","",COUNTA($B$9:$B1643))</f>
        <v/>
      </c>
      <c r="B1643" s="12" t="n"/>
      <c r="C1643" s="13" t="n"/>
      <c r="D1643" s="14">
        <f>IF($C1643="","",IFERROR(IF(VLOOKUP($C1643,AcctTblE,4,0)="","(بدون نام)",VLOOKUP($C1643,AcctTblE,4,0)),"کد ناشناخته"))</f>
        <v/>
      </c>
      <c r="E1643" s="15" t="n"/>
      <c r="F1643" s="14">
        <f>IF($B1643="","",IFERROR(INDEX(WageDates,MATCH($B1643,WageIds,0)),"—"))</f>
        <v/>
      </c>
      <c r="G1643" s="14">
        <f>IF($B1643="","",IFERROR(VLOOKUP(INDEX(WageParty,MATCH($B1643,WageIds,0)),WGTbl,2,0),"—"))</f>
        <v/>
      </c>
      <c r="H1643" s="12" t="n"/>
    </row>
    <row r="1644">
      <c r="A1644" s="19">
        <f>IF($B1644="","",COUNTA($B$9:$B1644))</f>
        <v/>
      </c>
      <c r="B1644" s="12" t="n"/>
      <c r="C1644" s="13" t="n"/>
      <c r="D1644" s="20">
        <f>IF($C1644="","",IFERROR(IF(VLOOKUP($C1644,AcctTblE,4,0)="","(بدون نام)",VLOOKUP($C1644,AcctTblE,4,0)),"کد ناشناخته"))</f>
        <v/>
      </c>
      <c r="E1644" s="15" t="n"/>
      <c r="F1644" s="20">
        <f>IF($B1644="","",IFERROR(INDEX(WageDates,MATCH($B1644,WageIds,0)),"—"))</f>
        <v/>
      </c>
      <c r="G1644" s="20">
        <f>IF($B1644="","",IFERROR(VLOOKUP(INDEX(WageParty,MATCH($B1644,WageIds,0)),WGTbl,2,0),"—"))</f>
        <v/>
      </c>
      <c r="H1644" s="12" t="n"/>
    </row>
    <row r="1645">
      <c r="A1645" s="10">
        <f>IF($B1645="","",COUNTA($B$9:$B1645))</f>
        <v/>
      </c>
      <c r="B1645" s="12" t="n"/>
      <c r="C1645" s="13" t="n"/>
      <c r="D1645" s="14">
        <f>IF($C1645="","",IFERROR(IF(VLOOKUP($C1645,AcctTblE,4,0)="","(بدون نام)",VLOOKUP($C1645,AcctTblE,4,0)),"کد ناشناخته"))</f>
        <v/>
      </c>
      <c r="E1645" s="15" t="n"/>
      <c r="F1645" s="14">
        <f>IF($B1645="","",IFERROR(INDEX(WageDates,MATCH($B1645,WageIds,0)),"—"))</f>
        <v/>
      </c>
      <c r="G1645" s="14">
        <f>IF($B1645="","",IFERROR(VLOOKUP(INDEX(WageParty,MATCH($B1645,WageIds,0)),WGTbl,2,0),"—"))</f>
        <v/>
      </c>
      <c r="H1645" s="12" t="n"/>
    </row>
    <row r="1646">
      <c r="A1646" s="19">
        <f>IF($B1646="","",COUNTA($B$9:$B1646))</f>
        <v/>
      </c>
      <c r="B1646" s="12" t="n"/>
      <c r="C1646" s="13" t="n"/>
      <c r="D1646" s="20">
        <f>IF($C1646="","",IFERROR(IF(VLOOKUP($C1646,AcctTblE,4,0)="","(بدون نام)",VLOOKUP($C1646,AcctTblE,4,0)),"کد ناشناخته"))</f>
        <v/>
      </c>
      <c r="E1646" s="15" t="n"/>
      <c r="F1646" s="20">
        <f>IF($B1646="","",IFERROR(INDEX(WageDates,MATCH($B1646,WageIds,0)),"—"))</f>
        <v/>
      </c>
      <c r="G1646" s="20">
        <f>IF($B1646="","",IFERROR(VLOOKUP(INDEX(WageParty,MATCH($B1646,WageIds,0)),WGTbl,2,0),"—"))</f>
        <v/>
      </c>
      <c r="H1646" s="12" t="n"/>
    </row>
    <row r="1647">
      <c r="A1647" s="10">
        <f>IF($B1647="","",COUNTA($B$9:$B1647))</f>
        <v/>
      </c>
      <c r="B1647" s="12" t="n"/>
      <c r="C1647" s="13" t="n"/>
      <c r="D1647" s="14">
        <f>IF($C1647="","",IFERROR(IF(VLOOKUP($C1647,AcctTblE,4,0)="","(بدون نام)",VLOOKUP($C1647,AcctTblE,4,0)),"کد ناشناخته"))</f>
        <v/>
      </c>
      <c r="E1647" s="15" t="n"/>
      <c r="F1647" s="14">
        <f>IF($B1647="","",IFERROR(INDEX(WageDates,MATCH($B1647,WageIds,0)),"—"))</f>
        <v/>
      </c>
      <c r="G1647" s="14">
        <f>IF($B1647="","",IFERROR(VLOOKUP(INDEX(WageParty,MATCH($B1647,WageIds,0)),WGTbl,2,0),"—"))</f>
        <v/>
      </c>
      <c r="H1647" s="12" t="n"/>
    </row>
    <row r="1648">
      <c r="A1648" s="19">
        <f>IF($B1648="","",COUNTA($B$9:$B1648))</f>
        <v/>
      </c>
      <c r="B1648" s="12" t="n"/>
      <c r="C1648" s="13" t="n"/>
      <c r="D1648" s="20">
        <f>IF($C1648="","",IFERROR(IF(VLOOKUP($C1648,AcctTblE,4,0)="","(بدون نام)",VLOOKUP($C1648,AcctTblE,4,0)),"کد ناشناخته"))</f>
        <v/>
      </c>
      <c r="E1648" s="15" t="n"/>
      <c r="F1648" s="20">
        <f>IF($B1648="","",IFERROR(INDEX(WageDates,MATCH($B1648,WageIds,0)),"—"))</f>
        <v/>
      </c>
      <c r="G1648" s="20">
        <f>IF($B1648="","",IFERROR(VLOOKUP(INDEX(WageParty,MATCH($B1648,WageIds,0)),WGTbl,2,0),"—"))</f>
        <v/>
      </c>
      <c r="H1648" s="12" t="n"/>
    </row>
    <row r="1649">
      <c r="A1649" s="10">
        <f>IF($B1649="","",COUNTA($B$9:$B1649))</f>
        <v/>
      </c>
      <c r="B1649" s="12" t="n"/>
      <c r="C1649" s="13" t="n"/>
      <c r="D1649" s="14">
        <f>IF($C1649="","",IFERROR(IF(VLOOKUP($C1649,AcctTblE,4,0)="","(بدون نام)",VLOOKUP($C1649,AcctTblE,4,0)),"کد ناشناخته"))</f>
        <v/>
      </c>
      <c r="E1649" s="15" t="n"/>
      <c r="F1649" s="14">
        <f>IF($B1649="","",IFERROR(INDEX(WageDates,MATCH($B1649,WageIds,0)),"—"))</f>
        <v/>
      </c>
      <c r="G1649" s="14">
        <f>IF($B1649="","",IFERROR(VLOOKUP(INDEX(WageParty,MATCH($B1649,WageIds,0)),WGTbl,2,0),"—"))</f>
        <v/>
      </c>
      <c r="H1649" s="12" t="n"/>
    </row>
    <row r="1650">
      <c r="A1650" s="19">
        <f>IF($B1650="","",COUNTA($B$9:$B1650))</f>
        <v/>
      </c>
      <c r="B1650" s="12" t="n"/>
      <c r="C1650" s="13" t="n"/>
      <c r="D1650" s="20">
        <f>IF($C1650="","",IFERROR(IF(VLOOKUP($C1650,AcctTblE,4,0)="","(بدون نام)",VLOOKUP($C1650,AcctTblE,4,0)),"کد ناشناخته"))</f>
        <v/>
      </c>
      <c r="E1650" s="15" t="n"/>
      <c r="F1650" s="20">
        <f>IF($B1650="","",IFERROR(INDEX(WageDates,MATCH($B1650,WageIds,0)),"—"))</f>
        <v/>
      </c>
      <c r="G1650" s="20">
        <f>IF($B1650="","",IFERROR(VLOOKUP(INDEX(WageParty,MATCH($B1650,WageIds,0)),WGTbl,2,0),"—"))</f>
        <v/>
      </c>
      <c r="H1650" s="12" t="n"/>
    </row>
    <row r="1651">
      <c r="A1651" s="10">
        <f>IF($B1651="","",COUNTA($B$9:$B1651))</f>
        <v/>
      </c>
      <c r="B1651" s="12" t="n"/>
      <c r="C1651" s="13" t="n"/>
      <c r="D1651" s="14">
        <f>IF($C1651="","",IFERROR(IF(VLOOKUP($C1651,AcctTblE,4,0)="","(بدون نام)",VLOOKUP($C1651,AcctTblE,4,0)),"کد ناشناخته"))</f>
        <v/>
      </c>
      <c r="E1651" s="15" t="n"/>
      <c r="F1651" s="14">
        <f>IF($B1651="","",IFERROR(INDEX(WageDates,MATCH($B1651,WageIds,0)),"—"))</f>
        <v/>
      </c>
      <c r="G1651" s="14">
        <f>IF($B1651="","",IFERROR(VLOOKUP(INDEX(WageParty,MATCH($B1651,WageIds,0)),WGTbl,2,0),"—"))</f>
        <v/>
      </c>
      <c r="H1651" s="12" t="n"/>
    </row>
    <row r="1652">
      <c r="A1652" s="19">
        <f>IF($B1652="","",COUNTA($B$9:$B1652))</f>
        <v/>
      </c>
      <c r="B1652" s="12" t="n"/>
      <c r="C1652" s="13" t="n"/>
      <c r="D1652" s="20">
        <f>IF($C1652="","",IFERROR(IF(VLOOKUP($C1652,AcctTblE,4,0)="","(بدون نام)",VLOOKUP($C1652,AcctTblE,4,0)),"کد ناشناخته"))</f>
        <v/>
      </c>
      <c r="E1652" s="15" t="n"/>
      <c r="F1652" s="20">
        <f>IF($B1652="","",IFERROR(INDEX(WageDates,MATCH($B1652,WageIds,0)),"—"))</f>
        <v/>
      </c>
      <c r="G1652" s="20">
        <f>IF($B1652="","",IFERROR(VLOOKUP(INDEX(WageParty,MATCH($B1652,WageIds,0)),WGTbl,2,0),"—"))</f>
        <v/>
      </c>
      <c r="H1652" s="12" t="n"/>
    </row>
    <row r="1653">
      <c r="A1653" s="10">
        <f>IF($B1653="","",COUNTA($B$9:$B1653))</f>
        <v/>
      </c>
      <c r="B1653" s="12" t="n"/>
      <c r="C1653" s="13" t="n"/>
      <c r="D1653" s="14">
        <f>IF($C1653="","",IFERROR(IF(VLOOKUP($C1653,AcctTblE,4,0)="","(بدون نام)",VLOOKUP($C1653,AcctTblE,4,0)),"کد ناشناخته"))</f>
        <v/>
      </c>
      <c r="E1653" s="15" t="n"/>
      <c r="F1653" s="14">
        <f>IF($B1653="","",IFERROR(INDEX(WageDates,MATCH($B1653,WageIds,0)),"—"))</f>
        <v/>
      </c>
      <c r="G1653" s="14">
        <f>IF($B1653="","",IFERROR(VLOOKUP(INDEX(WageParty,MATCH($B1653,WageIds,0)),WGTbl,2,0),"—"))</f>
        <v/>
      </c>
      <c r="H1653" s="12" t="n"/>
    </row>
    <row r="1654">
      <c r="A1654" s="19">
        <f>IF($B1654="","",COUNTA($B$9:$B1654))</f>
        <v/>
      </c>
      <c r="B1654" s="12" t="n"/>
      <c r="C1654" s="13" t="n"/>
      <c r="D1654" s="20">
        <f>IF($C1654="","",IFERROR(IF(VLOOKUP($C1654,AcctTblE,4,0)="","(بدون نام)",VLOOKUP($C1654,AcctTblE,4,0)),"کد ناشناخته"))</f>
        <v/>
      </c>
      <c r="E1654" s="15" t="n"/>
      <c r="F1654" s="20">
        <f>IF($B1654="","",IFERROR(INDEX(WageDates,MATCH($B1654,WageIds,0)),"—"))</f>
        <v/>
      </c>
      <c r="G1654" s="20">
        <f>IF($B1654="","",IFERROR(VLOOKUP(INDEX(WageParty,MATCH($B1654,WageIds,0)),WGTbl,2,0),"—"))</f>
        <v/>
      </c>
      <c r="H1654" s="12" t="n"/>
    </row>
    <row r="1655">
      <c r="A1655" s="10">
        <f>IF($B1655="","",COUNTA($B$9:$B1655))</f>
        <v/>
      </c>
      <c r="B1655" s="12" t="n"/>
      <c r="C1655" s="13" t="n"/>
      <c r="D1655" s="14">
        <f>IF($C1655="","",IFERROR(IF(VLOOKUP($C1655,AcctTblE,4,0)="","(بدون نام)",VLOOKUP($C1655,AcctTblE,4,0)),"کد ناشناخته"))</f>
        <v/>
      </c>
      <c r="E1655" s="15" t="n"/>
      <c r="F1655" s="14">
        <f>IF($B1655="","",IFERROR(INDEX(WageDates,MATCH($B1655,WageIds,0)),"—"))</f>
        <v/>
      </c>
      <c r="G1655" s="14">
        <f>IF($B1655="","",IFERROR(VLOOKUP(INDEX(WageParty,MATCH($B1655,WageIds,0)),WGTbl,2,0),"—"))</f>
        <v/>
      </c>
      <c r="H1655" s="12" t="n"/>
    </row>
    <row r="1656">
      <c r="A1656" s="19">
        <f>IF($B1656="","",COUNTA($B$9:$B1656))</f>
        <v/>
      </c>
      <c r="B1656" s="12" t="n"/>
      <c r="C1656" s="13" t="n"/>
      <c r="D1656" s="20">
        <f>IF($C1656="","",IFERROR(IF(VLOOKUP($C1656,AcctTblE,4,0)="","(بدون نام)",VLOOKUP($C1656,AcctTblE,4,0)),"کد ناشناخته"))</f>
        <v/>
      </c>
      <c r="E1656" s="15" t="n"/>
      <c r="F1656" s="20">
        <f>IF($B1656="","",IFERROR(INDEX(WageDates,MATCH($B1656,WageIds,0)),"—"))</f>
        <v/>
      </c>
      <c r="G1656" s="20">
        <f>IF($B1656="","",IFERROR(VLOOKUP(INDEX(WageParty,MATCH($B1656,WageIds,0)),WGTbl,2,0),"—"))</f>
        <v/>
      </c>
      <c r="H1656" s="12" t="n"/>
    </row>
    <row r="1657">
      <c r="A1657" s="10">
        <f>IF($B1657="","",COUNTA($B$9:$B1657))</f>
        <v/>
      </c>
      <c r="B1657" s="12" t="n"/>
      <c r="C1657" s="13" t="n"/>
      <c r="D1657" s="14">
        <f>IF($C1657="","",IFERROR(IF(VLOOKUP($C1657,AcctTblE,4,0)="","(بدون نام)",VLOOKUP($C1657,AcctTblE,4,0)),"کد ناشناخته"))</f>
        <v/>
      </c>
      <c r="E1657" s="15" t="n"/>
      <c r="F1657" s="14">
        <f>IF($B1657="","",IFERROR(INDEX(WageDates,MATCH($B1657,WageIds,0)),"—"))</f>
        <v/>
      </c>
      <c r="G1657" s="14">
        <f>IF($B1657="","",IFERROR(VLOOKUP(INDEX(WageParty,MATCH($B1657,WageIds,0)),WGTbl,2,0),"—"))</f>
        <v/>
      </c>
      <c r="H1657" s="12" t="n"/>
    </row>
    <row r="1658">
      <c r="A1658" s="19">
        <f>IF($B1658="","",COUNTA($B$9:$B1658))</f>
        <v/>
      </c>
      <c r="B1658" s="12" t="n"/>
      <c r="C1658" s="13" t="n"/>
      <c r="D1658" s="20">
        <f>IF($C1658="","",IFERROR(IF(VLOOKUP($C1658,AcctTblE,4,0)="","(بدون نام)",VLOOKUP($C1658,AcctTblE,4,0)),"کد ناشناخته"))</f>
        <v/>
      </c>
      <c r="E1658" s="15" t="n"/>
      <c r="F1658" s="20">
        <f>IF($B1658="","",IFERROR(INDEX(WageDates,MATCH($B1658,WageIds,0)),"—"))</f>
        <v/>
      </c>
      <c r="G1658" s="20">
        <f>IF($B1658="","",IFERROR(VLOOKUP(INDEX(WageParty,MATCH($B1658,WageIds,0)),WGTbl,2,0),"—"))</f>
        <v/>
      </c>
      <c r="H1658" s="12" t="n"/>
    </row>
    <row r="1659">
      <c r="A1659" s="10">
        <f>IF($B1659="","",COUNTA($B$9:$B1659))</f>
        <v/>
      </c>
      <c r="B1659" s="12" t="n"/>
      <c r="C1659" s="13" t="n"/>
      <c r="D1659" s="14">
        <f>IF($C1659="","",IFERROR(IF(VLOOKUP($C1659,AcctTblE,4,0)="","(بدون نام)",VLOOKUP($C1659,AcctTblE,4,0)),"کد ناشناخته"))</f>
        <v/>
      </c>
      <c r="E1659" s="15" t="n"/>
      <c r="F1659" s="14">
        <f>IF($B1659="","",IFERROR(INDEX(WageDates,MATCH($B1659,WageIds,0)),"—"))</f>
        <v/>
      </c>
      <c r="G1659" s="14">
        <f>IF($B1659="","",IFERROR(VLOOKUP(INDEX(WageParty,MATCH($B1659,WageIds,0)),WGTbl,2,0),"—"))</f>
        <v/>
      </c>
      <c r="H1659" s="12" t="n"/>
    </row>
    <row r="1660">
      <c r="A1660" s="19">
        <f>IF($B1660="","",COUNTA($B$9:$B1660))</f>
        <v/>
      </c>
      <c r="B1660" s="12" t="n"/>
      <c r="C1660" s="13" t="n"/>
      <c r="D1660" s="20">
        <f>IF($C1660="","",IFERROR(IF(VLOOKUP($C1660,AcctTblE,4,0)="","(بدون نام)",VLOOKUP($C1660,AcctTblE,4,0)),"کد ناشناخته"))</f>
        <v/>
      </c>
      <c r="E1660" s="15" t="n"/>
      <c r="F1660" s="20">
        <f>IF($B1660="","",IFERROR(INDEX(WageDates,MATCH($B1660,WageIds,0)),"—"))</f>
        <v/>
      </c>
      <c r="G1660" s="20">
        <f>IF($B1660="","",IFERROR(VLOOKUP(INDEX(WageParty,MATCH($B1660,WageIds,0)),WGTbl,2,0),"—"))</f>
        <v/>
      </c>
      <c r="H1660" s="12" t="n"/>
    </row>
    <row r="1661">
      <c r="A1661" s="10">
        <f>IF($B1661="","",COUNTA($B$9:$B1661))</f>
        <v/>
      </c>
      <c r="B1661" s="12" t="n"/>
      <c r="C1661" s="13" t="n"/>
      <c r="D1661" s="14">
        <f>IF($C1661="","",IFERROR(IF(VLOOKUP($C1661,AcctTblE,4,0)="","(بدون نام)",VLOOKUP($C1661,AcctTblE,4,0)),"کد ناشناخته"))</f>
        <v/>
      </c>
      <c r="E1661" s="15" t="n"/>
      <c r="F1661" s="14">
        <f>IF($B1661="","",IFERROR(INDEX(WageDates,MATCH($B1661,WageIds,0)),"—"))</f>
        <v/>
      </c>
      <c r="G1661" s="14">
        <f>IF($B1661="","",IFERROR(VLOOKUP(INDEX(WageParty,MATCH($B1661,WageIds,0)),WGTbl,2,0),"—"))</f>
        <v/>
      </c>
      <c r="H1661" s="12" t="n"/>
    </row>
    <row r="1662">
      <c r="A1662" s="19">
        <f>IF($B1662="","",COUNTA($B$9:$B1662))</f>
        <v/>
      </c>
      <c r="B1662" s="12" t="n"/>
      <c r="C1662" s="13" t="n"/>
      <c r="D1662" s="20">
        <f>IF($C1662="","",IFERROR(IF(VLOOKUP($C1662,AcctTblE,4,0)="","(بدون نام)",VLOOKUP($C1662,AcctTblE,4,0)),"کد ناشناخته"))</f>
        <v/>
      </c>
      <c r="E1662" s="15" t="n"/>
      <c r="F1662" s="20">
        <f>IF($B1662="","",IFERROR(INDEX(WageDates,MATCH($B1662,WageIds,0)),"—"))</f>
        <v/>
      </c>
      <c r="G1662" s="20">
        <f>IF($B1662="","",IFERROR(VLOOKUP(INDEX(WageParty,MATCH($B1662,WageIds,0)),WGTbl,2,0),"—"))</f>
        <v/>
      </c>
      <c r="H1662" s="12" t="n"/>
    </row>
    <row r="1663">
      <c r="A1663" s="10">
        <f>IF($B1663="","",COUNTA($B$9:$B1663))</f>
        <v/>
      </c>
      <c r="B1663" s="12" t="n"/>
      <c r="C1663" s="13" t="n"/>
      <c r="D1663" s="14">
        <f>IF($C1663="","",IFERROR(IF(VLOOKUP($C1663,AcctTblE,4,0)="","(بدون نام)",VLOOKUP($C1663,AcctTblE,4,0)),"کد ناشناخته"))</f>
        <v/>
      </c>
      <c r="E1663" s="15" t="n"/>
      <c r="F1663" s="14">
        <f>IF($B1663="","",IFERROR(INDEX(WageDates,MATCH($B1663,WageIds,0)),"—"))</f>
        <v/>
      </c>
      <c r="G1663" s="14">
        <f>IF($B1663="","",IFERROR(VLOOKUP(INDEX(WageParty,MATCH($B1663,WageIds,0)),WGTbl,2,0),"—"))</f>
        <v/>
      </c>
      <c r="H1663" s="12" t="n"/>
    </row>
    <row r="1664">
      <c r="A1664" s="19">
        <f>IF($B1664="","",COUNTA($B$9:$B1664))</f>
        <v/>
      </c>
      <c r="B1664" s="12" t="n"/>
      <c r="C1664" s="13" t="n"/>
      <c r="D1664" s="20">
        <f>IF($C1664="","",IFERROR(IF(VLOOKUP($C1664,AcctTblE,4,0)="","(بدون نام)",VLOOKUP($C1664,AcctTblE,4,0)),"کد ناشناخته"))</f>
        <v/>
      </c>
      <c r="E1664" s="15" t="n"/>
      <c r="F1664" s="20">
        <f>IF($B1664="","",IFERROR(INDEX(WageDates,MATCH($B1664,WageIds,0)),"—"))</f>
        <v/>
      </c>
      <c r="G1664" s="20">
        <f>IF($B1664="","",IFERROR(VLOOKUP(INDEX(WageParty,MATCH($B1664,WageIds,0)),WGTbl,2,0),"—"))</f>
        <v/>
      </c>
      <c r="H1664" s="12" t="n"/>
    </row>
    <row r="1665">
      <c r="A1665" s="10">
        <f>IF($B1665="","",COUNTA($B$9:$B1665))</f>
        <v/>
      </c>
      <c r="B1665" s="12" t="n"/>
      <c r="C1665" s="13" t="n"/>
      <c r="D1665" s="14">
        <f>IF($C1665="","",IFERROR(IF(VLOOKUP($C1665,AcctTblE,4,0)="","(بدون نام)",VLOOKUP($C1665,AcctTblE,4,0)),"کد ناشناخته"))</f>
        <v/>
      </c>
      <c r="E1665" s="15" t="n"/>
      <c r="F1665" s="14">
        <f>IF($B1665="","",IFERROR(INDEX(WageDates,MATCH($B1665,WageIds,0)),"—"))</f>
        <v/>
      </c>
      <c r="G1665" s="14">
        <f>IF($B1665="","",IFERROR(VLOOKUP(INDEX(WageParty,MATCH($B1665,WageIds,0)),WGTbl,2,0),"—"))</f>
        <v/>
      </c>
      <c r="H1665" s="12" t="n"/>
    </row>
    <row r="1666">
      <c r="A1666" s="19">
        <f>IF($B1666="","",COUNTA($B$9:$B1666))</f>
        <v/>
      </c>
      <c r="B1666" s="12" t="n"/>
      <c r="C1666" s="13" t="n"/>
      <c r="D1666" s="20">
        <f>IF($C1666="","",IFERROR(IF(VLOOKUP($C1666,AcctTblE,4,0)="","(بدون نام)",VLOOKUP($C1666,AcctTblE,4,0)),"کد ناشناخته"))</f>
        <v/>
      </c>
      <c r="E1666" s="15" t="n"/>
      <c r="F1666" s="20">
        <f>IF($B1666="","",IFERROR(INDEX(WageDates,MATCH($B1666,WageIds,0)),"—"))</f>
        <v/>
      </c>
      <c r="G1666" s="20">
        <f>IF($B1666="","",IFERROR(VLOOKUP(INDEX(WageParty,MATCH($B1666,WageIds,0)),WGTbl,2,0),"—"))</f>
        <v/>
      </c>
      <c r="H1666" s="12" t="n"/>
    </row>
    <row r="1667">
      <c r="A1667" s="10">
        <f>IF($B1667="","",COUNTA($B$9:$B1667))</f>
        <v/>
      </c>
      <c r="B1667" s="12" t="n"/>
      <c r="C1667" s="13" t="n"/>
      <c r="D1667" s="14">
        <f>IF($C1667="","",IFERROR(IF(VLOOKUP($C1667,AcctTblE,4,0)="","(بدون نام)",VLOOKUP($C1667,AcctTblE,4,0)),"کد ناشناخته"))</f>
        <v/>
      </c>
      <c r="E1667" s="15" t="n"/>
      <c r="F1667" s="14">
        <f>IF($B1667="","",IFERROR(INDEX(WageDates,MATCH($B1667,WageIds,0)),"—"))</f>
        <v/>
      </c>
      <c r="G1667" s="14">
        <f>IF($B1667="","",IFERROR(VLOOKUP(INDEX(WageParty,MATCH($B1667,WageIds,0)),WGTbl,2,0),"—"))</f>
        <v/>
      </c>
      <c r="H1667" s="12" t="n"/>
    </row>
    <row r="1668">
      <c r="A1668" s="19">
        <f>IF($B1668="","",COUNTA($B$9:$B1668))</f>
        <v/>
      </c>
      <c r="B1668" s="12" t="n"/>
      <c r="C1668" s="13" t="n"/>
      <c r="D1668" s="20">
        <f>IF($C1668="","",IFERROR(IF(VLOOKUP($C1668,AcctTblE,4,0)="","(بدون نام)",VLOOKUP($C1668,AcctTblE,4,0)),"کد ناشناخته"))</f>
        <v/>
      </c>
      <c r="E1668" s="15" t="n"/>
      <c r="F1668" s="20">
        <f>IF($B1668="","",IFERROR(INDEX(WageDates,MATCH($B1668,WageIds,0)),"—"))</f>
        <v/>
      </c>
      <c r="G1668" s="20">
        <f>IF($B1668="","",IFERROR(VLOOKUP(INDEX(WageParty,MATCH($B1668,WageIds,0)),WGTbl,2,0),"—"))</f>
        <v/>
      </c>
      <c r="H1668" s="12" t="n"/>
    </row>
    <row r="1669">
      <c r="A1669" s="10">
        <f>IF($B1669="","",COUNTA($B$9:$B1669))</f>
        <v/>
      </c>
      <c r="B1669" s="12" t="n"/>
      <c r="C1669" s="13" t="n"/>
      <c r="D1669" s="14">
        <f>IF($C1669="","",IFERROR(IF(VLOOKUP($C1669,AcctTblE,4,0)="","(بدون نام)",VLOOKUP($C1669,AcctTblE,4,0)),"کد ناشناخته"))</f>
        <v/>
      </c>
      <c r="E1669" s="15" t="n"/>
      <c r="F1669" s="14">
        <f>IF($B1669="","",IFERROR(INDEX(WageDates,MATCH($B1669,WageIds,0)),"—"))</f>
        <v/>
      </c>
      <c r="G1669" s="14">
        <f>IF($B1669="","",IFERROR(VLOOKUP(INDEX(WageParty,MATCH($B1669,WageIds,0)),WGTbl,2,0),"—"))</f>
        <v/>
      </c>
      <c r="H1669" s="12" t="n"/>
    </row>
    <row r="1670">
      <c r="A1670" s="19">
        <f>IF($B1670="","",COUNTA($B$9:$B1670))</f>
        <v/>
      </c>
      <c r="B1670" s="12" t="n"/>
      <c r="C1670" s="13" t="n"/>
      <c r="D1670" s="20">
        <f>IF($C1670="","",IFERROR(IF(VLOOKUP($C1670,AcctTblE,4,0)="","(بدون نام)",VLOOKUP($C1670,AcctTblE,4,0)),"کد ناشناخته"))</f>
        <v/>
      </c>
      <c r="E1670" s="15" t="n"/>
      <c r="F1670" s="20">
        <f>IF($B1670="","",IFERROR(INDEX(WageDates,MATCH($B1670,WageIds,0)),"—"))</f>
        <v/>
      </c>
      <c r="G1670" s="20">
        <f>IF($B1670="","",IFERROR(VLOOKUP(INDEX(WageParty,MATCH($B1670,WageIds,0)),WGTbl,2,0),"—"))</f>
        <v/>
      </c>
      <c r="H1670" s="12" t="n"/>
    </row>
    <row r="1671">
      <c r="A1671" s="10">
        <f>IF($B1671="","",COUNTA($B$9:$B1671))</f>
        <v/>
      </c>
      <c r="B1671" s="12" t="n"/>
      <c r="C1671" s="13" t="n"/>
      <c r="D1671" s="14">
        <f>IF($C1671="","",IFERROR(IF(VLOOKUP($C1671,AcctTblE,4,0)="","(بدون نام)",VLOOKUP($C1671,AcctTblE,4,0)),"کد ناشناخته"))</f>
        <v/>
      </c>
      <c r="E1671" s="15" t="n"/>
      <c r="F1671" s="14">
        <f>IF($B1671="","",IFERROR(INDEX(WageDates,MATCH($B1671,WageIds,0)),"—"))</f>
        <v/>
      </c>
      <c r="G1671" s="14">
        <f>IF($B1671="","",IFERROR(VLOOKUP(INDEX(WageParty,MATCH($B1671,WageIds,0)),WGTbl,2,0),"—"))</f>
        <v/>
      </c>
      <c r="H1671" s="12" t="n"/>
    </row>
    <row r="1672">
      <c r="A1672" s="19">
        <f>IF($B1672="","",COUNTA($B$9:$B1672))</f>
        <v/>
      </c>
      <c r="B1672" s="12" t="n"/>
      <c r="C1672" s="13" t="n"/>
      <c r="D1672" s="20">
        <f>IF($C1672="","",IFERROR(IF(VLOOKUP($C1672,AcctTblE,4,0)="","(بدون نام)",VLOOKUP($C1672,AcctTblE,4,0)),"کد ناشناخته"))</f>
        <v/>
      </c>
      <c r="E1672" s="15" t="n"/>
      <c r="F1672" s="20">
        <f>IF($B1672="","",IFERROR(INDEX(WageDates,MATCH($B1672,WageIds,0)),"—"))</f>
        <v/>
      </c>
      <c r="G1672" s="20">
        <f>IF($B1672="","",IFERROR(VLOOKUP(INDEX(WageParty,MATCH($B1672,WageIds,0)),WGTbl,2,0),"—"))</f>
        <v/>
      </c>
      <c r="H1672" s="12" t="n"/>
    </row>
    <row r="1673">
      <c r="A1673" s="10">
        <f>IF($B1673="","",COUNTA($B$9:$B1673))</f>
        <v/>
      </c>
      <c r="B1673" s="12" t="n"/>
      <c r="C1673" s="13" t="n"/>
      <c r="D1673" s="14">
        <f>IF($C1673="","",IFERROR(IF(VLOOKUP($C1673,AcctTblE,4,0)="","(بدون نام)",VLOOKUP($C1673,AcctTblE,4,0)),"کد ناشناخته"))</f>
        <v/>
      </c>
      <c r="E1673" s="15" t="n"/>
      <c r="F1673" s="14">
        <f>IF($B1673="","",IFERROR(INDEX(WageDates,MATCH($B1673,WageIds,0)),"—"))</f>
        <v/>
      </c>
      <c r="G1673" s="14">
        <f>IF($B1673="","",IFERROR(VLOOKUP(INDEX(WageParty,MATCH($B1673,WageIds,0)),WGTbl,2,0),"—"))</f>
        <v/>
      </c>
      <c r="H1673" s="12" t="n"/>
    </row>
    <row r="1674">
      <c r="A1674" s="19">
        <f>IF($B1674="","",COUNTA($B$9:$B1674))</f>
        <v/>
      </c>
      <c r="B1674" s="12" t="n"/>
      <c r="C1674" s="13" t="n"/>
      <c r="D1674" s="20">
        <f>IF($C1674="","",IFERROR(IF(VLOOKUP($C1674,AcctTblE,4,0)="","(بدون نام)",VLOOKUP($C1674,AcctTblE,4,0)),"کد ناشناخته"))</f>
        <v/>
      </c>
      <c r="E1674" s="15" t="n"/>
      <c r="F1674" s="20">
        <f>IF($B1674="","",IFERROR(INDEX(WageDates,MATCH($B1674,WageIds,0)),"—"))</f>
        <v/>
      </c>
      <c r="G1674" s="20">
        <f>IF($B1674="","",IFERROR(VLOOKUP(INDEX(WageParty,MATCH($B1674,WageIds,0)),WGTbl,2,0),"—"))</f>
        <v/>
      </c>
      <c r="H1674" s="12" t="n"/>
    </row>
    <row r="1675">
      <c r="A1675" s="10">
        <f>IF($B1675="","",COUNTA($B$9:$B1675))</f>
        <v/>
      </c>
      <c r="B1675" s="12" t="n"/>
      <c r="C1675" s="13" t="n"/>
      <c r="D1675" s="14">
        <f>IF($C1675="","",IFERROR(IF(VLOOKUP($C1675,AcctTblE,4,0)="","(بدون نام)",VLOOKUP($C1675,AcctTblE,4,0)),"کد ناشناخته"))</f>
        <v/>
      </c>
      <c r="E1675" s="15" t="n"/>
      <c r="F1675" s="14">
        <f>IF($B1675="","",IFERROR(INDEX(WageDates,MATCH($B1675,WageIds,0)),"—"))</f>
        <v/>
      </c>
      <c r="G1675" s="14">
        <f>IF($B1675="","",IFERROR(VLOOKUP(INDEX(WageParty,MATCH($B1675,WageIds,0)),WGTbl,2,0),"—"))</f>
        <v/>
      </c>
      <c r="H1675" s="12" t="n"/>
    </row>
    <row r="1676">
      <c r="A1676" s="19">
        <f>IF($B1676="","",COUNTA($B$9:$B1676))</f>
        <v/>
      </c>
      <c r="B1676" s="12" t="n"/>
      <c r="C1676" s="13" t="n"/>
      <c r="D1676" s="20">
        <f>IF($C1676="","",IFERROR(IF(VLOOKUP($C1676,AcctTblE,4,0)="","(بدون نام)",VLOOKUP($C1676,AcctTblE,4,0)),"کد ناشناخته"))</f>
        <v/>
      </c>
      <c r="E1676" s="15" t="n"/>
      <c r="F1676" s="20">
        <f>IF($B1676="","",IFERROR(INDEX(WageDates,MATCH($B1676,WageIds,0)),"—"))</f>
        <v/>
      </c>
      <c r="G1676" s="20">
        <f>IF($B1676="","",IFERROR(VLOOKUP(INDEX(WageParty,MATCH($B1676,WageIds,0)),WGTbl,2,0),"—"))</f>
        <v/>
      </c>
      <c r="H1676" s="12" t="n"/>
    </row>
    <row r="1677">
      <c r="A1677" s="10">
        <f>IF($B1677="","",COUNTA($B$9:$B1677))</f>
        <v/>
      </c>
      <c r="B1677" s="12" t="n"/>
      <c r="C1677" s="13" t="n"/>
      <c r="D1677" s="14">
        <f>IF($C1677="","",IFERROR(IF(VLOOKUP($C1677,AcctTblE,4,0)="","(بدون نام)",VLOOKUP($C1677,AcctTblE,4,0)),"کد ناشناخته"))</f>
        <v/>
      </c>
      <c r="E1677" s="15" t="n"/>
      <c r="F1677" s="14">
        <f>IF($B1677="","",IFERROR(INDEX(WageDates,MATCH($B1677,WageIds,0)),"—"))</f>
        <v/>
      </c>
      <c r="G1677" s="14">
        <f>IF($B1677="","",IFERROR(VLOOKUP(INDEX(WageParty,MATCH($B1677,WageIds,0)),WGTbl,2,0),"—"))</f>
        <v/>
      </c>
      <c r="H1677" s="12" t="n"/>
    </row>
    <row r="1678">
      <c r="A1678" s="19">
        <f>IF($B1678="","",COUNTA($B$9:$B1678))</f>
        <v/>
      </c>
      <c r="B1678" s="12" t="n"/>
      <c r="C1678" s="13" t="n"/>
      <c r="D1678" s="20">
        <f>IF($C1678="","",IFERROR(IF(VLOOKUP($C1678,AcctTblE,4,0)="","(بدون نام)",VLOOKUP($C1678,AcctTblE,4,0)),"کد ناشناخته"))</f>
        <v/>
      </c>
      <c r="E1678" s="15" t="n"/>
      <c r="F1678" s="20">
        <f>IF($B1678="","",IFERROR(INDEX(WageDates,MATCH($B1678,WageIds,0)),"—"))</f>
        <v/>
      </c>
      <c r="G1678" s="20">
        <f>IF($B1678="","",IFERROR(VLOOKUP(INDEX(WageParty,MATCH($B1678,WageIds,0)),WGTbl,2,0),"—"))</f>
        <v/>
      </c>
      <c r="H1678" s="12" t="n"/>
    </row>
    <row r="1679">
      <c r="A1679" s="10">
        <f>IF($B1679="","",COUNTA($B$9:$B1679))</f>
        <v/>
      </c>
      <c r="B1679" s="12" t="n"/>
      <c r="C1679" s="13" t="n"/>
      <c r="D1679" s="14">
        <f>IF($C1679="","",IFERROR(IF(VLOOKUP($C1679,AcctTblE,4,0)="","(بدون نام)",VLOOKUP($C1679,AcctTblE,4,0)),"کد ناشناخته"))</f>
        <v/>
      </c>
      <c r="E1679" s="15" t="n"/>
      <c r="F1679" s="14">
        <f>IF($B1679="","",IFERROR(INDEX(WageDates,MATCH($B1679,WageIds,0)),"—"))</f>
        <v/>
      </c>
      <c r="G1679" s="14">
        <f>IF($B1679="","",IFERROR(VLOOKUP(INDEX(WageParty,MATCH($B1679,WageIds,0)),WGTbl,2,0),"—"))</f>
        <v/>
      </c>
      <c r="H1679" s="12" t="n"/>
    </row>
    <row r="1680">
      <c r="A1680" s="19">
        <f>IF($B1680="","",COUNTA($B$9:$B1680))</f>
        <v/>
      </c>
      <c r="B1680" s="12" t="n"/>
      <c r="C1680" s="13" t="n"/>
      <c r="D1680" s="20">
        <f>IF($C1680="","",IFERROR(IF(VLOOKUP($C1680,AcctTblE,4,0)="","(بدون نام)",VLOOKUP($C1680,AcctTblE,4,0)),"کد ناشناخته"))</f>
        <v/>
      </c>
      <c r="E1680" s="15" t="n"/>
      <c r="F1680" s="20">
        <f>IF($B1680="","",IFERROR(INDEX(WageDates,MATCH($B1680,WageIds,0)),"—"))</f>
        <v/>
      </c>
      <c r="G1680" s="20">
        <f>IF($B1680="","",IFERROR(VLOOKUP(INDEX(WageParty,MATCH($B1680,WageIds,0)),WGTbl,2,0),"—"))</f>
        <v/>
      </c>
      <c r="H1680" s="12" t="n"/>
    </row>
    <row r="1681">
      <c r="A1681" s="10">
        <f>IF($B1681="","",COUNTA($B$9:$B1681))</f>
        <v/>
      </c>
      <c r="B1681" s="12" t="n"/>
      <c r="C1681" s="13" t="n"/>
      <c r="D1681" s="14">
        <f>IF($C1681="","",IFERROR(IF(VLOOKUP($C1681,AcctTblE,4,0)="","(بدون نام)",VLOOKUP($C1681,AcctTblE,4,0)),"کد ناشناخته"))</f>
        <v/>
      </c>
      <c r="E1681" s="15" t="n"/>
      <c r="F1681" s="14">
        <f>IF($B1681="","",IFERROR(INDEX(WageDates,MATCH($B1681,WageIds,0)),"—"))</f>
        <v/>
      </c>
      <c r="G1681" s="14">
        <f>IF($B1681="","",IFERROR(VLOOKUP(INDEX(WageParty,MATCH($B1681,WageIds,0)),WGTbl,2,0),"—"))</f>
        <v/>
      </c>
      <c r="H1681" s="12" t="n"/>
    </row>
    <row r="1682">
      <c r="A1682" s="19">
        <f>IF($B1682="","",COUNTA($B$9:$B1682))</f>
        <v/>
      </c>
      <c r="B1682" s="12" t="n"/>
      <c r="C1682" s="13" t="n"/>
      <c r="D1682" s="20">
        <f>IF($C1682="","",IFERROR(IF(VLOOKUP($C1682,AcctTblE,4,0)="","(بدون نام)",VLOOKUP($C1682,AcctTblE,4,0)),"کد ناشناخته"))</f>
        <v/>
      </c>
      <c r="E1682" s="15" t="n"/>
      <c r="F1682" s="20">
        <f>IF($B1682="","",IFERROR(INDEX(WageDates,MATCH($B1682,WageIds,0)),"—"))</f>
        <v/>
      </c>
      <c r="G1682" s="20">
        <f>IF($B1682="","",IFERROR(VLOOKUP(INDEX(WageParty,MATCH($B1682,WageIds,0)),WGTbl,2,0),"—"))</f>
        <v/>
      </c>
      <c r="H1682" s="12" t="n"/>
    </row>
    <row r="1683">
      <c r="A1683" s="10">
        <f>IF($B1683="","",COUNTA($B$9:$B1683))</f>
        <v/>
      </c>
      <c r="B1683" s="12" t="n"/>
      <c r="C1683" s="13" t="n"/>
      <c r="D1683" s="14">
        <f>IF($C1683="","",IFERROR(IF(VLOOKUP($C1683,AcctTblE,4,0)="","(بدون نام)",VLOOKUP($C1683,AcctTblE,4,0)),"کد ناشناخته"))</f>
        <v/>
      </c>
      <c r="E1683" s="15" t="n"/>
      <c r="F1683" s="14">
        <f>IF($B1683="","",IFERROR(INDEX(WageDates,MATCH($B1683,WageIds,0)),"—"))</f>
        <v/>
      </c>
      <c r="G1683" s="14">
        <f>IF($B1683="","",IFERROR(VLOOKUP(INDEX(WageParty,MATCH($B1683,WageIds,0)),WGTbl,2,0),"—"))</f>
        <v/>
      </c>
      <c r="H1683" s="12" t="n"/>
    </row>
    <row r="1684">
      <c r="A1684" s="19">
        <f>IF($B1684="","",COUNTA($B$9:$B1684))</f>
        <v/>
      </c>
      <c r="B1684" s="12" t="n"/>
      <c r="C1684" s="13" t="n"/>
      <c r="D1684" s="20">
        <f>IF($C1684="","",IFERROR(IF(VLOOKUP($C1684,AcctTblE,4,0)="","(بدون نام)",VLOOKUP($C1684,AcctTblE,4,0)),"کد ناشناخته"))</f>
        <v/>
      </c>
      <c r="E1684" s="15" t="n"/>
      <c r="F1684" s="20">
        <f>IF($B1684="","",IFERROR(INDEX(WageDates,MATCH($B1684,WageIds,0)),"—"))</f>
        <v/>
      </c>
      <c r="G1684" s="20">
        <f>IF($B1684="","",IFERROR(VLOOKUP(INDEX(WageParty,MATCH($B1684,WageIds,0)),WGTbl,2,0),"—"))</f>
        <v/>
      </c>
      <c r="H1684" s="12" t="n"/>
    </row>
    <row r="1685">
      <c r="A1685" s="10">
        <f>IF($B1685="","",COUNTA($B$9:$B1685))</f>
        <v/>
      </c>
      <c r="B1685" s="12" t="n"/>
      <c r="C1685" s="13" t="n"/>
      <c r="D1685" s="14">
        <f>IF($C1685="","",IFERROR(IF(VLOOKUP($C1685,AcctTblE,4,0)="","(بدون نام)",VLOOKUP($C1685,AcctTblE,4,0)),"کد ناشناخته"))</f>
        <v/>
      </c>
      <c r="E1685" s="15" t="n"/>
      <c r="F1685" s="14">
        <f>IF($B1685="","",IFERROR(INDEX(WageDates,MATCH($B1685,WageIds,0)),"—"))</f>
        <v/>
      </c>
      <c r="G1685" s="14">
        <f>IF($B1685="","",IFERROR(VLOOKUP(INDEX(WageParty,MATCH($B1685,WageIds,0)),WGTbl,2,0),"—"))</f>
        <v/>
      </c>
      <c r="H1685" s="12" t="n"/>
    </row>
    <row r="1686">
      <c r="A1686" s="19">
        <f>IF($B1686="","",COUNTA($B$9:$B1686))</f>
        <v/>
      </c>
      <c r="B1686" s="12" t="n"/>
      <c r="C1686" s="13" t="n"/>
      <c r="D1686" s="20">
        <f>IF($C1686="","",IFERROR(IF(VLOOKUP($C1686,AcctTblE,4,0)="","(بدون نام)",VLOOKUP($C1686,AcctTblE,4,0)),"کد ناشناخته"))</f>
        <v/>
      </c>
      <c r="E1686" s="15" t="n"/>
      <c r="F1686" s="20">
        <f>IF($B1686="","",IFERROR(INDEX(WageDates,MATCH($B1686,WageIds,0)),"—"))</f>
        <v/>
      </c>
      <c r="G1686" s="20">
        <f>IF($B1686="","",IFERROR(VLOOKUP(INDEX(WageParty,MATCH($B1686,WageIds,0)),WGTbl,2,0),"—"))</f>
        <v/>
      </c>
      <c r="H1686" s="12" t="n"/>
    </row>
    <row r="1687">
      <c r="A1687" s="10">
        <f>IF($B1687="","",COUNTA($B$9:$B1687))</f>
        <v/>
      </c>
      <c r="B1687" s="12" t="n"/>
      <c r="C1687" s="13" t="n"/>
      <c r="D1687" s="14">
        <f>IF($C1687="","",IFERROR(IF(VLOOKUP($C1687,AcctTblE,4,0)="","(بدون نام)",VLOOKUP($C1687,AcctTblE,4,0)),"کد ناشناخته"))</f>
        <v/>
      </c>
      <c r="E1687" s="15" t="n"/>
      <c r="F1687" s="14">
        <f>IF($B1687="","",IFERROR(INDEX(WageDates,MATCH($B1687,WageIds,0)),"—"))</f>
        <v/>
      </c>
      <c r="G1687" s="14">
        <f>IF($B1687="","",IFERROR(VLOOKUP(INDEX(WageParty,MATCH($B1687,WageIds,0)),WGTbl,2,0),"—"))</f>
        <v/>
      </c>
      <c r="H1687" s="12" t="n"/>
    </row>
    <row r="1688">
      <c r="A1688" s="19">
        <f>IF($B1688="","",COUNTA($B$9:$B1688))</f>
        <v/>
      </c>
      <c r="B1688" s="12" t="n"/>
      <c r="C1688" s="13" t="n"/>
      <c r="D1688" s="20">
        <f>IF($C1688="","",IFERROR(IF(VLOOKUP($C1688,AcctTblE,4,0)="","(بدون نام)",VLOOKUP($C1688,AcctTblE,4,0)),"کد ناشناخته"))</f>
        <v/>
      </c>
      <c r="E1688" s="15" t="n"/>
      <c r="F1688" s="20">
        <f>IF($B1688="","",IFERROR(INDEX(WageDates,MATCH($B1688,WageIds,0)),"—"))</f>
        <v/>
      </c>
      <c r="G1688" s="20">
        <f>IF($B1688="","",IFERROR(VLOOKUP(INDEX(WageParty,MATCH($B1688,WageIds,0)),WGTbl,2,0),"—"))</f>
        <v/>
      </c>
      <c r="H1688" s="12" t="n"/>
    </row>
    <row r="1689">
      <c r="A1689" s="10">
        <f>IF($B1689="","",COUNTA($B$9:$B1689))</f>
        <v/>
      </c>
      <c r="B1689" s="12" t="n"/>
      <c r="C1689" s="13" t="n"/>
      <c r="D1689" s="14">
        <f>IF($C1689="","",IFERROR(IF(VLOOKUP($C1689,AcctTblE,4,0)="","(بدون نام)",VLOOKUP($C1689,AcctTblE,4,0)),"کد ناشناخته"))</f>
        <v/>
      </c>
      <c r="E1689" s="15" t="n"/>
      <c r="F1689" s="14">
        <f>IF($B1689="","",IFERROR(INDEX(WageDates,MATCH($B1689,WageIds,0)),"—"))</f>
        <v/>
      </c>
      <c r="G1689" s="14">
        <f>IF($B1689="","",IFERROR(VLOOKUP(INDEX(WageParty,MATCH($B1689,WageIds,0)),WGTbl,2,0),"—"))</f>
        <v/>
      </c>
      <c r="H1689" s="12" t="n"/>
    </row>
    <row r="1690">
      <c r="A1690" s="19">
        <f>IF($B1690="","",COUNTA($B$9:$B1690))</f>
        <v/>
      </c>
      <c r="B1690" s="12" t="n"/>
      <c r="C1690" s="13" t="n"/>
      <c r="D1690" s="20">
        <f>IF($C1690="","",IFERROR(IF(VLOOKUP($C1690,AcctTblE,4,0)="","(بدون نام)",VLOOKUP($C1690,AcctTblE,4,0)),"کد ناشناخته"))</f>
        <v/>
      </c>
      <c r="E1690" s="15" t="n"/>
      <c r="F1690" s="20">
        <f>IF($B1690="","",IFERROR(INDEX(WageDates,MATCH($B1690,WageIds,0)),"—"))</f>
        <v/>
      </c>
      <c r="G1690" s="20">
        <f>IF($B1690="","",IFERROR(VLOOKUP(INDEX(WageParty,MATCH($B1690,WageIds,0)),WGTbl,2,0),"—"))</f>
        <v/>
      </c>
      <c r="H1690" s="12" t="n"/>
    </row>
    <row r="1691">
      <c r="A1691" s="10">
        <f>IF($B1691="","",COUNTA($B$9:$B1691))</f>
        <v/>
      </c>
      <c r="B1691" s="12" t="n"/>
      <c r="C1691" s="13" t="n"/>
      <c r="D1691" s="14">
        <f>IF($C1691="","",IFERROR(IF(VLOOKUP($C1691,AcctTblE,4,0)="","(بدون نام)",VLOOKUP($C1691,AcctTblE,4,0)),"کد ناشناخته"))</f>
        <v/>
      </c>
      <c r="E1691" s="15" t="n"/>
      <c r="F1691" s="14">
        <f>IF($B1691="","",IFERROR(INDEX(WageDates,MATCH($B1691,WageIds,0)),"—"))</f>
        <v/>
      </c>
      <c r="G1691" s="14">
        <f>IF($B1691="","",IFERROR(VLOOKUP(INDEX(WageParty,MATCH($B1691,WageIds,0)),WGTbl,2,0),"—"))</f>
        <v/>
      </c>
      <c r="H1691" s="12" t="n"/>
    </row>
    <row r="1692">
      <c r="A1692" s="19">
        <f>IF($B1692="","",COUNTA($B$9:$B1692))</f>
        <v/>
      </c>
      <c r="B1692" s="12" t="n"/>
      <c r="C1692" s="13" t="n"/>
      <c r="D1692" s="20">
        <f>IF($C1692="","",IFERROR(IF(VLOOKUP($C1692,AcctTblE,4,0)="","(بدون نام)",VLOOKUP($C1692,AcctTblE,4,0)),"کد ناشناخته"))</f>
        <v/>
      </c>
      <c r="E1692" s="15" t="n"/>
      <c r="F1692" s="20">
        <f>IF($B1692="","",IFERROR(INDEX(WageDates,MATCH($B1692,WageIds,0)),"—"))</f>
        <v/>
      </c>
      <c r="G1692" s="20">
        <f>IF($B1692="","",IFERROR(VLOOKUP(INDEX(WageParty,MATCH($B1692,WageIds,0)),WGTbl,2,0),"—"))</f>
        <v/>
      </c>
      <c r="H1692" s="12" t="n"/>
    </row>
    <row r="1693">
      <c r="A1693" s="10">
        <f>IF($B1693="","",COUNTA($B$9:$B1693))</f>
        <v/>
      </c>
      <c r="B1693" s="12" t="n"/>
      <c r="C1693" s="13" t="n"/>
      <c r="D1693" s="14">
        <f>IF($C1693="","",IFERROR(IF(VLOOKUP($C1693,AcctTblE,4,0)="","(بدون نام)",VLOOKUP($C1693,AcctTblE,4,0)),"کد ناشناخته"))</f>
        <v/>
      </c>
      <c r="E1693" s="15" t="n"/>
      <c r="F1693" s="14">
        <f>IF($B1693="","",IFERROR(INDEX(WageDates,MATCH($B1693,WageIds,0)),"—"))</f>
        <v/>
      </c>
      <c r="G1693" s="14">
        <f>IF($B1693="","",IFERROR(VLOOKUP(INDEX(WageParty,MATCH($B1693,WageIds,0)),WGTbl,2,0),"—"))</f>
        <v/>
      </c>
      <c r="H1693" s="12" t="n"/>
    </row>
    <row r="1694">
      <c r="A1694" s="19">
        <f>IF($B1694="","",COUNTA($B$9:$B1694))</f>
        <v/>
      </c>
      <c r="B1694" s="12" t="n"/>
      <c r="C1694" s="13" t="n"/>
      <c r="D1694" s="20">
        <f>IF($C1694="","",IFERROR(IF(VLOOKUP($C1694,AcctTblE,4,0)="","(بدون نام)",VLOOKUP($C1694,AcctTblE,4,0)),"کد ناشناخته"))</f>
        <v/>
      </c>
      <c r="E1694" s="15" t="n"/>
      <c r="F1694" s="20">
        <f>IF($B1694="","",IFERROR(INDEX(WageDates,MATCH($B1694,WageIds,0)),"—"))</f>
        <v/>
      </c>
      <c r="G1694" s="20">
        <f>IF($B1694="","",IFERROR(VLOOKUP(INDEX(WageParty,MATCH($B1694,WageIds,0)),WGTbl,2,0),"—"))</f>
        <v/>
      </c>
      <c r="H1694" s="12" t="n"/>
    </row>
    <row r="1695">
      <c r="A1695" s="10">
        <f>IF($B1695="","",COUNTA($B$9:$B1695))</f>
        <v/>
      </c>
      <c r="B1695" s="12" t="n"/>
      <c r="C1695" s="13" t="n"/>
      <c r="D1695" s="14">
        <f>IF($C1695="","",IFERROR(IF(VLOOKUP($C1695,AcctTblE,4,0)="","(بدون نام)",VLOOKUP($C1695,AcctTblE,4,0)),"کد ناشناخته"))</f>
        <v/>
      </c>
      <c r="E1695" s="15" t="n"/>
      <c r="F1695" s="14">
        <f>IF($B1695="","",IFERROR(INDEX(WageDates,MATCH($B1695,WageIds,0)),"—"))</f>
        <v/>
      </c>
      <c r="G1695" s="14">
        <f>IF($B1695="","",IFERROR(VLOOKUP(INDEX(WageParty,MATCH($B1695,WageIds,0)),WGTbl,2,0),"—"))</f>
        <v/>
      </c>
      <c r="H1695" s="12" t="n"/>
    </row>
    <row r="1696">
      <c r="A1696" s="19">
        <f>IF($B1696="","",COUNTA($B$9:$B1696))</f>
        <v/>
      </c>
      <c r="B1696" s="12" t="n"/>
      <c r="C1696" s="13" t="n"/>
      <c r="D1696" s="20">
        <f>IF($C1696="","",IFERROR(IF(VLOOKUP($C1696,AcctTblE,4,0)="","(بدون نام)",VLOOKUP($C1696,AcctTblE,4,0)),"کد ناشناخته"))</f>
        <v/>
      </c>
      <c r="E1696" s="15" t="n"/>
      <c r="F1696" s="20">
        <f>IF($B1696="","",IFERROR(INDEX(WageDates,MATCH($B1696,WageIds,0)),"—"))</f>
        <v/>
      </c>
      <c r="G1696" s="20">
        <f>IF($B1696="","",IFERROR(VLOOKUP(INDEX(WageParty,MATCH($B1696,WageIds,0)),WGTbl,2,0),"—"))</f>
        <v/>
      </c>
      <c r="H1696" s="12" t="n"/>
    </row>
    <row r="1697">
      <c r="A1697" s="10">
        <f>IF($B1697="","",COUNTA($B$9:$B1697))</f>
        <v/>
      </c>
      <c r="B1697" s="12" t="n"/>
      <c r="C1697" s="13" t="n"/>
      <c r="D1697" s="14">
        <f>IF($C1697="","",IFERROR(IF(VLOOKUP($C1697,AcctTblE,4,0)="","(بدون نام)",VLOOKUP($C1697,AcctTblE,4,0)),"کد ناشناخته"))</f>
        <v/>
      </c>
      <c r="E1697" s="15" t="n"/>
      <c r="F1697" s="14">
        <f>IF($B1697="","",IFERROR(INDEX(WageDates,MATCH($B1697,WageIds,0)),"—"))</f>
        <v/>
      </c>
      <c r="G1697" s="14">
        <f>IF($B1697="","",IFERROR(VLOOKUP(INDEX(WageParty,MATCH($B1697,WageIds,0)),WGTbl,2,0),"—"))</f>
        <v/>
      </c>
      <c r="H1697" s="12" t="n"/>
    </row>
    <row r="1698">
      <c r="A1698" s="19">
        <f>IF($B1698="","",COUNTA($B$9:$B1698))</f>
        <v/>
      </c>
      <c r="B1698" s="12" t="n"/>
      <c r="C1698" s="13" t="n"/>
      <c r="D1698" s="20">
        <f>IF($C1698="","",IFERROR(IF(VLOOKUP($C1698,AcctTblE,4,0)="","(بدون نام)",VLOOKUP($C1698,AcctTblE,4,0)),"کد ناشناخته"))</f>
        <v/>
      </c>
      <c r="E1698" s="15" t="n"/>
      <c r="F1698" s="20">
        <f>IF($B1698="","",IFERROR(INDEX(WageDates,MATCH($B1698,WageIds,0)),"—"))</f>
        <v/>
      </c>
      <c r="G1698" s="20">
        <f>IF($B1698="","",IFERROR(VLOOKUP(INDEX(WageParty,MATCH($B1698,WageIds,0)),WGTbl,2,0),"—"))</f>
        <v/>
      </c>
      <c r="H1698" s="12" t="n"/>
    </row>
    <row r="1699">
      <c r="A1699" s="10">
        <f>IF($B1699="","",COUNTA($B$9:$B1699))</f>
        <v/>
      </c>
      <c r="B1699" s="12" t="n"/>
      <c r="C1699" s="13" t="n"/>
      <c r="D1699" s="14">
        <f>IF($C1699="","",IFERROR(IF(VLOOKUP($C1699,AcctTblE,4,0)="","(بدون نام)",VLOOKUP($C1699,AcctTblE,4,0)),"کد ناشناخته"))</f>
        <v/>
      </c>
      <c r="E1699" s="15" t="n"/>
      <c r="F1699" s="14">
        <f>IF($B1699="","",IFERROR(INDEX(WageDates,MATCH($B1699,WageIds,0)),"—"))</f>
        <v/>
      </c>
      <c r="G1699" s="14">
        <f>IF($B1699="","",IFERROR(VLOOKUP(INDEX(WageParty,MATCH($B1699,WageIds,0)),WGTbl,2,0),"—"))</f>
        <v/>
      </c>
      <c r="H1699" s="12" t="n"/>
    </row>
    <row r="1700">
      <c r="A1700" s="19">
        <f>IF($B1700="","",COUNTA($B$9:$B1700))</f>
        <v/>
      </c>
      <c r="B1700" s="12" t="n"/>
      <c r="C1700" s="13" t="n"/>
      <c r="D1700" s="20">
        <f>IF($C1700="","",IFERROR(IF(VLOOKUP($C1700,AcctTblE,4,0)="","(بدون نام)",VLOOKUP($C1700,AcctTblE,4,0)),"کد ناشناخته"))</f>
        <v/>
      </c>
      <c r="E1700" s="15" t="n"/>
      <c r="F1700" s="20">
        <f>IF($B1700="","",IFERROR(INDEX(WageDates,MATCH($B1700,WageIds,0)),"—"))</f>
        <v/>
      </c>
      <c r="G1700" s="20">
        <f>IF($B1700="","",IFERROR(VLOOKUP(INDEX(WageParty,MATCH($B1700,WageIds,0)),WGTbl,2,0),"—"))</f>
        <v/>
      </c>
      <c r="H1700" s="12" t="n"/>
    </row>
    <row r="1701">
      <c r="A1701" s="10">
        <f>IF($B1701="","",COUNTA($B$9:$B1701))</f>
        <v/>
      </c>
      <c r="B1701" s="12" t="n"/>
      <c r="C1701" s="13" t="n"/>
      <c r="D1701" s="14">
        <f>IF($C1701="","",IFERROR(IF(VLOOKUP($C1701,AcctTblE,4,0)="","(بدون نام)",VLOOKUP($C1701,AcctTblE,4,0)),"کد ناشناخته"))</f>
        <v/>
      </c>
      <c r="E1701" s="15" t="n"/>
      <c r="F1701" s="14">
        <f>IF($B1701="","",IFERROR(INDEX(WageDates,MATCH($B1701,WageIds,0)),"—"))</f>
        <v/>
      </c>
      <c r="G1701" s="14">
        <f>IF($B1701="","",IFERROR(VLOOKUP(INDEX(WageParty,MATCH($B1701,WageIds,0)),WGTbl,2,0),"—"))</f>
        <v/>
      </c>
      <c r="H1701" s="12" t="n"/>
    </row>
    <row r="1702">
      <c r="A1702" s="19">
        <f>IF($B1702="","",COUNTA($B$9:$B1702))</f>
        <v/>
      </c>
      <c r="B1702" s="12" t="n"/>
      <c r="C1702" s="13" t="n"/>
      <c r="D1702" s="20">
        <f>IF($C1702="","",IFERROR(IF(VLOOKUP($C1702,AcctTblE,4,0)="","(بدون نام)",VLOOKUP($C1702,AcctTblE,4,0)),"کد ناشناخته"))</f>
        <v/>
      </c>
      <c r="E1702" s="15" t="n"/>
      <c r="F1702" s="20">
        <f>IF($B1702="","",IFERROR(INDEX(WageDates,MATCH($B1702,WageIds,0)),"—"))</f>
        <v/>
      </c>
      <c r="G1702" s="20">
        <f>IF($B1702="","",IFERROR(VLOOKUP(INDEX(WageParty,MATCH($B1702,WageIds,0)),WGTbl,2,0),"—"))</f>
        <v/>
      </c>
      <c r="H1702" s="12" t="n"/>
    </row>
    <row r="1703">
      <c r="A1703" s="10">
        <f>IF($B1703="","",COUNTA($B$9:$B1703))</f>
        <v/>
      </c>
      <c r="B1703" s="12" t="n"/>
      <c r="C1703" s="13" t="n"/>
      <c r="D1703" s="14">
        <f>IF($C1703="","",IFERROR(IF(VLOOKUP($C1703,AcctTblE,4,0)="","(بدون نام)",VLOOKUP($C1703,AcctTblE,4,0)),"کد ناشناخته"))</f>
        <v/>
      </c>
      <c r="E1703" s="15" t="n"/>
      <c r="F1703" s="14">
        <f>IF($B1703="","",IFERROR(INDEX(WageDates,MATCH($B1703,WageIds,0)),"—"))</f>
        <v/>
      </c>
      <c r="G1703" s="14">
        <f>IF($B1703="","",IFERROR(VLOOKUP(INDEX(WageParty,MATCH($B1703,WageIds,0)),WGTbl,2,0),"—"))</f>
        <v/>
      </c>
      <c r="H1703" s="12" t="n"/>
    </row>
    <row r="1704">
      <c r="A1704" s="19">
        <f>IF($B1704="","",COUNTA($B$9:$B1704))</f>
        <v/>
      </c>
      <c r="B1704" s="12" t="n"/>
      <c r="C1704" s="13" t="n"/>
      <c r="D1704" s="20">
        <f>IF($C1704="","",IFERROR(IF(VLOOKUP($C1704,AcctTblE,4,0)="","(بدون نام)",VLOOKUP($C1704,AcctTblE,4,0)),"کد ناشناخته"))</f>
        <v/>
      </c>
      <c r="E1704" s="15" t="n"/>
      <c r="F1704" s="20">
        <f>IF($B1704="","",IFERROR(INDEX(WageDates,MATCH($B1704,WageIds,0)),"—"))</f>
        <v/>
      </c>
      <c r="G1704" s="20">
        <f>IF($B1704="","",IFERROR(VLOOKUP(INDEX(WageParty,MATCH($B1704,WageIds,0)),WGTbl,2,0),"—"))</f>
        <v/>
      </c>
      <c r="H1704" s="12" t="n"/>
    </row>
    <row r="1705">
      <c r="A1705" s="10">
        <f>IF($B1705="","",COUNTA($B$9:$B1705))</f>
        <v/>
      </c>
      <c r="B1705" s="12" t="n"/>
      <c r="C1705" s="13" t="n"/>
      <c r="D1705" s="14">
        <f>IF($C1705="","",IFERROR(IF(VLOOKUP($C1705,AcctTblE,4,0)="","(بدون نام)",VLOOKUP($C1705,AcctTblE,4,0)),"کد ناشناخته"))</f>
        <v/>
      </c>
      <c r="E1705" s="15" t="n"/>
      <c r="F1705" s="14">
        <f>IF($B1705="","",IFERROR(INDEX(WageDates,MATCH($B1705,WageIds,0)),"—"))</f>
        <v/>
      </c>
      <c r="G1705" s="14">
        <f>IF($B1705="","",IFERROR(VLOOKUP(INDEX(WageParty,MATCH($B1705,WageIds,0)),WGTbl,2,0),"—"))</f>
        <v/>
      </c>
      <c r="H1705" s="12" t="n"/>
    </row>
    <row r="1706">
      <c r="A1706" s="19">
        <f>IF($B1706="","",COUNTA($B$9:$B1706))</f>
        <v/>
      </c>
      <c r="B1706" s="12" t="n"/>
      <c r="C1706" s="13" t="n"/>
      <c r="D1706" s="20">
        <f>IF($C1706="","",IFERROR(IF(VLOOKUP($C1706,AcctTblE,4,0)="","(بدون نام)",VLOOKUP($C1706,AcctTblE,4,0)),"کد ناشناخته"))</f>
        <v/>
      </c>
      <c r="E1706" s="15" t="n"/>
      <c r="F1706" s="20">
        <f>IF($B1706="","",IFERROR(INDEX(WageDates,MATCH($B1706,WageIds,0)),"—"))</f>
        <v/>
      </c>
      <c r="G1706" s="20">
        <f>IF($B1706="","",IFERROR(VLOOKUP(INDEX(WageParty,MATCH($B1706,WageIds,0)),WGTbl,2,0),"—"))</f>
        <v/>
      </c>
      <c r="H1706" s="12" t="n"/>
    </row>
    <row r="1707">
      <c r="A1707" s="10">
        <f>IF($B1707="","",COUNTA($B$9:$B1707))</f>
        <v/>
      </c>
      <c r="B1707" s="12" t="n"/>
      <c r="C1707" s="13" t="n"/>
      <c r="D1707" s="14">
        <f>IF($C1707="","",IFERROR(IF(VLOOKUP($C1707,AcctTblE,4,0)="","(بدون نام)",VLOOKUP($C1707,AcctTblE,4,0)),"کد ناشناخته"))</f>
        <v/>
      </c>
      <c r="E1707" s="15" t="n"/>
      <c r="F1707" s="14">
        <f>IF($B1707="","",IFERROR(INDEX(WageDates,MATCH($B1707,WageIds,0)),"—"))</f>
        <v/>
      </c>
      <c r="G1707" s="14">
        <f>IF($B1707="","",IFERROR(VLOOKUP(INDEX(WageParty,MATCH($B1707,WageIds,0)),WGTbl,2,0),"—"))</f>
        <v/>
      </c>
      <c r="H1707" s="12" t="n"/>
    </row>
    <row r="1708">
      <c r="A1708" s="19">
        <f>IF($B1708="","",COUNTA($B$9:$B1708))</f>
        <v/>
      </c>
      <c r="B1708" s="12" t="n"/>
      <c r="C1708" s="13" t="n"/>
      <c r="D1708" s="20">
        <f>IF($C1708="","",IFERROR(IF(VLOOKUP($C1708,AcctTblE,4,0)="","(بدون نام)",VLOOKUP($C1708,AcctTblE,4,0)),"کد ناشناخته"))</f>
        <v/>
      </c>
      <c r="E1708" s="15" t="n"/>
      <c r="F1708" s="20">
        <f>IF($B1708="","",IFERROR(INDEX(WageDates,MATCH($B1708,WageIds,0)),"—"))</f>
        <v/>
      </c>
      <c r="G1708" s="20">
        <f>IF($B1708="","",IFERROR(VLOOKUP(INDEX(WageParty,MATCH($B1708,WageIds,0)),WGTbl,2,0),"—"))</f>
        <v/>
      </c>
      <c r="H1708" s="12" t="n"/>
    </row>
    <row r="1709">
      <c r="A1709" s="10">
        <f>IF($B1709="","",COUNTA($B$9:$B1709))</f>
        <v/>
      </c>
      <c r="B1709" s="12" t="n"/>
      <c r="C1709" s="13" t="n"/>
      <c r="D1709" s="14">
        <f>IF($C1709="","",IFERROR(IF(VLOOKUP($C1709,AcctTblE,4,0)="","(بدون نام)",VLOOKUP($C1709,AcctTblE,4,0)),"کد ناشناخته"))</f>
        <v/>
      </c>
      <c r="E1709" s="15" t="n"/>
      <c r="F1709" s="14">
        <f>IF($B1709="","",IFERROR(INDEX(WageDates,MATCH($B1709,WageIds,0)),"—"))</f>
        <v/>
      </c>
      <c r="G1709" s="14">
        <f>IF($B1709="","",IFERROR(VLOOKUP(INDEX(WageParty,MATCH($B1709,WageIds,0)),WGTbl,2,0),"—"))</f>
        <v/>
      </c>
      <c r="H1709" s="12" t="n"/>
    </row>
    <row r="1710">
      <c r="A1710" s="19">
        <f>IF($B1710="","",COUNTA($B$9:$B1710))</f>
        <v/>
      </c>
      <c r="B1710" s="12" t="n"/>
      <c r="C1710" s="13" t="n"/>
      <c r="D1710" s="20">
        <f>IF($C1710="","",IFERROR(IF(VLOOKUP($C1710,AcctTblE,4,0)="","(بدون نام)",VLOOKUP($C1710,AcctTblE,4,0)),"کد ناشناخته"))</f>
        <v/>
      </c>
      <c r="E1710" s="15" t="n"/>
      <c r="F1710" s="20">
        <f>IF($B1710="","",IFERROR(INDEX(WageDates,MATCH($B1710,WageIds,0)),"—"))</f>
        <v/>
      </c>
      <c r="G1710" s="20">
        <f>IF($B1710="","",IFERROR(VLOOKUP(INDEX(WageParty,MATCH($B1710,WageIds,0)),WGTbl,2,0),"—"))</f>
        <v/>
      </c>
      <c r="H1710" s="12" t="n"/>
    </row>
    <row r="1711">
      <c r="A1711" s="10">
        <f>IF($B1711="","",COUNTA($B$9:$B1711))</f>
        <v/>
      </c>
      <c r="B1711" s="12" t="n"/>
      <c r="C1711" s="13" t="n"/>
      <c r="D1711" s="14">
        <f>IF($C1711="","",IFERROR(IF(VLOOKUP($C1711,AcctTblE,4,0)="","(بدون نام)",VLOOKUP($C1711,AcctTblE,4,0)),"کد ناشناخته"))</f>
        <v/>
      </c>
      <c r="E1711" s="15" t="n"/>
      <c r="F1711" s="14">
        <f>IF($B1711="","",IFERROR(INDEX(WageDates,MATCH($B1711,WageIds,0)),"—"))</f>
        <v/>
      </c>
      <c r="G1711" s="14">
        <f>IF($B1711="","",IFERROR(VLOOKUP(INDEX(WageParty,MATCH($B1711,WageIds,0)),WGTbl,2,0),"—"))</f>
        <v/>
      </c>
      <c r="H1711" s="12" t="n"/>
    </row>
    <row r="1712">
      <c r="A1712" s="19">
        <f>IF($B1712="","",COUNTA($B$9:$B1712))</f>
        <v/>
      </c>
      <c r="B1712" s="12" t="n"/>
      <c r="C1712" s="13" t="n"/>
      <c r="D1712" s="20">
        <f>IF($C1712="","",IFERROR(IF(VLOOKUP($C1712,AcctTblE,4,0)="","(بدون نام)",VLOOKUP($C1712,AcctTblE,4,0)),"کد ناشناخته"))</f>
        <v/>
      </c>
      <c r="E1712" s="15" t="n"/>
      <c r="F1712" s="20">
        <f>IF($B1712="","",IFERROR(INDEX(WageDates,MATCH($B1712,WageIds,0)),"—"))</f>
        <v/>
      </c>
      <c r="G1712" s="20">
        <f>IF($B1712="","",IFERROR(VLOOKUP(INDEX(WageParty,MATCH($B1712,WageIds,0)),WGTbl,2,0),"—"))</f>
        <v/>
      </c>
      <c r="H1712" s="12" t="n"/>
    </row>
    <row r="1713">
      <c r="A1713" s="10">
        <f>IF($B1713="","",COUNTA($B$9:$B1713))</f>
        <v/>
      </c>
      <c r="B1713" s="12" t="n"/>
      <c r="C1713" s="13" t="n"/>
      <c r="D1713" s="14">
        <f>IF($C1713="","",IFERROR(IF(VLOOKUP($C1713,AcctTblE,4,0)="","(بدون نام)",VLOOKUP($C1713,AcctTblE,4,0)),"کد ناشناخته"))</f>
        <v/>
      </c>
      <c r="E1713" s="15" t="n"/>
      <c r="F1713" s="14">
        <f>IF($B1713="","",IFERROR(INDEX(WageDates,MATCH($B1713,WageIds,0)),"—"))</f>
        <v/>
      </c>
      <c r="G1713" s="14">
        <f>IF($B1713="","",IFERROR(VLOOKUP(INDEX(WageParty,MATCH($B1713,WageIds,0)),WGTbl,2,0),"—"))</f>
        <v/>
      </c>
      <c r="H1713" s="12" t="n"/>
    </row>
    <row r="1714">
      <c r="A1714" s="19">
        <f>IF($B1714="","",COUNTA($B$9:$B1714))</f>
        <v/>
      </c>
      <c r="B1714" s="12" t="n"/>
      <c r="C1714" s="13" t="n"/>
      <c r="D1714" s="20">
        <f>IF($C1714="","",IFERROR(IF(VLOOKUP($C1714,AcctTblE,4,0)="","(بدون نام)",VLOOKUP($C1714,AcctTblE,4,0)),"کد ناشناخته"))</f>
        <v/>
      </c>
      <c r="E1714" s="15" t="n"/>
      <c r="F1714" s="20">
        <f>IF($B1714="","",IFERROR(INDEX(WageDates,MATCH($B1714,WageIds,0)),"—"))</f>
        <v/>
      </c>
      <c r="G1714" s="20">
        <f>IF($B1714="","",IFERROR(VLOOKUP(INDEX(WageParty,MATCH($B1714,WageIds,0)),WGTbl,2,0),"—"))</f>
        <v/>
      </c>
      <c r="H1714" s="12" t="n"/>
    </row>
    <row r="1715">
      <c r="A1715" s="10">
        <f>IF($B1715="","",COUNTA($B$9:$B1715))</f>
        <v/>
      </c>
      <c r="B1715" s="12" t="n"/>
      <c r="C1715" s="13" t="n"/>
      <c r="D1715" s="14">
        <f>IF($C1715="","",IFERROR(IF(VLOOKUP($C1715,AcctTblE,4,0)="","(بدون نام)",VLOOKUP($C1715,AcctTblE,4,0)),"کد ناشناخته"))</f>
        <v/>
      </c>
      <c r="E1715" s="15" t="n"/>
      <c r="F1715" s="14">
        <f>IF($B1715="","",IFERROR(INDEX(WageDates,MATCH($B1715,WageIds,0)),"—"))</f>
        <v/>
      </c>
      <c r="G1715" s="14">
        <f>IF($B1715="","",IFERROR(VLOOKUP(INDEX(WageParty,MATCH($B1715,WageIds,0)),WGTbl,2,0),"—"))</f>
        <v/>
      </c>
      <c r="H1715" s="12" t="n"/>
    </row>
    <row r="1716">
      <c r="A1716" s="19">
        <f>IF($B1716="","",COUNTA($B$9:$B1716))</f>
        <v/>
      </c>
      <c r="B1716" s="12" t="n"/>
      <c r="C1716" s="13" t="n"/>
      <c r="D1716" s="20">
        <f>IF($C1716="","",IFERROR(IF(VLOOKUP($C1716,AcctTblE,4,0)="","(بدون نام)",VLOOKUP($C1716,AcctTblE,4,0)),"کد ناشناخته"))</f>
        <v/>
      </c>
      <c r="E1716" s="15" t="n"/>
      <c r="F1716" s="20">
        <f>IF($B1716="","",IFERROR(INDEX(WageDates,MATCH($B1716,WageIds,0)),"—"))</f>
        <v/>
      </c>
      <c r="G1716" s="20">
        <f>IF($B1716="","",IFERROR(VLOOKUP(INDEX(WageParty,MATCH($B1716,WageIds,0)),WGTbl,2,0),"—"))</f>
        <v/>
      </c>
      <c r="H1716" s="12" t="n"/>
    </row>
    <row r="1717">
      <c r="A1717" s="10">
        <f>IF($B1717="","",COUNTA($B$9:$B1717))</f>
        <v/>
      </c>
      <c r="B1717" s="12" t="n"/>
      <c r="C1717" s="13" t="n"/>
      <c r="D1717" s="14">
        <f>IF($C1717="","",IFERROR(IF(VLOOKUP($C1717,AcctTblE,4,0)="","(بدون نام)",VLOOKUP($C1717,AcctTblE,4,0)),"کد ناشناخته"))</f>
        <v/>
      </c>
      <c r="E1717" s="15" t="n"/>
      <c r="F1717" s="14">
        <f>IF($B1717="","",IFERROR(INDEX(WageDates,MATCH($B1717,WageIds,0)),"—"))</f>
        <v/>
      </c>
      <c r="G1717" s="14">
        <f>IF($B1717="","",IFERROR(VLOOKUP(INDEX(WageParty,MATCH($B1717,WageIds,0)),WGTbl,2,0),"—"))</f>
        <v/>
      </c>
      <c r="H1717" s="12" t="n"/>
    </row>
    <row r="1718">
      <c r="A1718" s="19">
        <f>IF($B1718="","",COUNTA($B$9:$B1718))</f>
        <v/>
      </c>
      <c r="B1718" s="12" t="n"/>
      <c r="C1718" s="13" t="n"/>
      <c r="D1718" s="20">
        <f>IF($C1718="","",IFERROR(IF(VLOOKUP($C1718,AcctTblE,4,0)="","(بدون نام)",VLOOKUP($C1718,AcctTblE,4,0)),"کد ناشناخته"))</f>
        <v/>
      </c>
      <c r="E1718" s="15" t="n"/>
      <c r="F1718" s="20">
        <f>IF($B1718="","",IFERROR(INDEX(WageDates,MATCH($B1718,WageIds,0)),"—"))</f>
        <v/>
      </c>
      <c r="G1718" s="20">
        <f>IF($B1718="","",IFERROR(VLOOKUP(INDEX(WageParty,MATCH($B1718,WageIds,0)),WGTbl,2,0),"—"))</f>
        <v/>
      </c>
      <c r="H1718" s="12" t="n"/>
    </row>
    <row r="1719">
      <c r="A1719" s="10">
        <f>IF($B1719="","",COUNTA($B$9:$B1719))</f>
        <v/>
      </c>
      <c r="B1719" s="12" t="n"/>
      <c r="C1719" s="13" t="n"/>
      <c r="D1719" s="14">
        <f>IF($C1719="","",IFERROR(IF(VLOOKUP($C1719,AcctTblE,4,0)="","(بدون نام)",VLOOKUP($C1719,AcctTblE,4,0)),"کد ناشناخته"))</f>
        <v/>
      </c>
      <c r="E1719" s="15" t="n"/>
      <c r="F1719" s="14">
        <f>IF($B1719="","",IFERROR(INDEX(WageDates,MATCH($B1719,WageIds,0)),"—"))</f>
        <v/>
      </c>
      <c r="G1719" s="14">
        <f>IF($B1719="","",IFERROR(VLOOKUP(INDEX(WageParty,MATCH($B1719,WageIds,0)),WGTbl,2,0),"—"))</f>
        <v/>
      </c>
      <c r="H1719" s="12" t="n"/>
    </row>
    <row r="1720">
      <c r="A1720" s="19">
        <f>IF($B1720="","",COUNTA($B$9:$B1720))</f>
        <v/>
      </c>
      <c r="B1720" s="12" t="n"/>
      <c r="C1720" s="13" t="n"/>
      <c r="D1720" s="20">
        <f>IF($C1720="","",IFERROR(IF(VLOOKUP($C1720,AcctTblE,4,0)="","(بدون نام)",VLOOKUP($C1720,AcctTblE,4,0)),"کد ناشناخته"))</f>
        <v/>
      </c>
      <c r="E1720" s="15" t="n"/>
      <c r="F1720" s="20">
        <f>IF($B1720="","",IFERROR(INDEX(WageDates,MATCH($B1720,WageIds,0)),"—"))</f>
        <v/>
      </c>
      <c r="G1720" s="20">
        <f>IF($B1720="","",IFERROR(VLOOKUP(INDEX(WageParty,MATCH($B1720,WageIds,0)),WGTbl,2,0),"—"))</f>
        <v/>
      </c>
      <c r="H1720" s="12" t="n"/>
    </row>
    <row r="1721">
      <c r="A1721" s="10">
        <f>IF($B1721="","",COUNTA($B$9:$B1721))</f>
        <v/>
      </c>
      <c r="B1721" s="12" t="n"/>
      <c r="C1721" s="13" t="n"/>
      <c r="D1721" s="14">
        <f>IF($C1721="","",IFERROR(IF(VLOOKUP($C1721,AcctTblE,4,0)="","(بدون نام)",VLOOKUP($C1721,AcctTblE,4,0)),"کد ناشناخته"))</f>
        <v/>
      </c>
      <c r="E1721" s="15" t="n"/>
      <c r="F1721" s="14">
        <f>IF($B1721="","",IFERROR(INDEX(WageDates,MATCH($B1721,WageIds,0)),"—"))</f>
        <v/>
      </c>
      <c r="G1721" s="14">
        <f>IF($B1721="","",IFERROR(VLOOKUP(INDEX(WageParty,MATCH($B1721,WageIds,0)),WGTbl,2,0),"—"))</f>
        <v/>
      </c>
      <c r="H1721" s="12" t="n"/>
    </row>
    <row r="1722">
      <c r="A1722" s="19">
        <f>IF($B1722="","",COUNTA($B$9:$B1722))</f>
        <v/>
      </c>
      <c r="B1722" s="12" t="n"/>
      <c r="C1722" s="13" t="n"/>
      <c r="D1722" s="20">
        <f>IF($C1722="","",IFERROR(IF(VLOOKUP($C1722,AcctTblE,4,0)="","(بدون نام)",VLOOKUP($C1722,AcctTblE,4,0)),"کد ناشناخته"))</f>
        <v/>
      </c>
      <c r="E1722" s="15" t="n"/>
      <c r="F1722" s="20">
        <f>IF($B1722="","",IFERROR(INDEX(WageDates,MATCH($B1722,WageIds,0)),"—"))</f>
        <v/>
      </c>
      <c r="G1722" s="20">
        <f>IF($B1722="","",IFERROR(VLOOKUP(INDEX(WageParty,MATCH($B1722,WageIds,0)),WGTbl,2,0),"—"))</f>
        <v/>
      </c>
      <c r="H1722" s="12" t="n"/>
    </row>
    <row r="1723">
      <c r="A1723" s="10">
        <f>IF($B1723="","",COUNTA($B$9:$B1723))</f>
        <v/>
      </c>
      <c r="B1723" s="12" t="n"/>
      <c r="C1723" s="13" t="n"/>
      <c r="D1723" s="14">
        <f>IF($C1723="","",IFERROR(IF(VLOOKUP($C1723,AcctTblE,4,0)="","(بدون نام)",VLOOKUP($C1723,AcctTblE,4,0)),"کد ناشناخته"))</f>
        <v/>
      </c>
      <c r="E1723" s="15" t="n"/>
      <c r="F1723" s="14">
        <f>IF($B1723="","",IFERROR(INDEX(WageDates,MATCH($B1723,WageIds,0)),"—"))</f>
        <v/>
      </c>
      <c r="G1723" s="14">
        <f>IF($B1723="","",IFERROR(VLOOKUP(INDEX(WageParty,MATCH($B1723,WageIds,0)),WGTbl,2,0),"—"))</f>
        <v/>
      </c>
      <c r="H1723" s="12" t="n"/>
    </row>
    <row r="1724">
      <c r="A1724" s="19">
        <f>IF($B1724="","",COUNTA($B$9:$B1724))</f>
        <v/>
      </c>
      <c r="B1724" s="12" t="n"/>
      <c r="C1724" s="13" t="n"/>
      <c r="D1724" s="20">
        <f>IF($C1724="","",IFERROR(IF(VLOOKUP($C1724,AcctTblE,4,0)="","(بدون نام)",VLOOKUP($C1724,AcctTblE,4,0)),"کد ناشناخته"))</f>
        <v/>
      </c>
      <c r="E1724" s="15" t="n"/>
      <c r="F1724" s="20">
        <f>IF($B1724="","",IFERROR(INDEX(WageDates,MATCH($B1724,WageIds,0)),"—"))</f>
        <v/>
      </c>
      <c r="G1724" s="20">
        <f>IF($B1724="","",IFERROR(VLOOKUP(INDEX(WageParty,MATCH($B1724,WageIds,0)),WGTbl,2,0),"—"))</f>
        <v/>
      </c>
      <c r="H1724" s="12" t="n"/>
    </row>
    <row r="1725">
      <c r="A1725" s="10">
        <f>IF($B1725="","",COUNTA($B$9:$B1725))</f>
        <v/>
      </c>
      <c r="B1725" s="12" t="n"/>
      <c r="C1725" s="13" t="n"/>
      <c r="D1725" s="14">
        <f>IF($C1725="","",IFERROR(IF(VLOOKUP($C1725,AcctTblE,4,0)="","(بدون نام)",VLOOKUP($C1725,AcctTblE,4,0)),"کد ناشناخته"))</f>
        <v/>
      </c>
      <c r="E1725" s="15" t="n"/>
      <c r="F1725" s="14">
        <f>IF($B1725="","",IFERROR(INDEX(WageDates,MATCH($B1725,WageIds,0)),"—"))</f>
        <v/>
      </c>
      <c r="G1725" s="14">
        <f>IF($B1725="","",IFERROR(VLOOKUP(INDEX(WageParty,MATCH($B1725,WageIds,0)),WGTbl,2,0),"—"))</f>
        <v/>
      </c>
      <c r="H1725" s="12" t="n"/>
    </row>
    <row r="1726">
      <c r="A1726" s="19">
        <f>IF($B1726="","",COUNTA($B$9:$B1726))</f>
        <v/>
      </c>
      <c r="B1726" s="12" t="n"/>
      <c r="C1726" s="13" t="n"/>
      <c r="D1726" s="20">
        <f>IF($C1726="","",IFERROR(IF(VLOOKUP($C1726,AcctTblE,4,0)="","(بدون نام)",VLOOKUP($C1726,AcctTblE,4,0)),"کد ناشناخته"))</f>
        <v/>
      </c>
      <c r="E1726" s="15" t="n"/>
      <c r="F1726" s="20">
        <f>IF($B1726="","",IFERROR(INDEX(WageDates,MATCH($B1726,WageIds,0)),"—"))</f>
        <v/>
      </c>
      <c r="G1726" s="20">
        <f>IF($B1726="","",IFERROR(VLOOKUP(INDEX(WageParty,MATCH($B1726,WageIds,0)),WGTbl,2,0),"—"))</f>
        <v/>
      </c>
      <c r="H1726" s="12" t="n"/>
    </row>
    <row r="1727">
      <c r="A1727" s="10">
        <f>IF($B1727="","",COUNTA($B$9:$B1727))</f>
        <v/>
      </c>
      <c r="B1727" s="12" t="n"/>
      <c r="C1727" s="13" t="n"/>
      <c r="D1727" s="14">
        <f>IF($C1727="","",IFERROR(IF(VLOOKUP($C1727,AcctTblE,4,0)="","(بدون نام)",VLOOKUP($C1727,AcctTblE,4,0)),"کد ناشناخته"))</f>
        <v/>
      </c>
      <c r="E1727" s="15" t="n"/>
      <c r="F1727" s="14">
        <f>IF($B1727="","",IFERROR(INDEX(WageDates,MATCH($B1727,WageIds,0)),"—"))</f>
        <v/>
      </c>
      <c r="G1727" s="14">
        <f>IF($B1727="","",IFERROR(VLOOKUP(INDEX(WageParty,MATCH($B1727,WageIds,0)),WGTbl,2,0),"—"))</f>
        <v/>
      </c>
      <c r="H1727" s="12" t="n"/>
    </row>
    <row r="1728">
      <c r="A1728" s="19">
        <f>IF($B1728="","",COUNTA($B$9:$B1728))</f>
        <v/>
      </c>
      <c r="B1728" s="12" t="n"/>
      <c r="C1728" s="13" t="n"/>
      <c r="D1728" s="20">
        <f>IF($C1728="","",IFERROR(IF(VLOOKUP($C1728,AcctTblE,4,0)="","(بدون نام)",VLOOKUP($C1728,AcctTblE,4,0)),"کد ناشناخته"))</f>
        <v/>
      </c>
      <c r="E1728" s="15" t="n"/>
      <c r="F1728" s="20">
        <f>IF($B1728="","",IFERROR(INDEX(WageDates,MATCH($B1728,WageIds,0)),"—"))</f>
        <v/>
      </c>
      <c r="G1728" s="20">
        <f>IF($B1728="","",IFERROR(VLOOKUP(INDEX(WageParty,MATCH($B1728,WageIds,0)),WGTbl,2,0),"—"))</f>
        <v/>
      </c>
      <c r="H1728" s="12" t="n"/>
    </row>
    <row r="1729">
      <c r="A1729" s="10">
        <f>IF($B1729="","",COUNTA($B$9:$B1729))</f>
        <v/>
      </c>
      <c r="B1729" s="12" t="n"/>
      <c r="C1729" s="13" t="n"/>
      <c r="D1729" s="14">
        <f>IF($C1729="","",IFERROR(IF(VLOOKUP($C1729,AcctTblE,4,0)="","(بدون نام)",VLOOKUP($C1729,AcctTblE,4,0)),"کد ناشناخته"))</f>
        <v/>
      </c>
      <c r="E1729" s="15" t="n"/>
      <c r="F1729" s="14">
        <f>IF($B1729="","",IFERROR(INDEX(WageDates,MATCH($B1729,WageIds,0)),"—"))</f>
        <v/>
      </c>
      <c r="G1729" s="14">
        <f>IF($B1729="","",IFERROR(VLOOKUP(INDEX(WageParty,MATCH($B1729,WageIds,0)),WGTbl,2,0),"—"))</f>
        <v/>
      </c>
      <c r="H1729" s="12" t="n"/>
    </row>
    <row r="1730">
      <c r="A1730" s="19">
        <f>IF($B1730="","",COUNTA($B$9:$B1730))</f>
        <v/>
      </c>
      <c r="B1730" s="12" t="n"/>
      <c r="C1730" s="13" t="n"/>
      <c r="D1730" s="20">
        <f>IF($C1730="","",IFERROR(IF(VLOOKUP($C1730,AcctTblE,4,0)="","(بدون نام)",VLOOKUP($C1730,AcctTblE,4,0)),"کد ناشناخته"))</f>
        <v/>
      </c>
      <c r="E1730" s="15" t="n"/>
      <c r="F1730" s="20">
        <f>IF($B1730="","",IFERROR(INDEX(WageDates,MATCH($B1730,WageIds,0)),"—"))</f>
        <v/>
      </c>
      <c r="G1730" s="20">
        <f>IF($B1730="","",IFERROR(VLOOKUP(INDEX(WageParty,MATCH($B1730,WageIds,0)),WGTbl,2,0),"—"))</f>
        <v/>
      </c>
      <c r="H1730" s="12" t="n"/>
    </row>
    <row r="1731">
      <c r="A1731" s="10">
        <f>IF($B1731="","",COUNTA($B$9:$B1731))</f>
        <v/>
      </c>
      <c r="B1731" s="12" t="n"/>
      <c r="C1731" s="13" t="n"/>
      <c r="D1731" s="14">
        <f>IF($C1731="","",IFERROR(IF(VLOOKUP($C1731,AcctTblE,4,0)="","(بدون نام)",VLOOKUP($C1731,AcctTblE,4,0)),"کد ناشناخته"))</f>
        <v/>
      </c>
      <c r="E1731" s="15" t="n"/>
      <c r="F1731" s="14">
        <f>IF($B1731="","",IFERROR(INDEX(WageDates,MATCH($B1731,WageIds,0)),"—"))</f>
        <v/>
      </c>
      <c r="G1731" s="14">
        <f>IF($B1731="","",IFERROR(VLOOKUP(INDEX(WageParty,MATCH($B1731,WageIds,0)),WGTbl,2,0),"—"))</f>
        <v/>
      </c>
      <c r="H1731" s="12" t="n"/>
    </row>
    <row r="1732">
      <c r="A1732" s="19">
        <f>IF($B1732="","",COUNTA($B$9:$B1732))</f>
        <v/>
      </c>
      <c r="B1732" s="12" t="n"/>
      <c r="C1732" s="13" t="n"/>
      <c r="D1732" s="20">
        <f>IF($C1732="","",IFERROR(IF(VLOOKUP($C1732,AcctTblE,4,0)="","(بدون نام)",VLOOKUP($C1732,AcctTblE,4,0)),"کد ناشناخته"))</f>
        <v/>
      </c>
      <c r="E1732" s="15" t="n"/>
      <c r="F1732" s="20">
        <f>IF($B1732="","",IFERROR(INDEX(WageDates,MATCH($B1732,WageIds,0)),"—"))</f>
        <v/>
      </c>
      <c r="G1732" s="20">
        <f>IF($B1732="","",IFERROR(VLOOKUP(INDEX(WageParty,MATCH($B1732,WageIds,0)),WGTbl,2,0),"—"))</f>
        <v/>
      </c>
      <c r="H1732" s="12" t="n"/>
    </row>
    <row r="1733">
      <c r="A1733" s="10">
        <f>IF($B1733="","",COUNTA($B$9:$B1733))</f>
        <v/>
      </c>
      <c r="B1733" s="12" t="n"/>
      <c r="C1733" s="13" t="n"/>
      <c r="D1733" s="14">
        <f>IF($C1733="","",IFERROR(IF(VLOOKUP($C1733,AcctTblE,4,0)="","(بدون نام)",VLOOKUP($C1733,AcctTblE,4,0)),"کد ناشناخته"))</f>
        <v/>
      </c>
      <c r="E1733" s="15" t="n"/>
      <c r="F1733" s="14">
        <f>IF($B1733="","",IFERROR(INDEX(WageDates,MATCH($B1733,WageIds,0)),"—"))</f>
        <v/>
      </c>
      <c r="G1733" s="14">
        <f>IF($B1733="","",IFERROR(VLOOKUP(INDEX(WageParty,MATCH($B1733,WageIds,0)),WGTbl,2,0),"—"))</f>
        <v/>
      </c>
      <c r="H1733" s="12" t="n"/>
    </row>
    <row r="1734">
      <c r="A1734" s="19">
        <f>IF($B1734="","",COUNTA($B$9:$B1734))</f>
        <v/>
      </c>
      <c r="B1734" s="12" t="n"/>
      <c r="C1734" s="13" t="n"/>
      <c r="D1734" s="20">
        <f>IF($C1734="","",IFERROR(IF(VLOOKUP($C1734,AcctTblE,4,0)="","(بدون نام)",VLOOKUP($C1734,AcctTblE,4,0)),"کد ناشناخته"))</f>
        <v/>
      </c>
      <c r="E1734" s="15" t="n"/>
      <c r="F1734" s="20">
        <f>IF($B1734="","",IFERROR(INDEX(WageDates,MATCH($B1734,WageIds,0)),"—"))</f>
        <v/>
      </c>
      <c r="G1734" s="20">
        <f>IF($B1734="","",IFERROR(VLOOKUP(INDEX(WageParty,MATCH($B1734,WageIds,0)),WGTbl,2,0),"—"))</f>
        <v/>
      </c>
      <c r="H1734" s="12" t="n"/>
    </row>
    <row r="1735">
      <c r="A1735" s="10">
        <f>IF($B1735="","",COUNTA($B$9:$B1735))</f>
        <v/>
      </c>
      <c r="B1735" s="12" t="n"/>
      <c r="C1735" s="13" t="n"/>
      <c r="D1735" s="14">
        <f>IF($C1735="","",IFERROR(IF(VLOOKUP($C1735,AcctTblE,4,0)="","(بدون نام)",VLOOKUP($C1735,AcctTblE,4,0)),"کد ناشناخته"))</f>
        <v/>
      </c>
      <c r="E1735" s="15" t="n"/>
      <c r="F1735" s="14">
        <f>IF($B1735="","",IFERROR(INDEX(WageDates,MATCH($B1735,WageIds,0)),"—"))</f>
        <v/>
      </c>
      <c r="G1735" s="14">
        <f>IF($B1735="","",IFERROR(VLOOKUP(INDEX(WageParty,MATCH($B1735,WageIds,0)),WGTbl,2,0),"—"))</f>
        <v/>
      </c>
      <c r="H1735" s="12" t="n"/>
    </row>
    <row r="1736">
      <c r="A1736" s="19">
        <f>IF($B1736="","",COUNTA($B$9:$B1736))</f>
        <v/>
      </c>
      <c r="B1736" s="12" t="n"/>
      <c r="C1736" s="13" t="n"/>
      <c r="D1736" s="20">
        <f>IF($C1736="","",IFERROR(IF(VLOOKUP($C1736,AcctTblE,4,0)="","(بدون نام)",VLOOKUP($C1736,AcctTblE,4,0)),"کد ناشناخته"))</f>
        <v/>
      </c>
      <c r="E1736" s="15" t="n"/>
      <c r="F1736" s="20">
        <f>IF($B1736="","",IFERROR(INDEX(WageDates,MATCH($B1736,WageIds,0)),"—"))</f>
        <v/>
      </c>
      <c r="G1736" s="20">
        <f>IF($B1736="","",IFERROR(VLOOKUP(INDEX(WageParty,MATCH($B1736,WageIds,0)),WGTbl,2,0),"—"))</f>
        <v/>
      </c>
      <c r="H1736" s="12" t="n"/>
    </row>
    <row r="1737">
      <c r="A1737" s="10">
        <f>IF($B1737="","",COUNTA($B$9:$B1737))</f>
        <v/>
      </c>
      <c r="B1737" s="12" t="n"/>
      <c r="C1737" s="13" t="n"/>
      <c r="D1737" s="14">
        <f>IF($C1737="","",IFERROR(IF(VLOOKUP($C1737,AcctTblE,4,0)="","(بدون نام)",VLOOKUP($C1737,AcctTblE,4,0)),"کد ناشناخته"))</f>
        <v/>
      </c>
      <c r="E1737" s="15" t="n"/>
      <c r="F1737" s="14">
        <f>IF($B1737="","",IFERROR(INDEX(WageDates,MATCH($B1737,WageIds,0)),"—"))</f>
        <v/>
      </c>
      <c r="G1737" s="14">
        <f>IF($B1737="","",IFERROR(VLOOKUP(INDEX(WageParty,MATCH($B1737,WageIds,0)),WGTbl,2,0),"—"))</f>
        <v/>
      </c>
      <c r="H1737" s="12" t="n"/>
    </row>
    <row r="1738">
      <c r="A1738" s="19">
        <f>IF($B1738="","",COUNTA($B$9:$B1738))</f>
        <v/>
      </c>
      <c r="B1738" s="12" t="n"/>
      <c r="C1738" s="13" t="n"/>
      <c r="D1738" s="20">
        <f>IF($C1738="","",IFERROR(IF(VLOOKUP($C1738,AcctTblE,4,0)="","(بدون نام)",VLOOKUP($C1738,AcctTblE,4,0)),"کد ناشناخته"))</f>
        <v/>
      </c>
      <c r="E1738" s="15" t="n"/>
      <c r="F1738" s="20">
        <f>IF($B1738="","",IFERROR(INDEX(WageDates,MATCH($B1738,WageIds,0)),"—"))</f>
        <v/>
      </c>
      <c r="G1738" s="20">
        <f>IF($B1738="","",IFERROR(VLOOKUP(INDEX(WageParty,MATCH($B1738,WageIds,0)),WGTbl,2,0),"—"))</f>
        <v/>
      </c>
      <c r="H1738" s="12" t="n"/>
    </row>
    <row r="1739">
      <c r="A1739" s="10">
        <f>IF($B1739="","",COUNTA($B$9:$B1739))</f>
        <v/>
      </c>
      <c r="B1739" s="12" t="n"/>
      <c r="C1739" s="13" t="n"/>
      <c r="D1739" s="14">
        <f>IF($C1739="","",IFERROR(IF(VLOOKUP($C1739,AcctTblE,4,0)="","(بدون نام)",VLOOKUP($C1739,AcctTblE,4,0)),"کد ناشناخته"))</f>
        <v/>
      </c>
      <c r="E1739" s="15" t="n"/>
      <c r="F1739" s="14">
        <f>IF($B1739="","",IFERROR(INDEX(WageDates,MATCH($B1739,WageIds,0)),"—"))</f>
        <v/>
      </c>
      <c r="G1739" s="14">
        <f>IF($B1739="","",IFERROR(VLOOKUP(INDEX(WageParty,MATCH($B1739,WageIds,0)),WGTbl,2,0),"—"))</f>
        <v/>
      </c>
      <c r="H1739" s="12" t="n"/>
    </row>
    <row r="1740">
      <c r="A1740" s="19">
        <f>IF($B1740="","",COUNTA($B$9:$B1740))</f>
        <v/>
      </c>
      <c r="B1740" s="12" t="n"/>
      <c r="C1740" s="13" t="n"/>
      <c r="D1740" s="20">
        <f>IF($C1740="","",IFERROR(IF(VLOOKUP($C1740,AcctTblE,4,0)="","(بدون نام)",VLOOKUP($C1740,AcctTblE,4,0)),"کد ناشناخته"))</f>
        <v/>
      </c>
      <c r="E1740" s="15" t="n"/>
      <c r="F1740" s="20">
        <f>IF($B1740="","",IFERROR(INDEX(WageDates,MATCH($B1740,WageIds,0)),"—"))</f>
        <v/>
      </c>
      <c r="G1740" s="20">
        <f>IF($B1740="","",IFERROR(VLOOKUP(INDEX(WageParty,MATCH($B1740,WageIds,0)),WGTbl,2,0),"—"))</f>
        <v/>
      </c>
      <c r="H1740" s="12" t="n"/>
    </row>
    <row r="1741">
      <c r="A1741" s="10">
        <f>IF($B1741="","",COUNTA($B$9:$B1741))</f>
        <v/>
      </c>
      <c r="B1741" s="12" t="n"/>
      <c r="C1741" s="13" t="n"/>
      <c r="D1741" s="14">
        <f>IF($C1741="","",IFERROR(IF(VLOOKUP($C1741,AcctTblE,4,0)="","(بدون نام)",VLOOKUP($C1741,AcctTblE,4,0)),"کد ناشناخته"))</f>
        <v/>
      </c>
      <c r="E1741" s="15" t="n"/>
      <c r="F1741" s="14">
        <f>IF($B1741="","",IFERROR(INDEX(WageDates,MATCH($B1741,WageIds,0)),"—"))</f>
        <v/>
      </c>
      <c r="G1741" s="14">
        <f>IF($B1741="","",IFERROR(VLOOKUP(INDEX(WageParty,MATCH($B1741,WageIds,0)),WGTbl,2,0),"—"))</f>
        <v/>
      </c>
      <c r="H1741" s="12" t="n"/>
    </row>
    <row r="1742">
      <c r="A1742" s="19">
        <f>IF($B1742="","",COUNTA($B$9:$B1742))</f>
        <v/>
      </c>
      <c r="B1742" s="12" t="n"/>
      <c r="C1742" s="13" t="n"/>
      <c r="D1742" s="20">
        <f>IF($C1742="","",IFERROR(IF(VLOOKUP($C1742,AcctTblE,4,0)="","(بدون نام)",VLOOKUP($C1742,AcctTblE,4,0)),"کد ناشناخته"))</f>
        <v/>
      </c>
      <c r="E1742" s="15" t="n"/>
      <c r="F1742" s="20">
        <f>IF($B1742="","",IFERROR(INDEX(WageDates,MATCH($B1742,WageIds,0)),"—"))</f>
        <v/>
      </c>
      <c r="G1742" s="20">
        <f>IF($B1742="","",IFERROR(VLOOKUP(INDEX(WageParty,MATCH($B1742,WageIds,0)),WGTbl,2,0),"—"))</f>
        <v/>
      </c>
      <c r="H1742" s="12" t="n"/>
    </row>
    <row r="1743">
      <c r="A1743" s="10">
        <f>IF($B1743="","",COUNTA($B$9:$B1743))</f>
        <v/>
      </c>
      <c r="B1743" s="12" t="n"/>
      <c r="C1743" s="13" t="n"/>
      <c r="D1743" s="14">
        <f>IF($C1743="","",IFERROR(IF(VLOOKUP($C1743,AcctTblE,4,0)="","(بدون نام)",VLOOKUP($C1743,AcctTblE,4,0)),"کد ناشناخته"))</f>
        <v/>
      </c>
      <c r="E1743" s="15" t="n"/>
      <c r="F1743" s="14">
        <f>IF($B1743="","",IFERROR(INDEX(WageDates,MATCH($B1743,WageIds,0)),"—"))</f>
        <v/>
      </c>
      <c r="G1743" s="14">
        <f>IF($B1743="","",IFERROR(VLOOKUP(INDEX(WageParty,MATCH($B1743,WageIds,0)),WGTbl,2,0),"—"))</f>
        <v/>
      </c>
      <c r="H1743" s="12" t="n"/>
    </row>
    <row r="1744">
      <c r="A1744" s="19">
        <f>IF($B1744="","",COUNTA($B$9:$B1744))</f>
        <v/>
      </c>
      <c r="B1744" s="12" t="n"/>
      <c r="C1744" s="13" t="n"/>
      <c r="D1744" s="20">
        <f>IF($C1744="","",IFERROR(IF(VLOOKUP($C1744,AcctTblE,4,0)="","(بدون نام)",VLOOKUP($C1744,AcctTblE,4,0)),"کد ناشناخته"))</f>
        <v/>
      </c>
      <c r="E1744" s="15" t="n"/>
      <c r="F1744" s="20">
        <f>IF($B1744="","",IFERROR(INDEX(WageDates,MATCH($B1744,WageIds,0)),"—"))</f>
        <v/>
      </c>
      <c r="G1744" s="20">
        <f>IF($B1744="","",IFERROR(VLOOKUP(INDEX(WageParty,MATCH($B1744,WageIds,0)),WGTbl,2,0),"—"))</f>
        <v/>
      </c>
      <c r="H1744" s="12" t="n"/>
    </row>
    <row r="1745">
      <c r="A1745" s="10">
        <f>IF($B1745="","",COUNTA($B$9:$B1745))</f>
        <v/>
      </c>
      <c r="B1745" s="12" t="n"/>
      <c r="C1745" s="13" t="n"/>
      <c r="D1745" s="14">
        <f>IF($C1745="","",IFERROR(IF(VLOOKUP($C1745,AcctTblE,4,0)="","(بدون نام)",VLOOKUP($C1745,AcctTblE,4,0)),"کد ناشناخته"))</f>
        <v/>
      </c>
      <c r="E1745" s="15" t="n"/>
      <c r="F1745" s="14">
        <f>IF($B1745="","",IFERROR(INDEX(WageDates,MATCH($B1745,WageIds,0)),"—"))</f>
        <v/>
      </c>
      <c r="G1745" s="14">
        <f>IF($B1745="","",IFERROR(VLOOKUP(INDEX(WageParty,MATCH($B1745,WageIds,0)),WGTbl,2,0),"—"))</f>
        <v/>
      </c>
      <c r="H1745" s="12" t="n"/>
    </row>
    <row r="1746">
      <c r="A1746" s="19">
        <f>IF($B1746="","",COUNTA($B$9:$B1746))</f>
        <v/>
      </c>
      <c r="B1746" s="12" t="n"/>
      <c r="C1746" s="13" t="n"/>
      <c r="D1746" s="20">
        <f>IF($C1746="","",IFERROR(IF(VLOOKUP($C1746,AcctTblE,4,0)="","(بدون نام)",VLOOKUP($C1746,AcctTblE,4,0)),"کد ناشناخته"))</f>
        <v/>
      </c>
      <c r="E1746" s="15" t="n"/>
      <c r="F1746" s="20">
        <f>IF($B1746="","",IFERROR(INDEX(WageDates,MATCH($B1746,WageIds,0)),"—"))</f>
        <v/>
      </c>
      <c r="G1746" s="20">
        <f>IF($B1746="","",IFERROR(VLOOKUP(INDEX(WageParty,MATCH($B1746,WageIds,0)),WGTbl,2,0),"—"))</f>
        <v/>
      </c>
      <c r="H1746" s="12" t="n"/>
    </row>
    <row r="1747">
      <c r="A1747" s="10">
        <f>IF($B1747="","",COUNTA($B$9:$B1747))</f>
        <v/>
      </c>
      <c r="B1747" s="12" t="n"/>
      <c r="C1747" s="13" t="n"/>
      <c r="D1747" s="14">
        <f>IF($C1747="","",IFERROR(IF(VLOOKUP($C1747,AcctTblE,4,0)="","(بدون نام)",VLOOKUP($C1747,AcctTblE,4,0)),"کد ناشناخته"))</f>
        <v/>
      </c>
      <c r="E1747" s="15" t="n"/>
      <c r="F1747" s="14">
        <f>IF($B1747="","",IFERROR(INDEX(WageDates,MATCH($B1747,WageIds,0)),"—"))</f>
        <v/>
      </c>
      <c r="G1747" s="14">
        <f>IF($B1747="","",IFERROR(VLOOKUP(INDEX(WageParty,MATCH($B1747,WageIds,0)),WGTbl,2,0),"—"))</f>
        <v/>
      </c>
      <c r="H1747" s="12" t="n"/>
    </row>
    <row r="1748">
      <c r="A1748" s="19">
        <f>IF($B1748="","",COUNTA($B$9:$B1748))</f>
        <v/>
      </c>
      <c r="B1748" s="12" t="n"/>
      <c r="C1748" s="13" t="n"/>
      <c r="D1748" s="20">
        <f>IF($C1748="","",IFERROR(IF(VLOOKUP($C1748,AcctTblE,4,0)="","(بدون نام)",VLOOKUP($C1748,AcctTblE,4,0)),"کد ناشناخته"))</f>
        <v/>
      </c>
      <c r="E1748" s="15" t="n"/>
      <c r="F1748" s="20">
        <f>IF($B1748="","",IFERROR(INDEX(WageDates,MATCH($B1748,WageIds,0)),"—"))</f>
        <v/>
      </c>
      <c r="G1748" s="20">
        <f>IF($B1748="","",IFERROR(VLOOKUP(INDEX(WageParty,MATCH($B1748,WageIds,0)),WGTbl,2,0),"—"))</f>
        <v/>
      </c>
      <c r="H1748" s="12" t="n"/>
    </row>
    <row r="1749">
      <c r="A1749" s="10">
        <f>IF($B1749="","",COUNTA($B$9:$B1749))</f>
        <v/>
      </c>
      <c r="B1749" s="12" t="n"/>
      <c r="C1749" s="13" t="n"/>
      <c r="D1749" s="14">
        <f>IF($C1749="","",IFERROR(IF(VLOOKUP($C1749,AcctTblE,4,0)="","(بدون نام)",VLOOKUP($C1749,AcctTblE,4,0)),"کد ناشناخته"))</f>
        <v/>
      </c>
      <c r="E1749" s="15" t="n"/>
      <c r="F1749" s="14">
        <f>IF($B1749="","",IFERROR(INDEX(WageDates,MATCH($B1749,WageIds,0)),"—"))</f>
        <v/>
      </c>
      <c r="G1749" s="14">
        <f>IF($B1749="","",IFERROR(VLOOKUP(INDEX(WageParty,MATCH($B1749,WageIds,0)),WGTbl,2,0),"—"))</f>
        <v/>
      </c>
      <c r="H1749" s="12" t="n"/>
    </row>
    <row r="1750">
      <c r="A1750" s="19">
        <f>IF($B1750="","",COUNTA($B$9:$B1750))</f>
        <v/>
      </c>
      <c r="B1750" s="12" t="n"/>
      <c r="C1750" s="13" t="n"/>
      <c r="D1750" s="20">
        <f>IF($C1750="","",IFERROR(IF(VLOOKUP($C1750,AcctTblE,4,0)="","(بدون نام)",VLOOKUP($C1750,AcctTblE,4,0)),"کد ناشناخته"))</f>
        <v/>
      </c>
      <c r="E1750" s="15" t="n"/>
      <c r="F1750" s="20">
        <f>IF($B1750="","",IFERROR(INDEX(WageDates,MATCH($B1750,WageIds,0)),"—"))</f>
        <v/>
      </c>
      <c r="G1750" s="20">
        <f>IF($B1750="","",IFERROR(VLOOKUP(INDEX(WageParty,MATCH($B1750,WageIds,0)),WGTbl,2,0),"—"))</f>
        <v/>
      </c>
      <c r="H1750" s="12" t="n"/>
    </row>
    <row r="1751">
      <c r="A1751" s="10">
        <f>IF($B1751="","",COUNTA($B$9:$B1751))</f>
        <v/>
      </c>
      <c r="B1751" s="12" t="n"/>
      <c r="C1751" s="13" t="n"/>
      <c r="D1751" s="14">
        <f>IF($C1751="","",IFERROR(IF(VLOOKUP($C1751,AcctTblE,4,0)="","(بدون نام)",VLOOKUP($C1751,AcctTblE,4,0)),"کد ناشناخته"))</f>
        <v/>
      </c>
      <c r="E1751" s="15" t="n"/>
      <c r="F1751" s="14">
        <f>IF($B1751="","",IFERROR(INDEX(WageDates,MATCH($B1751,WageIds,0)),"—"))</f>
        <v/>
      </c>
      <c r="G1751" s="14">
        <f>IF($B1751="","",IFERROR(VLOOKUP(INDEX(WageParty,MATCH($B1751,WageIds,0)),WGTbl,2,0),"—"))</f>
        <v/>
      </c>
      <c r="H1751" s="12" t="n"/>
    </row>
    <row r="1752">
      <c r="A1752" s="19">
        <f>IF($B1752="","",COUNTA($B$9:$B1752))</f>
        <v/>
      </c>
      <c r="B1752" s="12" t="n"/>
      <c r="C1752" s="13" t="n"/>
      <c r="D1752" s="20">
        <f>IF($C1752="","",IFERROR(IF(VLOOKUP($C1752,AcctTblE,4,0)="","(بدون نام)",VLOOKUP($C1752,AcctTblE,4,0)),"کد ناشناخته"))</f>
        <v/>
      </c>
      <c r="E1752" s="15" t="n"/>
      <c r="F1752" s="20">
        <f>IF($B1752="","",IFERROR(INDEX(WageDates,MATCH($B1752,WageIds,0)),"—"))</f>
        <v/>
      </c>
      <c r="G1752" s="20">
        <f>IF($B1752="","",IFERROR(VLOOKUP(INDEX(WageParty,MATCH($B1752,WageIds,0)),WGTbl,2,0),"—"))</f>
        <v/>
      </c>
      <c r="H1752" s="12" t="n"/>
    </row>
    <row r="1753">
      <c r="A1753" s="10">
        <f>IF($B1753="","",COUNTA($B$9:$B1753))</f>
        <v/>
      </c>
      <c r="B1753" s="12" t="n"/>
      <c r="C1753" s="13" t="n"/>
      <c r="D1753" s="14">
        <f>IF($C1753="","",IFERROR(IF(VLOOKUP($C1753,AcctTblE,4,0)="","(بدون نام)",VLOOKUP($C1753,AcctTblE,4,0)),"کد ناشناخته"))</f>
        <v/>
      </c>
      <c r="E1753" s="15" t="n"/>
      <c r="F1753" s="14">
        <f>IF($B1753="","",IFERROR(INDEX(WageDates,MATCH($B1753,WageIds,0)),"—"))</f>
        <v/>
      </c>
      <c r="G1753" s="14">
        <f>IF($B1753="","",IFERROR(VLOOKUP(INDEX(WageParty,MATCH($B1753,WageIds,0)),WGTbl,2,0),"—"))</f>
        <v/>
      </c>
      <c r="H1753" s="12" t="n"/>
    </row>
    <row r="1754">
      <c r="A1754" s="19">
        <f>IF($B1754="","",COUNTA($B$9:$B1754))</f>
        <v/>
      </c>
      <c r="B1754" s="12" t="n"/>
      <c r="C1754" s="13" t="n"/>
      <c r="D1754" s="20">
        <f>IF($C1754="","",IFERROR(IF(VLOOKUP($C1754,AcctTblE,4,0)="","(بدون نام)",VLOOKUP($C1754,AcctTblE,4,0)),"کد ناشناخته"))</f>
        <v/>
      </c>
      <c r="E1754" s="15" t="n"/>
      <c r="F1754" s="20">
        <f>IF($B1754="","",IFERROR(INDEX(WageDates,MATCH($B1754,WageIds,0)),"—"))</f>
        <v/>
      </c>
      <c r="G1754" s="20">
        <f>IF($B1754="","",IFERROR(VLOOKUP(INDEX(WageParty,MATCH($B1754,WageIds,0)),WGTbl,2,0),"—"))</f>
        <v/>
      </c>
      <c r="H1754" s="12" t="n"/>
    </row>
    <row r="1755">
      <c r="A1755" s="10">
        <f>IF($B1755="","",COUNTA($B$9:$B1755))</f>
        <v/>
      </c>
      <c r="B1755" s="12" t="n"/>
      <c r="C1755" s="13" t="n"/>
      <c r="D1755" s="14">
        <f>IF($C1755="","",IFERROR(IF(VLOOKUP($C1755,AcctTblE,4,0)="","(بدون نام)",VLOOKUP($C1755,AcctTblE,4,0)),"کد ناشناخته"))</f>
        <v/>
      </c>
      <c r="E1755" s="15" t="n"/>
      <c r="F1755" s="14">
        <f>IF($B1755="","",IFERROR(INDEX(WageDates,MATCH($B1755,WageIds,0)),"—"))</f>
        <v/>
      </c>
      <c r="G1755" s="14">
        <f>IF($B1755="","",IFERROR(VLOOKUP(INDEX(WageParty,MATCH($B1755,WageIds,0)),WGTbl,2,0),"—"))</f>
        <v/>
      </c>
      <c r="H1755" s="12" t="n"/>
    </row>
    <row r="1756">
      <c r="A1756" s="19">
        <f>IF($B1756="","",COUNTA($B$9:$B1756))</f>
        <v/>
      </c>
      <c r="B1756" s="12" t="n"/>
      <c r="C1756" s="13" t="n"/>
      <c r="D1756" s="20">
        <f>IF($C1756="","",IFERROR(IF(VLOOKUP($C1756,AcctTblE,4,0)="","(بدون نام)",VLOOKUP($C1756,AcctTblE,4,0)),"کد ناشناخته"))</f>
        <v/>
      </c>
      <c r="E1756" s="15" t="n"/>
      <c r="F1756" s="20">
        <f>IF($B1756="","",IFERROR(INDEX(WageDates,MATCH($B1756,WageIds,0)),"—"))</f>
        <v/>
      </c>
      <c r="G1756" s="20">
        <f>IF($B1756="","",IFERROR(VLOOKUP(INDEX(WageParty,MATCH($B1756,WageIds,0)),WGTbl,2,0),"—"))</f>
        <v/>
      </c>
      <c r="H1756" s="12" t="n"/>
    </row>
    <row r="1757">
      <c r="A1757" s="10">
        <f>IF($B1757="","",COUNTA($B$9:$B1757))</f>
        <v/>
      </c>
      <c r="B1757" s="12" t="n"/>
      <c r="C1757" s="13" t="n"/>
      <c r="D1757" s="14">
        <f>IF($C1757="","",IFERROR(IF(VLOOKUP($C1757,AcctTblE,4,0)="","(بدون نام)",VLOOKUP($C1757,AcctTblE,4,0)),"کد ناشناخته"))</f>
        <v/>
      </c>
      <c r="E1757" s="15" t="n"/>
      <c r="F1757" s="14">
        <f>IF($B1757="","",IFERROR(INDEX(WageDates,MATCH($B1757,WageIds,0)),"—"))</f>
        <v/>
      </c>
      <c r="G1757" s="14">
        <f>IF($B1757="","",IFERROR(VLOOKUP(INDEX(WageParty,MATCH($B1757,WageIds,0)),WGTbl,2,0),"—"))</f>
        <v/>
      </c>
      <c r="H1757" s="12" t="n"/>
    </row>
    <row r="1758">
      <c r="A1758" s="19">
        <f>IF($B1758="","",COUNTA($B$9:$B1758))</f>
        <v/>
      </c>
      <c r="B1758" s="12" t="n"/>
      <c r="C1758" s="13" t="n"/>
      <c r="D1758" s="20">
        <f>IF($C1758="","",IFERROR(IF(VLOOKUP($C1758,AcctTblE,4,0)="","(بدون نام)",VLOOKUP($C1758,AcctTblE,4,0)),"کد ناشناخته"))</f>
        <v/>
      </c>
      <c r="E1758" s="15" t="n"/>
      <c r="F1758" s="20">
        <f>IF($B1758="","",IFERROR(INDEX(WageDates,MATCH($B1758,WageIds,0)),"—"))</f>
        <v/>
      </c>
      <c r="G1758" s="20">
        <f>IF($B1758="","",IFERROR(VLOOKUP(INDEX(WageParty,MATCH($B1758,WageIds,0)),WGTbl,2,0),"—"))</f>
        <v/>
      </c>
      <c r="H1758" s="12" t="n"/>
    </row>
    <row r="1759">
      <c r="A1759" s="10">
        <f>IF($B1759="","",COUNTA($B$9:$B1759))</f>
        <v/>
      </c>
      <c r="B1759" s="12" t="n"/>
      <c r="C1759" s="13" t="n"/>
      <c r="D1759" s="14">
        <f>IF($C1759="","",IFERROR(IF(VLOOKUP($C1759,AcctTblE,4,0)="","(بدون نام)",VLOOKUP($C1759,AcctTblE,4,0)),"کد ناشناخته"))</f>
        <v/>
      </c>
      <c r="E1759" s="15" t="n"/>
      <c r="F1759" s="14">
        <f>IF($B1759="","",IFERROR(INDEX(WageDates,MATCH($B1759,WageIds,0)),"—"))</f>
        <v/>
      </c>
      <c r="G1759" s="14">
        <f>IF($B1759="","",IFERROR(VLOOKUP(INDEX(WageParty,MATCH($B1759,WageIds,0)),WGTbl,2,0),"—"))</f>
        <v/>
      </c>
      <c r="H1759" s="12" t="n"/>
    </row>
    <row r="1760">
      <c r="A1760" s="19">
        <f>IF($B1760="","",COUNTA($B$9:$B1760))</f>
        <v/>
      </c>
      <c r="B1760" s="12" t="n"/>
      <c r="C1760" s="13" t="n"/>
      <c r="D1760" s="20">
        <f>IF($C1760="","",IFERROR(IF(VLOOKUP($C1760,AcctTblE,4,0)="","(بدون نام)",VLOOKUP($C1760,AcctTblE,4,0)),"کد ناشناخته"))</f>
        <v/>
      </c>
      <c r="E1760" s="15" t="n"/>
      <c r="F1760" s="20">
        <f>IF($B1760="","",IFERROR(INDEX(WageDates,MATCH($B1760,WageIds,0)),"—"))</f>
        <v/>
      </c>
      <c r="G1760" s="20">
        <f>IF($B1760="","",IFERROR(VLOOKUP(INDEX(WageParty,MATCH($B1760,WageIds,0)),WGTbl,2,0),"—"))</f>
        <v/>
      </c>
      <c r="H1760" s="12" t="n"/>
    </row>
    <row r="1761">
      <c r="A1761" s="10">
        <f>IF($B1761="","",COUNTA($B$9:$B1761))</f>
        <v/>
      </c>
      <c r="B1761" s="12" t="n"/>
      <c r="C1761" s="13" t="n"/>
      <c r="D1761" s="14">
        <f>IF($C1761="","",IFERROR(IF(VLOOKUP($C1761,AcctTblE,4,0)="","(بدون نام)",VLOOKUP($C1761,AcctTblE,4,0)),"کد ناشناخته"))</f>
        <v/>
      </c>
      <c r="E1761" s="15" t="n"/>
      <c r="F1761" s="14">
        <f>IF($B1761="","",IFERROR(INDEX(WageDates,MATCH($B1761,WageIds,0)),"—"))</f>
        <v/>
      </c>
      <c r="G1761" s="14">
        <f>IF($B1761="","",IFERROR(VLOOKUP(INDEX(WageParty,MATCH($B1761,WageIds,0)),WGTbl,2,0),"—"))</f>
        <v/>
      </c>
      <c r="H1761" s="12" t="n"/>
    </row>
    <row r="1762">
      <c r="A1762" s="19">
        <f>IF($B1762="","",COUNTA($B$9:$B1762))</f>
        <v/>
      </c>
      <c r="B1762" s="12" t="n"/>
      <c r="C1762" s="13" t="n"/>
      <c r="D1762" s="20">
        <f>IF($C1762="","",IFERROR(IF(VLOOKUP($C1762,AcctTblE,4,0)="","(بدون نام)",VLOOKUP($C1762,AcctTblE,4,0)),"کد ناشناخته"))</f>
        <v/>
      </c>
      <c r="E1762" s="15" t="n"/>
      <c r="F1762" s="20">
        <f>IF($B1762="","",IFERROR(INDEX(WageDates,MATCH($B1762,WageIds,0)),"—"))</f>
        <v/>
      </c>
      <c r="G1762" s="20">
        <f>IF($B1762="","",IFERROR(VLOOKUP(INDEX(WageParty,MATCH($B1762,WageIds,0)),WGTbl,2,0),"—"))</f>
        <v/>
      </c>
      <c r="H1762" s="12" t="n"/>
    </row>
    <row r="1763">
      <c r="A1763" s="10">
        <f>IF($B1763="","",COUNTA($B$9:$B1763))</f>
        <v/>
      </c>
      <c r="B1763" s="12" t="n"/>
      <c r="C1763" s="13" t="n"/>
      <c r="D1763" s="14">
        <f>IF($C1763="","",IFERROR(IF(VLOOKUP($C1763,AcctTblE,4,0)="","(بدون نام)",VLOOKUP($C1763,AcctTblE,4,0)),"کد ناشناخته"))</f>
        <v/>
      </c>
      <c r="E1763" s="15" t="n"/>
      <c r="F1763" s="14">
        <f>IF($B1763="","",IFERROR(INDEX(WageDates,MATCH($B1763,WageIds,0)),"—"))</f>
        <v/>
      </c>
      <c r="G1763" s="14">
        <f>IF($B1763="","",IFERROR(VLOOKUP(INDEX(WageParty,MATCH($B1763,WageIds,0)),WGTbl,2,0),"—"))</f>
        <v/>
      </c>
      <c r="H1763" s="12" t="n"/>
    </row>
    <row r="1764">
      <c r="A1764" s="19">
        <f>IF($B1764="","",COUNTA($B$9:$B1764))</f>
        <v/>
      </c>
      <c r="B1764" s="12" t="n"/>
      <c r="C1764" s="13" t="n"/>
      <c r="D1764" s="20">
        <f>IF($C1764="","",IFERROR(IF(VLOOKUP($C1764,AcctTblE,4,0)="","(بدون نام)",VLOOKUP($C1764,AcctTblE,4,0)),"کد ناشناخته"))</f>
        <v/>
      </c>
      <c r="E1764" s="15" t="n"/>
      <c r="F1764" s="20">
        <f>IF($B1764="","",IFERROR(INDEX(WageDates,MATCH($B1764,WageIds,0)),"—"))</f>
        <v/>
      </c>
      <c r="G1764" s="20">
        <f>IF($B1764="","",IFERROR(VLOOKUP(INDEX(WageParty,MATCH($B1764,WageIds,0)),WGTbl,2,0),"—"))</f>
        <v/>
      </c>
      <c r="H1764" s="12" t="n"/>
    </row>
    <row r="1765">
      <c r="A1765" s="10">
        <f>IF($B1765="","",COUNTA($B$9:$B1765))</f>
        <v/>
      </c>
      <c r="B1765" s="12" t="n"/>
      <c r="C1765" s="13" t="n"/>
      <c r="D1765" s="14">
        <f>IF($C1765="","",IFERROR(IF(VLOOKUP($C1765,AcctTblE,4,0)="","(بدون نام)",VLOOKUP($C1765,AcctTblE,4,0)),"کد ناشناخته"))</f>
        <v/>
      </c>
      <c r="E1765" s="15" t="n"/>
      <c r="F1765" s="14">
        <f>IF($B1765="","",IFERROR(INDEX(WageDates,MATCH($B1765,WageIds,0)),"—"))</f>
        <v/>
      </c>
      <c r="G1765" s="14">
        <f>IF($B1765="","",IFERROR(VLOOKUP(INDEX(WageParty,MATCH($B1765,WageIds,0)),WGTbl,2,0),"—"))</f>
        <v/>
      </c>
      <c r="H1765" s="12" t="n"/>
    </row>
    <row r="1766">
      <c r="A1766" s="19">
        <f>IF($B1766="","",COUNTA($B$9:$B1766))</f>
        <v/>
      </c>
      <c r="B1766" s="12" t="n"/>
      <c r="C1766" s="13" t="n"/>
      <c r="D1766" s="20">
        <f>IF($C1766="","",IFERROR(IF(VLOOKUP($C1766,AcctTblE,4,0)="","(بدون نام)",VLOOKUP($C1766,AcctTblE,4,0)),"کد ناشناخته"))</f>
        <v/>
      </c>
      <c r="E1766" s="15" t="n"/>
      <c r="F1766" s="20">
        <f>IF($B1766="","",IFERROR(INDEX(WageDates,MATCH($B1766,WageIds,0)),"—"))</f>
        <v/>
      </c>
      <c r="G1766" s="20">
        <f>IF($B1766="","",IFERROR(VLOOKUP(INDEX(WageParty,MATCH($B1766,WageIds,0)),WGTbl,2,0),"—"))</f>
        <v/>
      </c>
      <c r="H1766" s="12" t="n"/>
    </row>
    <row r="1767">
      <c r="A1767" s="10">
        <f>IF($B1767="","",COUNTA($B$9:$B1767))</f>
        <v/>
      </c>
      <c r="B1767" s="12" t="n"/>
      <c r="C1767" s="13" t="n"/>
      <c r="D1767" s="14">
        <f>IF($C1767="","",IFERROR(IF(VLOOKUP($C1767,AcctTblE,4,0)="","(بدون نام)",VLOOKUP($C1767,AcctTblE,4,0)),"کد ناشناخته"))</f>
        <v/>
      </c>
      <c r="E1767" s="15" t="n"/>
      <c r="F1767" s="14">
        <f>IF($B1767="","",IFERROR(INDEX(WageDates,MATCH($B1767,WageIds,0)),"—"))</f>
        <v/>
      </c>
      <c r="G1767" s="14">
        <f>IF($B1767="","",IFERROR(VLOOKUP(INDEX(WageParty,MATCH($B1767,WageIds,0)),WGTbl,2,0),"—"))</f>
        <v/>
      </c>
      <c r="H1767" s="12" t="n"/>
    </row>
    <row r="1768">
      <c r="A1768" s="19">
        <f>IF($B1768="","",COUNTA($B$9:$B1768))</f>
        <v/>
      </c>
      <c r="B1768" s="12" t="n"/>
      <c r="C1768" s="13" t="n"/>
      <c r="D1768" s="20">
        <f>IF($C1768="","",IFERROR(IF(VLOOKUP($C1768,AcctTblE,4,0)="","(بدون نام)",VLOOKUP($C1768,AcctTblE,4,0)),"کد ناشناخته"))</f>
        <v/>
      </c>
      <c r="E1768" s="15" t="n"/>
      <c r="F1768" s="20">
        <f>IF($B1768="","",IFERROR(INDEX(WageDates,MATCH($B1768,WageIds,0)),"—"))</f>
        <v/>
      </c>
      <c r="G1768" s="20">
        <f>IF($B1768="","",IFERROR(VLOOKUP(INDEX(WageParty,MATCH($B1768,WageIds,0)),WGTbl,2,0),"—"))</f>
        <v/>
      </c>
      <c r="H1768" s="12" t="n"/>
    </row>
    <row r="1769">
      <c r="A1769" s="10">
        <f>IF($B1769="","",COUNTA($B$9:$B1769))</f>
        <v/>
      </c>
      <c r="B1769" s="12" t="n"/>
      <c r="C1769" s="13" t="n"/>
      <c r="D1769" s="14">
        <f>IF($C1769="","",IFERROR(IF(VLOOKUP($C1769,AcctTblE,4,0)="","(بدون نام)",VLOOKUP($C1769,AcctTblE,4,0)),"کد ناشناخته"))</f>
        <v/>
      </c>
      <c r="E1769" s="15" t="n"/>
      <c r="F1769" s="14">
        <f>IF($B1769="","",IFERROR(INDEX(WageDates,MATCH($B1769,WageIds,0)),"—"))</f>
        <v/>
      </c>
      <c r="G1769" s="14">
        <f>IF($B1769="","",IFERROR(VLOOKUP(INDEX(WageParty,MATCH($B1769,WageIds,0)),WGTbl,2,0),"—"))</f>
        <v/>
      </c>
      <c r="H1769" s="12" t="n"/>
    </row>
    <row r="1770">
      <c r="A1770" s="19">
        <f>IF($B1770="","",COUNTA($B$9:$B1770))</f>
        <v/>
      </c>
      <c r="B1770" s="12" t="n"/>
      <c r="C1770" s="13" t="n"/>
      <c r="D1770" s="20">
        <f>IF($C1770="","",IFERROR(IF(VLOOKUP($C1770,AcctTblE,4,0)="","(بدون نام)",VLOOKUP($C1770,AcctTblE,4,0)),"کد ناشناخته"))</f>
        <v/>
      </c>
      <c r="E1770" s="15" t="n"/>
      <c r="F1770" s="20">
        <f>IF($B1770="","",IFERROR(INDEX(WageDates,MATCH($B1770,WageIds,0)),"—"))</f>
        <v/>
      </c>
      <c r="G1770" s="20">
        <f>IF($B1770="","",IFERROR(VLOOKUP(INDEX(WageParty,MATCH($B1770,WageIds,0)),WGTbl,2,0),"—"))</f>
        <v/>
      </c>
      <c r="H1770" s="12" t="n"/>
    </row>
    <row r="1771">
      <c r="A1771" s="10">
        <f>IF($B1771="","",COUNTA($B$9:$B1771))</f>
        <v/>
      </c>
      <c r="B1771" s="12" t="n"/>
      <c r="C1771" s="13" t="n"/>
      <c r="D1771" s="14">
        <f>IF($C1771="","",IFERROR(IF(VLOOKUP($C1771,AcctTblE,4,0)="","(بدون نام)",VLOOKUP($C1771,AcctTblE,4,0)),"کد ناشناخته"))</f>
        <v/>
      </c>
      <c r="E1771" s="15" t="n"/>
      <c r="F1771" s="14">
        <f>IF($B1771="","",IFERROR(INDEX(WageDates,MATCH($B1771,WageIds,0)),"—"))</f>
        <v/>
      </c>
      <c r="G1771" s="14">
        <f>IF($B1771="","",IFERROR(VLOOKUP(INDEX(WageParty,MATCH($B1771,WageIds,0)),WGTbl,2,0),"—"))</f>
        <v/>
      </c>
      <c r="H1771" s="12" t="n"/>
    </row>
    <row r="1772">
      <c r="A1772" s="19">
        <f>IF($B1772="","",COUNTA($B$9:$B1772))</f>
        <v/>
      </c>
      <c r="B1772" s="12" t="n"/>
      <c r="C1772" s="13" t="n"/>
      <c r="D1772" s="20">
        <f>IF($C1772="","",IFERROR(IF(VLOOKUP($C1772,AcctTblE,4,0)="","(بدون نام)",VLOOKUP($C1772,AcctTblE,4,0)),"کد ناشناخته"))</f>
        <v/>
      </c>
      <c r="E1772" s="15" t="n"/>
      <c r="F1772" s="20">
        <f>IF($B1772="","",IFERROR(INDEX(WageDates,MATCH($B1772,WageIds,0)),"—"))</f>
        <v/>
      </c>
      <c r="G1772" s="20">
        <f>IF($B1772="","",IFERROR(VLOOKUP(INDEX(WageParty,MATCH($B1772,WageIds,0)),WGTbl,2,0),"—"))</f>
        <v/>
      </c>
      <c r="H1772" s="12" t="n"/>
    </row>
    <row r="1773">
      <c r="A1773" s="10">
        <f>IF($B1773="","",COUNTA($B$9:$B1773))</f>
        <v/>
      </c>
      <c r="B1773" s="12" t="n"/>
      <c r="C1773" s="13" t="n"/>
      <c r="D1773" s="14">
        <f>IF($C1773="","",IFERROR(IF(VLOOKUP($C1773,AcctTblE,4,0)="","(بدون نام)",VLOOKUP($C1773,AcctTblE,4,0)),"کد ناشناخته"))</f>
        <v/>
      </c>
      <c r="E1773" s="15" t="n"/>
      <c r="F1773" s="14">
        <f>IF($B1773="","",IFERROR(INDEX(WageDates,MATCH($B1773,WageIds,0)),"—"))</f>
        <v/>
      </c>
      <c r="G1773" s="14">
        <f>IF($B1773="","",IFERROR(VLOOKUP(INDEX(WageParty,MATCH($B1773,WageIds,0)),WGTbl,2,0),"—"))</f>
        <v/>
      </c>
      <c r="H1773" s="12" t="n"/>
    </row>
    <row r="1774">
      <c r="A1774" s="19">
        <f>IF($B1774="","",COUNTA($B$9:$B1774))</f>
        <v/>
      </c>
      <c r="B1774" s="12" t="n"/>
      <c r="C1774" s="13" t="n"/>
      <c r="D1774" s="20">
        <f>IF($C1774="","",IFERROR(IF(VLOOKUP($C1774,AcctTblE,4,0)="","(بدون نام)",VLOOKUP($C1774,AcctTblE,4,0)),"کد ناشناخته"))</f>
        <v/>
      </c>
      <c r="E1774" s="15" t="n"/>
      <c r="F1774" s="20">
        <f>IF($B1774="","",IFERROR(INDEX(WageDates,MATCH($B1774,WageIds,0)),"—"))</f>
        <v/>
      </c>
      <c r="G1774" s="20">
        <f>IF($B1774="","",IFERROR(VLOOKUP(INDEX(WageParty,MATCH($B1774,WageIds,0)),WGTbl,2,0),"—"))</f>
        <v/>
      </c>
      <c r="H1774" s="12" t="n"/>
    </row>
    <row r="1775">
      <c r="A1775" s="10">
        <f>IF($B1775="","",COUNTA($B$9:$B1775))</f>
        <v/>
      </c>
      <c r="B1775" s="12" t="n"/>
      <c r="C1775" s="13" t="n"/>
      <c r="D1775" s="14">
        <f>IF($C1775="","",IFERROR(IF(VLOOKUP($C1775,AcctTblE,4,0)="","(بدون نام)",VLOOKUP($C1775,AcctTblE,4,0)),"کد ناشناخته"))</f>
        <v/>
      </c>
      <c r="E1775" s="15" t="n"/>
      <c r="F1775" s="14">
        <f>IF($B1775="","",IFERROR(INDEX(WageDates,MATCH($B1775,WageIds,0)),"—"))</f>
        <v/>
      </c>
      <c r="G1775" s="14">
        <f>IF($B1775="","",IFERROR(VLOOKUP(INDEX(WageParty,MATCH($B1775,WageIds,0)),WGTbl,2,0),"—"))</f>
        <v/>
      </c>
      <c r="H1775" s="12" t="n"/>
    </row>
    <row r="1776">
      <c r="A1776" s="19">
        <f>IF($B1776="","",COUNTA($B$9:$B1776))</f>
        <v/>
      </c>
      <c r="B1776" s="12" t="n"/>
      <c r="C1776" s="13" t="n"/>
      <c r="D1776" s="20">
        <f>IF($C1776="","",IFERROR(IF(VLOOKUP($C1776,AcctTblE,4,0)="","(بدون نام)",VLOOKUP($C1776,AcctTblE,4,0)),"کد ناشناخته"))</f>
        <v/>
      </c>
      <c r="E1776" s="15" t="n"/>
      <c r="F1776" s="20">
        <f>IF($B1776="","",IFERROR(INDEX(WageDates,MATCH($B1776,WageIds,0)),"—"))</f>
        <v/>
      </c>
      <c r="G1776" s="20">
        <f>IF($B1776="","",IFERROR(VLOOKUP(INDEX(WageParty,MATCH($B1776,WageIds,0)),WGTbl,2,0),"—"))</f>
        <v/>
      </c>
      <c r="H1776" s="12" t="n"/>
    </row>
    <row r="1777">
      <c r="A1777" s="10">
        <f>IF($B1777="","",COUNTA($B$9:$B1777))</f>
        <v/>
      </c>
      <c r="B1777" s="12" t="n"/>
      <c r="C1777" s="13" t="n"/>
      <c r="D1777" s="14">
        <f>IF($C1777="","",IFERROR(IF(VLOOKUP($C1777,AcctTblE,4,0)="","(بدون نام)",VLOOKUP($C1777,AcctTblE,4,0)),"کد ناشناخته"))</f>
        <v/>
      </c>
      <c r="E1777" s="15" t="n"/>
      <c r="F1777" s="14">
        <f>IF($B1777="","",IFERROR(INDEX(WageDates,MATCH($B1777,WageIds,0)),"—"))</f>
        <v/>
      </c>
      <c r="G1777" s="14">
        <f>IF($B1777="","",IFERROR(VLOOKUP(INDEX(WageParty,MATCH($B1777,WageIds,0)),WGTbl,2,0),"—"))</f>
        <v/>
      </c>
      <c r="H1777" s="12" t="n"/>
    </row>
    <row r="1778">
      <c r="A1778" s="19">
        <f>IF($B1778="","",COUNTA($B$9:$B1778))</f>
        <v/>
      </c>
      <c r="B1778" s="12" t="n"/>
      <c r="C1778" s="13" t="n"/>
      <c r="D1778" s="20">
        <f>IF($C1778="","",IFERROR(IF(VLOOKUP($C1778,AcctTblE,4,0)="","(بدون نام)",VLOOKUP($C1778,AcctTblE,4,0)),"کد ناشناخته"))</f>
        <v/>
      </c>
      <c r="E1778" s="15" t="n"/>
      <c r="F1778" s="20">
        <f>IF($B1778="","",IFERROR(INDEX(WageDates,MATCH($B1778,WageIds,0)),"—"))</f>
        <v/>
      </c>
      <c r="G1778" s="20">
        <f>IF($B1778="","",IFERROR(VLOOKUP(INDEX(WageParty,MATCH($B1778,WageIds,0)),WGTbl,2,0),"—"))</f>
        <v/>
      </c>
      <c r="H1778" s="12" t="n"/>
    </row>
    <row r="1779">
      <c r="A1779" s="10">
        <f>IF($B1779="","",COUNTA($B$9:$B1779))</f>
        <v/>
      </c>
      <c r="B1779" s="12" t="n"/>
      <c r="C1779" s="13" t="n"/>
      <c r="D1779" s="14">
        <f>IF($C1779="","",IFERROR(IF(VLOOKUP($C1779,AcctTblE,4,0)="","(بدون نام)",VLOOKUP($C1779,AcctTblE,4,0)),"کد ناشناخته"))</f>
        <v/>
      </c>
      <c r="E1779" s="15" t="n"/>
      <c r="F1779" s="14">
        <f>IF($B1779="","",IFERROR(INDEX(WageDates,MATCH($B1779,WageIds,0)),"—"))</f>
        <v/>
      </c>
      <c r="G1779" s="14">
        <f>IF($B1779="","",IFERROR(VLOOKUP(INDEX(WageParty,MATCH($B1779,WageIds,0)),WGTbl,2,0),"—"))</f>
        <v/>
      </c>
      <c r="H1779" s="12" t="n"/>
    </row>
    <row r="1780">
      <c r="A1780" s="19">
        <f>IF($B1780="","",COUNTA($B$9:$B1780))</f>
        <v/>
      </c>
      <c r="B1780" s="12" t="n"/>
      <c r="C1780" s="13" t="n"/>
      <c r="D1780" s="20">
        <f>IF($C1780="","",IFERROR(IF(VLOOKUP($C1780,AcctTblE,4,0)="","(بدون نام)",VLOOKUP($C1780,AcctTblE,4,0)),"کد ناشناخته"))</f>
        <v/>
      </c>
      <c r="E1780" s="15" t="n"/>
      <c r="F1780" s="20">
        <f>IF($B1780="","",IFERROR(INDEX(WageDates,MATCH($B1780,WageIds,0)),"—"))</f>
        <v/>
      </c>
      <c r="G1780" s="20">
        <f>IF($B1780="","",IFERROR(VLOOKUP(INDEX(WageParty,MATCH($B1780,WageIds,0)),WGTbl,2,0),"—"))</f>
        <v/>
      </c>
      <c r="H1780" s="12" t="n"/>
    </row>
    <row r="1781">
      <c r="A1781" s="10">
        <f>IF($B1781="","",COUNTA($B$9:$B1781))</f>
        <v/>
      </c>
      <c r="B1781" s="12" t="n"/>
      <c r="C1781" s="13" t="n"/>
      <c r="D1781" s="14">
        <f>IF($C1781="","",IFERROR(IF(VLOOKUP($C1781,AcctTblE,4,0)="","(بدون نام)",VLOOKUP($C1781,AcctTblE,4,0)),"کد ناشناخته"))</f>
        <v/>
      </c>
      <c r="E1781" s="15" t="n"/>
      <c r="F1781" s="14">
        <f>IF($B1781="","",IFERROR(INDEX(WageDates,MATCH($B1781,WageIds,0)),"—"))</f>
        <v/>
      </c>
      <c r="G1781" s="14">
        <f>IF($B1781="","",IFERROR(VLOOKUP(INDEX(WageParty,MATCH($B1781,WageIds,0)),WGTbl,2,0),"—"))</f>
        <v/>
      </c>
      <c r="H1781" s="12" t="n"/>
    </row>
    <row r="1782">
      <c r="A1782" s="19">
        <f>IF($B1782="","",COUNTA($B$9:$B1782))</f>
        <v/>
      </c>
      <c r="B1782" s="12" t="n"/>
      <c r="C1782" s="13" t="n"/>
      <c r="D1782" s="20">
        <f>IF($C1782="","",IFERROR(IF(VLOOKUP($C1782,AcctTblE,4,0)="","(بدون نام)",VLOOKUP($C1782,AcctTblE,4,0)),"کد ناشناخته"))</f>
        <v/>
      </c>
      <c r="E1782" s="15" t="n"/>
      <c r="F1782" s="20">
        <f>IF($B1782="","",IFERROR(INDEX(WageDates,MATCH($B1782,WageIds,0)),"—"))</f>
        <v/>
      </c>
      <c r="G1782" s="20">
        <f>IF($B1782="","",IFERROR(VLOOKUP(INDEX(WageParty,MATCH($B1782,WageIds,0)),WGTbl,2,0),"—"))</f>
        <v/>
      </c>
      <c r="H1782" s="12" t="n"/>
    </row>
    <row r="1783">
      <c r="A1783" s="10">
        <f>IF($B1783="","",COUNTA($B$9:$B1783))</f>
        <v/>
      </c>
      <c r="B1783" s="12" t="n"/>
      <c r="C1783" s="13" t="n"/>
      <c r="D1783" s="14">
        <f>IF($C1783="","",IFERROR(IF(VLOOKUP($C1783,AcctTblE,4,0)="","(بدون نام)",VLOOKUP($C1783,AcctTblE,4,0)),"کد ناشناخته"))</f>
        <v/>
      </c>
      <c r="E1783" s="15" t="n"/>
      <c r="F1783" s="14">
        <f>IF($B1783="","",IFERROR(INDEX(WageDates,MATCH($B1783,WageIds,0)),"—"))</f>
        <v/>
      </c>
      <c r="G1783" s="14">
        <f>IF($B1783="","",IFERROR(VLOOKUP(INDEX(WageParty,MATCH($B1783,WageIds,0)),WGTbl,2,0),"—"))</f>
        <v/>
      </c>
      <c r="H1783" s="12" t="n"/>
    </row>
    <row r="1784">
      <c r="A1784" s="19">
        <f>IF($B1784="","",COUNTA($B$9:$B1784))</f>
        <v/>
      </c>
      <c r="B1784" s="12" t="n"/>
      <c r="C1784" s="13" t="n"/>
      <c r="D1784" s="20">
        <f>IF($C1784="","",IFERROR(IF(VLOOKUP($C1784,AcctTblE,4,0)="","(بدون نام)",VLOOKUP($C1784,AcctTblE,4,0)),"کد ناشناخته"))</f>
        <v/>
      </c>
      <c r="E1784" s="15" t="n"/>
      <c r="F1784" s="20">
        <f>IF($B1784="","",IFERROR(INDEX(WageDates,MATCH($B1784,WageIds,0)),"—"))</f>
        <v/>
      </c>
      <c r="G1784" s="20">
        <f>IF($B1784="","",IFERROR(VLOOKUP(INDEX(WageParty,MATCH($B1784,WageIds,0)),WGTbl,2,0),"—"))</f>
        <v/>
      </c>
      <c r="H1784" s="12" t="n"/>
    </row>
    <row r="1785">
      <c r="A1785" s="10">
        <f>IF($B1785="","",COUNTA($B$9:$B1785))</f>
        <v/>
      </c>
      <c r="B1785" s="12" t="n"/>
      <c r="C1785" s="13" t="n"/>
      <c r="D1785" s="14">
        <f>IF($C1785="","",IFERROR(IF(VLOOKUP($C1785,AcctTblE,4,0)="","(بدون نام)",VLOOKUP($C1785,AcctTblE,4,0)),"کد ناشناخته"))</f>
        <v/>
      </c>
      <c r="E1785" s="15" t="n"/>
      <c r="F1785" s="14">
        <f>IF($B1785="","",IFERROR(INDEX(WageDates,MATCH($B1785,WageIds,0)),"—"))</f>
        <v/>
      </c>
      <c r="G1785" s="14">
        <f>IF($B1785="","",IFERROR(VLOOKUP(INDEX(WageParty,MATCH($B1785,WageIds,0)),WGTbl,2,0),"—"))</f>
        <v/>
      </c>
      <c r="H1785" s="12" t="n"/>
    </row>
    <row r="1786">
      <c r="A1786" s="19">
        <f>IF($B1786="","",COUNTA($B$9:$B1786))</f>
        <v/>
      </c>
      <c r="B1786" s="12" t="n"/>
      <c r="C1786" s="13" t="n"/>
      <c r="D1786" s="20">
        <f>IF($C1786="","",IFERROR(IF(VLOOKUP($C1786,AcctTblE,4,0)="","(بدون نام)",VLOOKUP($C1786,AcctTblE,4,0)),"کد ناشناخته"))</f>
        <v/>
      </c>
      <c r="E1786" s="15" t="n"/>
      <c r="F1786" s="20">
        <f>IF($B1786="","",IFERROR(INDEX(WageDates,MATCH($B1786,WageIds,0)),"—"))</f>
        <v/>
      </c>
      <c r="G1786" s="20">
        <f>IF($B1786="","",IFERROR(VLOOKUP(INDEX(WageParty,MATCH($B1786,WageIds,0)),WGTbl,2,0),"—"))</f>
        <v/>
      </c>
      <c r="H1786" s="12" t="n"/>
    </row>
    <row r="1787">
      <c r="A1787" s="10">
        <f>IF($B1787="","",COUNTA($B$9:$B1787))</f>
        <v/>
      </c>
      <c r="B1787" s="12" t="n"/>
      <c r="C1787" s="13" t="n"/>
      <c r="D1787" s="14">
        <f>IF($C1787="","",IFERROR(IF(VLOOKUP($C1787,AcctTblE,4,0)="","(بدون نام)",VLOOKUP($C1787,AcctTblE,4,0)),"کد ناشناخته"))</f>
        <v/>
      </c>
      <c r="E1787" s="15" t="n"/>
      <c r="F1787" s="14">
        <f>IF($B1787="","",IFERROR(INDEX(WageDates,MATCH($B1787,WageIds,0)),"—"))</f>
        <v/>
      </c>
      <c r="G1787" s="14">
        <f>IF($B1787="","",IFERROR(VLOOKUP(INDEX(WageParty,MATCH($B1787,WageIds,0)),WGTbl,2,0),"—"))</f>
        <v/>
      </c>
      <c r="H1787" s="12" t="n"/>
    </row>
    <row r="1788">
      <c r="A1788" s="19">
        <f>IF($B1788="","",COUNTA($B$9:$B1788))</f>
        <v/>
      </c>
      <c r="B1788" s="12" t="n"/>
      <c r="C1788" s="13" t="n"/>
      <c r="D1788" s="20">
        <f>IF($C1788="","",IFERROR(IF(VLOOKUP($C1788,AcctTblE,4,0)="","(بدون نام)",VLOOKUP($C1788,AcctTblE,4,0)),"کد ناشناخته"))</f>
        <v/>
      </c>
      <c r="E1788" s="15" t="n"/>
      <c r="F1788" s="20">
        <f>IF($B1788="","",IFERROR(INDEX(WageDates,MATCH($B1788,WageIds,0)),"—"))</f>
        <v/>
      </c>
      <c r="G1788" s="20">
        <f>IF($B1788="","",IFERROR(VLOOKUP(INDEX(WageParty,MATCH($B1788,WageIds,0)),WGTbl,2,0),"—"))</f>
        <v/>
      </c>
      <c r="H1788" s="12" t="n"/>
    </row>
    <row r="1789">
      <c r="A1789" s="10">
        <f>IF($B1789="","",COUNTA($B$9:$B1789))</f>
        <v/>
      </c>
      <c r="B1789" s="12" t="n"/>
      <c r="C1789" s="13" t="n"/>
      <c r="D1789" s="14">
        <f>IF($C1789="","",IFERROR(IF(VLOOKUP($C1789,AcctTblE,4,0)="","(بدون نام)",VLOOKUP($C1789,AcctTblE,4,0)),"کد ناشناخته"))</f>
        <v/>
      </c>
      <c r="E1789" s="15" t="n"/>
      <c r="F1789" s="14">
        <f>IF($B1789="","",IFERROR(INDEX(WageDates,MATCH($B1789,WageIds,0)),"—"))</f>
        <v/>
      </c>
      <c r="G1789" s="14">
        <f>IF($B1789="","",IFERROR(VLOOKUP(INDEX(WageParty,MATCH($B1789,WageIds,0)),WGTbl,2,0),"—"))</f>
        <v/>
      </c>
      <c r="H1789" s="12" t="n"/>
    </row>
    <row r="1790">
      <c r="A1790" s="19">
        <f>IF($B1790="","",COUNTA($B$9:$B1790))</f>
        <v/>
      </c>
      <c r="B1790" s="12" t="n"/>
      <c r="C1790" s="13" t="n"/>
      <c r="D1790" s="20">
        <f>IF($C1790="","",IFERROR(IF(VLOOKUP($C1790,AcctTblE,4,0)="","(بدون نام)",VLOOKUP($C1790,AcctTblE,4,0)),"کد ناشناخته"))</f>
        <v/>
      </c>
      <c r="E1790" s="15" t="n"/>
      <c r="F1790" s="20">
        <f>IF($B1790="","",IFERROR(INDEX(WageDates,MATCH($B1790,WageIds,0)),"—"))</f>
        <v/>
      </c>
      <c r="G1790" s="20">
        <f>IF($B1790="","",IFERROR(VLOOKUP(INDEX(WageParty,MATCH($B1790,WageIds,0)),WGTbl,2,0),"—"))</f>
        <v/>
      </c>
      <c r="H1790" s="12" t="n"/>
    </row>
    <row r="1791">
      <c r="A1791" s="10">
        <f>IF($B1791="","",COUNTA($B$9:$B1791))</f>
        <v/>
      </c>
      <c r="B1791" s="12" t="n"/>
      <c r="C1791" s="13" t="n"/>
      <c r="D1791" s="14">
        <f>IF($C1791="","",IFERROR(IF(VLOOKUP($C1791,AcctTblE,4,0)="","(بدون نام)",VLOOKUP($C1791,AcctTblE,4,0)),"کد ناشناخته"))</f>
        <v/>
      </c>
      <c r="E1791" s="15" t="n"/>
      <c r="F1791" s="14">
        <f>IF($B1791="","",IFERROR(INDEX(WageDates,MATCH($B1791,WageIds,0)),"—"))</f>
        <v/>
      </c>
      <c r="G1791" s="14">
        <f>IF($B1791="","",IFERROR(VLOOKUP(INDEX(WageParty,MATCH($B1791,WageIds,0)),WGTbl,2,0),"—"))</f>
        <v/>
      </c>
      <c r="H1791" s="12" t="n"/>
    </row>
    <row r="1792">
      <c r="A1792" s="19">
        <f>IF($B1792="","",COUNTA($B$9:$B1792))</f>
        <v/>
      </c>
      <c r="B1792" s="12" t="n"/>
      <c r="C1792" s="13" t="n"/>
      <c r="D1792" s="20">
        <f>IF($C1792="","",IFERROR(IF(VLOOKUP($C1792,AcctTblE,4,0)="","(بدون نام)",VLOOKUP($C1792,AcctTblE,4,0)),"کد ناشناخته"))</f>
        <v/>
      </c>
      <c r="E1792" s="15" t="n"/>
      <c r="F1792" s="20">
        <f>IF($B1792="","",IFERROR(INDEX(WageDates,MATCH($B1792,WageIds,0)),"—"))</f>
        <v/>
      </c>
      <c r="G1792" s="20">
        <f>IF($B1792="","",IFERROR(VLOOKUP(INDEX(WageParty,MATCH($B1792,WageIds,0)),WGTbl,2,0),"—"))</f>
        <v/>
      </c>
      <c r="H1792" s="12" t="n"/>
    </row>
    <row r="1793">
      <c r="A1793" s="10">
        <f>IF($B1793="","",COUNTA($B$9:$B1793))</f>
        <v/>
      </c>
      <c r="B1793" s="12" t="n"/>
      <c r="C1793" s="13" t="n"/>
      <c r="D1793" s="14">
        <f>IF($C1793="","",IFERROR(IF(VLOOKUP($C1793,AcctTblE,4,0)="","(بدون نام)",VLOOKUP($C1793,AcctTblE,4,0)),"کد ناشناخته"))</f>
        <v/>
      </c>
      <c r="E1793" s="15" t="n"/>
      <c r="F1793" s="14">
        <f>IF($B1793="","",IFERROR(INDEX(WageDates,MATCH($B1793,WageIds,0)),"—"))</f>
        <v/>
      </c>
      <c r="G1793" s="14">
        <f>IF($B1793="","",IFERROR(VLOOKUP(INDEX(WageParty,MATCH($B1793,WageIds,0)),WGTbl,2,0),"—"))</f>
        <v/>
      </c>
      <c r="H1793" s="12" t="n"/>
    </row>
    <row r="1794">
      <c r="A1794" s="19">
        <f>IF($B1794="","",COUNTA($B$9:$B1794))</f>
        <v/>
      </c>
      <c r="B1794" s="12" t="n"/>
      <c r="C1794" s="13" t="n"/>
      <c r="D1794" s="20">
        <f>IF($C1794="","",IFERROR(IF(VLOOKUP($C1794,AcctTblE,4,0)="","(بدون نام)",VLOOKUP($C1794,AcctTblE,4,0)),"کد ناشناخته"))</f>
        <v/>
      </c>
      <c r="E1794" s="15" t="n"/>
      <c r="F1794" s="20">
        <f>IF($B1794="","",IFERROR(INDEX(WageDates,MATCH($B1794,WageIds,0)),"—"))</f>
        <v/>
      </c>
      <c r="G1794" s="20">
        <f>IF($B1794="","",IFERROR(VLOOKUP(INDEX(WageParty,MATCH($B1794,WageIds,0)),WGTbl,2,0),"—"))</f>
        <v/>
      </c>
      <c r="H1794" s="12" t="n"/>
    </row>
    <row r="1795">
      <c r="A1795" s="10">
        <f>IF($B1795="","",COUNTA($B$9:$B1795))</f>
        <v/>
      </c>
      <c r="B1795" s="12" t="n"/>
      <c r="C1795" s="13" t="n"/>
      <c r="D1795" s="14">
        <f>IF($C1795="","",IFERROR(IF(VLOOKUP($C1795,AcctTblE,4,0)="","(بدون نام)",VLOOKUP($C1795,AcctTblE,4,0)),"کد ناشناخته"))</f>
        <v/>
      </c>
      <c r="E1795" s="15" t="n"/>
      <c r="F1795" s="14">
        <f>IF($B1795="","",IFERROR(INDEX(WageDates,MATCH($B1795,WageIds,0)),"—"))</f>
        <v/>
      </c>
      <c r="G1795" s="14">
        <f>IF($B1795="","",IFERROR(VLOOKUP(INDEX(WageParty,MATCH($B1795,WageIds,0)),WGTbl,2,0),"—"))</f>
        <v/>
      </c>
      <c r="H1795" s="12" t="n"/>
    </row>
    <row r="1796">
      <c r="A1796" s="19">
        <f>IF($B1796="","",COUNTA($B$9:$B1796))</f>
        <v/>
      </c>
      <c r="B1796" s="12" t="n"/>
      <c r="C1796" s="13" t="n"/>
      <c r="D1796" s="20">
        <f>IF($C1796="","",IFERROR(IF(VLOOKUP($C1796,AcctTblE,4,0)="","(بدون نام)",VLOOKUP($C1796,AcctTblE,4,0)),"کد ناشناخته"))</f>
        <v/>
      </c>
      <c r="E1796" s="15" t="n"/>
      <c r="F1796" s="20">
        <f>IF($B1796="","",IFERROR(INDEX(WageDates,MATCH($B1796,WageIds,0)),"—"))</f>
        <v/>
      </c>
      <c r="G1796" s="20">
        <f>IF($B1796="","",IFERROR(VLOOKUP(INDEX(WageParty,MATCH($B1796,WageIds,0)),WGTbl,2,0),"—"))</f>
        <v/>
      </c>
      <c r="H1796" s="12" t="n"/>
    </row>
    <row r="1797">
      <c r="A1797" s="10">
        <f>IF($B1797="","",COUNTA($B$9:$B1797))</f>
        <v/>
      </c>
      <c r="B1797" s="12" t="n"/>
      <c r="C1797" s="13" t="n"/>
      <c r="D1797" s="14">
        <f>IF($C1797="","",IFERROR(IF(VLOOKUP($C1797,AcctTblE,4,0)="","(بدون نام)",VLOOKUP($C1797,AcctTblE,4,0)),"کد ناشناخته"))</f>
        <v/>
      </c>
      <c r="E1797" s="15" t="n"/>
      <c r="F1797" s="14">
        <f>IF($B1797="","",IFERROR(INDEX(WageDates,MATCH($B1797,WageIds,0)),"—"))</f>
        <v/>
      </c>
      <c r="G1797" s="14">
        <f>IF($B1797="","",IFERROR(VLOOKUP(INDEX(WageParty,MATCH($B1797,WageIds,0)),WGTbl,2,0),"—"))</f>
        <v/>
      </c>
      <c r="H1797" s="12" t="n"/>
    </row>
    <row r="1798">
      <c r="A1798" s="19">
        <f>IF($B1798="","",COUNTA($B$9:$B1798))</f>
        <v/>
      </c>
      <c r="B1798" s="12" t="n"/>
      <c r="C1798" s="13" t="n"/>
      <c r="D1798" s="20">
        <f>IF($C1798="","",IFERROR(IF(VLOOKUP($C1798,AcctTblE,4,0)="","(بدون نام)",VLOOKUP($C1798,AcctTblE,4,0)),"کد ناشناخته"))</f>
        <v/>
      </c>
      <c r="E1798" s="15" t="n"/>
      <c r="F1798" s="20">
        <f>IF($B1798="","",IFERROR(INDEX(WageDates,MATCH($B1798,WageIds,0)),"—"))</f>
        <v/>
      </c>
      <c r="G1798" s="20">
        <f>IF($B1798="","",IFERROR(VLOOKUP(INDEX(WageParty,MATCH($B1798,WageIds,0)),WGTbl,2,0),"—"))</f>
        <v/>
      </c>
      <c r="H1798" s="12" t="n"/>
    </row>
    <row r="1799">
      <c r="A1799" s="10">
        <f>IF($B1799="","",COUNTA($B$9:$B1799))</f>
        <v/>
      </c>
      <c r="B1799" s="12" t="n"/>
      <c r="C1799" s="13" t="n"/>
      <c r="D1799" s="14">
        <f>IF($C1799="","",IFERROR(IF(VLOOKUP($C1799,AcctTblE,4,0)="","(بدون نام)",VLOOKUP($C1799,AcctTblE,4,0)),"کد ناشناخته"))</f>
        <v/>
      </c>
      <c r="E1799" s="15" t="n"/>
      <c r="F1799" s="14">
        <f>IF($B1799="","",IFERROR(INDEX(WageDates,MATCH($B1799,WageIds,0)),"—"))</f>
        <v/>
      </c>
      <c r="G1799" s="14">
        <f>IF($B1799="","",IFERROR(VLOOKUP(INDEX(WageParty,MATCH($B1799,WageIds,0)),WGTbl,2,0),"—"))</f>
        <v/>
      </c>
      <c r="H1799" s="12" t="n"/>
    </row>
    <row r="1800">
      <c r="A1800" s="19">
        <f>IF($B1800="","",COUNTA($B$9:$B1800))</f>
        <v/>
      </c>
      <c r="B1800" s="12" t="n"/>
      <c r="C1800" s="13" t="n"/>
      <c r="D1800" s="20">
        <f>IF($C1800="","",IFERROR(IF(VLOOKUP($C1800,AcctTblE,4,0)="","(بدون نام)",VLOOKUP($C1800,AcctTblE,4,0)),"کد ناشناخته"))</f>
        <v/>
      </c>
      <c r="E1800" s="15" t="n"/>
      <c r="F1800" s="20">
        <f>IF($B1800="","",IFERROR(INDEX(WageDates,MATCH($B1800,WageIds,0)),"—"))</f>
        <v/>
      </c>
      <c r="G1800" s="20">
        <f>IF($B1800="","",IFERROR(VLOOKUP(INDEX(WageParty,MATCH($B1800,WageIds,0)),WGTbl,2,0),"—"))</f>
        <v/>
      </c>
      <c r="H1800" s="12" t="n"/>
    </row>
    <row r="1801">
      <c r="A1801" s="10">
        <f>IF($B1801="","",COUNTA($B$9:$B1801))</f>
        <v/>
      </c>
      <c r="B1801" s="12" t="n"/>
      <c r="C1801" s="13" t="n"/>
      <c r="D1801" s="14">
        <f>IF($C1801="","",IFERROR(IF(VLOOKUP($C1801,AcctTblE,4,0)="","(بدون نام)",VLOOKUP($C1801,AcctTblE,4,0)),"کد ناشناخته"))</f>
        <v/>
      </c>
      <c r="E1801" s="15" t="n"/>
      <c r="F1801" s="14">
        <f>IF($B1801="","",IFERROR(INDEX(WageDates,MATCH($B1801,WageIds,0)),"—"))</f>
        <v/>
      </c>
      <c r="G1801" s="14">
        <f>IF($B1801="","",IFERROR(VLOOKUP(INDEX(WageParty,MATCH($B1801,WageIds,0)),WGTbl,2,0),"—"))</f>
        <v/>
      </c>
      <c r="H1801" s="12" t="n"/>
    </row>
    <row r="1802">
      <c r="A1802" s="19">
        <f>IF($B1802="","",COUNTA($B$9:$B1802))</f>
        <v/>
      </c>
      <c r="B1802" s="12" t="n"/>
      <c r="C1802" s="13" t="n"/>
      <c r="D1802" s="20">
        <f>IF($C1802="","",IFERROR(IF(VLOOKUP($C1802,AcctTblE,4,0)="","(بدون نام)",VLOOKUP($C1802,AcctTblE,4,0)),"کد ناشناخته"))</f>
        <v/>
      </c>
      <c r="E1802" s="15" t="n"/>
      <c r="F1802" s="20">
        <f>IF($B1802="","",IFERROR(INDEX(WageDates,MATCH($B1802,WageIds,0)),"—"))</f>
        <v/>
      </c>
      <c r="G1802" s="20">
        <f>IF($B1802="","",IFERROR(VLOOKUP(INDEX(WageParty,MATCH($B1802,WageIds,0)),WGTbl,2,0),"—"))</f>
        <v/>
      </c>
      <c r="H1802" s="12" t="n"/>
    </row>
    <row r="1803">
      <c r="A1803" s="10">
        <f>IF($B1803="","",COUNTA($B$9:$B1803))</f>
        <v/>
      </c>
      <c r="B1803" s="12" t="n"/>
      <c r="C1803" s="13" t="n"/>
      <c r="D1803" s="14">
        <f>IF($C1803="","",IFERROR(IF(VLOOKUP($C1803,AcctTblE,4,0)="","(بدون نام)",VLOOKUP($C1803,AcctTblE,4,0)),"کد ناشناخته"))</f>
        <v/>
      </c>
      <c r="E1803" s="15" t="n"/>
      <c r="F1803" s="14">
        <f>IF($B1803="","",IFERROR(INDEX(WageDates,MATCH($B1803,WageIds,0)),"—"))</f>
        <v/>
      </c>
      <c r="G1803" s="14">
        <f>IF($B1803="","",IFERROR(VLOOKUP(INDEX(WageParty,MATCH($B1803,WageIds,0)),WGTbl,2,0),"—"))</f>
        <v/>
      </c>
      <c r="H1803" s="12" t="n"/>
    </row>
    <row r="1804">
      <c r="A1804" s="19">
        <f>IF($B1804="","",COUNTA($B$9:$B1804))</f>
        <v/>
      </c>
      <c r="B1804" s="12" t="n"/>
      <c r="C1804" s="13" t="n"/>
      <c r="D1804" s="20">
        <f>IF($C1804="","",IFERROR(IF(VLOOKUP($C1804,AcctTblE,4,0)="","(بدون نام)",VLOOKUP($C1804,AcctTblE,4,0)),"کد ناشناخته"))</f>
        <v/>
      </c>
      <c r="E1804" s="15" t="n"/>
      <c r="F1804" s="20">
        <f>IF($B1804="","",IFERROR(INDEX(WageDates,MATCH($B1804,WageIds,0)),"—"))</f>
        <v/>
      </c>
      <c r="G1804" s="20">
        <f>IF($B1804="","",IFERROR(VLOOKUP(INDEX(WageParty,MATCH($B1804,WageIds,0)),WGTbl,2,0),"—"))</f>
        <v/>
      </c>
      <c r="H1804" s="12" t="n"/>
    </row>
    <row r="1805">
      <c r="A1805" s="10">
        <f>IF($B1805="","",COUNTA($B$9:$B1805))</f>
        <v/>
      </c>
      <c r="B1805" s="12" t="n"/>
      <c r="C1805" s="13" t="n"/>
      <c r="D1805" s="14">
        <f>IF($C1805="","",IFERROR(IF(VLOOKUP($C1805,AcctTblE,4,0)="","(بدون نام)",VLOOKUP($C1805,AcctTblE,4,0)),"کد ناشناخته"))</f>
        <v/>
      </c>
      <c r="E1805" s="15" t="n"/>
      <c r="F1805" s="14">
        <f>IF($B1805="","",IFERROR(INDEX(WageDates,MATCH($B1805,WageIds,0)),"—"))</f>
        <v/>
      </c>
      <c r="G1805" s="14">
        <f>IF($B1805="","",IFERROR(VLOOKUP(INDEX(WageParty,MATCH($B1805,WageIds,0)),WGTbl,2,0),"—"))</f>
        <v/>
      </c>
      <c r="H1805" s="12" t="n"/>
    </row>
    <row r="1806">
      <c r="A1806" s="19">
        <f>IF($B1806="","",COUNTA($B$9:$B1806))</f>
        <v/>
      </c>
      <c r="B1806" s="12" t="n"/>
      <c r="C1806" s="13" t="n"/>
      <c r="D1806" s="20">
        <f>IF($C1806="","",IFERROR(IF(VLOOKUP($C1806,AcctTblE,4,0)="","(بدون نام)",VLOOKUP($C1806,AcctTblE,4,0)),"کد ناشناخته"))</f>
        <v/>
      </c>
      <c r="E1806" s="15" t="n"/>
      <c r="F1806" s="20">
        <f>IF($B1806="","",IFERROR(INDEX(WageDates,MATCH($B1806,WageIds,0)),"—"))</f>
        <v/>
      </c>
      <c r="G1806" s="20">
        <f>IF($B1806="","",IFERROR(VLOOKUP(INDEX(WageParty,MATCH($B1806,WageIds,0)),WGTbl,2,0),"—"))</f>
        <v/>
      </c>
      <c r="H1806" s="12" t="n"/>
    </row>
    <row r="1807">
      <c r="A1807" s="10">
        <f>IF($B1807="","",COUNTA($B$9:$B1807))</f>
        <v/>
      </c>
      <c r="B1807" s="12" t="n"/>
      <c r="C1807" s="13" t="n"/>
      <c r="D1807" s="14">
        <f>IF($C1807="","",IFERROR(IF(VLOOKUP($C1807,AcctTblE,4,0)="","(بدون نام)",VLOOKUP($C1807,AcctTblE,4,0)),"کد ناشناخته"))</f>
        <v/>
      </c>
      <c r="E1807" s="15" t="n"/>
      <c r="F1807" s="14">
        <f>IF($B1807="","",IFERROR(INDEX(WageDates,MATCH($B1807,WageIds,0)),"—"))</f>
        <v/>
      </c>
      <c r="G1807" s="14">
        <f>IF($B1807="","",IFERROR(VLOOKUP(INDEX(WageParty,MATCH($B1807,WageIds,0)),WGTbl,2,0),"—"))</f>
        <v/>
      </c>
      <c r="H1807" s="12" t="n"/>
    </row>
    <row r="1808">
      <c r="A1808" s="19">
        <f>IF($B1808="","",COUNTA($B$9:$B1808))</f>
        <v/>
      </c>
      <c r="B1808" s="12" t="n"/>
      <c r="C1808" s="13" t="n"/>
      <c r="D1808" s="20">
        <f>IF($C1808="","",IFERROR(IF(VLOOKUP($C1808,AcctTblE,4,0)="","(بدون نام)",VLOOKUP($C1808,AcctTblE,4,0)),"کد ناشناخته"))</f>
        <v/>
      </c>
      <c r="E1808" s="15" t="n"/>
      <c r="F1808" s="20">
        <f>IF($B1808="","",IFERROR(INDEX(WageDates,MATCH($B1808,WageIds,0)),"—"))</f>
        <v/>
      </c>
      <c r="G1808" s="20">
        <f>IF($B1808="","",IFERROR(VLOOKUP(INDEX(WageParty,MATCH($B1808,WageIds,0)),WGTbl,2,0),"—"))</f>
        <v/>
      </c>
      <c r="H1808" s="12" t="n"/>
    </row>
    <row r="1809">
      <c r="A1809" s="10">
        <f>IF($B1809="","",COUNTA($B$9:$B1809))</f>
        <v/>
      </c>
      <c r="B1809" s="12" t="n"/>
      <c r="C1809" s="13" t="n"/>
      <c r="D1809" s="14">
        <f>IF($C1809="","",IFERROR(IF(VLOOKUP($C1809,AcctTblE,4,0)="","(بدون نام)",VLOOKUP($C1809,AcctTblE,4,0)),"کد ناشناخته"))</f>
        <v/>
      </c>
      <c r="E1809" s="15" t="n"/>
      <c r="F1809" s="14">
        <f>IF($B1809="","",IFERROR(INDEX(WageDates,MATCH($B1809,WageIds,0)),"—"))</f>
        <v/>
      </c>
      <c r="G1809" s="14">
        <f>IF($B1809="","",IFERROR(VLOOKUP(INDEX(WageParty,MATCH($B1809,WageIds,0)),WGTbl,2,0),"—"))</f>
        <v/>
      </c>
      <c r="H1809" s="12" t="n"/>
    </row>
    <row r="1810">
      <c r="A1810" s="19">
        <f>IF($B1810="","",COUNTA($B$9:$B1810))</f>
        <v/>
      </c>
      <c r="B1810" s="12" t="n"/>
      <c r="C1810" s="13" t="n"/>
      <c r="D1810" s="20">
        <f>IF($C1810="","",IFERROR(IF(VLOOKUP($C1810,AcctTblE,4,0)="","(بدون نام)",VLOOKUP($C1810,AcctTblE,4,0)),"کد ناشناخته"))</f>
        <v/>
      </c>
      <c r="E1810" s="15" t="n"/>
      <c r="F1810" s="20">
        <f>IF($B1810="","",IFERROR(INDEX(WageDates,MATCH($B1810,WageIds,0)),"—"))</f>
        <v/>
      </c>
      <c r="G1810" s="20">
        <f>IF($B1810="","",IFERROR(VLOOKUP(INDEX(WageParty,MATCH($B1810,WageIds,0)),WGTbl,2,0),"—"))</f>
        <v/>
      </c>
      <c r="H1810" s="12" t="n"/>
    </row>
    <row r="1811">
      <c r="A1811" s="10">
        <f>IF($B1811="","",COUNTA($B$9:$B1811))</f>
        <v/>
      </c>
      <c r="B1811" s="12" t="n"/>
      <c r="C1811" s="13" t="n"/>
      <c r="D1811" s="14">
        <f>IF($C1811="","",IFERROR(IF(VLOOKUP($C1811,AcctTblE,4,0)="","(بدون نام)",VLOOKUP($C1811,AcctTblE,4,0)),"کد ناشناخته"))</f>
        <v/>
      </c>
      <c r="E1811" s="15" t="n"/>
      <c r="F1811" s="14">
        <f>IF($B1811="","",IFERROR(INDEX(WageDates,MATCH($B1811,WageIds,0)),"—"))</f>
        <v/>
      </c>
      <c r="G1811" s="14">
        <f>IF($B1811="","",IFERROR(VLOOKUP(INDEX(WageParty,MATCH($B1811,WageIds,0)),WGTbl,2,0),"—"))</f>
        <v/>
      </c>
      <c r="H1811" s="12" t="n"/>
    </row>
    <row r="1812">
      <c r="A1812" s="19">
        <f>IF($B1812="","",COUNTA($B$9:$B1812))</f>
        <v/>
      </c>
      <c r="B1812" s="12" t="n"/>
      <c r="C1812" s="13" t="n"/>
      <c r="D1812" s="20">
        <f>IF($C1812="","",IFERROR(IF(VLOOKUP($C1812,AcctTblE,4,0)="","(بدون نام)",VLOOKUP($C1812,AcctTblE,4,0)),"کد ناشناخته"))</f>
        <v/>
      </c>
      <c r="E1812" s="15" t="n"/>
      <c r="F1812" s="20">
        <f>IF($B1812="","",IFERROR(INDEX(WageDates,MATCH($B1812,WageIds,0)),"—"))</f>
        <v/>
      </c>
      <c r="G1812" s="20">
        <f>IF($B1812="","",IFERROR(VLOOKUP(INDEX(WageParty,MATCH($B1812,WageIds,0)),WGTbl,2,0),"—"))</f>
        <v/>
      </c>
      <c r="H1812" s="12" t="n"/>
    </row>
    <row r="1813">
      <c r="A1813" s="10">
        <f>IF($B1813="","",COUNTA($B$9:$B1813))</f>
        <v/>
      </c>
      <c r="B1813" s="12" t="n"/>
      <c r="C1813" s="13" t="n"/>
      <c r="D1813" s="14">
        <f>IF($C1813="","",IFERROR(IF(VLOOKUP($C1813,AcctTblE,4,0)="","(بدون نام)",VLOOKUP($C1813,AcctTblE,4,0)),"کد ناشناخته"))</f>
        <v/>
      </c>
      <c r="E1813" s="15" t="n"/>
      <c r="F1813" s="14">
        <f>IF($B1813="","",IFERROR(INDEX(WageDates,MATCH($B1813,WageIds,0)),"—"))</f>
        <v/>
      </c>
      <c r="G1813" s="14">
        <f>IF($B1813="","",IFERROR(VLOOKUP(INDEX(WageParty,MATCH($B1813,WageIds,0)),WGTbl,2,0),"—"))</f>
        <v/>
      </c>
      <c r="H1813" s="12" t="n"/>
    </row>
    <row r="1814">
      <c r="A1814" s="19">
        <f>IF($B1814="","",COUNTA($B$9:$B1814))</f>
        <v/>
      </c>
      <c r="B1814" s="12" t="n"/>
      <c r="C1814" s="13" t="n"/>
      <c r="D1814" s="20">
        <f>IF($C1814="","",IFERROR(IF(VLOOKUP($C1814,AcctTblE,4,0)="","(بدون نام)",VLOOKUP($C1814,AcctTblE,4,0)),"کد ناشناخته"))</f>
        <v/>
      </c>
      <c r="E1814" s="15" t="n"/>
      <c r="F1814" s="20">
        <f>IF($B1814="","",IFERROR(INDEX(WageDates,MATCH($B1814,WageIds,0)),"—"))</f>
        <v/>
      </c>
      <c r="G1814" s="20">
        <f>IF($B1814="","",IFERROR(VLOOKUP(INDEX(WageParty,MATCH($B1814,WageIds,0)),WGTbl,2,0),"—"))</f>
        <v/>
      </c>
      <c r="H1814" s="12" t="n"/>
    </row>
    <row r="1815">
      <c r="A1815" s="10">
        <f>IF($B1815="","",COUNTA($B$9:$B1815))</f>
        <v/>
      </c>
      <c r="B1815" s="12" t="n"/>
      <c r="C1815" s="13" t="n"/>
      <c r="D1815" s="14">
        <f>IF($C1815="","",IFERROR(IF(VLOOKUP($C1815,AcctTblE,4,0)="","(بدون نام)",VLOOKUP($C1815,AcctTblE,4,0)),"کد ناشناخته"))</f>
        <v/>
      </c>
      <c r="E1815" s="15" t="n"/>
      <c r="F1815" s="14">
        <f>IF($B1815="","",IFERROR(INDEX(WageDates,MATCH($B1815,WageIds,0)),"—"))</f>
        <v/>
      </c>
      <c r="G1815" s="14">
        <f>IF($B1815="","",IFERROR(VLOOKUP(INDEX(WageParty,MATCH($B1815,WageIds,0)),WGTbl,2,0),"—"))</f>
        <v/>
      </c>
      <c r="H1815" s="12" t="n"/>
    </row>
    <row r="1816">
      <c r="A1816" s="19">
        <f>IF($B1816="","",COUNTA($B$9:$B1816))</f>
        <v/>
      </c>
      <c r="B1816" s="12" t="n"/>
      <c r="C1816" s="13" t="n"/>
      <c r="D1816" s="20">
        <f>IF($C1816="","",IFERROR(IF(VLOOKUP($C1816,AcctTblE,4,0)="","(بدون نام)",VLOOKUP($C1816,AcctTblE,4,0)),"کد ناشناخته"))</f>
        <v/>
      </c>
      <c r="E1816" s="15" t="n"/>
      <c r="F1816" s="20">
        <f>IF($B1816="","",IFERROR(INDEX(WageDates,MATCH($B1816,WageIds,0)),"—"))</f>
        <v/>
      </c>
      <c r="G1816" s="20">
        <f>IF($B1816="","",IFERROR(VLOOKUP(INDEX(WageParty,MATCH($B1816,WageIds,0)),WGTbl,2,0),"—"))</f>
        <v/>
      </c>
      <c r="H1816" s="12" t="n"/>
    </row>
    <row r="1817">
      <c r="A1817" s="10">
        <f>IF($B1817="","",COUNTA($B$9:$B1817))</f>
        <v/>
      </c>
      <c r="B1817" s="12" t="n"/>
      <c r="C1817" s="13" t="n"/>
      <c r="D1817" s="14">
        <f>IF($C1817="","",IFERROR(IF(VLOOKUP($C1817,AcctTblE,4,0)="","(بدون نام)",VLOOKUP($C1817,AcctTblE,4,0)),"کد ناشناخته"))</f>
        <v/>
      </c>
      <c r="E1817" s="15" t="n"/>
      <c r="F1817" s="14">
        <f>IF($B1817="","",IFERROR(INDEX(WageDates,MATCH($B1817,WageIds,0)),"—"))</f>
        <v/>
      </c>
      <c r="G1817" s="14">
        <f>IF($B1817="","",IFERROR(VLOOKUP(INDEX(WageParty,MATCH($B1817,WageIds,0)),WGTbl,2,0),"—"))</f>
        <v/>
      </c>
      <c r="H1817" s="12" t="n"/>
    </row>
    <row r="1818">
      <c r="A1818" s="19">
        <f>IF($B1818="","",COUNTA($B$9:$B1818))</f>
        <v/>
      </c>
      <c r="B1818" s="12" t="n"/>
      <c r="C1818" s="13" t="n"/>
      <c r="D1818" s="20">
        <f>IF($C1818="","",IFERROR(IF(VLOOKUP($C1818,AcctTblE,4,0)="","(بدون نام)",VLOOKUP($C1818,AcctTblE,4,0)),"کد ناشناخته"))</f>
        <v/>
      </c>
      <c r="E1818" s="15" t="n"/>
      <c r="F1818" s="20">
        <f>IF($B1818="","",IFERROR(INDEX(WageDates,MATCH($B1818,WageIds,0)),"—"))</f>
        <v/>
      </c>
      <c r="G1818" s="20">
        <f>IF($B1818="","",IFERROR(VLOOKUP(INDEX(WageParty,MATCH($B1818,WageIds,0)),WGTbl,2,0),"—"))</f>
        <v/>
      </c>
      <c r="H1818" s="12" t="n"/>
    </row>
    <row r="1819">
      <c r="A1819" s="10">
        <f>IF($B1819="","",COUNTA($B$9:$B1819))</f>
        <v/>
      </c>
      <c r="B1819" s="12" t="n"/>
      <c r="C1819" s="13" t="n"/>
      <c r="D1819" s="14">
        <f>IF($C1819="","",IFERROR(IF(VLOOKUP($C1819,AcctTblE,4,0)="","(بدون نام)",VLOOKUP($C1819,AcctTblE,4,0)),"کد ناشناخته"))</f>
        <v/>
      </c>
      <c r="E1819" s="15" t="n"/>
      <c r="F1819" s="14">
        <f>IF($B1819="","",IFERROR(INDEX(WageDates,MATCH($B1819,WageIds,0)),"—"))</f>
        <v/>
      </c>
      <c r="G1819" s="14">
        <f>IF($B1819="","",IFERROR(VLOOKUP(INDEX(WageParty,MATCH($B1819,WageIds,0)),WGTbl,2,0),"—"))</f>
        <v/>
      </c>
      <c r="H1819" s="12" t="n"/>
    </row>
    <row r="1820">
      <c r="A1820" s="19">
        <f>IF($B1820="","",COUNTA($B$9:$B1820))</f>
        <v/>
      </c>
      <c r="B1820" s="12" t="n"/>
      <c r="C1820" s="13" t="n"/>
      <c r="D1820" s="20">
        <f>IF($C1820="","",IFERROR(IF(VLOOKUP($C1820,AcctTblE,4,0)="","(بدون نام)",VLOOKUP($C1820,AcctTblE,4,0)),"کد ناشناخته"))</f>
        <v/>
      </c>
      <c r="E1820" s="15" t="n"/>
      <c r="F1820" s="20">
        <f>IF($B1820="","",IFERROR(INDEX(WageDates,MATCH($B1820,WageIds,0)),"—"))</f>
        <v/>
      </c>
      <c r="G1820" s="20">
        <f>IF($B1820="","",IFERROR(VLOOKUP(INDEX(WageParty,MATCH($B1820,WageIds,0)),WGTbl,2,0),"—"))</f>
        <v/>
      </c>
      <c r="H1820" s="12" t="n"/>
    </row>
    <row r="1821">
      <c r="A1821" s="10">
        <f>IF($B1821="","",COUNTA($B$9:$B1821))</f>
        <v/>
      </c>
      <c r="B1821" s="12" t="n"/>
      <c r="C1821" s="13" t="n"/>
      <c r="D1821" s="14">
        <f>IF($C1821="","",IFERROR(IF(VLOOKUP($C1821,AcctTblE,4,0)="","(بدون نام)",VLOOKUP($C1821,AcctTblE,4,0)),"کد ناشناخته"))</f>
        <v/>
      </c>
      <c r="E1821" s="15" t="n"/>
      <c r="F1821" s="14">
        <f>IF($B1821="","",IFERROR(INDEX(WageDates,MATCH($B1821,WageIds,0)),"—"))</f>
        <v/>
      </c>
      <c r="G1821" s="14">
        <f>IF($B1821="","",IFERROR(VLOOKUP(INDEX(WageParty,MATCH($B1821,WageIds,0)),WGTbl,2,0),"—"))</f>
        <v/>
      </c>
      <c r="H1821" s="12" t="n"/>
    </row>
    <row r="1822">
      <c r="A1822" s="19">
        <f>IF($B1822="","",COUNTA($B$9:$B1822))</f>
        <v/>
      </c>
      <c r="B1822" s="12" t="n"/>
      <c r="C1822" s="13" t="n"/>
      <c r="D1822" s="20">
        <f>IF($C1822="","",IFERROR(IF(VLOOKUP($C1822,AcctTblE,4,0)="","(بدون نام)",VLOOKUP($C1822,AcctTblE,4,0)),"کد ناشناخته"))</f>
        <v/>
      </c>
      <c r="E1822" s="15" t="n"/>
      <c r="F1822" s="20">
        <f>IF($B1822="","",IFERROR(INDEX(WageDates,MATCH($B1822,WageIds,0)),"—"))</f>
        <v/>
      </c>
      <c r="G1822" s="20">
        <f>IF($B1822="","",IFERROR(VLOOKUP(INDEX(WageParty,MATCH($B1822,WageIds,0)),WGTbl,2,0),"—"))</f>
        <v/>
      </c>
      <c r="H1822" s="12" t="n"/>
    </row>
    <row r="1823">
      <c r="A1823" s="10">
        <f>IF($B1823="","",COUNTA($B$9:$B1823))</f>
        <v/>
      </c>
      <c r="B1823" s="12" t="n"/>
      <c r="C1823" s="13" t="n"/>
      <c r="D1823" s="14">
        <f>IF($C1823="","",IFERROR(IF(VLOOKUP($C1823,AcctTblE,4,0)="","(بدون نام)",VLOOKUP($C1823,AcctTblE,4,0)),"کد ناشناخته"))</f>
        <v/>
      </c>
      <c r="E1823" s="15" t="n"/>
      <c r="F1823" s="14">
        <f>IF($B1823="","",IFERROR(INDEX(WageDates,MATCH($B1823,WageIds,0)),"—"))</f>
        <v/>
      </c>
      <c r="G1823" s="14">
        <f>IF($B1823="","",IFERROR(VLOOKUP(INDEX(WageParty,MATCH($B1823,WageIds,0)),WGTbl,2,0),"—"))</f>
        <v/>
      </c>
      <c r="H1823" s="12" t="n"/>
    </row>
    <row r="1824">
      <c r="A1824" s="19">
        <f>IF($B1824="","",COUNTA($B$9:$B1824))</f>
        <v/>
      </c>
      <c r="B1824" s="12" t="n"/>
      <c r="C1824" s="13" t="n"/>
      <c r="D1824" s="20">
        <f>IF($C1824="","",IFERROR(IF(VLOOKUP($C1824,AcctTblE,4,0)="","(بدون نام)",VLOOKUP($C1824,AcctTblE,4,0)),"کد ناشناخته"))</f>
        <v/>
      </c>
      <c r="E1824" s="15" t="n"/>
      <c r="F1824" s="20">
        <f>IF($B1824="","",IFERROR(INDEX(WageDates,MATCH($B1824,WageIds,0)),"—"))</f>
        <v/>
      </c>
      <c r="G1824" s="20">
        <f>IF($B1824="","",IFERROR(VLOOKUP(INDEX(WageParty,MATCH($B1824,WageIds,0)),WGTbl,2,0),"—"))</f>
        <v/>
      </c>
      <c r="H1824" s="12" t="n"/>
    </row>
    <row r="1825">
      <c r="A1825" s="10">
        <f>IF($B1825="","",COUNTA($B$9:$B1825))</f>
        <v/>
      </c>
      <c r="B1825" s="12" t="n"/>
      <c r="C1825" s="13" t="n"/>
      <c r="D1825" s="14">
        <f>IF($C1825="","",IFERROR(IF(VLOOKUP($C1825,AcctTblE,4,0)="","(بدون نام)",VLOOKUP($C1825,AcctTblE,4,0)),"کد ناشناخته"))</f>
        <v/>
      </c>
      <c r="E1825" s="15" t="n"/>
      <c r="F1825" s="14">
        <f>IF($B1825="","",IFERROR(INDEX(WageDates,MATCH($B1825,WageIds,0)),"—"))</f>
        <v/>
      </c>
      <c r="G1825" s="14">
        <f>IF($B1825="","",IFERROR(VLOOKUP(INDEX(WageParty,MATCH($B1825,WageIds,0)),WGTbl,2,0),"—"))</f>
        <v/>
      </c>
      <c r="H1825" s="12" t="n"/>
    </row>
    <row r="1826">
      <c r="A1826" s="19">
        <f>IF($B1826="","",COUNTA($B$9:$B1826))</f>
        <v/>
      </c>
      <c r="B1826" s="12" t="n"/>
      <c r="C1826" s="13" t="n"/>
      <c r="D1826" s="20">
        <f>IF($C1826="","",IFERROR(IF(VLOOKUP($C1826,AcctTblE,4,0)="","(بدون نام)",VLOOKUP($C1826,AcctTblE,4,0)),"کد ناشناخته"))</f>
        <v/>
      </c>
      <c r="E1826" s="15" t="n"/>
      <c r="F1826" s="20">
        <f>IF($B1826="","",IFERROR(INDEX(WageDates,MATCH($B1826,WageIds,0)),"—"))</f>
        <v/>
      </c>
      <c r="G1826" s="20">
        <f>IF($B1826="","",IFERROR(VLOOKUP(INDEX(WageParty,MATCH($B1826,WageIds,0)),WGTbl,2,0),"—"))</f>
        <v/>
      </c>
      <c r="H1826" s="12" t="n"/>
    </row>
    <row r="1827">
      <c r="A1827" s="10">
        <f>IF($B1827="","",COUNTA($B$9:$B1827))</f>
        <v/>
      </c>
      <c r="B1827" s="12" t="n"/>
      <c r="C1827" s="13" t="n"/>
      <c r="D1827" s="14">
        <f>IF($C1827="","",IFERROR(IF(VLOOKUP($C1827,AcctTblE,4,0)="","(بدون نام)",VLOOKUP($C1827,AcctTblE,4,0)),"کد ناشناخته"))</f>
        <v/>
      </c>
      <c r="E1827" s="15" t="n"/>
      <c r="F1827" s="14">
        <f>IF($B1827="","",IFERROR(INDEX(WageDates,MATCH($B1827,WageIds,0)),"—"))</f>
        <v/>
      </c>
      <c r="G1827" s="14">
        <f>IF($B1827="","",IFERROR(VLOOKUP(INDEX(WageParty,MATCH($B1827,WageIds,0)),WGTbl,2,0),"—"))</f>
        <v/>
      </c>
      <c r="H1827" s="12" t="n"/>
    </row>
    <row r="1828">
      <c r="A1828" s="19">
        <f>IF($B1828="","",COUNTA($B$9:$B1828))</f>
        <v/>
      </c>
      <c r="B1828" s="12" t="n"/>
      <c r="C1828" s="13" t="n"/>
      <c r="D1828" s="20">
        <f>IF($C1828="","",IFERROR(IF(VLOOKUP($C1828,AcctTblE,4,0)="","(بدون نام)",VLOOKUP($C1828,AcctTblE,4,0)),"کد ناشناخته"))</f>
        <v/>
      </c>
      <c r="E1828" s="15" t="n"/>
      <c r="F1828" s="20">
        <f>IF($B1828="","",IFERROR(INDEX(WageDates,MATCH($B1828,WageIds,0)),"—"))</f>
        <v/>
      </c>
      <c r="G1828" s="20">
        <f>IF($B1828="","",IFERROR(VLOOKUP(INDEX(WageParty,MATCH($B1828,WageIds,0)),WGTbl,2,0),"—"))</f>
        <v/>
      </c>
      <c r="H1828" s="12" t="n"/>
    </row>
    <row r="1829">
      <c r="A1829" s="10">
        <f>IF($B1829="","",COUNTA($B$9:$B1829))</f>
        <v/>
      </c>
      <c r="B1829" s="12" t="n"/>
      <c r="C1829" s="13" t="n"/>
      <c r="D1829" s="14">
        <f>IF($C1829="","",IFERROR(IF(VLOOKUP($C1829,AcctTblE,4,0)="","(بدون نام)",VLOOKUP($C1829,AcctTblE,4,0)),"کد ناشناخته"))</f>
        <v/>
      </c>
      <c r="E1829" s="15" t="n"/>
      <c r="F1829" s="14">
        <f>IF($B1829="","",IFERROR(INDEX(WageDates,MATCH($B1829,WageIds,0)),"—"))</f>
        <v/>
      </c>
      <c r="G1829" s="14">
        <f>IF($B1829="","",IFERROR(VLOOKUP(INDEX(WageParty,MATCH($B1829,WageIds,0)),WGTbl,2,0),"—"))</f>
        <v/>
      </c>
      <c r="H1829" s="12" t="n"/>
    </row>
    <row r="1830">
      <c r="A1830" s="19">
        <f>IF($B1830="","",COUNTA($B$9:$B1830))</f>
        <v/>
      </c>
      <c r="B1830" s="12" t="n"/>
      <c r="C1830" s="13" t="n"/>
      <c r="D1830" s="20">
        <f>IF($C1830="","",IFERROR(IF(VLOOKUP($C1830,AcctTblE,4,0)="","(بدون نام)",VLOOKUP($C1830,AcctTblE,4,0)),"کد ناشناخته"))</f>
        <v/>
      </c>
      <c r="E1830" s="15" t="n"/>
      <c r="F1830" s="20">
        <f>IF($B1830="","",IFERROR(INDEX(WageDates,MATCH($B1830,WageIds,0)),"—"))</f>
        <v/>
      </c>
      <c r="G1830" s="20">
        <f>IF($B1830="","",IFERROR(VLOOKUP(INDEX(WageParty,MATCH($B1830,WageIds,0)),WGTbl,2,0),"—"))</f>
        <v/>
      </c>
      <c r="H1830" s="12" t="n"/>
    </row>
    <row r="1831">
      <c r="A1831" s="10">
        <f>IF($B1831="","",COUNTA($B$9:$B1831))</f>
        <v/>
      </c>
      <c r="B1831" s="12" t="n"/>
      <c r="C1831" s="13" t="n"/>
      <c r="D1831" s="14">
        <f>IF($C1831="","",IFERROR(IF(VLOOKUP($C1831,AcctTblE,4,0)="","(بدون نام)",VLOOKUP($C1831,AcctTblE,4,0)),"کد ناشناخته"))</f>
        <v/>
      </c>
      <c r="E1831" s="15" t="n"/>
      <c r="F1831" s="14">
        <f>IF($B1831="","",IFERROR(INDEX(WageDates,MATCH($B1831,WageIds,0)),"—"))</f>
        <v/>
      </c>
      <c r="G1831" s="14">
        <f>IF($B1831="","",IFERROR(VLOOKUP(INDEX(WageParty,MATCH($B1831,WageIds,0)),WGTbl,2,0),"—"))</f>
        <v/>
      </c>
      <c r="H1831" s="12" t="n"/>
    </row>
    <row r="1832">
      <c r="A1832" s="19">
        <f>IF($B1832="","",COUNTA($B$9:$B1832))</f>
        <v/>
      </c>
      <c r="B1832" s="12" t="n"/>
      <c r="C1832" s="13" t="n"/>
      <c r="D1832" s="20">
        <f>IF($C1832="","",IFERROR(IF(VLOOKUP($C1832,AcctTblE,4,0)="","(بدون نام)",VLOOKUP($C1832,AcctTblE,4,0)),"کد ناشناخته"))</f>
        <v/>
      </c>
      <c r="E1832" s="15" t="n"/>
      <c r="F1832" s="20">
        <f>IF($B1832="","",IFERROR(INDEX(WageDates,MATCH($B1832,WageIds,0)),"—"))</f>
        <v/>
      </c>
      <c r="G1832" s="20">
        <f>IF($B1832="","",IFERROR(VLOOKUP(INDEX(WageParty,MATCH($B1832,WageIds,0)),WGTbl,2,0),"—"))</f>
        <v/>
      </c>
      <c r="H1832" s="12" t="n"/>
    </row>
    <row r="1833">
      <c r="A1833" s="10">
        <f>IF($B1833="","",COUNTA($B$9:$B1833))</f>
        <v/>
      </c>
      <c r="B1833" s="12" t="n"/>
      <c r="C1833" s="13" t="n"/>
      <c r="D1833" s="14">
        <f>IF($C1833="","",IFERROR(IF(VLOOKUP($C1833,AcctTblE,4,0)="","(بدون نام)",VLOOKUP($C1833,AcctTblE,4,0)),"کد ناشناخته"))</f>
        <v/>
      </c>
      <c r="E1833" s="15" t="n"/>
      <c r="F1833" s="14">
        <f>IF($B1833="","",IFERROR(INDEX(WageDates,MATCH($B1833,WageIds,0)),"—"))</f>
        <v/>
      </c>
      <c r="G1833" s="14">
        <f>IF($B1833="","",IFERROR(VLOOKUP(INDEX(WageParty,MATCH($B1833,WageIds,0)),WGTbl,2,0),"—"))</f>
        <v/>
      </c>
      <c r="H1833" s="12" t="n"/>
    </row>
    <row r="1834">
      <c r="A1834" s="19">
        <f>IF($B1834="","",COUNTA($B$9:$B1834))</f>
        <v/>
      </c>
      <c r="B1834" s="12" t="n"/>
      <c r="C1834" s="13" t="n"/>
      <c r="D1834" s="20">
        <f>IF($C1834="","",IFERROR(IF(VLOOKUP($C1834,AcctTblE,4,0)="","(بدون نام)",VLOOKUP($C1834,AcctTblE,4,0)),"کد ناشناخته"))</f>
        <v/>
      </c>
      <c r="E1834" s="15" t="n"/>
      <c r="F1834" s="20">
        <f>IF($B1834="","",IFERROR(INDEX(WageDates,MATCH($B1834,WageIds,0)),"—"))</f>
        <v/>
      </c>
      <c r="G1834" s="20">
        <f>IF($B1834="","",IFERROR(VLOOKUP(INDEX(WageParty,MATCH($B1834,WageIds,0)),WGTbl,2,0),"—"))</f>
        <v/>
      </c>
      <c r="H1834" s="12" t="n"/>
    </row>
    <row r="1835">
      <c r="A1835" s="10">
        <f>IF($B1835="","",COUNTA($B$9:$B1835))</f>
        <v/>
      </c>
      <c r="B1835" s="12" t="n"/>
      <c r="C1835" s="13" t="n"/>
      <c r="D1835" s="14">
        <f>IF($C1835="","",IFERROR(IF(VLOOKUP($C1835,AcctTblE,4,0)="","(بدون نام)",VLOOKUP($C1835,AcctTblE,4,0)),"کد ناشناخته"))</f>
        <v/>
      </c>
      <c r="E1835" s="15" t="n"/>
      <c r="F1835" s="14">
        <f>IF($B1835="","",IFERROR(INDEX(WageDates,MATCH($B1835,WageIds,0)),"—"))</f>
        <v/>
      </c>
      <c r="G1835" s="14">
        <f>IF($B1835="","",IFERROR(VLOOKUP(INDEX(WageParty,MATCH($B1835,WageIds,0)),WGTbl,2,0),"—"))</f>
        <v/>
      </c>
      <c r="H1835" s="12" t="n"/>
    </row>
    <row r="1836">
      <c r="A1836" s="19">
        <f>IF($B1836="","",COUNTA($B$9:$B1836))</f>
        <v/>
      </c>
      <c r="B1836" s="12" t="n"/>
      <c r="C1836" s="13" t="n"/>
      <c r="D1836" s="20">
        <f>IF($C1836="","",IFERROR(IF(VLOOKUP($C1836,AcctTblE,4,0)="","(بدون نام)",VLOOKUP($C1836,AcctTblE,4,0)),"کد ناشناخته"))</f>
        <v/>
      </c>
      <c r="E1836" s="15" t="n"/>
      <c r="F1836" s="20">
        <f>IF($B1836="","",IFERROR(INDEX(WageDates,MATCH($B1836,WageIds,0)),"—"))</f>
        <v/>
      </c>
      <c r="G1836" s="20">
        <f>IF($B1836="","",IFERROR(VLOOKUP(INDEX(WageParty,MATCH($B1836,WageIds,0)),WGTbl,2,0),"—"))</f>
        <v/>
      </c>
      <c r="H1836" s="12" t="n"/>
    </row>
    <row r="1837">
      <c r="A1837" s="10">
        <f>IF($B1837="","",COUNTA($B$9:$B1837))</f>
        <v/>
      </c>
      <c r="B1837" s="12" t="n"/>
      <c r="C1837" s="13" t="n"/>
      <c r="D1837" s="14">
        <f>IF($C1837="","",IFERROR(IF(VLOOKUP($C1837,AcctTblE,4,0)="","(بدون نام)",VLOOKUP($C1837,AcctTblE,4,0)),"کد ناشناخته"))</f>
        <v/>
      </c>
      <c r="E1837" s="15" t="n"/>
      <c r="F1837" s="14">
        <f>IF($B1837="","",IFERROR(INDEX(WageDates,MATCH($B1837,WageIds,0)),"—"))</f>
        <v/>
      </c>
      <c r="G1837" s="14">
        <f>IF($B1837="","",IFERROR(VLOOKUP(INDEX(WageParty,MATCH($B1837,WageIds,0)),WGTbl,2,0),"—"))</f>
        <v/>
      </c>
      <c r="H1837" s="12" t="n"/>
    </row>
    <row r="1838">
      <c r="A1838" s="19">
        <f>IF($B1838="","",COUNTA($B$9:$B1838))</f>
        <v/>
      </c>
      <c r="B1838" s="12" t="n"/>
      <c r="C1838" s="13" t="n"/>
      <c r="D1838" s="20">
        <f>IF($C1838="","",IFERROR(IF(VLOOKUP($C1838,AcctTblE,4,0)="","(بدون نام)",VLOOKUP($C1838,AcctTblE,4,0)),"کد ناشناخته"))</f>
        <v/>
      </c>
      <c r="E1838" s="15" t="n"/>
      <c r="F1838" s="20">
        <f>IF($B1838="","",IFERROR(INDEX(WageDates,MATCH($B1838,WageIds,0)),"—"))</f>
        <v/>
      </c>
      <c r="G1838" s="20">
        <f>IF($B1838="","",IFERROR(VLOOKUP(INDEX(WageParty,MATCH($B1838,WageIds,0)),WGTbl,2,0),"—"))</f>
        <v/>
      </c>
      <c r="H1838" s="12" t="n"/>
    </row>
    <row r="1839">
      <c r="A1839" s="10">
        <f>IF($B1839="","",COUNTA($B$9:$B1839))</f>
        <v/>
      </c>
      <c r="B1839" s="12" t="n"/>
      <c r="C1839" s="13" t="n"/>
      <c r="D1839" s="14">
        <f>IF($C1839="","",IFERROR(IF(VLOOKUP($C1839,AcctTblE,4,0)="","(بدون نام)",VLOOKUP($C1839,AcctTblE,4,0)),"کد ناشناخته"))</f>
        <v/>
      </c>
      <c r="E1839" s="15" t="n"/>
      <c r="F1839" s="14">
        <f>IF($B1839="","",IFERROR(INDEX(WageDates,MATCH($B1839,WageIds,0)),"—"))</f>
        <v/>
      </c>
      <c r="G1839" s="14">
        <f>IF($B1839="","",IFERROR(VLOOKUP(INDEX(WageParty,MATCH($B1839,WageIds,0)),WGTbl,2,0),"—"))</f>
        <v/>
      </c>
      <c r="H1839" s="12" t="n"/>
    </row>
    <row r="1840">
      <c r="A1840" s="19">
        <f>IF($B1840="","",COUNTA($B$9:$B1840))</f>
        <v/>
      </c>
      <c r="B1840" s="12" t="n"/>
      <c r="C1840" s="13" t="n"/>
      <c r="D1840" s="20">
        <f>IF($C1840="","",IFERROR(IF(VLOOKUP($C1840,AcctTblE,4,0)="","(بدون نام)",VLOOKUP($C1840,AcctTblE,4,0)),"کد ناشناخته"))</f>
        <v/>
      </c>
      <c r="E1840" s="15" t="n"/>
      <c r="F1840" s="20">
        <f>IF($B1840="","",IFERROR(INDEX(WageDates,MATCH($B1840,WageIds,0)),"—"))</f>
        <v/>
      </c>
      <c r="G1840" s="20">
        <f>IF($B1840="","",IFERROR(VLOOKUP(INDEX(WageParty,MATCH($B1840,WageIds,0)),WGTbl,2,0),"—"))</f>
        <v/>
      </c>
      <c r="H1840" s="12" t="n"/>
    </row>
    <row r="1841">
      <c r="A1841" s="10">
        <f>IF($B1841="","",COUNTA($B$9:$B1841))</f>
        <v/>
      </c>
      <c r="B1841" s="12" t="n"/>
      <c r="C1841" s="13" t="n"/>
      <c r="D1841" s="14">
        <f>IF($C1841="","",IFERROR(IF(VLOOKUP($C1841,AcctTblE,4,0)="","(بدون نام)",VLOOKUP($C1841,AcctTblE,4,0)),"کد ناشناخته"))</f>
        <v/>
      </c>
      <c r="E1841" s="15" t="n"/>
      <c r="F1841" s="14">
        <f>IF($B1841="","",IFERROR(INDEX(WageDates,MATCH($B1841,WageIds,0)),"—"))</f>
        <v/>
      </c>
      <c r="G1841" s="14">
        <f>IF($B1841="","",IFERROR(VLOOKUP(INDEX(WageParty,MATCH($B1841,WageIds,0)),WGTbl,2,0),"—"))</f>
        <v/>
      </c>
      <c r="H1841" s="12" t="n"/>
    </row>
    <row r="1842">
      <c r="A1842" s="19">
        <f>IF($B1842="","",COUNTA($B$9:$B1842))</f>
        <v/>
      </c>
      <c r="B1842" s="12" t="n"/>
      <c r="C1842" s="13" t="n"/>
      <c r="D1842" s="20">
        <f>IF($C1842="","",IFERROR(IF(VLOOKUP($C1842,AcctTblE,4,0)="","(بدون نام)",VLOOKUP($C1842,AcctTblE,4,0)),"کد ناشناخته"))</f>
        <v/>
      </c>
      <c r="E1842" s="15" t="n"/>
      <c r="F1842" s="20">
        <f>IF($B1842="","",IFERROR(INDEX(WageDates,MATCH($B1842,WageIds,0)),"—"))</f>
        <v/>
      </c>
      <c r="G1842" s="20">
        <f>IF($B1842="","",IFERROR(VLOOKUP(INDEX(WageParty,MATCH($B1842,WageIds,0)),WGTbl,2,0),"—"))</f>
        <v/>
      </c>
      <c r="H1842" s="12" t="n"/>
    </row>
    <row r="1843">
      <c r="A1843" s="10">
        <f>IF($B1843="","",COUNTA($B$9:$B1843))</f>
        <v/>
      </c>
      <c r="B1843" s="12" t="n"/>
      <c r="C1843" s="13" t="n"/>
      <c r="D1843" s="14">
        <f>IF($C1843="","",IFERROR(IF(VLOOKUP($C1843,AcctTblE,4,0)="","(بدون نام)",VLOOKUP($C1843,AcctTblE,4,0)),"کد ناشناخته"))</f>
        <v/>
      </c>
      <c r="E1843" s="15" t="n"/>
      <c r="F1843" s="14">
        <f>IF($B1843="","",IFERROR(INDEX(WageDates,MATCH($B1843,WageIds,0)),"—"))</f>
        <v/>
      </c>
      <c r="G1843" s="14">
        <f>IF($B1843="","",IFERROR(VLOOKUP(INDEX(WageParty,MATCH($B1843,WageIds,0)),WGTbl,2,0),"—"))</f>
        <v/>
      </c>
      <c r="H1843" s="12" t="n"/>
    </row>
    <row r="1844">
      <c r="A1844" s="19">
        <f>IF($B1844="","",COUNTA($B$9:$B1844))</f>
        <v/>
      </c>
      <c r="B1844" s="12" t="n"/>
      <c r="C1844" s="13" t="n"/>
      <c r="D1844" s="20">
        <f>IF($C1844="","",IFERROR(IF(VLOOKUP($C1844,AcctTblE,4,0)="","(بدون نام)",VLOOKUP($C1844,AcctTblE,4,0)),"کد ناشناخته"))</f>
        <v/>
      </c>
      <c r="E1844" s="15" t="n"/>
      <c r="F1844" s="20">
        <f>IF($B1844="","",IFERROR(INDEX(WageDates,MATCH($B1844,WageIds,0)),"—"))</f>
        <v/>
      </c>
      <c r="G1844" s="20">
        <f>IF($B1844="","",IFERROR(VLOOKUP(INDEX(WageParty,MATCH($B1844,WageIds,0)),WGTbl,2,0),"—"))</f>
        <v/>
      </c>
      <c r="H1844" s="12" t="n"/>
    </row>
    <row r="1845">
      <c r="A1845" s="10">
        <f>IF($B1845="","",COUNTA($B$9:$B1845))</f>
        <v/>
      </c>
      <c r="B1845" s="12" t="n"/>
      <c r="C1845" s="13" t="n"/>
      <c r="D1845" s="14">
        <f>IF($C1845="","",IFERROR(IF(VLOOKUP($C1845,AcctTblE,4,0)="","(بدون نام)",VLOOKUP($C1845,AcctTblE,4,0)),"کد ناشناخته"))</f>
        <v/>
      </c>
      <c r="E1845" s="15" t="n"/>
      <c r="F1845" s="14">
        <f>IF($B1845="","",IFERROR(INDEX(WageDates,MATCH($B1845,WageIds,0)),"—"))</f>
        <v/>
      </c>
      <c r="G1845" s="14">
        <f>IF($B1845="","",IFERROR(VLOOKUP(INDEX(WageParty,MATCH($B1845,WageIds,0)),WGTbl,2,0),"—"))</f>
        <v/>
      </c>
      <c r="H1845" s="12" t="n"/>
    </row>
    <row r="1846">
      <c r="A1846" s="19">
        <f>IF($B1846="","",COUNTA($B$9:$B1846))</f>
        <v/>
      </c>
      <c r="B1846" s="12" t="n"/>
      <c r="C1846" s="13" t="n"/>
      <c r="D1846" s="20">
        <f>IF($C1846="","",IFERROR(IF(VLOOKUP($C1846,AcctTblE,4,0)="","(بدون نام)",VLOOKUP($C1846,AcctTblE,4,0)),"کد ناشناخته"))</f>
        <v/>
      </c>
      <c r="E1846" s="15" t="n"/>
      <c r="F1846" s="20">
        <f>IF($B1846="","",IFERROR(INDEX(WageDates,MATCH($B1846,WageIds,0)),"—"))</f>
        <v/>
      </c>
      <c r="G1846" s="20">
        <f>IF($B1846="","",IFERROR(VLOOKUP(INDEX(WageParty,MATCH($B1846,WageIds,0)),WGTbl,2,0),"—"))</f>
        <v/>
      </c>
      <c r="H1846" s="12" t="n"/>
    </row>
    <row r="1847">
      <c r="A1847" s="10">
        <f>IF($B1847="","",COUNTA($B$9:$B1847))</f>
        <v/>
      </c>
      <c r="B1847" s="12" t="n"/>
      <c r="C1847" s="13" t="n"/>
      <c r="D1847" s="14">
        <f>IF($C1847="","",IFERROR(IF(VLOOKUP($C1847,AcctTblE,4,0)="","(بدون نام)",VLOOKUP($C1847,AcctTblE,4,0)),"کد ناشناخته"))</f>
        <v/>
      </c>
      <c r="E1847" s="15" t="n"/>
      <c r="F1847" s="14">
        <f>IF($B1847="","",IFERROR(INDEX(WageDates,MATCH($B1847,WageIds,0)),"—"))</f>
        <v/>
      </c>
      <c r="G1847" s="14">
        <f>IF($B1847="","",IFERROR(VLOOKUP(INDEX(WageParty,MATCH($B1847,WageIds,0)),WGTbl,2,0),"—"))</f>
        <v/>
      </c>
      <c r="H1847" s="12" t="n"/>
    </row>
    <row r="1848">
      <c r="A1848" s="19">
        <f>IF($B1848="","",COUNTA($B$9:$B1848))</f>
        <v/>
      </c>
      <c r="B1848" s="12" t="n"/>
      <c r="C1848" s="13" t="n"/>
      <c r="D1848" s="20">
        <f>IF($C1848="","",IFERROR(IF(VLOOKUP($C1848,AcctTblE,4,0)="","(بدون نام)",VLOOKUP($C1848,AcctTblE,4,0)),"کد ناشناخته"))</f>
        <v/>
      </c>
      <c r="E1848" s="15" t="n"/>
      <c r="F1848" s="20">
        <f>IF($B1848="","",IFERROR(INDEX(WageDates,MATCH($B1848,WageIds,0)),"—"))</f>
        <v/>
      </c>
      <c r="G1848" s="20">
        <f>IF($B1848="","",IFERROR(VLOOKUP(INDEX(WageParty,MATCH($B1848,WageIds,0)),WGTbl,2,0),"—"))</f>
        <v/>
      </c>
      <c r="H1848" s="12" t="n"/>
    </row>
    <row r="1849">
      <c r="A1849" s="10">
        <f>IF($B1849="","",COUNTA($B$9:$B1849))</f>
        <v/>
      </c>
      <c r="B1849" s="12" t="n"/>
      <c r="C1849" s="13" t="n"/>
      <c r="D1849" s="14">
        <f>IF($C1849="","",IFERROR(IF(VLOOKUP($C1849,AcctTblE,4,0)="","(بدون نام)",VLOOKUP($C1849,AcctTblE,4,0)),"کد ناشناخته"))</f>
        <v/>
      </c>
      <c r="E1849" s="15" t="n"/>
      <c r="F1849" s="14">
        <f>IF($B1849="","",IFERROR(INDEX(WageDates,MATCH($B1849,WageIds,0)),"—"))</f>
        <v/>
      </c>
      <c r="G1849" s="14">
        <f>IF($B1849="","",IFERROR(VLOOKUP(INDEX(WageParty,MATCH($B1849,WageIds,0)),WGTbl,2,0),"—"))</f>
        <v/>
      </c>
      <c r="H1849" s="12" t="n"/>
    </row>
    <row r="1850">
      <c r="A1850" s="19">
        <f>IF($B1850="","",COUNTA($B$9:$B1850))</f>
        <v/>
      </c>
      <c r="B1850" s="12" t="n"/>
      <c r="C1850" s="13" t="n"/>
      <c r="D1850" s="20">
        <f>IF($C1850="","",IFERROR(IF(VLOOKUP($C1850,AcctTblE,4,0)="","(بدون نام)",VLOOKUP($C1850,AcctTblE,4,0)),"کد ناشناخته"))</f>
        <v/>
      </c>
      <c r="E1850" s="15" t="n"/>
      <c r="F1850" s="20">
        <f>IF($B1850="","",IFERROR(INDEX(WageDates,MATCH($B1850,WageIds,0)),"—"))</f>
        <v/>
      </c>
      <c r="G1850" s="20">
        <f>IF($B1850="","",IFERROR(VLOOKUP(INDEX(WageParty,MATCH($B1850,WageIds,0)),WGTbl,2,0),"—"))</f>
        <v/>
      </c>
      <c r="H1850" s="12" t="n"/>
    </row>
    <row r="1851">
      <c r="A1851" s="10">
        <f>IF($B1851="","",COUNTA($B$9:$B1851))</f>
        <v/>
      </c>
      <c r="B1851" s="12" t="n"/>
      <c r="C1851" s="13" t="n"/>
      <c r="D1851" s="14">
        <f>IF($C1851="","",IFERROR(IF(VLOOKUP($C1851,AcctTblE,4,0)="","(بدون نام)",VLOOKUP($C1851,AcctTblE,4,0)),"کد ناشناخته"))</f>
        <v/>
      </c>
      <c r="E1851" s="15" t="n"/>
      <c r="F1851" s="14">
        <f>IF($B1851="","",IFERROR(INDEX(WageDates,MATCH($B1851,WageIds,0)),"—"))</f>
        <v/>
      </c>
      <c r="G1851" s="14">
        <f>IF($B1851="","",IFERROR(VLOOKUP(INDEX(WageParty,MATCH($B1851,WageIds,0)),WGTbl,2,0),"—"))</f>
        <v/>
      </c>
      <c r="H1851" s="12" t="n"/>
    </row>
    <row r="1852">
      <c r="A1852" s="19">
        <f>IF($B1852="","",COUNTA($B$9:$B1852))</f>
        <v/>
      </c>
      <c r="B1852" s="12" t="n"/>
      <c r="C1852" s="13" t="n"/>
      <c r="D1852" s="20">
        <f>IF($C1852="","",IFERROR(IF(VLOOKUP($C1852,AcctTblE,4,0)="","(بدون نام)",VLOOKUP($C1852,AcctTblE,4,0)),"کد ناشناخته"))</f>
        <v/>
      </c>
      <c r="E1852" s="15" t="n"/>
      <c r="F1852" s="20">
        <f>IF($B1852="","",IFERROR(INDEX(WageDates,MATCH($B1852,WageIds,0)),"—"))</f>
        <v/>
      </c>
      <c r="G1852" s="20">
        <f>IF($B1852="","",IFERROR(VLOOKUP(INDEX(WageParty,MATCH($B1852,WageIds,0)),WGTbl,2,0),"—"))</f>
        <v/>
      </c>
      <c r="H1852" s="12" t="n"/>
    </row>
    <row r="1853">
      <c r="A1853" s="10">
        <f>IF($B1853="","",COUNTA($B$9:$B1853))</f>
        <v/>
      </c>
      <c r="B1853" s="12" t="n"/>
      <c r="C1853" s="13" t="n"/>
      <c r="D1853" s="14">
        <f>IF($C1853="","",IFERROR(IF(VLOOKUP($C1853,AcctTblE,4,0)="","(بدون نام)",VLOOKUP($C1853,AcctTblE,4,0)),"کد ناشناخته"))</f>
        <v/>
      </c>
      <c r="E1853" s="15" t="n"/>
      <c r="F1853" s="14">
        <f>IF($B1853="","",IFERROR(INDEX(WageDates,MATCH($B1853,WageIds,0)),"—"))</f>
        <v/>
      </c>
      <c r="G1853" s="14">
        <f>IF($B1853="","",IFERROR(VLOOKUP(INDEX(WageParty,MATCH($B1853,WageIds,0)),WGTbl,2,0),"—"))</f>
        <v/>
      </c>
      <c r="H1853" s="12" t="n"/>
    </row>
    <row r="1854">
      <c r="A1854" s="19">
        <f>IF($B1854="","",COUNTA($B$9:$B1854))</f>
        <v/>
      </c>
      <c r="B1854" s="12" t="n"/>
      <c r="C1854" s="13" t="n"/>
      <c r="D1854" s="20">
        <f>IF($C1854="","",IFERROR(IF(VLOOKUP($C1854,AcctTblE,4,0)="","(بدون نام)",VLOOKUP($C1854,AcctTblE,4,0)),"کد ناشناخته"))</f>
        <v/>
      </c>
      <c r="E1854" s="15" t="n"/>
      <c r="F1854" s="20">
        <f>IF($B1854="","",IFERROR(INDEX(WageDates,MATCH($B1854,WageIds,0)),"—"))</f>
        <v/>
      </c>
      <c r="G1854" s="20">
        <f>IF($B1854="","",IFERROR(VLOOKUP(INDEX(WageParty,MATCH($B1854,WageIds,0)),WGTbl,2,0),"—"))</f>
        <v/>
      </c>
      <c r="H1854" s="12" t="n"/>
    </row>
    <row r="1855">
      <c r="A1855" s="10">
        <f>IF($B1855="","",COUNTA($B$9:$B1855))</f>
        <v/>
      </c>
      <c r="B1855" s="12" t="n"/>
      <c r="C1855" s="13" t="n"/>
      <c r="D1855" s="14">
        <f>IF($C1855="","",IFERROR(IF(VLOOKUP($C1855,AcctTblE,4,0)="","(بدون نام)",VLOOKUP($C1855,AcctTblE,4,0)),"کد ناشناخته"))</f>
        <v/>
      </c>
      <c r="E1855" s="15" t="n"/>
      <c r="F1855" s="14">
        <f>IF($B1855="","",IFERROR(INDEX(WageDates,MATCH($B1855,WageIds,0)),"—"))</f>
        <v/>
      </c>
      <c r="G1855" s="14">
        <f>IF($B1855="","",IFERROR(VLOOKUP(INDEX(WageParty,MATCH($B1855,WageIds,0)),WGTbl,2,0),"—"))</f>
        <v/>
      </c>
      <c r="H1855" s="12" t="n"/>
    </row>
    <row r="1856">
      <c r="A1856" s="19">
        <f>IF($B1856="","",COUNTA($B$9:$B1856))</f>
        <v/>
      </c>
      <c r="B1856" s="12" t="n"/>
      <c r="C1856" s="13" t="n"/>
      <c r="D1856" s="20">
        <f>IF($C1856="","",IFERROR(IF(VLOOKUP($C1856,AcctTblE,4,0)="","(بدون نام)",VLOOKUP($C1856,AcctTblE,4,0)),"کد ناشناخته"))</f>
        <v/>
      </c>
      <c r="E1856" s="15" t="n"/>
      <c r="F1856" s="20">
        <f>IF($B1856="","",IFERROR(INDEX(WageDates,MATCH($B1856,WageIds,0)),"—"))</f>
        <v/>
      </c>
      <c r="G1856" s="20">
        <f>IF($B1856="","",IFERROR(VLOOKUP(INDEX(WageParty,MATCH($B1856,WageIds,0)),WGTbl,2,0),"—"))</f>
        <v/>
      </c>
      <c r="H1856" s="12" t="n"/>
    </row>
    <row r="1857">
      <c r="A1857" s="10">
        <f>IF($B1857="","",COUNTA($B$9:$B1857))</f>
        <v/>
      </c>
      <c r="B1857" s="12" t="n"/>
      <c r="C1857" s="13" t="n"/>
      <c r="D1857" s="14">
        <f>IF($C1857="","",IFERROR(IF(VLOOKUP($C1857,AcctTblE,4,0)="","(بدون نام)",VLOOKUP($C1857,AcctTblE,4,0)),"کد ناشناخته"))</f>
        <v/>
      </c>
      <c r="E1857" s="15" t="n"/>
      <c r="F1857" s="14">
        <f>IF($B1857="","",IFERROR(INDEX(WageDates,MATCH($B1857,WageIds,0)),"—"))</f>
        <v/>
      </c>
      <c r="G1857" s="14">
        <f>IF($B1857="","",IFERROR(VLOOKUP(INDEX(WageParty,MATCH($B1857,WageIds,0)),WGTbl,2,0),"—"))</f>
        <v/>
      </c>
      <c r="H1857" s="12" t="n"/>
    </row>
    <row r="1858">
      <c r="A1858" s="19">
        <f>IF($B1858="","",COUNTA($B$9:$B1858))</f>
        <v/>
      </c>
      <c r="B1858" s="12" t="n"/>
      <c r="C1858" s="13" t="n"/>
      <c r="D1858" s="20">
        <f>IF($C1858="","",IFERROR(IF(VLOOKUP($C1858,AcctTblE,4,0)="","(بدون نام)",VLOOKUP($C1858,AcctTblE,4,0)),"کد ناشناخته"))</f>
        <v/>
      </c>
      <c r="E1858" s="15" t="n"/>
      <c r="F1858" s="20">
        <f>IF($B1858="","",IFERROR(INDEX(WageDates,MATCH($B1858,WageIds,0)),"—"))</f>
        <v/>
      </c>
      <c r="G1858" s="20">
        <f>IF($B1858="","",IFERROR(VLOOKUP(INDEX(WageParty,MATCH($B1858,WageIds,0)),WGTbl,2,0),"—"))</f>
        <v/>
      </c>
      <c r="H1858" s="12" t="n"/>
    </row>
    <row r="1859">
      <c r="A1859" s="10">
        <f>IF($B1859="","",COUNTA($B$9:$B1859))</f>
        <v/>
      </c>
      <c r="B1859" s="12" t="n"/>
      <c r="C1859" s="13" t="n"/>
      <c r="D1859" s="14">
        <f>IF($C1859="","",IFERROR(IF(VLOOKUP($C1859,AcctTblE,4,0)="","(بدون نام)",VLOOKUP($C1859,AcctTblE,4,0)),"کد ناشناخته"))</f>
        <v/>
      </c>
      <c r="E1859" s="15" t="n"/>
      <c r="F1859" s="14">
        <f>IF($B1859="","",IFERROR(INDEX(WageDates,MATCH($B1859,WageIds,0)),"—"))</f>
        <v/>
      </c>
      <c r="G1859" s="14">
        <f>IF($B1859="","",IFERROR(VLOOKUP(INDEX(WageParty,MATCH($B1859,WageIds,0)),WGTbl,2,0),"—"))</f>
        <v/>
      </c>
      <c r="H1859" s="12" t="n"/>
    </row>
    <row r="1860">
      <c r="A1860" s="19">
        <f>IF($B1860="","",COUNTA($B$9:$B1860))</f>
        <v/>
      </c>
      <c r="B1860" s="12" t="n"/>
      <c r="C1860" s="13" t="n"/>
      <c r="D1860" s="20">
        <f>IF($C1860="","",IFERROR(IF(VLOOKUP($C1860,AcctTblE,4,0)="","(بدون نام)",VLOOKUP($C1860,AcctTblE,4,0)),"کد ناشناخته"))</f>
        <v/>
      </c>
      <c r="E1860" s="15" t="n"/>
      <c r="F1860" s="20">
        <f>IF($B1860="","",IFERROR(INDEX(WageDates,MATCH($B1860,WageIds,0)),"—"))</f>
        <v/>
      </c>
      <c r="G1860" s="20">
        <f>IF($B1860="","",IFERROR(VLOOKUP(INDEX(WageParty,MATCH($B1860,WageIds,0)),WGTbl,2,0),"—"))</f>
        <v/>
      </c>
      <c r="H1860" s="12" t="n"/>
    </row>
    <row r="1861">
      <c r="A1861" s="10">
        <f>IF($B1861="","",COUNTA($B$9:$B1861))</f>
        <v/>
      </c>
      <c r="B1861" s="12" t="n"/>
      <c r="C1861" s="13" t="n"/>
      <c r="D1861" s="14">
        <f>IF($C1861="","",IFERROR(IF(VLOOKUP($C1861,AcctTblE,4,0)="","(بدون نام)",VLOOKUP($C1861,AcctTblE,4,0)),"کد ناشناخته"))</f>
        <v/>
      </c>
      <c r="E1861" s="15" t="n"/>
      <c r="F1861" s="14">
        <f>IF($B1861="","",IFERROR(INDEX(WageDates,MATCH($B1861,WageIds,0)),"—"))</f>
        <v/>
      </c>
      <c r="G1861" s="14">
        <f>IF($B1861="","",IFERROR(VLOOKUP(INDEX(WageParty,MATCH($B1861,WageIds,0)),WGTbl,2,0),"—"))</f>
        <v/>
      </c>
      <c r="H1861" s="12" t="n"/>
    </row>
    <row r="1862">
      <c r="A1862" s="19">
        <f>IF($B1862="","",COUNTA($B$9:$B1862))</f>
        <v/>
      </c>
      <c r="B1862" s="12" t="n"/>
      <c r="C1862" s="13" t="n"/>
      <c r="D1862" s="20">
        <f>IF($C1862="","",IFERROR(IF(VLOOKUP($C1862,AcctTblE,4,0)="","(بدون نام)",VLOOKUP($C1862,AcctTblE,4,0)),"کد ناشناخته"))</f>
        <v/>
      </c>
      <c r="E1862" s="15" t="n"/>
      <c r="F1862" s="20">
        <f>IF($B1862="","",IFERROR(INDEX(WageDates,MATCH($B1862,WageIds,0)),"—"))</f>
        <v/>
      </c>
      <c r="G1862" s="20">
        <f>IF($B1862="","",IFERROR(VLOOKUP(INDEX(WageParty,MATCH($B1862,WageIds,0)),WGTbl,2,0),"—"))</f>
        <v/>
      </c>
      <c r="H1862" s="12" t="n"/>
    </row>
    <row r="1863">
      <c r="A1863" s="10">
        <f>IF($B1863="","",COUNTA($B$9:$B1863))</f>
        <v/>
      </c>
      <c r="B1863" s="12" t="n"/>
      <c r="C1863" s="13" t="n"/>
      <c r="D1863" s="14">
        <f>IF($C1863="","",IFERROR(IF(VLOOKUP($C1863,AcctTblE,4,0)="","(بدون نام)",VLOOKUP($C1863,AcctTblE,4,0)),"کد ناشناخته"))</f>
        <v/>
      </c>
      <c r="E1863" s="15" t="n"/>
      <c r="F1863" s="14">
        <f>IF($B1863="","",IFERROR(INDEX(WageDates,MATCH($B1863,WageIds,0)),"—"))</f>
        <v/>
      </c>
      <c r="G1863" s="14">
        <f>IF($B1863="","",IFERROR(VLOOKUP(INDEX(WageParty,MATCH($B1863,WageIds,0)),WGTbl,2,0),"—"))</f>
        <v/>
      </c>
      <c r="H1863" s="12" t="n"/>
    </row>
    <row r="1864">
      <c r="A1864" s="19">
        <f>IF($B1864="","",COUNTA($B$9:$B1864))</f>
        <v/>
      </c>
      <c r="B1864" s="12" t="n"/>
      <c r="C1864" s="13" t="n"/>
      <c r="D1864" s="20">
        <f>IF($C1864="","",IFERROR(IF(VLOOKUP($C1864,AcctTblE,4,0)="","(بدون نام)",VLOOKUP($C1864,AcctTblE,4,0)),"کد ناشناخته"))</f>
        <v/>
      </c>
      <c r="E1864" s="15" t="n"/>
      <c r="F1864" s="20">
        <f>IF($B1864="","",IFERROR(INDEX(WageDates,MATCH($B1864,WageIds,0)),"—"))</f>
        <v/>
      </c>
      <c r="G1864" s="20">
        <f>IF($B1864="","",IFERROR(VLOOKUP(INDEX(WageParty,MATCH($B1864,WageIds,0)),WGTbl,2,0),"—"))</f>
        <v/>
      </c>
      <c r="H1864" s="12" t="n"/>
    </row>
    <row r="1865">
      <c r="A1865" s="10">
        <f>IF($B1865="","",COUNTA($B$9:$B1865))</f>
        <v/>
      </c>
      <c r="B1865" s="12" t="n"/>
      <c r="C1865" s="13" t="n"/>
      <c r="D1865" s="14">
        <f>IF($C1865="","",IFERROR(IF(VLOOKUP($C1865,AcctTblE,4,0)="","(بدون نام)",VLOOKUP($C1865,AcctTblE,4,0)),"کد ناشناخته"))</f>
        <v/>
      </c>
      <c r="E1865" s="15" t="n"/>
      <c r="F1865" s="14">
        <f>IF($B1865="","",IFERROR(INDEX(WageDates,MATCH($B1865,WageIds,0)),"—"))</f>
        <v/>
      </c>
      <c r="G1865" s="14">
        <f>IF($B1865="","",IFERROR(VLOOKUP(INDEX(WageParty,MATCH($B1865,WageIds,0)),WGTbl,2,0),"—"))</f>
        <v/>
      </c>
      <c r="H1865" s="12" t="n"/>
    </row>
    <row r="1866">
      <c r="A1866" s="19">
        <f>IF($B1866="","",COUNTA($B$9:$B1866))</f>
        <v/>
      </c>
      <c r="B1866" s="12" t="n"/>
      <c r="C1866" s="13" t="n"/>
      <c r="D1866" s="20">
        <f>IF($C1866="","",IFERROR(IF(VLOOKUP($C1866,AcctTblE,4,0)="","(بدون نام)",VLOOKUP($C1866,AcctTblE,4,0)),"کد ناشناخته"))</f>
        <v/>
      </c>
      <c r="E1866" s="15" t="n"/>
      <c r="F1866" s="20">
        <f>IF($B1866="","",IFERROR(INDEX(WageDates,MATCH($B1866,WageIds,0)),"—"))</f>
        <v/>
      </c>
      <c r="G1866" s="20">
        <f>IF($B1866="","",IFERROR(VLOOKUP(INDEX(WageParty,MATCH($B1866,WageIds,0)),WGTbl,2,0),"—"))</f>
        <v/>
      </c>
      <c r="H1866" s="12" t="n"/>
    </row>
    <row r="1867">
      <c r="A1867" s="10">
        <f>IF($B1867="","",COUNTA($B$9:$B1867))</f>
        <v/>
      </c>
      <c r="B1867" s="12" t="n"/>
      <c r="C1867" s="13" t="n"/>
      <c r="D1867" s="14">
        <f>IF($C1867="","",IFERROR(IF(VLOOKUP($C1867,AcctTblE,4,0)="","(بدون نام)",VLOOKUP($C1867,AcctTblE,4,0)),"کد ناشناخته"))</f>
        <v/>
      </c>
      <c r="E1867" s="15" t="n"/>
      <c r="F1867" s="14">
        <f>IF($B1867="","",IFERROR(INDEX(WageDates,MATCH($B1867,WageIds,0)),"—"))</f>
        <v/>
      </c>
      <c r="G1867" s="14">
        <f>IF($B1867="","",IFERROR(VLOOKUP(INDEX(WageParty,MATCH($B1867,WageIds,0)),WGTbl,2,0),"—"))</f>
        <v/>
      </c>
      <c r="H1867" s="12" t="n"/>
    </row>
    <row r="1868">
      <c r="A1868" s="19">
        <f>IF($B1868="","",COUNTA($B$9:$B1868))</f>
        <v/>
      </c>
      <c r="B1868" s="12" t="n"/>
      <c r="C1868" s="13" t="n"/>
      <c r="D1868" s="20">
        <f>IF($C1868="","",IFERROR(IF(VLOOKUP($C1868,AcctTblE,4,0)="","(بدون نام)",VLOOKUP($C1868,AcctTblE,4,0)),"کد ناشناخته"))</f>
        <v/>
      </c>
      <c r="E1868" s="15" t="n"/>
      <c r="F1868" s="20">
        <f>IF($B1868="","",IFERROR(INDEX(WageDates,MATCH($B1868,WageIds,0)),"—"))</f>
        <v/>
      </c>
      <c r="G1868" s="20">
        <f>IF($B1868="","",IFERROR(VLOOKUP(INDEX(WageParty,MATCH($B1868,WageIds,0)),WGTbl,2,0),"—"))</f>
        <v/>
      </c>
      <c r="H1868" s="12" t="n"/>
    </row>
    <row r="1869">
      <c r="A1869" s="10">
        <f>IF($B1869="","",COUNTA($B$9:$B1869))</f>
        <v/>
      </c>
      <c r="B1869" s="12" t="n"/>
      <c r="C1869" s="13" t="n"/>
      <c r="D1869" s="14">
        <f>IF($C1869="","",IFERROR(IF(VLOOKUP($C1869,AcctTblE,4,0)="","(بدون نام)",VLOOKUP($C1869,AcctTblE,4,0)),"کد ناشناخته"))</f>
        <v/>
      </c>
      <c r="E1869" s="15" t="n"/>
      <c r="F1869" s="14">
        <f>IF($B1869="","",IFERROR(INDEX(WageDates,MATCH($B1869,WageIds,0)),"—"))</f>
        <v/>
      </c>
      <c r="G1869" s="14">
        <f>IF($B1869="","",IFERROR(VLOOKUP(INDEX(WageParty,MATCH($B1869,WageIds,0)),WGTbl,2,0),"—"))</f>
        <v/>
      </c>
      <c r="H1869" s="12" t="n"/>
    </row>
    <row r="1870">
      <c r="A1870" s="19">
        <f>IF($B1870="","",COUNTA($B$9:$B1870))</f>
        <v/>
      </c>
      <c r="B1870" s="12" t="n"/>
      <c r="C1870" s="13" t="n"/>
      <c r="D1870" s="20">
        <f>IF($C1870="","",IFERROR(IF(VLOOKUP($C1870,AcctTblE,4,0)="","(بدون نام)",VLOOKUP($C1870,AcctTblE,4,0)),"کد ناشناخته"))</f>
        <v/>
      </c>
      <c r="E1870" s="15" t="n"/>
      <c r="F1870" s="20">
        <f>IF($B1870="","",IFERROR(INDEX(WageDates,MATCH($B1870,WageIds,0)),"—"))</f>
        <v/>
      </c>
      <c r="G1870" s="20">
        <f>IF($B1870="","",IFERROR(VLOOKUP(INDEX(WageParty,MATCH($B1870,WageIds,0)),WGTbl,2,0),"—"))</f>
        <v/>
      </c>
      <c r="H1870" s="12" t="n"/>
    </row>
    <row r="1871">
      <c r="A1871" s="10">
        <f>IF($B1871="","",COUNTA($B$9:$B1871))</f>
        <v/>
      </c>
      <c r="B1871" s="12" t="n"/>
      <c r="C1871" s="13" t="n"/>
      <c r="D1871" s="14">
        <f>IF($C1871="","",IFERROR(IF(VLOOKUP($C1871,AcctTblE,4,0)="","(بدون نام)",VLOOKUP($C1871,AcctTblE,4,0)),"کد ناشناخته"))</f>
        <v/>
      </c>
      <c r="E1871" s="15" t="n"/>
      <c r="F1871" s="14">
        <f>IF($B1871="","",IFERROR(INDEX(WageDates,MATCH($B1871,WageIds,0)),"—"))</f>
        <v/>
      </c>
      <c r="G1871" s="14">
        <f>IF($B1871="","",IFERROR(VLOOKUP(INDEX(WageParty,MATCH($B1871,WageIds,0)),WGTbl,2,0),"—"))</f>
        <v/>
      </c>
      <c r="H1871" s="12" t="n"/>
    </row>
    <row r="1872">
      <c r="A1872" s="19">
        <f>IF($B1872="","",COUNTA($B$9:$B1872))</f>
        <v/>
      </c>
      <c r="B1872" s="12" t="n"/>
      <c r="C1872" s="13" t="n"/>
      <c r="D1872" s="20">
        <f>IF($C1872="","",IFERROR(IF(VLOOKUP($C1872,AcctTblE,4,0)="","(بدون نام)",VLOOKUP($C1872,AcctTblE,4,0)),"کد ناشناخته"))</f>
        <v/>
      </c>
      <c r="E1872" s="15" t="n"/>
      <c r="F1872" s="20">
        <f>IF($B1872="","",IFERROR(INDEX(WageDates,MATCH($B1872,WageIds,0)),"—"))</f>
        <v/>
      </c>
      <c r="G1872" s="20">
        <f>IF($B1872="","",IFERROR(VLOOKUP(INDEX(WageParty,MATCH($B1872,WageIds,0)),WGTbl,2,0),"—"))</f>
        <v/>
      </c>
      <c r="H1872" s="12" t="n"/>
    </row>
    <row r="1873">
      <c r="A1873" s="10">
        <f>IF($B1873="","",COUNTA($B$9:$B1873))</f>
        <v/>
      </c>
      <c r="B1873" s="12" t="n"/>
      <c r="C1873" s="13" t="n"/>
      <c r="D1873" s="14">
        <f>IF($C1873="","",IFERROR(IF(VLOOKUP($C1873,AcctTblE,4,0)="","(بدون نام)",VLOOKUP($C1873,AcctTblE,4,0)),"کد ناشناخته"))</f>
        <v/>
      </c>
      <c r="E1873" s="15" t="n"/>
      <c r="F1873" s="14">
        <f>IF($B1873="","",IFERROR(INDEX(WageDates,MATCH($B1873,WageIds,0)),"—"))</f>
        <v/>
      </c>
      <c r="G1873" s="14">
        <f>IF($B1873="","",IFERROR(VLOOKUP(INDEX(WageParty,MATCH($B1873,WageIds,0)),WGTbl,2,0),"—"))</f>
        <v/>
      </c>
      <c r="H1873" s="12" t="n"/>
    </row>
    <row r="1874">
      <c r="A1874" s="19">
        <f>IF($B1874="","",COUNTA($B$9:$B1874))</f>
        <v/>
      </c>
      <c r="B1874" s="12" t="n"/>
      <c r="C1874" s="13" t="n"/>
      <c r="D1874" s="20">
        <f>IF($C1874="","",IFERROR(IF(VLOOKUP($C1874,AcctTblE,4,0)="","(بدون نام)",VLOOKUP($C1874,AcctTblE,4,0)),"کد ناشناخته"))</f>
        <v/>
      </c>
      <c r="E1874" s="15" t="n"/>
      <c r="F1874" s="20">
        <f>IF($B1874="","",IFERROR(INDEX(WageDates,MATCH($B1874,WageIds,0)),"—"))</f>
        <v/>
      </c>
      <c r="G1874" s="20">
        <f>IF($B1874="","",IFERROR(VLOOKUP(INDEX(WageParty,MATCH($B1874,WageIds,0)),WGTbl,2,0),"—"))</f>
        <v/>
      </c>
      <c r="H1874" s="12" t="n"/>
    </row>
    <row r="1875">
      <c r="A1875" s="10">
        <f>IF($B1875="","",COUNTA($B$9:$B1875))</f>
        <v/>
      </c>
      <c r="B1875" s="12" t="n"/>
      <c r="C1875" s="13" t="n"/>
      <c r="D1875" s="14">
        <f>IF($C1875="","",IFERROR(IF(VLOOKUP($C1875,AcctTblE,4,0)="","(بدون نام)",VLOOKUP($C1875,AcctTblE,4,0)),"کد ناشناخته"))</f>
        <v/>
      </c>
      <c r="E1875" s="15" t="n"/>
      <c r="F1875" s="14">
        <f>IF($B1875="","",IFERROR(INDEX(WageDates,MATCH($B1875,WageIds,0)),"—"))</f>
        <v/>
      </c>
      <c r="G1875" s="14">
        <f>IF($B1875="","",IFERROR(VLOOKUP(INDEX(WageParty,MATCH($B1875,WageIds,0)),WGTbl,2,0),"—"))</f>
        <v/>
      </c>
      <c r="H1875" s="12" t="n"/>
    </row>
    <row r="1876">
      <c r="A1876" s="19">
        <f>IF($B1876="","",COUNTA($B$9:$B1876))</f>
        <v/>
      </c>
      <c r="B1876" s="12" t="n"/>
      <c r="C1876" s="13" t="n"/>
      <c r="D1876" s="20">
        <f>IF($C1876="","",IFERROR(IF(VLOOKUP($C1876,AcctTblE,4,0)="","(بدون نام)",VLOOKUP($C1876,AcctTblE,4,0)),"کد ناشناخته"))</f>
        <v/>
      </c>
      <c r="E1876" s="15" t="n"/>
      <c r="F1876" s="20">
        <f>IF($B1876="","",IFERROR(INDEX(WageDates,MATCH($B1876,WageIds,0)),"—"))</f>
        <v/>
      </c>
      <c r="G1876" s="20">
        <f>IF($B1876="","",IFERROR(VLOOKUP(INDEX(WageParty,MATCH($B1876,WageIds,0)),WGTbl,2,0),"—"))</f>
        <v/>
      </c>
      <c r="H1876" s="12" t="n"/>
    </row>
    <row r="1877">
      <c r="A1877" s="10">
        <f>IF($B1877="","",COUNTA($B$9:$B1877))</f>
        <v/>
      </c>
      <c r="B1877" s="12" t="n"/>
      <c r="C1877" s="13" t="n"/>
      <c r="D1877" s="14">
        <f>IF($C1877="","",IFERROR(IF(VLOOKUP($C1877,AcctTblE,4,0)="","(بدون نام)",VLOOKUP($C1877,AcctTblE,4,0)),"کد ناشناخته"))</f>
        <v/>
      </c>
      <c r="E1877" s="15" t="n"/>
      <c r="F1877" s="14">
        <f>IF($B1877="","",IFERROR(INDEX(WageDates,MATCH($B1877,WageIds,0)),"—"))</f>
        <v/>
      </c>
      <c r="G1877" s="14">
        <f>IF($B1877="","",IFERROR(VLOOKUP(INDEX(WageParty,MATCH($B1877,WageIds,0)),WGTbl,2,0),"—"))</f>
        <v/>
      </c>
      <c r="H1877" s="12" t="n"/>
    </row>
    <row r="1878">
      <c r="A1878" s="19">
        <f>IF($B1878="","",COUNTA($B$9:$B1878))</f>
        <v/>
      </c>
      <c r="B1878" s="12" t="n"/>
      <c r="C1878" s="13" t="n"/>
      <c r="D1878" s="20">
        <f>IF($C1878="","",IFERROR(IF(VLOOKUP($C1878,AcctTblE,4,0)="","(بدون نام)",VLOOKUP($C1878,AcctTblE,4,0)),"کد ناشناخته"))</f>
        <v/>
      </c>
      <c r="E1878" s="15" t="n"/>
      <c r="F1878" s="20">
        <f>IF($B1878="","",IFERROR(INDEX(WageDates,MATCH($B1878,WageIds,0)),"—"))</f>
        <v/>
      </c>
      <c r="G1878" s="20">
        <f>IF($B1878="","",IFERROR(VLOOKUP(INDEX(WageParty,MATCH($B1878,WageIds,0)),WGTbl,2,0),"—"))</f>
        <v/>
      </c>
      <c r="H1878" s="12" t="n"/>
    </row>
    <row r="1879">
      <c r="A1879" s="10">
        <f>IF($B1879="","",COUNTA($B$9:$B1879))</f>
        <v/>
      </c>
      <c r="B1879" s="12" t="n"/>
      <c r="C1879" s="13" t="n"/>
      <c r="D1879" s="14">
        <f>IF($C1879="","",IFERROR(IF(VLOOKUP($C1879,AcctTblE,4,0)="","(بدون نام)",VLOOKUP($C1879,AcctTblE,4,0)),"کد ناشناخته"))</f>
        <v/>
      </c>
      <c r="E1879" s="15" t="n"/>
      <c r="F1879" s="14">
        <f>IF($B1879="","",IFERROR(INDEX(WageDates,MATCH($B1879,WageIds,0)),"—"))</f>
        <v/>
      </c>
      <c r="G1879" s="14">
        <f>IF($B1879="","",IFERROR(VLOOKUP(INDEX(WageParty,MATCH($B1879,WageIds,0)),WGTbl,2,0),"—"))</f>
        <v/>
      </c>
      <c r="H1879" s="12" t="n"/>
    </row>
    <row r="1880">
      <c r="A1880" s="19">
        <f>IF($B1880="","",COUNTA($B$9:$B1880))</f>
        <v/>
      </c>
      <c r="B1880" s="12" t="n"/>
      <c r="C1880" s="13" t="n"/>
      <c r="D1880" s="20">
        <f>IF($C1880="","",IFERROR(IF(VLOOKUP($C1880,AcctTblE,4,0)="","(بدون نام)",VLOOKUP($C1880,AcctTblE,4,0)),"کد ناشناخته"))</f>
        <v/>
      </c>
      <c r="E1880" s="15" t="n"/>
      <c r="F1880" s="20">
        <f>IF($B1880="","",IFERROR(INDEX(WageDates,MATCH($B1880,WageIds,0)),"—"))</f>
        <v/>
      </c>
      <c r="G1880" s="20">
        <f>IF($B1880="","",IFERROR(VLOOKUP(INDEX(WageParty,MATCH($B1880,WageIds,0)),WGTbl,2,0),"—"))</f>
        <v/>
      </c>
      <c r="H1880" s="12" t="n"/>
    </row>
    <row r="1881">
      <c r="A1881" s="10">
        <f>IF($B1881="","",COUNTA($B$9:$B1881))</f>
        <v/>
      </c>
      <c r="B1881" s="12" t="n"/>
      <c r="C1881" s="13" t="n"/>
      <c r="D1881" s="14">
        <f>IF($C1881="","",IFERROR(IF(VLOOKUP($C1881,AcctTblE,4,0)="","(بدون نام)",VLOOKUP($C1881,AcctTblE,4,0)),"کد ناشناخته"))</f>
        <v/>
      </c>
      <c r="E1881" s="15" t="n"/>
      <c r="F1881" s="14">
        <f>IF($B1881="","",IFERROR(INDEX(WageDates,MATCH($B1881,WageIds,0)),"—"))</f>
        <v/>
      </c>
      <c r="G1881" s="14">
        <f>IF($B1881="","",IFERROR(VLOOKUP(INDEX(WageParty,MATCH($B1881,WageIds,0)),WGTbl,2,0),"—"))</f>
        <v/>
      </c>
      <c r="H1881" s="12" t="n"/>
    </row>
    <row r="1882">
      <c r="A1882" s="19">
        <f>IF($B1882="","",COUNTA($B$9:$B1882))</f>
        <v/>
      </c>
      <c r="B1882" s="12" t="n"/>
      <c r="C1882" s="13" t="n"/>
      <c r="D1882" s="20">
        <f>IF($C1882="","",IFERROR(IF(VLOOKUP($C1882,AcctTblE,4,0)="","(بدون نام)",VLOOKUP($C1882,AcctTblE,4,0)),"کد ناشناخته"))</f>
        <v/>
      </c>
      <c r="E1882" s="15" t="n"/>
      <c r="F1882" s="20">
        <f>IF($B1882="","",IFERROR(INDEX(WageDates,MATCH($B1882,WageIds,0)),"—"))</f>
        <v/>
      </c>
      <c r="G1882" s="20">
        <f>IF($B1882="","",IFERROR(VLOOKUP(INDEX(WageParty,MATCH($B1882,WageIds,0)),WGTbl,2,0),"—"))</f>
        <v/>
      </c>
      <c r="H1882" s="12" t="n"/>
    </row>
    <row r="1883">
      <c r="A1883" s="10">
        <f>IF($B1883="","",COUNTA($B$9:$B1883))</f>
        <v/>
      </c>
      <c r="B1883" s="12" t="n"/>
      <c r="C1883" s="13" t="n"/>
      <c r="D1883" s="14">
        <f>IF($C1883="","",IFERROR(IF(VLOOKUP($C1883,AcctTblE,4,0)="","(بدون نام)",VLOOKUP($C1883,AcctTblE,4,0)),"کد ناشناخته"))</f>
        <v/>
      </c>
      <c r="E1883" s="15" t="n"/>
      <c r="F1883" s="14">
        <f>IF($B1883="","",IFERROR(INDEX(WageDates,MATCH($B1883,WageIds,0)),"—"))</f>
        <v/>
      </c>
      <c r="G1883" s="14">
        <f>IF($B1883="","",IFERROR(VLOOKUP(INDEX(WageParty,MATCH($B1883,WageIds,0)),WGTbl,2,0),"—"))</f>
        <v/>
      </c>
      <c r="H1883" s="12" t="n"/>
    </row>
    <row r="1884">
      <c r="A1884" s="19">
        <f>IF($B1884="","",COUNTA($B$9:$B1884))</f>
        <v/>
      </c>
      <c r="B1884" s="12" t="n"/>
      <c r="C1884" s="13" t="n"/>
      <c r="D1884" s="20">
        <f>IF($C1884="","",IFERROR(IF(VLOOKUP($C1884,AcctTblE,4,0)="","(بدون نام)",VLOOKUP($C1884,AcctTblE,4,0)),"کد ناشناخته"))</f>
        <v/>
      </c>
      <c r="E1884" s="15" t="n"/>
      <c r="F1884" s="20">
        <f>IF($B1884="","",IFERROR(INDEX(WageDates,MATCH($B1884,WageIds,0)),"—"))</f>
        <v/>
      </c>
      <c r="G1884" s="20">
        <f>IF($B1884="","",IFERROR(VLOOKUP(INDEX(WageParty,MATCH($B1884,WageIds,0)),WGTbl,2,0),"—"))</f>
        <v/>
      </c>
      <c r="H1884" s="12" t="n"/>
    </row>
    <row r="1885">
      <c r="A1885" s="10">
        <f>IF($B1885="","",COUNTA($B$9:$B1885))</f>
        <v/>
      </c>
      <c r="B1885" s="12" t="n"/>
      <c r="C1885" s="13" t="n"/>
      <c r="D1885" s="14">
        <f>IF($C1885="","",IFERROR(IF(VLOOKUP($C1885,AcctTblE,4,0)="","(بدون نام)",VLOOKUP($C1885,AcctTblE,4,0)),"کد ناشناخته"))</f>
        <v/>
      </c>
      <c r="E1885" s="15" t="n"/>
      <c r="F1885" s="14">
        <f>IF($B1885="","",IFERROR(INDEX(WageDates,MATCH($B1885,WageIds,0)),"—"))</f>
        <v/>
      </c>
      <c r="G1885" s="14">
        <f>IF($B1885="","",IFERROR(VLOOKUP(INDEX(WageParty,MATCH($B1885,WageIds,0)),WGTbl,2,0),"—"))</f>
        <v/>
      </c>
      <c r="H1885" s="12" t="n"/>
    </row>
    <row r="1886">
      <c r="A1886" s="19">
        <f>IF($B1886="","",COUNTA($B$9:$B1886))</f>
        <v/>
      </c>
      <c r="B1886" s="12" t="n"/>
      <c r="C1886" s="13" t="n"/>
      <c r="D1886" s="20">
        <f>IF($C1886="","",IFERROR(IF(VLOOKUP($C1886,AcctTblE,4,0)="","(بدون نام)",VLOOKUP($C1886,AcctTblE,4,0)),"کد ناشناخته"))</f>
        <v/>
      </c>
      <c r="E1886" s="15" t="n"/>
      <c r="F1886" s="20">
        <f>IF($B1886="","",IFERROR(INDEX(WageDates,MATCH($B1886,WageIds,0)),"—"))</f>
        <v/>
      </c>
      <c r="G1886" s="20">
        <f>IF($B1886="","",IFERROR(VLOOKUP(INDEX(WageParty,MATCH($B1886,WageIds,0)),WGTbl,2,0),"—"))</f>
        <v/>
      </c>
      <c r="H1886" s="12" t="n"/>
    </row>
    <row r="1887">
      <c r="A1887" s="10">
        <f>IF($B1887="","",COUNTA($B$9:$B1887))</f>
        <v/>
      </c>
      <c r="B1887" s="12" t="n"/>
      <c r="C1887" s="13" t="n"/>
      <c r="D1887" s="14">
        <f>IF($C1887="","",IFERROR(IF(VLOOKUP($C1887,AcctTblE,4,0)="","(بدون نام)",VLOOKUP($C1887,AcctTblE,4,0)),"کد ناشناخته"))</f>
        <v/>
      </c>
      <c r="E1887" s="15" t="n"/>
      <c r="F1887" s="14">
        <f>IF($B1887="","",IFERROR(INDEX(WageDates,MATCH($B1887,WageIds,0)),"—"))</f>
        <v/>
      </c>
      <c r="G1887" s="14">
        <f>IF($B1887="","",IFERROR(VLOOKUP(INDEX(WageParty,MATCH($B1887,WageIds,0)),WGTbl,2,0),"—"))</f>
        <v/>
      </c>
      <c r="H1887" s="12" t="n"/>
    </row>
    <row r="1888">
      <c r="A1888" s="19">
        <f>IF($B1888="","",COUNTA($B$9:$B1888))</f>
        <v/>
      </c>
      <c r="B1888" s="12" t="n"/>
      <c r="C1888" s="13" t="n"/>
      <c r="D1888" s="20">
        <f>IF($C1888="","",IFERROR(IF(VLOOKUP($C1888,AcctTblE,4,0)="","(بدون نام)",VLOOKUP($C1888,AcctTblE,4,0)),"کد ناشناخته"))</f>
        <v/>
      </c>
      <c r="E1888" s="15" t="n"/>
      <c r="F1888" s="20">
        <f>IF($B1888="","",IFERROR(INDEX(WageDates,MATCH($B1888,WageIds,0)),"—"))</f>
        <v/>
      </c>
      <c r="G1888" s="20">
        <f>IF($B1888="","",IFERROR(VLOOKUP(INDEX(WageParty,MATCH($B1888,WageIds,0)),WGTbl,2,0),"—"))</f>
        <v/>
      </c>
      <c r="H1888" s="12" t="n"/>
    </row>
    <row r="1889">
      <c r="A1889" s="10">
        <f>IF($B1889="","",COUNTA($B$9:$B1889))</f>
        <v/>
      </c>
      <c r="B1889" s="12" t="n"/>
      <c r="C1889" s="13" t="n"/>
      <c r="D1889" s="14">
        <f>IF($C1889="","",IFERROR(IF(VLOOKUP($C1889,AcctTblE,4,0)="","(بدون نام)",VLOOKUP($C1889,AcctTblE,4,0)),"کد ناشناخته"))</f>
        <v/>
      </c>
      <c r="E1889" s="15" t="n"/>
      <c r="F1889" s="14">
        <f>IF($B1889="","",IFERROR(INDEX(WageDates,MATCH($B1889,WageIds,0)),"—"))</f>
        <v/>
      </c>
      <c r="G1889" s="14">
        <f>IF($B1889="","",IFERROR(VLOOKUP(INDEX(WageParty,MATCH($B1889,WageIds,0)),WGTbl,2,0),"—"))</f>
        <v/>
      </c>
      <c r="H1889" s="12" t="n"/>
    </row>
    <row r="1890">
      <c r="A1890" s="19">
        <f>IF($B1890="","",COUNTA($B$9:$B1890))</f>
        <v/>
      </c>
      <c r="B1890" s="12" t="n"/>
      <c r="C1890" s="13" t="n"/>
      <c r="D1890" s="20">
        <f>IF($C1890="","",IFERROR(IF(VLOOKUP($C1890,AcctTblE,4,0)="","(بدون نام)",VLOOKUP($C1890,AcctTblE,4,0)),"کد ناشناخته"))</f>
        <v/>
      </c>
      <c r="E1890" s="15" t="n"/>
      <c r="F1890" s="20">
        <f>IF($B1890="","",IFERROR(INDEX(WageDates,MATCH($B1890,WageIds,0)),"—"))</f>
        <v/>
      </c>
      <c r="G1890" s="20">
        <f>IF($B1890="","",IFERROR(VLOOKUP(INDEX(WageParty,MATCH($B1890,WageIds,0)),WGTbl,2,0),"—"))</f>
        <v/>
      </c>
      <c r="H1890" s="12" t="n"/>
    </row>
    <row r="1891">
      <c r="A1891" s="10">
        <f>IF($B1891="","",COUNTA($B$9:$B1891))</f>
        <v/>
      </c>
      <c r="B1891" s="12" t="n"/>
      <c r="C1891" s="13" t="n"/>
      <c r="D1891" s="14">
        <f>IF($C1891="","",IFERROR(IF(VLOOKUP($C1891,AcctTblE,4,0)="","(بدون نام)",VLOOKUP($C1891,AcctTblE,4,0)),"کد ناشناخته"))</f>
        <v/>
      </c>
      <c r="E1891" s="15" t="n"/>
      <c r="F1891" s="14">
        <f>IF($B1891="","",IFERROR(INDEX(WageDates,MATCH($B1891,WageIds,0)),"—"))</f>
        <v/>
      </c>
      <c r="G1891" s="14">
        <f>IF($B1891="","",IFERROR(VLOOKUP(INDEX(WageParty,MATCH($B1891,WageIds,0)),WGTbl,2,0),"—"))</f>
        <v/>
      </c>
      <c r="H1891" s="12" t="n"/>
    </row>
    <row r="1892">
      <c r="A1892" s="19">
        <f>IF($B1892="","",COUNTA($B$9:$B1892))</f>
        <v/>
      </c>
      <c r="B1892" s="12" t="n"/>
      <c r="C1892" s="13" t="n"/>
      <c r="D1892" s="20">
        <f>IF($C1892="","",IFERROR(IF(VLOOKUP($C1892,AcctTblE,4,0)="","(بدون نام)",VLOOKUP($C1892,AcctTblE,4,0)),"کد ناشناخته"))</f>
        <v/>
      </c>
      <c r="E1892" s="15" t="n"/>
      <c r="F1892" s="20">
        <f>IF($B1892="","",IFERROR(INDEX(WageDates,MATCH($B1892,WageIds,0)),"—"))</f>
        <v/>
      </c>
      <c r="G1892" s="20">
        <f>IF($B1892="","",IFERROR(VLOOKUP(INDEX(WageParty,MATCH($B1892,WageIds,0)),WGTbl,2,0),"—"))</f>
        <v/>
      </c>
      <c r="H1892" s="12" t="n"/>
    </row>
    <row r="1893">
      <c r="A1893" s="10">
        <f>IF($B1893="","",COUNTA($B$9:$B1893))</f>
        <v/>
      </c>
      <c r="B1893" s="12" t="n"/>
      <c r="C1893" s="13" t="n"/>
      <c r="D1893" s="14">
        <f>IF($C1893="","",IFERROR(IF(VLOOKUP($C1893,AcctTblE,4,0)="","(بدون نام)",VLOOKUP($C1893,AcctTblE,4,0)),"کد ناشناخته"))</f>
        <v/>
      </c>
      <c r="E1893" s="15" t="n"/>
      <c r="F1893" s="14">
        <f>IF($B1893="","",IFERROR(INDEX(WageDates,MATCH($B1893,WageIds,0)),"—"))</f>
        <v/>
      </c>
      <c r="G1893" s="14">
        <f>IF($B1893="","",IFERROR(VLOOKUP(INDEX(WageParty,MATCH($B1893,WageIds,0)),WGTbl,2,0),"—"))</f>
        <v/>
      </c>
      <c r="H1893" s="12" t="n"/>
    </row>
    <row r="1894">
      <c r="A1894" s="19">
        <f>IF($B1894="","",COUNTA($B$9:$B1894))</f>
        <v/>
      </c>
      <c r="B1894" s="12" t="n"/>
      <c r="C1894" s="13" t="n"/>
      <c r="D1894" s="20">
        <f>IF($C1894="","",IFERROR(IF(VLOOKUP($C1894,AcctTblE,4,0)="","(بدون نام)",VLOOKUP($C1894,AcctTblE,4,0)),"کد ناشناخته"))</f>
        <v/>
      </c>
      <c r="E1894" s="15" t="n"/>
      <c r="F1894" s="20">
        <f>IF($B1894="","",IFERROR(INDEX(WageDates,MATCH($B1894,WageIds,0)),"—"))</f>
        <v/>
      </c>
      <c r="G1894" s="20">
        <f>IF($B1894="","",IFERROR(VLOOKUP(INDEX(WageParty,MATCH($B1894,WageIds,0)),WGTbl,2,0),"—"))</f>
        <v/>
      </c>
      <c r="H1894" s="12" t="n"/>
    </row>
    <row r="1895">
      <c r="A1895" s="10">
        <f>IF($B1895="","",COUNTA($B$9:$B1895))</f>
        <v/>
      </c>
      <c r="B1895" s="12" t="n"/>
      <c r="C1895" s="13" t="n"/>
      <c r="D1895" s="14">
        <f>IF($C1895="","",IFERROR(IF(VLOOKUP($C1895,AcctTblE,4,0)="","(بدون نام)",VLOOKUP($C1895,AcctTblE,4,0)),"کد ناشناخته"))</f>
        <v/>
      </c>
      <c r="E1895" s="15" t="n"/>
      <c r="F1895" s="14">
        <f>IF($B1895="","",IFERROR(INDEX(WageDates,MATCH($B1895,WageIds,0)),"—"))</f>
        <v/>
      </c>
      <c r="G1895" s="14">
        <f>IF($B1895="","",IFERROR(VLOOKUP(INDEX(WageParty,MATCH($B1895,WageIds,0)),WGTbl,2,0),"—"))</f>
        <v/>
      </c>
      <c r="H1895" s="12" t="n"/>
    </row>
    <row r="1896">
      <c r="A1896" s="19">
        <f>IF($B1896="","",COUNTA($B$9:$B1896))</f>
        <v/>
      </c>
      <c r="B1896" s="12" t="n"/>
      <c r="C1896" s="13" t="n"/>
      <c r="D1896" s="20">
        <f>IF($C1896="","",IFERROR(IF(VLOOKUP($C1896,AcctTblE,4,0)="","(بدون نام)",VLOOKUP($C1896,AcctTblE,4,0)),"کد ناشناخته"))</f>
        <v/>
      </c>
      <c r="E1896" s="15" t="n"/>
      <c r="F1896" s="20">
        <f>IF($B1896="","",IFERROR(INDEX(WageDates,MATCH($B1896,WageIds,0)),"—"))</f>
        <v/>
      </c>
      <c r="G1896" s="20">
        <f>IF($B1896="","",IFERROR(VLOOKUP(INDEX(WageParty,MATCH($B1896,WageIds,0)),WGTbl,2,0),"—"))</f>
        <v/>
      </c>
      <c r="H1896" s="12" t="n"/>
    </row>
    <row r="1897">
      <c r="A1897" s="10">
        <f>IF($B1897="","",COUNTA($B$9:$B1897))</f>
        <v/>
      </c>
      <c r="B1897" s="12" t="n"/>
      <c r="C1897" s="13" t="n"/>
      <c r="D1897" s="14">
        <f>IF($C1897="","",IFERROR(IF(VLOOKUP($C1897,AcctTblE,4,0)="","(بدون نام)",VLOOKUP($C1897,AcctTblE,4,0)),"کد ناشناخته"))</f>
        <v/>
      </c>
      <c r="E1897" s="15" t="n"/>
      <c r="F1897" s="14">
        <f>IF($B1897="","",IFERROR(INDEX(WageDates,MATCH($B1897,WageIds,0)),"—"))</f>
        <v/>
      </c>
      <c r="G1897" s="14">
        <f>IF($B1897="","",IFERROR(VLOOKUP(INDEX(WageParty,MATCH($B1897,WageIds,0)),WGTbl,2,0),"—"))</f>
        <v/>
      </c>
      <c r="H1897" s="12" t="n"/>
    </row>
    <row r="1898">
      <c r="A1898" s="19">
        <f>IF($B1898="","",COUNTA($B$9:$B1898))</f>
        <v/>
      </c>
      <c r="B1898" s="12" t="n"/>
      <c r="C1898" s="13" t="n"/>
      <c r="D1898" s="20">
        <f>IF($C1898="","",IFERROR(IF(VLOOKUP($C1898,AcctTblE,4,0)="","(بدون نام)",VLOOKUP($C1898,AcctTblE,4,0)),"کد ناشناخته"))</f>
        <v/>
      </c>
      <c r="E1898" s="15" t="n"/>
      <c r="F1898" s="20">
        <f>IF($B1898="","",IFERROR(INDEX(WageDates,MATCH($B1898,WageIds,0)),"—"))</f>
        <v/>
      </c>
      <c r="G1898" s="20">
        <f>IF($B1898="","",IFERROR(VLOOKUP(INDEX(WageParty,MATCH($B1898,WageIds,0)),WGTbl,2,0),"—"))</f>
        <v/>
      </c>
      <c r="H1898" s="12" t="n"/>
    </row>
    <row r="1899">
      <c r="A1899" s="10">
        <f>IF($B1899="","",COUNTA($B$9:$B1899))</f>
        <v/>
      </c>
      <c r="B1899" s="12" t="n"/>
      <c r="C1899" s="13" t="n"/>
      <c r="D1899" s="14">
        <f>IF($C1899="","",IFERROR(IF(VLOOKUP($C1899,AcctTblE,4,0)="","(بدون نام)",VLOOKUP($C1899,AcctTblE,4,0)),"کد ناشناخته"))</f>
        <v/>
      </c>
      <c r="E1899" s="15" t="n"/>
      <c r="F1899" s="14">
        <f>IF($B1899="","",IFERROR(INDEX(WageDates,MATCH($B1899,WageIds,0)),"—"))</f>
        <v/>
      </c>
      <c r="G1899" s="14">
        <f>IF($B1899="","",IFERROR(VLOOKUP(INDEX(WageParty,MATCH($B1899,WageIds,0)),WGTbl,2,0),"—"))</f>
        <v/>
      </c>
      <c r="H1899" s="12" t="n"/>
    </row>
    <row r="1900">
      <c r="A1900" s="19">
        <f>IF($B1900="","",COUNTA($B$9:$B1900))</f>
        <v/>
      </c>
      <c r="B1900" s="12" t="n"/>
      <c r="C1900" s="13" t="n"/>
      <c r="D1900" s="20">
        <f>IF($C1900="","",IFERROR(IF(VLOOKUP($C1900,AcctTblE,4,0)="","(بدون نام)",VLOOKUP($C1900,AcctTblE,4,0)),"کد ناشناخته"))</f>
        <v/>
      </c>
      <c r="E1900" s="15" t="n"/>
      <c r="F1900" s="20">
        <f>IF($B1900="","",IFERROR(INDEX(WageDates,MATCH($B1900,WageIds,0)),"—"))</f>
        <v/>
      </c>
      <c r="G1900" s="20">
        <f>IF($B1900="","",IFERROR(VLOOKUP(INDEX(WageParty,MATCH($B1900,WageIds,0)),WGTbl,2,0),"—"))</f>
        <v/>
      </c>
      <c r="H1900" s="12" t="n"/>
    </row>
    <row r="1901">
      <c r="A1901" s="10">
        <f>IF($B1901="","",COUNTA($B$9:$B1901))</f>
        <v/>
      </c>
      <c r="B1901" s="12" t="n"/>
      <c r="C1901" s="13" t="n"/>
      <c r="D1901" s="14">
        <f>IF($C1901="","",IFERROR(IF(VLOOKUP($C1901,AcctTblE,4,0)="","(بدون نام)",VLOOKUP($C1901,AcctTblE,4,0)),"کد ناشناخته"))</f>
        <v/>
      </c>
      <c r="E1901" s="15" t="n"/>
      <c r="F1901" s="14">
        <f>IF($B1901="","",IFERROR(INDEX(WageDates,MATCH($B1901,WageIds,0)),"—"))</f>
        <v/>
      </c>
      <c r="G1901" s="14">
        <f>IF($B1901="","",IFERROR(VLOOKUP(INDEX(WageParty,MATCH($B1901,WageIds,0)),WGTbl,2,0),"—"))</f>
        <v/>
      </c>
      <c r="H1901" s="12" t="n"/>
    </row>
    <row r="1902">
      <c r="A1902" s="19">
        <f>IF($B1902="","",COUNTA($B$9:$B1902))</f>
        <v/>
      </c>
      <c r="B1902" s="12" t="n"/>
      <c r="C1902" s="13" t="n"/>
      <c r="D1902" s="20">
        <f>IF($C1902="","",IFERROR(IF(VLOOKUP($C1902,AcctTblE,4,0)="","(بدون نام)",VLOOKUP($C1902,AcctTblE,4,0)),"کد ناشناخته"))</f>
        <v/>
      </c>
      <c r="E1902" s="15" t="n"/>
      <c r="F1902" s="20">
        <f>IF($B1902="","",IFERROR(INDEX(WageDates,MATCH($B1902,WageIds,0)),"—"))</f>
        <v/>
      </c>
      <c r="G1902" s="20">
        <f>IF($B1902="","",IFERROR(VLOOKUP(INDEX(WageParty,MATCH($B1902,WageIds,0)),WGTbl,2,0),"—"))</f>
        <v/>
      </c>
      <c r="H1902" s="12" t="n"/>
    </row>
    <row r="1903">
      <c r="A1903" s="10">
        <f>IF($B1903="","",COUNTA($B$9:$B1903))</f>
        <v/>
      </c>
      <c r="B1903" s="12" t="n"/>
      <c r="C1903" s="13" t="n"/>
      <c r="D1903" s="14">
        <f>IF($C1903="","",IFERROR(IF(VLOOKUP($C1903,AcctTblE,4,0)="","(بدون نام)",VLOOKUP($C1903,AcctTblE,4,0)),"کد ناشناخته"))</f>
        <v/>
      </c>
      <c r="E1903" s="15" t="n"/>
      <c r="F1903" s="14">
        <f>IF($B1903="","",IFERROR(INDEX(WageDates,MATCH($B1903,WageIds,0)),"—"))</f>
        <v/>
      </c>
      <c r="G1903" s="14">
        <f>IF($B1903="","",IFERROR(VLOOKUP(INDEX(WageParty,MATCH($B1903,WageIds,0)),WGTbl,2,0),"—"))</f>
        <v/>
      </c>
      <c r="H1903" s="12" t="n"/>
    </row>
    <row r="1904">
      <c r="A1904" s="19">
        <f>IF($B1904="","",COUNTA($B$9:$B1904))</f>
        <v/>
      </c>
      <c r="B1904" s="12" t="n"/>
      <c r="C1904" s="13" t="n"/>
      <c r="D1904" s="20">
        <f>IF($C1904="","",IFERROR(IF(VLOOKUP($C1904,AcctTblE,4,0)="","(بدون نام)",VLOOKUP($C1904,AcctTblE,4,0)),"کد ناشناخته"))</f>
        <v/>
      </c>
      <c r="E1904" s="15" t="n"/>
      <c r="F1904" s="20">
        <f>IF($B1904="","",IFERROR(INDEX(WageDates,MATCH($B1904,WageIds,0)),"—"))</f>
        <v/>
      </c>
      <c r="G1904" s="20">
        <f>IF($B1904="","",IFERROR(VLOOKUP(INDEX(WageParty,MATCH($B1904,WageIds,0)),WGTbl,2,0),"—"))</f>
        <v/>
      </c>
      <c r="H1904" s="12" t="n"/>
    </row>
    <row r="1905">
      <c r="A1905" s="10">
        <f>IF($B1905="","",COUNTA($B$9:$B1905))</f>
        <v/>
      </c>
      <c r="B1905" s="12" t="n"/>
      <c r="C1905" s="13" t="n"/>
      <c r="D1905" s="14">
        <f>IF($C1905="","",IFERROR(IF(VLOOKUP($C1905,AcctTblE,4,0)="","(بدون نام)",VLOOKUP($C1905,AcctTblE,4,0)),"کد ناشناخته"))</f>
        <v/>
      </c>
      <c r="E1905" s="15" t="n"/>
      <c r="F1905" s="14">
        <f>IF($B1905="","",IFERROR(INDEX(WageDates,MATCH($B1905,WageIds,0)),"—"))</f>
        <v/>
      </c>
      <c r="G1905" s="14">
        <f>IF($B1905="","",IFERROR(VLOOKUP(INDEX(WageParty,MATCH($B1905,WageIds,0)),WGTbl,2,0),"—"))</f>
        <v/>
      </c>
      <c r="H1905" s="12" t="n"/>
    </row>
    <row r="1906">
      <c r="A1906" s="19">
        <f>IF($B1906="","",COUNTA($B$9:$B1906))</f>
        <v/>
      </c>
      <c r="B1906" s="12" t="n"/>
      <c r="C1906" s="13" t="n"/>
      <c r="D1906" s="20">
        <f>IF($C1906="","",IFERROR(IF(VLOOKUP($C1906,AcctTblE,4,0)="","(بدون نام)",VLOOKUP($C1906,AcctTblE,4,0)),"کد ناشناخته"))</f>
        <v/>
      </c>
      <c r="E1906" s="15" t="n"/>
      <c r="F1906" s="20">
        <f>IF($B1906="","",IFERROR(INDEX(WageDates,MATCH($B1906,WageIds,0)),"—"))</f>
        <v/>
      </c>
      <c r="G1906" s="20">
        <f>IF($B1906="","",IFERROR(VLOOKUP(INDEX(WageParty,MATCH($B1906,WageIds,0)),WGTbl,2,0),"—"))</f>
        <v/>
      </c>
      <c r="H1906" s="12" t="n"/>
    </row>
    <row r="1907">
      <c r="A1907" s="10">
        <f>IF($B1907="","",COUNTA($B$9:$B1907))</f>
        <v/>
      </c>
      <c r="B1907" s="12" t="n"/>
      <c r="C1907" s="13" t="n"/>
      <c r="D1907" s="14">
        <f>IF($C1907="","",IFERROR(IF(VLOOKUP($C1907,AcctTblE,4,0)="","(بدون نام)",VLOOKUP($C1907,AcctTblE,4,0)),"کد ناشناخته"))</f>
        <v/>
      </c>
      <c r="E1907" s="15" t="n"/>
      <c r="F1907" s="14">
        <f>IF($B1907="","",IFERROR(INDEX(WageDates,MATCH($B1907,WageIds,0)),"—"))</f>
        <v/>
      </c>
      <c r="G1907" s="14">
        <f>IF($B1907="","",IFERROR(VLOOKUP(INDEX(WageParty,MATCH($B1907,WageIds,0)),WGTbl,2,0),"—"))</f>
        <v/>
      </c>
      <c r="H1907" s="12" t="n"/>
    </row>
    <row r="1908">
      <c r="A1908" s="19">
        <f>IF($B1908="","",COUNTA($B$9:$B1908))</f>
        <v/>
      </c>
      <c r="B1908" s="12" t="n"/>
      <c r="C1908" s="13" t="n"/>
      <c r="D1908" s="20">
        <f>IF($C1908="","",IFERROR(IF(VLOOKUP($C1908,AcctTblE,4,0)="","(بدون نام)",VLOOKUP($C1908,AcctTblE,4,0)),"کد ناشناخته"))</f>
        <v/>
      </c>
      <c r="E1908" s="15" t="n"/>
      <c r="F1908" s="20">
        <f>IF($B1908="","",IFERROR(INDEX(WageDates,MATCH($B1908,WageIds,0)),"—"))</f>
        <v/>
      </c>
      <c r="G1908" s="20">
        <f>IF($B1908="","",IFERROR(VLOOKUP(INDEX(WageParty,MATCH($B1908,WageIds,0)),WGTbl,2,0),"—"))</f>
        <v/>
      </c>
      <c r="H1908" s="12" t="n"/>
    </row>
    <row r="1909">
      <c r="A1909" s="10">
        <f>IF($B1909="","",COUNTA($B$9:$B1909))</f>
        <v/>
      </c>
      <c r="B1909" s="12" t="n"/>
      <c r="C1909" s="13" t="n"/>
      <c r="D1909" s="14">
        <f>IF($C1909="","",IFERROR(IF(VLOOKUP($C1909,AcctTblE,4,0)="","(بدون نام)",VLOOKUP($C1909,AcctTblE,4,0)),"کد ناشناخته"))</f>
        <v/>
      </c>
      <c r="E1909" s="15" t="n"/>
      <c r="F1909" s="14">
        <f>IF($B1909="","",IFERROR(INDEX(WageDates,MATCH($B1909,WageIds,0)),"—"))</f>
        <v/>
      </c>
      <c r="G1909" s="14">
        <f>IF($B1909="","",IFERROR(VLOOKUP(INDEX(WageParty,MATCH($B1909,WageIds,0)),WGTbl,2,0),"—"))</f>
        <v/>
      </c>
      <c r="H1909" s="12" t="n"/>
    </row>
    <row r="1910">
      <c r="A1910" s="19">
        <f>IF($B1910="","",COUNTA($B$9:$B1910))</f>
        <v/>
      </c>
      <c r="B1910" s="12" t="n"/>
      <c r="C1910" s="13" t="n"/>
      <c r="D1910" s="20">
        <f>IF($C1910="","",IFERROR(IF(VLOOKUP($C1910,AcctTblE,4,0)="","(بدون نام)",VLOOKUP($C1910,AcctTblE,4,0)),"کد ناشناخته"))</f>
        <v/>
      </c>
      <c r="E1910" s="15" t="n"/>
      <c r="F1910" s="20">
        <f>IF($B1910="","",IFERROR(INDEX(WageDates,MATCH($B1910,WageIds,0)),"—"))</f>
        <v/>
      </c>
      <c r="G1910" s="20">
        <f>IF($B1910="","",IFERROR(VLOOKUP(INDEX(WageParty,MATCH($B1910,WageIds,0)),WGTbl,2,0),"—"))</f>
        <v/>
      </c>
      <c r="H1910" s="12" t="n"/>
    </row>
    <row r="1911">
      <c r="A1911" s="10">
        <f>IF($B1911="","",COUNTA($B$9:$B1911))</f>
        <v/>
      </c>
      <c r="B1911" s="12" t="n"/>
      <c r="C1911" s="13" t="n"/>
      <c r="D1911" s="14">
        <f>IF($C1911="","",IFERROR(IF(VLOOKUP($C1911,AcctTblE,4,0)="","(بدون نام)",VLOOKUP($C1911,AcctTblE,4,0)),"کد ناشناخته"))</f>
        <v/>
      </c>
      <c r="E1911" s="15" t="n"/>
      <c r="F1911" s="14">
        <f>IF($B1911="","",IFERROR(INDEX(WageDates,MATCH($B1911,WageIds,0)),"—"))</f>
        <v/>
      </c>
      <c r="G1911" s="14">
        <f>IF($B1911="","",IFERROR(VLOOKUP(INDEX(WageParty,MATCH($B1911,WageIds,0)),WGTbl,2,0),"—"))</f>
        <v/>
      </c>
      <c r="H1911" s="12" t="n"/>
    </row>
    <row r="1912">
      <c r="A1912" s="19">
        <f>IF($B1912="","",COUNTA($B$9:$B1912))</f>
        <v/>
      </c>
      <c r="B1912" s="12" t="n"/>
      <c r="C1912" s="13" t="n"/>
      <c r="D1912" s="20">
        <f>IF($C1912="","",IFERROR(IF(VLOOKUP($C1912,AcctTblE,4,0)="","(بدون نام)",VLOOKUP($C1912,AcctTblE,4,0)),"کد ناشناخته"))</f>
        <v/>
      </c>
      <c r="E1912" s="15" t="n"/>
      <c r="F1912" s="20">
        <f>IF($B1912="","",IFERROR(INDEX(WageDates,MATCH($B1912,WageIds,0)),"—"))</f>
        <v/>
      </c>
      <c r="G1912" s="20">
        <f>IF($B1912="","",IFERROR(VLOOKUP(INDEX(WageParty,MATCH($B1912,WageIds,0)),WGTbl,2,0),"—"))</f>
        <v/>
      </c>
      <c r="H1912" s="12" t="n"/>
    </row>
    <row r="1913">
      <c r="A1913" s="10">
        <f>IF($B1913="","",COUNTA($B$9:$B1913))</f>
        <v/>
      </c>
      <c r="B1913" s="12" t="n"/>
      <c r="C1913" s="13" t="n"/>
      <c r="D1913" s="14">
        <f>IF($C1913="","",IFERROR(IF(VLOOKUP($C1913,AcctTblE,4,0)="","(بدون نام)",VLOOKUP($C1913,AcctTblE,4,0)),"کد ناشناخته"))</f>
        <v/>
      </c>
      <c r="E1913" s="15" t="n"/>
      <c r="F1913" s="14">
        <f>IF($B1913="","",IFERROR(INDEX(WageDates,MATCH($B1913,WageIds,0)),"—"))</f>
        <v/>
      </c>
      <c r="G1913" s="14">
        <f>IF($B1913="","",IFERROR(VLOOKUP(INDEX(WageParty,MATCH($B1913,WageIds,0)),WGTbl,2,0),"—"))</f>
        <v/>
      </c>
      <c r="H1913" s="12" t="n"/>
    </row>
    <row r="1914">
      <c r="A1914" s="19">
        <f>IF($B1914="","",COUNTA($B$9:$B1914))</f>
        <v/>
      </c>
      <c r="B1914" s="12" t="n"/>
      <c r="C1914" s="13" t="n"/>
      <c r="D1914" s="20">
        <f>IF($C1914="","",IFERROR(IF(VLOOKUP($C1914,AcctTblE,4,0)="","(بدون نام)",VLOOKUP($C1914,AcctTblE,4,0)),"کد ناشناخته"))</f>
        <v/>
      </c>
      <c r="E1914" s="15" t="n"/>
      <c r="F1914" s="20">
        <f>IF($B1914="","",IFERROR(INDEX(WageDates,MATCH($B1914,WageIds,0)),"—"))</f>
        <v/>
      </c>
      <c r="G1914" s="20">
        <f>IF($B1914="","",IFERROR(VLOOKUP(INDEX(WageParty,MATCH($B1914,WageIds,0)),WGTbl,2,0),"—"))</f>
        <v/>
      </c>
      <c r="H1914" s="12" t="n"/>
    </row>
    <row r="1915">
      <c r="A1915" s="10">
        <f>IF($B1915="","",COUNTA($B$9:$B1915))</f>
        <v/>
      </c>
      <c r="B1915" s="12" t="n"/>
      <c r="C1915" s="13" t="n"/>
      <c r="D1915" s="14">
        <f>IF($C1915="","",IFERROR(IF(VLOOKUP($C1915,AcctTblE,4,0)="","(بدون نام)",VLOOKUP($C1915,AcctTblE,4,0)),"کد ناشناخته"))</f>
        <v/>
      </c>
      <c r="E1915" s="15" t="n"/>
      <c r="F1915" s="14">
        <f>IF($B1915="","",IFERROR(INDEX(WageDates,MATCH($B1915,WageIds,0)),"—"))</f>
        <v/>
      </c>
      <c r="G1915" s="14">
        <f>IF($B1915="","",IFERROR(VLOOKUP(INDEX(WageParty,MATCH($B1915,WageIds,0)),WGTbl,2,0),"—"))</f>
        <v/>
      </c>
      <c r="H1915" s="12" t="n"/>
    </row>
    <row r="1916">
      <c r="A1916" s="19">
        <f>IF($B1916="","",COUNTA($B$9:$B1916))</f>
        <v/>
      </c>
      <c r="B1916" s="12" t="n"/>
      <c r="C1916" s="13" t="n"/>
      <c r="D1916" s="20">
        <f>IF($C1916="","",IFERROR(IF(VLOOKUP($C1916,AcctTblE,4,0)="","(بدون نام)",VLOOKUP($C1916,AcctTblE,4,0)),"کد ناشناخته"))</f>
        <v/>
      </c>
      <c r="E1916" s="15" t="n"/>
      <c r="F1916" s="20">
        <f>IF($B1916="","",IFERROR(INDEX(WageDates,MATCH($B1916,WageIds,0)),"—"))</f>
        <v/>
      </c>
      <c r="G1916" s="20">
        <f>IF($B1916="","",IFERROR(VLOOKUP(INDEX(WageParty,MATCH($B1916,WageIds,0)),WGTbl,2,0),"—"))</f>
        <v/>
      </c>
      <c r="H1916" s="12" t="n"/>
    </row>
    <row r="1917">
      <c r="A1917" s="10">
        <f>IF($B1917="","",COUNTA($B$9:$B1917))</f>
        <v/>
      </c>
      <c r="B1917" s="12" t="n"/>
      <c r="C1917" s="13" t="n"/>
      <c r="D1917" s="14">
        <f>IF($C1917="","",IFERROR(IF(VLOOKUP($C1917,AcctTblE,4,0)="","(بدون نام)",VLOOKUP($C1917,AcctTblE,4,0)),"کد ناشناخته"))</f>
        <v/>
      </c>
      <c r="E1917" s="15" t="n"/>
      <c r="F1917" s="14">
        <f>IF($B1917="","",IFERROR(INDEX(WageDates,MATCH($B1917,WageIds,0)),"—"))</f>
        <v/>
      </c>
      <c r="G1917" s="14">
        <f>IF($B1917="","",IFERROR(VLOOKUP(INDEX(WageParty,MATCH($B1917,WageIds,0)),WGTbl,2,0),"—"))</f>
        <v/>
      </c>
      <c r="H1917" s="12" t="n"/>
    </row>
    <row r="1918">
      <c r="A1918" s="19">
        <f>IF($B1918="","",COUNTA($B$9:$B1918))</f>
        <v/>
      </c>
      <c r="B1918" s="12" t="n"/>
      <c r="C1918" s="13" t="n"/>
      <c r="D1918" s="20">
        <f>IF($C1918="","",IFERROR(IF(VLOOKUP($C1918,AcctTblE,4,0)="","(بدون نام)",VLOOKUP($C1918,AcctTblE,4,0)),"کد ناشناخته"))</f>
        <v/>
      </c>
      <c r="E1918" s="15" t="n"/>
      <c r="F1918" s="20">
        <f>IF($B1918="","",IFERROR(INDEX(WageDates,MATCH($B1918,WageIds,0)),"—"))</f>
        <v/>
      </c>
      <c r="G1918" s="20">
        <f>IF($B1918="","",IFERROR(VLOOKUP(INDEX(WageParty,MATCH($B1918,WageIds,0)),WGTbl,2,0),"—"))</f>
        <v/>
      </c>
      <c r="H1918" s="12" t="n"/>
    </row>
    <row r="1919">
      <c r="A1919" s="10">
        <f>IF($B1919="","",COUNTA($B$9:$B1919))</f>
        <v/>
      </c>
      <c r="B1919" s="12" t="n"/>
      <c r="C1919" s="13" t="n"/>
      <c r="D1919" s="14">
        <f>IF($C1919="","",IFERROR(IF(VLOOKUP($C1919,AcctTblE,4,0)="","(بدون نام)",VLOOKUP($C1919,AcctTblE,4,0)),"کد ناشناخته"))</f>
        <v/>
      </c>
      <c r="E1919" s="15" t="n"/>
      <c r="F1919" s="14">
        <f>IF($B1919="","",IFERROR(INDEX(WageDates,MATCH($B1919,WageIds,0)),"—"))</f>
        <v/>
      </c>
      <c r="G1919" s="14">
        <f>IF($B1919="","",IFERROR(VLOOKUP(INDEX(WageParty,MATCH($B1919,WageIds,0)),WGTbl,2,0),"—"))</f>
        <v/>
      </c>
      <c r="H1919" s="12" t="n"/>
    </row>
    <row r="1920">
      <c r="A1920" s="19">
        <f>IF($B1920="","",COUNTA($B$9:$B1920))</f>
        <v/>
      </c>
      <c r="B1920" s="12" t="n"/>
      <c r="C1920" s="13" t="n"/>
      <c r="D1920" s="20">
        <f>IF($C1920="","",IFERROR(IF(VLOOKUP($C1920,AcctTblE,4,0)="","(بدون نام)",VLOOKUP($C1920,AcctTblE,4,0)),"کد ناشناخته"))</f>
        <v/>
      </c>
      <c r="E1920" s="15" t="n"/>
      <c r="F1920" s="20">
        <f>IF($B1920="","",IFERROR(INDEX(WageDates,MATCH($B1920,WageIds,0)),"—"))</f>
        <v/>
      </c>
      <c r="G1920" s="20">
        <f>IF($B1920="","",IFERROR(VLOOKUP(INDEX(WageParty,MATCH($B1920,WageIds,0)),WGTbl,2,0),"—"))</f>
        <v/>
      </c>
      <c r="H1920" s="12" t="n"/>
    </row>
    <row r="1921">
      <c r="A1921" s="10">
        <f>IF($B1921="","",COUNTA($B$9:$B1921))</f>
        <v/>
      </c>
      <c r="B1921" s="12" t="n"/>
      <c r="C1921" s="13" t="n"/>
      <c r="D1921" s="14">
        <f>IF($C1921="","",IFERROR(IF(VLOOKUP($C1921,AcctTblE,4,0)="","(بدون نام)",VLOOKUP($C1921,AcctTblE,4,0)),"کد ناشناخته"))</f>
        <v/>
      </c>
      <c r="E1921" s="15" t="n"/>
      <c r="F1921" s="14">
        <f>IF($B1921="","",IFERROR(INDEX(WageDates,MATCH($B1921,WageIds,0)),"—"))</f>
        <v/>
      </c>
      <c r="G1921" s="14">
        <f>IF($B1921="","",IFERROR(VLOOKUP(INDEX(WageParty,MATCH($B1921,WageIds,0)),WGTbl,2,0),"—"))</f>
        <v/>
      </c>
      <c r="H1921" s="12" t="n"/>
    </row>
    <row r="1922">
      <c r="A1922" s="19">
        <f>IF($B1922="","",COUNTA($B$9:$B1922))</f>
        <v/>
      </c>
      <c r="B1922" s="12" t="n"/>
      <c r="C1922" s="13" t="n"/>
      <c r="D1922" s="20">
        <f>IF($C1922="","",IFERROR(IF(VLOOKUP($C1922,AcctTblE,4,0)="","(بدون نام)",VLOOKUP($C1922,AcctTblE,4,0)),"کد ناشناخته"))</f>
        <v/>
      </c>
      <c r="E1922" s="15" t="n"/>
      <c r="F1922" s="20">
        <f>IF($B1922="","",IFERROR(INDEX(WageDates,MATCH($B1922,WageIds,0)),"—"))</f>
        <v/>
      </c>
      <c r="G1922" s="20">
        <f>IF($B1922="","",IFERROR(VLOOKUP(INDEX(WageParty,MATCH($B1922,WageIds,0)),WGTbl,2,0),"—"))</f>
        <v/>
      </c>
      <c r="H1922" s="12" t="n"/>
    </row>
    <row r="1923">
      <c r="A1923" s="10">
        <f>IF($B1923="","",COUNTA($B$9:$B1923))</f>
        <v/>
      </c>
      <c r="B1923" s="12" t="n"/>
      <c r="C1923" s="13" t="n"/>
      <c r="D1923" s="14">
        <f>IF($C1923="","",IFERROR(IF(VLOOKUP($C1923,AcctTblE,4,0)="","(بدون نام)",VLOOKUP($C1923,AcctTblE,4,0)),"کد ناشناخته"))</f>
        <v/>
      </c>
      <c r="E1923" s="15" t="n"/>
      <c r="F1923" s="14">
        <f>IF($B1923="","",IFERROR(INDEX(WageDates,MATCH($B1923,WageIds,0)),"—"))</f>
        <v/>
      </c>
      <c r="G1923" s="14">
        <f>IF($B1923="","",IFERROR(VLOOKUP(INDEX(WageParty,MATCH($B1923,WageIds,0)),WGTbl,2,0),"—"))</f>
        <v/>
      </c>
      <c r="H1923" s="12" t="n"/>
    </row>
    <row r="1924">
      <c r="A1924" s="19">
        <f>IF($B1924="","",COUNTA($B$9:$B1924))</f>
        <v/>
      </c>
      <c r="B1924" s="12" t="n"/>
      <c r="C1924" s="13" t="n"/>
      <c r="D1924" s="20">
        <f>IF($C1924="","",IFERROR(IF(VLOOKUP($C1924,AcctTblE,4,0)="","(بدون نام)",VLOOKUP($C1924,AcctTblE,4,0)),"کد ناشناخته"))</f>
        <v/>
      </c>
      <c r="E1924" s="15" t="n"/>
      <c r="F1924" s="20">
        <f>IF($B1924="","",IFERROR(INDEX(WageDates,MATCH($B1924,WageIds,0)),"—"))</f>
        <v/>
      </c>
      <c r="G1924" s="20">
        <f>IF($B1924="","",IFERROR(VLOOKUP(INDEX(WageParty,MATCH($B1924,WageIds,0)),WGTbl,2,0),"—"))</f>
        <v/>
      </c>
      <c r="H1924" s="12" t="n"/>
    </row>
    <row r="1925">
      <c r="A1925" s="10">
        <f>IF($B1925="","",COUNTA($B$9:$B1925))</f>
        <v/>
      </c>
      <c r="B1925" s="12" t="n"/>
      <c r="C1925" s="13" t="n"/>
      <c r="D1925" s="14">
        <f>IF($C1925="","",IFERROR(IF(VLOOKUP($C1925,AcctTblE,4,0)="","(بدون نام)",VLOOKUP($C1925,AcctTblE,4,0)),"کد ناشناخته"))</f>
        <v/>
      </c>
      <c r="E1925" s="15" t="n"/>
      <c r="F1925" s="14">
        <f>IF($B1925="","",IFERROR(INDEX(WageDates,MATCH($B1925,WageIds,0)),"—"))</f>
        <v/>
      </c>
      <c r="G1925" s="14">
        <f>IF($B1925="","",IFERROR(VLOOKUP(INDEX(WageParty,MATCH($B1925,WageIds,0)),WGTbl,2,0),"—"))</f>
        <v/>
      </c>
      <c r="H1925" s="12" t="n"/>
    </row>
    <row r="1926">
      <c r="A1926" s="19">
        <f>IF($B1926="","",COUNTA($B$9:$B1926))</f>
        <v/>
      </c>
      <c r="B1926" s="12" t="n"/>
      <c r="C1926" s="13" t="n"/>
      <c r="D1926" s="20">
        <f>IF($C1926="","",IFERROR(IF(VLOOKUP($C1926,AcctTblE,4,0)="","(بدون نام)",VLOOKUP($C1926,AcctTblE,4,0)),"کد ناشناخته"))</f>
        <v/>
      </c>
      <c r="E1926" s="15" t="n"/>
      <c r="F1926" s="20">
        <f>IF($B1926="","",IFERROR(INDEX(WageDates,MATCH($B1926,WageIds,0)),"—"))</f>
        <v/>
      </c>
      <c r="G1926" s="20">
        <f>IF($B1926="","",IFERROR(VLOOKUP(INDEX(WageParty,MATCH($B1926,WageIds,0)),WGTbl,2,0),"—"))</f>
        <v/>
      </c>
      <c r="H1926" s="12" t="n"/>
    </row>
    <row r="1927">
      <c r="A1927" s="10">
        <f>IF($B1927="","",COUNTA($B$9:$B1927))</f>
        <v/>
      </c>
      <c r="B1927" s="12" t="n"/>
      <c r="C1927" s="13" t="n"/>
      <c r="D1927" s="14">
        <f>IF($C1927="","",IFERROR(IF(VLOOKUP($C1927,AcctTblE,4,0)="","(بدون نام)",VLOOKUP($C1927,AcctTblE,4,0)),"کد ناشناخته"))</f>
        <v/>
      </c>
      <c r="E1927" s="15" t="n"/>
      <c r="F1927" s="14">
        <f>IF($B1927="","",IFERROR(INDEX(WageDates,MATCH($B1927,WageIds,0)),"—"))</f>
        <v/>
      </c>
      <c r="G1927" s="14">
        <f>IF($B1927="","",IFERROR(VLOOKUP(INDEX(WageParty,MATCH($B1927,WageIds,0)),WGTbl,2,0),"—"))</f>
        <v/>
      </c>
      <c r="H1927" s="12" t="n"/>
    </row>
    <row r="1928">
      <c r="A1928" s="19">
        <f>IF($B1928="","",COUNTA($B$9:$B1928))</f>
        <v/>
      </c>
      <c r="B1928" s="12" t="n"/>
      <c r="C1928" s="13" t="n"/>
      <c r="D1928" s="20">
        <f>IF($C1928="","",IFERROR(IF(VLOOKUP($C1928,AcctTblE,4,0)="","(بدون نام)",VLOOKUP($C1928,AcctTblE,4,0)),"کد ناشناخته"))</f>
        <v/>
      </c>
      <c r="E1928" s="15" t="n"/>
      <c r="F1928" s="20">
        <f>IF($B1928="","",IFERROR(INDEX(WageDates,MATCH($B1928,WageIds,0)),"—"))</f>
        <v/>
      </c>
      <c r="G1928" s="20">
        <f>IF($B1928="","",IFERROR(VLOOKUP(INDEX(WageParty,MATCH($B1928,WageIds,0)),WGTbl,2,0),"—"))</f>
        <v/>
      </c>
      <c r="H1928" s="12" t="n"/>
    </row>
    <row r="1929">
      <c r="A1929" s="10">
        <f>IF($B1929="","",COUNTA($B$9:$B1929))</f>
        <v/>
      </c>
      <c r="B1929" s="12" t="n"/>
      <c r="C1929" s="13" t="n"/>
      <c r="D1929" s="14">
        <f>IF($C1929="","",IFERROR(IF(VLOOKUP($C1929,AcctTblE,4,0)="","(بدون نام)",VLOOKUP($C1929,AcctTblE,4,0)),"کد ناشناخته"))</f>
        <v/>
      </c>
      <c r="E1929" s="15" t="n"/>
      <c r="F1929" s="14">
        <f>IF($B1929="","",IFERROR(INDEX(WageDates,MATCH($B1929,WageIds,0)),"—"))</f>
        <v/>
      </c>
      <c r="G1929" s="14">
        <f>IF($B1929="","",IFERROR(VLOOKUP(INDEX(WageParty,MATCH($B1929,WageIds,0)),WGTbl,2,0),"—"))</f>
        <v/>
      </c>
      <c r="H1929" s="12" t="n"/>
    </row>
    <row r="1930">
      <c r="A1930" s="19">
        <f>IF($B1930="","",COUNTA($B$9:$B1930))</f>
        <v/>
      </c>
      <c r="B1930" s="12" t="n"/>
      <c r="C1930" s="13" t="n"/>
      <c r="D1930" s="20">
        <f>IF($C1930="","",IFERROR(IF(VLOOKUP($C1930,AcctTblE,4,0)="","(بدون نام)",VLOOKUP($C1930,AcctTblE,4,0)),"کد ناشناخته"))</f>
        <v/>
      </c>
      <c r="E1930" s="15" t="n"/>
      <c r="F1930" s="20">
        <f>IF($B1930="","",IFERROR(INDEX(WageDates,MATCH($B1930,WageIds,0)),"—"))</f>
        <v/>
      </c>
      <c r="G1930" s="20">
        <f>IF($B1930="","",IFERROR(VLOOKUP(INDEX(WageParty,MATCH($B1930,WageIds,0)),WGTbl,2,0),"—"))</f>
        <v/>
      </c>
      <c r="H1930" s="12" t="n"/>
    </row>
    <row r="1931">
      <c r="A1931" s="10">
        <f>IF($B1931="","",COUNTA($B$9:$B1931))</f>
        <v/>
      </c>
      <c r="B1931" s="12" t="n"/>
      <c r="C1931" s="13" t="n"/>
      <c r="D1931" s="14">
        <f>IF($C1931="","",IFERROR(IF(VLOOKUP($C1931,AcctTblE,4,0)="","(بدون نام)",VLOOKUP($C1931,AcctTblE,4,0)),"کد ناشناخته"))</f>
        <v/>
      </c>
      <c r="E1931" s="15" t="n"/>
      <c r="F1931" s="14">
        <f>IF($B1931="","",IFERROR(INDEX(WageDates,MATCH($B1931,WageIds,0)),"—"))</f>
        <v/>
      </c>
      <c r="G1931" s="14">
        <f>IF($B1931="","",IFERROR(VLOOKUP(INDEX(WageParty,MATCH($B1931,WageIds,0)),WGTbl,2,0),"—"))</f>
        <v/>
      </c>
      <c r="H1931" s="12" t="n"/>
    </row>
    <row r="1932">
      <c r="A1932" s="19">
        <f>IF($B1932="","",COUNTA($B$9:$B1932))</f>
        <v/>
      </c>
      <c r="B1932" s="12" t="n"/>
      <c r="C1932" s="13" t="n"/>
      <c r="D1932" s="20">
        <f>IF($C1932="","",IFERROR(IF(VLOOKUP($C1932,AcctTblE,4,0)="","(بدون نام)",VLOOKUP($C1932,AcctTblE,4,0)),"کد ناشناخته"))</f>
        <v/>
      </c>
      <c r="E1932" s="15" t="n"/>
      <c r="F1932" s="20">
        <f>IF($B1932="","",IFERROR(INDEX(WageDates,MATCH($B1932,WageIds,0)),"—"))</f>
        <v/>
      </c>
      <c r="G1932" s="20">
        <f>IF($B1932="","",IFERROR(VLOOKUP(INDEX(WageParty,MATCH($B1932,WageIds,0)),WGTbl,2,0),"—"))</f>
        <v/>
      </c>
      <c r="H1932" s="12" t="n"/>
    </row>
    <row r="1933">
      <c r="A1933" s="10">
        <f>IF($B1933="","",COUNTA($B$9:$B1933))</f>
        <v/>
      </c>
      <c r="B1933" s="12" t="n"/>
      <c r="C1933" s="13" t="n"/>
      <c r="D1933" s="14">
        <f>IF($C1933="","",IFERROR(IF(VLOOKUP($C1933,AcctTblE,4,0)="","(بدون نام)",VLOOKUP($C1933,AcctTblE,4,0)),"کد ناشناخته"))</f>
        <v/>
      </c>
      <c r="E1933" s="15" t="n"/>
      <c r="F1933" s="14">
        <f>IF($B1933="","",IFERROR(INDEX(WageDates,MATCH($B1933,WageIds,0)),"—"))</f>
        <v/>
      </c>
      <c r="G1933" s="14">
        <f>IF($B1933="","",IFERROR(VLOOKUP(INDEX(WageParty,MATCH($B1933,WageIds,0)),WGTbl,2,0),"—"))</f>
        <v/>
      </c>
      <c r="H1933" s="12" t="n"/>
    </row>
    <row r="1934">
      <c r="A1934" s="19">
        <f>IF($B1934="","",COUNTA($B$9:$B1934))</f>
        <v/>
      </c>
      <c r="B1934" s="12" t="n"/>
      <c r="C1934" s="13" t="n"/>
      <c r="D1934" s="20">
        <f>IF($C1934="","",IFERROR(IF(VLOOKUP($C1934,AcctTblE,4,0)="","(بدون نام)",VLOOKUP($C1934,AcctTblE,4,0)),"کد ناشناخته"))</f>
        <v/>
      </c>
      <c r="E1934" s="15" t="n"/>
      <c r="F1934" s="20">
        <f>IF($B1934="","",IFERROR(INDEX(WageDates,MATCH($B1934,WageIds,0)),"—"))</f>
        <v/>
      </c>
      <c r="G1934" s="20">
        <f>IF($B1934="","",IFERROR(VLOOKUP(INDEX(WageParty,MATCH($B1934,WageIds,0)),WGTbl,2,0),"—"))</f>
        <v/>
      </c>
      <c r="H1934" s="12" t="n"/>
    </row>
    <row r="1935">
      <c r="A1935" s="10">
        <f>IF($B1935="","",COUNTA($B$9:$B1935))</f>
        <v/>
      </c>
      <c r="B1935" s="12" t="n"/>
      <c r="C1935" s="13" t="n"/>
      <c r="D1935" s="14">
        <f>IF($C1935="","",IFERROR(IF(VLOOKUP($C1935,AcctTblE,4,0)="","(بدون نام)",VLOOKUP($C1935,AcctTblE,4,0)),"کد ناشناخته"))</f>
        <v/>
      </c>
      <c r="E1935" s="15" t="n"/>
      <c r="F1935" s="14">
        <f>IF($B1935="","",IFERROR(INDEX(WageDates,MATCH($B1935,WageIds,0)),"—"))</f>
        <v/>
      </c>
      <c r="G1935" s="14">
        <f>IF($B1935="","",IFERROR(VLOOKUP(INDEX(WageParty,MATCH($B1935,WageIds,0)),WGTbl,2,0),"—"))</f>
        <v/>
      </c>
      <c r="H1935" s="12" t="n"/>
    </row>
    <row r="1936">
      <c r="A1936" s="19">
        <f>IF($B1936="","",COUNTA($B$9:$B1936))</f>
        <v/>
      </c>
      <c r="B1936" s="12" t="n"/>
      <c r="C1936" s="13" t="n"/>
      <c r="D1936" s="20">
        <f>IF($C1936="","",IFERROR(IF(VLOOKUP($C1936,AcctTblE,4,0)="","(بدون نام)",VLOOKUP($C1936,AcctTblE,4,0)),"کد ناشناخته"))</f>
        <v/>
      </c>
      <c r="E1936" s="15" t="n"/>
      <c r="F1936" s="20">
        <f>IF($B1936="","",IFERROR(INDEX(WageDates,MATCH($B1936,WageIds,0)),"—"))</f>
        <v/>
      </c>
      <c r="G1936" s="20">
        <f>IF($B1936="","",IFERROR(VLOOKUP(INDEX(WageParty,MATCH($B1936,WageIds,0)),WGTbl,2,0),"—"))</f>
        <v/>
      </c>
      <c r="H1936" s="12" t="n"/>
    </row>
    <row r="1937">
      <c r="A1937" s="10">
        <f>IF($B1937="","",COUNTA($B$9:$B1937))</f>
        <v/>
      </c>
      <c r="B1937" s="12" t="n"/>
      <c r="C1937" s="13" t="n"/>
      <c r="D1937" s="14">
        <f>IF($C1937="","",IFERROR(IF(VLOOKUP($C1937,AcctTblE,4,0)="","(بدون نام)",VLOOKUP($C1937,AcctTblE,4,0)),"کد ناشناخته"))</f>
        <v/>
      </c>
      <c r="E1937" s="15" t="n"/>
      <c r="F1937" s="14">
        <f>IF($B1937="","",IFERROR(INDEX(WageDates,MATCH($B1937,WageIds,0)),"—"))</f>
        <v/>
      </c>
      <c r="G1937" s="14">
        <f>IF($B1937="","",IFERROR(VLOOKUP(INDEX(WageParty,MATCH($B1937,WageIds,0)),WGTbl,2,0),"—"))</f>
        <v/>
      </c>
      <c r="H1937" s="12" t="n"/>
    </row>
    <row r="1938">
      <c r="A1938" s="19">
        <f>IF($B1938="","",COUNTA($B$9:$B1938))</f>
        <v/>
      </c>
      <c r="B1938" s="12" t="n"/>
      <c r="C1938" s="13" t="n"/>
      <c r="D1938" s="20">
        <f>IF($C1938="","",IFERROR(IF(VLOOKUP($C1938,AcctTblE,4,0)="","(بدون نام)",VLOOKUP($C1938,AcctTblE,4,0)),"کد ناشناخته"))</f>
        <v/>
      </c>
      <c r="E1938" s="15" t="n"/>
      <c r="F1938" s="20">
        <f>IF($B1938="","",IFERROR(INDEX(WageDates,MATCH($B1938,WageIds,0)),"—"))</f>
        <v/>
      </c>
      <c r="G1938" s="20">
        <f>IF($B1938="","",IFERROR(VLOOKUP(INDEX(WageParty,MATCH($B1938,WageIds,0)),WGTbl,2,0),"—"))</f>
        <v/>
      </c>
      <c r="H1938" s="12" t="n"/>
    </row>
    <row r="1939">
      <c r="A1939" s="10">
        <f>IF($B1939="","",COUNTA($B$9:$B1939))</f>
        <v/>
      </c>
      <c r="B1939" s="12" t="n"/>
      <c r="C1939" s="13" t="n"/>
      <c r="D1939" s="14">
        <f>IF($C1939="","",IFERROR(IF(VLOOKUP($C1939,AcctTblE,4,0)="","(بدون نام)",VLOOKUP($C1939,AcctTblE,4,0)),"کد ناشناخته"))</f>
        <v/>
      </c>
      <c r="E1939" s="15" t="n"/>
      <c r="F1939" s="14">
        <f>IF($B1939="","",IFERROR(INDEX(WageDates,MATCH($B1939,WageIds,0)),"—"))</f>
        <v/>
      </c>
      <c r="G1939" s="14">
        <f>IF($B1939="","",IFERROR(VLOOKUP(INDEX(WageParty,MATCH($B1939,WageIds,0)),WGTbl,2,0),"—"))</f>
        <v/>
      </c>
      <c r="H1939" s="12" t="n"/>
    </row>
    <row r="1940">
      <c r="A1940" s="19">
        <f>IF($B1940="","",COUNTA($B$9:$B1940))</f>
        <v/>
      </c>
      <c r="B1940" s="12" t="n"/>
      <c r="C1940" s="13" t="n"/>
      <c r="D1940" s="20">
        <f>IF($C1940="","",IFERROR(IF(VLOOKUP($C1940,AcctTblE,4,0)="","(بدون نام)",VLOOKUP($C1940,AcctTblE,4,0)),"کد ناشناخته"))</f>
        <v/>
      </c>
      <c r="E1940" s="15" t="n"/>
      <c r="F1940" s="20">
        <f>IF($B1940="","",IFERROR(INDEX(WageDates,MATCH($B1940,WageIds,0)),"—"))</f>
        <v/>
      </c>
      <c r="G1940" s="20">
        <f>IF($B1940="","",IFERROR(VLOOKUP(INDEX(WageParty,MATCH($B1940,WageIds,0)),WGTbl,2,0),"—"))</f>
        <v/>
      </c>
      <c r="H1940" s="12" t="n"/>
    </row>
    <row r="1941">
      <c r="A1941" s="10">
        <f>IF($B1941="","",COUNTA($B$9:$B1941))</f>
        <v/>
      </c>
      <c r="B1941" s="12" t="n"/>
      <c r="C1941" s="13" t="n"/>
      <c r="D1941" s="14">
        <f>IF($C1941="","",IFERROR(IF(VLOOKUP($C1941,AcctTblE,4,0)="","(بدون نام)",VLOOKUP($C1941,AcctTblE,4,0)),"کد ناشناخته"))</f>
        <v/>
      </c>
      <c r="E1941" s="15" t="n"/>
      <c r="F1941" s="14">
        <f>IF($B1941="","",IFERROR(INDEX(WageDates,MATCH($B1941,WageIds,0)),"—"))</f>
        <v/>
      </c>
      <c r="G1941" s="14">
        <f>IF($B1941="","",IFERROR(VLOOKUP(INDEX(WageParty,MATCH($B1941,WageIds,0)),WGTbl,2,0),"—"))</f>
        <v/>
      </c>
      <c r="H1941" s="12" t="n"/>
    </row>
    <row r="1942">
      <c r="A1942" s="19">
        <f>IF($B1942="","",COUNTA($B$9:$B1942))</f>
        <v/>
      </c>
      <c r="B1942" s="12" t="n"/>
      <c r="C1942" s="13" t="n"/>
      <c r="D1942" s="20">
        <f>IF($C1942="","",IFERROR(IF(VLOOKUP($C1942,AcctTblE,4,0)="","(بدون نام)",VLOOKUP($C1942,AcctTblE,4,0)),"کد ناشناخته"))</f>
        <v/>
      </c>
      <c r="E1942" s="15" t="n"/>
      <c r="F1942" s="20">
        <f>IF($B1942="","",IFERROR(INDEX(WageDates,MATCH($B1942,WageIds,0)),"—"))</f>
        <v/>
      </c>
      <c r="G1942" s="20">
        <f>IF($B1942="","",IFERROR(VLOOKUP(INDEX(WageParty,MATCH($B1942,WageIds,0)),WGTbl,2,0),"—"))</f>
        <v/>
      </c>
      <c r="H1942" s="12" t="n"/>
    </row>
    <row r="1943">
      <c r="A1943" s="10">
        <f>IF($B1943="","",COUNTA($B$9:$B1943))</f>
        <v/>
      </c>
      <c r="B1943" s="12" t="n"/>
      <c r="C1943" s="13" t="n"/>
      <c r="D1943" s="14">
        <f>IF($C1943="","",IFERROR(IF(VLOOKUP($C1943,AcctTblE,4,0)="","(بدون نام)",VLOOKUP($C1943,AcctTblE,4,0)),"کد ناشناخته"))</f>
        <v/>
      </c>
      <c r="E1943" s="15" t="n"/>
      <c r="F1943" s="14">
        <f>IF($B1943="","",IFERROR(INDEX(WageDates,MATCH($B1943,WageIds,0)),"—"))</f>
        <v/>
      </c>
      <c r="G1943" s="14">
        <f>IF($B1943="","",IFERROR(VLOOKUP(INDEX(WageParty,MATCH($B1943,WageIds,0)),WGTbl,2,0),"—"))</f>
        <v/>
      </c>
      <c r="H1943" s="12" t="n"/>
    </row>
    <row r="1944">
      <c r="A1944" s="19">
        <f>IF($B1944="","",COUNTA($B$9:$B1944))</f>
        <v/>
      </c>
      <c r="B1944" s="12" t="n"/>
      <c r="C1944" s="13" t="n"/>
      <c r="D1944" s="20">
        <f>IF($C1944="","",IFERROR(IF(VLOOKUP($C1944,AcctTblE,4,0)="","(بدون نام)",VLOOKUP($C1944,AcctTblE,4,0)),"کد ناشناخته"))</f>
        <v/>
      </c>
      <c r="E1944" s="15" t="n"/>
      <c r="F1944" s="20">
        <f>IF($B1944="","",IFERROR(INDEX(WageDates,MATCH($B1944,WageIds,0)),"—"))</f>
        <v/>
      </c>
      <c r="G1944" s="20">
        <f>IF($B1944="","",IFERROR(VLOOKUP(INDEX(WageParty,MATCH($B1944,WageIds,0)),WGTbl,2,0),"—"))</f>
        <v/>
      </c>
      <c r="H1944" s="12" t="n"/>
    </row>
    <row r="1945">
      <c r="A1945" s="10">
        <f>IF($B1945="","",COUNTA($B$9:$B1945))</f>
        <v/>
      </c>
      <c r="B1945" s="12" t="n"/>
      <c r="C1945" s="13" t="n"/>
      <c r="D1945" s="14">
        <f>IF($C1945="","",IFERROR(IF(VLOOKUP($C1945,AcctTblE,4,0)="","(بدون نام)",VLOOKUP($C1945,AcctTblE,4,0)),"کد ناشناخته"))</f>
        <v/>
      </c>
      <c r="E1945" s="15" t="n"/>
      <c r="F1945" s="14">
        <f>IF($B1945="","",IFERROR(INDEX(WageDates,MATCH($B1945,WageIds,0)),"—"))</f>
        <v/>
      </c>
      <c r="G1945" s="14">
        <f>IF($B1945="","",IFERROR(VLOOKUP(INDEX(WageParty,MATCH($B1945,WageIds,0)),WGTbl,2,0),"—"))</f>
        <v/>
      </c>
      <c r="H1945" s="12" t="n"/>
    </row>
    <row r="1946">
      <c r="A1946" s="19">
        <f>IF($B1946="","",COUNTA($B$9:$B1946))</f>
        <v/>
      </c>
      <c r="B1946" s="12" t="n"/>
      <c r="C1946" s="13" t="n"/>
      <c r="D1946" s="20">
        <f>IF($C1946="","",IFERROR(IF(VLOOKUP($C1946,AcctTblE,4,0)="","(بدون نام)",VLOOKUP($C1946,AcctTblE,4,0)),"کد ناشناخته"))</f>
        <v/>
      </c>
      <c r="E1946" s="15" t="n"/>
      <c r="F1946" s="20">
        <f>IF($B1946="","",IFERROR(INDEX(WageDates,MATCH($B1946,WageIds,0)),"—"))</f>
        <v/>
      </c>
      <c r="G1946" s="20">
        <f>IF($B1946="","",IFERROR(VLOOKUP(INDEX(WageParty,MATCH($B1946,WageIds,0)),WGTbl,2,0),"—"))</f>
        <v/>
      </c>
      <c r="H1946" s="12" t="n"/>
    </row>
    <row r="1947">
      <c r="A1947" s="10">
        <f>IF($B1947="","",COUNTA($B$9:$B1947))</f>
        <v/>
      </c>
      <c r="B1947" s="12" t="n"/>
      <c r="C1947" s="13" t="n"/>
      <c r="D1947" s="14">
        <f>IF($C1947="","",IFERROR(IF(VLOOKUP($C1947,AcctTblE,4,0)="","(بدون نام)",VLOOKUP($C1947,AcctTblE,4,0)),"کد ناشناخته"))</f>
        <v/>
      </c>
      <c r="E1947" s="15" t="n"/>
      <c r="F1947" s="14">
        <f>IF($B1947="","",IFERROR(INDEX(WageDates,MATCH($B1947,WageIds,0)),"—"))</f>
        <v/>
      </c>
      <c r="G1947" s="14">
        <f>IF($B1947="","",IFERROR(VLOOKUP(INDEX(WageParty,MATCH($B1947,WageIds,0)),WGTbl,2,0),"—"))</f>
        <v/>
      </c>
      <c r="H1947" s="12" t="n"/>
    </row>
    <row r="1948">
      <c r="A1948" s="19">
        <f>IF($B1948="","",COUNTA($B$9:$B1948))</f>
        <v/>
      </c>
      <c r="B1948" s="12" t="n"/>
      <c r="C1948" s="13" t="n"/>
      <c r="D1948" s="20">
        <f>IF($C1948="","",IFERROR(IF(VLOOKUP($C1948,AcctTblE,4,0)="","(بدون نام)",VLOOKUP($C1948,AcctTblE,4,0)),"کد ناشناخته"))</f>
        <v/>
      </c>
      <c r="E1948" s="15" t="n"/>
      <c r="F1948" s="20">
        <f>IF($B1948="","",IFERROR(INDEX(WageDates,MATCH($B1948,WageIds,0)),"—"))</f>
        <v/>
      </c>
      <c r="G1948" s="20">
        <f>IF($B1948="","",IFERROR(VLOOKUP(INDEX(WageParty,MATCH($B1948,WageIds,0)),WGTbl,2,0),"—"))</f>
        <v/>
      </c>
      <c r="H1948" s="12" t="n"/>
    </row>
    <row r="1949">
      <c r="A1949" s="10">
        <f>IF($B1949="","",COUNTA($B$9:$B1949))</f>
        <v/>
      </c>
      <c r="B1949" s="12" t="n"/>
      <c r="C1949" s="13" t="n"/>
      <c r="D1949" s="14">
        <f>IF($C1949="","",IFERROR(IF(VLOOKUP($C1949,AcctTblE,4,0)="","(بدون نام)",VLOOKUP($C1949,AcctTblE,4,0)),"کد ناشناخته"))</f>
        <v/>
      </c>
      <c r="E1949" s="15" t="n"/>
      <c r="F1949" s="14">
        <f>IF($B1949="","",IFERROR(INDEX(WageDates,MATCH($B1949,WageIds,0)),"—"))</f>
        <v/>
      </c>
      <c r="G1949" s="14">
        <f>IF($B1949="","",IFERROR(VLOOKUP(INDEX(WageParty,MATCH($B1949,WageIds,0)),WGTbl,2,0),"—"))</f>
        <v/>
      </c>
      <c r="H1949" s="12" t="n"/>
    </row>
    <row r="1950">
      <c r="A1950" s="19">
        <f>IF($B1950="","",COUNTA($B$9:$B1950))</f>
        <v/>
      </c>
      <c r="B1950" s="12" t="n"/>
      <c r="C1950" s="13" t="n"/>
      <c r="D1950" s="20">
        <f>IF($C1950="","",IFERROR(IF(VLOOKUP($C1950,AcctTblE,4,0)="","(بدون نام)",VLOOKUP($C1950,AcctTblE,4,0)),"کد ناشناخته"))</f>
        <v/>
      </c>
      <c r="E1950" s="15" t="n"/>
      <c r="F1950" s="20">
        <f>IF($B1950="","",IFERROR(INDEX(WageDates,MATCH($B1950,WageIds,0)),"—"))</f>
        <v/>
      </c>
      <c r="G1950" s="20">
        <f>IF($B1950="","",IFERROR(VLOOKUP(INDEX(WageParty,MATCH($B1950,WageIds,0)),WGTbl,2,0),"—"))</f>
        <v/>
      </c>
      <c r="H1950" s="12" t="n"/>
    </row>
    <row r="1951">
      <c r="A1951" s="10">
        <f>IF($B1951="","",COUNTA($B$9:$B1951))</f>
        <v/>
      </c>
      <c r="B1951" s="12" t="n"/>
      <c r="C1951" s="13" t="n"/>
      <c r="D1951" s="14">
        <f>IF($C1951="","",IFERROR(IF(VLOOKUP($C1951,AcctTblE,4,0)="","(بدون نام)",VLOOKUP($C1951,AcctTblE,4,0)),"کد ناشناخته"))</f>
        <v/>
      </c>
      <c r="E1951" s="15" t="n"/>
      <c r="F1951" s="14">
        <f>IF($B1951="","",IFERROR(INDEX(WageDates,MATCH($B1951,WageIds,0)),"—"))</f>
        <v/>
      </c>
      <c r="G1951" s="14">
        <f>IF($B1951="","",IFERROR(VLOOKUP(INDEX(WageParty,MATCH($B1951,WageIds,0)),WGTbl,2,0),"—"))</f>
        <v/>
      </c>
      <c r="H1951" s="12" t="n"/>
    </row>
    <row r="1952">
      <c r="A1952" s="19">
        <f>IF($B1952="","",COUNTA($B$9:$B1952))</f>
        <v/>
      </c>
      <c r="B1952" s="12" t="n"/>
      <c r="C1952" s="13" t="n"/>
      <c r="D1952" s="20">
        <f>IF($C1952="","",IFERROR(IF(VLOOKUP($C1952,AcctTblE,4,0)="","(بدون نام)",VLOOKUP($C1952,AcctTblE,4,0)),"کد ناشناخته"))</f>
        <v/>
      </c>
      <c r="E1952" s="15" t="n"/>
      <c r="F1952" s="20">
        <f>IF($B1952="","",IFERROR(INDEX(WageDates,MATCH($B1952,WageIds,0)),"—"))</f>
        <v/>
      </c>
      <c r="G1952" s="20">
        <f>IF($B1952="","",IFERROR(VLOOKUP(INDEX(WageParty,MATCH($B1952,WageIds,0)),WGTbl,2,0),"—"))</f>
        <v/>
      </c>
      <c r="H1952" s="12" t="n"/>
    </row>
    <row r="1953">
      <c r="A1953" s="10">
        <f>IF($B1953="","",COUNTA($B$9:$B1953))</f>
        <v/>
      </c>
      <c r="B1953" s="12" t="n"/>
      <c r="C1953" s="13" t="n"/>
      <c r="D1953" s="14">
        <f>IF($C1953="","",IFERROR(IF(VLOOKUP($C1953,AcctTblE,4,0)="","(بدون نام)",VLOOKUP($C1953,AcctTblE,4,0)),"کد ناشناخته"))</f>
        <v/>
      </c>
      <c r="E1953" s="15" t="n"/>
      <c r="F1953" s="14">
        <f>IF($B1953="","",IFERROR(INDEX(WageDates,MATCH($B1953,WageIds,0)),"—"))</f>
        <v/>
      </c>
      <c r="G1953" s="14">
        <f>IF($B1953="","",IFERROR(VLOOKUP(INDEX(WageParty,MATCH($B1953,WageIds,0)),WGTbl,2,0),"—"))</f>
        <v/>
      </c>
      <c r="H1953" s="12" t="n"/>
    </row>
    <row r="1954">
      <c r="A1954" s="19">
        <f>IF($B1954="","",COUNTA($B$9:$B1954))</f>
        <v/>
      </c>
      <c r="B1954" s="12" t="n"/>
      <c r="C1954" s="13" t="n"/>
      <c r="D1954" s="20">
        <f>IF($C1954="","",IFERROR(IF(VLOOKUP($C1954,AcctTblE,4,0)="","(بدون نام)",VLOOKUP($C1954,AcctTblE,4,0)),"کد ناشناخته"))</f>
        <v/>
      </c>
      <c r="E1954" s="15" t="n"/>
      <c r="F1954" s="20">
        <f>IF($B1954="","",IFERROR(INDEX(WageDates,MATCH($B1954,WageIds,0)),"—"))</f>
        <v/>
      </c>
      <c r="G1954" s="20">
        <f>IF($B1954="","",IFERROR(VLOOKUP(INDEX(WageParty,MATCH($B1954,WageIds,0)),WGTbl,2,0),"—"))</f>
        <v/>
      </c>
      <c r="H1954" s="12" t="n"/>
    </row>
    <row r="1955">
      <c r="A1955" s="10">
        <f>IF($B1955="","",COUNTA($B$9:$B1955))</f>
        <v/>
      </c>
      <c r="B1955" s="12" t="n"/>
      <c r="C1955" s="13" t="n"/>
      <c r="D1955" s="14">
        <f>IF($C1955="","",IFERROR(IF(VLOOKUP($C1955,AcctTblE,4,0)="","(بدون نام)",VLOOKUP($C1955,AcctTblE,4,0)),"کد ناشناخته"))</f>
        <v/>
      </c>
      <c r="E1955" s="15" t="n"/>
      <c r="F1955" s="14">
        <f>IF($B1955="","",IFERROR(INDEX(WageDates,MATCH($B1955,WageIds,0)),"—"))</f>
        <v/>
      </c>
      <c r="G1955" s="14">
        <f>IF($B1955="","",IFERROR(VLOOKUP(INDEX(WageParty,MATCH($B1955,WageIds,0)),WGTbl,2,0),"—"))</f>
        <v/>
      </c>
      <c r="H1955" s="12" t="n"/>
    </row>
    <row r="1956">
      <c r="A1956" s="19">
        <f>IF($B1956="","",COUNTA($B$9:$B1956))</f>
        <v/>
      </c>
      <c r="B1956" s="12" t="n"/>
      <c r="C1956" s="13" t="n"/>
      <c r="D1956" s="20">
        <f>IF($C1956="","",IFERROR(IF(VLOOKUP($C1956,AcctTblE,4,0)="","(بدون نام)",VLOOKUP($C1956,AcctTblE,4,0)),"کد ناشناخته"))</f>
        <v/>
      </c>
      <c r="E1956" s="15" t="n"/>
      <c r="F1956" s="20">
        <f>IF($B1956="","",IFERROR(INDEX(WageDates,MATCH($B1956,WageIds,0)),"—"))</f>
        <v/>
      </c>
      <c r="G1956" s="20">
        <f>IF($B1956="","",IFERROR(VLOOKUP(INDEX(WageParty,MATCH($B1956,WageIds,0)),WGTbl,2,0),"—"))</f>
        <v/>
      </c>
      <c r="H1956" s="12" t="n"/>
    </row>
    <row r="1957">
      <c r="A1957" s="10">
        <f>IF($B1957="","",COUNTA($B$9:$B1957))</f>
        <v/>
      </c>
      <c r="B1957" s="12" t="n"/>
      <c r="C1957" s="13" t="n"/>
      <c r="D1957" s="14">
        <f>IF($C1957="","",IFERROR(IF(VLOOKUP($C1957,AcctTblE,4,0)="","(بدون نام)",VLOOKUP($C1957,AcctTblE,4,0)),"کد ناشناخته"))</f>
        <v/>
      </c>
      <c r="E1957" s="15" t="n"/>
      <c r="F1957" s="14">
        <f>IF($B1957="","",IFERROR(INDEX(WageDates,MATCH($B1957,WageIds,0)),"—"))</f>
        <v/>
      </c>
      <c r="G1957" s="14">
        <f>IF($B1957="","",IFERROR(VLOOKUP(INDEX(WageParty,MATCH($B1957,WageIds,0)),WGTbl,2,0),"—"))</f>
        <v/>
      </c>
      <c r="H1957" s="12" t="n"/>
    </row>
    <row r="1958">
      <c r="A1958" s="19">
        <f>IF($B1958="","",COUNTA($B$9:$B1958))</f>
        <v/>
      </c>
      <c r="B1958" s="12" t="n"/>
      <c r="C1958" s="13" t="n"/>
      <c r="D1958" s="20">
        <f>IF($C1958="","",IFERROR(IF(VLOOKUP($C1958,AcctTblE,4,0)="","(بدون نام)",VLOOKUP($C1958,AcctTblE,4,0)),"کد ناشناخته"))</f>
        <v/>
      </c>
      <c r="E1958" s="15" t="n"/>
      <c r="F1958" s="20">
        <f>IF($B1958="","",IFERROR(INDEX(WageDates,MATCH($B1958,WageIds,0)),"—"))</f>
        <v/>
      </c>
      <c r="G1958" s="20">
        <f>IF($B1958="","",IFERROR(VLOOKUP(INDEX(WageParty,MATCH($B1958,WageIds,0)),WGTbl,2,0),"—"))</f>
        <v/>
      </c>
      <c r="H1958" s="12" t="n"/>
    </row>
    <row r="1959">
      <c r="A1959" s="10">
        <f>IF($B1959="","",COUNTA($B$9:$B1959))</f>
        <v/>
      </c>
      <c r="B1959" s="12" t="n"/>
      <c r="C1959" s="13" t="n"/>
      <c r="D1959" s="14">
        <f>IF($C1959="","",IFERROR(IF(VLOOKUP($C1959,AcctTblE,4,0)="","(بدون نام)",VLOOKUP($C1959,AcctTblE,4,0)),"کد ناشناخته"))</f>
        <v/>
      </c>
      <c r="E1959" s="15" t="n"/>
      <c r="F1959" s="14">
        <f>IF($B1959="","",IFERROR(INDEX(WageDates,MATCH($B1959,WageIds,0)),"—"))</f>
        <v/>
      </c>
      <c r="G1959" s="14">
        <f>IF($B1959="","",IFERROR(VLOOKUP(INDEX(WageParty,MATCH($B1959,WageIds,0)),WGTbl,2,0),"—"))</f>
        <v/>
      </c>
      <c r="H1959" s="12" t="n"/>
    </row>
    <row r="1960">
      <c r="A1960" s="19">
        <f>IF($B1960="","",COUNTA($B$9:$B1960))</f>
        <v/>
      </c>
      <c r="B1960" s="12" t="n"/>
      <c r="C1960" s="13" t="n"/>
      <c r="D1960" s="20">
        <f>IF($C1960="","",IFERROR(IF(VLOOKUP($C1960,AcctTblE,4,0)="","(بدون نام)",VLOOKUP($C1960,AcctTblE,4,0)),"کد ناشناخته"))</f>
        <v/>
      </c>
      <c r="E1960" s="15" t="n"/>
      <c r="F1960" s="20">
        <f>IF($B1960="","",IFERROR(INDEX(WageDates,MATCH($B1960,WageIds,0)),"—"))</f>
        <v/>
      </c>
      <c r="G1960" s="20">
        <f>IF($B1960="","",IFERROR(VLOOKUP(INDEX(WageParty,MATCH($B1960,WageIds,0)),WGTbl,2,0),"—"))</f>
        <v/>
      </c>
      <c r="H1960" s="12" t="n"/>
    </row>
    <row r="1961">
      <c r="A1961" s="10">
        <f>IF($B1961="","",COUNTA($B$9:$B1961))</f>
        <v/>
      </c>
      <c r="B1961" s="12" t="n"/>
      <c r="C1961" s="13" t="n"/>
      <c r="D1961" s="14">
        <f>IF($C1961="","",IFERROR(IF(VLOOKUP($C1961,AcctTblE,4,0)="","(بدون نام)",VLOOKUP($C1961,AcctTblE,4,0)),"کد ناشناخته"))</f>
        <v/>
      </c>
      <c r="E1961" s="15" t="n"/>
      <c r="F1961" s="14">
        <f>IF($B1961="","",IFERROR(INDEX(WageDates,MATCH($B1961,WageIds,0)),"—"))</f>
        <v/>
      </c>
      <c r="G1961" s="14">
        <f>IF($B1961="","",IFERROR(VLOOKUP(INDEX(WageParty,MATCH($B1961,WageIds,0)),WGTbl,2,0),"—"))</f>
        <v/>
      </c>
      <c r="H1961" s="12" t="n"/>
    </row>
    <row r="1962">
      <c r="A1962" s="19">
        <f>IF($B1962="","",COUNTA($B$9:$B1962))</f>
        <v/>
      </c>
      <c r="B1962" s="12" t="n"/>
      <c r="C1962" s="13" t="n"/>
      <c r="D1962" s="20">
        <f>IF($C1962="","",IFERROR(IF(VLOOKUP($C1962,AcctTblE,4,0)="","(بدون نام)",VLOOKUP($C1962,AcctTblE,4,0)),"کد ناشناخته"))</f>
        <v/>
      </c>
      <c r="E1962" s="15" t="n"/>
      <c r="F1962" s="20">
        <f>IF($B1962="","",IFERROR(INDEX(WageDates,MATCH($B1962,WageIds,0)),"—"))</f>
        <v/>
      </c>
      <c r="G1962" s="20">
        <f>IF($B1962="","",IFERROR(VLOOKUP(INDEX(WageParty,MATCH($B1962,WageIds,0)),WGTbl,2,0),"—"))</f>
        <v/>
      </c>
      <c r="H1962" s="12" t="n"/>
    </row>
    <row r="1963">
      <c r="A1963" s="10">
        <f>IF($B1963="","",COUNTA($B$9:$B1963))</f>
        <v/>
      </c>
      <c r="B1963" s="12" t="n"/>
      <c r="C1963" s="13" t="n"/>
      <c r="D1963" s="14">
        <f>IF($C1963="","",IFERROR(IF(VLOOKUP($C1963,AcctTblE,4,0)="","(بدون نام)",VLOOKUP($C1963,AcctTblE,4,0)),"کد ناشناخته"))</f>
        <v/>
      </c>
      <c r="E1963" s="15" t="n"/>
      <c r="F1963" s="14">
        <f>IF($B1963="","",IFERROR(INDEX(WageDates,MATCH($B1963,WageIds,0)),"—"))</f>
        <v/>
      </c>
      <c r="G1963" s="14">
        <f>IF($B1963="","",IFERROR(VLOOKUP(INDEX(WageParty,MATCH($B1963,WageIds,0)),WGTbl,2,0),"—"))</f>
        <v/>
      </c>
      <c r="H1963" s="12" t="n"/>
    </row>
    <row r="1964">
      <c r="A1964" s="19">
        <f>IF($B1964="","",COUNTA($B$9:$B1964))</f>
        <v/>
      </c>
      <c r="B1964" s="12" t="n"/>
      <c r="C1964" s="13" t="n"/>
      <c r="D1964" s="20">
        <f>IF($C1964="","",IFERROR(IF(VLOOKUP($C1964,AcctTblE,4,0)="","(بدون نام)",VLOOKUP($C1964,AcctTblE,4,0)),"کد ناشناخته"))</f>
        <v/>
      </c>
      <c r="E1964" s="15" t="n"/>
      <c r="F1964" s="20">
        <f>IF($B1964="","",IFERROR(INDEX(WageDates,MATCH($B1964,WageIds,0)),"—"))</f>
        <v/>
      </c>
      <c r="G1964" s="20">
        <f>IF($B1964="","",IFERROR(VLOOKUP(INDEX(WageParty,MATCH($B1964,WageIds,0)),WGTbl,2,0),"—"))</f>
        <v/>
      </c>
      <c r="H1964" s="12" t="n"/>
    </row>
    <row r="1965">
      <c r="A1965" s="10">
        <f>IF($B1965="","",COUNTA($B$9:$B1965))</f>
        <v/>
      </c>
      <c r="B1965" s="12" t="n"/>
      <c r="C1965" s="13" t="n"/>
      <c r="D1965" s="14">
        <f>IF($C1965="","",IFERROR(IF(VLOOKUP($C1965,AcctTblE,4,0)="","(بدون نام)",VLOOKUP($C1965,AcctTblE,4,0)),"کد ناشناخته"))</f>
        <v/>
      </c>
      <c r="E1965" s="15" t="n"/>
      <c r="F1965" s="14">
        <f>IF($B1965="","",IFERROR(INDEX(WageDates,MATCH($B1965,WageIds,0)),"—"))</f>
        <v/>
      </c>
      <c r="G1965" s="14">
        <f>IF($B1965="","",IFERROR(VLOOKUP(INDEX(WageParty,MATCH($B1965,WageIds,0)),WGTbl,2,0),"—"))</f>
        <v/>
      </c>
      <c r="H1965" s="12" t="n"/>
    </row>
    <row r="1966">
      <c r="A1966" s="19">
        <f>IF($B1966="","",COUNTA($B$9:$B1966))</f>
        <v/>
      </c>
      <c r="B1966" s="12" t="n"/>
      <c r="C1966" s="13" t="n"/>
      <c r="D1966" s="20">
        <f>IF($C1966="","",IFERROR(IF(VLOOKUP($C1966,AcctTblE,4,0)="","(بدون نام)",VLOOKUP($C1966,AcctTblE,4,0)),"کد ناشناخته"))</f>
        <v/>
      </c>
      <c r="E1966" s="15" t="n"/>
      <c r="F1966" s="20">
        <f>IF($B1966="","",IFERROR(INDEX(WageDates,MATCH($B1966,WageIds,0)),"—"))</f>
        <v/>
      </c>
      <c r="G1966" s="20">
        <f>IF($B1966="","",IFERROR(VLOOKUP(INDEX(WageParty,MATCH($B1966,WageIds,0)),WGTbl,2,0),"—"))</f>
        <v/>
      </c>
      <c r="H1966" s="12" t="n"/>
    </row>
    <row r="1967">
      <c r="A1967" s="10">
        <f>IF($B1967="","",COUNTA($B$9:$B1967))</f>
        <v/>
      </c>
      <c r="B1967" s="12" t="n"/>
      <c r="C1967" s="13" t="n"/>
      <c r="D1967" s="14">
        <f>IF($C1967="","",IFERROR(IF(VLOOKUP($C1967,AcctTblE,4,0)="","(بدون نام)",VLOOKUP($C1967,AcctTblE,4,0)),"کد ناشناخته"))</f>
        <v/>
      </c>
      <c r="E1967" s="15" t="n"/>
      <c r="F1967" s="14">
        <f>IF($B1967="","",IFERROR(INDEX(WageDates,MATCH($B1967,WageIds,0)),"—"))</f>
        <v/>
      </c>
      <c r="G1967" s="14">
        <f>IF($B1967="","",IFERROR(VLOOKUP(INDEX(WageParty,MATCH($B1967,WageIds,0)),WGTbl,2,0),"—"))</f>
        <v/>
      </c>
      <c r="H1967" s="12" t="n"/>
    </row>
    <row r="1968">
      <c r="A1968" s="19">
        <f>IF($B1968="","",COUNTA($B$9:$B1968))</f>
        <v/>
      </c>
      <c r="B1968" s="12" t="n"/>
      <c r="C1968" s="13" t="n"/>
      <c r="D1968" s="20">
        <f>IF($C1968="","",IFERROR(IF(VLOOKUP($C1968,AcctTblE,4,0)="","(بدون نام)",VLOOKUP($C1968,AcctTblE,4,0)),"کد ناشناخته"))</f>
        <v/>
      </c>
      <c r="E1968" s="15" t="n"/>
      <c r="F1968" s="20">
        <f>IF($B1968="","",IFERROR(INDEX(WageDates,MATCH($B1968,WageIds,0)),"—"))</f>
        <v/>
      </c>
      <c r="G1968" s="20">
        <f>IF($B1968="","",IFERROR(VLOOKUP(INDEX(WageParty,MATCH($B1968,WageIds,0)),WGTbl,2,0),"—"))</f>
        <v/>
      </c>
      <c r="H1968" s="12" t="n"/>
    </row>
    <row r="1969">
      <c r="A1969" s="10">
        <f>IF($B1969="","",COUNTA($B$9:$B1969))</f>
        <v/>
      </c>
      <c r="B1969" s="12" t="n"/>
      <c r="C1969" s="13" t="n"/>
      <c r="D1969" s="14">
        <f>IF($C1969="","",IFERROR(IF(VLOOKUP($C1969,AcctTblE,4,0)="","(بدون نام)",VLOOKUP($C1969,AcctTblE,4,0)),"کد ناشناخته"))</f>
        <v/>
      </c>
      <c r="E1969" s="15" t="n"/>
      <c r="F1969" s="14">
        <f>IF($B1969="","",IFERROR(INDEX(WageDates,MATCH($B1969,WageIds,0)),"—"))</f>
        <v/>
      </c>
      <c r="G1969" s="14">
        <f>IF($B1969="","",IFERROR(VLOOKUP(INDEX(WageParty,MATCH($B1969,WageIds,0)),WGTbl,2,0),"—"))</f>
        <v/>
      </c>
      <c r="H1969" s="12" t="n"/>
    </row>
    <row r="1970">
      <c r="A1970" s="19">
        <f>IF($B1970="","",COUNTA($B$9:$B1970))</f>
        <v/>
      </c>
      <c r="B1970" s="12" t="n"/>
      <c r="C1970" s="13" t="n"/>
      <c r="D1970" s="20">
        <f>IF($C1970="","",IFERROR(IF(VLOOKUP($C1970,AcctTblE,4,0)="","(بدون نام)",VLOOKUP($C1970,AcctTblE,4,0)),"کد ناشناخته"))</f>
        <v/>
      </c>
      <c r="E1970" s="15" t="n"/>
      <c r="F1970" s="20">
        <f>IF($B1970="","",IFERROR(INDEX(WageDates,MATCH($B1970,WageIds,0)),"—"))</f>
        <v/>
      </c>
      <c r="G1970" s="20">
        <f>IF($B1970="","",IFERROR(VLOOKUP(INDEX(WageParty,MATCH($B1970,WageIds,0)),WGTbl,2,0),"—"))</f>
        <v/>
      </c>
      <c r="H1970" s="12" t="n"/>
    </row>
    <row r="1971">
      <c r="A1971" s="10">
        <f>IF($B1971="","",COUNTA($B$9:$B1971))</f>
        <v/>
      </c>
      <c r="B1971" s="12" t="n"/>
      <c r="C1971" s="13" t="n"/>
      <c r="D1971" s="14">
        <f>IF($C1971="","",IFERROR(IF(VLOOKUP($C1971,AcctTblE,4,0)="","(بدون نام)",VLOOKUP($C1971,AcctTblE,4,0)),"کد ناشناخته"))</f>
        <v/>
      </c>
      <c r="E1971" s="15" t="n"/>
      <c r="F1971" s="14">
        <f>IF($B1971="","",IFERROR(INDEX(WageDates,MATCH($B1971,WageIds,0)),"—"))</f>
        <v/>
      </c>
      <c r="G1971" s="14">
        <f>IF($B1971="","",IFERROR(VLOOKUP(INDEX(WageParty,MATCH($B1971,WageIds,0)),WGTbl,2,0),"—"))</f>
        <v/>
      </c>
      <c r="H1971" s="12" t="n"/>
    </row>
    <row r="1972">
      <c r="A1972" s="19">
        <f>IF($B1972="","",COUNTA($B$9:$B1972))</f>
        <v/>
      </c>
      <c r="B1972" s="12" t="n"/>
      <c r="C1972" s="13" t="n"/>
      <c r="D1972" s="20">
        <f>IF($C1972="","",IFERROR(IF(VLOOKUP($C1972,AcctTblE,4,0)="","(بدون نام)",VLOOKUP($C1972,AcctTblE,4,0)),"کد ناشناخته"))</f>
        <v/>
      </c>
      <c r="E1972" s="15" t="n"/>
      <c r="F1972" s="20">
        <f>IF($B1972="","",IFERROR(INDEX(WageDates,MATCH($B1972,WageIds,0)),"—"))</f>
        <v/>
      </c>
      <c r="G1972" s="20">
        <f>IF($B1972="","",IFERROR(VLOOKUP(INDEX(WageParty,MATCH($B1972,WageIds,0)),WGTbl,2,0),"—"))</f>
        <v/>
      </c>
      <c r="H1972" s="12" t="n"/>
    </row>
    <row r="1973">
      <c r="A1973" s="10">
        <f>IF($B1973="","",COUNTA($B$9:$B1973))</f>
        <v/>
      </c>
      <c r="B1973" s="12" t="n"/>
      <c r="C1973" s="13" t="n"/>
      <c r="D1973" s="14">
        <f>IF($C1973="","",IFERROR(IF(VLOOKUP($C1973,AcctTblE,4,0)="","(بدون نام)",VLOOKUP($C1973,AcctTblE,4,0)),"کد ناشناخته"))</f>
        <v/>
      </c>
      <c r="E1973" s="15" t="n"/>
      <c r="F1973" s="14">
        <f>IF($B1973="","",IFERROR(INDEX(WageDates,MATCH($B1973,WageIds,0)),"—"))</f>
        <v/>
      </c>
      <c r="G1973" s="14">
        <f>IF($B1973="","",IFERROR(VLOOKUP(INDEX(WageParty,MATCH($B1973,WageIds,0)),WGTbl,2,0),"—"))</f>
        <v/>
      </c>
      <c r="H1973" s="12" t="n"/>
    </row>
    <row r="1974">
      <c r="A1974" s="19">
        <f>IF($B1974="","",COUNTA($B$9:$B1974))</f>
        <v/>
      </c>
      <c r="B1974" s="12" t="n"/>
      <c r="C1974" s="13" t="n"/>
      <c r="D1974" s="20">
        <f>IF($C1974="","",IFERROR(IF(VLOOKUP($C1974,AcctTblE,4,0)="","(بدون نام)",VLOOKUP($C1974,AcctTblE,4,0)),"کد ناشناخته"))</f>
        <v/>
      </c>
      <c r="E1974" s="15" t="n"/>
      <c r="F1974" s="20">
        <f>IF($B1974="","",IFERROR(INDEX(WageDates,MATCH($B1974,WageIds,0)),"—"))</f>
        <v/>
      </c>
      <c r="G1974" s="20">
        <f>IF($B1974="","",IFERROR(VLOOKUP(INDEX(WageParty,MATCH($B1974,WageIds,0)),WGTbl,2,0),"—"))</f>
        <v/>
      </c>
      <c r="H1974" s="12" t="n"/>
    </row>
    <row r="1975">
      <c r="A1975" s="10">
        <f>IF($B1975="","",COUNTA($B$9:$B1975))</f>
        <v/>
      </c>
      <c r="B1975" s="12" t="n"/>
      <c r="C1975" s="13" t="n"/>
      <c r="D1975" s="14">
        <f>IF($C1975="","",IFERROR(IF(VLOOKUP($C1975,AcctTblE,4,0)="","(بدون نام)",VLOOKUP($C1975,AcctTblE,4,0)),"کد ناشناخته"))</f>
        <v/>
      </c>
      <c r="E1975" s="15" t="n"/>
      <c r="F1975" s="14">
        <f>IF($B1975="","",IFERROR(INDEX(WageDates,MATCH($B1975,WageIds,0)),"—"))</f>
        <v/>
      </c>
      <c r="G1975" s="14">
        <f>IF($B1975="","",IFERROR(VLOOKUP(INDEX(WageParty,MATCH($B1975,WageIds,0)),WGTbl,2,0),"—"))</f>
        <v/>
      </c>
      <c r="H1975" s="12" t="n"/>
    </row>
    <row r="1976">
      <c r="A1976" s="19">
        <f>IF($B1976="","",COUNTA($B$9:$B1976))</f>
        <v/>
      </c>
      <c r="B1976" s="12" t="n"/>
      <c r="C1976" s="13" t="n"/>
      <c r="D1976" s="20">
        <f>IF($C1976="","",IFERROR(IF(VLOOKUP($C1976,AcctTblE,4,0)="","(بدون نام)",VLOOKUP($C1976,AcctTblE,4,0)),"کد ناشناخته"))</f>
        <v/>
      </c>
      <c r="E1976" s="15" t="n"/>
      <c r="F1976" s="20">
        <f>IF($B1976="","",IFERROR(INDEX(WageDates,MATCH($B1976,WageIds,0)),"—"))</f>
        <v/>
      </c>
      <c r="G1976" s="20">
        <f>IF($B1976="","",IFERROR(VLOOKUP(INDEX(WageParty,MATCH($B1976,WageIds,0)),WGTbl,2,0),"—"))</f>
        <v/>
      </c>
      <c r="H1976" s="12" t="n"/>
    </row>
    <row r="1977">
      <c r="A1977" s="10">
        <f>IF($B1977="","",COUNTA($B$9:$B1977))</f>
        <v/>
      </c>
      <c r="B1977" s="12" t="n"/>
      <c r="C1977" s="13" t="n"/>
      <c r="D1977" s="14">
        <f>IF($C1977="","",IFERROR(IF(VLOOKUP($C1977,AcctTblE,4,0)="","(بدون نام)",VLOOKUP($C1977,AcctTblE,4,0)),"کد ناشناخته"))</f>
        <v/>
      </c>
      <c r="E1977" s="15" t="n"/>
      <c r="F1977" s="14">
        <f>IF($B1977="","",IFERROR(INDEX(WageDates,MATCH($B1977,WageIds,0)),"—"))</f>
        <v/>
      </c>
      <c r="G1977" s="14">
        <f>IF($B1977="","",IFERROR(VLOOKUP(INDEX(WageParty,MATCH($B1977,WageIds,0)),WGTbl,2,0),"—"))</f>
        <v/>
      </c>
      <c r="H1977" s="12" t="n"/>
    </row>
    <row r="1978">
      <c r="A1978" s="19">
        <f>IF($B1978="","",COUNTA($B$9:$B1978))</f>
        <v/>
      </c>
      <c r="B1978" s="12" t="n"/>
      <c r="C1978" s="13" t="n"/>
      <c r="D1978" s="20">
        <f>IF($C1978="","",IFERROR(IF(VLOOKUP($C1978,AcctTblE,4,0)="","(بدون نام)",VLOOKUP($C1978,AcctTblE,4,0)),"کد ناشناخته"))</f>
        <v/>
      </c>
      <c r="E1978" s="15" t="n"/>
      <c r="F1978" s="20">
        <f>IF($B1978="","",IFERROR(INDEX(WageDates,MATCH($B1978,WageIds,0)),"—"))</f>
        <v/>
      </c>
      <c r="G1978" s="20">
        <f>IF($B1978="","",IFERROR(VLOOKUP(INDEX(WageParty,MATCH($B1978,WageIds,0)),WGTbl,2,0),"—"))</f>
        <v/>
      </c>
      <c r="H1978" s="12" t="n"/>
    </row>
    <row r="1979">
      <c r="A1979" s="10">
        <f>IF($B1979="","",COUNTA($B$9:$B1979))</f>
        <v/>
      </c>
      <c r="B1979" s="12" t="n"/>
      <c r="C1979" s="13" t="n"/>
      <c r="D1979" s="14">
        <f>IF($C1979="","",IFERROR(IF(VLOOKUP($C1979,AcctTblE,4,0)="","(بدون نام)",VLOOKUP($C1979,AcctTblE,4,0)),"کد ناشناخته"))</f>
        <v/>
      </c>
      <c r="E1979" s="15" t="n"/>
      <c r="F1979" s="14">
        <f>IF($B1979="","",IFERROR(INDEX(WageDates,MATCH($B1979,WageIds,0)),"—"))</f>
        <v/>
      </c>
      <c r="G1979" s="14">
        <f>IF($B1979="","",IFERROR(VLOOKUP(INDEX(WageParty,MATCH($B1979,WageIds,0)),WGTbl,2,0),"—"))</f>
        <v/>
      </c>
      <c r="H1979" s="12" t="n"/>
    </row>
    <row r="1980">
      <c r="A1980" s="19">
        <f>IF($B1980="","",COUNTA($B$9:$B1980))</f>
        <v/>
      </c>
      <c r="B1980" s="12" t="n"/>
      <c r="C1980" s="13" t="n"/>
      <c r="D1980" s="20">
        <f>IF($C1980="","",IFERROR(IF(VLOOKUP($C1980,AcctTblE,4,0)="","(بدون نام)",VLOOKUP($C1980,AcctTblE,4,0)),"کد ناشناخته"))</f>
        <v/>
      </c>
      <c r="E1980" s="15" t="n"/>
      <c r="F1980" s="20">
        <f>IF($B1980="","",IFERROR(INDEX(WageDates,MATCH($B1980,WageIds,0)),"—"))</f>
        <v/>
      </c>
      <c r="G1980" s="20">
        <f>IF($B1980="","",IFERROR(VLOOKUP(INDEX(WageParty,MATCH($B1980,WageIds,0)),WGTbl,2,0),"—"))</f>
        <v/>
      </c>
      <c r="H1980" s="12" t="n"/>
    </row>
    <row r="1981">
      <c r="A1981" s="10">
        <f>IF($B1981="","",COUNTA($B$9:$B1981))</f>
        <v/>
      </c>
      <c r="B1981" s="12" t="n"/>
      <c r="C1981" s="13" t="n"/>
      <c r="D1981" s="14">
        <f>IF($C1981="","",IFERROR(IF(VLOOKUP($C1981,AcctTblE,4,0)="","(بدون نام)",VLOOKUP($C1981,AcctTblE,4,0)),"کد ناشناخته"))</f>
        <v/>
      </c>
      <c r="E1981" s="15" t="n"/>
      <c r="F1981" s="14">
        <f>IF($B1981="","",IFERROR(INDEX(WageDates,MATCH($B1981,WageIds,0)),"—"))</f>
        <v/>
      </c>
      <c r="G1981" s="14">
        <f>IF($B1981="","",IFERROR(VLOOKUP(INDEX(WageParty,MATCH($B1981,WageIds,0)),WGTbl,2,0),"—"))</f>
        <v/>
      </c>
      <c r="H1981" s="12" t="n"/>
    </row>
    <row r="1982">
      <c r="A1982" s="19">
        <f>IF($B1982="","",COUNTA($B$9:$B1982))</f>
        <v/>
      </c>
      <c r="B1982" s="12" t="n"/>
      <c r="C1982" s="13" t="n"/>
      <c r="D1982" s="20">
        <f>IF($C1982="","",IFERROR(IF(VLOOKUP($C1982,AcctTblE,4,0)="","(بدون نام)",VLOOKUP($C1982,AcctTblE,4,0)),"کد ناشناخته"))</f>
        <v/>
      </c>
      <c r="E1982" s="15" t="n"/>
      <c r="F1982" s="20">
        <f>IF($B1982="","",IFERROR(INDEX(WageDates,MATCH($B1982,WageIds,0)),"—"))</f>
        <v/>
      </c>
      <c r="G1982" s="20">
        <f>IF($B1982="","",IFERROR(VLOOKUP(INDEX(WageParty,MATCH($B1982,WageIds,0)),WGTbl,2,0),"—"))</f>
        <v/>
      </c>
      <c r="H1982" s="12" t="n"/>
    </row>
    <row r="1983">
      <c r="A1983" s="10">
        <f>IF($B1983="","",COUNTA($B$9:$B1983))</f>
        <v/>
      </c>
      <c r="B1983" s="12" t="n"/>
      <c r="C1983" s="13" t="n"/>
      <c r="D1983" s="14">
        <f>IF($C1983="","",IFERROR(IF(VLOOKUP($C1983,AcctTblE,4,0)="","(بدون نام)",VLOOKUP($C1983,AcctTblE,4,0)),"کد ناشناخته"))</f>
        <v/>
      </c>
      <c r="E1983" s="15" t="n"/>
      <c r="F1983" s="14">
        <f>IF($B1983="","",IFERROR(INDEX(WageDates,MATCH($B1983,WageIds,0)),"—"))</f>
        <v/>
      </c>
      <c r="G1983" s="14">
        <f>IF($B1983="","",IFERROR(VLOOKUP(INDEX(WageParty,MATCH($B1983,WageIds,0)),WGTbl,2,0),"—"))</f>
        <v/>
      </c>
      <c r="H1983" s="12" t="n"/>
    </row>
    <row r="1984">
      <c r="A1984" s="19">
        <f>IF($B1984="","",COUNTA($B$9:$B1984))</f>
        <v/>
      </c>
      <c r="B1984" s="12" t="n"/>
      <c r="C1984" s="13" t="n"/>
      <c r="D1984" s="20">
        <f>IF($C1984="","",IFERROR(IF(VLOOKUP($C1984,AcctTblE,4,0)="","(بدون نام)",VLOOKUP($C1984,AcctTblE,4,0)),"کد ناشناخته"))</f>
        <v/>
      </c>
      <c r="E1984" s="15" t="n"/>
      <c r="F1984" s="20">
        <f>IF($B1984="","",IFERROR(INDEX(WageDates,MATCH($B1984,WageIds,0)),"—"))</f>
        <v/>
      </c>
      <c r="G1984" s="20">
        <f>IF($B1984="","",IFERROR(VLOOKUP(INDEX(WageParty,MATCH($B1984,WageIds,0)),WGTbl,2,0),"—"))</f>
        <v/>
      </c>
      <c r="H1984" s="12" t="n"/>
    </row>
    <row r="1985">
      <c r="A1985" s="10">
        <f>IF($B1985="","",COUNTA($B$9:$B1985))</f>
        <v/>
      </c>
      <c r="B1985" s="12" t="n"/>
      <c r="C1985" s="13" t="n"/>
      <c r="D1985" s="14">
        <f>IF($C1985="","",IFERROR(IF(VLOOKUP($C1985,AcctTblE,4,0)="","(بدون نام)",VLOOKUP($C1985,AcctTblE,4,0)),"کد ناشناخته"))</f>
        <v/>
      </c>
      <c r="E1985" s="15" t="n"/>
      <c r="F1985" s="14">
        <f>IF($B1985="","",IFERROR(INDEX(WageDates,MATCH($B1985,WageIds,0)),"—"))</f>
        <v/>
      </c>
      <c r="G1985" s="14">
        <f>IF($B1985="","",IFERROR(VLOOKUP(INDEX(WageParty,MATCH($B1985,WageIds,0)),WGTbl,2,0),"—"))</f>
        <v/>
      </c>
      <c r="H1985" s="12" t="n"/>
    </row>
    <row r="1986">
      <c r="A1986" s="19">
        <f>IF($B1986="","",COUNTA($B$9:$B1986))</f>
        <v/>
      </c>
      <c r="B1986" s="12" t="n"/>
      <c r="C1986" s="13" t="n"/>
      <c r="D1986" s="20">
        <f>IF($C1986="","",IFERROR(IF(VLOOKUP($C1986,AcctTblE,4,0)="","(بدون نام)",VLOOKUP($C1986,AcctTblE,4,0)),"کد ناشناخته"))</f>
        <v/>
      </c>
      <c r="E1986" s="15" t="n"/>
      <c r="F1986" s="20">
        <f>IF($B1986="","",IFERROR(INDEX(WageDates,MATCH($B1986,WageIds,0)),"—"))</f>
        <v/>
      </c>
      <c r="G1986" s="20">
        <f>IF($B1986="","",IFERROR(VLOOKUP(INDEX(WageParty,MATCH($B1986,WageIds,0)),WGTbl,2,0),"—"))</f>
        <v/>
      </c>
      <c r="H1986" s="12" t="n"/>
    </row>
    <row r="1987">
      <c r="A1987" s="10">
        <f>IF($B1987="","",COUNTA($B$9:$B1987))</f>
        <v/>
      </c>
      <c r="B1987" s="12" t="n"/>
      <c r="C1987" s="13" t="n"/>
      <c r="D1987" s="14">
        <f>IF($C1987="","",IFERROR(IF(VLOOKUP($C1987,AcctTblE,4,0)="","(بدون نام)",VLOOKUP($C1987,AcctTblE,4,0)),"کد ناشناخته"))</f>
        <v/>
      </c>
      <c r="E1987" s="15" t="n"/>
      <c r="F1987" s="14">
        <f>IF($B1987="","",IFERROR(INDEX(WageDates,MATCH($B1987,WageIds,0)),"—"))</f>
        <v/>
      </c>
      <c r="G1987" s="14">
        <f>IF($B1987="","",IFERROR(VLOOKUP(INDEX(WageParty,MATCH($B1987,WageIds,0)),WGTbl,2,0),"—"))</f>
        <v/>
      </c>
      <c r="H1987" s="12" t="n"/>
    </row>
    <row r="1988">
      <c r="A1988" s="19">
        <f>IF($B1988="","",COUNTA($B$9:$B1988))</f>
        <v/>
      </c>
      <c r="B1988" s="12" t="n"/>
      <c r="C1988" s="13" t="n"/>
      <c r="D1988" s="20">
        <f>IF($C1988="","",IFERROR(IF(VLOOKUP($C1988,AcctTblE,4,0)="","(بدون نام)",VLOOKUP($C1988,AcctTblE,4,0)),"کد ناشناخته"))</f>
        <v/>
      </c>
      <c r="E1988" s="15" t="n"/>
      <c r="F1988" s="20">
        <f>IF($B1988="","",IFERROR(INDEX(WageDates,MATCH($B1988,WageIds,0)),"—"))</f>
        <v/>
      </c>
      <c r="G1988" s="20">
        <f>IF($B1988="","",IFERROR(VLOOKUP(INDEX(WageParty,MATCH($B1988,WageIds,0)),WGTbl,2,0),"—"))</f>
        <v/>
      </c>
      <c r="H1988" s="12" t="n"/>
    </row>
    <row r="1989">
      <c r="A1989" s="10">
        <f>IF($B1989="","",COUNTA($B$9:$B1989))</f>
        <v/>
      </c>
      <c r="B1989" s="12" t="n"/>
      <c r="C1989" s="13" t="n"/>
      <c r="D1989" s="14">
        <f>IF($C1989="","",IFERROR(IF(VLOOKUP($C1989,AcctTblE,4,0)="","(بدون نام)",VLOOKUP($C1989,AcctTblE,4,0)),"کد ناشناخته"))</f>
        <v/>
      </c>
      <c r="E1989" s="15" t="n"/>
      <c r="F1989" s="14">
        <f>IF($B1989="","",IFERROR(INDEX(WageDates,MATCH($B1989,WageIds,0)),"—"))</f>
        <v/>
      </c>
      <c r="G1989" s="14">
        <f>IF($B1989="","",IFERROR(VLOOKUP(INDEX(WageParty,MATCH($B1989,WageIds,0)),WGTbl,2,0),"—"))</f>
        <v/>
      </c>
      <c r="H1989" s="12" t="n"/>
    </row>
    <row r="1990">
      <c r="A1990" s="19">
        <f>IF($B1990="","",COUNTA($B$9:$B1990))</f>
        <v/>
      </c>
      <c r="B1990" s="12" t="n"/>
      <c r="C1990" s="13" t="n"/>
      <c r="D1990" s="20">
        <f>IF($C1990="","",IFERROR(IF(VLOOKUP($C1990,AcctTblE,4,0)="","(بدون نام)",VLOOKUP($C1990,AcctTblE,4,0)),"کد ناشناخته"))</f>
        <v/>
      </c>
      <c r="E1990" s="15" t="n"/>
      <c r="F1990" s="20">
        <f>IF($B1990="","",IFERROR(INDEX(WageDates,MATCH($B1990,WageIds,0)),"—"))</f>
        <v/>
      </c>
      <c r="G1990" s="20">
        <f>IF($B1990="","",IFERROR(VLOOKUP(INDEX(WageParty,MATCH($B1990,WageIds,0)),WGTbl,2,0),"—"))</f>
        <v/>
      </c>
      <c r="H1990" s="12" t="n"/>
    </row>
    <row r="1991">
      <c r="A1991" s="10">
        <f>IF($B1991="","",COUNTA($B$9:$B1991))</f>
        <v/>
      </c>
      <c r="B1991" s="12" t="n"/>
      <c r="C1991" s="13" t="n"/>
      <c r="D1991" s="14">
        <f>IF($C1991="","",IFERROR(IF(VLOOKUP($C1991,AcctTblE,4,0)="","(بدون نام)",VLOOKUP($C1991,AcctTblE,4,0)),"کد ناشناخته"))</f>
        <v/>
      </c>
      <c r="E1991" s="15" t="n"/>
      <c r="F1991" s="14">
        <f>IF($B1991="","",IFERROR(INDEX(WageDates,MATCH($B1991,WageIds,0)),"—"))</f>
        <v/>
      </c>
      <c r="G1991" s="14">
        <f>IF($B1991="","",IFERROR(VLOOKUP(INDEX(WageParty,MATCH($B1991,WageIds,0)),WGTbl,2,0),"—"))</f>
        <v/>
      </c>
      <c r="H1991" s="12" t="n"/>
    </row>
    <row r="1992">
      <c r="A1992" s="19">
        <f>IF($B1992="","",COUNTA($B$9:$B1992))</f>
        <v/>
      </c>
      <c r="B1992" s="12" t="n"/>
      <c r="C1992" s="13" t="n"/>
      <c r="D1992" s="20">
        <f>IF($C1992="","",IFERROR(IF(VLOOKUP($C1992,AcctTblE,4,0)="","(بدون نام)",VLOOKUP($C1992,AcctTblE,4,0)),"کد ناشناخته"))</f>
        <v/>
      </c>
      <c r="E1992" s="15" t="n"/>
      <c r="F1992" s="20">
        <f>IF($B1992="","",IFERROR(INDEX(WageDates,MATCH($B1992,WageIds,0)),"—"))</f>
        <v/>
      </c>
      <c r="G1992" s="20">
        <f>IF($B1992="","",IFERROR(VLOOKUP(INDEX(WageParty,MATCH($B1992,WageIds,0)),WGTbl,2,0),"—"))</f>
        <v/>
      </c>
      <c r="H1992" s="12" t="n"/>
    </row>
    <row r="1993">
      <c r="A1993" s="10">
        <f>IF($B1993="","",COUNTA($B$9:$B1993))</f>
        <v/>
      </c>
      <c r="B1993" s="12" t="n"/>
      <c r="C1993" s="13" t="n"/>
      <c r="D1993" s="14">
        <f>IF($C1993="","",IFERROR(IF(VLOOKUP($C1993,AcctTblE,4,0)="","(بدون نام)",VLOOKUP($C1993,AcctTblE,4,0)),"کد ناشناخته"))</f>
        <v/>
      </c>
      <c r="E1993" s="15" t="n"/>
      <c r="F1993" s="14">
        <f>IF($B1993="","",IFERROR(INDEX(WageDates,MATCH($B1993,WageIds,0)),"—"))</f>
        <v/>
      </c>
      <c r="G1993" s="14">
        <f>IF($B1993="","",IFERROR(VLOOKUP(INDEX(WageParty,MATCH($B1993,WageIds,0)),WGTbl,2,0),"—"))</f>
        <v/>
      </c>
      <c r="H1993" s="12" t="n"/>
    </row>
    <row r="1994">
      <c r="A1994" s="19">
        <f>IF($B1994="","",COUNTA($B$9:$B1994))</f>
        <v/>
      </c>
      <c r="B1994" s="12" t="n"/>
      <c r="C1994" s="13" t="n"/>
      <c r="D1994" s="20">
        <f>IF($C1994="","",IFERROR(IF(VLOOKUP($C1994,AcctTblE,4,0)="","(بدون نام)",VLOOKUP($C1994,AcctTblE,4,0)),"کد ناشناخته"))</f>
        <v/>
      </c>
      <c r="E1994" s="15" t="n"/>
      <c r="F1994" s="20">
        <f>IF($B1994="","",IFERROR(INDEX(WageDates,MATCH($B1994,WageIds,0)),"—"))</f>
        <v/>
      </c>
      <c r="G1994" s="20">
        <f>IF($B1994="","",IFERROR(VLOOKUP(INDEX(WageParty,MATCH($B1994,WageIds,0)),WGTbl,2,0),"—"))</f>
        <v/>
      </c>
      <c r="H1994" s="12" t="n"/>
    </row>
    <row r="1995">
      <c r="A1995" s="10">
        <f>IF($B1995="","",COUNTA($B$9:$B1995))</f>
        <v/>
      </c>
      <c r="B1995" s="12" t="n"/>
      <c r="C1995" s="13" t="n"/>
      <c r="D1995" s="14">
        <f>IF($C1995="","",IFERROR(IF(VLOOKUP($C1995,AcctTblE,4,0)="","(بدون نام)",VLOOKUP($C1995,AcctTblE,4,0)),"کد ناشناخته"))</f>
        <v/>
      </c>
      <c r="E1995" s="15" t="n"/>
      <c r="F1995" s="14">
        <f>IF($B1995="","",IFERROR(INDEX(WageDates,MATCH($B1995,WageIds,0)),"—"))</f>
        <v/>
      </c>
      <c r="G1995" s="14">
        <f>IF($B1995="","",IFERROR(VLOOKUP(INDEX(WageParty,MATCH($B1995,WageIds,0)),WGTbl,2,0),"—"))</f>
        <v/>
      </c>
      <c r="H1995" s="12" t="n"/>
    </row>
    <row r="1996">
      <c r="A1996" s="19">
        <f>IF($B1996="","",COUNTA($B$9:$B1996))</f>
        <v/>
      </c>
      <c r="B1996" s="12" t="n"/>
      <c r="C1996" s="13" t="n"/>
      <c r="D1996" s="20">
        <f>IF($C1996="","",IFERROR(IF(VLOOKUP($C1996,AcctTblE,4,0)="","(بدون نام)",VLOOKUP($C1996,AcctTblE,4,0)),"کد ناشناخته"))</f>
        <v/>
      </c>
      <c r="E1996" s="15" t="n"/>
      <c r="F1996" s="20">
        <f>IF($B1996="","",IFERROR(INDEX(WageDates,MATCH($B1996,WageIds,0)),"—"))</f>
        <v/>
      </c>
      <c r="G1996" s="20">
        <f>IF($B1996="","",IFERROR(VLOOKUP(INDEX(WageParty,MATCH($B1996,WageIds,0)),WGTbl,2,0),"—"))</f>
        <v/>
      </c>
      <c r="H1996" s="12" t="n"/>
    </row>
    <row r="1997">
      <c r="A1997" s="10">
        <f>IF($B1997="","",COUNTA($B$9:$B1997))</f>
        <v/>
      </c>
      <c r="B1997" s="12" t="n"/>
      <c r="C1997" s="13" t="n"/>
      <c r="D1997" s="14">
        <f>IF($C1997="","",IFERROR(IF(VLOOKUP($C1997,AcctTblE,4,0)="","(بدون نام)",VLOOKUP($C1997,AcctTblE,4,0)),"کد ناشناخته"))</f>
        <v/>
      </c>
      <c r="E1997" s="15" t="n"/>
      <c r="F1997" s="14">
        <f>IF($B1997="","",IFERROR(INDEX(WageDates,MATCH($B1997,WageIds,0)),"—"))</f>
        <v/>
      </c>
      <c r="G1997" s="14">
        <f>IF($B1997="","",IFERROR(VLOOKUP(INDEX(WageParty,MATCH($B1997,WageIds,0)),WGTbl,2,0),"—"))</f>
        <v/>
      </c>
      <c r="H1997" s="12" t="n"/>
    </row>
    <row r="1998">
      <c r="A1998" s="19">
        <f>IF($B1998="","",COUNTA($B$9:$B1998))</f>
        <v/>
      </c>
      <c r="B1998" s="12" t="n"/>
      <c r="C1998" s="13" t="n"/>
      <c r="D1998" s="20">
        <f>IF($C1998="","",IFERROR(IF(VLOOKUP($C1998,AcctTblE,4,0)="","(بدون نام)",VLOOKUP($C1998,AcctTblE,4,0)),"کد ناشناخته"))</f>
        <v/>
      </c>
      <c r="E1998" s="15" t="n"/>
      <c r="F1998" s="20">
        <f>IF($B1998="","",IFERROR(INDEX(WageDates,MATCH($B1998,WageIds,0)),"—"))</f>
        <v/>
      </c>
      <c r="G1998" s="20">
        <f>IF($B1998="","",IFERROR(VLOOKUP(INDEX(WageParty,MATCH($B1998,WageIds,0)),WGTbl,2,0),"—"))</f>
        <v/>
      </c>
      <c r="H1998" s="12" t="n"/>
    </row>
    <row r="1999">
      <c r="A1999" s="10">
        <f>IF($B1999="","",COUNTA($B$9:$B1999))</f>
        <v/>
      </c>
      <c r="B1999" s="12" t="n"/>
      <c r="C1999" s="13" t="n"/>
      <c r="D1999" s="14">
        <f>IF($C1999="","",IFERROR(IF(VLOOKUP($C1999,AcctTblE,4,0)="","(بدون نام)",VLOOKUP($C1999,AcctTblE,4,0)),"کد ناشناخته"))</f>
        <v/>
      </c>
      <c r="E1999" s="15" t="n"/>
      <c r="F1999" s="14">
        <f>IF($B1999="","",IFERROR(INDEX(WageDates,MATCH($B1999,WageIds,0)),"—"))</f>
        <v/>
      </c>
      <c r="G1999" s="14">
        <f>IF($B1999="","",IFERROR(VLOOKUP(INDEX(WageParty,MATCH($B1999,WageIds,0)),WGTbl,2,0),"—"))</f>
        <v/>
      </c>
      <c r="H1999" s="12" t="n"/>
    </row>
    <row r="2000">
      <c r="A2000" s="19">
        <f>IF($B2000="","",COUNTA($B$9:$B2000))</f>
        <v/>
      </c>
      <c r="B2000" s="12" t="n"/>
      <c r="C2000" s="13" t="n"/>
      <c r="D2000" s="20">
        <f>IF($C2000="","",IFERROR(IF(VLOOKUP($C2000,AcctTblE,4,0)="","(بدون نام)",VLOOKUP($C2000,AcctTblE,4,0)),"کد ناشناخته"))</f>
        <v/>
      </c>
      <c r="E2000" s="15" t="n"/>
      <c r="F2000" s="20">
        <f>IF($B2000="","",IFERROR(INDEX(WageDates,MATCH($B2000,WageIds,0)),"—"))</f>
        <v/>
      </c>
      <c r="G2000" s="20">
        <f>IF($B2000="","",IFERROR(VLOOKUP(INDEX(WageParty,MATCH($B2000,WageIds,0)),WGTbl,2,0),"—"))</f>
        <v/>
      </c>
      <c r="H2000" s="12" t="n"/>
    </row>
    <row r="2001">
      <c r="A2001" s="10">
        <f>IF($B2001="","",COUNTA($B$9:$B2001))</f>
        <v/>
      </c>
      <c r="B2001" s="12" t="n"/>
      <c r="C2001" s="13" t="n"/>
      <c r="D2001" s="14">
        <f>IF($C2001="","",IFERROR(IF(VLOOKUP($C2001,AcctTblE,4,0)="","(بدون نام)",VLOOKUP($C2001,AcctTblE,4,0)),"کد ناشناخته"))</f>
        <v/>
      </c>
      <c r="E2001" s="15" t="n"/>
      <c r="F2001" s="14">
        <f>IF($B2001="","",IFERROR(INDEX(WageDates,MATCH($B2001,WageIds,0)),"—"))</f>
        <v/>
      </c>
      <c r="G2001" s="14">
        <f>IF($B2001="","",IFERROR(VLOOKUP(INDEX(WageParty,MATCH($B2001,WageIds,0)),WGTbl,2,0),"—"))</f>
        <v/>
      </c>
      <c r="H2001" s="12" t="n"/>
    </row>
    <row r="2002">
      <c r="A2002" s="19">
        <f>IF($B2002="","",COUNTA($B$9:$B2002))</f>
        <v/>
      </c>
      <c r="B2002" s="12" t="n"/>
      <c r="C2002" s="13" t="n"/>
      <c r="D2002" s="20">
        <f>IF($C2002="","",IFERROR(IF(VLOOKUP($C2002,AcctTblE,4,0)="","(بدون نام)",VLOOKUP($C2002,AcctTblE,4,0)),"کد ناشناخته"))</f>
        <v/>
      </c>
      <c r="E2002" s="15" t="n"/>
      <c r="F2002" s="20">
        <f>IF($B2002="","",IFERROR(INDEX(WageDates,MATCH($B2002,WageIds,0)),"—"))</f>
        <v/>
      </c>
      <c r="G2002" s="20">
        <f>IF($B2002="","",IFERROR(VLOOKUP(INDEX(WageParty,MATCH($B2002,WageIds,0)),WGTbl,2,0),"—"))</f>
        <v/>
      </c>
      <c r="H2002" s="12" t="n"/>
    </row>
    <row r="2003">
      <c r="A2003" s="10">
        <f>IF($B2003="","",COUNTA($B$9:$B2003))</f>
        <v/>
      </c>
      <c r="B2003" s="12" t="n"/>
      <c r="C2003" s="13" t="n"/>
      <c r="D2003" s="14">
        <f>IF($C2003="","",IFERROR(IF(VLOOKUP($C2003,AcctTblE,4,0)="","(بدون نام)",VLOOKUP($C2003,AcctTblE,4,0)),"کد ناشناخته"))</f>
        <v/>
      </c>
      <c r="E2003" s="15" t="n"/>
      <c r="F2003" s="14">
        <f>IF($B2003="","",IFERROR(INDEX(WageDates,MATCH($B2003,WageIds,0)),"—"))</f>
        <v/>
      </c>
      <c r="G2003" s="14">
        <f>IF($B2003="","",IFERROR(VLOOKUP(INDEX(WageParty,MATCH($B2003,WageIds,0)),WGTbl,2,0),"—"))</f>
        <v/>
      </c>
      <c r="H2003" s="12" t="n"/>
    </row>
    <row r="2004">
      <c r="A2004" s="19">
        <f>IF($B2004="","",COUNTA($B$9:$B2004))</f>
        <v/>
      </c>
      <c r="B2004" s="12" t="n"/>
      <c r="C2004" s="13" t="n"/>
      <c r="D2004" s="20">
        <f>IF($C2004="","",IFERROR(IF(VLOOKUP($C2004,AcctTblE,4,0)="","(بدون نام)",VLOOKUP($C2004,AcctTblE,4,0)),"کد ناشناخته"))</f>
        <v/>
      </c>
      <c r="E2004" s="15" t="n"/>
      <c r="F2004" s="20">
        <f>IF($B2004="","",IFERROR(INDEX(WageDates,MATCH($B2004,WageIds,0)),"—"))</f>
        <v/>
      </c>
      <c r="G2004" s="20">
        <f>IF($B2004="","",IFERROR(VLOOKUP(INDEX(WageParty,MATCH($B2004,WageIds,0)),WGTbl,2,0),"—"))</f>
        <v/>
      </c>
      <c r="H2004" s="12" t="n"/>
    </row>
    <row r="2005">
      <c r="A2005" s="10">
        <f>IF($B2005="","",COUNTA($B$9:$B2005))</f>
        <v/>
      </c>
      <c r="B2005" s="12" t="n"/>
      <c r="C2005" s="13" t="n"/>
      <c r="D2005" s="14">
        <f>IF($C2005="","",IFERROR(IF(VLOOKUP($C2005,AcctTblE,4,0)="","(بدون نام)",VLOOKUP($C2005,AcctTblE,4,0)),"کد ناشناخته"))</f>
        <v/>
      </c>
      <c r="E2005" s="15" t="n"/>
      <c r="F2005" s="14">
        <f>IF($B2005="","",IFERROR(INDEX(WageDates,MATCH($B2005,WageIds,0)),"—"))</f>
        <v/>
      </c>
      <c r="G2005" s="14">
        <f>IF($B2005="","",IFERROR(VLOOKUP(INDEX(WageParty,MATCH($B2005,WageIds,0)),WGTbl,2,0),"—"))</f>
        <v/>
      </c>
      <c r="H2005" s="12" t="n"/>
    </row>
    <row r="2006">
      <c r="A2006" s="19">
        <f>IF($B2006="","",COUNTA($B$9:$B2006))</f>
        <v/>
      </c>
      <c r="B2006" s="12" t="n"/>
      <c r="C2006" s="13" t="n"/>
      <c r="D2006" s="20">
        <f>IF($C2006="","",IFERROR(IF(VLOOKUP($C2006,AcctTblE,4,0)="","(بدون نام)",VLOOKUP($C2006,AcctTblE,4,0)),"کد ناشناخته"))</f>
        <v/>
      </c>
      <c r="E2006" s="15" t="n"/>
      <c r="F2006" s="20">
        <f>IF($B2006="","",IFERROR(INDEX(WageDates,MATCH($B2006,WageIds,0)),"—"))</f>
        <v/>
      </c>
      <c r="G2006" s="20">
        <f>IF($B2006="","",IFERROR(VLOOKUP(INDEX(WageParty,MATCH($B2006,WageIds,0)),WGTbl,2,0),"—"))</f>
        <v/>
      </c>
      <c r="H2006" s="12" t="n"/>
    </row>
    <row r="2007">
      <c r="A2007" s="10">
        <f>IF($B2007="","",COUNTA($B$9:$B2007))</f>
        <v/>
      </c>
      <c r="B2007" s="12" t="n"/>
      <c r="C2007" s="13" t="n"/>
      <c r="D2007" s="14">
        <f>IF($C2007="","",IFERROR(IF(VLOOKUP($C2007,AcctTblE,4,0)="","(بدون نام)",VLOOKUP($C2007,AcctTblE,4,0)),"کد ناشناخته"))</f>
        <v/>
      </c>
      <c r="E2007" s="15" t="n"/>
      <c r="F2007" s="14">
        <f>IF($B2007="","",IFERROR(INDEX(WageDates,MATCH($B2007,WageIds,0)),"—"))</f>
        <v/>
      </c>
      <c r="G2007" s="14">
        <f>IF($B2007="","",IFERROR(VLOOKUP(INDEX(WageParty,MATCH($B2007,WageIds,0)),WGTbl,2,0),"—"))</f>
        <v/>
      </c>
      <c r="H2007" s="12" t="n"/>
    </row>
    <row r="2008">
      <c r="A2008" s="19">
        <f>IF($B2008="","",COUNTA($B$9:$B2008))</f>
        <v/>
      </c>
      <c r="B2008" s="12" t="n"/>
      <c r="C2008" s="13" t="n"/>
      <c r="D2008" s="20">
        <f>IF($C2008="","",IFERROR(IF(VLOOKUP($C2008,AcctTblE,4,0)="","(بدون نام)",VLOOKUP($C2008,AcctTblE,4,0)),"کد ناشناخته"))</f>
        <v/>
      </c>
      <c r="E2008" s="15" t="n"/>
      <c r="F2008" s="20">
        <f>IF($B2008="","",IFERROR(INDEX(WageDates,MATCH($B2008,WageIds,0)),"—"))</f>
        <v/>
      </c>
      <c r="G2008" s="20">
        <f>IF($B2008="","",IFERROR(VLOOKUP(INDEX(WageParty,MATCH($B2008,WageIds,0)),WGTbl,2,0),"—"))</f>
        <v/>
      </c>
      <c r="H2008" s="12" t="n"/>
    </row>
  </sheetData>
  <mergeCells count="12">
    <mergeCell ref="A4:H4"/>
    <mergeCell ref="A3:H3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</mergeCells>
  <conditionalFormatting sqref="F9:F2008">
    <cfRule type="cellIs" priority="1" operator="equal" dxfId="1">
      <formula>"—"</formula>
    </cfRule>
  </conditionalFormatting>
  <dataValidations count="3">
    <dataValidation sqref="B9:B2008" showDropDown="0" showInputMessage="0" showErrorMessage="0" allowBlank="1" errorTitle="شناسه نامعتبر" error="این شناسه در شیت Wages پیدا نشد (یا رویداد فردی است) — شناسه رویداد گروهی را وارد کنید" type="custom" errorStyle="warning">
      <formula1>OR($B9="",COUNTIFS(WageKind,"دستمزد گروهی",WageIds,$B9)&gt;0)</formula1>
    </dataValidation>
    <dataValidation sqref="C9:C2008" showDropDown="0" showInputMessage="0" showErrorMessage="0" allowBlank="1" errorTitle="کد عضو" error="کد کارمند (E…) — از فایل INFO" type="list" errorStyle="warning">
      <formula1>ListStaffEmp</formula1>
    </dataValidation>
    <dataValidation sqref="E9:E2008" showDropDown="0" showInputMessage="0" showErrorMessage="0" allowBlank="1" errorTitle="مبلغ" error="مبلغ سهم باید عدد مثبت باشد" type="decimal" errorStyle="warning" operator="greaterThan">
      <formula1>0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ریز دستمزد گروهی — سهم اعضا&amp;R&amp;"Tahoma"&amp;8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N2016"/>
  <sheetViews>
    <sheetView showGridLines="0" rightToLeft="1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20" customWidth="1" min="3" max="3"/>
    <col width="22" customWidth="1" min="4" max="4"/>
    <col width="15" customWidth="1" min="5" max="5"/>
    <col width="15" customWidth="1" min="6" max="6"/>
    <col width="16" customWidth="1" min="7" max="7"/>
    <col width="26" customWidth="1" min="8" max="8"/>
    <col width="6" customWidth="1" min="12" max="12"/>
    <col width="6" customWidth="1" min="13" max="13"/>
    <col width="6" customWidth="1" min="14" max="14"/>
  </cols>
  <sheetData>
    <row r="1" ht="26" customHeight="1">
      <c r="A1" s="1">
        <f>IF(Sync!$AI$6="","مازندشت",Sync!$AI$6)&amp;" — "&amp;IF(Sync!$AI$9="","سورتینگ و بسته‌بندی مرکبات",Sync!$AI$9)</f>
        <v/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>
        <f>IF(Sync!$AI$7="","باغدشت، بخش مرکزی، شهرستان قائم‌شهر، استان مازندران، ایران",Sync!$AI$7)&amp;"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3">
        <f>"صورت دستمزد — "&amp;IFERROR(IF(VLOOKUP($C$5,AcctTblE,4,0)="","(بدون نام)",VLOOKUP($C$5,AcctTblE,4,0)),"کد را وارد کنید")</f>
        <v/>
      </c>
      <c r="B3" s="3" t="n"/>
      <c r="C3" s="3" t="n"/>
      <c r="D3" s="3" t="n"/>
      <c r="E3" s="3" t="n"/>
      <c r="F3" s="3" t="n"/>
      <c r="G3" s="3" t="n"/>
      <c r="H3" s="3" t="n"/>
    </row>
    <row r="5">
      <c r="A5" s="23" t="inlineStr">
        <is>
          <t>کد کارمند (ورود دستی):</t>
        </is>
      </c>
      <c r="B5" s="23" t="n"/>
      <c r="C5" s="24" t="inlineStr">
        <is>
          <t>E002</t>
        </is>
      </c>
      <c r="D5" s="24" t="n"/>
      <c r="E5" s="25" t="inlineStr">
        <is>
          <t>کد را از INFO (شیت Accounts — حساب‌های E…) وارد کنید. برای نفر دیگر، همین شیت را کپی و کد را عوض کنید.</t>
        </is>
      </c>
      <c r="F5" s="25" t="n"/>
      <c r="G5" s="25" t="n"/>
      <c r="H5" s="25" t="n"/>
    </row>
    <row r="6" ht="17" customHeight="1">
      <c r="A6" s="26" t="inlineStr">
        <is>
          <t>نام:</t>
        </is>
      </c>
      <c r="B6" s="26" t="n"/>
      <c r="C6" s="27">
        <f>IFERROR(IF(VLOOKUP($C$5,AcctTblE,4,0)="","(بدون نام)",VLOOKUP($C$5,AcctTblE,4,0)),"—")</f>
        <v/>
      </c>
      <c r="D6" s="27" t="n"/>
      <c r="E6" s="27" t="n"/>
      <c r="F6" s="27" t="n"/>
      <c r="G6" s="27" t="n"/>
      <c r="H6" s="27" t="n"/>
    </row>
    <row r="7" ht="17" customHeight="1">
      <c r="A7" s="26" t="inlineStr">
        <is>
          <t>ماهیت / زیرمجموعه:</t>
        </is>
      </c>
      <c r="B7" s="26" t="n"/>
      <c r="C7" s="27">
        <f>IFERROR(IF(VLOOKUP($C$5,AcctTblE,3,0)="",IF(VLOOKUP($C$5,AcctTblE,2,0)="","—",VLOOKUP($C$5,AcctTblE,2,0)),VLOOKUP($C$5,AcctTblE,3,0)),"—")</f>
        <v/>
      </c>
      <c r="D7" s="27" t="n"/>
      <c r="E7" s="27" t="n"/>
      <c r="F7" s="27" t="n"/>
      <c r="G7" s="27" t="n"/>
      <c r="H7" s="27" t="n"/>
    </row>
    <row r="8" ht="17" customHeight="1">
      <c r="A8" s="26" t="inlineStr">
        <is>
          <t>گروه کاری:</t>
        </is>
      </c>
      <c r="B8" s="26" t="n"/>
      <c r="C8" s="27">
        <f>IFERROR(IF(VLOOKUP(IFERROR(VLOOKUP($C$5,StaffTblE,2,0),""),WGTbl,2,0)="","—",VLOOKUP(IFERROR(VLOOKUP($C$5,StaffTblE,2,0),""),WGTbl,2,0)),"—")</f>
        <v/>
      </c>
      <c r="D8" s="27" t="n"/>
      <c r="E8" s="27" t="n"/>
      <c r="F8" s="27" t="n"/>
      <c r="G8" s="27" t="n"/>
      <c r="H8" s="27" t="n"/>
    </row>
    <row r="9" ht="17" customHeight="1">
      <c r="A9" s="26" t="inlineStr">
        <is>
          <t>سمت:</t>
        </is>
      </c>
      <c r="B9" s="26" t="n"/>
      <c r="C9" s="27">
        <f>IFERROR(IF(VLOOKUP($C$5,StaffTblE,3,0)="","—",VLOOKUP($C$5,StaffTblE,3,0)),"—")</f>
        <v/>
      </c>
      <c r="D9" s="27" t="n"/>
      <c r="E9" s="27" t="n"/>
      <c r="F9" s="27" t="n"/>
      <c r="G9" s="27" t="n"/>
      <c r="H9" s="27" t="n"/>
    </row>
    <row r="10" ht="15" customHeight="1">
      <c r="A10" s="25" t="inlineStr">
        <is>
          <t>بدهکار = دستمزد تعلق‌گرفته (فردی + سهم از گروه‌ها) و بازگشت‌ها | بستانکار = پرداخت‌های بانکی. مانده مثبت = به او بدهکاریم.</t>
        </is>
      </c>
      <c r="B10" s="25" t="n"/>
      <c r="C10" s="25" t="n"/>
      <c r="D10" s="25" t="n"/>
      <c r="E10" s="25" t="n"/>
      <c r="F10" s="25" t="n"/>
      <c r="G10" s="25" t="n"/>
      <c r="H10" s="25" t="n"/>
    </row>
    <row r="11" ht="13" customHeight="1">
      <c r="A11" s="5" t="inlineStr">
        <is>
          <t>جمع دستمزد تعلق‌گرفته (ریال)</t>
        </is>
      </c>
      <c r="B11" s="5" t="n"/>
      <c r="C11" s="5" t="inlineStr">
        <is>
          <t>جمع پرداخت‌های بانکی (ریال)</t>
        </is>
      </c>
      <c r="D11" s="5" t="n"/>
      <c r="E11" s="5" t="inlineStr">
        <is>
          <t>مانده نهایی (ریال)</t>
        </is>
      </c>
      <c r="F11" s="5" t="n"/>
      <c r="G11" s="5" t="inlineStr">
        <is>
          <t>وضعیت</t>
        </is>
      </c>
      <c r="H11" s="5" t="n"/>
    </row>
    <row r="12" ht="22" customHeight="1">
      <c r="A12" s="7">
        <f>SUM($E$17:$E$2016)</f>
        <v/>
      </c>
      <c r="B12" s="7" t="n"/>
      <c r="C12" s="7">
        <f>SUM($F$17:$F$2016)</f>
        <v/>
      </c>
      <c r="D12" s="7" t="n"/>
      <c r="E12" s="7">
        <f>IFERROR(LOOKUP(9.99E+307,$G$17:$G$2016),0)</f>
        <v/>
      </c>
      <c r="F12" s="7" t="n"/>
      <c r="G12" s="28">
        <f>IF($E$12&gt;0,"● بدهکار — به او بدهکاریم",IF($E$12&lt;0,"● بستانکار — اضافه پرداخت","= تسویه"))</f>
        <v/>
      </c>
      <c r="H12" s="28" t="n"/>
    </row>
    <row r="13" ht="13" customHeight="1">
      <c r="A13" s="5" t="inlineStr">
        <is>
          <t>تعداد رویداد</t>
        </is>
      </c>
      <c r="B13" s="5" t="n"/>
      <c r="C13" s="5" t="inlineStr">
        <is>
          <t>آخرین رویداد</t>
        </is>
      </c>
      <c r="D13" s="5" t="n"/>
      <c r="E13" s="5" t="inlineStr">
        <is>
          <t>بزرگ‌ترین ردیف (ریال)</t>
        </is>
      </c>
      <c r="F13" s="5" t="n"/>
      <c r="G13" s="5" t="inlineStr">
        <is>
          <t>گروه کاری</t>
        </is>
      </c>
      <c r="H13" s="5" t="n"/>
    </row>
    <row r="14" ht="22" customHeight="1">
      <c r="A14" s="6">
        <f>COUNT($G$17:$G$2016)</f>
        <v/>
      </c>
      <c r="B14" s="6" t="n"/>
      <c r="C14" s="28">
        <f>IF(COUNT($G$17:$G$2016)=0,"—",INDEX($B$17:$B$2016,COUNT($G$17:$G$2016)))</f>
        <v/>
      </c>
      <c r="D14" s="28" t="n"/>
      <c r="E14" s="7">
        <f>IF(COUNT($E$17:$E$2016)=0,"—",MAX($E$17:$E$2016))</f>
        <v/>
      </c>
      <c r="F14" s="7" t="n"/>
      <c r="G14" s="28">
        <f>IFERROR(IF(VLOOKUP(IFERROR(VLOOKUP($C$5,StaffTblE,2,0),""),WGTbl,2,0)="","—",VLOOKUP(IFERROR(VLOOKUP($C$5,StaffTblE,2,0),""),WGTbl,2,0)),"—")</f>
        <v/>
      </c>
      <c r="H14" s="28" t="n"/>
    </row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نوع رویداد</t>
        </is>
      </c>
      <c r="D15" s="8" t="inlineStr">
        <is>
          <t>مرجع</t>
        </is>
      </c>
      <c r="E15" s="8" t="inlineStr">
        <is>
          <t>بدهکار — تعلق (ریال)</t>
        </is>
      </c>
      <c r="F15" s="8" t="inlineStr">
        <is>
          <t>بستانکار — پرداخت (ریال)</t>
        </is>
      </c>
      <c r="G15" s="8" t="inlineStr">
        <is>
          <t>مانده (ریال)</t>
        </is>
      </c>
      <c r="H15" s="8" t="inlineStr">
        <is>
          <t>توضیحات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Type</t>
        </is>
      </c>
      <c r="D16" s="9" t="inlineStr">
        <is>
          <t>Ref</t>
        </is>
      </c>
      <c r="E16" s="9" t="inlineStr">
        <is>
          <t>Debit</t>
        </is>
      </c>
      <c r="F16" s="9" t="inlineStr">
        <is>
          <t>Credit</t>
        </is>
      </c>
      <c r="G16" s="9" t="inlineStr">
        <is>
          <t>Balance</t>
        </is>
      </c>
      <c r="H16" s="9" t="inlineStr">
        <is>
          <t>Notes</t>
        </is>
      </c>
    </row>
    <row r="17">
      <c r="A17" s="10" t="n">
        <v>1</v>
      </c>
      <c r="B17" s="14">
        <f>IF(AND($L17="",$M17="",$N17=""),"",IF($L17&lt;&gt;"",INDEX(LdADate,$L17),IF($M17&lt;&gt;"",INDEX(LdBDate,$M17),INDEX(LdCDate,$N17))))</f>
        <v/>
      </c>
      <c r="C17" s="14">
        <f>IF($L17&lt;&gt;"","دستمزد (فردی)",IF($M17&lt;&gt;"","سهم از گروه "&amp;IFERROR(VLOOKUP(INDEX(LdBGroup,$M17),WGTbl,2,0),INDEX(LdBGroup,$M17)),IF($N17&lt;&gt;"",IF(N(INDEX(LdCDep,$N17))&gt;0,"بازگشت بانکی","پرداخت بانکی"),"")))</f>
        <v/>
      </c>
      <c r="D17" s="14">
        <f>IF($L17&lt;&gt;"",IF(INDEX(LdAId,$L17)="","—",INDEX(LdAId,$L17)),IF($M17&lt;&gt;"",IF(INDEX(LdBId,$M17)="","—",INDEX(LdBId,$M17)),IF($N17&lt;&gt;"",IF(INDEX(LdCBank,$N17)="","—",INDEX(LdCBank,$N17)),"")))</f>
        <v/>
      </c>
      <c r="E17" s="16">
        <f>IF($L17&lt;&gt;"",IF(INDEX(LdAAmt,$L17)=0,"",INDEX(LdAAmt,$L17)),IF($M17&lt;&gt;"",IF(INDEX(LdBAmt,$M17)=0,"",INDEX(LdBAmt,$M17)),IF($N17&lt;&gt;"",IF(INDEX(LdCDep,$N17)=0,"",INDEX(LdCDep,$N17)),"")))</f>
        <v/>
      </c>
      <c r="F17" s="16">
        <f>IF(AND($L17="",$M17="",$N17=""),"",IF($N17="","",IF(INDEX(LdCWit,$N17)=0,"",INDEX(LdCWit,$N17))))</f>
        <v/>
      </c>
      <c r="G17" s="29">
        <f>IF($B17="","",IF($E17="",0,$E17)-IF($F17="",0,$F17))</f>
        <v/>
      </c>
      <c r="H17" s="30">
        <f>IF(AND($L17="",$M17="",$N17=""),"",IF($L17&lt;&gt;"",IF(INDEX(LdANote,$L17)="","—",INDEX(LdANote,$L17)),IF($M17&lt;&gt;"",IF(INDEX(LdBNote,$M17)="","—",INDEX(LdBNote,$M17)),IF($N17&lt;&gt;"",IF(INDEX(LdCNote,$N17)="","—",INDEX(LdCNote,$N17)),""))))</f>
        <v/>
      </c>
      <c r="L17">
        <f>IFERROR(MATCH($C$5&amp;"|"&amp;RIGHT("000000"&amp;1,6),LdAKeyM,0),"")</f>
        <v/>
      </c>
      <c r="M17">
        <f>IFERROR(MATCH($C$5&amp;"|"&amp;RIGHT("000000"&amp;1,6),LdBKeyM,0),"")</f>
        <v/>
      </c>
      <c r="N17">
        <f>IFERROR(MATCH($C$5&amp;"|"&amp;RIGHT("000000"&amp;1,6),LdCKeyM,0),"")</f>
        <v/>
      </c>
    </row>
    <row r="18">
      <c r="A18" s="19" t="n">
        <v>2</v>
      </c>
      <c r="B18" s="20">
        <f>IF(AND($L18="",$M18="",$N18=""),"",IF($L18&lt;&gt;"",INDEX(LdADate,$L18),IF($M18&lt;&gt;"",INDEX(LdBDate,$M18),INDEX(LdCDate,$N18))))</f>
        <v/>
      </c>
      <c r="C18" s="20">
        <f>IF($L18&lt;&gt;"","دستمزد (فردی)",IF($M18&lt;&gt;"","سهم از گروه "&amp;IFERROR(VLOOKUP(INDEX(LdBGroup,$M18),WGTbl,2,0),INDEX(LdBGroup,$M18)),IF($N18&lt;&gt;"",IF(N(INDEX(LdCDep,$N18))&gt;0,"بازگشت بانکی","پرداخت بانکی"),"")))</f>
        <v/>
      </c>
      <c r="D18" s="20">
        <f>IF($L18&lt;&gt;"",IF(INDEX(LdAId,$L18)="","—",INDEX(LdAId,$L18)),IF($M18&lt;&gt;"",IF(INDEX(LdBId,$M18)="","—",INDEX(LdBId,$M18)),IF($N18&lt;&gt;"",IF(INDEX(LdCBank,$N18)="","—",INDEX(LdCBank,$N18)),"")))</f>
        <v/>
      </c>
      <c r="E18" s="21">
        <f>IF($L18&lt;&gt;"",IF(INDEX(LdAAmt,$L18)=0,"",INDEX(LdAAmt,$L18)),IF($M18&lt;&gt;"",IF(INDEX(LdBAmt,$M18)=0,"",INDEX(LdBAmt,$M18)),IF($N18&lt;&gt;"",IF(INDEX(LdCDep,$N18)=0,"",INDEX(LdCDep,$N18)),"")))</f>
        <v/>
      </c>
      <c r="F18" s="21">
        <f>IF(AND($L18="",$M18="",$N18=""),"",IF($N18="","",IF(INDEX(LdCWit,$N18)=0,"",INDEX(LdCWit,$N18))))</f>
        <v/>
      </c>
      <c r="G18" s="31">
        <f>IF($B18="","",IF($G17="",0,$G17)+IF($E18="",0,$E18)-IF($F18="",0,$F18))</f>
        <v/>
      </c>
      <c r="H18" s="32">
        <f>IF(AND($L18="",$M18="",$N18=""),"",IF($L18&lt;&gt;"",IF(INDEX(LdANote,$L18)="","—",INDEX(LdANote,$L18)),IF($M18&lt;&gt;"",IF(INDEX(LdBNote,$M18)="","—",INDEX(LdBNote,$M18)),IF($N18&lt;&gt;"",IF(INDEX(LdCNote,$N18)="","—",INDEX(LdCNote,$N18)),""))))</f>
        <v/>
      </c>
      <c r="L18">
        <f>IFERROR(MATCH($C$5&amp;"|"&amp;RIGHT("000000"&amp;2,6),LdAKeyM,0),"")</f>
        <v/>
      </c>
      <c r="M18">
        <f>IFERROR(MATCH($C$5&amp;"|"&amp;RIGHT("000000"&amp;2,6),LdBKeyM,0),"")</f>
        <v/>
      </c>
      <c r="N18">
        <f>IFERROR(MATCH($C$5&amp;"|"&amp;RIGHT("000000"&amp;2,6),LdCKeyM,0),"")</f>
        <v/>
      </c>
    </row>
    <row r="19">
      <c r="A19" s="10" t="n">
        <v>3</v>
      </c>
      <c r="B19" s="14">
        <f>IF(AND($L19="",$M19="",$N19=""),"",IF($L19&lt;&gt;"",INDEX(LdADate,$L19),IF($M19&lt;&gt;"",INDEX(LdBDate,$M19),INDEX(LdCDate,$N19))))</f>
        <v/>
      </c>
      <c r="C19" s="14">
        <f>IF($L19&lt;&gt;"","دستمزد (فردی)",IF($M19&lt;&gt;"","سهم از گروه "&amp;IFERROR(VLOOKUP(INDEX(LdBGroup,$M19),WGTbl,2,0),INDEX(LdBGroup,$M19)),IF($N19&lt;&gt;"",IF(N(INDEX(LdCDep,$N19))&gt;0,"بازگشت بانکی","پرداخت بانکی"),"")))</f>
        <v/>
      </c>
      <c r="D19" s="14">
        <f>IF($L19&lt;&gt;"",IF(INDEX(LdAId,$L19)="","—",INDEX(LdAId,$L19)),IF($M19&lt;&gt;"",IF(INDEX(LdBId,$M19)="","—",INDEX(LdBId,$M19)),IF($N19&lt;&gt;"",IF(INDEX(LdCBank,$N19)="","—",INDEX(LdCBank,$N19)),"")))</f>
        <v/>
      </c>
      <c r="E19" s="16">
        <f>IF($L19&lt;&gt;"",IF(INDEX(LdAAmt,$L19)=0,"",INDEX(LdAAmt,$L19)),IF($M19&lt;&gt;"",IF(INDEX(LdBAmt,$M19)=0,"",INDEX(LdBAmt,$M19)),IF($N19&lt;&gt;"",IF(INDEX(LdCDep,$N19)=0,"",INDEX(LdCDep,$N19)),"")))</f>
        <v/>
      </c>
      <c r="F19" s="16">
        <f>IF(AND($L19="",$M19="",$N19=""),"",IF($N19="","",IF(INDEX(LdCWit,$N19)=0,"",INDEX(LdCWit,$N19))))</f>
        <v/>
      </c>
      <c r="G19" s="29">
        <f>IF($B19="","",IF($G18="",0,$G18)+IF($E19="",0,$E19)-IF($F19="",0,$F19))</f>
        <v/>
      </c>
      <c r="H19" s="30">
        <f>IF(AND($L19="",$M19="",$N19=""),"",IF($L19&lt;&gt;"",IF(INDEX(LdANote,$L19)="","—",INDEX(LdANote,$L19)),IF($M19&lt;&gt;"",IF(INDEX(LdBNote,$M19)="","—",INDEX(LdBNote,$M19)),IF($N19&lt;&gt;"",IF(INDEX(LdCNote,$N19)="","—",INDEX(LdCNote,$N19)),""))))</f>
        <v/>
      </c>
      <c r="L19">
        <f>IFERROR(MATCH($C$5&amp;"|"&amp;RIGHT("000000"&amp;3,6),LdAKeyM,0),"")</f>
        <v/>
      </c>
      <c r="M19">
        <f>IFERROR(MATCH($C$5&amp;"|"&amp;RIGHT("000000"&amp;3,6),LdBKeyM,0),"")</f>
        <v/>
      </c>
      <c r="N19">
        <f>IFERROR(MATCH($C$5&amp;"|"&amp;RIGHT("000000"&amp;3,6),LdCKeyM,0),"")</f>
        <v/>
      </c>
    </row>
    <row r="20">
      <c r="A20" s="19" t="n">
        <v>4</v>
      </c>
      <c r="B20" s="20">
        <f>IF(AND($L20="",$M20="",$N20=""),"",IF($L20&lt;&gt;"",INDEX(LdADate,$L20),IF($M20&lt;&gt;"",INDEX(LdBDate,$M20),INDEX(LdCDate,$N20))))</f>
        <v/>
      </c>
      <c r="C20" s="20">
        <f>IF($L20&lt;&gt;"","دستمزد (فردی)",IF($M20&lt;&gt;"","سهم از گروه "&amp;IFERROR(VLOOKUP(INDEX(LdBGroup,$M20),WGTbl,2,0),INDEX(LdBGroup,$M20)),IF($N20&lt;&gt;"",IF(N(INDEX(LdCDep,$N20))&gt;0,"بازگشت بانکی","پرداخت بانکی"),"")))</f>
        <v/>
      </c>
      <c r="D20" s="20">
        <f>IF($L20&lt;&gt;"",IF(INDEX(LdAId,$L20)="","—",INDEX(LdAId,$L20)),IF($M20&lt;&gt;"",IF(INDEX(LdBId,$M20)="","—",INDEX(LdBId,$M20)),IF($N20&lt;&gt;"",IF(INDEX(LdCBank,$N20)="","—",INDEX(LdCBank,$N20)),"")))</f>
        <v/>
      </c>
      <c r="E20" s="21">
        <f>IF($L20&lt;&gt;"",IF(INDEX(LdAAmt,$L20)=0,"",INDEX(LdAAmt,$L20)),IF($M20&lt;&gt;"",IF(INDEX(LdBAmt,$M20)=0,"",INDEX(LdBAmt,$M20)),IF($N20&lt;&gt;"",IF(INDEX(LdCDep,$N20)=0,"",INDEX(LdCDep,$N20)),"")))</f>
        <v/>
      </c>
      <c r="F20" s="21">
        <f>IF(AND($L20="",$M20="",$N20=""),"",IF($N20="","",IF(INDEX(LdCWit,$N20)=0,"",INDEX(LdCWit,$N20))))</f>
        <v/>
      </c>
      <c r="G20" s="31">
        <f>IF($B20="","",IF($G19="",0,$G19)+IF($E20="",0,$E20)-IF($F20="",0,$F20))</f>
        <v/>
      </c>
      <c r="H20" s="32">
        <f>IF(AND($L20="",$M20="",$N20=""),"",IF($L20&lt;&gt;"",IF(INDEX(LdANote,$L20)="","—",INDEX(LdANote,$L20)),IF($M20&lt;&gt;"",IF(INDEX(LdBNote,$M20)="","—",INDEX(LdBNote,$M20)),IF($N20&lt;&gt;"",IF(INDEX(LdCNote,$N20)="","—",INDEX(LdCNote,$N20)),""))))</f>
        <v/>
      </c>
      <c r="L20">
        <f>IFERROR(MATCH($C$5&amp;"|"&amp;RIGHT("000000"&amp;4,6),LdAKeyM,0),"")</f>
        <v/>
      </c>
      <c r="M20">
        <f>IFERROR(MATCH($C$5&amp;"|"&amp;RIGHT("000000"&amp;4,6),LdBKeyM,0),"")</f>
        <v/>
      </c>
      <c r="N20">
        <f>IFERROR(MATCH($C$5&amp;"|"&amp;RIGHT("000000"&amp;4,6),LdCKeyM,0),"")</f>
        <v/>
      </c>
    </row>
    <row r="21">
      <c r="A21" s="10" t="n">
        <v>5</v>
      </c>
      <c r="B21" s="14">
        <f>IF(AND($L21="",$M21="",$N21=""),"",IF($L21&lt;&gt;"",INDEX(LdADate,$L21),IF($M21&lt;&gt;"",INDEX(LdBDate,$M21),INDEX(LdCDate,$N21))))</f>
        <v/>
      </c>
      <c r="C21" s="14">
        <f>IF($L21&lt;&gt;"","دستمزد (فردی)",IF($M21&lt;&gt;"","سهم از گروه "&amp;IFERROR(VLOOKUP(INDEX(LdBGroup,$M21),WGTbl,2,0),INDEX(LdBGroup,$M21)),IF($N21&lt;&gt;"",IF(N(INDEX(LdCDep,$N21))&gt;0,"بازگشت بانکی","پرداخت بانکی"),"")))</f>
        <v/>
      </c>
      <c r="D21" s="14">
        <f>IF($L21&lt;&gt;"",IF(INDEX(LdAId,$L21)="","—",INDEX(LdAId,$L21)),IF($M21&lt;&gt;"",IF(INDEX(LdBId,$M21)="","—",INDEX(LdBId,$M21)),IF($N21&lt;&gt;"",IF(INDEX(LdCBank,$N21)="","—",INDEX(LdCBank,$N21)),"")))</f>
        <v/>
      </c>
      <c r="E21" s="16">
        <f>IF($L21&lt;&gt;"",IF(INDEX(LdAAmt,$L21)=0,"",INDEX(LdAAmt,$L21)),IF($M21&lt;&gt;"",IF(INDEX(LdBAmt,$M21)=0,"",INDEX(LdBAmt,$M21)),IF($N21&lt;&gt;"",IF(INDEX(LdCDep,$N21)=0,"",INDEX(LdCDep,$N21)),"")))</f>
        <v/>
      </c>
      <c r="F21" s="16">
        <f>IF(AND($L21="",$M21="",$N21=""),"",IF($N21="","",IF(INDEX(LdCWit,$N21)=0,"",INDEX(LdCWit,$N21))))</f>
        <v/>
      </c>
      <c r="G21" s="29">
        <f>IF($B21="","",IF($G20="",0,$G20)+IF($E21="",0,$E21)-IF($F21="",0,$F21))</f>
        <v/>
      </c>
      <c r="H21" s="30">
        <f>IF(AND($L21="",$M21="",$N21=""),"",IF($L21&lt;&gt;"",IF(INDEX(LdANote,$L21)="","—",INDEX(LdANote,$L21)),IF($M21&lt;&gt;"",IF(INDEX(LdBNote,$M21)="","—",INDEX(LdBNote,$M21)),IF($N21&lt;&gt;"",IF(INDEX(LdCNote,$N21)="","—",INDEX(LdCNote,$N21)),""))))</f>
        <v/>
      </c>
      <c r="L21">
        <f>IFERROR(MATCH($C$5&amp;"|"&amp;RIGHT("000000"&amp;5,6),LdAKeyM,0),"")</f>
        <v/>
      </c>
      <c r="M21">
        <f>IFERROR(MATCH($C$5&amp;"|"&amp;RIGHT("000000"&amp;5,6),LdBKeyM,0),"")</f>
        <v/>
      </c>
      <c r="N21">
        <f>IFERROR(MATCH($C$5&amp;"|"&amp;RIGHT("000000"&amp;5,6),LdCKeyM,0),"")</f>
        <v/>
      </c>
    </row>
    <row r="22">
      <c r="A22" s="19" t="n">
        <v>6</v>
      </c>
      <c r="B22" s="20">
        <f>IF(AND($L22="",$M22="",$N22=""),"",IF($L22&lt;&gt;"",INDEX(LdADate,$L22),IF($M22&lt;&gt;"",INDEX(LdBDate,$M22),INDEX(LdCDate,$N22))))</f>
        <v/>
      </c>
      <c r="C22" s="20">
        <f>IF($L22&lt;&gt;"","دستمزد (فردی)",IF($M22&lt;&gt;"","سهم از گروه "&amp;IFERROR(VLOOKUP(INDEX(LdBGroup,$M22),WGTbl,2,0),INDEX(LdBGroup,$M22)),IF($N22&lt;&gt;"",IF(N(INDEX(LdCDep,$N22))&gt;0,"بازگشت بانکی","پرداخت بانکی"),"")))</f>
        <v/>
      </c>
      <c r="D22" s="20">
        <f>IF($L22&lt;&gt;"",IF(INDEX(LdAId,$L22)="","—",INDEX(LdAId,$L22)),IF($M22&lt;&gt;"",IF(INDEX(LdBId,$M22)="","—",INDEX(LdBId,$M22)),IF($N22&lt;&gt;"",IF(INDEX(LdCBank,$N22)="","—",INDEX(LdCBank,$N22)),"")))</f>
        <v/>
      </c>
      <c r="E22" s="21">
        <f>IF($L22&lt;&gt;"",IF(INDEX(LdAAmt,$L22)=0,"",INDEX(LdAAmt,$L22)),IF($M22&lt;&gt;"",IF(INDEX(LdBAmt,$M22)=0,"",INDEX(LdBAmt,$M22)),IF($N22&lt;&gt;"",IF(INDEX(LdCDep,$N22)=0,"",INDEX(LdCDep,$N22)),"")))</f>
        <v/>
      </c>
      <c r="F22" s="21">
        <f>IF(AND($L22="",$M22="",$N22=""),"",IF($N22="","",IF(INDEX(LdCWit,$N22)=0,"",INDEX(LdCWit,$N22))))</f>
        <v/>
      </c>
      <c r="G22" s="31">
        <f>IF($B22="","",IF($G21="",0,$G21)+IF($E22="",0,$E22)-IF($F22="",0,$F22))</f>
        <v/>
      </c>
      <c r="H22" s="32">
        <f>IF(AND($L22="",$M22="",$N22=""),"",IF($L22&lt;&gt;"",IF(INDEX(LdANote,$L22)="","—",INDEX(LdANote,$L22)),IF($M22&lt;&gt;"",IF(INDEX(LdBNote,$M22)="","—",INDEX(LdBNote,$M22)),IF($N22&lt;&gt;"",IF(INDEX(LdCNote,$N22)="","—",INDEX(LdCNote,$N22)),""))))</f>
        <v/>
      </c>
      <c r="L22">
        <f>IFERROR(MATCH($C$5&amp;"|"&amp;RIGHT("000000"&amp;6,6),LdAKeyM,0),"")</f>
        <v/>
      </c>
      <c r="M22">
        <f>IFERROR(MATCH($C$5&amp;"|"&amp;RIGHT("000000"&amp;6,6),LdBKeyM,0),"")</f>
        <v/>
      </c>
      <c r="N22">
        <f>IFERROR(MATCH($C$5&amp;"|"&amp;RIGHT("000000"&amp;6,6),LdCKeyM,0),"")</f>
        <v/>
      </c>
    </row>
    <row r="23">
      <c r="A23" s="10" t="n">
        <v>7</v>
      </c>
      <c r="B23" s="14">
        <f>IF(AND($L23="",$M23="",$N23=""),"",IF($L23&lt;&gt;"",INDEX(LdADate,$L23),IF($M23&lt;&gt;"",INDEX(LdBDate,$M23),INDEX(LdCDate,$N23))))</f>
        <v/>
      </c>
      <c r="C23" s="14">
        <f>IF($L23&lt;&gt;"","دستمزد (فردی)",IF($M23&lt;&gt;"","سهم از گروه "&amp;IFERROR(VLOOKUP(INDEX(LdBGroup,$M23),WGTbl,2,0),INDEX(LdBGroup,$M23)),IF($N23&lt;&gt;"",IF(N(INDEX(LdCDep,$N23))&gt;0,"بازگشت بانکی","پرداخت بانکی"),"")))</f>
        <v/>
      </c>
      <c r="D23" s="14">
        <f>IF($L23&lt;&gt;"",IF(INDEX(LdAId,$L23)="","—",INDEX(LdAId,$L23)),IF($M23&lt;&gt;"",IF(INDEX(LdBId,$M23)="","—",INDEX(LdBId,$M23)),IF($N23&lt;&gt;"",IF(INDEX(LdCBank,$N23)="","—",INDEX(LdCBank,$N23)),"")))</f>
        <v/>
      </c>
      <c r="E23" s="16">
        <f>IF($L23&lt;&gt;"",IF(INDEX(LdAAmt,$L23)=0,"",INDEX(LdAAmt,$L23)),IF($M23&lt;&gt;"",IF(INDEX(LdBAmt,$M23)=0,"",INDEX(LdBAmt,$M23)),IF($N23&lt;&gt;"",IF(INDEX(LdCDep,$N23)=0,"",INDEX(LdCDep,$N23)),"")))</f>
        <v/>
      </c>
      <c r="F23" s="16">
        <f>IF(AND($L23="",$M23="",$N23=""),"",IF($N23="","",IF(INDEX(LdCWit,$N23)=0,"",INDEX(LdCWit,$N23))))</f>
        <v/>
      </c>
      <c r="G23" s="29">
        <f>IF($B23="","",IF($G22="",0,$G22)+IF($E23="",0,$E23)-IF($F23="",0,$F23))</f>
        <v/>
      </c>
      <c r="H23" s="30">
        <f>IF(AND($L23="",$M23="",$N23=""),"",IF($L23&lt;&gt;"",IF(INDEX(LdANote,$L23)="","—",INDEX(LdANote,$L23)),IF($M23&lt;&gt;"",IF(INDEX(LdBNote,$M23)="","—",INDEX(LdBNote,$M23)),IF($N23&lt;&gt;"",IF(INDEX(LdCNote,$N23)="","—",INDEX(LdCNote,$N23)),""))))</f>
        <v/>
      </c>
      <c r="L23">
        <f>IFERROR(MATCH($C$5&amp;"|"&amp;RIGHT("000000"&amp;7,6),LdAKeyM,0),"")</f>
        <v/>
      </c>
      <c r="M23">
        <f>IFERROR(MATCH($C$5&amp;"|"&amp;RIGHT("000000"&amp;7,6),LdBKeyM,0),"")</f>
        <v/>
      </c>
      <c r="N23">
        <f>IFERROR(MATCH($C$5&amp;"|"&amp;RIGHT("000000"&amp;7,6),LdCKeyM,0),"")</f>
        <v/>
      </c>
    </row>
    <row r="24">
      <c r="A24" s="19" t="n">
        <v>8</v>
      </c>
      <c r="B24" s="20">
        <f>IF(AND($L24="",$M24="",$N24=""),"",IF($L24&lt;&gt;"",INDEX(LdADate,$L24),IF($M24&lt;&gt;"",INDEX(LdBDate,$M24),INDEX(LdCDate,$N24))))</f>
        <v/>
      </c>
      <c r="C24" s="20">
        <f>IF($L24&lt;&gt;"","دستمزد (فردی)",IF($M24&lt;&gt;"","سهم از گروه "&amp;IFERROR(VLOOKUP(INDEX(LdBGroup,$M24),WGTbl,2,0),INDEX(LdBGroup,$M24)),IF($N24&lt;&gt;"",IF(N(INDEX(LdCDep,$N24))&gt;0,"بازگشت بانکی","پرداخت بانکی"),"")))</f>
        <v/>
      </c>
      <c r="D24" s="20">
        <f>IF($L24&lt;&gt;"",IF(INDEX(LdAId,$L24)="","—",INDEX(LdAId,$L24)),IF($M24&lt;&gt;"",IF(INDEX(LdBId,$M24)="","—",INDEX(LdBId,$M24)),IF($N24&lt;&gt;"",IF(INDEX(LdCBank,$N24)="","—",INDEX(LdCBank,$N24)),"")))</f>
        <v/>
      </c>
      <c r="E24" s="21">
        <f>IF($L24&lt;&gt;"",IF(INDEX(LdAAmt,$L24)=0,"",INDEX(LdAAmt,$L24)),IF($M24&lt;&gt;"",IF(INDEX(LdBAmt,$M24)=0,"",INDEX(LdBAmt,$M24)),IF($N24&lt;&gt;"",IF(INDEX(LdCDep,$N24)=0,"",INDEX(LdCDep,$N24)),"")))</f>
        <v/>
      </c>
      <c r="F24" s="21">
        <f>IF(AND($L24="",$M24="",$N24=""),"",IF($N24="","",IF(INDEX(LdCWit,$N24)=0,"",INDEX(LdCWit,$N24))))</f>
        <v/>
      </c>
      <c r="G24" s="31">
        <f>IF($B24="","",IF($G23="",0,$G23)+IF($E24="",0,$E24)-IF($F24="",0,$F24))</f>
        <v/>
      </c>
      <c r="H24" s="32">
        <f>IF(AND($L24="",$M24="",$N24=""),"",IF($L24&lt;&gt;"",IF(INDEX(LdANote,$L24)="","—",INDEX(LdANote,$L24)),IF($M24&lt;&gt;"",IF(INDEX(LdBNote,$M24)="","—",INDEX(LdBNote,$M24)),IF($N24&lt;&gt;"",IF(INDEX(LdCNote,$N24)="","—",INDEX(LdCNote,$N24)),""))))</f>
        <v/>
      </c>
      <c r="L24">
        <f>IFERROR(MATCH($C$5&amp;"|"&amp;RIGHT("000000"&amp;8,6),LdAKeyM,0),"")</f>
        <v/>
      </c>
      <c r="M24">
        <f>IFERROR(MATCH($C$5&amp;"|"&amp;RIGHT("000000"&amp;8,6),LdBKeyM,0),"")</f>
        <v/>
      </c>
      <c r="N24">
        <f>IFERROR(MATCH($C$5&amp;"|"&amp;RIGHT("000000"&amp;8,6),LdCKeyM,0),"")</f>
        <v/>
      </c>
    </row>
    <row r="25">
      <c r="A25" s="10" t="n">
        <v>9</v>
      </c>
      <c r="B25" s="14">
        <f>IF(AND($L25="",$M25="",$N25=""),"",IF($L25&lt;&gt;"",INDEX(LdADate,$L25),IF($M25&lt;&gt;"",INDEX(LdBDate,$M25),INDEX(LdCDate,$N25))))</f>
        <v/>
      </c>
      <c r="C25" s="14">
        <f>IF($L25&lt;&gt;"","دستمزد (فردی)",IF($M25&lt;&gt;"","سهم از گروه "&amp;IFERROR(VLOOKUP(INDEX(LdBGroup,$M25),WGTbl,2,0),INDEX(LdBGroup,$M25)),IF($N25&lt;&gt;"",IF(N(INDEX(LdCDep,$N25))&gt;0,"بازگشت بانکی","پرداخت بانکی"),"")))</f>
        <v/>
      </c>
      <c r="D25" s="14">
        <f>IF($L25&lt;&gt;"",IF(INDEX(LdAId,$L25)="","—",INDEX(LdAId,$L25)),IF($M25&lt;&gt;"",IF(INDEX(LdBId,$M25)="","—",INDEX(LdBId,$M25)),IF($N25&lt;&gt;"",IF(INDEX(LdCBank,$N25)="","—",INDEX(LdCBank,$N25)),"")))</f>
        <v/>
      </c>
      <c r="E25" s="16">
        <f>IF($L25&lt;&gt;"",IF(INDEX(LdAAmt,$L25)=0,"",INDEX(LdAAmt,$L25)),IF($M25&lt;&gt;"",IF(INDEX(LdBAmt,$M25)=0,"",INDEX(LdBAmt,$M25)),IF($N25&lt;&gt;"",IF(INDEX(LdCDep,$N25)=0,"",INDEX(LdCDep,$N25)),"")))</f>
        <v/>
      </c>
      <c r="F25" s="16">
        <f>IF(AND($L25="",$M25="",$N25=""),"",IF($N25="","",IF(INDEX(LdCWit,$N25)=0,"",INDEX(LdCWit,$N25))))</f>
        <v/>
      </c>
      <c r="G25" s="29">
        <f>IF($B25="","",IF($G24="",0,$G24)+IF($E25="",0,$E25)-IF($F25="",0,$F25))</f>
        <v/>
      </c>
      <c r="H25" s="30">
        <f>IF(AND($L25="",$M25="",$N25=""),"",IF($L25&lt;&gt;"",IF(INDEX(LdANote,$L25)="","—",INDEX(LdANote,$L25)),IF($M25&lt;&gt;"",IF(INDEX(LdBNote,$M25)="","—",INDEX(LdBNote,$M25)),IF($N25&lt;&gt;"",IF(INDEX(LdCNote,$N25)="","—",INDEX(LdCNote,$N25)),""))))</f>
        <v/>
      </c>
      <c r="L25">
        <f>IFERROR(MATCH($C$5&amp;"|"&amp;RIGHT("000000"&amp;9,6),LdAKeyM,0),"")</f>
        <v/>
      </c>
      <c r="M25">
        <f>IFERROR(MATCH($C$5&amp;"|"&amp;RIGHT("000000"&amp;9,6),LdBKeyM,0),"")</f>
        <v/>
      </c>
      <c r="N25">
        <f>IFERROR(MATCH($C$5&amp;"|"&amp;RIGHT("000000"&amp;9,6),LdCKeyM,0),"")</f>
        <v/>
      </c>
    </row>
    <row r="26">
      <c r="A26" s="19" t="n">
        <v>10</v>
      </c>
      <c r="B26" s="20">
        <f>IF(AND($L26="",$M26="",$N26=""),"",IF($L26&lt;&gt;"",INDEX(LdADate,$L26),IF($M26&lt;&gt;"",INDEX(LdBDate,$M26),INDEX(LdCDate,$N26))))</f>
        <v/>
      </c>
      <c r="C26" s="20">
        <f>IF($L26&lt;&gt;"","دستمزد (فردی)",IF($M26&lt;&gt;"","سهم از گروه "&amp;IFERROR(VLOOKUP(INDEX(LdBGroup,$M26),WGTbl,2,0),INDEX(LdBGroup,$M26)),IF($N26&lt;&gt;"",IF(N(INDEX(LdCDep,$N26))&gt;0,"بازگشت بانکی","پرداخت بانکی"),"")))</f>
        <v/>
      </c>
      <c r="D26" s="20">
        <f>IF($L26&lt;&gt;"",IF(INDEX(LdAId,$L26)="","—",INDEX(LdAId,$L26)),IF($M26&lt;&gt;"",IF(INDEX(LdBId,$M26)="","—",INDEX(LdBId,$M26)),IF($N26&lt;&gt;"",IF(INDEX(LdCBank,$N26)="","—",INDEX(LdCBank,$N26)),"")))</f>
        <v/>
      </c>
      <c r="E26" s="21">
        <f>IF($L26&lt;&gt;"",IF(INDEX(LdAAmt,$L26)=0,"",INDEX(LdAAmt,$L26)),IF($M26&lt;&gt;"",IF(INDEX(LdBAmt,$M26)=0,"",INDEX(LdBAmt,$M26)),IF($N26&lt;&gt;"",IF(INDEX(LdCDep,$N26)=0,"",INDEX(LdCDep,$N26)),"")))</f>
        <v/>
      </c>
      <c r="F26" s="21">
        <f>IF(AND($L26="",$M26="",$N26=""),"",IF($N26="","",IF(INDEX(LdCWit,$N26)=0,"",INDEX(LdCWit,$N26))))</f>
        <v/>
      </c>
      <c r="G26" s="31">
        <f>IF($B26="","",IF($G25="",0,$G25)+IF($E26="",0,$E26)-IF($F26="",0,$F26))</f>
        <v/>
      </c>
      <c r="H26" s="32">
        <f>IF(AND($L26="",$M26="",$N26=""),"",IF($L26&lt;&gt;"",IF(INDEX(LdANote,$L26)="","—",INDEX(LdANote,$L26)),IF($M26&lt;&gt;"",IF(INDEX(LdBNote,$M26)="","—",INDEX(LdBNote,$M26)),IF($N26&lt;&gt;"",IF(INDEX(LdCNote,$N26)="","—",INDEX(LdCNote,$N26)),""))))</f>
        <v/>
      </c>
      <c r="L26">
        <f>IFERROR(MATCH($C$5&amp;"|"&amp;RIGHT("000000"&amp;10,6),LdAKeyM,0),"")</f>
        <v/>
      </c>
      <c r="M26">
        <f>IFERROR(MATCH($C$5&amp;"|"&amp;RIGHT("000000"&amp;10,6),LdBKeyM,0),"")</f>
        <v/>
      </c>
      <c r="N26">
        <f>IFERROR(MATCH($C$5&amp;"|"&amp;RIGHT("000000"&amp;10,6),LdCKeyM,0),"")</f>
        <v/>
      </c>
    </row>
    <row r="27">
      <c r="A27" s="10" t="n">
        <v>11</v>
      </c>
      <c r="B27" s="14">
        <f>IF(AND($L27="",$M27="",$N27=""),"",IF($L27&lt;&gt;"",INDEX(LdADate,$L27),IF($M27&lt;&gt;"",INDEX(LdBDate,$M27),INDEX(LdCDate,$N27))))</f>
        <v/>
      </c>
      <c r="C27" s="14">
        <f>IF($L27&lt;&gt;"","دستمزد (فردی)",IF($M27&lt;&gt;"","سهم از گروه "&amp;IFERROR(VLOOKUP(INDEX(LdBGroup,$M27),WGTbl,2,0),INDEX(LdBGroup,$M27)),IF($N27&lt;&gt;"",IF(N(INDEX(LdCDep,$N27))&gt;0,"بازگشت بانکی","پرداخت بانکی"),"")))</f>
        <v/>
      </c>
      <c r="D27" s="14">
        <f>IF($L27&lt;&gt;"",IF(INDEX(LdAId,$L27)="","—",INDEX(LdAId,$L27)),IF($M27&lt;&gt;"",IF(INDEX(LdBId,$M27)="","—",INDEX(LdBId,$M27)),IF($N27&lt;&gt;"",IF(INDEX(LdCBank,$N27)="","—",INDEX(LdCBank,$N27)),"")))</f>
        <v/>
      </c>
      <c r="E27" s="16">
        <f>IF($L27&lt;&gt;"",IF(INDEX(LdAAmt,$L27)=0,"",INDEX(LdAAmt,$L27)),IF($M27&lt;&gt;"",IF(INDEX(LdBAmt,$M27)=0,"",INDEX(LdBAmt,$M27)),IF($N27&lt;&gt;"",IF(INDEX(LdCDep,$N27)=0,"",INDEX(LdCDep,$N27)),"")))</f>
        <v/>
      </c>
      <c r="F27" s="16">
        <f>IF(AND($L27="",$M27="",$N27=""),"",IF($N27="","",IF(INDEX(LdCWit,$N27)=0,"",INDEX(LdCWit,$N27))))</f>
        <v/>
      </c>
      <c r="G27" s="29">
        <f>IF($B27="","",IF($G26="",0,$G26)+IF($E27="",0,$E27)-IF($F27="",0,$F27))</f>
        <v/>
      </c>
      <c r="H27" s="30">
        <f>IF(AND($L27="",$M27="",$N27=""),"",IF($L27&lt;&gt;"",IF(INDEX(LdANote,$L27)="","—",INDEX(LdANote,$L27)),IF($M27&lt;&gt;"",IF(INDEX(LdBNote,$M27)="","—",INDEX(LdBNote,$M27)),IF($N27&lt;&gt;"",IF(INDEX(LdCNote,$N27)="","—",INDEX(LdCNote,$N27)),""))))</f>
        <v/>
      </c>
      <c r="L27">
        <f>IFERROR(MATCH($C$5&amp;"|"&amp;RIGHT("000000"&amp;11,6),LdAKeyM,0),"")</f>
        <v/>
      </c>
      <c r="M27">
        <f>IFERROR(MATCH($C$5&amp;"|"&amp;RIGHT("000000"&amp;11,6),LdBKeyM,0),"")</f>
        <v/>
      </c>
      <c r="N27">
        <f>IFERROR(MATCH($C$5&amp;"|"&amp;RIGHT("000000"&amp;11,6),LdCKeyM,0),"")</f>
        <v/>
      </c>
    </row>
    <row r="28">
      <c r="A28" s="19" t="n">
        <v>12</v>
      </c>
      <c r="B28" s="20">
        <f>IF(AND($L28="",$M28="",$N28=""),"",IF($L28&lt;&gt;"",INDEX(LdADate,$L28),IF($M28&lt;&gt;"",INDEX(LdBDate,$M28),INDEX(LdCDate,$N28))))</f>
        <v/>
      </c>
      <c r="C28" s="20">
        <f>IF($L28&lt;&gt;"","دستمزد (فردی)",IF($M28&lt;&gt;"","سهم از گروه "&amp;IFERROR(VLOOKUP(INDEX(LdBGroup,$M28),WGTbl,2,0),INDEX(LdBGroup,$M28)),IF($N28&lt;&gt;"",IF(N(INDEX(LdCDep,$N28))&gt;0,"بازگشت بانکی","پرداخت بانکی"),"")))</f>
        <v/>
      </c>
      <c r="D28" s="20">
        <f>IF($L28&lt;&gt;"",IF(INDEX(LdAId,$L28)="","—",INDEX(LdAId,$L28)),IF($M28&lt;&gt;"",IF(INDEX(LdBId,$M28)="","—",INDEX(LdBId,$M28)),IF($N28&lt;&gt;"",IF(INDEX(LdCBank,$N28)="","—",INDEX(LdCBank,$N28)),"")))</f>
        <v/>
      </c>
      <c r="E28" s="21">
        <f>IF($L28&lt;&gt;"",IF(INDEX(LdAAmt,$L28)=0,"",INDEX(LdAAmt,$L28)),IF($M28&lt;&gt;"",IF(INDEX(LdBAmt,$M28)=0,"",INDEX(LdBAmt,$M28)),IF($N28&lt;&gt;"",IF(INDEX(LdCDep,$N28)=0,"",INDEX(LdCDep,$N28)),"")))</f>
        <v/>
      </c>
      <c r="F28" s="21">
        <f>IF(AND($L28="",$M28="",$N28=""),"",IF($N28="","",IF(INDEX(LdCWit,$N28)=0,"",INDEX(LdCWit,$N28))))</f>
        <v/>
      </c>
      <c r="G28" s="31">
        <f>IF($B28="","",IF($G27="",0,$G27)+IF($E28="",0,$E28)-IF($F28="",0,$F28))</f>
        <v/>
      </c>
      <c r="H28" s="32">
        <f>IF(AND($L28="",$M28="",$N28=""),"",IF($L28&lt;&gt;"",IF(INDEX(LdANote,$L28)="","—",INDEX(LdANote,$L28)),IF($M28&lt;&gt;"",IF(INDEX(LdBNote,$M28)="","—",INDEX(LdBNote,$M28)),IF($N28&lt;&gt;"",IF(INDEX(LdCNote,$N28)="","—",INDEX(LdCNote,$N28)),""))))</f>
        <v/>
      </c>
      <c r="L28">
        <f>IFERROR(MATCH($C$5&amp;"|"&amp;RIGHT("000000"&amp;12,6),LdAKeyM,0),"")</f>
        <v/>
      </c>
      <c r="M28">
        <f>IFERROR(MATCH($C$5&amp;"|"&amp;RIGHT("000000"&amp;12,6),LdBKeyM,0),"")</f>
        <v/>
      </c>
      <c r="N28">
        <f>IFERROR(MATCH($C$5&amp;"|"&amp;RIGHT("000000"&amp;12,6),LdCKeyM,0),"")</f>
        <v/>
      </c>
    </row>
    <row r="29">
      <c r="A29" s="10" t="n">
        <v>13</v>
      </c>
      <c r="B29" s="14">
        <f>IF(AND($L29="",$M29="",$N29=""),"",IF($L29&lt;&gt;"",INDEX(LdADate,$L29),IF($M29&lt;&gt;"",INDEX(LdBDate,$M29),INDEX(LdCDate,$N29))))</f>
        <v/>
      </c>
      <c r="C29" s="14">
        <f>IF($L29&lt;&gt;"","دستمزد (فردی)",IF($M29&lt;&gt;"","سهم از گروه "&amp;IFERROR(VLOOKUP(INDEX(LdBGroup,$M29),WGTbl,2,0),INDEX(LdBGroup,$M29)),IF($N29&lt;&gt;"",IF(N(INDEX(LdCDep,$N29))&gt;0,"بازگشت بانکی","پرداخت بانکی"),"")))</f>
        <v/>
      </c>
      <c r="D29" s="14">
        <f>IF($L29&lt;&gt;"",IF(INDEX(LdAId,$L29)="","—",INDEX(LdAId,$L29)),IF($M29&lt;&gt;"",IF(INDEX(LdBId,$M29)="","—",INDEX(LdBId,$M29)),IF($N29&lt;&gt;"",IF(INDEX(LdCBank,$N29)="","—",INDEX(LdCBank,$N29)),"")))</f>
        <v/>
      </c>
      <c r="E29" s="16">
        <f>IF($L29&lt;&gt;"",IF(INDEX(LdAAmt,$L29)=0,"",INDEX(LdAAmt,$L29)),IF($M29&lt;&gt;"",IF(INDEX(LdBAmt,$M29)=0,"",INDEX(LdBAmt,$M29)),IF($N29&lt;&gt;"",IF(INDEX(LdCDep,$N29)=0,"",INDEX(LdCDep,$N29)),"")))</f>
        <v/>
      </c>
      <c r="F29" s="16">
        <f>IF(AND($L29="",$M29="",$N29=""),"",IF($N29="","",IF(INDEX(LdCWit,$N29)=0,"",INDEX(LdCWit,$N29))))</f>
        <v/>
      </c>
      <c r="G29" s="29">
        <f>IF($B29="","",IF($G28="",0,$G28)+IF($E29="",0,$E29)-IF($F29="",0,$F29))</f>
        <v/>
      </c>
      <c r="H29" s="30">
        <f>IF(AND($L29="",$M29="",$N29=""),"",IF($L29&lt;&gt;"",IF(INDEX(LdANote,$L29)="","—",INDEX(LdANote,$L29)),IF($M29&lt;&gt;"",IF(INDEX(LdBNote,$M29)="","—",INDEX(LdBNote,$M29)),IF($N29&lt;&gt;"",IF(INDEX(LdCNote,$N29)="","—",INDEX(LdCNote,$N29)),""))))</f>
        <v/>
      </c>
      <c r="L29">
        <f>IFERROR(MATCH($C$5&amp;"|"&amp;RIGHT("000000"&amp;13,6),LdAKeyM,0),"")</f>
        <v/>
      </c>
      <c r="M29">
        <f>IFERROR(MATCH($C$5&amp;"|"&amp;RIGHT("000000"&amp;13,6),LdBKeyM,0),"")</f>
        <v/>
      </c>
      <c r="N29">
        <f>IFERROR(MATCH($C$5&amp;"|"&amp;RIGHT("000000"&amp;13,6),LdCKeyM,0),"")</f>
        <v/>
      </c>
    </row>
    <row r="30">
      <c r="A30" s="19" t="n">
        <v>14</v>
      </c>
      <c r="B30" s="20">
        <f>IF(AND($L30="",$M30="",$N30=""),"",IF($L30&lt;&gt;"",INDEX(LdADate,$L30),IF($M30&lt;&gt;"",INDEX(LdBDate,$M30),INDEX(LdCDate,$N30))))</f>
        <v/>
      </c>
      <c r="C30" s="20">
        <f>IF($L30&lt;&gt;"","دستمزد (فردی)",IF($M30&lt;&gt;"","سهم از گروه "&amp;IFERROR(VLOOKUP(INDEX(LdBGroup,$M30),WGTbl,2,0),INDEX(LdBGroup,$M30)),IF($N30&lt;&gt;"",IF(N(INDEX(LdCDep,$N30))&gt;0,"بازگشت بانکی","پرداخت بانکی"),"")))</f>
        <v/>
      </c>
      <c r="D30" s="20">
        <f>IF($L30&lt;&gt;"",IF(INDEX(LdAId,$L30)="","—",INDEX(LdAId,$L30)),IF($M30&lt;&gt;"",IF(INDEX(LdBId,$M30)="","—",INDEX(LdBId,$M30)),IF($N30&lt;&gt;"",IF(INDEX(LdCBank,$N30)="","—",INDEX(LdCBank,$N30)),"")))</f>
        <v/>
      </c>
      <c r="E30" s="21">
        <f>IF($L30&lt;&gt;"",IF(INDEX(LdAAmt,$L30)=0,"",INDEX(LdAAmt,$L30)),IF($M30&lt;&gt;"",IF(INDEX(LdBAmt,$M30)=0,"",INDEX(LdBAmt,$M30)),IF($N30&lt;&gt;"",IF(INDEX(LdCDep,$N30)=0,"",INDEX(LdCDep,$N30)),"")))</f>
        <v/>
      </c>
      <c r="F30" s="21">
        <f>IF(AND($L30="",$M30="",$N30=""),"",IF($N30="","",IF(INDEX(LdCWit,$N30)=0,"",INDEX(LdCWit,$N30))))</f>
        <v/>
      </c>
      <c r="G30" s="31">
        <f>IF($B30="","",IF($G29="",0,$G29)+IF($E30="",0,$E30)-IF($F30="",0,$F30))</f>
        <v/>
      </c>
      <c r="H30" s="32">
        <f>IF(AND($L30="",$M30="",$N30=""),"",IF($L30&lt;&gt;"",IF(INDEX(LdANote,$L30)="","—",INDEX(LdANote,$L30)),IF($M30&lt;&gt;"",IF(INDEX(LdBNote,$M30)="","—",INDEX(LdBNote,$M30)),IF($N30&lt;&gt;"",IF(INDEX(LdCNote,$N30)="","—",INDEX(LdCNote,$N30)),""))))</f>
        <v/>
      </c>
      <c r="L30">
        <f>IFERROR(MATCH($C$5&amp;"|"&amp;RIGHT("000000"&amp;14,6),LdAKeyM,0),"")</f>
        <v/>
      </c>
      <c r="M30">
        <f>IFERROR(MATCH($C$5&amp;"|"&amp;RIGHT("000000"&amp;14,6),LdBKeyM,0),"")</f>
        <v/>
      </c>
      <c r="N30">
        <f>IFERROR(MATCH($C$5&amp;"|"&amp;RIGHT("000000"&amp;14,6),LdCKeyM,0),"")</f>
        <v/>
      </c>
    </row>
    <row r="31">
      <c r="A31" s="10" t="n">
        <v>15</v>
      </c>
      <c r="B31" s="14">
        <f>IF(AND($L31="",$M31="",$N31=""),"",IF($L31&lt;&gt;"",INDEX(LdADate,$L31),IF($M31&lt;&gt;"",INDEX(LdBDate,$M31),INDEX(LdCDate,$N31))))</f>
        <v/>
      </c>
      <c r="C31" s="14">
        <f>IF($L31&lt;&gt;"","دستمزد (فردی)",IF($M31&lt;&gt;"","سهم از گروه "&amp;IFERROR(VLOOKUP(INDEX(LdBGroup,$M31),WGTbl,2,0),INDEX(LdBGroup,$M31)),IF($N31&lt;&gt;"",IF(N(INDEX(LdCDep,$N31))&gt;0,"بازگشت بانکی","پرداخت بانکی"),"")))</f>
        <v/>
      </c>
      <c r="D31" s="14">
        <f>IF($L31&lt;&gt;"",IF(INDEX(LdAId,$L31)="","—",INDEX(LdAId,$L31)),IF($M31&lt;&gt;"",IF(INDEX(LdBId,$M31)="","—",INDEX(LdBId,$M31)),IF($N31&lt;&gt;"",IF(INDEX(LdCBank,$N31)="","—",INDEX(LdCBank,$N31)),"")))</f>
        <v/>
      </c>
      <c r="E31" s="16">
        <f>IF($L31&lt;&gt;"",IF(INDEX(LdAAmt,$L31)=0,"",INDEX(LdAAmt,$L31)),IF($M31&lt;&gt;"",IF(INDEX(LdBAmt,$M31)=0,"",INDEX(LdBAmt,$M31)),IF($N31&lt;&gt;"",IF(INDEX(LdCDep,$N31)=0,"",INDEX(LdCDep,$N31)),"")))</f>
        <v/>
      </c>
      <c r="F31" s="16">
        <f>IF(AND($L31="",$M31="",$N31=""),"",IF($N31="","",IF(INDEX(LdCWit,$N31)=0,"",INDEX(LdCWit,$N31))))</f>
        <v/>
      </c>
      <c r="G31" s="29">
        <f>IF($B31="","",IF($G30="",0,$G30)+IF($E31="",0,$E31)-IF($F31="",0,$F31))</f>
        <v/>
      </c>
      <c r="H31" s="30">
        <f>IF(AND($L31="",$M31="",$N31=""),"",IF($L31&lt;&gt;"",IF(INDEX(LdANote,$L31)="","—",INDEX(LdANote,$L31)),IF($M31&lt;&gt;"",IF(INDEX(LdBNote,$M31)="","—",INDEX(LdBNote,$M31)),IF($N31&lt;&gt;"",IF(INDEX(LdCNote,$N31)="","—",INDEX(LdCNote,$N31)),""))))</f>
        <v/>
      </c>
      <c r="L31">
        <f>IFERROR(MATCH($C$5&amp;"|"&amp;RIGHT("000000"&amp;15,6),LdAKeyM,0),"")</f>
        <v/>
      </c>
      <c r="M31">
        <f>IFERROR(MATCH($C$5&amp;"|"&amp;RIGHT("000000"&amp;15,6),LdBKeyM,0),"")</f>
        <v/>
      </c>
      <c r="N31">
        <f>IFERROR(MATCH($C$5&amp;"|"&amp;RIGHT("000000"&amp;15,6),LdCKeyM,0),"")</f>
        <v/>
      </c>
    </row>
    <row r="32">
      <c r="A32" s="19" t="n">
        <v>16</v>
      </c>
      <c r="B32" s="20">
        <f>IF(AND($L32="",$M32="",$N32=""),"",IF($L32&lt;&gt;"",INDEX(LdADate,$L32),IF($M32&lt;&gt;"",INDEX(LdBDate,$M32),INDEX(LdCDate,$N32))))</f>
        <v/>
      </c>
      <c r="C32" s="20">
        <f>IF($L32&lt;&gt;"","دستمزد (فردی)",IF($M32&lt;&gt;"","سهم از گروه "&amp;IFERROR(VLOOKUP(INDEX(LdBGroup,$M32),WGTbl,2,0),INDEX(LdBGroup,$M32)),IF($N32&lt;&gt;"",IF(N(INDEX(LdCDep,$N32))&gt;0,"بازگشت بانکی","پرداخت بانکی"),"")))</f>
        <v/>
      </c>
      <c r="D32" s="20">
        <f>IF($L32&lt;&gt;"",IF(INDEX(LdAId,$L32)="","—",INDEX(LdAId,$L32)),IF($M32&lt;&gt;"",IF(INDEX(LdBId,$M32)="","—",INDEX(LdBId,$M32)),IF($N32&lt;&gt;"",IF(INDEX(LdCBank,$N32)="","—",INDEX(LdCBank,$N32)),"")))</f>
        <v/>
      </c>
      <c r="E32" s="21">
        <f>IF($L32&lt;&gt;"",IF(INDEX(LdAAmt,$L32)=0,"",INDEX(LdAAmt,$L32)),IF($M32&lt;&gt;"",IF(INDEX(LdBAmt,$M32)=0,"",INDEX(LdBAmt,$M32)),IF($N32&lt;&gt;"",IF(INDEX(LdCDep,$N32)=0,"",INDEX(LdCDep,$N32)),"")))</f>
        <v/>
      </c>
      <c r="F32" s="21">
        <f>IF(AND($L32="",$M32="",$N32=""),"",IF($N32="","",IF(INDEX(LdCWit,$N32)=0,"",INDEX(LdCWit,$N32))))</f>
        <v/>
      </c>
      <c r="G32" s="31">
        <f>IF($B32="","",IF($G31="",0,$G31)+IF($E32="",0,$E32)-IF($F32="",0,$F32))</f>
        <v/>
      </c>
      <c r="H32" s="32">
        <f>IF(AND($L32="",$M32="",$N32=""),"",IF($L32&lt;&gt;"",IF(INDEX(LdANote,$L32)="","—",INDEX(LdANote,$L32)),IF($M32&lt;&gt;"",IF(INDEX(LdBNote,$M32)="","—",INDEX(LdBNote,$M32)),IF($N32&lt;&gt;"",IF(INDEX(LdCNote,$N32)="","—",INDEX(LdCNote,$N32)),""))))</f>
        <v/>
      </c>
      <c r="L32">
        <f>IFERROR(MATCH($C$5&amp;"|"&amp;RIGHT("000000"&amp;16,6),LdAKeyM,0),"")</f>
        <v/>
      </c>
      <c r="M32">
        <f>IFERROR(MATCH($C$5&amp;"|"&amp;RIGHT("000000"&amp;16,6),LdBKeyM,0),"")</f>
        <v/>
      </c>
      <c r="N32">
        <f>IFERROR(MATCH($C$5&amp;"|"&amp;RIGHT("000000"&amp;16,6),LdCKeyM,0),"")</f>
        <v/>
      </c>
    </row>
    <row r="33">
      <c r="A33" s="10" t="n">
        <v>17</v>
      </c>
      <c r="B33" s="14">
        <f>IF(AND($L33="",$M33="",$N33=""),"",IF($L33&lt;&gt;"",INDEX(LdADate,$L33),IF($M33&lt;&gt;"",INDEX(LdBDate,$M33),INDEX(LdCDate,$N33))))</f>
        <v/>
      </c>
      <c r="C33" s="14">
        <f>IF($L33&lt;&gt;"","دستمزد (فردی)",IF($M33&lt;&gt;"","سهم از گروه "&amp;IFERROR(VLOOKUP(INDEX(LdBGroup,$M33),WGTbl,2,0),INDEX(LdBGroup,$M33)),IF($N33&lt;&gt;"",IF(N(INDEX(LdCDep,$N33))&gt;0,"بازگشت بانکی","پرداخت بانکی"),"")))</f>
        <v/>
      </c>
      <c r="D33" s="14">
        <f>IF($L33&lt;&gt;"",IF(INDEX(LdAId,$L33)="","—",INDEX(LdAId,$L33)),IF($M33&lt;&gt;"",IF(INDEX(LdBId,$M33)="","—",INDEX(LdBId,$M33)),IF($N33&lt;&gt;"",IF(INDEX(LdCBank,$N33)="","—",INDEX(LdCBank,$N33)),"")))</f>
        <v/>
      </c>
      <c r="E33" s="16">
        <f>IF($L33&lt;&gt;"",IF(INDEX(LdAAmt,$L33)=0,"",INDEX(LdAAmt,$L33)),IF($M33&lt;&gt;"",IF(INDEX(LdBAmt,$M33)=0,"",INDEX(LdBAmt,$M33)),IF($N33&lt;&gt;"",IF(INDEX(LdCDep,$N33)=0,"",INDEX(LdCDep,$N33)),"")))</f>
        <v/>
      </c>
      <c r="F33" s="16">
        <f>IF(AND($L33="",$M33="",$N33=""),"",IF($N33="","",IF(INDEX(LdCWit,$N33)=0,"",INDEX(LdCWit,$N33))))</f>
        <v/>
      </c>
      <c r="G33" s="29">
        <f>IF($B33="","",IF($G32="",0,$G32)+IF($E33="",0,$E33)-IF($F33="",0,$F33))</f>
        <v/>
      </c>
      <c r="H33" s="30">
        <f>IF(AND($L33="",$M33="",$N33=""),"",IF($L33&lt;&gt;"",IF(INDEX(LdANote,$L33)="","—",INDEX(LdANote,$L33)),IF($M33&lt;&gt;"",IF(INDEX(LdBNote,$M33)="","—",INDEX(LdBNote,$M33)),IF($N33&lt;&gt;"",IF(INDEX(LdCNote,$N33)="","—",INDEX(LdCNote,$N33)),""))))</f>
        <v/>
      </c>
      <c r="L33">
        <f>IFERROR(MATCH($C$5&amp;"|"&amp;RIGHT("000000"&amp;17,6),LdAKeyM,0),"")</f>
        <v/>
      </c>
      <c r="M33">
        <f>IFERROR(MATCH($C$5&amp;"|"&amp;RIGHT("000000"&amp;17,6),LdBKeyM,0),"")</f>
        <v/>
      </c>
      <c r="N33">
        <f>IFERROR(MATCH($C$5&amp;"|"&amp;RIGHT("000000"&amp;17,6),LdCKeyM,0),"")</f>
        <v/>
      </c>
    </row>
    <row r="34">
      <c r="A34" s="19" t="n">
        <v>18</v>
      </c>
      <c r="B34" s="20">
        <f>IF(AND($L34="",$M34="",$N34=""),"",IF($L34&lt;&gt;"",INDEX(LdADate,$L34),IF($M34&lt;&gt;"",INDEX(LdBDate,$M34),INDEX(LdCDate,$N34))))</f>
        <v/>
      </c>
      <c r="C34" s="20">
        <f>IF($L34&lt;&gt;"","دستمزد (فردی)",IF($M34&lt;&gt;"","سهم از گروه "&amp;IFERROR(VLOOKUP(INDEX(LdBGroup,$M34),WGTbl,2,0),INDEX(LdBGroup,$M34)),IF($N34&lt;&gt;"",IF(N(INDEX(LdCDep,$N34))&gt;0,"بازگشت بانکی","پرداخت بانکی"),"")))</f>
        <v/>
      </c>
      <c r="D34" s="20">
        <f>IF($L34&lt;&gt;"",IF(INDEX(LdAId,$L34)="","—",INDEX(LdAId,$L34)),IF($M34&lt;&gt;"",IF(INDEX(LdBId,$M34)="","—",INDEX(LdBId,$M34)),IF($N34&lt;&gt;"",IF(INDEX(LdCBank,$N34)="","—",INDEX(LdCBank,$N34)),"")))</f>
        <v/>
      </c>
      <c r="E34" s="21">
        <f>IF($L34&lt;&gt;"",IF(INDEX(LdAAmt,$L34)=0,"",INDEX(LdAAmt,$L34)),IF($M34&lt;&gt;"",IF(INDEX(LdBAmt,$M34)=0,"",INDEX(LdBAmt,$M34)),IF($N34&lt;&gt;"",IF(INDEX(LdCDep,$N34)=0,"",INDEX(LdCDep,$N34)),"")))</f>
        <v/>
      </c>
      <c r="F34" s="21">
        <f>IF(AND($L34="",$M34="",$N34=""),"",IF($N34="","",IF(INDEX(LdCWit,$N34)=0,"",INDEX(LdCWit,$N34))))</f>
        <v/>
      </c>
      <c r="G34" s="31">
        <f>IF($B34="","",IF($G33="",0,$G33)+IF($E34="",0,$E34)-IF($F34="",0,$F34))</f>
        <v/>
      </c>
      <c r="H34" s="32">
        <f>IF(AND($L34="",$M34="",$N34=""),"",IF($L34&lt;&gt;"",IF(INDEX(LdANote,$L34)="","—",INDEX(LdANote,$L34)),IF($M34&lt;&gt;"",IF(INDEX(LdBNote,$M34)="","—",INDEX(LdBNote,$M34)),IF($N34&lt;&gt;"",IF(INDEX(LdCNote,$N34)="","—",INDEX(LdCNote,$N34)),""))))</f>
        <v/>
      </c>
      <c r="L34">
        <f>IFERROR(MATCH($C$5&amp;"|"&amp;RIGHT("000000"&amp;18,6),LdAKeyM,0),"")</f>
        <v/>
      </c>
      <c r="M34">
        <f>IFERROR(MATCH($C$5&amp;"|"&amp;RIGHT("000000"&amp;18,6),LdBKeyM,0),"")</f>
        <v/>
      </c>
      <c r="N34">
        <f>IFERROR(MATCH($C$5&amp;"|"&amp;RIGHT("000000"&amp;18,6),LdCKeyM,0),"")</f>
        <v/>
      </c>
    </row>
    <row r="35">
      <c r="A35" s="10" t="n">
        <v>19</v>
      </c>
      <c r="B35" s="14">
        <f>IF(AND($L35="",$M35="",$N35=""),"",IF($L35&lt;&gt;"",INDEX(LdADate,$L35),IF($M35&lt;&gt;"",INDEX(LdBDate,$M35),INDEX(LdCDate,$N35))))</f>
        <v/>
      </c>
      <c r="C35" s="14">
        <f>IF($L35&lt;&gt;"","دستمزد (فردی)",IF($M35&lt;&gt;"","سهم از گروه "&amp;IFERROR(VLOOKUP(INDEX(LdBGroup,$M35),WGTbl,2,0),INDEX(LdBGroup,$M35)),IF($N35&lt;&gt;"",IF(N(INDEX(LdCDep,$N35))&gt;0,"بازگشت بانکی","پرداخت بانکی"),"")))</f>
        <v/>
      </c>
      <c r="D35" s="14">
        <f>IF($L35&lt;&gt;"",IF(INDEX(LdAId,$L35)="","—",INDEX(LdAId,$L35)),IF($M35&lt;&gt;"",IF(INDEX(LdBId,$M35)="","—",INDEX(LdBId,$M35)),IF($N35&lt;&gt;"",IF(INDEX(LdCBank,$N35)="","—",INDEX(LdCBank,$N35)),"")))</f>
        <v/>
      </c>
      <c r="E35" s="16">
        <f>IF($L35&lt;&gt;"",IF(INDEX(LdAAmt,$L35)=0,"",INDEX(LdAAmt,$L35)),IF($M35&lt;&gt;"",IF(INDEX(LdBAmt,$M35)=0,"",INDEX(LdBAmt,$M35)),IF($N35&lt;&gt;"",IF(INDEX(LdCDep,$N35)=0,"",INDEX(LdCDep,$N35)),"")))</f>
        <v/>
      </c>
      <c r="F35" s="16">
        <f>IF(AND($L35="",$M35="",$N35=""),"",IF($N35="","",IF(INDEX(LdCWit,$N35)=0,"",INDEX(LdCWit,$N35))))</f>
        <v/>
      </c>
      <c r="G35" s="29">
        <f>IF($B35="","",IF($G34="",0,$G34)+IF($E35="",0,$E35)-IF($F35="",0,$F35))</f>
        <v/>
      </c>
      <c r="H35" s="30">
        <f>IF(AND($L35="",$M35="",$N35=""),"",IF($L35&lt;&gt;"",IF(INDEX(LdANote,$L35)="","—",INDEX(LdANote,$L35)),IF($M35&lt;&gt;"",IF(INDEX(LdBNote,$M35)="","—",INDEX(LdBNote,$M35)),IF($N35&lt;&gt;"",IF(INDEX(LdCNote,$N35)="","—",INDEX(LdCNote,$N35)),""))))</f>
        <v/>
      </c>
      <c r="L35">
        <f>IFERROR(MATCH($C$5&amp;"|"&amp;RIGHT("000000"&amp;19,6),LdAKeyM,0),"")</f>
        <v/>
      </c>
      <c r="M35">
        <f>IFERROR(MATCH($C$5&amp;"|"&amp;RIGHT("000000"&amp;19,6),LdBKeyM,0),"")</f>
        <v/>
      </c>
      <c r="N35">
        <f>IFERROR(MATCH($C$5&amp;"|"&amp;RIGHT("000000"&amp;19,6),LdCKeyM,0),"")</f>
        <v/>
      </c>
    </row>
    <row r="36">
      <c r="A36" s="19" t="n">
        <v>20</v>
      </c>
      <c r="B36" s="20">
        <f>IF(AND($L36="",$M36="",$N36=""),"",IF($L36&lt;&gt;"",INDEX(LdADate,$L36),IF($M36&lt;&gt;"",INDEX(LdBDate,$M36),INDEX(LdCDate,$N36))))</f>
        <v/>
      </c>
      <c r="C36" s="20">
        <f>IF($L36&lt;&gt;"","دستمزد (فردی)",IF($M36&lt;&gt;"","سهم از گروه "&amp;IFERROR(VLOOKUP(INDEX(LdBGroup,$M36),WGTbl,2,0),INDEX(LdBGroup,$M36)),IF($N36&lt;&gt;"",IF(N(INDEX(LdCDep,$N36))&gt;0,"بازگشت بانکی","پرداخت بانکی"),"")))</f>
        <v/>
      </c>
      <c r="D36" s="20">
        <f>IF($L36&lt;&gt;"",IF(INDEX(LdAId,$L36)="","—",INDEX(LdAId,$L36)),IF($M36&lt;&gt;"",IF(INDEX(LdBId,$M36)="","—",INDEX(LdBId,$M36)),IF($N36&lt;&gt;"",IF(INDEX(LdCBank,$N36)="","—",INDEX(LdCBank,$N36)),"")))</f>
        <v/>
      </c>
      <c r="E36" s="21">
        <f>IF($L36&lt;&gt;"",IF(INDEX(LdAAmt,$L36)=0,"",INDEX(LdAAmt,$L36)),IF($M36&lt;&gt;"",IF(INDEX(LdBAmt,$M36)=0,"",INDEX(LdBAmt,$M36)),IF($N36&lt;&gt;"",IF(INDEX(LdCDep,$N36)=0,"",INDEX(LdCDep,$N36)),"")))</f>
        <v/>
      </c>
      <c r="F36" s="21">
        <f>IF(AND($L36="",$M36="",$N36=""),"",IF($N36="","",IF(INDEX(LdCWit,$N36)=0,"",INDEX(LdCWit,$N36))))</f>
        <v/>
      </c>
      <c r="G36" s="31">
        <f>IF($B36="","",IF($G35="",0,$G35)+IF($E36="",0,$E36)-IF($F36="",0,$F36))</f>
        <v/>
      </c>
      <c r="H36" s="32">
        <f>IF(AND($L36="",$M36="",$N36=""),"",IF($L36&lt;&gt;"",IF(INDEX(LdANote,$L36)="","—",INDEX(LdANote,$L36)),IF($M36&lt;&gt;"",IF(INDEX(LdBNote,$M36)="","—",INDEX(LdBNote,$M36)),IF($N36&lt;&gt;"",IF(INDEX(LdCNote,$N36)="","—",INDEX(LdCNote,$N36)),""))))</f>
        <v/>
      </c>
      <c r="L36">
        <f>IFERROR(MATCH($C$5&amp;"|"&amp;RIGHT("000000"&amp;20,6),LdAKeyM,0),"")</f>
        <v/>
      </c>
      <c r="M36">
        <f>IFERROR(MATCH($C$5&amp;"|"&amp;RIGHT("000000"&amp;20,6),LdBKeyM,0),"")</f>
        <v/>
      </c>
      <c r="N36">
        <f>IFERROR(MATCH($C$5&amp;"|"&amp;RIGHT("000000"&amp;20,6),LdCKeyM,0),"")</f>
        <v/>
      </c>
    </row>
    <row r="37">
      <c r="A37" s="10" t="n">
        <v>21</v>
      </c>
      <c r="B37" s="14">
        <f>IF(AND($L37="",$M37="",$N37=""),"",IF($L37&lt;&gt;"",INDEX(LdADate,$L37),IF($M37&lt;&gt;"",INDEX(LdBDate,$M37),INDEX(LdCDate,$N37))))</f>
        <v/>
      </c>
      <c r="C37" s="14">
        <f>IF($L37&lt;&gt;"","دستمزد (فردی)",IF($M37&lt;&gt;"","سهم از گروه "&amp;IFERROR(VLOOKUP(INDEX(LdBGroup,$M37),WGTbl,2,0),INDEX(LdBGroup,$M37)),IF($N37&lt;&gt;"",IF(N(INDEX(LdCDep,$N37))&gt;0,"بازگشت بانکی","پرداخت بانکی"),"")))</f>
        <v/>
      </c>
      <c r="D37" s="14">
        <f>IF($L37&lt;&gt;"",IF(INDEX(LdAId,$L37)="","—",INDEX(LdAId,$L37)),IF($M37&lt;&gt;"",IF(INDEX(LdBId,$M37)="","—",INDEX(LdBId,$M37)),IF($N37&lt;&gt;"",IF(INDEX(LdCBank,$N37)="","—",INDEX(LdCBank,$N37)),"")))</f>
        <v/>
      </c>
      <c r="E37" s="16">
        <f>IF($L37&lt;&gt;"",IF(INDEX(LdAAmt,$L37)=0,"",INDEX(LdAAmt,$L37)),IF($M37&lt;&gt;"",IF(INDEX(LdBAmt,$M37)=0,"",INDEX(LdBAmt,$M37)),IF($N37&lt;&gt;"",IF(INDEX(LdCDep,$N37)=0,"",INDEX(LdCDep,$N37)),"")))</f>
        <v/>
      </c>
      <c r="F37" s="16">
        <f>IF(AND($L37="",$M37="",$N37=""),"",IF($N37="","",IF(INDEX(LdCWit,$N37)=0,"",INDEX(LdCWit,$N37))))</f>
        <v/>
      </c>
      <c r="G37" s="29">
        <f>IF($B37="","",IF($G36="",0,$G36)+IF($E37="",0,$E37)-IF($F37="",0,$F37))</f>
        <v/>
      </c>
      <c r="H37" s="30">
        <f>IF(AND($L37="",$M37="",$N37=""),"",IF($L37&lt;&gt;"",IF(INDEX(LdANote,$L37)="","—",INDEX(LdANote,$L37)),IF($M37&lt;&gt;"",IF(INDEX(LdBNote,$M37)="","—",INDEX(LdBNote,$M37)),IF($N37&lt;&gt;"",IF(INDEX(LdCNote,$N37)="","—",INDEX(LdCNote,$N37)),""))))</f>
        <v/>
      </c>
      <c r="L37">
        <f>IFERROR(MATCH($C$5&amp;"|"&amp;RIGHT("000000"&amp;21,6),LdAKeyM,0),"")</f>
        <v/>
      </c>
      <c r="M37">
        <f>IFERROR(MATCH($C$5&amp;"|"&amp;RIGHT("000000"&amp;21,6),LdBKeyM,0),"")</f>
        <v/>
      </c>
      <c r="N37">
        <f>IFERROR(MATCH($C$5&amp;"|"&amp;RIGHT("000000"&amp;21,6),LdCKeyM,0),"")</f>
        <v/>
      </c>
    </row>
    <row r="38">
      <c r="A38" s="19" t="n">
        <v>22</v>
      </c>
      <c r="B38" s="20">
        <f>IF(AND($L38="",$M38="",$N38=""),"",IF($L38&lt;&gt;"",INDEX(LdADate,$L38),IF($M38&lt;&gt;"",INDEX(LdBDate,$M38),INDEX(LdCDate,$N38))))</f>
        <v/>
      </c>
      <c r="C38" s="20">
        <f>IF($L38&lt;&gt;"","دستمزد (فردی)",IF($M38&lt;&gt;"","سهم از گروه "&amp;IFERROR(VLOOKUP(INDEX(LdBGroup,$M38),WGTbl,2,0),INDEX(LdBGroup,$M38)),IF($N38&lt;&gt;"",IF(N(INDEX(LdCDep,$N38))&gt;0,"بازگشت بانکی","پرداخت بانکی"),"")))</f>
        <v/>
      </c>
      <c r="D38" s="20">
        <f>IF($L38&lt;&gt;"",IF(INDEX(LdAId,$L38)="","—",INDEX(LdAId,$L38)),IF($M38&lt;&gt;"",IF(INDEX(LdBId,$M38)="","—",INDEX(LdBId,$M38)),IF($N38&lt;&gt;"",IF(INDEX(LdCBank,$N38)="","—",INDEX(LdCBank,$N38)),"")))</f>
        <v/>
      </c>
      <c r="E38" s="21">
        <f>IF($L38&lt;&gt;"",IF(INDEX(LdAAmt,$L38)=0,"",INDEX(LdAAmt,$L38)),IF($M38&lt;&gt;"",IF(INDEX(LdBAmt,$M38)=0,"",INDEX(LdBAmt,$M38)),IF($N38&lt;&gt;"",IF(INDEX(LdCDep,$N38)=0,"",INDEX(LdCDep,$N38)),"")))</f>
        <v/>
      </c>
      <c r="F38" s="21">
        <f>IF(AND($L38="",$M38="",$N38=""),"",IF($N38="","",IF(INDEX(LdCWit,$N38)=0,"",INDEX(LdCWit,$N38))))</f>
        <v/>
      </c>
      <c r="G38" s="31">
        <f>IF($B38="","",IF($G37="",0,$G37)+IF($E38="",0,$E38)-IF($F38="",0,$F38))</f>
        <v/>
      </c>
      <c r="H38" s="32">
        <f>IF(AND($L38="",$M38="",$N38=""),"",IF($L38&lt;&gt;"",IF(INDEX(LdANote,$L38)="","—",INDEX(LdANote,$L38)),IF($M38&lt;&gt;"",IF(INDEX(LdBNote,$M38)="","—",INDEX(LdBNote,$M38)),IF($N38&lt;&gt;"",IF(INDEX(LdCNote,$N38)="","—",INDEX(LdCNote,$N38)),""))))</f>
        <v/>
      </c>
      <c r="L38">
        <f>IFERROR(MATCH($C$5&amp;"|"&amp;RIGHT("000000"&amp;22,6),LdAKeyM,0),"")</f>
        <v/>
      </c>
      <c r="M38">
        <f>IFERROR(MATCH($C$5&amp;"|"&amp;RIGHT("000000"&amp;22,6),LdBKeyM,0),"")</f>
        <v/>
      </c>
      <c r="N38">
        <f>IFERROR(MATCH($C$5&amp;"|"&amp;RIGHT("000000"&amp;22,6),LdCKeyM,0),"")</f>
        <v/>
      </c>
    </row>
    <row r="39">
      <c r="A39" s="10" t="n">
        <v>23</v>
      </c>
      <c r="B39" s="14">
        <f>IF(AND($L39="",$M39="",$N39=""),"",IF($L39&lt;&gt;"",INDEX(LdADate,$L39),IF($M39&lt;&gt;"",INDEX(LdBDate,$M39),INDEX(LdCDate,$N39))))</f>
        <v/>
      </c>
      <c r="C39" s="14">
        <f>IF($L39&lt;&gt;"","دستمزد (فردی)",IF($M39&lt;&gt;"","سهم از گروه "&amp;IFERROR(VLOOKUP(INDEX(LdBGroup,$M39),WGTbl,2,0),INDEX(LdBGroup,$M39)),IF($N39&lt;&gt;"",IF(N(INDEX(LdCDep,$N39))&gt;0,"بازگشت بانکی","پرداخت بانکی"),"")))</f>
        <v/>
      </c>
      <c r="D39" s="14">
        <f>IF($L39&lt;&gt;"",IF(INDEX(LdAId,$L39)="","—",INDEX(LdAId,$L39)),IF($M39&lt;&gt;"",IF(INDEX(LdBId,$M39)="","—",INDEX(LdBId,$M39)),IF($N39&lt;&gt;"",IF(INDEX(LdCBank,$N39)="","—",INDEX(LdCBank,$N39)),"")))</f>
        <v/>
      </c>
      <c r="E39" s="16">
        <f>IF($L39&lt;&gt;"",IF(INDEX(LdAAmt,$L39)=0,"",INDEX(LdAAmt,$L39)),IF($M39&lt;&gt;"",IF(INDEX(LdBAmt,$M39)=0,"",INDEX(LdBAmt,$M39)),IF($N39&lt;&gt;"",IF(INDEX(LdCDep,$N39)=0,"",INDEX(LdCDep,$N39)),"")))</f>
        <v/>
      </c>
      <c r="F39" s="16">
        <f>IF(AND($L39="",$M39="",$N39=""),"",IF($N39="","",IF(INDEX(LdCWit,$N39)=0,"",INDEX(LdCWit,$N39))))</f>
        <v/>
      </c>
      <c r="G39" s="29">
        <f>IF($B39="","",IF($G38="",0,$G38)+IF($E39="",0,$E39)-IF($F39="",0,$F39))</f>
        <v/>
      </c>
      <c r="H39" s="30">
        <f>IF(AND($L39="",$M39="",$N39=""),"",IF($L39&lt;&gt;"",IF(INDEX(LdANote,$L39)="","—",INDEX(LdANote,$L39)),IF($M39&lt;&gt;"",IF(INDEX(LdBNote,$M39)="","—",INDEX(LdBNote,$M39)),IF($N39&lt;&gt;"",IF(INDEX(LdCNote,$N39)="","—",INDEX(LdCNote,$N39)),""))))</f>
        <v/>
      </c>
      <c r="L39">
        <f>IFERROR(MATCH($C$5&amp;"|"&amp;RIGHT("000000"&amp;23,6),LdAKeyM,0),"")</f>
        <v/>
      </c>
      <c r="M39">
        <f>IFERROR(MATCH($C$5&amp;"|"&amp;RIGHT("000000"&amp;23,6),LdBKeyM,0),"")</f>
        <v/>
      </c>
      <c r="N39">
        <f>IFERROR(MATCH($C$5&amp;"|"&amp;RIGHT("000000"&amp;23,6),LdCKeyM,0),"")</f>
        <v/>
      </c>
    </row>
    <row r="40">
      <c r="A40" s="19" t="n">
        <v>24</v>
      </c>
      <c r="B40" s="20">
        <f>IF(AND($L40="",$M40="",$N40=""),"",IF($L40&lt;&gt;"",INDEX(LdADate,$L40),IF($M40&lt;&gt;"",INDEX(LdBDate,$M40),INDEX(LdCDate,$N40))))</f>
        <v/>
      </c>
      <c r="C40" s="20">
        <f>IF($L40&lt;&gt;"","دستمزد (فردی)",IF($M40&lt;&gt;"","سهم از گروه "&amp;IFERROR(VLOOKUP(INDEX(LdBGroup,$M40),WGTbl,2,0),INDEX(LdBGroup,$M40)),IF($N40&lt;&gt;"",IF(N(INDEX(LdCDep,$N40))&gt;0,"بازگشت بانکی","پرداخت بانکی"),"")))</f>
        <v/>
      </c>
      <c r="D40" s="20">
        <f>IF($L40&lt;&gt;"",IF(INDEX(LdAId,$L40)="","—",INDEX(LdAId,$L40)),IF($M40&lt;&gt;"",IF(INDEX(LdBId,$M40)="","—",INDEX(LdBId,$M40)),IF($N40&lt;&gt;"",IF(INDEX(LdCBank,$N40)="","—",INDEX(LdCBank,$N40)),"")))</f>
        <v/>
      </c>
      <c r="E40" s="21">
        <f>IF($L40&lt;&gt;"",IF(INDEX(LdAAmt,$L40)=0,"",INDEX(LdAAmt,$L40)),IF($M40&lt;&gt;"",IF(INDEX(LdBAmt,$M40)=0,"",INDEX(LdBAmt,$M40)),IF($N40&lt;&gt;"",IF(INDEX(LdCDep,$N40)=0,"",INDEX(LdCDep,$N40)),"")))</f>
        <v/>
      </c>
      <c r="F40" s="21">
        <f>IF(AND($L40="",$M40="",$N40=""),"",IF($N40="","",IF(INDEX(LdCWit,$N40)=0,"",INDEX(LdCWit,$N40))))</f>
        <v/>
      </c>
      <c r="G40" s="31">
        <f>IF($B40="","",IF($G39="",0,$G39)+IF($E40="",0,$E40)-IF($F40="",0,$F40))</f>
        <v/>
      </c>
      <c r="H40" s="32">
        <f>IF(AND($L40="",$M40="",$N40=""),"",IF($L40&lt;&gt;"",IF(INDEX(LdANote,$L40)="","—",INDEX(LdANote,$L40)),IF($M40&lt;&gt;"",IF(INDEX(LdBNote,$M40)="","—",INDEX(LdBNote,$M40)),IF($N40&lt;&gt;"",IF(INDEX(LdCNote,$N40)="","—",INDEX(LdCNote,$N40)),""))))</f>
        <v/>
      </c>
      <c r="L40">
        <f>IFERROR(MATCH($C$5&amp;"|"&amp;RIGHT("000000"&amp;24,6),LdAKeyM,0),"")</f>
        <v/>
      </c>
      <c r="M40">
        <f>IFERROR(MATCH($C$5&amp;"|"&amp;RIGHT("000000"&amp;24,6),LdBKeyM,0),"")</f>
        <v/>
      </c>
      <c r="N40">
        <f>IFERROR(MATCH($C$5&amp;"|"&amp;RIGHT("000000"&amp;24,6),LdCKeyM,0),"")</f>
        <v/>
      </c>
    </row>
    <row r="41">
      <c r="A41" s="10" t="n">
        <v>25</v>
      </c>
      <c r="B41" s="14">
        <f>IF(AND($L41="",$M41="",$N41=""),"",IF($L41&lt;&gt;"",INDEX(LdADate,$L41),IF($M41&lt;&gt;"",INDEX(LdBDate,$M41),INDEX(LdCDate,$N41))))</f>
        <v/>
      </c>
      <c r="C41" s="14">
        <f>IF($L41&lt;&gt;"","دستمزد (فردی)",IF($M41&lt;&gt;"","سهم از گروه "&amp;IFERROR(VLOOKUP(INDEX(LdBGroup,$M41),WGTbl,2,0),INDEX(LdBGroup,$M41)),IF($N41&lt;&gt;"",IF(N(INDEX(LdCDep,$N41))&gt;0,"بازگشت بانکی","پرداخت بانکی"),"")))</f>
        <v/>
      </c>
      <c r="D41" s="14">
        <f>IF($L41&lt;&gt;"",IF(INDEX(LdAId,$L41)="","—",INDEX(LdAId,$L41)),IF($M41&lt;&gt;"",IF(INDEX(LdBId,$M41)="","—",INDEX(LdBId,$M41)),IF($N41&lt;&gt;"",IF(INDEX(LdCBank,$N41)="","—",INDEX(LdCBank,$N41)),"")))</f>
        <v/>
      </c>
      <c r="E41" s="16">
        <f>IF($L41&lt;&gt;"",IF(INDEX(LdAAmt,$L41)=0,"",INDEX(LdAAmt,$L41)),IF($M41&lt;&gt;"",IF(INDEX(LdBAmt,$M41)=0,"",INDEX(LdBAmt,$M41)),IF($N41&lt;&gt;"",IF(INDEX(LdCDep,$N41)=0,"",INDEX(LdCDep,$N41)),"")))</f>
        <v/>
      </c>
      <c r="F41" s="16">
        <f>IF(AND($L41="",$M41="",$N41=""),"",IF($N41="","",IF(INDEX(LdCWit,$N41)=0,"",INDEX(LdCWit,$N41))))</f>
        <v/>
      </c>
      <c r="G41" s="29">
        <f>IF($B41="","",IF($G40="",0,$G40)+IF($E41="",0,$E41)-IF($F41="",0,$F41))</f>
        <v/>
      </c>
      <c r="H41" s="30">
        <f>IF(AND($L41="",$M41="",$N41=""),"",IF($L41&lt;&gt;"",IF(INDEX(LdANote,$L41)="","—",INDEX(LdANote,$L41)),IF($M41&lt;&gt;"",IF(INDEX(LdBNote,$M41)="","—",INDEX(LdBNote,$M41)),IF($N41&lt;&gt;"",IF(INDEX(LdCNote,$N41)="","—",INDEX(LdCNote,$N41)),""))))</f>
        <v/>
      </c>
      <c r="L41">
        <f>IFERROR(MATCH($C$5&amp;"|"&amp;RIGHT("000000"&amp;25,6),LdAKeyM,0),"")</f>
        <v/>
      </c>
      <c r="M41">
        <f>IFERROR(MATCH($C$5&amp;"|"&amp;RIGHT("000000"&amp;25,6),LdBKeyM,0),"")</f>
        <v/>
      </c>
      <c r="N41">
        <f>IFERROR(MATCH($C$5&amp;"|"&amp;RIGHT("000000"&amp;25,6),LdCKeyM,0),"")</f>
        <v/>
      </c>
    </row>
    <row r="42">
      <c r="A42" s="19" t="n">
        <v>26</v>
      </c>
      <c r="B42" s="20">
        <f>IF(AND($L42="",$M42="",$N42=""),"",IF($L42&lt;&gt;"",INDEX(LdADate,$L42),IF($M42&lt;&gt;"",INDEX(LdBDate,$M42),INDEX(LdCDate,$N42))))</f>
        <v/>
      </c>
      <c r="C42" s="20">
        <f>IF($L42&lt;&gt;"","دستمزد (فردی)",IF($M42&lt;&gt;"","سهم از گروه "&amp;IFERROR(VLOOKUP(INDEX(LdBGroup,$M42),WGTbl,2,0),INDEX(LdBGroup,$M42)),IF($N42&lt;&gt;"",IF(N(INDEX(LdCDep,$N42))&gt;0,"بازگشت بانکی","پرداخت بانکی"),"")))</f>
        <v/>
      </c>
      <c r="D42" s="20">
        <f>IF($L42&lt;&gt;"",IF(INDEX(LdAId,$L42)="","—",INDEX(LdAId,$L42)),IF($M42&lt;&gt;"",IF(INDEX(LdBId,$M42)="","—",INDEX(LdBId,$M42)),IF($N42&lt;&gt;"",IF(INDEX(LdCBank,$N42)="","—",INDEX(LdCBank,$N42)),"")))</f>
        <v/>
      </c>
      <c r="E42" s="21">
        <f>IF($L42&lt;&gt;"",IF(INDEX(LdAAmt,$L42)=0,"",INDEX(LdAAmt,$L42)),IF($M42&lt;&gt;"",IF(INDEX(LdBAmt,$M42)=0,"",INDEX(LdBAmt,$M42)),IF($N42&lt;&gt;"",IF(INDEX(LdCDep,$N42)=0,"",INDEX(LdCDep,$N42)),"")))</f>
        <v/>
      </c>
      <c r="F42" s="21">
        <f>IF(AND($L42="",$M42="",$N42=""),"",IF($N42="","",IF(INDEX(LdCWit,$N42)=0,"",INDEX(LdCWit,$N42))))</f>
        <v/>
      </c>
      <c r="G42" s="31">
        <f>IF($B42="","",IF($G41="",0,$G41)+IF($E42="",0,$E42)-IF($F42="",0,$F42))</f>
        <v/>
      </c>
      <c r="H42" s="32">
        <f>IF(AND($L42="",$M42="",$N42=""),"",IF($L42&lt;&gt;"",IF(INDEX(LdANote,$L42)="","—",INDEX(LdANote,$L42)),IF($M42&lt;&gt;"",IF(INDEX(LdBNote,$M42)="","—",INDEX(LdBNote,$M42)),IF($N42&lt;&gt;"",IF(INDEX(LdCNote,$N42)="","—",INDEX(LdCNote,$N42)),""))))</f>
        <v/>
      </c>
      <c r="L42">
        <f>IFERROR(MATCH($C$5&amp;"|"&amp;RIGHT("000000"&amp;26,6),LdAKeyM,0),"")</f>
        <v/>
      </c>
      <c r="M42">
        <f>IFERROR(MATCH($C$5&amp;"|"&amp;RIGHT("000000"&amp;26,6),LdBKeyM,0),"")</f>
        <v/>
      </c>
      <c r="N42">
        <f>IFERROR(MATCH($C$5&amp;"|"&amp;RIGHT("000000"&amp;26,6),LdCKeyM,0),"")</f>
        <v/>
      </c>
    </row>
    <row r="43">
      <c r="A43" s="10" t="n">
        <v>27</v>
      </c>
      <c r="B43" s="14">
        <f>IF(AND($L43="",$M43="",$N43=""),"",IF($L43&lt;&gt;"",INDEX(LdADate,$L43),IF($M43&lt;&gt;"",INDEX(LdBDate,$M43),INDEX(LdCDate,$N43))))</f>
        <v/>
      </c>
      <c r="C43" s="14">
        <f>IF($L43&lt;&gt;"","دستمزد (فردی)",IF($M43&lt;&gt;"","سهم از گروه "&amp;IFERROR(VLOOKUP(INDEX(LdBGroup,$M43),WGTbl,2,0),INDEX(LdBGroup,$M43)),IF($N43&lt;&gt;"",IF(N(INDEX(LdCDep,$N43))&gt;0,"بازگشت بانکی","پرداخت بانکی"),"")))</f>
        <v/>
      </c>
      <c r="D43" s="14">
        <f>IF($L43&lt;&gt;"",IF(INDEX(LdAId,$L43)="","—",INDEX(LdAId,$L43)),IF($M43&lt;&gt;"",IF(INDEX(LdBId,$M43)="","—",INDEX(LdBId,$M43)),IF($N43&lt;&gt;"",IF(INDEX(LdCBank,$N43)="","—",INDEX(LdCBank,$N43)),"")))</f>
        <v/>
      </c>
      <c r="E43" s="16">
        <f>IF($L43&lt;&gt;"",IF(INDEX(LdAAmt,$L43)=0,"",INDEX(LdAAmt,$L43)),IF($M43&lt;&gt;"",IF(INDEX(LdBAmt,$M43)=0,"",INDEX(LdBAmt,$M43)),IF($N43&lt;&gt;"",IF(INDEX(LdCDep,$N43)=0,"",INDEX(LdCDep,$N43)),"")))</f>
        <v/>
      </c>
      <c r="F43" s="16">
        <f>IF(AND($L43="",$M43="",$N43=""),"",IF($N43="","",IF(INDEX(LdCWit,$N43)=0,"",INDEX(LdCWit,$N43))))</f>
        <v/>
      </c>
      <c r="G43" s="29">
        <f>IF($B43="","",IF($G42="",0,$G42)+IF($E43="",0,$E43)-IF($F43="",0,$F43))</f>
        <v/>
      </c>
      <c r="H43" s="30">
        <f>IF(AND($L43="",$M43="",$N43=""),"",IF($L43&lt;&gt;"",IF(INDEX(LdANote,$L43)="","—",INDEX(LdANote,$L43)),IF($M43&lt;&gt;"",IF(INDEX(LdBNote,$M43)="","—",INDEX(LdBNote,$M43)),IF($N43&lt;&gt;"",IF(INDEX(LdCNote,$N43)="","—",INDEX(LdCNote,$N43)),""))))</f>
        <v/>
      </c>
      <c r="L43">
        <f>IFERROR(MATCH($C$5&amp;"|"&amp;RIGHT("000000"&amp;27,6),LdAKeyM,0),"")</f>
        <v/>
      </c>
      <c r="M43">
        <f>IFERROR(MATCH($C$5&amp;"|"&amp;RIGHT("000000"&amp;27,6),LdBKeyM,0),"")</f>
        <v/>
      </c>
      <c r="N43">
        <f>IFERROR(MATCH($C$5&amp;"|"&amp;RIGHT("000000"&amp;27,6),LdCKeyM,0),"")</f>
        <v/>
      </c>
    </row>
    <row r="44">
      <c r="A44" s="19" t="n">
        <v>28</v>
      </c>
      <c r="B44" s="20">
        <f>IF(AND($L44="",$M44="",$N44=""),"",IF($L44&lt;&gt;"",INDEX(LdADate,$L44),IF($M44&lt;&gt;"",INDEX(LdBDate,$M44),INDEX(LdCDate,$N44))))</f>
        <v/>
      </c>
      <c r="C44" s="20">
        <f>IF($L44&lt;&gt;"","دستمزد (فردی)",IF($M44&lt;&gt;"","سهم از گروه "&amp;IFERROR(VLOOKUP(INDEX(LdBGroup,$M44),WGTbl,2,0),INDEX(LdBGroup,$M44)),IF($N44&lt;&gt;"",IF(N(INDEX(LdCDep,$N44))&gt;0,"بازگشت بانکی","پرداخت بانکی"),"")))</f>
        <v/>
      </c>
      <c r="D44" s="20">
        <f>IF($L44&lt;&gt;"",IF(INDEX(LdAId,$L44)="","—",INDEX(LdAId,$L44)),IF($M44&lt;&gt;"",IF(INDEX(LdBId,$M44)="","—",INDEX(LdBId,$M44)),IF($N44&lt;&gt;"",IF(INDEX(LdCBank,$N44)="","—",INDEX(LdCBank,$N44)),"")))</f>
        <v/>
      </c>
      <c r="E44" s="21">
        <f>IF($L44&lt;&gt;"",IF(INDEX(LdAAmt,$L44)=0,"",INDEX(LdAAmt,$L44)),IF($M44&lt;&gt;"",IF(INDEX(LdBAmt,$M44)=0,"",INDEX(LdBAmt,$M44)),IF($N44&lt;&gt;"",IF(INDEX(LdCDep,$N44)=0,"",INDEX(LdCDep,$N44)),"")))</f>
        <v/>
      </c>
      <c r="F44" s="21">
        <f>IF(AND($L44="",$M44="",$N44=""),"",IF($N44="","",IF(INDEX(LdCWit,$N44)=0,"",INDEX(LdCWit,$N44))))</f>
        <v/>
      </c>
      <c r="G44" s="31">
        <f>IF($B44="","",IF($G43="",0,$G43)+IF($E44="",0,$E44)-IF($F44="",0,$F44))</f>
        <v/>
      </c>
      <c r="H44" s="32">
        <f>IF(AND($L44="",$M44="",$N44=""),"",IF($L44&lt;&gt;"",IF(INDEX(LdANote,$L44)="","—",INDEX(LdANote,$L44)),IF($M44&lt;&gt;"",IF(INDEX(LdBNote,$M44)="","—",INDEX(LdBNote,$M44)),IF($N44&lt;&gt;"",IF(INDEX(LdCNote,$N44)="","—",INDEX(LdCNote,$N44)),""))))</f>
        <v/>
      </c>
      <c r="L44">
        <f>IFERROR(MATCH($C$5&amp;"|"&amp;RIGHT("000000"&amp;28,6),LdAKeyM,0),"")</f>
        <v/>
      </c>
      <c r="M44">
        <f>IFERROR(MATCH($C$5&amp;"|"&amp;RIGHT("000000"&amp;28,6),LdBKeyM,0),"")</f>
        <v/>
      </c>
      <c r="N44">
        <f>IFERROR(MATCH($C$5&amp;"|"&amp;RIGHT("000000"&amp;28,6),LdCKeyM,0),"")</f>
        <v/>
      </c>
    </row>
    <row r="45">
      <c r="A45" s="10" t="n">
        <v>29</v>
      </c>
      <c r="B45" s="14">
        <f>IF(AND($L45="",$M45="",$N45=""),"",IF($L45&lt;&gt;"",INDEX(LdADate,$L45),IF($M45&lt;&gt;"",INDEX(LdBDate,$M45),INDEX(LdCDate,$N45))))</f>
        <v/>
      </c>
      <c r="C45" s="14">
        <f>IF($L45&lt;&gt;"","دستمزد (فردی)",IF($M45&lt;&gt;"","سهم از گروه "&amp;IFERROR(VLOOKUP(INDEX(LdBGroup,$M45),WGTbl,2,0),INDEX(LdBGroup,$M45)),IF($N45&lt;&gt;"",IF(N(INDEX(LdCDep,$N45))&gt;0,"بازگشت بانکی","پرداخت بانکی"),"")))</f>
        <v/>
      </c>
      <c r="D45" s="14">
        <f>IF($L45&lt;&gt;"",IF(INDEX(LdAId,$L45)="","—",INDEX(LdAId,$L45)),IF($M45&lt;&gt;"",IF(INDEX(LdBId,$M45)="","—",INDEX(LdBId,$M45)),IF($N45&lt;&gt;"",IF(INDEX(LdCBank,$N45)="","—",INDEX(LdCBank,$N45)),"")))</f>
        <v/>
      </c>
      <c r="E45" s="16">
        <f>IF($L45&lt;&gt;"",IF(INDEX(LdAAmt,$L45)=0,"",INDEX(LdAAmt,$L45)),IF($M45&lt;&gt;"",IF(INDEX(LdBAmt,$M45)=0,"",INDEX(LdBAmt,$M45)),IF($N45&lt;&gt;"",IF(INDEX(LdCDep,$N45)=0,"",INDEX(LdCDep,$N45)),"")))</f>
        <v/>
      </c>
      <c r="F45" s="16">
        <f>IF(AND($L45="",$M45="",$N45=""),"",IF($N45="","",IF(INDEX(LdCWit,$N45)=0,"",INDEX(LdCWit,$N45))))</f>
        <v/>
      </c>
      <c r="G45" s="29">
        <f>IF($B45="","",IF($G44="",0,$G44)+IF($E45="",0,$E45)-IF($F45="",0,$F45))</f>
        <v/>
      </c>
      <c r="H45" s="30">
        <f>IF(AND($L45="",$M45="",$N45=""),"",IF($L45&lt;&gt;"",IF(INDEX(LdANote,$L45)="","—",INDEX(LdANote,$L45)),IF($M45&lt;&gt;"",IF(INDEX(LdBNote,$M45)="","—",INDEX(LdBNote,$M45)),IF($N45&lt;&gt;"",IF(INDEX(LdCNote,$N45)="","—",INDEX(LdCNote,$N45)),""))))</f>
        <v/>
      </c>
      <c r="L45">
        <f>IFERROR(MATCH($C$5&amp;"|"&amp;RIGHT("000000"&amp;29,6),LdAKeyM,0),"")</f>
        <v/>
      </c>
      <c r="M45">
        <f>IFERROR(MATCH($C$5&amp;"|"&amp;RIGHT("000000"&amp;29,6),LdBKeyM,0),"")</f>
        <v/>
      </c>
      <c r="N45">
        <f>IFERROR(MATCH($C$5&amp;"|"&amp;RIGHT("000000"&amp;29,6),LdCKeyM,0),"")</f>
        <v/>
      </c>
    </row>
    <row r="46">
      <c r="A46" s="19" t="n">
        <v>30</v>
      </c>
      <c r="B46" s="20">
        <f>IF(AND($L46="",$M46="",$N46=""),"",IF($L46&lt;&gt;"",INDEX(LdADate,$L46),IF($M46&lt;&gt;"",INDEX(LdBDate,$M46),INDEX(LdCDate,$N46))))</f>
        <v/>
      </c>
      <c r="C46" s="20">
        <f>IF($L46&lt;&gt;"","دستمزد (فردی)",IF($M46&lt;&gt;"","سهم از گروه "&amp;IFERROR(VLOOKUP(INDEX(LdBGroup,$M46),WGTbl,2,0),INDEX(LdBGroup,$M46)),IF($N46&lt;&gt;"",IF(N(INDEX(LdCDep,$N46))&gt;0,"بازگشت بانکی","پرداخت بانکی"),"")))</f>
        <v/>
      </c>
      <c r="D46" s="20">
        <f>IF($L46&lt;&gt;"",IF(INDEX(LdAId,$L46)="","—",INDEX(LdAId,$L46)),IF($M46&lt;&gt;"",IF(INDEX(LdBId,$M46)="","—",INDEX(LdBId,$M46)),IF($N46&lt;&gt;"",IF(INDEX(LdCBank,$N46)="","—",INDEX(LdCBank,$N46)),"")))</f>
        <v/>
      </c>
      <c r="E46" s="21">
        <f>IF($L46&lt;&gt;"",IF(INDEX(LdAAmt,$L46)=0,"",INDEX(LdAAmt,$L46)),IF($M46&lt;&gt;"",IF(INDEX(LdBAmt,$M46)=0,"",INDEX(LdBAmt,$M46)),IF($N46&lt;&gt;"",IF(INDEX(LdCDep,$N46)=0,"",INDEX(LdCDep,$N46)),"")))</f>
        <v/>
      </c>
      <c r="F46" s="21">
        <f>IF(AND($L46="",$M46="",$N46=""),"",IF($N46="","",IF(INDEX(LdCWit,$N46)=0,"",INDEX(LdCWit,$N46))))</f>
        <v/>
      </c>
      <c r="G46" s="31">
        <f>IF($B46="","",IF($G45="",0,$G45)+IF($E46="",0,$E46)-IF($F46="",0,$F46))</f>
        <v/>
      </c>
      <c r="H46" s="32">
        <f>IF(AND($L46="",$M46="",$N46=""),"",IF($L46&lt;&gt;"",IF(INDEX(LdANote,$L46)="","—",INDEX(LdANote,$L46)),IF($M46&lt;&gt;"",IF(INDEX(LdBNote,$M46)="","—",INDEX(LdBNote,$M46)),IF($N46&lt;&gt;"",IF(INDEX(LdCNote,$N46)="","—",INDEX(LdCNote,$N46)),""))))</f>
        <v/>
      </c>
      <c r="L46">
        <f>IFERROR(MATCH($C$5&amp;"|"&amp;RIGHT("000000"&amp;30,6),LdAKeyM,0),"")</f>
        <v/>
      </c>
      <c r="M46">
        <f>IFERROR(MATCH($C$5&amp;"|"&amp;RIGHT("000000"&amp;30,6),LdBKeyM,0),"")</f>
        <v/>
      </c>
      <c r="N46">
        <f>IFERROR(MATCH($C$5&amp;"|"&amp;RIGHT("000000"&amp;30,6),LdCKeyM,0),"")</f>
        <v/>
      </c>
    </row>
    <row r="47">
      <c r="A47" s="10" t="n">
        <v>31</v>
      </c>
      <c r="B47" s="14">
        <f>IF(AND($L47="",$M47="",$N47=""),"",IF($L47&lt;&gt;"",INDEX(LdADate,$L47),IF($M47&lt;&gt;"",INDEX(LdBDate,$M47),INDEX(LdCDate,$N47))))</f>
        <v/>
      </c>
      <c r="C47" s="14">
        <f>IF($L47&lt;&gt;"","دستمزد (فردی)",IF($M47&lt;&gt;"","سهم از گروه "&amp;IFERROR(VLOOKUP(INDEX(LdBGroup,$M47),WGTbl,2,0),INDEX(LdBGroup,$M47)),IF($N47&lt;&gt;"",IF(N(INDEX(LdCDep,$N47))&gt;0,"بازگشت بانکی","پرداخت بانکی"),"")))</f>
        <v/>
      </c>
      <c r="D47" s="14">
        <f>IF($L47&lt;&gt;"",IF(INDEX(LdAId,$L47)="","—",INDEX(LdAId,$L47)),IF($M47&lt;&gt;"",IF(INDEX(LdBId,$M47)="","—",INDEX(LdBId,$M47)),IF($N47&lt;&gt;"",IF(INDEX(LdCBank,$N47)="","—",INDEX(LdCBank,$N47)),"")))</f>
        <v/>
      </c>
      <c r="E47" s="16">
        <f>IF($L47&lt;&gt;"",IF(INDEX(LdAAmt,$L47)=0,"",INDEX(LdAAmt,$L47)),IF($M47&lt;&gt;"",IF(INDEX(LdBAmt,$M47)=0,"",INDEX(LdBAmt,$M47)),IF($N47&lt;&gt;"",IF(INDEX(LdCDep,$N47)=0,"",INDEX(LdCDep,$N47)),"")))</f>
        <v/>
      </c>
      <c r="F47" s="16">
        <f>IF(AND($L47="",$M47="",$N47=""),"",IF($N47="","",IF(INDEX(LdCWit,$N47)=0,"",INDEX(LdCWit,$N47))))</f>
        <v/>
      </c>
      <c r="G47" s="29">
        <f>IF($B47="","",IF($G46="",0,$G46)+IF($E47="",0,$E47)-IF($F47="",0,$F47))</f>
        <v/>
      </c>
      <c r="H47" s="30">
        <f>IF(AND($L47="",$M47="",$N47=""),"",IF($L47&lt;&gt;"",IF(INDEX(LdANote,$L47)="","—",INDEX(LdANote,$L47)),IF($M47&lt;&gt;"",IF(INDEX(LdBNote,$M47)="","—",INDEX(LdBNote,$M47)),IF($N47&lt;&gt;"",IF(INDEX(LdCNote,$N47)="","—",INDEX(LdCNote,$N47)),""))))</f>
        <v/>
      </c>
      <c r="L47">
        <f>IFERROR(MATCH($C$5&amp;"|"&amp;RIGHT("000000"&amp;31,6),LdAKeyM,0),"")</f>
        <v/>
      </c>
      <c r="M47">
        <f>IFERROR(MATCH($C$5&amp;"|"&amp;RIGHT("000000"&amp;31,6),LdBKeyM,0),"")</f>
        <v/>
      </c>
      <c r="N47">
        <f>IFERROR(MATCH($C$5&amp;"|"&amp;RIGHT("000000"&amp;31,6),LdCKeyM,0),"")</f>
        <v/>
      </c>
    </row>
    <row r="48">
      <c r="A48" s="19" t="n">
        <v>32</v>
      </c>
      <c r="B48" s="20">
        <f>IF(AND($L48="",$M48="",$N48=""),"",IF($L48&lt;&gt;"",INDEX(LdADate,$L48),IF($M48&lt;&gt;"",INDEX(LdBDate,$M48),INDEX(LdCDate,$N48))))</f>
        <v/>
      </c>
      <c r="C48" s="20">
        <f>IF($L48&lt;&gt;"","دستمزد (فردی)",IF($M48&lt;&gt;"","سهم از گروه "&amp;IFERROR(VLOOKUP(INDEX(LdBGroup,$M48),WGTbl,2,0),INDEX(LdBGroup,$M48)),IF($N48&lt;&gt;"",IF(N(INDEX(LdCDep,$N48))&gt;0,"بازگشت بانکی","پرداخت بانکی"),"")))</f>
        <v/>
      </c>
      <c r="D48" s="20">
        <f>IF($L48&lt;&gt;"",IF(INDEX(LdAId,$L48)="","—",INDEX(LdAId,$L48)),IF($M48&lt;&gt;"",IF(INDEX(LdBId,$M48)="","—",INDEX(LdBId,$M48)),IF($N48&lt;&gt;"",IF(INDEX(LdCBank,$N48)="","—",INDEX(LdCBank,$N48)),"")))</f>
        <v/>
      </c>
      <c r="E48" s="21">
        <f>IF($L48&lt;&gt;"",IF(INDEX(LdAAmt,$L48)=0,"",INDEX(LdAAmt,$L48)),IF($M48&lt;&gt;"",IF(INDEX(LdBAmt,$M48)=0,"",INDEX(LdBAmt,$M48)),IF($N48&lt;&gt;"",IF(INDEX(LdCDep,$N48)=0,"",INDEX(LdCDep,$N48)),"")))</f>
        <v/>
      </c>
      <c r="F48" s="21">
        <f>IF(AND($L48="",$M48="",$N48=""),"",IF($N48="","",IF(INDEX(LdCWit,$N48)=0,"",INDEX(LdCWit,$N48))))</f>
        <v/>
      </c>
      <c r="G48" s="31">
        <f>IF($B48="","",IF($G47="",0,$G47)+IF($E48="",0,$E48)-IF($F48="",0,$F48))</f>
        <v/>
      </c>
      <c r="H48" s="32">
        <f>IF(AND($L48="",$M48="",$N48=""),"",IF($L48&lt;&gt;"",IF(INDEX(LdANote,$L48)="","—",INDEX(LdANote,$L48)),IF($M48&lt;&gt;"",IF(INDEX(LdBNote,$M48)="","—",INDEX(LdBNote,$M48)),IF($N48&lt;&gt;"",IF(INDEX(LdCNote,$N48)="","—",INDEX(LdCNote,$N48)),""))))</f>
        <v/>
      </c>
      <c r="L48">
        <f>IFERROR(MATCH($C$5&amp;"|"&amp;RIGHT("000000"&amp;32,6),LdAKeyM,0),"")</f>
        <v/>
      </c>
      <c r="M48">
        <f>IFERROR(MATCH($C$5&amp;"|"&amp;RIGHT("000000"&amp;32,6),LdBKeyM,0),"")</f>
        <v/>
      </c>
      <c r="N48">
        <f>IFERROR(MATCH($C$5&amp;"|"&amp;RIGHT("000000"&amp;32,6),LdCKeyM,0),"")</f>
        <v/>
      </c>
    </row>
    <row r="49">
      <c r="A49" s="10" t="n">
        <v>33</v>
      </c>
      <c r="B49" s="14">
        <f>IF(AND($L49="",$M49="",$N49=""),"",IF($L49&lt;&gt;"",INDEX(LdADate,$L49),IF($M49&lt;&gt;"",INDEX(LdBDate,$M49),INDEX(LdCDate,$N49))))</f>
        <v/>
      </c>
      <c r="C49" s="14">
        <f>IF($L49&lt;&gt;"","دستمزد (فردی)",IF($M49&lt;&gt;"","سهم از گروه "&amp;IFERROR(VLOOKUP(INDEX(LdBGroup,$M49),WGTbl,2,0),INDEX(LdBGroup,$M49)),IF($N49&lt;&gt;"",IF(N(INDEX(LdCDep,$N49))&gt;0,"بازگشت بانکی","پرداخت بانکی"),"")))</f>
        <v/>
      </c>
      <c r="D49" s="14">
        <f>IF($L49&lt;&gt;"",IF(INDEX(LdAId,$L49)="","—",INDEX(LdAId,$L49)),IF($M49&lt;&gt;"",IF(INDEX(LdBId,$M49)="","—",INDEX(LdBId,$M49)),IF($N49&lt;&gt;"",IF(INDEX(LdCBank,$N49)="","—",INDEX(LdCBank,$N49)),"")))</f>
        <v/>
      </c>
      <c r="E49" s="16">
        <f>IF($L49&lt;&gt;"",IF(INDEX(LdAAmt,$L49)=0,"",INDEX(LdAAmt,$L49)),IF($M49&lt;&gt;"",IF(INDEX(LdBAmt,$M49)=0,"",INDEX(LdBAmt,$M49)),IF($N49&lt;&gt;"",IF(INDEX(LdCDep,$N49)=0,"",INDEX(LdCDep,$N49)),"")))</f>
        <v/>
      </c>
      <c r="F49" s="16">
        <f>IF(AND($L49="",$M49="",$N49=""),"",IF($N49="","",IF(INDEX(LdCWit,$N49)=0,"",INDEX(LdCWit,$N49))))</f>
        <v/>
      </c>
      <c r="G49" s="29">
        <f>IF($B49="","",IF($G48="",0,$G48)+IF($E49="",0,$E49)-IF($F49="",0,$F49))</f>
        <v/>
      </c>
      <c r="H49" s="30">
        <f>IF(AND($L49="",$M49="",$N49=""),"",IF($L49&lt;&gt;"",IF(INDEX(LdANote,$L49)="","—",INDEX(LdANote,$L49)),IF($M49&lt;&gt;"",IF(INDEX(LdBNote,$M49)="","—",INDEX(LdBNote,$M49)),IF($N49&lt;&gt;"",IF(INDEX(LdCNote,$N49)="","—",INDEX(LdCNote,$N49)),""))))</f>
        <v/>
      </c>
      <c r="L49">
        <f>IFERROR(MATCH($C$5&amp;"|"&amp;RIGHT("000000"&amp;33,6),LdAKeyM,0),"")</f>
        <v/>
      </c>
      <c r="M49">
        <f>IFERROR(MATCH($C$5&amp;"|"&amp;RIGHT("000000"&amp;33,6),LdBKeyM,0),"")</f>
        <v/>
      </c>
      <c r="N49">
        <f>IFERROR(MATCH($C$5&amp;"|"&amp;RIGHT("000000"&amp;33,6),LdCKeyM,0),"")</f>
        <v/>
      </c>
    </row>
    <row r="50">
      <c r="A50" s="19" t="n">
        <v>34</v>
      </c>
      <c r="B50" s="20">
        <f>IF(AND($L50="",$M50="",$N50=""),"",IF($L50&lt;&gt;"",INDEX(LdADate,$L50),IF($M50&lt;&gt;"",INDEX(LdBDate,$M50),INDEX(LdCDate,$N50))))</f>
        <v/>
      </c>
      <c r="C50" s="20">
        <f>IF($L50&lt;&gt;"","دستمزد (فردی)",IF($M50&lt;&gt;"","سهم از گروه "&amp;IFERROR(VLOOKUP(INDEX(LdBGroup,$M50),WGTbl,2,0),INDEX(LdBGroup,$M50)),IF($N50&lt;&gt;"",IF(N(INDEX(LdCDep,$N50))&gt;0,"بازگشت بانکی","پرداخت بانکی"),"")))</f>
        <v/>
      </c>
      <c r="D50" s="20">
        <f>IF($L50&lt;&gt;"",IF(INDEX(LdAId,$L50)="","—",INDEX(LdAId,$L50)),IF($M50&lt;&gt;"",IF(INDEX(LdBId,$M50)="","—",INDEX(LdBId,$M50)),IF($N50&lt;&gt;"",IF(INDEX(LdCBank,$N50)="","—",INDEX(LdCBank,$N50)),"")))</f>
        <v/>
      </c>
      <c r="E50" s="21">
        <f>IF($L50&lt;&gt;"",IF(INDEX(LdAAmt,$L50)=0,"",INDEX(LdAAmt,$L50)),IF($M50&lt;&gt;"",IF(INDEX(LdBAmt,$M50)=0,"",INDEX(LdBAmt,$M50)),IF($N50&lt;&gt;"",IF(INDEX(LdCDep,$N50)=0,"",INDEX(LdCDep,$N50)),"")))</f>
        <v/>
      </c>
      <c r="F50" s="21">
        <f>IF(AND($L50="",$M50="",$N50=""),"",IF($N50="","",IF(INDEX(LdCWit,$N50)=0,"",INDEX(LdCWit,$N50))))</f>
        <v/>
      </c>
      <c r="G50" s="31">
        <f>IF($B50="","",IF($G49="",0,$G49)+IF($E50="",0,$E50)-IF($F50="",0,$F50))</f>
        <v/>
      </c>
      <c r="H50" s="32">
        <f>IF(AND($L50="",$M50="",$N50=""),"",IF($L50&lt;&gt;"",IF(INDEX(LdANote,$L50)="","—",INDEX(LdANote,$L50)),IF($M50&lt;&gt;"",IF(INDEX(LdBNote,$M50)="","—",INDEX(LdBNote,$M50)),IF($N50&lt;&gt;"",IF(INDEX(LdCNote,$N50)="","—",INDEX(LdCNote,$N50)),""))))</f>
        <v/>
      </c>
      <c r="L50">
        <f>IFERROR(MATCH($C$5&amp;"|"&amp;RIGHT("000000"&amp;34,6),LdAKeyM,0),"")</f>
        <v/>
      </c>
      <c r="M50">
        <f>IFERROR(MATCH($C$5&amp;"|"&amp;RIGHT("000000"&amp;34,6),LdBKeyM,0),"")</f>
        <v/>
      </c>
      <c r="N50">
        <f>IFERROR(MATCH($C$5&amp;"|"&amp;RIGHT("000000"&amp;34,6),LdCKeyM,0),"")</f>
        <v/>
      </c>
    </row>
    <row r="51">
      <c r="A51" s="10" t="n">
        <v>35</v>
      </c>
      <c r="B51" s="14">
        <f>IF(AND($L51="",$M51="",$N51=""),"",IF($L51&lt;&gt;"",INDEX(LdADate,$L51),IF($M51&lt;&gt;"",INDEX(LdBDate,$M51),INDEX(LdCDate,$N51))))</f>
        <v/>
      </c>
      <c r="C51" s="14">
        <f>IF($L51&lt;&gt;"","دستمزد (فردی)",IF($M51&lt;&gt;"","سهم از گروه "&amp;IFERROR(VLOOKUP(INDEX(LdBGroup,$M51),WGTbl,2,0),INDEX(LdBGroup,$M51)),IF($N51&lt;&gt;"",IF(N(INDEX(LdCDep,$N51))&gt;0,"بازگشت بانکی","پرداخت بانکی"),"")))</f>
        <v/>
      </c>
      <c r="D51" s="14">
        <f>IF($L51&lt;&gt;"",IF(INDEX(LdAId,$L51)="","—",INDEX(LdAId,$L51)),IF($M51&lt;&gt;"",IF(INDEX(LdBId,$M51)="","—",INDEX(LdBId,$M51)),IF($N51&lt;&gt;"",IF(INDEX(LdCBank,$N51)="","—",INDEX(LdCBank,$N51)),"")))</f>
        <v/>
      </c>
      <c r="E51" s="16">
        <f>IF($L51&lt;&gt;"",IF(INDEX(LdAAmt,$L51)=0,"",INDEX(LdAAmt,$L51)),IF($M51&lt;&gt;"",IF(INDEX(LdBAmt,$M51)=0,"",INDEX(LdBAmt,$M51)),IF($N51&lt;&gt;"",IF(INDEX(LdCDep,$N51)=0,"",INDEX(LdCDep,$N51)),"")))</f>
        <v/>
      </c>
      <c r="F51" s="16">
        <f>IF(AND($L51="",$M51="",$N51=""),"",IF($N51="","",IF(INDEX(LdCWit,$N51)=0,"",INDEX(LdCWit,$N51))))</f>
        <v/>
      </c>
      <c r="G51" s="29">
        <f>IF($B51="","",IF($G50="",0,$G50)+IF($E51="",0,$E51)-IF($F51="",0,$F51))</f>
        <v/>
      </c>
      <c r="H51" s="30">
        <f>IF(AND($L51="",$M51="",$N51=""),"",IF($L51&lt;&gt;"",IF(INDEX(LdANote,$L51)="","—",INDEX(LdANote,$L51)),IF($M51&lt;&gt;"",IF(INDEX(LdBNote,$M51)="","—",INDEX(LdBNote,$M51)),IF($N51&lt;&gt;"",IF(INDEX(LdCNote,$N51)="","—",INDEX(LdCNote,$N51)),""))))</f>
        <v/>
      </c>
      <c r="L51">
        <f>IFERROR(MATCH($C$5&amp;"|"&amp;RIGHT("000000"&amp;35,6),LdAKeyM,0),"")</f>
        <v/>
      </c>
      <c r="M51">
        <f>IFERROR(MATCH($C$5&amp;"|"&amp;RIGHT("000000"&amp;35,6),LdBKeyM,0),"")</f>
        <v/>
      </c>
      <c r="N51">
        <f>IFERROR(MATCH($C$5&amp;"|"&amp;RIGHT("000000"&amp;35,6),LdCKeyM,0),"")</f>
        <v/>
      </c>
    </row>
    <row r="52">
      <c r="A52" s="19" t="n">
        <v>36</v>
      </c>
      <c r="B52" s="20">
        <f>IF(AND($L52="",$M52="",$N52=""),"",IF($L52&lt;&gt;"",INDEX(LdADate,$L52),IF($M52&lt;&gt;"",INDEX(LdBDate,$M52),INDEX(LdCDate,$N52))))</f>
        <v/>
      </c>
      <c r="C52" s="20">
        <f>IF($L52&lt;&gt;"","دستمزد (فردی)",IF($M52&lt;&gt;"","سهم از گروه "&amp;IFERROR(VLOOKUP(INDEX(LdBGroup,$M52),WGTbl,2,0),INDEX(LdBGroup,$M52)),IF($N52&lt;&gt;"",IF(N(INDEX(LdCDep,$N52))&gt;0,"بازگشت بانکی","پرداخت بانکی"),"")))</f>
        <v/>
      </c>
      <c r="D52" s="20">
        <f>IF($L52&lt;&gt;"",IF(INDEX(LdAId,$L52)="","—",INDEX(LdAId,$L52)),IF($M52&lt;&gt;"",IF(INDEX(LdBId,$M52)="","—",INDEX(LdBId,$M52)),IF($N52&lt;&gt;"",IF(INDEX(LdCBank,$N52)="","—",INDEX(LdCBank,$N52)),"")))</f>
        <v/>
      </c>
      <c r="E52" s="21">
        <f>IF($L52&lt;&gt;"",IF(INDEX(LdAAmt,$L52)=0,"",INDEX(LdAAmt,$L52)),IF($M52&lt;&gt;"",IF(INDEX(LdBAmt,$M52)=0,"",INDEX(LdBAmt,$M52)),IF($N52&lt;&gt;"",IF(INDEX(LdCDep,$N52)=0,"",INDEX(LdCDep,$N52)),"")))</f>
        <v/>
      </c>
      <c r="F52" s="21">
        <f>IF(AND($L52="",$M52="",$N52=""),"",IF($N52="","",IF(INDEX(LdCWit,$N52)=0,"",INDEX(LdCWit,$N52))))</f>
        <v/>
      </c>
      <c r="G52" s="31">
        <f>IF($B52="","",IF($G51="",0,$G51)+IF($E52="",0,$E52)-IF($F52="",0,$F52))</f>
        <v/>
      </c>
      <c r="H52" s="32">
        <f>IF(AND($L52="",$M52="",$N52=""),"",IF($L52&lt;&gt;"",IF(INDEX(LdANote,$L52)="","—",INDEX(LdANote,$L52)),IF($M52&lt;&gt;"",IF(INDEX(LdBNote,$M52)="","—",INDEX(LdBNote,$M52)),IF($N52&lt;&gt;"",IF(INDEX(LdCNote,$N52)="","—",INDEX(LdCNote,$N52)),""))))</f>
        <v/>
      </c>
      <c r="L52">
        <f>IFERROR(MATCH($C$5&amp;"|"&amp;RIGHT("000000"&amp;36,6),LdAKeyM,0),"")</f>
        <v/>
      </c>
      <c r="M52">
        <f>IFERROR(MATCH($C$5&amp;"|"&amp;RIGHT("000000"&amp;36,6),LdBKeyM,0),"")</f>
        <v/>
      </c>
      <c r="N52">
        <f>IFERROR(MATCH($C$5&amp;"|"&amp;RIGHT("000000"&amp;36,6),LdCKeyM,0),"")</f>
        <v/>
      </c>
    </row>
    <row r="53">
      <c r="A53" s="10" t="n">
        <v>37</v>
      </c>
      <c r="B53" s="14">
        <f>IF(AND($L53="",$M53="",$N53=""),"",IF($L53&lt;&gt;"",INDEX(LdADate,$L53),IF($M53&lt;&gt;"",INDEX(LdBDate,$M53),INDEX(LdCDate,$N53))))</f>
        <v/>
      </c>
      <c r="C53" s="14">
        <f>IF($L53&lt;&gt;"","دستمزد (فردی)",IF($M53&lt;&gt;"","سهم از گروه "&amp;IFERROR(VLOOKUP(INDEX(LdBGroup,$M53),WGTbl,2,0),INDEX(LdBGroup,$M53)),IF($N53&lt;&gt;"",IF(N(INDEX(LdCDep,$N53))&gt;0,"بازگشت بانکی","پرداخت بانکی"),"")))</f>
        <v/>
      </c>
      <c r="D53" s="14">
        <f>IF($L53&lt;&gt;"",IF(INDEX(LdAId,$L53)="","—",INDEX(LdAId,$L53)),IF($M53&lt;&gt;"",IF(INDEX(LdBId,$M53)="","—",INDEX(LdBId,$M53)),IF($N53&lt;&gt;"",IF(INDEX(LdCBank,$N53)="","—",INDEX(LdCBank,$N53)),"")))</f>
        <v/>
      </c>
      <c r="E53" s="16">
        <f>IF($L53&lt;&gt;"",IF(INDEX(LdAAmt,$L53)=0,"",INDEX(LdAAmt,$L53)),IF($M53&lt;&gt;"",IF(INDEX(LdBAmt,$M53)=0,"",INDEX(LdBAmt,$M53)),IF($N53&lt;&gt;"",IF(INDEX(LdCDep,$N53)=0,"",INDEX(LdCDep,$N53)),"")))</f>
        <v/>
      </c>
      <c r="F53" s="16">
        <f>IF(AND($L53="",$M53="",$N53=""),"",IF($N53="","",IF(INDEX(LdCWit,$N53)=0,"",INDEX(LdCWit,$N53))))</f>
        <v/>
      </c>
      <c r="G53" s="29">
        <f>IF($B53="","",IF($G52="",0,$G52)+IF($E53="",0,$E53)-IF($F53="",0,$F53))</f>
        <v/>
      </c>
      <c r="H53" s="30">
        <f>IF(AND($L53="",$M53="",$N53=""),"",IF($L53&lt;&gt;"",IF(INDEX(LdANote,$L53)="","—",INDEX(LdANote,$L53)),IF($M53&lt;&gt;"",IF(INDEX(LdBNote,$M53)="","—",INDEX(LdBNote,$M53)),IF($N53&lt;&gt;"",IF(INDEX(LdCNote,$N53)="","—",INDEX(LdCNote,$N53)),""))))</f>
        <v/>
      </c>
      <c r="L53">
        <f>IFERROR(MATCH($C$5&amp;"|"&amp;RIGHT("000000"&amp;37,6),LdAKeyM,0),"")</f>
        <v/>
      </c>
      <c r="M53">
        <f>IFERROR(MATCH($C$5&amp;"|"&amp;RIGHT("000000"&amp;37,6),LdBKeyM,0),"")</f>
        <v/>
      </c>
      <c r="N53">
        <f>IFERROR(MATCH($C$5&amp;"|"&amp;RIGHT("000000"&amp;37,6),LdCKeyM,0),"")</f>
        <v/>
      </c>
    </row>
    <row r="54">
      <c r="A54" s="19" t="n">
        <v>38</v>
      </c>
      <c r="B54" s="20">
        <f>IF(AND($L54="",$M54="",$N54=""),"",IF($L54&lt;&gt;"",INDEX(LdADate,$L54),IF($M54&lt;&gt;"",INDEX(LdBDate,$M54),INDEX(LdCDate,$N54))))</f>
        <v/>
      </c>
      <c r="C54" s="20">
        <f>IF($L54&lt;&gt;"","دستمزد (فردی)",IF($M54&lt;&gt;"","سهم از گروه "&amp;IFERROR(VLOOKUP(INDEX(LdBGroup,$M54),WGTbl,2,0),INDEX(LdBGroup,$M54)),IF($N54&lt;&gt;"",IF(N(INDEX(LdCDep,$N54))&gt;0,"بازگشت بانکی","پرداخت بانکی"),"")))</f>
        <v/>
      </c>
      <c r="D54" s="20">
        <f>IF($L54&lt;&gt;"",IF(INDEX(LdAId,$L54)="","—",INDEX(LdAId,$L54)),IF($M54&lt;&gt;"",IF(INDEX(LdBId,$M54)="","—",INDEX(LdBId,$M54)),IF($N54&lt;&gt;"",IF(INDEX(LdCBank,$N54)="","—",INDEX(LdCBank,$N54)),"")))</f>
        <v/>
      </c>
      <c r="E54" s="21">
        <f>IF($L54&lt;&gt;"",IF(INDEX(LdAAmt,$L54)=0,"",INDEX(LdAAmt,$L54)),IF($M54&lt;&gt;"",IF(INDEX(LdBAmt,$M54)=0,"",INDEX(LdBAmt,$M54)),IF($N54&lt;&gt;"",IF(INDEX(LdCDep,$N54)=0,"",INDEX(LdCDep,$N54)),"")))</f>
        <v/>
      </c>
      <c r="F54" s="21">
        <f>IF(AND($L54="",$M54="",$N54=""),"",IF($N54="","",IF(INDEX(LdCWit,$N54)=0,"",INDEX(LdCWit,$N54))))</f>
        <v/>
      </c>
      <c r="G54" s="31">
        <f>IF($B54="","",IF($G53="",0,$G53)+IF($E54="",0,$E54)-IF($F54="",0,$F54))</f>
        <v/>
      </c>
      <c r="H54" s="32">
        <f>IF(AND($L54="",$M54="",$N54=""),"",IF($L54&lt;&gt;"",IF(INDEX(LdANote,$L54)="","—",INDEX(LdANote,$L54)),IF($M54&lt;&gt;"",IF(INDEX(LdBNote,$M54)="","—",INDEX(LdBNote,$M54)),IF($N54&lt;&gt;"",IF(INDEX(LdCNote,$N54)="","—",INDEX(LdCNote,$N54)),""))))</f>
        <v/>
      </c>
      <c r="L54">
        <f>IFERROR(MATCH($C$5&amp;"|"&amp;RIGHT("000000"&amp;38,6),LdAKeyM,0),"")</f>
        <v/>
      </c>
      <c r="M54">
        <f>IFERROR(MATCH($C$5&amp;"|"&amp;RIGHT("000000"&amp;38,6),LdBKeyM,0),"")</f>
        <v/>
      </c>
      <c r="N54">
        <f>IFERROR(MATCH($C$5&amp;"|"&amp;RIGHT("000000"&amp;38,6),LdCKeyM,0),"")</f>
        <v/>
      </c>
    </row>
    <row r="55">
      <c r="A55" s="10" t="n">
        <v>39</v>
      </c>
      <c r="B55" s="14">
        <f>IF(AND($L55="",$M55="",$N55=""),"",IF($L55&lt;&gt;"",INDEX(LdADate,$L55),IF($M55&lt;&gt;"",INDEX(LdBDate,$M55),INDEX(LdCDate,$N55))))</f>
        <v/>
      </c>
      <c r="C55" s="14">
        <f>IF($L55&lt;&gt;"","دستمزد (فردی)",IF($M55&lt;&gt;"","سهم از گروه "&amp;IFERROR(VLOOKUP(INDEX(LdBGroup,$M55),WGTbl,2,0),INDEX(LdBGroup,$M55)),IF($N55&lt;&gt;"",IF(N(INDEX(LdCDep,$N55))&gt;0,"بازگشت بانکی","پرداخت بانکی"),"")))</f>
        <v/>
      </c>
      <c r="D55" s="14">
        <f>IF($L55&lt;&gt;"",IF(INDEX(LdAId,$L55)="","—",INDEX(LdAId,$L55)),IF($M55&lt;&gt;"",IF(INDEX(LdBId,$M55)="","—",INDEX(LdBId,$M55)),IF($N55&lt;&gt;"",IF(INDEX(LdCBank,$N55)="","—",INDEX(LdCBank,$N55)),"")))</f>
        <v/>
      </c>
      <c r="E55" s="16">
        <f>IF($L55&lt;&gt;"",IF(INDEX(LdAAmt,$L55)=0,"",INDEX(LdAAmt,$L55)),IF($M55&lt;&gt;"",IF(INDEX(LdBAmt,$M55)=0,"",INDEX(LdBAmt,$M55)),IF($N55&lt;&gt;"",IF(INDEX(LdCDep,$N55)=0,"",INDEX(LdCDep,$N55)),"")))</f>
        <v/>
      </c>
      <c r="F55" s="16">
        <f>IF(AND($L55="",$M55="",$N55=""),"",IF($N55="","",IF(INDEX(LdCWit,$N55)=0,"",INDEX(LdCWit,$N55))))</f>
        <v/>
      </c>
      <c r="G55" s="29">
        <f>IF($B55="","",IF($G54="",0,$G54)+IF($E55="",0,$E55)-IF($F55="",0,$F55))</f>
        <v/>
      </c>
      <c r="H55" s="30">
        <f>IF(AND($L55="",$M55="",$N55=""),"",IF($L55&lt;&gt;"",IF(INDEX(LdANote,$L55)="","—",INDEX(LdANote,$L55)),IF($M55&lt;&gt;"",IF(INDEX(LdBNote,$M55)="","—",INDEX(LdBNote,$M55)),IF($N55&lt;&gt;"",IF(INDEX(LdCNote,$N55)="","—",INDEX(LdCNote,$N55)),""))))</f>
        <v/>
      </c>
      <c r="L55">
        <f>IFERROR(MATCH($C$5&amp;"|"&amp;RIGHT("000000"&amp;39,6),LdAKeyM,0),"")</f>
        <v/>
      </c>
      <c r="M55">
        <f>IFERROR(MATCH($C$5&amp;"|"&amp;RIGHT("000000"&amp;39,6),LdBKeyM,0),"")</f>
        <v/>
      </c>
      <c r="N55">
        <f>IFERROR(MATCH($C$5&amp;"|"&amp;RIGHT("000000"&amp;39,6),LdCKeyM,0),"")</f>
        <v/>
      </c>
    </row>
    <row r="56">
      <c r="A56" s="19" t="n">
        <v>40</v>
      </c>
      <c r="B56" s="20">
        <f>IF(AND($L56="",$M56="",$N56=""),"",IF($L56&lt;&gt;"",INDEX(LdADate,$L56),IF($M56&lt;&gt;"",INDEX(LdBDate,$M56),INDEX(LdCDate,$N56))))</f>
        <v/>
      </c>
      <c r="C56" s="20">
        <f>IF($L56&lt;&gt;"","دستمزد (فردی)",IF($M56&lt;&gt;"","سهم از گروه "&amp;IFERROR(VLOOKUP(INDEX(LdBGroup,$M56),WGTbl,2,0),INDEX(LdBGroup,$M56)),IF($N56&lt;&gt;"",IF(N(INDEX(LdCDep,$N56))&gt;0,"بازگشت بانکی","پرداخت بانکی"),"")))</f>
        <v/>
      </c>
      <c r="D56" s="20">
        <f>IF($L56&lt;&gt;"",IF(INDEX(LdAId,$L56)="","—",INDEX(LdAId,$L56)),IF($M56&lt;&gt;"",IF(INDEX(LdBId,$M56)="","—",INDEX(LdBId,$M56)),IF($N56&lt;&gt;"",IF(INDEX(LdCBank,$N56)="","—",INDEX(LdCBank,$N56)),"")))</f>
        <v/>
      </c>
      <c r="E56" s="21">
        <f>IF($L56&lt;&gt;"",IF(INDEX(LdAAmt,$L56)=0,"",INDEX(LdAAmt,$L56)),IF($M56&lt;&gt;"",IF(INDEX(LdBAmt,$M56)=0,"",INDEX(LdBAmt,$M56)),IF($N56&lt;&gt;"",IF(INDEX(LdCDep,$N56)=0,"",INDEX(LdCDep,$N56)),"")))</f>
        <v/>
      </c>
      <c r="F56" s="21">
        <f>IF(AND($L56="",$M56="",$N56=""),"",IF($N56="","",IF(INDEX(LdCWit,$N56)=0,"",INDEX(LdCWit,$N56))))</f>
        <v/>
      </c>
      <c r="G56" s="31">
        <f>IF($B56="","",IF($G55="",0,$G55)+IF($E56="",0,$E56)-IF($F56="",0,$F56))</f>
        <v/>
      </c>
      <c r="H56" s="32">
        <f>IF(AND($L56="",$M56="",$N56=""),"",IF($L56&lt;&gt;"",IF(INDEX(LdANote,$L56)="","—",INDEX(LdANote,$L56)),IF($M56&lt;&gt;"",IF(INDEX(LdBNote,$M56)="","—",INDEX(LdBNote,$M56)),IF($N56&lt;&gt;"",IF(INDEX(LdCNote,$N56)="","—",INDEX(LdCNote,$N56)),""))))</f>
        <v/>
      </c>
      <c r="L56">
        <f>IFERROR(MATCH($C$5&amp;"|"&amp;RIGHT("000000"&amp;40,6),LdAKeyM,0),"")</f>
        <v/>
      </c>
      <c r="M56">
        <f>IFERROR(MATCH($C$5&amp;"|"&amp;RIGHT("000000"&amp;40,6),LdBKeyM,0),"")</f>
        <v/>
      </c>
      <c r="N56">
        <f>IFERROR(MATCH($C$5&amp;"|"&amp;RIGHT("000000"&amp;40,6),LdCKeyM,0),"")</f>
        <v/>
      </c>
    </row>
    <row r="57">
      <c r="A57" s="10" t="n">
        <v>41</v>
      </c>
      <c r="B57" s="14">
        <f>IF(AND($L57="",$M57="",$N57=""),"",IF($L57&lt;&gt;"",INDEX(LdADate,$L57),IF($M57&lt;&gt;"",INDEX(LdBDate,$M57),INDEX(LdCDate,$N57))))</f>
        <v/>
      </c>
      <c r="C57" s="14">
        <f>IF($L57&lt;&gt;"","دستمزد (فردی)",IF($M57&lt;&gt;"","سهم از گروه "&amp;IFERROR(VLOOKUP(INDEX(LdBGroup,$M57),WGTbl,2,0),INDEX(LdBGroup,$M57)),IF($N57&lt;&gt;"",IF(N(INDEX(LdCDep,$N57))&gt;0,"بازگشت بانکی","پرداخت بانکی"),"")))</f>
        <v/>
      </c>
      <c r="D57" s="14">
        <f>IF($L57&lt;&gt;"",IF(INDEX(LdAId,$L57)="","—",INDEX(LdAId,$L57)),IF($M57&lt;&gt;"",IF(INDEX(LdBId,$M57)="","—",INDEX(LdBId,$M57)),IF($N57&lt;&gt;"",IF(INDEX(LdCBank,$N57)="","—",INDEX(LdCBank,$N57)),"")))</f>
        <v/>
      </c>
      <c r="E57" s="16">
        <f>IF($L57&lt;&gt;"",IF(INDEX(LdAAmt,$L57)=0,"",INDEX(LdAAmt,$L57)),IF($M57&lt;&gt;"",IF(INDEX(LdBAmt,$M57)=0,"",INDEX(LdBAmt,$M57)),IF($N57&lt;&gt;"",IF(INDEX(LdCDep,$N57)=0,"",INDEX(LdCDep,$N57)),"")))</f>
        <v/>
      </c>
      <c r="F57" s="16">
        <f>IF(AND($L57="",$M57="",$N57=""),"",IF($N57="","",IF(INDEX(LdCWit,$N57)=0,"",INDEX(LdCWit,$N57))))</f>
        <v/>
      </c>
      <c r="G57" s="29">
        <f>IF($B57="","",IF($G56="",0,$G56)+IF($E57="",0,$E57)-IF($F57="",0,$F57))</f>
        <v/>
      </c>
      <c r="H57" s="30">
        <f>IF(AND($L57="",$M57="",$N57=""),"",IF($L57&lt;&gt;"",IF(INDEX(LdANote,$L57)="","—",INDEX(LdANote,$L57)),IF($M57&lt;&gt;"",IF(INDEX(LdBNote,$M57)="","—",INDEX(LdBNote,$M57)),IF($N57&lt;&gt;"",IF(INDEX(LdCNote,$N57)="","—",INDEX(LdCNote,$N57)),""))))</f>
        <v/>
      </c>
      <c r="L57">
        <f>IFERROR(MATCH($C$5&amp;"|"&amp;RIGHT("000000"&amp;41,6),LdAKeyM,0),"")</f>
        <v/>
      </c>
      <c r="M57">
        <f>IFERROR(MATCH($C$5&amp;"|"&amp;RIGHT("000000"&amp;41,6),LdBKeyM,0),"")</f>
        <v/>
      </c>
      <c r="N57">
        <f>IFERROR(MATCH($C$5&amp;"|"&amp;RIGHT("000000"&amp;41,6),LdCKeyM,0),"")</f>
        <v/>
      </c>
    </row>
    <row r="58">
      <c r="A58" s="19" t="n">
        <v>42</v>
      </c>
      <c r="B58" s="20">
        <f>IF(AND($L58="",$M58="",$N58=""),"",IF($L58&lt;&gt;"",INDEX(LdADate,$L58),IF($M58&lt;&gt;"",INDEX(LdBDate,$M58),INDEX(LdCDate,$N58))))</f>
        <v/>
      </c>
      <c r="C58" s="20">
        <f>IF($L58&lt;&gt;"","دستمزد (فردی)",IF($M58&lt;&gt;"","سهم از گروه "&amp;IFERROR(VLOOKUP(INDEX(LdBGroup,$M58),WGTbl,2,0),INDEX(LdBGroup,$M58)),IF($N58&lt;&gt;"",IF(N(INDEX(LdCDep,$N58))&gt;0,"بازگشت بانکی","پرداخت بانکی"),"")))</f>
        <v/>
      </c>
      <c r="D58" s="20">
        <f>IF($L58&lt;&gt;"",IF(INDEX(LdAId,$L58)="","—",INDEX(LdAId,$L58)),IF($M58&lt;&gt;"",IF(INDEX(LdBId,$M58)="","—",INDEX(LdBId,$M58)),IF($N58&lt;&gt;"",IF(INDEX(LdCBank,$N58)="","—",INDEX(LdCBank,$N58)),"")))</f>
        <v/>
      </c>
      <c r="E58" s="21">
        <f>IF($L58&lt;&gt;"",IF(INDEX(LdAAmt,$L58)=0,"",INDEX(LdAAmt,$L58)),IF($M58&lt;&gt;"",IF(INDEX(LdBAmt,$M58)=0,"",INDEX(LdBAmt,$M58)),IF($N58&lt;&gt;"",IF(INDEX(LdCDep,$N58)=0,"",INDEX(LdCDep,$N58)),"")))</f>
        <v/>
      </c>
      <c r="F58" s="21">
        <f>IF(AND($L58="",$M58="",$N58=""),"",IF($N58="","",IF(INDEX(LdCWit,$N58)=0,"",INDEX(LdCWit,$N58))))</f>
        <v/>
      </c>
      <c r="G58" s="31">
        <f>IF($B58="","",IF($G57="",0,$G57)+IF($E58="",0,$E58)-IF($F58="",0,$F58))</f>
        <v/>
      </c>
      <c r="H58" s="32">
        <f>IF(AND($L58="",$M58="",$N58=""),"",IF($L58&lt;&gt;"",IF(INDEX(LdANote,$L58)="","—",INDEX(LdANote,$L58)),IF($M58&lt;&gt;"",IF(INDEX(LdBNote,$M58)="","—",INDEX(LdBNote,$M58)),IF($N58&lt;&gt;"",IF(INDEX(LdCNote,$N58)="","—",INDEX(LdCNote,$N58)),""))))</f>
        <v/>
      </c>
      <c r="L58">
        <f>IFERROR(MATCH($C$5&amp;"|"&amp;RIGHT("000000"&amp;42,6),LdAKeyM,0),"")</f>
        <v/>
      </c>
      <c r="M58">
        <f>IFERROR(MATCH($C$5&amp;"|"&amp;RIGHT("000000"&amp;42,6),LdBKeyM,0),"")</f>
        <v/>
      </c>
      <c r="N58">
        <f>IFERROR(MATCH($C$5&amp;"|"&amp;RIGHT("000000"&amp;42,6),LdCKeyM,0),"")</f>
        <v/>
      </c>
    </row>
    <row r="59">
      <c r="A59" s="10" t="n">
        <v>43</v>
      </c>
      <c r="B59" s="14">
        <f>IF(AND($L59="",$M59="",$N59=""),"",IF($L59&lt;&gt;"",INDEX(LdADate,$L59),IF($M59&lt;&gt;"",INDEX(LdBDate,$M59),INDEX(LdCDate,$N59))))</f>
        <v/>
      </c>
      <c r="C59" s="14">
        <f>IF($L59&lt;&gt;"","دستمزد (فردی)",IF($M59&lt;&gt;"","سهم از گروه "&amp;IFERROR(VLOOKUP(INDEX(LdBGroup,$M59),WGTbl,2,0),INDEX(LdBGroup,$M59)),IF($N59&lt;&gt;"",IF(N(INDEX(LdCDep,$N59))&gt;0,"بازگشت بانکی","پرداخت بانکی"),"")))</f>
        <v/>
      </c>
      <c r="D59" s="14">
        <f>IF($L59&lt;&gt;"",IF(INDEX(LdAId,$L59)="","—",INDEX(LdAId,$L59)),IF($M59&lt;&gt;"",IF(INDEX(LdBId,$M59)="","—",INDEX(LdBId,$M59)),IF($N59&lt;&gt;"",IF(INDEX(LdCBank,$N59)="","—",INDEX(LdCBank,$N59)),"")))</f>
        <v/>
      </c>
      <c r="E59" s="16">
        <f>IF($L59&lt;&gt;"",IF(INDEX(LdAAmt,$L59)=0,"",INDEX(LdAAmt,$L59)),IF($M59&lt;&gt;"",IF(INDEX(LdBAmt,$M59)=0,"",INDEX(LdBAmt,$M59)),IF($N59&lt;&gt;"",IF(INDEX(LdCDep,$N59)=0,"",INDEX(LdCDep,$N59)),"")))</f>
        <v/>
      </c>
      <c r="F59" s="16">
        <f>IF(AND($L59="",$M59="",$N59=""),"",IF($N59="","",IF(INDEX(LdCWit,$N59)=0,"",INDEX(LdCWit,$N59))))</f>
        <v/>
      </c>
      <c r="G59" s="29">
        <f>IF($B59="","",IF($G58="",0,$G58)+IF($E59="",0,$E59)-IF($F59="",0,$F59))</f>
        <v/>
      </c>
      <c r="H59" s="30">
        <f>IF(AND($L59="",$M59="",$N59=""),"",IF($L59&lt;&gt;"",IF(INDEX(LdANote,$L59)="","—",INDEX(LdANote,$L59)),IF($M59&lt;&gt;"",IF(INDEX(LdBNote,$M59)="","—",INDEX(LdBNote,$M59)),IF($N59&lt;&gt;"",IF(INDEX(LdCNote,$N59)="","—",INDEX(LdCNote,$N59)),""))))</f>
        <v/>
      </c>
      <c r="L59">
        <f>IFERROR(MATCH($C$5&amp;"|"&amp;RIGHT("000000"&amp;43,6),LdAKeyM,0),"")</f>
        <v/>
      </c>
      <c r="M59">
        <f>IFERROR(MATCH($C$5&amp;"|"&amp;RIGHT("000000"&amp;43,6),LdBKeyM,0),"")</f>
        <v/>
      </c>
      <c r="N59">
        <f>IFERROR(MATCH($C$5&amp;"|"&amp;RIGHT("000000"&amp;43,6),LdCKeyM,0),"")</f>
        <v/>
      </c>
    </row>
    <row r="60">
      <c r="A60" s="19" t="n">
        <v>44</v>
      </c>
      <c r="B60" s="20">
        <f>IF(AND($L60="",$M60="",$N60=""),"",IF($L60&lt;&gt;"",INDEX(LdADate,$L60),IF($M60&lt;&gt;"",INDEX(LdBDate,$M60),INDEX(LdCDate,$N60))))</f>
        <v/>
      </c>
      <c r="C60" s="20">
        <f>IF($L60&lt;&gt;"","دستمزد (فردی)",IF($M60&lt;&gt;"","سهم از گروه "&amp;IFERROR(VLOOKUP(INDEX(LdBGroup,$M60),WGTbl,2,0),INDEX(LdBGroup,$M60)),IF($N60&lt;&gt;"",IF(N(INDEX(LdCDep,$N60))&gt;0,"بازگشت بانکی","پرداخت بانکی"),"")))</f>
        <v/>
      </c>
      <c r="D60" s="20">
        <f>IF($L60&lt;&gt;"",IF(INDEX(LdAId,$L60)="","—",INDEX(LdAId,$L60)),IF($M60&lt;&gt;"",IF(INDEX(LdBId,$M60)="","—",INDEX(LdBId,$M60)),IF($N60&lt;&gt;"",IF(INDEX(LdCBank,$N60)="","—",INDEX(LdCBank,$N60)),"")))</f>
        <v/>
      </c>
      <c r="E60" s="21">
        <f>IF($L60&lt;&gt;"",IF(INDEX(LdAAmt,$L60)=0,"",INDEX(LdAAmt,$L60)),IF($M60&lt;&gt;"",IF(INDEX(LdBAmt,$M60)=0,"",INDEX(LdBAmt,$M60)),IF($N60&lt;&gt;"",IF(INDEX(LdCDep,$N60)=0,"",INDEX(LdCDep,$N60)),"")))</f>
        <v/>
      </c>
      <c r="F60" s="21">
        <f>IF(AND($L60="",$M60="",$N60=""),"",IF($N60="","",IF(INDEX(LdCWit,$N60)=0,"",INDEX(LdCWit,$N60))))</f>
        <v/>
      </c>
      <c r="G60" s="31">
        <f>IF($B60="","",IF($G59="",0,$G59)+IF($E60="",0,$E60)-IF($F60="",0,$F60))</f>
        <v/>
      </c>
      <c r="H60" s="32">
        <f>IF(AND($L60="",$M60="",$N60=""),"",IF($L60&lt;&gt;"",IF(INDEX(LdANote,$L60)="","—",INDEX(LdANote,$L60)),IF($M60&lt;&gt;"",IF(INDEX(LdBNote,$M60)="","—",INDEX(LdBNote,$M60)),IF($N60&lt;&gt;"",IF(INDEX(LdCNote,$N60)="","—",INDEX(LdCNote,$N60)),""))))</f>
        <v/>
      </c>
      <c r="L60">
        <f>IFERROR(MATCH($C$5&amp;"|"&amp;RIGHT("000000"&amp;44,6),LdAKeyM,0),"")</f>
        <v/>
      </c>
      <c r="M60">
        <f>IFERROR(MATCH($C$5&amp;"|"&amp;RIGHT("000000"&amp;44,6),LdBKeyM,0),"")</f>
        <v/>
      </c>
      <c r="N60">
        <f>IFERROR(MATCH($C$5&amp;"|"&amp;RIGHT("000000"&amp;44,6),LdCKeyM,0),"")</f>
        <v/>
      </c>
    </row>
    <row r="61">
      <c r="A61" s="10" t="n">
        <v>45</v>
      </c>
      <c r="B61" s="14">
        <f>IF(AND($L61="",$M61="",$N61=""),"",IF($L61&lt;&gt;"",INDEX(LdADate,$L61),IF($M61&lt;&gt;"",INDEX(LdBDate,$M61),INDEX(LdCDate,$N61))))</f>
        <v/>
      </c>
      <c r="C61" s="14">
        <f>IF($L61&lt;&gt;"","دستمزد (فردی)",IF($M61&lt;&gt;"","سهم از گروه "&amp;IFERROR(VLOOKUP(INDEX(LdBGroup,$M61),WGTbl,2,0),INDEX(LdBGroup,$M61)),IF($N61&lt;&gt;"",IF(N(INDEX(LdCDep,$N61))&gt;0,"بازگشت بانکی","پرداخت بانکی"),"")))</f>
        <v/>
      </c>
      <c r="D61" s="14">
        <f>IF($L61&lt;&gt;"",IF(INDEX(LdAId,$L61)="","—",INDEX(LdAId,$L61)),IF($M61&lt;&gt;"",IF(INDEX(LdBId,$M61)="","—",INDEX(LdBId,$M61)),IF($N61&lt;&gt;"",IF(INDEX(LdCBank,$N61)="","—",INDEX(LdCBank,$N61)),"")))</f>
        <v/>
      </c>
      <c r="E61" s="16">
        <f>IF($L61&lt;&gt;"",IF(INDEX(LdAAmt,$L61)=0,"",INDEX(LdAAmt,$L61)),IF($M61&lt;&gt;"",IF(INDEX(LdBAmt,$M61)=0,"",INDEX(LdBAmt,$M61)),IF($N61&lt;&gt;"",IF(INDEX(LdCDep,$N61)=0,"",INDEX(LdCDep,$N61)),"")))</f>
        <v/>
      </c>
      <c r="F61" s="16">
        <f>IF(AND($L61="",$M61="",$N61=""),"",IF($N61="","",IF(INDEX(LdCWit,$N61)=0,"",INDEX(LdCWit,$N61))))</f>
        <v/>
      </c>
      <c r="G61" s="29">
        <f>IF($B61="","",IF($G60="",0,$G60)+IF($E61="",0,$E61)-IF($F61="",0,$F61))</f>
        <v/>
      </c>
      <c r="H61" s="30">
        <f>IF(AND($L61="",$M61="",$N61=""),"",IF($L61&lt;&gt;"",IF(INDEX(LdANote,$L61)="","—",INDEX(LdANote,$L61)),IF($M61&lt;&gt;"",IF(INDEX(LdBNote,$M61)="","—",INDEX(LdBNote,$M61)),IF($N61&lt;&gt;"",IF(INDEX(LdCNote,$N61)="","—",INDEX(LdCNote,$N61)),""))))</f>
        <v/>
      </c>
      <c r="L61">
        <f>IFERROR(MATCH($C$5&amp;"|"&amp;RIGHT("000000"&amp;45,6),LdAKeyM,0),"")</f>
        <v/>
      </c>
      <c r="M61">
        <f>IFERROR(MATCH($C$5&amp;"|"&amp;RIGHT("000000"&amp;45,6),LdBKeyM,0),"")</f>
        <v/>
      </c>
      <c r="N61">
        <f>IFERROR(MATCH($C$5&amp;"|"&amp;RIGHT("000000"&amp;45,6),LdCKeyM,0),"")</f>
        <v/>
      </c>
    </row>
    <row r="62">
      <c r="A62" s="19" t="n">
        <v>46</v>
      </c>
      <c r="B62" s="20">
        <f>IF(AND($L62="",$M62="",$N62=""),"",IF($L62&lt;&gt;"",INDEX(LdADate,$L62),IF($M62&lt;&gt;"",INDEX(LdBDate,$M62),INDEX(LdCDate,$N62))))</f>
        <v/>
      </c>
      <c r="C62" s="20">
        <f>IF($L62&lt;&gt;"","دستمزد (فردی)",IF($M62&lt;&gt;"","سهم از گروه "&amp;IFERROR(VLOOKUP(INDEX(LdBGroup,$M62),WGTbl,2,0),INDEX(LdBGroup,$M62)),IF($N62&lt;&gt;"",IF(N(INDEX(LdCDep,$N62))&gt;0,"بازگشت بانکی","پرداخت بانکی"),"")))</f>
        <v/>
      </c>
      <c r="D62" s="20">
        <f>IF($L62&lt;&gt;"",IF(INDEX(LdAId,$L62)="","—",INDEX(LdAId,$L62)),IF($M62&lt;&gt;"",IF(INDEX(LdBId,$M62)="","—",INDEX(LdBId,$M62)),IF($N62&lt;&gt;"",IF(INDEX(LdCBank,$N62)="","—",INDEX(LdCBank,$N62)),"")))</f>
        <v/>
      </c>
      <c r="E62" s="21">
        <f>IF($L62&lt;&gt;"",IF(INDEX(LdAAmt,$L62)=0,"",INDEX(LdAAmt,$L62)),IF($M62&lt;&gt;"",IF(INDEX(LdBAmt,$M62)=0,"",INDEX(LdBAmt,$M62)),IF($N62&lt;&gt;"",IF(INDEX(LdCDep,$N62)=0,"",INDEX(LdCDep,$N62)),"")))</f>
        <v/>
      </c>
      <c r="F62" s="21">
        <f>IF(AND($L62="",$M62="",$N62=""),"",IF($N62="","",IF(INDEX(LdCWit,$N62)=0,"",INDEX(LdCWit,$N62))))</f>
        <v/>
      </c>
      <c r="G62" s="31">
        <f>IF($B62="","",IF($G61="",0,$G61)+IF($E62="",0,$E62)-IF($F62="",0,$F62))</f>
        <v/>
      </c>
      <c r="H62" s="32">
        <f>IF(AND($L62="",$M62="",$N62=""),"",IF($L62&lt;&gt;"",IF(INDEX(LdANote,$L62)="","—",INDEX(LdANote,$L62)),IF($M62&lt;&gt;"",IF(INDEX(LdBNote,$M62)="","—",INDEX(LdBNote,$M62)),IF($N62&lt;&gt;"",IF(INDEX(LdCNote,$N62)="","—",INDEX(LdCNote,$N62)),""))))</f>
        <v/>
      </c>
      <c r="L62">
        <f>IFERROR(MATCH($C$5&amp;"|"&amp;RIGHT("000000"&amp;46,6),LdAKeyM,0),"")</f>
        <v/>
      </c>
      <c r="M62">
        <f>IFERROR(MATCH($C$5&amp;"|"&amp;RIGHT("000000"&amp;46,6),LdBKeyM,0),"")</f>
        <v/>
      </c>
      <c r="N62">
        <f>IFERROR(MATCH($C$5&amp;"|"&amp;RIGHT("000000"&amp;46,6),LdCKeyM,0),"")</f>
        <v/>
      </c>
    </row>
    <row r="63">
      <c r="A63" s="10" t="n">
        <v>47</v>
      </c>
      <c r="B63" s="14">
        <f>IF(AND($L63="",$M63="",$N63=""),"",IF($L63&lt;&gt;"",INDEX(LdADate,$L63),IF($M63&lt;&gt;"",INDEX(LdBDate,$M63),INDEX(LdCDate,$N63))))</f>
        <v/>
      </c>
      <c r="C63" s="14">
        <f>IF($L63&lt;&gt;"","دستمزد (فردی)",IF($M63&lt;&gt;"","سهم از گروه "&amp;IFERROR(VLOOKUP(INDEX(LdBGroup,$M63),WGTbl,2,0),INDEX(LdBGroup,$M63)),IF($N63&lt;&gt;"",IF(N(INDEX(LdCDep,$N63))&gt;0,"بازگشت بانکی","پرداخت بانکی"),"")))</f>
        <v/>
      </c>
      <c r="D63" s="14">
        <f>IF($L63&lt;&gt;"",IF(INDEX(LdAId,$L63)="","—",INDEX(LdAId,$L63)),IF($M63&lt;&gt;"",IF(INDEX(LdBId,$M63)="","—",INDEX(LdBId,$M63)),IF($N63&lt;&gt;"",IF(INDEX(LdCBank,$N63)="","—",INDEX(LdCBank,$N63)),"")))</f>
        <v/>
      </c>
      <c r="E63" s="16">
        <f>IF($L63&lt;&gt;"",IF(INDEX(LdAAmt,$L63)=0,"",INDEX(LdAAmt,$L63)),IF($M63&lt;&gt;"",IF(INDEX(LdBAmt,$M63)=0,"",INDEX(LdBAmt,$M63)),IF($N63&lt;&gt;"",IF(INDEX(LdCDep,$N63)=0,"",INDEX(LdCDep,$N63)),"")))</f>
        <v/>
      </c>
      <c r="F63" s="16">
        <f>IF(AND($L63="",$M63="",$N63=""),"",IF($N63="","",IF(INDEX(LdCWit,$N63)=0,"",INDEX(LdCWit,$N63))))</f>
        <v/>
      </c>
      <c r="G63" s="29">
        <f>IF($B63="","",IF($G62="",0,$G62)+IF($E63="",0,$E63)-IF($F63="",0,$F63))</f>
        <v/>
      </c>
      <c r="H63" s="30">
        <f>IF(AND($L63="",$M63="",$N63=""),"",IF($L63&lt;&gt;"",IF(INDEX(LdANote,$L63)="","—",INDEX(LdANote,$L63)),IF($M63&lt;&gt;"",IF(INDEX(LdBNote,$M63)="","—",INDEX(LdBNote,$M63)),IF($N63&lt;&gt;"",IF(INDEX(LdCNote,$N63)="","—",INDEX(LdCNote,$N63)),""))))</f>
        <v/>
      </c>
      <c r="L63">
        <f>IFERROR(MATCH($C$5&amp;"|"&amp;RIGHT("000000"&amp;47,6),LdAKeyM,0),"")</f>
        <v/>
      </c>
      <c r="M63">
        <f>IFERROR(MATCH($C$5&amp;"|"&amp;RIGHT("000000"&amp;47,6),LdBKeyM,0),"")</f>
        <v/>
      </c>
      <c r="N63">
        <f>IFERROR(MATCH($C$5&amp;"|"&amp;RIGHT("000000"&amp;47,6),LdCKeyM,0),"")</f>
        <v/>
      </c>
    </row>
    <row r="64">
      <c r="A64" s="19" t="n">
        <v>48</v>
      </c>
      <c r="B64" s="20">
        <f>IF(AND($L64="",$M64="",$N64=""),"",IF($L64&lt;&gt;"",INDEX(LdADate,$L64),IF($M64&lt;&gt;"",INDEX(LdBDate,$M64),INDEX(LdCDate,$N64))))</f>
        <v/>
      </c>
      <c r="C64" s="20">
        <f>IF($L64&lt;&gt;"","دستمزد (فردی)",IF($M64&lt;&gt;"","سهم از گروه "&amp;IFERROR(VLOOKUP(INDEX(LdBGroup,$M64),WGTbl,2,0),INDEX(LdBGroup,$M64)),IF($N64&lt;&gt;"",IF(N(INDEX(LdCDep,$N64))&gt;0,"بازگشت بانکی","پرداخت بانکی"),"")))</f>
        <v/>
      </c>
      <c r="D64" s="20">
        <f>IF($L64&lt;&gt;"",IF(INDEX(LdAId,$L64)="","—",INDEX(LdAId,$L64)),IF($M64&lt;&gt;"",IF(INDEX(LdBId,$M64)="","—",INDEX(LdBId,$M64)),IF($N64&lt;&gt;"",IF(INDEX(LdCBank,$N64)="","—",INDEX(LdCBank,$N64)),"")))</f>
        <v/>
      </c>
      <c r="E64" s="21">
        <f>IF($L64&lt;&gt;"",IF(INDEX(LdAAmt,$L64)=0,"",INDEX(LdAAmt,$L64)),IF($M64&lt;&gt;"",IF(INDEX(LdBAmt,$M64)=0,"",INDEX(LdBAmt,$M64)),IF($N64&lt;&gt;"",IF(INDEX(LdCDep,$N64)=0,"",INDEX(LdCDep,$N64)),"")))</f>
        <v/>
      </c>
      <c r="F64" s="21">
        <f>IF(AND($L64="",$M64="",$N64=""),"",IF($N64="","",IF(INDEX(LdCWit,$N64)=0,"",INDEX(LdCWit,$N64))))</f>
        <v/>
      </c>
      <c r="G64" s="31">
        <f>IF($B64="","",IF($G63="",0,$G63)+IF($E64="",0,$E64)-IF($F64="",0,$F64))</f>
        <v/>
      </c>
      <c r="H64" s="32">
        <f>IF(AND($L64="",$M64="",$N64=""),"",IF($L64&lt;&gt;"",IF(INDEX(LdANote,$L64)="","—",INDEX(LdANote,$L64)),IF($M64&lt;&gt;"",IF(INDEX(LdBNote,$M64)="","—",INDEX(LdBNote,$M64)),IF($N64&lt;&gt;"",IF(INDEX(LdCNote,$N64)="","—",INDEX(LdCNote,$N64)),""))))</f>
        <v/>
      </c>
      <c r="L64">
        <f>IFERROR(MATCH($C$5&amp;"|"&amp;RIGHT("000000"&amp;48,6),LdAKeyM,0),"")</f>
        <v/>
      </c>
      <c r="M64">
        <f>IFERROR(MATCH($C$5&amp;"|"&amp;RIGHT("000000"&amp;48,6),LdBKeyM,0),"")</f>
        <v/>
      </c>
      <c r="N64">
        <f>IFERROR(MATCH($C$5&amp;"|"&amp;RIGHT("000000"&amp;48,6),LdCKeyM,0),"")</f>
        <v/>
      </c>
    </row>
    <row r="65">
      <c r="A65" s="10" t="n">
        <v>49</v>
      </c>
      <c r="B65" s="14">
        <f>IF(AND($L65="",$M65="",$N65=""),"",IF($L65&lt;&gt;"",INDEX(LdADate,$L65),IF($M65&lt;&gt;"",INDEX(LdBDate,$M65),INDEX(LdCDate,$N65))))</f>
        <v/>
      </c>
      <c r="C65" s="14">
        <f>IF($L65&lt;&gt;"","دستمزد (فردی)",IF($M65&lt;&gt;"","سهم از گروه "&amp;IFERROR(VLOOKUP(INDEX(LdBGroup,$M65),WGTbl,2,0),INDEX(LdBGroup,$M65)),IF($N65&lt;&gt;"",IF(N(INDEX(LdCDep,$N65))&gt;0,"بازگشت بانکی","پرداخت بانکی"),"")))</f>
        <v/>
      </c>
      <c r="D65" s="14">
        <f>IF($L65&lt;&gt;"",IF(INDEX(LdAId,$L65)="","—",INDEX(LdAId,$L65)),IF($M65&lt;&gt;"",IF(INDEX(LdBId,$M65)="","—",INDEX(LdBId,$M65)),IF($N65&lt;&gt;"",IF(INDEX(LdCBank,$N65)="","—",INDEX(LdCBank,$N65)),"")))</f>
        <v/>
      </c>
      <c r="E65" s="16">
        <f>IF($L65&lt;&gt;"",IF(INDEX(LdAAmt,$L65)=0,"",INDEX(LdAAmt,$L65)),IF($M65&lt;&gt;"",IF(INDEX(LdBAmt,$M65)=0,"",INDEX(LdBAmt,$M65)),IF($N65&lt;&gt;"",IF(INDEX(LdCDep,$N65)=0,"",INDEX(LdCDep,$N65)),"")))</f>
        <v/>
      </c>
      <c r="F65" s="16">
        <f>IF(AND($L65="",$M65="",$N65=""),"",IF($N65="","",IF(INDEX(LdCWit,$N65)=0,"",INDEX(LdCWit,$N65))))</f>
        <v/>
      </c>
      <c r="G65" s="29">
        <f>IF($B65="","",IF($G64="",0,$G64)+IF($E65="",0,$E65)-IF($F65="",0,$F65))</f>
        <v/>
      </c>
      <c r="H65" s="30">
        <f>IF(AND($L65="",$M65="",$N65=""),"",IF($L65&lt;&gt;"",IF(INDEX(LdANote,$L65)="","—",INDEX(LdANote,$L65)),IF($M65&lt;&gt;"",IF(INDEX(LdBNote,$M65)="","—",INDEX(LdBNote,$M65)),IF($N65&lt;&gt;"",IF(INDEX(LdCNote,$N65)="","—",INDEX(LdCNote,$N65)),""))))</f>
        <v/>
      </c>
      <c r="L65">
        <f>IFERROR(MATCH($C$5&amp;"|"&amp;RIGHT("000000"&amp;49,6),LdAKeyM,0),"")</f>
        <v/>
      </c>
      <c r="M65">
        <f>IFERROR(MATCH($C$5&amp;"|"&amp;RIGHT("000000"&amp;49,6),LdBKeyM,0),"")</f>
        <v/>
      </c>
      <c r="N65">
        <f>IFERROR(MATCH($C$5&amp;"|"&amp;RIGHT("000000"&amp;49,6),LdCKeyM,0),"")</f>
        <v/>
      </c>
    </row>
    <row r="66">
      <c r="A66" s="19" t="n">
        <v>50</v>
      </c>
      <c r="B66" s="20">
        <f>IF(AND($L66="",$M66="",$N66=""),"",IF($L66&lt;&gt;"",INDEX(LdADate,$L66),IF($M66&lt;&gt;"",INDEX(LdBDate,$M66),INDEX(LdCDate,$N66))))</f>
        <v/>
      </c>
      <c r="C66" s="20">
        <f>IF($L66&lt;&gt;"","دستمزد (فردی)",IF($M66&lt;&gt;"","سهم از گروه "&amp;IFERROR(VLOOKUP(INDEX(LdBGroup,$M66),WGTbl,2,0),INDEX(LdBGroup,$M66)),IF($N66&lt;&gt;"",IF(N(INDEX(LdCDep,$N66))&gt;0,"بازگشت بانکی","پرداخت بانکی"),"")))</f>
        <v/>
      </c>
      <c r="D66" s="20">
        <f>IF($L66&lt;&gt;"",IF(INDEX(LdAId,$L66)="","—",INDEX(LdAId,$L66)),IF($M66&lt;&gt;"",IF(INDEX(LdBId,$M66)="","—",INDEX(LdBId,$M66)),IF($N66&lt;&gt;"",IF(INDEX(LdCBank,$N66)="","—",INDEX(LdCBank,$N66)),"")))</f>
        <v/>
      </c>
      <c r="E66" s="21">
        <f>IF($L66&lt;&gt;"",IF(INDEX(LdAAmt,$L66)=0,"",INDEX(LdAAmt,$L66)),IF($M66&lt;&gt;"",IF(INDEX(LdBAmt,$M66)=0,"",INDEX(LdBAmt,$M66)),IF($N66&lt;&gt;"",IF(INDEX(LdCDep,$N66)=0,"",INDEX(LdCDep,$N66)),"")))</f>
        <v/>
      </c>
      <c r="F66" s="21">
        <f>IF(AND($L66="",$M66="",$N66=""),"",IF($N66="","",IF(INDEX(LdCWit,$N66)=0,"",INDEX(LdCWit,$N66))))</f>
        <v/>
      </c>
      <c r="G66" s="31">
        <f>IF($B66="","",IF($G65="",0,$G65)+IF($E66="",0,$E66)-IF($F66="",0,$F66))</f>
        <v/>
      </c>
      <c r="H66" s="32">
        <f>IF(AND($L66="",$M66="",$N66=""),"",IF($L66&lt;&gt;"",IF(INDEX(LdANote,$L66)="","—",INDEX(LdANote,$L66)),IF($M66&lt;&gt;"",IF(INDEX(LdBNote,$M66)="","—",INDEX(LdBNote,$M66)),IF($N66&lt;&gt;"",IF(INDEX(LdCNote,$N66)="","—",INDEX(LdCNote,$N66)),""))))</f>
        <v/>
      </c>
      <c r="L66">
        <f>IFERROR(MATCH($C$5&amp;"|"&amp;RIGHT("000000"&amp;50,6),LdAKeyM,0),"")</f>
        <v/>
      </c>
      <c r="M66">
        <f>IFERROR(MATCH($C$5&amp;"|"&amp;RIGHT("000000"&amp;50,6),LdBKeyM,0),"")</f>
        <v/>
      </c>
      <c r="N66">
        <f>IFERROR(MATCH($C$5&amp;"|"&amp;RIGHT("000000"&amp;50,6),LdCKeyM,0),"")</f>
        <v/>
      </c>
    </row>
    <row r="67">
      <c r="A67" s="10" t="n">
        <v>51</v>
      </c>
      <c r="B67" s="14">
        <f>IF(AND($L67="",$M67="",$N67=""),"",IF($L67&lt;&gt;"",INDEX(LdADate,$L67),IF($M67&lt;&gt;"",INDEX(LdBDate,$M67),INDEX(LdCDate,$N67))))</f>
        <v/>
      </c>
      <c r="C67" s="14">
        <f>IF($L67&lt;&gt;"","دستمزد (فردی)",IF($M67&lt;&gt;"","سهم از گروه "&amp;IFERROR(VLOOKUP(INDEX(LdBGroup,$M67),WGTbl,2,0),INDEX(LdBGroup,$M67)),IF($N67&lt;&gt;"",IF(N(INDEX(LdCDep,$N67))&gt;0,"بازگشت بانکی","پرداخت بانکی"),"")))</f>
        <v/>
      </c>
      <c r="D67" s="14">
        <f>IF($L67&lt;&gt;"",IF(INDEX(LdAId,$L67)="","—",INDEX(LdAId,$L67)),IF($M67&lt;&gt;"",IF(INDEX(LdBId,$M67)="","—",INDEX(LdBId,$M67)),IF($N67&lt;&gt;"",IF(INDEX(LdCBank,$N67)="","—",INDEX(LdCBank,$N67)),"")))</f>
        <v/>
      </c>
      <c r="E67" s="16">
        <f>IF($L67&lt;&gt;"",IF(INDEX(LdAAmt,$L67)=0,"",INDEX(LdAAmt,$L67)),IF($M67&lt;&gt;"",IF(INDEX(LdBAmt,$M67)=0,"",INDEX(LdBAmt,$M67)),IF($N67&lt;&gt;"",IF(INDEX(LdCDep,$N67)=0,"",INDEX(LdCDep,$N67)),"")))</f>
        <v/>
      </c>
      <c r="F67" s="16">
        <f>IF(AND($L67="",$M67="",$N67=""),"",IF($N67="","",IF(INDEX(LdCWit,$N67)=0,"",INDEX(LdCWit,$N67))))</f>
        <v/>
      </c>
      <c r="G67" s="29">
        <f>IF($B67="","",IF($G66="",0,$G66)+IF($E67="",0,$E67)-IF($F67="",0,$F67))</f>
        <v/>
      </c>
      <c r="H67" s="30">
        <f>IF(AND($L67="",$M67="",$N67=""),"",IF($L67&lt;&gt;"",IF(INDEX(LdANote,$L67)="","—",INDEX(LdANote,$L67)),IF($M67&lt;&gt;"",IF(INDEX(LdBNote,$M67)="","—",INDEX(LdBNote,$M67)),IF($N67&lt;&gt;"",IF(INDEX(LdCNote,$N67)="","—",INDEX(LdCNote,$N67)),""))))</f>
        <v/>
      </c>
      <c r="L67">
        <f>IFERROR(MATCH($C$5&amp;"|"&amp;RIGHT("000000"&amp;51,6),LdAKeyM,0),"")</f>
        <v/>
      </c>
      <c r="M67">
        <f>IFERROR(MATCH($C$5&amp;"|"&amp;RIGHT("000000"&amp;51,6),LdBKeyM,0),"")</f>
        <v/>
      </c>
      <c r="N67">
        <f>IFERROR(MATCH($C$5&amp;"|"&amp;RIGHT("000000"&amp;51,6),LdCKeyM,0),"")</f>
        <v/>
      </c>
    </row>
    <row r="68">
      <c r="A68" s="19" t="n">
        <v>52</v>
      </c>
      <c r="B68" s="20">
        <f>IF(AND($L68="",$M68="",$N68=""),"",IF($L68&lt;&gt;"",INDEX(LdADate,$L68),IF($M68&lt;&gt;"",INDEX(LdBDate,$M68),INDEX(LdCDate,$N68))))</f>
        <v/>
      </c>
      <c r="C68" s="20">
        <f>IF($L68&lt;&gt;"","دستمزد (فردی)",IF($M68&lt;&gt;"","سهم از گروه "&amp;IFERROR(VLOOKUP(INDEX(LdBGroup,$M68),WGTbl,2,0),INDEX(LdBGroup,$M68)),IF($N68&lt;&gt;"",IF(N(INDEX(LdCDep,$N68))&gt;0,"بازگشت بانکی","پرداخت بانکی"),"")))</f>
        <v/>
      </c>
      <c r="D68" s="20">
        <f>IF($L68&lt;&gt;"",IF(INDEX(LdAId,$L68)="","—",INDEX(LdAId,$L68)),IF($M68&lt;&gt;"",IF(INDEX(LdBId,$M68)="","—",INDEX(LdBId,$M68)),IF($N68&lt;&gt;"",IF(INDEX(LdCBank,$N68)="","—",INDEX(LdCBank,$N68)),"")))</f>
        <v/>
      </c>
      <c r="E68" s="21">
        <f>IF($L68&lt;&gt;"",IF(INDEX(LdAAmt,$L68)=0,"",INDEX(LdAAmt,$L68)),IF($M68&lt;&gt;"",IF(INDEX(LdBAmt,$M68)=0,"",INDEX(LdBAmt,$M68)),IF($N68&lt;&gt;"",IF(INDEX(LdCDep,$N68)=0,"",INDEX(LdCDep,$N68)),"")))</f>
        <v/>
      </c>
      <c r="F68" s="21">
        <f>IF(AND($L68="",$M68="",$N68=""),"",IF($N68="","",IF(INDEX(LdCWit,$N68)=0,"",INDEX(LdCWit,$N68))))</f>
        <v/>
      </c>
      <c r="G68" s="31">
        <f>IF($B68="","",IF($G67="",0,$G67)+IF($E68="",0,$E68)-IF($F68="",0,$F68))</f>
        <v/>
      </c>
      <c r="H68" s="32">
        <f>IF(AND($L68="",$M68="",$N68=""),"",IF($L68&lt;&gt;"",IF(INDEX(LdANote,$L68)="","—",INDEX(LdANote,$L68)),IF($M68&lt;&gt;"",IF(INDEX(LdBNote,$M68)="","—",INDEX(LdBNote,$M68)),IF($N68&lt;&gt;"",IF(INDEX(LdCNote,$N68)="","—",INDEX(LdCNote,$N68)),""))))</f>
        <v/>
      </c>
      <c r="L68">
        <f>IFERROR(MATCH($C$5&amp;"|"&amp;RIGHT("000000"&amp;52,6),LdAKeyM,0),"")</f>
        <v/>
      </c>
      <c r="M68">
        <f>IFERROR(MATCH($C$5&amp;"|"&amp;RIGHT("000000"&amp;52,6),LdBKeyM,0),"")</f>
        <v/>
      </c>
      <c r="N68">
        <f>IFERROR(MATCH($C$5&amp;"|"&amp;RIGHT("000000"&amp;52,6),LdCKeyM,0),"")</f>
        <v/>
      </c>
    </row>
    <row r="69">
      <c r="A69" s="10" t="n">
        <v>53</v>
      </c>
      <c r="B69" s="14">
        <f>IF(AND($L69="",$M69="",$N69=""),"",IF($L69&lt;&gt;"",INDEX(LdADate,$L69),IF($M69&lt;&gt;"",INDEX(LdBDate,$M69),INDEX(LdCDate,$N69))))</f>
        <v/>
      </c>
      <c r="C69" s="14">
        <f>IF($L69&lt;&gt;"","دستمزد (فردی)",IF($M69&lt;&gt;"","سهم از گروه "&amp;IFERROR(VLOOKUP(INDEX(LdBGroup,$M69),WGTbl,2,0),INDEX(LdBGroup,$M69)),IF($N69&lt;&gt;"",IF(N(INDEX(LdCDep,$N69))&gt;0,"بازگشت بانکی","پرداخت بانکی"),"")))</f>
        <v/>
      </c>
      <c r="D69" s="14">
        <f>IF($L69&lt;&gt;"",IF(INDEX(LdAId,$L69)="","—",INDEX(LdAId,$L69)),IF($M69&lt;&gt;"",IF(INDEX(LdBId,$M69)="","—",INDEX(LdBId,$M69)),IF($N69&lt;&gt;"",IF(INDEX(LdCBank,$N69)="","—",INDEX(LdCBank,$N69)),"")))</f>
        <v/>
      </c>
      <c r="E69" s="16">
        <f>IF($L69&lt;&gt;"",IF(INDEX(LdAAmt,$L69)=0,"",INDEX(LdAAmt,$L69)),IF($M69&lt;&gt;"",IF(INDEX(LdBAmt,$M69)=0,"",INDEX(LdBAmt,$M69)),IF($N69&lt;&gt;"",IF(INDEX(LdCDep,$N69)=0,"",INDEX(LdCDep,$N69)),"")))</f>
        <v/>
      </c>
      <c r="F69" s="16">
        <f>IF(AND($L69="",$M69="",$N69=""),"",IF($N69="","",IF(INDEX(LdCWit,$N69)=0,"",INDEX(LdCWit,$N69))))</f>
        <v/>
      </c>
      <c r="G69" s="29">
        <f>IF($B69="","",IF($G68="",0,$G68)+IF($E69="",0,$E69)-IF($F69="",0,$F69))</f>
        <v/>
      </c>
      <c r="H69" s="30">
        <f>IF(AND($L69="",$M69="",$N69=""),"",IF($L69&lt;&gt;"",IF(INDEX(LdANote,$L69)="","—",INDEX(LdANote,$L69)),IF($M69&lt;&gt;"",IF(INDEX(LdBNote,$M69)="","—",INDEX(LdBNote,$M69)),IF($N69&lt;&gt;"",IF(INDEX(LdCNote,$N69)="","—",INDEX(LdCNote,$N69)),""))))</f>
        <v/>
      </c>
      <c r="L69">
        <f>IFERROR(MATCH($C$5&amp;"|"&amp;RIGHT("000000"&amp;53,6),LdAKeyM,0),"")</f>
        <v/>
      </c>
      <c r="M69">
        <f>IFERROR(MATCH($C$5&amp;"|"&amp;RIGHT("000000"&amp;53,6),LdBKeyM,0),"")</f>
        <v/>
      </c>
      <c r="N69">
        <f>IFERROR(MATCH($C$5&amp;"|"&amp;RIGHT("000000"&amp;53,6),LdCKeyM,0),"")</f>
        <v/>
      </c>
    </row>
    <row r="70">
      <c r="A70" s="19" t="n">
        <v>54</v>
      </c>
      <c r="B70" s="20">
        <f>IF(AND($L70="",$M70="",$N70=""),"",IF($L70&lt;&gt;"",INDEX(LdADate,$L70),IF($M70&lt;&gt;"",INDEX(LdBDate,$M70),INDEX(LdCDate,$N70))))</f>
        <v/>
      </c>
      <c r="C70" s="20">
        <f>IF($L70&lt;&gt;"","دستمزد (فردی)",IF($M70&lt;&gt;"","سهم از گروه "&amp;IFERROR(VLOOKUP(INDEX(LdBGroup,$M70),WGTbl,2,0),INDEX(LdBGroup,$M70)),IF($N70&lt;&gt;"",IF(N(INDEX(LdCDep,$N70))&gt;0,"بازگشت بانکی","پرداخت بانکی"),"")))</f>
        <v/>
      </c>
      <c r="D70" s="20">
        <f>IF($L70&lt;&gt;"",IF(INDEX(LdAId,$L70)="","—",INDEX(LdAId,$L70)),IF($M70&lt;&gt;"",IF(INDEX(LdBId,$M70)="","—",INDEX(LdBId,$M70)),IF($N70&lt;&gt;"",IF(INDEX(LdCBank,$N70)="","—",INDEX(LdCBank,$N70)),"")))</f>
        <v/>
      </c>
      <c r="E70" s="21">
        <f>IF($L70&lt;&gt;"",IF(INDEX(LdAAmt,$L70)=0,"",INDEX(LdAAmt,$L70)),IF($M70&lt;&gt;"",IF(INDEX(LdBAmt,$M70)=0,"",INDEX(LdBAmt,$M70)),IF($N70&lt;&gt;"",IF(INDEX(LdCDep,$N70)=0,"",INDEX(LdCDep,$N70)),"")))</f>
        <v/>
      </c>
      <c r="F70" s="21">
        <f>IF(AND($L70="",$M70="",$N70=""),"",IF($N70="","",IF(INDEX(LdCWit,$N70)=0,"",INDEX(LdCWit,$N70))))</f>
        <v/>
      </c>
      <c r="G70" s="31">
        <f>IF($B70="","",IF($G69="",0,$G69)+IF($E70="",0,$E70)-IF($F70="",0,$F70))</f>
        <v/>
      </c>
      <c r="H70" s="32">
        <f>IF(AND($L70="",$M70="",$N70=""),"",IF($L70&lt;&gt;"",IF(INDEX(LdANote,$L70)="","—",INDEX(LdANote,$L70)),IF($M70&lt;&gt;"",IF(INDEX(LdBNote,$M70)="","—",INDEX(LdBNote,$M70)),IF($N70&lt;&gt;"",IF(INDEX(LdCNote,$N70)="","—",INDEX(LdCNote,$N70)),""))))</f>
        <v/>
      </c>
      <c r="L70">
        <f>IFERROR(MATCH($C$5&amp;"|"&amp;RIGHT("000000"&amp;54,6),LdAKeyM,0),"")</f>
        <v/>
      </c>
      <c r="M70">
        <f>IFERROR(MATCH($C$5&amp;"|"&amp;RIGHT("000000"&amp;54,6),LdBKeyM,0),"")</f>
        <v/>
      </c>
      <c r="N70">
        <f>IFERROR(MATCH($C$5&amp;"|"&amp;RIGHT("000000"&amp;54,6),LdCKeyM,0),"")</f>
        <v/>
      </c>
    </row>
    <row r="71">
      <c r="A71" s="10" t="n">
        <v>55</v>
      </c>
      <c r="B71" s="14">
        <f>IF(AND($L71="",$M71="",$N71=""),"",IF($L71&lt;&gt;"",INDEX(LdADate,$L71),IF($M71&lt;&gt;"",INDEX(LdBDate,$M71),INDEX(LdCDate,$N71))))</f>
        <v/>
      </c>
      <c r="C71" s="14">
        <f>IF($L71&lt;&gt;"","دستمزد (فردی)",IF($M71&lt;&gt;"","سهم از گروه "&amp;IFERROR(VLOOKUP(INDEX(LdBGroup,$M71),WGTbl,2,0),INDEX(LdBGroup,$M71)),IF($N71&lt;&gt;"",IF(N(INDEX(LdCDep,$N71))&gt;0,"بازگشت بانکی","پرداخت بانکی"),"")))</f>
        <v/>
      </c>
      <c r="D71" s="14">
        <f>IF($L71&lt;&gt;"",IF(INDEX(LdAId,$L71)="","—",INDEX(LdAId,$L71)),IF($M71&lt;&gt;"",IF(INDEX(LdBId,$M71)="","—",INDEX(LdBId,$M71)),IF($N71&lt;&gt;"",IF(INDEX(LdCBank,$N71)="","—",INDEX(LdCBank,$N71)),"")))</f>
        <v/>
      </c>
      <c r="E71" s="16">
        <f>IF($L71&lt;&gt;"",IF(INDEX(LdAAmt,$L71)=0,"",INDEX(LdAAmt,$L71)),IF($M71&lt;&gt;"",IF(INDEX(LdBAmt,$M71)=0,"",INDEX(LdBAmt,$M71)),IF($N71&lt;&gt;"",IF(INDEX(LdCDep,$N71)=0,"",INDEX(LdCDep,$N71)),"")))</f>
        <v/>
      </c>
      <c r="F71" s="16">
        <f>IF(AND($L71="",$M71="",$N71=""),"",IF($N71="","",IF(INDEX(LdCWit,$N71)=0,"",INDEX(LdCWit,$N71))))</f>
        <v/>
      </c>
      <c r="G71" s="29">
        <f>IF($B71="","",IF($G70="",0,$G70)+IF($E71="",0,$E71)-IF($F71="",0,$F71))</f>
        <v/>
      </c>
      <c r="H71" s="30">
        <f>IF(AND($L71="",$M71="",$N71=""),"",IF($L71&lt;&gt;"",IF(INDEX(LdANote,$L71)="","—",INDEX(LdANote,$L71)),IF($M71&lt;&gt;"",IF(INDEX(LdBNote,$M71)="","—",INDEX(LdBNote,$M71)),IF($N71&lt;&gt;"",IF(INDEX(LdCNote,$N71)="","—",INDEX(LdCNote,$N71)),""))))</f>
        <v/>
      </c>
      <c r="L71">
        <f>IFERROR(MATCH($C$5&amp;"|"&amp;RIGHT("000000"&amp;55,6),LdAKeyM,0),"")</f>
        <v/>
      </c>
      <c r="M71">
        <f>IFERROR(MATCH($C$5&amp;"|"&amp;RIGHT("000000"&amp;55,6),LdBKeyM,0),"")</f>
        <v/>
      </c>
      <c r="N71">
        <f>IFERROR(MATCH($C$5&amp;"|"&amp;RIGHT("000000"&amp;55,6),LdCKeyM,0),"")</f>
        <v/>
      </c>
    </row>
    <row r="72">
      <c r="A72" s="19" t="n">
        <v>56</v>
      </c>
      <c r="B72" s="20">
        <f>IF(AND($L72="",$M72="",$N72=""),"",IF($L72&lt;&gt;"",INDEX(LdADate,$L72),IF($M72&lt;&gt;"",INDEX(LdBDate,$M72),INDEX(LdCDate,$N72))))</f>
        <v/>
      </c>
      <c r="C72" s="20">
        <f>IF($L72&lt;&gt;"","دستمزد (فردی)",IF($M72&lt;&gt;"","سهم از گروه "&amp;IFERROR(VLOOKUP(INDEX(LdBGroup,$M72),WGTbl,2,0),INDEX(LdBGroup,$M72)),IF($N72&lt;&gt;"",IF(N(INDEX(LdCDep,$N72))&gt;0,"بازگشت بانکی","پرداخت بانکی"),"")))</f>
        <v/>
      </c>
      <c r="D72" s="20">
        <f>IF($L72&lt;&gt;"",IF(INDEX(LdAId,$L72)="","—",INDEX(LdAId,$L72)),IF($M72&lt;&gt;"",IF(INDEX(LdBId,$M72)="","—",INDEX(LdBId,$M72)),IF($N72&lt;&gt;"",IF(INDEX(LdCBank,$N72)="","—",INDEX(LdCBank,$N72)),"")))</f>
        <v/>
      </c>
      <c r="E72" s="21">
        <f>IF($L72&lt;&gt;"",IF(INDEX(LdAAmt,$L72)=0,"",INDEX(LdAAmt,$L72)),IF($M72&lt;&gt;"",IF(INDEX(LdBAmt,$M72)=0,"",INDEX(LdBAmt,$M72)),IF($N72&lt;&gt;"",IF(INDEX(LdCDep,$N72)=0,"",INDEX(LdCDep,$N72)),"")))</f>
        <v/>
      </c>
      <c r="F72" s="21">
        <f>IF(AND($L72="",$M72="",$N72=""),"",IF($N72="","",IF(INDEX(LdCWit,$N72)=0,"",INDEX(LdCWit,$N72))))</f>
        <v/>
      </c>
      <c r="G72" s="31">
        <f>IF($B72="","",IF($G71="",0,$G71)+IF($E72="",0,$E72)-IF($F72="",0,$F72))</f>
        <v/>
      </c>
      <c r="H72" s="32">
        <f>IF(AND($L72="",$M72="",$N72=""),"",IF($L72&lt;&gt;"",IF(INDEX(LdANote,$L72)="","—",INDEX(LdANote,$L72)),IF($M72&lt;&gt;"",IF(INDEX(LdBNote,$M72)="","—",INDEX(LdBNote,$M72)),IF($N72&lt;&gt;"",IF(INDEX(LdCNote,$N72)="","—",INDEX(LdCNote,$N72)),""))))</f>
        <v/>
      </c>
      <c r="L72">
        <f>IFERROR(MATCH($C$5&amp;"|"&amp;RIGHT("000000"&amp;56,6),LdAKeyM,0),"")</f>
        <v/>
      </c>
      <c r="M72">
        <f>IFERROR(MATCH($C$5&amp;"|"&amp;RIGHT("000000"&amp;56,6),LdBKeyM,0),"")</f>
        <v/>
      </c>
      <c r="N72">
        <f>IFERROR(MATCH($C$5&amp;"|"&amp;RIGHT("000000"&amp;56,6),LdCKeyM,0),"")</f>
        <v/>
      </c>
    </row>
    <row r="73">
      <c r="A73" s="10" t="n">
        <v>57</v>
      </c>
      <c r="B73" s="14">
        <f>IF(AND($L73="",$M73="",$N73=""),"",IF($L73&lt;&gt;"",INDEX(LdADate,$L73),IF($M73&lt;&gt;"",INDEX(LdBDate,$M73),INDEX(LdCDate,$N73))))</f>
        <v/>
      </c>
      <c r="C73" s="14">
        <f>IF($L73&lt;&gt;"","دستمزد (فردی)",IF($M73&lt;&gt;"","سهم از گروه "&amp;IFERROR(VLOOKUP(INDEX(LdBGroup,$M73),WGTbl,2,0),INDEX(LdBGroup,$M73)),IF($N73&lt;&gt;"",IF(N(INDEX(LdCDep,$N73))&gt;0,"بازگشت بانکی","پرداخت بانکی"),"")))</f>
        <v/>
      </c>
      <c r="D73" s="14">
        <f>IF($L73&lt;&gt;"",IF(INDEX(LdAId,$L73)="","—",INDEX(LdAId,$L73)),IF($M73&lt;&gt;"",IF(INDEX(LdBId,$M73)="","—",INDEX(LdBId,$M73)),IF($N73&lt;&gt;"",IF(INDEX(LdCBank,$N73)="","—",INDEX(LdCBank,$N73)),"")))</f>
        <v/>
      </c>
      <c r="E73" s="16">
        <f>IF($L73&lt;&gt;"",IF(INDEX(LdAAmt,$L73)=0,"",INDEX(LdAAmt,$L73)),IF($M73&lt;&gt;"",IF(INDEX(LdBAmt,$M73)=0,"",INDEX(LdBAmt,$M73)),IF($N73&lt;&gt;"",IF(INDEX(LdCDep,$N73)=0,"",INDEX(LdCDep,$N73)),"")))</f>
        <v/>
      </c>
      <c r="F73" s="16">
        <f>IF(AND($L73="",$M73="",$N73=""),"",IF($N73="","",IF(INDEX(LdCWit,$N73)=0,"",INDEX(LdCWit,$N73))))</f>
        <v/>
      </c>
      <c r="G73" s="29">
        <f>IF($B73="","",IF($G72="",0,$G72)+IF($E73="",0,$E73)-IF($F73="",0,$F73))</f>
        <v/>
      </c>
      <c r="H73" s="30">
        <f>IF(AND($L73="",$M73="",$N73=""),"",IF($L73&lt;&gt;"",IF(INDEX(LdANote,$L73)="","—",INDEX(LdANote,$L73)),IF($M73&lt;&gt;"",IF(INDEX(LdBNote,$M73)="","—",INDEX(LdBNote,$M73)),IF($N73&lt;&gt;"",IF(INDEX(LdCNote,$N73)="","—",INDEX(LdCNote,$N73)),""))))</f>
        <v/>
      </c>
      <c r="L73">
        <f>IFERROR(MATCH($C$5&amp;"|"&amp;RIGHT("000000"&amp;57,6),LdAKeyM,0),"")</f>
        <v/>
      </c>
      <c r="M73">
        <f>IFERROR(MATCH($C$5&amp;"|"&amp;RIGHT("000000"&amp;57,6),LdBKeyM,0),"")</f>
        <v/>
      </c>
      <c r="N73">
        <f>IFERROR(MATCH($C$5&amp;"|"&amp;RIGHT("000000"&amp;57,6),LdCKeyM,0),"")</f>
        <v/>
      </c>
    </row>
    <row r="74">
      <c r="A74" s="19" t="n">
        <v>58</v>
      </c>
      <c r="B74" s="20">
        <f>IF(AND($L74="",$M74="",$N74=""),"",IF($L74&lt;&gt;"",INDEX(LdADate,$L74),IF($M74&lt;&gt;"",INDEX(LdBDate,$M74),INDEX(LdCDate,$N74))))</f>
        <v/>
      </c>
      <c r="C74" s="20">
        <f>IF($L74&lt;&gt;"","دستمزد (فردی)",IF($M74&lt;&gt;"","سهم از گروه "&amp;IFERROR(VLOOKUP(INDEX(LdBGroup,$M74),WGTbl,2,0),INDEX(LdBGroup,$M74)),IF($N74&lt;&gt;"",IF(N(INDEX(LdCDep,$N74))&gt;0,"بازگشت بانکی","پرداخت بانکی"),"")))</f>
        <v/>
      </c>
      <c r="D74" s="20">
        <f>IF($L74&lt;&gt;"",IF(INDEX(LdAId,$L74)="","—",INDEX(LdAId,$L74)),IF($M74&lt;&gt;"",IF(INDEX(LdBId,$M74)="","—",INDEX(LdBId,$M74)),IF($N74&lt;&gt;"",IF(INDEX(LdCBank,$N74)="","—",INDEX(LdCBank,$N74)),"")))</f>
        <v/>
      </c>
      <c r="E74" s="21">
        <f>IF($L74&lt;&gt;"",IF(INDEX(LdAAmt,$L74)=0,"",INDEX(LdAAmt,$L74)),IF($M74&lt;&gt;"",IF(INDEX(LdBAmt,$M74)=0,"",INDEX(LdBAmt,$M74)),IF($N74&lt;&gt;"",IF(INDEX(LdCDep,$N74)=0,"",INDEX(LdCDep,$N74)),"")))</f>
        <v/>
      </c>
      <c r="F74" s="21">
        <f>IF(AND($L74="",$M74="",$N74=""),"",IF($N74="","",IF(INDEX(LdCWit,$N74)=0,"",INDEX(LdCWit,$N74))))</f>
        <v/>
      </c>
      <c r="G74" s="31">
        <f>IF($B74="","",IF($G73="",0,$G73)+IF($E74="",0,$E74)-IF($F74="",0,$F74))</f>
        <v/>
      </c>
      <c r="H74" s="32">
        <f>IF(AND($L74="",$M74="",$N74=""),"",IF($L74&lt;&gt;"",IF(INDEX(LdANote,$L74)="","—",INDEX(LdANote,$L74)),IF($M74&lt;&gt;"",IF(INDEX(LdBNote,$M74)="","—",INDEX(LdBNote,$M74)),IF($N74&lt;&gt;"",IF(INDEX(LdCNote,$N74)="","—",INDEX(LdCNote,$N74)),""))))</f>
        <v/>
      </c>
      <c r="L74">
        <f>IFERROR(MATCH($C$5&amp;"|"&amp;RIGHT("000000"&amp;58,6),LdAKeyM,0),"")</f>
        <v/>
      </c>
      <c r="M74">
        <f>IFERROR(MATCH($C$5&amp;"|"&amp;RIGHT("000000"&amp;58,6),LdBKeyM,0),"")</f>
        <v/>
      </c>
      <c r="N74">
        <f>IFERROR(MATCH($C$5&amp;"|"&amp;RIGHT("000000"&amp;58,6),LdCKeyM,0),"")</f>
        <v/>
      </c>
    </row>
    <row r="75">
      <c r="A75" s="10" t="n">
        <v>59</v>
      </c>
      <c r="B75" s="14">
        <f>IF(AND($L75="",$M75="",$N75=""),"",IF($L75&lt;&gt;"",INDEX(LdADate,$L75),IF($M75&lt;&gt;"",INDEX(LdBDate,$M75),INDEX(LdCDate,$N75))))</f>
        <v/>
      </c>
      <c r="C75" s="14">
        <f>IF($L75&lt;&gt;"","دستمزد (فردی)",IF($M75&lt;&gt;"","سهم از گروه "&amp;IFERROR(VLOOKUP(INDEX(LdBGroup,$M75),WGTbl,2,0),INDEX(LdBGroup,$M75)),IF($N75&lt;&gt;"",IF(N(INDEX(LdCDep,$N75))&gt;0,"بازگشت بانکی","پرداخت بانکی"),"")))</f>
        <v/>
      </c>
      <c r="D75" s="14">
        <f>IF($L75&lt;&gt;"",IF(INDEX(LdAId,$L75)="","—",INDEX(LdAId,$L75)),IF($M75&lt;&gt;"",IF(INDEX(LdBId,$M75)="","—",INDEX(LdBId,$M75)),IF($N75&lt;&gt;"",IF(INDEX(LdCBank,$N75)="","—",INDEX(LdCBank,$N75)),"")))</f>
        <v/>
      </c>
      <c r="E75" s="16">
        <f>IF($L75&lt;&gt;"",IF(INDEX(LdAAmt,$L75)=0,"",INDEX(LdAAmt,$L75)),IF($M75&lt;&gt;"",IF(INDEX(LdBAmt,$M75)=0,"",INDEX(LdBAmt,$M75)),IF($N75&lt;&gt;"",IF(INDEX(LdCDep,$N75)=0,"",INDEX(LdCDep,$N75)),"")))</f>
        <v/>
      </c>
      <c r="F75" s="16">
        <f>IF(AND($L75="",$M75="",$N75=""),"",IF($N75="","",IF(INDEX(LdCWit,$N75)=0,"",INDEX(LdCWit,$N75))))</f>
        <v/>
      </c>
      <c r="G75" s="29">
        <f>IF($B75="","",IF($G74="",0,$G74)+IF($E75="",0,$E75)-IF($F75="",0,$F75))</f>
        <v/>
      </c>
      <c r="H75" s="30">
        <f>IF(AND($L75="",$M75="",$N75=""),"",IF($L75&lt;&gt;"",IF(INDEX(LdANote,$L75)="","—",INDEX(LdANote,$L75)),IF($M75&lt;&gt;"",IF(INDEX(LdBNote,$M75)="","—",INDEX(LdBNote,$M75)),IF($N75&lt;&gt;"",IF(INDEX(LdCNote,$N75)="","—",INDEX(LdCNote,$N75)),""))))</f>
        <v/>
      </c>
      <c r="L75">
        <f>IFERROR(MATCH($C$5&amp;"|"&amp;RIGHT("000000"&amp;59,6),LdAKeyM,0),"")</f>
        <v/>
      </c>
      <c r="M75">
        <f>IFERROR(MATCH($C$5&amp;"|"&amp;RIGHT("000000"&amp;59,6),LdBKeyM,0),"")</f>
        <v/>
      </c>
      <c r="N75">
        <f>IFERROR(MATCH($C$5&amp;"|"&amp;RIGHT("000000"&amp;59,6),LdCKeyM,0),"")</f>
        <v/>
      </c>
    </row>
    <row r="76">
      <c r="A76" s="19" t="n">
        <v>60</v>
      </c>
      <c r="B76" s="20">
        <f>IF(AND($L76="",$M76="",$N76=""),"",IF($L76&lt;&gt;"",INDEX(LdADate,$L76),IF($M76&lt;&gt;"",INDEX(LdBDate,$M76),INDEX(LdCDate,$N76))))</f>
        <v/>
      </c>
      <c r="C76" s="20">
        <f>IF($L76&lt;&gt;"","دستمزد (فردی)",IF($M76&lt;&gt;"","سهم از گروه "&amp;IFERROR(VLOOKUP(INDEX(LdBGroup,$M76),WGTbl,2,0),INDEX(LdBGroup,$M76)),IF($N76&lt;&gt;"",IF(N(INDEX(LdCDep,$N76))&gt;0,"بازگشت بانکی","پرداخت بانکی"),"")))</f>
        <v/>
      </c>
      <c r="D76" s="20">
        <f>IF($L76&lt;&gt;"",IF(INDEX(LdAId,$L76)="","—",INDEX(LdAId,$L76)),IF($M76&lt;&gt;"",IF(INDEX(LdBId,$M76)="","—",INDEX(LdBId,$M76)),IF($N76&lt;&gt;"",IF(INDEX(LdCBank,$N76)="","—",INDEX(LdCBank,$N76)),"")))</f>
        <v/>
      </c>
      <c r="E76" s="21">
        <f>IF($L76&lt;&gt;"",IF(INDEX(LdAAmt,$L76)=0,"",INDEX(LdAAmt,$L76)),IF($M76&lt;&gt;"",IF(INDEX(LdBAmt,$M76)=0,"",INDEX(LdBAmt,$M76)),IF($N76&lt;&gt;"",IF(INDEX(LdCDep,$N76)=0,"",INDEX(LdCDep,$N76)),"")))</f>
        <v/>
      </c>
      <c r="F76" s="21">
        <f>IF(AND($L76="",$M76="",$N76=""),"",IF($N76="","",IF(INDEX(LdCWit,$N76)=0,"",INDEX(LdCWit,$N76))))</f>
        <v/>
      </c>
      <c r="G76" s="31">
        <f>IF($B76="","",IF($G75="",0,$G75)+IF($E76="",0,$E76)-IF($F76="",0,$F76))</f>
        <v/>
      </c>
      <c r="H76" s="32">
        <f>IF(AND($L76="",$M76="",$N76=""),"",IF($L76&lt;&gt;"",IF(INDEX(LdANote,$L76)="","—",INDEX(LdANote,$L76)),IF($M76&lt;&gt;"",IF(INDEX(LdBNote,$M76)="","—",INDEX(LdBNote,$M76)),IF($N76&lt;&gt;"",IF(INDEX(LdCNote,$N76)="","—",INDEX(LdCNote,$N76)),""))))</f>
        <v/>
      </c>
      <c r="L76">
        <f>IFERROR(MATCH($C$5&amp;"|"&amp;RIGHT("000000"&amp;60,6),LdAKeyM,0),"")</f>
        <v/>
      </c>
      <c r="M76">
        <f>IFERROR(MATCH($C$5&amp;"|"&amp;RIGHT("000000"&amp;60,6),LdBKeyM,0),"")</f>
        <v/>
      </c>
      <c r="N76">
        <f>IFERROR(MATCH($C$5&amp;"|"&amp;RIGHT("000000"&amp;60,6),LdCKeyM,0),"")</f>
        <v/>
      </c>
    </row>
    <row r="77">
      <c r="A77" s="10" t="n">
        <v>61</v>
      </c>
      <c r="B77" s="14">
        <f>IF(AND($L77="",$M77="",$N77=""),"",IF($L77&lt;&gt;"",INDEX(LdADate,$L77),IF($M77&lt;&gt;"",INDEX(LdBDate,$M77),INDEX(LdCDate,$N77))))</f>
        <v/>
      </c>
      <c r="C77" s="14">
        <f>IF($L77&lt;&gt;"","دستمزد (فردی)",IF($M77&lt;&gt;"","سهم از گروه "&amp;IFERROR(VLOOKUP(INDEX(LdBGroup,$M77),WGTbl,2,0),INDEX(LdBGroup,$M77)),IF($N77&lt;&gt;"",IF(N(INDEX(LdCDep,$N77))&gt;0,"بازگشت بانکی","پرداخت بانکی"),"")))</f>
        <v/>
      </c>
      <c r="D77" s="14">
        <f>IF($L77&lt;&gt;"",IF(INDEX(LdAId,$L77)="","—",INDEX(LdAId,$L77)),IF($M77&lt;&gt;"",IF(INDEX(LdBId,$M77)="","—",INDEX(LdBId,$M77)),IF($N77&lt;&gt;"",IF(INDEX(LdCBank,$N77)="","—",INDEX(LdCBank,$N77)),"")))</f>
        <v/>
      </c>
      <c r="E77" s="16">
        <f>IF($L77&lt;&gt;"",IF(INDEX(LdAAmt,$L77)=0,"",INDEX(LdAAmt,$L77)),IF($M77&lt;&gt;"",IF(INDEX(LdBAmt,$M77)=0,"",INDEX(LdBAmt,$M77)),IF($N77&lt;&gt;"",IF(INDEX(LdCDep,$N77)=0,"",INDEX(LdCDep,$N77)),"")))</f>
        <v/>
      </c>
      <c r="F77" s="16">
        <f>IF(AND($L77="",$M77="",$N77=""),"",IF($N77="","",IF(INDEX(LdCWit,$N77)=0,"",INDEX(LdCWit,$N77))))</f>
        <v/>
      </c>
      <c r="G77" s="29">
        <f>IF($B77="","",IF($G76="",0,$G76)+IF($E77="",0,$E77)-IF($F77="",0,$F77))</f>
        <v/>
      </c>
      <c r="H77" s="30">
        <f>IF(AND($L77="",$M77="",$N77=""),"",IF($L77&lt;&gt;"",IF(INDEX(LdANote,$L77)="","—",INDEX(LdANote,$L77)),IF($M77&lt;&gt;"",IF(INDEX(LdBNote,$M77)="","—",INDEX(LdBNote,$M77)),IF($N77&lt;&gt;"",IF(INDEX(LdCNote,$N77)="","—",INDEX(LdCNote,$N77)),""))))</f>
        <v/>
      </c>
      <c r="L77">
        <f>IFERROR(MATCH($C$5&amp;"|"&amp;RIGHT("000000"&amp;61,6),LdAKeyM,0),"")</f>
        <v/>
      </c>
      <c r="M77">
        <f>IFERROR(MATCH($C$5&amp;"|"&amp;RIGHT("000000"&amp;61,6),LdBKeyM,0),"")</f>
        <v/>
      </c>
      <c r="N77">
        <f>IFERROR(MATCH($C$5&amp;"|"&amp;RIGHT("000000"&amp;61,6),LdCKeyM,0),"")</f>
        <v/>
      </c>
    </row>
    <row r="78">
      <c r="A78" s="19" t="n">
        <v>62</v>
      </c>
      <c r="B78" s="20">
        <f>IF(AND($L78="",$M78="",$N78=""),"",IF($L78&lt;&gt;"",INDEX(LdADate,$L78),IF($M78&lt;&gt;"",INDEX(LdBDate,$M78),INDEX(LdCDate,$N78))))</f>
        <v/>
      </c>
      <c r="C78" s="20">
        <f>IF($L78&lt;&gt;"","دستمزد (فردی)",IF($M78&lt;&gt;"","سهم از گروه "&amp;IFERROR(VLOOKUP(INDEX(LdBGroup,$M78),WGTbl,2,0),INDEX(LdBGroup,$M78)),IF($N78&lt;&gt;"",IF(N(INDEX(LdCDep,$N78))&gt;0,"بازگشت بانکی","پرداخت بانکی"),"")))</f>
        <v/>
      </c>
      <c r="D78" s="20">
        <f>IF($L78&lt;&gt;"",IF(INDEX(LdAId,$L78)="","—",INDEX(LdAId,$L78)),IF($M78&lt;&gt;"",IF(INDEX(LdBId,$M78)="","—",INDEX(LdBId,$M78)),IF($N78&lt;&gt;"",IF(INDEX(LdCBank,$N78)="","—",INDEX(LdCBank,$N78)),"")))</f>
        <v/>
      </c>
      <c r="E78" s="21">
        <f>IF($L78&lt;&gt;"",IF(INDEX(LdAAmt,$L78)=0,"",INDEX(LdAAmt,$L78)),IF($M78&lt;&gt;"",IF(INDEX(LdBAmt,$M78)=0,"",INDEX(LdBAmt,$M78)),IF($N78&lt;&gt;"",IF(INDEX(LdCDep,$N78)=0,"",INDEX(LdCDep,$N78)),"")))</f>
        <v/>
      </c>
      <c r="F78" s="21">
        <f>IF(AND($L78="",$M78="",$N78=""),"",IF($N78="","",IF(INDEX(LdCWit,$N78)=0,"",INDEX(LdCWit,$N78))))</f>
        <v/>
      </c>
      <c r="G78" s="31">
        <f>IF($B78="","",IF($G77="",0,$G77)+IF($E78="",0,$E78)-IF($F78="",0,$F78))</f>
        <v/>
      </c>
      <c r="H78" s="32">
        <f>IF(AND($L78="",$M78="",$N78=""),"",IF($L78&lt;&gt;"",IF(INDEX(LdANote,$L78)="","—",INDEX(LdANote,$L78)),IF($M78&lt;&gt;"",IF(INDEX(LdBNote,$M78)="","—",INDEX(LdBNote,$M78)),IF($N78&lt;&gt;"",IF(INDEX(LdCNote,$N78)="","—",INDEX(LdCNote,$N78)),""))))</f>
        <v/>
      </c>
      <c r="L78">
        <f>IFERROR(MATCH($C$5&amp;"|"&amp;RIGHT("000000"&amp;62,6),LdAKeyM,0),"")</f>
        <v/>
      </c>
      <c r="M78">
        <f>IFERROR(MATCH($C$5&amp;"|"&amp;RIGHT("000000"&amp;62,6),LdBKeyM,0),"")</f>
        <v/>
      </c>
      <c r="N78">
        <f>IFERROR(MATCH($C$5&amp;"|"&amp;RIGHT("000000"&amp;62,6),LdCKeyM,0),"")</f>
        <v/>
      </c>
    </row>
    <row r="79">
      <c r="A79" s="10" t="n">
        <v>63</v>
      </c>
      <c r="B79" s="14">
        <f>IF(AND($L79="",$M79="",$N79=""),"",IF($L79&lt;&gt;"",INDEX(LdADate,$L79),IF($M79&lt;&gt;"",INDEX(LdBDate,$M79),INDEX(LdCDate,$N79))))</f>
        <v/>
      </c>
      <c r="C79" s="14">
        <f>IF($L79&lt;&gt;"","دستمزد (فردی)",IF($M79&lt;&gt;"","سهم از گروه "&amp;IFERROR(VLOOKUP(INDEX(LdBGroup,$M79),WGTbl,2,0),INDEX(LdBGroup,$M79)),IF($N79&lt;&gt;"",IF(N(INDEX(LdCDep,$N79))&gt;0,"بازگشت بانکی","پرداخت بانکی"),"")))</f>
        <v/>
      </c>
      <c r="D79" s="14">
        <f>IF($L79&lt;&gt;"",IF(INDEX(LdAId,$L79)="","—",INDEX(LdAId,$L79)),IF($M79&lt;&gt;"",IF(INDEX(LdBId,$M79)="","—",INDEX(LdBId,$M79)),IF($N79&lt;&gt;"",IF(INDEX(LdCBank,$N79)="","—",INDEX(LdCBank,$N79)),"")))</f>
        <v/>
      </c>
      <c r="E79" s="16">
        <f>IF($L79&lt;&gt;"",IF(INDEX(LdAAmt,$L79)=0,"",INDEX(LdAAmt,$L79)),IF($M79&lt;&gt;"",IF(INDEX(LdBAmt,$M79)=0,"",INDEX(LdBAmt,$M79)),IF($N79&lt;&gt;"",IF(INDEX(LdCDep,$N79)=0,"",INDEX(LdCDep,$N79)),"")))</f>
        <v/>
      </c>
      <c r="F79" s="16">
        <f>IF(AND($L79="",$M79="",$N79=""),"",IF($N79="","",IF(INDEX(LdCWit,$N79)=0,"",INDEX(LdCWit,$N79))))</f>
        <v/>
      </c>
      <c r="G79" s="29">
        <f>IF($B79="","",IF($G78="",0,$G78)+IF($E79="",0,$E79)-IF($F79="",0,$F79))</f>
        <v/>
      </c>
      <c r="H79" s="30">
        <f>IF(AND($L79="",$M79="",$N79=""),"",IF($L79&lt;&gt;"",IF(INDEX(LdANote,$L79)="","—",INDEX(LdANote,$L79)),IF($M79&lt;&gt;"",IF(INDEX(LdBNote,$M79)="","—",INDEX(LdBNote,$M79)),IF($N79&lt;&gt;"",IF(INDEX(LdCNote,$N79)="","—",INDEX(LdCNote,$N79)),""))))</f>
        <v/>
      </c>
      <c r="L79">
        <f>IFERROR(MATCH($C$5&amp;"|"&amp;RIGHT("000000"&amp;63,6),LdAKeyM,0),"")</f>
        <v/>
      </c>
      <c r="M79">
        <f>IFERROR(MATCH($C$5&amp;"|"&amp;RIGHT("000000"&amp;63,6),LdBKeyM,0),"")</f>
        <v/>
      </c>
      <c r="N79">
        <f>IFERROR(MATCH($C$5&amp;"|"&amp;RIGHT("000000"&amp;63,6),LdCKeyM,0),"")</f>
        <v/>
      </c>
    </row>
    <row r="80">
      <c r="A80" s="19" t="n">
        <v>64</v>
      </c>
      <c r="B80" s="20">
        <f>IF(AND($L80="",$M80="",$N80=""),"",IF($L80&lt;&gt;"",INDEX(LdADate,$L80),IF($M80&lt;&gt;"",INDEX(LdBDate,$M80),INDEX(LdCDate,$N80))))</f>
        <v/>
      </c>
      <c r="C80" s="20">
        <f>IF($L80&lt;&gt;"","دستمزد (فردی)",IF($M80&lt;&gt;"","سهم از گروه "&amp;IFERROR(VLOOKUP(INDEX(LdBGroup,$M80),WGTbl,2,0),INDEX(LdBGroup,$M80)),IF($N80&lt;&gt;"",IF(N(INDEX(LdCDep,$N80))&gt;0,"بازگشت بانکی","پرداخت بانکی"),"")))</f>
        <v/>
      </c>
      <c r="D80" s="20">
        <f>IF($L80&lt;&gt;"",IF(INDEX(LdAId,$L80)="","—",INDEX(LdAId,$L80)),IF($M80&lt;&gt;"",IF(INDEX(LdBId,$M80)="","—",INDEX(LdBId,$M80)),IF($N80&lt;&gt;"",IF(INDEX(LdCBank,$N80)="","—",INDEX(LdCBank,$N80)),"")))</f>
        <v/>
      </c>
      <c r="E80" s="21">
        <f>IF($L80&lt;&gt;"",IF(INDEX(LdAAmt,$L80)=0,"",INDEX(LdAAmt,$L80)),IF($M80&lt;&gt;"",IF(INDEX(LdBAmt,$M80)=0,"",INDEX(LdBAmt,$M80)),IF($N80&lt;&gt;"",IF(INDEX(LdCDep,$N80)=0,"",INDEX(LdCDep,$N80)),"")))</f>
        <v/>
      </c>
      <c r="F80" s="21">
        <f>IF(AND($L80="",$M80="",$N80=""),"",IF($N80="","",IF(INDEX(LdCWit,$N80)=0,"",INDEX(LdCWit,$N80))))</f>
        <v/>
      </c>
      <c r="G80" s="31">
        <f>IF($B80="","",IF($G79="",0,$G79)+IF($E80="",0,$E80)-IF($F80="",0,$F80))</f>
        <v/>
      </c>
      <c r="H80" s="32">
        <f>IF(AND($L80="",$M80="",$N80=""),"",IF($L80&lt;&gt;"",IF(INDEX(LdANote,$L80)="","—",INDEX(LdANote,$L80)),IF($M80&lt;&gt;"",IF(INDEX(LdBNote,$M80)="","—",INDEX(LdBNote,$M80)),IF($N80&lt;&gt;"",IF(INDEX(LdCNote,$N80)="","—",INDEX(LdCNote,$N80)),""))))</f>
        <v/>
      </c>
      <c r="L80">
        <f>IFERROR(MATCH($C$5&amp;"|"&amp;RIGHT("000000"&amp;64,6),LdAKeyM,0),"")</f>
        <v/>
      </c>
      <c r="M80">
        <f>IFERROR(MATCH($C$5&amp;"|"&amp;RIGHT("000000"&amp;64,6),LdBKeyM,0),"")</f>
        <v/>
      </c>
      <c r="N80">
        <f>IFERROR(MATCH($C$5&amp;"|"&amp;RIGHT("000000"&amp;64,6),LdCKeyM,0),"")</f>
        <v/>
      </c>
    </row>
    <row r="81">
      <c r="A81" s="10" t="n">
        <v>65</v>
      </c>
      <c r="B81" s="14">
        <f>IF(AND($L81="",$M81="",$N81=""),"",IF($L81&lt;&gt;"",INDEX(LdADate,$L81),IF($M81&lt;&gt;"",INDEX(LdBDate,$M81),INDEX(LdCDate,$N81))))</f>
        <v/>
      </c>
      <c r="C81" s="14">
        <f>IF($L81&lt;&gt;"","دستمزد (فردی)",IF($M81&lt;&gt;"","سهم از گروه "&amp;IFERROR(VLOOKUP(INDEX(LdBGroup,$M81),WGTbl,2,0),INDEX(LdBGroup,$M81)),IF($N81&lt;&gt;"",IF(N(INDEX(LdCDep,$N81))&gt;0,"بازگشت بانکی","پرداخت بانکی"),"")))</f>
        <v/>
      </c>
      <c r="D81" s="14">
        <f>IF($L81&lt;&gt;"",IF(INDEX(LdAId,$L81)="","—",INDEX(LdAId,$L81)),IF($M81&lt;&gt;"",IF(INDEX(LdBId,$M81)="","—",INDEX(LdBId,$M81)),IF($N81&lt;&gt;"",IF(INDEX(LdCBank,$N81)="","—",INDEX(LdCBank,$N81)),"")))</f>
        <v/>
      </c>
      <c r="E81" s="16">
        <f>IF($L81&lt;&gt;"",IF(INDEX(LdAAmt,$L81)=0,"",INDEX(LdAAmt,$L81)),IF($M81&lt;&gt;"",IF(INDEX(LdBAmt,$M81)=0,"",INDEX(LdBAmt,$M81)),IF($N81&lt;&gt;"",IF(INDEX(LdCDep,$N81)=0,"",INDEX(LdCDep,$N81)),"")))</f>
        <v/>
      </c>
      <c r="F81" s="16">
        <f>IF(AND($L81="",$M81="",$N81=""),"",IF($N81="","",IF(INDEX(LdCWit,$N81)=0,"",INDEX(LdCWit,$N81))))</f>
        <v/>
      </c>
      <c r="G81" s="29">
        <f>IF($B81="","",IF($G80="",0,$G80)+IF($E81="",0,$E81)-IF($F81="",0,$F81))</f>
        <v/>
      </c>
      <c r="H81" s="30">
        <f>IF(AND($L81="",$M81="",$N81=""),"",IF($L81&lt;&gt;"",IF(INDEX(LdANote,$L81)="","—",INDEX(LdANote,$L81)),IF($M81&lt;&gt;"",IF(INDEX(LdBNote,$M81)="","—",INDEX(LdBNote,$M81)),IF($N81&lt;&gt;"",IF(INDEX(LdCNote,$N81)="","—",INDEX(LdCNote,$N81)),""))))</f>
        <v/>
      </c>
      <c r="L81">
        <f>IFERROR(MATCH($C$5&amp;"|"&amp;RIGHT("000000"&amp;65,6),LdAKeyM,0),"")</f>
        <v/>
      </c>
      <c r="M81">
        <f>IFERROR(MATCH($C$5&amp;"|"&amp;RIGHT("000000"&amp;65,6),LdBKeyM,0),"")</f>
        <v/>
      </c>
      <c r="N81">
        <f>IFERROR(MATCH($C$5&amp;"|"&amp;RIGHT("000000"&amp;65,6),LdCKeyM,0),"")</f>
        <v/>
      </c>
    </row>
    <row r="82">
      <c r="A82" s="19" t="n">
        <v>66</v>
      </c>
      <c r="B82" s="20">
        <f>IF(AND($L82="",$M82="",$N82=""),"",IF($L82&lt;&gt;"",INDEX(LdADate,$L82),IF($M82&lt;&gt;"",INDEX(LdBDate,$M82),INDEX(LdCDate,$N82))))</f>
        <v/>
      </c>
      <c r="C82" s="20">
        <f>IF($L82&lt;&gt;"","دستمزد (فردی)",IF($M82&lt;&gt;"","سهم از گروه "&amp;IFERROR(VLOOKUP(INDEX(LdBGroup,$M82),WGTbl,2,0),INDEX(LdBGroup,$M82)),IF($N82&lt;&gt;"",IF(N(INDEX(LdCDep,$N82))&gt;0,"بازگشت بانکی","پرداخت بانکی"),"")))</f>
        <v/>
      </c>
      <c r="D82" s="20">
        <f>IF($L82&lt;&gt;"",IF(INDEX(LdAId,$L82)="","—",INDEX(LdAId,$L82)),IF($M82&lt;&gt;"",IF(INDEX(LdBId,$M82)="","—",INDEX(LdBId,$M82)),IF($N82&lt;&gt;"",IF(INDEX(LdCBank,$N82)="","—",INDEX(LdCBank,$N82)),"")))</f>
        <v/>
      </c>
      <c r="E82" s="21">
        <f>IF($L82&lt;&gt;"",IF(INDEX(LdAAmt,$L82)=0,"",INDEX(LdAAmt,$L82)),IF($M82&lt;&gt;"",IF(INDEX(LdBAmt,$M82)=0,"",INDEX(LdBAmt,$M82)),IF($N82&lt;&gt;"",IF(INDEX(LdCDep,$N82)=0,"",INDEX(LdCDep,$N82)),"")))</f>
        <v/>
      </c>
      <c r="F82" s="21">
        <f>IF(AND($L82="",$M82="",$N82=""),"",IF($N82="","",IF(INDEX(LdCWit,$N82)=0,"",INDEX(LdCWit,$N82))))</f>
        <v/>
      </c>
      <c r="G82" s="31">
        <f>IF($B82="","",IF($G81="",0,$G81)+IF($E82="",0,$E82)-IF($F82="",0,$F82))</f>
        <v/>
      </c>
      <c r="H82" s="32">
        <f>IF(AND($L82="",$M82="",$N82=""),"",IF($L82&lt;&gt;"",IF(INDEX(LdANote,$L82)="","—",INDEX(LdANote,$L82)),IF($M82&lt;&gt;"",IF(INDEX(LdBNote,$M82)="","—",INDEX(LdBNote,$M82)),IF($N82&lt;&gt;"",IF(INDEX(LdCNote,$N82)="","—",INDEX(LdCNote,$N82)),""))))</f>
        <v/>
      </c>
      <c r="L82">
        <f>IFERROR(MATCH($C$5&amp;"|"&amp;RIGHT("000000"&amp;66,6),LdAKeyM,0),"")</f>
        <v/>
      </c>
      <c r="M82">
        <f>IFERROR(MATCH($C$5&amp;"|"&amp;RIGHT("000000"&amp;66,6),LdBKeyM,0),"")</f>
        <v/>
      </c>
      <c r="N82">
        <f>IFERROR(MATCH($C$5&amp;"|"&amp;RIGHT("000000"&amp;66,6),LdCKeyM,0),"")</f>
        <v/>
      </c>
    </row>
    <row r="83">
      <c r="A83" s="10" t="n">
        <v>67</v>
      </c>
      <c r="B83" s="14">
        <f>IF(AND($L83="",$M83="",$N83=""),"",IF($L83&lt;&gt;"",INDEX(LdADate,$L83),IF($M83&lt;&gt;"",INDEX(LdBDate,$M83),INDEX(LdCDate,$N83))))</f>
        <v/>
      </c>
      <c r="C83" s="14">
        <f>IF($L83&lt;&gt;"","دستمزد (فردی)",IF($M83&lt;&gt;"","سهم از گروه "&amp;IFERROR(VLOOKUP(INDEX(LdBGroup,$M83),WGTbl,2,0),INDEX(LdBGroup,$M83)),IF($N83&lt;&gt;"",IF(N(INDEX(LdCDep,$N83))&gt;0,"بازگشت بانکی","پرداخت بانکی"),"")))</f>
        <v/>
      </c>
      <c r="D83" s="14">
        <f>IF($L83&lt;&gt;"",IF(INDEX(LdAId,$L83)="","—",INDEX(LdAId,$L83)),IF($M83&lt;&gt;"",IF(INDEX(LdBId,$M83)="","—",INDEX(LdBId,$M83)),IF($N83&lt;&gt;"",IF(INDEX(LdCBank,$N83)="","—",INDEX(LdCBank,$N83)),"")))</f>
        <v/>
      </c>
      <c r="E83" s="16">
        <f>IF($L83&lt;&gt;"",IF(INDEX(LdAAmt,$L83)=0,"",INDEX(LdAAmt,$L83)),IF($M83&lt;&gt;"",IF(INDEX(LdBAmt,$M83)=0,"",INDEX(LdBAmt,$M83)),IF($N83&lt;&gt;"",IF(INDEX(LdCDep,$N83)=0,"",INDEX(LdCDep,$N83)),"")))</f>
        <v/>
      </c>
      <c r="F83" s="16">
        <f>IF(AND($L83="",$M83="",$N83=""),"",IF($N83="","",IF(INDEX(LdCWit,$N83)=0,"",INDEX(LdCWit,$N83))))</f>
        <v/>
      </c>
      <c r="G83" s="29">
        <f>IF($B83="","",IF($G82="",0,$G82)+IF($E83="",0,$E83)-IF($F83="",0,$F83))</f>
        <v/>
      </c>
      <c r="H83" s="30">
        <f>IF(AND($L83="",$M83="",$N83=""),"",IF($L83&lt;&gt;"",IF(INDEX(LdANote,$L83)="","—",INDEX(LdANote,$L83)),IF($M83&lt;&gt;"",IF(INDEX(LdBNote,$M83)="","—",INDEX(LdBNote,$M83)),IF($N83&lt;&gt;"",IF(INDEX(LdCNote,$N83)="","—",INDEX(LdCNote,$N83)),""))))</f>
        <v/>
      </c>
      <c r="L83">
        <f>IFERROR(MATCH($C$5&amp;"|"&amp;RIGHT("000000"&amp;67,6),LdAKeyM,0),"")</f>
        <v/>
      </c>
      <c r="M83">
        <f>IFERROR(MATCH($C$5&amp;"|"&amp;RIGHT("000000"&amp;67,6),LdBKeyM,0),"")</f>
        <v/>
      </c>
      <c r="N83">
        <f>IFERROR(MATCH($C$5&amp;"|"&amp;RIGHT("000000"&amp;67,6),LdCKeyM,0),"")</f>
        <v/>
      </c>
    </row>
    <row r="84">
      <c r="A84" s="19" t="n">
        <v>68</v>
      </c>
      <c r="B84" s="20">
        <f>IF(AND($L84="",$M84="",$N84=""),"",IF($L84&lt;&gt;"",INDEX(LdADate,$L84),IF($M84&lt;&gt;"",INDEX(LdBDate,$M84),INDEX(LdCDate,$N84))))</f>
        <v/>
      </c>
      <c r="C84" s="20">
        <f>IF($L84&lt;&gt;"","دستمزد (فردی)",IF($M84&lt;&gt;"","سهم از گروه "&amp;IFERROR(VLOOKUP(INDEX(LdBGroup,$M84),WGTbl,2,0),INDEX(LdBGroup,$M84)),IF($N84&lt;&gt;"",IF(N(INDEX(LdCDep,$N84))&gt;0,"بازگشت بانکی","پرداخت بانکی"),"")))</f>
        <v/>
      </c>
      <c r="D84" s="20">
        <f>IF($L84&lt;&gt;"",IF(INDEX(LdAId,$L84)="","—",INDEX(LdAId,$L84)),IF($M84&lt;&gt;"",IF(INDEX(LdBId,$M84)="","—",INDEX(LdBId,$M84)),IF($N84&lt;&gt;"",IF(INDEX(LdCBank,$N84)="","—",INDEX(LdCBank,$N84)),"")))</f>
        <v/>
      </c>
      <c r="E84" s="21">
        <f>IF($L84&lt;&gt;"",IF(INDEX(LdAAmt,$L84)=0,"",INDEX(LdAAmt,$L84)),IF($M84&lt;&gt;"",IF(INDEX(LdBAmt,$M84)=0,"",INDEX(LdBAmt,$M84)),IF($N84&lt;&gt;"",IF(INDEX(LdCDep,$N84)=0,"",INDEX(LdCDep,$N84)),"")))</f>
        <v/>
      </c>
      <c r="F84" s="21">
        <f>IF(AND($L84="",$M84="",$N84=""),"",IF($N84="","",IF(INDEX(LdCWit,$N84)=0,"",INDEX(LdCWit,$N84))))</f>
        <v/>
      </c>
      <c r="G84" s="31">
        <f>IF($B84="","",IF($G83="",0,$G83)+IF($E84="",0,$E84)-IF($F84="",0,$F84))</f>
        <v/>
      </c>
      <c r="H84" s="32">
        <f>IF(AND($L84="",$M84="",$N84=""),"",IF($L84&lt;&gt;"",IF(INDEX(LdANote,$L84)="","—",INDEX(LdANote,$L84)),IF($M84&lt;&gt;"",IF(INDEX(LdBNote,$M84)="","—",INDEX(LdBNote,$M84)),IF($N84&lt;&gt;"",IF(INDEX(LdCNote,$N84)="","—",INDEX(LdCNote,$N84)),""))))</f>
        <v/>
      </c>
      <c r="L84">
        <f>IFERROR(MATCH($C$5&amp;"|"&amp;RIGHT("000000"&amp;68,6),LdAKeyM,0),"")</f>
        <v/>
      </c>
      <c r="M84">
        <f>IFERROR(MATCH($C$5&amp;"|"&amp;RIGHT("000000"&amp;68,6),LdBKeyM,0),"")</f>
        <v/>
      </c>
      <c r="N84">
        <f>IFERROR(MATCH($C$5&amp;"|"&amp;RIGHT("000000"&amp;68,6),LdCKeyM,0),"")</f>
        <v/>
      </c>
    </row>
    <row r="85">
      <c r="A85" s="10" t="n">
        <v>69</v>
      </c>
      <c r="B85" s="14">
        <f>IF(AND($L85="",$M85="",$N85=""),"",IF($L85&lt;&gt;"",INDEX(LdADate,$L85),IF($M85&lt;&gt;"",INDEX(LdBDate,$M85),INDEX(LdCDate,$N85))))</f>
        <v/>
      </c>
      <c r="C85" s="14">
        <f>IF($L85&lt;&gt;"","دستمزد (فردی)",IF($M85&lt;&gt;"","سهم از گروه "&amp;IFERROR(VLOOKUP(INDEX(LdBGroup,$M85),WGTbl,2,0),INDEX(LdBGroup,$M85)),IF($N85&lt;&gt;"",IF(N(INDEX(LdCDep,$N85))&gt;0,"بازگشت بانکی","پرداخت بانکی"),"")))</f>
        <v/>
      </c>
      <c r="D85" s="14">
        <f>IF($L85&lt;&gt;"",IF(INDEX(LdAId,$L85)="","—",INDEX(LdAId,$L85)),IF($M85&lt;&gt;"",IF(INDEX(LdBId,$M85)="","—",INDEX(LdBId,$M85)),IF($N85&lt;&gt;"",IF(INDEX(LdCBank,$N85)="","—",INDEX(LdCBank,$N85)),"")))</f>
        <v/>
      </c>
      <c r="E85" s="16">
        <f>IF($L85&lt;&gt;"",IF(INDEX(LdAAmt,$L85)=0,"",INDEX(LdAAmt,$L85)),IF($M85&lt;&gt;"",IF(INDEX(LdBAmt,$M85)=0,"",INDEX(LdBAmt,$M85)),IF($N85&lt;&gt;"",IF(INDEX(LdCDep,$N85)=0,"",INDEX(LdCDep,$N85)),"")))</f>
        <v/>
      </c>
      <c r="F85" s="16">
        <f>IF(AND($L85="",$M85="",$N85=""),"",IF($N85="","",IF(INDEX(LdCWit,$N85)=0,"",INDEX(LdCWit,$N85))))</f>
        <v/>
      </c>
      <c r="G85" s="29">
        <f>IF($B85="","",IF($G84="",0,$G84)+IF($E85="",0,$E85)-IF($F85="",0,$F85))</f>
        <v/>
      </c>
      <c r="H85" s="30">
        <f>IF(AND($L85="",$M85="",$N85=""),"",IF($L85&lt;&gt;"",IF(INDEX(LdANote,$L85)="","—",INDEX(LdANote,$L85)),IF($M85&lt;&gt;"",IF(INDEX(LdBNote,$M85)="","—",INDEX(LdBNote,$M85)),IF($N85&lt;&gt;"",IF(INDEX(LdCNote,$N85)="","—",INDEX(LdCNote,$N85)),""))))</f>
        <v/>
      </c>
      <c r="L85">
        <f>IFERROR(MATCH($C$5&amp;"|"&amp;RIGHT("000000"&amp;69,6),LdAKeyM,0),"")</f>
        <v/>
      </c>
      <c r="M85">
        <f>IFERROR(MATCH($C$5&amp;"|"&amp;RIGHT("000000"&amp;69,6),LdBKeyM,0),"")</f>
        <v/>
      </c>
      <c r="N85">
        <f>IFERROR(MATCH($C$5&amp;"|"&amp;RIGHT("000000"&amp;69,6),LdCKeyM,0),"")</f>
        <v/>
      </c>
    </row>
    <row r="86">
      <c r="A86" s="19" t="n">
        <v>70</v>
      </c>
      <c r="B86" s="20">
        <f>IF(AND($L86="",$M86="",$N86=""),"",IF($L86&lt;&gt;"",INDEX(LdADate,$L86),IF($M86&lt;&gt;"",INDEX(LdBDate,$M86),INDEX(LdCDate,$N86))))</f>
        <v/>
      </c>
      <c r="C86" s="20">
        <f>IF($L86&lt;&gt;"","دستمزد (فردی)",IF($M86&lt;&gt;"","سهم از گروه "&amp;IFERROR(VLOOKUP(INDEX(LdBGroup,$M86),WGTbl,2,0),INDEX(LdBGroup,$M86)),IF($N86&lt;&gt;"",IF(N(INDEX(LdCDep,$N86))&gt;0,"بازگشت بانکی","پرداخت بانکی"),"")))</f>
        <v/>
      </c>
      <c r="D86" s="20">
        <f>IF($L86&lt;&gt;"",IF(INDEX(LdAId,$L86)="","—",INDEX(LdAId,$L86)),IF($M86&lt;&gt;"",IF(INDEX(LdBId,$M86)="","—",INDEX(LdBId,$M86)),IF($N86&lt;&gt;"",IF(INDEX(LdCBank,$N86)="","—",INDEX(LdCBank,$N86)),"")))</f>
        <v/>
      </c>
      <c r="E86" s="21">
        <f>IF($L86&lt;&gt;"",IF(INDEX(LdAAmt,$L86)=0,"",INDEX(LdAAmt,$L86)),IF($M86&lt;&gt;"",IF(INDEX(LdBAmt,$M86)=0,"",INDEX(LdBAmt,$M86)),IF($N86&lt;&gt;"",IF(INDEX(LdCDep,$N86)=0,"",INDEX(LdCDep,$N86)),"")))</f>
        <v/>
      </c>
      <c r="F86" s="21">
        <f>IF(AND($L86="",$M86="",$N86=""),"",IF($N86="","",IF(INDEX(LdCWit,$N86)=0,"",INDEX(LdCWit,$N86))))</f>
        <v/>
      </c>
      <c r="G86" s="31">
        <f>IF($B86="","",IF($G85="",0,$G85)+IF($E86="",0,$E86)-IF($F86="",0,$F86))</f>
        <v/>
      </c>
      <c r="H86" s="32">
        <f>IF(AND($L86="",$M86="",$N86=""),"",IF($L86&lt;&gt;"",IF(INDEX(LdANote,$L86)="","—",INDEX(LdANote,$L86)),IF($M86&lt;&gt;"",IF(INDEX(LdBNote,$M86)="","—",INDEX(LdBNote,$M86)),IF($N86&lt;&gt;"",IF(INDEX(LdCNote,$N86)="","—",INDEX(LdCNote,$N86)),""))))</f>
        <v/>
      </c>
      <c r="L86">
        <f>IFERROR(MATCH($C$5&amp;"|"&amp;RIGHT("000000"&amp;70,6),LdAKeyM,0),"")</f>
        <v/>
      </c>
      <c r="M86">
        <f>IFERROR(MATCH($C$5&amp;"|"&amp;RIGHT("000000"&amp;70,6),LdBKeyM,0),"")</f>
        <v/>
      </c>
      <c r="N86">
        <f>IFERROR(MATCH($C$5&amp;"|"&amp;RIGHT("000000"&amp;70,6),LdCKeyM,0),"")</f>
        <v/>
      </c>
    </row>
    <row r="87">
      <c r="A87" s="10" t="n">
        <v>71</v>
      </c>
      <c r="B87" s="14">
        <f>IF(AND($L87="",$M87="",$N87=""),"",IF($L87&lt;&gt;"",INDEX(LdADate,$L87),IF($M87&lt;&gt;"",INDEX(LdBDate,$M87),INDEX(LdCDate,$N87))))</f>
        <v/>
      </c>
      <c r="C87" s="14">
        <f>IF($L87&lt;&gt;"","دستمزد (فردی)",IF($M87&lt;&gt;"","سهم از گروه "&amp;IFERROR(VLOOKUP(INDEX(LdBGroup,$M87),WGTbl,2,0),INDEX(LdBGroup,$M87)),IF($N87&lt;&gt;"",IF(N(INDEX(LdCDep,$N87))&gt;0,"بازگشت بانکی","پرداخت بانکی"),"")))</f>
        <v/>
      </c>
      <c r="D87" s="14">
        <f>IF($L87&lt;&gt;"",IF(INDEX(LdAId,$L87)="","—",INDEX(LdAId,$L87)),IF($M87&lt;&gt;"",IF(INDEX(LdBId,$M87)="","—",INDEX(LdBId,$M87)),IF($N87&lt;&gt;"",IF(INDEX(LdCBank,$N87)="","—",INDEX(LdCBank,$N87)),"")))</f>
        <v/>
      </c>
      <c r="E87" s="16">
        <f>IF($L87&lt;&gt;"",IF(INDEX(LdAAmt,$L87)=0,"",INDEX(LdAAmt,$L87)),IF($M87&lt;&gt;"",IF(INDEX(LdBAmt,$M87)=0,"",INDEX(LdBAmt,$M87)),IF($N87&lt;&gt;"",IF(INDEX(LdCDep,$N87)=0,"",INDEX(LdCDep,$N87)),"")))</f>
        <v/>
      </c>
      <c r="F87" s="16">
        <f>IF(AND($L87="",$M87="",$N87=""),"",IF($N87="","",IF(INDEX(LdCWit,$N87)=0,"",INDEX(LdCWit,$N87))))</f>
        <v/>
      </c>
      <c r="G87" s="29">
        <f>IF($B87="","",IF($G86="",0,$G86)+IF($E87="",0,$E87)-IF($F87="",0,$F87))</f>
        <v/>
      </c>
      <c r="H87" s="30">
        <f>IF(AND($L87="",$M87="",$N87=""),"",IF($L87&lt;&gt;"",IF(INDEX(LdANote,$L87)="","—",INDEX(LdANote,$L87)),IF($M87&lt;&gt;"",IF(INDEX(LdBNote,$M87)="","—",INDEX(LdBNote,$M87)),IF($N87&lt;&gt;"",IF(INDEX(LdCNote,$N87)="","—",INDEX(LdCNote,$N87)),""))))</f>
        <v/>
      </c>
      <c r="L87">
        <f>IFERROR(MATCH($C$5&amp;"|"&amp;RIGHT("000000"&amp;71,6),LdAKeyM,0),"")</f>
        <v/>
      </c>
      <c r="M87">
        <f>IFERROR(MATCH($C$5&amp;"|"&amp;RIGHT("000000"&amp;71,6),LdBKeyM,0),"")</f>
        <v/>
      </c>
      <c r="N87">
        <f>IFERROR(MATCH($C$5&amp;"|"&amp;RIGHT("000000"&amp;71,6),LdCKeyM,0),"")</f>
        <v/>
      </c>
    </row>
    <row r="88">
      <c r="A88" s="19" t="n">
        <v>72</v>
      </c>
      <c r="B88" s="20">
        <f>IF(AND($L88="",$M88="",$N88=""),"",IF($L88&lt;&gt;"",INDEX(LdADate,$L88),IF($M88&lt;&gt;"",INDEX(LdBDate,$M88),INDEX(LdCDate,$N88))))</f>
        <v/>
      </c>
      <c r="C88" s="20">
        <f>IF($L88&lt;&gt;"","دستمزد (فردی)",IF($M88&lt;&gt;"","سهم از گروه "&amp;IFERROR(VLOOKUP(INDEX(LdBGroup,$M88),WGTbl,2,0),INDEX(LdBGroup,$M88)),IF($N88&lt;&gt;"",IF(N(INDEX(LdCDep,$N88))&gt;0,"بازگشت بانکی","پرداخت بانکی"),"")))</f>
        <v/>
      </c>
      <c r="D88" s="20">
        <f>IF($L88&lt;&gt;"",IF(INDEX(LdAId,$L88)="","—",INDEX(LdAId,$L88)),IF($M88&lt;&gt;"",IF(INDEX(LdBId,$M88)="","—",INDEX(LdBId,$M88)),IF($N88&lt;&gt;"",IF(INDEX(LdCBank,$N88)="","—",INDEX(LdCBank,$N88)),"")))</f>
        <v/>
      </c>
      <c r="E88" s="21">
        <f>IF($L88&lt;&gt;"",IF(INDEX(LdAAmt,$L88)=0,"",INDEX(LdAAmt,$L88)),IF($M88&lt;&gt;"",IF(INDEX(LdBAmt,$M88)=0,"",INDEX(LdBAmt,$M88)),IF($N88&lt;&gt;"",IF(INDEX(LdCDep,$N88)=0,"",INDEX(LdCDep,$N88)),"")))</f>
        <v/>
      </c>
      <c r="F88" s="21">
        <f>IF(AND($L88="",$M88="",$N88=""),"",IF($N88="","",IF(INDEX(LdCWit,$N88)=0,"",INDEX(LdCWit,$N88))))</f>
        <v/>
      </c>
      <c r="G88" s="31">
        <f>IF($B88="","",IF($G87="",0,$G87)+IF($E88="",0,$E88)-IF($F88="",0,$F88))</f>
        <v/>
      </c>
      <c r="H88" s="32">
        <f>IF(AND($L88="",$M88="",$N88=""),"",IF($L88&lt;&gt;"",IF(INDEX(LdANote,$L88)="","—",INDEX(LdANote,$L88)),IF($M88&lt;&gt;"",IF(INDEX(LdBNote,$M88)="","—",INDEX(LdBNote,$M88)),IF($N88&lt;&gt;"",IF(INDEX(LdCNote,$N88)="","—",INDEX(LdCNote,$N88)),""))))</f>
        <v/>
      </c>
      <c r="L88">
        <f>IFERROR(MATCH($C$5&amp;"|"&amp;RIGHT("000000"&amp;72,6),LdAKeyM,0),"")</f>
        <v/>
      </c>
      <c r="M88">
        <f>IFERROR(MATCH($C$5&amp;"|"&amp;RIGHT("000000"&amp;72,6),LdBKeyM,0),"")</f>
        <v/>
      </c>
      <c r="N88">
        <f>IFERROR(MATCH($C$5&amp;"|"&amp;RIGHT("000000"&amp;72,6),LdCKeyM,0),"")</f>
        <v/>
      </c>
    </row>
    <row r="89">
      <c r="A89" s="10" t="n">
        <v>73</v>
      </c>
      <c r="B89" s="14">
        <f>IF(AND($L89="",$M89="",$N89=""),"",IF($L89&lt;&gt;"",INDEX(LdADate,$L89),IF($M89&lt;&gt;"",INDEX(LdBDate,$M89),INDEX(LdCDate,$N89))))</f>
        <v/>
      </c>
      <c r="C89" s="14">
        <f>IF($L89&lt;&gt;"","دستمزد (فردی)",IF($M89&lt;&gt;"","سهم از گروه "&amp;IFERROR(VLOOKUP(INDEX(LdBGroup,$M89),WGTbl,2,0),INDEX(LdBGroup,$M89)),IF($N89&lt;&gt;"",IF(N(INDEX(LdCDep,$N89))&gt;0,"بازگشت بانکی","پرداخت بانکی"),"")))</f>
        <v/>
      </c>
      <c r="D89" s="14">
        <f>IF($L89&lt;&gt;"",IF(INDEX(LdAId,$L89)="","—",INDEX(LdAId,$L89)),IF($M89&lt;&gt;"",IF(INDEX(LdBId,$M89)="","—",INDEX(LdBId,$M89)),IF($N89&lt;&gt;"",IF(INDEX(LdCBank,$N89)="","—",INDEX(LdCBank,$N89)),"")))</f>
        <v/>
      </c>
      <c r="E89" s="16">
        <f>IF($L89&lt;&gt;"",IF(INDEX(LdAAmt,$L89)=0,"",INDEX(LdAAmt,$L89)),IF($M89&lt;&gt;"",IF(INDEX(LdBAmt,$M89)=0,"",INDEX(LdBAmt,$M89)),IF($N89&lt;&gt;"",IF(INDEX(LdCDep,$N89)=0,"",INDEX(LdCDep,$N89)),"")))</f>
        <v/>
      </c>
      <c r="F89" s="16">
        <f>IF(AND($L89="",$M89="",$N89=""),"",IF($N89="","",IF(INDEX(LdCWit,$N89)=0,"",INDEX(LdCWit,$N89))))</f>
        <v/>
      </c>
      <c r="G89" s="29">
        <f>IF($B89="","",IF($G88="",0,$G88)+IF($E89="",0,$E89)-IF($F89="",0,$F89))</f>
        <v/>
      </c>
      <c r="H89" s="30">
        <f>IF(AND($L89="",$M89="",$N89=""),"",IF($L89&lt;&gt;"",IF(INDEX(LdANote,$L89)="","—",INDEX(LdANote,$L89)),IF($M89&lt;&gt;"",IF(INDEX(LdBNote,$M89)="","—",INDEX(LdBNote,$M89)),IF($N89&lt;&gt;"",IF(INDEX(LdCNote,$N89)="","—",INDEX(LdCNote,$N89)),""))))</f>
        <v/>
      </c>
      <c r="L89">
        <f>IFERROR(MATCH($C$5&amp;"|"&amp;RIGHT("000000"&amp;73,6),LdAKeyM,0),"")</f>
        <v/>
      </c>
      <c r="M89">
        <f>IFERROR(MATCH($C$5&amp;"|"&amp;RIGHT("000000"&amp;73,6),LdBKeyM,0),"")</f>
        <v/>
      </c>
      <c r="N89">
        <f>IFERROR(MATCH($C$5&amp;"|"&amp;RIGHT("000000"&amp;73,6),LdCKeyM,0),"")</f>
        <v/>
      </c>
    </row>
    <row r="90">
      <c r="A90" s="19" t="n">
        <v>74</v>
      </c>
      <c r="B90" s="20">
        <f>IF(AND($L90="",$M90="",$N90=""),"",IF($L90&lt;&gt;"",INDEX(LdADate,$L90),IF($M90&lt;&gt;"",INDEX(LdBDate,$M90),INDEX(LdCDate,$N90))))</f>
        <v/>
      </c>
      <c r="C90" s="20">
        <f>IF($L90&lt;&gt;"","دستمزد (فردی)",IF($M90&lt;&gt;"","سهم از گروه "&amp;IFERROR(VLOOKUP(INDEX(LdBGroup,$M90),WGTbl,2,0),INDEX(LdBGroup,$M90)),IF($N90&lt;&gt;"",IF(N(INDEX(LdCDep,$N90))&gt;0,"بازگشت بانکی","پرداخت بانکی"),"")))</f>
        <v/>
      </c>
      <c r="D90" s="20">
        <f>IF($L90&lt;&gt;"",IF(INDEX(LdAId,$L90)="","—",INDEX(LdAId,$L90)),IF($M90&lt;&gt;"",IF(INDEX(LdBId,$M90)="","—",INDEX(LdBId,$M90)),IF($N90&lt;&gt;"",IF(INDEX(LdCBank,$N90)="","—",INDEX(LdCBank,$N90)),"")))</f>
        <v/>
      </c>
      <c r="E90" s="21">
        <f>IF($L90&lt;&gt;"",IF(INDEX(LdAAmt,$L90)=0,"",INDEX(LdAAmt,$L90)),IF($M90&lt;&gt;"",IF(INDEX(LdBAmt,$M90)=0,"",INDEX(LdBAmt,$M90)),IF($N90&lt;&gt;"",IF(INDEX(LdCDep,$N90)=0,"",INDEX(LdCDep,$N90)),"")))</f>
        <v/>
      </c>
      <c r="F90" s="21">
        <f>IF(AND($L90="",$M90="",$N90=""),"",IF($N90="","",IF(INDEX(LdCWit,$N90)=0,"",INDEX(LdCWit,$N90))))</f>
        <v/>
      </c>
      <c r="G90" s="31">
        <f>IF($B90="","",IF($G89="",0,$G89)+IF($E90="",0,$E90)-IF($F90="",0,$F90))</f>
        <v/>
      </c>
      <c r="H90" s="32">
        <f>IF(AND($L90="",$M90="",$N90=""),"",IF($L90&lt;&gt;"",IF(INDEX(LdANote,$L90)="","—",INDEX(LdANote,$L90)),IF($M90&lt;&gt;"",IF(INDEX(LdBNote,$M90)="","—",INDEX(LdBNote,$M90)),IF($N90&lt;&gt;"",IF(INDEX(LdCNote,$N90)="","—",INDEX(LdCNote,$N90)),""))))</f>
        <v/>
      </c>
      <c r="L90">
        <f>IFERROR(MATCH($C$5&amp;"|"&amp;RIGHT("000000"&amp;74,6),LdAKeyM,0),"")</f>
        <v/>
      </c>
      <c r="M90">
        <f>IFERROR(MATCH($C$5&amp;"|"&amp;RIGHT("000000"&amp;74,6),LdBKeyM,0),"")</f>
        <v/>
      </c>
      <c r="N90">
        <f>IFERROR(MATCH($C$5&amp;"|"&amp;RIGHT("000000"&amp;74,6),LdCKeyM,0),"")</f>
        <v/>
      </c>
    </row>
    <row r="91">
      <c r="A91" s="10" t="n">
        <v>75</v>
      </c>
      <c r="B91" s="14">
        <f>IF(AND($L91="",$M91="",$N91=""),"",IF($L91&lt;&gt;"",INDEX(LdADate,$L91),IF($M91&lt;&gt;"",INDEX(LdBDate,$M91),INDEX(LdCDate,$N91))))</f>
        <v/>
      </c>
      <c r="C91" s="14">
        <f>IF($L91&lt;&gt;"","دستمزد (فردی)",IF($M91&lt;&gt;"","سهم از گروه "&amp;IFERROR(VLOOKUP(INDEX(LdBGroup,$M91),WGTbl,2,0),INDEX(LdBGroup,$M91)),IF($N91&lt;&gt;"",IF(N(INDEX(LdCDep,$N91))&gt;0,"بازگشت بانکی","پرداخت بانکی"),"")))</f>
        <v/>
      </c>
      <c r="D91" s="14">
        <f>IF($L91&lt;&gt;"",IF(INDEX(LdAId,$L91)="","—",INDEX(LdAId,$L91)),IF($M91&lt;&gt;"",IF(INDEX(LdBId,$M91)="","—",INDEX(LdBId,$M91)),IF($N91&lt;&gt;"",IF(INDEX(LdCBank,$N91)="","—",INDEX(LdCBank,$N91)),"")))</f>
        <v/>
      </c>
      <c r="E91" s="16">
        <f>IF($L91&lt;&gt;"",IF(INDEX(LdAAmt,$L91)=0,"",INDEX(LdAAmt,$L91)),IF($M91&lt;&gt;"",IF(INDEX(LdBAmt,$M91)=0,"",INDEX(LdBAmt,$M91)),IF($N91&lt;&gt;"",IF(INDEX(LdCDep,$N91)=0,"",INDEX(LdCDep,$N91)),"")))</f>
        <v/>
      </c>
      <c r="F91" s="16">
        <f>IF(AND($L91="",$M91="",$N91=""),"",IF($N91="","",IF(INDEX(LdCWit,$N91)=0,"",INDEX(LdCWit,$N91))))</f>
        <v/>
      </c>
      <c r="G91" s="29">
        <f>IF($B91="","",IF($G90="",0,$G90)+IF($E91="",0,$E91)-IF($F91="",0,$F91))</f>
        <v/>
      </c>
      <c r="H91" s="30">
        <f>IF(AND($L91="",$M91="",$N91=""),"",IF($L91&lt;&gt;"",IF(INDEX(LdANote,$L91)="","—",INDEX(LdANote,$L91)),IF($M91&lt;&gt;"",IF(INDEX(LdBNote,$M91)="","—",INDEX(LdBNote,$M91)),IF($N91&lt;&gt;"",IF(INDEX(LdCNote,$N91)="","—",INDEX(LdCNote,$N91)),""))))</f>
        <v/>
      </c>
      <c r="L91">
        <f>IFERROR(MATCH($C$5&amp;"|"&amp;RIGHT("000000"&amp;75,6),LdAKeyM,0),"")</f>
        <v/>
      </c>
      <c r="M91">
        <f>IFERROR(MATCH($C$5&amp;"|"&amp;RIGHT("000000"&amp;75,6),LdBKeyM,0),"")</f>
        <v/>
      </c>
      <c r="N91">
        <f>IFERROR(MATCH($C$5&amp;"|"&amp;RIGHT("000000"&amp;75,6),LdCKeyM,0),"")</f>
        <v/>
      </c>
    </row>
    <row r="92">
      <c r="A92" s="19" t="n">
        <v>76</v>
      </c>
      <c r="B92" s="20">
        <f>IF(AND($L92="",$M92="",$N92=""),"",IF($L92&lt;&gt;"",INDEX(LdADate,$L92),IF($M92&lt;&gt;"",INDEX(LdBDate,$M92),INDEX(LdCDate,$N92))))</f>
        <v/>
      </c>
      <c r="C92" s="20">
        <f>IF($L92&lt;&gt;"","دستمزد (فردی)",IF($M92&lt;&gt;"","سهم از گروه "&amp;IFERROR(VLOOKUP(INDEX(LdBGroup,$M92),WGTbl,2,0),INDEX(LdBGroup,$M92)),IF($N92&lt;&gt;"",IF(N(INDEX(LdCDep,$N92))&gt;0,"بازگشت بانکی","پرداخت بانکی"),"")))</f>
        <v/>
      </c>
      <c r="D92" s="20">
        <f>IF($L92&lt;&gt;"",IF(INDEX(LdAId,$L92)="","—",INDEX(LdAId,$L92)),IF($M92&lt;&gt;"",IF(INDEX(LdBId,$M92)="","—",INDEX(LdBId,$M92)),IF($N92&lt;&gt;"",IF(INDEX(LdCBank,$N92)="","—",INDEX(LdCBank,$N92)),"")))</f>
        <v/>
      </c>
      <c r="E92" s="21">
        <f>IF($L92&lt;&gt;"",IF(INDEX(LdAAmt,$L92)=0,"",INDEX(LdAAmt,$L92)),IF($M92&lt;&gt;"",IF(INDEX(LdBAmt,$M92)=0,"",INDEX(LdBAmt,$M92)),IF($N92&lt;&gt;"",IF(INDEX(LdCDep,$N92)=0,"",INDEX(LdCDep,$N92)),"")))</f>
        <v/>
      </c>
      <c r="F92" s="21">
        <f>IF(AND($L92="",$M92="",$N92=""),"",IF($N92="","",IF(INDEX(LdCWit,$N92)=0,"",INDEX(LdCWit,$N92))))</f>
        <v/>
      </c>
      <c r="G92" s="31">
        <f>IF($B92="","",IF($G91="",0,$G91)+IF($E92="",0,$E92)-IF($F92="",0,$F92))</f>
        <v/>
      </c>
      <c r="H92" s="32">
        <f>IF(AND($L92="",$M92="",$N92=""),"",IF($L92&lt;&gt;"",IF(INDEX(LdANote,$L92)="","—",INDEX(LdANote,$L92)),IF($M92&lt;&gt;"",IF(INDEX(LdBNote,$M92)="","—",INDEX(LdBNote,$M92)),IF($N92&lt;&gt;"",IF(INDEX(LdCNote,$N92)="","—",INDEX(LdCNote,$N92)),""))))</f>
        <v/>
      </c>
      <c r="L92">
        <f>IFERROR(MATCH($C$5&amp;"|"&amp;RIGHT("000000"&amp;76,6),LdAKeyM,0),"")</f>
        <v/>
      </c>
      <c r="M92">
        <f>IFERROR(MATCH($C$5&amp;"|"&amp;RIGHT("000000"&amp;76,6),LdBKeyM,0),"")</f>
        <v/>
      </c>
      <c r="N92">
        <f>IFERROR(MATCH($C$5&amp;"|"&amp;RIGHT("000000"&amp;76,6),LdCKeyM,0),"")</f>
        <v/>
      </c>
    </row>
    <row r="93">
      <c r="A93" s="10" t="n">
        <v>77</v>
      </c>
      <c r="B93" s="14">
        <f>IF(AND($L93="",$M93="",$N93=""),"",IF($L93&lt;&gt;"",INDEX(LdADate,$L93),IF($M93&lt;&gt;"",INDEX(LdBDate,$M93),INDEX(LdCDate,$N93))))</f>
        <v/>
      </c>
      <c r="C93" s="14">
        <f>IF($L93&lt;&gt;"","دستمزد (فردی)",IF($M93&lt;&gt;"","سهم از گروه "&amp;IFERROR(VLOOKUP(INDEX(LdBGroup,$M93),WGTbl,2,0),INDEX(LdBGroup,$M93)),IF($N93&lt;&gt;"",IF(N(INDEX(LdCDep,$N93))&gt;0,"بازگشت بانکی","پرداخت بانکی"),"")))</f>
        <v/>
      </c>
      <c r="D93" s="14">
        <f>IF($L93&lt;&gt;"",IF(INDEX(LdAId,$L93)="","—",INDEX(LdAId,$L93)),IF($M93&lt;&gt;"",IF(INDEX(LdBId,$M93)="","—",INDEX(LdBId,$M93)),IF($N93&lt;&gt;"",IF(INDEX(LdCBank,$N93)="","—",INDEX(LdCBank,$N93)),"")))</f>
        <v/>
      </c>
      <c r="E93" s="16">
        <f>IF($L93&lt;&gt;"",IF(INDEX(LdAAmt,$L93)=0,"",INDEX(LdAAmt,$L93)),IF($M93&lt;&gt;"",IF(INDEX(LdBAmt,$M93)=0,"",INDEX(LdBAmt,$M93)),IF($N93&lt;&gt;"",IF(INDEX(LdCDep,$N93)=0,"",INDEX(LdCDep,$N93)),"")))</f>
        <v/>
      </c>
      <c r="F93" s="16">
        <f>IF(AND($L93="",$M93="",$N93=""),"",IF($N93="","",IF(INDEX(LdCWit,$N93)=0,"",INDEX(LdCWit,$N93))))</f>
        <v/>
      </c>
      <c r="G93" s="29">
        <f>IF($B93="","",IF($G92="",0,$G92)+IF($E93="",0,$E93)-IF($F93="",0,$F93))</f>
        <v/>
      </c>
      <c r="H93" s="30">
        <f>IF(AND($L93="",$M93="",$N93=""),"",IF($L93&lt;&gt;"",IF(INDEX(LdANote,$L93)="","—",INDEX(LdANote,$L93)),IF($M93&lt;&gt;"",IF(INDEX(LdBNote,$M93)="","—",INDEX(LdBNote,$M93)),IF($N93&lt;&gt;"",IF(INDEX(LdCNote,$N93)="","—",INDEX(LdCNote,$N93)),""))))</f>
        <v/>
      </c>
      <c r="L93">
        <f>IFERROR(MATCH($C$5&amp;"|"&amp;RIGHT("000000"&amp;77,6),LdAKeyM,0),"")</f>
        <v/>
      </c>
      <c r="M93">
        <f>IFERROR(MATCH($C$5&amp;"|"&amp;RIGHT("000000"&amp;77,6),LdBKeyM,0),"")</f>
        <v/>
      </c>
      <c r="N93">
        <f>IFERROR(MATCH($C$5&amp;"|"&amp;RIGHT("000000"&amp;77,6),LdCKeyM,0),"")</f>
        <v/>
      </c>
    </row>
    <row r="94">
      <c r="A94" s="19" t="n">
        <v>78</v>
      </c>
      <c r="B94" s="20">
        <f>IF(AND($L94="",$M94="",$N94=""),"",IF($L94&lt;&gt;"",INDEX(LdADate,$L94),IF($M94&lt;&gt;"",INDEX(LdBDate,$M94),INDEX(LdCDate,$N94))))</f>
        <v/>
      </c>
      <c r="C94" s="20">
        <f>IF($L94&lt;&gt;"","دستمزد (فردی)",IF($M94&lt;&gt;"","سهم از گروه "&amp;IFERROR(VLOOKUP(INDEX(LdBGroup,$M94),WGTbl,2,0),INDEX(LdBGroup,$M94)),IF($N94&lt;&gt;"",IF(N(INDEX(LdCDep,$N94))&gt;0,"بازگشت بانکی","پرداخت بانکی"),"")))</f>
        <v/>
      </c>
      <c r="D94" s="20">
        <f>IF($L94&lt;&gt;"",IF(INDEX(LdAId,$L94)="","—",INDEX(LdAId,$L94)),IF($M94&lt;&gt;"",IF(INDEX(LdBId,$M94)="","—",INDEX(LdBId,$M94)),IF($N94&lt;&gt;"",IF(INDEX(LdCBank,$N94)="","—",INDEX(LdCBank,$N94)),"")))</f>
        <v/>
      </c>
      <c r="E94" s="21">
        <f>IF($L94&lt;&gt;"",IF(INDEX(LdAAmt,$L94)=0,"",INDEX(LdAAmt,$L94)),IF($M94&lt;&gt;"",IF(INDEX(LdBAmt,$M94)=0,"",INDEX(LdBAmt,$M94)),IF($N94&lt;&gt;"",IF(INDEX(LdCDep,$N94)=0,"",INDEX(LdCDep,$N94)),"")))</f>
        <v/>
      </c>
      <c r="F94" s="21">
        <f>IF(AND($L94="",$M94="",$N94=""),"",IF($N94="","",IF(INDEX(LdCWit,$N94)=0,"",INDEX(LdCWit,$N94))))</f>
        <v/>
      </c>
      <c r="G94" s="31">
        <f>IF($B94="","",IF($G93="",0,$G93)+IF($E94="",0,$E94)-IF($F94="",0,$F94))</f>
        <v/>
      </c>
      <c r="H94" s="32">
        <f>IF(AND($L94="",$M94="",$N94=""),"",IF($L94&lt;&gt;"",IF(INDEX(LdANote,$L94)="","—",INDEX(LdANote,$L94)),IF($M94&lt;&gt;"",IF(INDEX(LdBNote,$M94)="","—",INDEX(LdBNote,$M94)),IF($N94&lt;&gt;"",IF(INDEX(LdCNote,$N94)="","—",INDEX(LdCNote,$N94)),""))))</f>
        <v/>
      </c>
      <c r="L94">
        <f>IFERROR(MATCH($C$5&amp;"|"&amp;RIGHT("000000"&amp;78,6),LdAKeyM,0),"")</f>
        <v/>
      </c>
      <c r="M94">
        <f>IFERROR(MATCH($C$5&amp;"|"&amp;RIGHT("000000"&amp;78,6),LdBKeyM,0),"")</f>
        <v/>
      </c>
      <c r="N94">
        <f>IFERROR(MATCH($C$5&amp;"|"&amp;RIGHT("000000"&amp;78,6),LdCKeyM,0),"")</f>
        <v/>
      </c>
    </row>
    <row r="95">
      <c r="A95" s="10" t="n">
        <v>79</v>
      </c>
      <c r="B95" s="14">
        <f>IF(AND($L95="",$M95="",$N95=""),"",IF($L95&lt;&gt;"",INDEX(LdADate,$L95),IF($M95&lt;&gt;"",INDEX(LdBDate,$M95),INDEX(LdCDate,$N95))))</f>
        <v/>
      </c>
      <c r="C95" s="14">
        <f>IF($L95&lt;&gt;"","دستمزد (فردی)",IF($M95&lt;&gt;"","سهم از گروه "&amp;IFERROR(VLOOKUP(INDEX(LdBGroup,$M95),WGTbl,2,0),INDEX(LdBGroup,$M95)),IF($N95&lt;&gt;"",IF(N(INDEX(LdCDep,$N95))&gt;0,"بازگشت بانکی","پرداخت بانکی"),"")))</f>
        <v/>
      </c>
      <c r="D95" s="14">
        <f>IF($L95&lt;&gt;"",IF(INDEX(LdAId,$L95)="","—",INDEX(LdAId,$L95)),IF($M95&lt;&gt;"",IF(INDEX(LdBId,$M95)="","—",INDEX(LdBId,$M95)),IF($N95&lt;&gt;"",IF(INDEX(LdCBank,$N95)="","—",INDEX(LdCBank,$N95)),"")))</f>
        <v/>
      </c>
      <c r="E95" s="16">
        <f>IF($L95&lt;&gt;"",IF(INDEX(LdAAmt,$L95)=0,"",INDEX(LdAAmt,$L95)),IF($M95&lt;&gt;"",IF(INDEX(LdBAmt,$M95)=0,"",INDEX(LdBAmt,$M95)),IF($N95&lt;&gt;"",IF(INDEX(LdCDep,$N95)=0,"",INDEX(LdCDep,$N95)),"")))</f>
        <v/>
      </c>
      <c r="F95" s="16">
        <f>IF(AND($L95="",$M95="",$N95=""),"",IF($N95="","",IF(INDEX(LdCWit,$N95)=0,"",INDEX(LdCWit,$N95))))</f>
        <v/>
      </c>
      <c r="G95" s="29">
        <f>IF($B95="","",IF($G94="",0,$G94)+IF($E95="",0,$E95)-IF($F95="",0,$F95))</f>
        <v/>
      </c>
      <c r="H95" s="30">
        <f>IF(AND($L95="",$M95="",$N95=""),"",IF($L95&lt;&gt;"",IF(INDEX(LdANote,$L95)="","—",INDEX(LdANote,$L95)),IF($M95&lt;&gt;"",IF(INDEX(LdBNote,$M95)="","—",INDEX(LdBNote,$M95)),IF($N95&lt;&gt;"",IF(INDEX(LdCNote,$N95)="","—",INDEX(LdCNote,$N95)),""))))</f>
        <v/>
      </c>
      <c r="L95">
        <f>IFERROR(MATCH($C$5&amp;"|"&amp;RIGHT("000000"&amp;79,6),LdAKeyM,0),"")</f>
        <v/>
      </c>
      <c r="M95">
        <f>IFERROR(MATCH($C$5&amp;"|"&amp;RIGHT("000000"&amp;79,6),LdBKeyM,0),"")</f>
        <v/>
      </c>
      <c r="N95">
        <f>IFERROR(MATCH($C$5&amp;"|"&amp;RIGHT("000000"&amp;79,6),LdCKeyM,0),"")</f>
        <v/>
      </c>
    </row>
    <row r="96">
      <c r="A96" s="19" t="n">
        <v>80</v>
      </c>
      <c r="B96" s="20">
        <f>IF(AND($L96="",$M96="",$N96=""),"",IF($L96&lt;&gt;"",INDEX(LdADate,$L96),IF($M96&lt;&gt;"",INDEX(LdBDate,$M96),INDEX(LdCDate,$N96))))</f>
        <v/>
      </c>
      <c r="C96" s="20">
        <f>IF($L96&lt;&gt;"","دستمزد (فردی)",IF($M96&lt;&gt;"","سهم از گروه "&amp;IFERROR(VLOOKUP(INDEX(LdBGroup,$M96),WGTbl,2,0),INDEX(LdBGroup,$M96)),IF($N96&lt;&gt;"",IF(N(INDEX(LdCDep,$N96))&gt;0,"بازگشت بانکی","پرداخت بانکی"),"")))</f>
        <v/>
      </c>
      <c r="D96" s="20">
        <f>IF($L96&lt;&gt;"",IF(INDEX(LdAId,$L96)="","—",INDEX(LdAId,$L96)),IF($M96&lt;&gt;"",IF(INDEX(LdBId,$M96)="","—",INDEX(LdBId,$M96)),IF($N96&lt;&gt;"",IF(INDEX(LdCBank,$N96)="","—",INDEX(LdCBank,$N96)),"")))</f>
        <v/>
      </c>
      <c r="E96" s="21">
        <f>IF($L96&lt;&gt;"",IF(INDEX(LdAAmt,$L96)=0,"",INDEX(LdAAmt,$L96)),IF($M96&lt;&gt;"",IF(INDEX(LdBAmt,$M96)=0,"",INDEX(LdBAmt,$M96)),IF($N96&lt;&gt;"",IF(INDEX(LdCDep,$N96)=0,"",INDEX(LdCDep,$N96)),"")))</f>
        <v/>
      </c>
      <c r="F96" s="21">
        <f>IF(AND($L96="",$M96="",$N96=""),"",IF($N96="","",IF(INDEX(LdCWit,$N96)=0,"",INDEX(LdCWit,$N96))))</f>
        <v/>
      </c>
      <c r="G96" s="31">
        <f>IF($B96="","",IF($G95="",0,$G95)+IF($E96="",0,$E96)-IF($F96="",0,$F96))</f>
        <v/>
      </c>
      <c r="H96" s="32">
        <f>IF(AND($L96="",$M96="",$N96=""),"",IF($L96&lt;&gt;"",IF(INDEX(LdANote,$L96)="","—",INDEX(LdANote,$L96)),IF($M96&lt;&gt;"",IF(INDEX(LdBNote,$M96)="","—",INDEX(LdBNote,$M96)),IF($N96&lt;&gt;"",IF(INDEX(LdCNote,$N96)="","—",INDEX(LdCNote,$N96)),""))))</f>
        <v/>
      </c>
      <c r="L96">
        <f>IFERROR(MATCH($C$5&amp;"|"&amp;RIGHT("000000"&amp;80,6),LdAKeyM,0),"")</f>
        <v/>
      </c>
      <c r="M96">
        <f>IFERROR(MATCH($C$5&amp;"|"&amp;RIGHT("000000"&amp;80,6),LdBKeyM,0),"")</f>
        <v/>
      </c>
      <c r="N96">
        <f>IFERROR(MATCH($C$5&amp;"|"&amp;RIGHT("000000"&amp;80,6),LdCKeyM,0),"")</f>
        <v/>
      </c>
    </row>
    <row r="97">
      <c r="A97" s="10" t="n">
        <v>81</v>
      </c>
      <c r="B97" s="14">
        <f>IF(AND($L97="",$M97="",$N97=""),"",IF($L97&lt;&gt;"",INDEX(LdADate,$L97),IF($M97&lt;&gt;"",INDEX(LdBDate,$M97),INDEX(LdCDate,$N97))))</f>
        <v/>
      </c>
      <c r="C97" s="14">
        <f>IF($L97&lt;&gt;"","دستمزد (فردی)",IF($M97&lt;&gt;"","سهم از گروه "&amp;IFERROR(VLOOKUP(INDEX(LdBGroup,$M97),WGTbl,2,0),INDEX(LdBGroup,$M97)),IF($N97&lt;&gt;"",IF(N(INDEX(LdCDep,$N97))&gt;0,"بازگشت بانکی","پرداخت بانکی"),"")))</f>
        <v/>
      </c>
      <c r="D97" s="14">
        <f>IF($L97&lt;&gt;"",IF(INDEX(LdAId,$L97)="","—",INDEX(LdAId,$L97)),IF($M97&lt;&gt;"",IF(INDEX(LdBId,$M97)="","—",INDEX(LdBId,$M97)),IF($N97&lt;&gt;"",IF(INDEX(LdCBank,$N97)="","—",INDEX(LdCBank,$N97)),"")))</f>
        <v/>
      </c>
      <c r="E97" s="16">
        <f>IF($L97&lt;&gt;"",IF(INDEX(LdAAmt,$L97)=0,"",INDEX(LdAAmt,$L97)),IF($M97&lt;&gt;"",IF(INDEX(LdBAmt,$M97)=0,"",INDEX(LdBAmt,$M97)),IF($N97&lt;&gt;"",IF(INDEX(LdCDep,$N97)=0,"",INDEX(LdCDep,$N97)),"")))</f>
        <v/>
      </c>
      <c r="F97" s="16">
        <f>IF(AND($L97="",$M97="",$N97=""),"",IF($N97="","",IF(INDEX(LdCWit,$N97)=0,"",INDEX(LdCWit,$N97))))</f>
        <v/>
      </c>
      <c r="G97" s="29">
        <f>IF($B97="","",IF($G96="",0,$G96)+IF($E97="",0,$E97)-IF($F97="",0,$F97))</f>
        <v/>
      </c>
      <c r="H97" s="30">
        <f>IF(AND($L97="",$M97="",$N97=""),"",IF($L97&lt;&gt;"",IF(INDEX(LdANote,$L97)="","—",INDEX(LdANote,$L97)),IF($M97&lt;&gt;"",IF(INDEX(LdBNote,$M97)="","—",INDEX(LdBNote,$M97)),IF($N97&lt;&gt;"",IF(INDEX(LdCNote,$N97)="","—",INDEX(LdCNote,$N97)),""))))</f>
        <v/>
      </c>
      <c r="L97">
        <f>IFERROR(MATCH($C$5&amp;"|"&amp;RIGHT("000000"&amp;81,6),LdAKeyM,0),"")</f>
        <v/>
      </c>
      <c r="M97">
        <f>IFERROR(MATCH($C$5&amp;"|"&amp;RIGHT("000000"&amp;81,6),LdBKeyM,0),"")</f>
        <v/>
      </c>
      <c r="N97">
        <f>IFERROR(MATCH($C$5&amp;"|"&amp;RIGHT("000000"&amp;81,6),LdCKeyM,0),"")</f>
        <v/>
      </c>
    </row>
    <row r="98">
      <c r="A98" s="19" t="n">
        <v>82</v>
      </c>
      <c r="B98" s="20">
        <f>IF(AND($L98="",$M98="",$N98=""),"",IF($L98&lt;&gt;"",INDEX(LdADate,$L98),IF($M98&lt;&gt;"",INDEX(LdBDate,$M98),INDEX(LdCDate,$N98))))</f>
        <v/>
      </c>
      <c r="C98" s="20">
        <f>IF($L98&lt;&gt;"","دستمزد (فردی)",IF($M98&lt;&gt;"","سهم از گروه "&amp;IFERROR(VLOOKUP(INDEX(LdBGroup,$M98),WGTbl,2,0),INDEX(LdBGroup,$M98)),IF($N98&lt;&gt;"",IF(N(INDEX(LdCDep,$N98))&gt;0,"بازگشت بانکی","پرداخت بانکی"),"")))</f>
        <v/>
      </c>
      <c r="D98" s="20">
        <f>IF($L98&lt;&gt;"",IF(INDEX(LdAId,$L98)="","—",INDEX(LdAId,$L98)),IF($M98&lt;&gt;"",IF(INDEX(LdBId,$M98)="","—",INDEX(LdBId,$M98)),IF($N98&lt;&gt;"",IF(INDEX(LdCBank,$N98)="","—",INDEX(LdCBank,$N98)),"")))</f>
        <v/>
      </c>
      <c r="E98" s="21">
        <f>IF($L98&lt;&gt;"",IF(INDEX(LdAAmt,$L98)=0,"",INDEX(LdAAmt,$L98)),IF($M98&lt;&gt;"",IF(INDEX(LdBAmt,$M98)=0,"",INDEX(LdBAmt,$M98)),IF($N98&lt;&gt;"",IF(INDEX(LdCDep,$N98)=0,"",INDEX(LdCDep,$N98)),"")))</f>
        <v/>
      </c>
      <c r="F98" s="21">
        <f>IF(AND($L98="",$M98="",$N98=""),"",IF($N98="","",IF(INDEX(LdCWit,$N98)=0,"",INDEX(LdCWit,$N98))))</f>
        <v/>
      </c>
      <c r="G98" s="31">
        <f>IF($B98="","",IF($G97="",0,$G97)+IF($E98="",0,$E98)-IF($F98="",0,$F98))</f>
        <v/>
      </c>
      <c r="H98" s="32">
        <f>IF(AND($L98="",$M98="",$N98=""),"",IF($L98&lt;&gt;"",IF(INDEX(LdANote,$L98)="","—",INDEX(LdANote,$L98)),IF($M98&lt;&gt;"",IF(INDEX(LdBNote,$M98)="","—",INDEX(LdBNote,$M98)),IF($N98&lt;&gt;"",IF(INDEX(LdCNote,$N98)="","—",INDEX(LdCNote,$N98)),""))))</f>
        <v/>
      </c>
      <c r="L98">
        <f>IFERROR(MATCH($C$5&amp;"|"&amp;RIGHT("000000"&amp;82,6),LdAKeyM,0),"")</f>
        <v/>
      </c>
      <c r="M98">
        <f>IFERROR(MATCH($C$5&amp;"|"&amp;RIGHT("000000"&amp;82,6),LdBKeyM,0),"")</f>
        <v/>
      </c>
      <c r="N98">
        <f>IFERROR(MATCH($C$5&amp;"|"&amp;RIGHT("000000"&amp;82,6),LdCKeyM,0),"")</f>
        <v/>
      </c>
    </row>
    <row r="99">
      <c r="A99" s="10" t="n">
        <v>83</v>
      </c>
      <c r="B99" s="14">
        <f>IF(AND($L99="",$M99="",$N99=""),"",IF($L99&lt;&gt;"",INDEX(LdADate,$L99),IF($M99&lt;&gt;"",INDEX(LdBDate,$M99),INDEX(LdCDate,$N99))))</f>
        <v/>
      </c>
      <c r="C99" s="14">
        <f>IF($L99&lt;&gt;"","دستمزد (فردی)",IF($M99&lt;&gt;"","سهم از گروه "&amp;IFERROR(VLOOKUP(INDEX(LdBGroup,$M99),WGTbl,2,0),INDEX(LdBGroup,$M99)),IF($N99&lt;&gt;"",IF(N(INDEX(LdCDep,$N99))&gt;0,"بازگشت بانکی","پرداخت بانکی"),"")))</f>
        <v/>
      </c>
      <c r="D99" s="14">
        <f>IF($L99&lt;&gt;"",IF(INDEX(LdAId,$L99)="","—",INDEX(LdAId,$L99)),IF($M99&lt;&gt;"",IF(INDEX(LdBId,$M99)="","—",INDEX(LdBId,$M99)),IF($N99&lt;&gt;"",IF(INDEX(LdCBank,$N99)="","—",INDEX(LdCBank,$N99)),"")))</f>
        <v/>
      </c>
      <c r="E99" s="16">
        <f>IF($L99&lt;&gt;"",IF(INDEX(LdAAmt,$L99)=0,"",INDEX(LdAAmt,$L99)),IF($M99&lt;&gt;"",IF(INDEX(LdBAmt,$M99)=0,"",INDEX(LdBAmt,$M99)),IF($N99&lt;&gt;"",IF(INDEX(LdCDep,$N99)=0,"",INDEX(LdCDep,$N99)),"")))</f>
        <v/>
      </c>
      <c r="F99" s="16">
        <f>IF(AND($L99="",$M99="",$N99=""),"",IF($N99="","",IF(INDEX(LdCWit,$N99)=0,"",INDEX(LdCWit,$N99))))</f>
        <v/>
      </c>
      <c r="G99" s="29">
        <f>IF($B99="","",IF($G98="",0,$G98)+IF($E99="",0,$E99)-IF($F99="",0,$F99))</f>
        <v/>
      </c>
      <c r="H99" s="30">
        <f>IF(AND($L99="",$M99="",$N99=""),"",IF($L99&lt;&gt;"",IF(INDEX(LdANote,$L99)="","—",INDEX(LdANote,$L99)),IF($M99&lt;&gt;"",IF(INDEX(LdBNote,$M99)="","—",INDEX(LdBNote,$M99)),IF($N99&lt;&gt;"",IF(INDEX(LdCNote,$N99)="","—",INDEX(LdCNote,$N99)),""))))</f>
        <v/>
      </c>
      <c r="L99">
        <f>IFERROR(MATCH($C$5&amp;"|"&amp;RIGHT("000000"&amp;83,6),LdAKeyM,0),"")</f>
        <v/>
      </c>
      <c r="M99">
        <f>IFERROR(MATCH($C$5&amp;"|"&amp;RIGHT("000000"&amp;83,6),LdBKeyM,0),"")</f>
        <v/>
      </c>
      <c r="N99">
        <f>IFERROR(MATCH($C$5&amp;"|"&amp;RIGHT("000000"&amp;83,6),LdCKeyM,0),"")</f>
        <v/>
      </c>
    </row>
    <row r="100">
      <c r="A100" s="19" t="n">
        <v>84</v>
      </c>
      <c r="B100" s="20">
        <f>IF(AND($L100="",$M100="",$N100=""),"",IF($L100&lt;&gt;"",INDEX(LdADate,$L100),IF($M100&lt;&gt;"",INDEX(LdBDate,$M100),INDEX(LdCDate,$N100))))</f>
        <v/>
      </c>
      <c r="C100" s="20">
        <f>IF($L100&lt;&gt;"","دستمزد (فردی)",IF($M100&lt;&gt;"","سهم از گروه "&amp;IFERROR(VLOOKUP(INDEX(LdBGroup,$M100),WGTbl,2,0),INDEX(LdBGroup,$M100)),IF($N100&lt;&gt;"",IF(N(INDEX(LdCDep,$N100))&gt;0,"بازگشت بانکی","پرداخت بانکی"),"")))</f>
        <v/>
      </c>
      <c r="D100" s="20">
        <f>IF($L100&lt;&gt;"",IF(INDEX(LdAId,$L100)="","—",INDEX(LdAId,$L100)),IF($M100&lt;&gt;"",IF(INDEX(LdBId,$M100)="","—",INDEX(LdBId,$M100)),IF($N100&lt;&gt;"",IF(INDEX(LdCBank,$N100)="","—",INDEX(LdCBank,$N100)),"")))</f>
        <v/>
      </c>
      <c r="E100" s="21">
        <f>IF($L100&lt;&gt;"",IF(INDEX(LdAAmt,$L100)=0,"",INDEX(LdAAmt,$L100)),IF($M100&lt;&gt;"",IF(INDEX(LdBAmt,$M100)=0,"",INDEX(LdBAmt,$M100)),IF($N100&lt;&gt;"",IF(INDEX(LdCDep,$N100)=0,"",INDEX(LdCDep,$N100)),"")))</f>
        <v/>
      </c>
      <c r="F100" s="21">
        <f>IF(AND($L100="",$M100="",$N100=""),"",IF($N100="","",IF(INDEX(LdCWit,$N100)=0,"",INDEX(LdCWit,$N100))))</f>
        <v/>
      </c>
      <c r="G100" s="31">
        <f>IF($B100="","",IF($G99="",0,$G99)+IF($E100="",0,$E100)-IF($F100="",0,$F100))</f>
        <v/>
      </c>
      <c r="H100" s="32">
        <f>IF(AND($L100="",$M100="",$N100=""),"",IF($L100&lt;&gt;"",IF(INDEX(LdANote,$L100)="","—",INDEX(LdANote,$L100)),IF($M100&lt;&gt;"",IF(INDEX(LdBNote,$M100)="","—",INDEX(LdBNote,$M100)),IF($N100&lt;&gt;"",IF(INDEX(LdCNote,$N100)="","—",INDEX(LdCNote,$N100)),""))))</f>
        <v/>
      </c>
      <c r="L100">
        <f>IFERROR(MATCH($C$5&amp;"|"&amp;RIGHT("000000"&amp;84,6),LdAKeyM,0),"")</f>
        <v/>
      </c>
      <c r="M100">
        <f>IFERROR(MATCH($C$5&amp;"|"&amp;RIGHT("000000"&amp;84,6),LdBKeyM,0),"")</f>
        <v/>
      </c>
      <c r="N100">
        <f>IFERROR(MATCH($C$5&amp;"|"&amp;RIGHT("000000"&amp;84,6),LdCKeyM,0),"")</f>
        <v/>
      </c>
    </row>
    <row r="101">
      <c r="A101" s="10" t="n">
        <v>85</v>
      </c>
      <c r="B101" s="14">
        <f>IF(AND($L101="",$M101="",$N101=""),"",IF($L101&lt;&gt;"",INDEX(LdADate,$L101),IF($M101&lt;&gt;"",INDEX(LdBDate,$M101),INDEX(LdCDate,$N101))))</f>
        <v/>
      </c>
      <c r="C101" s="14">
        <f>IF($L101&lt;&gt;"","دستمزد (فردی)",IF($M101&lt;&gt;"","سهم از گروه "&amp;IFERROR(VLOOKUP(INDEX(LdBGroup,$M101),WGTbl,2,0),INDEX(LdBGroup,$M101)),IF($N101&lt;&gt;"",IF(N(INDEX(LdCDep,$N101))&gt;0,"بازگشت بانکی","پرداخت بانکی"),"")))</f>
        <v/>
      </c>
      <c r="D101" s="14">
        <f>IF($L101&lt;&gt;"",IF(INDEX(LdAId,$L101)="","—",INDEX(LdAId,$L101)),IF($M101&lt;&gt;"",IF(INDEX(LdBId,$M101)="","—",INDEX(LdBId,$M101)),IF($N101&lt;&gt;"",IF(INDEX(LdCBank,$N101)="","—",INDEX(LdCBank,$N101)),"")))</f>
        <v/>
      </c>
      <c r="E101" s="16">
        <f>IF($L101&lt;&gt;"",IF(INDEX(LdAAmt,$L101)=0,"",INDEX(LdAAmt,$L101)),IF($M101&lt;&gt;"",IF(INDEX(LdBAmt,$M101)=0,"",INDEX(LdBAmt,$M101)),IF($N101&lt;&gt;"",IF(INDEX(LdCDep,$N101)=0,"",INDEX(LdCDep,$N101)),"")))</f>
        <v/>
      </c>
      <c r="F101" s="16">
        <f>IF(AND($L101="",$M101="",$N101=""),"",IF($N101="","",IF(INDEX(LdCWit,$N101)=0,"",INDEX(LdCWit,$N101))))</f>
        <v/>
      </c>
      <c r="G101" s="29">
        <f>IF($B101="","",IF($G100="",0,$G100)+IF($E101="",0,$E101)-IF($F101="",0,$F101))</f>
        <v/>
      </c>
      <c r="H101" s="30">
        <f>IF(AND($L101="",$M101="",$N101=""),"",IF($L101&lt;&gt;"",IF(INDEX(LdANote,$L101)="","—",INDEX(LdANote,$L101)),IF($M101&lt;&gt;"",IF(INDEX(LdBNote,$M101)="","—",INDEX(LdBNote,$M101)),IF($N101&lt;&gt;"",IF(INDEX(LdCNote,$N101)="","—",INDEX(LdCNote,$N101)),""))))</f>
        <v/>
      </c>
      <c r="L101">
        <f>IFERROR(MATCH($C$5&amp;"|"&amp;RIGHT("000000"&amp;85,6),LdAKeyM,0),"")</f>
        <v/>
      </c>
      <c r="M101">
        <f>IFERROR(MATCH($C$5&amp;"|"&amp;RIGHT("000000"&amp;85,6),LdBKeyM,0),"")</f>
        <v/>
      </c>
      <c r="N101">
        <f>IFERROR(MATCH($C$5&amp;"|"&amp;RIGHT("000000"&amp;85,6),LdCKeyM,0),"")</f>
        <v/>
      </c>
    </row>
    <row r="102">
      <c r="A102" s="19" t="n">
        <v>86</v>
      </c>
      <c r="B102" s="20">
        <f>IF(AND($L102="",$M102="",$N102=""),"",IF($L102&lt;&gt;"",INDEX(LdADate,$L102),IF($M102&lt;&gt;"",INDEX(LdBDate,$M102),INDEX(LdCDate,$N102))))</f>
        <v/>
      </c>
      <c r="C102" s="20">
        <f>IF($L102&lt;&gt;"","دستمزد (فردی)",IF($M102&lt;&gt;"","سهم از گروه "&amp;IFERROR(VLOOKUP(INDEX(LdBGroup,$M102),WGTbl,2,0),INDEX(LdBGroup,$M102)),IF($N102&lt;&gt;"",IF(N(INDEX(LdCDep,$N102))&gt;0,"بازگشت بانکی","پرداخت بانکی"),"")))</f>
        <v/>
      </c>
      <c r="D102" s="20">
        <f>IF($L102&lt;&gt;"",IF(INDEX(LdAId,$L102)="","—",INDEX(LdAId,$L102)),IF($M102&lt;&gt;"",IF(INDEX(LdBId,$M102)="","—",INDEX(LdBId,$M102)),IF($N102&lt;&gt;"",IF(INDEX(LdCBank,$N102)="","—",INDEX(LdCBank,$N102)),"")))</f>
        <v/>
      </c>
      <c r="E102" s="21">
        <f>IF($L102&lt;&gt;"",IF(INDEX(LdAAmt,$L102)=0,"",INDEX(LdAAmt,$L102)),IF($M102&lt;&gt;"",IF(INDEX(LdBAmt,$M102)=0,"",INDEX(LdBAmt,$M102)),IF($N102&lt;&gt;"",IF(INDEX(LdCDep,$N102)=0,"",INDEX(LdCDep,$N102)),"")))</f>
        <v/>
      </c>
      <c r="F102" s="21">
        <f>IF(AND($L102="",$M102="",$N102=""),"",IF($N102="","",IF(INDEX(LdCWit,$N102)=0,"",INDEX(LdCWit,$N102))))</f>
        <v/>
      </c>
      <c r="G102" s="31">
        <f>IF($B102="","",IF($G101="",0,$G101)+IF($E102="",0,$E102)-IF($F102="",0,$F102))</f>
        <v/>
      </c>
      <c r="H102" s="32">
        <f>IF(AND($L102="",$M102="",$N102=""),"",IF($L102&lt;&gt;"",IF(INDEX(LdANote,$L102)="","—",INDEX(LdANote,$L102)),IF($M102&lt;&gt;"",IF(INDEX(LdBNote,$M102)="","—",INDEX(LdBNote,$M102)),IF($N102&lt;&gt;"",IF(INDEX(LdCNote,$N102)="","—",INDEX(LdCNote,$N102)),""))))</f>
        <v/>
      </c>
      <c r="L102">
        <f>IFERROR(MATCH($C$5&amp;"|"&amp;RIGHT("000000"&amp;86,6),LdAKeyM,0),"")</f>
        <v/>
      </c>
      <c r="M102">
        <f>IFERROR(MATCH($C$5&amp;"|"&amp;RIGHT("000000"&amp;86,6),LdBKeyM,0),"")</f>
        <v/>
      </c>
      <c r="N102">
        <f>IFERROR(MATCH($C$5&amp;"|"&amp;RIGHT("000000"&amp;86,6),LdCKeyM,0),"")</f>
        <v/>
      </c>
    </row>
    <row r="103">
      <c r="A103" s="10" t="n">
        <v>87</v>
      </c>
      <c r="B103" s="14">
        <f>IF(AND($L103="",$M103="",$N103=""),"",IF($L103&lt;&gt;"",INDEX(LdADate,$L103),IF($M103&lt;&gt;"",INDEX(LdBDate,$M103),INDEX(LdCDate,$N103))))</f>
        <v/>
      </c>
      <c r="C103" s="14">
        <f>IF($L103&lt;&gt;"","دستمزد (فردی)",IF($M103&lt;&gt;"","سهم از گروه "&amp;IFERROR(VLOOKUP(INDEX(LdBGroup,$M103),WGTbl,2,0),INDEX(LdBGroup,$M103)),IF($N103&lt;&gt;"",IF(N(INDEX(LdCDep,$N103))&gt;0,"بازگشت بانکی","پرداخت بانکی"),"")))</f>
        <v/>
      </c>
      <c r="D103" s="14">
        <f>IF($L103&lt;&gt;"",IF(INDEX(LdAId,$L103)="","—",INDEX(LdAId,$L103)),IF($M103&lt;&gt;"",IF(INDEX(LdBId,$M103)="","—",INDEX(LdBId,$M103)),IF($N103&lt;&gt;"",IF(INDEX(LdCBank,$N103)="","—",INDEX(LdCBank,$N103)),"")))</f>
        <v/>
      </c>
      <c r="E103" s="16">
        <f>IF($L103&lt;&gt;"",IF(INDEX(LdAAmt,$L103)=0,"",INDEX(LdAAmt,$L103)),IF($M103&lt;&gt;"",IF(INDEX(LdBAmt,$M103)=0,"",INDEX(LdBAmt,$M103)),IF($N103&lt;&gt;"",IF(INDEX(LdCDep,$N103)=0,"",INDEX(LdCDep,$N103)),"")))</f>
        <v/>
      </c>
      <c r="F103" s="16">
        <f>IF(AND($L103="",$M103="",$N103=""),"",IF($N103="","",IF(INDEX(LdCWit,$N103)=0,"",INDEX(LdCWit,$N103))))</f>
        <v/>
      </c>
      <c r="G103" s="29">
        <f>IF($B103="","",IF($G102="",0,$G102)+IF($E103="",0,$E103)-IF($F103="",0,$F103))</f>
        <v/>
      </c>
      <c r="H103" s="30">
        <f>IF(AND($L103="",$M103="",$N103=""),"",IF($L103&lt;&gt;"",IF(INDEX(LdANote,$L103)="","—",INDEX(LdANote,$L103)),IF($M103&lt;&gt;"",IF(INDEX(LdBNote,$M103)="","—",INDEX(LdBNote,$M103)),IF($N103&lt;&gt;"",IF(INDEX(LdCNote,$N103)="","—",INDEX(LdCNote,$N103)),""))))</f>
        <v/>
      </c>
      <c r="L103">
        <f>IFERROR(MATCH($C$5&amp;"|"&amp;RIGHT("000000"&amp;87,6),LdAKeyM,0),"")</f>
        <v/>
      </c>
      <c r="M103">
        <f>IFERROR(MATCH($C$5&amp;"|"&amp;RIGHT("000000"&amp;87,6),LdBKeyM,0),"")</f>
        <v/>
      </c>
      <c r="N103">
        <f>IFERROR(MATCH($C$5&amp;"|"&amp;RIGHT("000000"&amp;87,6),LdCKeyM,0),"")</f>
        <v/>
      </c>
    </row>
    <row r="104">
      <c r="A104" s="19" t="n">
        <v>88</v>
      </c>
      <c r="B104" s="20">
        <f>IF(AND($L104="",$M104="",$N104=""),"",IF($L104&lt;&gt;"",INDEX(LdADate,$L104),IF($M104&lt;&gt;"",INDEX(LdBDate,$M104),INDEX(LdCDate,$N104))))</f>
        <v/>
      </c>
      <c r="C104" s="20">
        <f>IF($L104&lt;&gt;"","دستمزد (فردی)",IF($M104&lt;&gt;"","سهم از گروه "&amp;IFERROR(VLOOKUP(INDEX(LdBGroup,$M104),WGTbl,2,0),INDEX(LdBGroup,$M104)),IF($N104&lt;&gt;"",IF(N(INDEX(LdCDep,$N104))&gt;0,"بازگشت بانکی","پرداخت بانکی"),"")))</f>
        <v/>
      </c>
      <c r="D104" s="20">
        <f>IF($L104&lt;&gt;"",IF(INDEX(LdAId,$L104)="","—",INDEX(LdAId,$L104)),IF($M104&lt;&gt;"",IF(INDEX(LdBId,$M104)="","—",INDEX(LdBId,$M104)),IF($N104&lt;&gt;"",IF(INDEX(LdCBank,$N104)="","—",INDEX(LdCBank,$N104)),"")))</f>
        <v/>
      </c>
      <c r="E104" s="21">
        <f>IF($L104&lt;&gt;"",IF(INDEX(LdAAmt,$L104)=0,"",INDEX(LdAAmt,$L104)),IF($M104&lt;&gt;"",IF(INDEX(LdBAmt,$M104)=0,"",INDEX(LdBAmt,$M104)),IF($N104&lt;&gt;"",IF(INDEX(LdCDep,$N104)=0,"",INDEX(LdCDep,$N104)),"")))</f>
        <v/>
      </c>
      <c r="F104" s="21">
        <f>IF(AND($L104="",$M104="",$N104=""),"",IF($N104="","",IF(INDEX(LdCWit,$N104)=0,"",INDEX(LdCWit,$N104))))</f>
        <v/>
      </c>
      <c r="G104" s="31">
        <f>IF($B104="","",IF($G103="",0,$G103)+IF($E104="",0,$E104)-IF($F104="",0,$F104))</f>
        <v/>
      </c>
      <c r="H104" s="32">
        <f>IF(AND($L104="",$M104="",$N104=""),"",IF($L104&lt;&gt;"",IF(INDEX(LdANote,$L104)="","—",INDEX(LdANote,$L104)),IF($M104&lt;&gt;"",IF(INDEX(LdBNote,$M104)="","—",INDEX(LdBNote,$M104)),IF($N104&lt;&gt;"",IF(INDEX(LdCNote,$N104)="","—",INDEX(LdCNote,$N104)),""))))</f>
        <v/>
      </c>
      <c r="L104">
        <f>IFERROR(MATCH($C$5&amp;"|"&amp;RIGHT("000000"&amp;88,6),LdAKeyM,0),"")</f>
        <v/>
      </c>
      <c r="M104">
        <f>IFERROR(MATCH($C$5&amp;"|"&amp;RIGHT("000000"&amp;88,6),LdBKeyM,0),"")</f>
        <v/>
      </c>
      <c r="N104">
        <f>IFERROR(MATCH($C$5&amp;"|"&amp;RIGHT("000000"&amp;88,6),LdCKeyM,0),"")</f>
        <v/>
      </c>
    </row>
    <row r="105">
      <c r="A105" s="10" t="n">
        <v>89</v>
      </c>
      <c r="B105" s="14">
        <f>IF(AND($L105="",$M105="",$N105=""),"",IF($L105&lt;&gt;"",INDEX(LdADate,$L105),IF($M105&lt;&gt;"",INDEX(LdBDate,$M105),INDEX(LdCDate,$N105))))</f>
        <v/>
      </c>
      <c r="C105" s="14">
        <f>IF($L105&lt;&gt;"","دستمزد (فردی)",IF($M105&lt;&gt;"","سهم از گروه "&amp;IFERROR(VLOOKUP(INDEX(LdBGroup,$M105),WGTbl,2,0),INDEX(LdBGroup,$M105)),IF($N105&lt;&gt;"",IF(N(INDEX(LdCDep,$N105))&gt;0,"بازگشت بانکی","پرداخت بانکی"),"")))</f>
        <v/>
      </c>
      <c r="D105" s="14">
        <f>IF($L105&lt;&gt;"",IF(INDEX(LdAId,$L105)="","—",INDEX(LdAId,$L105)),IF($M105&lt;&gt;"",IF(INDEX(LdBId,$M105)="","—",INDEX(LdBId,$M105)),IF($N105&lt;&gt;"",IF(INDEX(LdCBank,$N105)="","—",INDEX(LdCBank,$N105)),"")))</f>
        <v/>
      </c>
      <c r="E105" s="16">
        <f>IF($L105&lt;&gt;"",IF(INDEX(LdAAmt,$L105)=0,"",INDEX(LdAAmt,$L105)),IF($M105&lt;&gt;"",IF(INDEX(LdBAmt,$M105)=0,"",INDEX(LdBAmt,$M105)),IF($N105&lt;&gt;"",IF(INDEX(LdCDep,$N105)=0,"",INDEX(LdCDep,$N105)),"")))</f>
        <v/>
      </c>
      <c r="F105" s="16">
        <f>IF(AND($L105="",$M105="",$N105=""),"",IF($N105="","",IF(INDEX(LdCWit,$N105)=0,"",INDEX(LdCWit,$N105))))</f>
        <v/>
      </c>
      <c r="G105" s="29">
        <f>IF($B105="","",IF($G104="",0,$G104)+IF($E105="",0,$E105)-IF($F105="",0,$F105))</f>
        <v/>
      </c>
      <c r="H105" s="30">
        <f>IF(AND($L105="",$M105="",$N105=""),"",IF($L105&lt;&gt;"",IF(INDEX(LdANote,$L105)="","—",INDEX(LdANote,$L105)),IF($M105&lt;&gt;"",IF(INDEX(LdBNote,$M105)="","—",INDEX(LdBNote,$M105)),IF($N105&lt;&gt;"",IF(INDEX(LdCNote,$N105)="","—",INDEX(LdCNote,$N105)),""))))</f>
        <v/>
      </c>
      <c r="L105">
        <f>IFERROR(MATCH($C$5&amp;"|"&amp;RIGHT("000000"&amp;89,6),LdAKeyM,0),"")</f>
        <v/>
      </c>
      <c r="M105">
        <f>IFERROR(MATCH($C$5&amp;"|"&amp;RIGHT("000000"&amp;89,6),LdBKeyM,0),"")</f>
        <v/>
      </c>
      <c r="N105">
        <f>IFERROR(MATCH($C$5&amp;"|"&amp;RIGHT("000000"&amp;89,6),LdCKeyM,0),"")</f>
        <v/>
      </c>
    </row>
    <row r="106">
      <c r="A106" s="19" t="n">
        <v>90</v>
      </c>
      <c r="B106" s="20">
        <f>IF(AND($L106="",$M106="",$N106=""),"",IF($L106&lt;&gt;"",INDEX(LdADate,$L106),IF($M106&lt;&gt;"",INDEX(LdBDate,$M106),INDEX(LdCDate,$N106))))</f>
        <v/>
      </c>
      <c r="C106" s="20">
        <f>IF($L106&lt;&gt;"","دستمزد (فردی)",IF($M106&lt;&gt;"","سهم از گروه "&amp;IFERROR(VLOOKUP(INDEX(LdBGroup,$M106),WGTbl,2,0),INDEX(LdBGroup,$M106)),IF($N106&lt;&gt;"",IF(N(INDEX(LdCDep,$N106))&gt;0,"بازگشت بانکی","پرداخت بانکی"),"")))</f>
        <v/>
      </c>
      <c r="D106" s="20">
        <f>IF($L106&lt;&gt;"",IF(INDEX(LdAId,$L106)="","—",INDEX(LdAId,$L106)),IF($M106&lt;&gt;"",IF(INDEX(LdBId,$M106)="","—",INDEX(LdBId,$M106)),IF($N106&lt;&gt;"",IF(INDEX(LdCBank,$N106)="","—",INDEX(LdCBank,$N106)),"")))</f>
        <v/>
      </c>
      <c r="E106" s="21">
        <f>IF($L106&lt;&gt;"",IF(INDEX(LdAAmt,$L106)=0,"",INDEX(LdAAmt,$L106)),IF($M106&lt;&gt;"",IF(INDEX(LdBAmt,$M106)=0,"",INDEX(LdBAmt,$M106)),IF($N106&lt;&gt;"",IF(INDEX(LdCDep,$N106)=0,"",INDEX(LdCDep,$N106)),"")))</f>
        <v/>
      </c>
      <c r="F106" s="21">
        <f>IF(AND($L106="",$M106="",$N106=""),"",IF($N106="","",IF(INDEX(LdCWit,$N106)=0,"",INDEX(LdCWit,$N106))))</f>
        <v/>
      </c>
      <c r="G106" s="31">
        <f>IF($B106="","",IF($G105="",0,$G105)+IF($E106="",0,$E106)-IF($F106="",0,$F106))</f>
        <v/>
      </c>
      <c r="H106" s="32">
        <f>IF(AND($L106="",$M106="",$N106=""),"",IF($L106&lt;&gt;"",IF(INDEX(LdANote,$L106)="","—",INDEX(LdANote,$L106)),IF($M106&lt;&gt;"",IF(INDEX(LdBNote,$M106)="","—",INDEX(LdBNote,$M106)),IF($N106&lt;&gt;"",IF(INDEX(LdCNote,$N106)="","—",INDEX(LdCNote,$N106)),""))))</f>
        <v/>
      </c>
      <c r="L106">
        <f>IFERROR(MATCH($C$5&amp;"|"&amp;RIGHT("000000"&amp;90,6),LdAKeyM,0),"")</f>
        <v/>
      </c>
      <c r="M106">
        <f>IFERROR(MATCH($C$5&amp;"|"&amp;RIGHT("000000"&amp;90,6),LdBKeyM,0),"")</f>
        <v/>
      </c>
      <c r="N106">
        <f>IFERROR(MATCH($C$5&amp;"|"&amp;RIGHT("000000"&amp;90,6),LdCKeyM,0),"")</f>
        <v/>
      </c>
    </row>
    <row r="107">
      <c r="A107" s="10" t="n">
        <v>91</v>
      </c>
      <c r="B107" s="14">
        <f>IF(AND($L107="",$M107="",$N107=""),"",IF($L107&lt;&gt;"",INDEX(LdADate,$L107),IF($M107&lt;&gt;"",INDEX(LdBDate,$M107),INDEX(LdCDate,$N107))))</f>
        <v/>
      </c>
      <c r="C107" s="14">
        <f>IF($L107&lt;&gt;"","دستمزد (فردی)",IF($M107&lt;&gt;"","سهم از گروه "&amp;IFERROR(VLOOKUP(INDEX(LdBGroup,$M107),WGTbl,2,0),INDEX(LdBGroup,$M107)),IF($N107&lt;&gt;"",IF(N(INDEX(LdCDep,$N107))&gt;0,"بازگشت بانکی","پرداخت بانکی"),"")))</f>
        <v/>
      </c>
      <c r="D107" s="14">
        <f>IF($L107&lt;&gt;"",IF(INDEX(LdAId,$L107)="","—",INDEX(LdAId,$L107)),IF($M107&lt;&gt;"",IF(INDEX(LdBId,$M107)="","—",INDEX(LdBId,$M107)),IF($N107&lt;&gt;"",IF(INDEX(LdCBank,$N107)="","—",INDEX(LdCBank,$N107)),"")))</f>
        <v/>
      </c>
      <c r="E107" s="16">
        <f>IF($L107&lt;&gt;"",IF(INDEX(LdAAmt,$L107)=0,"",INDEX(LdAAmt,$L107)),IF($M107&lt;&gt;"",IF(INDEX(LdBAmt,$M107)=0,"",INDEX(LdBAmt,$M107)),IF($N107&lt;&gt;"",IF(INDEX(LdCDep,$N107)=0,"",INDEX(LdCDep,$N107)),"")))</f>
        <v/>
      </c>
      <c r="F107" s="16">
        <f>IF(AND($L107="",$M107="",$N107=""),"",IF($N107="","",IF(INDEX(LdCWit,$N107)=0,"",INDEX(LdCWit,$N107))))</f>
        <v/>
      </c>
      <c r="G107" s="29">
        <f>IF($B107="","",IF($G106="",0,$G106)+IF($E107="",0,$E107)-IF($F107="",0,$F107))</f>
        <v/>
      </c>
      <c r="H107" s="30">
        <f>IF(AND($L107="",$M107="",$N107=""),"",IF($L107&lt;&gt;"",IF(INDEX(LdANote,$L107)="","—",INDEX(LdANote,$L107)),IF($M107&lt;&gt;"",IF(INDEX(LdBNote,$M107)="","—",INDEX(LdBNote,$M107)),IF($N107&lt;&gt;"",IF(INDEX(LdCNote,$N107)="","—",INDEX(LdCNote,$N107)),""))))</f>
        <v/>
      </c>
      <c r="L107">
        <f>IFERROR(MATCH($C$5&amp;"|"&amp;RIGHT("000000"&amp;91,6),LdAKeyM,0),"")</f>
        <v/>
      </c>
      <c r="M107">
        <f>IFERROR(MATCH($C$5&amp;"|"&amp;RIGHT("000000"&amp;91,6),LdBKeyM,0),"")</f>
        <v/>
      </c>
      <c r="N107">
        <f>IFERROR(MATCH($C$5&amp;"|"&amp;RIGHT("000000"&amp;91,6),LdCKeyM,0),"")</f>
        <v/>
      </c>
    </row>
    <row r="108">
      <c r="A108" s="19" t="n">
        <v>92</v>
      </c>
      <c r="B108" s="20">
        <f>IF(AND($L108="",$M108="",$N108=""),"",IF($L108&lt;&gt;"",INDEX(LdADate,$L108),IF($M108&lt;&gt;"",INDEX(LdBDate,$M108),INDEX(LdCDate,$N108))))</f>
        <v/>
      </c>
      <c r="C108" s="20">
        <f>IF($L108&lt;&gt;"","دستمزد (فردی)",IF($M108&lt;&gt;"","سهم از گروه "&amp;IFERROR(VLOOKUP(INDEX(LdBGroup,$M108),WGTbl,2,0),INDEX(LdBGroup,$M108)),IF($N108&lt;&gt;"",IF(N(INDEX(LdCDep,$N108))&gt;0,"بازگشت بانکی","پرداخت بانکی"),"")))</f>
        <v/>
      </c>
      <c r="D108" s="20">
        <f>IF($L108&lt;&gt;"",IF(INDEX(LdAId,$L108)="","—",INDEX(LdAId,$L108)),IF($M108&lt;&gt;"",IF(INDEX(LdBId,$M108)="","—",INDEX(LdBId,$M108)),IF($N108&lt;&gt;"",IF(INDEX(LdCBank,$N108)="","—",INDEX(LdCBank,$N108)),"")))</f>
        <v/>
      </c>
      <c r="E108" s="21">
        <f>IF($L108&lt;&gt;"",IF(INDEX(LdAAmt,$L108)=0,"",INDEX(LdAAmt,$L108)),IF($M108&lt;&gt;"",IF(INDEX(LdBAmt,$M108)=0,"",INDEX(LdBAmt,$M108)),IF($N108&lt;&gt;"",IF(INDEX(LdCDep,$N108)=0,"",INDEX(LdCDep,$N108)),"")))</f>
        <v/>
      </c>
      <c r="F108" s="21">
        <f>IF(AND($L108="",$M108="",$N108=""),"",IF($N108="","",IF(INDEX(LdCWit,$N108)=0,"",INDEX(LdCWit,$N108))))</f>
        <v/>
      </c>
      <c r="G108" s="31">
        <f>IF($B108="","",IF($G107="",0,$G107)+IF($E108="",0,$E108)-IF($F108="",0,$F108))</f>
        <v/>
      </c>
      <c r="H108" s="32">
        <f>IF(AND($L108="",$M108="",$N108=""),"",IF($L108&lt;&gt;"",IF(INDEX(LdANote,$L108)="","—",INDEX(LdANote,$L108)),IF($M108&lt;&gt;"",IF(INDEX(LdBNote,$M108)="","—",INDEX(LdBNote,$M108)),IF($N108&lt;&gt;"",IF(INDEX(LdCNote,$N108)="","—",INDEX(LdCNote,$N108)),""))))</f>
        <v/>
      </c>
      <c r="L108">
        <f>IFERROR(MATCH($C$5&amp;"|"&amp;RIGHT("000000"&amp;92,6),LdAKeyM,0),"")</f>
        <v/>
      </c>
      <c r="M108">
        <f>IFERROR(MATCH($C$5&amp;"|"&amp;RIGHT("000000"&amp;92,6),LdBKeyM,0),"")</f>
        <v/>
      </c>
      <c r="N108">
        <f>IFERROR(MATCH($C$5&amp;"|"&amp;RIGHT("000000"&amp;92,6),LdCKeyM,0),"")</f>
        <v/>
      </c>
    </row>
    <row r="109">
      <c r="A109" s="10" t="n">
        <v>93</v>
      </c>
      <c r="B109" s="14">
        <f>IF(AND($L109="",$M109="",$N109=""),"",IF($L109&lt;&gt;"",INDEX(LdADate,$L109),IF($M109&lt;&gt;"",INDEX(LdBDate,$M109),INDEX(LdCDate,$N109))))</f>
        <v/>
      </c>
      <c r="C109" s="14">
        <f>IF($L109&lt;&gt;"","دستمزد (فردی)",IF($M109&lt;&gt;"","سهم از گروه "&amp;IFERROR(VLOOKUP(INDEX(LdBGroup,$M109),WGTbl,2,0),INDEX(LdBGroup,$M109)),IF($N109&lt;&gt;"",IF(N(INDEX(LdCDep,$N109))&gt;0,"بازگشت بانکی","پرداخت بانکی"),"")))</f>
        <v/>
      </c>
      <c r="D109" s="14">
        <f>IF($L109&lt;&gt;"",IF(INDEX(LdAId,$L109)="","—",INDEX(LdAId,$L109)),IF($M109&lt;&gt;"",IF(INDEX(LdBId,$M109)="","—",INDEX(LdBId,$M109)),IF($N109&lt;&gt;"",IF(INDEX(LdCBank,$N109)="","—",INDEX(LdCBank,$N109)),"")))</f>
        <v/>
      </c>
      <c r="E109" s="16">
        <f>IF($L109&lt;&gt;"",IF(INDEX(LdAAmt,$L109)=0,"",INDEX(LdAAmt,$L109)),IF($M109&lt;&gt;"",IF(INDEX(LdBAmt,$M109)=0,"",INDEX(LdBAmt,$M109)),IF($N109&lt;&gt;"",IF(INDEX(LdCDep,$N109)=0,"",INDEX(LdCDep,$N109)),"")))</f>
        <v/>
      </c>
      <c r="F109" s="16">
        <f>IF(AND($L109="",$M109="",$N109=""),"",IF($N109="","",IF(INDEX(LdCWit,$N109)=0,"",INDEX(LdCWit,$N109))))</f>
        <v/>
      </c>
      <c r="G109" s="29">
        <f>IF($B109="","",IF($G108="",0,$G108)+IF($E109="",0,$E109)-IF($F109="",0,$F109))</f>
        <v/>
      </c>
      <c r="H109" s="30">
        <f>IF(AND($L109="",$M109="",$N109=""),"",IF($L109&lt;&gt;"",IF(INDEX(LdANote,$L109)="","—",INDEX(LdANote,$L109)),IF($M109&lt;&gt;"",IF(INDEX(LdBNote,$M109)="","—",INDEX(LdBNote,$M109)),IF($N109&lt;&gt;"",IF(INDEX(LdCNote,$N109)="","—",INDEX(LdCNote,$N109)),""))))</f>
        <v/>
      </c>
      <c r="L109">
        <f>IFERROR(MATCH($C$5&amp;"|"&amp;RIGHT("000000"&amp;93,6),LdAKeyM,0),"")</f>
        <v/>
      </c>
      <c r="M109">
        <f>IFERROR(MATCH($C$5&amp;"|"&amp;RIGHT("000000"&amp;93,6),LdBKeyM,0),"")</f>
        <v/>
      </c>
      <c r="N109">
        <f>IFERROR(MATCH($C$5&amp;"|"&amp;RIGHT("000000"&amp;93,6),LdCKeyM,0),"")</f>
        <v/>
      </c>
    </row>
    <row r="110">
      <c r="A110" s="19" t="n">
        <v>94</v>
      </c>
      <c r="B110" s="20">
        <f>IF(AND($L110="",$M110="",$N110=""),"",IF($L110&lt;&gt;"",INDEX(LdADate,$L110),IF($M110&lt;&gt;"",INDEX(LdBDate,$M110),INDEX(LdCDate,$N110))))</f>
        <v/>
      </c>
      <c r="C110" s="20">
        <f>IF($L110&lt;&gt;"","دستمزد (فردی)",IF($M110&lt;&gt;"","سهم از گروه "&amp;IFERROR(VLOOKUP(INDEX(LdBGroup,$M110),WGTbl,2,0),INDEX(LdBGroup,$M110)),IF($N110&lt;&gt;"",IF(N(INDEX(LdCDep,$N110))&gt;0,"بازگشت بانکی","پرداخت بانکی"),"")))</f>
        <v/>
      </c>
      <c r="D110" s="20">
        <f>IF($L110&lt;&gt;"",IF(INDEX(LdAId,$L110)="","—",INDEX(LdAId,$L110)),IF($M110&lt;&gt;"",IF(INDEX(LdBId,$M110)="","—",INDEX(LdBId,$M110)),IF($N110&lt;&gt;"",IF(INDEX(LdCBank,$N110)="","—",INDEX(LdCBank,$N110)),"")))</f>
        <v/>
      </c>
      <c r="E110" s="21">
        <f>IF($L110&lt;&gt;"",IF(INDEX(LdAAmt,$L110)=0,"",INDEX(LdAAmt,$L110)),IF($M110&lt;&gt;"",IF(INDEX(LdBAmt,$M110)=0,"",INDEX(LdBAmt,$M110)),IF($N110&lt;&gt;"",IF(INDEX(LdCDep,$N110)=0,"",INDEX(LdCDep,$N110)),"")))</f>
        <v/>
      </c>
      <c r="F110" s="21">
        <f>IF(AND($L110="",$M110="",$N110=""),"",IF($N110="","",IF(INDEX(LdCWit,$N110)=0,"",INDEX(LdCWit,$N110))))</f>
        <v/>
      </c>
      <c r="G110" s="31">
        <f>IF($B110="","",IF($G109="",0,$G109)+IF($E110="",0,$E110)-IF($F110="",0,$F110))</f>
        <v/>
      </c>
      <c r="H110" s="32">
        <f>IF(AND($L110="",$M110="",$N110=""),"",IF($L110&lt;&gt;"",IF(INDEX(LdANote,$L110)="","—",INDEX(LdANote,$L110)),IF($M110&lt;&gt;"",IF(INDEX(LdBNote,$M110)="","—",INDEX(LdBNote,$M110)),IF($N110&lt;&gt;"",IF(INDEX(LdCNote,$N110)="","—",INDEX(LdCNote,$N110)),""))))</f>
        <v/>
      </c>
      <c r="L110">
        <f>IFERROR(MATCH($C$5&amp;"|"&amp;RIGHT("000000"&amp;94,6),LdAKeyM,0),"")</f>
        <v/>
      </c>
      <c r="M110">
        <f>IFERROR(MATCH($C$5&amp;"|"&amp;RIGHT("000000"&amp;94,6),LdBKeyM,0),"")</f>
        <v/>
      </c>
      <c r="N110">
        <f>IFERROR(MATCH($C$5&amp;"|"&amp;RIGHT("000000"&amp;94,6),LdCKeyM,0),"")</f>
        <v/>
      </c>
    </row>
    <row r="111">
      <c r="A111" s="10" t="n">
        <v>95</v>
      </c>
      <c r="B111" s="14">
        <f>IF(AND($L111="",$M111="",$N111=""),"",IF($L111&lt;&gt;"",INDEX(LdADate,$L111),IF($M111&lt;&gt;"",INDEX(LdBDate,$M111),INDEX(LdCDate,$N111))))</f>
        <v/>
      </c>
      <c r="C111" s="14">
        <f>IF($L111&lt;&gt;"","دستمزد (فردی)",IF($M111&lt;&gt;"","سهم از گروه "&amp;IFERROR(VLOOKUP(INDEX(LdBGroup,$M111),WGTbl,2,0),INDEX(LdBGroup,$M111)),IF($N111&lt;&gt;"",IF(N(INDEX(LdCDep,$N111))&gt;0,"بازگشت بانکی","پرداخت بانکی"),"")))</f>
        <v/>
      </c>
      <c r="D111" s="14">
        <f>IF($L111&lt;&gt;"",IF(INDEX(LdAId,$L111)="","—",INDEX(LdAId,$L111)),IF($M111&lt;&gt;"",IF(INDEX(LdBId,$M111)="","—",INDEX(LdBId,$M111)),IF($N111&lt;&gt;"",IF(INDEX(LdCBank,$N111)="","—",INDEX(LdCBank,$N111)),"")))</f>
        <v/>
      </c>
      <c r="E111" s="16">
        <f>IF($L111&lt;&gt;"",IF(INDEX(LdAAmt,$L111)=0,"",INDEX(LdAAmt,$L111)),IF($M111&lt;&gt;"",IF(INDEX(LdBAmt,$M111)=0,"",INDEX(LdBAmt,$M111)),IF($N111&lt;&gt;"",IF(INDEX(LdCDep,$N111)=0,"",INDEX(LdCDep,$N111)),"")))</f>
        <v/>
      </c>
      <c r="F111" s="16">
        <f>IF(AND($L111="",$M111="",$N111=""),"",IF($N111="","",IF(INDEX(LdCWit,$N111)=0,"",INDEX(LdCWit,$N111))))</f>
        <v/>
      </c>
      <c r="G111" s="29">
        <f>IF($B111="","",IF($G110="",0,$G110)+IF($E111="",0,$E111)-IF($F111="",0,$F111))</f>
        <v/>
      </c>
      <c r="H111" s="30">
        <f>IF(AND($L111="",$M111="",$N111=""),"",IF($L111&lt;&gt;"",IF(INDEX(LdANote,$L111)="","—",INDEX(LdANote,$L111)),IF($M111&lt;&gt;"",IF(INDEX(LdBNote,$M111)="","—",INDEX(LdBNote,$M111)),IF($N111&lt;&gt;"",IF(INDEX(LdCNote,$N111)="","—",INDEX(LdCNote,$N111)),""))))</f>
        <v/>
      </c>
      <c r="L111">
        <f>IFERROR(MATCH($C$5&amp;"|"&amp;RIGHT("000000"&amp;95,6),LdAKeyM,0),"")</f>
        <v/>
      </c>
      <c r="M111">
        <f>IFERROR(MATCH($C$5&amp;"|"&amp;RIGHT("000000"&amp;95,6),LdBKeyM,0),"")</f>
        <v/>
      </c>
      <c r="N111">
        <f>IFERROR(MATCH($C$5&amp;"|"&amp;RIGHT("000000"&amp;95,6),LdCKeyM,0),"")</f>
        <v/>
      </c>
    </row>
    <row r="112">
      <c r="A112" s="19" t="n">
        <v>96</v>
      </c>
      <c r="B112" s="20">
        <f>IF(AND($L112="",$M112="",$N112=""),"",IF($L112&lt;&gt;"",INDEX(LdADate,$L112),IF($M112&lt;&gt;"",INDEX(LdBDate,$M112),INDEX(LdCDate,$N112))))</f>
        <v/>
      </c>
      <c r="C112" s="20">
        <f>IF($L112&lt;&gt;"","دستمزد (فردی)",IF($M112&lt;&gt;"","سهم از گروه "&amp;IFERROR(VLOOKUP(INDEX(LdBGroup,$M112),WGTbl,2,0),INDEX(LdBGroup,$M112)),IF($N112&lt;&gt;"",IF(N(INDEX(LdCDep,$N112))&gt;0,"بازگشت بانکی","پرداخت بانکی"),"")))</f>
        <v/>
      </c>
      <c r="D112" s="20">
        <f>IF($L112&lt;&gt;"",IF(INDEX(LdAId,$L112)="","—",INDEX(LdAId,$L112)),IF($M112&lt;&gt;"",IF(INDEX(LdBId,$M112)="","—",INDEX(LdBId,$M112)),IF($N112&lt;&gt;"",IF(INDEX(LdCBank,$N112)="","—",INDEX(LdCBank,$N112)),"")))</f>
        <v/>
      </c>
      <c r="E112" s="21">
        <f>IF($L112&lt;&gt;"",IF(INDEX(LdAAmt,$L112)=0,"",INDEX(LdAAmt,$L112)),IF($M112&lt;&gt;"",IF(INDEX(LdBAmt,$M112)=0,"",INDEX(LdBAmt,$M112)),IF($N112&lt;&gt;"",IF(INDEX(LdCDep,$N112)=0,"",INDEX(LdCDep,$N112)),"")))</f>
        <v/>
      </c>
      <c r="F112" s="21">
        <f>IF(AND($L112="",$M112="",$N112=""),"",IF($N112="","",IF(INDEX(LdCWit,$N112)=0,"",INDEX(LdCWit,$N112))))</f>
        <v/>
      </c>
      <c r="G112" s="31">
        <f>IF($B112="","",IF($G111="",0,$G111)+IF($E112="",0,$E112)-IF($F112="",0,$F112))</f>
        <v/>
      </c>
      <c r="H112" s="32">
        <f>IF(AND($L112="",$M112="",$N112=""),"",IF($L112&lt;&gt;"",IF(INDEX(LdANote,$L112)="","—",INDEX(LdANote,$L112)),IF($M112&lt;&gt;"",IF(INDEX(LdBNote,$M112)="","—",INDEX(LdBNote,$M112)),IF($N112&lt;&gt;"",IF(INDEX(LdCNote,$N112)="","—",INDEX(LdCNote,$N112)),""))))</f>
        <v/>
      </c>
      <c r="L112">
        <f>IFERROR(MATCH($C$5&amp;"|"&amp;RIGHT("000000"&amp;96,6),LdAKeyM,0),"")</f>
        <v/>
      </c>
      <c r="M112">
        <f>IFERROR(MATCH($C$5&amp;"|"&amp;RIGHT("000000"&amp;96,6),LdBKeyM,0),"")</f>
        <v/>
      </c>
      <c r="N112">
        <f>IFERROR(MATCH($C$5&amp;"|"&amp;RIGHT("000000"&amp;96,6),LdCKeyM,0),"")</f>
        <v/>
      </c>
    </row>
    <row r="113">
      <c r="A113" s="10" t="n">
        <v>97</v>
      </c>
      <c r="B113" s="14">
        <f>IF(AND($L113="",$M113="",$N113=""),"",IF($L113&lt;&gt;"",INDEX(LdADate,$L113),IF($M113&lt;&gt;"",INDEX(LdBDate,$M113),INDEX(LdCDate,$N113))))</f>
        <v/>
      </c>
      <c r="C113" s="14">
        <f>IF($L113&lt;&gt;"","دستمزد (فردی)",IF($M113&lt;&gt;"","سهم از گروه "&amp;IFERROR(VLOOKUP(INDEX(LdBGroup,$M113),WGTbl,2,0),INDEX(LdBGroup,$M113)),IF($N113&lt;&gt;"",IF(N(INDEX(LdCDep,$N113))&gt;0,"بازگشت بانکی","پرداخت بانکی"),"")))</f>
        <v/>
      </c>
      <c r="D113" s="14">
        <f>IF($L113&lt;&gt;"",IF(INDEX(LdAId,$L113)="","—",INDEX(LdAId,$L113)),IF($M113&lt;&gt;"",IF(INDEX(LdBId,$M113)="","—",INDEX(LdBId,$M113)),IF($N113&lt;&gt;"",IF(INDEX(LdCBank,$N113)="","—",INDEX(LdCBank,$N113)),"")))</f>
        <v/>
      </c>
      <c r="E113" s="16">
        <f>IF($L113&lt;&gt;"",IF(INDEX(LdAAmt,$L113)=0,"",INDEX(LdAAmt,$L113)),IF($M113&lt;&gt;"",IF(INDEX(LdBAmt,$M113)=0,"",INDEX(LdBAmt,$M113)),IF($N113&lt;&gt;"",IF(INDEX(LdCDep,$N113)=0,"",INDEX(LdCDep,$N113)),"")))</f>
        <v/>
      </c>
      <c r="F113" s="16">
        <f>IF(AND($L113="",$M113="",$N113=""),"",IF($N113="","",IF(INDEX(LdCWit,$N113)=0,"",INDEX(LdCWit,$N113))))</f>
        <v/>
      </c>
      <c r="G113" s="29">
        <f>IF($B113="","",IF($G112="",0,$G112)+IF($E113="",0,$E113)-IF($F113="",0,$F113))</f>
        <v/>
      </c>
      <c r="H113" s="30">
        <f>IF(AND($L113="",$M113="",$N113=""),"",IF($L113&lt;&gt;"",IF(INDEX(LdANote,$L113)="","—",INDEX(LdANote,$L113)),IF($M113&lt;&gt;"",IF(INDEX(LdBNote,$M113)="","—",INDEX(LdBNote,$M113)),IF($N113&lt;&gt;"",IF(INDEX(LdCNote,$N113)="","—",INDEX(LdCNote,$N113)),""))))</f>
        <v/>
      </c>
      <c r="L113">
        <f>IFERROR(MATCH($C$5&amp;"|"&amp;RIGHT("000000"&amp;97,6),LdAKeyM,0),"")</f>
        <v/>
      </c>
      <c r="M113">
        <f>IFERROR(MATCH($C$5&amp;"|"&amp;RIGHT("000000"&amp;97,6),LdBKeyM,0),"")</f>
        <v/>
      </c>
      <c r="N113">
        <f>IFERROR(MATCH($C$5&amp;"|"&amp;RIGHT("000000"&amp;97,6),LdCKeyM,0),"")</f>
        <v/>
      </c>
    </row>
    <row r="114">
      <c r="A114" s="19" t="n">
        <v>98</v>
      </c>
      <c r="B114" s="20">
        <f>IF(AND($L114="",$M114="",$N114=""),"",IF($L114&lt;&gt;"",INDEX(LdADate,$L114),IF($M114&lt;&gt;"",INDEX(LdBDate,$M114),INDEX(LdCDate,$N114))))</f>
        <v/>
      </c>
      <c r="C114" s="20">
        <f>IF($L114&lt;&gt;"","دستمزد (فردی)",IF($M114&lt;&gt;"","سهم از گروه "&amp;IFERROR(VLOOKUP(INDEX(LdBGroup,$M114),WGTbl,2,0),INDEX(LdBGroup,$M114)),IF($N114&lt;&gt;"",IF(N(INDEX(LdCDep,$N114))&gt;0,"بازگشت بانکی","پرداخت بانکی"),"")))</f>
        <v/>
      </c>
      <c r="D114" s="20">
        <f>IF($L114&lt;&gt;"",IF(INDEX(LdAId,$L114)="","—",INDEX(LdAId,$L114)),IF($M114&lt;&gt;"",IF(INDEX(LdBId,$M114)="","—",INDEX(LdBId,$M114)),IF($N114&lt;&gt;"",IF(INDEX(LdCBank,$N114)="","—",INDEX(LdCBank,$N114)),"")))</f>
        <v/>
      </c>
      <c r="E114" s="21">
        <f>IF($L114&lt;&gt;"",IF(INDEX(LdAAmt,$L114)=0,"",INDEX(LdAAmt,$L114)),IF($M114&lt;&gt;"",IF(INDEX(LdBAmt,$M114)=0,"",INDEX(LdBAmt,$M114)),IF($N114&lt;&gt;"",IF(INDEX(LdCDep,$N114)=0,"",INDEX(LdCDep,$N114)),"")))</f>
        <v/>
      </c>
      <c r="F114" s="21">
        <f>IF(AND($L114="",$M114="",$N114=""),"",IF($N114="","",IF(INDEX(LdCWit,$N114)=0,"",INDEX(LdCWit,$N114))))</f>
        <v/>
      </c>
      <c r="G114" s="31">
        <f>IF($B114="","",IF($G113="",0,$G113)+IF($E114="",0,$E114)-IF($F114="",0,$F114))</f>
        <v/>
      </c>
      <c r="H114" s="32">
        <f>IF(AND($L114="",$M114="",$N114=""),"",IF($L114&lt;&gt;"",IF(INDEX(LdANote,$L114)="","—",INDEX(LdANote,$L114)),IF($M114&lt;&gt;"",IF(INDEX(LdBNote,$M114)="","—",INDEX(LdBNote,$M114)),IF($N114&lt;&gt;"",IF(INDEX(LdCNote,$N114)="","—",INDEX(LdCNote,$N114)),""))))</f>
        <v/>
      </c>
      <c r="L114">
        <f>IFERROR(MATCH($C$5&amp;"|"&amp;RIGHT("000000"&amp;98,6),LdAKeyM,0),"")</f>
        <v/>
      </c>
      <c r="M114">
        <f>IFERROR(MATCH($C$5&amp;"|"&amp;RIGHT("000000"&amp;98,6),LdBKeyM,0),"")</f>
        <v/>
      </c>
      <c r="N114">
        <f>IFERROR(MATCH($C$5&amp;"|"&amp;RIGHT("000000"&amp;98,6),LdCKeyM,0),"")</f>
        <v/>
      </c>
    </row>
    <row r="115">
      <c r="A115" s="10" t="n">
        <v>99</v>
      </c>
      <c r="B115" s="14">
        <f>IF(AND($L115="",$M115="",$N115=""),"",IF($L115&lt;&gt;"",INDEX(LdADate,$L115),IF($M115&lt;&gt;"",INDEX(LdBDate,$M115),INDEX(LdCDate,$N115))))</f>
        <v/>
      </c>
      <c r="C115" s="14">
        <f>IF($L115&lt;&gt;"","دستمزد (فردی)",IF($M115&lt;&gt;"","سهم از گروه "&amp;IFERROR(VLOOKUP(INDEX(LdBGroup,$M115),WGTbl,2,0),INDEX(LdBGroup,$M115)),IF($N115&lt;&gt;"",IF(N(INDEX(LdCDep,$N115))&gt;0,"بازگشت بانکی","پرداخت بانکی"),"")))</f>
        <v/>
      </c>
      <c r="D115" s="14">
        <f>IF($L115&lt;&gt;"",IF(INDEX(LdAId,$L115)="","—",INDEX(LdAId,$L115)),IF($M115&lt;&gt;"",IF(INDEX(LdBId,$M115)="","—",INDEX(LdBId,$M115)),IF($N115&lt;&gt;"",IF(INDEX(LdCBank,$N115)="","—",INDEX(LdCBank,$N115)),"")))</f>
        <v/>
      </c>
      <c r="E115" s="16">
        <f>IF($L115&lt;&gt;"",IF(INDEX(LdAAmt,$L115)=0,"",INDEX(LdAAmt,$L115)),IF($M115&lt;&gt;"",IF(INDEX(LdBAmt,$M115)=0,"",INDEX(LdBAmt,$M115)),IF($N115&lt;&gt;"",IF(INDEX(LdCDep,$N115)=0,"",INDEX(LdCDep,$N115)),"")))</f>
        <v/>
      </c>
      <c r="F115" s="16">
        <f>IF(AND($L115="",$M115="",$N115=""),"",IF($N115="","",IF(INDEX(LdCWit,$N115)=0,"",INDEX(LdCWit,$N115))))</f>
        <v/>
      </c>
      <c r="G115" s="29">
        <f>IF($B115="","",IF($G114="",0,$G114)+IF($E115="",0,$E115)-IF($F115="",0,$F115))</f>
        <v/>
      </c>
      <c r="H115" s="30">
        <f>IF(AND($L115="",$M115="",$N115=""),"",IF($L115&lt;&gt;"",IF(INDEX(LdANote,$L115)="","—",INDEX(LdANote,$L115)),IF($M115&lt;&gt;"",IF(INDEX(LdBNote,$M115)="","—",INDEX(LdBNote,$M115)),IF($N115&lt;&gt;"",IF(INDEX(LdCNote,$N115)="","—",INDEX(LdCNote,$N115)),""))))</f>
        <v/>
      </c>
      <c r="L115">
        <f>IFERROR(MATCH($C$5&amp;"|"&amp;RIGHT("000000"&amp;99,6),LdAKeyM,0),"")</f>
        <v/>
      </c>
      <c r="M115">
        <f>IFERROR(MATCH($C$5&amp;"|"&amp;RIGHT("000000"&amp;99,6),LdBKeyM,0),"")</f>
        <v/>
      </c>
      <c r="N115">
        <f>IFERROR(MATCH($C$5&amp;"|"&amp;RIGHT("000000"&amp;99,6),LdCKeyM,0),"")</f>
        <v/>
      </c>
    </row>
    <row r="116">
      <c r="A116" s="19" t="n">
        <v>100</v>
      </c>
      <c r="B116" s="20">
        <f>IF(AND($L116="",$M116="",$N116=""),"",IF($L116&lt;&gt;"",INDEX(LdADate,$L116),IF($M116&lt;&gt;"",INDEX(LdBDate,$M116),INDEX(LdCDate,$N116))))</f>
        <v/>
      </c>
      <c r="C116" s="20">
        <f>IF($L116&lt;&gt;"","دستمزد (فردی)",IF($M116&lt;&gt;"","سهم از گروه "&amp;IFERROR(VLOOKUP(INDEX(LdBGroup,$M116),WGTbl,2,0),INDEX(LdBGroup,$M116)),IF($N116&lt;&gt;"",IF(N(INDEX(LdCDep,$N116))&gt;0,"بازگشت بانکی","پرداخت بانکی"),"")))</f>
        <v/>
      </c>
      <c r="D116" s="20">
        <f>IF($L116&lt;&gt;"",IF(INDEX(LdAId,$L116)="","—",INDEX(LdAId,$L116)),IF($M116&lt;&gt;"",IF(INDEX(LdBId,$M116)="","—",INDEX(LdBId,$M116)),IF($N116&lt;&gt;"",IF(INDEX(LdCBank,$N116)="","—",INDEX(LdCBank,$N116)),"")))</f>
        <v/>
      </c>
      <c r="E116" s="21">
        <f>IF($L116&lt;&gt;"",IF(INDEX(LdAAmt,$L116)=0,"",INDEX(LdAAmt,$L116)),IF($M116&lt;&gt;"",IF(INDEX(LdBAmt,$M116)=0,"",INDEX(LdBAmt,$M116)),IF($N116&lt;&gt;"",IF(INDEX(LdCDep,$N116)=0,"",INDEX(LdCDep,$N116)),"")))</f>
        <v/>
      </c>
      <c r="F116" s="21">
        <f>IF(AND($L116="",$M116="",$N116=""),"",IF($N116="","",IF(INDEX(LdCWit,$N116)=0,"",INDEX(LdCWit,$N116))))</f>
        <v/>
      </c>
      <c r="G116" s="31">
        <f>IF($B116="","",IF($G115="",0,$G115)+IF($E116="",0,$E116)-IF($F116="",0,$F116))</f>
        <v/>
      </c>
      <c r="H116" s="32">
        <f>IF(AND($L116="",$M116="",$N116=""),"",IF($L116&lt;&gt;"",IF(INDEX(LdANote,$L116)="","—",INDEX(LdANote,$L116)),IF($M116&lt;&gt;"",IF(INDEX(LdBNote,$M116)="","—",INDEX(LdBNote,$M116)),IF($N116&lt;&gt;"",IF(INDEX(LdCNote,$N116)="","—",INDEX(LdCNote,$N116)),""))))</f>
        <v/>
      </c>
      <c r="L116">
        <f>IFERROR(MATCH($C$5&amp;"|"&amp;RIGHT("000000"&amp;100,6),LdAKeyM,0),"")</f>
        <v/>
      </c>
      <c r="M116">
        <f>IFERROR(MATCH($C$5&amp;"|"&amp;RIGHT("000000"&amp;100,6),LdBKeyM,0),"")</f>
        <v/>
      </c>
      <c r="N116">
        <f>IFERROR(MATCH($C$5&amp;"|"&amp;RIGHT("000000"&amp;100,6),LdCKeyM,0),"")</f>
        <v/>
      </c>
    </row>
    <row r="117">
      <c r="A117" s="10" t="n">
        <v>101</v>
      </c>
      <c r="B117" s="14">
        <f>IF(AND($L117="",$M117="",$N117=""),"",IF($L117&lt;&gt;"",INDEX(LdADate,$L117),IF($M117&lt;&gt;"",INDEX(LdBDate,$M117),INDEX(LdCDate,$N117))))</f>
        <v/>
      </c>
      <c r="C117" s="14">
        <f>IF($L117&lt;&gt;"","دستمزد (فردی)",IF($M117&lt;&gt;"","سهم از گروه "&amp;IFERROR(VLOOKUP(INDEX(LdBGroup,$M117),WGTbl,2,0),INDEX(LdBGroup,$M117)),IF($N117&lt;&gt;"",IF(N(INDEX(LdCDep,$N117))&gt;0,"بازگشت بانکی","پرداخت بانکی"),"")))</f>
        <v/>
      </c>
      <c r="D117" s="14">
        <f>IF($L117&lt;&gt;"",IF(INDEX(LdAId,$L117)="","—",INDEX(LdAId,$L117)),IF($M117&lt;&gt;"",IF(INDEX(LdBId,$M117)="","—",INDEX(LdBId,$M117)),IF($N117&lt;&gt;"",IF(INDEX(LdCBank,$N117)="","—",INDEX(LdCBank,$N117)),"")))</f>
        <v/>
      </c>
      <c r="E117" s="16">
        <f>IF($L117&lt;&gt;"",IF(INDEX(LdAAmt,$L117)=0,"",INDEX(LdAAmt,$L117)),IF($M117&lt;&gt;"",IF(INDEX(LdBAmt,$M117)=0,"",INDEX(LdBAmt,$M117)),IF($N117&lt;&gt;"",IF(INDEX(LdCDep,$N117)=0,"",INDEX(LdCDep,$N117)),"")))</f>
        <v/>
      </c>
      <c r="F117" s="16">
        <f>IF(AND($L117="",$M117="",$N117=""),"",IF($N117="","",IF(INDEX(LdCWit,$N117)=0,"",INDEX(LdCWit,$N117))))</f>
        <v/>
      </c>
      <c r="G117" s="29">
        <f>IF($B117="","",IF($G116="",0,$G116)+IF($E117="",0,$E117)-IF($F117="",0,$F117))</f>
        <v/>
      </c>
      <c r="H117" s="30">
        <f>IF(AND($L117="",$M117="",$N117=""),"",IF($L117&lt;&gt;"",IF(INDEX(LdANote,$L117)="","—",INDEX(LdANote,$L117)),IF($M117&lt;&gt;"",IF(INDEX(LdBNote,$M117)="","—",INDEX(LdBNote,$M117)),IF($N117&lt;&gt;"",IF(INDEX(LdCNote,$N117)="","—",INDEX(LdCNote,$N117)),""))))</f>
        <v/>
      </c>
      <c r="L117">
        <f>IFERROR(MATCH($C$5&amp;"|"&amp;RIGHT("000000"&amp;101,6),LdAKeyM,0),"")</f>
        <v/>
      </c>
      <c r="M117">
        <f>IFERROR(MATCH($C$5&amp;"|"&amp;RIGHT("000000"&amp;101,6),LdBKeyM,0),"")</f>
        <v/>
      </c>
      <c r="N117">
        <f>IFERROR(MATCH($C$5&amp;"|"&amp;RIGHT("000000"&amp;101,6),LdCKeyM,0),"")</f>
        <v/>
      </c>
    </row>
    <row r="118">
      <c r="A118" s="19" t="n">
        <v>102</v>
      </c>
      <c r="B118" s="20">
        <f>IF(AND($L118="",$M118="",$N118=""),"",IF($L118&lt;&gt;"",INDEX(LdADate,$L118),IF($M118&lt;&gt;"",INDEX(LdBDate,$M118),INDEX(LdCDate,$N118))))</f>
        <v/>
      </c>
      <c r="C118" s="20">
        <f>IF($L118&lt;&gt;"","دستمزد (فردی)",IF($M118&lt;&gt;"","سهم از گروه "&amp;IFERROR(VLOOKUP(INDEX(LdBGroup,$M118),WGTbl,2,0),INDEX(LdBGroup,$M118)),IF($N118&lt;&gt;"",IF(N(INDEX(LdCDep,$N118))&gt;0,"بازگشت بانکی","پرداخت بانکی"),"")))</f>
        <v/>
      </c>
      <c r="D118" s="20">
        <f>IF($L118&lt;&gt;"",IF(INDEX(LdAId,$L118)="","—",INDEX(LdAId,$L118)),IF($M118&lt;&gt;"",IF(INDEX(LdBId,$M118)="","—",INDEX(LdBId,$M118)),IF($N118&lt;&gt;"",IF(INDEX(LdCBank,$N118)="","—",INDEX(LdCBank,$N118)),"")))</f>
        <v/>
      </c>
      <c r="E118" s="21">
        <f>IF($L118&lt;&gt;"",IF(INDEX(LdAAmt,$L118)=0,"",INDEX(LdAAmt,$L118)),IF($M118&lt;&gt;"",IF(INDEX(LdBAmt,$M118)=0,"",INDEX(LdBAmt,$M118)),IF($N118&lt;&gt;"",IF(INDEX(LdCDep,$N118)=0,"",INDEX(LdCDep,$N118)),"")))</f>
        <v/>
      </c>
      <c r="F118" s="21">
        <f>IF(AND($L118="",$M118="",$N118=""),"",IF($N118="","",IF(INDEX(LdCWit,$N118)=0,"",INDEX(LdCWit,$N118))))</f>
        <v/>
      </c>
      <c r="G118" s="31">
        <f>IF($B118="","",IF($G117="",0,$G117)+IF($E118="",0,$E118)-IF($F118="",0,$F118))</f>
        <v/>
      </c>
      <c r="H118" s="32">
        <f>IF(AND($L118="",$M118="",$N118=""),"",IF($L118&lt;&gt;"",IF(INDEX(LdANote,$L118)="","—",INDEX(LdANote,$L118)),IF($M118&lt;&gt;"",IF(INDEX(LdBNote,$M118)="","—",INDEX(LdBNote,$M118)),IF($N118&lt;&gt;"",IF(INDEX(LdCNote,$N118)="","—",INDEX(LdCNote,$N118)),""))))</f>
        <v/>
      </c>
      <c r="L118">
        <f>IFERROR(MATCH($C$5&amp;"|"&amp;RIGHT("000000"&amp;102,6),LdAKeyM,0),"")</f>
        <v/>
      </c>
      <c r="M118">
        <f>IFERROR(MATCH($C$5&amp;"|"&amp;RIGHT("000000"&amp;102,6),LdBKeyM,0),"")</f>
        <v/>
      </c>
      <c r="N118">
        <f>IFERROR(MATCH($C$5&amp;"|"&amp;RIGHT("000000"&amp;102,6),LdCKeyM,0),"")</f>
        <v/>
      </c>
    </row>
    <row r="119">
      <c r="A119" s="10" t="n">
        <v>103</v>
      </c>
      <c r="B119" s="14">
        <f>IF(AND($L119="",$M119="",$N119=""),"",IF($L119&lt;&gt;"",INDEX(LdADate,$L119),IF($M119&lt;&gt;"",INDEX(LdBDate,$M119),INDEX(LdCDate,$N119))))</f>
        <v/>
      </c>
      <c r="C119" s="14">
        <f>IF($L119&lt;&gt;"","دستمزد (فردی)",IF($M119&lt;&gt;"","سهم از گروه "&amp;IFERROR(VLOOKUP(INDEX(LdBGroup,$M119),WGTbl,2,0),INDEX(LdBGroup,$M119)),IF($N119&lt;&gt;"",IF(N(INDEX(LdCDep,$N119))&gt;0,"بازگشت بانکی","پرداخت بانکی"),"")))</f>
        <v/>
      </c>
      <c r="D119" s="14">
        <f>IF($L119&lt;&gt;"",IF(INDEX(LdAId,$L119)="","—",INDEX(LdAId,$L119)),IF($M119&lt;&gt;"",IF(INDEX(LdBId,$M119)="","—",INDEX(LdBId,$M119)),IF($N119&lt;&gt;"",IF(INDEX(LdCBank,$N119)="","—",INDEX(LdCBank,$N119)),"")))</f>
        <v/>
      </c>
      <c r="E119" s="16">
        <f>IF($L119&lt;&gt;"",IF(INDEX(LdAAmt,$L119)=0,"",INDEX(LdAAmt,$L119)),IF($M119&lt;&gt;"",IF(INDEX(LdBAmt,$M119)=0,"",INDEX(LdBAmt,$M119)),IF($N119&lt;&gt;"",IF(INDEX(LdCDep,$N119)=0,"",INDEX(LdCDep,$N119)),"")))</f>
        <v/>
      </c>
      <c r="F119" s="16">
        <f>IF(AND($L119="",$M119="",$N119=""),"",IF($N119="","",IF(INDEX(LdCWit,$N119)=0,"",INDEX(LdCWit,$N119))))</f>
        <v/>
      </c>
      <c r="G119" s="29">
        <f>IF($B119="","",IF($G118="",0,$G118)+IF($E119="",0,$E119)-IF($F119="",0,$F119))</f>
        <v/>
      </c>
      <c r="H119" s="30">
        <f>IF(AND($L119="",$M119="",$N119=""),"",IF($L119&lt;&gt;"",IF(INDEX(LdANote,$L119)="","—",INDEX(LdANote,$L119)),IF($M119&lt;&gt;"",IF(INDEX(LdBNote,$M119)="","—",INDEX(LdBNote,$M119)),IF($N119&lt;&gt;"",IF(INDEX(LdCNote,$N119)="","—",INDEX(LdCNote,$N119)),""))))</f>
        <v/>
      </c>
      <c r="L119">
        <f>IFERROR(MATCH($C$5&amp;"|"&amp;RIGHT("000000"&amp;103,6),LdAKeyM,0),"")</f>
        <v/>
      </c>
      <c r="M119">
        <f>IFERROR(MATCH($C$5&amp;"|"&amp;RIGHT("000000"&amp;103,6),LdBKeyM,0),"")</f>
        <v/>
      </c>
      <c r="N119">
        <f>IFERROR(MATCH($C$5&amp;"|"&amp;RIGHT("000000"&amp;103,6),LdCKeyM,0),"")</f>
        <v/>
      </c>
    </row>
    <row r="120">
      <c r="A120" s="19" t="n">
        <v>104</v>
      </c>
      <c r="B120" s="20">
        <f>IF(AND($L120="",$M120="",$N120=""),"",IF($L120&lt;&gt;"",INDEX(LdADate,$L120),IF($M120&lt;&gt;"",INDEX(LdBDate,$M120),INDEX(LdCDate,$N120))))</f>
        <v/>
      </c>
      <c r="C120" s="20">
        <f>IF($L120&lt;&gt;"","دستمزد (فردی)",IF($M120&lt;&gt;"","سهم از گروه "&amp;IFERROR(VLOOKUP(INDEX(LdBGroup,$M120),WGTbl,2,0),INDEX(LdBGroup,$M120)),IF($N120&lt;&gt;"",IF(N(INDEX(LdCDep,$N120))&gt;0,"بازگشت بانکی","پرداخت بانکی"),"")))</f>
        <v/>
      </c>
      <c r="D120" s="20">
        <f>IF($L120&lt;&gt;"",IF(INDEX(LdAId,$L120)="","—",INDEX(LdAId,$L120)),IF($M120&lt;&gt;"",IF(INDEX(LdBId,$M120)="","—",INDEX(LdBId,$M120)),IF($N120&lt;&gt;"",IF(INDEX(LdCBank,$N120)="","—",INDEX(LdCBank,$N120)),"")))</f>
        <v/>
      </c>
      <c r="E120" s="21">
        <f>IF($L120&lt;&gt;"",IF(INDEX(LdAAmt,$L120)=0,"",INDEX(LdAAmt,$L120)),IF($M120&lt;&gt;"",IF(INDEX(LdBAmt,$M120)=0,"",INDEX(LdBAmt,$M120)),IF($N120&lt;&gt;"",IF(INDEX(LdCDep,$N120)=0,"",INDEX(LdCDep,$N120)),"")))</f>
        <v/>
      </c>
      <c r="F120" s="21">
        <f>IF(AND($L120="",$M120="",$N120=""),"",IF($N120="","",IF(INDEX(LdCWit,$N120)=0,"",INDEX(LdCWit,$N120))))</f>
        <v/>
      </c>
      <c r="G120" s="31">
        <f>IF($B120="","",IF($G119="",0,$G119)+IF($E120="",0,$E120)-IF($F120="",0,$F120))</f>
        <v/>
      </c>
      <c r="H120" s="32">
        <f>IF(AND($L120="",$M120="",$N120=""),"",IF($L120&lt;&gt;"",IF(INDEX(LdANote,$L120)="","—",INDEX(LdANote,$L120)),IF($M120&lt;&gt;"",IF(INDEX(LdBNote,$M120)="","—",INDEX(LdBNote,$M120)),IF($N120&lt;&gt;"",IF(INDEX(LdCNote,$N120)="","—",INDEX(LdCNote,$N120)),""))))</f>
        <v/>
      </c>
      <c r="L120">
        <f>IFERROR(MATCH($C$5&amp;"|"&amp;RIGHT("000000"&amp;104,6),LdAKeyM,0),"")</f>
        <v/>
      </c>
      <c r="M120">
        <f>IFERROR(MATCH($C$5&amp;"|"&amp;RIGHT("000000"&amp;104,6),LdBKeyM,0),"")</f>
        <v/>
      </c>
      <c r="N120">
        <f>IFERROR(MATCH($C$5&amp;"|"&amp;RIGHT("000000"&amp;104,6),LdCKeyM,0),"")</f>
        <v/>
      </c>
    </row>
    <row r="121">
      <c r="A121" s="10" t="n">
        <v>105</v>
      </c>
      <c r="B121" s="14">
        <f>IF(AND($L121="",$M121="",$N121=""),"",IF($L121&lt;&gt;"",INDEX(LdADate,$L121),IF($M121&lt;&gt;"",INDEX(LdBDate,$M121),INDEX(LdCDate,$N121))))</f>
        <v/>
      </c>
      <c r="C121" s="14">
        <f>IF($L121&lt;&gt;"","دستمزد (فردی)",IF($M121&lt;&gt;"","سهم از گروه "&amp;IFERROR(VLOOKUP(INDEX(LdBGroup,$M121),WGTbl,2,0),INDEX(LdBGroup,$M121)),IF($N121&lt;&gt;"",IF(N(INDEX(LdCDep,$N121))&gt;0,"بازگشت بانکی","پرداخت بانکی"),"")))</f>
        <v/>
      </c>
      <c r="D121" s="14">
        <f>IF($L121&lt;&gt;"",IF(INDEX(LdAId,$L121)="","—",INDEX(LdAId,$L121)),IF($M121&lt;&gt;"",IF(INDEX(LdBId,$M121)="","—",INDEX(LdBId,$M121)),IF($N121&lt;&gt;"",IF(INDEX(LdCBank,$N121)="","—",INDEX(LdCBank,$N121)),"")))</f>
        <v/>
      </c>
      <c r="E121" s="16">
        <f>IF($L121&lt;&gt;"",IF(INDEX(LdAAmt,$L121)=0,"",INDEX(LdAAmt,$L121)),IF($M121&lt;&gt;"",IF(INDEX(LdBAmt,$M121)=0,"",INDEX(LdBAmt,$M121)),IF($N121&lt;&gt;"",IF(INDEX(LdCDep,$N121)=0,"",INDEX(LdCDep,$N121)),"")))</f>
        <v/>
      </c>
      <c r="F121" s="16">
        <f>IF(AND($L121="",$M121="",$N121=""),"",IF($N121="","",IF(INDEX(LdCWit,$N121)=0,"",INDEX(LdCWit,$N121))))</f>
        <v/>
      </c>
      <c r="G121" s="29">
        <f>IF($B121="","",IF($G120="",0,$G120)+IF($E121="",0,$E121)-IF($F121="",0,$F121))</f>
        <v/>
      </c>
      <c r="H121" s="30">
        <f>IF(AND($L121="",$M121="",$N121=""),"",IF($L121&lt;&gt;"",IF(INDEX(LdANote,$L121)="","—",INDEX(LdANote,$L121)),IF($M121&lt;&gt;"",IF(INDEX(LdBNote,$M121)="","—",INDEX(LdBNote,$M121)),IF($N121&lt;&gt;"",IF(INDEX(LdCNote,$N121)="","—",INDEX(LdCNote,$N121)),""))))</f>
        <v/>
      </c>
      <c r="L121">
        <f>IFERROR(MATCH($C$5&amp;"|"&amp;RIGHT("000000"&amp;105,6),LdAKeyM,0),"")</f>
        <v/>
      </c>
      <c r="M121">
        <f>IFERROR(MATCH($C$5&amp;"|"&amp;RIGHT("000000"&amp;105,6),LdBKeyM,0),"")</f>
        <v/>
      </c>
      <c r="N121">
        <f>IFERROR(MATCH($C$5&amp;"|"&amp;RIGHT("000000"&amp;105,6),LdCKeyM,0),"")</f>
        <v/>
      </c>
    </row>
    <row r="122">
      <c r="A122" s="19" t="n">
        <v>106</v>
      </c>
      <c r="B122" s="20">
        <f>IF(AND($L122="",$M122="",$N122=""),"",IF($L122&lt;&gt;"",INDEX(LdADate,$L122),IF($M122&lt;&gt;"",INDEX(LdBDate,$M122),INDEX(LdCDate,$N122))))</f>
        <v/>
      </c>
      <c r="C122" s="20">
        <f>IF($L122&lt;&gt;"","دستمزد (فردی)",IF($M122&lt;&gt;"","سهم از گروه "&amp;IFERROR(VLOOKUP(INDEX(LdBGroup,$M122),WGTbl,2,0),INDEX(LdBGroup,$M122)),IF($N122&lt;&gt;"",IF(N(INDEX(LdCDep,$N122))&gt;0,"بازگشت بانکی","پرداخت بانکی"),"")))</f>
        <v/>
      </c>
      <c r="D122" s="20">
        <f>IF($L122&lt;&gt;"",IF(INDEX(LdAId,$L122)="","—",INDEX(LdAId,$L122)),IF($M122&lt;&gt;"",IF(INDEX(LdBId,$M122)="","—",INDEX(LdBId,$M122)),IF($N122&lt;&gt;"",IF(INDEX(LdCBank,$N122)="","—",INDEX(LdCBank,$N122)),"")))</f>
        <v/>
      </c>
      <c r="E122" s="21">
        <f>IF($L122&lt;&gt;"",IF(INDEX(LdAAmt,$L122)=0,"",INDEX(LdAAmt,$L122)),IF($M122&lt;&gt;"",IF(INDEX(LdBAmt,$M122)=0,"",INDEX(LdBAmt,$M122)),IF($N122&lt;&gt;"",IF(INDEX(LdCDep,$N122)=0,"",INDEX(LdCDep,$N122)),"")))</f>
        <v/>
      </c>
      <c r="F122" s="21">
        <f>IF(AND($L122="",$M122="",$N122=""),"",IF($N122="","",IF(INDEX(LdCWit,$N122)=0,"",INDEX(LdCWit,$N122))))</f>
        <v/>
      </c>
      <c r="G122" s="31">
        <f>IF($B122="","",IF($G121="",0,$G121)+IF($E122="",0,$E122)-IF($F122="",0,$F122))</f>
        <v/>
      </c>
      <c r="H122" s="32">
        <f>IF(AND($L122="",$M122="",$N122=""),"",IF($L122&lt;&gt;"",IF(INDEX(LdANote,$L122)="","—",INDEX(LdANote,$L122)),IF($M122&lt;&gt;"",IF(INDEX(LdBNote,$M122)="","—",INDEX(LdBNote,$M122)),IF($N122&lt;&gt;"",IF(INDEX(LdCNote,$N122)="","—",INDEX(LdCNote,$N122)),""))))</f>
        <v/>
      </c>
      <c r="L122">
        <f>IFERROR(MATCH($C$5&amp;"|"&amp;RIGHT("000000"&amp;106,6),LdAKeyM,0),"")</f>
        <v/>
      </c>
      <c r="M122">
        <f>IFERROR(MATCH($C$5&amp;"|"&amp;RIGHT("000000"&amp;106,6),LdBKeyM,0),"")</f>
        <v/>
      </c>
      <c r="N122">
        <f>IFERROR(MATCH($C$5&amp;"|"&amp;RIGHT("000000"&amp;106,6),LdCKeyM,0),"")</f>
        <v/>
      </c>
    </row>
    <row r="123">
      <c r="A123" s="10" t="n">
        <v>107</v>
      </c>
      <c r="B123" s="14">
        <f>IF(AND($L123="",$M123="",$N123=""),"",IF($L123&lt;&gt;"",INDEX(LdADate,$L123),IF($M123&lt;&gt;"",INDEX(LdBDate,$M123),INDEX(LdCDate,$N123))))</f>
        <v/>
      </c>
      <c r="C123" s="14">
        <f>IF($L123&lt;&gt;"","دستمزد (فردی)",IF($M123&lt;&gt;"","سهم از گروه "&amp;IFERROR(VLOOKUP(INDEX(LdBGroup,$M123),WGTbl,2,0),INDEX(LdBGroup,$M123)),IF($N123&lt;&gt;"",IF(N(INDEX(LdCDep,$N123))&gt;0,"بازگشت بانکی","پرداخت بانکی"),"")))</f>
        <v/>
      </c>
      <c r="D123" s="14">
        <f>IF($L123&lt;&gt;"",IF(INDEX(LdAId,$L123)="","—",INDEX(LdAId,$L123)),IF($M123&lt;&gt;"",IF(INDEX(LdBId,$M123)="","—",INDEX(LdBId,$M123)),IF($N123&lt;&gt;"",IF(INDEX(LdCBank,$N123)="","—",INDEX(LdCBank,$N123)),"")))</f>
        <v/>
      </c>
      <c r="E123" s="16">
        <f>IF($L123&lt;&gt;"",IF(INDEX(LdAAmt,$L123)=0,"",INDEX(LdAAmt,$L123)),IF($M123&lt;&gt;"",IF(INDEX(LdBAmt,$M123)=0,"",INDEX(LdBAmt,$M123)),IF($N123&lt;&gt;"",IF(INDEX(LdCDep,$N123)=0,"",INDEX(LdCDep,$N123)),"")))</f>
        <v/>
      </c>
      <c r="F123" s="16">
        <f>IF(AND($L123="",$M123="",$N123=""),"",IF($N123="","",IF(INDEX(LdCWit,$N123)=0,"",INDEX(LdCWit,$N123))))</f>
        <v/>
      </c>
      <c r="G123" s="29">
        <f>IF($B123="","",IF($G122="",0,$G122)+IF($E123="",0,$E123)-IF($F123="",0,$F123))</f>
        <v/>
      </c>
      <c r="H123" s="30">
        <f>IF(AND($L123="",$M123="",$N123=""),"",IF($L123&lt;&gt;"",IF(INDEX(LdANote,$L123)="","—",INDEX(LdANote,$L123)),IF($M123&lt;&gt;"",IF(INDEX(LdBNote,$M123)="","—",INDEX(LdBNote,$M123)),IF($N123&lt;&gt;"",IF(INDEX(LdCNote,$N123)="","—",INDEX(LdCNote,$N123)),""))))</f>
        <v/>
      </c>
      <c r="L123">
        <f>IFERROR(MATCH($C$5&amp;"|"&amp;RIGHT("000000"&amp;107,6),LdAKeyM,0),"")</f>
        <v/>
      </c>
      <c r="M123">
        <f>IFERROR(MATCH($C$5&amp;"|"&amp;RIGHT("000000"&amp;107,6),LdBKeyM,0),"")</f>
        <v/>
      </c>
      <c r="N123">
        <f>IFERROR(MATCH($C$5&amp;"|"&amp;RIGHT("000000"&amp;107,6),LdCKeyM,0),"")</f>
        <v/>
      </c>
    </row>
    <row r="124">
      <c r="A124" s="19" t="n">
        <v>108</v>
      </c>
      <c r="B124" s="20">
        <f>IF(AND($L124="",$M124="",$N124=""),"",IF($L124&lt;&gt;"",INDEX(LdADate,$L124),IF($M124&lt;&gt;"",INDEX(LdBDate,$M124),INDEX(LdCDate,$N124))))</f>
        <v/>
      </c>
      <c r="C124" s="20">
        <f>IF($L124&lt;&gt;"","دستمزد (فردی)",IF($M124&lt;&gt;"","سهم از گروه "&amp;IFERROR(VLOOKUP(INDEX(LdBGroup,$M124),WGTbl,2,0),INDEX(LdBGroup,$M124)),IF($N124&lt;&gt;"",IF(N(INDEX(LdCDep,$N124))&gt;0,"بازگشت بانکی","پرداخت بانکی"),"")))</f>
        <v/>
      </c>
      <c r="D124" s="20">
        <f>IF($L124&lt;&gt;"",IF(INDEX(LdAId,$L124)="","—",INDEX(LdAId,$L124)),IF($M124&lt;&gt;"",IF(INDEX(LdBId,$M124)="","—",INDEX(LdBId,$M124)),IF($N124&lt;&gt;"",IF(INDEX(LdCBank,$N124)="","—",INDEX(LdCBank,$N124)),"")))</f>
        <v/>
      </c>
      <c r="E124" s="21">
        <f>IF($L124&lt;&gt;"",IF(INDEX(LdAAmt,$L124)=0,"",INDEX(LdAAmt,$L124)),IF($M124&lt;&gt;"",IF(INDEX(LdBAmt,$M124)=0,"",INDEX(LdBAmt,$M124)),IF($N124&lt;&gt;"",IF(INDEX(LdCDep,$N124)=0,"",INDEX(LdCDep,$N124)),"")))</f>
        <v/>
      </c>
      <c r="F124" s="21">
        <f>IF(AND($L124="",$M124="",$N124=""),"",IF($N124="","",IF(INDEX(LdCWit,$N124)=0,"",INDEX(LdCWit,$N124))))</f>
        <v/>
      </c>
      <c r="G124" s="31">
        <f>IF($B124="","",IF($G123="",0,$G123)+IF($E124="",0,$E124)-IF($F124="",0,$F124))</f>
        <v/>
      </c>
      <c r="H124" s="32">
        <f>IF(AND($L124="",$M124="",$N124=""),"",IF($L124&lt;&gt;"",IF(INDEX(LdANote,$L124)="","—",INDEX(LdANote,$L124)),IF($M124&lt;&gt;"",IF(INDEX(LdBNote,$M124)="","—",INDEX(LdBNote,$M124)),IF($N124&lt;&gt;"",IF(INDEX(LdCNote,$N124)="","—",INDEX(LdCNote,$N124)),""))))</f>
        <v/>
      </c>
      <c r="L124">
        <f>IFERROR(MATCH($C$5&amp;"|"&amp;RIGHT("000000"&amp;108,6),LdAKeyM,0),"")</f>
        <v/>
      </c>
      <c r="M124">
        <f>IFERROR(MATCH($C$5&amp;"|"&amp;RIGHT("000000"&amp;108,6),LdBKeyM,0),"")</f>
        <v/>
      </c>
      <c r="N124">
        <f>IFERROR(MATCH($C$5&amp;"|"&amp;RIGHT("000000"&amp;108,6),LdCKeyM,0),"")</f>
        <v/>
      </c>
    </row>
    <row r="125">
      <c r="A125" s="10" t="n">
        <v>109</v>
      </c>
      <c r="B125" s="14">
        <f>IF(AND($L125="",$M125="",$N125=""),"",IF($L125&lt;&gt;"",INDEX(LdADate,$L125),IF($M125&lt;&gt;"",INDEX(LdBDate,$M125),INDEX(LdCDate,$N125))))</f>
        <v/>
      </c>
      <c r="C125" s="14">
        <f>IF($L125&lt;&gt;"","دستمزد (فردی)",IF($M125&lt;&gt;"","سهم از گروه "&amp;IFERROR(VLOOKUP(INDEX(LdBGroup,$M125),WGTbl,2,0),INDEX(LdBGroup,$M125)),IF($N125&lt;&gt;"",IF(N(INDEX(LdCDep,$N125))&gt;0,"بازگشت بانکی","پرداخت بانکی"),"")))</f>
        <v/>
      </c>
      <c r="D125" s="14">
        <f>IF($L125&lt;&gt;"",IF(INDEX(LdAId,$L125)="","—",INDEX(LdAId,$L125)),IF($M125&lt;&gt;"",IF(INDEX(LdBId,$M125)="","—",INDEX(LdBId,$M125)),IF($N125&lt;&gt;"",IF(INDEX(LdCBank,$N125)="","—",INDEX(LdCBank,$N125)),"")))</f>
        <v/>
      </c>
      <c r="E125" s="16">
        <f>IF($L125&lt;&gt;"",IF(INDEX(LdAAmt,$L125)=0,"",INDEX(LdAAmt,$L125)),IF($M125&lt;&gt;"",IF(INDEX(LdBAmt,$M125)=0,"",INDEX(LdBAmt,$M125)),IF($N125&lt;&gt;"",IF(INDEX(LdCDep,$N125)=0,"",INDEX(LdCDep,$N125)),"")))</f>
        <v/>
      </c>
      <c r="F125" s="16">
        <f>IF(AND($L125="",$M125="",$N125=""),"",IF($N125="","",IF(INDEX(LdCWit,$N125)=0,"",INDEX(LdCWit,$N125))))</f>
        <v/>
      </c>
      <c r="G125" s="29">
        <f>IF($B125="","",IF($G124="",0,$G124)+IF($E125="",0,$E125)-IF($F125="",0,$F125))</f>
        <v/>
      </c>
      <c r="H125" s="30">
        <f>IF(AND($L125="",$M125="",$N125=""),"",IF($L125&lt;&gt;"",IF(INDEX(LdANote,$L125)="","—",INDEX(LdANote,$L125)),IF($M125&lt;&gt;"",IF(INDEX(LdBNote,$M125)="","—",INDEX(LdBNote,$M125)),IF($N125&lt;&gt;"",IF(INDEX(LdCNote,$N125)="","—",INDEX(LdCNote,$N125)),""))))</f>
        <v/>
      </c>
      <c r="L125">
        <f>IFERROR(MATCH($C$5&amp;"|"&amp;RIGHT("000000"&amp;109,6),LdAKeyM,0),"")</f>
        <v/>
      </c>
      <c r="M125">
        <f>IFERROR(MATCH($C$5&amp;"|"&amp;RIGHT("000000"&amp;109,6),LdBKeyM,0),"")</f>
        <v/>
      </c>
      <c r="N125">
        <f>IFERROR(MATCH($C$5&amp;"|"&amp;RIGHT("000000"&amp;109,6),LdCKeyM,0),"")</f>
        <v/>
      </c>
    </row>
    <row r="126">
      <c r="A126" s="19" t="n">
        <v>110</v>
      </c>
      <c r="B126" s="20">
        <f>IF(AND($L126="",$M126="",$N126=""),"",IF($L126&lt;&gt;"",INDEX(LdADate,$L126),IF($M126&lt;&gt;"",INDEX(LdBDate,$M126),INDEX(LdCDate,$N126))))</f>
        <v/>
      </c>
      <c r="C126" s="20">
        <f>IF($L126&lt;&gt;"","دستمزد (فردی)",IF($M126&lt;&gt;"","سهم از گروه "&amp;IFERROR(VLOOKUP(INDEX(LdBGroup,$M126),WGTbl,2,0),INDEX(LdBGroup,$M126)),IF($N126&lt;&gt;"",IF(N(INDEX(LdCDep,$N126))&gt;0,"بازگشت بانکی","پرداخت بانکی"),"")))</f>
        <v/>
      </c>
      <c r="D126" s="20">
        <f>IF($L126&lt;&gt;"",IF(INDEX(LdAId,$L126)="","—",INDEX(LdAId,$L126)),IF($M126&lt;&gt;"",IF(INDEX(LdBId,$M126)="","—",INDEX(LdBId,$M126)),IF($N126&lt;&gt;"",IF(INDEX(LdCBank,$N126)="","—",INDEX(LdCBank,$N126)),"")))</f>
        <v/>
      </c>
      <c r="E126" s="21">
        <f>IF($L126&lt;&gt;"",IF(INDEX(LdAAmt,$L126)=0,"",INDEX(LdAAmt,$L126)),IF($M126&lt;&gt;"",IF(INDEX(LdBAmt,$M126)=0,"",INDEX(LdBAmt,$M126)),IF($N126&lt;&gt;"",IF(INDEX(LdCDep,$N126)=0,"",INDEX(LdCDep,$N126)),"")))</f>
        <v/>
      </c>
      <c r="F126" s="21">
        <f>IF(AND($L126="",$M126="",$N126=""),"",IF($N126="","",IF(INDEX(LdCWit,$N126)=0,"",INDEX(LdCWit,$N126))))</f>
        <v/>
      </c>
      <c r="G126" s="31">
        <f>IF($B126="","",IF($G125="",0,$G125)+IF($E126="",0,$E126)-IF($F126="",0,$F126))</f>
        <v/>
      </c>
      <c r="H126" s="32">
        <f>IF(AND($L126="",$M126="",$N126=""),"",IF($L126&lt;&gt;"",IF(INDEX(LdANote,$L126)="","—",INDEX(LdANote,$L126)),IF($M126&lt;&gt;"",IF(INDEX(LdBNote,$M126)="","—",INDEX(LdBNote,$M126)),IF($N126&lt;&gt;"",IF(INDEX(LdCNote,$N126)="","—",INDEX(LdCNote,$N126)),""))))</f>
        <v/>
      </c>
      <c r="L126">
        <f>IFERROR(MATCH($C$5&amp;"|"&amp;RIGHT("000000"&amp;110,6),LdAKeyM,0),"")</f>
        <v/>
      </c>
      <c r="M126">
        <f>IFERROR(MATCH($C$5&amp;"|"&amp;RIGHT("000000"&amp;110,6),LdBKeyM,0),"")</f>
        <v/>
      </c>
      <c r="N126">
        <f>IFERROR(MATCH($C$5&amp;"|"&amp;RIGHT("000000"&amp;110,6),LdCKeyM,0),"")</f>
        <v/>
      </c>
    </row>
    <row r="127">
      <c r="A127" s="10" t="n">
        <v>111</v>
      </c>
      <c r="B127" s="14">
        <f>IF(AND($L127="",$M127="",$N127=""),"",IF($L127&lt;&gt;"",INDEX(LdADate,$L127),IF($M127&lt;&gt;"",INDEX(LdBDate,$M127),INDEX(LdCDate,$N127))))</f>
        <v/>
      </c>
      <c r="C127" s="14">
        <f>IF($L127&lt;&gt;"","دستمزد (فردی)",IF($M127&lt;&gt;"","سهم از گروه "&amp;IFERROR(VLOOKUP(INDEX(LdBGroup,$M127),WGTbl,2,0),INDEX(LdBGroup,$M127)),IF($N127&lt;&gt;"",IF(N(INDEX(LdCDep,$N127))&gt;0,"بازگشت بانکی","پرداخت بانکی"),"")))</f>
        <v/>
      </c>
      <c r="D127" s="14">
        <f>IF($L127&lt;&gt;"",IF(INDEX(LdAId,$L127)="","—",INDEX(LdAId,$L127)),IF($M127&lt;&gt;"",IF(INDEX(LdBId,$M127)="","—",INDEX(LdBId,$M127)),IF($N127&lt;&gt;"",IF(INDEX(LdCBank,$N127)="","—",INDEX(LdCBank,$N127)),"")))</f>
        <v/>
      </c>
      <c r="E127" s="16">
        <f>IF($L127&lt;&gt;"",IF(INDEX(LdAAmt,$L127)=0,"",INDEX(LdAAmt,$L127)),IF($M127&lt;&gt;"",IF(INDEX(LdBAmt,$M127)=0,"",INDEX(LdBAmt,$M127)),IF($N127&lt;&gt;"",IF(INDEX(LdCDep,$N127)=0,"",INDEX(LdCDep,$N127)),"")))</f>
        <v/>
      </c>
      <c r="F127" s="16">
        <f>IF(AND($L127="",$M127="",$N127=""),"",IF($N127="","",IF(INDEX(LdCWit,$N127)=0,"",INDEX(LdCWit,$N127))))</f>
        <v/>
      </c>
      <c r="G127" s="29">
        <f>IF($B127="","",IF($G126="",0,$G126)+IF($E127="",0,$E127)-IF($F127="",0,$F127))</f>
        <v/>
      </c>
      <c r="H127" s="30">
        <f>IF(AND($L127="",$M127="",$N127=""),"",IF($L127&lt;&gt;"",IF(INDEX(LdANote,$L127)="","—",INDEX(LdANote,$L127)),IF($M127&lt;&gt;"",IF(INDEX(LdBNote,$M127)="","—",INDEX(LdBNote,$M127)),IF($N127&lt;&gt;"",IF(INDEX(LdCNote,$N127)="","—",INDEX(LdCNote,$N127)),""))))</f>
        <v/>
      </c>
      <c r="L127">
        <f>IFERROR(MATCH($C$5&amp;"|"&amp;RIGHT("000000"&amp;111,6),LdAKeyM,0),"")</f>
        <v/>
      </c>
      <c r="M127">
        <f>IFERROR(MATCH($C$5&amp;"|"&amp;RIGHT("000000"&amp;111,6),LdBKeyM,0),"")</f>
        <v/>
      </c>
      <c r="N127">
        <f>IFERROR(MATCH($C$5&amp;"|"&amp;RIGHT("000000"&amp;111,6),LdCKeyM,0),"")</f>
        <v/>
      </c>
    </row>
    <row r="128">
      <c r="A128" s="19" t="n">
        <v>112</v>
      </c>
      <c r="B128" s="20">
        <f>IF(AND($L128="",$M128="",$N128=""),"",IF($L128&lt;&gt;"",INDEX(LdADate,$L128),IF($M128&lt;&gt;"",INDEX(LdBDate,$M128),INDEX(LdCDate,$N128))))</f>
        <v/>
      </c>
      <c r="C128" s="20">
        <f>IF($L128&lt;&gt;"","دستمزد (فردی)",IF($M128&lt;&gt;"","سهم از گروه "&amp;IFERROR(VLOOKUP(INDEX(LdBGroup,$M128),WGTbl,2,0),INDEX(LdBGroup,$M128)),IF($N128&lt;&gt;"",IF(N(INDEX(LdCDep,$N128))&gt;0,"بازگشت بانکی","پرداخت بانکی"),"")))</f>
        <v/>
      </c>
      <c r="D128" s="20">
        <f>IF($L128&lt;&gt;"",IF(INDEX(LdAId,$L128)="","—",INDEX(LdAId,$L128)),IF($M128&lt;&gt;"",IF(INDEX(LdBId,$M128)="","—",INDEX(LdBId,$M128)),IF($N128&lt;&gt;"",IF(INDEX(LdCBank,$N128)="","—",INDEX(LdCBank,$N128)),"")))</f>
        <v/>
      </c>
      <c r="E128" s="21">
        <f>IF($L128&lt;&gt;"",IF(INDEX(LdAAmt,$L128)=0,"",INDEX(LdAAmt,$L128)),IF($M128&lt;&gt;"",IF(INDEX(LdBAmt,$M128)=0,"",INDEX(LdBAmt,$M128)),IF($N128&lt;&gt;"",IF(INDEX(LdCDep,$N128)=0,"",INDEX(LdCDep,$N128)),"")))</f>
        <v/>
      </c>
      <c r="F128" s="21">
        <f>IF(AND($L128="",$M128="",$N128=""),"",IF($N128="","",IF(INDEX(LdCWit,$N128)=0,"",INDEX(LdCWit,$N128))))</f>
        <v/>
      </c>
      <c r="G128" s="31">
        <f>IF($B128="","",IF($G127="",0,$G127)+IF($E128="",0,$E128)-IF($F128="",0,$F128))</f>
        <v/>
      </c>
      <c r="H128" s="32">
        <f>IF(AND($L128="",$M128="",$N128=""),"",IF($L128&lt;&gt;"",IF(INDEX(LdANote,$L128)="","—",INDEX(LdANote,$L128)),IF($M128&lt;&gt;"",IF(INDEX(LdBNote,$M128)="","—",INDEX(LdBNote,$M128)),IF($N128&lt;&gt;"",IF(INDEX(LdCNote,$N128)="","—",INDEX(LdCNote,$N128)),""))))</f>
        <v/>
      </c>
      <c r="L128">
        <f>IFERROR(MATCH($C$5&amp;"|"&amp;RIGHT("000000"&amp;112,6),LdAKeyM,0),"")</f>
        <v/>
      </c>
      <c r="M128">
        <f>IFERROR(MATCH($C$5&amp;"|"&amp;RIGHT("000000"&amp;112,6),LdBKeyM,0),"")</f>
        <v/>
      </c>
      <c r="N128">
        <f>IFERROR(MATCH($C$5&amp;"|"&amp;RIGHT("000000"&amp;112,6),LdCKeyM,0),"")</f>
        <v/>
      </c>
    </row>
    <row r="129">
      <c r="A129" s="10" t="n">
        <v>113</v>
      </c>
      <c r="B129" s="14">
        <f>IF(AND($L129="",$M129="",$N129=""),"",IF($L129&lt;&gt;"",INDEX(LdADate,$L129),IF($M129&lt;&gt;"",INDEX(LdBDate,$M129),INDEX(LdCDate,$N129))))</f>
        <v/>
      </c>
      <c r="C129" s="14">
        <f>IF($L129&lt;&gt;"","دستمزد (فردی)",IF($M129&lt;&gt;"","سهم از گروه "&amp;IFERROR(VLOOKUP(INDEX(LdBGroup,$M129),WGTbl,2,0),INDEX(LdBGroup,$M129)),IF($N129&lt;&gt;"",IF(N(INDEX(LdCDep,$N129))&gt;0,"بازگشت بانکی","پرداخت بانکی"),"")))</f>
        <v/>
      </c>
      <c r="D129" s="14">
        <f>IF($L129&lt;&gt;"",IF(INDEX(LdAId,$L129)="","—",INDEX(LdAId,$L129)),IF($M129&lt;&gt;"",IF(INDEX(LdBId,$M129)="","—",INDEX(LdBId,$M129)),IF($N129&lt;&gt;"",IF(INDEX(LdCBank,$N129)="","—",INDEX(LdCBank,$N129)),"")))</f>
        <v/>
      </c>
      <c r="E129" s="16">
        <f>IF($L129&lt;&gt;"",IF(INDEX(LdAAmt,$L129)=0,"",INDEX(LdAAmt,$L129)),IF($M129&lt;&gt;"",IF(INDEX(LdBAmt,$M129)=0,"",INDEX(LdBAmt,$M129)),IF($N129&lt;&gt;"",IF(INDEX(LdCDep,$N129)=0,"",INDEX(LdCDep,$N129)),"")))</f>
        <v/>
      </c>
      <c r="F129" s="16">
        <f>IF(AND($L129="",$M129="",$N129=""),"",IF($N129="","",IF(INDEX(LdCWit,$N129)=0,"",INDEX(LdCWit,$N129))))</f>
        <v/>
      </c>
      <c r="G129" s="29">
        <f>IF($B129="","",IF($G128="",0,$G128)+IF($E129="",0,$E129)-IF($F129="",0,$F129))</f>
        <v/>
      </c>
      <c r="H129" s="30">
        <f>IF(AND($L129="",$M129="",$N129=""),"",IF($L129&lt;&gt;"",IF(INDEX(LdANote,$L129)="","—",INDEX(LdANote,$L129)),IF($M129&lt;&gt;"",IF(INDEX(LdBNote,$M129)="","—",INDEX(LdBNote,$M129)),IF($N129&lt;&gt;"",IF(INDEX(LdCNote,$N129)="","—",INDEX(LdCNote,$N129)),""))))</f>
        <v/>
      </c>
      <c r="L129">
        <f>IFERROR(MATCH($C$5&amp;"|"&amp;RIGHT("000000"&amp;113,6),LdAKeyM,0),"")</f>
        <v/>
      </c>
      <c r="M129">
        <f>IFERROR(MATCH($C$5&amp;"|"&amp;RIGHT("000000"&amp;113,6),LdBKeyM,0),"")</f>
        <v/>
      </c>
      <c r="N129">
        <f>IFERROR(MATCH($C$5&amp;"|"&amp;RIGHT("000000"&amp;113,6),LdCKeyM,0),"")</f>
        <v/>
      </c>
    </row>
    <row r="130">
      <c r="A130" s="19" t="n">
        <v>114</v>
      </c>
      <c r="B130" s="20">
        <f>IF(AND($L130="",$M130="",$N130=""),"",IF($L130&lt;&gt;"",INDEX(LdADate,$L130),IF($M130&lt;&gt;"",INDEX(LdBDate,$M130),INDEX(LdCDate,$N130))))</f>
        <v/>
      </c>
      <c r="C130" s="20">
        <f>IF($L130&lt;&gt;"","دستمزد (فردی)",IF($M130&lt;&gt;"","سهم از گروه "&amp;IFERROR(VLOOKUP(INDEX(LdBGroup,$M130),WGTbl,2,0),INDEX(LdBGroup,$M130)),IF($N130&lt;&gt;"",IF(N(INDEX(LdCDep,$N130))&gt;0,"بازگشت بانکی","پرداخت بانکی"),"")))</f>
        <v/>
      </c>
      <c r="D130" s="20">
        <f>IF($L130&lt;&gt;"",IF(INDEX(LdAId,$L130)="","—",INDEX(LdAId,$L130)),IF($M130&lt;&gt;"",IF(INDEX(LdBId,$M130)="","—",INDEX(LdBId,$M130)),IF($N130&lt;&gt;"",IF(INDEX(LdCBank,$N130)="","—",INDEX(LdCBank,$N130)),"")))</f>
        <v/>
      </c>
      <c r="E130" s="21">
        <f>IF($L130&lt;&gt;"",IF(INDEX(LdAAmt,$L130)=0,"",INDEX(LdAAmt,$L130)),IF($M130&lt;&gt;"",IF(INDEX(LdBAmt,$M130)=0,"",INDEX(LdBAmt,$M130)),IF($N130&lt;&gt;"",IF(INDEX(LdCDep,$N130)=0,"",INDEX(LdCDep,$N130)),"")))</f>
        <v/>
      </c>
      <c r="F130" s="21">
        <f>IF(AND($L130="",$M130="",$N130=""),"",IF($N130="","",IF(INDEX(LdCWit,$N130)=0,"",INDEX(LdCWit,$N130))))</f>
        <v/>
      </c>
      <c r="G130" s="31">
        <f>IF($B130="","",IF($G129="",0,$G129)+IF($E130="",0,$E130)-IF($F130="",0,$F130))</f>
        <v/>
      </c>
      <c r="H130" s="32">
        <f>IF(AND($L130="",$M130="",$N130=""),"",IF($L130&lt;&gt;"",IF(INDEX(LdANote,$L130)="","—",INDEX(LdANote,$L130)),IF($M130&lt;&gt;"",IF(INDEX(LdBNote,$M130)="","—",INDEX(LdBNote,$M130)),IF($N130&lt;&gt;"",IF(INDEX(LdCNote,$N130)="","—",INDEX(LdCNote,$N130)),""))))</f>
        <v/>
      </c>
      <c r="L130">
        <f>IFERROR(MATCH($C$5&amp;"|"&amp;RIGHT("000000"&amp;114,6),LdAKeyM,0),"")</f>
        <v/>
      </c>
      <c r="M130">
        <f>IFERROR(MATCH($C$5&amp;"|"&amp;RIGHT("000000"&amp;114,6),LdBKeyM,0),"")</f>
        <v/>
      </c>
      <c r="N130">
        <f>IFERROR(MATCH($C$5&amp;"|"&amp;RIGHT("000000"&amp;114,6),LdCKeyM,0),"")</f>
        <v/>
      </c>
    </row>
    <row r="131">
      <c r="A131" s="10" t="n">
        <v>115</v>
      </c>
      <c r="B131" s="14">
        <f>IF(AND($L131="",$M131="",$N131=""),"",IF($L131&lt;&gt;"",INDEX(LdADate,$L131),IF($M131&lt;&gt;"",INDEX(LdBDate,$M131),INDEX(LdCDate,$N131))))</f>
        <v/>
      </c>
      <c r="C131" s="14">
        <f>IF($L131&lt;&gt;"","دستمزد (فردی)",IF($M131&lt;&gt;"","سهم از گروه "&amp;IFERROR(VLOOKUP(INDEX(LdBGroup,$M131),WGTbl,2,0),INDEX(LdBGroup,$M131)),IF($N131&lt;&gt;"",IF(N(INDEX(LdCDep,$N131))&gt;0,"بازگشت بانکی","پرداخت بانکی"),"")))</f>
        <v/>
      </c>
      <c r="D131" s="14">
        <f>IF($L131&lt;&gt;"",IF(INDEX(LdAId,$L131)="","—",INDEX(LdAId,$L131)),IF($M131&lt;&gt;"",IF(INDEX(LdBId,$M131)="","—",INDEX(LdBId,$M131)),IF($N131&lt;&gt;"",IF(INDEX(LdCBank,$N131)="","—",INDEX(LdCBank,$N131)),"")))</f>
        <v/>
      </c>
      <c r="E131" s="16">
        <f>IF($L131&lt;&gt;"",IF(INDEX(LdAAmt,$L131)=0,"",INDEX(LdAAmt,$L131)),IF($M131&lt;&gt;"",IF(INDEX(LdBAmt,$M131)=0,"",INDEX(LdBAmt,$M131)),IF($N131&lt;&gt;"",IF(INDEX(LdCDep,$N131)=0,"",INDEX(LdCDep,$N131)),"")))</f>
        <v/>
      </c>
      <c r="F131" s="16">
        <f>IF(AND($L131="",$M131="",$N131=""),"",IF($N131="","",IF(INDEX(LdCWit,$N131)=0,"",INDEX(LdCWit,$N131))))</f>
        <v/>
      </c>
      <c r="G131" s="29">
        <f>IF($B131="","",IF($G130="",0,$G130)+IF($E131="",0,$E131)-IF($F131="",0,$F131))</f>
        <v/>
      </c>
      <c r="H131" s="30">
        <f>IF(AND($L131="",$M131="",$N131=""),"",IF($L131&lt;&gt;"",IF(INDEX(LdANote,$L131)="","—",INDEX(LdANote,$L131)),IF($M131&lt;&gt;"",IF(INDEX(LdBNote,$M131)="","—",INDEX(LdBNote,$M131)),IF($N131&lt;&gt;"",IF(INDEX(LdCNote,$N131)="","—",INDEX(LdCNote,$N131)),""))))</f>
        <v/>
      </c>
      <c r="L131">
        <f>IFERROR(MATCH($C$5&amp;"|"&amp;RIGHT("000000"&amp;115,6),LdAKeyM,0),"")</f>
        <v/>
      </c>
      <c r="M131">
        <f>IFERROR(MATCH($C$5&amp;"|"&amp;RIGHT("000000"&amp;115,6),LdBKeyM,0),"")</f>
        <v/>
      </c>
      <c r="N131">
        <f>IFERROR(MATCH($C$5&amp;"|"&amp;RIGHT("000000"&amp;115,6),LdCKeyM,0),"")</f>
        <v/>
      </c>
    </row>
    <row r="132">
      <c r="A132" s="19" t="n">
        <v>116</v>
      </c>
      <c r="B132" s="20">
        <f>IF(AND($L132="",$M132="",$N132=""),"",IF($L132&lt;&gt;"",INDEX(LdADate,$L132),IF($M132&lt;&gt;"",INDEX(LdBDate,$M132),INDEX(LdCDate,$N132))))</f>
        <v/>
      </c>
      <c r="C132" s="20">
        <f>IF($L132&lt;&gt;"","دستمزد (فردی)",IF($M132&lt;&gt;"","سهم از گروه "&amp;IFERROR(VLOOKUP(INDEX(LdBGroup,$M132),WGTbl,2,0),INDEX(LdBGroup,$M132)),IF($N132&lt;&gt;"",IF(N(INDEX(LdCDep,$N132))&gt;0,"بازگشت بانکی","پرداخت بانکی"),"")))</f>
        <v/>
      </c>
      <c r="D132" s="20">
        <f>IF($L132&lt;&gt;"",IF(INDEX(LdAId,$L132)="","—",INDEX(LdAId,$L132)),IF($M132&lt;&gt;"",IF(INDEX(LdBId,$M132)="","—",INDEX(LdBId,$M132)),IF($N132&lt;&gt;"",IF(INDEX(LdCBank,$N132)="","—",INDEX(LdCBank,$N132)),"")))</f>
        <v/>
      </c>
      <c r="E132" s="21">
        <f>IF($L132&lt;&gt;"",IF(INDEX(LdAAmt,$L132)=0,"",INDEX(LdAAmt,$L132)),IF($M132&lt;&gt;"",IF(INDEX(LdBAmt,$M132)=0,"",INDEX(LdBAmt,$M132)),IF($N132&lt;&gt;"",IF(INDEX(LdCDep,$N132)=0,"",INDEX(LdCDep,$N132)),"")))</f>
        <v/>
      </c>
      <c r="F132" s="21">
        <f>IF(AND($L132="",$M132="",$N132=""),"",IF($N132="","",IF(INDEX(LdCWit,$N132)=0,"",INDEX(LdCWit,$N132))))</f>
        <v/>
      </c>
      <c r="G132" s="31">
        <f>IF($B132="","",IF($G131="",0,$G131)+IF($E132="",0,$E132)-IF($F132="",0,$F132))</f>
        <v/>
      </c>
      <c r="H132" s="32">
        <f>IF(AND($L132="",$M132="",$N132=""),"",IF($L132&lt;&gt;"",IF(INDEX(LdANote,$L132)="","—",INDEX(LdANote,$L132)),IF($M132&lt;&gt;"",IF(INDEX(LdBNote,$M132)="","—",INDEX(LdBNote,$M132)),IF($N132&lt;&gt;"",IF(INDEX(LdCNote,$N132)="","—",INDEX(LdCNote,$N132)),""))))</f>
        <v/>
      </c>
      <c r="L132">
        <f>IFERROR(MATCH($C$5&amp;"|"&amp;RIGHT("000000"&amp;116,6),LdAKeyM,0),"")</f>
        <v/>
      </c>
      <c r="M132">
        <f>IFERROR(MATCH($C$5&amp;"|"&amp;RIGHT("000000"&amp;116,6),LdBKeyM,0),"")</f>
        <v/>
      </c>
      <c r="N132">
        <f>IFERROR(MATCH($C$5&amp;"|"&amp;RIGHT("000000"&amp;116,6),LdCKeyM,0),"")</f>
        <v/>
      </c>
    </row>
    <row r="133">
      <c r="A133" s="10" t="n">
        <v>117</v>
      </c>
      <c r="B133" s="14">
        <f>IF(AND($L133="",$M133="",$N133=""),"",IF($L133&lt;&gt;"",INDEX(LdADate,$L133),IF($M133&lt;&gt;"",INDEX(LdBDate,$M133),INDEX(LdCDate,$N133))))</f>
        <v/>
      </c>
      <c r="C133" s="14">
        <f>IF($L133&lt;&gt;"","دستمزد (فردی)",IF($M133&lt;&gt;"","سهم از گروه "&amp;IFERROR(VLOOKUP(INDEX(LdBGroup,$M133),WGTbl,2,0),INDEX(LdBGroup,$M133)),IF($N133&lt;&gt;"",IF(N(INDEX(LdCDep,$N133))&gt;0,"بازگشت بانکی","پرداخت بانکی"),"")))</f>
        <v/>
      </c>
      <c r="D133" s="14">
        <f>IF($L133&lt;&gt;"",IF(INDEX(LdAId,$L133)="","—",INDEX(LdAId,$L133)),IF($M133&lt;&gt;"",IF(INDEX(LdBId,$M133)="","—",INDEX(LdBId,$M133)),IF($N133&lt;&gt;"",IF(INDEX(LdCBank,$N133)="","—",INDEX(LdCBank,$N133)),"")))</f>
        <v/>
      </c>
      <c r="E133" s="16">
        <f>IF($L133&lt;&gt;"",IF(INDEX(LdAAmt,$L133)=0,"",INDEX(LdAAmt,$L133)),IF($M133&lt;&gt;"",IF(INDEX(LdBAmt,$M133)=0,"",INDEX(LdBAmt,$M133)),IF($N133&lt;&gt;"",IF(INDEX(LdCDep,$N133)=0,"",INDEX(LdCDep,$N133)),"")))</f>
        <v/>
      </c>
      <c r="F133" s="16">
        <f>IF(AND($L133="",$M133="",$N133=""),"",IF($N133="","",IF(INDEX(LdCWit,$N133)=0,"",INDEX(LdCWit,$N133))))</f>
        <v/>
      </c>
      <c r="G133" s="29">
        <f>IF($B133="","",IF($G132="",0,$G132)+IF($E133="",0,$E133)-IF($F133="",0,$F133))</f>
        <v/>
      </c>
      <c r="H133" s="30">
        <f>IF(AND($L133="",$M133="",$N133=""),"",IF($L133&lt;&gt;"",IF(INDEX(LdANote,$L133)="","—",INDEX(LdANote,$L133)),IF($M133&lt;&gt;"",IF(INDEX(LdBNote,$M133)="","—",INDEX(LdBNote,$M133)),IF($N133&lt;&gt;"",IF(INDEX(LdCNote,$N133)="","—",INDEX(LdCNote,$N133)),""))))</f>
        <v/>
      </c>
      <c r="L133">
        <f>IFERROR(MATCH($C$5&amp;"|"&amp;RIGHT("000000"&amp;117,6),LdAKeyM,0),"")</f>
        <v/>
      </c>
      <c r="M133">
        <f>IFERROR(MATCH($C$5&amp;"|"&amp;RIGHT("000000"&amp;117,6),LdBKeyM,0),"")</f>
        <v/>
      </c>
      <c r="N133">
        <f>IFERROR(MATCH($C$5&amp;"|"&amp;RIGHT("000000"&amp;117,6),LdCKeyM,0),"")</f>
        <v/>
      </c>
    </row>
    <row r="134">
      <c r="A134" s="19" t="n">
        <v>118</v>
      </c>
      <c r="B134" s="20">
        <f>IF(AND($L134="",$M134="",$N134=""),"",IF($L134&lt;&gt;"",INDEX(LdADate,$L134),IF($M134&lt;&gt;"",INDEX(LdBDate,$M134),INDEX(LdCDate,$N134))))</f>
        <v/>
      </c>
      <c r="C134" s="20">
        <f>IF($L134&lt;&gt;"","دستمزد (فردی)",IF($M134&lt;&gt;"","سهم از گروه "&amp;IFERROR(VLOOKUP(INDEX(LdBGroup,$M134),WGTbl,2,0),INDEX(LdBGroup,$M134)),IF($N134&lt;&gt;"",IF(N(INDEX(LdCDep,$N134))&gt;0,"بازگشت بانکی","پرداخت بانکی"),"")))</f>
        <v/>
      </c>
      <c r="D134" s="20">
        <f>IF($L134&lt;&gt;"",IF(INDEX(LdAId,$L134)="","—",INDEX(LdAId,$L134)),IF($M134&lt;&gt;"",IF(INDEX(LdBId,$M134)="","—",INDEX(LdBId,$M134)),IF($N134&lt;&gt;"",IF(INDEX(LdCBank,$N134)="","—",INDEX(LdCBank,$N134)),"")))</f>
        <v/>
      </c>
      <c r="E134" s="21">
        <f>IF($L134&lt;&gt;"",IF(INDEX(LdAAmt,$L134)=0,"",INDEX(LdAAmt,$L134)),IF($M134&lt;&gt;"",IF(INDEX(LdBAmt,$M134)=0,"",INDEX(LdBAmt,$M134)),IF($N134&lt;&gt;"",IF(INDEX(LdCDep,$N134)=0,"",INDEX(LdCDep,$N134)),"")))</f>
        <v/>
      </c>
      <c r="F134" s="21">
        <f>IF(AND($L134="",$M134="",$N134=""),"",IF($N134="","",IF(INDEX(LdCWit,$N134)=0,"",INDEX(LdCWit,$N134))))</f>
        <v/>
      </c>
      <c r="G134" s="31">
        <f>IF($B134="","",IF($G133="",0,$G133)+IF($E134="",0,$E134)-IF($F134="",0,$F134))</f>
        <v/>
      </c>
      <c r="H134" s="32">
        <f>IF(AND($L134="",$M134="",$N134=""),"",IF($L134&lt;&gt;"",IF(INDEX(LdANote,$L134)="","—",INDEX(LdANote,$L134)),IF($M134&lt;&gt;"",IF(INDEX(LdBNote,$M134)="","—",INDEX(LdBNote,$M134)),IF($N134&lt;&gt;"",IF(INDEX(LdCNote,$N134)="","—",INDEX(LdCNote,$N134)),""))))</f>
        <v/>
      </c>
      <c r="L134">
        <f>IFERROR(MATCH($C$5&amp;"|"&amp;RIGHT("000000"&amp;118,6),LdAKeyM,0),"")</f>
        <v/>
      </c>
      <c r="M134">
        <f>IFERROR(MATCH($C$5&amp;"|"&amp;RIGHT("000000"&amp;118,6),LdBKeyM,0),"")</f>
        <v/>
      </c>
      <c r="N134">
        <f>IFERROR(MATCH($C$5&amp;"|"&amp;RIGHT("000000"&amp;118,6),LdCKeyM,0),"")</f>
        <v/>
      </c>
    </row>
    <row r="135">
      <c r="A135" s="10" t="n">
        <v>119</v>
      </c>
      <c r="B135" s="14">
        <f>IF(AND($L135="",$M135="",$N135=""),"",IF($L135&lt;&gt;"",INDEX(LdADate,$L135),IF($M135&lt;&gt;"",INDEX(LdBDate,$M135),INDEX(LdCDate,$N135))))</f>
        <v/>
      </c>
      <c r="C135" s="14">
        <f>IF($L135&lt;&gt;"","دستمزد (فردی)",IF($M135&lt;&gt;"","سهم از گروه "&amp;IFERROR(VLOOKUP(INDEX(LdBGroup,$M135),WGTbl,2,0),INDEX(LdBGroup,$M135)),IF($N135&lt;&gt;"",IF(N(INDEX(LdCDep,$N135))&gt;0,"بازگشت بانکی","پرداخت بانکی"),"")))</f>
        <v/>
      </c>
      <c r="D135" s="14">
        <f>IF($L135&lt;&gt;"",IF(INDEX(LdAId,$L135)="","—",INDEX(LdAId,$L135)),IF($M135&lt;&gt;"",IF(INDEX(LdBId,$M135)="","—",INDEX(LdBId,$M135)),IF($N135&lt;&gt;"",IF(INDEX(LdCBank,$N135)="","—",INDEX(LdCBank,$N135)),"")))</f>
        <v/>
      </c>
      <c r="E135" s="16">
        <f>IF($L135&lt;&gt;"",IF(INDEX(LdAAmt,$L135)=0,"",INDEX(LdAAmt,$L135)),IF($M135&lt;&gt;"",IF(INDEX(LdBAmt,$M135)=0,"",INDEX(LdBAmt,$M135)),IF($N135&lt;&gt;"",IF(INDEX(LdCDep,$N135)=0,"",INDEX(LdCDep,$N135)),"")))</f>
        <v/>
      </c>
      <c r="F135" s="16">
        <f>IF(AND($L135="",$M135="",$N135=""),"",IF($N135="","",IF(INDEX(LdCWit,$N135)=0,"",INDEX(LdCWit,$N135))))</f>
        <v/>
      </c>
      <c r="G135" s="29">
        <f>IF($B135="","",IF($G134="",0,$G134)+IF($E135="",0,$E135)-IF($F135="",0,$F135))</f>
        <v/>
      </c>
      <c r="H135" s="30">
        <f>IF(AND($L135="",$M135="",$N135=""),"",IF($L135&lt;&gt;"",IF(INDEX(LdANote,$L135)="","—",INDEX(LdANote,$L135)),IF($M135&lt;&gt;"",IF(INDEX(LdBNote,$M135)="","—",INDEX(LdBNote,$M135)),IF($N135&lt;&gt;"",IF(INDEX(LdCNote,$N135)="","—",INDEX(LdCNote,$N135)),""))))</f>
        <v/>
      </c>
      <c r="L135">
        <f>IFERROR(MATCH($C$5&amp;"|"&amp;RIGHT("000000"&amp;119,6),LdAKeyM,0),"")</f>
        <v/>
      </c>
      <c r="M135">
        <f>IFERROR(MATCH($C$5&amp;"|"&amp;RIGHT("000000"&amp;119,6),LdBKeyM,0),"")</f>
        <v/>
      </c>
      <c r="N135">
        <f>IFERROR(MATCH($C$5&amp;"|"&amp;RIGHT("000000"&amp;119,6),LdCKeyM,0),"")</f>
        <v/>
      </c>
    </row>
    <row r="136">
      <c r="A136" s="19" t="n">
        <v>120</v>
      </c>
      <c r="B136" s="20">
        <f>IF(AND($L136="",$M136="",$N136=""),"",IF($L136&lt;&gt;"",INDEX(LdADate,$L136),IF($M136&lt;&gt;"",INDEX(LdBDate,$M136),INDEX(LdCDate,$N136))))</f>
        <v/>
      </c>
      <c r="C136" s="20">
        <f>IF($L136&lt;&gt;"","دستمزد (فردی)",IF($M136&lt;&gt;"","سهم از گروه "&amp;IFERROR(VLOOKUP(INDEX(LdBGroup,$M136),WGTbl,2,0),INDEX(LdBGroup,$M136)),IF($N136&lt;&gt;"",IF(N(INDEX(LdCDep,$N136))&gt;0,"بازگشت بانکی","پرداخت بانکی"),"")))</f>
        <v/>
      </c>
      <c r="D136" s="20">
        <f>IF($L136&lt;&gt;"",IF(INDEX(LdAId,$L136)="","—",INDEX(LdAId,$L136)),IF($M136&lt;&gt;"",IF(INDEX(LdBId,$M136)="","—",INDEX(LdBId,$M136)),IF($N136&lt;&gt;"",IF(INDEX(LdCBank,$N136)="","—",INDEX(LdCBank,$N136)),"")))</f>
        <v/>
      </c>
      <c r="E136" s="21">
        <f>IF($L136&lt;&gt;"",IF(INDEX(LdAAmt,$L136)=0,"",INDEX(LdAAmt,$L136)),IF($M136&lt;&gt;"",IF(INDEX(LdBAmt,$M136)=0,"",INDEX(LdBAmt,$M136)),IF($N136&lt;&gt;"",IF(INDEX(LdCDep,$N136)=0,"",INDEX(LdCDep,$N136)),"")))</f>
        <v/>
      </c>
      <c r="F136" s="21">
        <f>IF(AND($L136="",$M136="",$N136=""),"",IF($N136="","",IF(INDEX(LdCWit,$N136)=0,"",INDEX(LdCWit,$N136))))</f>
        <v/>
      </c>
      <c r="G136" s="31">
        <f>IF($B136="","",IF($G135="",0,$G135)+IF($E136="",0,$E136)-IF($F136="",0,$F136))</f>
        <v/>
      </c>
      <c r="H136" s="32">
        <f>IF(AND($L136="",$M136="",$N136=""),"",IF($L136&lt;&gt;"",IF(INDEX(LdANote,$L136)="","—",INDEX(LdANote,$L136)),IF($M136&lt;&gt;"",IF(INDEX(LdBNote,$M136)="","—",INDEX(LdBNote,$M136)),IF($N136&lt;&gt;"",IF(INDEX(LdCNote,$N136)="","—",INDEX(LdCNote,$N136)),""))))</f>
        <v/>
      </c>
      <c r="L136">
        <f>IFERROR(MATCH($C$5&amp;"|"&amp;RIGHT("000000"&amp;120,6),LdAKeyM,0),"")</f>
        <v/>
      </c>
      <c r="M136">
        <f>IFERROR(MATCH($C$5&amp;"|"&amp;RIGHT("000000"&amp;120,6),LdBKeyM,0),"")</f>
        <v/>
      </c>
      <c r="N136">
        <f>IFERROR(MATCH($C$5&amp;"|"&amp;RIGHT("000000"&amp;120,6),LdCKeyM,0),"")</f>
        <v/>
      </c>
    </row>
    <row r="137">
      <c r="A137" s="10" t="n">
        <v>121</v>
      </c>
      <c r="B137" s="14">
        <f>IF(AND($L137="",$M137="",$N137=""),"",IF($L137&lt;&gt;"",INDEX(LdADate,$L137),IF($M137&lt;&gt;"",INDEX(LdBDate,$M137),INDEX(LdCDate,$N137))))</f>
        <v/>
      </c>
      <c r="C137" s="14">
        <f>IF($L137&lt;&gt;"","دستمزد (فردی)",IF($M137&lt;&gt;"","سهم از گروه "&amp;IFERROR(VLOOKUP(INDEX(LdBGroup,$M137),WGTbl,2,0),INDEX(LdBGroup,$M137)),IF($N137&lt;&gt;"",IF(N(INDEX(LdCDep,$N137))&gt;0,"بازگشت بانکی","پرداخت بانکی"),"")))</f>
        <v/>
      </c>
      <c r="D137" s="14">
        <f>IF($L137&lt;&gt;"",IF(INDEX(LdAId,$L137)="","—",INDEX(LdAId,$L137)),IF($M137&lt;&gt;"",IF(INDEX(LdBId,$M137)="","—",INDEX(LdBId,$M137)),IF($N137&lt;&gt;"",IF(INDEX(LdCBank,$N137)="","—",INDEX(LdCBank,$N137)),"")))</f>
        <v/>
      </c>
      <c r="E137" s="16">
        <f>IF($L137&lt;&gt;"",IF(INDEX(LdAAmt,$L137)=0,"",INDEX(LdAAmt,$L137)),IF($M137&lt;&gt;"",IF(INDEX(LdBAmt,$M137)=0,"",INDEX(LdBAmt,$M137)),IF($N137&lt;&gt;"",IF(INDEX(LdCDep,$N137)=0,"",INDEX(LdCDep,$N137)),"")))</f>
        <v/>
      </c>
      <c r="F137" s="16">
        <f>IF(AND($L137="",$M137="",$N137=""),"",IF($N137="","",IF(INDEX(LdCWit,$N137)=0,"",INDEX(LdCWit,$N137))))</f>
        <v/>
      </c>
      <c r="G137" s="29">
        <f>IF($B137="","",IF($G136="",0,$G136)+IF($E137="",0,$E137)-IF($F137="",0,$F137))</f>
        <v/>
      </c>
      <c r="H137" s="30">
        <f>IF(AND($L137="",$M137="",$N137=""),"",IF($L137&lt;&gt;"",IF(INDEX(LdANote,$L137)="","—",INDEX(LdANote,$L137)),IF($M137&lt;&gt;"",IF(INDEX(LdBNote,$M137)="","—",INDEX(LdBNote,$M137)),IF($N137&lt;&gt;"",IF(INDEX(LdCNote,$N137)="","—",INDEX(LdCNote,$N137)),""))))</f>
        <v/>
      </c>
      <c r="L137">
        <f>IFERROR(MATCH($C$5&amp;"|"&amp;RIGHT("000000"&amp;121,6),LdAKeyM,0),"")</f>
        <v/>
      </c>
      <c r="M137">
        <f>IFERROR(MATCH($C$5&amp;"|"&amp;RIGHT("000000"&amp;121,6),LdBKeyM,0),"")</f>
        <v/>
      </c>
      <c r="N137">
        <f>IFERROR(MATCH($C$5&amp;"|"&amp;RIGHT("000000"&amp;121,6),LdCKeyM,0),"")</f>
        <v/>
      </c>
    </row>
    <row r="138">
      <c r="A138" s="19" t="n">
        <v>122</v>
      </c>
      <c r="B138" s="20">
        <f>IF(AND($L138="",$M138="",$N138=""),"",IF($L138&lt;&gt;"",INDEX(LdADate,$L138),IF($M138&lt;&gt;"",INDEX(LdBDate,$M138),INDEX(LdCDate,$N138))))</f>
        <v/>
      </c>
      <c r="C138" s="20">
        <f>IF($L138&lt;&gt;"","دستمزد (فردی)",IF($M138&lt;&gt;"","سهم از گروه "&amp;IFERROR(VLOOKUP(INDEX(LdBGroup,$M138),WGTbl,2,0),INDEX(LdBGroup,$M138)),IF($N138&lt;&gt;"",IF(N(INDEX(LdCDep,$N138))&gt;0,"بازگشت بانکی","پرداخت بانکی"),"")))</f>
        <v/>
      </c>
      <c r="D138" s="20">
        <f>IF($L138&lt;&gt;"",IF(INDEX(LdAId,$L138)="","—",INDEX(LdAId,$L138)),IF($M138&lt;&gt;"",IF(INDEX(LdBId,$M138)="","—",INDEX(LdBId,$M138)),IF($N138&lt;&gt;"",IF(INDEX(LdCBank,$N138)="","—",INDEX(LdCBank,$N138)),"")))</f>
        <v/>
      </c>
      <c r="E138" s="21">
        <f>IF($L138&lt;&gt;"",IF(INDEX(LdAAmt,$L138)=0,"",INDEX(LdAAmt,$L138)),IF($M138&lt;&gt;"",IF(INDEX(LdBAmt,$M138)=0,"",INDEX(LdBAmt,$M138)),IF($N138&lt;&gt;"",IF(INDEX(LdCDep,$N138)=0,"",INDEX(LdCDep,$N138)),"")))</f>
        <v/>
      </c>
      <c r="F138" s="21">
        <f>IF(AND($L138="",$M138="",$N138=""),"",IF($N138="","",IF(INDEX(LdCWit,$N138)=0,"",INDEX(LdCWit,$N138))))</f>
        <v/>
      </c>
      <c r="G138" s="31">
        <f>IF($B138="","",IF($G137="",0,$G137)+IF($E138="",0,$E138)-IF($F138="",0,$F138))</f>
        <v/>
      </c>
      <c r="H138" s="32">
        <f>IF(AND($L138="",$M138="",$N138=""),"",IF($L138&lt;&gt;"",IF(INDEX(LdANote,$L138)="","—",INDEX(LdANote,$L138)),IF($M138&lt;&gt;"",IF(INDEX(LdBNote,$M138)="","—",INDEX(LdBNote,$M138)),IF($N138&lt;&gt;"",IF(INDEX(LdCNote,$N138)="","—",INDEX(LdCNote,$N138)),""))))</f>
        <v/>
      </c>
      <c r="L138">
        <f>IFERROR(MATCH($C$5&amp;"|"&amp;RIGHT("000000"&amp;122,6),LdAKeyM,0),"")</f>
        <v/>
      </c>
      <c r="M138">
        <f>IFERROR(MATCH($C$5&amp;"|"&amp;RIGHT("000000"&amp;122,6),LdBKeyM,0),"")</f>
        <v/>
      </c>
      <c r="N138">
        <f>IFERROR(MATCH($C$5&amp;"|"&amp;RIGHT("000000"&amp;122,6),LdCKeyM,0),"")</f>
        <v/>
      </c>
    </row>
    <row r="139">
      <c r="A139" s="10" t="n">
        <v>123</v>
      </c>
      <c r="B139" s="14">
        <f>IF(AND($L139="",$M139="",$N139=""),"",IF($L139&lt;&gt;"",INDEX(LdADate,$L139),IF($M139&lt;&gt;"",INDEX(LdBDate,$M139),INDEX(LdCDate,$N139))))</f>
        <v/>
      </c>
      <c r="C139" s="14">
        <f>IF($L139&lt;&gt;"","دستمزد (فردی)",IF($M139&lt;&gt;"","سهم از گروه "&amp;IFERROR(VLOOKUP(INDEX(LdBGroup,$M139),WGTbl,2,0),INDEX(LdBGroup,$M139)),IF($N139&lt;&gt;"",IF(N(INDEX(LdCDep,$N139))&gt;0,"بازگشت بانکی","پرداخت بانکی"),"")))</f>
        <v/>
      </c>
      <c r="D139" s="14">
        <f>IF($L139&lt;&gt;"",IF(INDEX(LdAId,$L139)="","—",INDEX(LdAId,$L139)),IF($M139&lt;&gt;"",IF(INDEX(LdBId,$M139)="","—",INDEX(LdBId,$M139)),IF($N139&lt;&gt;"",IF(INDEX(LdCBank,$N139)="","—",INDEX(LdCBank,$N139)),"")))</f>
        <v/>
      </c>
      <c r="E139" s="16">
        <f>IF($L139&lt;&gt;"",IF(INDEX(LdAAmt,$L139)=0,"",INDEX(LdAAmt,$L139)),IF($M139&lt;&gt;"",IF(INDEX(LdBAmt,$M139)=0,"",INDEX(LdBAmt,$M139)),IF($N139&lt;&gt;"",IF(INDEX(LdCDep,$N139)=0,"",INDEX(LdCDep,$N139)),"")))</f>
        <v/>
      </c>
      <c r="F139" s="16">
        <f>IF(AND($L139="",$M139="",$N139=""),"",IF($N139="","",IF(INDEX(LdCWit,$N139)=0,"",INDEX(LdCWit,$N139))))</f>
        <v/>
      </c>
      <c r="G139" s="29">
        <f>IF($B139="","",IF($G138="",0,$G138)+IF($E139="",0,$E139)-IF($F139="",0,$F139))</f>
        <v/>
      </c>
      <c r="H139" s="30">
        <f>IF(AND($L139="",$M139="",$N139=""),"",IF($L139&lt;&gt;"",IF(INDEX(LdANote,$L139)="","—",INDEX(LdANote,$L139)),IF($M139&lt;&gt;"",IF(INDEX(LdBNote,$M139)="","—",INDEX(LdBNote,$M139)),IF($N139&lt;&gt;"",IF(INDEX(LdCNote,$N139)="","—",INDEX(LdCNote,$N139)),""))))</f>
        <v/>
      </c>
      <c r="L139">
        <f>IFERROR(MATCH($C$5&amp;"|"&amp;RIGHT("000000"&amp;123,6),LdAKeyM,0),"")</f>
        <v/>
      </c>
      <c r="M139">
        <f>IFERROR(MATCH($C$5&amp;"|"&amp;RIGHT("000000"&amp;123,6),LdBKeyM,0),"")</f>
        <v/>
      </c>
      <c r="N139">
        <f>IFERROR(MATCH($C$5&amp;"|"&amp;RIGHT("000000"&amp;123,6),LdCKeyM,0),"")</f>
        <v/>
      </c>
    </row>
    <row r="140">
      <c r="A140" s="19" t="n">
        <v>124</v>
      </c>
      <c r="B140" s="20">
        <f>IF(AND($L140="",$M140="",$N140=""),"",IF($L140&lt;&gt;"",INDEX(LdADate,$L140),IF($M140&lt;&gt;"",INDEX(LdBDate,$M140),INDEX(LdCDate,$N140))))</f>
        <v/>
      </c>
      <c r="C140" s="20">
        <f>IF($L140&lt;&gt;"","دستمزد (فردی)",IF($M140&lt;&gt;"","سهم از گروه "&amp;IFERROR(VLOOKUP(INDEX(LdBGroup,$M140),WGTbl,2,0),INDEX(LdBGroup,$M140)),IF($N140&lt;&gt;"",IF(N(INDEX(LdCDep,$N140))&gt;0,"بازگشت بانکی","پرداخت بانکی"),"")))</f>
        <v/>
      </c>
      <c r="D140" s="20">
        <f>IF($L140&lt;&gt;"",IF(INDEX(LdAId,$L140)="","—",INDEX(LdAId,$L140)),IF($M140&lt;&gt;"",IF(INDEX(LdBId,$M140)="","—",INDEX(LdBId,$M140)),IF($N140&lt;&gt;"",IF(INDEX(LdCBank,$N140)="","—",INDEX(LdCBank,$N140)),"")))</f>
        <v/>
      </c>
      <c r="E140" s="21">
        <f>IF($L140&lt;&gt;"",IF(INDEX(LdAAmt,$L140)=0,"",INDEX(LdAAmt,$L140)),IF($M140&lt;&gt;"",IF(INDEX(LdBAmt,$M140)=0,"",INDEX(LdBAmt,$M140)),IF($N140&lt;&gt;"",IF(INDEX(LdCDep,$N140)=0,"",INDEX(LdCDep,$N140)),"")))</f>
        <v/>
      </c>
      <c r="F140" s="21">
        <f>IF(AND($L140="",$M140="",$N140=""),"",IF($N140="","",IF(INDEX(LdCWit,$N140)=0,"",INDEX(LdCWit,$N140))))</f>
        <v/>
      </c>
      <c r="G140" s="31">
        <f>IF($B140="","",IF($G139="",0,$G139)+IF($E140="",0,$E140)-IF($F140="",0,$F140))</f>
        <v/>
      </c>
      <c r="H140" s="32">
        <f>IF(AND($L140="",$M140="",$N140=""),"",IF($L140&lt;&gt;"",IF(INDEX(LdANote,$L140)="","—",INDEX(LdANote,$L140)),IF($M140&lt;&gt;"",IF(INDEX(LdBNote,$M140)="","—",INDEX(LdBNote,$M140)),IF($N140&lt;&gt;"",IF(INDEX(LdCNote,$N140)="","—",INDEX(LdCNote,$N140)),""))))</f>
        <v/>
      </c>
      <c r="L140">
        <f>IFERROR(MATCH($C$5&amp;"|"&amp;RIGHT("000000"&amp;124,6),LdAKeyM,0),"")</f>
        <v/>
      </c>
      <c r="M140">
        <f>IFERROR(MATCH($C$5&amp;"|"&amp;RIGHT("000000"&amp;124,6),LdBKeyM,0),"")</f>
        <v/>
      </c>
      <c r="N140">
        <f>IFERROR(MATCH($C$5&amp;"|"&amp;RIGHT("000000"&amp;124,6),LdCKeyM,0),"")</f>
        <v/>
      </c>
    </row>
    <row r="141">
      <c r="A141" s="10" t="n">
        <v>125</v>
      </c>
      <c r="B141" s="14">
        <f>IF(AND($L141="",$M141="",$N141=""),"",IF($L141&lt;&gt;"",INDEX(LdADate,$L141),IF($M141&lt;&gt;"",INDEX(LdBDate,$M141),INDEX(LdCDate,$N141))))</f>
        <v/>
      </c>
      <c r="C141" s="14">
        <f>IF($L141&lt;&gt;"","دستمزد (فردی)",IF($M141&lt;&gt;"","سهم از گروه "&amp;IFERROR(VLOOKUP(INDEX(LdBGroup,$M141),WGTbl,2,0),INDEX(LdBGroup,$M141)),IF($N141&lt;&gt;"",IF(N(INDEX(LdCDep,$N141))&gt;0,"بازگشت بانکی","پرداخت بانکی"),"")))</f>
        <v/>
      </c>
      <c r="D141" s="14">
        <f>IF($L141&lt;&gt;"",IF(INDEX(LdAId,$L141)="","—",INDEX(LdAId,$L141)),IF($M141&lt;&gt;"",IF(INDEX(LdBId,$M141)="","—",INDEX(LdBId,$M141)),IF($N141&lt;&gt;"",IF(INDEX(LdCBank,$N141)="","—",INDEX(LdCBank,$N141)),"")))</f>
        <v/>
      </c>
      <c r="E141" s="16">
        <f>IF($L141&lt;&gt;"",IF(INDEX(LdAAmt,$L141)=0,"",INDEX(LdAAmt,$L141)),IF($M141&lt;&gt;"",IF(INDEX(LdBAmt,$M141)=0,"",INDEX(LdBAmt,$M141)),IF($N141&lt;&gt;"",IF(INDEX(LdCDep,$N141)=0,"",INDEX(LdCDep,$N141)),"")))</f>
        <v/>
      </c>
      <c r="F141" s="16">
        <f>IF(AND($L141="",$M141="",$N141=""),"",IF($N141="","",IF(INDEX(LdCWit,$N141)=0,"",INDEX(LdCWit,$N141))))</f>
        <v/>
      </c>
      <c r="G141" s="29">
        <f>IF($B141="","",IF($G140="",0,$G140)+IF($E141="",0,$E141)-IF($F141="",0,$F141))</f>
        <v/>
      </c>
      <c r="H141" s="30">
        <f>IF(AND($L141="",$M141="",$N141=""),"",IF($L141&lt;&gt;"",IF(INDEX(LdANote,$L141)="","—",INDEX(LdANote,$L141)),IF($M141&lt;&gt;"",IF(INDEX(LdBNote,$M141)="","—",INDEX(LdBNote,$M141)),IF($N141&lt;&gt;"",IF(INDEX(LdCNote,$N141)="","—",INDEX(LdCNote,$N141)),""))))</f>
        <v/>
      </c>
      <c r="L141">
        <f>IFERROR(MATCH($C$5&amp;"|"&amp;RIGHT("000000"&amp;125,6),LdAKeyM,0),"")</f>
        <v/>
      </c>
      <c r="M141">
        <f>IFERROR(MATCH($C$5&amp;"|"&amp;RIGHT("000000"&amp;125,6),LdBKeyM,0),"")</f>
        <v/>
      </c>
      <c r="N141">
        <f>IFERROR(MATCH($C$5&amp;"|"&amp;RIGHT("000000"&amp;125,6),LdCKeyM,0),"")</f>
        <v/>
      </c>
    </row>
    <row r="142">
      <c r="A142" s="19" t="n">
        <v>126</v>
      </c>
      <c r="B142" s="20">
        <f>IF(AND($L142="",$M142="",$N142=""),"",IF($L142&lt;&gt;"",INDEX(LdADate,$L142),IF($M142&lt;&gt;"",INDEX(LdBDate,$M142),INDEX(LdCDate,$N142))))</f>
        <v/>
      </c>
      <c r="C142" s="20">
        <f>IF($L142&lt;&gt;"","دستمزد (فردی)",IF($M142&lt;&gt;"","سهم از گروه "&amp;IFERROR(VLOOKUP(INDEX(LdBGroup,$M142),WGTbl,2,0),INDEX(LdBGroup,$M142)),IF($N142&lt;&gt;"",IF(N(INDEX(LdCDep,$N142))&gt;0,"بازگشت بانکی","پرداخت بانکی"),"")))</f>
        <v/>
      </c>
      <c r="D142" s="20">
        <f>IF($L142&lt;&gt;"",IF(INDEX(LdAId,$L142)="","—",INDEX(LdAId,$L142)),IF($M142&lt;&gt;"",IF(INDEX(LdBId,$M142)="","—",INDEX(LdBId,$M142)),IF($N142&lt;&gt;"",IF(INDEX(LdCBank,$N142)="","—",INDEX(LdCBank,$N142)),"")))</f>
        <v/>
      </c>
      <c r="E142" s="21">
        <f>IF($L142&lt;&gt;"",IF(INDEX(LdAAmt,$L142)=0,"",INDEX(LdAAmt,$L142)),IF($M142&lt;&gt;"",IF(INDEX(LdBAmt,$M142)=0,"",INDEX(LdBAmt,$M142)),IF($N142&lt;&gt;"",IF(INDEX(LdCDep,$N142)=0,"",INDEX(LdCDep,$N142)),"")))</f>
        <v/>
      </c>
      <c r="F142" s="21">
        <f>IF(AND($L142="",$M142="",$N142=""),"",IF($N142="","",IF(INDEX(LdCWit,$N142)=0,"",INDEX(LdCWit,$N142))))</f>
        <v/>
      </c>
      <c r="G142" s="31">
        <f>IF($B142="","",IF($G141="",0,$G141)+IF($E142="",0,$E142)-IF($F142="",0,$F142))</f>
        <v/>
      </c>
      <c r="H142" s="32">
        <f>IF(AND($L142="",$M142="",$N142=""),"",IF($L142&lt;&gt;"",IF(INDEX(LdANote,$L142)="","—",INDEX(LdANote,$L142)),IF($M142&lt;&gt;"",IF(INDEX(LdBNote,$M142)="","—",INDEX(LdBNote,$M142)),IF($N142&lt;&gt;"",IF(INDEX(LdCNote,$N142)="","—",INDEX(LdCNote,$N142)),""))))</f>
        <v/>
      </c>
      <c r="L142">
        <f>IFERROR(MATCH($C$5&amp;"|"&amp;RIGHT("000000"&amp;126,6),LdAKeyM,0),"")</f>
        <v/>
      </c>
      <c r="M142">
        <f>IFERROR(MATCH($C$5&amp;"|"&amp;RIGHT("000000"&amp;126,6),LdBKeyM,0),"")</f>
        <v/>
      </c>
      <c r="N142">
        <f>IFERROR(MATCH($C$5&amp;"|"&amp;RIGHT("000000"&amp;126,6),LdCKeyM,0),"")</f>
        <v/>
      </c>
    </row>
    <row r="143">
      <c r="A143" s="10" t="n">
        <v>127</v>
      </c>
      <c r="B143" s="14">
        <f>IF(AND($L143="",$M143="",$N143=""),"",IF($L143&lt;&gt;"",INDEX(LdADate,$L143),IF($M143&lt;&gt;"",INDEX(LdBDate,$M143),INDEX(LdCDate,$N143))))</f>
        <v/>
      </c>
      <c r="C143" s="14">
        <f>IF($L143&lt;&gt;"","دستمزد (فردی)",IF($M143&lt;&gt;"","سهم از گروه "&amp;IFERROR(VLOOKUP(INDEX(LdBGroup,$M143),WGTbl,2,0),INDEX(LdBGroup,$M143)),IF($N143&lt;&gt;"",IF(N(INDEX(LdCDep,$N143))&gt;0,"بازگشت بانکی","پرداخت بانکی"),"")))</f>
        <v/>
      </c>
      <c r="D143" s="14">
        <f>IF($L143&lt;&gt;"",IF(INDEX(LdAId,$L143)="","—",INDEX(LdAId,$L143)),IF($M143&lt;&gt;"",IF(INDEX(LdBId,$M143)="","—",INDEX(LdBId,$M143)),IF($N143&lt;&gt;"",IF(INDEX(LdCBank,$N143)="","—",INDEX(LdCBank,$N143)),"")))</f>
        <v/>
      </c>
      <c r="E143" s="16">
        <f>IF($L143&lt;&gt;"",IF(INDEX(LdAAmt,$L143)=0,"",INDEX(LdAAmt,$L143)),IF($M143&lt;&gt;"",IF(INDEX(LdBAmt,$M143)=0,"",INDEX(LdBAmt,$M143)),IF($N143&lt;&gt;"",IF(INDEX(LdCDep,$N143)=0,"",INDEX(LdCDep,$N143)),"")))</f>
        <v/>
      </c>
      <c r="F143" s="16">
        <f>IF(AND($L143="",$M143="",$N143=""),"",IF($N143="","",IF(INDEX(LdCWit,$N143)=0,"",INDEX(LdCWit,$N143))))</f>
        <v/>
      </c>
      <c r="G143" s="29">
        <f>IF($B143="","",IF($G142="",0,$G142)+IF($E143="",0,$E143)-IF($F143="",0,$F143))</f>
        <v/>
      </c>
      <c r="H143" s="30">
        <f>IF(AND($L143="",$M143="",$N143=""),"",IF($L143&lt;&gt;"",IF(INDEX(LdANote,$L143)="","—",INDEX(LdANote,$L143)),IF($M143&lt;&gt;"",IF(INDEX(LdBNote,$M143)="","—",INDEX(LdBNote,$M143)),IF($N143&lt;&gt;"",IF(INDEX(LdCNote,$N143)="","—",INDEX(LdCNote,$N143)),""))))</f>
        <v/>
      </c>
      <c r="L143">
        <f>IFERROR(MATCH($C$5&amp;"|"&amp;RIGHT("000000"&amp;127,6),LdAKeyM,0),"")</f>
        <v/>
      </c>
      <c r="M143">
        <f>IFERROR(MATCH($C$5&amp;"|"&amp;RIGHT("000000"&amp;127,6),LdBKeyM,0),"")</f>
        <v/>
      </c>
      <c r="N143">
        <f>IFERROR(MATCH($C$5&amp;"|"&amp;RIGHT("000000"&amp;127,6),LdCKeyM,0),"")</f>
        <v/>
      </c>
    </row>
    <row r="144">
      <c r="A144" s="19" t="n">
        <v>128</v>
      </c>
      <c r="B144" s="20">
        <f>IF(AND($L144="",$M144="",$N144=""),"",IF($L144&lt;&gt;"",INDEX(LdADate,$L144),IF($M144&lt;&gt;"",INDEX(LdBDate,$M144),INDEX(LdCDate,$N144))))</f>
        <v/>
      </c>
      <c r="C144" s="20">
        <f>IF($L144&lt;&gt;"","دستمزد (فردی)",IF($M144&lt;&gt;"","سهم از گروه "&amp;IFERROR(VLOOKUP(INDEX(LdBGroup,$M144),WGTbl,2,0),INDEX(LdBGroup,$M144)),IF($N144&lt;&gt;"",IF(N(INDEX(LdCDep,$N144))&gt;0,"بازگشت بانکی","پرداخت بانکی"),"")))</f>
        <v/>
      </c>
      <c r="D144" s="20">
        <f>IF($L144&lt;&gt;"",IF(INDEX(LdAId,$L144)="","—",INDEX(LdAId,$L144)),IF($M144&lt;&gt;"",IF(INDEX(LdBId,$M144)="","—",INDEX(LdBId,$M144)),IF($N144&lt;&gt;"",IF(INDEX(LdCBank,$N144)="","—",INDEX(LdCBank,$N144)),"")))</f>
        <v/>
      </c>
      <c r="E144" s="21">
        <f>IF($L144&lt;&gt;"",IF(INDEX(LdAAmt,$L144)=0,"",INDEX(LdAAmt,$L144)),IF($M144&lt;&gt;"",IF(INDEX(LdBAmt,$M144)=0,"",INDEX(LdBAmt,$M144)),IF($N144&lt;&gt;"",IF(INDEX(LdCDep,$N144)=0,"",INDEX(LdCDep,$N144)),"")))</f>
        <v/>
      </c>
      <c r="F144" s="21">
        <f>IF(AND($L144="",$M144="",$N144=""),"",IF($N144="","",IF(INDEX(LdCWit,$N144)=0,"",INDEX(LdCWit,$N144))))</f>
        <v/>
      </c>
      <c r="G144" s="31">
        <f>IF($B144="","",IF($G143="",0,$G143)+IF($E144="",0,$E144)-IF($F144="",0,$F144))</f>
        <v/>
      </c>
      <c r="H144" s="32">
        <f>IF(AND($L144="",$M144="",$N144=""),"",IF($L144&lt;&gt;"",IF(INDEX(LdANote,$L144)="","—",INDEX(LdANote,$L144)),IF($M144&lt;&gt;"",IF(INDEX(LdBNote,$M144)="","—",INDEX(LdBNote,$M144)),IF($N144&lt;&gt;"",IF(INDEX(LdCNote,$N144)="","—",INDEX(LdCNote,$N144)),""))))</f>
        <v/>
      </c>
      <c r="L144">
        <f>IFERROR(MATCH($C$5&amp;"|"&amp;RIGHT("000000"&amp;128,6),LdAKeyM,0),"")</f>
        <v/>
      </c>
      <c r="M144">
        <f>IFERROR(MATCH($C$5&amp;"|"&amp;RIGHT("000000"&amp;128,6),LdBKeyM,0),"")</f>
        <v/>
      </c>
      <c r="N144">
        <f>IFERROR(MATCH($C$5&amp;"|"&amp;RIGHT("000000"&amp;128,6),LdCKeyM,0),"")</f>
        <v/>
      </c>
    </row>
    <row r="145">
      <c r="A145" s="10" t="n">
        <v>129</v>
      </c>
      <c r="B145" s="14">
        <f>IF(AND($L145="",$M145="",$N145=""),"",IF($L145&lt;&gt;"",INDEX(LdADate,$L145),IF($M145&lt;&gt;"",INDEX(LdBDate,$M145),INDEX(LdCDate,$N145))))</f>
        <v/>
      </c>
      <c r="C145" s="14">
        <f>IF($L145&lt;&gt;"","دستمزد (فردی)",IF($M145&lt;&gt;"","سهم از گروه "&amp;IFERROR(VLOOKUP(INDEX(LdBGroup,$M145),WGTbl,2,0),INDEX(LdBGroup,$M145)),IF($N145&lt;&gt;"",IF(N(INDEX(LdCDep,$N145))&gt;0,"بازگشت بانکی","پرداخت بانکی"),"")))</f>
        <v/>
      </c>
      <c r="D145" s="14">
        <f>IF($L145&lt;&gt;"",IF(INDEX(LdAId,$L145)="","—",INDEX(LdAId,$L145)),IF($M145&lt;&gt;"",IF(INDEX(LdBId,$M145)="","—",INDEX(LdBId,$M145)),IF($N145&lt;&gt;"",IF(INDEX(LdCBank,$N145)="","—",INDEX(LdCBank,$N145)),"")))</f>
        <v/>
      </c>
      <c r="E145" s="16">
        <f>IF($L145&lt;&gt;"",IF(INDEX(LdAAmt,$L145)=0,"",INDEX(LdAAmt,$L145)),IF($M145&lt;&gt;"",IF(INDEX(LdBAmt,$M145)=0,"",INDEX(LdBAmt,$M145)),IF($N145&lt;&gt;"",IF(INDEX(LdCDep,$N145)=0,"",INDEX(LdCDep,$N145)),"")))</f>
        <v/>
      </c>
      <c r="F145" s="16">
        <f>IF(AND($L145="",$M145="",$N145=""),"",IF($N145="","",IF(INDEX(LdCWit,$N145)=0,"",INDEX(LdCWit,$N145))))</f>
        <v/>
      </c>
      <c r="G145" s="29">
        <f>IF($B145="","",IF($G144="",0,$G144)+IF($E145="",0,$E145)-IF($F145="",0,$F145))</f>
        <v/>
      </c>
      <c r="H145" s="30">
        <f>IF(AND($L145="",$M145="",$N145=""),"",IF($L145&lt;&gt;"",IF(INDEX(LdANote,$L145)="","—",INDEX(LdANote,$L145)),IF($M145&lt;&gt;"",IF(INDEX(LdBNote,$M145)="","—",INDEX(LdBNote,$M145)),IF($N145&lt;&gt;"",IF(INDEX(LdCNote,$N145)="","—",INDEX(LdCNote,$N145)),""))))</f>
        <v/>
      </c>
      <c r="L145">
        <f>IFERROR(MATCH($C$5&amp;"|"&amp;RIGHT("000000"&amp;129,6),LdAKeyM,0),"")</f>
        <v/>
      </c>
      <c r="M145">
        <f>IFERROR(MATCH($C$5&amp;"|"&amp;RIGHT("000000"&amp;129,6),LdBKeyM,0),"")</f>
        <v/>
      </c>
      <c r="N145">
        <f>IFERROR(MATCH($C$5&amp;"|"&amp;RIGHT("000000"&amp;129,6),LdCKeyM,0),"")</f>
        <v/>
      </c>
    </row>
    <row r="146">
      <c r="A146" s="19" t="n">
        <v>130</v>
      </c>
      <c r="B146" s="20">
        <f>IF(AND($L146="",$M146="",$N146=""),"",IF($L146&lt;&gt;"",INDEX(LdADate,$L146),IF($M146&lt;&gt;"",INDEX(LdBDate,$M146),INDEX(LdCDate,$N146))))</f>
        <v/>
      </c>
      <c r="C146" s="20">
        <f>IF($L146&lt;&gt;"","دستمزد (فردی)",IF($M146&lt;&gt;"","سهم از گروه "&amp;IFERROR(VLOOKUP(INDEX(LdBGroup,$M146),WGTbl,2,0),INDEX(LdBGroup,$M146)),IF($N146&lt;&gt;"",IF(N(INDEX(LdCDep,$N146))&gt;0,"بازگشت بانکی","پرداخت بانکی"),"")))</f>
        <v/>
      </c>
      <c r="D146" s="20">
        <f>IF($L146&lt;&gt;"",IF(INDEX(LdAId,$L146)="","—",INDEX(LdAId,$L146)),IF($M146&lt;&gt;"",IF(INDEX(LdBId,$M146)="","—",INDEX(LdBId,$M146)),IF($N146&lt;&gt;"",IF(INDEX(LdCBank,$N146)="","—",INDEX(LdCBank,$N146)),"")))</f>
        <v/>
      </c>
      <c r="E146" s="21">
        <f>IF($L146&lt;&gt;"",IF(INDEX(LdAAmt,$L146)=0,"",INDEX(LdAAmt,$L146)),IF($M146&lt;&gt;"",IF(INDEX(LdBAmt,$M146)=0,"",INDEX(LdBAmt,$M146)),IF($N146&lt;&gt;"",IF(INDEX(LdCDep,$N146)=0,"",INDEX(LdCDep,$N146)),"")))</f>
        <v/>
      </c>
      <c r="F146" s="21">
        <f>IF(AND($L146="",$M146="",$N146=""),"",IF($N146="","",IF(INDEX(LdCWit,$N146)=0,"",INDEX(LdCWit,$N146))))</f>
        <v/>
      </c>
      <c r="G146" s="31">
        <f>IF($B146="","",IF($G145="",0,$G145)+IF($E146="",0,$E146)-IF($F146="",0,$F146))</f>
        <v/>
      </c>
      <c r="H146" s="32">
        <f>IF(AND($L146="",$M146="",$N146=""),"",IF($L146&lt;&gt;"",IF(INDEX(LdANote,$L146)="","—",INDEX(LdANote,$L146)),IF($M146&lt;&gt;"",IF(INDEX(LdBNote,$M146)="","—",INDEX(LdBNote,$M146)),IF($N146&lt;&gt;"",IF(INDEX(LdCNote,$N146)="","—",INDEX(LdCNote,$N146)),""))))</f>
        <v/>
      </c>
      <c r="L146">
        <f>IFERROR(MATCH($C$5&amp;"|"&amp;RIGHT("000000"&amp;130,6),LdAKeyM,0),"")</f>
        <v/>
      </c>
      <c r="M146">
        <f>IFERROR(MATCH($C$5&amp;"|"&amp;RIGHT("000000"&amp;130,6),LdBKeyM,0),"")</f>
        <v/>
      </c>
      <c r="N146">
        <f>IFERROR(MATCH($C$5&amp;"|"&amp;RIGHT("000000"&amp;130,6),LdCKeyM,0),"")</f>
        <v/>
      </c>
    </row>
    <row r="147">
      <c r="A147" s="10" t="n">
        <v>131</v>
      </c>
      <c r="B147" s="14">
        <f>IF(AND($L147="",$M147="",$N147=""),"",IF($L147&lt;&gt;"",INDEX(LdADate,$L147),IF($M147&lt;&gt;"",INDEX(LdBDate,$M147),INDEX(LdCDate,$N147))))</f>
        <v/>
      </c>
      <c r="C147" s="14">
        <f>IF($L147&lt;&gt;"","دستمزد (فردی)",IF($M147&lt;&gt;"","سهم از گروه "&amp;IFERROR(VLOOKUP(INDEX(LdBGroup,$M147),WGTbl,2,0),INDEX(LdBGroup,$M147)),IF($N147&lt;&gt;"",IF(N(INDEX(LdCDep,$N147))&gt;0,"بازگشت بانکی","پرداخت بانکی"),"")))</f>
        <v/>
      </c>
      <c r="D147" s="14">
        <f>IF($L147&lt;&gt;"",IF(INDEX(LdAId,$L147)="","—",INDEX(LdAId,$L147)),IF($M147&lt;&gt;"",IF(INDEX(LdBId,$M147)="","—",INDEX(LdBId,$M147)),IF($N147&lt;&gt;"",IF(INDEX(LdCBank,$N147)="","—",INDEX(LdCBank,$N147)),"")))</f>
        <v/>
      </c>
      <c r="E147" s="16">
        <f>IF($L147&lt;&gt;"",IF(INDEX(LdAAmt,$L147)=0,"",INDEX(LdAAmt,$L147)),IF($M147&lt;&gt;"",IF(INDEX(LdBAmt,$M147)=0,"",INDEX(LdBAmt,$M147)),IF($N147&lt;&gt;"",IF(INDEX(LdCDep,$N147)=0,"",INDEX(LdCDep,$N147)),"")))</f>
        <v/>
      </c>
      <c r="F147" s="16">
        <f>IF(AND($L147="",$M147="",$N147=""),"",IF($N147="","",IF(INDEX(LdCWit,$N147)=0,"",INDEX(LdCWit,$N147))))</f>
        <v/>
      </c>
      <c r="G147" s="29">
        <f>IF($B147="","",IF($G146="",0,$G146)+IF($E147="",0,$E147)-IF($F147="",0,$F147))</f>
        <v/>
      </c>
      <c r="H147" s="30">
        <f>IF(AND($L147="",$M147="",$N147=""),"",IF($L147&lt;&gt;"",IF(INDEX(LdANote,$L147)="","—",INDEX(LdANote,$L147)),IF($M147&lt;&gt;"",IF(INDEX(LdBNote,$M147)="","—",INDEX(LdBNote,$M147)),IF($N147&lt;&gt;"",IF(INDEX(LdCNote,$N147)="","—",INDEX(LdCNote,$N147)),""))))</f>
        <v/>
      </c>
      <c r="L147">
        <f>IFERROR(MATCH($C$5&amp;"|"&amp;RIGHT("000000"&amp;131,6),LdAKeyM,0),"")</f>
        <v/>
      </c>
      <c r="M147">
        <f>IFERROR(MATCH($C$5&amp;"|"&amp;RIGHT("000000"&amp;131,6),LdBKeyM,0),"")</f>
        <v/>
      </c>
      <c r="N147">
        <f>IFERROR(MATCH($C$5&amp;"|"&amp;RIGHT("000000"&amp;131,6),LdCKeyM,0),"")</f>
        <v/>
      </c>
    </row>
    <row r="148">
      <c r="A148" s="19" t="n">
        <v>132</v>
      </c>
      <c r="B148" s="20">
        <f>IF(AND($L148="",$M148="",$N148=""),"",IF($L148&lt;&gt;"",INDEX(LdADate,$L148),IF($M148&lt;&gt;"",INDEX(LdBDate,$M148),INDEX(LdCDate,$N148))))</f>
        <v/>
      </c>
      <c r="C148" s="20">
        <f>IF($L148&lt;&gt;"","دستمزد (فردی)",IF($M148&lt;&gt;"","سهم از گروه "&amp;IFERROR(VLOOKUP(INDEX(LdBGroup,$M148),WGTbl,2,0),INDEX(LdBGroup,$M148)),IF($N148&lt;&gt;"",IF(N(INDEX(LdCDep,$N148))&gt;0,"بازگشت بانکی","پرداخت بانکی"),"")))</f>
        <v/>
      </c>
      <c r="D148" s="20">
        <f>IF($L148&lt;&gt;"",IF(INDEX(LdAId,$L148)="","—",INDEX(LdAId,$L148)),IF($M148&lt;&gt;"",IF(INDEX(LdBId,$M148)="","—",INDEX(LdBId,$M148)),IF($N148&lt;&gt;"",IF(INDEX(LdCBank,$N148)="","—",INDEX(LdCBank,$N148)),"")))</f>
        <v/>
      </c>
      <c r="E148" s="21">
        <f>IF($L148&lt;&gt;"",IF(INDEX(LdAAmt,$L148)=0,"",INDEX(LdAAmt,$L148)),IF($M148&lt;&gt;"",IF(INDEX(LdBAmt,$M148)=0,"",INDEX(LdBAmt,$M148)),IF($N148&lt;&gt;"",IF(INDEX(LdCDep,$N148)=0,"",INDEX(LdCDep,$N148)),"")))</f>
        <v/>
      </c>
      <c r="F148" s="21">
        <f>IF(AND($L148="",$M148="",$N148=""),"",IF($N148="","",IF(INDEX(LdCWit,$N148)=0,"",INDEX(LdCWit,$N148))))</f>
        <v/>
      </c>
      <c r="G148" s="31">
        <f>IF($B148="","",IF($G147="",0,$G147)+IF($E148="",0,$E148)-IF($F148="",0,$F148))</f>
        <v/>
      </c>
      <c r="H148" s="32">
        <f>IF(AND($L148="",$M148="",$N148=""),"",IF($L148&lt;&gt;"",IF(INDEX(LdANote,$L148)="","—",INDEX(LdANote,$L148)),IF($M148&lt;&gt;"",IF(INDEX(LdBNote,$M148)="","—",INDEX(LdBNote,$M148)),IF($N148&lt;&gt;"",IF(INDEX(LdCNote,$N148)="","—",INDEX(LdCNote,$N148)),""))))</f>
        <v/>
      </c>
      <c r="L148">
        <f>IFERROR(MATCH($C$5&amp;"|"&amp;RIGHT("000000"&amp;132,6),LdAKeyM,0),"")</f>
        <v/>
      </c>
      <c r="M148">
        <f>IFERROR(MATCH($C$5&amp;"|"&amp;RIGHT("000000"&amp;132,6),LdBKeyM,0),"")</f>
        <v/>
      </c>
      <c r="N148">
        <f>IFERROR(MATCH($C$5&amp;"|"&amp;RIGHT("000000"&amp;132,6),LdCKeyM,0),"")</f>
        <v/>
      </c>
    </row>
    <row r="149">
      <c r="A149" s="10" t="n">
        <v>133</v>
      </c>
      <c r="B149" s="14">
        <f>IF(AND($L149="",$M149="",$N149=""),"",IF($L149&lt;&gt;"",INDEX(LdADate,$L149),IF($M149&lt;&gt;"",INDEX(LdBDate,$M149),INDEX(LdCDate,$N149))))</f>
        <v/>
      </c>
      <c r="C149" s="14">
        <f>IF($L149&lt;&gt;"","دستمزد (فردی)",IF($M149&lt;&gt;"","سهم از گروه "&amp;IFERROR(VLOOKUP(INDEX(LdBGroup,$M149),WGTbl,2,0),INDEX(LdBGroup,$M149)),IF($N149&lt;&gt;"",IF(N(INDEX(LdCDep,$N149))&gt;0,"بازگشت بانکی","پرداخت بانکی"),"")))</f>
        <v/>
      </c>
      <c r="D149" s="14">
        <f>IF($L149&lt;&gt;"",IF(INDEX(LdAId,$L149)="","—",INDEX(LdAId,$L149)),IF($M149&lt;&gt;"",IF(INDEX(LdBId,$M149)="","—",INDEX(LdBId,$M149)),IF($N149&lt;&gt;"",IF(INDEX(LdCBank,$N149)="","—",INDEX(LdCBank,$N149)),"")))</f>
        <v/>
      </c>
      <c r="E149" s="16">
        <f>IF($L149&lt;&gt;"",IF(INDEX(LdAAmt,$L149)=0,"",INDEX(LdAAmt,$L149)),IF($M149&lt;&gt;"",IF(INDEX(LdBAmt,$M149)=0,"",INDEX(LdBAmt,$M149)),IF($N149&lt;&gt;"",IF(INDEX(LdCDep,$N149)=0,"",INDEX(LdCDep,$N149)),"")))</f>
        <v/>
      </c>
      <c r="F149" s="16">
        <f>IF(AND($L149="",$M149="",$N149=""),"",IF($N149="","",IF(INDEX(LdCWit,$N149)=0,"",INDEX(LdCWit,$N149))))</f>
        <v/>
      </c>
      <c r="G149" s="29">
        <f>IF($B149="","",IF($G148="",0,$G148)+IF($E149="",0,$E149)-IF($F149="",0,$F149))</f>
        <v/>
      </c>
      <c r="H149" s="30">
        <f>IF(AND($L149="",$M149="",$N149=""),"",IF($L149&lt;&gt;"",IF(INDEX(LdANote,$L149)="","—",INDEX(LdANote,$L149)),IF($M149&lt;&gt;"",IF(INDEX(LdBNote,$M149)="","—",INDEX(LdBNote,$M149)),IF($N149&lt;&gt;"",IF(INDEX(LdCNote,$N149)="","—",INDEX(LdCNote,$N149)),""))))</f>
        <v/>
      </c>
      <c r="L149">
        <f>IFERROR(MATCH($C$5&amp;"|"&amp;RIGHT("000000"&amp;133,6),LdAKeyM,0),"")</f>
        <v/>
      </c>
      <c r="M149">
        <f>IFERROR(MATCH($C$5&amp;"|"&amp;RIGHT("000000"&amp;133,6),LdBKeyM,0),"")</f>
        <v/>
      </c>
      <c r="N149">
        <f>IFERROR(MATCH($C$5&amp;"|"&amp;RIGHT("000000"&amp;133,6),LdCKeyM,0),"")</f>
        <v/>
      </c>
    </row>
    <row r="150">
      <c r="A150" s="19" t="n">
        <v>134</v>
      </c>
      <c r="B150" s="20">
        <f>IF(AND($L150="",$M150="",$N150=""),"",IF($L150&lt;&gt;"",INDEX(LdADate,$L150),IF($M150&lt;&gt;"",INDEX(LdBDate,$M150),INDEX(LdCDate,$N150))))</f>
        <v/>
      </c>
      <c r="C150" s="20">
        <f>IF($L150&lt;&gt;"","دستمزد (فردی)",IF($M150&lt;&gt;"","سهم از گروه "&amp;IFERROR(VLOOKUP(INDEX(LdBGroup,$M150),WGTbl,2,0),INDEX(LdBGroup,$M150)),IF($N150&lt;&gt;"",IF(N(INDEX(LdCDep,$N150))&gt;0,"بازگشت بانکی","پرداخت بانکی"),"")))</f>
        <v/>
      </c>
      <c r="D150" s="20">
        <f>IF($L150&lt;&gt;"",IF(INDEX(LdAId,$L150)="","—",INDEX(LdAId,$L150)),IF($M150&lt;&gt;"",IF(INDEX(LdBId,$M150)="","—",INDEX(LdBId,$M150)),IF($N150&lt;&gt;"",IF(INDEX(LdCBank,$N150)="","—",INDEX(LdCBank,$N150)),"")))</f>
        <v/>
      </c>
      <c r="E150" s="21">
        <f>IF($L150&lt;&gt;"",IF(INDEX(LdAAmt,$L150)=0,"",INDEX(LdAAmt,$L150)),IF($M150&lt;&gt;"",IF(INDEX(LdBAmt,$M150)=0,"",INDEX(LdBAmt,$M150)),IF($N150&lt;&gt;"",IF(INDEX(LdCDep,$N150)=0,"",INDEX(LdCDep,$N150)),"")))</f>
        <v/>
      </c>
      <c r="F150" s="21">
        <f>IF(AND($L150="",$M150="",$N150=""),"",IF($N150="","",IF(INDEX(LdCWit,$N150)=0,"",INDEX(LdCWit,$N150))))</f>
        <v/>
      </c>
      <c r="G150" s="31">
        <f>IF($B150="","",IF($G149="",0,$G149)+IF($E150="",0,$E150)-IF($F150="",0,$F150))</f>
        <v/>
      </c>
      <c r="H150" s="32">
        <f>IF(AND($L150="",$M150="",$N150=""),"",IF($L150&lt;&gt;"",IF(INDEX(LdANote,$L150)="","—",INDEX(LdANote,$L150)),IF($M150&lt;&gt;"",IF(INDEX(LdBNote,$M150)="","—",INDEX(LdBNote,$M150)),IF($N150&lt;&gt;"",IF(INDEX(LdCNote,$N150)="","—",INDEX(LdCNote,$N150)),""))))</f>
        <v/>
      </c>
      <c r="L150">
        <f>IFERROR(MATCH($C$5&amp;"|"&amp;RIGHT("000000"&amp;134,6),LdAKeyM,0),"")</f>
        <v/>
      </c>
      <c r="M150">
        <f>IFERROR(MATCH($C$5&amp;"|"&amp;RIGHT("000000"&amp;134,6),LdBKeyM,0),"")</f>
        <v/>
      </c>
      <c r="N150">
        <f>IFERROR(MATCH($C$5&amp;"|"&amp;RIGHT("000000"&amp;134,6),LdCKeyM,0),"")</f>
        <v/>
      </c>
    </row>
    <row r="151">
      <c r="A151" s="10" t="n">
        <v>135</v>
      </c>
      <c r="B151" s="14">
        <f>IF(AND($L151="",$M151="",$N151=""),"",IF($L151&lt;&gt;"",INDEX(LdADate,$L151),IF($M151&lt;&gt;"",INDEX(LdBDate,$M151),INDEX(LdCDate,$N151))))</f>
        <v/>
      </c>
      <c r="C151" s="14">
        <f>IF($L151&lt;&gt;"","دستمزد (فردی)",IF($M151&lt;&gt;"","سهم از گروه "&amp;IFERROR(VLOOKUP(INDEX(LdBGroup,$M151),WGTbl,2,0),INDEX(LdBGroup,$M151)),IF($N151&lt;&gt;"",IF(N(INDEX(LdCDep,$N151))&gt;0,"بازگشت بانکی","پرداخت بانکی"),"")))</f>
        <v/>
      </c>
      <c r="D151" s="14">
        <f>IF($L151&lt;&gt;"",IF(INDEX(LdAId,$L151)="","—",INDEX(LdAId,$L151)),IF($M151&lt;&gt;"",IF(INDEX(LdBId,$M151)="","—",INDEX(LdBId,$M151)),IF($N151&lt;&gt;"",IF(INDEX(LdCBank,$N151)="","—",INDEX(LdCBank,$N151)),"")))</f>
        <v/>
      </c>
      <c r="E151" s="16">
        <f>IF($L151&lt;&gt;"",IF(INDEX(LdAAmt,$L151)=0,"",INDEX(LdAAmt,$L151)),IF($M151&lt;&gt;"",IF(INDEX(LdBAmt,$M151)=0,"",INDEX(LdBAmt,$M151)),IF($N151&lt;&gt;"",IF(INDEX(LdCDep,$N151)=0,"",INDEX(LdCDep,$N151)),"")))</f>
        <v/>
      </c>
      <c r="F151" s="16">
        <f>IF(AND($L151="",$M151="",$N151=""),"",IF($N151="","",IF(INDEX(LdCWit,$N151)=0,"",INDEX(LdCWit,$N151))))</f>
        <v/>
      </c>
      <c r="G151" s="29">
        <f>IF($B151="","",IF($G150="",0,$G150)+IF($E151="",0,$E151)-IF($F151="",0,$F151))</f>
        <v/>
      </c>
      <c r="H151" s="30">
        <f>IF(AND($L151="",$M151="",$N151=""),"",IF($L151&lt;&gt;"",IF(INDEX(LdANote,$L151)="","—",INDEX(LdANote,$L151)),IF($M151&lt;&gt;"",IF(INDEX(LdBNote,$M151)="","—",INDEX(LdBNote,$M151)),IF($N151&lt;&gt;"",IF(INDEX(LdCNote,$N151)="","—",INDEX(LdCNote,$N151)),""))))</f>
        <v/>
      </c>
      <c r="L151">
        <f>IFERROR(MATCH($C$5&amp;"|"&amp;RIGHT("000000"&amp;135,6),LdAKeyM,0),"")</f>
        <v/>
      </c>
      <c r="M151">
        <f>IFERROR(MATCH($C$5&amp;"|"&amp;RIGHT("000000"&amp;135,6),LdBKeyM,0),"")</f>
        <v/>
      </c>
      <c r="N151">
        <f>IFERROR(MATCH($C$5&amp;"|"&amp;RIGHT("000000"&amp;135,6),LdCKeyM,0),"")</f>
        <v/>
      </c>
    </row>
    <row r="152">
      <c r="A152" s="19" t="n">
        <v>136</v>
      </c>
      <c r="B152" s="20">
        <f>IF(AND($L152="",$M152="",$N152=""),"",IF($L152&lt;&gt;"",INDEX(LdADate,$L152),IF($M152&lt;&gt;"",INDEX(LdBDate,$M152),INDEX(LdCDate,$N152))))</f>
        <v/>
      </c>
      <c r="C152" s="20">
        <f>IF($L152&lt;&gt;"","دستمزد (فردی)",IF($M152&lt;&gt;"","سهم از گروه "&amp;IFERROR(VLOOKUP(INDEX(LdBGroup,$M152),WGTbl,2,0),INDEX(LdBGroup,$M152)),IF($N152&lt;&gt;"",IF(N(INDEX(LdCDep,$N152))&gt;0,"بازگشت بانکی","پرداخت بانکی"),"")))</f>
        <v/>
      </c>
      <c r="D152" s="20">
        <f>IF($L152&lt;&gt;"",IF(INDEX(LdAId,$L152)="","—",INDEX(LdAId,$L152)),IF($M152&lt;&gt;"",IF(INDEX(LdBId,$M152)="","—",INDEX(LdBId,$M152)),IF($N152&lt;&gt;"",IF(INDEX(LdCBank,$N152)="","—",INDEX(LdCBank,$N152)),"")))</f>
        <v/>
      </c>
      <c r="E152" s="21">
        <f>IF($L152&lt;&gt;"",IF(INDEX(LdAAmt,$L152)=0,"",INDEX(LdAAmt,$L152)),IF($M152&lt;&gt;"",IF(INDEX(LdBAmt,$M152)=0,"",INDEX(LdBAmt,$M152)),IF($N152&lt;&gt;"",IF(INDEX(LdCDep,$N152)=0,"",INDEX(LdCDep,$N152)),"")))</f>
        <v/>
      </c>
      <c r="F152" s="21">
        <f>IF(AND($L152="",$M152="",$N152=""),"",IF($N152="","",IF(INDEX(LdCWit,$N152)=0,"",INDEX(LdCWit,$N152))))</f>
        <v/>
      </c>
      <c r="G152" s="31">
        <f>IF($B152="","",IF($G151="",0,$G151)+IF($E152="",0,$E152)-IF($F152="",0,$F152))</f>
        <v/>
      </c>
      <c r="H152" s="32">
        <f>IF(AND($L152="",$M152="",$N152=""),"",IF($L152&lt;&gt;"",IF(INDEX(LdANote,$L152)="","—",INDEX(LdANote,$L152)),IF($M152&lt;&gt;"",IF(INDEX(LdBNote,$M152)="","—",INDEX(LdBNote,$M152)),IF($N152&lt;&gt;"",IF(INDEX(LdCNote,$N152)="","—",INDEX(LdCNote,$N152)),""))))</f>
        <v/>
      </c>
      <c r="L152">
        <f>IFERROR(MATCH($C$5&amp;"|"&amp;RIGHT("000000"&amp;136,6),LdAKeyM,0),"")</f>
        <v/>
      </c>
      <c r="M152">
        <f>IFERROR(MATCH($C$5&amp;"|"&amp;RIGHT("000000"&amp;136,6),LdBKeyM,0),"")</f>
        <v/>
      </c>
      <c r="N152">
        <f>IFERROR(MATCH($C$5&amp;"|"&amp;RIGHT("000000"&amp;136,6),LdCKeyM,0),"")</f>
        <v/>
      </c>
    </row>
    <row r="153">
      <c r="A153" s="10" t="n">
        <v>137</v>
      </c>
      <c r="B153" s="14">
        <f>IF(AND($L153="",$M153="",$N153=""),"",IF($L153&lt;&gt;"",INDEX(LdADate,$L153),IF($M153&lt;&gt;"",INDEX(LdBDate,$M153),INDEX(LdCDate,$N153))))</f>
        <v/>
      </c>
      <c r="C153" s="14">
        <f>IF($L153&lt;&gt;"","دستمزد (فردی)",IF($M153&lt;&gt;"","سهم از گروه "&amp;IFERROR(VLOOKUP(INDEX(LdBGroup,$M153),WGTbl,2,0),INDEX(LdBGroup,$M153)),IF($N153&lt;&gt;"",IF(N(INDEX(LdCDep,$N153))&gt;0,"بازگشت بانکی","پرداخت بانکی"),"")))</f>
        <v/>
      </c>
      <c r="D153" s="14">
        <f>IF($L153&lt;&gt;"",IF(INDEX(LdAId,$L153)="","—",INDEX(LdAId,$L153)),IF($M153&lt;&gt;"",IF(INDEX(LdBId,$M153)="","—",INDEX(LdBId,$M153)),IF($N153&lt;&gt;"",IF(INDEX(LdCBank,$N153)="","—",INDEX(LdCBank,$N153)),"")))</f>
        <v/>
      </c>
      <c r="E153" s="16">
        <f>IF($L153&lt;&gt;"",IF(INDEX(LdAAmt,$L153)=0,"",INDEX(LdAAmt,$L153)),IF($M153&lt;&gt;"",IF(INDEX(LdBAmt,$M153)=0,"",INDEX(LdBAmt,$M153)),IF($N153&lt;&gt;"",IF(INDEX(LdCDep,$N153)=0,"",INDEX(LdCDep,$N153)),"")))</f>
        <v/>
      </c>
      <c r="F153" s="16">
        <f>IF(AND($L153="",$M153="",$N153=""),"",IF($N153="","",IF(INDEX(LdCWit,$N153)=0,"",INDEX(LdCWit,$N153))))</f>
        <v/>
      </c>
      <c r="G153" s="29">
        <f>IF($B153="","",IF($G152="",0,$G152)+IF($E153="",0,$E153)-IF($F153="",0,$F153))</f>
        <v/>
      </c>
      <c r="H153" s="30">
        <f>IF(AND($L153="",$M153="",$N153=""),"",IF($L153&lt;&gt;"",IF(INDEX(LdANote,$L153)="","—",INDEX(LdANote,$L153)),IF($M153&lt;&gt;"",IF(INDEX(LdBNote,$M153)="","—",INDEX(LdBNote,$M153)),IF($N153&lt;&gt;"",IF(INDEX(LdCNote,$N153)="","—",INDEX(LdCNote,$N153)),""))))</f>
        <v/>
      </c>
      <c r="L153">
        <f>IFERROR(MATCH($C$5&amp;"|"&amp;RIGHT("000000"&amp;137,6),LdAKeyM,0),"")</f>
        <v/>
      </c>
      <c r="M153">
        <f>IFERROR(MATCH($C$5&amp;"|"&amp;RIGHT("000000"&amp;137,6),LdBKeyM,0),"")</f>
        <v/>
      </c>
      <c r="N153">
        <f>IFERROR(MATCH($C$5&amp;"|"&amp;RIGHT("000000"&amp;137,6),LdCKeyM,0),"")</f>
        <v/>
      </c>
    </row>
    <row r="154">
      <c r="A154" s="19" t="n">
        <v>138</v>
      </c>
      <c r="B154" s="20">
        <f>IF(AND($L154="",$M154="",$N154=""),"",IF($L154&lt;&gt;"",INDEX(LdADate,$L154),IF($M154&lt;&gt;"",INDEX(LdBDate,$M154),INDEX(LdCDate,$N154))))</f>
        <v/>
      </c>
      <c r="C154" s="20">
        <f>IF($L154&lt;&gt;"","دستمزد (فردی)",IF($M154&lt;&gt;"","سهم از گروه "&amp;IFERROR(VLOOKUP(INDEX(LdBGroup,$M154),WGTbl,2,0),INDEX(LdBGroup,$M154)),IF($N154&lt;&gt;"",IF(N(INDEX(LdCDep,$N154))&gt;0,"بازگشت بانکی","پرداخت بانکی"),"")))</f>
        <v/>
      </c>
      <c r="D154" s="20">
        <f>IF($L154&lt;&gt;"",IF(INDEX(LdAId,$L154)="","—",INDEX(LdAId,$L154)),IF($M154&lt;&gt;"",IF(INDEX(LdBId,$M154)="","—",INDEX(LdBId,$M154)),IF($N154&lt;&gt;"",IF(INDEX(LdCBank,$N154)="","—",INDEX(LdCBank,$N154)),"")))</f>
        <v/>
      </c>
      <c r="E154" s="21">
        <f>IF($L154&lt;&gt;"",IF(INDEX(LdAAmt,$L154)=0,"",INDEX(LdAAmt,$L154)),IF($M154&lt;&gt;"",IF(INDEX(LdBAmt,$M154)=0,"",INDEX(LdBAmt,$M154)),IF($N154&lt;&gt;"",IF(INDEX(LdCDep,$N154)=0,"",INDEX(LdCDep,$N154)),"")))</f>
        <v/>
      </c>
      <c r="F154" s="21">
        <f>IF(AND($L154="",$M154="",$N154=""),"",IF($N154="","",IF(INDEX(LdCWit,$N154)=0,"",INDEX(LdCWit,$N154))))</f>
        <v/>
      </c>
      <c r="G154" s="31">
        <f>IF($B154="","",IF($G153="",0,$G153)+IF($E154="",0,$E154)-IF($F154="",0,$F154))</f>
        <v/>
      </c>
      <c r="H154" s="32">
        <f>IF(AND($L154="",$M154="",$N154=""),"",IF($L154&lt;&gt;"",IF(INDEX(LdANote,$L154)="","—",INDEX(LdANote,$L154)),IF($M154&lt;&gt;"",IF(INDEX(LdBNote,$M154)="","—",INDEX(LdBNote,$M154)),IF($N154&lt;&gt;"",IF(INDEX(LdCNote,$N154)="","—",INDEX(LdCNote,$N154)),""))))</f>
        <v/>
      </c>
      <c r="L154">
        <f>IFERROR(MATCH($C$5&amp;"|"&amp;RIGHT("000000"&amp;138,6),LdAKeyM,0),"")</f>
        <v/>
      </c>
      <c r="M154">
        <f>IFERROR(MATCH($C$5&amp;"|"&amp;RIGHT("000000"&amp;138,6),LdBKeyM,0),"")</f>
        <v/>
      </c>
      <c r="N154">
        <f>IFERROR(MATCH($C$5&amp;"|"&amp;RIGHT("000000"&amp;138,6),LdCKeyM,0),"")</f>
        <v/>
      </c>
    </row>
    <row r="155">
      <c r="A155" s="10" t="n">
        <v>139</v>
      </c>
      <c r="B155" s="14">
        <f>IF(AND($L155="",$M155="",$N155=""),"",IF($L155&lt;&gt;"",INDEX(LdADate,$L155),IF($M155&lt;&gt;"",INDEX(LdBDate,$M155),INDEX(LdCDate,$N155))))</f>
        <v/>
      </c>
      <c r="C155" s="14">
        <f>IF($L155&lt;&gt;"","دستمزد (فردی)",IF($M155&lt;&gt;"","سهم از گروه "&amp;IFERROR(VLOOKUP(INDEX(LdBGroup,$M155),WGTbl,2,0),INDEX(LdBGroup,$M155)),IF($N155&lt;&gt;"",IF(N(INDEX(LdCDep,$N155))&gt;0,"بازگشت بانکی","پرداخت بانکی"),"")))</f>
        <v/>
      </c>
      <c r="D155" s="14">
        <f>IF($L155&lt;&gt;"",IF(INDEX(LdAId,$L155)="","—",INDEX(LdAId,$L155)),IF($M155&lt;&gt;"",IF(INDEX(LdBId,$M155)="","—",INDEX(LdBId,$M155)),IF($N155&lt;&gt;"",IF(INDEX(LdCBank,$N155)="","—",INDEX(LdCBank,$N155)),"")))</f>
        <v/>
      </c>
      <c r="E155" s="16">
        <f>IF($L155&lt;&gt;"",IF(INDEX(LdAAmt,$L155)=0,"",INDEX(LdAAmt,$L155)),IF($M155&lt;&gt;"",IF(INDEX(LdBAmt,$M155)=0,"",INDEX(LdBAmt,$M155)),IF($N155&lt;&gt;"",IF(INDEX(LdCDep,$N155)=0,"",INDEX(LdCDep,$N155)),"")))</f>
        <v/>
      </c>
      <c r="F155" s="16">
        <f>IF(AND($L155="",$M155="",$N155=""),"",IF($N155="","",IF(INDEX(LdCWit,$N155)=0,"",INDEX(LdCWit,$N155))))</f>
        <v/>
      </c>
      <c r="G155" s="29">
        <f>IF($B155="","",IF($G154="",0,$G154)+IF($E155="",0,$E155)-IF($F155="",0,$F155))</f>
        <v/>
      </c>
      <c r="H155" s="30">
        <f>IF(AND($L155="",$M155="",$N155=""),"",IF($L155&lt;&gt;"",IF(INDEX(LdANote,$L155)="","—",INDEX(LdANote,$L155)),IF($M155&lt;&gt;"",IF(INDEX(LdBNote,$M155)="","—",INDEX(LdBNote,$M155)),IF($N155&lt;&gt;"",IF(INDEX(LdCNote,$N155)="","—",INDEX(LdCNote,$N155)),""))))</f>
        <v/>
      </c>
      <c r="L155">
        <f>IFERROR(MATCH($C$5&amp;"|"&amp;RIGHT("000000"&amp;139,6),LdAKeyM,0),"")</f>
        <v/>
      </c>
      <c r="M155">
        <f>IFERROR(MATCH($C$5&amp;"|"&amp;RIGHT("000000"&amp;139,6),LdBKeyM,0),"")</f>
        <v/>
      </c>
      <c r="N155">
        <f>IFERROR(MATCH($C$5&amp;"|"&amp;RIGHT("000000"&amp;139,6),LdCKeyM,0),"")</f>
        <v/>
      </c>
    </row>
    <row r="156">
      <c r="A156" s="19" t="n">
        <v>140</v>
      </c>
      <c r="B156" s="20">
        <f>IF(AND($L156="",$M156="",$N156=""),"",IF($L156&lt;&gt;"",INDEX(LdADate,$L156),IF($M156&lt;&gt;"",INDEX(LdBDate,$M156),INDEX(LdCDate,$N156))))</f>
        <v/>
      </c>
      <c r="C156" s="20">
        <f>IF($L156&lt;&gt;"","دستمزد (فردی)",IF($M156&lt;&gt;"","سهم از گروه "&amp;IFERROR(VLOOKUP(INDEX(LdBGroup,$M156),WGTbl,2,0),INDEX(LdBGroup,$M156)),IF($N156&lt;&gt;"",IF(N(INDEX(LdCDep,$N156))&gt;0,"بازگشت بانکی","پرداخت بانکی"),"")))</f>
        <v/>
      </c>
      <c r="D156" s="20">
        <f>IF($L156&lt;&gt;"",IF(INDEX(LdAId,$L156)="","—",INDEX(LdAId,$L156)),IF($M156&lt;&gt;"",IF(INDEX(LdBId,$M156)="","—",INDEX(LdBId,$M156)),IF($N156&lt;&gt;"",IF(INDEX(LdCBank,$N156)="","—",INDEX(LdCBank,$N156)),"")))</f>
        <v/>
      </c>
      <c r="E156" s="21">
        <f>IF($L156&lt;&gt;"",IF(INDEX(LdAAmt,$L156)=0,"",INDEX(LdAAmt,$L156)),IF($M156&lt;&gt;"",IF(INDEX(LdBAmt,$M156)=0,"",INDEX(LdBAmt,$M156)),IF($N156&lt;&gt;"",IF(INDEX(LdCDep,$N156)=0,"",INDEX(LdCDep,$N156)),"")))</f>
        <v/>
      </c>
      <c r="F156" s="21">
        <f>IF(AND($L156="",$M156="",$N156=""),"",IF($N156="","",IF(INDEX(LdCWit,$N156)=0,"",INDEX(LdCWit,$N156))))</f>
        <v/>
      </c>
      <c r="G156" s="31">
        <f>IF($B156="","",IF($G155="",0,$G155)+IF($E156="",0,$E156)-IF($F156="",0,$F156))</f>
        <v/>
      </c>
      <c r="H156" s="32">
        <f>IF(AND($L156="",$M156="",$N156=""),"",IF($L156&lt;&gt;"",IF(INDEX(LdANote,$L156)="","—",INDEX(LdANote,$L156)),IF($M156&lt;&gt;"",IF(INDEX(LdBNote,$M156)="","—",INDEX(LdBNote,$M156)),IF($N156&lt;&gt;"",IF(INDEX(LdCNote,$N156)="","—",INDEX(LdCNote,$N156)),""))))</f>
        <v/>
      </c>
      <c r="L156">
        <f>IFERROR(MATCH($C$5&amp;"|"&amp;RIGHT("000000"&amp;140,6),LdAKeyM,0),"")</f>
        <v/>
      </c>
      <c r="M156">
        <f>IFERROR(MATCH($C$5&amp;"|"&amp;RIGHT("000000"&amp;140,6),LdBKeyM,0),"")</f>
        <v/>
      </c>
      <c r="N156">
        <f>IFERROR(MATCH($C$5&amp;"|"&amp;RIGHT("000000"&amp;140,6),LdCKeyM,0),"")</f>
        <v/>
      </c>
    </row>
    <row r="157">
      <c r="A157" s="10" t="n">
        <v>141</v>
      </c>
      <c r="B157" s="14">
        <f>IF(AND($L157="",$M157="",$N157=""),"",IF($L157&lt;&gt;"",INDEX(LdADate,$L157),IF($M157&lt;&gt;"",INDEX(LdBDate,$M157),INDEX(LdCDate,$N157))))</f>
        <v/>
      </c>
      <c r="C157" s="14">
        <f>IF($L157&lt;&gt;"","دستمزد (فردی)",IF($M157&lt;&gt;"","سهم از گروه "&amp;IFERROR(VLOOKUP(INDEX(LdBGroup,$M157),WGTbl,2,0),INDEX(LdBGroup,$M157)),IF($N157&lt;&gt;"",IF(N(INDEX(LdCDep,$N157))&gt;0,"بازگشت بانکی","پرداخت بانکی"),"")))</f>
        <v/>
      </c>
      <c r="D157" s="14">
        <f>IF($L157&lt;&gt;"",IF(INDEX(LdAId,$L157)="","—",INDEX(LdAId,$L157)),IF($M157&lt;&gt;"",IF(INDEX(LdBId,$M157)="","—",INDEX(LdBId,$M157)),IF($N157&lt;&gt;"",IF(INDEX(LdCBank,$N157)="","—",INDEX(LdCBank,$N157)),"")))</f>
        <v/>
      </c>
      <c r="E157" s="16">
        <f>IF($L157&lt;&gt;"",IF(INDEX(LdAAmt,$L157)=0,"",INDEX(LdAAmt,$L157)),IF($M157&lt;&gt;"",IF(INDEX(LdBAmt,$M157)=0,"",INDEX(LdBAmt,$M157)),IF($N157&lt;&gt;"",IF(INDEX(LdCDep,$N157)=0,"",INDEX(LdCDep,$N157)),"")))</f>
        <v/>
      </c>
      <c r="F157" s="16">
        <f>IF(AND($L157="",$M157="",$N157=""),"",IF($N157="","",IF(INDEX(LdCWit,$N157)=0,"",INDEX(LdCWit,$N157))))</f>
        <v/>
      </c>
      <c r="G157" s="29">
        <f>IF($B157="","",IF($G156="",0,$G156)+IF($E157="",0,$E157)-IF($F157="",0,$F157))</f>
        <v/>
      </c>
      <c r="H157" s="30">
        <f>IF(AND($L157="",$M157="",$N157=""),"",IF($L157&lt;&gt;"",IF(INDEX(LdANote,$L157)="","—",INDEX(LdANote,$L157)),IF($M157&lt;&gt;"",IF(INDEX(LdBNote,$M157)="","—",INDEX(LdBNote,$M157)),IF($N157&lt;&gt;"",IF(INDEX(LdCNote,$N157)="","—",INDEX(LdCNote,$N157)),""))))</f>
        <v/>
      </c>
      <c r="L157">
        <f>IFERROR(MATCH($C$5&amp;"|"&amp;RIGHT("000000"&amp;141,6),LdAKeyM,0),"")</f>
        <v/>
      </c>
      <c r="M157">
        <f>IFERROR(MATCH($C$5&amp;"|"&amp;RIGHT("000000"&amp;141,6),LdBKeyM,0),"")</f>
        <v/>
      </c>
      <c r="N157">
        <f>IFERROR(MATCH($C$5&amp;"|"&amp;RIGHT("000000"&amp;141,6),LdCKeyM,0),"")</f>
        <v/>
      </c>
    </row>
    <row r="158">
      <c r="A158" s="19" t="n">
        <v>142</v>
      </c>
      <c r="B158" s="20">
        <f>IF(AND($L158="",$M158="",$N158=""),"",IF($L158&lt;&gt;"",INDEX(LdADate,$L158),IF($M158&lt;&gt;"",INDEX(LdBDate,$M158),INDEX(LdCDate,$N158))))</f>
        <v/>
      </c>
      <c r="C158" s="20">
        <f>IF($L158&lt;&gt;"","دستمزد (فردی)",IF($M158&lt;&gt;"","سهم از گروه "&amp;IFERROR(VLOOKUP(INDEX(LdBGroup,$M158),WGTbl,2,0),INDEX(LdBGroup,$M158)),IF($N158&lt;&gt;"",IF(N(INDEX(LdCDep,$N158))&gt;0,"بازگشت بانکی","پرداخت بانکی"),"")))</f>
        <v/>
      </c>
      <c r="D158" s="20">
        <f>IF($L158&lt;&gt;"",IF(INDEX(LdAId,$L158)="","—",INDEX(LdAId,$L158)),IF($M158&lt;&gt;"",IF(INDEX(LdBId,$M158)="","—",INDEX(LdBId,$M158)),IF($N158&lt;&gt;"",IF(INDEX(LdCBank,$N158)="","—",INDEX(LdCBank,$N158)),"")))</f>
        <v/>
      </c>
      <c r="E158" s="21">
        <f>IF($L158&lt;&gt;"",IF(INDEX(LdAAmt,$L158)=0,"",INDEX(LdAAmt,$L158)),IF($M158&lt;&gt;"",IF(INDEX(LdBAmt,$M158)=0,"",INDEX(LdBAmt,$M158)),IF($N158&lt;&gt;"",IF(INDEX(LdCDep,$N158)=0,"",INDEX(LdCDep,$N158)),"")))</f>
        <v/>
      </c>
      <c r="F158" s="21">
        <f>IF(AND($L158="",$M158="",$N158=""),"",IF($N158="","",IF(INDEX(LdCWit,$N158)=0,"",INDEX(LdCWit,$N158))))</f>
        <v/>
      </c>
      <c r="G158" s="31">
        <f>IF($B158="","",IF($G157="",0,$G157)+IF($E158="",0,$E158)-IF($F158="",0,$F158))</f>
        <v/>
      </c>
      <c r="H158" s="32">
        <f>IF(AND($L158="",$M158="",$N158=""),"",IF($L158&lt;&gt;"",IF(INDEX(LdANote,$L158)="","—",INDEX(LdANote,$L158)),IF($M158&lt;&gt;"",IF(INDEX(LdBNote,$M158)="","—",INDEX(LdBNote,$M158)),IF($N158&lt;&gt;"",IF(INDEX(LdCNote,$N158)="","—",INDEX(LdCNote,$N158)),""))))</f>
        <v/>
      </c>
      <c r="L158">
        <f>IFERROR(MATCH($C$5&amp;"|"&amp;RIGHT("000000"&amp;142,6),LdAKeyM,0),"")</f>
        <v/>
      </c>
      <c r="M158">
        <f>IFERROR(MATCH($C$5&amp;"|"&amp;RIGHT("000000"&amp;142,6),LdBKeyM,0),"")</f>
        <v/>
      </c>
      <c r="N158">
        <f>IFERROR(MATCH($C$5&amp;"|"&amp;RIGHT("000000"&amp;142,6),LdCKeyM,0),"")</f>
        <v/>
      </c>
    </row>
    <row r="159">
      <c r="A159" s="10" t="n">
        <v>143</v>
      </c>
      <c r="B159" s="14">
        <f>IF(AND($L159="",$M159="",$N159=""),"",IF($L159&lt;&gt;"",INDEX(LdADate,$L159),IF($M159&lt;&gt;"",INDEX(LdBDate,$M159),INDEX(LdCDate,$N159))))</f>
        <v/>
      </c>
      <c r="C159" s="14">
        <f>IF($L159&lt;&gt;"","دستمزد (فردی)",IF($M159&lt;&gt;"","سهم از گروه "&amp;IFERROR(VLOOKUP(INDEX(LdBGroup,$M159),WGTbl,2,0),INDEX(LdBGroup,$M159)),IF($N159&lt;&gt;"",IF(N(INDEX(LdCDep,$N159))&gt;0,"بازگشت بانکی","پرداخت بانکی"),"")))</f>
        <v/>
      </c>
      <c r="D159" s="14">
        <f>IF($L159&lt;&gt;"",IF(INDEX(LdAId,$L159)="","—",INDEX(LdAId,$L159)),IF($M159&lt;&gt;"",IF(INDEX(LdBId,$M159)="","—",INDEX(LdBId,$M159)),IF($N159&lt;&gt;"",IF(INDEX(LdCBank,$N159)="","—",INDEX(LdCBank,$N159)),"")))</f>
        <v/>
      </c>
      <c r="E159" s="16">
        <f>IF($L159&lt;&gt;"",IF(INDEX(LdAAmt,$L159)=0,"",INDEX(LdAAmt,$L159)),IF($M159&lt;&gt;"",IF(INDEX(LdBAmt,$M159)=0,"",INDEX(LdBAmt,$M159)),IF($N159&lt;&gt;"",IF(INDEX(LdCDep,$N159)=0,"",INDEX(LdCDep,$N159)),"")))</f>
        <v/>
      </c>
      <c r="F159" s="16">
        <f>IF(AND($L159="",$M159="",$N159=""),"",IF($N159="","",IF(INDEX(LdCWit,$N159)=0,"",INDEX(LdCWit,$N159))))</f>
        <v/>
      </c>
      <c r="G159" s="29">
        <f>IF($B159="","",IF($G158="",0,$G158)+IF($E159="",0,$E159)-IF($F159="",0,$F159))</f>
        <v/>
      </c>
      <c r="H159" s="30">
        <f>IF(AND($L159="",$M159="",$N159=""),"",IF($L159&lt;&gt;"",IF(INDEX(LdANote,$L159)="","—",INDEX(LdANote,$L159)),IF($M159&lt;&gt;"",IF(INDEX(LdBNote,$M159)="","—",INDEX(LdBNote,$M159)),IF($N159&lt;&gt;"",IF(INDEX(LdCNote,$N159)="","—",INDEX(LdCNote,$N159)),""))))</f>
        <v/>
      </c>
      <c r="L159">
        <f>IFERROR(MATCH($C$5&amp;"|"&amp;RIGHT("000000"&amp;143,6),LdAKeyM,0),"")</f>
        <v/>
      </c>
      <c r="M159">
        <f>IFERROR(MATCH($C$5&amp;"|"&amp;RIGHT("000000"&amp;143,6),LdBKeyM,0),"")</f>
        <v/>
      </c>
      <c r="N159">
        <f>IFERROR(MATCH($C$5&amp;"|"&amp;RIGHT("000000"&amp;143,6),LdCKeyM,0),"")</f>
        <v/>
      </c>
    </row>
    <row r="160">
      <c r="A160" s="19" t="n">
        <v>144</v>
      </c>
      <c r="B160" s="20">
        <f>IF(AND($L160="",$M160="",$N160=""),"",IF($L160&lt;&gt;"",INDEX(LdADate,$L160),IF($M160&lt;&gt;"",INDEX(LdBDate,$M160),INDEX(LdCDate,$N160))))</f>
        <v/>
      </c>
      <c r="C160" s="20">
        <f>IF($L160&lt;&gt;"","دستمزد (فردی)",IF($M160&lt;&gt;"","سهم از گروه "&amp;IFERROR(VLOOKUP(INDEX(LdBGroup,$M160),WGTbl,2,0),INDEX(LdBGroup,$M160)),IF($N160&lt;&gt;"",IF(N(INDEX(LdCDep,$N160))&gt;0,"بازگشت بانکی","پرداخت بانکی"),"")))</f>
        <v/>
      </c>
      <c r="D160" s="20">
        <f>IF($L160&lt;&gt;"",IF(INDEX(LdAId,$L160)="","—",INDEX(LdAId,$L160)),IF($M160&lt;&gt;"",IF(INDEX(LdBId,$M160)="","—",INDEX(LdBId,$M160)),IF($N160&lt;&gt;"",IF(INDEX(LdCBank,$N160)="","—",INDEX(LdCBank,$N160)),"")))</f>
        <v/>
      </c>
      <c r="E160" s="21">
        <f>IF($L160&lt;&gt;"",IF(INDEX(LdAAmt,$L160)=0,"",INDEX(LdAAmt,$L160)),IF($M160&lt;&gt;"",IF(INDEX(LdBAmt,$M160)=0,"",INDEX(LdBAmt,$M160)),IF($N160&lt;&gt;"",IF(INDEX(LdCDep,$N160)=0,"",INDEX(LdCDep,$N160)),"")))</f>
        <v/>
      </c>
      <c r="F160" s="21">
        <f>IF(AND($L160="",$M160="",$N160=""),"",IF($N160="","",IF(INDEX(LdCWit,$N160)=0,"",INDEX(LdCWit,$N160))))</f>
        <v/>
      </c>
      <c r="G160" s="31">
        <f>IF($B160="","",IF($G159="",0,$G159)+IF($E160="",0,$E160)-IF($F160="",0,$F160))</f>
        <v/>
      </c>
      <c r="H160" s="32">
        <f>IF(AND($L160="",$M160="",$N160=""),"",IF($L160&lt;&gt;"",IF(INDEX(LdANote,$L160)="","—",INDEX(LdANote,$L160)),IF($M160&lt;&gt;"",IF(INDEX(LdBNote,$M160)="","—",INDEX(LdBNote,$M160)),IF($N160&lt;&gt;"",IF(INDEX(LdCNote,$N160)="","—",INDEX(LdCNote,$N160)),""))))</f>
        <v/>
      </c>
      <c r="L160">
        <f>IFERROR(MATCH($C$5&amp;"|"&amp;RIGHT("000000"&amp;144,6),LdAKeyM,0),"")</f>
        <v/>
      </c>
      <c r="M160">
        <f>IFERROR(MATCH($C$5&amp;"|"&amp;RIGHT("000000"&amp;144,6),LdBKeyM,0),"")</f>
        <v/>
      </c>
      <c r="N160">
        <f>IFERROR(MATCH($C$5&amp;"|"&amp;RIGHT("000000"&amp;144,6),LdCKeyM,0),"")</f>
        <v/>
      </c>
    </row>
    <row r="161">
      <c r="A161" s="10" t="n">
        <v>145</v>
      </c>
      <c r="B161" s="14">
        <f>IF(AND($L161="",$M161="",$N161=""),"",IF($L161&lt;&gt;"",INDEX(LdADate,$L161),IF($M161&lt;&gt;"",INDEX(LdBDate,$M161),INDEX(LdCDate,$N161))))</f>
        <v/>
      </c>
      <c r="C161" s="14">
        <f>IF($L161&lt;&gt;"","دستمزد (فردی)",IF($M161&lt;&gt;"","سهم از گروه "&amp;IFERROR(VLOOKUP(INDEX(LdBGroup,$M161),WGTbl,2,0),INDEX(LdBGroup,$M161)),IF($N161&lt;&gt;"",IF(N(INDEX(LdCDep,$N161))&gt;0,"بازگشت بانکی","پرداخت بانکی"),"")))</f>
        <v/>
      </c>
      <c r="D161" s="14">
        <f>IF($L161&lt;&gt;"",IF(INDEX(LdAId,$L161)="","—",INDEX(LdAId,$L161)),IF($M161&lt;&gt;"",IF(INDEX(LdBId,$M161)="","—",INDEX(LdBId,$M161)),IF($N161&lt;&gt;"",IF(INDEX(LdCBank,$N161)="","—",INDEX(LdCBank,$N161)),"")))</f>
        <v/>
      </c>
      <c r="E161" s="16">
        <f>IF($L161&lt;&gt;"",IF(INDEX(LdAAmt,$L161)=0,"",INDEX(LdAAmt,$L161)),IF($M161&lt;&gt;"",IF(INDEX(LdBAmt,$M161)=0,"",INDEX(LdBAmt,$M161)),IF($N161&lt;&gt;"",IF(INDEX(LdCDep,$N161)=0,"",INDEX(LdCDep,$N161)),"")))</f>
        <v/>
      </c>
      <c r="F161" s="16">
        <f>IF(AND($L161="",$M161="",$N161=""),"",IF($N161="","",IF(INDEX(LdCWit,$N161)=0,"",INDEX(LdCWit,$N161))))</f>
        <v/>
      </c>
      <c r="G161" s="29">
        <f>IF($B161="","",IF($G160="",0,$G160)+IF($E161="",0,$E161)-IF($F161="",0,$F161))</f>
        <v/>
      </c>
      <c r="H161" s="30">
        <f>IF(AND($L161="",$M161="",$N161=""),"",IF($L161&lt;&gt;"",IF(INDEX(LdANote,$L161)="","—",INDEX(LdANote,$L161)),IF($M161&lt;&gt;"",IF(INDEX(LdBNote,$M161)="","—",INDEX(LdBNote,$M161)),IF($N161&lt;&gt;"",IF(INDEX(LdCNote,$N161)="","—",INDEX(LdCNote,$N161)),""))))</f>
        <v/>
      </c>
      <c r="L161">
        <f>IFERROR(MATCH($C$5&amp;"|"&amp;RIGHT("000000"&amp;145,6),LdAKeyM,0),"")</f>
        <v/>
      </c>
      <c r="M161">
        <f>IFERROR(MATCH($C$5&amp;"|"&amp;RIGHT("000000"&amp;145,6),LdBKeyM,0),"")</f>
        <v/>
      </c>
      <c r="N161">
        <f>IFERROR(MATCH($C$5&amp;"|"&amp;RIGHT("000000"&amp;145,6),LdCKeyM,0),"")</f>
        <v/>
      </c>
    </row>
    <row r="162">
      <c r="A162" s="19" t="n">
        <v>146</v>
      </c>
      <c r="B162" s="20">
        <f>IF(AND($L162="",$M162="",$N162=""),"",IF($L162&lt;&gt;"",INDEX(LdADate,$L162),IF($M162&lt;&gt;"",INDEX(LdBDate,$M162),INDEX(LdCDate,$N162))))</f>
        <v/>
      </c>
      <c r="C162" s="20">
        <f>IF($L162&lt;&gt;"","دستمزد (فردی)",IF($M162&lt;&gt;"","سهم از گروه "&amp;IFERROR(VLOOKUP(INDEX(LdBGroup,$M162),WGTbl,2,0),INDEX(LdBGroup,$M162)),IF($N162&lt;&gt;"",IF(N(INDEX(LdCDep,$N162))&gt;0,"بازگشت بانکی","پرداخت بانکی"),"")))</f>
        <v/>
      </c>
      <c r="D162" s="20">
        <f>IF($L162&lt;&gt;"",IF(INDEX(LdAId,$L162)="","—",INDEX(LdAId,$L162)),IF($M162&lt;&gt;"",IF(INDEX(LdBId,$M162)="","—",INDEX(LdBId,$M162)),IF($N162&lt;&gt;"",IF(INDEX(LdCBank,$N162)="","—",INDEX(LdCBank,$N162)),"")))</f>
        <v/>
      </c>
      <c r="E162" s="21">
        <f>IF($L162&lt;&gt;"",IF(INDEX(LdAAmt,$L162)=0,"",INDEX(LdAAmt,$L162)),IF($M162&lt;&gt;"",IF(INDEX(LdBAmt,$M162)=0,"",INDEX(LdBAmt,$M162)),IF($N162&lt;&gt;"",IF(INDEX(LdCDep,$N162)=0,"",INDEX(LdCDep,$N162)),"")))</f>
        <v/>
      </c>
      <c r="F162" s="21">
        <f>IF(AND($L162="",$M162="",$N162=""),"",IF($N162="","",IF(INDEX(LdCWit,$N162)=0,"",INDEX(LdCWit,$N162))))</f>
        <v/>
      </c>
      <c r="G162" s="31">
        <f>IF($B162="","",IF($G161="",0,$G161)+IF($E162="",0,$E162)-IF($F162="",0,$F162))</f>
        <v/>
      </c>
      <c r="H162" s="32">
        <f>IF(AND($L162="",$M162="",$N162=""),"",IF($L162&lt;&gt;"",IF(INDEX(LdANote,$L162)="","—",INDEX(LdANote,$L162)),IF($M162&lt;&gt;"",IF(INDEX(LdBNote,$M162)="","—",INDEX(LdBNote,$M162)),IF($N162&lt;&gt;"",IF(INDEX(LdCNote,$N162)="","—",INDEX(LdCNote,$N162)),""))))</f>
        <v/>
      </c>
      <c r="L162">
        <f>IFERROR(MATCH($C$5&amp;"|"&amp;RIGHT("000000"&amp;146,6),LdAKeyM,0),"")</f>
        <v/>
      </c>
      <c r="M162">
        <f>IFERROR(MATCH($C$5&amp;"|"&amp;RIGHT("000000"&amp;146,6),LdBKeyM,0),"")</f>
        <v/>
      </c>
      <c r="N162">
        <f>IFERROR(MATCH($C$5&amp;"|"&amp;RIGHT("000000"&amp;146,6),LdCKeyM,0),"")</f>
        <v/>
      </c>
    </row>
    <row r="163">
      <c r="A163" s="10" t="n">
        <v>147</v>
      </c>
      <c r="B163" s="14">
        <f>IF(AND($L163="",$M163="",$N163=""),"",IF($L163&lt;&gt;"",INDEX(LdADate,$L163),IF($M163&lt;&gt;"",INDEX(LdBDate,$M163),INDEX(LdCDate,$N163))))</f>
        <v/>
      </c>
      <c r="C163" s="14">
        <f>IF($L163&lt;&gt;"","دستمزد (فردی)",IF($M163&lt;&gt;"","سهم از گروه "&amp;IFERROR(VLOOKUP(INDEX(LdBGroup,$M163),WGTbl,2,0),INDEX(LdBGroup,$M163)),IF($N163&lt;&gt;"",IF(N(INDEX(LdCDep,$N163))&gt;0,"بازگشت بانکی","پرداخت بانکی"),"")))</f>
        <v/>
      </c>
      <c r="D163" s="14">
        <f>IF($L163&lt;&gt;"",IF(INDEX(LdAId,$L163)="","—",INDEX(LdAId,$L163)),IF($M163&lt;&gt;"",IF(INDEX(LdBId,$M163)="","—",INDEX(LdBId,$M163)),IF($N163&lt;&gt;"",IF(INDEX(LdCBank,$N163)="","—",INDEX(LdCBank,$N163)),"")))</f>
        <v/>
      </c>
      <c r="E163" s="16">
        <f>IF($L163&lt;&gt;"",IF(INDEX(LdAAmt,$L163)=0,"",INDEX(LdAAmt,$L163)),IF($M163&lt;&gt;"",IF(INDEX(LdBAmt,$M163)=0,"",INDEX(LdBAmt,$M163)),IF($N163&lt;&gt;"",IF(INDEX(LdCDep,$N163)=0,"",INDEX(LdCDep,$N163)),"")))</f>
        <v/>
      </c>
      <c r="F163" s="16">
        <f>IF(AND($L163="",$M163="",$N163=""),"",IF($N163="","",IF(INDEX(LdCWit,$N163)=0,"",INDEX(LdCWit,$N163))))</f>
        <v/>
      </c>
      <c r="G163" s="29">
        <f>IF($B163="","",IF($G162="",0,$G162)+IF($E163="",0,$E163)-IF($F163="",0,$F163))</f>
        <v/>
      </c>
      <c r="H163" s="30">
        <f>IF(AND($L163="",$M163="",$N163=""),"",IF($L163&lt;&gt;"",IF(INDEX(LdANote,$L163)="","—",INDEX(LdANote,$L163)),IF($M163&lt;&gt;"",IF(INDEX(LdBNote,$M163)="","—",INDEX(LdBNote,$M163)),IF($N163&lt;&gt;"",IF(INDEX(LdCNote,$N163)="","—",INDEX(LdCNote,$N163)),""))))</f>
        <v/>
      </c>
      <c r="L163">
        <f>IFERROR(MATCH($C$5&amp;"|"&amp;RIGHT("000000"&amp;147,6),LdAKeyM,0),"")</f>
        <v/>
      </c>
      <c r="M163">
        <f>IFERROR(MATCH($C$5&amp;"|"&amp;RIGHT("000000"&amp;147,6),LdBKeyM,0),"")</f>
        <v/>
      </c>
      <c r="N163">
        <f>IFERROR(MATCH($C$5&amp;"|"&amp;RIGHT("000000"&amp;147,6),LdCKeyM,0),"")</f>
        <v/>
      </c>
    </row>
    <row r="164">
      <c r="A164" s="19" t="n">
        <v>148</v>
      </c>
      <c r="B164" s="20">
        <f>IF(AND($L164="",$M164="",$N164=""),"",IF($L164&lt;&gt;"",INDEX(LdADate,$L164),IF($M164&lt;&gt;"",INDEX(LdBDate,$M164),INDEX(LdCDate,$N164))))</f>
        <v/>
      </c>
      <c r="C164" s="20">
        <f>IF($L164&lt;&gt;"","دستمزد (فردی)",IF($M164&lt;&gt;"","سهم از گروه "&amp;IFERROR(VLOOKUP(INDEX(LdBGroup,$M164),WGTbl,2,0),INDEX(LdBGroup,$M164)),IF($N164&lt;&gt;"",IF(N(INDEX(LdCDep,$N164))&gt;0,"بازگشت بانکی","پرداخت بانکی"),"")))</f>
        <v/>
      </c>
      <c r="D164" s="20">
        <f>IF($L164&lt;&gt;"",IF(INDEX(LdAId,$L164)="","—",INDEX(LdAId,$L164)),IF($M164&lt;&gt;"",IF(INDEX(LdBId,$M164)="","—",INDEX(LdBId,$M164)),IF($N164&lt;&gt;"",IF(INDEX(LdCBank,$N164)="","—",INDEX(LdCBank,$N164)),"")))</f>
        <v/>
      </c>
      <c r="E164" s="21">
        <f>IF($L164&lt;&gt;"",IF(INDEX(LdAAmt,$L164)=0,"",INDEX(LdAAmt,$L164)),IF($M164&lt;&gt;"",IF(INDEX(LdBAmt,$M164)=0,"",INDEX(LdBAmt,$M164)),IF($N164&lt;&gt;"",IF(INDEX(LdCDep,$N164)=0,"",INDEX(LdCDep,$N164)),"")))</f>
        <v/>
      </c>
      <c r="F164" s="21">
        <f>IF(AND($L164="",$M164="",$N164=""),"",IF($N164="","",IF(INDEX(LdCWit,$N164)=0,"",INDEX(LdCWit,$N164))))</f>
        <v/>
      </c>
      <c r="G164" s="31">
        <f>IF($B164="","",IF($G163="",0,$G163)+IF($E164="",0,$E164)-IF($F164="",0,$F164))</f>
        <v/>
      </c>
      <c r="H164" s="32">
        <f>IF(AND($L164="",$M164="",$N164=""),"",IF($L164&lt;&gt;"",IF(INDEX(LdANote,$L164)="","—",INDEX(LdANote,$L164)),IF($M164&lt;&gt;"",IF(INDEX(LdBNote,$M164)="","—",INDEX(LdBNote,$M164)),IF($N164&lt;&gt;"",IF(INDEX(LdCNote,$N164)="","—",INDEX(LdCNote,$N164)),""))))</f>
        <v/>
      </c>
      <c r="L164">
        <f>IFERROR(MATCH($C$5&amp;"|"&amp;RIGHT("000000"&amp;148,6),LdAKeyM,0),"")</f>
        <v/>
      </c>
      <c r="M164">
        <f>IFERROR(MATCH($C$5&amp;"|"&amp;RIGHT("000000"&amp;148,6),LdBKeyM,0),"")</f>
        <v/>
      </c>
      <c r="N164">
        <f>IFERROR(MATCH($C$5&amp;"|"&amp;RIGHT("000000"&amp;148,6),LdCKeyM,0),"")</f>
        <v/>
      </c>
    </row>
    <row r="165">
      <c r="A165" s="10" t="n">
        <v>149</v>
      </c>
      <c r="B165" s="14">
        <f>IF(AND($L165="",$M165="",$N165=""),"",IF($L165&lt;&gt;"",INDEX(LdADate,$L165),IF($M165&lt;&gt;"",INDEX(LdBDate,$M165),INDEX(LdCDate,$N165))))</f>
        <v/>
      </c>
      <c r="C165" s="14">
        <f>IF($L165&lt;&gt;"","دستمزد (فردی)",IF($M165&lt;&gt;"","سهم از گروه "&amp;IFERROR(VLOOKUP(INDEX(LdBGroup,$M165),WGTbl,2,0),INDEX(LdBGroup,$M165)),IF($N165&lt;&gt;"",IF(N(INDEX(LdCDep,$N165))&gt;0,"بازگشت بانکی","پرداخت بانکی"),"")))</f>
        <v/>
      </c>
      <c r="D165" s="14">
        <f>IF($L165&lt;&gt;"",IF(INDEX(LdAId,$L165)="","—",INDEX(LdAId,$L165)),IF($M165&lt;&gt;"",IF(INDEX(LdBId,$M165)="","—",INDEX(LdBId,$M165)),IF($N165&lt;&gt;"",IF(INDEX(LdCBank,$N165)="","—",INDEX(LdCBank,$N165)),"")))</f>
        <v/>
      </c>
      <c r="E165" s="16">
        <f>IF($L165&lt;&gt;"",IF(INDEX(LdAAmt,$L165)=0,"",INDEX(LdAAmt,$L165)),IF($M165&lt;&gt;"",IF(INDEX(LdBAmt,$M165)=0,"",INDEX(LdBAmt,$M165)),IF($N165&lt;&gt;"",IF(INDEX(LdCDep,$N165)=0,"",INDEX(LdCDep,$N165)),"")))</f>
        <v/>
      </c>
      <c r="F165" s="16">
        <f>IF(AND($L165="",$M165="",$N165=""),"",IF($N165="","",IF(INDEX(LdCWit,$N165)=0,"",INDEX(LdCWit,$N165))))</f>
        <v/>
      </c>
      <c r="G165" s="29">
        <f>IF($B165="","",IF($G164="",0,$G164)+IF($E165="",0,$E165)-IF($F165="",0,$F165))</f>
        <v/>
      </c>
      <c r="H165" s="30">
        <f>IF(AND($L165="",$M165="",$N165=""),"",IF($L165&lt;&gt;"",IF(INDEX(LdANote,$L165)="","—",INDEX(LdANote,$L165)),IF($M165&lt;&gt;"",IF(INDEX(LdBNote,$M165)="","—",INDEX(LdBNote,$M165)),IF($N165&lt;&gt;"",IF(INDEX(LdCNote,$N165)="","—",INDEX(LdCNote,$N165)),""))))</f>
        <v/>
      </c>
      <c r="L165">
        <f>IFERROR(MATCH($C$5&amp;"|"&amp;RIGHT("000000"&amp;149,6),LdAKeyM,0),"")</f>
        <v/>
      </c>
      <c r="M165">
        <f>IFERROR(MATCH($C$5&amp;"|"&amp;RIGHT("000000"&amp;149,6),LdBKeyM,0),"")</f>
        <v/>
      </c>
      <c r="N165">
        <f>IFERROR(MATCH($C$5&amp;"|"&amp;RIGHT("000000"&amp;149,6),LdCKeyM,0),"")</f>
        <v/>
      </c>
    </row>
    <row r="166">
      <c r="A166" s="19" t="n">
        <v>150</v>
      </c>
      <c r="B166" s="20">
        <f>IF(AND($L166="",$M166="",$N166=""),"",IF($L166&lt;&gt;"",INDEX(LdADate,$L166),IF($M166&lt;&gt;"",INDEX(LdBDate,$M166),INDEX(LdCDate,$N166))))</f>
        <v/>
      </c>
      <c r="C166" s="20">
        <f>IF($L166&lt;&gt;"","دستمزد (فردی)",IF($M166&lt;&gt;"","سهم از گروه "&amp;IFERROR(VLOOKUP(INDEX(LdBGroup,$M166),WGTbl,2,0),INDEX(LdBGroup,$M166)),IF($N166&lt;&gt;"",IF(N(INDEX(LdCDep,$N166))&gt;0,"بازگشت بانکی","پرداخت بانکی"),"")))</f>
        <v/>
      </c>
      <c r="D166" s="20">
        <f>IF($L166&lt;&gt;"",IF(INDEX(LdAId,$L166)="","—",INDEX(LdAId,$L166)),IF($M166&lt;&gt;"",IF(INDEX(LdBId,$M166)="","—",INDEX(LdBId,$M166)),IF($N166&lt;&gt;"",IF(INDEX(LdCBank,$N166)="","—",INDEX(LdCBank,$N166)),"")))</f>
        <v/>
      </c>
      <c r="E166" s="21">
        <f>IF($L166&lt;&gt;"",IF(INDEX(LdAAmt,$L166)=0,"",INDEX(LdAAmt,$L166)),IF($M166&lt;&gt;"",IF(INDEX(LdBAmt,$M166)=0,"",INDEX(LdBAmt,$M166)),IF($N166&lt;&gt;"",IF(INDEX(LdCDep,$N166)=0,"",INDEX(LdCDep,$N166)),"")))</f>
        <v/>
      </c>
      <c r="F166" s="21">
        <f>IF(AND($L166="",$M166="",$N166=""),"",IF($N166="","",IF(INDEX(LdCWit,$N166)=0,"",INDEX(LdCWit,$N166))))</f>
        <v/>
      </c>
      <c r="G166" s="31">
        <f>IF($B166="","",IF($G165="",0,$G165)+IF($E166="",0,$E166)-IF($F166="",0,$F166))</f>
        <v/>
      </c>
      <c r="H166" s="32">
        <f>IF(AND($L166="",$M166="",$N166=""),"",IF($L166&lt;&gt;"",IF(INDEX(LdANote,$L166)="","—",INDEX(LdANote,$L166)),IF($M166&lt;&gt;"",IF(INDEX(LdBNote,$M166)="","—",INDEX(LdBNote,$M166)),IF($N166&lt;&gt;"",IF(INDEX(LdCNote,$N166)="","—",INDEX(LdCNote,$N166)),""))))</f>
        <v/>
      </c>
      <c r="L166">
        <f>IFERROR(MATCH($C$5&amp;"|"&amp;RIGHT("000000"&amp;150,6),LdAKeyM,0),"")</f>
        <v/>
      </c>
      <c r="M166">
        <f>IFERROR(MATCH($C$5&amp;"|"&amp;RIGHT("000000"&amp;150,6),LdBKeyM,0),"")</f>
        <v/>
      </c>
      <c r="N166">
        <f>IFERROR(MATCH($C$5&amp;"|"&amp;RIGHT("000000"&amp;150,6),LdCKeyM,0),"")</f>
        <v/>
      </c>
    </row>
    <row r="167">
      <c r="A167" s="10" t="n">
        <v>151</v>
      </c>
      <c r="B167" s="14">
        <f>IF(AND($L167="",$M167="",$N167=""),"",IF($L167&lt;&gt;"",INDEX(LdADate,$L167),IF($M167&lt;&gt;"",INDEX(LdBDate,$M167),INDEX(LdCDate,$N167))))</f>
        <v/>
      </c>
      <c r="C167" s="14">
        <f>IF($L167&lt;&gt;"","دستمزد (فردی)",IF($M167&lt;&gt;"","سهم از گروه "&amp;IFERROR(VLOOKUP(INDEX(LdBGroup,$M167),WGTbl,2,0),INDEX(LdBGroup,$M167)),IF($N167&lt;&gt;"",IF(N(INDEX(LdCDep,$N167))&gt;0,"بازگشت بانکی","پرداخت بانکی"),"")))</f>
        <v/>
      </c>
      <c r="D167" s="14">
        <f>IF($L167&lt;&gt;"",IF(INDEX(LdAId,$L167)="","—",INDEX(LdAId,$L167)),IF($M167&lt;&gt;"",IF(INDEX(LdBId,$M167)="","—",INDEX(LdBId,$M167)),IF($N167&lt;&gt;"",IF(INDEX(LdCBank,$N167)="","—",INDEX(LdCBank,$N167)),"")))</f>
        <v/>
      </c>
      <c r="E167" s="16">
        <f>IF($L167&lt;&gt;"",IF(INDEX(LdAAmt,$L167)=0,"",INDEX(LdAAmt,$L167)),IF($M167&lt;&gt;"",IF(INDEX(LdBAmt,$M167)=0,"",INDEX(LdBAmt,$M167)),IF($N167&lt;&gt;"",IF(INDEX(LdCDep,$N167)=0,"",INDEX(LdCDep,$N167)),"")))</f>
        <v/>
      </c>
      <c r="F167" s="16">
        <f>IF(AND($L167="",$M167="",$N167=""),"",IF($N167="","",IF(INDEX(LdCWit,$N167)=0,"",INDEX(LdCWit,$N167))))</f>
        <v/>
      </c>
      <c r="G167" s="29">
        <f>IF($B167="","",IF($G166="",0,$G166)+IF($E167="",0,$E167)-IF($F167="",0,$F167))</f>
        <v/>
      </c>
      <c r="H167" s="30">
        <f>IF(AND($L167="",$M167="",$N167=""),"",IF($L167&lt;&gt;"",IF(INDEX(LdANote,$L167)="","—",INDEX(LdANote,$L167)),IF($M167&lt;&gt;"",IF(INDEX(LdBNote,$M167)="","—",INDEX(LdBNote,$M167)),IF($N167&lt;&gt;"",IF(INDEX(LdCNote,$N167)="","—",INDEX(LdCNote,$N167)),""))))</f>
        <v/>
      </c>
      <c r="L167">
        <f>IFERROR(MATCH($C$5&amp;"|"&amp;RIGHT("000000"&amp;151,6),LdAKeyM,0),"")</f>
        <v/>
      </c>
      <c r="M167">
        <f>IFERROR(MATCH($C$5&amp;"|"&amp;RIGHT("000000"&amp;151,6),LdBKeyM,0),"")</f>
        <v/>
      </c>
      <c r="N167">
        <f>IFERROR(MATCH($C$5&amp;"|"&amp;RIGHT("000000"&amp;151,6),LdCKeyM,0),"")</f>
        <v/>
      </c>
    </row>
    <row r="168">
      <c r="A168" s="19" t="n">
        <v>152</v>
      </c>
      <c r="B168" s="20">
        <f>IF(AND($L168="",$M168="",$N168=""),"",IF($L168&lt;&gt;"",INDEX(LdADate,$L168),IF($M168&lt;&gt;"",INDEX(LdBDate,$M168),INDEX(LdCDate,$N168))))</f>
        <v/>
      </c>
      <c r="C168" s="20">
        <f>IF($L168&lt;&gt;"","دستمزد (فردی)",IF($M168&lt;&gt;"","سهم از گروه "&amp;IFERROR(VLOOKUP(INDEX(LdBGroup,$M168),WGTbl,2,0),INDEX(LdBGroup,$M168)),IF($N168&lt;&gt;"",IF(N(INDEX(LdCDep,$N168))&gt;0,"بازگشت بانکی","پرداخت بانکی"),"")))</f>
        <v/>
      </c>
      <c r="D168" s="20">
        <f>IF($L168&lt;&gt;"",IF(INDEX(LdAId,$L168)="","—",INDEX(LdAId,$L168)),IF($M168&lt;&gt;"",IF(INDEX(LdBId,$M168)="","—",INDEX(LdBId,$M168)),IF($N168&lt;&gt;"",IF(INDEX(LdCBank,$N168)="","—",INDEX(LdCBank,$N168)),"")))</f>
        <v/>
      </c>
      <c r="E168" s="21">
        <f>IF($L168&lt;&gt;"",IF(INDEX(LdAAmt,$L168)=0,"",INDEX(LdAAmt,$L168)),IF($M168&lt;&gt;"",IF(INDEX(LdBAmt,$M168)=0,"",INDEX(LdBAmt,$M168)),IF($N168&lt;&gt;"",IF(INDEX(LdCDep,$N168)=0,"",INDEX(LdCDep,$N168)),"")))</f>
        <v/>
      </c>
      <c r="F168" s="21">
        <f>IF(AND($L168="",$M168="",$N168=""),"",IF($N168="","",IF(INDEX(LdCWit,$N168)=0,"",INDEX(LdCWit,$N168))))</f>
        <v/>
      </c>
      <c r="G168" s="31">
        <f>IF($B168="","",IF($G167="",0,$G167)+IF($E168="",0,$E168)-IF($F168="",0,$F168))</f>
        <v/>
      </c>
      <c r="H168" s="32">
        <f>IF(AND($L168="",$M168="",$N168=""),"",IF($L168&lt;&gt;"",IF(INDEX(LdANote,$L168)="","—",INDEX(LdANote,$L168)),IF($M168&lt;&gt;"",IF(INDEX(LdBNote,$M168)="","—",INDEX(LdBNote,$M168)),IF($N168&lt;&gt;"",IF(INDEX(LdCNote,$N168)="","—",INDEX(LdCNote,$N168)),""))))</f>
        <v/>
      </c>
      <c r="L168">
        <f>IFERROR(MATCH($C$5&amp;"|"&amp;RIGHT("000000"&amp;152,6),LdAKeyM,0),"")</f>
        <v/>
      </c>
      <c r="M168">
        <f>IFERROR(MATCH($C$5&amp;"|"&amp;RIGHT("000000"&amp;152,6),LdBKeyM,0),"")</f>
        <v/>
      </c>
      <c r="N168">
        <f>IFERROR(MATCH($C$5&amp;"|"&amp;RIGHT("000000"&amp;152,6),LdCKeyM,0),"")</f>
        <v/>
      </c>
    </row>
    <row r="169">
      <c r="A169" s="10" t="n">
        <v>153</v>
      </c>
      <c r="B169" s="14">
        <f>IF(AND($L169="",$M169="",$N169=""),"",IF($L169&lt;&gt;"",INDEX(LdADate,$L169),IF($M169&lt;&gt;"",INDEX(LdBDate,$M169),INDEX(LdCDate,$N169))))</f>
        <v/>
      </c>
      <c r="C169" s="14">
        <f>IF($L169&lt;&gt;"","دستمزد (فردی)",IF($M169&lt;&gt;"","سهم از گروه "&amp;IFERROR(VLOOKUP(INDEX(LdBGroup,$M169),WGTbl,2,0),INDEX(LdBGroup,$M169)),IF($N169&lt;&gt;"",IF(N(INDEX(LdCDep,$N169))&gt;0,"بازگشت بانکی","پرداخت بانکی"),"")))</f>
        <v/>
      </c>
      <c r="D169" s="14">
        <f>IF($L169&lt;&gt;"",IF(INDEX(LdAId,$L169)="","—",INDEX(LdAId,$L169)),IF($M169&lt;&gt;"",IF(INDEX(LdBId,$M169)="","—",INDEX(LdBId,$M169)),IF($N169&lt;&gt;"",IF(INDEX(LdCBank,$N169)="","—",INDEX(LdCBank,$N169)),"")))</f>
        <v/>
      </c>
      <c r="E169" s="16">
        <f>IF($L169&lt;&gt;"",IF(INDEX(LdAAmt,$L169)=0,"",INDEX(LdAAmt,$L169)),IF($M169&lt;&gt;"",IF(INDEX(LdBAmt,$M169)=0,"",INDEX(LdBAmt,$M169)),IF($N169&lt;&gt;"",IF(INDEX(LdCDep,$N169)=0,"",INDEX(LdCDep,$N169)),"")))</f>
        <v/>
      </c>
      <c r="F169" s="16">
        <f>IF(AND($L169="",$M169="",$N169=""),"",IF($N169="","",IF(INDEX(LdCWit,$N169)=0,"",INDEX(LdCWit,$N169))))</f>
        <v/>
      </c>
      <c r="G169" s="29">
        <f>IF($B169="","",IF($G168="",0,$G168)+IF($E169="",0,$E169)-IF($F169="",0,$F169))</f>
        <v/>
      </c>
      <c r="H169" s="30">
        <f>IF(AND($L169="",$M169="",$N169=""),"",IF($L169&lt;&gt;"",IF(INDEX(LdANote,$L169)="","—",INDEX(LdANote,$L169)),IF($M169&lt;&gt;"",IF(INDEX(LdBNote,$M169)="","—",INDEX(LdBNote,$M169)),IF($N169&lt;&gt;"",IF(INDEX(LdCNote,$N169)="","—",INDEX(LdCNote,$N169)),""))))</f>
        <v/>
      </c>
      <c r="L169">
        <f>IFERROR(MATCH($C$5&amp;"|"&amp;RIGHT("000000"&amp;153,6),LdAKeyM,0),"")</f>
        <v/>
      </c>
      <c r="M169">
        <f>IFERROR(MATCH($C$5&amp;"|"&amp;RIGHT("000000"&amp;153,6),LdBKeyM,0),"")</f>
        <v/>
      </c>
      <c r="N169">
        <f>IFERROR(MATCH($C$5&amp;"|"&amp;RIGHT("000000"&amp;153,6),LdCKeyM,0),"")</f>
        <v/>
      </c>
    </row>
    <row r="170">
      <c r="A170" s="19" t="n">
        <v>154</v>
      </c>
      <c r="B170" s="20">
        <f>IF(AND($L170="",$M170="",$N170=""),"",IF($L170&lt;&gt;"",INDEX(LdADate,$L170),IF($M170&lt;&gt;"",INDEX(LdBDate,$M170),INDEX(LdCDate,$N170))))</f>
        <v/>
      </c>
      <c r="C170" s="20">
        <f>IF($L170&lt;&gt;"","دستمزد (فردی)",IF($M170&lt;&gt;"","سهم از گروه "&amp;IFERROR(VLOOKUP(INDEX(LdBGroup,$M170),WGTbl,2,0),INDEX(LdBGroup,$M170)),IF($N170&lt;&gt;"",IF(N(INDEX(LdCDep,$N170))&gt;0,"بازگشت بانکی","پرداخت بانکی"),"")))</f>
        <v/>
      </c>
      <c r="D170" s="20">
        <f>IF($L170&lt;&gt;"",IF(INDEX(LdAId,$L170)="","—",INDEX(LdAId,$L170)),IF($M170&lt;&gt;"",IF(INDEX(LdBId,$M170)="","—",INDEX(LdBId,$M170)),IF($N170&lt;&gt;"",IF(INDEX(LdCBank,$N170)="","—",INDEX(LdCBank,$N170)),"")))</f>
        <v/>
      </c>
      <c r="E170" s="21">
        <f>IF($L170&lt;&gt;"",IF(INDEX(LdAAmt,$L170)=0,"",INDEX(LdAAmt,$L170)),IF($M170&lt;&gt;"",IF(INDEX(LdBAmt,$M170)=0,"",INDEX(LdBAmt,$M170)),IF($N170&lt;&gt;"",IF(INDEX(LdCDep,$N170)=0,"",INDEX(LdCDep,$N170)),"")))</f>
        <v/>
      </c>
      <c r="F170" s="21">
        <f>IF(AND($L170="",$M170="",$N170=""),"",IF($N170="","",IF(INDEX(LdCWit,$N170)=0,"",INDEX(LdCWit,$N170))))</f>
        <v/>
      </c>
      <c r="G170" s="31">
        <f>IF($B170="","",IF($G169="",0,$G169)+IF($E170="",0,$E170)-IF($F170="",0,$F170))</f>
        <v/>
      </c>
      <c r="H170" s="32">
        <f>IF(AND($L170="",$M170="",$N170=""),"",IF($L170&lt;&gt;"",IF(INDEX(LdANote,$L170)="","—",INDEX(LdANote,$L170)),IF($M170&lt;&gt;"",IF(INDEX(LdBNote,$M170)="","—",INDEX(LdBNote,$M170)),IF($N170&lt;&gt;"",IF(INDEX(LdCNote,$N170)="","—",INDEX(LdCNote,$N170)),""))))</f>
        <v/>
      </c>
      <c r="L170">
        <f>IFERROR(MATCH($C$5&amp;"|"&amp;RIGHT("000000"&amp;154,6),LdAKeyM,0),"")</f>
        <v/>
      </c>
      <c r="M170">
        <f>IFERROR(MATCH($C$5&amp;"|"&amp;RIGHT("000000"&amp;154,6),LdBKeyM,0),"")</f>
        <v/>
      </c>
      <c r="N170">
        <f>IFERROR(MATCH($C$5&amp;"|"&amp;RIGHT("000000"&amp;154,6),LdCKeyM,0),"")</f>
        <v/>
      </c>
    </row>
    <row r="171">
      <c r="A171" s="10" t="n">
        <v>155</v>
      </c>
      <c r="B171" s="14">
        <f>IF(AND($L171="",$M171="",$N171=""),"",IF($L171&lt;&gt;"",INDEX(LdADate,$L171),IF($M171&lt;&gt;"",INDEX(LdBDate,$M171),INDEX(LdCDate,$N171))))</f>
        <v/>
      </c>
      <c r="C171" s="14">
        <f>IF($L171&lt;&gt;"","دستمزد (فردی)",IF($M171&lt;&gt;"","سهم از گروه "&amp;IFERROR(VLOOKUP(INDEX(LdBGroup,$M171),WGTbl,2,0),INDEX(LdBGroup,$M171)),IF($N171&lt;&gt;"",IF(N(INDEX(LdCDep,$N171))&gt;0,"بازگشت بانکی","پرداخت بانکی"),"")))</f>
        <v/>
      </c>
      <c r="D171" s="14">
        <f>IF($L171&lt;&gt;"",IF(INDEX(LdAId,$L171)="","—",INDEX(LdAId,$L171)),IF($M171&lt;&gt;"",IF(INDEX(LdBId,$M171)="","—",INDEX(LdBId,$M171)),IF($N171&lt;&gt;"",IF(INDEX(LdCBank,$N171)="","—",INDEX(LdCBank,$N171)),"")))</f>
        <v/>
      </c>
      <c r="E171" s="16">
        <f>IF($L171&lt;&gt;"",IF(INDEX(LdAAmt,$L171)=0,"",INDEX(LdAAmt,$L171)),IF($M171&lt;&gt;"",IF(INDEX(LdBAmt,$M171)=0,"",INDEX(LdBAmt,$M171)),IF($N171&lt;&gt;"",IF(INDEX(LdCDep,$N171)=0,"",INDEX(LdCDep,$N171)),"")))</f>
        <v/>
      </c>
      <c r="F171" s="16">
        <f>IF(AND($L171="",$M171="",$N171=""),"",IF($N171="","",IF(INDEX(LdCWit,$N171)=0,"",INDEX(LdCWit,$N171))))</f>
        <v/>
      </c>
      <c r="G171" s="29">
        <f>IF($B171="","",IF($G170="",0,$G170)+IF($E171="",0,$E171)-IF($F171="",0,$F171))</f>
        <v/>
      </c>
      <c r="H171" s="30">
        <f>IF(AND($L171="",$M171="",$N171=""),"",IF($L171&lt;&gt;"",IF(INDEX(LdANote,$L171)="","—",INDEX(LdANote,$L171)),IF($M171&lt;&gt;"",IF(INDEX(LdBNote,$M171)="","—",INDEX(LdBNote,$M171)),IF($N171&lt;&gt;"",IF(INDEX(LdCNote,$N171)="","—",INDEX(LdCNote,$N171)),""))))</f>
        <v/>
      </c>
      <c r="L171">
        <f>IFERROR(MATCH($C$5&amp;"|"&amp;RIGHT("000000"&amp;155,6),LdAKeyM,0),"")</f>
        <v/>
      </c>
      <c r="M171">
        <f>IFERROR(MATCH($C$5&amp;"|"&amp;RIGHT("000000"&amp;155,6),LdBKeyM,0),"")</f>
        <v/>
      </c>
      <c r="N171">
        <f>IFERROR(MATCH($C$5&amp;"|"&amp;RIGHT("000000"&amp;155,6),LdCKeyM,0),"")</f>
        <v/>
      </c>
    </row>
    <row r="172">
      <c r="A172" s="19" t="n">
        <v>156</v>
      </c>
      <c r="B172" s="20">
        <f>IF(AND($L172="",$M172="",$N172=""),"",IF($L172&lt;&gt;"",INDEX(LdADate,$L172),IF($M172&lt;&gt;"",INDEX(LdBDate,$M172),INDEX(LdCDate,$N172))))</f>
        <v/>
      </c>
      <c r="C172" s="20">
        <f>IF($L172&lt;&gt;"","دستمزد (فردی)",IF($M172&lt;&gt;"","سهم از گروه "&amp;IFERROR(VLOOKUP(INDEX(LdBGroup,$M172),WGTbl,2,0),INDEX(LdBGroup,$M172)),IF($N172&lt;&gt;"",IF(N(INDEX(LdCDep,$N172))&gt;0,"بازگشت بانکی","پرداخت بانکی"),"")))</f>
        <v/>
      </c>
      <c r="D172" s="20">
        <f>IF($L172&lt;&gt;"",IF(INDEX(LdAId,$L172)="","—",INDEX(LdAId,$L172)),IF($M172&lt;&gt;"",IF(INDEX(LdBId,$M172)="","—",INDEX(LdBId,$M172)),IF($N172&lt;&gt;"",IF(INDEX(LdCBank,$N172)="","—",INDEX(LdCBank,$N172)),"")))</f>
        <v/>
      </c>
      <c r="E172" s="21">
        <f>IF($L172&lt;&gt;"",IF(INDEX(LdAAmt,$L172)=0,"",INDEX(LdAAmt,$L172)),IF($M172&lt;&gt;"",IF(INDEX(LdBAmt,$M172)=0,"",INDEX(LdBAmt,$M172)),IF($N172&lt;&gt;"",IF(INDEX(LdCDep,$N172)=0,"",INDEX(LdCDep,$N172)),"")))</f>
        <v/>
      </c>
      <c r="F172" s="21">
        <f>IF(AND($L172="",$M172="",$N172=""),"",IF($N172="","",IF(INDEX(LdCWit,$N172)=0,"",INDEX(LdCWit,$N172))))</f>
        <v/>
      </c>
      <c r="G172" s="31">
        <f>IF($B172="","",IF($G171="",0,$G171)+IF($E172="",0,$E172)-IF($F172="",0,$F172))</f>
        <v/>
      </c>
      <c r="H172" s="32">
        <f>IF(AND($L172="",$M172="",$N172=""),"",IF($L172&lt;&gt;"",IF(INDEX(LdANote,$L172)="","—",INDEX(LdANote,$L172)),IF($M172&lt;&gt;"",IF(INDEX(LdBNote,$M172)="","—",INDEX(LdBNote,$M172)),IF($N172&lt;&gt;"",IF(INDEX(LdCNote,$N172)="","—",INDEX(LdCNote,$N172)),""))))</f>
        <v/>
      </c>
      <c r="L172">
        <f>IFERROR(MATCH($C$5&amp;"|"&amp;RIGHT("000000"&amp;156,6),LdAKeyM,0),"")</f>
        <v/>
      </c>
      <c r="M172">
        <f>IFERROR(MATCH($C$5&amp;"|"&amp;RIGHT("000000"&amp;156,6),LdBKeyM,0),"")</f>
        <v/>
      </c>
      <c r="N172">
        <f>IFERROR(MATCH($C$5&amp;"|"&amp;RIGHT("000000"&amp;156,6),LdCKeyM,0),"")</f>
        <v/>
      </c>
    </row>
    <row r="173">
      <c r="A173" s="10" t="n">
        <v>157</v>
      </c>
      <c r="B173" s="14">
        <f>IF(AND($L173="",$M173="",$N173=""),"",IF($L173&lt;&gt;"",INDEX(LdADate,$L173),IF($M173&lt;&gt;"",INDEX(LdBDate,$M173),INDEX(LdCDate,$N173))))</f>
        <v/>
      </c>
      <c r="C173" s="14">
        <f>IF($L173&lt;&gt;"","دستمزد (فردی)",IF($M173&lt;&gt;"","سهم از گروه "&amp;IFERROR(VLOOKUP(INDEX(LdBGroup,$M173),WGTbl,2,0),INDEX(LdBGroup,$M173)),IF($N173&lt;&gt;"",IF(N(INDEX(LdCDep,$N173))&gt;0,"بازگشت بانکی","پرداخت بانکی"),"")))</f>
        <v/>
      </c>
      <c r="D173" s="14">
        <f>IF($L173&lt;&gt;"",IF(INDEX(LdAId,$L173)="","—",INDEX(LdAId,$L173)),IF($M173&lt;&gt;"",IF(INDEX(LdBId,$M173)="","—",INDEX(LdBId,$M173)),IF($N173&lt;&gt;"",IF(INDEX(LdCBank,$N173)="","—",INDEX(LdCBank,$N173)),"")))</f>
        <v/>
      </c>
      <c r="E173" s="16">
        <f>IF($L173&lt;&gt;"",IF(INDEX(LdAAmt,$L173)=0,"",INDEX(LdAAmt,$L173)),IF($M173&lt;&gt;"",IF(INDEX(LdBAmt,$M173)=0,"",INDEX(LdBAmt,$M173)),IF($N173&lt;&gt;"",IF(INDEX(LdCDep,$N173)=0,"",INDEX(LdCDep,$N173)),"")))</f>
        <v/>
      </c>
      <c r="F173" s="16">
        <f>IF(AND($L173="",$M173="",$N173=""),"",IF($N173="","",IF(INDEX(LdCWit,$N173)=0,"",INDEX(LdCWit,$N173))))</f>
        <v/>
      </c>
      <c r="G173" s="29">
        <f>IF($B173="","",IF($G172="",0,$G172)+IF($E173="",0,$E173)-IF($F173="",0,$F173))</f>
        <v/>
      </c>
      <c r="H173" s="30">
        <f>IF(AND($L173="",$M173="",$N173=""),"",IF($L173&lt;&gt;"",IF(INDEX(LdANote,$L173)="","—",INDEX(LdANote,$L173)),IF($M173&lt;&gt;"",IF(INDEX(LdBNote,$M173)="","—",INDEX(LdBNote,$M173)),IF($N173&lt;&gt;"",IF(INDEX(LdCNote,$N173)="","—",INDEX(LdCNote,$N173)),""))))</f>
        <v/>
      </c>
      <c r="L173">
        <f>IFERROR(MATCH($C$5&amp;"|"&amp;RIGHT("000000"&amp;157,6),LdAKeyM,0),"")</f>
        <v/>
      </c>
      <c r="M173">
        <f>IFERROR(MATCH($C$5&amp;"|"&amp;RIGHT("000000"&amp;157,6),LdBKeyM,0),"")</f>
        <v/>
      </c>
      <c r="N173">
        <f>IFERROR(MATCH($C$5&amp;"|"&amp;RIGHT("000000"&amp;157,6),LdCKeyM,0),"")</f>
        <v/>
      </c>
    </row>
    <row r="174">
      <c r="A174" s="19" t="n">
        <v>158</v>
      </c>
      <c r="B174" s="20">
        <f>IF(AND($L174="",$M174="",$N174=""),"",IF($L174&lt;&gt;"",INDEX(LdADate,$L174),IF($M174&lt;&gt;"",INDEX(LdBDate,$M174),INDEX(LdCDate,$N174))))</f>
        <v/>
      </c>
      <c r="C174" s="20">
        <f>IF($L174&lt;&gt;"","دستمزد (فردی)",IF($M174&lt;&gt;"","سهم از گروه "&amp;IFERROR(VLOOKUP(INDEX(LdBGroup,$M174),WGTbl,2,0),INDEX(LdBGroup,$M174)),IF($N174&lt;&gt;"",IF(N(INDEX(LdCDep,$N174))&gt;0,"بازگشت بانکی","پرداخت بانکی"),"")))</f>
        <v/>
      </c>
      <c r="D174" s="20">
        <f>IF($L174&lt;&gt;"",IF(INDEX(LdAId,$L174)="","—",INDEX(LdAId,$L174)),IF($M174&lt;&gt;"",IF(INDEX(LdBId,$M174)="","—",INDEX(LdBId,$M174)),IF($N174&lt;&gt;"",IF(INDEX(LdCBank,$N174)="","—",INDEX(LdCBank,$N174)),"")))</f>
        <v/>
      </c>
      <c r="E174" s="21">
        <f>IF($L174&lt;&gt;"",IF(INDEX(LdAAmt,$L174)=0,"",INDEX(LdAAmt,$L174)),IF($M174&lt;&gt;"",IF(INDEX(LdBAmt,$M174)=0,"",INDEX(LdBAmt,$M174)),IF($N174&lt;&gt;"",IF(INDEX(LdCDep,$N174)=0,"",INDEX(LdCDep,$N174)),"")))</f>
        <v/>
      </c>
      <c r="F174" s="21">
        <f>IF(AND($L174="",$M174="",$N174=""),"",IF($N174="","",IF(INDEX(LdCWit,$N174)=0,"",INDEX(LdCWit,$N174))))</f>
        <v/>
      </c>
      <c r="G174" s="31">
        <f>IF($B174="","",IF($G173="",0,$G173)+IF($E174="",0,$E174)-IF($F174="",0,$F174))</f>
        <v/>
      </c>
      <c r="H174" s="32">
        <f>IF(AND($L174="",$M174="",$N174=""),"",IF($L174&lt;&gt;"",IF(INDEX(LdANote,$L174)="","—",INDEX(LdANote,$L174)),IF($M174&lt;&gt;"",IF(INDEX(LdBNote,$M174)="","—",INDEX(LdBNote,$M174)),IF($N174&lt;&gt;"",IF(INDEX(LdCNote,$N174)="","—",INDEX(LdCNote,$N174)),""))))</f>
        <v/>
      </c>
      <c r="L174">
        <f>IFERROR(MATCH($C$5&amp;"|"&amp;RIGHT("000000"&amp;158,6),LdAKeyM,0),"")</f>
        <v/>
      </c>
      <c r="M174">
        <f>IFERROR(MATCH($C$5&amp;"|"&amp;RIGHT("000000"&amp;158,6),LdBKeyM,0),"")</f>
        <v/>
      </c>
      <c r="N174">
        <f>IFERROR(MATCH($C$5&amp;"|"&amp;RIGHT("000000"&amp;158,6),LdCKeyM,0),"")</f>
        <v/>
      </c>
    </row>
    <row r="175">
      <c r="A175" s="10" t="n">
        <v>159</v>
      </c>
      <c r="B175" s="14">
        <f>IF(AND($L175="",$M175="",$N175=""),"",IF($L175&lt;&gt;"",INDEX(LdADate,$L175),IF($M175&lt;&gt;"",INDEX(LdBDate,$M175),INDEX(LdCDate,$N175))))</f>
        <v/>
      </c>
      <c r="C175" s="14">
        <f>IF($L175&lt;&gt;"","دستمزد (فردی)",IF($M175&lt;&gt;"","سهم از گروه "&amp;IFERROR(VLOOKUP(INDEX(LdBGroup,$M175),WGTbl,2,0),INDEX(LdBGroup,$M175)),IF($N175&lt;&gt;"",IF(N(INDEX(LdCDep,$N175))&gt;0,"بازگشت بانکی","پرداخت بانکی"),"")))</f>
        <v/>
      </c>
      <c r="D175" s="14">
        <f>IF($L175&lt;&gt;"",IF(INDEX(LdAId,$L175)="","—",INDEX(LdAId,$L175)),IF($M175&lt;&gt;"",IF(INDEX(LdBId,$M175)="","—",INDEX(LdBId,$M175)),IF($N175&lt;&gt;"",IF(INDEX(LdCBank,$N175)="","—",INDEX(LdCBank,$N175)),"")))</f>
        <v/>
      </c>
      <c r="E175" s="16">
        <f>IF($L175&lt;&gt;"",IF(INDEX(LdAAmt,$L175)=0,"",INDEX(LdAAmt,$L175)),IF($M175&lt;&gt;"",IF(INDEX(LdBAmt,$M175)=0,"",INDEX(LdBAmt,$M175)),IF($N175&lt;&gt;"",IF(INDEX(LdCDep,$N175)=0,"",INDEX(LdCDep,$N175)),"")))</f>
        <v/>
      </c>
      <c r="F175" s="16">
        <f>IF(AND($L175="",$M175="",$N175=""),"",IF($N175="","",IF(INDEX(LdCWit,$N175)=0,"",INDEX(LdCWit,$N175))))</f>
        <v/>
      </c>
      <c r="G175" s="29">
        <f>IF($B175="","",IF($G174="",0,$G174)+IF($E175="",0,$E175)-IF($F175="",0,$F175))</f>
        <v/>
      </c>
      <c r="H175" s="30">
        <f>IF(AND($L175="",$M175="",$N175=""),"",IF($L175&lt;&gt;"",IF(INDEX(LdANote,$L175)="","—",INDEX(LdANote,$L175)),IF($M175&lt;&gt;"",IF(INDEX(LdBNote,$M175)="","—",INDEX(LdBNote,$M175)),IF($N175&lt;&gt;"",IF(INDEX(LdCNote,$N175)="","—",INDEX(LdCNote,$N175)),""))))</f>
        <v/>
      </c>
      <c r="L175">
        <f>IFERROR(MATCH($C$5&amp;"|"&amp;RIGHT("000000"&amp;159,6),LdAKeyM,0),"")</f>
        <v/>
      </c>
      <c r="M175">
        <f>IFERROR(MATCH($C$5&amp;"|"&amp;RIGHT("000000"&amp;159,6),LdBKeyM,0),"")</f>
        <v/>
      </c>
      <c r="N175">
        <f>IFERROR(MATCH($C$5&amp;"|"&amp;RIGHT("000000"&amp;159,6),LdCKeyM,0),"")</f>
        <v/>
      </c>
    </row>
    <row r="176">
      <c r="A176" s="19" t="n">
        <v>160</v>
      </c>
      <c r="B176" s="20">
        <f>IF(AND($L176="",$M176="",$N176=""),"",IF($L176&lt;&gt;"",INDEX(LdADate,$L176),IF($M176&lt;&gt;"",INDEX(LdBDate,$M176),INDEX(LdCDate,$N176))))</f>
        <v/>
      </c>
      <c r="C176" s="20">
        <f>IF($L176&lt;&gt;"","دستمزد (فردی)",IF($M176&lt;&gt;"","سهم از گروه "&amp;IFERROR(VLOOKUP(INDEX(LdBGroup,$M176),WGTbl,2,0),INDEX(LdBGroup,$M176)),IF($N176&lt;&gt;"",IF(N(INDEX(LdCDep,$N176))&gt;0,"بازگشت بانکی","پرداخت بانکی"),"")))</f>
        <v/>
      </c>
      <c r="D176" s="20">
        <f>IF($L176&lt;&gt;"",IF(INDEX(LdAId,$L176)="","—",INDEX(LdAId,$L176)),IF($M176&lt;&gt;"",IF(INDEX(LdBId,$M176)="","—",INDEX(LdBId,$M176)),IF($N176&lt;&gt;"",IF(INDEX(LdCBank,$N176)="","—",INDEX(LdCBank,$N176)),"")))</f>
        <v/>
      </c>
      <c r="E176" s="21">
        <f>IF($L176&lt;&gt;"",IF(INDEX(LdAAmt,$L176)=0,"",INDEX(LdAAmt,$L176)),IF($M176&lt;&gt;"",IF(INDEX(LdBAmt,$M176)=0,"",INDEX(LdBAmt,$M176)),IF($N176&lt;&gt;"",IF(INDEX(LdCDep,$N176)=0,"",INDEX(LdCDep,$N176)),"")))</f>
        <v/>
      </c>
      <c r="F176" s="21">
        <f>IF(AND($L176="",$M176="",$N176=""),"",IF($N176="","",IF(INDEX(LdCWit,$N176)=0,"",INDEX(LdCWit,$N176))))</f>
        <v/>
      </c>
      <c r="G176" s="31">
        <f>IF($B176="","",IF($G175="",0,$G175)+IF($E176="",0,$E176)-IF($F176="",0,$F176))</f>
        <v/>
      </c>
      <c r="H176" s="32">
        <f>IF(AND($L176="",$M176="",$N176=""),"",IF($L176&lt;&gt;"",IF(INDEX(LdANote,$L176)="","—",INDEX(LdANote,$L176)),IF($M176&lt;&gt;"",IF(INDEX(LdBNote,$M176)="","—",INDEX(LdBNote,$M176)),IF($N176&lt;&gt;"",IF(INDEX(LdCNote,$N176)="","—",INDEX(LdCNote,$N176)),""))))</f>
        <v/>
      </c>
      <c r="L176">
        <f>IFERROR(MATCH($C$5&amp;"|"&amp;RIGHT("000000"&amp;160,6),LdAKeyM,0),"")</f>
        <v/>
      </c>
      <c r="M176">
        <f>IFERROR(MATCH($C$5&amp;"|"&amp;RIGHT("000000"&amp;160,6),LdBKeyM,0),"")</f>
        <v/>
      </c>
      <c r="N176">
        <f>IFERROR(MATCH($C$5&amp;"|"&amp;RIGHT("000000"&amp;160,6),LdCKeyM,0),"")</f>
        <v/>
      </c>
    </row>
    <row r="177">
      <c r="A177" s="10" t="n">
        <v>161</v>
      </c>
      <c r="B177" s="14">
        <f>IF(AND($L177="",$M177="",$N177=""),"",IF($L177&lt;&gt;"",INDEX(LdADate,$L177),IF($M177&lt;&gt;"",INDEX(LdBDate,$M177),INDEX(LdCDate,$N177))))</f>
        <v/>
      </c>
      <c r="C177" s="14">
        <f>IF($L177&lt;&gt;"","دستمزد (فردی)",IF($M177&lt;&gt;"","سهم از گروه "&amp;IFERROR(VLOOKUP(INDEX(LdBGroup,$M177),WGTbl,2,0),INDEX(LdBGroup,$M177)),IF($N177&lt;&gt;"",IF(N(INDEX(LdCDep,$N177))&gt;0,"بازگشت بانکی","پرداخت بانکی"),"")))</f>
        <v/>
      </c>
      <c r="D177" s="14">
        <f>IF($L177&lt;&gt;"",IF(INDEX(LdAId,$L177)="","—",INDEX(LdAId,$L177)),IF($M177&lt;&gt;"",IF(INDEX(LdBId,$M177)="","—",INDEX(LdBId,$M177)),IF($N177&lt;&gt;"",IF(INDEX(LdCBank,$N177)="","—",INDEX(LdCBank,$N177)),"")))</f>
        <v/>
      </c>
      <c r="E177" s="16">
        <f>IF($L177&lt;&gt;"",IF(INDEX(LdAAmt,$L177)=0,"",INDEX(LdAAmt,$L177)),IF($M177&lt;&gt;"",IF(INDEX(LdBAmt,$M177)=0,"",INDEX(LdBAmt,$M177)),IF($N177&lt;&gt;"",IF(INDEX(LdCDep,$N177)=0,"",INDEX(LdCDep,$N177)),"")))</f>
        <v/>
      </c>
      <c r="F177" s="16">
        <f>IF(AND($L177="",$M177="",$N177=""),"",IF($N177="","",IF(INDEX(LdCWit,$N177)=0,"",INDEX(LdCWit,$N177))))</f>
        <v/>
      </c>
      <c r="G177" s="29">
        <f>IF($B177="","",IF($G176="",0,$G176)+IF($E177="",0,$E177)-IF($F177="",0,$F177))</f>
        <v/>
      </c>
      <c r="H177" s="30">
        <f>IF(AND($L177="",$M177="",$N177=""),"",IF($L177&lt;&gt;"",IF(INDEX(LdANote,$L177)="","—",INDEX(LdANote,$L177)),IF($M177&lt;&gt;"",IF(INDEX(LdBNote,$M177)="","—",INDEX(LdBNote,$M177)),IF($N177&lt;&gt;"",IF(INDEX(LdCNote,$N177)="","—",INDEX(LdCNote,$N177)),""))))</f>
        <v/>
      </c>
      <c r="L177">
        <f>IFERROR(MATCH($C$5&amp;"|"&amp;RIGHT("000000"&amp;161,6),LdAKeyM,0),"")</f>
        <v/>
      </c>
      <c r="M177">
        <f>IFERROR(MATCH($C$5&amp;"|"&amp;RIGHT("000000"&amp;161,6),LdBKeyM,0),"")</f>
        <v/>
      </c>
      <c r="N177">
        <f>IFERROR(MATCH($C$5&amp;"|"&amp;RIGHT("000000"&amp;161,6),LdCKeyM,0),"")</f>
        <v/>
      </c>
    </row>
    <row r="178">
      <c r="A178" s="19" t="n">
        <v>162</v>
      </c>
      <c r="B178" s="20">
        <f>IF(AND($L178="",$M178="",$N178=""),"",IF($L178&lt;&gt;"",INDEX(LdADate,$L178),IF($M178&lt;&gt;"",INDEX(LdBDate,$M178),INDEX(LdCDate,$N178))))</f>
        <v/>
      </c>
      <c r="C178" s="20">
        <f>IF($L178&lt;&gt;"","دستمزد (فردی)",IF($M178&lt;&gt;"","سهم از گروه "&amp;IFERROR(VLOOKUP(INDEX(LdBGroup,$M178),WGTbl,2,0),INDEX(LdBGroup,$M178)),IF($N178&lt;&gt;"",IF(N(INDEX(LdCDep,$N178))&gt;0,"بازگشت بانکی","پرداخت بانکی"),"")))</f>
        <v/>
      </c>
      <c r="D178" s="20">
        <f>IF($L178&lt;&gt;"",IF(INDEX(LdAId,$L178)="","—",INDEX(LdAId,$L178)),IF($M178&lt;&gt;"",IF(INDEX(LdBId,$M178)="","—",INDEX(LdBId,$M178)),IF($N178&lt;&gt;"",IF(INDEX(LdCBank,$N178)="","—",INDEX(LdCBank,$N178)),"")))</f>
        <v/>
      </c>
      <c r="E178" s="21">
        <f>IF($L178&lt;&gt;"",IF(INDEX(LdAAmt,$L178)=0,"",INDEX(LdAAmt,$L178)),IF($M178&lt;&gt;"",IF(INDEX(LdBAmt,$M178)=0,"",INDEX(LdBAmt,$M178)),IF($N178&lt;&gt;"",IF(INDEX(LdCDep,$N178)=0,"",INDEX(LdCDep,$N178)),"")))</f>
        <v/>
      </c>
      <c r="F178" s="21">
        <f>IF(AND($L178="",$M178="",$N178=""),"",IF($N178="","",IF(INDEX(LdCWit,$N178)=0,"",INDEX(LdCWit,$N178))))</f>
        <v/>
      </c>
      <c r="G178" s="31">
        <f>IF($B178="","",IF($G177="",0,$G177)+IF($E178="",0,$E178)-IF($F178="",0,$F178))</f>
        <v/>
      </c>
      <c r="H178" s="32">
        <f>IF(AND($L178="",$M178="",$N178=""),"",IF($L178&lt;&gt;"",IF(INDEX(LdANote,$L178)="","—",INDEX(LdANote,$L178)),IF($M178&lt;&gt;"",IF(INDEX(LdBNote,$M178)="","—",INDEX(LdBNote,$M178)),IF($N178&lt;&gt;"",IF(INDEX(LdCNote,$N178)="","—",INDEX(LdCNote,$N178)),""))))</f>
        <v/>
      </c>
      <c r="L178">
        <f>IFERROR(MATCH($C$5&amp;"|"&amp;RIGHT("000000"&amp;162,6),LdAKeyM,0),"")</f>
        <v/>
      </c>
      <c r="M178">
        <f>IFERROR(MATCH($C$5&amp;"|"&amp;RIGHT("000000"&amp;162,6),LdBKeyM,0),"")</f>
        <v/>
      </c>
      <c r="N178">
        <f>IFERROR(MATCH($C$5&amp;"|"&amp;RIGHT("000000"&amp;162,6),LdCKeyM,0),"")</f>
        <v/>
      </c>
    </row>
    <row r="179">
      <c r="A179" s="10" t="n">
        <v>163</v>
      </c>
      <c r="B179" s="14">
        <f>IF(AND($L179="",$M179="",$N179=""),"",IF($L179&lt;&gt;"",INDEX(LdADate,$L179),IF($M179&lt;&gt;"",INDEX(LdBDate,$M179),INDEX(LdCDate,$N179))))</f>
        <v/>
      </c>
      <c r="C179" s="14">
        <f>IF($L179&lt;&gt;"","دستمزد (فردی)",IF($M179&lt;&gt;"","سهم از گروه "&amp;IFERROR(VLOOKUP(INDEX(LdBGroup,$M179),WGTbl,2,0),INDEX(LdBGroup,$M179)),IF($N179&lt;&gt;"",IF(N(INDEX(LdCDep,$N179))&gt;0,"بازگشت بانکی","پرداخت بانکی"),"")))</f>
        <v/>
      </c>
      <c r="D179" s="14">
        <f>IF($L179&lt;&gt;"",IF(INDEX(LdAId,$L179)="","—",INDEX(LdAId,$L179)),IF($M179&lt;&gt;"",IF(INDEX(LdBId,$M179)="","—",INDEX(LdBId,$M179)),IF($N179&lt;&gt;"",IF(INDEX(LdCBank,$N179)="","—",INDEX(LdCBank,$N179)),"")))</f>
        <v/>
      </c>
      <c r="E179" s="16">
        <f>IF($L179&lt;&gt;"",IF(INDEX(LdAAmt,$L179)=0,"",INDEX(LdAAmt,$L179)),IF($M179&lt;&gt;"",IF(INDEX(LdBAmt,$M179)=0,"",INDEX(LdBAmt,$M179)),IF($N179&lt;&gt;"",IF(INDEX(LdCDep,$N179)=0,"",INDEX(LdCDep,$N179)),"")))</f>
        <v/>
      </c>
      <c r="F179" s="16">
        <f>IF(AND($L179="",$M179="",$N179=""),"",IF($N179="","",IF(INDEX(LdCWit,$N179)=0,"",INDEX(LdCWit,$N179))))</f>
        <v/>
      </c>
      <c r="G179" s="29">
        <f>IF($B179="","",IF($G178="",0,$G178)+IF($E179="",0,$E179)-IF($F179="",0,$F179))</f>
        <v/>
      </c>
      <c r="H179" s="30">
        <f>IF(AND($L179="",$M179="",$N179=""),"",IF($L179&lt;&gt;"",IF(INDEX(LdANote,$L179)="","—",INDEX(LdANote,$L179)),IF($M179&lt;&gt;"",IF(INDEX(LdBNote,$M179)="","—",INDEX(LdBNote,$M179)),IF($N179&lt;&gt;"",IF(INDEX(LdCNote,$N179)="","—",INDEX(LdCNote,$N179)),""))))</f>
        <v/>
      </c>
      <c r="L179">
        <f>IFERROR(MATCH($C$5&amp;"|"&amp;RIGHT("000000"&amp;163,6),LdAKeyM,0),"")</f>
        <v/>
      </c>
      <c r="M179">
        <f>IFERROR(MATCH($C$5&amp;"|"&amp;RIGHT("000000"&amp;163,6),LdBKeyM,0),"")</f>
        <v/>
      </c>
      <c r="N179">
        <f>IFERROR(MATCH($C$5&amp;"|"&amp;RIGHT("000000"&amp;163,6),LdCKeyM,0),"")</f>
        <v/>
      </c>
    </row>
    <row r="180">
      <c r="A180" s="19" t="n">
        <v>164</v>
      </c>
      <c r="B180" s="20">
        <f>IF(AND($L180="",$M180="",$N180=""),"",IF($L180&lt;&gt;"",INDEX(LdADate,$L180),IF($M180&lt;&gt;"",INDEX(LdBDate,$M180),INDEX(LdCDate,$N180))))</f>
        <v/>
      </c>
      <c r="C180" s="20">
        <f>IF($L180&lt;&gt;"","دستمزد (فردی)",IF($M180&lt;&gt;"","سهم از گروه "&amp;IFERROR(VLOOKUP(INDEX(LdBGroup,$M180),WGTbl,2,0),INDEX(LdBGroup,$M180)),IF($N180&lt;&gt;"",IF(N(INDEX(LdCDep,$N180))&gt;0,"بازگشت بانکی","پرداخت بانکی"),"")))</f>
        <v/>
      </c>
      <c r="D180" s="20">
        <f>IF($L180&lt;&gt;"",IF(INDEX(LdAId,$L180)="","—",INDEX(LdAId,$L180)),IF($M180&lt;&gt;"",IF(INDEX(LdBId,$M180)="","—",INDEX(LdBId,$M180)),IF($N180&lt;&gt;"",IF(INDEX(LdCBank,$N180)="","—",INDEX(LdCBank,$N180)),"")))</f>
        <v/>
      </c>
      <c r="E180" s="21">
        <f>IF($L180&lt;&gt;"",IF(INDEX(LdAAmt,$L180)=0,"",INDEX(LdAAmt,$L180)),IF($M180&lt;&gt;"",IF(INDEX(LdBAmt,$M180)=0,"",INDEX(LdBAmt,$M180)),IF($N180&lt;&gt;"",IF(INDEX(LdCDep,$N180)=0,"",INDEX(LdCDep,$N180)),"")))</f>
        <v/>
      </c>
      <c r="F180" s="21">
        <f>IF(AND($L180="",$M180="",$N180=""),"",IF($N180="","",IF(INDEX(LdCWit,$N180)=0,"",INDEX(LdCWit,$N180))))</f>
        <v/>
      </c>
      <c r="G180" s="31">
        <f>IF($B180="","",IF($G179="",0,$G179)+IF($E180="",0,$E180)-IF($F180="",0,$F180))</f>
        <v/>
      </c>
      <c r="H180" s="32">
        <f>IF(AND($L180="",$M180="",$N180=""),"",IF($L180&lt;&gt;"",IF(INDEX(LdANote,$L180)="","—",INDEX(LdANote,$L180)),IF($M180&lt;&gt;"",IF(INDEX(LdBNote,$M180)="","—",INDEX(LdBNote,$M180)),IF($N180&lt;&gt;"",IF(INDEX(LdCNote,$N180)="","—",INDEX(LdCNote,$N180)),""))))</f>
        <v/>
      </c>
      <c r="L180">
        <f>IFERROR(MATCH($C$5&amp;"|"&amp;RIGHT("000000"&amp;164,6),LdAKeyM,0),"")</f>
        <v/>
      </c>
      <c r="M180">
        <f>IFERROR(MATCH($C$5&amp;"|"&amp;RIGHT("000000"&amp;164,6),LdBKeyM,0),"")</f>
        <v/>
      </c>
      <c r="N180">
        <f>IFERROR(MATCH($C$5&amp;"|"&amp;RIGHT("000000"&amp;164,6),LdCKeyM,0),"")</f>
        <v/>
      </c>
    </row>
    <row r="181">
      <c r="A181" s="10" t="n">
        <v>165</v>
      </c>
      <c r="B181" s="14">
        <f>IF(AND($L181="",$M181="",$N181=""),"",IF($L181&lt;&gt;"",INDEX(LdADate,$L181),IF($M181&lt;&gt;"",INDEX(LdBDate,$M181),INDEX(LdCDate,$N181))))</f>
        <v/>
      </c>
      <c r="C181" s="14">
        <f>IF($L181&lt;&gt;"","دستمزد (فردی)",IF($M181&lt;&gt;"","سهم از گروه "&amp;IFERROR(VLOOKUP(INDEX(LdBGroup,$M181),WGTbl,2,0),INDEX(LdBGroup,$M181)),IF($N181&lt;&gt;"",IF(N(INDEX(LdCDep,$N181))&gt;0,"بازگشت بانکی","پرداخت بانکی"),"")))</f>
        <v/>
      </c>
      <c r="D181" s="14">
        <f>IF($L181&lt;&gt;"",IF(INDEX(LdAId,$L181)="","—",INDEX(LdAId,$L181)),IF($M181&lt;&gt;"",IF(INDEX(LdBId,$M181)="","—",INDEX(LdBId,$M181)),IF($N181&lt;&gt;"",IF(INDEX(LdCBank,$N181)="","—",INDEX(LdCBank,$N181)),"")))</f>
        <v/>
      </c>
      <c r="E181" s="16">
        <f>IF($L181&lt;&gt;"",IF(INDEX(LdAAmt,$L181)=0,"",INDEX(LdAAmt,$L181)),IF($M181&lt;&gt;"",IF(INDEX(LdBAmt,$M181)=0,"",INDEX(LdBAmt,$M181)),IF($N181&lt;&gt;"",IF(INDEX(LdCDep,$N181)=0,"",INDEX(LdCDep,$N181)),"")))</f>
        <v/>
      </c>
      <c r="F181" s="16">
        <f>IF(AND($L181="",$M181="",$N181=""),"",IF($N181="","",IF(INDEX(LdCWit,$N181)=0,"",INDEX(LdCWit,$N181))))</f>
        <v/>
      </c>
      <c r="G181" s="29">
        <f>IF($B181="","",IF($G180="",0,$G180)+IF($E181="",0,$E181)-IF($F181="",0,$F181))</f>
        <v/>
      </c>
      <c r="H181" s="30">
        <f>IF(AND($L181="",$M181="",$N181=""),"",IF($L181&lt;&gt;"",IF(INDEX(LdANote,$L181)="","—",INDEX(LdANote,$L181)),IF($M181&lt;&gt;"",IF(INDEX(LdBNote,$M181)="","—",INDEX(LdBNote,$M181)),IF($N181&lt;&gt;"",IF(INDEX(LdCNote,$N181)="","—",INDEX(LdCNote,$N181)),""))))</f>
        <v/>
      </c>
      <c r="L181">
        <f>IFERROR(MATCH($C$5&amp;"|"&amp;RIGHT("000000"&amp;165,6),LdAKeyM,0),"")</f>
        <v/>
      </c>
      <c r="M181">
        <f>IFERROR(MATCH($C$5&amp;"|"&amp;RIGHT("000000"&amp;165,6),LdBKeyM,0),"")</f>
        <v/>
      </c>
      <c r="N181">
        <f>IFERROR(MATCH($C$5&amp;"|"&amp;RIGHT("000000"&amp;165,6),LdCKeyM,0),"")</f>
        <v/>
      </c>
    </row>
    <row r="182">
      <c r="A182" s="19" t="n">
        <v>166</v>
      </c>
      <c r="B182" s="20">
        <f>IF(AND($L182="",$M182="",$N182=""),"",IF($L182&lt;&gt;"",INDEX(LdADate,$L182),IF($M182&lt;&gt;"",INDEX(LdBDate,$M182),INDEX(LdCDate,$N182))))</f>
        <v/>
      </c>
      <c r="C182" s="20">
        <f>IF($L182&lt;&gt;"","دستمزد (فردی)",IF($M182&lt;&gt;"","سهم از گروه "&amp;IFERROR(VLOOKUP(INDEX(LdBGroup,$M182),WGTbl,2,0),INDEX(LdBGroup,$M182)),IF($N182&lt;&gt;"",IF(N(INDEX(LdCDep,$N182))&gt;0,"بازگشت بانکی","پرداخت بانکی"),"")))</f>
        <v/>
      </c>
      <c r="D182" s="20">
        <f>IF($L182&lt;&gt;"",IF(INDEX(LdAId,$L182)="","—",INDEX(LdAId,$L182)),IF($M182&lt;&gt;"",IF(INDEX(LdBId,$M182)="","—",INDEX(LdBId,$M182)),IF($N182&lt;&gt;"",IF(INDEX(LdCBank,$N182)="","—",INDEX(LdCBank,$N182)),"")))</f>
        <v/>
      </c>
      <c r="E182" s="21">
        <f>IF($L182&lt;&gt;"",IF(INDEX(LdAAmt,$L182)=0,"",INDEX(LdAAmt,$L182)),IF($M182&lt;&gt;"",IF(INDEX(LdBAmt,$M182)=0,"",INDEX(LdBAmt,$M182)),IF($N182&lt;&gt;"",IF(INDEX(LdCDep,$N182)=0,"",INDEX(LdCDep,$N182)),"")))</f>
        <v/>
      </c>
      <c r="F182" s="21">
        <f>IF(AND($L182="",$M182="",$N182=""),"",IF($N182="","",IF(INDEX(LdCWit,$N182)=0,"",INDEX(LdCWit,$N182))))</f>
        <v/>
      </c>
      <c r="G182" s="31">
        <f>IF($B182="","",IF($G181="",0,$G181)+IF($E182="",0,$E182)-IF($F182="",0,$F182))</f>
        <v/>
      </c>
      <c r="H182" s="32">
        <f>IF(AND($L182="",$M182="",$N182=""),"",IF($L182&lt;&gt;"",IF(INDEX(LdANote,$L182)="","—",INDEX(LdANote,$L182)),IF($M182&lt;&gt;"",IF(INDEX(LdBNote,$M182)="","—",INDEX(LdBNote,$M182)),IF($N182&lt;&gt;"",IF(INDEX(LdCNote,$N182)="","—",INDEX(LdCNote,$N182)),""))))</f>
        <v/>
      </c>
      <c r="L182">
        <f>IFERROR(MATCH($C$5&amp;"|"&amp;RIGHT("000000"&amp;166,6),LdAKeyM,0),"")</f>
        <v/>
      </c>
      <c r="M182">
        <f>IFERROR(MATCH($C$5&amp;"|"&amp;RIGHT("000000"&amp;166,6),LdBKeyM,0),"")</f>
        <v/>
      </c>
      <c r="N182">
        <f>IFERROR(MATCH($C$5&amp;"|"&amp;RIGHT("000000"&amp;166,6),LdCKeyM,0),"")</f>
        <v/>
      </c>
    </row>
    <row r="183">
      <c r="A183" s="10" t="n">
        <v>167</v>
      </c>
      <c r="B183" s="14">
        <f>IF(AND($L183="",$M183="",$N183=""),"",IF($L183&lt;&gt;"",INDEX(LdADate,$L183),IF($M183&lt;&gt;"",INDEX(LdBDate,$M183),INDEX(LdCDate,$N183))))</f>
        <v/>
      </c>
      <c r="C183" s="14">
        <f>IF($L183&lt;&gt;"","دستمزد (فردی)",IF($M183&lt;&gt;"","سهم از گروه "&amp;IFERROR(VLOOKUP(INDEX(LdBGroup,$M183),WGTbl,2,0),INDEX(LdBGroup,$M183)),IF($N183&lt;&gt;"",IF(N(INDEX(LdCDep,$N183))&gt;0,"بازگشت بانکی","پرداخت بانکی"),"")))</f>
        <v/>
      </c>
      <c r="D183" s="14">
        <f>IF($L183&lt;&gt;"",IF(INDEX(LdAId,$L183)="","—",INDEX(LdAId,$L183)),IF($M183&lt;&gt;"",IF(INDEX(LdBId,$M183)="","—",INDEX(LdBId,$M183)),IF($N183&lt;&gt;"",IF(INDEX(LdCBank,$N183)="","—",INDEX(LdCBank,$N183)),"")))</f>
        <v/>
      </c>
      <c r="E183" s="16">
        <f>IF($L183&lt;&gt;"",IF(INDEX(LdAAmt,$L183)=0,"",INDEX(LdAAmt,$L183)),IF($M183&lt;&gt;"",IF(INDEX(LdBAmt,$M183)=0,"",INDEX(LdBAmt,$M183)),IF($N183&lt;&gt;"",IF(INDEX(LdCDep,$N183)=0,"",INDEX(LdCDep,$N183)),"")))</f>
        <v/>
      </c>
      <c r="F183" s="16">
        <f>IF(AND($L183="",$M183="",$N183=""),"",IF($N183="","",IF(INDEX(LdCWit,$N183)=0,"",INDEX(LdCWit,$N183))))</f>
        <v/>
      </c>
      <c r="G183" s="29">
        <f>IF($B183="","",IF($G182="",0,$G182)+IF($E183="",0,$E183)-IF($F183="",0,$F183))</f>
        <v/>
      </c>
      <c r="H183" s="30">
        <f>IF(AND($L183="",$M183="",$N183=""),"",IF($L183&lt;&gt;"",IF(INDEX(LdANote,$L183)="","—",INDEX(LdANote,$L183)),IF($M183&lt;&gt;"",IF(INDEX(LdBNote,$M183)="","—",INDEX(LdBNote,$M183)),IF($N183&lt;&gt;"",IF(INDEX(LdCNote,$N183)="","—",INDEX(LdCNote,$N183)),""))))</f>
        <v/>
      </c>
      <c r="L183">
        <f>IFERROR(MATCH($C$5&amp;"|"&amp;RIGHT("000000"&amp;167,6),LdAKeyM,0),"")</f>
        <v/>
      </c>
      <c r="M183">
        <f>IFERROR(MATCH($C$5&amp;"|"&amp;RIGHT("000000"&amp;167,6),LdBKeyM,0),"")</f>
        <v/>
      </c>
      <c r="N183">
        <f>IFERROR(MATCH($C$5&amp;"|"&amp;RIGHT("000000"&amp;167,6),LdCKeyM,0),"")</f>
        <v/>
      </c>
    </row>
    <row r="184">
      <c r="A184" s="19" t="n">
        <v>168</v>
      </c>
      <c r="B184" s="20">
        <f>IF(AND($L184="",$M184="",$N184=""),"",IF($L184&lt;&gt;"",INDEX(LdADate,$L184),IF($M184&lt;&gt;"",INDEX(LdBDate,$M184),INDEX(LdCDate,$N184))))</f>
        <v/>
      </c>
      <c r="C184" s="20">
        <f>IF($L184&lt;&gt;"","دستمزد (فردی)",IF($M184&lt;&gt;"","سهم از گروه "&amp;IFERROR(VLOOKUP(INDEX(LdBGroup,$M184),WGTbl,2,0),INDEX(LdBGroup,$M184)),IF($N184&lt;&gt;"",IF(N(INDEX(LdCDep,$N184))&gt;0,"بازگشت بانکی","پرداخت بانکی"),"")))</f>
        <v/>
      </c>
      <c r="D184" s="20">
        <f>IF($L184&lt;&gt;"",IF(INDEX(LdAId,$L184)="","—",INDEX(LdAId,$L184)),IF($M184&lt;&gt;"",IF(INDEX(LdBId,$M184)="","—",INDEX(LdBId,$M184)),IF($N184&lt;&gt;"",IF(INDEX(LdCBank,$N184)="","—",INDEX(LdCBank,$N184)),"")))</f>
        <v/>
      </c>
      <c r="E184" s="21">
        <f>IF($L184&lt;&gt;"",IF(INDEX(LdAAmt,$L184)=0,"",INDEX(LdAAmt,$L184)),IF($M184&lt;&gt;"",IF(INDEX(LdBAmt,$M184)=0,"",INDEX(LdBAmt,$M184)),IF($N184&lt;&gt;"",IF(INDEX(LdCDep,$N184)=0,"",INDEX(LdCDep,$N184)),"")))</f>
        <v/>
      </c>
      <c r="F184" s="21">
        <f>IF(AND($L184="",$M184="",$N184=""),"",IF($N184="","",IF(INDEX(LdCWit,$N184)=0,"",INDEX(LdCWit,$N184))))</f>
        <v/>
      </c>
      <c r="G184" s="31">
        <f>IF($B184="","",IF($G183="",0,$G183)+IF($E184="",0,$E184)-IF($F184="",0,$F184))</f>
        <v/>
      </c>
      <c r="H184" s="32">
        <f>IF(AND($L184="",$M184="",$N184=""),"",IF($L184&lt;&gt;"",IF(INDEX(LdANote,$L184)="","—",INDEX(LdANote,$L184)),IF($M184&lt;&gt;"",IF(INDEX(LdBNote,$M184)="","—",INDEX(LdBNote,$M184)),IF($N184&lt;&gt;"",IF(INDEX(LdCNote,$N184)="","—",INDEX(LdCNote,$N184)),""))))</f>
        <v/>
      </c>
      <c r="L184">
        <f>IFERROR(MATCH($C$5&amp;"|"&amp;RIGHT("000000"&amp;168,6),LdAKeyM,0),"")</f>
        <v/>
      </c>
      <c r="M184">
        <f>IFERROR(MATCH($C$5&amp;"|"&amp;RIGHT("000000"&amp;168,6),LdBKeyM,0),"")</f>
        <v/>
      </c>
      <c r="N184">
        <f>IFERROR(MATCH($C$5&amp;"|"&amp;RIGHT("000000"&amp;168,6),LdCKeyM,0),"")</f>
        <v/>
      </c>
    </row>
    <row r="185">
      <c r="A185" s="10" t="n">
        <v>169</v>
      </c>
      <c r="B185" s="14">
        <f>IF(AND($L185="",$M185="",$N185=""),"",IF($L185&lt;&gt;"",INDEX(LdADate,$L185),IF($M185&lt;&gt;"",INDEX(LdBDate,$M185),INDEX(LdCDate,$N185))))</f>
        <v/>
      </c>
      <c r="C185" s="14">
        <f>IF($L185&lt;&gt;"","دستمزد (فردی)",IF($M185&lt;&gt;"","سهم از گروه "&amp;IFERROR(VLOOKUP(INDEX(LdBGroup,$M185),WGTbl,2,0),INDEX(LdBGroup,$M185)),IF($N185&lt;&gt;"",IF(N(INDEX(LdCDep,$N185))&gt;0,"بازگشت بانکی","پرداخت بانکی"),"")))</f>
        <v/>
      </c>
      <c r="D185" s="14">
        <f>IF($L185&lt;&gt;"",IF(INDEX(LdAId,$L185)="","—",INDEX(LdAId,$L185)),IF($M185&lt;&gt;"",IF(INDEX(LdBId,$M185)="","—",INDEX(LdBId,$M185)),IF($N185&lt;&gt;"",IF(INDEX(LdCBank,$N185)="","—",INDEX(LdCBank,$N185)),"")))</f>
        <v/>
      </c>
      <c r="E185" s="16">
        <f>IF($L185&lt;&gt;"",IF(INDEX(LdAAmt,$L185)=0,"",INDEX(LdAAmt,$L185)),IF($M185&lt;&gt;"",IF(INDEX(LdBAmt,$M185)=0,"",INDEX(LdBAmt,$M185)),IF($N185&lt;&gt;"",IF(INDEX(LdCDep,$N185)=0,"",INDEX(LdCDep,$N185)),"")))</f>
        <v/>
      </c>
      <c r="F185" s="16">
        <f>IF(AND($L185="",$M185="",$N185=""),"",IF($N185="","",IF(INDEX(LdCWit,$N185)=0,"",INDEX(LdCWit,$N185))))</f>
        <v/>
      </c>
      <c r="G185" s="29">
        <f>IF($B185="","",IF($G184="",0,$G184)+IF($E185="",0,$E185)-IF($F185="",0,$F185))</f>
        <v/>
      </c>
      <c r="H185" s="30">
        <f>IF(AND($L185="",$M185="",$N185=""),"",IF($L185&lt;&gt;"",IF(INDEX(LdANote,$L185)="","—",INDEX(LdANote,$L185)),IF($M185&lt;&gt;"",IF(INDEX(LdBNote,$M185)="","—",INDEX(LdBNote,$M185)),IF($N185&lt;&gt;"",IF(INDEX(LdCNote,$N185)="","—",INDEX(LdCNote,$N185)),""))))</f>
        <v/>
      </c>
      <c r="L185">
        <f>IFERROR(MATCH($C$5&amp;"|"&amp;RIGHT("000000"&amp;169,6),LdAKeyM,0),"")</f>
        <v/>
      </c>
      <c r="M185">
        <f>IFERROR(MATCH($C$5&amp;"|"&amp;RIGHT("000000"&amp;169,6),LdBKeyM,0),"")</f>
        <v/>
      </c>
      <c r="N185">
        <f>IFERROR(MATCH($C$5&amp;"|"&amp;RIGHT("000000"&amp;169,6),LdCKeyM,0),"")</f>
        <v/>
      </c>
    </row>
    <row r="186">
      <c r="A186" s="19" t="n">
        <v>170</v>
      </c>
      <c r="B186" s="20">
        <f>IF(AND($L186="",$M186="",$N186=""),"",IF($L186&lt;&gt;"",INDEX(LdADate,$L186),IF($M186&lt;&gt;"",INDEX(LdBDate,$M186),INDEX(LdCDate,$N186))))</f>
        <v/>
      </c>
      <c r="C186" s="20">
        <f>IF($L186&lt;&gt;"","دستمزد (فردی)",IF($M186&lt;&gt;"","سهم از گروه "&amp;IFERROR(VLOOKUP(INDEX(LdBGroup,$M186),WGTbl,2,0),INDEX(LdBGroup,$M186)),IF($N186&lt;&gt;"",IF(N(INDEX(LdCDep,$N186))&gt;0,"بازگشت بانکی","پرداخت بانکی"),"")))</f>
        <v/>
      </c>
      <c r="D186" s="20">
        <f>IF($L186&lt;&gt;"",IF(INDEX(LdAId,$L186)="","—",INDEX(LdAId,$L186)),IF($M186&lt;&gt;"",IF(INDEX(LdBId,$M186)="","—",INDEX(LdBId,$M186)),IF($N186&lt;&gt;"",IF(INDEX(LdCBank,$N186)="","—",INDEX(LdCBank,$N186)),"")))</f>
        <v/>
      </c>
      <c r="E186" s="21">
        <f>IF($L186&lt;&gt;"",IF(INDEX(LdAAmt,$L186)=0,"",INDEX(LdAAmt,$L186)),IF($M186&lt;&gt;"",IF(INDEX(LdBAmt,$M186)=0,"",INDEX(LdBAmt,$M186)),IF($N186&lt;&gt;"",IF(INDEX(LdCDep,$N186)=0,"",INDEX(LdCDep,$N186)),"")))</f>
        <v/>
      </c>
      <c r="F186" s="21">
        <f>IF(AND($L186="",$M186="",$N186=""),"",IF($N186="","",IF(INDEX(LdCWit,$N186)=0,"",INDEX(LdCWit,$N186))))</f>
        <v/>
      </c>
      <c r="G186" s="31">
        <f>IF($B186="","",IF($G185="",0,$G185)+IF($E186="",0,$E186)-IF($F186="",0,$F186))</f>
        <v/>
      </c>
      <c r="H186" s="32">
        <f>IF(AND($L186="",$M186="",$N186=""),"",IF($L186&lt;&gt;"",IF(INDEX(LdANote,$L186)="","—",INDEX(LdANote,$L186)),IF($M186&lt;&gt;"",IF(INDEX(LdBNote,$M186)="","—",INDEX(LdBNote,$M186)),IF($N186&lt;&gt;"",IF(INDEX(LdCNote,$N186)="","—",INDEX(LdCNote,$N186)),""))))</f>
        <v/>
      </c>
      <c r="L186">
        <f>IFERROR(MATCH($C$5&amp;"|"&amp;RIGHT("000000"&amp;170,6),LdAKeyM,0),"")</f>
        <v/>
      </c>
      <c r="M186">
        <f>IFERROR(MATCH($C$5&amp;"|"&amp;RIGHT("000000"&amp;170,6),LdBKeyM,0),"")</f>
        <v/>
      </c>
      <c r="N186">
        <f>IFERROR(MATCH($C$5&amp;"|"&amp;RIGHT("000000"&amp;170,6),LdCKeyM,0),"")</f>
        <v/>
      </c>
    </row>
    <row r="187">
      <c r="A187" s="10" t="n">
        <v>171</v>
      </c>
      <c r="B187" s="14">
        <f>IF(AND($L187="",$M187="",$N187=""),"",IF($L187&lt;&gt;"",INDEX(LdADate,$L187),IF($M187&lt;&gt;"",INDEX(LdBDate,$M187),INDEX(LdCDate,$N187))))</f>
        <v/>
      </c>
      <c r="C187" s="14">
        <f>IF($L187&lt;&gt;"","دستمزد (فردی)",IF($M187&lt;&gt;"","سهم از گروه "&amp;IFERROR(VLOOKUP(INDEX(LdBGroup,$M187),WGTbl,2,0),INDEX(LdBGroup,$M187)),IF($N187&lt;&gt;"",IF(N(INDEX(LdCDep,$N187))&gt;0,"بازگشت بانکی","پرداخت بانکی"),"")))</f>
        <v/>
      </c>
      <c r="D187" s="14">
        <f>IF($L187&lt;&gt;"",IF(INDEX(LdAId,$L187)="","—",INDEX(LdAId,$L187)),IF($M187&lt;&gt;"",IF(INDEX(LdBId,$M187)="","—",INDEX(LdBId,$M187)),IF($N187&lt;&gt;"",IF(INDEX(LdCBank,$N187)="","—",INDEX(LdCBank,$N187)),"")))</f>
        <v/>
      </c>
      <c r="E187" s="16">
        <f>IF($L187&lt;&gt;"",IF(INDEX(LdAAmt,$L187)=0,"",INDEX(LdAAmt,$L187)),IF($M187&lt;&gt;"",IF(INDEX(LdBAmt,$M187)=0,"",INDEX(LdBAmt,$M187)),IF($N187&lt;&gt;"",IF(INDEX(LdCDep,$N187)=0,"",INDEX(LdCDep,$N187)),"")))</f>
        <v/>
      </c>
      <c r="F187" s="16">
        <f>IF(AND($L187="",$M187="",$N187=""),"",IF($N187="","",IF(INDEX(LdCWit,$N187)=0,"",INDEX(LdCWit,$N187))))</f>
        <v/>
      </c>
      <c r="G187" s="29">
        <f>IF($B187="","",IF($G186="",0,$G186)+IF($E187="",0,$E187)-IF($F187="",0,$F187))</f>
        <v/>
      </c>
      <c r="H187" s="30">
        <f>IF(AND($L187="",$M187="",$N187=""),"",IF($L187&lt;&gt;"",IF(INDEX(LdANote,$L187)="","—",INDEX(LdANote,$L187)),IF($M187&lt;&gt;"",IF(INDEX(LdBNote,$M187)="","—",INDEX(LdBNote,$M187)),IF($N187&lt;&gt;"",IF(INDEX(LdCNote,$N187)="","—",INDEX(LdCNote,$N187)),""))))</f>
        <v/>
      </c>
      <c r="L187">
        <f>IFERROR(MATCH($C$5&amp;"|"&amp;RIGHT("000000"&amp;171,6),LdAKeyM,0),"")</f>
        <v/>
      </c>
      <c r="M187">
        <f>IFERROR(MATCH($C$5&amp;"|"&amp;RIGHT("000000"&amp;171,6),LdBKeyM,0),"")</f>
        <v/>
      </c>
      <c r="N187">
        <f>IFERROR(MATCH($C$5&amp;"|"&amp;RIGHT("000000"&amp;171,6),LdCKeyM,0),"")</f>
        <v/>
      </c>
    </row>
    <row r="188">
      <c r="A188" s="19" t="n">
        <v>172</v>
      </c>
      <c r="B188" s="20">
        <f>IF(AND($L188="",$M188="",$N188=""),"",IF($L188&lt;&gt;"",INDEX(LdADate,$L188),IF($M188&lt;&gt;"",INDEX(LdBDate,$M188),INDEX(LdCDate,$N188))))</f>
        <v/>
      </c>
      <c r="C188" s="20">
        <f>IF($L188&lt;&gt;"","دستمزد (فردی)",IF($M188&lt;&gt;"","سهم از گروه "&amp;IFERROR(VLOOKUP(INDEX(LdBGroup,$M188),WGTbl,2,0),INDEX(LdBGroup,$M188)),IF($N188&lt;&gt;"",IF(N(INDEX(LdCDep,$N188))&gt;0,"بازگشت بانکی","پرداخت بانکی"),"")))</f>
        <v/>
      </c>
      <c r="D188" s="20">
        <f>IF($L188&lt;&gt;"",IF(INDEX(LdAId,$L188)="","—",INDEX(LdAId,$L188)),IF($M188&lt;&gt;"",IF(INDEX(LdBId,$M188)="","—",INDEX(LdBId,$M188)),IF($N188&lt;&gt;"",IF(INDEX(LdCBank,$N188)="","—",INDEX(LdCBank,$N188)),"")))</f>
        <v/>
      </c>
      <c r="E188" s="21">
        <f>IF($L188&lt;&gt;"",IF(INDEX(LdAAmt,$L188)=0,"",INDEX(LdAAmt,$L188)),IF($M188&lt;&gt;"",IF(INDEX(LdBAmt,$M188)=0,"",INDEX(LdBAmt,$M188)),IF($N188&lt;&gt;"",IF(INDEX(LdCDep,$N188)=0,"",INDEX(LdCDep,$N188)),"")))</f>
        <v/>
      </c>
      <c r="F188" s="21">
        <f>IF(AND($L188="",$M188="",$N188=""),"",IF($N188="","",IF(INDEX(LdCWit,$N188)=0,"",INDEX(LdCWit,$N188))))</f>
        <v/>
      </c>
      <c r="G188" s="31">
        <f>IF($B188="","",IF($G187="",0,$G187)+IF($E188="",0,$E188)-IF($F188="",0,$F188))</f>
        <v/>
      </c>
      <c r="H188" s="32">
        <f>IF(AND($L188="",$M188="",$N188=""),"",IF($L188&lt;&gt;"",IF(INDEX(LdANote,$L188)="","—",INDEX(LdANote,$L188)),IF($M188&lt;&gt;"",IF(INDEX(LdBNote,$M188)="","—",INDEX(LdBNote,$M188)),IF($N188&lt;&gt;"",IF(INDEX(LdCNote,$N188)="","—",INDEX(LdCNote,$N188)),""))))</f>
        <v/>
      </c>
      <c r="L188">
        <f>IFERROR(MATCH($C$5&amp;"|"&amp;RIGHT("000000"&amp;172,6),LdAKeyM,0),"")</f>
        <v/>
      </c>
      <c r="M188">
        <f>IFERROR(MATCH($C$5&amp;"|"&amp;RIGHT("000000"&amp;172,6),LdBKeyM,0),"")</f>
        <v/>
      </c>
      <c r="N188">
        <f>IFERROR(MATCH($C$5&amp;"|"&amp;RIGHT("000000"&amp;172,6),LdCKeyM,0),"")</f>
        <v/>
      </c>
    </row>
    <row r="189">
      <c r="A189" s="10" t="n">
        <v>173</v>
      </c>
      <c r="B189" s="14">
        <f>IF(AND($L189="",$M189="",$N189=""),"",IF($L189&lt;&gt;"",INDEX(LdADate,$L189),IF($M189&lt;&gt;"",INDEX(LdBDate,$M189),INDEX(LdCDate,$N189))))</f>
        <v/>
      </c>
      <c r="C189" s="14">
        <f>IF($L189&lt;&gt;"","دستمزد (فردی)",IF($M189&lt;&gt;"","سهم از گروه "&amp;IFERROR(VLOOKUP(INDEX(LdBGroup,$M189),WGTbl,2,0),INDEX(LdBGroup,$M189)),IF($N189&lt;&gt;"",IF(N(INDEX(LdCDep,$N189))&gt;0,"بازگشت بانکی","پرداخت بانکی"),"")))</f>
        <v/>
      </c>
      <c r="D189" s="14">
        <f>IF($L189&lt;&gt;"",IF(INDEX(LdAId,$L189)="","—",INDEX(LdAId,$L189)),IF($M189&lt;&gt;"",IF(INDEX(LdBId,$M189)="","—",INDEX(LdBId,$M189)),IF($N189&lt;&gt;"",IF(INDEX(LdCBank,$N189)="","—",INDEX(LdCBank,$N189)),"")))</f>
        <v/>
      </c>
      <c r="E189" s="16">
        <f>IF($L189&lt;&gt;"",IF(INDEX(LdAAmt,$L189)=0,"",INDEX(LdAAmt,$L189)),IF($M189&lt;&gt;"",IF(INDEX(LdBAmt,$M189)=0,"",INDEX(LdBAmt,$M189)),IF($N189&lt;&gt;"",IF(INDEX(LdCDep,$N189)=0,"",INDEX(LdCDep,$N189)),"")))</f>
        <v/>
      </c>
      <c r="F189" s="16">
        <f>IF(AND($L189="",$M189="",$N189=""),"",IF($N189="","",IF(INDEX(LdCWit,$N189)=0,"",INDEX(LdCWit,$N189))))</f>
        <v/>
      </c>
      <c r="G189" s="29">
        <f>IF($B189="","",IF($G188="",0,$G188)+IF($E189="",0,$E189)-IF($F189="",0,$F189))</f>
        <v/>
      </c>
      <c r="H189" s="30">
        <f>IF(AND($L189="",$M189="",$N189=""),"",IF($L189&lt;&gt;"",IF(INDEX(LdANote,$L189)="","—",INDEX(LdANote,$L189)),IF($M189&lt;&gt;"",IF(INDEX(LdBNote,$M189)="","—",INDEX(LdBNote,$M189)),IF($N189&lt;&gt;"",IF(INDEX(LdCNote,$N189)="","—",INDEX(LdCNote,$N189)),""))))</f>
        <v/>
      </c>
      <c r="L189">
        <f>IFERROR(MATCH($C$5&amp;"|"&amp;RIGHT("000000"&amp;173,6),LdAKeyM,0),"")</f>
        <v/>
      </c>
      <c r="M189">
        <f>IFERROR(MATCH($C$5&amp;"|"&amp;RIGHT("000000"&amp;173,6),LdBKeyM,0),"")</f>
        <v/>
      </c>
      <c r="N189">
        <f>IFERROR(MATCH($C$5&amp;"|"&amp;RIGHT("000000"&amp;173,6),LdCKeyM,0),"")</f>
        <v/>
      </c>
    </row>
    <row r="190">
      <c r="A190" s="19" t="n">
        <v>174</v>
      </c>
      <c r="B190" s="20">
        <f>IF(AND($L190="",$M190="",$N190=""),"",IF($L190&lt;&gt;"",INDEX(LdADate,$L190),IF($M190&lt;&gt;"",INDEX(LdBDate,$M190),INDEX(LdCDate,$N190))))</f>
        <v/>
      </c>
      <c r="C190" s="20">
        <f>IF($L190&lt;&gt;"","دستمزد (فردی)",IF($M190&lt;&gt;"","سهم از گروه "&amp;IFERROR(VLOOKUP(INDEX(LdBGroup,$M190),WGTbl,2,0),INDEX(LdBGroup,$M190)),IF($N190&lt;&gt;"",IF(N(INDEX(LdCDep,$N190))&gt;0,"بازگشت بانکی","پرداخت بانکی"),"")))</f>
        <v/>
      </c>
      <c r="D190" s="20">
        <f>IF($L190&lt;&gt;"",IF(INDEX(LdAId,$L190)="","—",INDEX(LdAId,$L190)),IF($M190&lt;&gt;"",IF(INDEX(LdBId,$M190)="","—",INDEX(LdBId,$M190)),IF($N190&lt;&gt;"",IF(INDEX(LdCBank,$N190)="","—",INDEX(LdCBank,$N190)),"")))</f>
        <v/>
      </c>
      <c r="E190" s="21">
        <f>IF($L190&lt;&gt;"",IF(INDEX(LdAAmt,$L190)=0,"",INDEX(LdAAmt,$L190)),IF($M190&lt;&gt;"",IF(INDEX(LdBAmt,$M190)=0,"",INDEX(LdBAmt,$M190)),IF($N190&lt;&gt;"",IF(INDEX(LdCDep,$N190)=0,"",INDEX(LdCDep,$N190)),"")))</f>
        <v/>
      </c>
      <c r="F190" s="21">
        <f>IF(AND($L190="",$M190="",$N190=""),"",IF($N190="","",IF(INDEX(LdCWit,$N190)=0,"",INDEX(LdCWit,$N190))))</f>
        <v/>
      </c>
      <c r="G190" s="31">
        <f>IF($B190="","",IF($G189="",0,$G189)+IF($E190="",0,$E190)-IF($F190="",0,$F190))</f>
        <v/>
      </c>
      <c r="H190" s="32">
        <f>IF(AND($L190="",$M190="",$N190=""),"",IF($L190&lt;&gt;"",IF(INDEX(LdANote,$L190)="","—",INDEX(LdANote,$L190)),IF($M190&lt;&gt;"",IF(INDEX(LdBNote,$M190)="","—",INDEX(LdBNote,$M190)),IF($N190&lt;&gt;"",IF(INDEX(LdCNote,$N190)="","—",INDEX(LdCNote,$N190)),""))))</f>
        <v/>
      </c>
      <c r="L190">
        <f>IFERROR(MATCH($C$5&amp;"|"&amp;RIGHT("000000"&amp;174,6),LdAKeyM,0),"")</f>
        <v/>
      </c>
      <c r="M190">
        <f>IFERROR(MATCH($C$5&amp;"|"&amp;RIGHT("000000"&amp;174,6),LdBKeyM,0),"")</f>
        <v/>
      </c>
      <c r="N190">
        <f>IFERROR(MATCH($C$5&amp;"|"&amp;RIGHT("000000"&amp;174,6),LdCKeyM,0),"")</f>
        <v/>
      </c>
    </row>
    <row r="191">
      <c r="A191" s="10" t="n">
        <v>175</v>
      </c>
      <c r="B191" s="14">
        <f>IF(AND($L191="",$M191="",$N191=""),"",IF($L191&lt;&gt;"",INDEX(LdADate,$L191),IF($M191&lt;&gt;"",INDEX(LdBDate,$M191),INDEX(LdCDate,$N191))))</f>
        <v/>
      </c>
      <c r="C191" s="14">
        <f>IF($L191&lt;&gt;"","دستمزد (فردی)",IF($M191&lt;&gt;"","سهم از گروه "&amp;IFERROR(VLOOKUP(INDEX(LdBGroup,$M191),WGTbl,2,0),INDEX(LdBGroup,$M191)),IF($N191&lt;&gt;"",IF(N(INDEX(LdCDep,$N191))&gt;0,"بازگشت بانکی","پرداخت بانکی"),"")))</f>
        <v/>
      </c>
      <c r="D191" s="14">
        <f>IF($L191&lt;&gt;"",IF(INDEX(LdAId,$L191)="","—",INDEX(LdAId,$L191)),IF($M191&lt;&gt;"",IF(INDEX(LdBId,$M191)="","—",INDEX(LdBId,$M191)),IF($N191&lt;&gt;"",IF(INDEX(LdCBank,$N191)="","—",INDEX(LdCBank,$N191)),"")))</f>
        <v/>
      </c>
      <c r="E191" s="16">
        <f>IF($L191&lt;&gt;"",IF(INDEX(LdAAmt,$L191)=0,"",INDEX(LdAAmt,$L191)),IF($M191&lt;&gt;"",IF(INDEX(LdBAmt,$M191)=0,"",INDEX(LdBAmt,$M191)),IF($N191&lt;&gt;"",IF(INDEX(LdCDep,$N191)=0,"",INDEX(LdCDep,$N191)),"")))</f>
        <v/>
      </c>
      <c r="F191" s="16">
        <f>IF(AND($L191="",$M191="",$N191=""),"",IF($N191="","",IF(INDEX(LdCWit,$N191)=0,"",INDEX(LdCWit,$N191))))</f>
        <v/>
      </c>
      <c r="G191" s="29">
        <f>IF($B191="","",IF($G190="",0,$G190)+IF($E191="",0,$E191)-IF($F191="",0,$F191))</f>
        <v/>
      </c>
      <c r="H191" s="30">
        <f>IF(AND($L191="",$M191="",$N191=""),"",IF($L191&lt;&gt;"",IF(INDEX(LdANote,$L191)="","—",INDEX(LdANote,$L191)),IF($M191&lt;&gt;"",IF(INDEX(LdBNote,$M191)="","—",INDEX(LdBNote,$M191)),IF($N191&lt;&gt;"",IF(INDEX(LdCNote,$N191)="","—",INDEX(LdCNote,$N191)),""))))</f>
        <v/>
      </c>
      <c r="L191">
        <f>IFERROR(MATCH($C$5&amp;"|"&amp;RIGHT("000000"&amp;175,6),LdAKeyM,0),"")</f>
        <v/>
      </c>
      <c r="M191">
        <f>IFERROR(MATCH($C$5&amp;"|"&amp;RIGHT("000000"&amp;175,6),LdBKeyM,0),"")</f>
        <v/>
      </c>
      <c r="N191">
        <f>IFERROR(MATCH($C$5&amp;"|"&amp;RIGHT("000000"&amp;175,6),LdCKeyM,0),"")</f>
        <v/>
      </c>
    </row>
    <row r="192">
      <c r="A192" s="19" t="n">
        <v>176</v>
      </c>
      <c r="B192" s="20">
        <f>IF(AND($L192="",$M192="",$N192=""),"",IF($L192&lt;&gt;"",INDEX(LdADate,$L192),IF($M192&lt;&gt;"",INDEX(LdBDate,$M192),INDEX(LdCDate,$N192))))</f>
        <v/>
      </c>
      <c r="C192" s="20">
        <f>IF($L192&lt;&gt;"","دستمزد (فردی)",IF($M192&lt;&gt;"","سهم از گروه "&amp;IFERROR(VLOOKUP(INDEX(LdBGroup,$M192),WGTbl,2,0),INDEX(LdBGroup,$M192)),IF($N192&lt;&gt;"",IF(N(INDEX(LdCDep,$N192))&gt;0,"بازگشت بانکی","پرداخت بانکی"),"")))</f>
        <v/>
      </c>
      <c r="D192" s="20">
        <f>IF($L192&lt;&gt;"",IF(INDEX(LdAId,$L192)="","—",INDEX(LdAId,$L192)),IF($M192&lt;&gt;"",IF(INDEX(LdBId,$M192)="","—",INDEX(LdBId,$M192)),IF($N192&lt;&gt;"",IF(INDEX(LdCBank,$N192)="","—",INDEX(LdCBank,$N192)),"")))</f>
        <v/>
      </c>
      <c r="E192" s="21">
        <f>IF($L192&lt;&gt;"",IF(INDEX(LdAAmt,$L192)=0,"",INDEX(LdAAmt,$L192)),IF($M192&lt;&gt;"",IF(INDEX(LdBAmt,$M192)=0,"",INDEX(LdBAmt,$M192)),IF($N192&lt;&gt;"",IF(INDEX(LdCDep,$N192)=0,"",INDEX(LdCDep,$N192)),"")))</f>
        <v/>
      </c>
      <c r="F192" s="21">
        <f>IF(AND($L192="",$M192="",$N192=""),"",IF($N192="","",IF(INDEX(LdCWit,$N192)=0,"",INDEX(LdCWit,$N192))))</f>
        <v/>
      </c>
      <c r="G192" s="31">
        <f>IF($B192="","",IF($G191="",0,$G191)+IF($E192="",0,$E192)-IF($F192="",0,$F192))</f>
        <v/>
      </c>
      <c r="H192" s="32">
        <f>IF(AND($L192="",$M192="",$N192=""),"",IF($L192&lt;&gt;"",IF(INDEX(LdANote,$L192)="","—",INDEX(LdANote,$L192)),IF($M192&lt;&gt;"",IF(INDEX(LdBNote,$M192)="","—",INDEX(LdBNote,$M192)),IF($N192&lt;&gt;"",IF(INDEX(LdCNote,$N192)="","—",INDEX(LdCNote,$N192)),""))))</f>
        <v/>
      </c>
      <c r="L192">
        <f>IFERROR(MATCH($C$5&amp;"|"&amp;RIGHT("000000"&amp;176,6),LdAKeyM,0),"")</f>
        <v/>
      </c>
      <c r="M192">
        <f>IFERROR(MATCH($C$5&amp;"|"&amp;RIGHT("000000"&amp;176,6),LdBKeyM,0),"")</f>
        <v/>
      </c>
      <c r="N192">
        <f>IFERROR(MATCH($C$5&amp;"|"&amp;RIGHT("000000"&amp;176,6),LdCKeyM,0),"")</f>
        <v/>
      </c>
    </row>
    <row r="193">
      <c r="A193" s="10" t="n">
        <v>177</v>
      </c>
      <c r="B193" s="14">
        <f>IF(AND($L193="",$M193="",$N193=""),"",IF($L193&lt;&gt;"",INDEX(LdADate,$L193),IF($M193&lt;&gt;"",INDEX(LdBDate,$M193),INDEX(LdCDate,$N193))))</f>
        <v/>
      </c>
      <c r="C193" s="14">
        <f>IF($L193&lt;&gt;"","دستمزد (فردی)",IF($M193&lt;&gt;"","سهم از گروه "&amp;IFERROR(VLOOKUP(INDEX(LdBGroup,$M193),WGTbl,2,0),INDEX(LdBGroup,$M193)),IF($N193&lt;&gt;"",IF(N(INDEX(LdCDep,$N193))&gt;0,"بازگشت بانکی","پرداخت بانکی"),"")))</f>
        <v/>
      </c>
      <c r="D193" s="14">
        <f>IF($L193&lt;&gt;"",IF(INDEX(LdAId,$L193)="","—",INDEX(LdAId,$L193)),IF($M193&lt;&gt;"",IF(INDEX(LdBId,$M193)="","—",INDEX(LdBId,$M193)),IF($N193&lt;&gt;"",IF(INDEX(LdCBank,$N193)="","—",INDEX(LdCBank,$N193)),"")))</f>
        <v/>
      </c>
      <c r="E193" s="16">
        <f>IF($L193&lt;&gt;"",IF(INDEX(LdAAmt,$L193)=0,"",INDEX(LdAAmt,$L193)),IF($M193&lt;&gt;"",IF(INDEX(LdBAmt,$M193)=0,"",INDEX(LdBAmt,$M193)),IF($N193&lt;&gt;"",IF(INDEX(LdCDep,$N193)=0,"",INDEX(LdCDep,$N193)),"")))</f>
        <v/>
      </c>
      <c r="F193" s="16">
        <f>IF(AND($L193="",$M193="",$N193=""),"",IF($N193="","",IF(INDEX(LdCWit,$N193)=0,"",INDEX(LdCWit,$N193))))</f>
        <v/>
      </c>
      <c r="G193" s="29">
        <f>IF($B193="","",IF($G192="",0,$G192)+IF($E193="",0,$E193)-IF($F193="",0,$F193))</f>
        <v/>
      </c>
      <c r="H193" s="30">
        <f>IF(AND($L193="",$M193="",$N193=""),"",IF($L193&lt;&gt;"",IF(INDEX(LdANote,$L193)="","—",INDEX(LdANote,$L193)),IF($M193&lt;&gt;"",IF(INDEX(LdBNote,$M193)="","—",INDEX(LdBNote,$M193)),IF($N193&lt;&gt;"",IF(INDEX(LdCNote,$N193)="","—",INDEX(LdCNote,$N193)),""))))</f>
        <v/>
      </c>
      <c r="L193">
        <f>IFERROR(MATCH($C$5&amp;"|"&amp;RIGHT("000000"&amp;177,6),LdAKeyM,0),"")</f>
        <v/>
      </c>
      <c r="M193">
        <f>IFERROR(MATCH($C$5&amp;"|"&amp;RIGHT("000000"&amp;177,6),LdBKeyM,0),"")</f>
        <v/>
      </c>
      <c r="N193">
        <f>IFERROR(MATCH($C$5&amp;"|"&amp;RIGHT("000000"&amp;177,6),LdCKeyM,0),"")</f>
        <v/>
      </c>
    </row>
    <row r="194">
      <c r="A194" s="19" t="n">
        <v>178</v>
      </c>
      <c r="B194" s="20">
        <f>IF(AND($L194="",$M194="",$N194=""),"",IF($L194&lt;&gt;"",INDEX(LdADate,$L194),IF($M194&lt;&gt;"",INDEX(LdBDate,$M194),INDEX(LdCDate,$N194))))</f>
        <v/>
      </c>
      <c r="C194" s="20">
        <f>IF($L194&lt;&gt;"","دستمزد (فردی)",IF($M194&lt;&gt;"","سهم از گروه "&amp;IFERROR(VLOOKUP(INDEX(LdBGroup,$M194),WGTbl,2,0),INDEX(LdBGroup,$M194)),IF($N194&lt;&gt;"",IF(N(INDEX(LdCDep,$N194))&gt;0,"بازگشت بانکی","پرداخت بانکی"),"")))</f>
        <v/>
      </c>
      <c r="D194" s="20">
        <f>IF($L194&lt;&gt;"",IF(INDEX(LdAId,$L194)="","—",INDEX(LdAId,$L194)),IF($M194&lt;&gt;"",IF(INDEX(LdBId,$M194)="","—",INDEX(LdBId,$M194)),IF($N194&lt;&gt;"",IF(INDEX(LdCBank,$N194)="","—",INDEX(LdCBank,$N194)),"")))</f>
        <v/>
      </c>
      <c r="E194" s="21">
        <f>IF($L194&lt;&gt;"",IF(INDEX(LdAAmt,$L194)=0,"",INDEX(LdAAmt,$L194)),IF($M194&lt;&gt;"",IF(INDEX(LdBAmt,$M194)=0,"",INDEX(LdBAmt,$M194)),IF($N194&lt;&gt;"",IF(INDEX(LdCDep,$N194)=0,"",INDEX(LdCDep,$N194)),"")))</f>
        <v/>
      </c>
      <c r="F194" s="21">
        <f>IF(AND($L194="",$M194="",$N194=""),"",IF($N194="","",IF(INDEX(LdCWit,$N194)=0,"",INDEX(LdCWit,$N194))))</f>
        <v/>
      </c>
      <c r="G194" s="31">
        <f>IF($B194="","",IF($G193="",0,$G193)+IF($E194="",0,$E194)-IF($F194="",0,$F194))</f>
        <v/>
      </c>
      <c r="H194" s="32">
        <f>IF(AND($L194="",$M194="",$N194=""),"",IF($L194&lt;&gt;"",IF(INDEX(LdANote,$L194)="","—",INDEX(LdANote,$L194)),IF($M194&lt;&gt;"",IF(INDEX(LdBNote,$M194)="","—",INDEX(LdBNote,$M194)),IF($N194&lt;&gt;"",IF(INDEX(LdCNote,$N194)="","—",INDEX(LdCNote,$N194)),""))))</f>
        <v/>
      </c>
      <c r="L194">
        <f>IFERROR(MATCH($C$5&amp;"|"&amp;RIGHT("000000"&amp;178,6),LdAKeyM,0),"")</f>
        <v/>
      </c>
      <c r="M194">
        <f>IFERROR(MATCH($C$5&amp;"|"&amp;RIGHT("000000"&amp;178,6),LdBKeyM,0),"")</f>
        <v/>
      </c>
      <c r="N194">
        <f>IFERROR(MATCH($C$5&amp;"|"&amp;RIGHT("000000"&amp;178,6),LdCKeyM,0),"")</f>
        <v/>
      </c>
    </row>
    <row r="195">
      <c r="A195" s="10" t="n">
        <v>179</v>
      </c>
      <c r="B195" s="14">
        <f>IF(AND($L195="",$M195="",$N195=""),"",IF($L195&lt;&gt;"",INDEX(LdADate,$L195),IF($M195&lt;&gt;"",INDEX(LdBDate,$M195),INDEX(LdCDate,$N195))))</f>
        <v/>
      </c>
      <c r="C195" s="14">
        <f>IF($L195&lt;&gt;"","دستمزد (فردی)",IF($M195&lt;&gt;"","سهم از گروه "&amp;IFERROR(VLOOKUP(INDEX(LdBGroup,$M195),WGTbl,2,0),INDEX(LdBGroup,$M195)),IF($N195&lt;&gt;"",IF(N(INDEX(LdCDep,$N195))&gt;0,"بازگشت بانکی","پرداخت بانکی"),"")))</f>
        <v/>
      </c>
      <c r="D195" s="14">
        <f>IF($L195&lt;&gt;"",IF(INDEX(LdAId,$L195)="","—",INDEX(LdAId,$L195)),IF($M195&lt;&gt;"",IF(INDEX(LdBId,$M195)="","—",INDEX(LdBId,$M195)),IF($N195&lt;&gt;"",IF(INDEX(LdCBank,$N195)="","—",INDEX(LdCBank,$N195)),"")))</f>
        <v/>
      </c>
      <c r="E195" s="16">
        <f>IF($L195&lt;&gt;"",IF(INDEX(LdAAmt,$L195)=0,"",INDEX(LdAAmt,$L195)),IF($M195&lt;&gt;"",IF(INDEX(LdBAmt,$M195)=0,"",INDEX(LdBAmt,$M195)),IF($N195&lt;&gt;"",IF(INDEX(LdCDep,$N195)=0,"",INDEX(LdCDep,$N195)),"")))</f>
        <v/>
      </c>
      <c r="F195" s="16">
        <f>IF(AND($L195="",$M195="",$N195=""),"",IF($N195="","",IF(INDEX(LdCWit,$N195)=0,"",INDEX(LdCWit,$N195))))</f>
        <v/>
      </c>
      <c r="G195" s="29">
        <f>IF($B195="","",IF($G194="",0,$G194)+IF($E195="",0,$E195)-IF($F195="",0,$F195))</f>
        <v/>
      </c>
      <c r="H195" s="30">
        <f>IF(AND($L195="",$M195="",$N195=""),"",IF($L195&lt;&gt;"",IF(INDEX(LdANote,$L195)="","—",INDEX(LdANote,$L195)),IF($M195&lt;&gt;"",IF(INDEX(LdBNote,$M195)="","—",INDEX(LdBNote,$M195)),IF($N195&lt;&gt;"",IF(INDEX(LdCNote,$N195)="","—",INDEX(LdCNote,$N195)),""))))</f>
        <v/>
      </c>
      <c r="L195">
        <f>IFERROR(MATCH($C$5&amp;"|"&amp;RIGHT("000000"&amp;179,6),LdAKeyM,0),"")</f>
        <v/>
      </c>
      <c r="M195">
        <f>IFERROR(MATCH($C$5&amp;"|"&amp;RIGHT("000000"&amp;179,6),LdBKeyM,0),"")</f>
        <v/>
      </c>
      <c r="N195">
        <f>IFERROR(MATCH($C$5&amp;"|"&amp;RIGHT("000000"&amp;179,6),LdCKeyM,0),"")</f>
        <v/>
      </c>
    </row>
    <row r="196">
      <c r="A196" s="19" t="n">
        <v>180</v>
      </c>
      <c r="B196" s="20">
        <f>IF(AND($L196="",$M196="",$N196=""),"",IF($L196&lt;&gt;"",INDEX(LdADate,$L196),IF($M196&lt;&gt;"",INDEX(LdBDate,$M196),INDEX(LdCDate,$N196))))</f>
        <v/>
      </c>
      <c r="C196" s="20">
        <f>IF($L196&lt;&gt;"","دستمزد (فردی)",IF($M196&lt;&gt;"","سهم از گروه "&amp;IFERROR(VLOOKUP(INDEX(LdBGroup,$M196),WGTbl,2,0),INDEX(LdBGroup,$M196)),IF($N196&lt;&gt;"",IF(N(INDEX(LdCDep,$N196))&gt;0,"بازگشت بانکی","پرداخت بانکی"),"")))</f>
        <v/>
      </c>
      <c r="D196" s="20">
        <f>IF($L196&lt;&gt;"",IF(INDEX(LdAId,$L196)="","—",INDEX(LdAId,$L196)),IF($M196&lt;&gt;"",IF(INDEX(LdBId,$M196)="","—",INDEX(LdBId,$M196)),IF($N196&lt;&gt;"",IF(INDEX(LdCBank,$N196)="","—",INDEX(LdCBank,$N196)),"")))</f>
        <v/>
      </c>
      <c r="E196" s="21">
        <f>IF($L196&lt;&gt;"",IF(INDEX(LdAAmt,$L196)=0,"",INDEX(LdAAmt,$L196)),IF($M196&lt;&gt;"",IF(INDEX(LdBAmt,$M196)=0,"",INDEX(LdBAmt,$M196)),IF($N196&lt;&gt;"",IF(INDEX(LdCDep,$N196)=0,"",INDEX(LdCDep,$N196)),"")))</f>
        <v/>
      </c>
      <c r="F196" s="21">
        <f>IF(AND($L196="",$M196="",$N196=""),"",IF($N196="","",IF(INDEX(LdCWit,$N196)=0,"",INDEX(LdCWit,$N196))))</f>
        <v/>
      </c>
      <c r="G196" s="31">
        <f>IF($B196="","",IF($G195="",0,$G195)+IF($E196="",0,$E196)-IF($F196="",0,$F196))</f>
        <v/>
      </c>
      <c r="H196" s="32">
        <f>IF(AND($L196="",$M196="",$N196=""),"",IF($L196&lt;&gt;"",IF(INDEX(LdANote,$L196)="","—",INDEX(LdANote,$L196)),IF($M196&lt;&gt;"",IF(INDEX(LdBNote,$M196)="","—",INDEX(LdBNote,$M196)),IF($N196&lt;&gt;"",IF(INDEX(LdCNote,$N196)="","—",INDEX(LdCNote,$N196)),""))))</f>
        <v/>
      </c>
      <c r="L196">
        <f>IFERROR(MATCH($C$5&amp;"|"&amp;RIGHT("000000"&amp;180,6),LdAKeyM,0),"")</f>
        <v/>
      </c>
      <c r="M196">
        <f>IFERROR(MATCH($C$5&amp;"|"&amp;RIGHT("000000"&amp;180,6),LdBKeyM,0),"")</f>
        <v/>
      </c>
      <c r="N196">
        <f>IFERROR(MATCH($C$5&amp;"|"&amp;RIGHT("000000"&amp;180,6),LdCKeyM,0),"")</f>
        <v/>
      </c>
    </row>
    <row r="197">
      <c r="A197" s="10" t="n">
        <v>181</v>
      </c>
      <c r="B197" s="14">
        <f>IF(AND($L197="",$M197="",$N197=""),"",IF($L197&lt;&gt;"",INDEX(LdADate,$L197),IF($M197&lt;&gt;"",INDEX(LdBDate,$M197),INDEX(LdCDate,$N197))))</f>
        <v/>
      </c>
      <c r="C197" s="14">
        <f>IF($L197&lt;&gt;"","دستمزد (فردی)",IF($M197&lt;&gt;"","سهم از گروه "&amp;IFERROR(VLOOKUP(INDEX(LdBGroup,$M197),WGTbl,2,0),INDEX(LdBGroup,$M197)),IF($N197&lt;&gt;"",IF(N(INDEX(LdCDep,$N197))&gt;0,"بازگشت بانکی","پرداخت بانکی"),"")))</f>
        <v/>
      </c>
      <c r="D197" s="14">
        <f>IF($L197&lt;&gt;"",IF(INDEX(LdAId,$L197)="","—",INDEX(LdAId,$L197)),IF($M197&lt;&gt;"",IF(INDEX(LdBId,$M197)="","—",INDEX(LdBId,$M197)),IF($N197&lt;&gt;"",IF(INDEX(LdCBank,$N197)="","—",INDEX(LdCBank,$N197)),"")))</f>
        <v/>
      </c>
      <c r="E197" s="16">
        <f>IF($L197&lt;&gt;"",IF(INDEX(LdAAmt,$L197)=0,"",INDEX(LdAAmt,$L197)),IF($M197&lt;&gt;"",IF(INDEX(LdBAmt,$M197)=0,"",INDEX(LdBAmt,$M197)),IF($N197&lt;&gt;"",IF(INDEX(LdCDep,$N197)=0,"",INDEX(LdCDep,$N197)),"")))</f>
        <v/>
      </c>
      <c r="F197" s="16">
        <f>IF(AND($L197="",$M197="",$N197=""),"",IF($N197="","",IF(INDEX(LdCWit,$N197)=0,"",INDEX(LdCWit,$N197))))</f>
        <v/>
      </c>
      <c r="G197" s="29">
        <f>IF($B197="","",IF($G196="",0,$G196)+IF($E197="",0,$E197)-IF($F197="",0,$F197))</f>
        <v/>
      </c>
      <c r="H197" s="30">
        <f>IF(AND($L197="",$M197="",$N197=""),"",IF($L197&lt;&gt;"",IF(INDEX(LdANote,$L197)="","—",INDEX(LdANote,$L197)),IF($M197&lt;&gt;"",IF(INDEX(LdBNote,$M197)="","—",INDEX(LdBNote,$M197)),IF($N197&lt;&gt;"",IF(INDEX(LdCNote,$N197)="","—",INDEX(LdCNote,$N197)),""))))</f>
        <v/>
      </c>
      <c r="L197">
        <f>IFERROR(MATCH($C$5&amp;"|"&amp;RIGHT("000000"&amp;181,6),LdAKeyM,0),"")</f>
        <v/>
      </c>
      <c r="M197">
        <f>IFERROR(MATCH($C$5&amp;"|"&amp;RIGHT("000000"&amp;181,6),LdBKeyM,0),"")</f>
        <v/>
      </c>
      <c r="N197">
        <f>IFERROR(MATCH($C$5&amp;"|"&amp;RIGHT("000000"&amp;181,6),LdCKeyM,0),"")</f>
        <v/>
      </c>
    </row>
    <row r="198">
      <c r="A198" s="19" t="n">
        <v>182</v>
      </c>
      <c r="B198" s="20">
        <f>IF(AND($L198="",$M198="",$N198=""),"",IF($L198&lt;&gt;"",INDEX(LdADate,$L198),IF($M198&lt;&gt;"",INDEX(LdBDate,$M198),INDEX(LdCDate,$N198))))</f>
        <v/>
      </c>
      <c r="C198" s="20">
        <f>IF($L198&lt;&gt;"","دستمزد (فردی)",IF($M198&lt;&gt;"","سهم از گروه "&amp;IFERROR(VLOOKUP(INDEX(LdBGroup,$M198),WGTbl,2,0),INDEX(LdBGroup,$M198)),IF($N198&lt;&gt;"",IF(N(INDEX(LdCDep,$N198))&gt;0,"بازگشت بانکی","پرداخت بانکی"),"")))</f>
        <v/>
      </c>
      <c r="D198" s="20">
        <f>IF($L198&lt;&gt;"",IF(INDEX(LdAId,$L198)="","—",INDEX(LdAId,$L198)),IF($M198&lt;&gt;"",IF(INDEX(LdBId,$M198)="","—",INDEX(LdBId,$M198)),IF($N198&lt;&gt;"",IF(INDEX(LdCBank,$N198)="","—",INDEX(LdCBank,$N198)),"")))</f>
        <v/>
      </c>
      <c r="E198" s="21">
        <f>IF($L198&lt;&gt;"",IF(INDEX(LdAAmt,$L198)=0,"",INDEX(LdAAmt,$L198)),IF($M198&lt;&gt;"",IF(INDEX(LdBAmt,$M198)=0,"",INDEX(LdBAmt,$M198)),IF($N198&lt;&gt;"",IF(INDEX(LdCDep,$N198)=0,"",INDEX(LdCDep,$N198)),"")))</f>
        <v/>
      </c>
      <c r="F198" s="21">
        <f>IF(AND($L198="",$M198="",$N198=""),"",IF($N198="","",IF(INDEX(LdCWit,$N198)=0,"",INDEX(LdCWit,$N198))))</f>
        <v/>
      </c>
      <c r="G198" s="31">
        <f>IF($B198="","",IF($G197="",0,$G197)+IF($E198="",0,$E198)-IF($F198="",0,$F198))</f>
        <v/>
      </c>
      <c r="H198" s="32">
        <f>IF(AND($L198="",$M198="",$N198=""),"",IF($L198&lt;&gt;"",IF(INDEX(LdANote,$L198)="","—",INDEX(LdANote,$L198)),IF($M198&lt;&gt;"",IF(INDEX(LdBNote,$M198)="","—",INDEX(LdBNote,$M198)),IF($N198&lt;&gt;"",IF(INDEX(LdCNote,$N198)="","—",INDEX(LdCNote,$N198)),""))))</f>
        <v/>
      </c>
      <c r="L198">
        <f>IFERROR(MATCH($C$5&amp;"|"&amp;RIGHT("000000"&amp;182,6),LdAKeyM,0),"")</f>
        <v/>
      </c>
      <c r="M198">
        <f>IFERROR(MATCH($C$5&amp;"|"&amp;RIGHT("000000"&amp;182,6),LdBKeyM,0),"")</f>
        <v/>
      </c>
      <c r="N198">
        <f>IFERROR(MATCH($C$5&amp;"|"&amp;RIGHT("000000"&amp;182,6),LdCKeyM,0),"")</f>
        <v/>
      </c>
    </row>
    <row r="199">
      <c r="A199" s="10" t="n">
        <v>183</v>
      </c>
      <c r="B199" s="14">
        <f>IF(AND($L199="",$M199="",$N199=""),"",IF($L199&lt;&gt;"",INDEX(LdADate,$L199),IF($M199&lt;&gt;"",INDEX(LdBDate,$M199),INDEX(LdCDate,$N199))))</f>
        <v/>
      </c>
      <c r="C199" s="14">
        <f>IF($L199&lt;&gt;"","دستمزد (فردی)",IF($M199&lt;&gt;"","سهم از گروه "&amp;IFERROR(VLOOKUP(INDEX(LdBGroup,$M199),WGTbl,2,0),INDEX(LdBGroup,$M199)),IF($N199&lt;&gt;"",IF(N(INDEX(LdCDep,$N199))&gt;0,"بازگشت بانکی","پرداخت بانکی"),"")))</f>
        <v/>
      </c>
      <c r="D199" s="14">
        <f>IF($L199&lt;&gt;"",IF(INDEX(LdAId,$L199)="","—",INDEX(LdAId,$L199)),IF($M199&lt;&gt;"",IF(INDEX(LdBId,$M199)="","—",INDEX(LdBId,$M199)),IF($N199&lt;&gt;"",IF(INDEX(LdCBank,$N199)="","—",INDEX(LdCBank,$N199)),"")))</f>
        <v/>
      </c>
      <c r="E199" s="16">
        <f>IF($L199&lt;&gt;"",IF(INDEX(LdAAmt,$L199)=0,"",INDEX(LdAAmt,$L199)),IF($M199&lt;&gt;"",IF(INDEX(LdBAmt,$M199)=0,"",INDEX(LdBAmt,$M199)),IF($N199&lt;&gt;"",IF(INDEX(LdCDep,$N199)=0,"",INDEX(LdCDep,$N199)),"")))</f>
        <v/>
      </c>
      <c r="F199" s="16">
        <f>IF(AND($L199="",$M199="",$N199=""),"",IF($N199="","",IF(INDEX(LdCWit,$N199)=0,"",INDEX(LdCWit,$N199))))</f>
        <v/>
      </c>
      <c r="G199" s="29">
        <f>IF($B199="","",IF($G198="",0,$G198)+IF($E199="",0,$E199)-IF($F199="",0,$F199))</f>
        <v/>
      </c>
      <c r="H199" s="30">
        <f>IF(AND($L199="",$M199="",$N199=""),"",IF($L199&lt;&gt;"",IF(INDEX(LdANote,$L199)="","—",INDEX(LdANote,$L199)),IF($M199&lt;&gt;"",IF(INDEX(LdBNote,$M199)="","—",INDEX(LdBNote,$M199)),IF($N199&lt;&gt;"",IF(INDEX(LdCNote,$N199)="","—",INDEX(LdCNote,$N199)),""))))</f>
        <v/>
      </c>
      <c r="L199">
        <f>IFERROR(MATCH($C$5&amp;"|"&amp;RIGHT("000000"&amp;183,6),LdAKeyM,0),"")</f>
        <v/>
      </c>
      <c r="M199">
        <f>IFERROR(MATCH($C$5&amp;"|"&amp;RIGHT("000000"&amp;183,6),LdBKeyM,0),"")</f>
        <v/>
      </c>
      <c r="N199">
        <f>IFERROR(MATCH($C$5&amp;"|"&amp;RIGHT("000000"&amp;183,6),LdCKeyM,0),"")</f>
        <v/>
      </c>
    </row>
    <row r="200">
      <c r="A200" s="19" t="n">
        <v>184</v>
      </c>
      <c r="B200" s="20">
        <f>IF(AND($L200="",$M200="",$N200=""),"",IF($L200&lt;&gt;"",INDEX(LdADate,$L200),IF($M200&lt;&gt;"",INDEX(LdBDate,$M200),INDEX(LdCDate,$N200))))</f>
        <v/>
      </c>
      <c r="C200" s="20">
        <f>IF($L200&lt;&gt;"","دستمزد (فردی)",IF($M200&lt;&gt;"","سهم از گروه "&amp;IFERROR(VLOOKUP(INDEX(LdBGroup,$M200),WGTbl,2,0),INDEX(LdBGroup,$M200)),IF($N200&lt;&gt;"",IF(N(INDEX(LdCDep,$N200))&gt;0,"بازگشت بانکی","پرداخت بانکی"),"")))</f>
        <v/>
      </c>
      <c r="D200" s="20">
        <f>IF($L200&lt;&gt;"",IF(INDEX(LdAId,$L200)="","—",INDEX(LdAId,$L200)),IF($M200&lt;&gt;"",IF(INDEX(LdBId,$M200)="","—",INDEX(LdBId,$M200)),IF($N200&lt;&gt;"",IF(INDEX(LdCBank,$N200)="","—",INDEX(LdCBank,$N200)),"")))</f>
        <v/>
      </c>
      <c r="E200" s="21">
        <f>IF($L200&lt;&gt;"",IF(INDEX(LdAAmt,$L200)=0,"",INDEX(LdAAmt,$L200)),IF($M200&lt;&gt;"",IF(INDEX(LdBAmt,$M200)=0,"",INDEX(LdBAmt,$M200)),IF($N200&lt;&gt;"",IF(INDEX(LdCDep,$N200)=0,"",INDEX(LdCDep,$N200)),"")))</f>
        <v/>
      </c>
      <c r="F200" s="21">
        <f>IF(AND($L200="",$M200="",$N200=""),"",IF($N200="","",IF(INDEX(LdCWit,$N200)=0,"",INDEX(LdCWit,$N200))))</f>
        <v/>
      </c>
      <c r="G200" s="31">
        <f>IF($B200="","",IF($G199="",0,$G199)+IF($E200="",0,$E200)-IF($F200="",0,$F200))</f>
        <v/>
      </c>
      <c r="H200" s="32">
        <f>IF(AND($L200="",$M200="",$N200=""),"",IF($L200&lt;&gt;"",IF(INDEX(LdANote,$L200)="","—",INDEX(LdANote,$L200)),IF($M200&lt;&gt;"",IF(INDEX(LdBNote,$M200)="","—",INDEX(LdBNote,$M200)),IF($N200&lt;&gt;"",IF(INDEX(LdCNote,$N200)="","—",INDEX(LdCNote,$N200)),""))))</f>
        <v/>
      </c>
      <c r="L200">
        <f>IFERROR(MATCH($C$5&amp;"|"&amp;RIGHT("000000"&amp;184,6),LdAKeyM,0),"")</f>
        <v/>
      </c>
      <c r="M200">
        <f>IFERROR(MATCH($C$5&amp;"|"&amp;RIGHT("000000"&amp;184,6),LdBKeyM,0),"")</f>
        <v/>
      </c>
      <c r="N200">
        <f>IFERROR(MATCH($C$5&amp;"|"&amp;RIGHT("000000"&amp;184,6),LdCKeyM,0),"")</f>
        <v/>
      </c>
    </row>
    <row r="201">
      <c r="A201" s="10" t="n">
        <v>185</v>
      </c>
      <c r="B201" s="14">
        <f>IF(AND($L201="",$M201="",$N201=""),"",IF($L201&lt;&gt;"",INDEX(LdADate,$L201),IF($M201&lt;&gt;"",INDEX(LdBDate,$M201),INDEX(LdCDate,$N201))))</f>
        <v/>
      </c>
      <c r="C201" s="14">
        <f>IF($L201&lt;&gt;"","دستمزد (فردی)",IF($M201&lt;&gt;"","سهم از گروه "&amp;IFERROR(VLOOKUP(INDEX(LdBGroup,$M201),WGTbl,2,0),INDEX(LdBGroup,$M201)),IF($N201&lt;&gt;"",IF(N(INDEX(LdCDep,$N201))&gt;0,"بازگشت بانکی","پرداخت بانکی"),"")))</f>
        <v/>
      </c>
      <c r="D201" s="14">
        <f>IF($L201&lt;&gt;"",IF(INDEX(LdAId,$L201)="","—",INDEX(LdAId,$L201)),IF($M201&lt;&gt;"",IF(INDEX(LdBId,$M201)="","—",INDEX(LdBId,$M201)),IF($N201&lt;&gt;"",IF(INDEX(LdCBank,$N201)="","—",INDEX(LdCBank,$N201)),"")))</f>
        <v/>
      </c>
      <c r="E201" s="16">
        <f>IF($L201&lt;&gt;"",IF(INDEX(LdAAmt,$L201)=0,"",INDEX(LdAAmt,$L201)),IF($M201&lt;&gt;"",IF(INDEX(LdBAmt,$M201)=0,"",INDEX(LdBAmt,$M201)),IF($N201&lt;&gt;"",IF(INDEX(LdCDep,$N201)=0,"",INDEX(LdCDep,$N201)),"")))</f>
        <v/>
      </c>
      <c r="F201" s="16">
        <f>IF(AND($L201="",$M201="",$N201=""),"",IF($N201="","",IF(INDEX(LdCWit,$N201)=0,"",INDEX(LdCWit,$N201))))</f>
        <v/>
      </c>
      <c r="G201" s="29">
        <f>IF($B201="","",IF($G200="",0,$G200)+IF($E201="",0,$E201)-IF($F201="",0,$F201))</f>
        <v/>
      </c>
      <c r="H201" s="30">
        <f>IF(AND($L201="",$M201="",$N201=""),"",IF($L201&lt;&gt;"",IF(INDEX(LdANote,$L201)="","—",INDEX(LdANote,$L201)),IF($M201&lt;&gt;"",IF(INDEX(LdBNote,$M201)="","—",INDEX(LdBNote,$M201)),IF($N201&lt;&gt;"",IF(INDEX(LdCNote,$N201)="","—",INDEX(LdCNote,$N201)),""))))</f>
        <v/>
      </c>
      <c r="L201">
        <f>IFERROR(MATCH($C$5&amp;"|"&amp;RIGHT("000000"&amp;185,6),LdAKeyM,0),"")</f>
        <v/>
      </c>
      <c r="M201">
        <f>IFERROR(MATCH($C$5&amp;"|"&amp;RIGHT("000000"&amp;185,6),LdBKeyM,0),"")</f>
        <v/>
      </c>
      <c r="N201">
        <f>IFERROR(MATCH($C$5&amp;"|"&amp;RIGHT("000000"&amp;185,6),LdCKeyM,0),"")</f>
        <v/>
      </c>
    </row>
    <row r="202">
      <c r="A202" s="19" t="n">
        <v>186</v>
      </c>
      <c r="B202" s="20">
        <f>IF(AND($L202="",$M202="",$N202=""),"",IF($L202&lt;&gt;"",INDEX(LdADate,$L202),IF($M202&lt;&gt;"",INDEX(LdBDate,$M202),INDEX(LdCDate,$N202))))</f>
        <v/>
      </c>
      <c r="C202" s="20">
        <f>IF($L202&lt;&gt;"","دستمزد (فردی)",IF($M202&lt;&gt;"","سهم از گروه "&amp;IFERROR(VLOOKUP(INDEX(LdBGroup,$M202),WGTbl,2,0),INDEX(LdBGroup,$M202)),IF($N202&lt;&gt;"",IF(N(INDEX(LdCDep,$N202))&gt;0,"بازگشت بانکی","پرداخت بانکی"),"")))</f>
        <v/>
      </c>
      <c r="D202" s="20">
        <f>IF($L202&lt;&gt;"",IF(INDEX(LdAId,$L202)="","—",INDEX(LdAId,$L202)),IF($M202&lt;&gt;"",IF(INDEX(LdBId,$M202)="","—",INDEX(LdBId,$M202)),IF($N202&lt;&gt;"",IF(INDEX(LdCBank,$N202)="","—",INDEX(LdCBank,$N202)),"")))</f>
        <v/>
      </c>
      <c r="E202" s="21">
        <f>IF($L202&lt;&gt;"",IF(INDEX(LdAAmt,$L202)=0,"",INDEX(LdAAmt,$L202)),IF($M202&lt;&gt;"",IF(INDEX(LdBAmt,$M202)=0,"",INDEX(LdBAmt,$M202)),IF($N202&lt;&gt;"",IF(INDEX(LdCDep,$N202)=0,"",INDEX(LdCDep,$N202)),"")))</f>
        <v/>
      </c>
      <c r="F202" s="21">
        <f>IF(AND($L202="",$M202="",$N202=""),"",IF($N202="","",IF(INDEX(LdCWit,$N202)=0,"",INDEX(LdCWit,$N202))))</f>
        <v/>
      </c>
      <c r="G202" s="31">
        <f>IF($B202="","",IF($G201="",0,$G201)+IF($E202="",0,$E202)-IF($F202="",0,$F202))</f>
        <v/>
      </c>
      <c r="H202" s="32">
        <f>IF(AND($L202="",$M202="",$N202=""),"",IF($L202&lt;&gt;"",IF(INDEX(LdANote,$L202)="","—",INDEX(LdANote,$L202)),IF($M202&lt;&gt;"",IF(INDEX(LdBNote,$M202)="","—",INDEX(LdBNote,$M202)),IF($N202&lt;&gt;"",IF(INDEX(LdCNote,$N202)="","—",INDEX(LdCNote,$N202)),""))))</f>
        <v/>
      </c>
      <c r="L202">
        <f>IFERROR(MATCH($C$5&amp;"|"&amp;RIGHT("000000"&amp;186,6),LdAKeyM,0),"")</f>
        <v/>
      </c>
      <c r="M202">
        <f>IFERROR(MATCH($C$5&amp;"|"&amp;RIGHT("000000"&amp;186,6),LdBKeyM,0),"")</f>
        <v/>
      </c>
      <c r="N202">
        <f>IFERROR(MATCH($C$5&amp;"|"&amp;RIGHT("000000"&amp;186,6),LdCKeyM,0),"")</f>
        <v/>
      </c>
    </row>
    <row r="203">
      <c r="A203" s="10" t="n">
        <v>187</v>
      </c>
      <c r="B203" s="14">
        <f>IF(AND($L203="",$M203="",$N203=""),"",IF($L203&lt;&gt;"",INDEX(LdADate,$L203),IF($M203&lt;&gt;"",INDEX(LdBDate,$M203),INDEX(LdCDate,$N203))))</f>
        <v/>
      </c>
      <c r="C203" s="14">
        <f>IF($L203&lt;&gt;"","دستمزد (فردی)",IF($M203&lt;&gt;"","سهم از گروه "&amp;IFERROR(VLOOKUP(INDEX(LdBGroup,$M203),WGTbl,2,0),INDEX(LdBGroup,$M203)),IF($N203&lt;&gt;"",IF(N(INDEX(LdCDep,$N203))&gt;0,"بازگشت بانکی","پرداخت بانکی"),"")))</f>
        <v/>
      </c>
      <c r="D203" s="14">
        <f>IF($L203&lt;&gt;"",IF(INDEX(LdAId,$L203)="","—",INDEX(LdAId,$L203)),IF($M203&lt;&gt;"",IF(INDEX(LdBId,$M203)="","—",INDEX(LdBId,$M203)),IF($N203&lt;&gt;"",IF(INDEX(LdCBank,$N203)="","—",INDEX(LdCBank,$N203)),"")))</f>
        <v/>
      </c>
      <c r="E203" s="16">
        <f>IF($L203&lt;&gt;"",IF(INDEX(LdAAmt,$L203)=0,"",INDEX(LdAAmt,$L203)),IF($M203&lt;&gt;"",IF(INDEX(LdBAmt,$M203)=0,"",INDEX(LdBAmt,$M203)),IF($N203&lt;&gt;"",IF(INDEX(LdCDep,$N203)=0,"",INDEX(LdCDep,$N203)),"")))</f>
        <v/>
      </c>
      <c r="F203" s="16">
        <f>IF(AND($L203="",$M203="",$N203=""),"",IF($N203="","",IF(INDEX(LdCWit,$N203)=0,"",INDEX(LdCWit,$N203))))</f>
        <v/>
      </c>
      <c r="G203" s="29">
        <f>IF($B203="","",IF($G202="",0,$G202)+IF($E203="",0,$E203)-IF($F203="",0,$F203))</f>
        <v/>
      </c>
      <c r="H203" s="30">
        <f>IF(AND($L203="",$M203="",$N203=""),"",IF($L203&lt;&gt;"",IF(INDEX(LdANote,$L203)="","—",INDEX(LdANote,$L203)),IF($M203&lt;&gt;"",IF(INDEX(LdBNote,$M203)="","—",INDEX(LdBNote,$M203)),IF($N203&lt;&gt;"",IF(INDEX(LdCNote,$N203)="","—",INDEX(LdCNote,$N203)),""))))</f>
        <v/>
      </c>
      <c r="L203">
        <f>IFERROR(MATCH($C$5&amp;"|"&amp;RIGHT("000000"&amp;187,6),LdAKeyM,0),"")</f>
        <v/>
      </c>
      <c r="M203">
        <f>IFERROR(MATCH($C$5&amp;"|"&amp;RIGHT("000000"&amp;187,6),LdBKeyM,0),"")</f>
        <v/>
      </c>
      <c r="N203">
        <f>IFERROR(MATCH($C$5&amp;"|"&amp;RIGHT("000000"&amp;187,6),LdCKeyM,0),"")</f>
        <v/>
      </c>
    </row>
    <row r="204">
      <c r="A204" s="19" t="n">
        <v>188</v>
      </c>
      <c r="B204" s="20">
        <f>IF(AND($L204="",$M204="",$N204=""),"",IF($L204&lt;&gt;"",INDEX(LdADate,$L204),IF($M204&lt;&gt;"",INDEX(LdBDate,$M204),INDEX(LdCDate,$N204))))</f>
        <v/>
      </c>
      <c r="C204" s="20">
        <f>IF($L204&lt;&gt;"","دستمزد (فردی)",IF($M204&lt;&gt;"","سهم از گروه "&amp;IFERROR(VLOOKUP(INDEX(LdBGroup,$M204),WGTbl,2,0),INDEX(LdBGroup,$M204)),IF($N204&lt;&gt;"",IF(N(INDEX(LdCDep,$N204))&gt;0,"بازگشت بانکی","پرداخت بانکی"),"")))</f>
        <v/>
      </c>
      <c r="D204" s="20">
        <f>IF($L204&lt;&gt;"",IF(INDEX(LdAId,$L204)="","—",INDEX(LdAId,$L204)),IF($M204&lt;&gt;"",IF(INDEX(LdBId,$M204)="","—",INDEX(LdBId,$M204)),IF($N204&lt;&gt;"",IF(INDEX(LdCBank,$N204)="","—",INDEX(LdCBank,$N204)),"")))</f>
        <v/>
      </c>
      <c r="E204" s="21">
        <f>IF($L204&lt;&gt;"",IF(INDEX(LdAAmt,$L204)=0,"",INDEX(LdAAmt,$L204)),IF($M204&lt;&gt;"",IF(INDEX(LdBAmt,$M204)=0,"",INDEX(LdBAmt,$M204)),IF($N204&lt;&gt;"",IF(INDEX(LdCDep,$N204)=0,"",INDEX(LdCDep,$N204)),"")))</f>
        <v/>
      </c>
      <c r="F204" s="21">
        <f>IF(AND($L204="",$M204="",$N204=""),"",IF($N204="","",IF(INDEX(LdCWit,$N204)=0,"",INDEX(LdCWit,$N204))))</f>
        <v/>
      </c>
      <c r="G204" s="31">
        <f>IF($B204="","",IF($G203="",0,$G203)+IF($E204="",0,$E204)-IF($F204="",0,$F204))</f>
        <v/>
      </c>
      <c r="H204" s="32">
        <f>IF(AND($L204="",$M204="",$N204=""),"",IF($L204&lt;&gt;"",IF(INDEX(LdANote,$L204)="","—",INDEX(LdANote,$L204)),IF($M204&lt;&gt;"",IF(INDEX(LdBNote,$M204)="","—",INDEX(LdBNote,$M204)),IF($N204&lt;&gt;"",IF(INDEX(LdCNote,$N204)="","—",INDEX(LdCNote,$N204)),""))))</f>
        <v/>
      </c>
      <c r="L204">
        <f>IFERROR(MATCH($C$5&amp;"|"&amp;RIGHT("000000"&amp;188,6),LdAKeyM,0),"")</f>
        <v/>
      </c>
      <c r="M204">
        <f>IFERROR(MATCH($C$5&amp;"|"&amp;RIGHT("000000"&amp;188,6),LdBKeyM,0),"")</f>
        <v/>
      </c>
      <c r="N204">
        <f>IFERROR(MATCH($C$5&amp;"|"&amp;RIGHT("000000"&amp;188,6),LdCKeyM,0),"")</f>
        <v/>
      </c>
    </row>
    <row r="205">
      <c r="A205" s="10" t="n">
        <v>189</v>
      </c>
      <c r="B205" s="14">
        <f>IF(AND($L205="",$M205="",$N205=""),"",IF($L205&lt;&gt;"",INDEX(LdADate,$L205),IF($M205&lt;&gt;"",INDEX(LdBDate,$M205),INDEX(LdCDate,$N205))))</f>
        <v/>
      </c>
      <c r="C205" s="14">
        <f>IF($L205&lt;&gt;"","دستمزد (فردی)",IF($M205&lt;&gt;"","سهم از گروه "&amp;IFERROR(VLOOKUP(INDEX(LdBGroup,$M205),WGTbl,2,0),INDEX(LdBGroup,$M205)),IF($N205&lt;&gt;"",IF(N(INDEX(LdCDep,$N205))&gt;0,"بازگشت بانکی","پرداخت بانکی"),"")))</f>
        <v/>
      </c>
      <c r="D205" s="14">
        <f>IF($L205&lt;&gt;"",IF(INDEX(LdAId,$L205)="","—",INDEX(LdAId,$L205)),IF($M205&lt;&gt;"",IF(INDEX(LdBId,$M205)="","—",INDEX(LdBId,$M205)),IF($N205&lt;&gt;"",IF(INDEX(LdCBank,$N205)="","—",INDEX(LdCBank,$N205)),"")))</f>
        <v/>
      </c>
      <c r="E205" s="16">
        <f>IF($L205&lt;&gt;"",IF(INDEX(LdAAmt,$L205)=0,"",INDEX(LdAAmt,$L205)),IF($M205&lt;&gt;"",IF(INDEX(LdBAmt,$M205)=0,"",INDEX(LdBAmt,$M205)),IF($N205&lt;&gt;"",IF(INDEX(LdCDep,$N205)=0,"",INDEX(LdCDep,$N205)),"")))</f>
        <v/>
      </c>
      <c r="F205" s="16">
        <f>IF(AND($L205="",$M205="",$N205=""),"",IF($N205="","",IF(INDEX(LdCWit,$N205)=0,"",INDEX(LdCWit,$N205))))</f>
        <v/>
      </c>
      <c r="G205" s="29">
        <f>IF($B205="","",IF($G204="",0,$G204)+IF($E205="",0,$E205)-IF($F205="",0,$F205))</f>
        <v/>
      </c>
      <c r="H205" s="30">
        <f>IF(AND($L205="",$M205="",$N205=""),"",IF($L205&lt;&gt;"",IF(INDEX(LdANote,$L205)="","—",INDEX(LdANote,$L205)),IF($M205&lt;&gt;"",IF(INDEX(LdBNote,$M205)="","—",INDEX(LdBNote,$M205)),IF($N205&lt;&gt;"",IF(INDEX(LdCNote,$N205)="","—",INDEX(LdCNote,$N205)),""))))</f>
        <v/>
      </c>
      <c r="L205">
        <f>IFERROR(MATCH($C$5&amp;"|"&amp;RIGHT("000000"&amp;189,6),LdAKeyM,0),"")</f>
        <v/>
      </c>
      <c r="M205">
        <f>IFERROR(MATCH($C$5&amp;"|"&amp;RIGHT("000000"&amp;189,6),LdBKeyM,0),"")</f>
        <v/>
      </c>
      <c r="N205">
        <f>IFERROR(MATCH($C$5&amp;"|"&amp;RIGHT("000000"&amp;189,6),LdCKeyM,0),"")</f>
        <v/>
      </c>
    </row>
    <row r="206">
      <c r="A206" s="19" t="n">
        <v>190</v>
      </c>
      <c r="B206" s="20">
        <f>IF(AND($L206="",$M206="",$N206=""),"",IF($L206&lt;&gt;"",INDEX(LdADate,$L206),IF($M206&lt;&gt;"",INDEX(LdBDate,$M206),INDEX(LdCDate,$N206))))</f>
        <v/>
      </c>
      <c r="C206" s="20">
        <f>IF($L206&lt;&gt;"","دستمزد (فردی)",IF($M206&lt;&gt;"","سهم از گروه "&amp;IFERROR(VLOOKUP(INDEX(LdBGroup,$M206),WGTbl,2,0),INDEX(LdBGroup,$M206)),IF($N206&lt;&gt;"",IF(N(INDEX(LdCDep,$N206))&gt;0,"بازگشت بانکی","پرداخت بانکی"),"")))</f>
        <v/>
      </c>
      <c r="D206" s="20">
        <f>IF($L206&lt;&gt;"",IF(INDEX(LdAId,$L206)="","—",INDEX(LdAId,$L206)),IF($M206&lt;&gt;"",IF(INDEX(LdBId,$M206)="","—",INDEX(LdBId,$M206)),IF($N206&lt;&gt;"",IF(INDEX(LdCBank,$N206)="","—",INDEX(LdCBank,$N206)),"")))</f>
        <v/>
      </c>
      <c r="E206" s="21">
        <f>IF($L206&lt;&gt;"",IF(INDEX(LdAAmt,$L206)=0,"",INDEX(LdAAmt,$L206)),IF($M206&lt;&gt;"",IF(INDEX(LdBAmt,$M206)=0,"",INDEX(LdBAmt,$M206)),IF($N206&lt;&gt;"",IF(INDEX(LdCDep,$N206)=0,"",INDEX(LdCDep,$N206)),"")))</f>
        <v/>
      </c>
      <c r="F206" s="21">
        <f>IF(AND($L206="",$M206="",$N206=""),"",IF($N206="","",IF(INDEX(LdCWit,$N206)=0,"",INDEX(LdCWit,$N206))))</f>
        <v/>
      </c>
      <c r="G206" s="31">
        <f>IF($B206="","",IF($G205="",0,$G205)+IF($E206="",0,$E206)-IF($F206="",0,$F206))</f>
        <v/>
      </c>
      <c r="H206" s="32">
        <f>IF(AND($L206="",$M206="",$N206=""),"",IF($L206&lt;&gt;"",IF(INDEX(LdANote,$L206)="","—",INDEX(LdANote,$L206)),IF($M206&lt;&gt;"",IF(INDEX(LdBNote,$M206)="","—",INDEX(LdBNote,$M206)),IF($N206&lt;&gt;"",IF(INDEX(LdCNote,$N206)="","—",INDEX(LdCNote,$N206)),""))))</f>
        <v/>
      </c>
      <c r="L206">
        <f>IFERROR(MATCH($C$5&amp;"|"&amp;RIGHT("000000"&amp;190,6),LdAKeyM,0),"")</f>
        <v/>
      </c>
      <c r="M206">
        <f>IFERROR(MATCH($C$5&amp;"|"&amp;RIGHT("000000"&amp;190,6),LdBKeyM,0),"")</f>
        <v/>
      </c>
      <c r="N206">
        <f>IFERROR(MATCH($C$5&amp;"|"&amp;RIGHT("000000"&amp;190,6),LdCKeyM,0),"")</f>
        <v/>
      </c>
    </row>
    <row r="207">
      <c r="A207" s="10" t="n">
        <v>191</v>
      </c>
      <c r="B207" s="14">
        <f>IF(AND($L207="",$M207="",$N207=""),"",IF($L207&lt;&gt;"",INDEX(LdADate,$L207),IF($M207&lt;&gt;"",INDEX(LdBDate,$M207),INDEX(LdCDate,$N207))))</f>
        <v/>
      </c>
      <c r="C207" s="14">
        <f>IF($L207&lt;&gt;"","دستمزد (فردی)",IF($M207&lt;&gt;"","سهم از گروه "&amp;IFERROR(VLOOKUP(INDEX(LdBGroup,$M207),WGTbl,2,0),INDEX(LdBGroup,$M207)),IF($N207&lt;&gt;"",IF(N(INDEX(LdCDep,$N207))&gt;0,"بازگشت بانکی","پرداخت بانکی"),"")))</f>
        <v/>
      </c>
      <c r="D207" s="14">
        <f>IF($L207&lt;&gt;"",IF(INDEX(LdAId,$L207)="","—",INDEX(LdAId,$L207)),IF($M207&lt;&gt;"",IF(INDEX(LdBId,$M207)="","—",INDEX(LdBId,$M207)),IF($N207&lt;&gt;"",IF(INDEX(LdCBank,$N207)="","—",INDEX(LdCBank,$N207)),"")))</f>
        <v/>
      </c>
      <c r="E207" s="16">
        <f>IF($L207&lt;&gt;"",IF(INDEX(LdAAmt,$L207)=0,"",INDEX(LdAAmt,$L207)),IF($M207&lt;&gt;"",IF(INDEX(LdBAmt,$M207)=0,"",INDEX(LdBAmt,$M207)),IF($N207&lt;&gt;"",IF(INDEX(LdCDep,$N207)=0,"",INDEX(LdCDep,$N207)),"")))</f>
        <v/>
      </c>
      <c r="F207" s="16">
        <f>IF(AND($L207="",$M207="",$N207=""),"",IF($N207="","",IF(INDEX(LdCWit,$N207)=0,"",INDEX(LdCWit,$N207))))</f>
        <v/>
      </c>
      <c r="G207" s="29">
        <f>IF($B207="","",IF($G206="",0,$G206)+IF($E207="",0,$E207)-IF($F207="",0,$F207))</f>
        <v/>
      </c>
      <c r="H207" s="30">
        <f>IF(AND($L207="",$M207="",$N207=""),"",IF($L207&lt;&gt;"",IF(INDEX(LdANote,$L207)="","—",INDEX(LdANote,$L207)),IF($M207&lt;&gt;"",IF(INDEX(LdBNote,$M207)="","—",INDEX(LdBNote,$M207)),IF($N207&lt;&gt;"",IF(INDEX(LdCNote,$N207)="","—",INDEX(LdCNote,$N207)),""))))</f>
        <v/>
      </c>
      <c r="L207">
        <f>IFERROR(MATCH($C$5&amp;"|"&amp;RIGHT("000000"&amp;191,6),LdAKeyM,0),"")</f>
        <v/>
      </c>
      <c r="M207">
        <f>IFERROR(MATCH($C$5&amp;"|"&amp;RIGHT("000000"&amp;191,6),LdBKeyM,0),"")</f>
        <v/>
      </c>
      <c r="N207">
        <f>IFERROR(MATCH($C$5&amp;"|"&amp;RIGHT("000000"&amp;191,6),LdCKeyM,0),"")</f>
        <v/>
      </c>
    </row>
    <row r="208">
      <c r="A208" s="19" t="n">
        <v>192</v>
      </c>
      <c r="B208" s="20">
        <f>IF(AND($L208="",$M208="",$N208=""),"",IF($L208&lt;&gt;"",INDEX(LdADate,$L208),IF($M208&lt;&gt;"",INDEX(LdBDate,$M208),INDEX(LdCDate,$N208))))</f>
        <v/>
      </c>
      <c r="C208" s="20">
        <f>IF($L208&lt;&gt;"","دستمزد (فردی)",IF($M208&lt;&gt;"","سهم از گروه "&amp;IFERROR(VLOOKUP(INDEX(LdBGroup,$M208),WGTbl,2,0),INDEX(LdBGroup,$M208)),IF($N208&lt;&gt;"",IF(N(INDEX(LdCDep,$N208))&gt;0,"بازگشت بانکی","پرداخت بانکی"),"")))</f>
        <v/>
      </c>
      <c r="D208" s="20">
        <f>IF($L208&lt;&gt;"",IF(INDEX(LdAId,$L208)="","—",INDEX(LdAId,$L208)),IF($M208&lt;&gt;"",IF(INDEX(LdBId,$M208)="","—",INDEX(LdBId,$M208)),IF($N208&lt;&gt;"",IF(INDEX(LdCBank,$N208)="","—",INDEX(LdCBank,$N208)),"")))</f>
        <v/>
      </c>
      <c r="E208" s="21">
        <f>IF($L208&lt;&gt;"",IF(INDEX(LdAAmt,$L208)=0,"",INDEX(LdAAmt,$L208)),IF($M208&lt;&gt;"",IF(INDEX(LdBAmt,$M208)=0,"",INDEX(LdBAmt,$M208)),IF($N208&lt;&gt;"",IF(INDEX(LdCDep,$N208)=0,"",INDEX(LdCDep,$N208)),"")))</f>
        <v/>
      </c>
      <c r="F208" s="21">
        <f>IF(AND($L208="",$M208="",$N208=""),"",IF($N208="","",IF(INDEX(LdCWit,$N208)=0,"",INDEX(LdCWit,$N208))))</f>
        <v/>
      </c>
      <c r="G208" s="31">
        <f>IF($B208="","",IF($G207="",0,$G207)+IF($E208="",0,$E208)-IF($F208="",0,$F208))</f>
        <v/>
      </c>
      <c r="H208" s="32">
        <f>IF(AND($L208="",$M208="",$N208=""),"",IF($L208&lt;&gt;"",IF(INDEX(LdANote,$L208)="","—",INDEX(LdANote,$L208)),IF($M208&lt;&gt;"",IF(INDEX(LdBNote,$M208)="","—",INDEX(LdBNote,$M208)),IF($N208&lt;&gt;"",IF(INDEX(LdCNote,$N208)="","—",INDEX(LdCNote,$N208)),""))))</f>
        <v/>
      </c>
      <c r="L208">
        <f>IFERROR(MATCH($C$5&amp;"|"&amp;RIGHT("000000"&amp;192,6),LdAKeyM,0),"")</f>
        <v/>
      </c>
      <c r="M208">
        <f>IFERROR(MATCH($C$5&amp;"|"&amp;RIGHT("000000"&amp;192,6),LdBKeyM,0),"")</f>
        <v/>
      </c>
      <c r="N208">
        <f>IFERROR(MATCH($C$5&amp;"|"&amp;RIGHT("000000"&amp;192,6),LdCKeyM,0),"")</f>
        <v/>
      </c>
    </row>
    <row r="209">
      <c r="A209" s="10" t="n">
        <v>193</v>
      </c>
      <c r="B209" s="14">
        <f>IF(AND($L209="",$M209="",$N209=""),"",IF($L209&lt;&gt;"",INDEX(LdADate,$L209),IF($M209&lt;&gt;"",INDEX(LdBDate,$M209),INDEX(LdCDate,$N209))))</f>
        <v/>
      </c>
      <c r="C209" s="14">
        <f>IF($L209&lt;&gt;"","دستمزد (فردی)",IF($M209&lt;&gt;"","سهم از گروه "&amp;IFERROR(VLOOKUP(INDEX(LdBGroup,$M209),WGTbl,2,0),INDEX(LdBGroup,$M209)),IF($N209&lt;&gt;"",IF(N(INDEX(LdCDep,$N209))&gt;0,"بازگشت بانکی","پرداخت بانکی"),"")))</f>
        <v/>
      </c>
      <c r="D209" s="14">
        <f>IF($L209&lt;&gt;"",IF(INDEX(LdAId,$L209)="","—",INDEX(LdAId,$L209)),IF($M209&lt;&gt;"",IF(INDEX(LdBId,$M209)="","—",INDEX(LdBId,$M209)),IF($N209&lt;&gt;"",IF(INDEX(LdCBank,$N209)="","—",INDEX(LdCBank,$N209)),"")))</f>
        <v/>
      </c>
      <c r="E209" s="16">
        <f>IF($L209&lt;&gt;"",IF(INDEX(LdAAmt,$L209)=0,"",INDEX(LdAAmt,$L209)),IF($M209&lt;&gt;"",IF(INDEX(LdBAmt,$M209)=0,"",INDEX(LdBAmt,$M209)),IF($N209&lt;&gt;"",IF(INDEX(LdCDep,$N209)=0,"",INDEX(LdCDep,$N209)),"")))</f>
        <v/>
      </c>
      <c r="F209" s="16">
        <f>IF(AND($L209="",$M209="",$N209=""),"",IF($N209="","",IF(INDEX(LdCWit,$N209)=0,"",INDEX(LdCWit,$N209))))</f>
        <v/>
      </c>
      <c r="G209" s="29">
        <f>IF($B209="","",IF($G208="",0,$G208)+IF($E209="",0,$E209)-IF($F209="",0,$F209))</f>
        <v/>
      </c>
      <c r="H209" s="30">
        <f>IF(AND($L209="",$M209="",$N209=""),"",IF($L209&lt;&gt;"",IF(INDEX(LdANote,$L209)="","—",INDEX(LdANote,$L209)),IF($M209&lt;&gt;"",IF(INDEX(LdBNote,$M209)="","—",INDEX(LdBNote,$M209)),IF($N209&lt;&gt;"",IF(INDEX(LdCNote,$N209)="","—",INDEX(LdCNote,$N209)),""))))</f>
        <v/>
      </c>
      <c r="L209">
        <f>IFERROR(MATCH($C$5&amp;"|"&amp;RIGHT("000000"&amp;193,6),LdAKeyM,0),"")</f>
        <v/>
      </c>
      <c r="M209">
        <f>IFERROR(MATCH($C$5&amp;"|"&amp;RIGHT("000000"&amp;193,6),LdBKeyM,0),"")</f>
        <v/>
      </c>
      <c r="N209">
        <f>IFERROR(MATCH($C$5&amp;"|"&amp;RIGHT("000000"&amp;193,6),LdCKeyM,0),"")</f>
        <v/>
      </c>
    </row>
    <row r="210">
      <c r="A210" s="19" t="n">
        <v>194</v>
      </c>
      <c r="B210" s="20">
        <f>IF(AND($L210="",$M210="",$N210=""),"",IF($L210&lt;&gt;"",INDEX(LdADate,$L210),IF($M210&lt;&gt;"",INDEX(LdBDate,$M210),INDEX(LdCDate,$N210))))</f>
        <v/>
      </c>
      <c r="C210" s="20">
        <f>IF($L210&lt;&gt;"","دستمزد (فردی)",IF($M210&lt;&gt;"","سهم از گروه "&amp;IFERROR(VLOOKUP(INDEX(LdBGroup,$M210),WGTbl,2,0),INDEX(LdBGroup,$M210)),IF($N210&lt;&gt;"",IF(N(INDEX(LdCDep,$N210))&gt;0,"بازگشت بانکی","پرداخت بانکی"),"")))</f>
        <v/>
      </c>
      <c r="D210" s="20">
        <f>IF($L210&lt;&gt;"",IF(INDEX(LdAId,$L210)="","—",INDEX(LdAId,$L210)),IF($M210&lt;&gt;"",IF(INDEX(LdBId,$M210)="","—",INDEX(LdBId,$M210)),IF($N210&lt;&gt;"",IF(INDEX(LdCBank,$N210)="","—",INDEX(LdCBank,$N210)),"")))</f>
        <v/>
      </c>
      <c r="E210" s="21">
        <f>IF($L210&lt;&gt;"",IF(INDEX(LdAAmt,$L210)=0,"",INDEX(LdAAmt,$L210)),IF($M210&lt;&gt;"",IF(INDEX(LdBAmt,$M210)=0,"",INDEX(LdBAmt,$M210)),IF($N210&lt;&gt;"",IF(INDEX(LdCDep,$N210)=0,"",INDEX(LdCDep,$N210)),"")))</f>
        <v/>
      </c>
      <c r="F210" s="21">
        <f>IF(AND($L210="",$M210="",$N210=""),"",IF($N210="","",IF(INDEX(LdCWit,$N210)=0,"",INDEX(LdCWit,$N210))))</f>
        <v/>
      </c>
      <c r="G210" s="31">
        <f>IF($B210="","",IF($G209="",0,$G209)+IF($E210="",0,$E210)-IF($F210="",0,$F210))</f>
        <v/>
      </c>
      <c r="H210" s="32">
        <f>IF(AND($L210="",$M210="",$N210=""),"",IF($L210&lt;&gt;"",IF(INDEX(LdANote,$L210)="","—",INDEX(LdANote,$L210)),IF($M210&lt;&gt;"",IF(INDEX(LdBNote,$M210)="","—",INDEX(LdBNote,$M210)),IF($N210&lt;&gt;"",IF(INDEX(LdCNote,$N210)="","—",INDEX(LdCNote,$N210)),""))))</f>
        <v/>
      </c>
      <c r="L210">
        <f>IFERROR(MATCH($C$5&amp;"|"&amp;RIGHT("000000"&amp;194,6),LdAKeyM,0),"")</f>
        <v/>
      </c>
      <c r="M210">
        <f>IFERROR(MATCH($C$5&amp;"|"&amp;RIGHT("000000"&amp;194,6),LdBKeyM,0),"")</f>
        <v/>
      </c>
      <c r="N210">
        <f>IFERROR(MATCH($C$5&amp;"|"&amp;RIGHT("000000"&amp;194,6),LdCKeyM,0),"")</f>
        <v/>
      </c>
    </row>
    <row r="211">
      <c r="A211" s="10" t="n">
        <v>195</v>
      </c>
      <c r="B211" s="14">
        <f>IF(AND($L211="",$M211="",$N211=""),"",IF($L211&lt;&gt;"",INDEX(LdADate,$L211),IF($M211&lt;&gt;"",INDEX(LdBDate,$M211),INDEX(LdCDate,$N211))))</f>
        <v/>
      </c>
      <c r="C211" s="14">
        <f>IF($L211&lt;&gt;"","دستمزد (فردی)",IF($M211&lt;&gt;"","سهم از گروه "&amp;IFERROR(VLOOKUP(INDEX(LdBGroup,$M211),WGTbl,2,0),INDEX(LdBGroup,$M211)),IF($N211&lt;&gt;"",IF(N(INDEX(LdCDep,$N211))&gt;0,"بازگشت بانکی","پرداخت بانکی"),"")))</f>
        <v/>
      </c>
      <c r="D211" s="14">
        <f>IF($L211&lt;&gt;"",IF(INDEX(LdAId,$L211)="","—",INDEX(LdAId,$L211)),IF($M211&lt;&gt;"",IF(INDEX(LdBId,$M211)="","—",INDEX(LdBId,$M211)),IF($N211&lt;&gt;"",IF(INDEX(LdCBank,$N211)="","—",INDEX(LdCBank,$N211)),"")))</f>
        <v/>
      </c>
      <c r="E211" s="16">
        <f>IF($L211&lt;&gt;"",IF(INDEX(LdAAmt,$L211)=0,"",INDEX(LdAAmt,$L211)),IF($M211&lt;&gt;"",IF(INDEX(LdBAmt,$M211)=0,"",INDEX(LdBAmt,$M211)),IF($N211&lt;&gt;"",IF(INDEX(LdCDep,$N211)=0,"",INDEX(LdCDep,$N211)),"")))</f>
        <v/>
      </c>
      <c r="F211" s="16">
        <f>IF(AND($L211="",$M211="",$N211=""),"",IF($N211="","",IF(INDEX(LdCWit,$N211)=0,"",INDEX(LdCWit,$N211))))</f>
        <v/>
      </c>
      <c r="G211" s="29">
        <f>IF($B211="","",IF($G210="",0,$G210)+IF($E211="",0,$E211)-IF($F211="",0,$F211))</f>
        <v/>
      </c>
      <c r="H211" s="30">
        <f>IF(AND($L211="",$M211="",$N211=""),"",IF($L211&lt;&gt;"",IF(INDEX(LdANote,$L211)="","—",INDEX(LdANote,$L211)),IF($M211&lt;&gt;"",IF(INDEX(LdBNote,$M211)="","—",INDEX(LdBNote,$M211)),IF($N211&lt;&gt;"",IF(INDEX(LdCNote,$N211)="","—",INDEX(LdCNote,$N211)),""))))</f>
        <v/>
      </c>
      <c r="L211">
        <f>IFERROR(MATCH($C$5&amp;"|"&amp;RIGHT("000000"&amp;195,6),LdAKeyM,0),"")</f>
        <v/>
      </c>
      <c r="M211">
        <f>IFERROR(MATCH($C$5&amp;"|"&amp;RIGHT("000000"&amp;195,6),LdBKeyM,0),"")</f>
        <v/>
      </c>
      <c r="N211">
        <f>IFERROR(MATCH($C$5&amp;"|"&amp;RIGHT("000000"&amp;195,6),LdCKeyM,0),"")</f>
        <v/>
      </c>
    </row>
    <row r="212">
      <c r="A212" s="19" t="n">
        <v>196</v>
      </c>
      <c r="B212" s="20">
        <f>IF(AND($L212="",$M212="",$N212=""),"",IF($L212&lt;&gt;"",INDEX(LdADate,$L212),IF($M212&lt;&gt;"",INDEX(LdBDate,$M212),INDEX(LdCDate,$N212))))</f>
        <v/>
      </c>
      <c r="C212" s="20">
        <f>IF($L212&lt;&gt;"","دستمزد (فردی)",IF($M212&lt;&gt;"","سهم از گروه "&amp;IFERROR(VLOOKUP(INDEX(LdBGroup,$M212),WGTbl,2,0),INDEX(LdBGroup,$M212)),IF($N212&lt;&gt;"",IF(N(INDEX(LdCDep,$N212))&gt;0,"بازگشت بانکی","پرداخت بانکی"),"")))</f>
        <v/>
      </c>
      <c r="D212" s="20">
        <f>IF($L212&lt;&gt;"",IF(INDEX(LdAId,$L212)="","—",INDEX(LdAId,$L212)),IF($M212&lt;&gt;"",IF(INDEX(LdBId,$M212)="","—",INDEX(LdBId,$M212)),IF($N212&lt;&gt;"",IF(INDEX(LdCBank,$N212)="","—",INDEX(LdCBank,$N212)),"")))</f>
        <v/>
      </c>
      <c r="E212" s="21">
        <f>IF($L212&lt;&gt;"",IF(INDEX(LdAAmt,$L212)=0,"",INDEX(LdAAmt,$L212)),IF($M212&lt;&gt;"",IF(INDEX(LdBAmt,$M212)=0,"",INDEX(LdBAmt,$M212)),IF($N212&lt;&gt;"",IF(INDEX(LdCDep,$N212)=0,"",INDEX(LdCDep,$N212)),"")))</f>
        <v/>
      </c>
      <c r="F212" s="21">
        <f>IF(AND($L212="",$M212="",$N212=""),"",IF($N212="","",IF(INDEX(LdCWit,$N212)=0,"",INDEX(LdCWit,$N212))))</f>
        <v/>
      </c>
      <c r="G212" s="31">
        <f>IF($B212="","",IF($G211="",0,$G211)+IF($E212="",0,$E212)-IF($F212="",0,$F212))</f>
        <v/>
      </c>
      <c r="H212" s="32">
        <f>IF(AND($L212="",$M212="",$N212=""),"",IF($L212&lt;&gt;"",IF(INDEX(LdANote,$L212)="","—",INDEX(LdANote,$L212)),IF($M212&lt;&gt;"",IF(INDEX(LdBNote,$M212)="","—",INDEX(LdBNote,$M212)),IF($N212&lt;&gt;"",IF(INDEX(LdCNote,$N212)="","—",INDEX(LdCNote,$N212)),""))))</f>
        <v/>
      </c>
      <c r="L212">
        <f>IFERROR(MATCH($C$5&amp;"|"&amp;RIGHT("000000"&amp;196,6),LdAKeyM,0),"")</f>
        <v/>
      </c>
      <c r="M212">
        <f>IFERROR(MATCH($C$5&amp;"|"&amp;RIGHT("000000"&amp;196,6),LdBKeyM,0),"")</f>
        <v/>
      </c>
      <c r="N212">
        <f>IFERROR(MATCH($C$5&amp;"|"&amp;RIGHT("000000"&amp;196,6),LdCKeyM,0),"")</f>
        <v/>
      </c>
    </row>
    <row r="213">
      <c r="A213" s="10" t="n">
        <v>197</v>
      </c>
      <c r="B213" s="14">
        <f>IF(AND($L213="",$M213="",$N213=""),"",IF($L213&lt;&gt;"",INDEX(LdADate,$L213),IF($M213&lt;&gt;"",INDEX(LdBDate,$M213),INDEX(LdCDate,$N213))))</f>
        <v/>
      </c>
      <c r="C213" s="14">
        <f>IF($L213&lt;&gt;"","دستمزد (فردی)",IF($M213&lt;&gt;"","سهم از گروه "&amp;IFERROR(VLOOKUP(INDEX(LdBGroup,$M213),WGTbl,2,0),INDEX(LdBGroup,$M213)),IF($N213&lt;&gt;"",IF(N(INDEX(LdCDep,$N213))&gt;0,"بازگشت بانکی","پرداخت بانکی"),"")))</f>
        <v/>
      </c>
      <c r="D213" s="14">
        <f>IF($L213&lt;&gt;"",IF(INDEX(LdAId,$L213)="","—",INDEX(LdAId,$L213)),IF($M213&lt;&gt;"",IF(INDEX(LdBId,$M213)="","—",INDEX(LdBId,$M213)),IF($N213&lt;&gt;"",IF(INDEX(LdCBank,$N213)="","—",INDEX(LdCBank,$N213)),"")))</f>
        <v/>
      </c>
      <c r="E213" s="16">
        <f>IF($L213&lt;&gt;"",IF(INDEX(LdAAmt,$L213)=0,"",INDEX(LdAAmt,$L213)),IF($M213&lt;&gt;"",IF(INDEX(LdBAmt,$M213)=0,"",INDEX(LdBAmt,$M213)),IF($N213&lt;&gt;"",IF(INDEX(LdCDep,$N213)=0,"",INDEX(LdCDep,$N213)),"")))</f>
        <v/>
      </c>
      <c r="F213" s="16">
        <f>IF(AND($L213="",$M213="",$N213=""),"",IF($N213="","",IF(INDEX(LdCWit,$N213)=0,"",INDEX(LdCWit,$N213))))</f>
        <v/>
      </c>
      <c r="G213" s="29">
        <f>IF($B213="","",IF($G212="",0,$G212)+IF($E213="",0,$E213)-IF($F213="",0,$F213))</f>
        <v/>
      </c>
      <c r="H213" s="30">
        <f>IF(AND($L213="",$M213="",$N213=""),"",IF($L213&lt;&gt;"",IF(INDEX(LdANote,$L213)="","—",INDEX(LdANote,$L213)),IF($M213&lt;&gt;"",IF(INDEX(LdBNote,$M213)="","—",INDEX(LdBNote,$M213)),IF($N213&lt;&gt;"",IF(INDEX(LdCNote,$N213)="","—",INDEX(LdCNote,$N213)),""))))</f>
        <v/>
      </c>
      <c r="L213">
        <f>IFERROR(MATCH($C$5&amp;"|"&amp;RIGHT("000000"&amp;197,6),LdAKeyM,0),"")</f>
        <v/>
      </c>
      <c r="M213">
        <f>IFERROR(MATCH($C$5&amp;"|"&amp;RIGHT("000000"&amp;197,6),LdBKeyM,0),"")</f>
        <v/>
      </c>
      <c r="N213">
        <f>IFERROR(MATCH($C$5&amp;"|"&amp;RIGHT("000000"&amp;197,6),LdCKeyM,0),"")</f>
        <v/>
      </c>
    </row>
    <row r="214">
      <c r="A214" s="19" t="n">
        <v>198</v>
      </c>
      <c r="B214" s="20">
        <f>IF(AND($L214="",$M214="",$N214=""),"",IF($L214&lt;&gt;"",INDEX(LdADate,$L214),IF($M214&lt;&gt;"",INDEX(LdBDate,$M214),INDEX(LdCDate,$N214))))</f>
        <v/>
      </c>
      <c r="C214" s="20">
        <f>IF($L214&lt;&gt;"","دستمزد (فردی)",IF($M214&lt;&gt;"","سهم از گروه "&amp;IFERROR(VLOOKUP(INDEX(LdBGroup,$M214),WGTbl,2,0),INDEX(LdBGroup,$M214)),IF($N214&lt;&gt;"",IF(N(INDEX(LdCDep,$N214))&gt;0,"بازگشت بانکی","پرداخت بانکی"),"")))</f>
        <v/>
      </c>
      <c r="D214" s="20">
        <f>IF($L214&lt;&gt;"",IF(INDEX(LdAId,$L214)="","—",INDEX(LdAId,$L214)),IF($M214&lt;&gt;"",IF(INDEX(LdBId,$M214)="","—",INDEX(LdBId,$M214)),IF($N214&lt;&gt;"",IF(INDEX(LdCBank,$N214)="","—",INDEX(LdCBank,$N214)),"")))</f>
        <v/>
      </c>
      <c r="E214" s="21">
        <f>IF($L214&lt;&gt;"",IF(INDEX(LdAAmt,$L214)=0,"",INDEX(LdAAmt,$L214)),IF($M214&lt;&gt;"",IF(INDEX(LdBAmt,$M214)=0,"",INDEX(LdBAmt,$M214)),IF($N214&lt;&gt;"",IF(INDEX(LdCDep,$N214)=0,"",INDEX(LdCDep,$N214)),"")))</f>
        <v/>
      </c>
      <c r="F214" s="21">
        <f>IF(AND($L214="",$M214="",$N214=""),"",IF($N214="","",IF(INDEX(LdCWit,$N214)=0,"",INDEX(LdCWit,$N214))))</f>
        <v/>
      </c>
      <c r="G214" s="31">
        <f>IF($B214="","",IF($G213="",0,$G213)+IF($E214="",0,$E214)-IF($F214="",0,$F214))</f>
        <v/>
      </c>
      <c r="H214" s="32">
        <f>IF(AND($L214="",$M214="",$N214=""),"",IF($L214&lt;&gt;"",IF(INDEX(LdANote,$L214)="","—",INDEX(LdANote,$L214)),IF($M214&lt;&gt;"",IF(INDEX(LdBNote,$M214)="","—",INDEX(LdBNote,$M214)),IF($N214&lt;&gt;"",IF(INDEX(LdCNote,$N214)="","—",INDEX(LdCNote,$N214)),""))))</f>
        <v/>
      </c>
      <c r="L214">
        <f>IFERROR(MATCH($C$5&amp;"|"&amp;RIGHT("000000"&amp;198,6),LdAKeyM,0),"")</f>
        <v/>
      </c>
      <c r="M214">
        <f>IFERROR(MATCH($C$5&amp;"|"&amp;RIGHT("000000"&amp;198,6),LdBKeyM,0),"")</f>
        <v/>
      </c>
      <c r="N214">
        <f>IFERROR(MATCH($C$5&amp;"|"&amp;RIGHT("000000"&amp;198,6),LdCKeyM,0),"")</f>
        <v/>
      </c>
    </row>
    <row r="215">
      <c r="A215" s="10" t="n">
        <v>199</v>
      </c>
      <c r="B215" s="14">
        <f>IF(AND($L215="",$M215="",$N215=""),"",IF($L215&lt;&gt;"",INDEX(LdADate,$L215),IF($M215&lt;&gt;"",INDEX(LdBDate,$M215),INDEX(LdCDate,$N215))))</f>
        <v/>
      </c>
      <c r="C215" s="14">
        <f>IF($L215&lt;&gt;"","دستمزد (فردی)",IF($M215&lt;&gt;"","سهم از گروه "&amp;IFERROR(VLOOKUP(INDEX(LdBGroup,$M215),WGTbl,2,0),INDEX(LdBGroup,$M215)),IF($N215&lt;&gt;"",IF(N(INDEX(LdCDep,$N215))&gt;0,"بازگشت بانکی","پرداخت بانکی"),"")))</f>
        <v/>
      </c>
      <c r="D215" s="14">
        <f>IF($L215&lt;&gt;"",IF(INDEX(LdAId,$L215)="","—",INDEX(LdAId,$L215)),IF($M215&lt;&gt;"",IF(INDEX(LdBId,$M215)="","—",INDEX(LdBId,$M215)),IF($N215&lt;&gt;"",IF(INDEX(LdCBank,$N215)="","—",INDEX(LdCBank,$N215)),"")))</f>
        <v/>
      </c>
      <c r="E215" s="16">
        <f>IF($L215&lt;&gt;"",IF(INDEX(LdAAmt,$L215)=0,"",INDEX(LdAAmt,$L215)),IF($M215&lt;&gt;"",IF(INDEX(LdBAmt,$M215)=0,"",INDEX(LdBAmt,$M215)),IF($N215&lt;&gt;"",IF(INDEX(LdCDep,$N215)=0,"",INDEX(LdCDep,$N215)),"")))</f>
        <v/>
      </c>
      <c r="F215" s="16">
        <f>IF(AND($L215="",$M215="",$N215=""),"",IF($N215="","",IF(INDEX(LdCWit,$N215)=0,"",INDEX(LdCWit,$N215))))</f>
        <v/>
      </c>
      <c r="G215" s="29">
        <f>IF($B215="","",IF($G214="",0,$G214)+IF($E215="",0,$E215)-IF($F215="",0,$F215))</f>
        <v/>
      </c>
      <c r="H215" s="30">
        <f>IF(AND($L215="",$M215="",$N215=""),"",IF($L215&lt;&gt;"",IF(INDEX(LdANote,$L215)="","—",INDEX(LdANote,$L215)),IF($M215&lt;&gt;"",IF(INDEX(LdBNote,$M215)="","—",INDEX(LdBNote,$M215)),IF($N215&lt;&gt;"",IF(INDEX(LdCNote,$N215)="","—",INDEX(LdCNote,$N215)),""))))</f>
        <v/>
      </c>
      <c r="L215">
        <f>IFERROR(MATCH($C$5&amp;"|"&amp;RIGHT("000000"&amp;199,6),LdAKeyM,0),"")</f>
        <v/>
      </c>
      <c r="M215">
        <f>IFERROR(MATCH($C$5&amp;"|"&amp;RIGHT("000000"&amp;199,6),LdBKeyM,0),"")</f>
        <v/>
      </c>
      <c r="N215">
        <f>IFERROR(MATCH($C$5&amp;"|"&amp;RIGHT("000000"&amp;199,6),LdCKeyM,0),"")</f>
        <v/>
      </c>
    </row>
    <row r="216">
      <c r="A216" s="19" t="n">
        <v>200</v>
      </c>
      <c r="B216" s="20">
        <f>IF(AND($L216="",$M216="",$N216=""),"",IF($L216&lt;&gt;"",INDEX(LdADate,$L216),IF($M216&lt;&gt;"",INDEX(LdBDate,$M216),INDEX(LdCDate,$N216))))</f>
        <v/>
      </c>
      <c r="C216" s="20">
        <f>IF($L216&lt;&gt;"","دستمزد (فردی)",IF($M216&lt;&gt;"","سهم از گروه "&amp;IFERROR(VLOOKUP(INDEX(LdBGroup,$M216),WGTbl,2,0),INDEX(LdBGroup,$M216)),IF($N216&lt;&gt;"",IF(N(INDEX(LdCDep,$N216))&gt;0,"بازگشت بانکی","پرداخت بانکی"),"")))</f>
        <v/>
      </c>
      <c r="D216" s="20">
        <f>IF($L216&lt;&gt;"",IF(INDEX(LdAId,$L216)="","—",INDEX(LdAId,$L216)),IF($M216&lt;&gt;"",IF(INDEX(LdBId,$M216)="","—",INDEX(LdBId,$M216)),IF($N216&lt;&gt;"",IF(INDEX(LdCBank,$N216)="","—",INDEX(LdCBank,$N216)),"")))</f>
        <v/>
      </c>
      <c r="E216" s="21">
        <f>IF($L216&lt;&gt;"",IF(INDEX(LdAAmt,$L216)=0,"",INDEX(LdAAmt,$L216)),IF($M216&lt;&gt;"",IF(INDEX(LdBAmt,$M216)=0,"",INDEX(LdBAmt,$M216)),IF($N216&lt;&gt;"",IF(INDEX(LdCDep,$N216)=0,"",INDEX(LdCDep,$N216)),"")))</f>
        <v/>
      </c>
      <c r="F216" s="21">
        <f>IF(AND($L216="",$M216="",$N216=""),"",IF($N216="","",IF(INDEX(LdCWit,$N216)=0,"",INDEX(LdCWit,$N216))))</f>
        <v/>
      </c>
      <c r="G216" s="31">
        <f>IF($B216="","",IF($G215="",0,$G215)+IF($E216="",0,$E216)-IF($F216="",0,$F216))</f>
        <v/>
      </c>
      <c r="H216" s="32">
        <f>IF(AND($L216="",$M216="",$N216=""),"",IF($L216&lt;&gt;"",IF(INDEX(LdANote,$L216)="","—",INDEX(LdANote,$L216)),IF($M216&lt;&gt;"",IF(INDEX(LdBNote,$M216)="","—",INDEX(LdBNote,$M216)),IF($N216&lt;&gt;"",IF(INDEX(LdCNote,$N216)="","—",INDEX(LdCNote,$N216)),""))))</f>
        <v/>
      </c>
      <c r="L216">
        <f>IFERROR(MATCH($C$5&amp;"|"&amp;RIGHT("000000"&amp;200,6),LdAKeyM,0),"")</f>
        <v/>
      </c>
      <c r="M216">
        <f>IFERROR(MATCH($C$5&amp;"|"&amp;RIGHT("000000"&amp;200,6),LdBKeyM,0),"")</f>
        <v/>
      </c>
      <c r="N216">
        <f>IFERROR(MATCH($C$5&amp;"|"&amp;RIGHT("000000"&amp;200,6),LdCKeyM,0),"")</f>
        <v/>
      </c>
    </row>
    <row r="217">
      <c r="A217" s="10" t="n">
        <v>201</v>
      </c>
      <c r="B217" s="14">
        <f>IF(AND($L217="",$M217="",$N217=""),"",IF($L217&lt;&gt;"",INDEX(LdADate,$L217),IF($M217&lt;&gt;"",INDEX(LdBDate,$M217),INDEX(LdCDate,$N217))))</f>
        <v/>
      </c>
      <c r="C217" s="14">
        <f>IF($L217&lt;&gt;"","دستمزد (فردی)",IF($M217&lt;&gt;"","سهم از گروه "&amp;IFERROR(VLOOKUP(INDEX(LdBGroup,$M217),WGTbl,2,0),INDEX(LdBGroup,$M217)),IF($N217&lt;&gt;"",IF(N(INDEX(LdCDep,$N217))&gt;0,"بازگشت بانکی","پرداخت بانکی"),"")))</f>
        <v/>
      </c>
      <c r="D217" s="14">
        <f>IF($L217&lt;&gt;"",IF(INDEX(LdAId,$L217)="","—",INDEX(LdAId,$L217)),IF($M217&lt;&gt;"",IF(INDEX(LdBId,$M217)="","—",INDEX(LdBId,$M217)),IF($N217&lt;&gt;"",IF(INDEX(LdCBank,$N217)="","—",INDEX(LdCBank,$N217)),"")))</f>
        <v/>
      </c>
      <c r="E217" s="16">
        <f>IF($L217&lt;&gt;"",IF(INDEX(LdAAmt,$L217)=0,"",INDEX(LdAAmt,$L217)),IF($M217&lt;&gt;"",IF(INDEX(LdBAmt,$M217)=0,"",INDEX(LdBAmt,$M217)),IF($N217&lt;&gt;"",IF(INDEX(LdCDep,$N217)=0,"",INDEX(LdCDep,$N217)),"")))</f>
        <v/>
      </c>
      <c r="F217" s="16">
        <f>IF(AND($L217="",$M217="",$N217=""),"",IF($N217="","",IF(INDEX(LdCWit,$N217)=0,"",INDEX(LdCWit,$N217))))</f>
        <v/>
      </c>
      <c r="G217" s="29">
        <f>IF($B217="","",IF($G216="",0,$G216)+IF($E217="",0,$E217)-IF($F217="",0,$F217))</f>
        <v/>
      </c>
      <c r="H217" s="30">
        <f>IF(AND($L217="",$M217="",$N217=""),"",IF($L217&lt;&gt;"",IF(INDEX(LdANote,$L217)="","—",INDEX(LdANote,$L217)),IF($M217&lt;&gt;"",IF(INDEX(LdBNote,$M217)="","—",INDEX(LdBNote,$M217)),IF($N217&lt;&gt;"",IF(INDEX(LdCNote,$N217)="","—",INDEX(LdCNote,$N217)),""))))</f>
        <v/>
      </c>
      <c r="L217">
        <f>IFERROR(MATCH($C$5&amp;"|"&amp;RIGHT("000000"&amp;201,6),LdAKeyM,0),"")</f>
        <v/>
      </c>
      <c r="M217">
        <f>IFERROR(MATCH($C$5&amp;"|"&amp;RIGHT("000000"&amp;201,6),LdBKeyM,0),"")</f>
        <v/>
      </c>
      <c r="N217">
        <f>IFERROR(MATCH($C$5&amp;"|"&amp;RIGHT("000000"&amp;201,6),LdCKeyM,0),"")</f>
        <v/>
      </c>
    </row>
    <row r="218">
      <c r="A218" s="19" t="n">
        <v>202</v>
      </c>
      <c r="B218" s="20">
        <f>IF(AND($L218="",$M218="",$N218=""),"",IF($L218&lt;&gt;"",INDEX(LdADate,$L218),IF($M218&lt;&gt;"",INDEX(LdBDate,$M218),INDEX(LdCDate,$N218))))</f>
        <v/>
      </c>
      <c r="C218" s="20">
        <f>IF($L218&lt;&gt;"","دستمزد (فردی)",IF($M218&lt;&gt;"","سهم از گروه "&amp;IFERROR(VLOOKUP(INDEX(LdBGroup,$M218),WGTbl,2,0),INDEX(LdBGroup,$M218)),IF($N218&lt;&gt;"",IF(N(INDEX(LdCDep,$N218))&gt;0,"بازگشت بانکی","پرداخت بانکی"),"")))</f>
        <v/>
      </c>
      <c r="D218" s="20">
        <f>IF($L218&lt;&gt;"",IF(INDEX(LdAId,$L218)="","—",INDEX(LdAId,$L218)),IF($M218&lt;&gt;"",IF(INDEX(LdBId,$M218)="","—",INDEX(LdBId,$M218)),IF($N218&lt;&gt;"",IF(INDEX(LdCBank,$N218)="","—",INDEX(LdCBank,$N218)),"")))</f>
        <v/>
      </c>
      <c r="E218" s="21">
        <f>IF($L218&lt;&gt;"",IF(INDEX(LdAAmt,$L218)=0,"",INDEX(LdAAmt,$L218)),IF($M218&lt;&gt;"",IF(INDEX(LdBAmt,$M218)=0,"",INDEX(LdBAmt,$M218)),IF($N218&lt;&gt;"",IF(INDEX(LdCDep,$N218)=0,"",INDEX(LdCDep,$N218)),"")))</f>
        <v/>
      </c>
      <c r="F218" s="21">
        <f>IF(AND($L218="",$M218="",$N218=""),"",IF($N218="","",IF(INDEX(LdCWit,$N218)=0,"",INDEX(LdCWit,$N218))))</f>
        <v/>
      </c>
      <c r="G218" s="31">
        <f>IF($B218="","",IF($G217="",0,$G217)+IF($E218="",0,$E218)-IF($F218="",0,$F218))</f>
        <v/>
      </c>
      <c r="H218" s="32">
        <f>IF(AND($L218="",$M218="",$N218=""),"",IF($L218&lt;&gt;"",IF(INDEX(LdANote,$L218)="","—",INDEX(LdANote,$L218)),IF($M218&lt;&gt;"",IF(INDEX(LdBNote,$M218)="","—",INDEX(LdBNote,$M218)),IF($N218&lt;&gt;"",IF(INDEX(LdCNote,$N218)="","—",INDEX(LdCNote,$N218)),""))))</f>
        <v/>
      </c>
      <c r="L218">
        <f>IFERROR(MATCH($C$5&amp;"|"&amp;RIGHT("000000"&amp;202,6),LdAKeyM,0),"")</f>
        <v/>
      </c>
      <c r="M218">
        <f>IFERROR(MATCH($C$5&amp;"|"&amp;RIGHT("000000"&amp;202,6),LdBKeyM,0),"")</f>
        <v/>
      </c>
      <c r="N218">
        <f>IFERROR(MATCH($C$5&amp;"|"&amp;RIGHT("000000"&amp;202,6),LdCKeyM,0),"")</f>
        <v/>
      </c>
    </row>
    <row r="219">
      <c r="A219" s="10" t="n">
        <v>203</v>
      </c>
      <c r="B219" s="14">
        <f>IF(AND($L219="",$M219="",$N219=""),"",IF($L219&lt;&gt;"",INDEX(LdADate,$L219),IF($M219&lt;&gt;"",INDEX(LdBDate,$M219),INDEX(LdCDate,$N219))))</f>
        <v/>
      </c>
      <c r="C219" s="14">
        <f>IF($L219&lt;&gt;"","دستمزد (فردی)",IF($M219&lt;&gt;"","سهم از گروه "&amp;IFERROR(VLOOKUP(INDEX(LdBGroup,$M219),WGTbl,2,0),INDEX(LdBGroup,$M219)),IF($N219&lt;&gt;"",IF(N(INDEX(LdCDep,$N219))&gt;0,"بازگشت بانکی","پرداخت بانکی"),"")))</f>
        <v/>
      </c>
      <c r="D219" s="14">
        <f>IF($L219&lt;&gt;"",IF(INDEX(LdAId,$L219)="","—",INDEX(LdAId,$L219)),IF($M219&lt;&gt;"",IF(INDEX(LdBId,$M219)="","—",INDEX(LdBId,$M219)),IF($N219&lt;&gt;"",IF(INDEX(LdCBank,$N219)="","—",INDEX(LdCBank,$N219)),"")))</f>
        <v/>
      </c>
      <c r="E219" s="16">
        <f>IF($L219&lt;&gt;"",IF(INDEX(LdAAmt,$L219)=0,"",INDEX(LdAAmt,$L219)),IF($M219&lt;&gt;"",IF(INDEX(LdBAmt,$M219)=0,"",INDEX(LdBAmt,$M219)),IF($N219&lt;&gt;"",IF(INDEX(LdCDep,$N219)=0,"",INDEX(LdCDep,$N219)),"")))</f>
        <v/>
      </c>
      <c r="F219" s="16">
        <f>IF(AND($L219="",$M219="",$N219=""),"",IF($N219="","",IF(INDEX(LdCWit,$N219)=0,"",INDEX(LdCWit,$N219))))</f>
        <v/>
      </c>
      <c r="G219" s="29">
        <f>IF($B219="","",IF($G218="",0,$G218)+IF($E219="",0,$E219)-IF($F219="",0,$F219))</f>
        <v/>
      </c>
      <c r="H219" s="30">
        <f>IF(AND($L219="",$M219="",$N219=""),"",IF($L219&lt;&gt;"",IF(INDEX(LdANote,$L219)="","—",INDEX(LdANote,$L219)),IF($M219&lt;&gt;"",IF(INDEX(LdBNote,$M219)="","—",INDEX(LdBNote,$M219)),IF($N219&lt;&gt;"",IF(INDEX(LdCNote,$N219)="","—",INDEX(LdCNote,$N219)),""))))</f>
        <v/>
      </c>
      <c r="L219">
        <f>IFERROR(MATCH($C$5&amp;"|"&amp;RIGHT("000000"&amp;203,6),LdAKeyM,0),"")</f>
        <v/>
      </c>
      <c r="M219">
        <f>IFERROR(MATCH($C$5&amp;"|"&amp;RIGHT("000000"&amp;203,6),LdBKeyM,0),"")</f>
        <v/>
      </c>
      <c r="N219">
        <f>IFERROR(MATCH($C$5&amp;"|"&amp;RIGHT("000000"&amp;203,6),LdCKeyM,0),"")</f>
        <v/>
      </c>
    </row>
    <row r="220">
      <c r="A220" s="19" t="n">
        <v>204</v>
      </c>
      <c r="B220" s="20">
        <f>IF(AND($L220="",$M220="",$N220=""),"",IF($L220&lt;&gt;"",INDEX(LdADate,$L220),IF($M220&lt;&gt;"",INDEX(LdBDate,$M220),INDEX(LdCDate,$N220))))</f>
        <v/>
      </c>
      <c r="C220" s="20">
        <f>IF($L220&lt;&gt;"","دستمزد (فردی)",IF($M220&lt;&gt;"","سهم از گروه "&amp;IFERROR(VLOOKUP(INDEX(LdBGroup,$M220),WGTbl,2,0),INDEX(LdBGroup,$M220)),IF($N220&lt;&gt;"",IF(N(INDEX(LdCDep,$N220))&gt;0,"بازگشت بانکی","پرداخت بانکی"),"")))</f>
        <v/>
      </c>
      <c r="D220" s="20">
        <f>IF($L220&lt;&gt;"",IF(INDEX(LdAId,$L220)="","—",INDEX(LdAId,$L220)),IF($M220&lt;&gt;"",IF(INDEX(LdBId,$M220)="","—",INDEX(LdBId,$M220)),IF($N220&lt;&gt;"",IF(INDEX(LdCBank,$N220)="","—",INDEX(LdCBank,$N220)),"")))</f>
        <v/>
      </c>
      <c r="E220" s="21">
        <f>IF($L220&lt;&gt;"",IF(INDEX(LdAAmt,$L220)=0,"",INDEX(LdAAmt,$L220)),IF($M220&lt;&gt;"",IF(INDEX(LdBAmt,$M220)=0,"",INDEX(LdBAmt,$M220)),IF($N220&lt;&gt;"",IF(INDEX(LdCDep,$N220)=0,"",INDEX(LdCDep,$N220)),"")))</f>
        <v/>
      </c>
      <c r="F220" s="21">
        <f>IF(AND($L220="",$M220="",$N220=""),"",IF($N220="","",IF(INDEX(LdCWit,$N220)=0,"",INDEX(LdCWit,$N220))))</f>
        <v/>
      </c>
      <c r="G220" s="31">
        <f>IF($B220="","",IF($G219="",0,$G219)+IF($E220="",0,$E220)-IF($F220="",0,$F220))</f>
        <v/>
      </c>
      <c r="H220" s="32">
        <f>IF(AND($L220="",$M220="",$N220=""),"",IF($L220&lt;&gt;"",IF(INDEX(LdANote,$L220)="","—",INDEX(LdANote,$L220)),IF($M220&lt;&gt;"",IF(INDEX(LdBNote,$M220)="","—",INDEX(LdBNote,$M220)),IF($N220&lt;&gt;"",IF(INDEX(LdCNote,$N220)="","—",INDEX(LdCNote,$N220)),""))))</f>
        <v/>
      </c>
      <c r="L220">
        <f>IFERROR(MATCH($C$5&amp;"|"&amp;RIGHT("000000"&amp;204,6),LdAKeyM,0),"")</f>
        <v/>
      </c>
      <c r="M220">
        <f>IFERROR(MATCH($C$5&amp;"|"&amp;RIGHT("000000"&amp;204,6),LdBKeyM,0),"")</f>
        <v/>
      </c>
      <c r="N220">
        <f>IFERROR(MATCH($C$5&amp;"|"&amp;RIGHT("000000"&amp;204,6),LdCKeyM,0),"")</f>
        <v/>
      </c>
    </row>
    <row r="221">
      <c r="A221" s="10" t="n">
        <v>205</v>
      </c>
      <c r="B221" s="14">
        <f>IF(AND($L221="",$M221="",$N221=""),"",IF($L221&lt;&gt;"",INDEX(LdADate,$L221),IF($M221&lt;&gt;"",INDEX(LdBDate,$M221),INDEX(LdCDate,$N221))))</f>
        <v/>
      </c>
      <c r="C221" s="14">
        <f>IF($L221&lt;&gt;"","دستمزد (فردی)",IF($M221&lt;&gt;"","سهم از گروه "&amp;IFERROR(VLOOKUP(INDEX(LdBGroup,$M221),WGTbl,2,0),INDEX(LdBGroup,$M221)),IF($N221&lt;&gt;"",IF(N(INDEX(LdCDep,$N221))&gt;0,"بازگشت بانکی","پرداخت بانکی"),"")))</f>
        <v/>
      </c>
      <c r="D221" s="14">
        <f>IF($L221&lt;&gt;"",IF(INDEX(LdAId,$L221)="","—",INDEX(LdAId,$L221)),IF($M221&lt;&gt;"",IF(INDEX(LdBId,$M221)="","—",INDEX(LdBId,$M221)),IF($N221&lt;&gt;"",IF(INDEX(LdCBank,$N221)="","—",INDEX(LdCBank,$N221)),"")))</f>
        <v/>
      </c>
      <c r="E221" s="16">
        <f>IF($L221&lt;&gt;"",IF(INDEX(LdAAmt,$L221)=0,"",INDEX(LdAAmt,$L221)),IF($M221&lt;&gt;"",IF(INDEX(LdBAmt,$M221)=0,"",INDEX(LdBAmt,$M221)),IF($N221&lt;&gt;"",IF(INDEX(LdCDep,$N221)=0,"",INDEX(LdCDep,$N221)),"")))</f>
        <v/>
      </c>
      <c r="F221" s="16">
        <f>IF(AND($L221="",$M221="",$N221=""),"",IF($N221="","",IF(INDEX(LdCWit,$N221)=0,"",INDEX(LdCWit,$N221))))</f>
        <v/>
      </c>
      <c r="G221" s="29">
        <f>IF($B221="","",IF($G220="",0,$G220)+IF($E221="",0,$E221)-IF($F221="",0,$F221))</f>
        <v/>
      </c>
      <c r="H221" s="30">
        <f>IF(AND($L221="",$M221="",$N221=""),"",IF($L221&lt;&gt;"",IF(INDEX(LdANote,$L221)="","—",INDEX(LdANote,$L221)),IF($M221&lt;&gt;"",IF(INDEX(LdBNote,$M221)="","—",INDEX(LdBNote,$M221)),IF($N221&lt;&gt;"",IF(INDEX(LdCNote,$N221)="","—",INDEX(LdCNote,$N221)),""))))</f>
        <v/>
      </c>
      <c r="L221">
        <f>IFERROR(MATCH($C$5&amp;"|"&amp;RIGHT("000000"&amp;205,6),LdAKeyM,0),"")</f>
        <v/>
      </c>
      <c r="M221">
        <f>IFERROR(MATCH($C$5&amp;"|"&amp;RIGHT("000000"&amp;205,6),LdBKeyM,0),"")</f>
        <v/>
      </c>
      <c r="N221">
        <f>IFERROR(MATCH($C$5&amp;"|"&amp;RIGHT("000000"&amp;205,6),LdCKeyM,0),"")</f>
        <v/>
      </c>
    </row>
    <row r="222">
      <c r="A222" s="19" t="n">
        <v>206</v>
      </c>
      <c r="B222" s="20">
        <f>IF(AND($L222="",$M222="",$N222=""),"",IF($L222&lt;&gt;"",INDEX(LdADate,$L222),IF($M222&lt;&gt;"",INDEX(LdBDate,$M222),INDEX(LdCDate,$N222))))</f>
        <v/>
      </c>
      <c r="C222" s="20">
        <f>IF($L222&lt;&gt;"","دستمزد (فردی)",IF($M222&lt;&gt;"","سهم از گروه "&amp;IFERROR(VLOOKUP(INDEX(LdBGroup,$M222),WGTbl,2,0),INDEX(LdBGroup,$M222)),IF($N222&lt;&gt;"",IF(N(INDEX(LdCDep,$N222))&gt;0,"بازگشت بانکی","پرداخت بانکی"),"")))</f>
        <v/>
      </c>
      <c r="D222" s="20">
        <f>IF($L222&lt;&gt;"",IF(INDEX(LdAId,$L222)="","—",INDEX(LdAId,$L222)),IF($M222&lt;&gt;"",IF(INDEX(LdBId,$M222)="","—",INDEX(LdBId,$M222)),IF($N222&lt;&gt;"",IF(INDEX(LdCBank,$N222)="","—",INDEX(LdCBank,$N222)),"")))</f>
        <v/>
      </c>
      <c r="E222" s="21">
        <f>IF($L222&lt;&gt;"",IF(INDEX(LdAAmt,$L222)=0,"",INDEX(LdAAmt,$L222)),IF($M222&lt;&gt;"",IF(INDEX(LdBAmt,$M222)=0,"",INDEX(LdBAmt,$M222)),IF($N222&lt;&gt;"",IF(INDEX(LdCDep,$N222)=0,"",INDEX(LdCDep,$N222)),"")))</f>
        <v/>
      </c>
      <c r="F222" s="21">
        <f>IF(AND($L222="",$M222="",$N222=""),"",IF($N222="","",IF(INDEX(LdCWit,$N222)=0,"",INDEX(LdCWit,$N222))))</f>
        <v/>
      </c>
      <c r="G222" s="31">
        <f>IF($B222="","",IF($G221="",0,$G221)+IF($E222="",0,$E222)-IF($F222="",0,$F222))</f>
        <v/>
      </c>
      <c r="H222" s="32">
        <f>IF(AND($L222="",$M222="",$N222=""),"",IF($L222&lt;&gt;"",IF(INDEX(LdANote,$L222)="","—",INDEX(LdANote,$L222)),IF($M222&lt;&gt;"",IF(INDEX(LdBNote,$M222)="","—",INDEX(LdBNote,$M222)),IF($N222&lt;&gt;"",IF(INDEX(LdCNote,$N222)="","—",INDEX(LdCNote,$N222)),""))))</f>
        <v/>
      </c>
      <c r="L222">
        <f>IFERROR(MATCH($C$5&amp;"|"&amp;RIGHT("000000"&amp;206,6),LdAKeyM,0),"")</f>
        <v/>
      </c>
      <c r="M222">
        <f>IFERROR(MATCH($C$5&amp;"|"&amp;RIGHT("000000"&amp;206,6),LdBKeyM,0),"")</f>
        <v/>
      </c>
      <c r="N222">
        <f>IFERROR(MATCH($C$5&amp;"|"&amp;RIGHT("000000"&amp;206,6),LdCKeyM,0),"")</f>
        <v/>
      </c>
    </row>
    <row r="223">
      <c r="A223" s="10" t="n">
        <v>207</v>
      </c>
      <c r="B223" s="14">
        <f>IF(AND($L223="",$M223="",$N223=""),"",IF($L223&lt;&gt;"",INDEX(LdADate,$L223),IF($M223&lt;&gt;"",INDEX(LdBDate,$M223),INDEX(LdCDate,$N223))))</f>
        <v/>
      </c>
      <c r="C223" s="14">
        <f>IF($L223&lt;&gt;"","دستمزد (فردی)",IF($M223&lt;&gt;"","سهم از گروه "&amp;IFERROR(VLOOKUP(INDEX(LdBGroup,$M223),WGTbl,2,0),INDEX(LdBGroup,$M223)),IF($N223&lt;&gt;"",IF(N(INDEX(LdCDep,$N223))&gt;0,"بازگشت بانکی","پرداخت بانکی"),"")))</f>
        <v/>
      </c>
      <c r="D223" s="14">
        <f>IF($L223&lt;&gt;"",IF(INDEX(LdAId,$L223)="","—",INDEX(LdAId,$L223)),IF($M223&lt;&gt;"",IF(INDEX(LdBId,$M223)="","—",INDEX(LdBId,$M223)),IF($N223&lt;&gt;"",IF(INDEX(LdCBank,$N223)="","—",INDEX(LdCBank,$N223)),"")))</f>
        <v/>
      </c>
      <c r="E223" s="16">
        <f>IF($L223&lt;&gt;"",IF(INDEX(LdAAmt,$L223)=0,"",INDEX(LdAAmt,$L223)),IF($M223&lt;&gt;"",IF(INDEX(LdBAmt,$M223)=0,"",INDEX(LdBAmt,$M223)),IF($N223&lt;&gt;"",IF(INDEX(LdCDep,$N223)=0,"",INDEX(LdCDep,$N223)),"")))</f>
        <v/>
      </c>
      <c r="F223" s="16">
        <f>IF(AND($L223="",$M223="",$N223=""),"",IF($N223="","",IF(INDEX(LdCWit,$N223)=0,"",INDEX(LdCWit,$N223))))</f>
        <v/>
      </c>
      <c r="G223" s="29">
        <f>IF($B223="","",IF($G222="",0,$G222)+IF($E223="",0,$E223)-IF($F223="",0,$F223))</f>
        <v/>
      </c>
      <c r="H223" s="30">
        <f>IF(AND($L223="",$M223="",$N223=""),"",IF($L223&lt;&gt;"",IF(INDEX(LdANote,$L223)="","—",INDEX(LdANote,$L223)),IF($M223&lt;&gt;"",IF(INDEX(LdBNote,$M223)="","—",INDEX(LdBNote,$M223)),IF($N223&lt;&gt;"",IF(INDEX(LdCNote,$N223)="","—",INDEX(LdCNote,$N223)),""))))</f>
        <v/>
      </c>
      <c r="L223">
        <f>IFERROR(MATCH($C$5&amp;"|"&amp;RIGHT("000000"&amp;207,6),LdAKeyM,0),"")</f>
        <v/>
      </c>
      <c r="M223">
        <f>IFERROR(MATCH($C$5&amp;"|"&amp;RIGHT("000000"&amp;207,6),LdBKeyM,0),"")</f>
        <v/>
      </c>
      <c r="N223">
        <f>IFERROR(MATCH($C$5&amp;"|"&amp;RIGHT("000000"&amp;207,6),LdCKeyM,0),"")</f>
        <v/>
      </c>
    </row>
    <row r="224">
      <c r="A224" s="19" t="n">
        <v>208</v>
      </c>
      <c r="B224" s="20">
        <f>IF(AND($L224="",$M224="",$N224=""),"",IF($L224&lt;&gt;"",INDEX(LdADate,$L224),IF($M224&lt;&gt;"",INDEX(LdBDate,$M224),INDEX(LdCDate,$N224))))</f>
        <v/>
      </c>
      <c r="C224" s="20">
        <f>IF($L224&lt;&gt;"","دستمزد (فردی)",IF($M224&lt;&gt;"","سهم از گروه "&amp;IFERROR(VLOOKUP(INDEX(LdBGroup,$M224),WGTbl,2,0),INDEX(LdBGroup,$M224)),IF($N224&lt;&gt;"",IF(N(INDEX(LdCDep,$N224))&gt;0,"بازگشت بانکی","پرداخت بانکی"),"")))</f>
        <v/>
      </c>
      <c r="D224" s="20">
        <f>IF($L224&lt;&gt;"",IF(INDEX(LdAId,$L224)="","—",INDEX(LdAId,$L224)),IF($M224&lt;&gt;"",IF(INDEX(LdBId,$M224)="","—",INDEX(LdBId,$M224)),IF($N224&lt;&gt;"",IF(INDEX(LdCBank,$N224)="","—",INDEX(LdCBank,$N224)),"")))</f>
        <v/>
      </c>
      <c r="E224" s="21">
        <f>IF($L224&lt;&gt;"",IF(INDEX(LdAAmt,$L224)=0,"",INDEX(LdAAmt,$L224)),IF($M224&lt;&gt;"",IF(INDEX(LdBAmt,$M224)=0,"",INDEX(LdBAmt,$M224)),IF($N224&lt;&gt;"",IF(INDEX(LdCDep,$N224)=0,"",INDEX(LdCDep,$N224)),"")))</f>
        <v/>
      </c>
      <c r="F224" s="21">
        <f>IF(AND($L224="",$M224="",$N224=""),"",IF($N224="","",IF(INDEX(LdCWit,$N224)=0,"",INDEX(LdCWit,$N224))))</f>
        <v/>
      </c>
      <c r="G224" s="31">
        <f>IF($B224="","",IF($G223="",0,$G223)+IF($E224="",0,$E224)-IF($F224="",0,$F224))</f>
        <v/>
      </c>
      <c r="H224" s="32">
        <f>IF(AND($L224="",$M224="",$N224=""),"",IF($L224&lt;&gt;"",IF(INDEX(LdANote,$L224)="","—",INDEX(LdANote,$L224)),IF($M224&lt;&gt;"",IF(INDEX(LdBNote,$M224)="","—",INDEX(LdBNote,$M224)),IF($N224&lt;&gt;"",IF(INDEX(LdCNote,$N224)="","—",INDEX(LdCNote,$N224)),""))))</f>
        <v/>
      </c>
      <c r="L224">
        <f>IFERROR(MATCH($C$5&amp;"|"&amp;RIGHT("000000"&amp;208,6),LdAKeyM,0),"")</f>
        <v/>
      </c>
      <c r="M224">
        <f>IFERROR(MATCH($C$5&amp;"|"&amp;RIGHT("000000"&amp;208,6),LdBKeyM,0),"")</f>
        <v/>
      </c>
      <c r="N224">
        <f>IFERROR(MATCH($C$5&amp;"|"&amp;RIGHT("000000"&amp;208,6),LdCKeyM,0),"")</f>
        <v/>
      </c>
    </row>
    <row r="225">
      <c r="A225" s="10" t="n">
        <v>209</v>
      </c>
      <c r="B225" s="14">
        <f>IF(AND($L225="",$M225="",$N225=""),"",IF($L225&lt;&gt;"",INDEX(LdADate,$L225),IF($M225&lt;&gt;"",INDEX(LdBDate,$M225),INDEX(LdCDate,$N225))))</f>
        <v/>
      </c>
      <c r="C225" s="14">
        <f>IF($L225&lt;&gt;"","دستمزد (فردی)",IF($M225&lt;&gt;"","سهم از گروه "&amp;IFERROR(VLOOKUP(INDEX(LdBGroup,$M225),WGTbl,2,0),INDEX(LdBGroup,$M225)),IF($N225&lt;&gt;"",IF(N(INDEX(LdCDep,$N225))&gt;0,"بازگشت بانکی","پرداخت بانکی"),"")))</f>
        <v/>
      </c>
      <c r="D225" s="14">
        <f>IF($L225&lt;&gt;"",IF(INDEX(LdAId,$L225)="","—",INDEX(LdAId,$L225)),IF($M225&lt;&gt;"",IF(INDEX(LdBId,$M225)="","—",INDEX(LdBId,$M225)),IF($N225&lt;&gt;"",IF(INDEX(LdCBank,$N225)="","—",INDEX(LdCBank,$N225)),"")))</f>
        <v/>
      </c>
      <c r="E225" s="16">
        <f>IF($L225&lt;&gt;"",IF(INDEX(LdAAmt,$L225)=0,"",INDEX(LdAAmt,$L225)),IF($M225&lt;&gt;"",IF(INDEX(LdBAmt,$M225)=0,"",INDEX(LdBAmt,$M225)),IF($N225&lt;&gt;"",IF(INDEX(LdCDep,$N225)=0,"",INDEX(LdCDep,$N225)),"")))</f>
        <v/>
      </c>
      <c r="F225" s="16">
        <f>IF(AND($L225="",$M225="",$N225=""),"",IF($N225="","",IF(INDEX(LdCWit,$N225)=0,"",INDEX(LdCWit,$N225))))</f>
        <v/>
      </c>
      <c r="G225" s="29">
        <f>IF($B225="","",IF($G224="",0,$G224)+IF($E225="",0,$E225)-IF($F225="",0,$F225))</f>
        <v/>
      </c>
      <c r="H225" s="30">
        <f>IF(AND($L225="",$M225="",$N225=""),"",IF($L225&lt;&gt;"",IF(INDEX(LdANote,$L225)="","—",INDEX(LdANote,$L225)),IF($M225&lt;&gt;"",IF(INDEX(LdBNote,$M225)="","—",INDEX(LdBNote,$M225)),IF($N225&lt;&gt;"",IF(INDEX(LdCNote,$N225)="","—",INDEX(LdCNote,$N225)),""))))</f>
        <v/>
      </c>
      <c r="L225">
        <f>IFERROR(MATCH($C$5&amp;"|"&amp;RIGHT("000000"&amp;209,6),LdAKeyM,0),"")</f>
        <v/>
      </c>
      <c r="M225">
        <f>IFERROR(MATCH($C$5&amp;"|"&amp;RIGHT("000000"&amp;209,6),LdBKeyM,0),"")</f>
        <v/>
      </c>
      <c r="N225">
        <f>IFERROR(MATCH($C$5&amp;"|"&amp;RIGHT("000000"&amp;209,6),LdCKeyM,0),"")</f>
        <v/>
      </c>
    </row>
    <row r="226">
      <c r="A226" s="19" t="n">
        <v>210</v>
      </c>
      <c r="B226" s="20">
        <f>IF(AND($L226="",$M226="",$N226=""),"",IF($L226&lt;&gt;"",INDEX(LdADate,$L226),IF($M226&lt;&gt;"",INDEX(LdBDate,$M226),INDEX(LdCDate,$N226))))</f>
        <v/>
      </c>
      <c r="C226" s="20">
        <f>IF($L226&lt;&gt;"","دستمزد (فردی)",IF($M226&lt;&gt;"","سهم از گروه "&amp;IFERROR(VLOOKUP(INDEX(LdBGroup,$M226),WGTbl,2,0),INDEX(LdBGroup,$M226)),IF($N226&lt;&gt;"",IF(N(INDEX(LdCDep,$N226))&gt;0,"بازگشت بانکی","پرداخت بانکی"),"")))</f>
        <v/>
      </c>
      <c r="D226" s="20">
        <f>IF($L226&lt;&gt;"",IF(INDEX(LdAId,$L226)="","—",INDEX(LdAId,$L226)),IF($M226&lt;&gt;"",IF(INDEX(LdBId,$M226)="","—",INDEX(LdBId,$M226)),IF($N226&lt;&gt;"",IF(INDEX(LdCBank,$N226)="","—",INDEX(LdCBank,$N226)),"")))</f>
        <v/>
      </c>
      <c r="E226" s="21">
        <f>IF($L226&lt;&gt;"",IF(INDEX(LdAAmt,$L226)=0,"",INDEX(LdAAmt,$L226)),IF($M226&lt;&gt;"",IF(INDEX(LdBAmt,$M226)=0,"",INDEX(LdBAmt,$M226)),IF($N226&lt;&gt;"",IF(INDEX(LdCDep,$N226)=0,"",INDEX(LdCDep,$N226)),"")))</f>
        <v/>
      </c>
      <c r="F226" s="21">
        <f>IF(AND($L226="",$M226="",$N226=""),"",IF($N226="","",IF(INDEX(LdCWit,$N226)=0,"",INDEX(LdCWit,$N226))))</f>
        <v/>
      </c>
      <c r="G226" s="31">
        <f>IF($B226="","",IF($G225="",0,$G225)+IF($E226="",0,$E226)-IF($F226="",0,$F226))</f>
        <v/>
      </c>
      <c r="H226" s="32">
        <f>IF(AND($L226="",$M226="",$N226=""),"",IF($L226&lt;&gt;"",IF(INDEX(LdANote,$L226)="","—",INDEX(LdANote,$L226)),IF($M226&lt;&gt;"",IF(INDEX(LdBNote,$M226)="","—",INDEX(LdBNote,$M226)),IF($N226&lt;&gt;"",IF(INDEX(LdCNote,$N226)="","—",INDEX(LdCNote,$N226)),""))))</f>
        <v/>
      </c>
      <c r="L226">
        <f>IFERROR(MATCH($C$5&amp;"|"&amp;RIGHT("000000"&amp;210,6),LdAKeyM,0),"")</f>
        <v/>
      </c>
      <c r="M226">
        <f>IFERROR(MATCH($C$5&amp;"|"&amp;RIGHT("000000"&amp;210,6),LdBKeyM,0),"")</f>
        <v/>
      </c>
      <c r="N226">
        <f>IFERROR(MATCH($C$5&amp;"|"&amp;RIGHT("000000"&amp;210,6),LdCKeyM,0),"")</f>
        <v/>
      </c>
    </row>
    <row r="227">
      <c r="A227" s="10" t="n">
        <v>211</v>
      </c>
      <c r="B227" s="14">
        <f>IF(AND($L227="",$M227="",$N227=""),"",IF($L227&lt;&gt;"",INDEX(LdADate,$L227),IF($M227&lt;&gt;"",INDEX(LdBDate,$M227),INDEX(LdCDate,$N227))))</f>
        <v/>
      </c>
      <c r="C227" s="14">
        <f>IF($L227&lt;&gt;"","دستمزد (فردی)",IF($M227&lt;&gt;"","سهم از گروه "&amp;IFERROR(VLOOKUP(INDEX(LdBGroup,$M227),WGTbl,2,0),INDEX(LdBGroup,$M227)),IF($N227&lt;&gt;"",IF(N(INDEX(LdCDep,$N227))&gt;0,"بازگشت بانکی","پرداخت بانکی"),"")))</f>
        <v/>
      </c>
      <c r="D227" s="14">
        <f>IF($L227&lt;&gt;"",IF(INDEX(LdAId,$L227)="","—",INDEX(LdAId,$L227)),IF($M227&lt;&gt;"",IF(INDEX(LdBId,$M227)="","—",INDEX(LdBId,$M227)),IF($N227&lt;&gt;"",IF(INDEX(LdCBank,$N227)="","—",INDEX(LdCBank,$N227)),"")))</f>
        <v/>
      </c>
      <c r="E227" s="16">
        <f>IF($L227&lt;&gt;"",IF(INDEX(LdAAmt,$L227)=0,"",INDEX(LdAAmt,$L227)),IF($M227&lt;&gt;"",IF(INDEX(LdBAmt,$M227)=0,"",INDEX(LdBAmt,$M227)),IF($N227&lt;&gt;"",IF(INDEX(LdCDep,$N227)=0,"",INDEX(LdCDep,$N227)),"")))</f>
        <v/>
      </c>
      <c r="F227" s="16">
        <f>IF(AND($L227="",$M227="",$N227=""),"",IF($N227="","",IF(INDEX(LdCWit,$N227)=0,"",INDEX(LdCWit,$N227))))</f>
        <v/>
      </c>
      <c r="G227" s="29">
        <f>IF($B227="","",IF($G226="",0,$G226)+IF($E227="",0,$E227)-IF($F227="",0,$F227))</f>
        <v/>
      </c>
      <c r="H227" s="30">
        <f>IF(AND($L227="",$M227="",$N227=""),"",IF($L227&lt;&gt;"",IF(INDEX(LdANote,$L227)="","—",INDEX(LdANote,$L227)),IF($M227&lt;&gt;"",IF(INDEX(LdBNote,$M227)="","—",INDEX(LdBNote,$M227)),IF($N227&lt;&gt;"",IF(INDEX(LdCNote,$N227)="","—",INDEX(LdCNote,$N227)),""))))</f>
        <v/>
      </c>
      <c r="L227">
        <f>IFERROR(MATCH($C$5&amp;"|"&amp;RIGHT("000000"&amp;211,6),LdAKeyM,0),"")</f>
        <v/>
      </c>
      <c r="M227">
        <f>IFERROR(MATCH($C$5&amp;"|"&amp;RIGHT("000000"&amp;211,6),LdBKeyM,0),"")</f>
        <v/>
      </c>
      <c r="N227">
        <f>IFERROR(MATCH($C$5&amp;"|"&amp;RIGHT("000000"&amp;211,6),LdCKeyM,0),"")</f>
        <v/>
      </c>
    </row>
    <row r="228">
      <c r="A228" s="19" t="n">
        <v>212</v>
      </c>
      <c r="B228" s="20">
        <f>IF(AND($L228="",$M228="",$N228=""),"",IF($L228&lt;&gt;"",INDEX(LdADate,$L228),IF($M228&lt;&gt;"",INDEX(LdBDate,$M228),INDEX(LdCDate,$N228))))</f>
        <v/>
      </c>
      <c r="C228" s="20">
        <f>IF($L228&lt;&gt;"","دستمزد (فردی)",IF($M228&lt;&gt;"","سهم از گروه "&amp;IFERROR(VLOOKUP(INDEX(LdBGroup,$M228),WGTbl,2,0),INDEX(LdBGroup,$M228)),IF($N228&lt;&gt;"",IF(N(INDEX(LdCDep,$N228))&gt;0,"بازگشت بانکی","پرداخت بانکی"),"")))</f>
        <v/>
      </c>
      <c r="D228" s="20">
        <f>IF($L228&lt;&gt;"",IF(INDEX(LdAId,$L228)="","—",INDEX(LdAId,$L228)),IF($M228&lt;&gt;"",IF(INDEX(LdBId,$M228)="","—",INDEX(LdBId,$M228)),IF($N228&lt;&gt;"",IF(INDEX(LdCBank,$N228)="","—",INDEX(LdCBank,$N228)),"")))</f>
        <v/>
      </c>
      <c r="E228" s="21">
        <f>IF($L228&lt;&gt;"",IF(INDEX(LdAAmt,$L228)=0,"",INDEX(LdAAmt,$L228)),IF($M228&lt;&gt;"",IF(INDEX(LdBAmt,$M228)=0,"",INDEX(LdBAmt,$M228)),IF($N228&lt;&gt;"",IF(INDEX(LdCDep,$N228)=0,"",INDEX(LdCDep,$N228)),"")))</f>
        <v/>
      </c>
      <c r="F228" s="21">
        <f>IF(AND($L228="",$M228="",$N228=""),"",IF($N228="","",IF(INDEX(LdCWit,$N228)=0,"",INDEX(LdCWit,$N228))))</f>
        <v/>
      </c>
      <c r="G228" s="31">
        <f>IF($B228="","",IF($G227="",0,$G227)+IF($E228="",0,$E228)-IF($F228="",0,$F228))</f>
        <v/>
      </c>
      <c r="H228" s="32">
        <f>IF(AND($L228="",$M228="",$N228=""),"",IF($L228&lt;&gt;"",IF(INDEX(LdANote,$L228)="","—",INDEX(LdANote,$L228)),IF($M228&lt;&gt;"",IF(INDEX(LdBNote,$M228)="","—",INDEX(LdBNote,$M228)),IF($N228&lt;&gt;"",IF(INDEX(LdCNote,$N228)="","—",INDEX(LdCNote,$N228)),""))))</f>
        <v/>
      </c>
      <c r="L228">
        <f>IFERROR(MATCH($C$5&amp;"|"&amp;RIGHT("000000"&amp;212,6),LdAKeyM,0),"")</f>
        <v/>
      </c>
      <c r="M228">
        <f>IFERROR(MATCH($C$5&amp;"|"&amp;RIGHT("000000"&amp;212,6),LdBKeyM,0),"")</f>
        <v/>
      </c>
      <c r="N228">
        <f>IFERROR(MATCH($C$5&amp;"|"&amp;RIGHT("000000"&amp;212,6),LdCKeyM,0),"")</f>
        <v/>
      </c>
    </row>
    <row r="229">
      <c r="A229" s="10" t="n">
        <v>213</v>
      </c>
      <c r="B229" s="14">
        <f>IF(AND($L229="",$M229="",$N229=""),"",IF($L229&lt;&gt;"",INDEX(LdADate,$L229),IF($M229&lt;&gt;"",INDEX(LdBDate,$M229),INDEX(LdCDate,$N229))))</f>
        <v/>
      </c>
      <c r="C229" s="14">
        <f>IF($L229&lt;&gt;"","دستمزد (فردی)",IF($M229&lt;&gt;"","سهم از گروه "&amp;IFERROR(VLOOKUP(INDEX(LdBGroup,$M229),WGTbl,2,0),INDEX(LdBGroup,$M229)),IF($N229&lt;&gt;"",IF(N(INDEX(LdCDep,$N229))&gt;0,"بازگشت بانکی","پرداخت بانکی"),"")))</f>
        <v/>
      </c>
      <c r="D229" s="14">
        <f>IF($L229&lt;&gt;"",IF(INDEX(LdAId,$L229)="","—",INDEX(LdAId,$L229)),IF($M229&lt;&gt;"",IF(INDEX(LdBId,$M229)="","—",INDEX(LdBId,$M229)),IF($N229&lt;&gt;"",IF(INDEX(LdCBank,$N229)="","—",INDEX(LdCBank,$N229)),"")))</f>
        <v/>
      </c>
      <c r="E229" s="16">
        <f>IF($L229&lt;&gt;"",IF(INDEX(LdAAmt,$L229)=0,"",INDEX(LdAAmt,$L229)),IF($M229&lt;&gt;"",IF(INDEX(LdBAmt,$M229)=0,"",INDEX(LdBAmt,$M229)),IF($N229&lt;&gt;"",IF(INDEX(LdCDep,$N229)=0,"",INDEX(LdCDep,$N229)),"")))</f>
        <v/>
      </c>
      <c r="F229" s="16">
        <f>IF(AND($L229="",$M229="",$N229=""),"",IF($N229="","",IF(INDEX(LdCWit,$N229)=0,"",INDEX(LdCWit,$N229))))</f>
        <v/>
      </c>
      <c r="G229" s="29">
        <f>IF($B229="","",IF($G228="",0,$G228)+IF($E229="",0,$E229)-IF($F229="",0,$F229))</f>
        <v/>
      </c>
      <c r="H229" s="30">
        <f>IF(AND($L229="",$M229="",$N229=""),"",IF($L229&lt;&gt;"",IF(INDEX(LdANote,$L229)="","—",INDEX(LdANote,$L229)),IF($M229&lt;&gt;"",IF(INDEX(LdBNote,$M229)="","—",INDEX(LdBNote,$M229)),IF($N229&lt;&gt;"",IF(INDEX(LdCNote,$N229)="","—",INDEX(LdCNote,$N229)),""))))</f>
        <v/>
      </c>
      <c r="L229">
        <f>IFERROR(MATCH($C$5&amp;"|"&amp;RIGHT("000000"&amp;213,6),LdAKeyM,0),"")</f>
        <v/>
      </c>
      <c r="M229">
        <f>IFERROR(MATCH($C$5&amp;"|"&amp;RIGHT("000000"&amp;213,6),LdBKeyM,0),"")</f>
        <v/>
      </c>
      <c r="N229">
        <f>IFERROR(MATCH($C$5&amp;"|"&amp;RIGHT("000000"&amp;213,6),LdCKeyM,0),"")</f>
        <v/>
      </c>
    </row>
    <row r="230">
      <c r="A230" s="19" t="n">
        <v>214</v>
      </c>
      <c r="B230" s="20">
        <f>IF(AND($L230="",$M230="",$N230=""),"",IF($L230&lt;&gt;"",INDEX(LdADate,$L230),IF($M230&lt;&gt;"",INDEX(LdBDate,$M230),INDEX(LdCDate,$N230))))</f>
        <v/>
      </c>
      <c r="C230" s="20">
        <f>IF($L230&lt;&gt;"","دستمزد (فردی)",IF($M230&lt;&gt;"","سهم از گروه "&amp;IFERROR(VLOOKUP(INDEX(LdBGroup,$M230),WGTbl,2,0),INDEX(LdBGroup,$M230)),IF($N230&lt;&gt;"",IF(N(INDEX(LdCDep,$N230))&gt;0,"بازگشت بانکی","پرداخت بانکی"),"")))</f>
        <v/>
      </c>
      <c r="D230" s="20">
        <f>IF($L230&lt;&gt;"",IF(INDEX(LdAId,$L230)="","—",INDEX(LdAId,$L230)),IF($M230&lt;&gt;"",IF(INDEX(LdBId,$M230)="","—",INDEX(LdBId,$M230)),IF($N230&lt;&gt;"",IF(INDEX(LdCBank,$N230)="","—",INDEX(LdCBank,$N230)),"")))</f>
        <v/>
      </c>
      <c r="E230" s="21">
        <f>IF($L230&lt;&gt;"",IF(INDEX(LdAAmt,$L230)=0,"",INDEX(LdAAmt,$L230)),IF($M230&lt;&gt;"",IF(INDEX(LdBAmt,$M230)=0,"",INDEX(LdBAmt,$M230)),IF($N230&lt;&gt;"",IF(INDEX(LdCDep,$N230)=0,"",INDEX(LdCDep,$N230)),"")))</f>
        <v/>
      </c>
      <c r="F230" s="21">
        <f>IF(AND($L230="",$M230="",$N230=""),"",IF($N230="","",IF(INDEX(LdCWit,$N230)=0,"",INDEX(LdCWit,$N230))))</f>
        <v/>
      </c>
      <c r="G230" s="31">
        <f>IF($B230="","",IF($G229="",0,$G229)+IF($E230="",0,$E230)-IF($F230="",0,$F230))</f>
        <v/>
      </c>
      <c r="H230" s="32">
        <f>IF(AND($L230="",$M230="",$N230=""),"",IF($L230&lt;&gt;"",IF(INDEX(LdANote,$L230)="","—",INDEX(LdANote,$L230)),IF($M230&lt;&gt;"",IF(INDEX(LdBNote,$M230)="","—",INDEX(LdBNote,$M230)),IF($N230&lt;&gt;"",IF(INDEX(LdCNote,$N230)="","—",INDEX(LdCNote,$N230)),""))))</f>
        <v/>
      </c>
      <c r="L230">
        <f>IFERROR(MATCH($C$5&amp;"|"&amp;RIGHT("000000"&amp;214,6),LdAKeyM,0),"")</f>
        <v/>
      </c>
      <c r="M230">
        <f>IFERROR(MATCH($C$5&amp;"|"&amp;RIGHT("000000"&amp;214,6),LdBKeyM,0),"")</f>
        <v/>
      </c>
      <c r="N230">
        <f>IFERROR(MATCH($C$5&amp;"|"&amp;RIGHT("000000"&amp;214,6),LdCKeyM,0),"")</f>
        <v/>
      </c>
    </row>
    <row r="231">
      <c r="A231" s="10" t="n">
        <v>215</v>
      </c>
      <c r="B231" s="14">
        <f>IF(AND($L231="",$M231="",$N231=""),"",IF($L231&lt;&gt;"",INDEX(LdADate,$L231),IF($M231&lt;&gt;"",INDEX(LdBDate,$M231),INDEX(LdCDate,$N231))))</f>
        <v/>
      </c>
      <c r="C231" s="14">
        <f>IF($L231&lt;&gt;"","دستمزد (فردی)",IF($M231&lt;&gt;"","سهم از گروه "&amp;IFERROR(VLOOKUP(INDEX(LdBGroup,$M231),WGTbl,2,0),INDEX(LdBGroup,$M231)),IF($N231&lt;&gt;"",IF(N(INDEX(LdCDep,$N231))&gt;0,"بازگشت بانکی","پرداخت بانکی"),"")))</f>
        <v/>
      </c>
      <c r="D231" s="14">
        <f>IF($L231&lt;&gt;"",IF(INDEX(LdAId,$L231)="","—",INDEX(LdAId,$L231)),IF($M231&lt;&gt;"",IF(INDEX(LdBId,$M231)="","—",INDEX(LdBId,$M231)),IF($N231&lt;&gt;"",IF(INDEX(LdCBank,$N231)="","—",INDEX(LdCBank,$N231)),"")))</f>
        <v/>
      </c>
      <c r="E231" s="16">
        <f>IF($L231&lt;&gt;"",IF(INDEX(LdAAmt,$L231)=0,"",INDEX(LdAAmt,$L231)),IF($M231&lt;&gt;"",IF(INDEX(LdBAmt,$M231)=0,"",INDEX(LdBAmt,$M231)),IF($N231&lt;&gt;"",IF(INDEX(LdCDep,$N231)=0,"",INDEX(LdCDep,$N231)),"")))</f>
        <v/>
      </c>
      <c r="F231" s="16">
        <f>IF(AND($L231="",$M231="",$N231=""),"",IF($N231="","",IF(INDEX(LdCWit,$N231)=0,"",INDEX(LdCWit,$N231))))</f>
        <v/>
      </c>
      <c r="G231" s="29">
        <f>IF($B231="","",IF($G230="",0,$G230)+IF($E231="",0,$E231)-IF($F231="",0,$F231))</f>
        <v/>
      </c>
      <c r="H231" s="30">
        <f>IF(AND($L231="",$M231="",$N231=""),"",IF($L231&lt;&gt;"",IF(INDEX(LdANote,$L231)="","—",INDEX(LdANote,$L231)),IF($M231&lt;&gt;"",IF(INDEX(LdBNote,$M231)="","—",INDEX(LdBNote,$M231)),IF($N231&lt;&gt;"",IF(INDEX(LdCNote,$N231)="","—",INDEX(LdCNote,$N231)),""))))</f>
        <v/>
      </c>
      <c r="L231">
        <f>IFERROR(MATCH($C$5&amp;"|"&amp;RIGHT("000000"&amp;215,6),LdAKeyM,0),"")</f>
        <v/>
      </c>
      <c r="M231">
        <f>IFERROR(MATCH($C$5&amp;"|"&amp;RIGHT("000000"&amp;215,6),LdBKeyM,0),"")</f>
        <v/>
      </c>
      <c r="N231">
        <f>IFERROR(MATCH($C$5&amp;"|"&amp;RIGHT("000000"&amp;215,6),LdCKeyM,0),"")</f>
        <v/>
      </c>
    </row>
    <row r="232">
      <c r="A232" s="19" t="n">
        <v>216</v>
      </c>
      <c r="B232" s="20">
        <f>IF(AND($L232="",$M232="",$N232=""),"",IF($L232&lt;&gt;"",INDEX(LdADate,$L232),IF($M232&lt;&gt;"",INDEX(LdBDate,$M232),INDEX(LdCDate,$N232))))</f>
        <v/>
      </c>
      <c r="C232" s="20">
        <f>IF($L232&lt;&gt;"","دستمزد (فردی)",IF($M232&lt;&gt;"","سهم از گروه "&amp;IFERROR(VLOOKUP(INDEX(LdBGroup,$M232),WGTbl,2,0),INDEX(LdBGroup,$M232)),IF($N232&lt;&gt;"",IF(N(INDEX(LdCDep,$N232))&gt;0,"بازگشت بانکی","پرداخت بانکی"),"")))</f>
        <v/>
      </c>
      <c r="D232" s="20">
        <f>IF($L232&lt;&gt;"",IF(INDEX(LdAId,$L232)="","—",INDEX(LdAId,$L232)),IF($M232&lt;&gt;"",IF(INDEX(LdBId,$M232)="","—",INDEX(LdBId,$M232)),IF($N232&lt;&gt;"",IF(INDEX(LdCBank,$N232)="","—",INDEX(LdCBank,$N232)),"")))</f>
        <v/>
      </c>
      <c r="E232" s="21">
        <f>IF($L232&lt;&gt;"",IF(INDEX(LdAAmt,$L232)=0,"",INDEX(LdAAmt,$L232)),IF($M232&lt;&gt;"",IF(INDEX(LdBAmt,$M232)=0,"",INDEX(LdBAmt,$M232)),IF($N232&lt;&gt;"",IF(INDEX(LdCDep,$N232)=0,"",INDEX(LdCDep,$N232)),"")))</f>
        <v/>
      </c>
      <c r="F232" s="21">
        <f>IF(AND($L232="",$M232="",$N232=""),"",IF($N232="","",IF(INDEX(LdCWit,$N232)=0,"",INDEX(LdCWit,$N232))))</f>
        <v/>
      </c>
      <c r="G232" s="31">
        <f>IF($B232="","",IF($G231="",0,$G231)+IF($E232="",0,$E232)-IF($F232="",0,$F232))</f>
        <v/>
      </c>
      <c r="H232" s="32">
        <f>IF(AND($L232="",$M232="",$N232=""),"",IF($L232&lt;&gt;"",IF(INDEX(LdANote,$L232)="","—",INDEX(LdANote,$L232)),IF($M232&lt;&gt;"",IF(INDEX(LdBNote,$M232)="","—",INDEX(LdBNote,$M232)),IF($N232&lt;&gt;"",IF(INDEX(LdCNote,$N232)="","—",INDEX(LdCNote,$N232)),""))))</f>
        <v/>
      </c>
      <c r="L232">
        <f>IFERROR(MATCH($C$5&amp;"|"&amp;RIGHT("000000"&amp;216,6),LdAKeyM,0),"")</f>
        <v/>
      </c>
      <c r="M232">
        <f>IFERROR(MATCH($C$5&amp;"|"&amp;RIGHT("000000"&amp;216,6),LdBKeyM,0),"")</f>
        <v/>
      </c>
      <c r="N232">
        <f>IFERROR(MATCH($C$5&amp;"|"&amp;RIGHT("000000"&amp;216,6),LdCKeyM,0),"")</f>
        <v/>
      </c>
    </row>
    <row r="233">
      <c r="A233" s="10" t="n">
        <v>217</v>
      </c>
      <c r="B233" s="14">
        <f>IF(AND($L233="",$M233="",$N233=""),"",IF($L233&lt;&gt;"",INDEX(LdADate,$L233),IF($M233&lt;&gt;"",INDEX(LdBDate,$M233),INDEX(LdCDate,$N233))))</f>
        <v/>
      </c>
      <c r="C233" s="14">
        <f>IF($L233&lt;&gt;"","دستمزد (فردی)",IF($M233&lt;&gt;"","سهم از گروه "&amp;IFERROR(VLOOKUP(INDEX(LdBGroup,$M233),WGTbl,2,0),INDEX(LdBGroup,$M233)),IF($N233&lt;&gt;"",IF(N(INDEX(LdCDep,$N233))&gt;0,"بازگشت بانکی","پرداخت بانکی"),"")))</f>
        <v/>
      </c>
      <c r="D233" s="14">
        <f>IF($L233&lt;&gt;"",IF(INDEX(LdAId,$L233)="","—",INDEX(LdAId,$L233)),IF($M233&lt;&gt;"",IF(INDEX(LdBId,$M233)="","—",INDEX(LdBId,$M233)),IF($N233&lt;&gt;"",IF(INDEX(LdCBank,$N233)="","—",INDEX(LdCBank,$N233)),"")))</f>
        <v/>
      </c>
      <c r="E233" s="16">
        <f>IF($L233&lt;&gt;"",IF(INDEX(LdAAmt,$L233)=0,"",INDEX(LdAAmt,$L233)),IF($M233&lt;&gt;"",IF(INDEX(LdBAmt,$M233)=0,"",INDEX(LdBAmt,$M233)),IF($N233&lt;&gt;"",IF(INDEX(LdCDep,$N233)=0,"",INDEX(LdCDep,$N233)),"")))</f>
        <v/>
      </c>
      <c r="F233" s="16">
        <f>IF(AND($L233="",$M233="",$N233=""),"",IF($N233="","",IF(INDEX(LdCWit,$N233)=0,"",INDEX(LdCWit,$N233))))</f>
        <v/>
      </c>
      <c r="G233" s="29">
        <f>IF($B233="","",IF($G232="",0,$G232)+IF($E233="",0,$E233)-IF($F233="",0,$F233))</f>
        <v/>
      </c>
      <c r="H233" s="30">
        <f>IF(AND($L233="",$M233="",$N233=""),"",IF($L233&lt;&gt;"",IF(INDEX(LdANote,$L233)="","—",INDEX(LdANote,$L233)),IF($M233&lt;&gt;"",IF(INDEX(LdBNote,$M233)="","—",INDEX(LdBNote,$M233)),IF($N233&lt;&gt;"",IF(INDEX(LdCNote,$N233)="","—",INDEX(LdCNote,$N233)),""))))</f>
        <v/>
      </c>
      <c r="L233">
        <f>IFERROR(MATCH($C$5&amp;"|"&amp;RIGHT("000000"&amp;217,6),LdAKeyM,0),"")</f>
        <v/>
      </c>
      <c r="M233">
        <f>IFERROR(MATCH($C$5&amp;"|"&amp;RIGHT("000000"&amp;217,6),LdBKeyM,0),"")</f>
        <v/>
      </c>
      <c r="N233">
        <f>IFERROR(MATCH($C$5&amp;"|"&amp;RIGHT("000000"&amp;217,6),LdCKeyM,0),"")</f>
        <v/>
      </c>
    </row>
    <row r="234">
      <c r="A234" s="19" t="n">
        <v>218</v>
      </c>
      <c r="B234" s="20">
        <f>IF(AND($L234="",$M234="",$N234=""),"",IF($L234&lt;&gt;"",INDEX(LdADate,$L234),IF($M234&lt;&gt;"",INDEX(LdBDate,$M234),INDEX(LdCDate,$N234))))</f>
        <v/>
      </c>
      <c r="C234" s="20">
        <f>IF($L234&lt;&gt;"","دستمزد (فردی)",IF($M234&lt;&gt;"","سهم از گروه "&amp;IFERROR(VLOOKUP(INDEX(LdBGroup,$M234),WGTbl,2,0),INDEX(LdBGroup,$M234)),IF($N234&lt;&gt;"",IF(N(INDEX(LdCDep,$N234))&gt;0,"بازگشت بانکی","پرداخت بانکی"),"")))</f>
        <v/>
      </c>
      <c r="D234" s="20">
        <f>IF($L234&lt;&gt;"",IF(INDEX(LdAId,$L234)="","—",INDEX(LdAId,$L234)),IF($M234&lt;&gt;"",IF(INDEX(LdBId,$M234)="","—",INDEX(LdBId,$M234)),IF($N234&lt;&gt;"",IF(INDEX(LdCBank,$N234)="","—",INDEX(LdCBank,$N234)),"")))</f>
        <v/>
      </c>
      <c r="E234" s="21">
        <f>IF($L234&lt;&gt;"",IF(INDEX(LdAAmt,$L234)=0,"",INDEX(LdAAmt,$L234)),IF($M234&lt;&gt;"",IF(INDEX(LdBAmt,$M234)=0,"",INDEX(LdBAmt,$M234)),IF($N234&lt;&gt;"",IF(INDEX(LdCDep,$N234)=0,"",INDEX(LdCDep,$N234)),"")))</f>
        <v/>
      </c>
      <c r="F234" s="21">
        <f>IF(AND($L234="",$M234="",$N234=""),"",IF($N234="","",IF(INDEX(LdCWit,$N234)=0,"",INDEX(LdCWit,$N234))))</f>
        <v/>
      </c>
      <c r="G234" s="31">
        <f>IF($B234="","",IF($G233="",0,$G233)+IF($E234="",0,$E234)-IF($F234="",0,$F234))</f>
        <v/>
      </c>
      <c r="H234" s="32">
        <f>IF(AND($L234="",$M234="",$N234=""),"",IF($L234&lt;&gt;"",IF(INDEX(LdANote,$L234)="","—",INDEX(LdANote,$L234)),IF($M234&lt;&gt;"",IF(INDEX(LdBNote,$M234)="","—",INDEX(LdBNote,$M234)),IF($N234&lt;&gt;"",IF(INDEX(LdCNote,$N234)="","—",INDEX(LdCNote,$N234)),""))))</f>
        <v/>
      </c>
      <c r="L234">
        <f>IFERROR(MATCH($C$5&amp;"|"&amp;RIGHT("000000"&amp;218,6),LdAKeyM,0),"")</f>
        <v/>
      </c>
      <c r="M234">
        <f>IFERROR(MATCH($C$5&amp;"|"&amp;RIGHT("000000"&amp;218,6),LdBKeyM,0),"")</f>
        <v/>
      </c>
      <c r="N234">
        <f>IFERROR(MATCH($C$5&amp;"|"&amp;RIGHT("000000"&amp;218,6),LdCKeyM,0),"")</f>
        <v/>
      </c>
    </row>
    <row r="235">
      <c r="A235" s="10" t="n">
        <v>219</v>
      </c>
      <c r="B235" s="14">
        <f>IF(AND($L235="",$M235="",$N235=""),"",IF($L235&lt;&gt;"",INDEX(LdADate,$L235),IF($M235&lt;&gt;"",INDEX(LdBDate,$M235),INDEX(LdCDate,$N235))))</f>
        <v/>
      </c>
      <c r="C235" s="14">
        <f>IF($L235&lt;&gt;"","دستمزد (فردی)",IF($M235&lt;&gt;"","سهم از گروه "&amp;IFERROR(VLOOKUP(INDEX(LdBGroup,$M235),WGTbl,2,0),INDEX(LdBGroup,$M235)),IF($N235&lt;&gt;"",IF(N(INDEX(LdCDep,$N235))&gt;0,"بازگشت بانکی","پرداخت بانکی"),"")))</f>
        <v/>
      </c>
      <c r="D235" s="14">
        <f>IF($L235&lt;&gt;"",IF(INDEX(LdAId,$L235)="","—",INDEX(LdAId,$L235)),IF($M235&lt;&gt;"",IF(INDEX(LdBId,$M235)="","—",INDEX(LdBId,$M235)),IF($N235&lt;&gt;"",IF(INDEX(LdCBank,$N235)="","—",INDEX(LdCBank,$N235)),"")))</f>
        <v/>
      </c>
      <c r="E235" s="16">
        <f>IF($L235&lt;&gt;"",IF(INDEX(LdAAmt,$L235)=0,"",INDEX(LdAAmt,$L235)),IF($M235&lt;&gt;"",IF(INDEX(LdBAmt,$M235)=0,"",INDEX(LdBAmt,$M235)),IF($N235&lt;&gt;"",IF(INDEX(LdCDep,$N235)=0,"",INDEX(LdCDep,$N235)),"")))</f>
        <v/>
      </c>
      <c r="F235" s="16">
        <f>IF(AND($L235="",$M235="",$N235=""),"",IF($N235="","",IF(INDEX(LdCWit,$N235)=0,"",INDEX(LdCWit,$N235))))</f>
        <v/>
      </c>
      <c r="G235" s="29">
        <f>IF($B235="","",IF($G234="",0,$G234)+IF($E235="",0,$E235)-IF($F235="",0,$F235))</f>
        <v/>
      </c>
      <c r="H235" s="30">
        <f>IF(AND($L235="",$M235="",$N235=""),"",IF($L235&lt;&gt;"",IF(INDEX(LdANote,$L235)="","—",INDEX(LdANote,$L235)),IF($M235&lt;&gt;"",IF(INDEX(LdBNote,$M235)="","—",INDEX(LdBNote,$M235)),IF($N235&lt;&gt;"",IF(INDEX(LdCNote,$N235)="","—",INDEX(LdCNote,$N235)),""))))</f>
        <v/>
      </c>
      <c r="L235">
        <f>IFERROR(MATCH($C$5&amp;"|"&amp;RIGHT("000000"&amp;219,6),LdAKeyM,0),"")</f>
        <v/>
      </c>
      <c r="M235">
        <f>IFERROR(MATCH($C$5&amp;"|"&amp;RIGHT("000000"&amp;219,6),LdBKeyM,0),"")</f>
        <v/>
      </c>
      <c r="N235">
        <f>IFERROR(MATCH($C$5&amp;"|"&amp;RIGHT("000000"&amp;219,6),LdCKeyM,0),"")</f>
        <v/>
      </c>
    </row>
    <row r="236">
      <c r="A236" s="19" t="n">
        <v>220</v>
      </c>
      <c r="B236" s="20">
        <f>IF(AND($L236="",$M236="",$N236=""),"",IF($L236&lt;&gt;"",INDEX(LdADate,$L236),IF($M236&lt;&gt;"",INDEX(LdBDate,$M236),INDEX(LdCDate,$N236))))</f>
        <v/>
      </c>
      <c r="C236" s="20">
        <f>IF($L236&lt;&gt;"","دستمزد (فردی)",IF($M236&lt;&gt;"","سهم از گروه "&amp;IFERROR(VLOOKUP(INDEX(LdBGroup,$M236),WGTbl,2,0),INDEX(LdBGroup,$M236)),IF($N236&lt;&gt;"",IF(N(INDEX(LdCDep,$N236))&gt;0,"بازگشت بانکی","پرداخت بانکی"),"")))</f>
        <v/>
      </c>
      <c r="D236" s="20">
        <f>IF($L236&lt;&gt;"",IF(INDEX(LdAId,$L236)="","—",INDEX(LdAId,$L236)),IF($M236&lt;&gt;"",IF(INDEX(LdBId,$M236)="","—",INDEX(LdBId,$M236)),IF($N236&lt;&gt;"",IF(INDEX(LdCBank,$N236)="","—",INDEX(LdCBank,$N236)),"")))</f>
        <v/>
      </c>
      <c r="E236" s="21">
        <f>IF($L236&lt;&gt;"",IF(INDEX(LdAAmt,$L236)=0,"",INDEX(LdAAmt,$L236)),IF($M236&lt;&gt;"",IF(INDEX(LdBAmt,$M236)=0,"",INDEX(LdBAmt,$M236)),IF($N236&lt;&gt;"",IF(INDEX(LdCDep,$N236)=0,"",INDEX(LdCDep,$N236)),"")))</f>
        <v/>
      </c>
      <c r="F236" s="21">
        <f>IF(AND($L236="",$M236="",$N236=""),"",IF($N236="","",IF(INDEX(LdCWit,$N236)=0,"",INDEX(LdCWit,$N236))))</f>
        <v/>
      </c>
      <c r="G236" s="31">
        <f>IF($B236="","",IF($G235="",0,$G235)+IF($E236="",0,$E236)-IF($F236="",0,$F236))</f>
        <v/>
      </c>
      <c r="H236" s="32">
        <f>IF(AND($L236="",$M236="",$N236=""),"",IF($L236&lt;&gt;"",IF(INDEX(LdANote,$L236)="","—",INDEX(LdANote,$L236)),IF($M236&lt;&gt;"",IF(INDEX(LdBNote,$M236)="","—",INDEX(LdBNote,$M236)),IF($N236&lt;&gt;"",IF(INDEX(LdCNote,$N236)="","—",INDEX(LdCNote,$N236)),""))))</f>
        <v/>
      </c>
      <c r="L236">
        <f>IFERROR(MATCH($C$5&amp;"|"&amp;RIGHT("000000"&amp;220,6),LdAKeyM,0),"")</f>
        <v/>
      </c>
      <c r="M236">
        <f>IFERROR(MATCH($C$5&amp;"|"&amp;RIGHT("000000"&amp;220,6),LdBKeyM,0),"")</f>
        <v/>
      </c>
      <c r="N236">
        <f>IFERROR(MATCH($C$5&amp;"|"&amp;RIGHT("000000"&amp;220,6),LdCKeyM,0),"")</f>
        <v/>
      </c>
    </row>
    <row r="237">
      <c r="A237" s="10" t="n">
        <v>221</v>
      </c>
      <c r="B237" s="14">
        <f>IF(AND($L237="",$M237="",$N237=""),"",IF($L237&lt;&gt;"",INDEX(LdADate,$L237),IF($M237&lt;&gt;"",INDEX(LdBDate,$M237),INDEX(LdCDate,$N237))))</f>
        <v/>
      </c>
      <c r="C237" s="14">
        <f>IF($L237&lt;&gt;"","دستمزد (فردی)",IF($M237&lt;&gt;"","سهم از گروه "&amp;IFERROR(VLOOKUP(INDEX(LdBGroup,$M237),WGTbl,2,0),INDEX(LdBGroup,$M237)),IF($N237&lt;&gt;"",IF(N(INDEX(LdCDep,$N237))&gt;0,"بازگشت بانکی","پرداخت بانکی"),"")))</f>
        <v/>
      </c>
      <c r="D237" s="14">
        <f>IF($L237&lt;&gt;"",IF(INDEX(LdAId,$L237)="","—",INDEX(LdAId,$L237)),IF($M237&lt;&gt;"",IF(INDEX(LdBId,$M237)="","—",INDEX(LdBId,$M237)),IF($N237&lt;&gt;"",IF(INDEX(LdCBank,$N237)="","—",INDEX(LdCBank,$N237)),"")))</f>
        <v/>
      </c>
      <c r="E237" s="16">
        <f>IF($L237&lt;&gt;"",IF(INDEX(LdAAmt,$L237)=0,"",INDEX(LdAAmt,$L237)),IF($M237&lt;&gt;"",IF(INDEX(LdBAmt,$M237)=0,"",INDEX(LdBAmt,$M237)),IF($N237&lt;&gt;"",IF(INDEX(LdCDep,$N237)=0,"",INDEX(LdCDep,$N237)),"")))</f>
        <v/>
      </c>
      <c r="F237" s="16">
        <f>IF(AND($L237="",$M237="",$N237=""),"",IF($N237="","",IF(INDEX(LdCWit,$N237)=0,"",INDEX(LdCWit,$N237))))</f>
        <v/>
      </c>
      <c r="G237" s="29">
        <f>IF($B237="","",IF($G236="",0,$G236)+IF($E237="",0,$E237)-IF($F237="",0,$F237))</f>
        <v/>
      </c>
      <c r="H237" s="30">
        <f>IF(AND($L237="",$M237="",$N237=""),"",IF($L237&lt;&gt;"",IF(INDEX(LdANote,$L237)="","—",INDEX(LdANote,$L237)),IF($M237&lt;&gt;"",IF(INDEX(LdBNote,$M237)="","—",INDEX(LdBNote,$M237)),IF($N237&lt;&gt;"",IF(INDEX(LdCNote,$N237)="","—",INDEX(LdCNote,$N237)),""))))</f>
        <v/>
      </c>
      <c r="L237">
        <f>IFERROR(MATCH($C$5&amp;"|"&amp;RIGHT("000000"&amp;221,6),LdAKeyM,0),"")</f>
        <v/>
      </c>
      <c r="M237">
        <f>IFERROR(MATCH($C$5&amp;"|"&amp;RIGHT("000000"&amp;221,6),LdBKeyM,0),"")</f>
        <v/>
      </c>
      <c r="N237">
        <f>IFERROR(MATCH($C$5&amp;"|"&amp;RIGHT("000000"&amp;221,6),LdCKeyM,0),"")</f>
        <v/>
      </c>
    </row>
    <row r="238">
      <c r="A238" s="19" t="n">
        <v>222</v>
      </c>
      <c r="B238" s="20">
        <f>IF(AND($L238="",$M238="",$N238=""),"",IF($L238&lt;&gt;"",INDEX(LdADate,$L238),IF($M238&lt;&gt;"",INDEX(LdBDate,$M238),INDEX(LdCDate,$N238))))</f>
        <v/>
      </c>
      <c r="C238" s="20">
        <f>IF($L238&lt;&gt;"","دستمزد (فردی)",IF($M238&lt;&gt;"","سهم از گروه "&amp;IFERROR(VLOOKUP(INDEX(LdBGroup,$M238),WGTbl,2,0),INDEX(LdBGroup,$M238)),IF($N238&lt;&gt;"",IF(N(INDEX(LdCDep,$N238))&gt;0,"بازگشت بانکی","پرداخت بانکی"),"")))</f>
        <v/>
      </c>
      <c r="D238" s="20">
        <f>IF($L238&lt;&gt;"",IF(INDEX(LdAId,$L238)="","—",INDEX(LdAId,$L238)),IF($M238&lt;&gt;"",IF(INDEX(LdBId,$M238)="","—",INDEX(LdBId,$M238)),IF($N238&lt;&gt;"",IF(INDEX(LdCBank,$N238)="","—",INDEX(LdCBank,$N238)),"")))</f>
        <v/>
      </c>
      <c r="E238" s="21">
        <f>IF($L238&lt;&gt;"",IF(INDEX(LdAAmt,$L238)=0,"",INDEX(LdAAmt,$L238)),IF($M238&lt;&gt;"",IF(INDEX(LdBAmt,$M238)=0,"",INDEX(LdBAmt,$M238)),IF($N238&lt;&gt;"",IF(INDEX(LdCDep,$N238)=0,"",INDEX(LdCDep,$N238)),"")))</f>
        <v/>
      </c>
      <c r="F238" s="21">
        <f>IF(AND($L238="",$M238="",$N238=""),"",IF($N238="","",IF(INDEX(LdCWit,$N238)=0,"",INDEX(LdCWit,$N238))))</f>
        <v/>
      </c>
      <c r="G238" s="31">
        <f>IF($B238="","",IF($G237="",0,$G237)+IF($E238="",0,$E238)-IF($F238="",0,$F238))</f>
        <v/>
      </c>
      <c r="H238" s="32">
        <f>IF(AND($L238="",$M238="",$N238=""),"",IF($L238&lt;&gt;"",IF(INDEX(LdANote,$L238)="","—",INDEX(LdANote,$L238)),IF($M238&lt;&gt;"",IF(INDEX(LdBNote,$M238)="","—",INDEX(LdBNote,$M238)),IF($N238&lt;&gt;"",IF(INDEX(LdCNote,$N238)="","—",INDEX(LdCNote,$N238)),""))))</f>
        <v/>
      </c>
      <c r="L238">
        <f>IFERROR(MATCH($C$5&amp;"|"&amp;RIGHT("000000"&amp;222,6),LdAKeyM,0),"")</f>
        <v/>
      </c>
      <c r="M238">
        <f>IFERROR(MATCH($C$5&amp;"|"&amp;RIGHT("000000"&amp;222,6),LdBKeyM,0),"")</f>
        <v/>
      </c>
      <c r="N238">
        <f>IFERROR(MATCH($C$5&amp;"|"&amp;RIGHT("000000"&amp;222,6),LdCKeyM,0),"")</f>
        <v/>
      </c>
    </row>
    <row r="239">
      <c r="A239" s="10" t="n">
        <v>223</v>
      </c>
      <c r="B239" s="14">
        <f>IF(AND($L239="",$M239="",$N239=""),"",IF($L239&lt;&gt;"",INDEX(LdADate,$L239),IF($M239&lt;&gt;"",INDEX(LdBDate,$M239),INDEX(LdCDate,$N239))))</f>
        <v/>
      </c>
      <c r="C239" s="14">
        <f>IF($L239&lt;&gt;"","دستمزد (فردی)",IF($M239&lt;&gt;"","سهم از گروه "&amp;IFERROR(VLOOKUP(INDEX(LdBGroup,$M239),WGTbl,2,0),INDEX(LdBGroup,$M239)),IF($N239&lt;&gt;"",IF(N(INDEX(LdCDep,$N239))&gt;0,"بازگشت بانکی","پرداخت بانکی"),"")))</f>
        <v/>
      </c>
      <c r="D239" s="14">
        <f>IF($L239&lt;&gt;"",IF(INDEX(LdAId,$L239)="","—",INDEX(LdAId,$L239)),IF($M239&lt;&gt;"",IF(INDEX(LdBId,$M239)="","—",INDEX(LdBId,$M239)),IF($N239&lt;&gt;"",IF(INDEX(LdCBank,$N239)="","—",INDEX(LdCBank,$N239)),"")))</f>
        <v/>
      </c>
      <c r="E239" s="16">
        <f>IF($L239&lt;&gt;"",IF(INDEX(LdAAmt,$L239)=0,"",INDEX(LdAAmt,$L239)),IF($M239&lt;&gt;"",IF(INDEX(LdBAmt,$M239)=0,"",INDEX(LdBAmt,$M239)),IF($N239&lt;&gt;"",IF(INDEX(LdCDep,$N239)=0,"",INDEX(LdCDep,$N239)),"")))</f>
        <v/>
      </c>
      <c r="F239" s="16">
        <f>IF(AND($L239="",$M239="",$N239=""),"",IF($N239="","",IF(INDEX(LdCWit,$N239)=0,"",INDEX(LdCWit,$N239))))</f>
        <v/>
      </c>
      <c r="G239" s="29">
        <f>IF($B239="","",IF($G238="",0,$G238)+IF($E239="",0,$E239)-IF($F239="",0,$F239))</f>
        <v/>
      </c>
      <c r="H239" s="30">
        <f>IF(AND($L239="",$M239="",$N239=""),"",IF($L239&lt;&gt;"",IF(INDEX(LdANote,$L239)="","—",INDEX(LdANote,$L239)),IF($M239&lt;&gt;"",IF(INDEX(LdBNote,$M239)="","—",INDEX(LdBNote,$M239)),IF($N239&lt;&gt;"",IF(INDEX(LdCNote,$N239)="","—",INDEX(LdCNote,$N239)),""))))</f>
        <v/>
      </c>
      <c r="L239">
        <f>IFERROR(MATCH($C$5&amp;"|"&amp;RIGHT("000000"&amp;223,6),LdAKeyM,0),"")</f>
        <v/>
      </c>
      <c r="M239">
        <f>IFERROR(MATCH($C$5&amp;"|"&amp;RIGHT("000000"&amp;223,6),LdBKeyM,0),"")</f>
        <v/>
      </c>
      <c r="N239">
        <f>IFERROR(MATCH($C$5&amp;"|"&amp;RIGHT("000000"&amp;223,6),LdCKeyM,0),"")</f>
        <v/>
      </c>
    </row>
    <row r="240">
      <c r="A240" s="19" t="n">
        <v>224</v>
      </c>
      <c r="B240" s="20">
        <f>IF(AND($L240="",$M240="",$N240=""),"",IF($L240&lt;&gt;"",INDEX(LdADate,$L240),IF($M240&lt;&gt;"",INDEX(LdBDate,$M240),INDEX(LdCDate,$N240))))</f>
        <v/>
      </c>
      <c r="C240" s="20">
        <f>IF($L240&lt;&gt;"","دستمزد (فردی)",IF($M240&lt;&gt;"","سهم از گروه "&amp;IFERROR(VLOOKUP(INDEX(LdBGroup,$M240),WGTbl,2,0),INDEX(LdBGroup,$M240)),IF($N240&lt;&gt;"",IF(N(INDEX(LdCDep,$N240))&gt;0,"بازگشت بانکی","پرداخت بانکی"),"")))</f>
        <v/>
      </c>
      <c r="D240" s="20">
        <f>IF($L240&lt;&gt;"",IF(INDEX(LdAId,$L240)="","—",INDEX(LdAId,$L240)),IF($M240&lt;&gt;"",IF(INDEX(LdBId,$M240)="","—",INDEX(LdBId,$M240)),IF($N240&lt;&gt;"",IF(INDEX(LdCBank,$N240)="","—",INDEX(LdCBank,$N240)),"")))</f>
        <v/>
      </c>
      <c r="E240" s="21">
        <f>IF($L240&lt;&gt;"",IF(INDEX(LdAAmt,$L240)=0,"",INDEX(LdAAmt,$L240)),IF($M240&lt;&gt;"",IF(INDEX(LdBAmt,$M240)=0,"",INDEX(LdBAmt,$M240)),IF($N240&lt;&gt;"",IF(INDEX(LdCDep,$N240)=0,"",INDEX(LdCDep,$N240)),"")))</f>
        <v/>
      </c>
      <c r="F240" s="21">
        <f>IF(AND($L240="",$M240="",$N240=""),"",IF($N240="","",IF(INDEX(LdCWit,$N240)=0,"",INDEX(LdCWit,$N240))))</f>
        <v/>
      </c>
      <c r="G240" s="31">
        <f>IF($B240="","",IF($G239="",0,$G239)+IF($E240="",0,$E240)-IF($F240="",0,$F240))</f>
        <v/>
      </c>
      <c r="H240" s="32">
        <f>IF(AND($L240="",$M240="",$N240=""),"",IF($L240&lt;&gt;"",IF(INDEX(LdANote,$L240)="","—",INDEX(LdANote,$L240)),IF($M240&lt;&gt;"",IF(INDEX(LdBNote,$M240)="","—",INDEX(LdBNote,$M240)),IF($N240&lt;&gt;"",IF(INDEX(LdCNote,$N240)="","—",INDEX(LdCNote,$N240)),""))))</f>
        <v/>
      </c>
      <c r="L240">
        <f>IFERROR(MATCH($C$5&amp;"|"&amp;RIGHT("000000"&amp;224,6),LdAKeyM,0),"")</f>
        <v/>
      </c>
      <c r="M240">
        <f>IFERROR(MATCH($C$5&amp;"|"&amp;RIGHT("000000"&amp;224,6),LdBKeyM,0),"")</f>
        <v/>
      </c>
      <c r="N240">
        <f>IFERROR(MATCH($C$5&amp;"|"&amp;RIGHT("000000"&amp;224,6),LdCKeyM,0),"")</f>
        <v/>
      </c>
    </row>
    <row r="241">
      <c r="A241" s="10" t="n">
        <v>225</v>
      </c>
      <c r="B241" s="14">
        <f>IF(AND($L241="",$M241="",$N241=""),"",IF($L241&lt;&gt;"",INDEX(LdADate,$L241),IF($M241&lt;&gt;"",INDEX(LdBDate,$M241),INDEX(LdCDate,$N241))))</f>
        <v/>
      </c>
      <c r="C241" s="14">
        <f>IF($L241&lt;&gt;"","دستمزد (فردی)",IF($M241&lt;&gt;"","سهم از گروه "&amp;IFERROR(VLOOKUP(INDEX(LdBGroup,$M241),WGTbl,2,0),INDEX(LdBGroup,$M241)),IF($N241&lt;&gt;"",IF(N(INDEX(LdCDep,$N241))&gt;0,"بازگشت بانکی","پرداخت بانکی"),"")))</f>
        <v/>
      </c>
      <c r="D241" s="14">
        <f>IF($L241&lt;&gt;"",IF(INDEX(LdAId,$L241)="","—",INDEX(LdAId,$L241)),IF($M241&lt;&gt;"",IF(INDEX(LdBId,$M241)="","—",INDEX(LdBId,$M241)),IF($N241&lt;&gt;"",IF(INDEX(LdCBank,$N241)="","—",INDEX(LdCBank,$N241)),"")))</f>
        <v/>
      </c>
      <c r="E241" s="16">
        <f>IF($L241&lt;&gt;"",IF(INDEX(LdAAmt,$L241)=0,"",INDEX(LdAAmt,$L241)),IF($M241&lt;&gt;"",IF(INDEX(LdBAmt,$M241)=0,"",INDEX(LdBAmt,$M241)),IF($N241&lt;&gt;"",IF(INDEX(LdCDep,$N241)=0,"",INDEX(LdCDep,$N241)),"")))</f>
        <v/>
      </c>
      <c r="F241" s="16">
        <f>IF(AND($L241="",$M241="",$N241=""),"",IF($N241="","",IF(INDEX(LdCWit,$N241)=0,"",INDEX(LdCWit,$N241))))</f>
        <v/>
      </c>
      <c r="G241" s="29">
        <f>IF($B241="","",IF($G240="",0,$G240)+IF($E241="",0,$E241)-IF($F241="",0,$F241))</f>
        <v/>
      </c>
      <c r="H241" s="30">
        <f>IF(AND($L241="",$M241="",$N241=""),"",IF($L241&lt;&gt;"",IF(INDEX(LdANote,$L241)="","—",INDEX(LdANote,$L241)),IF($M241&lt;&gt;"",IF(INDEX(LdBNote,$M241)="","—",INDEX(LdBNote,$M241)),IF($N241&lt;&gt;"",IF(INDEX(LdCNote,$N241)="","—",INDEX(LdCNote,$N241)),""))))</f>
        <v/>
      </c>
      <c r="L241">
        <f>IFERROR(MATCH($C$5&amp;"|"&amp;RIGHT("000000"&amp;225,6),LdAKeyM,0),"")</f>
        <v/>
      </c>
      <c r="M241">
        <f>IFERROR(MATCH($C$5&amp;"|"&amp;RIGHT("000000"&amp;225,6),LdBKeyM,0),"")</f>
        <v/>
      </c>
      <c r="N241">
        <f>IFERROR(MATCH($C$5&amp;"|"&amp;RIGHT("000000"&amp;225,6),LdCKeyM,0),"")</f>
        <v/>
      </c>
    </row>
    <row r="242">
      <c r="A242" s="19" t="n">
        <v>226</v>
      </c>
      <c r="B242" s="20">
        <f>IF(AND($L242="",$M242="",$N242=""),"",IF($L242&lt;&gt;"",INDEX(LdADate,$L242),IF($M242&lt;&gt;"",INDEX(LdBDate,$M242),INDEX(LdCDate,$N242))))</f>
        <v/>
      </c>
      <c r="C242" s="20">
        <f>IF($L242&lt;&gt;"","دستمزد (فردی)",IF($M242&lt;&gt;"","سهم از گروه "&amp;IFERROR(VLOOKUP(INDEX(LdBGroup,$M242),WGTbl,2,0),INDEX(LdBGroup,$M242)),IF($N242&lt;&gt;"",IF(N(INDEX(LdCDep,$N242))&gt;0,"بازگشت بانکی","پرداخت بانکی"),"")))</f>
        <v/>
      </c>
      <c r="D242" s="20">
        <f>IF($L242&lt;&gt;"",IF(INDEX(LdAId,$L242)="","—",INDEX(LdAId,$L242)),IF($M242&lt;&gt;"",IF(INDEX(LdBId,$M242)="","—",INDEX(LdBId,$M242)),IF($N242&lt;&gt;"",IF(INDEX(LdCBank,$N242)="","—",INDEX(LdCBank,$N242)),"")))</f>
        <v/>
      </c>
      <c r="E242" s="21">
        <f>IF($L242&lt;&gt;"",IF(INDEX(LdAAmt,$L242)=0,"",INDEX(LdAAmt,$L242)),IF($M242&lt;&gt;"",IF(INDEX(LdBAmt,$M242)=0,"",INDEX(LdBAmt,$M242)),IF($N242&lt;&gt;"",IF(INDEX(LdCDep,$N242)=0,"",INDEX(LdCDep,$N242)),"")))</f>
        <v/>
      </c>
      <c r="F242" s="21">
        <f>IF(AND($L242="",$M242="",$N242=""),"",IF($N242="","",IF(INDEX(LdCWit,$N242)=0,"",INDEX(LdCWit,$N242))))</f>
        <v/>
      </c>
      <c r="G242" s="31">
        <f>IF($B242="","",IF($G241="",0,$G241)+IF($E242="",0,$E242)-IF($F242="",0,$F242))</f>
        <v/>
      </c>
      <c r="H242" s="32">
        <f>IF(AND($L242="",$M242="",$N242=""),"",IF($L242&lt;&gt;"",IF(INDEX(LdANote,$L242)="","—",INDEX(LdANote,$L242)),IF($M242&lt;&gt;"",IF(INDEX(LdBNote,$M242)="","—",INDEX(LdBNote,$M242)),IF($N242&lt;&gt;"",IF(INDEX(LdCNote,$N242)="","—",INDEX(LdCNote,$N242)),""))))</f>
        <v/>
      </c>
      <c r="L242">
        <f>IFERROR(MATCH($C$5&amp;"|"&amp;RIGHT("000000"&amp;226,6),LdAKeyM,0),"")</f>
        <v/>
      </c>
      <c r="M242">
        <f>IFERROR(MATCH($C$5&amp;"|"&amp;RIGHT("000000"&amp;226,6),LdBKeyM,0),"")</f>
        <v/>
      </c>
      <c r="N242">
        <f>IFERROR(MATCH($C$5&amp;"|"&amp;RIGHT("000000"&amp;226,6),LdCKeyM,0),"")</f>
        <v/>
      </c>
    </row>
    <row r="243">
      <c r="A243" s="10" t="n">
        <v>227</v>
      </c>
      <c r="B243" s="14">
        <f>IF(AND($L243="",$M243="",$N243=""),"",IF($L243&lt;&gt;"",INDEX(LdADate,$L243),IF($M243&lt;&gt;"",INDEX(LdBDate,$M243),INDEX(LdCDate,$N243))))</f>
        <v/>
      </c>
      <c r="C243" s="14">
        <f>IF($L243&lt;&gt;"","دستمزد (فردی)",IF($M243&lt;&gt;"","سهم از گروه "&amp;IFERROR(VLOOKUP(INDEX(LdBGroup,$M243),WGTbl,2,0),INDEX(LdBGroup,$M243)),IF($N243&lt;&gt;"",IF(N(INDEX(LdCDep,$N243))&gt;0,"بازگشت بانکی","پرداخت بانکی"),"")))</f>
        <v/>
      </c>
      <c r="D243" s="14">
        <f>IF($L243&lt;&gt;"",IF(INDEX(LdAId,$L243)="","—",INDEX(LdAId,$L243)),IF($M243&lt;&gt;"",IF(INDEX(LdBId,$M243)="","—",INDEX(LdBId,$M243)),IF($N243&lt;&gt;"",IF(INDEX(LdCBank,$N243)="","—",INDEX(LdCBank,$N243)),"")))</f>
        <v/>
      </c>
      <c r="E243" s="16">
        <f>IF($L243&lt;&gt;"",IF(INDEX(LdAAmt,$L243)=0,"",INDEX(LdAAmt,$L243)),IF($M243&lt;&gt;"",IF(INDEX(LdBAmt,$M243)=0,"",INDEX(LdBAmt,$M243)),IF($N243&lt;&gt;"",IF(INDEX(LdCDep,$N243)=0,"",INDEX(LdCDep,$N243)),"")))</f>
        <v/>
      </c>
      <c r="F243" s="16">
        <f>IF(AND($L243="",$M243="",$N243=""),"",IF($N243="","",IF(INDEX(LdCWit,$N243)=0,"",INDEX(LdCWit,$N243))))</f>
        <v/>
      </c>
      <c r="G243" s="29">
        <f>IF($B243="","",IF($G242="",0,$G242)+IF($E243="",0,$E243)-IF($F243="",0,$F243))</f>
        <v/>
      </c>
      <c r="H243" s="30">
        <f>IF(AND($L243="",$M243="",$N243=""),"",IF($L243&lt;&gt;"",IF(INDEX(LdANote,$L243)="","—",INDEX(LdANote,$L243)),IF($M243&lt;&gt;"",IF(INDEX(LdBNote,$M243)="","—",INDEX(LdBNote,$M243)),IF($N243&lt;&gt;"",IF(INDEX(LdCNote,$N243)="","—",INDEX(LdCNote,$N243)),""))))</f>
        <v/>
      </c>
      <c r="L243">
        <f>IFERROR(MATCH($C$5&amp;"|"&amp;RIGHT("000000"&amp;227,6),LdAKeyM,0),"")</f>
        <v/>
      </c>
      <c r="M243">
        <f>IFERROR(MATCH($C$5&amp;"|"&amp;RIGHT("000000"&amp;227,6),LdBKeyM,0),"")</f>
        <v/>
      </c>
      <c r="N243">
        <f>IFERROR(MATCH($C$5&amp;"|"&amp;RIGHT("000000"&amp;227,6),LdCKeyM,0),"")</f>
        <v/>
      </c>
    </row>
    <row r="244">
      <c r="A244" s="19" t="n">
        <v>228</v>
      </c>
      <c r="B244" s="20">
        <f>IF(AND($L244="",$M244="",$N244=""),"",IF($L244&lt;&gt;"",INDEX(LdADate,$L244),IF($M244&lt;&gt;"",INDEX(LdBDate,$M244),INDEX(LdCDate,$N244))))</f>
        <v/>
      </c>
      <c r="C244" s="20">
        <f>IF($L244&lt;&gt;"","دستمزد (فردی)",IF($M244&lt;&gt;"","سهم از گروه "&amp;IFERROR(VLOOKUP(INDEX(LdBGroup,$M244),WGTbl,2,0),INDEX(LdBGroup,$M244)),IF($N244&lt;&gt;"",IF(N(INDEX(LdCDep,$N244))&gt;0,"بازگشت بانکی","پرداخت بانکی"),"")))</f>
        <v/>
      </c>
      <c r="D244" s="20">
        <f>IF($L244&lt;&gt;"",IF(INDEX(LdAId,$L244)="","—",INDEX(LdAId,$L244)),IF($M244&lt;&gt;"",IF(INDEX(LdBId,$M244)="","—",INDEX(LdBId,$M244)),IF($N244&lt;&gt;"",IF(INDEX(LdCBank,$N244)="","—",INDEX(LdCBank,$N244)),"")))</f>
        <v/>
      </c>
      <c r="E244" s="21">
        <f>IF($L244&lt;&gt;"",IF(INDEX(LdAAmt,$L244)=0,"",INDEX(LdAAmt,$L244)),IF($M244&lt;&gt;"",IF(INDEX(LdBAmt,$M244)=0,"",INDEX(LdBAmt,$M244)),IF($N244&lt;&gt;"",IF(INDEX(LdCDep,$N244)=0,"",INDEX(LdCDep,$N244)),"")))</f>
        <v/>
      </c>
      <c r="F244" s="21">
        <f>IF(AND($L244="",$M244="",$N244=""),"",IF($N244="","",IF(INDEX(LdCWit,$N244)=0,"",INDEX(LdCWit,$N244))))</f>
        <v/>
      </c>
      <c r="G244" s="31">
        <f>IF($B244="","",IF($G243="",0,$G243)+IF($E244="",0,$E244)-IF($F244="",0,$F244))</f>
        <v/>
      </c>
      <c r="H244" s="32">
        <f>IF(AND($L244="",$M244="",$N244=""),"",IF($L244&lt;&gt;"",IF(INDEX(LdANote,$L244)="","—",INDEX(LdANote,$L244)),IF($M244&lt;&gt;"",IF(INDEX(LdBNote,$M244)="","—",INDEX(LdBNote,$M244)),IF($N244&lt;&gt;"",IF(INDEX(LdCNote,$N244)="","—",INDEX(LdCNote,$N244)),""))))</f>
        <v/>
      </c>
      <c r="L244">
        <f>IFERROR(MATCH($C$5&amp;"|"&amp;RIGHT("000000"&amp;228,6),LdAKeyM,0),"")</f>
        <v/>
      </c>
      <c r="M244">
        <f>IFERROR(MATCH($C$5&amp;"|"&amp;RIGHT("000000"&amp;228,6),LdBKeyM,0),"")</f>
        <v/>
      </c>
      <c r="N244">
        <f>IFERROR(MATCH($C$5&amp;"|"&amp;RIGHT("000000"&amp;228,6),LdCKeyM,0),"")</f>
        <v/>
      </c>
    </row>
    <row r="245">
      <c r="A245" s="10" t="n">
        <v>229</v>
      </c>
      <c r="B245" s="14">
        <f>IF(AND($L245="",$M245="",$N245=""),"",IF($L245&lt;&gt;"",INDEX(LdADate,$L245),IF($M245&lt;&gt;"",INDEX(LdBDate,$M245),INDEX(LdCDate,$N245))))</f>
        <v/>
      </c>
      <c r="C245" s="14">
        <f>IF($L245&lt;&gt;"","دستمزد (فردی)",IF($M245&lt;&gt;"","سهم از گروه "&amp;IFERROR(VLOOKUP(INDEX(LdBGroup,$M245),WGTbl,2,0),INDEX(LdBGroup,$M245)),IF($N245&lt;&gt;"",IF(N(INDEX(LdCDep,$N245))&gt;0,"بازگشت بانکی","پرداخت بانکی"),"")))</f>
        <v/>
      </c>
      <c r="D245" s="14">
        <f>IF($L245&lt;&gt;"",IF(INDEX(LdAId,$L245)="","—",INDEX(LdAId,$L245)),IF($M245&lt;&gt;"",IF(INDEX(LdBId,$M245)="","—",INDEX(LdBId,$M245)),IF($N245&lt;&gt;"",IF(INDEX(LdCBank,$N245)="","—",INDEX(LdCBank,$N245)),"")))</f>
        <v/>
      </c>
      <c r="E245" s="16">
        <f>IF($L245&lt;&gt;"",IF(INDEX(LdAAmt,$L245)=0,"",INDEX(LdAAmt,$L245)),IF($M245&lt;&gt;"",IF(INDEX(LdBAmt,$M245)=0,"",INDEX(LdBAmt,$M245)),IF($N245&lt;&gt;"",IF(INDEX(LdCDep,$N245)=0,"",INDEX(LdCDep,$N245)),"")))</f>
        <v/>
      </c>
      <c r="F245" s="16">
        <f>IF(AND($L245="",$M245="",$N245=""),"",IF($N245="","",IF(INDEX(LdCWit,$N245)=0,"",INDEX(LdCWit,$N245))))</f>
        <v/>
      </c>
      <c r="G245" s="29">
        <f>IF($B245="","",IF($G244="",0,$G244)+IF($E245="",0,$E245)-IF($F245="",0,$F245))</f>
        <v/>
      </c>
      <c r="H245" s="30">
        <f>IF(AND($L245="",$M245="",$N245=""),"",IF($L245&lt;&gt;"",IF(INDEX(LdANote,$L245)="","—",INDEX(LdANote,$L245)),IF($M245&lt;&gt;"",IF(INDEX(LdBNote,$M245)="","—",INDEX(LdBNote,$M245)),IF($N245&lt;&gt;"",IF(INDEX(LdCNote,$N245)="","—",INDEX(LdCNote,$N245)),""))))</f>
        <v/>
      </c>
      <c r="L245">
        <f>IFERROR(MATCH($C$5&amp;"|"&amp;RIGHT("000000"&amp;229,6),LdAKeyM,0),"")</f>
        <v/>
      </c>
      <c r="M245">
        <f>IFERROR(MATCH($C$5&amp;"|"&amp;RIGHT("000000"&amp;229,6),LdBKeyM,0),"")</f>
        <v/>
      </c>
      <c r="N245">
        <f>IFERROR(MATCH($C$5&amp;"|"&amp;RIGHT("000000"&amp;229,6),LdCKeyM,0),"")</f>
        <v/>
      </c>
    </row>
    <row r="246">
      <c r="A246" s="19" t="n">
        <v>230</v>
      </c>
      <c r="B246" s="20">
        <f>IF(AND($L246="",$M246="",$N246=""),"",IF($L246&lt;&gt;"",INDEX(LdADate,$L246),IF($M246&lt;&gt;"",INDEX(LdBDate,$M246),INDEX(LdCDate,$N246))))</f>
        <v/>
      </c>
      <c r="C246" s="20">
        <f>IF($L246&lt;&gt;"","دستمزد (فردی)",IF($M246&lt;&gt;"","سهم از گروه "&amp;IFERROR(VLOOKUP(INDEX(LdBGroup,$M246),WGTbl,2,0),INDEX(LdBGroup,$M246)),IF($N246&lt;&gt;"",IF(N(INDEX(LdCDep,$N246))&gt;0,"بازگشت بانکی","پرداخت بانکی"),"")))</f>
        <v/>
      </c>
      <c r="D246" s="20">
        <f>IF($L246&lt;&gt;"",IF(INDEX(LdAId,$L246)="","—",INDEX(LdAId,$L246)),IF($M246&lt;&gt;"",IF(INDEX(LdBId,$M246)="","—",INDEX(LdBId,$M246)),IF($N246&lt;&gt;"",IF(INDEX(LdCBank,$N246)="","—",INDEX(LdCBank,$N246)),"")))</f>
        <v/>
      </c>
      <c r="E246" s="21">
        <f>IF($L246&lt;&gt;"",IF(INDEX(LdAAmt,$L246)=0,"",INDEX(LdAAmt,$L246)),IF($M246&lt;&gt;"",IF(INDEX(LdBAmt,$M246)=0,"",INDEX(LdBAmt,$M246)),IF($N246&lt;&gt;"",IF(INDEX(LdCDep,$N246)=0,"",INDEX(LdCDep,$N246)),"")))</f>
        <v/>
      </c>
      <c r="F246" s="21">
        <f>IF(AND($L246="",$M246="",$N246=""),"",IF($N246="","",IF(INDEX(LdCWit,$N246)=0,"",INDEX(LdCWit,$N246))))</f>
        <v/>
      </c>
      <c r="G246" s="31">
        <f>IF($B246="","",IF($G245="",0,$G245)+IF($E246="",0,$E246)-IF($F246="",0,$F246))</f>
        <v/>
      </c>
      <c r="H246" s="32">
        <f>IF(AND($L246="",$M246="",$N246=""),"",IF($L246&lt;&gt;"",IF(INDEX(LdANote,$L246)="","—",INDEX(LdANote,$L246)),IF($M246&lt;&gt;"",IF(INDEX(LdBNote,$M246)="","—",INDEX(LdBNote,$M246)),IF($N246&lt;&gt;"",IF(INDEX(LdCNote,$N246)="","—",INDEX(LdCNote,$N246)),""))))</f>
        <v/>
      </c>
      <c r="L246">
        <f>IFERROR(MATCH($C$5&amp;"|"&amp;RIGHT("000000"&amp;230,6),LdAKeyM,0),"")</f>
        <v/>
      </c>
      <c r="M246">
        <f>IFERROR(MATCH($C$5&amp;"|"&amp;RIGHT("000000"&amp;230,6),LdBKeyM,0),"")</f>
        <v/>
      </c>
      <c r="N246">
        <f>IFERROR(MATCH($C$5&amp;"|"&amp;RIGHT("000000"&amp;230,6),LdCKeyM,0),"")</f>
        <v/>
      </c>
    </row>
    <row r="247">
      <c r="A247" s="10" t="n">
        <v>231</v>
      </c>
      <c r="B247" s="14">
        <f>IF(AND($L247="",$M247="",$N247=""),"",IF($L247&lt;&gt;"",INDEX(LdADate,$L247),IF($M247&lt;&gt;"",INDEX(LdBDate,$M247),INDEX(LdCDate,$N247))))</f>
        <v/>
      </c>
      <c r="C247" s="14">
        <f>IF($L247&lt;&gt;"","دستمزد (فردی)",IF($M247&lt;&gt;"","سهم از گروه "&amp;IFERROR(VLOOKUP(INDEX(LdBGroup,$M247),WGTbl,2,0),INDEX(LdBGroup,$M247)),IF($N247&lt;&gt;"",IF(N(INDEX(LdCDep,$N247))&gt;0,"بازگشت بانکی","پرداخت بانکی"),"")))</f>
        <v/>
      </c>
      <c r="D247" s="14">
        <f>IF($L247&lt;&gt;"",IF(INDEX(LdAId,$L247)="","—",INDEX(LdAId,$L247)),IF($M247&lt;&gt;"",IF(INDEX(LdBId,$M247)="","—",INDEX(LdBId,$M247)),IF($N247&lt;&gt;"",IF(INDEX(LdCBank,$N247)="","—",INDEX(LdCBank,$N247)),"")))</f>
        <v/>
      </c>
      <c r="E247" s="16">
        <f>IF($L247&lt;&gt;"",IF(INDEX(LdAAmt,$L247)=0,"",INDEX(LdAAmt,$L247)),IF($M247&lt;&gt;"",IF(INDEX(LdBAmt,$M247)=0,"",INDEX(LdBAmt,$M247)),IF($N247&lt;&gt;"",IF(INDEX(LdCDep,$N247)=0,"",INDEX(LdCDep,$N247)),"")))</f>
        <v/>
      </c>
      <c r="F247" s="16">
        <f>IF(AND($L247="",$M247="",$N247=""),"",IF($N247="","",IF(INDEX(LdCWit,$N247)=0,"",INDEX(LdCWit,$N247))))</f>
        <v/>
      </c>
      <c r="G247" s="29">
        <f>IF($B247="","",IF($G246="",0,$G246)+IF($E247="",0,$E247)-IF($F247="",0,$F247))</f>
        <v/>
      </c>
      <c r="H247" s="30">
        <f>IF(AND($L247="",$M247="",$N247=""),"",IF($L247&lt;&gt;"",IF(INDEX(LdANote,$L247)="","—",INDEX(LdANote,$L247)),IF($M247&lt;&gt;"",IF(INDEX(LdBNote,$M247)="","—",INDEX(LdBNote,$M247)),IF($N247&lt;&gt;"",IF(INDEX(LdCNote,$N247)="","—",INDEX(LdCNote,$N247)),""))))</f>
        <v/>
      </c>
      <c r="L247">
        <f>IFERROR(MATCH($C$5&amp;"|"&amp;RIGHT("000000"&amp;231,6),LdAKeyM,0),"")</f>
        <v/>
      </c>
      <c r="M247">
        <f>IFERROR(MATCH($C$5&amp;"|"&amp;RIGHT("000000"&amp;231,6),LdBKeyM,0),"")</f>
        <v/>
      </c>
      <c r="N247">
        <f>IFERROR(MATCH($C$5&amp;"|"&amp;RIGHT("000000"&amp;231,6),LdCKeyM,0),"")</f>
        <v/>
      </c>
    </row>
    <row r="248">
      <c r="A248" s="19" t="n">
        <v>232</v>
      </c>
      <c r="B248" s="20">
        <f>IF(AND($L248="",$M248="",$N248=""),"",IF($L248&lt;&gt;"",INDEX(LdADate,$L248),IF($M248&lt;&gt;"",INDEX(LdBDate,$M248),INDEX(LdCDate,$N248))))</f>
        <v/>
      </c>
      <c r="C248" s="20">
        <f>IF($L248&lt;&gt;"","دستمزد (فردی)",IF($M248&lt;&gt;"","سهم از گروه "&amp;IFERROR(VLOOKUP(INDEX(LdBGroup,$M248),WGTbl,2,0),INDEX(LdBGroup,$M248)),IF($N248&lt;&gt;"",IF(N(INDEX(LdCDep,$N248))&gt;0,"بازگشت بانکی","پرداخت بانکی"),"")))</f>
        <v/>
      </c>
      <c r="D248" s="20">
        <f>IF($L248&lt;&gt;"",IF(INDEX(LdAId,$L248)="","—",INDEX(LdAId,$L248)),IF($M248&lt;&gt;"",IF(INDEX(LdBId,$M248)="","—",INDEX(LdBId,$M248)),IF($N248&lt;&gt;"",IF(INDEX(LdCBank,$N248)="","—",INDEX(LdCBank,$N248)),"")))</f>
        <v/>
      </c>
      <c r="E248" s="21">
        <f>IF($L248&lt;&gt;"",IF(INDEX(LdAAmt,$L248)=0,"",INDEX(LdAAmt,$L248)),IF($M248&lt;&gt;"",IF(INDEX(LdBAmt,$M248)=0,"",INDEX(LdBAmt,$M248)),IF($N248&lt;&gt;"",IF(INDEX(LdCDep,$N248)=0,"",INDEX(LdCDep,$N248)),"")))</f>
        <v/>
      </c>
      <c r="F248" s="21">
        <f>IF(AND($L248="",$M248="",$N248=""),"",IF($N248="","",IF(INDEX(LdCWit,$N248)=0,"",INDEX(LdCWit,$N248))))</f>
        <v/>
      </c>
      <c r="G248" s="31">
        <f>IF($B248="","",IF($G247="",0,$G247)+IF($E248="",0,$E248)-IF($F248="",0,$F248))</f>
        <v/>
      </c>
      <c r="H248" s="32">
        <f>IF(AND($L248="",$M248="",$N248=""),"",IF($L248&lt;&gt;"",IF(INDEX(LdANote,$L248)="","—",INDEX(LdANote,$L248)),IF($M248&lt;&gt;"",IF(INDEX(LdBNote,$M248)="","—",INDEX(LdBNote,$M248)),IF($N248&lt;&gt;"",IF(INDEX(LdCNote,$N248)="","—",INDEX(LdCNote,$N248)),""))))</f>
        <v/>
      </c>
      <c r="L248">
        <f>IFERROR(MATCH($C$5&amp;"|"&amp;RIGHT("000000"&amp;232,6),LdAKeyM,0),"")</f>
        <v/>
      </c>
      <c r="M248">
        <f>IFERROR(MATCH($C$5&amp;"|"&amp;RIGHT("000000"&amp;232,6),LdBKeyM,0),"")</f>
        <v/>
      </c>
      <c r="N248">
        <f>IFERROR(MATCH($C$5&amp;"|"&amp;RIGHT("000000"&amp;232,6),LdCKeyM,0),"")</f>
        <v/>
      </c>
    </row>
    <row r="249">
      <c r="A249" s="10" t="n">
        <v>233</v>
      </c>
      <c r="B249" s="14">
        <f>IF(AND($L249="",$M249="",$N249=""),"",IF($L249&lt;&gt;"",INDEX(LdADate,$L249),IF($M249&lt;&gt;"",INDEX(LdBDate,$M249),INDEX(LdCDate,$N249))))</f>
        <v/>
      </c>
      <c r="C249" s="14">
        <f>IF($L249&lt;&gt;"","دستمزد (فردی)",IF($M249&lt;&gt;"","سهم از گروه "&amp;IFERROR(VLOOKUP(INDEX(LdBGroup,$M249),WGTbl,2,0),INDEX(LdBGroup,$M249)),IF($N249&lt;&gt;"",IF(N(INDEX(LdCDep,$N249))&gt;0,"بازگشت بانکی","پرداخت بانکی"),"")))</f>
        <v/>
      </c>
      <c r="D249" s="14">
        <f>IF($L249&lt;&gt;"",IF(INDEX(LdAId,$L249)="","—",INDEX(LdAId,$L249)),IF($M249&lt;&gt;"",IF(INDEX(LdBId,$M249)="","—",INDEX(LdBId,$M249)),IF($N249&lt;&gt;"",IF(INDEX(LdCBank,$N249)="","—",INDEX(LdCBank,$N249)),"")))</f>
        <v/>
      </c>
      <c r="E249" s="16">
        <f>IF($L249&lt;&gt;"",IF(INDEX(LdAAmt,$L249)=0,"",INDEX(LdAAmt,$L249)),IF($M249&lt;&gt;"",IF(INDEX(LdBAmt,$M249)=0,"",INDEX(LdBAmt,$M249)),IF($N249&lt;&gt;"",IF(INDEX(LdCDep,$N249)=0,"",INDEX(LdCDep,$N249)),"")))</f>
        <v/>
      </c>
      <c r="F249" s="16">
        <f>IF(AND($L249="",$M249="",$N249=""),"",IF($N249="","",IF(INDEX(LdCWit,$N249)=0,"",INDEX(LdCWit,$N249))))</f>
        <v/>
      </c>
      <c r="G249" s="29">
        <f>IF($B249="","",IF($G248="",0,$G248)+IF($E249="",0,$E249)-IF($F249="",0,$F249))</f>
        <v/>
      </c>
      <c r="H249" s="30">
        <f>IF(AND($L249="",$M249="",$N249=""),"",IF($L249&lt;&gt;"",IF(INDEX(LdANote,$L249)="","—",INDEX(LdANote,$L249)),IF($M249&lt;&gt;"",IF(INDEX(LdBNote,$M249)="","—",INDEX(LdBNote,$M249)),IF($N249&lt;&gt;"",IF(INDEX(LdCNote,$N249)="","—",INDEX(LdCNote,$N249)),""))))</f>
        <v/>
      </c>
      <c r="L249">
        <f>IFERROR(MATCH($C$5&amp;"|"&amp;RIGHT("000000"&amp;233,6),LdAKeyM,0),"")</f>
        <v/>
      </c>
      <c r="M249">
        <f>IFERROR(MATCH($C$5&amp;"|"&amp;RIGHT("000000"&amp;233,6),LdBKeyM,0),"")</f>
        <v/>
      </c>
      <c r="N249">
        <f>IFERROR(MATCH($C$5&amp;"|"&amp;RIGHT("000000"&amp;233,6),LdCKeyM,0),"")</f>
        <v/>
      </c>
    </row>
    <row r="250">
      <c r="A250" s="19" t="n">
        <v>234</v>
      </c>
      <c r="B250" s="20">
        <f>IF(AND($L250="",$M250="",$N250=""),"",IF($L250&lt;&gt;"",INDEX(LdADate,$L250),IF($M250&lt;&gt;"",INDEX(LdBDate,$M250),INDEX(LdCDate,$N250))))</f>
        <v/>
      </c>
      <c r="C250" s="20">
        <f>IF($L250&lt;&gt;"","دستمزد (فردی)",IF($M250&lt;&gt;"","سهم از گروه "&amp;IFERROR(VLOOKUP(INDEX(LdBGroup,$M250),WGTbl,2,0),INDEX(LdBGroup,$M250)),IF($N250&lt;&gt;"",IF(N(INDEX(LdCDep,$N250))&gt;0,"بازگشت بانکی","پرداخت بانکی"),"")))</f>
        <v/>
      </c>
      <c r="D250" s="20">
        <f>IF($L250&lt;&gt;"",IF(INDEX(LdAId,$L250)="","—",INDEX(LdAId,$L250)),IF($M250&lt;&gt;"",IF(INDEX(LdBId,$M250)="","—",INDEX(LdBId,$M250)),IF($N250&lt;&gt;"",IF(INDEX(LdCBank,$N250)="","—",INDEX(LdCBank,$N250)),"")))</f>
        <v/>
      </c>
      <c r="E250" s="21">
        <f>IF($L250&lt;&gt;"",IF(INDEX(LdAAmt,$L250)=0,"",INDEX(LdAAmt,$L250)),IF($M250&lt;&gt;"",IF(INDEX(LdBAmt,$M250)=0,"",INDEX(LdBAmt,$M250)),IF($N250&lt;&gt;"",IF(INDEX(LdCDep,$N250)=0,"",INDEX(LdCDep,$N250)),"")))</f>
        <v/>
      </c>
      <c r="F250" s="21">
        <f>IF(AND($L250="",$M250="",$N250=""),"",IF($N250="","",IF(INDEX(LdCWit,$N250)=0,"",INDEX(LdCWit,$N250))))</f>
        <v/>
      </c>
      <c r="G250" s="31">
        <f>IF($B250="","",IF($G249="",0,$G249)+IF($E250="",0,$E250)-IF($F250="",0,$F250))</f>
        <v/>
      </c>
      <c r="H250" s="32">
        <f>IF(AND($L250="",$M250="",$N250=""),"",IF($L250&lt;&gt;"",IF(INDEX(LdANote,$L250)="","—",INDEX(LdANote,$L250)),IF($M250&lt;&gt;"",IF(INDEX(LdBNote,$M250)="","—",INDEX(LdBNote,$M250)),IF($N250&lt;&gt;"",IF(INDEX(LdCNote,$N250)="","—",INDEX(LdCNote,$N250)),""))))</f>
        <v/>
      </c>
      <c r="L250">
        <f>IFERROR(MATCH($C$5&amp;"|"&amp;RIGHT("000000"&amp;234,6),LdAKeyM,0),"")</f>
        <v/>
      </c>
      <c r="M250">
        <f>IFERROR(MATCH($C$5&amp;"|"&amp;RIGHT("000000"&amp;234,6),LdBKeyM,0),"")</f>
        <v/>
      </c>
      <c r="N250">
        <f>IFERROR(MATCH($C$5&amp;"|"&amp;RIGHT("000000"&amp;234,6),LdCKeyM,0),"")</f>
        <v/>
      </c>
    </row>
    <row r="251">
      <c r="A251" s="10" t="n">
        <v>235</v>
      </c>
      <c r="B251" s="14">
        <f>IF(AND($L251="",$M251="",$N251=""),"",IF($L251&lt;&gt;"",INDEX(LdADate,$L251),IF($M251&lt;&gt;"",INDEX(LdBDate,$M251),INDEX(LdCDate,$N251))))</f>
        <v/>
      </c>
      <c r="C251" s="14">
        <f>IF($L251&lt;&gt;"","دستمزد (فردی)",IF($M251&lt;&gt;"","سهم از گروه "&amp;IFERROR(VLOOKUP(INDEX(LdBGroup,$M251),WGTbl,2,0),INDEX(LdBGroup,$M251)),IF($N251&lt;&gt;"",IF(N(INDEX(LdCDep,$N251))&gt;0,"بازگشت بانکی","پرداخت بانکی"),"")))</f>
        <v/>
      </c>
      <c r="D251" s="14">
        <f>IF($L251&lt;&gt;"",IF(INDEX(LdAId,$L251)="","—",INDEX(LdAId,$L251)),IF($M251&lt;&gt;"",IF(INDEX(LdBId,$M251)="","—",INDEX(LdBId,$M251)),IF($N251&lt;&gt;"",IF(INDEX(LdCBank,$N251)="","—",INDEX(LdCBank,$N251)),"")))</f>
        <v/>
      </c>
      <c r="E251" s="16">
        <f>IF($L251&lt;&gt;"",IF(INDEX(LdAAmt,$L251)=0,"",INDEX(LdAAmt,$L251)),IF($M251&lt;&gt;"",IF(INDEX(LdBAmt,$M251)=0,"",INDEX(LdBAmt,$M251)),IF($N251&lt;&gt;"",IF(INDEX(LdCDep,$N251)=0,"",INDEX(LdCDep,$N251)),"")))</f>
        <v/>
      </c>
      <c r="F251" s="16">
        <f>IF(AND($L251="",$M251="",$N251=""),"",IF($N251="","",IF(INDEX(LdCWit,$N251)=0,"",INDEX(LdCWit,$N251))))</f>
        <v/>
      </c>
      <c r="G251" s="29">
        <f>IF($B251="","",IF($G250="",0,$G250)+IF($E251="",0,$E251)-IF($F251="",0,$F251))</f>
        <v/>
      </c>
      <c r="H251" s="30">
        <f>IF(AND($L251="",$M251="",$N251=""),"",IF($L251&lt;&gt;"",IF(INDEX(LdANote,$L251)="","—",INDEX(LdANote,$L251)),IF($M251&lt;&gt;"",IF(INDEX(LdBNote,$M251)="","—",INDEX(LdBNote,$M251)),IF($N251&lt;&gt;"",IF(INDEX(LdCNote,$N251)="","—",INDEX(LdCNote,$N251)),""))))</f>
        <v/>
      </c>
      <c r="L251">
        <f>IFERROR(MATCH($C$5&amp;"|"&amp;RIGHT("000000"&amp;235,6),LdAKeyM,0),"")</f>
        <v/>
      </c>
      <c r="M251">
        <f>IFERROR(MATCH($C$5&amp;"|"&amp;RIGHT("000000"&amp;235,6),LdBKeyM,0),"")</f>
        <v/>
      </c>
      <c r="N251">
        <f>IFERROR(MATCH($C$5&amp;"|"&amp;RIGHT("000000"&amp;235,6),LdCKeyM,0),"")</f>
        <v/>
      </c>
    </row>
    <row r="252">
      <c r="A252" s="19" t="n">
        <v>236</v>
      </c>
      <c r="B252" s="20">
        <f>IF(AND($L252="",$M252="",$N252=""),"",IF($L252&lt;&gt;"",INDEX(LdADate,$L252),IF($M252&lt;&gt;"",INDEX(LdBDate,$M252),INDEX(LdCDate,$N252))))</f>
        <v/>
      </c>
      <c r="C252" s="20">
        <f>IF($L252&lt;&gt;"","دستمزد (فردی)",IF($M252&lt;&gt;"","سهم از گروه "&amp;IFERROR(VLOOKUP(INDEX(LdBGroup,$M252),WGTbl,2,0),INDEX(LdBGroup,$M252)),IF($N252&lt;&gt;"",IF(N(INDEX(LdCDep,$N252))&gt;0,"بازگشت بانکی","پرداخت بانکی"),"")))</f>
        <v/>
      </c>
      <c r="D252" s="20">
        <f>IF($L252&lt;&gt;"",IF(INDEX(LdAId,$L252)="","—",INDEX(LdAId,$L252)),IF($M252&lt;&gt;"",IF(INDEX(LdBId,$M252)="","—",INDEX(LdBId,$M252)),IF($N252&lt;&gt;"",IF(INDEX(LdCBank,$N252)="","—",INDEX(LdCBank,$N252)),"")))</f>
        <v/>
      </c>
      <c r="E252" s="21">
        <f>IF($L252&lt;&gt;"",IF(INDEX(LdAAmt,$L252)=0,"",INDEX(LdAAmt,$L252)),IF($M252&lt;&gt;"",IF(INDEX(LdBAmt,$M252)=0,"",INDEX(LdBAmt,$M252)),IF($N252&lt;&gt;"",IF(INDEX(LdCDep,$N252)=0,"",INDEX(LdCDep,$N252)),"")))</f>
        <v/>
      </c>
      <c r="F252" s="21">
        <f>IF(AND($L252="",$M252="",$N252=""),"",IF($N252="","",IF(INDEX(LdCWit,$N252)=0,"",INDEX(LdCWit,$N252))))</f>
        <v/>
      </c>
      <c r="G252" s="31">
        <f>IF($B252="","",IF($G251="",0,$G251)+IF($E252="",0,$E252)-IF($F252="",0,$F252))</f>
        <v/>
      </c>
      <c r="H252" s="32">
        <f>IF(AND($L252="",$M252="",$N252=""),"",IF($L252&lt;&gt;"",IF(INDEX(LdANote,$L252)="","—",INDEX(LdANote,$L252)),IF($M252&lt;&gt;"",IF(INDEX(LdBNote,$M252)="","—",INDEX(LdBNote,$M252)),IF($N252&lt;&gt;"",IF(INDEX(LdCNote,$N252)="","—",INDEX(LdCNote,$N252)),""))))</f>
        <v/>
      </c>
      <c r="L252">
        <f>IFERROR(MATCH($C$5&amp;"|"&amp;RIGHT("000000"&amp;236,6),LdAKeyM,0),"")</f>
        <v/>
      </c>
      <c r="M252">
        <f>IFERROR(MATCH($C$5&amp;"|"&amp;RIGHT("000000"&amp;236,6),LdBKeyM,0),"")</f>
        <v/>
      </c>
      <c r="N252">
        <f>IFERROR(MATCH($C$5&amp;"|"&amp;RIGHT("000000"&amp;236,6),LdCKeyM,0),"")</f>
        <v/>
      </c>
    </row>
    <row r="253">
      <c r="A253" s="10" t="n">
        <v>237</v>
      </c>
      <c r="B253" s="14">
        <f>IF(AND($L253="",$M253="",$N253=""),"",IF($L253&lt;&gt;"",INDEX(LdADate,$L253),IF($M253&lt;&gt;"",INDEX(LdBDate,$M253),INDEX(LdCDate,$N253))))</f>
        <v/>
      </c>
      <c r="C253" s="14">
        <f>IF($L253&lt;&gt;"","دستمزد (فردی)",IF($M253&lt;&gt;"","سهم از گروه "&amp;IFERROR(VLOOKUP(INDEX(LdBGroup,$M253),WGTbl,2,0),INDEX(LdBGroup,$M253)),IF($N253&lt;&gt;"",IF(N(INDEX(LdCDep,$N253))&gt;0,"بازگشت بانکی","پرداخت بانکی"),"")))</f>
        <v/>
      </c>
      <c r="D253" s="14">
        <f>IF($L253&lt;&gt;"",IF(INDEX(LdAId,$L253)="","—",INDEX(LdAId,$L253)),IF($M253&lt;&gt;"",IF(INDEX(LdBId,$M253)="","—",INDEX(LdBId,$M253)),IF($N253&lt;&gt;"",IF(INDEX(LdCBank,$N253)="","—",INDEX(LdCBank,$N253)),"")))</f>
        <v/>
      </c>
      <c r="E253" s="16">
        <f>IF($L253&lt;&gt;"",IF(INDEX(LdAAmt,$L253)=0,"",INDEX(LdAAmt,$L253)),IF($M253&lt;&gt;"",IF(INDEX(LdBAmt,$M253)=0,"",INDEX(LdBAmt,$M253)),IF($N253&lt;&gt;"",IF(INDEX(LdCDep,$N253)=0,"",INDEX(LdCDep,$N253)),"")))</f>
        <v/>
      </c>
      <c r="F253" s="16">
        <f>IF(AND($L253="",$M253="",$N253=""),"",IF($N253="","",IF(INDEX(LdCWit,$N253)=0,"",INDEX(LdCWit,$N253))))</f>
        <v/>
      </c>
      <c r="G253" s="29">
        <f>IF($B253="","",IF($G252="",0,$G252)+IF($E253="",0,$E253)-IF($F253="",0,$F253))</f>
        <v/>
      </c>
      <c r="H253" s="30">
        <f>IF(AND($L253="",$M253="",$N253=""),"",IF($L253&lt;&gt;"",IF(INDEX(LdANote,$L253)="","—",INDEX(LdANote,$L253)),IF($M253&lt;&gt;"",IF(INDEX(LdBNote,$M253)="","—",INDEX(LdBNote,$M253)),IF($N253&lt;&gt;"",IF(INDEX(LdCNote,$N253)="","—",INDEX(LdCNote,$N253)),""))))</f>
        <v/>
      </c>
      <c r="L253">
        <f>IFERROR(MATCH($C$5&amp;"|"&amp;RIGHT("000000"&amp;237,6),LdAKeyM,0),"")</f>
        <v/>
      </c>
      <c r="M253">
        <f>IFERROR(MATCH($C$5&amp;"|"&amp;RIGHT("000000"&amp;237,6),LdBKeyM,0),"")</f>
        <v/>
      </c>
      <c r="N253">
        <f>IFERROR(MATCH($C$5&amp;"|"&amp;RIGHT("000000"&amp;237,6),LdCKeyM,0),"")</f>
        <v/>
      </c>
    </row>
    <row r="254">
      <c r="A254" s="19" t="n">
        <v>238</v>
      </c>
      <c r="B254" s="20">
        <f>IF(AND($L254="",$M254="",$N254=""),"",IF($L254&lt;&gt;"",INDEX(LdADate,$L254),IF($M254&lt;&gt;"",INDEX(LdBDate,$M254),INDEX(LdCDate,$N254))))</f>
        <v/>
      </c>
      <c r="C254" s="20">
        <f>IF($L254&lt;&gt;"","دستمزد (فردی)",IF($M254&lt;&gt;"","سهم از گروه "&amp;IFERROR(VLOOKUP(INDEX(LdBGroup,$M254),WGTbl,2,0),INDEX(LdBGroup,$M254)),IF($N254&lt;&gt;"",IF(N(INDEX(LdCDep,$N254))&gt;0,"بازگشت بانکی","پرداخت بانکی"),"")))</f>
        <v/>
      </c>
      <c r="D254" s="20">
        <f>IF($L254&lt;&gt;"",IF(INDEX(LdAId,$L254)="","—",INDEX(LdAId,$L254)),IF($M254&lt;&gt;"",IF(INDEX(LdBId,$M254)="","—",INDEX(LdBId,$M254)),IF($N254&lt;&gt;"",IF(INDEX(LdCBank,$N254)="","—",INDEX(LdCBank,$N254)),"")))</f>
        <v/>
      </c>
      <c r="E254" s="21">
        <f>IF($L254&lt;&gt;"",IF(INDEX(LdAAmt,$L254)=0,"",INDEX(LdAAmt,$L254)),IF($M254&lt;&gt;"",IF(INDEX(LdBAmt,$M254)=0,"",INDEX(LdBAmt,$M254)),IF($N254&lt;&gt;"",IF(INDEX(LdCDep,$N254)=0,"",INDEX(LdCDep,$N254)),"")))</f>
        <v/>
      </c>
      <c r="F254" s="21">
        <f>IF(AND($L254="",$M254="",$N254=""),"",IF($N254="","",IF(INDEX(LdCWit,$N254)=0,"",INDEX(LdCWit,$N254))))</f>
        <v/>
      </c>
      <c r="G254" s="31">
        <f>IF($B254="","",IF($G253="",0,$G253)+IF($E254="",0,$E254)-IF($F254="",0,$F254))</f>
        <v/>
      </c>
      <c r="H254" s="32">
        <f>IF(AND($L254="",$M254="",$N254=""),"",IF($L254&lt;&gt;"",IF(INDEX(LdANote,$L254)="","—",INDEX(LdANote,$L254)),IF($M254&lt;&gt;"",IF(INDEX(LdBNote,$M254)="","—",INDEX(LdBNote,$M254)),IF($N254&lt;&gt;"",IF(INDEX(LdCNote,$N254)="","—",INDEX(LdCNote,$N254)),""))))</f>
        <v/>
      </c>
      <c r="L254">
        <f>IFERROR(MATCH($C$5&amp;"|"&amp;RIGHT("000000"&amp;238,6),LdAKeyM,0),"")</f>
        <v/>
      </c>
      <c r="M254">
        <f>IFERROR(MATCH($C$5&amp;"|"&amp;RIGHT("000000"&amp;238,6),LdBKeyM,0),"")</f>
        <v/>
      </c>
      <c r="N254">
        <f>IFERROR(MATCH($C$5&amp;"|"&amp;RIGHT("000000"&amp;238,6),LdCKeyM,0),"")</f>
        <v/>
      </c>
    </row>
    <row r="255">
      <c r="A255" s="10" t="n">
        <v>239</v>
      </c>
      <c r="B255" s="14">
        <f>IF(AND($L255="",$M255="",$N255=""),"",IF($L255&lt;&gt;"",INDEX(LdADate,$L255),IF($M255&lt;&gt;"",INDEX(LdBDate,$M255),INDEX(LdCDate,$N255))))</f>
        <v/>
      </c>
      <c r="C255" s="14">
        <f>IF($L255&lt;&gt;"","دستمزد (فردی)",IF($M255&lt;&gt;"","سهم از گروه "&amp;IFERROR(VLOOKUP(INDEX(LdBGroup,$M255),WGTbl,2,0),INDEX(LdBGroup,$M255)),IF($N255&lt;&gt;"",IF(N(INDEX(LdCDep,$N255))&gt;0,"بازگشت بانکی","پرداخت بانکی"),"")))</f>
        <v/>
      </c>
      <c r="D255" s="14">
        <f>IF($L255&lt;&gt;"",IF(INDEX(LdAId,$L255)="","—",INDEX(LdAId,$L255)),IF($M255&lt;&gt;"",IF(INDEX(LdBId,$M255)="","—",INDEX(LdBId,$M255)),IF($N255&lt;&gt;"",IF(INDEX(LdCBank,$N255)="","—",INDEX(LdCBank,$N255)),"")))</f>
        <v/>
      </c>
      <c r="E255" s="16">
        <f>IF($L255&lt;&gt;"",IF(INDEX(LdAAmt,$L255)=0,"",INDEX(LdAAmt,$L255)),IF($M255&lt;&gt;"",IF(INDEX(LdBAmt,$M255)=0,"",INDEX(LdBAmt,$M255)),IF($N255&lt;&gt;"",IF(INDEX(LdCDep,$N255)=0,"",INDEX(LdCDep,$N255)),"")))</f>
        <v/>
      </c>
      <c r="F255" s="16">
        <f>IF(AND($L255="",$M255="",$N255=""),"",IF($N255="","",IF(INDEX(LdCWit,$N255)=0,"",INDEX(LdCWit,$N255))))</f>
        <v/>
      </c>
      <c r="G255" s="29">
        <f>IF($B255="","",IF($G254="",0,$G254)+IF($E255="",0,$E255)-IF($F255="",0,$F255))</f>
        <v/>
      </c>
      <c r="H255" s="30">
        <f>IF(AND($L255="",$M255="",$N255=""),"",IF($L255&lt;&gt;"",IF(INDEX(LdANote,$L255)="","—",INDEX(LdANote,$L255)),IF($M255&lt;&gt;"",IF(INDEX(LdBNote,$M255)="","—",INDEX(LdBNote,$M255)),IF($N255&lt;&gt;"",IF(INDEX(LdCNote,$N255)="","—",INDEX(LdCNote,$N255)),""))))</f>
        <v/>
      </c>
      <c r="L255">
        <f>IFERROR(MATCH($C$5&amp;"|"&amp;RIGHT("000000"&amp;239,6),LdAKeyM,0),"")</f>
        <v/>
      </c>
      <c r="M255">
        <f>IFERROR(MATCH($C$5&amp;"|"&amp;RIGHT("000000"&amp;239,6),LdBKeyM,0),"")</f>
        <v/>
      </c>
      <c r="N255">
        <f>IFERROR(MATCH($C$5&amp;"|"&amp;RIGHT("000000"&amp;239,6),LdCKeyM,0),"")</f>
        <v/>
      </c>
    </row>
    <row r="256">
      <c r="A256" s="19" t="n">
        <v>240</v>
      </c>
      <c r="B256" s="20">
        <f>IF(AND($L256="",$M256="",$N256=""),"",IF($L256&lt;&gt;"",INDEX(LdADate,$L256),IF($M256&lt;&gt;"",INDEX(LdBDate,$M256),INDEX(LdCDate,$N256))))</f>
        <v/>
      </c>
      <c r="C256" s="20">
        <f>IF($L256&lt;&gt;"","دستمزد (فردی)",IF($M256&lt;&gt;"","سهم از گروه "&amp;IFERROR(VLOOKUP(INDEX(LdBGroup,$M256),WGTbl,2,0),INDEX(LdBGroup,$M256)),IF($N256&lt;&gt;"",IF(N(INDEX(LdCDep,$N256))&gt;0,"بازگشت بانکی","پرداخت بانکی"),"")))</f>
        <v/>
      </c>
      <c r="D256" s="20">
        <f>IF($L256&lt;&gt;"",IF(INDEX(LdAId,$L256)="","—",INDEX(LdAId,$L256)),IF($M256&lt;&gt;"",IF(INDEX(LdBId,$M256)="","—",INDEX(LdBId,$M256)),IF($N256&lt;&gt;"",IF(INDEX(LdCBank,$N256)="","—",INDEX(LdCBank,$N256)),"")))</f>
        <v/>
      </c>
      <c r="E256" s="21">
        <f>IF($L256&lt;&gt;"",IF(INDEX(LdAAmt,$L256)=0,"",INDEX(LdAAmt,$L256)),IF($M256&lt;&gt;"",IF(INDEX(LdBAmt,$M256)=0,"",INDEX(LdBAmt,$M256)),IF($N256&lt;&gt;"",IF(INDEX(LdCDep,$N256)=0,"",INDEX(LdCDep,$N256)),"")))</f>
        <v/>
      </c>
      <c r="F256" s="21">
        <f>IF(AND($L256="",$M256="",$N256=""),"",IF($N256="","",IF(INDEX(LdCWit,$N256)=0,"",INDEX(LdCWit,$N256))))</f>
        <v/>
      </c>
      <c r="G256" s="31">
        <f>IF($B256="","",IF($G255="",0,$G255)+IF($E256="",0,$E256)-IF($F256="",0,$F256))</f>
        <v/>
      </c>
      <c r="H256" s="32">
        <f>IF(AND($L256="",$M256="",$N256=""),"",IF($L256&lt;&gt;"",IF(INDEX(LdANote,$L256)="","—",INDEX(LdANote,$L256)),IF($M256&lt;&gt;"",IF(INDEX(LdBNote,$M256)="","—",INDEX(LdBNote,$M256)),IF($N256&lt;&gt;"",IF(INDEX(LdCNote,$N256)="","—",INDEX(LdCNote,$N256)),""))))</f>
        <v/>
      </c>
      <c r="L256">
        <f>IFERROR(MATCH($C$5&amp;"|"&amp;RIGHT("000000"&amp;240,6),LdAKeyM,0),"")</f>
        <v/>
      </c>
      <c r="M256">
        <f>IFERROR(MATCH($C$5&amp;"|"&amp;RIGHT("000000"&amp;240,6),LdBKeyM,0),"")</f>
        <v/>
      </c>
      <c r="N256">
        <f>IFERROR(MATCH($C$5&amp;"|"&amp;RIGHT("000000"&amp;240,6),LdCKeyM,0),"")</f>
        <v/>
      </c>
    </row>
    <row r="257">
      <c r="A257" s="10" t="n">
        <v>241</v>
      </c>
      <c r="B257" s="14">
        <f>IF(AND($L257="",$M257="",$N257=""),"",IF($L257&lt;&gt;"",INDEX(LdADate,$L257),IF($M257&lt;&gt;"",INDEX(LdBDate,$M257),INDEX(LdCDate,$N257))))</f>
        <v/>
      </c>
      <c r="C257" s="14">
        <f>IF($L257&lt;&gt;"","دستمزد (فردی)",IF($M257&lt;&gt;"","سهم از گروه "&amp;IFERROR(VLOOKUP(INDEX(LdBGroup,$M257),WGTbl,2,0),INDEX(LdBGroup,$M257)),IF($N257&lt;&gt;"",IF(N(INDEX(LdCDep,$N257))&gt;0,"بازگشت بانکی","پرداخت بانکی"),"")))</f>
        <v/>
      </c>
      <c r="D257" s="14">
        <f>IF($L257&lt;&gt;"",IF(INDEX(LdAId,$L257)="","—",INDEX(LdAId,$L257)),IF($M257&lt;&gt;"",IF(INDEX(LdBId,$M257)="","—",INDEX(LdBId,$M257)),IF($N257&lt;&gt;"",IF(INDEX(LdCBank,$N257)="","—",INDEX(LdCBank,$N257)),"")))</f>
        <v/>
      </c>
      <c r="E257" s="16">
        <f>IF($L257&lt;&gt;"",IF(INDEX(LdAAmt,$L257)=0,"",INDEX(LdAAmt,$L257)),IF($M257&lt;&gt;"",IF(INDEX(LdBAmt,$M257)=0,"",INDEX(LdBAmt,$M257)),IF($N257&lt;&gt;"",IF(INDEX(LdCDep,$N257)=0,"",INDEX(LdCDep,$N257)),"")))</f>
        <v/>
      </c>
      <c r="F257" s="16">
        <f>IF(AND($L257="",$M257="",$N257=""),"",IF($N257="","",IF(INDEX(LdCWit,$N257)=0,"",INDEX(LdCWit,$N257))))</f>
        <v/>
      </c>
      <c r="G257" s="29">
        <f>IF($B257="","",IF($G256="",0,$G256)+IF($E257="",0,$E257)-IF($F257="",0,$F257))</f>
        <v/>
      </c>
      <c r="H257" s="30">
        <f>IF(AND($L257="",$M257="",$N257=""),"",IF($L257&lt;&gt;"",IF(INDEX(LdANote,$L257)="","—",INDEX(LdANote,$L257)),IF($M257&lt;&gt;"",IF(INDEX(LdBNote,$M257)="","—",INDEX(LdBNote,$M257)),IF($N257&lt;&gt;"",IF(INDEX(LdCNote,$N257)="","—",INDEX(LdCNote,$N257)),""))))</f>
        <v/>
      </c>
      <c r="L257">
        <f>IFERROR(MATCH($C$5&amp;"|"&amp;RIGHT("000000"&amp;241,6),LdAKeyM,0),"")</f>
        <v/>
      </c>
      <c r="M257">
        <f>IFERROR(MATCH($C$5&amp;"|"&amp;RIGHT("000000"&amp;241,6),LdBKeyM,0),"")</f>
        <v/>
      </c>
      <c r="N257">
        <f>IFERROR(MATCH($C$5&amp;"|"&amp;RIGHT("000000"&amp;241,6),LdCKeyM,0),"")</f>
        <v/>
      </c>
    </row>
    <row r="258">
      <c r="A258" s="19" t="n">
        <v>242</v>
      </c>
      <c r="B258" s="20">
        <f>IF(AND($L258="",$M258="",$N258=""),"",IF($L258&lt;&gt;"",INDEX(LdADate,$L258),IF($M258&lt;&gt;"",INDEX(LdBDate,$M258),INDEX(LdCDate,$N258))))</f>
        <v/>
      </c>
      <c r="C258" s="20">
        <f>IF($L258&lt;&gt;"","دستمزد (فردی)",IF($M258&lt;&gt;"","سهم از گروه "&amp;IFERROR(VLOOKUP(INDEX(LdBGroup,$M258),WGTbl,2,0),INDEX(LdBGroup,$M258)),IF($N258&lt;&gt;"",IF(N(INDEX(LdCDep,$N258))&gt;0,"بازگشت بانکی","پرداخت بانکی"),"")))</f>
        <v/>
      </c>
      <c r="D258" s="20">
        <f>IF($L258&lt;&gt;"",IF(INDEX(LdAId,$L258)="","—",INDEX(LdAId,$L258)),IF($M258&lt;&gt;"",IF(INDEX(LdBId,$M258)="","—",INDEX(LdBId,$M258)),IF($N258&lt;&gt;"",IF(INDEX(LdCBank,$N258)="","—",INDEX(LdCBank,$N258)),"")))</f>
        <v/>
      </c>
      <c r="E258" s="21">
        <f>IF($L258&lt;&gt;"",IF(INDEX(LdAAmt,$L258)=0,"",INDEX(LdAAmt,$L258)),IF($M258&lt;&gt;"",IF(INDEX(LdBAmt,$M258)=0,"",INDEX(LdBAmt,$M258)),IF($N258&lt;&gt;"",IF(INDEX(LdCDep,$N258)=0,"",INDEX(LdCDep,$N258)),"")))</f>
        <v/>
      </c>
      <c r="F258" s="21">
        <f>IF(AND($L258="",$M258="",$N258=""),"",IF($N258="","",IF(INDEX(LdCWit,$N258)=0,"",INDEX(LdCWit,$N258))))</f>
        <v/>
      </c>
      <c r="G258" s="31">
        <f>IF($B258="","",IF($G257="",0,$G257)+IF($E258="",0,$E258)-IF($F258="",0,$F258))</f>
        <v/>
      </c>
      <c r="H258" s="32">
        <f>IF(AND($L258="",$M258="",$N258=""),"",IF($L258&lt;&gt;"",IF(INDEX(LdANote,$L258)="","—",INDEX(LdANote,$L258)),IF($M258&lt;&gt;"",IF(INDEX(LdBNote,$M258)="","—",INDEX(LdBNote,$M258)),IF($N258&lt;&gt;"",IF(INDEX(LdCNote,$N258)="","—",INDEX(LdCNote,$N258)),""))))</f>
        <v/>
      </c>
      <c r="L258">
        <f>IFERROR(MATCH($C$5&amp;"|"&amp;RIGHT("000000"&amp;242,6),LdAKeyM,0),"")</f>
        <v/>
      </c>
      <c r="M258">
        <f>IFERROR(MATCH($C$5&amp;"|"&amp;RIGHT("000000"&amp;242,6),LdBKeyM,0),"")</f>
        <v/>
      </c>
      <c r="N258">
        <f>IFERROR(MATCH($C$5&amp;"|"&amp;RIGHT("000000"&amp;242,6),LdCKeyM,0),"")</f>
        <v/>
      </c>
    </row>
    <row r="259">
      <c r="A259" s="10" t="n">
        <v>243</v>
      </c>
      <c r="B259" s="14">
        <f>IF(AND($L259="",$M259="",$N259=""),"",IF($L259&lt;&gt;"",INDEX(LdADate,$L259),IF($M259&lt;&gt;"",INDEX(LdBDate,$M259),INDEX(LdCDate,$N259))))</f>
        <v/>
      </c>
      <c r="C259" s="14">
        <f>IF($L259&lt;&gt;"","دستمزد (فردی)",IF($M259&lt;&gt;"","سهم از گروه "&amp;IFERROR(VLOOKUP(INDEX(LdBGroup,$M259),WGTbl,2,0),INDEX(LdBGroup,$M259)),IF($N259&lt;&gt;"",IF(N(INDEX(LdCDep,$N259))&gt;0,"بازگشت بانکی","پرداخت بانکی"),"")))</f>
        <v/>
      </c>
      <c r="D259" s="14">
        <f>IF($L259&lt;&gt;"",IF(INDEX(LdAId,$L259)="","—",INDEX(LdAId,$L259)),IF($M259&lt;&gt;"",IF(INDEX(LdBId,$M259)="","—",INDEX(LdBId,$M259)),IF($N259&lt;&gt;"",IF(INDEX(LdCBank,$N259)="","—",INDEX(LdCBank,$N259)),"")))</f>
        <v/>
      </c>
      <c r="E259" s="16">
        <f>IF($L259&lt;&gt;"",IF(INDEX(LdAAmt,$L259)=0,"",INDEX(LdAAmt,$L259)),IF($M259&lt;&gt;"",IF(INDEX(LdBAmt,$M259)=0,"",INDEX(LdBAmt,$M259)),IF($N259&lt;&gt;"",IF(INDEX(LdCDep,$N259)=0,"",INDEX(LdCDep,$N259)),"")))</f>
        <v/>
      </c>
      <c r="F259" s="16">
        <f>IF(AND($L259="",$M259="",$N259=""),"",IF($N259="","",IF(INDEX(LdCWit,$N259)=0,"",INDEX(LdCWit,$N259))))</f>
        <v/>
      </c>
      <c r="G259" s="29">
        <f>IF($B259="","",IF($G258="",0,$G258)+IF($E259="",0,$E259)-IF($F259="",0,$F259))</f>
        <v/>
      </c>
      <c r="H259" s="30">
        <f>IF(AND($L259="",$M259="",$N259=""),"",IF($L259&lt;&gt;"",IF(INDEX(LdANote,$L259)="","—",INDEX(LdANote,$L259)),IF($M259&lt;&gt;"",IF(INDEX(LdBNote,$M259)="","—",INDEX(LdBNote,$M259)),IF($N259&lt;&gt;"",IF(INDEX(LdCNote,$N259)="","—",INDEX(LdCNote,$N259)),""))))</f>
        <v/>
      </c>
      <c r="L259">
        <f>IFERROR(MATCH($C$5&amp;"|"&amp;RIGHT("000000"&amp;243,6),LdAKeyM,0),"")</f>
        <v/>
      </c>
      <c r="M259">
        <f>IFERROR(MATCH($C$5&amp;"|"&amp;RIGHT("000000"&amp;243,6),LdBKeyM,0),"")</f>
        <v/>
      </c>
      <c r="N259">
        <f>IFERROR(MATCH($C$5&amp;"|"&amp;RIGHT("000000"&amp;243,6),LdCKeyM,0),"")</f>
        <v/>
      </c>
    </row>
    <row r="260">
      <c r="A260" s="19" t="n">
        <v>244</v>
      </c>
      <c r="B260" s="20">
        <f>IF(AND($L260="",$M260="",$N260=""),"",IF($L260&lt;&gt;"",INDEX(LdADate,$L260),IF($M260&lt;&gt;"",INDEX(LdBDate,$M260),INDEX(LdCDate,$N260))))</f>
        <v/>
      </c>
      <c r="C260" s="20">
        <f>IF($L260&lt;&gt;"","دستمزد (فردی)",IF($M260&lt;&gt;"","سهم از گروه "&amp;IFERROR(VLOOKUP(INDEX(LdBGroup,$M260),WGTbl,2,0),INDEX(LdBGroup,$M260)),IF($N260&lt;&gt;"",IF(N(INDEX(LdCDep,$N260))&gt;0,"بازگشت بانکی","پرداخت بانکی"),"")))</f>
        <v/>
      </c>
      <c r="D260" s="20">
        <f>IF($L260&lt;&gt;"",IF(INDEX(LdAId,$L260)="","—",INDEX(LdAId,$L260)),IF($M260&lt;&gt;"",IF(INDEX(LdBId,$M260)="","—",INDEX(LdBId,$M260)),IF($N260&lt;&gt;"",IF(INDEX(LdCBank,$N260)="","—",INDEX(LdCBank,$N260)),"")))</f>
        <v/>
      </c>
      <c r="E260" s="21">
        <f>IF($L260&lt;&gt;"",IF(INDEX(LdAAmt,$L260)=0,"",INDEX(LdAAmt,$L260)),IF($M260&lt;&gt;"",IF(INDEX(LdBAmt,$M260)=0,"",INDEX(LdBAmt,$M260)),IF($N260&lt;&gt;"",IF(INDEX(LdCDep,$N260)=0,"",INDEX(LdCDep,$N260)),"")))</f>
        <v/>
      </c>
      <c r="F260" s="21">
        <f>IF(AND($L260="",$M260="",$N260=""),"",IF($N260="","",IF(INDEX(LdCWit,$N260)=0,"",INDEX(LdCWit,$N260))))</f>
        <v/>
      </c>
      <c r="G260" s="31">
        <f>IF($B260="","",IF($G259="",0,$G259)+IF($E260="",0,$E260)-IF($F260="",0,$F260))</f>
        <v/>
      </c>
      <c r="H260" s="32">
        <f>IF(AND($L260="",$M260="",$N260=""),"",IF($L260&lt;&gt;"",IF(INDEX(LdANote,$L260)="","—",INDEX(LdANote,$L260)),IF($M260&lt;&gt;"",IF(INDEX(LdBNote,$M260)="","—",INDEX(LdBNote,$M260)),IF($N260&lt;&gt;"",IF(INDEX(LdCNote,$N260)="","—",INDEX(LdCNote,$N260)),""))))</f>
        <v/>
      </c>
      <c r="L260">
        <f>IFERROR(MATCH($C$5&amp;"|"&amp;RIGHT("000000"&amp;244,6),LdAKeyM,0),"")</f>
        <v/>
      </c>
      <c r="M260">
        <f>IFERROR(MATCH($C$5&amp;"|"&amp;RIGHT("000000"&amp;244,6),LdBKeyM,0),"")</f>
        <v/>
      </c>
      <c r="N260">
        <f>IFERROR(MATCH($C$5&amp;"|"&amp;RIGHT("000000"&amp;244,6),LdCKeyM,0),"")</f>
        <v/>
      </c>
    </row>
    <row r="261">
      <c r="A261" s="10" t="n">
        <v>245</v>
      </c>
      <c r="B261" s="14">
        <f>IF(AND($L261="",$M261="",$N261=""),"",IF($L261&lt;&gt;"",INDEX(LdADate,$L261),IF($M261&lt;&gt;"",INDEX(LdBDate,$M261),INDEX(LdCDate,$N261))))</f>
        <v/>
      </c>
      <c r="C261" s="14">
        <f>IF($L261&lt;&gt;"","دستمزد (فردی)",IF($M261&lt;&gt;"","سهم از گروه "&amp;IFERROR(VLOOKUP(INDEX(LdBGroup,$M261),WGTbl,2,0),INDEX(LdBGroup,$M261)),IF($N261&lt;&gt;"",IF(N(INDEX(LdCDep,$N261))&gt;0,"بازگشت بانکی","پرداخت بانکی"),"")))</f>
        <v/>
      </c>
      <c r="D261" s="14">
        <f>IF($L261&lt;&gt;"",IF(INDEX(LdAId,$L261)="","—",INDEX(LdAId,$L261)),IF($M261&lt;&gt;"",IF(INDEX(LdBId,$M261)="","—",INDEX(LdBId,$M261)),IF($N261&lt;&gt;"",IF(INDEX(LdCBank,$N261)="","—",INDEX(LdCBank,$N261)),"")))</f>
        <v/>
      </c>
      <c r="E261" s="16">
        <f>IF($L261&lt;&gt;"",IF(INDEX(LdAAmt,$L261)=0,"",INDEX(LdAAmt,$L261)),IF($M261&lt;&gt;"",IF(INDEX(LdBAmt,$M261)=0,"",INDEX(LdBAmt,$M261)),IF($N261&lt;&gt;"",IF(INDEX(LdCDep,$N261)=0,"",INDEX(LdCDep,$N261)),"")))</f>
        <v/>
      </c>
      <c r="F261" s="16">
        <f>IF(AND($L261="",$M261="",$N261=""),"",IF($N261="","",IF(INDEX(LdCWit,$N261)=0,"",INDEX(LdCWit,$N261))))</f>
        <v/>
      </c>
      <c r="G261" s="29">
        <f>IF($B261="","",IF($G260="",0,$G260)+IF($E261="",0,$E261)-IF($F261="",0,$F261))</f>
        <v/>
      </c>
      <c r="H261" s="30">
        <f>IF(AND($L261="",$M261="",$N261=""),"",IF($L261&lt;&gt;"",IF(INDEX(LdANote,$L261)="","—",INDEX(LdANote,$L261)),IF($M261&lt;&gt;"",IF(INDEX(LdBNote,$M261)="","—",INDEX(LdBNote,$M261)),IF($N261&lt;&gt;"",IF(INDEX(LdCNote,$N261)="","—",INDEX(LdCNote,$N261)),""))))</f>
        <v/>
      </c>
      <c r="L261">
        <f>IFERROR(MATCH($C$5&amp;"|"&amp;RIGHT("000000"&amp;245,6),LdAKeyM,0),"")</f>
        <v/>
      </c>
      <c r="M261">
        <f>IFERROR(MATCH($C$5&amp;"|"&amp;RIGHT("000000"&amp;245,6),LdBKeyM,0),"")</f>
        <v/>
      </c>
      <c r="N261">
        <f>IFERROR(MATCH($C$5&amp;"|"&amp;RIGHT("000000"&amp;245,6),LdCKeyM,0),"")</f>
        <v/>
      </c>
    </row>
    <row r="262">
      <c r="A262" s="19" t="n">
        <v>246</v>
      </c>
      <c r="B262" s="20">
        <f>IF(AND($L262="",$M262="",$N262=""),"",IF($L262&lt;&gt;"",INDEX(LdADate,$L262),IF($M262&lt;&gt;"",INDEX(LdBDate,$M262),INDEX(LdCDate,$N262))))</f>
        <v/>
      </c>
      <c r="C262" s="20">
        <f>IF($L262&lt;&gt;"","دستمزد (فردی)",IF($M262&lt;&gt;"","سهم از گروه "&amp;IFERROR(VLOOKUP(INDEX(LdBGroup,$M262),WGTbl,2,0),INDEX(LdBGroup,$M262)),IF($N262&lt;&gt;"",IF(N(INDEX(LdCDep,$N262))&gt;0,"بازگشت بانکی","پرداخت بانکی"),"")))</f>
        <v/>
      </c>
      <c r="D262" s="20">
        <f>IF($L262&lt;&gt;"",IF(INDEX(LdAId,$L262)="","—",INDEX(LdAId,$L262)),IF($M262&lt;&gt;"",IF(INDEX(LdBId,$M262)="","—",INDEX(LdBId,$M262)),IF($N262&lt;&gt;"",IF(INDEX(LdCBank,$N262)="","—",INDEX(LdCBank,$N262)),"")))</f>
        <v/>
      </c>
      <c r="E262" s="21">
        <f>IF($L262&lt;&gt;"",IF(INDEX(LdAAmt,$L262)=0,"",INDEX(LdAAmt,$L262)),IF($M262&lt;&gt;"",IF(INDEX(LdBAmt,$M262)=0,"",INDEX(LdBAmt,$M262)),IF($N262&lt;&gt;"",IF(INDEX(LdCDep,$N262)=0,"",INDEX(LdCDep,$N262)),"")))</f>
        <v/>
      </c>
      <c r="F262" s="21">
        <f>IF(AND($L262="",$M262="",$N262=""),"",IF($N262="","",IF(INDEX(LdCWit,$N262)=0,"",INDEX(LdCWit,$N262))))</f>
        <v/>
      </c>
      <c r="G262" s="31">
        <f>IF($B262="","",IF($G261="",0,$G261)+IF($E262="",0,$E262)-IF($F262="",0,$F262))</f>
        <v/>
      </c>
      <c r="H262" s="32">
        <f>IF(AND($L262="",$M262="",$N262=""),"",IF($L262&lt;&gt;"",IF(INDEX(LdANote,$L262)="","—",INDEX(LdANote,$L262)),IF($M262&lt;&gt;"",IF(INDEX(LdBNote,$M262)="","—",INDEX(LdBNote,$M262)),IF($N262&lt;&gt;"",IF(INDEX(LdCNote,$N262)="","—",INDEX(LdCNote,$N262)),""))))</f>
        <v/>
      </c>
      <c r="L262">
        <f>IFERROR(MATCH($C$5&amp;"|"&amp;RIGHT("000000"&amp;246,6),LdAKeyM,0),"")</f>
        <v/>
      </c>
      <c r="M262">
        <f>IFERROR(MATCH($C$5&amp;"|"&amp;RIGHT("000000"&amp;246,6),LdBKeyM,0),"")</f>
        <v/>
      </c>
      <c r="N262">
        <f>IFERROR(MATCH($C$5&amp;"|"&amp;RIGHT("000000"&amp;246,6),LdCKeyM,0),"")</f>
        <v/>
      </c>
    </row>
    <row r="263">
      <c r="A263" s="10" t="n">
        <v>247</v>
      </c>
      <c r="B263" s="14">
        <f>IF(AND($L263="",$M263="",$N263=""),"",IF($L263&lt;&gt;"",INDEX(LdADate,$L263),IF($M263&lt;&gt;"",INDEX(LdBDate,$M263),INDEX(LdCDate,$N263))))</f>
        <v/>
      </c>
      <c r="C263" s="14">
        <f>IF($L263&lt;&gt;"","دستمزد (فردی)",IF($M263&lt;&gt;"","سهم از گروه "&amp;IFERROR(VLOOKUP(INDEX(LdBGroup,$M263),WGTbl,2,0),INDEX(LdBGroup,$M263)),IF($N263&lt;&gt;"",IF(N(INDEX(LdCDep,$N263))&gt;0,"بازگشت بانکی","پرداخت بانکی"),"")))</f>
        <v/>
      </c>
      <c r="D263" s="14">
        <f>IF($L263&lt;&gt;"",IF(INDEX(LdAId,$L263)="","—",INDEX(LdAId,$L263)),IF($M263&lt;&gt;"",IF(INDEX(LdBId,$M263)="","—",INDEX(LdBId,$M263)),IF($N263&lt;&gt;"",IF(INDEX(LdCBank,$N263)="","—",INDEX(LdCBank,$N263)),"")))</f>
        <v/>
      </c>
      <c r="E263" s="16">
        <f>IF($L263&lt;&gt;"",IF(INDEX(LdAAmt,$L263)=0,"",INDEX(LdAAmt,$L263)),IF($M263&lt;&gt;"",IF(INDEX(LdBAmt,$M263)=0,"",INDEX(LdBAmt,$M263)),IF($N263&lt;&gt;"",IF(INDEX(LdCDep,$N263)=0,"",INDEX(LdCDep,$N263)),"")))</f>
        <v/>
      </c>
      <c r="F263" s="16">
        <f>IF(AND($L263="",$M263="",$N263=""),"",IF($N263="","",IF(INDEX(LdCWit,$N263)=0,"",INDEX(LdCWit,$N263))))</f>
        <v/>
      </c>
      <c r="G263" s="29">
        <f>IF($B263="","",IF($G262="",0,$G262)+IF($E263="",0,$E263)-IF($F263="",0,$F263))</f>
        <v/>
      </c>
      <c r="H263" s="30">
        <f>IF(AND($L263="",$M263="",$N263=""),"",IF($L263&lt;&gt;"",IF(INDEX(LdANote,$L263)="","—",INDEX(LdANote,$L263)),IF($M263&lt;&gt;"",IF(INDEX(LdBNote,$M263)="","—",INDEX(LdBNote,$M263)),IF($N263&lt;&gt;"",IF(INDEX(LdCNote,$N263)="","—",INDEX(LdCNote,$N263)),""))))</f>
        <v/>
      </c>
      <c r="L263">
        <f>IFERROR(MATCH($C$5&amp;"|"&amp;RIGHT("000000"&amp;247,6),LdAKeyM,0),"")</f>
        <v/>
      </c>
      <c r="M263">
        <f>IFERROR(MATCH($C$5&amp;"|"&amp;RIGHT("000000"&amp;247,6),LdBKeyM,0),"")</f>
        <v/>
      </c>
      <c r="N263">
        <f>IFERROR(MATCH($C$5&amp;"|"&amp;RIGHT("000000"&amp;247,6),LdCKeyM,0),"")</f>
        <v/>
      </c>
    </row>
    <row r="264">
      <c r="A264" s="19" t="n">
        <v>248</v>
      </c>
      <c r="B264" s="20">
        <f>IF(AND($L264="",$M264="",$N264=""),"",IF($L264&lt;&gt;"",INDEX(LdADate,$L264),IF($M264&lt;&gt;"",INDEX(LdBDate,$M264),INDEX(LdCDate,$N264))))</f>
        <v/>
      </c>
      <c r="C264" s="20">
        <f>IF($L264&lt;&gt;"","دستمزد (فردی)",IF($M264&lt;&gt;"","سهم از گروه "&amp;IFERROR(VLOOKUP(INDEX(LdBGroup,$M264),WGTbl,2,0),INDEX(LdBGroup,$M264)),IF($N264&lt;&gt;"",IF(N(INDEX(LdCDep,$N264))&gt;0,"بازگشت بانکی","پرداخت بانکی"),"")))</f>
        <v/>
      </c>
      <c r="D264" s="20">
        <f>IF($L264&lt;&gt;"",IF(INDEX(LdAId,$L264)="","—",INDEX(LdAId,$L264)),IF($M264&lt;&gt;"",IF(INDEX(LdBId,$M264)="","—",INDEX(LdBId,$M264)),IF($N264&lt;&gt;"",IF(INDEX(LdCBank,$N264)="","—",INDEX(LdCBank,$N264)),"")))</f>
        <v/>
      </c>
      <c r="E264" s="21">
        <f>IF($L264&lt;&gt;"",IF(INDEX(LdAAmt,$L264)=0,"",INDEX(LdAAmt,$L264)),IF($M264&lt;&gt;"",IF(INDEX(LdBAmt,$M264)=0,"",INDEX(LdBAmt,$M264)),IF($N264&lt;&gt;"",IF(INDEX(LdCDep,$N264)=0,"",INDEX(LdCDep,$N264)),"")))</f>
        <v/>
      </c>
      <c r="F264" s="21">
        <f>IF(AND($L264="",$M264="",$N264=""),"",IF($N264="","",IF(INDEX(LdCWit,$N264)=0,"",INDEX(LdCWit,$N264))))</f>
        <v/>
      </c>
      <c r="G264" s="31">
        <f>IF($B264="","",IF($G263="",0,$G263)+IF($E264="",0,$E264)-IF($F264="",0,$F264))</f>
        <v/>
      </c>
      <c r="H264" s="32">
        <f>IF(AND($L264="",$M264="",$N264=""),"",IF($L264&lt;&gt;"",IF(INDEX(LdANote,$L264)="","—",INDEX(LdANote,$L264)),IF($M264&lt;&gt;"",IF(INDEX(LdBNote,$M264)="","—",INDEX(LdBNote,$M264)),IF($N264&lt;&gt;"",IF(INDEX(LdCNote,$N264)="","—",INDEX(LdCNote,$N264)),""))))</f>
        <v/>
      </c>
      <c r="L264">
        <f>IFERROR(MATCH($C$5&amp;"|"&amp;RIGHT("000000"&amp;248,6),LdAKeyM,0),"")</f>
        <v/>
      </c>
      <c r="M264">
        <f>IFERROR(MATCH($C$5&amp;"|"&amp;RIGHT("000000"&amp;248,6),LdBKeyM,0),"")</f>
        <v/>
      </c>
      <c r="N264">
        <f>IFERROR(MATCH($C$5&amp;"|"&amp;RIGHT("000000"&amp;248,6),LdCKeyM,0),"")</f>
        <v/>
      </c>
    </row>
    <row r="265">
      <c r="A265" s="10" t="n">
        <v>249</v>
      </c>
      <c r="B265" s="14">
        <f>IF(AND($L265="",$M265="",$N265=""),"",IF($L265&lt;&gt;"",INDEX(LdADate,$L265),IF($M265&lt;&gt;"",INDEX(LdBDate,$M265),INDEX(LdCDate,$N265))))</f>
        <v/>
      </c>
      <c r="C265" s="14">
        <f>IF($L265&lt;&gt;"","دستمزد (فردی)",IF($M265&lt;&gt;"","سهم از گروه "&amp;IFERROR(VLOOKUP(INDEX(LdBGroup,$M265),WGTbl,2,0),INDEX(LdBGroup,$M265)),IF($N265&lt;&gt;"",IF(N(INDEX(LdCDep,$N265))&gt;0,"بازگشت بانکی","پرداخت بانکی"),"")))</f>
        <v/>
      </c>
      <c r="D265" s="14">
        <f>IF($L265&lt;&gt;"",IF(INDEX(LdAId,$L265)="","—",INDEX(LdAId,$L265)),IF($M265&lt;&gt;"",IF(INDEX(LdBId,$M265)="","—",INDEX(LdBId,$M265)),IF($N265&lt;&gt;"",IF(INDEX(LdCBank,$N265)="","—",INDEX(LdCBank,$N265)),"")))</f>
        <v/>
      </c>
      <c r="E265" s="16">
        <f>IF($L265&lt;&gt;"",IF(INDEX(LdAAmt,$L265)=0,"",INDEX(LdAAmt,$L265)),IF($M265&lt;&gt;"",IF(INDEX(LdBAmt,$M265)=0,"",INDEX(LdBAmt,$M265)),IF($N265&lt;&gt;"",IF(INDEX(LdCDep,$N265)=0,"",INDEX(LdCDep,$N265)),"")))</f>
        <v/>
      </c>
      <c r="F265" s="16">
        <f>IF(AND($L265="",$M265="",$N265=""),"",IF($N265="","",IF(INDEX(LdCWit,$N265)=0,"",INDEX(LdCWit,$N265))))</f>
        <v/>
      </c>
      <c r="G265" s="29">
        <f>IF($B265="","",IF($G264="",0,$G264)+IF($E265="",0,$E265)-IF($F265="",0,$F265))</f>
        <v/>
      </c>
      <c r="H265" s="30">
        <f>IF(AND($L265="",$M265="",$N265=""),"",IF($L265&lt;&gt;"",IF(INDEX(LdANote,$L265)="","—",INDEX(LdANote,$L265)),IF($M265&lt;&gt;"",IF(INDEX(LdBNote,$M265)="","—",INDEX(LdBNote,$M265)),IF($N265&lt;&gt;"",IF(INDEX(LdCNote,$N265)="","—",INDEX(LdCNote,$N265)),""))))</f>
        <v/>
      </c>
      <c r="L265">
        <f>IFERROR(MATCH($C$5&amp;"|"&amp;RIGHT("000000"&amp;249,6),LdAKeyM,0),"")</f>
        <v/>
      </c>
      <c r="M265">
        <f>IFERROR(MATCH($C$5&amp;"|"&amp;RIGHT("000000"&amp;249,6),LdBKeyM,0),"")</f>
        <v/>
      </c>
      <c r="N265">
        <f>IFERROR(MATCH($C$5&amp;"|"&amp;RIGHT("000000"&amp;249,6),LdCKeyM,0),"")</f>
        <v/>
      </c>
    </row>
    <row r="266">
      <c r="A266" s="19" t="n">
        <v>250</v>
      </c>
      <c r="B266" s="20">
        <f>IF(AND($L266="",$M266="",$N266=""),"",IF($L266&lt;&gt;"",INDEX(LdADate,$L266),IF($M266&lt;&gt;"",INDEX(LdBDate,$M266),INDEX(LdCDate,$N266))))</f>
        <v/>
      </c>
      <c r="C266" s="20">
        <f>IF($L266&lt;&gt;"","دستمزد (فردی)",IF($M266&lt;&gt;"","سهم از گروه "&amp;IFERROR(VLOOKUP(INDEX(LdBGroup,$M266),WGTbl,2,0),INDEX(LdBGroup,$M266)),IF($N266&lt;&gt;"",IF(N(INDEX(LdCDep,$N266))&gt;0,"بازگشت بانکی","پرداخت بانکی"),"")))</f>
        <v/>
      </c>
      <c r="D266" s="20">
        <f>IF($L266&lt;&gt;"",IF(INDEX(LdAId,$L266)="","—",INDEX(LdAId,$L266)),IF($M266&lt;&gt;"",IF(INDEX(LdBId,$M266)="","—",INDEX(LdBId,$M266)),IF($N266&lt;&gt;"",IF(INDEX(LdCBank,$N266)="","—",INDEX(LdCBank,$N266)),"")))</f>
        <v/>
      </c>
      <c r="E266" s="21">
        <f>IF($L266&lt;&gt;"",IF(INDEX(LdAAmt,$L266)=0,"",INDEX(LdAAmt,$L266)),IF($M266&lt;&gt;"",IF(INDEX(LdBAmt,$M266)=0,"",INDEX(LdBAmt,$M266)),IF($N266&lt;&gt;"",IF(INDEX(LdCDep,$N266)=0,"",INDEX(LdCDep,$N266)),"")))</f>
        <v/>
      </c>
      <c r="F266" s="21">
        <f>IF(AND($L266="",$M266="",$N266=""),"",IF($N266="","",IF(INDEX(LdCWit,$N266)=0,"",INDEX(LdCWit,$N266))))</f>
        <v/>
      </c>
      <c r="G266" s="31">
        <f>IF($B266="","",IF($G265="",0,$G265)+IF($E266="",0,$E266)-IF($F266="",0,$F266))</f>
        <v/>
      </c>
      <c r="H266" s="32">
        <f>IF(AND($L266="",$M266="",$N266=""),"",IF($L266&lt;&gt;"",IF(INDEX(LdANote,$L266)="","—",INDEX(LdANote,$L266)),IF($M266&lt;&gt;"",IF(INDEX(LdBNote,$M266)="","—",INDEX(LdBNote,$M266)),IF($N266&lt;&gt;"",IF(INDEX(LdCNote,$N266)="","—",INDEX(LdCNote,$N266)),""))))</f>
        <v/>
      </c>
      <c r="L266">
        <f>IFERROR(MATCH($C$5&amp;"|"&amp;RIGHT("000000"&amp;250,6),LdAKeyM,0),"")</f>
        <v/>
      </c>
      <c r="M266">
        <f>IFERROR(MATCH($C$5&amp;"|"&amp;RIGHT("000000"&amp;250,6),LdBKeyM,0),"")</f>
        <v/>
      </c>
      <c r="N266">
        <f>IFERROR(MATCH($C$5&amp;"|"&amp;RIGHT("000000"&amp;250,6),LdCKeyM,0),"")</f>
        <v/>
      </c>
    </row>
    <row r="267">
      <c r="A267" s="10" t="n">
        <v>251</v>
      </c>
      <c r="B267" s="14">
        <f>IF(AND($L267="",$M267="",$N267=""),"",IF($L267&lt;&gt;"",INDEX(LdADate,$L267),IF($M267&lt;&gt;"",INDEX(LdBDate,$M267),INDEX(LdCDate,$N267))))</f>
        <v/>
      </c>
      <c r="C267" s="14">
        <f>IF($L267&lt;&gt;"","دستمزد (فردی)",IF($M267&lt;&gt;"","سهم از گروه "&amp;IFERROR(VLOOKUP(INDEX(LdBGroup,$M267),WGTbl,2,0),INDEX(LdBGroup,$M267)),IF($N267&lt;&gt;"",IF(N(INDEX(LdCDep,$N267))&gt;0,"بازگشت بانکی","پرداخت بانکی"),"")))</f>
        <v/>
      </c>
      <c r="D267" s="14">
        <f>IF($L267&lt;&gt;"",IF(INDEX(LdAId,$L267)="","—",INDEX(LdAId,$L267)),IF($M267&lt;&gt;"",IF(INDEX(LdBId,$M267)="","—",INDEX(LdBId,$M267)),IF($N267&lt;&gt;"",IF(INDEX(LdCBank,$N267)="","—",INDEX(LdCBank,$N267)),"")))</f>
        <v/>
      </c>
      <c r="E267" s="16">
        <f>IF($L267&lt;&gt;"",IF(INDEX(LdAAmt,$L267)=0,"",INDEX(LdAAmt,$L267)),IF($M267&lt;&gt;"",IF(INDEX(LdBAmt,$M267)=0,"",INDEX(LdBAmt,$M267)),IF($N267&lt;&gt;"",IF(INDEX(LdCDep,$N267)=0,"",INDEX(LdCDep,$N267)),"")))</f>
        <v/>
      </c>
      <c r="F267" s="16">
        <f>IF(AND($L267="",$M267="",$N267=""),"",IF($N267="","",IF(INDEX(LdCWit,$N267)=0,"",INDEX(LdCWit,$N267))))</f>
        <v/>
      </c>
      <c r="G267" s="29">
        <f>IF($B267="","",IF($G266="",0,$G266)+IF($E267="",0,$E267)-IF($F267="",0,$F267))</f>
        <v/>
      </c>
      <c r="H267" s="30">
        <f>IF(AND($L267="",$M267="",$N267=""),"",IF($L267&lt;&gt;"",IF(INDEX(LdANote,$L267)="","—",INDEX(LdANote,$L267)),IF($M267&lt;&gt;"",IF(INDEX(LdBNote,$M267)="","—",INDEX(LdBNote,$M267)),IF($N267&lt;&gt;"",IF(INDEX(LdCNote,$N267)="","—",INDEX(LdCNote,$N267)),""))))</f>
        <v/>
      </c>
      <c r="L267">
        <f>IFERROR(MATCH($C$5&amp;"|"&amp;RIGHT("000000"&amp;251,6),LdAKeyM,0),"")</f>
        <v/>
      </c>
      <c r="M267">
        <f>IFERROR(MATCH($C$5&amp;"|"&amp;RIGHT("000000"&amp;251,6),LdBKeyM,0),"")</f>
        <v/>
      </c>
      <c r="N267">
        <f>IFERROR(MATCH($C$5&amp;"|"&amp;RIGHT("000000"&amp;251,6),LdCKeyM,0),"")</f>
        <v/>
      </c>
    </row>
    <row r="268">
      <c r="A268" s="19" t="n">
        <v>252</v>
      </c>
      <c r="B268" s="20">
        <f>IF(AND($L268="",$M268="",$N268=""),"",IF($L268&lt;&gt;"",INDEX(LdADate,$L268),IF($M268&lt;&gt;"",INDEX(LdBDate,$M268),INDEX(LdCDate,$N268))))</f>
        <v/>
      </c>
      <c r="C268" s="20">
        <f>IF($L268&lt;&gt;"","دستمزد (فردی)",IF($M268&lt;&gt;"","سهم از گروه "&amp;IFERROR(VLOOKUP(INDEX(LdBGroup,$M268),WGTbl,2,0),INDEX(LdBGroup,$M268)),IF($N268&lt;&gt;"",IF(N(INDEX(LdCDep,$N268))&gt;0,"بازگشت بانکی","پرداخت بانکی"),"")))</f>
        <v/>
      </c>
      <c r="D268" s="20">
        <f>IF($L268&lt;&gt;"",IF(INDEX(LdAId,$L268)="","—",INDEX(LdAId,$L268)),IF($M268&lt;&gt;"",IF(INDEX(LdBId,$M268)="","—",INDEX(LdBId,$M268)),IF($N268&lt;&gt;"",IF(INDEX(LdCBank,$N268)="","—",INDEX(LdCBank,$N268)),"")))</f>
        <v/>
      </c>
      <c r="E268" s="21">
        <f>IF($L268&lt;&gt;"",IF(INDEX(LdAAmt,$L268)=0,"",INDEX(LdAAmt,$L268)),IF($M268&lt;&gt;"",IF(INDEX(LdBAmt,$M268)=0,"",INDEX(LdBAmt,$M268)),IF($N268&lt;&gt;"",IF(INDEX(LdCDep,$N268)=0,"",INDEX(LdCDep,$N268)),"")))</f>
        <v/>
      </c>
      <c r="F268" s="21">
        <f>IF(AND($L268="",$M268="",$N268=""),"",IF($N268="","",IF(INDEX(LdCWit,$N268)=0,"",INDEX(LdCWit,$N268))))</f>
        <v/>
      </c>
      <c r="G268" s="31">
        <f>IF($B268="","",IF($G267="",0,$G267)+IF($E268="",0,$E268)-IF($F268="",0,$F268))</f>
        <v/>
      </c>
      <c r="H268" s="32">
        <f>IF(AND($L268="",$M268="",$N268=""),"",IF($L268&lt;&gt;"",IF(INDEX(LdANote,$L268)="","—",INDEX(LdANote,$L268)),IF($M268&lt;&gt;"",IF(INDEX(LdBNote,$M268)="","—",INDEX(LdBNote,$M268)),IF($N268&lt;&gt;"",IF(INDEX(LdCNote,$N268)="","—",INDEX(LdCNote,$N268)),""))))</f>
        <v/>
      </c>
      <c r="L268">
        <f>IFERROR(MATCH($C$5&amp;"|"&amp;RIGHT("000000"&amp;252,6),LdAKeyM,0),"")</f>
        <v/>
      </c>
      <c r="M268">
        <f>IFERROR(MATCH($C$5&amp;"|"&amp;RIGHT("000000"&amp;252,6),LdBKeyM,0),"")</f>
        <v/>
      </c>
      <c r="N268">
        <f>IFERROR(MATCH($C$5&amp;"|"&amp;RIGHT("000000"&amp;252,6),LdCKeyM,0),"")</f>
        <v/>
      </c>
    </row>
    <row r="269">
      <c r="A269" s="10" t="n">
        <v>253</v>
      </c>
      <c r="B269" s="14">
        <f>IF(AND($L269="",$M269="",$N269=""),"",IF($L269&lt;&gt;"",INDEX(LdADate,$L269),IF($M269&lt;&gt;"",INDEX(LdBDate,$M269),INDEX(LdCDate,$N269))))</f>
        <v/>
      </c>
      <c r="C269" s="14">
        <f>IF($L269&lt;&gt;"","دستمزد (فردی)",IF($M269&lt;&gt;"","سهم از گروه "&amp;IFERROR(VLOOKUP(INDEX(LdBGroup,$M269),WGTbl,2,0),INDEX(LdBGroup,$M269)),IF($N269&lt;&gt;"",IF(N(INDEX(LdCDep,$N269))&gt;0,"بازگشت بانکی","پرداخت بانکی"),"")))</f>
        <v/>
      </c>
      <c r="D269" s="14">
        <f>IF($L269&lt;&gt;"",IF(INDEX(LdAId,$L269)="","—",INDEX(LdAId,$L269)),IF($M269&lt;&gt;"",IF(INDEX(LdBId,$M269)="","—",INDEX(LdBId,$M269)),IF($N269&lt;&gt;"",IF(INDEX(LdCBank,$N269)="","—",INDEX(LdCBank,$N269)),"")))</f>
        <v/>
      </c>
      <c r="E269" s="16">
        <f>IF($L269&lt;&gt;"",IF(INDEX(LdAAmt,$L269)=0,"",INDEX(LdAAmt,$L269)),IF($M269&lt;&gt;"",IF(INDEX(LdBAmt,$M269)=0,"",INDEX(LdBAmt,$M269)),IF($N269&lt;&gt;"",IF(INDEX(LdCDep,$N269)=0,"",INDEX(LdCDep,$N269)),"")))</f>
        <v/>
      </c>
      <c r="F269" s="16">
        <f>IF(AND($L269="",$M269="",$N269=""),"",IF($N269="","",IF(INDEX(LdCWit,$N269)=0,"",INDEX(LdCWit,$N269))))</f>
        <v/>
      </c>
      <c r="G269" s="29">
        <f>IF($B269="","",IF($G268="",0,$G268)+IF($E269="",0,$E269)-IF($F269="",0,$F269))</f>
        <v/>
      </c>
      <c r="H269" s="30">
        <f>IF(AND($L269="",$M269="",$N269=""),"",IF($L269&lt;&gt;"",IF(INDEX(LdANote,$L269)="","—",INDEX(LdANote,$L269)),IF($M269&lt;&gt;"",IF(INDEX(LdBNote,$M269)="","—",INDEX(LdBNote,$M269)),IF($N269&lt;&gt;"",IF(INDEX(LdCNote,$N269)="","—",INDEX(LdCNote,$N269)),""))))</f>
        <v/>
      </c>
      <c r="L269">
        <f>IFERROR(MATCH($C$5&amp;"|"&amp;RIGHT("000000"&amp;253,6),LdAKeyM,0),"")</f>
        <v/>
      </c>
      <c r="M269">
        <f>IFERROR(MATCH($C$5&amp;"|"&amp;RIGHT("000000"&amp;253,6),LdBKeyM,0),"")</f>
        <v/>
      </c>
      <c r="N269">
        <f>IFERROR(MATCH($C$5&amp;"|"&amp;RIGHT("000000"&amp;253,6),LdCKeyM,0),"")</f>
        <v/>
      </c>
    </row>
    <row r="270">
      <c r="A270" s="19" t="n">
        <v>254</v>
      </c>
      <c r="B270" s="20">
        <f>IF(AND($L270="",$M270="",$N270=""),"",IF($L270&lt;&gt;"",INDEX(LdADate,$L270),IF($M270&lt;&gt;"",INDEX(LdBDate,$M270),INDEX(LdCDate,$N270))))</f>
        <v/>
      </c>
      <c r="C270" s="20">
        <f>IF($L270&lt;&gt;"","دستمزد (فردی)",IF($M270&lt;&gt;"","سهم از گروه "&amp;IFERROR(VLOOKUP(INDEX(LdBGroup,$M270),WGTbl,2,0),INDEX(LdBGroup,$M270)),IF($N270&lt;&gt;"",IF(N(INDEX(LdCDep,$N270))&gt;0,"بازگشت بانکی","پرداخت بانکی"),"")))</f>
        <v/>
      </c>
      <c r="D270" s="20">
        <f>IF($L270&lt;&gt;"",IF(INDEX(LdAId,$L270)="","—",INDEX(LdAId,$L270)),IF($M270&lt;&gt;"",IF(INDEX(LdBId,$M270)="","—",INDEX(LdBId,$M270)),IF($N270&lt;&gt;"",IF(INDEX(LdCBank,$N270)="","—",INDEX(LdCBank,$N270)),"")))</f>
        <v/>
      </c>
      <c r="E270" s="21">
        <f>IF($L270&lt;&gt;"",IF(INDEX(LdAAmt,$L270)=0,"",INDEX(LdAAmt,$L270)),IF($M270&lt;&gt;"",IF(INDEX(LdBAmt,$M270)=0,"",INDEX(LdBAmt,$M270)),IF($N270&lt;&gt;"",IF(INDEX(LdCDep,$N270)=0,"",INDEX(LdCDep,$N270)),"")))</f>
        <v/>
      </c>
      <c r="F270" s="21">
        <f>IF(AND($L270="",$M270="",$N270=""),"",IF($N270="","",IF(INDEX(LdCWit,$N270)=0,"",INDEX(LdCWit,$N270))))</f>
        <v/>
      </c>
      <c r="G270" s="31">
        <f>IF($B270="","",IF($G269="",0,$G269)+IF($E270="",0,$E270)-IF($F270="",0,$F270))</f>
        <v/>
      </c>
      <c r="H270" s="32">
        <f>IF(AND($L270="",$M270="",$N270=""),"",IF($L270&lt;&gt;"",IF(INDEX(LdANote,$L270)="","—",INDEX(LdANote,$L270)),IF($M270&lt;&gt;"",IF(INDEX(LdBNote,$M270)="","—",INDEX(LdBNote,$M270)),IF($N270&lt;&gt;"",IF(INDEX(LdCNote,$N270)="","—",INDEX(LdCNote,$N270)),""))))</f>
        <v/>
      </c>
      <c r="L270">
        <f>IFERROR(MATCH($C$5&amp;"|"&amp;RIGHT("000000"&amp;254,6),LdAKeyM,0),"")</f>
        <v/>
      </c>
      <c r="M270">
        <f>IFERROR(MATCH($C$5&amp;"|"&amp;RIGHT("000000"&amp;254,6),LdBKeyM,0),"")</f>
        <v/>
      </c>
      <c r="N270">
        <f>IFERROR(MATCH($C$5&amp;"|"&amp;RIGHT("000000"&amp;254,6),LdCKeyM,0),"")</f>
        <v/>
      </c>
    </row>
    <row r="271">
      <c r="A271" s="10" t="n">
        <v>255</v>
      </c>
      <c r="B271" s="14">
        <f>IF(AND($L271="",$M271="",$N271=""),"",IF($L271&lt;&gt;"",INDEX(LdADate,$L271),IF($M271&lt;&gt;"",INDEX(LdBDate,$M271),INDEX(LdCDate,$N271))))</f>
        <v/>
      </c>
      <c r="C271" s="14">
        <f>IF($L271&lt;&gt;"","دستمزد (فردی)",IF($M271&lt;&gt;"","سهم از گروه "&amp;IFERROR(VLOOKUP(INDEX(LdBGroup,$M271),WGTbl,2,0),INDEX(LdBGroup,$M271)),IF($N271&lt;&gt;"",IF(N(INDEX(LdCDep,$N271))&gt;0,"بازگشت بانکی","پرداخت بانکی"),"")))</f>
        <v/>
      </c>
      <c r="D271" s="14">
        <f>IF($L271&lt;&gt;"",IF(INDEX(LdAId,$L271)="","—",INDEX(LdAId,$L271)),IF($M271&lt;&gt;"",IF(INDEX(LdBId,$M271)="","—",INDEX(LdBId,$M271)),IF($N271&lt;&gt;"",IF(INDEX(LdCBank,$N271)="","—",INDEX(LdCBank,$N271)),"")))</f>
        <v/>
      </c>
      <c r="E271" s="16">
        <f>IF($L271&lt;&gt;"",IF(INDEX(LdAAmt,$L271)=0,"",INDEX(LdAAmt,$L271)),IF($M271&lt;&gt;"",IF(INDEX(LdBAmt,$M271)=0,"",INDEX(LdBAmt,$M271)),IF($N271&lt;&gt;"",IF(INDEX(LdCDep,$N271)=0,"",INDEX(LdCDep,$N271)),"")))</f>
        <v/>
      </c>
      <c r="F271" s="16">
        <f>IF(AND($L271="",$M271="",$N271=""),"",IF($N271="","",IF(INDEX(LdCWit,$N271)=0,"",INDEX(LdCWit,$N271))))</f>
        <v/>
      </c>
      <c r="G271" s="29">
        <f>IF($B271="","",IF($G270="",0,$G270)+IF($E271="",0,$E271)-IF($F271="",0,$F271))</f>
        <v/>
      </c>
      <c r="H271" s="30">
        <f>IF(AND($L271="",$M271="",$N271=""),"",IF($L271&lt;&gt;"",IF(INDEX(LdANote,$L271)="","—",INDEX(LdANote,$L271)),IF($M271&lt;&gt;"",IF(INDEX(LdBNote,$M271)="","—",INDEX(LdBNote,$M271)),IF($N271&lt;&gt;"",IF(INDEX(LdCNote,$N271)="","—",INDEX(LdCNote,$N271)),""))))</f>
        <v/>
      </c>
      <c r="L271">
        <f>IFERROR(MATCH($C$5&amp;"|"&amp;RIGHT("000000"&amp;255,6),LdAKeyM,0),"")</f>
        <v/>
      </c>
      <c r="M271">
        <f>IFERROR(MATCH($C$5&amp;"|"&amp;RIGHT("000000"&amp;255,6),LdBKeyM,0),"")</f>
        <v/>
      </c>
      <c r="N271">
        <f>IFERROR(MATCH($C$5&amp;"|"&amp;RIGHT("000000"&amp;255,6),LdCKeyM,0),"")</f>
        <v/>
      </c>
    </row>
    <row r="272">
      <c r="A272" s="19" t="n">
        <v>256</v>
      </c>
      <c r="B272" s="20">
        <f>IF(AND($L272="",$M272="",$N272=""),"",IF($L272&lt;&gt;"",INDEX(LdADate,$L272),IF($M272&lt;&gt;"",INDEX(LdBDate,$M272),INDEX(LdCDate,$N272))))</f>
        <v/>
      </c>
      <c r="C272" s="20">
        <f>IF($L272&lt;&gt;"","دستمزد (فردی)",IF($M272&lt;&gt;"","سهم از گروه "&amp;IFERROR(VLOOKUP(INDEX(LdBGroup,$M272),WGTbl,2,0),INDEX(LdBGroup,$M272)),IF($N272&lt;&gt;"",IF(N(INDEX(LdCDep,$N272))&gt;0,"بازگشت بانکی","پرداخت بانکی"),"")))</f>
        <v/>
      </c>
      <c r="D272" s="20">
        <f>IF($L272&lt;&gt;"",IF(INDEX(LdAId,$L272)="","—",INDEX(LdAId,$L272)),IF($M272&lt;&gt;"",IF(INDEX(LdBId,$M272)="","—",INDEX(LdBId,$M272)),IF($N272&lt;&gt;"",IF(INDEX(LdCBank,$N272)="","—",INDEX(LdCBank,$N272)),"")))</f>
        <v/>
      </c>
      <c r="E272" s="21">
        <f>IF($L272&lt;&gt;"",IF(INDEX(LdAAmt,$L272)=0,"",INDEX(LdAAmt,$L272)),IF($M272&lt;&gt;"",IF(INDEX(LdBAmt,$M272)=0,"",INDEX(LdBAmt,$M272)),IF($N272&lt;&gt;"",IF(INDEX(LdCDep,$N272)=0,"",INDEX(LdCDep,$N272)),"")))</f>
        <v/>
      </c>
      <c r="F272" s="21">
        <f>IF(AND($L272="",$M272="",$N272=""),"",IF($N272="","",IF(INDEX(LdCWit,$N272)=0,"",INDEX(LdCWit,$N272))))</f>
        <v/>
      </c>
      <c r="G272" s="31">
        <f>IF($B272="","",IF($G271="",0,$G271)+IF($E272="",0,$E272)-IF($F272="",0,$F272))</f>
        <v/>
      </c>
      <c r="H272" s="32">
        <f>IF(AND($L272="",$M272="",$N272=""),"",IF($L272&lt;&gt;"",IF(INDEX(LdANote,$L272)="","—",INDEX(LdANote,$L272)),IF($M272&lt;&gt;"",IF(INDEX(LdBNote,$M272)="","—",INDEX(LdBNote,$M272)),IF($N272&lt;&gt;"",IF(INDEX(LdCNote,$N272)="","—",INDEX(LdCNote,$N272)),""))))</f>
        <v/>
      </c>
      <c r="L272">
        <f>IFERROR(MATCH($C$5&amp;"|"&amp;RIGHT("000000"&amp;256,6),LdAKeyM,0),"")</f>
        <v/>
      </c>
      <c r="M272">
        <f>IFERROR(MATCH($C$5&amp;"|"&amp;RIGHT("000000"&amp;256,6),LdBKeyM,0),"")</f>
        <v/>
      </c>
      <c r="N272">
        <f>IFERROR(MATCH($C$5&amp;"|"&amp;RIGHT("000000"&amp;256,6),LdCKeyM,0),"")</f>
        <v/>
      </c>
    </row>
    <row r="273">
      <c r="A273" s="10" t="n">
        <v>257</v>
      </c>
      <c r="B273" s="14">
        <f>IF(AND($L273="",$M273="",$N273=""),"",IF($L273&lt;&gt;"",INDEX(LdADate,$L273),IF($M273&lt;&gt;"",INDEX(LdBDate,$M273),INDEX(LdCDate,$N273))))</f>
        <v/>
      </c>
      <c r="C273" s="14">
        <f>IF($L273&lt;&gt;"","دستمزد (فردی)",IF($M273&lt;&gt;"","سهم از گروه "&amp;IFERROR(VLOOKUP(INDEX(LdBGroup,$M273),WGTbl,2,0),INDEX(LdBGroup,$M273)),IF($N273&lt;&gt;"",IF(N(INDEX(LdCDep,$N273))&gt;0,"بازگشت بانکی","پرداخت بانکی"),"")))</f>
        <v/>
      </c>
      <c r="D273" s="14">
        <f>IF($L273&lt;&gt;"",IF(INDEX(LdAId,$L273)="","—",INDEX(LdAId,$L273)),IF($M273&lt;&gt;"",IF(INDEX(LdBId,$M273)="","—",INDEX(LdBId,$M273)),IF($N273&lt;&gt;"",IF(INDEX(LdCBank,$N273)="","—",INDEX(LdCBank,$N273)),"")))</f>
        <v/>
      </c>
      <c r="E273" s="16">
        <f>IF($L273&lt;&gt;"",IF(INDEX(LdAAmt,$L273)=0,"",INDEX(LdAAmt,$L273)),IF($M273&lt;&gt;"",IF(INDEX(LdBAmt,$M273)=0,"",INDEX(LdBAmt,$M273)),IF($N273&lt;&gt;"",IF(INDEX(LdCDep,$N273)=0,"",INDEX(LdCDep,$N273)),"")))</f>
        <v/>
      </c>
      <c r="F273" s="16">
        <f>IF(AND($L273="",$M273="",$N273=""),"",IF($N273="","",IF(INDEX(LdCWit,$N273)=0,"",INDEX(LdCWit,$N273))))</f>
        <v/>
      </c>
      <c r="G273" s="29">
        <f>IF($B273="","",IF($G272="",0,$G272)+IF($E273="",0,$E273)-IF($F273="",0,$F273))</f>
        <v/>
      </c>
      <c r="H273" s="30">
        <f>IF(AND($L273="",$M273="",$N273=""),"",IF($L273&lt;&gt;"",IF(INDEX(LdANote,$L273)="","—",INDEX(LdANote,$L273)),IF($M273&lt;&gt;"",IF(INDEX(LdBNote,$M273)="","—",INDEX(LdBNote,$M273)),IF($N273&lt;&gt;"",IF(INDEX(LdCNote,$N273)="","—",INDEX(LdCNote,$N273)),""))))</f>
        <v/>
      </c>
      <c r="L273">
        <f>IFERROR(MATCH($C$5&amp;"|"&amp;RIGHT("000000"&amp;257,6),LdAKeyM,0),"")</f>
        <v/>
      </c>
      <c r="M273">
        <f>IFERROR(MATCH($C$5&amp;"|"&amp;RIGHT("000000"&amp;257,6),LdBKeyM,0),"")</f>
        <v/>
      </c>
      <c r="N273">
        <f>IFERROR(MATCH($C$5&amp;"|"&amp;RIGHT("000000"&amp;257,6),LdCKeyM,0),"")</f>
        <v/>
      </c>
    </row>
    <row r="274">
      <c r="A274" s="19" t="n">
        <v>258</v>
      </c>
      <c r="B274" s="20">
        <f>IF(AND($L274="",$M274="",$N274=""),"",IF($L274&lt;&gt;"",INDEX(LdADate,$L274),IF($M274&lt;&gt;"",INDEX(LdBDate,$M274),INDEX(LdCDate,$N274))))</f>
        <v/>
      </c>
      <c r="C274" s="20">
        <f>IF($L274&lt;&gt;"","دستمزد (فردی)",IF($M274&lt;&gt;"","سهم از گروه "&amp;IFERROR(VLOOKUP(INDEX(LdBGroup,$M274),WGTbl,2,0),INDEX(LdBGroup,$M274)),IF($N274&lt;&gt;"",IF(N(INDEX(LdCDep,$N274))&gt;0,"بازگشت بانکی","پرداخت بانکی"),"")))</f>
        <v/>
      </c>
      <c r="D274" s="20">
        <f>IF($L274&lt;&gt;"",IF(INDEX(LdAId,$L274)="","—",INDEX(LdAId,$L274)),IF($M274&lt;&gt;"",IF(INDEX(LdBId,$M274)="","—",INDEX(LdBId,$M274)),IF($N274&lt;&gt;"",IF(INDEX(LdCBank,$N274)="","—",INDEX(LdCBank,$N274)),"")))</f>
        <v/>
      </c>
      <c r="E274" s="21">
        <f>IF($L274&lt;&gt;"",IF(INDEX(LdAAmt,$L274)=0,"",INDEX(LdAAmt,$L274)),IF($M274&lt;&gt;"",IF(INDEX(LdBAmt,$M274)=0,"",INDEX(LdBAmt,$M274)),IF($N274&lt;&gt;"",IF(INDEX(LdCDep,$N274)=0,"",INDEX(LdCDep,$N274)),"")))</f>
        <v/>
      </c>
      <c r="F274" s="21">
        <f>IF(AND($L274="",$M274="",$N274=""),"",IF($N274="","",IF(INDEX(LdCWit,$N274)=0,"",INDEX(LdCWit,$N274))))</f>
        <v/>
      </c>
      <c r="G274" s="31">
        <f>IF($B274="","",IF($G273="",0,$G273)+IF($E274="",0,$E274)-IF($F274="",0,$F274))</f>
        <v/>
      </c>
      <c r="H274" s="32">
        <f>IF(AND($L274="",$M274="",$N274=""),"",IF($L274&lt;&gt;"",IF(INDEX(LdANote,$L274)="","—",INDEX(LdANote,$L274)),IF($M274&lt;&gt;"",IF(INDEX(LdBNote,$M274)="","—",INDEX(LdBNote,$M274)),IF($N274&lt;&gt;"",IF(INDEX(LdCNote,$N274)="","—",INDEX(LdCNote,$N274)),""))))</f>
        <v/>
      </c>
      <c r="L274">
        <f>IFERROR(MATCH($C$5&amp;"|"&amp;RIGHT("000000"&amp;258,6),LdAKeyM,0),"")</f>
        <v/>
      </c>
      <c r="M274">
        <f>IFERROR(MATCH($C$5&amp;"|"&amp;RIGHT("000000"&amp;258,6),LdBKeyM,0),"")</f>
        <v/>
      </c>
      <c r="N274">
        <f>IFERROR(MATCH($C$5&amp;"|"&amp;RIGHT("000000"&amp;258,6),LdCKeyM,0),"")</f>
        <v/>
      </c>
    </row>
    <row r="275">
      <c r="A275" s="10" t="n">
        <v>259</v>
      </c>
      <c r="B275" s="14">
        <f>IF(AND($L275="",$M275="",$N275=""),"",IF($L275&lt;&gt;"",INDEX(LdADate,$L275),IF($M275&lt;&gt;"",INDEX(LdBDate,$M275),INDEX(LdCDate,$N275))))</f>
        <v/>
      </c>
      <c r="C275" s="14">
        <f>IF($L275&lt;&gt;"","دستمزد (فردی)",IF($M275&lt;&gt;"","سهم از گروه "&amp;IFERROR(VLOOKUP(INDEX(LdBGroup,$M275),WGTbl,2,0),INDEX(LdBGroup,$M275)),IF($N275&lt;&gt;"",IF(N(INDEX(LdCDep,$N275))&gt;0,"بازگشت بانکی","پرداخت بانکی"),"")))</f>
        <v/>
      </c>
      <c r="D275" s="14">
        <f>IF($L275&lt;&gt;"",IF(INDEX(LdAId,$L275)="","—",INDEX(LdAId,$L275)),IF($M275&lt;&gt;"",IF(INDEX(LdBId,$M275)="","—",INDEX(LdBId,$M275)),IF($N275&lt;&gt;"",IF(INDEX(LdCBank,$N275)="","—",INDEX(LdCBank,$N275)),"")))</f>
        <v/>
      </c>
      <c r="E275" s="16">
        <f>IF($L275&lt;&gt;"",IF(INDEX(LdAAmt,$L275)=0,"",INDEX(LdAAmt,$L275)),IF($M275&lt;&gt;"",IF(INDEX(LdBAmt,$M275)=0,"",INDEX(LdBAmt,$M275)),IF($N275&lt;&gt;"",IF(INDEX(LdCDep,$N275)=0,"",INDEX(LdCDep,$N275)),"")))</f>
        <v/>
      </c>
      <c r="F275" s="16">
        <f>IF(AND($L275="",$M275="",$N275=""),"",IF($N275="","",IF(INDEX(LdCWit,$N275)=0,"",INDEX(LdCWit,$N275))))</f>
        <v/>
      </c>
      <c r="G275" s="29">
        <f>IF($B275="","",IF($G274="",0,$G274)+IF($E275="",0,$E275)-IF($F275="",0,$F275))</f>
        <v/>
      </c>
      <c r="H275" s="30">
        <f>IF(AND($L275="",$M275="",$N275=""),"",IF($L275&lt;&gt;"",IF(INDEX(LdANote,$L275)="","—",INDEX(LdANote,$L275)),IF($M275&lt;&gt;"",IF(INDEX(LdBNote,$M275)="","—",INDEX(LdBNote,$M275)),IF($N275&lt;&gt;"",IF(INDEX(LdCNote,$N275)="","—",INDEX(LdCNote,$N275)),""))))</f>
        <v/>
      </c>
      <c r="L275">
        <f>IFERROR(MATCH($C$5&amp;"|"&amp;RIGHT("000000"&amp;259,6),LdAKeyM,0),"")</f>
        <v/>
      </c>
      <c r="M275">
        <f>IFERROR(MATCH($C$5&amp;"|"&amp;RIGHT("000000"&amp;259,6),LdBKeyM,0),"")</f>
        <v/>
      </c>
      <c r="N275">
        <f>IFERROR(MATCH($C$5&amp;"|"&amp;RIGHT("000000"&amp;259,6),LdCKeyM,0),"")</f>
        <v/>
      </c>
    </row>
    <row r="276">
      <c r="A276" s="19" t="n">
        <v>260</v>
      </c>
      <c r="B276" s="20">
        <f>IF(AND($L276="",$M276="",$N276=""),"",IF($L276&lt;&gt;"",INDEX(LdADate,$L276),IF($M276&lt;&gt;"",INDEX(LdBDate,$M276),INDEX(LdCDate,$N276))))</f>
        <v/>
      </c>
      <c r="C276" s="20">
        <f>IF($L276&lt;&gt;"","دستمزد (فردی)",IF($M276&lt;&gt;"","سهم از گروه "&amp;IFERROR(VLOOKUP(INDEX(LdBGroup,$M276),WGTbl,2,0),INDEX(LdBGroup,$M276)),IF($N276&lt;&gt;"",IF(N(INDEX(LdCDep,$N276))&gt;0,"بازگشت بانکی","پرداخت بانکی"),"")))</f>
        <v/>
      </c>
      <c r="D276" s="20">
        <f>IF($L276&lt;&gt;"",IF(INDEX(LdAId,$L276)="","—",INDEX(LdAId,$L276)),IF($M276&lt;&gt;"",IF(INDEX(LdBId,$M276)="","—",INDEX(LdBId,$M276)),IF($N276&lt;&gt;"",IF(INDEX(LdCBank,$N276)="","—",INDEX(LdCBank,$N276)),"")))</f>
        <v/>
      </c>
      <c r="E276" s="21">
        <f>IF($L276&lt;&gt;"",IF(INDEX(LdAAmt,$L276)=0,"",INDEX(LdAAmt,$L276)),IF($M276&lt;&gt;"",IF(INDEX(LdBAmt,$M276)=0,"",INDEX(LdBAmt,$M276)),IF($N276&lt;&gt;"",IF(INDEX(LdCDep,$N276)=0,"",INDEX(LdCDep,$N276)),"")))</f>
        <v/>
      </c>
      <c r="F276" s="21">
        <f>IF(AND($L276="",$M276="",$N276=""),"",IF($N276="","",IF(INDEX(LdCWit,$N276)=0,"",INDEX(LdCWit,$N276))))</f>
        <v/>
      </c>
      <c r="G276" s="31">
        <f>IF($B276="","",IF($G275="",0,$G275)+IF($E276="",0,$E276)-IF($F276="",0,$F276))</f>
        <v/>
      </c>
      <c r="H276" s="32">
        <f>IF(AND($L276="",$M276="",$N276=""),"",IF($L276&lt;&gt;"",IF(INDEX(LdANote,$L276)="","—",INDEX(LdANote,$L276)),IF($M276&lt;&gt;"",IF(INDEX(LdBNote,$M276)="","—",INDEX(LdBNote,$M276)),IF($N276&lt;&gt;"",IF(INDEX(LdCNote,$N276)="","—",INDEX(LdCNote,$N276)),""))))</f>
        <v/>
      </c>
      <c r="L276">
        <f>IFERROR(MATCH($C$5&amp;"|"&amp;RIGHT("000000"&amp;260,6),LdAKeyM,0),"")</f>
        <v/>
      </c>
      <c r="M276">
        <f>IFERROR(MATCH($C$5&amp;"|"&amp;RIGHT("000000"&amp;260,6),LdBKeyM,0),"")</f>
        <v/>
      </c>
      <c r="N276">
        <f>IFERROR(MATCH($C$5&amp;"|"&amp;RIGHT("000000"&amp;260,6),LdCKeyM,0),"")</f>
        <v/>
      </c>
    </row>
    <row r="277">
      <c r="A277" s="10" t="n">
        <v>261</v>
      </c>
      <c r="B277" s="14">
        <f>IF(AND($L277="",$M277="",$N277=""),"",IF($L277&lt;&gt;"",INDEX(LdADate,$L277),IF($M277&lt;&gt;"",INDEX(LdBDate,$M277),INDEX(LdCDate,$N277))))</f>
        <v/>
      </c>
      <c r="C277" s="14">
        <f>IF($L277&lt;&gt;"","دستمزد (فردی)",IF($M277&lt;&gt;"","سهم از گروه "&amp;IFERROR(VLOOKUP(INDEX(LdBGroup,$M277),WGTbl,2,0),INDEX(LdBGroup,$M277)),IF($N277&lt;&gt;"",IF(N(INDEX(LdCDep,$N277))&gt;0,"بازگشت بانکی","پرداخت بانکی"),"")))</f>
        <v/>
      </c>
      <c r="D277" s="14">
        <f>IF($L277&lt;&gt;"",IF(INDEX(LdAId,$L277)="","—",INDEX(LdAId,$L277)),IF($M277&lt;&gt;"",IF(INDEX(LdBId,$M277)="","—",INDEX(LdBId,$M277)),IF($N277&lt;&gt;"",IF(INDEX(LdCBank,$N277)="","—",INDEX(LdCBank,$N277)),"")))</f>
        <v/>
      </c>
      <c r="E277" s="16">
        <f>IF($L277&lt;&gt;"",IF(INDEX(LdAAmt,$L277)=0,"",INDEX(LdAAmt,$L277)),IF($M277&lt;&gt;"",IF(INDEX(LdBAmt,$M277)=0,"",INDEX(LdBAmt,$M277)),IF($N277&lt;&gt;"",IF(INDEX(LdCDep,$N277)=0,"",INDEX(LdCDep,$N277)),"")))</f>
        <v/>
      </c>
      <c r="F277" s="16">
        <f>IF(AND($L277="",$M277="",$N277=""),"",IF($N277="","",IF(INDEX(LdCWit,$N277)=0,"",INDEX(LdCWit,$N277))))</f>
        <v/>
      </c>
      <c r="G277" s="29">
        <f>IF($B277="","",IF($G276="",0,$G276)+IF($E277="",0,$E277)-IF($F277="",0,$F277))</f>
        <v/>
      </c>
      <c r="H277" s="30">
        <f>IF(AND($L277="",$M277="",$N277=""),"",IF($L277&lt;&gt;"",IF(INDEX(LdANote,$L277)="","—",INDEX(LdANote,$L277)),IF($M277&lt;&gt;"",IF(INDEX(LdBNote,$M277)="","—",INDEX(LdBNote,$M277)),IF($N277&lt;&gt;"",IF(INDEX(LdCNote,$N277)="","—",INDEX(LdCNote,$N277)),""))))</f>
        <v/>
      </c>
      <c r="L277">
        <f>IFERROR(MATCH($C$5&amp;"|"&amp;RIGHT("000000"&amp;261,6),LdAKeyM,0),"")</f>
        <v/>
      </c>
      <c r="M277">
        <f>IFERROR(MATCH($C$5&amp;"|"&amp;RIGHT("000000"&amp;261,6),LdBKeyM,0),"")</f>
        <v/>
      </c>
      <c r="N277">
        <f>IFERROR(MATCH($C$5&amp;"|"&amp;RIGHT("000000"&amp;261,6),LdCKeyM,0),"")</f>
        <v/>
      </c>
    </row>
    <row r="278">
      <c r="A278" s="19" t="n">
        <v>262</v>
      </c>
      <c r="B278" s="20">
        <f>IF(AND($L278="",$M278="",$N278=""),"",IF($L278&lt;&gt;"",INDEX(LdADate,$L278),IF($M278&lt;&gt;"",INDEX(LdBDate,$M278),INDEX(LdCDate,$N278))))</f>
        <v/>
      </c>
      <c r="C278" s="20">
        <f>IF($L278&lt;&gt;"","دستمزد (فردی)",IF($M278&lt;&gt;"","سهم از گروه "&amp;IFERROR(VLOOKUP(INDEX(LdBGroup,$M278),WGTbl,2,0),INDEX(LdBGroup,$M278)),IF($N278&lt;&gt;"",IF(N(INDEX(LdCDep,$N278))&gt;0,"بازگشت بانکی","پرداخت بانکی"),"")))</f>
        <v/>
      </c>
      <c r="D278" s="20">
        <f>IF($L278&lt;&gt;"",IF(INDEX(LdAId,$L278)="","—",INDEX(LdAId,$L278)),IF($M278&lt;&gt;"",IF(INDEX(LdBId,$M278)="","—",INDEX(LdBId,$M278)),IF($N278&lt;&gt;"",IF(INDEX(LdCBank,$N278)="","—",INDEX(LdCBank,$N278)),"")))</f>
        <v/>
      </c>
      <c r="E278" s="21">
        <f>IF($L278&lt;&gt;"",IF(INDEX(LdAAmt,$L278)=0,"",INDEX(LdAAmt,$L278)),IF($M278&lt;&gt;"",IF(INDEX(LdBAmt,$M278)=0,"",INDEX(LdBAmt,$M278)),IF($N278&lt;&gt;"",IF(INDEX(LdCDep,$N278)=0,"",INDEX(LdCDep,$N278)),"")))</f>
        <v/>
      </c>
      <c r="F278" s="21">
        <f>IF(AND($L278="",$M278="",$N278=""),"",IF($N278="","",IF(INDEX(LdCWit,$N278)=0,"",INDEX(LdCWit,$N278))))</f>
        <v/>
      </c>
      <c r="G278" s="31">
        <f>IF($B278="","",IF($G277="",0,$G277)+IF($E278="",0,$E278)-IF($F278="",0,$F278))</f>
        <v/>
      </c>
      <c r="H278" s="32">
        <f>IF(AND($L278="",$M278="",$N278=""),"",IF($L278&lt;&gt;"",IF(INDEX(LdANote,$L278)="","—",INDEX(LdANote,$L278)),IF($M278&lt;&gt;"",IF(INDEX(LdBNote,$M278)="","—",INDEX(LdBNote,$M278)),IF($N278&lt;&gt;"",IF(INDEX(LdCNote,$N278)="","—",INDEX(LdCNote,$N278)),""))))</f>
        <v/>
      </c>
      <c r="L278">
        <f>IFERROR(MATCH($C$5&amp;"|"&amp;RIGHT("000000"&amp;262,6),LdAKeyM,0),"")</f>
        <v/>
      </c>
      <c r="M278">
        <f>IFERROR(MATCH($C$5&amp;"|"&amp;RIGHT("000000"&amp;262,6),LdBKeyM,0),"")</f>
        <v/>
      </c>
      <c r="N278">
        <f>IFERROR(MATCH($C$5&amp;"|"&amp;RIGHT("000000"&amp;262,6),LdCKeyM,0),"")</f>
        <v/>
      </c>
    </row>
    <row r="279">
      <c r="A279" s="10" t="n">
        <v>263</v>
      </c>
      <c r="B279" s="14">
        <f>IF(AND($L279="",$M279="",$N279=""),"",IF($L279&lt;&gt;"",INDEX(LdADate,$L279),IF($M279&lt;&gt;"",INDEX(LdBDate,$M279),INDEX(LdCDate,$N279))))</f>
        <v/>
      </c>
      <c r="C279" s="14">
        <f>IF($L279&lt;&gt;"","دستمزد (فردی)",IF($M279&lt;&gt;"","سهم از گروه "&amp;IFERROR(VLOOKUP(INDEX(LdBGroup,$M279),WGTbl,2,0),INDEX(LdBGroup,$M279)),IF($N279&lt;&gt;"",IF(N(INDEX(LdCDep,$N279))&gt;0,"بازگشت بانکی","پرداخت بانکی"),"")))</f>
        <v/>
      </c>
      <c r="D279" s="14">
        <f>IF($L279&lt;&gt;"",IF(INDEX(LdAId,$L279)="","—",INDEX(LdAId,$L279)),IF($M279&lt;&gt;"",IF(INDEX(LdBId,$M279)="","—",INDEX(LdBId,$M279)),IF($N279&lt;&gt;"",IF(INDEX(LdCBank,$N279)="","—",INDEX(LdCBank,$N279)),"")))</f>
        <v/>
      </c>
      <c r="E279" s="16">
        <f>IF($L279&lt;&gt;"",IF(INDEX(LdAAmt,$L279)=0,"",INDEX(LdAAmt,$L279)),IF($M279&lt;&gt;"",IF(INDEX(LdBAmt,$M279)=0,"",INDEX(LdBAmt,$M279)),IF($N279&lt;&gt;"",IF(INDEX(LdCDep,$N279)=0,"",INDEX(LdCDep,$N279)),"")))</f>
        <v/>
      </c>
      <c r="F279" s="16">
        <f>IF(AND($L279="",$M279="",$N279=""),"",IF($N279="","",IF(INDEX(LdCWit,$N279)=0,"",INDEX(LdCWit,$N279))))</f>
        <v/>
      </c>
      <c r="G279" s="29">
        <f>IF($B279="","",IF($G278="",0,$G278)+IF($E279="",0,$E279)-IF($F279="",0,$F279))</f>
        <v/>
      </c>
      <c r="H279" s="30">
        <f>IF(AND($L279="",$M279="",$N279=""),"",IF($L279&lt;&gt;"",IF(INDEX(LdANote,$L279)="","—",INDEX(LdANote,$L279)),IF($M279&lt;&gt;"",IF(INDEX(LdBNote,$M279)="","—",INDEX(LdBNote,$M279)),IF($N279&lt;&gt;"",IF(INDEX(LdCNote,$N279)="","—",INDEX(LdCNote,$N279)),""))))</f>
        <v/>
      </c>
      <c r="L279">
        <f>IFERROR(MATCH($C$5&amp;"|"&amp;RIGHT("000000"&amp;263,6),LdAKeyM,0),"")</f>
        <v/>
      </c>
      <c r="M279">
        <f>IFERROR(MATCH($C$5&amp;"|"&amp;RIGHT("000000"&amp;263,6),LdBKeyM,0),"")</f>
        <v/>
      </c>
      <c r="N279">
        <f>IFERROR(MATCH($C$5&amp;"|"&amp;RIGHT("000000"&amp;263,6),LdCKeyM,0),"")</f>
        <v/>
      </c>
    </row>
    <row r="280">
      <c r="A280" s="19" t="n">
        <v>264</v>
      </c>
      <c r="B280" s="20">
        <f>IF(AND($L280="",$M280="",$N280=""),"",IF($L280&lt;&gt;"",INDEX(LdADate,$L280),IF($M280&lt;&gt;"",INDEX(LdBDate,$M280),INDEX(LdCDate,$N280))))</f>
        <v/>
      </c>
      <c r="C280" s="20">
        <f>IF($L280&lt;&gt;"","دستمزد (فردی)",IF($M280&lt;&gt;"","سهم از گروه "&amp;IFERROR(VLOOKUP(INDEX(LdBGroup,$M280),WGTbl,2,0),INDEX(LdBGroup,$M280)),IF($N280&lt;&gt;"",IF(N(INDEX(LdCDep,$N280))&gt;0,"بازگشت بانکی","پرداخت بانکی"),"")))</f>
        <v/>
      </c>
      <c r="D280" s="20">
        <f>IF($L280&lt;&gt;"",IF(INDEX(LdAId,$L280)="","—",INDEX(LdAId,$L280)),IF($M280&lt;&gt;"",IF(INDEX(LdBId,$M280)="","—",INDEX(LdBId,$M280)),IF($N280&lt;&gt;"",IF(INDEX(LdCBank,$N280)="","—",INDEX(LdCBank,$N280)),"")))</f>
        <v/>
      </c>
      <c r="E280" s="21">
        <f>IF($L280&lt;&gt;"",IF(INDEX(LdAAmt,$L280)=0,"",INDEX(LdAAmt,$L280)),IF($M280&lt;&gt;"",IF(INDEX(LdBAmt,$M280)=0,"",INDEX(LdBAmt,$M280)),IF($N280&lt;&gt;"",IF(INDEX(LdCDep,$N280)=0,"",INDEX(LdCDep,$N280)),"")))</f>
        <v/>
      </c>
      <c r="F280" s="21">
        <f>IF(AND($L280="",$M280="",$N280=""),"",IF($N280="","",IF(INDEX(LdCWit,$N280)=0,"",INDEX(LdCWit,$N280))))</f>
        <v/>
      </c>
      <c r="G280" s="31">
        <f>IF($B280="","",IF($G279="",0,$G279)+IF($E280="",0,$E280)-IF($F280="",0,$F280))</f>
        <v/>
      </c>
      <c r="H280" s="32">
        <f>IF(AND($L280="",$M280="",$N280=""),"",IF($L280&lt;&gt;"",IF(INDEX(LdANote,$L280)="","—",INDEX(LdANote,$L280)),IF($M280&lt;&gt;"",IF(INDEX(LdBNote,$M280)="","—",INDEX(LdBNote,$M280)),IF($N280&lt;&gt;"",IF(INDEX(LdCNote,$N280)="","—",INDEX(LdCNote,$N280)),""))))</f>
        <v/>
      </c>
      <c r="L280">
        <f>IFERROR(MATCH($C$5&amp;"|"&amp;RIGHT("000000"&amp;264,6),LdAKeyM,0),"")</f>
        <v/>
      </c>
      <c r="M280">
        <f>IFERROR(MATCH($C$5&amp;"|"&amp;RIGHT("000000"&amp;264,6),LdBKeyM,0),"")</f>
        <v/>
      </c>
      <c r="N280">
        <f>IFERROR(MATCH($C$5&amp;"|"&amp;RIGHT("000000"&amp;264,6),LdCKeyM,0),"")</f>
        <v/>
      </c>
    </row>
    <row r="281">
      <c r="A281" s="10" t="n">
        <v>265</v>
      </c>
      <c r="B281" s="14">
        <f>IF(AND($L281="",$M281="",$N281=""),"",IF($L281&lt;&gt;"",INDEX(LdADate,$L281),IF($M281&lt;&gt;"",INDEX(LdBDate,$M281),INDEX(LdCDate,$N281))))</f>
        <v/>
      </c>
      <c r="C281" s="14">
        <f>IF($L281&lt;&gt;"","دستمزد (فردی)",IF($M281&lt;&gt;"","سهم از گروه "&amp;IFERROR(VLOOKUP(INDEX(LdBGroup,$M281),WGTbl,2,0),INDEX(LdBGroup,$M281)),IF($N281&lt;&gt;"",IF(N(INDEX(LdCDep,$N281))&gt;0,"بازگشت بانکی","پرداخت بانکی"),"")))</f>
        <v/>
      </c>
      <c r="D281" s="14">
        <f>IF($L281&lt;&gt;"",IF(INDEX(LdAId,$L281)="","—",INDEX(LdAId,$L281)),IF($M281&lt;&gt;"",IF(INDEX(LdBId,$M281)="","—",INDEX(LdBId,$M281)),IF($N281&lt;&gt;"",IF(INDEX(LdCBank,$N281)="","—",INDEX(LdCBank,$N281)),"")))</f>
        <v/>
      </c>
      <c r="E281" s="16">
        <f>IF($L281&lt;&gt;"",IF(INDEX(LdAAmt,$L281)=0,"",INDEX(LdAAmt,$L281)),IF($M281&lt;&gt;"",IF(INDEX(LdBAmt,$M281)=0,"",INDEX(LdBAmt,$M281)),IF($N281&lt;&gt;"",IF(INDEX(LdCDep,$N281)=0,"",INDEX(LdCDep,$N281)),"")))</f>
        <v/>
      </c>
      <c r="F281" s="16">
        <f>IF(AND($L281="",$M281="",$N281=""),"",IF($N281="","",IF(INDEX(LdCWit,$N281)=0,"",INDEX(LdCWit,$N281))))</f>
        <v/>
      </c>
      <c r="G281" s="29">
        <f>IF($B281="","",IF($G280="",0,$G280)+IF($E281="",0,$E281)-IF($F281="",0,$F281))</f>
        <v/>
      </c>
      <c r="H281" s="30">
        <f>IF(AND($L281="",$M281="",$N281=""),"",IF($L281&lt;&gt;"",IF(INDEX(LdANote,$L281)="","—",INDEX(LdANote,$L281)),IF($M281&lt;&gt;"",IF(INDEX(LdBNote,$M281)="","—",INDEX(LdBNote,$M281)),IF($N281&lt;&gt;"",IF(INDEX(LdCNote,$N281)="","—",INDEX(LdCNote,$N281)),""))))</f>
        <v/>
      </c>
      <c r="L281">
        <f>IFERROR(MATCH($C$5&amp;"|"&amp;RIGHT("000000"&amp;265,6),LdAKeyM,0),"")</f>
        <v/>
      </c>
      <c r="M281">
        <f>IFERROR(MATCH($C$5&amp;"|"&amp;RIGHT("000000"&amp;265,6),LdBKeyM,0),"")</f>
        <v/>
      </c>
      <c r="N281">
        <f>IFERROR(MATCH($C$5&amp;"|"&amp;RIGHT("000000"&amp;265,6),LdCKeyM,0),"")</f>
        <v/>
      </c>
    </row>
    <row r="282">
      <c r="A282" s="19" t="n">
        <v>266</v>
      </c>
      <c r="B282" s="20">
        <f>IF(AND($L282="",$M282="",$N282=""),"",IF($L282&lt;&gt;"",INDEX(LdADate,$L282),IF($M282&lt;&gt;"",INDEX(LdBDate,$M282),INDEX(LdCDate,$N282))))</f>
        <v/>
      </c>
      <c r="C282" s="20">
        <f>IF($L282&lt;&gt;"","دستمزد (فردی)",IF($M282&lt;&gt;"","سهم از گروه "&amp;IFERROR(VLOOKUP(INDEX(LdBGroup,$M282),WGTbl,2,0),INDEX(LdBGroup,$M282)),IF($N282&lt;&gt;"",IF(N(INDEX(LdCDep,$N282))&gt;0,"بازگشت بانکی","پرداخت بانکی"),"")))</f>
        <v/>
      </c>
      <c r="D282" s="20">
        <f>IF($L282&lt;&gt;"",IF(INDEX(LdAId,$L282)="","—",INDEX(LdAId,$L282)),IF($M282&lt;&gt;"",IF(INDEX(LdBId,$M282)="","—",INDEX(LdBId,$M282)),IF($N282&lt;&gt;"",IF(INDEX(LdCBank,$N282)="","—",INDEX(LdCBank,$N282)),"")))</f>
        <v/>
      </c>
      <c r="E282" s="21">
        <f>IF($L282&lt;&gt;"",IF(INDEX(LdAAmt,$L282)=0,"",INDEX(LdAAmt,$L282)),IF($M282&lt;&gt;"",IF(INDEX(LdBAmt,$M282)=0,"",INDEX(LdBAmt,$M282)),IF($N282&lt;&gt;"",IF(INDEX(LdCDep,$N282)=0,"",INDEX(LdCDep,$N282)),"")))</f>
        <v/>
      </c>
      <c r="F282" s="21">
        <f>IF(AND($L282="",$M282="",$N282=""),"",IF($N282="","",IF(INDEX(LdCWit,$N282)=0,"",INDEX(LdCWit,$N282))))</f>
        <v/>
      </c>
      <c r="G282" s="31">
        <f>IF($B282="","",IF($G281="",0,$G281)+IF($E282="",0,$E282)-IF($F282="",0,$F282))</f>
        <v/>
      </c>
      <c r="H282" s="32">
        <f>IF(AND($L282="",$M282="",$N282=""),"",IF($L282&lt;&gt;"",IF(INDEX(LdANote,$L282)="","—",INDEX(LdANote,$L282)),IF($M282&lt;&gt;"",IF(INDEX(LdBNote,$M282)="","—",INDEX(LdBNote,$M282)),IF($N282&lt;&gt;"",IF(INDEX(LdCNote,$N282)="","—",INDEX(LdCNote,$N282)),""))))</f>
        <v/>
      </c>
      <c r="L282">
        <f>IFERROR(MATCH($C$5&amp;"|"&amp;RIGHT("000000"&amp;266,6),LdAKeyM,0),"")</f>
        <v/>
      </c>
      <c r="M282">
        <f>IFERROR(MATCH($C$5&amp;"|"&amp;RIGHT("000000"&amp;266,6),LdBKeyM,0),"")</f>
        <v/>
      </c>
      <c r="N282">
        <f>IFERROR(MATCH($C$5&amp;"|"&amp;RIGHT("000000"&amp;266,6),LdCKeyM,0),"")</f>
        <v/>
      </c>
    </row>
    <row r="283">
      <c r="A283" s="10" t="n">
        <v>267</v>
      </c>
      <c r="B283" s="14">
        <f>IF(AND($L283="",$M283="",$N283=""),"",IF($L283&lt;&gt;"",INDEX(LdADate,$L283),IF($M283&lt;&gt;"",INDEX(LdBDate,$M283),INDEX(LdCDate,$N283))))</f>
        <v/>
      </c>
      <c r="C283" s="14">
        <f>IF($L283&lt;&gt;"","دستمزد (فردی)",IF($M283&lt;&gt;"","سهم از گروه "&amp;IFERROR(VLOOKUP(INDEX(LdBGroup,$M283),WGTbl,2,0),INDEX(LdBGroup,$M283)),IF($N283&lt;&gt;"",IF(N(INDEX(LdCDep,$N283))&gt;0,"بازگشت بانکی","پرداخت بانکی"),"")))</f>
        <v/>
      </c>
      <c r="D283" s="14">
        <f>IF($L283&lt;&gt;"",IF(INDEX(LdAId,$L283)="","—",INDEX(LdAId,$L283)),IF($M283&lt;&gt;"",IF(INDEX(LdBId,$M283)="","—",INDEX(LdBId,$M283)),IF($N283&lt;&gt;"",IF(INDEX(LdCBank,$N283)="","—",INDEX(LdCBank,$N283)),"")))</f>
        <v/>
      </c>
      <c r="E283" s="16">
        <f>IF($L283&lt;&gt;"",IF(INDEX(LdAAmt,$L283)=0,"",INDEX(LdAAmt,$L283)),IF($M283&lt;&gt;"",IF(INDEX(LdBAmt,$M283)=0,"",INDEX(LdBAmt,$M283)),IF($N283&lt;&gt;"",IF(INDEX(LdCDep,$N283)=0,"",INDEX(LdCDep,$N283)),"")))</f>
        <v/>
      </c>
      <c r="F283" s="16">
        <f>IF(AND($L283="",$M283="",$N283=""),"",IF($N283="","",IF(INDEX(LdCWit,$N283)=0,"",INDEX(LdCWit,$N283))))</f>
        <v/>
      </c>
      <c r="G283" s="29">
        <f>IF($B283="","",IF($G282="",0,$G282)+IF($E283="",0,$E283)-IF($F283="",0,$F283))</f>
        <v/>
      </c>
      <c r="H283" s="30">
        <f>IF(AND($L283="",$M283="",$N283=""),"",IF($L283&lt;&gt;"",IF(INDEX(LdANote,$L283)="","—",INDEX(LdANote,$L283)),IF($M283&lt;&gt;"",IF(INDEX(LdBNote,$M283)="","—",INDEX(LdBNote,$M283)),IF($N283&lt;&gt;"",IF(INDEX(LdCNote,$N283)="","—",INDEX(LdCNote,$N283)),""))))</f>
        <v/>
      </c>
      <c r="L283">
        <f>IFERROR(MATCH($C$5&amp;"|"&amp;RIGHT("000000"&amp;267,6),LdAKeyM,0),"")</f>
        <v/>
      </c>
      <c r="M283">
        <f>IFERROR(MATCH($C$5&amp;"|"&amp;RIGHT("000000"&amp;267,6),LdBKeyM,0),"")</f>
        <v/>
      </c>
      <c r="N283">
        <f>IFERROR(MATCH($C$5&amp;"|"&amp;RIGHT("000000"&amp;267,6),LdCKeyM,0),"")</f>
        <v/>
      </c>
    </row>
    <row r="284">
      <c r="A284" s="19" t="n">
        <v>268</v>
      </c>
      <c r="B284" s="20">
        <f>IF(AND($L284="",$M284="",$N284=""),"",IF($L284&lt;&gt;"",INDEX(LdADate,$L284),IF($M284&lt;&gt;"",INDEX(LdBDate,$M284),INDEX(LdCDate,$N284))))</f>
        <v/>
      </c>
      <c r="C284" s="20">
        <f>IF($L284&lt;&gt;"","دستمزد (فردی)",IF($M284&lt;&gt;"","سهم از گروه "&amp;IFERROR(VLOOKUP(INDEX(LdBGroup,$M284),WGTbl,2,0),INDEX(LdBGroup,$M284)),IF($N284&lt;&gt;"",IF(N(INDEX(LdCDep,$N284))&gt;0,"بازگشت بانکی","پرداخت بانکی"),"")))</f>
        <v/>
      </c>
      <c r="D284" s="20">
        <f>IF($L284&lt;&gt;"",IF(INDEX(LdAId,$L284)="","—",INDEX(LdAId,$L284)),IF($M284&lt;&gt;"",IF(INDEX(LdBId,$M284)="","—",INDEX(LdBId,$M284)),IF($N284&lt;&gt;"",IF(INDEX(LdCBank,$N284)="","—",INDEX(LdCBank,$N284)),"")))</f>
        <v/>
      </c>
      <c r="E284" s="21">
        <f>IF($L284&lt;&gt;"",IF(INDEX(LdAAmt,$L284)=0,"",INDEX(LdAAmt,$L284)),IF($M284&lt;&gt;"",IF(INDEX(LdBAmt,$M284)=0,"",INDEX(LdBAmt,$M284)),IF($N284&lt;&gt;"",IF(INDEX(LdCDep,$N284)=0,"",INDEX(LdCDep,$N284)),"")))</f>
        <v/>
      </c>
      <c r="F284" s="21">
        <f>IF(AND($L284="",$M284="",$N284=""),"",IF($N284="","",IF(INDEX(LdCWit,$N284)=0,"",INDEX(LdCWit,$N284))))</f>
        <v/>
      </c>
      <c r="G284" s="31">
        <f>IF($B284="","",IF($G283="",0,$G283)+IF($E284="",0,$E284)-IF($F284="",0,$F284))</f>
        <v/>
      </c>
      <c r="H284" s="32">
        <f>IF(AND($L284="",$M284="",$N284=""),"",IF($L284&lt;&gt;"",IF(INDEX(LdANote,$L284)="","—",INDEX(LdANote,$L284)),IF($M284&lt;&gt;"",IF(INDEX(LdBNote,$M284)="","—",INDEX(LdBNote,$M284)),IF($N284&lt;&gt;"",IF(INDEX(LdCNote,$N284)="","—",INDEX(LdCNote,$N284)),""))))</f>
        <v/>
      </c>
      <c r="L284">
        <f>IFERROR(MATCH($C$5&amp;"|"&amp;RIGHT("000000"&amp;268,6),LdAKeyM,0),"")</f>
        <v/>
      </c>
      <c r="M284">
        <f>IFERROR(MATCH($C$5&amp;"|"&amp;RIGHT("000000"&amp;268,6),LdBKeyM,0),"")</f>
        <v/>
      </c>
      <c r="N284">
        <f>IFERROR(MATCH($C$5&amp;"|"&amp;RIGHT("000000"&amp;268,6),LdCKeyM,0),"")</f>
        <v/>
      </c>
    </row>
    <row r="285">
      <c r="A285" s="10" t="n">
        <v>269</v>
      </c>
      <c r="B285" s="14">
        <f>IF(AND($L285="",$M285="",$N285=""),"",IF($L285&lt;&gt;"",INDEX(LdADate,$L285),IF($M285&lt;&gt;"",INDEX(LdBDate,$M285),INDEX(LdCDate,$N285))))</f>
        <v/>
      </c>
      <c r="C285" s="14">
        <f>IF($L285&lt;&gt;"","دستمزد (فردی)",IF($M285&lt;&gt;"","سهم از گروه "&amp;IFERROR(VLOOKUP(INDEX(LdBGroup,$M285),WGTbl,2,0),INDEX(LdBGroup,$M285)),IF($N285&lt;&gt;"",IF(N(INDEX(LdCDep,$N285))&gt;0,"بازگشت بانکی","پرداخت بانکی"),"")))</f>
        <v/>
      </c>
      <c r="D285" s="14">
        <f>IF($L285&lt;&gt;"",IF(INDEX(LdAId,$L285)="","—",INDEX(LdAId,$L285)),IF($M285&lt;&gt;"",IF(INDEX(LdBId,$M285)="","—",INDEX(LdBId,$M285)),IF($N285&lt;&gt;"",IF(INDEX(LdCBank,$N285)="","—",INDEX(LdCBank,$N285)),"")))</f>
        <v/>
      </c>
      <c r="E285" s="16">
        <f>IF($L285&lt;&gt;"",IF(INDEX(LdAAmt,$L285)=0,"",INDEX(LdAAmt,$L285)),IF($M285&lt;&gt;"",IF(INDEX(LdBAmt,$M285)=0,"",INDEX(LdBAmt,$M285)),IF($N285&lt;&gt;"",IF(INDEX(LdCDep,$N285)=0,"",INDEX(LdCDep,$N285)),"")))</f>
        <v/>
      </c>
      <c r="F285" s="16">
        <f>IF(AND($L285="",$M285="",$N285=""),"",IF($N285="","",IF(INDEX(LdCWit,$N285)=0,"",INDEX(LdCWit,$N285))))</f>
        <v/>
      </c>
      <c r="G285" s="29">
        <f>IF($B285="","",IF($G284="",0,$G284)+IF($E285="",0,$E285)-IF($F285="",0,$F285))</f>
        <v/>
      </c>
      <c r="H285" s="30">
        <f>IF(AND($L285="",$M285="",$N285=""),"",IF($L285&lt;&gt;"",IF(INDEX(LdANote,$L285)="","—",INDEX(LdANote,$L285)),IF($M285&lt;&gt;"",IF(INDEX(LdBNote,$M285)="","—",INDEX(LdBNote,$M285)),IF($N285&lt;&gt;"",IF(INDEX(LdCNote,$N285)="","—",INDEX(LdCNote,$N285)),""))))</f>
        <v/>
      </c>
      <c r="L285">
        <f>IFERROR(MATCH($C$5&amp;"|"&amp;RIGHT("000000"&amp;269,6),LdAKeyM,0),"")</f>
        <v/>
      </c>
      <c r="M285">
        <f>IFERROR(MATCH($C$5&amp;"|"&amp;RIGHT("000000"&amp;269,6),LdBKeyM,0),"")</f>
        <v/>
      </c>
      <c r="N285">
        <f>IFERROR(MATCH($C$5&amp;"|"&amp;RIGHT("000000"&amp;269,6),LdCKeyM,0),"")</f>
        <v/>
      </c>
    </row>
    <row r="286">
      <c r="A286" s="19" t="n">
        <v>270</v>
      </c>
      <c r="B286" s="20">
        <f>IF(AND($L286="",$M286="",$N286=""),"",IF($L286&lt;&gt;"",INDEX(LdADate,$L286),IF($M286&lt;&gt;"",INDEX(LdBDate,$M286),INDEX(LdCDate,$N286))))</f>
        <v/>
      </c>
      <c r="C286" s="20">
        <f>IF($L286&lt;&gt;"","دستمزد (فردی)",IF($M286&lt;&gt;"","سهم از گروه "&amp;IFERROR(VLOOKUP(INDEX(LdBGroup,$M286),WGTbl,2,0),INDEX(LdBGroup,$M286)),IF($N286&lt;&gt;"",IF(N(INDEX(LdCDep,$N286))&gt;0,"بازگشت بانکی","پرداخت بانکی"),"")))</f>
        <v/>
      </c>
      <c r="D286" s="20">
        <f>IF($L286&lt;&gt;"",IF(INDEX(LdAId,$L286)="","—",INDEX(LdAId,$L286)),IF($M286&lt;&gt;"",IF(INDEX(LdBId,$M286)="","—",INDEX(LdBId,$M286)),IF($N286&lt;&gt;"",IF(INDEX(LdCBank,$N286)="","—",INDEX(LdCBank,$N286)),"")))</f>
        <v/>
      </c>
      <c r="E286" s="21">
        <f>IF($L286&lt;&gt;"",IF(INDEX(LdAAmt,$L286)=0,"",INDEX(LdAAmt,$L286)),IF($M286&lt;&gt;"",IF(INDEX(LdBAmt,$M286)=0,"",INDEX(LdBAmt,$M286)),IF($N286&lt;&gt;"",IF(INDEX(LdCDep,$N286)=0,"",INDEX(LdCDep,$N286)),"")))</f>
        <v/>
      </c>
      <c r="F286" s="21">
        <f>IF(AND($L286="",$M286="",$N286=""),"",IF($N286="","",IF(INDEX(LdCWit,$N286)=0,"",INDEX(LdCWit,$N286))))</f>
        <v/>
      </c>
      <c r="G286" s="31">
        <f>IF($B286="","",IF($G285="",0,$G285)+IF($E286="",0,$E286)-IF($F286="",0,$F286))</f>
        <v/>
      </c>
      <c r="H286" s="32">
        <f>IF(AND($L286="",$M286="",$N286=""),"",IF($L286&lt;&gt;"",IF(INDEX(LdANote,$L286)="","—",INDEX(LdANote,$L286)),IF($M286&lt;&gt;"",IF(INDEX(LdBNote,$M286)="","—",INDEX(LdBNote,$M286)),IF($N286&lt;&gt;"",IF(INDEX(LdCNote,$N286)="","—",INDEX(LdCNote,$N286)),""))))</f>
        <v/>
      </c>
      <c r="L286">
        <f>IFERROR(MATCH($C$5&amp;"|"&amp;RIGHT("000000"&amp;270,6),LdAKeyM,0),"")</f>
        <v/>
      </c>
      <c r="M286">
        <f>IFERROR(MATCH($C$5&amp;"|"&amp;RIGHT("000000"&amp;270,6),LdBKeyM,0),"")</f>
        <v/>
      </c>
      <c r="N286">
        <f>IFERROR(MATCH($C$5&amp;"|"&amp;RIGHT("000000"&amp;270,6),LdCKeyM,0),"")</f>
        <v/>
      </c>
    </row>
    <row r="287">
      <c r="A287" s="10" t="n">
        <v>271</v>
      </c>
      <c r="B287" s="14">
        <f>IF(AND($L287="",$M287="",$N287=""),"",IF($L287&lt;&gt;"",INDEX(LdADate,$L287),IF($M287&lt;&gt;"",INDEX(LdBDate,$M287),INDEX(LdCDate,$N287))))</f>
        <v/>
      </c>
      <c r="C287" s="14">
        <f>IF($L287&lt;&gt;"","دستمزد (فردی)",IF($M287&lt;&gt;"","سهم از گروه "&amp;IFERROR(VLOOKUP(INDEX(LdBGroup,$M287),WGTbl,2,0),INDEX(LdBGroup,$M287)),IF($N287&lt;&gt;"",IF(N(INDEX(LdCDep,$N287))&gt;0,"بازگشت بانکی","پرداخت بانکی"),"")))</f>
        <v/>
      </c>
      <c r="D287" s="14">
        <f>IF($L287&lt;&gt;"",IF(INDEX(LdAId,$L287)="","—",INDEX(LdAId,$L287)),IF($M287&lt;&gt;"",IF(INDEX(LdBId,$M287)="","—",INDEX(LdBId,$M287)),IF($N287&lt;&gt;"",IF(INDEX(LdCBank,$N287)="","—",INDEX(LdCBank,$N287)),"")))</f>
        <v/>
      </c>
      <c r="E287" s="16">
        <f>IF($L287&lt;&gt;"",IF(INDEX(LdAAmt,$L287)=0,"",INDEX(LdAAmt,$L287)),IF($M287&lt;&gt;"",IF(INDEX(LdBAmt,$M287)=0,"",INDEX(LdBAmt,$M287)),IF($N287&lt;&gt;"",IF(INDEX(LdCDep,$N287)=0,"",INDEX(LdCDep,$N287)),"")))</f>
        <v/>
      </c>
      <c r="F287" s="16">
        <f>IF(AND($L287="",$M287="",$N287=""),"",IF($N287="","",IF(INDEX(LdCWit,$N287)=0,"",INDEX(LdCWit,$N287))))</f>
        <v/>
      </c>
      <c r="G287" s="29">
        <f>IF($B287="","",IF($G286="",0,$G286)+IF($E287="",0,$E287)-IF($F287="",0,$F287))</f>
        <v/>
      </c>
      <c r="H287" s="30">
        <f>IF(AND($L287="",$M287="",$N287=""),"",IF($L287&lt;&gt;"",IF(INDEX(LdANote,$L287)="","—",INDEX(LdANote,$L287)),IF($M287&lt;&gt;"",IF(INDEX(LdBNote,$M287)="","—",INDEX(LdBNote,$M287)),IF($N287&lt;&gt;"",IF(INDEX(LdCNote,$N287)="","—",INDEX(LdCNote,$N287)),""))))</f>
        <v/>
      </c>
      <c r="L287">
        <f>IFERROR(MATCH($C$5&amp;"|"&amp;RIGHT("000000"&amp;271,6),LdAKeyM,0),"")</f>
        <v/>
      </c>
      <c r="M287">
        <f>IFERROR(MATCH($C$5&amp;"|"&amp;RIGHT("000000"&amp;271,6),LdBKeyM,0),"")</f>
        <v/>
      </c>
      <c r="N287">
        <f>IFERROR(MATCH($C$5&amp;"|"&amp;RIGHT("000000"&amp;271,6),LdCKeyM,0),"")</f>
        <v/>
      </c>
    </row>
    <row r="288">
      <c r="A288" s="19" t="n">
        <v>272</v>
      </c>
      <c r="B288" s="20">
        <f>IF(AND($L288="",$M288="",$N288=""),"",IF($L288&lt;&gt;"",INDEX(LdADate,$L288),IF($M288&lt;&gt;"",INDEX(LdBDate,$M288),INDEX(LdCDate,$N288))))</f>
        <v/>
      </c>
      <c r="C288" s="20">
        <f>IF($L288&lt;&gt;"","دستمزد (فردی)",IF($M288&lt;&gt;"","سهم از گروه "&amp;IFERROR(VLOOKUP(INDEX(LdBGroup,$M288),WGTbl,2,0),INDEX(LdBGroup,$M288)),IF($N288&lt;&gt;"",IF(N(INDEX(LdCDep,$N288))&gt;0,"بازگشت بانکی","پرداخت بانکی"),"")))</f>
        <v/>
      </c>
      <c r="D288" s="20">
        <f>IF($L288&lt;&gt;"",IF(INDEX(LdAId,$L288)="","—",INDEX(LdAId,$L288)),IF($M288&lt;&gt;"",IF(INDEX(LdBId,$M288)="","—",INDEX(LdBId,$M288)),IF($N288&lt;&gt;"",IF(INDEX(LdCBank,$N288)="","—",INDEX(LdCBank,$N288)),"")))</f>
        <v/>
      </c>
      <c r="E288" s="21">
        <f>IF($L288&lt;&gt;"",IF(INDEX(LdAAmt,$L288)=0,"",INDEX(LdAAmt,$L288)),IF($M288&lt;&gt;"",IF(INDEX(LdBAmt,$M288)=0,"",INDEX(LdBAmt,$M288)),IF($N288&lt;&gt;"",IF(INDEX(LdCDep,$N288)=0,"",INDEX(LdCDep,$N288)),"")))</f>
        <v/>
      </c>
      <c r="F288" s="21">
        <f>IF(AND($L288="",$M288="",$N288=""),"",IF($N288="","",IF(INDEX(LdCWit,$N288)=0,"",INDEX(LdCWit,$N288))))</f>
        <v/>
      </c>
      <c r="G288" s="31">
        <f>IF($B288="","",IF($G287="",0,$G287)+IF($E288="",0,$E288)-IF($F288="",0,$F288))</f>
        <v/>
      </c>
      <c r="H288" s="32">
        <f>IF(AND($L288="",$M288="",$N288=""),"",IF($L288&lt;&gt;"",IF(INDEX(LdANote,$L288)="","—",INDEX(LdANote,$L288)),IF($M288&lt;&gt;"",IF(INDEX(LdBNote,$M288)="","—",INDEX(LdBNote,$M288)),IF($N288&lt;&gt;"",IF(INDEX(LdCNote,$N288)="","—",INDEX(LdCNote,$N288)),""))))</f>
        <v/>
      </c>
      <c r="L288">
        <f>IFERROR(MATCH($C$5&amp;"|"&amp;RIGHT("000000"&amp;272,6),LdAKeyM,0),"")</f>
        <v/>
      </c>
      <c r="M288">
        <f>IFERROR(MATCH($C$5&amp;"|"&amp;RIGHT("000000"&amp;272,6),LdBKeyM,0),"")</f>
        <v/>
      </c>
      <c r="N288">
        <f>IFERROR(MATCH($C$5&amp;"|"&amp;RIGHT("000000"&amp;272,6),LdCKeyM,0),"")</f>
        <v/>
      </c>
    </row>
    <row r="289">
      <c r="A289" s="10" t="n">
        <v>273</v>
      </c>
      <c r="B289" s="14">
        <f>IF(AND($L289="",$M289="",$N289=""),"",IF($L289&lt;&gt;"",INDEX(LdADate,$L289),IF($M289&lt;&gt;"",INDEX(LdBDate,$M289),INDEX(LdCDate,$N289))))</f>
        <v/>
      </c>
      <c r="C289" s="14">
        <f>IF($L289&lt;&gt;"","دستمزد (فردی)",IF($M289&lt;&gt;"","سهم از گروه "&amp;IFERROR(VLOOKUP(INDEX(LdBGroup,$M289),WGTbl,2,0),INDEX(LdBGroup,$M289)),IF($N289&lt;&gt;"",IF(N(INDEX(LdCDep,$N289))&gt;0,"بازگشت بانکی","پرداخت بانکی"),"")))</f>
        <v/>
      </c>
      <c r="D289" s="14">
        <f>IF($L289&lt;&gt;"",IF(INDEX(LdAId,$L289)="","—",INDEX(LdAId,$L289)),IF($M289&lt;&gt;"",IF(INDEX(LdBId,$M289)="","—",INDEX(LdBId,$M289)),IF($N289&lt;&gt;"",IF(INDEX(LdCBank,$N289)="","—",INDEX(LdCBank,$N289)),"")))</f>
        <v/>
      </c>
      <c r="E289" s="16">
        <f>IF($L289&lt;&gt;"",IF(INDEX(LdAAmt,$L289)=0,"",INDEX(LdAAmt,$L289)),IF($M289&lt;&gt;"",IF(INDEX(LdBAmt,$M289)=0,"",INDEX(LdBAmt,$M289)),IF($N289&lt;&gt;"",IF(INDEX(LdCDep,$N289)=0,"",INDEX(LdCDep,$N289)),"")))</f>
        <v/>
      </c>
      <c r="F289" s="16">
        <f>IF(AND($L289="",$M289="",$N289=""),"",IF($N289="","",IF(INDEX(LdCWit,$N289)=0,"",INDEX(LdCWit,$N289))))</f>
        <v/>
      </c>
      <c r="G289" s="29">
        <f>IF($B289="","",IF($G288="",0,$G288)+IF($E289="",0,$E289)-IF($F289="",0,$F289))</f>
        <v/>
      </c>
      <c r="H289" s="30">
        <f>IF(AND($L289="",$M289="",$N289=""),"",IF($L289&lt;&gt;"",IF(INDEX(LdANote,$L289)="","—",INDEX(LdANote,$L289)),IF($M289&lt;&gt;"",IF(INDEX(LdBNote,$M289)="","—",INDEX(LdBNote,$M289)),IF($N289&lt;&gt;"",IF(INDEX(LdCNote,$N289)="","—",INDEX(LdCNote,$N289)),""))))</f>
        <v/>
      </c>
      <c r="L289">
        <f>IFERROR(MATCH($C$5&amp;"|"&amp;RIGHT("000000"&amp;273,6),LdAKeyM,0),"")</f>
        <v/>
      </c>
      <c r="M289">
        <f>IFERROR(MATCH($C$5&amp;"|"&amp;RIGHT("000000"&amp;273,6),LdBKeyM,0),"")</f>
        <v/>
      </c>
      <c r="N289">
        <f>IFERROR(MATCH($C$5&amp;"|"&amp;RIGHT("000000"&amp;273,6),LdCKeyM,0),"")</f>
        <v/>
      </c>
    </row>
    <row r="290">
      <c r="A290" s="19" t="n">
        <v>274</v>
      </c>
      <c r="B290" s="20">
        <f>IF(AND($L290="",$M290="",$N290=""),"",IF($L290&lt;&gt;"",INDEX(LdADate,$L290),IF($M290&lt;&gt;"",INDEX(LdBDate,$M290),INDEX(LdCDate,$N290))))</f>
        <v/>
      </c>
      <c r="C290" s="20">
        <f>IF($L290&lt;&gt;"","دستمزد (فردی)",IF($M290&lt;&gt;"","سهم از گروه "&amp;IFERROR(VLOOKUP(INDEX(LdBGroup,$M290),WGTbl,2,0),INDEX(LdBGroup,$M290)),IF($N290&lt;&gt;"",IF(N(INDEX(LdCDep,$N290))&gt;0,"بازگشت بانکی","پرداخت بانکی"),"")))</f>
        <v/>
      </c>
      <c r="D290" s="20">
        <f>IF($L290&lt;&gt;"",IF(INDEX(LdAId,$L290)="","—",INDEX(LdAId,$L290)),IF($M290&lt;&gt;"",IF(INDEX(LdBId,$M290)="","—",INDEX(LdBId,$M290)),IF($N290&lt;&gt;"",IF(INDEX(LdCBank,$N290)="","—",INDEX(LdCBank,$N290)),"")))</f>
        <v/>
      </c>
      <c r="E290" s="21">
        <f>IF($L290&lt;&gt;"",IF(INDEX(LdAAmt,$L290)=0,"",INDEX(LdAAmt,$L290)),IF($M290&lt;&gt;"",IF(INDEX(LdBAmt,$M290)=0,"",INDEX(LdBAmt,$M290)),IF($N290&lt;&gt;"",IF(INDEX(LdCDep,$N290)=0,"",INDEX(LdCDep,$N290)),"")))</f>
        <v/>
      </c>
      <c r="F290" s="21">
        <f>IF(AND($L290="",$M290="",$N290=""),"",IF($N290="","",IF(INDEX(LdCWit,$N290)=0,"",INDEX(LdCWit,$N290))))</f>
        <v/>
      </c>
      <c r="G290" s="31">
        <f>IF($B290="","",IF($G289="",0,$G289)+IF($E290="",0,$E290)-IF($F290="",0,$F290))</f>
        <v/>
      </c>
      <c r="H290" s="32">
        <f>IF(AND($L290="",$M290="",$N290=""),"",IF($L290&lt;&gt;"",IF(INDEX(LdANote,$L290)="","—",INDEX(LdANote,$L290)),IF($M290&lt;&gt;"",IF(INDEX(LdBNote,$M290)="","—",INDEX(LdBNote,$M290)),IF($N290&lt;&gt;"",IF(INDEX(LdCNote,$N290)="","—",INDEX(LdCNote,$N290)),""))))</f>
        <v/>
      </c>
      <c r="L290">
        <f>IFERROR(MATCH($C$5&amp;"|"&amp;RIGHT("000000"&amp;274,6),LdAKeyM,0),"")</f>
        <v/>
      </c>
      <c r="M290">
        <f>IFERROR(MATCH($C$5&amp;"|"&amp;RIGHT("000000"&amp;274,6),LdBKeyM,0),"")</f>
        <v/>
      </c>
      <c r="N290">
        <f>IFERROR(MATCH($C$5&amp;"|"&amp;RIGHT("000000"&amp;274,6),LdCKeyM,0),"")</f>
        <v/>
      </c>
    </row>
    <row r="291">
      <c r="A291" s="10" t="n">
        <v>275</v>
      </c>
      <c r="B291" s="14">
        <f>IF(AND($L291="",$M291="",$N291=""),"",IF($L291&lt;&gt;"",INDEX(LdADate,$L291),IF($M291&lt;&gt;"",INDEX(LdBDate,$M291),INDEX(LdCDate,$N291))))</f>
        <v/>
      </c>
      <c r="C291" s="14">
        <f>IF($L291&lt;&gt;"","دستمزد (فردی)",IF($M291&lt;&gt;"","سهم از گروه "&amp;IFERROR(VLOOKUP(INDEX(LdBGroup,$M291),WGTbl,2,0),INDEX(LdBGroup,$M291)),IF($N291&lt;&gt;"",IF(N(INDEX(LdCDep,$N291))&gt;0,"بازگشت بانکی","پرداخت بانکی"),"")))</f>
        <v/>
      </c>
      <c r="D291" s="14">
        <f>IF($L291&lt;&gt;"",IF(INDEX(LdAId,$L291)="","—",INDEX(LdAId,$L291)),IF($M291&lt;&gt;"",IF(INDEX(LdBId,$M291)="","—",INDEX(LdBId,$M291)),IF($N291&lt;&gt;"",IF(INDEX(LdCBank,$N291)="","—",INDEX(LdCBank,$N291)),"")))</f>
        <v/>
      </c>
      <c r="E291" s="16">
        <f>IF($L291&lt;&gt;"",IF(INDEX(LdAAmt,$L291)=0,"",INDEX(LdAAmt,$L291)),IF($M291&lt;&gt;"",IF(INDEX(LdBAmt,$M291)=0,"",INDEX(LdBAmt,$M291)),IF($N291&lt;&gt;"",IF(INDEX(LdCDep,$N291)=0,"",INDEX(LdCDep,$N291)),"")))</f>
        <v/>
      </c>
      <c r="F291" s="16">
        <f>IF(AND($L291="",$M291="",$N291=""),"",IF($N291="","",IF(INDEX(LdCWit,$N291)=0,"",INDEX(LdCWit,$N291))))</f>
        <v/>
      </c>
      <c r="G291" s="29">
        <f>IF($B291="","",IF($G290="",0,$G290)+IF($E291="",0,$E291)-IF($F291="",0,$F291))</f>
        <v/>
      </c>
      <c r="H291" s="30">
        <f>IF(AND($L291="",$M291="",$N291=""),"",IF($L291&lt;&gt;"",IF(INDEX(LdANote,$L291)="","—",INDEX(LdANote,$L291)),IF($M291&lt;&gt;"",IF(INDEX(LdBNote,$M291)="","—",INDEX(LdBNote,$M291)),IF($N291&lt;&gt;"",IF(INDEX(LdCNote,$N291)="","—",INDEX(LdCNote,$N291)),""))))</f>
        <v/>
      </c>
      <c r="L291">
        <f>IFERROR(MATCH($C$5&amp;"|"&amp;RIGHT("000000"&amp;275,6),LdAKeyM,0),"")</f>
        <v/>
      </c>
      <c r="M291">
        <f>IFERROR(MATCH($C$5&amp;"|"&amp;RIGHT("000000"&amp;275,6),LdBKeyM,0),"")</f>
        <v/>
      </c>
      <c r="N291">
        <f>IFERROR(MATCH($C$5&amp;"|"&amp;RIGHT("000000"&amp;275,6),LdCKeyM,0),"")</f>
        <v/>
      </c>
    </row>
    <row r="292">
      <c r="A292" s="19" t="n">
        <v>276</v>
      </c>
      <c r="B292" s="20">
        <f>IF(AND($L292="",$M292="",$N292=""),"",IF($L292&lt;&gt;"",INDEX(LdADate,$L292),IF($M292&lt;&gt;"",INDEX(LdBDate,$M292),INDEX(LdCDate,$N292))))</f>
        <v/>
      </c>
      <c r="C292" s="20">
        <f>IF($L292&lt;&gt;"","دستمزد (فردی)",IF($M292&lt;&gt;"","سهم از گروه "&amp;IFERROR(VLOOKUP(INDEX(LdBGroup,$M292),WGTbl,2,0),INDEX(LdBGroup,$M292)),IF($N292&lt;&gt;"",IF(N(INDEX(LdCDep,$N292))&gt;0,"بازگشت بانکی","پرداخت بانکی"),"")))</f>
        <v/>
      </c>
      <c r="D292" s="20">
        <f>IF($L292&lt;&gt;"",IF(INDEX(LdAId,$L292)="","—",INDEX(LdAId,$L292)),IF($M292&lt;&gt;"",IF(INDEX(LdBId,$M292)="","—",INDEX(LdBId,$M292)),IF($N292&lt;&gt;"",IF(INDEX(LdCBank,$N292)="","—",INDEX(LdCBank,$N292)),"")))</f>
        <v/>
      </c>
      <c r="E292" s="21">
        <f>IF($L292&lt;&gt;"",IF(INDEX(LdAAmt,$L292)=0,"",INDEX(LdAAmt,$L292)),IF($M292&lt;&gt;"",IF(INDEX(LdBAmt,$M292)=0,"",INDEX(LdBAmt,$M292)),IF($N292&lt;&gt;"",IF(INDEX(LdCDep,$N292)=0,"",INDEX(LdCDep,$N292)),"")))</f>
        <v/>
      </c>
      <c r="F292" s="21">
        <f>IF(AND($L292="",$M292="",$N292=""),"",IF($N292="","",IF(INDEX(LdCWit,$N292)=0,"",INDEX(LdCWit,$N292))))</f>
        <v/>
      </c>
      <c r="G292" s="31">
        <f>IF($B292="","",IF($G291="",0,$G291)+IF($E292="",0,$E292)-IF($F292="",0,$F292))</f>
        <v/>
      </c>
      <c r="H292" s="32">
        <f>IF(AND($L292="",$M292="",$N292=""),"",IF($L292&lt;&gt;"",IF(INDEX(LdANote,$L292)="","—",INDEX(LdANote,$L292)),IF($M292&lt;&gt;"",IF(INDEX(LdBNote,$M292)="","—",INDEX(LdBNote,$M292)),IF($N292&lt;&gt;"",IF(INDEX(LdCNote,$N292)="","—",INDEX(LdCNote,$N292)),""))))</f>
        <v/>
      </c>
      <c r="L292">
        <f>IFERROR(MATCH($C$5&amp;"|"&amp;RIGHT("000000"&amp;276,6),LdAKeyM,0),"")</f>
        <v/>
      </c>
      <c r="M292">
        <f>IFERROR(MATCH($C$5&amp;"|"&amp;RIGHT("000000"&amp;276,6),LdBKeyM,0),"")</f>
        <v/>
      </c>
      <c r="N292">
        <f>IFERROR(MATCH($C$5&amp;"|"&amp;RIGHT("000000"&amp;276,6),LdCKeyM,0),"")</f>
        <v/>
      </c>
    </row>
    <row r="293">
      <c r="A293" s="10" t="n">
        <v>277</v>
      </c>
      <c r="B293" s="14">
        <f>IF(AND($L293="",$M293="",$N293=""),"",IF($L293&lt;&gt;"",INDEX(LdADate,$L293),IF($M293&lt;&gt;"",INDEX(LdBDate,$M293),INDEX(LdCDate,$N293))))</f>
        <v/>
      </c>
      <c r="C293" s="14">
        <f>IF($L293&lt;&gt;"","دستمزد (فردی)",IF($M293&lt;&gt;"","سهم از گروه "&amp;IFERROR(VLOOKUP(INDEX(LdBGroup,$M293),WGTbl,2,0),INDEX(LdBGroup,$M293)),IF($N293&lt;&gt;"",IF(N(INDEX(LdCDep,$N293))&gt;0,"بازگشت بانکی","پرداخت بانکی"),"")))</f>
        <v/>
      </c>
      <c r="D293" s="14">
        <f>IF($L293&lt;&gt;"",IF(INDEX(LdAId,$L293)="","—",INDEX(LdAId,$L293)),IF($M293&lt;&gt;"",IF(INDEX(LdBId,$M293)="","—",INDEX(LdBId,$M293)),IF($N293&lt;&gt;"",IF(INDEX(LdCBank,$N293)="","—",INDEX(LdCBank,$N293)),"")))</f>
        <v/>
      </c>
      <c r="E293" s="16">
        <f>IF($L293&lt;&gt;"",IF(INDEX(LdAAmt,$L293)=0,"",INDEX(LdAAmt,$L293)),IF($M293&lt;&gt;"",IF(INDEX(LdBAmt,$M293)=0,"",INDEX(LdBAmt,$M293)),IF($N293&lt;&gt;"",IF(INDEX(LdCDep,$N293)=0,"",INDEX(LdCDep,$N293)),"")))</f>
        <v/>
      </c>
      <c r="F293" s="16">
        <f>IF(AND($L293="",$M293="",$N293=""),"",IF($N293="","",IF(INDEX(LdCWit,$N293)=0,"",INDEX(LdCWit,$N293))))</f>
        <v/>
      </c>
      <c r="G293" s="29">
        <f>IF($B293="","",IF($G292="",0,$G292)+IF($E293="",0,$E293)-IF($F293="",0,$F293))</f>
        <v/>
      </c>
      <c r="H293" s="30">
        <f>IF(AND($L293="",$M293="",$N293=""),"",IF($L293&lt;&gt;"",IF(INDEX(LdANote,$L293)="","—",INDEX(LdANote,$L293)),IF($M293&lt;&gt;"",IF(INDEX(LdBNote,$M293)="","—",INDEX(LdBNote,$M293)),IF($N293&lt;&gt;"",IF(INDEX(LdCNote,$N293)="","—",INDEX(LdCNote,$N293)),""))))</f>
        <v/>
      </c>
      <c r="L293">
        <f>IFERROR(MATCH($C$5&amp;"|"&amp;RIGHT("000000"&amp;277,6),LdAKeyM,0),"")</f>
        <v/>
      </c>
      <c r="M293">
        <f>IFERROR(MATCH($C$5&amp;"|"&amp;RIGHT("000000"&amp;277,6),LdBKeyM,0),"")</f>
        <v/>
      </c>
      <c r="N293">
        <f>IFERROR(MATCH($C$5&amp;"|"&amp;RIGHT("000000"&amp;277,6),LdCKeyM,0),"")</f>
        <v/>
      </c>
    </row>
    <row r="294">
      <c r="A294" s="19" t="n">
        <v>278</v>
      </c>
      <c r="B294" s="20">
        <f>IF(AND($L294="",$M294="",$N294=""),"",IF($L294&lt;&gt;"",INDEX(LdADate,$L294),IF($M294&lt;&gt;"",INDEX(LdBDate,$M294),INDEX(LdCDate,$N294))))</f>
        <v/>
      </c>
      <c r="C294" s="20">
        <f>IF($L294&lt;&gt;"","دستمزد (فردی)",IF($M294&lt;&gt;"","سهم از گروه "&amp;IFERROR(VLOOKUP(INDEX(LdBGroup,$M294),WGTbl,2,0),INDEX(LdBGroup,$M294)),IF($N294&lt;&gt;"",IF(N(INDEX(LdCDep,$N294))&gt;0,"بازگشت بانکی","پرداخت بانکی"),"")))</f>
        <v/>
      </c>
      <c r="D294" s="20">
        <f>IF($L294&lt;&gt;"",IF(INDEX(LdAId,$L294)="","—",INDEX(LdAId,$L294)),IF($M294&lt;&gt;"",IF(INDEX(LdBId,$M294)="","—",INDEX(LdBId,$M294)),IF($N294&lt;&gt;"",IF(INDEX(LdCBank,$N294)="","—",INDEX(LdCBank,$N294)),"")))</f>
        <v/>
      </c>
      <c r="E294" s="21">
        <f>IF($L294&lt;&gt;"",IF(INDEX(LdAAmt,$L294)=0,"",INDEX(LdAAmt,$L294)),IF($M294&lt;&gt;"",IF(INDEX(LdBAmt,$M294)=0,"",INDEX(LdBAmt,$M294)),IF($N294&lt;&gt;"",IF(INDEX(LdCDep,$N294)=0,"",INDEX(LdCDep,$N294)),"")))</f>
        <v/>
      </c>
      <c r="F294" s="21">
        <f>IF(AND($L294="",$M294="",$N294=""),"",IF($N294="","",IF(INDEX(LdCWit,$N294)=0,"",INDEX(LdCWit,$N294))))</f>
        <v/>
      </c>
      <c r="G294" s="31">
        <f>IF($B294="","",IF($G293="",0,$G293)+IF($E294="",0,$E294)-IF($F294="",0,$F294))</f>
        <v/>
      </c>
      <c r="H294" s="32">
        <f>IF(AND($L294="",$M294="",$N294=""),"",IF($L294&lt;&gt;"",IF(INDEX(LdANote,$L294)="","—",INDEX(LdANote,$L294)),IF($M294&lt;&gt;"",IF(INDEX(LdBNote,$M294)="","—",INDEX(LdBNote,$M294)),IF($N294&lt;&gt;"",IF(INDEX(LdCNote,$N294)="","—",INDEX(LdCNote,$N294)),""))))</f>
        <v/>
      </c>
      <c r="L294">
        <f>IFERROR(MATCH($C$5&amp;"|"&amp;RIGHT("000000"&amp;278,6),LdAKeyM,0),"")</f>
        <v/>
      </c>
      <c r="M294">
        <f>IFERROR(MATCH($C$5&amp;"|"&amp;RIGHT("000000"&amp;278,6),LdBKeyM,0),"")</f>
        <v/>
      </c>
      <c r="N294">
        <f>IFERROR(MATCH($C$5&amp;"|"&amp;RIGHT("000000"&amp;278,6),LdCKeyM,0),"")</f>
        <v/>
      </c>
    </row>
    <row r="295">
      <c r="A295" s="10" t="n">
        <v>279</v>
      </c>
      <c r="B295" s="14">
        <f>IF(AND($L295="",$M295="",$N295=""),"",IF($L295&lt;&gt;"",INDEX(LdADate,$L295),IF($M295&lt;&gt;"",INDEX(LdBDate,$M295),INDEX(LdCDate,$N295))))</f>
        <v/>
      </c>
      <c r="C295" s="14">
        <f>IF($L295&lt;&gt;"","دستمزد (فردی)",IF($M295&lt;&gt;"","سهم از گروه "&amp;IFERROR(VLOOKUP(INDEX(LdBGroup,$M295),WGTbl,2,0),INDEX(LdBGroup,$M295)),IF($N295&lt;&gt;"",IF(N(INDEX(LdCDep,$N295))&gt;0,"بازگشت بانکی","پرداخت بانکی"),"")))</f>
        <v/>
      </c>
      <c r="D295" s="14">
        <f>IF($L295&lt;&gt;"",IF(INDEX(LdAId,$L295)="","—",INDEX(LdAId,$L295)),IF($M295&lt;&gt;"",IF(INDEX(LdBId,$M295)="","—",INDEX(LdBId,$M295)),IF($N295&lt;&gt;"",IF(INDEX(LdCBank,$N295)="","—",INDEX(LdCBank,$N295)),"")))</f>
        <v/>
      </c>
      <c r="E295" s="16">
        <f>IF($L295&lt;&gt;"",IF(INDEX(LdAAmt,$L295)=0,"",INDEX(LdAAmt,$L295)),IF($M295&lt;&gt;"",IF(INDEX(LdBAmt,$M295)=0,"",INDEX(LdBAmt,$M295)),IF($N295&lt;&gt;"",IF(INDEX(LdCDep,$N295)=0,"",INDEX(LdCDep,$N295)),"")))</f>
        <v/>
      </c>
      <c r="F295" s="16">
        <f>IF(AND($L295="",$M295="",$N295=""),"",IF($N295="","",IF(INDEX(LdCWit,$N295)=0,"",INDEX(LdCWit,$N295))))</f>
        <v/>
      </c>
      <c r="G295" s="29">
        <f>IF($B295="","",IF($G294="",0,$G294)+IF($E295="",0,$E295)-IF($F295="",0,$F295))</f>
        <v/>
      </c>
      <c r="H295" s="30">
        <f>IF(AND($L295="",$M295="",$N295=""),"",IF($L295&lt;&gt;"",IF(INDEX(LdANote,$L295)="","—",INDEX(LdANote,$L295)),IF($M295&lt;&gt;"",IF(INDEX(LdBNote,$M295)="","—",INDEX(LdBNote,$M295)),IF($N295&lt;&gt;"",IF(INDEX(LdCNote,$N295)="","—",INDEX(LdCNote,$N295)),""))))</f>
        <v/>
      </c>
      <c r="L295">
        <f>IFERROR(MATCH($C$5&amp;"|"&amp;RIGHT("000000"&amp;279,6),LdAKeyM,0),"")</f>
        <v/>
      </c>
      <c r="M295">
        <f>IFERROR(MATCH($C$5&amp;"|"&amp;RIGHT("000000"&amp;279,6),LdBKeyM,0),"")</f>
        <v/>
      </c>
      <c r="N295">
        <f>IFERROR(MATCH($C$5&amp;"|"&amp;RIGHT("000000"&amp;279,6),LdCKeyM,0),"")</f>
        <v/>
      </c>
    </row>
    <row r="296">
      <c r="A296" s="19" t="n">
        <v>280</v>
      </c>
      <c r="B296" s="20">
        <f>IF(AND($L296="",$M296="",$N296=""),"",IF($L296&lt;&gt;"",INDEX(LdADate,$L296),IF($M296&lt;&gt;"",INDEX(LdBDate,$M296),INDEX(LdCDate,$N296))))</f>
        <v/>
      </c>
      <c r="C296" s="20">
        <f>IF($L296&lt;&gt;"","دستمزد (فردی)",IF($M296&lt;&gt;"","سهم از گروه "&amp;IFERROR(VLOOKUP(INDEX(LdBGroup,$M296),WGTbl,2,0),INDEX(LdBGroup,$M296)),IF($N296&lt;&gt;"",IF(N(INDEX(LdCDep,$N296))&gt;0,"بازگشت بانکی","پرداخت بانکی"),"")))</f>
        <v/>
      </c>
      <c r="D296" s="20">
        <f>IF($L296&lt;&gt;"",IF(INDEX(LdAId,$L296)="","—",INDEX(LdAId,$L296)),IF($M296&lt;&gt;"",IF(INDEX(LdBId,$M296)="","—",INDEX(LdBId,$M296)),IF($N296&lt;&gt;"",IF(INDEX(LdCBank,$N296)="","—",INDEX(LdCBank,$N296)),"")))</f>
        <v/>
      </c>
      <c r="E296" s="21">
        <f>IF($L296&lt;&gt;"",IF(INDEX(LdAAmt,$L296)=0,"",INDEX(LdAAmt,$L296)),IF($M296&lt;&gt;"",IF(INDEX(LdBAmt,$M296)=0,"",INDEX(LdBAmt,$M296)),IF($N296&lt;&gt;"",IF(INDEX(LdCDep,$N296)=0,"",INDEX(LdCDep,$N296)),"")))</f>
        <v/>
      </c>
      <c r="F296" s="21">
        <f>IF(AND($L296="",$M296="",$N296=""),"",IF($N296="","",IF(INDEX(LdCWit,$N296)=0,"",INDEX(LdCWit,$N296))))</f>
        <v/>
      </c>
      <c r="G296" s="31">
        <f>IF($B296="","",IF($G295="",0,$G295)+IF($E296="",0,$E296)-IF($F296="",0,$F296))</f>
        <v/>
      </c>
      <c r="H296" s="32">
        <f>IF(AND($L296="",$M296="",$N296=""),"",IF($L296&lt;&gt;"",IF(INDEX(LdANote,$L296)="","—",INDEX(LdANote,$L296)),IF($M296&lt;&gt;"",IF(INDEX(LdBNote,$M296)="","—",INDEX(LdBNote,$M296)),IF($N296&lt;&gt;"",IF(INDEX(LdCNote,$N296)="","—",INDEX(LdCNote,$N296)),""))))</f>
        <v/>
      </c>
      <c r="L296">
        <f>IFERROR(MATCH($C$5&amp;"|"&amp;RIGHT("000000"&amp;280,6),LdAKeyM,0),"")</f>
        <v/>
      </c>
      <c r="M296">
        <f>IFERROR(MATCH($C$5&amp;"|"&amp;RIGHT("000000"&amp;280,6),LdBKeyM,0),"")</f>
        <v/>
      </c>
      <c r="N296">
        <f>IFERROR(MATCH($C$5&amp;"|"&amp;RIGHT("000000"&amp;280,6),LdCKeyM,0),"")</f>
        <v/>
      </c>
    </row>
    <row r="297">
      <c r="A297" s="10" t="n">
        <v>281</v>
      </c>
      <c r="B297" s="14">
        <f>IF(AND($L297="",$M297="",$N297=""),"",IF($L297&lt;&gt;"",INDEX(LdADate,$L297),IF($M297&lt;&gt;"",INDEX(LdBDate,$M297),INDEX(LdCDate,$N297))))</f>
        <v/>
      </c>
      <c r="C297" s="14">
        <f>IF($L297&lt;&gt;"","دستمزد (فردی)",IF($M297&lt;&gt;"","سهم از گروه "&amp;IFERROR(VLOOKUP(INDEX(LdBGroup,$M297),WGTbl,2,0),INDEX(LdBGroup,$M297)),IF($N297&lt;&gt;"",IF(N(INDEX(LdCDep,$N297))&gt;0,"بازگشت بانکی","پرداخت بانکی"),"")))</f>
        <v/>
      </c>
      <c r="D297" s="14">
        <f>IF($L297&lt;&gt;"",IF(INDEX(LdAId,$L297)="","—",INDEX(LdAId,$L297)),IF($M297&lt;&gt;"",IF(INDEX(LdBId,$M297)="","—",INDEX(LdBId,$M297)),IF($N297&lt;&gt;"",IF(INDEX(LdCBank,$N297)="","—",INDEX(LdCBank,$N297)),"")))</f>
        <v/>
      </c>
      <c r="E297" s="16">
        <f>IF($L297&lt;&gt;"",IF(INDEX(LdAAmt,$L297)=0,"",INDEX(LdAAmt,$L297)),IF($M297&lt;&gt;"",IF(INDEX(LdBAmt,$M297)=0,"",INDEX(LdBAmt,$M297)),IF($N297&lt;&gt;"",IF(INDEX(LdCDep,$N297)=0,"",INDEX(LdCDep,$N297)),"")))</f>
        <v/>
      </c>
      <c r="F297" s="16">
        <f>IF(AND($L297="",$M297="",$N297=""),"",IF($N297="","",IF(INDEX(LdCWit,$N297)=0,"",INDEX(LdCWit,$N297))))</f>
        <v/>
      </c>
      <c r="G297" s="29">
        <f>IF($B297="","",IF($G296="",0,$G296)+IF($E297="",0,$E297)-IF($F297="",0,$F297))</f>
        <v/>
      </c>
      <c r="H297" s="30">
        <f>IF(AND($L297="",$M297="",$N297=""),"",IF($L297&lt;&gt;"",IF(INDEX(LdANote,$L297)="","—",INDEX(LdANote,$L297)),IF($M297&lt;&gt;"",IF(INDEX(LdBNote,$M297)="","—",INDEX(LdBNote,$M297)),IF($N297&lt;&gt;"",IF(INDEX(LdCNote,$N297)="","—",INDEX(LdCNote,$N297)),""))))</f>
        <v/>
      </c>
      <c r="L297">
        <f>IFERROR(MATCH($C$5&amp;"|"&amp;RIGHT("000000"&amp;281,6),LdAKeyM,0),"")</f>
        <v/>
      </c>
      <c r="M297">
        <f>IFERROR(MATCH($C$5&amp;"|"&amp;RIGHT("000000"&amp;281,6),LdBKeyM,0),"")</f>
        <v/>
      </c>
      <c r="N297">
        <f>IFERROR(MATCH($C$5&amp;"|"&amp;RIGHT("000000"&amp;281,6),LdCKeyM,0),"")</f>
        <v/>
      </c>
    </row>
    <row r="298">
      <c r="A298" s="19" t="n">
        <v>282</v>
      </c>
      <c r="B298" s="20">
        <f>IF(AND($L298="",$M298="",$N298=""),"",IF($L298&lt;&gt;"",INDEX(LdADate,$L298),IF($M298&lt;&gt;"",INDEX(LdBDate,$M298),INDEX(LdCDate,$N298))))</f>
        <v/>
      </c>
      <c r="C298" s="20">
        <f>IF($L298&lt;&gt;"","دستمزد (فردی)",IF($M298&lt;&gt;"","سهم از گروه "&amp;IFERROR(VLOOKUP(INDEX(LdBGroup,$M298),WGTbl,2,0),INDEX(LdBGroup,$M298)),IF($N298&lt;&gt;"",IF(N(INDEX(LdCDep,$N298))&gt;0,"بازگشت بانکی","پرداخت بانکی"),"")))</f>
        <v/>
      </c>
      <c r="D298" s="20">
        <f>IF($L298&lt;&gt;"",IF(INDEX(LdAId,$L298)="","—",INDEX(LdAId,$L298)),IF($M298&lt;&gt;"",IF(INDEX(LdBId,$M298)="","—",INDEX(LdBId,$M298)),IF($N298&lt;&gt;"",IF(INDEX(LdCBank,$N298)="","—",INDEX(LdCBank,$N298)),"")))</f>
        <v/>
      </c>
      <c r="E298" s="21">
        <f>IF($L298&lt;&gt;"",IF(INDEX(LdAAmt,$L298)=0,"",INDEX(LdAAmt,$L298)),IF($M298&lt;&gt;"",IF(INDEX(LdBAmt,$M298)=0,"",INDEX(LdBAmt,$M298)),IF($N298&lt;&gt;"",IF(INDEX(LdCDep,$N298)=0,"",INDEX(LdCDep,$N298)),"")))</f>
        <v/>
      </c>
      <c r="F298" s="21">
        <f>IF(AND($L298="",$M298="",$N298=""),"",IF($N298="","",IF(INDEX(LdCWit,$N298)=0,"",INDEX(LdCWit,$N298))))</f>
        <v/>
      </c>
      <c r="G298" s="31">
        <f>IF($B298="","",IF($G297="",0,$G297)+IF($E298="",0,$E298)-IF($F298="",0,$F298))</f>
        <v/>
      </c>
      <c r="H298" s="32">
        <f>IF(AND($L298="",$M298="",$N298=""),"",IF($L298&lt;&gt;"",IF(INDEX(LdANote,$L298)="","—",INDEX(LdANote,$L298)),IF($M298&lt;&gt;"",IF(INDEX(LdBNote,$M298)="","—",INDEX(LdBNote,$M298)),IF($N298&lt;&gt;"",IF(INDEX(LdCNote,$N298)="","—",INDEX(LdCNote,$N298)),""))))</f>
        <v/>
      </c>
      <c r="L298">
        <f>IFERROR(MATCH($C$5&amp;"|"&amp;RIGHT("000000"&amp;282,6),LdAKeyM,0),"")</f>
        <v/>
      </c>
      <c r="M298">
        <f>IFERROR(MATCH($C$5&amp;"|"&amp;RIGHT("000000"&amp;282,6),LdBKeyM,0),"")</f>
        <v/>
      </c>
      <c r="N298">
        <f>IFERROR(MATCH($C$5&amp;"|"&amp;RIGHT("000000"&amp;282,6),LdCKeyM,0),"")</f>
        <v/>
      </c>
    </row>
    <row r="299">
      <c r="A299" s="10" t="n">
        <v>283</v>
      </c>
      <c r="B299" s="14">
        <f>IF(AND($L299="",$M299="",$N299=""),"",IF($L299&lt;&gt;"",INDEX(LdADate,$L299),IF($M299&lt;&gt;"",INDEX(LdBDate,$M299),INDEX(LdCDate,$N299))))</f>
        <v/>
      </c>
      <c r="C299" s="14">
        <f>IF($L299&lt;&gt;"","دستمزد (فردی)",IF($M299&lt;&gt;"","سهم از گروه "&amp;IFERROR(VLOOKUP(INDEX(LdBGroup,$M299),WGTbl,2,0),INDEX(LdBGroup,$M299)),IF($N299&lt;&gt;"",IF(N(INDEX(LdCDep,$N299))&gt;0,"بازگشت بانکی","پرداخت بانکی"),"")))</f>
        <v/>
      </c>
      <c r="D299" s="14">
        <f>IF($L299&lt;&gt;"",IF(INDEX(LdAId,$L299)="","—",INDEX(LdAId,$L299)),IF($M299&lt;&gt;"",IF(INDEX(LdBId,$M299)="","—",INDEX(LdBId,$M299)),IF($N299&lt;&gt;"",IF(INDEX(LdCBank,$N299)="","—",INDEX(LdCBank,$N299)),"")))</f>
        <v/>
      </c>
      <c r="E299" s="16">
        <f>IF($L299&lt;&gt;"",IF(INDEX(LdAAmt,$L299)=0,"",INDEX(LdAAmt,$L299)),IF($M299&lt;&gt;"",IF(INDEX(LdBAmt,$M299)=0,"",INDEX(LdBAmt,$M299)),IF($N299&lt;&gt;"",IF(INDEX(LdCDep,$N299)=0,"",INDEX(LdCDep,$N299)),"")))</f>
        <v/>
      </c>
      <c r="F299" s="16">
        <f>IF(AND($L299="",$M299="",$N299=""),"",IF($N299="","",IF(INDEX(LdCWit,$N299)=0,"",INDEX(LdCWit,$N299))))</f>
        <v/>
      </c>
      <c r="G299" s="29">
        <f>IF($B299="","",IF($G298="",0,$G298)+IF($E299="",0,$E299)-IF($F299="",0,$F299))</f>
        <v/>
      </c>
      <c r="H299" s="30">
        <f>IF(AND($L299="",$M299="",$N299=""),"",IF($L299&lt;&gt;"",IF(INDEX(LdANote,$L299)="","—",INDEX(LdANote,$L299)),IF($M299&lt;&gt;"",IF(INDEX(LdBNote,$M299)="","—",INDEX(LdBNote,$M299)),IF($N299&lt;&gt;"",IF(INDEX(LdCNote,$N299)="","—",INDEX(LdCNote,$N299)),""))))</f>
        <v/>
      </c>
      <c r="L299">
        <f>IFERROR(MATCH($C$5&amp;"|"&amp;RIGHT("000000"&amp;283,6),LdAKeyM,0),"")</f>
        <v/>
      </c>
      <c r="M299">
        <f>IFERROR(MATCH($C$5&amp;"|"&amp;RIGHT("000000"&amp;283,6),LdBKeyM,0),"")</f>
        <v/>
      </c>
      <c r="N299">
        <f>IFERROR(MATCH($C$5&amp;"|"&amp;RIGHT("000000"&amp;283,6),LdCKeyM,0),"")</f>
        <v/>
      </c>
    </row>
    <row r="300">
      <c r="A300" s="19" t="n">
        <v>284</v>
      </c>
      <c r="B300" s="20">
        <f>IF(AND($L300="",$M300="",$N300=""),"",IF($L300&lt;&gt;"",INDEX(LdADate,$L300),IF($M300&lt;&gt;"",INDEX(LdBDate,$M300),INDEX(LdCDate,$N300))))</f>
        <v/>
      </c>
      <c r="C300" s="20">
        <f>IF($L300&lt;&gt;"","دستمزد (فردی)",IF($M300&lt;&gt;"","سهم از گروه "&amp;IFERROR(VLOOKUP(INDEX(LdBGroup,$M300),WGTbl,2,0),INDEX(LdBGroup,$M300)),IF($N300&lt;&gt;"",IF(N(INDEX(LdCDep,$N300))&gt;0,"بازگشت بانکی","پرداخت بانکی"),"")))</f>
        <v/>
      </c>
      <c r="D300" s="20">
        <f>IF($L300&lt;&gt;"",IF(INDEX(LdAId,$L300)="","—",INDEX(LdAId,$L300)),IF($M300&lt;&gt;"",IF(INDEX(LdBId,$M300)="","—",INDEX(LdBId,$M300)),IF($N300&lt;&gt;"",IF(INDEX(LdCBank,$N300)="","—",INDEX(LdCBank,$N300)),"")))</f>
        <v/>
      </c>
      <c r="E300" s="21">
        <f>IF($L300&lt;&gt;"",IF(INDEX(LdAAmt,$L300)=0,"",INDEX(LdAAmt,$L300)),IF($M300&lt;&gt;"",IF(INDEX(LdBAmt,$M300)=0,"",INDEX(LdBAmt,$M300)),IF($N300&lt;&gt;"",IF(INDEX(LdCDep,$N300)=0,"",INDEX(LdCDep,$N300)),"")))</f>
        <v/>
      </c>
      <c r="F300" s="21">
        <f>IF(AND($L300="",$M300="",$N300=""),"",IF($N300="","",IF(INDEX(LdCWit,$N300)=0,"",INDEX(LdCWit,$N300))))</f>
        <v/>
      </c>
      <c r="G300" s="31">
        <f>IF($B300="","",IF($G299="",0,$G299)+IF($E300="",0,$E300)-IF($F300="",0,$F300))</f>
        <v/>
      </c>
      <c r="H300" s="32">
        <f>IF(AND($L300="",$M300="",$N300=""),"",IF($L300&lt;&gt;"",IF(INDEX(LdANote,$L300)="","—",INDEX(LdANote,$L300)),IF($M300&lt;&gt;"",IF(INDEX(LdBNote,$M300)="","—",INDEX(LdBNote,$M300)),IF($N300&lt;&gt;"",IF(INDEX(LdCNote,$N300)="","—",INDEX(LdCNote,$N300)),""))))</f>
        <v/>
      </c>
      <c r="L300">
        <f>IFERROR(MATCH($C$5&amp;"|"&amp;RIGHT("000000"&amp;284,6),LdAKeyM,0),"")</f>
        <v/>
      </c>
      <c r="M300">
        <f>IFERROR(MATCH($C$5&amp;"|"&amp;RIGHT("000000"&amp;284,6),LdBKeyM,0),"")</f>
        <v/>
      </c>
      <c r="N300">
        <f>IFERROR(MATCH($C$5&amp;"|"&amp;RIGHT("000000"&amp;284,6),LdCKeyM,0),"")</f>
        <v/>
      </c>
    </row>
    <row r="301">
      <c r="A301" s="10" t="n">
        <v>285</v>
      </c>
      <c r="B301" s="14">
        <f>IF(AND($L301="",$M301="",$N301=""),"",IF($L301&lt;&gt;"",INDEX(LdADate,$L301),IF($M301&lt;&gt;"",INDEX(LdBDate,$M301),INDEX(LdCDate,$N301))))</f>
        <v/>
      </c>
      <c r="C301" s="14">
        <f>IF($L301&lt;&gt;"","دستمزد (فردی)",IF($M301&lt;&gt;"","سهم از گروه "&amp;IFERROR(VLOOKUP(INDEX(LdBGroup,$M301),WGTbl,2,0),INDEX(LdBGroup,$M301)),IF($N301&lt;&gt;"",IF(N(INDEX(LdCDep,$N301))&gt;0,"بازگشت بانکی","پرداخت بانکی"),"")))</f>
        <v/>
      </c>
      <c r="D301" s="14">
        <f>IF($L301&lt;&gt;"",IF(INDEX(LdAId,$L301)="","—",INDEX(LdAId,$L301)),IF($M301&lt;&gt;"",IF(INDEX(LdBId,$M301)="","—",INDEX(LdBId,$M301)),IF($N301&lt;&gt;"",IF(INDEX(LdCBank,$N301)="","—",INDEX(LdCBank,$N301)),"")))</f>
        <v/>
      </c>
      <c r="E301" s="16">
        <f>IF($L301&lt;&gt;"",IF(INDEX(LdAAmt,$L301)=0,"",INDEX(LdAAmt,$L301)),IF($M301&lt;&gt;"",IF(INDEX(LdBAmt,$M301)=0,"",INDEX(LdBAmt,$M301)),IF($N301&lt;&gt;"",IF(INDEX(LdCDep,$N301)=0,"",INDEX(LdCDep,$N301)),"")))</f>
        <v/>
      </c>
      <c r="F301" s="16">
        <f>IF(AND($L301="",$M301="",$N301=""),"",IF($N301="","",IF(INDEX(LdCWit,$N301)=0,"",INDEX(LdCWit,$N301))))</f>
        <v/>
      </c>
      <c r="G301" s="29">
        <f>IF($B301="","",IF($G300="",0,$G300)+IF($E301="",0,$E301)-IF($F301="",0,$F301))</f>
        <v/>
      </c>
      <c r="H301" s="30">
        <f>IF(AND($L301="",$M301="",$N301=""),"",IF($L301&lt;&gt;"",IF(INDEX(LdANote,$L301)="","—",INDEX(LdANote,$L301)),IF($M301&lt;&gt;"",IF(INDEX(LdBNote,$M301)="","—",INDEX(LdBNote,$M301)),IF($N301&lt;&gt;"",IF(INDEX(LdCNote,$N301)="","—",INDEX(LdCNote,$N301)),""))))</f>
        <v/>
      </c>
      <c r="L301">
        <f>IFERROR(MATCH($C$5&amp;"|"&amp;RIGHT("000000"&amp;285,6),LdAKeyM,0),"")</f>
        <v/>
      </c>
      <c r="M301">
        <f>IFERROR(MATCH($C$5&amp;"|"&amp;RIGHT("000000"&amp;285,6),LdBKeyM,0),"")</f>
        <v/>
      </c>
      <c r="N301">
        <f>IFERROR(MATCH($C$5&amp;"|"&amp;RIGHT("000000"&amp;285,6),LdCKeyM,0),"")</f>
        <v/>
      </c>
    </row>
    <row r="302">
      <c r="A302" s="19" t="n">
        <v>286</v>
      </c>
      <c r="B302" s="20">
        <f>IF(AND($L302="",$M302="",$N302=""),"",IF($L302&lt;&gt;"",INDEX(LdADate,$L302),IF($M302&lt;&gt;"",INDEX(LdBDate,$M302),INDEX(LdCDate,$N302))))</f>
        <v/>
      </c>
      <c r="C302" s="20">
        <f>IF($L302&lt;&gt;"","دستمزد (فردی)",IF($M302&lt;&gt;"","سهم از گروه "&amp;IFERROR(VLOOKUP(INDEX(LdBGroup,$M302),WGTbl,2,0),INDEX(LdBGroup,$M302)),IF($N302&lt;&gt;"",IF(N(INDEX(LdCDep,$N302))&gt;0,"بازگشت بانکی","پرداخت بانکی"),"")))</f>
        <v/>
      </c>
      <c r="D302" s="20">
        <f>IF($L302&lt;&gt;"",IF(INDEX(LdAId,$L302)="","—",INDEX(LdAId,$L302)),IF($M302&lt;&gt;"",IF(INDEX(LdBId,$M302)="","—",INDEX(LdBId,$M302)),IF($N302&lt;&gt;"",IF(INDEX(LdCBank,$N302)="","—",INDEX(LdCBank,$N302)),"")))</f>
        <v/>
      </c>
      <c r="E302" s="21">
        <f>IF($L302&lt;&gt;"",IF(INDEX(LdAAmt,$L302)=0,"",INDEX(LdAAmt,$L302)),IF($M302&lt;&gt;"",IF(INDEX(LdBAmt,$M302)=0,"",INDEX(LdBAmt,$M302)),IF($N302&lt;&gt;"",IF(INDEX(LdCDep,$N302)=0,"",INDEX(LdCDep,$N302)),"")))</f>
        <v/>
      </c>
      <c r="F302" s="21">
        <f>IF(AND($L302="",$M302="",$N302=""),"",IF($N302="","",IF(INDEX(LdCWit,$N302)=0,"",INDEX(LdCWit,$N302))))</f>
        <v/>
      </c>
      <c r="G302" s="31">
        <f>IF($B302="","",IF($G301="",0,$G301)+IF($E302="",0,$E302)-IF($F302="",0,$F302))</f>
        <v/>
      </c>
      <c r="H302" s="32">
        <f>IF(AND($L302="",$M302="",$N302=""),"",IF($L302&lt;&gt;"",IF(INDEX(LdANote,$L302)="","—",INDEX(LdANote,$L302)),IF($M302&lt;&gt;"",IF(INDEX(LdBNote,$M302)="","—",INDEX(LdBNote,$M302)),IF($N302&lt;&gt;"",IF(INDEX(LdCNote,$N302)="","—",INDEX(LdCNote,$N302)),""))))</f>
        <v/>
      </c>
      <c r="L302">
        <f>IFERROR(MATCH($C$5&amp;"|"&amp;RIGHT("000000"&amp;286,6),LdAKeyM,0),"")</f>
        <v/>
      </c>
      <c r="M302">
        <f>IFERROR(MATCH($C$5&amp;"|"&amp;RIGHT("000000"&amp;286,6),LdBKeyM,0),"")</f>
        <v/>
      </c>
      <c r="N302">
        <f>IFERROR(MATCH($C$5&amp;"|"&amp;RIGHT("000000"&amp;286,6),LdCKeyM,0),"")</f>
        <v/>
      </c>
    </row>
    <row r="303">
      <c r="A303" s="10" t="n">
        <v>287</v>
      </c>
      <c r="B303" s="14">
        <f>IF(AND($L303="",$M303="",$N303=""),"",IF($L303&lt;&gt;"",INDEX(LdADate,$L303),IF($M303&lt;&gt;"",INDEX(LdBDate,$M303),INDEX(LdCDate,$N303))))</f>
        <v/>
      </c>
      <c r="C303" s="14">
        <f>IF($L303&lt;&gt;"","دستمزد (فردی)",IF($M303&lt;&gt;"","سهم از گروه "&amp;IFERROR(VLOOKUP(INDEX(LdBGroup,$M303),WGTbl,2,0),INDEX(LdBGroup,$M303)),IF($N303&lt;&gt;"",IF(N(INDEX(LdCDep,$N303))&gt;0,"بازگشت بانکی","پرداخت بانکی"),"")))</f>
        <v/>
      </c>
      <c r="D303" s="14">
        <f>IF($L303&lt;&gt;"",IF(INDEX(LdAId,$L303)="","—",INDEX(LdAId,$L303)),IF($M303&lt;&gt;"",IF(INDEX(LdBId,$M303)="","—",INDEX(LdBId,$M303)),IF($N303&lt;&gt;"",IF(INDEX(LdCBank,$N303)="","—",INDEX(LdCBank,$N303)),"")))</f>
        <v/>
      </c>
      <c r="E303" s="16">
        <f>IF($L303&lt;&gt;"",IF(INDEX(LdAAmt,$L303)=0,"",INDEX(LdAAmt,$L303)),IF($M303&lt;&gt;"",IF(INDEX(LdBAmt,$M303)=0,"",INDEX(LdBAmt,$M303)),IF($N303&lt;&gt;"",IF(INDEX(LdCDep,$N303)=0,"",INDEX(LdCDep,$N303)),"")))</f>
        <v/>
      </c>
      <c r="F303" s="16">
        <f>IF(AND($L303="",$M303="",$N303=""),"",IF($N303="","",IF(INDEX(LdCWit,$N303)=0,"",INDEX(LdCWit,$N303))))</f>
        <v/>
      </c>
      <c r="G303" s="29">
        <f>IF($B303="","",IF($G302="",0,$G302)+IF($E303="",0,$E303)-IF($F303="",0,$F303))</f>
        <v/>
      </c>
      <c r="H303" s="30">
        <f>IF(AND($L303="",$M303="",$N303=""),"",IF($L303&lt;&gt;"",IF(INDEX(LdANote,$L303)="","—",INDEX(LdANote,$L303)),IF($M303&lt;&gt;"",IF(INDEX(LdBNote,$M303)="","—",INDEX(LdBNote,$M303)),IF($N303&lt;&gt;"",IF(INDEX(LdCNote,$N303)="","—",INDEX(LdCNote,$N303)),""))))</f>
        <v/>
      </c>
      <c r="L303">
        <f>IFERROR(MATCH($C$5&amp;"|"&amp;RIGHT("000000"&amp;287,6),LdAKeyM,0),"")</f>
        <v/>
      </c>
      <c r="M303">
        <f>IFERROR(MATCH($C$5&amp;"|"&amp;RIGHT("000000"&amp;287,6),LdBKeyM,0),"")</f>
        <v/>
      </c>
      <c r="N303">
        <f>IFERROR(MATCH($C$5&amp;"|"&amp;RIGHT("000000"&amp;287,6),LdCKeyM,0),"")</f>
        <v/>
      </c>
    </row>
    <row r="304">
      <c r="A304" s="19" t="n">
        <v>288</v>
      </c>
      <c r="B304" s="20">
        <f>IF(AND($L304="",$M304="",$N304=""),"",IF($L304&lt;&gt;"",INDEX(LdADate,$L304),IF($M304&lt;&gt;"",INDEX(LdBDate,$M304),INDEX(LdCDate,$N304))))</f>
        <v/>
      </c>
      <c r="C304" s="20">
        <f>IF($L304&lt;&gt;"","دستمزد (فردی)",IF($M304&lt;&gt;"","سهم از گروه "&amp;IFERROR(VLOOKUP(INDEX(LdBGroup,$M304),WGTbl,2,0),INDEX(LdBGroup,$M304)),IF($N304&lt;&gt;"",IF(N(INDEX(LdCDep,$N304))&gt;0,"بازگشت بانکی","پرداخت بانکی"),"")))</f>
        <v/>
      </c>
      <c r="D304" s="20">
        <f>IF($L304&lt;&gt;"",IF(INDEX(LdAId,$L304)="","—",INDEX(LdAId,$L304)),IF($M304&lt;&gt;"",IF(INDEX(LdBId,$M304)="","—",INDEX(LdBId,$M304)),IF($N304&lt;&gt;"",IF(INDEX(LdCBank,$N304)="","—",INDEX(LdCBank,$N304)),"")))</f>
        <v/>
      </c>
      <c r="E304" s="21">
        <f>IF($L304&lt;&gt;"",IF(INDEX(LdAAmt,$L304)=0,"",INDEX(LdAAmt,$L304)),IF($M304&lt;&gt;"",IF(INDEX(LdBAmt,$M304)=0,"",INDEX(LdBAmt,$M304)),IF($N304&lt;&gt;"",IF(INDEX(LdCDep,$N304)=0,"",INDEX(LdCDep,$N304)),"")))</f>
        <v/>
      </c>
      <c r="F304" s="21">
        <f>IF(AND($L304="",$M304="",$N304=""),"",IF($N304="","",IF(INDEX(LdCWit,$N304)=0,"",INDEX(LdCWit,$N304))))</f>
        <v/>
      </c>
      <c r="G304" s="31">
        <f>IF($B304="","",IF($G303="",0,$G303)+IF($E304="",0,$E304)-IF($F304="",0,$F304))</f>
        <v/>
      </c>
      <c r="H304" s="32">
        <f>IF(AND($L304="",$M304="",$N304=""),"",IF($L304&lt;&gt;"",IF(INDEX(LdANote,$L304)="","—",INDEX(LdANote,$L304)),IF($M304&lt;&gt;"",IF(INDEX(LdBNote,$M304)="","—",INDEX(LdBNote,$M304)),IF($N304&lt;&gt;"",IF(INDEX(LdCNote,$N304)="","—",INDEX(LdCNote,$N304)),""))))</f>
        <v/>
      </c>
      <c r="L304">
        <f>IFERROR(MATCH($C$5&amp;"|"&amp;RIGHT("000000"&amp;288,6),LdAKeyM,0),"")</f>
        <v/>
      </c>
      <c r="M304">
        <f>IFERROR(MATCH($C$5&amp;"|"&amp;RIGHT("000000"&amp;288,6),LdBKeyM,0),"")</f>
        <v/>
      </c>
      <c r="N304">
        <f>IFERROR(MATCH($C$5&amp;"|"&amp;RIGHT("000000"&amp;288,6),LdCKeyM,0),"")</f>
        <v/>
      </c>
    </row>
    <row r="305">
      <c r="A305" s="10" t="n">
        <v>289</v>
      </c>
      <c r="B305" s="14">
        <f>IF(AND($L305="",$M305="",$N305=""),"",IF($L305&lt;&gt;"",INDEX(LdADate,$L305),IF($M305&lt;&gt;"",INDEX(LdBDate,$M305),INDEX(LdCDate,$N305))))</f>
        <v/>
      </c>
      <c r="C305" s="14">
        <f>IF($L305&lt;&gt;"","دستمزد (فردی)",IF($M305&lt;&gt;"","سهم از گروه "&amp;IFERROR(VLOOKUP(INDEX(LdBGroup,$M305),WGTbl,2,0),INDEX(LdBGroup,$M305)),IF($N305&lt;&gt;"",IF(N(INDEX(LdCDep,$N305))&gt;0,"بازگشت بانکی","پرداخت بانکی"),"")))</f>
        <v/>
      </c>
      <c r="D305" s="14">
        <f>IF($L305&lt;&gt;"",IF(INDEX(LdAId,$L305)="","—",INDEX(LdAId,$L305)),IF($M305&lt;&gt;"",IF(INDEX(LdBId,$M305)="","—",INDEX(LdBId,$M305)),IF($N305&lt;&gt;"",IF(INDEX(LdCBank,$N305)="","—",INDEX(LdCBank,$N305)),"")))</f>
        <v/>
      </c>
      <c r="E305" s="16">
        <f>IF($L305&lt;&gt;"",IF(INDEX(LdAAmt,$L305)=0,"",INDEX(LdAAmt,$L305)),IF($M305&lt;&gt;"",IF(INDEX(LdBAmt,$M305)=0,"",INDEX(LdBAmt,$M305)),IF($N305&lt;&gt;"",IF(INDEX(LdCDep,$N305)=0,"",INDEX(LdCDep,$N305)),"")))</f>
        <v/>
      </c>
      <c r="F305" s="16">
        <f>IF(AND($L305="",$M305="",$N305=""),"",IF($N305="","",IF(INDEX(LdCWit,$N305)=0,"",INDEX(LdCWit,$N305))))</f>
        <v/>
      </c>
      <c r="G305" s="29">
        <f>IF($B305="","",IF($G304="",0,$G304)+IF($E305="",0,$E305)-IF($F305="",0,$F305))</f>
        <v/>
      </c>
      <c r="H305" s="30">
        <f>IF(AND($L305="",$M305="",$N305=""),"",IF($L305&lt;&gt;"",IF(INDEX(LdANote,$L305)="","—",INDEX(LdANote,$L305)),IF($M305&lt;&gt;"",IF(INDEX(LdBNote,$M305)="","—",INDEX(LdBNote,$M305)),IF($N305&lt;&gt;"",IF(INDEX(LdCNote,$N305)="","—",INDEX(LdCNote,$N305)),""))))</f>
        <v/>
      </c>
      <c r="L305">
        <f>IFERROR(MATCH($C$5&amp;"|"&amp;RIGHT("000000"&amp;289,6),LdAKeyM,0),"")</f>
        <v/>
      </c>
      <c r="M305">
        <f>IFERROR(MATCH($C$5&amp;"|"&amp;RIGHT("000000"&amp;289,6),LdBKeyM,0),"")</f>
        <v/>
      </c>
      <c r="N305">
        <f>IFERROR(MATCH($C$5&amp;"|"&amp;RIGHT("000000"&amp;289,6),LdCKeyM,0),"")</f>
        <v/>
      </c>
    </row>
    <row r="306">
      <c r="A306" s="19" t="n">
        <v>290</v>
      </c>
      <c r="B306" s="20">
        <f>IF(AND($L306="",$M306="",$N306=""),"",IF($L306&lt;&gt;"",INDEX(LdADate,$L306),IF($M306&lt;&gt;"",INDEX(LdBDate,$M306),INDEX(LdCDate,$N306))))</f>
        <v/>
      </c>
      <c r="C306" s="20">
        <f>IF($L306&lt;&gt;"","دستمزد (فردی)",IF($M306&lt;&gt;"","سهم از گروه "&amp;IFERROR(VLOOKUP(INDEX(LdBGroup,$M306),WGTbl,2,0),INDEX(LdBGroup,$M306)),IF($N306&lt;&gt;"",IF(N(INDEX(LdCDep,$N306))&gt;0,"بازگشت بانکی","پرداخت بانکی"),"")))</f>
        <v/>
      </c>
      <c r="D306" s="20">
        <f>IF($L306&lt;&gt;"",IF(INDEX(LdAId,$L306)="","—",INDEX(LdAId,$L306)),IF($M306&lt;&gt;"",IF(INDEX(LdBId,$M306)="","—",INDEX(LdBId,$M306)),IF($N306&lt;&gt;"",IF(INDEX(LdCBank,$N306)="","—",INDEX(LdCBank,$N306)),"")))</f>
        <v/>
      </c>
      <c r="E306" s="21">
        <f>IF($L306&lt;&gt;"",IF(INDEX(LdAAmt,$L306)=0,"",INDEX(LdAAmt,$L306)),IF($M306&lt;&gt;"",IF(INDEX(LdBAmt,$M306)=0,"",INDEX(LdBAmt,$M306)),IF($N306&lt;&gt;"",IF(INDEX(LdCDep,$N306)=0,"",INDEX(LdCDep,$N306)),"")))</f>
        <v/>
      </c>
      <c r="F306" s="21">
        <f>IF(AND($L306="",$M306="",$N306=""),"",IF($N306="","",IF(INDEX(LdCWit,$N306)=0,"",INDEX(LdCWit,$N306))))</f>
        <v/>
      </c>
      <c r="G306" s="31">
        <f>IF($B306="","",IF($G305="",0,$G305)+IF($E306="",0,$E306)-IF($F306="",0,$F306))</f>
        <v/>
      </c>
      <c r="H306" s="32">
        <f>IF(AND($L306="",$M306="",$N306=""),"",IF($L306&lt;&gt;"",IF(INDEX(LdANote,$L306)="","—",INDEX(LdANote,$L306)),IF($M306&lt;&gt;"",IF(INDEX(LdBNote,$M306)="","—",INDEX(LdBNote,$M306)),IF($N306&lt;&gt;"",IF(INDEX(LdCNote,$N306)="","—",INDEX(LdCNote,$N306)),""))))</f>
        <v/>
      </c>
      <c r="L306">
        <f>IFERROR(MATCH($C$5&amp;"|"&amp;RIGHT("000000"&amp;290,6),LdAKeyM,0),"")</f>
        <v/>
      </c>
      <c r="M306">
        <f>IFERROR(MATCH($C$5&amp;"|"&amp;RIGHT("000000"&amp;290,6),LdBKeyM,0),"")</f>
        <v/>
      </c>
      <c r="N306">
        <f>IFERROR(MATCH($C$5&amp;"|"&amp;RIGHT("000000"&amp;290,6),LdCKeyM,0),"")</f>
        <v/>
      </c>
    </row>
    <row r="307">
      <c r="A307" s="10" t="n">
        <v>291</v>
      </c>
      <c r="B307" s="14">
        <f>IF(AND($L307="",$M307="",$N307=""),"",IF($L307&lt;&gt;"",INDEX(LdADate,$L307),IF($M307&lt;&gt;"",INDEX(LdBDate,$M307),INDEX(LdCDate,$N307))))</f>
        <v/>
      </c>
      <c r="C307" s="14">
        <f>IF($L307&lt;&gt;"","دستمزد (فردی)",IF($M307&lt;&gt;"","سهم از گروه "&amp;IFERROR(VLOOKUP(INDEX(LdBGroup,$M307),WGTbl,2,0),INDEX(LdBGroup,$M307)),IF($N307&lt;&gt;"",IF(N(INDEX(LdCDep,$N307))&gt;0,"بازگشت بانکی","پرداخت بانکی"),"")))</f>
        <v/>
      </c>
      <c r="D307" s="14">
        <f>IF($L307&lt;&gt;"",IF(INDEX(LdAId,$L307)="","—",INDEX(LdAId,$L307)),IF($M307&lt;&gt;"",IF(INDEX(LdBId,$M307)="","—",INDEX(LdBId,$M307)),IF($N307&lt;&gt;"",IF(INDEX(LdCBank,$N307)="","—",INDEX(LdCBank,$N307)),"")))</f>
        <v/>
      </c>
      <c r="E307" s="16">
        <f>IF($L307&lt;&gt;"",IF(INDEX(LdAAmt,$L307)=0,"",INDEX(LdAAmt,$L307)),IF($M307&lt;&gt;"",IF(INDEX(LdBAmt,$M307)=0,"",INDEX(LdBAmt,$M307)),IF($N307&lt;&gt;"",IF(INDEX(LdCDep,$N307)=0,"",INDEX(LdCDep,$N307)),"")))</f>
        <v/>
      </c>
      <c r="F307" s="16">
        <f>IF(AND($L307="",$M307="",$N307=""),"",IF($N307="","",IF(INDEX(LdCWit,$N307)=0,"",INDEX(LdCWit,$N307))))</f>
        <v/>
      </c>
      <c r="G307" s="29">
        <f>IF($B307="","",IF($G306="",0,$G306)+IF($E307="",0,$E307)-IF($F307="",0,$F307))</f>
        <v/>
      </c>
      <c r="H307" s="30">
        <f>IF(AND($L307="",$M307="",$N307=""),"",IF($L307&lt;&gt;"",IF(INDEX(LdANote,$L307)="","—",INDEX(LdANote,$L307)),IF($M307&lt;&gt;"",IF(INDEX(LdBNote,$M307)="","—",INDEX(LdBNote,$M307)),IF($N307&lt;&gt;"",IF(INDEX(LdCNote,$N307)="","—",INDEX(LdCNote,$N307)),""))))</f>
        <v/>
      </c>
      <c r="L307">
        <f>IFERROR(MATCH($C$5&amp;"|"&amp;RIGHT("000000"&amp;291,6),LdAKeyM,0),"")</f>
        <v/>
      </c>
      <c r="M307">
        <f>IFERROR(MATCH($C$5&amp;"|"&amp;RIGHT("000000"&amp;291,6),LdBKeyM,0),"")</f>
        <v/>
      </c>
      <c r="N307">
        <f>IFERROR(MATCH($C$5&amp;"|"&amp;RIGHT("000000"&amp;291,6),LdCKeyM,0),"")</f>
        <v/>
      </c>
    </row>
    <row r="308">
      <c r="A308" s="19" t="n">
        <v>292</v>
      </c>
      <c r="B308" s="20">
        <f>IF(AND($L308="",$M308="",$N308=""),"",IF($L308&lt;&gt;"",INDEX(LdADate,$L308),IF($M308&lt;&gt;"",INDEX(LdBDate,$M308),INDEX(LdCDate,$N308))))</f>
        <v/>
      </c>
      <c r="C308" s="20">
        <f>IF($L308&lt;&gt;"","دستمزد (فردی)",IF($M308&lt;&gt;"","سهم از گروه "&amp;IFERROR(VLOOKUP(INDEX(LdBGroup,$M308),WGTbl,2,0),INDEX(LdBGroup,$M308)),IF($N308&lt;&gt;"",IF(N(INDEX(LdCDep,$N308))&gt;0,"بازگشت بانکی","پرداخت بانکی"),"")))</f>
        <v/>
      </c>
      <c r="D308" s="20">
        <f>IF($L308&lt;&gt;"",IF(INDEX(LdAId,$L308)="","—",INDEX(LdAId,$L308)),IF($M308&lt;&gt;"",IF(INDEX(LdBId,$M308)="","—",INDEX(LdBId,$M308)),IF($N308&lt;&gt;"",IF(INDEX(LdCBank,$N308)="","—",INDEX(LdCBank,$N308)),"")))</f>
        <v/>
      </c>
      <c r="E308" s="21">
        <f>IF($L308&lt;&gt;"",IF(INDEX(LdAAmt,$L308)=0,"",INDEX(LdAAmt,$L308)),IF($M308&lt;&gt;"",IF(INDEX(LdBAmt,$M308)=0,"",INDEX(LdBAmt,$M308)),IF($N308&lt;&gt;"",IF(INDEX(LdCDep,$N308)=0,"",INDEX(LdCDep,$N308)),"")))</f>
        <v/>
      </c>
      <c r="F308" s="21">
        <f>IF(AND($L308="",$M308="",$N308=""),"",IF($N308="","",IF(INDEX(LdCWit,$N308)=0,"",INDEX(LdCWit,$N308))))</f>
        <v/>
      </c>
      <c r="G308" s="31">
        <f>IF($B308="","",IF($G307="",0,$G307)+IF($E308="",0,$E308)-IF($F308="",0,$F308))</f>
        <v/>
      </c>
      <c r="H308" s="32">
        <f>IF(AND($L308="",$M308="",$N308=""),"",IF($L308&lt;&gt;"",IF(INDEX(LdANote,$L308)="","—",INDEX(LdANote,$L308)),IF($M308&lt;&gt;"",IF(INDEX(LdBNote,$M308)="","—",INDEX(LdBNote,$M308)),IF($N308&lt;&gt;"",IF(INDEX(LdCNote,$N308)="","—",INDEX(LdCNote,$N308)),""))))</f>
        <v/>
      </c>
      <c r="L308">
        <f>IFERROR(MATCH($C$5&amp;"|"&amp;RIGHT("000000"&amp;292,6),LdAKeyM,0),"")</f>
        <v/>
      </c>
      <c r="M308">
        <f>IFERROR(MATCH($C$5&amp;"|"&amp;RIGHT("000000"&amp;292,6),LdBKeyM,0),"")</f>
        <v/>
      </c>
      <c r="N308">
        <f>IFERROR(MATCH($C$5&amp;"|"&amp;RIGHT("000000"&amp;292,6),LdCKeyM,0),"")</f>
        <v/>
      </c>
    </row>
    <row r="309">
      <c r="A309" s="10" t="n">
        <v>293</v>
      </c>
      <c r="B309" s="14">
        <f>IF(AND($L309="",$M309="",$N309=""),"",IF($L309&lt;&gt;"",INDEX(LdADate,$L309),IF($M309&lt;&gt;"",INDEX(LdBDate,$M309),INDEX(LdCDate,$N309))))</f>
        <v/>
      </c>
      <c r="C309" s="14">
        <f>IF($L309&lt;&gt;"","دستمزد (فردی)",IF($M309&lt;&gt;"","سهم از گروه "&amp;IFERROR(VLOOKUP(INDEX(LdBGroup,$M309),WGTbl,2,0),INDEX(LdBGroup,$M309)),IF($N309&lt;&gt;"",IF(N(INDEX(LdCDep,$N309))&gt;0,"بازگشت بانکی","پرداخت بانکی"),"")))</f>
        <v/>
      </c>
      <c r="D309" s="14">
        <f>IF($L309&lt;&gt;"",IF(INDEX(LdAId,$L309)="","—",INDEX(LdAId,$L309)),IF($M309&lt;&gt;"",IF(INDEX(LdBId,$M309)="","—",INDEX(LdBId,$M309)),IF($N309&lt;&gt;"",IF(INDEX(LdCBank,$N309)="","—",INDEX(LdCBank,$N309)),"")))</f>
        <v/>
      </c>
      <c r="E309" s="16">
        <f>IF($L309&lt;&gt;"",IF(INDEX(LdAAmt,$L309)=0,"",INDEX(LdAAmt,$L309)),IF($M309&lt;&gt;"",IF(INDEX(LdBAmt,$M309)=0,"",INDEX(LdBAmt,$M309)),IF($N309&lt;&gt;"",IF(INDEX(LdCDep,$N309)=0,"",INDEX(LdCDep,$N309)),"")))</f>
        <v/>
      </c>
      <c r="F309" s="16">
        <f>IF(AND($L309="",$M309="",$N309=""),"",IF($N309="","",IF(INDEX(LdCWit,$N309)=0,"",INDEX(LdCWit,$N309))))</f>
        <v/>
      </c>
      <c r="G309" s="29">
        <f>IF($B309="","",IF($G308="",0,$G308)+IF($E309="",0,$E309)-IF($F309="",0,$F309))</f>
        <v/>
      </c>
      <c r="H309" s="30">
        <f>IF(AND($L309="",$M309="",$N309=""),"",IF($L309&lt;&gt;"",IF(INDEX(LdANote,$L309)="","—",INDEX(LdANote,$L309)),IF($M309&lt;&gt;"",IF(INDEX(LdBNote,$M309)="","—",INDEX(LdBNote,$M309)),IF($N309&lt;&gt;"",IF(INDEX(LdCNote,$N309)="","—",INDEX(LdCNote,$N309)),""))))</f>
        <v/>
      </c>
      <c r="L309">
        <f>IFERROR(MATCH($C$5&amp;"|"&amp;RIGHT("000000"&amp;293,6),LdAKeyM,0),"")</f>
        <v/>
      </c>
      <c r="M309">
        <f>IFERROR(MATCH($C$5&amp;"|"&amp;RIGHT("000000"&amp;293,6),LdBKeyM,0),"")</f>
        <v/>
      </c>
      <c r="N309">
        <f>IFERROR(MATCH($C$5&amp;"|"&amp;RIGHT("000000"&amp;293,6),LdCKeyM,0),"")</f>
        <v/>
      </c>
    </row>
    <row r="310">
      <c r="A310" s="19" t="n">
        <v>294</v>
      </c>
      <c r="B310" s="20">
        <f>IF(AND($L310="",$M310="",$N310=""),"",IF($L310&lt;&gt;"",INDEX(LdADate,$L310),IF($M310&lt;&gt;"",INDEX(LdBDate,$M310),INDEX(LdCDate,$N310))))</f>
        <v/>
      </c>
      <c r="C310" s="20">
        <f>IF($L310&lt;&gt;"","دستمزد (فردی)",IF($M310&lt;&gt;"","سهم از گروه "&amp;IFERROR(VLOOKUP(INDEX(LdBGroup,$M310),WGTbl,2,0),INDEX(LdBGroup,$M310)),IF($N310&lt;&gt;"",IF(N(INDEX(LdCDep,$N310))&gt;0,"بازگشت بانکی","پرداخت بانکی"),"")))</f>
        <v/>
      </c>
      <c r="D310" s="20">
        <f>IF($L310&lt;&gt;"",IF(INDEX(LdAId,$L310)="","—",INDEX(LdAId,$L310)),IF($M310&lt;&gt;"",IF(INDEX(LdBId,$M310)="","—",INDEX(LdBId,$M310)),IF($N310&lt;&gt;"",IF(INDEX(LdCBank,$N310)="","—",INDEX(LdCBank,$N310)),"")))</f>
        <v/>
      </c>
      <c r="E310" s="21">
        <f>IF($L310&lt;&gt;"",IF(INDEX(LdAAmt,$L310)=0,"",INDEX(LdAAmt,$L310)),IF($M310&lt;&gt;"",IF(INDEX(LdBAmt,$M310)=0,"",INDEX(LdBAmt,$M310)),IF($N310&lt;&gt;"",IF(INDEX(LdCDep,$N310)=0,"",INDEX(LdCDep,$N310)),"")))</f>
        <v/>
      </c>
      <c r="F310" s="21">
        <f>IF(AND($L310="",$M310="",$N310=""),"",IF($N310="","",IF(INDEX(LdCWit,$N310)=0,"",INDEX(LdCWit,$N310))))</f>
        <v/>
      </c>
      <c r="G310" s="31">
        <f>IF($B310="","",IF($G309="",0,$G309)+IF($E310="",0,$E310)-IF($F310="",0,$F310))</f>
        <v/>
      </c>
      <c r="H310" s="32">
        <f>IF(AND($L310="",$M310="",$N310=""),"",IF($L310&lt;&gt;"",IF(INDEX(LdANote,$L310)="","—",INDEX(LdANote,$L310)),IF($M310&lt;&gt;"",IF(INDEX(LdBNote,$M310)="","—",INDEX(LdBNote,$M310)),IF($N310&lt;&gt;"",IF(INDEX(LdCNote,$N310)="","—",INDEX(LdCNote,$N310)),""))))</f>
        <v/>
      </c>
      <c r="L310">
        <f>IFERROR(MATCH($C$5&amp;"|"&amp;RIGHT("000000"&amp;294,6),LdAKeyM,0),"")</f>
        <v/>
      </c>
      <c r="M310">
        <f>IFERROR(MATCH($C$5&amp;"|"&amp;RIGHT("000000"&amp;294,6),LdBKeyM,0),"")</f>
        <v/>
      </c>
      <c r="N310">
        <f>IFERROR(MATCH($C$5&amp;"|"&amp;RIGHT("000000"&amp;294,6),LdCKeyM,0),"")</f>
        <v/>
      </c>
    </row>
    <row r="311">
      <c r="A311" s="10" t="n">
        <v>295</v>
      </c>
      <c r="B311" s="14">
        <f>IF(AND($L311="",$M311="",$N311=""),"",IF($L311&lt;&gt;"",INDEX(LdADate,$L311),IF($M311&lt;&gt;"",INDEX(LdBDate,$M311),INDEX(LdCDate,$N311))))</f>
        <v/>
      </c>
      <c r="C311" s="14">
        <f>IF($L311&lt;&gt;"","دستمزد (فردی)",IF($M311&lt;&gt;"","سهم از گروه "&amp;IFERROR(VLOOKUP(INDEX(LdBGroup,$M311),WGTbl,2,0),INDEX(LdBGroup,$M311)),IF($N311&lt;&gt;"",IF(N(INDEX(LdCDep,$N311))&gt;0,"بازگشت بانکی","پرداخت بانکی"),"")))</f>
        <v/>
      </c>
      <c r="D311" s="14">
        <f>IF($L311&lt;&gt;"",IF(INDEX(LdAId,$L311)="","—",INDEX(LdAId,$L311)),IF($M311&lt;&gt;"",IF(INDEX(LdBId,$M311)="","—",INDEX(LdBId,$M311)),IF($N311&lt;&gt;"",IF(INDEX(LdCBank,$N311)="","—",INDEX(LdCBank,$N311)),"")))</f>
        <v/>
      </c>
      <c r="E311" s="16">
        <f>IF($L311&lt;&gt;"",IF(INDEX(LdAAmt,$L311)=0,"",INDEX(LdAAmt,$L311)),IF($M311&lt;&gt;"",IF(INDEX(LdBAmt,$M311)=0,"",INDEX(LdBAmt,$M311)),IF($N311&lt;&gt;"",IF(INDEX(LdCDep,$N311)=0,"",INDEX(LdCDep,$N311)),"")))</f>
        <v/>
      </c>
      <c r="F311" s="16">
        <f>IF(AND($L311="",$M311="",$N311=""),"",IF($N311="","",IF(INDEX(LdCWit,$N311)=0,"",INDEX(LdCWit,$N311))))</f>
        <v/>
      </c>
      <c r="G311" s="29">
        <f>IF($B311="","",IF($G310="",0,$G310)+IF($E311="",0,$E311)-IF($F311="",0,$F311))</f>
        <v/>
      </c>
      <c r="H311" s="30">
        <f>IF(AND($L311="",$M311="",$N311=""),"",IF($L311&lt;&gt;"",IF(INDEX(LdANote,$L311)="","—",INDEX(LdANote,$L311)),IF($M311&lt;&gt;"",IF(INDEX(LdBNote,$M311)="","—",INDEX(LdBNote,$M311)),IF($N311&lt;&gt;"",IF(INDEX(LdCNote,$N311)="","—",INDEX(LdCNote,$N311)),""))))</f>
        <v/>
      </c>
      <c r="L311">
        <f>IFERROR(MATCH($C$5&amp;"|"&amp;RIGHT("000000"&amp;295,6),LdAKeyM,0),"")</f>
        <v/>
      </c>
      <c r="M311">
        <f>IFERROR(MATCH($C$5&amp;"|"&amp;RIGHT("000000"&amp;295,6),LdBKeyM,0),"")</f>
        <v/>
      </c>
      <c r="N311">
        <f>IFERROR(MATCH($C$5&amp;"|"&amp;RIGHT("000000"&amp;295,6),LdCKeyM,0),"")</f>
        <v/>
      </c>
    </row>
    <row r="312">
      <c r="A312" s="19" t="n">
        <v>296</v>
      </c>
      <c r="B312" s="20">
        <f>IF(AND($L312="",$M312="",$N312=""),"",IF($L312&lt;&gt;"",INDEX(LdADate,$L312),IF($M312&lt;&gt;"",INDEX(LdBDate,$M312),INDEX(LdCDate,$N312))))</f>
        <v/>
      </c>
      <c r="C312" s="20">
        <f>IF($L312&lt;&gt;"","دستمزد (فردی)",IF($M312&lt;&gt;"","سهم از گروه "&amp;IFERROR(VLOOKUP(INDEX(LdBGroup,$M312),WGTbl,2,0),INDEX(LdBGroup,$M312)),IF($N312&lt;&gt;"",IF(N(INDEX(LdCDep,$N312))&gt;0,"بازگشت بانکی","پرداخت بانکی"),"")))</f>
        <v/>
      </c>
      <c r="D312" s="20">
        <f>IF($L312&lt;&gt;"",IF(INDEX(LdAId,$L312)="","—",INDEX(LdAId,$L312)),IF($M312&lt;&gt;"",IF(INDEX(LdBId,$M312)="","—",INDEX(LdBId,$M312)),IF($N312&lt;&gt;"",IF(INDEX(LdCBank,$N312)="","—",INDEX(LdCBank,$N312)),"")))</f>
        <v/>
      </c>
      <c r="E312" s="21">
        <f>IF($L312&lt;&gt;"",IF(INDEX(LdAAmt,$L312)=0,"",INDEX(LdAAmt,$L312)),IF($M312&lt;&gt;"",IF(INDEX(LdBAmt,$M312)=0,"",INDEX(LdBAmt,$M312)),IF($N312&lt;&gt;"",IF(INDEX(LdCDep,$N312)=0,"",INDEX(LdCDep,$N312)),"")))</f>
        <v/>
      </c>
      <c r="F312" s="21">
        <f>IF(AND($L312="",$M312="",$N312=""),"",IF($N312="","",IF(INDEX(LdCWit,$N312)=0,"",INDEX(LdCWit,$N312))))</f>
        <v/>
      </c>
      <c r="G312" s="31">
        <f>IF($B312="","",IF($G311="",0,$G311)+IF($E312="",0,$E312)-IF($F312="",0,$F312))</f>
        <v/>
      </c>
      <c r="H312" s="32">
        <f>IF(AND($L312="",$M312="",$N312=""),"",IF($L312&lt;&gt;"",IF(INDEX(LdANote,$L312)="","—",INDEX(LdANote,$L312)),IF($M312&lt;&gt;"",IF(INDEX(LdBNote,$M312)="","—",INDEX(LdBNote,$M312)),IF($N312&lt;&gt;"",IF(INDEX(LdCNote,$N312)="","—",INDEX(LdCNote,$N312)),""))))</f>
        <v/>
      </c>
      <c r="L312">
        <f>IFERROR(MATCH($C$5&amp;"|"&amp;RIGHT("000000"&amp;296,6),LdAKeyM,0),"")</f>
        <v/>
      </c>
      <c r="M312">
        <f>IFERROR(MATCH($C$5&amp;"|"&amp;RIGHT("000000"&amp;296,6),LdBKeyM,0),"")</f>
        <v/>
      </c>
      <c r="N312">
        <f>IFERROR(MATCH($C$5&amp;"|"&amp;RIGHT("000000"&amp;296,6),LdCKeyM,0),"")</f>
        <v/>
      </c>
    </row>
    <row r="313">
      <c r="A313" s="10" t="n">
        <v>297</v>
      </c>
      <c r="B313" s="14">
        <f>IF(AND($L313="",$M313="",$N313=""),"",IF($L313&lt;&gt;"",INDEX(LdADate,$L313),IF($M313&lt;&gt;"",INDEX(LdBDate,$M313),INDEX(LdCDate,$N313))))</f>
        <v/>
      </c>
      <c r="C313" s="14">
        <f>IF($L313&lt;&gt;"","دستمزد (فردی)",IF($M313&lt;&gt;"","سهم از گروه "&amp;IFERROR(VLOOKUP(INDEX(LdBGroup,$M313),WGTbl,2,0),INDEX(LdBGroup,$M313)),IF($N313&lt;&gt;"",IF(N(INDEX(LdCDep,$N313))&gt;0,"بازگشت بانکی","پرداخت بانکی"),"")))</f>
        <v/>
      </c>
      <c r="D313" s="14">
        <f>IF($L313&lt;&gt;"",IF(INDEX(LdAId,$L313)="","—",INDEX(LdAId,$L313)),IF($M313&lt;&gt;"",IF(INDEX(LdBId,$M313)="","—",INDEX(LdBId,$M313)),IF($N313&lt;&gt;"",IF(INDEX(LdCBank,$N313)="","—",INDEX(LdCBank,$N313)),"")))</f>
        <v/>
      </c>
      <c r="E313" s="16">
        <f>IF($L313&lt;&gt;"",IF(INDEX(LdAAmt,$L313)=0,"",INDEX(LdAAmt,$L313)),IF($M313&lt;&gt;"",IF(INDEX(LdBAmt,$M313)=0,"",INDEX(LdBAmt,$M313)),IF($N313&lt;&gt;"",IF(INDEX(LdCDep,$N313)=0,"",INDEX(LdCDep,$N313)),"")))</f>
        <v/>
      </c>
      <c r="F313" s="16">
        <f>IF(AND($L313="",$M313="",$N313=""),"",IF($N313="","",IF(INDEX(LdCWit,$N313)=0,"",INDEX(LdCWit,$N313))))</f>
        <v/>
      </c>
      <c r="G313" s="29">
        <f>IF($B313="","",IF($G312="",0,$G312)+IF($E313="",0,$E313)-IF($F313="",0,$F313))</f>
        <v/>
      </c>
      <c r="H313" s="30">
        <f>IF(AND($L313="",$M313="",$N313=""),"",IF($L313&lt;&gt;"",IF(INDEX(LdANote,$L313)="","—",INDEX(LdANote,$L313)),IF($M313&lt;&gt;"",IF(INDEX(LdBNote,$M313)="","—",INDEX(LdBNote,$M313)),IF($N313&lt;&gt;"",IF(INDEX(LdCNote,$N313)="","—",INDEX(LdCNote,$N313)),""))))</f>
        <v/>
      </c>
      <c r="L313">
        <f>IFERROR(MATCH($C$5&amp;"|"&amp;RIGHT("000000"&amp;297,6),LdAKeyM,0),"")</f>
        <v/>
      </c>
      <c r="M313">
        <f>IFERROR(MATCH($C$5&amp;"|"&amp;RIGHT("000000"&amp;297,6),LdBKeyM,0),"")</f>
        <v/>
      </c>
      <c r="N313">
        <f>IFERROR(MATCH($C$5&amp;"|"&amp;RIGHT("000000"&amp;297,6),LdCKeyM,0),"")</f>
        <v/>
      </c>
    </row>
    <row r="314">
      <c r="A314" s="19" t="n">
        <v>298</v>
      </c>
      <c r="B314" s="20">
        <f>IF(AND($L314="",$M314="",$N314=""),"",IF($L314&lt;&gt;"",INDEX(LdADate,$L314),IF($M314&lt;&gt;"",INDEX(LdBDate,$M314),INDEX(LdCDate,$N314))))</f>
        <v/>
      </c>
      <c r="C314" s="20">
        <f>IF($L314&lt;&gt;"","دستمزد (فردی)",IF($M314&lt;&gt;"","سهم از گروه "&amp;IFERROR(VLOOKUP(INDEX(LdBGroup,$M314),WGTbl,2,0),INDEX(LdBGroup,$M314)),IF($N314&lt;&gt;"",IF(N(INDEX(LdCDep,$N314))&gt;0,"بازگشت بانکی","پرداخت بانکی"),"")))</f>
        <v/>
      </c>
      <c r="D314" s="20">
        <f>IF($L314&lt;&gt;"",IF(INDEX(LdAId,$L314)="","—",INDEX(LdAId,$L314)),IF($M314&lt;&gt;"",IF(INDEX(LdBId,$M314)="","—",INDEX(LdBId,$M314)),IF($N314&lt;&gt;"",IF(INDEX(LdCBank,$N314)="","—",INDEX(LdCBank,$N314)),"")))</f>
        <v/>
      </c>
      <c r="E314" s="21">
        <f>IF($L314&lt;&gt;"",IF(INDEX(LdAAmt,$L314)=0,"",INDEX(LdAAmt,$L314)),IF($M314&lt;&gt;"",IF(INDEX(LdBAmt,$M314)=0,"",INDEX(LdBAmt,$M314)),IF($N314&lt;&gt;"",IF(INDEX(LdCDep,$N314)=0,"",INDEX(LdCDep,$N314)),"")))</f>
        <v/>
      </c>
      <c r="F314" s="21">
        <f>IF(AND($L314="",$M314="",$N314=""),"",IF($N314="","",IF(INDEX(LdCWit,$N314)=0,"",INDEX(LdCWit,$N314))))</f>
        <v/>
      </c>
      <c r="G314" s="31">
        <f>IF($B314="","",IF($G313="",0,$G313)+IF($E314="",0,$E314)-IF($F314="",0,$F314))</f>
        <v/>
      </c>
      <c r="H314" s="32">
        <f>IF(AND($L314="",$M314="",$N314=""),"",IF($L314&lt;&gt;"",IF(INDEX(LdANote,$L314)="","—",INDEX(LdANote,$L314)),IF($M314&lt;&gt;"",IF(INDEX(LdBNote,$M314)="","—",INDEX(LdBNote,$M314)),IF($N314&lt;&gt;"",IF(INDEX(LdCNote,$N314)="","—",INDEX(LdCNote,$N314)),""))))</f>
        <v/>
      </c>
      <c r="L314">
        <f>IFERROR(MATCH($C$5&amp;"|"&amp;RIGHT("000000"&amp;298,6),LdAKeyM,0),"")</f>
        <v/>
      </c>
      <c r="M314">
        <f>IFERROR(MATCH($C$5&amp;"|"&amp;RIGHT("000000"&amp;298,6),LdBKeyM,0),"")</f>
        <v/>
      </c>
      <c r="N314">
        <f>IFERROR(MATCH($C$5&amp;"|"&amp;RIGHT("000000"&amp;298,6),LdCKeyM,0),"")</f>
        <v/>
      </c>
    </row>
    <row r="315">
      <c r="A315" s="10" t="n">
        <v>299</v>
      </c>
      <c r="B315" s="14">
        <f>IF(AND($L315="",$M315="",$N315=""),"",IF($L315&lt;&gt;"",INDEX(LdADate,$L315),IF($M315&lt;&gt;"",INDEX(LdBDate,$M315),INDEX(LdCDate,$N315))))</f>
        <v/>
      </c>
      <c r="C315" s="14">
        <f>IF($L315&lt;&gt;"","دستمزد (فردی)",IF($M315&lt;&gt;"","سهم از گروه "&amp;IFERROR(VLOOKUP(INDEX(LdBGroup,$M315),WGTbl,2,0),INDEX(LdBGroup,$M315)),IF($N315&lt;&gt;"",IF(N(INDEX(LdCDep,$N315))&gt;0,"بازگشت بانکی","پرداخت بانکی"),"")))</f>
        <v/>
      </c>
      <c r="D315" s="14">
        <f>IF($L315&lt;&gt;"",IF(INDEX(LdAId,$L315)="","—",INDEX(LdAId,$L315)),IF($M315&lt;&gt;"",IF(INDEX(LdBId,$M315)="","—",INDEX(LdBId,$M315)),IF($N315&lt;&gt;"",IF(INDEX(LdCBank,$N315)="","—",INDEX(LdCBank,$N315)),"")))</f>
        <v/>
      </c>
      <c r="E315" s="16">
        <f>IF($L315&lt;&gt;"",IF(INDEX(LdAAmt,$L315)=0,"",INDEX(LdAAmt,$L315)),IF($M315&lt;&gt;"",IF(INDEX(LdBAmt,$M315)=0,"",INDEX(LdBAmt,$M315)),IF($N315&lt;&gt;"",IF(INDEX(LdCDep,$N315)=0,"",INDEX(LdCDep,$N315)),"")))</f>
        <v/>
      </c>
      <c r="F315" s="16">
        <f>IF(AND($L315="",$M315="",$N315=""),"",IF($N315="","",IF(INDEX(LdCWit,$N315)=0,"",INDEX(LdCWit,$N315))))</f>
        <v/>
      </c>
      <c r="G315" s="29">
        <f>IF($B315="","",IF($G314="",0,$G314)+IF($E315="",0,$E315)-IF($F315="",0,$F315))</f>
        <v/>
      </c>
      <c r="H315" s="30">
        <f>IF(AND($L315="",$M315="",$N315=""),"",IF($L315&lt;&gt;"",IF(INDEX(LdANote,$L315)="","—",INDEX(LdANote,$L315)),IF($M315&lt;&gt;"",IF(INDEX(LdBNote,$M315)="","—",INDEX(LdBNote,$M315)),IF($N315&lt;&gt;"",IF(INDEX(LdCNote,$N315)="","—",INDEX(LdCNote,$N315)),""))))</f>
        <v/>
      </c>
      <c r="L315">
        <f>IFERROR(MATCH($C$5&amp;"|"&amp;RIGHT("000000"&amp;299,6),LdAKeyM,0),"")</f>
        <v/>
      </c>
      <c r="M315">
        <f>IFERROR(MATCH($C$5&amp;"|"&amp;RIGHT("000000"&amp;299,6),LdBKeyM,0),"")</f>
        <v/>
      </c>
      <c r="N315">
        <f>IFERROR(MATCH($C$5&amp;"|"&amp;RIGHT("000000"&amp;299,6),LdCKeyM,0),"")</f>
        <v/>
      </c>
    </row>
    <row r="316">
      <c r="A316" s="19" t="n">
        <v>300</v>
      </c>
      <c r="B316" s="20">
        <f>IF(AND($L316="",$M316="",$N316=""),"",IF($L316&lt;&gt;"",INDEX(LdADate,$L316),IF($M316&lt;&gt;"",INDEX(LdBDate,$M316),INDEX(LdCDate,$N316))))</f>
        <v/>
      </c>
      <c r="C316" s="20">
        <f>IF($L316&lt;&gt;"","دستمزد (فردی)",IF($M316&lt;&gt;"","سهم از گروه "&amp;IFERROR(VLOOKUP(INDEX(LdBGroup,$M316),WGTbl,2,0),INDEX(LdBGroup,$M316)),IF($N316&lt;&gt;"",IF(N(INDEX(LdCDep,$N316))&gt;0,"بازگشت بانکی","پرداخت بانکی"),"")))</f>
        <v/>
      </c>
      <c r="D316" s="20">
        <f>IF($L316&lt;&gt;"",IF(INDEX(LdAId,$L316)="","—",INDEX(LdAId,$L316)),IF($M316&lt;&gt;"",IF(INDEX(LdBId,$M316)="","—",INDEX(LdBId,$M316)),IF($N316&lt;&gt;"",IF(INDEX(LdCBank,$N316)="","—",INDEX(LdCBank,$N316)),"")))</f>
        <v/>
      </c>
      <c r="E316" s="21">
        <f>IF($L316&lt;&gt;"",IF(INDEX(LdAAmt,$L316)=0,"",INDEX(LdAAmt,$L316)),IF($M316&lt;&gt;"",IF(INDEX(LdBAmt,$M316)=0,"",INDEX(LdBAmt,$M316)),IF($N316&lt;&gt;"",IF(INDEX(LdCDep,$N316)=0,"",INDEX(LdCDep,$N316)),"")))</f>
        <v/>
      </c>
      <c r="F316" s="21">
        <f>IF(AND($L316="",$M316="",$N316=""),"",IF($N316="","",IF(INDEX(LdCWit,$N316)=0,"",INDEX(LdCWit,$N316))))</f>
        <v/>
      </c>
      <c r="G316" s="31">
        <f>IF($B316="","",IF($G315="",0,$G315)+IF($E316="",0,$E316)-IF($F316="",0,$F316))</f>
        <v/>
      </c>
      <c r="H316" s="32">
        <f>IF(AND($L316="",$M316="",$N316=""),"",IF($L316&lt;&gt;"",IF(INDEX(LdANote,$L316)="","—",INDEX(LdANote,$L316)),IF($M316&lt;&gt;"",IF(INDEX(LdBNote,$M316)="","—",INDEX(LdBNote,$M316)),IF($N316&lt;&gt;"",IF(INDEX(LdCNote,$N316)="","—",INDEX(LdCNote,$N316)),""))))</f>
        <v/>
      </c>
      <c r="L316">
        <f>IFERROR(MATCH($C$5&amp;"|"&amp;RIGHT("000000"&amp;300,6),LdAKeyM,0),"")</f>
        <v/>
      </c>
      <c r="M316">
        <f>IFERROR(MATCH($C$5&amp;"|"&amp;RIGHT("000000"&amp;300,6),LdBKeyM,0),"")</f>
        <v/>
      </c>
      <c r="N316">
        <f>IFERROR(MATCH($C$5&amp;"|"&amp;RIGHT("000000"&amp;300,6),LdCKeyM,0),"")</f>
        <v/>
      </c>
    </row>
    <row r="317">
      <c r="A317" s="10" t="n">
        <v>301</v>
      </c>
      <c r="B317" s="14">
        <f>IF(AND($L317="",$M317="",$N317=""),"",IF($L317&lt;&gt;"",INDEX(LdADate,$L317),IF($M317&lt;&gt;"",INDEX(LdBDate,$M317),INDEX(LdCDate,$N317))))</f>
        <v/>
      </c>
      <c r="C317" s="14">
        <f>IF($L317&lt;&gt;"","دستمزد (فردی)",IF($M317&lt;&gt;"","سهم از گروه "&amp;IFERROR(VLOOKUP(INDEX(LdBGroup,$M317),WGTbl,2,0),INDEX(LdBGroup,$M317)),IF($N317&lt;&gt;"",IF(N(INDEX(LdCDep,$N317))&gt;0,"بازگشت بانکی","پرداخت بانکی"),"")))</f>
        <v/>
      </c>
      <c r="D317" s="14">
        <f>IF($L317&lt;&gt;"",IF(INDEX(LdAId,$L317)="","—",INDEX(LdAId,$L317)),IF($M317&lt;&gt;"",IF(INDEX(LdBId,$M317)="","—",INDEX(LdBId,$M317)),IF($N317&lt;&gt;"",IF(INDEX(LdCBank,$N317)="","—",INDEX(LdCBank,$N317)),"")))</f>
        <v/>
      </c>
      <c r="E317" s="16">
        <f>IF($L317&lt;&gt;"",IF(INDEX(LdAAmt,$L317)=0,"",INDEX(LdAAmt,$L317)),IF($M317&lt;&gt;"",IF(INDEX(LdBAmt,$M317)=0,"",INDEX(LdBAmt,$M317)),IF($N317&lt;&gt;"",IF(INDEX(LdCDep,$N317)=0,"",INDEX(LdCDep,$N317)),"")))</f>
        <v/>
      </c>
      <c r="F317" s="16">
        <f>IF(AND($L317="",$M317="",$N317=""),"",IF($N317="","",IF(INDEX(LdCWit,$N317)=0,"",INDEX(LdCWit,$N317))))</f>
        <v/>
      </c>
      <c r="G317" s="29">
        <f>IF($B317="","",IF($G316="",0,$G316)+IF($E317="",0,$E317)-IF($F317="",0,$F317))</f>
        <v/>
      </c>
      <c r="H317" s="30">
        <f>IF(AND($L317="",$M317="",$N317=""),"",IF($L317&lt;&gt;"",IF(INDEX(LdANote,$L317)="","—",INDEX(LdANote,$L317)),IF($M317&lt;&gt;"",IF(INDEX(LdBNote,$M317)="","—",INDEX(LdBNote,$M317)),IF($N317&lt;&gt;"",IF(INDEX(LdCNote,$N317)="","—",INDEX(LdCNote,$N317)),""))))</f>
        <v/>
      </c>
      <c r="L317">
        <f>IFERROR(MATCH($C$5&amp;"|"&amp;RIGHT("000000"&amp;301,6),LdAKeyM,0),"")</f>
        <v/>
      </c>
      <c r="M317">
        <f>IFERROR(MATCH($C$5&amp;"|"&amp;RIGHT("000000"&amp;301,6),LdBKeyM,0),"")</f>
        <v/>
      </c>
      <c r="N317">
        <f>IFERROR(MATCH($C$5&amp;"|"&amp;RIGHT("000000"&amp;301,6),LdCKeyM,0),"")</f>
        <v/>
      </c>
    </row>
    <row r="318">
      <c r="A318" s="19" t="n">
        <v>302</v>
      </c>
      <c r="B318" s="20">
        <f>IF(AND($L318="",$M318="",$N318=""),"",IF($L318&lt;&gt;"",INDEX(LdADate,$L318),IF($M318&lt;&gt;"",INDEX(LdBDate,$M318),INDEX(LdCDate,$N318))))</f>
        <v/>
      </c>
      <c r="C318" s="20">
        <f>IF($L318&lt;&gt;"","دستمزد (فردی)",IF($M318&lt;&gt;"","سهم از گروه "&amp;IFERROR(VLOOKUP(INDEX(LdBGroup,$M318),WGTbl,2,0),INDEX(LdBGroup,$M318)),IF($N318&lt;&gt;"",IF(N(INDEX(LdCDep,$N318))&gt;0,"بازگشت بانکی","پرداخت بانکی"),"")))</f>
        <v/>
      </c>
      <c r="D318" s="20">
        <f>IF($L318&lt;&gt;"",IF(INDEX(LdAId,$L318)="","—",INDEX(LdAId,$L318)),IF($M318&lt;&gt;"",IF(INDEX(LdBId,$M318)="","—",INDEX(LdBId,$M318)),IF($N318&lt;&gt;"",IF(INDEX(LdCBank,$N318)="","—",INDEX(LdCBank,$N318)),"")))</f>
        <v/>
      </c>
      <c r="E318" s="21">
        <f>IF($L318&lt;&gt;"",IF(INDEX(LdAAmt,$L318)=0,"",INDEX(LdAAmt,$L318)),IF($M318&lt;&gt;"",IF(INDEX(LdBAmt,$M318)=0,"",INDEX(LdBAmt,$M318)),IF($N318&lt;&gt;"",IF(INDEX(LdCDep,$N318)=0,"",INDEX(LdCDep,$N318)),"")))</f>
        <v/>
      </c>
      <c r="F318" s="21">
        <f>IF(AND($L318="",$M318="",$N318=""),"",IF($N318="","",IF(INDEX(LdCWit,$N318)=0,"",INDEX(LdCWit,$N318))))</f>
        <v/>
      </c>
      <c r="G318" s="31">
        <f>IF($B318="","",IF($G317="",0,$G317)+IF($E318="",0,$E318)-IF($F318="",0,$F318))</f>
        <v/>
      </c>
      <c r="H318" s="32">
        <f>IF(AND($L318="",$M318="",$N318=""),"",IF($L318&lt;&gt;"",IF(INDEX(LdANote,$L318)="","—",INDEX(LdANote,$L318)),IF($M318&lt;&gt;"",IF(INDEX(LdBNote,$M318)="","—",INDEX(LdBNote,$M318)),IF($N318&lt;&gt;"",IF(INDEX(LdCNote,$N318)="","—",INDEX(LdCNote,$N318)),""))))</f>
        <v/>
      </c>
      <c r="L318">
        <f>IFERROR(MATCH($C$5&amp;"|"&amp;RIGHT("000000"&amp;302,6),LdAKeyM,0),"")</f>
        <v/>
      </c>
      <c r="M318">
        <f>IFERROR(MATCH($C$5&amp;"|"&amp;RIGHT("000000"&amp;302,6),LdBKeyM,0),"")</f>
        <v/>
      </c>
      <c r="N318">
        <f>IFERROR(MATCH($C$5&amp;"|"&amp;RIGHT("000000"&amp;302,6),LdCKeyM,0),"")</f>
        <v/>
      </c>
    </row>
    <row r="319">
      <c r="A319" s="10" t="n">
        <v>303</v>
      </c>
      <c r="B319" s="14">
        <f>IF(AND($L319="",$M319="",$N319=""),"",IF($L319&lt;&gt;"",INDEX(LdADate,$L319),IF($M319&lt;&gt;"",INDEX(LdBDate,$M319),INDEX(LdCDate,$N319))))</f>
        <v/>
      </c>
      <c r="C319" s="14">
        <f>IF($L319&lt;&gt;"","دستمزد (فردی)",IF($M319&lt;&gt;"","سهم از گروه "&amp;IFERROR(VLOOKUP(INDEX(LdBGroup,$M319),WGTbl,2,0),INDEX(LdBGroup,$M319)),IF($N319&lt;&gt;"",IF(N(INDEX(LdCDep,$N319))&gt;0,"بازگشت بانکی","پرداخت بانکی"),"")))</f>
        <v/>
      </c>
      <c r="D319" s="14">
        <f>IF($L319&lt;&gt;"",IF(INDEX(LdAId,$L319)="","—",INDEX(LdAId,$L319)),IF($M319&lt;&gt;"",IF(INDEX(LdBId,$M319)="","—",INDEX(LdBId,$M319)),IF($N319&lt;&gt;"",IF(INDEX(LdCBank,$N319)="","—",INDEX(LdCBank,$N319)),"")))</f>
        <v/>
      </c>
      <c r="E319" s="16">
        <f>IF($L319&lt;&gt;"",IF(INDEX(LdAAmt,$L319)=0,"",INDEX(LdAAmt,$L319)),IF($M319&lt;&gt;"",IF(INDEX(LdBAmt,$M319)=0,"",INDEX(LdBAmt,$M319)),IF($N319&lt;&gt;"",IF(INDEX(LdCDep,$N319)=0,"",INDEX(LdCDep,$N319)),"")))</f>
        <v/>
      </c>
      <c r="F319" s="16">
        <f>IF(AND($L319="",$M319="",$N319=""),"",IF($N319="","",IF(INDEX(LdCWit,$N319)=0,"",INDEX(LdCWit,$N319))))</f>
        <v/>
      </c>
      <c r="G319" s="29">
        <f>IF($B319="","",IF($G318="",0,$G318)+IF($E319="",0,$E319)-IF($F319="",0,$F319))</f>
        <v/>
      </c>
      <c r="H319" s="30">
        <f>IF(AND($L319="",$M319="",$N319=""),"",IF($L319&lt;&gt;"",IF(INDEX(LdANote,$L319)="","—",INDEX(LdANote,$L319)),IF($M319&lt;&gt;"",IF(INDEX(LdBNote,$M319)="","—",INDEX(LdBNote,$M319)),IF($N319&lt;&gt;"",IF(INDEX(LdCNote,$N319)="","—",INDEX(LdCNote,$N319)),""))))</f>
        <v/>
      </c>
      <c r="L319">
        <f>IFERROR(MATCH($C$5&amp;"|"&amp;RIGHT("000000"&amp;303,6),LdAKeyM,0),"")</f>
        <v/>
      </c>
      <c r="M319">
        <f>IFERROR(MATCH($C$5&amp;"|"&amp;RIGHT("000000"&amp;303,6),LdBKeyM,0),"")</f>
        <v/>
      </c>
      <c r="N319">
        <f>IFERROR(MATCH($C$5&amp;"|"&amp;RIGHT("000000"&amp;303,6),LdCKeyM,0),"")</f>
        <v/>
      </c>
    </row>
    <row r="320">
      <c r="A320" s="19" t="n">
        <v>304</v>
      </c>
      <c r="B320" s="20">
        <f>IF(AND($L320="",$M320="",$N320=""),"",IF($L320&lt;&gt;"",INDEX(LdADate,$L320),IF($M320&lt;&gt;"",INDEX(LdBDate,$M320),INDEX(LdCDate,$N320))))</f>
        <v/>
      </c>
      <c r="C320" s="20">
        <f>IF($L320&lt;&gt;"","دستمزد (فردی)",IF($M320&lt;&gt;"","سهم از گروه "&amp;IFERROR(VLOOKUP(INDEX(LdBGroup,$M320),WGTbl,2,0),INDEX(LdBGroup,$M320)),IF($N320&lt;&gt;"",IF(N(INDEX(LdCDep,$N320))&gt;0,"بازگشت بانکی","پرداخت بانکی"),"")))</f>
        <v/>
      </c>
      <c r="D320" s="20">
        <f>IF($L320&lt;&gt;"",IF(INDEX(LdAId,$L320)="","—",INDEX(LdAId,$L320)),IF($M320&lt;&gt;"",IF(INDEX(LdBId,$M320)="","—",INDEX(LdBId,$M320)),IF($N320&lt;&gt;"",IF(INDEX(LdCBank,$N320)="","—",INDEX(LdCBank,$N320)),"")))</f>
        <v/>
      </c>
      <c r="E320" s="21">
        <f>IF($L320&lt;&gt;"",IF(INDEX(LdAAmt,$L320)=0,"",INDEX(LdAAmt,$L320)),IF($M320&lt;&gt;"",IF(INDEX(LdBAmt,$M320)=0,"",INDEX(LdBAmt,$M320)),IF($N320&lt;&gt;"",IF(INDEX(LdCDep,$N320)=0,"",INDEX(LdCDep,$N320)),"")))</f>
        <v/>
      </c>
      <c r="F320" s="21">
        <f>IF(AND($L320="",$M320="",$N320=""),"",IF($N320="","",IF(INDEX(LdCWit,$N320)=0,"",INDEX(LdCWit,$N320))))</f>
        <v/>
      </c>
      <c r="G320" s="31">
        <f>IF($B320="","",IF($G319="",0,$G319)+IF($E320="",0,$E320)-IF($F320="",0,$F320))</f>
        <v/>
      </c>
      <c r="H320" s="32">
        <f>IF(AND($L320="",$M320="",$N320=""),"",IF($L320&lt;&gt;"",IF(INDEX(LdANote,$L320)="","—",INDEX(LdANote,$L320)),IF($M320&lt;&gt;"",IF(INDEX(LdBNote,$M320)="","—",INDEX(LdBNote,$M320)),IF($N320&lt;&gt;"",IF(INDEX(LdCNote,$N320)="","—",INDEX(LdCNote,$N320)),""))))</f>
        <v/>
      </c>
      <c r="L320">
        <f>IFERROR(MATCH($C$5&amp;"|"&amp;RIGHT("000000"&amp;304,6),LdAKeyM,0),"")</f>
        <v/>
      </c>
      <c r="M320">
        <f>IFERROR(MATCH($C$5&amp;"|"&amp;RIGHT("000000"&amp;304,6),LdBKeyM,0),"")</f>
        <v/>
      </c>
      <c r="N320">
        <f>IFERROR(MATCH($C$5&amp;"|"&amp;RIGHT("000000"&amp;304,6),LdCKeyM,0),"")</f>
        <v/>
      </c>
    </row>
    <row r="321">
      <c r="A321" s="10" t="n">
        <v>305</v>
      </c>
      <c r="B321" s="14">
        <f>IF(AND($L321="",$M321="",$N321=""),"",IF($L321&lt;&gt;"",INDEX(LdADate,$L321),IF($M321&lt;&gt;"",INDEX(LdBDate,$M321),INDEX(LdCDate,$N321))))</f>
        <v/>
      </c>
      <c r="C321" s="14">
        <f>IF($L321&lt;&gt;"","دستمزد (فردی)",IF($M321&lt;&gt;"","سهم از گروه "&amp;IFERROR(VLOOKUP(INDEX(LdBGroup,$M321),WGTbl,2,0),INDEX(LdBGroup,$M321)),IF($N321&lt;&gt;"",IF(N(INDEX(LdCDep,$N321))&gt;0,"بازگشت بانکی","پرداخت بانکی"),"")))</f>
        <v/>
      </c>
      <c r="D321" s="14">
        <f>IF($L321&lt;&gt;"",IF(INDEX(LdAId,$L321)="","—",INDEX(LdAId,$L321)),IF($M321&lt;&gt;"",IF(INDEX(LdBId,$M321)="","—",INDEX(LdBId,$M321)),IF($N321&lt;&gt;"",IF(INDEX(LdCBank,$N321)="","—",INDEX(LdCBank,$N321)),"")))</f>
        <v/>
      </c>
      <c r="E321" s="16">
        <f>IF($L321&lt;&gt;"",IF(INDEX(LdAAmt,$L321)=0,"",INDEX(LdAAmt,$L321)),IF($M321&lt;&gt;"",IF(INDEX(LdBAmt,$M321)=0,"",INDEX(LdBAmt,$M321)),IF($N321&lt;&gt;"",IF(INDEX(LdCDep,$N321)=0,"",INDEX(LdCDep,$N321)),"")))</f>
        <v/>
      </c>
      <c r="F321" s="16">
        <f>IF(AND($L321="",$M321="",$N321=""),"",IF($N321="","",IF(INDEX(LdCWit,$N321)=0,"",INDEX(LdCWit,$N321))))</f>
        <v/>
      </c>
      <c r="G321" s="29">
        <f>IF($B321="","",IF($G320="",0,$G320)+IF($E321="",0,$E321)-IF($F321="",0,$F321))</f>
        <v/>
      </c>
      <c r="H321" s="30">
        <f>IF(AND($L321="",$M321="",$N321=""),"",IF($L321&lt;&gt;"",IF(INDEX(LdANote,$L321)="","—",INDEX(LdANote,$L321)),IF($M321&lt;&gt;"",IF(INDEX(LdBNote,$M321)="","—",INDEX(LdBNote,$M321)),IF($N321&lt;&gt;"",IF(INDEX(LdCNote,$N321)="","—",INDEX(LdCNote,$N321)),""))))</f>
        <v/>
      </c>
      <c r="L321">
        <f>IFERROR(MATCH($C$5&amp;"|"&amp;RIGHT("000000"&amp;305,6),LdAKeyM,0),"")</f>
        <v/>
      </c>
      <c r="M321">
        <f>IFERROR(MATCH($C$5&amp;"|"&amp;RIGHT("000000"&amp;305,6),LdBKeyM,0),"")</f>
        <v/>
      </c>
      <c r="N321">
        <f>IFERROR(MATCH($C$5&amp;"|"&amp;RIGHT("000000"&amp;305,6),LdCKeyM,0),"")</f>
        <v/>
      </c>
    </row>
    <row r="322">
      <c r="A322" s="19" t="n">
        <v>306</v>
      </c>
      <c r="B322" s="20">
        <f>IF(AND($L322="",$M322="",$N322=""),"",IF($L322&lt;&gt;"",INDEX(LdADate,$L322),IF($M322&lt;&gt;"",INDEX(LdBDate,$M322),INDEX(LdCDate,$N322))))</f>
        <v/>
      </c>
      <c r="C322" s="20">
        <f>IF($L322&lt;&gt;"","دستمزد (فردی)",IF($M322&lt;&gt;"","سهم از گروه "&amp;IFERROR(VLOOKUP(INDEX(LdBGroup,$M322),WGTbl,2,0),INDEX(LdBGroup,$M322)),IF($N322&lt;&gt;"",IF(N(INDEX(LdCDep,$N322))&gt;0,"بازگشت بانکی","پرداخت بانکی"),"")))</f>
        <v/>
      </c>
      <c r="D322" s="20">
        <f>IF($L322&lt;&gt;"",IF(INDEX(LdAId,$L322)="","—",INDEX(LdAId,$L322)),IF($M322&lt;&gt;"",IF(INDEX(LdBId,$M322)="","—",INDEX(LdBId,$M322)),IF($N322&lt;&gt;"",IF(INDEX(LdCBank,$N322)="","—",INDEX(LdCBank,$N322)),"")))</f>
        <v/>
      </c>
      <c r="E322" s="21">
        <f>IF($L322&lt;&gt;"",IF(INDEX(LdAAmt,$L322)=0,"",INDEX(LdAAmt,$L322)),IF($M322&lt;&gt;"",IF(INDEX(LdBAmt,$M322)=0,"",INDEX(LdBAmt,$M322)),IF($N322&lt;&gt;"",IF(INDEX(LdCDep,$N322)=0,"",INDEX(LdCDep,$N322)),"")))</f>
        <v/>
      </c>
      <c r="F322" s="21">
        <f>IF(AND($L322="",$M322="",$N322=""),"",IF($N322="","",IF(INDEX(LdCWit,$N322)=0,"",INDEX(LdCWit,$N322))))</f>
        <v/>
      </c>
      <c r="G322" s="31">
        <f>IF($B322="","",IF($G321="",0,$G321)+IF($E322="",0,$E322)-IF($F322="",0,$F322))</f>
        <v/>
      </c>
      <c r="H322" s="32">
        <f>IF(AND($L322="",$M322="",$N322=""),"",IF($L322&lt;&gt;"",IF(INDEX(LdANote,$L322)="","—",INDEX(LdANote,$L322)),IF($M322&lt;&gt;"",IF(INDEX(LdBNote,$M322)="","—",INDEX(LdBNote,$M322)),IF($N322&lt;&gt;"",IF(INDEX(LdCNote,$N322)="","—",INDEX(LdCNote,$N322)),""))))</f>
        <v/>
      </c>
      <c r="L322">
        <f>IFERROR(MATCH($C$5&amp;"|"&amp;RIGHT("000000"&amp;306,6),LdAKeyM,0),"")</f>
        <v/>
      </c>
      <c r="M322">
        <f>IFERROR(MATCH($C$5&amp;"|"&amp;RIGHT("000000"&amp;306,6),LdBKeyM,0),"")</f>
        <v/>
      </c>
      <c r="N322">
        <f>IFERROR(MATCH($C$5&amp;"|"&amp;RIGHT("000000"&amp;306,6),LdCKeyM,0),"")</f>
        <v/>
      </c>
    </row>
    <row r="323">
      <c r="A323" s="10" t="n">
        <v>307</v>
      </c>
      <c r="B323" s="14">
        <f>IF(AND($L323="",$M323="",$N323=""),"",IF($L323&lt;&gt;"",INDEX(LdADate,$L323),IF($M323&lt;&gt;"",INDEX(LdBDate,$M323),INDEX(LdCDate,$N323))))</f>
        <v/>
      </c>
      <c r="C323" s="14">
        <f>IF($L323&lt;&gt;"","دستمزد (فردی)",IF($M323&lt;&gt;"","سهم از گروه "&amp;IFERROR(VLOOKUP(INDEX(LdBGroup,$M323),WGTbl,2,0),INDEX(LdBGroup,$M323)),IF($N323&lt;&gt;"",IF(N(INDEX(LdCDep,$N323))&gt;0,"بازگشت بانکی","پرداخت بانکی"),"")))</f>
        <v/>
      </c>
      <c r="D323" s="14">
        <f>IF($L323&lt;&gt;"",IF(INDEX(LdAId,$L323)="","—",INDEX(LdAId,$L323)),IF($M323&lt;&gt;"",IF(INDEX(LdBId,$M323)="","—",INDEX(LdBId,$M323)),IF($N323&lt;&gt;"",IF(INDEX(LdCBank,$N323)="","—",INDEX(LdCBank,$N323)),"")))</f>
        <v/>
      </c>
      <c r="E323" s="16">
        <f>IF($L323&lt;&gt;"",IF(INDEX(LdAAmt,$L323)=0,"",INDEX(LdAAmt,$L323)),IF($M323&lt;&gt;"",IF(INDEX(LdBAmt,$M323)=0,"",INDEX(LdBAmt,$M323)),IF($N323&lt;&gt;"",IF(INDEX(LdCDep,$N323)=0,"",INDEX(LdCDep,$N323)),"")))</f>
        <v/>
      </c>
      <c r="F323" s="16">
        <f>IF(AND($L323="",$M323="",$N323=""),"",IF($N323="","",IF(INDEX(LdCWit,$N323)=0,"",INDEX(LdCWit,$N323))))</f>
        <v/>
      </c>
      <c r="G323" s="29">
        <f>IF($B323="","",IF($G322="",0,$G322)+IF($E323="",0,$E323)-IF($F323="",0,$F323))</f>
        <v/>
      </c>
      <c r="H323" s="30">
        <f>IF(AND($L323="",$M323="",$N323=""),"",IF($L323&lt;&gt;"",IF(INDEX(LdANote,$L323)="","—",INDEX(LdANote,$L323)),IF($M323&lt;&gt;"",IF(INDEX(LdBNote,$M323)="","—",INDEX(LdBNote,$M323)),IF($N323&lt;&gt;"",IF(INDEX(LdCNote,$N323)="","—",INDEX(LdCNote,$N323)),""))))</f>
        <v/>
      </c>
      <c r="L323">
        <f>IFERROR(MATCH($C$5&amp;"|"&amp;RIGHT("000000"&amp;307,6),LdAKeyM,0),"")</f>
        <v/>
      </c>
      <c r="M323">
        <f>IFERROR(MATCH($C$5&amp;"|"&amp;RIGHT("000000"&amp;307,6),LdBKeyM,0),"")</f>
        <v/>
      </c>
      <c r="N323">
        <f>IFERROR(MATCH($C$5&amp;"|"&amp;RIGHT("000000"&amp;307,6),LdCKeyM,0),"")</f>
        <v/>
      </c>
    </row>
    <row r="324">
      <c r="A324" s="19" t="n">
        <v>308</v>
      </c>
      <c r="B324" s="20">
        <f>IF(AND($L324="",$M324="",$N324=""),"",IF($L324&lt;&gt;"",INDEX(LdADate,$L324),IF($M324&lt;&gt;"",INDEX(LdBDate,$M324),INDEX(LdCDate,$N324))))</f>
        <v/>
      </c>
      <c r="C324" s="20">
        <f>IF($L324&lt;&gt;"","دستمزد (فردی)",IF($M324&lt;&gt;"","سهم از گروه "&amp;IFERROR(VLOOKUP(INDEX(LdBGroup,$M324),WGTbl,2,0),INDEX(LdBGroup,$M324)),IF($N324&lt;&gt;"",IF(N(INDEX(LdCDep,$N324))&gt;0,"بازگشت بانکی","پرداخت بانکی"),"")))</f>
        <v/>
      </c>
      <c r="D324" s="20">
        <f>IF($L324&lt;&gt;"",IF(INDEX(LdAId,$L324)="","—",INDEX(LdAId,$L324)),IF($M324&lt;&gt;"",IF(INDEX(LdBId,$M324)="","—",INDEX(LdBId,$M324)),IF($N324&lt;&gt;"",IF(INDEX(LdCBank,$N324)="","—",INDEX(LdCBank,$N324)),"")))</f>
        <v/>
      </c>
      <c r="E324" s="21">
        <f>IF($L324&lt;&gt;"",IF(INDEX(LdAAmt,$L324)=0,"",INDEX(LdAAmt,$L324)),IF($M324&lt;&gt;"",IF(INDEX(LdBAmt,$M324)=0,"",INDEX(LdBAmt,$M324)),IF($N324&lt;&gt;"",IF(INDEX(LdCDep,$N324)=0,"",INDEX(LdCDep,$N324)),"")))</f>
        <v/>
      </c>
      <c r="F324" s="21">
        <f>IF(AND($L324="",$M324="",$N324=""),"",IF($N324="","",IF(INDEX(LdCWit,$N324)=0,"",INDEX(LdCWit,$N324))))</f>
        <v/>
      </c>
      <c r="G324" s="31">
        <f>IF($B324="","",IF($G323="",0,$G323)+IF($E324="",0,$E324)-IF($F324="",0,$F324))</f>
        <v/>
      </c>
      <c r="H324" s="32">
        <f>IF(AND($L324="",$M324="",$N324=""),"",IF($L324&lt;&gt;"",IF(INDEX(LdANote,$L324)="","—",INDEX(LdANote,$L324)),IF($M324&lt;&gt;"",IF(INDEX(LdBNote,$M324)="","—",INDEX(LdBNote,$M324)),IF($N324&lt;&gt;"",IF(INDEX(LdCNote,$N324)="","—",INDEX(LdCNote,$N324)),""))))</f>
        <v/>
      </c>
      <c r="L324">
        <f>IFERROR(MATCH($C$5&amp;"|"&amp;RIGHT("000000"&amp;308,6),LdAKeyM,0),"")</f>
        <v/>
      </c>
      <c r="M324">
        <f>IFERROR(MATCH($C$5&amp;"|"&amp;RIGHT("000000"&amp;308,6),LdBKeyM,0),"")</f>
        <v/>
      </c>
      <c r="N324">
        <f>IFERROR(MATCH($C$5&amp;"|"&amp;RIGHT("000000"&amp;308,6),LdCKeyM,0),"")</f>
        <v/>
      </c>
    </row>
    <row r="325">
      <c r="A325" s="10" t="n">
        <v>309</v>
      </c>
      <c r="B325" s="14">
        <f>IF(AND($L325="",$M325="",$N325=""),"",IF($L325&lt;&gt;"",INDEX(LdADate,$L325),IF($M325&lt;&gt;"",INDEX(LdBDate,$M325),INDEX(LdCDate,$N325))))</f>
        <v/>
      </c>
      <c r="C325" s="14">
        <f>IF($L325&lt;&gt;"","دستمزد (فردی)",IF($M325&lt;&gt;"","سهم از گروه "&amp;IFERROR(VLOOKUP(INDEX(LdBGroup,$M325),WGTbl,2,0),INDEX(LdBGroup,$M325)),IF($N325&lt;&gt;"",IF(N(INDEX(LdCDep,$N325))&gt;0,"بازگشت بانکی","پرداخت بانکی"),"")))</f>
        <v/>
      </c>
      <c r="D325" s="14">
        <f>IF($L325&lt;&gt;"",IF(INDEX(LdAId,$L325)="","—",INDEX(LdAId,$L325)),IF($M325&lt;&gt;"",IF(INDEX(LdBId,$M325)="","—",INDEX(LdBId,$M325)),IF($N325&lt;&gt;"",IF(INDEX(LdCBank,$N325)="","—",INDEX(LdCBank,$N325)),"")))</f>
        <v/>
      </c>
      <c r="E325" s="16">
        <f>IF($L325&lt;&gt;"",IF(INDEX(LdAAmt,$L325)=0,"",INDEX(LdAAmt,$L325)),IF($M325&lt;&gt;"",IF(INDEX(LdBAmt,$M325)=0,"",INDEX(LdBAmt,$M325)),IF($N325&lt;&gt;"",IF(INDEX(LdCDep,$N325)=0,"",INDEX(LdCDep,$N325)),"")))</f>
        <v/>
      </c>
      <c r="F325" s="16">
        <f>IF(AND($L325="",$M325="",$N325=""),"",IF($N325="","",IF(INDEX(LdCWit,$N325)=0,"",INDEX(LdCWit,$N325))))</f>
        <v/>
      </c>
      <c r="G325" s="29">
        <f>IF($B325="","",IF($G324="",0,$G324)+IF($E325="",0,$E325)-IF($F325="",0,$F325))</f>
        <v/>
      </c>
      <c r="H325" s="30">
        <f>IF(AND($L325="",$M325="",$N325=""),"",IF($L325&lt;&gt;"",IF(INDEX(LdANote,$L325)="","—",INDEX(LdANote,$L325)),IF($M325&lt;&gt;"",IF(INDEX(LdBNote,$M325)="","—",INDEX(LdBNote,$M325)),IF($N325&lt;&gt;"",IF(INDEX(LdCNote,$N325)="","—",INDEX(LdCNote,$N325)),""))))</f>
        <v/>
      </c>
      <c r="L325">
        <f>IFERROR(MATCH($C$5&amp;"|"&amp;RIGHT("000000"&amp;309,6),LdAKeyM,0),"")</f>
        <v/>
      </c>
      <c r="M325">
        <f>IFERROR(MATCH($C$5&amp;"|"&amp;RIGHT("000000"&amp;309,6),LdBKeyM,0),"")</f>
        <v/>
      </c>
      <c r="N325">
        <f>IFERROR(MATCH($C$5&amp;"|"&amp;RIGHT("000000"&amp;309,6),LdCKeyM,0),"")</f>
        <v/>
      </c>
    </row>
    <row r="326">
      <c r="A326" s="19" t="n">
        <v>310</v>
      </c>
      <c r="B326" s="20">
        <f>IF(AND($L326="",$M326="",$N326=""),"",IF($L326&lt;&gt;"",INDEX(LdADate,$L326),IF($M326&lt;&gt;"",INDEX(LdBDate,$M326),INDEX(LdCDate,$N326))))</f>
        <v/>
      </c>
      <c r="C326" s="20">
        <f>IF($L326&lt;&gt;"","دستمزد (فردی)",IF($M326&lt;&gt;"","سهم از گروه "&amp;IFERROR(VLOOKUP(INDEX(LdBGroup,$M326),WGTbl,2,0),INDEX(LdBGroup,$M326)),IF($N326&lt;&gt;"",IF(N(INDEX(LdCDep,$N326))&gt;0,"بازگشت بانکی","پرداخت بانکی"),"")))</f>
        <v/>
      </c>
      <c r="D326" s="20">
        <f>IF($L326&lt;&gt;"",IF(INDEX(LdAId,$L326)="","—",INDEX(LdAId,$L326)),IF($M326&lt;&gt;"",IF(INDEX(LdBId,$M326)="","—",INDEX(LdBId,$M326)),IF($N326&lt;&gt;"",IF(INDEX(LdCBank,$N326)="","—",INDEX(LdCBank,$N326)),"")))</f>
        <v/>
      </c>
      <c r="E326" s="21">
        <f>IF($L326&lt;&gt;"",IF(INDEX(LdAAmt,$L326)=0,"",INDEX(LdAAmt,$L326)),IF($M326&lt;&gt;"",IF(INDEX(LdBAmt,$M326)=0,"",INDEX(LdBAmt,$M326)),IF($N326&lt;&gt;"",IF(INDEX(LdCDep,$N326)=0,"",INDEX(LdCDep,$N326)),"")))</f>
        <v/>
      </c>
      <c r="F326" s="21">
        <f>IF(AND($L326="",$M326="",$N326=""),"",IF($N326="","",IF(INDEX(LdCWit,$N326)=0,"",INDEX(LdCWit,$N326))))</f>
        <v/>
      </c>
      <c r="G326" s="31">
        <f>IF($B326="","",IF($G325="",0,$G325)+IF($E326="",0,$E326)-IF($F326="",0,$F326))</f>
        <v/>
      </c>
      <c r="H326" s="32">
        <f>IF(AND($L326="",$M326="",$N326=""),"",IF($L326&lt;&gt;"",IF(INDEX(LdANote,$L326)="","—",INDEX(LdANote,$L326)),IF($M326&lt;&gt;"",IF(INDEX(LdBNote,$M326)="","—",INDEX(LdBNote,$M326)),IF($N326&lt;&gt;"",IF(INDEX(LdCNote,$N326)="","—",INDEX(LdCNote,$N326)),""))))</f>
        <v/>
      </c>
      <c r="L326">
        <f>IFERROR(MATCH($C$5&amp;"|"&amp;RIGHT("000000"&amp;310,6),LdAKeyM,0),"")</f>
        <v/>
      </c>
      <c r="M326">
        <f>IFERROR(MATCH($C$5&amp;"|"&amp;RIGHT("000000"&amp;310,6),LdBKeyM,0),"")</f>
        <v/>
      </c>
      <c r="N326">
        <f>IFERROR(MATCH($C$5&amp;"|"&amp;RIGHT("000000"&amp;310,6),LdCKeyM,0),"")</f>
        <v/>
      </c>
    </row>
    <row r="327">
      <c r="A327" s="10" t="n">
        <v>311</v>
      </c>
      <c r="B327" s="14">
        <f>IF(AND($L327="",$M327="",$N327=""),"",IF($L327&lt;&gt;"",INDEX(LdADate,$L327),IF($M327&lt;&gt;"",INDEX(LdBDate,$M327),INDEX(LdCDate,$N327))))</f>
        <v/>
      </c>
      <c r="C327" s="14">
        <f>IF($L327&lt;&gt;"","دستمزد (فردی)",IF($M327&lt;&gt;"","سهم از گروه "&amp;IFERROR(VLOOKUP(INDEX(LdBGroup,$M327),WGTbl,2,0),INDEX(LdBGroup,$M327)),IF($N327&lt;&gt;"",IF(N(INDEX(LdCDep,$N327))&gt;0,"بازگشت بانکی","پرداخت بانکی"),"")))</f>
        <v/>
      </c>
      <c r="D327" s="14">
        <f>IF($L327&lt;&gt;"",IF(INDEX(LdAId,$L327)="","—",INDEX(LdAId,$L327)),IF($M327&lt;&gt;"",IF(INDEX(LdBId,$M327)="","—",INDEX(LdBId,$M327)),IF($N327&lt;&gt;"",IF(INDEX(LdCBank,$N327)="","—",INDEX(LdCBank,$N327)),"")))</f>
        <v/>
      </c>
      <c r="E327" s="16">
        <f>IF($L327&lt;&gt;"",IF(INDEX(LdAAmt,$L327)=0,"",INDEX(LdAAmt,$L327)),IF($M327&lt;&gt;"",IF(INDEX(LdBAmt,$M327)=0,"",INDEX(LdBAmt,$M327)),IF($N327&lt;&gt;"",IF(INDEX(LdCDep,$N327)=0,"",INDEX(LdCDep,$N327)),"")))</f>
        <v/>
      </c>
      <c r="F327" s="16">
        <f>IF(AND($L327="",$M327="",$N327=""),"",IF($N327="","",IF(INDEX(LdCWit,$N327)=0,"",INDEX(LdCWit,$N327))))</f>
        <v/>
      </c>
      <c r="G327" s="29">
        <f>IF($B327="","",IF($G326="",0,$G326)+IF($E327="",0,$E327)-IF($F327="",0,$F327))</f>
        <v/>
      </c>
      <c r="H327" s="30">
        <f>IF(AND($L327="",$M327="",$N327=""),"",IF($L327&lt;&gt;"",IF(INDEX(LdANote,$L327)="","—",INDEX(LdANote,$L327)),IF($M327&lt;&gt;"",IF(INDEX(LdBNote,$M327)="","—",INDEX(LdBNote,$M327)),IF($N327&lt;&gt;"",IF(INDEX(LdCNote,$N327)="","—",INDEX(LdCNote,$N327)),""))))</f>
        <v/>
      </c>
      <c r="L327">
        <f>IFERROR(MATCH($C$5&amp;"|"&amp;RIGHT("000000"&amp;311,6),LdAKeyM,0),"")</f>
        <v/>
      </c>
      <c r="M327">
        <f>IFERROR(MATCH($C$5&amp;"|"&amp;RIGHT("000000"&amp;311,6),LdBKeyM,0),"")</f>
        <v/>
      </c>
      <c r="N327">
        <f>IFERROR(MATCH($C$5&amp;"|"&amp;RIGHT("000000"&amp;311,6),LdCKeyM,0),"")</f>
        <v/>
      </c>
    </row>
    <row r="328">
      <c r="A328" s="19" t="n">
        <v>312</v>
      </c>
      <c r="B328" s="20">
        <f>IF(AND($L328="",$M328="",$N328=""),"",IF($L328&lt;&gt;"",INDEX(LdADate,$L328),IF($M328&lt;&gt;"",INDEX(LdBDate,$M328),INDEX(LdCDate,$N328))))</f>
        <v/>
      </c>
      <c r="C328" s="20">
        <f>IF($L328&lt;&gt;"","دستمزد (فردی)",IF($M328&lt;&gt;"","سهم از گروه "&amp;IFERROR(VLOOKUP(INDEX(LdBGroup,$M328),WGTbl,2,0),INDEX(LdBGroup,$M328)),IF($N328&lt;&gt;"",IF(N(INDEX(LdCDep,$N328))&gt;0,"بازگشت بانکی","پرداخت بانکی"),"")))</f>
        <v/>
      </c>
      <c r="D328" s="20">
        <f>IF($L328&lt;&gt;"",IF(INDEX(LdAId,$L328)="","—",INDEX(LdAId,$L328)),IF($M328&lt;&gt;"",IF(INDEX(LdBId,$M328)="","—",INDEX(LdBId,$M328)),IF($N328&lt;&gt;"",IF(INDEX(LdCBank,$N328)="","—",INDEX(LdCBank,$N328)),"")))</f>
        <v/>
      </c>
      <c r="E328" s="21">
        <f>IF($L328&lt;&gt;"",IF(INDEX(LdAAmt,$L328)=0,"",INDEX(LdAAmt,$L328)),IF($M328&lt;&gt;"",IF(INDEX(LdBAmt,$M328)=0,"",INDEX(LdBAmt,$M328)),IF($N328&lt;&gt;"",IF(INDEX(LdCDep,$N328)=0,"",INDEX(LdCDep,$N328)),"")))</f>
        <v/>
      </c>
      <c r="F328" s="21">
        <f>IF(AND($L328="",$M328="",$N328=""),"",IF($N328="","",IF(INDEX(LdCWit,$N328)=0,"",INDEX(LdCWit,$N328))))</f>
        <v/>
      </c>
      <c r="G328" s="31">
        <f>IF($B328="","",IF($G327="",0,$G327)+IF($E328="",0,$E328)-IF($F328="",0,$F328))</f>
        <v/>
      </c>
      <c r="H328" s="32">
        <f>IF(AND($L328="",$M328="",$N328=""),"",IF($L328&lt;&gt;"",IF(INDEX(LdANote,$L328)="","—",INDEX(LdANote,$L328)),IF($M328&lt;&gt;"",IF(INDEX(LdBNote,$M328)="","—",INDEX(LdBNote,$M328)),IF($N328&lt;&gt;"",IF(INDEX(LdCNote,$N328)="","—",INDEX(LdCNote,$N328)),""))))</f>
        <v/>
      </c>
      <c r="L328">
        <f>IFERROR(MATCH($C$5&amp;"|"&amp;RIGHT("000000"&amp;312,6),LdAKeyM,0),"")</f>
        <v/>
      </c>
      <c r="M328">
        <f>IFERROR(MATCH($C$5&amp;"|"&amp;RIGHT("000000"&amp;312,6),LdBKeyM,0),"")</f>
        <v/>
      </c>
      <c r="N328">
        <f>IFERROR(MATCH($C$5&amp;"|"&amp;RIGHT("000000"&amp;312,6),LdCKeyM,0),"")</f>
        <v/>
      </c>
    </row>
    <row r="329">
      <c r="A329" s="10" t="n">
        <v>313</v>
      </c>
      <c r="B329" s="14">
        <f>IF(AND($L329="",$M329="",$N329=""),"",IF($L329&lt;&gt;"",INDEX(LdADate,$L329),IF($M329&lt;&gt;"",INDEX(LdBDate,$M329),INDEX(LdCDate,$N329))))</f>
        <v/>
      </c>
      <c r="C329" s="14">
        <f>IF($L329&lt;&gt;"","دستمزد (فردی)",IF($M329&lt;&gt;"","سهم از گروه "&amp;IFERROR(VLOOKUP(INDEX(LdBGroup,$M329),WGTbl,2,0),INDEX(LdBGroup,$M329)),IF($N329&lt;&gt;"",IF(N(INDEX(LdCDep,$N329))&gt;0,"بازگشت بانکی","پرداخت بانکی"),"")))</f>
        <v/>
      </c>
      <c r="D329" s="14">
        <f>IF($L329&lt;&gt;"",IF(INDEX(LdAId,$L329)="","—",INDEX(LdAId,$L329)),IF($M329&lt;&gt;"",IF(INDEX(LdBId,$M329)="","—",INDEX(LdBId,$M329)),IF($N329&lt;&gt;"",IF(INDEX(LdCBank,$N329)="","—",INDEX(LdCBank,$N329)),"")))</f>
        <v/>
      </c>
      <c r="E329" s="16">
        <f>IF($L329&lt;&gt;"",IF(INDEX(LdAAmt,$L329)=0,"",INDEX(LdAAmt,$L329)),IF($M329&lt;&gt;"",IF(INDEX(LdBAmt,$M329)=0,"",INDEX(LdBAmt,$M329)),IF($N329&lt;&gt;"",IF(INDEX(LdCDep,$N329)=0,"",INDEX(LdCDep,$N329)),"")))</f>
        <v/>
      </c>
      <c r="F329" s="16">
        <f>IF(AND($L329="",$M329="",$N329=""),"",IF($N329="","",IF(INDEX(LdCWit,$N329)=0,"",INDEX(LdCWit,$N329))))</f>
        <v/>
      </c>
      <c r="G329" s="29">
        <f>IF($B329="","",IF($G328="",0,$G328)+IF($E329="",0,$E329)-IF($F329="",0,$F329))</f>
        <v/>
      </c>
      <c r="H329" s="30">
        <f>IF(AND($L329="",$M329="",$N329=""),"",IF($L329&lt;&gt;"",IF(INDEX(LdANote,$L329)="","—",INDEX(LdANote,$L329)),IF($M329&lt;&gt;"",IF(INDEX(LdBNote,$M329)="","—",INDEX(LdBNote,$M329)),IF($N329&lt;&gt;"",IF(INDEX(LdCNote,$N329)="","—",INDEX(LdCNote,$N329)),""))))</f>
        <v/>
      </c>
      <c r="L329">
        <f>IFERROR(MATCH($C$5&amp;"|"&amp;RIGHT("000000"&amp;313,6),LdAKeyM,0),"")</f>
        <v/>
      </c>
      <c r="M329">
        <f>IFERROR(MATCH($C$5&amp;"|"&amp;RIGHT("000000"&amp;313,6),LdBKeyM,0),"")</f>
        <v/>
      </c>
      <c r="N329">
        <f>IFERROR(MATCH($C$5&amp;"|"&amp;RIGHT("000000"&amp;313,6),LdCKeyM,0),"")</f>
        <v/>
      </c>
    </row>
    <row r="330">
      <c r="A330" s="19" t="n">
        <v>314</v>
      </c>
      <c r="B330" s="20">
        <f>IF(AND($L330="",$M330="",$N330=""),"",IF($L330&lt;&gt;"",INDEX(LdADate,$L330),IF($M330&lt;&gt;"",INDEX(LdBDate,$M330),INDEX(LdCDate,$N330))))</f>
        <v/>
      </c>
      <c r="C330" s="20">
        <f>IF($L330&lt;&gt;"","دستمزد (فردی)",IF($M330&lt;&gt;"","سهم از گروه "&amp;IFERROR(VLOOKUP(INDEX(LdBGroup,$M330),WGTbl,2,0),INDEX(LdBGroup,$M330)),IF($N330&lt;&gt;"",IF(N(INDEX(LdCDep,$N330))&gt;0,"بازگشت بانکی","پرداخت بانکی"),"")))</f>
        <v/>
      </c>
      <c r="D330" s="20">
        <f>IF($L330&lt;&gt;"",IF(INDEX(LdAId,$L330)="","—",INDEX(LdAId,$L330)),IF($M330&lt;&gt;"",IF(INDEX(LdBId,$M330)="","—",INDEX(LdBId,$M330)),IF($N330&lt;&gt;"",IF(INDEX(LdCBank,$N330)="","—",INDEX(LdCBank,$N330)),"")))</f>
        <v/>
      </c>
      <c r="E330" s="21">
        <f>IF($L330&lt;&gt;"",IF(INDEX(LdAAmt,$L330)=0,"",INDEX(LdAAmt,$L330)),IF($M330&lt;&gt;"",IF(INDEX(LdBAmt,$M330)=0,"",INDEX(LdBAmt,$M330)),IF($N330&lt;&gt;"",IF(INDEX(LdCDep,$N330)=0,"",INDEX(LdCDep,$N330)),"")))</f>
        <v/>
      </c>
      <c r="F330" s="21">
        <f>IF(AND($L330="",$M330="",$N330=""),"",IF($N330="","",IF(INDEX(LdCWit,$N330)=0,"",INDEX(LdCWit,$N330))))</f>
        <v/>
      </c>
      <c r="G330" s="31">
        <f>IF($B330="","",IF($G329="",0,$G329)+IF($E330="",0,$E330)-IF($F330="",0,$F330))</f>
        <v/>
      </c>
      <c r="H330" s="32">
        <f>IF(AND($L330="",$M330="",$N330=""),"",IF($L330&lt;&gt;"",IF(INDEX(LdANote,$L330)="","—",INDEX(LdANote,$L330)),IF($M330&lt;&gt;"",IF(INDEX(LdBNote,$M330)="","—",INDEX(LdBNote,$M330)),IF($N330&lt;&gt;"",IF(INDEX(LdCNote,$N330)="","—",INDEX(LdCNote,$N330)),""))))</f>
        <v/>
      </c>
      <c r="L330">
        <f>IFERROR(MATCH($C$5&amp;"|"&amp;RIGHT("000000"&amp;314,6),LdAKeyM,0),"")</f>
        <v/>
      </c>
      <c r="M330">
        <f>IFERROR(MATCH($C$5&amp;"|"&amp;RIGHT("000000"&amp;314,6),LdBKeyM,0),"")</f>
        <v/>
      </c>
      <c r="N330">
        <f>IFERROR(MATCH($C$5&amp;"|"&amp;RIGHT("000000"&amp;314,6),LdCKeyM,0),"")</f>
        <v/>
      </c>
    </row>
    <row r="331">
      <c r="A331" s="10" t="n">
        <v>315</v>
      </c>
      <c r="B331" s="14">
        <f>IF(AND($L331="",$M331="",$N331=""),"",IF($L331&lt;&gt;"",INDEX(LdADate,$L331),IF($M331&lt;&gt;"",INDEX(LdBDate,$M331),INDEX(LdCDate,$N331))))</f>
        <v/>
      </c>
      <c r="C331" s="14">
        <f>IF($L331&lt;&gt;"","دستمزد (فردی)",IF($M331&lt;&gt;"","سهم از گروه "&amp;IFERROR(VLOOKUP(INDEX(LdBGroup,$M331),WGTbl,2,0),INDEX(LdBGroup,$M331)),IF($N331&lt;&gt;"",IF(N(INDEX(LdCDep,$N331))&gt;0,"بازگشت بانکی","پرداخت بانکی"),"")))</f>
        <v/>
      </c>
      <c r="D331" s="14">
        <f>IF($L331&lt;&gt;"",IF(INDEX(LdAId,$L331)="","—",INDEX(LdAId,$L331)),IF($M331&lt;&gt;"",IF(INDEX(LdBId,$M331)="","—",INDEX(LdBId,$M331)),IF($N331&lt;&gt;"",IF(INDEX(LdCBank,$N331)="","—",INDEX(LdCBank,$N331)),"")))</f>
        <v/>
      </c>
      <c r="E331" s="16">
        <f>IF($L331&lt;&gt;"",IF(INDEX(LdAAmt,$L331)=0,"",INDEX(LdAAmt,$L331)),IF($M331&lt;&gt;"",IF(INDEX(LdBAmt,$M331)=0,"",INDEX(LdBAmt,$M331)),IF($N331&lt;&gt;"",IF(INDEX(LdCDep,$N331)=0,"",INDEX(LdCDep,$N331)),"")))</f>
        <v/>
      </c>
      <c r="F331" s="16">
        <f>IF(AND($L331="",$M331="",$N331=""),"",IF($N331="","",IF(INDEX(LdCWit,$N331)=0,"",INDEX(LdCWit,$N331))))</f>
        <v/>
      </c>
      <c r="G331" s="29">
        <f>IF($B331="","",IF($G330="",0,$G330)+IF($E331="",0,$E331)-IF($F331="",0,$F331))</f>
        <v/>
      </c>
      <c r="H331" s="30">
        <f>IF(AND($L331="",$M331="",$N331=""),"",IF($L331&lt;&gt;"",IF(INDEX(LdANote,$L331)="","—",INDEX(LdANote,$L331)),IF($M331&lt;&gt;"",IF(INDEX(LdBNote,$M331)="","—",INDEX(LdBNote,$M331)),IF($N331&lt;&gt;"",IF(INDEX(LdCNote,$N331)="","—",INDEX(LdCNote,$N331)),""))))</f>
        <v/>
      </c>
      <c r="L331">
        <f>IFERROR(MATCH($C$5&amp;"|"&amp;RIGHT("000000"&amp;315,6),LdAKeyM,0),"")</f>
        <v/>
      </c>
      <c r="M331">
        <f>IFERROR(MATCH($C$5&amp;"|"&amp;RIGHT("000000"&amp;315,6),LdBKeyM,0),"")</f>
        <v/>
      </c>
      <c r="N331">
        <f>IFERROR(MATCH($C$5&amp;"|"&amp;RIGHT("000000"&amp;315,6),LdCKeyM,0),"")</f>
        <v/>
      </c>
    </row>
    <row r="332">
      <c r="A332" s="19" t="n">
        <v>316</v>
      </c>
      <c r="B332" s="20">
        <f>IF(AND($L332="",$M332="",$N332=""),"",IF($L332&lt;&gt;"",INDEX(LdADate,$L332),IF($M332&lt;&gt;"",INDEX(LdBDate,$M332),INDEX(LdCDate,$N332))))</f>
        <v/>
      </c>
      <c r="C332" s="20">
        <f>IF($L332&lt;&gt;"","دستمزد (فردی)",IF($M332&lt;&gt;"","سهم از گروه "&amp;IFERROR(VLOOKUP(INDEX(LdBGroup,$M332),WGTbl,2,0),INDEX(LdBGroup,$M332)),IF($N332&lt;&gt;"",IF(N(INDEX(LdCDep,$N332))&gt;0,"بازگشت بانکی","پرداخت بانکی"),"")))</f>
        <v/>
      </c>
      <c r="D332" s="20">
        <f>IF($L332&lt;&gt;"",IF(INDEX(LdAId,$L332)="","—",INDEX(LdAId,$L332)),IF($M332&lt;&gt;"",IF(INDEX(LdBId,$M332)="","—",INDEX(LdBId,$M332)),IF($N332&lt;&gt;"",IF(INDEX(LdCBank,$N332)="","—",INDEX(LdCBank,$N332)),"")))</f>
        <v/>
      </c>
      <c r="E332" s="21">
        <f>IF($L332&lt;&gt;"",IF(INDEX(LdAAmt,$L332)=0,"",INDEX(LdAAmt,$L332)),IF($M332&lt;&gt;"",IF(INDEX(LdBAmt,$M332)=0,"",INDEX(LdBAmt,$M332)),IF($N332&lt;&gt;"",IF(INDEX(LdCDep,$N332)=0,"",INDEX(LdCDep,$N332)),"")))</f>
        <v/>
      </c>
      <c r="F332" s="21">
        <f>IF(AND($L332="",$M332="",$N332=""),"",IF($N332="","",IF(INDEX(LdCWit,$N332)=0,"",INDEX(LdCWit,$N332))))</f>
        <v/>
      </c>
      <c r="G332" s="31">
        <f>IF($B332="","",IF($G331="",0,$G331)+IF($E332="",0,$E332)-IF($F332="",0,$F332))</f>
        <v/>
      </c>
      <c r="H332" s="32">
        <f>IF(AND($L332="",$M332="",$N332=""),"",IF($L332&lt;&gt;"",IF(INDEX(LdANote,$L332)="","—",INDEX(LdANote,$L332)),IF($M332&lt;&gt;"",IF(INDEX(LdBNote,$M332)="","—",INDEX(LdBNote,$M332)),IF($N332&lt;&gt;"",IF(INDEX(LdCNote,$N332)="","—",INDEX(LdCNote,$N332)),""))))</f>
        <v/>
      </c>
      <c r="L332">
        <f>IFERROR(MATCH($C$5&amp;"|"&amp;RIGHT("000000"&amp;316,6),LdAKeyM,0),"")</f>
        <v/>
      </c>
      <c r="M332">
        <f>IFERROR(MATCH($C$5&amp;"|"&amp;RIGHT("000000"&amp;316,6),LdBKeyM,0),"")</f>
        <v/>
      </c>
      <c r="N332">
        <f>IFERROR(MATCH($C$5&amp;"|"&amp;RIGHT("000000"&amp;316,6),LdCKeyM,0),"")</f>
        <v/>
      </c>
    </row>
    <row r="333">
      <c r="A333" s="10" t="n">
        <v>317</v>
      </c>
      <c r="B333" s="14">
        <f>IF(AND($L333="",$M333="",$N333=""),"",IF($L333&lt;&gt;"",INDEX(LdADate,$L333),IF($M333&lt;&gt;"",INDEX(LdBDate,$M333),INDEX(LdCDate,$N333))))</f>
        <v/>
      </c>
      <c r="C333" s="14">
        <f>IF($L333&lt;&gt;"","دستمزد (فردی)",IF($M333&lt;&gt;"","سهم از گروه "&amp;IFERROR(VLOOKUP(INDEX(LdBGroup,$M333),WGTbl,2,0),INDEX(LdBGroup,$M333)),IF($N333&lt;&gt;"",IF(N(INDEX(LdCDep,$N333))&gt;0,"بازگشت بانکی","پرداخت بانکی"),"")))</f>
        <v/>
      </c>
      <c r="D333" s="14">
        <f>IF($L333&lt;&gt;"",IF(INDEX(LdAId,$L333)="","—",INDEX(LdAId,$L333)),IF($M333&lt;&gt;"",IF(INDEX(LdBId,$M333)="","—",INDEX(LdBId,$M333)),IF($N333&lt;&gt;"",IF(INDEX(LdCBank,$N333)="","—",INDEX(LdCBank,$N333)),"")))</f>
        <v/>
      </c>
      <c r="E333" s="16">
        <f>IF($L333&lt;&gt;"",IF(INDEX(LdAAmt,$L333)=0,"",INDEX(LdAAmt,$L333)),IF($M333&lt;&gt;"",IF(INDEX(LdBAmt,$M333)=0,"",INDEX(LdBAmt,$M333)),IF($N333&lt;&gt;"",IF(INDEX(LdCDep,$N333)=0,"",INDEX(LdCDep,$N333)),"")))</f>
        <v/>
      </c>
      <c r="F333" s="16">
        <f>IF(AND($L333="",$M333="",$N333=""),"",IF($N333="","",IF(INDEX(LdCWit,$N333)=0,"",INDEX(LdCWit,$N333))))</f>
        <v/>
      </c>
      <c r="G333" s="29">
        <f>IF($B333="","",IF($G332="",0,$G332)+IF($E333="",0,$E333)-IF($F333="",0,$F333))</f>
        <v/>
      </c>
      <c r="H333" s="30">
        <f>IF(AND($L333="",$M333="",$N333=""),"",IF($L333&lt;&gt;"",IF(INDEX(LdANote,$L333)="","—",INDEX(LdANote,$L333)),IF($M333&lt;&gt;"",IF(INDEX(LdBNote,$M333)="","—",INDEX(LdBNote,$M333)),IF($N333&lt;&gt;"",IF(INDEX(LdCNote,$N333)="","—",INDEX(LdCNote,$N333)),""))))</f>
        <v/>
      </c>
      <c r="L333">
        <f>IFERROR(MATCH($C$5&amp;"|"&amp;RIGHT("000000"&amp;317,6),LdAKeyM,0),"")</f>
        <v/>
      </c>
      <c r="M333">
        <f>IFERROR(MATCH($C$5&amp;"|"&amp;RIGHT("000000"&amp;317,6),LdBKeyM,0),"")</f>
        <v/>
      </c>
      <c r="N333">
        <f>IFERROR(MATCH($C$5&amp;"|"&amp;RIGHT("000000"&amp;317,6),LdCKeyM,0),"")</f>
        <v/>
      </c>
    </row>
    <row r="334">
      <c r="A334" s="19" t="n">
        <v>318</v>
      </c>
      <c r="B334" s="20">
        <f>IF(AND($L334="",$M334="",$N334=""),"",IF($L334&lt;&gt;"",INDEX(LdADate,$L334),IF($M334&lt;&gt;"",INDEX(LdBDate,$M334),INDEX(LdCDate,$N334))))</f>
        <v/>
      </c>
      <c r="C334" s="20">
        <f>IF($L334&lt;&gt;"","دستمزد (فردی)",IF($M334&lt;&gt;"","سهم از گروه "&amp;IFERROR(VLOOKUP(INDEX(LdBGroup,$M334),WGTbl,2,0),INDEX(LdBGroup,$M334)),IF($N334&lt;&gt;"",IF(N(INDEX(LdCDep,$N334))&gt;0,"بازگشت بانکی","پرداخت بانکی"),"")))</f>
        <v/>
      </c>
      <c r="D334" s="20">
        <f>IF($L334&lt;&gt;"",IF(INDEX(LdAId,$L334)="","—",INDEX(LdAId,$L334)),IF($M334&lt;&gt;"",IF(INDEX(LdBId,$M334)="","—",INDEX(LdBId,$M334)),IF($N334&lt;&gt;"",IF(INDEX(LdCBank,$N334)="","—",INDEX(LdCBank,$N334)),"")))</f>
        <v/>
      </c>
      <c r="E334" s="21">
        <f>IF($L334&lt;&gt;"",IF(INDEX(LdAAmt,$L334)=0,"",INDEX(LdAAmt,$L334)),IF($M334&lt;&gt;"",IF(INDEX(LdBAmt,$M334)=0,"",INDEX(LdBAmt,$M334)),IF($N334&lt;&gt;"",IF(INDEX(LdCDep,$N334)=0,"",INDEX(LdCDep,$N334)),"")))</f>
        <v/>
      </c>
      <c r="F334" s="21">
        <f>IF(AND($L334="",$M334="",$N334=""),"",IF($N334="","",IF(INDEX(LdCWit,$N334)=0,"",INDEX(LdCWit,$N334))))</f>
        <v/>
      </c>
      <c r="G334" s="31">
        <f>IF($B334="","",IF($G333="",0,$G333)+IF($E334="",0,$E334)-IF($F334="",0,$F334))</f>
        <v/>
      </c>
      <c r="H334" s="32">
        <f>IF(AND($L334="",$M334="",$N334=""),"",IF($L334&lt;&gt;"",IF(INDEX(LdANote,$L334)="","—",INDEX(LdANote,$L334)),IF($M334&lt;&gt;"",IF(INDEX(LdBNote,$M334)="","—",INDEX(LdBNote,$M334)),IF($N334&lt;&gt;"",IF(INDEX(LdCNote,$N334)="","—",INDEX(LdCNote,$N334)),""))))</f>
        <v/>
      </c>
      <c r="L334">
        <f>IFERROR(MATCH($C$5&amp;"|"&amp;RIGHT("000000"&amp;318,6),LdAKeyM,0),"")</f>
        <v/>
      </c>
      <c r="M334">
        <f>IFERROR(MATCH($C$5&amp;"|"&amp;RIGHT("000000"&amp;318,6),LdBKeyM,0),"")</f>
        <v/>
      </c>
      <c r="N334">
        <f>IFERROR(MATCH($C$5&amp;"|"&amp;RIGHT("000000"&amp;318,6),LdCKeyM,0),"")</f>
        <v/>
      </c>
    </row>
    <row r="335">
      <c r="A335" s="10" t="n">
        <v>319</v>
      </c>
      <c r="B335" s="14">
        <f>IF(AND($L335="",$M335="",$N335=""),"",IF($L335&lt;&gt;"",INDEX(LdADate,$L335),IF($M335&lt;&gt;"",INDEX(LdBDate,$M335),INDEX(LdCDate,$N335))))</f>
        <v/>
      </c>
      <c r="C335" s="14">
        <f>IF($L335&lt;&gt;"","دستمزد (فردی)",IF($M335&lt;&gt;"","سهم از گروه "&amp;IFERROR(VLOOKUP(INDEX(LdBGroup,$M335),WGTbl,2,0),INDEX(LdBGroup,$M335)),IF($N335&lt;&gt;"",IF(N(INDEX(LdCDep,$N335))&gt;0,"بازگشت بانکی","پرداخت بانکی"),"")))</f>
        <v/>
      </c>
      <c r="D335" s="14">
        <f>IF($L335&lt;&gt;"",IF(INDEX(LdAId,$L335)="","—",INDEX(LdAId,$L335)),IF($M335&lt;&gt;"",IF(INDEX(LdBId,$M335)="","—",INDEX(LdBId,$M335)),IF($N335&lt;&gt;"",IF(INDEX(LdCBank,$N335)="","—",INDEX(LdCBank,$N335)),"")))</f>
        <v/>
      </c>
      <c r="E335" s="16">
        <f>IF($L335&lt;&gt;"",IF(INDEX(LdAAmt,$L335)=0,"",INDEX(LdAAmt,$L335)),IF($M335&lt;&gt;"",IF(INDEX(LdBAmt,$M335)=0,"",INDEX(LdBAmt,$M335)),IF($N335&lt;&gt;"",IF(INDEX(LdCDep,$N335)=0,"",INDEX(LdCDep,$N335)),"")))</f>
        <v/>
      </c>
      <c r="F335" s="16">
        <f>IF(AND($L335="",$M335="",$N335=""),"",IF($N335="","",IF(INDEX(LdCWit,$N335)=0,"",INDEX(LdCWit,$N335))))</f>
        <v/>
      </c>
      <c r="G335" s="29">
        <f>IF($B335="","",IF($G334="",0,$G334)+IF($E335="",0,$E335)-IF($F335="",0,$F335))</f>
        <v/>
      </c>
      <c r="H335" s="30">
        <f>IF(AND($L335="",$M335="",$N335=""),"",IF($L335&lt;&gt;"",IF(INDEX(LdANote,$L335)="","—",INDEX(LdANote,$L335)),IF($M335&lt;&gt;"",IF(INDEX(LdBNote,$M335)="","—",INDEX(LdBNote,$M335)),IF($N335&lt;&gt;"",IF(INDEX(LdCNote,$N335)="","—",INDEX(LdCNote,$N335)),""))))</f>
        <v/>
      </c>
      <c r="L335">
        <f>IFERROR(MATCH($C$5&amp;"|"&amp;RIGHT("000000"&amp;319,6),LdAKeyM,0),"")</f>
        <v/>
      </c>
      <c r="M335">
        <f>IFERROR(MATCH($C$5&amp;"|"&amp;RIGHT("000000"&amp;319,6),LdBKeyM,0),"")</f>
        <v/>
      </c>
      <c r="N335">
        <f>IFERROR(MATCH($C$5&amp;"|"&amp;RIGHT("000000"&amp;319,6),LdCKeyM,0),"")</f>
        <v/>
      </c>
    </row>
    <row r="336">
      <c r="A336" s="19" t="n">
        <v>320</v>
      </c>
      <c r="B336" s="20">
        <f>IF(AND($L336="",$M336="",$N336=""),"",IF($L336&lt;&gt;"",INDEX(LdADate,$L336),IF($M336&lt;&gt;"",INDEX(LdBDate,$M336),INDEX(LdCDate,$N336))))</f>
        <v/>
      </c>
      <c r="C336" s="20">
        <f>IF($L336&lt;&gt;"","دستمزد (فردی)",IF($M336&lt;&gt;"","سهم از گروه "&amp;IFERROR(VLOOKUP(INDEX(LdBGroup,$M336),WGTbl,2,0),INDEX(LdBGroup,$M336)),IF($N336&lt;&gt;"",IF(N(INDEX(LdCDep,$N336))&gt;0,"بازگشت بانکی","پرداخت بانکی"),"")))</f>
        <v/>
      </c>
      <c r="D336" s="20">
        <f>IF($L336&lt;&gt;"",IF(INDEX(LdAId,$L336)="","—",INDEX(LdAId,$L336)),IF($M336&lt;&gt;"",IF(INDEX(LdBId,$M336)="","—",INDEX(LdBId,$M336)),IF($N336&lt;&gt;"",IF(INDEX(LdCBank,$N336)="","—",INDEX(LdCBank,$N336)),"")))</f>
        <v/>
      </c>
      <c r="E336" s="21">
        <f>IF($L336&lt;&gt;"",IF(INDEX(LdAAmt,$L336)=0,"",INDEX(LdAAmt,$L336)),IF($M336&lt;&gt;"",IF(INDEX(LdBAmt,$M336)=0,"",INDEX(LdBAmt,$M336)),IF($N336&lt;&gt;"",IF(INDEX(LdCDep,$N336)=0,"",INDEX(LdCDep,$N336)),"")))</f>
        <v/>
      </c>
      <c r="F336" s="21">
        <f>IF(AND($L336="",$M336="",$N336=""),"",IF($N336="","",IF(INDEX(LdCWit,$N336)=0,"",INDEX(LdCWit,$N336))))</f>
        <v/>
      </c>
      <c r="G336" s="31">
        <f>IF($B336="","",IF($G335="",0,$G335)+IF($E336="",0,$E336)-IF($F336="",0,$F336))</f>
        <v/>
      </c>
      <c r="H336" s="32">
        <f>IF(AND($L336="",$M336="",$N336=""),"",IF($L336&lt;&gt;"",IF(INDEX(LdANote,$L336)="","—",INDEX(LdANote,$L336)),IF($M336&lt;&gt;"",IF(INDEX(LdBNote,$M336)="","—",INDEX(LdBNote,$M336)),IF($N336&lt;&gt;"",IF(INDEX(LdCNote,$N336)="","—",INDEX(LdCNote,$N336)),""))))</f>
        <v/>
      </c>
      <c r="L336">
        <f>IFERROR(MATCH($C$5&amp;"|"&amp;RIGHT("000000"&amp;320,6),LdAKeyM,0),"")</f>
        <v/>
      </c>
      <c r="M336">
        <f>IFERROR(MATCH($C$5&amp;"|"&amp;RIGHT("000000"&amp;320,6),LdBKeyM,0),"")</f>
        <v/>
      </c>
      <c r="N336">
        <f>IFERROR(MATCH($C$5&amp;"|"&amp;RIGHT("000000"&amp;320,6),LdCKeyM,0),"")</f>
        <v/>
      </c>
    </row>
    <row r="337">
      <c r="A337" s="10" t="n">
        <v>321</v>
      </c>
      <c r="B337" s="14">
        <f>IF(AND($L337="",$M337="",$N337=""),"",IF($L337&lt;&gt;"",INDEX(LdADate,$L337),IF($M337&lt;&gt;"",INDEX(LdBDate,$M337),INDEX(LdCDate,$N337))))</f>
        <v/>
      </c>
      <c r="C337" s="14">
        <f>IF($L337&lt;&gt;"","دستمزد (فردی)",IF($M337&lt;&gt;"","سهم از گروه "&amp;IFERROR(VLOOKUP(INDEX(LdBGroup,$M337),WGTbl,2,0),INDEX(LdBGroup,$M337)),IF($N337&lt;&gt;"",IF(N(INDEX(LdCDep,$N337))&gt;0,"بازگشت بانکی","پرداخت بانکی"),"")))</f>
        <v/>
      </c>
      <c r="D337" s="14">
        <f>IF($L337&lt;&gt;"",IF(INDEX(LdAId,$L337)="","—",INDEX(LdAId,$L337)),IF($M337&lt;&gt;"",IF(INDEX(LdBId,$M337)="","—",INDEX(LdBId,$M337)),IF($N337&lt;&gt;"",IF(INDEX(LdCBank,$N337)="","—",INDEX(LdCBank,$N337)),"")))</f>
        <v/>
      </c>
      <c r="E337" s="16">
        <f>IF($L337&lt;&gt;"",IF(INDEX(LdAAmt,$L337)=0,"",INDEX(LdAAmt,$L337)),IF($M337&lt;&gt;"",IF(INDEX(LdBAmt,$M337)=0,"",INDEX(LdBAmt,$M337)),IF($N337&lt;&gt;"",IF(INDEX(LdCDep,$N337)=0,"",INDEX(LdCDep,$N337)),"")))</f>
        <v/>
      </c>
      <c r="F337" s="16">
        <f>IF(AND($L337="",$M337="",$N337=""),"",IF($N337="","",IF(INDEX(LdCWit,$N337)=0,"",INDEX(LdCWit,$N337))))</f>
        <v/>
      </c>
      <c r="G337" s="29">
        <f>IF($B337="","",IF($G336="",0,$G336)+IF($E337="",0,$E337)-IF($F337="",0,$F337))</f>
        <v/>
      </c>
      <c r="H337" s="30">
        <f>IF(AND($L337="",$M337="",$N337=""),"",IF($L337&lt;&gt;"",IF(INDEX(LdANote,$L337)="","—",INDEX(LdANote,$L337)),IF($M337&lt;&gt;"",IF(INDEX(LdBNote,$M337)="","—",INDEX(LdBNote,$M337)),IF($N337&lt;&gt;"",IF(INDEX(LdCNote,$N337)="","—",INDEX(LdCNote,$N337)),""))))</f>
        <v/>
      </c>
      <c r="L337">
        <f>IFERROR(MATCH($C$5&amp;"|"&amp;RIGHT("000000"&amp;321,6),LdAKeyM,0),"")</f>
        <v/>
      </c>
      <c r="M337">
        <f>IFERROR(MATCH($C$5&amp;"|"&amp;RIGHT("000000"&amp;321,6),LdBKeyM,0),"")</f>
        <v/>
      </c>
      <c r="N337">
        <f>IFERROR(MATCH($C$5&amp;"|"&amp;RIGHT("000000"&amp;321,6),LdCKeyM,0),"")</f>
        <v/>
      </c>
    </row>
    <row r="338">
      <c r="A338" s="19" t="n">
        <v>322</v>
      </c>
      <c r="B338" s="20">
        <f>IF(AND($L338="",$M338="",$N338=""),"",IF($L338&lt;&gt;"",INDEX(LdADate,$L338),IF($M338&lt;&gt;"",INDEX(LdBDate,$M338),INDEX(LdCDate,$N338))))</f>
        <v/>
      </c>
      <c r="C338" s="20">
        <f>IF($L338&lt;&gt;"","دستمزد (فردی)",IF($M338&lt;&gt;"","سهم از گروه "&amp;IFERROR(VLOOKUP(INDEX(LdBGroup,$M338),WGTbl,2,0),INDEX(LdBGroup,$M338)),IF($N338&lt;&gt;"",IF(N(INDEX(LdCDep,$N338))&gt;0,"بازگشت بانکی","پرداخت بانکی"),"")))</f>
        <v/>
      </c>
      <c r="D338" s="20">
        <f>IF($L338&lt;&gt;"",IF(INDEX(LdAId,$L338)="","—",INDEX(LdAId,$L338)),IF($M338&lt;&gt;"",IF(INDEX(LdBId,$M338)="","—",INDEX(LdBId,$M338)),IF($N338&lt;&gt;"",IF(INDEX(LdCBank,$N338)="","—",INDEX(LdCBank,$N338)),"")))</f>
        <v/>
      </c>
      <c r="E338" s="21">
        <f>IF($L338&lt;&gt;"",IF(INDEX(LdAAmt,$L338)=0,"",INDEX(LdAAmt,$L338)),IF($M338&lt;&gt;"",IF(INDEX(LdBAmt,$M338)=0,"",INDEX(LdBAmt,$M338)),IF($N338&lt;&gt;"",IF(INDEX(LdCDep,$N338)=0,"",INDEX(LdCDep,$N338)),"")))</f>
        <v/>
      </c>
      <c r="F338" s="21">
        <f>IF(AND($L338="",$M338="",$N338=""),"",IF($N338="","",IF(INDEX(LdCWit,$N338)=0,"",INDEX(LdCWit,$N338))))</f>
        <v/>
      </c>
      <c r="G338" s="31">
        <f>IF($B338="","",IF($G337="",0,$G337)+IF($E338="",0,$E338)-IF($F338="",0,$F338))</f>
        <v/>
      </c>
      <c r="H338" s="32">
        <f>IF(AND($L338="",$M338="",$N338=""),"",IF($L338&lt;&gt;"",IF(INDEX(LdANote,$L338)="","—",INDEX(LdANote,$L338)),IF($M338&lt;&gt;"",IF(INDEX(LdBNote,$M338)="","—",INDEX(LdBNote,$M338)),IF($N338&lt;&gt;"",IF(INDEX(LdCNote,$N338)="","—",INDEX(LdCNote,$N338)),""))))</f>
        <v/>
      </c>
      <c r="L338">
        <f>IFERROR(MATCH($C$5&amp;"|"&amp;RIGHT("000000"&amp;322,6),LdAKeyM,0),"")</f>
        <v/>
      </c>
      <c r="M338">
        <f>IFERROR(MATCH($C$5&amp;"|"&amp;RIGHT("000000"&amp;322,6),LdBKeyM,0),"")</f>
        <v/>
      </c>
      <c r="N338">
        <f>IFERROR(MATCH($C$5&amp;"|"&amp;RIGHT("000000"&amp;322,6),LdCKeyM,0),"")</f>
        <v/>
      </c>
    </row>
    <row r="339">
      <c r="A339" s="10" t="n">
        <v>323</v>
      </c>
      <c r="B339" s="14">
        <f>IF(AND($L339="",$M339="",$N339=""),"",IF($L339&lt;&gt;"",INDEX(LdADate,$L339),IF($M339&lt;&gt;"",INDEX(LdBDate,$M339),INDEX(LdCDate,$N339))))</f>
        <v/>
      </c>
      <c r="C339" s="14">
        <f>IF($L339&lt;&gt;"","دستمزد (فردی)",IF($M339&lt;&gt;"","سهم از گروه "&amp;IFERROR(VLOOKUP(INDEX(LdBGroup,$M339),WGTbl,2,0),INDEX(LdBGroup,$M339)),IF($N339&lt;&gt;"",IF(N(INDEX(LdCDep,$N339))&gt;0,"بازگشت بانکی","پرداخت بانکی"),"")))</f>
        <v/>
      </c>
      <c r="D339" s="14">
        <f>IF($L339&lt;&gt;"",IF(INDEX(LdAId,$L339)="","—",INDEX(LdAId,$L339)),IF($M339&lt;&gt;"",IF(INDEX(LdBId,$M339)="","—",INDEX(LdBId,$M339)),IF($N339&lt;&gt;"",IF(INDEX(LdCBank,$N339)="","—",INDEX(LdCBank,$N339)),"")))</f>
        <v/>
      </c>
      <c r="E339" s="16">
        <f>IF($L339&lt;&gt;"",IF(INDEX(LdAAmt,$L339)=0,"",INDEX(LdAAmt,$L339)),IF($M339&lt;&gt;"",IF(INDEX(LdBAmt,$M339)=0,"",INDEX(LdBAmt,$M339)),IF($N339&lt;&gt;"",IF(INDEX(LdCDep,$N339)=0,"",INDEX(LdCDep,$N339)),"")))</f>
        <v/>
      </c>
      <c r="F339" s="16">
        <f>IF(AND($L339="",$M339="",$N339=""),"",IF($N339="","",IF(INDEX(LdCWit,$N339)=0,"",INDEX(LdCWit,$N339))))</f>
        <v/>
      </c>
      <c r="G339" s="29">
        <f>IF($B339="","",IF($G338="",0,$G338)+IF($E339="",0,$E339)-IF($F339="",0,$F339))</f>
        <v/>
      </c>
      <c r="H339" s="30">
        <f>IF(AND($L339="",$M339="",$N339=""),"",IF($L339&lt;&gt;"",IF(INDEX(LdANote,$L339)="","—",INDEX(LdANote,$L339)),IF($M339&lt;&gt;"",IF(INDEX(LdBNote,$M339)="","—",INDEX(LdBNote,$M339)),IF($N339&lt;&gt;"",IF(INDEX(LdCNote,$N339)="","—",INDEX(LdCNote,$N339)),""))))</f>
        <v/>
      </c>
      <c r="L339">
        <f>IFERROR(MATCH($C$5&amp;"|"&amp;RIGHT("000000"&amp;323,6),LdAKeyM,0),"")</f>
        <v/>
      </c>
      <c r="M339">
        <f>IFERROR(MATCH($C$5&amp;"|"&amp;RIGHT("000000"&amp;323,6),LdBKeyM,0),"")</f>
        <v/>
      </c>
      <c r="N339">
        <f>IFERROR(MATCH($C$5&amp;"|"&amp;RIGHT("000000"&amp;323,6),LdCKeyM,0),"")</f>
        <v/>
      </c>
    </row>
    <row r="340">
      <c r="A340" s="19" t="n">
        <v>324</v>
      </c>
      <c r="B340" s="20">
        <f>IF(AND($L340="",$M340="",$N340=""),"",IF($L340&lt;&gt;"",INDEX(LdADate,$L340),IF($M340&lt;&gt;"",INDEX(LdBDate,$M340),INDEX(LdCDate,$N340))))</f>
        <v/>
      </c>
      <c r="C340" s="20">
        <f>IF($L340&lt;&gt;"","دستمزد (فردی)",IF($M340&lt;&gt;"","سهم از گروه "&amp;IFERROR(VLOOKUP(INDEX(LdBGroup,$M340),WGTbl,2,0),INDEX(LdBGroup,$M340)),IF($N340&lt;&gt;"",IF(N(INDEX(LdCDep,$N340))&gt;0,"بازگشت بانکی","پرداخت بانکی"),"")))</f>
        <v/>
      </c>
      <c r="D340" s="20">
        <f>IF($L340&lt;&gt;"",IF(INDEX(LdAId,$L340)="","—",INDEX(LdAId,$L340)),IF($M340&lt;&gt;"",IF(INDEX(LdBId,$M340)="","—",INDEX(LdBId,$M340)),IF($N340&lt;&gt;"",IF(INDEX(LdCBank,$N340)="","—",INDEX(LdCBank,$N340)),"")))</f>
        <v/>
      </c>
      <c r="E340" s="21">
        <f>IF($L340&lt;&gt;"",IF(INDEX(LdAAmt,$L340)=0,"",INDEX(LdAAmt,$L340)),IF($M340&lt;&gt;"",IF(INDEX(LdBAmt,$M340)=0,"",INDEX(LdBAmt,$M340)),IF($N340&lt;&gt;"",IF(INDEX(LdCDep,$N340)=0,"",INDEX(LdCDep,$N340)),"")))</f>
        <v/>
      </c>
      <c r="F340" s="21">
        <f>IF(AND($L340="",$M340="",$N340=""),"",IF($N340="","",IF(INDEX(LdCWit,$N340)=0,"",INDEX(LdCWit,$N340))))</f>
        <v/>
      </c>
      <c r="G340" s="31">
        <f>IF($B340="","",IF($G339="",0,$G339)+IF($E340="",0,$E340)-IF($F340="",0,$F340))</f>
        <v/>
      </c>
      <c r="H340" s="32">
        <f>IF(AND($L340="",$M340="",$N340=""),"",IF($L340&lt;&gt;"",IF(INDEX(LdANote,$L340)="","—",INDEX(LdANote,$L340)),IF($M340&lt;&gt;"",IF(INDEX(LdBNote,$M340)="","—",INDEX(LdBNote,$M340)),IF($N340&lt;&gt;"",IF(INDEX(LdCNote,$N340)="","—",INDEX(LdCNote,$N340)),""))))</f>
        <v/>
      </c>
      <c r="L340">
        <f>IFERROR(MATCH($C$5&amp;"|"&amp;RIGHT("000000"&amp;324,6),LdAKeyM,0),"")</f>
        <v/>
      </c>
      <c r="M340">
        <f>IFERROR(MATCH($C$5&amp;"|"&amp;RIGHT("000000"&amp;324,6),LdBKeyM,0),"")</f>
        <v/>
      </c>
      <c r="N340">
        <f>IFERROR(MATCH($C$5&amp;"|"&amp;RIGHT("000000"&amp;324,6),LdCKeyM,0),"")</f>
        <v/>
      </c>
    </row>
    <row r="341">
      <c r="A341" s="10" t="n">
        <v>325</v>
      </c>
      <c r="B341" s="14">
        <f>IF(AND($L341="",$M341="",$N341=""),"",IF($L341&lt;&gt;"",INDEX(LdADate,$L341),IF($M341&lt;&gt;"",INDEX(LdBDate,$M341),INDEX(LdCDate,$N341))))</f>
        <v/>
      </c>
      <c r="C341" s="14">
        <f>IF($L341&lt;&gt;"","دستمزد (فردی)",IF($M341&lt;&gt;"","سهم از گروه "&amp;IFERROR(VLOOKUP(INDEX(LdBGroup,$M341),WGTbl,2,0),INDEX(LdBGroup,$M341)),IF($N341&lt;&gt;"",IF(N(INDEX(LdCDep,$N341))&gt;0,"بازگشت بانکی","پرداخت بانکی"),"")))</f>
        <v/>
      </c>
      <c r="D341" s="14">
        <f>IF($L341&lt;&gt;"",IF(INDEX(LdAId,$L341)="","—",INDEX(LdAId,$L341)),IF($M341&lt;&gt;"",IF(INDEX(LdBId,$M341)="","—",INDEX(LdBId,$M341)),IF($N341&lt;&gt;"",IF(INDEX(LdCBank,$N341)="","—",INDEX(LdCBank,$N341)),"")))</f>
        <v/>
      </c>
      <c r="E341" s="16">
        <f>IF($L341&lt;&gt;"",IF(INDEX(LdAAmt,$L341)=0,"",INDEX(LdAAmt,$L341)),IF($M341&lt;&gt;"",IF(INDEX(LdBAmt,$M341)=0,"",INDEX(LdBAmt,$M341)),IF($N341&lt;&gt;"",IF(INDEX(LdCDep,$N341)=0,"",INDEX(LdCDep,$N341)),"")))</f>
        <v/>
      </c>
      <c r="F341" s="16">
        <f>IF(AND($L341="",$M341="",$N341=""),"",IF($N341="","",IF(INDEX(LdCWit,$N341)=0,"",INDEX(LdCWit,$N341))))</f>
        <v/>
      </c>
      <c r="G341" s="29">
        <f>IF($B341="","",IF($G340="",0,$G340)+IF($E341="",0,$E341)-IF($F341="",0,$F341))</f>
        <v/>
      </c>
      <c r="H341" s="30">
        <f>IF(AND($L341="",$M341="",$N341=""),"",IF($L341&lt;&gt;"",IF(INDEX(LdANote,$L341)="","—",INDEX(LdANote,$L341)),IF($M341&lt;&gt;"",IF(INDEX(LdBNote,$M341)="","—",INDEX(LdBNote,$M341)),IF($N341&lt;&gt;"",IF(INDEX(LdCNote,$N341)="","—",INDEX(LdCNote,$N341)),""))))</f>
        <v/>
      </c>
      <c r="L341">
        <f>IFERROR(MATCH($C$5&amp;"|"&amp;RIGHT("000000"&amp;325,6),LdAKeyM,0),"")</f>
        <v/>
      </c>
      <c r="M341">
        <f>IFERROR(MATCH($C$5&amp;"|"&amp;RIGHT("000000"&amp;325,6),LdBKeyM,0),"")</f>
        <v/>
      </c>
      <c r="N341">
        <f>IFERROR(MATCH($C$5&amp;"|"&amp;RIGHT("000000"&amp;325,6),LdCKeyM,0),"")</f>
        <v/>
      </c>
    </row>
    <row r="342">
      <c r="A342" s="19" t="n">
        <v>326</v>
      </c>
      <c r="B342" s="20">
        <f>IF(AND($L342="",$M342="",$N342=""),"",IF($L342&lt;&gt;"",INDEX(LdADate,$L342),IF($M342&lt;&gt;"",INDEX(LdBDate,$M342),INDEX(LdCDate,$N342))))</f>
        <v/>
      </c>
      <c r="C342" s="20">
        <f>IF($L342&lt;&gt;"","دستمزد (فردی)",IF($M342&lt;&gt;"","سهم از گروه "&amp;IFERROR(VLOOKUP(INDEX(LdBGroup,$M342),WGTbl,2,0),INDEX(LdBGroup,$M342)),IF($N342&lt;&gt;"",IF(N(INDEX(LdCDep,$N342))&gt;0,"بازگشت بانکی","پرداخت بانکی"),"")))</f>
        <v/>
      </c>
      <c r="D342" s="20">
        <f>IF($L342&lt;&gt;"",IF(INDEX(LdAId,$L342)="","—",INDEX(LdAId,$L342)),IF($M342&lt;&gt;"",IF(INDEX(LdBId,$M342)="","—",INDEX(LdBId,$M342)),IF($N342&lt;&gt;"",IF(INDEX(LdCBank,$N342)="","—",INDEX(LdCBank,$N342)),"")))</f>
        <v/>
      </c>
      <c r="E342" s="21">
        <f>IF($L342&lt;&gt;"",IF(INDEX(LdAAmt,$L342)=0,"",INDEX(LdAAmt,$L342)),IF($M342&lt;&gt;"",IF(INDEX(LdBAmt,$M342)=0,"",INDEX(LdBAmt,$M342)),IF($N342&lt;&gt;"",IF(INDEX(LdCDep,$N342)=0,"",INDEX(LdCDep,$N342)),"")))</f>
        <v/>
      </c>
      <c r="F342" s="21">
        <f>IF(AND($L342="",$M342="",$N342=""),"",IF($N342="","",IF(INDEX(LdCWit,$N342)=0,"",INDEX(LdCWit,$N342))))</f>
        <v/>
      </c>
      <c r="G342" s="31">
        <f>IF($B342="","",IF($G341="",0,$G341)+IF($E342="",0,$E342)-IF($F342="",0,$F342))</f>
        <v/>
      </c>
      <c r="H342" s="32">
        <f>IF(AND($L342="",$M342="",$N342=""),"",IF($L342&lt;&gt;"",IF(INDEX(LdANote,$L342)="","—",INDEX(LdANote,$L342)),IF($M342&lt;&gt;"",IF(INDEX(LdBNote,$M342)="","—",INDEX(LdBNote,$M342)),IF($N342&lt;&gt;"",IF(INDEX(LdCNote,$N342)="","—",INDEX(LdCNote,$N342)),""))))</f>
        <v/>
      </c>
      <c r="L342">
        <f>IFERROR(MATCH($C$5&amp;"|"&amp;RIGHT("000000"&amp;326,6),LdAKeyM,0),"")</f>
        <v/>
      </c>
      <c r="M342">
        <f>IFERROR(MATCH($C$5&amp;"|"&amp;RIGHT("000000"&amp;326,6),LdBKeyM,0),"")</f>
        <v/>
      </c>
      <c r="N342">
        <f>IFERROR(MATCH($C$5&amp;"|"&amp;RIGHT("000000"&amp;326,6),LdCKeyM,0),"")</f>
        <v/>
      </c>
    </row>
    <row r="343">
      <c r="A343" s="10" t="n">
        <v>327</v>
      </c>
      <c r="B343" s="14">
        <f>IF(AND($L343="",$M343="",$N343=""),"",IF($L343&lt;&gt;"",INDEX(LdADate,$L343),IF($M343&lt;&gt;"",INDEX(LdBDate,$M343),INDEX(LdCDate,$N343))))</f>
        <v/>
      </c>
      <c r="C343" s="14">
        <f>IF($L343&lt;&gt;"","دستمزد (فردی)",IF($M343&lt;&gt;"","سهم از گروه "&amp;IFERROR(VLOOKUP(INDEX(LdBGroup,$M343),WGTbl,2,0),INDEX(LdBGroup,$M343)),IF($N343&lt;&gt;"",IF(N(INDEX(LdCDep,$N343))&gt;0,"بازگشت بانکی","پرداخت بانکی"),"")))</f>
        <v/>
      </c>
      <c r="D343" s="14">
        <f>IF($L343&lt;&gt;"",IF(INDEX(LdAId,$L343)="","—",INDEX(LdAId,$L343)),IF($M343&lt;&gt;"",IF(INDEX(LdBId,$M343)="","—",INDEX(LdBId,$M343)),IF($N343&lt;&gt;"",IF(INDEX(LdCBank,$N343)="","—",INDEX(LdCBank,$N343)),"")))</f>
        <v/>
      </c>
      <c r="E343" s="16">
        <f>IF($L343&lt;&gt;"",IF(INDEX(LdAAmt,$L343)=0,"",INDEX(LdAAmt,$L343)),IF($M343&lt;&gt;"",IF(INDEX(LdBAmt,$M343)=0,"",INDEX(LdBAmt,$M343)),IF($N343&lt;&gt;"",IF(INDEX(LdCDep,$N343)=0,"",INDEX(LdCDep,$N343)),"")))</f>
        <v/>
      </c>
      <c r="F343" s="16">
        <f>IF(AND($L343="",$M343="",$N343=""),"",IF($N343="","",IF(INDEX(LdCWit,$N343)=0,"",INDEX(LdCWit,$N343))))</f>
        <v/>
      </c>
      <c r="G343" s="29">
        <f>IF($B343="","",IF($G342="",0,$G342)+IF($E343="",0,$E343)-IF($F343="",0,$F343))</f>
        <v/>
      </c>
      <c r="H343" s="30">
        <f>IF(AND($L343="",$M343="",$N343=""),"",IF($L343&lt;&gt;"",IF(INDEX(LdANote,$L343)="","—",INDEX(LdANote,$L343)),IF($M343&lt;&gt;"",IF(INDEX(LdBNote,$M343)="","—",INDEX(LdBNote,$M343)),IF($N343&lt;&gt;"",IF(INDEX(LdCNote,$N343)="","—",INDEX(LdCNote,$N343)),""))))</f>
        <v/>
      </c>
      <c r="L343">
        <f>IFERROR(MATCH($C$5&amp;"|"&amp;RIGHT("000000"&amp;327,6),LdAKeyM,0),"")</f>
        <v/>
      </c>
      <c r="M343">
        <f>IFERROR(MATCH($C$5&amp;"|"&amp;RIGHT("000000"&amp;327,6),LdBKeyM,0),"")</f>
        <v/>
      </c>
      <c r="N343">
        <f>IFERROR(MATCH($C$5&amp;"|"&amp;RIGHT("000000"&amp;327,6),LdCKeyM,0),"")</f>
        <v/>
      </c>
    </row>
    <row r="344">
      <c r="A344" s="19" t="n">
        <v>328</v>
      </c>
      <c r="B344" s="20">
        <f>IF(AND($L344="",$M344="",$N344=""),"",IF($L344&lt;&gt;"",INDEX(LdADate,$L344),IF($M344&lt;&gt;"",INDEX(LdBDate,$M344),INDEX(LdCDate,$N344))))</f>
        <v/>
      </c>
      <c r="C344" s="20">
        <f>IF($L344&lt;&gt;"","دستمزد (فردی)",IF($M344&lt;&gt;"","سهم از گروه "&amp;IFERROR(VLOOKUP(INDEX(LdBGroup,$M344),WGTbl,2,0),INDEX(LdBGroup,$M344)),IF($N344&lt;&gt;"",IF(N(INDEX(LdCDep,$N344))&gt;0,"بازگشت بانکی","پرداخت بانکی"),"")))</f>
        <v/>
      </c>
      <c r="D344" s="20">
        <f>IF($L344&lt;&gt;"",IF(INDEX(LdAId,$L344)="","—",INDEX(LdAId,$L344)),IF($M344&lt;&gt;"",IF(INDEX(LdBId,$M344)="","—",INDEX(LdBId,$M344)),IF($N344&lt;&gt;"",IF(INDEX(LdCBank,$N344)="","—",INDEX(LdCBank,$N344)),"")))</f>
        <v/>
      </c>
      <c r="E344" s="21">
        <f>IF($L344&lt;&gt;"",IF(INDEX(LdAAmt,$L344)=0,"",INDEX(LdAAmt,$L344)),IF($M344&lt;&gt;"",IF(INDEX(LdBAmt,$M344)=0,"",INDEX(LdBAmt,$M344)),IF($N344&lt;&gt;"",IF(INDEX(LdCDep,$N344)=0,"",INDEX(LdCDep,$N344)),"")))</f>
        <v/>
      </c>
      <c r="F344" s="21">
        <f>IF(AND($L344="",$M344="",$N344=""),"",IF($N344="","",IF(INDEX(LdCWit,$N344)=0,"",INDEX(LdCWit,$N344))))</f>
        <v/>
      </c>
      <c r="G344" s="31">
        <f>IF($B344="","",IF($G343="",0,$G343)+IF($E344="",0,$E344)-IF($F344="",0,$F344))</f>
        <v/>
      </c>
      <c r="H344" s="32">
        <f>IF(AND($L344="",$M344="",$N344=""),"",IF($L344&lt;&gt;"",IF(INDEX(LdANote,$L344)="","—",INDEX(LdANote,$L344)),IF($M344&lt;&gt;"",IF(INDEX(LdBNote,$M344)="","—",INDEX(LdBNote,$M344)),IF($N344&lt;&gt;"",IF(INDEX(LdCNote,$N344)="","—",INDEX(LdCNote,$N344)),""))))</f>
        <v/>
      </c>
      <c r="L344">
        <f>IFERROR(MATCH($C$5&amp;"|"&amp;RIGHT("000000"&amp;328,6),LdAKeyM,0),"")</f>
        <v/>
      </c>
      <c r="M344">
        <f>IFERROR(MATCH($C$5&amp;"|"&amp;RIGHT("000000"&amp;328,6),LdBKeyM,0),"")</f>
        <v/>
      </c>
      <c r="N344">
        <f>IFERROR(MATCH($C$5&amp;"|"&amp;RIGHT("000000"&amp;328,6),LdCKeyM,0),"")</f>
        <v/>
      </c>
    </row>
    <row r="345">
      <c r="A345" s="10" t="n">
        <v>329</v>
      </c>
      <c r="B345" s="14">
        <f>IF(AND($L345="",$M345="",$N345=""),"",IF($L345&lt;&gt;"",INDEX(LdADate,$L345),IF($M345&lt;&gt;"",INDEX(LdBDate,$M345),INDEX(LdCDate,$N345))))</f>
        <v/>
      </c>
      <c r="C345" s="14">
        <f>IF($L345&lt;&gt;"","دستمزد (فردی)",IF($M345&lt;&gt;"","سهم از گروه "&amp;IFERROR(VLOOKUP(INDEX(LdBGroup,$M345),WGTbl,2,0),INDEX(LdBGroup,$M345)),IF($N345&lt;&gt;"",IF(N(INDEX(LdCDep,$N345))&gt;0,"بازگشت بانکی","پرداخت بانکی"),"")))</f>
        <v/>
      </c>
      <c r="D345" s="14">
        <f>IF($L345&lt;&gt;"",IF(INDEX(LdAId,$L345)="","—",INDEX(LdAId,$L345)),IF($M345&lt;&gt;"",IF(INDEX(LdBId,$M345)="","—",INDEX(LdBId,$M345)),IF($N345&lt;&gt;"",IF(INDEX(LdCBank,$N345)="","—",INDEX(LdCBank,$N345)),"")))</f>
        <v/>
      </c>
      <c r="E345" s="16">
        <f>IF($L345&lt;&gt;"",IF(INDEX(LdAAmt,$L345)=0,"",INDEX(LdAAmt,$L345)),IF($M345&lt;&gt;"",IF(INDEX(LdBAmt,$M345)=0,"",INDEX(LdBAmt,$M345)),IF($N345&lt;&gt;"",IF(INDEX(LdCDep,$N345)=0,"",INDEX(LdCDep,$N345)),"")))</f>
        <v/>
      </c>
      <c r="F345" s="16">
        <f>IF(AND($L345="",$M345="",$N345=""),"",IF($N345="","",IF(INDEX(LdCWit,$N345)=0,"",INDEX(LdCWit,$N345))))</f>
        <v/>
      </c>
      <c r="G345" s="29">
        <f>IF($B345="","",IF($G344="",0,$G344)+IF($E345="",0,$E345)-IF($F345="",0,$F345))</f>
        <v/>
      </c>
      <c r="H345" s="30">
        <f>IF(AND($L345="",$M345="",$N345=""),"",IF($L345&lt;&gt;"",IF(INDEX(LdANote,$L345)="","—",INDEX(LdANote,$L345)),IF($M345&lt;&gt;"",IF(INDEX(LdBNote,$M345)="","—",INDEX(LdBNote,$M345)),IF($N345&lt;&gt;"",IF(INDEX(LdCNote,$N345)="","—",INDEX(LdCNote,$N345)),""))))</f>
        <v/>
      </c>
      <c r="L345">
        <f>IFERROR(MATCH($C$5&amp;"|"&amp;RIGHT("000000"&amp;329,6),LdAKeyM,0),"")</f>
        <v/>
      </c>
      <c r="M345">
        <f>IFERROR(MATCH($C$5&amp;"|"&amp;RIGHT("000000"&amp;329,6),LdBKeyM,0),"")</f>
        <v/>
      </c>
      <c r="N345">
        <f>IFERROR(MATCH($C$5&amp;"|"&amp;RIGHT("000000"&amp;329,6),LdCKeyM,0),"")</f>
        <v/>
      </c>
    </row>
    <row r="346">
      <c r="A346" s="19" t="n">
        <v>330</v>
      </c>
      <c r="B346" s="20">
        <f>IF(AND($L346="",$M346="",$N346=""),"",IF($L346&lt;&gt;"",INDEX(LdADate,$L346),IF($M346&lt;&gt;"",INDEX(LdBDate,$M346),INDEX(LdCDate,$N346))))</f>
        <v/>
      </c>
      <c r="C346" s="20">
        <f>IF($L346&lt;&gt;"","دستمزد (فردی)",IF($M346&lt;&gt;"","سهم از گروه "&amp;IFERROR(VLOOKUP(INDEX(LdBGroup,$M346),WGTbl,2,0),INDEX(LdBGroup,$M346)),IF($N346&lt;&gt;"",IF(N(INDEX(LdCDep,$N346))&gt;0,"بازگشت بانکی","پرداخت بانکی"),"")))</f>
        <v/>
      </c>
      <c r="D346" s="20">
        <f>IF($L346&lt;&gt;"",IF(INDEX(LdAId,$L346)="","—",INDEX(LdAId,$L346)),IF($M346&lt;&gt;"",IF(INDEX(LdBId,$M346)="","—",INDEX(LdBId,$M346)),IF($N346&lt;&gt;"",IF(INDEX(LdCBank,$N346)="","—",INDEX(LdCBank,$N346)),"")))</f>
        <v/>
      </c>
      <c r="E346" s="21">
        <f>IF($L346&lt;&gt;"",IF(INDEX(LdAAmt,$L346)=0,"",INDEX(LdAAmt,$L346)),IF($M346&lt;&gt;"",IF(INDEX(LdBAmt,$M346)=0,"",INDEX(LdBAmt,$M346)),IF($N346&lt;&gt;"",IF(INDEX(LdCDep,$N346)=0,"",INDEX(LdCDep,$N346)),"")))</f>
        <v/>
      </c>
      <c r="F346" s="21">
        <f>IF(AND($L346="",$M346="",$N346=""),"",IF($N346="","",IF(INDEX(LdCWit,$N346)=0,"",INDEX(LdCWit,$N346))))</f>
        <v/>
      </c>
      <c r="G346" s="31">
        <f>IF($B346="","",IF($G345="",0,$G345)+IF($E346="",0,$E346)-IF($F346="",0,$F346))</f>
        <v/>
      </c>
      <c r="H346" s="32">
        <f>IF(AND($L346="",$M346="",$N346=""),"",IF($L346&lt;&gt;"",IF(INDEX(LdANote,$L346)="","—",INDEX(LdANote,$L346)),IF($M346&lt;&gt;"",IF(INDEX(LdBNote,$M346)="","—",INDEX(LdBNote,$M346)),IF($N346&lt;&gt;"",IF(INDEX(LdCNote,$N346)="","—",INDEX(LdCNote,$N346)),""))))</f>
        <v/>
      </c>
      <c r="L346">
        <f>IFERROR(MATCH($C$5&amp;"|"&amp;RIGHT("000000"&amp;330,6),LdAKeyM,0),"")</f>
        <v/>
      </c>
      <c r="M346">
        <f>IFERROR(MATCH($C$5&amp;"|"&amp;RIGHT("000000"&amp;330,6),LdBKeyM,0),"")</f>
        <v/>
      </c>
      <c r="N346">
        <f>IFERROR(MATCH($C$5&amp;"|"&amp;RIGHT("000000"&amp;330,6),LdCKeyM,0),"")</f>
        <v/>
      </c>
    </row>
    <row r="347">
      <c r="A347" s="10" t="n">
        <v>331</v>
      </c>
      <c r="B347" s="14">
        <f>IF(AND($L347="",$M347="",$N347=""),"",IF($L347&lt;&gt;"",INDEX(LdADate,$L347),IF($M347&lt;&gt;"",INDEX(LdBDate,$M347),INDEX(LdCDate,$N347))))</f>
        <v/>
      </c>
      <c r="C347" s="14">
        <f>IF($L347&lt;&gt;"","دستمزد (فردی)",IF($M347&lt;&gt;"","سهم از گروه "&amp;IFERROR(VLOOKUP(INDEX(LdBGroup,$M347),WGTbl,2,0),INDEX(LdBGroup,$M347)),IF($N347&lt;&gt;"",IF(N(INDEX(LdCDep,$N347))&gt;0,"بازگشت بانکی","پرداخت بانکی"),"")))</f>
        <v/>
      </c>
      <c r="D347" s="14">
        <f>IF($L347&lt;&gt;"",IF(INDEX(LdAId,$L347)="","—",INDEX(LdAId,$L347)),IF($M347&lt;&gt;"",IF(INDEX(LdBId,$M347)="","—",INDEX(LdBId,$M347)),IF($N347&lt;&gt;"",IF(INDEX(LdCBank,$N347)="","—",INDEX(LdCBank,$N347)),"")))</f>
        <v/>
      </c>
      <c r="E347" s="16">
        <f>IF($L347&lt;&gt;"",IF(INDEX(LdAAmt,$L347)=0,"",INDEX(LdAAmt,$L347)),IF($M347&lt;&gt;"",IF(INDEX(LdBAmt,$M347)=0,"",INDEX(LdBAmt,$M347)),IF($N347&lt;&gt;"",IF(INDEX(LdCDep,$N347)=0,"",INDEX(LdCDep,$N347)),"")))</f>
        <v/>
      </c>
      <c r="F347" s="16">
        <f>IF(AND($L347="",$M347="",$N347=""),"",IF($N347="","",IF(INDEX(LdCWit,$N347)=0,"",INDEX(LdCWit,$N347))))</f>
        <v/>
      </c>
      <c r="G347" s="29">
        <f>IF($B347="","",IF($G346="",0,$G346)+IF($E347="",0,$E347)-IF($F347="",0,$F347))</f>
        <v/>
      </c>
      <c r="H347" s="30">
        <f>IF(AND($L347="",$M347="",$N347=""),"",IF($L347&lt;&gt;"",IF(INDEX(LdANote,$L347)="","—",INDEX(LdANote,$L347)),IF($M347&lt;&gt;"",IF(INDEX(LdBNote,$M347)="","—",INDEX(LdBNote,$M347)),IF($N347&lt;&gt;"",IF(INDEX(LdCNote,$N347)="","—",INDEX(LdCNote,$N347)),""))))</f>
        <v/>
      </c>
      <c r="L347">
        <f>IFERROR(MATCH($C$5&amp;"|"&amp;RIGHT("000000"&amp;331,6),LdAKeyM,0),"")</f>
        <v/>
      </c>
      <c r="M347">
        <f>IFERROR(MATCH($C$5&amp;"|"&amp;RIGHT("000000"&amp;331,6),LdBKeyM,0),"")</f>
        <v/>
      </c>
      <c r="N347">
        <f>IFERROR(MATCH($C$5&amp;"|"&amp;RIGHT("000000"&amp;331,6),LdCKeyM,0),"")</f>
        <v/>
      </c>
    </row>
    <row r="348">
      <c r="A348" s="19" t="n">
        <v>332</v>
      </c>
      <c r="B348" s="20">
        <f>IF(AND($L348="",$M348="",$N348=""),"",IF($L348&lt;&gt;"",INDEX(LdADate,$L348),IF($M348&lt;&gt;"",INDEX(LdBDate,$M348),INDEX(LdCDate,$N348))))</f>
        <v/>
      </c>
      <c r="C348" s="20">
        <f>IF($L348&lt;&gt;"","دستمزد (فردی)",IF($M348&lt;&gt;"","سهم از گروه "&amp;IFERROR(VLOOKUP(INDEX(LdBGroup,$M348),WGTbl,2,0),INDEX(LdBGroup,$M348)),IF($N348&lt;&gt;"",IF(N(INDEX(LdCDep,$N348))&gt;0,"بازگشت بانکی","پرداخت بانکی"),"")))</f>
        <v/>
      </c>
      <c r="D348" s="20">
        <f>IF($L348&lt;&gt;"",IF(INDEX(LdAId,$L348)="","—",INDEX(LdAId,$L348)),IF($M348&lt;&gt;"",IF(INDEX(LdBId,$M348)="","—",INDEX(LdBId,$M348)),IF($N348&lt;&gt;"",IF(INDEX(LdCBank,$N348)="","—",INDEX(LdCBank,$N348)),"")))</f>
        <v/>
      </c>
      <c r="E348" s="21">
        <f>IF($L348&lt;&gt;"",IF(INDEX(LdAAmt,$L348)=0,"",INDEX(LdAAmt,$L348)),IF($M348&lt;&gt;"",IF(INDEX(LdBAmt,$M348)=0,"",INDEX(LdBAmt,$M348)),IF($N348&lt;&gt;"",IF(INDEX(LdCDep,$N348)=0,"",INDEX(LdCDep,$N348)),"")))</f>
        <v/>
      </c>
      <c r="F348" s="21">
        <f>IF(AND($L348="",$M348="",$N348=""),"",IF($N348="","",IF(INDEX(LdCWit,$N348)=0,"",INDEX(LdCWit,$N348))))</f>
        <v/>
      </c>
      <c r="G348" s="31">
        <f>IF($B348="","",IF($G347="",0,$G347)+IF($E348="",0,$E348)-IF($F348="",0,$F348))</f>
        <v/>
      </c>
      <c r="H348" s="32">
        <f>IF(AND($L348="",$M348="",$N348=""),"",IF($L348&lt;&gt;"",IF(INDEX(LdANote,$L348)="","—",INDEX(LdANote,$L348)),IF($M348&lt;&gt;"",IF(INDEX(LdBNote,$M348)="","—",INDEX(LdBNote,$M348)),IF($N348&lt;&gt;"",IF(INDEX(LdCNote,$N348)="","—",INDEX(LdCNote,$N348)),""))))</f>
        <v/>
      </c>
      <c r="L348">
        <f>IFERROR(MATCH($C$5&amp;"|"&amp;RIGHT("000000"&amp;332,6),LdAKeyM,0),"")</f>
        <v/>
      </c>
      <c r="M348">
        <f>IFERROR(MATCH($C$5&amp;"|"&amp;RIGHT("000000"&amp;332,6),LdBKeyM,0),"")</f>
        <v/>
      </c>
      <c r="N348">
        <f>IFERROR(MATCH($C$5&amp;"|"&amp;RIGHT("000000"&amp;332,6),LdCKeyM,0),"")</f>
        <v/>
      </c>
    </row>
    <row r="349">
      <c r="A349" s="10" t="n">
        <v>333</v>
      </c>
      <c r="B349" s="14">
        <f>IF(AND($L349="",$M349="",$N349=""),"",IF($L349&lt;&gt;"",INDEX(LdADate,$L349),IF($M349&lt;&gt;"",INDEX(LdBDate,$M349),INDEX(LdCDate,$N349))))</f>
        <v/>
      </c>
      <c r="C349" s="14">
        <f>IF($L349&lt;&gt;"","دستمزد (فردی)",IF($M349&lt;&gt;"","سهم از گروه "&amp;IFERROR(VLOOKUP(INDEX(LdBGroup,$M349),WGTbl,2,0),INDEX(LdBGroup,$M349)),IF($N349&lt;&gt;"",IF(N(INDEX(LdCDep,$N349))&gt;0,"بازگشت بانکی","پرداخت بانکی"),"")))</f>
        <v/>
      </c>
      <c r="D349" s="14">
        <f>IF($L349&lt;&gt;"",IF(INDEX(LdAId,$L349)="","—",INDEX(LdAId,$L349)),IF($M349&lt;&gt;"",IF(INDEX(LdBId,$M349)="","—",INDEX(LdBId,$M349)),IF($N349&lt;&gt;"",IF(INDEX(LdCBank,$N349)="","—",INDEX(LdCBank,$N349)),"")))</f>
        <v/>
      </c>
      <c r="E349" s="16">
        <f>IF($L349&lt;&gt;"",IF(INDEX(LdAAmt,$L349)=0,"",INDEX(LdAAmt,$L349)),IF($M349&lt;&gt;"",IF(INDEX(LdBAmt,$M349)=0,"",INDEX(LdBAmt,$M349)),IF($N349&lt;&gt;"",IF(INDEX(LdCDep,$N349)=0,"",INDEX(LdCDep,$N349)),"")))</f>
        <v/>
      </c>
      <c r="F349" s="16">
        <f>IF(AND($L349="",$M349="",$N349=""),"",IF($N349="","",IF(INDEX(LdCWit,$N349)=0,"",INDEX(LdCWit,$N349))))</f>
        <v/>
      </c>
      <c r="G349" s="29">
        <f>IF($B349="","",IF($G348="",0,$G348)+IF($E349="",0,$E349)-IF($F349="",0,$F349))</f>
        <v/>
      </c>
      <c r="H349" s="30">
        <f>IF(AND($L349="",$M349="",$N349=""),"",IF($L349&lt;&gt;"",IF(INDEX(LdANote,$L349)="","—",INDEX(LdANote,$L349)),IF($M349&lt;&gt;"",IF(INDEX(LdBNote,$M349)="","—",INDEX(LdBNote,$M349)),IF($N349&lt;&gt;"",IF(INDEX(LdCNote,$N349)="","—",INDEX(LdCNote,$N349)),""))))</f>
        <v/>
      </c>
      <c r="L349">
        <f>IFERROR(MATCH($C$5&amp;"|"&amp;RIGHT("000000"&amp;333,6),LdAKeyM,0),"")</f>
        <v/>
      </c>
      <c r="M349">
        <f>IFERROR(MATCH($C$5&amp;"|"&amp;RIGHT("000000"&amp;333,6),LdBKeyM,0),"")</f>
        <v/>
      </c>
      <c r="N349">
        <f>IFERROR(MATCH($C$5&amp;"|"&amp;RIGHT("000000"&amp;333,6),LdCKeyM,0),"")</f>
        <v/>
      </c>
    </row>
    <row r="350">
      <c r="A350" s="19" t="n">
        <v>334</v>
      </c>
      <c r="B350" s="20">
        <f>IF(AND($L350="",$M350="",$N350=""),"",IF($L350&lt;&gt;"",INDEX(LdADate,$L350),IF($M350&lt;&gt;"",INDEX(LdBDate,$M350),INDEX(LdCDate,$N350))))</f>
        <v/>
      </c>
      <c r="C350" s="20">
        <f>IF($L350&lt;&gt;"","دستمزد (فردی)",IF($M350&lt;&gt;"","سهم از گروه "&amp;IFERROR(VLOOKUP(INDEX(LdBGroup,$M350),WGTbl,2,0),INDEX(LdBGroup,$M350)),IF($N350&lt;&gt;"",IF(N(INDEX(LdCDep,$N350))&gt;0,"بازگشت بانکی","پرداخت بانکی"),"")))</f>
        <v/>
      </c>
      <c r="D350" s="20">
        <f>IF($L350&lt;&gt;"",IF(INDEX(LdAId,$L350)="","—",INDEX(LdAId,$L350)),IF($M350&lt;&gt;"",IF(INDEX(LdBId,$M350)="","—",INDEX(LdBId,$M350)),IF($N350&lt;&gt;"",IF(INDEX(LdCBank,$N350)="","—",INDEX(LdCBank,$N350)),"")))</f>
        <v/>
      </c>
      <c r="E350" s="21">
        <f>IF($L350&lt;&gt;"",IF(INDEX(LdAAmt,$L350)=0,"",INDEX(LdAAmt,$L350)),IF($M350&lt;&gt;"",IF(INDEX(LdBAmt,$M350)=0,"",INDEX(LdBAmt,$M350)),IF($N350&lt;&gt;"",IF(INDEX(LdCDep,$N350)=0,"",INDEX(LdCDep,$N350)),"")))</f>
        <v/>
      </c>
      <c r="F350" s="21">
        <f>IF(AND($L350="",$M350="",$N350=""),"",IF($N350="","",IF(INDEX(LdCWit,$N350)=0,"",INDEX(LdCWit,$N350))))</f>
        <v/>
      </c>
      <c r="G350" s="31">
        <f>IF($B350="","",IF($G349="",0,$G349)+IF($E350="",0,$E350)-IF($F350="",0,$F350))</f>
        <v/>
      </c>
      <c r="H350" s="32">
        <f>IF(AND($L350="",$M350="",$N350=""),"",IF($L350&lt;&gt;"",IF(INDEX(LdANote,$L350)="","—",INDEX(LdANote,$L350)),IF($M350&lt;&gt;"",IF(INDEX(LdBNote,$M350)="","—",INDEX(LdBNote,$M350)),IF($N350&lt;&gt;"",IF(INDEX(LdCNote,$N350)="","—",INDEX(LdCNote,$N350)),""))))</f>
        <v/>
      </c>
      <c r="L350">
        <f>IFERROR(MATCH($C$5&amp;"|"&amp;RIGHT("000000"&amp;334,6),LdAKeyM,0),"")</f>
        <v/>
      </c>
      <c r="M350">
        <f>IFERROR(MATCH($C$5&amp;"|"&amp;RIGHT("000000"&amp;334,6),LdBKeyM,0),"")</f>
        <v/>
      </c>
      <c r="N350">
        <f>IFERROR(MATCH($C$5&amp;"|"&amp;RIGHT("000000"&amp;334,6),LdCKeyM,0),"")</f>
        <v/>
      </c>
    </row>
    <row r="351">
      <c r="A351" s="10" t="n">
        <v>335</v>
      </c>
      <c r="B351" s="14">
        <f>IF(AND($L351="",$M351="",$N351=""),"",IF($L351&lt;&gt;"",INDEX(LdADate,$L351),IF($M351&lt;&gt;"",INDEX(LdBDate,$M351),INDEX(LdCDate,$N351))))</f>
        <v/>
      </c>
      <c r="C351" s="14">
        <f>IF($L351&lt;&gt;"","دستمزد (فردی)",IF($M351&lt;&gt;"","سهم از گروه "&amp;IFERROR(VLOOKUP(INDEX(LdBGroup,$M351),WGTbl,2,0),INDEX(LdBGroup,$M351)),IF($N351&lt;&gt;"",IF(N(INDEX(LdCDep,$N351))&gt;0,"بازگشت بانکی","پرداخت بانکی"),"")))</f>
        <v/>
      </c>
      <c r="D351" s="14">
        <f>IF($L351&lt;&gt;"",IF(INDEX(LdAId,$L351)="","—",INDEX(LdAId,$L351)),IF($M351&lt;&gt;"",IF(INDEX(LdBId,$M351)="","—",INDEX(LdBId,$M351)),IF($N351&lt;&gt;"",IF(INDEX(LdCBank,$N351)="","—",INDEX(LdCBank,$N351)),"")))</f>
        <v/>
      </c>
      <c r="E351" s="16">
        <f>IF($L351&lt;&gt;"",IF(INDEX(LdAAmt,$L351)=0,"",INDEX(LdAAmt,$L351)),IF($M351&lt;&gt;"",IF(INDEX(LdBAmt,$M351)=0,"",INDEX(LdBAmt,$M351)),IF($N351&lt;&gt;"",IF(INDEX(LdCDep,$N351)=0,"",INDEX(LdCDep,$N351)),"")))</f>
        <v/>
      </c>
      <c r="F351" s="16">
        <f>IF(AND($L351="",$M351="",$N351=""),"",IF($N351="","",IF(INDEX(LdCWit,$N351)=0,"",INDEX(LdCWit,$N351))))</f>
        <v/>
      </c>
      <c r="G351" s="29">
        <f>IF($B351="","",IF($G350="",0,$G350)+IF($E351="",0,$E351)-IF($F351="",0,$F351))</f>
        <v/>
      </c>
      <c r="H351" s="30">
        <f>IF(AND($L351="",$M351="",$N351=""),"",IF($L351&lt;&gt;"",IF(INDEX(LdANote,$L351)="","—",INDEX(LdANote,$L351)),IF($M351&lt;&gt;"",IF(INDEX(LdBNote,$M351)="","—",INDEX(LdBNote,$M351)),IF($N351&lt;&gt;"",IF(INDEX(LdCNote,$N351)="","—",INDEX(LdCNote,$N351)),""))))</f>
        <v/>
      </c>
      <c r="L351">
        <f>IFERROR(MATCH($C$5&amp;"|"&amp;RIGHT("000000"&amp;335,6),LdAKeyM,0),"")</f>
        <v/>
      </c>
      <c r="M351">
        <f>IFERROR(MATCH($C$5&amp;"|"&amp;RIGHT("000000"&amp;335,6),LdBKeyM,0),"")</f>
        <v/>
      </c>
      <c r="N351">
        <f>IFERROR(MATCH($C$5&amp;"|"&amp;RIGHT("000000"&amp;335,6),LdCKeyM,0),"")</f>
        <v/>
      </c>
    </row>
    <row r="352">
      <c r="A352" s="19" t="n">
        <v>336</v>
      </c>
      <c r="B352" s="20">
        <f>IF(AND($L352="",$M352="",$N352=""),"",IF($L352&lt;&gt;"",INDEX(LdADate,$L352),IF($M352&lt;&gt;"",INDEX(LdBDate,$M352),INDEX(LdCDate,$N352))))</f>
        <v/>
      </c>
      <c r="C352" s="20">
        <f>IF($L352&lt;&gt;"","دستمزد (فردی)",IF($M352&lt;&gt;"","سهم از گروه "&amp;IFERROR(VLOOKUP(INDEX(LdBGroup,$M352),WGTbl,2,0),INDEX(LdBGroup,$M352)),IF($N352&lt;&gt;"",IF(N(INDEX(LdCDep,$N352))&gt;0,"بازگشت بانکی","پرداخت بانکی"),"")))</f>
        <v/>
      </c>
      <c r="D352" s="20">
        <f>IF($L352&lt;&gt;"",IF(INDEX(LdAId,$L352)="","—",INDEX(LdAId,$L352)),IF($M352&lt;&gt;"",IF(INDEX(LdBId,$M352)="","—",INDEX(LdBId,$M352)),IF($N352&lt;&gt;"",IF(INDEX(LdCBank,$N352)="","—",INDEX(LdCBank,$N352)),"")))</f>
        <v/>
      </c>
      <c r="E352" s="21">
        <f>IF($L352&lt;&gt;"",IF(INDEX(LdAAmt,$L352)=0,"",INDEX(LdAAmt,$L352)),IF($M352&lt;&gt;"",IF(INDEX(LdBAmt,$M352)=0,"",INDEX(LdBAmt,$M352)),IF($N352&lt;&gt;"",IF(INDEX(LdCDep,$N352)=0,"",INDEX(LdCDep,$N352)),"")))</f>
        <v/>
      </c>
      <c r="F352" s="21">
        <f>IF(AND($L352="",$M352="",$N352=""),"",IF($N352="","",IF(INDEX(LdCWit,$N352)=0,"",INDEX(LdCWit,$N352))))</f>
        <v/>
      </c>
      <c r="G352" s="31">
        <f>IF($B352="","",IF($G351="",0,$G351)+IF($E352="",0,$E352)-IF($F352="",0,$F352))</f>
        <v/>
      </c>
      <c r="H352" s="32">
        <f>IF(AND($L352="",$M352="",$N352=""),"",IF($L352&lt;&gt;"",IF(INDEX(LdANote,$L352)="","—",INDEX(LdANote,$L352)),IF($M352&lt;&gt;"",IF(INDEX(LdBNote,$M352)="","—",INDEX(LdBNote,$M352)),IF($N352&lt;&gt;"",IF(INDEX(LdCNote,$N352)="","—",INDEX(LdCNote,$N352)),""))))</f>
        <v/>
      </c>
      <c r="L352">
        <f>IFERROR(MATCH($C$5&amp;"|"&amp;RIGHT("000000"&amp;336,6),LdAKeyM,0),"")</f>
        <v/>
      </c>
      <c r="M352">
        <f>IFERROR(MATCH($C$5&amp;"|"&amp;RIGHT("000000"&amp;336,6),LdBKeyM,0),"")</f>
        <v/>
      </c>
      <c r="N352">
        <f>IFERROR(MATCH($C$5&amp;"|"&amp;RIGHT("000000"&amp;336,6),LdCKeyM,0),"")</f>
        <v/>
      </c>
    </row>
    <row r="353">
      <c r="A353" s="10" t="n">
        <v>337</v>
      </c>
      <c r="B353" s="14">
        <f>IF(AND($L353="",$M353="",$N353=""),"",IF($L353&lt;&gt;"",INDEX(LdADate,$L353),IF($M353&lt;&gt;"",INDEX(LdBDate,$M353),INDEX(LdCDate,$N353))))</f>
        <v/>
      </c>
      <c r="C353" s="14">
        <f>IF($L353&lt;&gt;"","دستمزد (فردی)",IF($M353&lt;&gt;"","سهم از گروه "&amp;IFERROR(VLOOKUP(INDEX(LdBGroup,$M353),WGTbl,2,0),INDEX(LdBGroup,$M353)),IF($N353&lt;&gt;"",IF(N(INDEX(LdCDep,$N353))&gt;0,"بازگشت بانکی","پرداخت بانکی"),"")))</f>
        <v/>
      </c>
      <c r="D353" s="14">
        <f>IF($L353&lt;&gt;"",IF(INDEX(LdAId,$L353)="","—",INDEX(LdAId,$L353)),IF($M353&lt;&gt;"",IF(INDEX(LdBId,$M353)="","—",INDEX(LdBId,$M353)),IF($N353&lt;&gt;"",IF(INDEX(LdCBank,$N353)="","—",INDEX(LdCBank,$N353)),"")))</f>
        <v/>
      </c>
      <c r="E353" s="16">
        <f>IF($L353&lt;&gt;"",IF(INDEX(LdAAmt,$L353)=0,"",INDEX(LdAAmt,$L353)),IF($M353&lt;&gt;"",IF(INDEX(LdBAmt,$M353)=0,"",INDEX(LdBAmt,$M353)),IF($N353&lt;&gt;"",IF(INDEX(LdCDep,$N353)=0,"",INDEX(LdCDep,$N353)),"")))</f>
        <v/>
      </c>
      <c r="F353" s="16">
        <f>IF(AND($L353="",$M353="",$N353=""),"",IF($N353="","",IF(INDEX(LdCWit,$N353)=0,"",INDEX(LdCWit,$N353))))</f>
        <v/>
      </c>
      <c r="G353" s="29">
        <f>IF($B353="","",IF($G352="",0,$G352)+IF($E353="",0,$E353)-IF($F353="",0,$F353))</f>
        <v/>
      </c>
      <c r="H353" s="30">
        <f>IF(AND($L353="",$M353="",$N353=""),"",IF($L353&lt;&gt;"",IF(INDEX(LdANote,$L353)="","—",INDEX(LdANote,$L353)),IF($M353&lt;&gt;"",IF(INDEX(LdBNote,$M353)="","—",INDEX(LdBNote,$M353)),IF($N353&lt;&gt;"",IF(INDEX(LdCNote,$N353)="","—",INDEX(LdCNote,$N353)),""))))</f>
        <v/>
      </c>
      <c r="L353">
        <f>IFERROR(MATCH($C$5&amp;"|"&amp;RIGHT("000000"&amp;337,6),LdAKeyM,0),"")</f>
        <v/>
      </c>
      <c r="M353">
        <f>IFERROR(MATCH($C$5&amp;"|"&amp;RIGHT("000000"&amp;337,6),LdBKeyM,0),"")</f>
        <v/>
      </c>
      <c r="N353">
        <f>IFERROR(MATCH($C$5&amp;"|"&amp;RIGHT("000000"&amp;337,6),LdCKeyM,0),"")</f>
        <v/>
      </c>
    </row>
    <row r="354">
      <c r="A354" s="19" t="n">
        <v>338</v>
      </c>
      <c r="B354" s="20">
        <f>IF(AND($L354="",$M354="",$N354=""),"",IF($L354&lt;&gt;"",INDEX(LdADate,$L354),IF($M354&lt;&gt;"",INDEX(LdBDate,$M354),INDEX(LdCDate,$N354))))</f>
        <v/>
      </c>
      <c r="C354" s="20">
        <f>IF($L354&lt;&gt;"","دستمزد (فردی)",IF($M354&lt;&gt;"","سهم از گروه "&amp;IFERROR(VLOOKUP(INDEX(LdBGroup,$M354),WGTbl,2,0),INDEX(LdBGroup,$M354)),IF($N354&lt;&gt;"",IF(N(INDEX(LdCDep,$N354))&gt;0,"بازگشت بانکی","پرداخت بانکی"),"")))</f>
        <v/>
      </c>
      <c r="D354" s="20">
        <f>IF($L354&lt;&gt;"",IF(INDEX(LdAId,$L354)="","—",INDEX(LdAId,$L354)),IF($M354&lt;&gt;"",IF(INDEX(LdBId,$M354)="","—",INDEX(LdBId,$M354)),IF($N354&lt;&gt;"",IF(INDEX(LdCBank,$N354)="","—",INDEX(LdCBank,$N354)),"")))</f>
        <v/>
      </c>
      <c r="E354" s="21">
        <f>IF($L354&lt;&gt;"",IF(INDEX(LdAAmt,$L354)=0,"",INDEX(LdAAmt,$L354)),IF($M354&lt;&gt;"",IF(INDEX(LdBAmt,$M354)=0,"",INDEX(LdBAmt,$M354)),IF($N354&lt;&gt;"",IF(INDEX(LdCDep,$N354)=0,"",INDEX(LdCDep,$N354)),"")))</f>
        <v/>
      </c>
      <c r="F354" s="21">
        <f>IF(AND($L354="",$M354="",$N354=""),"",IF($N354="","",IF(INDEX(LdCWit,$N354)=0,"",INDEX(LdCWit,$N354))))</f>
        <v/>
      </c>
      <c r="G354" s="31">
        <f>IF($B354="","",IF($G353="",0,$G353)+IF($E354="",0,$E354)-IF($F354="",0,$F354))</f>
        <v/>
      </c>
      <c r="H354" s="32">
        <f>IF(AND($L354="",$M354="",$N354=""),"",IF($L354&lt;&gt;"",IF(INDEX(LdANote,$L354)="","—",INDEX(LdANote,$L354)),IF($M354&lt;&gt;"",IF(INDEX(LdBNote,$M354)="","—",INDEX(LdBNote,$M354)),IF($N354&lt;&gt;"",IF(INDEX(LdCNote,$N354)="","—",INDEX(LdCNote,$N354)),""))))</f>
        <v/>
      </c>
      <c r="L354">
        <f>IFERROR(MATCH($C$5&amp;"|"&amp;RIGHT("000000"&amp;338,6),LdAKeyM,0),"")</f>
        <v/>
      </c>
      <c r="M354">
        <f>IFERROR(MATCH($C$5&amp;"|"&amp;RIGHT("000000"&amp;338,6),LdBKeyM,0),"")</f>
        <v/>
      </c>
      <c r="N354">
        <f>IFERROR(MATCH($C$5&amp;"|"&amp;RIGHT("000000"&amp;338,6),LdCKeyM,0),"")</f>
        <v/>
      </c>
    </row>
    <row r="355">
      <c r="A355" s="10" t="n">
        <v>339</v>
      </c>
      <c r="B355" s="14">
        <f>IF(AND($L355="",$M355="",$N355=""),"",IF($L355&lt;&gt;"",INDEX(LdADate,$L355),IF($M355&lt;&gt;"",INDEX(LdBDate,$M355),INDEX(LdCDate,$N355))))</f>
        <v/>
      </c>
      <c r="C355" s="14">
        <f>IF($L355&lt;&gt;"","دستمزد (فردی)",IF($M355&lt;&gt;"","سهم از گروه "&amp;IFERROR(VLOOKUP(INDEX(LdBGroup,$M355),WGTbl,2,0),INDEX(LdBGroup,$M355)),IF($N355&lt;&gt;"",IF(N(INDEX(LdCDep,$N355))&gt;0,"بازگشت بانکی","پرداخت بانکی"),"")))</f>
        <v/>
      </c>
      <c r="D355" s="14">
        <f>IF($L355&lt;&gt;"",IF(INDEX(LdAId,$L355)="","—",INDEX(LdAId,$L355)),IF($M355&lt;&gt;"",IF(INDEX(LdBId,$M355)="","—",INDEX(LdBId,$M355)),IF($N355&lt;&gt;"",IF(INDEX(LdCBank,$N355)="","—",INDEX(LdCBank,$N355)),"")))</f>
        <v/>
      </c>
      <c r="E355" s="16">
        <f>IF($L355&lt;&gt;"",IF(INDEX(LdAAmt,$L355)=0,"",INDEX(LdAAmt,$L355)),IF($M355&lt;&gt;"",IF(INDEX(LdBAmt,$M355)=0,"",INDEX(LdBAmt,$M355)),IF($N355&lt;&gt;"",IF(INDEX(LdCDep,$N355)=0,"",INDEX(LdCDep,$N355)),"")))</f>
        <v/>
      </c>
      <c r="F355" s="16">
        <f>IF(AND($L355="",$M355="",$N355=""),"",IF($N355="","",IF(INDEX(LdCWit,$N355)=0,"",INDEX(LdCWit,$N355))))</f>
        <v/>
      </c>
      <c r="G355" s="29">
        <f>IF($B355="","",IF($G354="",0,$G354)+IF($E355="",0,$E355)-IF($F355="",0,$F355))</f>
        <v/>
      </c>
      <c r="H355" s="30">
        <f>IF(AND($L355="",$M355="",$N355=""),"",IF($L355&lt;&gt;"",IF(INDEX(LdANote,$L355)="","—",INDEX(LdANote,$L355)),IF($M355&lt;&gt;"",IF(INDEX(LdBNote,$M355)="","—",INDEX(LdBNote,$M355)),IF($N355&lt;&gt;"",IF(INDEX(LdCNote,$N355)="","—",INDEX(LdCNote,$N355)),""))))</f>
        <v/>
      </c>
      <c r="L355">
        <f>IFERROR(MATCH($C$5&amp;"|"&amp;RIGHT("000000"&amp;339,6),LdAKeyM,0),"")</f>
        <v/>
      </c>
      <c r="M355">
        <f>IFERROR(MATCH($C$5&amp;"|"&amp;RIGHT("000000"&amp;339,6),LdBKeyM,0),"")</f>
        <v/>
      </c>
      <c r="N355">
        <f>IFERROR(MATCH($C$5&amp;"|"&amp;RIGHT("000000"&amp;339,6),LdCKeyM,0),"")</f>
        <v/>
      </c>
    </row>
    <row r="356">
      <c r="A356" s="19" t="n">
        <v>340</v>
      </c>
      <c r="B356" s="20">
        <f>IF(AND($L356="",$M356="",$N356=""),"",IF($L356&lt;&gt;"",INDEX(LdADate,$L356),IF($M356&lt;&gt;"",INDEX(LdBDate,$M356),INDEX(LdCDate,$N356))))</f>
        <v/>
      </c>
      <c r="C356" s="20">
        <f>IF($L356&lt;&gt;"","دستمزد (فردی)",IF($M356&lt;&gt;"","سهم از گروه "&amp;IFERROR(VLOOKUP(INDEX(LdBGroup,$M356),WGTbl,2,0),INDEX(LdBGroup,$M356)),IF($N356&lt;&gt;"",IF(N(INDEX(LdCDep,$N356))&gt;0,"بازگشت بانکی","پرداخت بانکی"),"")))</f>
        <v/>
      </c>
      <c r="D356" s="20">
        <f>IF($L356&lt;&gt;"",IF(INDEX(LdAId,$L356)="","—",INDEX(LdAId,$L356)),IF($M356&lt;&gt;"",IF(INDEX(LdBId,$M356)="","—",INDEX(LdBId,$M356)),IF($N356&lt;&gt;"",IF(INDEX(LdCBank,$N356)="","—",INDEX(LdCBank,$N356)),"")))</f>
        <v/>
      </c>
      <c r="E356" s="21">
        <f>IF($L356&lt;&gt;"",IF(INDEX(LdAAmt,$L356)=0,"",INDEX(LdAAmt,$L356)),IF($M356&lt;&gt;"",IF(INDEX(LdBAmt,$M356)=0,"",INDEX(LdBAmt,$M356)),IF($N356&lt;&gt;"",IF(INDEX(LdCDep,$N356)=0,"",INDEX(LdCDep,$N356)),"")))</f>
        <v/>
      </c>
      <c r="F356" s="21">
        <f>IF(AND($L356="",$M356="",$N356=""),"",IF($N356="","",IF(INDEX(LdCWit,$N356)=0,"",INDEX(LdCWit,$N356))))</f>
        <v/>
      </c>
      <c r="G356" s="31">
        <f>IF($B356="","",IF($G355="",0,$G355)+IF($E356="",0,$E356)-IF($F356="",0,$F356))</f>
        <v/>
      </c>
      <c r="H356" s="32">
        <f>IF(AND($L356="",$M356="",$N356=""),"",IF($L356&lt;&gt;"",IF(INDEX(LdANote,$L356)="","—",INDEX(LdANote,$L356)),IF($M356&lt;&gt;"",IF(INDEX(LdBNote,$M356)="","—",INDEX(LdBNote,$M356)),IF($N356&lt;&gt;"",IF(INDEX(LdCNote,$N356)="","—",INDEX(LdCNote,$N356)),""))))</f>
        <v/>
      </c>
      <c r="L356">
        <f>IFERROR(MATCH($C$5&amp;"|"&amp;RIGHT("000000"&amp;340,6),LdAKeyM,0),"")</f>
        <v/>
      </c>
      <c r="M356">
        <f>IFERROR(MATCH($C$5&amp;"|"&amp;RIGHT("000000"&amp;340,6),LdBKeyM,0),"")</f>
        <v/>
      </c>
      <c r="N356">
        <f>IFERROR(MATCH($C$5&amp;"|"&amp;RIGHT("000000"&amp;340,6),LdCKeyM,0),"")</f>
        <v/>
      </c>
    </row>
    <row r="357">
      <c r="A357" s="10" t="n">
        <v>341</v>
      </c>
      <c r="B357" s="14">
        <f>IF(AND($L357="",$M357="",$N357=""),"",IF($L357&lt;&gt;"",INDEX(LdADate,$L357),IF($M357&lt;&gt;"",INDEX(LdBDate,$M357),INDEX(LdCDate,$N357))))</f>
        <v/>
      </c>
      <c r="C357" s="14">
        <f>IF($L357&lt;&gt;"","دستمزد (فردی)",IF($M357&lt;&gt;"","سهم از گروه "&amp;IFERROR(VLOOKUP(INDEX(LdBGroup,$M357),WGTbl,2,0),INDEX(LdBGroup,$M357)),IF($N357&lt;&gt;"",IF(N(INDEX(LdCDep,$N357))&gt;0,"بازگشت بانکی","پرداخت بانکی"),"")))</f>
        <v/>
      </c>
      <c r="D357" s="14">
        <f>IF($L357&lt;&gt;"",IF(INDEX(LdAId,$L357)="","—",INDEX(LdAId,$L357)),IF($M357&lt;&gt;"",IF(INDEX(LdBId,$M357)="","—",INDEX(LdBId,$M357)),IF($N357&lt;&gt;"",IF(INDEX(LdCBank,$N357)="","—",INDEX(LdCBank,$N357)),"")))</f>
        <v/>
      </c>
      <c r="E357" s="16">
        <f>IF($L357&lt;&gt;"",IF(INDEX(LdAAmt,$L357)=0,"",INDEX(LdAAmt,$L357)),IF($M357&lt;&gt;"",IF(INDEX(LdBAmt,$M357)=0,"",INDEX(LdBAmt,$M357)),IF($N357&lt;&gt;"",IF(INDEX(LdCDep,$N357)=0,"",INDEX(LdCDep,$N357)),"")))</f>
        <v/>
      </c>
      <c r="F357" s="16">
        <f>IF(AND($L357="",$M357="",$N357=""),"",IF($N357="","",IF(INDEX(LdCWit,$N357)=0,"",INDEX(LdCWit,$N357))))</f>
        <v/>
      </c>
      <c r="G357" s="29">
        <f>IF($B357="","",IF($G356="",0,$G356)+IF($E357="",0,$E357)-IF($F357="",0,$F357))</f>
        <v/>
      </c>
      <c r="H357" s="30">
        <f>IF(AND($L357="",$M357="",$N357=""),"",IF($L357&lt;&gt;"",IF(INDEX(LdANote,$L357)="","—",INDEX(LdANote,$L357)),IF($M357&lt;&gt;"",IF(INDEX(LdBNote,$M357)="","—",INDEX(LdBNote,$M357)),IF($N357&lt;&gt;"",IF(INDEX(LdCNote,$N357)="","—",INDEX(LdCNote,$N357)),""))))</f>
        <v/>
      </c>
      <c r="L357">
        <f>IFERROR(MATCH($C$5&amp;"|"&amp;RIGHT("000000"&amp;341,6),LdAKeyM,0),"")</f>
        <v/>
      </c>
      <c r="M357">
        <f>IFERROR(MATCH($C$5&amp;"|"&amp;RIGHT("000000"&amp;341,6),LdBKeyM,0),"")</f>
        <v/>
      </c>
      <c r="N357">
        <f>IFERROR(MATCH($C$5&amp;"|"&amp;RIGHT("000000"&amp;341,6),LdCKeyM,0),"")</f>
        <v/>
      </c>
    </row>
    <row r="358">
      <c r="A358" s="19" t="n">
        <v>342</v>
      </c>
      <c r="B358" s="20">
        <f>IF(AND($L358="",$M358="",$N358=""),"",IF($L358&lt;&gt;"",INDEX(LdADate,$L358),IF($M358&lt;&gt;"",INDEX(LdBDate,$M358),INDEX(LdCDate,$N358))))</f>
        <v/>
      </c>
      <c r="C358" s="20">
        <f>IF($L358&lt;&gt;"","دستمزد (فردی)",IF($M358&lt;&gt;"","سهم از گروه "&amp;IFERROR(VLOOKUP(INDEX(LdBGroup,$M358),WGTbl,2,0),INDEX(LdBGroup,$M358)),IF($N358&lt;&gt;"",IF(N(INDEX(LdCDep,$N358))&gt;0,"بازگشت بانکی","پرداخت بانکی"),"")))</f>
        <v/>
      </c>
      <c r="D358" s="20">
        <f>IF($L358&lt;&gt;"",IF(INDEX(LdAId,$L358)="","—",INDEX(LdAId,$L358)),IF($M358&lt;&gt;"",IF(INDEX(LdBId,$M358)="","—",INDEX(LdBId,$M358)),IF($N358&lt;&gt;"",IF(INDEX(LdCBank,$N358)="","—",INDEX(LdCBank,$N358)),"")))</f>
        <v/>
      </c>
      <c r="E358" s="21">
        <f>IF($L358&lt;&gt;"",IF(INDEX(LdAAmt,$L358)=0,"",INDEX(LdAAmt,$L358)),IF($M358&lt;&gt;"",IF(INDEX(LdBAmt,$M358)=0,"",INDEX(LdBAmt,$M358)),IF($N358&lt;&gt;"",IF(INDEX(LdCDep,$N358)=0,"",INDEX(LdCDep,$N358)),"")))</f>
        <v/>
      </c>
      <c r="F358" s="21">
        <f>IF(AND($L358="",$M358="",$N358=""),"",IF($N358="","",IF(INDEX(LdCWit,$N358)=0,"",INDEX(LdCWit,$N358))))</f>
        <v/>
      </c>
      <c r="G358" s="31">
        <f>IF($B358="","",IF($G357="",0,$G357)+IF($E358="",0,$E358)-IF($F358="",0,$F358))</f>
        <v/>
      </c>
      <c r="H358" s="32">
        <f>IF(AND($L358="",$M358="",$N358=""),"",IF($L358&lt;&gt;"",IF(INDEX(LdANote,$L358)="","—",INDEX(LdANote,$L358)),IF($M358&lt;&gt;"",IF(INDEX(LdBNote,$M358)="","—",INDEX(LdBNote,$M358)),IF($N358&lt;&gt;"",IF(INDEX(LdCNote,$N358)="","—",INDEX(LdCNote,$N358)),""))))</f>
        <v/>
      </c>
      <c r="L358">
        <f>IFERROR(MATCH($C$5&amp;"|"&amp;RIGHT("000000"&amp;342,6),LdAKeyM,0),"")</f>
        <v/>
      </c>
      <c r="M358">
        <f>IFERROR(MATCH($C$5&amp;"|"&amp;RIGHT("000000"&amp;342,6),LdBKeyM,0),"")</f>
        <v/>
      </c>
      <c r="N358">
        <f>IFERROR(MATCH($C$5&amp;"|"&amp;RIGHT("000000"&amp;342,6),LdCKeyM,0),"")</f>
        <v/>
      </c>
    </row>
    <row r="359">
      <c r="A359" s="10" t="n">
        <v>343</v>
      </c>
      <c r="B359" s="14">
        <f>IF(AND($L359="",$M359="",$N359=""),"",IF($L359&lt;&gt;"",INDEX(LdADate,$L359),IF($M359&lt;&gt;"",INDEX(LdBDate,$M359),INDEX(LdCDate,$N359))))</f>
        <v/>
      </c>
      <c r="C359" s="14">
        <f>IF($L359&lt;&gt;"","دستمزد (فردی)",IF($M359&lt;&gt;"","سهم از گروه "&amp;IFERROR(VLOOKUP(INDEX(LdBGroup,$M359),WGTbl,2,0),INDEX(LdBGroup,$M359)),IF($N359&lt;&gt;"",IF(N(INDEX(LdCDep,$N359))&gt;0,"بازگشت بانکی","پرداخت بانکی"),"")))</f>
        <v/>
      </c>
      <c r="D359" s="14">
        <f>IF($L359&lt;&gt;"",IF(INDEX(LdAId,$L359)="","—",INDEX(LdAId,$L359)),IF($M359&lt;&gt;"",IF(INDEX(LdBId,$M359)="","—",INDEX(LdBId,$M359)),IF($N359&lt;&gt;"",IF(INDEX(LdCBank,$N359)="","—",INDEX(LdCBank,$N359)),"")))</f>
        <v/>
      </c>
      <c r="E359" s="16">
        <f>IF($L359&lt;&gt;"",IF(INDEX(LdAAmt,$L359)=0,"",INDEX(LdAAmt,$L359)),IF($M359&lt;&gt;"",IF(INDEX(LdBAmt,$M359)=0,"",INDEX(LdBAmt,$M359)),IF($N359&lt;&gt;"",IF(INDEX(LdCDep,$N359)=0,"",INDEX(LdCDep,$N359)),"")))</f>
        <v/>
      </c>
      <c r="F359" s="16">
        <f>IF(AND($L359="",$M359="",$N359=""),"",IF($N359="","",IF(INDEX(LdCWit,$N359)=0,"",INDEX(LdCWit,$N359))))</f>
        <v/>
      </c>
      <c r="G359" s="29">
        <f>IF($B359="","",IF($G358="",0,$G358)+IF($E359="",0,$E359)-IF($F359="",0,$F359))</f>
        <v/>
      </c>
      <c r="H359" s="30">
        <f>IF(AND($L359="",$M359="",$N359=""),"",IF($L359&lt;&gt;"",IF(INDEX(LdANote,$L359)="","—",INDEX(LdANote,$L359)),IF($M359&lt;&gt;"",IF(INDEX(LdBNote,$M359)="","—",INDEX(LdBNote,$M359)),IF($N359&lt;&gt;"",IF(INDEX(LdCNote,$N359)="","—",INDEX(LdCNote,$N359)),""))))</f>
        <v/>
      </c>
      <c r="L359">
        <f>IFERROR(MATCH($C$5&amp;"|"&amp;RIGHT("000000"&amp;343,6),LdAKeyM,0),"")</f>
        <v/>
      </c>
      <c r="M359">
        <f>IFERROR(MATCH($C$5&amp;"|"&amp;RIGHT("000000"&amp;343,6),LdBKeyM,0),"")</f>
        <v/>
      </c>
      <c r="N359">
        <f>IFERROR(MATCH($C$5&amp;"|"&amp;RIGHT("000000"&amp;343,6),LdCKeyM,0),"")</f>
        <v/>
      </c>
    </row>
    <row r="360">
      <c r="A360" s="19" t="n">
        <v>344</v>
      </c>
      <c r="B360" s="20">
        <f>IF(AND($L360="",$M360="",$N360=""),"",IF($L360&lt;&gt;"",INDEX(LdADate,$L360),IF($M360&lt;&gt;"",INDEX(LdBDate,$M360),INDEX(LdCDate,$N360))))</f>
        <v/>
      </c>
      <c r="C360" s="20">
        <f>IF($L360&lt;&gt;"","دستمزد (فردی)",IF($M360&lt;&gt;"","سهم از گروه "&amp;IFERROR(VLOOKUP(INDEX(LdBGroup,$M360),WGTbl,2,0),INDEX(LdBGroup,$M360)),IF($N360&lt;&gt;"",IF(N(INDEX(LdCDep,$N360))&gt;0,"بازگشت بانکی","پرداخت بانکی"),"")))</f>
        <v/>
      </c>
      <c r="D360" s="20">
        <f>IF($L360&lt;&gt;"",IF(INDEX(LdAId,$L360)="","—",INDEX(LdAId,$L360)),IF($M360&lt;&gt;"",IF(INDEX(LdBId,$M360)="","—",INDEX(LdBId,$M360)),IF($N360&lt;&gt;"",IF(INDEX(LdCBank,$N360)="","—",INDEX(LdCBank,$N360)),"")))</f>
        <v/>
      </c>
      <c r="E360" s="21">
        <f>IF($L360&lt;&gt;"",IF(INDEX(LdAAmt,$L360)=0,"",INDEX(LdAAmt,$L360)),IF($M360&lt;&gt;"",IF(INDEX(LdBAmt,$M360)=0,"",INDEX(LdBAmt,$M360)),IF($N360&lt;&gt;"",IF(INDEX(LdCDep,$N360)=0,"",INDEX(LdCDep,$N360)),"")))</f>
        <v/>
      </c>
      <c r="F360" s="21">
        <f>IF(AND($L360="",$M360="",$N360=""),"",IF($N360="","",IF(INDEX(LdCWit,$N360)=0,"",INDEX(LdCWit,$N360))))</f>
        <v/>
      </c>
      <c r="G360" s="31">
        <f>IF($B360="","",IF($G359="",0,$G359)+IF($E360="",0,$E360)-IF($F360="",0,$F360))</f>
        <v/>
      </c>
      <c r="H360" s="32">
        <f>IF(AND($L360="",$M360="",$N360=""),"",IF($L360&lt;&gt;"",IF(INDEX(LdANote,$L360)="","—",INDEX(LdANote,$L360)),IF($M360&lt;&gt;"",IF(INDEX(LdBNote,$M360)="","—",INDEX(LdBNote,$M360)),IF($N360&lt;&gt;"",IF(INDEX(LdCNote,$N360)="","—",INDEX(LdCNote,$N360)),""))))</f>
        <v/>
      </c>
      <c r="L360">
        <f>IFERROR(MATCH($C$5&amp;"|"&amp;RIGHT("000000"&amp;344,6),LdAKeyM,0),"")</f>
        <v/>
      </c>
      <c r="M360">
        <f>IFERROR(MATCH($C$5&amp;"|"&amp;RIGHT("000000"&amp;344,6),LdBKeyM,0),"")</f>
        <v/>
      </c>
      <c r="N360">
        <f>IFERROR(MATCH($C$5&amp;"|"&amp;RIGHT("000000"&amp;344,6),LdCKeyM,0),"")</f>
        <v/>
      </c>
    </row>
    <row r="361">
      <c r="A361" s="10" t="n">
        <v>345</v>
      </c>
      <c r="B361" s="14">
        <f>IF(AND($L361="",$M361="",$N361=""),"",IF($L361&lt;&gt;"",INDEX(LdADate,$L361),IF($M361&lt;&gt;"",INDEX(LdBDate,$M361),INDEX(LdCDate,$N361))))</f>
        <v/>
      </c>
      <c r="C361" s="14">
        <f>IF($L361&lt;&gt;"","دستمزد (فردی)",IF($M361&lt;&gt;"","سهم از گروه "&amp;IFERROR(VLOOKUP(INDEX(LdBGroup,$M361),WGTbl,2,0),INDEX(LdBGroup,$M361)),IF($N361&lt;&gt;"",IF(N(INDEX(LdCDep,$N361))&gt;0,"بازگشت بانکی","پرداخت بانکی"),"")))</f>
        <v/>
      </c>
      <c r="D361" s="14">
        <f>IF($L361&lt;&gt;"",IF(INDEX(LdAId,$L361)="","—",INDEX(LdAId,$L361)),IF($M361&lt;&gt;"",IF(INDEX(LdBId,$M361)="","—",INDEX(LdBId,$M361)),IF($N361&lt;&gt;"",IF(INDEX(LdCBank,$N361)="","—",INDEX(LdCBank,$N361)),"")))</f>
        <v/>
      </c>
      <c r="E361" s="16">
        <f>IF($L361&lt;&gt;"",IF(INDEX(LdAAmt,$L361)=0,"",INDEX(LdAAmt,$L361)),IF($M361&lt;&gt;"",IF(INDEX(LdBAmt,$M361)=0,"",INDEX(LdBAmt,$M361)),IF($N361&lt;&gt;"",IF(INDEX(LdCDep,$N361)=0,"",INDEX(LdCDep,$N361)),"")))</f>
        <v/>
      </c>
      <c r="F361" s="16">
        <f>IF(AND($L361="",$M361="",$N361=""),"",IF($N361="","",IF(INDEX(LdCWit,$N361)=0,"",INDEX(LdCWit,$N361))))</f>
        <v/>
      </c>
      <c r="G361" s="29">
        <f>IF($B361="","",IF($G360="",0,$G360)+IF($E361="",0,$E361)-IF($F361="",0,$F361))</f>
        <v/>
      </c>
      <c r="H361" s="30">
        <f>IF(AND($L361="",$M361="",$N361=""),"",IF($L361&lt;&gt;"",IF(INDEX(LdANote,$L361)="","—",INDEX(LdANote,$L361)),IF($M361&lt;&gt;"",IF(INDEX(LdBNote,$M361)="","—",INDEX(LdBNote,$M361)),IF($N361&lt;&gt;"",IF(INDEX(LdCNote,$N361)="","—",INDEX(LdCNote,$N361)),""))))</f>
        <v/>
      </c>
      <c r="L361">
        <f>IFERROR(MATCH($C$5&amp;"|"&amp;RIGHT("000000"&amp;345,6),LdAKeyM,0),"")</f>
        <v/>
      </c>
      <c r="M361">
        <f>IFERROR(MATCH($C$5&amp;"|"&amp;RIGHT("000000"&amp;345,6),LdBKeyM,0),"")</f>
        <v/>
      </c>
      <c r="N361">
        <f>IFERROR(MATCH($C$5&amp;"|"&amp;RIGHT("000000"&amp;345,6),LdCKeyM,0),"")</f>
        <v/>
      </c>
    </row>
    <row r="362">
      <c r="A362" s="19" t="n">
        <v>346</v>
      </c>
      <c r="B362" s="20">
        <f>IF(AND($L362="",$M362="",$N362=""),"",IF($L362&lt;&gt;"",INDEX(LdADate,$L362),IF($M362&lt;&gt;"",INDEX(LdBDate,$M362),INDEX(LdCDate,$N362))))</f>
        <v/>
      </c>
      <c r="C362" s="20">
        <f>IF($L362&lt;&gt;"","دستمزد (فردی)",IF($M362&lt;&gt;"","سهم از گروه "&amp;IFERROR(VLOOKUP(INDEX(LdBGroup,$M362),WGTbl,2,0),INDEX(LdBGroup,$M362)),IF($N362&lt;&gt;"",IF(N(INDEX(LdCDep,$N362))&gt;0,"بازگشت بانکی","پرداخت بانکی"),"")))</f>
        <v/>
      </c>
      <c r="D362" s="20">
        <f>IF($L362&lt;&gt;"",IF(INDEX(LdAId,$L362)="","—",INDEX(LdAId,$L362)),IF($M362&lt;&gt;"",IF(INDEX(LdBId,$M362)="","—",INDEX(LdBId,$M362)),IF($N362&lt;&gt;"",IF(INDEX(LdCBank,$N362)="","—",INDEX(LdCBank,$N362)),"")))</f>
        <v/>
      </c>
      <c r="E362" s="21">
        <f>IF($L362&lt;&gt;"",IF(INDEX(LdAAmt,$L362)=0,"",INDEX(LdAAmt,$L362)),IF($M362&lt;&gt;"",IF(INDEX(LdBAmt,$M362)=0,"",INDEX(LdBAmt,$M362)),IF($N362&lt;&gt;"",IF(INDEX(LdCDep,$N362)=0,"",INDEX(LdCDep,$N362)),"")))</f>
        <v/>
      </c>
      <c r="F362" s="21">
        <f>IF(AND($L362="",$M362="",$N362=""),"",IF($N362="","",IF(INDEX(LdCWit,$N362)=0,"",INDEX(LdCWit,$N362))))</f>
        <v/>
      </c>
      <c r="G362" s="31">
        <f>IF($B362="","",IF($G361="",0,$G361)+IF($E362="",0,$E362)-IF($F362="",0,$F362))</f>
        <v/>
      </c>
      <c r="H362" s="32">
        <f>IF(AND($L362="",$M362="",$N362=""),"",IF($L362&lt;&gt;"",IF(INDEX(LdANote,$L362)="","—",INDEX(LdANote,$L362)),IF($M362&lt;&gt;"",IF(INDEX(LdBNote,$M362)="","—",INDEX(LdBNote,$M362)),IF($N362&lt;&gt;"",IF(INDEX(LdCNote,$N362)="","—",INDEX(LdCNote,$N362)),""))))</f>
        <v/>
      </c>
      <c r="L362">
        <f>IFERROR(MATCH($C$5&amp;"|"&amp;RIGHT("000000"&amp;346,6),LdAKeyM,0),"")</f>
        <v/>
      </c>
      <c r="M362">
        <f>IFERROR(MATCH($C$5&amp;"|"&amp;RIGHT("000000"&amp;346,6),LdBKeyM,0),"")</f>
        <v/>
      </c>
      <c r="N362">
        <f>IFERROR(MATCH($C$5&amp;"|"&amp;RIGHT("000000"&amp;346,6),LdCKeyM,0),"")</f>
        <v/>
      </c>
    </row>
    <row r="363">
      <c r="A363" s="10" t="n">
        <v>347</v>
      </c>
      <c r="B363" s="14">
        <f>IF(AND($L363="",$M363="",$N363=""),"",IF($L363&lt;&gt;"",INDEX(LdADate,$L363),IF($M363&lt;&gt;"",INDEX(LdBDate,$M363),INDEX(LdCDate,$N363))))</f>
        <v/>
      </c>
      <c r="C363" s="14">
        <f>IF($L363&lt;&gt;"","دستمزد (فردی)",IF($M363&lt;&gt;"","سهم از گروه "&amp;IFERROR(VLOOKUP(INDEX(LdBGroup,$M363),WGTbl,2,0),INDEX(LdBGroup,$M363)),IF($N363&lt;&gt;"",IF(N(INDEX(LdCDep,$N363))&gt;0,"بازگشت بانکی","پرداخت بانکی"),"")))</f>
        <v/>
      </c>
      <c r="D363" s="14">
        <f>IF($L363&lt;&gt;"",IF(INDEX(LdAId,$L363)="","—",INDEX(LdAId,$L363)),IF($M363&lt;&gt;"",IF(INDEX(LdBId,$M363)="","—",INDEX(LdBId,$M363)),IF($N363&lt;&gt;"",IF(INDEX(LdCBank,$N363)="","—",INDEX(LdCBank,$N363)),"")))</f>
        <v/>
      </c>
      <c r="E363" s="16">
        <f>IF($L363&lt;&gt;"",IF(INDEX(LdAAmt,$L363)=0,"",INDEX(LdAAmt,$L363)),IF($M363&lt;&gt;"",IF(INDEX(LdBAmt,$M363)=0,"",INDEX(LdBAmt,$M363)),IF($N363&lt;&gt;"",IF(INDEX(LdCDep,$N363)=0,"",INDEX(LdCDep,$N363)),"")))</f>
        <v/>
      </c>
      <c r="F363" s="16">
        <f>IF(AND($L363="",$M363="",$N363=""),"",IF($N363="","",IF(INDEX(LdCWit,$N363)=0,"",INDEX(LdCWit,$N363))))</f>
        <v/>
      </c>
      <c r="G363" s="29">
        <f>IF($B363="","",IF($G362="",0,$G362)+IF($E363="",0,$E363)-IF($F363="",0,$F363))</f>
        <v/>
      </c>
      <c r="H363" s="30">
        <f>IF(AND($L363="",$M363="",$N363=""),"",IF($L363&lt;&gt;"",IF(INDEX(LdANote,$L363)="","—",INDEX(LdANote,$L363)),IF($M363&lt;&gt;"",IF(INDEX(LdBNote,$M363)="","—",INDEX(LdBNote,$M363)),IF($N363&lt;&gt;"",IF(INDEX(LdCNote,$N363)="","—",INDEX(LdCNote,$N363)),""))))</f>
        <v/>
      </c>
      <c r="L363">
        <f>IFERROR(MATCH($C$5&amp;"|"&amp;RIGHT("000000"&amp;347,6),LdAKeyM,0),"")</f>
        <v/>
      </c>
      <c r="M363">
        <f>IFERROR(MATCH($C$5&amp;"|"&amp;RIGHT("000000"&amp;347,6),LdBKeyM,0),"")</f>
        <v/>
      </c>
      <c r="N363">
        <f>IFERROR(MATCH($C$5&amp;"|"&amp;RIGHT("000000"&amp;347,6),LdCKeyM,0),"")</f>
        <v/>
      </c>
    </row>
    <row r="364">
      <c r="A364" s="19" t="n">
        <v>348</v>
      </c>
      <c r="B364" s="20">
        <f>IF(AND($L364="",$M364="",$N364=""),"",IF($L364&lt;&gt;"",INDEX(LdADate,$L364),IF($M364&lt;&gt;"",INDEX(LdBDate,$M364),INDEX(LdCDate,$N364))))</f>
        <v/>
      </c>
      <c r="C364" s="20">
        <f>IF($L364&lt;&gt;"","دستمزد (فردی)",IF($M364&lt;&gt;"","سهم از گروه "&amp;IFERROR(VLOOKUP(INDEX(LdBGroup,$M364),WGTbl,2,0),INDEX(LdBGroup,$M364)),IF($N364&lt;&gt;"",IF(N(INDEX(LdCDep,$N364))&gt;0,"بازگشت بانکی","پرداخت بانکی"),"")))</f>
        <v/>
      </c>
      <c r="D364" s="20">
        <f>IF($L364&lt;&gt;"",IF(INDEX(LdAId,$L364)="","—",INDEX(LdAId,$L364)),IF($M364&lt;&gt;"",IF(INDEX(LdBId,$M364)="","—",INDEX(LdBId,$M364)),IF($N364&lt;&gt;"",IF(INDEX(LdCBank,$N364)="","—",INDEX(LdCBank,$N364)),"")))</f>
        <v/>
      </c>
      <c r="E364" s="21">
        <f>IF($L364&lt;&gt;"",IF(INDEX(LdAAmt,$L364)=0,"",INDEX(LdAAmt,$L364)),IF($M364&lt;&gt;"",IF(INDEX(LdBAmt,$M364)=0,"",INDEX(LdBAmt,$M364)),IF($N364&lt;&gt;"",IF(INDEX(LdCDep,$N364)=0,"",INDEX(LdCDep,$N364)),"")))</f>
        <v/>
      </c>
      <c r="F364" s="21">
        <f>IF(AND($L364="",$M364="",$N364=""),"",IF($N364="","",IF(INDEX(LdCWit,$N364)=0,"",INDEX(LdCWit,$N364))))</f>
        <v/>
      </c>
      <c r="G364" s="31">
        <f>IF($B364="","",IF($G363="",0,$G363)+IF($E364="",0,$E364)-IF($F364="",0,$F364))</f>
        <v/>
      </c>
      <c r="H364" s="32">
        <f>IF(AND($L364="",$M364="",$N364=""),"",IF($L364&lt;&gt;"",IF(INDEX(LdANote,$L364)="","—",INDEX(LdANote,$L364)),IF($M364&lt;&gt;"",IF(INDEX(LdBNote,$M364)="","—",INDEX(LdBNote,$M364)),IF($N364&lt;&gt;"",IF(INDEX(LdCNote,$N364)="","—",INDEX(LdCNote,$N364)),""))))</f>
        <v/>
      </c>
      <c r="L364">
        <f>IFERROR(MATCH($C$5&amp;"|"&amp;RIGHT("000000"&amp;348,6),LdAKeyM,0),"")</f>
        <v/>
      </c>
      <c r="M364">
        <f>IFERROR(MATCH($C$5&amp;"|"&amp;RIGHT("000000"&amp;348,6),LdBKeyM,0),"")</f>
        <v/>
      </c>
      <c r="N364">
        <f>IFERROR(MATCH($C$5&amp;"|"&amp;RIGHT("000000"&amp;348,6),LdCKeyM,0),"")</f>
        <v/>
      </c>
    </row>
    <row r="365">
      <c r="A365" s="10" t="n">
        <v>349</v>
      </c>
      <c r="B365" s="14">
        <f>IF(AND($L365="",$M365="",$N365=""),"",IF($L365&lt;&gt;"",INDEX(LdADate,$L365),IF($M365&lt;&gt;"",INDEX(LdBDate,$M365),INDEX(LdCDate,$N365))))</f>
        <v/>
      </c>
      <c r="C365" s="14">
        <f>IF($L365&lt;&gt;"","دستمزد (فردی)",IF($M365&lt;&gt;"","سهم از گروه "&amp;IFERROR(VLOOKUP(INDEX(LdBGroup,$M365),WGTbl,2,0),INDEX(LdBGroup,$M365)),IF($N365&lt;&gt;"",IF(N(INDEX(LdCDep,$N365))&gt;0,"بازگشت بانکی","پرداخت بانکی"),"")))</f>
        <v/>
      </c>
      <c r="D365" s="14">
        <f>IF($L365&lt;&gt;"",IF(INDEX(LdAId,$L365)="","—",INDEX(LdAId,$L365)),IF($M365&lt;&gt;"",IF(INDEX(LdBId,$M365)="","—",INDEX(LdBId,$M365)),IF($N365&lt;&gt;"",IF(INDEX(LdCBank,$N365)="","—",INDEX(LdCBank,$N365)),"")))</f>
        <v/>
      </c>
      <c r="E365" s="16">
        <f>IF($L365&lt;&gt;"",IF(INDEX(LdAAmt,$L365)=0,"",INDEX(LdAAmt,$L365)),IF($M365&lt;&gt;"",IF(INDEX(LdBAmt,$M365)=0,"",INDEX(LdBAmt,$M365)),IF($N365&lt;&gt;"",IF(INDEX(LdCDep,$N365)=0,"",INDEX(LdCDep,$N365)),"")))</f>
        <v/>
      </c>
      <c r="F365" s="16">
        <f>IF(AND($L365="",$M365="",$N365=""),"",IF($N365="","",IF(INDEX(LdCWit,$N365)=0,"",INDEX(LdCWit,$N365))))</f>
        <v/>
      </c>
      <c r="G365" s="29">
        <f>IF($B365="","",IF($G364="",0,$G364)+IF($E365="",0,$E365)-IF($F365="",0,$F365))</f>
        <v/>
      </c>
      <c r="H365" s="30">
        <f>IF(AND($L365="",$M365="",$N365=""),"",IF($L365&lt;&gt;"",IF(INDEX(LdANote,$L365)="","—",INDEX(LdANote,$L365)),IF($M365&lt;&gt;"",IF(INDEX(LdBNote,$M365)="","—",INDEX(LdBNote,$M365)),IF($N365&lt;&gt;"",IF(INDEX(LdCNote,$N365)="","—",INDEX(LdCNote,$N365)),""))))</f>
        <v/>
      </c>
      <c r="L365">
        <f>IFERROR(MATCH($C$5&amp;"|"&amp;RIGHT("000000"&amp;349,6),LdAKeyM,0),"")</f>
        <v/>
      </c>
      <c r="M365">
        <f>IFERROR(MATCH($C$5&amp;"|"&amp;RIGHT("000000"&amp;349,6),LdBKeyM,0),"")</f>
        <v/>
      </c>
      <c r="N365">
        <f>IFERROR(MATCH($C$5&amp;"|"&amp;RIGHT("000000"&amp;349,6),LdCKeyM,0),"")</f>
        <v/>
      </c>
    </row>
    <row r="366">
      <c r="A366" s="19" t="n">
        <v>350</v>
      </c>
      <c r="B366" s="20">
        <f>IF(AND($L366="",$M366="",$N366=""),"",IF($L366&lt;&gt;"",INDEX(LdADate,$L366),IF($M366&lt;&gt;"",INDEX(LdBDate,$M366),INDEX(LdCDate,$N366))))</f>
        <v/>
      </c>
      <c r="C366" s="20">
        <f>IF($L366&lt;&gt;"","دستمزد (فردی)",IF($M366&lt;&gt;"","سهم از گروه "&amp;IFERROR(VLOOKUP(INDEX(LdBGroup,$M366),WGTbl,2,0),INDEX(LdBGroup,$M366)),IF($N366&lt;&gt;"",IF(N(INDEX(LdCDep,$N366))&gt;0,"بازگشت بانکی","پرداخت بانکی"),"")))</f>
        <v/>
      </c>
      <c r="D366" s="20">
        <f>IF($L366&lt;&gt;"",IF(INDEX(LdAId,$L366)="","—",INDEX(LdAId,$L366)),IF($M366&lt;&gt;"",IF(INDEX(LdBId,$M366)="","—",INDEX(LdBId,$M366)),IF($N366&lt;&gt;"",IF(INDEX(LdCBank,$N366)="","—",INDEX(LdCBank,$N366)),"")))</f>
        <v/>
      </c>
      <c r="E366" s="21">
        <f>IF($L366&lt;&gt;"",IF(INDEX(LdAAmt,$L366)=0,"",INDEX(LdAAmt,$L366)),IF($M366&lt;&gt;"",IF(INDEX(LdBAmt,$M366)=0,"",INDEX(LdBAmt,$M366)),IF($N366&lt;&gt;"",IF(INDEX(LdCDep,$N366)=0,"",INDEX(LdCDep,$N366)),"")))</f>
        <v/>
      </c>
      <c r="F366" s="21">
        <f>IF(AND($L366="",$M366="",$N366=""),"",IF($N366="","",IF(INDEX(LdCWit,$N366)=0,"",INDEX(LdCWit,$N366))))</f>
        <v/>
      </c>
      <c r="G366" s="31">
        <f>IF($B366="","",IF($G365="",0,$G365)+IF($E366="",0,$E366)-IF($F366="",0,$F366))</f>
        <v/>
      </c>
      <c r="H366" s="32">
        <f>IF(AND($L366="",$M366="",$N366=""),"",IF($L366&lt;&gt;"",IF(INDEX(LdANote,$L366)="","—",INDEX(LdANote,$L366)),IF($M366&lt;&gt;"",IF(INDEX(LdBNote,$M366)="","—",INDEX(LdBNote,$M366)),IF($N366&lt;&gt;"",IF(INDEX(LdCNote,$N366)="","—",INDEX(LdCNote,$N366)),""))))</f>
        <v/>
      </c>
      <c r="L366">
        <f>IFERROR(MATCH($C$5&amp;"|"&amp;RIGHT("000000"&amp;350,6),LdAKeyM,0),"")</f>
        <v/>
      </c>
      <c r="M366">
        <f>IFERROR(MATCH($C$5&amp;"|"&amp;RIGHT("000000"&amp;350,6),LdBKeyM,0),"")</f>
        <v/>
      </c>
      <c r="N366">
        <f>IFERROR(MATCH($C$5&amp;"|"&amp;RIGHT("000000"&amp;350,6),LdCKeyM,0),"")</f>
        <v/>
      </c>
    </row>
    <row r="367">
      <c r="A367" s="10" t="n">
        <v>351</v>
      </c>
      <c r="B367" s="14">
        <f>IF(AND($L367="",$M367="",$N367=""),"",IF($L367&lt;&gt;"",INDEX(LdADate,$L367),IF($M367&lt;&gt;"",INDEX(LdBDate,$M367),INDEX(LdCDate,$N367))))</f>
        <v/>
      </c>
      <c r="C367" s="14">
        <f>IF($L367&lt;&gt;"","دستمزد (فردی)",IF($M367&lt;&gt;"","سهم از گروه "&amp;IFERROR(VLOOKUP(INDEX(LdBGroup,$M367),WGTbl,2,0),INDEX(LdBGroup,$M367)),IF($N367&lt;&gt;"",IF(N(INDEX(LdCDep,$N367))&gt;0,"بازگشت بانکی","پرداخت بانکی"),"")))</f>
        <v/>
      </c>
      <c r="D367" s="14">
        <f>IF($L367&lt;&gt;"",IF(INDEX(LdAId,$L367)="","—",INDEX(LdAId,$L367)),IF($M367&lt;&gt;"",IF(INDEX(LdBId,$M367)="","—",INDEX(LdBId,$M367)),IF($N367&lt;&gt;"",IF(INDEX(LdCBank,$N367)="","—",INDEX(LdCBank,$N367)),"")))</f>
        <v/>
      </c>
      <c r="E367" s="16">
        <f>IF($L367&lt;&gt;"",IF(INDEX(LdAAmt,$L367)=0,"",INDEX(LdAAmt,$L367)),IF($M367&lt;&gt;"",IF(INDEX(LdBAmt,$M367)=0,"",INDEX(LdBAmt,$M367)),IF($N367&lt;&gt;"",IF(INDEX(LdCDep,$N367)=0,"",INDEX(LdCDep,$N367)),"")))</f>
        <v/>
      </c>
      <c r="F367" s="16">
        <f>IF(AND($L367="",$M367="",$N367=""),"",IF($N367="","",IF(INDEX(LdCWit,$N367)=0,"",INDEX(LdCWit,$N367))))</f>
        <v/>
      </c>
      <c r="G367" s="29">
        <f>IF($B367="","",IF($G366="",0,$G366)+IF($E367="",0,$E367)-IF($F367="",0,$F367))</f>
        <v/>
      </c>
      <c r="H367" s="30">
        <f>IF(AND($L367="",$M367="",$N367=""),"",IF($L367&lt;&gt;"",IF(INDEX(LdANote,$L367)="","—",INDEX(LdANote,$L367)),IF($M367&lt;&gt;"",IF(INDEX(LdBNote,$M367)="","—",INDEX(LdBNote,$M367)),IF($N367&lt;&gt;"",IF(INDEX(LdCNote,$N367)="","—",INDEX(LdCNote,$N367)),""))))</f>
        <v/>
      </c>
      <c r="L367">
        <f>IFERROR(MATCH($C$5&amp;"|"&amp;RIGHT("000000"&amp;351,6),LdAKeyM,0),"")</f>
        <v/>
      </c>
      <c r="M367">
        <f>IFERROR(MATCH($C$5&amp;"|"&amp;RIGHT("000000"&amp;351,6),LdBKeyM,0),"")</f>
        <v/>
      </c>
      <c r="N367">
        <f>IFERROR(MATCH($C$5&amp;"|"&amp;RIGHT("000000"&amp;351,6),LdCKeyM,0),"")</f>
        <v/>
      </c>
    </row>
    <row r="368">
      <c r="A368" s="19" t="n">
        <v>352</v>
      </c>
      <c r="B368" s="20">
        <f>IF(AND($L368="",$M368="",$N368=""),"",IF($L368&lt;&gt;"",INDEX(LdADate,$L368),IF($M368&lt;&gt;"",INDEX(LdBDate,$M368),INDEX(LdCDate,$N368))))</f>
        <v/>
      </c>
      <c r="C368" s="20">
        <f>IF($L368&lt;&gt;"","دستمزد (فردی)",IF($M368&lt;&gt;"","سهم از گروه "&amp;IFERROR(VLOOKUP(INDEX(LdBGroup,$M368),WGTbl,2,0),INDEX(LdBGroup,$M368)),IF($N368&lt;&gt;"",IF(N(INDEX(LdCDep,$N368))&gt;0,"بازگشت بانکی","پرداخت بانکی"),"")))</f>
        <v/>
      </c>
      <c r="D368" s="20">
        <f>IF($L368&lt;&gt;"",IF(INDEX(LdAId,$L368)="","—",INDEX(LdAId,$L368)),IF($M368&lt;&gt;"",IF(INDEX(LdBId,$M368)="","—",INDEX(LdBId,$M368)),IF($N368&lt;&gt;"",IF(INDEX(LdCBank,$N368)="","—",INDEX(LdCBank,$N368)),"")))</f>
        <v/>
      </c>
      <c r="E368" s="21">
        <f>IF($L368&lt;&gt;"",IF(INDEX(LdAAmt,$L368)=0,"",INDEX(LdAAmt,$L368)),IF($M368&lt;&gt;"",IF(INDEX(LdBAmt,$M368)=0,"",INDEX(LdBAmt,$M368)),IF($N368&lt;&gt;"",IF(INDEX(LdCDep,$N368)=0,"",INDEX(LdCDep,$N368)),"")))</f>
        <v/>
      </c>
      <c r="F368" s="21">
        <f>IF(AND($L368="",$M368="",$N368=""),"",IF($N368="","",IF(INDEX(LdCWit,$N368)=0,"",INDEX(LdCWit,$N368))))</f>
        <v/>
      </c>
      <c r="G368" s="31">
        <f>IF($B368="","",IF($G367="",0,$G367)+IF($E368="",0,$E368)-IF($F368="",0,$F368))</f>
        <v/>
      </c>
      <c r="H368" s="32">
        <f>IF(AND($L368="",$M368="",$N368=""),"",IF($L368&lt;&gt;"",IF(INDEX(LdANote,$L368)="","—",INDEX(LdANote,$L368)),IF($M368&lt;&gt;"",IF(INDEX(LdBNote,$M368)="","—",INDEX(LdBNote,$M368)),IF($N368&lt;&gt;"",IF(INDEX(LdCNote,$N368)="","—",INDEX(LdCNote,$N368)),""))))</f>
        <v/>
      </c>
      <c r="L368">
        <f>IFERROR(MATCH($C$5&amp;"|"&amp;RIGHT("000000"&amp;352,6),LdAKeyM,0),"")</f>
        <v/>
      </c>
      <c r="M368">
        <f>IFERROR(MATCH($C$5&amp;"|"&amp;RIGHT("000000"&amp;352,6),LdBKeyM,0),"")</f>
        <v/>
      </c>
      <c r="N368">
        <f>IFERROR(MATCH($C$5&amp;"|"&amp;RIGHT("000000"&amp;352,6),LdCKeyM,0),"")</f>
        <v/>
      </c>
    </row>
    <row r="369">
      <c r="A369" s="10" t="n">
        <v>353</v>
      </c>
      <c r="B369" s="14">
        <f>IF(AND($L369="",$M369="",$N369=""),"",IF($L369&lt;&gt;"",INDEX(LdADate,$L369),IF($M369&lt;&gt;"",INDEX(LdBDate,$M369),INDEX(LdCDate,$N369))))</f>
        <v/>
      </c>
      <c r="C369" s="14">
        <f>IF($L369&lt;&gt;"","دستمزد (فردی)",IF($M369&lt;&gt;"","سهم از گروه "&amp;IFERROR(VLOOKUP(INDEX(LdBGroup,$M369),WGTbl,2,0),INDEX(LdBGroup,$M369)),IF($N369&lt;&gt;"",IF(N(INDEX(LdCDep,$N369))&gt;0,"بازگشت بانکی","پرداخت بانکی"),"")))</f>
        <v/>
      </c>
      <c r="D369" s="14">
        <f>IF($L369&lt;&gt;"",IF(INDEX(LdAId,$L369)="","—",INDEX(LdAId,$L369)),IF($M369&lt;&gt;"",IF(INDEX(LdBId,$M369)="","—",INDEX(LdBId,$M369)),IF($N369&lt;&gt;"",IF(INDEX(LdCBank,$N369)="","—",INDEX(LdCBank,$N369)),"")))</f>
        <v/>
      </c>
      <c r="E369" s="16">
        <f>IF($L369&lt;&gt;"",IF(INDEX(LdAAmt,$L369)=0,"",INDEX(LdAAmt,$L369)),IF($M369&lt;&gt;"",IF(INDEX(LdBAmt,$M369)=0,"",INDEX(LdBAmt,$M369)),IF($N369&lt;&gt;"",IF(INDEX(LdCDep,$N369)=0,"",INDEX(LdCDep,$N369)),"")))</f>
        <v/>
      </c>
      <c r="F369" s="16">
        <f>IF(AND($L369="",$M369="",$N369=""),"",IF($N369="","",IF(INDEX(LdCWit,$N369)=0,"",INDEX(LdCWit,$N369))))</f>
        <v/>
      </c>
      <c r="G369" s="29">
        <f>IF($B369="","",IF($G368="",0,$G368)+IF($E369="",0,$E369)-IF($F369="",0,$F369))</f>
        <v/>
      </c>
      <c r="H369" s="30">
        <f>IF(AND($L369="",$M369="",$N369=""),"",IF($L369&lt;&gt;"",IF(INDEX(LdANote,$L369)="","—",INDEX(LdANote,$L369)),IF($M369&lt;&gt;"",IF(INDEX(LdBNote,$M369)="","—",INDEX(LdBNote,$M369)),IF($N369&lt;&gt;"",IF(INDEX(LdCNote,$N369)="","—",INDEX(LdCNote,$N369)),""))))</f>
        <v/>
      </c>
      <c r="L369">
        <f>IFERROR(MATCH($C$5&amp;"|"&amp;RIGHT("000000"&amp;353,6),LdAKeyM,0),"")</f>
        <v/>
      </c>
      <c r="M369">
        <f>IFERROR(MATCH($C$5&amp;"|"&amp;RIGHT("000000"&amp;353,6),LdBKeyM,0),"")</f>
        <v/>
      </c>
      <c r="N369">
        <f>IFERROR(MATCH($C$5&amp;"|"&amp;RIGHT("000000"&amp;353,6),LdCKeyM,0),"")</f>
        <v/>
      </c>
    </row>
    <row r="370">
      <c r="A370" s="19" t="n">
        <v>354</v>
      </c>
      <c r="B370" s="20">
        <f>IF(AND($L370="",$M370="",$N370=""),"",IF($L370&lt;&gt;"",INDEX(LdADate,$L370),IF($M370&lt;&gt;"",INDEX(LdBDate,$M370),INDEX(LdCDate,$N370))))</f>
        <v/>
      </c>
      <c r="C370" s="20">
        <f>IF($L370&lt;&gt;"","دستمزد (فردی)",IF($M370&lt;&gt;"","سهم از گروه "&amp;IFERROR(VLOOKUP(INDEX(LdBGroup,$M370),WGTbl,2,0),INDEX(LdBGroup,$M370)),IF($N370&lt;&gt;"",IF(N(INDEX(LdCDep,$N370))&gt;0,"بازگشت بانکی","پرداخت بانکی"),"")))</f>
        <v/>
      </c>
      <c r="D370" s="20">
        <f>IF($L370&lt;&gt;"",IF(INDEX(LdAId,$L370)="","—",INDEX(LdAId,$L370)),IF($M370&lt;&gt;"",IF(INDEX(LdBId,$M370)="","—",INDEX(LdBId,$M370)),IF($N370&lt;&gt;"",IF(INDEX(LdCBank,$N370)="","—",INDEX(LdCBank,$N370)),"")))</f>
        <v/>
      </c>
      <c r="E370" s="21">
        <f>IF($L370&lt;&gt;"",IF(INDEX(LdAAmt,$L370)=0,"",INDEX(LdAAmt,$L370)),IF($M370&lt;&gt;"",IF(INDEX(LdBAmt,$M370)=0,"",INDEX(LdBAmt,$M370)),IF($N370&lt;&gt;"",IF(INDEX(LdCDep,$N370)=0,"",INDEX(LdCDep,$N370)),"")))</f>
        <v/>
      </c>
      <c r="F370" s="21">
        <f>IF(AND($L370="",$M370="",$N370=""),"",IF($N370="","",IF(INDEX(LdCWit,$N370)=0,"",INDEX(LdCWit,$N370))))</f>
        <v/>
      </c>
      <c r="G370" s="31">
        <f>IF($B370="","",IF($G369="",0,$G369)+IF($E370="",0,$E370)-IF($F370="",0,$F370))</f>
        <v/>
      </c>
      <c r="H370" s="32">
        <f>IF(AND($L370="",$M370="",$N370=""),"",IF($L370&lt;&gt;"",IF(INDEX(LdANote,$L370)="","—",INDEX(LdANote,$L370)),IF($M370&lt;&gt;"",IF(INDEX(LdBNote,$M370)="","—",INDEX(LdBNote,$M370)),IF($N370&lt;&gt;"",IF(INDEX(LdCNote,$N370)="","—",INDEX(LdCNote,$N370)),""))))</f>
        <v/>
      </c>
      <c r="L370">
        <f>IFERROR(MATCH($C$5&amp;"|"&amp;RIGHT("000000"&amp;354,6),LdAKeyM,0),"")</f>
        <v/>
      </c>
      <c r="M370">
        <f>IFERROR(MATCH($C$5&amp;"|"&amp;RIGHT("000000"&amp;354,6),LdBKeyM,0),"")</f>
        <v/>
      </c>
      <c r="N370">
        <f>IFERROR(MATCH($C$5&amp;"|"&amp;RIGHT("000000"&amp;354,6),LdCKeyM,0),"")</f>
        <v/>
      </c>
    </row>
    <row r="371">
      <c r="A371" s="10" t="n">
        <v>355</v>
      </c>
      <c r="B371" s="14">
        <f>IF(AND($L371="",$M371="",$N371=""),"",IF($L371&lt;&gt;"",INDEX(LdADate,$L371),IF($M371&lt;&gt;"",INDEX(LdBDate,$M371),INDEX(LdCDate,$N371))))</f>
        <v/>
      </c>
      <c r="C371" s="14">
        <f>IF($L371&lt;&gt;"","دستمزد (فردی)",IF($M371&lt;&gt;"","سهم از گروه "&amp;IFERROR(VLOOKUP(INDEX(LdBGroup,$M371),WGTbl,2,0),INDEX(LdBGroup,$M371)),IF($N371&lt;&gt;"",IF(N(INDEX(LdCDep,$N371))&gt;0,"بازگشت بانکی","پرداخت بانکی"),"")))</f>
        <v/>
      </c>
      <c r="D371" s="14">
        <f>IF($L371&lt;&gt;"",IF(INDEX(LdAId,$L371)="","—",INDEX(LdAId,$L371)),IF($M371&lt;&gt;"",IF(INDEX(LdBId,$M371)="","—",INDEX(LdBId,$M371)),IF($N371&lt;&gt;"",IF(INDEX(LdCBank,$N371)="","—",INDEX(LdCBank,$N371)),"")))</f>
        <v/>
      </c>
      <c r="E371" s="16">
        <f>IF($L371&lt;&gt;"",IF(INDEX(LdAAmt,$L371)=0,"",INDEX(LdAAmt,$L371)),IF($M371&lt;&gt;"",IF(INDEX(LdBAmt,$M371)=0,"",INDEX(LdBAmt,$M371)),IF($N371&lt;&gt;"",IF(INDEX(LdCDep,$N371)=0,"",INDEX(LdCDep,$N371)),"")))</f>
        <v/>
      </c>
      <c r="F371" s="16">
        <f>IF(AND($L371="",$M371="",$N371=""),"",IF($N371="","",IF(INDEX(LdCWit,$N371)=0,"",INDEX(LdCWit,$N371))))</f>
        <v/>
      </c>
      <c r="G371" s="29">
        <f>IF($B371="","",IF($G370="",0,$G370)+IF($E371="",0,$E371)-IF($F371="",0,$F371))</f>
        <v/>
      </c>
      <c r="H371" s="30">
        <f>IF(AND($L371="",$M371="",$N371=""),"",IF($L371&lt;&gt;"",IF(INDEX(LdANote,$L371)="","—",INDEX(LdANote,$L371)),IF($M371&lt;&gt;"",IF(INDEX(LdBNote,$M371)="","—",INDEX(LdBNote,$M371)),IF($N371&lt;&gt;"",IF(INDEX(LdCNote,$N371)="","—",INDEX(LdCNote,$N371)),""))))</f>
        <v/>
      </c>
      <c r="L371">
        <f>IFERROR(MATCH($C$5&amp;"|"&amp;RIGHT("000000"&amp;355,6),LdAKeyM,0),"")</f>
        <v/>
      </c>
      <c r="M371">
        <f>IFERROR(MATCH($C$5&amp;"|"&amp;RIGHT("000000"&amp;355,6),LdBKeyM,0),"")</f>
        <v/>
      </c>
      <c r="N371">
        <f>IFERROR(MATCH($C$5&amp;"|"&amp;RIGHT("000000"&amp;355,6),LdCKeyM,0),"")</f>
        <v/>
      </c>
    </row>
    <row r="372">
      <c r="A372" s="19" t="n">
        <v>356</v>
      </c>
      <c r="B372" s="20">
        <f>IF(AND($L372="",$M372="",$N372=""),"",IF($L372&lt;&gt;"",INDEX(LdADate,$L372),IF($M372&lt;&gt;"",INDEX(LdBDate,$M372),INDEX(LdCDate,$N372))))</f>
        <v/>
      </c>
      <c r="C372" s="20">
        <f>IF($L372&lt;&gt;"","دستمزد (فردی)",IF($M372&lt;&gt;"","سهم از گروه "&amp;IFERROR(VLOOKUP(INDEX(LdBGroup,$M372),WGTbl,2,0),INDEX(LdBGroup,$M372)),IF($N372&lt;&gt;"",IF(N(INDEX(LdCDep,$N372))&gt;0,"بازگشت بانکی","پرداخت بانکی"),"")))</f>
        <v/>
      </c>
      <c r="D372" s="20">
        <f>IF($L372&lt;&gt;"",IF(INDEX(LdAId,$L372)="","—",INDEX(LdAId,$L372)),IF($M372&lt;&gt;"",IF(INDEX(LdBId,$M372)="","—",INDEX(LdBId,$M372)),IF($N372&lt;&gt;"",IF(INDEX(LdCBank,$N372)="","—",INDEX(LdCBank,$N372)),"")))</f>
        <v/>
      </c>
      <c r="E372" s="21">
        <f>IF($L372&lt;&gt;"",IF(INDEX(LdAAmt,$L372)=0,"",INDEX(LdAAmt,$L372)),IF($M372&lt;&gt;"",IF(INDEX(LdBAmt,$M372)=0,"",INDEX(LdBAmt,$M372)),IF($N372&lt;&gt;"",IF(INDEX(LdCDep,$N372)=0,"",INDEX(LdCDep,$N372)),"")))</f>
        <v/>
      </c>
      <c r="F372" s="21">
        <f>IF(AND($L372="",$M372="",$N372=""),"",IF($N372="","",IF(INDEX(LdCWit,$N372)=0,"",INDEX(LdCWit,$N372))))</f>
        <v/>
      </c>
      <c r="G372" s="31">
        <f>IF($B372="","",IF($G371="",0,$G371)+IF($E372="",0,$E372)-IF($F372="",0,$F372))</f>
        <v/>
      </c>
      <c r="H372" s="32">
        <f>IF(AND($L372="",$M372="",$N372=""),"",IF($L372&lt;&gt;"",IF(INDEX(LdANote,$L372)="","—",INDEX(LdANote,$L372)),IF($M372&lt;&gt;"",IF(INDEX(LdBNote,$M372)="","—",INDEX(LdBNote,$M372)),IF($N372&lt;&gt;"",IF(INDEX(LdCNote,$N372)="","—",INDEX(LdCNote,$N372)),""))))</f>
        <v/>
      </c>
      <c r="L372">
        <f>IFERROR(MATCH($C$5&amp;"|"&amp;RIGHT("000000"&amp;356,6),LdAKeyM,0),"")</f>
        <v/>
      </c>
      <c r="M372">
        <f>IFERROR(MATCH($C$5&amp;"|"&amp;RIGHT("000000"&amp;356,6),LdBKeyM,0),"")</f>
        <v/>
      </c>
      <c r="N372">
        <f>IFERROR(MATCH($C$5&amp;"|"&amp;RIGHT("000000"&amp;356,6),LdCKeyM,0),"")</f>
        <v/>
      </c>
    </row>
    <row r="373">
      <c r="A373" s="10" t="n">
        <v>357</v>
      </c>
      <c r="B373" s="14">
        <f>IF(AND($L373="",$M373="",$N373=""),"",IF($L373&lt;&gt;"",INDEX(LdADate,$L373),IF($M373&lt;&gt;"",INDEX(LdBDate,$M373),INDEX(LdCDate,$N373))))</f>
        <v/>
      </c>
      <c r="C373" s="14">
        <f>IF($L373&lt;&gt;"","دستمزد (فردی)",IF($M373&lt;&gt;"","سهم از گروه "&amp;IFERROR(VLOOKUP(INDEX(LdBGroup,$M373),WGTbl,2,0),INDEX(LdBGroup,$M373)),IF($N373&lt;&gt;"",IF(N(INDEX(LdCDep,$N373))&gt;0,"بازگشت بانکی","پرداخت بانکی"),"")))</f>
        <v/>
      </c>
      <c r="D373" s="14">
        <f>IF($L373&lt;&gt;"",IF(INDEX(LdAId,$L373)="","—",INDEX(LdAId,$L373)),IF($M373&lt;&gt;"",IF(INDEX(LdBId,$M373)="","—",INDEX(LdBId,$M373)),IF($N373&lt;&gt;"",IF(INDEX(LdCBank,$N373)="","—",INDEX(LdCBank,$N373)),"")))</f>
        <v/>
      </c>
      <c r="E373" s="16">
        <f>IF($L373&lt;&gt;"",IF(INDEX(LdAAmt,$L373)=0,"",INDEX(LdAAmt,$L373)),IF($M373&lt;&gt;"",IF(INDEX(LdBAmt,$M373)=0,"",INDEX(LdBAmt,$M373)),IF($N373&lt;&gt;"",IF(INDEX(LdCDep,$N373)=0,"",INDEX(LdCDep,$N373)),"")))</f>
        <v/>
      </c>
      <c r="F373" s="16">
        <f>IF(AND($L373="",$M373="",$N373=""),"",IF($N373="","",IF(INDEX(LdCWit,$N373)=0,"",INDEX(LdCWit,$N373))))</f>
        <v/>
      </c>
      <c r="G373" s="29">
        <f>IF($B373="","",IF($G372="",0,$G372)+IF($E373="",0,$E373)-IF($F373="",0,$F373))</f>
        <v/>
      </c>
      <c r="H373" s="30">
        <f>IF(AND($L373="",$M373="",$N373=""),"",IF($L373&lt;&gt;"",IF(INDEX(LdANote,$L373)="","—",INDEX(LdANote,$L373)),IF($M373&lt;&gt;"",IF(INDEX(LdBNote,$M373)="","—",INDEX(LdBNote,$M373)),IF($N373&lt;&gt;"",IF(INDEX(LdCNote,$N373)="","—",INDEX(LdCNote,$N373)),""))))</f>
        <v/>
      </c>
      <c r="L373">
        <f>IFERROR(MATCH($C$5&amp;"|"&amp;RIGHT("000000"&amp;357,6),LdAKeyM,0),"")</f>
        <v/>
      </c>
      <c r="M373">
        <f>IFERROR(MATCH($C$5&amp;"|"&amp;RIGHT("000000"&amp;357,6),LdBKeyM,0),"")</f>
        <v/>
      </c>
      <c r="N373">
        <f>IFERROR(MATCH($C$5&amp;"|"&amp;RIGHT("000000"&amp;357,6),LdCKeyM,0),"")</f>
        <v/>
      </c>
    </row>
    <row r="374">
      <c r="A374" s="19" t="n">
        <v>358</v>
      </c>
      <c r="B374" s="20">
        <f>IF(AND($L374="",$M374="",$N374=""),"",IF($L374&lt;&gt;"",INDEX(LdADate,$L374),IF($M374&lt;&gt;"",INDEX(LdBDate,$M374),INDEX(LdCDate,$N374))))</f>
        <v/>
      </c>
      <c r="C374" s="20">
        <f>IF($L374&lt;&gt;"","دستمزد (فردی)",IF($M374&lt;&gt;"","سهم از گروه "&amp;IFERROR(VLOOKUP(INDEX(LdBGroup,$M374),WGTbl,2,0),INDEX(LdBGroup,$M374)),IF($N374&lt;&gt;"",IF(N(INDEX(LdCDep,$N374))&gt;0,"بازگشت بانکی","پرداخت بانکی"),"")))</f>
        <v/>
      </c>
      <c r="D374" s="20">
        <f>IF($L374&lt;&gt;"",IF(INDEX(LdAId,$L374)="","—",INDEX(LdAId,$L374)),IF($M374&lt;&gt;"",IF(INDEX(LdBId,$M374)="","—",INDEX(LdBId,$M374)),IF($N374&lt;&gt;"",IF(INDEX(LdCBank,$N374)="","—",INDEX(LdCBank,$N374)),"")))</f>
        <v/>
      </c>
      <c r="E374" s="21">
        <f>IF($L374&lt;&gt;"",IF(INDEX(LdAAmt,$L374)=0,"",INDEX(LdAAmt,$L374)),IF($M374&lt;&gt;"",IF(INDEX(LdBAmt,$M374)=0,"",INDEX(LdBAmt,$M374)),IF($N374&lt;&gt;"",IF(INDEX(LdCDep,$N374)=0,"",INDEX(LdCDep,$N374)),"")))</f>
        <v/>
      </c>
      <c r="F374" s="21">
        <f>IF(AND($L374="",$M374="",$N374=""),"",IF($N374="","",IF(INDEX(LdCWit,$N374)=0,"",INDEX(LdCWit,$N374))))</f>
        <v/>
      </c>
      <c r="G374" s="31">
        <f>IF($B374="","",IF($G373="",0,$G373)+IF($E374="",0,$E374)-IF($F374="",0,$F374))</f>
        <v/>
      </c>
      <c r="H374" s="32">
        <f>IF(AND($L374="",$M374="",$N374=""),"",IF($L374&lt;&gt;"",IF(INDEX(LdANote,$L374)="","—",INDEX(LdANote,$L374)),IF($M374&lt;&gt;"",IF(INDEX(LdBNote,$M374)="","—",INDEX(LdBNote,$M374)),IF($N374&lt;&gt;"",IF(INDEX(LdCNote,$N374)="","—",INDEX(LdCNote,$N374)),""))))</f>
        <v/>
      </c>
      <c r="L374">
        <f>IFERROR(MATCH($C$5&amp;"|"&amp;RIGHT("000000"&amp;358,6),LdAKeyM,0),"")</f>
        <v/>
      </c>
      <c r="M374">
        <f>IFERROR(MATCH($C$5&amp;"|"&amp;RIGHT("000000"&amp;358,6),LdBKeyM,0),"")</f>
        <v/>
      </c>
      <c r="N374">
        <f>IFERROR(MATCH($C$5&amp;"|"&amp;RIGHT("000000"&amp;358,6),LdCKeyM,0),"")</f>
        <v/>
      </c>
    </row>
    <row r="375">
      <c r="A375" s="10" t="n">
        <v>359</v>
      </c>
      <c r="B375" s="14">
        <f>IF(AND($L375="",$M375="",$N375=""),"",IF($L375&lt;&gt;"",INDEX(LdADate,$L375),IF($M375&lt;&gt;"",INDEX(LdBDate,$M375),INDEX(LdCDate,$N375))))</f>
        <v/>
      </c>
      <c r="C375" s="14">
        <f>IF($L375&lt;&gt;"","دستمزد (فردی)",IF($M375&lt;&gt;"","سهم از گروه "&amp;IFERROR(VLOOKUP(INDEX(LdBGroup,$M375),WGTbl,2,0),INDEX(LdBGroup,$M375)),IF($N375&lt;&gt;"",IF(N(INDEX(LdCDep,$N375))&gt;0,"بازگشت بانکی","پرداخت بانکی"),"")))</f>
        <v/>
      </c>
      <c r="D375" s="14">
        <f>IF($L375&lt;&gt;"",IF(INDEX(LdAId,$L375)="","—",INDEX(LdAId,$L375)),IF($M375&lt;&gt;"",IF(INDEX(LdBId,$M375)="","—",INDEX(LdBId,$M375)),IF($N375&lt;&gt;"",IF(INDEX(LdCBank,$N375)="","—",INDEX(LdCBank,$N375)),"")))</f>
        <v/>
      </c>
      <c r="E375" s="16">
        <f>IF($L375&lt;&gt;"",IF(INDEX(LdAAmt,$L375)=0,"",INDEX(LdAAmt,$L375)),IF($M375&lt;&gt;"",IF(INDEX(LdBAmt,$M375)=0,"",INDEX(LdBAmt,$M375)),IF($N375&lt;&gt;"",IF(INDEX(LdCDep,$N375)=0,"",INDEX(LdCDep,$N375)),"")))</f>
        <v/>
      </c>
      <c r="F375" s="16">
        <f>IF(AND($L375="",$M375="",$N375=""),"",IF($N375="","",IF(INDEX(LdCWit,$N375)=0,"",INDEX(LdCWit,$N375))))</f>
        <v/>
      </c>
      <c r="G375" s="29">
        <f>IF($B375="","",IF($G374="",0,$G374)+IF($E375="",0,$E375)-IF($F375="",0,$F375))</f>
        <v/>
      </c>
      <c r="H375" s="30">
        <f>IF(AND($L375="",$M375="",$N375=""),"",IF($L375&lt;&gt;"",IF(INDEX(LdANote,$L375)="","—",INDEX(LdANote,$L375)),IF($M375&lt;&gt;"",IF(INDEX(LdBNote,$M375)="","—",INDEX(LdBNote,$M375)),IF($N375&lt;&gt;"",IF(INDEX(LdCNote,$N375)="","—",INDEX(LdCNote,$N375)),""))))</f>
        <v/>
      </c>
      <c r="L375">
        <f>IFERROR(MATCH($C$5&amp;"|"&amp;RIGHT("000000"&amp;359,6),LdAKeyM,0),"")</f>
        <v/>
      </c>
      <c r="M375">
        <f>IFERROR(MATCH($C$5&amp;"|"&amp;RIGHT("000000"&amp;359,6),LdBKeyM,0),"")</f>
        <v/>
      </c>
      <c r="N375">
        <f>IFERROR(MATCH($C$5&amp;"|"&amp;RIGHT("000000"&amp;359,6),LdCKeyM,0),"")</f>
        <v/>
      </c>
    </row>
    <row r="376">
      <c r="A376" s="19" t="n">
        <v>360</v>
      </c>
      <c r="B376" s="20">
        <f>IF(AND($L376="",$M376="",$N376=""),"",IF($L376&lt;&gt;"",INDEX(LdADate,$L376),IF($M376&lt;&gt;"",INDEX(LdBDate,$M376),INDEX(LdCDate,$N376))))</f>
        <v/>
      </c>
      <c r="C376" s="20">
        <f>IF($L376&lt;&gt;"","دستمزد (فردی)",IF($M376&lt;&gt;"","سهم از گروه "&amp;IFERROR(VLOOKUP(INDEX(LdBGroup,$M376),WGTbl,2,0),INDEX(LdBGroup,$M376)),IF($N376&lt;&gt;"",IF(N(INDEX(LdCDep,$N376))&gt;0,"بازگشت بانکی","پرداخت بانکی"),"")))</f>
        <v/>
      </c>
      <c r="D376" s="20">
        <f>IF($L376&lt;&gt;"",IF(INDEX(LdAId,$L376)="","—",INDEX(LdAId,$L376)),IF($M376&lt;&gt;"",IF(INDEX(LdBId,$M376)="","—",INDEX(LdBId,$M376)),IF($N376&lt;&gt;"",IF(INDEX(LdCBank,$N376)="","—",INDEX(LdCBank,$N376)),"")))</f>
        <v/>
      </c>
      <c r="E376" s="21">
        <f>IF($L376&lt;&gt;"",IF(INDEX(LdAAmt,$L376)=0,"",INDEX(LdAAmt,$L376)),IF($M376&lt;&gt;"",IF(INDEX(LdBAmt,$M376)=0,"",INDEX(LdBAmt,$M376)),IF($N376&lt;&gt;"",IF(INDEX(LdCDep,$N376)=0,"",INDEX(LdCDep,$N376)),"")))</f>
        <v/>
      </c>
      <c r="F376" s="21">
        <f>IF(AND($L376="",$M376="",$N376=""),"",IF($N376="","",IF(INDEX(LdCWit,$N376)=0,"",INDEX(LdCWit,$N376))))</f>
        <v/>
      </c>
      <c r="G376" s="31">
        <f>IF($B376="","",IF($G375="",0,$G375)+IF($E376="",0,$E376)-IF($F376="",0,$F376))</f>
        <v/>
      </c>
      <c r="H376" s="32">
        <f>IF(AND($L376="",$M376="",$N376=""),"",IF($L376&lt;&gt;"",IF(INDEX(LdANote,$L376)="","—",INDEX(LdANote,$L376)),IF($M376&lt;&gt;"",IF(INDEX(LdBNote,$M376)="","—",INDEX(LdBNote,$M376)),IF($N376&lt;&gt;"",IF(INDEX(LdCNote,$N376)="","—",INDEX(LdCNote,$N376)),""))))</f>
        <v/>
      </c>
      <c r="L376">
        <f>IFERROR(MATCH($C$5&amp;"|"&amp;RIGHT("000000"&amp;360,6),LdAKeyM,0),"")</f>
        <v/>
      </c>
      <c r="M376">
        <f>IFERROR(MATCH($C$5&amp;"|"&amp;RIGHT("000000"&amp;360,6),LdBKeyM,0),"")</f>
        <v/>
      </c>
      <c r="N376">
        <f>IFERROR(MATCH($C$5&amp;"|"&amp;RIGHT("000000"&amp;360,6),LdCKeyM,0),"")</f>
        <v/>
      </c>
    </row>
    <row r="377">
      <c r="A377" s="10" t="n">
        <v>361</v>
      </c>
      <c r="B377" s="14">
        <f>IF(AND($L377="",$M377="",$N377=""),"",IF($L377&lt;&gt;"",INDEX(LdADate,$L377),IF($M377&lt;&gt;"",INDEX(LdBDate,$M377),INDEX(LdCDate,$N377))))</f>
        <v/>
      </c>
      <c r="C377" s="14">
        <f>IF($L377&lt;&gt;"","دستمزد (فردی)",IF($M377&lt;&gt;"","سهم از گروه "&amp;IFERROR(VLOOKUP(INDEX(LdBGroup,$M377),WGTbl,2,0),INDEX(LdBGroup,$M377)),IF($N377&lt;&gt;"",IF(N(INDEX(LdCDep,$N377))&gt;0,"بازگشت بانکی","پرداخت بانکی"),"")))</f>
        <v/>
      </c>
      <c r="D377" s="14">
        <f>IF($L377&lt;&gt;"",IF(INDEX(LdAId,$L377)="","—",INDEX(LdAId,$L377)),IF($M377&lt;&gt;"",IF(INDEX(LdBId,$M377)="","—",INDEX(LdBId,$M377)),IF($N377&lt;&gt;"",IF(INDEX(LdCBank,$N377)="","—",INDEX(LdCBank,$N377)),"")))</f>
        <v/>
      </c>
      <c r="E377" s="16">
        <f>IF($L377&lt;&gt;"",IF(INDEX(LdAAmt,$L377)=0,"",INDEX(LdAAmt,$L377)),IF($M377&lt;&gt;"",IF(INDEX(LdBAmt,$M377)=0,"",INDEX(LdBAmt,$M377)),IF($N377&lt;&gt;"",IF(INDEX(LdCDep,$N377)=0,"",INDEX(LdCDep,$N377)),"")))</f>
        <v/>
      </c>
      <c r="F377" s="16">
        <f>IF(AND($L377="",$M377="",$N377=""),"",IF($N377="","",IF(INDEX(LdCWit,$N377)=0,"",INDEX(LdCWit,$N377))))</f>
        <v/>
      </c>
      <c r="G377" s="29">
        <f>IF($B377="","",IF($G376="",0,$G376)+IF($E377="",0,$E377)-IF($F377="",0,$F377))</f>
        <v/>
      </c>
      <c r="H377" s="30">
        <f>IF(AND($L377="",$M377="",$N377=""),"",IF($L377&lt;&gt;"",IF(INDEX(LdANote,$L377)="","—",INDEX(LdANote,$L377)),IF($M377&lt;&gt;"",IF(INDEX(LdBNote,$M377)="","—",INDEX(LdBNote,$M377)),IF($N377&lt;&gt;"",IF(INDEX(LdCNote,$N377)="","—",INDEX(LdCNote,$N377)),""))))</f>
        <v/>
      </c>
      <c r="L377">
        <f>IFERROR(MATCH($C$5&amp;"|"&amp;RIGHT("000000"&amp;361,6),LdAKeyM,0),"")</f>
        <v/>
      </c>
      <c r="M377">
        <f>IFERROR(MATCH($C$5&amp;"|"&amp;RIGHT("000000"&amp;361,6),LdBKeyM,0),"")</f>
        <v/>
      </c>
      <c r="N377">
        <f>IFERROR(MATCH($C$5&amp;"|"&amp;RIGHT("000000"&amp;361,6),LdCKeyM,0),"")</f>
        <v/>
      </c>
    </row>
    <row r="378">
      <c r="A378" s="19" t="n">
        <v>362</v>
      </c>
      <c r="B378" s="20">
        <f>IF(AND($L378="",$M378="",$N378=""),"",IF($L378&lt;&gt;"",INDEX(LdADate,$L378),IF($M378&lt;&gt;"",INDEX(LdBDate,$M378),INDEX(LdCDate,$N378))))</f>
        <v/>
      </c>
      <c r="C378" s="20">
        <f>IF($L378&lt;&gt;"","دستمزد (فردی)",IF($M378&lt;&gt;"","سهم از گروه "&amp;IFERROR(VLOOKUP(INDEX(LdBGroup,$M378),WGTbl,2,0),INDEX(LdBGroup,$M378)),IF($N378&lt;&gt;"",IF(N(INDEX(LdCDep,$N378))&gt;0,"بازگشت بانکی","پرداخت بانکی"),"")))</f>
        <v/>
      </c>
      <c r="D378" s="20">
        <f>IF($L378&lt;&gt;"",IF(INDEX(LdAId,$L378)="","—",INDEX(LdAId,$L378)),IF($M378&lt;&gt;"",IF(INDEX(LdBId,$M378)="","—",INDEX(LdBId,$M378)),IF($N378&lt;&gt;"",IF(INDEX(LdCBank,$N378)="","—",INDEX(LdCBank,$N378)),"")))</f>
        <v/>
      </c>
      <c r="E378" s="21">
        <f>IF($L378&lt;&gt;"",IF(INDEX(LdAAmt,$L378)=0,"",INDEX(LdAAmt,$L378)),IF($M378&lt;&gt;"",IF(INDEX(LdBAmt,$M378)=0,"",INDEX(LdBAmt,$M378)),IF($N378&lt;&gt;"",IF(INDEX(LdCDep,$N378)=0,"",INDEX(LdCDep,$N378)),"")))</f>
        <v/>
      </c>
      <c r="F378" s="21">
        <f>IF(AND($L378="",$M378="",$N378=""),"",IF($N378="","",IF(INDEX(LdCWit,$N378)=0,"",INDEX(LdCWit,$N378))))</f>
        <v/>
      </c>
      <c r="G378" s="31">
        <f>IF($B378="","",IF($G377="",0,$G377)+IF($E378="",0,$E378)-IF($F378="",0,$F378))</f>
        <v/>
      </c>
      <c r="H378" s="32">
        <f>IF(AND($L378="",$M378="",$N378=""),"",IF($L378&lt;&gt;"",IF(INDEX(LdANote,$L378)="","—",INDEX(LdANote,$L378)),IF($M378&lt;&gt;"",IF(INDEX(LdBNote,$M378)="","—",INDEX(LdBNote,$M378)),IF($N378&lt;&gt;"",IF(INDEX(LdCNote,$N378)="","—",INDEX(LdCNote,$N378)),""))))</f>
        <v/>
      </c>
      <c r="L378">
        <f>IFERROR(MATCH($C$5&amp;"|"&amp;RIGHT("000000"&amp;362,6),LdAKeyM,0),"")</f>
        <v/>
      </c>
      <c r="M378">
        <f>IFERROR(MATCH($C$5&amp;"|"&amp;RIGHT("000000"&amp;362,6),LdBKeyM,0),"")</f>
        <v/>
      </c>
      <c r="N378">
        <f>IFERROR(MATCH($C$5&amp;"|"&amp;RIGHT("000000"&amp;362,6),LdCKeyM,0),"")</f>
        <v/>
      </c>
    </row>
    <row r="379">
      <c r="A379" s="10" t="n">
        <v>363</v>
      </c>
      <c r="B379" s="14">
        <f>IF(AND($L379="",$M379="",$N379=""),"",IF($L379&lt;&gt;"",INDEX(LdADate,$L379),IF($M379&lt;&gt;"",INDEX(LdBDate,$M379),INDEX(LdCDate,$N379))))</f>
        <v/>
      </c>
      <c r="C379" s="14">
        <f>IF($L379&lt;&gt;"","دستمزد (فردی)",IF($M379&lt;&gt;"","سهم از گروه "&amp;IFERROR(VLOOKUP(INDEX(LdBGroup,$M379),WGTbl,2,0),INDEX(LdBGroup,$M379)),IF($N379&lt;&gt;"",IF(N(INDEX(LdCDep,$N379))&gt;0,"بازگشت بانکی","پرداخت بانکی"),"")))</f>
        <v/>
      </c>
      <c r="D379" s="14">
        <f>IF($L379&lt;&gt;"",IF(INDEX(LdAId,$L379)="","—",INDEX(LdAId,$L379)),IF($M379&lt;&gt;"",IF(INDEX(LdBId,$M379)="","—",INDEX(LdBId,$M379)),IF($N379&lt;&gt;"",IF(INDEX(LdCBank,$N379)="","—",INDEX(LdCBank,$N379)),"")))</f>
        <v/>
      </c>
      <c r="E379" s="16">
        <f>IF($L379&lt;&gt;"",IF(INDEX(LdAAmt,$L379)=0,"",INDEX(LdAAmt,$L379)),IF($M379&lt;&gt;"",IF(INDEX(LdBAmt,$M379)=0,"",INDEX(LdBAmt,$M379)),IF($N379&lt;&gt;"",IF(INDEX(LdCDep,$N379)=0,"",INDEX(LdCDep,$N379)),"")))</f>
        <v/>
      </c>
      <c r="F379" s="16">
        <f>IF(AND($L379="",$M379="",$N379=""),"",IF($N379="","",IF(INDEX(LdCWit,$N379)=0,"",INDEX(LdCWit,$N379))))</f>
        <v/>
      </c>
      <c r="G379" s="29">
        <f>IF($B379="","",IF($G378="",0,$G378)+IF($E379="",0,$E379)-IF($F379="",0,$F379))</f>
        <v/>
      </c>
      <c r="H379" s="30">
        <f>IF(AND($L379="",$M379="",$N379=""),"",IF($L379&lt;&gt;"",IF(INDEX(LdANote,$L379)="","—",INDEX(LdANote,$L379)),IF($M379&lt;&gt;"",IF(INDEX(LdBNote,$M379)="","—",INDEX(LdBNote,$M379)),IF($N379&lt;&gt;"",IF(INDEX(LdCNote,$N379)="","—",INDEX(LdCNote,$N379)),""))))</f>
        <v/>
      </c>
      <c r="L379">
        <f>IFERROR(MATCH($C$5&amp;"|"&amp;RIGHT("000000"&amp;363,6),LdAKeyM,0),"")</f>
        <v/>
      </c>
      <c r="M379">
        <f>IFERROR(MATCH($C$5&amp;"|"&amp;RIGHT("000000"&amp;363,6),LdBKeyM,0),"")</f>
        <v/>
      </c>
      <c r="N379">
        <f>IFERROR(MATCH($C$5&amp;"|"&amp;RIGHT("000000"&amp;363,6),LdCKeyM,0),"")</f>
        <v/>
      </c>
    </row>
    <row r="380">
      <c r="A380" s="19" t="n">
        <v>364</v>
      </c>
      <c r="B380" s="20">
        <f>IF(AND($L380="",$M380="",$N380=""),"",IF($L380&lt;&gt;"",INDEX(LdADate,$L380),IF($M380&lt;&gt;"",INDEX(LdBDate,$M380),INDEX(LdCDate,$N380))))</f>
        <v/>
      </c>
      <c r="C380" s="20">
        <f>IF($L380&lt;&gt;"","دستمزد (فردی)",IF($M380&lt;&gt;"","سهم از گروه "&amp;IFERROR(VLOOKUP(INDEX(LdBGroup,$M380),WGTbl,2,0),INDEX(LdBGroup,$M380)),IF($N380&lt;&gt;"",IF(N(INDEX(LdCDep,$N380))&gt;0,"بازگشت بانکی","پرداخت بانکی"),"")))</f>
        <v/>
      </c>
      <c r="D380" s="20">
        <f>IF($L380&lt;&gt;"",IF(INDEX(LdAId,$L380)="","—",INDEX(LdAId,$L380)),IF($M380&lt;&gt;"",IF(INDEX(LdBId,$M380)="","—",INDEX(LdBId,$M380)),IF($N380&lt;&gt;"",IF(INDEX(LdCBank,$N380)="","—",INDEX(LdCBank,$N380)),"")))</f>
        <v/>
      </c>
      <c r="E380" s="21">
        <f>IF($L380&lt;&gt;"",IF(INDEX(LdAAmt,$L380)=0,"",INDEX(LdAAmt,$L380)),IF($M380&lt;&gt;"",IF(INDEX(LdBAmt,$M380)=0,"",INDEX(LdBAmt,$M380)),IF($N380&lt;&gt;"",IF(INDEX(LdCDep,$N380)=0,"",INDEX(LdCDep,$N380)),"")))</f>
        <v/>
      </c>
      <c r="F380" s="21">
        <f>IF(AND($L380="",$M380="",$N380=""),"",IF($N380="","",IF(INDEX(LdCWit,$N380)=0,"",INDEX(LdCWit,$N380))))</f>
        <v/>
      </c>
      <c r="G380" s="31">
        <f>IF($B380="","",IF($G379="",0,$G379)+IF($E380="",0,$E380)-IF($F380="",0,$F380))</f>
        <v/>
      </c>
      <c r="H380" s="32">
        <f>IF(AND($L380="",$M380="",$N380=""),"",IF($L380&lt;&gt;"",IF(INDEX(LdANote,$L380)="","—",INDEX(LdANote,$L380)),IF($M380&lt;&gt;"",IF(INDEX(LdBNote,$M380)="","—",INDEX(LdBNote,$M380)),IF($N380&lt;&gt;"",IF(INDEX(LdCNote,$N380)="","—",INDEX(LdCNote,$N380)),""))))</f>
        <v/>
      </c>
      <c r="L380">
        <f>IFERROR(MATCH($C$5&amp;"|"&amp;RIGHT("000000"&amp;364,6),LdAKeyM,0),"")</f>
        <v/>
      </c>
      <c r="M380">
        <f>IFERROR(MATCH($C$5&amp;"|"&amp;RIGHT("000000"&amp;364,6),LdBKeyM,0),"")</f>
        <v/>
      </c>
      <c r="N380">
        <f>IFERROR(MATCH($C$5&amp;"|"&amp;RIGHT("000000"&amp;364,6),LdCKeyM,0),"")</f>
        <v/>
      </c>
    </row>
    <row r="381">
      <c r="A381" s="10" t="n">
        <v>365</v>
      </c>
      <c r="B381" s="14">
        <f>IF(AND($L381="",$M381="",$N381=""),"",IF($L381&lt;&gt;"",INDEX(LdADate,$L381),IF($M381&lt;&gt;"",INDEX(LdBDate,$M381),INDEX(LdCDate,$N381))))</f>
        <v/>
      </c>
      <c r="C381" s="14">
        <f>IF($L381&lt;&gt;"","دستمزد (فردی)",IF($M381&lt;&gt;"","سهم از گروه "&amp;IFERROR(VLOOKUP(INDEX(LdBGroup,$M381),WGTbl,2,0),INDEX(LdBGroup,$M381)),IF($N381&lt;&gt;"",IF(N(INDEX(LdCDep,$N381))&gt;0,"بازگشت بانکی","پرداخت بانکی"),"")))</f>
        <v/>
      </c>
      <c r="D381" s="14">
        <f>IF($L381&lt;&gt;"",IF(INDEX(LdAId,$L381)="","—",INDEX(LdAId,$L381)),IF($M381&lt;&gt;"",IF(INDEX(LdBId,$M381)="","—",INDEX(LdBId,$M381)),IF($N381&lt;&gt;"",IF(INDEX(LdCBank,$N381)="","—",INDEX(LdCBank,$N381)),"")))</f>
        <v/>
      </c>
      <c r="E381" s="16">
        <f>IF($L381&lt;&gt;"",IF(INDEX(LdAAmt,$L381)=0,"",INDEX(LdAAmt,$L381)),IF($M381&lt;&gt;"",IF(INDEX(LdBAmt,$M381)=0,"",INDEX(LdBAmt,$M381)),IF($N381&lt;&gt;"",IF(INDEX(LdCDep,$N381)=0,"",INDEX(LdCDep,$N381)),"")))</f>
        <v/>
      </c>
      <c r="F381" s="16">
        <f>IF(AND($L381="",$M381="",$N381=""),"",IF($N381="","",IF(INDEX(LdCWit,$N381)=0,"",INDEX(LdCWit,$N381))))</f>
        <v/>
      </c>
      <c r="G381" s="29">
        <f>IF($B381="","",IF($G380="",0,$G380)+IF($E381="",0,$E381)-IF($F381="",0,$F381))</f>
        <v/>
      </c>
      <c r="H381" s="30">
        <f>IF(AND($L381="",$M381="",$N381=""),"",IF($L381&lt;&gt;"",IF(INDEX(LdANote,$L381)="","—",INDEX(LdANote,$L381)),IF($M381&lt;&gt;"",IF(INDEX(LdBNote,$M381)="","—",INDEX(LdBNote,$M381)),IF($N381&lt;&gt;"",IF(INDEX(LdCNote,$N381)="","—",INDEX(LdCNote,$N381)),""))))</f>
        <v/>
      </c>
      <c r="L381">
        <f>IFERROR(MATCH($C$5&amp;"|"&amp;RIGHT("000000"&amp;365,6),LdAKeyM,0),"")</f>
        <v/>
      </c>
      <c r="M381">
        <f>IFERROR(MATCH($C$5&amp;"|"&amp;RIGHT("000000"&amp;365,6),LdBKeyM,0),"")</f>
        <v/>
      </c>
      <c r="N381">
        <f>IFERROR(MATCH($C$5&amp;"|"&amp;RIGHT("000000"&amp;365,6),LdCKeyM,0),"")</f>
        <v/>
      </c>
    </row>
    <row r="382">
      <c r="A382" s="19" t="n">
        <v>366</v>
      </c>
      <c r="B382" s="20">
        <f>IF(AND($L382="",$M382="",$N382=""),"",IF($L382&lt;&gt;"",INDEX(LdADate,$L382),IF($M382&lt;&gt;"",INDEX(LdBDate,$M382),INDEX(LdCDate,$N382))))</f>
        <v/>
      </c>
      <c r="C382" s="20">
        <f>IF($L382&lt;&gt;"","دستمزد (فردی)",IF($M382&lt;&gt;"","سهم از گروه "&amp;IFERROR(VLOOKUP(INDEX(LdBGroup,$M382),WGTbl,2,0),INDEX(LdBGroup,$M382)),IF($N382&lt;&gt;"",IF(N(INDEX(LdCDep,$N382))&gt;0,"بازگشت بانکی","پرداخت بانکی"),"")))</f>
        <v/>
      </c>
      <c r="D382" s="20">
        <f>IF($L382&lt;&gt;"",IF(INDEX(LdAId,$L382)="","—",INDEX(LdAId,$L382)),IF($M382&lt;&gt;"",IF(INDEX(LdBId,$M382)="","—",INDEX(LdBId,$M382)),IF($N382&lt;&gt;"",IF(INDEX(LdCBank,$N382)="","—",INDEX(LdCBank,$N382)),"")))</f>
        <v/>
      </c>
      <c r="E382" s="21">
        <f>IF($L382&lt;&gt;"",IF(INDEX(LdAAmt,$L382)=0,"",INDEX(LdAAmt,$L382)),IF($M382&lt;&gt;"",IF(INDEX(LdBAmt,$M382)=0,"",INDEX(LdBAmt,$M382)),IF($N382&lt;&gt;"",IF(INDEX(LdCDep,$N382)=0,"",INDEX(LdCDep,$N382)),"")))</f>
        <v/>
      </c>
      <c r="F382" s="21">
        <f>IF(AND($L382="",$M382="",$N382=""),"",IF($N382="","",IF(INDEX(LdCWit,$N382)=0,"",INDEX(LdCWit,$N382))))</f>
        <v/>
      </c>
      <c r="G382" s="31">
        <f>IF($B382="","",IF($G381="",0,$G381)+IF($E382="",0,$E382)-IF($F382="",0,$F382))</f>
        <v/>
      </c>
      <c r="H382" s="32">
        <f>IF(AND($L382="",$M382="",$N382=""),"",IF($L382&lt;&gt;"",IF(INDEX(LdANote,$L382)="","—",INDEX(LdANote,$L382)),IF($M382&lt;&gt;"",IF(INDEX(LdBNote,$M382)="","—",INDEX(LdBNote,$M382)),IF($N382&lt;&gt;"",IF(INDEX(LdCNote,$N382)="","—",INDEX(LdCNote,$N382)),""))))</f>
        <v/>
      </c>
      <c r="L382">
        <f>IFERROR(MATCH($C$5&amp;"|"&amp;RIGHT("000000"&amp;366,6),LdAKeyM,0),"")</f>
        <v/>
      </c>
      <c r="M382">
        <f>IFERROR(MATCH($C$5&amp;"|"&amp;RIGHT("000000"&amp;366,6),LdBKeyM,0),"")</f>
        <v/>
      </c>
      <c r="N382">
        <f>IFERROR(MATCH($C$5&amp;"|"&amp;RIGHT("000000"&amp;366,6),LdCKeyM,0),"")</f>
        <v/>
      </c>
    </row>
    <row r="383">
      <c r="A383" s="10" t="n">
        <v>367</v>
      </c>
      <c r="B383" s="14">
        <f>IF(AND($L383="",$M383="",$N383=""),"",IF($L383&lt;&gt;"",INDEX(LdADate,$L383),IF($M383&lt;&gt;"",INDEX(LdBDate,$M383),INDEX(LdCDate,$N383))))</f>
        <v/>
      </c>
      <c r="C383" s="14">
        <f>IF($L383&lt;&gt;"","دستمزد (فردی)",IF($M383&lt;&gt;"","سهم از گروه "&amp;IFERROR(VLOOKUP(INDEX(LdBGroup,$M383),WGTbl,2,0),INDEX(LdBGroup,$M383)),IF($N383&lt;&gt;"",IF(N(INDEX(LdCDep,$N383))&gt;0,"بازگشت بانکی","پرداخت بانکی"),"")))</f>
        <v/>
      </c>
      <c r="D383" s="14">
        <f>IF($L383&lt;&gt;"",IF(INDEX(LdAId,$L383)="","—",INDEX(LdAId,$L383)),IF($M383&lt;&gt;"",IF(INDEX(LdBId,$M383)="","—",INDEX(LdBId,$M383)),IF($N383&lt;&gt;"",IF(INDEX(LdCBank,$N383)="","—",INDEX(LdCBank,$N383)),"")))</f>
        <v/>
      </c>
      <c r="E383" s="16">
        <f>IF($L383&lt;&gt;"",IF(INDEX(LdAAmt,$L383)=0,"",INDEX(LdAAmt,$L383)),IF($M383&lt;&gt;"",IF(INDEX(LdBAmt,$M383)=0,"",INDEX(LdBAmt,$M383)),IF($N383&lt;&gt;"",IF(INDEX(LdCDep,$N383)=0,"",INDEX(LdCDep,$N383)),"")))</f>
        <v/>
      </c>
      <c r="F383" s="16">
        <f>IF(AND($L383="",$M383="",$N383=""),"",IF($N383="","",IF(INDEX(LdCWit,$N383)=0,"",INDEX(LdCWit,$N383))))</f>
        <v/>
      </c>
      <c r="G383" s="29">
        <f>IF($B383="","",IF($G382="",0,$G382)+IF($E383="",0,$E383)-IF($F383="",0,$F383))</f>
        <v/>
      </c>
      <c r="H383" s="30">
        <f>IF(AND($L383="",$M383="",$N383=""),"",IF($L383&lt;&gt;"",IF(INDEX(LdANote,$L383)="","—",INDEX(LdANote,$L383)),IF($M383&lt;&gt;"",IF(INDEX(LdBNote,$M383)="","—",INDEX(LdBNote,$M383)),IF($N383&lt;&gt;"",IF(INDEX(LdCNote,$N383)="","—",INDEX(LdCNote,$N383)),""))))</f>
        <v/>
      </c>
      <c r="L383">
        <f>IFERROR(MATCH($C$5&amp;"|"&amp;RIGHT("000000"&amp;367,6),LdAKeyM,0),"")</f>
        <v/>
      </c>
      <c r="M383">
        <f>IFERROR(MATCH($C$5&amp;"|"&amp;RIGHT("000000"&amp;367,6),LdBKeyM,0),"")</f>
        <v/>
      </c>
      <c r="N383">
        <f>IFERROR(MATCH($C$5&amp;"|"&amp;RIGHT("000000"&amp;367,6),LdCKeyM,0),"")</f>
        <v/>
      </c>
    </row>
    <row r="384">
      <c r="A384" s="19" t="n">
        <v>368</v>
      </c>
      <c r="B384" s="20">
        <f>IF(AND($L384="",$M384="",$N384=""),"",IF($L384&lt;&gt;"",INDEX(LdADate,$L384),IF($M384&lt;&gt;"",INDEX(LdBDate,$M384),INDEX(LdCDate,$N384))))</f>
        <v/>
      </c>
      <c r="C384" s="20">
        <f>IF($L384&lt;&gt;"","دستمزد (فردی)",IF($M384&lt;&gt;"","سهم از گروه "&amp;IFERROR(VLOOKUP(INDEX(LdBGroup,$M384),WGTbl,2,0),INDEX(LdBGroup,$M384)),IF($N384&lt;&gt;"",IF(N(INDEX(LdCDep,$N384))&gt;0,"بازگشت بانکی","پرداخت بانکی"),"")))</f>
        <v/>
      </c>
      <c r="D384" s="20">
        <f>IF($L384&lt;&gt;"",IF(INDEX(LdAId,$L384)="","—",INDEX(LdAId,$L384)),IF($M384&lt;&gt;"",IF(INDEX(LdBId,$M384)="","—",INDEX(LdBId,$M384)),IF($N384&lt;&gt;"",IF(INDEX(LdCBank,$N384)="","—",INDEX(LdCBank,$N384)),"")))</f>
        <v/>
      </c>
      <c r="E384" s="21">
        <f>IF($L384&lt;&gt;"",IF(INDEX(LdAAmt,$L384)=0,"",INDEX(LdAAmt,$L384)),IF($M384&lt;&gt;"",IF(INDEX(LdBAmt,$M384)=0,"",INDEX(LdBAmt,$M384)),IF($N384&lt;&gt;"",IF(INDEX(LdCDep,$N384)=0,"",INDEX(LdCDep,$N384)),"")))</f>
        <v/>
      </c>
      <c r="F384" s="21">
        <f>IF(AND($L384="",$M384="",$N384=""),"",IF($N384="","",IF(INDEX(LdCWit,$N384)=0,"",INDEX(LdCWit,$N384))))</f>
        <v/>
      </c>
      <c r="G384" s="31">
        <f>IF($B384="","",IF($G383="",0,$G383)+IF($E384="",0,$E384)-IF($F384="",0,$F384))</f>
        <v/>
      </c>
      <c r="H384" s="32">
        <f>IF(AND($L384="",$M384="",$N384=""),"",IF($L384&lt;&gt;"",IF(INDEX(LdANote,$L384)="","—",INDEX(LdANote,$L384)),IF($M384&lt;&gt;"",IF(INDEX(LdBNote,$M384)="","—",INDEX(LdBNote,$M384)),IF($N384&lt;&gt;"",IF(INDEX(LdCNote,$N384)="","—",INDEX(LdCNote,$N384)),""))))</f>
        <v/>
      </c>
      <c r="L384">
        <f>IFERROR(MATCH($C$5&amp;"|"&amp;RIGHT("000000"&amp;368,6),LdAKeyM,0),"")</f>
        <v/>
      </c>
      <c r="M384">
        <f>IFERROR(MATCH($C$5&amp;"|"&amp;RIGHT("000000"&amp;368,6),LdBKeyM,0),"")</f>
        <v/>
      </c>
      <c r="N384">
        <f>IFERROR(MATCH($C$5&amp;"|"&amp;RIGHT("000000"&amp;368,6),LdCKeyM,0),"")</f>
        <v/>
      </c>
    </row>
    <row r="385">
      <c r="A385" s="10" t="n">
        <v>369</v>
      </c>
      <c r="B385" s="14">
        <f>IF(AND($L385="",$M385="",$N385=""),"",IF($L385&lt;&gt;"",INDEX(LdADate,$L385),IF($M385&lt;&gt;"",INDEX(LdBDate,$M385),INDEX(LdCDate,$N385))))</f>
        <v/>
      </c>
      <c r="C385" s="14">
        <f>IF($L385&lt;&gt;"","دستمزد (فردی)",IF($M385&lt;&gt;"","سهم از گروه "&amp;IFERROR(VLOOKUP(INDEX(LdBGroup,$M385),WGTbl,2,0),INDEX(LdBGroup,$M385)),IF($N385&lt;&gt;"",IF(N(INDEX(LdCDep,$N385))&gt;0,"بازگشت بانکی","پرداخت بانکی"),"")))</f>
        <v/>
      </c>
      <c r="D385" s="14">
        <f>IF($L385&lt;&gt;"",IF(INDEX(LdAId,$L385)="","—",INDEX(LdAId,$L385)),IF($M385&lt;&gt;"",IF(INDEX(LdBId,$M385)="","—",INDEX(LdBId,$M385)),IF($N385&lt;&gt;"",IF(INDEX(LdCBank,$N385)="","—",INDEX(LdCBank,$N385)),"")))</f>
        <v/>
      </c>
      <c r="E385" s="16">
        <f>IF($L385&lt;&gt;"",IF(INDEX(LdAAmt,$L385)=0,"",INDEX(LdAAmt,$L385)),IF($M385&lt;&gt;"",IF(INDEX(LdBAmt,$M385)=0,"",INDEX(LdBAmt,$M385)),IF($N385&lt;&gt;"",IF(INDEX(LdCDep,$N385)=0,"",INDEX(LdCDep,$N385)),"")))</f>
        <v/>
      </c>
      <c r="F385" s="16">
        <f>IF(AND($L385="",$M385="",$N385=""),"",IF($N385="","",IF(INDEX(LdCWit,$N385)=0,"",INDEX(LdCWit,$N385))))</f>
        <v/>
      </c>
      <c r="G385" s="29">
        <f>IF($B385="","",IF($G384="",0,$G384)+IF($E385="",0,$E385)-IF($F385="",0,$F385))</f>
        <v/>
      </c>
      <c r="H385" s="30">
        <f>IF(AND($L385="",$M385="",$N385=""),"",IF($L385&lt;&gt;"",IF(INDEX(LdANote,$L385)="","—",INDEX(LdANote,$L385)),IF($M385&lt;&gt;"",IF(INDEX(LdBNote,$M385)="","—",INDEX(LdBNote,$M385)),IF($N385&lt;&gt;"",IF(INDEX(LdCNote,$N385)="","—",INDEX(LdCNote,$N385)),""))))</f>
        <v/>
      </c>
      <c r="L385">
        <f>IFERROR(MATCH($C$5&amp;"|"&amp;RIGHT("000000"&amp;369,6),LdAKeyM,0),"")</f>
        <v/>
      </c>
      <c r="M385">
        <f>IFERROR(MATCH($C$5&amp;"|"&amp;RIGHT("000000"&amp;369,6),LdBKeyM,0),"")</f>
        <v/>
      </c>
      <c r="N385">
        <f>IFERROR(MATCH($C$5&amp;"|"&amp;RIGHT("000000"&amp;369,6),LdCKeyM,0),"")</f>
        <v/>
      </c>
    </row>
    <row r="386">
      <c r="A386" s="19" t="n">
        <v>370</v>
      </c>
      <c r="B386" s="20">
        <f>IF(AND($L386="",$M386="",$N386=""),"",IF($L386&lt;&gt;"",INDEX(LdADate,$L386),IF($M386&lt;&gt;"",INDEX(LdBDate,$M386),INDEX(LdCDate,$N386))))</f>
        <v/>
      </c>
      <c r="C386" s="20">
        <f>IF($L386&lt;&gt;"","دستمزد (فردی)",IF($M386&lt;&gt;"","سهم از گروه "&amp;IFERROR(VLOOKUP(INDEX(LdBGroup,$M386),WGTbl,2,0),INDEX(LdBGroup,$M386)),IF($N386&lt;&gt;"",IF(N(INDEX(LdCDep,$N386))&gt;0,"بازگشت بانکی","پرداخت بانکی"),"")))</f>
        <v/>
      </c>
      <c r="D386" s="20">
        <f>IF($L386&lt;&gt;"",IF(INDEX(LdAId,$L386)="","—",INDEX(LdAId,$L386)),IF($M386&lt;&gt;"",IF(INDEX(LdBId,$M386)="","—",INDEX(LdBId,$M386)),IF($N386&lt;&gt;"",IF(INDEX(LdCBank,$N386)="","—",INDEX(LdCBank,$N386)),"")))</f>
        <v/>
      </c>
      <c r="E386" s="21">
        <f>IF($L386&lt;&gt;"",IF(INDEX(LdAAmt,$L386)=0,"",INDEX(LdAAmt,$L386)),IF($M386&lt;&gt;"",IF(INDEX(LdBAmt,$M386)=0,"",INDEX(LdBAmt,$M386)),IF($N386&lt;&gt;"",IF(INDEX(LdCDep,$N386)=0,"",INDEX(LdCDep,$N386)),"")))</f>
        <v/>
      </c>
      <c r="F386" s="21">
        <f>IF(AND($L386="",$M386="",$N386=""),"",IF($N386="","",IF(INDEX(LdCWit,$N386)=0,"",INDEX(LdCWit,$N386))))</f>
        <v/>
      </c>
      <c r="G386" s="31">
        <f>IF($B386="","",IF($G385="",0,$G385)+IF($E386="",0,$E386)-IF($F386="",0,$F386))</f>
        <v/>
      </c>
      <c r="H386" s="32">
        <f>IF(AND($L386="",$M386="",$N386=""),"",IF($L386&lt;&gt;"",IF(INDEX(LdANote,$L386)="","—",INDEX(LdANote,$L386)),IF($M386&lt;&gt;"",IF(INDEX(LdBNote,$M386)="","—",INDEX(LdBNote,$M386)),IF($N386&lt;&gt;"",IF(INDEX(LdCNote,$N386)="","—",INDEX(LdCNote,$N386)),""))))</f>
        <v/>
      </c>
      <c r="L386">
        <f>IFERROR(MATCH($C$5&amp;"|"&amp;RIGHT("000000"&amp;370,6),LdAKeyM,0),"")</f>
        <v/>
      </c>
      <c r="M386">
        <f>IFERROR(MATCH($C$5&amp;"|"&amp;RIGHT("000000"&amp;370,6),LdBKeyM,0),"")</f>
        <v/>
      </c>
      <c r="N386">
        <f>IFERROR(MATCH($C$5&amp;"|"&amp;RIGHT("000000"&amp;370,6),LdCKeyM,0),"")</f>
        <v/>
      </c>
    </row>
    <row r="387">
      <c r="A387" s="10" t="n">
        <v>371</v>
      </c>
      <c r="B387" s="14">
        <f>IF(AND($L387="",$M387="",$N387=""),"",IF($L387&lt;&gt;"",INDEX(LdADate,$L387),IF($M387&lt;&gt;"",INDEX(LdBDate,$M387),INDEX(LdCDate,$N387))))</f>
        <v/>
      </c>
      <c r="C387" s="14">
        <f>IF($L387&lt;&gt;"","دستمزد (فردی)",IF($M387&lt;&gt;"","سهم از گروه "&amp;IFERROR(VLOOKUP(INDEX(LdBGroup,$M387),WGTbl,2,0),INDEX(LdBGroup,$M387)),IF($N387&lt;&gt;"",IF(N(INDEX(LdCDep,$N387))&gt;0,"بازگشت بانکی","پرداخت بانکی"),"")))</f>
        <v/>
      </c>
      <c r="D387" s="14">
        <f>IF($L387&lt;&gt;"",IF(INDEX(LdAId,$L387)="","—",INDEX(LdAId,$L387)),IF($M387&lt;&gt;"",IF(INDEX(LdBId,$M387)="","—",INDEX(LdBId,$M387)),IF($N387&lt;&gt;"",IF(INDEX(LdCBank,$N387)="","—",INDEX(LdCBank,$N387)),"")))</f>
        <v/>
      </c>
      <c r="E387" s="16">
        <f>IF($L387&lt;&gt;"",IF(INDEX(LdAAmt,$L387)=0,"",INDEX(LdAAmt,$L387)),IF($M387&lt;&gt;"",IF(INDEX(LdBAmt,$M387)=0,"",INDEX(LdBAmt,$M387)),IF($N387&lt;&gt;"",IF(INDEX(LdCDep,$N387)=0,"",INDEX(LdCDep,$N387)),"")))</f>
        <v/>
      </c>
      <c r="F387" s="16">
        <f>IF(AND($L387="",$M387="",$N387=""),"",IF($N387="","",IF(INDEX(LdCWit,$N387)=0,"",INDEX(LdCWit,$N387))))</f>
        <v/>
      </c>
      <c r="G387" s="29">
        <f>IF($B387="","",IF($G386="",0,$G386)+IF($E387="",0,$E387)-IF($F387="",0,$F387))</f>
        <v/>
      </c>
      <c r="H387" s="30">
        <f>IF(AND($L387="",$M387="",$N387=""),"",IF($L387&lt;&gt;"",IF(INDEX(LdANote,$L387)="","—",INDEX(LdANote,$L387)),IF($M387&lt;&gt;"",IF(INDEX(LdBNote,$M387)="","—",INDEX(LdBNote,$M387)),IF($N387&lt;&gt;"",IF(INDEX(LdCNote,$N387)="","—",INDEX(LdCNote,$N387)),""))))</f>
        <v/>
      </c>
      <c r="L387">
        <f>IFERROR(MATCH($C$5&amp;"|"&amp;RIGHT("000000"&amp;371,6),LdAKeyM,0),"")</f>
        <v/>
      </c>
      <c r="M387">
        <f>IFERROR(MATCH($C$5&amp;"|"&amp;RIGHT("000000"&amp;371,6),LdBKeyM,0),"")</f>
        <v/>
      </c>
      <c r="N387">
        <f>IFERROR(MATCH($C$5&amp;"|"&amp;RIGHT("000000"&amp;371,6),LdCKeyM,0),"")</f>
        <v/>
      </c>
    </row>
    <row r="388">
      <c r="A388" s="19" t="n">
        <v>372</v>
      </c>
      <c r="B388" s="20">
        <f>IF(AND($L388="",$M388="",$N388=""),"",IF($L388&lt;&gt;"",INDEX(LdADate,$L388),IF($M388&lt;&gt;"",INDEX(LdBDate,$M388),INDEX(LdCDate,$N388))))</f>
        <v/>
      </c>
      <c r="C388" s="20">
        <f>IF($L388&lt;&gt;"","دستمزد (فردی)",IF($M388&lt;&gt;"","سهم از گروه "&amp;IFERROR(VLOOKUP(INDEX(LdBGroup,$M388),WGTbl,2,0),INDEX(LdBGroup,$M388)),IF($N388&lt;&gt;"",IF(N(INDEX(LdCDep,$N388))&gt;0,"بازگشت بانکی","پرداخت بانکی"),"")))</f>
        <v/>
      </c>
      <c r="D388" s="20">
        <f>IF($L388&lt;&gt;"",IF(INDEX(LdAId,$L388)="","—",INDEX(LdAId,$L388)),IF($M388&lt;&gt;"",IF(INDEX(LdBId,$M388)="","—",INDEX(LdBId,$M388)),IF($N388&lt;&gt;"",IF(INDEX(LdCBank,$N388)="","—",INDEX(LdCBank,$N388)),"")))</f>
        <v/>
      </c>
      <c r="E388" s="21">
        <f>IF($L388&lt;&gt;"",IF(INDEX(LdAAmt,$L388)=0,"",INDEX(LdAAmt,$L388)),IF($M388&lt;&gt;"",IF(INDEX(LdBAmt,$M388)=0,"",INDEX(LdBAmt,$M388)),IF($N388&lt;&gt;"",IF(INDEX(LdCDep,$N388)=0,"",INDEX(LdCDep,$N388)),"")))</f>
        <v/>
      </c>
      <c r="F388" s="21">
        <f>IF(AND($L388="",$M388="",$N388=""),"",IF($N388="","",IF(INDEX(LdCWit,$N388)=0,"",INDEX(LdCWit,$N388))))</f>
        <v/>
      </c>
      <c r="G388" s="31">
        <f>IF($B388="","",IF($G387="",0,$G387)+IF($E388="",0,$E388)-IF($F388="",0,$F388))</f>
        <v/>
      </c>
      <c r="H388" s="32">
        <f>IF(AND($L388="",$M388="",$N388=""),"",IF($L388&lt;&gt;"",IF(INDEX(LdANote,$L388)="","—",INDEX(LdANote,$L388)),IF($M388&lt;&gt;"",IF(INDEX(LdBNote,$M388)="","—",INDEX(LdBNote,$M388)),IF($N388&lt;&gt;"",IF(INDEX(LdCNote,$N388)="","—",INDEX(LdCNote,$N388)),""))))</f>
        <v/>
      </c>
      <c r="L388">
        <f>IFERROR(MATCH($C$5&amp;"|"&amp;RIGHT("000000"&amp;372,6),LdAKeyM,0),"")</f>
        <v/>
      </c>
      <c r="M388">
        <f>IFERROR(MATCH($C$5&amp;"|"&amp;RIGHT("000000"&amp;372,6),LdBKeyM,0),"")</f>
        <v/>
      </c>
      <c r="N388">
        <f>IFERROR(MATCH($C$5&amp;"|"&amp;RIGHT("000000"&amp;372,6),LdCKeyM,0),"")</f>
        <v/>
      </c>
    </row>
    <row r="389">
      <c r="A389" s="10" t="n">
        <v>373</v>
      </c>
      <c r="B389" s="14">
        <f>IF(AND($L389="",$M389="",$N389=""),"",IF($L389&lt;&gt;"",INDEX(LdADate,$L389),IF($M389&lt;&gt;"",INDEX(LdBDate,$M389),INDEX(LdCDate,$N389))))</f>
        <v/>
      </c>
      <c r="C389" s="14">
        <f>IF($L389&lt;&gt;"","دستمزد (فردی)",IF($M389&lt;&gt;"","سهم از گروه "&amp;IFERROR(VLOOKUP(INDEX(LdBGroup,$M389),WGTbl,2,0),INDEX(LdBGroup,$M389)),IF($N389&lt;&gt;"",IF(N(INDEX(LdCDep,$N389))&gt;0,"بازگشت بانکی","پرداخت بانکی"),"")))</f>
        <v/>
      </c>
      <c r="D389" s="14">
        <f>IF($L389&lt;&gt;"",IF(INDEX(LdAId,$L389)="","—",INDEX(LdAId,$L389)),IF($M389&lt;&gt;"",IF(INDEX(LdBId,$M389)="","—",INDEX(LdBId,$M389)),IF($N389&lt;&gt;"",IF(INDEX(LdCBank,$N389)="","—",INDEX(LdCBank,$N389)),"")))</f>
        <v/>
      </c>
      <c r="E389" s="16">
        <f>IF($L389&lt;&gt;"",IF(INDEX(LdAAmt,$L389)=0,"",INDEX(LdAAmt,$L389)),IF($M389&lt;&gt;"",IF(INDEX(LdBAmt,$M389)=0,"",INDEX(LdBAmt,$M389)),IF($N389&lt;&gt;"",IF(INDEX(LdCDep,$N389)=0,"",INDEX(LdCDep,$N389)),"")))</f>
        <v/>
      </c>
      <c r="F389" s="16">
        <f>IF(AND($L389="",$M389="",$N389=""),"",IF($N389="","",IF(INDEX(LdCWit,$N389)=0,"",INDEX(LdCWit,$N389))))</f>
        <v/>
      </c>
      <c r="G389" s="29">
        <f>IF($B389="","",IF($G388="",0,$G388)+IF($E389="",0,$E389)-IF($F389="",0,$F389))</f>
        <v/>
      </c>
      <c r="H389" s="30">
        <f>IF(AND($L389="",$M389="",$N389=""),"",IF($L389&lt;&gt;"",IF(INDEX(LdANote,$L389)="","—",INDEX(LdANote,$L389)),IF($M389&lt;&gt;"",IF(INDEX(LdBNote,$M389)="","—",INDEX(LdBNote,$M389)),IF($N389&lt;&gt;"",IF(INDEX(LdCNote,$N389)="","—",INDEX(LdCNote,$N389)),""))))</f>
        <v/>
      </c>
      <c r="L389">
        <f>IFERROR(MATCH($C$5&amp;"|"&amp;RIGHT("000000"&amp;373,6),LdAKeyM,0),"")</f>
        <v/>
      </c>
      <c r="M389">
        <f>IFERROR(MATCH($C$5&amp;"|"&amp;RIGHT("000000"&amp;373,6),LdBKeyM,0),"")</f>
        <v/>
      </c>
      <c r="N389">
        <f>IFERROR(MATCH($C$5&amp;"|"&amp;RIGHT("000000"&amp;373,6),LdCKeyM,0),"")</f>
        <v/>
      </c>
    </row>
    <row r="390">
      <c r="A390" s="19" t="n">
        <v>374</v>
      </c>
      <c r="B390" s="20">
        <f>IF(AND($L390="",$M390="",$N390=""),"",IF($L390&lt;&gt;"",INDEX(LdADate,$L390),IF($M390&lt;&gt;"",INDEX(LdBDate,$M390),INDEX(LdCDate,$N390))))</f>
        <v/>
      </c>
      <c r="C390" s="20">
        <f>IF($L390&lt;&gt;"","دستمزد (فردی)",IF($M390&lt;&gt;"","سهم از گروه "&amp;IFERROR(VLOOKUP(INDEX(LdBGroup,$M390),WGTbl,2,0),INDEX(LdBGroup,$M390)),IF($N390&lt;&gt;"",IF(N(INDEX(LdCDep,$N390))&gt;0,"بازگشت بانکی","پرداخت بانکی"),"")))</f>
        <v/>
      </c>
      <c r="D390" s="20">
        <f>IF($L390&lt;&gt;"",IF(INDEX(LdAId,$L390)="","—",INDEX(LdAId,$L390)),IF($M390&lt;&gt;"",IF(INDEX(LdBId,$M390)="","—",INDEX(LdBId,$M390)),IF($N390&lt;&gt;"",IF(INDEX(LdCBank,$N390)="","—",INDEX(LdCBank,$N390)),"")))</f>
        <v/>
      </c>
      <c r="E390" s="21">
        <f>IF($L390&lt;&gt;"",IF(INDEX(LdAAmt,$L390)=0,"",INDEX(LdAAmt,$L390)),IF($M390&lt;&gt;"",IF(INDEX(LdBAmt,$M390)=0,"",INDEX(LdBAmt,$M390)),IF($N390&lt;&gt;"",IF(INDEX(LdCDep,$N390)=0,"",INDEX(LdCDep,$N390)),"")))</f>
        <v/>
      </c>
      <c r="F390" s="21">
        <f>IF(AND($L390="",$M390="",$N390=""),"",IF($N390="","",IF(INDEX(LdCWit,$N390)=0,"",INDEX(LdCWit,$N390))))</f>
        <v/>
      </c>
      <c r="G390" s="31">
        <f>IF($B390="","",IF($G389="",0,$G389)+IF($E390="",0,$E390)-IF($F390="",0,$F390))</f>
        <v/>
      </c>
      <c r="H390" s="32">
        <f>IF(AND($L390="",$M390="",$N390=""),"",IF($L390&lt;&gt;"",IF(INDEX(LdANote,$L390)="","—",INDEX(LdANote,$L390)),IF($M390&lt;&gt;"",IF(INDEX(LdBNote,$M390)="","—",INDEX(LdBNote,$M390)),IF($N390&lt;&gt;"",IF(INDEX(LdCNote,$N390)="","—",INDEX(LdCNote,$N390)),""))))</f>
        <v/>
      </c>
      <c r="L390">
        <f>IFERROR(MATCH($C$5&amp;"|"&amp;RIGHT("000000"&amp;374,6),LdAKeyM,0),"")</f>
        <v/>
      </c>
      <c r="M390">
        <f>IFERROR(MATCH($C$5&amp;"|"&amp;RIGHT("000000"&amp;374,6),LdBKeyM,0),"")</f>
        <v/>
      </c>
      <c r="N390">
        <f>IFERROR(MATCH($C$5&amp;"|"&amp;RIGHT("000000"&amp;374,6),LdCKeyM,0),"")</f>
        <v/>
      </c>
    </row>
    <row r="391">
      <c r="A391" s="10" t="n">
        <v>375</v>
      </c>
      <c r="B391" s="14">
        <f>IF(AND($L391="",$M391="",$N391=""),"",IF($L391&lt;&gt;"",INDEX(LdADate,$L391),IF($M391&lt;&gt;"",INDEX(LdBDate,$M391),INDEX(LdCDate,$N391))))</f>
        <v/>
      </c>
      <c r="C391" s="14">
        <f>IF($L391&lt;&gt;"","دستمزد (فردی)",IF($M391&lt;&gt;"","سهم از گروه "&amp;IFERROR(VLOOKUP(INDEX(LdBGroup,$M391),WGTbl,2,0),INDEX(LdBGroup,$M391)),IF($N391&lt;&gt;"",IF(N(INDEX(LdCDep,$N391))&gt;0,"بازگشت بانکی","پرداخت بانکی"),"")))</f>
        <v/>
      </c>
      <c r="D391" s="14">
        <f>IF($L391&lt;&gt;"",IF(INDEX(LdAId,$L391)="","—",INDEX(LdAId,$L391)),IF($M391&lt;&gt;"",IF(INDEX(LdBId,$M391)="","—",INDEX(LdBId,$M391)),IF($N391&lt;&gt;"",IF(INDEX(LdCBank,$N391)="","—",INDEX(LdCBank,$N391)),"")))</f>
        <v/>
      </c>
      <c r="E391" s="16">
        <f>IF($L391&lt;&gt;"",IF(INDEX(LdAAmt,$L391)=0,"",INDEX(LdAAmt,$L391)),IF($M391&lt;&gt;"",IF(INDEX(LdBAmt,$M391)=0,"",INDEX(LdBAmt,$M391)),IF($N391&lt;&gt;"",IF(INDEX(LdCDep,$N391)=0,"",INDEX(LdCDep,$N391)),"")))</f>
        <v/>
      </c>
      <c r="F391" s="16">
        <f>IF(AND($L391="",$M391="",$N391=""),"",IF($N391="","",IF(INDEX(LdCWit,$N391)=0,"",INDEX(LdCWit,$N391))))</f>
        <v/>
      </c>
      <c r="G391" s="29">
        <f>IF($B391="","",IF($G390="",0,$G390)+IF($E391="",0,$E391)-IF($F391="",0,$F391))</f>
        <v/>
      </c>
      <c r="H391" s="30">
        <f>IF(AND($L391="",$M391="",$N391=""),"",IF($L391&lt;&gt;"",IF(INDEX(LdANote,$L391)="","—",INDEX(LdANote,$L391)),IF($M391&lt;&gt;"",IF(INDEX(LdBNote,$M391)="","—",INDEX(LdBNote,$M391)),IF($N391&lt;&gt;"",IF(INDEX(LdCNote,$N391)="","—",INDEX(LdCNote,$N391)),""))))</f>
        <v/>
      </c>
      <c r="L391">
        <f>IFERROR(MATCH($C$5&amp;"|"&amp;RIGHT("000000"&amp;375,6),LdAKeyM,0),"")</f>
        <v/>
      </c>
      <c r="M391">
        <f>IFERROR(MATCH($C$5&amp;"|"&amp;RIGHT("000000"&amp;375,6),LdBKeyM,0),"")</f>
        <v/>
      </c>
      <c r="N391">
        <f>IFERROR(MATCH($C$5&amp;"|"&amp;RIGHT("000000"&amp;375,6),LdCKeyM,0),"")</f>
        <v/>
      </c>
    </row>
    <row r="392">
      <c r="A392" s="19" t="n">
        <v>376</v>
      </c>
      <c r="B392" s="20">
        <f>IF(AND($L392="",$M392="",$N392=""),"",IF($L392&lt;&gt;"",INDEX(LdADate,$L392),IF($M392&lt;&gt;"",INDEX(LdBDate,$M392),INDEX(LdCDate,$N392))))</f>
        <v/>
      </c>
      <c r="C392" s="20">
        <f>IF($L392&lt;&gt;"","دستمزد (فردی)",IF($M392&lt;&gt;"","سهم از گروه "&amp;IFERROR(VLOOKUP(INDEX(LdBGroup,$M392),WGTbl,2,0),INDEX(LdBGroup,$M392)),IF($N392&lt;&gt;"",IF(N(INDEX(LdCDep,$N392))&gt;0,"بازگشت بانکی","پرداخت بانکی"),"")))</f>
        <v/>
      </c>
      <c r="D392" s="20">
        <f>IF($L392&lt;&gt;"",IF(INDEX(LdAId,$L392)="","—",INDEX(LdAId,$L392)),IF($M392&lt;&gt;"",IF(INDEX(LdBId,$M392)="","—",INDEX(LdBId,$M392)),IF($N392&lt;&gt;"",IF(INDEX(LdCBank,$N392)="","—",INDEX(LdCBank,$N392)),"")))</f>
        <v/>
      </c>
      <c r="E392" s="21">
        <f>IF($L392&lt;&gt;"",IF(INDEX(LdAAmt,$L392)=0,"",INDEX(LdAAmt,$L392)),IF($M392&lt;&gt;"",IF(INDEX(LdBAmt,$M392)=0,"",INDEX(LdBAmt,$M392)),IF($N392&lt;&gt;"",IF(INDEX(LdCDep,$N392)=0,"",INDEX(LdCDep,$N392)),"")))</f>
        <v/>
      </c>
      <c r="F392" s="21">
        <f>IF(AND($L392="",$M392="",$N392=""),"",IF($N392="","",IF(INDEX(LdCWit,$N392)=0,"",INDEX(LdCWit,$N392))))</f>
        <v/>
      </c>
      <c r="G392" s="31">
        <f>IF($B392="","",IF($G391="",0,$G391)+IF($E392="",0,$E392)-IF($F392="",0,$F392))</f>
        <v/>
      </c>
      <c r="H392" s="32">
        <f>IF(AND($L392="",$M392="",$N392=""),"",IF($L392&lt;&gt;"",IF(INDEX(LdANote,$L392)="","—",INDEX(LdANote,$L392)),IF($M392&lt;&gt;"",IF(INDEX(LdBNote,$M392)="","—",INDEX(LdBNote,$M392)),IF($N392&lt;&gt;"",IF(INDEX(LdCNote,$N392)="","—",INDEX(LdCNote,$N392)),""))))</f>
        <v/>
      </c>
      <c r="L392">
        <f>IFERROR(MATCH($C$5&amp;"|"&amp;RIGHT("000000"&amp;376,6),LdAKeyM,0),"")</f>
        <v/>
      </c>
      <c r="M392">
        <f>IFERROR(MATCH($C$5&amp;"|"&amp;RIGHT("000000"&amp;376,6),LdBKeyM,0),"")</f>
        <v/>
      </c>
      <c r="N392">
        <f>IFERROR(MATCH($C$5&amp;"|"&amp;RIGHT("000000"&amp;376,6),LdCKeyM,0),"")</f>
        <v/>
      </c>
    </row>
    <row r="393">
      <c r="A393" s="10" t="n">
        <v>377</v>
      </c>
      <c r="B393" s="14">
        <f>IF(AND($L393="",$M393="",$N393=""),"",IF($L393&lt;&gt;"",INDEX(LdADate,$L393),IF($M393&lt;&gt;"",INDEX(LdBDate,$M393),INDEX(LdCDate,$N393))))</f>
        <v/>
      </c>
      <c r="C393" s="14">
        <f>IF($L393&lt;&gt;"","دستمزد (فردی)",IF($M393&lt;&gt;"","سهم از گروه "&amp;IFERROR(VLOOKUP(INDEX(LdBGroup,$M393),WGTbl,2,0),INDEX(LdBGroup,$M393)),IF($N393&lt;&gt;"",IF(N(INDEX(LdCDep,$N393))&gt;0,"بازگشت بانکی","پرداخت بانکی"),"")))</f>
        <v/>
      </c>
      <c r="D393" s="14">
        <f>IF($L393&lt;&gt;"",IF(INDEX(LdAId,$L393)="","—",INDEX(LdAId,$L393)),IF($M393&lt;&gt;"",IF(INDEX(LdBId,$M393)="","—",INDEX(LdBId,$M393)),IF($N393&lt;&gt;"",IF(INDEX(LdCBank,$N393)="","—",INDEX(LdCBank,$N393)),"")))</f>
        <v/>
      </c>
      <c r="E393" s="16">
        <f>IF($L393&lt;&gt;"",IF(INDEX(LdAAmt,$L393)=0,"",INDEX(LdAAmt,$L393)),IF($M393&lt;&gt;"",IF(INDEX(LdBAmt,$M393)=0,"",INDEX(LdBAmt,$M393)),IF($N393&lt;&gt;"",IF(INDEX(LdCDep,$N393)=0,"",INDEX(LdCDep,$N393)),"")))</f>
        <v/>
      </c>
      <c r="F393" s="16">
        <f>IF(AND($L393="",$M393="",$N393=""),"",IF($N393="","",IF(INDEX(LdCWit,$N393)=0,"",INDEX(LdCWit,$N393))))</f>
        <v/>
      </c>
      <c r="G393" s="29">
        <f>IF($B393="","",IF($G392="",0,$G392)+IF($E393="",0,$E393)-IF($F393="",0,$F393))</f>
        <v/>
      </c>
      <c r="H393" s="30">
        <f>IF(AND($L393="",$M393="",$N393=""),"",IF($L393&lt;&gt;"",IF(INDEX(LdANote,$L393)="","—",INDEX(LdANote,$L393)),IF($M393&lt;&gt;"",IF(INDEX(LdBNote,$M393)="","—",INDEX(LdBNote,$M393)),IF($N393&lt;&gt;"",IF(INDEX(LdCNote,$N393)="","—",INDEX(LdCNote,$N393)),""))))</f>
        <v/>
      </c>
      <c r="L393">
        <f>IFERROR(MATCH($C$5&amp;"|"&amp;RIGHT("000000"&amp;377,6),LdAKeyM,0),"")</f>
        <v/>
      </c>
      <c r="M393">
        <f>IFERROR(MATCH($C$5&amp;"|"&amp;RIGHT("000000"&amp;377,6),LdBKeyM,0),"")</f>
        <v/>
      </c>
      <c r="N393">
        <f>IFERROR(MATCH($C$5&amp;"|"&amp;RIGHT("000000"&amp;377,6),LdCKeyM,0),"")</f>
        <v/>
      </c>
    </row>
    <row r="394">
      <c r="A394" s="19" t="n">
        <v>378</v>
      </c>
      <c r="B394" s="20">
        <f>IF(AND($L394="",$M394="",$N394=""),"",IF($L394&lt;&gt;"",INDEX(LdADate,$L394),IF($M394&lt;&gt;"",INDEX(LdBDate,$M394),INDEX(LdCDate,$N394))))</f>
        <v/>
      </c>
      <c r="C394" s="20">
        <f>IF($L394&lt;&gt;"","دستمزد (فردی)",IF($M394&lt;&gt;"","سهم از گروه "&amp;IFERROR(VLOOKUP(INDEX(LdBGroup,$M394),WGTbl,2,0),INDEX(LdBGroup,$M394)),IF($N394&lt;&gt;"",IF(N(INDEX(LdCDep,$N394))&gt;0,"بازگشت بانکی","پرداخت بانکی"),"")))</f>
        <v/>
      </c>
      <c r="D394" s="20">
        <f>IF($L394&lt;&gt;"",IF(INDEX(LdAId,$L394)="","—",INDEX(LdAId,$L394)),IF($M394&lt;&gt;"",IF(INDEX(LdBId,$M394)="","—",INDEX(LdBId,$M394)),IF($N394&lt;&gt;"",IF(INDEX(LdCBank,$N394)="","—",INDEX(LdCBank,$N394)),"")))</f>
        <v/>
      </c>
      <c r="E394" s="21">
        <f>IF($L394&lt;&gt;"",IF(INDEX(LdAAmt,$L394)=0,"",INDEX(LdAAmt,$L394)),IF($M394&lt;&gt;"",IF(INDEX(LdBAmt,$M394)=0,"",INDEX(LdBAmt,$M394)),IF($N394&lt;&gt;"",IF(INDEX(LdCDep,$N394)=0,"",INDEX(LdCDep,$N394)),"")))</f>
        <v/>
      </c>
      <c r="F394" s="21">
        <f>IF(AND($L394="",$M394="",$N394=""),"",IF($N394="","",IF(INDEX(LdCWit,$N394)=0,"",INDEX(LdCWit,$N394))))</f>
        <v/>
      </c>
      <c r="G394" s="31">
        <f>IF($B394="","",IF($G393="",0,$G393)+IF($E394="",0,$E394)-IF($F394="",0,$F394))</f>
        <v/>
      </c>
      <c r="H394" s="32">
        <f>IF(AND($L394="",$M394="",$N394=""),"",IF($L394&lt;&gt;"",IF(INDEX(LdANote,$L394)="","—",INDEX(LdANote,$L394)),IF($M394&lt;&gt;"",IF(INDEX(LdBNote,$M394)="","—",INDEX(LdBNote,$M394)),IF($N394&lt;&gt;"",IF(INDEX(LdCNote,$N394)="","—",INDEX(LdCNote,$N394)),""))))</f>
        <v/>
      </c>
      <c r="L394">
        <f>IFERROR(MATCH($C$5&amp;"|"&amp;RIGHT("000000"&amp;378,6),LdAKeyM,0),"")</f>
        <v/>
      </c>
      <c r="M394">
        <f>IFERROR(MATCH($C$5&amp;"|"&amp;RIGHT("000000"&amp;378,6),LdBKeyM,0),"")</f>
        <v/>
      </c>
      <c r="N394">
        <f>IFERROR(MATCH($C$5&amp;"|"&amp;RIGHT("000000"&amp;378,6),LdCKeyM,0),"")</f>
        <v/>
      </c>
    </row>
    <row r="395">
      <c r="A395" s="10" t="n">
        <v>379</v>
      </c>
      <c r="B395" s="14">
        <f>IF(AND($L395="",$M395="",$N395=""),"",IF($L395&lt;&gt;"",INDEX(LdADate,$L395),IF($M395&lt;&gt;"",INDEX(LdBDate,$M395),INDEX(LdCDate,$N395))))</f>
        <v/>
      </c>
      <c r="C395" s="14">
        <f>IF($L395&lt;&gt;"","دستمزد (فردی)",IF($M395&lt;&gt;"","سهم از گروه "&amp;IFERROR(VLOOKUP(INDEX(LdBGroup,$M395),WGTbl,2,0),INDEX(LdBGroup,$M395)),IF($N395&lt;&gt;"",IF(N(INDEX(LdCDep,$N395))&gt;0,"بازگشت بانکی","پرداخت بانکی"),"")))</f>
        <v/>
      </c>
      <c r="D395" s="14">
        <f>IF($L395&lt;&gt;"",IF(INDEX(LdAId,$L395)="","—",INDEX(LdAId,$L395)),IF($M395&lt;&gt;"",IF(INDEX(LdBId,$M395)="","—",INDEX(LdBId,$M395)),IF($N395&lt;&gt;"",IF(INDEX(LdCBank,$N395)="","—",INDEX(LdCBank,$N395)),"")))</f>
        <v/>
      </c>
      <c r="E395" s="16">
        <f>IF($L395&lt;&gt;"",IF(INDEX(LdAAmt,$L395)=0,"",INDEX(LdAAmt,$L395)),IF($M395&lt;&gt;"",IF(INDEX(LdBAmt,$M395)=0,"",INDEX(LdBAmt,$M395)),IF($N395&lt;&gt;"",IF(INDEX(LdCDep,$N395)=0,"",INDEX(LdCDep,$N395)),"")))</f>
        <v/>
      </c>
      <c r="F395" s="16">
        <f>IF(AND($L395="",$M395="",$N395=""),"",IF($N395="","",IF(INDEX(LdCWit,$N395)=0,"",INDEX(LdCWit,$N395))))</f>
        <v/>
      </c>
      <c r="G395" s="29">
        <f>IF($B395="","",IF($G394="",0,$G394)+IF($E395="",0,$E395)-IF($F395="",0,$F395))</f>
        <v/>
      </c>
      <c r="H395" s="30">
        <f>IF(AND($L395="",$M395="",$N395=""),"",IF($L395&lt;&gt;"",IF(INDEX(LdANote,$L395)="","—",INDEX(LdANote,$L395)),IF($M395&lt;&gt;"",IF(INDEX(LdBNote,$M395)="","—",INDEX(LdBNote,$M395)),IF($N395&lt;&gt;"",IF(INDEX(LdCNote,$N395)="","—",INDEX(LdCNote,$N395)),""))))</f>
        <v/>
      </c>
      <c r="L395">
        <f>IFERROR(MATCH($C$5&amp;"|"&amp;RIGHT("000000"&amp;379,6),LdAKeyM,0),"")</f>
        <v/>
      </c>
      <c r="M395">
        <f>IFERROR(MATCH($C$5&amp;"|"&amp;RIGHT("000000"&amp;379,6),LdBKeyM,0),"")</f>
        <v/>
      </c>
      <c r="N395">
        <f>IFERROR(MATCH($C$5&amp;"|"&amp;RIGHT("000000"&amp;379,6),LdCKeyM,0),"")</f>
        <v/>
      </c>
    </row>
    <row r="396">
      <c r="A396" s="19" t="n">
        <v>380</v>
      </c>
      <c r="B396" s="20">
        <f>IF(AND($L396="",$M396="",$N396=""),"",IF($L396&lt;&gt;"",INDEX(LdADate,$L396),IF($M396&lt;&gt;"",INDEX(LdBDate,$M396),INDEX(LdCDate,$N396))))</f>
        <v/>
      </c>
      <c r="C396" s="20">
        <f>IF($L396&lt;&gt;"","دستمزد (فردی)",IF($M396&lt;&gt;"","سهم از گروه "&amp;IFERROR(VLOOKUP(INDEX(LdBGroup,$M396),WGTbl,2,0),INDEX(LdBGroup,$M396)),IF($N396&lt;&gt;"",IF(N(INDEX(LdCDep,$N396))&gt;0,"بازگشت بانکی","پرداخت بانکی"),"")))</f>
        <v/>
      </c>
      <c r="D396" s="20">
        <f>IF($L396&lt;&gt;"",IF(INDEX(LdAId,$L396)="","—",INDEX(LdAId,$L396)),IF($M396&lt;&gt;"",IF(INDEX(LdBId,$M396)="","—",INDEX(LdBId,$M396)),IF($N396&lt;&gt;"",IF(INDEX(LdCBank,$N396)="","—",INDEX(LdCBank,$N396)),"")))</f>
        <v/>
      </c>
      <c r="E396" s="21">
        <f>IF($L396&lt;&gt;"",IF(INDEX(LdAAmt,$L396)=0,"",INDEX(LdAAmt,$L396)),IF($M396&lt;&gt;"",IF(INDEX(LdBAmt,$M396)=0,"",INDEX(LdBAmt,$M396)),IF($N396&lt;&gt;"",IF(INDEX(LdCDep,$N396)=0,"",INDEX(LdCDep,$N396)),"")))</f>
        <v/>
      </c>
      <c r="F396" s="21">
        <f>IF(AND($L396="",$M396="",$N396=""),"",IF($N396="","",IF(INDEX(LdCWit,$N396)=0,"",INDEX(LdCWit,$N396))))</f>
        <v/>
      </c>
      <c r="G396" s="31">
        <f>IF($B396="","",IF($G395="",0,$G395)+IF($E396="",0,$E396)-IF($F396="",0,$F396))</f>
        <v/>
      </c>
      <c r="H396" s="32">
        <f>IF(AND($L396="",$M396="",$N396=""),"",IF($L396&lt;&gt;"",IF(INDEX(LdANote,$L396)="","—",INDEX(LdANote,$L396)),IF($M396&lt;&gt;"",IF(INDEX(LdBNote,$M396)="","—",INDEX(LdBNote,$M396)),IF($N396&lt;&gt;"",IF(INDEX(LdCNote,$N396)="","—",INDEX(LdCNote,$N396)),""))))</f>
        <v/>
      </c>
      <c r="L396">
        <f>IFERROR(MATCH($C$5&amp;"|"&amp;RIGHT("000000"&amp;380,6),LdAKeyM,0),"")</f>
        <v/>
      </c>
      <c r="M396">
        <f>IFERROR(MATCH($C$5&amp;"|"&amp;RIGHT("000000"&amp;380,6),LdBKeyM,0),"")</f>
        <v/>
      </c>
      <c r="N396">
        <f>IFERROR(MATCH($C$5&amp;"|"&amp;RIGHT("000000"&amp;380,6),LdCKeyM,0),"")</f>
        <v/>
      </c>
    </row>
    <row r="397">
      <c r="A397" s="10" t="n">
        <v>381</v>
      </c>
      <c r="B397" s="14">
        <f>IF(AND($L397="",$M397="",$N397=""),"",IF($L397&lt;&gt;"",INDEX(LdADate,$L397),IF($M397&lt;&gt;"",INDEX(LdBDate,$M397),INDEX(LdCDate,$N397))))</f>
        <v/>
      </c>
      <c r="C397" s="14">
        <f>IF($L397&lt;&gt;"","دستمزد (فردی)",IF($M397&lt;&gt;"","سهم از گروه "&amp;IFERROR(VLOOKUP(INDEX(LdBGroup,$M397),WGTbl,2,0),INDEX(LdBGroup,$M397)),IF($N397&lt;&gt;"",IF(N(INDEX(LdCDep,$N397))&gt;0,"بازگشت بانکی","پرداخت بانکی"),"")))</f>
        <v/>
      </c>
      <c r="D397" s="14">
        <f>IF($L397&lt;&gt;"",IF(INDEX(LdAId,$L397)="","—",INDEX(LdAId,$L397)),IF($M397&lt;&gt;"",IF(INDEX(LdBId,$M397)="","—",INDEX(LdBId,$M397)),IF($N397&lt;&gt;"",IF(INDEX(LdCBank,$N397)="","—",INDEX(LdCBank,$N397)),"")))</f>
        <v/>
      </c>
      <c r="E397" s="16">
        <f>IF($L397&lt;&gt;"",IF(INDEX(LdAAmt,$L397)=0,"",INDEX(LdAAmt,$L397)),IF($M397&lt;&gt;"",IF(INDEX(LdBAmt,$M397)=0,"",INDEX(LdBAmt,$M397)),IF($N397&lt;&gt;"",IF(INDEX(LdCDep,$N397)=0,"",INDEX(LdCDep,$N397)),"")))</f>
        <v/>
      </c>
      <c r="F397" s="16">
        <f>IF(AND($L397="",$M397="",$N397=""),"",IF($N397="","",IF(INDEX(LdCWit,$N397)=0,"",INDEX(LdCWit,$N397))))</f>
        <v/>
      </c>
      <c r="G397" s="29">
        <f>IF($B397="","",IF($G396="",0,$G396)+IF($E397="",0,$E397)-IF($F397="",0,$F397))</f>
        <v/>
      </c>
      <c r="H397" s="30">
        <f>IF(AND($L397="",$M397="",$N397=""),"",IF($L397&lt;&gt;"",IF(INDEX(LdANote,$L397)="","—",INDEX(LdANote,$L397)),IF($M397&lt;&gt;"",IF(INDEX(LdBNote,$M397)="","—",INDEX(LdBNote,$M397)),IF($N397&lt;&gt;"",IF(INDEX(LdCNote,$N397)="","—",INDEX(LdCNote,$N397)),""))))</f>
        <v/>
      </c>
      <c r="L397">
        <f>IFERROR(MATCH($C$5&amp;"|"&amp;RIGHT("000000"&amp;381,6),LdAKeyM,0),"")</f>
        <v/>
      </c>
      <c r="M397">
        <f>IFERROR(MATCH($C$5&amp;"|"&amp;RIGHT("000000"&amp;381,6),LdBKeyM,0),"")</f>
        <v/>
      </c>
      <c r="N397">
        <f>IFERROR(MATCH($C$5&amp;"|"&amp;RIGHT("000000"&amp;381,6),LdCKeyM,0),"")</f>
        <v/>
      </c>
    </row>
    <row r="398">
      <c r="A398" s="19" t="n">
        <v>382</v>
      </c>
      <c r="B398" s="20">
        <f>IF(AND($L398="",$M398="",$N398=""),"",IF($L398&lt;&gt;"",INDEX(LdADate,$L398),IF($M398&lt;&gt;"",INDEX(LdBDate,$M398),INDEX(LdCDate,$N398))))</f>
        <v/>
      </c>
      <c r="C398" s="20">
        <f>IF($L398&lt;&gt;"","دستمزد (فردی)",IF($M398&lt;&gt;"","سهم از گروه "&amp;IFERROR(VLOOKUP(INDEX(LdBGroup,$M398),WGTbl,2,0),INDEX(LdBGroup,$M398)),IF($N398&lt;&gt;"",IF(N(INDEX(LdCDep,$N398))&gt;0,"بازگشت بانکی","پرداخت بانکی"),"")))</f>
        <v/>
      </c>
      <c r="D398" s="20">
        <f>IF($L398&lt;&gt;"",IF(INDEX(LdAId,$L398)="","—",INDEX(LdAId,$L398)),IF($M398&lt;&gt;"",IF(INDEX(LdBId,$M398)="","—",INDEX(LdBId,$M398)),IF($N398&lt;&gt;"",IF(INDEX(LdCBank,$N398)="","—",INDEX(LdCBank,$N398)),"")))</f>
        <v/>
      </c>
      <c r="E398" s="21">
        <f>IF($L398&lt;&gt;"",IF(INDEX(LdAAmt,$L398)=0,"",INDEX(LdAAmt,$L398)),IF($M398&lt;&gt;"",IF(INDEX(LdBAmt,$M398)=0,"",INDEX(LdBAmt,$M398)),IF($N398&lt;&gt;"",IF(INDEX(LdCDep,$N398)=0,"",INDEX(LdCDep,$N398)),"")))</f>
        <v/>
      </c>
      <c r="F398" s="21">
        <f>IF(AND($L398="",$M398="",$N398=""),"",IF($N398="","",IF(INDEX(LdCWit,$N398)=0,"",INDEX(LdCWit,$N398))))</f>
        <v/>
      </c>
      <c r="G398" s="31">
        <f>IF($B398="","",IF($G397="",0,$G397)+IF($E398="",0,$E398)-IF($F398="",0,$F398))</f>
        <v/>
      </c>
      <c r="H398" s="32">
        <f>IF(AND($L398="",$M398="",$N398=""),"",IF($L398&lt;&gt;"",IF(INDEX(LdANote,$L398)="","—",INDEX(LdANote,$L398)),IF($M398&lt;&gt;"",IF(INDEX(LdBNote,$M398)="","—",INDEX(LdBNote,$M398)),IF($N398&lt;&gt;"",IF(INDEX(LdCNote,$N398)="","—",INDEX(LdCNote,$N398)),""))))</f>
        <v/>
      </c>
      <c r="L398">
        <f>IFERROR(MATCH($C$5&amp;"|"&amp;RIGHT("000000"&amp;382,6),LdAKeyM,0),"")</f>
        <v/>
      </c>
      <c r="M398">
        <f>IFERROR(MATCH($C$5&amp;"|"&amp;RIGHT("000000"&amp;382,6),LdBKeyM,0),"")</f>
        <v/>
      </c>
      <c r="N398">
        <f>IFERROR(MATCH($C$5&amp;"|"&amp;RIGHT("000000"&amp;382,6),LdCKeyM,0),"")</f>
        <v/>
      </c>
    </row>
    <row r="399">
      <c r="A399" s="10" t="n">
        <v>383</v>
      </c>
      <c r="B399" s="14">
        <f>IF(AND($L399="",$M399="",$N399=""),"",IF($L399&lt;&gt;"",INDEX(LdADate,$L399),IF($M399&lt;&gt;"",INDEX(LdBDate,$M399),INDEX(LdCDate,$N399))))</f>
        <v/>
      </c>
      <c r="C399" s="14">
        <f>IF($L399&lt;&gt;"","دستمزد (فردی)",IF($M399&lt;&gt;"","سهم از گروه "&amp;IFERROR(VLOOKUP(INDEX(LdBGroup,$M399),WGTbl,2,0),INDEX(LdBGroup,$M399)),IF($N399&lt;&gt;"",IF(N(INDEX(LdCDep,$N399))&gt;0,"بازگشت بانکی","پرداخت بانکی"),"")))</f>
        <v/>
      </c>
      <c r="D399" s="14">
        <f>IF($L399&lt;&gt;"",IF(INDEX(LdAId,$L399)="","—",INDEX(LdAId,$L399)),IF($M399&lt;&gt;"",IF(INDEX(LdBId,$M399)="","—",INDEX(LdBId,$M399)),IF($N399&lt;&gt;"",IF(INDEX(LdCBank,$N399)="","—",INDEX(LdCBank,$N399)),"")))</f>
        <v/>
      </c>
      <c r="E399" s="16">
        <f>IF($L399&lt;&gt;"",IF(INDEX(LdAAmt,$L399)=0,"",INDEX(LdAAmt,$L399)),IF($M399&lt;&gt;"",IF(INDEX(LdBAmt,$M399)=0,"",INDEX(LdBAmt,$M399)),IF($N399&lt;&gt;"",IF(INDEX(LdCDep,$N399)=0,"",INDEX(LdCDep,$N399)),"")))</f>
        <v/>
      </c>
      <c r="F399" s="16">
        <f>IF(AND($L399="",$M399="",$N399=""),"",IF($N399="","",IF(INDEX(LdCWit,$N399)=0,"",INDEX(LdCWit,$N399))))</f>
        <v/>
      </c>
      <c r="G399" s="29">
        <f>IF($B399="","",IF($G398="",0,$G398)+IF($E399="",0,$E399)-IF($F399="",0,$F399))</f>
        <v/>
      </c>
      <c r="H399" s="30">
        <f>IF(AND($L399="",$M399="",$N399=""),"",IF($L399&lt;&gt;"",IF(INDEX(LdANote,$L399)="","—",INDEX(LdANote,$L399)),IF($M399&lt;&gt;"",IF(INDEX(LdBNote,$M399)="","—",INDEX(LdBNote,$M399)),IF($N399&lt;&gt;"",IF(INDEX(LdCNote,$N399)="","—",INDEX(LdCNote,$N399)),""))))</f>
        <v/>
      </c>
      <c r="L399">
        <f>IFERROR(MATCH($C$5&amp;"|"&amp;RIGHT("000000"&amp;383,6),LdAKeyM,0),"")</f>
        <v/>
      </c>
      <c r="M399">
        <f>IFERROR(MATCH($C$5&amp;"|"&amp;RIGHT("000000"&amp;383,6),LdBKeyM,0),"")</f>
        <v/>
      </c>
      <c r="N399">
        <f>IFERROR(MATCH($C$5&amp;"|"&amp;RIGHT("000000"&amp;383,6),LdCKeyM,0),"")</f>
        <v/>
      </c>
    </row>
    <row r="400">
      <c r="A400" s="19" t="n">
        <v>384</v>
      </c>
      <c r="B400" s="20">
        <f>IF(AND($L400="",$M400="",$N400=""),"",IF($L400&lt;&gt;"",INDEX(LdADate,$L400),IF($M400&lt;&gt;"",INDEX(LdBDate,$M400),INDEX(LdCDate,$N400))))</f>
        <v/>
      </c>
      <c r="C400" s="20">
        <f>IF($L400&lt;&gt;"","دستمزد (فردی)",IF($M400&lt;&gt;"","سهم از گروه "&amp;IFERROR(VLOOKUP(INDEX(LdBGroup,$M400),WGTbl,2,0),INDEX(LdBGroup,$M400)),IF($N400&lt;&gt;"",IF(N(INDEX(LdCDep,$N400))&gt;0,"بازگشت بانکی","پرداخت بانکی"),"")))</f>
        <v/>
      </c>
      <c r="D400" s="20">
        <f>IF($L400&lt;&gt;"",IF(INDEX(LdAId,$L400)="","—",INDEX(LdAId,$L400)),IF($M400&lt;&gt;"",IF(INDEX(LdBId,$M400)="","—",INDEX(LdBId,$M400)),IF($N400&lt;&gt;"",IF(INDEX(LdCBank,$N400)="","—",INDEX(LdCBank,$N400)),"")))</f>
        <v/>
      </c>
      <c r="E400" s="21">
        <f>IF($L400&lt;&gt;"",IF(INDEX(LdAAmt,$L400)=0,"",INDEX(LdAAmt,$L400)),IF($M400&lt;&gt;"",IF(INDEX(LdBAmt,$M400)=0,"",INDEX(LdBAmt,$M400)),IF($N400&lt;&gt;"",IF(INDEX(LdCDep,$N400)=0,"",INDEX(LdCDep,$N400)),"")))</f>
        <v/>
      </c>
      <c r="F400" s="21">
        <f>IF(AND($L400="",$M400="",$N400=""),"",IF($N400="","",IF(INDEX(LdCWit,$N400)=0,"",INDEX(LdCWit,$N400))))</f>
        <v/>
      </c>
      <c r="G400" s="31">
        <f>IF($B400="","",IF($G399="",0,$G399)+IF($E400="",0,$E400)-IF($F400="",0,$F400))</f>
        <v/>
      </c>
      <c r="H400" s="32">
        <f>IF(AND($L400="",$M400="",$N400=""),"",IF($L400&lt;&gt;"",IF(INDEX(LdANote,$L400)="","—",INDEX(LdANote,$L400)),IF($M400&lt;&gt;"",IF(INDEX(LdBNote,$M400)="","—",INDEX(LdBNote,$M400)),IF($N400&lt;&gt;"",IF(INDEX(LdCNote,$N400)="","—",INDEX(LdCNote,$N400)),""))))</f>
        <v/>
      </c>
      <c r="L400">
        <f>IFERROR(MATCH($C$5&amp;"|"&amp;RIGHT("000000"&amp;384,6),LdAKeyM,0),"")</f>
        <v/>
      </c>
      <c r="M400">
        <f>IFERROR(MATCH($C$5&amp;"|"&amp;RIGHT("000000"&amp;384,6),LdBKeyM,0),"")</f>
        <v/>
      </c>
      <c r="N400">
        <f>IFERROR(MATCH($C$5&amp;"|"&amp;RIGHT("000000"&amp;384,6),LdCKeyM,0),"")</f>
        <v/>
      </c>
    </row>
    <row r="401">
      <c r="A401" s="10" t="n">
        <v>385</v>
      </c>
      <c r="B401" s="14">
        <f>IF(AND($L401="",$M401="",$N401=""),"",IF($L401&lt;&gt;"",INDEX(LdADate,$L401),IF($M401&lt;&gt;"",INDEX(LdBDate,$M401),INDEX(LdCDate,$N401))))</f>
        <v/>
      </c>
      <c r="C401" s="14">
        <f>IF($L401&lt;&gt;"","دستمزد (فردی)",IF($M401&lt;&gt;"","سهم از گروه "&amp;IFERROR(VLOOKUP(INDEX(LdBGroup,$M401),WGTbl,2,0),INDEX(LdBGroup,$M401)),IF($N401&lt;&gt;"",IF(N(INDEX(LdCDep,$N401))&gt;0,"بازگشت بانکی","پرداخت بانکی"),"")))</f>
        <v/>
      </c>
      <c r="D401" s="14">
        <f>IF($L401&lt;&gt;"",IF(INDEX(LdAId,$L401)="","—",INDEX(LdAId,$L401)),IF($M401&lt;&gt;"",IF(INDEX(LdBId,$M401)="","—",INDEX(LdBId,$M401)),IF($N401&lt;&gt;"",IF(INDEX(LdCBank,$N401)="","—",INDEX(LdCBank,$N401)),"")))</f>
        <v/>
      </c>
      <c r="E401" s="16">
        <f>IF($L401&lt;&gt;"",IF(INDEX(LdAAmt,$L401)=0,"",INDEX(LdAAmt,$L401)),IF($M401&lt;&gt;"",IF(INDEX(LdBAmt,$M401)=0,"",INDEX(LdBAmt,$M401)),IF($N401&lt;&gt;"",IF(INDEX(LdCDep,$N401)=0,"",INDEX(LdCDep,$N401)),"")))</f>
        <v/>
      </c>
      <c r="F401" s="16">
        <f>IF(AND($L401="",$M401="",$N401=""),"",IF($N401="","",IF(INDEX(LdCWit,$N401)=0,"",INDEX(LdCWit,$N401))))</f>
        <v/>
      </c>
      <c r="G401" s="29">
        <f>IF($B401="","",IF($G400="",0,$G400)+IF($E401="",0,$E401)-IF($F401="",0,$F401))</f>
        <v/>
      </c>
      <c r="H401" s="30">
        <f>IF(AND($L401="",$M401="",$N401=""),"",IF($L401&lt;&gt;"",IF(INDEX(LdANote,$L401)="","—",INDEX(LdANote,$L401)),IF($M401&lt;&gt;"",IF(INDEX(LdBNote,$M401)="","—",INDEX(LdBNote,$M401)),IF($N401&lt;&gt;"",IF(INDEX(LdCNote,$N401)="","—",INDEX(LdCNote,$N401)),""))))</f>
        <v/>
      </c>
      <c r="L401">
        <f>IFERROR(MATCH($C$5&amp;"|"&amp;RIGHT("000000"&amp;385,6),LdAKeyM,0),"")</f>
        <v/>
      </c>
      <c r="M401">
        <f>IFERROR(MATCH($C$5&amp;"|"&amp;RIGHT("000000"&amp;385,6),LdBKeyM,0),"")</f>
        <v/>
      </c>
      <c r="N401">
        <f>IFERROR(MATCH($C$5&amp;"|"&amp;RIGHT("000000"&amp;385,6),LdCKeyM,0),"")</f>
        <v/>
      </c>
    </row>
    <row r="402">
      <c r="A402" s="19" t="n">
        <v>386</v>
      </c>
      <c r="B402" s="20">
        <f>IF(AND($L402="",$M402="",$N402=""),"",IF($L402&lt;&gt;"",INDEX(LdADate,$L402),IF($M402&lt;&gt;"",INDEX(LdBDate,$M402),INDEX(LdCDate,$N402))))</f>
        <v/>
      </c>
      <c r="C402" s="20">
        <f>IF($L402&lt;&gt;"","دستمزد (فردی)",IF($M402&lt;&gt;"","سهم از گروه "&amp;IFERROR(VLOOKUP(INDEX(LdBGroup,$M402),WGTbl,2,0),INDEX(LdBGroup,$M402)),IF($N402&lt;&gt;"",IF(N(INDEX(LdCDep,$N402))&gt;0,"بازگشت بانکی","پرداخت بانکی"),"")))</f>
        <v/>
      </c>
      <c r="D402" s="20">
        <f>IF($L402&lt;&gt;"",IF(INDEX(LdAId,$L402)="","—",INDEX(LdAId,$L402)),IF($M402&lt;&gt;"",IF(INDEX(LdBId,$M402)="","—",INDEX(LdBId,$M402)),IF($N402&lt;&gt;"",IF(INDEX(LdCBank,$N402)="","—",INDEX(LdCBank,$N402)),"")))</f>
        <v/>
      </c>
      <c r="E402" s="21">
        <f>IF($L402&lt;&gt;"",IF(INDEX(LdAAmt,$L402)=0,"",INDEX(LdAAmt,$L402)),IF($M402&lt;&gt;"",IF(INDEX(LdBAmt,$M402)=0,"",INDEX(LdBAmt,$M402)),IF($N402&lt;&gt;"",IF(INDEX(LdCDep,$N402)=0,"",INDEX(LdCDep,$N402)),"")))</f>
        <v/>
      </c>
      <c r="F402" s="21">
        <f>IF(AND($L402="",$M402="",$N402=""),"",IF($N402="","",IF(INDEX(LdCWit,$N402)=0,"",INDEX(LdCWit,$N402))))</f>
        <v/>
      </c>
      <c r="G402" s="31">
        <f>IF($B402="","",IF($G401="",0,$G401)+IF($E402="",0,$E402)-IF($F402="",0,$F402))</f>
        <v/>
      </c>
      <c r="H402" s="32">
        <f>IF(AND($L402="",$M402="",$N402=""),"",IF($L402&lt;&gt;"",IF(INDEX(LdANote,$L402)="","—",INDEX(LdANote,$L402)),IF($M402&lt;&gt;"",IF(INDEX(LdBNote,$M402)="","—",INDEX(LdBNote,$M402)),IF($N402&lt;&gt;"",IF(INDEX(LdCNote,$N402)="","—",INDEX(LdCNote,$N402)),""))))</f>
        <v/>
      </c>
      <c r="L402">
        <f>IFERROR(MATCH($C$5&amp;"|"&amp;RIGHT("000000"&amp;386,6),LdAKeyM,0),"")</f>
        <v/>
      </c>
      <c r="M402">
        <f>IFERROR(MATCH($C$5&amp;"|"&amp;RIGHT("000000"&amp;386,6),LdBKeyM,0),"")</f>
        <v/>
      </c>
      <c r="N402">
        <f>IFERROR(MATCH($C$5&amp;"|"&amp;RIGHT("000000"&amp;386,6),LdCKeyM,0),"")</f>
        <v/>
      </c>
    </row>
    <row r="403">
      <c r="A403" s="10" t="n">
        <v>387</v>
      </c>
      <c r="B403" s="14">
        <f>IF(AND($L403="",$M403="",$N403=""),"",IF($L403&lt;&gt;"",INDEX(LdADate,$L403),IF($M403&lt;&gt;"",INDEX(LdBDate,$M403),INDEX(LdCDate,$N403))))</f>
        <v/>
      </c>
      <c r="C403" s="14">
        <f>IF($L403&lt;&gt;"","دستمزد (فردی)",IF($M403&lt;&gt;"","سهم از گروه "&amp;IFERROR(VLOOKUP(INDEX(LdBGroup,$M403),WGTbl,2,0),INDEX(LdBGroup,$M403)),IF($N403&lt;&gt;"",IF(N(INDEX(LdCDep,$N403))&gt;0,"بازگشت بانکی","پرداخت بانکی"),"")))</f>
        <v/>
      </c>
      <c r="D403" s="14">
        <f>IF($L403&lt;&gt;"",IF(INDEX(LdAId,$L403)="","—",INDEX(LdAId,$L403)),IF($M403&lt;&gt;"",IF(INDEX(LdBId,$M403)="","—",INDEX(LdBId,$M403)),IF($N403&lt;&gt;"",IF(INDEX(LdCBank,$N403)="","—",INDEX(LdCBank,$N403)),"")))</f>
        <v/>
      </c>
      <c r="E403" s="16">
        <f>IF($L403&lt;&gt;"",IF(INDEX(LdAAmt,$L403)=0,"",INDEX(LdAAmt,$L403)),IF($M403&lt;&gt;"",IF(INDEX(LdBAmt,$M403)=0,"",INDEX(LdBAmt,$M403)),IF($N403&lt;&gt;"",IF(INDEX(LdCDep,$N403)=0,"",INDEX(LdCDep,$N403)),"")))</f>
        <v/>
      </c>
      <c r="F403" s="16">
        <f>IF(AND($L403="",$M403="",$N403=""),"",IF($N403="","",IF(INDEX(LdCWit,$N403)=0,"",INDEX(LdCWit,$N403))))</f>
        <v/>
      </c>
      <c r="G403" s="29">
        <f>IF($B403="","",IF($G402="",0,$G402)+IF($E403="",0,$E403)-IF($F403="",0,$F403))</f>
        <v/>
      </c>
      <c r="H403" s="30">
        <f>IF(AND($L403="",$M403="",$N403=""),"",IF($L403&lt;&gt;"",IF(INDEX(LdANote,$L403)="","—",INDEX(LdANote,$L403)),IF($M403&lt;&gt;"",IF(INDEX(LdBNote,$M403)="","—",INDEX(LdBNote,$M403)),IF($N403&lt;&gt;"",IF(INDEX(LdCNote,$N403)="","—",INDEX(LdCNote,$N403)),""))))</f>
        <v/>
      </c>
      <c r="L403">
        <f>IFERROR(MATCH($C$5&amp;"|"&amp;RIGHT("000000"&amp;387,6),LdAKeyM,0),"")</f>
        <v/>
      </c>
      <c r="M403">
        <f>IFERROR(MATCH($C$5&amp;"|"&amp;RIGHT("000000"&amp;387,6),LdBKeyM,0),"")</f>
        <v/>
      </c>
      <c r="N403">
        <f>IFERROR(MATCH($C$5&amp;"|"&amp;RIGHT("000000"&amp;387,6),LdCKeyM,0),"")</f>
        <v/>
      </c>
    </row>
    <row r="404">
      <c r="A404" s="19" t="n">
        <v>388</v>
      </c>
      <c r="B404" s="20">
        <f>IF(AND($L404="",$M404="",$N404=""),"",IF($L404&lt;&gt;"",INDEX(LdADate,$L404),IF($M404&lt;&gt;"",INDEX(LdBDate,$M404),INDEX(LdCDate,$N404))))</f>
        <v/>
      </c>
      <c r="C404" s="20">
        <f>IF($L404&lt;&gt;"","دستمزد (فردی)",IF($M404&lt;&gt;"","سهم از گروه "&amp;IFERROR(VLOOKUP(INDEX(LdBGroup,$M404),WGTbl,2,0),INDEX(LdBGroup,$M404)),IF($N404&lt;&gt;"",IF(N(INDEX(LdCDep,$N404))&gt;0,"بازگشت بانکی","پرداخت بانکی"),"")))</f>
        <v/>
      </c>
      <c r="D404" s="20">
        <f>IF($L404&lt;&gt;"",IF(INDEX(LdAId,$L404)="","—",INDEX(LdAId,$L404)),IF($M404&lt;&gt;"",IF(INDEX(LdBId,$M404)="","—",INDEX(LdBId,$M404)),IF($N404&lt;&gt;"",IF(INDEX(LdCBank,$N404)="","—",INDEX(LdCBank,$N404)),"")))</f>
        <v/>
      </c>
      <c r="E404" s="21">
        <f>IF($L404&lt;&gt;"",IF(INDEX(LdAAmt,$L404)=0,"",INDEX(LdAAmt,$L404)),IF($M404&lt;&gt;"",IF(INDEX(LdBAmt,$M404)=0,"",INDEX(LdBAmt,$M404)),IF($N404&lt;&gt;"",IF(INDEX(LdCDep,$N404)=0,"",INDEX(LdCDep,$N404)),"")))</f>
        <v/>
      </c>
      <c r="F404" s="21">
        <f>IF(AND($L404="",$M404="",$N404=""),"",IF($N404="","",IF(INDEX(LdCWit,$N404)=0,"",INDEX(LdCWit,$N404))))</f>
        <v/>
      </c>
      <c r="G404" s="31">
        <f>IF($B404="","",IF($G403="",0,$G403)+IF($E404="",0,$E404)-IF($F404="",0,$F404))</f>
        <v/>
      </c>
      <c r="H404" s="32">
        <f>IF(AND($L404="",$M404="",$N404=""),"",IF($L404&lt;&gt;"",IF(INDEX(LdANote,$L404)="","—",INDEX(LdANote,$L404)),IF($M404&lt;&gt;"",IF(INDEX(LdBNote,$M404)="","—",INDEX(LdBNote,$M404)),IF($N404&lt;&gt;"",IF(INDEX(LdCNote,$N404)="","—",INDEX(LdCNote,$N404)),""))))</f>
        <v/>
      </c>
      <c r="L404">
        <f>IFERROR(MATCH($C$5&amp;"|"&amp;RIGHT("000000"&amp;388,6),LdAKeyM,0),"")</f>
        <v/>
      </c>
      <c r="M404">
        <f>IFERROR(MATCH($C$5&amp;"|"&amp;RIGHT("000000"&amp;388,6),LdBKeyM,0),"")</f>
        <v/>
      </c>
      <c r="N404">
        <f>IFERROR(MATCH($C$5&amp;"|"&amp;RIGHT("000000"&amp;388,6),LdCKeyM,0),"")</f>
        <v/>
      </c>
    </row>
    <row r="405">
      <c r="A405" s="10" t="n">
        <v>389</v>
      </c>
      <c r="B405" s="14">
        <f>IF(AND($L405="",$M405="",$N405=""),"",IF($L405&lt;&gt;"",INDEX(LdADate,$L405),IF($M405&lt;&gt;"",INDEX(LdBDate,$M405),INDEX(LdCDate,$N405))))</f>
        <v/>
      </c>
      <c r="C405" s="14">
        <f>IF($L405&lt;&gt;"","دستمزد (فردی)",IF($M405&lt;&gt;"","سهم از گروه "&amp;IFERROR(VLOOKUP(INDEX(LdBGroup,$M405),WGTbl,2,0),INDEX(LdBGroup,$M405)),IF($N405&lt;&gt;"",IF(N(INDEX(LdCDep,$N405))&gt;0,"بازگشت بانکی","پرداخت بانکی"),"")))</f>
        <v/>
      </c>
      <c r="D405" s="14">
        <f>IF($L405&lt;&gt;"",IF(INDEX(LdAId,$L405)="","—",INDEX(LdAId,$L405)),IF($M405&lt;&gt;"",IF(INDEX(LdBId,$M405)="","—",INDEX(LdBId,$M405)),IF($N405&lt;&gt;"",IF(INDEX(LdCBank,$N405)="","—",INDEX(LdCBank,$N405)),"")))</f>
        <v/>
      </c>
      <c r="E405" s="16">
        <f>IF($L405&lt;&gt;"",IF(INDEX(LdAAmt,$L405)=0,"",INDEX(LdAAmt,$L405)),IF($M405&lt;&gt;"",IF(INDEX(LdBAmt,$M405)=0,"",INDEX(LdBAmt,$M405)),IF($N405&lt;&gt;"",IF(INDEX(LdCDep,$N405)=0,"",INDEX(LdCDep,$N405)),"")))</f>
        <v/>
      </c>
      <c r="F405" s="16">
        <f>IF(AND($L405="",$M405="",$N405=""),"",IF($N405="","",IF(INDEX(LdCWit,$N405)=0,"",INDEX(LdCWit,$N405))))</f>
        <v/>
      </c>
      <c r="G405" s="29">
        <f>IF($B405="","",IF($G404="",0,$G404)+IF($E405="",0,$E405)-IF($F405="",0,$F405))</f>
        <v/>
      </c>
      <c r="H405" s="30">
        <f>IF(AND($L405="",$M405="",$N405=""),"",IF($L405&lt;&gt;"",IF(INDEX(LdANote,$L405)="","—",INDEX(LdANote,$L405)),IF($M405&lt;&gt;"",IF(INDEX(LdBNote,$M405)="","—",INDEX(LdBNote,$M405)),IF($N405&lt;&gt;"",IF(INDEX(LdCNote,$N405)="","—",INDEX(LdCNote,$N405)),""))))</f>
        <v/>
      </c>
      <c r="L405">
        <f>IFERROR(MATCH($C$5&amp;"|"&amp;RIGHT("000000"&amp;389,6),LdAKeyM,0),"")</f>
        <v/>
      </c>
      <c r="M405">
        <f>IFERROR(MATCH($C$5&amp;"|"&amp;RIGHT("000000"&amp;389,6),LdBKeyM,0),"")</f>
        <v/>
      </c>
      <c r="N405">
        <f>IFERROR(MATCH($C$5&amp;"|"&amp;RIGHT("000000"&amp;389,6),LdCKeyM,0),"")</f>
        <v/>
      </c>
    </row>
    <row r="406">
      <c r="A406" s="19" t="n">
        <v>390</v>
      </c>
      <c r="B406" s="20">
        <f>IF(AND($L406="",$M406="",$N406=""),"",IF($L406&lt;&gt;"",INDEX(LdADate,$L406),IF($M406&lt;&gt;"",INDEX(LdBDate,$M406),INDEX(LdCDate,$N406))))</f>
        <v/>
      </c>
      <c r="C406" s="20">
        <f>IF($L406&lt;&gt;"","دستمزد (فردی)",IF($M406&lt;&gt;"","سهم از گروه "&amp;IFERROR(VLOOKUP(INDEX(LdBGroup,$M406),WGTbl,2,0),INDEX(LdBGroup,$M406)),IF($N406&lt;&gt;"",IF(N(INDEX(LdCDep,$N406))&gt;0,"بازگشت بانکی","پرداخت بانکی"),"")))</f>
        <v/>
      </c>
      <c r="D406" s="20">
        <f>IF($L406&lt;&gt;"",IF(INDEX(LdAId,$L406)="","—",INDEX(LdAId,$L406)),IF($M406&lt;&gt;"",IF(INDEX(LdBId,$M406)="","—",INDEX(LdBId,$M406)),IF($N406&lt;&gt;"",IF(INDEX(LdCBank,$N406)="","—",INDEX(LdCBank,$N406)),"")))</f>
        <v/>
      </c>
      <c r="E406" s="21">
        <f>IF($L406&lt;&gt;"",IF(INDEX(LdAAmt,$L406)=0,"",INDEX(LdAAmt,$L406)),IF($M406&lt;&gt;"",IF(INDEX(LdBAmt,$M406)=0,"",INDEX(LdBAmt,$M406)),IF($N406&lt;&gt;"",IF(INDEX(LdCDep,$N406)=0,"",INDEX(LdCDep,$N406)),"")))</f>
        <v/>
      </c>
      <c r="F406" s="21">
        <f>IF(AND($L406="",$M406="",$N406=""),"",IF($N406="","",IF(INDEX(LdCWit,$N406)=0,"",INDEX(LdCWit,$N406))))</f>
        <v/>
      </c>
      <c r="G406" s="31">
        <f>IF($B406="","",IF($G405="",0,$G405)+IF($E406="",0,$E406)-IF($F406="",0,$F406))</f>
        <v/>
      </c>
      <c r="H406" s="32">
        <f>IF(AND($L406="",$M406="",$N406=""),"",IF($L406&lt;&gt;"",IF(INDEX(LdANote,$L406)="","—",INDEX(LdANote,$L406)),IF($M406&lt;&gt;"",IF(INDEX(LdBNote,$M406)="","—",INDEX(LdBNote,$M406)),IF($N406&lt;&gt;"",IF(INDEX(LdCNote,$N406)="","—",INDEX(LdCNote,$N406)),""))))</f>
        <v/>
      </c>
      <c r="L406">
        <f>IFERROR(MATCH($C$5&amp;"|"&amp;RIGHT("000000"&amp;390,6),LdAKeyM,0),"")</f>
        <v/>
      </c>
      <c r="M406">
        <f>IFERROR(MATCH($C$5&amp;"|"&amp;RIGHT("000000"&amp;390,6),LdBKeyM,0),"")</f>
        <v/>
      </c>
      <c r="N406">
        <f>IFERROR(MATCH($C$5&amp;"|"&amp;RIGHT("000000"&amp;390,6),LdCKeyM,0),"")</f>
        <v/>
      </c>
    </row>
    <row r="407">
      <c r="A407" s="10" t="n">
        <v>391</v>
      </c>
      <c r="B407" s="14">
        <f>IF(AND($L407="",$M407="",$N407=""),"",IF($L407&lt;&gt;"",INDEX(LdADate,$L407),IF($M407&lt;&gt;"",INDEX(LdBDate,$M407),INDEX(LdCDate,$N407))))</f>
        <v/>
      </c>
      <c r="C407" s="14">
        <f>IF($L407&lt;&gt;"","دستمزد (فردی)",IF($M407&lt;&gt;"","سهم از گروه "&amp;IFERROR(VLOOKUP(INDEX(LdBGroup,$M407),WGTbl,2,0),INDEX(LdBGroup,$M407)),IF($N407&lt;&gt;"",IF(N(INDEX(LdCDep,$N407))&gt;0,"بازگشت بانکی","پرداخت بانکی"),"")))</f>
        <v/>
      </c>
      <c r="D407" s="14">
        <f>IF($L407&lt;&gt;"",IF(INDEX(LdAId,$L407)="","—",INDEX(LdAId,$L407)),IF($M407&lt;&gt;"",IF(INDEX(LdBId,$M407)="","—",INDEX(LdBId,$M407)),IF($N407&lt;&gt;"",IF(INDEX(LdCBank,$N407)="","—",INDEX(LdCBank,$N407)),"")))</f>
        <v/>
      </c>
      <c r="E407" s="16">
        <f>IF($L407&lt;&gt;"",IF(INDEX(LdAAmt,$L407)=0,"",INDEX(LdAAmt,$L407)),IF($M407&lt;&gt;"",IF(INDEX(LdBAmt,$M407)=0,"",INDEX(LdBAmt,$M407)),IF($N407&lt;&gt;"",IF(INDEX(LdCDep,$N407)=0,"",INDEX(LdCDep,$N407)),"")))</f>
        <v/>
      </c>
      <c r="F407" s="16">
        <f>IF(AND($L407="",$M407="",$N407=""),"",IF($N407="","",IF(INDEX(LdCWit,$N407)=0,"",INDEX(LdCWit,$N407))))</f>
        <v/>
      </c>
      <c r="G407" s="29">
        <f>IF($B407="","",IF($G406="",0,$G406)+IF($E407="",0,$E407)-IF($F407="",0,$F407))</f>
        <v/>
      </c>
      <c r="H407" s="30">
        <f>IF(AND($L407="",$M407="",$N407=""),"",IF($L407&lt;&gt;"",IF(INDEX(LdANote,$L407)="","—",INDEX(LdANote,$L407)),IF($M407&lt;&gt;"",IF(INDEX(LdBNote,$M407)="","—",INDEX(LdBNote,$M407)),IF($N407&lt;&gt;"",IF(INDEX(LdCNote,$N407)="","—",INDEX(LdCNote,$N407)),""))))</f>
        <v/>
      </c>
      <c r="L407">
        <f>IFERROR(MATCH($C$5&amp;"|"&amp;RIGHT("000000"&amp;391,6),LdAKeyM,0),"")</f>
        <v/>
      </c>
      <c r="M407">
        <f>IFERROR(MATCH($C$5&amp;"|"&amp;RIGHT("000000"&amp;391,6),LdBKeyM,0),"")</f>
        <v/>
      </c>
      <c r="N407">
        <f>IFERROR(MATCH($C$5&amp;"|"&amp;RIGHT("000000"&amp;391,6),LdCKeyM,0),"")</f>
        <v/>
      </c>
    </row>
    <row r="408">
      <c r="A408" s="19" t="n">
        <v>392</v>
      </c>
      <c r="B408" s="20">
        <f>IF(AND($L408="",$M408="",$N408=""),"",IF($L408&lt;&gt;"",INDEX(LdADate,$L408),IF($M408&lt;&gt;"",INDEX(LdBDate,$M408),INDEX(LdCDate,$N408))))</f>
        <v/>
      </c>
      <c r="C408" s="20">
        <f>IF($L408&lt;&gt;"","دستمزد (فردی)",IF($M408&lt;&gt;"","سهم از گروه "&amp;IFERROR(VLOOKUP(INDEX(LdBGroup,$M408),WGTbl,2,0),INDEX(LdBGroup,$M408)),IF($N408&lt;&gt;"",IF(N(INDEX(LdCDep,$N408))&gt;0,"بازگشت بانکی","پرداخت بانکی"),"")))</f>
        <v/>
      </c>
      <c r="D408" s="20">
        <f>IF($L408&lt;&gt;"",IF(INDEX(LdAId,$L408)="","—",INDEX(LdAId,$L408)),IF($M408&lt;&gt;"",IF(INDEX(LdBId,$M408)="","—",INDEX(LdBId,$M408)),IF($N408&lt;&gt;"",IF(INDEX(LdCBank,$N408)="","—",INDEX(LdCBank,$N408)),"")))</f>
        <v/>
      </c>
      <c r="E408" s="21">
        <f>IF($L408&lt;&gt;"",IF(INDEX(LdAAmt,$L408)=0,"",INDEX(LdAAmt,$L408)),IF($M408&lt;&gt;"",IF(INDEX(LdBAmt,$M408)=0,"",INDEX(LdBAmt,$M408)),IF($N408&lt;&gt;"",IF(INDEX(LdCDep,$N408)=0,"",INDEX(LdCDep,$N408)),"")))</f>
        <v/>
      </c>
      <c r="F408" s="21">
        <f>IF(AND($L408="",$M408="",$N408=""),"",IF($N408="","",IF(INDEX(LdCWit,$N408)=0,"",INDEX(LdCWit,$N408))))</f>
        <v/>
      </c>
      <c r="G408" s="31">
        <f>IF($B408="","",IF($G407="",0,$G407)+IF($E408="",0,$E408)-IF($F408="",0,$F408))</f>
        <v/>
      </c>
      <c r="H408" s="32">
        <f>IF(AND($L408="",$M408="",$N408=""),"",IF($L408&lt;&gt;"",IF(INDEX(LdANote,$L408)="","—",INDEX(LdANote,$L408)),IF($M408&lt;&gt;"",IF(INDEX(LdBNote,$M408)="","—",INDEX(LdBNote,$M408)),IF($N408&lt;&gt;"",IF(INDEX(LdCNote,$N408)="","—",INDEX(LdCNote,$N408)),""))))</f>
        <v/>
      </c>
      <c r="L408">
        <f>IFERROR(MATCH($C$5&amp;"|"&amp;RIGHT("000000"&amp;392,6),LdAKeyM,0),"")</f>
        <v/>
      </c>
      <c r="M408">
        <f>IFERROR(MATCH($C$5&amp;"|"&amp;RIGHT("000000"&amp;392,6),LdBKeyM,0),"")</f>
        <v/>
      </c>
      <c r="N408">
        <f>IFERROR(MATCH($C$5&amp;"|"&amp;RIGHT("000000"&amp;392,6),LdCKeyM,0),"")</f>
        <v/>
      </c>
    </row>
    <row r="409">
      <c r="A409" s="10" t="n">
        <v>393</v>
      </c>
      <c r="B409" s="14">
        <f>IF(AND($L409="",$M409="",$N409=""),"",IF($L409&lt;&gt;"",INDEX(LdADate,$L409),IF($M409&lt;&gt;"",INDEX(LdBDate,$M409),INDEX(LdCDate,$N409))))</f>
        <v/>
      </c>
      <c r="C409" s="14">
        <f>IF($L409&lt;&gt;"","دستمزد (فردی)",IF($M409&lt;&gt;"","سهم از گروه "&amp;IFERROR(VLOOKUP(INDEX(LdBGroup,$M409),WGTbl,2,0),INDEX(LdBGroup,$M409)),IF($N409&lt;&gt;"",IF(N(INDEX(LdCDep,$N409))&gt;0,"بازگشت بانکی","پرداخت بانکی"),"")))</f>
        <v/>
      </c>
      <c r="D409" s="14">
        <f>IF($L409&lt;&gt;"",IF(INDEX(LdAId,$L409)="","—",INDEX(LdAId,$L409)),IF($M409&lt;&gt;"",IF(INDEX(LdBId,$M409)="","—",INDEX(LdBId,$M409)),IF($N409&lt;&gt;"",IF(INDEX(LdCBank,$N409)="","—",INDEX(LdCBank,$N409)),"")))</f>
        <v/>
      </c>
      <c r="E409" s="16">
        <f>IF($L409&lt;&gt;"",IF(INDEX(LdAAmt,$L409)=0,"",INDEX(LdAAmt,$L409)),IF($M409&lt;&gt;"",IF(INDEX(LdBAmt,$M409)=0,"",INDEX(LdBAmt,$M409)),IF($N409&lt;&gt;"",IF(INDEX(LdCDep,$N409)=0,"",INDEX(LdCDep,$N409)),"")))</f>
        <v/>
      </c>
      <c r="F409" s="16">
        <f>IF(AND($L409="",$M409="",$N409=""),"",IF($N409="","",IF(INDEX(LdCWit,$N409)=0,"",INDEX(LdCWit,$N409))))</f>
        <v/>
      </c>
      <c r="G409" s="29">
        <f>IF($B409="","",IF($G408="",0,$G408)+IF($E409="",0,$E409)-IF($F409="",0,$F409))</f>
        <v/>
      </c>
      <c r="H409" s="30">
        <f>IF(AND($L409="",$M409="",$N409=""),"",IF($L409&lt;&gt;"",IF(INDEX(LdANote,$L409)="","—",INDEX(LdANote,$L409)),IF($M409&lt;&gt;"",IF(INDEX(LdBNote,$M409)="","—",INDEX(LdBNote,$M409)),IF($N409&lt;&gt;"",IF(INDEX(LdCNote,$N409)="","—",INDEX(LdCNote,$N409)),""))))</f>
        <v/>
      </c>
      <c r="L409">
        <f>IFERROR(MATCH($C$5&amp;"|"&amp;RIGHT("000000"&amp;393,6),LdAKeyM,0),"")</f>
        <v/>
      </c>
      <c r="M409">
        <f>IFERROR(MATCH($C$5&amp;"|"&amp;RIGHT("000000"&amp;393,6),LdBKeyM,0),"")</f>
        <v/>
      </c>
      <c r="N409">
        <f>IFERROR(MATCH($C$5&amp;"|"&amp;RIGHT("000000"&amp;393,6),LdCKeyM,0),"")</f>
        <v/>
      </c>
    </row>
    <row r="410">
      <c r="A410" s="19" t="n">
        <v>394</v>
      </c>
      <c r="B410" s="20">
        <f>IF(AND($L410="",$M410="",$N410=""),"",IF($L410&lt;&gt;"",INDEX(LdADate,$L410),IF($M410&lt;&gt;"",INDEX(LdBDate,$M410),INDEX(LdCDate,$N410))))</f>
        <v/>
      </c>
      <c r="C410" s="20">
        <f>IF($L410&lt;&gt;"","دستمزد (فردی)",IF($M410&lt;&gt;"","سهم از گروه "&amp;IFERROR(VLOOKUP(INDEX(LdBGroup,$M410),WGTbl,2,0),INDEX(LdBGroup,$M410)),IF($N410&lt;&gt;"",IF(N(INDEX(LdCDep,$N410))&gt;0,"بازگشت بانکی","پرداخت بانکی"),"")))</f>
        <v/>
      </c>
      <c r="D410" s="20">
        <f>IF($L410&lt;&gt;"",IF(INDEX(LdAId,$L410)="","—",INDEX(LdAId,$L410)),IF($M410&lt;&gt;"",IF(INDEX(LdBId,$M410)="","—",INDEX(LdBId,$M410)),IF($N410&lt;&gt;"",IF(INDEX(LdCBank,$N410)="","—",INDEX(LdCBank,$N410)),"")))</f>
        <v/>
      </c>
      <c r="E410" s="21">
        <f>IF($L410&lt;&gt;"",IF(INDEX(LdAAmt,$L410)=0,"",INDEX(LdAAmt,$L410)),IF($M410&lt;&gt;"",IF(INDEX(LdBAmt,$M410)=0,"",INDEX(LdBAmt,$M410)),IF($N410&lt;&gt;"",IF(INDEX(LdCDep,$N410)=0,"",INDEX(LdCDep,$N410)),"")))</f>
        <v/>
      </c>
      <c r="F410" s="21">
        <f>IF(AND($L410="",$M410="",$N410=""),"",IF($N410="","",IF(INDEX(LdCWit,$N410)=0,"",INDEX(LdCWit,$N410))))</f>
        <v/>
      </c>
      <c r="G410" s="31">
        <f>IF($B410="","",IF($G409="",0,$G409)+IF($E410="",0,$E410)-IF($F410="",0,$F410))</f>
        <v/>
      </c>
      <c r="H410" s="32">
        <f>IF(AND($L410="",$M410="",$N410=""),"",IF($L410&lt;&gt;"",IF(INDEX(LdANote,$L410)="","—",INDEX(LdANote,$L410)),IF($M410&lt;&gt;"",IF(INDEX(LdBNote,$M410)="","—",INDEX(LdBNote,$M410)),IF($N410&lt;&gt;"",IF(INDEX(LdCNote,$N410)="","—",INDEX(LdCNote,$N410)),""))))</f>
        <v/>
      </c>
      <c r="L410">
        <f>IFERROR(MATCH($C$5&amp;"|"&amp;RIGHT("000000"&amp;394,6),LdAKeyM,0),"")</f>
        <v/>
      </c>
      <c r="M410">
        <f>IFERROR(MATCH($C$5&amp;"|"&amp;RIGHT("000000"&amp;394,6),LdBKeyM,0),"")</f>
        <v/>
      </c>
      <c r="N410">
        <f>IFERROR(MATCH($C$5&amp;"|"&amp;RIGHT("000000"&amp;394,6),LdCKeyM,0),"")</f>
        <v/>
      </c>
    </row>
    <row r="411">
      <c r="A411" s="10" t="n">
        <v>395</v>
      </c>
      <c r="B411" s="14">
        <f>IF(AND($L411="",$M411="",$N411=""),"",IF($L411&lt;&gt;"",INDEX(LdADate,$L411),IF($M411&lt;&gt;"",INDEX(LdBDate,$M411),INDEX(LdCDate,$N411))))</f>
        <v/>
      </c>
      <c r="C411" s="14">
        <f>IF($L411&lt;&gt;"","دستمزد (فردی)",IF($M411&lt;&gt;"","سهم از گروه "&amp;IFERROR(VLOOKUP(INDEX(LdBGroup,$M411),WGTbl,2,0),INDEX(LdBGroup,$M411)),IF($N411&lt;&gt;"",IF(N(INDEX(LdCDep,$N411))&gt;0,"بازگشت بانکی","پرداخت بانکی"),"")))</f>
        <v/>
      </c>
      <c r="D411" s="14">
        <f>IF($L411&lt;&gt;"",IF(INDEX(LdAId,$L411)="","—",INDEX(LdAId,$L411)),IF($M411&lt;&gt;"",IF(INDEX(LdBId,$M411)="","—",INDEX(LdBId,$M411)),IF($N411&lt;&gt;"",IF(INDEX(LdCBank,$N411)="","—",INDEX(LdCBank,$N411)),"")))</f>
        <v/>
      </c>
      <c r="E411" s="16">
        <f>IF($L411&lt;&gt;"",IF(INDEX(LdAAmt,$L411)=0,"",INDEX(LdAAmt,$L411)),IF($M411&lt;&gt;"",IF(INDEX(LdBAmt,$M411)=0,"",INDEX(LdBAmt,$M411)),IF($N411&lt;&gt;"",IF(INDEX(LdCDep,$N411)=0,"",INDEX(LdCDep,$N411)),"")))</f>
        <v/>
      </c>
      <c r="F411" s="16">
        <f>IF(AND($L411="",$M411="",$N411=""),"",IF($N411="","",IF(INDEX(LdCWit,$N411)=0,"",INDEX(LdCWit,$N411))))</f>
        <v/>
      </c>
      <c r="G411" s="29">
        <f>IF($B411="","",IF($G410="",0,$G410)+IF($E411="",0,$E411)-IF($F411="",0,$F411))</f>
        <v/>
      </c>
      <c r="H411" s="30">
        <f>IF(AND($L411="",$M411="",$N411=""),"",IF($L411&lt;&gt;"",IF(INDEX(LdANote,$L411)="","—",INDEX(LdANote,$L411)),IF($M411&lt;&gt;"",IF(INDEX(LdBNote,$M411)="","—",INDEX(LdBNote,$M411)),IF($N411&lt;&gt;"",IF(INDEX(LdCNote,$N411)="","—",INDEX(LdCNote,$N411)),""))))</f>
        <v/>
      </c>
      <c r="L411">
        <f>IFERROR(MATCH($C$5&amp;"|"&amp;RIGHT("000000"&amp;395,6),LdAKeyM,0),"")</f>
        <v/>
      </c>
      <c r="M411">
        <f>IFERROR(MATCH($C$5&amp;"|"&amp;RIGHT("000000"&amp;395,6),LdBKeyM,0),"")</f>
        <v/>
      </c>
      <c r="N411">
        <f>IFERROR(MATCH($C$5&amp;"|"&amp;RIGHT("000000"&amp;395,6),LdCKeyM,0),"")</f>
        <v/>
      </c>
    </row>
    <row r="412">
      <c r="A412" s="19" t="n">
        <v>396</v>
      </c>
      <c r="B412" s="20">
        <f>IF(AND($L412="",$M412="",$N412=""),"",IF($L412&lt;&gt;"",INDEX(LdADate,$L412),IF($M412&lt;&gt;"",INDEX(LdBDate,$M412),INDEX(LdCDate,$N412))))</f>
        <v/>
      </c>
      <c r="C412" s="20">
        <f>IF($L412&lt;&gt;"","دستمزد (فردی)",IF($M412&lt;&gt;"","سهم از گروه "&amp;IFERROR(VLOOKUP(INDEX(LdBGroup,$M412),WGTbl,2,0),INDEX(LdBGroup,$M412)),IF($N412&lt;&gt;"",IF(N(INDEX(LdCDep,$N412))&gt;0,"بازگشت بانکی","پرداخت بانکی"),"")))</f>
        <v/>
      </c>
      <c r="D412" s="20">
        <f>IF($L412&lt;&gt;"",IF(INDEX(LdAId,$L412)="","—",INDEX(LdAId,$L412)),IF($M412&lt;&gt;"",IF(INDEX(LdBId,$M412)="","—",INDEX(LdBId,$M412)),IF($N412&lt;&gt;"",IF(INDEX(LdCBank,$N412)="","—",INDEX(LdCBank,$N412)),"")))</f>
        <v/>
      </c>
      <c r="E412" s="21">
        <f>IF($L412&lt;&gt;"",IF(INDEX(LdAAmt,$L412)=0,"",INDEX(LdAAmt,$L412)),IF($M412&lt;&gt;"",IF(INDEX(LdBAmt,$M412)=0,"",INDEX(LdBAmt,$M412)),IF($N412&lt;&gt;"",IF(INDEX(LdCDep,$N412)=0,"",INDEX(LdCDep,$N412)),"")))</f>
        <v/>
      </c>
      <c r="F412" s="21">
        <f>IF(AND($L412="",$M412="",$N412=""),"",IF($N412="","",IF(INDEX(LdCWit,$N412)=0,"",INDEX(LdCWit,$N412))))</f>
        <v/>
      </c>
      <c r="G412" s="31">
        <f>IF($B412="","",IF($G411="",0,$G411)+IF($E412="",0,$E412)-IF($F412="",0,$F412))</f>
        <v/>
      </c>
      <c r="H412" s="32">
        <f>IF(AND($L412="",$M412="",$N412=""),"",IF($L412&lt;&gt;"",IF(INDEX(LdANote,$L412)="","—",INDEX(LdANote,$L412)),IF($M412&lt;&gt;"",IF(INDEX(LdBNote,$M412)="","—",INDEX(LdBNote,$M412)),IF($N412&lt;&gt;"",IF(INDEX(LdCNote,$N412)="","—",INDEX(LdCNote,$N412)),""))))</f>
        <v/>
      </c>
      <c r="L412">
        <f>IFERROR(MATCH($C$5&amp;"|"&amp;RIGHT("000000"&amp;396,6),LdAKeyM,0),"")</f>
        <v/>
      </c>
      <c r="M412">
        <f>IFERROR(MATCH($C$5&amp;"|"&amp;RIGHT("000000"&amp;396,6),LdBKeyM,0),"")</f>
        <v/>
      </c>
      <c r="N412">
        <f>IFERROR(MATCH($C$5&amp;"|"&amp;RIGHT("000000"&amp;396,6),LdCKeyM,0),"")</f>
        <v/>
      </c>
    </row>
    <row r="413">
      <c r="A413" s="10" t="n">
        <v>397</v>
      </c>
      <c r="B413" s="14">
        <f>IF(AND($L413="",$M413="",$N413=""),"",IF($L413&lt;&gt;"",INDEX(LdADate,$L413),IF($M413&lt;&gt;"",INDEX(LdBDate,$M413),INDEX(LdCDate,$N413))))</f>
        <v/>
      </c>
      <c r="C413" s="14">
        <f>IF($L413&lt;&gt;"","دستمزد (فردی)",IF($M413&lt;&gt;"","سهم از گروه "&amp;IFERROR(VLOOKUP(INDEX(LdBGroup,$M413),WGTbl,2,0),INDEX(LdBGroup,$M413)),IF($N413&lt;&gt;"",IF(N(INDEX(LdCDep,$N413))&gt;0,"بازگشت بانکی","پرداخت بانکی"),"")))</f>
        <v/>
      </c>
      <c r="D413" s="14">
        <f>IF($L413&lt;&gt;"",IF(INDEX(LdAId,$L413)="","—",INDEX(LdAId,$L413)),IF($M413&lt;&gt;"",IF(INDEX(LdBId,$M413)="","—",INDEX(LdBId,$M413)),IF($N413&lt;&gt;"",IF(INDEX(LdCBank,$N413)="","—",INDEX(LdCBank,$N413)),"")))</f>
        <v/>
      </c>
      <c r="E413" s="16">
        <f>IF($L413&lt;&gt;"",IF(INDEX(LdAAmt,$L413)=0,"",INDEX(LdAAmt,$L413)),IF($M413&lt;&gt;"",IF(INDEX(LdBAmt,$M413)=0,"",INDEX(LdBAmt,$M413)),IF($N413&lt;&gt;"",IF(INDEX(LdCDep,$N413)=0,"",INDEX(LdCDep,$N413)),"")))</f>
        <v/>
      </c>
      <c r="F413" s="16">
        <f>IF(AND($L413="",$M413="",$N413=""),"",IF($N413="","",IF(INDEX(LdCWit,$N413)=0,"",INDEX(LdCWit,$N413))))</f>
        <v/>
      </c>
      <c r="G413" s="29">
        <f>IF($B413="","",IF($G412="",0,$G412)+IF($E413="",0,$E413)-IF($F413="",0,$F413))</f>
        <v/>
      </c>
      <c r="H413" s="30">
        <f>IF(AND($L413="",$M413="",$N413=""),"",IF($L413&lt;&gt;"",IF(INDEX(LdANote,$L413)="","—",INDEX(LdANote,$L413)),IF($M413&lt;&gt;"",IF(INDEX(LdBNote,$M413)="","—",INDEX(LdBNote,$M413)),IF($N413&lt;&gt;"",IF(INDEX(LdCNote,$N413)="","—",INDEX(LdCNote,$N413)),""))))</f>
        <v/>
      </c>
      <c r="L413">
        <f>IFERROR(MATCH($C$5&amp;"|"&amp;RIGHT("000000"&amp;397,6),LdAKeyM,0),"")</f>
        <v/>
      </c>
      <c r="M413">
        <f>IFERROR(MATCH($C$5&amp;"|"&amp;RIGHT("000000"&amp;397,6),LdBKeyM,0),"")</f>
        <v/>
      </c>
      <c r="N413">
        <f>IFERROR(MATCH($C$5&amp;"|"&amp;RIGHT("000000"&amp;397,6),LdCKeyM,0),"")</f>
        <v/>
      </c>
    </row>
    <row r="414">
      <c r="A414" s="19" t="n">
        <v>398</v>
      </c>
      <c r="B414" s="20">
        <f>IF(AND($L414="",$M414="",$N414=""),"",IF($L414&lt;&gt;"",INDEX(LdADate,$L414),IF($M414&lt;&gt;"",INDEX(LdBDate,$M414),INDEX(LdCDate,$N414))))</f>
        <v/>
      </c>
      <c r="C414" s="20">
        <f>IF($L414&lt;&gt;"","دستمزد (فردی)",IF($M414&lt;&gt;"","سهم از گروه "&amp;IFERROR(VLOOKUP(INDEX(LdBGroup,$M414),WGTbl,2,0),INDEX(LdBGroup,$M414)),IF($N414&lt;&gt;"",IF(N(INDEX(LdCDep,$N414))&gt;0,"بازگشت بانکی","پرداخت بانکی"),"")))</f>
        <v/>
      </c>
      <c r="D414" s="20">
        <f>IF($L414&lt;&gt;"",IF(INDEX(LdAId,$L414)="","—",INDEX(LdAId,$L414)),IF($M414&lt;&gt;"",IF(INDEX(LdBId,$M414)="","—",INDEX(LdBId,$M414)),IF($N414&lt;&gt;"",IF(INDEX(LdCBank,$N414)="","—",INDEX(LdCBank,$N414)),"")))</f>
        <v/>
      </c>
      <c r="E414" s="21">
        <f>IF($L414&lt;&gt;"",IF(INDEX(LdAAmt,$L414)=0,"",INDEX(LdAAmt,$L414)),IF($M414&lt;&gt;"",IF(INDEX(LdBAmt,$M414)=0,"",INDEX(LdBAmt,$M414)),IF($N414&lt;&gt;"",IF(INDEX(LdCDep,$N414)=0,"",INDEX(LdCDep,$N414)),"")))</f>
        <v/>
      </c>
      <c r="F414" s="21">
        <f>IF(AND($L414="",$M414="",$N414=""),"",IF($N414="","",IF(INDEX(LdCWit,$N414)=0,"",INDEX(LdCWit,$N414))))</f>
        <v/>
      </c>
      <c r="G414" s="31">
        <f>IF($B414="","",IF($G413="",0,$G413)+IF($E414="",0,$E414)-IF($F414="",0,$F414))</f>
        <v/>
      </c>
      <c r="H414" s="32">
        <f>IF(AND($L414="",$M414="",$N414=""),"",IF($L414&lt;&gt;"",IF(INDEX(LdANote,$L414)="","—",INDEX(LdANote,$L414)),IF($M414&lt;&gt;"",IF(INDEX(LdBNote,$M414)="","—",INDEX(LdBNote,$M414)),IF($N414&lt;&gt;"",IF(INDEX(LdCNote,$N414)="","—",INDEX(LdCNote,$N414)),""))))</f>
        <v/>
      </c>
      <c r="L414">
        <f>IFERROR(MATCH($C$5&amp;"|"&amp;RIGHT("000000"&amp;398,6),LdAKeyM,0),"")</f>
        <v/>
      </c>
      <c r="M414">
        <f>IFERROR(MATCH($C$5&amp;"|"&amp;RIGHT("000000"&amp;398,6),LdBKeyM,0),"")</f>
        <v/>
      </c>
      <c r="N414">
        <f>IFERROR(MATCH($C$5&amp;"|"&amp;RIGHT("000000"&amp;398,6),LdCKeyM,0),"")</f>
        <v/>
      </c>
    </row>
    <row r="415">
      <c r="A415" s="10" t="n">
        <v>399</v>
      </c>
      <c r="B415" s="14">
        <f>IF(AND($L415="",$M415="",$N415=""),"",IF($L415&lt;&gt;"",INDEX(LdADate,$L415),IF($M415&lt;&gt;"",INDEX(LdBDate,$M415),INDEX(LdCDate,$N415))))</f>
        <v/>
      </c>
      <c r="C415" s="14">
        <f>IF($L415&lt;&gt;"","دستمزد (فردی)",IF($M415&lt;&gt;"","سهم از گروه "&amp;IFERROR(VLOOKUP(INDEX(LdBGroup,$M415),WGTbl,2,0),INDEX(LdBGroup,$M415)),IF($N415&lt;&gt;"",IF(N(INDEX(LdCDep,$N415))&gt;0,"بازگشت بانکی","پرداخت بانکی"),"")))</f>
        <v/>
      </c>
      <c r="D415" s="14">
        <f>IF($L415&lt;&gt;"",IF(INDEX(LdAId,$L415)="","—",INDEX(LdAId,$L415)),IF($M415&lt;&gt;"",IF(INDEX(LdBId,$M415)="","—",INDEX(LdBId,$M415)),IF($N415&lt;&gt;"",IF(INDEX(LdCBank,$N415)="","—",INDEX(LdCBank,$N415)),"")))</f>
        <v/>
      </c>
      <c r="E415" s="16">
        <f>IF($L415&lt;&gt;"",IF(INDEX(LdAAmt,$L415)=0,"",INDEX(LdAAmt,$L415)),IF($M415&lt;&gt;"",IF(INDEX(LdBAmt,$M415)=0,"",INDEX(LdBAmt,$M415)),IF($N415&lt;&gt;"",IF(INDEX(LdCDep,$N415)=0,"",INDEX(LdCDep,$N415)),"")))</f>
        <v/>
      </c>
      <c r="F415" s="16">
        <f>IF(AND($L415="",$M415="",$N415=""),"",IF($N415="","",IF(INDEX(LdCWit,$N415)=0,"",INDEX(LdCWit,$N415))))</f>
        <v/>
      </c>
      <c r="G415" s="29">
        <f>IF($B415="","",IF($G414="",0,$G414)+IF($E415="",0,$E415)-IF($F415="",0,$F415))</f>
        <v/>
      </c>
      <c r="H415" s="30">
        <f>IF(AND($L415="",$M415="",$N415=""),"",IF($L415&lt;&gt;"",IF(INDEX(LdANote,$L415)="","—",INDEX(LdANote,$L415)),IF($M415&lt;&gt;"",IF(INDEX(LdBNote,$M415)="","—",INDEX(LdBNote,$M415)),IF($N415&lt;&gt;"",IF(INDEX(LdCNote,$N415)="","—",INDEX(LdCNote,$N415)),""))))</f>
        <v/>
      </c>
      <c r="L415">
        <f>IFERROR(MATCH($C$5&amp;"|"&amp;RIGHT("000000"&amp;399,6),LdAKeyM,0),"")</f>
        <v/>
      </c>
      <c r="M415">
        <f>IFERROR(MATCH($C$5&amp;"|"&amp;RIGHT("000000"&amp;399,6),LdBKeyM,0),"")</f>
        <v/>
      </c>
      <c r="N415">
        <f>IFERROR(MATCH($C$5&amp;"|"&amp;RIGHT("000000"&amp;399,6),LdCKeyM,0),"")</f>
        <v/>
      </c>
    </row>
    <row r="416">
      <c r="A416" s="19" t="n">
        <v>400</v>
      </c>
      <c r="B416" s="20">
        <f>IF(AND($L416="",$M416="",$N416=""),"",IF($L416&lt;&gt;"",INDEX(LdADate,$L416),IF($M416&lt;&gt;"",INDEX(LdBDate,$M416),INDEX(LdCDate,$N416))))</f>
        <v/>
      </c>
      <c r="C416" s="20">
        <f>IF($L416&lt;&gt;"","دستمزد (فردی)",IF($M416&lt;&gt;"","سهم از گروه "&amp;IFERROR(VLOOKUP(INDEX(LdBGroup,$M416),WGTbl,2,0),INDEX(LdBGroup,$M416)),IF($N416&lt;&gt;"",IF(N(INDEX(LdCDep,$N416))&gt;0,"بازگشت بانکی","پرداخت بانکی"),"")))</f>
        <v/>
      </c>
      <c r="D416" s="20">
        <f>IF($L416&lt;&gt;"",IF(INDEX(LdAId,$L416)="","—",INDEX(LdAId,$L416)),IF($M416&lt;&gt;"",IF(INDEX(LdBId,$M416)="","—",INDEX(LdBId,$M416)),IF($N416&lt;&gt;"",IF(INDEX(LdCBank,$N416)="","—",INDEX(LdCBank,$N416)),"")))</f>
        <v/>
      </c>
      <c r="E416" s="21">
        <f>IF($L416&lt;&gt;"",IF(INDEX(LdAAmt,$L416)=0,"",INDEX(LdAAmt,$L416)),IF($M416&lt;&gt;"",IF(INDEX(LdBAmt,$M416)=0,"",INDEX(LdBAmt,$M416)),IF($N416&lt;&gt;"",IF(INDEX(LdCDep,$N416)=0,"",INDEX(LdCDep,$N416)),"")))</f>
        <v/>
      </c>
      <c r="F416" s="21">
        <f>IF(AND($L416="",$M416="",$N416=""),"",IF($N416="","",IF(INDEX(LdCWit,$N416)=0,"",INDEX(LdCWit,$N416))))</f>
        <v/>
      </c>
      <c r="G416" s="31">
        <f>IF($B416="","",IF($G415="",0,$G415)+IF($E416="",0,$E416)-IF($F416="",0,$F416))</f>
        <v/>
      </c>
      <c r="H416" s="32">
        <f>IF(AND($L416="",$M416="",$N416=""),"",IF($L416&lt;&gt;"",IF(INDEX(LdANote,$L416)="","—",INDEX(LdANote,$L416)),IF($M416&lt;&gt;"",IF(INDEX(LdBNote,$M416)="","—",INDEX(LdBNote,$M416)),IF($N416&lt;&gt;"",IF(INDEX(LdCNote,$N416)="","—",INDEX(LdCNote,$N416)),""))))</f>
        <v/>
      </c>
      <c r="L416">
        <f>IFERROR(MATCH($C$5&amp;"|"&amp;RIGHT("000000"&amp;400,6),LdAKeyM,0),"")</f>
        <v/>
      </c>
      <c r="M416">
        <f>IFERROR(MATCH($C$5&amp;"|"&amp;RIGHT("000000"&amp;400,6),LdBKeyM,0),"")</f>
        <v/>
      </c>
      <c r="N416">
        <f>IFERROR(MATCH($C$5&amp;"|"&amp;RIGHT("000000"&amp;400,6),LdCKeyM,0),"")</f>
        <v/>
      </c>
    </row>
    <row r="417">
      <c r="A417" s="10" t="n">
        <v>401</v>
      </c>
      <c r="B417" s="14">
        <f>IF(AND($L417="",$M417="",$N417=""),"",IF($L417&lt;&gt;"",INDEX(LdADate,$L417),IF($M417&lt;&gt;"",INDEX(LdBDate,$M417),INDEX(LdCDate,$N417))))</f>
        <v/>
      </c>
      <c r="C417" s="14">
        <f>IF($L417&lt;&gt;"","دستمزد (فردی)",IF($M417&lt;&gt;"","سهم از گروه "&amp;IFERROR(VLOOKUP(INDEX(LdBGroup,$M417),WGTbl,2,0),INDEX(LdBGroup,$M417)),IF($N417&lt;&gt;"",IF(N(INDEX(LdCDep,$N417))&gt;0,"بازگشت بانکی","پرداخت بانکی"),"")))</f>
        <v/>
      </c>
      <c r="D417" s="14">
        <f>IF($L417&lt;&gt;"",IF(INDEX(LdAId,$L417)="","—",INDEX(LdAId,$L417)),IF($M417&lt;&gt;"",IF(INDEX(LdBId,$M417)="","—",INDEX(LdBId,$M417)),IF($N417&lt;&gt;"",IF(INDEX(LdCBank,$N417)="","—",INDEX(LdCBank,$N417)),"")))</f>
        <v/>
      </c>
      <c r="E417" s="16">
        <f>IF($L417&lt;&gt;"",IF(INDEX(LdAAmt,$L417)=0,"",INDEX(LdAAmt,$L417)),IF($M417&lt;&gt;"",IF(INDEX(LdBAmt,$M417)=0,"",INDEX(LdBAmt,$M417)),IF($N417&lt;&gt;"",IF(INDEX(LdCDep,$N417)=0,"",INDEX(LdCDep,$N417)),"")))</f>
        <v/>
      </c>
      <c r="F417" s="16">
        <f>IF(AND($L417="",$M417="",$N417=""),"",IF($N417="","",IF(INDEX(LdCWit,$N417)=0,"",INDEX(LdCWit,$N417))))</f>
        <v/>
      </c>
      <c r="G417" s="29">
        <f>IF($B417="","",IF($G416="",0,$G416)+IF($E417="",0,$E417)-IF($F417="",0,$F417))</f>
        <v/>
      </c>
      <c r="H417" s="30">
        <f>IF(AND($L417="",$M417="",$N417=""),"",IF($L417&lt;&gt;"",IF(INDEX(LdANote,$L417)="","—",INDEX(LdANote,$L417)),IF($M417&lt;&gt;"",IF(INDEX(LdBNote,$M417)="","—",INDEX(LdBNote,$M417)),IF($N417&lt;&gt;"",IF(INDEX(LdCNote,$N417)="","—",INDEX(LdCNote,$N417)),""))))</f>
        <v/>
      </c>
      <c r="L417">
        <f>IFERROR(MATCH($C$5&amp;"|"&amp;RIGHT("000000"&amp;401,6),LdAKeyM,0),"")</f>
        <v/>
      </c>
      <c r="M417">
        <f>IFERROR(MATCH($C$5&amp;"|"&amp;RIGHT("000000"&amp;401,6),LdBKeyM,0),"")</f>
        <v/>
      </c>
      <c r="N417">
        <f>IFERROR(MATCH($C$5&amp;"|"&amp;RIGHT("000000"&amp;401,6),LdCKeyM,0),"")</f>
        <v/>
      </c>
    </row>
    <row r="418">
      <c r="A418" s="19" t="n">
        <v>402</v>
      </c>
      <c r="B418" s="20">
        <f>IF(AND($L418="",$M418="",$N418=""),"",IF($L418&lt;&gt;"",INDEX(LdADate,$L418),IF($M418&lt;&gt;"",INDEX(LdBDate,$M418),INDEX(LdCDate,$N418))))</f>
        <v/>
      </c>
      <c r="C418" s="20">
        <f>IF($L418&lt;&gt;"","دستمزد (فردی)",IF($M418&lt;&gt;"","سهم از گروه "&amp;IFERROR(VLOOKUP(INDEX(LdBGroup,$M418),WGTbl,2,0),INDEX(LdBGroup,$M418)),IF($N418&lt;&gt;"",IF(N(INDEX(LdCDep,$N418))&gt;0,"بازگشت بانکی","پرداخت بانکی"),"")))</f>
        <v/>
      </c>
      <c r="D418" s="20">
        <f>IF($L418&lt;&gt;"",IF(INDEX(LdAId,$L418)="","—",INDEX(LdAId,$L418)),IF($M418&lt;&gt;"",IF(INDEX(LdBId,$M418)="","—",INDEX(LdBId,$M418)),IF($N418&lt;&gt;"",IF(INDEX(LdCBank,$N418)="","—",INDEX(LdCBank,$N418)),"")))</f>
        <v/>
      </c>
      <c r="E418" s="21">
        <f>IF($L418&lt;&gt;"",IF(INDEX(LdAAmt,$L418)=0,"",INDEX(LdAAmt,$L418)),IF($M418&lt;&gt;"",IF(INDEX(LdBAmt,$M418)=0,"",INDEX(LdBAmt,$M418)),IF($N418&lt;&gt;"",IF(INDEX(LdCDep,$N418)=0,"",INDEX(LdCDep,$N418)),"")))</f>
        <v/>
      </c>
      <c r="F418" s="21">
        <f>IF(AND($L418="",$M418="",$N418=""),"",IF($N418="","",IF(INDEX(LdCWit,$N418)=0,"",INDEX(LdCWit,$N418))))</f>
        <v/>
      </c>
      <c r="G418" s="31">
        <f>IF($B418="","",IF($G417="",0,$G417)+IF($E418="",0,$E418)-IF($F418="",0,$F418))</f>
        <v/>
      </c>
      <c r="H418" s="32">
        <f>IF(AND($L418="",$M418="",$N418=""),"",IF($L418&lt;&gt;"",IF(INDEX(LdANote,$L418)="","—",INDEX(LdANote,$L418)),IF($M418&lt;&gt;"",IF(INDEX(LdBNote,$M418)="","—",INDEX(LdBNote,$M418)),IF($N418&lt;&gt;"",IF(INDEX(LdCNote,$N418)="","—",INDEX(LdCNote,$N418)),""))))</f>
        <v/>
      </c>
      <c r="L418">
        <f>IFERROR(MATCH($C$5&amp;"|"&amp;RIGHT("000000"&amp;402,6),LdAKeyM,0),"")</f>
        <v/>
      </c>
      <c r="M418">
        <f>IFERROR(MATCH($C$5&amp;"|"&amp;RIGHT("000000"&amp;402,6),LdBKeyM,0),"")</f>
        <v/>
      </c>
      <c r="N418">
        <f>IFERROR(MATCH($C$5&amp;"|"&amp;RIGHT("000000"&amp;402,6),LdCKeyM,0),"")</f>
        <v/>
      </c>
    </row>
    <row r="419">
      <c r="A419" s="10" t="n">
        <v>403</v>
      </c>
      <c r="B419" s="14">
        <f>IF(AND($L419="",$M419="",$N419=""),"",IF($L419&lt;&gt;"",INDEX(LdADate,$L419),IF($M419&lt;&gt;"",INDEX(LdBDate,$M419),INDEX(LdCDate,$N419))))</f>
        <v/>
      </c>
      <c r="C419" s="14">
        <f>IF($L419&lt;&gt;"","دستمزد (فردی)",IF($M419&lt;&gt;"","سهم از گروه "&amp;IFERROR(VLOOKUP(INDEX(LdBGroup,$M419),WGTbl,2,0),INDEX(LdBGroup,$M419)),IF($N419&lt;&gt;"",IF(N(INDEX(LdCDep,$N419))&gt;0,"بازگشت بانکی","پرداخت بانکی"),"")))</f>
        <v/>
      </c>
      <c r="D419" s="14">
        <f>IF($L419&lt;&gt;"",IF(INDEX(LdAId,$L419)="","—",INDEX(LdAId,$L419)),IF($M419&lt;&gt;"",IF(INDEX(LdBId,$M419)="","—",INDEX(LdBId,$M419)),IF($N419&lt;&gt;"",IF(INDEX(LdCBank,$N419)="","—",INDEX(LdCBank,$N419)),"")))</f>
        <v/>
      </c>
      <c r="E419" s="16">
        <f>IF($L419&lt;&gt;"",IF(INDEX(LdAAmt,$L419)=0,"",INDEX(LdAAmt,$L419)),IF($M419&lt;&gt;"",IF(INDEX(LdBAmt,$M419)=0,"",INDEX(LdBAmt,$M419)),IF($N419&lt;&gt;"",IF(INDEX(LdCDep,$N419)=0,"",INDEX(LdCDep,$N419)),"")))</f>
        <v/>
      </c>
      <c r="F419" s="16">
        <f>IF(AND($L419="",$M419="",$N419=""),"",IF($N419="","",IF(INDEX(LdCWit,$N419)=0,"",INDEX(LdCWit,$N419))))</f>
        <v/>
      </c>
      <c r="G419" s="29">
        <f>IF($B419="","",IF($G418="",0,$G418)+IF($E419="",0,$E419)-IF($F419="",0,$F419))</f>
        <v/>
      </c>
      <c r="H419" s="30">
        <f>IF(AND($L419="",$M419="",$N419=""),"",IF($L419&lt;&gt;"",IF(INDEX(LdANote,$L419)="","—",INDEX(LdANote,$L419)),IF($M419&lt;&gt;"",IF(INDEX(LdBNote,$M419)="","—",INDEX(LdBNote,$M419)),IF($N419&lt;&gt;"",IF(INDEX(LdCNote,$N419)="","—",INDEX(LdCNote,$N419)),""))))</f>
        <v/>
      </c>
      <c r="L419">
        <f>IFERROR(MATCH($C$5&amp;"|"&amp;RIGHT("000000"&amp;403,6),LdAKeyM,0),"")</f>
        <v/>
      </c>
      <c r="M419">
        <f>IFERROR(MATCH($C$5&amp;"|"&amp;RIGHT("000000"&amp;403,6),LdBKeyM,0),"")</f>
        <v/>
      </c>
      <c r="N419">
        <f>IFERROR(MATCH($C$5&amp;"|"&amp;RIGHT("000000"&amp;403,6),LdCKeyM,0),"")</f>
        <v/>
      </c>
    </row>
    <row r="420">
      <c r="A420" s="19" t="n">
        <v>404</v>
      </c>
      <c r="B420" s="20">
        <f>IF(AND($L420="",$M420="",$N420=""),"",IF($L420&lt;&gt;"",INDEX(LdADate,$L420),IF($M420&lt;&gt;"",INDEX(LdBDate,$M420),INDEX(LdCDate,$N420))))</f>
        <v/>
      </c>
      <c r="C420" s="20">
        <f>IF($L420&lt;&gt;"","دستمزد (فردی)",IF($M420&lt;&gt;"","سهم از گروه "&amp;IFERROR(VLOOKUP(INDEX(LdBGroup,$M420),WGTbl,2,0),INDEX(LdBGroup,$M420)),IF($N420&lt;&gt;"",IF(N(INDEX(LdCDep,$N420))&gt;0,"بازگشت بانکی","پرداخت بانکی"),"")))</f>
        <v/>
      </c>
      <c r="D420" s="20">
        <f>IF($L420&lt;&gt;"",IF(INDEX(LdAId,$L420)="","—",INDEX(LdAId,$L420)),IF($M420&lt;&gt;"",IF(INDEX(LdBId,$M420)="","—",INDEX(LdBId,$M420)),IF($N420&lt;&gt;"",IF(INDEX(LdCBank,$N420)="","—",INDEX(LdCBank,$N420)),"")))</f>
        <v/>
      </c>
      <c r="E420" s="21">
        <f>IF($L420&lt;&gt;"",IF(INDEX(LdAAmt,$L420)=0,"",INDEX(LdAAmt,$L420)),IF($M420&lt;&gt;"",IF(INDEX(LdBAmt,$M420)=0,"",INDEX(LdBAmt,$M420)),IF($N420&lt;&gt;"",IF(INDEX(LdCDep,$N420)=0,"",INDEX(LdCDep,$N420)),"")))</f>
        <v/>
      </c>
      <c r="F420" s="21">
        <f>IF(AND($L420="",$M420="",$N420=""),"",IF($N420="","",IF(INDEX(LdCWit,$N420)=0,"",INDEX(LdCWit,$N420))))</f>
        <v/>
      </c>
      <c r="G420" s="31">
        <f>IF($B420="","",IF($G419="",0,$G419)+IF($E420="",0,$E420)-IF($F420="",0,$F420))</f>
        <v/>
      </c>
      <c r="H420" s="32">
        <f>IF(AND($L420="",$M420="",$N420=""),"",IF($L420&lt;&gt;"",IF(INDEX(LdANote,$L420)="","—",INDEX(LdANote,$L420)),IF($M420&lt;&gt;"",IF(INDEX(LdBNote,$M420)="","—",INDEX(LdBNote,$M420)),IF($N420&lt;&gt;"",IF(INDEX(LdCNote,$N420)="","—",INDEX(LdCNote,$N420)),""))))</f>
        <v/>
      </c>
      <c r="L420">
        <f>IFERROR(MATCH($C$5&amp;"|"&amp;RIGHT("000000"&amp;404,6),LdAKeyM,0),"")</f>
        <v/>
      </c>
      <c r="M420">
        <f>IFERROR(MATCH($C$5&amp;"|"&amp;RIGHT("000000"&amp;404,6),LdBKeyM,0),"")</f>
        <v/>
      </c>
      <c r="N420">
        <f>IFERROR(MATCH($C$5&amp;"|"&amp;RIGHT("000000"&amp;404,6),LdCKeyM,0),"")</f>
        <v/>
      </c>
    </row>
    <row r="421">
      <c r="A421" s="10" t="n">
        <v>405</v>
      </c>
      <c r="B421" s="14">
        <f>IF(AND($L421="",$M421="",$N421=""),"",IF($L421&lt;&gt;"",INDEX(LdADate,$L421),IF($M421&lt;&gt;"",INDEX(LdBDate,$M421),INDEX(LdCDate,$N421))))</f>
        <v/>
      </c>
      <c r="C421" s="14">
        <f>IF($L421&lt;&gt;"","دستمزد (فردی)",IF($M421&lt;&gt;"","سهم از گروه "&amp;IFERROR(VLOOKUP(INDEX(LdBGroup,$M421),WGTbl,2,0),INDEX(LdBGroup,$M421)),IF($N421&lt;&gt;"",IF(N(INDEX(LdCDep,$N421))&gt;0,"بازگشت بانکی","پرداخت بانکی"),"")))</f>
        <v/>
      </c>
      <c r="D421" s="14">
        <f>IF($L421&lt;&gt;"",IF(INDEX(LdAId,$L421)="","—",INDEX(LdAId,$L421)),IF($M421&lt;&gt;"",IF(INDEX(LdBId,$M421)="","—",INDEX(LdBId,$M421)),IF($N421&lt;&gt;"",IF(INDEX(LdCBank,$N421)="","—",INDEX(LdCBank,$N421)),"")))</f>
        <v/>
      </c>
      <c r="E421" s="16">
        <f>IF($L421&lt;&gt;"",IF(INDEX(LdAAmt,$L421)=0,"",INDEX(LdAAmt,$L421)),IF($M421&lt;&gt;"",IF(INDEX(LdBAmt,$M421)=0,"",INDEX(LdBAmt,$M421)),IF($N421&lt;&gt;"",IF(INDEX(LdCDep,$N421)=0,"",INDEX(LdCDep,$N421)),"")))</f>
        <v/>
      </c>
      <c r="F421" s="16">
        <f>IF(AND($L421="",$M421="",$N421=""),"",IF($N421="","",IF(INDEX(LdCWit,$N421)=0,"",INDEX(LdCWit,$N421))))</f>
        <v/>
      </c>
      <c r="G421" s="29">
        <f>IF($B421="","",IF($G420="",0,$G420)+IF($E421="",0,$E421)-IF($F421="",0,$F421))</f>
        <v/>
      </c>
      <c r="H421" s="30">
        <f>IF(AND($L421="",$M421="",$N421=""),"",IF($L421&lt;&gt;"",IF(INDEX(LdANote,$L421)="","—",INDEX(LdANote,$L421)),IF($M421&lt;&gt;"",IF(INDEX(LdBNote,$M421)="","—",INDEX(LdBNote,$M421)),IF($N421&lt;&gt;"",IF(INDEX(LdCNote,$N421)="","—",INDEX(LdCNote,$N421)),""))))</f>
        <v/>
      </c>
      <c r="L421">
        <f>IFERROR(MATCH($C$5&amp;"|"&amp;RIGHT("000000"&amp;405,6),LdAKeyM,0),"")</f>
        <v/>
      </c>
      <c r="M421">
        <f>IFERROR(MATCH($C$5&amp;"|"&amp;RIGHT("000000"&amp;405,6),LdBKeyM,0),"")</f>
        <v/>
      </c>
      <c r="N421">
        <f>IFERROR(MATCH($C$5&amp;"|"&amp;RIGHT("000000"&amp;405,6),LdCKeyM,0),"")</f>
        <v/>
      </c>
    </row>
    <row r="422">
      <c r="A422" s="19" t="n">
        <v>406</v>
      </c>
      <c r="B422" s="20">
        <f>IF(AND($L422="",$M422="",$N422=""),"",IF($L422&lt;&gt;"",INDEX(LdADate,$L422),IF($M422&lt;&gt;"",INDEX(LdBDate,$M422),INDEX(LdCDate,$N422))))</f>
        <v/>
      </c>
      <c r="C422" s="20">
        <f>IF($L422&lt;&gt;"","دستمزد (فردی)",IF($M422&lt;&gt;"","سهم از گروه "&amp;IFERROR(VLOOKUP(INDEX(LdBGroup,$M422),WGTbl,2,0),INDEX(LdBGroup,$M422)),IF($N422&lt;&gt;"",IF(N(INDEX(LdCDep,$N422))&gt;0,"بازگشت بانکی","پرداخت بانکی"),"")))</f>
        <v/>
      </c>
      <c r="D422" s="20">
        <f>IF($L422&lt;&gt;"",IF(INDEX(LdAId,$L422)="","—",INDEX(LdAId,$L422)),IF($M422&lt;&gt;"",IF(INDEX(LdBId,$M422)="","—",INDEX(LdBId,$M422)),IF($N422&lt;&gt;"",IF(INDEX(LdCBank,$N422)="","—",INDEX(LdCBank,$N422)),"")))</f>
        <v/>
      </c>
      <c r="E422" s="21">
        <f>IF($L422&lt;&gt;"",IF(INDEX(LdAAmt,$L422)=0,"",INDEX(LdAAmt,$L422)),IF($M422&lt;&gt;"",IF(INDEX(LdBAmt,$M422)=0,"",INDEX(LdBAmt,$M422)),IF($N422&lt;&gt;"",IF(INDEX(LdCDep,$N422)=0,"",INDEX(LdCDep,$N422)),"")))</f>
        <v/>
      </c>
      <c r="F422" s="21">
        <f>IF(AND($L422="",$M422="",$N422=""),"",IF($N422="","",IF(INDEX(LdCWit,$N422)=0,"",INDEX(LdCWit,$N422))))</f>
        <v/>
      </c>
      <c r="G422" s="31">
        <f>IF($B422="","",IF($G421="",0,$G421)+IF($E422="",0,$E422)-IF($F422="",0,$F422))</f>
        <v/>
      </c>
      <c r="H422" s="32">
        <f>IF(AND($L422="",$M422="",$N422=""),"",IF($L422&lt;&gt;"",IF(INDEX(LdANote,$L422)="","—",INDEX(LdANote,$L422)),IF($M422&lt;&gt;"",IF(INDEX(LdBNote,$M422)="","—",INDEX(LdBNote,$M422)),IF($N422&lt;&gt;"",IF(INDEX(LdCNote,$N422)="","—",INDEX(LdCNote,$N422)),""))))</f>
        <v/>
      </c>
      <c r="L422">
        <f>IFERROR(MATCH($C$5&amp;"|"&amp;RIGHT("000000"&amp;406,6),LdAKeyM,0),"")</f>
        <v/>
      </c>
      <c r="M422">
        <f>IFERROR(MATCH($C$5&amp;"|"&amp;RIGHT("000000"&amp;406,6),LdBKeyM,0),"")</f>
        <v/>
      </c>
      <c r="N422">
        <f>IFERROR(MATCH($C$5&amp;"|"&amp;RIGHT("000000"&amp;406,6),LdCKeyM,0),"")</f>
        <v/>
      </c>
    </row>
    <row r="423">
      <c r="A423" s="10" t="n">
        <v>407</v>
      </c>
      <c r="B423" s="14">
        <f>IF(AND($L423="",$M423="",$N423=""),"",IF($L423&lt;&gt;"",INDEX(LdADate,$L423),IF($M423&lt;&gt;"",INDEX(LdBDate,$M423),INDEX(LdCDate,$N423))))</f>
        <v/>
      </c>
      <c r="C423" s="14">
        <f>IF($L423&lt;&gt;"","دستمزد (فردی)",IF($M423&lt;&gt;"","سهم از گروه "&amp;IFERROR(VLOOKUP(INDEX(LdBGroup,$M423),WGTbl,2,0),INDEX(LdBGroup,$M423)),IF($N423&lt;&gt;"",IF(N(INDEX(LdCDep,$N423))&gt;0,"بازگشت بانکی","پرداخت بانکی"),"")))</f>
        <v/>
      </c>
      <c r="D423" s="14">
        <f>IF($L423&lt;&gt;"",IF(INDEX(LdAId,$L423)="","—",INDEX(LdAId,$L423)),IF($M423&lt;&gt;"",IF(INDEX(LdBId,$M423)="","—",INDEX(LdBId,$M423)),IF($N423&lt;&gt;"",IF(INDEX(LdCBank,$N423)="","—",INDEX(LdCBank,$N423)),"")))</f>
        <v/>
      </c>
      <c r="E423" s="16">
        <f>IF($L423&lt;&gt;"",IF(INDEX(LdAAmt,$L423)=0,"",INDEX(LdAAmt,$L423)),IF($M423&lt;&gt;"",IF(INDEX(LdBAmt,$M423)=0,"",INDEX(LdBAmt,$M423)),IF($N423&lt;&gt;"",IF(INDEX(LdCDep,$N423)=0,"",INDEX(LdCDep,$N423)),"")))</f>
        <v/>
      </c>
      <c r="F423" s="16">
        <f>IF(AND($L423="",$M423="",$N423=""),"",IF($N423="","",IF(INDEX(LdCWit,$N423)=0,"",INDEX(LdCWit,$N423))))</f>
        <v/>
      </c>
      <c r="G423" s="29">
        <f>IF($B423="","",IF($G422="",0,$G422)+IF($E423="",0,$E423)-IF($F423="",0,$F423))</f>
        <v/>
      </c>
      <c r="H423" s="30">
        <f>IF(AND($L423="",$M423="",$N423=""),"",IF($L423&lt;&gt;"",IF(INDEX(LdANote,$L423)="","—",INDEX(LdANote,$L423)),IF($M423&lt;&gt;"",IF(INDEX(LdBNote,$M423)="","—",INDEX(LdBNote,$M423)),IF($N423&lt;&gt;"",IF(INDEX(LdCNote,$N423)="","—",INDEX(LdCNote,$N423)),""))))</f>
        <v/>
      </c>
      <c r="L423">
        <f>IFERROR(MATCH($C$5&amp;"|"&amp;RIGHT("000000"&amp;407,6),LdAKeyM,0),"")</f>
        <v/>
      </c>
      <c r="M423">
        <f>IFERROR(MATCH($C$5&amp;"|"&amp;RIGHT("000000"&amp;407,6),LdBKeyM,0),"")</f>
        <v/>
      </c>
      <c r="N423">
        <f>IFERROR(MATCH($C$5&amp;"|"&amp;RIGHT("000000"&amp;407,6),LdCKeyM,0),"")</f>
        <v/>
      </c>
    </row>
    <row r="424">
      <c r="A424" s="19" t="n">
        <v>408</v>
      </c>
      <c r="B424" s="20">
        <f>IF(AND($L424="",$M424="",$N424=""),"",IF($L424&lt;&gt;"",INDEX(LdADate,$L424),IF($M424&lt;&gt;"",INDEX(LdBDate,$M424),INDEX(LdCDate,$N424))))</f>
        <v/>
      </c>
      <c r="C424" s="20">
        <f>IF($L424&lt;&gt;"","دستمزد (فردی)",IF($M424&lt;&gt;"","سهم از گروه "&amp;IFERROR(VLOOKUP(INDEX(LdBGroup,$M424),WGTbl,2,0),INDEX(LdBGroup,$M424)),IF($N424&lt;&gt;"",IF(N(INDEX(LdCDep,$N424))&gt;0,"بازگشت بانکی","پرداخت بانکی"),"")))</f>
        <v/>
      </c>
      <c r="D424" s="20">
        <f>IF($L424&lt;&gt;"",IF(INDEX(LdAId,$L424)="","—",INDEX(LdAId,$L424)),IF($M424&lt;&gt;"",IF(INDEX(LdBId,$M424)="","—",INDEX(LdBId,$M424)),IF($N424&lt;&gt;"",IF(INDEX(LdCBank,$N424)="","—",INDEX(LdCBank,$N424)),"")))</f>
        <v/>
      </c>
      <c r="E424" s="21">
        <f>IF($L424&lt;&gt;"",IF(INDEX(LdAAmt,$L424)=0,"",INDEX(LdAAmt,$L424)),IF($M424&lt;&gt;"",IF(INDEX(LdBAmt,$M424)=0,"",INDEX(LdBAmt,$M424)),IF($N424&lt;&gt;"",IF(INDEX(LdCDep,$N424)=0,"",INDEX(LdCDep,$N424)),"")))</f>
        <v/>
      </c>
      <c r="F424" s="21">
        <f>IF(AND($L424="",$M424="",$N424=""),"",IF($N424="","",IF(INDEX(LdCWit,$N424)=0,"",INDEX(LdCWit,$N424))))</f>
        <v/>
      </c>
      <c r="G424" s="31">
        <f>IF($B424="","",IF($G423="",0,$G423)+IF($E424="",0,$E424)-IF($F424="",0,$F424))</f>
        <v/>
      </c>
      <c r="H424" s="32">
        <f>IF(AND($L424="",$M424="",$N424=""),"",IF($L424&lt;&gt;"",IF(INDEX(LdANote,$L424)="","—",INDEX(LdANote,$L424)),IF($M424&lt;&gt;"",IF(INDEX(LdBNote,$M424)="","—",INDEX(LdBNote,$M424)),IF($N424&lt;&gt;"",IF(INDEX(LdCNote,$N424)="","—",INDEX(LdCNote,$N424)),""))))</f>
        <v/>
      </c>
      <c r="L424">
        <f>IFERROR(MATCH($C$5&amp;"|"&amp;RIGHT("000000"&amp;408,6),LdAKeyM,0),"")</f>
        <v/>
      </c>
      <c r="M424">
        <f>IFERROR(MATCH($C$5&amp;"|"&amp;RIGHT("000000"&amp;408,6),LdBKeyM,0),"")</f>
        <v/>
      </c>
      <c r="N424">
        <f>IFERROR(MATCH($C$5&amp;"|"&amp;RIGHT("000000"&amp;408,6),LdCKeyM,0),"")</f>
        <v/>
      </c>
    </row>
    <row r="425">
      <c r="A425" s="10" t="n">
        <v>409</v>
      </c>
      <c r="B425" s="14">
        <f>IF(AND($L425="",$M425="",$N425=""),"",IF($L425&lt;&gt;"",INDEX(LdADate,$L425),IF($M425&lt;&gt;"",INDEX(LdBDate,$M425),INDEX(LdCDate,$N425))))</f>
        <v/>
      </c>
      <c r="C425" s="14">
        <f>IF($L425&lt;&gt;"","دستمزد (فردی)",IF($M425&lt;&gt;"","سهم از گروه "&amp;IFERROR(VLOOKUP(INDEX(LdBGroup,$M425),WGTbl,2,0),INDEX(LdBGroup,$M425)),IF($N425&lt;&gt;"",IF(N(INDEX(LdCDep,$N425))&gt;0,"بازگشت بانکی","پرداخت بانکی"),"")))</f>
        <v/>
      </c>
      <c r="D425" s="14">
        <f>IF($L425&lt;&gt;"",IF(INDEX(LdAId,$L425)="","—",INDEX(LdAId,$L425)),IF($M425&lt;&gt;"",IF(INDEX(LdBId,$M425)="","—",INDEX(LdBId,$M425)),IF($N425&lt;&gt;"",IF(INDEX(LdCBank,$N425)="","—",INDEX(LdCBank,$N425)),"")))</f>
        <v/>
      </c>
      <c r="E425" s="16">
        <f>IF($L425&lt;&gt;"",IF(INDEX(LdAAmt,$L425)=0,"",INDEX(LdAAmt,$L425)),IF($M425&lt;&gt;"",IF(INDEX(LdBAmt,$M425)=0,"",INDEX(LdBAmt,$M425)),IF($N425&lt;&gt;"",IF(INDEX(LdCDep,$N425)=0,"",INDEX(LdCDep,$N425)),"")))</f>
        <v/>
      </c>
      <c r="F425" s="16">
        <f>IF(AND($L425="",$M425="",$N425=""),"",IF($N425="","",IF(INDEX(LdCWit,$N425)=0,"",INDEX(LdCWit,$N425))))</f>
        <v/>
      </c>
      <c r="G425" s="29">
        <f>IF($B425="","",IF($G424="",0,$G424)+IF($E425="",0,$E425)-IF($F425="",0,$F425))</f>
        <v/>
      </c>
      <c r="H425" s="30">
        <f>IF(AND($L425="",$M425="",$N425=""),"",IF($L425&lt;&gt;"",IF(INDEX(LdANote,$L425)="","—",INDEX(LdANote,$L425)),IF($M425&lt;&gt;"",IF(INDEX(LdBNote,$M425)="","—",INDEX(LdBNote,$M425)),IF($N425&lt;&gt;"",IF(INDEX(LdCNote,$N425)="","—",INDEX(LdCNote,$N425)),""))))</f>
        <v/>
      </c>
      <c r="L425">
        <f>IFERROR(MATCH($C$5&amp;"|"&amp;RIGHT("000000"&amp;409,6),LdAKeyM,0),"")</f>
        <v/>
      </c>
      <c r="M425">
        <f>IFERROR(MATCH($C$5&amp;"|"&amp;RIGHT("000000"&amp;409,6),LdBKeyM,0),"")</f>
        <v/>
      </c>
      <c r="N425">
        <f>IFERROR(MATCH($C$5&amp;"|"&amp;RIGHT("000000"&amp;409,6),LdCKeyM,0),"")</f>
        <v/>
      </c>
    </row>
    <row r="426">
      <c r="A426" s="19" t="n">
        <v>410</v>
      </c>
      <c r="B426" s="20">
        <f>IF(AND($L426="",$M426="",$N426=""),"",IF($L426&lt;&gt;"",INDEX(LdADate,$L426),IF($M426&lt;&gt;"",INDEX(LdBDate,$M426),INDEX(LdCDate,$N426))))</f>
        <v/>
      </c>
      <c r="C426" s="20">
        <f>IF($L426&lt;&gt;"","دستمزد (فردی)",IF($M426&lt;&gt;"","سهم از گروه "&amp;IFERROR(VLOOKUP(INDEX(LdBGroup,$M426),WGTbl,2,0),INDEX(LdBGroup,$M426)),IF($N426&lt;&gt;"",IF(N(INDEX(LdCDep,$N426))&gt;0,"بازگشت بانکی","پرداخت بانکی"),"")))</f>
        <v/>
      </c>
      <c r="D426" s="20">
        <f>IF($L426&lt;&gt;"",IF(INDEX(LdAId,$L426)="","—",INDEX(LdAId,$L426)),IF($M426&lt;&gt;"",IF(INDEX(LdBId,$M426)="","—",INDEX(LdBId,$M426)),IF($N426&lt;&gt;"",IF(INDEX(LdCBank,$N426)="","—",INDEX(LdCBank,$N426)),"")))</f>
        <v/>
      </c>
      <c r="E426" s="21">
        <f>IF($L426&lt;&gt;"",IF(INDEX(LdAAmt,$L426)=0,"",INDEX(LdAAmt,$L426)),IF($M426&lt;&gt;"",IF(INDEX(LdBAmt,$M426)=0,"",INDEX(LdBAmt,$M426)),IF($N426&lt;&gt;"",IF(INDEX(LdCDep,$N426)=0,"",INDEX(LdCDep,$N426)),"")))</f>
        <v/>
      </c>
      <c r="F426" s="21">
        <f>IF(AND($L426="",$M426="",$N426=""),"",IF($N426="","",IF(INDEX(LdCWit,$N426)=0,"",INDEX(LdCWit,$N426))))</f>
        <v/>
      </c>
      <c r="G426" s="31">
        <f>IF($B426="","",IF($G425="",0,$G425)+IF($E426="",0,$E426)-IF($F426="",0,$F426))</f>
        <v/>
      </c>
      <c r="H426" s="32">
        <f>IF(AND($L426="",$M426="",$N426=""),"",IF($L426&lt;&gt;"",IF(INDEX(LdANote,$L426)="","—",INDEX(LdANote,$L426)),IF($M426&lt;&gt;"",IF(INDEX(LdBNote,$M426)="","—",INDEX(LdBNote,$M426)),IF($N426&lt;&gt;"",IF(INDEX(LdCNote,$N426)="","—",INDEX(LdCNote,$N426)),""))))</f>
        <v/>
      </c>
      <c r="L426">
        <f>IFERROR(MATCH($C$5&amp;"|"&amp;RIGHT("000000"&amp;410,6),LdAKeyM,0),"")</f>
        <v/>
      </c>
      <c r="M426">
        <f>IFERROR(MATCH($C$5&amp;"|"&amp;RIGHT("000000"&amp;410,6),LdBKeyM,0),"")</f>
        <v/>
      </c>
      <c r="N426">
        <f>IFERROR(MATCH($C$5&amp;"|"&amp;RIGHT("000000"&amp;410,6),LdCKeyM,0),"")</f>
        <v/>
      </c>
    </row>
    <row r="427">
      <c r="A427" s="10" t="n">
        <v>411</v>
      </c>
      <c r="B427" s="14">
        <f>IF(AND($L427="",$M427="",$N427=""),"",IF($L427&lt;&gt;"",INDEX(LdADate,$L427),IF($M427&lt;&gt;"",INDEX(LdBDate,$M427),INDEX(LdCDate,$N427))))</f>
        <v/>
      </c>
      <c r="C427" s="14">
        <f>IF($L427&lt;&gt;"","دستمزد (فردی)",IF($M427&lt;&gt;"","سهم از گروه "&amp;IFERROR(VLOOKUP(INDEX(LdBGroup,$M427),WGTbl,2,0),INDEX(LdBGroup,$M427)),IF($N427&lt;&gt;"",IF(N(INDEX(LdCDep,$N427))&gt;0,"بازگشت بانکی","پرداخت بانکی"),"")))</f>
        <v/>
      </c>
      <c r="D427" s="14">
        <f>IF($L427&lt;&gt;"",IF(INDEX(LdAId,$L427)="","—",INDEX(LdAId,$L427)),IF($M427&lt;&gt;"",IF(INDEX(LdBId,$M427)="","—",INDEX(LdBId,$M427)),IF($N427&lt;&gt;"",IF(INDEX(LdCBank,$N427)="","—",INDEX(LdCBank,$N427)),"")))</f>
        <v/>
      </c>
      <c r="E427" s="16">
        <f>IF($L427&lt;&gt;"",IF(INDEX(LdAAmt,$L427)=0,"",INDEX(LdAAmt,$L427)),IF($M427&lt;&gt;"",IF(INDEX(LdBAmt,$M427)=0,"",INDEX(LdBAmt,$M427)),IF($N427&lt;&gt;"",IF(INDEX(LdCDep,$N427)=0,"",INDEX(LdCDep,$N427)),"")))</f>
        <v/>
      </c>
      <c r="F427" s="16">
        <f>IF(AND($L427="",$M427="",$N427=""),"",IF($N427="","",IF(INDEX(LdCWit,$N427)=0,"",INDEX(LdCWit,$N427))))</f>
        <v/>
      </c>
      <c r="G427" s="29">
        <f>IF($B427="","",IF($G426="",0,$G426)+IF($E427="",0,$E427)-IF($F427="",0,$F427))</f>
        <v/>
      </c>
      <c r="H427" s="30">
        <f>IF(AND($L427="",$M427="",$N427=""),"",IF($L427&lt;&gt;"",IF(INDEX(LdANote,$L427)="","—",INDEX(LdANote,$L427)),IF($M427&lt;&gt;"",IF(INDEX(LdBNote,$M427)="","—",INDEX(LdBNote,$M427)),IF($N427&lt;&gt;"",IF(INDEX(LdCNote,$N427)="","—",INDEX(LdCNote,$N427)),""))))</f>
        <v/>
      </c>
      <c r="L427">
        <f>IFERROR(MATCH($C$5&amp;"|"&amp;RIGHT("000000"&amp;411,6),LdAKeyM,0),"")</f>
        <v/>
      </c>
      <c r="M427">
        <f>IFERROR(MATCH($C$5&amp;"|"&amp;RIGHT("000000"&amp;411,6),LdBKeyM,0),"")</f>
        <v/>
      </c>
      <c r="N427">
        <f>IFERROR(MATCH($C$5&amp;"|"&amp;RIGHT("000000"&amp;411,6),LdCKeyM,0),"")</f>
        <v/>
      </c>
    </row>
    <row r="428">
      <c r="A428" s="19" t="n">
        <v>412</v>
      </c>
      <c r="B428" s="20">
        <f>IF(AND($L428="",$M428="",$N428=""),"",IF($L428&lt;&gt;"",INDEX(LdADate,$L428),IF($M428&lt;&gt;"",INDEX(LdBDate,$M428),INDEX(LdCDate,$N428))))</f>
        <v/>
      </c>
      <c r="C428" s="20">
        <f>IF($L428&lt;&gt;"","دستمزد (فردی)",IF($M428&lt;&gt;"","سهم از گروه "&amp;IFERROR(VLOOKUP(INDEX(LdBGroup,$M428),WGTbl,2,0),INDEX(LdBGroup,$M428)),IF($N428&lt;&gt;"",IF(N(INDEX(LdCDep,$N428))&gt;0,"بازگشت بانکی","پرداخت بانکی"),"")))</f>
        <v/>
      </c>
      <c r="D428" s="20">
        <f>IF($L428&lt;&gt;"",IF(INDEX(LdAId,$L428)="","—",INDEX(LdAId,$L428)),IF($M428&lt;&gt;"",IF(INDEX(LdBId,$M428)="","—",INDEX(LdBId,$M428)),IF($N428&lt;&gt;"",IF(INDEX(LdCBank,$N428)="","—",INDEX(LdCBank,$N428)),"")))</f>
        <v/>
      </c>
      <c r="E428" s="21">
        <f>IF($L428&lt;&gt;"",IF(INDEX(LdAAmt,$L428)=0,"",INDEX(LdAAmt,$L428)),IF($M428&lt;&gt;"",IF(INDEX(LdBAmt,$M428)=0,"",INDEX(LdBAmt,$M428)),IF($N428&lt;&gt;"",IF(INDEX(LdCDep,$N428)=0,"",INDEX(LdCDep,$N428)),"")))</f>
        <v/>
      </c>
      <c r="F428" s="21">
        <f>IF(AND($L428="",$M428="",$N428=""),"",IF($N428="","",IF(INDEX(LdCWit,$N428)=0,"",INDEX(LdCWit,$N428))))</f>
        <v/>
      </c>
      <c r="G428" s="31">
        <f>IF($B428="","",IF($G427="",0,$G427)+IF($E428="",0,$E428)-IF($F428="",0,$F428))</f>
        <v/>
      </c>
      <c r="H428" s="32">
        <f>IF(AND($L428="",$M428="",$N428=""),"",IF($L428&lt;&gt;"",IF(INDEX(LdANote,$L428)="","—",INDEX(LdANote,$L428)),IF($M428&lt;&gt;"",IF(INDEX(LdBNote,$M428)="","—",INDEX(LdBNote,$M428)),IF($N428&lt;&gt;"",IF(INDEX(LdCNote,$N428)="","—",INDEX(LdCNote,$N428)),""))))</f>
        <v/>
      </c>
      <c r="L428">
        <f>IFERROR(MATCH($C$5&amp;"|"&amp;RIGHT("000000"&amp;412,6),LdAKeyM,0),"")</f>
        <v/>
      </c>
      <c r="M428">
        <f>IFERROR(MATCH($C$5&amp;"|"&amp;RIGHT("000000"&amp;412,6),LdBKeyM,0),"")</f>
        <v/>
      </c>
      <c r="N428">
        <f>IFERROR(MATCH($C$5&amp;"|"&amp;RIGHT("000000"&amp;412,6),LdCKeyM,0),"")</f>
        <v/>
      </c>
    </row>
    <row r="429">
      <c r="A429" s="10" t="n">
        <v>413</v>
      </c>
      <c r="B429" s="14">
        <f>IF(AND($L429="",$M429="",$N429=""),"",IF($L429&lt;&gt;"",INDEX(LdADate,$L429),IF($M429&lt;&gt;"",INDEX(LdBDate,$M429),INDEX(LdCDate,$N429))))</f>
        <v/>
      </c>
      <c r="C429" s="14">
        <f>IF($L429&lt;&gt;"","دستمزد (فردی)",IF($M429&lt;&gt;"","سهم از گروه "&amp;IFERROR(VLOOKUP(INDEX(LdBGroup,$M429),WGTbl,2,0),INDEX(LdBGroup,$M429)),IF($N429&lt;&gt;"",IF(N(INDEX(LdCDep,$N429))&gt;0,"بازگشت بانکی","پرداخت بانکی"),"")))</f>
        <v/>
      </c>
      <c r="D429" s="14">
        <f>IF($L429&lt;&gt;"",IF(INDEX(LdAId,$L429)="","—",INDEX(LdAId,$L429)),IF($M429&lt;&gt;"",IF(INDEX(LdBId,$M429)="","—",INDEX(LdBId,$M429)),IF($N429&lt;&gt;"",IF(INDEX(LdCBank,$N429)="","—",INDEX(LdCBank,$N429)),"")))</f>
        <v/>
      </c>
      <c r="E429" s="16">
        <f>IF($L429&lt;&gt;"",IF(INDEX(LdAAmt,$L429)=0,"",INDEX(LdAAmt,$L429)),IF($M429&lt;&gt;"",IF(INDEX(LdBAmt,$M429)=0,"",INDEX(LdBAmt,$M429)),IF($N429&lt;&gt;"",IF(INDEX(LdCDep,$N429)=0,"",INDEX(LdCDep,$N429)),"")))</f>
        <v/>
      </c>
      <c r="F429" s="16">
        <f>IF(AND($L429="",$M429="",$N429=""),"",IF($N429="","",IF(INDEX(LdCWit,$N429)=0,"",INDEX(LdCWit,$N429))))</f>
        <v/>
      </c>
      <c r="G429" s="29">
        <f>IF($B429="","",IF($G428="",0,$G428)+IF($E429="",0,$E429)-IF($F429="",0,$F429))</f>
        <v/>
      </c>
      <c r="H429" s="30">
        <f>IF(AND($L429="",$M429="",$N429=""),"",IF($L429&lt;&gt;"",IF(INDEX(LdANote,$L429)="","—",INDEX(LdANote,$L429)),IF($M429&lt;&gt;"",IF(INDEX(LdBNote,$M429)="","—",INDEX(LdBNote,$M429)),IF($N429&lt;&gt;"",IF(INDEX(LdCNote,$N429)="","—",INDEX(LdCNote,$N429)),""))))</f>
        <v/>
      </c>
      <c r="L429">
        <f>IFERROR(MATCH($C$5&amp;"|"&amp;RIGHT("000000"&amp;413,6),LdAKeyM,0),"")</f>
        <v/>
      </c>
      <c r="M429">
        <f>IFERROR(MATCH($C$5&amp;"|"&amp;RIGHT("000000"&amp;413,6),LdBKeyM,0),"")</f>
        <v/>
      </c>
      <c r="N429">
        <f>IFERROR(MATCH($C$5&amp;"|"&amp;RIGHT("000000"&amp;413,6),LdCKeyM,0),"")</f>
        <v/>
      </c>
    </row>
    <row r="430">
      <c r="A430" s="19" t="n">
        <v>414</v>
      </c>
      <c r="B430" s="20">
        <f>IF(AND($L430="",$M430="",$N430=""),"",IF($L430&lt;&gt;"",INDEX(LdADate,$L430),IF($M430&lt;&gt;"",INDEX(LdBDate,$M430),INDEX(LdCDate,$N430))))</f>
        <v/>
      </c>
      <c r="C430" s="20">
        <f>IF($L430&lt;&gt;"","دستمزد (فردی)",IF($M430&lt;&gt;"","سهم از گروه "&amp;IFERROR(VLOOKUP(INDEX(LdBGroup,$M430),WGTbl,2,0),INDEX(LdBGroup,$M430)),IF($N430&lt;&gt;"",IF(N(INDEX(LdCDep,$N430))&gt;0,"بازگشت بانکی","پرداخت بانکی"),"")))</f>
        <v/>
      </c>
      <c r="D430" s="20">
        <f>IF($L430&lt;&gt;"",IF(INDEX(LdAId,$L430)="","—",INDEX(LdAId,$L430)),IF($M430&lt;&gt;"",IF(INDEX(LdBId,$M430)="","—",INDEX(LdBId,$M430)),IF($N430&lt;&gt;"",IF(INDEX(LdCBank,$N430)="","—",INDEX(LdCBank,$N430)),"")))</f>
        <v/>
      </c>
      <c r="E430" s="21">
        <f>IF($L430&lt;&gt;"",IF(INDEX(LdAAmt,$L430)=0,"",INDEX(LdAAmt,$L430)),IF($M430&lt;&gt;"",IF(INDEX(LdBAmt,$M430)=0,"",INDEX(LdBAmt,$M430)),IF($N430&lt;&gt;"",IF(INDEX(LdCDep,$N430)=0,"",INDEX(LdCDep,$N430)),"")))</f>
        <v/>
      </c>
      <c r="F430" s="21">
        <f>IF(AND($L430="",$M430="",$N430=""),"",IF($N430="","",IF(INDEX(LdCWit,$N430)=0,"",INDEX(LdCWit,$N430))))</f>
        <v/>
      </c>
      <c r="G430" s="31">
        <f>IF($B430="","",IF($G429="",0,$G429)+IF($E430="",0,$E430)-IF($F430="",0,$F430))</f>
        <v/>
      </c>
      <c r="H430" s="32">
        <f>IF(AND($L430="",$M430="",$N430=""),"",IF($L430&lt;&gt;"",IF(INDEX(LdANote,$L430)="","—",INDEX(LdANote,$L430)),IF($M430&lt;&gt;"",IF(INDEX(LdBNote,$M430)="","—",INDEX(LdBNote,$M430)),IF($N430&lt;&gt;"",IF(INDEX(LdCNote,$N430)="","—",INDEX(LdCNote,$N430)),""))))</f>
        <v/>
      </c>
      <c r="L430">
        <f>IFERROR(MATCH($C$5&amp;"|"&amp;RIGHT("000000"&amp;414,6),LdAKeyM,0),"")</f>
        <v/>
      </c>
      <c r="M430">
        <f>IFERROR(MATCH($C$5&amp;"|"&amp;RIGHT("000000"&amp;414,6),LdBKeyM,0),"")</f>
        <v/>
      </c>
      <c r="N430">
        <f>IFERROR(MATCH($C$5&amp;"|"&amp;RIGHT("000000"&amp;414,6),LdCKeyM,0),"")</f>
        <v/>
      </c>
    </row>
    <row r="431">
      <c r="A431" s="10" t="n">
        <v>415</v>
      </c>
      <c r="B431" s="14">
        <f>IF(AND($L431="",$M431="",$N431=""),"",IF($L431&lt;&gt;"",INDEX(LdADate,$L431),IF($M431&lt;&gt;"",INDEX(LdBDate,$M431),INDEX(LdCDate,$N431))))</f>
        <v/>
      </c>
      <c r="C431" s="14">
        <f>IF($L431&lt;&gt;"","دستمزد (فردی)",IF($M431&lt;&gt;"","سهم از گروه "&amp;IFERROR(VLOOKUP(INDEX(LdBGroup,$M431),WGTbl,2,0),INDEX(LdBGroup,$M431)),IF($N431&lt;&gt;"",IF(N(INDEX(LdCDep,$N431))&gt;0,"بازگشت بانکی","پرداخت بانکی"),"")))</f>
        <v/>
      </c>
      <c r="D431" s="14">
        <f>IF($L431&lt;&gt;"",IF(INDEX(LdAId,$L431)="","—",INDEX(LdAId,$L431)),IF($M431&lt;&gt;"",IF(INDEX(LdBId,$M431)="","—",INDEX(LdBId,$M431)),IF($N431&lt;&gt;"",IF(INDEX(LdCBank,$N431)="","—",INDEX(LdCBank,$N431)),"")))</f>
        <v/>
      </c>
      <c r="E431" s="16">
        <f>IF($L431&lt;&gt;"",IF(INDEX(LdAAmt,$L431)=0,"",INDEX(LdAAmt,$L431)),IF($M431&lt;&gt;"",IF(INDEX(LdBAmt,$M431)=0,"",INDEX(LdBAmt,$M431)),IF($N431&lt;&gt;"",IF(INDEX(LdCDep,$N431)=0,"",INDEX(LdCDep,$N431)),"")))</f>
        <v/>
      </c>
      <c r="F431" s="16">
        <f>IF(AND($L431="",$M431="",$N431=""),"",IF($N431="","",IF(INDEX(LdCWit,$N431)=0,"",INDEX(LdCWit,$N431))))</f>
        <v/>
      </c>
      <c r="G431" s="29">
        <f>IF($B431="","",IF($G430="",0,$G430)+IF($E431="",0,$E431)-IF($F431="",0,$F431))</f>
        <v/>
      </c>
      <c r="H431" s="30">
        <f>IF(AND($L431="",$M431="",$N431=""),"",IF($L431&lt;&gt;"",IF(INDEX(LdANote,$L431)="","—",INDEX(LdANote,$L431)),IF($M431&lt;&gt;"",IF(INDEX(LdBNote,$M431)="","—",INDEX(LdBNote,$M431)),IF($N431&lt;&gt;"",IF(INDEX(LdCNote,$N431)="","—",INDEX(LdCNote,$N431)),""))))</f>
        <v/>
      </c>
      <c r="L431">
        <f>IFERROR(MATCH($C$5&amp;"|"&amp;RIGHT("000000"&amp;415,6),LdAKeyM,0),"")</f>
        <v/>
      </c>
      <c r="M431">
        <f>IFERROR(MATCH($C$5&amp;"|"&amp;RIGHT("000000"&amp;415,6),LdBKeyM,0),"")</f>
        <v/>
      </c>
      <c r="N431">
        <f>IFERROR(MATCH($C$5&amp;"|"&amp;RIGHT("000000"&amp;415,6),LdCKeyM,0),"")</f>
        <v/>
      </c>
    </row>
    <row r="432">
      <c r="A432" s="19" t="n">
        <v>416</v>
      </c>
      <c r="B432" s="20">
        <f>IF(AND($L432="",$M432="",$N432=""),"",IF($L432&lt;&gt;"",INDEX(LdADate,$L432),IF($M432&lt;&gt;"",INDEX(LdBDate,$M432),INDEX(LdCDate,$N432))))</f>
        <v/>
      </c>
      <c r="C432" s="20">
        <f>IF($L432&lt;&gt;"","دستمزد (فردی)",IF($M432&lt;&gt;"","سهم از گروه "&amp;IFERROR(VLOOKUP(INDEX(LdBGroup,$M432),WGTbl,2,0),INDEX(LdBGroup,$M432)),IF($N432&lt;&gt;"",IF(N(INDEX(LdCDep,$N432))&gt;0,"بازگشت بانکی","پرداخت بانکی"),"")))</f>
        <v/>
      </c>
      <c r="D432" s="20">
        <f>IF($L432&lt;&gt;"",IF(INDEX(LdAId,$L432)="","—",INDEX(LdAId,$L432)),IF($M432&lt;&gt;"",IF(INDEX(LdBId,$M432)="","—",INDEX(LdBId,$M432)),IF($N432&lt;&gt;"",IF(INDEX(LdCBank,$N432)="","—",INDEX(LdCBank,$N432)),"")))</f>
        <v/>
      </c>
      <c r="E432" s="21">
        <f>IF($L432&lt;&gt;"",IF(INDEX(LdAAmt,$L432)=0,"",INDEX(LdAAmt,$L432)),IF($M432&lt;&gt;"",IF(INDEX(LdBAmt,$M432)=0,"",INDEX(LdBAmt,$M432)),IF($N432&lt;&gt;"",IF(INDEX(LdCDep,$N432)=0,"",INDEX(LdCDep,$N432)),"")))</f>
        <v/>
      </c>
      <c r="F432" s="21">
        <f>IF(AND($L432="",$M432="",$N432=""),"",IF($N432="","",IF(INDEX(LdCWit,$N432)=0,"",INDEX(LdCWit,$N432))))</f>
        <v/>
      </c>
      <c r="G432" s="31">
        <f>IF($B432="","",IF($G431="",0,$G431)+IF($E432="",0,$E432)-IF($F432="",0,$F432))</f>
        <v/>
      </c>
      <c r="H432" s="32">
        <f>IF(AND($L432="",$M432="",$N432=""),"",IF($L432&lt;&gt;"",IF(INDEX(LdANote,$L432)="","—",INDEX(LdANote,$L432)),IF($M432&lt;&gt;"",IF(INDEX(LdBNote,$M432)="","—",INDEX(LdBNote,$M432)),IF($N432&lt;&gt;"",IF(INDEX(LdCNote,$N432)="","—",INDEX(LdCNote,$N432)),""))))</f>
        <v/>
      </c>
      <c r="L432">
        <f>IFERROR(MATCH($C$5&amp;"|"&amp;RIGHT("000000"&amp;416,6),LdAKeyM,0),"")</f>
        <v/>
      </c>
      <c r="M432">
        <f>IFERROR(MATCH($C$5&amp;"|"&amp;RIGHT("000000"&amp;416,6),LdBKeyM,0),"")</f>
        <v/>
      </c>
      <c r="N432">
        <f>IFERROR(MATCH($C$5&amp;"|"&amp;RIGHT("000000"&amp;416,6),LdCKeyM,0),"")</f>
        <v/>
      </c>
    </row>
    <row r="433">
      <c r="A433" s="10" t="n">
        <v>417</v>
      </c>
      <c r="B433" s="14">
        <f>IF(AND($L433="",$M433="",$N433=""),"",IF($L433&lt;&gt;"",INDEX(LdADate,$L433),IF($M433&lt;&gt;"",INDEX(LdBDate,$M433),INDEX(LdCDate,$N433))))</f>
        <v/>
      </c>
      <c r="C433" s="14">
        <f>IF($L433&lt;&gt;"","دستمزد (فردی)",IF($M433&lt;&gt;"","سهم از گروه "&amp;IFERROR(VLOOKUP(INDEX(LdBGroup,$M433),WGTbl,2,0),INDEX(LdBGroup,$M433)),IF($N433&lt;&gt;"",IF(N(INDEX(LdCDep,$N433))&gt;0,"بازگشت بانکی","پرداخت بانکی"),"")))</f>
        <v/>
      </c>
      <c r="D433" s="14">
        <f>IF($L433&lt;&gt;"",IF(INDEX(LdAId,$L433)="","—",INDEX(LdAId,$L433)),IF($M433&lt;&gt;"",IF(INDEX(LdBId,$M433)="","—",INDEX(LdBId,$M433)),IF($N433&lt;&gt;"",IF(INDEX(LdCBank,$N433)="","—",INDEX(LdCBank,$N433)),"")))</f>
        <v/>
      </c>
      <c r="E433" s="16">
        <f>IF($L433&lt;&gt;"",IF(INDEX(LdAAmt,$L433)=0,"",INDEX(LdAAmt,$L433)),IF($M433&lt;&gt;"",IF(INDEX(LdBAmt,$M433)=0,"",INDEX(LdBAmt,$M433)),IF($N433&lt;&gt;"",IF(INDEX(LdCDep,$N433)=0,"",INDEX(LdCDep,$N433)),"")))</f>
        <v/>
      </c>
      <c r="F433" s="16">
        <f>IF(AND($L433="",$M433="",$N433=""),"",IF($N433="","",IF(INDEX(LdCWit,$N433)=0,"",INDEX(LdCWit,$N433))))</f>
        <v/>
      </c>
      <c r="G433" s="29">
        <f>IF($B433="","",IF($G432="",0,$G432)+IF($E433="",0,$E433)-IF($F433="",0,$F433))</f>
        <v/>
      </c>
      <c r="H433" s="30">
        <f>IF(AND($L433="",$M433="",$N433=""),"",IF($L433&lt;&gt;"",IF(INDEX(LdANote,$L433)="","—",INDEX(LdANote,$L433)),IF($M433&lt;&gt;"",IF(INDEX(LdBNote,$M433)="","—",INDEX(LdBNote,$M433)),IF($N433&lt;&gt;"",IF(INDEX(LdCNote,$N433)="","—",INDEX(LdCNote,$N433)),""))))</f>
        <v/>
      </c>
      <c r="L433">
        <f>IFERROR(MATCH($C$5&amp;"|"&amp;RIGHT("000000"&amp;417,6),LdAKeyM,0),"")</f>
        <v/>
      </c>
      <c r="M433">
        <f>IFERROR(MATCH($C$5&amp;"|"&amp;RIGHT("000000"&amp;417,6),LdBKeyM,0),"")</f>
        <v/>
      </c>
      <c r="N433">
        <f>IFERROR(MATCH($C$5&amp;"|"&amp;RIGHT("000000"&amp;417,6),LdCKeyM,0),"")</f>
        <v/>
      </c>
    </row>
    <row r="434">
      <c r="A434" s="19" t="n">
        <v>418</v>
      </c>
      <c r="B434" s="20">
        <f>IF(AND($L434="",$M434="",$N434=""),"",IF($L434&lt;&gt;"",INDEX(LdADate,$L434),IF($M434&lt;&gt;"",INDEX(LdBDate,$M434),INDEX(LdCDate,$N434))))</f>
        <v/>
      </c>
      <c r="C434" s="20">
        <f>IF($L434&lt;&gt;"","دستمزد (فردی)",IF($M434&lt;&gt;"","سهم از گروه "&amp;IFERROR(VLOOKUP(INDEX(LdBGroup,$M434),WGTbl,2,0),INDEX(LdBGroup,$M434)),IF($N434&lt;&gt;"",IF(N(INDEX(LdCDep,$N434))&gt;0,"بازگشت بانکی","پرداخت بانکی"),"")))</f>
        <v/>
      </c>
      <c r="D434" s="20">
        <f>IF($L434&lt;&gt;"",IF(INDEX(LdAId,$L434)="","—",INDEX(LdAId,$L434)),IF($M434&lt;&gt;"",IF(INDEX(LdBId,$M434)="","—",INDEX(LdBId,$M434)),IF($N434&lt;&gt;"",IF(INDEX(LdCBank,$N434)="","—",INDEX(LdCBank,$N434)),"")))</f>
        <v/>
      </c>
      <c r="E434" s="21">
        <f>IF($L434&lt;&gt;"",IF(INDEX(LdAAmt,$L434)=0,"",INDEX(LdAAmt,$L434)),IF($M434&lt;&gt;"",IF(INDEX(LdBAmt,$M434)=0,"",INDEX(LdBAmt,$M434)),IF($N434&lt;&gt;"",IF(INDEX(LdCDep,$N434)=0,"",INDEX(LdCDep,$N434)),"")))</f>
        <v/>
      </c>
      <c r="F434" s="21">
        <f>IF(AND($L434="",$M434="",$N434=""),"",IF($N434="","",IF(INDEX(LdCWit,$N434)=0,"",INDEX(LdCWit,$N434))))</f>
        <v/>
      </c>
      <c r="G434" s="31">
        <f>IF($B434="","",IF($G433="",0,$G433)+IF($E434="",0,$E434)-IF($F434="",0,$F434))</f>
        <v/>
      </c>
      <c r="H434" s="32">
        <f>IF(AND($L434="",$M434="",$N434=""),"",IF($L434&lt;&gt;"",IF(INDEX(LdANote,$L434)="","—",INDEX(LdANote,$L434)),IF($M434&lt;&gt;"",IF(INDEX(LdBNote,$M434)="","—",INDEX(LdBNote,$M434)),IF($N434&lt;&gt;"",IF(INDEX(LdCNote,$N434)="","—",INDEX(LdCNote,$N434)),""))))</f>
        <v/>
      </c>
      <c r="L434">
        <f>IFERROR(MATCH($C$5&amp;"|"&amp;RIGHT("000000"&amp;418,6),LdAKeyM,0),"")</f>
        <v/>
      </c>
      <c r="M434">
        <f>IFERROR(MATCH($C$5&amp;"|"&amp;RIGHT("000000"&amp;418,6),LdBKeyM,0),"")</f>
        <v/>
      </c>
      <c r="N434">
        <f>IFERROR(MATCH($C$5&amp;"|"&amp;RIGHT("000000"&amp;418,6),LdCKeyM,0),"")</f>
        <v/>
      </c>
    </row>
    <row r="435">
      <c r="A435" s="10" t="n">
        <v>419</v>
      </c>
      <c r="B435" s="14">
        <f>IF(AND($L435="",$M435="",$N435=""),"",IF($L435&lt;&gt;"",INDEX(LdADate,$L435),IF($M435&lt;&gt;"",INDEX(LdBDate,$M435),INDEX(LdCDate,$N435))))</f>
        <v/>
      </c>
      <c r="C435" s="14">
        <f>IF($L435&lt;&gt;"","دستمزد (فردی)",IF($M435&lt;&gt;"","سهم از گروه "&amp;IFERROR(VLOOKUP(INDEX(LdBGroup,$M435),WGTbl,2,0),INDEX(LdBGroup,$M435)),IF($N435&lt;&gt;"",IF(N(INDEX(LdCDep,$N435))&gt;0,"بازگشت بانکی","پرداخت بانکی"),"")))</f>
        <v/>
      </c>
      <c r="D435" s="14">
        <f>IF($L435&lt;&gt;"",IF(INDEX(LdAId,$L435)="","—",INDEX(LdAId,$L435)),IF($M435&lt;&gt;"",IF(INDEX(LdBId,$M435)="","—",INDEX(LdBId,$M435)),IF($N435&lt;&gt;"",IF(INDEX(LdCBank,$N435)="","—",INDEX(LdCBank,$N435)),"")))</f>
        <v/>
      </c>
      <c r="E435" s="16">
        <f>IF($L435&lt;&gt;"",IF(INDEX(LdAAmt,$L435)=0,"",INDEX(LdAAmt,$L435)),IF($M435&lt;&gt;"",IF(INDEX(LdBAmt,$M435)=0,"",INDEX(LdBAmt,$M435)),IF($N435&lt;&gt;"",IF(INDEX(LdCDep,$N435)=0,"",INDEX(LdCDep,$N435)),"")))</f>
        <v/>
      </c>
      <c r="F435" s="16">
        <f>IF(AND($L435="",$M435="",$N435=""),"",IF($N435="","",IF(INDEX(LdCWit,$N435)=0,"",INDEX(LdCWit,$N435))))</f>
        <v/>
      </c>
      <c r="G435" s="29">
        <f>IF($B435="","",IF($G434="",0,$G434)+IF($E435="",0,$E435)-IF($F435="",0,$F435))</f>
        <v/>
      </c>
      <c r="H435" s="30">
        <f>IF(AND($L435="",$M435="",$N435=""),"",IF($L435&lt;&gt;"",IF(INDEX(LdANote,$L435)="","—",INDEX(LdANote,$L435)),IF($M435&lt;&gt;"",IF(INDEX(LdBNote,$M435)="","—",INDEX(LdBNote,$M435)),IF($N435&lt;&gt;"",IF(INDEX(LdCNote,$N435)="","—",INDEX(LdCNote,$N435)),""))))</f>
        <v/>
      </c>
      <c r="L435">
        <f>IFERROR(MATCH($C$5&amp;"|"&amp;RIGHT("000000"&amp;419,6),LdAKeyM,0),"")</f>
        <v/>
      </c>
      <c r="M435">
        <f>IFERROR(MATCH($C$5&amp;"|"&amp;RIGHT("000000"&amp;419,6),LdBKeyM,0),"")</f>
        <v/>
      </c>
      <c r="N435">
        <f>IFERROR(MATCH($C$5&amp;"|"&amp;RIGHT("000000"&amp;419,6),LdCKeyM,0),"")</f>
        <v/>
      </c>
    </row>
    <row r="436">
      <c r="A436" s="19" t="n">
        <v>420</v>
      </c>
      <c r="B436" s="20">
        <f>IF(AND($L436="",$M436="",$N436=""),"",IF($L436&lt;&gt;"",INDEX(LdADate,$L436),IF($M436&lt;&gt;"",INDEX(LdBDate,$M436),INDEX(LdCDate,$N436))))</f>
        <v/>
      </c>
      <c r="C436" s="20">
        <f>IF($L436&lt;&gt;"","دستمزد (فردی)",IF($M436&lt;&gt;"","سهم از گروه "&amp;IFERROR(VLOOKUP(INDEX(LdBGroup,$M436),WGTbl,2,0),INDEX(LdBGroup,$M436)),IF($N436&lt;&gt;"",IF(N(INDEX(LdCDep,$N436))&gt;0,"بازگشت بانکی","پرداخت بانکی"),"")))</f>
        <v/>
      </c>
      <c r="D436" s="20">
        <f>IF($L436&lt;&gt;"",IF(INDEX(LdAId,$L436)="","—",INDEX(LdAId,$L436)),IF($M436&lt;&gt;"",IF(INDEX(LdBId,$M436)="","—",INDEX(LdBId,$M436)),IF($N436&lt;&gt;"",IF(INDEX(LdCBank,$N436)="","—",INDEX(LdCBank,$N436)),"")))</f>
        <v/>
      </c>
      <c r="E436" s="21">
        <f>IF($L436&lt;&gt;"",IF(INDEX(LdAAmt,$L436)=0,"",INDEX(LdAAmt,$L436)),IF($M436&lt;&gt;"",IF(INDEX(LdBAmt,$M436)=0,"",INDEX(LdBAmt,$M436)),IF($N436&lt;&gt;"",IF(INDEX(LdCDep,$N436)=0,"",INDEX(LdCDep,$N436)),"")))</f>
        <v/>
      </c>
      <c r="F436" s="21">
        <f>IF(AND($L436="",$M436="",$N436=""),"",IF($N436="","",IF(INDEX(LdCWit,$N436)=0,"",INDEX(LdCWit,$N436))))</f>
        <v/>
      </c>
      <c r="G436" s="31">
        <f>IF($B436="","",IF($G435="",0,$G435)+IF($E436="",0,$E436)-IF($F436="",0,$F436))</f>
        <v/>
      </c>
      <c r="H436" s="32">
        <f>IF(AND($L436="",$M436="",$N436=""),"",IF($L436&lt;&gt;"",IF(INDEX(LdANote,$L436)="","—",INDEX(LdANote,$L436)),IF($M436&lt;&gt;"",IF(INDEX(LdBNote,$M436)="","—",INDEX(LdBNote,$M436)),IF($N436&lt;&gt;"",IF(INDEX(LdCNote,$N436)="","—",INDEX(LdCNote,$N436)),""))))</f>
        <v/>
      </c>
      <c r="L436">
        <f>IFERROR(MATCH($C$5&amp;"|"&amp;RIGHT("000000"&amp;420,6),LdAKeyM,0),"")</f>
        <v/>
      </c>
      <c r="M436">
        <f>IFERROR(MATCH($C$5&amp;"|"&amp;RIGHT("000000"&amp;420,6),LdBKeyM,0),"")</f>
        <v/>
      </c>
      <c r="N436">
        <f>IFERROR(MATCH($C$5&amp;"|"&amp;RIGHT("000000"&amp;420,6),LdCKeyM,0),"")</f>
        <v/>
      </c>
    </row>
    <row r="437">
      <c r="A437" s="10" t="n">
        <v>421</v>
      </c>
      <c r="B437" s="14">
        <f>IF(AND($L437="",$M437="",$N437=""),"",IF($L437&lt;&gt;"",INDEX(LdADate,$L437),IF($M437&lt;&gt;"",INDEX(LdBDate,$M437),INDEX(LdCDate,$N437))))</f>
        <v/>
      </c>
      <c r="C437" s="14">
        <f>IF($L437&lt;&gt;"","دستمزد (فردی)",IF($M437&lt;&gt;"","سهم از گروه "&amp;IFERROR(VLOOKUP(INDEX(LdBGroup,$M437),WGTbl,2,0),INDEX(LdBGroup,$M437)),IF($N437&lt;&gt;"",IF(N(INDEX(LdCDep,$N437))&gt;0,"بازگشت بانکی","پرداخت بانکی"),"")))</f>
        <v/>
      </c>
      <c r="D437" s="14">
        <f>IF($L437&lt;&gt;"",IF(INDEX(LdAId,$L437)="","—",INDEX(LdAId,$L437)),IF($M437&lt;&gt;"",IF(INDEX(LdBId,$M437)="","—",INDEX(LdBId,$M437)),IF($N437&lt;&gt;"",IF(INDEX(LdCBank,$N437)="","—",INDEX(LdCBank,$N437)),"")))</f>
        <v/>
      </c>
      <c r="E437" s="16">
        <f>IF($L437&lt;&gt;"",IF(INDEX(LdAAmt,$L437)=0,"",INDEX(LdAAmt,$L437)),IF($M437&lt;&gt;"",IF(INDEX(LdBAmt,$M437)=0,"",INDEX(LdBAmt,$M437)),IF($N437&lt;&gt;"",IF(INDEX(LdCDep,$N437)=0,"",INDEX(LdCDep,$N437)),"")))</f>
        <v/>
      </c>
      <c r="F437" s="16">
        <f>IF(AND($L437="",$M437="",$N437=""),"",IF($N437="","",IF(INDEX(LdCWit,$N437)=0,"",INDEX(LdCWit,$N437))))</f>
        <v/>
      </c>
      <c r="G437" s="29">
        <f>IF($B437="","",IF($G436="",0,$G436)+IF($E437="",0,$E437)-IF($F437="",0,$F437))</f>
        <v/>
      </c>
      <c r="H437" s="30">
        <f>IF(AND($L437="",$M437="",$N437=""),"",IF($L437&lt;&gt;"",IF(INDEX(LdANote,$L437)="","—",INDEX(LdANote,$L437)),IF($M437&lt;&gt;"",IF(INDEX(LdBNote,$M437)="","—",INDEX(LdBNote,$M437)),IF($N437&lt;&gt;"",IF(INDEX(LdCNote,$N437)="","—",INDEX(LdCNote,$N437)),""))))</f>
        <v/>
      </c>
      <c r="L437">
        <f>IFERROR(MATCH($C$5&amp;"|"&amp;RIGHT("000000"&amp;421,6),LdAKeyM,0),"")</f>
        <v/>
      </c>
      <c r="M437">
        <f>IFERROR(MATCH($C$5&amp;"|"&amp;RIGHT("000000"&amp;421,6),LdBKeyM,0),"")</f>
        <v/>
      </c>
      <c r="N437">
        <f>IFERROR(MATCH($C$5&amp;"|"&amp;RIGHT("000000"&amp;421,6),LdCKeyM,0),"")</f>
        <v/>
      </c>
    </row>
    <row r="438">
      <c r="A438" s="19" t="n">
        <v>422</v>
      </c>
      <c r="B438" s="20">
        <f>IF(AND($L438="",$M438="",$N438=""),"",IF($L438&lt;&gt;"",INDEX(LdADate,$L438),IF($M438&lt;&gt;"",INDEX(LdBDate,$M438),INDEX(LdCDate,$N438))))</f>
        <v/>
      </c>
      <c r="C438" s="20">
        <f>IF($L438&lt;&gt;"","دستمزد (فردی)",IF($M438&lt;&gt;"","سهم از گروه "&amp;IFERROR(VLOOKUP(INDEX(LdBGroup,$M438),WGTbl,2,0),INDEX(LdBGroup,$M438)),IF($N438&lt;&gt;"",IF(N(INDEX(LdCDep,$N438))&gt;0,"بازگشت بانکی","پرداخت بانکی"),"")))</f>
        <v/>
      </c>
      <c r="D438" s="20">
        <f>IF($L438&lt;&gt;"",IF(INDEX(LdAId,$L438)="","—",INDEX(LdAId,$L438)),IF($M438&lt;&gt;"",IF(INDEX(LdBId,$M438)="","—",INDEX(LdBId,$M438)),IF($N438&lt;&gt;"",IF(INDEX(LdCBank,$N438)="","—",INDEX(LdCBank,$N438)),"")))</f>
        <v/>
      </c>
      <c r="E438" s="21">
        <f>IF($L438&lt;&gt;"",IF(INDEX(LdAAmt,$L438)=0,"",INDEX(LdAAmt,$L438)),IF($M438&lt;&gt;"",IF(INDEX(LdBAmt,$M438)=0,"",INDEX(LdBAmt,$M438)),IF($N438&lt;&gt;"",IF(INDEX(LdCDep,$N438)=0,"",INDEX(LdCDep,$N438)),"")))</f>
        <v/>
      </c>
      <c r="F438" s="21">
        <f>IF(AND($L438="",$M438="",$N438=""),"",IF($N438="","",IF(INDEX(LdCWit,$N438)=0,"",INDEX(LdCWit,$N438))))</f>
        <v/>
      </c>
      <c r="G438" s="31">
        <f>IF($B438="","",IF($G437="",0,$G437)+IF($E438="",0,$E438)-IF($F438="",0,$F438))</f>
        <v/>
      </c>
      <c r="H438" s="32">
        <f>IF(AND($L438="",$M438="",$N438=""),"",IF($L438&lt;&gt;"",IF(INDEX(LdANote,$L438)="","—",INDEX(LdANote,$L438)),IF($M438&lt;&gt;"",IF(INDEX(LdBNote,$M438)="","—",INDEX(LdBNote,$M438)),IF($N438&lt;&gt;"",IF(INDEX(LdCNote,$N438)="","—",INDEX(LdCNote,$N438)),""))))</f>
        <v/>
      </c>
      <c r="L438">
        <f>IFERROR(MATCH($C$5&amp;"|"&amp;RIGHT("000000"&amp;422,6),LdAKeyM,0),"")</f>
        <v/>
      </c>
      <c r="M438">
        <f>IFERROR(MATCH($C$5&amp;"|"&amp;RIGHT("000000"&amp;422,6),LdBKeyM,0),"")</f>
        <v/>
      </c>
      <c r="N438">
        <f>IFERROR(MATCH($C$5&amp;"|"&amp;RIGHT("000000"&amp;422,6),LdCKeyM,0),"")</f>
        <v/>
      </c>
    </row>
    <row r="439">
      <c r="A439" s="10" t="n">
        <v>423</v>
      </c>
      <c r="B439" s="14">
        <f>IF(AND($L439="",$M439="",$N439=""),"",IF($L439&lt;&gt;"",INDEX(LdADate,$L439),IF($M439&lt;&gt;"",INDEX(LdBDate,$M439),INDEX(LdCDate,$N439))))</f>
        <v/>
      </c>
      <c r="C439" s="14">
        <f>IF($L439&lt;&gt;"","دستمزد (فردی)",IF($M439&lt;&gt;"","سهم از گروه "&amp;IFERROR(VLOOKUP(INDEX(LdBGroup,$M439),WGTbl,2,0),INDEX(LdBGroup,$M439)),IF($N439&lt;&gt;"",IF(N(INDEX(LdCDep,$N439))&gt;0,"بازگشت بانکی","پرداخت بانکی"),"")))</f>
        <v/>
      </c>
      <c r="D439" s="14">
        <f>IF($L439&lt;&gt;"",IF(INDEX(LdAId,$L439)="","—",INDEX(LdAId,$L439)),IF($M439&lt;&gt;"",IF(INDEX(LdBId,$M439)="","—",INDEX(LdBId,$M439)),IF($N439&lt;&gt;"",IF(INDEX(LdCBank,$N439)="","—",INDEX(LdCBank,$N439)),"")))</f>
        <v/>
      </c>
      <c r="E439" s="16">
        <f>IF($L439&lt;&gt;"",IF(INDEX(LdAAmt,$L439)=0,"",INDEX(LdAAmt,$L439)),IF($M439&lt;&gt;"",IF(INDEX(LdBAmt,$M439)=0,"",INDEX(LdBAmt,$M439)),IF($N439&lt;&gt;"",IF(INDEX(LdCDep,$N439)=0,"",INDEX(LdCDep,$N439)),"")))</f>
        <v/>
      </c>
      <c r="F439" s="16">
        <f>IF(AND($L439="",$M439="",$N439=""),"",IF($N439="","",IF(INDEX(LdCWit,$N439)=0,"",INDEX(LdCWit,$N439))))</f>
        <v/>
      </c>
      <c r="G439" s="29">
        <f>IF($B439="","",IF($G438="",0,$G438)+IF($E439="",0,$E439)-IF($F439="",0,$F439))</f>
        <v/>
      </c>
      <c r="H439" s="30">
        <f>IF(AND($L439="",$M439="",$N439=""),"",IF($L439&lt;&gt;"",IF(INDEX(LdANote,$L439)="","—",INDEX(LdANote,$L439)),IF($M439&lt;&gt;"",IF(INDEX(LdBNote,$M439)="","—",INDEX(LdBNote,$M439)),IF($N439&lt;&gt;"",IF(INDEX(LdCNote,$N439)="","—",INDEX(LdCNote,$N439)),""))))</f>
        <v/>
      </c>
      <c r="L439">
        <f>IFERROR(MATCH($C$5&amp;"|"&amp;RIGHT("000000"&amp;423,6),LdAKeyM,0),"")</f>
        <v/>
      </c>
      <c r="M439">
        <f>IFERROR(MATCH($C$5&amp;"|"&amp;RIGHT("000000"&amp;423,6),LdBKeyM,0),"")</f>
        <v/>
      </c>
      <c r="N439">
        <f>IFERROR(MATCH($C$5&amp;"|"&amp;RIGHT("000000"&amp;423,6),LdCKeyM,0),"")</f>
        <v/>
      </c>
    </row>
    <row r="440">
      <c r="A440" s="19" t="n">
        <v>424</v>
      </c>
      <c r="B440" s="20">
        <f>IF(AND($L440="",$M440="",$N440=""),"",IF($L440&lt;&gt;"",INDEX(LdADate,$L440),IF($M440&lt;&gt;"",INDEX(LdBDate,$M440),INDEX(LdCDate,$N440))))</f>
        <v/>
      </c>
      <c r="C440" s="20">
        <f>IF($L440&lt;&gt;"","دستمزد (فردی)",IF($M440&lt;&gt;"","سهم از گروه "&amp;IFERROR(VLOOKUP(INDEX(LdBGroup,$M440),WGTbl,2,0),INDEX(LdBGroup,$M440)),IF($N440&lt;&gt;"",IF(N(INDEX(LdCDep,$N440))&gt;0,"بازگشت بانکی","پرداخت بانکی"),"")))</f>
        <v/>
      </c>
      <c r="D440" s="20">
        <f>IF($L440&lt;&gt;"",IF(INDEX(LdAId,$L440)="","—",INDEX(LdAId,$L440)),IF($M440&lt;&gt;"",IF(INDEX(LdBId,$M440)="","—",INDEX(LdBId,$M440)),IF($N440&lt;&gt;"",IF(INDEX(LdCBank,$N440)="","—",INDEX(LdCBank,$N440)),"")))</f>
        <v/>
      </c>
      <c r="E440" s="21">
        <f>IF($L440&lt;&gt;"",IF(INDEX(LdAAmt,$L440)=0,"",INDEX(LdAAmt,$L440)),IF($M440&lt;&gt;"",IF(INDEX(LdBAmt,$M440)=0,"",INDEX(LdBAmt,$M440)),IF($N440&lt;&gt;"",IF(INDEX(LdCDep,$N440)=0,"",INDEX(LdCDep,$N440)),"")))</f>
        <v/>
      </c>
      <c r="F440" s="21">
        <f>IF(AND($L440="",$M440="",$N440=""),"",IF($N440="","",IF(INDEX(LdCWit,$N440)=0,"",INDEX(LdCWit,$N440))))</f>
        <v/>
      </c>
      <c r="G440" s="31">
        <f>IF($B440="","",IF($G439="",0,$G439)+IF($E440="",0,$E440)-IF($F440="",0,$F440))</f>
        <v/>
      </c>
      <c r="H440" s="32">
        <f>IF(AND($L440="",$M440="",$N440=""),"",IF($L440&lt;&gt;"",IF(INDEX(LdANote,$L440)="","—",INDEX(LdANote,$L440)),IF($M440&lt;&gt;"",IF(INDEX(LdBNote,$M440)="","—",INDEX(LdBNote,$M440)),IF($N440&lt;&gt;"",IF(INDEX(LdCNote,$N440)="","—",INDEX(LdCNote,$N440)),""))))</f>
        <v/>
      </c>
      <c r="L440">
        <f>IFERROR(MATCH($C$5&amp;"|"&amp;RIGHT("000000"&amp;424,6),LdAKeyM,0),"")</f>
        <v/>
      </c>
      <c r="M440">
        <f>IFERROR(MATCH($C$5&amp;"|"&amp;RIGHT("000000"&amp;424,6),LdBKeyM,0),"")</f>
        <v/>
      </c>
      <c r="N440">
        <f>IFERROR(MATCH($C$5&amp;"|"&amp;RIGHT("000000"&amp;424,6),LdCKeyM,0),"")</f>
        <v/>
      </c>
    </row>
    <row r="441">
      <c r="A441" s="10" t="n">
        <v>425</v>
      </c>
      <c r="B441" s="14">
        <f>IF(AND($L441="",$M441="",$N441=""),"",IF($L441&lt;&gt;"",INDEX(LdADate,$L441),IF($M441&lt;&gt;"",INDEX(LdBDate,$M441),INDEX(LdCDate,$N441))))</f>
        <v/>
      </c>
      <c r="C441" s="14">
        <f>IF($L441&lt;&gt;"","دستمزد (فردی)",IF($M441&lt;&gt;"","سهم از گروه "&amp;IFERROR(VLOOKUP(INDEX(LdBGroup,$M441),WGTbl,2,0),INDEX(LdBGroup,$M441)),IF($N441&lt;&gt;"",IF(N(INDEX(LdCDep,$N441))&gt;0,"بازگشت بانکی","پرداخت بانکی"),"")))</f>
        <v/>
      </c>
      <c r="D441" s="14">
        <f>IF($L441&lt;&gt;"",IF(INDEX(LdAId,$L441)="","—",INDEX(LdAId,$L441)),IF($M441&lt;&gt;"",IF(INDEX(LdBId,$M441)="","—",INDEX(LdBId,$M441)),IF($N441&lt;&gt;"",IF(INDEX(LdCBank,$N441)="","—",INDEX(LdCBank,$N441)),"")))</f>
        <v/>
      </c>
      <c r="E441" s="16">
        <f>IF($L441&lt;&gt;"",IF(INDEX(LdAAmt,$L441)=0,"",INDEX(LdAAmt,$L441)),IF($M441&lt;&gt;"",IF(INDEX(LdBAmt,$M441)=0,"",INDEX(LdBAmt,$M441)),IF($N441&lt;&gt;"",IF(INDEX(LdCDep,$N441)=0,"",INDEX(LdCDep,$N441)),"")))</f>
        <v/>
      </c>
      <c r="F441" s="16">
        <f>IF(AND($L441="",$M441="",$N441=""),"",IF($N441="","",IF(INDEX(LdCWit,$N441)=0,"",INDEX(LdCWit,$N441))))</f>
        <v/>
      </c>
      <c r="G441" s="29">
        <f>IF($B441="","",IF($G440="",0,$G440)+IF($E441="",0,$E441)-IF($F441="",0,$F441))</f>
        <v/>
      </c>
      <c r="H441" s="30">
        <f>IF(AND($L441="",$M441="",$N441=""),"",IF($L441&lt;&gt;"",IF(INDEX(LdANote,$L441)="","—",INDEX(LdANote,$L441)),IF($M441&lt;&gt;"",IF(INDEX(LdBNote,$M441)="","—",INDEX(LdBNote,$M441)),IF($N441&lt;&gt;"",IF(INDEX(LdCNote,$N441)="","—",INDEX(LdCNote,$N441)),""))))</f>
        <v/>
      </c>
      <c r="L441">
        <f>IFERROR(MATCH($C$5&amp;"|"&amp;RIGHT("000000"&amp;425,6),LdAKeyM,0),"")</f>
        <v/>
      </c>
      <c r="M441">
        <f>IFERROR(MATCH($C$5&amp;"|"&amp;RIGHT("000000"&amp;425,6),LdBKeyM,0),"")</f>
        <v/>
      </c>
      <c r="N441">
        <f>IFERROR(MATCH($C$5&amp;"|"&amp;RIGHT("000000"&amp;425,6),LdCKeyM,0),"")</f>
        <v/>
      </c>
    </row>
    <row r="442">
      <c r="A442" s="19" t="n">
        <v>426</v>
      </c>
      <c r="B442" s="20">
        <f>IF(AND($L442="",$M442="",$N442=""),"",IF($L442&lt;&gt;"",INDEX(LdADate,$L442),IF($M442&lt;&gt;"",INDEX(LdBDate,$M442),INDEX(LdCDate,$N442))))</f>
        <v/>
      </c>
      <c r="C442" s="20">
        <f>IF($L442&lt;&gt;"","دستمزد (فردی)",IF($M442&lt;&gt;"","سهم از گروه "&amp;IFERROR(VLOOKUP(INDEX(LdBGroup,$M442),WGTbl,2,0),INDEX(LdBGroup,$M442)),IF($N442&lt;&gt;"",IF(N(INDEX(LdCDep,$N442))&gt;0,"بازگشت بانکی","پرداخت بانکی"),"")))</f>
        <v/>
      </c>
      <c r="D442" s="20">
        <f>IF($L442&lt;&gt;"",IF(INDEX(LdAId,$L442)="","—",INDEX(LdAId,$L442)),IF($M442&lt;&gt;"",IF(INDEX(LdBId,$M442)="","—",INDEX(LdBId,$M442)),IF($N442&lt;&gt;"",IF(INDEX(LdCBank,$N442)="","—",INDEX(LdCBank,$N442)),"")))</f>
        <v/>
      </c>
      <c r="E442" s="21">
        <f>IF($L442&lt;&gt;"",IF(INDEX(LdAAmt,$L442)=0,"",INDEX(LdAAmt,$L442)),IF($M442&lt;&gt;"",IF(INDEX(LdBAmt,$M442)=0,"",INDEX(LdBAmt,$M442)),IF($N442&lt;&gt;"",IF(INDEX(LdCDep,$N442)=0,"",INDEX(LdCDep,$N442)),"")))</f>
        <v/>
      </c>
      <c r="F442" s="21">
        <f>IF(AND($L442="",$M442="",$N442=""),"",IF($N442="","",IF(INDEX(LdCWit,$N442)=0,"",INDEX(LdCWit,$N442))))</f>
        <v/>
      </c>
      <c r="G442" s="31">
        <f>IF($B442="","",IF($G441="",0,$G441)+IF($E442="",0,$E442)-IF($F442="",0,$F442))</f>
        <v/>
      </c>
      <c r="H442" s="32">
        <f>IF(AND($L442="",$M442="",$N442=""),"",IF($L442&lt;&gt;"",IF(INDEX(LdANote,$L442)="","—",INDEX(LdANote,$L442)),IF($M442&lt;&gt;"",IF(INDEX(LdBNote,$M442)="","—",INDEX(LdBNote,$M442)),IF($N442&lt;&gt;"",IF(INDEX(LdCNote,$N442)="","—",INDEX(LdCNote,$N442)),""))))</f>
        <v/>
      </c>
      <c r="L442">
        <f>IFERROR(MATCH($C$5&amp;"|"&amp;RIGHT("000000"&amp;426,6),LdAKeyM,0),"")</f>
        <v/>
      </c>
      <c r="M442">
        <f>IFERROR(MATCH($C$5&amp;"|"&amp;RIGHT("000000"&amp;426,6),LdBKeyM,0),"")</f>
        <v/>
      </c>
      <c r="N442">
        <f>IFERROR(MATCH($C$5&amp;"|"&amp;RIGHT("000000"&amp;426,6),LdCKeyM,0),"")</f>
        <v/>
      </c>
    </row>
    <row r="443">
      <c r="A443" s="10" t="n">
        <v>427</v>
      </c>
      <c r="B443" s="14">
        <f>IF(AND($L443="",$M443="",$N443=""),"",IF($L443&lt;&gt;"",INDEX(LdADate,$L443),IF($M443&lt;&gt;"",INDEX(LdBDate,$M443),INDEX(LdCDate,$N443))))</f>
        <v/>
      </c>
      <c r="C443" s="14">
        <f>IF($L443&lt;&gt;"","دستمزد (فردی)",IF($M443&lt;&gt;"","سهم از گروه "&amp;IFERROR(VLOOKUP(INDEX(LdBGroup,$M443),WGTbl,2,0),INDEX(LdBGroup,$M443)),IF($N443&lt;&gt;"",IF(N(INDEX(LdCDep,$N443))&gt;0,"بازگشت بانکی","پرداخت بانکی"),"")))</f>
        <v/>
      </c>
      <c r="D443" s="14">
        <f>IF($L443&lt;&gt;"",IF(INDEX(LdAId,$L443)="","—",INDEX(LdAId,$L443)),IF($M443&lt;&gt;"",IF(INDEX(LdBId,$M443)="","—",INDEX(LdBId,$M443)),IF($N443&lt;&gt;"",IF(INDEX(LdCBank,$N443)="","—",INDEX(LdCBank,$N443)),"")))</f>
        <v/>
      </c>
      <c r="E443" s="16">
        <f>IF($L443&lt;&gt;"",IF(INDEX(LdAAmt,$L443)=0,"",INDEX(LdAAmt,$L443)),IF($M443&lt;&gt;"",IF(INDEX(LdBAmt,$M443)=0,"",INDEX(LdBAmt,$M443)),IF($N443&lt;&gt;"",IF(INDEX(LdCDep,$N443)=0,"",INDEX(LdCDep,$N443)),"")))</f>
        <v/>
      </c>
      <c r="F443" s="16">
        <f>IF(AND($L443="",$M443="",$N443=""),"",IF($N443="","",IF(INDEX(LdCWit,$N443)=0,"",INDEX(LdCWit,$N443))))</f>
        <v/>
      </c>
      <c r="G443" s="29">
        <f>IF($B443="","",IF($G442="",0,$G442)+IF($E443="",0,$E443)-IF($F443="",0,$F443))</f>
        <v/>
      </c>
      <c r="H443" s="30">
        <f>IF(AND($L443="",$M443="",$N443=""),"",IF($L443&lt;&gt;"",IF(INDEX(LdANote,$L443)="","—",INDEX(LdANote,$L443)),IF($M443&lt;&gt;"",IF(INDEX(LdBNote,$M443)="","—",INDEX(LdBNote,$M443)),IF($N443&lt;&gt;"",IF(INDEX(LdCNote,$N443)="","—",INDEX(LdCNote,$N443)),""))))</f>
        <v/>
      </c>
      <c r="L443">
        <f>IFERROR(MATCH($C$5&amp;"|"&amp;RIGHT("000000"&amp;427,6),LdAKeyM,0),"")</f>
        <v/>
      </c>
      <c r="M443">
        <f>IFERROR(MATCH($C$5&amp;"|"&amp;RIGHT("000000"&amp;427,6),LdBKeyM,0),"")</f>
        <v/>
      </c>
      <c r="N443">
        <f>IFERROR(MATCH($C$5&amp;"|"&amp;RIGHT("000000"&amp;427,6),LdCKeyM,0),"")</f>
        <v/>
      </c>
    </row>
    <row r="444">
      <c r="A444" s="19" t="n">
        <v>428</v>
      </c>
      <c r="B444" s="20">
        <f>IF(AND($L444="",$M444="",$N444=""),"",IF($L444&lt;&gt;"",INDEX(LdADate,$L444),IF($M444&lt;&gt;"",INDEX(LdBDate,$M444),INDEX(LdCDate,$N444))))</f>
        <v/>
      </c>
      <c r="C444" s="20">
        <f>IF($L444&lt;&gt;"","دستمزد (فردی)",IF($M444&lt;&gt;"","سهم از گروه "&amp;IFERROR(VLOOKUP(INDEX(LdBGroup,$M444),WGTbl,2,0),INDEX(LdBGroup,$M444)),IF($N444&lt;&gt;"",IF(N(INDEX(LdCDep,$N444))&gt;0,"بازگشت بانکی","پرداخت بانکی"),"")))</f>
        <v/>
      </c>
      <c r="D444" s="20">
        <f>IF($L444&lt;&gt;"",IF(INDEX(LdAId,$L444)="","—",INDEX(LdAId,$L444)),IF($M444&lt;&gt;"",IF(INDEX(LdBId,$M444)="","—",INDEX(LdBId,$M444)),IF($N444&lt;&gt;"",IF(INDEX(LdCBank,$N444)="","—",INDEX(LdCBank,$N444)),"")))</f>
        <v/>
      </c>
      <c r="E444" s="21">
        <f>IF($L444&lt;&gt;"",IF(INDEX(LdAAmt,$L444)=0,"",INDEX(LdAAmt,$L444)),IF($M444&lt;&gt;"",IF(INDEX(LdBAmt,$M444)=0,"",INDEX(LdBAmt,$M444)),IF($N444&lt;&gt;"",IF(INDEX(LdCDep,$N444)=0,"",INDEX(LdCDep,$N444)),"")))</f>
        <v/>
      </c>
      <c r="F444" s="21">
        <f>IF(AND($L444="",$M444="",$N444=""),"",IF($N444="","",IF(INDEX(LdCWit,$N444)=0,"",INDEX(LdCWit,$N444))))</f>
        <v/>
      </c>
      <c r="G444" s="31">
        <f>IF($B444="","",IF($G443="",0,$G443)+IF($E444="",0,$E444)-IF($F444="",0,$F444))</f>
        <v/>
      </c>
      <c r="H444" s="32">
        <f>IF(AND($L444="",$M444="",$N444=""),"",IF($L444&lt;&gt;"",IF(INDEX(LdANote,$L444)="","—",INDEX(LdANote,$L444)),IF($M444&lt;&gt;"",IF(INDEX(LdBNote,$M444)="","—",INDEX(LdBNote,$M444)),IF($N444&lt;&gt;"",IF(INDEX(LdCNote,$N444)="","—",INDEX(LdCNote,$N444)),""))))</f>
        <v/>
      </c>
      <c r="L444">
        <f>IFERROR(MATCH($C$5&amp;"|"&amp;RIGHT("000000"&amp;428,6),LdAKeyM,0),"")</f>
        <v/>
      </c>
      <c r="M444">
        <f>IFERROR(MATCH($C$5&amp;"|"&amp;RIGHT("000000"&amp;428,6),LdBKeyM,0),"")</f>
        <v/>
      </c>
      <c r="N444">
        <f>IFERROR(MATCH($C$5&amp;"|"&amp;RIGHT("000000"&amp;428,6),LdCKeyM,0),"")</f>
        <v/>
      </c>
    </row>
    <row r="445">
      <c r="A445" s="10" t="n">
        <v>429</v>
      </c>
      <c r="B445" s="14">
        <f>IF(AND($L445="",$M445="",$N445=""),"",IF($L445&lt;&gt;"",INDEX(LdADate,$L445),IF($M445&lt;&gt;"",INDEX(LdBDate,$M445),INDEX(LdCDate,$N445))))</f>
        <v/>
      </c>
      <c r="C445" s="14">
        <f>IF($L445&lt;&gt;"","دستمزد (فردی)",IF($M445&lt;&gt;"","سهم از گروه "&amp;IFERROR(VLOOKUP(INDEX(LdBGroup,$M445),WGTbl,2,0),INDEX(LdBGroup,$M445)),IF($N445&lt;&gt;"",IF(N(INDEX(LdCDep,$N445))&gt;0,"بازگشت بانکی","پرداخت بانکی"),"")))</f>
        <v/>
      </c>
      <c r="D445" s="14">
        <f>IF($L445&lt;&gt;"",IF(INDEX(LdAId,$L445)="","—",INDEX(LdAId,$L445)),IF($M445&lt;&gt;"",IF(INDEX(LdBId,$M445)="","—",INDEX(LdBId,$M445)),IF($N445&lt;&gt;"",IF(INDEX(LdCBank,$N445)="","—",INDEX(LdCBank,$N445)),"")))</f>
        <v/>
      </c>
      <c r="E445" s="16">
        <f>IF($L445&lt;&gt;"",IF(INDEX(LdAAmt,$L445)=0,"",INDEX(LdAAmt,$L445)),IF($M445&lt;&gt;"",IF(INDEX(LdBAmt,$M445)=0,"",INDEX(LdBAmt,$M445)),IF($N445&lt;&gt;"",IF(INDEX(LdCDep,$N445)=0,"",INDEX(LdCDep,$N445)),"")))</f>
        <v/>
      </c>
      <c r="F445" s="16">
        <f>IF(AND($L445="",$M445="",$N445=""),"",IF($N445="","",IF(INDEX(LdCWit,$N445)=0,"",INDEX(LdCWit,$N445))))</f>
        <v/>
      </c>
      <c r="G445" s="29">
        <f>IF($B445="","",IF($G444="",0,$G444)+IF($E445="",0,$E445)-IF($F445="",0,$F445))</f>
        <v/>
      </c>
      <c r="H445" s="30">
        <f>IF(AND($L445="",$M445="",$N445=""),"",IF($L445&lt;&gt;"",IF(INDEX(LdANote,$L445)="","—",INDEX(LdANote,$L445)),IF($M445&lt;&gt;"",IF(INDEX(LdBNote,$M445)="","—",INDEX(LdBNote,$M445)),IF($N445&lt;&gt;"",IF(INDEX(LdCNote,$N445)="","—",INDEX(LdCNote,$N445)),""))))</f>
        <v/>
      </c>
      <c r="L445">
        <f>IFERROR(MATCH($C$5&amp;"|"&amp;RIGHT("000000"&amp;429,6),LdAKeyM,0),"")</f>
        <v/>
      </c>
      <c r="M445">
        <f>IFERROR(MATCH($C$5&amp;"|"&amp;RIGHT("000000"&amp;429,6),LdBKeyM,0),"")</f>
        <v/>
      </c>
      <c r="N445">
        <f>IFERROR(MATCH($C$5&amp;"|"&amp;RIGHT("000000"&amp;429,6),LdCKeyM,0),"")</f>
        <v/>
      </c>
    </row>
    <row r="446">
      <c r="A446" s="19" t="n">
        <v>430</v>
      </c>
      <c r="B446" s="20">
        <f>IF(AND($L446="",$M446="",$N446=""),"",IF($L446&lt;&gt;"",INDEX(LdADate,$L446),IF($M446&lt;&gt;"",INDEX(LdBDate,$M446),INDEX(LdCDate,$N446))))</f>
        <v/>
      </c>
      <c r="C446" s="20">
        <f>IF($L446&lt;&gt;"","دستمزد (فردی)",IF($M446&lt;&gt;"","سهم از گروه "&amp;IFERROR(VLOOKUP(INDEX(LdBGroup,$M446),WGTbl,2,0),INDEX(LdBGroup,$M446)),IF($N446&lt;&gt;"",IF(N(INDEX(LdCDep,$N446))&gt;0,"بازگشت بانکی","پرداخت بانکی"),"")))</f>
        <v/>
      </c>
      <c r="D446" s="20">
        <f>IF($L446&lt;&gt;"",IF(INDEX(LdAId,$L446)="","—",INDEX(LdAId,$L446)),IF($M446&lt;&gt;"",IF(INDEX(LdBId,$M446)="","—",INDEX(LdBId,$M446)),IF($N446&lt;&gt;"",IF(INDEX(LdCBank,$N446)="","—",INDEX(LdCBank,$N446)),"")))</f>
        <v/>
      </c>
      <c r="E446" s="21">
        <f>IF($L446&lt;&gt;"",IF(INDEX(LdAAmt,$L446)=0,"",INDEX(LdAAmt,$L446)),IF($M446&lt;&gt;"",IF(INDEX(LdBAmt,$M446)=0,"",INDEX(LdBAmt,$M446)),IF($N446&lt;&gt;"",IF(INDEX(LdCDep,$N446)=0,"",INDEX(LdCDep,$N446)),"")))</f>
        <v/>
      </c>
      <c r="F446" s="21">
        <f>IF(AND($L446="",$M446="",$N446=""),"",IF($N446="","",IF(INDEX(LdCWit,$N446)=0,"",INDEX(LdCWit,$N446))))</f>
        <v/>
      </c>
      <c r="G446" s="31">
        <f>IF($B446="","",IF($G445="",0,$G445)+IF($E446="",0,$E446)-IF($F446="",0,$F446))</f>
        <v/>
      </c>
      <c r="H446" s="32">
        <f>IF(AND($L446="",$M446="",$N446=""),"",IF($L446&lt;&gt;"",IF(INDEX(LdANote,$L446)="","—",INDEX(LdANote,$L446)),IF($M446&lt;&gt;"",IF(INDEX(LdBNote,$M446)="","—",INDEX(LdBNote,$M446)),IF($N446&lt;&gt;"",IF(INDEX(LdCNote,$N446)="","—",INDEX(LdCNote,$N446)),""))))</f>
        <v/>
      </c>
      <c r="L446">
        <f>IFERROR(MATCH($C$5&amp;"|"&amp;RIGHT("000000"&amp;430,6),LdAKeyM,0),"")</f>
        <v/>
      </c>
      <c r="M446">
        <f>IFERROR(MATCH($C$5&amp;"|"&amp;RIGHT("000000"&amp;430,6),LdBKeyM,0),"")</f>
        <v/>
      </c>
      <c r="N446">
        <f>IFERROR(MATCH($C$5&amp;"|"&amp;RIGHT("000000"&amp;430,6),LdCKeyM,0),"")</f>
        <v/>
      </c>
    </row>
    <row r="447">
      <c r="A447" s="10" t="n">
        <v>431</v>
      </c>
      <c r="B447" s="14">
        <f>IF(AND($L447="",$M447="",$N447=""),"",IF($L447&lt;&gt;"",INDEX(LdADate,$L447),IF($M447&lt;&gt;"",INDEX(LdBDate,$M447),INDEX(LdCDate,$N447))))</f>
        <v/>
      </c>
      <c r="C447" s="14">
        <f>IF($L447&lt;&gt;"","دستمزد (فردی)",IF($M447&lt;&gt;"","سهم از گروه "&amp;IFERROR(VLOOKUP(INDEX(LdBGroup,$M447),WGTbl,2,0),INDEX(LdBGroup,$M447)),IF($N447&lt;&gt;"",IF(N(INDEX(LdCDep,$N447))&gt;0,"بازگشت بانکی","پرداخت بانکی"),"")))</f>
        <v/>
      </c>
      <c r="D447" s="14">
        <f>IF($L447&lt;&gt;"",IF(INDEX(LdAId,$L447)="","—",INDEX(LdAId,$L447)),IF($M447&lt;&gt;"",IF(INDEX(LdBId,$M447)="","—",INDEX(LdBId,$M447)),IF($N447&lt;&gt;"",IF(INDEX(LdCBank,$N447)="","—",INDEX(LdCBank,$N447)),"")))</f>
        <v/>
      </c>
      <c r="E447" s="16">
        <f>IF($L447&lt;&gt;"",IF(INDEX(LdAAmt,$L447)=0,"",INDEX(LdAAmt,$L447)),IF($M447&lt;&gt;"",IF(INDEX(LdBAmt,$M447)=0,"",INDEX(LdBAmt,$M447)),IF($N447&lt;&gt;"",IF(INDEX(LdCDep,$N447)=0,"",INDEX(LdCDep,$N447)),"")))</f>
        <v/>
      </c>
      <c r="F447" s="16">
        <f>IF(AND($L447="",$M447="",$N447=""),"",IF($N447="","",IF(INDEX(LdCWit,$N447)=0,"",INDEX(LdCWit,$N447))))</f>
        <v/>
      </c>
      <c r="G447" s="29">
        <f>IF($B447="","",IF($G446="",0,$G446)+IF($E447="",0,$E447)-IF($F447="",0,$F447))</f>
        <v/>
      </c>
      <c r="H447" s="30">
        <f>IF(AND($L447="",$M447="",$N447=""),"",IF($L447&lt;&gt;"",IF(INDEX(LdANote,$L447)="","—",INDEX(LdANote,$L447)),IF($M447&lt;&gt;"",IF(INDEX(LdBNote,$M447)="","—",INDEX(LdBNote,$M447)),IF($N447&lt;&gt;"",IF(INDEX(LdCNote,$N447)="","—",INDEX(LdCNote,$N447)),""))))</f>
        <v/>
      </c>
      <c r="L447">
        <f>IFERROR(MATCH($C$5&amp;"|"&amp;RIGHT("000000"&amp;431,6),LdAKeyM,0),"")</f>
        <v/>
      </c>
      <c r="M447">
        <f>IFERROR(MATCH($C$5&amp;"|"&amp;RIGHT("000000"&amp;431,6),LdBKeyM,0),"")</f>
        <v/>
      </c>
      <c r="N447">
        <f>IFERROR(MATCH($C$5&amp;"|"&amp;RIGHT("000000"&amp;431,6),LdCKeyM,0),"")</f>
        <v/>
      </c>
    </row>
    <row r="448">
      <c r="A448" s="19" t="n">
        <v>432</v>
      </c>
      <c r="B448" s="20">
        <f>IF(AND($L448="",$M448="",$N448=""),"",IF($L448&lt;&gt;"",INDEX(LdADate,$L448),IF($M448&lt;&gt;"",INDEX(LdBDate,$M448),INDEX(LdCDate,$N448))))</f>
        <v/>
      </c>
      <c r="C448" s="20">
        <f>IF($L448&lt;&gt;"","دستمزد (فردی)",IF($M448&lt;&gt;"","سهم از گروه "&amp;IFERROR(VLOOKUP(INDEX(LdBGroup,$M448),WGTbl,2,0),INDEX(LdBGroup,$M448)),IF($N448&lt;&gt;"",IF(N(INDEX(LdCDep,$N448))&gt;0,"بازگشت بانکی","پرداخت بانکی"),"")))</f>
        <v/>
      </c>
      <c r="D448" s="20">
        <f>IF($L448&lt;&gt;"",IF(INDEX(LdAId,$L448)="","—",INDEX(LdAId,$L448)),IF($M448&lt;&gt;"",IF(INDEX(LdBId,$M448)="","—",INDEX(LdBId,$M448)),IF($N448&lt;&gt;"",IF(INDEX(LdCBank,$N448)="","—",INDEX(LdCBank,$N448)),"")))</f>
        <v/>
      </c>
      <c r="E448" s="21">
        <f>IF($L448&lt;&gt;"",IF(INDEX(LdAAmt,$L448)=0,"",INDEX(LdAAmt,$L448)),IF($M448&lt;&gt;"",IF(INDEX(LdBAmt,$M448)=0,"",INDEX(LdBAmt,$M448)),IF($N448&lt;&gt;"",IF(INDEX(LdCDep,$N448)=0,"",INDEX(LdCDep,$N448)),"")))</f>
        <v/>
      </c>
      <c r="F448" s="21">
        <f>IF(AND($L448="",$M448="",$N448=""),"",IF($N448="","",IF(INDEX(LdCWit,$N448)=0,"",INDEX(LdCWit,$N448))))</f>
        <v/>
      </c>
      <c r="G448" s="31">
        <f>IF($B448="","",IF($G447="",0,$G447)+IF($E448="",0,$E448)-IF($F448="",0,$F448))</f>
        <v/>
      </c>
      <c r="H448" s="32">
        <f>IF(AND($L448="",$M448="",$N448=""),"",IF($L448&lt;&gt;"",IF(INDEX(LdANote,$L448)="","—",INDEX(LdANote,$L448)),IF($M448&lt;&gt;"",IF(INDEX(LdBNote,$M448)="","—",INDEX(LdBNote,$M448)),IF($N448&lt;&gt;"",IF(INDEX(LdCNote,$N448)="","—",INDEX(LdCNote,$N448)),""))))</f>
        <v/>
      </c>
      <c r="L448">
        <f>IFERROR(MATCH($C$5&amp;"|"&amp;RIGHT("000000"&amp;432,6),LdAKeyM,0),"")</f>
        <v/>
      </c>
      <c r="M448">
        <f>IFERROR(MATCH($C$5&amp;"|"&amp;RIGHT("000000"&amp;432,6),LdBKeyM,0),"")</f>
        <v/>
      </c>
      <c r="N448">
        <f>IFERROR(MATCH($C$5&amp;"|"&amp;RIGHT("000000"&amp;432,6),LdCKeyM,0),"")</f>
        <v/>
      </c>
    </row>
    <row r="449">
      <c r="A449" s="10" t="n">
        <v>433</v>
      </c>
      <c r="B449" s="14">
        <f>IF(AND($L449="",$M449="",$N449=""),"",IF($L449&lt;&gt;"",INDEX(LdADate,$L449),IF($M449&lt;&gt;"",INDEX(LdBDate,$M449),INDEX(LdCDate,$N449))))</f>
        <v/>
      </c>
      <c r="C449" s="14">
        <f>IF($L449&lt;&gt;"","دستمزد (فردی)",IF($M449&lt;&gt;"","سهم از گروه "&amp;IFERROR(VLOOKUP(INDEX(LdBGroup,$M449),WGTbl,2,0),INDEX(LdBGroup,$M449)),IF($N449&lt;&gt;"",IF(N(INDEX(LdCDep,$N449))&gt;0,"بازگشت بانکی","پرداخت بانکی"),"")))</f>
        <v/>
      </c>
      <c r="D449" s="14">
        <f>IF($L449&lt;&gt;"",IF(INDEX(LdAId,$L449)="","—",INDEX(LdAId,$L449)),IF($M449&lt;&gt;"",IF(INDEX(LdBId,$M449)="","—",INDEX(LdBId,$M449)),IF($N449&lt;&gt;"",IF(INDEX(LdCBank,$N449)="","—",INDEX(LdCBank,$N449)),"")))</f>
        <v/>
      </c>
      <c r="E449" s="16">
        <f>IF($L449&lt;&gt;"",IF(INDEX(LdAAmt,$L449)=0,"",INDEX(LdAAmt,$L449)),IF($M449&lt;&gt;"",IF(INDEX(LdBAmt,$M449)=0,"",INDEX(LdBAmt,$M449)),IF($N449&lt;&gt;"",IF(INDEX(LdCDep,$N449)=0,"",INDEX(LdCDep,$N449)),"")))</f>
        <v/>
      </c>
      <c r="F449" s="16">
        <f>IF(AND($L449="",$M449="",$N449=""),"",IF($N449="","",IF(INDEX(LdCWit,$N449)=0,"",INDEX(LdCWit,$N449))))</f>
        <v/>
      </c>
      <c r="G449" s="29">
        <f>IF($B449="","",IF($G448="",0,$G448)+IF($E449="",0,$E449)-IF($F449="",0,$F449))</f>
        <v/>
      </c>
      <c r="H449" s="30">
        <f>IF(AND($L449="",$M449="",$N449=""),"",IF($L449&lt;&gt;"",IF(INDEX(LdANote,$L449)="","—",INDEX(LdANote,$L449)),IF($M449&lt;&gt;"",IF(INDEX(LdBNote,$M449)="","—",INDEX(LdBNote,$M449)),IF($N449&lt;&gt;"",IF(INDEX(LdCNote,$N449)="","—",INDEX(LdCNote,$N449)),""))))</f>
        <v/>
      </c>
      <c r="L449">
        <f>IFERROR(MATCH($C$5&amp;"|"&amp;RIGHT("000000"&amp;433,6),LdAKeyM,0),"")</f>
        <v/>
      </c>
      <c r="M449">
        <f>IFERROR(MATCH($C$5&amp;"|"&amp;RIGHT("000000"&amp;433,6),LdBKeyM,0),"")</f>
        <v/>
      </c>
      <c r="N449">
        <f>IFERROR(MATCH($C$5&amp;"|"&amp;RIGHT("000000"&amp;433,6),LdCKeyM,0),"")</f>
        <v/>
      </c>
    </row>
    <row r="450">
      <c r="A450" s="19" t="n">
        <v>434</v>
      </c>
      <c r="B450" s="20">
        <f>IF(AND($L450="",$M450="",$N450=""),"",IF($L450&lt;&gt;"",INDEX(LdADate,$L450),IF($M450&lt;&gt;"",INDEX(LdBDate,$M450),INDEX(LdCDate,$N450))))</f>
        <v/>
      </c>
      <c r="C450" s="20">
        <f>IF($L450&lt;&gt;"","دستمزد (فردی)",IF($M450&lt;&gt;"","سهم از گروه "&amp;IFERROR(VLOOKUP(INDEX(LdBGroup,$M450),WGTbl,2,0),INDEX(LdBGroup,$M450)),IF($N450&lt;&gt;"",IF(N(INDEX(LdCDep,$N450))&gt;0,"بازگشت بانکی","پرداخت بانکی"),"")))</f>
        <v/>
      </c>
      <c r="D450" s="20">
        <f>IF($L450&lt;&gt;"",IF(INDEX(LdAId,$L450)="","—",INDEX(LdAId,$L450)),IF($M450&lt;&gt;"",IF(INDEX(LdBId,$M450)="","—",INDEX(LdBId,$M450)),IF($N450&lt;&gt;"",IF(INDEX(LdCBank,$N450)="","—",INDEX(LdCBank,$N450)),"")))</f>
        <v/>
      </c>
      <c r="E450" s="21">
        <f>IF($L450&lt;&gt;"",IF(INDEX(LdAAmt,$L450)=0,"",INDEX(LdAAmt,$L450)),IF($M450&lt;&gt;"",IF(INDEX(LdBAmt,$M450)=0,"",INDEX(LdBAmt,$M450)),IF($N450&lt;&gt;"",IF(INDEX(LdCDep,$N450)=0,"",INDEX(LdCDep,$N450)),"")))</f>
        <v/>
      </c>
      <c r="F450" s="21">
        <f>IF(AND($L450="",$M450="",$N450=""),"",IF($N450="","",IF(INDEX(LdCWit,$N450)=0,"",INDEX(LdCWit,$N450))))</f>
        <v/>
      </c>
      <c r="G450" s="31">
        <f>IF($B450="","",IF($G449="",0,$G449)+IF($E450="",0,$E450)-IF($F450="",0,$F450))</f>
        <v/>
      </c>
      <c r="H450" s="32">
        <f>IF(AND($L450="",$M450="",$N450=""),"",IF($L450&lt;&gt;"",IF(INDEX(LdANote,$L450)="","—",INDEX(LdANote,$L450)),IF($M450&lt;&gt;"",IF(INDEX(LdBNote,$M450)="","—",INDEX(LdBNote,$M450)),IF($N450&lt;&gt;"",IF(INDEX(LdCNote,$N450)="","—",INDEX(LdCNote,$N450)),""))))</f>
        <v/>
      </c>
      <c r="L450">
        <f>IFERROR(MATCH($C$5&amp;"|"&amp;RIGHT("000000"&amp;434,6),LdAKeyM,0),"")</f>
        <v/>
      </c>
      <c r="M450">
        <f>IFERROR(MATCH($C$5&amp;"|"&amp;RIGHT("000000"&amp;434,6),LdBKeyM,0),"")</f>
        <v/>
      </c>
      <c r="N450">
        <f>IFERROR(MATCH($C$5&amp;"|"&amp;RIGHT("000000"&amp;434,6),LdCKeyM,0),"")</f>
        <v/>
      </c>
    </row>
    <row r="451">
      <c r="A451" s="10" t="n">
        <v>435</v>
      </c>
      <c r="B451" s="14">
        <f>IF(AND($L451="",$M451="",$N451=""),"",IF($L451&lt;&gt;"",INDEX(LdADate,$L451),IF($M451&lt;&gt;"",INDEX(LdBDate,$M451),INDEX(LdCDate,$N451))))</f>
        <v/>
      </c>
      <c r="C451" s="14">
        <f>IF($L451&lt;&gt;"","دستمزد (فردی)",IF($M451&lt;&gt;"","سهم از گروه "&amp;IFERROR(VLOOKUP(INDEX(LdBGroup,$M451),WGTbl,2,0),INDEX(LdBGroup,$M451)),IF($N451&lt;&gt;"",IF(N(INDEX(LdCDep,$N451))&gt;0,"بازگشت بانکی","پرداخت بانکی"),"")))</f>
        <v/>
      </c>
      <c r="D451" s="14">
        <f>IF($L451&lt;&gt;"",IF(INDEX(LdAId,$L451)="","—",INDEX(LdAId,$L451)),IF($M451&lt;&gt;"",IF(INDEX(LdBId,$M451)="","—",INDEX(LdBId,$M451)),IF($N451&lt;&gt;"",IF(INDEX(LdCBank,$N451)="","—",INDEX(LdCBank,$N451)),"")))</f>
        <v/>
      </c>
      <c r="E451" s="16">
        <f>IF($L451&lt;&gt;"",IF(INDEX(LdAAmt,$L451)=0,"",INDEX(LdAAmt,$L451)),IF($M451&lt;&gt;"",IF(INDEX(LdBAmt,$M451)=0,"",INDEX(LdBAmt,$M451)),IF($N451&lt;&gt;"",IF(INDEX(LdCDep,$N451)=0,"",INDEX(LdCDep,$N451)),"")))</f>
        <v/>
      </c>
      <c r="F451" s="16">
        <f>IF(AND($L451="",$M451="",$N451=""),"",IF($N451="","",IF(INDEX(LdCWit,$N451)=0,"",INDEX(LdCWit,$N451))))</f>
        <v/>
      </c>
      <c r="G451" s="29">
        <f>IF($B451="","",IF($G450="",0,$G450)+IF($E451="",0,$E451)-IF($F451="",0,$F451))</f>
        <v/>
      </c>
      <c r="H451" s="30">
        <f>IF(AND($L451="",$M451="",$N451=""),"",IF($L451&lt;&gt;"",IF(INDEX(LdANote,$L451)="","—",INDEX(LdANote,$L451)),IF($M451&lt;&gt;"",IF(INDEX(LdBNote,$M451)="","—",INDEX(LdBNote,$M451)),IF($N451&lt;&gt;"",IF(INDEX(LdCNote,$N451)="","—",INDEX(LdCNote,$N451)),""))))</f>
        <v/>
      </c>
      <c r="L451">
        <f>IFERROR(MATCH($C$5&amp;"|"&amp;RIGHT("000000"&amp;435,6),LdAKeyM,0),"")</f>
        <v/>
      </c>
      <c r="M451">
        <f>IFERROR(MATCH($C$5&amp;"|"&amp;RIGHT("000000"&amp;435,6),LdBKeyM,0),"")</f>
        <v/>
      </c>
      <c r="N451">
        <f>IFERROR(MATCH($C$5&amp;"|"&amp;RIGHT("000000"&amp;435,6),LdCKeyM,0),"")</f>
        <v/>
      </c>
    </row>
    <row r="452">
      <c r="A452" s="19" t="n">
        <v>436</v>
      </c>
      <c r="B452" s="20">
        <f>IF(AND($L452="",$M452="",$N452=""),"",IF($L452&lt;&gt;"",INDEX(LdADate,$L452),IF($M452&lt;&gt;"",INDEX(LdBDate,$M452),INDEX(LdCDate,$N452))))</f>
        <v/>
      </c>
      <c r="C452" s="20">
        <f>IF($L452&lt;&gt;"","دستمزد (فردی)",IF($M452&lt;&gt;"","سهم از گروه "&amp;IFERROR(VLOOKUP(INDEX(LdBGroup,$M452),WGTbl,2,0),INDEX(LdBGroup,$M452)),IF($N452&lt;&gt;"",IF(N(INDEX(LdCDep,$N452))&gt;0,"بازگشت بانکی","پرداخت بانکی"),"")))</f>
        <v/>
      </c>
      <c r="D452" s="20">
        <f>IF($L452&lt;&gt;"",IF(INDEX(LdAId,$L452)="","—",INDEX(LdAId,$L452)),IF($M452&lt;&gt;"",IF(INDEX(LdBId,$M452)="","—",INDEX(LdBId,$M452)),IF($N452&lt;&gt;"",IF(INDEX(LdCBank,$N452)="","—",INDEX(LdCBank,$N452)),"")))</f>
        <v/>
      </c>
      <c r="E452" s="21">
        <f>IF($L452&lt;&gt;"",IF(INDEX(LdAAmt,$L452)=0,"",INDEX(LdAAmt,$L452)),IF($M452&lt;&gt;"",IF(INDEX(LdBAmt,$M452)=0,"",INDEX(LdBAmt,$M452)),IF($N452&lt;&gt;"",IF(INDEX(LdCDep,$N452)=0,"",INDEX(LdCDep,$N452)),"")))</f>
        <v/>
      </c>
      <c r="F452" s="21">
        <f>IF(AND($L452="",$M452="",$N452=""),"",IF($N452="","",IF(INDEX(LdCWit,$N452)=0,"",INDEX(LdCWit,$N452))))</f>
        <v/>
      </c>
      <c r="G452" s="31">
        <f>IF($B452="","",IF($G451="",0,$G451)+IF($E452="",0,$E452)-IF($F452="",0,$F452))</f>
        <v/>
      </c>
      <c r="H452" s="32">
        <f>IF(AND($L452="",$M452="",$N452=""),"",IF($L452&lt;&gt;"",IF(INDEX(LdANote,$L452)="","—",INDEX(LdANote,$L452)),IF($M452&lt;&gt;"",IF(INDEX(LdBNote,$M452)="","—",INDEX(LdBNote,$M452)),IF($N452&lt;&gt;"",IF(INDEX(LdCNote,$N452)="","—",INDEX(LdCNote,$N452)),""))))</f>
        <v/>
      </c>
      <c r="L452">
        <f>IFERROR(MATCH($C$5&amp;"|"&amp;RIGHT("000000"&amp;436,6),LdAKeyM,0),"")</f>
        <v/>
      </c>
      <c r="M452">
        <f>IFERROR(MATCH($C$5&amp;"|"&amp;RIGHT("000000"&amp;436,6),LdBKeyM,0),"")</f>
        <v/>
      </c>
      <c r="N452">
        <f>IFERROR(MATCH($C$5&amp;"|"&amp;RIGHT("000000"&amp;436,6),LdCKeyM,0),"")</f>
        <v/>
      </c>
    </row>
    <row r="453">
      <c r="A453" s="10" t="n">
        <v>437</v>
      </c>
      <c r="B453" s="14">
        <f>IF(AND($L453="",$M453="",$N453=""),"",IF($L453&lt;&gt;"",INDEX(LdADate,$L453),IF($M453&lt;&gt;"",INDEX(LdBDate,$M453),INDEX(LdCDate,$N453))))</f>
        <v/>
      </c>
      <c r="C453" s="14">
        <f>IF($L453&lt;&gt;"","دستمزد (فردی)",IF($M453&lt;&gt;"","سهم از گروه "&amp;IFERROR(VLOOKUP(INDEX(LdBGroup,$M453),WGTbl,2,0),INDEX(LdBGroup,$M453)),IF($N453&lt;&gt;"",IF(N(INDEX(LdCDep,$N453))&gt;0,"بازگشت بانکی","پرداخت بانکی"),"")))</f>
        <v/>
      </c>
      <c r="D453" s="14">
        <f>IF($L453&lt;&gt;"",IF(INDEX(LdAId,$L453)="","—",INDEX(LdAId,$L453)),IF($M453&lt;&gt;"",IF(INDEX(LdBId,$M453)="","—",INDEX(LdBId,$M453)),IF($N453&lt;&gt;"",IF(INDEX(LdCBank,$N453)="","—",INDEX(LdCBank,$N453)),"")))</f>
        <v/>
      </c>
      <c r="E453" s="16">
        <f>IF($L453&lt;&gt;"",IF(INDEX(LdAAmt,$L453)=0,"",INDEX(LdAAmt,$L453)),IF($M453&lt;&gt;"",IF(INDEX(LdBAmt,$M453)=0,"",INDEX(LdBAmt,$M453)),IF($N453&lt;&gt;"",IF(INDEX(LdCDep,$N453)=0,"",INDEX(LdCDep,$N453)),"")))</f>
        <v/>
      </c>
      <c r="F453" s="16">
        <f>IF(AND($L453="",$M453="",$N453=""),"",IF($N453="","",IF(INDEX(LdCWit,$N453)=0,"",INDEX(LdCWit,$N453))))</f>
        <v/>
      </c>
      <c r="G453" s="29">
        <f>IF($B453="","",IF($G452="",0,$G452)+IF($E453="",0,$E453)-IF($F453="",0,$F453))</f>
        <v/>
      </c>
      <c r="H453" s="30">
        <f>IF(AND($L453="",$M453="",$N453=""),"",IF($L453&lt;&gt;"",IF(INDEX(LdANote,$L453)="","—",INDEX(LdANote,$L453)),IF($M453&lt;&gt;"",IF(INDEX(LdBNote,$M453)="","—",INDEX(LdBNote,$M453)),IF($N453&lt;&gt;"",IF(INDEX(LdCNote,$N453)="","—",INDEX(LdCNote,$N453)),""))))</f>
        <v/>
      </c>
      <c r="L453">
        <f>IFERROR(MATCH($C$5&amp;"|"&amp;RIGHT("000000"&amp;437,6),LdAKeyM,0),"")</f>
        <v/>
      </c>
      <c r="M453">
        <f>IFERROR(MATCH($C$5&amp;"|"&amp;RIGHT("000000"&amp;437,6),LdBKeyM,0),"")</f>
        <v/>
      </c>
      <c r="N453">
        <f>IFERROR(MATCH($C$5&amp;"|"&amp;RIGHT("000000"&amp;437,6),LdCKeyM,0),"")</f>
        <v/>
      </c>
    </row>
    <row r="454">
      <c r="A454" s="19" t="n">
        <v>438</v>
      </c>
      <c r="B454" s="20">
        <f>IF(AND($L454="",$M454="",$N454=""),"",IF($L454&lt;&gt;"",INDEX(LdADate,$L454),IF($M454&lt;&gt;"",INDEX(LdBDate,$M454),INDEX(LdCDate,$N454))))</f>
        <v/>
      </c>
      <c r="C454" s="20">
        <f>IF($L454&lt;&gt;"","دستمزد (فردی)",IF($M454&lt;&gt;"","سهم از گروه "&amp;IFERROR(VLOOKUP(INDEX(LdBGroup,$M454),WGTbl,2,0),INDEX(LdBGroup,$M454)),IF($N454&lt;&gt;"",IF(N(INDEX(LdCDep,$N454))&gt;0,"بازگشت بانکی","پرداخت بانکی"),"")))</f>
        <v/>
      </c>
      <c r="D454" s="20">
        <f>IF($L454&lt;&gt;"",IF(INDEX(LdAId,$L454)="","—",INDEX(LdAId,$L454)),IF($M454&lt;&gt;"",IF(INDEX(LdBId,$M454)="","—",INDEX(LdBId,$M454)),IF($N454&lt;&gt;"",IF(INDEX(LdCBank,$N454)="","—",INDEX(LdCBank,$N454)),"")))</f>
        <v/>
      </c>
      <c r="E454" s="21">
        <f>IF($L454&lt;&gt;"",IF(INDEX(LdAAmt,$L454)=0,"",INDEX(LdAAmt,$L454)),IF($M454&lt;&gt;"",IF(INDEX(LdBAmt,$M454)=0,"",INDEX(LdBAmt,$M454)),IF($N454&lt;&gt;"",IF(INDEX(LdCDep,$N454)=0,"",INDEX(LdCDep,$N454)),"")))</f>
        <v/>
      </c>
      <c r="F454" s="21">
        <f>IF(AND($L454="",$M454="",$N454=""),"",IF($N454="","",IF(INDEX(LdCWit,$N454)=0,"",INDEX(LdCWit,$N454))))</f>
        <v/>
      </c>
      <c r="G454" s="31">
        <f>IF($B454="","",IF($G453="",0,$G453)+IF($E454="",0,$E454)-IF($F454="",0,$F454))</f>
        <v/>
      </c>
      <c r="H454" s="32">
        <f>IF(AND($L454="",$M454="",$N454=""),"",IF($L454&lt;&gt;"",IF(INDEX(LdANote,$L454)="","—",INDEX(LdANote,$L454)),IF($M454&lt;&gt;"",IF(INDEX(LdBNote,$M454)="","—",INDEX(LdBNote,$M454)),IF($N454&lt;&gt;"",IF(INDEX(LdCNote,$N454)="","—",INDEX(LdCNote,$N454)),""))))</f>
        <v/>
      </c>
      <c r="L454">
        <f>IFERROR(MATCH($C$5&amp;"|"&amp;RIGHT("000000"&amp;438,6),LdAKeyM,0),"")</f>
        <v/>
      </c>
      <c r="M454">
        <f>IFERROR(MATCH($C$5&amp;"|"&amp;RIGHT("000000"&amp;438,6),LdBKeyM,0),"")</f>
        <v/>
      </c>
      <c r="N454">
        <f>IFERROR(MATCH($C$5&amp;"|"&amp;RIGHT("000000"&amp;438,6),LdCKeyM,0),"")</f>
        <v/>
      </c>
    </row>
    <row r="455">
      <c r="A455" s="10" t="n">
        <v>439</v>
      </c>
      <c r="B455" s="14">
        <f>IF(AND($L455="",$M455="",$N455=""),"",IF($L455&lt;&gt;"",INDEX(LdADate,$L455),IF($M455&lt;&gt;"",INDEX(LdBDate,$M455),INDEX(LdCDate,$N455))))</f>
        <v/>
      </c>
      <c r="C455" s="14">
        <f>IF($L455&lt;&gt;"","دستمزد (فردی)",IF($M455&lt;&gt;"","سهم از گروه "&amp;IFERROR(VLOOKUP(INDEX(LdBGroup,$M455),WGTbl,2,0),INDEX(LdBGroup,$M455)),IF($N455&lt;&gt;"",IF(N(INDEX(LdCDep,$N455))&gt;0,"بازگشت بانکی","پرداخت بانکی"),"")))</f>
        <v/>
      </c>
      <c r="D455" s="14">
        <f>IF($L455&lt;&gt;"",IF(INDEX(LdAId,$L455)="","—",INDEX(LdAId,$L455)),IF($M455&lt;&gt;"",IF(INDEX(LdBId,$M455)="","—",INDEX(LdBId,$M455)),IF($N455&lt;&gt;"",IF(INDEX(LdCBank,$N455)="","—",INDEX(LdCBank,$N455)),"")))</f>
        <v/>
      </c>
      <c r="E455" s="16">
        <f>IF($L455&lt;&gt;"",IF(INDEX(LdAAmt,$L455)=0,"",INDEX(LdAAmt,$L455)),IF($M455&lt;&gt;"",IF(INDEX(LdBAmt,$M455)=0,"",INDEX(LdBAmt,$M455)),IF($N455&lt;&gt;"",IF(INDEX(LdCDep,$N455)=0,"",INDEX(LdCDep,$N455)),"")))</f>
        <v/>
      </c>
      <c r="F455" s="16">
        <f>IF(AND($L455="",$M455="",$N455=""),"",IF($N455="","",IF(INDEX(LdCWit,$N455)=0,"",INDEX(LdCWit,$N455))))</f>
        <v/>
      </c>
      <c r="G455" s="29">
        <f>IF($B455="","",IF($G454="",0,$G454)+IF($E455="",0,$E455)-IF($F455="",0,$F455))</f>
        <v/>
      </c>
      <c r="H455" s="30">
        <f>IF(AND($L455="",$M455="",$N455=""),"",IF($L455&lt;&gt;"",IF(INDEX(LdANote,$L455)="","—",INDEX(LdANote,$L455)),IF($M455&lt;&gt;"",IF(INDEX(LdBNote,$M455)="","—",INDEX(LdBNote,$M455)),IF($N455&lt;&gt;"",IF(INDEX(LdCNote,$N455)="","—",INDEX(LdCNote,$N455)),""))))</f>
        <v/>
      </c>
      <c r="L455">
        <f>IFERROR(MATCH($C$5&amp;"|"&amp;RIGHT("000000"&amp;439,6),LdAKeyM,0),"")</f>
        <v/>
      </c>
      <c r="M455">
        <f>IFERROR(MATCH($C$5&amp;"|"&amp;RIGHT("000000"&amp;439,6),LdBKeyM,0),"")</f>
        <v/>
      </c>
      <c r="N455">
        <f>IFERROR(MATCH($C$5&amp;"|"&amp;RIGHT("000000"&amp;439,6),LdCKeyM,0),"")</f>
        <v/>
      </c>
    </row>
    <row r="456">
      <c r="A456" s="19" t="n">
        <v>440</v>
      </c>
      <c r="B456" s="20">
        <f>IF(AND($L456="",$M456="",$N456=""),"",IF($L456&lt;&gt;"",INDEX(LdADate,$L456),IF($M456&lt;&gt;"",INDEX(LdBDate,$M456),INDEX(LdCDate,$N456))))</f>
        <v/>
      </c>
      <c r="C456" s="20">
        <f>IF($L456&lt;&gt;"","دستمزد (فردی)",IF($M456&lt;&gt;"","سهم از گروه "&amp;IFERROR(VLOOKUP(INDEX(LdBGroup,$M456),WGTbl,2,0),INDEX(LdBGroup,$M456)),IF($N456&lt;&gt;"",IF(N(INDEX(LdCDep,$N456))&gt;0,"بازگشت بانکی","پرداخت بانکی"),"")))</f>
        <v/>
      </c>
      <c r="D456" s="20">
        <f>IF($L456&lt;&gt;"",IF(INDEX(LdAId,$L456)="","—",INDEX(LdAId,$L456)),IF($M456&lt;&gt;"",IF(INDEX(LdBId,$M456)="","—",INDEX(LdBId,$M456)),IF($N456&lt;&gt;"",IF(INDEX(LdCBank,$N456)="","—",INDEX(LdCBank,$N456)),"")))</f>
        <v/>
      </c>
      <c r="E456" s="21">
        <f>IF($L456&lt;&gt;"",IF(INDEX(LdAAmt,$L456)=0,"",INDEX(LdAAmt,$L456)),IF($M456&lt;&gt;"",IF(INDEX(LdBAmt,$M456)=0,"",INDEX(LdBAmt,$M456)),IF($N456&lt;&gt;"",IF(INDEX(LdCDep,$N456)=0,"",INDEX(LdCDep,$N456)),"")))</f>
        <v/>
      </c>
      <c r="F456" s="21">
        <f>IF(AND($L456="",$M456="",$N456=""),"",IF($N456="","",IF(INDEX(LdCWit,$N456)=0,"",INDEX(LdCWit,$N456))))</f>
        <v/>
      </c>
      <c r="G456" s="31">
        <f>IF($B456="","",IF($G455="",0,$G455)+IF($E456="",0,$E456)-IF($F456="",0,$F456))</f>
        <v/>
      </c>
      <c r="H456" s="32">
        <f>IF(AND($L456="",$M456="",$N456=""),"",IF($L456&lt;&gt;"",IF(INDEX(LdANote,$L456)="","—",INDEX(LdANote,$L456)),IF($M456&lt;&gt;"",IF(INDEX(LdBNote,$M456)="","—",INDEX(LdBNote,$M456)),IF($N456&lt;&gt;"",IF(INDEX(LdCNote,$N456)="","—",INDEX(LdCNote,$N456)),""))))</f>
        <v/>
      </c>
      <c r="L456">
        <f>IFERROR(MATCH($C$5&amp;"|"&amp;RIGHT("000000"&amp;440,6),LdAKeyM,0),"")</f>
        <v/>
      </c>
      <c r="M456">
        <f>IFERROR(MATCH($C$5&amp;"|"&amp;RIGHT("000000"&amp;440,6),LdBKeyM,0),"")</f>
        <v/>
      </c>
      <c r="N456">
        <f>IFERROR(MATCH($C$5&amp;"|"&amp;RIGHT("000000"&amp;440,6),LdCKeyM,0),"")</f>
        <v/>
      </c>
    </row>
    <row r="457">
      <c r="A457" s="10" t="n">
        <v>441</v>
      </c>
      <c r="B457" s="14">
        <f>IF(AND($L457="",$M457="",$N457=""),"",IF($L457&lt;&gt;"",INDEX(LdADate,$L457),IF($M457&lt;&gt;"",INDEX(LdBDate,$M457),INDEX(LdCDate,$N457))))</f>
        <v/>
      </c>
      <c r="C457" s="14">
        <f>IF($L457&lt;&gt;"","دستمزد (فردی)",IF($M457&lt;&gt;"","سهم از گروه "&amp;IFERROR(VLOOKUP(INDEX(LdBGroup,$M457),WGTbl,2,0),INDEX(LdBGroup,$M457)),IF($N457&lt;&gt;"",IF(N(INDEX(LdCDep,$N457))&gt;0,"بازگشت بانکی","پرداخت بانکی"),"")))</f>
        <v/>
      </c>
      <c r="D457" s="14">
        <f>IF($L457&lt;&gt;"",IF(INDEX(LdAId,$L457)="","—",INDEX(LdAId,$L457)),IF($M457&lt;&gt;"",IF(INDEX(LdBId,$M457)="","—",INDEX(LdBId,$M457)),IF($N457&lt;&gt;"",IF(INDEX(LdCBank,$N457)="","—",INDEX(LdCBank,$N457)),"")))</f>
        <v/>
      </c>
      <c r="E457" s="16">
        <f>IF($L457&lt;&gt;"",IF(INDEX(LdAAmt,$L457)=0,"",INDEX(LdAAmt,$L457)),IF($M457&lt;&gt;"",IF(INDEX(LdBAmt,$M457)=0,"",INDEX(LdBAmt,$M457)),IF($N457&lt;&gt;"",IF(INDEX(LdCDep,$N457)=0,"",INDEX(LdCDep,$N457)),"")))</f>
        <v/>
      </c>
      <c r="F457" s="16">
        <f>IF(AND($L457="",$M457="",$N457=""),"",IF($N457="","",IF(INDEX(LdCWit,$N457)=0,"",INDEX(LdCWit,$N457))))</f>
        <v/>
      </c>
      <c r="G457" s="29">
        <f>IF($B457="","",IF($G456="",0,$G456)+IF($E457="",0,$E457)-IF($F457="",0,$F457))</f>
        <v/>
      </c>
      <c r="H457" s="30">
        <f>IF(AND($L457="",$M457="",$N457=""),"",IF($L457&lt;&gt;"",IF(INDEX(LdANote,$L457)="","—",INDEX(LdANote,$L457)),IF($M457&lt;&gt;"",IF(INDEX(LdBNote,$M457)="","—",INDEX(LdBNote,$M457)),IF($N457&lt;&gt;"",IF(INDEX(LdCNote,$N457)="","—",INDEX(LdCNote,$N457)),""))))</f>
        <v/>
      </c>
      <c r="L457">
        <f>IFERROR(MATCH($C$5&amp;"|"&amp;RIGHT("000000"&amp;441,6),LdAKeyM,0),"")</f>
        <v/>
      </c>
      <c r="M457">
        <f>IFERROR(MATCH($C$5&amp;"|"&amp;RIGHT("000000"&amp;441,6),LdBKeyM,0),"")</f>
        <v/>
      </c>
      <c r="N457">
        <f>IFERROR(MATCH($C$5&amp;"|"&amp;RIGHT("000000"&amp;441,6),LdCKeyM,0),"")</f>
        <v/>
      </c>
    </row>
    <row r="458">
      <c r="A458" s="19" t="n">
        <v>442</v>
      </c>
      <c r="B458" s="20">
        <f>IF(AND($L458="",$M458="",$N458=""),"",IF($L458&lt;&gt;"",INDEX(LdADate,$L458),IF($M458&lt;&gt;"",INDEX(LdBDate,$M458),INDEX(LdCDate,$N458))))</f>
        <v/>
      </c>
      <c r="C458" s="20">
        <f>IF($L458&lt;&gt;"","دستمزد (فردی)",IF($M458&lt;&gt;"","سهم از گروه "&amp;IFERROR(VLOOKUP(INDEX(LdBGroup,$M458),WGTbl,2,0),INDEX(LdBGroup,$M458)),IF($N458&lt;&gt;"",IF(N(INDEX(LdCDep,$N458))&gt;0,"بازگشت بانکی","پرداخت بانکی"),"")))</f>
        <v/>
      </c>
      <c r="D458" s="20">
        <f>IF($L458&lt;&gt;"",IF(INDEX(LdAId,$L458)="","—",INDEX(LdAId,$L458)),IF($M458&lt;&gt;"",IF(INDEX(LdBId,$M458)="","—",INDEX(LdBId,$M458)),IF($N458&lt;&gt;"",IF(INDEX(LdCBank,$N458)="","—",INDEX(LdCBank,$N458)),"")))</f>
        <v/>
      </c>
      <c r="E458" s="21">
        <f>IF($L458&lt;&gt;"",IF(INDEX(LdAAmt,$L458)=0,"",INDEX(LdAAmt,$L458)),IF($M458&lt;&gt;"",IF(INDEX(LdBAmt,$M458)=0,"",INDEX(LdBAmt,$M458)),IF($N458&lt;&gt;"",IF(INDEX(LdCDep,$N458)=0,"",INDEX(LdCDep,$N458)),"")))</f>
        <v/>
      </c>
      <c r="F458" s="21">
        <f>IF(AND($L458="",$M458="",$N458=""),"",IF($N458="","",IF(INDEX(LdCWit,$N458)=0,"",INDEX(LdCWit,$N458))))</f>
        <v/>
      </c>
      <c r="G458" s="31">
        <f>IF($B458="","",IF($G457="",0,$G457)+IF($E458="",0,$E458)-IF($F458="",0,$F458))</f>
        <v/>
      </c>
      <c r="H458" s="32">
        <f>IF(AND($L458="",$M458="",$N458=""),"",IF($L458&lt;&gt;"",IF(INDEX(LdANote,$L458)="","—",INDEX(LdANote,$L458)),IF($M458&lt;&gt;"",IF(INDEX(LdBNote,$M458)="","—",INDEX(LdBNote,$M458)),IF($N458&lt;&gt;"",IF(INDEX(LdCNote,$N458)="","—",INDEX(LdCNote,$N458)),""))))</f>
        <v/>
      </c>
      <c r="L458">
        <f>IFERROR(MATCH($C$5&amp;"|"&amp;RIGHT("000000"&amp;442,6),LdAKeyM,0),"")</f>
        <v/>
      </c>
      <c r="M458">
        <f>IFERROR(MATCH($C$5&amp;"|"&amp;RIGHT("000000"&amp;442,6),LdBKeyM,0),"")</f>
        <v/>
      </c>
      <c r="N458">
        <f>IFERROR(MATCH($C$5&amp;"|"&amp;RIGHT("000000"&amp;442,6),LdCKeyM,0),"")</f>
        <v/>
      </c>
    </row>
    <row r="459">
      <c r="A459" s="10" t="n">
        <v>443</v>
      </c>
      <c r="B459" s="14">
        <f>IF(AND($L459="",$M459="",$N459=""),"",IF($L459&lt;&gt;"",INDEX(LdADate,$L459),IF($M459&lt;&gt;"",INDEX(LdBDate,$M459),INDEX(LdCDate,$N459))))</f>
        <v/>
      </c>
      <c r="C459" s="14">
        <f>IF($L459&lt;&gt;"","دستمزد (فردی)",IF($M459&lt;&gt;"","سهم از گروه "&amp;IFERROR(VLOOKUP(INDEX(LdBGroup,$M459),WGTbl,2,0),INDEX(LdBGroup,$M459)),IF($N459&lt;&gt;"",IF(N(INDEX(LdCDep,$N459))&gt;0,"بازگشت بانکی","پرداخت بانکی"),"")))</f>
        <v/>
      </c>
      <c r="D459" s="14">
        <f>IF($L459&lt;&gt;"",IF(INDEX(LdAId,$L459)="","—",INDEX(LdAId,$L459)),IF($M459&lt;&gt;"",IF(INDEX(LdBId,$M459)="","—",INDEX(LdBId,$M459)),IF($N459&lt;&gt;"",IF(INDEX(LdCBank,$N459)="","—",INDEX(LdCBank,$N459)),"")))</f>
        <v/>
      </c>
      <c r="E459" s="16">
        <f>IF($L459&lt;&gt;"",IF(INDEX(LdAAmt,$L459)=0,"",INDEX(LdAAmt,$L459)),IF($M459&lt;&gt;"",IF(INDEX(LdBAmt,$M459)=0,"",INDEX(LdBAmt,$M459)),IF($N459&lt;&gt;"",IF(INDEX(LdCDep,$N459)=0,"",INDEX(LdCDep,$N459)),"")))</f>
        <v/>
      </c>
      <c r="F459" s="16">
        <f>IF(AND($L459="",$M459="",$N459=""),"",IF($N459="","",IF(INDEX(LdCWit,$N459)=0,"",INDEX(LdCWit,$N459))))</f>
        <v/>
      </c>
      <c r="G459" s="29">
        <f>IF($B459="","",IF($G458="",0,$G458)+IF($E459="",0,$E459)-IF($F459="",0,$F459))</f>
        <v/>
      </c>
      <c r="H459" s="30">
        <f>IF(AND($L459="",$M459="",$N459=""),"",IF($L459&lt;&gt;"",IF(INDEX(LdANote,$L459)="","—",INDEX(LdANote,$L459)),IF($M459&lt;&gt;"",IF(INDEX(LdBNote,$M459)="","—",INDEX(LdBNote,$M459)),IF($N459&lt;&gt;"",IF(INDEX(LdCNote,$N459)="","—",INDEX(LdCNote,$N459)),""))))</f>
        <v/>
      </c>
      <c r="L459">
        <f>IFERROR(MATCH($C$5&amp;"|"&amp;RIGHT("000000"&amp;443,6),LdAKeyM,0),"")</f>
        <v/>
      </c>
      <c r="M459">
        <f>IFERROR(MATCH($C$5&amp;"|"&amp;RIGHT("000000"&amp;443,6),LdBKeyM,0),"")</f>
        <v/>
      </c>
      <c r="N459">
        <f>IFERROR(MATCH($C$5&amp;"|"&amp;RIGHT("000000"&amp;443,6),LdCKeyM,0),"")</f>
        <v/>
      </c>
    </row>
    <row r="460">
      <c r="A460" s="19" t="n">
        <v>444</v>
      </c>
      <c r="B460" s="20">
        <f>IF(AND($L460="",$M460="",$N460=""),"",IF($L460&lt;&gt;"",INDEX(LdADate,$L460),IF($M460&lt;&gt;"",INDEX(LdBDate,$M460),INDEX(LdCDate,$N460))))</f>
        <v/>
      </c>
      <c r="C460" s="20">
        <f>IF($L460&lt;&gt;"","دستمزد (فردی)",IF($M460&lt;&gt;"","سهم از گروه "&amp;IFERROR(VLOOKUP(INDEX(LdBGroup,$M460),WGTbl,2,0),INDEX(LdBGroup,$M460)),IF($N460&lt;&gt;"",IF(N(INDEX(LdCDep,$N460))&gt;0,"بازگشت بانکی","پرداخت بانکی"),"")))</f>
        <v/>
      </c>
      <c r="D460" s="20">
        <f>IF($L460&lt;&gt;"",IF(INDEX(LdAId,$L460)="","—",INDEX(LdAId,$L460)),IF($M460&lt;&gt;"",IF(INDEX(LdBId,$M460)="","—",INDEX(LdBId,$M460)),IF($N460&lt;&gt;"",IF(INDEX(LdCBank,$N460)="","—",INDEX(LdCBank,$N460)),"")))</f>
        <v/>
      </c>
      <c r="E460" s="21">
        <f>IF($L460&lt;&gt;"",IF(INDEX(LdAAmt,$L460)=0,"",INDEX(LdAAmt,$L460)),IF($M460&lt;&gt;"",IF(INDEX(LdBAmt,$M460)=0,"",INDEX(LdBAmt,$M460)),IF($N460&lt;&gt;"",IF(INDEX(LdCDep,$N460)=0,"",INDEX(LdCDep,$N460)),"")))</f>
        <v/>
      </c>
      <c r="F460" s="21">
        <f>IF(AND($L460="",$M460="",$N460=""),"",IF($N460="","",IF(INDEX(LdCWit,$N460)=0,"",INDEX(LdCWit,$N460))))</f>
        <v/>
      </c>
      <c r="G460" s="31">
        <f>IF($B460="","",IF($G459="",0,$G459)+IF($E460="",0,$E460)-IF($F460="",0,$F460))</f>
        <v/>
      </c>
      <c r="H460" s="32">
        <f>IF(AND($L460="",$M460="",$N460=""),"",IF($L460&lt;&gt;"",IF(INDEX(LdANote,$L460)="","—",INDEX(LdANote,$L460)),IF($M460&lt;&gt;"",IF(INDEX(LdBNote,$M460)="","—",INDEX(LdBNote,$M460)),IF($N460&lt;&gt;"",IF(INDEX(LdCNote,$N460)="","—",INDEX(LdCNote,$N460)),""))))</f>
        <v/>
      </c>
      <c r="L460">
        <f>IFERROR(MATCH($C$5&amp;"|"&amp;RIGHT("000000"&amp;444,6),LdAKeyM,0),"")</f>
        <v/>
      </c>
      <c r="M460">
        <f>IFERROR(MATCH($C$5&amp;"|"&amp;RIGHT("000000"&amp;444,6),LdBKeyM,0),"")</f>
        <v/>
      </c>
      <c r="N460">
        <f>IFERROR(MATCH($C$5&amp;"|"&amp;RIGHT("000000"&amp;444,6),LdCKeyM,0),"")</f>
        <v/>
      </c>
    </row>
    <row r="461">
      <c r="A461" s="10" t="n">
        <v>445</v>
      </c>
      <c r="B461" s="14">
        <f>IF(AND($L461="",$M461="",$N461=""),"",IF($L461&lt;&gt;"",INDEX(LdADate,$L461),IF($M461&lt;&gt;"",INDEX(LdBDate,$M461),INDEX(LdCDate,$N461))))</f>
        <v/>
      </c>
      <c r="C461" s="14">
        <f>IF($L461&lt;&gt;"","دستمزد (فردی)",IF($M461&lt;&gt;"","سهم از گروه "&amp;IFERROR(VLOOKUP(INDEX(LdBGroup,$M461),WGTbl,2,0),INDEX(LdBGroup,$M461)),IF($N461&lt;&gt;"",IF(N(INDEX(LdCDep,$N461))&gt;0,"بازگشت بانکی","پرداخت بانکی"),"")))</f>
        <v/>
      </c>
      <c r="D461" s="14">
        <f>IF($L461&lt;&gt;"",IF(INDEX(LdAId,$L461)="","—",INDEX(LdAId,$L461)),IF($M461&lt;&gt;"",IF(INDEX(LdBId,$M461)="","—",INDEX(LdBId,$M461)),IF($N461&lt;&gt;"",IF(INDEX(LdCBank,$N461)="","—",INDEX(LdCBank,$N461)),"")))</f>
        <v/>
      </c>
      <c r="E461" s="16">
        <f>IF($L461&lt;&gt;"",IF(INDEX(LdAAmt,$L461)=0,"",INDEX(LdAAmt,$L461)),IF($M461&lt;&gt;"",IF(INDEX(LdBAmt,$M461)=0,"",INDEX(LdBAmt,$M461)),IF($N461&lt;&gt;"",IF(INDEX(LdCDep,$N461)=0,"",INDEX(LdCDep,$N461)),"")))</f>
        <v/>
      </c>
      <c r="F461" s="16">
        <f>IF(AND($L461="",$M461="",$N461=""),"",IF($N461="","",IF(INDEX(LdCWit,$N461)=0,"",INDEX(LdCWit,$N461))))</f>
        <v/>
      </c>
      <c r="G461" s="29">
        <f>IF($B461="","",IF($G460="",0,$G460)+IF($E461="",0,$E461)-IF($F461="",0,$F461))</f>
        <v/>
      </c>
      <c r="H461" s="30">
        <f>IF(AND($L461="",$M461="",$N461=""),"",IF($L461&lt;&gt;"",IF(INDEX(LdANote,$L461)="","—",INDEX(LdANote,$L461)),IF($M461&lt;&gt;"",IF(INDEX(LdBNote,$M461)="","—",INDEX(LdBNote,$M461)),IF($N461&lt;&gt;"",IF(INDEX(LdCNote,$N461)="","—",INDEX(LdCNote,$N461)),""))))</f>
        <v/>
      </c>
      <c r="L461">
        <f>IFERROR(MATCH($C$5&amp;"|"&amp;RIGHT("000000"&amp;445,6),LdAKeyM,0),"")</f>
        <v/>
      </c>
      <c r="M461">
        <f>IFERROR(MATCH($C$5&amp;"|"&amp;RIGHT("000000"&amp;445,6),LdBKeyM,0),"")</f>
        <v/>
      </c>
      <c r="N461">
        <f>IFERROR(MATCH($C$5&amp;"|"&amp;RIGHT("000000"&amp;445,6),LdCKeyM,0),"")</f>
        <v/>
      </c>
    </row>
    <row r="462">
      <c r="A462" s="19" t="n">
        <v>446</v>
      </c>
      <c r="B462" s="20">
        <f>IF(AND($L462="",$M462="",$N462=""),"",IF($L462&lt;&gt;"",INDEX(LdADate,$L462),IF($M462&lt;&gt;"",INDEX(LdBDate,$M462),INDEX(LdCDate,$N462))))</f>
        <v/>
      </c>
      <c r="C462" s="20">
        <f>IF($L462&lt;&gt;"","دستمزد (فردی)",IF($M462&lt;&gt;"","سهم از گروه "&amp;IFERROR(VLOOKUP(INDEX(LdBGroup,$M462),WGTbl,2,0),INDEX(LdBGroup,$M462)),IF($N462&lt;&gt;"",IF(N(INDEX(LdCDep,$N462))&gt;0,"بازگشت بانکی","پرداخت بانکی"),"")))</f>
        <v/>
      </c>
      <c r="D462" s="20">
        <f>IF($L462&lt;&gt;"",IF(INDEX(LdAId,$L462)="","—",INDEX(LdAId,$L462)),IF($M462&lt;&gt;"",IF(INDEX(LdBId,$M462)="","—",INDEX(LdBId,$M462)),IF($N462&lt;&gt;"",IF(INDEX(LdCBank,$N462)="","—",INDEX(LdCBank,$N462)),"")))</f>
        <v/>
      </c>
      <c r="E462" s="21">
        <f>IF($L462&lt;&gt;"",IF(INDEX(LdAAmt,$L462)=0,"",INDEX(LdAAmt,$L462)),IF($M462&lt;&gt;"",IF(INDEX(LdBAmt,$M462)=0,"",INDEX(LdBAmt,$M462)),IF($N462&lt;&gt;"",IF(INDEX(LdCDep,$N462)=0,"",INDEX(LdCDep,$N462)),"")))</f>
        <v/>
      </c>
      <c r="F462" s="21">
        <f>IF(AND($L462="",$M462="",$N462=""),"",IF($N462="","",IF(INDEX(LdCWit,$N462)=0,"",INDEX(LdCWit,$N462))))</f>
        <v/>
      </c>
      <c r="G462" s="31">
        <f>IF($B462="","",IF($G461="",0,$G461)+IF($E462="",0,$E462)-IF($F462="",0,$F462))</f>
        <v/>
      </c>
      <c r="H462" s="32">
        <f>IF(AND($L462="",$M462="",$N462=""),"",IF($L462&lt;&gt;"",IF(INDEX(LdANote,$L462)="","—",INDEX(LdANote,$L462)),IF($M462&lt;&gt;"",IF(INDEX(LdBNote,$M462)="","—",INDEX(LdBNote,$M462)),IF($N462&lt;&gt;"",IF(INDEX(LdCNote,$N462)="","—",INDEX(LdCNote,$N462)),""))))</f>
        <v/>
      </c>
      <c r="L462">
        <f>IFERROR(MATCH($C$5&amp;"|"&amp;RIGHT("000000"&amp;446,6),LdAKeyM,0),"")</f>
        <v/>
      </c>
      <c r="M462">
        <f>IFERROR(MATCH($C$5&amp;"|"&amp;RIGHT("000000"&amp;446,6),LdBKeyM,0),"")</f>
        <v/>
      </c>
      <c r="N462">
        <f>IFERROR(MATCH($C$5&amp;"|"&amp;RIGHT("000000"&amp;446,6),LdCKeyM,0),"")</f>
        <v/>
      </c>
    </row>
    <row r="463">
      <c r="A463" s="10" t="n">
        <v>447</v>
      </c>
      <c r="B463" s="14">
        <f>IF(AND($L463="",$M463="",$N463=""),"",IF($L463&lt;&gt;"",INDEX(LdADate,$L463),IF($M463&lt;&gt;"",INDEX(LdBDate,$M463),INDEX(LdCDate,$N463))))</f>
        <v/>
      </c>
      <c r="C463" s="14">
        <f>IF($L463&lt;&gt;"","دستمزد (فردی)",IF($M463&lt;&gt;"","سهم از گروه "&amp;IFERROR(VLOOKUP(INDEX(LdBGroup,$M463),WGTbl,2,0),INDEX(LdBGroup,$M463)),IF($N463&lt;&gt;"",IF(N(INDEX(LdCDep,$N463))&gt;0,"بازگشت بانکی","پرداخت بانکی"),"")))</f>
        <v/>
      </c>
      <c r="D463" s="14">
        <f>IF($L463&lt;&gt;"",IF(INDEX(LdAId,$L463)="","—",INDEX(LdAId,$L463)),IF($M463&lt;&gt;"",IF(INDEX(LdBId,$M463)="","—",INDEX(LdBId,$M463)),IF($N463&lt;&gt;"",IF(INDEX(LdCBank,$N463)="","—",INDEX(LdCBank,$N463)),"")))</f>
        <v/>
      </c>
      <c r="E463" s="16">
        <f>IF($L463&lt;&gt;"",IF(INDEX(LdAAmt,$L463)=0,"",INDEX(LdAAmt,$L463)),IF($M463&lt;&gt;"",IF(INDEX(LdBAmt,$M463)=0,"",INDEX(LdBAmt,$M463)),IF($N463&lt;&gt;"",IF(INDEX(LdCDep,$N463)=0,"",INDEX(LdCDep,$N463)),"")))</f>
        <v/>
      </c>
      <c r="F463" s="16">
        <f>IF(AND($L463="",$M463="",$N463=""),"",IF($N463="","",IF(INDEX(LdCWit,$N463)=0,"",INDEX(LdCWit,$N463))))</f>
        <v/>
      </c>
      <c r="G463" s="29">
        <f>IF($B463="","",IF($G462="",0,$G462)+IF($E463="",0,$E463)-IF($F463="",0,$F463))</f>
        <v/>
      </c>
      <c r="H463" s="30">
        <f>IF(AND($L463="",$M463="",$N463=""),"",IF($L463&lt;&gt;"",IF(INDEX(LdANote,$L463)="","—",INDEX(LdANote,$L463)),IF($M463&lt;&gt;"",IF(INDEX(LdBNote,$M463)="","—",INDEX(LdBNote,$M463)),IF($N463&lt;&gt;"",IF(INDEX(LdCNote,$N463)="","—",INDEX(LdCNote,$N463)),""))))</f>
        <v/>
      </c>
      <c r="L463">
        <f>IFERROR(MATCH($C$5&amp;"|"&amp;RIGHT("000000"&amp;447,6),LdAKeyM,0),"")</f>
        <v/>
      </c>
      <c r="M463">
        <f>IFERROR(MATCH($C$5&amp;"|"&amp;RIGHT("000000"&amp;447,6),LdBKeyM,0),"")</f>
        <v/>
      </c>
      <c r="N463">
        <f>IFERROR(MATCH($C$5&amp;"|"&amp;RIGHT("000000"&amp;447,6),LdCKeyM,0),"")</f>
        <v/>
      </c>
    </row>
    <row r="464">
      <c r="A464" s="19" t="n">
        <v>448</v>
      </c>
      <c r="B464" s="20">
        <f>IF(AND($L464="",$M464="",$N464=""),"",IF($L464&lt;&gt;"",INDEX(LdADate,$L464),IF($M464&lt;&gt;"",INDEX(LdBDate,$M464),INDEX(LdCDate,$N464))))</f>
        <v/>
      </c>
      <c r="C464" s="20">
        <f>IF($L464&lt;&gt;"","دستمزد (فردی)",IF($M464&lt;&gt;"","سهم از گروه "&amp;IFERROR(VLOOKUP(INDEX(LdBGroup,$M464),WGTbl,2,0),INDEX(LdBGroup,$M464)),IF($N464&lt;&gt;"",IF(N(INDEX(LdCDep,$N464))&gt;0,"بازگشت بانکی","پرداخت بانکی"),"")))</f>
        <v/>
      </c>
      <c r="D464" s="20">
        <f>IF($L464&lt;&gt;"",IF(INDEX(LdAId,$L464)="","—",INDEX(LdAId,$L464)),IF($M464&lt;&gt;"",IF(INDEX(LdBId,$M464)="","—",INDEX(LdBId,$M464)),IF($N464&lt;&gt;"",IF(INDEX(LdCBank,$N464)="","—",INDEX(LdCBank,$N464)),"")))</f>
        <v/>
      </c>
      <c r="E464" s="21">
        <f>IF($L464&lt;&gt;"",IF(INDEX(LdAAmt,$L464)=0,"",INDEX(LdAAmt,$L464)),IF($M464&lt;&gt;"",IF(INDEX(LdBAmt,$M464)=0,"",INDEX(LdBAmt,$M464)),IF($N464&lt;&gt;"",IF(INDEX(LdCDep,$N464)=0,"",INDEX(LdCDep,$N464)),"")))</f>
        <v/>
      </c>
      <c r="F464" s="21">
        <f>IF(AND($L464="",$M464="",$N464=""),"",IF($N464="","",IF(INDEX(LdCWit,$N464)=0,"",INDEX(LdCWit,$N464))))</f>
        <v/>
      </c>
      <c r="G464" s="31">
        <f>IF($B464="","",IF($G463="",0,$G463)+IF($E464="",0,$E464)-IF($F464="",0,$F464))</f>
        <v/>
      </c>
      <c r="H464" s="32">
        <f>IF(AND($L464="",$M464="",$N464=""),"",IF($L464&lt;&gt;"",IF(INDEX(LdANote,$L464)="","—",INDEX(LdANote,$L464)),IF($M464&lt;&gt;"",IF(INDEX(LdBNote,$M464)="","—",INDEX(LdBNote,$M464)),IF($N464&lt;&gt;"",IF(INDEX(LdCNote,$N464)="","—",INDEX(LdCNote,$N464)),""))))</f>
        <v/>
      </c>
      <c r="L464">
        <f>IFERROR(MATCH($C$5&amp;"|"&amp;RIGHT("000000"&amp;448,6),LdAKeyM,0),"")</f>
        <v/>
      </c>
      <c r="M464">
        <f>IFERROR(MATCH($C$5&amp;"|"&amp;RIGHT("000000"&amp;448,6),LdBKeyM,0),"")</f>
        <v/>
      </c>
      <c r="N464">
        <f>IFERROR(MATCH($C$5&amp;"|"&amp;RIGHT("000000"&amp;448,6),LdCKeyM,0),"")</f>
        <v/>
      </c>
    </row>
    <row r="465">
      <c r="A465" s="10" t="n">
        <v>449</v>
      </c>
      <c r="B465" s="14">
        <f>IF(AND($L465="",$M465="",$N465=""),"",IF($L465&lt;&gt;"",INDEX(LdADate,$L465),IF($M465&lt;&gt;"",INDEX(LdBDate,$M465),INDEX(LdCDate,$N465))))</f>
        <v/>
      </c>
      <c r="C465" s="14">
        <f>IF($L465&lt;&gt;"","دستمزد (فردی)",IF($M465&lt;&gt;"","سهم از گروه "&amp;IFERROR(VLOOKUP(INDEX(LdBGroup,$M465),WGTbl,2,0),INDEX(LdBGroup,$M465)),IF($N465&lt;&gt;"",IF(N(INDEX(LdCDep,$N465))&gt;0,"بازگشت بانکی","پرداخت بانکی"),"")))</f>
        <v/>
      </c>
      <c r="D465" s="14">
        <f>IF($L465&lt;&gt;"",IF(INDEX(LdAId,$L465)="","—",INDEX(LdAId,$L465)),IF($M465&lt;&gt;"",IF(INDEX(LdBId,$M465)="","—",INDEX(LdBId,$M465)),IF($N465&lt;&gt;"",IF(INDEX(LdCBank,$N465)="","—",INDEX(LdCBank,$N465)),"")))</f>
        <v/>
      </c>
      <c r="E465" s="16">
        <f>IF($L465&lt;&gt;"",IF(INDEX(LdAAmt,$L465)=0,"",INDEX(LdAAmt,$L465)),IF($M465&lt;&gt;"",IF(INDEX(LdBAmt,$M465)=0,"",INDEX(LdBAmt,$M465)),IF($N465&lt;&gt;"",IF(INDEX(LdCDep,$N465)=0,"",INDEX(LdCDep,$N465)),"")))</f>
        <v/>
      </c>
      <c r="F465" s="16">
        <f>IF(AND($L465="",$M465="",$N465=""),"",IF($N465="","",IF(INDEX(LdCWit,$N465)=0,"",INDEX(LdCWit,$N465))))</f>
        <v/>
      </c>
      <c r="G465" s="29">
        <f>IF($B465="","",IF($G464="",0,$G464)+IF($E465="",0,$E465)-IF($F465="",0,$F465))</f>
        <v/>
      </c>
      <c r="H465" s="30">
        <f>IF(AND($L465="",$M465="",$N465=""),"",IF($L465&lt;&gt;"",IF(INDEX(LdANote,$L465)="","—",INDEX(LdANote,$L465)),IF($M465&lt;&gt;"",IF(INDEX(LdBNote,$M465)="","—",INDEX(LdBNote,$M465)),IF($N465&lt;&gt;"",IF(INDEX(LdCNote,$N465)="","—",INDEX(LdCNote,$N465)),""))))</f>
        <v/>
      </c>
      <c r="L465">
        <f>IFERROR(MATCH($C$5&amp;"|"&amp;RIGHT("000000"&amp;449,6),LdAKeyM,0),"")</f>
        <v/>
      </c>
      <c r="M465">
        <f>IFERROR(MATCH($C$5&amp;"|"&amp;RIGHT("000000"&amp;449,6),LdBKeyM,0),"")</f>
        <v/>
      </c>
      <c r="N465">
        <f>IFERROR(MATCH($C$5&amp;"|"&amp;RIGHT("000000"&amp;449,6),LdCKeyM,0),"")</f>
        <v/>
      </c>
    </row>
    <row r="466">
      <c r="A466" s="19" t="n">
        <v>450</v>
      </c>
      <c r="B466" s="20">
        <f>IF(AND($L466="",$M466="",$N466=""),"",IF($L466&lt;&gt;"",INDEX(LdADate,$L466),IF($M466&lt;&gt;"",INDEX(LdBDate,$M466),INDEX(LdCDate,$N466))))</f>
        <v/>
      </c>
      <c r="C466" s="20">
        <f>IF($L466&lt;&gt;"","دستمزد (فردی)",IF($M466&lt;&gt;"","سهم از گروه "&amp;IFERROR(VLOOKUP(INDEX(LdBGroup,$M466),WGTbl,2,0),INDEX(LdBGroup,$M466)),IF($N466&lt;&gt;"",IF(N(INDEX(LdCDep,$N466))&gt;0,"بازگشت بانکی","پرداخت بانکی"),"")))</f>
        <v/>
      </c>
      <c r="D466" s="20">
        <f>IF($L466&lt;&gt;"",IF(INDEX(LdAId,$L466)="","—",INDEX(LdAId,$L466)),IF($M466&lt;&gt;"",IF(INDEX(LdBId,$M466)="","—",INDEX(LdBId,$M466)),IF($N466&lt;&gt;"",IF(INDEX(LdCBank,$N466)="","—",INDEX(LdCBank,$N466)),"")))</f>
        <v/>
      </c>
      <c r="E466" s="21">
        <f>IF($L466&lt;&gt;"",IF(INDEX(LdAAmt,$L466)=0,"",INDEX(LdAAmt,$L466)),IF($M466&lt;&gt;"",IF(INDEX(LdBAmt,$M466)=0,"",INDEX(LdBAmt,$M466)),IF($N466&lt;&gt;"",IF(INDEX(LdCDep,$N466)=0,"",INDEX(LdCDep,$N466)),"")))</f>
        <v/>
      </c>
      <c r="F466" s="21">
        <f>IF(AND($L466="",$M466="",$N466=""),"",IF($N466="","",IF(INDEX(LdCWit,$N466)=0,"",INDEX(LdCWit,$N466))))</f>
        <v/>
      </c>
      <c r="G466" s="31">
        <f>IF($B466="","",IF($G465="",0,$G465)+IF($E466="",0,$E466)-IF($F466="",0,$F466))</f>
        <v/>
      </c>
      <c r="H466" s="32">
        <f>IF(AND($L466="",$M466="",$N466=""),"",IF($L466&lt;&gt;"",IF(INDEX(LdANote,$L466)="","—",INDEX(LdANote,$L466)),IF($M466&lt;&gt;"",IF(INDEX(LdBNote,$M466)="","—",INDEX(LdBNote,$M466)),IF($N466&lt;&gt;"",IF(INDEX(LdCNote,$N466)="","—",INDEX(LdCNote,$N466)),""))))</f>
        <v/>
      </c>
      <c r="L466">
        <f>IFERROR(MATCH($C$5&amp;"|"&amp;RIGHT("000000"&amp;450,6),LdAKeyM,0),"")</f>
        <v/>
      </c>
      <c r="M466">
        <f>IFERROR(MATCH($C$5&amp;"|"&amp;RIGHT("000000"&amp;450,6),LdBKeyM,0),"")</f>
        <v/>
      </c>
      <c r="N466">
        <f>IFERROR(MATCH($C$5&amp;"|"&amp;RIGHT("000000"&amp;450,6),LdCKeyM,0),"")</f>
        <v/>
      </c>
    </row>
    <row r="467">
      <c r="A467" s="10" t="n">
        <v>451</v>
      </c>
      <c r="B467" s="14">
        <f>IF(AND($L467="",$M467="",$N467=""),"",IF($L467&lt;&gt;"",INDEX(LdADate,$L467),IF($M467&lt;&gt;"",INDEX(LdBDate,$M467),INDEX(LdCDate,$N467))))</f>
        <v/>
      </c>
      <c r="C467" s="14">
        <f>IF($L467&lt;&gt;"","دستمزد (فردی)",IF($M467&lt;&gt;"","سهم از گروه "&amp;IFERROR(VLOOKUP(INDEX(LdBGroup,$M467),WGTbl,2,0),INDEX(LdBGroup,$M467)),IF($N467&lt;&gt;"",IF(N(INDEX(LdCDep,$N467))&gt;0,"بازگشت بانکی","پرداخت بانکی"),"")))</f>
        <v/>
      </c>
      <c r="D467" s="14">
        <f>IF($L467&lt;&gt;"",IF(INDEX(LdAId,$L467)="","—",INDEX(LdAId,$L467)),IF($M467&lt;&gt;"",IF(INDEX(LdBId,$M467)="","—",INDEX(LdBId,$M467)),IF($N467&lt;&gt;"",IF(INDEX(LdCBank,$N467)="","—",INDEX(LdCBank,$N467)),"")))</f>
        <v/>
      </c>
      <c r="E467" s="16">
        <f>IF($L467&lt;&gt;"",IF(INDEX(LdAAmt,$L467)=0,"",INDEX(LdAAmt,$L467)),IF($M467&lt;&gt;"",IF(INDEX(LdBAmt,$M467)=0,"",INDEX(LdBAmt,$M467)),IF($N467&lt;&gt;"",IF(INDEX(LdCDep,$N467)=0,"",INDEX(LdCDep,$N467)),"")))</f>
        <v/>
      </c>
      <c r="F467" s="16">
        <f>IF(AND($L467="",$M467="",$N467=""),"",IF($N467="","",IF(INDEX(LdCWit,$N467)=0,"",INDEX(LdCWit,$N467))))</f>
        <v/>
      </c>
      <c r="G467" s="29">
        <f>IF($B467="","",IF($G466="",0,$G466)+IF($E467="",0,$E467)-IF($F467="",0,$F467))</f>
        <v/>
      </c>
      <c r="H467" s="30">
        <f>IF(AND($L467="",$M467="",$N467=""),"",IF($L467&lt;&gt;"",IF(INDEX(LdANote,$L467)="","—",INDEX(LdANote,$L467)),IF($M467&lt;&gt;"",IF(INDEX(LdBNote,$M467)="","—",INDEX(LdBNote,$M467)),IF($N467&lt;&gt;"",IF(INDEX(LdCNote,$N467)="","—",INDEX(LdCNote,$N467)),""))))</f>
        <v/>
      </c>
      <c r="L467">
        <f>IFERROR(MATCH($C$5&amp;"|"&amp;RIGHT("000000"&amp;451,6),LdAKeyM,0),"")</f>
        <v/>
      </c>
      <c r="M467">
        <f>IFERROR(MATCH($C$5&amp;"|"&amp;RIGHT("000000"&amp;451,6),LdBKeyM,0),"")</f>
        <v/>
      </c>
      <c r="N467">
        <f>IFERROR(MATCH($C$5&amp;"|"&amp;RIGHT("000000"&amp;451,6),LdCKeyM,0),"")</f>
        <v/>
      </c>
    </row>
    <row r="468">
      <c r="A468" s="19" t="n">
        <v>452</v>
      </c>
      <c r="B468" s="20">
        <f>IF(AND($L468="",$M468="",$N468=""),"",IF($L468&lt;&gt;"",INDEX(LdADate,$L468),IF($M468&lt;&gt;"",INDEX(LdBDate,$M468),INDEX(LdCDate,$N468))))</f>
        <v/>
      </c>
      <c r="C468" s="20">
        <f>IF($L468&lt;&gt;"","دستمزد (فردی)",IF($M468&lt;&gt;"","سهم از گروه "&amp;IFERROR(VLOOKUP(INDEX(LdBGroup,$M468),WGTbl,2,0),INDEX(LdBGroup,$M468)),IF($N468&lt;&gt;"",IF(N(INDEX(LdCDep,$N468))&gt;0,"بازگشت بانکی","پرداخت بانکی"),"")))</f>
        <v/>
      </c>
      <c r="D468" s="20">
        <f>IF($L468&lt;&gt;"",IF(INDEX(LdAId,$L468)="","—",INDEX(LdAId,$L468)),IF($M468&lt;&gt;"",IF(INDEX(LdBId,$M468)="","—",INDEX(LdBId,$M468)),IF($N468&lt;&gt;"",IF(INDEX(LdCBank,$N468)="","—",INDEX(LdCBank,$N468)),"")))</f>
        <v/>
      </c>
      <c r="E468" s="21">
        <f>IF($L468&lt;&gt;"",IF(INDEX(LdAAmt,$L468)=0,"",INDEX(LdAAmt,$L468)),IF($M468&lt;&gt;"",IF(INDEX(LdBAmt,$M468)=0,"",INDEX(LdBAmt,$M468)),IF($N468&lt;&gt;"",IF(INDEX(LdCDep,$N468)=0,"",INDEX(LdCDep,$N468)),"")))</f>
        <v/>
      </c>
      <c r="F468" s="21">
        <f>IF(AND($L468="",$M468="",$N468=""),"",IF($N468="","",IF(INDEX(LdCWit,$N468)=0,"",INDEX(LdCWit,$N468))))</f>
        <v/>
      </c>
      <c r="G468" s="31">
        <f>IF($B468="","",IF($G467="",0,$G467)+IF($E468="",0,$E468)-IF($F468="",0,$F468))</f>
        <v/>
      </c>
      <c r="H468" s="32">
        <f>IF(AND($L468="",$M468="",$N468=""),"",IF($L468&lt;&gt;"",IF(INDEX(LdANote,$L468)="","—",INDEX(LdANote,$L468)),IF($M468&lt;&gt;"",IF(INDEX(LdBNote,$M468)="","—",INDEX(LdBNote,$M468)),IF($N468&lt;&gt;"",IF(INDEX(LdCNote,$N468)="","—",INDEX(LdCNote,$N468)),""))))</f>
        <v/>
      </c>
      <c r="L468">
        <f>IFERROR(MATCH($C$5&amp;"|"&amp;RIGHT("000000"&amp;452,6),LdAKeyM,0),"")</f>
        <v/>
      </c>
      <c r="M468">
        <f>IFERROR(MATCH($C$5&amp;"|"&amp;RIGHT("000000"&amp;452,6),LdBKeyM,0),"")</f>
        <v/>
      </c>
      <c r="N468">
        <f>IFERROR(MATCH($C$5&amp;"|"&amp;RIGHT("000000"&amp;452,6),LdCKeyM,0),"")</f>
        <v/>
      </c>
    </row>
    <row r="469">
      <c r="A469" s="10" t="n">
        <v>453</v>
      </c>
      <c r="B469" s="14">
        <f>IF(AND($L469="",$M469="",$N469=""),"",IF($L469&lt;&gt;"",INDEX(LdADate,$L469),IF($M469&lt;&gt;"",INDEX(LdBDate,$M469),INDEX(LdCDate,$N469))))</f>
        <v/>
      </c>
      <c r="C469" s="14">
        <f>IF($L469&lt;&gt;"","دستمزد (فردی)",IF($M469&lt;&gt;"","سهم از گروه "&amp;IFERROR(VLOOKUP(INDEX(LdBGroup,$M469),WGTbl,2,0),INDEX(LdBGroup,$M469)),IF($N469&lt;&gt;"",IF(N(INDEX(LdCDep,$N469))&gt;0,"بازگشت بانکی","پرداخت بانکی"),"")))</f>
        <v/>
      </c>
      <c r="D469" s="14">
        <f>IF($L469&lt;&gt;"",IF(INDEX(LdAId,$L469)="","—",INDEX(LdAId,$L469)),IF($M469&lt;&gt;"",IF(INDEX(LdBId,$M469)="","—",INDEX(LdBId,$M469)),IF($N469&lt;&gt;"",IF(INDEX(LdCBank,$N469)="","—",INDEX(LdCBank,$N469)),"")))</f>
        <v/>
      </c>
      <c r="E469" s="16">
        <f>IF($L469&lt;&gt;"",IF(INDEX(LdAAmt,$L469)=0,"",INDEX(LdAAmt,$L469)),IF($M469&lt;&gt;"",IF(INDEX(LdBAmt,$M469)=0,"",INDEX(LdBAmt,$M469)),IF($N469&lt;&gt;"",IF(INDEX(LdCDep,$N469)=0,"",INDEX(LdCDep,$N469)),"")))</f>
        <v/>
      </c>
      <c r="F469" s="16">
        <f>IF(AND($L469="",$M469="",$N469=""),"",IF($N469="","",IF(INDEX(LdCWit,$N469)=0,"",INDEX(LdCWit,$N469))))</f>
        <v/>
      </c>
      <c r="G469" s="29">
        <f>IF($B469="","",IF($G468="",0,$G468)+IF($E469="",0,$E469)-IF($F469="",0,$F469))</f>
        <v/>
      </c>
      <c r="H469" s="30">
        <f>IF(AND($L469="",$M469="",$N469=""),"",IF($L469&lt;&gt;"",IF(INDEX(LdANote,$L469)="","—",INDEX(LdANote,$L469)),IF($M469&lt;&gt;"",IF(INDEX(LdBNote,$M469)="","—",INDEX(LdBNote,$M469)),IF($N469&lt;&gt;"",IF(INDEX(LdCNote,$N469)="","—",INDEX(LdCNote,$N469)),""))))</f>
        <v/>
      </c>
      <c r="L469">
        <f>IFERROR(MATCH($C$5&amp;"|"&amp;RIGHT("000000"&amp;453,6),LdAKeyM,0),"")</f>
        <v/>
      </c>
      <c r="M469">
        <f>IFERROR(MATCH($C$5&amp;"|"&amp;RIGHT("000000"&amp;453,6),LdBKeyM,0),"")</f>
        <v/>
      </c>
      <c r="N469">
        <f>IFERROR(MATCH($C$5&amp;"|"&amp;RIGHT("000000"&amp;453,6),LdCKeyM,0),"")</f>
        <v/>
      </c>
    </row>
    <row r="470">
      <c r="A470" s="19" t="n">
        <v>454</v>
      </c>
      <c r="B470" s="20">
        <f>IF(AND($L470="",$M470="",$N470=""),"",IF($L470&lt;&gt;"",INDEX(LdADate,$L470),IF($M470&lt;&gt;"",INDEX(LdBDate,$M470),INDEX(LdCDate,$N470))))</f>
        <v/>
      </c>
      <c r="C470" s="20">
        <f>IF($L470&lt;&gt;"","دستمزد (فردی)",IF($M470&lt;&gt;"","سهم از گروه "&amp;IFERROR(VLOOKUP(INDEX(LdBGroup,$M470),WGTbl,2,0),INDEX(LdBGroup,$M470)),IF($N470&lt;&gt;"",IF(N(INDEX(LdCDep,$N470))&gt;0,"بازگشت بانکی","پرداخت بانکی"),"")))</f>
        <v/>
      </c>
      <c r="D470" s="20">
        <f>IF($L470&lt;&gt;"",IF(INDEX(LdAId,$L470)="","—",INDEX(LdAId,$L470)),IF($M470&lt;&gt;"",IF(INDEX(LdBId,$M470)="","—",INDEX(LdBId,$M470)),IF($N470&lt;&gt;"",IF(INDEX(LdCBank,$N470)="","—",INDEX(LdCBank,$N470)),"")))</f>
        <v/>
      </c>
      <c r="E470" s="21">
        <f>IF($L470&lt;&gt;"",IF(INDEX(LdAAmt,$L470)=0,"",INDEX(LdAAmt,$L470)),IF($M470&lt;&gt;"",IF(INDEX(LdBAmt,$M470)=0,"",INDEX(LdBAmt,$M470)),IF($N470&lt;&gt;"",IF(INDEX(LdCDep,$N470)=0,"",INDEX(LdCDep,$N470)),"")))</f>
        <v/>
      </c>
      <c r="F470" s="21">
        <f>IF(AND($L470="",$M470="",$N470=""),"",IF($N470="","",IF(INDEX(LdCWit,$N470)=0,"",INDEX(LdCWit,$N470))))</f>
        <v/>
      </c>
      <c r="G470" s="31">
        <f>IF($B470="","",IF($G469="",0,$G469)+IF($E470="",0,$E470)-IF($F470="",0,$F470))</f>
        <v/>
      </c>
      <c r="H470" s="32">
        <f>IF(AND($L470="",$M470="",$N470=""),"",IF($L470&lt;&gt;"",IF(INDEX(LdANote,$L470)="","—",INDEX(LdANote,$L470)),IF($M470&lt;&gt;"",IF(INDEX(LdBNote,$M470)="","—",INDEX(LdBNote,$M470)),IF($N470&lt;&gt;"",IF(INDEX(LdCNote,$N470)="","—",INDEX(LdCNote,$N470)),""))))</f>
        <v/>
      </c>
      <c r="L470">
        <f>IFERROR(MATCH($C$5&amp;"|"&amp;RIGHT("000000"&amp;454,6),LdAKeyM,0),"")</f>
        <v/>
      </c>
      <c r="M470">
        <f>IFERROR(MATCH($C$5&amp;"|"&amp;RIGHT("000000"&amp;454,6),LdBKeyM,0),"")</f>
        <v/>
      </c>
      <c r="N470">
        <f>IFERROR(MATCH($C$5&amp;"|"&amp;RIGHT("000000"&amp;454,6),LdCKeyM,0),"")</f>
        <v/>
      </c>
    </row>
    <row r="471">
      <c r="A471" s="10" t="n">
        <v>455</v>
      </c>
      <c r="B471" s="14">
        <f>IF(AND($L471="",$M471="",$N471=""),"",IF($L471&lt;&gt;"",INDEX(LdADate,$L471),IF($M471&lt;&gt;"",INDEX(LdBDate,$M471),INDEX(LdCDate,$N471))))</f>
        <v/>
      </c>
      <c r="C471" s="14">
        <f>IF($L471&lt;&gt;"","دستمزد (فردی)",IF($M471&lt;&gt;"","سهم از گروه "&amp;IFERROR(VLOOKUP(INDEX(LdBGroup,$M471),WGTbl,2,0),INDEX(LdBGroup,$M471)),IF($N471&lt;&gt;"",IF(N(INDEX(LdCDep,$N471))&gt;0,"بازگشت بانکی","پرداخت بانکی"),"")))</f>
        <v/>
      </c>
      <c r="D471" s="14">
        <f>IF($L471&lt;&gt;"",IF(INDEX(LdAId,$L471)="","—",INDEX(LdAId,$L471)),IF($M471&lt;&gt;"",IF(INDEX(LdBId,$M471)="","—",INDEX(LdBId,$M471)),IF($N471&lt;&gt;"",IF(INDEX(LdCBank,$N471)="","—",INDEX(LdCBank,$N471)),"")))</f>
        <v/>
      </c>
      <c r="E471" s="16">
        <f>IF($L471&lt;&gt;"",IF(INDEX(LdAAmt,$L471)=0,"",INDEX(LdAAmt,$L471)),IF($M471&lt;&gt;"",IF(INDEX(LdBAmt,$M471)=0,"",INDEX(LdBAmt,$M471)),IF($N471&lt;&gt;"",IF(INDEX(LdCDep,$N471)=0,"",INDEX(LdCDep,$N471)),"")))</f>
        <v/>
      </c>
      <c r="F471" s="16">
        <f>IF(AND($L471="",$M471="",$N471=""),"",IF($N471="","",IF(INDEX(LdCWit,$N471)=0,"",INDEX(LdCWit,$N471))))</f>
        <v/>
      </c>
      <c r="G471" s="29">
        <f>IF($B471="","",IF($G470="",0,$G470)+IF($E471="",0,$E471)-IF($F471="",0,$F471))</f>
        <v/>
      </c>
      <c r="H471" s="30">
        <f>IF(AND($L471="",$M471="",$N471=""),"",IF($L471&lt;&gt;"",IF(INDEX(LdANote,$L471)="","—",INDEX(LdANote,$L471)),IF($M471&lt;&gt;"",IF(INDEX(LdBNote,$M471)="","—",INDEX(LdBNote,$M471)),IF($N471&lt;&gt;"",IF(INDEX(LdCNote,$N471)="","—",INDEX(LdCNote,$N471)),""))))</f>
        <v/>
      </c>
      <c r="L471">
        <f>IFERROR(MATCH($C$5&amp;"|"&amp;RIGHT("000000"&amp;455,6),LdAKeyM,0),"")</f>
        <v/>
      </c>
      <c r="M471">
        <f>IFERROR(MATCH($C$5&amp;"|"&amp;RIGHT("000000"&amp;455,6),LdBKeyM,0),"")</f>
        <v/>
      </c>
      <c r="N471">
        <f>IFERROR(MATCH($C$5&amp;"|"&amp;RIGHT("000000"&amp;455,6),LdCKeyM,0),"")</f>
        <v/>
      </c>
    </row>
    <row r="472">
      <c r="A472" s="19" t="n">
        <v>456</v>
      </c>
      <c r="B472" s="20">
        <f>IF(AND($L472="",$M472="",$N472=""),"",IF($L472&lt;&gt;"",INDEX(LdADate,$L472),IF($M472&lt;&gt;"",INDEX(LdBDate,$M472),INDEX(LdCDate,$N472))))</f>
        <v/>
      </c>
      <c r="C472" s="20">
        <f>IF($L472&lt;&gt;"","دستمزد (فردی)",IF($M472&lt;&gt;"","سهم از گروه "&amp;IFERROR(VLOOKUP(INDEX(LdBGroup,$M472),WGTbl,2,0),INDEX(LdBGroup,$M472)),IF($N472&lt;&gt;"",IF(N(INDEX(LdCDep,$N472))&gt;0,"بازگشت بانکی","پرداخت بانکی"),"")))</f>
        <v/>
      </c>
      <c r="D472" s="20">
        <f>IF($L472&lt;&gt;"",IF(INDEX(LdAId,$L472)="","—",INDEX(LdAId,$L472)),IF($M472&lt;&gt;"",IF(INDEX(LdBId,$M472)="","—",INDEX(LdBId,$M472)),IF($N472&lt;&gt;"",IF(INDEX(LdCBank,$N472)="","—",INDEX(LdCBank,$N472)),"")))</f>
        <v/>
      </c>
      <c r="E472" s="21">
        <f>IF($L472&lt;&gt;"",IF(INDEX(LdAAmt,$L472)=0,"",INDEX(LdAAmt,$L472)),IF($M472&lt;&gt;"",IF(INDEX(LdBAmt,$M472)=0,"",INDEX(LdBAmt,$M472)),IF($N472&lt;&gt;"",IF(INDEX(LdCDep,$N472)=0,"",INDEX(LdCDep,$N472)),"")))</f>
        <v/>
      </c>
      <c r="F472" s="21">
        <f>IF(AND($L472="",$M472="",$N472=""),"",IF($N472="","",IF(INDEX(LdCWit,$N472)=0,"",INDEX(LdCWit,$N472))))</f>
        <v/>
      </c>
      <c r="G472" s="31">
        <f>IF($B472="","",IF($G471="",0,$G471)+IF($E472="",0,$E472)-IF($F472="",0,$F472))</f>
        <v/>
      </c>
      <c r="H472" s="32">
        <f>IF(AND($L472="",$M472="",$N472=""),"",IF($L472&lt;&gt;"",IF(INDEX(LdANote,$L472)="","—",INDEX(LdANote,$L472)),IF($M472&lt;&gt;"",IF(INDEX(LdBNote,$M472)="","—",INDEX(LdBNote,$M472)),IF($N472&lt;&gt;"",IF(INDEX(LdCNote,$N472)="","—",INDEX(LdCNote,$N472)),""))))</f>
        <v/>
      </c>
      <c r="L472">
        <f>IFERROR(MATCH($C$5&amp;"|"&amp;RIGHT("000000"&amp;456,6),LdAKeyM,0),"")</f>
        <v/>
      </c>
      <c r="M472">
        <f>IFERROR(MATCH($C$5&amp;"|"&amp;RIGHT("000000"&amp;456,6),LdBKeyM,0),"")</f>
        <v/>
      </c>
      <c r="N472">
        <f>IFERROR(MATCH($C$5&amp;"|"&amp;RIGHT("000000"&amp;456,6),LdCKeyM,0),"")</f>
        <v/>
      </c>
    </row>
    <row r="473">
      <c r="A473" s="10" t="n">
        <v>457</v>
      </c>
      <c r="B473" s="14">
        <f>IF(AND($L473="",$M473="",$N473=""),"",IF($L473&lt;&gt;"",INDEX(LdADate,$L473),IF($M473&lt;&gt;"",INDEX(LdBDate,$M473),INDEX(LdCDate,$N473))))</f>
        <v/>
      </c>
      <c r="C473" s="14">
        <f>IF($L473&lt;&gt;"","دستمزد (فردی)",IF($M473&lt;&gt;"","سهم از گروه "&amp;IFERROR(VLOOKUP(INDEX(LdBGroup,$M473),WGTbl,2,0),INDEX(LdBGroup,$M473)),IF($N473&lt;&gt;"",IF(N(INDEX(LdCDep,$N473))&gt;0,"بازگشت بانکی","پرداخت بانکی"),"")))</f>
        <v/>
      </c>
      <c r="D473" s="14">
        <f>IF($L473&lt;&gt;"",IF(INDEX(LdAId,$L473)="","—",INDEX(LdAId,$L473)),IF($M473&lt;&gt;"",IF(INDEX(LdBId,$M473)="","—",INDEX(LdBId,$M473)),IF($N473&lt;&gt;"",IF(INDEX(LdCBank,$N473)="","—",INDEX(LdCBank,$N473)),"")))</f>
        <v/>
      </c>
      <c r="E473" s="16">
        <f>IF($L473&lt;&gt;"",IF(INDEX(LdAAmt,$L473)=0,"",INDEX(LdAAmt,$L473)),IF($M473&lt;&gt;"",IF(INDEX(LdBAmt,$M473)=0,"",INDEX(LdBAmt,$M473)),IF($N473&lt;&gt;"",IF(INDEX(LdCDep,$N473)=0,"",INDEX(LdCDep,$N473)),"")))</f>
        <v/>
      </c>
      <c r="F473" s="16">
        <f>IF(AND($L473="",$M473="",$N473=""),"",IF($N473="","",IF(INDEX(LdCWit,$N473)=0,"",INDEX(LdCWit,$N473))))</f>
        <v/>
      </c>
      <c r="G473" s="29">
        <f>IF($B473="","",IF($G472="",0,$G472)+IF($E473="",0,$E473)-IF($F473="",0,$F473))</f>
        <v/>
      </c>
      <c r="H473" s="30">
        <f>IF(AND($L473="",$M473="",$N473=""),"",IF($L473&lt;&gt;"",IF(INDEX(LdANote,$L473)="","—",INDEX(LdANote,$L473)),IF($M473&lt;&gt;"",IF(INDEX(LdBNote,$M473)="","—",INDEX(LdBNote,$M473)),IF($N473&lt;&gt;"",IF(INDEX(LdCNote,$N473)="","—",INDEX(LdCNote,$N473)),""))))</f>
        <v/>
      </c>
      <c r="L473">
        <f>IFERROR(MATCH($C$5&amp;"|"&amp;RIGHT("000000"&amp;457,6),LdAKeyM,0),"")</f>
        <v/>
      </c>
      <c r="M473">
        <f>IFERROR(MATCH($C$5&amp;"|"&amp;RIGHT("000000"&amp;457,6),LdBKeyM,0),"")</f>
        <v/>
      </c>
      <c r="N473">
        <f>IFERROR(MATCH($C$5&amp;"|"&amp;RIGHT("000000"&amp;457,6),LdCKeyM,0),"")</f>
        <v/>
      </c>
    </row>
    <row r="474">
      <c r="A474" s="19" t="n">
        <v>458</v>
      </c>
      <c r="B474" s="20">
        <f>IF(AND($L474="",$M474="",$N474=""),"",IF($L474&lt;&gt;"",INDEX(LdADate,$L474),IF($M474&lt;&gt;"",INDEX(LdBDate,$M474),INDEX(LdCDate,$N474))))</f>
        <v/>
      </c>
      <c r="C474" s="20">
        <f>IF($L474&lt;&gt;"","دستمزد (فردی)",IF($M474&lt;&gt;"","سهم از گروه "&amp;IFERROR(VLOOKUP(INDEX(LdBGroup,$M474),WGTbl,2,0),INDEX(LdBGroup,$M474)),IF($N474&lt;&gt;"",IF(N(INDEX(LdCDep,$N474))&gt;0,"بازگشت بانکی","پرداخت بانکی"),"")))</f>
        <v/>
      </c>
      <c r="D474" s="20">
        <f>IF($L474&lt;&gt;"",IF(INDEX(LdAId,$L474)="","—",INDEX(LdAId,$L474)),IF($M474&lt;&gt;"",IF(INDEX(LdBId,$M474)="","—",INDEX(LdBId,$M474)),IF($N474&lt;&gt;"",IF(INDEX(LdCBank,$N474)="","—",INDEX(LdCBank,$N474)),"")))</f>
        <v/>
      </c>
      <c r="E474" s="21">
        <f>IF($L474&lt;&gt;"",IF(INDEX(LdAAmt,$L474)=0,"",INDEX(LdAAmt,$L474)),IF($M474&lt;&gt;"",IF(INDEX(LdBAmt,$M474)=0,"",INDEX(LdBAmt,$M474)),IF($N474&lt;&gt;"",IF(INDEX(LdCDep,$N474)=0,"",INDEX(LdCDep,$N474)),"")))</f>
        <v/>
      </c>
      <c r="F474" s="21">
        <f>IF(AND($L474="",$M474="",$N474=""),"",IF($N474="","",IF(INDEX(LdCWit,$N474)=0,"",INDEX(LdCWit,$N474))))</f>
        <v/>
      </c>
      <c r="G474" s="31">
        <f>IF($B474="","",IF($G473="",0,$G473)+IF($E474="",0,$E474)-IF($F474="",0,$F474))</f>
        <v/>
      </c>
      <c r="H474" s="32">
        <f>IF(AND($L474="",$M474="",$N474=""),"",IF($L474&lt;&gt;"",IF(INDEX(LdANote,$L474)="","—",INDEX(LdANote,$L474)),IF($M474&lt;&gt;"",IF(INDEX(LdBNote,$M474)="","—",INDEX(LdBNote,$M474)),IF($N474&lt;&gt;"",IF(INDEX(LdCNote,$N474)="","—",INDEX(LdCNote,$N474)),""))))</f>
        <v/>
      </c>
      <c r="L474">
        <f>IFERROR(MATCH($C$5&amp;"|"&amp;RIGHT("000000"&amp;458,6),LdAKeyM,0),"")</f>
        <v/>
      </c>
      <c r="M474">
        <f>IFERROR(MATCH($C$5&amp;"|"&amp;RIGHT("000000"&amp;458,6),LdBKeyM,0),"")</f>
        <v/>
      </c>
      <c r="N474">
        <f>IFERROR(MATCH($C$5&amp;"|"&amp;RIGHT("000000"&amp;458,6),LdCKeyM,0),"")</f>
        <v/>
      </c>
    </row>
    <row r="475">
      <c r="A475" s="10" t="n">
        <v>459</v>
      </c>
      <c r="B475" s="14">
        <f>IF(AND($L475="",$M475="",$N475=""),"",IF($L475&lt;&gt;"",INDEX(LdADate,$L475),IF($M475&lt;&gt;"",INDEX(LdBDate,$M475),INDEX(LdCDate,$N475))))</f>
        <v/>
      </c>
      <c r="C475" s="14">
        <f>IF($L475&lt;&gt;"","دستمزد (فردی)",IF($M475&lt;&gt;"","سهم از گروه "&amp;IFERROR(VLOOKUP(INDEX(LdBGroup,$M475),WGTbl,2,0),INDEX(LdBGroup,$M475)),IF($N475&lt;&gt;"",IF(N(INDEX(LdCDep,$N475))&gt;0,"بازگشت بانکی","پرداخت بانکی"),"")))</f>
        <v/>
      </c>
      <c r="D475" s="14">
        <f>IF($L475&lt;&gt;"",IF(INDEX(LdAId,$L475)="","—",INDEX(LdAId,$L475)),IF($M475&lt;&gt;"",IF(INDEX(LdBId,$M475)="","—",INDEX(LdBId,$M475)),IF($N475&lt;&gt;"",IF(INDEX(LdCBank,$N475)="","—",INDEX(LdCBank,$N475)),"")))</f>
        <v/>
      </c>
      <c r="E475" s="16">
        <f>IF($L475&lt;&gt;"",IF(INDEX(LdAAmt,$L475)=0,"",INDEX(LdAAmt,$L475)),IF($M475&lt;&gt;"",IF(INDEX(LdBAmt,$M475)=0,"",INDEX(LdBAmt,$M475)),IF($N475&lt;&gt;"",IF(INDEX(LdCDep,$N475)=0,"",INDEX(LdCDep,$N475)),"")))</f>
        <v/>
      </c>
      <c r="F475" s="16">
        <f>IF(AND($L475="",$M475="",$N475=""),"",IF($N475="","",IF(INDEX(LdCWit,$N475)=0,"",INDEX(LdCWit,$N475))))</f>
        <v/>
      </c>
      <c r="G475" s="29">
        <f>IF($B475="","",IF($G474="",0,$G474)+IF($E475="",0,$E475)-IF($F475="",0,$F475))</f>
        <v/>
      </c>
      <c r="H475" s="30">
        <f>IF(AND($L475="",$M475="",$N475=""),"",IF($L475&lt;&gt;"",IF(INDEX(LdANote,$L475)="","—",INDEX(LdANote,$L475)),IF($M475&lt;&gt;"",IF(INDEX(LdBNote,$M475)="","—",INDEX(LdBNote,$M475)),IF($N475&lt;&gt;"",IF(INDEX(LdCNote,$N475)="","—",INDEX(LdCNote,$N475)),""))))</f>
        <v/>
      </c>
      <c r="L475">
        <f>IFERROR(MATCH($C$5&amp;"|"&amp;RIGHT("000000"&amp;459,6),LdAKeyM,0),"")</f>
        <v/>
      </c>
      <c r="M475">
        <f>IFERROR(MATCH($C$5&amp;"|"&amp;RIGHT("000000"&amp;459,6),LdBKeyM,0),"")</f>
        <v/>
      </c>
      <c r="N475">
        <f>IFERROR(MATCH($C$5&amp;"|"&amp;RIGHT("000000"&amp;459,6),LdCKeyM,0),"")</f>
        <v/>
      </c>
    </row>
    <row r="476">
      <c r="A476" s="19" t="n">
        <v>460</v>
      </c>
      <c r="B476" s="20">
        <f>IF(AND($L476="",$M476="",$N476=""),"",IF($L476&lt;&gt;"",INDEX(LdADate,$L476),IF($M476&lt;&gt;"",INDEX(LdBDate,$M476),INDEX(LdCDate,$N476))))</f>
        <v/>
      </c>
      <c r="C476" s="20">
        <f>IF($L476&lt;&gt;"","دستمزد (فردی)",IF($M476&lt;&gt;"","سهم از گروه "&amp;IFERROR(VLOOKUP(INDEX(LdBGroup,$M476),WGTbl,2,0),INDEX(LdBGroup,$M476)),IF($N476&lt;&gt;"",IF(N(INDEX(LdCDep,$N476))&gt;0,"بازگشت بانکی","پرداخت بانکی"),"")))</f>
        <v/>
      </c>
      <c r="D476" s="20">
        <f>IF($L476&lt;&gt;"",IF(INDEX(LdAId,$L476)="","—",INDEX(LdAId,$L476)),IF($M476&lt;&gt;"",IF(INDEX(LdBId,$M476)="","—",INDEX(LdBId,$M476)),IF($N476&lt;&gt;"",IF(INDEX(LdCBank,$N476)="","—",INDEX(LdCBank,$N476)),"")))</f>
        <v/>
      </c>
      <c r="E476" s="21">
        <f>IF($L476&lt;&gt;"",IF(INDEX(LdAAmt,$L476)=0,"",INDEX(LdAAmt,$L476)),IF($M476&lt;&gt;"",IF(INDEX(LdBAmt,$M476)=0,"",INDEX(LdBAmt,$M476)),IF($N476&lt;&gt;"",IF(INDEX(LdCDep,$N476)=0,"",INDEX(LdCDep,$N476)),"")))</f>
        <v/>
      </c>
      <c r="F476" s="21">
        <f>IF(AND($L476="",$M476="",$N476=""),"",IF($N476="","",IF(INDEX(LdCWit,$N476)=0,"",INDEX(LdCWit,$N476))))</f>
        <v/>
      </c>
      <c r="G476" s="31">
        <f>IF($B476="","",IF($G475="",0,$G475)+IF($E476="",0,$E476)-IF($F476="",0,$F476))</f>
        <v/>
      </c>
      <c r="H476" s="32">
        <f>IF(AND($L476="",$M476="",$N476=""),"",IF($L476&lt;&gt;"",IF(INDEX(LdANote,$L476)="","—",INDEX(LdANote,$L476)),IF($M476&lt;&gt;"",IF(INDEX(LdBNote,$M476)="","—",INDEX(LdBNote,$M476)),IF($N476&lt;&gt;"",IF(INDEX(LdCNote,$N476)="","—",INDEX(LdCNote,$N476)),""))))</f>
        <v/>
      </c>
      <c r="L476">
        <f>IFERROR(MATCH($C$5&amp;"|"&amp;RIGHT("000000"&amp;460,6),LdAKeyM,0),"")</f>
        <v/>
      </c>
      <c r="M476">
        <f>IFERROR(MATCH($C$5&amp;"|"&amp;RIGHT("000000"&amp;460,6),LdBKeyM,0),"")</f>
        <v/>
      </c>
      <c r="N476">
        <f>IFERROR(MATCH($C$5&amp;"|"&amp;RIGHT("000000"&amp;460,6),LdCKeyM,0),"")</f>
        <v/>
      </c>
    </row>
    <row r="477">
      <c r="A477" s="10" t="n">
        <v>461</v>
      </c>
      <c r="B477" s="14">
        <f>IF(AND($L477="",$M477="",$N477=""),"",IF($L477&lt;&gt;"",INDEX(LdADate,$L477),IF($M477&lt;&gt;"",INDEX(LdBDate,$M477),INDEX(LdCDate,$N477))))</f>
        <v/>
      </c>
      <c r="C477" s="14">
        <f>IF($L477&lt;&gt;"","دستمزد (فردی)",IF($M477&lt;&gt;"","سهم از گروه "&amp;IFERROR(VLOOKUP(INDEX(LdBGroup,$M477),WGTbl,2,0),INDEX(LdBGroup,$M477)),IF($N477&lt;&gt;"",IF(N(INDEX(LdCDep,$N477))&gt;0,"بازگشت بانکی","پرداخت بانکی"),"")))</f>
        <v/>
      </c>
      <c r="D477" s="14">
        <f>IF($L477&lt;&gt;"",IF(INDEX(LdAId,$L477)="","—",INDEX(LdAId,$L477)),IF($M477&lt;&gt;"",IF(INDEX(LdBId,$M477)="","—",INDEX(LdBId,$M477)),IF($N477&lt;&gt;"",IF(INDEX(LdCBank,$N477)="","—",INDEX(LdCBank,$N477)),"")))</f>
        <v/>
      </c>
      <c r="E477" s="16">
        <f>IF($L477&lt;&gt;"",IF(INDEX(LdAAmt,$L477)=0,"",INDEX(LdAAmt,$L477)),IF($M477&lt;&gt;"",IF(INDEX(LdBAmt,$M477)=0,"",INDEX(LdBAmt,$M477)),IF($N477&lt;&gt;"",IF(INDEX(LdCDep,$N477)=0,"",INDEX(LdCDep,$N477)),"")))</f>
        <v/>
      </c>
      <c r="F477" s="16">
        <f>IF(AND($L477="",$M477="",$N477=""),"",IF($N477="","",IF(INDEX(LdCWit,$N477)=0,"",INDEX(LdCWit,$N477))))</f>
        <v/>
      </c>
      <c r="G477" s="29">
        <f>IF($B477="","",IF($G476="",0,$G476)+IF($E477="",0,$E477)-IF($F477="",0,$F477))</f>
        <v/>
      </c>
      <c r="H477" s="30">
        <f>IF(AND($L477="",$M477="",$N477=""),"",IF($L477&lt;&gt;"",IF(INDEX(LdANote,$L477)="","—",INDEX(LdANote,$L477)),IF($M477&lt;&gt;"",IF(INDEX(LdBNote,$M477)="","—",INDEX(LdBNote,$M477)),IF($N477&lt;&gt;"",IF(INDEX(LdCNote,$N477)="","—",INDEX(LdCNote,$N477)),""))))</f>
        <v/>
      </c>
      <c r="L477">
        <f>IFERROR(MATCH($C$5&amp;"|"&amp;RIGHT("000000"&amp;461,6),LdAKeyM,0),"")</f>
        <v/>
      </c>
      <c r="M477">
        <f>IFERROR(MATCH($C$5&amp;"|"&amp;RIGHT("000000"&amp;461,6),LdBKeyM,0),"")</f>
        <v/>
      </c>
      <c r="N477">
        <f>IFERROR(MATCH($C$5&amp;"|"&amp;RIGHT("000000"&amp;461,6),LdCKeyM,0),"")</f>
        <v/>
      </c>
    </row>
    <row r="478">
      <c r="A478" s="19" t="n">
        <v>462</v>
      </c>
      <c r="B478" s="20">
        <f>IF(AND($L478="",$M478="",$N478=""),"",IF($L478&lt;&gt;"",INDEX(LdADate,$L478),IF($M478&lt;&gt;"",INDEX(LdBDate,$M478),INDEX(LdCDate,$N478))))</f>
        <v/>
      </c>
      <c r="C478" s="20">
        <f>IF($L478&lt;&gt;"","دستمزد (فردی)",IF($M478&lt;&gt;"","سهم از گروه "&amp;IFERROR(VLOOKUP(INDEX(LdBGroup,$M478),WGTbl,2,0),INDEX(LdBGroup,$M478)),IF($N478&lt;&gt;"",IF(N(INDEX(LdCDep,$N478))&gt;0,"بازگشت بانکی","پرداخت بانکی"),"")))</f>
        <v/>
      </c>
      <c r="D478" s="20">
        <f>IF($L478&lt;&gt;"",IF(INDEX(LdAId,$L478)="","—",INDEX(LdAId,$L478)),IF($M478&lt;&gt;"",IF(INDEX(LdBId,$M478)="","—",INDEX(LdBId,$M478)),IF($N478&lt;&gt;"",IF(INDEX(LdCBank,$N478)="","—",INDEX(LdCBank,$N478)),"")))</f>
        <v/>
      </c>
      <c r="E478" s="21">
        <f>IF($L478&lt;&gt;"",IF(INDEX(LdAAmt,$L478)=0,"",INDEX(LdAAmt,$L478)),IF($M478&lt;&gt;"",IF(INDEX(LdBAmt,$M478)=0,"",INDEX(LdBAmt,$M478)),IF($N478&lt;&gt;"",IF(INDEX(LdCDep,$N478)=0,"",INDEX(LdCDep,$N478)),"")))</f>
        <v/>
      </c>
      <c r="F478" s="21">
        <f>IF(AND($L478="",$M478="",$N478=""),"",IF($N478="","",IF(INDEX(LdCWit,$N478)=0,"",INDEX(LdCWit,$N478))))</f>
        <v/>
      </c>
      <c r="G478" s="31">
        <f>IF($B478="","",IF($G477="",0,$G477)+IF($E478="",0,$E478)-IF($F478="",0,$F478))</f>
        <v/>
      </c>
      <c r="H478" s="32">
        <f>IF(AND($L478="",$M478="",$N478=""),"",IF($L478&lt;&gt;"",IF(INDEX(LdANote,$L478)="","—",INDEX(LdANote,$L478)),IF($M478&lt;&gt;"",IF(INDEX(LdBNote,$M478)="","—",INDEX(LdBNote,$M478)),IF($N478&lt;&gt;"",IF(INDEX(LdCNote,$N478)="","—",INDEX(LdCNote,$N478)),""))))</f>
        <v/>
      </c>
      <c r="L478">
        <f>IFERROR(MATCH($C$5&amp;"|"&amp;RIGHT("000000"&amp;462,6),LdAKeyM,0),"")</f>
        <v/>
      </c>
      <c r="M478">
        <f>IFERROR(MATCH($C$5&amp;"|"&amp;RIGHT("000000"&amp;462,6),LdBKeyM,0),"")</f>
        <v/>
      </c>
      <c r="N478">
        <f>IFERROR(MATCH($C$5&amp;"|"&amp;RIGHT("000000"&amp;462,6),LdCKeyM,0),"")</f>
        <v/>
      </c>
    </row>
    <row r="479">
      <c r="A479" s="10" t="n">
        <v>463</v>
      </c>
      <c r="B479" s="14">
        <f>IF(AND($L479="",$M479="",$N479=""),"",IF($L479&lt;&gt;"",INDEX(LdADate,$L479),IF($M479&lt;&gt;"",INDEX(LdBDate,$M479),INDEX(LdCDate,$N479))))</f>
        <v/>
      </c>
      <c r="C479" s="14">
        <f>IF($L479&lt;&gt;"","دستمزد (فردی)",IF($M479&lt;&gt;"","سهم از گروه "&amp;IFERROR(VLOOKUP(INDEX(LdBGroup,$M479),WGTbl,2,0),INDEX(LdBGroup,$M479)),IF($N479&lt;&gt;"",IF(N(INDEX(LdCDep,$N479))&gt;0,"بازگشت بانکی","پرداخت بانکی"),"")))</f>
        <v/>
      </c>
      <c r="D479" s="14">
        <f>IF($L479&lt;&gt;"",IF(INDEX(LdAId,$L479)="","—",INDEX(LdAId,$L479)),IF($M479&lt;&gt;"",IF(INDEX(LdBId,$M479)="","—",INDEX(LdBId,$M479)),IF($N479&lt;&gt;"",IF(INDEX(LdCBank,$N479)="","—",INDEX(LdCBank,$N479)),"")))</f>
        <v/>
      </c>
      <c r="E479" s="16">
        <f>IF($L479&lt;&gt;"",IF(INDEX(LdAAmt,$L479)=0,"",INDEX(LdAAmt,$L479)),IF($M479&lt;&gt;"",IF(INDEX(LdBAmt,$M479)=0,"",INDEX(LdBAmt,$M479)),IF($N479&lt;&gt;"",IF(INDEX(LdCDep,$N479)=0,"",INDEX(LdCDep,$N479)),"")))</f>
        <v/>
      </c>
      <c r="F479" s="16">
        <f>IF(AND($L479="",$M479="",$N479=""),"",IF($N479="","",IF(INDEX(LdCWit,$N479)=0,"",INDEX(LdCWit,$N479))))</f>
        <v/>
      </c>
      <c r="G479" s="29">
        <f>IF($B479="","",IF($G478="",0,$G478)+IF($E479="",0,$E479)-IF($F479="",0,$F479))</f>
        <v/>
      </c>
      <c r="H479" s="30">
        <f>IF(AND($L479="",$M479="",$N479=""),"",IF($L479&lt;&gt;"",IF(INDEX(LdANote,$L479)="","—",INDEX(LdANote,$L479)),IF($M479&lt;&gt;"",IF(INDEX(LdBNote,$M479)="","—",INDEX(LdBNote,$M479)),IF($N479&lt;&gt;"",IF(INDEX(LdCNote,$N479)="","—",INDEX(LdCNote,$N479)),""))))</f>
        <v/>
      </c>
      <c r="L479">
        <f>IFERROR(MATCH($C$5&amp;"|"&amp;RIGHT("000000"&amp;463,6),LdAKeyM,0),"")</f>
        <v/>
      </c>
      <c r="M479">
        <f>IFERROR(MATCH($C$5&amp;"|"&amp;RIGHT("000000"&amp;463,6),LdBKeyM,0),"")</f>
        <v/>
      </c>
      <c r="N479">
        <f>IFERROR(MATCH($C$5&amp;"|"&amp;RIGHT("000000"&amp;463,6),LdCKeyM,0),"")</f>
        <v/>
      </c>
    </row>
    <row r="480">
      <c r="A480" s="19" t="n">
        <v>464</v>
      </c>
      <c r="B480" s="20">
        <f>IF(AND($L480="",$M480="",$N480=""),"",IF($L480&lt;&gt;"",INDEX(LdADate,$L480),IF($M480&lt;&gt;"",INDEX(LdBDate,$M480),INDEX(LdCDate,$N480))))</f>
        <v/>
      </c>
      <c r="C480" s="20">
        <f>IF($L480&lt;&gt;"","دستمزد (فردی)",IF($M480&lt;&gt;"","سهم از گروه "&amp;IFERROR(VLOOKUP(INDEX(LdBGroup,$M480),WGTbl,2,0),INDEX(LdBGroup,$M480)),IF($N480&lt;&gt;"",IF(N(INDEX(LdCDep,$N480))&gt;0,"بازگشت بانکی","پرداخت بانکی"),"")))</f>
        <v/>
      </c>
      <c r="D480" s="20">
        <f>IF($L480&lt;&gt;"",IF(INDEX(LdAId,$L480)="","—",INDEX(LdAId,$L480)),IF($M480&lt;&gt;"",IF(INDEX(LdBId,$M480)="","—",INDEX(LdBId,$M480)),IF($N480&lt;&gt;"",IF(INDEX(LdCBank,$N480)="","—",INDEX(LdCBank,$N480)),"")))</f>
        <v/>
      </c>
      <c r="E480" s="21">
        <f>IF($L480&lt;&gt;"",IF(INDEX(LdAAmt,$L480)=0,"",INDEX(LdAAmt,$L480)),IF($M480&lt;&gt;"",IF(INDEX(LdBAmt,$M480)=0,"",INDEX(LdBAmt,$M480)),IF($N480&lt;&gt;"",IF(INDEX(LdCDep,$N480)=0,"",INDEX(LdCDep,$N480)),"")))</f>
        <v/>
      </c>
      <c r="F480" s="21">
        <f>IF(AND($L480="",$M480="",$N480=""),"",IF($N480="","",IF(INDEX(LdCWit,$N480)=0,"",INDEX(LdCWit,$N480))))</f>
        <v/>
      </c>
      <c r="G480" s="31">
        <f>IF($B480="","",IF($G479="",0,$G479)+IF($E480="",0,$E480)-IF($F480="",0,$F480))</f>
        <v/>
      </c>
      <c r="H480" s="32">
        <f>IF(AND($L480="",$M480="",$N480=""),"",IF($L480&lt;&gt;"",IF(INDEX(LdANote,$L480)="","—",INDEX(LdANote,$L480)),IF($M480&lt;&gt;"",IF(INDEX(LdBNote,$M480)="","—",INDEX(LdBNote,$M480)),IF($N480&lt;&gt;"",IF(INDEX(LdCNote,$N480)="","—",INDEX(LdCNote,$N480)),""))))</f>
        <v/>
      </c>
      <c r="L480">
        <f>IFERROR(MATCH($C$5&amp;"|"&amp;RIGHT("000000"&amp;464,6),LdAKeyM,0),"")</f>
        <v/>
      </c>
      <c r="M480">
        <f>IFERROR(MATCH($C$5&amp;"|"&amp;RIGHT("000000"&amp;464,6),LdBKeyM,0),"")</f>
        <v/>
      </c>
      <c r="N480">
        <f>IFERROR(MATCH($C$5&amp;"|"&amp;RIGHT("000000"&amp;464,6),LdCKeyM,0),"")</f>
        <v/>
      </c>
    </row>
    <row r="481">
      <c r="A481" s="10" t="n">
        <v>465</v>
      </c>
      <c r="B481" s="14">
        <f>IF(AND($L481="",$M481="",$N481=""),"",IF($L481&lt;&gt;"",INDEX(LdADate,$L481),IF($M481&lt;&gt;"",INDEX(LdBDate,$M481),INDEX(LdCDate,$N481))))</f>
        <v/>
      </c>
      <c r="C481" s="14">
        <f>IF($L481&lt;&gt;"","دستمزد (فردی)",IF($M481&lt;&gt;"","سهم از گروه "&amp;IFERROR(VLOOKUP(INDEX(LdBGroup,$M481),WGTbl,2,0),INDEX(LdBGroup,$M481)),IF($N481&lt;&gt;"",IF(N(INDEX(LdCDep,$N481))&gt;0,"بازگشت بانکی","پرداخت بانکی"),"")))</f>
        <v/>
      </c>
      <c r="D481" s="14">
        <f>IF($L481&lt;&gt;"",IF(INDEX(LdAId,$L481)="","—",INDEX(LdAId,$L481)),IF($M481&lt;&gt;"",IF(INDEX(LdBId,$M481)="","—",INDEX(LdBId,$M481)),IF($N481&lt;&gt;"",IF(INDEX(LdCBank,$N481)="","—",INDEX(LdCBank,$N481)),"")))</f>
        <v/>
      </c>
      <c r="E481" s="16">
        <f>IF($L481&lt;&gt;"",IF(INDEX(LdAAmt,$L481)=0,"",INDEX(LdAAmt,$L481)),IF($M481&lt;&gt;"",IF(INDEX(LdBAmt,$M481)=0,"",INDEX(LdBAmt,$M481)),IF($N481&lt;&gt;"",IF(INDEX(LdCDep,$N481)=0,"",INDEX(LdCDep,$N481)),"")))</f>
        <v/>
      </c>
      <c r="F481" s="16">
        <f>IF(AND($L481="",$M481="",$N481=""),"",IF($N481="","",IF(INDEX(LdCWit,$N481)=0,"",INDEX(LdCWit,$N481))))</f>
        <v/>
      </c>
      <c r="G481" s="29">
        <f>IF($B481="","",IF($G480="",0,$G480)+IF($E481="",0,$E481)-IF($F481="",0,$F481))</f>
        <v/>
      </c>
      <c r="H481" s="30">
        <f>IF(AND($L481="",$M481="",$N481=""),"",IF($L481&lt;&gt;"",IF(INDEX(LdANote,$L481)="","—",INDEX(LdANote,$L481)),IF($M481&lt;&gt;"",IF(INDEX(LdBNote,$M481)="","—",INDEX(LdBNote,$M481)),IF($N481&lt;&gt;"",IF(INDEX(LdCNote,$N481)="","—",INDEX(LdCNote,$N481)),""))))</f>
        <v/>
      </c>
      <c r="L481">
        <f>IFERROR(MATCH($C$5&amp;"|"&amp;RIGHT("000000"&amp;465,6),LdAKeyM,0),"")</f>
        <v/>
      </c>
      <c r="M481">
        <f>IFERROR(MATCH($C$5&amp;"|"&amp;RIGHT("000000"&amp;465,6),LdBKeyM,0),"")</f>
        <v/>
      </c>
      <c r="N481">
        <f>IFERROR(MATCH($C$5&amp;"|"&amp;RIGHT("000000"&amp;465,6),LdCKeyM,0),"")</f>
        <v/>
      </c>
    </row>
    <row r="482">
      <c r="A482" s="19" t="n">
        <v>466</v>
      </c>
      <c r="B482" s="20">
        <f>IF(AND($L482="",$M482="",$N482=""),"",IF($L482&lt;&gt;"",INDEX(LdADate,$L482),IF($M482&lt;&gt;"",INDEX(LdBDate,$M482),INDEX(LdCDate,$N482))))</f>
        <v/>
      </c>
      <c r="C482" s="20">
        <f>IF($L482&lt;&gt;"","دستمزد (فردی)",IF($M482&lt;&gt;"","سهم از گروه "&amp;IFERROR(VLOOKUP(INDEX(LdBGroup,$M482),WGTbl,2,0),INDEX(LdBGroup,$M482)),IF($N482&lt;&gt;"",IF(N(INDEX(LdCDep,$N482))&gt;0,"بازگشت بانکی","پرداخت بانکی"),"")))</f>
        <v/>
      </c>
      <c r="D482" s="20">
        <f>IF($L482&lt;&gt;"",IF(INDEX(LdAId,$L482)="","—",INDEX(LdAId,$L482)),IF($M482&lt;&gt;"",IF(INDEX(LdBId,$M482)="","—",INDEX(LdBId,$M482)),IF($N482&lt;&gt;"",IF(INDEX(LdCBank,$N482)="","—",INDEX(LdCBank,$N482)),"")))</f>
        <v/>
      </c>
      <c r="E482" s="21">
        <f>IF($L482&lt;&gt;"",IF(INDEX(LdAAmt,$L482)=0,"",INDEX(LdAAmt,$L482)),IF($M482&lt;&gt;"",IF(INDEX(LdBAmt,$M482)=0,"",INDEX(LdBAmt,$M482)),IF($N482&lt;&gt;"",IF(INDEX(LdCDep,$N482)=0,"",INDEX(LdCDep,$N482)),"")))</f>
        <v/>
      </c>
      <c r="F482" s="21">
        <f>IF(AND($L482="",$M482="",$N482=""),"",IF($N482="","",IF(INDEX(LdCWit,$N482)=0,"",INDEX(LdCWit,$N482))))</f>
        <v/>
      </c>
      <c r="G482" s="31">
        <f>IF($B482="","",IF($G481="",0,$G481)+IF($E482="",0,$E482)-IF($F482="",0,$F482))</f>
        <v/>
      </c>
      <c r="H482" s="32">
        <f>IF(AND($L482="",$M482="",$N482=""),"",IF($L482&lt;&gt;"",IF(INDEX(LdANote,$L482)="","—",INDEX(LdANote,$L482)),IF($M482&lt;&gt;"",IF(INDEX(LdBNote,$M482)="","—",INDEX(LdBNote,$M482)),IF($N482&lt;&gt;"",IF(INDEX(LdCNote,$N482)="","—",INDEX(LdCNote,$N482)),""))))</f>
        <v/>
      </c>
      <c r="L482">
        <f>IFERROR(MATCH($C$5&amp;"|"&amp;RIGHT("000000"&amp;466,6),LdAKeyM,0),"")</f>
        <v/>
      </c>
      <c r="M482">
        <f>IFERROR(MATCH($C$5&amp;"|"&amp;RIGHT("000000"&amp;466,6),LdBKeyM,0),"")</f>
        <v/>
      </c>
      <c r="N482">
        <f>IFERROR(MATCH($C$5&amp;"|"&amp;RIGHT("000000"&amp;466,6),LdCKeyM,0),"")</f>
        <v/>
      </c>
    </row>
    <row r="483">
      <c r="A483" s="10" t="n">
        <v>467</v>
      </c>
      <c r="B483" s="14">
        <f>IF(AND($L483="",$M483="",$N483=""),"",IF($L483&lt;&gt;"",INDEX(LdADate,$L483),IF($M483&lt;&gt;"",INDEX(LdBDate,$M483),INDEX(LdCDate,$N483))))</f>
        <v/>
      </c>
      <c r="C483" s="14">
        <f>IF($L483&lt;&gt;"","دستمزد (فردی)",IF($M483&lt;&gt;"","سهم از گروه "&amp;IFERROR(VLOOKUP(INDEX(LdBGroup,$M483),WGTbl,2,0),INDEX(LdBGroup,$M483)),IF($N483&lt;&gt;"",IF(N(INDEX(LdCDep,$N483))&gt;0,"بازگشت بانکی","پرداخت بانکی"),"")))</f>
        <v/>
      </c>
      <c r="D483" s="14">
        <f>IF($L483&lt;&gt;"",IF(INDEX(LdAId,$L483)="","—",INDEX(LdAId,$L483)),IF($M483&lt;&gt;"",IF(INDEX(LdBId,$M483)="","—",INDEX(LdBId,$M483)),IF($N483&lt;&gt;"",IF(INDEX(LdCBank,$N483)="","—",INDEX(LdCBank,$N483)),"")))</f>
        <v/>
      </c>
      <c r="E483" s="16">
        <f>IF($L483&lt;&gt;"",IF(INDEX(LdAAmt,$L483)=0,"",INDEX(LdAAmt,$L483)),IF($M483&lt;&gt;"",IF(INDEX(LdBAmt,$M483)=0,"",INDEX(LdBAmt,$M483)),IF($N483&lt;&gt;"",IF(INDEX(LdCDep,$N483)=0,"",INDEX(LdCDep,$N483)),"")))</f>
        <v/>
      </c>
      <c r="F483" s="16">
        <f>IF(AND($L483="",$M483="",$N483=""),"",IF($N483="","",IF(INDEX(LdCWit,$N483)=0,"",INDEX(LdCWit,$N483))))</f>
        <v/>
      </c>
      <c r="G483" s="29">
        <f>IF($B483="","",IF($G482="",0,$G482)+IF($E483="",0,$E483)-IF($F483="",0,$F483))</f>
        <v/>
      </c>
      <c r="H483" s="30">
        <f>IF(AND($L483="",$M483="",$N483=""),"",IF($L483&lt;&gt;"",IF(INDEX(LdANote,$L483)="","—",INDEX(LdANote,$L483)),IF($M483&lt;&gt;"",IF(INDEX(LdBNote,$M483)="","—",INDEX(LdBNote,$M483)),IF($N483&lt;&gt;"",IF(INDEX(LdCNote,$N483)="","—",INDEX(LdCNote,$N483)),""))))</f>
        <v/>
      </c>
      <c r="L483">
        <f>IFERROR(MATCH($C$5&amp;"|"&amp;RIGHT("000000"&amp;467,6),LdAKeyM,0),"")</f>
        <v/>
      </c>
      <c r="M483">
        <f>IFERROR(MATCH($C$5&amp;"|"&amp;RIGHT("000000"&amp;467,6),LdBKeyM,0),"")</f>
        <v/>
      </c>
      <c r="N483">
        <f>IFERROR(MATCH($C$5&amp;"|"&amp;RIGHT("000000"&amp;467,6),LdCKeyM,0),"")</f>
        <v/>
      </c>
    </row>
    <row r="484">
      <c r="A484" s="19" t="n">
        <v>468</v>
      </c>
      <c r="B484" s="20">
        <f>IF(AND($L484="",$M484="",$N484=""),"",IF($L484&lt;&gt;"",INDEX(LdADate,$L484),IF($M484&lt;&gt;"",INDEX(LdBDate,$M484),INDEX(LdCDate,$N484))))</f>
        <v/>
      </c>
      <c r="C484" s="20">
        <f>IF($L484&lt;&gt;"","دستمزد (فردی)",IF($M484&lt;&gt;"","سهم از گروه "&amp;IFERROR(VLOOKUP(INDEX(LdBGroup,$M484),WGTbl,2,0),INDEX(LdBGroup,$M484)),IF($N484&lt;&gt;"",IF(N(INDEX(LdCDep,$N484))&gt;0,"بازگشت بانکی","پرداخت بانکی"),"")))</f>
        <v/>
      </c>
      <c r="D484" s="20">
        <f>IF($L484&lt;&gt;"",IF(INDEX(LdAId,$L484)="","—",INDEX(LdAId,$L484)),IF($M484&lt;&gt;"",IF(INDEX(LdBId,$M484)="","—",INDEX(LdBId,$M484)),IF($N484&lt;&gt;"",IF(INDEX(LdCBank,$N484)="","—",INDEX(LdCBank,$N484)),"")))</f>
        <v/>
      </c>
      <c r="E484" s="21">
        <f>IF($L484&lt;&gt;"",IF(INDEX(LdAAmt,$L484)=0,"",INDEX(LdAAmt,$L484)),IF($M484&lt;&gt;"",IF(INDEX(LdBAmt,$M484)=0,"",INDEX(LdBAmt,$M484)),IF($N484&lt;&gt;"",IF(INDEX(LdCDep,$N484)=0,"",INDEX(LdCDep,$N484)),"")))</f>
        <v/>
      </c>
      <c r="F484" s="21">
        <f>IF(AND($L484="",$M484="",$N484=""),"",IF($N484="","",IF(INDEX(LdCWit,$N484)=0,"",INDEX(LdCWit,$N484))))</f>
        <v/>
      </c>
      <c r="G484" s="31">
        <f>IF($B484="","",IF($G483="",0,$G483)+IF($E484="",0,$E484)-IF($F484="",0,$F484))</f>
        <v/>
      </c>
      <c r="H484" s="32">
        <f>IF(AND($L484="",$M484="",$N484=""),"",IF($L484&lt;&gt;"",IF(INDEX(LdANote,$L484)="","—",INDEX(LdANote,$L484)),IF($M484&lt;&gt;"",IF(INDEX(LdBNote,$M484)="","—",INDEX(LdBNote,$M484)),IF($N484&lt;&gt;"",IF(INDEX(LdCNote,$N484)="","—",INDEX(LdCNote,$N484)),""))))</f>
        <v/>
      </c>
      <c r="L484">
        <f>IFERROR(MATCH($C$5&amp;"|"&amp;RIGHT("000000"&amp;468,6),LdAKeyM,0),"")</f>
        <v/>
      </c>
      <c r="M484">
        <f>IFERROR(MATCH($C$5&amp;"|"&amp;RIGHT("000000"&amp;468,6),LdBKeyM,0),"")</f>
        <v/>
      </c>
      <c r="N484">
        <f>IFERROR(MATCH($C$5&amp;"|"&amp;RIGHT("000000"&amp;468,6),LdCKeyM,0),"")</f>
        <v/>
      </c>
    </row>
    <row r="485">
      <c r="A485" s="10" t="n">
        <v>469</v>
      </c>
      <c r="B485" s="14">
        <f>IF(AND($L485="",$M485="",$N485=""),"",IF($L485&lt;&gt;"",INDEX(LdADate,$L485),IF($M485&lt;&gt;"",INDEX(LdBDate,$M485),INDEX(LdCDate,$N485))))</f>
        <v/>
      </c>
      <c r="C485" s="14">
        <f>IF($L485&lt;&gt;"","دستمزد (فردی)",IF($M485&lt;&gt;"","سهم از گروه "&amp;IFERROR(VLOOKUP(INDEX(LdBGroup,$M485),WGTbl,2,0),INDEX(LdBGroup,$M485)),IF($N485&lt;&gt;"",IF(N(INDEX(LdCDep,$N485))&gt;0,"بازگشت بانکی","پرداخت بانکی"),"")))</f>
        <v/>
      </c>
      <c r="D485" s="14">
        <f>IF($L485&lt;&gt;"",IF(INDEX(LdAId,$L485)="","—",INDEX(LdAId,$L485)),IF($M485&lt;&gt;"",IF(INDEX(LdBId,$M485)="","—",INDEX(LdBId,$M485)),IF($N485&lt;&gt;"",IF(INDEX(LdCBank,$N485)="","—",INDEX(LdCBank,$N485)),"")))</f>
        <v/>
      </c>
      <c r="E485" s="16">
        <f>IF($L485&lt;&gt;"",IF(INDEX(LdAAmt,$L485)=0,"",INDEX(LdAAmt,$L485)),IF($M485&lt;&gt;"",IF(INDEX(LdBAmt,$M485)=0,"",INDEX(LdBAmt,$M485)),IF($N485&lt;&gt;"",IF(INDEX(LdCDep,$N485)=0,"",INDEX(LdCDep,$N485)),"")))</f>
        <v/>
      </c>
      <c r="F485" s="16">
        <f>IF(AND($L485="",$M485="",$N485=""),"",IF($N485="","",IF(INDEX(LdCWit,$N485)=0,"",INDEX(LdCWit,$N485))))</f>
        <v/>
      </c>
      <c r="G485" s="29">
        <f>IF($B485="","",IF($G484="",0,$G484)+IF($E485="",0,$E485)-IF($F485="",0,$F485))</f>
        <v/>
      </c>
      <c r="H485" s="30">
        <f>IF(AND($L485="",$M485="",$N485=""),"",IF($L485&lt;&gt;"",IF(INDEX(LdANote,$L485)="","—",INDEX(LdANote,$L485)),IF($M485&lt;&gt;"",IF(INDEX(LdBNote,$M485)="","—",INDEX(LdBNote,$M485)),IF($N485&lt;&gt;"",IF(INDEX(LdCNote,$N485)="","—",INDEX(LdCNote,$N485)),""))))</f>
        <v/>
      </c>
      <c r="L485">
        <f>IFERROR(MATCH($C$5&amp;"|"&amp;RIGHT("000000"&amp;469,6),LdAKeyM,0),"")</f>
        <v/>
      </c>
      <c r="M485">
        <f>IFERROR(MATCH($C$5&amp;"|"&amp;RIGHT("000000"&amp;469,6),LdBKeyM,0),"")</f>
        <v/>
      </c>
      <c r="N485">
        <f>IFERROR(MATCH($C$5&amp;"|"&amp;RIGHT("000000"&amp;469,6),LdCKeyM,0),"")</f>
        <v/>
      </c>
    </row>
    <row r="486">
      <c r="A486" s="19" t="n">
        <v>470</v>
      </c>
      <c r="B486" s="20">
        <f>IF(AND($L486="",$M486="",$N486=""),"",IF($L486&lt;&gt;"",INDEX(LdADate,$L486),IF($M486&lt;&gt;"",INDEX(LdBDate,$M486),INDEX(LdCDate,$N486))))</f>
        <v/>
      </c>
      <c r="C486" s="20">
        <f>IF($L486&lt;&gt;"","دستمزد (فردی)",IF($M486&lt;&gt;"","سهم از گروه "&amp;IFERROR(VLOOKUP(INDEX(LdBGroup,$M486),WGTbl,2,0),INDEX(LdBGroup,$M486)),IF($N486&lt;&gt;"",IF(N(INDEX(LdCDep,$N486))&gt;0,"بازگشت بانکی","پرداخت بانکی"),"")))</f>
        <v/>
      </c>
      <c r="D486" s="20">
        <f>IF($L486&lt;&gt;"",IF(INDEX(LdAId,$L486)="","—",INDEX(LdAId,$L486)),IF($M486&lt;&gt;"",IF(INDEX(LdBId,$M486)="","—",INDEX(LdBId,$M486)),IF($N486&lt;&gt;"",IF(INDEX(LdCBank,$N486)="","—",INDEX(LdCBank,$N486)),"")))</f>
        <v/>
      </c>
      <c r="E486" s="21">
        <f>IF($L486&lt;&gt;"",IF(INDEX(LdAAmt,$L486)=0,"",INDEX(LdAAmt,$L486)),IF($M486&lt;&gt;"",IF(INDEX(LdBAmt,$M486)=0,"",INDEX(LdBAmt,$M486)),IF($N486&lt;&gt;"",IF(INDEX(LdCDep,$N486)=0,"",INDEX(LdCDep,$N486)),"")))</f>
        <v/>
      </c>
      <c r="F486" s="21">
        <f>IF(AND($L486="",$M486="",$N486=""),"",IF($N486="","",IF(INDEX(LdCWit,$N486)=0,"",INDEX(LdCWit,$N486))))</f>
        <v/>
      </c>
      <c r="G486" s="31">
        <f>IF($B486="","",IF($G485="",0,$G485)+IF($E486="",0,$E486)-IF($F486="",0,$F486))</f>
        <v/>
      </c>
      <c r="H486" s="32">
        <f>IF(AND($L486="",$M486="",$N486=""),"",IF($L486&lt;&gt;"",IF(INDEX(LdANote,$L486)="","—",INDEX(LdANote,$L486)),IF($M486&lt;&gt;"",IF(INDEX(LdBNote,$M486)="","—",INDEX(LdBNote,$M486)),IF($N486&lt;&gt;"",IF(INDEX(LdCNote,$N486)="","—",INDEX(LdCNote,$N486)),""))))</f>
        <v/>
      </c>
      <c r="L486">
        <f>IFERROR(MATCH($C$5&amp;"|"&amp;RIGHT("000000"&amp;470,6),LdAKeyM,0),"")</f>
        <v/>
      </c>
      <c r="M486">
        <f>IFERROR(MATCH($C$5&amp;"|"&amp;RIGHT("000000"&amp;470,6),LdBKeyM,0),"")</f>
        <v/>
      </c>
      <c r="N486">
        <f>IFERROR(MATCH($C$5&amp;"|"&amp;RIGHT("000000"&amp;470,6),LdCKeyM,0),"")</f>
        <v/>
      </c>
    </row>
    <row r="487">
      <c r="A487" s="10" t="n">
        <v>471</v>
      </c>
      <c r="B487" s="14">
        <f>IF(AND($L487="",$M487="",$N487=""),"",IF($L487&lt;&gt;"",INDEX(LdADate,$L487),IF($M487&lt;&gt;"",INDEX(LdBDate,$M487),INDEX(LdCDate,$N487))))</f>
        <v/>
      </c>
      <c r="C487" s="14">
        <f>IF($L487&lt;&gt;"","دستمزد (فردی)",IF($M487&lt;&gt;"","سهم از گروه "&amp;IFERROR(VLOOKUP(INDEX(LdBGroup,$M487),WGTbl,2,0),INDEX(LdBGroup,$M487)),IF($N487&lt;&gt;"",IF(N(INDEX(LdCDep,$N487))&gt;0,"بازگشت بانکی","پرداخت بانکی"),"")))</f>
        <v/>
      </c>
      <c r="D487" s="14">
        <f>IF($L487&lt;&gt;"",IF(INDEX(LdAId,$L487)="","—",INDEX(LdAId,$L487)),IF($M487&lt;&gt;"",IF(INDEX(LdBId,$M487)="","—",INDEX(LdBId,$M487)),IF($N487&lt;&gt;"",IF(INDEX(LdCBank,$N487)="","—",INDEX(LdCBank,$N487)),"")))</f>
        <v/>
      </c>
      <c r="E487" s="16">
        <f>IF($L487&lt;&gt;"",IF(INDEX(LdAAmt,$L487)=0,"",INDEX(LdAAmt,$L487)),IF($M487&lt;&gt;"",IF(INDEX(LdBAmt,$M487)=0,"",INDEX(LdBAmt,$M487)),IF($N487&lt;&gt;"",IF(INDEX(LdCDep,$N487)=0,"",INDEX(LdCDep,$N487)),"")))</f>
        <v/>
      </c>
      <c r="F487" s="16">
        <f>IF(AND($L487="",$M487="",$N487=""),"",IF($N487="","",IF(INDEX(LdCWit,$N487)=0,"",INDEX(LdCWit,$N487))))</f>
        <v/>
      </c>
      <c r="G487" s="29">
        <f>IF($B487="","",IF($G486="",0,$G486)+IF($E487="",0,$E487)-IF($F487="",0,$F487))</f>
        <v/>
      </c>
      <c r="H487" s="30">
        <f>IF(AND($L487="",$M487="",$N487=""),"",IF($L487&lt;&gt;"",IF(INDEX(LdANote,$L487)="","—",INDEX(LdANote,$L487)),IF($M487&lt;&gt;"",IF(INDEX(LdBNote,$M487)="","—",INDEX(LdBNote,$M487)),IF($N487&lt;&gt;"",IF(INDEX(LdCNote,$N487)="","—",INDEX(LdCNote,$N487)),""))))</f>
        <v/>
      </c>
      <c r="L487">
        <f>IFERROR(MATCH($C$5&amp;"|"&amp;RIGHT("000000"&amp;471,6),LdAKeyM,0),"")</f>
        <v/>
      </c>
      <c r="M487">
        <f>IFERROR(MATCH($C$5&amp;"|"&amp;RIGHT("000000"&amp;471,6),LdBKeyM,0),"")</f>
        <v/>
      </c>
      <c r="N487">
        <f>IFERROR(MATCH($C$5&amp;"|"&amp;RIGHT("000000"&amp;471,6),LdCKeyM,0),"")</f>
        <v/>
      </c>
    </row>
    <row r="488">
      <c r="A488" s="19" t="n">
        <v>472</v>
      </c>
      <c r="B488" s="20">
        <f>IF(AND($L488="",$M488="",$N488=""),"",IF($L488&lt;&gt;"",INDEX(LdADate,$L488),IF($M488&lt;&gt;"",INDEX(LdBDate,$M488),INDEX(LdCDate,$N488))))</f>
        <v/>
      </c>
      <c r="C488" s="20">
        <f>IF($L488&lt;&gt;"","دستمزد (فردی)",IF($M488&lt;&gt;"","سهم از گروه "&amp;IFERROR(VLOOKUP(INDEX(LdBGroup,$M488),WGTbl,2,0),INDEX(LdBGroup,$M488)),IF($N488&lt;&gt;"",IF(N(INDEX(LdCDep,$N488))&gt;0,"بازگشت بانکی","پرداخت بانکی"),"")))</f>
        <v/>
      </c>
      <c r="D488" s="20">
        <f>IF($L488&lt;&gt;"",IF(INDEX(LdAId,$L488)="","—",INDEX(LdAId,$L488)),IF($M488&lt;&gt;"",IF(INDEX(LdBId,$M488)="","—",INDEX(LdBId,$M488)),IF($N488&lt;&gt;"",IF(INDEX(LdCBank,$N488)="","—",INDEX(LdCBank,$N488)),"")))</f>
        <v/>
      </c>
      <c r="E488" s="21">
        <f>IF($L488&lt;&gt;"",IF(INDEX(LdAAmt,$L488)=0,"",INDEX(LdAAmt,$L488)),IF($M488&lt;&gt;"",IF(INDEX(LdBAmt,$M488)=0,"",INDEX(LdBAmt,$M488)),IF($N488&lt;&gt;"",IF(INDEX(LdCDep,$N488)=0,"",INDEX(LdCDep,$N488)),"")))</f>
        <v/>
      </c>
      <c r="F488" s="21">
        <f>IF(AND($L488="",$M488="",$N488=""),"",IF($N488="","",IF(INDEX(LdCWit,$N488)=0,"",INDEX(LdCWit,$N488))))</f>
        <v/>
      </c>
      <c r="G488" s="31">
        <f>IF($B488="","",IF($G487="",0,$G487)+IF($E488="",0,$E488)-IF($F488="",0,$F488))</f>
        <v/>
      </c>
      <c r="H488" s="32">
        <f>IF(AND($L488="",$M488="",$N488=""),"",IF($L488&lt;&gt;"",IF(INDEX(LdANote,$L488)="","—",INDEX(LdANote,$L488)),IF($M488&lt;&gt;"",IF(INDEX(LdBNote,$M488)="","—",INDEX(LdBNote,$M488)),IF($N488&lt;&gt;"",IF(INDEX(LdCNote,$N488)="","—",INDEX(LdCNote,$N488)),""))))</f>
        <v/>
      </c>
      <c r="L488">
        <f>IFERROR(MATCH($C$5&amp;"|"&amp;RIGHT("000000"&amp;472,6),LdAKeyM,0),"")</f>
        <v/>
      </c>
      <c r="M488">
        <f>IFERROR(MATCH($C$5&amp;"|"&amp;RIGHT("000000"&amp;472,6),LdBKeyM,0),"")</f>
        <v/>
      </c>
      <c r="N488">
        <f>IFERROR(MATCH($C$5&amp;"|"&amp;RIGHT("000000"&amp;472,6),LdCKeyM,0),"")</f>
        <v/>
      </c>
    </row>
    <row r="489">
      <c r="A489" s="10" t="n">
        <v>473</v>
      </c>
      <c r="B489" s="14">
        <f>IF(AND($L489="",$M489="",$N489=""),"",IF($L489&lt;&gt;"",INDEX(LdADate,$L489),IF($M489&lt;&gt;"",INDEX(LdBDate,$M489),INDEX(LdCDate,$N489))))</f>
        <v/>
      </c>
      <c r="C489" s="14">
        <f>IF($L489&lt;&gt;"","دستمزد (فردی)",IF($M489&lt;&gt;"","سهم از گروه "&amp;IFERROR(VLOOKUP(INDEX(LdBGroup,$M489),WGTbl,2,0),INDEX(LdBGroup,$M489)),IF($N489&lt;&gt;"",IF(N(INDEX(LdCDep,$N489))&gt;0,"بازگشت بانکی","پرداخت بانکی"),"")))</f>
        <v/>
      </c>
      <c r="D489" s="14">
        <f>IF($L489&lt;&gt;"",IF(INDEX(LdAId,$L489)="","—",INDEX(LdAId,$L489)),IF($M489&lt;&gt;"",IF(INDEX(LdBId,$M489)="","—",INDEX(LdBId,$M489)),IF($N489&lt;&gt;"",IF(INDEX(LdCBank,$N489)="","—",INDEX(LdCBank,$N489)),"")))</f>
        <v/>
      </c>
      <c r="E489" s="16">
        <f>IF($L489&lt;&gt;"",IF(INDEX(LdAAmt,$L489)=0,"",INDEX(LdAAmt,$L489)),IF($M489&lt;&gt;"",IF(INDEX(LdBAmt,$M489)=0,"",INDEX(LdBAmt,$M489)),IF($N489&lt;&gt;"",IF(INDEX(LdCDep,$N489)=0,"",INDEX(LdCDep,$N489)),"")))</f>
        <v/>
      </c>
      <c r="F489" s="16">
        <f>IF(AND($L489="",$M489="",$N489=""),"",IF($N489="","",IF(INDEX(LdCWit,$N489)=0,"",INDEX(LdCWit,$N489))))</f>
        <v/>
      </c>
      <c r="G489" s="29">
        <f>IF($B489="","",IF($G488="",0,$G488)+IF($E489="",0,$E489)-IF($F489="",0,$F489))</f>
        <v/>
      </c>
      <c r="H489" s="30">
        <f>IF(AND($L489="",$M489="",$N489=""),"",IF($L489&lt;&gt;"",IF(INDEX(LdANote,$L489)="","—",INDEX(LdANote,$L489)),IF($M489&lt;&gt;"",IF(INDEX(LdBNote,$M489)="","—",INDEX(LdBNote,$M489)),IF($N489&lt;&gt;"",IF(INDEX(LdCNote,$N489)="","—",INDEX(LdCNote,$N489)),""))))</f>
        <v/>
      </c>
      <c r="L489">
        <f>IFERROR(MATCH($C$5&amp;"|"&amp;RIGHT("000000"&amp;473,6),LdAKeyM,0),"")</f>
        <v/>
      </c>
      <c r="M489">
        <f>IFERROR(MATCH($C$5&amp;"|"&amp;RIGHT("000000"&amp;473,6),LdBKeyM,0),"")</f>
        <v/>
      </c>
      <c r="N489">
        <f>IFERROR(MATCH($C$5&amp;"|"&amp;RIGHT("000000"&amp;473,6),LdCKeyM,0),"")</f>
        <v/>
      </c>
    </row>
    <row r="490">
      <c r="A490" s="19" t="n">
        <v>474</v>
      </c>
      <c r="B490" s="20">
        <f>IF(AND($L490="",$M490="",$N490=""),"",IF($L490&lt;&gt;"",INDEX(LdADate,$L490),IF($M490&lt;&gt;"",INDEX(LdBDate,$M490),INDEX(LdCDate,$N490))))</f>
        <v/>
      </c>
      <c r="C490" s="20">
        <f>IF($L490&lt;&gt;"","دستمزد (فردی)",IF($M490&lt;&gt;"","سهم از گروه "&amp;IFERROR(VLOOKUP(INDEX(LdBGroup,$M490),WGTbl,2,0),INDEX(LdBGroup,$M490)),IF($N490&lt;&gt;"",IF(N(INDEX(LdCDep,$N490))&gt;0,"بازگشت بانکی","پرداخت بانکی"),"")))</f>
        <v/>
      </c>
      <c r="D490" s="20">
        <f>IF($L490&lt;&gt;"",IF(INDEX(LdAId,$L490)="","—",INDEX(LdAId,$L490)),IF($M490&lt;&gt;"",IF(INDEX(LdBId,$M490)="","—",INDEX(LdBId,$M490)),IF($N490&lt;&gt;"",IF(INDEX(LdCBank,$N490)="","—",INDEX(LdCBank,$N490)),"")))</f>
        <v/>
      </c>
      <c r="E490" s="21">
        <f>IF($L490&lt;&gt;"",IF(INDEX(LdAAmt,$L490)=0,"",INDEX(LdAAmt,$L490)),IF($M490&lt;&gt;"",IF(INDEX(LdBAmt,$M490)=0,"",INDEX(LdBAmt,$M490)),IF($N490&lt;&gt;"",IF(INDEX(LdCDep,$N490)=0,"",INDEX(LdCDep,$N490)),"")))</f>
        <v/>
      </c>
      <c r="F490" s="21">
        <f>IF(AND($L490="",$M490="",$N490=""),"",IF($N490="","",IF(INDEX(LdCWit,$N490)=0,"",INDEX(LdCWit,$N490))))</f>
        <v/>
      </c>
      <c r="G490" s="31">
        <f>IF($B490="","",IF($G489="",0,$G489)+IF($E490="",0,$E490)-IF($F490="",0,$F490))</f>
        <v/>
      </c>
      <c r="H490" s="32">
        <f>IF(AND($L490="",$M490="",$N490=""),"",IF($L490&lt;&gt;"",IF(INDEX(LdANote,$L490)="","—",INDEX(LdANote,$L490)),IF($M490&lt;&gt;"",IF(INDEX(LdBNote,$M490)="","—",INDEX(LdBNote,$M490)),IF($N490&lt;&gt;"",IF(INDEX(LdCNote,$N490)="","—",INDEX(LdCNote,$N490)),""))))</f>
        <v/>
      </c>
      <c r="L490">
        <f>IFERROR(MATCH($C$5&amp;"|"&amp;RIGHT("000000"&amp;474,6),LdAKeyM,0),"")</f>
        <v/>
      </c>
      <c r="M490">
        <f>IFERROR(MATCH($C$5&amp;"|"&amp;RIGHT("000000"&amp;474,6),LdBKeyM,0),"")</f>
        <v/>
      </c>
      <c r="N490">
        <f>IFERROR(MATCH($C$5&amp;"|"&amp;RIGHT("000000"&amp;474,6),LdCKeyM,0),"")</f>
        <v/>
      </c>
    </row>
    <row r="491">
      <c r="A491" s="10" t="n">
        <v>475</v>
      </c>
      <c r="B491" s="14">
        <f>IF(AND($L491="",$M491="",$N491=""),"",IF($L491&lt;&gt;"",INDEX(LdADate,$L491),IF($M491&lt;&gt;"",INDEX(LdBDate,$M491),INDEX(LdCDate,$N491))))</f>
        <v/>
      </c>
      <c r="C491" s="14">
        <f>IF($L491&lt;&gt;"","دستمزد (فردی)",IF($M491&lt;&gt;"","سهم از گروه "&amp;IFERROR(VLOOKUP(INDEX(LdBGroup,$M491),WGTbl,2,0),INDEX(LdBGroup,$M491)),IF($N491&lt;&gt;"",IF(N(INDEX(LdCDep,$N491))&gt;0,"بازگشت بانکی","پرداخت بانکی"),"")))</f>
        <v/>
      </c>
      <c r="D491" s="14">
        <f>IF($L491&lt;&gt;"",IF(INDEX(LdAId,$L491)="","—",INDEX(LdAId,$L491)),IF($M491&lt;&gt;"",IF(INDEX(LdBId,$M491)="","—",INDEX(LdBId,$M491)),IF($N491&lt;&gt;"",IF(INDEX(LdCBank,$N491)="","—",INDEX(LdCBank,$N491)),"")))</f>
        <v/>
      </c>
      <c r="E491" s="16">
        <f>IF($L491&lt;&gt;"",IF(INDEX(LdAAmt,$L491)=0,"",INDEX(LdAAmt,$L491)),IF($M491&lt;&gt;"",IF(INDEX(LdBAmt,$M491)=0,"",INDEX(LdBAmt,$M491)),IF($N491&lt;&gt;"",IF(INDEX(LdCDep,$N491)=0,"",INDEX(LdCDep,$N491)),"")))</f>
        <v/>
      </c>
      <c r="F491" s="16">
        <f>IF(AND($L491="",$M491="",$N491=""),"",IF($N491="","",IF(INDEX(LdCWit,$N491)=0,"",INDEX(LdCWit,$N491))))</f>
        <v/>
      </c>
      <c r="G491" s="29">
        <f>IF($B491="","",IF($G490="",0,$G490)+IF($E491="",0,$E491)-IF($F491="",0,$F491))</f>
        <v/>
      </c>
      <c r="H491" s="30">
        <f>IF(AND($L491="",$M491="",$N491=""),"",IF($L491&lt;&gt;"",IF(INDEX(LdANote,$L491)="","—",INDEX(LdANote,$L491)),IF($M491&lt;&gt;"",IF(INDEX(LdBNote,$M491)="","—",INDEX(LdBNote,$M491)),IF($N491&lt;&gt;"",IF(INDEX(LdCNote,$N491)="","—",INDEX(LdCNote,$N491)),""))))</f>
        <v/>
      </c>
      <c r="L491">
        <f>IFERROR(MATCH($C$5&amp;"|"&amp;RIGHT("000000"&amp;475,6),LdAKeyM,0),"")</f>
        <v/>
      </c>
      <c r="M491">
        <f>IFERROR(MATCH($C$5&amp;"|"&amp;RIGHT("000000"&amp;475,6),LdBKeyM,0),"")</f>
        <v/>
      </c>
      <c r="N491">
        <f>IFERROR(MATCH($C$5&amp;"|"&amp;RIGHT("000000"&amp;475,6),LdCKeyM,0),"")</f>
        <v/>
      </c>
    </row>
    <row r="492">
      <c r="A492" s="19" t="n">
        <v>476</v>
      </c>
      <c r="B492" s="20">
        <f>IF(AND($L492="",$M492="",$N492=""),"",IF($L492&lt;&gt;"",INDEX(LdADate,$L492),IF($M492&lt;&gt;"",INDEX(LdBDate,$M492),INDEX(LdCDate,$N492))))</f>
        <v/>
      </c>
      <c r="C492" s="20">
        <f>IF($L492&lt;&gt;"","دستمزد (فردی)",IF($M492&lt;&gt;"","سهم از گروه "&amp;IFERROR(VLOOKUP(INDEX(LdBGroup,$M492),WGTbl,2,0),INDEX(LdBGroup,$M492)),IF($N492&lt;&gt;"",IF(N(INDEX(LdCDep,$N492))&gt;0,"بازگشت بانکی","پرداخت بانکی"),"")))</f>
        <v/>
      </c>
      <c r="D492" s="20">
        <f>IF($L492&lt;&gt;"",IF(INDEX(LdAId,$L492)="","—",INDEX(LdAId,$L492)),IF($M492&lt;&gt;"",IF(INDEX(LdBId,$M492)="","—",INDEX(LdBId,$M492)),IF($N492&lt;&gt;"",IF(INDEX(LdCBank,$N492)="","—",INDEX(LdCBank,$N492)),"")))</f>
        <v/>
      </c>
      <c r="E492" s="21">
        <f>IF($L492&lt;&gt;"",IF(INDEX(LdAAmt,$L492)=0,"",INDEX(LdAAmt,$L492)),IF($M492&lt;&gt;"",IF(INDEX(LdBAmt,$M492)=0,"",INDEX(LdBAmt,$M492)),IF($N492&lt;&gt;"",IF(INDEX(LdCDep,$N492)=0,"",INDEX(LdCDep,$N492)),"")))</f>
        <v/>
      </c>
      <c r="F492" s="21">
        <f>IF(AND($L492="",$M492="",$N492=""),"",IF($N492="","",IF(INDEX(LdCWit,$N492)=0,"",INDEX(LdCWit,$N492))))</f>
        <v/>
      </c>
      <c r="G492" s="31">
        <f>IF($B492="","",IF($G491="",0,$G491)+IF($E492="",0,$E492)-IF($F492="",0,$F492))</f>
        <v/>
      </c>
      <c r="H492" s="32">
        <f>IF(AND($L492="",$M492="",$N492=""),"",IF($L492&lt;&gt;"",IF(INDEX(LdANote,$L492)="","—",INDEX(LdANote,$L492)),IF($M492&lt;&gt;"",IF(INDEX(LdBNote,$M492)="","—",INDEX(LdBNote,$M492)),IF($N492&lt;&gt;"",IF(INDEX(LdCNote,$N492)="","—",INDEX(LdCNote,$N492)),""))))</f>
        <v/>
      </c>
      <c r="L492">
        <f>IFERROR(MATCH($C$5&amp;"|"&amp;RIGHT("000000"&amp;476,6),LdAKeyM,0),"")</f>
        <v/>
      </c>
      <c r="M492">
        <f>IFERROR(MATCH($C$5&amp;"|"&amp;RIGHT("000000"&amp;476,6),LdBKeyM,0),"")</f>
        <v/>
      </c>
      <c r="N492">
        <f>IFERROR(MATCH($C$5&amp;"|"&amp;RIGHT("000000"&amp;476,6),LdCKeyM,0),"")</f>
        <v/>
      </c>
    </row>
    <row r="493">
      <c r="A493" s="10" t="n">
        <v>477</v>
      </c>
      <c r="B493" s="14">
        <f>IF(AND($L493="",$M493="",$N493=""),"",IF($L493&lt;&gt;"",INDEX(LdADate,$L493),IF($M493&lt;&gt;"",INDEX(LdBDate,$M493),INDEX(LdCDate,$N493))))</f>
        <v/>
      </c>
      <c r="C493" s="14">
        <f>IF($L493&lt;&gt;"","دستمزد (فردی)",IF($M493&lt;&gt;"","سهم از گروه "&amp;IFERROR(VLOOKUP(INDEX(LdBGroup,$M493),WGTbl,2,0),INDEX(LdBGroup,$M493)),IF($N493&lt;&gt;"",IF(N(INDEX(LdCDep,$N493))&gt;0,"بازگشت بانکی","پرداخت بانکی"),"")))</f>
        <v/>
      </c>
      <c r="D493" s="14">
        <f>IF($L493&lt;&gt;"",IF(INDEX(LdAId,$L493)="","—",INDEX(LdAId,$L493)),IF($M493&lt;&gt;"",IF(INDEX(LdBId,$M493)="","—",INDEX(LdBId,$M493)),IF($N493&lt;&gt;"",IF(INDEX(LdCBank,$N493)="","—",INDEX(LdCBank,$N493)),"")))</f>
        <v/>
      </c>
      <c r="E493" s="16">
        <f>IF($L493&lt;&gt;"",IF(INDEX(LdAAmt,$L493)=0,"",INDEX(LdAAmt,$L493)),IF($M493&lt;&gt;"",IF(INDEX(LdBAmt,$M493)=0,"",INDEX(LdBAmt,$M493)),IF($N493&lt;&gt;"",IF(INDEX(LdCDep,$N493)=0,"",INDEX(LdCDep,$N493)),"")))</f>
        <v/>
      </c>
      <c r="F493" s="16">
        <f>IF(AND($L493="",$M493="",$N493=""),"",IF($N493="","",IF(INDEX(LdCWit,$N493)=0,"",INDEX(LdCWit,$N493))))</f>
        <v/>
      </c>
      <c r="G493" s="29">
        <f>IF($B493="","",IF($G492="",0,$G492)+IF($E493="",0,$E493)-IF($F493="",0,$F493))</f>
        <v/>
      </c>
      <c r="H493" s="30">
        <f>IF(AND($L493="",$M493="",$N493=""),"",IF($L493&lt;&gt;"",IF(INDEX(LdANote,$L493)="","—",INDEX(LdANote,$L493)),IF($M493&lt;&gt;"",IF(INDEX(LdBNote,$M493)="","—",INDEX(LdBNote,$M493)),IF($N493&lt;&gt;"",IF(INDEX(LdCNote,$N493)="","—",INDEX(LdCNote,$N493)),""))))</f>
        <v/>
      </c>
      <c r="L493">
        <f>IFERROR(MATCH($C$5&amp;"|"&amp;RIGHT("000000"&amp;477,6),LdAKeyM,0),"")</f>
        <v/>
      </c>
      <c r="M493">
        <f>IFERROR(MATCH($C$5&amp;"|"&amp;RIGHT("000000"&amp;477,6),LdBKeyM,0),"")</f>
        <v/>
      </c>
      <c r="N493">
        <f>IFERROR(MATCH($C$5&amp;"|"&amp;RIGHT("000000"&amp;477,6),LdCKeyM,0),"")</f>
        <v/>
      </c>
    </row>
    <row r="494">
      <c r="A494" s="19" t="n">
        <v>478</v>
      </c>
      <c r="B494" s="20">
        <f>IF(AND($L494="",$M494="",$N494=""),"",IF($L494&lt;&gt;"",INDEX(LdADate,$L494),IF($M494&lt;&gt;"",INDEX(LdBDate,$M494),INDEX(LdCDate,$N494))))</f>
        <v/>
      </c>
      <c r="C494" s="20">
        <f>IF($L494&lt;&gt;"","دستمزد (فردی)",IF($M494&lt;&gt;"","سهم از گروه "&amp;IFERROR(VLOOKUP(INDEX(LdBGroup,$M494),WGTbl,2,0),INDEX(LdBGroup,$M494)),IF($N494&lt;&gt;"",IF(N(INDEX(LdCDep,$N494))&gt;0,"بازگشت بانکی","پرداخت بانکی"),"")))</f>
        <v/>
      </c>
      <c r="D494" s="20">
        <f>IF($L494&lt;&gt;"",IF(INDEX(LdAId,$L494)="","—",INDEX(LdAId,$L494)),IF($M494&lt;&gt;"",IF(INDEX(LdBId,$M494)="","—",INDEX(LdBId,$M494)),IF($N494&lt;&gt;"",IF(INDEX(LdCBank,$N494)="","—",INDEX(LdCBank,$N494)),"")))</f>
        <v/>
      </c>
      <c r="E494" s="21">
        <f>IF($L494&lt;&gt;"",IF(INDEX(LdAAmt,$L494)=0,"",INDEX(LdAAmt,$L494)),IF($M494&lt;&gt;"",IF(INDEX(LdBAmt,$M494)=0,"",INDEX(LdBAmt,$M494)),IF($N494&lt;&gt;"",IF(INDEX(LdCDep,$N494)=0,"",INDEX(LdCDep,$N494)),"")))</f>
        <v/>
      </c>
      <c r="F494" s="21">
        <f>IF(AND($L494="",$M494="",$N494=""),"",IF($N494="","",IF(INDEX(LdCWit,$N494)=0,"",INDEX(LdCWit,$N494))))</f>
        <v/>
      </c>
      <c r="G494" s="31">
        <f>IF($B494="","",IF($G493="",0,$G493)+IF($E494="",0,$E494)-IF($F494="",0,$F494))</f>
        <v/>
      </c>
      <c r="H494" s="32">
        <f>IF(AND($L494="",$M494="",$N494=""),"",IF($L494&lt;&gt;"",IF(INDEX(LdANote,$L494)="","—",INDEX(LdANote,$L494)),IF($M494&lt;&gt;"",IF(INDEX(LdBNote,$M494)="","—",INDEX(LdBNote,$M494)),IF($N494&lt;&gt;"",IF(INDEX(LdCNote,$N494)="","—",INDEX(LdCNote,$N494)),""))))</f>
        <v/>
      </c>
      <c r="L494">
        <f>IFERROR(MATCH($C$5&amp;"|"&amp;RIGHT("000000"&amp;478,6),LdAKeyM,0),"")</f>
        <v/>
      </c>
      <c r="M494">
        <f>IFERROR(MATCH($C$5&amp;"|"&amp;RIGHT("000000"&amp;478,6),LdBKeyM,0),"")</f>
        <v/>
      </c>
      <c r="N494">
        <f>IFERROR(MATCH($C$5&amp;"|"&amp;RIGHT("000000"&amp;478,6),LdCKeyM,0),"")</f>
        <v/>
      </c>
    </row>
    <row r="495">
      <c r="A495" s="10" t="n">
        <v>479</v>
      </c>
      <c r="B495" s="14">
        <f>IF(AND($L495="",$M495="",$N495=""),"",IF($L495&lt;&gt;"",INDEX(LdADate,$L495),IF($M495&lt;&gt;"",INDEX(LdBDate,$M495),INDEX(LdCDate,$N495))))</f>
        <v/>
      </c>
      <c r="C495" s="14">
        <f>IF($L495&lt;&gt;"","دستمزد (فردی)",IF($M495&lt;&gt;"","سهم از گروه "&amp;IFERROR(VLOOKUP(INDEX(LdBGroup,$M495),WGTbl,2,0),INDEX(LdBGroup,$M495)),IF($N495&lt;&gt;"",IF(N(INDEX(LdCDep,$N495))&gt;0,"بازگشت بانکی","پرداخت بانکی"),"")))</f>
        <v/>
      </c>
      <c r="D495" s="14">
        <f>IF($L495&lt;&gt;"",IF(INDEX(LdAId,$L495)="","—",INDEX(LdAId,$L495)),IF($M495&lt;&gt;"",IF(INDEX(LdBId,$M495)="","—",INDEX(LdBId,$M495)),IF($N495&lt;&gt;"",IF(INDEX(LdCBank,$N495)="","—",INDEX(LdCBank,$N495)),"")))</f>
        <v/>
      </c>
      <c r="E495" s="16">
        <f>IF($L495&lt;&gt;"",IF(INDEX(LdAAmt,$L495)=0,"",INDEX(LdAAmt,$L495)),IF($M495&lt;&gt;"",IF(INDEX(LdBAmt,$M495)=0,"",INDEX(LdBAmt,$M495)),IF($N495&lt;&gt;"",IF(INDEX(LdCDep,$N495)=0,"",INDEX(LdCDep,$N495)),"")))</f>
        <v/>
      </c>
      <c r="F495" s="16">
        <f>IF(AND($L495="",$M495="",$N495=""),"",IF($N495="","",IF(INDEX(LdCWit,$N495)=0,"",INDEX(LdCWit,$N495))))</f>
        <v/>
      </c>
      <c r="G495" s="29">
        <f>IF($B495="","",IF($G494="",0,$G494)+IF($E495="",0,$E495)-IF($F495="",0,$F495))</f>
        <v/>
      </c>
      <c r="H495" s="30">
        <f>IF(AND($L495="",$M495="",$N495=""),"",IF($L495&lt;&gt;"",IF(INDEX(LdANote,$L495)="","—",INDEX(LdANote,$L495)),IF($M495&lt;&gt;"",IF(INDEX(LdBNote,$M495)="","—",INDEX(LdBNote,$M495)),IF($N495&lt;&gt;"",IF(INDEX(LdCNote,$N495)="","—",INDEX(LdCNote,$N495)),""))))</f>
        <v/>
      </c>
      <c r="L495">
        <f>IFERROR(MATCH($C$5&amp;"|"&amp;RIGHT("000000"&amp;479,6),LdAKeyM,0),"")</f>
        <v/>
      </c>
      <c r="M495">
        <f>IFERROR(MATCH($C$5&amp;"|"&amp;RIGHT("000000"&amp;479,6),LdBKeyM,0),"")</f>
        <v/>
      </c>
      <c r="N495">
        <f>IFERROR(MATCH($C$5&amp;"|"&amp;RIGHT("000000"&amp;479,6),LdCKeyM,0),"")</f>
        <v/>
      </c>
    </row>
    <row r="496">
      <c r="A496" s="19" t="n">
        <v>480</v>
      </c>
      <c r="B496" s="20">
        <f>IF(AND($L496="",$M496="",$N496=""),"",IF($L496&lt;&gt;"",INDEX(LdADate,$L496),IF($M496&lt;&gt;"",INDEX(LdBDate,$M496),INDEX(LdCDate,$N496))))</f>
        <v/>
      </c>
      <c r="C496" s="20">
        <f>IF($L496&lt;&gt;"","دستمزد (فردی)",IF($M496&lt;&gt;"","سهم از گروه "&amp;IFERROR(VLOOKUP(INDEX(LdBGroup,$M496),WGTbl,2,0),INDEX(LdBGroup,$M496)),IF($N496&lt;&gt;"",IF(N(INDEX(LdCDep,$N496))&gt;0,"بازگشت بانکی","پرداخت بانکی"),"")))</f>
        <v/>
      </c>
      <c r="D496" s="20">
        <f>IF($L496&lt;&gt;"",IF(INDEX(LdAId,$L496)="","—",INDEX(LdAId,$L496)),IF($M496&lt;&gt;"",IF(INDEX(LdBId,$M496)="","—",INDEX(LdBId,$M496)),IF($N496&lt;&gt;"",IF(INDEX(LdCBank,$N496)="","—",INDEX(LdCBank,$N496)),"")))</f>
        <v/>
      </c>
      <c r="E496" s="21">
        <f>IF($L496&lt;&gt;"",IF(INDEX(LdAAmt,$L496)=0,"",INDEX(LdAAmt,$L496)),IF($M496&lt;&gt;"",IF(INDEX(LdBAmt,$M496)=0,"",INDEX(LdBAmt,$M496)),IF($N496&lt;&gt;"",IF(INDEX(LdCDep,$N496)=0,"",INDEX(LdCDep,$N496)),"")))</f>
        <v/>
      </c>
      <c r="F496" s="21">
        <f>IF(AND($L496="",$M496="",$N496=""),"",IF($N496="","",IF(INDEX(LdCWit,$N496)=0,"",INDEX(LdCWit,$N496))))</f>
        <v/>
      </c>
      <c r="G496" s="31">
        <f>IF($B496="","",IF($G495="",0,$G495)+IF($E496="",0,$E496)-IF($F496="",0,$F496))</f>
        <v/>
      </c>
      <c r="H496" s="32">
        <f>IF(AND($L496="",$M496="",$N496=""),"",IF($L496&lt;&gt;"",IF(INDEX(LdANote,$L496)="","—",INDEX(LdANote,$L496)),IF($M496&lt;&gt;"",IF(INDEX(LdBNote,$M496)="","—",INDEX(LdBNote,$M496)),IF($N496&lt;&gt;"",IF(INDEX(LdCNote,$N496)="","—",INDEX(LdCNote,$N496)),""))))</f>
        <v/>
      </c>
      <c r="L496">
        <f>IFERROR(MATCH($C$5&amp;"|"&amp;RIGHT("000000"&amp;480,6),LdAKeyM,0),"")</f>
        <v/>
      </c>
      <c r="M496">
        <f>IFERROR(MATCH($C$5&amp;"|"&amp;RIGHT("000000"&amp;480,6),LdBKeyM,0),"")</f>
        <v/>
      </c>
      <c r="N496">
        <f>IFERROR(MATCH($C$5&amp;"|"&amp;RIGHT("000000"&amp;480,6),LdCKeyM,0),"")</f>
        <v/>
      </c>
    </row>
    <row r="497">
      <c r="A497" s="10" t="n">
        <v>481</v>
      </c>
      <c r="B497" s="14">
        <f>IF(AND($L497="",$M497="",$N497=""),"",IF($L497&lt;&gt;"",INDEX(LdADate,$L497),IF($M497&lt;&gt;"",INDEX(LdBDate,$M497),INDEX(LdCDate,$N497))))</f>
        <v/>
      </c>
      <c r="C497" s="14">
        <f>IF($L497&lt;&gt;"","دستمزد (فردی)",IF($M497&lt;&gt;"","سهم از گروه "&amp;IFERROR(VLOOKUP(INDEX(LdBGroup,$M497),WGTbl,2,0),INDEX(LdBGroup,$M497)),IF($N497&lt;&gt;"",IF(N(INDEX(LdCDep,$N497))&gt;0,"بازگشت بانکی","پرداخت بانکی"),"")))</f>
        <v/>
      </c>
      <c r="D497" s="14">
        <f>IF($L497&lt;&gt;"",IF(INDEX(LdAId,$L497)="","—",INDEX(LdAId,$L497)),IF($M497&lt;&gt;"",IF(INDEX(LdBId,$M497)="","—",INDEX(LdBId,$M497)),IF($N497&lt;&gt;"",IF(INDEX(LdCBank,$N497)="","—",INDEX(LdCBank,$N497)),"")))</f>
        <v/>
      </c>
      <c r="E497" s="16">
        <f>IF($L497&lt;&gt;"",IF(INDEX(LdAAmt,$L497)=0,"",INDEX(LdAAmt,$L497)),IF($M497&lt;&gt;"",IF(INDEX(LdBAmt,$M497)=0,"",INDEX(LdBAmt,$M497)),IF($N497&lt;&gt;"",IF(INDEX(LdCDep,$N497)=0,"",INDEX(LdCDep,$N497)),"")))</f>
        <v/>
      </c>
      <c r="F497" s="16">
        <f>IF(AND($L497="",$M497="",$N497=""),"",IF($N497="","",IF(INDEX(LdCWit,$N497)=0,"",INDEX(LdCWit,$N497))))</f>
        <v/>
      </c>
      <c r="G497" s="29">
        <f>IF($B497="","",IF($G496="",0,$G496)+IF($E497="",0,$E497)-IF($F497="",0,$F497))</f>
        <v/>
      </c>
      <c r="H497" s="30">
        <f>IF(AND($L497="",$M497="",$N497=""),"",IF($L497&lt;&gt;"",IF(INDEX(LdANote,$L497)="","—",INDEX(LdANote,$L497)),IF($M497&lt;&gt;"",IF(INDEX(LdBNote,$M497)="","—",INDEX(LdBNote,$M497)),IF($N497&lt;&gt;"",IF(INDEX(LdCNote,$N497)="","—",INDEX(LdCNote,$N497)),""))))</f>
        <v/>
      </c>
      <c r="L497">
        <f>IFERROR(MATCH($C$5&amp;"|"&amp;RIGHT("000000"&amp;481,6),LdAKeyM,0),"")</f>
        <v/>
      </c>
      <c r="M497">
        <f>IFERROR(MATCH($C$5&amp;"|"&amp;RIGHT("000000"&amp;481,6),LdBKeyM,0),"")</f>
        <v/>
      </c>
      <c r="N497">
        <f>IFERROR(MATCH($C$5&amp;"|"&amp;RIGHT("000000"&amp;481,6),LdCKeyM,0),"")</f>
        <v/>
      </c>
    </row>
    <row r="498">
      <c r="A498" s="19" t="n">
        <v>482</v>
      </c>
      <c r="B498" s="20">
        <f>IF(AND($L498="",$M498="",$N498=""),"",IF($L498&lt;&gt;"",INDEX(LdADate,$L498),IF($M498&lt;&gt;"",INDEX(LdBDate,$M498),INDEX(LdCDate,$N498))))</f>
        <v/>
      </c>
      <c r="C498" s="20">
        <f>IF($L498&lt;&gt;"","دستمزد (فردی)",IF($M498&lt;&gt;"","سهم از گروه "&amp;IFERROR(VLOOKUP(INDEX(LdBGroup,$M498),WGTbl,2,0),INDEX(LdBGroup,$M498)),IF($N498&lt;&gt;"",IF(N(INDEX(LdCDep,$N498))&gt;0,"بازگشت بانکی","پرداخت بانکی"),"")))</f>
        <v/>
      </c>
      <c r="D498" s="20">
        <f>IF($L498&lt;&gt;"",IF(INDEX(LdAId,$L498)="","—",INDEX(LdAId,$L498)),IF($M498&lt;&gt;"",IF(INDEX(LdBId,$M498)="","—",INDEX(LdBId,$M498)),IF($N498&lt;&gt;"",IF(INDEX(LdCBank,$N498)="","—",INDEX(LdCBank,$N498)),"")))</f>
        <v/>
      </c>
      <c r="E498" s="21">
        <f>IF($L498&lt;&gt;"",IF(INDEX(LdAAmt,$L498)=0,"",INDEX(LdAAmt,$L498)),IF($M498&lt;&gt;"",IF(INDEX(LdBAmt,$M498)=0,"",INDEX(LdBAmt,$M498)),IF($N498&lt;&gt;"",IF(INDEX(LdCDep,$N498)=0,"",INDEX(LdCDep,$N498)),"")))</f>
        <v/>
      </c>
      <c r="F498" s="21">
        <f>IF(AND($L498="",$M498="",$N498=""),"",IF($N498="","",IF(INDEX(LdCWit,$N498)=0,"",INDEX(LdCWit,$N498))))</f>
        <v/>
      </c>
      <c r="G498" s="31">
        <f>IF($B498="","",IF($G497="",0,$G497)+IF($E498="",0,$E498)-IF($F498="",0,$F498))</f>
        <v/>
      </c>
      <c r="H498" s="32">
        <f>IF(AND($L498="",$M498="",$N498=""),"",IF($L498&lt;&gt;"",IF(INDEX(LdANote,$L498)="","—",INDEX(LdANote,$L498)),IF($M498&lt;&gt;"",IF(INDEX(LdBNote,$M498)="","—",INDEX(LdBNote,$M498)),IF($N498&lt;&gt;"",IF(INDEX(LdCNote,$N498)="","—",INDEX(LdCNote,$N498)),""))))</f>
        <v/>
      </c>
      <c r="L498">
        <f>IFERROR(MATCH($C$5&amp;"|"&amp;RIGHT("000000"&amp;482,6),LdAKeyM,0),"")</f>
        <v/>
      </c>
      <c r="M498">
        <f>IFERROR(MATCH($C$5&amp;"|"&amp;RIGHT("000000"&amp;482,6),LdBKeyM,0),"")</f>
        <v/>
      </c>
      <c r="N498">
        <f>IFERROR(MATCH($C$5&amp;"|"&amp;RIGHT("000000"&amp;482,6),LdCKeyM,0),"")</f>
        <v/>
      </c>
    </row>
    <row r="499">
      <c r="A499" s="10" t="n">
        <v>483</v>
      </c>
      <c r="B499" s="14">
        <f>IF(AND($L499="",$M499="",$N499=""),"",IF($L499&lt;&gt;"",INDEX(LdADate,$L499),IF($M499&lt;&gt;"",INDEX(LdBDate,$M499),INDEX(LdCDate,$N499))))</f>
        <v/>
      </c>
      <c r="C499" s="14">
        <f>IF($L499&lt;&gt;"","دستمزد (فردی)",IF($M499&lt;&gt;"","سهم از گروه "&amp;IFERROR(VLOOKUP(INDEX(LdBGroup,$M499),WGTbl,2,0),INDEX(LdBGroup,$M499)),IF($N499&lt;&gt;"",IF(N(INDEX(LdCDep,$N499))&gt;0,"بازگشت بانکی","پرداخت بانکی"),"")))</f>
        <v/>
      </c>
      <c r="D499" s="14">
        <f>IF($L499&lt;&gt;"",IF(INDEX(LdAId,$L499)="","—",INDEX(LdAId,$L499)),IF($M499&lt;&gt;"",IF(INDEX(LdBId,$M499)="","—",INDEX(LdBId,$M499)),IF($N499&lt;&gt;"",IF(INDEX(LdCBank,$N499)="","—",INDEX(LdCBank,$N499)),"")))</f>
        <v/>
      </c>
      <c r="E499" s="16">
        <f>IF($L499&lt;&gt;"",IF(INDEX(LdAAmt,$L499)=0,"",INDEX(LdAAmt,$L499)),IF($M499&lt;&gt;"",IF(INDEX(LdBAmt,$M499)=0,"",INDEX(LdBAmt,$M499)),IF($N499&lt;&gt;"",IF(INDEX(LdCDep,$N499)=0,"",INDEX(LdCDep,$N499)),"")))</f>
        <v/>
      </c>
      <c r="F499" s="16">
        <f>IF(AND($L499="",$M499="",$N499=""),"",IF($N499="","",IF(INDEX(LdCWit,$N499)=0,"",INDEX(LdCWit,$N499))))</f>
        <v/>
      </c>
      <c r="G499" s="29">
        <f>IF($B499="","",IF($G498="",0,$G498)+IF($E499="",0,$E499)-IF($F499="",0,$F499))</f>
        <v/>
      </c>
      <c r="H499" s="30">
        <f>IF(AND($L499="",$M499="",$N499=""),"",IF($L499&lt;&gt;"",IF(INDEX(LdANote,$L499)="","—",INDEX(LdANote,$L499)),IF($M499&lt;&gt;"",IF(INDEX(LdBNote,$M499)="","—",INDEX(LdBNote,$M499)),IF($N499&lt;&gt;"",IF(INDEX(LdCNote,$N499)="","—",INDEX(LdCNote,$N499)),""))))</f>
        <v/>
      </c>
      <c r="L499">
        <f>IFERROR(MATCH($C$5&amp;"|"&amp;RIGHT("000000"&amp;483,6),LdAKeyM,0),"")</f>
        <v/>
      </c>
      <c r="M499">
        <f>IFERROR(MATCH($C$5&amp;"|"&amp;RIGHT("000000"&amp;483,6),LdBKeyM,0),"")</f>
        <v/>
      </c>
      <c r="N499">
        <f>IFERROR(MATCH($C$5&amp;"|"&amp;RIGHT("000000"&amp;483,6),LdCKeyM,0),"")</f>
        <v/>
      </c>
    </row>
    <row r="500">
      <c r="A500" s="19" t="n">
        <v>484</v>
      </c>
      <c r="B500" s="20">
        <f>IF(AND($L500="",$M500="",$N500=""),"",IF($L500&lt;&gt;"",INDEX(LdADate,$L500),IF($M500&lt;&gt;"",INDEX(LdBDate,$M500),INDEX(LdCDate,$N500))))</f>
        <v/>
      </c>
      <c r="C500" s="20">
        <f>IF($L500&lt;&gt;"","دستمزد (فردی)",IF($M500&lt;&gt;"","سهم از گروه "&amp;IFERROR(VLOOKUP(INDEX(LdBGroup,$M500),WGTbl,2,0),INDEX(LdBGroup,$M500)),IF($N500&lt;&gt;"",IF(N(INDEX(LdCDep,$N500))&gt;0,"بازگشت بانکی","پرداخت بانکی"),"")))</f>
        <v/>
      </c>
      <c r="D500" s="20">
        <f>IF($L500&lt;&gt;"",IF(INDEX(LdAId,$L500)="","—",INDEX(LdAId,$L500)),IF($M500&lt;&gt;"",IF(INDEX(LdBId,$M500)="","—",INDEX(LdBId,$M500)),IF($N500&lt;&gt;"",IF(INDEX(LdCBank,$N500)="","—",INDEX(LdCBank,$N500)),"")))</f>
        <v/>
      </c>
      <c r="E500" s="21">
        <f>IF($L500&lt;&gt;"",IF(INDEX(LdAAmt,$L500)=0,"",INDEX(LdAAmt,$L500)),IF($M500&lt;&gt;"",IF(INDEX(LdBAmt,$M500)=0,"",INDEX(LdBAmt,$M500)),IF($N500&lt;&gt;"",IF(INDEX(LdCDep,$N500)=0,"",INDEX(LdCDep,$N500)),"")))</f>
        <v/>
      </c>
      <c r="F500" s="21">
        <f>IF(AND($L500="",$M500="",$N500=""),"",IF($N500="","",IF(INDEX(LdCWit,$N500)=0,"",INDEX(LdCWit,$N500))))</f>
        <v/>
      </c>
      <c r="G500" s="31">
        <f>IF($B500="","",IF($G499="",0,$G499)+IF($E500="",0,$E500)-IF($F500="",0,$F500))</f>
        <v/>
      </c>
      <c r="H500" s="32">
        <f>IF(AND($L500="",$M500="",$N500=""),"",IF($L500&lt;&gt;"",IF(INDEX(LdANote,$L500)="","—",INDEX(LdANote,$L500)),IF($M500&lt;&gt;"",IF(INDEX(LdBNote,$M500)="","—",INDEX(LdBNote,$M500)),IF($N500&lt;&gt;"",IF(INDEX(LdCNote,$N500)="","—",INDEX(LdCNote,$N500)),""))))</f>
        <v/>
      </c>
      <c r="L500">
        <f>IFERROR(MATCH($C$5&amp;"|"&amp;RIGHT("000000"&amp;484,6),LdAKeyM,0),"")</f>
        <v/>
      </c>
      <c r="M500">
        <f>IFERROR(MATCH($C$5&amp;"|"&amp;RIGHT("000000"&amp;484,6),LdBKeyM,0),"")</f>
        <v/>
      </c>
      <c r="N500">
        <f>IFERROR(MATCH($C$5&amp;"|"&amp;RIGHT("000000"&amp;484,6),LdCKeyM,0),"")</f>
        <v/>
      </c>
    </row>
    <row r="501">
      <c r="A501" s="10" t="n">
        <v>485</v>
      </c>
      <c r="B501" s="14">
        <f>IF(AND($L501="",$M501="",$N501=""),"",IF($L501&lt;&gt;"",INDEX(LdADate,$L501),IF($M501&lt;&gt;"",INDEX(LdBDate,$M501),INDEX(LdCDate,$N501))))</f>
        <v/>
      </c>
      <c r="C501" s="14">
        <f>IF($L501&lt;&gt;"","دستمزد (فردی)",IF($M501&lt;&gt;"","سهم از گروه "&amp;IFERROR(VLOOKUP(INDEX(LdBGroup,$M501),WGTbl,2,0),INDEX(LdBGroup,$M501)),IF($N501&lt;&gt;"",IF(N(INDEX(LdCDep,$N501))&gt;0,"بازگشت بانکی","پرداخت بانکی"),"")))</f>
        <v/>
      </c>
      <c r="D501" s="14">
        <f>IF($L501&lt;&gt;"",IF(INDEX(LdAId,$L501)="","—",INDEX(LdAId,$L501)),IF($M501&lt;&gt;"",IF(INDEX(LdBId,$M501)="","—",INDEX(LdBId,$M501)),IF($N501&lt;&gt;"",IF(INDEX(LdCBank,$N501)="","—",INDEX(LdCBank,$N501)),"")))</f>
        <v/>
      </c>
      <c r="E501" s="16">
        <f>IF($L501&lt;&gt;"",IF(INDEX(LdAAmt,$L501)=0,"",INDEX(LdAAmt,$L501)),IF($M501&lt;&gt;"",IF(INDEX(LdBAmt,$M501)=0,"",INDEX(LdBAmt,$M501)),IF($N501&lt;&gt;"",IF(INDEX(LdCDep,$N501)=0,"",INDEX(LdCDep,$N501)),"")))</f>
        <v/>
      </c>
      <c r="F501" s="16">
        <f>IF(AND($L501="",$M501="",$N501=""),"",IF($N501="","",IF(INDEX(LdCWit,$N501)=0,"",INDEX(LdCWit,$N501))))</f>
        <v/>
      </c>
      <c r="G501" s="29">
        <f>IF($B501="","",IF($G500="",0,$G500)+IF($E501="",0,$E501)-IF($F501="",0,$F501))</f>
        <v/>
      </c>
      <c r="H501" s="30">
        <f>IF(AND($L501="",$M501="",$N501=""),"",IF($L501&lt;&gt;"",IF(INDEX(LdANote,$L501)="","—",INDEX(LdANote,$L501)),IF($M501&lt;&gt;"",IF(INDEX(LdBNote,$M501)="","—",INDEX(LdBNote,$M501)),IF($N501&lt;&gt;"",IF(INDEX(LdCNote,$N501)="","—",INDEX(LdCNote,$N501)),""))))</f>
        <v/>
      </c>
      <c r="L501">
        <f>IFERROR(MATCH($C$5&amp;"|"&amp;RIGHT("000000"&amp;485,6),LdAKeyM,0),"")</f>
        <v/>
      </c>
      <c r="M501">
        <f>IFERROR(MATCH($C$5&amp;"|"&amp;RIGHT("000000"&amp;485,6),LdBKeyM,0),"")</f>
        <v/>
      </c>
      <c r="N501">
        <f>IFERROR(MATCH($C$5&amp;"|"&amp;RIGHT("000000"&amp;485,6),LdCKeyM,0),"")</f>
        <v/>
      </c>
    </row>
    <row r="502">
      <c r="A502" s="19" t="n">
        <v>486</v>
      </c>
      <c r="B502" s="20">
        <f>IF(AND($L502="",$M502="",$N502=""),"",IF($L502&lt;&gt;"",INDEX(LdADate,$L502),IF($M502&lt;&gt;"",INDEX(LdBDate,$M502),INDEX(LdCDate,$N502))))</f>
        <v/>
      </c>
      <c r="C502" s="20">
        <f>IF($L502&lt;&gt;"","دستمزد (فردی)",IF($M502&lt;&gt;"","سهم از گروه "&amp;IFERROR(VLOOKUP(INDEX(LdBGroup,$M502),WGTbl,2,0),INDEX(LdBGroup,$M502)),IF($N502&lt;&gt;"",IF(N(INDEX(LdCDep,$N502))&gt;0,"بازگشت بانکی","پرداخت بانکی"),"")))</f>
        <v/>
      </c>
      <c r="D502" s="20">
        <f>IF($L502&lt;&gt;"",IF(INDEX(LdAId,$L502)="","—",INDEX(LdAId,$L502)),IF($M502&lt;&gt;"",IF(INDEX(LdBId,$M502)="","—",INDEX(LdBId,$M502)),IF($N502&lt;&gt;"",IF(INDEX(LdCBank,$N502)="","—",INDEX(LdCBank,$N502)),"")))</f>
        <v/>
      </c>
      <c r="E502" s="21">
        <f>IF($L502&lt;&gt;"",IF(INDEX(LdAAmt,$L502)=0,"",INDEX(LdAAmt,$L502)),IF($M502&lt;&gt;"",IF(INDEX(LdBAmt,$M502)=0,"",INDEX(LdBAmt,$M502)),IF($N502&lt;&gt;"",IF(INDEX(LdCDep,$N502)=0,"",INDEX(LdCDep,$N502)),"")))</f>
        <v/>
      </c>
      <c r="F502" s="21">
        <f>IF(AND($L502="",$M502="",$N502=""),"",IF($N502="","",IF(INDEX(LdCWit,$N502)=0,"",INDEX(LdCWit,$N502))))</f>
        <v/>
      </c>
      <c r="G502" s="31">
        <f>IF($B502="","",IF($G501="",0,$G501)+IF($E502="",0,$E502)-IF($F502="",0,$F502))</f>
        <v/>
      </c>
      <c r="H502" s="32">
        <f>IF(AND($L502="",$M502="",$N502=""),"",IF($L502&lt;&gt;"",IF(INDEX(LdANote,$L502)="","—",INDEX(LdANote,$L502)),IF($M502&lt;&gt;"",IF(INDEX(LdBNote,$M502)="","—",INDEX(LdBNote,$M502)),IF($N502&lt;&gt;"",IF(INDEX(LdCNote,$N502)="","—",INDEX(LdCNote,$N502)),""))))</f>
        <v/>
      </c>
      <c r="L502">
        <f>IFERROR(MATCH($C$5&amp;"|"&amp;RIGHT("000000"&amp;486,6),LdAKeyM,0),"")</f>
        <v/>
      </c>
      <c r="M502">
        <f>IFERROR(MATCH($C$5&amp;"|"&amp;RIGHT("000000"&amp;486,6),LdBKeyM,0),"")</f>
        <v/>
      </c>
      <c r="N502">
        <f>IFERROR(MATCH($C$5&amp;"|"&amp;RIGHT("000000"&amp;486,6),LdCKeyM,0),"")</f>
        <v/>
      </c>
    </row>
    <row r="503">
      <c r="A503" s="10" t="n">
        <v>487</v>
      </c>
      <c r="B503" s="14">
        <f>IF(AND($L503="",$M503="",$N503=""),"",IF($L503&lt;&gt;"",INDEX(LdADate,$L503),IF($M503&lt;&gt;"",INDEX(LdBDate,$M503),INDEX(LdCDate,$N503))))</f>
        <v/>
      </c>
      <c r="C503" s="14">
        <f>IF($L503&lt;&gt;"","دستمزد (فردی)",IF($M503&lt;&gt;"","سهم از گروه "&amp;IFERROR(VLOOKUP(INDEX(LdBGroup,$M503),WGTbl,2,0),INDEX(LdBGroup,$M503)),IF($N503&lt;&gt;"",IF(N(INDEX(LdCDep,$N503))&gt;0,"بازگشت بانکی","پرداخت بانکی"),"")))</f>
        <v/>
      </c>
      <c r="D503" s="14">
        <f>IF($L503&lt;&gt;"",IF(INDEX(LdAId,$L503)="","—",INDEX(LdAId,$L503)),IF($M503&lt;&gt;"",IF(INDEX(LdBId,$M503)="","—",INDEX(LdBId,$M503)),IF($N503&lt;&gt;"",IF(INDEX(LdCBank,$N503)="","—",INDEX(LdCBank,$N503)),"")))</f>
        <v/>
      </c>
      <c r="E503" s="16">
        <f>IF($L503&lt;&gt;"",IF(INDEX(LdAAmt,$L503)=0,"",INDEX(LdAAmt,$L503)),IF($M503&lt;&gt;"",IF(INDEX(LdBAmt,$M503)=0,"",INDEX(LdBAmt,$M503)),IF($N503&lt;&gt;"",IF(INDEX(LdCDep,$N503)=0,"",INDEX(LdCDep,$N503)),"")))</f>
        <v/>
      </c>
      <c r="F503" s="16">
        <f>IF(AND($L503="",$M503="",$N503=""),"",IF($N503="","",IF(INDEX(LdCWit,$N503)=0,"",INDEX(LdCWit,$N503))))</f>
        <v/>
      </c>
      <c r="G503" s="29">
        <f>IF($B503="","",IF($G502="",0,$G502)+IF($E503="",0,$E503)-IF($F503="",0,$F503))</f>
        <v/>
      </c>
      <c r="H503" s="30">
        <f>IF(AND($L503="",$M503="",$N503=""),"",IF($L503&lt;&gt;"",IF(INDEX(LdANote,$L503)="","—",INDEX(LdANote,$L503)),IF($M503&lt;&gt;"",IF(INDEX(LdBNote,$M503)="","—",INDEX(LdBNote,$M503)),IF($N503&lt;&gt;"",IF(INDEX(LdCNote,$N503)="","—",INDEX(LdCNote,$N503)),""))))</f>
        <v/>
      </c>
      <c r="L503">
        <f>IFERROR(MATCH($C$5&amp;"|"&amp;RIGHT("000000"&amp;487,6),LdAKeyM,0),"")</f>
        <v/>
      </c>
      <c r="M503">
        <f>IFERROR(MATCH($C$5&amp;"|"&amp;RIGHT("000000"&amp;487,6),LdBKeyM,0),"")</f>
        <v/>
      </c>
      <c r="N503">
        <f>IFERROR(MATCH($C$5&amp;"|"&amp;RIGHT("000000"&amp;487,6),LdCKeyM,0),"")</f>
        <v/>
      </c>
    </row>
    <row r="504">
      <c r="A504" s="19" t="n">
        <v>488</v>
      </c>
      <c r="B504" s="20">
        <f>IF(AND($L504="",$M504="",$N504=""),"",IF($L504&lt;&gt;"",INDEX(LdADate,$L504),IF($M504&lt;&gt;"",INDEX(LdBDate,$M504),INDEX(LdCDate,$N504))))</f>
        <v/>
      </c>
      <c r="C504" s="20">
        <f>IF($L504&lt;&gt;"","دستمزد (فردی)",IF($M504&lt;&gt;"","سهم از گروه "&amp;IFERROR(VLOOKUP(INDEX(LdBGroup,$M504),WGTbl,2,0),INDEX(LdBGroup,$M504)),IF($N504&lt;&gt;"",IF(N(INDEX(LdCDep,$N504))&gt;0,"بازگشت بانکی","پرداخت بانکی"),"")))</f>
        <v/>
      </c>
      <c r="D504" s="20">
        <f>IF($L504&lt;&gt;"",IF(INDEX(LdAId,$L504)="","—",INDEX(LdAId,$L504)),IF($M504&lt;&gt;"",IF(INDEX(LdBId,$M504)="","—",INDEX(LdBId,$M504)),IF($N504&lt;&gt;"",IF(INDEX(LdCBank,$N504)="","—",INDEX(LdCBank,$N504)),"")))</f>
        <v/>
      </c>
      <c r="E504" s="21">
        <f>IF($L504&lt;&gt;"",IF(INDEX(LdAAmt,$L504)=0,"",INDEX(LdAAmt,$L504)),IF($M504&lt;&gt;"",IF(INDEX(LdBAmt,$M504)=0,"",INDEX(LdBAmt,$M504)),IF($N504&lt;&gt;"",IF(INDEX(LdCDep,$N504)=0,"",INDEX(LdCDep,$N504)),"")))</f>
        <v/>
      </c>
      <c r="F504" s="21">
        <f>IF(AND($L504="",$M504="",$N504=""),"",IF($N504="","",IF(INDEX(LdCWit,$N504)=0,"",INDEX(LdCWit,$N504))))</f>
        <v/>
      </c>
      <c r="G504" s="31">
        <f>IF($B504="","",IF($G503="",0,$G503)+IF($E504="",0,$E504)-IF($F504="",0,$F504))</f>
        <v/>
      </c>
      <c r="H504" s="32">
        <f>IF(AND($L504="",$M504="",$N504=""),"",IF($L504&lt;&gt;"",IF(INDEX(LdANote,$L504)="","—",INDEX(LdANote,$L504)),IF($M504&lt;&gt;"",IF(INDEX(LdBNote,$M504)="","—",INDEX(LdBNote,$M504)),IF($N504&lt;&gt;"",IF(INDEX(LdCNote,$N504)="","—",INDEX(LdCNote,$N504)),""))))</f>
        <v/>
      </c>
      <c r="L504">
        <f>IFERROR(MATCH($C$5&amp;"|"&amp;RIGHT("000000"&amp;488,6),LdAKeyM,0),"")</f>
        <v/>
      </c>
      <c r="M504">
        <f>IFERROR(MATCH($C$5&amp;"|"&amp;RIGHT("000000"&amp;488,6),LdBKeyM,0),"")</f>
        <v/>
      </c>
      <c r="N504">
        <f>IFERROR(MATCH($C$5&amp;"|"&amp;RIGHT("000000"&amp;488,6),LdCKeyM,0),"")</f>
        <v/>
      </c>
    </row>
    <row r="505">
      <c r="A505" s="10" t="n">
        <v>489</v>
      </c>
      <c r="B505" s="14">
        <f>IF(AND($L505="",$M505="",$N505=""),"",IF($L505&lt;&gt;"",INDEX(LdADate,$L505),IF($M505&lt;&gt;"",INDEX(LdBDate,$M505),INDEX(LdCDate,$N505))))</f>
        <v/>
      </c>
      <c r="C505" s="14">
        <f>IF($L505&lt;&gt;"","دستمزد (فردی)",IF($M505&lt;&gt;"","سهم از گروه "&amp;IFERROR(VLOOKUP(INDEX(LdBGroup,$M505),WGTbl,2,0),INDEX(LdBGroup,$M505)),IF($N505&lt;&gt;"",IF(N(INDEX(LdCDep,$N505))&gt;0,"بازگشت بانکی","پرداخت بانکی"),"")))</f>
        <v/>
      </c>
      <c r="D505" s="14">
        <f>IF($L505&lt;&gt;"",IF(INDEX(LdAId,$L505)="","—",INDEX(LdAId,$L505)),IF($M505&lt;&gt;"",IF(INDEX(LdBId,$M505)="","—",INDEX(LdBId,$M505)),IF($N505&lt;&gt;"",IF(INDEX(LdCBank,$N505)="","—",INDEX(LdCBank,$N505)),"")))</f>
        <v/>
      </c>
      <c r="E505" s="16">
        <f>IF($L505&lt;&gt;"",IF(INDEX(LdAAmt,$L505)=0,"",INDEX(LdAAmt,$L505)),IF($M505&lt;&gt;"",IF(INDEX(LdBAmt,$M505)=0,"",INDEX(LdBAmt,$M505)),IF($N505&lt;&gt;"",IF(INDEX(LdCDep,$N505)=0,"",INDEX(LdCDep,$N505)),"")))</f>
        <v/>
      </c>
      <c r="F505" s="16">
        <f>IF(AND($L505="",$M505="",$N505=""),"",IF($N505="","",IF(INDEX(LdCWit,$N505)=0,"",INDEX(LdCWit,$N505))))</f>
        <v/>
      </c>
      <c r="G505" s="29">
        <f>IF($B505="","",IF($G504="",0,$G504)+IF($E505="",0,$E505)-IF($F505="",0,$F505))</f>
        <v/>
      </c>
      <c r="H505" s="30">
        <f>IF(AND($L505="",$M505="",$N505=""),"",IF($L505&lt;&gt;"",IF(INDEX(LdANote,$L505)="","—",INDEX(LdANote,$L505)),IF($M505&lt;&gt;"",IF(INDEX(LdBNote,$M505)="","—",INDEX(LdBNote,$M505)),IF($N505&lt;&gt;"",IF(INDEX(LdCNote,$N505)="","—",INDEX(LdCNote,$N505)),""))))</f>
        <v/>
      </c>
      <c r="L505">
        <f>IFERROR(MATCH($C$5&amp;"|"&amp;RIGHT("000000"&amp;489,6),LdAKeyM,0),"")</f>
        <v/>
      </c>
      <c r="M505">
        <f>IFERROR(MATCH($C$5&amp;"|"&amp;RIGHT("000000"&amp;489,6),LdBKeyM,0),"")</f>
        <v/>
      </c>
      <c r="N505">
        <f>IFERROR(MATCH($C$5&amp;"|"&amp;RIGHT("000000"&amp;489,6),LdCKeyM,0),"")</f>
        <v/>
      </c>
    </row>
    <row r="506">
      <c r="A506" s="19" t="n">
        <v>490</v>
      </c>
      <c r="B506" s="20">
        <f>IF(AND($L506="",$M506="",$N506=""),"",IF($L506&lt;&gt;"",INDEX(LdADate,$L506),IF($M506&lt;&gt;"",INDEX(LdBDate,$M506),INDEX(LdCDate,$N506))))</f>
        <v/>
      </c>
      <c r="C506" s="20">
        <f>IF($L506&lt;&gt;"","دستمزد (فردی)",IF($M506&lt;&gt;"","سهم از گروه "&amp;IFERROR(VLOOKUP(INDEX(LdBGroup,$M506),WGTbl,2,0),INDEX(LdBGroup,$M506)),IF($N506&lt;&gt;"",IF(N(INDEX(LdCDep,$N506))&gt;0,"بازگشت بانکی","پرداخت بانکی"),"")))</f>
        <v/>
      </c>
      <c r="D506" s="20">
        <f>IF($L506&lt;&gt;"",IF(INDEX(LdAId,$L506)="","—",INDEX(LdAId,$L506)),IF($M506&lt;&gt;"",IF(INDEX(LdBId,$M506)="","—",INDEX(LdBId,$M506)),IF($N506&lt;&gt;"",IF(INDEX(LdCBank,$N506)="","—",INDEX(LdCBank,$N506)),"")))</f>
        <v/>
      </c>
      <c r="E506" s="21">
        <f>IF($L506&lt;&gt;"",IF(INDEX(LdAAmt,$L506)=0,"",INDEX(LdAAmt,$L506)),IF($M506&lt;&gt;"",IF(INDEX(LdBAmt,$M506)=0,"",INDEX(LdBAmt,$M506)),IF($N506&lt;&gt;"",IF(INDEX(LdCDep,$N506)=0,"",INDEX(LdCDep,$N506)),"")))</f>
        <v/>
      </c>
      <c r="F506" s="21">
        <f>IF(AND($L506="",$M506="",$N506=""),"",IF($N506="","",IF(INDEX(LdCWit,$N506)=0,"",INDEX(LdCWit,$N506))))</f>
        <v/>
      </c>
      <c r="G506" s="31">
        <f>IF($B506="","",IF($G505="",0,$G505)+IF($E506="",0,$E506)-IF($F506="",0,$F506))</f>
        <v/>
      </c>
      <c r="H506" s="32">
        <f>IF(AND($L506="",$M506="",$N506=""),"",IF($L506&lt;&gt;"",IF(INDEX(LdANote,$L506)="","—",INDEX(LdANote,$L506)),IF($M506&lt;&gt;"",IF(INDEX(LdBNote,$M506)="","—",INDEX(LdBNote,$M506)),IF($N506&lt;&gt;"",IF(INDEX(LdCNote,$N506)="","—",INDEX(LdCNote,$N506)),""))))</f>
        <v/>
      </c>
      <c r="L506">
        <f>IFERROR(MATCH($C$5&amp;"|"&amp;RIGHT("000000"&amp;490,6),LdAKeyM,0),"")</f>
        <v/>
      </c>
      <c r="M506">
        <f>IFERROR(MATCH($C$5&amp;"|"&amp;RIGHT("000000"&amp;490,6),LdBKeyM,0),"")</f>
        <v/>
      </c>
      <c r="N506">
        <f>IFERROR(MATCH($C$5&amp;"|"&amp;RIGHT("000000"&amp;490,6),LdCKeyM,0),"")</f>
        <v/>
      </c>
    </row>
    <row r="507">
      <c r="A507" s="10" t="n">
        <v>491</v>
      </c>
      <c r="B507" s="14">
        <f>IF(AND($L507="",$M507="",$N507=""),"",IF($L507&lt;&gt;"",INDEX(LdADate,$L507),IF($M507&lt;&gt;"",INDEX(LdBDate,$M507),INDEX(LdCDate,$N507))))</f>
        <v/>
      </c>
      <c r="C507" s="14">
        <f>IF($L507&lt;&gt;"","دستمزد (فردی)",IF($M507&lt;&gt;"","سهم از گروه "&amp;IFERROR(VLOOKUP(INDEX(LdBGroup,$M507),WGTbl,2,0),INDEX(LdBGroup,$M507)),IF($N507&lt;&gt;"",IF(N(INDEX(LdCDep,$N507))&gt;0,"بازگشت بانکی","پرداخت بانکی"),"")))</f>
        <v/>
      </c>
      <c r="D507" s="14">
        <f>IF($L507&lt;&gt;"",IF(INDEX(LdAId,$L507)="","—",INDEX(LdAId,$L507)),IF($M507&lt;&gt;"",IF(INDEX(LdBId,$M507)="","—",INDEX(LdBId,$M507)),IF($N507&lt;&gt;"",IF(INDEX(LdCBank,$N507)="","—",INDEX(LdCBank,$N507)),"")))</f>
        <v/>
      </c>
      <c r="E507" s="16">
        <f>IF($L507&lt;&gt;"",IF(INDEX(LdAAmt,$L507)=0,"",INDEX(LdAAmt,$L507)),IF($M507&lt;&gt;"",IF(INDEX(LdBAmt,$M507)=0,"",INDEX(LdBAmt,$M507)),IF($N507&lt;&gt;"",IF(INDEX(LdCDep,$N507)=0,"",INDEX(LdCDep,$N507)),"")))</f>
        <v/>
      </c>
      <c r="F507" s="16">
        <f>IF(AND($L507="",$M507="",$N507=""),"",IF($N507="","",IF(INDEX(LdCWit,$N507)=0,"",INDEX(LdCWit,$N507))))</f>
        <v/>
      </c>
      <c r="G507" s="29">
        <f>IF($B507="","",IF($G506="",0,$G506)+IF($E507="",0,$E507)-IF($F507="",0,$F507))</f>
        <v/>
      </c>
      <c r="H507" s="30">
        <f>IF(AND($L507="",$M507="",$N507=""),"",IF($L507&lt;&gt;"",IF(INDEX(LdANote,$L507)="","—",INDEX(LdANote,$L507)),IF($M507&lt;&gt;"",IF(INDEX(LdBNote,$M507)="","—",INDEX(LdBNote,$M507)),IF($N507&lt;&gt;"",IF(INDEX(LdCNote,$N507)="","—",INDEX(LdCNote,$N507)),""))))</f>
        <v/>
      </c>
      <c r="L507">
        <f>IFERROR(MATCH($C$5&amp;"|"&amp;RIGHT("000000"&amp;491,6),LdAKeyM,0),"")</f>
        <v/>
      </c>
      <c r="M507">
        <f>IFERROR(MATCH($C$5&amp;"|"&amp;RIGHT("000000"&amp;491,6),LdBKeyM,0),"")</f>
        <v/>
      </c>
      <c r="N507">
        <f>IFERROR(MATCH($C$5&amp;"|"&amp;RIGHT("000000"&amp;491,6),LdCKeyM,0),"")</f>
        <v/>
      </c>
    </row>
    <row r="508">
      <c r="A508" s="19" t="n">
        <v>492</v>
      </c>
      <c r="B508" s="20">
        <f>IF(AND($L508="",$M508="",$N508=""),"",IF($L508&lt;&gt;"",INDEX(LdADate,$L508),IF($M508&lt;&gt;"",INDEX(LdBDate,$M508),INDEX(LdCDate,$N508))))</f>
        <v/>
      </c>
      <c r="C508" s="20">
        <f>IF($L508&lt;&gt;"","دستمزد (فردی)",IF($M508&lt;&gt;"","سهم از گروه "&amp;IFERROR(VLOOKUP(INDEX(LdBGroup,$M508),WGTbl,2,0),INDEX(LdBGroup,$M508)),IF($N508&lt;&gt;"",IF(N(INDEX(LdCDep,$N508))&gt;0,"بازگشت بانکی","پرداخت بانکی"),"")))</f>
        <v/>
      </c>
      <c r="D508" s="20">
        <f>IF($L508&lt;&gt;"",IF(INDEX(LdAId,$L508)="","—",INDEX(LdAId,$L508)),IF($M508&lt;&gt;"",IF(INDEX(LdBId,$M508)="","—",INDEX(LdBId,$M508)),IF($N508&lt;&gt;"",IF(INDEX(LdCBank,$N508)="","—",INDEX(LdCBank,$N508)),"")))</f>
        <v/>
      </c>
      <c r="E508" s="21">
        <f>IF($L508&lt;&gt;"",IF(INDEX(LdAAmt,$L508)=0,"",INDEX(LdAAmt,$L508)),IF($M508&lt;&gt;"",IF(INDEX(LdBAmt,$M508)=0,"",INDEX(LdBAmt,$M508)),IF($N508&lt;&gt;"",IF(INDEX(LdCDep,$N508)=0,"",INDEX(LdCDep,$N508)),"")))</f>
        <v/>
      </c>
      <c r="F508" s="21">
        <f>IF(AND($L508="",$M508="",$N508=""),"",IF($N508="","",IF(INDEX(LdCWit,$N508)=0,"",INDEX(LdCWit,$N508))))</f>
        <v/>
      </c>
      <c r="G508" s="31">
        <f>IF($B508="","",IF($G507="",0,$G507)+IF($E508="",0,$E508)-IF($F508="",0,$F508))</f>
        <v/>
      </c>
      <c r="H508" s="32">
        <f>IF(AND($L508="",$M508="",$N508=""),"",IF($L508&lt;&gt;"",IF(INDEX(LdANote,$L508)="","—",INDEX(LdANote,$L508)),IF($M508&lt;&gt;"",IF(INDEX(LdBNote,$M508)="","—",INDEX(LdBNote,$M508)),IF($N508&lt;&gt;"",IF(INDEX(LdCNote,$N508)="","—",INDEX(LdCNote,$N508)),""))))</f>
        <v/>
      </c>
      <c r="L508">
        <f>IFERROR(MATCH($C$5&amp;"|"&amp;RIGHT("000000"&amp;492,6),LdAKeyM,0),"")</f>
        <v/>
      </c>
      <c r="M508">
        <f>IFERROR(MATCH($C$5&amp;"|"&amp;RIGHT("000000"&amp;492,6),LdBKeyM,0),"")</f>
        <v/>
      </c>
      <c r="N508">
        <f>IFERROR(MATCH($C$5&amp;"|"&amp;RIGHT("000000"&amp;492,6),LdCKeyM,0),"")</f>
        <v/>
      </c>
    </row>
    <row r="509">
      <c r="A509" s="10" t="n">
        <v>493</v>
      </c>
      <c r="B509" s="14">
        <f>IF(AND($L509="",$M509="",$N509=""),"",IF($L509&lt;&gt;"",INDEX(LdADate,$L509),IF($M509&lt;&gt;"",INDEX(LdBDate,$M509),INDEX(LdCDate,$N509))))</f>
        <v/>
      </c>
      <c r="C509" s="14">
        <f>IF($L509&lt;&gt;"","دستمزد (فردی)",IF($M509&lt;&gt;"","سهم از گروه "&amp;IFERROR(VLOOKUP(INDEX(LdBGroup,$M509),WGTbl,2,0),INDEX(LdBGroup,$M509)),IF($N509&lt;&gt;"",IF(N(INDEX(LdCDep,$N509))&gt;0,"بازگشت بانکی","پرداخت بانکی"),"")))</f>
        <v/>
      </c>
      <c r="D509" s="14">
        <f>IF($L509&lt;&gt;"",IF(INDEX(LdAId,$L509)="","—",INDEX(LdAId,$L509)),IF($M509&lt;&gt;"",IF(INDEX(LdBId,$M509)="","—",INDEX(LdBId,$M509)),IF($N509&lt;&gt;"",IF(INDEX(LdCBank,$N509)="","—",INDEX(LdCBank,$N509)),"")))</f>
        <v/>
      </c>
      <c r="E509" s="16">
        <f>IF($L509&lt;&gt;"",IF(INDEX(LdAAmt,$L509)=0,"",INDEX(LdAAmt,$L509)),IF($M509&lt;&gt;"",IF(INDEX(LdBAmt,$M509)=0,"",INDEX(LdBAmt,$M509)),IF($N509&lt;&gt;"",IF(INDEX(LdCDep,$N509)=0,"",INDEX(LdCDep,$N509)),"")))</f>
        <v/>
      </c>
      <c r="F509" s="16">
        <f>IF(AND($L509="",$M509="",$N509=""),"",IF($N509="","",IF(INDEX(LdCWit,$N509)=0,"",INDEX(LdCWit,$N509))))</f>
        <v/>
      </c>
      <c r="G509" s="29">
        <f>IF($B509="","",IF($G508="",0,$G508)+IF($E509="",0,$E509)-IF($F509="",0,$F509))</f>
        <v/>
      </c>
      <c r="H509" s="30">
        <f>IF(AND($L509="",$M509="",$N509=""),"",IF($L509&lt;&gt;"",IF(INDEX(LdANote,$L509)="","—",INDEX(LdANote,$L509)),IF($M509&lt;&gt;"",IF(INDEX(LdBNote,$M509)="","—",INDEX(LdBNote,$M509)),IF($N509&lt;&gt;"",IF(INDEX(LdCNote,$N509)="","—",INDEX(LdCNote,$N509)),""))))</f>
        <v/>
      </c>
      <c r="L509">
        <f>IFERROR(MATCH($C$5&amp;"|"&amp;RIGHT("000000"&amp;493,6),LdAKeyM,0),"")</f>
        <v/>
      </c>
      <c r="M509">
        <f>IFERROR(MATCH($C$5&amp;"|"&amp;RIGHT("000000"&amp;493,6),LdBKeyM,0),"")</f>
        <v/>
      </c>
      <c r="N509">
        <f>IFERROR(MATCH($C$5&amp;"|"&amp;RIGHT("000000"&amp;493,6),LdCKeyM,0),"")</f>
        <v/>
      </c>
    </row>
    <row r="510">
      <c r="A510" s="19" t="n">
        <v>494</v>
      </c>
      <c r="B510" s="20">
        <f>IF(AND($L510="",$M510="",$N510=""),"",IF($L510&lt;&gt;"",INDEX(LdADate,$L510),IF($M510&lt;&gt;"",INDEX(LdBDate,$M510),INDEX(LdCDate,$N510))))</f>
        <v/>
      </c>
      <c r="C510" s="20">
        <f>IF($L510&lt;&gt;"","دستمزد (فردی)",IF($M510&lt;&gt;"","سهم از گروه "&amp;IFERROR(VLOOKUP(INDEX(LdBGroup,$M510),WGTbl,2,0),INDEX(LdBGroup,$M510)),IF($N510&lt;&gt;"",IF(N(INDEX(LdCDep,$N510))&gt;0,"بازگشت بانکی","پرداخت بانکی"),"")))</f>
        <v/>
      </c>
      <c r="D510" s="20">
        <f>IF($L510&lt;&gt;"",IF(INDEX(LdAId,$L510)="","—",INDEX(LdAId,$L510)),IF($M510&lt;&gt;"",IF(INDEX(LdBId,$M510)="","—",INDEX(LdBId,$M510)),IF($N510&lt;&gt;"",IF(INDEX(LdCBank,$N510)="","—",INDEX(LdCBank,$N510)),"")))</f>
        <v/>
      </c>
      <c r="E510" s="21">
        <f>IF($L510&lt;&gt;"",IF(INDEX(LdAAmt,$L510)=0,"",INDEX(LdAAmt,$L510)),IF($M510&lt;&gt;"",IF(INDEX(LdBAmt,$M510)=0,"",INDEX(LdBAmt,$M510)),IF($N510&lt;&gt;"",IF(INDEX(LdCDep,$N510)=0,"",INDEX(LdCDep,$N510)),"")))</f>
        <v/>
      </c>
      <c r="F510" s="21">
        <f>IF(AND($L510="",$M510="",$N510=""),"",IF($N510="","",IF(INDEX(LdCWit,$N510)=0,"",INDEX(LdCWit,$N510))))</f>
        <v/>
      </c>
      <c r="G510" s="31">
        <f>IF($B510="","",IF($G509="",0,$G509)+IF($E510="",0,$E510)-IF($F510="",0,$F510))</f>
        <v/>
      </c>
      <c r="H510" s="32">
        <f>IF(AND($L510="",$M510="",$N510=""),"",IF($L510&lt;&gt;"",IF(INDEX(LdANote,$L510)="","—",INDEX(LdANote,$L510)),IF($M510&lt;&gt;"",IF(INDEX(LdBNote,$M510)="","—",INDEX(LdBNote,$M510)),IF($N510&lt;&gt;"",IF(INDEX(LdCNote,$N510)="","—",INDEX(LdCNote,$N510)),""))))</f>
        <v/>
      </c>
      <c r="L510">
        <f>IFERROR(MATCH($C$5&amp;"|"&amp;RIGHT("000000"&amp;494,6),LdAKeyM,0),"")</f>
        <v/>
      </c>
      <c r="M510">
        <f>IFERROR(MATCH($C$5&amp;"|"&amp;RIGHT("000000"&amp;494,6),LdBKeyM,0),"")</f>
        <v/>
      </c>
      <c r="N510">
        <f>IFERROR(MATCH($C$5&amp;"|"&amp;RIGHT("000000"&amp;494,6),LdCKeyM,0),"")</f>
        <v/>
      </c>
    </row>
    <row r="511">
      <c r="A511" s="10" t="n">
        <v>495</v>
      </c>
      <c r="B511" s="14">
        <f>IF(AND($L511="",$M511="",$N511=""),"",IF($L511&lt;&gt;"",INDEX(LdADate,$L511),IF($M511&lt;&gt;"",INDEX(LdBDate,$M511),INDEX(LdCDate,$N511))))</f>
        <v/>
      </c>
      <c r="C511" s="14">
        <f>IF($L511&lt;&gt;"","دستمزد (فردی)",IF($M511&lt;&gt;"","سهم از گروه "&amp;IFERROR(VLOOKUP(INDEX(LdBGroup,$M511),WGTbl,2,0),INDEX(LdBGroup,$M511)),IF($N511&lt;&gt;"",IF(N(INDEX(LdCDep,$N511))&gt;0,"بازگشت بانکی","پرداخت بانکی"),"")))</f>
        <v/>
      </c>
      <c r="D511" s="14">
        <f>IF($L511&lt;&gt;"",IF(INDEX(LdAId,$L511)="","—",INDEX(LdAId,$L511)),IF($M511&lt;&gt;"",IF(INDEX(LdBId,$M511)="","—",INDEX(LdBId,$M511)),IF($N511&lt;&gt;"",IF(INDEX(LdCBank,$N511)="","—",INDEX(LdCBank,$N511)),"")))</f>
        <v/>
      </c>
      <c r="E511" s="16">
        <f>IF($L511&lt;&gt;"",IF(INDEX(LdAAmt,$L511)=0,"",INDEX(LdAAmt,$L511)),IF($M511&lt;&gt;"",IF(INDEX(LdBAmt,$M511)=0,"",INDEX(LdBAmt,$M511)),IF($N511&lt;&gt;"",IF(INDEX(LdCDep,$N511)=0,"",INDEX(LdCDep,$N511)),"")))</f>
        <v/>
      </c>
      <c r="F511" s="16">
        <f>IF(AND($L511="",$M511="",$N511=""),"",IF($N511="","",IF(INDEX(LdCWit,$N511)=0,"",INDEX(LdCWit,$N511))))</f>
        <v/>
      </c>
      <c r="G511" s="29">
        <f>IF($B511="","",IF($G510="",0,$G510)+IF($E511="",0,$E511)-IF($F511="",0,$F511))</f>
        <v/>
      </c>
      <c r="H511" s="30">
        <f>IF(AND($L511="",$M511="",$N511=""),"",IF($L511&lt;&gt;"",IF(INDEX(LdANote,$L511)="","—",INDEX(LdANote,$L511)),IF($M511&lt;&gt;"",IF(INDEX(LdBNote,$M511)="","—",INDEX(LdBNote,$M511)),IF($N511&lt;&gt;"",IF(INDEX(LdCNote,$N511)="","—",INDEX(LdCNote,$N511)),""))))</f>
        <v/>
      </c>
      <c r="L511">
        <f>IFERROR(MATCH($C$5&amp;"|"&amp;RIGHT("000000"&amp;495,6),LdAKeyM,0),"")</f>
        <v/>
      </c>
      <c r="M511">
        <f>IFERROR(MATCH($C$5&amp;"|"&amp;RIGHT("000000"&amp;495,6),LdBKeyM,0),"")</f>
        <v/>
      </c>
      <c r="N511">
        <f>IFERROR(MATCH($C$5&amp;"|"&amp;RIGHT("000000"&amp;495,6),LdCKeyM,0),"")</f>
        <v/>
      </c>
    </row>
    <row r="512">
      <c r="A512" s="19" t="n">
        <v>496</v>
      </c>
      <c r="B512" s="20">
        <f>IF(AND($L512="",$M512="",$N512=""),"",IF($L512&lt;&gt;"",INDEX(LdADate,$L512),IF($M512&lt;&gt;"",INDEX(LdBDate,$M512),INDEX(LdCDate,$N512))))</f>
        <v/>
      </c>
      <c r="C512" s="20">
        <f>IF($L512&lt;&gt;"","دستمزد (فردی)",IF($M512&lt;&gt;"","سهم از گروه "&amp;IFERROR(VLOOKUP(INDEX(LdBGroup,$M512),WGTbl,2,0),INDEX(LdBGroup,$M512)),IF($N512&lt;&gt;"",IF(N(INDEX(LdCDep,$N512))&gt;0,"بازگشت بانکی","پرداخت بانکی"),"")))</f>
        <v/>
      </c>
      <c r="D512" s="20">
        <f>IF($L512&lt;&gt;"",IF(INDEX(LdAId,$L512)="","—",INDEX(LdAId,$L512)),IF($M512&lt;&gt;"",IF(INDEX(LdBId,$M512)="","—",INDEX(LdBId,$M512)),IF($N512&lt;&gt;"",IF(INDEX(LdCBank,$N512)="","—",INDEX(LdCBank,$N512)),"")))</f>
        <v/>
      </c>
      <c r="E512" s="21">
        <f>IF($L512&lt;&gt;"",IF(INDEX(LdAAmt,$L512)=0,"",INDEX(LdAAmt,$L512)),IF($M512&lt;&gt;"",IF(INDEX(LdBAmt,$M512)=0,"",INDEX(LdBAmt,$M512)),IF($N512&lt;&gt;"",IF(INDEX(LdCDep,$N512)=0,"",INDEX(LdCDep,$N512)),"")))</f>
        <v/>
      </c>
      <c r="F512" s="21">
        <f>IF(AND($L512="",$M512="",$N512=""),"",IF($N512="","",IF(INDEX(LdCWit,$N512)=0,"",INDEX(LdCWit,$N512))))</f>
        <v/>
      </c>
      <c r="G512" s="31">
        <f>IF($B512="","",IF($G511="",0,$G511)+IF($E512="",0,$E512)-IF($F512="",0,$F512))</f>
        <v/>
      </c>
      <c r="H512" s="32">
        <f>IF(AND($L512="",$M512="",$N512=""),"",IF($L512&lt;&gt;"",IF(INDEX(LdANote,$L512)="","—",INDEX(LdANote,$L512)),IF($M512&lt;&gt;"",IF(INDEX(LdBNote,$M512)="","—",INDEX(LdBNote,$M512)),IF($N512&lt;&gt;"",IF(INDEX(LdCNote,$N512)="","—",INDEX(LdCNote,$N512)),""))))</f>
        <v/>
      </c>
      <c r="L512">
        <f>IFERROR(MATCH($C$5&amp;"|"&amp;RIGHT("000000"&amp;496,6),LdAKeyM,0),"")</f>
        <v/>
      </c>
      <c r="M512">
        <f>IFERROR(MATCH($C$5&amp;"|"&amp;RIGHT("000000"&amp;496,6),LdBKeyM,0),"")</f>
        <v/>
      </c>
      <c r="N512">
        <f>IFERROR(MATCH($C$5&amp;"|"&amp;RIGHT("000000"&amp;496,6),LdCKeyM,0),"")</f>
        <v/>
      </c>
    </row>
    <row r="513">
      <c r="A513" s="10" t="n">
        <v>497</v>
      </c>
      <c r="B513" s="14">
        <f>IF(AND($L513="",$M513="",$N513=""),"",IF($L513&lt;&gt;"",INDEX(LdADate,$L513),IF($M513&lt;&gt;"",INDEX(LdBDate,$M513),INDEX(LdCDate,$N513))))</f>
        <v/>
      </c>
      <c r="C513" s="14">
        <f>IF($L513&lt;&gt;"","دستمزد (فردی)",IF($M513&lt;&gt;"","سهم از گروه "&amp;IFERROR(VLOOKUP(INDEX(LdBGroup,$M513),WGTbl,2,0),INDEX(LdBGroup,$M513)),IF($N513&lt;&gt;"",IF(N(INDEX(LdCDep,$N513))&gt;0,"بازگشت بانکی","پرداخت بانکی"),"")))</f>
        <v/>
      </c>
      <c r="D513" s="14">
        <f>IF($L513&lt;&gt;"",IF(INDEX(LdAId,$L513)="","—",INDEX(LdAId,$L513)),IF($M513&lt;&gt;"",IF(INDEX(LdBId,$M513)="","—",INDEX(LdBId,$M513)),IF($N513&lt;&gt;"",IF(INDEX(LdCBank,$N513)="","—",INDEX(LdCBank,$N513)),"")))</f>
        <v/>
      </c>
      <c r="E513" s="16">
        <f>IF($L513&lt;&gt;"",IF(INDEX(LdAAmt,$L513)=0,"",INDEX(LdAAmt,$L513)),IF($M513&lt;&gt;"",IF(INDEX(LdBAmt,$M513)=0,"",INDEX(LdBAmt,$M513)),IF($N513&lt;&gt;"",IF(INDEX(LdCDep,$N513)=0,"",INDEX(LdCDep,$N513)),"")))</f>
        <v/>
      </c>
      <c r="F513" s="16">
        <f>IF(AND($L513="",$M513="",$N513=""),"",IF($N513="","",IF(INDEX(LdCWit,$N513)=0,"",INDEX(LdCWit,$N513))))</f>
        <v/>
      </c>
      <c r="G513" s="29">
        <f>IF($B513="","",IF($G512="",0,$G512)+IF($E513="",0,$E513)-IF($F513="",0,$F513))</f>
        <v/>
      </c>
      <c r="H513" s="30">
        <f>IF(AND($L513="",$M513="",$N513=""),"",IF($L513&lt;&gt;"",IF(INDEX(LdANote,$L513)="","—",INDEX(LdANote,$L513)),IF($M513&lt;&gt;"",IF(INDEX(LdBNote,$M513)="","—",INDEX(LdBNote,$M513)),IF($N513&lt;&gt;"",IF(INDEX(LdCNote,$N513)="","—",INDEX(LdCNote,$N513)),""))))</f>
        <v/>
      </c>
      <c r="L513">
        <f>IFERROR(MATCH($C$5&amp;"|"&amp;RIGHT("000000"&amp;497,6),LdAKeyM,0),"")</f>
        <v/>
      </c>
      <c r="M513">
        <f>IFERROR(MATCH($C$5&amp;"|"&amp;RIGHT("000000"&amp;497,6),LdBKeyM,0),"")</f>
        <v/>
      </c>
      <c r="N513">
        <f>IFERROR(MATCH($C$5&amp;"|"&amp;RIGHT("000000"&amp;497,6),LdCKeyM,0),"")</f>
        <v/>
      </c>
    </row>
    <row r="514">
      <c r="A514" s="19" t="n">
        <v>498</v>
      </c>
      <c r="B514" s="20">
        <f>IF(AND($L514="",$M514="",$N514=""),"",IF($L514&lt;&gt;"",INDEX(LdADate,$L514),IF($M514&lt;&gt;"",INDEX(LdBDate,$M514),INDEX(LdCDate,$N514))))</f>
        <v/>
      </c>
      <c r="C514" s="20">
        <f>IF($L514&lt;&gt;"","دستمزد (فردی)",IF($M514&lt;&gt;"","سهم از گروه "&amp;IFERROR(VLOOKUP(INDEX(LdBGroup,$M514),WGTbl,2,0),INDEX(LdBGroup,$M514)),IF($N514&lt;&gt;"",IF(N(INDEX(LdCDep,$N514))&gt;0,"بازگشت بانکی","پرداخت بانکی"),"")))</f>
        <v/>
      </c>
      <c r="D514" s="20">
        <f>IF($L514&lt;&gt;"",IF(INDEX(LdAId,$L514)="","—",INDEX(LdAId,$L514)),IF($M514&lt;&gt;"",IF(INDEX(LdBId,$M514)="","—",INDEX(LdBId,$M514)),IF($N514&lt;&gt;"",IF(INDEX(LdCBank,$N514)="","—",INDEX(LdCBank,$N514)),"")))</f>
        <v/>
      </c>
      <c r="E514" s="21">
        <f>IF($L514&lt;&gt;"",IF(INDEX(LdAAmt,$L514)=0,"",INDEX(LdAAmt,$L514)),IF($M514&lt;&gt;"",IF(INDEX(LdBAmt,$M514)=0,"",INDEX(LdBAmt,$M514)),IF($N514&lt;&gt;"",IF(INDEX(LdCDep,$N514)=0,"",INDEX(LdCDep,$N514)),"")))</f>
        <v/>
      </c>
      <c r="F514" s="21">
        <f>IF(AND($L514="",$M514="",$N514=""),"",IF($N514="","",IF(INDEX(LdCWit,$N514)=0,"",INDEX(LdCWit,$N514))))</f>
        <v/>
      </c>
      <c r="G514" s="31">
        <f>IF($B514="","",IF($G513="",0,$G513)+IF($E514="",0,$E514)-IF($F514="",0,$F514))</f>
        <v/>
      </c>
      <c r="H514" s="32">
        <f>IF(AND($L514="",$M514="",$N514=""),"",IF($L514&lt;&gt;"",IF(INDEX(LdANote,$L514)="","—",INDEX(LdANote,$L514)),IF($M514&lt;&gt;"",IF(INDEX(LdBNote,$M514)="","—",INDEX(LdBNote,$M514)),IF($N514&lt;&gt;"",IF(INDEX(LdCNote,$N514)="","—",INDEX(LdCNote,$N514)),""))))</f>
        <v/>
      </c>
      <c r="L514">
        <f>IFERROR(MATCH($C$5&amp;"|"&amp;RIGHT("000000"&amp;498,6),LdAKeyM,0),"")</f>
        <v/>
      </c>
      <c r="M514">
        <f>IFERROR(MATCH($C$5&amp;"|"&amp;RIGHT("000000"&amp;498,6),LdBKeyM,0),"")</f>
        <v/>
      </c>
      <c r="N514">
        <f>IFERROR(MATCH($C$5&amp;"|"&amp;RIGHT("000000"&amp;498,6),LdCKeyM,0),"")</f>
        <v/>
      </c>
    </row>
    <row r="515">
      <c r="A515" s="10" t="n">
        <v>499</v>
      </c>
      <c r="B515" s="14">
        <f>IF(AND($L515="",$M515="",$N515=""),"",IF($L515&lt;&gt;"",INDEX(LdADate,$L515),IF($M515&lt;&gt;"",INDEX(LdBDate,$M515),INDEX(LdCDate,$N515))))</f>
        <v/>
      </c>
      <c r="C515" s="14">
        <f>IF($L515&lt;&gt;"","دستمزد (فردی)",IF($M515&lt;&gt;"","سهم از گروه "&amp;IFERROR(VLOOKUP(INDEX(LdBGroup,$M515),WGTbl,2,0),INDEX(LdBGroup,$M515)),IF($N515&lt;&gt;"",IF(N(INDEX(LdCDep,$N515))&gt;0,"بازگشت بانکی","پرداخت بانکی"),"")))</f>
        <v/>
      </c>
      <c r="D515" s="14">
        <f>IF($L515&lt;&gt;"",IF(INDEX(LdAId,$L515)="","—",INDEX(LdAId,$L515)),IF($M515&lt;&gt;"",IF(INDEX(LdBId,$M515)="","—",INDEX(LdBId,$M515)),IF($N515&lt;&gt;"",IF(INDEX(LdCBank,$N515)="","—",INDEX(LdCBank,$N515)),"")))</f>
        <v/>
      </c>
      <c r="E515" s="16">
        <f>IF($L515&lt;&gt;"",IF(INDEX(LdAAmt,$L515)=0,"",INDEX(LdAAmt,$L515)),IF($M515&lt;&gt;"",IF(INDEX(LdBAmt,$M515)=0,"",INDEX(LdBAmt,$M515)),IF($N515&lt;&gt;"",IF(INDEX(LdCDep,$N515)=0,"",INDEX(LdCDep,$N515)),"")))</f>
        <v/>
      </c>
      <c r="F515" s="16">
        <f>IF(AND($L515="",$M515="",$N515=""),"",IF($N515="","",IF(INDEX(LdCWit,$N515)=0,"",INDEX(LdCWit,$N515))))</f>
        <v/>
      </c>
      <c r="G515" s="29">
        <f>IF($B515="","",IF($G514="",0,$G514)+IF($E515="",0,$E515)-IF($F515="",0,$F515))</f>
        <v/>
      </c>
      <c r="H515" s="30">
        <f>IF(AND($L515="",$M515="",$N515=""),"",IF($L515&lt;&gt;"",IF(INDEX(LdANote,$L515)="","—",INDEX(LdANote,$L515)),IF($M515&lt;&gt;"",IF(INDEX(LdBNote,$M515)="","—",INDEX(LdBNote,$M515)),IF($N515&lt;&gt;"",IF(INDEX(LdCNote,$N515)="","—",INDEX(LdCNote,$N515)),""))))</f>
        <v/>
      </c>
      <c r="L515">
        <f>IFERROR(MATCH($C$5&amp;"|"&amp;RIGHT("000000"&amp;499,6),LdAKeyM,0),"")</f>
        <v/>
      </c>
      <c r="M515">
        <f>IFERROR(MATCH($C$5&amp;"|"&amp;RIGHT("000000"&amp;499,6),LdBKeyM,0),"")</f>
        <v/>
      </c>
      <c r="N515">
        <f>IFERROR(MATCH($C$5&amp;"|"&amp;RIGHT("000000"&amp;499,6),LdCKeyM,0),"")</f>
        <v/>
      </c>
    </row>
    <row r="516">
      <c r="A516" s="19" t="n">
        <v>500</v>
      </c>
      <c r="B516" s="20">
        <f>IF(AND($L516="",$M516="",$N516=""),"",IF($L516&lt;&gt;"",INDEX(LdADate,$L516),IF($M516&lt;&gt;"",INDEX(LdBDate,$M516),INDEX(LdCDate,$N516))))</f>
        <v/>
      </c>
      <c r="C516" s="20">
        <f>IF($L516&lt;&gt;"","دستمزد (فردی)",IF($M516&lt;&gt;"","سهم از گروه "&amp;IFERROR(VLOOKUP(INDEX(LdBGroup,$M516),WGTbl,2,0),INDEX(LdBGroup,$M516)),IF($N516&lt;&gt;"",IF(N(INDEX(LdCDep,$N516))&gt;0,"بازگشت بانکی","پرداخت بانکی"),"")))</f>
        <v/>
      </c>
      <c r="D516" s="20">
        <f>IF($L516&lt;&gt;"",IF(INDEX(LdAId,$L516)="","—",INDEX(LdAId,$L516)),IF($M516&lt;&gt;"",IF(INDEX(LdBId,$M516)="","—",INDEX(LdBId,$M516)),IF($N516&lt;&gt;"",IF(INDEX(LdCBank,$N516)="","—",INDEX(LdCBank,$N516)),"")))</f>
        <v/>
      </c>
      <c r="E516" s="21">
        <f>IF($L516&lt;&gt;"",IF(INDEX(LdAAmt,$L516)=0,"",INDEX(LdAAmt,$L516)),IF($M516&lt;&gt;"",IF(INDEX(LdBAmt,$M516)=0,"",INDEX(LdBAmt,$M516)),IF($N516&lt;&gt;"",IF(INDEX(LdCDep,$N516)=0,"",INDEX(LdCDep,$N516)),"")))</f>
        <v/>
      </c>
      <c r="F516" s="21">
        <f>IF(AND($L516="",$M516="",$N516=""),"",IF($N516="","",IF(INDEX(LdCWit,$N516)=0,"",INDEX(LdCWit,$N516))))</f>
        <v/>
      </c>
      <c r="G516" s="31">
        <f>IF($B516="","",IF($G515="",0,$G515)+IF($E516="",0,$E516)-IF($F516="",0,$F516))</f>
        <v/>
      </c>
      <c r="H516" s="32">
        <f>IF(AND($L516="",$M516="",$N516=""),"",IF($L516&lt;&gt;"",IF(INDEX(LdANote,$L516)="","—",INDEX(LdANote,$L516)),IF($M516&lt;&gt;"",IF(INDEX(LdBNote,$M516)="","—",INDEX(LdBNote,$M516)),IF($N516&lt;&gt;"",IF(INDEX(LdCNote,$N516)="","—",INDEX(LdCNote,$N516)),""))))</f>
        <v/>
      </c>
      <c r="L516">
        <f>IFERROR(MATCH($C$5&amp;"|"&amp;RIGHT("000000"&amp;500,6),LdAKeyM,0),"")</f>
        <v/>
      </c>
      <c r="M516">
        <f>IFERROR(MATCH($C$5&amp;"|"&amp;RIGHT("000000"&amp;500,6),LdBKeyM,0),"")</f>
        <v/>
      </c>
      <c r="N516">
        <f>IFERROR(MATCH($C$5&amp;"|"&amp;RIGHT("000000"&amp;500,6),LdCKeyM,0),"")</f>
        <v/>
      </c>
    </row>
    <row r="517">
      <c r="A517" s="10" t="n">
        <v>501</v>
      </c>
      <c r="B517" s="14">
        <f>IF(AND($L517="",$M517="",$N517=""),"",IF($L517&lt;&gt;"",INDEX(LdADate,$L517),IF($M517&lt;&gt;"",INDEX(LdBDate,$M517),INDEX(LdCDate,$N517))))</f>
        <v/>
      </c>
      <c r="C517" s="14">
        <f>IF($L517&lt;&gt;"","دستمزد (فردی)",IF($M517&lt;&gt;"","سهم از گروه "&amp;IFERROR(VLOOKUP(INDEX(LdBGroup,$M517),WGTbl,2,0),INDEX(LdBGroup,$M517)),IF($N517&lt;&gt;"",IF(N(INDEX(LdCDep,$N517))&gt;0,"بازگشت بانکی","پرداخت بانکی"),"")))</f>
        <v/>
      </c>
      <c r="D517" s="14">
        <f>IF($L517&lt;&gt;"",IF(INDEX(LdAId,$L517)="","—",INDEX(LdAId,$L517)),IF($M517&lt;&gt;"",IF(INDEX(LdBId,$M517)="","—",INDEX(LdBId,$M517)),IF($N517&lt;&gt;"",IF(INDEX(LdCBank,$N517)="","—",INDEX(LdCBank,$N517)),"")))</f>
        <v/>
      </c>
      <c r="E517" s="16">
        <f>IF($L517&lt;&gt;"",IF(INDEX(LdAAmt,$L517)=0,"",INDEX(LdAAmt,$L517)),IF($M517&lt;&gt;"",IF(INDEX(LdBAmt,$M517)=0,"",INDEX(LdBAmt,$M517)),IF($N517&lt;&gt;"",IF(INDEX(LdCDep,$N517)=0,"",INDEX(LdCDep,$N517)),"")))</f>
        <v/>
      </c>
      <c r="F517" s="16">
        <f>IF(AND($L517="",$M517="",$N517=""),"",IF($N517="","",IF(INDEX(LdCWit,$N517)=0,"",INDEX(LdCWit,$N517))))</f>
        <v/>
      </c>
      <c r="G517" s="29">
        <f>IF($B517="","",IF($G516="",0,$G516)+IF($E517="",0,$E517)-IF($F517="",0,$F517))</f>
        <v/>
      </c>
      <c r="H517" s="30">
        <f>IF(AND($L517="",$M517="",$N517=""),"",IF($L517&lt;&gt;"",IF(INDEX(LdANote,$L517)="","—",INDEX(LdANote,$L517)),IF($M517&lt;&gt;"",IF(INDEX(LdBNote,$M517)="","—",INDEX(LdBNote,$M517)),IF($N517&lt;&gt;"",IF(INDEX(LdCNote,$N517)="","—",INDEX(LdCNote,$N517)),""))))</f>
        <v/>
      </c>
      <c r="L517">
        <f>IFERROR(MATCH($C$5&amp;"|"&amp;RIGHT("000000"&amp;501,6),LdAKeyM,0),"")</f>
        <v/>
      </c>
      <c r="M517">
        <f>IFERROR(MATCH($C$5&amp;"|"&amp;RIGHT("000000"&amp;501,6),LdBKeyM,0),"")</f>
        <v/>
      </c>
      <c r="N517">
        <f>IFERROR(MATCH($C$5&amp;"|"&amp;RIGHT("000000"&amp;501,6),LdCKeyM,0),"")</f>
        <v/>
      </c>
    </row>
    <row r="518">
      <c r="A518" s="19" t="n">
        <v>502</v>
      </c>
      <c r="B518" s="20">
        <f>IF(AND($L518="",$M518="",$N518=""),"",IF($L518&lt;&gt;"",INDEX(LdADate,$L518),IF($M518&lt;&gt;"",INDEX(LdBDate,$M518),INDEX(LdCDate,$N518))))</f>
        <v/>
      </c>
      <c r="C518" s="20">
        <f>IF($L518&lt;&gt;"","دستمزد (فردی)",IF($M518&lt;&gt;"","سهم از گروه "&amp;IFERROR(VLOOKUP(INDEX(LdBGroup,$M518),WGTbl,2,0),INDEX(LdBGroup,$M518)),IF($N518&lt;&gt;"",IF(N(INDEX(LdCDep,$N518))&gt;0,"بازگشت بانکی","پرداخت بانکی"),"")))</f>
        <v/>
      </c>
      <c r="D518" s="20">
        <f>IF($L518&lt;&gt;"",IF(INDEX(LdAId,$L518)="","—",INDEX(LdAId,$L518)),IF($M518&lt;&gt;"",IF(INDEX(LdBId,$M518)="","—",INDEX(LdBId,$M518)),IF($N518&lt;&gt;"",IF(INDEX(LdCBank,$N518)="","—",INDEX(LdCBank,$N518)),"")))</f>
        <v/>
      </c>
      <c r="E518" s="21">
        <f>IF($L518&lt;&gt;"",IF(INDEX(LdAAmt,$L518)=0,"",INDEX(LdAAmt,$L518)),IF($M518&lt;&gt;"",IF(INDEX(LdBAmt,$M518)=0,"",INDEX(LdBAmt,$M518)),IF($N518&lt;&gt;"",IF(INDEX(LdCDep,$N518)=0,"",INDEX(LdCDep,$N518)),"")))</f>
        <v/>
      </c>
      <c r="F518" s="21">
        <f>IF(AND($L518="",$M518="",$N518=""),"",IF($N518="","",IF(INDEX(LdCWit,$N518)=0,"",INDEX(LdCWit,$N518))))</f>
        <v/>
      </c>
      <c r="G518" s="31">
        <f>IF($B518="","",IF($G517="",0,$G517)+IF($E518="",0,$E518)-IF($F518="",0,$F518))</f>
        <v/>
      </c>
      <c r="H518" s="32">
        <f>IF(AND($L518="",$M518="",$N518=""),"",IF($L518&lt;&gt;"",IF(INDEX(LdANote,$L518)="","—",INDEX(LdANote,$L518)),IF($M518&lt;&gt;"",IF(INDEX(LdBNote,$M518)="","—",INDEX(LdBNote,$M518)),IF($N518&lt;&gt;"",IF(INDEX(LdCNote,$N518)="","—",INDEX(LdCNote,$N518)),""))))</f>
        <v/>
      </c>
      <c r="L518">
        <f>IFERROR(MATCH($C$5&amp;"|"&amp;RIGHT("000000"&amp;502,6),LdAKeyM,0),"")</f>
        <v/>
      </c>
      <c r="M518">
        <f>IFERROR(MATCH($C$5&amp;"|"&amp;RIGHT("000000"&amp;502,6),LdBKeyM,0),"")</f>
        <v/>
      </c>
      <c r="N518">
        <f>IFERROR(MATCH($C$5&amp;"|"&amp;RIGHT("000000"&amp;502,6),LdCKeyM,0),"")</f>
        <v/>
      </c>
    </row>
    <row r="519">
      <c r="A519" s="10" t="n">
        <v>503</v>
      </c>
      <c r="B519" s="14">
        <f>IF(AND($L519="",$M519="",$N519=""),"",IF($L519&lt;&gt;"",INDEX(LdADate,$L519),IF($M519&lt;&gt;"",INDEX(LdBDate,$M519),INDEX(LdCDate,$N519))))</f>
        <v/>
      </c>
      <c r="C519" s="14">
        <f>IF($L519&lt;&gt;"","دستمزد (فردی)",IF($M519&lt;&gt;"","سهم از گروه "&amp;IFERROR(VLOOKUP(INDEX(LdBGroup,$M519),WGTbl,2,0),INDEX(LdBGroup,$M519)),IF($N519&lt;&gt;"",IF(N(INDEX(LdCDep,$N519))&gt;0,"بازگشت بانکی","پرداخت بانکی"),"")))</f>
        <v/>
      </c>
      <c r="D519" s="14">
        <f>IF($L519&lt;&gt;"",IF(INDEX(LdAId,$L519)="","—",INDEX(LdAId,$L519)),IF($M519&lt;&gt;"",IF(INDEX(LdBId,$M519)="","—",INDEX(LdBId,$M519)),IF($N519&lt;&gt;"",IF(INDEX(LdCBank,$N519)="","—",INDEX(LdCBank,$N519)),"")))</f>
        <v/>
      </c>
      <c r="E519" s="16">
        <f>IF($L519&lt;&gt;"",IF(INDEX(LdAAmt,$L519)=0,"",INDEX(LdAAmt,$L519)),IF($M519&lt;&gt;"",IF(INDEX(LdBAmt,$M519)=0,"",INDEX(LdBAmt,$M519)),IF($N519&lt;&gt;"",IF(INDEX(LdCDep,$N519)=0,"",INDEX(LdCDep,$N519)),"")))</f>
        <v/>
      </c>
      <c r="F519" s="16">
        <f>IF(AND($L519="",$M519="",$N519=""),"",IF($N519="","",IF(INDEX(LdCWit,$N519)=0,"",INDEX(LdCWit,$N519))))</f>
        <v/>
      </c>
      <c r="G519" s="29">
        <f>IF($B519="","",IF($G518="",0,$G518)+IF($E519="",0,$E519)-IF($F519="",0,$F519))</f>
        <v/>
      </c>
      <c r="H519" s="30">
        <f>IF(AND($L519="",$M519="",$N519=""),"",IF($L519&lt;&gt;"",IF(INDEX(LdANote,$L519)="","—",INDEX(LdANote,$L519)),IF($M519&lt;&gt;"",IF(INDEX(LdBNote,$M519)="","—",INDEX(LdBNote,$M519)),IF($N519&lt;&gt;"",IF(INDEX(LdCNote,$N519)="","—",INDEX(LdCNote,$N519)),""))))</f>
        <v/>
      </c>
      <c r="L519">
        <f>IFERROR(MATCH($C$5&amp;"|"&amp;RIGHT("000000"&amp;503,6),LdAKeyM,0),"")</f>
        <v/>
      </c>
      <c r="M519">
        <f>IFERROR(MATCH($C$5&amp;"|"&amp;RIGHT("000000"&amp;503,6),LdBKeyM,0),"")</f>
        <v/>
      </c>
      <c r="N519">
        <f>IFERROR(MATCH($C$5&amp;"|"&amp;RIGHT("000000"&amp;503,6),LdCKeyM,0),"")</f>
        <v/>
      </c>
    </row>
    <row r="520">
      <c r="A520" s="19" t="n">
        <v>504</v>
      </c>
      <c r="B520" s="20">
        <f>IF(AND($L520="",$M520="",$N520=""),"",IF($L520&lt;&gt;"",INDEX(LdADate,$L520),IF($M520&lt;&gt;"",INDEX(LdBDate,$M520),INDEX(LdCDate,$N520))))</f>
        <v/>
      </c>
      <c r="C520" s="20">
        <f>IF($L520&lt;&gt;"","دستمزد (فردی)",IF($M520&lt;&gt;"","سهم از گروه "&amp;IFERROR(VLOOKUP(INDEX(LdBGroup,$M520),WGTbl,2,0),INDEX(LdBGroup,$M520)),IF($N520&lt;&gt;"",IF(N(INDEX(LdCDep,$N520))&gt;0,"بازگشت بانکی","پرداخت بانکی"),"")))</f>
        <v/>
      </c>
      <c r="D520" s="20">
        <f>IF($L520&lt;&gt;"",IF(INDEX(LdAId,$L520)="","—",INDEX(LdAId,$L520)),IF($M520&lt;&gt;"",IF(INDEX(LdBId,$M520)="","—",INDEX(LdBId,$M520)),IF($N520&lt;&gt;"",IF(INDEX(LdCBank,$N520)="","—",INDEX(LdCBank,$N520)),"")))</f>
        <v/>
      </c>
      <c r="E520" s="21">
        <f>IF($L520&lt;&gt;"",IF(INDEX(LdAAmt,$L520)=0,"",INDEX(LdAAmt,$L520)),IF($M520&lt;&gt;"",IF(INDEX(LdBAmt,$M520)=0,"",INDEX(LdBAmt,$M520)),IF($N520&lt;&gt;"",IF(INDEX(LdCDep,$N520)=0,"",INDEX(LdCDep,$N520)),"")))</f>
        <v/>
      </c>
      <c r="F520" s="21">
        <f>IF(AND($L520="",$M520="",$N520=""),"",IF($N520="","",IF(INDEX(LdCWit,$N520)=0,"",INDEX(LdCWit,$N520))))</f>
        <v/>
      </c>
      <c r="G520" s="31">
        <f>IF($B520="","",IF($G519="",0,$G519)+IF($E520="",0,$E520)-IF($F520="",0,$F520))</f>
        <v/>
      </c>
      <c r="H520" s="32">
        <f>IF(AND($L520="",$M520="",$N520=""),"",IF($L520&lt;&gt;"",IF(INDEX(LdANote,$L520)="","—",INDEX(LdANote,$L520)),IF($M520&lt;&gt;"",IF(INDEX(LdBNote,$M520)="","—",INDEX(LdBNote,$M520)),IF($N520&lt;&gt;"",IF(INDEX(LdCNote,$N520)="","—",INDEX(LdCNote,$N520)),""))))</f>
        <v/>
      </c>
      <c r="L520">
        <f>IFERROR(MATCH($C$5&amp;"|"&amp;RIGHT("000000"&amp;504,6),LdAKeyM,0),"")</f>
        <v/>
      </c>
      <c r="M520">
        <f>IFERROR(MATCH($C$5&amp;"|"&amp;RIGHT("000000"&amp;504,6),LdBKeyM,0),"")</f>
        <v/>
      </c>
      <c r="N520">
        <f>IFERROR(MATCH($C$5&amp;"|"&amp;RIGHT("000000"&amp;504,6),LdCKeyM,0),"")</f>
        <v/>
      </c>
    </row>
    <row r="521">
      <c r="A521" s="10" t="n">
        <v>505</v>
      </c>
      <c r="B521" s="14">
        <f>IF(AND($L521="",$M521="",$N521=""),"",IF($L521&lt;&gt;"",INDEX(LdADate,$L521),IF($M521&lt;&gt;"",INDEX(LdBDate,$M521),INDEX(LdCDate,$N521))))</f>
        <v/>
      </c>
      <c r="C521" s="14">
        <f>IF($L521&lt;&gt;"","دستمزد (فردی)",IF($M521&lt;&gt;"","سهم از گروه "&amp;IFERROR(VLOOKUP(INDEX(LdBGroup,$M521),WGTbl,2,0),INDEX(LdBGroup,$M521)),IF($N521&lt;&gt;"",IF(N(INDEX(LdCDep,$N521))&gt;0,"بازگشت بانکی","پرداخت بانکی"),"")))</f>
        <v/>
      </c>
      <c r="D521" s="14">
        <f>IF($L521&lt;&gt;"",IF(INDEX(LdAId,$L521)="","—",INDEX(LdAId,$L521)),IF($M521&lt;&gt;"",IF(INDEX(LdBId,$M521)="","—",INDEX(LdBId,$M521)),IF($N521&lt;&gt;"",IF(INDEX(LdCBank,$N521)="","—",INDEX(LdCBank,$N521)),"")))</f>
        <v/>
      </c>
      <c r="E521" s="16">
        <f>IF($L521&lt;&gt;"",IF(INDEX(LdAAmt,$L521)=0,"",INDEX(LdAAmt,$L521)),IF($M521&lt;&gt;"",IF(INDEX(LdBAmt,$M521)=0,"",INDEX(LdBAmt,$M521)),IF($N521&lt;&gt;"",IF(INDEX(LdCDep,$N521)=0,"",INDEX(LdCDep,$N521)),"")))</f>
        <v/>
      </c>
      <c r="F521" s="16">
        <f>IF(AND($L521="",$M521="",$N521=""),"",IF($N521="","",IF(INDEX(LdCWit,$N521)=0,"",INDEX(LdCWit,$N521))))</f>
        <v/>
      </c>
      <c r="G521" s="29">
        <f>IF($B521="","",IF($G520="",0,$G520)+IF($E521="",0,$E521)-IF($F521="",0,$F521))</f>
        <v/>
      </c>
      <c r="H521" s="30">
        <f>IF(AND($L521="",$M521="",$N521=""),"",IF($L521&lt;&gt;"",IF(INDEX(LdANote,$L521)="","—",INDEX(LdANote,$L521)),IF($M521&lt;&gt;"",IF(INDEX(LdBNote,$M521)="","—",INDEX(LdBNote,$M521)),IF($N521&lt;&gt;"",IF(INDEX(LdCNote,$N521)="","—",INDEX(LdCNote,$N521)),""))))</f>
        <v/>
      </c>
      <c r="L521">
        <f>IFERROR(MATCH($C$5&amp;"|"&amp;RIGHT("000000"&amp;505,6),LdAKeyM,0),"")</f>
        <v/>
      </c>
      <c r="M521">
        <f>IFERROR(MATCH($C$5&amp;"|"&amp;RIGHT("000000"&amp;505,6),LdBKeyM,0),"")</f>
        <v/>
      </c>
      <c r="N521">
        <f>IFERROR(MATCH($C$5&amp;"|"&amp;RIGHT("000000"&amp;505,6),LdCKeyM,0),"")</f>
        <v/>
      </c>
    </row>
    <row r="522">
      <c r="A522" s="19" t="n">
        <v>506</v>
      </c>
      <c r="B522" s="20">
        <f>IF(AND($L522="",$M522="",$N522=""),"",IF($L522&lt;&gt;"",INDEX(LdADate,$L522),IF($M522&lt;&gt;"",INDEX(LdBDate,$M522),INDEX(LdCDate,$N522))))</f>
        <v/>
      </c>
      <c r="C522" s="20">
        <f>IF($L522&lt;&gt;"","دستمزد (فردی)",IF($M522&lt;&gt;"","سهم از گروه "&amp;IFERROR(VLOOKUP(INDEX(LdBGroup,$M522),WGTbl,2,0),INDEX(LdBGroup,$M522)),IF($N522&lt;&gt;"",IF(N(INDEX(LdCDep,$N522))&gt;0,"بازگشت بانکی","پرداخت بانکی"),"")))</f>
        <v/>
      </c>
      <c r="D522" s="20">
        <f>IF($L522&lt;&gt;"",IF(INDEX(LdAId,$L522)="","—",INDEX(LdAId,$L522)),IF($M522&lt;&gt;"",IF(INDEX(LdBId,$M522)="","—",INDEX(LdBId,$M522)),IF($N522&lt;&gt;"",IF(INDEX(LdCBank,$N522)="","—",INDEX(LdCBank,$N522)),"")))</f>
        <v/>
      </c>
      <c r="E522" s="21">
        <f>IF($L522&lt;&gt;"",IF(INDEX(LdAAmt,$L522)=0,"",INDEX(LdAAmt,$L522)),IF($M522&lt;&gt;"",IF(INDEX(LdBAmt,$M522)=0,"",INDEX(LdBAmt,$M522)),IF($N522&lt;&gt;"",IF(INDEX(LdCDep,$N522)=0,"",INDEX(LdCDep,$N522)),"")))</f>
        <v/>
      </c>
      <c r="F522" s="21">
        <f>IF(AND($L522="",$M522="",$N522=""),"",IF($N522="","",IF(INDEX(LdCWit,$N522)=0,"",INDEX(LdCWit,$N522))))</f>
        <v/>
      </c>
      <c r="G522" s="31">
        <f>IF($B522="","",IF($G521="",0,$G521)+IF($E522="",0,$E522)-IF($F522="",0,$F522))</f>
        <v/>
      </c>
      <c r="H522" s="32">
        <f>IF(AND($L522="",$M522="",$N522=""),"",IF($L522&lt;&gt;"",IF(INDEX(LdANote,$L522)="","—",INDEX(LdANote,$L522)),IF($M522&lt;&gt;"",IF(INDEX(LdBNote,$M522)="","—",INDEX(LdBNote,$M522)),IF($N522&lt;&gt;"",IF(INDEX(LdCNote,$N522)="","—",INDEX(LdCNote,$N522)),""))))</f>
        <v/>
      </c>
      <c r="L522">
        <f>IFERROR(MATCH($C$5&amp;"|"&amp;RIGHT("000000"&amp;506,6),LdAKeyM,0),"")</f>
        <v/>
      </c>
      <c r="M522">
        <f>IFERROR(MATCH($C$5&amp;"|"&amp;RIGHT("000000"&amp;506,6),LdBKeyM,0),"")</f>
        <v/>
      </c>
      <c r="N522">
        <f>IFERROR(MATCH($C$5&amp;"|"&amp;RIGHT("000000"&amp;506,6),LdCKeyM,0),"")</f>
        <v/>
      </c>
    </row>
    <row r="523">
      <c r="A523" s="10" t="n">
        <v>507</v>
      </c>
      <c r="B523" s="14">
        <f>IF(AND($L523="",$M523="",$N523=""),"",IF($L523&lt;&gt;"",INDEX(LdADate,$L523),IF($M523&lt;&gt;"",INDEX(LdBDate,$M523),INDEX(LdCDate,$N523))))</f>
        <v/>
      </c>
      <c r="C523" s="14">
        <f>IF($L523&lt;&gt;"","دستمزد (فردی)",IF($M523&lt;&gt;"","سهم از گروه "&amp;IFERROR(VLOOKUP(INDEX(LdBGroup,$M523),WGTbl,2,0),INDEX(LdBGroup,$M523)),IF($N523&lt;&gt;"",IF(N(INDEX(LdCDep,$N523))&gt;0,"بازگشت بانکی","پرداخت بانکی"),"")))</f>
        <v/>
      </c>
      <c r="D523" s="14">
        <f>IF($L523&lt;&gt;"",IF(INDEX(LdAId,$L523)="","—",INDEX(LdAId,$L523)),IF($M523&lt;&gt;"",IF(INDEX(LdBId,$M523)="","—",INDEX(LdBId,$M523)),IF($N523&lt;&gt;"",IF(INDEX(LdCBank,$N523)="","—",INDEX(LdCBank,$N523)),"")))</f>
        <v/>
      </c>
      <c r="E523" s="16">
        <f>IF($L523&lt;&gt;"",IF(INDEX(LdAAmt,$L523)=0,"",INDEX(LdAAmt,$L523)),IF($M523&lt;&gt;"",IF(INDEX(LdBAmt,$M523)=0,"",INDEX(LdBAmt,$M523)),IF($N523&lt;&gt;"",IF(INDEX(LdCDep,$N523)=0,"",INDEX(LdCDep,$N523)),"")))</f>
        <v/>
      </c>
      <c r="F523" s="16">
        <f>IF(AND($L523="",$M523="",$N523=""),"",IF($N523="","",IF(INDEX(LdCWit,$N523)=0,"",INDEX(LdCWit,$N523))))</f>
        <v/>
      </c>
      <c r="G523" s="29">
        <f>IF($B523="","",IF($G522="",0,$G522)+IF($E523="",0,$E523)-IF($F523="",0,$F523))</f>
        <v/>
      </c>
      <c r="H523" s="30">
        <f>IF(AND($L523="",$M523="",$N523=""),"",IF($L523&lt;&gt;"",IF(INDEX(LdANote,$L523)="","—",INDEX(LdANote,$L523)),IF($M523&lt;&gt;"",IF(INDEX(LdBNote,$M523)="","—",INDEX(LdBNote,$M523)),IF($N523&lt;&gt;"",IF(INDEX(LdCNote,$N523)="","—",INDEX(LdCNote,$N523)),""))))</f>
        <v/>
      </c>
      <c r="L523">
        <f>IFERROR(MATCH($C$5&amp;"|"&amp;RIGHT("000000"&amp;507,6),LdAKeyM,0),"")</f>
        <v/>
      </c>
      <c r="M523">
        <f>IFERROR(MATCH($C$5&amp;"|"&amp;RIGHT("000000"&amp;507,6),LdBKeyM,0),"")</f>
        <v/>
      </c>
      <c r="N523">
        <f>IFERROR(MATCH($C$5&amp;"|"&amp;RIGHT("000000"&amp;507,6),LdCKeyM,0),"")</f>
        <v/>
      </c>
    </row>
    <row r="524">
      <c r="A524" s="19" t="n">
        <v>508</v>
      </c>
      <c r="B524" s="20">
        <f>IF(AND($L524="",$M524="",$N524=""),"",IF($L524&lt;&gt;"",INDEX(LdADate,$L524),IF($M524&lt;&gt;"",INDEX(LdBDate,$M524),INDEX(LdCDate,$N524))))</f>
        <v/>
      </c>
      <c r="C524" s="20">
        <f>IF($L524&lt;&gt;"","دستمزد (فردی)",IF($M524&lt;&gt;"","سهم از گروه "&amp;IFERROR(VLOOKUP(INDEX(LdBGroup,$M524),WGTbl,2,0),INDEX(LdBGroup,$M524)),IF($N524&lt;&gt;"",IF(N(INDEX(LdCDep,$N524))&gt;0,"بازگشت بانکی","پرداخت بانکی"),"")))</f>
        <v/>
      </c>
      <c r="D524" s="20">
        <f>IF($L524&lt;&gt;"",IF(INDEX(LdAId,$L524)="","—",INDEX(LdAId,$L524)),IF($M524&lt;&gt;"",IF(INDEX(LdBId,$M524)="","—",INDEX(LdBId,$M524)),IF($N524&lt;&gt;"",IF(INDEX(LdCBank,$N524)="","—",INDEX(LdCBank,$N524)),"")))</f>
        <v/>
      </c>
      <c r="E524" s="21">
        <f>IF($L524&lt;&gt;"",IF(INDEX(LdAAmt,$L524)=0,"",INDEX(LdAAmt,$L524)),IF($M524&lt;&gt;"",IF(INDEX(LdBAmt,$M524)=0,"",INDEX(LdBAmt,$M524)),IF($N524&lt;&gt;"",IF(INDEX(LdCDep,$N524)=0,"",INDEX(LdCDep,$N524)),"")))</f>
        <v/>
      </c>
      <c r="F524" s="21">
        <f>IF(AND($L524="",$M524="",$N524=""),"",IF($N524="","",IF(INDEX(LdCWit,$N524)=0,"",INDEX(LdCWit,$N524))))</f>
        <v/>
      </c>
      <c r="G524" s="31">
        <f>IF($B524="","",IF($G523="",0,$G523)+IF($E524="",0,$E524)-IF($F524="",0,$F524))</f>
        <v/>
      </c>
      <c r="H524" s="32">
        <f>IF(AND($L524="",$M524="",$N524=""),"",IF($L524&lt;&gt;"",IF(INDEX(LdANote,$L524)="","—",INDEX(LdANote,$L524)),IF($M524&lt;&gt;"",IF(INDEX(LdBNote,$M524)="","—",INDEX(LdBNote,$M524)),IF($N524&lt;&gt;"",IF(INDEX(LdCNote,$N524)="","—",INDEX(LdCNote,$N524)),""))))</f>
        <v/>
      </c>
      <c r="L524">
        <f>IFERROR(MATCH($C$5&amp;"|"&amp;RIGHT("000000"&amp;508,6),LdAKeyM,0),"")</f>
        <v/>
      </c>
      <c r="M524">
        <f>IFERROR(MATCH($C$5&amp;"|"&amp;RIGHT("000000"&amp;508,6),LdBKeyM,0),"")</f>
        <v/>
      </c>
      <c r="N524">
        <f>IFERROR(MATCH($C$5&amp;"|"&amp;RIGHT("000000"&amp;508,6),LdCKeyM,0),"")</f>
        <v/>
      </c>
    </row>
    <row r="525">
      <c r="A525" s="10" t="n">
        <v>509</v>
      </c>
      <c r="B525" s="14">
        <f>IF(AND($L525="",$M525="",$N525=""),"",IF($L525&lt;&gt;"",INDEX(LdADate,$L525),IF($M525&lt;&gt;"",INDEX(LdBDate,$M525),INDEX(LdCDate,$N525))))</f>
        <v/>
      </c>
      <c r="C525" s="14">
        <f>IF($L525&lt;&gt;"","دستمزد (فردی)",IF($M525&lt;&gt;"","سهم از گروه "&amp;IFERROR(VLOOKUP(INDEX(LdBGroup,$M525),WGTbl,2,0),INDEX(LdBGroup,$M525)),IF($N525&lt;&gt;"",IF(N(INDEX(LdCDep,$N525))&gt;0,"بازگشت بانکی","پرداخت بانکی"),"")))</f>
        <v/>
      </c>
      <c r="D525" s="14">
        <f>IF($L525&lt;&gt;"",IF(INDEX(LdAId,$L525)="","—",INDEX(LdAId,$L525)),IF($M525&lt;&gt;"",IF(INDEX(LdBId,$M525)="","—",INDEX(LdBId,$M525)),IF($N525&lt;&gt;"",IF(INDEX(LdCBank,$N525)="","—",INDEX(LdCBank,$N525)),"")))</f>
        <v/>
      </c>
      <c r="E525" s="16">
        <f>IF($L525&lt;&gt;"",IF(INDEX(LdAAmt,$L525)=0,"",INDEX(LdAAmt,$L525)),IF($M525&lt;&gt;"",IF(INDEX(LdBAmt,$M525)=0,"",INDEX(LdBAmt,$M525)),IF($N525&lt;&gt;"",IF(INDEX(LdCDep,$N525)=0,"",INDEX(LdCDep,$N525)),"")))</f>
        <v/>
      </c>
      <c r="F525" s="16">
        <f>IF(AND($L525="",$M525="",$N525=""),"",IF($N525="","",IF(INDEX(LdCWit,$N525)=0,"",INDEX(LdCWit,$N525))))</f>
        <v/>
      </c>
      <c r="G525" s="29">
        <f>IF($B525="","",IF($G524="",0,$G524)+IF($E525="",0,$E525)-IF($F525="",0,$F525))</f>
        <v/>
      </c>
      <c r="H525" s="30">
        <f>IF(AND($L525="",$M525="",$N525=""),"",IF($L525&lt;&gt;"",IF(INDEX(LdANote,$L525)="","—",INDEX(LdANote,$L525)),IF($M525&lt;&gt;"",IF(INDEX(LdBNote,$M525)="","—",INDEX(LdBNote,$M525)),IF($N525&lt;&gt;"",IF(INDEX(LdCNote,$N525)="","—",INDEX(LdCNote,$N525)),""))))</f>
        <v/>
      </c>
      <c r="L525">
        <f>IFERROR(MATCH($C$5&amp;"|"&amp;RIGHT("000000"&amp;509,6),LdAKeyM,0),"")</f>
        <v/>
      </c>
      <c r="M525">
        <f>IFERROR(MATCH($C$5&amp;"|"&amp;RIGHT("000000"&amp;509,6),LdBKeyM,0),"")</f>
        <v/>
      </c>
      <c r="N525">
        <f>IFERROR(MATCH($C$5&amp;"|"&amp;RIGHT("000000"&amp;509,6),LdCKeyM,0),"")</f>
        <v/>
      </c>
    </row>
    <row r="526">
      <c r="A526" s="19" t="n">
        <v>510</v>
      </c>
      <c r="B526" s="20">
        <f>IF(AND($L526="",$M526="",$N526=""),"",IF($L526&lt;&gt;"",INDEX(LdADate,$L526),IF($M526&lt;&gt;"",INDEX(LdBDate,$M526),INDEX(LdCDate,$N526))))</f>
        <v/>
      </c>
      <c r="C526" s="20">
        <f>IF($L526&lt;&gt;"","دستمزد (فردی)",IF($M526&lt;&gt;"","سهم از گروه "&amp;IFERROR(VLOOKUP(INDEX(LdBGroup,$M526),WGTbl,2,0),INDEX(LdBGroup,$M526)),IF($N526&lt;&gt;"",IF(N(INDEX(LdCDep,$N526))&gt;0,"بازگشت بانکی","پرداخت بانکی"),"")))</f>
        <v/>
      </c>
      <c r="D526" s="20">
        <f>IF($L526&lt;&gt;"",IF(INDEX(LdAId,$L526)="","—",INDEX(LdAId,$L526)),IF($M526&lt;&gt;"",IF(INDEX(LdBId,$M526)="","—",INDEX(LdBId,$M526)),IF($N526&lt;&gt;"",IF(INDEX(LdCBank,$N526)="","—",INDEX(LdCBank,$N526)),"")))</f>
        <v/>
      </c>
      <c r="E526" s="21">
        <f>IF($L526&lt;&gt;"",IF(INDEX(LdAAmt,$L526)=0,"",INDEX(LdAAmt,$L526)),IF($M526&lt;&gt;"",IF(INDEX(LdBAmt,$M526)=0,"",INDEX(LdBAmt,$M526)),IF($N526&lt;&gt;"",IF(INDEX(LdCDep,$N526)=0,"",INDEX(LdCDep,$N526)),"")))</f>
        <v/>
      </c>
      <c r="F526" s="21">
        <f>IF(AND($L526="",$M526="",$N526=""),"",IF($N526="","",IF(INDEX(LdCWit,$N526)=0,"",INDEX(LdCWit,$N526))))</f>
        <v/>
      </c>
      <c r="G526" s="31">
        <f>IF($B526="","",IF($G525="",0,$G525)+IF($E526="",0,$E526)-IF($F526="",0,$F526))</f>
        <v/>
      </c>
      <c r="H526" s="32">
        <f>IF(AND($L526="",$M526="",$N526=""),"",IF($L526&lt;&gt;"",IF(INDEX(LdANote,$L526)="","—",INDEX(LdANote,$L526)),IF($M526&lt;&gt;"",IF(INDEX(LdBNote,$M526)="","—",INDEX(LdBNote,$M526)),IF($N526&lt;&gt;"",IF(INDEX(LdCNote,$N526)="","—",INDEX(LdCNote,$N526)),""))))</f>
        <v/>
      </c>
      <c r="L526">
        <f>IFERROR(MATCH($C$5&amp;"|"&amp;RIGHT("000000"&amp;510,6),LdAKeyM,0),"")</f>
        <v/>
      </c>
      <c r="M526">
        <f>IFERROR(MATCH($C$5&amp;"|"&amp;RIGHT("000000"&amp;510,6),LdBKeyM,0),"")</f>
        <v/>
      </c>
      <c r="N526">
        <f>IFERROR(MATCH($C$5&amp;"|"&amp;RIGHT("000000"&amp;510,6),LdCKeyM,0),"")</f>
        <v/>
      </c>
    </row>
    <row r="527">
      <c r="A527" s="10" t="n">
        <v>511</v>
      </c>
      <c r="B527" s="14">
        <f>IF(AND($L527="",$M527="",$N527=""),"",IF($L527&lt;&gt;"",INDEX(LdADate,$L527),IF($M527&lt;&gt;"",INDEX(LdBDate,$M527),INDEX(LdCDate,$N527))))</f>
        <v/>
      </c>
      <c r="C527" s="14">
        <f>IF($L527&lt;&gt;"","دستمزد (فردی)",IF($M527&lt;&gt;"","سهم از گروه "&amp;IFERROR(VLOOKUP(INDEX(LdBGroup,$M527),WGTbl,2,0),INDEX(LdBGroup,$M527)),IF($N527&lt;&gt;"",IF(N(INDEX(LdCDep,$N527))&gt;0,"بازگشت بانکی","پرداخت بانکی"),"")))</f>
        <v/>
      </c>
      <c r="D527" s="14">
        <f>IF($L527&lt;&gt;"",IF(INDEX(LdAId,$L527)="","—",INDEX(LdAId,$L527)),IF($M527&lt;&gt;"",IF(INDEX(LdBId,$M527)="","—",INDEX(LdBId,$M527)),IF($N527&lt;&gt;"",IF(INDEX(LdCBank,$N527)="","—",INDEX(LdCBank,$N527)),"")))</f>
        <v/>
      </c>
      <c r="E527" s="16">
        <f>IF($L527&lt;&gt;"",IF(INDEX(LdAAmt,$L527)=0,"",INDEX(LdAAmt,$L527)),IF($M527&lt;&gt;"",IF(INDEX(LdBAmt,$M527)=0,"",INDEX(LdBAmt,$M527)),IF($N527&lt;&gt;"",IF(INDEX(LdCDep,$N527)=0,"",INDEX(LdCDep,$N527)),"")))</f>
        <v/>
      </c>
      <c r="F527" s="16">
        <f>IF(AND($L527="",$M527="",$N527=""),"",IF($N527="","",IF(INDEX(LdCWit,$N527)=0,"",INDEX(LdCWit,$N527))))</f>
        <v/>
      </c>
      <c r="G527" s="29">
        <f>IF($B527="","",IF($G526="",0,$G526)+IF($E527="",0,$E527)-IF($F527="",0,$F527))</f>
        <v/>
      </c>
      <c r="H527" s="30">
        <f>IF(AND($L527="",$M527="",$N527=""),"",IF($L527&lt;&gt;"",IF(INDEX(LdANote,$L527)="","—",INDEX(LdANote,$L527)),IF($M527&lt;&gt;"",IF(INDEX(LdBNote,$M527)="","—",INDEX(LdBNote,$M527)),IF($N527&lt;&gt;"",IF(INDEX(LdCNote,$N527)="","—",INDEX(LdCNote,$N527)),""))))</f>
        <v/>
      </c>
      <c r="L527">
        <f>IFERROR(MATCH($C$5&amp;"|"&amp;RIGHT("000000"&amp;511,6),LdAKeyM,0),"")</f>
        <v/>
      </c>
      <c r="M527">
        <f>IFERROR(MATCH($C$5&amp;"|"&amp;RIGHT("000000"&amp;511,6),LdBKeyM,0),"")</f>
        <v/>
      </c>
      <c r="N527">
        <f>IFERROR(MATCH($C$5&amp;"|"&amp;RIGHT("000000"&amp;511,6),LdCKeyM,0),"")</f>
        <v/>
      </c>
    </row>
    <row r="528">
      <c r="A528" s="19" t="n">
        <v>512</v>
      </c>
      <c r="B528" s="20">
        <f>IF(AND($L528="",$M528="",$N528=""),"",IF($L528&lt;&gt;"",INDEX(LdADate,$L528),IF($M528&lt;&gt;"",INDEX(LdBDate,$M528),INDEX(LdCDate,$N528))))</f>
        <v/>
      </c>
      <c r="C528" s="20">
        <f>IF($L528&lt;&gt;"","دستمزد (فردی)",IF($M528&lt;&gt;"","سهم از گروه "&amp;IFERROR(VLOOKUP(INDEX(LdBGroup,$M528),WGTbl,2,0),INDEX(LdBGroup,$M528)),IF($N528&lt;&gt;"",IF(N(INDEX(LdCDep,$N528))&gt;0,"بازگشت بانکی","پرداخت بانکی"),"")))</f>
        <v/>
      </c>
      <c r="D528" s="20">
        <f>IF($L528&lt;&gt;"",IF(INDEX(LdAId,$L528)="","—",INDEX(LdAId,$L528)),IF($M528&lt;&gt;"",IF(INDEX(LdBId,$M528)="","—",INDEX(LdBId,$M528)),IF($N528&lt;&gt;"",IF(INDEX(LdCBank,$N528)="","—",INDEX(LdCBank,$N528)),"")))</f>
        <v/>
      </c>
      <c r="E528" s="21">
        <f>IF($L528&lt;&gt;"",IF(INDEX(LdAAmt,$L528)=0,"",INDEX(LdAAmt,$L528)),IF($M528&lt;&gt;"",IF(INDEX(LdBAmt,$M528)=0,"",INDEX(LdBAmt,$M528)),IF($N528&lt;&gt;"",IF(INDEX(LdCDep,$N528)=0,"",INDEX(LdCDep,$N528)),"")))</f>
        <v/>
      </c>
      <c r="F528" s="21">
        <f>IF(AND($L528="",$M528="",$N528=""),"",IF($N528="","",IF(INDEX(LdCWit,$N528)=0,"",INDEX(LdCWit,$N528))))</f>
        <v/>
      </c>
      <c r="G528" s="31">
        <f>IF($B528="","",IF($G527="",0,$G527)+IF($E528="",0,$E528)-IF($F528="",0,$F528))</f>
        <v/>
      </c>
      <c r="H528" s="32">
        <f>IF(AND($L528="",$M528="",$N528=""),"",IF($L528&lt;&gt;"",IF(INDEX(LdANote,$L528)="","—",INDEX(LdANote,$L528)),IF($M528&lt;&gt;"",IF(INDEX(LdBNote,$M528)="","—",INDEX(LdBNote,$M528)),IF($N528&lt;&gt;"",IF(INDEX(LdCNote,$N528)="","—",INDEX(LdCNote,$N528)),""))))</f>
        <v/>
      </c>
      <c r="L528">
        <f>IFERROR(MATCH($C$5&amp;"|"&amp;RIGHT("000000"&amp;512,6),LdAKeyM,0),"")</f>
        <v/>
      </c>
      <c r="M528">
        <f>IFERROR(MATCH($C$5&amp;"|"&amp;RIGHT("000000"&amp;512,6),LdBKeyM,0),"")</f>
        <v/>
      </c>
      <c r="N528">
        <f>IFERROR(MATCH($C$5&amp;"|"&amp;RIGHT("000000"&amp;512,6),LdCKeyM,0),"")</f>
        <v/>
      </c>
    </row>
    <row r="529">
      <c r="A529" s="10" t="n">
        <v>513</v>
      </c>
      <c r="B529" s="14">
        <f>IF(AND($L529="",$M529="",$N529=""),"",IF($L529&lt;&gt;"",INDEX(LdADate,$L529),IF($M529&lt;&gt;"",INDEX(LdBDate,$M529),INDEX(LdCDate,$N529))))</f>
        <v/>
      </c>
      <c r="C529" s="14">
        <f>IF($L529&lt;&gt;"","دستمزد (فردی)",IF($M529&lt;&gt;"","سهم از گروه "&amp;IFERROR(VLOOKUP(INDEX(LdBGroup,$M529),WGTbl,2,0),INDEX(LdBGroup,$M529)),IF($N529&lt;&gt;"",IF(N(INDEX(LdCDep,$N529))&gt;0,"بازگشت بانکی","پرداخت بانکی"),"")))</f>
        <v/>
      </c>
      <c r="D529" s="14">
        <f>IF($L529&lt;&gt;"",IF(INDEX(LdAId,$L529)="","—",INDEX(LdAId,$L529)),IF($M529&lt;&gt;"",IF(INDEX(LdBId,$M529)="","—",INDEX(LdBId,$M529)),IF($N529&lt;&gt;"",IF(INDEX(LdCBank,$N529)="","—",INDEX(LdCBank,$N529)),"")))</f>
        <v/>
      </c>
      <c r="E529" s="16">
        <f>IF($L529&lt;&gt;"",IF(INDEX(LdAAmt,$L529)=0,"",INDEX(LdAAmt,$L529)),IF($M529&lt;&gt;"",IF(INDEX(LdBAmt,$M529)=0,"",INDEX(LdBAmt,$M529)),IF($N529&lt;&gt;"",IF(INDEX(LdCDep,$N529)=0,"",INDEX(LdCDep,$N529)),"")))</f>
        <v/>
      </c>
      <c r="F529" s="16">
        <f>IF(AND($L529="",$M529="",$N529=""),"",IF($N529="","",IF(INDEX(LdCWit,$N529)=0,"",INDEX(LdCWit,$N529))))</f>
        <v/>
      </c>
      <c r="G529" s="29">
        <f>IF($B529="","",IF($G528="",0,$G528)+IF($E529="",0,$E529)-IF($F529="",0,$F529))</f>
        <v/>
      </c>
      <c r="H529" s="30">
        <f>IF(AND($L529="",$M529="",$N529=""),"",IF($L529&lt;&gt;"",IF(INDEX(LdANote,$L529)="","—",INDEX(LdANote,$L529)),IF($M529&lt;&gt;"",IF(INDEX(LdBNote,$M529)="","—",INDEX(LdBNote,$M529)),IF($N529&lt;&gt;"",IF(INDEX(LdCNote,$N529)="","—",INDEX(LdCNote,$N529)),""))))</f>
        <v/>
      </c>
      <c r="L529">
        <f>IFERROR(MATCH($C$5&amp;"|"&amp;RIGHT("000000"&amp;513,6),LdAKeyM,0),"")</f>
        <v/>
      </c>
      <c r="M529">
        <f>IFERROR(MATCH($C$5&amp;"|"&amp;RIGHT("000000"&amp;513,6),LdBKeyM,0),"")</f>
        <v/>
      </c>
      <c r="N529">
        <f>IFERROR(MATCH($C$5&amp;"|"&amp;RIGHT("000000"&amp;513,6),LdCKeyM,0),"")</f>
        <v/>
      </c>
    </row>
    <row r="530">
      <c r="A530" s="19" t="n">
        <v>514</v>
      </c>
      <c r="B530" s="20">
        <f>IF(AND($L530="",$M530="",$N530=""),"",IF($L530&lt;&gt;"",INDEX(LdADate,$L530),IF($M530&lt;&gt;"",INDEX(LdBDate,$M530),INDEX(LdCDate,$N530))))</f>
        <v/>
      </c>
      <c r="C530" s="20">
        <f>IF($L530&lt;&gt;"","دستمزد (فردی)",IF($M530&lt;&gt;"","سهم از گروه "&amp;IFERROR(VLOOKUP(INDEX(LdBGroup,$M530),WGTbl,2,0),INDEX(LdBGroup,$M530)),IF($N530&lt;&gt;"",IF(N(INDEX(LdCDep,$N530))&gt;0,"بازگشت بانکی","پرداخت بانکی"),"")))</f>
        <v/>
      </c>
      <c r="D530" s="20">
        <f>IF($L530&lt;&gt;"",IF(INDEX(LdAId,$L530)="","—",INDEX(LdAId,$L530)),IF($M530&lt;&gt;"",IF(INDEX(LdBId,$M530)="","—",INDEX(LdBId,$M530)),IF($N530&lt;&gt;"",IF(INDEX(LdCBank,$N530)="","—",INDEX(LdCBank,$N530)),"")))</f>
        <v/>
      </c>
      <c r="E530" s="21">
        <f>IF($L530&lt;&gt;"",IF(INDEX(LdAAmt,$L530)=0,"",INDEX(LdAAmt,$L530)),IF($M530&lt;&gt;"",IF(INDEX(LdBAmt,$M530)=0,"",INDEX(LdBAmt,$M530)),IF($N530&lt;&gt;"",IF(INDEX(LdCDep,$N530)=0,"",INDEX(LdCDep,$N530)),"")))</f>
        <v/>
      </c>
      <c r="F530" s="21">
        <f>IF(AND($L530="",$M530="",$N530=""),"",IF($N530="","",IF(INDEX(LdCWit,$N530)=0,"",INDEX(LdCWit,$N530))))</f>
        <v/>
      </c>
      <c r="G530" s="31">
        <f>IF($B530="","",IF($G529="",0,$G529)+IF($E530="",0,$E530)-IF($F530="",0,$F530))</f>
        <v/>
      </c>
      <c r="H530" s="32">
        <f>IF(AND($L530="",$M530="",$N530=""),"",IF($L530&lt;&gt;"",IF(INDEX(LdANote,$L530)="","—",INDEX(LdANote,$L530)),IF($M530&lt;&gt;"",IF(INDEX(LdBNote,$M530)="","—",INDEX(LdBNote,$M530)),IF($N530&lt;&gt;"",IF(INDEX(LdCNote,$N530)="","—",INDEX(LdCNote,$N530)),""))))</f>
        <v/>
      </c>
      <c r="L530">
        <f>IFERROR(MATCH($C$5&amp;"|"&amp;RIGHT("000000"&amp;514,6),LdAKeyM,0),"")</f>
        <v/>
      </c>
      <c r="M530">
        <f>IFERROR(MATCH($C$5&amp;"|"&amp;RIGHT("000000"&amp;514,6),LdBKeyM,0),"")</f>
        <v/>
      </c>
      <c r="N530">
        <f>IFERROR(MATCH($C$5&amp;"|"&amp;RIGHT("000000"&amp;514,6),LdCKeyM,0),"")</f>
        <v/>
      </c>
    </row>
    <row r="531">
      <c r="A531" s="10" t="n">
        <v>515</v>
      </c>
      <c r="B531" s="14">
        <f>IF(AND($L531="",$M531="",$N531=""),"",IF($L531&lt;&gt;"",INDEX(LdADate,$L531),IF($M531&lt;&gt;"",INDEX(LdBDate,$M531),INDEX(LdCDate,$N531))))</f>
        <v/>
      </c>
      <c r="C531" s="14">
        <f>IF($L531&lt;&gt;"","دستمزد (فردی)",IF($M531&lt;&gt;"","سهم از گروه "&amp;IFERROR(VLOOKUP(INDEX(LdBGroup,$M531),WGTbl,2,0),INDEX(LdBGroup,$M531)),IF($N531&lt;&gt;"",IF(N(INDEX(LdCDep,$N531))&gt;0,"بازگشت بانکی","پرداخت بانکی"),"")))</f>
        <v/>
      </c>
      <c r="D531" s="14">
        <f>IF($L531&lt;&gt;"",IF(INDEX(LdAId,$L531)="","—",INDEX(LdAId,$L531)),IF($M531&lt;&gt;"",IF(INDEX(LdBId,$M531)="","—",INDEX(LdBId,$M531)),IF($N531&lt;&gt;"",IF(INDEX(LdCBank,$N531)="","—",INDEX(LdCBank,$N531)),"")))</f>
        <v/>
      </c>
      <c r="E531" s="16">
        <f>IF($L531&lt;&gt;"",IF(INDEX(LdAAmt,$L531)=0,"",INDEX(LdAAmt,$L531)),IF($M531&lt;&gt;"",IF(INDEX(LdBAmt,$M531)=0,"",INDEX(LdBAmt,$M531)),IF($N531&lt;&gt;"",IF(INDEX(LdCDep,$N531)=0,"",INDEX(LdCDep,$N531)),"")))</f>
        <v/>
      </c>
      <c r="F531" s="16">
        <f>IF(AND($L531="",$M531="",$N531=""),"",IF($N531="","",IF(INDEX(LdCWit,$N531)=0,"",INDEX(LdCWit,$N531))))</f>
        <v/>
      </c>
      <c r="G531" s="29">
        <f>IF($B531="","",IF($G530="",0,$G530)+IF($E531="",0,$E531)-IF($F531="",0,$F531))</f>
        <v/>
      </c>
      <c r="H531" s="30">
        <f>IF(AND($L531="",$M531="",$N531=""),"",IF($L531&lt;&gt;"",IF(INDEX(LdANote,$L531)="","—",INDEX(LdANote,$L531)),IF($M531&lt;&gt;"",IF(INDEX(LdBNote,$M531)="","—",INDEX(LdBNote,$M531)),IF($N531&lt;&gt;"",IF(INDEX(LdCNote,$N531)="","—",INDEX(LdCNote,$N531)),""))))</f>
        <v/>
      </c>
      <c r="L531">
        <f>IFERROR(MATCH($C$5&amp;"|"&amp;RIGHT("000000"&amp;515,6),LdAKeyM,0),"")</f>
        <v/>
      </c>
      <c r="M531">
        <f>IFERROR(MATCH($C$5&amp;"|"&amp;RIGHT("000000"&amp;515,6),LdBKeyM,0),"")</f>
        <v/>
      </c>
      <c r="N531">
        <f>IFERROR(MATCH($C$5&amp;"|"&amp;RIGHT("000000"&amp;515,6),LdCKeyM,0),"")</f>
        <v/>
      </c>
    </row>
    <row r="532">
      <c r="A532" s="19" t="n">
        <v>516</v>
      </c>
      <c r="B532" s="20">
        <f>IF(AND($L532="",$M532="",$N532=""),"",IF($L532&lt;&gt;"",INDEX(LdADate,$L532),IF($M532&lt;&gt;"",INDEX(LdBDate,$M532),INDEX(LdCDate,$N532))))</f>
        <v/>
      </c>
      <c r="C532" s="20">
        <f>IF($L532&lt;&gt;"","دستمزد (فردی)",IF($M532&lt;&gt;"","سهم از گروه "&amp;IFERROR(VLOOKUP(INDEX(LdBGroup,$M532),WGTbl,2,0),INDEX(LdBGroup,$M532)),IF($N532&lt;&gt;"",IF(N(INDEX(LdCDep,$N532))&gt;0,"بازگشت بانکی","پرداخت بانکی"),"")))</f>
        <v/>
      </c>
      <c r="D532" s="20">
        <f>IF($L532&lt;&gt;"",IF(INDEX(LdAId,$L532)="","—",INDEX(LdAId,$L532)),IF($M532&lt;&gt;"",IF(INDEX(LdBId,$M532)="","—",INDEX(LdBId,$M532)),IF($N532&lt;&gt;"",IF(INDEX(LdCBank,$N532)="","—",INDEX(LdCBank,$N532)),"")))</f>
        <v/>
      </c>
      <c r="E532" s="21">
        <f>IF($L532&lt;&gt;"",IF(INDEX(LdAAmt,$L532)=0,"",INDEX(LdAAmt,$L532)),IF($M532&lt;&gt;"",IF(INDEX(LdBAmt,$M532)=0,"",INDEX(LdBAmt,$M532)),IF($N532&lt;&gt;"",IF(INDEX(LdCDep,$N532)=0,"",INDEX(LdCDep,$N532)),"")))</f>
        <v/>
      </c>
      <c r="F532" s="21">
        <f>IF(AND($L532="",$M532="",$N532=""),"",IF($N532="","",IF(INDEX(LdCWit,$N532)=0,"",INDEX(LdCWit,$N532))))</f>
        <v/>
      </c>
      <c r="G532" s="31">
        <f>IF($B532="","",IF($G531="",0,$G531)+IF($E532="",0,$E532)-IF($F532="",0,$F532))</f>
        <v/>
      </c>
      <c r="H532" s="32">
        <f>IF(AND($L532="",$M532="",$N532=""),"",IF($L532&lt;&gt;"",IF(INDEX(LdANote,$L532)="","—",INDEX(LdANote,$L532)),IF($M532&lt;&gt;"",IF(INDEX(LdBNote,$M532)="","—",INDEX(LdBNote,$M532)),IF($N532&lt;&gt;"",IF(INDEX(LdCNote,$N532)="","—",INDEX(LdCNote,$N532)),""))))</f>
        <v/>
      </c>
      <c r="L532">
        <f>IFERROR(MATCH($C$5&amp;"|"&amp;RIGHT("000000"&amp;516,6),LdAKeyM,0),"")</f>
        <v/>
      </c>
      <c r="M532">
        <f>IFERROR(MATCH($C$5&amp;"|"&amp;RIGHT("000000"&amp;516,6),LdBKeyM,0),"")</f>
        <v/>
      </c>
      <c r="N532">
        <f>IFERROR(MATCH($C$5&amp;"|"&amp;RIGHT("000000"&amp;516,6),LdCKeyM,0),"")</f>
        <v/>
      </c>
    </row>
    <row r="533">
      <c r="A533" s="10" t="n">
        <v>517</v>
      </c>
      <c r="B533" s="14">
        <f>IF(AND($L533="",$M533="",$N533=""),"",IF($L533&lt;&gt;"",INDEX(LdADate,$L533),IF($M533&lt;&gt;"",INDEX(LdBDate,$M533),INDEX(LdCDate,$N533))))</f>
        <v/>
      </c>
      <c r="C533" s="14">
        <f>IF($L533&lt;&gt;"","دستمزد (فردی)",IF($M533&lt;&gt;"","سهم از گروه "&amp;IFERROR(VLOOKUP(INDEX(LdBGroup,$M533),WGTbl,2,0),INDEX(LdBGroup,$M533)),IF($N533&lt;&gt;"",IF(N(INDEX(LdCDep,$N533))&gt;0,"بازگشت بانکی","پرداخت بانکی"),"")))</f>
        <v/>
      </c>
      <c r="D533" s="14">
        <f>IF($L533&lt;&gt;"",IF(INDEX(LdAId,$L533)="","—",INDEX(LdAId,$L533)),IF($M533&lt;&gt;"",IF(INDEX(LdBId,$M533)="","—",INDEX(LdBId,$M533)),IF($N533&lt;&gt;"",IF(INDEX(LdCBank,$N533)="","—",INDEX(LdCBank,$N533)),"")))</f>
        <v/>
      </c>
      <c r="E533" s="16">
        <f>IF($L533&lt;&gt;"",IF(INDEX(LdAAmt,$L533)=0,"",INDEX(LdAAmt,$L533)),IF($M533&lt;&gt;"",IF(INDEX(LdBAmt,$M533)=0,"",INDEX(LdBAmt,$M533)),IF($N533&lt;&gt;"",IF(INDEX(LdCDep,$N533)=0,"",INDEX(LdCDep,$N533)),"")))</f>
        <v/>
      </c>
      <c r="F533" s="16">
        <f>IF(AND($L533="",$M533="",$N533=""),"",IF($N533="","",IF(INDEX(LdCWit,$N533)=0,"",INDEX(LdCWit,$N533))))</f>
        <v/>
      </c>
      <c r="G533" s="29">
        <f>IF($B533="","",IF($G532="",0,$G532)+IF($E533="",0,$E533)-IF($F533="",0,$F533))</f>
        <v/>
      </c>
      <c r="H533" s="30">
        <f>IF(AND($L533="",$M533="",$N533=""),"",IF($L533&lt;&gt;"",IF(INDEX(LdANote,$L533)="","—",INDEX(LdANote,$L533)),IF($M533&lt;&gt;"",IF(INDEX(LdBNote,$M533)="","—",INDEX(LdBNote,$M533)),IF($N533&lt;&gt;"",IF(INDEX(LdCNote,$N533)="","—",INDEX(LdCNote,$N533)),""))))</f>
        <v/>
      </c>
      <c r="L533">
        <f>IFERROR(MATCH($C$5&amp;"|"&amp;RIGHT("000000"&amp;517,6),LdAKeyM,0),"")</f>
        <v/>
      </c>
      <c r="M533">
        <f>IFERROR(MATCH($C$5&amp;"|"&amp;RIGHT("000000"&amp;517,6),LdBKeyM,0),"")</f>
        <v/>
      </c>
      <c r="N533">
        <f>IFERROR(MATCH($C$5&amp;"|"&amp;RIGHT("000000"&amp;517,6),LdCKeyM,0),"")</f>
        <v/>
      </c>
    </row>
    <row r="534">
      <c r="A534" s="19" t="n">
        <v>518</v>
      </c>
      <c r="B534" s="20">
        <f>IF(AND($L534="",$M534="",$N534=""),"",IF($L534&lt;&gt;"",INDEX(LdADate,$L534),IF($M534&lt;&gt;"",INDEX(LdBDate,$M534),INDEX(LdCDate,$N534))))</f>
        <v/>
      </c>
      <c r="C534" s="20">
        <f>IF($L534&lt;&gt;"","دستمزد (فردی)",IF($M534&lt;&gt;"","سهم از گروه "&amp;IFERROR(VLOOKUP(INDEX(LdBGroup,$M534),WGTbl,2,0),INDEX(LdBGroup,$M534)),IF($N534&lt;&gt;"",IF(N(INDEX(LdCDep,$N534))&gt;0,"بازگشت بانکی","پرداخت بانکی"),"")))</f>
        <v/>
      </c>
      <c r="D534" s="20">
        <f>IF($L534&lt;&gt;"",IF(INDEX(LdAId,$L534)="","—",INDEX(LdAId,$L534)),IF($M534&lt;&gt;"",IF(INDEX(LdBId,$M534)="","—",INDEX(LdBId,$M534)),IF($N534&lt;&gt;"",IF(INDEX(LdCBank,$N534)="","—",INDEX(LdCBank,$N534)),"")))</f>
        <v/>
      </c>
      <c r="E534" s="21">
        <f>IF($L534&lt;&gt;"",IF(INDEX(LdAAmt,$L534)=0,"",INDEX(LdAAmt,$L534)),IF($M534&lt;&gt;"",IF(INDEX(LdBAmt,$M534)=0,"",INDEX(LdBAmt,$M534)),IF($N534&lt;&gt;"",IF(INDEX(LdCDep,$N534)=0,"",INDEX(LdCDep,$N534)),"")))</f>
        <v/>
      </c>
      <c r="F534" s="21">
        <f>IF(AND($L534="",$M534="",$N534=""),"",IF($N534="","",IF(INDEX(LdCWit,$N534)=0,"",INDEX(LdCWit,$N534))))</f>
        <v/>
      </c>
      <c r="G534" s="31">
        <f>IF($B534="","",IF($G533="",0,$G533)+IF($E534="",0,$E534)-IF($F534="",0,$F534))</f>
        <v/>
      </c>
      <c r="H534" s="32">
        <f>IF(AND($L534="",$M534="",$N534=""),"",IF($L534&lt;&gt;"",IF(INDEX(LdANote,$L534)="","—",INDEX(LdANote,$L534)),IF($M534&lt;&gt;"",IF(INDEX(LdBNote,$M534)="","—",INDEX(LdBNote,$M534)),IF($N534&lt;&gt;"",IF(INDEX(LdCNote,$N534)="","—",INDEX(LdCNote,$N534)),""))))</f>
        <v/>
      </c>
      <c r="L534">
        <f>IFERROR(MATCH($C$5&amp;"|"&amp;RIGHT("000000"&amp;518,6),LdAKeyM,0),"")</f>
        <v/>
      </c>
      <c r="M534">
        <f>IFERROR(MATCH($C$5&amp;"|"&amp;RIGHT("000000"&amp;518,6),LdBKeyM,0),"")</f>
        <v/>
      </c>
      <c r="N534">
        <f>IFERROR(MATCH($C$5&amp;"|"&amp;RIGHT("000000"&amp;518,6),LdCKeyM,0),"")</f>
        <v/>
      </c>
    </row>
    <row r="535">
      <c r="A535" s="10" t="n">
        <v>519</v>
      </c>
      <c r="B535" s="14">
        <f>IF(AND($L535="",$M535="",$N535=""),"",IF($L535&lt;&gt;"",INDEX(LdADate,$L535),IF($M535&lt;&gt;"",INDEX(LdBDate,$M535),INDEX(LdCDate,$N535))))</f>
        <v/>
      </c>
      <c r="C535" s="14">
        <f>IF($L535&lt;&gt;"","دستمزد (فردی)",IF($M535&lt;&gt;"","سهم از گروه "&amp;IFERROR(VLOOKUP(INDEX(LdBGroup,$M535),WGTbl,2,0),INDEX(LdBGroup,$M535)),IF($N535&lt;&gt;"",IF(N(INDEX(LdCDep,$N535))&gt;0,"بازگشت بانکی","پرداخت بانکی"),"")))</f>
        <v/>
      </c>
      <c r="D535" s="14">
        <f>IF($L535&lt;&gt;"",IF(INDEX(LdAId,$L535)="","—",INDEX(LdAId,$L535)),IF($M535&lt;&gt;"",IF(INDEX(LdBId,$M535)="","—",INDEX(LdBId,$M535)),IF($N535&lt;&gt;"",IF(INDEX(LdCBank,$N535)="","—",INDEX(LdCBank,$N535)),"")))</f>
        <v/>
      </c>
      <c r="E535" s="16">
        <f>IF($L535&lt;&gt;"",IF(INDEX(LdAAmt,$L535)=0,"",INDEX(LdAAmt,$L535)),IF($M535&lt;&gt;"",IF(INDEX(LdBAmt,$M535)=0,"",INDEX(LdBAmt,$M535)),IF($N535&lt;&gt;"",IF(INDEX(LdCDep,$N535)=0,"",INDEX(LdCDep,$N535)),"")))</f>
        <v/>
      </c>
      <c r="F535" s="16">
        <f>IF(AND($L535="",$M535="",$N535=""),"",IF($N535="","",IF(INDEX(LdCWit,$N535)=0,"",INDEX(LdCWit,$N535))))</f>
        <v/>
      </c>
      <c r="G535" s="29">
        <f>IF($B535="","",IF($G534="",0,$G534)+IF($E535="",0,$E535)-IF($F535="",0,$F535))</f>
        <v/>
      </c>
      <c r="H535" s="30">
        <f>IF(AND($L535="",$M535="",$N535=""),"",IF($L535&lt;&gt;"",IF(INDEX(LdANote,$L535)="","—",INDEX(LdANote,$L535)),IF($M535&lt;&gt;"",IF(INDEX(LdBNote,$M535)="","—",INDEX(LdBNote,$M535)),IF($N535&lt;&gt;"",IF(INDEX(LdCNote,$N535)="","—",INDEX(LdCNote,$N535)),""))))</f>
        <v/>
      </c>
      <c r="L535">
        <f>IFERROR(MATCH($C$5&amp;"|"&amp;RIGHT("000000"&amp;519,6),LdAKeyM,0),"")</f>
        <v/>
      </c>
      <c r="M535">
        <f>IFERROR(MATCH($C$5&amp;"|"&amp;RIGHT("000000"&amp;519,6),LdBKeyM,0),"")</f>
        <v/>
      </c>
      <c r="N535">
        <f>IFERROR(MATCH($C$5&amp;"|"&amp;RIGHT("000000"&amp;519,6),LdCKeyM,0),"")</f>
        <v/>
      </c>
    </row>
    <row r="536">
      <c r="A536" s="19" t="n">
        <v>520</v>
      </c>
      <c r="B536" s="20">
        <f>IF(AND($L536="",$M536="",$N536=""),"",IF($L536&lt;&gt;"",INDEX(LdADate,$L536),IF($M536&lt;&gt;"",INDEX(LdBDate,$M536),INDEX(LdCDate,$N536))))</f>
        <v/>
      </c>
      <c r="C536" s="20">
        <f>IF($L536&lt;&gt;"","دستمزد (فردی)",IF($M536&lt;&gt;"","سهم از گروه "&amp;IFERROR(VLOOKUP(INDEX(LdBGroup,$M536),WGTbl,2,0),INDEX(LdBGroup,$M536)),IF($N536&lt;&gt;"",IF(N(INDEX(LdCDep,$N536))&gt;0,"بازگشت بانکی","پرداخت بانکی"),"")))</f>
        <v/>
      </c>
      <c r="D536" s="20">
        <f>IF($L536&lt;&gt;"",IF(INDEX(LdAId,$L536)="","—",INDEX(LdAId,$L536)),IF($M536&lt;&gt;"",IF(INDEX(LdBId,$M536)="","—",INDEX(LdBId,$M536)),IF($N536&lt;&gt;"",IF(INDEX(LdCBank,$N536)="","—",INDEX(LdCBank,$N536)),"")))</f>
        <v/>
      </c>
      <c r="E536" s="21">
        <f>IF($L536&lt;&gt;"",IF(INDEX(LdAAmt,$L536)=0,"",INDEX(LdAAmt,$L536)),IF($M536&lt;&gt;"",IF(INDEX(LdBAmt,$M536)=0,"",INDEX(LdBAmt,$M536)),IF($N536&lt;&gt;"",IF(INDEX(LdCDep,$N536)=0,"",INDEX(LdCDep,$N536)),"")))</f>
        <v/>
      </c>
      <c r="F536" s="21">
        <f>IF(AND($L536="",$M536="",$N536=""),"",IF($N536="","",IF(INDEX(LdCWit,$N536)=0,"",INDEX(LdCWit,$N536))))</f>
        <v/>
      </c>
      <c r="G536" s="31">
        <f>IF($B536="","",IF($G535="",0,$G535)+IF($E536="",0,$E536)-IF($F536="",0,$F536))</f>
        <v/>
      </c>
      <c r="H536" s="32">
        <f>IF(AND($L536="",$M536="",$N536=""),"",IF($L536&lt;&gt;"",IF(INDEX(LdANote,$L536)="","—",INDEX(LdANote,$L536)),IF($M536&lt;&gt;"",IF(INDEX(LdBNote,$M536)="","—",INDEX(LdBNote,$M536)),IF($N536&lt;&gt;"",IF(INDEX(LdCNote,$N536)="","—",INDEX(LdCNote,$N536)),""))))</f>
        <v/>
      </c>
      <c r="L536">
        <f>IFERROR(MATCH($C$5&amp;"|"&amp;RIGHT("000000"&amp;520,6),LdAKeyM,0),"")</f>
        <v/>
      </c>
      <c r="M536">
        <f>IFERROR(MATCH($C$5&amp;"|"&amp;RIGHT("000000"&amp;520,6),LdBKeyM,0),"")</f>
        <v/>
      </c>
      <c r="N536">
        <f>IFERROR(MATCH($C$5&amp;"|"&amp;RIGHT("000000"&amp;520,6),LdCKeyM,0),"")</f>
        <v/>
      </c>
    </row>
    <row r="537">
      <c r="A537" s="10" t="n">
        <v>521</v>
      </c>
      <c r="B537" s="14">
        <f>IF(AND($L537="",$M537="",$N537=""),"",IF($L537&lt;&gt;"",INDEX(LdADate,$L537),IF($M537&lt;&gt;"",INDEX(LdBDate,$M537),INDEX(LdCDate,$N537))))</f>
        <v/>
      </c>
      <c r="C537" s="14">
        <f>IF($L537&lt;&gt;"","دستمزد (فردی)",IF($M537&lt;&gt;"","سهم از گروه "&amp;IFERROR(VLOOKUP(INDEX(LdBGroup,$M537),WGTbl,2,0),INDEX(LdBGroup,$M537)),IF($N537&lt;&gt;"",IF(N(INDEX(LdCDep,$N537))&gt;0,"بازگشت بانکی","پرداخت بانکی"),"")))</f>
        <v/>
      </c>
      <c r="D537" s="14">
        <f>IF($L537&lt;&gt;"",IF(INDEX(LdAId,$L537)="","—",INDEX(LdAId,$L537)),IF($M537&lt;&gt;"",IF(INDEX(LdBId,$M537)="","—",INDEX(LdBId,$M537)),IF($N537&lt;&gt;"",IF(INDEX(LdCBank,$N537)="","—",INDEX(LdCBank,$N537)),"")))</f>
        <v/>
      </c>
      <c r="E537" s="16">
        <f>IF($L537&lt;&gt;"",IF(INDEX(LdAAmt,$L537)=0,"",INDEX(LdAAmt,$L537)),IF($M537&lt;&gt;"",IF(INDEX(LdBAmt,$M537)=0,"",INDEX(LdBAmt,$M537)),IF($N537&lt;&gt;"",IF(INDEX(LdCDep,$N537)=0,"",INDEX(LdCDep,$N537)),"")))</f>
        <v/>
      </c>
      <c r="F537" s="16">
        <f>IF(AND($L537="",$M537="",$N537=""),"",IF($N537="","",IF(INDEX(LdCWit,$N537)=0,"",INDEX(LdCWit,$N537))))</f>
        <v/>
      </c>
      <c r="G537" s="29">
        <f>IF($B537="","",IF($G536="",0,$G536)+IF($E537="",0,$E537)-IF($F537="",0,$F537))</f>
        <v/>
      </c>
      <c r="H537" s="30">
        <f>IF(AND($L537="",$M537="",$N537=""),"",IF($L537&lt;&gt;"",IF(INDEX(LdANote,$L537)="","—",INDEX(LdANote,$L537)),IF($M537&lt;&gt;"",IF(INDEX(LdBNote,$M537)="","—",INDEX(LdBNote,$M537)),IF($N537&lt;&gt;"",IF(INDEX(LdCNote,$N537)="","—",INDEX(LdCNote,$N537)),""))))</f>
        <v/>
      </c>
      <c r="L537">
        <f>IFERROR(MATCH($C$5&amp;"|"&amp;RIGHT("000000"&amp;521,6),LdAKeyM,0),"")</f>
        <v/>
      </c>
      <c r="M537">
        <f>IFERROR(MATCH($C$5&amp;"|"&amp;RIGHT("000000"&amp;521,6),LdBKeyM,0),"")</f>
        <v/>
      </c>
      <c r="N537">
        <f>IFERROR(MATCH($C$5&amp;"|"&amp;RIGHT("000000"&amp;521,6),LdCKeyM,0),"")</f>
        <v/>
      </c>
    </row>
    <row r="538">
      <c r="A538" s="19" t="n">
        <v>522</v>
      </c>
      <c r="B538" s="20">
        <f>IF(AND($L538="",$M538="",$N538=""),"",IF($L538&lt;&gt;"",INDEX(LdADate,$L538),IF($M538&lt;&gt;"",INDEX(LdBDate,$M538),INDEX(LdCDate,$N538))))</f>
        <v/>
      </c>
      <c r="C538" s="20">
        <f>IF($L538&lt;&gt;"","دستمزد (فردی)",IF($M538&lt;&gt;"","سهم از گروه "&amp;IFERROR(VLOOKUP(INDEX(LdBGroup,$M538),WGTbl,2,0),INDEX(LdBGroup,$M538)),IF($N538&lt;&gt;"",IF(N(INDEX(LdCDep,$N538))&gt;0,"بازگشت بانکی","پرداخت بانکی"),"")))</f>
        <v/>
      </c>
      <c r="D538" s="20">
        <f>IF($L538&lt;&gt;"",IF(INDEX(LdAId,$L538)="","—",INDEX(LdAId,$L538)),IF($M538&lt;&gt;"",IF(INDEX(LdBId,$M538)="","—",INDEX(LdBId,$M538)),IF($N538&lt;&gt;"",IF(INDEX(LdCBank,$N538)="","—",INDEX(LdCBank,$N538)),"")))</f>
        <v/>
      </c>
      <c r="E538" s="21">
        <f>IF($L538&lt;&gt;"",IF(INDEX(LdAAmt,$L538)=0,"",INDEX(LdAAmt,$L538)),IF($M538&lt;&gt;"",IF(INDEX(LdBAmt,$M538)=0,"",INDEX(LdBAmt,$M538)),IF($N538&lt;&gt;"",IF(INDEX(LdCDep,$N538)=0,"",INDEX(LdCDep,$N538)),"")))</f>
        <v/>
      </c>
      <c r="F538" s="21">
        <f>IF(AND($L538="",$M538="",$N538=""),"",IF($N538="","",IF(INDEX(LdCWit,$N538)=0,"",INDEX(LdCWit,$N538))))</f>
        <v/>
      </c>
      <c r="G538" s="31">
        <f>IF($B538="","",IF($G537="",0,$G537)+IF($E538="",0,$E538)-IF($F538="",0,$F538))</f>
        <v/>
      </c>
      <c r="H538" s="32">
        <f>IF(AND($L538="",$M538="",$N538=""),"",IF($L538&lt;&gt;"",IF(INDEX(LdANote,$L538)="","—",INDEX(LdANote,$L538)),IF($M538&lt;&gt;"",IF(INDEX(LdBNote,$M538)="","—",INDEX(LdBNote,$M538)),IF($N538&lt;&gt;"",IF(INDEX(LdCNote,$N538)="","—",INDEX(LdCNote,$N538)),""))))</f>
        <v/>
      </c>
      <c r="L538">
        <f>IFERROR(MATCH($C$5&amp;"|"&amp;RIGHT("000000"&amp;522,6),LdAKeyM,0),"")</f>
        <v/>
      </c>
      <c r="M538">
        <f>IFERROR(MATCH($C$5&amp;"|"&amp;RIGHT("000000"&amp;522,6),LdBKeyM,0),"")</f>
        <v/>
      </c>
      <c r="N538">
        <f>IFERROR(MATCH($C$5&amp;"|"&amp;RIGHT("000000"&amp;522,6),LdCKeyM,0),"")</f>
        <v/>
      </c>
    </row>
    <row r="539">
      <c r="A539" s="10" t="n">
        <v>523</v>
      </c>
      <c r="B539" s="14">
        <f>IF(AND($L539="",$M539="",$N539=""),"",IF($L539&lt;&gt;"",INDEX(LdADate,$L539),IF($M539&lt;&gt;"",INDEX(LdBDate,$M539),INDEX(LdCDate,$N539))))</f>
        <v/>
      </c>
      <c r="C539" s="14">
        <f>IF($L539&lt;&gt;"","دستمزد (فردی)",IF($M539&lt;&gt;"","سهم از گروه "&amp;IFERROR(VLOOKUP(INDEX(LdBGroup,$M539),WGTbl,2,0),INDEX(LdBGroup,$M539)),IF($N539&lt;&gt;"",IF(N(INDEX(LdCDep,$N539))&gt;0,"بازگشت بانکی","پرداخت بانکی"),"")))</f>
        <v/>
      </c>
      <c r="D539" s="14">
        <f>IF($L539&lt;&gt;"",IF(INDEX(LdAId,$L539)="","—",INDEX(LdAId,$L539)),IF($M539&lt;&gt;"",IF(INDEX(LdBId,$M539)="","—",INDEX(LdBId,$M539)),IF($N539&lt;&gt;"",IF(INDEX(LdCBank,$N539)="","—",INDEX(LdCBank,$N539)),"")))</f>
        <v/>
      </c>
      <c r="E539" s="16">
        <f>IF($L539&lt;&gt;"",IF(INDEX(LdAAmt,$L539)=0,"",INDEX(LdAAmt,$L539)),IF($M539&lt;&gt;"",IF(INDEX(LdBAmt,$M539)=0,"",INDEX(LdBAmt,$M539)),IF($N539&lt;&gt;"",IF(INDEX(LdCDep,$N539)=0,"",INDEX(LdCDep,$N539)),"")))</f>
        <v/>
      </c>
      <c r="F539" s="16">
        <f>IF(AND($L539="",$M539="",$N539=""),"",IF($N539="","",IF(INDEX(LdCWit,$N539)=0,"",INDEX(LdCWit,$N539))))</f>
        <v/>
      </c>
      <c r="G539" s="29">
        <f>IF($B539="","",IF($G538="",0,$G538)+IF($E539="",0,$E539)-IF($F539="",0,$F539))</f>
        <v/>
      </c>
      <c r="H539" s="30">
        <f>IF(AND($L539="",$M539="",$N539=""),"",IF($L539&lt;&gt;"",IF(INDEX(LdANote,$L539)="","—",INDEX(LdANote,$L539)),IF($M539&lt;&gt;"",IF(INDEX(LdBNote,$M539)="","—",INDEX(LdBNote,$M539)),IF($N539&lt;&gt;"",IF(INDEX(LdCNote,$N539)="","—",INDEX(LdCNote,$N539)),""))))</f>
        <v/>
      </c>
      <c r="L539">
        <f>IFERROR(MATCH($C$5&amp;"|"&amp;RIGHT("000000"&amp;523,6),LdAKeyM,0),"")</f>
        <v/>
      </c>
      <c r="M539">
        <f>IFERROR(MATCH($C$5&amp;"|"&amp;RIGHT("000000"&amp;523,6),LdBKeyM,0),"")</f>
        <v/>
      </c>
      <c r="N539">
        <f>IFERROR(MATCH($C$5&amp;"|"&amp;RIGHT("000000"&amp;523,6),LdCKeyM,0),"")</f>
        <v/>
      </c>
    </row>
    <row r="540">
      <c r="A540" s="19" t="n">
        <v>524</v>
      </c>
      <c r="B540" s="20">
        <f>IF(AND($L540="",$M540="",$N540=""),"",IF($L540&lt;&gt;"",INDEX(LdADate,$L540),IF($M540&lt;&gt;"",INDEX(LdBDate,$M540),INDEX(LdCDate,$N540))))</f>
        <v/>
      </c>
      <c r="C540" s="20">
        <f>IF($L540&lt;&gt;"","دستمزد (فردی)",IF($M540&lt;&gt;"","سهم از گروه "&amp;IFERROR(VLOOKUP(INDEX(LdBGroup,$M540),WGTbl,2,0),INDEX(LdBGroup,$M540)),IF($N540&lt;&gt;"",IF(N(INDEX(LdCDep,$N540))&gt;0,"بازگشت بانکی","پرداخت بانکی"),"")))</f>
        <v/>
      </c>
      <c r="D540" s="20">
        <f>IF($L540&lt;&gt;"",IF(INDEX(LdAId,$L540)="","—",INDEX(LdAId,$L540)),IF($M540&lt;&gt;"",IF(INDEX(LdBId,$M540)="","—",INDEX(LdBId,$M540)),IF($N540&lt;&gt;"",IF(INDEX(LdCBank,$N540)="","—",INDEX(LdCBank,$N540)),"")))</f>
        <v/>
      </c>
      <c r="E540" s="21">
        <f>IF($L540&lt;&gt;"",IF(INDEX(LdAAmt,$L540)=0,"",INDEX(LdAAmt,$L540)),IF($M540&lt;&gt;"",IF(INDEX(LdBAmt,$M540)=0,"",INDEX(LdBAmt,$M540)),IF($N540&lt;&gt;"",IF(INDEX(LdCDep,$N540)=0,"",INDEX(LdCDep,$N540)),"")))</f>
        <v/>
      </c>
      <c r="F540" s="21">
        <f>IF(AND($L540="",$M540="",$N540=""),"",IF($N540="","",IF(INDEX(LdCWit,$N540)=0,"",INDEX(LdCWit,$N540))))</f>
        <v/>
      </c>
      <c r="G540" s="31">
        <f>IF($B540="","",IF($G539="",0,$G539)+IF($E540="",0,$E540)-IF($F540="",0,$F540))</f>
        <v/>
      </c>
      <c r="H540" s="32">
        <f>IF(AND($L540="",$M540="",$N540=""),"",IF($L540&lt;&gt;"",IF(INDEX(LdANote,$L540)="","—",INDEX(LdANote,$L540)),IF($M540&lt;&gt;"",IF(INDEX(LdBNote,$M540)="","—",INDEX(LdBNote,$M540)),IF($N540&lt;&gt;"",IF(INDEX(LdCNote,$N540)="","—",INDEX(LdCNote,$N540)),""))))</f>
        <v/>
      </c>
      <c r="L540">
        <f>IFERROR(MATCH($C$5&amp;"|"&amp;RIGHT("000000"&amp;524,6),LdAKeyM,0),"")</f>
        <v/>
      </c>
      <c r="M540">
        <f>IFERROR(MATCH($C$5&amp;"|"&amp;RIGHT("000000"&amp;524,6),LdBKeyM,0),"")</f>
        <v/>
      </c>
      <c r="N540">
        <f>IFERROR(MATCH($C$5&amp;"|"&amp;RIGHT("000000"&amp;524,6),LdCKeyM,0),"")</f>
        <v/>
      </c>
    </row>
    <row r="541">
      <c r="A541" s="10" t="n">
        <v>525</v>
      </c>
      <c r="B541" s="14">
        <f>IF(AND($L541="",$M541="",$N541=""),"",IF($L541&lt;&gt;"",INDEX(LdADate,$L541),IF($M541&lt;&gt;"",INDEX(LdBDate,$M541),INDEX(LdCDate,$N541))))</f>
        <v/>
      </c>
      <c r="C541" s="14">
        <f>IF($L541&lt;&gt;"","دستمزد (فردی)",IF($M541&lt;&gt;"","سهم از گروه "&amp;IFERROR(VLOOKUP(INDEX(LdBGroup,$M541),WGTbl,2,0),INDEX(LdBGroup,$M541)),IF($N541&lt;&gt;"",IF(N(INDEX(LdCDep,$N541))&gt;0,"بازگشت بانکی","پرداخت بانکی"),"")))</f>
        <v/>
      </c>
      <c r="D541" s="14">
        <f>IF($L541&lt;&gt;"",IF(INDEX(LdAId,$L541)="","—",INDEX(LdAId,$L541)),IF($M541&lt;&gt;"",IF(INDEX(LdBId,$M541)="","—",INDEX(LdBId,$M541)),IF($N541&lt;&gt;"",IF(INDEX(LdCBank,$N541)="","—",INDEX(LdCBank,$N541)),"")))</f>
        <v/>
      </c>
      <c r="E541" s="16">
        <f>IF($L541&lt;&gt;"",IF(INDEX(LdAAmt,$L541)=0,"",INDEX(LdAAmt,$L541)),IF($M541&lt;&gt;"",IF(INDEX(LdBAmt,$M541)=0,"",INDEX(LdBAmt,$M541)),IF($N541&lt;&gt;"",IF(INDEX(LdCDep,$N541)=0,"",INDEX(LdCDep,$N541)),"")))</f>
        <v/>
      </c>
      <c r="F541" s="16">
        <f>IF(AND($L541="",$M541="",$N541=""),"",IF($N541="","",IF(INDEX(LdCWit,$N541)=0,"",INDEX(LdCWit,$N541))))</f>
        <v/>
      </c>
      <c r="G541" s="29">
        <f>IF($B541="","",IF($G540="",0,$G540)+IF($E541="",0,$E541)-IF($F541="",0,$F541))</f>
        <v/>
      </c>
      <c r="H541" s="30">
        <f>IF(AND($L541="",$M541="",$N541=""),"",IF($L541&lt;&gt;"",IF(INDEX(LdANote,$L541)="","—",INDEX(LdANote,$L541)),IF($M541&lt;&gt;"",IF(INDEX(LdBNote,$M541)="","—",INDEX(LdBNote,$M541)),IF($N541&lt;&gt;"",IF(INDEX(LdCNote,$N541)="","—",INDEX(LdCNote,$N541)),""))))</f>
        <v/>
      </c>
      <c r="L541">
        <f>IFERROR(MATCH($C$5&amp;"|"&amp;RIGHT("000000"&amp;525,6),LdAKeyM,0),"")</f>
        <v/>
      </c>
      <c r="M541">
        <f>IFERROR(MATCH($C$5&amp;"|"&amp;RIGHT("000000"&amp;525,6),LdBKeyM,0),"")</f>
        <v/>
      </c>
      <c r="N541">
        <f>IFERROR(MATCH($C$5&amp;"|"&amp;RIGHT("000000"&amp;525,6),LdCKeyM,0),"")</f>
        <v/>
      </c>
    </row>
    <row r="542">
      <c r="A542" s="19" t="n">
        <v>526</v>
      </c>
      <c r="B542" s="20">
        <f>IF(AND($L542="",$M542="",$N542=""),"",IF($L542&lt;&gt;"",INDEX(LdADate,$L542),IF($M542&lt;&gt;"",INDEX(LdBDate,$M542),INDEX(LdCDate,$N542))))</f>
        <v/>
      </c>
      <c r="C542" s="20">
        <f>IF($L542&lt;&gt;"","دستمزد (فردی)",IF($M542&lt;&gt;"","سهم از گروه "&amp;IFERROR(VLOOKUP(INDEX(LdBGroup,$M542),WGTbl,2,0),INDEX(LdBGroup,$M542)),IF($N542&lt;&gt;"",IF(N(INDEX(LdCDep,$N542))&gt;0,"بازگشت بانکی","پرداخت بانکی"),"")))</f>
        <v/>
      </c>
      <c r="D542" s="20">
        <f>IF($L542&lt;&gt;"",IF(INDEX(LdAId,$L542)="","—",INDEX(LdAId,$L542)),IF($M542&lt;&gt;"",IF(INDEX(LdBId,$M542)="","—",INDEX(LdBId,$M542)),IF($N542&lt;&gt;"",IF(INDEX(LdCBank,$N542)="","—",INDEX(LdCBank,$N542)),"")))</f>
        <v/>
      </c>
      <c r="E542" s="21">
        <f>IF($L542&lt;&gt;"",IF(INDEX(LdAAmt,$L542)=0,"",INDEX(LdAAmt,$L542)),IF($M542&lt;&gt;"",IF(INDEX(LdBAmt,$M542)=0,"",INDEX(LdBAmt,$M542)),IF($N542&lt;&gt;"",IF(INDEX(LdCDep,$N542)=0,"",INDEX(LdCDep,$N542)),"")))</f>
        <v/>
      </c>
      <c r="F542" s="21">
        <f>IF(AND($L542="",$M542="",$N542=""),"",IF($N542="","",IF(INDEX(LdCWit,$N542)=0,"",INDEX(LdCWit,$N542))))</f>
        <v/>
      </c>
      <c r="G542" s="31">
        <f>IF($B542="","",IF($G541="",0,$G541)+IF($E542="",0,$E542)-IF($F542="",0,$F542))</f>
        <v/>
      </c>
      <c r="H542" s="32">
        <f>IF(AND($L542="",$M542="",$N542=""),"",IF($L542&lt;&gt;"",IF(INDEX(LdANote,$L542)="","—",INDEX(LdANote,$L542)),IF($M542&lt;&gt;"",IF(INDEX(LdBNote,$M542)="","—",INDEX(LdBNote,$M542)),IF($N542&lt;&gt;"",IF(INDEX(LdCNote,$N542)="","—",INDEX(LdCNote,$N542)),""))))</f>
        <v/>
      </c>
      <c r="L542">
        <f>IFERROR(MATCH($C$5&amp;"|"&amp;RIGHT("000000"&amp;526,6),LdAKeyM,0),"")</f>
        <v/>
      </c>
      <c r="M542">
        <f>IFERROR(MATCH($C$5&amp;"|"&amp;RIGHT("000000"&amp;526,6),LdBKeyM,0),"")</f>
        <v/>
      </c>
      <c r="N542">
        <f>IFERROR(MATCH($C$5&amp;"|"&amp;RIGHT("000000"&amp;526,6),LdCKeyM,0),"")</f>
        <v/>
      </c>
    </row>
    <row r="543">
      <c r="A543" s="10" t="n">
        <v>527</v>
      </c>
      <c r="B543" s="14">
        <f>IF(AND($L543="",$M543="",$N543=""),"",IF($L543&lt;&gt;"",INDEX(LdADate,$L543),IF($M543&lt;&gt;"",INDEX(LdBDate,$M543),INDEX(LdCDate,$N543))))</f>
        <v/>
      </c>
      <c r="C543" s="14">
        <f>IF($L543&lt;&gt;"","دستمزد (فردی)",IF($M543&lt;&gt;"","سهم از گروه "&amp;IFERROR(VLOOKUP(INDEX(LdBGroup,$M543),WGTbl,2,0),INDEX(LdBGroup,$M543)),IF($N543&lt;&gt;"",IF(N(INDEX(LdCDep,$N543))&gt;0,"بازگشت بانکی","پرداخت بانکی"),"")))</f>
        <v/>
      </c>
      <c r="D543" s="14">
        <f>IF($L543&lt;&gt;"",IF(INDEX(LdAId,$L543)="","—",INDEX(LdAId,$L543)),IF($M543&lt;&gt;"",IF(INDEX(LdBId,$M543)="","—",INDEX(LdBId,$M543)),IF($N543&lt;&gt;"",IF(INDEX(LdCBank,$N543)="","—",INDEX(LdCBank,$N543)),"")))</f>
        <v/>
      </c>
      <c r="E543" s="16">
        <f>IF($L543&lt;&gt;"",IF(INDEX(LdAAmt,$L543)=0,"",INDEX(LdAAmt,$L543)),IF($M543&lt;&gt;"",IF(INDEX(LdBAmt,$M543)=0,"",INDEX(LdBAmt,$M543)),IF($N543&lt;&gt;"",IF(INDEX(LdCDep,$N543)=0,"",INDEX(LdCDep,$N543)),"")))</f>
        <v/>
      </c>
      <c r="F543" s="16">
        <f>IF(AND($L543="",$M543="",$N543=""),"",IF($N543="","",IF(INDEX(LdCWit,$N543)=0,"",INDEX(LdCWit,$N543))))</f>
        <v/>
      </c>
      <c r="G543" s="29">
        <f>IF($B543="","",IF($G542="",0,$G542)+IF($E543="",0,$E543)-IF($F543="",0,$F543))</f>
        <v/>
      </c>
      <c r="H543" s="30">
        <f>IF(AND($L543="",$M543="",$N543=""),"",IF($L543&lt;&gt;"",IF(INDEX(LdANote,$L543)="","—",INDEX(LdANote,$L543)),IF($M543&lt;&gt;"",IF(INDEX(LdBNote,$M543)="","—",INDEX(LdBNote,$M543)),IF($N543&lt;&gt;"",IF(INDEX(LdCNote,$N543)="","—",INDEX(LdCNote,$N543)),""))))</f>
        <v/>
      </c>
      <c r="L543">
        <f>IFERROR(MATCH($C$5&amp;"|"&amp;RIGHT("000000"&amp;527,6),LdAKeyM,0),"")</f>
        <v/>
      </c>
      <c r="M543">
        <f>IFERROR(MATCH($C$5&amp;"|"&amp;RIGHT("000000"&amp;527,6),LdBKeyM,0),"")</f>
        <v/>
      </c>
      <c r="N543">
        <f>IFERROR(MATCH($C$5&amp;"|"&amp;RIGHT("000000"&amp;527,6),LdCKeyM,0),"")</f>
        <v/>
      </c>
    </row>
    <row r="544">
      <c r="A544" s="19" t="n">
        <v>528</v>
      </c>
      <c r="B544" s="20">
        <f>IF(AND($L544="",$M544="",$N544=""),"",IF($L544&lt;&gt;"",INDEX(LdADate,$L544),IF($M544&lt;&gt;"",INDEX(LdBDate,$M544),INDEX(LdCDate,$N544))))</f>
        <v/>
      </c>
      <c r="C544" s="20">
        <f>IF($L544&lt;&gt;"","دستمزد (فردی)",IF($M544&lt;&gt;"","سهم از گروه "&amp;IFERROR(VLOOKUP(INDEX(LdBGroup,$M544),WGTbl,2,0),INDEX(LdBGroup,$M544)),IF($N544&lt;&gt;"",IF(N(INDEX(LdCDep,$N544))&gt;0,"بازگشت بانکی","پرداخت بانکی"),"")))</f>
        <v/>
      </c>
      <c r="D544" s="20">
        <f>IF($L544&lt;&gt;"",IF(INDEX(LdAId,$L544)="","—",INDEX(LdAId,$L544)),IF($M544&lt;&gt;"",IF(INDEX(LdBId,$M544)="","—",INDEX(LdBId,$M544)),IF($N544&lt;&gt;"",IF(INDEX(LdCBank,$N544)="","—",INDEX(LdCBank,$N544)),"")))</f>
        <v/>
      </c>
      <c r="E544" s="21">
        <f>IF($L544&lt;&gt;"",IF(INDEX(LdAAmt,$L544)=0,"",INDEX(LdAAmt,$L544)),IF($M544&lt;&gt;"",IF(INDEX(LdBAmt,$M544)=0,"",INDEX(LdBAmt,$M544)),IF($N544&lt;&gt;"",IF(INDEX(LdCDep,$N544)=0,"",INDEX(LdCDep,$N544)),"")))</f>
        <v/>
      </c>
      <c r="F544" s="21">
        <f>IF(AND($L544="",$M544="",$N544=""),"",IF($N544="","",IF(INDEX(LdCWit,$N544)=0,"",INDEX(LdCWit,$N544))))</f>
        <v/>
      </c>
      <c r="G544" s="31">
        <f>IF($B544="","",IF($G543="",0,$G543)+IF($E544="",0,$E544)-IF($F544="",0,$F544))</f>
        <v/>
      </c>
      <c r="H544" s="32">
        <f>IF(AND($L544="",$M544="",$N544=""),"",IF($L544&lt;&gt;"",IF(INDEX(LdANote,$L544)="","—",INDEX(LdANote,$L544)),IF($M544&lt;&gt;"",IF(INDEX(LdBNote,$M544)="","—",INDEX(LdBNote,$M544)),IF($N544&lt;&gt;"",IF(INDEX(LdCNote,$N544)="","—",INDEX(LdCNote,$N544)),""))))</f>
        <v/>
      </c>
      <c r="L544">
        <f>IFERROR(MATCH($C$5&amp;"|"&amp;RIGHT("000000"&amp;528,6),LdAKeyM,0),"")</f>
        <v/>
      </c>
      <c r="M544">
        <f>IFERROR(MATCH($C$5&amp;"|"&amp;RIGHT("000000"&amp;528,6),LdBKeyM,0),"")</f>
        <v/>
      </c>
      <c r="N544">
        <f>IFERROR(MATCH($C$5&amp;"|"&amp;RIGHT("000000"&amp;528,6),LdCKeyM,0),"")</f>
        <v/>
      </c>
    </row>
    <row r="545">
      <c r="A545" s="10" t="n">
        <v>529</v>
      </c>
      <c r="B545" s="14">
        <f>IF(AND($L545="",$M545="",$N545=""),"",IF($L545&lt;&gt;"",INDEX(LdADate,$L545),IF($M545&lt;&gt;"",INDEX(LdBDate,$M545),INDEX(LdCDate,$N545))))</f>
        <v/>
      </c>
      <c r="C545" s="14">
        <f>IF($L545&lt;&gt;"","دستمزد (فردی)",IF($M545&lt;&gt;"","سهم از گروه "&amp;IFERROR(VLOOKUP(INDEX(LdBGroup,$M545),WGTbl,2,0),INDEX(LdBGroup,$M545)),IF($N545&lt;&gt;"",IF(N(INDEX(LdCDep,$N545))&gt;0,"بازگشت بانکی","پرداخت بانکی"),"")))</f>
        <v/>
      </c>
      <c r="D545" s="14">
        <f>IF($L545&lt;&gt;"",IF(INDEX(LdAId,$L545)="","—",INDEX(LdAId,$L545)),IF($M545&lt;&gt;"",IF(INDEX(LdBId,$M545)="","—",INDEX(LdBId,$M545)),IF($N545&lt;&gt;"",IF(INDEX(LdCBank,$N545)="","—",INDEX(LdCBank,$N545)),"")))</f>
        <v/>
      </c>
      <c r="E545" s="16">
        <f>IF($L545&lt;&gt;"",IF(INDEX(LdAAmt,$L545)=0,"",INDEX(LdAAmt,$L545)),IF($M545&lt;&gt;"",IF(INDEX(LdBAmt,$M545)=0,"",INDEX(LdBAmt,$M545)),IF($N545&lt;&gt;"",IF(INDEX(LdCDep,$N545)=0,"",INDEX(LdCDep,$N545)),"")))</f>
        <v/>
      </c>
      <c r="F545" s="16">
        <f>IF(AND($L545="",$M545="",$N545=""),"",IF($N545="","",IF(INDEX(LdCWit,$N545)=0,"",INDEX(LdCWit,$N545))))</f>
        <v/>
      </c>
      <c r="G545" s="29">
        <f>IF($B545="","",IF($G544="",0,$G544)+IF($E545="",0,$E545)-IF($F545="",0,$F545))</f>
        <v/>
      </c>
      <c r="H545" s="30">
        <f>IF(AND($L545="",$M545="",$N545=""),"",IF($L545&lt;&gt;"",IF(INDEX(LdANote,$L545)="","—",INDEX(LdANote,$L545)),IF($M545&lt;&gt;"",IF(INDEX(LdBNote,$M545)="","—",INDEX(LdBNote,$M545)),IF($N545&lt;&gt;"",IF(INDEX(LdCNote,$N545)="","—",INDEX(LdCNote,$N545)),""))))</f>
        <v/>
      </c>
      <c r="L545">
        <f>IFERROR(MATCH($C$5&amp;"|"&amp;RIGHT("000000"&amp;529,6),LdAKeyM,0),"")</f>
        <v/>
      </c>
      <c r="M545">
        <f>IFERROR(MATCH($C$5&amp;"|"&amp;RIGHT("000000"&amp;529,6),LdBKeyM,0),"")</f>
        <v/>
      </c>
      <c r="N545">
        <f>IFERROR(MATCH($C$5&amp;"|"&amp;RIGHT("000000"&amp;529,6),LdCKeyM,0),"")</f>
        <v/>
      </c>
    </row>
    <row r="546">
      <c r="A546" s="19" t="n">
        <v>530</v>
      </c>
      <c r="B546" s="20">
        <f>IF(AND($L546="",$M546="",$N546=""),"",IF($L546&lt;&gt;"",INDEX(LdADate,$L546),IF($M546&lt;&gt;"",INDEX(LdBDate,$M546),INDEX(LdCDate,$N546))))</f>
        <v/>
      </c>
      <c r="C546" s="20">
        <f>IF($L546&lt;&gt;"","دستمزد (فردی)",IF($M546&lt;&gt;"","سهم از گروه "&amp;IFERROR(VLOOKUP(INDEX(LdBGroup,$M546),WGTbl,2,0),INDEX(LdBGroup,$M546)),IF($N546&lt;&gt;"",IF(N(INDEX(LdCDep,$N546))&gt;0,"بازگشت بانکی","پرداخت بانکی"),"")))</f>
        <v/>
      </c>
      <c r="D546" s="20">
        <f>IF($L546&lt;&gt;"",IF(INDEX(LdAId,$L546)="","—",INDEX(LdAId,$L546)),IF($M546&lt;&gt;"",IF(INDEX(LdBId,$M546)="","—",INDEX(LdBId,$M546)),IF($N546&lt;&gt;"",IF(INDEX(LdCBank,$N546)="","—",INDEX(LdCBank,$N546)),"")))</f>
        <v/>
      </c>
      <c r="E546" s="21">
        <f>IF($L546&lt;&gt;"",IF(INDEX(LdAAmt,$L546)=0,"",INDEX(LdAAmt,$L546)),IF($M546&lt;&gt;"",IF(INDEX(LdBAmt,$M546)=0,"",INDEX(LdBAmt,$M546)),IF($N546&lt;&gt;"",IF(INDEX(LdCDep,$N546)=0,"",INDEX(LdCDep,$N546)),"")))</f>
        <v/>
      </c>
      <c r="F546" s="21">
        <f>IF(AND($L546="",$M546="",$N546=""),"",IF($N546="","",IF(INDEX(LdCWit,$N546)=0,"",INDEX(LdCWit,$N546))))</f>
        <v/>
      </c>
      <c r="G546" s="31">
        <f>IF($B546="","",IF($G545="",0,$G545)+IF($E546="",0,$E546)-IF($F546="",0,$F546))</f>
        <v/>
      </c>
      <c r="H546" s="32">
        <f>IF(AND($L546="",$M546="",$N546=""),"",IF($L546&lt;&gt;"",IF(INDEX(LdANote,$L546)="","—",INDEX(LdANote,$L546)),IF($M546&lt;&gt;"",IF(INDEX(LdBNote,$M546)="","—",INDEX(LdBNote,$M546)),IF($N546&lt;&gt;"",IF(INDEX(LdCNote,$N546)="","—",INDEX(LdCNote,$N546)),""))))</f>
        <v/>
      </c>
      <c r="L546">
        <f>IFERROR(MATCH($C$5&amp;"|"&amp;RIGHT("000000"&amp;530,6),LdAKeyM,0),"")</f>
        <v/>
      </c>
      <c r="M546">
        <f>IFERROR(MATCH($C$5&amp;"|"&amp;RIGHT("000000"&amp;530,6),LdBKeyM,0),"")</f>
        <v/>
      </c>
      <c r="N546">
        <f>IFERROR(MATCH($C$5&amp;"|"&amp;RIGHT("000000"&amp;530,6),LdCKeyM,0),"")</f>
        <v/>
      </c>
    </row>
    <row r="547">
      <c r="A547" s="10" t="n">
        <v>531</v>
      </c>
      <c r="B547" s="14">
        <f>IF(AND($L547="",$M547="",$N547=""),"",IF($L547&lt;&gt;"",INDEX(LdADate,$L547),IF($M547&lt;&gt;"",INDEX(LdBDate,$M547),INDEX(LdCDate,$N547))))</f>
        <v/>
      </c>
      <c r="C547" s="14">
        <f>IF($L547&lt;&gt;"","دستمزد (فردی)",IF($M547&lt;&gt;"","سهم از گروه "&amp;IFERROR(VLOOKUP(INDEX(LdBGroup,$M547),WGTbl,2,0),INDEX(LdBGroup,$M547)),IF($N547&lt;&gt;"",IF(N(INDEX(LdCDep,$N547))&gt;0,"بازگشت بانکی","پرداخت بانکی"),"")))</f>
        <v/>
      </c>
      <c r="D547" s="14">
        <f>IF($L547&lt;&gt;"",IF(INDEX(LdAId,$L547)="","—",INDEX(LdAId,$L547)),IF($M547&lt;&gt;"",IF(INDEX(LdBId,$M547)="","—",INDEX(LdBId,$M547)),IF($N547&lt;&gt;"",IF(INDEX(LdCBank,$N547)="","—",INDEX(LdCBank,$N547)),"")))</f>
        <v/>
      </c>
      <c r="E547" s="16">
        <f>IF($L547&lt;&gt;"",IF(INDEX(LdAAmt,$L547)=0,"",INDEX(LdAAmt,$L547)),IF($M547&lt;&gt;"",IF(INDEX(LdBAmt,$M547)=0,"",INDEX(LdBAmt,$M547)),IF($N547&lt;&gt;"",IF(INDEX(LdCDep,$N547)=0,"",INDEX(LdCDep,$N547)),"")))</f>
        <v/>
      </c>
      <c r="F547" s="16">
        <f>IF(AND($L547="",$M547="",$N547=""),"",IF($N547="","",IF(INDEX(LdCWit,$N547)=0,"",INDEX(LdCWit,$N547))))</f>
        <v/>
      </c>
      <c r="G547" s="29">
        <f>IF($B547="","",IF($G546="",0,$G546)+IF($E547="",0,$E547)-IF($F547="",0,$F547))</f>
        <v/>
      </c>
      <c r="H547" s="30">
        <f>IF(AND($L547="",$M547="",$N547=""),"",IF($L547&lt;&gt;"",IF(INDEX(LdANote,$L547)="","—",INDEX(LdANote,$L547)),IF($M547&lt;&gt;"",IF(INDEX(LdBNote,$M547)="","—",INDEX(LdBNote,$M547)),IF($N547&lt;&gt;"",IF(INDEX(LdCNote,$N547)="","—",INDEX(LdCNote,$N547)),""))))</f>
        <v/>
      </c>
      <c r="L547">
        <f>IFERROR(MATCH($C$5&amp;"|"&amp;RIGHT("000000"&amp;531,6),LdAKeyM,0),"")</f>
        <v/>
      </c>
      <c r="M547">
        <f>IFERROR(MATCH($C$5&amp;"|"&amp;RIGHT("000000"&amp;531,6),LdBKeyM,0),"")</f>
        <v/>
      </c>
      <c r="N547">
        <f>IFERROR(MATCH($C$5&amp;"|"&amp;RIGHT("000000"&amp;531,6),LdCKeyM,0),"")</f>
        <v/>
      </c>
    </row>
    <row r="548">
      <c r="A548" s="19" t="n">
        <v>532</v>
      </c>
      <c r="B548" s="20">
        <f>IF(AND($L548="",$M548="",$N548=""),"",IF($L548&lt;&gt;"",INDEX(LdADate,$L548),IF($M548&lt;&gt;"",INDEX(LdBDate,$M548),INDEX(LdCDate,$N548))))</f>
        <v/>
      </c>
      <c r="C548" s="20">
        <f>IF($L548&lt;&gt;"","دستمزد (فردی)",IF($M548&lt;&gt;"","سهم از گروه "&amp;IFERROR(VLOOKUP(INDEX(LdBGroup,$M548),WGTbl,2,0),INDEX(LdBGroup,$M548)),IF($N548&lt;&gt;"",IF(N(INDEX(LdCDep,$N548))&gt;0,"بازگشت بانکی","پرداخت بانکی"),"")))</f>
        <v/>
      </c>
      <c r="D548" s="20">
        <f>IF($L548&lt;&gt;"",IF(INDEX(LdAId,$L548)="","—",INDEX(LdAId,$L548)),IF($M548&lt;&gt;"",IF(INDEX(LdBId,$M548)="","—",INDEX(LdBId,$M548)),IF($N548&lt;&gt;"",IF(INDEX(LdCBank,$N548)="","—",INDEX(LdCBank,$N548)),"")))</f>
        <v/>
      </c>
      <c r="E548" s="21">
        <f>IF($L548&lt;&gt;"",IF(INDEX(LdAAmt,$L548)=0,"",INDEX(LdAAmt,$L548)),IF($M548&lt;&gt;"",IF(INDEX(LdBAmt,$M548)=0,"",INDEX(LdBAmt,$M548)),IF($N548&lt;&gt;"",IF(INDEX(LdCDep,$N548)=0,"",INDEX(LdCDep,$N548)),"")))</f>
        <v/>
      </c>
      <c r="F548" s="21">
        <f>IF(AND($L548="",$M548="",$N548=""),"",IF($N548="","",IF(INDEX(LdCWit,$N548)=0,"",INDEX(LdCWit,$N548))))</f>
        <v/>
      </c>
      <c r="G548" s="31">
        <f>IF($B548="","",IF($G547="",0,$G547)+IF($E548="",0,$E548)-IF($F548="",0,$F548))</f>
        <v/>
      </c>
      <c r="H548" s="32">
        <f>IF(AND($L548="",$M548="",$N548=""),"",IF($L548&lt;&gt;"",IF(INDEX(LdANote,$L548)="","—",INDEX(LdANote,$L548)),IF($M548&lt;&gt;"",IF(INDEX(LdBNote,$M548)="","—",INDEX(LdBNote,$M548)),IF($N548&lt;&gt;"",IF(INDEX(LdCNote,$N548)="","—",INDEX(LdCNote,$N548)),""))))</f>
        <v/>
      </c>
      <c r="L548">
        <f>IFERROR(MATCH($C$5&amp;"|"&amp;RIGHT("000000"&amp;532,6),LdAKeyM,0),"")</f>
        <v/>
      </c>
      <c r="M548">
        <f>IFERROR(MATCH($C$5&amp;"|"&amp;RIGHT("000000"&amp;532,6),LdBKeyM,0),"")</f>
        <v/>
      </c>
      <c r="N548">
        <f>IFERROR(MATCH($C$5&amp;"|"&amp;RIGHT("000000"&amp;532,6),LdCKeyM,0),"")</f>
        <v/>
      </c>
    </row>
    <row r="549">
      <c r="A549" s="10" t="n">
        <v>533</v>
      </c>
      <c r="B549" s="14">
        <f>IF(AND($L549="",$M549="",$N549=""),"",IF($L549&lt;&gt;"",INDEX(LdADate,$L549),IF($M549&lt;&gt;"",INDEX(LdBDate,$M549),INDEX(LdCDate,$N549))))</f>
        <v/>
      </c>
      <c r="C549" s="14">
        <f>IF($L549&lt;&gt;"","دستمزد (فردی)",IF($M549&lt;&gt;"","سهم از گروه "&amp;IFERROR(VLOOKUP(INDEX(LdBGroup,$M549),WGTbl,2,0),INDEX(LdBGroup,$M549)),IF($N549&lt;&gt;"",IF(N(INDEX(LdCDep,$N549))&gt;0,"بازگشت بانکی","پرداخت بانکی"),"")))</f>
        <v/>
      </c>
      <c r="D549" s="14">
        <f>IF($L549&lt;&gt;"",IF(INDEX(LdAId,$L549)="","—",INDEX(LdAId,$L549)),IF($M549&lt;&gt;"",IF(INDEX(LdBId,$M549)="","—",INDEX(LdBId,$M549)),IF($N549&lt;&gt;"",IF(INDEX(LdCBank,$N549)="","—",INDEX(LdCBank,$N549)),"")))</f>
        <v/>
      </c>
      <c r="E549" s="16">
        <f>IF($L549&lt;&gt;"",IF(INDEX(LdAAmt,$L549)=0,"",INDEX(LdAAmt,$L549)),IF($M549&lt;&gt;"",IF(INDEX(LdBAmt,$M549)=0,"",INDEX(LdBAmt,$M549)),IF($N549&lt;&gt;"",IF(INDEX(LdCDep,$N549)=0,"",INDEX(LdCDep,$N549)),"")))</f>
        <v/>
      </c>
      <c r="F549" s="16">
        <f>IF(AND($L549="",$M549="",$N549=""),"",IF($N549="","",IF(INDEX(LdCWit,$N549)=0,"",INDEX(LdCWit,$N549))))</f>
        <v/>
      </c>
      <c r="G549" s="29">
        <f>IF($B549="","",IF($G548="",0,$G548)+IF($E549="",0,$E549)-IF($F549="",0,$F549))</f>
        <v/>
      </c>
      <c r="H549" s="30">
        <f>IF(AND($L549="",$M549="",$N549=""),"",IF($L549&lt;&gt;"",IF(INDEX(LdANote,$L549)="","—",INDEX(LdANote,$L549)),IF($M549&lt;&gt;"",IF(INDEX(LdBNote,$M549)="","—",INDEX(LdBNote,$M549)),IF($N549&lt;&gt;"",IF(INDEX(LdCNote,$N549)="","—",INDEX(LdCNote,$N549)),""))))</f>
        <v/>
      </c>
      <c r="L549">
        <f>IFERROR(MATCH($C$5&amp;"|"&amp;RIGHT("000000"&amp;533,6),LdAKeyM,0),"")</f>
        <v/>
      </c>
      <c r="M549">
        <f>IFERROR(MATCH($C$5&amp;"|"&amp;RIGHT("000000"&amp;533,6),LdBKeyM,0),"")</f>
        <v/>
      </c>
      <c r="N549">
        <f>IFERROR(MATCH($C$5&amp;"|"&amp;RIGHT("000000"&amp;533,6),LdCKeyM,0),"")</f>
        <v/>
      </c>
    </row>
    <row r="550">
      <c r="A550" s="19" t="n">
        <v>534</v>
      </c>
      <c r="B550" s="20">
        <f>IF(AND($L550="",$M550="",$N550=""),"",IF($L550&lt;&gt;"",INDEX(LdADate,$L550),IF($M550&lt;&gt;"",INDEX(LdBDate,$M550),INDEX(LdCDate,$N550))))</f>
        <v/>
      </c>
      <c r="C550" s="20">
        <f>IF($L550&lt;&gt;"","دستمزد (فردی)",IF($M550&lt;&gt;"","سهم از گروه "&amp;IFERROR(VLOOKUP(INDEX(LdBGroup,$M550),WGTbl,2,0),INDEX(LdBGroup,$M550)),IF($N550&lt;&gt;"",IF(N(INDEX(LdCDep,$N550))&gt;0,"بازگشت بانکی","پرداخت بانکی"),"")))</f>
        <v/>
      </c>
      <c r="D550" s="20">
        <f>IF($L550&lt;&gt;"",IF(INDEX(LdAId,$L550)="","—",INDEX(LdAId,$L550)),IF($M550&lt;&gt;"",IF(INDEX(LdBId,$M550)="","—",INDEX(LdBId,$M550)),IF($N550&lt;&gt;"",IF(INDEX(LdCBank,$N550)="","—",INDEX(LdCBank,$N550)),"")))</f>
        <v/>
      </c>
      <c r="E550" s="21">
        <f>IF($L550&lt;&gt;"",IF(INDEX(LdAAmt,$L550)=0,"",INDEX(LdAAmt,$L550)),IF($M550&lt;&gt;"",IF(INDEX(LdBAmt,$M550)=0,"",INDEX(LdBAmt,$M550)),IF($N550&lt;&gt;"",IF(INDEX(LdCDep,$N550)=0,"",INDEX(LdCDep,$N550)),"")))</f>
        <v/>
      </c>
      <c r="F550" s="21">
        <f>IF(AND($L550="",$M550="",$N550=""),"",IF($N550="","",IF(INDEX(LdCWit,$N550)=0,"",INDEX(LdCWit,$N550))))</f>
        <v/>
      </c>
      <c r="G550" s="31">
        <f>IF($B550="","",IF($G549="",0,$G549)+IF($E550="",0,$E550)-IF($F550="",0,$F550))</f>
        <v/>
      </c>
      <c r="H550" s="32">
        <f>IF(AND($L550="",$M550="",$N550=""),"",IF($L550&lt;&gt;"",IF(INDEX(LdANote,$L550)="","—",INDEX(LdANote,$L550)),IF($M550&lt;&gt;"",IF(INDEX(LdBNote,$M550)="","—",INDEX(LdBNote,$M550)),IF($N550&lt;&gt;"",IF(INDEX(LdCNote,$N550)="","—",INDEX(LdCNote,$N550)),""))))</f>
        <v/>
      </c>
      <c r="L550">
        <f>IFERROR(MATCH($C$5&amp;"|"&amp;RIGHT("000000"&amp;534,6),LdAKeyM,0),"")</f>
        <v/>
      </c>
      <c r="M550">
        <f>IFERROR(MATCH($C$5&amp;"|"&amp;RIGHT("000000"&amp;534,6),LdBKeyM,0),"")</f>
        <v/>
      </c>
      <c r="N550">
        <f>IFERROR(MATCH($C$5&amp;"|"&amp;RIGHT("000000"&amp;534,6),LdCKeyM,0),"")</f>
        <v/>
      </c>
    </row>
    <row r="551">
      <c r="A551" s="10" t="n">
        <v>535</v>
      </c>
      <c r="B551" s="14">
        <f>IF(AND($L551="",$M551="",$N551=""),"",IF($L551&lt;&gt;"",INDEX(LdADate,$L551),IF($M551&lt;&gt;"",INDEX(LdBDate,$M551),INDEX(LdCDate,$N551))))</f>
        <v/>
      </c>
      <c r="C551" s="14">
        <f>IF($L551&lt;&gt;"","دستمزد (فردی)",IF($M551&lt;&gt;"","سهم از گروه "&amp;IFERROR(VLOOKUP(INDEX(LdBGroup,$M551),WGTbl,2,0),INDEX(LdBGroup,$M551)),IF($N551&lt;&gt;"",IF(N(INDEX(LdCDep,$N551))&gt;0,"بازگشت بانکی","پرداخت بانکی"),"")))</f>
        <v/>
      </c>
      <c r="D551" s="14">
        <f>IF($L551&lt;&gt;"",IF(INDEX(LdAId,$L551)="","—",INDEX(LdAId,$L551)),IF($M551&lt;&gt;"",IF(INDEX(LdBId,$M551)="","—",INDEX(LdBId,$M551)),IF($N551&lt;&gt;"",IF(INDEX(LdCBank,$N551)="","—",INDEX(LdCBank,$N551)),"")))</f>
        <v/>
      </c>
      <c r="E551" s="16">
        <f>IF($L551&lt;&gt;"",IF(INDEX(LdAAmt,$L551)=0,"",INDEX(LdAAmt,$L551)),IF($M551&lt;&gt;"",IF(INDEX(LdBAmt,$M551)=0,"",INDEX(LdBAmt,$M551)),IF($N551&lt;&gt;"",IF(INDEX(LdCDep,$N551)=0,"",INDEX(LdCDep,$N551)),"")))</f>
        <v/>
      </c>
      <c r="F551" s="16">
        <f>IF(AND($L551="",$M551="",$N551=""),"",IF($N551="","",IF(INDEX(LdCWit,$N551)=0,"",INDEX(LdCWit,$N551))))</f>
        <v/>
      </c>
      <c r="G551" s="29">
        <f>IF($B551="","",IF($G550="",0,$G550)+IF($E551="",0,$E551)-IF($F551="",0,$F551))</f>
        <v/>
      </c>
      <c r="H551" s="30">
        <f>IF(AND($L551="",$M551="",$N551=""),"",IF($L551&lt;&gt;"",IF(INDEX(LdANote,$L551)="","—",INDEX(LdANote,$L551)),IF($M551&lt;&gt;"",IF(INDEX(LdBNote,$M551)="","—",INDEX(LdBNote,$M551)),IF($N551&lt;&gt;"",IF(INDEX(LdCNote,$N551)="","—",INDEX(LdCNote,$N551)),""))))</f>
        <v/>
      </c>
      <c r="L551">
        <f>IFERROR(MATCH($C$5&amp;"|"&amp;RIGHT("000000"&amp;535,6),LdAKeyM,0),"")</f>
        <v/>
      </c>
      <c r="M551">
        <f>IFERROR(MATCH($C$5&amp;"|"&amp;RIGHT("000000"&amp;535,6),LdBKeyM,0),"")</f>
        <v/>
      </c>
      <c r="N551">
        <f>IFERROR(MATCH($C$5&amp;"|"&amp;RIGHT("000000"&amp;535,6),LdCKeyM,0),"")</f>
        <v/>
      </c>
    </row>
    <row r="552">
      <c r="A552" s="19" t="n">
        <v>536</v>
      </c>
      <c r="B552" s="20">
        <f>IF(AND($L552="",$M552="",$N552=""),"",IF($L552&lt;&gt;"",INDEX(LdADate,$L552),IF($M552&lt;&gt;"",INDEX(LdBDate,$M552),INDEX(LdCDate,$N552))))</f>
        <v/>
      </c>
      <c r="C552" s="20">
        <f>IF($L552&lt;&gt;"","دستمزد (فردی)",IF($M552&lt;&gt;"","سهم از گروه "&amp;IFERROR(VLOOKUP(INDEX(LdBGroup,$M552),WGTbl,2,0),INDEX(LdBGroup,$M552)),IF($N552&lt;&gt;"",IF(N(INDEX(LdCDep,$N552))&gt;0,"بازگشت بانکی","پرداخت بانکی"),"")))</f>
        <v/>
      </c>
      <c r="D552" s="20">
        <f>IF($L552&lt;&gt;"",IF(INDEX(LdAId,$L552)="","—",INDEX(LdAId,$L552)),IF($M552&lt;&gt;"",IF(INDEX(LdBId,$M552)="","—",INDEX(LdBId,$M552)),IF($N552&lt;&gt;"",IF(INDEX(LdCBank,$N552)="","—",INDEX(LdCBank,$N552)),"")))</f>
        <v/>
      </c>
      <c r="E552" s="21">
        <f>IF($L552&lt;&gt;"",IF(INDEX(LdAAmt,$L552)=0,"",INDEX(LdAAmt,$L552)),IF($M552&lt;&gt;"",IF(INDEX(LdBAmt,$M552)=0,"",INDEX(LdBAmt,$M552)),IF($N552&lt;&gt;"",IF(INDEX(LdCDep,$N552)=0,"",INDEX(LdCDep,$N552)),"")))</f>
        <v/>
      </c>
      <c r="F552" s="21">
        <f>IF(AND($L552="",$M552="",$N552=""),"",IF($N552="","",IF(INDEX(LdCWit,$N552)=0,"",INDEX(LdCWit,$N552))))</f>
        <v/>
      </c>
      <c r="G552" s="31">
        <f>IF($B552="","",IF($G551="",0,$G551)+IF($E552="",0,$E552)-IF($F552="",0,$F552))</f>
        <v/>
      </c>
      <c r="H552" s="32">
        <f>IF(AND($L552="",$M552="",$N552=""),"",IF($L552&lt;&gt;"",IF(INDEX(LdANote,$L552)="","—",INDEX(LdANote,$L552)),IF($M552&lt;&gt;"",IF(INDEX(LdBNote,$M552)="","—",INDEX(LdBNote,$M552)),IF($N552&lt;&gt;"",IF(INDEX(LdCNote,$N552)="","—",INDEX(LdCNote,$N552)),""))))</f>
        <v/>
      </c>
      <c r="L552">
        <f>IFERROR(MATCH($C$5&amp;"|"&amp;RIGHT("000000"&amp;536,6),LdAKeyM,0),"")</f>
        <v/>
      </c>
      <c r="M552">
        <f>IFERROR(MATCH($C$5&amp;"|"&amp;RIGHT("000000"&amp;536,6),LdBKeyM,0),"")</f>
        <v/>
      </c>
      <c r="N552">
        <f>IFERROR(MATCH($C$5&amp;"|"&amp;RIGHT("000000"&amp;536,6),LdCKeyM,0),"")</f>
        <v/>
      </c>
    </row>
    <row r="553">
      <c r="A553" s="10" t="n">
        <v>537</v>
      </c>
      <c r="B553" s="14">
        <f>IF(AND($L553="",$M553="",$N553=""),"",IF($L553&lt;&gt;"",INDEX(LdADate,$L553),IF($M553&lt;&gt;"",INDEX(LdBDate,$M553),INDEX(LdCDate,$N553))))</f>
        <v/>
      </c>
      <c r="C553" s="14">
        <f>IF($L553&lt;&gt;"","دستمزد (فردی)",IF($M553&lt;&gt;"","سهم از گروه "&amp;IFERROR(VLOOKUP(INDEX(LdBGroup,$M553),WGTbl,2,0),INDEX(LdBGroup,$M553)),IF($N553&lt;&gt;"",IF(N(INDEX(LdCDep,$N553))&gt;0,"بازگشت بانکی","پرداخت بانکی"),"")))</f>
        <v/>
      </c>
      <c r="D553" s="14">
        <f>IF($L553&lt;&gt;"",IF(INDEX(LdAId,$L553)="","—",INDEX(LdAId,$L553)),IF($M553&lt;&gt;"",IF(INDEX(LdBId,$M553)="","—",INDEX(LdBId,$M553)),IF($N553&lt;&gt;"",IF(INDEX(LdCBank,$N553)="","—",INDEX(LdCBank,$N553)),"")))</f>
        <v/>
      </c>
      <c r="E553" s="16">
        <f>IF($L553&lt;&gt;"",IF(INDEX(LdAAmt,$L553)=0,"",INDEX(LdAAmt,$L553)),IF($M553&lt;&gt;"",IF(INDEX(LdBAmt,$M553)=0,"",INDEX(LdBAmt,$M553)),IF($N553&lt;&gt;"",IF(INDEX(LdCDep,$N553)=0,"",INDEX(LdCDep,$N553)),"")))</f>
        <v/>
      </c>
      <c r="F553" s="16">
        <f>IF(AND($L553="",$M553="",$N553=""),"",IF($N553="","",IF(INDEX(LdCWit,$N553)=0,"",INDEX(LdCWit,$N553))))</f>
        <v/>
      </c>
      <c r="G553" s="29">
        <f>IF($B553="","",IF($G552="",0,$G552)+IF($E553="",0,$E553)-IF($F553="",0,$F553))</f>
        <v/>
      </c>
      <c r="H553" s="30">
        <f>IF(AND($L553="",$M553="",$N553=""),"",IF($L553&lt;&gt;"",IF(INDEX(LdANote,$L553)="","—",INDEX(LdANote,$L553)),IF($M553&lt;&gt;"",IF(INDEX(LdBNote,$M553)="","—",INDEX(LdBNote,$M553)),IF($N553&lt;&gt;"",IF(INDEX(LdCNote,$N553)="","—",INDEX(LdCNote,$N553)),""))))</f>
        <v/>
      </c>
      <c r="L553">
        <f>IFERROR(MATCH($C$5&amp;"|"&amp;RIGHT("000000"&amp;537,6),LdAKeyM,0),"")</f>
        <v/>
      </c>
      <c r="M553">
        <f>IFERROR(MATCH($C$5&amp;"|"&amp;RIGHT("000000"&amp;537,6),LdBKeyM,0),"")</f>
        <v/>
      </c>
      <c r="N553">
        <f>IFERROR(MATCH($C$5&amp;"|"&amp;RIGHT("000000"&amp;537,6),LdCKeyM,0),"")</f>
        <v/>
      </c>
    </row>
    <row r="554">
      <c r="A554" s="19" t="n">
        <v>538</v>
      </c>
      <c r="B554" s="20">
        <f>IF(AND($L554="",$M554="",$N554=""),"",IF($L554&lt;&gt;"",INDEX(LdADate,$L554),IF($M554&lt;&gt;"",INDEX(LdBDate,$M554),INDEX(LdCDate,$N554))))</f>
        <v/>
      </c>
      <c r="C554" s="20">
        <f>IF($L554&lt;&gt;"","دستمزد (فردی)",IF($M554&lt;&gt;"","سهم از گروه "&amp;IFERROR(VLOOKUP(INDEX(LdBGroup,$M554),WGTbl,2,0),INDEX(LdBGroup,$M554)),IF($N554&lt;&gt;"",IF(N(INDEX(LdCDep,$N554))&gt;0,"بازگشت بانکی","پرداخت بانکی"),"")))</f>
        <v/>
      </c>
      <c r="D554" s="20">
        <f>IF($L554&lt;&gt;"",IF(INDEX(LdAId,$L554)="","—",INDEX(LdAId,$L554)),IF($M554&lt;&gt;"",IF(INDEX(LdBId,$M554)="","—",INDEX(LdBId,$M554)),IF($N554&lt;&gt;"",IF(INDEX(LdCBank,$N554)="","—",INDEX(LdCBank,$N554)),"")))</f>
        <v/>
      </c>
      <c r="E554" s="21">
        <f>IF($L554&lt;&gt;"",IF(INDEX(LdAAmt,$L554)=0,"",INDEX(LdAAmt,$L554)),IF($M554&lt;&gt;"",IF(INDEX(LdBAmt,$M554)=0,"",INDEX(LdBAmt,$M554)),IF($N554&lt;&gt;"",IF(INDEX(LdCDep,$N554)=0,"",INDEX(LdCDep,$N554)),"")))</f>
        <v/>
      </c>
      <c r="F554" s="21">
        <f>IF(AND($L554="",$M554="",$N554=""),"",IF($N554="","",IF(INDEX(LdCWit,$N554)=0,"",INDEX(LdCWit,$N554))))</f>
        <v/>
      </c>
      <c r="G554" s="31">
        <f>IF($B554="","",IF($G553="",0,$G553)+IF($E554="",0,$E554)-IF($F554="",0,$F554))</f>
        <v/>
      </c>
      <c r="H554" s="32">
        <f>IF(AND($L554="",$M554="",$N554=""),"",IF($L554&lt;&gt;"",IF(INDEX(LdANote,$L554)="","—",INDEX(LdANote,$L554)),IF($M554&lt;&gt;"",IF(INDEX(LdBNote,$M554)="","—",INDEX(LdBNote,$M554)),IF($N554&lt;&gt;"",IF(INDEX(LdCNote,$N554)="","—",INDEX(LdCNote,$N554)),""))))</f>
        <v/>
      </c>
      <c r="L554">
        <f>IFERROR(MATCH($C$5&amp;"|"&amp;RIGHT("000000"&amp;538,6),LdAKeyM,0),"")</f>
        <v/>
      </c>
      <c r="M554">
        <f>IFERROR(MATCH($C$5&amp;"|"&amp;RIGHT("000000"&amp;538,6),LdBKeyM,0),"")</f>
        <v/>
      </c>
      <c r="N554">
        <f>IFERROR(MATCH($C$5&amp;"|"&amp;RIGHT("000000"&amp;538,6),LdCKeyM,0),"")</f>
        <v/>
      </c>
    </row>
    <row r="555">
      <c r="A555" s="10" t="n">
        <v>539</v>
      </c>
      <c r="B555" s="14">
        <f>IF(AND($L555="",$M555="",$N555=""),"",IF($L555&lt;&gt;"",INDEX(LdADate,$L555),IF($M555&lt;&gt;"",INDEX(LdBDate,$M555),INDEX(LdCDate,$N555))))</f>
        <v/>
      </c>
      <c r="C555" s="14">
        <f>IF($L555&lt;&gt;"","دستمزد (فردی)",IF($M555&lt;&gt;"","سهم از گروه "&amp;IFERROR(VLOOKUP(INDEX(LdBGroup,$M555),WGTbl,2,0),INDEX(LdBGroup,$M555)),IF($N555&lt;&gt;"",IF(N(INDEX(LdCDep,$N555))&gt;0,"بازگشت بانکی","پرداخت بانکی"),"")))</f>
        <v/>
      </c>
      <c r="D555" s="14">
        <f>IF($L555&lt;&gt;"",IF(INDEX(LdAId,$L555)="","—",INDEX(LdAId,$L555)),IF($M555&lt;&gt;"",IF(INDEX(LdBId,$M555)="","—",INDEX(LdBId,$M555)),IF($N555&lt;&gt;"",IF(INDEX(LdCBank,$N555)="","—",INDEX(LdCBank,$N555)),"")))</f>
        <v/>
      </c>
      <c r="E555" s="16">
        <f>IF($L555&lt;&gt;"",IF(INDEX(LdAAmt,$L555)=0,"",INDEX(LdAAmt,$L555)),IF($M555&lt;&gt;"",IF(INDEX(LdBAmt,$M555)=0,"",INDEX(LdBAmt,$M555)),IF($N555&lt;&gt;"",IF(INDEX(LdCDep,$N555)=0,"",INDEX(LdCDep,$N555)),"")))</f>
        <v/>
      </c>
      <c r="F555" s="16">
        <f>IF(AND($L555="",$M555="",$N555=""),"",IF($N555="","",IF(INDEX(LdCWit,$N555)=0,"",INDEX(LdCWit,$N555))))</f>
        <v/>
      </c>
      <c r="G555" s="29">
        <f>IF($B555="","",IF($G554="",0,$G554)+IF($E555="",0,$E555)-IF($F555="",0,$F555))</f>
        <v/>
      </c>
      <c r="H555" s="30">
        <f>IF(AND($L555="",$M555="",$N555=""),"",IF($L555&lt;&gt;"",IF(INDEX(LdANote,$L555)="","—",INDEX(LdANote,$L555)),IF($M555&lt;&gt;"",IF(INDEX(LdBNote,$M555)="","—",INDEX(LdBNote,$M555)),IF($N555&lt;&gt;"",IF(INDEX(LdCNote,$N555)="","—",INDEX(LdCNote,$N555)),""))))</f>
        <v/>
      </c>
      <c r="L555">
        <f>IFERROR(MATCH($C$5&amp;"|"&amp;RIGHT("000000"&amp;539,6),LdAKeyM,0),"")</f>
        <v/>
      </c>
      <c r="M555">
        <f>IFERROR(MATCH($C$5&amp;"|"&amp;RIGHT("000000"&amp;539,6),LdBKeyM,0),"")</f>
        <v/>
      </c>
      <c r="N555">
        <f>IFERROR(MATCH($C$5&amp;"|"&amp;RIGHT("000000"&amp;539,6),LdCKeyM,0),"")</f>
        <v/>
      </c>
    </row>
    <row r="556">
      <c r="A556" s="19" t="n">
        <v>540</v>
      </c>
      <c r="B556" s="20">
        <f>IF(AND($L556="",$M556="",$N556=""),"",IF($L556&lt;&gt;"",INDEX(LdADate,$L556),IF($M556&lt;&gt;"",INDEX(LdBDate,$M556),INDEX(LdCDate,$N556))))</f>
        <v/>
      </c>
      <c r="C556" s="20">
        <f>IF($L556&lt;&gt;"","دستمزد (فردی)",IF($M556&lt;&gt;"","سهم از گروه "&amp;IFERROR(VLOOKUP(INDEX(LdBGroup,$M556),WGTbl,2,0),INDEX(LdBGroup,$M556)),IF($N556&lt;&gt;"",IF(N(INDEX(LdCDep,$N556))&gt;0,"بازگشت بانکی","پرداخت بانکی"),"")))</f>
        <v/>
      </c>
      <c r="D556" s="20">
        <f>IF($L556&lt;&gt;"",IF(INDEX(LdAId,$L556)="","—",INDEX(LdAId,$L556)),IF($M556&lt;&gt;"",IF(INDEX(LdBId,$M556)="","—",INDEX(LdBId,$M556)),IF($N556&lt;&gt;"",IF(INDEX(LdCBank,$N556)="","—",INDEX(LdCBank,$N556)),"")))</f>
        <v/>
      </c>
      <c r="E556" s="21">
        <f>IF($L556&lt;&gt;"",IF(INDEX(LdAAmt,$L556)=0,"",INDEX(LdAAmt,$L556)),IF($M556&lt;&gt;"",IF(INDEX(LdBAmt,$M556)=0,"",INDEX(LdBAmt,$M556)),IF($N556&lt;&gt;"",IF(INDEX(LdCDep,$N556)=0,"",INDEX(LdCDep,$N556)),"")))</f>
        <v/>
      </c>
      <c r="F556" s="21">
        <f>IF(AND($L556="",$M556="",$N556=""),"",IF($N556="","",IF(INDEX(LdCWit,$N556)=0,"",INDEX(LdCWit,$N556))))</f>
        <v/>
      </c>
      <c r="G556" s="31">
        <f>IF($B556="","",IF($G555="",0,$G555)+IF($E556="",0,$E556)-IF($F556="",0,$F556))</f>
        <v/>
      </c>
      <c r="H556" s="32">
        <f>IF(AND($L556="",$M556="",$N556=""),"",IF($L556&lt;&gt;"",IF(INDEX(LdANote,$L556)="","—",INDEX(LdANote,$L556)),IF($M556&lt;&gt;"",IF(INDEX(LdBNote,$M556)="","—",INDEX(LdBNote,$M556)),IF($N556&lt;&gt;"",IF(INDEX(LdCNote,$N556)="","—",INDEX(LdCNote,$N556)),""))))</f>
        <v/>
      </c>
      <c r="L556">
        <f>IFERROR(MATCH($C$5&amp;"|"&amp;RIGHT("000000"&amp;540,6),LdAKeyM,0),"")</f>
        <v/>
      </c>
      <c r="M556">
        <f>IFERROR(MATCH($C$5&amp;"|"&amp;RIGHT("000000"&amp;540,6),LdBKeyM,0),"")</f>
        <v/>
      </c>
      <c r="N556">
        <f>IFERROR(MATCH($C$5&amp;"|"&amp;RIGHT("000000"&amp;540,6),LdCKeyM,0),"")</f>
        <v/>
      </c>
    </row>
    <row r="557">
      <c r="A557" s="10" t="n">
        <v>541</v>
      </c>
      <c r="B557" s="14">
        <f>IF(AND($L557="",$M557="",$N557=""),"",IF($L557&lt;&gt;"",INDEX(LdADate,$L557),IF($M557&lt;&gt;"",INDEX(LdBDate,$M557),INDEX(LdCDate,$N557))))</f>
        <v/>
      </c>
      <c r="C557" s="14">
        <f>IF($L557&lt;&gt;"","دستمزد (فردی)",IF($M557&lt;&gt;"","سهم از گروه "&amp;IFERROR(VLOOKUP(INDEX(LdBGroup,$M557),WGTbl,2,0),INDEX(LdBGroup,$M557)),IF($N557&lt;&gt;"",IF(N(INDEX(LdCDep,$N557))&gt;0,"بازگشت بانکی","پرداخت بانکی"),"")))</f>
        <v/>
      </c>
      <c r="D557" s="14">
        <f>IF($L557&lt;&gt;"",IF(INDEX(LdAId,$L557)="","—",INDEX(LdAId,$L557)),IF($M557&lt;&gt;"",IF(INDEX(LdBId,$M557)="","—",INDEX(LdBId,$M557)),IF($N557&lt;&gt;"",IF(INDEX(LdCBank,$N557)="","—",INDEX(LdCBank,$N557)),"")))</f>
        <v/>
      </c>
      <c r="E557" s="16">
        <f>IF($L557&lt;&gt;"",IF(INDEX(LdAAmt,$L557)=0,"",INDEX(LdAAmt,$L557)),IF($M557&lt;&gt;"",IF(INDEX(LdBAmt,$M557)=0,"",INDEX(LdBAmt,$M557)),IF($N557&lt;&gt;"",IF(INDEX(LdCDep,$N557)=0,"",INDEX(LdCDep,$N557)),"")))</f>
        <v/>
      </c>
      <c r="F557" s="16">
        <f>IF(AND($L557="",$M557="",$N557=""),"",IF($N557="","",IF(INDEX(LdCWit,$N557)=0,"",INDEX(LdCWit,$N557))))</f>
        <v/>
      </c>
      <c r="G557" s="29">
        <f>IF($B557="","",IF($G556="",0,$G556)+IF($E557="",0,$E557)-IF($F557="",0,$F557))</f>
        <v/>
      </c>
      <c r="H557" s="30">
        <f>IF(AND($L557="",$M557="",$N557=""),"",IF($L557&lt;&gt;"",IF(INDEX(LdANote,$L557)="","—",INDEX(LdANote,$L557)),IF($M557&lt;&gt;"",IF(INDEX(LdBNote,$M557)="","—",INDEX(LdBNote,$M557)),IF($N557&lt;&gt;"",IF(INDEX(LdCNote,$N557)="","—",INDEX(LdCNote,$N557)),""))))</f>
        <v/>
      </c>
      <c r="L557">
        <f>IFERROR(MATCH($C$5&amp;"|"&amp;RIGHT("000000"&amp;541,6),LdAKeyM,0),"")</f>
        <v/>
      </c>
      <c r="M557">
        <f>IFERROR(MATCH($C$5&amp;"|"&amp;RIGHT("000000"&amp;541,6),LdBKeyM,0),"")</f>
        <v/>
      </c>
      <c r="N557">
        <f>IFERROR(MATCH($C$5&amp;"|"&amp;RIGHT("000000"&amp;541,6),LdCKeyM,0),"")</f>
        <v/>
      </c>
    </row>
    <row r="558">
      <c r="A558" s="19" t="n">
        <v>542</v>
      </c>
      <c r="B558" s="20">
        <f>IF(AND($L558="",$M558="",$N558=""),"",IF($L558&lt;&gt;"",INDEX(LdADate,$L558),IF($M558&lt;&gt;"",INDEX(LdBDate,$M558),INDEX(LdCDate,$N558))))</f>
        <v/>
      </c>
      <c r="C558" s="20">
        <f>IF($L558&lt;&gt;"","دستمزد (فردی)",IF($M558&lt;&gt;"","سهم از گروه "&amp;IFERROR(VLOOKUP(INDEX(LdBGroup,$M558),WGTbl,2,0),INDEX(LdBGroup,$M558)),IF($N558&lt;&gt;"",IF(N(INDEX(LdCDep,$N558))&gt;0,"بازگشت بانکی","پرداخت بانکی"),"")))</f>
        <v/>
      </c>
      <c r="D558" s="20">
        <f>IF($L558&lt;&gt;"",IF(INDEX(LdAId,$L558)="","—",INDEX(LdAId,$L558)),IF($M558&lt;&gt;"",IF(INDEX(LdBId,$M558)="","—",INDEX(LdBId,$M558)),IF($N558&lt;&gt;"",IF(INDEX(LdCBank,$N558)="","—",INDEX(LdCBank,$N558)),"")))</f>
        <v/>
      </c>
      <c r="E558" s="21">
        <f>IF($L558&lt;&gt;"",IF(INDEX(LdAAmt,$L558)=0,"",INDEX(LdAAmt,$L558)),IF($M558&lt;&gt;"",IF(INDEX(LdBAmt,$M558)=0,"",INDEX(LdBAmt,$M558)),IF($N558&lt;&gt;"",IF(INDEX(LdCDep,$N558)=0,"",INDEX(LdCDep,$N558)),"")))</f>
        <v/>
      </c>
      <c r="F558" s="21">
        <f>IF(AND($L558="",$M558="",$N558=""),"",IF($N558="","",IF(INDEX(LdCWit,$N558)=0,"",INDEX(LdCWit,$N558))))</f>
        <v/>
      </c>
      <c r="G558" s="31">
        <f>IF($B558="","",IF($G557="",0,$G557)+IF($E558="",0,$E558)-IF($F558="",0,$F558))</f>
        <v/>
      </c>
      <c r="H558" s="32">
        <f>IF(AND($L558="",$M558="",$N558=""),"",IF($L558&lt;&gt;"",IF(INDEX(LdANote,$L558)="","—",INDEX(LdANote,$L558)),IF($M558&lt;&gt;"",IF(INDEX(LdBNote,$M558)="","—",INDEX(LdBNote,$M558)),IF($N558&lt;&gt;"",IF(INDEX(LdCNote,$N558)="","—",INDEX(LdCNote,$N558)),""))))</f>
        <v/>
      </c>
      <c r="L558">
        <f>IFERROR(MATCH($C$5&amp;"|"&amp;RIGHT("000000"&amp;542,6),LdAKeyM,0),"")</f>
        <v/>
      </c>
      <c r="M558">
        <f>IFERROR(MATCH($C$5&amp;"|"&amp;RIGHT("000000"&amp;542,6),LdBKeyM,0),"")</f>
        <v/>
      </c>
      <c r="N558">
        <f>IFERROR(MATCH($C$5&amp;"|"&amp;RIGHT("000000"&amp;542,6),LdCKeyM,0),"")</f>
        <v/>
      </c>
    </row>
    <row r="559">
      <c r="A559" s="10" t="n">
        <v>543</v>
      </c>
      <c r="B559" s="14">
        <f>IF(AND($L559="",$M559="",$N559=""),"",IF($L559&lt;&gt;"",INDEX(LdADate,$L559),IF($M559&lt;&gt;"",INDEX(LdBDate,$M559),INDEX(LdCDate,$N559))))</f>
        <v/>
      </c>
      <c r="C559" s="14">
        <f>IF($L559&lt;&gt;"","دستمزد (فردی)",IF($M559&lt;&gt;"","سهم از گروه "&amp;IFERROR(VLOOKUP(INDEX(LdBGroup,$M559),WGTbl,2,0),INDEX(LdBGroup,$M559)),IF($N559&lt;&gt;"",IF(N(INDEX(LdCDep,$N559))&gt;0,"بازگشت بانکی","پرداخت بانکی"),"")))</f>
        <v/>
      </c>
      <c r="D559" s="14">
        <f>IF($L559&lt;&gt;"",IF(INDEX(LdAId,$L559)="","—",INDEX(LdAId,$L559)),IF($M559&lt;&gt;"",IF(INDEX(LdBId,$M559)="","—",INDEX(LdBId,$M559)),IF($N559&lt;&gt;"",IF(INDEX(LdCBank,$N559)="","—",INDEX(LdCBank,$N559)),"")))</f>
        <v/>
      </c>
      <c r="E559" s="16">
        <f>IF($L559&lt;&gt;"",IF(INDEX(LdAAmt,$L559)=0,"",INDEX(LdAAmt,$L559)),IF($M559&lt;&gt;"",IF(INDEX(LdBAmt,$M559)=0,"",INDEX(LdBAmt,$M559)),IF($N559&lt;&gt;"",IF(INDEX(LdCDep,$N559)=0,"",INDEX(LdCDep,$N559)),"")))</f>
        <v/>
      </c>
      <c r="F559" s="16">
        <f>IF(AND($L559="",$M559="",$N559=""),"",IF($N559="","",IF(INDEX(LdCWit,$N559)=0,"",INDEX(LdCWit,$N559))))</f>
        <v/>
      </c>
      <c r="G559" s="29">
        <f>IF($B559="","",IF($G558="",0,$G558)+IF($E559="",0,$E559)-IF($F559="",0,$F559))</f>
        <v/>
      </c>
      <c r="H559" s="30">
        <f>IF(AND($L559="",$M559="",$N559=""),"",IF($L559&lt;&gt;"",IF(INDEX(LdANote,$L559)="","—",INDEX(LdANote,$L559)),IF($M559&lt;&gt;"",IF(INDEX(LdBNote,$M559)="","—",INDEX(LdBNote,$M559)),IF($N559&lt;&gt;"",IF(INDEX(LdCNote,$N559)="","—",INDEX(LdCNote,$N559)),""))))</f>
        <v/>
      </c>
      <c r="L559">
        <f>IFERROR(MATCH($C$5&amp;"|"&amp;RIGHT("000000"&amp;543,6),LdAKeyM,0),"")</f>
        <v/>
      </c>
      <c r="M559">
        <f>IFERROR(MATCH($C$5&amp;"|"&amp;RIGHT("000000"&amp;543,6),LdBKeyM,0),"")</f>
        <v/>
      </c>
      <c r="N559">
        <f>IFERROR(MATCH($C$5&amp;"|"&amp;RIGHT("000000"&amp;543,6),LdCKeyM,0),"")</f>
        <v/>
      </c>
    </row>
    <row r="560">
      <c r="A560" s="19" t="n">
        <v>544</v>
      </c>
      <c r="B560" s="20">
        <f>IF(AND($L560="",$M560="",$N560=""),"",IF($L560&lt;&gt;"",INDEX(LdADate,$L560),IF($M560&lt;&gt;"",INDEX(LdBDate,$M560),INDEX(LdCDate,$N560))))</f>
        <v/>
      </c>
      <c r="C560" s="20">
        <f>IF($L560&lt;&gt;"","دستمزد (فردی)",IF($M560&lt;&gt;"","سهم از گروه "&amp;IFERROR(VLOOKUP(INDEX(LdBGroup,$M560),WGTbl,2,0),INDEX(LdBGroup,$M560)),IF($N560&lt;&gt;"",IF(N(INDEX(LdCDep,$N560))&gt;0,"بازگشت بانکی","پرداخت بانکی"),"")))</f>
        <v/>
      </c>
      <c r="D560" s="20">
        <f>IF($L560&lt;&gt;"",IF(INDEX(LdAId,$L560)="","—",INDEX(LdAId,$L560)),IF($M560&lt;&gt;"",IF(INDEX(LdBId,$M560)="","—",INDEX(LdBId,$M560)),IF($N560&lt;&gt;"",IF(INDEX(LdCBank,$N560)="","—",INDEX(LdCBank,$N560)),"")))</f>
        <v/>
      </c>
      <c r="E560" s="21">
        <f>IF($L560&lt;&gt;"",IF(INDEX(LdAAmt,$L560)=0,"",INDEX(LdAAmt,$L560)),IF($M560&lt;&gt;"",IF(INDEX(LdBAmt,$M560)=0,"",INDEX(LdBAmt,$M560)),IF($N560&lt;&gt;"",IF(INDEX(LdCDep,$N560)=0,"",INDEX(LdCDep,$N560)),"")))</f>
        <v/>
      </c>
      <c r="F560" s="21">
        <f>IF(AND($L560="",$M560="",$N560=""),"",IF($N560="","",IF(INDEX(LdCWit,$N560)=0,"",INDEX(LdCWit,$N560))))</f>
        <v/>
      </c>
      <c r="G560" s="31">
        <f>IF($B560="","",IF($G559="",0,$G559)+IF($E560="",0,$E560)-IF($F560="",0,$F560))</f>
        <v/>
      </c>
      <c r="H560" s="32">
        <f>IF(AND($L560="",$M560="",$N560=""),"",IF($L560&lt;&gt;"",IF(INDEX(LdANote,$L560)="","—",INDEX(LdANote,$L560)),IF($M560&lt;&gt;"",IF(INDEX(LdBNote,$M560)="","—",INDEX(LdBNote,$M560)),IF($N560&lt;&gt;"",IF(INDEX(LdCNote,$N560)="","—",INDEX(LdCNote,$N560)),""))))</f>
        <v/>
      </c>
      <c r="L560">
        <f>IFERROR(MATCH($C$5&amp;"|"&amp;RIGHT("000000"&amp;544,6),LdAKeyM,0),"")</f>
        <v/>
      </c>
      <c r="M560">
        <f>IFERROR(MATCH($C$5&amp;"|"&amp;RIGHT("000000"&amp;544,6),LdBKeyM,0),"")</f>
        <v/>
      </c>
      <c r="N560">
        <f>IFERROR(MATCH($C$5&amp;"|"&amp;RIGHT("000000"&amp;544,6),LdCKeyM,0),"")</f>
        <v/>
      </c>
    </row>
    <row r="561">
      <c r="A561" s="10" t="n">
        <v>545</v>
      </c>
      <c r="B561" s="14">
        <f>IF(AND($L561="",$M561="",$N561=""),"",IF($L561&lt;&gt;"",INDEX(LdADate,$L561),IF($M561&lt;&gt;"",INDEX(LdBDate,$M561),INDEX(LdCDate,$N561))))</f>
        <v/>
      </c>
      <c r="C561" s="14">
        <f>IF($L561&lt;&gt;"","دستمزد (فردی)",IF($M561&lt;&gt;"","سهم از گروه "&amp;IFERROR(VLOOKUP(INDEX(LdBGroup,$M561),WGTbl,2,0),INDEX(LdBGroup,$M561)),IF($N561&lt;&gt;"",IF(N(INDEX(LdCDep,$N561))&gt;0,"بازگشت بانکی","پرداخت بانکی"),"")))</f>
        <v/>
      </c>
      <c r="D561" s="14">
        <f>IF($L561&lt;&gt;"",IF(INDEX(LdAId,$L561)="","—",INDEX(LdAId,$L561)),IF($M561&lt;&gt;"",IF(INDEX(LdBId,$M561)="","—",INDEX(LdBId,$M561)),IF($N561&lt;&gt;"",IF(INDEX(LdCBank,$N561)="","—",INDEX(LdCBank,$N561)),"")))</f>
        <v/>
      </c>
      <c r="E561" s="16">
        <f>IF($L561&lt;&gt;"",IF(INDEX(LdAAmt,$L561)=0,"",INDEX(LdAAmt,$L561)),IF($M561&lt;&gt;"",IF(INDEX(LdBAmt,$M561)=0,"",INDEX(LdBAmt,$M561)),IF($N561&lt;&gt;"",IF(INDEX(LdCDep,$N561)=0,"",INDEX(LdCDep,$N561)),"")))</f>
        <v/>
      </c>
      <c r="F561" s="16">
        <f>IF(AND($L561="",$M561="",$N561=""),"",IF($N561="","",IF(INDEX(LdCWit,$N561)=0,"",INDEX(LdCWit,$N561))))</f>
        <v/>
      </c>
      <c r="G561" s="29">
        <f>IF($B561="","",IF($G560="",0,$G560)+IF($E561="",0,$E561)-IF($F561="",0,$F561))</f>
        <v/>
      </c>
      <c r="H561" s="30">
        <f>IF(AND($L561="",$M561="",$N561=""),"",IF($L561&lt;&gt;"",IF(INDEX(LdANote,$L561)="","—",INDEX(LdANote,$L561)),IF($M561&lt;&gt;"",IF(INDEX(LdBNote,$M561)="","—",INDEX(LdBNote,$M561)),IF($N561&lt;&gt;"",IF(INDEX(LdCNote,$N561)="","—",INDEX(LdCNote,$N561)),""))))</f>
        <v/>
      </c>
      <c r="L561">
        <f>IFERROR(MATCH($C$5&amp;"|"&amp;RIGHT("000000"&amp;545,6),LdAKeyM,0),"")</f>
        <v/>
      </c>
      <c r="M561">
        <f>IFERROR(MATCH($C$5&amp;"|"&amp;RIGHT("000000"&amp;545,6),LdBKeyM,0),"")</f>
        <v/>
      </c>
      <c r="N561">
        <f>IFERROR(MATCH($C$5&amp;"|"&amp;RIGHT("000000"&amp;545,6),LdCKeyM,0),"")</f>
        <v/>
      </c>
    </row>
    <row r="562">
      <c r="A562" s="19" t="n">
        <v>546</v>
      </c>
      <c r="B562" s="20">
        <f>IF(AND($L562="",$M562="",$N562=""),"",IF($L562&lt;&gt;"",INDEX(LdADate,$L562),IF($M562&lt;&gt;"",INDEX(LdBDate,$M562),INDEX(LdCDate,$N562))))</f>
        <v/>
      </c>
      <c r="C562" s="20">
        <f>IF($L562&lt;&gt;"","دستمزد (فردی)",IF($M562&lt;&gt;"","سهم از گروه "&amp;IFERROR(VLOOKUP(INDEX(LdBGroup,$M562),WGTbl,2,0),INDEX(LdBGroup,$M562)),IF($N562&lt;&gt;"",IF(N(INDEX(LdCDep,$N562))&gt;0,"بازگشت بانکی","پرداخت بانکی"),"")))</f>
        <v/>
      </c>
      <c r="D562" s="20">
        <f>IF($L562&lt;&gt;"",IF(INDEX(LdAId,$L562)="","—",INDEX(LdAId,$L562)),IF($M562&lt;&gt;"",IF(INDEX(LdBId,$M562)="","—",INDEX(LdBId,$M562)),IF($N562&lt;&gt;"",IF(INDEX(LdCBank,$N562)="","—",INDEX(LdCBank,$N562)),"")))</f>
        <v/>
      </c>
      <c r="E562" s="21">
        <f>IF($L562&lt;&gt;"",IF(INDEX(LdAAmt,$L562)=0,"",INDEX(LdAAmt,$L562)),IF($M562&lt;&gt;"",IF(INDEX(LdBAmt,$M562)=0,"",INDEX(LdBAmt,$M562)),IF($N562&lt;&gt;"",IF(INDEX(LdCDep,$N562)=0,"",INDEX(LdCDep,$N562)),"")))</f>
        <v/>
      </c>
      <c r="F562" s="21">
        <f>IF(AND($L562="",$M562="",$N562=""),"",IF($N562="","",IF(INDEX(LdCWit,$N562)=0,"",INDEX(LdCWit,$N562))))</f>
        <v/>
      </c>
      <c r="G562" s="31">
        <f>IF($B562="","",IF($G561="",0,$G561)+IF($E562="",0,$E562)-IF($F562="",0,$F562))</f>
        <v/>
      </c>
      <c r="H562" s="32">
        <f>IF(AND($L562="",$M562="",$N562=""),"",IF($L562&lt;&gt;"",IF(INDEX(LdANote,$L562)="","—",INDEX(LdANote,$L562)),IF($M562&lt;&gt;"",IF(INDEX(LdBNote,$M562)="","—",INDEX(LdBNote,$M562)),IF($N562&lt;&gt;"",IF(INDEX(LdCNote,$N562)="","—",INDEX(LdCNote,$N562)),""))))</f>
        <v/>
      </c>
      <c r="L562">
        <f>IFERROR(MATCH($C$5&amp;"|"&amp;RIGHT("000000"&amp;546,6),LdAKeyM,0),"")</f>
        <v/>
      </c>
      <c r="M562">
        <f>IFERROR(MATCH($C$5&amp;"|"&amp;RIGHT("000000"&amp;546,6),LdBKeyM,0),"")</f>
        <v/>
      </c>
      <c r="N562">
        <f>IFERROR(MATCH($C$5&amp;"|"&amp;RIGHT("000000"&amp;546,6),LdCKeyM,0),"")</f>
        <v/>
      </c>
    </row>
    <row r="563">
      <c r="A563" s="10" t="n">
        <v>547</v>
      </c>
      <c r="B563" s="14">
        <f>IF(AND($L563="",$M563="",$N563=""),"",IF($L563&lt;&gt;"",INDEX(LdADate,$L563),IF($M563&lt;&gt;"",INDEX(LdBDate,$M563),INDEX(LdCDate,$N563))))</f>
        <v/>
      </c>
      <c r="C563" s="14">
        <f>IF($L563&lt;&gt;"","دستمزد (فردی)",IF($M563&lt;&gt;"","سهم از گروه "&amp;IFERROR(VLOOKUP(INDEX(LdBGroup,$M563),WGTbl,2,0),INDEX(LdBGroup,$M563)),IF($N563&lt;&gt;"",IF(N(INDEX(LdCDep,$N563))&gt;0,"بازگشت بانکی","پرداخت بانکی"),"")))</f>
        <v/>
      </c>
      <c r="D563" s="14">
        <f>IF($L563&lt;&gt;"",IF(INDEX(LdAId,$L563)="","—",INDEX(LdAId,$L563)),IF($M563&lt;&gt;"",IF(INDEX(LdBId,$M563)="","—",INDEX(LdBId,$M563)),IF($N563&lt;&gt;"",IF(INDEX(LdCBank,$N563)="","—",INDEX(LdCBank,$N563)),"")))</f>
        <v/>
      </c>
      <c r="E563" s="16">
        <f>IF($L563&lt;&gt;"",IF(INDEX(LdAAmt,$L563)=0,"",INDEX(LdAAmt,$L563)),IF($M563&lt;&gt;"",IF(INDEX(LdBAmt,$M563)=0,"",INDEX(LdBAmt,$M563)),IF($N563&lt;&gt;"",IF(INDEX(LdCDep,$N563)=0,"",INDEX(LdCDep,$N563)),"")))</f>
        <v/>
      </c>
      <c r="F563" s="16">
        <f>IF(AND($L563="",$M563="",$N563=""),"",IF($N563="","",IF(INDEX(LdCWit,$N563)=0,"",INDEX(LdCWit,$N563))))</f>
        <v/>
      </c>
      <c r="G563" s="29">
        <f>IF($B563="","",IF($G562="",0,$G562)+IF($E563="",0,$E563)-IF($F563="",0,$F563))</f>
        <v/>
      </c>
      <c r="H563" s="30">
        <f>IF(AND($L563="",$M563="",$N563=""),"",IF($L563&lt;&gt;"",IF(INDEX(LdANote,$L563)="","—",INDEX(LdANote,$L563)),IF($M563&lt;&gt;"",IF(INDEX(LdBNote,$M563)="","—",INDEX(LdBNote,$M563)),IF($N563&lt;&gt;"",IF(INDEX(LdCNote,$N563)="","—",INDEX(LdCNote,$N563)),""))))</f>
        <v/>
      </c>
      <c r="L563">
        <f>IFERROR(MATCH($C$5&amp;"|"&amp;RIGHT("000000"&amp;547,6),LdAKeyM,0),"")</f>
        <v/>
      </c>
      <c r="M563">
        <f>IFERROR(MATCH($C$5&amp;"|"&amp;RIGHT("000000"&amp;547,6),LdBKeyM,0),"")</f>
        <v/>
      </c>
      <c r="N563">
        <f>IFERROR(MATCH($C$5&amp;"|"&amp;RIGHT("000000"&amp;547,6),LdCKeyM,0),"")</f>
        <v/>
      </c>
    </row>
    <row r="564">
      <c r="A564" s="19" t="n">
        <v>548</v>
      </c>
      <c r="B564" s="20">
        <f>IF(AND($L564="",$M564="",$N564=""),"",IF($L564&lt;&gt;"",INDEX(LdADate,$L564),IF($M564&lt;&gt;"",INDEX(LdBDate,$M564),INDEX(LdCDate,$N564))))</f>
        <v/>
      </c>
      <c r="C564" s="20">
        <f>IF($L564&lt;&gt;"","دستمزد (فردی)",IF($M564&lt;&gt;"","سهم از گروه "&amp;IFERROR(VLOOKUP(INDEX(LdBGroup,$M564),WGTbl,2,0),INDEX(LdBGroup,$M564)),IF($N564&lt;&gt;"",IF(N(INDEX(LdCDep,$N564))&gt;0,"بازگشت بانکی","پرداخت بانکی"),"")))</f>
        <v/>
      </c>
      <c r="D564" s="20">
        <f>IF($L564&lt;&gt;"",IF(INDEX(LdAId,$L564)="","—",INDEX(LdAId,$L564)),IF($M564&lt;&gt;"",IF(INDEX(LdBId,$M564)="","—",INDEX(LdBId,$M564)),IF($N564&lt;&gt;"",IF(INDEX(LdCBank,$N564)="","—",INDEX(LdCBank,$N564)),"")))</f>
        <v/>
      </c>
      <c r="E564" s="21">
        <f>IF($L564&lt;&gt;"",IF(INDEX(LdAAmt,$L564)=0,"",INDEX(LdAAmt,$L564)),IF($M564&lt;&gt;"",IF(INDEX(LdBAmt,$M564)=0,"",INDEX(LdBAmt,$M564)),IF($N564&lt;&gt;"",IF(INDEX(LdCDep,$N564)=0,"",INDEX(LdCDep,$N564)),"")))</f>
        <v/>
      </c>
      <c r="F564" s="21">
        <f>IF(AND($L564="",$M564="",$N564=""),"",IF($N564="","",IF(INDEX(LdCWit,$N564)=0,"",INDEX(LdCWit,$N564))))</f>
        <v/>
      </c>
      <c r="G564" s="31">
        <f>IF($B564="","",IF($G563="",0,$G563)+IF($E564="",0,$E564)-IF($F564="",0,$F564))</f>
        <v/>
      </c>
      <c r="H564" s="32">
        <f>IF(AND($L564="",$M564="",$N564=""),"",IF($L564&lt;&gt;"",IF(INDEX(LdANote,$L564)="","—",INDEX(LdANote,$L564)),IF($M564&lt;&gt;"",IF(INDEX(LdBNote,$M564)="","—",INDEX(LdBNote,$M564)),IF($N564&lt;&gt;"",IF(INDEX(LdCNote,$N564)="","—",INDEX(LdCNote,$N564)),""))))</f>
        <v/>
      </c>
      <c r="L564">
        <f>IFERROR(MATCH($C$5&amp;"|"&amp;RIGHT("000000"&amp;548,6),LdAKeyM,0),"")</f>
        <v/>
      </c>
      <c r="M564">
        <f>IFERROR(MATCH($C$5&amp;"|"&amp;RIGHT("000000"&amp;548,6),LdBKeyM,0),"")</f>
        <v/>
      </c>
      <c r="N564">
        <f>IFERROR(MATCH($C$5&amp;"|"&amp;RIGHT("000000"&amp;548,6),LdCKeyM,0),"")</f>
        <v/>
      </c>
    </row>
    <row r="565">
      <c r="A565" s="10" t="n">
        <v>549</v>
      </c>
      <c r="B565" s="14">
        <f>IF(AND($L565="",$M565="",$N565=""),"",IF($L565&lt;&gt;"",INDEX(LdADate,$L565),IF($M565&lt;&gt;"",INDEX(LdBDate,$M565),INDEX(LdCDate,$N565))))</f>
        <v/>
      </c>
      <c r="C565" s="14">
        <f>IF($L565&lt;&gt;"","دستمزد (فردی)",IF($M565&lt;&gt;"","سهم از گروه "&amp;IFERROR(VLOOKUP(INDEX(LdBGroup,$M565),WGTbl,2,0),INDEX(LdBGroup,$M565)),IF($N565&lt;&gt;"",IF(N(INDEX(LdCDep,$N565))&gt;0,"بازگشت بانکی","پرداخت بانکی"),"")))</f>
        <v/>
      </c>
      <c r="D565" s="14">
        <f>IF($L565&lt;&gt;"",IF(INDEX(LdAId,$L565)="","—",INDEX(LdAId,$L565)),IF($M565&lt;&gt;"",IF(INDEX(LdBId,$M565)="","—",INDEX(LdBId,$M565)),IF($N565&lt;&gt;"",IF(INDEX(LdCBank,$N565)="","—",INDEX(LdCBank,$N565)),"")))</f>
        <v/>
      </c>
      <c r="E565" s="16">
        <f>IF($L565&lt;&gt;"",IF(INDEX(LdAAmt,$L565)=0,"",INDEX(LdAAmt,$L565)),IF($M565&lt;&gt;"",IF(INDEX(LdBAmt,$M565)=0,"",INDEX(LdBAmt,$M565)),IF($N565&lt;&gt;"",IF(INDEX(LdCDep,$N565)=0,"",INDEX(LdCDep,$N565)),"")))</f>
        <v/>
      </c>
      <c r="F565" s="16">
        <f>IF(AND($L565="",$M565="",$N565=""),"",IF($N565="","",IF(INDEX(LdCWit,$N565)=0,"",INDEX(LdCWit,$N565))))</f>
        <v/>
      </c>
      <c r="G565" s="29">
        <f>IF($B565="","",IF($G564="",0,$G564)+IF($E565="",0,$E565)-IF($F565="",0,$F565))</f>
        <v/>
      </c>
      <c r="H565" s="30">
        <f>IF(AND($L565="",$M565="",$N565=""),"",IF($L565&lt;&gt;"",IF(INDEX(LdANote,$L565)="","—",INDEX(LdANote,$L565)),IF($M565&lt;&gt;"",IF(INDEX(LdBNote,$M565)="","—",INDEX(LdBNote,$M565)),IF($N565&lt;&gt;"",IF(INDEX(LdCNote,$N565)="","—",INDEX(LdCNote,$N565)),""))))</f>
        <v/>
      </c>
      <c r="L565">
        <f>IFERROR(MATCH($C$5&amp;"|"&amp;RIGHT("000000"&amp;549,6),LdAKeyM,0),"")</f>
        <v/>
      </c>
      <c r="M565">
        <f>IFERROR(MATCH($C$5&amp;"|"&amp;RIGHT("000000"&amp;549,6),LdBKeyM,0),"")</f>
        <v/>
      </c>
      <c r="N565">
        <f>IFERROR(MATCH($C$5&amp;"|"&amp;RIGHT("000000"&amp;549,6),LdCKeyM,0),"")</f>
        <v/>
      </c>
    </row>
    <row r="566">
      <c r="A566" s="19" t="n">
        <v>550</v>
      </c>
      <c r="B566" s="20">
        <f>IF(AND($L566="",$M566="",$N566=""),"",IF($L566&lt;&gt;"",INDEX(LdADate,$L566),IF($M566&lt;&gt;"",INDEX(LdBDate,$M566),INDEX(LdCDate,$N566))))</f>
        <v/>
      </c>
      <c r="C566" s="20">
        <f>IF($L566&lt;&gt;"","دستمزد (فردی)",IF($M566&lt;&gt;"","سهم از گروه "&amp;IFERROR(VLOOKUP(INDEX(LdBGroup,$M566),WGTbl,2,0),INDEX(LdBGroup,$M566)),IF($N566&lt;&gt;"",IF(N(INDEX(LdCDep,$N566))&gt;0,"بازگشت بانکی","پرداخت بانکی"),"")))</f>
        <v/>
      </c>
      <c r="D566" s="20">
        <f>IF($L566&lt;&gt;"",IF(INDEX(LdAId,$L566)="","—",INDEX(LdAId,$L566)),IF($M566&lt;&gt;"",IF(INDEX(LdBId,$M566)="","—",INDEX(LdBId,$M566)),IF($N566&lt;&gt;"",IF(INDEX(LdCBank,$N566)="","—",INDEX(LdCBank,$N566)),"")))</f>
        <v/>
      </c>
      <c r="E566" s="21">
        <f>IF($L566&lt;&gt;"",IF(INDEX(LdAAmt,$L566)=0,"",INDEX(LdAAmt,$L566)),IF($M566&lt;&gt;"",IF(INDEX(LdBAmt,$M566)=0,"",INDEX(LdBAmt,$M566)),IF($N566&lt;&gt;"",IF(INDEX(LdCDep,$N566)=0,"",INDEX(LdCDep,$N566)),"")))</f>
        <v/>
      </c>
      <c r="F566" s="21">
        <f>IF(AND($L566="",$M566="",$N566=""),"",IF($N566="","",IF(INDEX(LdCWit,$N566)=0,"",INDEX(LdCWit,$N566))))</f>
        <v/>
      </c>
      <c r="G566" s="31">
        <f>IF($B566="","",IF($G565="",0,$G565)+IF($E566="",0,$E566)-IF($F566="",0,$F566))</f>
        <v/>
      </c>
      <c r="H566" s="32">
        <f>IF(AND($L566="",$M566="",$N566=""),"",IF($L566&lt;&gt;"",IF(INDEX(LdANote,$L566)="","—",INDEX(LdANote,$L566)),IF($M566&lt;&gt;"",IF(INDEX(LdBNote,$M566)="","—",INDEX(LdBNote,$M566)),IF($N566&lt;&gt;"",IF(INDEX(LdCNote,$N566)="","—",INDEX(LdCNote,$N566)),""))))</f>
        <v/>
      </c>
      <c r="L566">
        <f>IFERROR(MATCH($C$5&amp;"|"&amp;RIGHT("000000"&amp;550,6),LdAKeyM,0),"")</f>
        <v/>
      </c>
      <c r="M566">
        <f>IFERROR(MATCH($C$5&amp;"|"&amp;RIGHT("000000"&amp;550,6),LdBKeyM,0),"")</f>
        <v/>
      </c>
      <c r="N566">
        <f>IFERROR(MATCH($C$5&amp;"|"&amp;RIGHT("000000"&amp;550,6),LdCKeyM,0),"")</f>
        <v/>
      </c>
    </row>
    <row r="567">
      <c r="A567" s="10" t="n">
        <v>551</v>
      </c>
      <c r="B567" s="14">
        <f>IF(AND($L567="",$M567="",$N567=""),"",IF($L567&lt;&gt;"",INDEX(LdADate,$L567),IF($M567&lt;&gt;"",INDEX(LdBDate,$M567),INDEX(LdCDate,$N567))))</f>
        <v/>
      </c>
      <c r="C567" s="14">
        <f>IF($L567&lt;&gt;"","دستمزد (فردی)",IF($M567&lt;&gt;"","سهم از گروه "&amp;IFERROR(VLOOKUP(INDEX(LdBGroup,$M567),WGTbl,2,0),INDEX(LdBGroup,$M567)),IF($N567&lt;&gt;"",IF(N(INDEX(LdCDep,$N567))&gt;0,"بازگشت بانکی","پرداخت بانکی"),"")))</f>
        <v/>
      </c>
      <c r="D567" s="14">
        <f>IF($L567&lt;&gt;"",IF(INDEX(LdAId,$L567)="","—",INDEX(LdAId,$L567)),IF($M567&lt;&gt;"",IF(INDEX(LdBId,$M567)="","—",INDEX(LdBId,$M567)),IF($N567&lt;&gt;"",IF(INDEX(LdCBank,$N567)="","—",INDEX(LdCBank,$N567)),"")))</f>
        <v/>
      </c>
      <c r="E567" s="16">
        <f>IF($L567&lt;&gt;"",IF(INDEX(LdAAmt,$L567)=0,"",INDEX(LdAAmt,$L567)),IF($M567&lt;&gt;"",IF(INDEX(LdBAmt,$M567)=0,"",INDEX(LdBAmt,$M567)),IF($N567&lt;&gt;"",IF(INDEX(LdCDep,$N567)=0,"",INDEX(LdCDep,$N567)),"")))</f>
        <v/>
      </c>
      <c r="F567" s="16">
        <f>IF(AND($L567="",$M567="",$N567=""),"",IF($N567="","",IF(INDEX(LdCWit,$N567)=0,"",INDEX(LdCWit,$N567))))</f>
        <v/>
      </c>
      <c r="G567" s="29">
        <f>IF($B567="","",IF($G566="",0,$G566)+IF($E567="",0,$E567)-IF($F567="",0,$F567))</f>
        <v/>
      </c>
      <c r="H567" s="30">
        <f>IF(AND($L567="",$M567="",$N567=""),"",IF($L567&lt;&gt;"",IF(INDEX(LdANote,$L567)="","—",INDEX(LdANote,$L567)),IF($M567&lt;&gt;"",IF(INDEX(LdBNote,$M567)="","—",INDEX(LdBNote,$M567)),IF($N567&lt;&gt;"",IF(INDEX(LdCNote,$N567)="","—",INDEX(LdCNote,$N567)),""))))</f>
        <v/>
      </c>
      <c r="L567">
        <f>IFERROR(MATCH($C$5&amp;"|"&amp;RIGHT("000000"&amp;551,6),LdAKeyM,0),"")</f>
        <v/>
      </c>
      <c r="M567">
        <f>IFERROR(MATCH($C$5&amp;"|"&amp;RIGHT("000000"&amp;551,6),LdBKeyM,0),"")</f>
        <v/>
      </c>
      <c r="N567">
        <f>IFERROR(MATCH($C$5&amp;"|"&amp;RIGHT("000000"&amp;551,6),LdCKeyM,0),"")</f>
        <v/>
      </c>
    </row>
    <row r="568">
      <c r="A568" s="19" t="n">
        <v>552</v>
      </c>
      <c r="B568" s="20">
        <f>IF(AND($L568="",$M568="",$N568=""),"",IF($L568&lt;&gt;"",INDEX(LdADate,$L568),IF($M568&lt;&gt;"",INDEX(LdBDate,$M568),INDEX(LdCDate,$N568))))</f>
        <v/>
      </c>
      <c r="C568" s="20">
        <f>IF($L568&lt;&gt;"","دستمزد (فردی)",IF($M568&lt;&gt;"","سهم از گروه "&amp;IFERROR(VLOOKUP(INDEX(LdBGroup,$M568),WGTbl,2,0),INDEX(LdBGroup,$M568)),IF($N568&lt;&gt;"",IF(N(INDEX(LdCDep,$N568))&gt;0,"بازگشت بانکی","پرداخت بانکی"),"")))</f>
        <v/>
      </c>
      <c r="D568" s="20">
        <f>IF($L568&lt;&gt;"",IF(INDEX(LdAId,$L568)="","—",INDEX(LdAId,$L568)),IF($M568&lt;&gt;"",IF(INDEX(LdBId,$M568)="","—",INDEX(LdBId,$M568)),IF($N568&lt;&gt;"",IF(INDEX(LdCBank,$N568)="","—",INDEX(LdCBank,$N568)),"")))</f>
        <v/>
      </c>
      <c r="E568" s="21">
        <f>IF($L568&lt;&gt;"",IF(INDEX(LdAAmt,$L568)=0,"",INDEX(LdAAmt,$L568)),IF($M568&lt;&gt;"",IF(INDEX(LdBAmt,$M568)=0,"",INDEX(LdBAmt,$M568)),IF($N568&lt;&gt;"",IF(INDEX(LdCDep,$N568)=0,"",INDEX(LdCDep,$N568)),"")))</f>
        <v/>
      </c>
      <c r="F568" s="21">
        <f>IF(AND($L568="",$M568="",$N568=""),"",IF($N568="","",IF(INDEX(LdCWit,$N568)=0,"",INDEX(LdCWit,$N568))))</f>
        <v/>
      </c>
      <c r="G568" s="31">
        <f>IF($B568="","",IF($G567="",0,$G567)+IF($E568="",0,$E568)-IF($F568="",0,$F568))</f>
        <v/>
      </c>
      <c r="H568" s="32">
        <f>IF(AND($L568="",$M568="",$N568=""),"",IF($L568&lt;&gt;"",IF(INDEX(LdANote,$L568)="","—",INDEX(LdANote,$L568)),IF($M568&lt;&gt;"",IF(INDEX(LdBNote,$M568)="","—",INDEX(LdBNote,$M568)),IF($N568&lt;&gt;"",IF(INDEX(LdCNote,$N568)="","—",INDEX(LdCNote,$N568)),""))))</f>
        <v/>
      </c>
      <c r="L568">
        <f>IFERROR(MATCH($C$5&amp;"|"&amp;RIGHT("000000"&amp;552,6),LdAKeyM,0),"")</f>
        <v/>
      </c>
      <c r="M568">
        <f>IFERROR(MATCH($C$5&amp;"|"&amp;RIGHT("000000"&amp;552,6),LdBKeyM,0),"")</f>
        <v/>
      </c>
      <c r="N568">
        <f>IFERROR(MATCH($C$5&amp;"|"&amp;RIGHT("000000"&amp;552,6),LdCKeyM,0),"")</f>
        <v/>
      </c>
    </row>
    <row r="569">
      <c r="A569" s="10" t="n">
        <v>553</v>
      </c>
      <c r="B569" s="14">
        <f>IF(AND($L569="",$M569="",$N569=""),"",IF($L569&lt;&gt;"",INDEX(LdADate,$L569),IF($M569&lt;&gt;"",INDEX(LdBDate,$M569),INDEX(LdCDate,$N569))))</f>
        <v/>
      </c>
      <c r="C569" s="14">
        <f>IF($L569&lt;&gt;"","دستمزد (فردی)",IF($M569&lt;&gt;"","سهم از گروه "&amp;IFERROR(VLOOKUP(INDEX(LdBGroup,$M569),WGTbl,2,0),INDEX(LdBGroup,$M569)),IF($N569&lt;&gt;"",IF(N(INDEX(LdCDep,$N569))&gt;0,"بازگشت بانکی","پرداخت بانکی"),"")))</f>
        <v/>
      </c>
      <c r="D569" s="14">
        <f>IF($L569&lt;&gt;"",IF(INDEX(LdAId,$L569)="","—",INDEX(LdAId,$L569)),IF($M569&lt;&gt;"",IF(INDEX(LdBId,$M569)="","—",INDEX(LdBId,$M569)),IF($N569&lt;&gt;"",IF(INDEX(LdCBank,$N569)="","—",INDEX(LdCBank,$N569)),"")))</f>
        <v/>
      </c>
      <c r="E569" s="16">
        <f>IF($L569&lt;&gt;"",IF(INDEX(LdAAmt,$L569)=0,"",INDEX(LdAAmt,$L569)),IF($M569&lt;&gt;"",IF(INDEX(LdBAmt,$M569)=0,"",INDEX(LdBAmt,$M569)),IF($N569&lt;&gt;"",IF(INDEX(LdCDep,$N569)=0,"",INDEX(LdCDep,$N569)),"")))</f>
        <v/>
      </c>
      <c r="F569" s="16">
        <f>IF(AND($L569="",$M569="",$N569=""),"",IF($N569="","",IF(INDEX(LdCWit,$N569)=0,"",INDEX(LdCWit,$N569))))</f>
        <v/>
      </c>
      <c r="G569" s="29">
        <f>IF($B569="","",IF($G568="",0,$G568)+IF($E569="",0,$E569)-IF($F569="",0,$F569))</f>
        <v/>
      </c>
      <c r="H569" s="30">
        <f>IF(AND($L569="",$M569="",$N569=""),"",IF($L569&lt;&gt;"",IF(INDEX(LdANote,$L569)="","—",INDEX(LdANote,$L569)),IF($M569&lt;&gt;"",IF(INDEX(LdBNote,$M569)="","—",INDEX(LdBNote,$M569)),IF($N569&lt;&gt;"",IF(INDEX(LdCNote,$N569)="","—",INDEX(LdCNote,$N569)),""))))</f>
        <v/>
      </c>
      <c r="L569">
        <f>IFERROR(MATCH($C$5&amp;"|"&amp;RIGHT("000000"&amp;553,6),LdAKeyM,0),"")</f>
        <v/>
      </c>
      <c r="M569">
        <f>IFERROR(MATCH($C$5&amp;"|"&amp;RIGHT("000000"&amp;553,6),LdBKeyM,0),"")</f>
        <v/>
      </c>
      <c r="N569">
        <f>IFERROR(MATCH($C$5&amp;"|"&amp;RIGHT("000000"&amp;553,6),LdCKeyM,0),"")</f>
        <v/>
      </c>
    </row>
    <row r="570">
      <c r="A570" s="19" t="n">
        <v>554</v>
      </c>
      <c r="B570" s="20">
        <f>IF(AND($L570="",$M570="",$N570=""),"",IF($L570&lt;&gt;"",INDEX(LdADate,$L570),IF($M570&lt;&gt;"",INDEX(LdBDate,$M570),INDEX(LdCDate,$N570))))</f>
        <v/>
      </c>
      <c r="C570" s="20">
        <f>IF($L570&lt;&gt;"","دستمزد (فردی)",IF($M570&lt;&gt;"","سهم از گروه "&amp;IFERROR(VLOOKUP(INDEX(LdBGroup,$M570),WGTbl,2,0),INDEX(LdBGroup,$M570)),IF($N570&lt;&gt;"",IF(N(INDEX(LdCDep,$N570))&gt;0,"بازگشت بانکی","پرداخت بانکی"),"")))</f>
        <v/>
      </c>
      <c r="D570" s="20">
        <f>IF($L570&lt;&gt;"",IF(INDEX(LdAId,$L570)="","—",INDEX(LdAId,$L570)),IF($M570&lt;&gt;"",IF(INDEX(LdBId,$M570)="","—",INDEX(LdBId,$M570)),IF($N570&lt;&gt;"",IF(INDEX(LdCBank,$N570)="","—",INDEX(LdCBank,$N570)),"")))</f>
        <v/>
      </c>
      <c r="E570" s="21">
        <f>IF($L570&lt;&gt;"",IF(INDEX(LdAAmt,$L570)=0,"",INDEX(LdAAmt,$L570)),IF($M570&lt;&gt;"",IF(INDEX(LdBAmt,$M570)=0,"",INDEX(LdBAmt,$M570)),IF($N570&lt;&gt;"",IF(INDEX(LdCDep,$N570)=0,"",INDEX(LdCDep,$N570)),"")))</f>
        <v/>
      </c>
      <c r="F570" s="21">
        <f>IF(AND($L570="",$M570="",$N570=""),"",IF($N570="","",IF(INDEX(LdCWit,$N570)=0,"",INDEX(LdCWit,$N570))))</f>
        <v/>
      </c>
      <c r="G570" s="31">
        <f>IF($B570="","",IF($G569="",0,$G569)+IF($E570="",0,$E570)-IF($F570="",0,$F570))</f>
        <v/>
      </c>
      <c r="H570" s="32">
        <f>IF(AND($L570="",$M570="",$N570=""),"",IF($L570&lt;&gt;"",IF(INDEX(LdANote,$L570)="","—",INDEX(LdANote,$L570)),IF($M570&lt;&gt;"",IF(INDEX(LdBNote,$M570)="","—",INDEX(LdBNote,$M570)),IF($N570&lt;&gt;"",IF(INDEX(LdCNote,$N570)="","—",INDEX(LdCNote,$N570)),""))))</f>
        <v/>
      </c>
      <c r="L570">
        <f>IFERROR(MATCH($C$5&amp;"|"&amp;RIGHT("000000"&amp;554,6),LdAKeyM,0),"")</f>
        <v/>
      </c>
      <c r="M570">
        <f>IFERROR(MATCH($C$5&amp;"|"&amp;RIGHT("000000"&amp;554,6),LdBKeyM,0),"")</f>
        <v/>
      </c>
      <c r="N570">
        <f>IFERROR(MATCH($C$5&amp;"|"&amp;RIGHT("000000"&amp;554,6),LdCKeyM,0),"")</f>
        <v/>
      </c>
    </row>
    <row r="571">
      <c r="A571" s="10" t="n">
        <v>555</v>
      </c>
      <c r="B571" s="14">
        <f>IF(AND($L571="",$M571="",$N571=""),"",IF($L571&lt;&gt;"",INDEX(LdADate,$L571),IF($M571&lt;&gt;"",INDEX(LdBDate,$M571),INDEX(LdCDate,$N571))))</f>
        <v/>
      </c>
      <c r="C571" s="14">
        <f>IF($L571&lt;&gt;"","دستمزد (فردی)",IF($M571&lt;&gt;"","سهم از گروه "&amp;IFERROR(VLOOKUP(INDEX(LdBGroup,$M571),WGTbl,2,0),INDEX(LdBGroup,$M571)),IF($N571&lt;&gt;"",IF(N(INDEX(LdCDep,$N571))&gt;0,"بازگشت بانکی","پرداخت بانکی"),"")))</f>
        <v/>
      </c>
      <c r="D571" s="14">
        <f>IF($L571&lt;&gt;"",IF(INDEX(LdAId,$L571)="","—",INDEX(LdAId,$L571)),IF($M571&lt;&gt;"",IF(INDEX(LdBId,$M571)="","—",INDEX(LdBId,$M571)),IF($N571&lt;&gt;"",IF(INDEX(LdCBank,$N571)="","—",INDEX(LdCBank,$N571)),"")))</f>
        <v/>
      </c>
      <c r="E571" s="16">
        <f>IF($L571&lt;&gt;"",IF(INDEX(LdAAmt,$L571)=0,"",INDEX(LdAAmt,$L571)),IF($M571&lt;&gt;"",IF(INDEX(LdBAmt,$M571)=0,"",INDEX(LdBAmt,$M571)),IF($N571&lt;&gt;"",IF(INDEX(LdCDep,$N571)=0,"",INDEX(LdCDep,$N571)),"")))</f>
        <v/>
      </c>
      <c r="F571" s="16">
        <f>IF(AND($L571="",$M571="",$N571=""),"",IF($N571="","",IF(INDEX(LdCWit,$N571)=0,"",INDEX(LdCWit,$N571))))</f>
        <v/>
      </c>
      <c r="G571" s="29">
        <f>IF($B571="","",IF($G570="",0,$G570)+IF($E571="",0,$E571)-IF($F571="",0,$F571))</f>
        <v/>
      </c>
      <c r="H571" s="30">
        <f>IF(AND($L571="",$M571="",$N571=""),"",IF($L571&lt;&gt;"",IF(INDEX(LdANote,$L571)="","—",INDEX(LdANote,$L571)),IF($M571&lt;&gt;"",IF(INDEX(LdBNote,$M571)="","—",INDEX(LdBNote,$M571)),IF($N571&lt;&gt;"",IF(INDEX(LdCNote,$N571)="","—",INDEX(LdCNote,$N571)),""))))</f>
        <v/>
      </c>
      <c r="L571">
        <f>IFERROR(MATCH($C$5&amp;"|"&amp;RIGHT("000000"&amp;555,6),LdAKeyM,0),"")</f>
        <v/>
      </c>
      <c r="M571">
        <f>IFERROR(MATCH($C$5&amp;"|"&amp;RIGHT("000000"&amp;555,6),LdBKeyM,0),"")</f>
        <v/>
      </c>
      <c r="N571">
        <f>IFERROR(MATCH($C$5&amp;"|"&amp;RIGHT("000000"&amp;555,6),LdCKeyM,0),"")</f>
        <v/>
      </c>
    </row>
    <row r="572">
      <c r="A572" s="19" t="n">
        <v>556</v>
      </c>
      <c r="B572" s="20">
        <f>IF(AND($L572="",$M572="",$N572=""),"",IF($L572&lt;&gt;"",INDEX(LdADate,$L572),IF($M572&lt;&gt;"",INDEX(LdBDate,$M572),INDEX(LdCDate,$N572))))</f>
        <v/>
      </c>
      <c r="C572" s="20">
        <f>IF($L572&lt;&gt;"","دستمزد (فردی)",IF($M572&lt;&gt;"","سهم از گروه "&amp;IFERROR(VLOOKUP(INDEX(LdBGroup,$M572),WGTbl,2,0),INDEX(LdBGroup,$M572)),IF($N572&lt;&gt;"",IF(N(INDEX(LdCDep,$N572))&gt;0,"بازگشت بانکی","پرداخت بانکی"),"")))</f>
        <v/>
      </c>
      <c r="D572" s="20">
        <f>IF($L572&lt;&gt;"",IF(INDEX(LdAId,$L572)="","—",INDEX(LdAId,$L572)),IF($M572&lt;&gt;"",IF(INDEX(LdBId,$M572)="","—",INDEX(LdBId,$M572)),IF($N572&lt;&gt;"",IF(INDEX(LdCBank,$N572)="","—",INDEX(LdCBank,$N572)),"")))</f>
        <v/>
      </c>
      <c r="E572" s="21">
        <f>IF($L572&lt;&gt;"",IF(INDEX(LdAAmt,$L572)=0,"",INDEX(LdAAmt,$L572)),IF($M572&lt;&gt;"",IF(INDEX(LdBAmt,$M572)=0,"",INDEX(LdBAmt,$M572)),IF($N572&lt;&gt;"",IF(INDEX(LdCDep,$N572)=0,"",INDEX(LdCDep,$N572)),"")))</f>
        <v/>
      </c>
      <c r="F572" s="21">
        <f>IF(AND($L572="",$M572="",$N572=""),"",IF($N572="","",IF(INDEX(LdCWit,$N572)=0,"",INDEX(LdCWit,$N572))))</f>
        <v/>
      </c>
      <c r="G572" s="31">
        <f>IF($B572="","",IF($G571="",0,$G571)+IF($E572="",0,$E572)-IF($F572="",0,$F572))</f>
        <v/>
      </c>
      <c r="H572" s="32">
        <f>IF(AND($L572="",$M572="",$N572=""),"",IF($L572&lt;&gt;"",IF(INDEX(LdANote,$L572)="","—",INDEX(LdANote,$L572)),IF($M572&lt;&gt;"",IF(INDEX(LdBNote,$M572)="","—",INDEX(LdBNote,$M572)),IF($N572&lt;&gt;"",IF(INDEX(LdCNote,$N572)="","—",INDEX(LdCNote,$N572)),""))))</f>
        <v/>
      </c>
      <c r="L572">
        <f>IFERROR(MATCH($C$5&amp;"|"&amp;RIGHT("000000"&amp;556,6),LdAKeyM,0),"")</f>
        <v/>
      </c>
      <c r="M572">
        <f>IFERROR(MATCH($C$5&amp;"|"&amp;RIGHT("000000"&amp;556,6),LdBKeyM,0),"")</f>
        <v/>
      </c>
      <c r="N572">
        <f>IFERROR(MATCH($C$5&amp;"|"&amp;RIGHT("000000"&amp;556,6),LdCKeyM,0),"")</f>
        <v/>
      </c>
    </row>
    <row r="573">
      <c r="A573" s="10" t="n">
        <v>557</v>
      </c>
      <c r="B573" s="14">
        <f>IF(AND($L573="",$M573="",$N573=""),"",IF($L573&lt;&gt;"",INDEX(LdADate,$L573),IF($M573&lt;&gt;"",INDEX(LdBDate,$M573),INDEX(LdCDate,$N573))))</f>
        <v/>
      </c>
      <c r="C573" s="14">
        <f>IF($L573&lt;&gt;"","دستمزد (فردی)",IF($M573&lt;&gt;"","سهم از گروه "&amp;IFERROR(VLOOKUP(INDEX(LdBGroup,$M573),WGTbl,2,0),INDEX(LdBGroup,$M573)),IF($N573&lt;&gt;"",IF(N(INDEX(LdCDep,$N573))&gt;0,"بازگشت بانکی","پرداخت بانکی"),"")))</f>
        <v/>
      </c>
      <c r="D573" s="14">
        <f>IF($L573&lt;&gt;"",IF(INDEX(LdAId,$L573)="","—",INDEX(LdAId,$L573)),IF($M573&lt;&gt;"",IF(INDEX(LdBId,$M573)="","—",INDEX(LdBId,$M573)),IF($N573&lt;&gt;"",IF(INDEX(LdCBank,$N573)="","—",INDEX(LdCBank,$N573)),"")))</f>
        <v/>
      </c>
      <c r="E573" s="16">
        <f>IF($L573&lt;&gt;"",IF(INDEX(LdAAmt,$L573)=0,"",INDEX(LdAAmt,$L573)),IF($M573&lt;&gt;"",IF(INDEX(LdBAmt,$M573)=0,"",INDEX(LdBAmt,$M573)),IF($N573&lt;&gt;"",IF(INDEX(LdCDep,$N573)=0,"",INDEX(LdCDep,$N573)),"")))</f>
        <v/>
      </c>
      <c r="F573" s="16">
        <f>IF(AND($L573="",$M573="",$N573=""),"",IF($N573="","",IF(INDEX(LdCWit,$N573)=0,"",INDEX(LdCWit,$N573))))</f>
        <v/>
      </c>
      <c r="G573" s="29">
        <f>IF($B573="","",IF($G572="",0,$G572)+IF($E573="",0,$E573)-IF($F573="",0,$F573))</f>
        <v/>
      </c>
      <c r="H573" s="30">
        <f>IF(AND($L573="",$M573="",$N573=""),"",IF($L573&lt;&gt;"",IF(INDEX(LdANote,$L573)="","—",INDEX(LdANote,$L573)),IF($M573&lt;&gt;"",IF(INDEX(LdBNote,$M573)="","—",INDEX(LdBNote,$M573)),IF($N573&lt;&gt;"",IF(INDEX(LdCNote,$N573)="","—",INDEX(LdCNote,$N573)),""))))</f>
        <v/>
      </c>
      <c r="L573">
        <f>IFERROR(MATCH($C$5&amp;"|"&amp;RIGHT("000000"&amp;557,6),LdAKeyM,0),"")</f>
        <v/>
      </c>
      <c r="M573">
        <f>IFERROR(MATCH($C$5&amp;"|"&amp;RIGHT("000000"&amp;557,6),LdBKeyM,0),"")</f>
        <v/>
      </c>
      <c r="N573">
        <f>IFERROR(MATCH($C$5&amp;"|"&amp;RIGHT("000000"&amp;557,6),LdCKeyM,0),"")</f>
        <v/>
      </c>
    </row>
    <row r="574">
      <c r="A574" s="19" t="n">
        <v>558</v>
      </c>
      <c r="B574" s="20">
        <f>IF(AND($L574="",$M574="",$N574=""),"",IF($L574&lt;&gt;"",INDEX(LdADate,$L574),IF($M574&lt;&gt;"",INDEX(LdBDate,$M574),INDEX(LdCDate,$N574))))</f>
        <v/>
      </c>
      <c r="C574" s="20">
        <f>IF($L574&lt;&gt;"","دستمزد (فردی)",IF($M574&lt;&gt;"","سهم از گروه "&amp;IFERROR(VLOOKUP(INDEX(LdBGroup,$M574),WGTbl,2,0),INDEX(LdBGroup,$M574)),IF($N574&lt;&gt;"",IF(N(INDEX(LdCDep,$N574))&gt;0,"بازگشت بانکی","پرداخت بانکی"),"")))</f>
        <v/>
      </c>
      <c r="D574" s="20">
        <f>IF($L574&lt;&gt;"",IF(INDEX(LdAId,$L574)="","—",INDEX(LdAId,$L574)),IF($M574&lt;&gt;"",IF(INDEX(LdBId,$M574)="","—",INDEX(LdBId,$M574)),IF($N574&lt;&gt;"",IF(INDEX(LdCBank,$N574)="","—",INDEX(LdCBank,$N574)),"")))</f>
        <v/>
      </c>
      <c r="E574" s="21">
        <f>IF($L574&lt;&gt;"",IF(INDEX(LdAAmt,$L574)=0,"",INDEX(LdAAmt,$L574)),IF($M574&lt;&gt;"",IF(INDEX(LdBAmt,$M574)=0,"",INDEX(LdBAmt,$M574)),IF($N574&lt;&gt;"",IF(INDEX(LdCDep,$N574)=0,"",INDEX(LdCDep,$N574)),"")))</f>
        <v/>
      </c>
      <c r="F574" s="21">
        <f>IF(AND($L574="",$M574="",$N574=""),"",IF($N574="","",IF(INDEX(LdCWit,$N574)=0,"",INDEX(LdCWit,$N574))))</f>
        <v/>
      </c>
      <c r="G574" s="31">
        <f>IF($B574="","",IF($G573="",0,$G573)+IF($E574="",0,$E574)-IF($F574="",0,$F574))</f>
        <v/>
      </c>
      <c r="H574" s="32">
        <f>IF(AND($L574="",$M574="",$N574=""),"",IF($L574&lt;&gt;"",IF(INDEX(LdANote,$L574)="","—",INDEX(LdANote,$L574)),IF($M574&lt;&gt;"",IF(INDEX(LdBNote,$M574)="","—",INDEX(LdBNote,$M574)),IF($N574&lt;&gt;"",IF(INDEX(LdCNote,$N574)="","—",INDEX(LdCNote,$N574)),""))))</f>
        <v/>
      </c>
      <c r="L574">
        <f>IFERROR(MATCH($C$5&amp;"|"&amp;RIGHT("000000"&amp;558,6),LdAKeyM,0),"")</f>
        <v/>
      </c>
      <c r="M574">
        <f>IFERROR(MATCH($C$5&amp;"|"&amp;RIGHT("000000"&amp;558,6),LdBKeyM,0),"")</f>
        <v/>
      </c>
      <c r="N574">
        <f>IFERROR(MATCH($C$5&amp;"|"&amp;RIGHT("000000"&amp;558,6),LdCKeyM,0),"")</f>
        <v/>
      </c>
    </row>
    <row r="575">
      <c r="A575" s="10" t="n">
        <v>559</v>
      </c>
      <c r="B575" s="14">
        <f>IF(AND($L575="",$M575="",$N575=""),"",IF($L575&lt;&gt;"",INDEX(LdADate,$L575),IF($M575&lt;&gt;"",INDEX(LdBDate,$M575),INDEX(LdCDate,$N575))))</f>
        <v/>
      </c>
      <c r="C575" s="14">
        <f>IF($L575&lt;&gt;"","دستمزد (فردی)",IF($M575&lt;&gt;"","سهم از گروه "&amp;IFERROR(VLOOKUP(INDEX(LdBGroup,$M575),WGTbl,2,0),INDEX(LdBGroup,$M575)),IF($N575&lt;&gt;"",IF(N(INDEX(LdCDep,$N575))&gt;0,"بازگشت بانکی","پرداخت بانکی"),"")))</f>
        <v/>
      </c>
      <c r="D575" s="14">
        <f>IF($L575&lt;&gt;"",IF(INDEX(LdAId,$L575)="","—",INDEX(LdAId,$L575)),IF($M575&lt;&gt;"",IF(INDEX(LdBId,$M575)="","—",INDEX(LdBId,$M575)),IF($N575&lt;&gt;"",IF(INDEX(LdCBank,$N575)="","—",INDEX(LdCBank,$N575)),"")))</f>
        <v/>
      </c>
      <c r="E575" s="16">
        <f>IF($L575&lt;&gt;"",IF(INDEX(LdAAmt,$L575)=0,"",INDEX(LdAAmt,$L575)),IF($M575&lt;&gt;"",IF(INDEX(LdBAmt,$M575)=0,"",INDEX(LdBAmt,$M575)),IF($N575&lt;&gt;"",IF(INDEX(LdCDep,$N575)=0,"",INDEX(LdCDep,$N575)),"")))</f>
        <v/>
      </c>
      <c r="F575" s="16">
        <f>IF(AND($L575="",$M575="",$N575=""),"",IF($N575="","",IF(INDEX(LdCWit,$N575)=0,"",INDEX(LdCWit,$N575))))</f>
        <v/>
      </c>
      <c r="G575" s="29">
        <f>IF($B575="","",IF($G574="",0,$G574)+IF($E575="",0,$E575)-IF($F575="",0,$F575))</f>
        <v/>
      </c>
      <c r="H575" s="30">
        <f>IF(AND($L575="",$M575="",$N575=""),"",IF($L575&lt;&gt;"",IF(INDEX(LdANote,$L575)="","—",INDEX(LdANote,$L575)),IF($M575&lt;&gt;"",IF(INDEX(LdBNote,$M575)="","—",INDEX(LdBNote,$M575)),IF($N575&lt;&gt;"",IF(INDEX(LdCNote,$N575)="","—",INDEX(LdCNote,$N575)),""))))</f>
        <v/>
      </c>
      <c r="L575">
        <f>IFERROR(MATCH($C$5&amp;"|"&amp;RIGHT("000000"&amp;559,6),LdAKeyM,0),"")</f>
        <v/>
      </c>
      <c r="M575">
        <f>IFERROR(MATCH($C$5&amp;"|"&amp;RIGHT("000000"&amp;559,6),LdBKeyM,0),"")</f>
        <v/>
      </c>
      <c r="N575">
        <f>IFERROR(MATCH($C$5&amp;"|"&amp;RIGHT("000000"&amp;559,6),LdCKeyM,0),"")</f>
        <v/>
      </c>
    </row>
    <row r="576">
      <c r="A576" s="19" t="n">
        <v>560</v>
      </c>
      <c r="B576" s="20">
        <f>IF(AND($L576="",$M576="",$N576=""),"",IF($L576&lt;&gt;"",INDEX(LdADate,$L576),IF($M576&lt;&gt;"",INDEX(LdBDate,$M576),INDEX(LdCDate,$N576))))</f>
        <v/>
      </c>
      <c r="C576" s="20">
        <f>IF($L576&lt;&gt;"","دستمزد (فردی)",IF($M576&lt;&gt;"","سهم از گروه "&amp;IFERROR(VLOOKUP(INDEX(LdBGroup,$M576),WGTbl,2,0),INDEX(LdBGroup,$M576)),IF($N576&lt;&gt;"",IF(N(INDEX(LdCDep,$N576))&gt;0,"بازگشت بانکی","پرداخت بانکی"),"")))</f>
        <v/>
      </c>
      <c r="D576" s="20">
        <f>IF($L576&lt;&gt;"",IF(INDEX(LdAId,$L576)="","—",INDEX(LdAId,$L576)),IF($M576&lt;&gt;"",IF(INDEX(LdBId,$M576)="","—",INDEX(LdBId,$M576)),IF($N576&lt;&gt;"",IF(INDEX(LdCBank,$N576)="","—",INDEX(LdCBank,$N576)),"")))</f>
        <v/>
      </c>
      <c r="E576" s="21">
        <f>IF($L576&lt;&gt;"",IF(INDEX(LdAAmt,$L576)=0,"",INDEX(LdAAmt,$L576)),IF($M576&lt;&gt;"",IF(INDEX(LdBAmt,$M576)=0,"",INDEX(LdBAmt,$M576)),IF($N576&lt;&gt;"",IF(INDEX(LdCDep,$N576)=0,"",INDEX(LdCDep,$N576)),"")))</f>
        <v/>
      </c>
      <c r="F576" s="21">
        <f>IF(AND($L576="",$M576="",$N576=""),"",IF($N576="","",IF(INDEX(LdCWit,$N576)=0,"",INDEX(LdCWit,$N576))))</f>
        <v/>
      </c>
      <c r="G576" s="31">
        <f>IF($B576="","",IF($G575="",0,$G575)+IF($E576="",0,$E576)-IF($F576="",0,$F576))</f>
        <v/>
      </c>
      <c r="H576" s="32">
        <f>IF(AND($L576="",$M576="",$N576=""),"",IF($L576&lt;&gt;"",IF(INDEX(LdANote,$L576)="","—",INDEX(LdANote,$L576)),IF($M576&lt;&gt;"",IF(INDEX(LdBNote,$M576)="","—",INDEX(LdBNote,$M576)),IF($N576&lt;&gt;"",IF(INDEX(LdCNote,$N576)="","—",INDEX(LdCNote,$N576)),""))))</f>
        <v/>
      </c>
      <c r="L576">
        <f>IFERROR(MATCH($C$5&amp;"|"&amp;RIGHT("000000"&amp;560,6),LdAKeyM,0),"")</f>
        <v/>
      </c>
      <c r="M576">
        <f>IFERROR(MATCH($C$5&amp;"|"&amp;RIGHT("000000"&amp;560,6),LdBKeyM,0),"")</f>
        <v/>
      </c>
      <c r="N576">
        <f>IFERROR(MATCH($C$5&amp;"|"&amp;RIGHT("000000"&amp;560,6),LdCKeyM,0),"")</f>
        <v/>
      </c>
    </row>
    <row r="577">
      <c r="A577" s="10" t="n">
        <v>561</v>
      </c>
      <c r="B577" s="14">
        <f>IF(AND($L577="",$M577="",$N577=""),"",IF($L577&lt;&gt;"",INDEX(LdADate,$L577),IF($M577&lt;&gt;"",INDEX(LdBDate,$M577),INDEX(LdCDate,$N577))))</f>
        <v/>
      </c>
      <c r="C577" s="14">
        <f>IF($L577&lt;&gt;"","دستمزد (فردی)",IF($M577&lt;&gt;"","سهم از گروه "&amp;IFERROR(VLOOKUP(INDEX(LdBGroup,$M577),WGTbl,2,0),INDEX(LdBGroup,$M577)),IF($N577&lt;&gt;"",IF(N(INDEX(LdCDep,$N577))&gt;0,"بازگشت بانکی","پرداخت بانکی"),"")))</f>
        <v/>
      </c>
      <c r="D577" s="14">
        <f>IF($L577&lt;&gt;"",IF(INDEX(LdAId,$L577)="","—",INDEX(LdAId,$L577)),IF($M577&lt;&gt;"",IF(INDEX(LdBId,$M577)="","—",INDEX(LdBId,$M577)),IF($N577&lt;&gt;"",IF(INDEX(LdCBank,$N577)="","—",INDEX(LdCBank,$N577)),"")))</f>
        <v/>
      </c>
      <c r="E577" s="16">
        <f>IF($L577&lt;&gt;"",IF(INDEX(LdAAmt,$L577)=0,"",INDEX(LdAAmt,$L577)),IF($M577&lt;&gt;"",IF(INDEX(LdBAmt,$M577)=0,"",INDEX(LdBAmt,$M577)),IF($N577&lt;&gt;"",IF(INDEX(LdCDep,$N577)=0,"",INDEX(LdCDep,$N577)),"")))</f>
        <v/>
      </c>
      <c r="F577" s="16">
        <f>IF(AND($L577="",$M577="",$N577=""),"",IF($N577="","",IF(INDEX(LdCWit,$N577)=0,"",INDEX(LdCWit,$N577))))</f>
        <v/>
      </c>
      <c r="G577" s="29">
        <f>IF($B577="","",IF($G576="",0,$G576)+IF($E577="",0,$E577)-IF($F577="",0,$F577))</f>
        <v/>
      </c>
      <c r="H577" s="30">
        <f>IF(AND($L577="",$M577="",$N577=""),"",IF($L577&lt;&gt;"",IF(INDEX(LdANote,$L577)="","—",INDEX(LdANote,$L577)),IF($M577&lt;&gt;"",IF(INDEX(LdBNote,$M577)="","—",INDEX(LdBNote,$M577)),IF($N577&lt;&gt;"",IF(INDEX(LdCNote,$N577)="","—",INDEX(LdCNote,$N577)),""))))</f>
        <v/>
      </c>
      <c r="L577">
        <f>IFERROR(MATCH($C$5&amp;"|"&amp;RIGHT("000000"&amp;561,6),LdAKeyM,0),"")</f>
        <v/>
      </c>
      <c r="M577">
        <f>IFERROR(MATCH($C$5&amp;"|"&amp;RIGHT("000000"&amp;561,6),LdBKeyM,0),"")</f>
        <v/>
      </c>
      <c r="N577">
        <f>IFERROR(MATCH($C$5&amp;"|"&amp;RIGHT("000000"&amp;561,6),LdCKeyM,0),"")</f>
        <v/>
      </c>
    </row>
    <row r="578">
      <c r="A578" s="19" t="n">
        <v>562</v>
      </c>
      <c r="B578" s="20">
        <f>IF(AND($L578="",$M578="",$N578=""),"",IF($L578&lt;&gt;"",INDEX(LdADate,$L578),IF($M578&lt;&gt;"",INDEX(LdBDate,$M578),INDEX(LdCDate,$N578))))</f>
        <v/>
      </c>
      <c r="C578" s="20">
        <f>IF($L578&lt;&gt;"","دستمزد (فردی)",IF($M578&lt;&gt;"","سهم از گروه "&amp;IFERROR(VLOOKUP(INDEX(LdBGroup,$M578),WGTbl,2,0),INDEX(LdBGroup,$M578)),IF($N578&lt;&gt;"",IF(N(INDEX(LdCDep,$N578))&gt;0,"بازگشت بانکی","پرداخت بانکی"),"")))</f>
        <v/>
      </c>
      <c r="D578" s="20">
        <f>IF($L578&lt;&gt;"",IF(INDEX(LdAId,$L578)="","—",INDEX(LdAId,$L578)),IF($M578&lt;&gt;"",IF(INDEX(LdBId,$M578)="","—",INDEX(LdBId,$M578)),IF($N578&lt;&gt;"",IF(INDEX(LdCBank,$N578)="","—",INDEX(LdCBank,$N578)),"")))</f>
        <v/>
      </c>
      <c r="E578" s="21">
        <f>IF($L578&lt;&gt;"",IF(INDEX(LdAAmt,$L578)=0,"",INDEX(LdAAmt,$L578)),IF($M578&lt;&gt;"",IF(INDEX(LdBAmt,$M578)=0,"",INDEX(LdBAmt,$M578)),IF($N578&lt;&gt;"",IF(INDEX(LdCDep,$N578)=0,"",INDEX(LdCDep,$N578)),"")))</f>
        <v/>
      </c>
      <c r="F578" s="21">
        <f>IF(AND($L578="",$M578="",$N578=""),"",IF($N578="","",IF(INDEX(LdCWit,$N578)=0,"",INDEX(LdCWit,$N578))))</f>
        <v/>
      </c>
      <c r="G578" s="31">
        <f>IF($B578="","",IF($G577="",0,$G577)+IF($E578="",0,$E578)-IF($F578="",0,$F578))</f>
        <v/>
      </c>
      <c r="H578" s="32">
        <f>IF(AND($L578="",$M578="",$N578=""),"",IF($L578&lt;&gt;"",IF(INDEX(LdANote,$L578)="","—",INDEX(LdANote,$L578)),IF($M578&lt;&gt;"",IF(INDEX(LdBNote,$M578)="","—",INDEX(LdBNote,$M578)),IF($N578&lt;&gt;"",IF(INDEX(LdCNote,$N578)="","—",INDEX(LdCNote,$N578)),""))))</f>
        <v/>
      </c>
      <c r="L578">
        <f>IFERROR(MATCH($C$5&amp;"|"&amp;RIGHT("000000"&amp;562,6),LdAKeyM,0),"")</f>
        <v/>
      </c>
      <c r="M578">
        <f>IFERROR(MATCH($C$5&amp;"|"&amp;RIGHT("000000"&amp;562,6),LdBKeyM,0),"")</f>
        <v/>
      </c>
      <c r="N578">
        <f>IFERROR(MATCH($C$5&amp;"|"&amp;RIGHT("000000"&amp;562,6),LdCKeyM,0),"")</f>
        <v/>
      </c>
    </row>
    <row r="579">
      <c r="A579" s="10" t="n">
        <v>563</v>
      </c>
      <c r="B579" s="14">
        <f>IF(AND($L579="",$M579="",$N579=""),"",IF($L579&lt;&gt;"",INDEX(LdADate,$L579),IF($M579&lt;&gt;"",INDEX(LdBDate,$M579),INDEX(LdCDate,$N579))))</f>
        <v/>
      </c>
      <c r="C579" s="14">
        <f>IF($L579&lt;&gt;"","دستمزد (فردی)",IF($M579&lt;&gt;"","سهم از گروه "&amp;IFERROR(VLOOKUP(INDEX(LdBGroup,$M579),WGTbl,2,0),INDEX(LdBGroup,$M579)),IF($N579&lt;&gt;"",IF(N(INDEX(LdCDep,$N579))&gt;0,"بازگشت بانکی","پرداخت بانکی"),"")))</f>
        <v/>
      </c>
      <c r="D579" s="14">
        <f>IF($L579&lt;&gt;"",IF(INDEX(LdAId,$L579)="","—",INDEX(LdAId,$L579)),IF($M579&lt;&gt;"",IF(INDEX(LdBId,$M579)="","—",INDEX(LdBId,$M579)),IF($N579&lt;&gt;"",IF(INDEX(LdCBank,$N579)="","—",INDEX(LdCBank,$N579)),"")))</f>
        <v/>
      </c>
      <c r="E579" s="16">
        <f>IF($L579&lt;&gt;"",IF(INDEX(LdAAmt,$L579)=0,"",INDEX(LdAAmt,$L579)),IF($M579&lt;&gt;"",IF(INDEX(LdBAmt,$M579)=0,"",INDEX(LdBAmt,$M579)),IF($N579&lt;&gt;"",IF(INDEX(LdCDep,$N579)=0,"",INDEX(LdCDep,$N579)),"")))</f>
        <v/>
      </c>
      <c r="F579" s="16">
        <f>IF(AND($L579="",$M579="",$N579=""),"",IF($N579="","",IF(INDEX(LdCWit,$N579)=0,"",INDEX(LdCWit,$N579))))</f>
        <v/>
      </c>
      <c r="G579" s="29">
        <f>IF($B579="","",IF($G578="",0,$G578)+IF($E579="",0,$E579)-IF($F579="",0,$F579))</f>
        <v/>
      </c>
      <c r="H579" s="30">
        <f>IF(AND($L579="",$M579="",$N579=""),"",IF($L579&lt;&gt;"",IF(INDEX(LdANote,$L579)="","—",INDEX(LdANote,$L579)),IF($M579&lt;&gt;"",IF(INDEX(LdBNote,$M579)="","—",INDEX(LdBNote,$M579)),IF($N579&lt;&gt;"",IF(INDEX(LdCNote,$N579)="","—",INDEX(LdCNote,$N579)),""))))</f>
        <v/>
      </c>
      <c r="L579">
        <f>IFERROR(MATCH($C$5&amp;"|"&amp;RIGHT("000000"&amp;563,6),LdAKeyM,0),"")</f>
        <v/>
      </c>
      <c r="M579">
        <f>IFERROR(MATCH($C$5&amp;"|"&amp;RIGHT("000000"&amp;563,6),LdBKeyM,0),"")</f>
        <v/>
      </c>
      <c r="N579">
        <f>IFERROR(MATCH($C$5&amp;"|"&amp;RIGHT("000000"&amp;563,6),LdCKeyM,0),"")</f>
        <v/>
      </c>
    </row>
    <row r="580">
      <c r="A580" s="19" t="n">
        <v>564</v>
      </c>
      <c r="B580" s="20">
        <f>IF(AND($L580="",$M580="",$N580=""),"",IF($L580&lt;&gt;"",INDEX(LdADate,$L580),IF($M580&lt;&gt;"",INDEX(LdBDate,$M580),INDEX(LdCDate,$N580))))</f>
        <v/>
      </c>
      <c r="C580" s="20">
        <f>IF($L580&lt;&gt;"","دستمزد (فردی)",IF($M580&lt;&gt;"","سهم از گروه "&amp;IFERROR(VLOOKUP(INDEX(LdBGroup,$M580),WGTbl,2,0),INDEX(LdBGroup,$M580)),IF($N580&lt;&gt;"",IF(N(INDEX(LdCDep,$N580))&gt;0,"بازگشت بانکی","پرداخت بانکی"),"")))</f>
        <v/>
      </c>
      <c r="D580" s="20">
        <f>IF($L580&lt;&gt;"",IF(INDEX(LdAId,$L580)="","—",INDEX(LdAId,$L580)),IF($M580&lt;&gt;"",IF(INDEX(LdBId,$M580)="","—",INDEX(LdBId,$M580)),IF($N580&lt;&gt;"",IF(INDEX(LdCBank,$N580)="","—",INDEX(LdCBank,$N580)),"")))</f>
        <v/>
      </c>
      <c r="E580" s="21">
        <f>IF($L580&lt;&gt;"",IF(INDEX(LdAAmt,$L580)=0,"",INDEX(LdAAmt,$L580)),IF($M580&lt;&gt;"",IF(INDEX(LdBAmt,$M580)=0,"",INDEX(LdBAmt,$M580)),IF($N580&lt;&gt;"",IF(INDEX(LdCDep,$N580)=0,"",INDEX(LdCDep,$N580)),"")))</f>
        <v/>
      </c>
      <c r="F580" s="21">
        <f>IF(AND($L580="",$M580="",$N580=""),"",IF($N580="","",IF(INDEX(LdCWit,$N580)=0,"",INDEX(LdCWit,$N580))))</f>
        <v/>
      </c>
      <c r="G580" s="31">
        <f>IF($B580="","",IF($G579="",0,$G579)+IF($E580="",0,$E580)-IF($F580="",0,$F580))</f>
        <v/>
      </c>
      <c r="H580" s="32">
        <f>IF(AND($L580="",$M580="",$N580=""),"",IF($L580&lt;&gt;"",IF(INDEX(LdANote,$L580)="","—",INDEX(LdANote,$L580)),IF($M580&lt;&gt;"",IF(INDEX(LdBNote,$M580)="","—",INDEX(LdBNote,$M580)),IF($N580&lt;&gt;"",IF(INDEX(LdCNote,$N580)="","—",INDEX(LdCNote,$N580)),""))))</f>
        <v/>
      </c>
      <c r="L580">
        <f>IFERROR(MATCH($C$5&amp;"|"&amp;RIGHT("000000"&amp;564,6),LdAKeyM,0),"")</f>
        <v/>
      </c>
      <c r="M580">
        <f>IFERROR(MATCH($C$5&amp;"|"&amp;RIGHT("000000"&amp;564,6),LdBKeyM,0),"")</f>
        <v/>
      </c>
      <c r="N580">
        <f>IFERROR(MATCH($C$5&amp;"|"&amp;RIGHT("000000"&amp;564,6),LdCKeyM,0),"")</f>
        <v/>
      </c>
    </row>
    <row r="581">
      <c r="A581" s="10" t="n">
        <v>565</v>
      </c>
      <c r="B581" s="14">
        <f>IF(AND($L581="",$M581="",$N581=""),"",IF($L581&lt;&gt;"",INDEX(LdADate,$L581),IF($M581&lt;&gt;"",INDEX(LdBDate,$M581),INDEX(LdCDate,$N581))))</f>
        <v/>
      </c>
      <c r="C581" s="14">
        <f>IF($L581&lt;&gt;"","دستمزد (فردی)",IF($M581&lt;&gt;"","سهم از گروه "&amp;IFERROR(VLOOKUP(INDEX(LdBGroup,$M581),WGTbl,2,0),INDEX(LdBGroup,$M581)),IF($N581&lt;&gt;"",IF(N(INDEX(LdCDep,$N581))&gt;0,"بازگشت بانکی","پرداخت بانکی"),"")))</f>
        <v/>
      </c>
      <c r="D581" s="14">
        <f>IF($L581&lt;&gt;"",IF(INDEX(LdAId,$L581)="","—",INDEX(LdAId,$L581)),IF($M581&lt;&gt;"",IF(INDEX(LdBId,$M581)="","—",INDEX(LdBId,$M581)),IF($N581&lt;&gt;"",IF(INDEX(LdCBank,$N581)="","—",INDEX(LdCBank,$N581)),"")))</f>
        <v/>
      </c>
      <c r="E581" s="16">
        <f>IF($L581&lt;&gt;"",IF(INDEX(LdAAmt,$L581)=0,"",INDEX(LdAAmt,$L581)),IF($M581&lt;&gt;"",IF(INDEX(LdBAmt,$M581)=0,"",INDEX(LdBAmt,$M581)),IF($N581&lt;&gt;"",IF(INDEX(LdCDep,$N581)=0,"",INDEX(LdCDep,$N581)),"")))</f>
        <v/>
      </c>
      <c r="F581" s="16">
        <f>IF(AND($L581="",$M581="",$N581=""),"",IF($N581="","",IF(INDEX(LdCWit,$N581)=0,"",INDEX(LdCWit,$N581))))</f>
        <v/>
      </c>
      <c r="G581" s="29">
        <f>IF($B581="","",IF($G580="",0,$G580)+IF($E581="",0,$E581)-IF($F581="",0,$F581))</f>
        <v/>
      </c>
      <c r="H581" s="30">
        <f>IF(AND($L581="",$M581="",$N581=""),"",IF($L581&lt;&gt;"",IF(INDEX(LdANote,$L581)="","—",INDEX(LdANote,$L581)),IF($M581&lt;&gt;"",IF(INDEX(LdBNote,$M581)="","—",INDEX(LdBNote,$M581)),IF($N581&lt;&gt;"",IF(INDEX(LdCNote,$N581)="","—",INDEX(LdCNote,$N581)),""))))</f>
        <v/>
      </c>
      <c r="L581">
        <f>IFERROR(MATCH($C$5&amp;"|"&amp;RIGHT("000000"&amp;565,6),LdAKeyM,0),"")</f>
        <v/>
      </c>
      <c r="M581">
        <f>IFERROR(MATCH($C$5&amp;"|"&amp;RIGHT("000000"&amp;565,6),LdBKeyM,0),"")</f>
        <v/>
      </c>
      <c r="N581">
        <f>IFERROR(MATCH($C$5&amp;"|"&amp;RIGHT("000000"&amp;565,6),LdCKeyM,0),"")</f>
        <v/>
      </c>
    </row>
    <row r="582">
      <c r="A582" s="19" t="n">
        <v>566</v>
      </c>
      <c r="B582" s="20">
        <f>IF(AND($L582="",$M582="",$N582=""),"",IF($L582&lt;&gt;"",INDEX(LdADate,$L582),IF($M582&lt;&gt;"",INDEX(LdBDate,$M582),INDEX(LdCDate,$N582))))</f>
        <v/>
      </c>
      <c r="C582" s="20">
        <f>IF($L582&lt;&gt;"","دستمزد (فردی)",IF($M582&lt;&gt;"","سهم از گروه "&amp;IFERROR(VLOOKUP(INDEX(LdBGroup,$M582),WGTbl,2,0),INDEX(LdBGroup,$M582)),IF($N582&lt;&gt;"",IF(N(INDEX(LdCDep,$N582))&gt;0,"بازگشت بانکی","پرداخت بانکی"),"")))</f>
        <v/>
      </c>
      <c r="D582" s="20">
        <f>IF($L582&lt;&gt;"",IF(INDEX(LdAId,$L582)="","—",INDEX(LdAId,$L582)),IF($M582&lt;&gt;"",IF(INDEX(LdBId,$M582)="","—",INDEX(LdBId,$M582)),IF($N582&lt;&gt;"",IF(INDEX(LdCBank,$N582)="","—",INDEX(LdCBank,$N582)),"")))</f>
        <v/>
      </c>
      <c r="E582" s="21">
        <f>IF($L582&lt;&gt;"",IF(INDEX(LdAAmt,$L582)=0,"",INDEX(LdAAmt,$L582)),IF($M582&lt;&gt;"",IF(INDEX(LdBAmt,$M582)=0,"",INDEX(LdBAmt,$M582)),IF($N582&lt;&gt;"",IF(INDEX(LdCDep,$N582)=0,"",INDEX(LdCDep,$N582)),"")))</f>
        <v/>
      </c>
      <c r="F582" s="21">
        <f>IF(AND($L582="",$M582="",$N582=""),"",IF($N582="","",IF(INDEX(LdCWit,$N582)=0,"",INDEX(LdCWit,$N582))))</f>
        <v/>
      </c>
      <c r="G582" s="31">
        <f>IF($B582="","",IF($G581="",0,$G581)+IF($E582="",0,$E582)-IF($F582="",0,$F582))</f>
        <v/>
      </c>
      <c r="H582" s="32">
        <f>IF(AND($L582="",$M582="",$N582=""),"",IF($L582&lt;&gt;"",IF(INDEX(LdANote,$L582)="","—",INDEX(LdANote,$L582)),IF($M582&lt;&gt;"",IF(INDEX(LdBNote,$M582)="","—",INDEX(LdBNote,$M582)),IF($N582&lt;&gt;"",IF(INDEX(LdCNote,$N582)="","—",INDEX(LdCNote,$N582)),""))))</f>
        <v/>
      </c>
      <c r="L582">
        <f>IFERROR(MATCH($C$5&amp;"|"&amp;RIGHT("000000"&amp;566,6),LdAKeyM,0),"")</f>
        <v/>
      </c>
      <c r="M582">
        <f>IFERROR(MATCH($C$5&amp;"|"&amp;RIGHT("000000"&amp;566,6),LdBKeyM,0),"")</f>
        <v/>
      </c>
      <c r="N582">
        <f>IFERROR(MATCH($C$5&amp;"|"&amp;RIGHT("000000"&amp;566,6),LdCKeyM,0),"")</f>
        <v/>
      </c>
    </row>
    <row r="583">
      <c r="A583" s="10" t="n">
        <v>567</v>
      </c>
      <c r="B583" s="14">
        <f>IF(AND($L583="",$M583="",$N583=""),"",IF($L583&lt;&gt;"",INDEX(LdADate,$L583),IF($M583&lt;&gt;"",INDEX(LdBDate,$M583),INDEX(LdCDate,$N583))))</f>
        <v/>
      </c>
      <c r="C583" s="14">
        <f>IF($L583&lt;&gt;"","دستمزد (فردی)",IF($M583&lt;&gt;"","سهم از گروه "&amp;IFERROR(VLOOKUP(INDEX(LdBGroup,$M583),WGTbl,2,0),INDEX(LdBGroup,$M583)),IF($N583&lt;&gt;"",IF(N(INDEX(LdCDep,$N583))&gt;0,"بازگشت بانکی","پرداخت بانکی"),"")))</f>
        <v/>
      </c>
      <c r="D583" s="14">
        <f>IF($L583&lt;&gt;"",IF(INDEX(LdAId,$L583)="","—",INDEX(LdAId,$L583)),IF($M583&lt;&gt;"",IF(INDEX(LdBId,$M583)="","—",INDEX(LdBId,$M583)),IF($N583&lt;&gt;"",IF(INDEX(LdCBank,$N583)="","—",INDEX(LdCBank,$N583)),"")))</f>
        <v/>
      </c>
      <c r="E583" s="16">
        <f>IF($L583&lt;&gt;"",IF(INDEX(LdAAmt,$L583)=0,"",INDEX(LdAAmt,$L583)),IF($M583&lt;&gt;"",IF(INDEX(LdBAmt,$M583)=0,"",INDEX(LdBAmt,$M583)),IF($N583&lt;&gt;"",IF(INDEX(LdCDep,$N583)=0,"",INDEX(LdCDep,$N583)),"")))</f>
        <v/>
      </c>
      <c r="F583" s="16">
        <f>IF(AND($L583="",$M583="",$N583=""),"",IF($N583="","",IF(INDEX(LdCWit,$N583)=0,"",INDEX(LdCWit,$N583))))</f>
        <v/>
      </c>
      <c r="G583" s="29">
        <f>IF($B583="","",IF($G582="",0,$G582)+IF($E583="",0,$E583)-IF($F583="",0,$F583))</f>
        <v/>
      </c>
      <c r="H583" s="30">
        <f>IF(AND($L583="",$M583="",$N583=""),"",IF($L583&lt;&gt;"",IF(INDEX(LdANote,$L583)="","—",INDEX(LdANote,$L583)),IF($M583&lt;&gt;"",IF(INDEX(LdBNote,$M583)="","—",INDEX(LdBNote,$M583)),IF($N583&lt;&gt;"",IF(INDEX(LdCNote,$N583)="","—",INDEX(LdCNote,$N583)),""))))</f>
        <v/>
      </c>
      <c r="L583">
        <f>IFERROR(MATCH($C$5&amp;"|"&amp;RIGHT("000000"&amp;567,6),LdAKeyM,0),"")</f>
        <v/>
      </c>
      <c r="M583">
        <f>IFERROR(MATCH($C$5&amp;"|"&amp;RIGHT("000000"&amp;567,6),LdBKeyM,0),"")</f>
        <v/>
      </c>
      <c r="N583">
        <f>IFERROR(MATCH($C$5&amp;"|"&amp;RIGHT("000000"&amp;567,6),LdCKeyM,0),"")</f>
        <v/>
      </c>
    </row>
    <row r="584">
      <c r="A584" s="19" t="n">
        <v>568</v>
      </c>
      <c r="B584" s="20">
        <f>IF(AND($L584="",$M584="",$N584=""),"",IF($L584&lt;&gt;"",INDEX(LdADate,$L584),IF($M584&lt;&gt;"",INDEX(LdBDate,$M584),INDEX(LdCDate,$N584))))</f>
        <v/>
      </c>
      <c r="C584" s="20">
        <f>IF($L584&lt;&gt;"","دستمزد (فردی)",IF($M584&lt;&gt;"","سهم از گروه "&amp;IFERROR(VLOOKUP(INDEX(LdBGroup,$M584),WGTbl,2,0),INDEX(LdBGroup,$M584)),IF($N584&lt;&gt;"",IF(N(INDEX(LdCDep,$N584))&gt;0,"بازگشت بانکی","پرداخت بانکی"),"")))</f>
        <v/>
      </c>
      <c r="D584" s="20">
        <f>IF($L584&lt;&gt;"",IF(INDEX(LdAId,$L584)="","—",INDEX(LdAId,$L584)),IF($M584&lt;&gt;"",IF(INDEX(LdBId,$M584)="","—",INDEX(LdBId,$M584)),IF($N584&lt;&gt;"",IF(INDEX(LdCBank,$N584)="","—",INDEX(LdCBank,$N584)),"")))</f>
        <v/>
      </c>
      <c r="E584" s="21">
        <f>IF($L584&lt;&gt;"",IF(INDEX(LdAAmt,$L584)=0,"",INDEX(LdAAmt,$L584)),IF($M584&lt;&gt;"",IF(INDEX(LdBAmt,$M584)=0,"",INDEX(LdBAmt,$M584)),IF($N584&lt;&gt;"",IF(INDEX(LdCDep,$N584)=0,"",INDEX(LdCDep,$N584)),"")))</f>
        <v/>
      </c>
      <c r="F584" s="21">
        <f>IF(AND($L584="",$M584="",$N584=""),"",IF($N584="","",IF(INDEX(LdCWit,$N584)=0,"",INDEX(LdCWit,$N584))))</f>
        <v/>
      </c>
      <c r="G584" s="31">
        <f>IF($B584="","",IF($G583="",0,$G583)+IF($E584="",0,$E584)-IF($F584="",0,$F584))</f>
        <v/>
      </c>
      <c r="H584" s="32">
        <f>IF(AND($L584="",$M584="",$N584=""),"",IF($L584&lt;&gt;"",IF(INDEX(LdANote,$L584)="","—",INDEX(LdANote,$L584)),IF($M584&lt;&gt;"",IF(INDEX(LdBNote,$M584)="","—",INDEX(LdBNote,$M584)),IF($N584&lt;&gt;"",IF(INDEX(LdCNote,$N584)="","—",INDEX(LdCNote,$N584)),""))))</f>
        <v/>
      </c>
      <c r="L584">
        <f>IFERROR(MATCH($C$5&amp;"|"&amp;RIGHT("000000"&amp;568,6),LdAKeyM,0),"")</f>
        <v/>
      </c>
      <c r="M584">
        <f>IFERROR(MATCH($C$5&amp;"|"&amp;RIGHT("000000"&amp;568,6),LdBKeyM,0),"")</f>
        <v/>
      </c>
      <c r="N584">
        <f>IFERROR(MATCH($C$5&amp;"|"&amp;RIGHT("000000"&amp;568,6),LdCKeyM,0),"")</f>
        <v/>
      </c>
    </row>
    <row r="585">
      <c r="A585" s="10" t="n">
        <v>569</v>
      </c>
      <c r="B585" s="14">
        <f>IF(AND($L585="",$M585="",$N585=""),"",IF($L585&lt;&gt;"",INDEX(LdADate,$L585),IF($M585&lt;&gt;"",INDEX(LdBDate,$M585),INDEX(LdCDate,$N585))))</f>
        <v/>
      </c>
      <c r="C585" s="14">
        <f>IF($L585&lt;&gt;"","دستمزد (فردی)",IF($M585&lt;&gt;"","سهم از گروه "&amp;IFERROR(VLOOKUP(INDEX(LdBGroup,$M585),WGTbl,2,0),INDEX(LdBGroup,$M585)),IF($N585&lt;&gt;"",IF(N(INDEX(LdCDep,$N585))&gt;0,"بازگشت بانکی","پرداخت بانکی"),"")))</f>
        <v/>
      </c>
      <c r="D585" s="14">
        <f>IF($L585&lt;&gt;"",IF(INDEX(LdAId,$L585)="","—",INDEX(LdAId,$L585)),IF($M585&lt;&gt;"",IF(INDEX(LdBId,$M585)="","—",INDEX(LdBId,$M585)),IF($N585&lt;&gt;"",IF(INDEX(LdCBank,$N585)="","—",INDEX(LdCBank,$N585)),"")))</f>
        <v/>
      </c>
      <c r="E585" s="16">
        <f>IF($L585&lt;&gt;"",IF(INDEX(LdAAmt,$L585)=0,"",INDEX(LdAAmt,$L585)),IF($M585&lt;&gt;"",IF(INDEX(LdBAmt,$M585)=0,"",INDEX(LdBAmt,$M585)),IF($N585&lt;&gt;"",IF(INDEX(LdCDep,$N585)=0,"",INDEX(LdCDep,$N585)),"")))</f>
        <v/>
      </c>
      <c r="F585" s="16">
        <f>IF(AND($L585="",$M585="",$N585=""),"",IF($N585="","",IF(INDEX(LdCWit,$N585)=0,"",INDEX(LdCWit,$N585))))</f>
        <v/>
      </c>
      <c r="G585" s="29">
        <f>IF($B585="","",IF($G584="",0,$G584)+IF($E585="",0,$E585)-IF($F585="",0,$F585))</f>
        <v/>
      </c>
      <c r="H585" s="30">
        <f>IF(AND($L585="",$M585="",$N585=""),"",IF($L585&lt;&gt;"",IF(INDEX(LdANote,$L585)="","—",INDEX(LdANote,$L585)),IF($M585&lt;&gt;"",IF(INDEX(LdBNote,$M585)="","—",INDEX(LdBNote,$M585)),IF($N585&lt;&gt;"",IF(INDEX(LdCNote,$N585)="","—",INDEX(LdCNote,$N585)),""))))</f>
        <v/>
      </c>
      <c r="L585">
        <f>IFERROR(MATCH($C$5&amp;"|"&amp;RIGHT("000000"&amp;569,6),LdAKeyM,0),"")</f>
        <v/>
      </c>
      <c r="M585">
        <f>IFERROR(MATCH($C$5&amp;"|"&amp;RIGHT("000000"&amp;569,6),LdBKeyM,0),"")</f>
        <v/>
      </c>
      <c r="N585">
        <f>IFERROR(MATCH($C$5&amp;"|"&amp;RIGHT("000000"&amp;569,6),LdCKeyM,0),"")</f>
        <v/>
      </c>
    </row>
    <row r="586">
      <c r="A586" s="19" t="n">
        <v>570</v>
      </c>
      <c r="B586" s="20">
        <f>IF(AND($L586="",$M586="",$N586=""),"",IF($L586&lt;&gt;"",INDEX(LdADate,$L586),IF($M586&lt;&gt;"",INDEX(LdBDate,$M586),INDEX(LdCDate,$N586))))</f>
        <v/>
      </c>
      <c r="C586" s="20">
        <f>IF($L586&lt;&gt;"","دستمزد (فردی)",IF($M586&lt;&gt;"","سهم از گروه "&amp;IFERROR(VLOOKUP(INDEX(LdBGroup,$M586),WGTbl,2,0),INDEX(LdBGroup,$M586)),IF($N586&lt;&gt;"",IF(N(INDEX(LdCDep,$N586))&gt;0,"بازگشت بانکی","پرداخت بانکی"),"")))</f>
        <v/>
      </c>
      <c r="D586" s="20">
        <f>IF($L586&lt;&gt;"",IF(INDEX(LdAId,$L586)="","—",INDEX(LdAId,$L586)),IF($M586&lt;&gt;"",IF(INDEX(LdBId,$M586)="","—",INDEX(LdBId,$M586)),IF($N586&lt;&gt;"",IF(INDEX(LdCBank,$N586)="","—",INDEX(LdCBank,$N586)),"")))</f>
        <v/>
      </c>
      <c r="E586" s="21">
        <f>IF($L586&lt;&gt;"",IF(INDEX(LdAAmt,$L586)=0,"",INDEX(LdAAmt,$L586)),IF($M586&lt;&gt;"",IF(INDEX(LdBAmt,$M586)=0,"",INDEX(LdBAmt,$M586)),IF($N586&lt;&gt;"",IF(INDEX(LdCDep,$N586)=0,"",INDEX(LdCDep,$N586)),"")))</f>
        <v/>
      </c>
      <c r="F586" s="21">
        <f>IF(AND($L586="",$M586="",$N586=""),"",IF($N586="","",IF(INDEX(LdCWit,$N586)=0,"",INDEX(LdCWit,$N586))))</f>
        <v/>
      </c>
      <c r="G586" s="31">
        <f>IF($B586="","",IF($G585="",0,$G585)+IF($E586="",0,$E586)-IF($F586="",0,$F586))</f>
        <v/>
      </c>
      <c r="H586" s="32">
        <f>IF(AND($L586="",$M586="",$N586=""),"",IF($L586&lt;&gt;"",IF(INDEX(LdANote,$L586)="","—",INDEX(LdANote,$L586)),IF($M586&lt;&gt;"",IF(INDEX(LdBNote,$M586)="","—",INDEX(LdBNote,$M586)),IF($N586&lt;&gt;"",IF(INDEX(LdCNote,$N586)="","—",INDEX(LdCNote,$N586)),""))))</f>
        <v/>
      </c>
      <c r="L586">
        <f>IFERROR(MATCH($C$5&amp;"|"&amp;RIGHT("000000"&amp;570,6),LdAKeyM,0),"")</f>
        <v/>
      </c>
      <c r="M586">
        <f>IFERROR(MATCH($C$5&amp;"|"&amp;RIGHT("000000"&amp;570,6),LdBKeyM,0),"")</f>
        <v/>
      </c>
      <c r="N586">
        <f>IFERROR(MATCH($C$5&amp;"|"&amp;RIGHT("000000"&amp;570,6),LdCKeyM,0),"")</f>
        <v/>
      </c>
    </row>
    <row r="587">
      <c r="A587" s="10" t="n">
        <v>571</v>
      </c>
      <c r="B587" s="14">
        <f>IF(AND($L587="",$M587="",$N587=""),"",IF($L587&lt;&gt;"",INDEX(LdADate,$L587),IF($M587&lt;&gt;"",INDEX(LdBDate,$M587),INDEX(LdCDate,$N587))))</f>
        <v/>
      </c>
      <c r="C587" s="14">
        <f>IF($L587&lt;&gt;"","دستمزد (فردی)",IF($M587&lt;&gt;"","سهم از گروه "&amp;IFERROR(VLOOKUP(INDEX(LdBGroup,$M587),WGTbl,2,0),INDEX(LdBGroup,$M587)),IF($N587&lt;&gt;"",IF(N(INDEX(LdCDep,$N587))&gt;0,"بازگشت بانکی","پرداخت بانکی"),"")))</f>
        <v/>
      </c>
      <c r="D587" s="14">
        <f>IF($L587&lt;&gt;"",IF(INDEX(LdAId,$L587)="","—",INDEX(LdAId,$L587)),IF($M587&lt;&gt;"",IF(INDEX(LdBId,$M587)="","—",INDEX(LdBId,$M587)),IF($N587&lt;&gt;"",IF(INDEX(LdCBank,$N587)="","—",INDEX(LdCBank,$N587)),"")))</f>
        <v/>
      </c>
      <c r="E587" s="16">
        <f>IF($L587&lt;&gt;"",IF(INDEX(LdAAmt,$L587)=0,"",INDEX(LdAAmt,$L587)),IF($M587&lt;&gt;"",IF(INDEX(LdBAmt,$M587)=0,"",INDEX(LdBAmt,$M587)),IF($N587&lt;&gt;"",IF(INDEX(LdCDep,$N587)=0,"",INDEX(LdCDep,$N587)),"")))</f>
        <v/>
      </c>
      <c r="F587" s="16">
        <f>IF(AND($L587="",$M587="",$N587=""),"",IF($N587="","",IF(INDEX(LdCWit,$N587)=0,"",INDEX(LdCWit,$N587))))</f>
        <v/>
      </c>
      <c r="G587" s="29">
        <f>IF($B587="","",IF($G586="",0,$G586)+IF($E587="",0,$E587)-IF($F587="",0,$F587))</f>
        <v/>
      </c>
      <c r="H587" s="30">
        <f>IF(AND($L587="",$M587="",$N587=""),"",IF($L587&lt;&gt;"",IF(INDEX(LdANote,$L587)="","—",INDEX(LdANote,$L587)),IF($M587&lt;&gt;"",IF(INDEX(LdBNote,$M587)="","—",INDEX(LdBNote,$M587)),IF($N587&lt;&gt;"",IF(INDEX(LdCNote,$N587)="","—",INDEX(LdCNote,$N587)),""))))</f>
        <v/>
      </c>
      <c r="L587">
        <f>IFERROR(MATCH($C$5&amp;"|"&amp;RIGHT("000000"&amp;571,6),LdAKeyM,0),"")</f>
        <v/>
      </c>
      <c r="M587">
        <f>IFERROR(MATCH($C$5&amp;"|"&amp;RIGHT("000000"&amp;571,6),LdBKeyM,0),"")</f>
        <v/>
      </c>
      <c r="N587">
        <f>IFERROR(MATCH($C$5&amp;"|"&amp;RIGHT("000000"&amp;571,6),LdCKeyM,0),"")</f>
        <v/>
      </c>
    </row>
    <row r="588">
      <c r="A588" s="19" t="n">
        <v>572</v>
      </c>
      <c r="B588" s="20">
        <f>IF(AND($L588="",$M588="",$N588=""),"",IF($L588&lt;&gt;"",INDEX(LdADate,$L588),IF($M588&lt;&gt;"",INDEX(LdBDate,$M588),INDEX(LdCDate,$N588))))</f>
        <v/>
      </c>
      <c r="C588" s="20">
        <f>IF($L588&lt;&gt;"","دستمزد (فردی)",IF($M588&lt;&gt;"","سهم از گروه "&amp;IFERROR(VLOOKUP(INDEX(LdBGroup,$M588),WGTbl,2,0),INDEX(LdBGroup,$M588)),IF($N588&lt;&gt;"",IF(N(INDEX(LdCDep,$N588))&gt;0,"بازگشت بانکی","پرداخت بانکی"),"")))</f>
        <v/>
      </c>
      <c r="D588" s="20">
        <f>IF($L588&lt;&gt;"",IF(INDEX(LdAId,$L588)="","—",INDEX(LdAId,$L588)),IF($M588&lt;&gt;"",IF(INDEX(LdBId,$M588)="","—",INDEX(LdBId,$M588)),IF($N588&lt;&gt;"",IF(INDEX(LdCBank,$N588)="","—",INDEX(LdCBank,$N588)),"")))</f>
        <v/>
      </c>
      <c r="E588" s="21">
        <f>IF($L588&lt;&gt;"",IF(INDEX(LdAAmt,$L588)=0,"",INDEX(LdAAmt,$L588)),IF($M588&lt;&gt;"",IF(INDEX(LdBAmt,$M588)=0,"",INDEX(LdBAmt,$M588)),IF($N588&lt;&gt;"",IF(INDEX(LdCDep,$N588)=0,"",INDEX(LdCDep,$N588)),"")))</f>
        <v/>
      </c>
      <c r="F588" s="21">
        <f>IF(AND($L588="",$M588="",$N588=""),"",IF($N588="","",IF(INDEX(LdCWit,$N588)=0,"",INDEX(LdCWit,$N588))))</f>
        <v/>
      </c>
      <c r="G588" s="31">
        <f>IF($B588="","",IF($G587="",0,$G587)+IF($E588="",0,$E588)-IF($F588="",0,$F588))</f>
        <v/>
      </c>
      <c r="H588" s="32">
        <f>IF(AND($L588="",$M588="",$N588=""),"",IF($L588&lt;&gt;"",IF(INDEX(LdANote,$L588)="","—",INDEX(LdANote,$L588)),IF($M588&lt;&gt;"",IF(INDEX(LdBNote,$M588)="","—",INDEX(LdBNote,$M588)),IF($N588&lt;&gt;"",IF(INDEX(LdCNote,$N588)="","—",INDEX(LdCNote,$N588)),""))))</f>
        <v/>
      </c>
      <c r="L588">
        <f>IFERROR(MATCH($C$5&amp;"|"&amp;RIGHT("000000"&amp;572,6),LdAKeyM,0),"")</f>
        <v/>
      </c>
      <c r="M588">
        <f>IFERROR(MATCH($C$5&amp;"|"&amp;RIGHT("000000"&amp;572,6),LdBKeyM,0),"")</f>
        <v/>
      </c>
      <c r="N588">
        <f>IFERROR(MATCH($C$5&amp;"|"&amp;RIGHT("000000"&amp;572,6),LdCKeyM,0),"")</f>
        <v/>
      </c>
    </row>
    <row r="589">
      <c r="A589" s="10" t="n">
        <v>573</v>
      </c>
      <c r="B589" s="14">
        <f>IF(AND($L589="",$M589="",$N589=""),"",IF($L589&lt;&gt;"",INDEX(LdADate,$L589),IF($M589&lt;&gt;"",INDEX(LdBDate,$M589),INDEX(LdCDate,$N589))))</f>
        <v/>
      </c>
      <c r="C589" s="14">
        <f>IF($L589&lt;&gt;"","دستمزد (فردی)",IF($M589&lt;&gt;"","سهم از گروه "&amp;IFERROR(VLOOKUP(INDEX(LdBGroup,$M589),WGTbl,2,0),INDEX(LdBGroup,$M589)),IF($N589&lt;&gt;"",IF(N(INDEX(LdCDep,$N589))&gt;0,"بازگشت بانکی","پرداخت بانکی"),"")))</f>
        <v/>
      </c>
      <c r="D589" s="14">
        <f>IF($L589&lt;&gt;"",IF(INDEX(LdAId,$L589)="","—",INDEX(LdAId,$L589)),IF($M589&lt;&gt;"",IF(INDEX(LdBId,$M589)="","—",INDEX(LdBId,$M589)),IF($N589&lt;&gt;"",IF(INDEX(LdCBank,$N589)="","—",INDEX(LdCBank,$N589)),"")))</f>
        <v/>
      </c>
      <c r="E589" s="16">
        <f>IF($L589&lt;&gt;"",IF(INDEX(LdAAmt,$L589)=0,"",INDEX(LdAAmt,$L589)),IF($M589&lt;&gt;"",IF(INDEX(LdBAmt,$M589)=0,"",INDEX(LdBAmt,$M589)),IF($N589&lt;&gt;"",IF(INDEX(LdCDep,$N589)=0,"",INDEX(LdCDep,$N589)),"")))</f>
        <v/>
      </c>
      <c r="F589" s="16">
        <f>IF(AND($L589="",$M589="",$N589=""),"",IF($N589="","",IF(INDEX(LdCWit,$N589)=0,"",INDEX(LdCWit,$N589))))</f>
        <v/>
      </c>
      <c r="G589" s="29">
        <f>IF($B589="","",IF($G588="",0,$G588)+IF($E589="",0,$E589)-IF($F589="",0,$F589))</f>
        <v/>
      </c>
      <c r="H589" s="30">
        <f>IF(AND($L589="",$M589="",$N589=""),"",IF($L589&lt;&gt;"",IF(INDEX(LdANote,$L589)="","—",INDEX(LdANote,$L589)),IF($M589&lt;&gt;"",IF(INDEX(LdBNote,$M589)="","—",INDEX(LdBNote,$M589)),IF($N589&lt;&gt;"",IF(INDEX(LdCNote,$N589)="","—",INDEX(LdCNote,$N589)),""))))</f>
        <v/>
      </c>
      <c r="L589">
        <f>IFERROR(MATCH($C$5&amp;"|"&amp;RIGHT("000000"&amp;573,6),LdAKeyM,0),"")</f>
        <v/>
      </c>
      <c r="M589">
        <f>IFERROR(MATCH($C$5&amp;"|"&amp;RIGHT("000000"&amp;573,6),LdBKeyM,0),"")</f>
        <v/>
      </c>
      <c r="N589">
        <f>IFERROR(MATCH($C$5&amp;"|"&amp;RIGHT("000000"&amp;573,6),LdCKeyM,0),"")</f>
        <v/>
      </c>
    </row>
    <row r="590">
      <c r="A590" s="19" t="n">
        <v>574</v>
      </c>
      <c r="B590" s="20">
        <f>IF(AND($L590="",$M590="",$N590=""),"",IF($L590&lt;&gt;"",INDEX(LdADate,$L590),IF($M590&lt;&gt;"",INDEX(LdBDate,$M590),INDEX(LdCDate,$N590))))</f>
        <v/>
      </c>
      <c r="C590" s="20">
        <f>IF($L590&lt;&gt;"","دستمزد (فردی)",IF($M590&lt;&gt;"","سهم از گروه "&amp;IFERROR(VLOOKUP(INDEX(LdBGroup,$M590),WGTbl,2,0),INDEX(LdBGroup,$M590)),IF($N590&lt;&gt;"",IF(N(INDEX(LdCDep,$N590))&gt;0,"بازگشت بانکی","پرداخت بانکی"),"")))</f>
        <v/>
      </c>
      <c r="D590" s="20">
        <f>IF($L590&lt;&gt;"",IF(INDEX(LdAId,$L590)="","—",INDEX(LdAId,$L590)),IF($M590&lt;&gt;"",IF(INDEX(LdBId,$M590)="","—",INDEX(LdBId,$M590)),IF($N590&lt;&gt;"",IF(INDEX(LdCBank,$N590)="","—",INDEX(LdCBank,$N590)),"")))</f>
        <v/>
      </c>
      <c r="E590" s="21">
        <f>IF($L590&lt;&gt;"",IF(INDEX(LdAAmt,$L590)=0,"",INDEX(LdAAmt,$L590)),IF($M590&lt;&gt;"",IF(INDEX(LdBAmt,$M590)=0,"",INDEX(LdBAmt,$M590)),IF($N590&lt;&gt;"",IF(INDEX(LdCDep,$N590)=0,"",INDEX(LdCDep,$N590)),"")))</f>
        <v/>
      </c>
      <c r="F590" s="21">
        <f>IF(AND($L590="",$M590="",$N590=""),"",IF($N590="","",IF(INDEX(LdCWit,$N590)=0,"",INDEX(LdCWit,$N590))))</f>
        <v/>
      </c>
      <c r="G590" s="31">
        <f>IF($B590="","",IF($G589="",0,$G589)+IF($E590="",0,$E590)-IF($F590="",0,$F590))</f>
        <v/>
      </c>
      <c r="H590" s="32">
        <f>IF(AND($L590="",$M590="",$N590=""),"",IF($L590&lt;&gt;"",IF(INDEX(LdANote,$L590)="","—",INDEX(LdANote,$L590)),IF($M590&lt;&gt;"",IF(INDEX(LdBNote,$M590)="","—",INDEX(LdBNote,$M590)),IF($N590&lt;&gt;"",IF(INDEX(LdCNote,$N590)="","—",INDEX(LdCNote,$N590)),""))))</f>
        <v/>
      </c>
      <c r="L590">
        <f>IFERROR(MATCH($C$5&amp;"|"&amp;RIGHT("000000"&amp;574,6),LdAKeyM,0),"")</f>
        <v/>
      </c>
      <c r="M590">
        <f>IFERROR(MATCH($C$5&amp;"|"&amp;RIGHT("000000"&amp;574,6),LdBKeyM,0),"")</f>
        <v/>
      </c>
      <c r="N590">
        <f>IFERROR(MATCH($C$5&amp;"|"&amp;RIGHT("000000"&amp;574,6),LdCKeyM,0),"")</f>
        <v/>
      </c>
    </row>
    <row r="591">
      <c r="A591" s="10" t="n">
        <v>575</v>
      </c>
      <c r="B591" s="14">
        <f>IF(AND($L591="",$M591="",$N591=""),"",IF($L591&lt;&gt;"",INDEX(LdADate,$L591),IF($M591&lt;&gt;"",INDEX(LdBDate,$M591),INDEX(LdCDate,$N591))))</f>
        <v/>
      </c>
      <c r="C591" s="14">
        <f>IF($L591&lt;&gt;"","دستمزد (فردی)",IF($M591&lt;&gt;"","سهم از گروه "&amp;IFERROR(VLOOKUP(INDEX(LdBGroup,$M591),WGTbl,2,0),INDEX(LdBGroup,$M591)),IF($N591&lt;&gt;"",IF(N(INDEX(LdCDep,$N591))&gt;0,"بازگشت بانکی","پرداخت بانکی"),"")))</f>
        <v/>
      </c>
      <c r="D591" s="14">
        <f>IF($L591&lt;&gt;"",IF(INDEX(LdAId,$L591)="","—",INDEX(LdAId,$L591)),IF($M591&lt;&gt;"",IF(INDEX(LdBId,$M591)="","—",INDEX(LdBId,$M591)),IF($N591&lt;&gt;"",IF(INDEX(LdCBank,$N591)="","—",INDEX(LdCBank,$N591)),"")))</f>
        <v/>
      </c>
      <c r="E591" s="16">
        <f>IF($L591&lt;&gt;"",IF(INDEX(LdAAmt,$L591)=0,"",INDEX(LdAAmt,$L591)),IF($M591&lt;&gt;"",IF(INDEX(LdBAmt,$M591)=0,"",INDEX(LdBAmt,$M591)),IF($N591&lt;&gt;"",IF(INDEX(LdCDep,$N591)=0,"",INDEX(LdCDep,$N591)),"")))</f>
        <v/>
      </c>
      <c r="F591" s="16">
        <f>IF(AND($L591="",$M591="",$N591=""),"",IF($N591="","",IF(INDEX(LdCWit,$N591)=0,"",INDEX(LdCWit,$N591))))</f>
        <v/>
      </c>
      <c r="G591" s="29">
        <f>IF($B591="","",IF($G590="",0,$G590)+IF($E591="",0,$E591)-IF($F591="",0,$F591))</f>
        <v/>
      </c>
      <c r="H591" s="30">
        <f>IF(AND($L591="",$M591="",$N591=""),"",IF($L591&lt;&gt;"",IF(INDEX(LdANote,$L591)="","—",INDEX(LdANote,$L591)),IF($M591&lt;&gt;"",IF(INDEX(LdBNote,$M591)="","—",INDEX(LdBNote,$M591)),IF($N591&lt;&gt;"",IF(INDEX(LdCNote,$N591)="","—",INDEX(LdCNote,$N591)),""))))</f>
        <v/>
      </c>
      <c r="L591">
        <f>IFERROR(MATCH($C$5&amp;"|"&amp;RIGHT("000000"&amp;575,6),LdAKeyM,0),"")</f>
        <v/>
      </c>
      <c r="M591">
        <f>IFERROR(MATCH($C$5&amp;"|"&amp;RIGHT("000000"&amp;575,6),LdBKeyM,0),"")</f>
        <v/>
      </c>
      <c r="N591">
        <f>IFERROR(MATCH($C$5&amp;"|"&amp;RIGHT("000000"&amp;575,6),LdCKeyM,0),"")</f>
        <v/>
      </c>
    </row>
    <row r="592">
      <c r="A592" s="19" t="n">
        <v>576</v>
      </c>
      <c r="B592" s="20">
        <f>IF(AND($L592="",$M592="",$N592=""),"",IF($L592&lt;&gt;"",INDEX(LdADate,$L592),IF($M592&lt;&gt;"",INDEX(LdBDate,$M592),INDEX(LdCDate,$N592))))</f>
        <v/>
      </c>
      <c r="C592" s="20">
        <f>IF($L592&lt;&gt;"","دستمزد (فردی)",IF($M592&lt;&gt;"","سهم از گروه "&amp;IFERROR(VLOOKUP(INDEX(LdBGroup,$M592),WGTbl,2,0),INDEX(LdBGroup,$M592)),IF($N592&lt;&gt;"",IF(N(INDEX(LdCDep,$N592))&gt;0,"بازگشت بانکی","پرداخت بانکی"),"")))</f>
        <v/>
      </c>
      <c r="D592" s="20">
        <f>IF($L592&lt;&gt;"",IF(INDEX(LdAId,$L592)="","—",INDEX(LdAId,$L592)),IF($M592&lt;&gt;"",IF(INDEX(LdBId,$M592)="","—",INDEX(LdBId,$M592)),IF($N592&lt;&gt;"",IF(INDEX(LdCBank,$N592)="","—",INDEX(LdCBank,$N592)),"")))</f>
        <v/>
      </c>
      <c r="E592" s="21">
        <f>IF($L592&lt;&gt;"",IF(INDEX(LdAAmt,$L592)=0,"",INDEX(LdAAmt,$L592)),IF($M592&lt;&gt;"",IF(INDEX(LdBAmt,$M592)=0,"",INDEX(LdBAmt,$M592)),IF($N592&lt;&gt;"",IF(INDEX(LdCDep,$N592)=0,"",INDEX(LdCDep,$N592)),"")))</f>
        <v/>
      </c>
      <c r="F592" s="21">
        <f>IF(AND($L592="",$M592="",$N592=""),"",IF($N592="","",IF(INDEX(LdCWit,$N592)=0,"",INDEX(LdCWit,$N592))))</f>
        <v/>
      </c>
      <c r="G592" s="31">
        <f>IF($B592="","",IF($G591="",0,$G591)+IF($E592="",0,$E592)-IF($F592="",0,$F592))</f>
        <v/>
      </c>
      <c r="H592" s="32">
        <f>IF(AND($L592="",$M592="",$N592=""),"",IF($L592&lt;&gt;"",IF(INDEX(LdANote,$L592)="","—",INDEX(LdANote,$L592)),IF($M592&lt;&gt;"",IF(INDEX(LdBNote,$M592)="","—",INDEX(LdBNote,$M592)),IF($N592&lt;&gt;"",IF(INDEX(LdCNote,$N592)="","—",INDEX(LdCNote,$N592)),""))))</f>
        <v/>
      </c>
      <c r="L592">
        <f>IFERROR(MATCH($C$5&amp;"|"&amp;RIGHT("000000"&amp;576,6),LdAKeyM,0),"")</f>
        <v/>
      </c>
      <c r="M592">
        <f>IFERROR(MATCH($C$5&amp;"|"&amp;RIGHT("000000"&amp;576,6),LdBKeyM,0),"")</f>
        <v/>
      </c>
      <c r="N592">
        <f>IFERROR(MATCH($C$5&amp;"|"&amp;RIGHT("000000"&amp;576,6),LdCKeyM,0),"")</f>
        <v/>
      </c>
    </row>
    <row r="593">
      <c r="A593" s="10" t="n">
        <v>577</v>
      </c>
      <c r="B593" s="14">
        <f>IF(AND($L593="",$M593="",$N593=""),"",IF($L593&lt;&gt;"",INDEX(LdADate,$L593),IF($M593&lt;&gt;"",INDEX(LdBDate,$M593),INDEX(LdCDate,$N593))))</f>
        <v/>
      </c>
      <c r="C593" s="14">
        <f>IF($L593&lt;&gt;"","دستمزد (فردی)",IF($M593&lt;&gt;"","سهم از گروه "&amp;IFERROR(VLOOKUP(INDEX(LdBGroup,$M593),WGTbl,2,0),INDEX(LdBGroup,$M593)),IF($N593&lt;&gt;"",IF(N(INDEX(LdCDep,$N593))&gt;0,"بازگشت بانکی","پرداخت بانکی"),"")))</f>
        <v/>
      </c>
      <c r="D593" s="14">
        <f>IF($L593&lt;&gt;"",IF(INDEX(LdAId,$L593)="","—",INDEX(LdAId,$L593)),IF($M593&lt;&gt;"",IF(INDEX(LdBId,$M593)="","—",INDEX(LdBId,$M593)),IF($N593&lt;&gt;"",IF(INDEX(LdCBank,$N593)="","—",INDEX(LdCBank,$N593)),"")))</f>
        <v/>
      </c>
      <c r="E593" s="16">
        <f>IF($L593&lt;&gt;"",IF(INDEX(LdAAmt,$L593)=0,"",INDEX(LdAAmt,$L593)),IF($M593&lt;&gt;"",IF(INDEX(LdBAmt,$M593)=0,"",INDEX(LdBAmt,$M593)),IF($N593&lt;&gt;"",IF(INDEX(LdCDep,$N593)=0,"",INDEX(LdCDep,$N593)),"")))</f>
        <v/>
      </c>
      <c r="F593" s="16">
        <f>IF(AND($L593="",$M593="",$N593=""),"",IF($N593="","",IF(INDEX(LdCWit,$N593)=0,"",INDEX(LdCWit,$N593))))</f>
        <v/>
      </c>
      <c r="G593" s="29">
        <f>IF($B593="","",IF($G592="",0,$G592)+IF($E593="",0,$E593)-IF($F593="",0,$F593))</f>
        <v/>
      </c>
      <c r="H593" s="30">
        <f>IF(AND($L593="",$M593="",$N593=""),"",IF($L593&lt;&gt;"",IF(INDEX(LdANote,$L593)="","—",INDEX(LdANote,$L593)),IF($M593&lt;&gt;"",IF(INDEX(LdBNote,$M593)="","—",INDEX(LdBNote,$M593)),IF($N593&lt;&gt;"",IF(INDEX(LdCNote,$N593)="","—",INDEX(LdCNote,$N593)),""))))</f>
        <v/>
      </c>
      <c r="L593">
        <f>IFERROR(MATCH($C$5&amp;"|"&amp;RIGHT("000000"&amp;577,6),LdAKeyM,0),"")</f>
        <v/>
      </c>
      <c r="M593">
        <f>IFERROR(MATCH($C$5&amp;"|"&amp;RIGHT("000000"&amp;577,6),LdBKeyM,0),"")</f>
        <v/>
      </c>
      <c r="N593">
        <f>IFERROR(MATCH($C$5&amp;"|"&amp;RIGHT("000000"&amp;577,6),LdCKeyM,0),"")</f>
        <v/>
      </c>
    </row>
    <row r="594">
      <c r="A594" s="19" t="n">
        <v>578</v>
      </c>
      <c r="B594" s="20">
        <f>IF(AND($L594="",$M594="",$N594=""),"",IF($L594&lt;&gt;"",INDEX(LdADate,$L594),IF($M594&lt;&gt;"",INDEX(LdBDate,$M594),INDEX(LdCDate,$N594))))</f>
        <v/>
      </c>
      <c r="C594" s="20">
        <f>IF($L594&lt;&gt;"","دستمزد (فردی)",IF($M594&lt;&gt;"","سهم از گروه "&amp;IFERROR(VLOOKUP(INDEX(LdBGroup,$M594),WGTbl,2,0),INDEX(LdBGroup,$M594)),IF($N594&lt;&gt;"",IF(N(INDEX(LdCDep,$N594))&gt;0,"بازگشت بانکی","پرداخت بانکی"),"")))</f>
        <v/>
      </c>
      <c r="D594" s="20">
        <f>IF($L594&lt;&gt;"",IF(INDEX(LdAId,$L594)="","—",INDEX(LdAId,$L594)),IF($M594&lt;&gt;"",IF(INDEX(LdBId,$M594)="","—",INDEX(LdBId,$M594)),IF($N594&lt;&gt;"",IF(INDEX(LdCBank,$N594)="","—",INDEX(LdCBank,$N594)),"")))</f>
        <v/>
      </c>
      <c r="E594" s="21">
        <f>IF($L594&lt;&gt;"",IF(INDEX(LdAAmt,$L594)=0,"",INDEX(LdAAmt,$L594)),IF($M594&lt;&gt;"",IF(INDEX(LdBAmt,$M594)=0,"",INDEX(LdBAmt,$M594)),IF($N594&lt;&gt;"",IF(INDEX(LdCDep,$N594)=0,"",INDEX(LdCDep,$N594)),"")))</f>
        <v/>
      </c>
      <c r="F594" s="21">
        <f>IF(AND($L594="",$M594="",$N594=""),"",IF($N594="","",IF(INDEX(LdCWit,$N594)=0,"",INDEX(LdCWit,$N594))))</f>
        <v/>
      </c>
      <c r="G594" s="31">
        <f>IF($B594="","",IF($G593="",0,$G593)+IF($E594="",0,$E594)-IF($F594="",0,$F594))</f>
        <v/>
      </c>
      <c r="H594" s="32">
        <f>IF(AND($L594="",$M594="",$N594=""),"",IF($L594&lt;&gt;"",IF(INDEX(LdANote,$L594)="","—",INDEX(LdANote,$L594)),IF($M594&lt;&gt;"",IF(INDEX(LdBNote,$M594)="","—",INDEX(LdBNote,$M594)),IF($N594&lt;&gt;"",IF(INDEX(LdCNote,$N594)="","—",INDEX(LdCNote,$N594)),""))))</f>
        <v/>
      </c>
      <c r="L594">
        <f>IFERROR(MATCH($C$5&amp;"|"&amp;RIGHT("000000"&amp;578,6),LdAKeyM,0),"")</f>
        <v/>
      </c>
      <c r="M594">
        <f>IFERROR(MATCH($C$5&amp;"|"&amp;RIGHT("000000"&amp;578,6),LdBKeyM,0),"")</f>
        <v/>
      </c>
      <c r="N594">
        <f>IFERROR(MATCH($C$5&amp;"|"&amp;RIGHT("000000"&amp;578,6),LdCKeyM,0),"")</f>
        <v/>
      </c>
    </row>
    <row r="595">
      <c r="A595" s="10" t="n">
        <v>579</v>
      </c>
      <c r="B595" s="14">
        <f>IF(AND($L595="",$M595="",$N595=""),"",IF($L595&lt;&gt;"",INDEX(LdADate,$L595),IF($M595&lt;&gt;"",INDEX(LdBDate,$M595),INDEX(LdCDate,$N595))))</f>
        <v/>
      </c>
      <c r="C595" s="14">
        <f>IF($L595&lt;&gt;"","دستمزد (فردی)",IF($M595&lt;&gt;"","سهم از گروه "&amp;IFERROR(VLOOKUP(INDEX(LdBGroup,$M595),WGTbl,2,0),INDEX(LdBGroup,$M595)),IF($N595&lt;&gt;"",IF(N(INDEX(LdCDep,$N595))&gt;0,"بازگشت بانکی","پرداخت بانکی"),"")))</f>
        <v/>
      </c>
      <c r="D595" s="14">
        <f>IF($L595&lt;&gt;"",IF(INDEX(LdAId,$L595)="","—",INDEX(LdAId,$L595)),IF($M595&lt;&gt;"",IF(INDEX(LdBId,$M595)="","—",INDEX(LdBId,$M595)),IF($N595&lt;&gt;"",IF(INDEX(LdCBank,$N595)="","—",INDEX(LdCBank,$N595)),"")))</f>
        <v/>
      </c>
      <c r="E595" s="16">
        <f>IF($L595&lt;&gt;"",IF(INDEX(LdAAmt,$L595)=0,"",INDEX(LdAAmt,$L595)),IF($M595&lt;&gt;"",IF(INDEX(LdBAmt,$M595)=0,"",INDEX(LdBAmt,$M595)),IF($N595&lt;&gt;"",IF(INDEX(LdCDep,$N595)=0,"",INDEX(LdCDep,$N595)),"")))</f>
        <v/>
      </c>
      <c r="F595" s="16">
        <f>IF(AND($L595="",$M595="",$N595=""),"",IF($N595="","",IF(INDEX(LdCWit,$N595)=0,"",INDEX(LdCWit,$N595))))</f>
        <v/>
      </c>
      <c r="G595" s="29">
        <f>IF($B595="","",IF($G594="",0,$G594)+IF($E595="",0,$E595)-IF($F595="",0,$F595))</f>
        <v/>
      </c>
      <c r="H595" s="30">
        <f>IF(AND($L595="",$M595="",$N595=""),"",IF($L595&lt;&gt;"",IF(INDEX(LdANote,$L595)="","—",INDEX(LdANote,$L595)),IF($M595&lt;&gt;"",IF(INDEX(LdBNote,$M595)="","—",INDEX(LdBNote,$M595)),IF($N595&lt;&gt;"",IF(INDEX(LdCNote,$N595)="","—",INDEX(LdCNote,$N595)),""))))</f>
        <v/>
      </c>
      <c r="L595">
        <f>IFERROR(MATCH($C$5&amp;"|"&amp;RIGHT("000000"&amp;579,6),LdAKeyM,0),"")</f>
        <v/>
      </c>
      <c r="M595">
        <f>IFERROR(MATCH($C$5&amp;"|"&amp;RIGHT("000000"&amp;579,6),LdBKeyM,0),"")</f>
        <v/>
      </c>
      <c r="N595">
        <f>IFERROR(MATCH($C$5&amp;"|"&amp;RIGHT("000000"&amp;579,6),LdCKeyM,0),"")</f>
        <v/>
      </c>
    </row>
    <row r="596">
      <c r="A596" s="19" t="n">
        <v>580</v>
      </c>
      <c r="B596" s="20">
        <f>IF(AND($L596="",$M596="",$N596=""),"",IF($L596&lt;&gt;"",INDEX(LdADate,$L596),IF($M596&lt;&gt;"",INDEX(LdBDate,$M596),INDEX(LdCDate,$N596))))</f>
        <v/>
      </c>
      <c r="C596" s="20">
        <f>IF($L596&lt;&gt;"","دستمزد (فردی)",IF($M596&lt;&gt;"","سهم از گروه "&amp;IFERROR(VLOOKUP(INDEX(LdBGroup,$M596),WGTbl,2,0),INDEX(LdBGroup,$M596)),IF($N596&lt;&gt;"",IF(N(INDEX(LdCDep,$N596))&gt;0,"بازگشت بانکی","پرداخت بانکی"),"")))</f>
        <v/>
      </c>
      <c r="D596" s="20">
        <f>IF($L596&lt;&gt;"",IF(INDEX(LdAId,$L596)="","—",INDEX(LdAId,$L596)),IF($M596&lt;&gt;"",IF(INDEX(LdBId,$M596)="","—",INDEX(LdBId,$M596)),IF($N596&lt;&gt;"",IF(INDEX(LdCBank,$N596)="","—",INDEX(LdCBank,$N596)),"")))</f>
        <v/>
      </c>
      <c r="E596" s="21">
        <f>IF($L596&lt;&gt;"",IF(INDEX(LdAAmt,$L596)=0,"",INDEX(LdAAmt,$L596)),IF($M596&lt;&gt;"",IF(INDEX(LdBAmt,$M596)=0,"",INDEX(LdBAmt,$M596)),IF($N596&lt;&gt;"",IF(INDEX(LdCDep,$N596)=0,"",INDEX(LdCDep,$N596)),"")))</f>
        <v/>
      </c>
      <c r="F596" s="21">
        <f>IF(AND($L596="",$M596="",$N596=""),"",IF($N596="","",IF(INDEX(LdCWit,$N596)=0,"",INDEX(LdCWit,$N596))))</f>
        <v/>
      </c>
      <c r="G596" s="31">
        <f>IF($B596="","",IF($G595="",0,$G595)+IF($E596="",0,$E596)-IF($F596="",0,$F596))</f>
        <v/>
      </c>
      <c r="H596" s="32">
        <f>IF(AND($L596="",$M596="",$N596=""),"",IF($L596&lt;&gt;"",IF(INDEX(LdANote,$L596)="","—",INDEX(LdANote,$L596)),IF($M596&lt;&gt;"",IF(INDEX(LdBNote,$M596)="","—",INDEX(LdBNote,$M596)),IF($N596&lt;&gt;"",IF(INDEX(LdCNote,$N596)="","—",INDEX(LdCNote,$N596)),""))))</f>
        <v/>
      </c>
      <c r="L596">
        <f>IFERROR(MATCH($C$5&amp;"|"&amp;RIGHT("000000"&amp;580,6),LdAKeyM,0),"")</f>
        <v/>
      </c>
      <c r="M596">
        <f>IFERROR(MATCH($C$5&amp;"|"&amp;RIGHT("000000"&amp;580,6),LdBKeyM,0),"")</f>
        <v/>
      </c>
      <c r="N596">
        <f>IFERROR(MATCH($C$5&amp;"|"&amp;RIGHT("000000"&amp;580,6),LdCKeyM,0),"")</f>
        <v/>
      </c>
    </row>
    <row r="597">
      <c r="A597" s="10" t="n">
        <v>581</v>
      </c>
      <c r="B597" s="14">
        <f>IF(AND($L597="",$M597="",$N597=""),"",IF($L597&lt;&gt;"",INDEX(LdADate,$L597),IF($M597&lt;&gt;"",INDEX(LdBDate,$M597),INDEX(LdCDate,$N597))))</f>
        <v/>
      </c>
      <c r="C597" s="14">
        <f>IF($L597&lt;&gt;"","دستمزد (فردی)",IF($M597&lt;&gt;"","سهم از گروه "&amp;IFERROR(VLOOKUP(INDEX(LdBGroup,$M597),WGTbl,2,0),INDEX(LdBGroup,$M597)),IF($N597&lt;&gt;"",IF(N(INDEX(LdCDep,$N597))&gt;0,"بازگشت بانکی","پرداخت بانکی"),"")))</f>
        <v/>
      </c>
      <c r="D597" s="14">
        <f>IF($L597&lt;&gt;"",IF(INDEX(LdAId,$L597)="","—",INDEX(LdAId,$L597)),IF($M597&lt;&gt;"",IF(INDEX(LdBId,$M597)="","—",INDEX(LdBId,$M597)),IF($N597&lt;&gt;"",IF(INDEX(LdCBank,$N597)="","—",INDEX(LdCBank,$N597)),"")))</f>
        <v/>
      </c>
      <c r="E597" s="16">
        <f>IF($L597&lt;&gt;"",IF(INDEX(LdAAmt,$L597)=0,"",INDEX(LdAAmt,$L597)),IF($M597&lt;&gt;"",IF(INDEX(LdBAmt,$M597)=0,"",INDEX(LdBAmt,$M597)),IF($N597&lt;&gt;"",IF(INDEX(LdCDep,$N597)=0,"",INDEX(LdCDep,$N597)),"")))</f>
        <v/>
      </c>
      <c r="F597" s="16">
        <f>IF(AND($L597="",$M597="",$N597=""),"",IF($N597="","",IF(INDEX(LdCWit,$N597)=0,"",INDEX(LdCWit,$N597))))</f>
        <v/>
      </c>
      <c r="G597" s="29">
        <f>IF($B597="","",IF($G596="",0,$G596)+IF($E597="",0,$E597)-IF($F597="",0,$F597))</f>
        <v/>
      </c>
      <c r="H597" s="30">
        <f>IF(AND($L597="",$M597="",$N597=""),"",IF($L597&lt;&gt;"",IF(INDEX(LdANote,$L597)="","—",INDEX(LdANote,$L597)),IF($M597&lt;&gt;"",IF(INDEX(LdBNote,$M597)="","—",INDEX(LdBNote,$M597)),IF($N597&lt;&gt;"",IF(INDEX(LdCNote,$N597)="","—",INDEX(LdCNote,$N597)),""))))</f>
        <v/>
      </c>
      <c r="L597">
        <f>IFERROR(MATCH($C$5&amp;"|"&amp;RIGHT("000000"&amp;581,6),LdAKeyM,0),"")</f>
        <v/>
      </c>
      <c r="M597">
        <f>IFERROR(MATCH($C$5&amp;"|"&amp;RIGHT("000000"&amp;581,6),LdBKeyM,0),"")</f>
        <v/>
      </c>
      <c r="N597">
        <f>IFERROR(MATCH($C$5&amp;"|"&amp;RIGHT("000000"&amp;581,6),LdCKeyM,0),"")</f>
        <v/>
      </c>
    </row>
    <row r="598">
      <c r="A598" s="19" t="n">
        <v>582</v>
      </c>
      <c r="B598" s="20">
        <f>IF(AND($L598="",$M598="",$N598=""),"",IF($L598&lt;&gt;"",INDEX(LdADate,$L598),IF($M598&lt;&gt;"",INDEX(LdBDate,$M598),INDEX(LdCDate,$N598))))</f>
        <v/>
      </c>
      <c r="C598" s="20">
        <f>IF($L598&lt;&gt;"","دستمزد (فردی)",IF($M598&lt;&gt;"","سهم از گروه "&amp;IFERROR(VLOOKUP(INDEX(LdBGroup,$M598),WGTbl,2,0),INDEX(LdBGroup,$M598)),IF($N598&lt;&gt;"",IF(N(INDEX(LdCDep,$N598))&gt;0,"بازگشت بانکی","پرداخت بانکی"),"")))</f>
        <v/>
      </c>
      <c r="D598" s="20">
        <f>IF($L598&lt;&gt;"",IF(INDEX(LdAId,$L598)="","—",INDEX(LdAId,$L598)),IF($M598&lt;&gt;"",IF(INDEX(LdBId,$M598)="","—",INDEX(LdBId,$M598)),IF($N598&lt;&gt;"",IF(INDEX(LdCBank,$N598)="","—",INDEX(LdCBank,$N598)),"")))</f>
        <v/>
      </c>
      <c r="E598" s="21">
        <f>IF($L598&lt;&gt;"",IF(INDEX(LdAAmt,$L598)=0,"",INDEX(LdAAmt,$L598)),IF($M598&lt;&gt;"",IF(INDEX(LdBAmt,$M598)=0,"",INDEX(LdBAmt,$M598)),IF($N598&lt;&gt;"",IF(INDEX(LdCDep,$N598)=0,"",INDEX(LdCDep,$N598)),"")))</f>
        <v/>
      </c>
      <c r="F598" s="21">
        <f>IF(AND($L598="",$M598="",$N598=""),"",IF($N598="","",IF(INDEX(LdCWit,$N598)=0,"",INDEX(LdCWit,$N598))))</f>
        <v/>
      </c>
      <c r="G598" s="31">
        <f>IF($B598="","",IF($G597="",0,$G597)+IF($E598="",0,$E598)-IF($F598="",0,$F598))</f>
        <v/>
      </c>
      <c r="H598" s="32">
        <f>IF(AND($L598="",$M598="",$N598=""),"",IF($L598&lt;&gt;"",IF(INDEX(LdANote,$L598)="","—",INDEX(LdANote,$L598)),IF($M598&lt;&gt;"",IF(INDEX(LdBNote,$M598)="","—",INDEX(LdBNote,$M598)),IF($N598&lt;&gt;"",IF(INDEX(LdCNote,$N598)="","—",INDEX(LdCNote,$N598)),""))))</f>
        <v/>
      </c>
      <c r="L598">
        <f>IFERROR(MATCH($C$5&amp;"|"&amp;RIGHT("000000"&amp;582,6),LdAKeyM,0),"")</f>
        <v/>
      </c>
      <c r="M598">
        <f>IFERROR(MATCH($C$5&amp;"|"&amp;RIGHT("000000"&amp;582,6),LdBKeyM,0),"")</f>
        <v/>
      </c>
      <c r="N598">
        <f>IFERROR(MATCH($C$5&amp;"|"&amp;RIGHT("000000"&amp;582,6),LdCKeyM,0),"")</f>
        <v/>
      </c>
    </row>
    <row r="599">
      <c r="A599" s="10" t="n">
        <v>583</v>
      </c>
      <c r="B599" s="14">
        <f>IF(AND($L599="",$M599="",$N599=""),"",IF($L599&lt;&gt;"",INDEX(LdADate,$L599),IF($M599&lt;&gt;"",INDEX(LdBDate,$M599),INDEX(LdCDate,$N599))))</f>
        <v/>
      </c>
      <c r="C599" s="14">
        <f>IF($L599&lt;&gt;"","دستمزد (فردی)",IF($M599&lt;&gt;"","سهم از گروه "&amp;IFERROR(VLOOKUP(INDEX(LdBGroup,$M599),WGTbl,2,0),INDEX(LdBGroup,$M599)),IF($N599&lt;&gt;"",IF(N(INDEX(LdCDep,$N599))&gt;0,"بازگشت بانکی","پرداخت بانکی"),"")))</f>
        <v/>
      </c>
      <c r="D599" s="14">
        <f>IF($L599&lt;&gt;"",IF(INDEX(LdAId,$L599)="","—",INDEX(LdAId,$L599)),IF($M599&lt;&gt;"",IF(INDEX(LdBId,$M599)="","—",INDEX(LdBId,$M599)),IF($N599&lt;&gt;"",IF(INDEX(LdCBank,$N599)="","—",INDEX(LdCBank,$N599)),"")))</f>
        <v/>
      </c>
      <c r="E599" s="16">
        <f>IF($L599&lt;&gt;"",IF(INDEX(LdAAmt,$L599)=0,"",INDEX(LdAAmt,$L599)),IF($M599&lt;&gt;"",IF(INDEX(LdBAmt,$M599)=0,"",INDEX(LdBAmt,$M599)),IF($N599&lt;&gt;"",IF(INDEX(LdCDep,$N599)=0,"",INDEX(LdCDep,$N599)),"")))</f>
        <v/>
      </c>
      <c r="F599" s="16">
        <f>IF(AND($L599="",$M599="",$N599=""),"",IF($N599="","",IF(INDEX(LdCWit,$N599)=0,"",INDEX(LdCWit,$N599))))</f>
        <v/>
      </c>
      <c r="G599" s="29">
        <f>IF($B599="","",IF($G598="",0,$G598)+IF($E599="",0,$E599)-IF($F599="",0,$F599))</f>
        <v/>
      </c>
      <c r="H599" s="30">
        <f>IF(AND($L599="",$M599="",$N599=""),"",IF($L599&lt;&gt;"",IF(INDEX(LdANote,$L599)="","—",INDEX(LdANote,$L599)),IF($M599&lt;&gt;"",IF(INDEX(LdBNote,$M599)="","—",INDEX(LdBNote,$M599)),IF($N599&lt;&gt;"",IF(INDEX(LdCNote,$N599)="","—",INDEX(LdCNote,$N599)),""))))</f>
        <v/>
      </c>
      <c r="L599">
        <f>IFERROR(MATCH($C$5&amp;"|"&amp;RIGHT("000000"&amp;583,6),LdAKeyM,0),"")</f>
        <v/>
      </c>
      <c r="M599">
        <f>IFERROR(MATCH($C$5&amp;"|"&amp;RIGHT("000000"&amp;583,6),LdBKeyM,0),"")</f>
        <v/>
      </c>
      <c r="N599">
        <f>IFERROR(MATCH($C$5&amp;"|"&amp;RIGHT("000000"&amp;583,6),LdCKeyM,0),"")</f>
        <v/>
      </c>
    </row>
    <row r="600">
      <c r="A600" s="19" t="n">
        <v>584</v>
      </c>
      <c r="B600" s="20">
        <f>IF(AND($L600="",$M600="",$N600=""),"",IF($L600&lt;&gt;"",INDEX(LdADate,$L600),IF($M600&lt;&gt;"",INDEX(LdBDate,$M600),INDEX(LdCDate,$N600))))</f>
        <v/>
      </c>
      <c r="C600" s="20">
        <f>IF($L600&lt;&gt;"","دستمزد (فردی)",IF($M600&lt;&gt;"","سهم از گروه "&amp;IFERROR(VLOOKUP(INDEX(LdBGroup,$M600),WGTbl,2,0),INDEX(LdBGroup,$M600)),IF($N600&lt;&gt;"",IF(N(INDEX(LdCDep,$N600))&gt;0,"بازگشت بانکی","پرداخت بانکی"),"")))</f>
        <v/>
      </c>
      <c r="D600" s="20">
        <f>IF($L600&lt;&gt;"",IF(INDEX(LdAId,$L600)="","—",INDEX(LdAId,$L600)),IF($M600&lt;&gt;"",IF(INDEX(LdBId,$M600)="","—",INDEX(LdBId,$M600)),IF($N600&lt;&gt;"",IF(INDEX(LdCBank,$N600)="","—",INDEX(LdCBank,$N600)),"")))</f>
        <v/>
      </c>
      <c r="E600" s="21">
        <f>IF($L600&lt;&gt;"",IF(INDEX(LdAAmt,$L600)=0,"",INDEX(LdAAmt,$L600)),IF($M600&lt;&gt;"",IF(INDEX(LdBAmt,$M600)=0,"",INDEX(LdBAmt,$M600)),IF($N600&lt;&gt;"",IF(INDEX(LdCDep,$N600)=0,"",INDEX(LdCDep,$N600)),"")))</f>
        <v/>
      </c>
      <c r="F600" s="21">
        <f>IF(AND($L600="",$M600="",$N600=""),"",IF($N600="","",IF(INDEX(LdCWit,$N600)=0,"",INDEX(LdCWit,$N600))))</f>
        <v/>
      </c>
      <c r="G600" s="31">
        <f>IF($B600="","",IF($G599="",0,$G599)+IF($E600="",0,$E600)-IF($F600="",0,$F600))</f>
        <v/>
      </c>
      <c r="H600" s="32">
        <f>IF(AND($L600="",$M600="",$N600=""),"",IF($L600&lt;&gt;"",IF(INDEX(LdANote,$L600)="","—",INDEX(LdANote,$L600)),IF($M600&lt;&gt;"",IF(INDEX(LdBNote,$M600)="","—",INDEX(LdBNote,$M600)),IF($N600&lt;&gt;"",IF(INDEX(LdCNote,$N600)="","—",INDEX(LdCNote,$N600)),""))))</f>
        <v/>
      </c>
      <c r="L600">
        <f>IFERROR(MATCH($C$5&amp;"|"&amp;RIGHT("000000"&amp;584,6),LdAKeyM,0),"")</f>
        <v/>
      </c>
      <c r="M600">
        <f>IFERROR(MATCH($C$5&amp;"|"&amp;RIGHT("000000"&amp;584,6),LdBKeyM,0),"")</f>
        <v/>
      </c>
      <c r="N600">
        <f>IFERROR(MATCH($C$5&amp;"|"&amp;RIGHT("000000"&amp;584,6),LdCKeyM,0),"")</f>
        <v/>
      </c>
    </row>
    <row r="601">
      <c r="A601" s="10" t="n">
        <v>585</v>
      </c>
      <c r="B601" s="14">
        <f>IF(AND($L601="",$M601="",$N601=""),"",IF($L601&lt;&gt;"",INDEX(LdADate,$L601),IF($M601&lt;&gt;"",INDEX(LdBDate,$M601),INDEX(LdCDate,$N601))))</f>
        <v/>
      </c>
      <c r="C601" s="14">
        <f>IF($L601&lt;&gt;"","دستمزد (فردی)",IF($M601&lt;&gt;"","سهم از گروه "&amp;IFERROR(VLOOKUP(INDEX(LdBGroup,$M601),WGTbl,2,0),INDEX(LdBGroup,$M601)),IF($N601&lt;&gt;"",IF(N(INDEX(LdCDep,$N601))&gt;0,"بازگشت بانکی","پرداخت بانکی"),"")))</f>
        <v/>
      </c>
      <c r="D601" s="14">
        <f>IF($L601&lt;&gt;"",IF(INDEX(LdAId,$L601)="","—",INDEX(LdAId,$L601)),IF($M601&lt;&gt;"",IF(INDEX(LdBId,$M601)="","—",INDEX(LdBId,$M601)),IF($N601&lt;&gt;"",IF(INDEX(LdCBank,$N601)="","—",INDEX(LdCBank,$N601)),"")))</f>
        <v/>
      </c>
      <c r="E601" s="16">
        <f>IF($L601&lt;&gt;"",IF(INDEX(LdAAmt,$L601)=0,"",INDEX(LdAAmt,$L601)),IF($M601&lt;&gt;"",IF(INDEX(LdBAmt,$M601)=0,"",INDEX(LdBAmt,$M601)),IF($N601&lt;&gt;"",IF(INDEX(LdCDep,$N601)=0,"",INDEX(LdCDep,$N601)),"")))</f>
        <v/>
      </c>
      <c r="F601" s="16">
        <f>IF(AND($L601="",$M601="",$N601=""),"",IF($N601="","",IF(INDEX(LdCWit,$N601)=0,"",INDEX(LdCWit,$N601))))</f>
        <v/>
      </c>
      <c r="G601" s="29">
        <f>IF($B601="","",IF($G600="",0,$G600)+IF($E601="",0,$E601)-IF($F601="",0,$F601))</f>
        <v/>
      </c>
      <c r="H601" s="30">
        <f>IF(AND($L601="",$M601="",$N601=""),"",IF($L601&lt;&gt;"",IF(INDEX(LdANote,$L601)="","—",INDEX(LdANote,$L601)),IF($M601&lt;&gt;"",IF(INDEX(LdBNote,$M601)="","—",INDEX(LdBNote,$M601)),IF($N601&lt;&gt;"",IF(INDEX(LdCNote,$N601)="","—",INDEX(LdCNote,$N601)),""))))</f>
        <v/>
      </c>
      <c r="L601">
        <f>IFERROR(MATCH($C$5&amp;"|"&amp;RIGHT("000000"&amp;585,6),LdAKeyM,0),"")</f>
        <v/>
      </c>
      <c r="M601">
        <f>IFERROR(MATCH($C$5&amp;"|"&amp;RIGHT("000000"&amp;585,6),LdBKeyM,0),"")</f>
        <v/>
      </c>
      <c r="N601">
        <f>IFERROR(MATCH($C$5&amp;"|"&amp;RIGHT("000000"&amp;585,6),LdCKeyM,0),"")</f>
        <v/>
      </c>
    </row>
    <row r="602">
      <c r="A602" s="19" t="n">
        <v>586</v>
      </c>
      <c r="B602" s="20">
        <f>IF(AND($L602="",$M602="",$N602=""),"",IF($L602&lt;&gt;"",INDEX(LdADate,$L602),IF($M602&lt;&gt;"",INDEX(LdBDate,$M602),INDEX(LdCDate,$N602))))</f>
        <v/>
      </c>
      <c r="C602" s="20">
        <f>IF($L602&lt;&gt;"","دستمزد (فردی)",IF($M602&lt;&gt;"","سهم از گروه "&amp;IFERROR(VLOOKUP(INDEX(LdBGroup,$M602),WGTbl,2,0),INDEX(LdBGroup,$M602)),IF($N602&lt;&gt;"",IF(N(INDEX(LdCDep,$N602))&gt;0,"بازگشت بانکی","پرداخت بانکی"),"")))</f>
        <v/>
      </c>
      <c r="D602" s="20">
        <f>IF($L602&lt;&gt;"",IF(INDEX(LdAId,$L602)="","—",INDEX(LdAId,$L602)),IF($M602&lt;&gt;"",IF(INDEX(LdBId,$M602)="","—",INDEX(LdBId,$M602)),IF($N602&lt;&gt;"",IF(INDEX(LdCBank,$N602)="","—",INDEX(LdCBank,$N602)),"")))</f>
        <v/>
      </c>
      <c r="E602" s="21">
        <f>IF($L602&lt;&gt;"",IF(INDEX(LdAAmt,$L602)=0,"",INDEX(LdAAmt,$L602)),IF($M602&lt;&gt;"",IF(INDEX(LdBAmt,$M602)=0,"",INDEX(LdBAmt,$M602)),IF($N602&lt;&gt;"",IF(INDEX(LdCDep,$N602)=0,"",INDEX(LdCDep,$N602)),"")))</f>
        <v/>
      </c>
      <c r="F602" s="21">
        <f>IF(AND($L602="",$M602="",$N602=""),"",IF($N602="","",IF(INDEX(LdCWit,$N602)=0,"",INDEX(LdCWit,$N602))))</f>
        <v/>
      </c>
      <c r="G602" s="31">
        <f>IF($B602="","",IF($G601="",0,$G601)+IF($E602="",0,$E602)-IF($F602="",0,$F602))</f>
        <v/>
      </c>
      <c r="H602" s="32">
        <f>IF(AND($L602="",$M602="",$N602=""),"",IF($L602&lt;&gt;"",IF(INDEX(LdANote,$L602)="","—",INDEX(LdANote,$L602)),IF($M602&lt;&gt;"",IF(INDEX(LdBNote,$M602)="","—",INDEX(LdBNote,$M602)),IF($N602&lt;&gt;"",IF(INDEX(LdCNote,$N602)="","—",INDEX(LdCNote,$N602)),""))))</f>
        <v/>
      </c>
      <c r="L602">
        <f>IFERROR(MATCH($C$5&amp;"|"&amp;RIGHT("000000"&amp;586,6),LdAKeyM,0),"")</f>
        <v/>
      </c>
      <c r="M602">
        <f>IFERROR(MATCH($C$5&amp;"|"&amp;RIGHT("000000"&amp;586,6),LdBKeyM,0),"")</f>
        <v/>
      </c>
      <c r="N602">
        <f>IFERROR(MATCH($C$5&amp;"|"&amp;RIGHT("000000"&amp;586,6),LdCKeyM,0),"")</f>
        <v/>
      </c>
    </row>
    <row r="603">
      <c r="A603" s="10" t="n">
        <v>587</v>
      </c>
      <c r="B603" s="14">
        <f>IF(AND($L603="",$M603="",$N603=""),"",IF($L603&lt;&gt;"",INDEX(LdADate,$L603),IF($M603&lt;&gt;"",INDEX(LdBDate,$M603),INDEX(LdCDate,$N603))))</f>
        <v/>
      </c>
      <c r="C603" s="14">
        <f>IF($L603&lt;&gt;"","دستمزد (فردی)",IF($M603&lt;&gt;"","سهم از گروه "&amp;IFERROR(VLOOKUP(INDEX(LdBGroup,$M603),WGTbl,2,0),INDEX(LdBGroup,$M603)),IF($N603&lt;&gt;"",IF(N(INDEX(LdCDep,$N603))&gt;0,"بازگشت بانکی","پرداخت بانکی"),"")))</f>
        <v/>
      </c>
      <c r="D603" s="14">
        <f>IF($L603&lt;&gt;"",IF(INDEX(LdAId,$L603)="","—",INDEX(LdAId,$L603)),IF($M603&lt;&gt;"",IF(INDEX(LdBId,$M603)="","—",INDEX(LdBId,$M603)),IF($N603&lt;&gt;"",IF(INDEX(LdCBank,$N603)="","—",INDEX(LdCBank,$N603)),"")))</f>
        <v/>
      </c>
      <c r="E603" s="16">
        <f>IF($L603&lt;&gt;"",IF(INDEX(LdAAmt,$L603)=0,"",INDEX(LdAAmt,$L603)),IF($M603&lt;&gt;"",IF(INDEX(LdBAmt,$M603)=0,"",INDEX(LdBAmt,$M603)),IF($N603&lt;&gt;"",IF(INDEX(LdCDep,$N603)=0,"",INDEX(LdCDep,$N603)),"")))</f>
        <v/>
      </c>
      <c r="F603" s="16">
        <f>IF(AND($L603="",$M603="",$N603=""),"",IF($N603="","",IF(INDEX(LdCWit,$N603)=0,"",INDEX(LdCWit,$N603))))</f>
        <v/>
      </c>
      <c r="G603" s="29">
        <f>IF($B603="","",IF($G602="",0,$G602)+IF($E603="",0,$E603)-IF($F603="",0,$F603))</f>
        <v/>
      </c>
      <c r="H603" s="30">
        <f>IF(AND($L603="",$M603="",$N603=""),"",IF($L603&lt;&gt;"",IF(INDEX(LdANote,$L603)="","—",INDEX(LdANote,$L603)),IF($M603&lt;&gt;"",IF(INDEX(LdBNote,$M603)="","—",INDEX(LdBNote,$M603)),IF($N603&lt;&gt;"",IF(INDEX(LdCNote,$N603)="","—",INDEX(LdCNote,$N603)),""))))</f>
        <v/>
      </c>
      <c r="L603">
        <f>IFERROR(MATCH($C$5&amp;"|"&amp;RIGHT("000000"&amp;587,6),LdAKeyM,0),"")</f>
        <v/>
      </c>
      <c r="M603">
        <f>IFERROR(MATCH($C$5&amp;"|"&amp;RIGHT("000000"&amp;587,6),LdBKeyM,0),"")</f>
        <v/>
      </c>
      <c r="N603">
        <f>IFERROR(MATCH($C$5&amp;"|"&amp;RIGHT("000000"&amp;587,6),LdCKeyM,0),"")</f>
        <v/>
      </c>
    </row>
    <row r="604">
      <c r="A604" s="19" t="n">
        <v>588</v>
      </c>
      <c r="B604" s="20">
        <f>IF(AND($L604="",$M604="",$N604=""),"",IF($L604&lt;&gt;"",INDEX(LdADate,$L604),IF($M604&lt;&gt;"",INDEX(LdBDate,$M604),INDEX(LdCDate,$N604))))</f>
        <v/>
      </c>
      <c r="C604" s="20">
        <f>IF($L604&lt;&gt;"","دستمزد (فردی)",IF($M604&lt;&gt;"","سهم از گروه "&amp;IFERROR(VLOOKUP(INDEX(LdBGroup,$M604),WGTbl,2,0),INDEX(LdBGroup,$M604)),IF($N604&lt;&gt;"",IF(N(INDEX(LdCDep,$N604))&gt;0,"بازگشت بانکی","پرداخت بانکی"),"")))</f>
        <v/>
      </c>
      <c r="D604" s="20">
        <f>IF($L604&lt;&gt;"",IF(INDEX(LdAId,$L604)="","—",INDEX(LdAId,$L604)),IF($M604&lt;&gt;"",IF(INDEX(LdBId,$M604)="","—",INDEX(LdBId,$M604)),IF($N604&lt;&gt;"",IF(INDEX(LdCBank,$N604)="","—",INDEX(LdCBank,$N604)),"")))</f>
        <v/>
      </c>
      <c r="E604" s="21">
        <f>IF($L604&lt;&gt;"",IF(INDEX(LdAAmt,$L604)=0,"",INDEX(LdAAmt,$L604)),IF($M604&lt;&gt;"",IF(INDEX(LdBAmt,$M604)=0,"",INDEX(LdBAmt,$M604)),IF($N604&lt;&gt;"",IF(INDEX(LdCDep,$N604)=0,"",INDEX(LdCDep,$N604)),"")))</f>
        <v/>
      </c>
      <c r="F604" s="21">
        <f>IF(AND($L604="",$M604="",$N604=""),"",IF($N604="","",IF(INDEX(LdCWit,$N604)=0,"",INDEX(LdCWit,$N604))))</f>
        <v/>
      </c>
      <c r="G604" s="31">
        <f>IF($B604="","",IF($G603="",0,$G603)+IF($E604="",0,$E604)-IF($F604="",0,$F604))</f>
        <v/>
      </c>
      <c r="H604" s="32">
        <f>IF(AND($L604="",$M604="",$N604=""),"",IF($L604&lt;&gt;"",IF(INDEX(LdANote,$L604)="","—",INDEX(LdANote,$L604)),IF($M604&lt;&gt;"",IF(INDEX(LdBNote,$M604)="","—",INDEX(LdBNote,$M604)),IF($N604&lt;&gt;"",IF(INDEX(LdCNote,$N604)="","—",INDEX(LdCNote,$N604)),""))))</f>
        <v/>
      </c>
      <c r="L604">
        <f>IFERROR(MATCH($C$5&amp;"|"&amp;RIGHT("000000"&amp;588,6),LdAKeyM,0),"")</f>
        <v/>
      </c>
      <c r="M604">
        <f>IFERROR(MATCH($C$5&amp;"|"&amp;RIGHT("000000"&amp;588,6),LdBKeyM,0),"")</f>
        <v/>
      </c>
      <c r="N604">
        <f>IFERROR(MATCH($C$5&amp;"|"&amp;RIGHT("000000"&amp;588,6),LdCKeyM,0),"")</f>
        <v/>
      </c>
    </row>
    <row r="605">
      <c r="A605" s="10" t="n">
        <v>589</v>
      </c>
      <c r="B605" s="14">
        <f>IF(AND($L605="",$M605="",$N605=""),"",IF($L605&lt;&gt;"",INDEX(LdADate,$L605),IF($M605&lt;&gt;"",INDEX(LdBDate,$M605),INDEX(LdCDate,$N605))))</f>
        <v/>
      </c>
      <c r="C605" s="14">
        <f>IF($L605&lt;&gt;"","دستمزد (فردی)",IF($M605&lt;&gt;"","سهم از گروه "&amp;IFERROR(VLOOKUP(INDEX(LdBGroup,$M605),WGTbl,2,0),INDEX(LdBGroup,$M605)),IF($N605&lt;&gt;"",IF(N(INDEX(LdCDep,$N605))&gt;0,"بازگشت بانکی","پرداخت بانکی"),"")))</f>
        <v/>
      </c>
      <c r="D605" s="14">
        <f>IF($L605&lt;&gt;"",IF(INDEX(LdAId,$L605)="","—",INDEX(LdAId,$L605)),IF($M605&lt;&gt;"",IF(INDEX(LdBId,$M605)="","—",INDEX(LdBId,$M605)),IF($N605&lt;&gt;"",IF(INDEX(LdCBank,$N605)="","—",INDEX(LdCBank,$N605)),"")))</f>
        <v/>
      </c>
      <c r="E605" s="16">
        <f>IF($L605&lt;&gt;"",IF(INDEX(LdAAmt,$L605)=0,"",INDEX(LdAAmt,$L605)),IF($M605&lt;&gt;"",IF(INDEX(LdBAmt,$M605)=0,"",INDEX(LdBAmt,$M605)),IF($N605&lt;&gt;"",IF(INDEX(LdCDep,$N605)=0,"",INDEX(LdCDep,$N605)),"")))</f>
        <v/>
      </c>
      <c r="F605" s="16">
        <f>IF(AND($L605="",$M605="",$N605=""),"",IF($N605="","",IF(INDEX(LdCWit,$N605)=0,"",INDEX(LdCWit,$N605))))</f>
        <v/>
      </c>
      <c r="G605" s="29">
        <f>IF($B605="","",IF($G604="",0,$G604)+IF($E605="",0,$E605)-IF($F605="",0,$F605))</f>
        <v/>
      </c>
      <c r="H605" s="30">
        <f>IF(AND($L605="",$M605="",$N605=""),"",IF($L605&lt;&gt;"",IF(INDEX(LdANote,$L605)="","—",INDEX(LdANote,$L605)),IF($M605&lt;&gt;"",IF(INDEX(LdBNote,$M605)="","—",INDEX(LdBNote,$M605)),IF($N605&lt;&gt;"",IF(INDEX(LdCNote,$N605)="","—",INDEX(LdCNote,$N605)),""))))</f>
        <v/>
      </c>
      <c r="L605">
        <f>IFERROR(MATCH($C$5&amp;"|"&amp;RIGHT("000000"&amp;589,6),LdAKeyM,0),"")</f>
        <v/>
      </c>
      <c r="M605">
        <f>IFERROR(MATCH($C$5&amp;"|"&amp;RIGHT("000000"&amp;589,6),LdBKeyM,0),"")</f>
        <v/>
      </c>
      <c r="N605">
        <f>IFERROR(MATCH($C$5&amp;"|"&amp;RIGHT("000000"&amp;589,6),LdCKeyM,0),"")</f>
        <v/>
      </c>
    </row>
    <row r="606">
      <c r="A606" s="19" t="n">
        <v>590</v>
      </c>
      <c r="B606" s="20">
        <f>IF(AND($L606="",$M606="",$N606=""),"",IF($L606&lt;&gt;"",INDEX(LdADate,$L606),IF($M606&lt;&gt;"",INDEX(LdBDate,$M606),INDEX(LdCDate,$N606))))</f>
        <v/>
      </c>
      <c r="C606" s="20">
        <f>IF($L606&lt;&gt;"","دستمزد (فردی)",IF($M606&lt;&gt;"","سهم از گروه "&amp;IFERROR(VLOOKUP(INDEX(LdBGroup,$M606),WGTbl,2,0),INDEX(LdBGroup,$M606)),IF($N606&lt;&gt;"",IF(N(INDEX(LdCDep,$N606))&gt;0,"بازگشت بانکی","پرداخت بانکی"),"")))</f>
        <v/>
      </c>
      <c r="D606" s="20">
        <f>IF($L606&lt;&gt;"",IF(INDEX(LdAId,$L606)="","—",INDEX(LdAId,$L606)),IF($M606&lt;&gt;"",IF(INDEX(LdBId,$M606)="","—",INDEX(LdBId,$M606)),IF($N606&lt;&gt;"",IF(INDEX(LdCBank,$N606)="","—",INDEX(LdCBank,$N606)),"")))</f>
        <v/>
      </c>
      <c r="E606" s="21">
        <f>IF($L606&lt;&gt;"",IF(INDEX(LdAAmt,$L606)=0,"",INDEX(LdAAmt,$L606)),IF($M606&lt;&gt;"",IF(INDEX(LdBAmt,$M606)=0,"",INDEX(LdBAmt,$M606)),IF($N606&lt;&gt;"",IF(INDEX(LdCDep,$N606)=0,"",INDEX(LdCDep,$N606)),"")))</f>
        <v/>
      </c>
      <c r="F606" s="21">
        <f>IF(AND($L606="",$M606="",$N606=""),"",IF($N606="","",IF(INDEX(LdCWit,$N606)=0,"",INDEX(LdCWit,$N606))))</f>
        <v/>
      </c>
      <c r="G606" s="31">
        <f>IF($B606="","",IF($G605="",0,$G605)+IF($E606="",0,$E606)-IF($F606="",0,$F606))</f>
        <v/>
      </c>
      <c r="H606" s="32">
        <f>IF(AND($L606="",$M606="",$N606=""),"",IF($L606&lt;&gt;"",IF(INDEX(LdANote,$L606)="","—",INDEX(LdANote,$L606)),IF($M606&lt;&gt;"",IF(INDEX(LdBNote,$M606)="","—",INDEX(LdBNote,$M606)),IF($N606&lt;&gt;"",IF(INDEX(LdCNote,$N606)="","—",INDEX(LdCNote,$N606)),""))))</f>
        <v/>
      </c>
      <c r="L606">
        <f>IFERROR(MATCH($C$5&amp;"|"&amp;RIGHT("000000"&amp;590,6),LdAKeyM,0),"")</f>
        <v/>
      </c>
      <c r="M606">
        <f>IFERROR(MATCH($C$5&amp;"|"&amp;RIGHT("000000"&amp;590,6),LdBKeyM,0),"")</f>
        <v/>
      </c>
      <c r="N606">
        <f>IFERROR(MATCH($C$5&amp;"|"&amp;RIGHT("000000"&amp;590,6),LdCKeyM,0),"")</f>
        <v/>
      </c>
    </row>
    <row r="607">
      <c r="A607" s="10" t="n">
        <v>591</v>
      </c>
      <c r="B607" s="14">
        <f>IF(AND($L607="",$M607="",$N607=""),"",IF($L607&lt;&gt;"",INDEX(LdADate,$L607),IF($M607&lt;&gt;"",INDEX(LdBDate,$M607),INDEX(LdCDate,$N607))))</f>
        <v/>
      </c>
      <c r="C607" s="14">
        <f>IF($L607&lt;&gt;"","دستمزد (فردی)",IF($M607&lt;&gt;"","سهم از گروه "&amp;IFERROR(VLOOKUP(INDEX(LdBGroup,$M607),WGTbl,2,0),INDEX(LdBGroup,$M607)),IF($N607&lt;&gt;"",IF(N(INDEX(LdCDep,$N607))&gt;0,"بازگشت بانکی","پرداخت بانکی"),"")))</f>
        <v/>
      </c>
      <c r="D607" s="14">
        <f>IF($L607&lt;&gt;"",IF(INDEX(LdAId,$L607)="","—",INDEX(LdAId,$L607)),IF($M607&lt;&gt;"",IF(INDEX(LdBId,$M607)="","—",INDEX(LdBId,$M607)),IF($N607&lt;&gt;"",IF(INDEX(LdCBank,$N607)="","—",INDEX(LdCBank,$N607)),"")))</f>
        <v/>
      </c>
      <c r="E607" s="16">
        <f>IF($L607&lt;&gt;"",IF(INDEX(LdAAmt,$L607)=0,"",INDEX(LdAAmt,$L607)),IF($M607&lt;&gt;"",IF(INDEX(LdBAmt,$M607)=0,"",INDEX(LdBAmt,$M607)),IF($N607&lt;&gt;"",IF(INDEX(LdCDep,$N607)=0,"",INDEX(LdCDep,$N607)),"")))</f>
        <v/>
      </c>
      <c r="F607" s="16">
        <f>IF(AND($L607="",$M607="",$N607=""),"",IF($N607="","",IF(INDEX(LdCWit,$N607)=0,"",INDEX(LdCWit,$N607))))</f>
        <v/>
      </c>
      <c r="G607" s="29">
        <f>IF($B607="","",IF($G606="",0,$G606)+IF($E607="",0,$E607)-IF($F607="",0,$F607))</f>
        <v/>
      </c>
      <c r="H607" s="30">
        <f>IF(AND($L607="",$M607="",$N607=""),"",IF($L607&lt;&gt;"",IF(INDEX(LdANote,$L607)="","—",INDEX(LdANote,$L607)),IF($M607&lt;&gt;"",IF(INDEX(LdBNote,$M607)="","—",INDEX(LdBNote,$M607)),IF($N607&lt;&gt;"",IF(INDEX(LdCNote,$N607)="","—",INDEX(LdCNote,$N607)),""))))</f>
        <v/>
      </c>
      <c r="L607">
        <f>IFERROR(MATCH($C$5&amp;"|"&amp;RIGHT("000000"&amp;591,6),LdAKeyM,0),"")</f>
        <v/>
      </c>
      <c r="M607">
        <f>IFERROR(MATCH($C$5&amp;"|"&amp;RIGHT("000000"&amp;591,6),LdBKeyM,0),"")</f>
        <v/>
      </c>
      <c r="N607">
        <f>IFERROR(MATCH($C$5&amp;"|"&amp;RIGHT("000000"&amp;591,6),LdCKeyM,0),"")</f>
        <v/>
      </c>
    </row>
    <row r="608">
      <c r="A608" s="19" t="n">
        <v>592</v>
      </c>
      <c r="B608" s="20">
        <f>IF(AND($L608="",$M608="",$N608=""),"",IF($L608&lt;&gt;"",INDEX(LdADate,$L608),IF($M608&lt;&gt;"",INDEX(LdBDate,$M608),INDEX(LdCDate,$N608))))</f>
        <v/>
      </c>
      <c r="C608" s="20">
        <f>IF($L608&lt;&gt;"","دستمزد (فردی)",IF($M608&lt;&gt;"","سهم از گروه "&amp;IFERROR(VLOOKUP(INDEX(LdBGroup,$M608),WGTbl,2,0),INDEX(LdBGroup,$M608)),IF($N608&lt;&gt;"",IF(N(INDEX(LdCDep,$N608))&gt;0,"بازگشت بانکی","پرداخت بانکی"),"")))</f>
        <v/>
      </c>
      <c r="D608" s="20">
        <f>IF($L608&lt;&gt;"",IF(INDEX(LdAId,$L608)="","—",INDEX(LdAId,$L608)),IF($M608&lt;&gt;"",IF(INDEX(LdBId,$M608)="","—",INDEX(LdBId,$M608)),IF($N608&lt;&gt;"",IF(INDEX(LdCBank,$N608)="","—",INDEX(LdCBank,$N608)),"")))</f>
        <v/>
      </c>
      <c r="E608" s="21">
        <f>IF($L608&lt;&gt;"",IF(INDEX(LdAAmt,$L608)=0,"",INDEX(LdAAmt,$L608)),IF($M608&lt;&gt;"",IF(INDEX(LdBAmt,$M608)=0,"",INDEX(LdBAmt,$M608)),IF($N608&lt;&gt;"",IF(INDEX(LdCDep,$N608)=0,"",INDEX(LdCDep,$N608)),"")))</f>
        <v/>
      </c>
      <c r="F608" s="21">
        <f>IF(AND($L608="",$M608="",$N608=""),"",IF($N608="","",IF(INDEX(LdCWit,$N608)=0,"",INDEX(LdCWit,$N608))))</f>
        <v/>
      </c>
      <c r="G608" s="31">
        <f>IF($B608="","",IF($G607="",0,$G607)+IF($E608="",0,$E608)-IF($F608="",0,$F608))</f>
        <v/>
      </c>
      <c r="H608" s="32">
        <f>IF(AND($L608="",$M608="",$N608=""),"",IF($L608&lt;&gt;"",IF(INDEX(LdANote,$L608)="","—",INDEX(LdANote,$L608)),IF($M608&lt;&gt;"",IF(INDEX(LdBNote,$M608)="","—",INDEX(LdBNote,$M608)),IF($N608&lt;&gt;"",IF(INDEX(LdCNote,$N608)="","—",INDEX(LdCNote,$N608)),""))))</f>
        <v/>
      </c>
      <c r="L608">
        <f>IFERROR(MATCH($C$5&amp;"|"&amp;RIGHT("000000"&amp;592,6),LdAKeyM,0),"")</f>
        <v/>
      </c>
      <c r="M608">
        <f>IFERROR(MATCH($C$5&amp;"|"&amp;RIGHT("000000"&amp;592,6),LdBKeyM,0),"")</f>
        <v/>
      </c>
      <c r="N608">
        <f>IFERROR(MATCH($C$5&amp;"|"&amp;RIGHT("000000"&amp;592,6),LdCKeyM,0),"")</f>
        <v/>
      </c>
    </row>
    <row r="609">
      <c r="A609" s="10" t="n">
        <v>593</v>
      </c>
      <c r="B609" s="14">
        <f>IF(AND($L609="",$M609="",$N609=""),"",IF($L609&lt;&gt;"",INDEX(LdADate,$L609),IF($M609&lt;&gt;"",INDEX(LdBDate,$M609),INDEX(LdCDate,$N609))))</f>
        <v/>
      </c>
      <c r="C609" s="14">
        <f>IF($L609&lt;&gt;"","دستمزد (فردی)",IF($M609&lt;&gt;"","سهم از گروه "&amp;IFERROR(VLOOKUP(INDEX(LdBGroup,$M609),WGTbl,2,0),INDEX(LdBGroup,$M609)),IF($N609&lt;&gt;"",IF(N(INDEX(LdCDep,$N609))&gt;0,"بازگشت بانکی","پرداخت بانکی"),"")))</f>
        <v/>
      </c>
      <c r="D609" s="14">
        <f>IF($L609&lt;&gt;"",IF(INDEX(LdAId,$L609)="","—",INDEX(LdAId,$L609)),IF($M609&lt;&gt;"",IF(INDEX(LdBId,$M609)="","—",INDEX(LdBId,$M609)),IF($N609&lt;&gt;"",IF(INDEX(LdCBank,$N609)="","—",INDEX(LdCBank,$N609)),"")))</f>
        <v/>
      </c>
      <c r="E609" s="16">
        <f>IF($L609&lt;&gt;"",IF(INDEX(LdAAmt,$L609)=0,"",INDEX(LdAAmt,$L609)),IF($M609&lt;&gt;"",IF(INDEX(LdBAmt,$M609)=0,"",INDEX(LdBAmt,$M609)),IF($N609&lt;&gt;"",IF(INDEX(LdCDep,$N609)=0,"",INDEX(LdCDep,$N609)),"")))</f>
        <v/>
      </c>
      <c r="F609" s="16">
        <f>IF(AND($L609="",$M609="",$N609=""),"",IF($N609="","",IF(INDEX(LdCWit,$N609)=0,"",INDEX(LdCWit,$N609))))</f>
        <v/>
      </c>
      <c r="G609" s="29">
        <f>IF($B609="","",IF($G608="",0,$G608)+IF($E609="",0,$E609)-IF($F609="",0,$F609))</f>
        <v/>
      </c>
      <c r="H609" s="30">
        <f>IF(AND($L609="",$M609="",$N609=""),"",IF($L609&lt;&gt;"",IF(INDEX(LdANote,$L609)="","—",INDEX(LdANote,$L609)),IF($M609&lt;&gt;"",IF(INDEX(LdBNote,$M609)="","—",INDEX(LdBNote,$M609)),IF($N609&lt;&gt;"",IF(INDEX(LdCNote,$N609)="","—",INDEX(LdCNote,$N609)),""))))</f>
        <v/>
      </c>
      <c r="L609">
        <f>IFERROR(MATCH($C$5&amp;"|"&amp;RIGHT("000000"&amp;593,6),LdAKeyM,0),"")</f>
        <v/>
      </c>
      <c r="M609">
        <f>IFERROR(MATCH($C$5&amp;"|"&amp;RIGHT("000000"&amp;593,6),LdBKeyM,0),"")</f>
        <v/>
      </c>
      <c r="N609">
        <f>IFERROR(MATCH($C$5&amp;"|"&amp;RIGHT("000000"&amp;593,6),LdCKeyM,0),"")</f>
        <v/>
      </c>
    </row>
    <row r="610">
      <c r="A610" s="19" t="n">
        <v>594</v>
      </c>
      <c r="B610" s="20">
        <f>IF(AND($L610="",$M610="",$N610=""),"",IF($L610&lt;&gt;"",INDEX(LdADate,$L610),IF($M610&lt;&gt;"",INDEX(LdBDate,$M610),INDEX(LdCDate,$N610))))</f>
        <v/>
      </c>
      <c r="C610" s="20">
        <f>IF($L610&lt;&gt;"","دستمزد (فردی)",IF($M610&lt;&gt;"","سهم از گروه "&amp;IFERROR(VLOOKUP(INDEX(LdBGroup,$M610),WGTbl,2,0),INDEX(LdBGroup,$M610)),IF($N610&lt;&gt;"",IF(N(INDEX(LdCDep,$N610))&gt;0,"بازگشت بانکی","پرداخت بانکی"),"")))</f>
        <v/>
      </c>
      <c r="D610" s="20">
        <f>IF($L610&lt;&gt;"",IF(INDEX(LdAId,$L610)="","—",INDEX(LdAId,$L610)),IF($M610&lt;&gt;"",IF(INDEX(LdBId,$M610)="","—",INDEX(LdBId,$M610)),IF($N610&lt;&gt;"",IF(INDEX(LdCBank,$N610)="","—",INDEX(LdCBank,$N610)),"")))</f>
        <v/>
      </c>
      <c r="E610" s="21">
        <f>IF($L610&lt;&gt;"",IF(INDEX(LdAAmt,$L610)=0,"",INDEX(LdAAmt,$L610)),IF($M610&lt;&gt;"",IF(INDEX(LdBAmt,$M610)=0,"",INDEX(LdBAmt,$M610)),IF($N610&lt;&gt;"",IF(INDEX(LdCDep,$N610)=0,"",INDEX(LdCDep,$N610)),"")))</f>
        <v/>
      </c>
      <c r="F610" s="21">
        <f>IF(AND($L610="",$M610="",$N610=""),"",IF($N610="","",IF(INDEX(LdCWit,$N610)=0,"",INDEX(LdCWit,$N610))))</f>
        <v/>
      </c>
      <c r="G610" s="31">
        <f>IF($B610="","",IF($G609="",0,$G609)+IF($E610="",0,$E610)-IF($F610="",0,$F610))</f>
        <v/>
      </c>
      <c r="H610" s="32">
        <f>IF(AND($L610="",$M610="",$N610=""),"",IF($L610&lt;&gt;"",IF(INDEX(LdANote,$L610)="","—",INDEX(LdANote,$L610)),IF($M610&lt;&gt;"",IF(INDEX(LdBNote,$M610)="","—",INDEX(LdBNote,$M610)),IF($N610&lt;&gt;"",IF(INDEX(LdCNote,$N610)="","—",INDEX(LdCNote,$N610)),""))))</f>
        <v/>
      </c>
      <c r="L610">
        <f>IFERROR(MATCH($C$5&amp;"|"&amp;RIGHT("000000"&amp;594,6),LdAKeyM,0),"")</f>
        <v/>
      </c>
      <c r="M610">
        <f>IFERROR(MATCH($C$5&amp;"|"&amp;RIGHT("000000"&amp;594,6),LdBKeyM,0),"")</f>
        <v/>
      </c>
      <c r="N610">
        <f>IFERROR(MATCH($C$5&amp;"|"&amp;RIGHT("000000"&amp;594,6),LdCKeyM,0),"")</f>
        <v/>
      </c>
    </row>
    <row r="611">
      <c r="A611" s="10" t="n">
        <v>595</v>
      </c>
      <c r="B611" s="14">
        <f>IF(AND($L611="",$M611="",$N611=""),"",IF($L611&lt;&gt;"",INDEX(LdADate,$L611),IF($M611&lt;&gt;"",INDEX(LdBDate,$M611),INDEX(LdCDate,$N611))))</f>
        <v/>
      </c>
      <c r="C611" s="14">
        <f>IF($L611&lt;&gt;"","دستمزد (فردی)",IF($M611&lt;&gt;"","سهم از گروه "&amp;IFERROR(VLOOKUP(INDEX(LdBGroup,$M611),WGTbl,2,0),INDEX(LdBGroup,$M611)),IF($N611&lt;&gt;"",IF(N(INDEX(LdCDep,$N611))&gt;0,"بازگشت بانکی","پرداخت بانکی"),"")))</f>
        <v/>
      </c>
      <c r="D611" s="14">
        <f>IF($L611&lt;&gt;"",IF(INDEX(LdAId,$L611)="","—",INDEX(LdAId,$L611)),IF($M611&lt;&gt;"",IF(INDEX(LdBId,$M611)="","—",INDEX(LdBId,$M611)),IF($N611&lt;&gt;"",IF(INDEX(LdCBank,$N611)="","—",INDEX(LdCBank,$N611)),"")))</f>
        <v/>
      </c>
      <c r="E611" s="16">
        <f>IF($L611&lt;&gt;"",IF(INDEX(LdAAmt,$L611)=0,"",INDEX(LdAAmt,$L611)),IF($M611&lt;&gt;"",IF(INDEX(LdBAmt,$M611)=0,"",INDEX(LdBAmt,$M611)),IF($N611&lt;&gt;"",IF(INDEX(LdCDep,$N611)=0,"",INDEX(LdCDep,$N611)),"")))</f>
        <v/>
      </c>
      <c r="F611" s="16">
        <f>IF(AND($L611="",$M611="",$N611=""),"",IF($N611="","",IF(INDEX(LdCWit,$N611)=0,"",INDEX(LdCWit,$N611))))</f>
        <v/>
      </c>
      <c r="G611" s="29">
        <f>IF($B611="","",IF($G610="",0,$G610)+IF($E611="",0,$E611)-IF($F611="",0,$F611))</f>
        <v/>
      </c>
      <c r="H611" s="30">
        <f>IF(AND($L611="",$M611="",$N611=""),"",IF($L611&lt;&gt;"",IF(INDEX(LdANote,$L611)="","—",INDEX(LdANote,$L611)),IF($M611&lt;&gt;"",IF(INDEX(LdBNote,$M611)="","—",INDEX(LdBNote,$M611)),IF($N611&lt;&gt;"",IF(INDEX(LdCNote,$N611)="","—",INDEX(LdCNote,$N611)),""))))</f>
        <v/>
      </c>
      <c r="L611">
        <f>IFERROR(MATCH($C$5&amp;"|"&amp;RIGHT("000000"&amp;595,6),LdAKeyM,0),"")</f>
        <v/>
      </c>
      <c r="M611">
        <f>IFERROR(MATCH($C$5&amp;"|"&amp;RIGHT("000000"&amp;595,6),LdBKeyM,0),"")</f>
        <v/>
      </c>
      <c r="N611">
        <f>IFERROR(MATCH($C$5&amp;"|"&amp;RIGHT("000000"&amp;595,6),LdCKeyM,0),"")</f>
        <v/>
      </c>
    </row>
    <row r="612">
      <c r="A612" s="19" t="n">
        <v>596</v>
      </c>
      <c r="B612" s="20">
        <f>IF(AND($L612="",$M612="",$N612=""),"",IF($L612&lt;&gt;"",INDEX(LdADate,$L612),IF($M612&lt;&gt;"",INDEX(LdBDate,$M612),INDEX(LdCDate,$N612))))</f>
        <v/>
      </c>
      <c r="C612" s="20">
        <f>IF($L612&lt;&gt;"","دستمزد (فردی)",IF($M612&lt;&gt;"","سهم از گروه "&amp;IFERROR(VLOOKUP(INDEX(LdBGroup,$M612),WGTbl,2,0),INDEX(LdBGroup,$M612)),IF($N612&lt;&gt;"",IF(N(INDEX(LdCDep,$N612))&gt;0,"بازگشت بانکی","پرداخت بانکی"),"")))</f>
        <v/>
      </c>
      <c r="D612" s="20">
        <f>IF($L612&lt;&gt;"",IF(INDEX(LdAId,$L612)="","—",INDEX(LdAId,$L612)),IF($M612&lt;&gt;"",IF(INDEX(LdBId,$M612)="","—",INDEX(LdBId,$M612)),IF($N612&lt;&gt;"",IF(INDEX(LdCBank,$N612)="","—",INDEX(LdCBank,$N612)),"")))</f>
        <v/>
      </c>
      <c r="E612" s="21">
        <f>IF($L612&lt;&gt;"",IF(INDEX(LdAAmt,$L612)=0,"",INDEX(LdAAmt,$L612)),IF($M612&lt;&gt;"",IF(INDEX(LdBAmt,$M612)=0,"",INDEX(LdBAmt,$M612)),IF($N612&lt;&gt;"",IF(INDEX(LdCDep,$N612)=0,"",INDEX(LdCDep,$N612)),"")))</f>
        <v/>
      </c>
      <c r="F612" s="21">
        <f>IF(AND($L612="",$M612="",$N612=""),"",IF($N612="","",IF(INDEX(LdCWit,$N612)=0,"",INDEX(LdCWit,$N612))))</f>
        <v/>
      </c>
      <c r="G612" s="31">
        <f>IF($B612="","",IF($G611="",0,$G611)+IF($E612="",0,$E612)-IF($F612="",0,$F612))</f>
        <v/>
      </c>
      <c r="H612" s="32">
        <f>IF(AND($L612="",$M612="",$N612=""),"",IF($L612&lt;&gt;"",IF(INDEX(LdANote,$L612)="","—",INDEX(LdANote,$L612)),IF($M612&lt;&gt;"",IF(INDEX(LdBNote,$M612)="","—",INDEX(LdBNote,$M612)),IF($N612&lt;&gt;"",IF(INDEX(LdCNote,$N612)="","—",INDEX(LdCNote,$N612)),""))))</f>
        <v/>
      </c>
      <c r="L612">
        <f>IFERROR(MATCH($C$5&amp;"|"&amp;RIGHT("000000"&amp;596,6),LdAKeyM,0),"")</f>
        <v/>
      </c>
      <c r="M612">
        <f>IFERROR(MATCH($C$5&amp;"|"&amp;RIGHT("000000"&amp;596,6),LdBKeyM,0),"")</f>
        <v/>
      </c>
      <c r="N612">
        <f>IFERROR(MATCH($C$5&amp;"|"&amp;RIGHT("000000"&amp;596,6),LdCKeyM,0),"")</f>
        <v/>
      </c>
    </row>
    <row r="613">
      <c r="A613" s="10" t="n">
        <v>597</v>
      </c>
      <c r="B613" s="14">
        <f>IF(AND($L613="",$M613="",$N613=""),"",IF($L613&lt;&gt;"",INDEX(LdADate,$L613),IF($M613&lt;&gt;"",INDEX(LdBDate,$M613),INDEX(LdCDate,$N613))))</f>
        <v/>
      </c>
      <c r="C613" s="14">
        <f>IF($L613&lt;&gt;"","دستمزد (فردی)",IF($M613&lt;&gt;"","سهم از گروه "&amp;IFERROR(VLOOKUP(INDEX(LdBGroup,$M613),WGTbl,2,0),INDEX(LdBGroup,$M613)),IF($N613&lt;&gt;"",IF(N(INDEX(LdCDep,$N613))&gt;0,"بازگشت بانکی","پرداخت بانکی"),"")))</f>
        <v/>
      </c>
      <c r="D613" s="14">
        <f>IF($L613&lt;&gt;"",IF(INDEX(LdAId,$L613)="","—",INDEX(LdAId,$L613)),IF($M613&lt;&gt;"",IF(INDEX(LdBId,$M613)="","—",INDEX(LdBId,$M613)),IF($N613&lt;&gt;"",IF(INDEX(LdCBank,$N613)="","—",INDEX(LdCBank,$N613)),"")))</f>
        <v/>
      </c>
      <c r="E613" s="16">
        <f>IF($L613&lt;&gt;"",IF(INDEX(LdAAmt,$L613)=0,"",INDEX(LdAAmt,$L613)),IF($M613&lt;&gt;"",IF(INDEX(LdBAmt,$M613)=0,"",INDEX(LdBAmt,$M613)),IF($N613&lt;&gt;"",IF(INDEX(LdCDep,$N613)=0,"",INDEX(LdCDep,$N613)),"")))</f>
        <v/>
      </c>
      <c r="F613" s="16">
        <f>IF(AND($L613="",$M613="",$N613=""),"",IF($N613="","",IF(INDEX(LdCWit,$N613)=0,"",INDEX(LdCWit,$N613))))</f>
        <v/>
      </c>
      <c r="G613" s="29">
        <f>IF($B613="","",IF($G612="",0,$G612)+IF($E613="",0,$E613)-IF($F613="",0,$F613))</f>
        <v/>
      </c>
      <c r="H613" s="30">
        <f>IF(AND($L613="",$M613="",$N613=""),"",IF($L613&lt;&gt;"",IF(INDEX(LdANote,$L613)="","—",INDEX(LdANote,$L613)),IF($M613&lt;&gt;"",IF(INDEX(LdBNote,$M613)="","—",INDEX(LdBNote,$M613)),IF($N613&lt;&gt;"",IF(INDEX(LdCNote,$N613)="","—",INDEX(LdCNote,$N613)),""))))</f>
        <v/>
      </c>
      <c r="L613">
        <f>IFERROR(MATCH($C$5&amp;"|"&amp;RIGHT("000000"&amp;597,6),LdAKeyM,0),"")</f>
        <v/>
      </c>
      <c r="M613">
        <f>IFERROR(MATCH($C$5&amp;"|"&amp;RIGHT("000000"&amp;597,6),LdBKeyM,0),"")</f>
        <v/>
      </c>
      <c r="N613">
        <f>IFERROR(MATCH($C$5&amp;"|"&amp;RIGHT("000000"&amp;597,6),LdCKeyM,0),"")</f>
        <v/>
      </c>
    </row>
    <row r="614">
      <c r="A614" s="19" t="n">
        <v>598</v>
      </c>
      <c r="B614" s="20">
        <f>IF(AND($L614="",$M614="",$N614=""),"",IF($L614&lt;&gt;"",INDEX(LdADate,$L614),IF($M614&lt;&gt;"",INDEX(LdBDate,$M614),INDEX(LdCDate,$N614))))</f>
        <v/>
      </c>
      <c r="C614" s="20">
        <f>IF($L614&lt;&gt;"","دستمزد (فردی)",IF($M614&lt;&gt;"","سهم از گروه "&amp;IFERROR(VLOOKUP(INDEX(LdBGroup,$M614),WGTbl,2,0),INDEX(LdBGroup,$M614)),IF($N614&lt;&gt;"",IF(N(INDEX(LdCDep,$N614))&gt;0,"بازگشت بانکی","پرداخت بانکی"),"")))</f>
        <v/>
      </c>
      <c r="D614" s="20">
        <f>IF($L614&lt;&gt;"",IF(INDEX(LdAId,$L614)="","—",INDEX(LdAId,$L614)),IF($M614&lt;&gt;"",IF(INDEX(LdBId,$M614)="","—",INDEX(LdBId,$M614)),IF($N614&lt;&gt;"",IF(INDEX(LdCBank,$N614)="","—",INDEX(LdCBank,$N614)),"")))</f>
        <v/>
      </c>
      <c r="E614" s="21">
        <f>IF($L614&lt;&gt;"",IF(INDEX(LdAAmt,$L614)=0,"",INDEX(LdAAmt,$L614)),IF($M614&lt;&gt;"",IF(INDEX(LdBAmt,$M614)=0,"",INDEX(LdBAmt,$M614)),IF($N614&lt;&gt;"",IF(INDEX(LdCDep,$N614)=0,"",INDEX(LdCDep,$N614)),"")))</f>
        <v/>
      </c>
      <c r="F614" s="21">
        <f>IF(AND($L614="",$M614="",$N614=""),"",IF($N614="","",IF(INDEX(LdCWit,$N614)=0,"",INDEX(LdCWit,$N614))))</f>
        <v/>
      </c>
      <c r="G614" s="31">
        <f>IF($B614="","",IF($G613="",0,$G613)+IF($E614="",0,$E614)-IF($F614="",0,$F614))</f>
        <v/>
      </c>
      <c r="H614" s="32">
        <f>IF(AND($L614="",$M614="",$N614=""),"",IF($L614&lt;&gt;"",IF(INDEX(LdANote,$L614)="","—",INDEX(LdANote,$L614)),IF($M614&lt;&gt;"",IF(INDEX(LdBNote,$M614)="","—",INDEX(LdBNote,$M614)),IF($N614&lt;&gt;"",IF(INDEX(LdCNote,$N614)="","—",INDEX(LdCNote,$N614)),""))))</f>
        <v/>
      </c>
      <c r="L614">
        <f>IFERROR(MATCH($C$5&amp;"|"&amp;RIGHT("000000"&amp;598,6),LdAKeyM,0),"")</f>
        <v/>
      </c>
      <c r="M614">
        <f>IFERROR(MATCH($C$5&amp;"|"&amp;RIGHT("000000"&amp;598,6),LdBKeyM,0),"")</f>
        <v/>
      </c>
      <c r="N614">
        <f>IFERROR(MATCH($C$5&amp;"|"&amp;RIGHT("000000"&amp;598,6),LdCKeyM,0),"")</f>
        <v/>
      </c>
    </row>
    <row r="615">
      <c r="A615" s="10" t="n">
        <v>599</v>
      </c>
      <c r="B615" s="14">
        <f>IF(AND($L615="",$M615="",$N615=""),"",IF($L615&lt;&gt;"",INDEX(LdADate,$L615),IF($M615&lt;&gt;"",INDEX(LdBDate,$M615),INDEX(LdCDate,$N615))))</f>
        <v/>
      </c>
      <c r="C615" s="14">
        <f>IF($L615&lt;&gt;"","دستمزد (فردی)",IF($M615&lt;&gt;"","سهم از گروه "&amp;IFERROR(VLOOKUP(INDEX(LdBGroup,$M615),WGTbl,2,0),INDEX(LdBGroup,$M615)),IF($N615&lt;&gt;"",IF(N(INDEX(LdCDep,$N615))&gt;0,"بازگشت بانکی","پرداخت بانکی"),"")))</f>
        <v/>
      </c>
      <c r="D615" s="14">
        <f>IF($L615&lt;&gt;"",IF(INDEX(LdAId,$L615)="","—",INDEX(LdAId,$L615)),IF($M615&lt;&gt;"",IF(INDEX(LdBId,$M615)="","—",INDEX(LdBId,$M615)),IF($N615&lt;&gt;"",IF(INDEX(LdCBank,$N615)="","—",INDEX(LdCBank,$N615)),"")))</f>
        <v/>
      </c>
      <c r="E615" s="16">
        <f>IF($L615&lt;&gt;"",IF(INDEX(LdAAmt,$L615)=0,"",INDEX(LdAAmt,$L615)),IF($M615&lt;&gt;"",IF(INDEX(LdBAmt,$M615)=0,"",INDEX(LdBAmt,$M615)),IF($N615&lt;&gt;"",IF(INDEX(LdCDep,$N615)=0,"",INDEX(LdCDep,$N615)),"")))</f>
        <v/>
      </c>
      <c r="F615" s="16">
        <f>IF(AND($L615="",$M615="",$N615=""),"",IF($N615="","",IF(INDEX(LdCWit,$N615)=0,"",INDEX(LdCWit,$N615))))</f>
        <v/>
      </c>
      <c r="G615" s="29">
        <f>IF($B615="","",IF($G614="",0,$G614)+IF($E615="",0,$E615)-IF($F615="",0,$F615))</f>
        <v/>
      </c>
      <c r="H615" s="30">
        <f>IF(AND($L615="",$M615="",$N615=""),"",IF($L615&lt;&gt;"",IF(INDEX(LdANote,$L615)="","—",INDEX(LdANote,$L615)),IF($M615&lt;&gt;"",IF(INDEX(LdBNote,$M615)="","—",INDEX(LdBNote,$M615)),IF($N615&lt;&gt;"",IF(INDEX(LdCNote,$N615)="","—",INDEX(LdCNote,$N615)),""))))</f>
        <v/>
      </c>
      <c r="L615">
        <f>IFERROR(MATCH($C$5&amp;"|"&amp;RIGHT("000000"&amp;599,6),LdAKeyM,0),"")</f>
        <v/>
      </c>
      <c r="M615">
        <f>IFERROR(MATCH($C$5&amp;"|"&amp;RIGHT("000000"&amp;599,6),LdBKeyM,0),"")</f>
        <v/>
      </c>
      <c r="N615">
        <f>IFERROR(MATCH($C$5&amp;"|"&amp;RIGHT("000000"&amp;599,6),LdCKeyM,0),"")</f>
        <v/>
      </c>
    </row>
    <row r="616">
      <c r="A616" s="19" t="n">
        <v>600</v>
      </c>
      <c r="B616" s="20">
        <f>IF(AND($L616="",$M616="",$N616=""),"",IF($L616&lt;&gt;"",INDEX(LdADate,$L616),IF($M616&lt;&gt;"",INDEX(LdBDate,$M616),INDEX(LdCDate,$N616))))</f>
        <v/>
      </c>
      <c r="C616" s="20">
        <f>IF($L616&lt;&gt;"","دستمزد (فردی)",IF($M616&lt;&gt;"","سهم از گروه "&amp;IFERROR(VLOOKUP(INDEX(LdBGroup,$M616),WGTbl,2,0),INDEX(LdBGroup,$M616)),IF($N616&lt;&gt;"",IF(N(INDEX(LdCDep,$N616))&gt;0,"بازگشت بانکی","پرداخت بانکی"),"")))</f>
        <v/>
      </c>
      <c r="D616" s="20">
        <f>IF($L616&lt;&gt;"",IF(INDEX(LdAId,$L616)="","—",INDEX(LdAId,$L616)),IF($M616&lt;&gt;"",IF(INDEX(LdBId,$M616)="","—",INDEX(LdBId,$M616)),IF($N616&lt;&gt;"",IF(INDEX(LdCBank,$N616)="","—",INDEX(LdCBank,$N616)),"")))</f>
        <v/>
      </c>
      <c r="E616" s="21">
        <f>IF($L616&lt;&gt;"",IF(INDEX(LdAAmt,$L616)=0,"",INDEX(LdAAmt,$L616)),IF($M616&lt;&gt;"",IF(INDEX(LdBAmt,$M616)=0,"",INDEX(LdBAmt,$M616)),IF($N616&lt;&gt;"",IF(INDEX(LdCDep,$N616)=0,"",INDEX(LdCDep,$N616)),"")))</f>
        <v/>
      </c>
      <c r="F616" s="21">
        <f>IF(AND($L616="",$M616="",$N616=""),"",IF($N616="","",IF(INDEX(LdCWit,$N616)=0,"",INDEX(LdCWit,$N616))))</f>
        <v/>
      </c>
      <c r="G616" s="31">
        <f>IF($B616="","",IF($G615="",0,$G615)+IF($E616="",0,$E616)-IF($F616="",0,$F616))</f>
        <v/>
      </c>
      <c r="H616" s="32">
        <f>IF(AND($L616="",$M616="",$N616=""),"",IF($L616&lt;&gt;"",IF(INDEX(LdANote,$L616)="","—",INDEX(LdANote,$L616)),IF($M616&lt;&gt;"",IF(INDEX(LdBNote,$M616)="","—",INDEX(LdBNote,$M616)),IF($N616&lt;&gt;"",IF(INDEX(LdCNote,$N616)="","—",INDEX(LdCNote,$N616)),""))))</f>
        <v/>
      </c>
      <c r="L616">
        <f>IFERROR(MATCH($C$5&amp;"|"&amp;RIGHT("000000"&amp;600,6),LdAKeyM,0),"")</f>
        <v/>
      </c>
      <c r="M616">
        <f>IFERROR(MATCH($C$5&amp;"|"&amp;RIGHT("000000"&amp;600,6),LdBKeyM,0),"")</f>
        <v/>
      </c>
      <c r="N616">
        <f>IFERROR(MATCH($C$5&amp;"|"&amp;RIGHT("000000"&amp;600,6),LdCKeyM,0),"")</f>
        <v/>
      </c>
    </row>
    <row r="617">
      <c r="A617" s="10" t="n">
        <v>601</v>
      </c>
      <c r="B617" s="14">
        <f>IF(AND($L617="",$M617="",$N617=""),"",IF($L617&lt;&gt;"",INDEX(LdADate,$L617),IF($M617&lt;&gt;"",INDEX(LdBDate,$M617),INDEX(LdCDate,$N617))))</f>
        <v/>
      </c>
      <c r="C617" s="14">
        <f>IF($L617&lt;&gt;"","دستمزد (فردی)",IF($M617&lt;&gt;"","سهم از گروه "&amp;IFERROR(VLOOKUP(INDEX(LdBGroup,$M617),WGTbl,2,0),INDEX(LdBGroup,$M617)),IF($N617&lt;&gt;"",IF(N(INDEX(LdCDep,$N617))&gt;0,"بازگشت بانکی","پرداخت بانکی"),"")))</f>
        <v/>
      </c>
      <c r="D617" s="14">
        <f>IF($L617&lt;&gt;"",IF(INDEX(LdAId,$L617)="","—",INDEX(LdAId,$L617)),IF($M617&lt;&gt;"",IF(INDEX(LdBId,$M617)="","—",INDEX(LdBId,$M617)),IF($N617&lt;&gt;"",IF(INDEX(LdCBank,$N617)="","—",INDEX(LdCBank,$N617)),"")))</f>
        <v/>
      </c>
      <c r="E617" s="16">
        <f>IF($L617&lt;&gt;"",IF(INDEX(LdAAmt,$L617)=0,"",INDEX(LdAAmt,$L617)),IF($M617&lt;&gt;"",IF(INDEX(LdBAmt,$M617)=0,"",INDEX(LdBAmt,$M617)),IF($N617&lt;&gt;"",IF(INDEX(LdCDep,$N617)=0,"",INDEX(LdCDep,$N617)),"")))</f>
        <v/>
      </c>
      <c r="F617" s="16">
        <f>IF(AND($L617="",$M617="",$N617=""),"",IF($N617="","",IF(INDEX(LdCWit,$N617)=0,"",INDEX(LdCWit,$N617))))</f>
        <v/>
      </c>
      <c r="G617" s="29">
        <f>IF($B617="","",IF($G616="",0,$G616)+IF($E617="",0,$E617)-IF($F617="",0,$F617))</f>
        <v/>
      </c>
      <c r="H617" s="30">
        <f>IF(AND($L617="",$M617="",$N617=""),"",IF($L617&lt;&gt;"",IF(INDEX(LdANote,$L617)="","—",INDEX(LdANote,$L617)),IF($M617&lt;&gt;"",IF(INDEX(LdBNote,$M617)="","—",INDEX(LdBNote,$M617)),IF($N617&lt;&gt;"",IF(INDEX(LdCNote,$N617)="","—",INDEX(LdCNote,$N617)),""))))</f>
        <v/>
      </c>
      <c r="L617">
        <f>IFERROR(MATCH($C$5&amp;"|"&amp;RIGHT("000000"&amp;601,6),LdAKeyM,0),"")</f>
        <v/>
      </c>
      <c r="M617">
        <f>IFERROR(MATCH($C$5&amp;"|"&amp;RIGHT("000000"&amp;601,6),LdBKeyM,0),"")</f>
        <v/>
      </c>
      <c r="N617">
        <f>IFERROR(MATCH($C$5&amp;"|"&amp;RIGHT("000000"&amp;601,6),LdCKeyM,0),"")</f>
        <v/>
      </c>
    </row>
    <row r="618">
      <c r="A618" s="19" t="n">
        <v>602</v>
      </c>
      <c r="B618" s="20">
        <f>IF(AND($L618="",$M618="",$N618=""),"",IF($L618&lt;&gt;"",INDEX(LdADate,$L618),IF($M618&lt;&gt;"",INDEX(LdBDate,$M618),INDEX(LdCDate,$N618))))</f>
        <v/>
      </c>
      <c r="C618" s="20">
        <f>IF($L618&lt;&gt;"","دستمزد (فردی)",IF($M618&lt;&gt;"","سهم از گروه "&amp;IFERROR(VLOOKUP(INDEX(LdBGroup,$M618),WGTbl,2,0),INDEX(LdBGroup,$M618)),IF($N618&lt;&gt;"",IF(N(INDEX(LdCDep,$N618))&gt;0,"بازگشت بانکی","پرداخت بانکی"),"")))</f>
        <v/>
      </c>
      <c r="D618" s="20">
        <f>IF($L618&lt;&gt;"",IF(INDEX(LdAId,$L618)="","—",INDEX(LdAId,$L618)),IF($M618&lt;&gt;"",IF(INDEX(LdBId,$M618)="","—",INDEX(LdBId,$M618)),IF($N618&lt;&gt;"",IF(INDEX(LdCBank,$N618)="","—",INDEX(LdCBank,$N618)),"")))</f>
        <v/>
      </c>
      <c r="E618" s="21">
        <f>IF($L618&lt;&gt;"",IF(INDEX(LdAAmt,$L618)=0,"",INDEX(LdAAmt,$L618)),IF($M618&lt;&gt;"",IF(INDEX(LdBAmt,$M618)=0,"",INDEX(LdBAmt,$M618)),IF($N618&lt;&gt;"",IF(INDEX(LdCDep,$N618)=0,"",INDEX(LdCDep,$N618)),"")))</f>
        <v/>
      </c>
      <c r="F618" s="21">
        <f>IF(AND($L618="",$M618="",$N618=""),"",IF($N618="","",IF(INDEX(LdCWit,$N618)=0,"",INDEX(LdCWit,$N618))))</f>
        <v/>
      </c>
      <c r="G618" s="31">
        <f>IF($B618="","",IF($G617="",0,$G617)+IF($E618="",0,$E618)-IF($F618="",0,$F618))</f>
        <v/>
      </c>
      <c r="H618" s="32">
        <f>IF(AND($L618="",$M618="",$N618=""),"",IF($L618&lt;&gt;"",IF(INDEX(LdANote,$L618)="","—",INDEX(LdANote,$L618)),IF($M618&lt;&gt;"",IF(INDEX(LdBNote,$M618)="","—",INDEX(LdBNote,$M618)),IF($N618&lt;&gt;"",IF(INDEX(LdCNote,$N618)="","—",INDEX(LdCNote,$N618)),""))))</f>
        <v/>
      </c>
      <c r="L618">
        <f>IFERROR(MATCH($C$5&amp;"|"&amp;RIGHT("000000"&amp;602,6),LdAKeyM,0),"")</f>
        <v/>
      </c>
      <c r="M618">
        <f>IFERROR(MATCH($C$5&amp;"|"&amp;RIGHT("000000"&amp;602,6),LdBKeyM,0),"")</f>
        <v/>
      </c>
      <c r="N618">
        <f>IFERROR(MATCH($C$5&amp;"|"&amp;RIGHT("000000"&amp;602,6),LdCKeyM,0),"")</f>
        <v/>
      </c>
    </row>
    <row r="619">
      <c r="A619" s="10" t="n">
        <v>603</v>
      </c>
      <c r="B619" s="14">
        <f>IF(AND($L619="",$M619="",$N619=""),"",IF($L619&lt;&gt;"",INDEX(LdADate,$L619),IF($M619&lt;&gt;"",INDEX(LdBDate,$M619),INDEX(LdCDate,$N619))))</f>
        <v/>
      </c>
      <c r="C619" s="14">
        <f>IF($L619&lt;&gt;"","دستمزد (فردی)",IF($M619&lt;&gt;"","سهم از گروه "&amp;IFERROR(VLOOKUP(INDEX(LdBGroup,$M619),WGTbl,2,0),INDEX(LdBGroup,$M619)),IF($N619&lt;&gt;"",IF(N(INDEX(LdCDep,$N619))&gt;0,"بازگشت بانکی","پرداخت بانکی"),"")))</f>
        <v/>
      </c>
      <c r="D619" s="14">
        <f>IF($L619&lt;&gt;"",IF(INDEX(LdAId,$L619)="","—",INDEX(LdAId,$L619)),IF($M619&lt;&gt;"",IF(INDEX(LdBId,$M619)="","—",INDEX(LdBId,$M619)),IF($N619&lt;&gt;"",IF(INDEX(LdCBank,$N619)="","—",INDEX(LdCBank,$N619)),"")))</f>
        <v/>
      </c>
      <c r="E619" s="16">
        <f>IF($L619&lt;&gt;"",IF(INDEX(LdAAmt,$L619)=0,"",INDEX(LdAAmt,$L619)),IF($M619&lt;&gt;"",IF(INDEX(LdBAmt,$M619)=0,"",INDEX(LdBAmt,$M619)),IF($N619&lt;&gt;"",IF(INDEX(LdCDep,$N619)=0,"",INDEX(LdCDep,$N619)),"")))</f>
        <v/>
      </c>
      <c r="F619" s="16">
        <f>IF(AND($L619="",$M619="",$N619=""),"",IF($N619="","",IF(INDEX(LdCWit,$N619)=0,"",INDEX(LdCWit,$N619))))</f>
        <v/>
      </c>
      <c r="G619" s="29">
        <f>IF($B619="","",IF($G618="",0,$G618)+IF($E619="",0,$E619)-IF($F619="",0,$F619))</f>
        <v/>
      </c>
      <c r="H619" s="30">
        <f>IF(AND($L619="",$M619="",$N619=""),"",IF($L619&lt;&gt;"",IF(INDEX(LdANote,$L619)="","—",INDEX(LdANote,$L619)),IF($M619&lt;&gt;"",IF(INDEX(LdBNote,$M619)="","—",INDEX(LdBNote,$M619)),IF($N619&lt;&gt;"",IF(INDEX(LdCNote,$N619)="","—",INDEX(LdCNote,$N619)),""))))</f>
        <v/>
      </c>
      <c r="L619">
        <f>IFERROR(MATCH($C$5&amp;"|"&amp;RIGHT("000000"&amp;603,6),LdAKeyM,0),"")</f>
        <v/>
      </c>
      <c r="M619">
        <f>IFERROR(MATCH($C$5&amp;"|"&amp;RIGHT("000000"&amp;603,6),LdBKeyM,0),"")</f>
        <v/>
      </c>
      <c r="N619">
        <f>IFERROR(MATCH($C$5&amp;"|"&amp;RIGHT("000000"&amp;603,6),LdCKeyM,0),"")</f>
        <v/>
      </c>
    </row>
    <row r="620">
      <c r="A620" s="19" t="n">
        <v>604</v>
      </c>
      <c r="B620" s="20">
        <f>IF(AND($L620="",$M620="",$N620=""),"",IF($L620&lt;&gt;"",INDEX(LdADate,$L620),IF($M620&lt;&gt;"",INDEX(LdBDate,$M620),INDEX(LdCDate,$N620))))</f>
        <v/>
      </c>
      <c r="C620" s="20">
        <f>IF($L620&lt;&gt;"","دستمزد (فردی)",IF($M620&lt;&gt;"","سهم از گروه "&amp;IFERROR(VLOOKUP(INDEX(LdBGroup,$M620),WGTbl,2,0),INDEX(LdBGroup,$M620)),IF($N620&lt;&gt;"",IF(N(INDEX(LdCDep,$N620))&gt;0,"بازگشت بانکی","پرداخت بانکی"),"")))</f>
        <v/>
      </c>
      <c r="D620" s="20">
        <f>IF($L620&lt;&gt;"",IF(INDEX(LdAId,$L620)="","—",INDEX(LdAId,$L620)),IF($M620&lt;&gt;"",IF(INDEX(LdBId,$M620)="","—",INDEX(LdBId,$M620)),IF($N620&lt;&gt;"",IF(INDEX(LdCBank,$N620)="","—",INDEX(LdCBank,$N620)),"")))</f>
        <v/>
      </c>
      <c r="E620" s="21">
        <f>IF($L620&lt;&gt;"",IF(INDEX(LdAAmt,$L620)=0,"",INDEX(LdAAmt,$L620)),IF($M620&lt;&gt;"",IF(INDEX(LdBAmt,$M620)=0,"",INDEX(LdBAmt,$M620)),IF($N620&lt;&gt;"",IF(INDEX(LdCDep,$N620)=0,"",INDEX(LdCDep,$N620)),"")))</f>
        <v/>
      </c>
      <c r="F620" s="21">
        <f>IF(AND($L620="",$M620="",$N620=""),"",IF($N620="","",IF(INDEX(LdCWit,$N620)=0,"",INDEX(LdCWit,$N620))))</f>
        <v/>
      </c>
      <c r="G620" s="31">
        <f>IF($B620="","",IF($G619="",0,$G619)+IF($E620="",0,$E620)-IF($F620="",0,$F620))</f>
        <v/>
      </c>
      <c r="H620" s="32">
        <f>IF(AND($L620="",$M620="",$N620=""),"",IF($L620&lt;&gt;"",IF(INDEX(LdANote,$L620)="","—",INDEX(LdANote,$L620)),IF($M620&lt;&gt;"",IF(INDEX(LdBNote,$M620)="","—",INDEX(LdBNote,$M620)),IF($N620&lt;&gt;"",IF(INDEX(LdCNote,$N620)="","—",INDEX(LdCNote,$N620)),""))))</f>
        <v/>
      </c>
      <c r="L620">
        <f>IFERROR(MATCH($C$5&amp;"|"&amp;RIGHT("000000"&amp;604,6),LdAKeyM,0),"")</f>
        <v/>
      </c>
      <c r="M620">
        <f>IFERROR(MATCH($C$5&amp;"|"&amp;RIGHT("000000"&amp;604,6),LdBKeyM,0),"")</f>
        <v/>
      </c>
      <c r="N620">
        <f>IFERROR(MATCH($C$5&amp;"|"&amp;RIGHT("000000"&amp;604,6),LdCKeyM,0),"")</f>
        <v/>
      </c>
    </row>
    <row r="621">
      <c r="A621" s="10" t="n">
        <v>605</v>
      </c>
      <c r="B621" s="14">
        <f>IF(AND($L621="",$M621="",$N621=""),"",IF($L621&lt;&gt;"",INDEX(LdADate,$L621),IF($M621&lt;&gt;"",INDEX(LdBDate,$M621),INDEX(LdCDate,$N621))))</f>
        <v/>
      </c>
      <c r="C621" s="14">
        <f>IF($L621&lt;&gt;"","دستمزد (فردی)",IF($M621&lt;&gt;"","سهم از گروه "&amp;IFERROR(VLOOKUP(INDEX(LdBGroup,$M621),WGTbl,2,0),INDEX(LdBGroup,$M621)),IF($N621&lt;&gt;"",IF(N(INDEX(LdCDep,$N621))&gt;0,"بازگشت بانکی","پرداخت بانکی"),"")))</f>
        <v/>
      </c>
      <c r="D621" s="14">
        <f>IF($L621&lt;&gt;"",IF(INDEX(LdAId,$L621)="","—",INDEX(LdAId,$L621)),IF($M621&lt;&gt;"",IF(INDEX(LdBId,$M621)="","—",INDEX(LdBId,$M621)),IF($N621&lt;&gt;"",IF(INDEX(LdCBank,$N621)="","—",INDEX(LdCBank,$N621)),"")))</f>
        <v/>
      </c>
      <c r="E621" s="16">
        <f>IF($L621&lt;&gt;"",IF(INDEX(LdAAmt,$L621)=0,"",INDEX(LdAAmt,$L621)),IF($M621&lt;&gt;"",IF(INDEX(LdBAmt,$M621)=0,"",INDEX(LdBAmt,$M621)),IF($N621&lt;&gt;"",IF(INDEX(LdCDep,$N621)=0,"",INDEX(LdCDep,$N621)),"")))</f>
        <v/>
      </c>
      <c r="F621" s="16">
        <f>IF(AND($L621="",$M621="",$N621=""),"",IF($N621="","",IF(INDEX(LdCWit,$N621)=0,"",INDEX(LdCWit,$N621))))</f>
        <v/>
      </c>
      <c r="G621" s="29">
        <f>IF($B621="","",IF($G620="",0,$G620)+IF($E621="",0,$E621)-IF($F621="",0,$F621))</f>
        <v/>
      </c>
      <c r="H621" s="30">
        <f>IF(AND($L621="",$M621="",$N621=""),"",IF($L621&lt;&gt;"",IF(INDEX(LdANote,$L621)="","—",INDEX(LdANote,$L621)),IF($M621&lt;&gt;"",IF(INDEX(LdBNote,$M621)="","—",INDEX(LdBNote,$M621)),IF($N621&lt;&gt;"",IF(INDEX(LdCNote,$N621)="","—",INDEX(LdCNote,$N621)),""))))</f>
        <v/>
      </c>
      <c r="L621">
        <f>IFERROR(MATCH($C$5&amp;"|"&amp;RIGHT("000000"&amp;605,6),LdAKeyM,0),"")</f>
        <v/>
      </c>
      <c r="M621">
        <f>IFERROR(MATCH($C$5&amp;"|"&amp;RIGHT("000000"&amp;605,6),LdBKeyM,0),"")</f>
        <v/>
      </c>
      <c r="N621">
        <f>IFERROR(MATCH($C$5&amp;"|"&amp;RIGHT("000000"&amp;605,6),LdCKeyM,0),"")</f>
        <v/>
      </c>
    </row>
    <row r="622">
      <c r="A622" s="19" t="n">
        <v>606</v>
      </c>
      <c r="B622" s="20">
        <f>IF(AND($L622="",$M622="",$N622=""),"",IF($L622&lt;&gt;"",INDEX(LdADate,$L622),IF($M622&lt;&gt;"",INDEX(LdBDate,$M622),INDEX(LdCDate,$N622))))</f>
        <v/>
      </c>
      <c r="C622" s="20">
        <f>IF($L622&lt;&gt;"","دستمزد (فردی)",IF($M622&lt;&gt;"","سهم از گروه "&amp;IFERROR(VLOOKUP(INDEX(LdBGroup,$M622),WGTbl,2,0),INDEX(LdBGroup,$M622)),IF($N622&lt;&gt;"",IF(N(INDEX(LdCDep,$N622))&gt;0,"بازگشت بانکی","پرداخت بانکی"),"")))</f>
        <v/>
      </c>
      <c r="D622" s="20">
        <f>IF($L622&lt;&gt;"",IF(INDEX(LdAId,$L622)="","—",INDEX(LdAId,$L622)),IF($M622&lt;&gt;"",IF(INDEX(LdBId,$M622)="","—",INDEX(LdBId,$M622)),IF($N622&lt;&gt;"",IF(INDEX(LdCBank,$N622)="","—",INDEX(LdCBank,$N622)),"")))</f>
        <v/>
      </c>
      <c r="E622" s="21">
        <f>IF($L622&lt;&gt;"",IF(INDEX(LdAAmt,$L622)=0,"",INDEX(LdAAmt,$L622)),IF($M622&lt;&gt;"",IF(INDEX(LdBAmt,$M622)=0,"",INDEX(LdBAmt,$M622)),IF($N622&lt;&gt;"",IF(INDEX(LdCDep,$N622)=0,"",INDEX(LdCDep,$N622)),"")))</f>
        <v/>
      </c>
      <c r="F622" s="21">
        <f>IF(AND($L622="",$M622="",$N622=""),"",IF($N622="","",IF(INDEX(LdCWit,$N622)=0,"",INDEX(LdCWit,$N622))))</f>
        <v/>
      </c>
      <c r="G622" s="31">
        <f>IF($B622="","",IF($G621="",0,$G621)+IF($E622="",0,$E622)-IF($F622="",0,$F622))</f>
        <v/>
      </c>
      <c r="H622" s="32">
        <f>IF(AND($L622="",$M622="",$N622=""),"",IF($L622&lt;&gt;"",IF(INDEX(LdANote,$L622)="","—",INDEX(LdANote,$L622)),IF($M622&lt;&gt;"",IF(INDEX(LdBNote,$M622)="","—",INDEX(LdBNote,$M622)),IF($N622&lt;&gt;"",IF(INDEX(LdCNote,$N622)="","—",INDEX(LdCNote,$N622)),""))))</f>
        <v/>
      </c>
      <c r="L622">
        <f>IFERROR(MATCH($C$5&amp;"|"&amp;RIGHT("000000"&amp;606,6),LdAKeyM,0),"")</f>
        <v/>
      </c>
      <c r="M622">
        <f>IFERROR(MATCH($C$5&amp;"|"&amp;RIGHT("000000"&amp;606,6),LdBKeyM,0),"")</f>
        <v/>
      </c>
      <c r="N622">
        <f>IFERROR(MATCH($C$5&amp;"|"&amp;RIGHT("000000"&amp;606,6),LdCKeyM,0),"")</f>
        <v/>
      </c>
    </row>
    <row r="623">
      <c r="A623" s="10" t="n">
        <v>607</v>
      </c>
      <c r="B623" s="14">
        <f>IF(AND($L623="",$M623="",$N623=""),"",IF($L623&lt;&gt;"",INDEX(LdADate,$L623),IF($M623&lt;&gt;"",INDEX(LdBDate,$M623),INDEX(LdCDate,$N623))))</f>
        <v/>
      </c>
      <c r="C623" s="14">
        <f>IF($L623&lt;&gt;"","دستمزد (فردی)",IF($M623&lt;&gt;"","سهم از گروه "&amp;IFERROR(VLOOKUP(INDEX(LdBGroup,$M623),WGTbl,2,0),INDEX(LdBGroup,$M623)),IF($N623&lt;&gt;"",IF(N(INDEX(LdCDep,$N623))&gt;0,"بازگشت بانکی","پرداخت بانکی"),"")))</f>
        <v/>
      </c>
      <c r="D623" s="14">
        <f>IF($L623&lt;&gt;"",IF(INDEX(LdAId,$L623)="","—",INDEX(LdAId,$L623)),IF($M623&lt;&gt;"",IF(INDEX(LdBId,$M623)="","—",INDEX(LdBId,$M623)),IF($N623&lt;&gt;"",IF(INDEX(LdCBank,$N623)="","—",INDEX(LdCBank,$N623)),"")))</f>
        <v/>
      </c>
      <c r="E623" s="16">
        <f>IF($L623&lt;&gt;"",IF(INDEX(LdAAmt,$L623)=0,"",INDEX(LdAAmt,$L623)),IF($M623&lt;&gt;"",IF(INDEX(LdBAmt,$M623)=0,"",INDEX(LdBAmt,$M623)),IF($N623&lt;&gt;"",IF(INDEX(LdCDep,$N623)=0,"",INDEX(LdCDep,$N623)),"")))</f>
        <v/>
      </c>
      <c r="F623" s="16">
        <f>IF(AND($L623="",$M623="",$N623=""),"",IF($N623="","",IF(INDEX(LdCWit,$N623)=0,"",INDEX(LdCWit,$N623))))</f>
        <v/>
      </c>
      <c r="G623" s="29">
        <f>IF($B623="","",IF($G622="",0,$G622)+IF($E623="",0,$E623)-IF($F623="",0,$F623))</f>
        <v/>
      </c>
      <c r="H623" s="30">
        <f>IF(AND($L623="",$M623="",$N623=""),"",IF($L623&lt;&gt;"",IF(INDEX(LdANote,$L623)="","—",INDEX(LdANote,$L623)),IF($M623&lt;&gt;"",IF(INDEX(LdBNote,$M623)="","—",INDEX(LdBNote,$M623)),IF($N623&lt;&gt;"",IF(INDEX(LdCNote,$N623)="","—",INDEX(LdCNote,$N623)),""))))</f>
        <v/>
      </c>
      <c r="L623">
        <f>IFERROR(MATCH($C$5&amp;"|"&amp;RIGHT("000000"&amp;607,6),LdAKeyM,0),"")</f>
        <v/>
      </c>
      <c r="M623">
        <f>IFERROR(MATCH($C$5&amp;"|"&amp;RIGHT("000000"&amp;607,6),LdBKeyM,0),"")</f>
        <v/>
      </c>
      <c r="N623">
        <f>IFERROR(MATCH($C$5&amp;"|"&amp;RIGHT("000000"&amp;607,6),LdCKeyM,0),"")</f>
        <v/>
      </c>
    </row>
    <row r="624">
      <c r="A624" s="19" t="n">
        <v>608</v>
      </c>
      <c r="B624" s="20">
        <f>IF(AND($L624="",$M624="",$N624=""),"",IF($L624&lt;&gt;"",INDEX(LdADate,$L624),IF($M624&lt;&gt;"",INDEX(LdBDate,$M624),INDEX(LdCDate,$N624))))</f>
        <v/>
      </c>
      <c r="C624" s="20">
        <f>IF($L624&lt;&gt;"","دستمزد (فردی)",IF($M624&lt;&gt;"","سهم از گروه "&amp;IFERROR(VLOOKUP(INDEX(LdBGroup,$M624),WGTbl,2,0),INDEX(LdBGroup,$M624)),IF($N624&lt;&gt;"",IF(N(INDEX(LdCDep,$N624))&gt;0,"بازگشت بانکی","پرداخت بانکی"),"")))</f>
        <v/>
      </c>
      <c r="D624" s="20">
        <f>IF($L624&lt;&gt;"",IF(INDEX(LdAId,$L624)="","—",INDEX(LdAId,$L624)),IF($M624&lt;&gt;"",IF(INDEX(LdBId,$M624)="","—",INDEX(LdBId,$M624)),IF($N624&lt;&gt;"",IF(INDEX(LdCBank,$N624)="","—",INDEX(LdCBank,$N624)),"")))</f>
        <v/>
      </c>
      <c r="E624" s="21">
        <f>IF($L624&lt;&gt;"",IF(INDEX(LdAAmt,$L624)=0,"",INDEX(LdAAmt,$L624)),IF($M624&lt;&gt;"",IF(INDEX(LdBAmt,$M624)=0,"",INDEX(LdBAmt,$M624)),IF($N624&lt;&gt;"",IF(INDEX(LdCDep,$N624)=0,"",INDEX(LdCDep,$N624)),"")))</f>
        <v/>
      </c>
      <c r="F624" s="21">
        <f>IF(AND($L624="",$M624="",$N624=""),"",IF($N624="","",IF(INDEX(LdCWit,$N624)=0,"",INDEX(LdCWit,$N624))))</f>
        <v/>
      </c>
      <c r="G624" s="31">
        <f>IF($B624="","",IF($G623="",0,$G623)+IF($E624="",0,$E624)-IF($F624="",0,$F624))</f>
        <v/>
      </c>
      <c r="H624" s="32">
        <f>IF(AND($L624="",$M624="",$N624=""),"",IF($L624&lt;&gt;"",IF(INDEX(LdANote,$L624)="","—",INDEX(LdANote,$L624)),IF($M624&lt;&gt;"",IF(INDEX(LdBNote,$M624)="","—",INDEX(LdBNote,$M624)),IF($N624&lt;&gt;"",IF(INDEX(LdCNote,$N624)="","—",INDEX(LdCNote,$N624)),""))))</f>
        <v/>
      </c>
      <c r="L624">
        <f>IFERROR(MATCH($C$5&amp;"|"&amp;RIGHT("000000"&amp;608,6),LdAKeyM,0),"")</f>
        <v/>
      </c>
      <c r="M624">
        <f>IFERROR(MATCH($C$5&amp;"|"&amp;RIGHT("000000"&amp;608,6),LdBKeyM,0),"")</f>
        <v/>
      </c>
      <c r="N624">
        <f>IFERROR(MATCH($C$5&amp;"|"&amp;RIGHT("000000"&amp;608,6),LdCKeyM,0),"")</f>
        <v/>
      </c>
    </row>
    <row r="625">
      <c r="A625" s="10" t="n">
        <v>609</v>
      </c>
      <c r="B625" s="14">
        <f>IF(AND($L625="",$M625="",$N625=""),"",IF($L625&lt;&gt;"",INDEX(LdADate,$L625),IF($M625&lt;&gt;"",INDEX(LdBDate,$M625),INDEX(LdCDate,$N625))))</f>
        <v/>
      </c>
      <c r="C625" s="14">
        <f>IF($L625&lt;&gt;"","دستمزد (فردی)",IF($M625&lt;&gt;"","سهم از گروه "&amp;IFERROR(VLOOKUP(INDEX(LdBGroup,$M625),WGTbl,2,0),INDEX(LdBGroup,$M625)),IF($N625&lt;&gt;"",IF(N(INDEX(LdCDep,$N625))&gt;0,"بازگشت بانکی","پرداخت بانکی"),"")))</f>
        <v/>
      </c>
      <c r="D625" s="14">
        <f>IF($L625&lt;&gt;"",IF(INDEX(LdAId,$L625)="","—",INDEX(LdAId,$L625)),IF($M625&lt;&gt;"",IF(INDEX(LdBId,$M625)="","—",INDEX(LdBId,$M625)),IF($N625&lt;&gt;"",IF(INDEX(LdCBank,$N625)="","—",INDEX(LdCBank,$N625)),"")))</f>
        <v/>
      </c>
      <c r="E625" s="16">
        <f>IF($L625&lt;&gt;"",IF(INDEX(LdAAmt,$L625)=0,"",INDEX(LdAAmt,$L625)),IF($M625&lt;&gt;"",IF(INDEX(LdBAmt,$M625)=0,"",INDEX(LdBAmt,$M625)),IF($N625&lt;&gt;"",IF(INDEX(LdCDep,$N625)=0,"",INDEX(LdCDep,$N625)),"")))</f>
        <v/>
      </c>
      <c r="F625" s="16">
        <f>IF(AND($L625="",$M625="",$N625=""),"",IF($N625="","",IF(INDEX(LdCWit,$N625)=0,"",INDEX(LdCWit,$N625))))</f>
        <v/>
      </c>
      <c r="G625" s="29">
        <f>IF($B625="","",IF($G624="",0,$G624)+IF($E625="",0,$E625)-IF($F625="",0,$F625))</f>
        <v/>
      </c>
      <c r="H625" s="30">
        <f>IF(AND($L625="",$M625="",$N625=""),"",IF($L625&lt;&gt;"",IF(INDEX(LdANote,$L625)="","—",INDEX(LdANote,$L625)),IF($M625&lt;&gt;"",IF(INDEX(LdBNote,$M625)="","—",INDEX(LdBNote,$M625)),IF($N625&lt;&gt;"",IF(INDEX(LdCNote,$N625)="","—",INDEX(LdCNote,$N625)),""))))</f>
        <v/>
      </c>
      <c r="L625">
        <f>IFERROR(MATCH($C$5&amp;"|"&amp;RIGHT("000000"&amp;609,6),LdAKeyM,0),"")</f>
        <v/>
      </c>
      <c r="M625">
        <f>IFERROR(MATCH($C$5&amp;"|"&amp;RIGHT("000000"&amp;609,6),LdBKeyM,0),"")</f>
        <v/>
      </c>
      <c r="N625">
        <f>IFERROR(MATCH($C$5&amp;"|"&amp;RIGHT("000000"&amp;609,6),LdCKeyM,0),"")</f>
        <v/>
      </c>
    </row>
    <row r="626">
      <c r="A626" s="19" t="n">
        <v>610</v>
      </c>
      <c r="B626" s="20">
        <f>IF(AND($L626="",$M626="",$N626=""),"",IF($L626&lt;&gt;"",INDEX(LdADate,$L626),IF($M626&lt;&gt;"",INDEX(LdBDate,$M626),INDEX(LdCDate,$N626))))</f>
        <v/>
      </c>
      <c r="C626" s="20">
        <f>IF($L626&lt;&gt;"","دستمزد (فردی)",IF($M626&lt;&gt;"","سهم از گروه "&amp;IFERROR(VLOOKUP(INDEX(LdBGroup,$M626),WGTbl,2,0),INDEX(LdBGroup,$M626)),IF($N626&lt;&gt;"",IF(N(INDEX(LdCDep,$N626))&gt;0,"بازگشت بانکی","پرداخت بانکی"),"")))</f>
        <v/>
      </c>
      <c r="D626" s="20">
        <f>IF($L626&lt;&gt;"",IF(INDEX(LdAId,$L626)="","—",INDEX(LdAId,$L626)),IF($M626&lt;&gt;"",IF(INDEX(LdBId,$M626)="","—",INDEX(LdBId,$M626)),IF($N626&lt;&gt;"",IF(INDEX(LdCBank,$N626)="","—",INDEX(LdCBank,$N626)),"")))</f>
        <v/>
      </c>
      <c r="E626" s="21">
        <f>IF($L626&lt;&gt;"",IF(INDEX(LdAAmt,$L626)=0,"",INDEX(LdAAmt,$L626)),IF($M626&lt;&gt;"",IF(INDEX(LdBAmt,$M626)=0,"",INDEX(LdBAmt,$M626)),IF($N626&lt;&gt;"",IF(INDEX(LdCDep,$N626)=0,"",INDEX(LdCDep,$N626)),"")))</f>
        <v/>
      </c>
      <c r="F626" s="21">
        <f>IF(AND($L626="",$M626="",$N626=""),"",IF($N626="","",IF(INDEX(LdCWit,$N626)=0,"",INDEX(LdCWit,$N626))))</f>
        <v/>
      </c>
      <c r="G626" s="31">
        <f>IF($B626="","",IF($G625="",0,$G625)+IF($E626="",0,$E626)-IF($F626="",0,$F626))</f>
        <v/>
      </c>
      <c r="H626" s="32">
        <f>IF(AND($L626="",$M626="",$N626=""),"",IF($L626&lt;&gt;"",IF(INDEX(LdANote,$L626)="","—",INDEX(LdANote,$L626)),IF($M626&lt;&gt;"",IF(INDEX(LdBNote,$M626)="","—",INDEX(LdBNote,$M626)),IF($N626&lt;&gt;"",IF(INDEX(LdCNote,$N626)="","—",INDEX(LdCNote,$N626)),""))))</f>
        <v/>
      </c>
      <c r="L626">
        <f>IFERROR(MATCH($C$5&amp;"|"&amp;RIGHT("000000"&amp;610,6),LdAKeyM,0),"")</f>
        <v/>
      </c>
      <c r="M626">
        <f>IFERROR(MATCH($C$5&amp;"|"&amp;RIGHT("000000"&amp;610,6),LdBKeyM,0),"")</f>
        <v/>
      </c>
      <c r="N626">
        <f>IFERROR(MATCH($C$5&amp;"|"&amp;RIGHT("000000"&amp;610,6),LdCKeyM,0),"")</f>
        <v/>
      </c>
    </row>
    <row r="627">
      <c r="A627" s="10" t="n">
        <v>611</v>
      </c>
      <c r="B627" s="14">
        <f>IF(AND($L627="",$M627="",$N627=""),"",IF($L627&lt;&gt;"",INDEX(LdADate,$L627),IF($M627&lt;&gt;"",INDEX(LdBDate,$M627),INDEX(LdCDate,$N627))))</f>
        <v/>
      </c>
      <c r="C627" s="14">
        <f>IF($L627&lt;&gt;"","دستمزد (فردی)",IF($M627&lt;&gt;"","سهم از گروه "&amp;IFERROR(VLOOKUP(INDEX(LdBGroup,$M627),WGTbl,2,0),INDEX(LdBGroup,$M627)),IF($N627&lt;&gt;"",IF(N(INDEX(LdCDep,$N627))&gt;0,"بازگشت بانکی","پرداخت بانکی"),"")))</f>
        <v/>
      </c>
      <c r="D627" s="14">
        <f>IF($L627&lt;&gt;"",IF(INDEX(LdAId,$L627)="","—",INDEX(LdAId,$L627)),IF($M627&lt;&gt;"",IF(INDEX(LdBId,$M627)="","—",INDEX(LdBId,$M627)),IF($N627&lt;&gt;"",IF(INDEX(LdCBank,$N627)="","—",INDEX(LdCBank,$N627)),"")))</f>
        <v/>
      </c>
      <c r="E627" s="16">
        <f>IF($L627&lt;&gt;"",IF(INDEX(LdAAmt,$L627)=0,"",INDEX(LdAAmt,$L627)),IF($M627&lt;&gt;"",IF(INDEX(LdBAmt,$M627)=0,"",INDEX(LdBAmt,$M627)),IF($N627&lt;&gt;"",IF(INDEX(LdCDep,$N627)=0,"",INDEX(LdCDep,$N627)),"")))</f>
        <v/>
      </c>
      <c r="F627" s="16">
        <f>IF(AND($L627="",$M627="",$N627=""),"",IF($N627="","",IF(INDEX(LdCWit,$N627)=0,"",INDEX(LdCWit,$N627))))</f>
        <v/>
      </c>
      <c r="G627" s="29">
        <f>IF($B627="","",IF($G626="",0,$G626)+IF($E627="",0,$E627)-IF($F627="",0,$F627))</f>
        <v/>
      </c>
      <c r="H627" s="30">
        <f>IF(AND($L627="",$M627="",$N627=""),"",IF($L627&lt;&gt;"",IF(INDEX(LdANote,$L627)="","—",INDEX(LdANote,$L627)),IF($M627&lt;&gt;"",IF(INDEX(LdBNote,$M627)="","—",INDEX(LdBNote,$M627)),IF($N627&lt;&gt;"",IF(INDEX(LdCNote,$N627)="","—",INDEX(LdCNote,$N627)),""))))</f>
        <v/>
      </c>
      <c r="L627">
        <f>IFERROR(MATCH($C$5&amp;"|"&amp;RIGHT("000000"&amp;611,6),LdAKeyM,0),"")</f>
        <v/>
      </c>
      <c r="M627">
        <f>IFERROR(MATCH($C$5&amp;"|"&amp;RIGHT("000000"&amp;611,6),LdBKeyM,0),"")</f>
        <v/>
      </c>
      <c r="N627">
        <f>IFERROR(MATCH($C$5&amp;"|"&amp;RIGHT("000000"&amp;611,6),LdCKeyM,0),"")</f>
        <v/>
      </c>
    </row>
    <row r="628">
      <c r="A628" s="19" t="n">
        <v>612</v>
      </c>
      <c r="B628" s="20">
        <f>IF(AND($L628="",$M628="",$N628=""),"",IF($L628&lt;&gt;"",INDEX(LdADate,$L628),IF($M628&lt;&gt;"",INDEX(LdBDate,$M628),INDEX(LdCDate,$N628))))</f>
        <v/>
      </c>
      <c r="C628" s="20">
        <f>IF($L628&lt;&gt;"","دستمزد (فردی)",IF($M628&lt;&gt;"","سهم از گروه "&amp;IFERROR(VLOOKUP(INDEX(LdBGroup,$M628),WGTbl,2,0),INDEX(LdBGroup,$M628)),IF($N628&lt;&gt;"",IF(N(INDEX(LdCDep,$N628))&gt;0,"بازگشت بانکی","پرداخت بانکی"),"")))</f>
        <v/>
      </c>
      <c r="D628" s="20">
        <f>IF($L628&lt;&gt;"",IF(INDEX(LdAId,$L628)="","—",INDEX(LdAId,$L628)),IF($M628&lt;&gt;"",IF(INDEX(LdBId,$M628)="","—",INDEX(LdBId,$M628)),IF($N628&lt;&gt;"",IF(INDEX(LdCBank,$N628)="","—",INDEX(LdCBank,$N628)),"")))</f>
        <v/>
      </c>
      <c r="E628" s="21">
        <f>IF($L628&lt;&gt;"",IF(INDEX(LdAAmt,$L628)=0,"",INDEX(LdAAmt,$L628)),IF($M628&lt;&gt;"",IF(INDEX(LdBAmt,$M628)=0,"",INDEX(LdBAmt,$M628)),IF($N628&lt;&gt;"",IF(INDEX(LdCDep,$N628)=0,"",INDEX(LdCDep,$N628)),"")))</f>
        <v/>
      </c>
      <c r="F628" s="21">
        <f>IF(AND($L628="",$M628="",$N628=""),"",IF($N628="","",IF(INDEX(LdCWit,$N628)=0,"",INDEX(LdCWit,$N628))))</f>
        <v/>
      </c>
      <c r="G628" s="31">
        <f>IF($B628="","",IF($G627="",0,$G627)+IF($E628="",0,$E628)-IF($F628="",0,$F628))</f>
        <v/>
      </c>
      <c r="H628" s="32">
        <f>IF(AND($L628="",$M628="",$N628=""),"",IF($L628&lt;&gt;"",IF(INDEX(LdANote,$L628)="","—",INDEX(LdANote,$L628)),IF($M628&lt;&gt;"",IF(INDEX(LdBNote,$M628)="","—",INDEX(LdBNote,$M628)),IF($N628&lt;&gt;"",IF(INDEX(LdCNote,$N628)="","—",INDEX(LdCNote,$N628)),""))))</f>
        <v/>
      </c>
      <c r="L628">
        <f>IFERROR(MATCH($C$5&amp;"|"&amp;RIGHT("000000"&amp;612,6),LdAKeyM,0),"")</f>
        <v/>
      </c>
      <c r="M628">
        <f>IFERROR(MATCH($C$5&amp;"|"&amp;RIGHT("000000"&amp;612,6),LdBKeyM,0),"")</f>
        <v/>
      </c>
      <c r="N628">
        <f>IFERROR(MATCH($C$5&amp;"|"&amp;RIGHT("000000"&amp;612,6),LdCKeyM,0),"")</f>
        <v/>
      </c>
    </row>
    <row r="629">
      <c r="A629" s="10" t="n">
        <v>613</v>
      </c>
      <c r="B629" s="14">
        <f>IF(AND($L629="",$M629="",$N629=""),"",IF($L629&lt;&gt;"",INDEX(LdADate,$L629),IF($M629&lt;&gt;"",INDEX(LdBDate,$M629),INDEX(LdCDate,$N629))))</f>
        <v/>
      </c>
      <c r="C629" s="14">
        <f>IF($L629&lt;&gt;"","دستمزد (فردی)",IF($M629&lt;&gt;"","سهم از گروه "&amp;IFERROR(VLOOKUP(INDEX(LdBGroup,$M629),WGTbl,2,0),INDEX(LdBGroup,$M629)),IF($N629&lt;&gt;"",IF(N(INDEX(LdCDep,$N629))&gt;0,"بازگشت بانکی","پرداخت بانکی"),"")))</f>
        <v/>
      </c>
      <c r="D629" s="14">
        <f>IF($L629&lt;&gt;"",IF(INDEX(LdAId,$L629)="","—",INDEX(LdAId,$L629)),IF($M629&lt;&gt;"",IF(INDEX(LdBId,$M629)="","—",INDEX(LdBId,$M629)),IF($N629&lt;&gt;"",IF(INDEX(LdCBank,$N629)="","—",INDEX(LdCBank,$N629)),"")))</f>
        <v/>
      </c>
      <c r="E629" s="16">
        <f>IF($L629&lt;&gt;"",IF(INDEX(LdAAmt,$L629)=0,"",INDEX(LdAAmt,$L629)),IF($M629&lt;&gt;"",IF(INDEX(LdBAmt,$M629)=0,"",INDEX(LdBAmt,$M629)),IF($N629&lt;&gt;"",IF(INDEX(LdCDep,$N629)=0,"",INDEX(LdCDep,$N629)),"")))</f>
        <v/>
      </c>
      <c r="F629" s="16">
        <f>IF(AND($L629="",$M629="",$N629=""),"",IF($N629="","",IF(INDEX(LdCWit,$N629)=0,"",INDEX(LdCWit,$N629))))</f>
        <v/>
      </c>
      <c r="G629" s="29">
        <f>IF($B629="","",IF($G628="",0,$G628)+IF($E629="",0,$E629)-IF($F629="",0,$F629))</f>
        <v/>
      </c>
      <c r="H629" s="30">
        <f>IF(AND($L629="",$M629="",$N629=""),"",IF($L629&lt;&gt;"",IF(INDEX(LdANote,$L629)="","—",INDEX(LdANote,$L629)),IF($M629&lt;&gt;"",IF(INDEX(LdBNote,$M629)="","—",INDEX(LdBNote,$M629)),IF($N629&lt;&gt;"",IF(INDEX(LdCNote,$N629)="","—",INDEX(LdCNote,$N629)),""))))</f>
        <v/>
      </c>
      <c r="L629">
        <f>IFERROR(MATCH($C$5&amp;"|"&amp;RIGHT("000000"&amp;613,6),LdAKeyM,0),"")</f>
        <v/>
      </c>
      <c r="M629">
        <f>IFERROR(MATCH($C$5&amp;"|"&amp;RIGHT("000000"&amp;613,6),LdBKeyM,0),"")</f>
        <v/>
      </c>
      <c r="N629">
        <f>IFERROR(MATCH($C$5&amp;"|"&amp;RIGHT("000000"&amp;613,6),LdCKeyM,0),"")</f>
        <v/>
      </c>
    </row>
    <row r="630">
      <c r="A630" s="19" t="n">
        <v>614</v>
      </c>
      <c r="B630" s="20">
        <f>IF(AND($L630="",$M630="",$N630=""),"",IF($L630&lt;&gt;"",INDEX(LdADate,$L630),IF($M630&lt;&gt;"",INDEX(LdBDate,$M630),INDEX(LdCDate,$N630))))</f>
        <v/>
      </c>
      <c r="C630" s="20">
        <f>IF($L630&lt;&gt;"","دستمزد (فردی)",IF($M630&lt;&gt;"","سهم از گروه "&amp;IFERROR(VLOOKUP(INDEX(LdBGroup,$M630),WGTbl,2,0),INDEX(LdBGroup,$M630)),IF($N630&lt;&gt;"",IF(N(INDEX(LdCDep,$N630))&gt;0,"بازگشت بانکی","پرداخت بانکی"),"")))</f>
        <v/>
      </c>
      <c r="D630" s="20">
        <f>IF($L630&lt;&gt;"",IF(INDEX(LdAId,$L630)="","—",INDEX(LdAId,$L630)),IF($M630&lt;&gt;"",IF(INDEX(LdBId,$M630)="","—",INDEX(LdBId,$M630)),IF($N630&lt;&gt;"",IF(INDEX(LdCBank,$N630)="","—",INDEX(LdCBank,$N630)),"")))</f>
        <v/>
      </c>
      <c r="E630" s="21">
        <f>IF($L630&lt;&gt;"",IF(INDEX(LdAAmt,$L630)=0,"",INDEX(LdAAmt,$L630)),IF($M630&lt;&gt;"",IF(INDEX(LdBAmt,$M630)=0,"",INDEX(LdBAmt,$M630)),IF($N630&lt;&gt;"",IF(INDEX(LdCDep,$N630)=0,"",INDEX(LdCDep,$N630)),"")))</f>
        <v/>
      </c>
      <c r="F630" s="21">
        <f>IF(AND($L630="",$M630="",$N630=""),"",IF($N630="","",IF(INDEX(LdCWit,$N630)=0,"",INDEX(LdCWit,$N630))))</f>
        <v/>
      </c>
      <c r="G630" s="31">
        <f>IF($B630="","",IF($G629="",0,$G629)+IF($E630="",0,$E630)-IF($F630="",0,$F630))</f>
        <v/>
      </c>
      <c r="H630" s="32">
        <f>IF(AND($L630="",$M630="",$N630=""),"",IF($L630&lt;&gt;"",IF(INDEX(LdANote,$L630)="","—",INDEX(LdANote,$L630)),IF($M630&lt;&gt;"",IF(INDEX(LdBNote,$M630)="","—",INDEX(LdBNote,$M630)),IF($N630&lt;&gt;"",IF(INDEX(LdCNote,$N630)="","—",INDEX(LdCNote,$N630)),""))))</f>
        <v/>
      </c>
      <c r="L630">
        <f>IFERROR(MATCH($C$5&amp;"|"&amp;RIGHT("000000"&amp;614,6),LdAKeyM,0),"")</f>
        <v/>
      </c>
      <c r="M630">
        <f>IFERROR(MATCH($C$5&amp;"|"&amp;RIGHT("000000"&amp;614,6),LdBKeyM,0),"")</f>
        <v/>
      </c>
      <c r="N630">
        <f>IFERROR(MATCH($C$5&amp;"|"&amp;RIGHT("000000"&amp;614,6),LdCKeyM,0),"")</f>
        <v/>
      </c>
    </row>
    <row r="631">
      <c r="A631" s="10" t="n">
        <v>615</v>
      </c>
      <c r="B631" s="14">
        <f>IF(AND($L631="",$M631="",$N631=""),"",IF($L631&lt;&gt;"",INDEX(LdADate,$L631),IF($M631&lt;&gt;"",INDEX(LdBDate,$M631),INDEX(LdCDate,$N631))))</f>
        <v/>
      </c>
      <c r="C631" s="14">
        <f>IF($L631&lt;&gt;"","دستمزد (فردی)",IF($M631&lt;&gt;"","سهم از گروه "&amp;IFERROR(VLOOKUP(INDEX(LdBGroup,$M631),WGTbl,2,0),INDEX(LdBGroup,$M631)),IF($N631&lt;&gt;"",IF(N(INDEX(LdCDep,$N631))&gt;0,"بازگشت بانکی","پرداخت بانکی"),"")))</f>
        <v/>
      </c>
      <c r="D631" s="14">
        <f>IF($L631&lt;&gt;"",IF(INDEX(LdAId,$L631)="","—",INDEX(LdAId,$L631)),IF($M631&lt;&gt;"",IF(INDEX(LdBId,$M631)="","—",INDEX(LdBId,$M631)),IF($N631&lt;&gt;"",IF(INDEX(LdCBank,$N631)="","—",INDEX(LdCBank,$N631)),"")))</f>
        <v/>
      </c>
      <c r="E631" s="16">
        <f>IF($L631&lt;&gt;"",IF(INDEX(LdAAmt,$L631)=0,"",INDEX(LdAAmt,$L631)),IF($M631&lt;&gt;"",IF(INDEX(LdBAmt,$M631)=0,"",INDEX(LdBAmt,$M631)),IF($N631&lt;&gt;"",IF(INDEX(LdCDep,$N631)=0,"",INDEX(LdCDep,$N631)),"")))</f>
        <v/>
      </c>
      <c r="F631" s="16">
        <f>IF(AND($L631="",$M631="",$N631=""),"",IF($N631="","",IF(INDEX(LdCWit,$N631)=0,"",INDEX(LdCWit,$N631))))</f>
        <v/>
      </c>
      <c r="G631" s="29">
        <f>IF($B631="","",IF($G630="",0,$G630)+IF($E631="",0,$E631)-IF($F631="",0,$F631))</f>
        <v/>
      </c>
      <c r="H631" s="30">
        <f>IF(AND($L631="",$M631="",$N631=""),"",IF($L631&lt;&gt;"",IF(INDEX(LdANote,$L631)="","—",INDEX(LdANote,$L631)),IF($M631&lt;&gt;"",IF(INDEX(LdBNote,$M631)="","—",INDEX(LdBNote,$M631)),IF($N631&lt;&gt;"",IF(INDEX(LdCNote,$N631)="","—",INDEX(LdCNote,$N631)),""))))</f>
        <v/>
      </c>
      <c r="L631">
        <f>IFERROR(MATCH($C$5&amp;"|"&amp;RIGHT("000000"&amp;615,6),LdAKeyM,0),"")</f>
        <v/>
      </c>
      <c r="M631">
        <f>IFERROR(MATCH($C$5&amp;"|"&amp;RIGHT("000000"&amp;615,6),LdBKeyM,0),"")</f>
        <v/>
      </c>
      <c r="N631">
        <f>IFERROR(MATCH($C$5&amp;"|"&amp;RIGHT("000000"&amp;615,6),LdCKeyM,0),"")</f>
        <v/>
      </c>
    </row>
    <row r="632">
      <c r="A632" s="19" t="n">
        <v>616</v>
      </c>
      <c r="B632" s="20">
        <f>IF(AND($L632="",$M632="",$N632=""),"",IF($L632&lt;&gt;"",INDEX(LdADate,$L632),IF($M632&lt;&gt;"",INDEX(LdBDate,$M632),INDEX(LdCDate,$N632))))</f>
        <v/>
      </c>
      <c r="C632" s="20">
        <f>IF($L632&lt;&gt;"","دستمزد (فردی)",IF($M632&lt;&gt;"","سهم از گروه "&amp;IFERROR(VLOOKUP(INDEX(LdBGroup,$M632),WGTbl,2,0),INDEX(LdBGroup,$M632)),IF($N632&lt;&gt;"",IF(N(INDEX(LdCDep,$N632))&gt;0,"بازگشت بانکی","پرداخت بانکی"),"")))</f>
        <v/>
      </c>
      <c r="D632" s="20">
        <f>IF($L632&lt;&gt;"",IF(INDEX(LdAId,$L632)="","—",INDEX(LdAId,$L632)),IF($M632&lt;&gt;"",IF(INDEX(LdBId,$M632)="","—",INDEX(LdBId,$M632)),IF($N632&lt;&gt;"",IF(INDEX(LdCBank,$N632)="","—",INDEX(LdCBank,$N632)),"")))</f>
        <v/>
      </c>
      <c r="E632" s="21">
        <f>IF($L632&lt;&gt;"",IF(INDEX(LdAAmt,$L632)=0,"",INDEX(LdAAmt,$L632)),IF($M632&lt;&gt;"",IF(INDEX(LdBAmt,$M632)=0,"",INDEX(LdBAmt,$M632)),IF($N632&lt;&gt;"",IF(INDEX(LdCDep,$N632)=0,"",INDEX(LdCDep,$N632)),"")))</f>
        <v/>
      </c>
      <c r="F632" s="21">
        <f>IF(AND($L632="",$M632="",$N632=""),"",IF($N632="","",IF(INDEX(LdCWit,$N632)=0,"",INDEX(LdCWit,$N632))))</f>
        <v/>
      </c>
      <c r="G632" s="31">
        <f>IF($B632="","",IF($G631="",0,$G631)+IF($E632="",0,$E632)-IF($F632="",0,$F632))</f>
        <v/>
      </c>
      <c r="H632" s="32">
        <f>IF(AND($L632="",$M632="",$N632=""),"",IF($L632&lt;&gt;"",IF(INDEX(LdANote,$L632)="","—",INDEX(LdANote,$L632)),IF($M632&lt;&gt;"",IF(INDEX(LdBNote,$M632)="","—",INDEX(LdBNote,$M632)),IF($N632&lt;&gt;"",IF(INDEX(LdCNote,$N632)="","—",INDEX(LdCNote,$N632)),""))))</f>
        <v/>
      </c>
      <c r="L632">
        <f>IFERROR(MATCH($C$5&amp;"|"&amp;RIGHT("000000"&amp;616,6),LdAKeyM,0),"")</f>
        <v/>
      </c>
      <c r="M632">
        <f>IFERROR(MATCH($C$5&amp;"|"&amp;RIGHT("000000"&amp;616,6),LdBKeyM,0),"")</f>
        <v/>
      </c>
      <c r="N632">
        <f>IFERROR(MATCH($C$5&amp;"|"&amp;RIGHT("000000"&amp;616,6),LdCKeyM,0),"")</f>
        <v/>
      </c>
    </row>
    <row r="633">
      <c r="A633" s="10" t="n">
        <v>617</v>
      </c>
      <c r="B633" s="14">
        <f>IF(AND($L633="",$M633="",$N633=""),"",IF($L633&lt;&gt;"",INDEX(LdADate,$L633),IF($M633&lt;&gt;"",INDEX(LdBDate,$M633),INDEX(LdCDate,$N633))))</f>
        <v/>
      </c>
      <c r="C633" s="14">
        <f>IF($L633&lt;&gt;"","دستمزد (فردی)",IF($M633&lt;&gt;"","سهم از گروه "&amp;IFERROR(VLOOKUP(INDEX(LdBGroup,$M633),WGTbl,2,0),INDEX(LdBGroup,$M633)),IF($N633&lt;&gt;"",IF(N(INDEX(LdCDep,$N633))&gt;0,"بازگشت بانکی","پرداخت بانکی"),"")))</f>
        <v/>
      </c>
      <c r="D633" s="14">
        <f>IF($L633&lt;&gt;"",IF(INDEX(LdAId,$L633)="","—",INDEX(LdAId,$L633)),IF($M633&lt;&gt;"",IF(INDEX(LdBId,$M633)="","—",INDEX(LdBId,$M633)),IF($N633&lt;&gt;"",IF(INDEX(LdCBank,$N633)="","—",INDEX(LdCBank,$N633)),"")))</f>
        <v/>
      </c>
      <c r="E633" s="16">
        <f>IF($L633&lt;&gt;"",IF(INDEX(LdAAmt,$L633)=0,"",INDEX(LdAAmt,$L633)),IF($M633&lt;&gt;"",IF(INDEX(LdBAmt,$M633)=0,"",INDEX(LdBAmt,$M633)),IF($N633&lt;&gt;"",IF(INDEX(LdCDep,$N633)=0,"",INDEX(LdCDep,$N633)),"")))</f>
        <v/>
      </c>
      <c r="F633" s="16">
        <f>IF(AND($L633="",$M633="",$N633=""),"",IF($N633="","",IF(INDEX(LdCWit,$N633)=0,"",INDEX(LdCWit,$N633))))</f>
        <v/>
      </c>
      <c r="G633" s="29">
        <f>IF($B633="","",IF($G632="",0,$G632)+IF($E633="",0,$E633)-IF($F633="",0,$F633))</f>
        <v/>
      </c>
      <c r="H633" s="30">
        <f>IF(AND($L633="",$M633="",$N633=""),"",IF($L633&lt;&gt;"",IF(INDEX(LdANote,$L633)="","—",INDEX(LdANote,$L633)),IF($M633&lt;&gt;"",IF(INDEX(LdBNote,$M633)="","—",INDEX(LdBNote,$M633)),IF($N633&lt;&gt;"",IF(INDEX(LdCNote,$N633)="","—",INDEX(LdCNote,$N633)),""))))</f>
        <v/>
      </c>
      <c r="L633">
        <f>IFERROR(MATCH($C$5&amp;"|"&amp;RIGHT("000000"&amp;617,6),LdAKeyM,0),"")</f>
        <v/>
      </c>
      <c r="M633">
        <f>IFERROR(MATCH($C$5&amp;"|"&amp;RIGHT("000000"&amp;617,6),LdBKeyM,0),"")</f>
        <v/>
      </c>
      <c r="N633">
        <f>IFERROR(MATCH($C$5&amp;"|"&amp;RIGHT("000000"&amp;617,6),LdCKeyM,0),"")</f>
        <v/>
      </c>
    </row>
    <row r="634">
      <c r="A634" s="19" t="n">
        <v>618</v>
      </c>
      <c r="B634" s="20">
        <f>IF(AND($L634="",$M634="",$N634=""),"",IF($L634&lt;&gt;"",INDEX(LdADate,$L634),IF($M634&lt;&gt;"",INDEX(LdBDate,$M634),INDEX(LdCDate,$N634))))</f>
        <v/>
      </c>
      <c r="C634" s="20">
        <f>IF($L634&lt;&gt;"","دستمزد (فردی)",IF($M634&lt;&gt;"","سهم از گروه "&amp;IFERROR(VLOOKUP(INDEX(LdBGroup,$M634),WGTbl,2,0),INDEX(LdBGroup,$M634)),IF($N634&lt;&gt;"",IF(N(INDEX(LdCDep,$N634))&gt;0,"بازگشت بانکی","پرداخت بانکی"),"")))</f>
        <v/>
      </c>
      <c r="D634" s="20">
        <f>IF($L634&lt;&gt;"",IF(INDEX(LdAId,$L634)="","—",INDEX(LdAId,$L634)),IF($M634&lt;&gt;"",IF(INDEX(LdBId,$M634)="","—",INDEX(LdBId,$M634)),IF($N634&lt;&gt;"",IF(INDEX(LdCBank,$N634)="","—",INDEX(LdCBank,$N634)),"")))</f>
        <v/>
      </c>
      <c r="E634" s="21">
        <f>IF($L634&lt;&gt;"",IF(INDEX(LdAAmt,$L634)=0,"",INDEX(LdAAmt,$L634)),IF($M634&lt;&gt;"",IF(INDEX(LdBAmt,$M634)=0,"",INDEX(LdBAmt,$M634)),IF($N634&lt;&gt;"",IF(INDEX(LdCDep,$N634)=0,"",INDEX(LdCDep,$N634)),"")))</f>
        <v/>
      </c>
      <c r="F634" s="21">
        <f>IF(AND($L634="",$M634="",$N634=""),"",IF($N634="","",IF(INDEX(LdCWit,$N634)=0,"",INDEX(LdCWit,$N634))))</f>
        <v/>
      </c>
      <c r="G634" s="31">
        <f>IF($B634="","",IF($G633="",0,$G633)+IF($E634="",0,$E634)-IF($F634="",0,$F634))</f>
        <v/>
      </c>
      <c r="H634" s="32">
        <f>IF(AND($L634="",$M634="",$N634=""),"",IF($L634&lt;&gt;"",IF(INDEX(LdANote,$L634)="","—",INDEX(LdANote,$L634)),IF($M634&lt;&gt;"",IF(INDEX(LdBNote,$M634)="","—",INDEX(LdBNote,$M634)),IF($N634&lt;&gt;"",IF(INDEX(LdCNote,$N634)="","—",INDEX(LdCNote,$N634)),""))))</f>
        <v/>
      </c>
      <c r="L634">
        <f>IFERROR(MATCH($C$5&amp;"|"&amp;RIGHT("000000"&amp;618,6),LdAKeyM,0),"")</f>
        <v/>
      </c>
      <c r="M634">
        <f>IFERROR(MATCH($C$5&amp;"|"&amp;RIGHT("000000"&amp;618,6),LdBKeyM,0),"")</f>
        <v/>
      </c>
      <c r="N634">
        <f>IFERROR(MATCH($C$5&amp;"|"&amp;RIGHT("000000"&amp;618,6),LdCKeyM,0),"")</f>
        <v/>
      </c>
    </row>
    <row r="635">
      <c r="A635" s="10" t="n">
        <v>619</v>
      </c>
      <c r="B635" s="14">
        <f>IF(AND($L635="",$M635="",$N635=""),"",IF($L635&lt;&gt;"",INDEX(LdADate,$L635),IF($M635&lt;&gt;"",INDEX(LdBDate,$M635),INDEX(LdCDate,$N635))))</f>
        <v/>
      </c>
      <c r="C635" s="14">
        <f>IF($L635&lt;&gt;"","دستمزد (فردی)",IF($M635&lt;&gt;"","سهم از گروه "&amp;IFERROR(VLOOKUP(INDEX(LdBGroup,$M635),WGTbl,2,0),INDEX(LdBGroup,$M635)),IF($N635&lt;&gt;"",IF(N(INDEX(LdCDep,$N635))&gt;0,"بازگشت بانکی","پرداخت بانکی"),"")))</f>
        <v/>
      </c>
      <c r="D635" s="14">
        <f>IF($L635&lt;&gt;"",IF(INDEX(LdAId,$L635)="","—",INDEX(LdAId,$L635)),IF($M635&lt;&gt;"",IF(INDEX(LdBId,$M635)="","—",INDEX(LdBId,$M635)),IF($N635&lt;&gt;"",IF(INDEX(LdCBank,$N635)="","—",INDEX(LdCBank,$N635)),"")))</f>
        <v/>
      </c>
      <c r="E635" s="16">
        <f>IF($L635&lt;&gt;"",IF(INDEX(LdAAmt,$L635)=0,"",INDEX(LdAAmt,$L635)),IF($M635&lt;&gt;"",IF(INDEX(LdBAmt,$M635)=0,"",INDEX(LdBAmt,$M635)),IF($N635&lt;&gt;"",IF(INDEX(LdCDep,$N635)=0,"",INDEX(LdCDep,$N635)),"")))</f>
        <v/>
      </c>
      <c r="F635" s="16">
        <f>IF(AND($L635="",$M635="",$N635=""),"",IF($N635="","",IF(INDEX(LdCWit,$N635)=0,"",INDEX(LdCWit,$N635))))</f>
        <v/>
      </c>
      <c r="G635" s="29">
        <f>IF($B635="","",IF($G634="",0,$G634)+IF($E635="",0,$E635)-IF($F635="",0,$F635))</f>
        <v/>
      </c>
      <c r="H635" s="30">
        <f>IF(AND($L635="",$M635="",$N635=""),"",IF($L635&lt;&gt;"",IF(INDEX(LdANote,$L635)="","—",INDEX(LdANote,$L635)),IF($M635&lt;&gt;"",IF(INDEX(LdBNote,$M635)="","—",INDEX(LdBNote,$M635)),IF($N635&lt;&gt;"",IF(INDEX(LdCNote,$N635)="","—",INDEX(LdCNote,$N635)),""))))</f>
        <v/>
      </c>
      <c r="L635">
        <f>IFERROR(MATCH($C$5&amp;"|"&amp;RIGHT("000000"&amp;619,6),LdAKeyM,0),"")</f>
        <v/>
      </c>
      <c r="M635">
        <f>IFERROR(MATCH($C$5&amp;"|"&amp;RIGHT("000000"&amp;619,6),LdBKeyM,0),"")</f>
        <v/>
      </c>
      <c r="N635">
        <f>IFERROR(MATCH($C$5&amp;"|"&amp;RIGHT("000000"&amp;619,6),LdCKeyM,0),"")</f>
        <v/>
      </c>
    </row>
    <row r="636">
      <c r="A636" s="19" t="n">
        <v>620</v>
      </c>
      <c r="B636" s="20">
        <f>IF(AND($L636="",$M636="",$N636=""),"",IF($L636&lt;&gt;"",INDEX(LdADate,$L636),IF($M636&lt;&gt;"",INDEX(LdBDate,$M636),INDEX(LdCDate,$N636))))</f>
        <v/>
      </c>
      <c r="C636" s="20">
        <f>IF($L636&lt;&gt;"","دستمزد (فردی)",IF($M636&lt;&gt;"","سهم از گروه "&amp;IFERROR(VLOOKUP(INDEX(LdBGroup,$M636),WGTbl,2,0),INDEX(LdBGroup,$M636)),IF($N636&lt;&gt;"",IF(N(INDEX(LdCDep,$N636))&gt;0,"بازگشت بانکی","پرداخت بانکی"),"")))</f>
        <v/>
      </c>
      <c r="D636" s="20">
        <f>IF($L636&lt;&gt;"",IF(INDEX(LdAId,$L636)="","—",INDEX(LdAId,$L636)),IF($M636&lt;&gt;"",IF(INDEX(LdBId,$M636)="","—",INDEX(LdBId,$M636)),IF($N636&lt;&gt;"",IF(INDEX(LdCBank,$N636)="","—",INDEX(LdCBank,$N636)),"")))</f>
        <v/>
      </c>
      <c r="E636" s="21">
        <f>IF($L636&lt;&gt;"",IF(INDEX(LdAAmt,$L636)=0,"",INDEX(LdAAmt,$L636)),IF($M636&lt;&gt;"",IF(INDEX(LdBAmt,$M636)=0,"",INDEX(LdBAmt,$M636)),IF($N636&lt;&gt;"",IF(INDEX(LdCDep,$N636)=0,"",INDEX(LdCDep,$N636)),"")))</f>
        <v/>
      </c>
      <c r="F636" s="21">
        <f>IF(AND($L636="",$M636="",$N636=""),"",IF($N636="","",IF(INDEX(LdCWit,$N636)=0,"",INDEX(LdCWit,$N636))))</f>
        <v/>
      </c>
      <c r="G636" s="31">
        <f>IF($B636="","",IF($G635="",0,$G635)+IF($E636="",0,$E636)-IF($F636="",0,$F636))</f>
        <v/>
      </c>
      <c r="H636" s="32">
        <f>IF(AND($L636="",$M636="",$N636=""),"",IF($L636&lt;&gt;"",IF(INDEX(LdANote,$L636)="","—",INDEX(LdANote,$L636)),IF($M636&lt;&gt;"",IF(INDEX(LdBNote,$M636)="","—",INDEX(LdBNote,$M636)),IF($N636&lt;&gt;"",IF(INDEX(LdCNote,$N636)="","—",INDEX(LdCNote,$N636)),""))))</f>
        <v/>
      </c>
      <c r="L636">
        <f>IFERROR(MATCH($C$5&amp;"|"&amp;RIGHT("000000"&amp;620,6),LdAKeyM,0),"")</f>
        <v/>
      </c>
      <c r="M636">
        <f>IFERROR(MATCH($C$5&amp;"|"&amp;RIGHT("000000"&amp;620,6),LdBKeyM,0),"")</f>
        <v/>
      </c>
      <c r="N636">
        <f>IFERROR(MATCH($C$5&amp;"|"&amp;RIGHT("000000"&amp;620,6),LdCKeyM,0),"")</f>
        <v/>
      </c>
    </row>
    <row r="637">
      <c r="A637" s="10" t="n">
        <v>621</v>
      </c>
      <c r="B637" s="14">
        <f>IF(AND($L637="",$M637="",$N637=""),"",IF($L637&lt;&gt;"",INDEX(LdADate,$L637),IF($M637&lt;&gt;"",INDEX(LdBDate,$M637),INDEX(LdCDate,$N637))))</f>
        <v/>
      </c>
      <c r="C637" s="14">
        <f>IF($L637&lt;&gt;"","دستمزد (فردی)",IF($M637&lt;&gt;"","سهم از گروه "&amp;IFERROR(VLOOKUP(INDEX(LdBGroup,$M637),WGTbl,2,0),INDEX(LdBGroup,$M637)),IF($N637&lt;&gt;"",IF(N(INDEX(LdCDep,$N637))&gt;0,"بازگشت بانکی","پرداخت بانکی"),"")))</f>
        <v/>
      </c>
      <c r="D637" s="14">
        <f>IF($L637&lt;&gt;"",IF(INDEX(LdAId,$L637)="","—",INDEX(LdAId,$L637)),IF($M637&lt;&gt;"",IF(INDEX(LdBId,$M637)="","—",INDEX(LdBId,$M637)),IF($N637&lt;&gt;"",IF(INDEX(LdCBank,$N637)="","—",INDEX(LdCBank,$N637)),"")))</f>
        <v/>
      </c>
      <c r="E637" s="16">
        <f>IF($L637&lt;&gt;"",IF(INDEX(LdAAmt,$L637)=0,"",INDEX(LdAAmt,$L637)),IF($M637&lt;&gt;"",IF(INDEX(LdBAmt,$M637)=0,"",INDEX(LdBAmt,$M637)),IF($N637&lt;&gt;"",IF(INDEX(LdCDep,$N637)=0,"",INDEX(LdCDep,$N637)),"")))</f>
        <v/>
      </c>
      <c r="F637" s="16">
        <f>IF(AND($L637="",$M637="",$N637=""),"",IF($N637="","",IF(INDEX(LdCWit,$N637)=0,"",INDEX(LdCWit,$N637))))</f>
        <v/>
      </c>
      <c r="G637" s="29">
        <f>IF($B637="","",IF($G636="",0,$G636)+IF($E637="",0,$E637)-IF($F637="",0,$F637))</f>
        <v/>
      </c>
      <c r="H637" s="30">
        <f>IF(AND($L637="",$M637="",$N637=""),"",IF($L637&lt;&gt;"",IF(INDEX(LdANote,$L637)="","—",INDEX(LdANote,$L637)),IF($M637&lt;&gt;"",IF(INDEX(LdBNote,$M637)="","—",INDEX(LdBNote,$M637)),IF($N637&lt;&gt;"",IF(INDEX(LdCNote,$N637)="","—",INDEX(LdCNote,$N637)),""))))</f>
        <v/>
      </c>
      <c r="L637">
        <f>IFERROR(MATCH($C$5&amp;"|"&amp;RIGHT("000000"&amp;621,6),LdAKeyM,0),"")</f>
        <v/>
      </c>
      <c r="M637">
        <f>IFERROR(MATCH($C$5&amp;"|"&amp;RIGHT("000000"&amp;621,6),LdBKeyM,0),"")</f>
        <v/>
      </c>
      <c r="N637">
        <f>IFERROR(MATCH($C$5&amp;"|"&amp;RIGHT("000000"&amp;621,6),LdCKeyM,0),"")</f>
        <v/>
      </c>
    </row>
    <row r="638">
      <c r="A638" s="19" t="n">
        <v>622</v>
      </c>
      <c r="B638" s="20">
        <f>IF(AND($L638="",$M638="",$N638=""),"",IF($L638&lt;&gt;"",INDEX(LdADate,$L638),IF($M638&lt;&gt;"",INDEX(LdBDate,$M638),INDEX(LdCDate,$N638))))</f>
        <v/>
      </c>
      <c r="C638" s="20">
        <f>IF($L638&lt;&gt;"","دستمزد (فردی)",IF($M638&lt;&gt;"","سهم از گروه "&amp;IFERROR(VLOOKUP(INDEX(LdBGroup,$M638),WGTbl,2,0),INDEX(LdBGroup,$M638)),IF($N638&lt;&gt;"",IF(N(INDEX(LdCDep,$N638))&gt;0,"بازگشت بانکی","پرداخت بانکی"),"")))</f>
        <v/>
      </c>
      <c r="D638" s="20">
        <f>IF($L638&lt;&gt;"",IF(INDEX(LdAId,$L638)="","—",INDEX(LdAId,$L638)),IF($M638&lt;&gt;"",IF(INDEX(LdBId,$M638)="","—",INDEX(LdBId,$M638)),IF($N638&lt;&gt;"",IF(INDEX(LdCBank,$N638)="","—",INDEX(LdCBank,$N638)),"")))</f>
        <v/>
      </c>
      <c r="E638" s="21">
        <f>IF($L638&lt;&gt;"",IF(INDEX(LdAAmt,$L638)=0,"",INDEX(LdAAmt,$L638)),IF($M638&lt;&gt;"",IF(INDEX(LdBAmt,$M638)=0,"",INDEX(LdBAmt,$M638)),IF($N638&lt;&gt;"",IF(INDEX(LdCDep,$N638)=0,"",INDEX(LdCDep,$N638)),"")))</f>
        <v/>
      </c>
      <c r="F638" s="21">
        <f>IF(AND($L638="",$M638="",$N638=""),"",IF($N638="","",IF(INDEX(LdCWit,$N638)=0,"",INDEX(LdCWit,$N638))))</f>
        <v/>
      </c>
      <c r="G638" s="31">
        <f>IF($B638="","",IF($G637="",0,$G637)+IF($E638="",0,$E638)-IF($F638="",0,$F638))</f>
        <v/>
      </c>
      <c r="H638" s="32">
        <f>IF(AND($L638="",$M638="",$N638=""),"",IF($L638&lt;&gt;"",IF(INDEX(LdANote,$L638)="","—",INDEX(LdANote,$L638)),IF($M638&lt;&gt;"",IF(INDEX(LdBNote,$M638)="","—",INDEX(LdBNote,$M638)),IF($N638&lt;&gt;"",IF(INDEX(LdCNote,$N638)="","—",INDEX(LdCNote,$N638)),""))))</f>
        <v/>
      </c>
      <c r="L638">
        <f>IFERROR(MATCH($C$5&amp;"|"&amp;RIGHT("000000"&amp;622,6),LdAKeyM,0),"")</f>
        <v/>
      </c>
      <c r="M638">
        <f>IFERROR(MATCH($C$5&amp;"|"&amp;RIGHT("000000"&amp;622,6),LdBKeyM,0),"")</f>
        <v/>
      </c>
      <c r="N638">
        <f>IFERROR(MATCH($C$5&amp;"|"&amp;RIGHT("000000"&amp;622,6),LdCKeyM,0),"")</f>
        <v/>
      </c>
    </row>
    <row r="639">
      <c r="A639" s="10" t="n">
        <v>623</v>
      </c>
      <c r="B639" s="14">
        <f>IF(AND($L639="",$M639="",$N639=""),"",IF($L639&lt;&gt;"",INDEX(LdADate,$L639),IF($M639&lt;&gt;"",INDEX(LdBDate,$M639),INDEX(LdCDate,$N639))))</f>
        <v/>
      </c>
      <c r="C639" s="14">
        <f>IF($L639&lt;&gt;"","دستمزد (فردی)",IF($M639&lt;&gt;"","سهم از گروه "&amp;IFERROR(VLOOKUP(INDEX(LdBGroup,$M639),WGTbl,2,0),INDEX(LdBGroup,$M639)),IF($N639&lt;&gt;"",IF(N(INDEX(LdCDep,$N639))&gt;0,"بازگشت بانکی","پرداخت بانکی"),"")))</f>
        <v/>
      </c>
      <c r="D639" s="14">
        <f>IF($L639&lt;&gt;"",IF(INDEX(LdAId,$L639)="","—",INDEX(LdAId,$L639)),IF($M639&lt;&gt;"",IF(INDEX(LdBId,$M639)="","—",INDEX(LdBId,$M639)),IF($N639&lt;&gt;"",IF(INDEX(LdCBank,$N639)="","—",INDEX(LdCBank,$N639)),"")))</f>
        <v/>
      </c>
      <c r="E639" s="16">
        <f>IF($L639&lt;&gt;"",IF(INDEX(LdAAmt,$L639)=0,"",INDEX(LdAAmt,$L639)),IF($M639&lt;&gt;"",IF(INDEX(LdBAmt,$M639)=0,"",INDEX(LdBAmt,$M639)),IF($N639&lt;&gt;"",IF(INDEX(LdCDep,$N639)=0,"",INDEX(LdCDep,$N639)),"")))</f>
        <v/>
      </c>
      <c r="F639" s="16">
        <f>IF(AND($L639="",$M639="",$N639=""),"",IF($N639="","",IF(INDEX(LdCWit,$N639)=0,"",INDEX(LdCWit,$N639))))</f>
        <v/>
      </c>
      <c r="G639" s="29">
        <f>IF($B639="","",IF($G638="",0,$G638)+IF($E639="",0,$E639)-IF($F639="",0,$F639))</f>
        <v/>
      </c>
      <c r="H639" s="30">
        <f>IF(AND($L639="",$M639="",$N639=""),"",IF($L639&lt;&gt;"",IF(INDEX(LdANote,$L639)="","—",INDEX(LdANote,$L639)),IF($M639&lt;&gt;"",IF(INDEX(LdBNote,$M639)="","—",INDEX(LdBNote,$M639)),IF($N639&lt;&gt;"",IF(INDEX(LdCNote,$N639)="","—",INDEX(LdCNote,$N639)),""))))</f>
        <v/>
      </c>
      <c r="L639">
        <f>IFERROR(MATCH($C$5&amp;"|"&amp;RIGHT("000000"&amp;623,6),LdAKeyM,0),"")</f>
        <v/>
      </c>
      <c r="M639">
        <f>IFERROR(MATCH($C$5&amp;"|"&amp;RIGHT("000000"&amp;623,6),LdBKeyM,0),"")</f>
        <v/>
      </c>
      <c r="N639">
        <f>IFERROR(MATCH($C$5&amp;"|"&amp;RIGHT("000000"&amp;623,6),LdCKeyM,0),"")</f>
        <v/>
      </c>
    </row>
    <row r="640">
      <c r="A640" s="19" t="n">
        <v>624</v>
      </c>
      <c r="B640" s="20">
        <f>IF(AND($L640="",$M640="",$N640=""),"",IF($L640&lt;&gt;"",INDEX(LdADate,$L640),IF($M640&lt;&gt;"",INDEX(LdBDate,$M640),INDEX(LdCDate,$N640))))</f>
        <v/>
      </c>
      <c r="C640" s="20">
        <f>IF($L640&lt;&gt;"","دستمزد (فردی)",IF($M640&lt;&gt;"","سهم از گروه "&amp;IFERROR(VLOOKUP(INDEX(LdBGroup,$M640),WGTbl,2,0),INDEX(LdBGroup,$M640)),IF($N640&lt;&gt;"",IF(N(INDEX(LdCDep,$N640))&gt;0,"بازگشت بانکی","پرداخت بانکی"),"")))</f>
        <v/>
      </c>
      <c r="D640" s="20">
        <f>IF($L640&lt;&gt;"",IF(INDEX(LdAId,$L640)="","—",INDEX(LdAId,$L640)),IF($M640&lt;&gt;"",IF(INDEX(LdBId,$M640)="","—",INDEX(LdBId,$M640)),IF($N640&lt;&gt;"",IF(INDEX(LdCBank,$N640)="","—",INDEX(LdCBank,$N640)),"")))</f>
        <v/>
      </c>
      <c r="E640" s="21">
        <f>IF($L640&lt;&gt;"",IF(INDEX(LdAAmt,$L640)=0,"",INDEX(LdAAmt,$L640)),IF($M640&lt;&gt;"",IF(INDEX(LdBAmt,$M640)=0,"",INDEX(LdBAmt,$M640)),IF($N640&lt;&gt;"",IF(INDEX(LdCDep,$N640)=0,"",INDEX(LdCDep,$N640)),"")))</f>
        <v/>
      </c>
      <c r="F640" s="21">
        <f>IF(AND($L640="",$M640="",$N640=""),"",IF($N640="","",IF(INDEX(LdCWit,$N640)=0,"",INDEX(LdCWit,$N640))))</f>
        <v/>
      </c>
      <c r="G640" s="31">
        <f>IF($B640="","",IF($G639="",0,$G639)+IF($E640="",0,$E640)-IF($F640="",0,$F640))</f>
        <v/>
      </c>
      <c r="H640" s="32">
        <f>IF(AND($L640="",$M640="",$N640=""),"",IF($L640&lt;&gt;"",IF(INDEX(LdANote,$L640)="","—",INDEX(LdANote,$L640)),IF($M640&lt;&gt;"",IF(INDEX(LdBNote,$M640)="","—",INDEX(LdBNote,$M640)),IF($N640&lt;&gt;"",IF(INDEX(LdCNote,$N640)="","—",INDEX(LdCNote,$N640)),""))))</f>
        <v/>
      </c>
      <c r="L640">
        <f>IFERROR(MATCH($C$5&amp;"|"&amp;RIGHT("000000"&amp;624,6),LdAKeyM,0),"")</f>
        <v/>
      </c>
      <c r="M640">
        <f>IFERROR(MATCH($C$5&amp;"|"&amp;RIGHT("000000"&amp;624,6),LdBKeyM,0),"")</f>
        <v/>
      </c>
      <c r="N640">
        <f>IFERROR(MATCH($C$5&amp;"|"&amp;RIGHT("000000"&amp;624,6),LdCKeyM,0),"")</f>
        <v/>
      </c>
    </row>
    <row r="641">
      <c r="A641" s="10" t="n">
        <v>625</v>
      </c>
      <c r="B641" s="14">
        <f>IF(AND($L641="",$M641="",$N641=""),"",IF($L641&lt;&gt;"",INDEX(LdADate,$L641),IF($M641&lt;&gt;"",INDEX(LdBDate,$M641),INDEX(LdCDate,$N641))))</f>
        <v/>
      </c>
      <c r="C641" s="14">
        <f>IF($L641&lt;&gt;"","دستمزد (فردی)",IF($M641&lt;&gt;"","سهم از گروه "&amp;IFERROR(VLOOKUP(INDEX(LdBGroup,$M641),WGTbl,2,0),INDEX(LdBGroup,$M641)),IF($N641&lt;&gt;"",IF(N(INDEX(LdCDep,$N641))&gt;0,"بازگشت بانکی","پرداخت بانکی"),"")))</f>
        <v/>
      </c>
      <c r="D641" s="14">
        <f>IF($L641&lt;&gt;"",IF(INDEX(LdAId,$L641)="","—",INDEX(LdAId,$L641)),IF($M641&lt;&gt;"",IF(INDEX(LdBId,$M641)="","—",INDEX(LdBId,$M641)),IF($N641&lt;&gt;"",IF(INDEX(LdCBank,$N641)="","—",INDEX(LdCBank,$N641)),"")))</f>
        <v/>
      </c>
      <c r="E641" s="16">
        <f>IF($L641&lt;&gt;"",IF(INDEX(LdAAmt,$L641)=0,"",INDEX(LdAAmt,$L641)),IF($M641&lt;&gt;"",IF(INDEX(LdBAmt,$M641)=0,"",INDEX(LdBAmt,$M641)),IF($N641&lt;&gt;"",IF(INDEX(LdCDep,$N641)=0,"",INDEX(LdCDep,$N641)),"")))</f>
        <v/>
      </c>
      <c r="F641" s="16">
        <f>IF(AND($L641="",$M641="",$N641=""),"",IF($N641="","",IF(INDEX(LdCWit,$N641)=0,"",INDEX(LdCWit,$N641))))</f>
        <v/>
      </c>
      <c r="G641" s="29">
        <f>IF($B641="","",IF($G640="",0,$G640)+IF($E641="",0,$E641)-IF($F641="",0,$F641))</f>
        <v/>
      </c>
      <c r="H641" s="30">
        <f>IF(AND($L641="",$M641="",$N641=""),"",IF($L641&lt;&gt;"",IF(INDEX(LdANote,$L641)="","—",INDEX(LdANote,$L641)),IF($M641&lt;&gt;"",IF(INDEX(LdBNote,$M641)="","—",INDEX(LdBNote,$M641)),IF($N641&lt;&gt;"",IF(INDEX(LdCNote,$N641)="","—",INDEX(LdCNote,$N641)),""))))</f>
        <v/>
      </c>
      <c r="L641">
        <f>IFERROR(MATCH($C$5&amp;"|"&amp;RIGHT("000000"&amp;625,6),LdAKeyM,0),"")</f>
        <v/>
      </c>
      <c r="M641">
        <f>IFERROR(MATCH($C$5&amp;"|"&amp;RIGHT("000000"&amp;625,6),LdBKeyM,0),"")</f>
        <v/>
      </c>
      <c r="N641">
        <f>IFERROR(MATCH($C$5&amp;"|"&amp;RIGHT("000000"&amp;625,6),LdCKeyM,0),"")</f>
        <v/>
      </c>
    </row>
    <row r="642">
      <c r="A642" s="19" t="n">
        <v>626</v>
      </c>
      <c r="B642" s="20">
        <f>IF(AND($L642="",$M642="",$N642=""),"",IF($L642&lt;&gt;"",INDEX(LdADate,$L642),IF($M642&lt;&gt;"",INDEX(LdBDate,$M642),INDEX(LdCDate,$N642))))</f>
        <v/>
      </c>
      <c r="C642" s="20">
        <f>IF($L642&lt;&gt;"","دستمزد (فردی)",IF($M642&lt;&gt;"","سهم از گروه "&amp;IFERROR(VLOOKUP(INDEX(LdBGroup,$M642),WGTbl,2,0),INDEX(LdBGroup,$M642)),IF($N642&lt;&gt;"",IF(N(INDEX(LdCDep,$N642))&gt;0,"بازگشت بانکی","پرداخت بانکی"),"")))</f>
        <v/>
      </c>
      <c r="D642" s="20">
        <f>IF($L642&lt;&gt;"",IF(INDEX(LdAId,$L642)="","—",INDEX(LdAId,$L642)),IF($M642&lt;&gt;"",IF(INDEX(LdBId,$M642)="","—",INDEX(LdBId,$M642)),IF($N642&lt;&gt;"",IF(INDEX(LdCBank,$N642)="","—",INDEX(LdCBank,$N642)),"")))</f>
        <v/>
      </c>
      <c r="E642" s="21">
        <f>IF($L642&lt;&gt;"",IF(INDEX(LdAAmt,$L642)=0,"",INDEX(LdAAmt,$L642)),IF($M642&lt;&gt;"",IF(INDEX(LdBAmt,$M642)=0,"",INDEX(LdBAmt,$M642)),IF($N642&lt;&gt;"",IF(INDEX(LdCDep,$N642)=0,"",INDEX(LdCDep,$N642)),"")))</f>
        <v/>
      </c>
      <c r="F642" s="21">
        <f>IF(AND($L642="",$M642="",$N642=""),"",IF($N642="","",IF(INDEX(LdCWit,$N642)=0,"",INDEX(LdCWit,$N642))))</f>
        <v/>
      </c>
      <c r="G642" s="31">
        <f>IF($B642="","",IF($G641="",0,$G641)+IF($E642="",0,$E642)-IF($F642="",0,$F642))</f>
        <v/>
      </c>
      <c r="H642" s="32">
        <f>IF(AND($L642="",$M642="",$N642=""),"",IF($L642&lt;&gt;"",IF(INDEX(LdANote,$L642)="","—",INDEX(LdANote,$L642)),IF($M642&lt;&gt;"",IF(INDEX(LdBNote,$M642)="","—",INDEX(LdBNote,$M642)),IF($N642&lt;&gt;"",IF(INDEX(LdCNote,$N642)="","—",INDEX(LdCNote,$N642)),""))))</f>
        <v/>
      </c>
      <c r="L642">
        <f>IFERROR(MATCH($C$5&amp;"|"&amp;RIGHT("000000"&amp;626,6),LdAKeyM,0),"")</f>
        <v/>
      </c>
      <c r="M642">
        <f>IFERROR(MATCH($C$5&amp;"|"&amp;RIGHT("000000"&amp;626,6),LdBKeyM,0),"")</f>
        <v/>
      </c>
      <c r="N642">
        <f>IFERROR(MATCH($C$5&amp;"|"&amp;RIGHT("000000"&amp;626,6),LdCKeyM,0),"")</f>
        <v/>
      </c>
    </row>
    <row r="643">
      <c r="A643" s="10" t="n">
        <v>627</v>
      </c>
      <c r="B643" s="14">
        <f>IF(AND($L643="",$M643="",$N643=""),"",IF($L643&lt;&gt;"",INDEX(LdADate,$L643),IF($M643&lt;&gt;"",INDEX(LdBDate,$M643),INDEX(LdCDate,$N643))))</f>
        <v/>
      </c>
      <c r="C643" s="14">
        <f>IF($L643&lt;&gt;"","دستمزد (فردی)",IF($M643&lt;&gt;"","سهم از گروه "&amp;IFERROR(VLOOKUP(INDEX(LdBGroup,$M643),WGTbl,2,0),INDEX(LdBGroup,$M643)),IF($N643&lt;&gt;"",IF(N(INDEX(LdCDep,$N643))&gt;0,"بازگشت بانکی","پرداخت بانکی"),"")))</f>
        <v/>
      </c>
      <c r="D643" s="14">
        <f>IF($L643&lt;&gt;"",IF(INDEX(LdAId,$L643)="","—",INDEX(LdAId,$L643)),IF($M643&lt;&gt;"",IF(INDEX(LdBId,$M643)="","—",INDEX(LdBId,$M643)),IF($N643&lt;&gt;"",IF(INDEX(LdCBank,$N643)="","—",INDEX(LdCBank,$N643)),"")))</f>
        <v/>
      </c>
      <c r="E643" s="16">
        <f>IF($L643&lt;&gt;"",IF(INDEX(LdAAmt,$L643)=0,"",INDEX(LdAAmt,$L643)),IF($M643&lt;&gt;"",IF(INDEX(LdBAmt,$M643)=0,"",INDEX(LdBAmt,$M643)),IF($N643&lt;&gt;"",IF(INDEX(LdCDep,$N643)=0,"",INDEX(LdCDep,$N643)),"")))</f>
        <v/>
      </c>
      <c r="F643" s="16">
        <f>IF(AND($L643="",$M643="",$N643=""),"",IF($N643="","",IF(INDEX(LdCWit,$N643)=0,"",INDEX(LdCWit,$N643))))</f>
        <v/>
      </c>
      <c r="G643" s="29">
        <f>IF($B643="","",IF($G642="",0,$G642)+IF($E643="",0,$E643)-IF($F643="",0,$F643))</f>
        <v/>
      </c>
      <c r="H643" s="30">
        <f>IF(AND($L643="",$M643="",$N643=""),"",IF($L643&lt;&gt;"",IF(INDEX(LdANote,$L643)="","—",INDEX(LdANote,$L643)),IF($M643&lt;&gt;"",IF(INDEX(LdBNote,$M643)="","—",INDEX(LdBNote,$M643)),IF($N643&lt;&gt;"",IF(INDEX(LdCNote,$N643)="","—",INDEX(LdCNote,$N643)),""))))</f>
        <v/>
      </c>
      <c r="L643">
        <f>IFERROR(MATCH($C$5&amp;"|"&amp;RIGHT("000000"&amp;627,6),LdAKeyM,0),"")</f>
        <v/>
      </c>
      <c r="M643">
        <f>IFERROR(MATCH($C$5&amp;"|"&amp;RIGHT("000000"&amp;627,6),LdBKeyM,0),"")</f>
        <v/>
      </c>
      <c r="N643">
        <f>IFERROR(MATCH($C$5&amp;"|"&amp;RIGHT("000000"&amp;627,6),LdCKeyM,0),"")</f>
        <v/>
      </c>
    </row>
    <row r="644">
      <c r="A644" s="19" t="n">
        <v>628</v>
      </c>
      <c r="B644" s="20">
        <f>IF(AND($L644="",$M644="",$N644=""),"",IF($L644&lt;&gt;"",INDEX(LdADate,$L644),IF($M644&lt;&gt;"",INDEX(LdBDate,$M644),INDEX(LdCDate,$N644))))</f>
        <v/>
      </c>
      <c r="C644" s="20">
        <f>IF($L644&lt;&gt;"","دستمزد (فردی)",IF($M644&lt;&gt;"","سهم از گروه "&amp;IFERROR(VLOOKUP(INDEX(LdBGroup,$M644),WGTbl,2,0),INDEX(LdBGroup,$M644)),IF($N644&lt;&gt;"",IF(N(INDEX(LdCDep,$N644))&gt;0,"بازگشت بانکی","پرداخت بانکی"),"")))</f>
        <v/>
      </c>
      <c r="D644" s="20">
        <f>IF($L644&lt;&gt;"",IF(INDEX(LdAId,$L644)="","—",INDEX(LdAId,$L644)),IF($M644&lt;&gt;"",IF(INDEX(LdBId,$M644)="","—",INDEX(LdBId,$M644)),IF($N644&lt;&gt;"",IF(INDEX(LdCBank,$N644)="","—",INDEX(LdCBank,$N644)),"")))</f>
        <v/>
      </c>
      <c r="E644" s="21">
        <f>IF($L644&lt;&gt;"",IF(INDEX(LdAAmt,$L644)=0,"",INDEX(LdAAmt,$L644)),IF($M644&lt;&gt;"",IF(INDEX(LdBAmt,$M644)=0,"",INDEX(LdBAmt,$M644)),IF($N644&lt;&gt;"",IF(INDEX(LdCDep,$N644)=0,"",INDEX(LdCDep,$N644)),"")))</f>
        <v/>
      </c>
      <c r="F644" s="21">
        <f>IF(AND($L644="",$M644="",$N644=""),"",IF($N644="","",IF(INDEX(LdCWit,$N644)=0,"",INDEX(LdCWit,$N644))))</f>
        <v/>
      </c>
      <c r="G644" s="31">
        <f>IF($B644="","",IF($G643="",0,$G643)+IF($E644="",0,$E644)-IF($F644="",0,$F644))</f>
        <v/>
      </c>
      <c r="H644" s="32">
        <f>IF(AND($L644="",$M644="",$N644=""),"",IF($L644&lt;&gt;"",IF(INDEX(LdANote,$L644)="","—",INDEX(LdANote,$L644)),IF($M644&lt;&gt;"",IF(INDEX(LdBNote,$M644)="","—",INDEX(LdBNote,$M644)),IF($N644&lt;&gt;"",IF(INDEX(LdCNote,$N644)="","—",INDEX(LdCNote,$N644)),""))))</f>
        <v/>
      </c>
      <c r="L644">
        <f>IFERROR(MATCH($C$5&amp;"|"&amp;RIGHT("000000"&amp;628,6),LdAKeyM,0),"")</f>
        <v/>
      </c>
      <c r="M644">
        <f>IFERROR(MATCH($C$5&amp;"|"&amp;RIGHT("000000"&amp;628,6),LdBKeyM,0),"")</f>
        <v/>
      </c>
      <c r="N644">
        <f>IFERROR(MATCH($C$5&amp;"|"&amp;RIGHT("000000"&amp;628,6),LdCKeyM,0),"")</f>
        <v/>
      </c>
    </row>
    <row r="645">
      <c r="A645" s="10" t="n">
        <v>629</v>
      </c>
      <c r="B645" s="14">
        <f>IF(AND($L645="",$M645="",$N645=""),"",IF($L645&lt;&gt;"",INDEX(LdADate,$L645),IF($M645&lt;&gt;"",INDEX(LdBDate,$M645),INDEX(LdCDate,$N645))))</f>
        <v/>
      </c>
      <c r="C645" s="14">
        <f>IF($L645&lt;&gt;"","دستمزد (فردی)",IF($M645&lt;&gt;"","سهم از گروه "&amp;IFERROR(VLOOKUP(INDEX(LdBGroup,$M645),WGTbl,2,0),INDEX(LdBGroup,$M645)),IF($N645&lt;&gt;"",IF(N(INDEX(LdCDep,$N645))&gt;0,"بازگشت بانکی","پرداخت بانکی"),"")))</f>
        <v/>
      </c>
      <c r="D645" s="14">
        <f>IF($L645&lt;&gt;"",IF(INDEX(LdAId,$L645)="","—",INDEX(LdAId,$L645)),IF($M645&lt;&gt;"",IF(INDEX(LdBId,$M645)="","—",INDEX(LdBId,$M645)),IF($N645&lt;&gt;"",IF(INDEX(LdCBank,$N645)="","—",INDEX(LdCBank,$N645)),"")))</f>
        <v/>
      </c>
      <c r="E645" s="16">
        <f>IF($L645&lt;&gt;"",IF(INDEX(LdAAmt,$L645)=0,"",INDEX(LdAAmt,$L645)),IF($M645&lt;&gt;"",IF(INDEX(LdBAmt,$M645)=0,"",INDEX(LdBAmt,$M645)),IF($N645&lt;&gt;"",IF(INDEX(LdCDep,$N645)=0,"",INDEX(LdCDep,$N645)),"")))</f>
        <v/>
      </c>
      <c r="F645" s="16">
        <f>IF(AND($L645="",$M645="",$N645=""),"",IF($N645="","",IF(INDEX(LdCWit,$N645)=0,"",INDEX(LdCWit,$N645))))</f>
        <v/>
      </c>
      <c r="G645" s="29">
        <f>IF($B645="","",IF($G644="",0,$G644)+IF($E645="",0,$E645)-IF($F645="",0,$F645))</f>
        <v/>
      </c>
      <c r="H645" s="30">
        <f>IF(AND($L645="",$M645="",$N645=""),"",IF($L645&lt;&gt;"",IF(INDEX(LdANote,$L645)="","—",INDEX(LdANote,$L645)),IF($M645&lt;&gt;"",IF(INDEX(LdBNote,$M645)="","—",INDEX(LdBNote,$M645)),IF($N645&lt;&gt;"",IF(INDEX(LdCNote,$N645)="","—",INDEX(LdCNote,$N645)),""))))</f>
        <v/>
      </c>
      <c r="L645">
        <f>IFERROR(MATCH($C$5&amp;"|"&amp;RIGHT("000000"&amp;629,6),LdAKeyM,0),"")</f>
        <v/>
      </c>
      <c r="M645">
        <f>IFERROR(MATCH($C$5&amp;"|"&amp;RIGHT("000000"&amp;629,6),LdBKeyM,0),"")</f>
        <v/>
      </c>
      <c r="N645">
        <f>IFERROR(MATCH($C$5&amp;"|"&amp;RIGHT("000000"&amp;629,6),LdCKeyM,0),"")</f>
        <v/>
      </c>
    </row>
    <row r="646">
      <c r="A646" s="19" t="n">
        <v>630</v>
      </c>
      <c r="B646" s="20">
        <f>IF(AND($L646="",$M646="",$N646=""),"",IF($L646&lt;&gt;"",INDEX(LdADate,$L646),IF($M646&lt;&gt;"",INDEX(LdBDate,$M646),INDEX(LdCDate,$N646))))</f>
        <v/>
      </c>
      <c r="C646" s="20">
        <f>IF($L646&lt;&gt;"","دستمزد (فردی)",IF($M646&lt;&gt;"","سهم از گروه "&amp;IFERROR(VLOOKUP(INDEX(LdBGroup,$M646),WGTbl,2,0),INDEX(LdBGroup,$M646)),IF($N646&lt;&gt;"",IF(N(INDEX(LdCDep,$N646))&gt;0,"بازگشت بانکی","پرداخت بانکی"),"")))</f>
        <v/>
      </c>
      <c r="D646" s="20">
        <f>IF($L646&lt;&gt;"",IF(INDEX(LdAId,$L646)="","—",INDEX(LdAId,$L646)),IF($M646&lt;&gt;"",IF(INDEX(LdBId,$M646)="","—",INDEX(LdBId,$M646)),IF($N646&lt;&gt;"",IF(INDEX(LdCBank,$N646)="","—",INDEX(LdCBank,$N646)),"")))</f>
        <v/>
      </c>
      <c r="E646" s="21">
        <f>IF($L646&lt;&gt;"",IF(INDEX(LdAAmt,$L646)=0,"",INDEX(LdAAmt,$L646)),IF($M646&lt;&gt;"",IF(INDEX(LdBAmt,$M646)=0,"",INDEX(LdBAmt,$M646)),IF($N646&lt;&gt;"",IF(INDEX(LdCDep,$N646)=0,"",INDEX(LdCDep,$N646)),"")))</f>
        <v/>
      </c>
      <c r="F646" s="21">
        <f>IF(AND($L646="",$M646="",$N646=""),"",IF($N646="","",IF(INDEX(LdCWit,$N646)=0,"",INDEX(LdCWit,$N646))))</f>
        <v/>
      </c>
      <c r="G646" s="31">
        <f>IF($B646="","",IF($G645="",0,$G645)+IF($E646="",0,$E646)-IF($F646="",0,$F646))</f>
        <v/>
      </c>
      <c r="H646" s="32">
        <f>IF(AND($L646="",$M646="",$N646=""),"",IF($L646&lt;&gt;"",IF(INDEX(LdANote,$L646)="","—",INDEX(LdANote,$L646)),IF($M646&lt;&gt;"",IF(INDEX(LdBNote,$M646)="","—",INDEX(LdBNote,$M646)),IF($N646&lt;&gt;"",IF(INDEX(LdCNote,$N646)="","—",INDEX(LdCNote,$N646)),""))))</f>
        <v/>
      </c>
      <c r="L646">
        <f>IFERROR(MATCH($C$5&amp;"|"&amp;RIGHT("000000"&amp;630,6),LdAKeyM,0),"")</f>
        <v/>
      </c>
      <c r="M646">
        <f>IFERROR(MATCH($C$5&amp;"|"&amp;RIGHT("000000"&amp;630,6),LdBKeyM,0),"")</f>
        <v/>
      </c>
      <c r="N646">
        <f>IFERROR(MATCH($C$5&amp;"|"&amp;RIGHT("000000"&amp;630,6),LdCKeyM,0),"")</f>
        <v/>
      </c>
    </row>
    <row r="647">
      <c r="A647" s="10" t="n">
        <v>631</v>
      </c>
      <c r="B647" s="14">
        <f>IF(AND($L647="",$M647="",$N647=""),"",IF($L647&lt;&gt;"",INDEX(LdADate,$L647),IF($M647&lt;&gt;"",INDEX(LdBDate,$M647),INDEX(LdCDate,$N647))))</f>
        <v/>
      </c>
      <c r="C647" s="14">
        <f>IF($L647&lt;&gt;"","دستمزد (فردی)",IF($M647&lt;&gt;"","سهم از گروه "&amp;IFERROR(VLOOKUP(INDEX(LdBGroup,$M647),WGTbl,2,0),INDEX(LdBGroup,$M647)),IF($N647&lt;&gt;"",IF(N(INDEX(LdCDep,$N647))&gt;0,"بازگشت بانکی","پرداخت بانکی"),"")))</f>
        <v/>
      </c>
      <c r="D647" s="14">
        <f>IF($L647&lt;&gt;"",IF(INDEX(LdAId,$L647)="","—",INDEX(LdAId,$L647)),IF($M647&lt;&gt;"",IF(INDEX(LdBId,$M647)="","—",INDEX(LdBId,$M647)),IF($N647&lt;&gt;"",IF(INDEX(LdCBank,$N647)="","—",INDEX(LdCBank,$N647)),"")))</f>
        <v/>
      </c>
      <c r="E647" s="16">
        <f>IF($L647&lt;&gt;"",IF(INDEX(LdAAmt,$L647)=0,"",INDEX(LdAAmt,$L647)),IF($M647&lt;&gt;"",IF(INDEX(LdBAmt,$M647)=0,"",INDEX(LdBAmt,$M647)),IF($N647&lt;&gt;"",IF(INDEX(LdCDep,$N647)=0,"",INDEX(LdCDep,$N647)),"")))</f>
        <v/>
      </c>
      <c r="F647" s="16">
        <f>IF(AND($L647="",$M647="",$N647=""),"",IF($N647="","",IF(INDEX(LdCWit,$N647)=0,"",INDEX(LdCWit,$N647))))</f>
        <v/>
      </c>
      <c r="G647" s="29">
        <f>IF($B647="","",IF($G646="",0,$G646)+IF($E647="",0,$E647)-IF($F647="",0,$F647))</f>
        <v/>
      </c>
      <c r="H647" s="30">
        <f>IF(AND($L647="",$M647="",$N647=""),"",IF($L647&lt;&gt;"",IF(INDEX(LdANote,$L647)="","—",INDEX(LdANote,$L647)),IF($M647&lt;&gt;"",IF(INDEX(LdBNote,$M647)="","—",INDEX(LdBNote,$M647)),IF($N647&lt;&gt;"",IF(INDEX(LdCNote,$N647)="","—",INDEX(LdCNote,$N647)),""))))</f>
        <v/>
      </c>
      <c r="L647">
        <f>IFERROR(MATCH($C$5&amp;"|"&amp;RIGHT("000000"&amp;631,6),LdAKeyM,0),"")</f>
        <v/>
      </c>
      <c r="M647">
        <f>IFERROR(MATCH($C$5&amp;"|"&amp;RIGHT("000000"&amp;631,6),LdBKeyM,0),"")</f>
        <v/>
      </c>
      <c r="N647">
        <f>IFERROR(MATCH($C$5&amp;"|"&amp;RIGHT("000000"&amp;631,6),LdCKeyM,0),"")</f>
        <v/>
      </c>
    </row>
    <row r="648">
      <c r="A648" s="19" t="n">
        <v>632</v>
      </c>
      <c r="B648" s="20">
        <f>IF(AND($L648="",$M648="",$N648=""),"",IF($L648&lt;&gt;"",INDEX(LdADate,$L648),IF($M648&lt;&gt;"",INDEX(LdBDate,$M648),INDEX(LdCDate,$N648))))</f>
        <v/>
      </c>
      <c r="C648" s="20">
        <f>IF($L648&lt;&gt;"","دستمزد (فردی)",IF($M648&lt;&gt;"","سهم از گروه "&amp;IFERROR(VLOOKUP(INDEX(LdBGroup,$M648),WGTbl,2,0),INDEX(LdBGroup,$M648)),IF($N648&lt;&gt;"",IF(N(INDEX(LdCDep,$N648))&gt;0,"بازگشت بانکی","پرداخت بانکی"),"")))</f>
        <v/>
      </c>
      <c r="D648" s="20">
        <f>IF($L648&lt;&gt;"",IF(INDEX(LdAId,$L648)="","—",INDEX(LdAId,$L648)),IF($M648&lt;&gt;"",IF(INDEX(LdBId,$M648)="","—",INDEX(LdBId,$M648)),IF($N648&lt;&gt;"",IF(INDEX(LdCBank,$N648)="","—",INDEX(LdCBank,$N648)),"")))</f>
        <v/>
      </c>
      <c r="E648" s="21">
        <f>IF($L648&lt;&gt;"",IF(INDEX(LdAAmt,$L648)=0,"",INDEX(LdAAmt,$L648)),IF($M648&lt;&gt;"",IF(INDEX(LdBAmt,$M648)=0,"",INDEX(LdBAmt,$M648)),IF($N648&lt;&gt;"",IF(INDEX(LdCDep,$N648)=0,"",INDEX(LdCDep,$N648)),"")))</f>
        <v/>
      </c>
      <c r="F648" s="21">
        <f>IF(AND($L648="",$M648="",$N648=""),"",IF($N648="","",IF(INDEX(LdCWit,$N648)=0,"",INDEX(LdCWit,$N648))))</f>
        <v/>
      </c>
      <c r="G648" s="31">
        <f>IF($B648="","",IF($G647="",0,$G647)+IF($E648="",0,$E648)-IF($F648="",0,$F648))</f>
        <v/>
      </c>
      <c r="H648" s="32">
        <f>IF(AND($L648="",$M648="",$N648=""),"",IF($L648&lt;&gt;"",IF(INDEX(LdANote,$L648)="","—",INDEX(LdANote,$L648)),IF($M648&lt;&gt;"",IF(INDEX(LdBNote,$M648)="","—",INDEX(LdBNote,$M648)),IF($N648&lt;&gt;"",IF(INDEX(LdCNote,$N648)="","—",INDEX(LdCNote,$N648)),""))))</f>
        <v/>
      </c>
      <c r="L648">
        <f>IFERROR(MATCH($C$5&amp;"|"&amp;RIGHT("000000"&amp;632,6),LdAKeyM,0),"")</f>
        <v/>
      </c>
      <c r="M648">
        <f>IFERROR(MATCH($C$5&amp;"|"&amp;RIGHT("000000"&amp;632,6),LdBKeyM,0),"")</f>
        <v/>
      </c>
      <c r="N648">
        <f>IFERROR(MATCH($C$5&amp;"|"&amp;RIGHT("000000"&amp;632,6),LdCKeyM,0),"")</f>
        <v/>
      </c>
    </row>
    <row r="649">
      <c r="A649" s="10" t="n">
        <v>633</v>
      </c>
      <c r="B649" s="14">
        <f>IF(AND($L649="",$M649="",$N649=""),"",IF($L649&lt;&gt;"",INDEX(LdADate,$L649),IF($M649&lt;&gt;"",INDEX(LdBDate,$M649),INDEX(LdCDate,$N649))))</f>
        <v/>
      </c>
      <c r="C649" s="14">
        <f>IF($L649&lt;&gt;"","دستمزد (فردی)",IF($M649&lt;&gt;"","سهم از گروه "&amp;IFERROR(VLOOKUP(INDEX(LdBGroup,$M649),WGTbl,2,0),INDEX(LdBGroup,$M649)),IF($N649&lt;&gt;"",IF(N(INDEX(LdCDep,$N649))&gt;0,"بازگشت بانکی","پرداخت بانکی"),"")))</f>
        <v/>
      </c>
      <c r="D649" s="14">
        <f>IF($L649&lt;&gt;"",IF(INDEX(LdAId,$L649)="","—",INDEX(LdAId,$L649)),IF($M649&lt;&gt;"",IF(INDEX(LdBId,$M649)="","—",INDEX(LdBId,$M649)),IF($N649&lt;&gt;"",IF(INDEX(LdCBank,$N649)="","—",INDEX(LdCBank,$N649)),"")))</f>
        <v/>
      </c>
      <c r="E649" s="16">
        <f>IF($L649&lt;&gt;"",IF(INDEX(LdAAmt,$L649)=0,"",INDEX(LdAAmt,$L649)),IF($M649&lt;&gt;"",IF(INDEX(LdBAmt,$M649)=0,"",INDEX(LdBAmt,$M649)),IF($N649&lt;&gt;"",IF(INDEX(LdCDep,$N649)=0,"",INDEX(LdCDep,$N649)),"")))</f>
        <v/>
      </c>
      <c r="F649" s="16">
        <f>IF(AND($L649="",$M649="",$N649=""),"",IF($N649="","",IF(INDEX(LdCWit,$N649)=0,"",INDEX(LdCWit,$N649))))</f>
        <v/>
      </c>
      <c r="G649" s="29">
        <f>IF($B649="","",IF($G648="",0,$G648)+IF($E649="",0,$E649)-IF($F649="",0,$F649))</f>
        <v/>
      </c>
      <c r="H649" s="30">
        <f>IF(AND($L649="",$M649="",$N649=""),"",IF($L649&lt;&gt;"",IF(INDEX(LdANote,$L649)="","—",INDEX(LdANote,$L649)),IF($M649&lt;&gt;"",IF(INDEX(LdBNote,$M649)="","—",INDEX(LdBNote,$M649)),IF($N649&lt;&gt;"",IF(INDEX(LdCNote,$N649)="","—",INDEX(LdCNote,$N649)),""))))</f>
        <v/>
      </c>
      <c r="L649">
        <f>IFERROR(MATCH($C$5&amp;"|"&amp;RIGHT("000000"&amp;633,6),LdAKeyM,0),"")</f>
        <v/>
      </c>
      <c r="M649">
        <f>IFERROR(MATCH($C$5&amp;"|"&amp;RIGHT("000000"&amp;633,6),LdBKeyM,0),"")</f>
        <v/>
      </c>
      <c r="N649">
        <f>IFERROR(MATCH($C$5&amp;"|"&amp;RIGHT("000000"&amp;633,6),LdCKeyM,0),"")</f>
        <v/>
      </c>
    </row>
    <row r="650">
      <c r="A650" s="19" t="n">
        <v>634</v>
      </c>
      <c r="B650" s="20">
        <f>IF(AND($L650="",$M650="",$N650=""),"",IF($L650&lt;&gt;"",INDEX(LdADate,$L650),IF($M650&lt;&gt;"",INDEX(LdBDate,$M650),INDEX(LdCDate,$N650))))</f>
        <v/>
      </c>
      <c r="C650" s="20">
        <f>IF($L650&lt;&gt;"","دستمزد (فردی)",IF($M650&lt;&gt;"","سهم از گروه "&amp;IFERROR(VLOOKUP(INDEX(LdBGroup,$M650),WGTbl,2,0),INDEX(LdBGroup,$M650)),IF($N650&lt;&gt;"",IF(N(INDEX(LdCDep,$N650))&gt;0,"بازگشت بانکی","پرداخت بانکی"),"")))</f>
        <v/>
      </c>
      <c r="D650" s="20">
        <f>IF($L650&lt;&gt;"",IF(INDEX(LdAId,$L650)="","—",INDEX(LdAId,$L650)),IF($M650&lt;&gt;"",IF(INDEX(LdBId,$M650)="","—",INDEX(LdBId,$M650)),IF($N650&lt;&gt;"",IF(INDEX(LdCBank,$N650)="","—",INDEX(LdCBank,$N650)),"")))</f>
        <v/>
      </c>
      <c r="E650" s="21">
        <f>IF($L650&lt;&gt;"",IF(INDEX(LdAAmt,$L650)=0,"",INDEX(LdAAmt,$L650)),IF($M650&lt;&gt;"",IF(INDEX(LdBAmt,$M650)=0,"",INDEX(LdBAmt,$M650)),IF($N650&lt;&gt;"",IF(INDEX(LdCDep,$N650)=0,"",INDEX(LdCDep,$N650)),"")))</f>
        <v/>
      </c>
      <c r="F650" s="21">
        <f>IF(AND($L650="",$M650="",$N650=""),"",IF($N650="","",IF(INDEX(LdCWit,$N650)=0,"",INDEX(LdCWit,$N650))))</f>
        <v/>
      </c>
      <c r="G650" s="31">
        <f>IF($B650="","",IF($G649="",0,$G649)+IF($E650="",0,$E650)-IF($F650="",0,$F650))</f>
        <v/>
      </c>
      <c r="H650" s="32">
        <f>IF(AND($L650="",$M650="",$N650=""),"",IF($L650&lt;&gt;"",IF(INDEX(LdANote,$L650)="","—",INDEX(LdANote,$L650)),IF($M650&lt;&gt;"",IF(INDEX(LdBNote,$M650)="","—",INDEX(LdBNote,$M650)),IF($N650&lt;&gt;"",IF(INDEX(LdCNote,$N650)="","—",INDEX(LdCNote,$N650)),""))))</f>
        <v/>
      </c>
      <c r="L650">
        <f>IFERROR(MATCH($C$5&amp;"|"&amp;RIGHT("000000"&amp;634,6),LdAKeyM,0),"")</f>
        <v/>
      </c>
      <c r="M650">
        <f>IFERROR(MATCH($C$5&amp;"|"&amp;RIGHT("000000"&amp;634,6),LdBKeyM,0),"")</f>
        <v/>
      </c>
      <c r="N650">
        <f>IFERROR(MATCH($C$5&amp;"|"&amp;RIGHT("000000"&amp;634,6),LdCKeyM,0),"")</f>
        <v/>
      </c>
    </row>
    <row r="651">
      <c r="A651" s="10" t="n">
        <v>635</v>
      </c>
      <c r="B651" s="14">
        <f>IF(AND($L651="",$M651="",$N651=""),"",IF($L651&lt;&gt;"",INDEX(LdADate,$L651),IF($M651&lt;&gt;"",INDEX(LdBDate,$M651),INDEX(LdCDate,$N651))))</f>
        <v/>
      </c>
      <c r="C651" s="14">
        <f>IF($L651&lt;&gt;"","دستمزد (فردی)",IF($M651&lt;&gt;"","سهم از گروه "&amp;IFERROR(VLOOKUP(INDEX(LdBGroup,$M651),WGTbl,2,0),INDEX(LdBGroup,$M651)),IF($N651&lt;&gt;"",IF(N(INDEX(LdCDep,$N651))&gt;0,"بازگشت بانکی","پرداخت بانکی"),"")))</f>
        <v/>
      </c>
      <c r="D651" s="14">
        <f>IF($L651&lt;&gt;"",IF(INDEX(LdAId,$L651)="","—",INDEX(LdAId,$L651)),IF($M651&lt;&gt;"",IF(INDEX(LdBId,$M651)="","—",INDEX(LdBId,$M651)),IF($N651&lt;&gt;"",IF(INDEX(LdCBank,$N651)="","—",INDEX(LdCBank,$N651)),"")))</f>
        <v/>
      </c>
      <c r="E651" s="16">
        <f>IF($L651&lt;&gt;"",IF(INDEX(LdAAmt,$L651)=0,"",INDEX(LdAAmt,$L651)),IF($M651&lt;&gt;"",IF(INDEX(LdBAmt,$M651)=0,"",INDEX(LdBAmt,$M651)),IF($N651&lt;&gt;"",IF(INDEX(LdCDep,$N651)=0,"",INDEX(LdCDep,$N651)),"")))</f>
        <v/>
      </c>
      <c r="F651" s="16">
        <f>IF(AND($L651="",$M651="",$N651=""),"",IF($N651="","",IF(INDEX(LdCWit,$N651)=0,"",INDEX(LdCWit,$N651))))</f>
        <v/>
      </c>
      <c r="G651" s="29">
        <f>IF($B651="","",IF($G650="",0,$G650)+IF($E651="",0,$E651)-IF($F651="",0,$F651))</f>
        <v/>
      </c>
      <c r="H651" s="30">
        <f>IF(AND($L651="",$M651="",$N651=""),"",IF($L651&lt;&gt;"",IF(INDEX(LdANote,$L651)="","—",INDEX(LdANote,$L651)),IF($M651&lt;&gt;"",IF(INDEX(LdBNote,$M651)="","—",INDEX(LdBNote,$M651)),IF($N651&lt;&gt;"",IF(INDEX(LdCNote,$N651)="","—",INDEX(LdCNote,$N651)),""))))</f>
        <v/>
      </c>
      <c r="L651">
        <f>IFERROR(MATCH($C$5&amp;"|"&amp;RIGHT("000000"&amp;635,6),LdAKeyM,0),"")</f>
        <v/>
      </c>
      <c r="M651">
        <f>IFERROR(MATCH($C$5&amp;"|"&amp;RIGHT("000000"&amp;635,6),LdBKeyM,0),"")</f>
        <v/>
      </c>
      <c r="N651">
        <f>IFERROR(MATCH($C$5&amp;"|"&amp;RIGHT("000000"&amp;635,6),LdCKeyM,0),"")</f>
        <v/>
      </c>
    </row>
    <row r="652">
      <c r="A652" s="19" t="n">
        <v>636</v>
      </c>
      <c r="B652" s="20">
        <f>IF(AND($L652="",$M652="",$N652=""),"",IF($L652&lt;&gt;"",INDEX(LdADate,$L652),IF($M652&lt;&gt;"",INDEX(LdBDate,$M652),INDEX(LdCDate,$N652))))</f>
        <v/>
      </c>
      <c r="C652" s="20">
        <f>IF($L652&lt;&gt;"","دستمزد (فردی)",IF($M652&lt;&gt;"","سهم از گروه "&amp;IFERROR(VLOOKUP(INDEX(LdBGroup,$M652),WGTbl,2,0),INDEX(LdBGroup,$M652)),IF($N652&lt;&gt;"",IF(N(INDEX(LdCDep,$N652))&gt;0,"بازگشت بانکی","پرداخت بانکی"),"")))</f>
        <v/>
      </c>
      <c r="D652" s="20">
        <f>IF($L652&lt;&gt;"",IF(INDEX(LdAId,$L652)="","—",INDEX(LdAId,$L652)),IF($M652&lt;&gt;"",IF(INDEX(LdBId,$M652)="","—",INDEX(LdBId,$M652)),IF($N652&lt;&gt;"",IF(INDEX(LdCBank,$N652)="","—",INDEX(LdCBank,$N652)),"")))</f>
        <v/>
      </c>
      <c r="E652" s="21">
        <f>IF($L652&lt;&gt;"",IF(INDEX(LdAAmt,$L652)=0,"",INDEX(LdAAmt,$L652)),IF($M652&lt;&gt;"",IF(INDEX(LdBAmt,$M652)=0,"",INDEX(LdBAmt,$M652)),IF($N652&lt;&gt;"",IF(INDEX(LdCDep,$N652)=0,"",INDEX(LdCDep,$N652)),"")))</f>
        <v/>
      </c>
      <c r="F652" s="21">
        <f>IF(AND($L652="",$M652="",$N652=""),"",IF($N652="","",IF(INDEX(LdCWit,$N652)=0,"",INDEX(LdCWit,$N652))))</f>
        <v/>
      </c>
      <c r="G652" s="31">
        <f>IF($B652="","",IF($G651="",0,$G651)+IF($E652="",0,$E652)-IF($F652="",0,$F652))</f>
        <v/>
      </c>
      <c r="H652" s="32">
        <f>IF(AND($L652="",$M652="",$N652=""),"",IF($L652&lt;&gt;"",IF(INDEX(LdANote,$L652)="","—",INDEX(LdANote,$L652)),IF($M652&lt;&gt;"",IF(INDEX(LdBNote,$M652)="","—",INDEX(LdBNote,$M652)),IF($N652&lt;&gt;"",IF(INDEX(LdCNote,$N652)="","—",INDEX(LdCNote,$N652)),""))))</f>
        <v/>
      </c>
      <c r="L652">
        <f>IFERROR(MATCH($C$5&amp;"|"&amp;RIGHT("000000"&amp;636,6),LdAKeyM,0),"")</f>
        <v/>
      </c>
      <c r="M652">
        <f>IFERROR(MATCH($C$5&amp;"|"&amp;RIGHT("000000"&amp;636,6),LdBKeyM,0),"")</f>
        <v/>
      </c>
      <c r="N652">
        <f>IFERROR(MATCH($C$5&amp;"|"&amp;RIGHT("000000"&amp;636,6),LdCKeyM,0),"")</f>
        <v/>
      </c>
    </row>
    <row r="653">
      <c r="A653" s="10" t="n">
        <v>637</v>
      </c>
      <c r="B653" s="14">
        <f>IF(AND($L653="",$M653="",$N653=""),"",IF($L653&lt;&gt;"",INDEX(LdADate,$L653),IF($M653&lt;&gt;"",INDEX(LdBDate,$M653),INDEX(LdCDate,$N653))))</f>
        <v/>
      </c>
      <c r="C653" s="14">
        <f>IF($L653&lt;&gt;"","دستمزد (فردی)",IF($M653&lt;&gt;"","سهم از گروه "&amp;IFERROR(VLOOKUP(INDEX(LdBGroup,$M653),WGTbl,2,0),INDEX(LdBGroup,$M653)),IF($N653&lt;&gt;"",IF(N(INDEX(LdCDep,$N653))&gt;0,"بازگشت بانکی","پرداخت بانکی"),"")))</f>
        <v/>
      </c>
      <c r="D653" s="14">
        <f>IF($L653&lt;&gt;"",IF(INDEX(LdAId,$L653)="","—",INDEX(LdAId,$L653)),IF($M653&lt;&gt;"",IF(INDEX(LdBId,$M653)="","—",INDEX(LdBId,$M653)),IF($N653&lt;&gt;"",IF(INDEX(LdCBank,$N653)="","—",INDEX(LdCBank,$N653)),"")))</f>
        <v/>
      </c>
      <c r="E653" s="16">
        <f>IF($L653&lt;&gt;"",IF(INDEX(LdAAmt,$L653)=0,"",INDEX(LdAAmt,$L653)),IF($M653&lt;&gt;"",IF(INDEX(LdBAmt,$M653)=0,"",INDEX(LdBAmt,$M653)),IF($N653&lt;&gt;"",IF(INDEX(LdCDep,$N653)=0,"",INDEX(LdCDep,$N653)),"")))</f>
        <v/>
      </c>
      <c r="F653" s="16">
        <f>IF(AND($L653="",$M653="",$N653=""),"",IF($N653="","",IF(INDEX(LdCWit,$N653)=0,"",INDEX(LdCWit,$N653))))</f>
        <v/>
      </c>
      <c r="G653" s="29">
        <f>IF($B653="","",IF($G652="",0,$G652)+IF($E653="",0,$E653)-IF($F653="",0,$F653))</f>
        <v/>
      </c>
      <c r="H653" s="30">
        <f>IF(AND($L653="",$M653="",$N653=""),"",IF($L653&lt;&gt;"",IF(INDEX(LdANote,$L653)="","—",INDEX(LdANote,$L653)),IF($M653&lt;&gt;"",IF(INDEX(LdBNote,$M653)="","—",INDEX(LdBNote,$M653)),IF($N653&lt;&gt;"",IF(INDEX(LdCNote,$N653)="","—",INDEX(LdCNote,$N653)),""))))</f>
        <v/>
      </c>
      <c r="L653">
        <f>IFERROR(MATCH($C$5&amp;"|"&amp;RIGHT("000000"&amp;637,6),LdAKeyM,0),"")</f>
        <v/>
      </c>
      <c r="M653">
        <f>IFERROR(MATCH($C$5&amp;"|"&amp;RIGHT("000000"&amp;637,6),LdBKeyM,0),"")</f>
        <v/>
      </c>
      <c r="N653">
        <f>IFERROR(MATCH($C$5&amp;"|"&amp;RIGHT("000000"&amp;637,6),LdCKeyM,0),"")</f>
        <v/>
      </c>
    </row>
    <row r="654">
      <c r="A654" s="19" t="n">
        <v>638</v>
      </c>
      <c r="B654" s="20">
        <f>IF(AND($L654="",$M654="",$N654=""),"",IF($L654&lt;&gt;"",INDEX(LdADate,$L654),IF($M654&lt;&gt;"",INDEX(LdBDate,$M654),INDEX(LdCDate,$N654))))</f>
        <v/>
      </c>
      <c r="C654" s="20">
        <f>IF($L654&lt;&gt;"","دستمزد (فردی)",IF($M654&lt;&gt;"","سهم از گروه "&amp;IFERROR(VLOOKUP(INDEX(LdBGroup,$M654),WGTbl,2,0),INDEX(LdBGroup,$M654)),IF($N654&lt;&gt;"",IF(N(INDEX(LdCDep,$N654))&gt;0,"بازگشت بانکی","پرداخت بانکی"),"")))</f>
        <v/>
      </c>
      <c r="D654" s="20">
        <f>IF($L654&lt;&gt;"",IF(INDEX(LdAId,$L654)="","—",INDEX(LdAId,$L654)),IF($M654&lt;&gt;"",IF(INDEX(LdBId,$M654)="","—",INDEX(LdBId,$M654)),IF($N654&lt;&gt;"",IF(INDEX(LdCBank,$N654)="","—",INDEX(LdCBank,$N654)),"")))</f>
        <v/>
      </c>
      <c r="E654" s="21">
        <f>IF($L654&lt;&gt;"",IF(INDEX(LdAAmt,$L654)=0,"",INDEX(LdAAmt,$L654)),IF($M654&lt;&gt;"",IF(INDEX(LdBAmt,$M654)=0,"",INDEX(LdBAmt,$M654)),IF($N654&lt;&gt;"",IF(INDEX(LdCDep,$N654)=0,"",INDEX(LdCDep,$N654)),"")))</f>
        <v/>
      </c>
      <c r="F654" s="21">
        <f>IF(AND($L654="",$M654="",$N654=""),"",IF($N654="","",IF(INDEX(LdCWit,$N654)=0,"",INDEX(LdCWit,$N654))))</f>
        <v/>
      </c>
      <c r="G654" s="31">
        <f>IF($B654="","",IF($G653="",0,$G653)+IF($E654="",0,$E654)-IF($F654="",0,$F654))</f>
        <v/>
      </c>
      <c r="H654" s="32">
        <f>IF(AND($L654="",$M654="",$N654=""),"",IF($L654&lt;&gt;"",IF(INDEX(LdANote,$L654)="","—",INDEX(LdANote,$L654)),IF($M654&lt;&gt;"",IF(INDEX(LdBNote,$M654)="","—",INDEX(LdBNote,$M654)),IF($N654&lt;&gt;"",IF(INDEX(LdCNote,$N654)="","—",INDEX(LdCNote,$N654)),""))))</f>
        <v/>
      </c>
      <c r="L654">
        <f>IFERROR(MATCH($C$5&amp;"|"&amp;RIGHT("000000"&amp;638,6),LdAKeyM,0),"")</f>
        <v/>
      </c>
      <c r="M654">
        <f>IFERROR(MATCH($C$5&amp;"|"&amp;RIGHT("000000"&amp;638,6),LdBKeyM,0),"")</f>
        <v/>
      </c>
      <c r="N654">
        <f>IFERROR(MATCH($C$5&amp;"|"&amp;RIGHT("000000"&amp;638,6),LdCKeyM,0),"")</f>
        <v/>
      </c>
    </row>
    <row r="655">
      <c r="A655" s="10" t="n">
        <v>639</v>
      </c>
      <c r="B655" s="14">
        <f>IF(AND($L655="",$M655="",$N655=""),"",IF($L655&lt;&gt;"",INDEX(LdADate,$L655),IF($M655&lt;&gt;"",INDEX(LdBDate,$M655),INDEX(LdCDate,$N655))))</f>
        <v/>
      </c>
      <c r="C655" s="14">
        <f>IF($L655&lt;&gt;"","دستمزد (فردی)",IF($M655&lt;&gt;"","سهم از گروه "&amp;IFERROR(VLOOKUP(INDEX(LdBGroup,$M655),WGTbl,2,0),INDEX(LdBGroup,$M655)),IF($N655&lt;&gt;"",IF(N(INDEX(LdCDep,$N655))&gt;0,"بازگشت بانکی","پرداخت بانکی"),"")))</f>
        <v/>
      </c>
      <c r="D655" s="14">
        <f>IF($L655&lt;&gt;"",IF(INDEX(LdAId,$L655)="","—",INDEX(LdAId,$L655)),IF($M655&lt;&gt;"",IF(INDEX(LdBId,$M655)="","—",INDEX(LdBId,$M655)),IF($N655&lt;&gt;"",IF(INDEX(LdCBank,$N655)="","—",INDEX(LdCBank,$N655)),"")))</f>
        <v/>
      </c>
      <c r="E655" s="16">
        <f>IF($L655&lt;&gt;"",IF(INDEX(LdAAmt,$L655)=0,"",INDEX(LdAAmt,$L655)),IF($M655&lt;&gt;"",IF(INDEX(LdBAmt,$M655)=0,"",INDEX(LdBAmt,$M655)),IF($N655&lt;&gt;"",IF(INDEX(LdCDep,$N655)=0,"",INDEX(LdCDep,$N655)),"")))</f>
        <v/>
      </c>
      <c r="F655" s="16">
        <f>IF(AND($L655="",$M655="",$N655=""),"",IF($N655="","",IF(INDEX(LdCWit,$N655)=0,"",INDEX(LdCWit,$N655))))</f>
        <v/>
      </c>
      <c r="G655" s="29">
        <f>IF($B655="","",IF($G654="",0,$G654)+IF($E655="",0,$E655)-IF($F655="",0,$F655))</f>
        <v/>
      </c>
      <c r="H655" s="30">
        <f>IF(AND($L655="",$M655="",$N655=""),"",IF($L655&lt;&gt;"",IF(INDEX(LdANote,$L655)="","—",INDEX(LdANote,$L655)),IF($M655&lt;&gt;"",IF(INDEX(LdBNote,$M655)="","—",INDEX(LdBNote,$M655)),IF($N655&lt;&gt;"",IF(INDEX(LdCNote,$N655)="","—",INDEX(LdCNote,$N655)),""))))</f>
        <v/>
      </c>
      <c r="L655">
        <f>IFERROR(MATCH($C$5&amp;"|"&amp;RIGHT("000000"&amp;639,6),LdAKeyM,0),"")</f>
        <v/>
      </c>
      <c r="M655">
        <f>IFERROR(MATCH($C$5&amp;"|"&amp;RIGHT("000000"&amp;639,6),LdBKeyM,0),"")</f>
        <v/>
      </c>
      <c r="N655">
        <f>IFERROR(MATCH($C$5&amp;"|"&amp;RIGHT("000000"&amp;639,6),LdCKeyM,0),"")</f>
        <v/>
      </c>
    </row>
    <row r="656">
      <c r="A656" s="19" t="n">
        <v>640</v>
      </c>
      <c r="B656" s="20">
        <f>IF(AND($L656="",$M656="",$N656=""),"",IF($L656&lt;&gt;"",INDEX(LdADate,$L656),IF($M656&lt;&gt;"",INDEX(LdBDate,$M656),INDEX(LdCDate,$N656))))</f>
        <v/>
      </c>
      <c r="C656" s="20">
        <f>IF($L656&lt;&gt;"","دستمزد (فردی)",IF($M656&lt;&gt;"","سهم از گروه "&amp;IFERROR(VLOOKUP(INDEX(LdBGroup,$M656),WGTbl,2,0),INDEX(LdBGroup,$M656)),IF($N656&lt;&gt;"",IF(N(INDEX(LdCDep,$N656))&gt;0,"بازگشت بانکی","پرداخت بانکی"),"")))</f>
        <v/>
      </c>
      <c r="D656" s="20">
        <f>IF($L656&lt;&gt;"",IF(INDEX(LdAId,$L656)="","—",INDEX(LdAId,$L656)),IF($M656&lt;&gt;"",IF(INDEX(LdBId,$M656)="","—",INDEX(LdBId,$M656)),IF($N656&lt;&gt;"",IF(INDEX(LdCBank,$N656)="","—",INDEX(LdCBank,$N656)),"")))</f>
        <v/>
      </c>
      <c r="E656" s="21">
        <f>IF($L656&lt;&gt;"",IF(INDEX(LdAAmt,$L656)=0,"",INDEX(LdAAmt,$L656)),IF($M656&lt;&gt;"",IF(INDEX(LdBAmt,$M656)=0,"",INDEX(LdBAmt,$M656)),IF($N656&lt;&gt;"",IF(INDEX(LdCDep,$N656)=0,"",INDEX(LdCDep,$N656)),"")))</f>
        <v/>
      </c>
      <c r="F656" s="21">
        <f>IF(AND($L656="",$M656="",$N656=""),"",IF($N656="","",IF(INDEX(LdCWit,$N656)=0,"",INDEX(LdCWit,$N656))))</f>
        <v/>
      </c>
      <c r="G656" s="31">
        <f>IF($B656="","",IF($G655="",0,$G655)+IF($E656="",0,$E656)-IF($F656="",0,$F656))</f>
        <v/>
      </c>
      <c r="H656" s="32">
        <f>IF(AND($L656="",$M656="",$N656=""),"",IF($L656&lt;&gt;"",IF(INDEX(LdANote,$L656)="","—",INDEX(LdANote,$L656)),IF($M656&lt;&gt;"",IF(INDEX(LdBNote,$M656)="","—",INDEX(LdBNote,$M656)),IF($N656&lt;&gt;"",IF(INDEX(LdCNote,$N656)="","—",INDEX(LdCNote,$N656)),""))))</f>
        <v/>
      </c>
      <c r="L656">
        <f>IFERROR(MATCH($C$5&amp;"|"&amp;RIGHT("000000"&amp;640,6),LdAKeyM,0),"")</f>
        <v/>
      </c>
      <c r="M656">
        <f>IFERROR(MATCH($C$5&amp;"|"&amp;RIGHT("000000"&amp;640,6),LdBKeyM,0),"")</f>
        <v/>
      </c>
      <c r="N656">
        <f>IFERROR(MATCH($C$5&amp;"|"&amp;RIGHT("000000"&amp;640,6),LdCKeyM,0),"")</f>
        <v/>
      </c>
    </row>
    <row r="657">
      <c r="A657" s="10" t="n">
        <v>641</v>
      </c>
      <c r="B657" s="14">
        <f>IF(AND($L657="",$M657="",$N657=""),"",IF($L657&lt;&gt;"",INDEX(LdADate,$L657),IF($M657&lt;&gt;"",INDEX(LdBDate,$M657),INDEX(LdCDate,$N657))))</f>
        <v/>
      </c>
      <c r="C657" s="14">
        <f>IF($L657&lt;&gt;"","دستمزد (فردی)",IF($M657&lt;&gt;"","سهم از گروه "&amp;IFERROR(VLOOKUP(INDEX(LdBGroup,$M657),WGTbl,2,0),INDEX(LdBGroup,$M657)),IF($N657&lt;&gt;"",IF(N(INDEX(LdCDep,$N657))&gt;0,"بازگشت بانکی","پرداخت بانکی"),"")))</f>
        <v/>
      </c>
      <c r="D657" s="14">
        <f>IF($L657&lt;&gt;"",IF(INDEX(LdAId,$L657)="","—",INDEX(LdAId,$L657)),IF($M657&lt;&gt;"",IF(INDEX(LdBId,$M657)="","—",INDEX(LdBId,$M657)),IF($N657&lt;&gt;"",IF(INDEX(LdCBank,$N657)="","—",INDEX(LdCBank,$N657)),"")))</f>
        <v/>
      </c>
      <c r="E657" s="16">
        <f>IF($L657&lt;&gt;"",IF(INDEX(LdAAmt,$L657)=0,"",INDEX(LdAAmt,$L657)),IF($M657&lt;&gt;"",IF(INDEX(LdBAmt,$M657)=0,"",INDEX(LdBAmt,$M657)),IF($N657&lt;&gt;"",IF(INDEX(LdCDep,$N657)=0,"",INDEX(LdCDep,$N657)),"")))</f>
        <v/>
      </c>
      <c r="F657" s="16">
        <f>IF(AND($L657="",$M657="",$N657=""),"",IF($N657="","",IF(INDEX(LdCWit,$N657)=0,"",INDEX(LdCWit,$N657))))</f>
        <v/>
      </c>
      <c r="G657" s="29">
        <f>IF($B657="","",IF($G656="",0,$G656)+IF($E657="",0,$E657)-IF($F657="",0,$F657))</f>
        <v/>
      </c>
      <c r="H657" s="30">
        <f>IF(AND($L657="",$M657="",$N657=""),"",IF($L657&lt;&gt;"",IF(INDEX(LdANote,$L657)="","—",INDEX(LdANote,$L657)),IF($M657&lt;&gt;"",IF(INDEX(LdBNote,$M657)="","—",INDEX(LdBNote,$M657)),IF($N657&lt;&gt;"",IF(INDEX(LdCNote,$N657)="","—",INDEX(LdCNote,$N657)),""))))</f>
        <v/>
      </c>
      <c r="L657">
        <f>IFERROR(MATCH($C$5&amp;"|"&amp;RIGHT("000000"&amp;641,6),LdAKeyM,0),"")</f>
        <v/>
      </c>
      <c r="M657">
        <f>IFERROR(MATCH($C$5&amp;"|"&amp;RIGHT("000000"&amp;641,6),LdBKeyM,0),"")</f>
        <v/>
      </c>
      <c r="N657">
        <f>IFERROR(MATCH($C$5&amp;"|"&amp;RIGHT("000000"&amp;641,6),LdCKeyM,0),"")</f>
        <v/>
      </c>
    </row>
    <row r="658">
      <c r="A658" s="19" t="n">
        <v>642</v>
      </c>
      <c r="B658" s="20">
        <f>IF(AND($L658="",$M658="",$N658=""),"",IF($L658&lt;&gt;"",INDEX(LdADate,$L658),IF($M658&lt;&gt;"",INDEX(LdBDate,$M658),INDEX(LdCDate,$N658))))</f>
        <v/>
      </c>
      <c r="C658" s="20">
        <f>IF($L658&lt;&gt;"","دستمزد (فردی)",IF($M658&lt;&gt;"","سهم از گروه "&amp;IFERROR(VLOOKUP(INDEX(LdBGroup,$M658),WGTbl,2,0),INDEX(LdBGroup,$M658)),IF($N658&lt;&gt;"",IF(N(INDEX(LdCDep,$N658))&gt;0,"بازگشت بانکی","پرداخت بانکی"),"")))</f>
        <v/>
      </c>
      <c r="D658" s="20">
        <f>IF($L658&lt;&gt;"",IF(INDEX(LdAId,$L658)="","—",INDEX(LdAId,$L658)),IF($M658&lt;&gt;"",IF(INDEX(LdBId,$M658)="","—",INDEX(LdBId,$M658)),IF($N658&lt;&gt;"",IF(INDEX(LdCBank,$N658)="","—",INDEX(LdCBank,$N658)),"")))</f>
        <v/>
      </c>
      <c r="E658" s="21">
        <f>IF($L658&lt;&gt;"",IF(INDEX(LdAAmt,$L658)=0,"",INDEX(LdAAmt,$L658)),IF($M658&lt;&gt;"",IF(INDEX(LdBAmt,$M658)=0,"",INDEX(LdBAmt,$M658)),IF($N658&lt;&gt;"",IF(INDEX(LdCDep,$N658)=0,"",INDEX(LdCDep,$N658)),"")))</f>
        <v/>
      </c>
      <c r="F658" s="21">
        <f>IF(AND($L658="",$M658="",$N658=""),"",IF($N658="","",IF(INDEX(LdCWit,$N658)=0,"",INDEX(LdCWit,$N658))))</f>
        <v/>
      </c>
      <c r="G658" s="31">
        <f>IF($B658="","",IF($G657="",0,$G657)+IF($E658="",0,$E658)-IF($F658="",0,$F658))</f>
        <v/>
      </c>
      <c r="H658" s="32">
        <f>IF(AND($L658="",$M658="",$N658=""),"",IF($L658&lt;&gt;"",IF(INDEX(LdANote,$L658)="","—",INDEX(LdANote,$L658)),IF($M658&lt;&gt;"",IF(INDEX(LdBNote,$M658)="","—",INDEX(LdBNote,$M658)),IF($N658&lt;&gt;"",IF(INDEX(LdCNote,$N658)="","—",INDEX(LdCNote,$N658)),""))))</f>
        <v/>
      </c>
      <c r="L658">
        <f>IFERROR(MATCH($C$5&amp;"|"&amp;RIGHT("000000"&amp;642,6),LdAKeyM,0),"")</f>
        <v/>
      </c>
      <c r="M658">
        <f>IFERROR(MATCH($C$5&amp;"|"&amp;RIGHT("000000"&amp;642,6),LdBKeyM,0),"")</f>
        <v/>
      </c>
      <c r="N658">
        <f>IFERROR(MATCH($C$5&amp;"|"&amp;RIGHT("000000"&amp;642,6),LdCKeyM,0),"")</f>
        <v/>
      </c>
    </row>
    <row r="659">
      <c r="A659" s="10" t="n">
        <v>643</v>
      </c>
      <c r="B659" s="14">
        <f>IF(AND($L659="",$M659="",$N659=""),"",IF($L659&lt;&gt;"",INDEX(LdADate,$L659),IF($M659&lt;&gt;"",INDEX(LdBDate,$M659),INDEX(LdCDate,$N659))))</f>
        <v/>
      </c>
      <c r="C659" s="14">
        <f>IF($L659&lt;&gt;"","دستمزد (فردی)",IF($M659&lt;&gt;"","سهم از گروه "&amp;IFERROR(VLOOKUP(INDEX(LdBGroup,$M659),WGTbl,2,0),INDEX(LdBGroup,$M659)),IF($N659&lt;&gt;"",IF(N(INDEX(LdCDep,$N659))&gt;0,"بازگشت بانکی","پرداخت بانکی"),"")))</f>
        <v/>
      </c>
      <c r="D659" s="14">
        <f>IF($L659&lt;&gt;"",IF(INDEX(LdAId,$L659)="","—",INDEX(LdAId,$L659)),IF($M659&lt;&gt;"",IF(INDEX(LdBId,$M659)="","—",INDEX(LdBId,$M659)),IF($N659&lt;&gt;"",IF(INDEX(LdCBank,$N659)="","—",INDEX(LdCBank,$N659)),"")))</f>
        <v/>
      </c>
      <c r="E659" s="16">
        <f>IF($L659&lt;&gt;"",IF(INDEX(LdAAmt,$L659)=0,"",INDEX(LdAAmt,$L659)),IF($M659&lt;&gt;"",IF(INDEX(LdBAmt,$M659)=0,"",INDEX(LdBAmt,$M659)),IF($N659&lt;&gt;"",IF(INDEX(LdCDep,$N659)=0,"",INDEX(LdCDep,$N659)),"")))</f>
        <v/>
      </c>
      <c r="F659" s="16">
        <f>IF(AND($L659="",$M659="",$N659=""),"",IF($N659="","",IF(INDEX(LdCWit,$N659)=0,"",INDEX(LdCWit,$N659))))</f>
        <v/>
      </c>
      <c r="G659" s="29">
        <f>IF($B659="","",IF($G658="",0,$G658)+IF($E659="",0,$E659)-IF($F659="",0,$F659))</f>
        <v/>
      </c>
      <c r="H659" s="30">
        <f>IF(AND($L659="",$M659="",$N659=""),"",IF($L659&lt;&gt;"",IF(INDEX(LdANote,$L659)="","—",INDEX(LdANote,$L659)),IF($M659&lt;&gt;"",IF(INDEX(LdBNote,$M659)="","—",INDEX(LdBNote,$M659)),IF($N659&lt;&gt;"",IF(INDEX(LdCNote,$N659)="","—",INDEX(LdCNote,$N659)),""))))</f>
        <v/>
      </c>
      <c r="L659">
        <f>IFERROR(MATCH($C$5&amp;"|"&amp;RIGHT("000000"&amp;643,6),LdAKeyM,0),"")</f>
        <v/>
      </c>
      <c r="M659">
        <f>IFERROR(MATCH($C$5&amp;"|"&amp;RIGHT("000000"&amp;643,6),LdBKeyM,0),"")</f>
        <v/>
      </c>
      <c r="N659">
        <f>IFERROR(MATCH($C$5&amp;"|"&amp;RIGHT("000000"&amp;643,6),LdCKeyM,0),"")</f>
        <v/>
      </c>
    </row>
    <row r="660">
      <c r="A660" s="19" t="n">
        <v>644</v>
      </c>
      <c r="B660" s="20">
        <f>IF(AND($L660="",$M660="",$N660=""),"",IF($L660&lt;&gt;"",INDEX(LdADate,$L660),IF($M660&lt;&gt;"",INDEX(LdBDate,$M660),INDEX(LdCDate,$N660))))</f>
        <v/>
      </c>
      <c r="C660" s="20">
        <f>IF($L660&lt;&gt;"","دستمزد (فردی)",IF($M660&lt;&gt;"","سهم از گروه "&amp;IFERROR(VLOOKUP(INDEX(LdBGroup,$M660),WGTbl,2,0),INDEX(LdBGroup,$M660)),IF($N660&lt;&gt;"",IF(N(INDEX(LdCDep,$N660))&gt;0,"بازگشت بانکی","پرداخت بانکی"),"")))</f>
        <v/>
      </c>
      <c r="D660" s="20">
        <f>IF($L660&lt;&gt;"",IF(INDEX(LdAId,$L660)="","—",INDEX(LdAId,$L660)),IF($M660&lt;&gt;"",IF(INDEX(LdBId,$M660)="","—",INDEX(LdBId,$M660)),IF($N660&lt;&gt;"",IF(INDEX(LdCBank,$N660)="","—",INDEX(LdCBank,$N660)),"")))</f>
        <v/>
      </c>
      <c r="E660" s="21">
        <f>IF($L660&lt;&gt;"",IF(INDEX(LdAAmt,$L660)=0,"",INDEX(LdAAmt,$L660)),IF($M660&lt;&gt;"",IF(INDEX(LdBAmt,$M660)=0,"",INDEX(LdBAmt,$M660)),IF($N660&lt;&gt;"",IF(INDEX(LdCDep,$N660)=0,"",INDEX(LdCDep,$N660)),"")))</f>
        <v/>
      </c>
      <c r="F660" s="21">
        <f>IF(AND($L660="",$M660="",$N660=""),"",IF($N660="","",IF(INDEX(LdCWit,$N660)=0,"",INDEX(LdCWit,$N660))))</f>
        <v/>
      </c>
      <c r="G660" s="31">
        <f>IF($B660="","",IF($G659="",0,$G659)+IF($E660="",0,$E660)-IF($F660="",0,$F660))</f>
        <v/>
      </c>
      <c r="H660" s="32">
        <f>IF(AND($L660="",$M660="",$N660=""),"",IF($L660&lt;&gt;"",IF(INDEX(LdANote,$L660)="","—",INDEX(LdANote,$L660)),IF($M660&lt;&gt;"",IF(INDEX(LdBNote,$M660)="","—",INDEX(LdBNote,$M660)),IF($N660&lt;&gt;"",IF(INDEX(LdCNote,$N660)="","—",INDEX(LdCNote,$N660)),""))))</f>
        <v/>
      </c>
      <c r="L660">
        <f>IFERROR(MATCH($C$5&amp;"|"&amp;RIGHT("000000"&amp;644,6),LdAKeyM,0),"")</f>
        <v/>
      </c>
      <c r="M660">
        <f>IFERROR(MATCH($C$5&amp;"|"&amp;RIGHT("000000"&amp;644,6),LdBKeyM,0),"")</f>
        <v/>
      </c>
      <c r="N660">
        <f>IFERROR(MATCH($C$5&amp;"|"&amp;RIGHT("000000"&amp;644,6),LdCKeyM,0),"")</f>
        <v/>
      </c>
    </row>
    <row r="661">
      <c r="A661" s="10" t="n">
        <v>645</v>
      </c>
      <c r="B661" s="14">
        <f>IF(AND($L661="",$M661="",$N661=""),"",IF($L661&lt;&gt;"",INDEX(LdADate,$L661),IF($M661&lt;&gt;"",INDEX(LdBDate,$M661),INDEX(LdCDate,$N661))))</f>
        <v/>
      </c>
      <c r="C661" s="14">
        <f>IF($L661&lt;&gt;"","دستمزد (فردی)",IF($M661&lt;&gt;"","سهم از گروه "&amp;IFERROR(VLOOKUP(INDEX(LdBGroup,$M661),WGTbl,2,0),INDEX(LdBGroup,$M661)),IF($N661&lt;&gt;"",IF(N(INDEX(LdCDep,$N661))&gt;0,"بازگشت بانکی","پرداخت بانکی"),"")))</f>
        <v/>
      </c>
      <c r="D661" s="14">
        <f>IF($L661&lt;&gt;"",IF(INDEX(LdAId,$L661)="","—",INDEX(LdAId,$L661)),IF($M661&lt;&gt;"",IF(INDEX(LdBId,$M661)="","—",INDEX(LdBId,$M661)),IF($N661&lt;&gt;"",IF(INDEX(LdCBank,$N661)="","—",INDEX(LdCBank,$N661)),"")))</f>
        <v/>
      </c>
      <c r="E661" s="16">
        <f>IF($L661&lt;&gt;"",IF(INDEX(LdAAmt,$L661)=0,"",INDEX(LdAAmt,$L661)),IF($M661&lt;&gt;"",IF(INDEX(LdBAmt,$M661)=0,"",INDEX(LdBAmt,$M661)),IF($N661&lt;&gt;"",IF(INDEX(LdCDep,$N661)=0,"",INDEX(LdCDep,$N661)),"")))</f>
        <v/>
      </c>
      <c r="F661" s="16">
        <f>IF(AND($L661="",$M661="",$N661=""),"",IF($N661="","",IF(INDEX(LdCWit,$N661)=0,"",INDEX(LdCWit,$N661))))</f>
        <v/>
      </c>
      <c r="G661" s="29">
        <f>IF($B661="","",IF($G660="",0,$G660)+IF($E661="",0,$E661)-IF($F661="",0,$F661))</f>
        <v/>
      </c>
      <c r="H661" s="30">
        <f>IF(AND($L661="",$M661="",$N661=""),"",IF($L661&lt;&gt;"",IF(INDEX(LdANote,$L661)="","—",INDEX(LdANote,$L661)),IF($M661&lt;&gt;"",IF(INDEX(LdBNote,$M661)="","—",INDEX(LdBNote,$M661)),IF($N661&lt;&gt;"",IF(INDEX(LdCNote,$N661)="","—",INDEX(LdCNote,$N661)),""))))</f>
        <v/>
      </c>
      <c r="L661">
        <f>IFERROR(MATCH($C$5&amp;"|"&amp;RIGHT("000000"&amp;645,6),LdAKeyM,0),"")</f>
        <v/>
      </c>
      <c r="M661">
        <f>IFERROR(MATCH($C$5&amp;"|"&amp;RIGHT("000000"&amp;645,6),LdBKeyM,0),"")</f>
        <v/>
      </c>
      <c r="N661">
        <f>IFERROR(MATCH($C$5&amp;"|"&amp;RIGHT("000000"&amp;645,6),LdCKeyM,0),"")</f>
        <v/>
      </c>
    </row>
    <row r="662">
      <c r="A662" s="19" t="n">
        <v>646</v>
      </c>
      <c r="B662" s="20">
        <f>IF(AND($L662="",$M662="",$N662=""),"",IF($L662&lt;&gt;"",INDEX(LdADate,$L662),IF($M662&lt;&gt;"",INDEX(LdBDate,$M662),INDEX(LdCDate,$N662))))</f>
        <v/>
      </c>
      <c r="C662" s="20">
        <f>IF($L662&lt;&gt;"","دستمزد (فردی)",IF($M662&lt;&gt;"","سهم از گروه "&amp;IFERROR(VLOOKUP(INDEX(LdBGroup,$M662),WGTbl,2,0),INDEX(LdBGroup,$M662)),IF($N662&lt;&gt;"",IF(N(INDEX(LdCDep,$N662))&gt;0,"بازگشت بانکی","پرداخت بانکی"),"")))</f>
        <v/>
      </c>
      <c r="D662" s="20">
        <f>IF($L662&lt;&gt;"",IF(INDEX(LdAId,$L662)="","—",INDEX(LdAId,$L662)),IF($M662&lt;&gt;"",IF(INDEX(LdBId,$M662)="","—",INDEX(LdBId,$M662)),IF($N662&lt;&gt;"",IF(INDEX(LdCBank,$N662)="","—",INDEX(LdCBank,$N662)),"")))</f>
        <v/>
      </c>
      <c r="E662" s="21">
        <f>IF($L662&lt;&gt;"",IF(INDEX(LdAAmt,$L662)=0,"",INDEX(LdAAmt,$L662)),IF($M662&lt;&gt;"",IF(INDEX(LdBAmt,$M662)=0,"",INDEX(LdBAmt,$M662)),IF($N662&lt;&gt;"",IF(INDEX(LdCDep,$N662)=0,"",INDEX(LdCDep,$N662)),"")))</f>
        <v/>
      </c>
      <c r="F662" s="21">
        <f>IF(AND($L662="",$M662="",$N662=""),"",IF($N662="","",IF(INDEX(LdCWit,$N662)=0,"",INDEX(LdCWit,$N662))))</f>
        <v/>
      </c>
      <c r="G662" s="31">
        <f>IF($B662="","",IF($G661="",0,$G661)+IF($E662="",0,$E662)-IF($F662="",0,$F662))</f>
        <v/>
      </c>
      <c r="H662" s="32">
        <f>IF(AND($L662="",$M662="",$N662=""),"",IF($L662&lt;&gt;"",IF(INDEX(LdANote,$L662)="","—",INDEX(LdANote,$L662)),IF($M662&lt;&gt;"",IF(INDEX(LdBNote,$M662)="","—",INDEX(LdBNote,$M662)),IF($N662&lt;&gt;"",IF(INDEX(LdCNote,$N662)="","—",INDEX(LdCNote,$N662)),""))))</f>
        <v/>
      </c>
      <c r="L662">
        <f>IFERROR(MATCH($C$5&amp;"|"&amp;RIGHT("000000"&amp;646,6),LdAKeyM,0),"")</f>
        <v/>
      </c>
      <c r="M662">
        <f>IFERROR(MATCH($C$5&amp;"|"&amp;RIGHT("000000"&amp;646,6),LdBKeyM,0),"")</f>
        <v/>
      </c>
      <c r="N662">
        <f>IFERROR(MATCH($C$5&amp;"|"&amp;RIGHT("000000"&amp;646,6),LdCKeyM,0),"")</f>
        <v/>
      </c>
    </row>
    <row r="663">
      <c r="A663" s="10" t="n">
        <v>647</v>
      </c>
      <c r="B663" s="14">
        <f>IF(AND($L663="",$M663="",$N663=""),"",IF($L663&lt;&gt;"",INDEX(LdADate,$L663),IF($M663&lt;&gt;"",INDEX(LdBDate,$M663),INDEX(LdCDate,$N663))))</f>
        <v/>
      </c>
      <c r="C663" s="14">
        <f>IF($L663&lt;&gt;"","دستمزد (فردی)",IF($M663&lt;&gt;"","سهم از گروه "&amp;IFERROR(VLOOKUP(INDEX(LdBGroup,$M663),WGTbl,2,0),INDEX(LdBGroup,$M663)),IF($N663&lt;&gt;"",IF(N(INDEX(LdCDep,$N663))&gt;0,"بازگشت بانکی","پرداخت بانکی"),"")))</f>
        <v/>
      </c>
      <c r="D663" s="14">
        <f>IF($L663&lt;&gt;"",IF(INDEX(LdAId,$L663)="","—",INDEX(LdAId,$L663)),IF($M663&lt;&gt;"",IF(INDEX(LdBId,$M663)="","—",INDEX(LdBId,$M663)),IF($N663&lt;&gt;"",IF(INDEX(LdCBank,$N663)="","—",INDEX(LdCBank,$N663)),"")))</f>
        <v/>
      </c>
      <c r="E663" s="16">
        <f>IF($L663&lt;&gt;"",IF(INDEX(LdAAmt,$L663)=0,"",INDEX(LdAAmt,$L663)),IF($M663&lt;&gt;"",IF(INDEX(LdBAmt,$M663)=0,"",INDEX(LdBAmt,$M663)),IF($N663&lt;&gt;"",IF(INDEX(LdCDep,$N663)=0,"",INDEX(LdCDep,$N663)),"")))</f>
        <v/>
      </c>
      <c r="F663" s="16">
        <f>IF(AND($L663="",$M663="",$N663=""),"",IF($N663="","",IF(INDEX(LdCWit,$N663)=0,"",INDEX(LdCWit,$N663))))</f>
        <v/>
      </c>
      <c r="G663" s="29">
        <f>IF($B663="","",IF($G662="",0,$G662)+IF($E663="",0,$E663)-IF($F663="",0,$F663))</f>
        <v/>
      </c>
      <c r="H663" s="30">
        <f>IF(AND($L663="",$M663="",$N663=""),"",IF($L663&lt;&gt;"",IF(INDEX(LdANote,$L663)="","—",INDEX(LdANote,$L663)),IF($M663&lt;&gt;"",IF(INDEX(LdBNote,$M663)="","—",INDEX(LdBNote,$M663)),IF($N663&lt;&gt;"",IF(INDEX(LdCNote,$N663)="","—",INDEX(LdCNote,$N663)),""))))</f>
        <v/>
      </c>
      <c r="L663">
        <f>IFERROR(MATCH($C$5&amp;"|"&amp;RIGHT("000000"&amp;647,6),LdAKeyM,0),"")</f>
        <v/>
      </c>
      <c r="M663">
        <f>IFERROR(MATCH($C$5&amp;"|"&amp;RIGHT("000000"&amp;647,6),LdBKeyM,0),"")</f>
        <v/>
      </c>
      <c r="N663">
        <f>IFERROR(MATCH($C$5&amp;"|"&amp;RIGHT("000000"&amp;647,6),LdCKeyM,0),"")</f>
        <v/>
      </c>
    </row>
    <row r="664">
      <c r="A664" s="19" t="n">
        <v>648</v>
      </c>
      <c r="B664" s="20">
        <f>IF(AND($L664="",$M664="",$N664=""),"",IF($L664&lt;&gt;"",INDEX(LdADate,$L664),IF($M664&lt;&gt;"",INDEX(LdBDate,$M664),INDEX(LdCDate,$N664))))</f>
        <v/>
      </c>
      <c r="C664" s="20">
        <f>IF($L664&lt;&gt;"","دستمزد (فردی)",IF($M664&lt;&gt;"","سهم از گروه "&amp;IFERROR(VLOOKUP(INDEX(LdBGroup,$M664),WGTbl,2,0),INDEX(LdBGroup,$M664)),IF($N664&lt;&gt;"",IF(N(INDEX(LdCDep,$N664))&gt;0,"بازگشت بانکی","پرداخت بانکی"),"")))</f>
        <v/>
      </c>
      <c r="D664" s="20">
        <f>IF($L664&lt;&gt;"",IF(INDEX(LdAId,$L664)="","—",INDEX(LdAId,$L664)),IF($M664&lt;&gt;"",IF(INDEX(LdBId,$M664)="","—",INDEX(LdBId,$M664)),IF($N664&lt;&gt;"",IF(INDEX(LdCBank,$N664)="","—",INDEX(LdCBank,$N664)),"")))</f>
        <v/>
      </c>
      <c r="E664" s="21">
        <f>IF($L664&lt;&gt;"",IF(INDEX(LdAAmt,$L664)=0,"",INDEX(LdAAmt,$L664)),IF($M664&lt;&gt;"",IF(INDEX(LdBAmt,$M664)=0,"",INDEX(LdBAmt,$M664)),IF($N664&lt;&gt;"",IF(INDEX(LdCDep,$N664)=0,"",INDEX(LdCDep,$N664)),"")))</f>
        <v/>
      </c>
      <c r="F664" s="21">
        <f>IF(AND($L664="",$M664="",$N664=""),"",IF($N664="","",IF(INDEX(LdCWit,$N664)=0,"",INDEX(LdCWit,$N664))))</f>
        <v/>
      </c>
      <c r="G664" s="31">
        <f>IF($B664="","",IF($G663="",0,$G663)+IF($E664="",0,$E664)-IF($F664="",0,$F664))</f>
        <v/>
      </c>
      <c r="H664" s="32">
        <f>IF(AND($L664="",$M664="",$N664=""),"",IF($L664&lt;&gt;"",IF(INDEX(LdANote,$L664)="","—",INDEX(LdANote,$L664)),IF($M664&lt;&gt;"",IF(INDEX(LdBNote,$M664)="","—",INDEX(LdBNote,$M664)),IF($N664&lt;&gt;"",IF(INDEX(LdCNote,$N664)="","—",INDEX(LdCNote,$N664)),""))))</f>
        <v/>
      </c>
      <c r="L664">
        <f>IFERROR(MATCH($C$5&amp;"|"&amp;RIGHT("000000"&amp;648,6),LdAKeyM,0),"")</f>
        <v/>
      </c>
      <c r="M664">
        <f>IFERROR(MATCH($C$5&amp;"|"&amp;RIGHT("000000"&amp;648,6),LdBKeyM,0),"")</f>
        <v/>
      </c>
      <c r="N664">
        <f>IFERROR(MATCH($C$5&amp;"|"&amp;RIGHT("000000"&amp;648,6),LdCKeyM,0),"")</f>
        <v/>
      </c>
    </row>
    <row r="665">
      <c r="A665" s="10" t="n">
        <v>649</v>
      </c>
      <c r="B665" s="14">
        <f>IF(AND($L665="",$M665="",$N665=""),"",IF($L665&lt;&gt;"",INDEX(LdADate,$L665),IF($M665&lt;&gt;"",INDEX(LdBDate,$M665),INDEX(LdCDate,$N665))))</f>
        <v/>
      </c>
      <c r="C665" s="14">
        <f>IF($L665&lt;&gt;"","دستمزد (فردی)",IF($M665&lt;&gt;"","سهم از گروه "&amp;IFERROR(VLOOKUP(INDEX(LdBGroup,$M665),WGTbl,2,0),INDEX(LdBGroup,$M665)),IF($N665&lt;&gt;"",IF(N(INDEX(LdCDep,$N665))&gt;0,"بازگشت بانکی","پرداخت بانکی"),"")))</f>
        <v/>
      </c>
      <c r="D665" s="14">
        <f>IF($L665&lt;&gt;"",IF(INDEX(LdAId,$L665)="","—",INDEX(LdAId,$L665)),IF($M665&lt;&gt;"",IF(INDEX(LdBId,$M665)="","—",INDEX(LdBId,$M665)),IF($N665&lt;&gt;"",IF(INDEX(LdCBank,$N665)="","—",INDEX(LdCBank,$N665)),"")))</f>
        <v/>
      </c>
      <c r="E665" s="16">
        <f>IF($L665&lt;&gt;"",IF(INDEX(LdAAmt,$L665)=0,"",INDEX(LdAAmt,$L665)),IF($M665&lt;&gt;"",IF(INDEX(LdBAmt,$M665)=0,"",INDEX(LdBAmt,$M665)),IF($N665&lt;&gt;"",IF(INDEX(LdCDep,$N665)=0,"",INDEX(LdCDep,$N665)),"")))</f>
        <v/>
      </c>
      <c r="F665" s="16">
        <f>IF(AND($L665="",$M665="",$N665=""),"",IF($N665="","",IF(INDEX(LdCWit,$N665)=0,"",INDEX(LdCWit,$N665))))</f>
        <v/>
      </c>
      <c r="G665" s="29">
        <f>IF($B665="","",IF($G664="",0,$G664)+IF($E665="",0,$E665)-IF($F665="",0,$F665))</f>
        <v/>
      </c>
      <c r="H665" s="30">
        <f>IF(AND($L665="",$M665="",$N665=""),"",IF($L665&lt;&gt;"",IF(INDEX(LdANote,$L665)="","—",INDEX(LdANote,$L665)),IF($M665&lt;&gt;"",IF(INDEX(LdBNote,$M665)="","—",INDEX(LdBNote,$M665)),IF($N665&lt;&gt;"",IF(INDEX(LdCNote,$N665)="","—",INDEX(LdCNote,$N665)),""))))</f>
        <v/>
      </c>
      <c r="L665">
        <f>IFERROR(MATCH($C$5&amp;"|"&amp;RIGHT("000000"&amp;649,6),LdAKeyM,0),"")</f>
        <v/>
      </c>
      <c r="M665">
        <f>IFERROR(MATCH($C$5&amp;"|"&amp;RIGHT("000000"&amp;649,6),LdBKeyM,0),"")</f>
        <v/>
      </c>
      <c r="N665">
        <f>IFERROR(MATCH($C$5&amp;"|"&amp;RIGHT("000000"&amp;649,6),LdCKeyM,0),"")</f>
        <v/>
      </c>
    </row>
    <row r="666">
      <c r="A666" s="19" t="n">
        <v>650</v>
      </c>
      <c r="B666" s="20">
        <f>IF(AND($L666="",$M666="",$N666=""),"",IF($L666&lt;&gt;"",INDEX(LdADate,$L666),IF($M666&lt;&gt;"",INDEX(LdBDate,$M666),INDEX(LdCDate,$N666))))</f>
        <v/>
      </c>
      <c r="C666" s="20">
        <f>IF($L666&lt;&gt;"","دستمزد (فردی)",IF($M666&lt;&gt;"","سهم از گروه "&amp;IFERROR(VLOOKUP(INDEX(LdBGroup,$M666),WGTbl,2,0),INDEX(LdBGroup,$M666)),IF($N666&lt;&gt;"",IF(N(INDEX(LdCDep,$N666))&gt;0,"بازگشت بانکی","پرداخت بانکی"),"")))</f>
        <v/>
      </c>
      <c r="D666" s="20">
        <f>IF($L666&lt;&gt;"",IF(INDEX(LdAId,$L666)="","—",INDEX(LdAId,$L666)),IF($M666&lt;&gt;"",IF(INDEX(LdBId,$M666)="","—",INDEX(LdBId,$M666)),IF($N666&lt;&gt;"",IF(INDEX(LdCBank,$N666)="","—",INDEX(LdCBank,$N666)),"")))</f>
        <v/>
      </c>
      <c r="E666" s="21">
        <f>IF($L666&lt;&gt;"",IF(INDEX(LdAAmt,$L666)=0,"",INDEX(LdAAmt,$L666)),IF($M666&lt;&gt;"",IF(INDEX(LdBAmt,$M666)=0,"",INDEX(LdBAmt,$M666)),IF($N666&lt;&gt;"",IF(INDEX(LdCDep,$N666)=0,"",INDEX(LdCDep,$N666)),"")))</f>
        <v/>
      </c>
      <c r="F666" s="21">
        <f>IF(AND($L666="",$M666="",$N666=""),"",IF($N666="","",IF(INDEX(LdCWit,$N666)=0,"",INDEX(LdCWit,$N666))))</f>
        <v/>
      </c>
      <c r="G666" s="31">
        <f>IF($B666="","",IF($G665="",0,$G665)+IF($E666="",0,$E666)-IF($F666="",0,$F666))</f>
        <v/>
      </c>
      <c r="H666" s="32">
        <f>IF(AND($L666="",$M666="",$N666=""),"",IF($L666&lt;&gt;"",IF(INDEX(LdANote,$L666)="","—",INDEX(LdANote,$L666)),IF($M666&lt;&gt;"",IF(INDEX(LdBNote,$M666)="","—",INDEX(LdBNote,$M666)),IF($N666&lt;&gt;"",IF(INDEX(LdCNote,$N666)="","—",INDEX(LdCNote,$N666)),""))))</f>
        <v/>
      </c>
      <c r="L666">
        <f>IFERROR(MATCH($C$5&amp;"|"&amp;RIGHT("000000"&amp;650,6),LdAKeyM,0),"")</f>
        <v/>
      </c>
      <c r="M666">
        <f>IFERROR(MATCH($C$5&amp;"|"&amp;RIGHT("000000"&amp;650,6),LdBKeyM,0),"")</f>
        <v/>
      </c>
      <c r="N666">
        <f>IFERROR(MATCH($C$5&amp;"|"&amp;RIGHT("000000"&amp;650,6),LdCKeyM,0),"")</f>
        <v/>
      </c>
    </row>
    <row r="667">
      <c r="A667" s="10" t="n">
        <v>651</v>
      </c>
      <c r="B667" s="14">
        <f>IF(AND($L667="",$M667="",$N667=""),"",IF($L667&lt;&gt;"",INDEX(LdADate,$L667),IF($M667&lt;&gt;"",INDEX(LdBDate,$M667),INDEX(LdCDate,$N667))))</f>
        <v/>
      </c>
      <c r="C667" s="14">
        <f>IF($L667&lt;&gt;"","دستمزد (فردی)",IF($M667&lt;&gt;"","سهم از گروه "&amp;IFERROR(VLOOKUP(INDEX(LdBGroup,$M667),WGTbl,2,0),INDEX(LdBGroup,$M667)),IF($N667&lt;&gt;"",IF(N(INDEX(LdCDep,$N667))&gt;0,"بازگشت بانکی","پرداخت بانکی"),"")))</f>
        <v/>
      </c>
      <c r="D667" s="14">
        <f>IF($L667&lt;&gt;"",IF(INDEX(LdAId,$L667)="","—",INDEX(LdAId,$L667)),IF($M667&lt;&gt;"",IF(INDEX(LdBId,$M667)="","—",INDEX(LdBId,$M667)),IF($N667&lt;&gt;"",IF(INDEX(LdCBank,$N667)="","—",INDEX(LdCBank,$N667)),"")))</f>
        <v/>
      </c>
      <c r="E667" s="16">
        <f>IF($L667&lt;&gt;"",IF(INDEX(LdAAmt,$L667)=0,"",INDEX(LdAAmt,$L667)),IF($M667&lt;&gt;"",IF(INDEX(LdBAmt,$M667)=0,"",INDEX(LdBAmt,$M667)),IF($N667&lt;&gt;"",IF(INDEX(LdCDep,$N667)=0,"",INDEX(LdCDep,$N667)),"")))</f>
        <v/>
      </c>
      <c r="F667" s="16">
        <f>IF(AND($L667="",$M667="",$N667=""),"",IF($N667="","",IF(INDEX(LdCWit,$N667)=0,"",INDEX(LdCWit,$N667))))</f>
        <v/>
      </c>
      <c r="G667" s="29">
        <f>IF($B667="","",IF($G666="",0,$G666)+IF($E667="",0,$E667)-IF($F667="",0,$F667))</f>
        <v/>
      </c>
      <c r="H667" s="30">
        <f>IF(AND($L667="",$M667="",$N667=""),"",IF($L667&lt;&gt;"",IF(INDEX(LdANote,$L667)="","—",INDEX(LdANote,$L667)),IF($M667&lt;&gt;"",IF(INDEX(LdBNote,$M667)="","—",INDEX(LdBNote,$M667)),IF($N667&lt;&gt;"",IF(INDEX(LdCNote,$N667)="","—",INDEX(LdCNote,$N667)),""))))</f>
        <v/>
      </c>
      <c r="L667">
        <f>IFERROR(MATCH($C$5&amp;"|"&amp;RIGHT("000000"&amp;651,6),LdAKeyM,0),"")</f>
        <v/>
      </c>
      <c r="M667">
        <f>IFERROR(MATCH($C$5&amp;"|"&amp;RIGHT("000000"&amp;651,6),LdBKeyM,0),"")</f>
        <v/>
      </c>
      <c r="N667">
        <f>IFERROR(MATCH($C$5&amp;"|"&amp;RIGHT("000000"&amp;651,6),LdCKeyM,0),"")</f>
        <v/>
      </c>
    </row>
    <row r="668">
      <c r="A668" s="19" t="n">
        <v>652</v>
      </c>
      <c r="B668" s="20">
        <f>IF(AND($L668="",$M668="",$N668=""),"",IF($L668&lt;&gt;"",INDEX(LdADate,$L668),IF($M668&lt;&gt;"",INDEX(LdBDate,$M668),INDEX(LdCDate,$N668))))</f>
        <v/>
      </c>
      <c r="C668" s="20">
        <f>IF($L668&lt;&gt;"","دستمزد (فردی)",IF($M668&lt;&gt;"","سهم از گروه "&amp;IFERROR(VLOOKUP(INDEX(LdBGroup,$M668),WGTbl,2,0),INDEX(LdBGroup,$M668)),IF($N668&lt;&gt;"",IF(N(INDEX(LdCDep,$N668))&gt;0,"بازگشت بانکی","پرداخت بانکی"),"")))</f>
        <v/>
      </c>
      <c r="D668" s="20">
        <f>IF($L668&lt;&gt;"",IF(INDEX(LdAId,$L668)="","—",INDEX(LdAId,$L668)),IF($M668&lt;&gt;"",IF(INDEX(LdBId,$M668)="","—",INDEX(LdBId,$M668)),IF($N668&lt;&gt;"",IF(INDEX(LdCBank,$N668)="","—",INDEX(LdCBank,$N668)),"")))</f>
        <v/>
      </c>
      <c r="E668" s="21">
        <f>IF($L668&lt;&gt;"",IF(INDEX(LdAAmt,$L668)=0,"",INDEX(LdAAmt,$L668)),IF($M668&lt;&gt;"",IF(INDEX(LdBAmt,$M668)=0,"",INDEX(LdBAmt,$M668)),IF($N668&lt;&gt;"",IF(INDEX(LdCDep,$N668)=0,"",INDEX(LdCDep,$N668)),"")))</f>
        <v/>
      </c>
      <c r="F668" s="21">
        <f>IF(AND($L668="",$M668="",$N668=""),"",IF($N668="","",IF(INDEX(LdCWit,$N668)=0,"",INDEX(LdCWit,$N668))))</f>
        <v/>
      </c>
      <c r="G668" s="31">
        <f>IF($B668="","",IF($G667="",0,$G667)+IF($E668="",0,$E668)-IF($F668="",0,$F668))</f>
        <v/>
      </c>
      <c r="H668" s="32">
        <f>IF(AND($L668="",$M668="",$N668=""),"",IF($L668&lt;&gt;"",IF(INDEX(LdANote,$L668)="","—",INDEX(LdANote,$L668)),IF($M668&lt;&gt;"",IF(INDEX(LdBNote,$M668)="","—",INDEX(LdBNote,$M668)),IF($N668&lt;&gt;"",IF(INDEX(LdCNote,$N668)="","—",INDEX(LdCNote,$N668)),""))))</f>
        <v/>
      </c>
      <c r="L668">
        <f>IFERROR(MATCH($C$5&amp;"|"&amp;RIGHT("000000"&amp;652,6),LdAKeyM,0),"")</f>
        <v/>
      </c>
      <c r="M668">
        <f>IFERROR(MATCH($C$5&amp;"|"&amp;RIGHT("000000"&amp;652,6),LdBKeyM,0),"")</f>
        <v/>
      </c>
      <c r="N668">
        <f>IFERROR(MATCH($C$5&amp;"|"&amp;RIGHT("000000"&amp;652,6),LdCKeyM,0),"")</f>
        <v/>
      </c>
    </row>
    <row r="669">
      <c r="A669" s="10" t="n">
        <v>653</v>
      </c>
      <c r="B669" s="14">
        <f>IF(AND($L669="",$M669="",$N669=""),"",IF($L669&lt;&gt;"",INDEX(LdADate,$L669),IF($M669&lt;&gt;"",INDEX(LdBDate,$M669),INDEX(LdCDate,$N669))))</f>
        <v/>
      </c>
      <c r="C669" s="14">
        <f>IF($L669&lt;&gt;"","دستمزد (فردی)",IF($M669&lt;&gt;"","سهم از گروه "&amp;IFERROR(VLOOKUP(INDEX(LdBGroup,$M669),WGTbl,2,0),INDEX(LdBGroup,$M669)),IF($N669&lt;&gt;"",IF(N(INDEX(LdCDep,$N669))&gt;0,"بازگشت بانکی","پرداخت بانکی"),"")))</f>
        <v/>
      </c>
      <c r="D669" s="14">
        <f>IF($L669&lt;&gt;"",IF(INDEX(LdAId,$L669)="","—",INDEX(LdAId,$L669)),IF($M669&lt;&gt;"",IF(INDEX(LdBId,$M669)="","—",INDEX(LdBId,$M669)),IF($N669&lt;&gt;"",IF(INDEX(LdCBank,$N669)="","—",INDEX(LdCBank,$N669)),"")))</f>
        <v/>
      </c>
      <c r="E669" s="16">
        <f>IF($L669&lt;&gt;"",IF(INDEX(LdAAmt,$L669)=0,"",INDEX(LdAAmt,$L669)),IF($M669&lt;&gt;"",IF(INDEX(LdBAmt,$M669)=0,"",INDEX(LdBAmt,$M669)),IF($N669&lt;&gt;"",IF(INDEX(LdCDep,$N669)=0,"",INDEX(LdCDep,$N669)),"")))</f>
        <v/>
      </c>
      <c r="F669" s="16">
        <f>IF(AND($L669="",$M669="",$N669=""),"",IF($N669="","",IF(INDEX(LdCWit,$N669)=0,"",INDEX(LdCWit,$N669))))</f>
        <v/>
      </c>
      <c r="G669" s="29">
        <f>IF($B669="","",IF($G668="",0,$G668)+IF($E669="",0,$E669)-IF($F669="",0,$F669))</f>
        <v/>
      </c>
      <c r="H669" s="30">
        <f>IF(AND($L669="",$M669="",$N669=""),"",IF($L669&lt;&gt;"",IF(INDEX(LdANote,$L669)="","—",INDEX(LdANote,$L669)),IF($M669&lt;&gt;"",IF(INDEX(LdBNote,$M669)="","—",INDEX(LdBNote,$M669)),IF($N669&lt;&gt;"",IF(INDEX(LdCNote,$N669)="","—",INDEX(LdCNote,$N669)),""))))</f>
        <v/>
      </c>
      <c r="L669">
        <f>IFERROR(MATCH($C$5&amp;"|"&amp;RIGHT("000000"&amp;653,6),LdAKeyM,0),"")</f>
        <v/>
      </c>
      <c r="M669">
        <f>IFERROR(MATCH($C$5&amp;"|"&amp;RIGHT("000000"&amp;653,6),LdBKeyM,0),"")</f>
        <v/>
      </c>
      <c r="N669">
        <f>IFERROR(MATCH($C$5&amp;"|"&amp;RIGHT("000000"&amp;653,6),LdCKeyM,0),"")</f>
        <v/>
      </c>
    </row>
    <row r="670">
      <c r="A670" s="19" t="n">
        <v>654</v>
      </c>
      <c r="B670" s="20">
        <f>IF(AND($L670="",$M670="",$N670=""),"",IF($L670&lt;&gt;"",INDEX(LdADate,$L670),IF($M670&lt;&gt;"",INDEX(LdBDate,$M670),INDEX(LdCDate,$N670))))</f>
        <v/>
      </c>
      <c r="C670" s="20">
        <f>IF($L670&lt;&gt;"","دستمزد (فردی)",IF($M670&lt;&gt;"","سهم از گروه "&amp;IFERROR(VLOOKUP(INDEX(LdBGroup,$M670),WGTbl,2,0),INDEX(LdBGroup,$M670)),IF($N670&lt;&gt;"",IF(N(INDEX(LdCDep,$N670))&gt;0,"بازگشت بانکی","پرداخت بانکی"),"")))</f>
        <v/>
      </c>
      <c r="D670" s="20">
        <f>IF($L670&lt;&gt;"",IF(INDEX(LdAId,$L670)="","—",INDEX(LdAId,$L670)),IF($M670&lt;&gt;"",IF(INDEX(LdBId,$M670)="","—",INDEX(LdBId,$M670)),IF($N670&lt;&gt;"",IF(INDEX(LdCBank,$N670)="","—",INDEX(LdCBank,$N670)),"")))</f>
        <v/>
      </c>
      <c r="E670" s="21">
        <f>IF($L670&lt;&gt;"",IF(INDEX(LdAAmt,$L670)=0,"",INDEX(LdAAmt,$L670)),IF($M670&lt;&gt;"",IF(INDEX(LdBAmt,$M670)=0,"",INDEX(LdBAmt,$M670)),IF($N670&lt;&gt;"",IF(INDEX(LdCDep,$N670)=0,"",INDEX(LdCDep,$N670)),"")))</f>
        <v/>
      </c>
      <c r="F670" s="21">
        <f>IF(AND($L670="",$M670="",$N670=""),"",IF($N670="","",IF(INDEX(LdCWit,$N670)=0,"",INDEX(LdCWit,$N670))))</f>
        <v/>
      </c>
      <c r="G670" s="31">
        <f>IF($B670="","",IF($G669="",0,$G669)+IF($E670="",0,$E670)-IF($F670="",0,$F670))</f>
        <v/>
      </c>
      <c r="H670" s="32">
        <f>IF(AND($L670="",$M670="",$N670=""),"",IF($L670&lt;&gt;"",IF(INDEX(LdANote,$L670)="","—",INDEX(LdANote,$L670)),IF($M670&lt;&gt;"",IF(INDEX(LdBNote,$M670)="","—",INDEX(LdBNote,$M670)),IF($N670&lt;&gt;"",IF(INDEX(LdCNote,$N670)="","—",INDEX(LdCNote,$N670)),""))))</f>
        <v/>
      </c>
      <c r="L670">
        <f>IFERROR(MATCH($C$5&amp;"|"&amp;RIGHT("000000"&amp;654,6),LdAKeyM,0),"")</f>
        <v/>
      </c>
      <c r="M670">
        <f>IFERROR(MATCH($C$5&amp;"|"&amp;RIGHT("000000"&amp;654,6),LdBKeyM,0),"")</f>
        <v/>
      </c>
      <c r="N670">
        <f>IFERROR(MATCH($C$5&amp;"|"&amp;RIGHT("000000"&amp;654,6),LdCKeyM,0),"")</f>
        <v/>
      </c>
    </row>
    <row r="671">
      <c r="A671" s="10" t="n">
        <v>655</v>
      </c>
      <c r="B671" s="14">
        <f>IF(AND($L671="",$M671="",$N671=""),"",IF($L671&lt;&gt;"",INDEX(LdADate,$L671),IF($M671&lt;&gt;"",INDEX(LdBDate,$M671),INDEX(LdCDate,$N671))))</f>
        <v/>
      </c>
      <c r="C671" s="14">
        <f>IF($L671&lt;&gt;"","دستمزد (فردی)",IF($M671&lt;&gt;"","سهم از گروه "&amp;IFERROR(VLOOKUP(INDEX(LdBGroup,$M671),WGTbl,2,0),INDEX(LdBGroup,$M671)),IF($N671&lt;&gt;"",IF(N(INDEX(LdCDep,$N671))&gt;0,"بازگشت بانکی","پرداخت بانکی"),"")))</f>
        <v/>
      </c>
      <c r="D671" s="14">
        <f>IF($L671&lt;&gt;"",IF(INDEX(LdAId,$L671)="","—",INDEX(LdAId,$L671)),IF($M671&lt;&gt;"",IF(INDEX(LdBId,$M671)="","—",INDEX(LdBId,$M671)),IF($N671&lt;&gt;"",IF(INDEX(LdCBank,$N671)="","—",INDEX(LdCBank,$N671)),"")))</f>
        <v/>
      </c>
      <c r="E671" s="16">
        <f>IF($L671&lt;&gt;"",IF(INDEX(LdAAmt,$L671)=0,"",INDEX(LdAAmt,$L671)),IF($M671&lt;&gt;"",IF(INDEX(LdBAmt,$M671)=0,"",INDEX(LdBAmt,$M671)),IF($N671&lt;&gt;"",IF(INDEX(LdCDep,$N671)=0,"",INDEX(LdCDep,$N671)),"")))</f>
        <v/>
      </c>
      <c r="F671" s="16">
        <f>IF(AND($L671="",$M671="",$N671=""),"",IF($N671="","",IF(INDEX(LdCWit,$N671)=0,"",INDEX(LdCWit,$N671))))</f>
        <v/>
      </c>
      <c r="G671" s="29">
        <f>IF($B671="","",IF($G670="",0,$G670)+IF($E671="",0,$E671)-IF($F671="",0,$F671))</f>
        <v/>
      </c>
      <c r="H671" s="30">
        <f>IF(AND($L671="",$M671="",$N671=""),"",IF($L671&lt;&gt;"",IF(INDEX(LdANote,$L671)="","—",INDEX(LdANote,$L671)),IF($M671&lt;&gt;"",IF(INDEX(LdBNote,$M671)="","—",INDEX(LdBNote,$M671)),IF($N671&lt;&gt;"",IF(INDEX(LdCNote,$N671)="","—",INDEX(LdCNote,$N671)),""))))</f>
        <v/>
      </c>
      <c r="L671">
        <f>IFERROR(MATCH($C$5&amp;"|"&amp;RIGHT("000000"&amp;655,6),LdAKeyM,0),"")</f>
        <v/>
      </c>
      <c r="M671">
        <f>IFERROR(MATCH($C$5&amp;"|"&amp;RIGHT("000000"&amp;655,6),LdBKeyM,0),"")</f>
        <v/>
      </c>
      <c r="N671">
        <f>IFERROR(MATCH($C$5&amp;"|"&amp;RIGHT("000000"&amp;655,6),LdCKeyM,0),"")</f>
        <v/>
      </c>
    </row>
    <row r="672">
      <c r="A672" s="19" t="n">
        <v>656</v>
      </c>
      <c r="B672" s="20">
        <f>IF(AND($L672="",$M672="",$N672=""),"",IF($L672&lt;&gt;"",INDEX(LdADate,$L672),IF($M672&lt;&gt;"",INDEX(LdBDate,$M672),INDEX(LdCDate,$N672))))</f>
        <v/>
      </c>
      <c r="C672" s="20">
        <f>IF($L672&lt;&gt;"","دستمزد (فردی)",IF($M672&lt;&gt;"","سهم از گروه "&amp;IFERROR(VLOOKUP(INDEX(LdBGroup,$M672),WGTbl,2,0),INDEX(LdBGroup,$M672)),IF($N672&lt;&gt;"",IF(N(INDEX(LdCDep,$N672))&gt;0,"بازگشت بانکی","پرداخت بانکی"),"")))</f>
        <v/>
      </c>
      <c r="D672" s="20">
        <f>IF($L672&lt;&gt;"",IF(INDEX(LdAId,$L672)="","—",INDEX(LdAId,$L672)),IF($M672&lt;&gt;"",IF(INDEX(LdBId,$M672)="","—",INDEX(LdBId,$M672)),IF($N672&lt;&gt;"",IF(INDEX(LdCBank,$N672)="","—",INDEX(LdCBank,$N672)),"")))</f>
        <v/>
      </c>
      <c r="E672" s="21">
        <f>IF($L672&lt;&gt;"",IF(INDEX(LdAAmt,$L672)=0,"",INDEX(LdAAmt,$L672)),IF($M672&lt;&gt;"",IF(INDEX(LdBAmt,$M672)=0,"",INDEX(LdBAmt,$M672)),IF($N672&lt;&gt;"",IF(INDEX(LdCDep,$N672)=0,"",INDEX(LdCDep,$N672)),"")))</f>
        <v/>
      </c>
      <c r="F672" s="21">
        <f>IF(AND($L672="",$M672="",$N672=""),"",IF($N672="","",IF(INDEX(LdCWit,$N672)=0,"",INDEX(LdCWit,$N672))))</f>
        <v/>
      </c>
      <c r="G672" s="31">
        <f>IF($B672="","",IF($G671="",0,$G671)+IF($E672="",0,$E672)-IF($F672="",0,$F672))</f>
        <v/>
      </c>
      <c r="H672" s="32">
        <f>IF(AND($L672="",$M672="",$N672=""),"",IF($L672&lt;&gt;"",IF(INDEX(LdANote,$L672)="","—",INDEX(LdANote,$L672)),IF($M672&lt;&gt;"",IF(INDEX(LdBNote,$M672)="","—",INDEX(LdBNote,$M672)),IF($N672&lt;&gt;"",IF(INDEX(LdCNote,$N672)="","—",INDEX(LdCNote,$N672)),""))))</f>
        <v/>
      </c>
      <c r="L672">
        <f>IFERROR(MATCH($C$5&amp;"|"&amp;RIGHT("000000"&amp;656,6),LdAKeyM,0),"")</f>
        <v/>
      </c>
      <c r="M672">
        <f>IFERROR(MATCH($C$5&amp;"|"&amp;RIGHT("000000"&amp;656,6),LdBKeyM,0),"")</f>
        <v/>
      </c>
      <c r="N672">
        <f>IFERROR(MATCH($C$5&amp;"|"&amp;RIGHT("000000"&amp;656,6),LdCKeyM,0),"")</f>
        <v/>
      </c>
    </row>
    <row r="673">
      <c r="A673" s="10" t="n">
        <v>657</v>
      </c>
      <c r="B673" s="14">
        <f>IF(AND($L673="",$M673="",$N673=""),"",IF($L673&lt;&gt;"",INDEX(LdADate,$L673),IF($M673&lt;&gt;"",INDEX(LdBDate,$M673),INDEX(LdCDate,$N673))))</f>
        <v/>
      </c>
      <c r="C673" s="14">
        <f>IF($L673&lt;&gt;"","دستمزد (فردی)",IF($M673&lt;&gt;"","سهم از گروه "&amp;IFERROR(VLOOKUP(INDEX(LdBGroup,$M673),WGTbl,2,0),INDEX(LdBGroup,$M673)),IF($N673&lt;&gt;"",IF(N(INDEX(LdCDep,$N673))&gt;0,"بازگشت بانکی","پرداخت بانکی"),"")))</f>
        <v/>
      </c>
      <c r="D673" s="14">
        <f>IF($L673&lt;&gt;"",IF(INDEX(LdAId,$L673)="","—",INDEX(LdAId,$L673)),IF($M673&lt;&gt;"",IF(INDEX(LdBId,$M673)="","—",INDEX(LdBId,$M673)),IF($N673&lt;&gt;"",IF(INDEX(LdCBank,$N673)="","—",INDEX(LdCBank,$N673)),"")))</f>
        <v/>
      </c>
      <c r="E673" s="16">
        <f>IF($L673&lt;&gt;"",IF(INDEX(LdAAmt,$L673)=0,"",INDEX(LdAAmt,$L673)),IF($M673&lt;&gt;"",IF(INDEX(LdBAmt,$M673)=0,"",INDEX(LdBAmt,$M673)),IF($N673&lt;&gt;"",IF(INDEX(LdCDep,$N673)=0,"",INDEX(LdCDep,$N673)),"")))</f>
        <v/>
      </c>
      <c r="F673" s="16">
        <f>IF(AND($L673="",$M673="",$N673=""),"",IF($N673="","",IF(INDEX(LdCWit,$N673)=0,"",INDEX(LdCWit,$N673))))</f>
        <v/>
      </c>
      <c r="G673" s="29">
        <f>IF($B673="","",IF($G672="",0,$G672)+IF($E673="",0,$E673)-IF($F673="",0,$F673))</f>
        <v/>
      </c>
      <c r="H673" s="30">
        <f>IF(AND($L673="",$M673="",$N673=""),"",IF($L673&lt;&gt;"",IF(INDEX(LdANote,$L673)="","—",INDEX(LdANote,$L673)),IF($M673&lt;&gt;"",IF(INDEX(LdBNote,$M673)="","—",INDEX(LdBNote,$M673)),IF($N673&lt;&gt;"",IF(INDEX(LdCNote,$N673)="","—",INDEX(LdCNote,$N673)),""))))</f>
        <v/>
      </c>
      <c r="L673">
        <f>IFERROR(MATCH($C$5&amp;"|"&amp;RIGHT("000000"&amp;657,6),LdAKeyM,0),"")</f>
        <v/>
      </c>
      <c r="M673">
        <f>IFERROR(MATCH($C$5&amp;"|"&amp;RIGHT("000000"&amp;657,6),LdBKeyM,0),"")</f>
        <v/>
      </c>
      <c r="N673">
        <f>IFERROR(MATCH($C$5&amp;"|"&amp;RIGHT("000000"&amp;657,6),LdCKeyM,0),"")</f>
        <v/>
      </c>
    </row>
    <row r="674">
      <c r="A674" s="19" t="n">
        <v>658</v>
      </c>
      <c r="B674" s="20">
        <f>IF(AND($L674="",$M674="",$N674=""),"",IF($L674&lt;&gt;"",INDEX(LdADate,$L674),IF($M674&lt;&gt;"",INDEX(LdBDate,$M674),INDEX(LdCDate,$N674))))</f>
        <v/>
      </c>
      <c r="C674" s="20">
        <f>IF($L674&lt;&gt;"","دستمزد (فردی)",IF($M674&lt;&gt;"","سهم از گروه "&amp;IFERROR(VLOOKUP(INDEX(LdBGroup,$M674),WGTbl,2,0),INDEX(LdBGroup,$M674)),IF($N674&lt;&gt;"",IF(N(INDEX(LdCDep,$N674))&gt;0,"بازگشت بانکی","پرداخت بانکی"),"")))</f>
        <v/>
      </c>
      <c r="D674" s="20">
        <f>IF($L674&lt;&gt;"",IF(INDEX(LdAId,$L674)="","—",INDEX(LdAId,$L674)),IF($M674&lt;&gt;"",IF(INDEX(LdBId,$M674)="","—",INDEX(LdBId,$M674)),IF($N674&lt;&gt;"",IF(INDEX(LdCBank,$N674)="","—",INDEX(LdCBank,$N674)),"")))</f>
        <v/>
      </c>
      <c r="E674" s="21">
        <f>IF($L674&lt;&gt;"",IF(INDEX(LdAAmt,$L674)=0,"",INDEX(LdAAmt,$L674)),IF($M674&lt;&gt;"",IF(INDEX(LdBAmt,$M674)=0,"",INDEX(LdBAmt,$M674)),IF($N674&lt;&gt;"",IF(INDEX(LdCDep,$N674)=0,"",INDEX(LdCDep,$N674)),"")))</f>
        <v/>
      </c>
      <c r="F674" s="21">
        <f>IF(AND($L674="",$M674="",$N674=""),"",IF($N674="","",IF(INDEX(LdCWit,$N674)=0,"",INDEX(LdCWit,$N674))))</f>
        <v/>
      </c>
      <c r="G674" s="31">
        <f>IF($B674="","",IF($G673="",0,$G673)+IF($E674="",0,$E674)-IF($F674="",0,$F674))</f>
        <v/>
      </c>
      <c r="H674" s="32">
        <f>IF(AND($L674="",$M674="",$N674=""),"",IF($L674&lt;&gt;"",IF(INDEX(LdANote,$L674)="","—",INDEX(LdANote,$L674)),IF($M674&lt;&gt;"",IF(INDEX(LdBNote,$M674)="","—",INDEX(LdBNote,$M674)),IF($N674&lt;&gt;"",IF(INDEX(LdCNote,$N674)="","—",INDEX(LdCNote,$N674)),""))))</f>
        <v/>
      </c>
      <c r="L674">
        <f>IFERROR(MATCH($C$5&amp;"|"&amp;RIGHT("000000"&amp;658,6),LdAKeyM,0),"")</f>
        <v/>
      </c>
      <c r="M674">
        <f>IFERROR(MATCH($C$5&amp;"|"&amp;RIGHT("000000"&amp;658,6),LdBKeyM,0),"")</f>
        <v/>
      </c>
      <c r="N674">
        <f>IFERROR(MATCH($C$5&amp;"|"&amp;RIGHT("000000"&amp;658,6),LdCKeyM,0),"")</f>
        <v/>
      </c>
    </row>
    <row r="675">
      <c r="A675" s="10" t="n">
        <v>659</v>
      </c>
      <c r="B675" s="14">
        <f>IF(AND($L675="",$M675="",$N675=""),"",IF($L675&lt;&gt;"",INDEX(LdADate,$L675),IF($M675&lt;&gt;"",INDEX(LdBDate,$M675),INDEX(LdCDate,$N675))))</f>
        <v/>
      </c>
      <c r="C675" s="14">
        <f>IF($L675&lt;&gt;"","دستمزد (فردی)",IF($M675&lt;&gt;"","سهم از گروه "&amp;IFERROR(VLOOKUP(INDEX(LdBGroup,$M675),WGTbl,2,0),INDEX(LdBGroup,$M675)),IF($N675&lt;&gt;"",IF(N(INDEX(LdCDep,$N675))&gt;0,"بازگشت بانکی","پرداخت بانکی"),"")))</f>
        <v/>
      </c>
      <c r="D675" s="14">
        <f>IF($L675&lt;&gt;"",IF(INDEX(LdAId,$L675)="","—",INDEX(LdAId,$L675)),IF($M675&lt;&gt;"",IF(INDEX(LdBId,$M675)="","—",INDEX(LdBId,$M675)),IF($N675&lt;&gt;"",IF(INDEX(LdCBank,$N675)="","—",INDEX(LdCBank,$N675)),"")))</f>
        <v/>
      </c>
      <c r="E675" s="16">
        <f>IF($L675&lt;&gt;"",IF(INDEX(LdAAmt,$L675)=0,"",INDEX(LdAAmt,$L675)),IF($M675&lt;&gt;"",IF(INDEX(LdBAmt,$M675)=0,"",INDEX(LdBAmt,$M675)),IF($N675&lt;&gt;"",IF(INDEX(LdCDep,$N675)=0,"",INDEX(LdCDep,$N675)),"")))</f>
        <v/>
      </c>
      <c r="F675" s="16">
        <f>IF(AND($L675="",$M675="",$N675=""),"",IF($N675="","",IF(INDEX(LdCWit,$N675)=0,"",INDEX(LdCWit,$N675))))</f>
        <v/>
      </c>
      <c r="G675" s="29">
        <f>IF($B675="","",IF($G674="",0,$G674)+IF($E675="",0,$E675)-IF($F675="",0,$F675))</f>
        <v/>
      </c>
      <c r="H675" s="30">
        <f>IF(AND($L675="",$M675="",$N675=""),"",IF($L675&lt;&gt;"",IF(INDEX(LdANote,$L675)="","—",INDEX(LdANote,$L675)),IF($M675&lt;&gt;"",IF(INDEX(LdBNote,$M675)="","—",INDEX(LdBNote,$M675)),IF($N675&lt;&gt;"",IF(INDEX(LdCNote,$N675)="","—",INDEX(LdCNote,$N675)),""))))</f>
        <v/>
      </c>
      <c r="L675">
        <f>IFERROR(MATCH($C$5&amp;"|"&amp;RIGHT("000000"&amp;659,6),LdAKeyM,0),"")</f>
        <v/>
      </c>
      <c r="M675">
        <f>IFERROR(MATCH($C$5&amp;"|"&amp;RIGHT("000000"&amp;659,6),LdBKeyM,0),"")</f>
        <v/>
      </c>
      <c r="N675">
        <f>IFERROR(MATCH($C$5&amp;"|"&amp;RIGHT("000000"&amp;659,6),LdCKeyM,0),"")</f>
        <v/>
      </c>
    </row>
    <row r="676">
      <c r="A676" s="19" t="n">
        <v>660</v>
      </c>
      <c r="B676" s="20">
        <f>IF(AND($L676="",$M676="",$N676=""),"",IF($L676&lt;&gt;"",INDEX(LdADate,$L676),IF($M676&lt;&gt;"",INDEX(LdBDate,$M676),INDEX(LdCDate,$N676))))</f>
        <v/>
      </c>
      <c r="C676" s="20">
        <f>IF($L676&lt;&gt;"","دستمزد (فردی)",IF($M676&lt;&gt;"","سهم از گروه "&amp;IFERROR(VLOOKUP(INDEX(LdBGroup,$M676),WGTbl,2,0),INDEX(LdBGroup,$M676)),IF($N676&lt;&gt;"",IF(N(INDEX(LdCDep,$N676))&gt;0,"بازگشت بانکی","پرداخت بانکی"),"")))</f>
        <v/>
      </c>
      <c r="D676" s="20">
        <f>IF($L676&lt;&gt;"",IF(INDEX(LdAId,$L676)="","—",INDEX(LdAId,$L676)),IF($M676&lt;&gt;"",IF(INDEX(LdBId,$M676)="","—",INDEX(LdBId,$M676)),IF($N676&lt;&gt;"",IF(INDEX(LdCBank,$N676)="","—",INDEX(LdCBank,$N676)),"")))</f>
        <v/>
      </c>
      <c r="E676" s="21">
        <f>IF($L676&lt;&gt;"",IF(INDEX(LdAAmt,$L676)=0,"",INDEX(LdAAmt,$L676)),IF($M676&lt;&gt;"",IF(INDEX(LdBAmt,$M676)=0,"",INDEX(LdBAmt,$M676)),IF($N676&lt;&gt;"",IF(INDEX(LdCDep,$N676)=0,"",INDEX(LdCDep,$N676)),"")))</f>
        <v/>
      </c>
      <c r="F676" s="21">
        <f>IF(AND($L676="",$M676="",$N676=""),"",IF($N676="","",IF(INDEX(LdCWit,$N676)=0,"",INDEX(LdCWit,$N676))))</f>
        <v/>
      </c>
      <c r="G676" s="31">
        <f>IF($B676="","",IF($G675="",0,$G675)+IF($E676="",0,$E676)-IF($F676="",0,$F676))</f>
        <v/>
      </c>
      <c r="H676" s="32">
        <f>IF(AND($L676="",$M676="",$N676=""),"",IF($L676&lt;&gt;"",IF(INDEX(LdANote,$L676)="","—",INDEX(LdANote,$L676)),IF($M676&lt;&gt;"",IF(INDEX(LdBNote,$M676)="","—",INDEX(LdBNote,$M676)),IF($N676&lt;&gt;"",IF(INDEX(LdCNote,$N676)="","—",INDEX(LdCNote,$N676)),""))))</f>
        <v/>
      </c>
      <c r="L676">
        <f>IFERROR(MATCH($C$5&amp;"|"&amp;RIGHT("000000"&amp;660,6),LdAKeyM,0),"")</f>
        <v/>
      </c>
      <c r="M676">
        <f>IFERROR(MATCH($C$5&amp;"|"&amp;RIGHT("000000"&amp;660,6),LdBKeyM,0),"")</f>
        <v/>
      </c>
      <c r="N676">
        <f>IFERROR(MATCH($C$5&amp;"|"&amp;RIGHT("000000"&amp;660,6),LdCKeyM,0),"")</f>
        <v/>
      </c>
    </row>
    <row r="677">
      <c r="A677" s="10" t="n">
        <v>661</v>
      </c>
      <c r="B677" s="14">
        <f>IF(AND($L677="",$M677="",$N677=""),"",IF($L677&lt;&gt;"",INDEX(LdADate,$L677),IF($M677&lt;&gt;"",INDEX(LdBDate,$M677),INDEX(LdCDate,$N677))))</f>
        <v/>
      </c>
      <c r="C677" s="14">
        <f>IF($L677&lt;&gt;"","دستمزد (فردی)",IF($M677&lt;&gt;"","سهم از گروه "&amp;IFERROR(VLOOKUP(INDEX(LdBGroup,$M677),WGTbl,2,0),INDEX(LdBGroup,$M677)),IF($N677&lt;&gt;"",IF(N(INDEX(LdCDep,$N677))&gt;0,"بازگشت بانکی","پرداخت بانکی"),"")))</f>
        <v/>
      </c>
      <c r="D677" s="14">
        <f>IF($L677&lt;&gt;"",IF(INDEX(LdAId,$L677)="","—",INDEX(LdAId,$L677)),IF($M677&lt;&gt;"",IF(INDEX(LdBId,$M677)="","—",INDEX(LdBId,$M677)),IF($N677&lt;&gt;"",IF(INDEX(LdCBank,$N677)="","—",INDEX(LdCBank,$N677)),"")))</f>
        <v/>
      </c>
      <c r="E677" s="16">
        <f>IF($L677&lt;&gt;"",IF(INDEX(LdAAmt,$L677)=0,"",INDEX(LdAAmt,$L677)),IF($M677&lt;&gt;"",IF(INDEX(LdBAmt,$M677)=0,"",INDEX(LdBAmt,$M677)),IF($N677&lt;&gt;"",IF(INDEX(LdCDep,$N677)=0,"",INDEX(LdCDep,$N677)),"")))</f>
        <v/>
      </c>
      <c r="F677" s="16">
        <f>IF(AND($L677="",$M677="",$N677=""),"",IF($N677="","",IF(INDEX(LdCWit,$N677)=0,"",INDEX(LdCWit,$N677))))</f>
        <v/>
      </c>
      <c r="G677" s="29">
        <f>IF($B677="","",IF($G676="",0,$G676)+IF($E677="",0,$E677)-IF($F677="",0,$F677))</f>
        <v/>
      </c>
      <c r="H677" s="30">
        <f>IF(AND($L677="",$M677="",$N677=""),"",IF($L677&lt;&gt;"",IF(INDEX(LdANote,$L677)="","—",INDEX(LdANote,$L677)),IF($M677&lt;&gt;"",IF(INDEX(LdBNote,$M677)="","—",INDEX(LdBNote,$M677)),IF($N677&lt;&gt;"",IF(INDEX(LdCNote,$N677)="","—",INDEX(LdCNote,$N677)),""))))</f>
        <v/>
      </c>
      <c r="L677">
        <f>IFERROR(MATCH($C$5&amp;"|"&amp;RIGHT("000000"&amp;661,6),LdAKeyM,0),"")</f>
        <v/>
      </c>
      <c r="M677">
        <f>IFERROR(MATCH($C$5&amp;"|"&amp;RIGHT("000000"&amp;661,6),LdBKeyM,0),"")</f>
        <v/>
      </c>
      <c r="N677">
        <f>IFERROR(MATCH($C$5&amp;"|"&amp;RIGHT("000000"&amp;661,6),LdCKeyM,0),"")</f>
        <v/>
      </c>
    </row>
    <row r="678">
      <c r="A678" s="19" t="n">
        <v>662</v>
      </c>
      <c r="B678" s="20">
        <f>IF(AND($L678="",$M678="",$N678=""),"",IF($L678&lt;&gt;"",INDEX(LdADate,$L678),IF($M678&lt;&gt;"",INDEX(LdBDate,$M678),INDEX(LdCDate,$N678))))</f>
        <v/>
      </c>
      <c r="C678" s="20">
        <f>IF($L678&lt;&gt;"","دستمزد (فردی)",IF($M678&lt;&gt;"","سهم از گروه "&amp;IFERROR(VLOOKUP(INDEX(LdBGroup,$M678),WGTbl,2,0),INDEX(LdBGroup,$M678)),IF($N678&lt;&gt;"",IF(N(INDEX(LdCDep,$N678))&gt;0,"بازگشت بانکی","پرداخت بانکی"),"")))</f>
        <v/>
      </c>
      <c r="D678" s="20">
        <f>IF($L678&lt;&gt;"",IF(INDEX(LdAId,$L678)="","—",INDEX(LdAId,$L678)),IF($M678&lt;&gt;"",IF(INDEX(LdBId,$M678)="","—",INDEX(LdBId,$M678)),IF($N678&lt;&gt;"",IF(INDEX(LdCBank,$N678)="","—",INDEX(LdCBank,$N678)),"")))</f>
        <v/>
      </c>
      <c r="E678" s="21">
        <f>IF($L678&lt;&gt;"",IF(INDEX(LdAAmt,$L678)=0,"",INDEX(LdAAmt,$L678)),IF($M678&lt;&gt;"",IF(INDEX(LdBAmt,$M678)=0,"",INDEX(LdBAmt,$M678)),IF($N678&lt;&gt;"",IF(INDEX(LdCDep,$N678)=0,"",INDEX(LdCDep,$N678)),"")))</f>
        <v/>
      </c>
      <c r="F678" s="21">
        <f>IF(AND($L678="",$M678="",$N678=""),"",IF($N678="","",IF(INDEX(LdCWit,$N678)=0,"",INDEX(LdCWit,$N678))))</f>
        <v/>
      </c>
      <c r="G678" s="31">
        <f>IF($B678="","",IF($G677="",0,$G677)+IF($E678="",0,$E678)-IF($F678="",0,$F678))</f>
        <v/>
      </c>
      <c r="H678" s="32">
        <f>IF(AND($L678="",$M678="",$N678=""),"",IF($L678&lt;&gt;"",IF(INDEX(LdANote,$L678)="","—",INDEX(LdANote,$L678)),IF($M678&lt;&gt;"",IF(INDEX(LdBNote,$M678)="","—",INDEX(LdBNote,$M678)),IF($N678&lt;&gt;"",IF(INDEX(LdCNote,$N678)="","—",INDEX(LdCNote,$N678)),""))))</f>
        <v/>
      </c>
      <c r="L678">
        <f>IFERROR(MATCH($C$5&amp;"|"&amp;RIGHT("000000"&amp;662,6),LdAKeyM,0),"")</f>
        <v/>
      </c>
      <c r="M678">
        <f>IFERROR(MATCH($C$5&amp;"|"&amp;RIGHT("000000"&amp;662,6),LdBKeyM,0),"")</f>
        <v/>
      </c>
      <c r="N678">
        <f>IFERROR(MATCH($C$5&amp;"|"&amp;RIGHT("000000"&amp;662,6),LdCKeyM,0),"")</f>
        <v/>
      </c>
    </row>
    <row r="679">
      <c r="A679" s="10" t="n">
        <v>663</v>
      </c>
      <c r="B679" s="14">
        <f>IF(AND($L679="",$M679="",$N679=""),"",IF($L679&lt;&gt;"",INDEX(LdADate,$L679),IF($M679&lt;&gt;"",INDEX(LdBDate,$M679),INDEX(LdCDate,$N679))))</f>
        <v/>
      </c>
      <c r="C679" s="14">
        <f>IF($L679&lt;&gt;"","دستمزد (فردی)",IF($M679&lt;&gt;"","سهم از گروه "&amp;IFERROR(VLOOKUP(INDEX(LdBGroup,$M679),WGTbl,2,0),INDEX(LdBGroup,$M679)),IF($N679&lt;&gt;"",IF(N(INDEX(LdCDep,$N679))&gt;0,"بازگشت بانکی","پرداخت بانکی"),"")))</f>
        <v/>
      </c>
      <c r="D679" s="14">
        <f>IF($L679&lt;&gt;"",IF(INDEX(LdAId,$L679)="","—",INDEX(LdAId,$L679)),IF($M679&lt;&gt;"",IF(INDEX(LdBId,$M679)="","—",INDEX(LdBId,$M679)),IF($N679&lt;&gt;"",IF(INDEX(LdCBank,$N679)="","—",INDEX(LdCBank,$N679)),"")))</f>
        <v/>
      </c>
      <c r="E679" s="16">
        <f>IF($L679&lt;&gt;"",IF(INDEX(LdAAmt,$L679)=0,"",INDEX(LdAAmt,$L679)),IF($M679&lt;&gt;"",IF(INDEX(LdBAmt,$M679)=0,"",INDEX(LdBAmt,$M679)),IF($N679&lt;&gt;"",IF(INDEX(LdCDep,$N679)=0,"",INDEX(LdCDep,$N679)),"")))</f>
        <v/>
      </c>
      <c r="F679" s="16">
        <f>IF(AND($L679="",$M679="",$N679=""),"",IF($N679="","",IF(INDEX(LdCWit,$N679)=0,"",INDEX(LdCWit,$N679))))</f>
        <v/>
      </c>
      <c r="G679" s="29">
        <f>IF($B679="","",IF($G678="",0,$G678)+IF($E679="",0,$E679)-IF($F679="",0,$F679))</f>
        <v/>
      </c>
      <c r="H679" s="30">
        <f>IF(AND($L679="",$M679="",$N679=""),"",IF($L679&lt;&gt;"",IF(INDEX(LdANote,$L679)="","—",INDEX(LdANote,$L679)),IF($M679&lt;&gt;"",IF(INDEX(LdBNote,$M679)="","—",INDEX(LdBNote,$M679)),IF($N679&lt;&gt;"",IF(INDEX(LdCNote,$N679)="","—",INDEX(LdCNote,$N679)),""))))</f>
        <v/>
      </c>
      <c r="L679">
        <f>IFERROR(MATCH($C$5&amp;"|"&amp;RIGHT("000000"&amp;663,6),LdAKeyM,0),"")</f>
        <v/>
      </c>
      <c r="M679">
        <f>IFERROR(MATCH($C$5&amp;"|"&amp;RIGHT("000000"&amp;663,6),LdBKeyM,0),"")</f>
        <v/>
      </c>
      <c r="N679">
        <f>IFERROR(MATCH($C$5&amp;"|"&amp;RIGHT("000000"&amp;663,6),LdCKeyM,0),"")</f>
        <v/>
      </c>
    </row>
    <row r="680">
      <c r="A680" s="19" t="n">
        <v>664</v>
      </c>
      <c r="B680" s="20">
        <f>IF(AND($L680="",$M680="",$N680=""),"",IF($L680&lt;&gt;"",INDEX(LdADate,$L680),IF($M680&lt;&gt;"",INDEX(LdBDate,$M680),INDEX(LdCDate,$N680))))</f>
        <v/>
      </c>
      <c r="C680" s="20">
        <f>IF($L680&lt;&gt;"","دستمزد (فردی)",IF($M680&lt;&gt;"","سهم از گروه "&amp;IFERROR(VLOOKUP(INDEX(LdBGroup,$M680),WGTbl,2,0),INDEX(LdBGroup,$M680)),IF($N680&lt;&gt;"",IF(N(INDEX(LdCDep,$N680))&gt;0,"بازگشت بانکی","پرداخت بانکی"),"")))</f>
        <v/>
      </c>
      <c r="D680" s="20">
        <f>IF($L680&lt;&gt;"",IF(INDEX(LdAId,$L680)="","—",INDEX(LdAId,$L680)),IF($M680&lt;&gt;"",IF(INDEX(LdBId,$M680)="","—",INDEX(LdBId,$M680)),IF($N680&lt;&gt;"",IF(INDEX(LdCBank,$N680)="","—",INDEX(LdCBank,$N680)),"")))</f>
        <v/>
      </c>
      <c r="E680" s="21">
        <f>IF($L680&lt;&gt;"",IF(INDEX(LdAAmt,$L680)=0,"",INDEX(LdAAmt,$L680)),IF($M680&lt;&gt;"",IF(INDEX(LdBAmt,$M680)=0,"",INDEX(LdBAmt,$M680)),IF($N680&lt;&gt;"",IF(INDEX(LdCDep,$N680)=0,"",INDEX(LdCDep,$N680)),"")))</f>
        <v/>
      </c>
      <c r="F680" s="21">
        <f>IF(AND($L680="",$M680="",$N680=""),"",IF($N680="","",IF(INDEX(LdCWit,$N680)=0,"",INDEX(LdCWit,$N680))))</f>
        <v/>
      </c>
      <c r="G680" s="31">
        <f>IF($B680="","",IF($G679="",0,$G679)+IF($E680="",0,$E680)-IF($F680="",0,$F680))</f>
        <v/>
      </c>
      <c r="H680" s="32">
        <f>IF(AND($L680="",$M680="",$N680=""),"",IF($L680&lt;&gt;"",IF(INDEX(LdANote,$L680)="","—",INDEX(LdANote,$L680)),IF($M680&lt;&gt;"",IF(INDEX(LdBNote,$M680)="","—",INDEX(LdBNote,$M680)),IF($N680&lt;&gt;"",IF(INDEX(LdCNote,$N680)="","—",INDEX(LdCNote,$N680)),""))))</f>
        <v/>
      </c>
      <c r="L680">
        <f>IFERROR(MATCH($C$5&amp;"|"&amp;RIGHT("000000"&amp;664,6),LdAKeyM,0),"")</f>
        <v/>
      </c>
      <c r="M680">
        <f>IFERROR(MATCH($C$5&amp;"|"&amp;RIGHT("000000"&amp;664,6),LdBKeyM,0),"")</f>
        <v/>
      </c>
      <c r="N680">
        <f>IFERROR(MATCH($C$5&amp;"|"&amp;RIGHT("000000"&amp;664,6),LdCKeyM,0),"")</f>
        <v/>
      </c>
    </row>
    <row r="681">
      <c r="A681" s="10" t="n">
        <v>665</v>
      </c>
      <c r="B681" s="14">
        <f>IF(AND($L681="",$M681="",$N681=""),"",IF($L681&lt;&gt;"",INDEX(LdADate,$L681),IF($M681&lt;&gt;"",INDEX(LdBDate,$M681),INDEX(LdCDate,$N681))))</f>
        <v/>
      </c>
      <c r="C681" s="14">
        <f>IF($L681&lt;&gt;"","دستمزد (فردی)",IF($M681&lt;&gt;"","سهم از گروه "&amp;IFERROR(VLOOKUP(INDEX(LdBGroup,$M681),WGTbl,2,0),INDEX(LdBGroup,$M681)),IF($N681&lt;&gt;"",IF(N(INDEX(LdCDep,$N681))&gt;0,"بازگشت بانکی","پرداخت بانکی"),"")))</f>
        <v/>
      </c>
      <c r="D681" s="14">
        <f>IF($L681&lt;&gt;"",IF(INDEX(LdAId,$L681)="","—",INDEX(LdAId,$L681)),IF($M681&lt;&gt;"",IF(INDEX(LdBId,$M681)="","—",INDEX(LdBId,$M681)),IF($N681&lt;&gt;"",IF(INDEX(LdCBank,$N681)="","—",INDEX(LdCBank,$N681)),"")))</f>
        <v/>
      </c>
      <c r="E681" s="16">
        <f>IF($L681&lt;&gt;"",IF(INDEX(LdAAmt,$L681)=0,"",INDEX(LdAAmt,$L681)),IF($M681&lt;&gt;"",IF(INDEX(LdBAmt,$M681)=0,"",INDEX(LdBAmt,$M681)),IF($N681&lt;&gt;"",IF(INDEX(LdCDep,$N681)=0,"",INDEX(LdCDep,$N681)),"")))</f>
        <v/>
      </c>
      <c r="F681" s="16">
        <f>IF(AND($L681="",$M681="",$N681=""),"",IF($N681="","",IF(INDEX(LdCWit,$N681)=0,"",INDEX(LdCWit,$N681))))</f>
        <v/>
      </c>
      <c r="G681" s="29">
        <f>IF($B681="","",IF($G680="",0,$G680)+IF($E681="",0,$E681)-IF($F681="",0,$F681))</f>
        <v/>
      </c>
      <c r="H681" s="30">
        <f>IF(AND($L681="",$M681="",$N681=""),"",IF($L681&lt;&gt;"",IF(INDEX(LdANote,$L681)="","—",INDEX(LdANote,$L681)),IF($M681&lt;&gt;"",IF(INDEX(LdBNote,$M681)="","—",INDEX(LdBNote,$M681)),IF($N681&lt;&gt;"",IF(INDEX(LdCNote,$N681)="","—",INDEX(LdCNote,$N681)),""))))</f>
        <v/>
      </c>
      <c r="L681">
        <f>IFERROR(MATCH($C$5&amp;"|"&amp;RIGHT("000000"&amp;665,6),LdAKeyM,0),"")</f>
        <v/>
      </c>
      <c r="M681">
        <f>IFERROR(MATCH($C$5&amp;"|"&amp;RIGHT("000000"&amp;665,6),LdBKeyM,0),"")</f>
        <v/>
      </c>
      <c r="N681">
        <f>IFERROR(MATCH($C$5&amp;"|"&amp;RIGHT("000000"&amp;665,6),LdCKeyM,0),"")</f>
        <v/>
      </c>
    </row>
    <row r="682">
      <c r="A682" s="19" t="n">
        <v>666</v>
      </c>
      <c r="B682" s="20">
        <f>IF(AND($L682="",$M682="",$N682=""),"",IF($L682&lt;&gt;"",INDEX(LdADate,$L682),IF($M682&lt;&gt;"",INDEX(LdBDate,$M682),INDEX(LdCDate,$N682))))</f>
        <v/>
      </c>
      <c r="C682" s="20">
        <f>IF($L682&lt;&gt;"","دستمزد (فردی)",IF($M682&lt;&gt;"","سهم از گروه "&amp;IFERROR(VLOOKUP(INDEX(LdBGroup,$M682),WGTbl,2,0),INDEX(LdBGroup,$M682)),IF($N682&lt;&gt;"",IF(N(INDEX(LdCDep,$N682))&gt;0,"بازگشت بانکی","پرداخت بانکی"),"")))</f>
        <v/>
      </c>
      <c r="D682" s="20">
        <f>IF($L682&lt;&gt;"",IF(INDEX(LdAId,$L682)="","—",INDEX(LdAId,$L682)),IF($M682&lt;&gt;"",IF(INDEX(LdBId,$M682)="","—",INDEX(LdBId,$M682)),IF($N682&lt;&gt;"",IF(INDEX(LdCBank,$N682)="","—",INDEX(LdCBank,$N682)),"")))</f>
        <v/>
      </c>
      <c r="E682" s="21">
        <f>IF($L682&lt;&gt;"",IF(INDEX(LdAAmt,$L682)=0,"",INDEX(LdAAmt,$L682)),IF($M682&lt;&gt;"",IF(INDEX(LdBAmt,$M682)=0,"",INDEX(LdBAmt,$M682)),IF($N682&lt;&gt;"",IF(INDEX(LdCDep,$N682)=0,"",INDEX(LdCDep,$N682)),"")))</f>
        <v/>
      </c>
      <c r="F682" s="21">
        <f>IF(AND($L682="",$M682="",$N682=""),"",IF($N682="","",IF(INDEX(LdCWit,$N682)=0,"",INDEX(LdCWit,$N682))))</f>
        <v/>
      </c>
      <c r="G682" s="31">
        <f>IF($B682="","",IF($G681="",0,$G681)+IF($E682="",0,$E682)-IF($F682="",0,$F682))</f>
        <v/>
      </c>
      <c r="H682" s="32">
        <f>IF(AND($L682="",$M682="",$N682=""),"",IF($L682&lt;&gt;"",IF(INDEX(LdANote,$L682)="","—",INDEX(LdANote,$L682)),IF($M682&lt;&gt;"",IF(INDEX(LdBNote,$M682)="","—",INDEX(LdBNote,$M682)),IF($N682&lt;&gt;"",IF(INDEX(LdCNote,$N682)="","—",INDEX(LdCNote,$N682)),""))))</f>
        <v/>
      </c>
      <c r="L682">
        <f>IFERROR(MATCH($C$5&amp;"|"&amp;RIGHT("000000"&amp;666,6),LdAKeyM,0),"")</f>
        <v/>
      </c>
      <c r="M682">
        <f>IFERROR(MATCH($C$5&amp;"|"&amp;RIGHT("000000"&amp;666,6),LdBKeyM,0),"")</f>
        <v/>
      </c>
      <c r="N682">
        <f>IFERROR(MATCH($C$5&amp;"|"&amp;RIGHT("000000"&amp;666,6),LdCKeyM,0),"")</f>
        <v/>
      </c>
    </row>
    <row r="683">
      <c r="A683" s="10" t="n">
        <v>667</v>
      </c>
      <c r="B683" s="14">
        <f>IF(AND($L683="",$M683="",$N683=""),"",IF($L683&lt;&gt;"",INDEX(LdADate,$L683),IF($M683&lt;&gt;"",INDEX(LdBDate,$M683),INDEX(LdCDate,$N683))))</f>
        <v/>
      </c>
      <c r="C683" s="14">
        <f>IF($L683&lt;&gt;"","دستمزد (فردی)",IF($M683&lt;&gt;"","سهم از گروه "&amp;IFERROR(VLOOKUP(INDEX(LdBGroup,$M683),WGTbl,2,0),INDEX(LdBGroup,$M683)),IF($N683&lt;&gt;"",IF(N(INDEX(LdCDep,$N683))&gt;0,"بازگشت بانکی","پرداخت بانکی"),"")))</f>
        <v/>
      </c>
      <c r="D683" s="14">
        <f>IF($L683&lt;&gt;"",IF(INDEX(LdAId,$L683)="","—",INDEX(LdAId,$L683)),IF($M683&lt;&gt;"",IF(INDEX(LdBId,$M683)="","—",INDEX(LdBId,$M683)),IF($N683&lt;&gt;"",IF(INDEX(LdCBank,$N683)="","—",INDEX(LdCBank,$N683)),"")))</f>
        <v/>
      </c>
      <c r="E683" s="16">
        <f>IF($L683&lt;&gt;"",IF(INDEX(LdAAmt,$L683)=0,"",INDEX(LdAAmt,$L683)),IF($M683&lt;&gt;"",IF(INDEX(LdBAmt,$M683)=0,"",INDEX(LdBAmt,$M683)),IF($N683&lt;&gt;"",IF(INDEX(LdCDep,$N683)=0,"",INDEX(LdCDep,$N683)),"")))</f>
        <v/>
      </c>
      <c r="F683" s="16">
        <f>IF(AND($L683="",$M683="",$N683=""),"",IF($N683="","",IF(INDEX(LdCWit,$N683)=0,"",INDEX(LdCWit,$N683))))</f>
        <v/>
      </c>
      <c r="G683" s="29">
        <f>IF($B683="","",IF($G682="",0,$G682)+IF($E683="",0,$E683)-IF($F683="",0,$F683))</f>
        <v/>
      </c>
      <c r="H683" s="30">
        <f>IF(AND($L683="",$M683="",$N683=""),"",IF($L683&lt;&gt;"",IF(INDEX(LdANote,$L683)="","—",INDEX(LdANote,$L683)),IF($M683&lt;&gt;"",IF(INDEX(LdBNote,$M683)="","—",INDEX(LdBNote,$M683)),IF($N683&lt;&gt;"",IF(INDEX(LdCNote,$N683)="","—",INDEX(LdCNote,$N683)),""))))</f>
        <v/>
      </c>
      <c r="L683">
        <f>IFERROR(MATCH($C$5&amp;"|"&amp;RIGHT("000000"&amp;667,6),LdAKeyM,0),"")</f>
        <v/>
      </c>
      <c r="M683">
        <f>IFERROR(MATCH($C$5&amp;"|"&amp;RIGHT("000000"&amp;667,6),LdBKeyM,0),"")</f>
        <v/>
      </c>
      <c r="N683">
        <f>IFERROR(MATCH($C$5&amp;"|"&amp;RIGHT("000000"&amp;667,6),LdCKeyM,0),"")</f>
        <v/>
      </c>
    </row>
    <row r="684">
      <c r="A684" s="19" t="n">
        <v>668</v>
      </c>
      <c r="B684" s="20">
        <f>IF(AND($L684="",$M684="",$N684=""),"",IF($L684&lt;&gt;"",INDEX(LdADate,$L684),IF($M684&lt;&gt;"",INDEX(LdBDate,$M684),INDEX(LdCDate,$N684))))</f>
        <v/>
      </c>
      <c r="C684" s="20">
        <f>IF($L684&lt;&gt;"","دستمزد (فردی)",IF($M684&lt;&gt;"","سهم از گروه "&amp;IFERROR(VLOOKUP(INDEX(LdBGroup,$M684),WGTbl,2,0),INDEX(LdBGroup,$M684)),IF($N684&lt;&gt;"",IF(N(INDEX(LdCDep,$N684))&gt;0,"بازگشت بانکی","پرداخت بانکی"),"")))</f>
        <v/>
      </c>
      <c r="D684" s="20">
        <f>IF($L684&lt;&gt;"",IF(INDEX(LdAId,$L684)="","—",INDEX(LdAId,$L684)),IF($M684&lt;&gt;"",IF(INDEX(LdBId,$M684)="","—",INDEX(LdBId,$M684)),IF($N684&lt;&gt;"",IF(INDEX(LdCBank,$N684)="","—",INDEX(LdCBank,$N684)),"")))</f>
        <v/>
      </c>
      <c r="E684" s="21">
        <f>IF($L684&lt;&gt;"",IF(INDEX(LdAAmt,$L684)=0,"",INDEX(LdAAmt,$L684)),IF($M684&lt;&gt;"",IF(INDEX(LdBAmt,$M684)=0,"",INDEX(LdBAmt,$M684)),IF($N684&lt;&gt;"",IF(INDEX(LdCDep,$N684)=0,"",INDEX(LdCDep,$N684)),"")))</f>
        <v/>
      </c>
      <c r="F684" s="21">
        <f>IF(AND($L684="",$M684="",$N684=""),"",IF($N684="","",IF(INDEX(LdCWit,$N684)=0,"",INDEX(LdCWit,$N684))))</f>
        <v/>
      </c>
      <c r="G684" s="31">
        <f>IF($B684="","",IF($G683="",0,$G683)+IF($E684="",0,$E684)-IF($F684="",0,$F684))</f>
        <v/>
      </c>
      <c r="H684" s="32">
        <f>IF(AND($L684="",$M684="",$N684=""),"",IF($L684&lt;&gt;"",IF(INDEX(LdANote,$L684)="","—",INDEX(LdANote,$L684)),IF($M684&lt;&gt;"",IF(INDEX(LdBNote,$M684)="","—",INDEX(LdBNote,$M684)),IF($N684&lt;&gt;"",IF(INDEX(LdCNote,$N684)="","—",INDEX(LdCNote,$N684)),""))))</f>
        <v/>
      </c>
      <c r="L684">
        <f>IFERROR(MATCH($C$5&amp;"|"&amp;RIGHT("000000"&amp;668,6),LdAKeyM,0),"")</f>
        <v/>
      </c>
      <c r="M684">
        <f>IFERROR(MATCH($C$5&amp;"|"&amp;RIGHT("000000"&amp;668,6),LdBKeyM,0),"")</f>
        <v/>
      </c>
      <c r="N684">
        <f>IFERROR(MATCH($C$5&amp;"|"&amp;RIGHT("000000"&amp;668,6),LdCKeyM,0),"")</f>
        <v/>
      </c>
    </row>
    <row r="685">
      <c r="A685" s="10" t="n">
        <v>669</v>
      </c>
      <c r="B685" s="14">
        <f>IF(AND($L685="",$M685="",$N685=""),"",IF($L685&lt;&gt;"",INDEX(LdADate,$L685),IF($M685&lt;&gt;"",INDEX(LdBDate,$M685),INDEX(LdCDate,$N685))))</f>
        <v/>
      </c>
      <c r="C685" s="14">
        <f>IF($L685&lt;&gt;"","دستمزد (فردی)",IF($M685&lt;&gt;"","سهم از گروه "&amp;IFERROR(VLOOKUP(INDEX(LdBGroup,$M685),WGTbl,2,0),INDEX(LdBGroup,$M685)),IF($N685&lt;&gt;"",IF(N(INDEX(LdCDep,$N685))&gt;0,"بازگشت بانکی","پرداخت بانکی"),"")))</f>
        <v/>
      </c>
      <c r="D685" s="14">
        <f>IF($L685&lt;&gt;"",IF(INDEX(LdAId,$L685)="","—",INDEX(LdAId,$L685)),IF($M685&lt;&gt;"",IF(INDEX(LdBId,$M685)="","—",INDEX(LdBId,$M685)),IF($N685&lt;&gt;"",IF(INDEX(LdCBank,$N685)="","—",INDEX(LdCBank,$N685)),"")))</f>
        <v/>
      </c>
      <c r="E685" s="16">
        <f>IF($L685&lt;&gt;"",IF(INDEX(LdAAmt,$L685)=0,"",INDEX(LdAAmt,$L685)),IF($M685&lt;&gt;"",IF(INDEX(LdBAmt,$M685)=0,"",INDEX(LdBAmt,$M685)),IF($N685&lt;&gt;"",IF(INDEX(LdCDep,$N685)=0,"",INDEX(LdCDep,$N685)),"")))</f>
        <v/>
      </c>
      <c r="F685" s="16">
        <f>IF(AND($L685="",$M685="",$N685=""),"",IF($N685="","",IF(INDEX(LdCWit,$N685)=0,"",INDEX(LdCWit,$N685))))</f>
        <v/>
      </c>
      <c r="G685" s="29">
        <f>IF($B685="","",IF($G684="",0,$G684)+IF($E685="",0,$E685)-IF($F685="",0,$F685))</f>
        <v/>
      </c>
      <c r="H685" s="30">
        <f>IF(AND($L685="",$M685="",$N685=""),"",IF($L685&lt;&gt;"",IF(INDEX(LdANote,$L685)="","—",INDEX(LdANote,$L685)),IF($M685&lt;&gt;"",IF(INDEX(LdBNote,$M685)="","—",INDEX(LdBNote,$M685)),IF($N685&lt;&gt;"",IF(INDEX(LdCNote,$N685)="","—",INDEX(LdCNote,$N685)),""))))</f>
        <v/>
      </c>
      <c r="L685">
        <f>IFERROR(MATCH($C$5&amp;"|"&amp;RIGHT("000000"&amp;669,6),LdAKeyM,0),"")</f>
        <v/>
      </c>
      <c r="M685">
        <f>IFERROR(MATCH($C$5&amp;"|"&amp;RIGHT("000000"&amp;669,6),LdBKeyM,0),"")</f>
        <v/>
      </c>
      <c r="N685">
        <f>IFERROR(MATCH($C$5&amp;"|"&amp;RIGHT("000000"&amp;669,6),LdCKeyM,0),"")</f>
        <v/>
      </c>
    </row>
    <row r="686">
      <c r="A686" s="19" t="n">
        <v>670</v>
      </c>
      <c r="B686" s="20">
        <f>IF(AND($L686="",$M686="",$N686=""),"",IF($L686&lt;&gt;"",INDEX(LdADate,$L686),IF($M686&lt;&gt;"",INDEX(LdBDate,$M686),INDEX(LdCDate,$N686))))</f>
        <v/>
      </c>
      <c r="C686" s="20">
        <f>IF($L686&lt;&gt;"","دستمزد (فردی)",IF($M686&lt;&gt;"","سهم از گروه "&amp;IFERROR(VLOOKUP(INDEX(LdBGroup,$M686),WGTbl,2,0),INDEX(LdBGroup,$M686)),IF($N686&lt;&gt;"",IF(N(INDEX(LdCDep,$N686))&gt;0,"بازگشت بانکی","پرداخت بانکی"),"")))</f>
        <v/>
      </c>
      <c r="D686" s="20">
        <f>IF($L686&lt;&gt;"",IF(INDEX(LdAId,$L686)="","—",INDEX(LdAId,$L686)),IF($M686&lt;&gt;"",IF(INDEX(LdBId,$M686)="","—",INDEX(LdBId,$M686)),IF($N686&lt;&gt;"",IF(INDEX(LdCBank,$N686)="","—",INDEX(LdCBank,$N686)),"")))</f>
        <v/>
      </c>
      <c r="E686" s="21">
        <f>IF($L686&lt;&gt;"",IF(INDEX(LdAAmt,$L686)=0,"",INDEX(LdAAmt,$L686)),IF($M686&lt;&gt;"",IF(INDEX(LdBAmt,$M686)=0,"",INDEX(LdBAmt,$M686)),IF($N686&lt;&gt;"",IF(INDEX(LdCDep,$N686)=0,"",INDEX(LdCDep,$N686)),"")))</f>
        <v/>
      </c>
      <c r="F686" s="21">
        <f>IF(AND($L686="",$M686="",$N686=""),"",IF($N686="","",IF(INDEX(LdCWit,$N686)=0,"",INDEX(LdCWit,$N686))))</f>
        <v/>
      </c>
      <c r="G686" s="31">
        <f>IF($B686="","",IF($G685="",0,$G685)+IF($E686="",0,$E686)-IF($F686="",0,$F686))</f>
        <v/>
      </c>
      <c r="H686" s="32">
        <f>IF(AND($L686="",$M686="",$N686=""),"",IF($L686&lt;&gt;"",IF(INDEX(LdANote,$L686)="","—",INDEX(LdANote,$L686)),IF($M686&lt;&gt;"",IF(INDEX(LdBNote,$M686)="","—",INDEX(LdBNote,$M686)),IF($N686&lt;&gt;"",IF(INDEX(LdCNote,$N686)="","—",INDEX(LdCNote,$N686)),""))))</f>
        <v/>
      </c>
      <c r="L686">
        <f>IFERROR(MATCH($C$5&amp;"|"&amp;RIGHT("000000"&amp;670,6),LdAKeyM,0),"")</f>
        <v/>
      </c>
      <c r="M686">
        <f>IFERROR(MATCH($C$5&amp;"|"&amp;RIGHT("000000"&amp;670,6),LdBKeyM,0),"")</f>
        <v/>
      </c>
      <c r="N686">
        <f>IFERROR(MATCH($C$5&amp;"|"&amp;RIGHT("000000"&amp;670,6),LdCKeyM,0),"")</f>
        <v/>
      </c>
    </row>
    <row r="687">
      <c r="A687" s="10" t="n">
        <v>671</v>
      </c>
      <c r="B687" s="14">
        <f>IF(AND($L687="",$M687="",$N687=""),"",IF($L687&lt;&gt;"",INDEX(LdADate,$L687),IF($M687&lt;&gt;"",INDEX(LdBDate,$M687),INDEX(LdCDate,$N687))))</f>
        <v/>
      </c>
      <c r="C687" s="14">
        <f>IF($L687&lt;&gt;"","دستمزد (فردی)",IF($M687&lt;&gt;"","سهم از گروه "&amp;IFERROR(VLOOKUP(INDEX(LdBGroup,$M687),WGTbl,2,0),INDEX(LdBGroup,$M687)),IF($N687&lt;&gt;"",IF(N(INDEX(LdCDep,$N687))&gt;0,"بازگشت بانکی","پرداخت بانکی"),"")))</f>
        <v/>
      </c>
      <c r="D687" s="14">
        <f>IF($L687&lt;&gt;"",IF(INDEX(LdAId,$L687)="","—",INDEX(LdAId,$L687)),IF($M687&lt;&gt;"",IF(INDEX(LdBId,$M687)="","—",INDEX(LdBId,$M687)),IF($N687&lt;&gt;"",IF(INDEX(LdCBank,$N687)="","—",INDEX(LdCBank,$N687)),"")))</f>
        <v/>
      </c>
      <c r="E687" s="16">
        <f>IF($L687&lt;&gt;"",IF(INDEX(LdAAmt,$L687)=0,"",INDEX(LdAAmt,$L687)),IF($M687&lt;&gt;"",IF(INDEX(LdBAmt,$M687)=0,"",INDEX(LdBAmt,$M687)),IF($N687&lt;&gt;"",IF(INDEX(LdCDep,$N687)=0,"",INDEX(LdCDep,$N687)),"")))</f>
        <v/>
      </c>
      <c r="F687" s="16">
        <f>IF(AND($L687="",$M687="",$N687=""),"",IF($N687="","",IF(INDEX(LdCWit,$N687)=0,"",INDEX(LdCWit,$N687))))</f>
        <v/>
      </c>
      <c r="G687" s="29">
        <f>IF($B687="","",IF($G686="",0,$G686)+IF($E687="",0,$E687)-IF($F687="",0,$F687))</f>
        <v/>
      </c>
      <c r="H687" s="30">
        <f>IF(AND($L687="",$M687="",$N687=""),"",IF($L687&lt;&gt;"",IF(INDEX(LdANote,$L687)="","—",INDEX(LdANote,$L687)),IF($M687&lt;&gt;"",IF(INDEX(LdBNote,$M687)="","—",INDEX(LdBNote,$M687)),IF($N687&lt;&gt;"",IF(INDEX(LdCNote,$N687)="","—",INDEX(LdCNote,$N687)),""))))</f>
        <v/>
      </c>
      <c r="L687">
        <f>IFERROR(MATCH($C$5&amp;"|"&amp;RIGHT("000000"&amp;671,6),LdAKeyM,0),"")</f>
        <v/>
      </c>
      <c r="M687">
        <f>IFERROR(MATCH($C$5&amp;"|"&amp;RIGHT("000000"&amp;671,6),LdBKeyM,0),"")</f>
        <v/>
      </c>
      <c r="N687">
        <f>IFERROR(MATCH($C$5&amp;"|"&amp;RIGHT("000000"&amp;671,6),LdCKeyM,0),"")</f>
        <v/>
      </c>
    </row>
    <row r="688">
      <c r="A688" s="19" t="n">
        <v>672</v>
      </c>
      <c r="B688" s="20">
        <f>IF(AND($L688="",$M688="",$N688=""),"",IF($L688&lt;&gt;"",INDEX(LdADate,$L688),IF($M688&lt;&gt;"",INDEX(LdBDate,$M688),INDEX(LdCDate,$N688))))</f>
        <v/>
      </c>
      <c r="C688" s="20">
        <f>IF($L688&lt;&gt;"","دستمزد (فردی)",IF($M688&lt;&gt;"","سهم از گروه "&amp;IFERROR(VLOOKUP(INDEX(LdBGroup,$M688),WGTbl,2,0),INDEX(LdBGroup,$M688)),IF($N688&lt;&gt;"",IF(N(INDEX(LdCDep,$N688))&gt;0,"بازگشت بانکی","پرداخت بانکی"),"")))</f>
        <v/>
      </c>
      <c r="D688" s="20">
        <f>IF($L688&lt;&gt;"",IF(INDEX(LdAId,$L688)="","—",INDEX(LdAId,$L688)),IF($M688&lt;&gt;"",IF(INDEX(LdBId,$M688)="","—",INDEX(LdBId,$M688)),IF($N688&lt;&gt;"",IF(INDEX(LdCBank,$N688)="","—",INDEX(LdCBank,$N688)),"")))</f>
        <v/>
      </c>
      <c r="E688" s="21">
        <f>IF($L688&lt;&gt;"",IF(INDEX(LdAAmt,$L688)=0,"",INDEX(LdAAmt,$L688)),IF($M688&lt;&gt;"",IF(INDEX(LdBAmt,$M688)=0,"",INDEX(LdBAmt,$M688)),IF($N688&lt;&gt;"",IF(INDEX(LdCDep,$N688)=0,"",INDEX(LdCDep,$N688)),"")))</f>
        <v/>
      </c>
      <c r="F688" s="21">
        <f>IF(AND($L688="",$M688="",$N688=""),"",IF($N688="","",IF(INDEX(LdCWit,$N688)=0,"",INDEX(LdCWit,$N688))))</f>
        <v/>
      </c>
      <c r="G688" s="31">
        <f>IF($B688="","",IF($G687="",0,$G687)+IF($E688="",0,$E688)-IF($F688="",0,$F688))</f>
        <v/>
      </c>
      <c r="H688" s="32">
        <f>IF(AND($L688="",$M688="",$N688=""),"",IF($L688&lt;&gt;"",IF(INDEX(LdANote,$L688)="","—",INDEX(LdANote,$L688)),IF($M688&lt;&gt;"",IF(INDEX(LdBNote,$M688)="","—",INDEX(LdBNote,$M688)),IF($N688&lt;&gt;"",IF(INDEX(LdCNote,$N688)="","—",INDEX(LdCNote,$N688)),""))))</f>
        <v/>
      </c>
      <c r="L688">
        <f>IFERROR(MATCH($C$5&amp;"|"&amp;RIGHT("000000"&amp;672,6),LdAKeyM,0),"")</f>
        <v/>
      </c>
      <c r="M688">
        <f>IFERROR(MATCH($C$5&amp;"|"&amp;RIGHT("000000"&amp;672,6),LdBKeyM,0),"")</f>
        <v/>
      </c>
      <c r="N688">
        <f>IFERROR(MATCH($C$5&amp;"|"&amp;RIGHT("000000"&amp;672,6),LdCKeyM,0),"")</f>
        <v/>
      </c>
    </row>
    <row r="689">
      <c r="A689" s="10" t="n">
        <v>673</v>
      </c>
      <c r="B689" s="14">
        <f>IF(AND($L689="",$M689="",$N689=""),"",IF($L689&lt;&gt;"",INDEX(LdADate,$L689),IF($M689&lt;&gt;"",INDEX(LdBDate,$M689),INDEX(LdCDate,$N689))))</f>
        <v/>
      </c>
      <c r="C689" s="14">
        <f>IF($L689&lt;&gt;"","دستمزد (فردی)",IF($M689&lt;&gt;"","سهم از گروه "&amp;IFERROR(VLOOKUP(INDEX(LdBGroup,$M689),WGTbl,2,0),INDEX(LdBGroup,$M689)),IF($N689&lt;&gt;"",IF(N(INDEX(LdCDep,$N689))&gt;0,"بازگشت بانکی","پرداخت بانکی"),"")))</f>
        <v/>
      </c>
      <c r="D689" s="14">
        <f>IF($L689&lt;&gt;"",IF(INDEX(LdAId,$L689)="","—",INDEX(LdAId,$L689)),IF($M689&lt;&gt;"",IF(INDEX(LdBId,$M689)="","—",INDEX(LdBId,$M689)),IF($N689&lt;&gt;"",IF(INDEX(LdCBank,$N689)="","—",INDEX(LdCBank,$N689)),"")))</f>
        <v/>
      </c>
      <c r="E689" s="16">
        <f>IF($L689&lt;&gt;"",IF(INDEX(LdAAmt,$L689)=0,"",INDEX(LdAAmt,$L689)),IF($M689&lt;&gt;"",IF(INDEX(LdBAmt,$M689)=0,"",INDEX(LdBAmt,$M689)),IF($N689&lt;&gt;"",IF(INDEX(LdCDep,$N689)=0,"",INDEX(LdCDep,$N689)),"")))</f>
        <v/>
      </c>
      <c r="F689" s="16">
        <f>IF(AND($L689="",$M689="",$N689=""),"",IF($N689="","",IF(INDEX(LdCWit,$N689)=0,"",INDEX(LdCWit,$N689))))</f>
        <v/>
      </c>
      <c r="G689" s="29">
        <f>IF($B689="","",IF($G688="",0,$G688)+IF($E689="",0,$E689)-IF($F689="",0,$F689))</f>
        <v/>
      </c>
      <c r="H689" s="30">
        <f>IF(AND($L689="",$M689="",$N689=""),"",IF($L689&lt;&gt;"",IF(INDEX(LdANote,$L689)="","—",INDEX(LdANote,$L689)),IF($M689&lt;&gt;"",IF(INDEX(LdBNote,$M689)="","—",INDEX(LdBNote,$M689)),IF($N689&lt;&gt;"",IF(INDEX(LdCNote,$N689)="","—",INDEX(LdCNote,$N689)),""))))</f>
        <v/>
      </c>
      <c r="L689">
        <f>IFERROR(MATCH($C$5&amp;"|"&amp;RIGHT("000000"&amp;673,6),LdAKeyM,0),"")</f>
        <v/>
      </c>
      <c r="M689">
        <f>IFERROR(MATCH($C$5&amp;"|"&amp;RIGHT("000000"&amp;673,6),LdBKeyM,0),"")</f>
        <v/>
      </c>
      <c r="N689">
        <f>IFERROR(MATCH($C$5&amp;"|"&amp;RIGHT("000000"&amp;673,6),LdCKeyM,0),"")</f>
        <v/>
      </c>
    </row>
    <row r="690">
      <c r="A690" s="19" t="n">
        <v>674</v>
      </c>
      <c r="B690" s="20">
        <f>IF(AND($L690="",$M690="",$N690=""),"",IF($L690&lt;&gt;"",INDEX(LdADate,$L690),IF($M690&lt;&gt;"",INDEX(LdBDate,$M690),INDEX(LdCDate,$N690))))</f>
        <v/>
      </c>
      <c r="C690" s="20">
        <f>IF($L690&lt;&gt;"","دستمزد (فردی)",IF($M690&lt;&gt;"","سهم از گروه "&amp;IFERROR(VLOOKUP(INDEX(LdBGroup,$M690),WGTbl,2,0),INDEX(LdBGroup,$M690)),IF($N690&lt;&gt;"",IF(N(INDEX(LdCDep,$N690))&gt;0,"بازگشت بانکی","پرداخت بانکی"),"")))</f>
        <v/>
      </c>
      <c r="D690" s="20">
        <f>IF($L690&lt;&gt;"",IF(INDEX(LdAId,$L690)="","—",INDEX(LdAId,$L690)),IF($M690&lt;&gt;"",IF(INDEX(LdBId,$M690)="","—",INDEX(LdBId,$M690)),IF($N690&lt;&gt;"",IF(INDEX(LdCBank,$N690)="","—",INDEX(LdCBank,$N690)),"")))</f>
        <v/>
      </c>
      <c r="E690" s="21">
        <f>IF($L690&lt;&gt;"",IF(INDEX(LdAAmt,$L690)=0,"",INDEX(LdAAmt,$L690)),IF($M690&lt;&gt;"",IF(INDEX(LdBAmt,$M690)=0,"",INDEX(LdBAmt,$M690)),IF($N690&lt;&gt;"",IF(INDEX(LdCDep,$N690)=0,"",INDEX(LdCDep,$N690)),"")))</f>
        <v/>
      </c>
      <c r="F690" s="21">
        <f>IF(AND($L690="",$M690="",$N690=""),"",IF($N690="","",IF(INDEX(LdCWit,$N690)=0,"",INDEX(LdCWit,$N690))))</f>
        <v/>
      </c>
      <c r="G690" s="31">
        <f>IF($B690="","",IF($G689="",0,$G689)+IF($E690="",0,$E690)-IF($F690="",0,$F690))</f>
        <v/>
      </c>
      <c r="H690" s="32">
        <f>IF(AND($L690="",$M690="",$N690=""),"",IF($L690&lt;&gt;"",IF(INDEX(LdANote,$L690)="","—",INDEX(LdANote,$L690)),IF($M690&lt;&gt;"",IF(INDEX(LdBNote,$M690)="","—",INDEX(LdBNote,$M690)),IF($N690&lt;&gt;"",IF(INDEX(LdCNote,$N690)="","—",INDEX(LdCNote,$N690)),""))))</f>
        <v/>
      </c>
      <c r="L690">
        <f>IFERROR(MATCH($C$5&amp;"|"&amp;RIGHT("000000"&amp;674,6),LdAKeyM,0),"")</f>
        <v/>
      </c>
      <c r="M690">
        <f>IFERROR(MATCH($C$5&amp;"|"&amp;RIGHT("000000"&amp;674,6),LdBKeyM,0),"")</f>
        <v/>
      </c>
      <c r="N690">
        <f>IFERROR(MATCH($C$5&amp;"|"&amp;RIGHT("000000"&amp;674,6),LdCKeyM,0),"")</f>
        <v/>
      </c>
    </row>
    <row r="691">
      <c r="A691" s="10" t="n">
        <v>675</v>
      </c>
      <c r="B691" s="14">
        <f>IF(AND($L691="",$M691="",$N691=""),"",IF($L691&lt;&gt;"",INDEX(LdADate,$L691),IF($M691&lt;&gt;"",INDEX(LdBDate,$M691),INDEX(LdCDate,$N691))))</f>
        <v/>
      </c>
      <c r="C691" s="14">
        <f>IF($L691&lt;&gt;"","دستمزد (فردی)",IF($M691&lt;&gt;"","سهم از گروه "&amp;IFERROR(VLOOKUP(INDEX(LdBGroup,$M691),WGTbl,2,0),INDEX(LdBGroup,$M691)),IF($N691&lt;&gt;"",IF(N(INDEX(LdCDep,$N691))&gt;0,"بازگشت بانکی","پرداخت بانکی"),"")))</f>
        <v/>
      </c>
      <c r="D691" s="14">
        <f>IF($L691&lt;&gt;"",IF(INDEX(LdAId,$L691)="","—",INDEX(LdAId,$L691)),IF($M691&lt;&gt;"",IF(INDEX(LdBId,$M691)="","—",INDEX(LdBId,$M691)),IF($N691&lt;&gt;"",IF(INDEX(LdCBank,$N691)="","—",INDEX(LdCBank,$N691)),"")))</f>
        <v/>
      </c>
      <c r="E691" s="16">
        <f>IF($L691&lt;&gt;"",IF(INDEX(LdAAmt,$L691)=0,"",INDEX(LdAAmt,$L691)),IF($M691&lt;&gt;"",IF(INDEX(LdBAmt,$M691)=0,"",INDEX(LdBAmt,$M691)),IF($N691&lt;&gt;"",IF(INDEX(LdCDep,$N691)=0,"",INDEX(LdCDep,$N691)),"")))</f>
        <v/>
      </c>
      <c r="F691" s="16">
        <f>IF(AND($L691="",$M691="",$N691=""),"",IF($N691="","",IF(INDEX(LdCWit,$N691)=0,"",INDEX(LdCWit,$N691))))</f>
        <v/>
      </c>
      <c r="G691" s="29">
        <f>IF($B691="","",IF($G690="",0,$G690)+IF($E691="",0,$E691)-IF($F691="",0,$F691))</f>
        <v/>
      </c>
      <c r="H691" s="30">
        <f>IF(AND($L691="",$M691="",$N691=""),"",IF($L691&lt;&gt;"",IF(INDEX(LdANote,$L691)="","—",INDEX(LdANote,$L691)),IF($M691&lt;&gt;"",IF(INDEX(LdBNote,$M691)="","—",INDEX(LdBNote,$M691)),IF($N691&lt;&gt;"",IF(INDEX(LdCNote,$N691)="","—",INDEX(LdCNote,$N691)),""))))</f>
        <v/>
      </c>
      <c r="L691">
        <f>IFERROR(MATCH($C$5&amp;"|"&amp;RIGHT("000000"&amp;675,6),LdAKeyM,0),"")</f>
        <v/>
      </c>
      <c r="M691">
        <f>IFERROR(MATCH($C$5&amp;"|"&amp;RIGHT("000000"&amp;675,6),LdBKeyM,0),"")</f>
        <v/>
      </c>
      <c r="N691">
        <f>IFERROR(MATCH($C$5&amp;"|"&amp;RIGHT("000000"&amp;675,6),LdCKeyM,0),"")</f>
        <v/>
      </c>
    </row>
    <row r="692">
      <c r="A692" s="19" t="n">
        <v>676</v>
      </c>
      <c r="B692" s="20">
        <f>IF(AND($L692="",$M692="",$N692=""),"",IF($L692&lt;&gt;"",INDEX(LdADate,$L692),IF($M692&lt;&gt;"",INDEX(LdBDate,$M692),INDEX(LdCDate,$N692))))</f>
        <v/>
      </c>
      <c r="C692" s="20">
        <f>IF($L692&lt;&gt;"","دستمزد (فردی)",IF($M692&lt;&gt;"","سهم از گروه "&amp;IFERROR(VLOOKUP(INDEX(LdBGroup,$M692),WGTbl,2,0),INDEX(LdBGroup,$M692)),IF($N692&lt;&gt;"",IF(N(INDEX(LdCDep,$N692))&gt;0,"بازگشت بانکی","پرداخت بانکی"),"")))</f>
        <v/>
      </c>
      <c r="D692" s="20">
        <f>IF($L692&lt;&gt;"",IF(INDEX(LdAId,$L692)="","—",INDEX(LdAId,$L692)),IF($M692&lt;&gt;"",IF(INDEX(LdBId,$M692)="","—",INDEX(LdBId,$M692)),IF($N692&lt;&gt;"",IF(INDEX(LdCBank,$N692)="","—",INDEX(LdCBank,$N692)),"")))</f>
        <v/>
      </c>
      <c r="E692" s="21">
        <f>IF($L692&lt;&gt;"",IF(INDEX(LdAAmt,$L692)=0,"",INDEX(LdAAmt,$L692)),IF($M692&lt;&gt;"",IF(INDEX(LdBAmt,$M692)=0,"",INDEX(LdBAmt,$M692)),IF($N692&lt;&gt;"",IF(INDEX(LdCDep,$N692)=0,"",INDEX(LdCDep,$N692)),"")))</f>
        <v/>
      </c>
      <c r="F692" s="21">
        <f>IF(AND($L692="",$M692="",$N692=""),"",IF($N692="","",IF(INDEX(LdCWit,$N692)=0,"",INDEX(LdCWit,$N692))))</f>
        <v/>
      </c>
      <c r="G692" s="31">
        <f>IF($B692="","",IF($G691="",0,$G691)+IF($E692="",0,$E692)-IF($F692="",0,$F692))</f>
        <v/>
      </c>
      <c r="H692" s="32">
        <f>IF(AND($L692="",$M692="",$N692=""),"",IF($L692&lt;&gt;"",IF(INDEX(LdANote,$L692)="","—",INDEX(LdANote,$L692)),IF($M692&lt;&gt;"",IF(INDEX(LdBNote,$M692)="","—",INDEX(LdBNote,$M692)),IF($N692&lt;&gt;"",IF(INDEX(LdCNote,$N692)="","—",INDEX(LdCNote,$N692)),""))))</f>
        <v/>
      </c>
      <c r="L692">
        <f>IFERROR(MATCH($C$5&amp;"|"&amp;RIGHT("000000"&amp;676,6),LdAKeyM,0),"")</f>
        <v/>
      </c>
      <c r="M692">
        <f>IFERROR(MATCH($C$5&amp;"|"&amp;RIGHT("000000"&amp;676,6),LdBKeyM,0),"")</f>
        <v/>
      </c>
      <c r="N692">
        <f>IFERROR(MATCH($C$5&amp;"|"&amp;RIGHT("000000"&amp;676,6),LdCKeyM,0),"")</f>
        <v/>
      </c>
    </row>
    <row r="693">
      <c r="A693" s="10" t="n">
        <v>677</v>
      </c>
      <c r="B693" s="14">
        <f>IF(AND($L693="",$M693="",$N693=""),"",IF($L693&lt;&gt;"",INDEX(LdADate,$L693),IF($M693&lt;&gt;"",INDEX(LdBDate,$M693),INDEX(LdCDate,$N693))))</f>
        <v/>
      </c>
      <c r="C693" s="14">
        <f>IF($L693&lt;&gt;"","دستمزد (فردی)",IF($M693&lt;&gt;"","سهم از گروه "&amp;IFERROR(VLOOKUP(INDEX(LdBGroup,$M693),WGTbl,2,0),INDEX(LdBGroup,$M693)),IF($N693&lt;&gt;"",IF(N(INDEX(LdCDep,$N693))&gt;0,"بازگشت بانکی","پرداخت بانکی"),"")))</f>
        <v/>
      </c>
      <c r="D693" s="14">
        <f>IF($L693&lt;&gt;"",IF(INDEX(LdAId,$L693)="","—",INDEX(LdAId,$L693)),IF($M693&lt;&gt;"",IF(INDEX(LdBId,$M693)="","—",INDEX(LdBId,$M693)),IF($N693&lt;&gt;"",IF(INDEX(LdCBank,$N693)="","—",INDEX(LdCBank,$N693)),"")))</f>
        <v/>
      </c>
      <c r="E693" s="16">
        <f>IF($L693&lt;&gt;"",IF(INDEX(LdAAmt,$L693)=0,"",INDEX(LdAAmt,$L693)),IF($M693&lt;&gt;"",IF(INDEX(LdBAmt,$M693)=0,"",INDEX(LdBAmt,$M693)),IF($N693&lt;&gt;"",IF(INDEX(LdCDep,$N693)=0,"",INDEX(LdCDep,$N693)),"")))</f>
        <v/>
      </c>
      <c r="F693" s="16">
        <f>IF(AND($L693="",$M693="",$N693=""),"",IF($N693="","",IF(INDEX(LdCWit,$N693)=0,"",INDEX(LdCWit,$N693))))</f>
        <v/>
      </c>
      <c r="G693" s="29">
        <f>IF($B693="","",IF($G692="",0,$G692)+IF($E693="",0,$E693)-IF($F693="",0,$F693))</f>
        <v/>
      </c>
      <c r="H693" s="30">
        <f>IF(AND($L693="",$M693="",$N693=""),"",IF($L693&lt;&gt;"",IF(INDEX(LdANote,$L693)="","—",INDEX(LdANote,$L693)),IF($M693&lt;&gt;"",IF(INDEX(LdBNote,$M693)="","—",INDEX(LdBNote,$M693)),IF($N693&lt;&gt;"",IF(INDEX(LdCNote,$N693)="","—",INDEX(LdCNote,$N693)),""))))</f>
        <v/>
      </c>
      <c r="L693">
        <f>IFERROR(MATCH($C$5&amp;"|"&amp;RIGHT("000000"&amp;677,6),LdAKeyM,0),"")</f>
        <v/>
      </c>
      <c r="M693">
        <f>IFERROR(MATCH($C$5&amp;"|"&amp;RIGHT("000000"&amp;677,6),LdBKeyM,0),"")</f>
        <v/>
      </c>
      <c r="N693">
        <f>IFERROR(MATCH($C$5&amp;"|"&amp;RIGHT("000000"&amp;677,6),LdCKeyM,0),"")</f>
        <v/>
      </c>
    </row>
    <row r="694">
      <c r="A694" s="19" t="n">
        <v>678</v>
      </c>
      <c r="B694" s="20">
        <f>IF(AND($L694="",$M694="",$N694=""),"",IF($L694&lt;&gt;"",INDEX(LdADate,$L694),IF($M694&lt;&gt;"",INDEX(LdBDate,$M694),INDEX(LdCDate,$N694))))</f>
        <v/>
      </c>
      <c r="C694" s="20">
        <f>IF($L694&lt;&gt;"","دستمزد (فردی)",IF($M694&lt;&gt;"","سهم از گروه "&amp;IFERROR(VLOOKUP(INDEX(LdBGroup,$M694),WGTbl,2,0),INDEX(LdBGroup,$M694)),IF($N694&lt;&gt;"",IF(N(INDEX(LdCDep,$N694))&gt;0,"بازگشت بانکی","پرداخت بانکی"),"")))</f>
        <v/>
      </c>
      <c r="D694" s="20">
        <f>IF($L694&lt;&gt;"",IF(INDEX(LdAId,$L694)="","—",INDEX(LdAId,$L694)),IF($M694&lt;&gt;"",IF(INDEX(LdBId,$M694)="","—",INDEX(LdBId,$M694)),IF($N694&lt;&gt;"",IF(INDEX(LdCBank,$N694)="","—",INDEX(LdCBank,$N694)),"")))</f>
        <v/>
      </c>
      <c r="E694" s="21">
        <f>IF($L694&lt;&gt;"",IF(INDEX(LdAAmt,$L694)=0,"",INDEX(LdAAmt,$L694)),IF($M694&lt;&gt;"",IF(INDEX(LdBAmt,$M694)=0,"",INDEX(LdBAmt,$M694)),IF($N694&lt;&gt;"",IF(INDEX(LdCDep,$N694)=0,"",INDEX(LdCDep,$N694)),"")))</f>
        <v/>
      </c>
      <c r="F694" s="21">
        <f>IF(AND($L694="",$M694="",$N694=""),"",IF($N694="","",IF(INDEX(LdCWit,$N694)=0,"",INDEX(LdCWit,$N694))))</f>
        <v/>
      </c>
      <c r="G694" s="31">
        <f>IF($B694="","",IF($G693="",0,$G693)+IF($E694="",0,$E694)-IF($F694="",0,$F694))</f>
        <v/>
      </c>
      <c r="H694" s="32">
        <f>IF(AND($L694="",$M694="",$N694=""),"",IF($L694&lt;&gt;"",IF(INDEX(LdANote,$L694)="","—",INDEX(LdANote,$L694)),IF($M694&lt;&gt;"",IF(INDEX(LdBNote,$M694)="","—",INDEX(LdBNote,$M694)),IF($N694&lt;&gt;"",IF(INDEX(LdCNote,$N694)="","—",INDEX(LdCNote,$N694)),""))))</f>
        <v/>
      </c>
      <c r="L694">
        <f>IFERROR(MATCH($C$5&amp;"|"&amp;RIGHT("000000"&amp;678,6),LdAKeyM,0),"")</f>
        <v/>
      </c>
      <c r="M694">
        <f>IFERROR(MATCH($C$5&amp;"|"&amp;RIGHT("000000"&amp;678,6),LdBKeyM,0),"")</f>
        <v/>
      </c>
      <c r="N694">
        <f>IFERROR(MATCH($C$5&amp;"|"&amp;RIGHT("000000"&amp;678,6),LdCKeyM,0),"")</f>
        <v/>
      </c>
    </row>
    <row r="695">
      <c r="A695" s="10" t="n">
        <v>679</v>
      </c>
      <c r="B695" s="14">
        <f>IF(AND($L695="",$M695="",$N695=""),"",IF($L695&lt;&gt;"",INDEX(LdADate,$L695),IF($M695&lt;&gt;"",INDEX(LdBDate,$M695),INDEX(LdCDate,$N695))))</f>
        <v/>
      </c>
      <c r="C695" s="14">
        <f>IF($L695&lt;&gt;"","دستمزد (فردی)",IF($M695&lt;&gt;"","سهم از گروه "&amp;IFERROR(VLOOKUP(INDEX(LdBGroup,$M695),WGTbl,2,0),INDEX(LdBGroup,$M695)),IF($N695&lt;&gt;"",IF(N(INDEX(LdCDep,$N695))&gt;0,"بازگشت بانکی","پرداخت بانکی"),"")))</f>
        <v/>
      </c>
      <c r="D695" s="14">
        <f>IF($L695&lt;&gt;"",IF(INDEX(LdAId,$L695)="","—",INDEX(LdAId,$L695)),IF($M695&lt;&gt;"",IF(INDEX(LdBId,$M695)="","—",INDEX(LdBId,$M695)),IF($N695&lt;&gt;"",IF(INDEX(LdCBank,$N695)="","—",INDEX(LdCBank,$N695)),"")))</f>
        <v/>
      </c>
      <c r="E695" s="16">
        <f>IF($L695&lt;&gt;"",IF(INDEX(LdAAmt,$L695)=0,"",INDEX(LdAAmt,$L695)),IF($M695&lt;&gt;"",IF(INDEX(LdBAmt,$M695)=0,"",INDEX(LdBAmt,$M695)),IF($N695&lt;&gt;"",IF(INDEX(LdCDep,$N695)=0,"",INDEX(LdCDep,$N695)),"")))</f>
        <v/>
      </c>
      <c r="F695" s="16">
        <f>IF(AND($L695="",$M695="",$N695=""),"",IF($N695="","",IF(INDEX(LdCWit,$N695)=0,"",INDEX(LdCWit,$N695))))</f>
        <v/>
      </c>
      <c r="G695" s="29">
        <f>IF($B695="","",IF($G694="",0,$G694)+IF($E695="",0,$E695)-IF($F695="",0,$F695))</f>
        <v/>
      </c>
      <c r="H695" s="30">
        <f>IF(AND($L695="",$M695="",$N695=""),"",IF($L695&lt;&gt;"",IF(INDEX(LdANote,$L695)="","—",INDEX(LdANote,$L695)),IF($M695&lt;&gt;"",IF(INDEX(LdBNote,$M695)="","—",INDEX(LdBNote,$M695)),IF($N695&lt;&gt;"",IF(INDEX(LdCNote,$N695)="","—",INDEX(LdCNote,$N695)),""))))</f>
        <v/>
      </c>
      <c r="L695">
        <f>IFERROR(MATCH($C$5&amp;"|"&amp;RIGHT("000000"&amp;679,6),LdAKeyM,0),"")</f>
        <v/>
      </c>
      <c r="M695">
        <f>IFERROR(MATCH($C$5&amp;"|"&amp;RIGHT("000000"&amp;679,6),LdBKeyM,0),"")</f>
        <v/>
      </c>
      <c r="N695">
        <f>IFERROR(MATCH($C$5&amp;"|"&amp;RIGHT("000000"&amp;679,6),LdCKeyM,0),"")</f>
        <v/>
      </c>
    </row>
    <row r="696">
      <c r="A696" s="19" t="n">
        <v>680</v>
      </c>
      <c r="B696" s="20">
        <f>IF(AND($L696="",$M696="",$N696=""),"",IF($L696&lt;&gt;"",INDEX(LdADate,$L696),IF($M696&lt;&gt;"",INDEX(LdBDate,$M696),INDEX(LdCDate,$N696))))</f>
        <v/>
      </c>
      <c r="C696" s="20">
        <f>IF($L696&lt;&gt;"","دستمزد (فردی)",IF($M696&lt;&gt;"","سهم از گروه "&amp;IFERROR(VLOOKUP(INDEX(LdBGroup,$M696),WGTbl,2,0),INDEX(LdBGroup,$M696)),IF($N696&lt;&gt;"",IF(N(INDEX(LdCDep,$N696))&gt;0,"بازگشت بانکی","پرداخت بانکی"),"")))</f>
        <v/>
      </c>
      <c r="D696" s="20">
        <f>IF($L696&lt;&gt;"",IF(INDEX(LdAId,$L696)="","—",INDEX(LdAId,$L696)),IF($M696&lt;&gt;"",IF(INDEX(LdBId,$M696)="","—",INDEX(LdBId,$M696)),IF($N696&lt;&gt;"",IF(INDEX(LdCBank,$N696)="","—",INDEX(LdCBank,$N696)),"")))</f>
        <v/>
      </c>
      <c r="E696" s="21">
        <f>IF($L696&lt;&gt;"",IF(INDEX(LdAAmt,$L696)=0,"",INDEX(LdAAmt,$L696)),IF($M696&lt;&gt;"",IF(INDEX(LdBAmt,$M696)=0,"",INDEX(LdBAmt,$M696)),IF($N696&lt;&gt;"",IF(INDEX(LdCDep,$N696)=0,"",INDEX(LdCDep,$N696)),"")))</f>
        <v/>
      </c>
      <c r="F696" s="21">
        <f>IF(AND($L696="",$M696="",$N696=""),"",IF($N696="","",IF(INDEX(LdCWit,$N696)=0,"",INDEX(LdCWit,$N696))))</f>
        <v/>
      </c>
      <c r="G696" s="31">
        <f>IF($B696="","",IF($G695="",0,$G695)+IF($E696="",0,$E696)-IF($F696="",0,$F696))</f>
        <v/>
      </c>
      <c r="H696" s="32">
        <f>IF(AND($L696="",$M696="",$N696=""),"",IF($L696&lt;&gt;"",IF(INDEX(LdANote,$L696)="","—",INDEX(LdANote,$L696)),IF($M696&lt;&gt;"",IF(INDEX(LdBNote,$M696)="","—",INDEX(LdBNote,$M696)),IF($N696&lt;&gt;"",IF(INDEX(LdCNote,$N696)="","—",INDEX(LdCNote,$N696)),""))))</f>
        <v/>
      </c>
      <c r="L696">
        <f>IFERROR(MATCH($C$5&amp;"|"&amp;RIGHT("000000"&amp;680,6),LdAKeyM,0),"")</f>
        <v/>
      </c>
      <c r="M696">
        <f>IFERROR(MATCH($C$5&amp;"|"&amp;RIGHT("000000"&amp;680,6),LdBKeyM,0),"")</f>
        <v/>
      </c>
      <c r="N696">
        <f>IFERROR(MATCH($C$5&amp;"|"&amp;RIGHT("000000"&amp;680,6),LdCKeyM,0),"")</f>
        <v/>
      </c>
    </row>
    <row r="697">
      <c r="A697" s="10" t="n">
        <v>681</v>
      </c>
      <c r="B697" s="14">
        <f>IF(AND($L697="",$M697="",$N697=""),"",IF($L697&lt;&gt;"",INDEX(LdADate,$L697),IF($M697&lt;&gt;"",INDEX(LdBDate,$M697),INDEX(LdCDate,$N697))))</f>
        <v/>
      </c>
      <c r="C697" s="14">
        <f>IF($L697&lt;&gt;"","دستمزد (فردی)",IF($M697&lt;&gt;"","سهم از گروه "&amp;IFERROR(VLOOKUP(INDEX(LdBGroup,$M697),WGTbl,2,0),INDEX(LdBGroup,$M697)),IF($N697&lt;&gt;"",IF(N(INDEX(LdCDep,$N697))&gt;0,"بازگشت بانکی","پرداخت بانکی"),"")))</f>
        <v/>
      </c>
      <c r="D697" s="14">
        <f>IF($L697&lt;&gt;"",IF(INDEX(LdAId,$L697)="","—",INDEX(LdAId,$L697)),IF($M697&lt;&gt;"",IF(INDEX(LdBId,$M697)="","—",INDEX(LdBId,$M697)),IF($N697&lt;&gt;"",IF(INDEX(LdCBank,$N697)="","—",INDEX(LdCBank,$N697)),"")))</f>
        <v/>
      </c>
      <c r="E697" s="16">
        <f>IF($L697&lt;&gt;"",IF(INDEX(LdAAmt,$L697)=0,"",INDEX(LdAAmt,$L697)),IF($M697&lt;&gt;"",IF(INDEX(LdBAmt,$M697)=0,"",INDEX(LdBAmt,$M697)),IF($N697&lt;&gt;"",IF(INDEX(LdCDep,$N697)=0,"",INDEX(LdCDep,$N697)),"")))</f>
        <v/>
      </c>
      <c r="F697" s="16">
        <f>IF(AND($L697="",$M697="",$N697=""),"",IF($N697="","",IF(INDEX(LdCWit,$N697)=0,"",INDEX(LdCWit,$N697))))</f>
        <v/>
      </c>
      <c r="G697" s="29">
        <f>IF($B697="","",IF($G696="",0,$G696)+IF($E697="",0,$E697)-IF($F697="",0,$F697))</f>
        <v/>
      </c>
      <c r="H697" s="30">
        <f>IF(AND($L697="",$M697="",$N697=""),"",IF($L697&lt;&gt;"",IF(INDEX(LdANote,$L697)="","—",INDEX(LdANote,$L697)),IF($M697&lt;&gt;"",IF(INDEX(LdBNote,$M697)="","—",INDEX(LdBNote,$M697)),IF($N697&lt;&gt;"",IF(INDEX(LdCNote,$N697)="","—",INDEX(LdCNote,$N697)),""))))</f>
        <v/>
      </c>
      <c r="L697">
        <f>IFERROR(MATCH($C$5&amp;"|"&amp;RIGHT("000000"&amp;681,6),LdAKeyM,0),"")</f>
        <v/>
      </c>
      <c r="M697">
        <f>IFERROR(MATCH($C$5&amp;"|"&amp;RIGHT("000000"&amp;681,6),LdBKeyM,0),"")</f>
        <v/>
      </c>
      <c r="N697">
        <f>IFERROR(MATCH($C$5&amp;"|"&amp;RIGHT("000000"&amp;681,6),LdCKeyM,0),"")</f>
        <v/>
      </c>
    </row>
    <row r="698">
      <c r="A698" s="19" t="n">
        <v>682</v>
      </c>
      <c r="B698" s="20">
        <f>IF(AND($L698="",$M698="",$N698=""),"",IF($L698&lt;&gt;"",INDEX(LdADate,$L698),IF($M698&lt;&gt;"",INDEX(LdBDate,$M698),INDEX(LdCDate,$N698))))</f>
        <v/>
      </c>
      <c r="C698" s="20">
        <f>IF($L698&lt;&gt;"","دستمزد (فردی)",IF($M698&lt;&gt;"","سهم از گروه "&amp;IFERROR(VLOOKUP(INDEX(LdBGroup,$M698),WGTbl,2,0),INDEX(LdBGroup,$M698)),IF($N698&lt;&gt;"",IF(N(INDEX(LdCDep,$N698))&gt;0,"بازگشت بانکی","پرداخت بانکی"),"")))</f>
        <v/>
      </c>
      <c r="D698" s="20">
        <f>IF($L698&lt;&gt;"",IF(INDEX(LdAId,$L698)="","—",INDEX(LdAId,$L698)),IF($M698&lt;&gt;"",IF(INDEX(LdBId,$M698)="","—",INDEX(LdBId,$M698)),IF($N698&lt;&gt;"",IF(INDEX(LdCBank,$N698)="","—",INDEX(LdCBank,$N698)),"")))</f>
        <v/>
      </c>
      <c r="E698" s="21">
        <f>IF($L698&lt;&gt;"",IF(INDEX(LdAAmt,$L698)=0,"",INDEX(LdAAmt,$L698)),IF($M698&lt;&gt;"",IF(INDEX(LdBAmt,$M698)=0,"",INDEX(LdBAmt,$M698)),IF($N698&lt;&gt;"",IF(INDEX(LdCDep,$N698)=0,"",INDEX(LdCDep,$N698)),"")))</f>
        <v/>
      </c>
      <c r="F698" s="21">
        <f>IF(AND($L698="",$M698="",$N698=""),"",IF($N698="","",IF(INDEX(LdCWit,$N698)=0,"",INDEX(LdCWit,$N698))))</f>
        <v/>
      </c>
      <c r="G698" s="31">
        <f>IF($B698="","",IF($G697="",0,$G697)+IF($E698="",0,$E698)-IF($F698="",0,$F698))</f>
        <v/>
      </c>
      <c r="H698" s="32">
        <f>IF(AND($L698="",$M698="",$N698=""),"",IF($L698&lt;&gt;"",IF(INDEX(LdANote,$L698)="","—",INDEX(LdANote,$L698)),IF($M698&lt;&gt;"",IF(INDEX(LdBNote,$M698)="","—",INDEX(LdBNote,$M698)),IF($N698&lt;&gt;"",IF(INDEX(LdCNote,$N698)="","—",INDEX(LdCNote,$N698)),""))))</f>
        <v/>
      </c>
      <c r="L698">
        <f>IFERROR(MATCH($C$5&amp;"|"&amp;RIGHT("000000"&amp;682,6),LdAKeyM,0),"")</f>
        <v/>
      </c>
      <c r="M698">
        <f>IFERROR(MATCH($C$5&amp;"|"&amp;RIGHT("000000"&amp;682,6),LdBKeyM,0),"")</f>
        <v/>
      </c>
      <c r="N698">
        <f>IFERROR(MATCH($C$5&amp;"|"&amp;RIGHT("000000"&amp;682,6),LdCKeyM,0),"")</f>
        <v/>
      </c>
    </row>
    <row r="699">
      <c r="A699" s="10" t="n">
        <v>683</v>
      </c>
      <c r="B699" s="14">
        <f>IF(AND($L699="",$M699="",$N699=""),"",IF($L699&lt;&gt;"",INDEX(LdADate,$L699),IF($M699&lt;&gt;"",INDEX(LdBDate,$M699),INDEX(LdCDate,$N699))))</f>
        <v/>
      </c>
      <c r="C699" s="14">
        <f>IF($L699&lt;&gt;"","دستمزد (فردی)",IF($M699&lt;&gt;"","سهم از گروه "&amp;IFERROR(VLOOKUP(INDEX(LdBGroup,$M699),WGTbl,2,0),INDEX(LdBGroup,$M699)),IF($N699&lt;&gt;"",IF(N(INDEX(LdCDep,$N699))&gt;0,"بازگشت بانکی","پرداخت بانکی"),"")))</f>
        <v/>
      </c>
      <c r="D699" s="14">
        <f>IF($L699&lt;&gt;"",IF(INDEX(LdAId,$L699)="","—",INDEX(LdAId,$L699)),IF($M699&lt;&gt;"",IF(INDEX(LdBId,$M699)="","—",INDEX(LdBId,$M699)),IF($N699&lt;&gt;"",IF(INDEX(LdCBank,$N699)="","—",INDEX(LdCBank,$N699)),"")))</f>
        <v/>
      </c>
      <c r="E699" s="16">
        <f>IF($L699&lt;&gt;"",IF(INDEX(LdAAmt,$L699)=0,"",INDEX(LdAAmt,$L699)),IF($M699&lt;&gt;"",IF(INDEX(LdBAmt,$M699)=0,"",INDEX(LdBAmt,$M699)),IF($N699&lt;&gt;"",IF(INDEX(LdCDep,$N699)=0,"",INDEX(LdCDep,$N699)),"")))</f>
        <v/>
      </c>
      <c r="F699" s="16">
        <f>IF(AND($L699="",$M699="",$N699=""),"",IF($N699="","",IF(INDEX(LdCWit,$N699)=0,"",INDEX(LdCWit,$N699))))</f>
        <v/>
      </c>
      <c r="G699" s="29">
        <f>IF($B699="","",IF($G698="",0,$G698)+IF($E699="",0,$E699)-IF($F699="",0,$F699))</f>
        <v/>
      </c>
      <c r="H699" s="30">
        <f>IF(AND($L699="",$M699="",$N699=""),"",IF($L699&lt;&gt;"",IF(INDEX(LdANote,$L699)="","—",INDEX(LdANote,$L699)),IF($M699&lt;&gt;"",IF(INDEX(LdBNote,$M699)="","—",INDEX(LdBNote,$M699)),IF($N699&lt;&gt;"",IF(INDEX(LdCNote,$N699)="","—",INDEX(LdCNote,$N699)),""))))</f>
        <v/>
      </c>
      <c r="L699">
        <f>IFERROR(MATCH($C$5&amp;"|"&amp;RIGHT("000000"&amp;683,6),LdAKeyM,0),"")</f>
        <v/>
      </c>
      <c r="M699">
        <f>IFERROR(MATCH($C$5&amp;"|"&amp;RIGHT("000000"&amp;683,6),LdBKeyM,0),"")</f>
        <v/>
      </c>
      <c r="N699">
        <f>IFERROR(MATCH($C$5&amp;"|"&amp;RIGHT("000000"&amp;683,6),LdCKeyM,0),"")</f>
        <v/>
      </c>
    </row>
    <row r="700">
      <c r="A700" s="19" t="n">
        <v>684</v>
      </c>
      <c r="B700" s="20">
        <f>IF(AND($L700="",$M700="",$N700=""),"",IF($L700&lt;&gt;"",INDEX(LdADate,$L700),IF($M700&lt;&gt;"",INDEX(LdBDate,$M700),INDEX(LdCDate,$N700))))</f>
        <v/>
      </c>
      <c r="C700" s="20">
        <f>IF($L700&lt;&gt;"","دستمزد (فردی)",IF($M700&lt;&gt;"","سهم از گروه "&amp;IFERROR(VLOOKUP(INDEX(LdBGroup,$M700),WGTbl,2,0),INDEX(LdBGroup,$M700)),IF($N700&lt;&gt;"",IF(N(INDEX(LdCDep,$N700))&gt;0,"بازگشت بانکی","پرداخت بانکی"),"")))</f>
        <v/>
      </c>
      <c r="D700" s="20">
        <f>IF($L700&lt;&gt;"",IF(INDEX(LdAId,$L700)="","—",INDEX(LdAId,$L700)),IF($M700&lt;&gt;"",IF(INDEX(LdBId,$M700)="","—",INDEX(LdBId,$M700)),IF($N700&lt;&gt;"",IF(INDEX(LdCBank,$N700)="","—",INDEX(LdCBank,$N700)),"")))</f>
        <v/>
      </c>
      <c r="E700" s="21">
        <f>IF($L700&lt;&gt;"",IF(INDEX(LdAAmt,$L700)=0,"",INDEX(LdAAmt,$L700)),IF($M700&lt;&gt;"",IF(INDEX(LdBAmt,$M700)=0,"",INDEX(LdBAmt,$M700)),IF($N700&lt;&gt;"",IF(INDEX(LdCDep,$N700)=0,"",INDEX(LdCDep,$N700)),"")))</f>
        <v/>
      </c>
      <c r="F700" s="21">
        <f>IF(AND($L700="",$M700="",$N700=""),"",IF($N700="","",IF(INDEX(LdCWit,$N700)=0,"",INDEX(LdCWit,$N700))))</f>
        <v/>
      </c>
      <c r="G700" s="31">
        <f>IF($B700="","",IF($G699="",0,$G699)+IF($E700="",0,$E700)-IF($F700="",0,$F700))</f>
        <v/>
      </c>
      <c r="H700" s="32">
        <f>IF(AND($L700="",$M700="",$N700=""),"",IF($L700&lt;&gt;"",IF(INDEX(LdANote,$L700)="","—",INDEX(LdANote,$L700)),IF($M700&lt;&gt;"",IF(INDEX(LdBNote,$M700)="","—",INDEX(LdBNote,$M700)),IF($N700&lt;&gt;"",IF(INDEX(LdCNote,$N700)="","—",INDEX(LdCNote,$N700)),""))))</f>
        <v/>
      </c>
      <c r="L700">
        <f>IFERROR(MATCH($C$5&amp;"|"&amp;RIGHT("000000"&amp;684,6),LdAKeyM,0),"")</f>
        <v/>
      </c>
      <c r="M700">
        <f>IFERROR(MATCH($C$5&amp;"|"&amp;RIGHT("000000"&amp;684,6),LdBKeyM,0),"")</f>
        <v/>
      </c>
      <c r="N700">
        <f>IFERROR(MATCH($C$5&amp;"|"&amp;RIGHT("000000"&amp;684,6),LdCKeyM,0),"")</f>
        <v/>
      </c>
    </row>
    <row r="701">
      <c r="A701" s="10" t="n">
        <v>685</v>
      </c>
      <c r="B701" s="14">
        <f>IF(AND($L701="",$M701="",$N701=""),"",IF($L701&lt;&gt;"",INDEX(LdADate,$L701),IF($M701&lt;&gt;"",INDEX(LdBDate,$M701),INDEX(LdCDate,$N701))))</f>
        <v/>
      </c>
      <c r="C701" s="14">
        <f>IF($L701&lt;&gt;"","دستمزد (فردی)",IF($M701&lt;&gt;"","سهم از گروه "&amp;IFERROR(VLOOKUP(INDEX(LdBGroup,$M701),WGTbl,2,0),INDEX(LdBGroup,$M701)),IF($N701&lt;&gt;"",IF(N(INDEX(LdCDep,$N701))&gt;0,"بازگشت بانکی","پرداخت بانکی"),"")))</f>
        <v/>
      </c>
      <c r="D701" s="14">
        <f>IF($L701&lt;&gt;"",IF(INDEX(LdAId,$L701)="","—",INDEX(LdAId,$L701)),IF($M701&lt;&gt;"",IF(INDEX(LdBId,$M701)="","—",INDEX(LdBId,$M701)),IF($N701&lt;&gt;"",IF(INDEX(LdCBank,$N701)="","—",INDEX(LdCBank,$N701)),"")))</f>
        <v/>
      </c>
      <c r="E701" s="16">
        <f>IF($L701&lt;&gt;"",IF(INDEX(LdAAmt,$L701)=0,"",INDEX(LdAAmt,$L701)),IF($M701&lt;&gt;"",IF(INDEX(LdBAmt,$M701)=0,"",INDEX(LdBAmt,$M701)),IF($N701&lt;&gt;"",IF(INDEX(LdCDep,$N701)=0,"",INDEX(LdCDep,$N701)),"")))</f>
        <v/>
      </c>
      <c r="F701" s="16">
        <f>IF(AND($L701="",$M701="",$N701=""),"",IF($N701="","",IF(INDEX(LdCWit,$N701)=0,"",INDEX(LdCWit,$N701))))</f>
        <v/>
      </c>
      <c r="G701" s="29">
        <f>IF($B701="","",IF($G700="",0,$G700)+IF($E701="",0,$E701)-IF($F701="",0,$F701))</f>
        <v/>
      </c>
      <c r="H701" s="30">
        <f>IF(AND($L701="",$M701="",$N701=""),"",IF($L701&lt;&gt;"",IF(INDEX(LdANote,$L701)="","—",INDEX(LdANote,$L701)),IF($M701&lt;&gt;"",IF(INDEX(LdBNote,$M701)="","—",INDEX(LdBNote,$M701)),IF($N701&lt;&gt;"",IF(INDEX(LdCNote,$N701)="","—",INDEX(LdCNote,$N701)),""))))</f>
        <v/>
      </c>
      <c r="L701">
        <f>IFERROR(MATCH($C$5&amp;"|"&amp;RIGHT("000000"&amp;685,6),LdAKeyM,0),"")</f>
        <v/>
      </c>
      <c r="M701">
        <f>IFERROR(MATCH($C$5&amp;"|"&amp;RIGHT("000000"&amp;685,6),LdBKeyM,0),"")</f>
        <v/>
      </c>
      <c r="N701">
        <f>IFERROR(MATCH($C$5&amp;"|"&amp;RIGHT("000000"&amp;685,6),LdCKeyM,0),"")</f>
        <v/>
      </c>
    </row>
    <row r="702">
      <c r="A702" s="19" t="n">
        <v>686</v>
      </c>
      <c r="B702" s="20">
        <f>IF(AND($L702="",$M702="",$N702=""),"",IF($L702&lt;&gt;"",INDEX(LdADate,$L702),IF($M702&lt;&gt;"",INDEX(LdBDate,$M702),INDEX(LdCDate,$N702))))</f>
        <v/>
      </c>
      <c r="C702" s="20">
        <f>IF($L702&lt;&gt;"","دستمزد (فردی)",IF($M702&lt;&gt;"","سهم از گروه "&amp;IFERROR(VLOOKUP(INDEX(LdBGroup,$M702),WGTbl,2,0),INDEX(LdBGroup,$M702)),IF($N702&lt;&gt;"",IF(N(INDEX(LdCDep,$N702))&gt;0,"بازگشت بانکی","پرداخت بانکی"),"")))</f>
        <v/>
      </c>
      <c r="D702" s="20">
        <f>IF($L702&lt;&gt;"",IF(INDEX(LdAId,$L702)="","—",INDEX(LdAId,$L702)),IF($M702&lt;&gt;"",IF(INDEX(LdBId,$M702)="","—",INDEX(LdBId,$M702)),IF($N702&lt;&gt;"",IF(INDEX(LdCBank,$N702)="","—",INDEX(LdCBank,$N702)),"")))</f>
        <v/>
      </c>
      <c r="E702" s="21">
        <f>IF($L702&lt;&gt;"",IF(INDEX(LdAAmt,$L702)=0,"",INDEX(LdAAmt,$L702)),IF($M702&lt;&gt;"",IF(INDEX(LdBAmt,$M702)=0,"",INDEX(LdBAmt,$M702)),IF($N702&lt;&gt;"",IF(INDEX(LdCDep,$N702)=0,"",INDEX(LdCDep,$N702)),"")))</f>
        <v/>
      </c>
      <c r="F702" s="21">
        <f>IF(AND($L702="",$M702="",$N702=""),"",IF($N702="","",IF(INDEX(LdCWit,$N702)=0,"",INDEX(LdCWit,$N702))))</f>
        <v/>
      </c>
      <c r="G702" s="31">
        <f>IF($B702="","",IF($G701="",0,$G701)+IF($E702="",0,$E702)-IF($F702="",0,$F702))</f>
        <v/>
      </c>
      <c r="H702" s="32">
        <f>IF(AND($L702="",$M702="",$N702=""),"",IF($L702&lt;&gt;"",IF(INDEX(LdANote,$L702)="","—",INDEX(LdANote,$L702)),IF($M702&lt;&gt;"",IF(INDEX(LdBNote,$M702)="","—",INDEX(LdBNote,$M702)),IF($N702&lt;&gt;"",IF(INDEX(LdCNote,$N702)="","—",INDEX(LdCNote,$N702)),""))))</f>
        <v/>
      </c>
      <c r="L702">
        <f>IFERROR(MATCH($C$5&amp;"|"&amp;RIGHT("000000"&amp;686,6),LdAKeyM,0),"")</f>
        <v/>
      </c>
      <c r="M702">
        <f>IFERROR(MATCH($C$5&amp;"|"&amp;RIGHT("000000"&amp;686,6),LdBKeyM,0),"")</f>
        <v/>
      </c>
      <c r="N702">
        <f>IFERROR(MATCH($C$5&amp;"|"&amp;RIGHT("000000"&amp;686,6),LdCKeyM,0),"")</f>
        <v/>
      </c>
    </row>
    <row r="703">
      <c r="A703" s="10" t="n">
        <v>687</v>
      </c>
      <c r="B703" s="14">
        <f>IF(AND($L703="",$M703="",$N703=""),"",IF($L703&lt;&gt;"",INDEX(LdADate,$L703),IF($M703&lt;&gt;"",INDEX(LdBDate,$M703),INDEX(LdCDate,$N703))))</f>
        <v/>
      </c>
      <c r="C703" s="14">
        <f>IF($L703&lt;&gt;"","دستمزد (فردی)",IF($M703&lt;&gt;"","سهم از گروه "&amp;IFERROR(VLOOKUP(INDEX(LdBGroup,$M703),WGTbl,2,0),INDEX(LdBGroup,$M703)),IF($N703&lt;&gt;"",IF(N(INDEX(LdCDep,$N703))&gt;0,"بازگشت بانکی","پرداخت بانکی"),"")))</f>
        <v/>
      </c>
      <c r="D703" s="14">
        <f>IF($L703&lt;&gt;"",IF(INDEX(LdAId,$L703)="","—",INDEX(LdAId,$L703)),IF($M703&lt;&gt;"",IF(INDEX(LdBId,$M703)="","—",INDEX(LdBId,$M703)),IF($N703&lt;&gt;"",IF(INDEX(LdCBank,$N703)="","—",INDEX(LdCBank,$N703)),"")))</f>
        <v/>
      </c>
      <c r="E703" s="16">
        <f>IF($L703&lt;&gt;"",IF(INDEX(LdAAmt,$L703)=0,"",INDEX(LdAAmt,$L703)),IF($M703&lt;&gt;"",IF(INDEX(LdBAmt,$M703)=0,"",INDEX(LdBAmt,$M703)),IF($N703&lt;&gt;"",IF(INDEX(LdCDep,$N703)=0,"",INDEX(LdCDep,$N703)),"")))</f>
        <v/>
      </c>
      <c r="F703" s="16">
        <f>IF(AND($L703="",$M703="",$N703=""),"",IF($N703="","",IF(INDEX(LdCWit,$N703)=0,"",INDEX(LdCWit,$N703))))</f>
        <v/>
      </c>
      <c r="G703" s="29">
        <f>IF($B703="","",IF($G702="",0,$G702)+IF($E703="",0,$E703)-IF($F703="",0,$F703))</f>
        <v/>
      </c>
      <c r="H703" s="30">
        <f>IF(AND($L703="",$M703="",$N703=""),"",IF($L703&lt;&gt;"",IF(INDEX(LdANote,$L703)="","—",INDEX(LdANote,$L703)),IF($M703&lt;&gt;"",IF(INDEX(LdBNote,$M703)="","—",INDEX(LdBNote,$M703)),IF($N703&lt;&gt;"",IF(INDEX(LdCNote,$N703)="","—",INDEX(LdCNote,$N703)),""))))</f>
        <v/>
      </c>
      <c r="L703">
        <f>IFERROR(MATCH($C$5&amp;"|"&amp;RIGHT("000000"&amp;687,6),LdAKeyM,0),"")</f>
        <v/>
      </c>
      <c r="M703">
        <f>IFERROR(MATCH($C$5&amp;"|"&amp;RIGHT("000000"&amp;687,6),LdBKeyM,0),"")</f>
        <v/>
      </c>
      <c r="N703">
        <f>IFERROR(MATCH($C$5&amp;"|"&amp;RIGHT("000000"&amp;687,6),LdCKeyM,0),"")</f>
        <v/>
      </c>
    </row>
    <row r="704">
      <c r="A704" s="19" t="n">
        <v>688</v>
      </c>
      <c r="B704" s="20">
        <f>IF(AND($L704="",$M704="",$N704=""),"",IF($L704&lt;&gt;"",INDEX(LdADate,$L704),IF($M704&lt;&gt;"",INDEX(LdBDate,$M704),INDEX(LdCDate,$N704))))</f>
        <v/>
      </c>
      <c r="C704" s="20">
        <f>IF($L704&lt;&gt;"","دستمزد (فردی)",IF($M704&lt;&gt;"","سهم از گروه "&amp;IFERROR(VLOOKUP(INDEX(LdBGroup,$M704),WGTbl,2,0),INDEX(LdBGroup,$M704)),IF($N704&lt;&gt;"",IF(N(INDEX(LdCDep,$N704))&gt;0,"بازگشت بانکی","پرداخت بانکی"),"")))</f>
        <v/>
      </c>
      <c r="D704" s="20">
        <f>IF($L704&lt;&gt;"",IF(INDEX(LdAId,$L704)="","—",INDEX(LdAId,$L704)),IF($M704&lt;&gt;"",IF(INDEX(LdBId,$M704)="","—",INDEX(LdBId,$M704)),IF($N704&lt;&gt;"",IF(INDEX(LdCBank,$N704)="","—",INDEX(LdCBank,$N704)),"")))</f>
        <v/>
      </c>
      <c r="E704" s="21">
        <f>IF($L704&lt;&gt;"",IF(INDEX(LdAAmt,$L704)=0,"",INDEX(LdAAmt,$L704)),IF($M704&lt;&gt;"",IF(INDEX(LdBAmt,$M704)=0,"",INDEX(LdBAmt,$M704)),IF($N704&lt;&gt;"",IF(INDEX(LdCDep,$N704)=0,"",INDEX(LdCDep,$N704)),"")))</f>
        <v/>
      </c>
      <c r="F704" s="21">
        <f>IF(AND($L704="",$M704="",$N704=""),"",IF($N704="","",IF(INDEX(LdCWit,$N704)=0,"",INDEX(LdCWit,$N704))))</f>
        <v/>
      </c>
      <c r="G704" s="31">
        <f>IF($B704="","",IF($G703="",0,$G703)+IF($E704="",0,$E704)-IF($F704="",0,$F704))</f>
        <v/>
      </c>
      <c r="H704" s="32">
        <f>IF(AND($L704="",$M704="",$N704=""),"",IF($L704&lt;&gt;"",IF(INDEX(LdANote,$L704)="","—",INDEX(LdANote,$L704)),IF($M704&lt;&gt;"",IF(INDEX(LdBNote,$M704)="","—",INDEX(LdBNote,$M704)),IF($N704&lt;&gt;"",IF(INDEX(LdCNote,$N704)="","—",INDEX(LdCNote,$N704)),""))))</f>
        <v/>
      </c>
      <c r="L704">
        <f>IFERROR(MATCH($C$5&amp;"|"&amp;RIGHT("000000"&amp;688,6),LdAKeyM,0),"")</f>
        <v/>
      </c>
      <c r="M704">
        <f>IFERROR(MATCH($C$5&amp;"|"&amp;RIGHT("000000"&amp;688,6),LdBKeyM,0),"")</f>
        <v/>
      </c>
      <c r="N704">
        <f>IFERROR(MATCH($C$5&amp;"|"&amp;RIGHT("000000"&amp;688,6),LdCKeyM,0),"")</f>
        <v/>
      </c>
    </row>
    <row r="705">
      <c r="A705" s="10" t="n">
        <v>689</v>
      </c>
      <c r="B705" s="14">
        <f>IF(AND($L705="",$M705="",$N705=""),"",IF($L705&lt;&gt;"",INDEX(LdADate,$L705),IF($M705&lt;&gt;"",INDEX(LdBDate,$M705),INDEX(LdCDate,$N705))))</f>
        <v/>
      </c>
      <c r="C705" s="14">
        <f>IF($L705&lt;&gt;"","دستمزد (فردی)",IF($M705&lt;&gt;"","سهم از گروه "&amp;IFERROR(VLOOKUP(INDEX(LdBGroup,$M705),WGTbl,2,0),INDEX(LdBGroup,$M705)),IF($N705&lt;&gt;"",IF(N(INDEX(LdCDep,$N705))&gt;0,"بازگشت بانکی","پرداخت بانکی"),"")))</f>
        <v/>
      </c>
      <c r="D705" s="14">
        <f>IF($L705&lt;&gt;"",IF(INDEX(LdAId,$L705)="","—",INDEX(LdAId,$L705)),IF($M705&lt;&gt;"",IF(INDEX(LdBId,$M705)="","—",INDEX(LdBId,$M705)),IF($N705&lt;&gt;"",IF(INDEX(LdCBank,$N705)="","—",INDEX(LdCBank,$N705)),"")))</f>
        <v/>
      </c>
      <c r="E705" s="16">
        <f>IF($L705&lt;&gt;"",IF(INDEX(LdAAmt,$L705)=0,"",INDEX(LdAAmt,$L705)),IF($M705&lt;&gt;"",IF(INDEX(LdBAmt,$M705)=0,"",INDEX(LdBAmt,$M705)),IF($N705&lt;&gt;"",IF(INDEX(LdCDep,$N705)=0,"",INDEX(LdCDep,$N705)),"")))</f>
        <v/>
      </c>
      <c r="F705" s="16">
        <f>IF(AND($L705="",$M705="",$N705=""),"",IF($N705="","",IF(INDEX(LdCWit,$N705)=0,"",INDEX(LdCWit,$N705))))</f>
        <v/>
      </c>
      <c r="G705" s="29">
        <f>IF($B705="","",IF($G704="",0,$G704)+IF($E705="",0,$E705)-IF($F705="",0,$F705))</f>
        <v/>
      </c>
      <c r="H705" s="30">
        <f>IF(AND($L705="",$M705="",$N705=""),"",IF($L705&lt;&gt;"",IF(INDEX(LdANote,$L705)="","—",INDEX(LdANote,$L705)),IF($M705&lt;&gt;"",IF(INDEX(LdBNote,$M705)="","—",INDEX(LdBNote,$M705)),IF($N705&lt;&gt;"",IF(INDEX(LdCNote,$N705)="","—",INDEX(LdCNote,$N705)),""))))</f>
        <v/>
      </c>
      <c r="L705">
        <f>IFERROR(MATCH($C$5&amp;"|"&amp;RIGHT("000000"&amp;689,6),LdAKeyM,0),"")</f>
        <v/>
      </c>
      <c r="M705">
        <f>IFERROR(MATCH($C$5&amp;"|"&amp;RIGHT("000000"&amp;689,6),LdBKeyM,0),"")</f>
        <v/>
      </c>
      <c r="N705">
        <f>IFERROR(MATCH($C$5&amp;"|"&amp;RIGHT("000000"&amp;689,6),LdCKeyM,0),"")</f>
        <v/>
      </c>
    </row>
    <row r="706">
      <c r="A706" s="19" t="n">
        <v>690</v>
      </c>
      <c r="B706" s="20">
        <f>IF(AND($L706="",$M706="",$N706=""),"",IF($L706&lt;&gt;"",INDEX(LdADate,$L706),IF($M706&lt;&gt;"",INDEX(LdBDate,$M706),INDEX(LdCDate,$N706))))</f>
        <v/>
      </c>
      <c r="C706" s="20">
        <f>IF($L706&lt;&gt;"","دستمزد (فردی)",IF($M706&lt;&gt;"","سهم از گروه "&amp;IFERROR(VLOOKUP(INDEX(LdBGroup,$M706),WGTbl,2,0),INDEX(LdBGroup,$M706)),IF($N706&lt;&gt;"",IF(N(INDEX(LdCDep,$N706))&gt;0,"بازگشت بانکی","پرداخت بانکی"),"")))</f>
        <v/>
      </c>
      <c r="D706" s="20">
        <f>IF($L706&lt;&gt;"",IF(INDEX(LdAId,$L706)="","—",INDEX(LdAId,$L706)),IF($M706&lt;&gt;"",IF(INDEX(LdBId,$M706)="","—",INDEX(LdBId,$M706)),IF($N706&lt;&gt;"",IF(INDEX(LdCBank,$N706)="","—",INDEX(LdCBank,$N706)),"")))</f>
        <v/>
      </c>
      <c r="E706" s="21">
        <f>IF($L706&lt;&gt;"",IF(INDEX(LdAAmt,$L706)=0,"",INDEX(LdAAmt,$L706)),IF($M706&lt;&gt;"",IF(INDEX(LdBAmt,$M706)=0,"",INDEX(LdBAmt,$M706)),IF($N706&lt;&gt;"",IF(INDEX(LdCDep,$N706)=0,"",INDEX(LdCDep,$N706)),"")))</f>
        <v/>
      </c>
      <c r="F706" s="21">
        <f>IF(AND($L706="",$M706="",$N706=""),"",IF($N706="","",IF(INDEX(LdCWit,$N706)=0,"",INDEX(LdCWit,$N706))))</f>
        <v/>
      </c>
      <c r="G706" s="31">
        <f>IF($B706="","",IF($G705="",0,$G705)+IF($E706="",0,$E706)-IF($F706="",0,$F706))</f>
        <v/>
      </c>
      <c r="H706" s="32">
        <f>IF(AND($L706="",$M706="",$N706=""),"",IF($L706&lt;&gt;"",IF(INDEX(LdANote,$L706)="","—",INDEX(LdANote,$L706)),IF($M706&lt;&gt;"",IF(INDEX(LdBNote,$M706)="","—",INDEX(LdBNote,$M706)),IF($N706&lt;&gt;"",IF(INDEX(LdCNote,$N706)="","—",INDEX(LdCNote,$N706)),""))))</f>
        <v/>
      </c>
      <c r="L706">
        <f>IFERROR(MATCH($C$5&amp;"|"&amp;RIGHT("000000"&amp;690,6),LdAKeyM,0),"")</f>
        <v/>
      </c>
      <c r="M706">
        <f>IFERROR(MATCH($C$5&amp;"|"&amp;RIGHT("000000"&amp;690,6),LdBKeyM,0),"")</f>
        <v/>
      </c>
      <c r="N706">
        <f>IFERROR(MATCH($C$5&amp;"|"&amp;RIGHT("000000"&amp;690,6),LdCKeyM,0),"")</f>
        <v/>
      </c>
    </row>
    <row r="707">
      <c r="A707" s="10" t="n">
        <v>691</v>
      </c>
      <c r="B707" s="14">
        <f>IF(AND($L707="",$M707="",$N707=""),"",IF($L707&lt;&gt;"",INDEX(LdADate,$L707),IF($M707&lt;&gt;"",INDEX(LdBDate,$M707),INDEX(LdCDate,$N707))))</f>
        <v/>
      </c>
      <c r="C707" s="14">
        <f>IF($L707&lt;&gt;"","دستمزد (فردی)",IF($M707&lt;&gt;"","سهم از گروه "&amp;IFERROR(VLOOKUP(INDEX(LdBGroup,$M707),WGTbl,2,0),INDEX(LdBGroup,$M707)),IF($N707&lt;&gt;"",IF(N(INDEX(LdCDep,$N707))&gt;0,"بازگشت بانکی","پرداخت بانکی"),"")))</f>
        <v/>
      </c>
      <c r="D707" s="14">
        <f>IF($L707&lt;&gt;"",IF(INDEX(LdAId,$L707)="","—",INDEX(LdAId,$L707)),IF($M707&lt;&gt;"",IF(INDEX(LdBId,$M707)="","—",INDEX(LdBId,$M707)),IF($N707&lt;&gt;"",IF(INDEX(LdCBank,$N707)="","—",INDEX(LdCBank,$N707)),"")))</f>
        <v/>
      </c>
      <c r="E707" s="16">
        <f>IF($L707&lt;&gt;"",IF(INDEX(LdAAmt,$L707)=0,"",INDEX(LdAAmt,$L707)),IF($M707&lt;&gt;"",IF(INDEX(LdBAmt,$M707)=0,"",INDEX(LdBAmt,$M707)),IF($N707&lt;&gt;"",IF(INDEX(LdCDep,$N707)=0,"",INDEX(LdCDep,$N707)),"")))</f>
        <v/>
      </c>
      <c r="F707" s="16">
        <f>IF(AND($L707="",$M707="",$N707=""),"",IF($N707="","",IF(INDEX(LdCWit,$N707)=0,"",INDEX(LdCWit,$N707))))</f>
        <v/>
      </c>
      <c r="G707" s="29">
        <f>IF($B707="","",IF($G706="",0,$G706)+IF($E707="",0,$E707)-IF($F707="",0,$F707))</f>
        <v/>
      </c>
      <c r="H707" s="30">
        <f>IF(AND($L707="",$M707="",$N707=""),"",IF($L707&lt;&gt;"",IF(INDEX(LdANote,$L707)="","—",INDEX(LdANote,$L707)),IF($M707&lt;&gt;"",IF(INDEX(LdBNote,$M707)="","—",INDEX(LdBNote,$M707)),IF($N707&lt;&gt;"",IF(INDEX(LdCNote,$N707)="","—",INDEX(LdCNote,$N707)),""))))</f>
        <v/>
      </c>
      <c r="L707">
        <f>IFERROR(MATCH($C$5&amp;"|"&amp;RIGHT("000000"&amp;691,6),LdAKeyM,0),"")</f>
        <v/>
      </c>
      <c r="M707">
        <f>IFERROR(MATCH($C$5&amp;"|"&amp;RIGHT("000000"&amp;691,6),LdBKeyM,0),"")</f>
        <v/>
      </c>
      <c r="N707">
        <f>IFERROR(MATCH($C$5&amp;"|"&amp;RIGHT("000000"&amp;691,6),LdCKeyM,0),"")</f>
        <v/>
      </c>
    </row>
    <row r="708">
      <c r="A708" s="19" t="n">
        <v>692</v>
      </c>
      <c r="B708" s="20">
        <f>IF(AND($L708="",$M708="",$N708=""),"",IF($L708&lt;&gt;"",INDEX(LdADate,$L708),IF($M708&lt;&gt;"",INDEX(LdBDate,$M708),INDEX(LdCDate,$N708))))</f>
        <v/>
      </c>
      <c r="C708" s="20">
        <f>IF($L708&lt;&gt;"","دستمزد (فردی)",IF($M708&lt;&gt;"","سهم از گروه "&amp;IFERROR(VLOOKUP(INDEX(LdBGroup,$M708),WGTbl,2,0),INDEX(LdBGroup,$M708)),IF($N708&lt;&gt;"",IF(N(INDEX(LdCDep,$N708))&gt;0,"بازگشت بانکی","پرداخت بانکی"),"")))</f>
        <v/>
      </c>
      <c r="D708" s="20">
        <f>IF($L708&lt;&gt;"",IF(INDEX(LdAId,$L708)="","—",INDEX(LdAId,$L708)),IF($M708&lt;&gt;"",IF(INDEX(LdBId,$M708)="","—",INDEX(LdBId,$M708)),IF($N708&lt;&gt;"",IF(INDEX(LdCBank,$N708)="","—",INDEX(LdCBank,$N708)),"")))</f>
        <v/>
      </c>
      <c r="E708" s="21">
        <f>IF($L708&lt;&gt;"",IF(INDEX(LdAAmt,$L708)=0,"",INDEX(LdAAmt,$L708)),IF($M708&lt;&gt;"",IF(INDEX(LdBAmt,$M708)=0,"",INDEX(LdBAmt,$M708)),IF($N708&lt;&gt;"",IF(INDEX(LdCDep,$N708)=0,"",INDEX(LdCDep,$N708)),"")))</f>
        <v/>
      </c>
      <c r="F708" s="21">
        <f>IF(AND($L708="",$M708="",$N708=""),"",IF($N708="","",IF(INDEX(LdCWit,$N708)=0,"",INDEX(LdCWit,$N708))))</f>
        <v/>
      </c>
      <c r="G708" s="31">
        <f>IF($B708="","",IF($G707="",0,$G707)+IF($E708="",0,$E708)-IF($F708="",0,$F708))</f>
        <v/>
      </c>
      <c r="H708" s="32">
        <f>IF(AND($L708="",$M708="",$N708=""),"",IF($L708&lt;&gt;"",IF(INDEX(LdANote,$L708)="","—",INDEX(LdANote,$L708)),IF($M708&lt;&gt;"",IF(INDEX(LdBNote,$M708)="","—",INDEX(LdBNote,$M708)),IF($N708&lt;&gt;"",IF(INDEX(LdCNote,$N708)="","—",INDEX(LdCNote,$N708)),""))))</f>
        <v/>
      </c>
      <c r="L708">
        <f>IFERROR(MATCH($C$5&amp;"|"&amp;RIGHT("000000"&amp;692,6),LdAKeyM,0),"")</f>
        <v/>
      </c>
      <c r="M708">
        <f>IFERROR(MATCH($C$5&amp;"|"&amp;RIGHT("000000"&amp;692,6),LdBKeyM,0),"")</f>
        <v/>
      </c>
      <c r="N708">
        <f>IFERROR(MATCH($C$5&amp;"|"&amp;RIGHT("000000"&amp;692,6),LdCKeyM,0),"")</f>
        <v/>
      </c>
    </row>
    <row r="709">
      <c r="A709" s="10" t="n">
        <v>693</v>
      </c>
      <c r="B709" s="14">
        <f>IF(AND($L709="",$M709="",$N709=""),"",IF($L709&lt;&gt;"",INDEX(LdADate,$L709),IF($M709&lt;&gt;"",INDEX(LdBDate,$M709),INDEX(LdCDate,$N709))))</f>
        <v/>
      </c>
      <c r="C709" s="14">
        <f>IF($L709&lt;&gt;"","دستمزد (فردی)",IF($M709&lt;&gt;"","سهم از گروه "&amp;IFERROR(VLOOKUP(INDEX(LdBGroup,$M709),WGTbl,2,0),INDEX(LdBGroup,$M709)),IF($N709&lt;&gt;"",IF(N(INDEX(LdCDep,$N709))&gt;0,"بازگشت بانکی","پرداخت بانکی"),"")))</f>
        <v/>
      </c>
      <c r="D709" s="14">
        <f>IF($L709&lt;&gt;"",IF(INDEX(LdAId,$L709)="","—",INDEX(LdAId,$L709)),IF($M709&lt;&gt;"",IF(INDEX(LdBId,$M709)="","—",INDEX(LdBId,$M709)),IF($N709&lt;&gt;"",IF(INDEX(LdCBank,$N709)="","—",INDEX(LdCBank,$N709)),"")))</f>
        <v/>
      </c>
      <c r="E709" s="16">
        <f>IF($L709&lt;&gt;"",IF(INDEX(LdAAmt,$L709)=0,"",INDEX(LdAAmt,$L709)),IF($M709&lt;&gt;"",IF(INDEX(LdBAmt,$M709)=0,"",INDEX(LdBAmt,$M709)),IF($N709&lt;&gt;"",IF(INDEX(LdCDep,$N709)=0,"",INDEX(LdCDep,$N709)),"")))</f>
        <v/>
      </c>
      <c r="F709" s="16">
        <f>IF(AND($L709="",$M709="",$N709=""),"",IF($N709="","",IF(INDEX(LdCWit,$N709)=0,"",INDEX(LdCWit,$N709))))</f>
        <v/>
      </c>
      <c r="G709" s="29">
        <f>IF($B709="","",IF($G708="",0,$G708)+IF($E709="",0,$E709)-IF($F709="",0,$F709))</f>
        <v/>
      </c>
      <c r="H709" s="30">
        <f>IF(AND($L709="",$M709="",$N709=""),"",IF($L709&lt;&gt;"",IF(INDEX(LdANote,$L709)="","—",INDEX(LdANote,$L709)),IF($M709&lt;&gt;"",IF(INDEX(LdBNote,$M709)="","—",INDEX(LdBNote,$M709)),IF($N709&lt;&gt;"",IF(INDEX(LdCNote,$N709)="","—",INDEX(LdCNote,$N709)),""))))</f>
        <v/>
      </c>
      <c r="L709">
        <f>IFERROR(MATCH($C$5&amp;"|"&amp;RIGHT("000000"&amp;693,6),LdAKeyM,0),"")</f>
        <v/>
      </c>
      <c r="M709">
        <f>IFERROR(MATCH($C$5&amp;"|"&amp;RIGHT("000000"&amp;693,6),LdBKeyM,0),"")</f>
        <v/>
      </c>
      <c r="N709">
        <f>IFERROR(MATCH($C$5&amp;"|"&amp;RIGHT("000000"&amp;693,6),LdCKeyM,0),"")</f>
        <v/>
      </c>
    </row>
    <row r="710">
      <c r="A710" s="19" t="n">
        <v>694</v>
      </c>
      <c r="B710" s="20">
        <f>IF(AND($L710="",$M710="",$N710=""),"",IF($L710&lt;&gt;"",INDEX(LdADate,$L710),IF($M710&lt;&gt;"",INDEX(LdBDate,$M710),INDEX(LdCDate,$N710))))</f>
        <v/>
      </c>
      <c r="C710" s="20">
        <f>IF($L710&lt;&gt;"","دستمزد (فردی)",IF($M710&lt;&gt;"","سهم از گروه "&amp;IFERROR(VLOOKUP(INDEX(LdBGroup,$M710),WGTbl,2,0),INDEX(LdBGroup,$M710)),IF($N710&lt;&gt;"",IF(N(INDEX(LdCDep,$N710))&gt;0,"بازگشت بانکی","پرداخت بانکی"),"")))</f>
        <v/>
      </c>
      <c r="D710" s="20">
        <f>IF($L710&lt;&gt;"",IF(INDEX(LdAId,$L710)="","—",INDEX(LdAId,$L710)),IF($M710&lt;&gt;"",IF(INDEX(LdBId,$M710)="","—",INDEX(LdBId,$M710)),IF($N710&lt;&gt;"",IF(INDEX(LdCBank,$N710)="","—",INDEX(LdCBank,$N710)),"")))</f>
        <v/>
      </c>
      <c r="E710" s="21">
        <f>IF($L710&lt;&gt;"",IF(INDEX(LdAAmt,$L710)=0,"",INDEX(LdAAmt,$L710)),IF($M710&lt;&gt;"",IF(INDEX(LdBAmt,$M710)=0,"",INDEX(LdBAmt,$M710)),IF($N710&lt;&gt;"",IF(INDEX(LdCDep,$N710)=0,"",INDEX(LdCDep,$N710)),"")))</f>
        <v/>
      </c>
      <c r="F710" s="21">
        <f>IF(AND($L710="",$M710="",$N710=""),"",IF($N710="","",IF(INDEX(LdCWit,$N710)=0,"",INDEX(LdCWit,$N710))))</f>
        <v/>
      </c>
      <c r="G710" s="31">
        <f>IF($B710="","",IF($G709="",0,$G709)+IF($E710="",0,$E710)-IF($F710="",0,$F710))</f>
        <v/>
      </c>
      <c r="H710" s="32">
        <f>IF(AND($L710="",$M710="",$N710=""),"",IF($L710&lt;&gt;"",IF(INDEX(LdANote,$L710)="","—",INDEX(LdANote,$L710)),IF($M710&lt;&gt;"",IF(INDEX(LdBNote,$M710)="","—",INDEX(LdBNote,$M710)),IF($N710&lt;&gt;"",IF(INDEX(LdCNote,$N710)="","—",INDEX(LdCNote,$N710)),""))))</f>
        <v/>
      </c>
      <c r="L710">
        <f>IFERROR(MATCH($C$5&amp;"|"&amp;RIGHT("000000"&amp;694,6),LdAKeyM,0),"")</f>
        <v/>
      </c>
      <c r="M710">
        <f>IFERROR(MATCH($C$5&amp;"|"&amp;RIGHT("000000"&amp;694,6),LdBKeyM,0),"")</f>
        <v/>
      </c>
      <c r="N710">
        <f>IFERROR(MATCH($C$5&amp;"|"&amp;RIGHT("000000"&amp;694,6),LdCKeyM,0),"")</f>
        <v/>
      </c>
    </row>
    <row r="711">
      <c r="A711" s="10" t="n">
        <v>695</v>
      </c>
      <c r="B711" s="14">
        <f>IF(AND($L711="",$M711="",$N711=""),"",IF($L711&lt;&gt;"",INDEX(LdADate,$L711),IF($M711&lt;&gt;"",INDEX(LdBDate,$M711),INDEX(LdCDate,$N711))))</f>
        <v/>
      </c>
      <c r="C711" s="14">
        <f>IF($L711&lt;&gt;"","دستمزد (فردی)",IF($M711&lt;&gt;"","سهم از گروه "&amp;IFERROR(VLOOKUP(INDEX(LdBGroup,$M711),WGTbl,2,0),INDEX(LdBGroup,$M711)),IF($N711&lt;&gt;"",IF(N(INDEX(LdCDep,$N711))&gt;0,"بازگشت بانکی","پرداخت بانکی"),"")))</f>
        <v/>
      </c>
      <c r="D711" s="14">
        <f>IF($L711&lt;&gt;"",IF(INDEX(LdAId,$L711)="","—",INDEX(LdAId,$L711)),IF($M711&lt;&gt;"",IF(INDEX(LdBId,$M711)="","—",INDEX(LdBId,$M711)),IF($N711&lt;&gt;"",IF(INDEX(LdCBank,$N711)="","—",INDEX(LdCBank,$N711)),"")))</f>
        <v/>
      </c>
      <c r="E711" s="16">
        <f>IF($L711&lt;&gt;"",IF(INDEX(LdAAmt,$L711)=0,"",INDEX(LdAAmt,$L711)),IF($M711&lt;&gt;"",IF(INDEX(LdBAmt,$M711)=0,"",INDEX(LdBAmt,$M711)),IF($N711&lt;&gt;"",IF(INDEX(LdCDep,$N711)=0,"",INDEX(LdCDep,$N711)),"")))</f>
        <v/>
      </c>
      <c r="F711" s="16">
        <f>IF(AND($L711="",$M711="",$N711=""),"",IF($N711="","",IF(INDEX(LdCWit,$N711)=0,"",INDEX(LdCWit,$N711))))</f>
        <v/>
      </c>
      <c r="G711" s="29">
        <f>IF($B711="","",IF($G710="",0,$G710)+IF($E711="",0,$E711)-IF($F711="",0,$F711))</f>
        <v/>
      </c>
      <c r="H711" s="30">
        <f>IF(AND($L711="",$M711="",$N711=""),"",IF($L711&lt;&gt;"",IF(INDEX(LdANote,$L711)="","—",INDEX(LdANote,$L711)),IF($M711&lt;&gt;"",IF(INDEX(LdBNote,$M711)="","—",INDEX(LdBNote,$M711)),IF($N711&lt;&gt;"",IF(INDEX(LdCNote,$N711)="","—",INDEX(LdCNote,$N711)),""))))</f>
        <v/>
      </c>
      <c r="L711">
        <f>IFERROR(MATCH($C$5&amp;"|"&amp;RIGHT("000000"&amp;695,6),LdAKeyM,0),"")</f>
        <v/>
      </c>
      <c r="M711">
        <f>IFERROR(MATCH($C$5&amp;"|"&amp;RIGHT("000000"&amp;695,6),LdBKeyM,0),"")</f>
        <v/>
      </c>
      <c r="N711">
        <f>IFERROR(MATCH($C$5&amp;"|"&amp;RIGHT("000000"&amp;695,6),LdCKeyM,0),"")</f>
        <v/>
      </c>
    </row>
    <row r="712">
      <c r="A712" s="19" t="n">
        <v>696</v>
      </c>
      <c r="B712" s="20">
        <f>IF(AND($L712="",$M712="",$N712=""),"",IF($L712&lt;&gt;"",INDEX(LdADate,$L712),IF($M712&lt;&gt;"",INDEX(LdBDate,$M712),INDEX(LdCDate,$N712))))</f>
        <v/>
      </c>
      <c r="C712" s="20">
        <f>IF($L712&lt;&gt;"","دستمزد (فردی)",IF($M712&lt;&gt;"","سهم از گروه "&amp;IFERROR(VLOOKUP(INDEX(LdBGroup,$M712),WGTbl,2,0),INDEX(LdBGroup,$M712)),IF($N712&lt;&gt;"",IF(N(INDEX(LdCDep,$N712))&gt;0,"بازگشت بانکی","پرداخت بانکی"),"")))</f>
        <v/>
      </c>
      <c r="D712" s="20">
        <f>IF($L712&lt;&gt;"",IF(INDEX(LdAId,$L712)="","—",INDEX(LdAId,$L712)),IF($M712&lt;&gt;"",IF(INDEX(LdBId,$M712)="","—",INDEX(LdBId,$M712)),IF($N712&lt;&gt;"",IF(INDEX(LdCBank,$N712)="","—",INDEX(LdCBank,$N712)),"")))</f>
        <v/>
      </c>
      <c r="E712" s="21">
        <f>IF($L712&lt;&gt;"",IF(INDEX(LdAAmt,$L712)=0,"",INDEX(LdAAmt,$L712)),IF($M712&lt;&gt;"",IF(INDEX(LdBAmt,$M712)=0,"",INDEX(LdBAmt,$M712)),IF($N712&lt;&gt;"",IF(INDEX(LdCDep,$N712)=0,"",INDEX(LdCDep,$N712)),"")))</f>
        <v/>
      </c>
      <c r="F712" s="21">
        <f>IF(AND($L712="",$M712="",$N712=""),"",IF($N712="","",IF(INDEX(LdCWit,$N712)=0,"",INDEX(LdCWit,$N712))))</f>
        <v/>
      </c>
      <c r="G712" s="31">
        <f>IF($B712="","",IF($G711="",0,$G711)+IF($E712="",0,$E712)-IF($F712="",0,$F712))</f>
        <v/>
      </c>
      <c r="H712" s="32">
        <f>IF(AND($L712="",$M712="",$N712=""),"",IF($L712&lt;&gt;"",IF(INDEX(LdANote,$L712)="","—",INDEX(LdANote,$L712)),IF($M712&lt;&gt;"",IF(INDEX(LdBNote,$M712)="","—",INDEX(LdBNote,$M712)),IF($N712&lt;&gt;"",IF(INDEX(LdCNote,$N712)="","—",INDEX(LdCNote,$N712)),""))))</f>
        <v/>
      </c>
      <c r="L712">
        <f>IFERROR(MATCH($C$5&amp;"|"&amp;RIGHT("000000"&amp;696,6),LdAKeyM,0),"")</f>
        <v/>
      </c>
      <c r="M712">
        <f>IFERROR(MATCH($C$5&amp;"|"&amp;RIGHT("000000"&amp;696,6),LdBKeyM,0),"")</f>
        <v/>
      </c>
      <c r="N712">
        <f>IFERROR(MATCH($C$5&amp;"|"&amp;RIGHT("000000"&amp;696,6),LdCKeyM,0),"")</f>
        <v/>
      </c>
    </row>
    <row r="713">
      <c r="A713" s="10" t="n">
        <v>697</v>
      </c>
      <c r="B713" s="14">
        <f>IF(AND($L713="",$M713="",$N713=""),"",IF($L713&lt;&gt;"",INDEX(LdADate,$L713),IF($M713&lt;&gt;"",INDEX(LdBDate,$M713),INDEX(LdCDate,$N713))))</f>
        <v/>
      </c>
      <c r="C713" s="14">
        <f>IF($L713&lt;&gt;"","دستمزد (فردی)",IF($M713&lt;&gt;"","سهم از گروه "&amp;IFERROR(VLOOKUP(INDEX(LdBGroup,$M713),WGTbl,2,0),INDEX(LdBGroup,$M713)),IF($N713&lt;&gt;"",IF(N(INDEX(LdCDep,$N713))&gt;0,"بازگشت بانکی","پرداخت بانکی"),"")))</f>
        <v/>
      </c>
      <c r="D713" s="14">
        <f>IF($L713&lt;&gt;"",IF(INDEX(LdAId,$L713)="","—",INDEX(LdAId,$L713)),IF($M713&lt;&gt;"",IF(INDEX(LdBId,$M713)="","—",INDEX(LdBId,$M713)),IF($N713&lt;&gt;"",IF(INDEX(LdCBank,$N713)="","—",INDEX(LdCBank,$N713)),"")))</f>
        <v/>
      </c>
      <c r="E713" s="16">
        <f>IF($L713&lt;&gt;"",IF(INDEX(LdAAmt,$L713)=0,"",INDEX(LdAAmt,$L713)),IF($M713&lt;&gt;"",IF(INDEX(LdBAmt,$M713)=0,"",INDEX(LdBAmt,$M713)),IF($N713&lt;&gt;"",IF(INDEX(LdCDep,$N713)=0,"",INDEX(LdCDep,$N713)),"")))</f>
        <v/>
      </c>
      <c r="F713" s="16">
        <f>IF(AND($L713="",$M713="",$N713=""),"",IF($N713="","",IF(INDEX(LdCWit,$N713)=0,"",INDEX(LdCWit,$N713))))</f>
        <v/>
      </c>
      <c r="G713" s="29">
        <f>IF($B713="","",IF($G712="",0,$G712)+IF($E713="",0,$E713)-IF($F713="",0,$F713))</f>
        <v/>
      </c>
      <c r="H713" s="30">
        <f>IF(AND($L713="",$M713="",$N713=""),"",IF($L713&lt;&gt;"",IF(INDEX(LdANote,$L713)="","—",INDEX(LdANote,$L713)),IF($M713&lt;&gt;"",IF(INDEX(LdBNote,$M713)="","—",INDEX(LdBNote,$M713)),IF($N713&lt;&gt;"",IF(INDEX(LdCNote,$N713)="","—",INDEX(LdCNote,$N713)),""))))</f>
        <v/>
      </c>
      <c r="L713">
        <f>IFERROR(MATCH($C$5&amp;"|"&amp;RIGHT("000000"&amp;697,6),LdAKeyM,0),"")</f>
        <v/>
      </c>
      <c r="M713">
        <f>IFERROR(MATCH($C$5&amp;"|"&amp;RIGHT("000000"&amp;697,6),LdBKeyM,0),"")</f>
        <v/>
      </c>
      <c r="N713">
        <f>IFERROR(MATCH($C$5&amp;"|"&amp;RIGHT("000000"&amp;697,6),LdCKeyM,0),"")</f>
        <v/>
      </c>
    </row>
    <row r="714">
      <c r="A714" s="19" t="n">
        <v>698</v>
      </c>
      <c r="B714" s="20">
        <f>IF(AND($L714="",$M714="",$N714=""),"",IF($L714&lt;&gt;"",INDEX(LdADate,$L714),IF($M714&lt;&gt;"",INDEX(LdBDate,$M714),INDEX(LdCDate,$N714))))</f>
        <v/>
      </c>
      <c r="C714" s="20">
        <f>IF($L714&lt;&gt;"","دستمزد (فردی)",IF($M714&lt;&gt;"","سهم از گروه "&amp;IFERROR(VLOOKUP(INDEX(LdBGroup,$M714),WGTbl,2,0),INDEX(LdBGroup,$M714)),IF($N714&lt;&gt;"",IF(N(INDEX(LdCDep,$N714))&gt;0,"بازگشت بانکی","پرداخت بانکی"),"")))</f>
        <v/>
      </c>
      <c r="D714" s="20">
        <f>IF($L714&lt;&gt;"",IF(INDEX(LdAId,$L714)="","—",INDEX(LdAId,$L714)),IF($M714&lt;&gt;"",IF(INDEX(LdBId,$M714)="","—",INDEX(LdBId,$M714)),IF($N714&lt;&gt;"",IF(INDEX(LdCBank,$N714)="","—",INDEX(LdCBank,$N714)),"")))</f>
        <v/>
      </c>
      <c r="E714" s="21">
        <f>IF($L714&lt;&gt;"",IF(INDEX(LdAAmt,$L714)=0,"",INDEX(LdAAmt,$L714)),IF($M714&lt;&gt;"",IF(INDEX(LdBAmt,$M714)=0,"",INDEX(LdBAmt,$M714)),IF($N714&lt;&gt;"",IF(INDEX(LdCDep,$N714)=0,"",INDEX(LdCDep,$N714)),"")))</f>
        <v/>
      </c>
      <c r="F714" s="21">
        <f>IF(AND($L714="",$M714="",$N714=""),"",IF($N714="","",IF(INDEX(LdCWit,$N714)=0,"",INDEX(LdCWit,$N714))))</f>
        <v/>
      </c>
      <c r="G714" s="31">
        <f>IF($B714="","",IF($G713="",0,$G713)+IF($E714="",0,$E714)-IF($F714="",0,$F714))</f>
        <v/>
      </c>
      <c r="H714" s="32">
        <f>IF(AND($L714="",$M714="",$N714=""),"",IF($L714&lt;&gt;"",IF(INDEX(LdANote,$L714)="","—",INDEX(LdANote,$L714)),IF($M714&lt;&gt;"",IF(INDEX(LdBNote,$M714)="","—",INDEX(LdBNote,$M714)),IF($N714&lt;&gt;"",IF(INDEX(LdCNote,$N714)="","—",INDEX(LdCNote,$N714)),""))))</f>
        <v/>
      </c>
      <c r="L714">
        <f>IFERROR(MATCH($C$5&amp;"|"&amp;RIGHT("000000"&amp;698,6),LdAKeyM,0),"")</f>
        <v/>
      </c>
      <c r="M714">
        <f>IFERROR(MATCH($C$5&amp;"|"&amp;RIGHT("000000"&amp;698,6),LdBKeyM,0),"")</f>
        <v/>
      </c>
      <c r="N714">
        <f>IFERROR(MATCH($C$5&amp;"|"&amp;RIGHT("000000"&amp;698,6),LdCKeyM,0),"")</f>
        <v/>
      </c>
    </row>
    <row r="715">
      <c r="A715" s="10" t="n">
        <v>699</v>
      </c>
      <c r="B715" s="14">
        <f>IF(AND($L715="",$M715="",$N715=""),"",IF($L715&lt;&gt;"",INDEX(LdADate,$L715),IF($M715&lt;&gt;"",INDEX(LdBDate,$M715),INDEX(LdCDate,$N715))))</f>
        <v/>
      </c>
      <c r="C715" s="14">
        <f>IF($L715&lt;&gt;"","دستمزد (فردی)",IF($M715&lt;&gt;"","سهم از گروه "&amp;IFERROR(VLOOKUP(INDEX(LdBGroup,$M715),WGTbl,2,0),INDEX(LdBGroup,$M715)),IF($N715&lt;&gt;"",IF(N(INDEX(LdCDep,$N715))&gt;0,"بازگشت بانکی","پرداخت بانکی"),"")))</f>
        <v/>
      </c>
      <c r="D715" s="14">
        <f>IF($L715&lt;&gt;"",IF(INDEX(LdAId,$L715)="","—",INDEX(LdAId,$L715)),IF($M715&lt;&gt;"",IF(INDEX(LdBId,$M715)="","—",INDEX(LdBId,$M715)),IF($N715&lt;&gt;"",IF(INDEX(LdCBank,$N715)="","—",INDEX(LdCBank,$N715)),"")))</f>
        <v/>
      </c>
      <c r="E715" s="16">
        <f>IF($L715&lt;&gt;"",IF(INDEX(LdAAmt,$L715)=0,"",INDEX(LdAAmt,$L715)),IF($M715&lt;&gt;"",IF(INDEX(LdBAmt,$M715)=0,"",INDEX(LdBAmt,$M715)),IF($N715&lt;&gt;"",IF(INDEX(LdCDep,$N715)=0,"",INDEX(LdCDep,$N715)),"")))</f>
        <v/>
      </c>
      <c r="F715" s="16">
        <f>IF(AND($L715="",$M715="",$N715=""),"",IF($N715="","",IF(INDEX(LdCWit,$N715)=0,"",INDEX(LdCWit,$N715))))</f>
        <v/>
      </c>
      <c r="G715" s="29">
        <f>IF($B715="","",IF($G714="",0,$G714)+IF($E715="",0,$E715)-IF($F715="",0,$F715))</f>
        <v/>
      </c>
      <c r="H715" s="30">
        <f>IF(AND($L715="",$M715="",$N715=""),"",IF($L715&lt;&gt;"",IF(INDEX(LdANote,$L715)="","—",INDEX(LdANote,$L715)),IF($M715&lt;&gt;"",IF(INDEX(LdBNote,$M715)="","—",INDEX(LdBNote,$M715)),IF($N715&lt;&gt;"",IF(INDEX(LdCNote,$N715)="","—",INDEX(LdCNote,$N715)),""))))</f>
        <v/>
      </c>
      <c r="L715">
        <f>IFERROR(MATCH($C$5&amp;"|"&amp;RIGHT("000000"&amp;699,6),LdAKeyM,0),"")</f>
        <v/>
      </c>
      <c r="M715">
        <f>IFERROR(MATCH($C$5&amp;"|"&amp;RIGHT("000000"&amp;699,6),LdBKeyM,0),"")</f>
        <v/>
      </c>
      <c r="N715">
        <f>IFERROR(MATCH($C$5&amp;"|"&amp;RIGHT("000000"&amp;699,6),LdCKeyM,0),"")</f>
        <v/>
      </c>
    </row>
    <row r="716">
      <c r="A716" s="19" t="n">
        <v>700</v>
      </c>
      <c r="B716" s="20">
        <f>IF(AND($L716="",$M716="",$N716=""),"",IF($L716&lt;&gt;"",INDEX(LdADate,$L716),IF($M716&lt;&gt;"",INDEX(LdBDate,$M716),INDEX(LdCDate,$N716))))</f>
        <v/>
      </c>
      <c r="C716" s="20">
        <f>IF($L716&lt;&gt;"","دستمزد (فردی)",IF($M716&lt;&gt;"","سهم از گروه "&amp;IFERROR(VLOOKUP(INDEX(LdBGroup,$M716),WGTbl,2,0),INDEX(LdBGroup,$M716)),IF($N716&lt;&gt;"",IF(N(INDEX(LdCDep,$N716))&gt;0,"بازگشت بانکی","پرداخت بانکی"),"")))</f>
        <v/>
      </c>
      <c r="D716" s="20">
        <f>IF($L716&lt;&gt;"",IF(INDEX(LdAId,$L716)="","—",INDEX(LdAId,$L716)),IF($M716&lt;&gt;"",IF(INDEX(LdBId,$M716)="","—",INDEX(LdBId,$M716)),IF($N716&lt;&gt;"",IF(INDEX(LdCBank,$N716)="","—",INDEX(LdCBank,$N716)),"")))</f>
        <v/>
      </c>
      <c r="E716" s="21">
        <f>IF($L716&lt;&gt;"",IF(INDEX(LdAAmt,$L716)=0,"",INDEX(LdAAmt,$L716)),IF($M716&lt;&gt;"",IF(INDEX(LdBAmt,$M716)=0,"",INDEX(LdBAmt,$M716)),IF($N716&lt;&gt;"",IF(INDEX(LdCDep,$N716)=0,"",INDEX(LdCDep,$N716)),"")))</f>
        <v/>
      </c>
      <c r="F716" s="21">
        <f>IF(AND($L716="",$M716="",$N716=""),"",IF($N716="","",IF(INDEX(LdCWit,$N716)=0,"",INDEX(LdCWit,$N716))))</f>
        <v/>
      </c>
      <c r="G716" s="31">
        <f>IF($B716="","",IF($G715="",0,$G715)+IF($E716="",0,$E716)-IF($F716="",0,$F716))</f>
        <v/>
      </c>
      <c r="H716" s="32">
        <f>IF(AND($L716="",$M716="",$N716=""),"",IF($L716&lt;&gt;"",IF(INDEX(LdANote,$L716)="","—",INDEX(LdANote,$L716)),IF($M716&lt;&gt;"",IF(INDEX(LdBNote,$M716)="","—",INDEX(LdBNote,$M716)),IF($N716&lt;&gt;"",IF(INDEX(LdCNote,$N716)="","—",INDEX(LdCNote,$N716)),""))))</f>
        <v/>
      </c>
      <c r="L716">
        <f>IFERROR(MATCH($C$5&amp;"|"&amp;RIGHT("000000"&amp;700,6),LdAKeyM,0),"")</f>
        <v/>
      </c>
      <c r="M716">
        <f>IFERROR(MATCH($C$5&amp;"|"&amp;RIGHT("000000"&amp;700,6),LdBKeyM,0),"")</f>
        <v/>
      </c>
      <c r="N716">
        <f>IFERROR(MATCH($C$5&amp;"|"&amp;RIGHT("000000"&amp;700,6),LdCKeyM,0),"")</f>
        <v/>
      </c>
    </row>
    <row r="717">
      <c r="A717" s="10" t="n">
        <v>701</v>
      </c>
      <c r="B717" s="14">
        <f>IF(AND($L717="",$M717="",$N717=""),"",IF($L717&lt;&gt;"",INDEX(LdADate,$L717),IF($M717&lt;&gt;"",INDEX(LdBDate,$M717),INDEX(LdCDate,$N717))))</f>
        <v/>
      </c>
      <c r="C717" s="14">
        <f>IF($L717&lt;&gt;"","دستمزد (فردی)",IF($M717&lt;&gt;"","سهم از گروه "&amp;IFERROR(VLOOKUP(INDEX(LdBGroup,$M717),WGTbl,2,0),INDEX(LdBGroup,$M717)),IF($N717&lt;&gt;"",IF(N(INDEX(LdCDep,$N717))&gt;0,"بازگشت بانکی","پرداخت بانکی"),"")))</f>
        <v/>
      </c>
      <c r="D717" s="14">
        <f>IF($L717&lt;&gt;"",IF(INDEX(LdAId,$L717)="","—",INDEX(LdAId,$L717)),IF($M717&lt;&gt;"",IF(INDEX(LdBId,$M717)="","—",INDEX(LdBId,$M717)),IF($N717&lt;&gt;"",IF(INDEX(LdCBank,$N717)="","—",INDEX(LdCBank,$N717)),"")))</f>
        <v/>
      </c>
      <c r="E717" s="16">
        <f>IF($L717&lt;&gt;"",IF(INDEX(LdAAmt,$L717)=0,"",INDEX(LdAAmt,$L717)),IF($M717&lt;&gt;"",IF(INDEX(LdBAmt,$M717)=0,"",INDEX(LdBAmt,$M717)),IF($N717&lt;&gt;"",IF(INDEX(LdCDep,$N717)=0,"",INDEX(LdCDep,$N717)),"")))</f>
        <v/>
      </c>
      <c r="F717" s="16">
        <f>IF(AND($L717="",$M717="",$N717=""),"",IF($N717="","",IF(INDEX(LdCWit,$N717)=0,"",INDEX(LdCWit,$N717))))</f>
        <v/>
      </c>
      <c r="G717" s="29">
        <f>IF($B717="","",IF($G716="",0,$G716)+IF($E717="",0,$E717)-IF($F717="",0,$F717))</f>
        <v/>
      </c>
      <c r="H717" s="30">
        <f>IF(AND($L717="",$M717="",$N717=""),"",IF($L717&lt;&gt;"",IF(INDEX(LdANote,$L717)="","—",INDEX(LdANote,$L717)),IF($M717&lt;&gt;"",IF(INDEX(LdBNote,$M717)="","—",INDEX(LdBNote,$M717)),IF($N717&lt;&gt;"",IF(INDEX(LdCNote,$N717)="","—",INDEX(LdCNote,$N717)),""))))</f>
        <v/>
      </c>
      <c r="L717">
        <f>IFERROR(MATCH($C$5&amp;"|"&amp;RIGHT("000000"&amp;701,6),LdAKeyM,0),"")</f>
        <v/>
      </c>
      <c r="M717">
        <f>IFERROR(MATCH($C$5&amp;"|"&amp;RIGHT("000000"&amp;701,6),LdBKeyM,0),"")</f>
        <v/>
      </c>
      <c r="N717">
        <f>IFERROR(MATCH($C$5&amp;"|"&amp;RIGHT("000000"&amp;701,6),LdCKeyM,0),"")</f>
        <v/>
      </c>
    </row>
    <row r="718">
      <c r="A718" s="19" t="n">
        <v>702</v>
      </c>
      <c r="B718" s="20">
        <f>IF(AND($L718="",$M718="",$N718=""),"",IF($L718&lt;&gt;"",INDEX(LdADate,$L718),IF($M718&lt;&gt;"",INDEX(LdBDate,$M718),INDEX(LdCDate,$N718))))</f>
        <v/>
      </c>
      <c r="C718" s="20">
        <f>IF($L718&lt;&gt;"","دستمزد (فردی)",IF($M718&lt;&gt;"","سهم از گروه "&amp;IFERROR(VLOOKUP(INDEX(LdBGroup,$M718),WGTbl,2,0),INDEX(LdBGroup,$M718)),IF($N718&lt;&gt;"",IF(N(INDEX(LdCDep,$N718))&gt;0,"بازگشت بانکی","پرداخت بانکی"),"")))</f>
        <v/>
      </c>
      <c r="D718" s="20">
        <f>IF($L718&lt;&gt;"",IF(INDEX(LdAId,$L718)="","—",INDEX(LdAId,$L718)),IF($M718&lt;&gt;"",IF(INDEX(LdBId,$M718)="","—",INDEX(LdBId,$M718)),IF($N718&lt;&gt;"",IF(INDEX(LdCBank,$N718)="","—",INDEX(LdCBank,$N718)),"")))</f>
        <v/>
      </c>
      <c r="E718" s="21">
        <f>IF($L718&lt;&gt;"",IF(INDEX(LdAAmt,$L718)=0,"",INDEX(LdAAmt,$L718)),IF($M718&lt;&gt;"",IF(INDEX(LdBAmt,$M718)=0,"",INDEX(LdBAmt,$M718)),IF($N718&lt;&gt;"",IF(INDEX(LdCDep,$N718)=0,"",INDEX(LdCDep,$N718)),"")))</f>
        <v/>
      </c>
      <c r="F718" s="21">
        <f>IF(AND($L718="",$M718="",$N718=""),"",IF($N718="","",IF(INDEX(LdCWit,$N718)=0,"",INDEX(LdCWit,$N718))))</f>
        <v/>
      </c>
      <c r="G718" s="31">
        <f>IF($B718="","",IF($G717="",0,$G717)+IF($E718="",0,$E718)-IF($F718="",0,$F718))</f>
        <v/>
      </c>
      <c r="H718" s="32">
        <f>IF(AND($L718="",$M718="",$N718=""),"",IF($L718&lt;&gt;"",IF(INDEX(LdANote,$L718)="","—",INDEX(LdANote,$L718)),IF($M718&lt;&gt;"",IF(INDEX(LdBNote,$M718)="","—",INDEX(LdBNote,$M718)),IF($N718&lt;&gt;"",IF(INDEX(LdCNote,$N718)="","—",INDEX(LdCNote,$N718)),""))))</f>
        <v/>
      </c>
      <c r="L718">
        <f>IFERROR(MATCH($C$5&amp;"|"&amp;RIGHT("000000"&amp;702,6),LdAKeyM,0),"")</f>
        <v/>
      </c>
      <c r="M718">
        <f>IFERROR(MATCH($C$5&amp;"|"&amp;RIGHT("000000"&amp;702,6),LdBKeyM,0),"")</f>
        <v/>
      </c>
      <c r="N718">
        <f>IFERROR(MATCH($C$5&amp;"|"&amp;RIGHT("000000"&amp;702,6),LdCKeyM,0),"")</f>
        <v/>
      </c>
    </row>
    <row r="719">
      <c r="A719" s="10" t="n">
        <v>703</v>
      </c>
      <c r="B719" s="14">
        <f>IF(AND($L719="",$M719="",$N719=""),"",IF($L719&lt;&gt;"",INDEX(LdADate,$L719),IF($M719&lt;&gt;"",INDEX(LdBDate,$M719),INDEX(LdCDate,$N719))))</f>
        <v/>
      </c>
      <c r="C719" s="14">
        <f>IF($L719&lt;&gt;"","دستمزد (فردی)",IF($M719&lt;&gt;"","سهم از گروه "&amp;IFERROR(VLOOKUP(INDEX(LdBGroup,$M719),WGTbl,2,0),INDEX(LdBGroup,$M719)),IF($N719&lt;&gt;"",IF(N(INDEX(LdCDep,$N719))&gt;0,"بازگشت بانکی","پرداخت بانکی"),"")))</f>
        <v/>
      </c>
      <c r="D719" s="14">
        <f>IF($L719&lt;&gt;"",IF(INDEX(LdAId,$L719)="","—",INDEX(LdAId,$L719)),IF($M719&lt;&gt;"",IF(INDEX(LdBId,$M719)="","—",INDEX(LdBId,$M719)),IF($N719&lt;&gt;"",IF(INDEX(LdCBank,$N719)="","—",INDEX(LdCBank,$N719)),"")))</f>
        <v/>
      </c>
      <c r="E719" s="16">
        <f>IF($L719&lt;&gt;"",IF(INDEX(LdAAmt,$L719)=0,"",INDEX(LdAAmt,$L719)),IF($M719&lt;&gt;"",IF(INDEX(LdBAmt,$M719)=0,"",INDEX(LdBAmt,$M719)),IF($N719&lt;&gt;"",IF(INDEX(LdCDep,$N719)=0,"",INDEX(LdCDep,$N719)),"")))</f>
        <v/>
      </c>
      <c r="F719" s="16">
        <f>IF(AND($L719="",$M719="",$N719=""),"",IF($N719="","",IF(INDEX(LdCWit,$N719)=0,"",INDEX(LdCWit,$N719))))</f>
        <v/>
      </c>
      <c r="G719" s="29">
        <f>IF($B719="","",IF($G718="",0,$G718)+IF($E719="",0,$E719)-IF($F719="",0,$F719))</f>
        <v/>
      </c>
      <c r="H719" s="30">
        <f>IF(AND($L719="",$M719="",$N719=""),"",IF($L719&lt;&gt;"",IF(INDEX(LdANote,$L719)="","—",INDEX(LdANote,$L719)),IF($M719&lt;&gt;"",IF(INDEX(LdBNote,$M719)="","—",INDEX(LdBNote,$M719)),IF($N719&lt;&gt;"",IF(INDEX(LdCNote,$N719)="","—",INDEX(LdCNote,$N719)),""))))</f>
        <v/>
      </c>
      <c r="L719">
        <f>IFERROR(MATCH($C$5&amp;"|"&amp;RIGHT("000000"&amp;703,6),LdAKeyM,0),"")</f>
        <v/>
      </c>
      <c r="M719">
        <f>IFERROR(MATCH($C$5&amp;"|"&amp;RIGHT("000000"&amp;703,6),LdBKeyM,0),"")</f>
        <v/>
      </c>
      <c r="N719">
        <f>IFERROR(MATCH($C$5&amp;"|"&amp;RIGHT("000000"&amp;703,6),LdCKeyM,0),"")</f>
        <v/>
      </c>
    </row>
    <row r="720">
      <c r="A720" s="19" t="n">
        <v>704</v>
      </c>
      <c r="B720" s="20">
        <f>IF(AND($L720="",$M720="",$N720=""),"",IF($L720&lt;&gt;"",INDEX(LdADate,$L720),IF($M720&lt;&gt;"",INDEX(LdBDate,$M720),INDEX(LdCDate,$N720))))</f>
        <v/>
      </c>
      <c r="C720" s="20">
        <f>IF($L720&lt;&gt;"","دستمزد (فردی)",IF($M720&lt;&gt;"","سهم از گروه "&amp;IFERROR(VLOOKUP(INDEX(LdBGroup,$M720),WGTbl,2,0),INDEX(LdBGroup,$M720)),IF($N720&lt;&gt;"",IF(N(INDEX(LdCDep,$N720))&gt;0,"بازگشت بانکی","پرداخت بانکی"),"")))</f>
        <v/>
      </c>
      <c r="D720" s="20">
        <f>IF($L720&lt;&gt;"",IF(INDEX(LdAId,$L720)="","—",INDEX(LdAId,$L720)),IF($M720&lt;&gt;"",IF(INDEX(LdBId,$M720)="","—",INDEX(LdBId,$M720)),IF($N720&lt;&gt;"",IF(INDEX(LdCBank,$N720)="","—",INDEX(LdCBank,$N720)),"")))</f>
        <v/>
      </c>
      <c r="E720" s="21">
        <f>IF($L720&lt;&gt;"",IF(INDEX(LdAAmt,$L720)=0,"",INDEX(LdAAmt,$L720)),IF($M720&lt;&gt;"",IF(INDEX(LdBAmt,$M720)=0,"",INDEX(LdBAmt,$M720)),IF($N720&lt;&gt;"",IF(INDEX(LdCDep,$N720)=0,"",INDEX(LdCDep,$N720)),"")))</f>
        <v/>
      </c>
      <c r="F720" s="21">
        <f>IF(AND($L720="",$M720="",$N720=""),"",IF($N720="","",IF(INDEX(LdCWit,$N720)=0,"",INDEX(LdCWit,$N720))))</f>
        <v/>
      </c>
      <c r="G720" s="31">
        <f>IF($B720="","",IF($G719="",0,$G719)+IF($E720="",0,$E720)-IF($F720="",0,$F720))</f>
        <v/>
      </c>
      <c r="H720" s="32">
        <f>IF(AND($L720="",$M720="",$N720=""),"",IF($L720&lt;&gt;"",IF(INDEX(LdANote,$L720)="","—",INDEX(LdANote,$L720)),IF($M720&lt;&gt;"",IF(INDEX(LdBNote,$M720)="","—",INDEX(LdBNote,$M720)),IF($N720&lt;&gt;"",IF(INDEX(LdCNote,$N720)="","—",INDEX(LdCNote,$N720)),""))))</f>
        <v/>
      </c>
      <c r="L720">
        <f>IFERROR(MATCH($C$5&amp;"|"&amp;RIGHT("000000"&amp;704,6),LdAKeyM,0),"")</f>
        <v/>
      </c>
      <c r="M720">
        <f>IFERROR(MATCH($C$5&amp;"|"&amp;RIGHT("000000"&amp;704,6),LdBKeyM,0),"")</f>
        <v/>
      </c>
      <c r="N720">
        <f>IFERROR(MATCH($C$5&amp;"|"&amp;RIGHT("000000"&amp;704,6),LdCKeyM,0),"")</f>
        <v/>
      </c>
    </row>
    <row r="721">
      <c r="A721" s="10" t="n">
        <v>705</v>
      </c>
      <c r="B721" s="14">
        <f>IF(AND($L721="",$M721="",$N721=""),"",IF($L721&lt;&gt;"",INDEX(LdADate,$L721),IF($M721&lt;&gt;"",INDEX(LdBDate,$M721),INDEX(LdCDate,$N721))))</f>
        <v/>
      </c>
      <c r="C721" s="14">
        <f>IF($L721&lt;&gt;"","دستمزد (فردی)",IF($M721&lt;&gt;"","سهم از گروه "&amp;IFERROR(VLOOKUP(INDEX(LdBGroup,$M721),WGTbl,2,0),INDEX(LdBGroup,$M721)),IF($N721&lt;&gt;"",IF(N(INDEX(LdCDep,$N721))&gt;0,"بازگشت بانکی","پرداخت بانکی"),"")))</f>
        <v/>
      </c>
      <c r="D721" s="14">
        <f>IF($L721&lt;&gt;"",IF(INDEX(LdAId,$L721)="","—",INDEX(LdAId,$L721)),IF($M721&lt;&gt;"",IF(INDEX(LdBId,$M721)="","—",INDEX(LdBId,$M721)),IF($N721&lt;&gt;"",IF(INDEX(LdCBank,$N721)="","—",INDEX(LdCBank,$N721)),"")))</f>
        <v/>
      </c>
      <c r="E721" s="16">
        <f>IF($L721&lt;&gt;"",IF(INDEX(LdAAmt,$L721)=0,"",INDEX(LdAAmt,$L721)),IF($M721&lt;&gt;"",IF(INDEX(LdBAmt,$M721)=0,"",INDEX(LdBAmt,$M721)),IF($N721&lt;&gt;"",IF(INDEX(LdCDep,$N721)=0,"",INDEX(LdCDep,$N721)),"")))</f>
        <v/>
      </c>
      <c r="F721" s="16">
        <f>IF(AND($L721="",$M721="",$N721=""),"",IF($N721="","",IF(INDEX(LdCWit,$N721)=0,"",INDEX(LdCWit,$N721))))</f>
        <v/>
      </c>
      <c r="G721" s="29">
        <f>IF($B721="","",IF($G720="",0,$G720)+IF($E721="",0,$E721)-IF($F721="",0,$F721))</f>
        <v/>
      </c>
      <c r="H721" s="30">
        <f>IF(AND($L721="",$M721="",$N721=""),"",IF($L721&lt;&gt;"",IF(INDEX(LdANote,$L721)="","—",INDEX(LdANote,$L721)),IF($M721&lt;&gt;"",IF(INDEX(LdBNote,$M721)="","—",INDEX(LdBNote,$M721)),IF($N721&lt;&gt;"",IF(INDEX(LdCNote,$N721)="","—",INDEX(LdCNote,$N721)),""))))</f>
        <v/>
      </c>
      <c r="L721">
        <f>IFERROR(MATCH($C$5&amp;"|"&amp;RIGHT("000000"&amp;705,6),LdAKeyM,0),"")</f>
        <v/>
      </c>
      <c r="M721">
        <f>IFERROR(MATCH($C$5&amp;"|"&amp;RIGHT("000000"&amp;705,6),LdBKeyM,0),"")</f>
        <v/>
      </c>
      <c r="N721">
        <f>IFERROR(MATCH($C$5&amp;"|"&amp;RIGHT("000000"&amp;705,6),LdCKeyM,0),"")</f>
        <v/>
      </c>
    </row>
    <row r="722">
      <c r="A722" s="19" t="n">
        <v>706</v>
      </c>
      <c r="B722" s="20">
        <f>IF(AND($L722="",$M722="",$N722=""),"",IF($L722&lt;&gt;"",INDEX(LdADate,$L722),IF($M722&lt;&gt;"",INDEX(LdBDate,$M722),INDEX(LdCDate,$N722))))</f>
        <v/>
      </c>
      <c r="C722" s="20">
        <f>IF($L722&lt;&gt;"","دستمزد (فردی)",IF($M722&lt;&gt;"","سهم از گروه "&amp;IFERROR(VLOOKUP(INDEX(LdBGroup,$M722),WGTbl,2,0),INDEX(LdBGroup,$M722)),IF($N722&lt;&gt;"",IF(N(INDEX(LdCDep,$N722))&gt;0,"بازگشت بانکی","پرداخت بانکی"),"")))</f>
        <v/>
      </c>
      <c r="D722" s="20">
        <f>IF($L722&lt;&gt;"",IF(INDEX(LdAId,$L722)="","—",INDEX(LdAId,$L722)),IF($M722&lt;&gt;"",IF(INDEX(LdBId,$M722)="","—",INDEX(LdBId,$M722)),IF($N722&lt;&gt;"",IF(INDEX(LdCBank,$N722)="","—",INDEX(LdCBank,$N722)),"")))</f>
        <v/>
      </c>
      <c r="E722" s="21">
        <f>IF($L722&lt;&gt;"",IF(INDEX(LdAAmt,$L722)=0,"",INDEX(LdAAmt,$L722)),IF($M722&lt;&gt;"",IF(INDEX(LdBAmt,$M722)=0,"",INDEX(LdBAmt,$M722)),IF($N722&lt;&gt;"",IF(INDEX(LdCDep,$N722)=0,"",INDEX(LdCDep,$N722)),"")))</f>
        <v/>
      </c>
      <c r="F722" s="21">
        <f>IF(AND($L722="",$M722="",$N722=""),"",IF($N722="","",IF(INDEX(LdCWit,$N722)=0,"",INDEX(LdCWit,$N722))))</f>
        <v/>
      </c>
      <c r="G722" s="31">
        <f>IF($B722="","",IF($G721="",0,$G721)+IF($E722="",0,$E722)-IF($F722="",0,$F722))</f>
        <v/>
      </c>
      <c r="H722" s="32">
        <f>IF(AND($L722="",$M722="",$N722=""),"",IF($L722&lt;&gt;"",IF(INDEX(LdANote,$L722)="","—",INDEX(LdANote,$L722)),IF($M722&lt;&gt;"",IF(INDEX(LdBNote,$M722)="","—",INDEX(LdBNote,$M722)),IF($N722&lt;&gt;"",IF(INDEX(LdCNote,$N722)="","—",INDEX(LdCNote,$N722)),""))))</f>
        <v/>
      </c>
      <c r="L722">
        <f>IFERROR(MATCH($C$5&amp;"|"&amp;RIGHT("000000"&amp;706,6),LdAKeyM,0),"")</f>
        <v/>
      </c>
      <c r="M722">
        <f>IFERROR(MATCH($C$5&amp;"|"&amp;RIGHT("000000"&amp;706,6),LdBKeyM,0),"")</f>
        <v/>
      </c>
      <c r="N722">
        <f>IFERROR(MATCH($C$5&amp;"|"&amp;RIGHT("000000"&amp;706,6),LdCKeyM,0),"")</f>
        <v/>
      </c>
    </row>
    <row r="723">
      <c r="A723" s="10" t="n">
        <v>707</v>
      </c>
      <c r="B723" s="14">
        <f>IF(AND($L723="",$M723="",$N723=""),"",IF($L723&lt;&gt;"",INDEX(LdADate,$L723),IF($M723&lt;&gt;"",INDEX(LdBDate,$M723),INDEX(LdCDate,$N723))))</f>
        <v/>
      </c>
      <c r="C723" s="14">
        <f>IF($L723&lt;&gt;"","دستمزد (فردی)",IF($M723&lt;&gt;"","سهم از گروه "&amp;IFERROR(VLOOKUP(INDEX(LdBGroup,$M723),WGTbl,2,0),INDEX(LdBGroup,$M723)),IF($N723&lt;&gt;"",IF(N(INDEX(LdCDep,$N723))&gt;0,"بازگشت بانکی","پرداخت بانکی"),"")))</f>
        <v/>
      </c>
      <c r="D723" s="14">
        <f>IF($L723&lt;&gt;"",IF(INDEX(LdAId,$L723)="","—",INDEX(LdAId,$L723)),IF($M723&lt;&gt;"",IF(INDEX(LdBId,$M723)="","—",INDEX(LdBId,$M723)),IF($N723&lt;&gt;"",IF(INDEX(LdCBank,$N723)="","—",INDEX(LdCBank,$N723)),"")))</f>
        <v/>
      </c>
      <c r="E723" s="16">
        <f>IF($L723&lt;&gt;"",IF(INDEX(LdAAmt,$L723)=0,"",INDEX(LdAAmt,$L723)),IF($M723&lt;&gt;"",IF(INDEX(LdBAmt,$M723)=0,"",INDEX(LdBAmt,$M723)),IF($N723&lt;&gt;"",IF(INDEX(LdCDep,$N723)=0,"",INDEX(LdCDep,$N723)),"")))</f>
        <v/>
      </c>
      <c r="F723" s="16">
        <f>IF(AND($L723="",$M723="",$N723=""),"",IF($N723="","",IF(INDEX(LdCWit,$N723)=0,"",INDEX(LdCWit,$N723))))</f>
        <v/>
      </c>
      <c r="G723" s="29">
        <f>IF($B723="","",IF($G722="",0,$G722)+IF($E723="",0,$E723)-IF($F723="",0,$F723))</f>
        <v/>
      </c>
      <c r="H723" s="30">
        <f>IF(AND($L723="",$M723="",$N723=""),"",IF($L723&lt;&gt;"",IF(INDEX(LdANote,$L723)="","—",INDEX(LdANote,$L723)),IF($M723&lt;&gt;"",IF(INDEX(LdBNote,$M723)="","—",INDEX(LdBNote,$M723)),IF($N723&lt;&gt;"",IF(INDEX(LdCNote,$N723)="","—",INDEX(LdCNote,$N723)),""))))</f>
        <v/>
      </c>
      <c r="L723">
        <f>IFERROR(MATCH($C$5&amp;"|"&amp;RIGHT("000000"&amp;707,6),LdAKeyM,0),"")</f>
        <v/>
      </c>
      <c r="M723">
        <f>IFERROR(MATCH($C$5&amp;"|"&amp;RIGHT("000000"&amp;707,6),LdBKeyM,0),"")</f>
        <v/>
      </c>
      <c r="N723">
        <f>IFERROR(MATCH($C$5&amp;"|"&amp;RIGHT("000000"&amp;707,6),LdCKeyM,0),"")</f>
        <v/>
      </c>
    </row>
    <row r="724">
      <c r="A724" s="19" t="n">
        <v>708</v>
      </c>
      <c r="B724" s="20">
        <f>IF(AND($L724="",$M724="",$N724=""),"",IF($L724&lt;&gt;"",INDEX(LdADate,$L724),IF($M724&lt;&gt;"",INDEX(LdBDate,$M724),INDEX(LdCDate,$N724))))</f>
        <v/>
      </c>
      <c r="C724" s="20">
        <f>IF($L724&lt;&gt;"","دستمزد (فردی)",IF($M724&lt;&gt;"","سهم از گروه "&amp;IFERROR(VLOOKUP(INDEX(LdBGroup,$M724),WGTbl,2,0),INDEX(LdBGroup,$M724)),IF($N724&lt;&gt;"",IF(N(INDEX(LdCDep,$N724))&gt;0,"بازگشت بانکی","پرداخت بانکی"),"")))</f>
        <v/>
      </c>
      <c r="D724" s="20">
        <f>IF($L724&lt;&gt;"",IF(INDEX(LdAId,$L724)="","—",INDEX(LdAId,$L724)),IF($M724&lt;&gt;"",IF(INDEX(LdBId,$M724)="","—",INDEX(LdBId,$M724)),IF($N724&lt;&gt;"",IF(INDEX(LdCBank,$N724)="","—",INDEX(LdCBank,$N724)),"")))</f>
        <v/>
      </c>
      <c r="E724" s="21">
        <f>IF($L724&lt;&gt;"",IF(INDEX(LdAAmt,$L724)=0,"",INDEX(LdAAmt,$L724)),IF($M724&lt;&gt;"",IF(INDEX(LdBAmt,$M724)=0,"",INDEX(LdBAmt,$M724)),IF($N724&lt;&gt;"",IF(INDEX(LdCDep,$N724)=0,"",INDEX(LdCDep,$N724)),"")))</f>
        <v/>
      </c>
      <c r="F724" s="21">
        <f>IF(AND($L724="",$M724="",$N724=""),"",IF($N724="","",IF(INDEX(LdCWit,$N724)=0,"",INDEX(LdCWit,$N724))))</f>
        <v/>
      </c>
      <c r="G724" s="31">
        <f>IF($B724="","",IF($G723="",0,$G723)+IF($E724="",0,$E724)-IF($F724="",0,$F724))</f>
        <v/>
      </c>
      <c r="H724" s="32">
        <f>IF(AND($L724="",$M724="",$N724=""),"",IF($L724&lt;&gt;"",IF(INDEX(LdANote,$L724)="","—",INDEX(LdANote,$L724)),IF($M724&lt;&gt;"",IF(INDEX(LdBNote,$M724)="","—",INDEX(LdBNote,$M724)),IF($N724&lt;&gt;"",IF(INDEX(LdCNote,$N724)="","—",INDEX(LdCNote,$N724)),""))))</f>
        <v/>
      </c>
      <c r="L724">
        <f>IFERROR(MATCH($C$5&amp;"|"&amp;RIGHT("000000"&amp;708,6),LdAKeyM,0),"")</f>
        <v/>
      </c>
      <c r="M724">
        <f>IFERROR(MATCH($C$5&amp;"|"&amp;RIGHT("000000"&amp;708,6),LdBKeyM,0),"")</f>
        <v/>
      </c>
      <c r="N724">
        <f>IFERROR(MATCH($C$5&amp;"|"&amp;RIGHT("000000"&amp;708,6),LdCKeyM,0),"")</f>
        <v/>
      </c>
    </row>
    <row r="725">
      <c r="A725" s="10" t="n">
        <v>709</v>
      </c>
      <c r="B725" s="14">
        <f>IF(AND($L725="",$M725="",$N725=""),"",IF($L725&lt;&gt;"",INDEX(LdADate,$L725),IF($M725&lt;&gt;"",INDEX(LdBDate,$M725),INDEX(LdCDate,$N725))))</f>
        <v/>
      </c>
      <c r="C725" s="14">
        <f>IF($L725&lt;&gt;"","دستمزد (فردی)",IF($M725&lt;&gt;"","سهم از گروه "&amp;IFERROR(VLOOKUP(INDEX(LdBGroup,$M725),WGTbl,2,0),INDEX(LdBGroup,$M725)),IF($N725&lt;&gt;"",IF(N(INDEX(LdCDep,$N725))&gt;0,"بازگشت بانکی","پرداخت بانکی"),"")))</f>
        <v/>
      </c>
      <c r="D725" s="14">
        <f>IF($L725&lt;&gt;"",IF(INDEX(LdAId,$L725)="","—",INDEX(LdAId,$L725)),IF($M725&lt;&gt;"",IF(INDEX(LdBId,$M725)="","—",INDEX(LdBId,$M725)),IF($N725&lt;&gt;"",IF(INDEX(LdCBank,$N725)="","—",INDEX(LdCBank,$N725)),"")))</f>
        <v/>
      </c>
      <c r="E725" s="16">
        <f>IF($L725&lt;&gt;"",IF(INDEX(LdAAmt,$L725)=0,"",INDEX(LdAAmt,$L725)),IF($M725&lt;&gt;"",IF(INDEX(LdBAmt,$M725)=0,"",INDEX(LdBAmt,$M725)),IF($N725&lt;&gt;"",IF(INDEX(LdCDep,$N725)=0,"",INDEX(LdCDep,$N725)),"")))</f>
        <v/>
      </c>
      <c r="F725" s="16">
        <f>IF(AND($L725="",$M725="",$N725=""),"",IF($N725="","",IF(INDEX(LdCWit,$N725)=0,"",INDEX(LdCWit,$N725))))</f>
        <v/>
      </c>
      <c r="G725" s="29">
        <f>IF($B725="","",IF($G724="",0,$G724)+IF($E725="",0,$E725)-IF($F725="",0,$F725))</f>
        <v/>
      </c>
      <c r="H725" s="30">
        <f>IF(AND($L725="",$M725="",$N725=""),"",IF($L725&lt;&gt;"",IF(INDEX(LdANote,$L725)="","—",INDEX(LdANote,$L725)),IF($M725&lt;&gt;"",IF(INDEX(LdBNote,$M725)="","—",INDEX(LdBNote,$M725)),IF($N725&lt;&gt;"",IF(INDEX(LdCNote,$N725)="","—",INDEX(LdCNote,$N725)),""))))</f>
        <v/>
      </c>
      <c r="L725">
        <f>IFERROR(MATCH($C$5&amp;"|"&amp;RIGHT("000000"&amp;709,6),LdAKeyM,0),"")</f>
        <v/>
      </c>
      <c r="M725">
        <f>IFERROR(MATCH($C$5&amp;"|"&amp;RIGHT("000000"&amp;709,6),LdBKeyM,0),"")</f>
        <v/>
      </c>
      <c r="N725">
        <f>IFERROR(MATCH($C$5&amp;"|"&amp;RIGHT("000000"&amp;709,6),LdCKeyM,0),"")</f>
        <v/>
      </c>
    </row>
    <row r="726">
      <c r="A726" s="19" t="n">
        <v>710</v>
      </c>
      <c r="B726" s="20">
        <f>IF(AND($L726="",$M726="",$N726=""),"",IF($L726&lt;&gt;"",INDEX(LdADate,$L726),IF($M726&lt;&gt;"",INDEX(LdBDate,$M726),INDEX(LdCDate,$N726))))</f>
        <v/>
      </c>
      <c r="C726" s="20">
        <f>IF($L726&lt;&gt;"","دستمزد (فردی)",IF($M726&lt;&gt;"","سهم از گروه "&amp;IFERROR(VLOOKUP(INDEX(LdBGroup,$M726),WGTbl,2,0),INDEX(LdBGroup,$M726)),IF($N726&lt;&gt;"",IF(N(INDEX(LdCDep,$N726))&gt;0,"بازگشت بانکی","پرداخت بانکی"),"")))</f>
        <v/>
      </c>
      <c r="D726" s="20">
        <f>IF($L726&lt;&gt;"",IF(INDEX(LdAId,$L726)="","—",INDEX(LdAId,$L726)),IF($M726&lt;&gt;"",IF(INDEX(LdBId,$M726)="","—",INDEX(LdBId,$M726)),IF($N726&lt;&gt;"",IF(INDEX(LdCBank,$N726)="","—",INDEX(LdCBank,$N726)),"")))</f>
        <v/>
      </c>
      <c r="E726" s="21">
        <f>IF($L726&lt;&gt;"",IF(INDEX(LdAAmt,$L726)=0,"",INDEX(LdAAmt,$L726)),IF($M726&lt;&gt;"",IF(INDEX(LdBAmt,$M726)=0,"",INDEX(LdBAmt,$M726)),IF($N726&lt;&gt;"",IF(INDEX(LdCDep,$N726)=0,"",INDEX(LdCDep,$N726)),"")))</f>
        <v/>
      </c>
      <c r="F726" s="21">
        <f>IF(AND($L726="",$M726="",$N726=""),"",IF($N726="","",IF(INDEX(LdCWit,$N726)=0,"",INDEX(LdCWit,$N726))))</f>
        <v/>
      </c>
      <c r="G726" s="31">
        <f>IF($B726="","",IF($G725="",0,$G725)+IF($E726="",0,$E726)-IF($F726="",0,$F726))</f>
        <v/>
      </c>
      <c r="H726" s="32">
        <f>IF(AND($L726="",$M726="",$N726=""),"",IF($L726&lt;&gt;"",IF(INDEX(LdANote,$L726)="","—",INDEX(LdANote,$L726)),IF($M726&lt;&gt;"",IF(INDEX(LdBNote,$M726)="","—",INDEX(LdBNote,$M726)),IF($N726&lt;&gt;"",IF(INDEX(LdCNote,$N726)="","—",INDEX(LdCNote,$N726)),""))))</f>
        <v/>
      </c>
      <c r="L726">
        <f>IFERROR(MATCH($C$5&amp;"|"&amp;RIGHT("000000"&amp;710,6),LdAKeyM,0),"")</f>
        <v/>
      </c>
      <c r="M726">
        <f>IFERROR(MATCH($C$5&amp;"|"&amp;RIGHT("000000"&amp;710,6),LdBKeyM,0),"")</f>
        <v/>
      </c>
      <c r="N726">
        <f>IFERROR(MATCH($C$5&amp;"|"&amp;RIGHT("000000"&amp;710,6),LdCKeyM,0),"")</f>
        <v/>
      </c>
    </row>
    <row r="727">
      <c r="A727" s="10" t="n">
        <v>711</v>
      </c>
      <c r="B727" s="14">
        <f>IF(AND($L727="",$M727="",$N727=""),"",IF($L727&lt;&gt;"",INDEX(LdADate,$L727),IF($M727&lt;&gt;"",INDEX(LdBDate,$M727),INDEX(LdCDate,$N727))))</f>
        <v/>
      </c>
      <c r="C727" s="14">
        <f>IF($L727&lt;&gt;"","دستمزد (فردی)",IF($M727&lt;&gt;"","سهم از گروه "&amp;IFERROR(VLOOKUP(INDEX(LdBGroup,$M727),WGTbl,2,0),INDEX(LdBGroup,$M727)),IF($N727&lt;&gt;"",IF(N(INDEX(LdCDep,$N727))&gt;0,"بازگشت بانکی","پرداخت بانکی"),"")))</f>
        <v/>
      </c>
      <c r="D727" s="14">
        <f>IF($L727&lt;&gt;"",IF(INDEX(LdAId,$L727)="","—",INDEX(LdAId,$L727)),IF($M727&lt;&gt;"",IF(INDEX(LdBId,$M727)="","—",INDEX(LdBId,$M727)),IF($N727&lt;&gt;"",IF(INDEX(LdCBank,$N727)="","—",INDEX(LdCBank,$N727)),"")))</f>
        <v/>
      </c>
      <c r="E727" s="16">
        <f>IF($L727&lt;&gt;"",IF(INDEX(LdAAmt,$L727)=0,"",INDEX(LdAAmt,$L727)),IF($M727&lt;&gt;"",IF(INDEX(LdBAmt,$M727)=0,"",INDEX(LdBAmt,$M727)),IF($N727&lt;&gt;"",IF(INDEX(LdCDep,$N727)=0,"",INDEX(LdCDep,$N727)),"")))</f>
        <v/>
      </c>
      <c r="F727" s="16">
        <f>IF(AND($L727="",$M727="",$N727=""),"",IF($N727="","",IF(INDEX(LdCWit,$N727)=0,"",INDEX(LdCWit,$N727))))</f>
        <v/>
      </c>
      <c r="G727" s="29">
        <f>IF($B727="","",IF($G726="",0,$G726)+IF($E727="",0,$E727)-IF($F727="",0,$F727))</f>
        <v/>
      </c>
      <c r="H727" s="30">
        <f>IF(AND($L727="",$M727="",$N727=""),"",IF($L727&lt;&gt;"",IF(INDEX(LdANote,$L727)="","—",INDEX(LdANote,$L727)),IF($M727&lt;&gt;"",IF(INDEX(LdBNote,$M727)="","—",INDEX(LdBNote,$M727)),IF($N727&lt;&gt;"",IF(INDEX(LdCNote,$N727)="","—",INDEX(LdCNote,$N727)),""))))</f>
        <v/>
      </c>
      <c r="L727">
        <f>IFERROR(MATCH($C$5&amp;"|"&amp;RIGHT("000000"&amp;711,6),LdAKeyM,0),"")</f>
        <v/>
      </c>
      <c r="M727">
        <f>IFERROR(MATCH($C$5&amp;"|"&amp;RIGHT("000000"&amp;711,6),LdBKeyM,0),"")</f>
        <v/>
      </c>
      <c r="N727">
        <f>IFERROR(MATCH($C$5&amp;"|"&amp;RIGHT("000000"&amp;711,6),LdCKeyM,0),"")</f>
        <v/>
      </c>
    </row>
    <row r="728">
      <c r="A728" s="19" t="n">
        <v>712</v>
      </c>
      <c r="B728" s="20">
        <f>IF(AND($L728="",$M728="",$N728=""),"",IF($L728&lt;&gt;"",INDEX(LdADate,$L728),IF($M728&lt;&gt;"",INDEX(LdBDate,$M728),INDEX(LdCDate,$N728))))</f>
        <v/>
      </c>
      <c r="C728" s="20">
        <f>IF($L728&lt;&gt;"","دستمزد (فردی)",IF($M728&lt;&gt;"","سهم از گروه "&amp;IFERROR(VLOOKUP(INDEX(LdBGroup,$M728),WGTbl,2,0),INDEX(LdBGroup,$M728)),IF($N728&lt;&gt;"",IF(N(INDEX(LdCDep,$N728))&gt;0,"بازگشت بانکی","پرداخت بانکی"),"")))</f>
        <v/>
      </c>
      <c r="D728" s="20">
        <f>IF($L728&lt;&gt;"",IF(INDEX(LdAId,$L728)="","—",INDEX(LdAId,$L728)),IF($M728&lt;&gt;"",IF(INDEX(LdBId,$M728)="","—",INDEX(LdBId,$M728)),IF($N728&lt;&gt;"",IF(INDEX(LdCBank,$N728)="","—",INDEX(LdCBank,$N728)),"")))</f>
        <v/>
      </c>
      <c r="E728" s="21">
        <f>IF($L728&lt;&gt;"",IF(INDEX(LdAAmt,$L728)=0,"",INDEX(LdAAmt,$L728)),IF($M728&lt;&gt;"",IF(INDEX(LdBAmt,$M728)=0,"",INDEX(LdBAmt,$M728)),IF($N728&lt;&gt;"",IF(INDEX(LdCDep,$N728)=0,"",INDEX(LdCDep,$N728)),"")))</f>
        <v/>
      </c>
      <c r="F728" s="21">
        <f>IF(AND($L728="",$M728="",$N728=""),"",IF($N728="","",IF(INDEX(LdCWit,$N728)=0,"",INDEX(LdCWit,$N728))))</f>
        <v/>
      </c>
      <c r="G728" s="31">
        <f>IF($B728="","",IF($G727="",0,$G727)+IF($E728="",0,$E728)-IF($F728="",0,$F728))</f>
        <v/>
      </c>
      <c r="H728" s="32">
        <f>IF(AND($L728="",$M728="",$N728=""),"",IF($L728&lt;&gt;"",IF(INDEX(LdANote,$L728)="","—",INDEX(LdANote,$L728)),IF($M728&lt;&gt;"",IF(INDEX(LdBNote,$M728)="","—",INDEX(LdBNote,$M728)),IF($N728&lt;&gt;"",IF(INDEX(LdCNote,$N728)="","—",INDEX(LdCNote,$N728)),""))))</f>
        <v/>
      </c>
      <c r="L728">
        <f>IFERROR(MATCH($C$5&amp;"|"&amp;RIGHT("000000"&amp;712,6),LdAKeyM,0),"")</f>
        <v/>
      </c>
      <c r="M728">
        <f>IFERROR(MATCH($C$5&amp;"|"&amp;RIGHT("000000"&amp;712,6),LdBKeyM,0),"")</f>
        <v/>
      </c>
      <c r="N728">
        <f>IFERROR(MATCH($C$5&amp;"|"&amp;RIGHT("000000"&amp;712,6),LdCKeyM,0),"")</f>
        <v/>
      </c>
    </row>
    <row r="729">
      <c r="A729" s="10" t="n">
        <v>713</v>
      </c>
      <c r="B729" s="14">
        <f>IF(AND($L729="",$M729="",$N729=""),"",IF($L729&lt;&gt;"",INDEX(LdADate,$L729),IF($M729&lt;&gt;"",INDEX(LdBDate,$M729),INDEX(LdCDate,$N729))))</f>
        <v/>
      </c>
      <c r="C729" s="14">
        <f>IF($L729&lt;&gt;"","دستمزد (فردی)",IF($M729&lt;&gt;"","سهم از گروه "&amp;IFERROR(VLOOKUP(INDEX(LdBGroup,$M729),WGTbl,2,0),INDEX(LdBGroup,$M729)),IF($N729&lt;&gt;"",IF(N(INDEX(LdCDep,$N729))&gt;0,"بازگشت بانکی","پرداخت بانکی"),"")))</f>
        <v/>
      </c>
      <c r="D729" s="14">
        <f>IF($L729&lt;&gt;"",IF(INDEX(LdAId,$L729)="","—",INDEX(LdAId,$L729)),IF($M729&lt;&gt;"",IF(INDEX(LdBId,$M729)="","—",INDEX(LdBId,$M729)),IF($N729&lt;&gt;"",IF(INDEX(LdCBank,$N729)="","—",INDEX(LdCBank,$N729)),"")))</f>
        <v/>
      </c>
      <c r="E729" s="16">
        <f>IF($L729&lt;&gt;"",IF(INDEX(LdAAmt,$L729)=0,"",INDEX(LdAAmt,$L729)),IF($M729&lt;&gt;"",IF(INDEX(LdBAmt,$M729)=0,"",INDEX(LdBAmt,$M729)),IF($N729&lt;&gt;"",IF(INDEX(LdCDep,$N729)=0,"",INDEX(LdCDep,$N729)),"")))</f>
        <v/>
      </c>
      <c r="F729" s="16">
        <f>IF(AND($L729="",$M729="",$N729=""),"",IF($N729="","",IF(INDEX(LdCWit,$N729)=0,"",INDEX(LdCWit,$N729))))</f>
        <v/>
      </c>
      <c r="G729" s="29">
        <f>IF($B729="","",IF($G728="",0,$G728)+IF($E729="",0,$E729)-IF($F729="",0,$F729))</f>
        <v/>
      </c>
      <c r="H729" s="30">
        <f>IF(AND($L729="",$M729="",$N729=""),"",IF($L729&lt;&gt;"",IF(INDEX(LdANote,$L729)="","—",INDEX(LdANote,$L729)),IF($M729&lt;&gt;"",IF(INDEX(LdBNote,$M729)="","—",INDEX(LdBNote,$M729)),IF($N729&lt;&gt;"",IF(INDEX(LdCNote,$N729)="","—",INDEX(LdCNote,$N729)),""))))</f>
        <v/>
      </c>
      <c r="L729">
        <f>IFERROR(MATCH($C$5&amp;"|"&amp;RIGHT("000000"&amp;713,6),LdAKeyM,0),"")</f>
        <v/>
      </c>
      <c r="M729">
        <f>IFERROR(MATCH($C$5&amp;"|"&amp;RIGHT("000000"&amp;713,6),LdBKeyM,0),"")</f>
        <v/>
      </c>
      <c r="N729">
        <f>IFERROR(MATCH($C$5&amp;"|"&amp;RIGHT("000000"&amp;713,6),LdCKeyM,0),"")</f>
        <v/>
      </c>
    </row>
    <row r="730">
      <c r="A730" s="19" t="n">
        <v>714</v>
      </c>
      <c r="B730" s="20">
        <f>IF(AND($L730="",$M730="",$N730=""),"",IF($L730&lt;&gt;"",INDEX(LdADate,$L730),IF($M730&lt;&gt;"",INDEX(LdBDate,$M730),INDEX(LdCDate,$N730))))</f>
        <v/>
      </c>
      <c r="C730" s="20">
        <f>IF($L730&lt;&gt;"","دستمزد (فردی)",IF($M730&lt;&gt;"","سهم از گروه "&amp;IFERROR(VLOOKUP(INDEX(LdBGroup,$M730),WGTbl,2,0),INDEX(LdBGroup,$M730)),IF($N730&lt;&gt;"",IF(N(INDEX(LdCDep,$N730))&gt;0,"بازگشت بانکی","پرداخت بانکی"),"")))</f>
        <v/>
      </c>
      <c r="D730" s="20">
        <f>IF($L730&lt;&gt;"",IF(INDEX(LdAId,$L730)="","—",INDEX(LdAId,$L730)),IF($M730&lt;&gt;"",IF(INDEX(LdBId,$M730)="","—",INDEX(LdBId,$M730)),IF($N730&lt;&gt;"",IF(INDEX(LdCBank,$N730)="","—",INDEX(LdCBank,$N730)),"")))</f>
        <v/>
      </c>
      <c r="E730" s="21">
        <f>IF($L730&lt;&gt;"",IF(INDEX(LdAAmt,$L730)=0,"",INDEX(LdAAmt,$L730)),IF($M730&lt;&gt;"",IF(INDEX(LdBAmt,$M730)=0,"",INDEX(LdBAmt,$M730)),IF($N730&lt;&gt;"",IF(INDEX(LdCDep,$N730)=0,"",INDEX(LdCDep,$N730)),"")))</f>
        <v/>
      </c>
      <c r="F730" s="21">
        <f>IF(AND($L730="",$M730="",$N730=""),"",IF($N730="","",IF(INDEX(LdCWit,$N730)=0,"",INDEX(LdCWit,$N730))))</f>
        <v/>
      </c>
      <c r="G730" s="31">
        <f>IF($B730="","",IF($G729="",0,$G729)+IF($E730="",0,$E730)-IF($F730="",0,$F730))</f>
        <v/>
      </c>
      <c r="H730" s="32">
        <f>IF(AND($L730="",$M730="",$N730=""),"",IF($L730&lt;&gt;"",IF(INDEX(LdANote,$L730)="","—",INDEX(LdANote,$L730)),IF($M730&lt;&gt;"",IF(INDEX(LdBNote,$M730)="","—",INDEX(LdBNote,$M730)),IF($N730&lt;&gt;"",IF(INDEX(LdCNote,$N730)="","—",INDEX(LdCNote,$N730)),""))))</f>
        <v/>
      </c>
      <c r="L730">
        <f>IFERROR(MATCH($C$5&amp;"|"&amp;RIGHT("000000"&amp;714,6),LdAKeyM,0),"")</f>
        <v/>
      </c>
      <c r="M730">
        <f>IFERROR(MATCH($C$5&amp;"|"&amp;RIGHT("000000"&amp;714,6),LdBKeyM,0),"")</f>
        <v/>
      </c>
      <c r="N730">
        <f>IFERROR(MATCH($C$5&amp;"|"&amp;RIGHT("000000"&amp;714,6),LdCKeyM,0),"")</f>
        <v/>
      </c>
    </row>
    <row r="731">
      <c r="A731" s="10" t="n">
        <v>715</v>
      </c>
      <c r="B731" s="14">
        <f>IF(AND($L731="",$M731="",$N731=""),"",IF($L731&lt;&gt;"",INDEX(LdADate,$L731),IF($M731&lt;&gt;"",INDEX(LdBDate,$M731),INDEX(LdCDate,$N731))))</f>
        <v/>
      </c>
      <c r="C731" s="14">
        <f>IF($L731&lt;&gt;"","دستمزد (فردی)",IF($M731&lt;&gt;"","سهم از گروه "&amp;IFERROR(VLOOKUP(INDEX(LdBGroup,$M731),WGTbl,2,0),INDEX(LdBGroup,$M731)),IF($N731&lt;&gt;"",IF(N(INDEX(LdCDep,$N731))&gt;0,"بازگشت بانکی","پرداخت بانکی"),"")))</f>
        <v/>
      </c>
      <c r="D731" s="14">
        <f>IF($L731&lt;&gt;"",IF(INDEX(LdAId,$L731)="","—",INDEX(LdAId,$L731)),IF($M731&lt;&gt;"",IF(INDEX(LdBId,$M731)="","—",INDEX(LdBId,$M731)),IF($N731&lt;&gt;"",IF(INDEX(LdCBank,$N731)="","—",INDEX(LdCBank,$N731)),"")))</f>
        <v/>
      </c>
      <c r="E731" s="16">
        <f>IF($L731&lt;&gt;"",IF(INDEX(LdAAmt,$L731)=0,"",INDEX(LdAAmt,$L731)),IF($M731&lt;&gt;"",IF(INDEX(LdBAmt,$M731)=0,"",INDEX(LdBAmt,$M731)),IF($N731&lt;&gt;"",IF(INDEX(LdCDep,$N731)=0,"",INDEX(LdCDep,$N731)),"")))</f>
        <v/>
      </c>
      <c r="F731" s="16">
        <f>IF(AND($L731="",$M731="",$N731=""),"",IF($N731="","",IF(INDEX(LdCWit,$N731)=0,"",INDEX(LdCWit,$N731))))</f>
        <v/>
      </c>
      <c r="G731" s="29">
        <f>IF($B731="","",IF($G730="",0,$G730)+IF($E731="",0,$E731)-IF($F731="",0,$F731))</f>
        <v/>
      </c>
      <c r="H731" s="30">
        <f>IF(AND($L731="",$M731="",$N731=""),"",IF($L731&lt;&gt;"",IF(INDEX(LdANote,$L731)="","—",INDEX(LdANote,$L731)),IF($M731&lt;&gt;"",IF(INDEX(LdBNote,$M731)="","—",INDEX(LdBNote,$M731)),IF($N731&lt;&gt;"",IF(INDEX(LdCNote,$N731)="","—",INDEX(LdCNote,$N731)),""))))</f>
        <v/>
      </c>
      <c r="L731">
        <f>IFERROR(MATCH($C$5&amp;"|"&amp;RIGHT("000000"&amp;715,6),LdAKeyM,0),"")</f>
        <v/>
      </c>
      <c r="M731">
        <f>IFERROR(MATCH($C$5&amp;"|"&amp;RIGHT("000000"&amp;715,6),LdBKeyM,0),"")</f>
        <v/>
      </c>
      <c r="N731">
        <f>IFERROR(MATCH($C$5&amp;"|"&amp;RIGHT("000000"&amp;715,6),LdCKeyM,0),"")</f>
        <v/>
      </c>
    </row>
    <row r="732">
      <c r="A732" s="19" t="n">
        <v>716</v>
      </c>
      <c r="B732" s="20">
        <f>IF(AND($L732="",$M732="",$N732=""),"",IF($L732&lt;&gt;"",INDEX(LdADate,$L732),IF($M732&lt;&gt;"",INDEX(LdBDate,$M732),INDEX(LdCDate,$N732))))</f>
        <v/>
      </c>
      <c r="C732" s="20">
        <f>IF($L732&lt;&gt;"","دستمزد (فردی)",IF($M732&lt;&gt;"","سهم از گروه "&amp;IFERROR(VLOOKUP(INDEX(LdBGroup,$M732),WGTbl,2,0),INDEX(LdBGroup,$M732)),IF($N732&lt;&gt;"",IF(N(INDEX(LdCDep,$N732))&gt;0,"بازگشت بانکی","پرداخت بانکی"),"")))</f>
        <v/>
      </c>
      <c r="D732" s="20">
        <f>IF($L732&lt;&gt;"",IF(INDEX(LdAId,$L732)="","—",INDEX(LdAId,$L732)),IF($M732&lt;&gt;"",IF(INDEX(LdBId,$M732)="","—",INDEX(LdBId,$M732)),IF($N732&lt;&gt;"",IF(INDEX(LdCBank,$N732)="","—",INDEX(LdCBank,$N732)),"")))</f>
        <v/>
      </c>
      <c r="E732" s="21">
        <f>IF($L732&lt;&gt;"",IF(INDEX(LdAAmt,$L732)=0,"",INDEX(LdAAmt,$L732)),IF($M732&lt;&gt;"",IF(INDEX(LdBAmt,$M732)=0,"",INDEX(LdBAmt,$M732)),IF($N732&lt;&gt;"",IF(INDEX(LdCDep,$N732)=0,"",INDEX(LdCDep,$N732)),"")))</f>
        <v/>
      </c>
      <c r="F732" s="21">
        <f>IF(AND($L732="",$M732="",$N732=""),"",IF($N732="","",IF(INDEX(LdCWit,$N732)=0,"",INDEX(LdCWit,$N732))))</f>
        <v/>
      </c>
      <c r="G732" s="31">
        <f>IF($B732="","",IF($G731="",0,$G731)+IF($E732="",0,$E732)-IF($F732="",0,$F732))</f>
        <v/>
      </c>
      <c r="H732" s="32">
        <f>IF(AND($L732="",$M732="",$N732=""),"",IF($L732&lt;&gt;"",IF(INDEX(LdANote,$L732)="","—",INDEX(LdANote,$L732)),IF($M732&lt;&gt;"",IF(INDEX(LdBNote,$M732)="","—",INDEX(LdBNote,$M732)),IF($N732&lt;&gt;"",IF(INDEX(LdCNote,$N732)="","—",INDEX(LdCNote,$N732)),""))))</f>
        <v/>
      </c>
      <c r="L732">
        <f>IFERROR(MATCH($C$5&amp;"|"&amp;RIGHT("000000"&amp;716,6),LdAKeyM,0),"")</f>
        <v/>
      </c>
      <c r="M732">
        <f>IFERROR(MATCH($C$5&amp;"|"&amp;RIGHT("000000"&amp;716,6),LdBKeyM,0),"")</f>
        <v/>
      </c>
      <c r="N732">
        <f>IFERROR(MATCH($C$5&amp;"|"&amp;RIGHT("000000"&amp;716,6),LdCKeyM,0),"")</f>
        <v/>
      </c>
    </row>
    <row r="733">
      <c r="A733" s="10" t="n">
        <v>717</v>
      </c>
      <c r="B733" s="14">
        <f>IF(AND($L733="",$M733="",$N733=""),"",IF($L733&lt;&gt;"",INDEX(LdADate,$L733),IF($M733&lt;&gt;"",INDEX(LdBDate,$M733),INDEX(LdCDate,$N733))))</f>
        <v/>
      </c>
      <c r="C733" s="14">
        <f>IF($L733&lt;&gt;"","دستمزد (فردی)",IF($M733&lt;&gt;"","سهم از گروه "&amp;IFERROR(VLOOKUP(INDEX(LdBGroup,$M733),WGTbl,2,0),INDEX(LdBGroup,$M733)),IF($N733&lt;&gt;"",IF(N(INDEX(LdCDep,$N733))&gt;0,"بازگشت بانکی","پرداخت بانکی"),"")))</f>
        <v/>
      </c>
      <c r="D733" s="14">
        <f>IF($L733&lt;&gt;"",IF(INDEX(LdAId,$L733)="","—",INDEX(LdAId,$L733)),IF($M733&lt;&gt;"",IF(INDEX(LdBId,$M733)="","—",INDEX(LdBId,$M733)),IF($N733&lt;&gt;"",IF(INDEX(LdCBank,$N733)="","—",INDEX(LdCBank,$N733)),"")))</f>
        <v/>
      </c>
      <c r="E733" s="16">
        <f>IF($L733&lt;&gt;"",IF(INDEX(LdAAmt,$L733)=0,"",INDEX(LdAAmt,$L733)),IF($M733&lt;&gt;"",IF(INDEX(LdBAmt,$M733)=0,"",INDEX(LdBAmt,$M733)),IF($N733&lt;&gt;"",IF(INDEX(LdCDep,$N733)=0,"",INDEX(LdCDep,$N733)),"")))</f>
        <v/>
      </c>
      <c r="F733" s="16">
        <f>IF(AND($L733="",$M733="",$N733=""),"",IF($N733="","",IF(INDEX(LdCWit,$N733)=0,"",INDEX(LdCWit,$N733))))</f>
        <v/>
      </c>
      <c r="G733" s="29">
        <f>IF($B733="","",IF($G732="",0,$G732)+IF($E733="",0,$E733)-IF($F733="",0,$F733))</f>
        <v/>
      </c>
      <c r="H733" s="30">
        <f>IF(AND($L733="",$M733="",$N733=""),"",IF($L733&lt;&gt;"",IF(INDEX(LdANote,$L733)="","—",INDEX(LdANote,$L733)),IF($M733&lt;&gt;"",IF(INDEX(LdBNote,$M733)="","—",INDEX(LdBNote,$M733)),IF($N733&lt;&gt;"",IF(INDEX(LdCNote,$N733)="","—",INDEX(LdCNote,$N733)),""))))</f>
        <v/>
      </c>
      <c r="L733">
        <f>IFERROR(MATCH($C$5&amp;"|"&amp;RIGHT("000000"&amp;717,6),LdAKeyM,0),"")</f>
        <v/>
      </c>
      <c r="M733">
        <f>IFERROR(MATCH($C$5&amp;"|"&amp;RIGHT("000000"&amp;717,6),LdBKeyM,0),"")</f>
        <v/>
      </c>
      <c r="N733">
        <f>IFERROR(MATCH($C$5&amp;"|"&amp;RIGHT("000000"&amp;717,6),LdCKeyM,0),"")</f>
        <v/>
      </c>
    </row>
    <row r="734">
      <c r="A734" s="19" t="n">
        <v>718</v>
      </c>
      <c r="B734" s="20">
        <f>IF(AND($L734="",$M734="",$N734=""),"",IF($L734&lt;&gt;"",INDEX(LdADate,$L734),IF($M734&lt;&gt;"",INDEX(LdBDate,$M734),INDEX(LdCDate,$N734))))</f>
        <v/>
      </c>
      <c r="C734" s="20">
        <f>IF($L734&lt;&gt;"","دستمزد (فردی)",IF($M734&lt;&gt;"","سهم از گروه "&amp;IFERROR(VLOOKUP(INDEX(LdBGroup,$M734),WGTbl,2,0),INDEX(LdBGroup,$M734)),IF($N734&lt;&gt;"",IF(N(INDEX(LdCDep,$N734))&gt;0,"بازگشت بانکی","پرداخت بانکی"),"")))</f>
        <v/>
      </c>
      <c r="D734" s="20">
        <f>IF($L734&lt;&gt;"",IF(INDEX(LdAId,$L734)="","—",INDEX(LdAId,$L734)),IF($M734&lt;&gt;"",IF(INDEX(LdBId,$M734)="","—",INDEX(LdBId,$M734)),IF($N734&lt;&gt;"",IF(INDEX(LdCBank,$N734)="","—",INDEX(LdCBank,$N734)),"")))</f>
        <v/>
      </c>
      <c r="E734" s="21">
        <f>IF($L734&lt;&gt;"",IF(INDEX(LdAAmt,$L734)=0,"",INDEX(LdAAmt,$L734)),IF($M734&lt;&gt;"",IF(INDEX(LdBAmt,$M734)=0,"",INDEX(LdBAmt,$M734)),IF($N734&lt;&gt;"",IF(INDEX(LdCDep,$N734)=0,"",INDEX(LdCDep,$N734)),"")))</f>
        <v/>
      </c>
      <c r="F734" s="21">
        <f>IF(AND($L734="",$M734="",$N734=""),"",IF($N734="","",IF(INDEX(LdCWit,$N734)=0,"",INDEX(LdCWit,$N734))))</f>
        <v/>
      </c>
      <c r="G734" s="31">
        <f>IF($B734="","",IF($G733="",0,$G733)+IF($E734="",0,$E734)-IF($F734="",0,$F734))</f>
        <v/>
      </c>
      <c r="H734" s="32">
        <f>IF(AND($L734="",$M734="",$N734=""),"",IF($L734&lt;&gt;"",IF(INDEX(LdANote,$L734)="","—",INDEX(LdANote,$L734)),IF($M734&lt;&gt;"",IF(INDEX(LdBNote,$M734)="","—",INDEX(LdBNote,$M734)),IF($N734&lt;&gt;"",IF(INDEX(LdCNote,$N734)="","—",INDEX(LdCNote,$N734)),""))))</f>
        <v/>
      </c>
      <c r="L734">
        <f>IFERROR(MATCH($C$5&amp;"|"&amp;RIGHT("000000"&amp;718,6),LdAKeyM,0),"")</f>
        <v/>
      </c>
      <c r="M734">
        <f>IFERROR(MATCH($C$5&amp;"|"&amp;RIGHT("000000"&amp;718,6),LdBKeyM,0),"")</f>
        <v/>
      </c>
      <c r="N734">
        <f>IFERROR(MATCH($C$5&amp;"|"&amp;RIGHT("000000"&amp;718,6),LdCKeyM,0),"")</f>
        <v/>
      </c>
    </row>
    <row r="735">
      <c r="A735" s="10" t="n">
        <v>719</v>
      </c>
      <c r="B735" s="14">
        <f>IF(AND($L735="",$M735="",$N735=""),"",IF($L735&lt;&gt;"",INDEX(LdADate,$L735),IF($M735&lt;&gt;"",INDEX(LdBDate,$M735),INDEX(LdCDate,$N735))))</f>
        <v/>
      </c>
      <c r="C735" s="14">
        <f>IF($L735&lt;&gt;"","دستمزد (فردی)",IF($M735&lt;&gt;"","سهم از گروه "&amp;IFERROR(VLOOKUP(INDEX(LdBGroup,$M735),WGTbl,2,0),INDEX(LdBGroup,$M735)),IF($N735&lt;&gt;"",IF(N(INDEX(LdCDep,$N735))&gt;0,"بازگشت بانکی","پرداخت بانکی"),"")))</f>
        <v/>
      </c>
      <c r="D735" s="14">
        <f>IF($L735&lt;&gt;"",IF(INDEX(LdAId,$L735)="","—",INDEX(LdAId,$L735)),IF($M735&lt;&gt;"",IF(INDEX(LdBId,$M735)="","—",INDEX(LdBId,$M735)),IF($N735&lt;&gt;"",IF(INDEX(LdCBank,$N735)="","—",INDEX(LdCBank,$N735)),"")))</f>
        <v/>
      </c>
      <c r="E735" s="16">
        <f>IF($L735&lt;&gt;"",IF(INDEX(LdAAmt,$L735)=0,"",INDEX(LdAAmt,$L735)),IF($M735&lt;&gt;"",IF(INDEX(LdBAmt,$M735)=0,"",INDEX(LdBAmt,$M735)),IF($N735&lt;&gt;"",IF(INDEX(LdCDep,$N735)=0,"",INDEX(LdCDep,$N735)),"")))</f>
        <v/>
      </c>
      <c r="F735" s="16">
        <f>IF(AND($L735="",$M735="",$N735=""),"",IF($N735="","",IF(INDEX(LdCWit,$N735)=0,"",INDEX(LdCWit,$N735))))</f>
        <v/>
      </c>
      <c r="G735" s="29">
        <f>IF($B735="","",IF($G734="",0,$G734)+IF($E735="",0,$E735)-IF($F735="",0,$F735))</f>
        <v/>
      </c>
      <c r="H735" s="30">
        <f>IF(AND($L735="",$M735="",$N735=""),"",IF($L735&lt;&gt;"",IF(INDEX(LdANote,$L735)="","—",INDEX(LdANote,$L735)),IF($M735&lt;&gt;"",IF(INDEX(LdBNote,$M735)="","—",INDEX(LdBNote,$M735)),IF($N735&lt;&gt;"",IF(INDEX(LdCNote,$N735)="","—",INDEX(LdCNote,$N735)),""))))</f>
        <v/>
      </c>
      <c r="L735">
        <f>IFERROR(MATCH($C$5&amp;"|"&amp;RIGHT("000000"&amp;719,6),LdAKeyM,0),"")</f>
        <v/>
      </c>
      <c r="M735">
        <f>IFERROR(MATCH($C$5&amp;"|"&amp;RIGHT("000000"&amp;719,6),LdBKeyM,0),"")</f>
        <v/>
      </c>
      <c r="N735">
        <f>IFERROR(MATCH($C$5&amp;"|"&amp;RIGHT("000000"&amp;719,6),LdCKeyM,0),"")</f>
        <v/>
      </c>
    </row>
    <row r="736">
      <c r="A736" s="19" t="n">
        <v>720</v>
      </c>
      <c r="B736" s="20">
        <f>IF(AND($L736="",$M736="",$N736=""),"",IF($L736&lt;&gt;"",INDEX(LdADate,$L736),IF($M736&lt;&gt;"",INDEX(LdBDate,$M736),INDEX(LdCDate,$N736))))</f>
        <v/>
      </c>
      <c r="C736" s="20">
        <f>IF($L736&lt;&gt;"","دستمزد (فردی)",IF($M736&lt;&gt;"","سهم از گروه "&amp;IFERROR(VLOOKUP(INDEX(LdBGroup,$M736),WGTbl,2,0),INDEX(LdBGroup,$M736)),IF($N736&lt;&gt;"",IF(N(INDEX(LdCDep,$N736))&gt;0,"بازگشت بانکی","پرداخت بانکی"),"")))</f>
        <v/>
      </c>
      <c r="D736" s="20">
        <f>IF($L736&lt;&gt;"",IF(INDEX(LdAId,$L736)="","—",INDEX(LdAId,$L736)),IF($M736&lt;&gt;"",IF(INDEX(LdBId,$M736)="","—",INDEX(LdBId,$M736)),IF($N736&lt;&gt;"",IF(INDEX(LdCBank,$N736)="","—",INDEX(LdCBank,$N736)),"")))</f>
        <v/>
      </c>
      <c r="E736" s="21">
        <f>IF($L736&lt;&gt;"",IF(INDEX(LdAAmt,$L736)=0,"",INDEX(LdAAmt,$L736)),IF($M736&lt;&gt;"",IF(INDEX(LdBAmt,$M736)=0,"",INDEX(LdBAmt,$M736)),IF($N736&lt;&gt;"",IF(INDEX(LdCDep,$N736)=0,"",INDEX(LdCDep,$N736)),"")))</f>
        <v/>
      </c>
      <c r="F736" s="21">
        <f>IF(AND($L736="",$M736="",$N736=""),"",IF($N736="","",IF(INDEX(LdCWit,$N736)=0,"",INDEX(LdCWit,$N736))))</f>
        <v/>
      </c>
      <c r="G736" s="31">
        <f>IF($B736="","",IF($G735="",0,$G735)+IF($E736="",0,$E736)-IF($F736="",0,$F736))</f>
        <v/>
      </c>
      <c r="H736" s="32">
        <f>IF(AND($L736="",$M736="",$N736=""),"",IF($L736&lt;&gt;"",IF(INDEX(LdANote,$L736)="","—",INDEX(LdANote,$L736)),IF($M736&lt;&gt;"",IF(INDEX(LdBNote,$M736)="","—",INDEX(LdBNote,$M736)),IF($N736&lt;&gt;"",IF(INDEX(LdCNote,$N736)="","—",INDEX(LdCNote,$N736)),""))))</f>
        <v/>
      </c>
      <c r="L736">
        <f>IFERROR(MATCH($C$5&amp;"|"&amp;RIGHT("000000"&amp;720,6),LdAKeyM,0),"")</f>
        <v/>
      </c>
      <c r="M736">
        <f>IFERROR(MATCH($C$5&amp;"|"&amp;RIGHT("000000"&amp;720,6),LdBKeyM,0),"")</f>
        <v/>
      </c>
      <c r="N736">
        <f>IFERROR(MATCH($C$5&amp;"|"&amp;RIGHT("000000"&amp;720,6),LdCKeyM,0),"")</f>
        <v/>
      </c>
    </row>
    <row r="737">
      <c r="A737" s="10" t="n">
        <v>721</v>
      </c>
      <c r="B737" s="14">
        <f>IF(AND($L737="",$M737="",$N737=""),"",IF($L737&lt;&gt;"",INDEX(LdADate,$L737),IF($M737&lt;&gt;"",INDEX(LdBDate,$M737),INDEX(LdCDate,$N737))))</f>
        <v/>
      </c>
      <c r="C737" s="14">
        <f>IF($L737&lt;&gt;"","دستمزد (فردی)",IF($M737&lt;&gt;"","سهم از گروه "&amp;IFERROR(VLOOKUP(INDEX(LdBGroup,$M737),WGTbl,2,0),INDEX(LdBGroup,$M737)),IF($N737&lt;&gt;"",IF(N(INDEX(LdCDep,$N737))&gt;0,"بازگشت بانکی","پرداخت بانکی"),"")))</f>
        <v/>
      </c>
      <c r="D737" s="14">
        <f>IF($L737&lt;&gt;"",IF(INDEX(LdAId,$L737)="","—",INDEX(LdAId,$L737)),IF($M737&lt;&gt;"",IF(INDEX(LdBId,$M737)="","—",INDEX(LdBId,$M737)),IF($N737&lt;&gt;"",IF(INDEX(LdCBank,$N737)="","—",INDEX(LdCBank,$N737)),"")))</f>
        <v/>
      </c>
      <c r="E737" s="16">
        <f>IF($L737&lt;&gt;"",IF(INDEX(LdAAmt,$L737)=0,"",INDEX(LdAAmt,$L737)),IF($M737&lt;&gt;"",IF(INDEX(LdBAmt,$M737)=0,"",INDEX(LdBAmt,$M737)),IF($N737&lt;&gt;"",IF(INDEX(LdCDep,$N737)=0,"",INDEX(LdCDep,$N737)),"")))</f>
        <v/>
      </c>
      <c r="F737" s="16">
        <f>IF(AND($L737="",$M737="",$N737=""),"",IF($N737="","",IF(INDEX(LdCWit,$N737)=0,"",INDEX(LdCWit,$N737))))</f>
        <v/>
      </c>
      <c r="G737" s="29">
        <f>IF($B737="","",IF($G736="",0,$G736)+IF($E737="",0,$E737)-IF($F737="",0,$F737))</f>
        <v/>
      </c>
      <c r="H737" s="30">
        <f>IF(AND($L737="",$M737="",$N737=""),"",IF($L737&lt;&gt;"",IF(INDEX(LdANote,$L737)="","—",INDEX(LdANote,$L737)),IF($M737&lt;&gt;"",IF(INDEX(LdBNote,$M737)="","—",INDEX(LdBNote,$M737)),IF($N737&lt;&gt;"",IF(INDEX(LdCNote,$N737)="","—",INDEX(LdCNote,$N737)),""))))</f>
        <v/>
      </c>
      <c r="L737">
        <f>IFERROR(MATCH($C$5&amp;"|"&amp;RIGHT("000000"&amp;721,6),LdAKeyM,0),"")</f>
        <v/>
      </c>
      <c r="M737">
        <f>IFERROR(MATCH($C$5&amp;"|"&amp;RIGHT("000000"&amp;721,6),LdBKeyM,0),"")</f>
        <v/>
      </c>
      <c r="N737">
        <f>IFERROR(MATCH($C$5&amp;"|"&amp;RIGHT("000000"&amp;721,6),LdCKeyM,0),"")</f>
        <v/>
      </c>
    </row>
    <row r="738">
      <c r="A738" s="19" t="n">
        <v>722</v>
      </c>
      <c r="B738" s="20">
        <f>IF(AND($L738="",$M738="",$N738=""),"",IF($L738&lt;&gt;"",INDEX(LdADate,$L738),IF($M738&lt;&gt;"",INDEX(LdBDate,$M738),INDEX(LdCDate,$N738))))</f>
        <v/>
      </c>
      <c r="C738" s="20">
        <f>IF($L738&lt;&gt;"","دستمزد (فردی)",IF($M738&lt;&gt;"","سهم از گروه "&amp;IFERROR(VLOOKUP(INDEX(LdBGroup,$M738),WGTbl,2,0),INDEX(LdBGroup,$M738)),IF($N738&lt;&gt;"",IF(N(INDEX(LdCDep,$N738))&gt;0,"بازگشت بانکی","پرداخت بانکی"),"")))</f>
        <v/>
      </c>
      <c r="D738" s="20">
        <f>IF($L738&lt;&gt;"",IF(INDEX(LdAId,$L738)="","—",INDEX(LdAId,$L738)),IF($M738&lt;&gt;"",IF(INDEX(LdBId,$M738)="","—",INDEX(LdBId,$M738)),IF($N738&lt;&gt;"",IF(INDEX(LdCBank,$N738)="","—",INDEX(LdCBank,$N738)),"")))</f>
        <v/>
      </c>
      <c r="E738" s="21">
        <f>IF($L738&lt;&gt;"",IF(INDEX(LdAAmt,$L738)=0,"",INDEX(LdAAmt,$L738)),IF($M738&lt;&gt;"",IF(INDEX(LdBAmt,$M738)=0,"",INDEX(LdBAmt,$M738)),IF($N738&lt;&gt;"",IF(INDEX(LdCDep,$N738)=0,"",INDEX(LdCDep,$N738)),"")))</f>
        <v/>
      </c>
      <c r="F738" s="21">
        <f>IF(AND($L738="",$M738="",$N738=""),"",IF($N738="","",IF(INDEX(LdCWit,$N738)=0,"",INDEX(LdCWit,$N738))))</f>
        <v/>
      </c>
      <c r="G738" s="31">
        <f>IF($B738="","",IF($G737="",0,$G737)+IF($E738="",0,$E738)-IF($F738="",0,$F738))</f>
        <v/>
      </c>
      <c r="H738" s="32">
        <f>IF(AND($L738="",$M738="",$N738=""),"",IF($L738&lt;&gt;"",IF(INDEX(LdANote,$L738)="","—",INDEX(LdANote,$L738)),IF($M738&lt;&gt;"",IF(INDEX(LdBNote,$M738)="","—",INDEX(LdBNote,$M738)),IF($N738&lt;&gt;"",IF(INDEX(LdCNote,$N738)="","—",INDEX(LdCNote,$N738)),""))))</f>
        <v/>
      </c>
      <c r="L738">
        <f>IFERROR(MATCH($C$5&amp;"|"&amp;RIGHT("000000"&amp;722,6),LdAKeyM,0),"")</f>
        <v/>
      </c>
      <c r="M738">
        <f>IFERROR(MATCH($C$5&amp;"|"&amp;RIGHT("000000"&amp;722,6),LdBKeyM,0),"")</f>
        <v/>
      </c>
      <c r="N738">
        <f>IFERROR(MATCH($C$5&amp;"|"&amp;RIGHT("000000"&amp;722,6),LdCKeyM,0),"")</f>
        <v/>
      </c>
    </row>
    <row r="739">
      <c r="A739" s="10" t="n">
        <v>723</v>
      </c>
      <c r="B739" s="14">
        <f>IF(AND($L739="",$M739="",$N739=""),"",IF($L739&lt;&gt;"",INDEX(LdADate,$L739),IF($M739&lt;&gt;"",INDEX(LdBDate,$M739),INDEX(LdCDate,$N739))))</f>
        <v/>
      </c>
      <c r="C739" s="14">
        <f>IF($L739&lt;&gt;"","دستمزد (فردی)",IF($M739&lt;&gt;"","سهم از گروه "&amp;IFERROR(VLOOKUP(INDEX(LdBGroup,$M739),WGTbl,2,0),INDEX(LdBGroup,$M739)),IF($N739&lt;&gt;"",IF(N(INDEX(LdCDep,$N739))&gt;0,"بازگشت بانکی","پرداخت بانکی"),"")))</f>
        <v/>
      </c>
      <c r="D739" s="14">
        <f>IF($L739&lt;&gt;"",IF(INDEX(LdAId,$L739)="","—",INDEX(LdAId,$L739)),IF($M739&lt;&gt;"",IF(INDEX(LdBId,$M739)="","—",INDEX(LdBId,$M739)),IF($N739&lt;&gt;"",IF(INDEX(LdCBank,$N739)="","—",INDEX(LdCBank,$N739)),"")))</f>
        <v/>
      </c>
      <c r="E739" s="16">
        <f>IF($L739&lt;&gt;"",IF(INDEX(LdAAmt,$L739)=0,"",INDEX(LdAAmt,$L739)),IF($M739&lt;&gt;"",IF(INDEX(LdBAmt,$M739)=0,"",INDEX(LdBAmt,$M739)),IF($N739&lt;&gt;"",IF(INDEX(LdCDep,$N739)=0,"",INDEX(LdCDep,$N739)),"")))</f>
        <v/>
      </c>
      <c r="F739" s="16">
        <f>IF(AND($L739="",$M739="",$N739=""),"",IF($N739="","",IF(INDEX(LdCWit,$N739)=0,"",INDEX(LdCWit,$N739))))</f>
        <v/>
      </c>
      <c r="G739" s="29">
        <f>IF($B739="","",IF($G738="",0,$G738)+IF($E739="",0,$E739)-IF($F739="",0,$F739))</f>
        <v/>
      </c>
      <c r="H739" s="30">
        <f>IF(AND($L739="",$M739="",$N739=""),"",IF($L739&lt;&gt;"",IF(INDEX(LdANote,$L739)="","—",INDEX(LdANote,$L739)),IF($M739&lt;&gt;"",IF(INDEX(LdBNote,$M739)="","—",INDEX(LdBNote,$M739)),IF($N739&lt;&gt;"",IF(INDEX(LdCNote,$N739)="","—",INDEX(LdCNote,$N739)),""))))</f>
        <v/>
      </c>
      <c r="L739">
        <f>IFERROR(MATCH($C$5&amp;"|"&amp;RIGHT("000000"&amp;723,6),LdAKeyM,0),"")</f>
        <v/>
      </c>
      <c r="M739">
        <f>IFERROR(MATCH($C$5&amp;"|"&amp;RIGHT("000000"&amp;723,6),LdBKeyM,0),"")</f>
        <v/>
      </c>
      <c r="N739">
        <f>IFERROR(MATCH($C$5&amp;"|"&amp;RIGHT("000000"&amp;723,6),LdCKeyM,0),"")</f>
        <v/>
      </c>
    </row>
    <row r="740">
      <c r="A740" s="19" t="n">
        <v>724</v>
      </c>
      <c r="B740" s="20">
        <f>IF(AND($L740="",$M740="",$N740=""),"",IF($L740&lt;&gt;"",INDEX(LdADate,$L740),IF($M740&lt;&gt;"",INDEX(LdBDate,$M740),INDEX(LdCDate,$N740))))</f>
        <v/>
      </c>
      <c r="C740" s="20">
        <f>IF($L740&lt;&gt;"","دستمزد (فردی)",IF($M740&lt;&gt;"","سهم از گروه "&amp;IFERROR(VLOOKUP(INDEX(LdBGroup,$M740),WGTbl,2,0),INDEX(LdBGroup,$M740)),IF($N740&lt;&gt;"",IF(N(INDEX(LdCDep,$N740))&gt;0,"بازگشت بانکی","پرداخت بانکی"),"")))</f>
        <v/>
      </c>
      <c r="D740" s="20">
        <f>IF($L740&lt;&gt;"",IF(INDEX(LdAId,$L740)="","—",INDEX(LdAId,$L740)),IF($M740&lt;&gt;"",IF(INDEX(LdBId,$M740)="","—",INDEX(LdBId,$M740)),IF($N740&lt;&gt;"",IF(INDEX(LdCBank,$N740)="","—",INDEX(LdCBank,$N740)),"")))</f>
        <v/>
      </c>
      <c r="E740" s="21">
        <f>IF($L740&lt;&gt;"",IF(INDEX(LdAAmt,$L740)=0,"",INDEX(LdAAmt,$L740)),IF($M740&lt;&gt;"",IF(INDEX(LdBAmt,$M740)=0,"",INDEX(LdBAmt,$M740)),IF($N740&lt;&gt;"",IF(INDEX(LdCDep,$N740)=0,"",INDEX(LdCDep,$N740)),"")))</f>
        <v/>
      </c>
      <c r="F740" s="21">
        <f>IF(AND($L740="",$M740="",$N740=""),"",IF($N740="","",IF(INDEX(LdCWit,$N740)=0,"",INDEX(LdCWit,$N740))))</f>
        <v/>
      </c>
      <c r="G740" s="31">
        <f>IF($B740="","",IF($G739="",0,$G739)+IF($E740="",0,$E740)-IF($F740="",0,$F740))</f>
        <v/>
      </c>
      <c r="H740" s="32">
        <f>IF(AND($L740="",$M740="",$N740=""),"",IF($L740&lt;&gt;"",IF(INDEX(LdANote,$L740)="","—",INDEX(LdANote,$L740)),IF($M740&lt;&gt;"",IF(INDEX(LdBNote,$M740)="","—",INDEX(LdBNote,$M740)),IF($N740&lt;&gt;"",IF(INDEX(LdCNote,$N740)="","—",INDEX(LdCNote,$N740)),""))))</f>
        <v/>
      </c>
      <c r="L740">
        <f>IFERROR(MATCH($C$5&amp;"|"&amp;RIGHT("000000"&amp;724,6),LdAKeyM,0),"")</f>
        <v/>
      </c>
      <c r="M740">
        <f>IFERROR(MATCH($C$5&amp;"|"&amp;RIGHT("000000"&amp;724,6),LdBKeyM,0),"")</f>
        <v/>
      </c>
      <c r="N740">
        <f>IFERROR(MATCH($C$5&amp;"|"&amp;RIGHT("000000"&amp;724,6),LdCKeyM,0),"")</f>
        <v/>
      </c>
    </row>
    <row r="741">
      <c r="A741" s="10" t="n">
        <v>725</v>
      </c>
      <c r="B741" s="14">
        <f>IF(AND($L741="",$M741="",$N741=""),"",IF($L741&lt;&gt;"",INDEX(LdADate,$L741),IF($M741&lt;&gt;"",INDEX(LdBDate,$M741),INDEX(LdCDate,$N741))))</f>
        <v/>
      </c>
      <c r="C741" s="14">
        <f>IF($L741&lt;&gt;"","دستمزد (فردی)",IF($M741&lt;&gt;"","سهم از گروه "&amp;IFERROR(VLOOKUP(INDEX(LdBGroup,$M741),WGTbl,2,0),INDEX(LdBGroup,$M741)),IF($N741&lt;&gt;"",IF(N(INDEX(LdCDep,$N741))&gt;0,"بازگشت بانکی","پرداخت بانکی"),"")))</f>
        <v/>
      </c>
      <c r="D741" s="14">
        <f>IF($L741&lt;&gt;"",IF(INDEX(LdAId,$L741)="","—",INDEX(LdAId,$L741)),IF($M741&lt;&gt;"",IF(INDEX(LdBId,$M741)="","—",INDEX(LdBId,$M741)),IF($N741&lt;&gt;"",IF(INDEX(LdCBank,$N741)="","—",INDEX(LdCBank,$N741)),"")))</f>
        <v/>
      </c>
      <c r="E741" s="16">
        <f>IF($L741&lt;&gt;"",IF(INDEX(LdAAmt,$L741)=0,"",INDEX(LdAAmt,$L741)),IF($M741&lt;&gt;"",IF(INDEX(LdBAmt,$M741)=0,"",INDEX(LdBAmt,$M741)),IF($N741&lt;&gt;"",IF(INDEX(LdCDep,$N741)=0,"",INDEX(LdCDep,$N741)),"")))</f>
        <v/>
      </c>
      <c r="F741" s="16">
        <f>IF(AND($L741="",$M741="",$N741=""),"",IF($N741="","",IF(INDEX(LdCWit,$N741)=0,"",INDEX(LdCWit,$N741))))</f>
        <v/>
      </c>
      <c r="G741" s="29">
        <f>IF($B741="","",IF($G740="",0,$G740)+IF($E741="",0,$E741)-IF($F741="",0,$F741))</f>
        <v/>
      </c>
      <c r="H741" s="30">
        <f>IF(AND($L741="",$M741="",$N741=""),"",IF($L741&lt;&gt;"",IF(INDEX(LdANote,$L741)="","—",INDEX(LdANote,$L741)),IF($M741&lt;&gt;"",IF(INDEX(LdBNote,$M741)="","—",INDEX(LdBNote,$M741)),IF($N741&lt;&gt;"",IF(INDEX(LdCNote,$N741)="","—",INDEX(LdCNote,$N741)),""))))</f>
        <v/>
      </c>
      <c r="L741">
        <f>IFERROR(MATCH($C$5&amp;"|"&amp;RIGHT("000000"&amp;725,6),LdAKeyM,0),"")</f>
        <v/>
      </c>
      <c r="M741">
        <f>IFERROR(MATCH($C$5&amp;"|"&amp;RIGHT("000000"&amp;725,6),LdBKeyM,0),"")</f>
        <v/>
      </c>
      <c r="N741">
        <f>IFERROR(MATCH($C$5&amp;"|"&amp;RIGHT("000000"&amp;725,6),LdCKeyM,0),"")</f>
        <v/>
      </c>
    </row>
    <row r="742">
      <c r="A742" s="19" t="n">
        <v>726</v>
      </c>
      <c r="B742" s="20">
        <f>IF(AND($L742="",$M742="",$N742=""),"",IF($L742&lt;&gt;"",INDEX(LdADate,$L742),IF($M742&lt;&gt;"",INDEX(LdBDate,$M742),INDEX(LdCDate,$N742))))</f>
        <v/>
      </c>
      <c r="C742" s="20">
        <f>IF($L742&lt;&gt;"","دستمزد (فردی)",IF($M742&lt;&gt;"","سهم از گروه "&amp;IFERROR(VLOOKUP(INDEX(LdBGroup,$M742),WGTbl,2,0),INDEX(LdBGroup,$M742)),IF($N742&lt;&gt;"",IF(N(INDEX(LdCDep,$N742))&gt;0,"بازگشت بانکی","پرداخت بانکی"),"")))</f>
        <v/>
      </c>
      <c r="D742" s="20">
        <f>IF($L742&lt;&gt;"",IF(INDEX(LdAId,$L742)="","—",INDEX(LdAId,$L742)),IF($M742&lt;&gt;"",IF(INDEX(LdBId,$M742)="","—",INDEX(LdBId,$M742)),IF($N742&lt;&gt;"",IF(INDEX(LdCBank,$N742)="","—",INDEX(LdCBank,$N742)),"")))</f>
        <v/>
      </c>
      <c r="E742" s="21">
        <f>IF($L742&lt;&gt;"",IF(INDEX(LdAAmt,$L742)=0,"",INDEX(LdAAmt,$L742)),IF($M742&lt;&gt;"",IF(INDEX(LdBAmt,$M742)=0,"",INDEX(LdBAmt,$M742)),IF($N742&lt;&gt;"",IF(INDEX(LdCDep,$N742)=0,"",INDEX(LdCDep,$N742)),"")))</f>
        <v/>
      </c>
      <c r="F742" s="21">
        <f>IF(AND($L742="",$M742="",$N742=""),"",IF($N742="","",IF(INDEX(LdCWit,$N742)=0,"",INDEX(LdCWit,$N742))))</f>
        <v/>
      </c>
      <c r="G742" s="31">
        <f>IF($B742="","",IF($G741="",0,$G741)+IF($E742="",0,$E742)-IF($F742="",0,$F742))</f>
        <v/>
      </c>
      <c r="H742" s="32">
        <f>IF(AND($L742="",$M742="",$N742=""),"",IF($L742&lt;&gt;"",IF(INDEX(LdANote,$L742)="","—",INDEX(LdANote,$L742)),IF($M742&lt;&gt;"",IF(INDEX(LdBNote,$M742)="","—",INDEX(LdBNote,$M742)),IF($N742&lt;&gt;"",IF(INDEX(LdCNote,$N742)="","—",INDEX(LdCNote,$N742)),""))))</f>
        <v/>
      </c>
      <c r="L742">
        <f>IFERROR(MATCH($C$5&amp;"|"&amp;RIGHT("000000"&amp;726,6),LdAKeyM,0),"")</f>
        <v/>
      </c>
      <c r="M742">
        <f>IFERROR(MATCH($C$5&amp;"|"&amp;RIGHT("000000"&amp;726,6),LdBKeyM,0),"")</f>
        <v/>
      </c>
      <c r="N742">
        <f>IFERROR(MATCH($C$5&amp;"|"&amp;RIGHT("000000"&amp;726,6),LdCKeyM,0),"")</f>
        <v/>
      </c>
    </row>
    <row r="743">
      <c r="A743" s="10" t="n">
        <v>727</v>
      </c>
      <c r="B743" s="14">
        <f>IF(AND($L743="",$M743="",$N743=""),"",IF($L743&lt;&gt;"",INDEX(LdADate,$L743),IF($M743&lt;&gt;"",INDEX(LdBDate,$M743),INDEX(LdCDate,$N743))))</f>
        <v/>
      </c>
      <c r="C743" s="14">
        <f>IF($L743&lt;&gt;"","دستمزد (فردی)",IF($M743&lt;&gt;"","سهم از گروه "&amp;IFERROR(VLOOKUP(INDEX(LdBGroup,$M743),WGTbl,2,0),INDEX(LdBGroup,$M743)),IF($N743&lt;&gt;"",IF(N(INDEX(LdCDep,$N743))&gt;0,"بازگشت بانکی","پرداخت بانکی"),"")))</f>
        <v/>
      </c>
      <c r="D743" s="14">
        <f>IF($L743&lt;&gt;"",IF(INDEX(LdAId,$L743)="","—",INDEX(LdAId,$L743)),IF($M743&lt;&gt;"",IF(INDEX(LdBId,$M743)="","—",INDEX(LdBId,$M743)),IF($N743&lt;&gt;"",IF(INDEX(LdCBank,$N743)="","—",INDEX(LdCBank,$N743)),"")))</f>
        <v/>
      </c>
      <c r="E743" s="16">
        <f>IF($L743&lt;&gt;"",IF(INDEX(LdAAmt,$L743)=0,"",INDEX(LdAAmt,$L743)),IF($M743&lt;&gt;"",IF(INDEX(LdBAmt,$M743)=0,"",INDEX(LdBAmt,$M743)),IF($N743&lt;&gt;"",IF(INDEX(LdCDep,$N743)=0,"",INDEX(LdCDep,$N743)),"")))</f>
        <v/>
      </c>
      <c r="F743" s="16">
        <f>IF(AND($L743="",$M743="",$N743=""),"",IF($N743="","",IF(INDEX(LdCWit,$N743)=0,"",INDEX(LdCWit,$N743))))</f>
        <v/>
      </c>
      <c r="G743" s="29">
        <f>IF($B743="","",IF($G742="",0,$G742)+IF($E743="",0,$E743)-IF($F743="",0,$F743))</f>
        <v/>
      </c>
      <c r="H743" s="30">
        <f>IF(AND($L743="",$M743="",$N743=""),"",IF($L743&lt;&gt;"",IF(INDEX(LdANote,$L743)="","—",INDEX(LdANote,$L743)),IF($M743&lt;&gt;"",IF(INDEX(LdBNote,$M743)="","—",INDEX(LdBNote,$M743)),IF($N743&lt;&gt;"",IF(INDEX(LdCNote,$N743)="","—",INDEX(LdCNote,$N743)),""))))</f>
        <v/>
      </c>
      <c r="L743">
        <f>IFERROR(MATCH($C$5&amp;"|"&amp;RIGHT("000000"&amp;727,6),LdAKeyM,0),"")</f>
        <v/>
      </c>
      <c r="M743">
        <f>IFERROR(MATCH($C$5&amp;"|"&amp;RIGHT("000000"&amp;727,6),LdBKeyM,0),"")</f>
        <v/>
      </c>
      <c r="N743">
        <f>IFERROR(MATCH($C$5&amp;"|"&amp;RIGHT("000000"&amp;727,6),LdCKeyM,0),"")</f>
        <v/>
      </c>
    </row>
    <row r="744">
      <c r="A744" s="19" t="n">
        <v>728</v>
      </c>
      <c r="B744" s="20">
        <f>IF(AND($L744="",$M744="",$N744=""),"",IF($L744&lt;&gt;"",INDEX(LdADate,$L744),IF($M744&lt;&gt;"",INDEX(LdBDate,$M744),INDEX(LdCDate,$N744))))</f>
        <v/>
      </c>
      <c r="C744" s="20">
        <f>IF($L744&lt;&gt;"","دستمزد (فردی)",IF($M744&lt;&gt;"","سهم از گروه "&amp;IFERROR(VLOOKUP(INDEX(LdBGroup,$M744),WGTbl,2,0),INDEX(LdBGroup,$M744)),IF($N744&lt;&gt;"",IF(N(INDEX(LdCDep,$N744))&gt;0,"بازگشت بانکی","پرداخت بانکی"),"")))</f>
        <v/>
      </c>
      <c r="D744" s="20">
        <f>IF($L744&lt;&gt;"",IF(INDEX(LdAId,$L744)="","—",INDEX(LdAId,$L744)),IF($M744&lt;&gt;"",IF(INDEX(LdBId,$M744)="","—",INDEX(LdBId,$M744)),IF($N744&lt;&gt;"",IF(INDEX(LdCBank,$N744)="","—",INDEX(LdCBank,$N744)),"")))</f>
        <v/>
      </c>
      <c r="E744" s="21">
        <f>IF($L744&lt;&gt;"",IF(INDEX(LdAAmt,$L744)=0,"",INDEX(LdAAmt,$L744)),IF($M744&lt;&gt;"",IF(INDEX(LdBAmt,$M744)=0,"",INDEX(LdBAmt,$M744)),IF($N744&lt;&gt;"",IF(INDEX(LdCDep,$N744)=0,"",INDEX(LdCDep,$N744)),"")))</f>
        <v/>
      </c>
      <c r="F744" s="21">
        <f>IF(AND($L744="",$M744="",$N744=""),"",IF($N744="","",IF(INDEX(LdCWit,$N744)=0,"",INDEX(LdCWit,$N744))))</f>
        <v/>
      </c>
      <c r="G744" s="31">
        <f>IF($B744="","",IF($G743="",0,$G743)+IF($E744="",0,$E744)-IF($F744="",0,$F744))</f>
        <v/>
      </c>
      <c r="H744" s="32">
        <f>IF(AND($L744="",$M744="",$N744=""),"",IF($L744&lt;&gt;"",IF(INDEX(LdANote,$L744)="","—",INDEX(LdANote,$L744)),IF($M744&lt;&gt;"",IF(INDEX(LdBNote,$M744)="","—",INDEX(LdBNote,$M744)),IF($N744&lt;&gt;"",IF(INDEX(LdCNote,$N744)="","—",INDEX(LdCNote,$N744)),""))))</f>
        <v/>
      </c>
      <c r="L744">
        <f>IFERROR(MATCH($C$5&amp;"|"&amp;RIGHT("000000"&amp;728,6),LdAKeyM,0),"")</f>
        <v/>
      </c>
      <c r="M744">
        <f>IFERROR(MATCH($C$5&amp;"|"&amp;RIGHT("000000"&amp;728,6),LdBKeyM,0),"")</f>
        <v/>
      </c>
      <c r="N744">
        <f>IFERROR(MATCH($C$5&amp;"|"&amp;RIGHT("000000"&amp;728,6),LdCKeyM,0),"")</f>
        <v/>
      </c>
    </row>
    <row r="745">
      <c r="A745" s="10" t="n">
        <v>729</v>
      </c>
      <c r="B745" s="14">
        <f>IF(AND($L745="",$M745="",$N745=""),"",IF($L745&lt;&gt;"",INDEX(LdADate,$L745),IF($M745&lt;&gt;"",INDEX(LdBDate,$M745),INDEX(LdCDate,$N745))))</f>
        <v/>
      </c>
      <c r="C745" s="14">
        <f>IF($L745&lt;&gt;"","دستمزد (فردی)",IF($M745&lt;&gt;"","سهم از گروه "&amp;IFERROR(VLOOKUP(INDEX(LdBGroup,$M745),WGTbl,2,0),INDEX(LdBGroup,$M745)),IF($N745&lt;&gt;"",IF(N(INDEX(LdCDep,$N745))&gt;0,"بازگشت بانکی","پرداخت بانکی"),"")))</f>
        <v/>
      </c>
      <c r="D745" s="14">
        <f>IF($L745&lt;&gt;"",IF(INDEX(LdAId,$L745)="","—",INDEX(LdAId,$L745)),IF($M745&lt;&gt;"",IF(INDEX(LdBId,$M745)="","—",INDEX(LdBId,$M745)),IF($N745&lt;&gt;"",IF(INDEX(LdCBank,$N745)="","—",INDEX(LdCBank,$N745)),"")))</f>
        <v/>
      </c>
      <c r="E745" s="16">
        <f>IF($L745&lt;&gt;"",IF(INDEX(LdAAmt,$L745)=0,"",INDEX(LdAAmt,$L745)),IF($M745&lt;&gt;"",IF(INDEX(LdBAmt,$M745)=0,"",INDEX(LdBAmt,$M745)),IF($N745&lt;&gt;"",IF(INDEX(LdCDep,$N745)=0,"",INDEX(LdCDep,$N745)),"")))</f>
        <v/>
      </c>
      <c r="F745" s="16">
        <f>IF(AND($L745="",$M745="",$N745=""),"",IF($N745="","",IF(INDEX(LdCWit,$N745)=0,"",INDEX(LdCWit,$N745))))</f>
        <v/>
      </c>
      <c r="G745" s="29">
        <f>IF($B745="","",IF($G744="",0,$G744)+IF($E745="",0,$E745)-IF($F745="",0,$F745))</f>
        <v/>
      </c>
      <c r="H745" s="30">
        <f>IF(AND($L745="",$M745="",$N745=""),"",IF($L745&lt;&gt;"",IF(INDEX(LdANote,$L745)="","—",INDEX(LdANote,$L745)),IF($M745&lt;&gt;"",IF(INDEX(LdBNote,$M745)="","—",INDEX(LdBNote,$M745)),IF($N745&lt;&gt;"",IF(INDEX(LdCNote,$N745)="","—",INDEX(LdCNote,$N745)),""))))</f>
        <v/>
      </c>
      <c r="L745">
        <f>IFERROR(MATCH($C$5&amp;"|"&amp;RIGHT("000000"&amp;729,6),LdAKeyM,0),"")</f>
        <v/>
      </c>
      <c r="M745">
        <f>IFERROR(MATCH($C$5&amp;"|"&amp;RIGHT("000000"&amp;729,6),LdBKeyM,0),"")</f>
        <v/>
      </c>
      <c r="N745">
        <f>IFERROR(MATCH($C$5&amp;"|"&amp;RIGHT("000000"&amp;729,6),LdCKeyM,0),"")</f>
        <v/>
      </c>
    </row>
    <row r="746">
      <c r="A746" s="19" t="n">
        <v>730</v>
      </c>
      <c r="B746" s="20">
        <f>IF(AND($L746="",$M746="",$N746=""),"",IF($L746&lt;&gt;"",INDEX(LdADate,$L746),IF($M746&lt;&gt;"",INDEX(LdBDate,$M746),INDEX(LdCDate,$N746))))</f>
        <v/>
      </c>
      <c r="C746" s="20">
        <f>IF($L746&lt;&gt;"","دستمزد (فردی)",IF($M746&lt;&gt;"","سهم از گروه "&amp;IFERROR(VLOOKUP(INDEX(LdBGroup,$M746),WGTbl,2,0),INDEX(LdBGroup,$M746)),IF($N746&lt;&gt;"",IF(N(INDEX(LdCDep,$N746))&gt;0,"بازگشت بانکی","پرداخت بانکی"),"")))</f>
        <v/>
      </c>
      <c r="D746" s="20">
        <f>IF($L746&lt;&gt;"",IF(INDEX(LdAId,$L746)="","—",INDEX(LdAId,$L746)),IF($M746&lt;&gt;"",IF(INDEX(LdBId,$M746)="","—",INDEX(LdBId,$M746)),IF($N746&lt;&gt;"",IF(INDEX(LdCBank,$N746)="","—",INDEX(LdCBank,$N746)),"")))</f>
        <v/>
      </c>
      <c r="E746" s="21">
        <f>IF($L746&lt;&gt;"",IF(INDEX(LdAAmt,$L746)=0,"",INDEX(LdAAmt,$L746)),IF($M746&lt;&gt;"",IF(INDEX(LdBAmt,$M746)=0,"",INDEX(LdBAmt,$M746)),IF($N746&lt;&gt;"",IF(INDEX(LdCDep,$N746)=0,"",INDEX(LdCDep,$N746)),"")))</f>
        <v/>
      </c>
      <c r="F746" s="21">
        <f>IF(AND($L746="",$M746="",$N746=""),"",IF($N746="","",IF(INDEX(LdCWit,$N746)=0,"",INDEX(LdCWit,$N746))))</f>
        <v/>
      </c>
      <c r="G746" s="31">
        <f>IF($B746="","",IF($G745="",0,$G745)+IF($E746="",0,$E746)-IF($F746="",0,$F746))</f>
        <v/>
      </c>
      <c r="H746" s="32">
        <f>IF(AND($L746="",$M746="",$N746=""),"",IF($L746&lt;&gt;"",IF(INDEX(LdANote,$L746)="","—",INDEX(LdANote,$L746)),IF($M746&lt;&gt;"",IF(INDEX(LdBNote,$M746)="","—",INDEX(LdBNote,$M746)),IF($N746&lt;&gt;"",IF(INDEX(LdCNote,$N746)="","—",INDEX(LdCNote,$N746)),""))))</f>
        <v/>
      </c>
      <c r="L746">
        <f>IFERROR(MATCH($C$5&amp;"|"&amp;RIGHT("000000"&amp;730,6),LdAKeyM,0),"")</f>
        <v/>
      </c>
      <c r="M746">
        <f>IFERROR(MATCH($C$5&amp;"|"&amp;RIGHT("000000"&amp;730,6),LdBKeyM,0),"")</f>
        <v/>
      </c>
      <c r="N746">
        <f>IFERROR(MATCH($C$5&amp;"|"&amp;RIGHT("000000"&amp;730,6),LdCKeyM,0),"")</f>
        <v/>
      </c>
    </row>
    <row r="747">
      <c r="A747" s="10" t="n">
        <v>731</v>
      </c>
      <c r="B747" s="14">
        <f>IF(AND($L747="",$M747="",$N747=""),"",IF($L747&lt;&gt;"",INDEX(LdADate,$L747),IF($M747&lt;&gt;"",INDEX(LdBDate,$M747),INDEX(LdCDate,$N747))))</f>
        <v/>
      </c>
      <c r="C747" s="14">
        <f>IF($L747&lt;&gt;"","دستمزد (فردی)",IF($M747&lt;&gt;"","سهم از گروه "&amp;IFERROR(VLOOKUP(INDEX(LdBGroup,$M747),WGTbl,2,0),INDEX(LdBGroup,$M747)),IF($N747&lt;&gt;"",IF(N(INDEX(LdCDep,$N747))&gt;0,"بازگشت بانکی","پرداخت بانکی"),"")))</f>
        <v/>
      </c>
      <c r="D747" s="14">
        <f>IF($L747&lt;&gt;"",IF(INDEX(LdAId,$L747)="","—",INDEX(LdAId,$L747)),IF($M747&lt;&gt;"",IF(INDEX(LdBId,$M747)="","—",INDEX(LdBId,$M747)),IF($N747&lt;&gt;"",IF(INDEX(LdCBank,$N747)="","—",INDEX(LdCBank,$N747)),"")))</f>
        <v/>
      </c>
      <c r="E747" s="16">
        <f>IF($L747&lt;&gt;"",IF(INDEX(LdAAmt,$L747)=0,"",INDEX(LdAAmt,$L747)),IF($M747&lt;&gt;"",IF(INDEX(LdBAmt,$M747)=0,"",INDEX(LdBAmt,$M747)),IF($N747&lt;&gt;"",IF(INDEX(LdCDep,$N747)=0,"",INDEX(LdCDep,$N747)),"")))</f>
        <v/>
      </c>
      <c r="F747" s="16">
        <f>IF(AND($L747="",$M747="",$N747=""),"",IF($N747="","",IF(INDEX(LdCWit,$N747)=0,"",INDEX(LdCWit,$N747))))</f>
        <v/>
      </c>
      <c r="G747" s="29">
        <f>IF($B747="","",IF($G746="",0,$G746)+IF($E747="",0,$E747)-IF($F747="",0,$F747))</f>
        <v/>
      </c>
      <c r="H747" s="30">
        <f>IF(AND($L747="",$M747="",$N747=""),"",IF($L747&lt;&gt;"",IF(INDEX(LdANote,$L747)="","—",INDEX(LdANote,$L747)),IF($M747&lt;&gt;"",IF(INDEX(LdBNote,$M747)="","—",INDEX(LdBNote,$M747)),IF($N747&lt;&gt;"",IF(INDEX(LdCNote,$N747)="","—",INDEX(LdCNote,$N747)),""))))</f>
        <v/>
      </c>
      <c r="L747">
        <f>IFERROR(MATCH($C$5&amp;"|"&amp;RIGHT("000000"&amp;731,6),LdAKeyM,0),"")</f>
        <v/>
      </c>
      <c r="M747">
        <f>IFERROR(MATCH($C$5&amp;"|"&amp;RIGHT("000000"&amp;731,6),LdBKeyM,0),"")</f>
        <v/>
      </c>
      <c r="N747">
        <f>IFERROR(MATCH($C$5&amp;"|"&amp;RIGHT("000000"&amp;731,6),LdCKeyM,0),"")</f>
        <v/>
      </c>
    </row>
    <row r="748">
      <c r="A748" s="19" t="n">
        <v>732</v>
      </c>
      <c r="B748" s="20">
        <f>IF(AND($L748="",$M748="",$N748=""),"",IF($L748&lt;&gt;"",INDEX(LdADate,$L748),IF($M748&lt;&gt;"",INDEX(LdBDate,$M748),INDEX(LdCDate,$N748))))</f>
        <v/>
      </c>
      <c r="C748" s="20">
        <f>IF($L748&lt;&gt;"","دستمزد (فردی)",IF($M748&lt;&gt;"","سهم از گروه "&amp;IFERROR(VLOOKUP(INDEX(LdBGroup,$M748),WGTbl,2,0),INDEX(LdBGroup,$M748)),IF($N748&lt;&gt;"",IF(N(INDEX(LdCDep,$N748))&gt;0,"بازگشت بانکی","پرداخت بانکی"),"")))</f>
        <v/>
      </c>
      <c r="D748" s="20">
        <f>IF($L748&lt;&gt;"",IF(INDEX(LdAId,$L748)="","—",INDEX(LdAId,$L748)),IF($M748&lt;&gt;"",IF(INDEX(LdBId,$M748)="","—",INDEX(LdBId,$M748)),IF($N748&lt;&gt;"",IF(INDEX(LdCBank,$N748)="","—",INDEX(LdCBank,$N748)),"")))</f>
        <v/>
      </c>
      <c r="E748" s="21">
        <f>IF($L748&lt;&gt;"",IF(INDEX(LdAAmt,$L748)=0,"",INDEX(LdAAmt,$L748)),IF($M748&lt;&gt;"",IF(INDEX(LdBAmt,$M748)=0,"",INDEX(LdBAmt,$M748)),IF($N748&lt;&gt;"",IF(INDEX(LdCDep,$N748)=0,"",INDEX(LdCDep,$N748)),"")))</f>
        <v/>
      </c>
      <c r="F748" s="21">
        <f>IF(AND($L748="",$M748="",$N748=""),"",IF($N748="","",IF(INDEX(LdCWit,$N748)=0,"",INDEX(LdCWit,$N748))))</f>
        <v/>
      </c>
      <c r="G748" s="31">
        <f>IF($B748="","",IF($G747="",0,$G747)+IF($E748="",0,$E748)-IF($F748="",0,$F748))</f>
        <v/>
      </c>
      <c r="H748" s="32">
        <f>IF(AND($L748="",$M748="",$N748=""),"",IF($L748&lt;&gt;"",IF(INDEX(LdANote,$L748)="","—",INDEX(LdANote,$L748)),IF($M748&lt;&gt;"",IF(INDEX(LdBNote,$M748)="","—",INDEX(LdBNote,$M748)),IF($N748&lt;&gt;"",IF(INDEX(LdCNote,$N748)="","—",INDEX(LdCNote,$N748)),""))))</f>
        <v/>
      </c>
      <c r="L748">
        <f>IFERROR(MATCH($C$5&amp;"|"&amp;RIGHT("000000"&amp;732,6),LdAKeyM,0),"")</f>
        <v/>
      </c>
      <c r="M748">
        <f>IFERROR(MATCH($C$5&amp;"|"&amp;RIGHT("000000"&amp;732,6),LdBKeyM,0),"")</f>
        <v/>
      </c>
      <c r="N748">
        <f>IFERROR(MATCH($C$5&amp;"|"&amp;RIGHT("000000"&amp;732,6),LdCKeyM,0),"")</f>
        <v/>
      </c>
    </row>
    <row r="749">
      <c r="A749" s="10" t="n">
        <v>733</v>
      </c>
      <c r="B749" s="14">
        <f>IF(AND($L749="",$M749="",$N749=""),"",IF($L749&lt;&gt;"",INDEX(LdADate,$L749),IF($M749&lt;&gt;"",INDEX(LdBDate,$M749),INDEX(LdCDate,$N749))))</f>
        <v/>
      </c>
      <c r="C749" s="14">
        <f>IF($L749&lt;&gt;"","دستمزد (فردی)",IF($M749&lt;&gt;"","سهم از گروه "&amp;IFERROR(VLOOKUP(INDEX(LdBGroup,$M749),WGTbl,2,0),INDEX(LdBGroup,$M749)),IF($N749&lt;&gt;"",IF(N(INDEX(LdCDep,$N749))&gt;0,"بازگشت بانکی","پرداخت بانکی"),"")))</f>
        <v/>
      </c>
      <c r="D749" s="14">
        <f>IF($L749&lt;&gt;"",IF(INDEX(LdAId,$L749)="","—",INDEX(LdAId,$L749)),IF($M749&lt;&gt;"",IF(INDEX(LdBId,$M749)="","—",INDEX(LdBId,$M749)),IF($N749&lt;&gt;"",IF(INDEX(LdCBank,$N749)="","—",INDEX(LdCBank,$N749)),"")))</f>
        <v/>
      </c>
      <c r="E749" s="16">
        <f>IF($L749&lt;&gt;"",IF(INDEX(LdAAmt,$L749)=0,"",INDEX(LdAAmt,$L749)),IF($M749&lt;&gt;"",IF(INDEX(LdBAmt,$M749)=0,"",INDEX(LdBAmt,$M749)),IF($N749&lt;&gt;"",IF(INDEX(LdCDep,$N749)=0,"",INDEX(LdCDep,$N749)),"")))</f>
        <v/>
      </c>
      <c r="F749" s="16">
        <f>IF(AND($L749="",$M749="",$N749=""),"",IF($N749="","",IF(INDEX(LdCWit,$N749)=0,"",INDEX(LdCWit,$N749))))</f>
        <v/>
      </c>
      <c r="G749" s="29">
        <f>IF($B749="","",IF($G748="",0,$G748)+IF($E749="",0,$E749)-IF($F749="",0,$F749))</f>
        <v/>
      </c>
      <c r="H749" s="30">
        <f>IF(AND($L749="",$M749="",$N749=""),"",IF($L749&lt;&gt;"",IF(INDEX(LdANote,$L749)="","—",INDEX(LdANote,$L749)),IF($M749&lt;&gt;"",IF(INDEX(LdBNote,$M749)="","—",INDEX(LdBNote,$M749)),IF($N749&lt;&gt;"",IF(INDEX(LdCNote,$N749)="","—",INDEX(LdCNote,$N749)),""))))</f>
        <v/>
      </c>
      <c r="L749">
        <f>IFERROR(MATCH($C$5&amp;"|"&amp;RIGHT("000000"&amp;733,6),LdAKeyM,0),"")</f>
        <v/>
      </c>
      <c r="M749">
        <f>IFERROR(MATCH($C$5&amp;"|"&amp;RIGHT("000000"&amp;733,6),LdBKeyM,0),"")</f>
        <v/>
      </c>
      <c r="N749">
        <f>IFERROR(MATCH($C$5&amp;"|"&amp;RIGHT("000000"&amp;733,6),LdCKeyM,0),"")</f>
        <v/>
      </c>
    </row>
    <row r="750">
      <c r="A750" s="19" t="n">
        <v>734</v>
      </c>
      <c r="B750" s="20">
        <f>IF(AND($L750="",$M750="",$N750=""),"",IF($L750&lt;&gt;"",INDEX(LdADate,$L750),IF($M750&lt;&gt;"",INDEX(LdBDate,$M750),INDEX(LdCDate,$N750))))</f>
        <v/>
      </c>
      <c r="C750" s="20">
        <f>IF($L750&lt;&gt;"","دستمزد (فردی)",IF($M750&lt;&gt;"","سهم از گروه "&amp;IFERROR(VLOOKUP(INDEX(LdBGroup,$M750),WGTbl,2,0),INDEX(LdBGroup,$M750)),IF($N750&lt;&gt;"",IF(N(INDEX(LdCDep,$N750))&gt;0,"بازگشت بانکی","پرداخت بانکی"),"")))</f>
        <v/>
      </c>
      <c r="D750" s="20">
        <f>IF($L750&lt;&gt;"",IF(INDEX(LdAId,$L750)="","—",INDEX(LdAId,$L750)),IF($M750&lt;&gt;"",IF(INDEX(LdBId,$M750)="","—",INDEX(LdBId,$M750)),IF($N750&lt;&gt;"",IF(INDEX(LdCBank,$N750)="","—",INDEX(LdCBank,$N750)),"")))</f>
        <v/>
      </c>
      <c r="E750" s="21">
        <f>IF($L750&lt;&gt;"",IF(INDEX(LdAAmt,$L750)=0,"",INDEX(LdAAmt,$L750)),IF($M750&lt;&gt;"",IF(INDEX(LdBAmt,$M750)=0,"",INDEX(LdBAmt,$M750)),IF($N750&lt;&gt;"",IF(INDEX(LdCDep,$N750)=0,"",INDEX(LdCDep,$N750)),"")))</f>
        <v/>
      </c>
      <c r="F750" s="21">
        <f>IF(AND($L750="",$M750="",$N750=""),"",IF($N750="","",IF(INDEX(LdCWit,$N750)=0,"",INDEX(LdCWit,$N750))))</f>
        <v/>
      </c>
      <c r="G750" s="31">
        <f>IF($B750="","",IF($G749="",0,$G749)+IF($E750="",0,$E750)-IF($F750="",0,$F750))</f>
        <v/>
      </c>
      <c r="H750" s="32">
        <f>IF(AND($L750="",$M750="",$N750=""),"",IF($L750&lt;&gt;"",IF(INDEX(LdANote,$L750)="","—",INDEX(LdANote,$L750)),IF($M750&lt;&gt;"",IF(INDEX(LdBNote,$M750)="","—",INDEX(LdBNote,$M750)),IF($N750&lt;&gt;"",IF(INDEX(LdCNote,$N750)="","—",INDEX(LdCNote,$N750)),""))))</f>
        <v/>
      </c>
      <c r="L750">
        <f>IFERROR(MATCH($C$5&amp;"|"&amp;RIGHT("000000"&amp;734,6),LdAKeyM,0),"")</f>
        <v/>
      </c>
      <c r="M750">
        <f>IFERROR(MATCH($C$5&amp;"|"&amp;RIGHT("000000"&amp;734,6),LdBKeyM,0),"")</f>
        <v/>
      </c>
      <c r="N750">
        <f>IFERROR(MATCH($C$5&amp;"|"&amp;RIGHT("000000"&amp;734,6),LdCKeyM,0),"")</f>
        <v/>
      </c>
    </row>
    <row r="751">
      <c r="A751" s="10" t="n">
        <v>735</v>
      </c>
      <c r="B751" s="14">
        <f>IF(AND($L751="",$M751="",$N751=""),"",IF($L751&lt;&gt;"",INDEX(LdADate,$L751),IF($M751&lt;&gt;"",INDEX(LdBDate,$M751),INDEX(LdCDate,$N751))))</f>
        <v/>
      </c>
      <c r="C751" s="14">
        <f>IF($L751&lt;&gt;"","دستمزد (فردی)",IF($M751&lt;&gt;"","سهم از گروه "&amp;IFERROR(VLOOKUP(INDEX(LdBGroup,$M751),WGTbl,2,0),INDEX(LdBGroup,$M751)),IF($N751&lt;&gt;"",IF(N(INDEX(LdCDep,$N751))&gt;0,"بازگشت بانکی","پرداخت بانکی"),"")))</f>
        <v/>
      </c>
      <c r="D751" s="14">
        <f>IF($L751&lt;&gt;"",IF(INDEX(LdAId,$L751)="","—",INDEX(LdAId,$L751)),IF($M751&lt;&gt;"",IF(INDEX(LdBId,$M751)="","—",INDEX(LdBId,$M751)),IF($N751&lt;&gt;"",IF(INDEX(LdCBank,$N751)="","—",INDEX(LdCBank,$N751)),"")))</f>
        <v/>
      </c>
      <c r="E751" s="16">
        <f>IF($L751&lt;&gt;"",IF(INDEX(LdAAmt,$L751)=0,"",INDEX(LdAAmt,$L751)),IF($M751&lt;&gt;"",IF(INDEX(LdBAmt,$M751)=0,"",INDEX(LdBAmt,$M751)),IF($N751&lt;&gt;"",IF(INDEX(LdCDep,$N751)=0,"",INDEX(LdCDep,$N751)),"")))</f>
        <v/>
      </c>
      <c r="F751" s="16">
        <f>IF(AND($L751="",$M751="",$N751=""),"",IF($N751="","",IF(INDEX(LdCWit,$N751)=0,"",INDEX(LdCWit,$N751))))</f>
        <v/>
      </c>
      <c r="G751" s="29">
        <f>IF($B751="","",IF($G750="",0,$G750)+IF($E751="",0,$E751)-IF($F751="",0,$F751))</f>
        <v/>
      </c>
      <c r="H751" s="30">
        <f>IF(AND($L751="",$M751="",$N751=""),"",IF($L751&lt;&gt;"",IF(INDEX(LdANote,$L751)="","—",INDEX(LdANote,$L751)),IF($M751&lt;&gt;"",IF(INDEX(LdBNote,$M751)="","—",INDEX(LdBNote,$M751)),IF($N751&lt;&gt;"",IF(INDEX(LdCNote,$N751)="","—",INDEX(LdCNote,$N751)),""))))</f>
        <v/>
      </c>
      <c r="L751">
        <f>IFERROR(MATCH($C$5&amp;"|"&amp;RIGHT("000000"&amp;735,6),LdAKeyM,0),"")</f>
        <v/>
      </c>
      <c r="M751">
        <f>IFERROR(MATCH($C$5&amp;"|"&amp;RIGHT("000000"&amp;735,6),LdBKeyM,0),"")</f>
        <v/>
      </c>
      <c r="N751">
        <f>IFERROR(MATCH($C$5&amp;"|"&amp;RIGHT("000000"&amp;735,6),LdCKeyM,0),"")</f>
        <v/>
      </c>
    </row>
    <row r="752">
      <c r="A752" s="19" t="n">
        <v>736</v>
      </c>
      <c r="B752" s="20">
        <f>IF(AND($L752="",$M752="",$N752=""),"",IF($L752&lt;&gt;"",INDEX(LdADate,$L752),IF($M752&lt;&gt;"",INDEX(LdBDate,$M752),INDEX(LdCDate,$N752))))</f>
        <v/>
      </c>
      <c r="C752" s="20">
        <f>IF($L752&lt;&gt;"","دستمزد (فردی)",IF($M752&lt;&gt;"","سهم از گروه "&amp;IFERROR(VLOOKUP(INDEX(LdBGroup,$M752),WGTbl,2,0),INDEX(LdBGroup,$M752)),IF($N752&lt;&gt;"",IF(N(INDEX(LdCDep,$N752))&gt;0,"بازگشت بانکی","پرداخت بانکی"),"")))</f>
        <v/>
      </c>
      <c r="D752" s="20">
        <f>IF($L752&lt;&gt;"",IF(INDEX(LdAId,$L752)="","—",INDEX(LdAId,$L752)),IF($M752&lt;&gt;"",IF(INDEX(LdBId,$M752)="","—",INDEX(LdBId,$M752)),IF($N752&lt;&gt;"",IF(INDEX(LdCBank,$N752)="","—",INDEX(LdCBank,$N752)),"")))</f>
        <v/>
      </c>
      <c r="E752" s="21">
        <f>IF($L752&lt;&gt;"",IF(INDEX(LdAAmt,$L752)=0,"",INDEX(LdAAmt,$L752)),IF($M752&lt;&gt;"",IF(INDEX(LdBAmt,$M752)=0,"",INDEX(LdBAmt,$M752)),IF($N752&lt;&gt;"",IF(INDEX(LdCDep,$N752)=0,"",INDEX(LdCDep,$N752)),"")))</f>
        <v/>
      </c>
      <c r="F752" s="21">
        <f>IF(AND($L752="",$M752="",$N752=""),"",IF($N752="","",IF(INDEX(LdCWit,$N752)=0,"",INDEX(LdCWit,$N752))))</f>
        <v/>
      </c>
      <c r="G752" s="31">
        <f>IF($B752="","",IF($G751="",0,$G751)+IF($E752="",0,$E752)-IF($F752="",0,$F752))</f>
        <v/>
      </c>
      <c r="H752" s="32">
        <f>IF(AND($L752="",$M752="",$N752=""),"",IF($L752&lt;&gt;"",IF(INDEX(LdANote,$L752)="","—",INDEX(LdANote,$L752)),IF($M752&lt;&gt;"",IF(INDEX(LdBNote,$M752)="","—",INDEX(LdBNote,$M752)),IF($N752&lt;&gt;"",IF(INDEX(LdCNote,$N752)="","—",INDEX(LdCNote,$N752)),""))))</f>
        <v/>
      </c>
      <c r="L752">
        <f>IFERROR(MATCH($C$5&amp;"|"&amp;RIGHT("000000"&amp;736,6),LdAKeyM,0),"")</f>
        <v/>
      </c>
      <c r="M752">
        <f>IFERROR(MATCH($C$5&amp;"|"&amp;RIGHT("000000"&amp;736,6),LdBKeyM,0),"")</f>
        <v/>
      </c>
      <c r="N752">
        <f>IFERROR(MATCH($C$5&amp;"|"&amp;RIGHT("000000"&amp;736,6),LdCKeyM,0),"")</f>
        <v/>
      </c>
    </row>
    <row r="753">
      <c r="A753" s="10" t="n">
        <v>737</v>
      </c>
      <c r="B753" s="14">
        <f>IF(AND($L753="",$M753="",$N753=""),"",IF($L753&lt;&gt;"",INDEX(LdADate,$L753),IF($M753&lt;&gt;"",INDEX(LdBDate,$M753),INDEX(LdCDate,$N753))))</f>
        <v/>
      </c>
      <c r="C753" s="14">
        <f>IF($L753&lt;&gt;"","دستمزد (فردی)",IF($M753&lt;&gt;"","سهم از گروه "&amp;IFERROR(VLOOKUP(INDEX(LdBGroup,$M753),WGTbl,2,0),INDEX(LdBGroup,$M753)),IF($N753&lt;&gt;"",IF(N(INDEX(LdCDep,$N753))&gt;0,"بازگشت بانکی","پرداخت بانکی"),"")))</f>
        <v/>
      </c>
      <c r="D753" s="14">
        <f>IF($L753&lt;&gt;"",IF(INDEX(LdAId,$L753)="","—",INDEX(LdAId,$L753)),IF($M753&lt;&gt;"",IF(INDEX(LdBId,$M753)="","—",INDEX(LdBId,$M753)),IF($N753&lt;&gt;"",IF(INDEX(LdCBank,$N753)="","—",INDEX(LdCBank,$N753)),"")))</f>
        <v/>
      </c>
      <c r="E753" s="16">
        <f>IF($L753&lt;&gt;"",IF(INDEX(LdAAmt,$L753)=0,"",INDEX(LdAAmt,$L753)),IF($M753&lt;&gt;"",IF(INDEX(LdBAmt,$M753)=0,"",INDEX(LdBAmt,$M753)),IF($N753&lt;&gt;"",IF(INDEX(LdCDep,$N753)=0,"",INDEX(LdCDep,$N753)),"")))</f>
        <v/>
      </c>
      <c r="F753" s="16">
        <f>IF(AND($L753="",$M753="",$N753=""),"",IF($N753="","",IF(INDEX(LdCWit,$N753)=0,"",INDEX(LdCWit,$N753))))</f>
        <v/>
      </c>
      <c r="G753" s="29">
        <f>IF($B753="","",IF($G752="",0,$G752)+IF($E753="",0,$E753)-IF($F753="",0,$F753))</f>
        <v/>
      </c>
      <c r="H753" s="30">
        <f>IF(AND($L753="",$M753="",$N753=""),"",IF($L753&lt;&gt;"",IF(INDEX(LdANote,$L753)="","—",INDEX(LdANote,$L753)),IF($M753&lt;&gt;"",IF(INDEX(LdBNote,$M753)="","—",INDEX(LdBNote,$M753)),IF($N753&lt;&gt;"",IF(INDEX(LdCNote,$N753)="","—",INDEX(LdCNote,$N753)),""))))</f>
        <v/>
      </c>
      <c r="L753">
        <f>IFERROR(MATCH($C$5&amp;"|"&amp;RIGHT("000000"&amp;737,6),LdAKeyM,0),"")</f>
        <v/>
      </c>
      <c r="M753">
        <f>IFERROR(MATCH($C$5&amp;"|"&amp;RIGHT("000000"&amp;737,6),LdBKeyM,0),"")</f>
        <v/>
      </c>
      <c r="N753">
        <f>IFERROR(MATCH($C$5&amp;"|"&amp;RIGHT("000000"&amp;737,6),LdCKeyM,0),"")</f>
        <v/>
      </c>
    </row>
    <row r="754">
      <c r="A754" s="19" t="n">
        <v>738</v>
      </c>
      <c r="B754" s="20">
        <f>IF(AND($L754="",$M754="",$N754=""),"",IF($L754&lt;&gt;"",INDEX(LdADate,$L754),IF($M754&lt;&gt;"",INDEX(LdBDate,$M754),INDEX(LdCDate,$N754))))</f>
        <v/>
      </c>
      <c r="C754" s="20">
        <f>IF($L754&lt;&gt;"","دستمزد (فردی)",IF($M754&lt;&gt;"","سهم از گروه "&amp;IFERROR(VLOOKUP(INDEX(LdBGroup,$M754),WGTbl,2,0),INDEX(LdBGroup,$M754)),IF($N754&lt;&gt;"",IF(N(INDEX(LdCDep,$N754))&gt;0,"بازگشت بانکی","پرداخت بانکی"),"")))</f>
        <v/>
      </c>
      <c r="D754" s="20">
        <f>IF($L754&lt;&gt;"",IF(INDEX(LdAId,$L754)="","—",INDEX(LdAId,$L754)),IF($M754&lt;&gt;"",IF(INDEX(LdBId,$M754)="","—",INDEX(LdBId,$M754)),IF($N754&lt;&gt;"",IF(INDEX(LdCBank,$N754)="","—",INDEX(LdCBank,$N754)),"")))</f>
        <v/>
      </c>
      <c r="E754" s="21">
        <f>IF($L754&lt;&gt;"",IF(INDEX(LdAAmt,$L754)=0,"",INDEX(LdAAmt,$L754)),IF($M754&lt;&gt;"",IF(INDEX(LdBAmt,$M754)=0,"",INDEX(LdBAmt,$M754)),IF($N754&lt;&gt;"",IF(INDEX(LdCDep,$N754)=0,"",INDEX(LdCDep,$N754)),"")))</f>
        <v/>
      </c>
      <c r="F754" s="21">
        <f>IF(AND($L754="",$M754="",$N754=""),"",IF($N754="","",IF(INDEX(LdCWit,$N754)=0,"",INDEX(LdCWit,$N754))))</f>
        <v/>
      </c>
      <c r="G754" s="31">
        <f>IF($B754="","",IF($G753="",0,$G753)+IF($E754="",0,$E754)-IF($F754="",0,$F754))</f>
        <v/>
      </c>
      <c r="H754" s="32">
        <f>IF(AND($L754="",$M754="",$N754=""),"",IF($L754&lt;&gt;"",IF(INDEX(LdANote,$L754)="","—",INDEX(LdANote,$L754)),IF($M754&lt;&gt;"",IF(INDEX(LdBNote,$M754)="","—",INDEX(LdBNote,$M754)),IF($N754&lt;&gt;"",IF(INDEX(LdCNote,$N754)="","—",INDEX(LdCNote,$N754)),""))))</f>
        <v/>
      </c>
      <c r="L754">
        <f>IFERROR(MATCH($C$5&amp;"|"&amp;RIGHT("000000"&amp;738,6),LdAKeyM,0),"")</f>
        <v/>
      </c>
      <c r="M754">
        <f>IFERROR(MATCH($C$5&amp;"|"&amp;RIGHT("000000"&amp;738,6),LdBKeyM,0),"")</f>
        <v/>
      </c>
      <c r="N754">
        <f>IFERROR(MATCH($C$5&amp;"|"&amp;RIGHT("000000"&amp;738,6),LdCKeyM,0),"")</f>
        <v/>
      </c>
    </row>
    <row r="755">
      <c r="A755" s="10" t="n">
        <v>739</v>
      </c>
      <c r="B755" s="14">
        <f>IF(AND($L755="",$M755="",$N755=""),"",IF($L755&lt;&gt;"",INDEX(LdADate,$L755),IF($M755&lt;&gt;"",INDEX(LdBDate,$M755),INDEX(LdCDate,$N755))))</f>
        <v/>
      </c>
      <c r="C755" s="14">
        <f>IF($L755&lt;&gt;"","دستمزد (فردی)",IF($M755&lt;&gt;"","سهم از گروه "&amp;IFERROR(VLOOKUP(INDEX(LdBGroup,$M755),WGTbl,2,0),INDEX(LdBGroup,$M755)),IF($N755&lt;&gt;"",IF(N(INDEX(LdCDep,$N755))&gt;0,"بازگشت بانکی","پرداخت بانکی"),"")))</f>
        <v/>
      </c>
      <c r="D755" s="14">
        <f>IF($L755&lt;&gt;"",IF(INDEX(LdAId,$L755)="","—",INDEX(LdAId,$L755)),IF($M755&lt;&gt;"",IF(INDEX(LdBId,$M755)="","—",INDEX(LdBId,$M755)),IF($N755&lt;&gt;"",IF(INDEX(LdCBank,$N755)="","—",INDEX(LdCBank,$N755)),"")))</f>
        <v/>
      </c>
      <c r="E755" s="16">
        <f>IF($L755&lt;&gt;"",IF(INDEX(LdAAmt,$L755)=0,"",INDEX(LdAAmt,$L755)),IF($M755&lt;&gt;"",IF(INDEX(LdBAmt,$M755)=0,"",INDEX(LdBAmt,$M755)),IF($N755&lt;&gt;"",IF(INDEX(LdCDep,$N755)=0,"",INDEX(LdCDep,$N755)),"")))</f>
        <v/>
      </c>
      <c r="F755" s="16">
        <f>IF(AND($L755="",$M755="",$N755=""),"",IF($N755="","",IF(INDEX(LdCWit,$N755)=0,"",INDEX(LdCWit,$N755))))</f>
        <v/>
      </c>
      <c r="G755" s="29">
        <f>IF($B755="","",IF($G754="",0,$G754)+IF($E755="",0,$E755)-IF($F755="",0,$F755))</f>
        <v/>
      </c>
      <c r="H755" s="30">
        <f>IF(AND($L755="",$M755="",$N755=""),"",IF($L755&lt;&gt;"",IF(INDEX(LdANote,$L755)="","—",INDEX(LdANote,$L755)),IF($M755&lt;&gt;"",IF(INDEX(LdBNote,$M755)="","—",INDEX(LdBNote,$M755)),IF($N755&lt;&gt;"",IF(INDEX(LdCNote,$N755)="","—",INDEX(LdCNote,$N755)),""))))</f>
        <v/>
      </c>
      <c r="L755">
        <f>IFERROR(MATCH($C$5&amp;"|"&amp;RIGHT("000000"&amp;739,6),LdAKeyM,0),"")</f>
        <v/>
      </c>
      <c r="M755">
        <f>IFERROR(MATCH($C$5&amp;"|"&amp;RIGHT("000000"&amp;739,6),LdBKeyM,0),"")</f>
        <v/>
      </c>
      <c r="N755">
        <f>IFERROR(MATCH($C$5&amp;"|"&amp;RIGHT("000000"&amp;739,6),LdCKeyM,0),"")</f>
        <v/>
      </c>
    </row>
    <row r="756">
      <c r="A756" s="19" t="n">
        <v>740</v>
      </c>
      <c r="B756" s="20">
        <f>IF(AND($L756="",$M756="",$N756=""),"",IF($L756&lt;&gt;"",INDEX(LdADate,$L756),IF($M756&lt;&gt;"",INDEX(LdBDate,$M756),INDEX(LdCDate,$N756))))</f>
        <v/>
      </c>
      <c r="C756" s="20">
        <f>IF($L756&lt;&gt;"","دستمزد (فردی)",IF($M756&lt;&gt;"","سهم از گروه "&amp;IFERROR(VLOOKUP(INDEX(LdBGroup,$M756),WGTbl,2,0),INDEX(LdBGroup,$M756)),IF($N756&lt;&gt;"",IF(N(INDEX(LdCDep,$N756))&gt;0,"بازگشت بانکی","پرداخت بانکی"),"")))</f>
        <v/>
      </c>
      <c r="D756" s="20">
        <f>IF($L756&lt;&gt;"",IF(INDEX(LdAId,$L756)="","—",INDEX(LdAId,$L756)),IF($M756&lt;&gt;"",IF(INDEX(LdBId,$M756)="","—",INDEX(LdBId,$M756)),IF($N756&lt;&gt;"",IF(INDEX(LdCBank,$N756)="","—",INDEX(LdCBank,$N756)),"")))</f>
        <v/>
      </c>
      <c r="E756" s="21">
        <f>IF($L756&lt;&gt;"",IF(INDEX(LdAAmt,$L756)=0,"",INDEX(LdAAmt,$L756)),IF($M756&lt;&gt;"",IF(INDEX(LdBAmt,$M756)=0,"",INDEX(LdBAmt,$M756)),IF($N756&lt;&gt;"",IF(INDEX(LdCDep,$N756)=0,"",INDEX(LdCDep,$N756)),"")))</f>
        <v/>
      </c>
      <c r="F756" s="21">
        <f>IF(AND($L756="",$M756="",$N756=""),"",IF($N756="","",IF(INDEX(LdCWit,$N756)=0,"",INDEX(LdCWit,$N756))))</f>
        <v/>
      </c>
      <c r="G756" s="31">
        <f>IF($B756="","",IF($G755="",0,$G755)+IF($E756="",0,$E756)-IF($F756="",0,$F756))</f>
        <v/>
      </c>
      <c r="H756" s="32">
        <f>IF(AND($L756="",$M756="",$N756=""),"",IF($L756&lt;&gt;"",IF(INDEX(LdANote,$L756)="","—",INDEX(LdANote,$L756)),IF($M756&lt;&gt;"",IF(INDEX(LdBNote,$M756)="","—",INDEX(LdBNote,$M756)),IF($N756&lt;&gt;"",IF(INDEX(LdCNote,$N756)="","—",INDEX(LdCNote,$N756)),""))))</f>
        <v/>
      </c>
      <c r="L756">
        <f>IFERROR(MATCH($C$5&amp;"|"&amp;RIGHT("000000"&amp;740,6),LdAKeyM,0),"")</f>
        <v/>
      </c>
      <c r="M756">
        <f>IFERROR(MATCH($C$5&amp;"|"&amp;RIGHT("000000"&amp;740,6),LdBKeyM,0),"")</f>
        <v/>
      </c>
      <c r="N756">
        <f>IFERROR(MATCH($C$5&amp;"|"&amp;RIGHT("000000"&amp;740,6),LdCKeyM,0),"")</f>
        <v/>
      </c>
    </row>
    <row r="757">
      <c r="A757" s="10" t="n">
        <v>741</v>
      </c>
      <c r="B757" s="14">
        <f>IF(AND($L757="",$M757="",$N757=""),"",IF($L757&lt;&gt;"",INDEX(LdADate,$L757),IF($M757&lt;&gt;"",INDEX(LdBDate,$M757),INDEX(LdCDate,$N757))))</f>
        <v/>
      </c>
      <c r="C757" s="14">
        <f>IF($L757&lt;&gt;"","دستمزد (فردی)",IF($M757&lt;&gt;"","سهم از گروه "&amp;IFERROR(VLOOKUP(INDEX(LdBGroup,$M757),WGTbl,2,0),INDEX(LdBGroup,$M757)),IF($N757&lt;&gt;"",IF(N(INDEX(LdCDep,$N757))&gt;0,"بازگشت بانکی","پرداخت بانکی"),"")))</f>
        <v/>
      </c>
      <c r="D757" s="14">
        <f>IF($L757&lt;&gt;"",IF(INDEX(LdAId,$L757)="","—",INDEX(LdAId,$L757)),IF($M757&lt;&gt;"",IF(INDEX(LdBId,$M757)="","—",INDEX(LdBId,$M757)),IF($N757&lt;&gt;"",IF(INDEX(LdCBank,$N757)="","—",INDEX(LdCBank,$N757)),"")))</f>
        <v/>
      </c>
      <c r="E757" s="16">
        <f>IF($L757&lt;&gt;"",IF(INDEX(LdAAmt,$L757)=0,"",INDEX(LdAAmt,$L757)),IF($M757&lt;&gt;"",IF(INDEX(LdBAmt,$M757)=0,"",INDEX(LdBAmt,$M757)),IF($N757&lt;&gt;"",IF(INDEX(LdCDep,$N757)=0,"",INDEX(LdCDep,$N757)),"")))</f>
        <v/>
      </c>
      <c r="F757" s="16">
        <f>IF(AND($L757="",$M757="",$N757=""),"",IF($N757="","",IF(INDEX(LdCWit,$N757)=0,"",INDEX(LdCWit,$N757))))</f>
        <v/>
      </c>
      <c r="G757" s="29">
        <f>IF($B757="","",IF($G756="",0,$G756)+IF($E757="",0,$E757)-IF($F757="",0,$F757))</f>
        <v/>
      </c>
      <c r="H757" s="30">
        <f>IF(AND($L757="",$M757="",$N757=""),"",IF($L757&lt;&gt;"",IF(INDEX(LdANote,$L757)="","—",INDEX(LdANote,$L757)),IF($M757&lt;&gt;"",IF(INDEX(LdBNote,$M757)="","—",INDEX(LdBNote,$M757)),IF($N757&lt;&gt;"",IF(INDEX(LdCNote,$N757)="","—",INDEX(LdCNote,$N757)),""))))</f>
        <v/>
      </c>
      <c r="L757">
        <f>IFERROR(MATCH($C$5&amp;"|"&amp;RIGHT("000000"&amp;741,6),LdAKeyM,0),"")</f>
        <v/>
      </c>
      <c r="M757">
        <f>IFERROR(MATCH($C$5&amp;"|"&amp;RIGHT("000000"&amp;741,6),LdBKeyM,0),"")</f>
        <v/>
      </c>
      <c r="N757">
        <f>IFERROR(MATCH($C$5&amp;"|"&amp;RIGHT("000000"&amp;741,6),LdCKeyM,0),"")</f>
        <v/>
      </c>
    </row>
    <row r="758">
      <c r="A758" s="19" t="n">
        <v>742</v>
      </c>
      <c r="B758" s="20">
        <f>IF(AND($L758="",$M758="",$N758=""),"",IF($L758&lt;&gt;"",INDEX(LdADate,$L758),IF($M758&lt;&gt;"",INDEX(LdBDate,$M758),INDEX(LdCDate,$N758))))</f>
        <v/>
      </c>
      <c r="C758" s="20">
        <f>IF($L758&lt;&gt;"","دستمزد (فردی)",IF($M758&lt;&gt;"","سهم از گروه "&amp;IFERROR(VLOOKUP(INDEX(LdBGroup,$M758),WGTbl,2,0),INDEX(LdBGroup,$M758)),IF($N758&lt;&gt;"",IF(N(INDEX(LdCDep,$N758))&gt;0,"بازگشت بانکی","پرداخت بانکی"),"")))</f>
        <v/>
      </c>
      <c r="D758" s="20">
        <f>IF($L758&lt;&gt;"",IF(INDEX(LdAId,$L758)="","—",INDEX(LdAId,$L758)),IF($M758&lt;&gt;"",IF(INDEX(LdBId,$M758)="","—",INDEX(LdBId,$M758)),IF($N758&lt;&gt;"",IF(INDEX(LdCBank,$N758)="","—",INDEX(LdCBank,$N758)),"")))</f>
        <v/>
      </c>
      <c r="E758" s="21">
        <f>IF($L758&lt;&gt;"",IF(INDEX(LdAAmt,$L758)=0,"",INDEX(LdAAmt,$L758)),IF($M758&lt;&gt;"",IF(INDEX(LdBAmt,$M758)=0,"",INDEX(LdBAmt,$M758)),IF($N758&lt;&gt;"",IF(INDEX(LdCDep,$N758)=0,"",INDEX(LdCDep,$N758)),"")))</f>
        <v/>
      </c>
      <c r="F758" s="21">
        <f>IF(AND($L758="",$M758="",$N758=""),"",IF($N758="","",IF(INDEX(LdCWit,$N758)=0,"",INDEX(LdCWit,$N758))))</f>
        <v/>
      </c>
      <c r="G758" s="31">
        <f>IF($B758="","",IF($G757="",0,$G757)+IF($E758="",0,$E758)-IF($F758="",0,$F758))</f>
        <v/>
      </c>
      <c r="H758" s="32">
        <f>IF(AND($L758="",$M758="",$N758=""),"",IF($L758&lt;&gt;"",IF(INDEX(LdANote,$L758)="","—",INDEX(LdANote,$L758)),IF($M758&lt;&gt;"",IF(INDEX(LdBNote,$M758)="","—",INDEX(LdBNote,$M758)),IF($N758&lt;&gt;"",IF(INDEX(LdCNote,$N758)="","—",INDEX(LdCNote,$N758)),""))))</f>
        <v/>
      </c>
      <c r="L758">
        <f>IFERROR(MATCH($C$5&amp;"|"&amp;RIGHT("000000"&amp;742,6),LdAKeyM,0),"")</f>
        <v/>
      </c>
      <c r="M758">
        <f>IFERROR(MATCH($C$5&amp;"|"&amp;RIGHT("000000"&amp;742,6),LdBKeyM,0),"")</f>
        <v/>
      </c>
      <c r="N758">
        <f>IFERROR(MATCH($C$5&amp;"|"&amp;RIGHT("000000"&amp;742,6),LdCKeyM,0),"")</f>
        <v/>
      </c>
    </row>
    <row r="759">
      <c r="A759" s="10" t="n">
        <v>743</v>
      </c>
      <c r="B759" s="14">
        <f>IF(AND($L759="",$M759="",$N759=""),"",IF($L759&lt;&gt;"",INDEX(LdADate,$L759),IF($M759&lt;&gt;"",INDEX(LdBDate,$M759),INDEX(LdCDate,$N759))))</f>
        <v/>
      </c>
      <c r="C759" s="14">
        <f>IF($L759&lt;&gt;"","دستمزد (فردی)",IF($M759&lt;&gt;"","سهم از گروه "&amp;IFERROR(VLOOKUP(INDEX(LdBGroup,$M759),WGTbl,2,0),INDEX(LdBGroup,$M759)),IF($N759&lt;&gt;"",IF(N(INDEX(LdCDep,$N759))&gt;0,"بازگشت بانکی","پرداخت بانکی"),"")))</f>
        <v/>
      </c>
      <c r="D759" s="14">
        <f>IF($L759&lt;&gt;"",IF(INDEX(LdAId,$L759)="","—",INDEX(LdAId,$L759)),IF($M759&lt;&gt;"",IF(INDEX(LdBId,$M759)="","—",INDEX(LdBId,$M759)),IF($N759&lt;&gt;"",IF(INDEX(LdCBank,$N759)="","—",INDEX(LdCBank,$N759)),"")))</f>
        <v/>
      </c>
      <c r="E759" s="16">
        <f>IF($L759&lt;&gt;"",IF(INDEX(LdAAmt,$L759)=0,"",INDEX(LdAAmt,$L759)),IF($M759&lt;&gt;"",IF(INDEX(LdBAmt,$M759)=0,"",INDEX(LdBAmt,$M759)),IF($N759&lt;&gt;"",IF(INDEX(LdCDep,$N759)=0,"",INDEX(LdCDep,$N759)),"")))</f>
        <v/>
      </c>
      <c r="F759" s="16">
        <f>IF(AND($L759="",$M759="",$N759=""),"",IF($N759="","",IF(INDEX(LdCWit,$N759)=0,"",INDEX(LdCWit,$N759))))</f>
        <v/>
      </c>
      <c r="G759" s="29">
        <f>IF($B759="","",IF($G758="",0,$G758)+IF($E759="",0,$E759)-IF($F759="",0,$F759))</f>
        <v/>
      </c>
      <c r="H759" s="30">
        <f>IF(AND($L759="",$M759="",$N759=""),"",IF($L759&lt;&gt;"",IF(INDEX(LdANote,$L759)="","—",INDEX(LdANote,$L759)),IF($M759&lt;&gt;"",IF(INDEX(LdBNote,$M759)="","—",INDEX(LdBNote,$M759)),IF($N759&lt;&gt;"",IF(INDEX(LdCNote,$N759)="","—",INDEX(LdCNote,$N759)),""))))</f>
        <v/>
      </c>
      <c r="L759">
        <f>IFERROR(MATCH($C$5&amp;"|"&amp;RIGHT("000000"&amp;743,6),LdAKeyM,0),"")</f>
        <v/>
      </c>
      <c r="M759">
        <f>IFERROR(MATCH($C$5&amp;"|"&amp;RIGHT("000000"&amp;743,6),LdBKeyM,0),"")</f>
        <v/>
      </c>
      <c r="N759">
        <f>IFERROR(MATCH($C$5&amp;"|"&amp;RIGHT("000000"&amp;743,6),LdCKeyM,0),"")</f>
        <v/>
      </c>
    </row>
    <row r="760">
      <c r="A760" s="19" t="n">
        <v>744</v>
      </c>
      <c r="B760" s="20">
        <f>IF(AND($L760="",$M760="",$N760=""),"",IF($L760&lt;&gt;"",INDEX(LdADate,$L760),IF($M760&lt;&gt;"",INDEX(LdBDate,$M760),INDEX(LdCDate,$N760))))</f>
        <v/>
      </c>
      <c r="C760" s="20">
        <f>IF($L760&lt;&gt;"","دستمزد (فردی)",IF($M760&lt;&gt;"","سهم از گروه "&amp;IFERROR(VLOOKUP(INDEX(LdBGroup,$M760),WGTbl,2,0),INDEX(LdBGroup,$M760)),IF($N760&lt;&gt;"",IF(N(INDEX(LdCDep,$N760))&gt;0,"بازگشت بانکی","پرداخت بانکی"),"")))</f>
        <v/>
      </c>
      <c r="D760" s="20">
        <f>IF($L760&lt;&gt;"",IF(INDEX(LdAId,$L760)="","—",INDEX(LdAId,$L760)),IF($M760&lt;&gt;"",IF(INDEX(LdBId,$M760)="","—",INDEX(LdBId,$M760)),IF($N760&lt;&gt;"",IF(INDEX(LdCBank,$N760)="","—",INDEX(LdCBank,$N760)),"")))</f>
        <v/>
      </c>
      <c r="E760" s="21">
        <f>IF($L760&lt;&gt;"",IF(INDEX(LdAAmt,$L760)=0,"",INDEX(LdAAmt,$L760)),IF($M760&lt;&gt;"",IF(INDEX(LdBAmt,$M760)=0,"",INDEX(LdBAmt,$M760)),IF($N760&lt;&gt;"",IF(INDEX(LdCDep,$N760)=0,"",INDEX(LdCDep,$N760)),"")))</f>
        <v/>
      </c>
      <c r="F760" s="21">
        <f>IF(AND($L760="",$M760="",$N760=""),"",IF($N760="","",IF(INDEX(LdCWit,$N760)=0,"",INDEX(LdCWit,$N760))))</f>
        <v/>
      </c>
      <c r="G760" s="31">
        <f>IF($B760="","",IF($G759="",0,$G759)+IF($E760="",0,$E760)-IF($F760="",0,$F760))</f>
        <v/>
      </c>
      <c r="H760" s="32">
        <f>IF(AND($L760="",$M760="",$N760=""),"",IF($L760&lt;&gt;"",IF(INDEX(LdANote,$L760)="","—",INDEX(LdANote,$L760)),IF($M760&lt;&gt;"",IF(INDEX(LdBNote,$M760)="","—",INDEX(LdBNote,$M760)),IF($N760&lt;&gt;"",IF(INDEX(LdCNote,$N760)="","—",INDEX(LdCNote,$N760)),""))))</f>
        <v/>
      </c>
      <c r="L760">
        <f>IFERROR(MATCH($C$5&amp;"|"&amp;RIGHT("000000"&amp;744,6),LdAKeyM,0),"")</f>
        <v/>
      </c>
      <c r="M760">
        <f>IFERROR(MATCH($C$5&amp;"|"&amp;RIGHT("000000"&amp;744,6),LdBKeyM,0),"")</f>
        <v/>
      </c>
      <c r="N760">
        <f>IFERROR(MATCH($C$5&amp;"|"&amp;RIGHT("000000"&amp;744,6),LdCKeyM,0),"")</f>
        <v/>
      </c>
    </row>
    <row r="761">
      <c r="A761" s="10" t="n">
        <v>745</v>
      </c>
      <c r="B761" s="14">
        <f>IF(AND($L761="",$M761="",$N761=""),"",IF($L761&lt;&gt;"",INDEX(LdADate,$L761),IF($M761&lt;&gt;"",INDEX(LdBDate,$M761),INDEX(LdCDate,$N761))))</f>
        <v/>
      </c>
      <c r="C761" s="14">
        <f>IF($L761&lt;&gt;"","دستمزد (فردی)",IF($M761&lt;&gt;"","سهم از گروه "&amp;IFERROR(VLOOKUP(INDEX(LdBGroup,$M761),WGTbl,2,0),INDEX(LdBGroup,$M761)),IF($N761&lt;&gt;"",IF(N(INDEX(LdCDep,$N761))&gt;0,"بازگشت بانکی","پرداخت بانکی"),"")))</f>
        <v/>
      </c>
      <c r="D761" s="14">
        <f>IF($L761&lt;&gt;"",IF(INDEX(LdAId,$L761)="","—",INDEX(LdAId,$L761)),IF($M761&lt;&gt;"",IF(INDEX(LdBId,$M761)="","—",INDEX(LdBId,$M761)),IF($N761&lt;&gt;"",IF(INDEX(LdCBank,$N761)="","—",INDEX(LdCBank,$N761)),"")))</f>
        <v/>
      </c>
      <c r="E761" s="16">
        <f>IF($L761&lt;&gt;"",IF(INDEX(LdAAmt,$L761)=0,"",INDEX(LdAAmt,$L761)),IF($M761&lt;&gt;"",IF(INDEX(LdBAmt,$M761)=0,"",INDEX(LdBAmt,$M761)),IF($N761&lt;&gt;"",IF(INDEX(LdCDep,$N761)=0,"",INDEX(LdCDep,$N761)),"")))</f>
        <v/>
      </c>
      <c r="F761" s="16">
        <f>IF(AND($L761="",$M761="",$N761=""),"",IF($N761="","",IF(INDEX(LdCWit,$N761)=0,"",INDEX(LdCWit,$N761))))</f>
        <v/>
      </c>
      <c r="G761" s="29">
        <f>IF($B761="","",IF($G760="",0,$G760)+IF($E761="",0,$E761)-IF($F761="",0,$F761))</f>
        <v/>
      </c>
      <c r="H761" s="30">
        <f>IF(AND($L761="",$M761="",$N761=""),"",IF($L761&lt;&gt;"",IF(INDEX(LdANote,$L761)="","—",INDEX(LdANote,$L761)),IF($M761&lt;&gt;"",IF(INDEX(LdBNote,$M761)="","—",INDEX(LdBNote,$M761)),IF($N761&lt;&gt;"",IF(INDEX(LdCNote,$N761)="","—",INDEX(LdCNote,$N761)),""))))</f>
        <v/>
      </c>
      <c r="L761">
        <f>IFERROR(MATCH($C$5&amp;"|"&amp;RIGHT("000000"&amp;745,6),LdAKeyM,0),"")</f>
        <v/>
      </c>
      <c r="M761">
        <f>IFERROR(MATCH($C$5&amp;"|"&amp;RIGHT("000000"&amp;745,6),LdBKeyM,0),"")</f>
        <v/>
      </c>
      <c r="N761">
        <f>IFERROR(MATCH($C$5&amp;"|"&amp;RIGHT("000000"&amp;745,6),LdCKeyM,0),"")</f>
        <v/>
      </c>
    </row>
    <row r="762">
      <c r="A762" s="19" t="n">
        <v>746</v>
      </c>
      <c r="B762" s="20">
        <f>IF(AND($L762="",$M762="",$N762=""),"",IF($L762&lt;&gt;"",INDEX(LdADate,$L762),IF($M762&lt;&gt;"",INDEX(LdBDate,$M762),INDEX(LdCDate,$N762))))</f>
        <v/>
      </c>
      <c r="C762" s="20">
        <f>IF($L762&lt;&gt;"","دستمزد (فردی)",IF($M762&lt;&gt;"","سهم از گروه "&amp;IFERROR(VLOOKUP(INDEX(LdBGroup,$M762),WGTbl,2,0),INDEX(LdBGroup,$M762)),IF($N762&lt;&gt;"",IF(N(INDEX(LdCDep,$N762))&gt;0,"بازگشت بانکی","پرداخت بانکی"),"")))</f>
        <v/>
      </c>
      <c r="D762" s="20">
        <f>IF($L762&lt;&gt;"",IF(INDEX(LdAId,$L762)="","—",INDEX(LdAId,$L762)),IF($M762&lt;&gt;"",IF(INDEX(LdBId,$M762)="","—",INDEX(LdBId,$M762)),IF($N762&lt;&gt;"",IF(INDEX(LdCBank,$N762)="","—",INDEX(LdCBank,$N762)),"")))</f>
        <v/>
      </c>
      <c r="E762" s="21">
        <f>IF($L762&lt;&gt;"",IF(INDEX(LdAAmt,$L762)=0,"",INDEX(LdAAmt,$L762)),IF($M762&lt;&gt;"",IF(INDEX(LdBAmt,$M762)=0,"",INDEX(LdBAmt,$M762)),IF($N762&lt;&gt;"",IF(INDEX(LdCDep,$N762)=0,"",INDEX(LdCDep,$N762)),"")))</f>
        <v/>
      </c>
      <c r="F762" s="21">
        <f>IF(AND($L762="",$M762="",$N762=""),"",IF($N762="","",IF(INDEX(LdCWit,$N762)=0,"",INDEX(LdCWit,$N762))))</f>
        <v/>
      </c>
      <c r="G762" s="31">
        <f>IF($B762="","",IF($G761="",0,$G761)+IF($E762="",0,$E762)-IF($F762="",0,$F762))</f>
        <v/>
      </c>
      <c r="H762" s="32">
        <f>IF(AND($L762="",$M762="",$N762=""),"",IF($L762&lt;&gt;"",IF(INDEX(LdANote,$L762)="","—",INDEX(LdANote,$L762)),IF($M762&lt;&gt;"",IF(INDEX(LdBNote,$M762)="","—",INDEX(LdBNote,$M762)),IF($N762&lt;&gt;"",IF(INDEX(LdCNote,$N762)="","—",INDEX(LdCNote,$N762)),""))))</f>
        <v/>
      </c>
      <c r="L762">
        <f>IFERROR(MATCH($C$5&amp;"|"&amp;RIGHT("000000"&amp;746,6),LdAKeyM,0),"")</f>
        <v/>
      </c>
      <c r="M762">
        <f>IFERROR(MATCH($C$5&amp;"|"&amp;RIGHT("000000"&amp;746,6),LdBKeyM,0),"")</f>
        <v/>
      </c>
      <c r="N762">
        <f>IFERROR(MATCH($C$5&amp;"|"&amp;RIGHT("000000"&amp;746,6),LdCKeyM,0),"")</f>
        <v/>
      </c>
    </row>
    <row r="763">
      <c r="A763" s="10" t="n">
        <v>747</v>
      </c>
      <c r="B763" s="14">
        <f>IF(AND($L763="",$M763="",$N763=""),"",IF($L763&lt;&gt;"",INDEX(LdADate,$L763),IF($M763&lt;&gt;"",INDEX(LdBDate,$M763),INDEX(LdCDate,$N763))))</f>
        <v/>
      </c>
      <c r="C763" s="14">
        <f>IF($L763&lt;&gt;"","دستمزد (فردی)",IF($M763&lt;&gt;"","سهم از گروه "&amp;IFERROR(VLOOKUP(INDEX(LdBGroup,$M763),WGTbl,2,0),INDEX(LdBGroup,$M763)),IF($N763&lt;&gt;"",IF(N(INDEX(LdCDep,$N763))&gt;0,"بازگشت بانکی","پرداخت بانکی"),"")))</f>
        <v/>
      </c>
      <c r="D763" s="14">
        <f>IF($L763&lt;&gt;"",IF(INDEX(LdAId,$L763)="","—",INDEX(LdAId,$L763)),IF($M763&lt;&gt;"",IF(INDEX(LdBId,$M763)="","—",INDEX(LdBId,$M763)),IF($N763&lt;&gt;"",IF(INDEX(LdCBank,$N763)="","—",INDEX(LdCBank,$N763)),"")))</f>
        <v/>
      </c>
      <c r="E763" s="16">
        <f>IF($L763&lt;&gt;"",IF(INDEX(LdAAmt,$L763)=0,"",INDEX(LdAAmt,$L763)),IF($M763&lt;&gt;"",IF(INDEX(LdBAmt,$M763)=0,"",INDEX(LdBAmt,$M763)),IF($N763&lt;&gt;"",IF(INDEX(LdCDep,$N763)=0,"",INDEX(LdCDep,$N763)),"")))</f>
        <v/>
      </c>
      <c r="F763" s="16">
        <f>IF(AND($L763="",$M763="",$N763=""),"",IF($N763="","",IF(INDEX(LdCWit,$N763)=0,"",INDEX(LdCWit,$N763))))</f>
        <v/>
      </c>
      <c r="G763" s="29">
        <f>IF($B763="","",IF($G762="",0,$G762)+IF($E763="",0,$E763)-IF($F763="",0,$F763))</f>
        <v/>
      </c>
      <c r="H763" s="30">
        <f>IF(AND($L763="",$M763="",$N763=""),"",IF($L763&lt;&gt;"",IF(INDEX(LdANote,$L763)="","—",INDEX(LdANote,$L763)),IF($M763&lt;&gt;"",IF(INDEX(LdBNote,$M763)="","—",INDEX(LdBNote,$M763)),IF($N763&lt;&gt;"",IF(INDEX(LdCNote,$N763)="","—",INDEX(LdCNote,$N763)),""))))</f>
        <v/>
      </c>
      <c r="L763">
        <f>IFERROR(MATCH($C$5&amp;"|"&amp;RIGHT("000000"&amp;747,6),LdAKeyM,0),"")</f>
        <v/>
      </c>
      <c r="M763">
        <f>IFERROR(MATCH($C$5&amp;"|"&amp;RIGHT("000000"&amp;747,6),LdBKeyM,0),"")</f>
        <v/>
      </c>
      <c r="N763">
        <f>IFERROR(MATCH($C$5&amp;"|"&amp;RIGHT("000000"&amp;747,6),LdCKeyM,0),"")</f>
        <v/>
      </c>
    </row>
    <row r="764">
      <c r="A764" s="19" t="n">
        <v>748</v>
      </c>
      <c r="B764" s="20">
        <f>IF(AND($L764="",$M764="",$N764=""),"",IF($L764&lt;&gt;"",INDEX(LdADate,$L764),IF($M764&lt;&gt;"",INDEX(LdBDate,$M764),INDEX(LdCDate,$N764))))</f>
        <v/>
      </c>
      <c r="C764" s="20">
        <f>IF($L764&lt;&gt;"","دستمزد (فردی)",IF($M764&lt;&gt;"","سهم از گروه "&amp;IFERROR(VLOOKUP(INDEX(LdBGroup,$M764),WGTbl,2,0),INDEX(LdBGroup,$M764)),IF($N764&lt;&gt;"",IF(N(INDEX(LdCDep,$N764))&gt;0,"بازگشت بانکی","پرداخت بانکی"),"")))</f>
        <v/>
      </c>
      <c r="D764" s="20">
        <f>IF($L764&lt;&gt;"",IF(INDEX(LdAId,$L764)="","—",INDEX(LdAId,$L764)),IF($M764&lt;&gt;"",IF(INDEX(LdBId,$M764)="","—",INDEX(LdBId,$M764)),IF($N764&lt;&gt;"",IF(INDEX(LdCBank,$N764)="","—",INDEX(LdCBank,$N764)),"")))</f>
        <v/>
      </c>
      <c r="E764" s="21">
        <f>IF($L764&lt;&gt;"",IF(INDEX(LdAAmt,$L764)=0,"",INDEX(LdAAmt,$L764)),IF($M764&lt;&gt;"",IF(INDEX(LdBAmt,$M764)=0,"",INDEX(LdBAmt,$M764)),IF($N764&lt;&gt;"",IF(INDEX(LdCDep,$N764)=0,"",INDEX(LdCDep,$N764)),"")))</f>
        <v/>
      </c>
      <c r="F764" s="21">
        <f>IF(AND($L764="",$M764="",$N764=""),"",IF($N764="","",IF(INDEX(LdCWit,$N764)=0,"",INDEX(LdCWit,$N764))))</f>
        <v/>
      </c>
      <c r="G764" s="31">
        <f>IF($B764="","",IF($G763="",0,$G763)+IF($E764="",0,$E764)-IF($F764="",0,$F764))</f>
        <v/>
      </c>
      <c r="H764" s="32">
        <f>IF(AND($L764="",$M764="",$N764=""),"",IF($L764&lt;&gt;"",IF(INDEX(LdANote,$L764)="","—",INDEX(LdANote,$L764)),IF($M764&lt;&gt;"",IF(INDEX(LdBNote,$M764)="","—",INDEX(LdBNote,$M764)),IF($N764&lt;&gt;"",IF(INDEX(LdCNote,$N764)="","—",INDEX(LdCNote,$N764)),""))))</f>
        <v/>
      </c>
      <c r="L764">
        <f>IFERROR(MATCH($C$5&amp;"|"&amp;RIGHT("000000"&amp;748,6),LdAKeyM,0),"")</f>
        <v/>
      </c>
      <c r="M764">
        <f>IFERROR(MATCH($C$5&amp;"|"&amp;RIGHT("000000"&amp;748,6),LdBKeyM,0),"")</f>
        <v/>
      </c>
      <c r="N764">
        <f>IFERROR(MATCH($C$5&amp;"|"&amp;RIGHT("000000"&amp;748,6),LdCKeyM,0),"")</f>
        <v/>
      </c>
    </row>
    <row r="765">
      <c r="A765" s="10" t="n">
        <v>749</v>
      </c>
      <c r="B765" s="14">
        <f>IF(AND($L765="",$M765="",$N765=""),"",IF($L765&lt;&gt;"",INDEX(LdADate,$L765),IF($M765&lt;&gt;"",INDEX(LdBDate,$M765),INDEX(LdCDate,$N765))))</f>
        <v/>
      </c>
      <c r="C765" s="14">
        <f>IF($L765&lt;&gt;"","دستمزد (فردی)",IF($M765&lt;&gt;"","سهم از گروه "&amp;IFERROR(VLOOKUP(INDEX(LdBGroup,$M765),WGTbl,2,0),INDEX(LdBGroup,$M765)),IF($N765&lt;&gt;"",IF(N(INDEX(LdCDep,$N765))&gt;0,"بازگشت بانکی","پرداخت بانکی"),"")))</f>
        <v/>
      </c>
      <c r="D765" s="14">
        <f>IF($L765&lt;&gt;"",IF(INDEX(LdAId,$L765)="","—",INDEX(LdAId,$L765)),IF($M765&lt;&gt;"",IF(INDEX(LdBId,$M765)="","—",INDEX(LdBId,$M765)),IF($N765&lt;&gt;"",IF(INDEX(LdCBank,$N765)="","—",INDEX(LdCBank,$N765)),"")))</f>
        <v/>
      </c>
      <c r="E765" s="16">
        <f>IF($L765&lt;&gt;"",IF(INDEX(LdAAmt,$L765)=0,"",INDEX(LdAAmt,$L765)),IF($M765&lt;&gt;"",IF(INDEX(LdBAmt,$M765)=0,"",INDEX(LdBAmt,$M765)),IF($N765&lt;&gt;"",IF(INDEX(LdCDep,$N765)=0,"",INDEX(LdCDep,$N765)),"")))</f>
        <v/>
      </c>
      <c r="F765" s="16">
        <f>IF(AND($L765="",$M765="",$N765=""),"",IF($N765="","",IF(INDEX(LdCWit,$N765)=0,"",INDEX(LdCWit,$N765))))</f>
        <v/>
      </c>
      <c r="G765" s="29">
        <f>IF($B765="","",IF($G764="",0,$G764)+IF($E765="",0,$E765)-IF($F765="",0,$F765))</f>
        <v/>
      </c>
      <c r="H765" s="30">
        <f>IF(AND($L765="",$M765="",$N765=""),"",IF($L765&lt;&gt;"",IF(INDEX(LdANote,$L765)="","—",INDEX(LdANote,$L765)),IF($M765&lt;&gt;"",IF(INDEX(LdBNote,$M765)="","—",INDEX(LdBNote,$M765)),IF($N765&lt;&gt;"",IF(INDEX(LdCNote,$N765)="","—",INDEX(LdCNote,$N765)),""))))</f>
        <v/>
      </c>
      <c r="L765">
        <f>IFERROR(MATCH($C$5&amp;"|"&amp;RIGHT("000000"&amp;749,6),LdAKeyM,0),"")</f>
        <v/>
      </c>
      <c r="M765">
        <f>IFERROR(MATCH($C$5&amp;"|"&amp;RIGHT("000000"&amp;749,6),LdBKeyM,0),"")</f>
        <v/>
      </c>
      <c r="N765">
        <f>IFERROR(MATCH($C$5&amp;"|"&amp;RIGHT("000000"&amp;749,6),LdCKeyM,0),"")</f>
        <v/>
      </c>
    </row>
    <row r="766">
      <c r="A766" s="19" t="n">
        <v>750</v>
      </c>
      <c r="B766" s="20">
        <f>IF(AND($L766="",$M766="",$N766=""),"",IF($L766&lt;&gt;"",INDEX(LdADate,$L766),IF($M766&lt;&gt;"",INDEX(LdBDate,$M766),INDEX(LdCDate,$N766))))</f>
        <v/>
      </c>
      <c r="C766" s="20">
        <f>IF($L766&lt;&gt;"","دستمزد (فردی)",IF($M766&lt;&gt;"","سهم از گروه "&amp;IFERROR(VLOOKUP(INDEX(LdBGroup,$M766),WGTbl,2,0),INDEX(LdBGroup,$M766)),IF($N766&lt;&gt;"",IF(N(INDEX(LdCDep,$N766))&gt;0,"بازگشت بانکی","پرداخت بانکی"),"")))</f>
        <v/>
      </c>
      <c r="D766" s="20">
        <f>IF($L766&lt;&gt;"",IF(INDEX(LdAId,$L766)="","—",INDEX(LdAId,$L766)),IF($M766&lt;&gt;"",IF(INDEX(LdBId,$M766)="","—",INDEX(LdBId,$M766)),IF($N766&lt;&gt;"",IF(INDEX(LdCBank,$N766)="","—",INDEX(LdCBank,$N766)),"")))</f>
        <v/>
      </c>
      <c r="E766" s="21">
        <f>IF($L766&lt;&gt;"",IF(INDEX(LdAAmt,$L766)=0,"",INDEX(LdAAmt,$L766)),IF($M766&lt;&gt;"",IF(INDEX(LdBAmt,$M766)=0,"",INDEX(LdBAmt,$M766)),IF($N766&lt;&gt;"",IF(INDEX(LdCDep,$N766)=0,"",INDEX(LdCDep,$N766)),"")))</f>
        <v/>
      </c>
      <c r="F766" s="21">
        <f>IF(AND($L766="",$M766="",$N766=""),"",IF($N766="","",IF(INDEX(LdCWit,$N766)=0,"",INDEX(LdCWit,$N766))))</f>
        <v/>
      </c>
      <c r="G766" s="31">
        <f>IF($B766="","",IF($G765="",0,$G765)+IF($E766="",0,$E766)-IF($F766="",0,$F766))</f>
        <v/>
      </c>
      <c r="H766" s="32">
        <f>IF(AND($L766="",$M766="",$N766=""),"",IF($L766&lt;&gt;"",IF(INDEX(LdANote,$L766)="","—",INDEX(LdANote,$L766)),IF($M766&lt;&gt;"",IF(INDEX(LdBNote,$M766)="","—",INDEX(LdBNote,$M766)),IF($N766&lt;&gt;"",IF(INDEX(LdCNote,$N766)="","—",INDEX(LdCNote,$N766)),""))))</f>
        <v/>
      </c>
      <c r="L766">
        <f>IFERROR(MATCH($C$5&amp;"|"&amp;RIGHT("000000"&amp;750,6),LdAKeyM,0),"")</f>
        <v/>
      </c>
      <c r="M766">
        <f>IFERROR(MATCH($C$5&amp;"|"&amp;RIGHT("000000"&amp;750,6),LdBKeyM,0),"")</f>
        <v/>
      </c>
      <c r="N766">
        <f>IFERROR(MATCH($C$5&amp;"|"&amp;RIGHT("000000"&amp;750,6),LdCKeyM,0),"")</f>
        <v/>
      </c>
    </row>
    <row r="767">
      <c r="A767" s="10" t="n">
        <v>751</v>
      </c>
      <c r="B767" s="14">
        <f>IF(AND($L767="",$M767="",$N767=""),"",IF($L767&lt;&gt;"",INDEX(LdADate,$L767),IF($M767&lt;&gt;"",INDEX(LdBDate,$M767),INDEX(LdCDate,$N767))))</f>
        <v/>
      </c>
      <c r="C767" s="14">
        <f>IF($L767&lt;&gt;"","دستمزد (فردی)",IF($M767&lt;&gt;"","سهم از گروه "&amp;IFERROR(VLOOKUP(INDEX(LdBGroup,$M767),WGTbl,2,0),INDEX(LdBGroup,$M767)),IF($N767&lt;&gt;"",IF(N(INDEX(LdCDep,$N767))&gt;0,"بازگشت بانکی","پرداخت بانکی"),"")))</f>
        <v/>
      </c>
      <c r="D767" s="14">
        <f>IF($L767&lt;&gt;"",IF(INDEX(LdAId,$L767)="","—",INDEX(LdAId,$L767)),IF($M767&lt;&gt;"",IF(INDEX(LdBId,$M767)="","—",INDEX(LdBId,$M767)),IF($N767&lt;&gt;"",IF(INDEX(LdCBank,$N767)="","—",INDEX(LdCBank,$N767)),"")))</f>
        <v/>
      </c>
      <c r="E767" s="16">
        <f>IF($L767&lt;&gt;"",IF(INDEX(LdAAmt,$L767)=0,"",INDEX(LdAAmt,$L767)),IF($M767&lt;&gt;"",IF(INDEX(LdBAmt,$M767)=0,"",INDEX(LdBAmt,$M767)),IF($N767&lt;&gt;"",IF(INDEX(LdCDep,$N767)=0,"",INDEX(LdCDep,$N767)),"")))</f>
        <v/>
      </c>
      <c r="F767" s="16">
        <f>IF(AND($L767="",$M767="",$N767=""),"",IF($N767="","",IF(INDEX(LdCWit,$N767)=0,"",INDEX(LdCWit,$N767))))</f>
        <v/>
      </c>
      <c r="G767" s="29">
        <f>IF($B767="","",IF($G766="",0,$G766)+IF($E767="",0,$E767)-IF($F767="",0,$F767))</f>
        <v/>
      </c>
      <c r="H767" s="30">
        <f>IF(AND($L767="",$M767="",$N767=""),"",IF($L767&lt;&gt;"",IF(INDEX(LdANote,$L767)="","—",INDEX(LdANote,$L767)),IF($M767&lt;&gt;"",IF(INDEX(LdBNote,$M767)="","—",INDEX(LdBNote,$M767)),IF($N767&lt;&gt;"",IF(INDEX(LdCNote,$N767)="","—",INDEX(LdCNote,$N767)),""))))</f>
        <v/>
      </c>
      <c r="L767">
        <f>IFERROR(MATCH($C$5&amp;"|"&amp;RIGHT("000000"&amp;751,6),LdAKeyM,0),"")</f>
        <v/>
      </c>
      <c r="M767">
        <f>IFERROR(MATCH($C$5&amp;"|"&amp;RIGHT("000000"&amp;751,6),LdBKeyM,0),"")</f>
        <v/>
      </c>
      <c r="N767">
        <f>IFERROR(MATCH($C$5&amp;"|"&amp;RIGHT("000000"&amp;751,6),LdCKeyM,0),"")</f>
        <v/>
      </c>
    </row>
    <row r="768">
      <c r="A768" s="19" t="n">
        <v>752</v>
      </c>
      <c r="B768" s="20">
        <f>IF(AND($L768="",$M768="",$N768=""),"",IF($L768&lt;&gt;"",INDEX(LdADate,$L768),IF($M768&lt;&gt;"",INDEX(LdBDate,$M768),INDEX(LdCDate,$N768))))</f>
        <v/>
      </c>
      <c r="C768" s="20">
        <f>IF($L768&lt;&gt;"","دستمزد (فردی)",IF($M768&lt;&gt;"","سهم از گروه "&amp;IFERROR(VLOOKUP(INDEX(LdBGroup,$M768),WGTbl,2,0),INDEX(LdBGroup,$M768)),IF($N768&lt;&gt;"",IF(N(INDEX(LdCDep,$N768))&gt;0,"بازگشت بانکی","پرداخت بانکی"),"")))</f>
        <v/>
      </c>
      <c r="D768" s="20">
        <f>IF($L768&lt;&gt;"",IF(INDEX(LdAId,$L768)="","—",INDEX(LdAId,$L768)),IF($M768&lt;&gt;"",IF(INDEX(LdBId,$M768)="","—",INDEX(LdBId,$M768)),IF($N768&lt;&gt;"",IF(INDEX(LdCBank,$N768)="","—",INDEX(LdCBank,$N768)),"")))</f>
        <v/>
      </c>
      <c r="E768" s="21">
        <f>IF($L768&lt;&gt;"",IF(INDEX(LdAAmt,$L768)=0,"",INDEX(LdAAmt,$L768)),IF($M768&lt;&gt;"",IF(INDEX(LdBAmt,$M768)=0,"",INDEX(LdBAmt,$M768)),IF($N768&lt;&gt;"",IF(INDEX(LdCDep,$N768)=0,"",INDEX(LdCDep,$N768)),"")))</f>
        <v/>
      </c>
      <c r="F768" s="21">
        <f>IF(AND($L768="",$M768="",$N768=""),"",IF($N768="","",IF(INDEX(LdCWit,$N768)=0,"",INDEX(LdCWit,$N768))))</f>
        <v/>
      </c>
      <c r="G768" s="31">
        <f>IF($B768="","",IF($G767="",0,$G767)+IF($E768="",0,$E768)-IF($F768="",0,$F768))</f>
        <v/>
      </c>
      <c r="H768" s="32">
        <f>IF(AND($L768="",$M768="",$N768=""),"",IF($L768&lt;&gt;"",IF(INDEX(LdANote,$L768)="","—",INDEX(LdANote,$L768)),IF($M768&lt;&gt;"",IF(INDEX(LdBNote,$M768)="","—",INDEX(LdBNote,$M768)),IF($N768&lt;&gt;"",IF(INDEX(LdCNote,$N768)="","—",INDEX(LdCNote,$N768)),""))))</f>
        <v/>
      </c>
      <c r="L768">
        <f>IFERROR(MATCH($C$5&amp;"|"&amp;RIGHT("000000"&amp;752,6),LdAKeyM,0),"")</f>
        <v/>
      </c>
      <c r="M768">
        <f>IFERROR(MATCH($C$5&amp;"|"&amp;RIGHT("000000"&amp;752,6),LdBKeyM,0),"")</f>
        <v/>
      </c>
      <c r="N768">
        <f>IFERROR(MATCH($C$5&amp;"|"&amp;RIGHT("000000"&amp;752,6),LdCKeyM,0),"")</f>
        <v/>
      </c>
    </row>
    <row r="769">
      <c r="A769" s="10" t="n">
        <v>753</v>
      </c>
      <c r="B769" s="14">
        <f>IF(AND($L769="",$M769="",$N769=""),"",IF($L769&lt;&gt;"",INDEX(LdADate,$L769),IF($M769&lt;&gt;"",INDEX(LdBDate,$M769),INDEX(LdCDate,$N769))))</f>
        <v/>
      </c>
      <c r="C769" s="14">
        <f>IF($L769&lt;&gt;"","دستمزد (فردی)",IF($M769&lt;&gt;"","سهم از گروه "&amp;IFERROR(VLOOKUP(INDEX(LdBGroup,$M769),WGTbl,2,0),INDEX(LdBGroup,$M769)),IF($N769&lt;&gt;"",IF(N(INDEX(LdCDep,$N769))&gt;0,"بازگشت بانکی","پرداخت بانکی"),"")))</f>
        <v/>
      </c>
      <c r="D769" s="14">
        <f>IF($L769&lt;&gt;"",IF(INDEX(LdAId,$L769)="","—",INDEX(LdAId,$L769)),IF($M769&lt;&gt;"",IF(INDEX(LdBId,$M769)="","—",INDEX(LdBId,$M769)),IF($N769&lt;&gt;"",IF(INDEX(LdCBank,$N769)="","—",INDEX(LdCBank,$N769)),"")))</f>
        <v/>
      </c>
      <c r="E769" s="16">
        <f>IF($L769&lt;&gt;"",IF(INDEX(LdAAmt,$L769)=0,"",INDEX(LdAAmt,$L769)),IF($M769&lt;&gt;"",IF(INDEX(LdBAmt,$M769)=0,"",INDEX(LdBAmt,$M769)),IF($N769&lt;&gt;"",IF(INDEX(LdCDep,$N769)=0,"",INDEX(LdCDep,$N769)),"")))</f>
        <v/>
      </c>
      <c r="F769" s="16">
        <f>IF(AND($L769="",$M769="",$N769=""),"",IF($N769="","",IF(INDEX(LdCWit,$N769)=0,"",INDEX(LdCWit,$N769))))</f>
        <v/>
      </c>
      <c r="G769" s="29">
        <f>IF($B769="","",IF($G768="",0,$G768)+IF($E769="",0,$E769)-IF($F769="",0,$F769))</f>
        <v/>
      </c>
      <c r="H769" s="30">
        <f>IF(AND($L769="",$M769="",$N769=""),"",IF($L769&lt;&gt;"",IF(INDEX(LdANote,$L769)="","—",INDEX(LdANote,$L769)),IF($M769&lt;&gt;"",IF(INDEX(LdBNote,$M769)="","—",INDEX(LdBNote,$M769)),IF($N769&lt;&gt;"",IF(INDEX(LdCNote,$N769)="","—",INDEX(LdCNote,$N769)),""))))</f>
        <v/>
      </c>
      <c r="L769">
        <f>IFERROR(MATCH($C$5&amp;"|"&amp;RIGHT("000000"&amp;753,6),LdAKeyM,0),"")</f>
        <v/>
      </c>
      <c r="M769">
        <f>IFERROR(MATCH($C$5&amp;"|"&amp;RIGHT("000000"&amp;753,6),LdBKeyM,0),"")</f>
        <v/>
      </c>
      <c r="N769">
        <f>IFERROR(MATCH($C$5&amp;"|"&amp;RIGHT("000000"&amp;753,6),LdCKeyM,0),"")</f>
        <v/>
      </c>
    </row>
    <row r="770">
      <c r="A770" s="19" t="n">
        <v>754</v>
      </c>
      <c r="B770" s="20">
        <f>IF(AND($L770="",$M770="",$N770=""),"",IF($L770&lt;&gt;"",INDEX(LdADate,$L770),IF($M770&lt;&gt;"",INDEX(LdBDate,$M770),INDEX(LdCDate,$N770))))</f>
        <v/>
      </c>
      <c r="C770" s="20">
        <f>IF($L770&lt;&gt;"","دستمزد (فردی)",IF($M770&lt;&gt;"","سهم از گروه "&amp;IFERROR(VLOOKUP(INDEX(LdBGroup,$M770),WGTbl,2,0),INDEX(LdBGroup,$M770)),IF($N770&lt;&gt;"",IF(N(INDEX(LdCDep,$N770))&gt;0,"بازگشت بانکی","پرداخت بانکی"),"")))</f>
        <v/>
      </c>
      <c r="D770" s="20">
        <f>IF($L770&lt;&gt;"",IF(INDEX(LdAId,$L770)="","—",INDEX(LdAId,$L770)),IF($M770&lt;&gt;"",IF(INDEX(LdBId,$M770)="","—",INDEX(LdBId,$M770)),IF($N770&lt;&gt;"",IF(INDEX(LdCBank,$N770)="","—",INDEX(LdCBank,$N770)),"")))</f>
        <v/>
      </c>
      <c r="E770" s="21">
        <f>IF($L770&lt;&gt;"",IF(INDEX(LdAAmt,$L770)=0,"",INDEX(LdAAmt,$L770)),IF($M770&lt;&gt;"",IF(INDEX(LdBAmt,$M770)=0,"",INDEX(LdBAmt,$M770)),IF($N770&lt;&gt;"",IF(INDEX(LdCDep,$N770)=0,"",INDEX(LdCDep,$N770)),"")))</f>
        <v/>
      </c>
      <c r="F770" s="21">
        <f>IF(AND($L770="",$M770="",$N770=""),"",IF($N770="","",IF(INDEX(LdCWit,$N770)=0,"",INDEX(LdCWit,$N770))))</f>
        <v/>
      </c>
      <c r="G770" s="31">
        <f>IF($B770="","",IF($G769="",0,$G769)+IF($E770="",0,$E770)-IF($F770="",0,$F770))</f>
        <v/>
      </c>
      <c r="H770" s="32">
        <f>IF(AND($L770="",$M770="",$N770=""),"",IF($L770&lt;&gt;"",IF(INDEX(LdANote,$L770)="","—",INDEX(LdANote,$L770)),IF($M770&lt;&gt;"",IF(INDEX(LdBNote,$M770)="","—",INDEX(LdBNote,$M770)),IF($N770&lt;&gt;"",IF(INDEX(LdCNote,$N770)="","—",INDEX(LdCNote,$N770)),""))))</f>
        <v/>
      </c>
      <c r="L770">
        <f>IFERROR(MATCH($C$5&amp;"|"&amp;RIGHT("000000"&amp;754,6),LdAKeyM,0),"")</f>
        <v/>
      </c>
      <c r="M770">
        <f>IFERROR(MATCH($C$5&amp;"|"&amp;RIGHT("000000"&amp;754,6),LdBKeyM,0),"")</f>
        <v/>
      </c>
      <c r="N770">
        <f>IFERROR(MATCH($C$5&amp;"|"&amp;RIGHT("000000"&amp;754,6),LdCKeyM,0),"")</f>
        <v/>
      </c>
    </row>
    <row r="771">
      <c r="A771" s="10" t="n">
        <v>755</v>
      </c>
      <c r="B771" s="14">
        <f>IF(AND($L771="",$M771="",$N771=""),"",IF($L771&lt;&gt;"",INDEX(LdADate,$L771),IF($M771&lt;&gt;"",INDEX(LdBDate,$M771),INDEX(LdCDate,$N771))))</f>
        <v/>
      </c>
      <c r="C771" s="14">
        <f>IF($L771&lt;&gt;"","دستمزد (فردی)",IF($M771&lt;&gt;"","سهم از گروه "&amp;IFERROR(VLOOKUP(INDEX(LdBGroup,$M771),WGTbl,2,0),INDEX(LdBGroup,$M771)),IF($N771&lt;&gt;"",IF(N(INDEX(LdCDep,$N771))&gt;0,"بازگشت بانکی","پرداخت بانکی"),"")))</f>
        <v/>
      </c>
      <c r="D771" s="14">
        <f>IF($L771&lt;&gt;"",IF(INDEX(LdAId,$L771)="","—",INDEX(LdAId,$L771)),IF($M771&lt;&gt;"",IF(INDEX(LdBId,$M771)="","—",INDEX(LdBId,$M771)),IF($N771&lt;&gt;"",IF(INDEX(LdCBank,$N771)="","—",INDEX(LdCBank,$N771)),"")))</f>
        <v/>
      </c>
      <c r="E771" s="16">
        <f>IF($L771&lt;&gt;"",IF(INDEX(LdAAmt,$L771)=0,"",INDEX(LdAAmt,$L771)),IF($M771&lt;&gt;"",IF(INDEX(LdBAmt,$M771)=0,"",INDEX(LdBAmt,$M771)),IF($N771&lt;&gt;"",IF(INDEX(LdCDep,$N771)=0,"",INDEX(LdCDep,$N771)),"")))</f>
        <v/>
      </c>
      <c r="F771" s="16">
        <f>IF(AND($L771="",$M771="",$N771=""),"",IF($N771="","",IF(INDEX(LdCWit,$N771)=0,"",INDEX(LdCWit,$N771))))</f>
        <v/>
      </c>
      <c r="G771" s="29">
        <f>IF($B771="","",IF($G770="",0,$G770)+IF($E771="",0,$E771)-IF($F771="",0,$F771))</f>
        <v/>
      </c>
      <c r="H771" s="30">
        <f>IF(AND($L771="",$M771="",$N771=""),"",IF($L771&lt;&gt;"",IF(INDEX(LdANote,$L771)="","—",INDEX(LdANote,$L771)),IF($M771&lt;&gt;"",IF(INDEX(LdBNote,$M771)="","—",INDEX(LdBNote,$M771)),IF($N771&lt;&gt;"",IF(INDEX(LdCNote,$N771)="","—",INDEX(LdCNote,$N771)),""))))</f>
        <v/>
      </c>
      <c r="L771">
        <f>IFERROR(MATCH($C$5&amp;"|"&amp;RIGHT("000000"&amp;755,6),LdAKeyM,0),"")</f>
        <v/>
      </c>
      <c r="M771">
        <f>IFERROR(MATCH($C$5&amp;"|"&amp;RIGHT("000000"&amp;755,6),LdBKeyM,0),"")</f>
        <v/>
      </c>
      <c r="N771">
        <f>IFERROR(MATCH($C$5&amp;"|"&amp;RIGHT("000000"&amp;755,6),LdCKeyM,0),"")</f>
        <v/>
      </c>
    </row>
    <row r="772">
      <c r="A772" s="19" t="n">
        <v>756</v>
      </c>
      <c r="B772" s="20">
        <f>IF(AND($L772="",$M772="",$N772=""),"",IF($L772&lt;&gt;"",INDEX(LdADate,$L772),IF($M772&lt;&gt;"",INDEX(LdBDate,$M772),INDEX(LdCDate,$N772))))</f>
        <v/>
      </c>
      <c r="C772" s="20">
        <f>IF($L772&lt;&gt;"","دستمزد (فردی)",IF($M772&lt;&gt;"","سهم از گروه "&amp;IFERROR(VLOOKUP(INDEX(LdBGroup,$M772),WGTbl,2,0),INDEX(LdBGroup,$M772)),IF($N772&lt;&gt;"",IF(N(INDEX(LdCDep,$N772))&gt;0,"بازگشت بانکی","پرداخت بانکی"),"")))</f>
        <v/>
      </c>
      <c r="D772" s="20">
        <f>IF($L772&lt;&gt;"",IF(INDEX(LdAId,$L772)="","—",INDEX(LdAId,$L772)),IF($M772&lt;&gt;"",IF(INDEX(LdBId,$M772)="","—",INDEX(LdBId,$M772)),IF($N772&lt;&gt;"",IF(INDEX(LdCBank,$N772)="","—",INDEX(LdCBank,$N772)),"")))</f>
        <v/>
      </c>
      <c r="E772" s="21">
        <f>IF($L772&lt;&gt;"",IF(INDEX(LdAAmt,$L772)=0,"",INDEX(LdAAmt,$L772)),IF($M772&lt;&gt;"",IF(INDEX(LdBAmt,$M772)=0,"",INDEX(LdBAmt,$M772)),IF($N772&lt;&gt;"",IF(INDEX(LdCDep,$N772)=0,"",INDEX(LdCDep,$N772)),"")))</f>
        <v/>
      </c>
      <c r="F772" s="21">
        <f>IF(AND($L772="",$M772="",$N772=""),"",IF($N772="","",IF(INDEX(LdCWit,$N772)=0,"",INDEX(LdCWit,$N772))))</f>
        <v/>
      </c>
      <c r="G772" s="31">
        <f>IF($B772="","",IF($G771="",0,$G771)+IF($E772="",0,$E772)-IF($F772="",0,$F772))</f>
        <v/>
      </c>
      <c r="H772" s="32">
        <f>IF(AND($L772="",$M772="",$N772=""),"",IF($L772&lt;&gt;"",IF(INDEX(LdANote,$L772)="","—",INDEX(LdANote,$L772)),IF($M772&lt;&gt;"",IF(INDEX(LdBNote,$M772)="","—",INDEX(LdBNote,$M772)),IF($N772&lt;&gt;"",IF(INDEX(LdCNote,$N772)="","—",INDEX(LdCNote,$N772)),""))))</f>
        <v/>
      </c>
      <c r="L772">
        <f>IFERROR(MATCH($C$5&amp;"|"&amp;RIGHT("000000"&amp;756,6),LdAKeyM,0),"")</f>
        <v/>
      </c>
      <c r="M772">
        <f>IFERROR(MATCH($C$5&amp;"|"&amp;RIGHT("000000"&amp;756,6),LdBKeyM,0),"")</f>
        <v/>
      </c>
      <c r="N772">
        <f>IFERROR(MATCH($C$5&amp;"|"&amp;RIGHT("000000"&amp;756,6),LdCKeyM,0),"")</f>
        <v/>
      </c>
    </row>
    <row r="773">
      <c r="A773" s="10" t="n">
        <v>757</v>
      </c>
      <c r="B773" s="14">
        <f>IF(AND($L773="",$M773="",$N773=""),"",IF($L773&lt;&gt;"",INDEX(LdADate,$L773),IF($M773&lt;&gt;"",INDEX(LdBDate,$M773),INDEX(LdCDate,$N773))))</f>
        <v/>
      </c>
      <c r="C773" s="14">
        <f>IF($L773&lt;&gt;"","دستمزد (فردی)",IF($M773&lt;&gt;"","سهم از گروه "&amp;IFERROR(VLOOKUP(INDEX(LdBGroup,$M773),WGTbl,2,0),INDEX(LdBGroup,$M773)),IF($N773&lt;&gt;"",IF(N(INDEX(LdCDep,$N773))&gt;0,"بازگشت بانکی","پرداخت بانکی"),"")))</f>
        <v/>
      </c>
      <c r="D773" s="14">
        <f>IF($L773&lt;&gt;"",IF(INDEX(LdAId,$L773)="","—",INDEX(LdAId,$L773)),IF($M773&lt;&gt;"",IF(INDEX(LdBId,$M773)="","—",INDEX(LdBId,$M773)),IF($N773&lt;&gt;"",IF(INDEX(LdCBank,$N773)="","—",INDEX(LdCBank,$N773)),"")))</f>
        <v/>
      </c>
      <c r="E773" s="16">
        <f>IF($L773&lt;&gt;"",IF(INDEX(LdAAmt,$L773)=0,"",INDEX(LdAAmt,$L773)),IF($M773&lt;&gt;"",IF(INDEX(LdBAmt,$M773)=0,"",INDEX(LdBAmt,$M773)),IF($N773&lt;&gt;"",IF(INDEX(LdCDep,$N773)=0,"",INDEX(LdCDep,$N773)),"")))</f>
        <v/>
      </c>
      <c r="F773" s="16">
        <f>IF(AND($L773="",$M773="",$N773=""),"",IF($N773="","",IF(INDEX(LdCWit,$N773)=0,"",INDEX(LdCWit,$N773))))</f>
        <v/>
      </c>
      <c r="G773" s="29">
        <f>IF($B773="","",IF($G772="",0,$G772)+IF($E773="",0,$E773)-IF($F773="",0,$F773))</f>
        <v/>
      </c>
      <c r="H773" s="30">
        <f>IF(AND($L773="",$M773="",$N773=""),"",IF($L773&lt;&gt;"",IF(INDEX(LdANote,$L773)="","—",INDEX(LdANote,$L773)),IF($M773&lt;&gt;"",IF(INDEX(LdBNote,$M773)="","—",INDEX(LdBNote,$M773)),IF($N773&lt;&gt;"",IF(INDEX(LdCNote,$N773)="","—",INDEX(LdCNote,$N773)),""))))</f>
        <v/>
      </c>
      <c r="L773">
        <f>IFERROR(MATCH($C$5&amp;"|"&amp;RIGHT("000000"&amp;757,6),LdAKeyM,0),"")</f>
        <v/>
      </c>
      <c r="M773">
        <f>IFERROR(MATCH($C$5&amp;"|"&amp;RIGHT("000000"&amp;757,6),LdBKeyM,0),"")</f>
        <v/>
      </c>
      <c r="N773">
        <f>IFERROR(MATCH($C$5&amp;"|"&amp;RIGHT("000000"&amp;757,6),LdCKeyM,0),"")</f>
        <v/>
      </c>
    </row>
    <row r="774">
      <c r="A774" s="19" t="n">
        <v>758</v>
      </c>
      <c r="B774" s="20">
        <f>IF(AND($L774="",$M774="",$N774=""),"",IF($L774&lt;&gt;"",INDEX(LdADate,$L774),IF($M774&lt;&gt;"",INDEX(LdBDate,$M774),INDEX(LdCDate,$N774))))</f>
        <v/>
      </c>
      <c r="C774" s="20">
        <f>IF($L774&lt;&gt;"","دستمزد (فردی)",IF($M774&lt;&gt;"","سهم از گروه "&amp;IFERROR(VLOOKUP(INDEX(LdBGroup,$M774),WGTbl,2,0),INDEX(LdBGroup,$M774)),IF($N774&lt;&gt;"",IF(N(INDEX(LdCDep,$N774))&gt;0,"بازگشت بانکی","پرداخت بانکی"),"")))</f>
        <v/>
      </c>
      <c r="D774" s="20">
        <f>IF($L774&lt;&gt;"",IF(INDEX(LdAId,$L774)="","—",INDEX(LdAId,$L774)),IF($M774&lt;&gt;"",IF(INDEX(LdBId,$M774)="","—",INDEX(LdBId,$M774)),IF($N774&lt;&gt;"",IF(INDEX(LdCBank,$N774)="","—",INDEX(LdCBank,$N774)),"")))</f>
        <v/>
      </c>
      <c r="E774" s="21">
        <f>IF($L774&lt;&gt;"",IF(INDEX(LdAAmt,$L774)=0,"",INDEX(LdAAmt,$L774)),IF($M774&lt;&gt;"",IF(INDEX(LdBAmt,$M774)=0,"",INDEX(LdBAmt,$M774)),IF($N774&lt;&gt;"",IF(INDEX(LdCDep,$N774)=0,"",INDEX(LdCDep,$N774)),"")))</f>
        <v/>
      </c>
      <c r="F774" s="21">
        <f>IF(AND($L774="",$M774="",$N774=""),"",IF($N774="","",IF(INDEX(LdCWit,$N774)=0,"",INDEX(LdCWit,$N774))))</f>
        <v/>
      </c>
      <c r="G774" s="31">
        <f>IF($B774="","",IF($G773="",0,$G773)+IF($E774="",0,$E774)-IF($F774="",0,$F774))</f>
        <v/>
      </c>
      <c r="H774" s="32">
        <f>IF(AND($L774="",$M774="",$N774=""),"",IF($L774&lt;&gt;"",IF(INDEX(LdANote,$L774)="","—",INDEX(LdANote,$L774)),IF($M774&lt;&gt;"",IF(INDEX(LdBNote,$M774)="","—",INDEX(LdBNote,$M774)),IF($N774&lt;&gt;"",IF(INDEX(LdCNote,$N774)="","—",INDEX(LdCNote,$N774)),""))))</f>
        <v/>
      </c>
      <c r="L774">
        <f>IFERROR(MATCH($C$5&amp;"|"&amp;RIGHT("000000"&amp;758,6),LdAKeyM,0),"")</f>
        <v/>
      </c>
      <c r="M774">
        <f>IFERROR(MATCH($C$5&amp;"|"&amp;RIGHT("000000"&amp;758,6),LdBKeyM,0),"")</f>
        <v/>
      </c>
      <c r="N774">
        <f>IFERROR(MATCH($C$5&amp;"|"&amp;RIGHT("000000"&amp;758,6),LdCKeyM,0),"")</f>
        <v/>
      </c>
    </row>
    <row r="775">
      <c r="A775" s="10" t="n">
        <v>759</v>
      </c>
      <c r="B775" s="14">
        <f>IF(AND($L775="",$M775="",$N775=""),"",IF($L775&lt;&gt;"",INDEX(LdADate,$L775),IF($M775&lt;&gt;"",INDEX(LdBDate,$M775),INDEX(LdCDate,$N775))))</f>
        <v/>
      </c>
      <c r="C775" s="14">
        <f>IF($L775&lt;&gt;"","دستمزد (فردی)",IF($M775&lt;&gt;"","سهم از گروه "&amp;IFERROR(VLOOKUP(INDEX(LdBGroup,$M775),WGTbl,2,0),INDEX(LdBGroup,$M775)),IF($N775&lt;&gt;"",IF(N(INDEX(LdCDep,$N775))&gt;0,"بازگشت بانکی","پرداخت بانکی"),"")))</f>
        <v/>
      </c>
      <c r="D775" s="14">
        <f>IF($L775&lt;&gt;"",IF(INDEX(LdAId,$L775)="","—",INDEX(LdAId,$L775)),IF($M775&lt;&gt;"",IF(INDEX(LdBId,$M775)="","—",INDEX(LdBId,$M775)),IF($N775&lt;&gt;"",IF(INDEX(LdCBank,$N775)="","—",INDEX(LdCBank,$N775)),"")))</f>
        <v/>
      </c>
      <c r="E775" s="16">
        <f>IF($L775&lt;&gt;"",IF(INDEX(LdAAmt,$L775)=0,"",INDEX(LdAAmt,$L775)),IF($M775&lt;&gt;"",IF(INDEX(LdBAmt,$M775)=0,"",INDEX(LdBAmt,$M775)),IF($N775&lt;&gt;"",IF(INDEX(LdCDep,$N775)=0,"",INDEX(LdCDep,$N775)),"")))</f>
        <v/>
      </c>
      <c r="F775" s="16">
        <f>IF(AND($L775="",$M775="",$N775=""),"",IF($N775="","",IF(INDEX(LdCWit,$N775)=0,"",INDEX(LdCWit,$N775))))</f>
        <v/>
      </c>
      <c r="G775" s="29">
        <f>IF($B775="","",IF($G774="",0,$G774)+IF($E775="",0,$E775)-IF($F775="",0,$F775))</f>
        <v/>
      </c>
      <c r="H775" s="30">
        <f>IF(AND($L775="",$M775="",$N775=""),"",IF($L775&lt;&gt;"",IF(INDEX(LdANote,$L775)="","—",INDEX(LdANote,$L775)),IF($M775&lt;&gt;"",IF(INDEX(LdBNote,$M775)="","—",INDEX(LdBNote,$M775)),IF($N775&lt;&gt;"",IF(INDEX(LdCNote,$N775)="","—",INDEX(LdCNote,$N775)),""))))</f>
        <v/>
      </c>
      <c r="L775">
        <f>IFERROR(MATCH($C$5&amp;"|"&amp;RIGHT("000000"&amp;759,6),LdAKeyM,0),"")</f>
        <v/>
      </c>
      <c r="M775">
        <f>IFERROR(MATCH($C$5&amp;"|"&amp;RIGHT("000000"&amp;759,6),LdBKeyM,0),"")</f>
        <v/>
      </c>
      <c r="N775">
        <f>IFERROR(MATCH($C$5&amp;"|"&amp;RIGHT("000000"&amp;759,6),LdCKeyM,0),"")</f>
        <v/>
      </c>
    </row>
    <row r="776">
      <c r="A776" s="19" t="n">
        <v>760</v>
      </c>
      <c r="B776" s="20">
        <f>IF(AND($L776="",$M776="",$N776=""),"",IF($L776&lt;&gt;"",INDEX(LdADate,$L776),IF($M776&lt;&gt;"",INDEX(LdBDate,$M776),INDEX(LdCDate,$N776))))</f>
        <v/>
      </c>
      <c r="C776" s="20">
        <f>IF($L776&lt;&gt;"","دستمزد (فردی)",IF($M776&lt;&gt;"","سهم از گروه "&amp;IFERROR(VLOOKUP(INDEX(LdBGroup,$M776),WGTbl,2,0),INDEX(LdBGroup,$M776)),IF($N776&lt;&gt;"",IF(N(INDEX(LdCDep,$N776))&gt;0,"بازگشت بانکی","پرداخت بانکی"),"")))</f>
        <v/>
      </c>
      <c r="D776" s="20">
        <f>IF($L776&lt;&gt;"",IF(INDEX(LdAId,$L776)="","—",INDEX(LdAId,$L776)),IF($M776&lt;&gt;"",IF(INDEX(LdBId,$M776)="","—",INDEX(LdBId,$M776)),IF($N776&lt;&gt;"",IF(INDEX(LdCBank,$N776)="","—",INDEX(LdCBank,$N776)),"")))</f>
        <v/>
      </c>
      <c r="E776" s="21">
        <f>IF($L776&lt;&gt;"",IF(INDEX(LdAAmt,$L776)=0,"",INDEX(LdAAmt,$L776)),IF($M776&lt;&gt;"",IF(INDEX(LdBAmt,$M776)=0,"",INDEX(LdBAmt,$M776)),IF($N776&lt;&gt;"",IF(INDEX(LdCDep,$N776)=0,"",INDEX(LdCDep,$N776)),"")))</f>
        <v/>
      </c>
      <c r="F776" s="21">
        <f>IF(AND($L776="",$M776="",$N776=""),"",IF($N776="","",IF(INDEX(LdCWit,$N776)=0,"",INDEX(LdCWit,$N776))))</f>
        <v/>
      </c>
      <c r="G776" s="31">
        <f>IF($B776="","",IF($G775="",0,$G775)+IF($E776="",0,$E776)-IF($F776="",0,$F776))</f>
        <v/>
      </c>
      <c r="H776" s="32">
        <f>IF(AND($L776="",$M776="",$N776=""),"",IF($L776&lt;&gt;"",IF(INDEX(LdANote,$L776)="","—",INDEX(LdANote,$L776)),IF($M776&lt;&gt;"",IF(INDEX(LdBNote,$M776)="","—",INDEX(LdBNote,$M776)),IF($N776&lt;&gt;"",IF(INDEX(LdCNote,$N776)="","—",INDEX(LdCNote,$N776)),""))))</f>
        <v/>
      </c>
      <c r="L776">
        <f>IFERROR(MATCH($C$5&amp;"|"&amp;RIGHT("000000"&amp;760,6),LdAKeyM,0),"")</f>
        <v/>
      </c>
      <c r="M776">
        <f>IFERROR(MATCH($C$5&amp;"|"&amp;RIGHT("000000"&amp;760,6),LdBKeyM,0),"")</f>
        <v/>
      </c>
      <c r="N776">
        <f>IFERROR(MATCH($C$5&amp;"|"&amp;RIGHT("000000"&amp;760,6),LdCKeyM,0),"")</f>
        <v/>
      </c>
    </row>
    <row r="777">
      <c r="A777" s="10" t="n">
        <v>761</v>
      </c>
      <c r="B777" s="14">
        <f>IF(AND($L777="",$M777="",$N777=""),"",IF($L777&lt;&gt;"",INDEX(LdADate,$L777),IF($M777&lt;&gt;"",INDEX(LdBDate,$M777),INDEX(LdCDate,$N777))))</f>
        <v/>
      </c>
      <c r="C777" s="14">
        <f>IF($L777&lt;&gt;"","دستمزد (فردی)",IF($M777&lt;&gt;"","سهم از گروه "&amp;IFERROR(VLOOKUP(INDEX(LdBGroup,$M777),WGTbl,2,0),INDEX(LdBGroup,$M777)),IF($N777&lt;&gt;"",IF(N(INDEX(LdCDep,$N777))&gt;0,"بازگشت بانکی","پرداخت بانکی"),"")))</f>
        <v/>
      </c>
      <c r="D777" s="14">
        <f>IF($L777&lt;&gt;"",IF(INDEX(LdAId,$L777)="","—",INDEX(LdAId,$L777)),IF($M777&lt;&gt;"",IF(INDEX(LdBId,$M777)="","—",INDEX(LdBId,$M777)),IF($N777&lt;&gt;"",IF(INDEX(LdCBank,$N777)="","—",INDEX(LdCBank,$N777)),"")))</f>
        <v/>
      </c>
      <c r="E777" s="16">
        <f>IF($L777&lt;&gt;"",IF(INDEX(LdAAmt,$L777)=0,"",INDEX(LdAAmt,$L777)),IF($M777&lt;&gt;"",IF(INDEX(LdBAmt,$M777)=0,"",INDEX(LdBAmt,$M777)),IF($N777&lt;&gt;"",IF(INDEX(LdCDep,$N777)=0,"",INDEX(LdCDep,$N777)),"")))</f>
        <v/>
      </c>
      <c r="F777" s="16">
        <f>IF(AND($L777="",$M777="",$N777=""),"",IF($N777="","",IF(INDEX(LdCWit,$N777)=0,"",INDEX(LdCWit,$N777))))</f>
        <v/>
      </c>
      <c r="G777" s="29">
        <f>IF($B777="","",IF($G776="",0,$G776)+IF($E777="",0,$E777)-IF($F777="",0,$F777))</f>
        <v/>
      </c>
      <c r="H777" s="30">
        <f>IF(AND($L777="",$M777="",$N777=""),"",IF($L777&lt;&gt;"",IF(INDEX(LdANote,$L777)="","—",INDEX(LdANote,$L777)),IF($M777&lt;&gt;"",IF(INDEX(LdBNote,$M777)="","—",INDEX(LdBNote,$M777)),IF($N777&lt;&gt;"",IF(INDEX(LdCNote,$N777)="","—",INDEX(LdCNote,$N777)),""))))</f>
        <v/>
      </c>
      <c r="L777">
        <f>IFERROR(MATCH($C$5&amp;"|"&amp;RIGHT("000000"&amp;761,6),LdAKeyM,0),"")</f>
        <v/>
      </c>
      <c r="M777">
        <f>IFERROR(MATCH($C$5&amp;"|"&amp;RIGHT("000000"&amp;761,6),LdBKeyM,0),"")</f>
        <v/>
      </c>
      <c r="N777">
        <f>IFERROR(MATCH($C$5&amp;"|"&amp;RIGHT("000000"&amp;761,6),LdCKeyM,0),"")</f>
        <v/>
      </c>
    </row>
    <row r="778">
      <c r="A778" s="19" t="n">
        <v>762</v>
      </c>
      <c r="B778" s="20">
        <f>IF(AND($L778="",$M778="",$N778=""),"",IF($L778&lt;&gt;"",INDEX(LdADate,$L778),IF($M778&lt;&gt;"",INDEX(LdBDate,$M778),INDEX(LdCDate,$N778))))</f>
        <v/>
      </c>
      <c r="C778" s="20">
        <f>IF($L778&lt;&gt;"","دستمزد (فردی)",IF($M778&lt;&gt;"","سهم از گروه "&amp;IFERROR(VLOOKUP(INDEX(LdBGroup,$M778),WGTbl,2,0),INDEX(LdBGroup,$M778)),IF($N778&lt;&gt;"",IF(N(INDEX(LdCDep,$N778))&gt;0,"بازگشت بانکی","پرداخت بانکی"),"")))</f>
        <v/>
      </c>
      <c r="D778" s="20">
        <f>IF($L778&lt;&gt;"",IF(INDEX(LdAId,$L778)="","—",INDEX(LdAId,$L778)),IF($M778&lt;&gt;"",IF(INDEX(LdBId,$M778)="","—",INDEX(LdBId,$M778)),IF($N778&lt;&gt;"",IF(INDEX(LdCBank,$N778)="","—",INDEX(LdCBank,$N778)),"")))</f>
        <v/>
      </c>
      <c r="E778" s="21">
        <f>IF($L778&lt;&gt;"",IF(INDEX(LdAAmt,$L778)=0,"",INDEX(LdAAmt,$L778)),IF($M778&lt;&gt;"",IF(INDEX(LdBAmt,$M778)=0,"",INDEX(LdBAmt,$M778)),IF($N778&lt;&gt;"",IF(INDEX(LdCDep,$N778)=0,"",INDEX(LdCDep,$N778)),"")))</f>
        <v/>
      </c>
      <c r="F778" s="21">
        <f>IF(AND($L778="",$M778="",$N778=""),"",IF($N778="","",IF(INDEX(LdCWit,$N778)=0,"",INDEX(LdCWit,$N778))))</f>
        <v/>
      </c>
      <c r="G778" s="31">
        <f>IF($B778="","",IF($G777="",0,$G777)+IF($E778="",0,$E778)-IF($F778="",0,$F778))</f>
        <v/>
      </c>
      <c r="H778" s="32">
        <f>IF(AND($L778="",$M778="",$N778=""),"",IF($L778&lt;&gt;"",IF(INDEX(LdANote,$L778)="","—",INDEX(LdANote,$L778)),IF($M778&lt;&gt;"",IF(INDEX(LdBNote,$M778)="","—",INDEX(LdBNote,$M778)),IF($N778&lt;&gt;"",IF(INDEX(LdCNote,$N778)="","—",INDEX(LdCNote,$N778)),""))))</f>
        <v/>
      </c>
      <c r="L778">
        <f>IFERROR(MATCH($C$5&amp;"|"&amp;RIGHT("000000"&amp;762,6),LdAKeyM,0),"")</f>
        <v/>
      </c>
      <c r="M778">
        <f>IFERROR(MATCH($C$5&amp;"|"&amp;RIGHT("000000"&amp;762,6),LdBKeyM,0),"")</f>
        <v/>
      </c>
      <c r="N778">
        <f>IFERROR(MATCH($C$5&amp;"|"&amp;RIGHT("000000"&amp;762,6),LdCKeyM,0),"")</f>
        <v/>
      </c>
    </row>
    <row r="779">
      <c r="A779" s="10" t="n">
        <v>763</v>
      </c>
      <c r="B779" s="14">
        <f>IF(AND($L779="",$M779="",$N779=""),"",IF($L779&lt;&gt;"",INDEX(LdADate,$L779),IF($M779&lt;&gt;"",INDEX(LdBDate,$M779),INDEX(LdCDate,$N779))))</f>
        <v/>
      </c>
      <c r="C779" s="14">
        <f>IF($L779&lt;&gt;"","دستمزد (فردی)",IF($M779&lt;&gt;"","سهم از گروه "&amp;IFERROR(VLOOKUP(INDEX(LdBGroup,$M779),WGTbl,2,0),INDEX(LdBGroup,$M779)),IF($N779&lt;&gt;"",IF(N(INDEX(LdCDep,$N779))&gt;0,"بازگشت بانکی","پرداخت بانکی"),"")))</f>
        <v/>
      </c>
      <c r="D779" s="14">
        <f>IF($L779&lt;&gt;"",IF(INDEX(LdAId,$L779)="","—",INDEX(LdAId,$L779)),IF($M779&lt;&gt;"",IF(INDEX(LdBId,$M779)="","—",INDEX(LdBId,$M779)),IF($N779&lt;&gt;"",IF(INDEX(LdCBank,$N779)="","—",INDEX(LdCBank,$N779)),"")))</f>
        <v/>
      </c>
      <c r="E779" s="16">
        <f>IF($L779&lt;&gt;"",IF(INDEX(LdAAmt,$L779)=0,"",INDEX(LdAAmt,$L779)),IF($M779&lt;&gt;"",IF(INDEX(LdBAmt,$M779)=0,"",INDEX(LdBAmt,$M779)),IF($N779&lt;&gt;"",IF(INDEX(LdCDep,$N779)=0,"",INDEX(LdCDep,$N779)),"")))</f>
        <v/>
      </c>
      <c r="F779" s="16">
        <f>IF(AND($L779="",$M779="",$N779=""),"",IF($N779="","",IF(INDEX(LdCWit,$N779)=0,"",INDEX(LdCWit,$N779))))</f>
        <v/>
      </c>
      <c r="G779" s="29">
        <f>IF($B779="","",IF($G778="",0,$G778)+IF($E779="",0,$E779)-IF($F779="",0,$F779))</f>
        <v/>
      </c>
      <c r="H779" s="30">
        <f>IF(AND($L779="",$M779="",$N779=""),"",IF($L779&lt;&gt;"",IF(INDEX(LdANote,$L779)="","—",INDEX(LdANote,$L779)),IF($M779&lt;&gt;"",IF(INDEX(LdBNote,$M779)="","—",INDEX(LdBNote,$M779)),IF($N779&lt;&gt;"",IF(INDEX(LdCNote,$N779)="","—",INDEX(LdCNote,$N779)),""))))</f>
        <v/>
      </c>
      <c r="L779">
        <f>IFERROR(MATCH($C$5&amp;"|"&amp;RIGHT("000000"&amp;763,6),LdAKeyM,0),"")</f>
        <v/>
      </c>
      <c r="M779">
        <f>IFERROR(MATCH($C$5&amp;"|"&amp;RIGHT("000000"&amp;763,6),LdBKeyM,0),"")</f>
        <v/>
      </c>
      <c r="N779">
        <f>IFERROR(MATCH($C$5&amp;"|"&amp;RIGHT("000000"&amp;763,6),LdCKeyM,0),"")</f>
        <v/>
      </c>
    </row>
    <row r="780">
      <c r="A780" s="19" t="n">
        <v>764</v>
      </c>
      <c r="B780" s="20">
        <f>IF(AND($L780="",$M780="",$N780=""),"",IF($L780&lt;&gt;"",INDEX(LdADate,$L780),IF($M780&lt;&gt;"",INDEX(LdBDate,$M780),INDEX(LdCDate,$N780))))</f>
        <v/>
      </c>
      <c r="C780" s="20">
        <f>IF($L780&lt;&gt;"","دستمزد (فردی)",IF($M780&lt;&gt;"","سهم از گروه "&amp;IFERROR(VLOOKUP(INDEX(LdBGroup,$M780),WGTbl,2,0),INDEX(LdBGroup,$M780)),IF($N780&lt;&gt;"",IF(N(INDEX(LdCDep,$N780))&gt;0,"بازگشت بانکی","پرداخت بانکی"),"")))</f>
        <v/>
      </c>
      <c r="D780" s="20">
        <f>IF($L780&lt;&gt;"",IF(INDEX(LdAId,$L780)="","—",INDEX(LdAId,$L780)),IF($M780&lt;&gt;"",IF(INDEX(LdBId,$M780)="","—",INDEX(LdBId,$M780)),IF($N780&lt;&gt;"",IF(INDEX(LdCBank,$N780)="","—",INDEX(LdCBank,$N780)),"")))</f>
        <v/>
      </c>
      <c r="E780" s="21">
        <f>IF($L780&lt;&gt;"",IF(INDEX(LdAAmt,$L780)=0,"",INDEX(LdAAmt,$L780)),IF($M780&lt;&gt;"",IF(INDEX(LdBAmt,$M780)=0,"",INDEX(LdBAmt,$M780)),IF($N780&lt;&gt;"",IF(INDEX(LdCDep,$N780)=0,"",INDEX(LdCDep,$N780)),"")))</f>
        <v/>
      </c>
      <c r="F780" s="21">
        <f>IF(AND($L780="",$M780="",$N780=""),"",IF($N780="","",IF(INDEX(LdCWit,$N780)=0,"",INDEX(LdCWit,$N780))))</f>
        <v/>
      </c>
      <c r="G780" s="31">
        <f>IF($B780="","",IF($G779="",0,$G779)+IF($E780="",0,$E780)-IF($F780="",0,$F780))</f>
        <v/>
      </c>
      <c r="H780" s="32">
        <f>IF(AND($L780="",$M780="",$N780=""),"",IF($L780&lt;&gt;"",IF(INDEX(LdANote,$L780)="","—",INDEX(LdANote,$L780)),IF($M780&lt;&gt;"",IF(INDEX(LdBNote,$M780)="","—",INDEX(LdBNote,$M780)),IF($N780&lt;&gt;"",IF(INDEX(LdCNote,$N780)="","—",INDEX(LdCNote,$N780)),""))))</f>
        <v/>
      </c>
      <c r="L780">
        <f>IFERROR(MATCH($C$5&amp;"|"&amp;RIGHT("000000"&amp;764,6),LdAKeyM,0),"")</f>
        <v/>
      </c>
      <c r="M780">
        <f>IFERROR(MATCH($C$5&amp;"|"&amp;RIGHT("000000"&amp;764,6),LdBKeyM,0),"")</f>
        <v/>
      </c>
      <c r="N780">
        <f>IFERROR(MATCH($C$5&amp;"|"&amp;RIGHT("000000"&amp;764,6),LdCKeyM,0),"")</f>
        <v/>
      </c>
    </row>
    <row r="781">
      <c r="A781" s="10" t="n">
        <v>765</v>
      </c>
      <c r="B781" s="14">
        <f>IF(AND($L781="",$M781="",$N781=""),"",IF($L781&lt;&gt;"",INDEX(LdADate,$L781),IF($M781&lt;&gt;"",INDEX(LdBDate,$M781),INDEX(LdCDate,$N781))))</f>
        <v/>
      </c>
      <c r="C781" s="14">
        <f>IF($L781&lt;&gt;"","دستمزد (فردی)",IF($M781&lt;&gt;"","سهم از گروه "&amp;IFERROR(VLOOKUP(INDEX(LdBGroup,$M781),WGTbl,2,0),INDEX(LdBGroup,$M781)),IF($N781&lt;&gt;"",IF(N(INDEX(LdCDep,$N781))&gt;0,"بازگشت بانکی","پرداخت بانکی"),"")))</f>
        <v/>
      </c>
      <c r="D781" s="14">
        <f>IF($L781&lt;&gt;"",IF(INDEX(LdAId,$L781)="","—",INDEX(LdAId,$L781)),IF($M781&lt;&gt;"",IF(INDEX(LdBId,$M781)="","—",INDEX(LdBId,$M781)),IF($N781&lt;&gt;"",IF(INDEX(LdCBank,$N781)="","—",INDEX(LdCBank,$N781)),"")))</f>
        <v/>
      </c>
      <c r="E781" s="16">
        <f>IF($L781&lt;&gt;"",IF(INDEX(LdAAmt,$L781)=0,"",INDEX(LdAAmt,$L781)),IF($M781&lt;&gt;"",IF(INDEX(LdBAmt,$M781)=0,"",INDEX(LdBAmt,$M781)),IF($N781&lt;&gt;"",IF(INDEX(LdCDep,$N781)=0,"",INDEX(LdCDep,$N781)),"")))</f>
        <v/>
      </c>
      <c r="F781" s="16">
        <f>IF(AND($L781="",$M781="",$N781=""),"",IF($N781="","",IF(INDEX(LdCWit,$N781)=0,"",INDEX(LdCWit,$N781))))</f>
        <v/>
      </c>
      <c r="G781" s="29">
        <f>IF($B781="","",IF($G780="",0,$G780)+IF($E781="",0,$E781)-IF($F781="",0,$F781))</f>
        <v/>
      </c>
      <c r="H781" s="30">
        <f>IF(AND($L781="",$M781="",$N781=""),"",IF($L781&lt;&gt;"",IF(INDEX(LdANote,$L781)="","—",INDEX(LdANote,$L781)),IF($M781&lt;&gt;"",IF(INDEX(LdBNote,$M781)="","—",INDEX(LdBNote,$M781)),IF($N781&lt;&gt;"",IF(INDEX(LdCNote,$N781)="","—",INDEX(LdCNote,$N781)),""))))</f>
        <v/>
      </c>
      <c r="L781">
        <f>IFERROR(MATCH($C$5&amp;"|"&amp;RIGHT("000000"&amp;765,6),LdAKeyM,0),"")</f>
        <v/>
      </c>
      <c r="M781">
        <f>IFERROR(MATCH($C$5&amp;"|"&amp;RIGHT("000000"&amp;765,6),LdBKeyM,0),"")</f>
        <v/>
      </c>
      <c r="N781">
        <f>IFERROR(MATCH($C$5&amp;"|"&amp;RIGHT("000000"&amp;765,6),LdCKeyM,0),"")</f>
        <v/>
      </c>
    </row>
    <row r="782">
      <c r="A782" s="19" t="n">
        <v>766</v>
      </c>
      <c r="B782" s="20">
        <f>IF(AND($L782="",$M782="",$N782=""),"",IF($L782&lt;&gt;"",INDEX(LdADate,$L782),IF($M782&lt;&gt;"",INDEX(LdBDate,$M782),INDEX(LdCDate,$N782))))</f>
        <v/>
      </c>
      <c r="C782" s="20">
        <f>IF($L782&lt;&gt;"","دستمزد (فردی)",IF($M782&lt;&gt;"","سهم از گروه "&amp;IFERROR(VLOOKUP(INDEX(LdBGroup,$M782),WGTbl,2,0),INDEX(LdBGroup,$M782)),IF($N782&lt;&gt;"",IF(N(INDEX(LdCDep,$N782))&gt;0,"بازگشت بانکی","پرداخت بانکی"),"")))</f>
        <v/>
      </c>
      <c r="D782" s="20">
        <f>IF($L782&lt;&gt;"",IF(INDEX(LdAId,$L782)="","—",INDEX(LdAId,$L782)),IF($M782&lt;&gt;"",IF(INDEX(LdBId,$M782)="","—",INDEX(LdBId,$M782)),IF($N782&lt;&gt;"",IF(INDEX(LdCBank,$N782)="","—",INDEX(LdCBank,$N782)),"")))</f>
        <v/>
      </c>
      <c r="E782" s="21">
        <f>IF($L782&lt;&gt;"",IF(INDEX(LdAAmt,$L782)=0,"",INDEX(LdAAmt,$L782)),IF($M782&lt;&gt;"",IF(INDEX(LdBAmt,$M782)=0,"",INDEX(LdBAmt,$M782)),IF($N782&lt;&gt;"",IF(INDEX(LdCDep,$N782)=0,"",INDEX(LdCDep,$N782)),"")))</f>
        <v/>
      </c>
      <c r="F782" s="21">
        <f>IF(AND($L782="",$M782="",$N782=""),"",IF($N782="","",IF(INDEX(LdCWit,$N782)=0,"",INDEX(LdCWit,$N782))))</f>
        <v/>
      </c>
      <c r="G782" s="31">
        <f>IF($B782="","",IF($G781="",0,$G781)+IF($E782="",0,$E782)-IF($F782="",0,$F782))</f>
        <v/>
      </c>
      <c r="H782" s="32">
        <f>IF(AND($L782="",$M782="",$N782=""),"",IF($L782&lt;&gt;"",IF(INDEX(LdANote,$L782)="","—",INDEX(LdANote,$L782)),IF($M782&lt;&gt;"",IF(INDEX(LdBNote,$M782)="","—",INDEX(LdBNote,$M782)),IF($N782&lt;&gt;"",IF(INDEX(LdCNote,$N782)="","—",INDEX(LdCNote,$N782)),""))))</f>
        <v/>
      </c>
      <c r="L782">
        <f>IFERROR(MATCH($C$5&amp;"|"&amp;RIGHT("000000"&amp;766,6),LdAKeyM,0),"")</f>
        <v/>
      </c>
      <c r="M782">
        <f>IFERROR(MATCH($C$5&amp;"|"&amp;RIGHT("000000"&amp;766,6),LdBKeyM,0),"")</f>
        <v/>
      </c>
      <c r="N782">
        <f>IFERROR(MATCH($C$5&amp;"|"&amp;RIGHT("000000"&amp;766,6),LdCKeyM,0),"")</f>
        <v/>
      </c>
    </row>
    <row r="783">
      <c r="A783" s="10" t="n">
        <v>767</v>
      </c>
      <c r="B783" s="14">
        <f>IF(AND($L783="",$M783="",$N783=""),"",IF($L783&lt;&gt;"",INDEX(LdADate,$L783),IF($M783&lt;&gt;"",INDEX(LdBDate,$M783),INDEX(LdCDate,$N783))))</f>
        <v/>
      </c>
      <c r="C783" s="14">
        <f>IF($L783&lt;&gt;"","دستمزد (فردی)",IF($M783&lt;&gt;"","سهم از گروه "&amp;IFERROR(VLOOKUP(INDEX(LdBGroup,$M783),WGTbl,2,0),INDEX(LdBGroup,$M783)),IF($N783&lt;&gt;"",IF(N(INDEX(LdCDep,$N783))&gt;0,"بازگشت بانکی","پرداخت بانکی"),"")))</f>
        <v/>
      </c>
      <c r="D783" s="14">
        <f>IF($L783&lt;&gt;"",IF(INDEX(LdAId,$L783)="","—",INDEX(LdAId,$L783)),IF($M783&lt;&gt;"",IF(INDEX(LdBId,$M783)="","—",INDEX(LdBId,$M783)),IF($N783&lt;&gt;"",IF(INDEX(LdCBank,$N783)="","—",INDEX(LdCBank,$N783)),"")))</f>
        <v/>
      </c>
      <c r="E783" s="16">
        <f>IF($L783&lt;&gt;"",IF(INDEX(LdAAmt,$L783)=0,"",INDEX(LdAAmt,$L783)),IF($M783&lt;&gt;"",IF(INDEX(LdBAmt,$M783)=0,"",INDEX(LdBAmt,$M783)),IF($N783&lt;&gt;"",IF(INDEX(LdCDep,$N783)=0,"",INDEX(LdCDep,$N783)),"")))</f>
        <v/>
      </c>
      <c r="F783" s="16">
        <f>IF(AND($L783="",$M783="",$N783=""),"",IF($N783="","",IF(INDEX(LdCWit,$N783)=0,"",INDEX(LdCWit,$N783))))</f>
        <v/>
      </c>
      <c r="G783" s="29">
        <f>IF($B783="","",IF($G782="",0,$G782)+IF($E783="",0,$E783)-IF($F783="",0,$F783))</f>
        <v/>
      </c>
      <c r="H783" s="30">
        <f>IF(AND($L783="",$M783="",$N783=""),"",IF($L783&lt;&gt;"",IF(INDEX(LdANote,$L783)="","—",INDEX(LdANote,$L783)),IF($M783&lt;&gt;"",IF(INDEX(LdBNote,$M783)="","—",INDEX(LdBNote,$M783)),IF($N783&lt;&gt;"",IF(INDEX(LdCNote,$N783)="","—",INDEX(LdCNote,$N783)),""))))</f>
        <v/>
      </c>
      <c r="L783">
        <f>IFERROR(MATCH($C$5&amp;"|"&amp;RIGHT("000000"&amp;767,6),LdAKeyM,0),"")</f>
        <v/>
      </c>
      <c r="M783">
        <f>IFERROR(MATCH($C$5&amp;"|"&amp;RIGHT("000000"&amp;767,6),LdBKeyM,0),"")</f>
        <v/>
      </c>
      <c r="N783">
        <f>IFERROR(MATCH($C$5&amp;"|"&amp;RIGHT("000000"&amp;767,6),LdCKeyM,0),"")</f>
        <v/>
      </c>
    </row>
    <row r="784">
      <c r="A784" s="19" t="n">
        <v>768</v>
      </c>
      <c r="B784" s="20">
        <f>IF(AND($L784="",$M784="",$N784=""),"",IF($L784&lt;&gt;"",INDEX(LdADate,$L784),IF($M784&lt;&gt;"",INDEX(LdBDate,$M784),INDEX(LdCDate,$N784))))</f>
        <v/>
      </c>
      <c r="C784" s="20">
        <f>IF($L784&lt;&gt;"","دستمزد (فردی)",IF($M784&lt;&gt;"","سهم از گروه "&amp;IFERROR(VLOOKUP(INDEX(LdBGroup,$M784),WGTbl,2,0),INDEX(LdBGroup,$M784)),IF($N784&lt;&gt;"",IF(N(INDEX(LdCDep,$N784))&gt;0,"بازگشت بانکی","پرداخت بانکی"),"")))</f>
        <v/>
      </c>
      <c r="D784" s="20">
        <f>IF($L784&lt;&gt;"",IF(INDEX(LdAId,$L784)="","—",INDEX(LdAId,$L784)),IF($M784&lt;&gt;"",IF(INDEX(LdBId,$M784)="","—",INDEX(LdBId,$M784)),IF($N784&lt;&gt;"",IF(INDEX(LdCBank,$N784)="","—",INDEX(LdCBank,$N784)),"")))</f>
        <v/>
      </c>
      <c r="E784" s="21">
        <f>IF($L784&lt;&gt;"",IF(INDEX(LdAAmt,$L784)=0,"",INDEX(LdAAmt,$L784)),IF($M784&lt;&gt;"",IF(INDEX(LdBAmt,$M784)=0,"",INDEX(LdBAmt,$M784)),IF($N784&lt;&gt;"",IF(INDEX(LdCDep,$N784)=0,"",INDEX(LdCDep,$N784)),"")))</f>
        <v/>
      </c>
      <c r="F784" s="21">
        <f>IF(AND($L784="",$M784="",$N784=""),"",IF($N784="","",IF(INDEX(LdCWit,$N784)=0,"",INDEX(LdCWit,$N784))))</f>
        <v/>
      </c>
      <c r="G784" s="31">
        <f>IF($B784="","",IF($G783="",0,$G783)+IF($E784="",0,$E784)-IF($F784="",0,$F784))</f>
        <v/>
      </c>
      <c r="H784" s="32">
        <f>IF(AND($L784="",$M784="",$N784=""),"",IF($L784&lt;&gt;"",IF(INDEX(LdANote,$L784)="","—",INDEX(LdANote,$L784)),IF($M784&lt;&gt;"",IF(INDEX(LdBNote,$M784)="","—",INDEX(LdBNote,$M784)),IF($N784&lt;&gt;"",IF(INDEX(LdCNote,$N784)="","—",INDEX(LdCNote,$N784)),""))))</f>
        <v/>
      </c>
      <c r="L784">
        <f>IFERROR(MATCH($C$5&amp;"|"&amp;RIGHT("000000"&amp;768,6),LdAKeyM,0),"")</f>
        <v/>
      </c>
      <c r="M784">
        <f>IFERROR(MATCH($C$5&amp;"|"&amp;RIGHT("000000"&amp;768,6),LdBKeyM,0),"")</f>
        <v/>
      </c>
      <c r="N784">
        <f>IFERROR(MATCH($C$5&amp;"|"&amp;RIGHT("000000"&amp;768,6),LdCKeyM,0),"")</f>
        <v/>
      </c>
    </row>
    <row r="785">
      <c r="A785" s="10" t="n">
        <v>769</v>
      </c>
      <c r="B785" s="14">
        <f>IF(AND($L785="",$M785="",$N785=""),"",IF($L785&lt;&gt;"",INDEX(LdADate,$L785),IF($M785&lt;&gt;"",INDEX(LdBDate,$M785),INDEX(LdCDate,$N785))))</f>
        <v/>
      </c>
      <c r="C785" s="14">
        <f>IF($L785&lt;&gt;"","دستمزد (فردی)",IF($M785&lt;&gt;"","سهم از گروه "&amp;IFERROR(VLOOKUP(INDEX(LdBGroup,$M785),WGTbl,2,0),INDEX(LdBGroup,$M785)),IF($N785&lt;&gt;"",IF(N(INDEX(LdCDep,$N785))&gt;0,"بازگشت بانکی","پرداخت بانکی"),"")))</f>
        <v/>
      </c>
      <c r="D785" s="14">
        <f>IF($L785&lt;&gt;"",IF(INDEX(LdAId,$L785)="","—",INDEX(LdAId,$L785)),IF($M785&lt;&gt;"",IF(INDEX(LdBId,$M785)="","—",INDEX(LdBId,$M785)),IF($N785&lt;&gt;"",IF(INDEX(LdCBank,$N785)="","—",INDEX(LdCBank,$N785)),"")))</f>
        <v/>
      </c>
      <c r="E785" s="16">
        <f>IF($L785&lt;&gt;"",IF(INDEX(LdAAmt,$L785)=0,"",INDEX(LdAAmt,$L785)),IF($M785&lt;&gt;"",IF(INDEX(LdBAmt,$M785)=0,"",INDEX(LdBAmt,$M785)),IF($N785&lt;&gt;"",IF(INDEX(LdCDep,$N785)=0,"",INDEX(LdCDep,$N785)),"")))</f>
        <v/>
      </c>
      <c r="F785" s="16">
        <f>IF(AND($L785="",$M785="",$N785=""),"",IF($N785="","",IF(INDEX(LdCWit,$N785)=0,"",INDEX(LdCWit,$N785))))</f>
        <v/>
      </c>
      <c r="G785" s="29">
        <f>IF($B785="","",IF($G784="",0,$G784)+IF($E785="",0,$E785)-IF($F785="",0,$F785))</f>
        <v/>
      </c>
      <c r="H785" s="30">
        <f>IF(AND($L785="",$M785="",$N785=""),"",IF($L785&lt;&gt;"",IF(INDEX(LdANote,$L785)="","—",INDEX(LdANote,$L785)),IF($M785&lt;&gt;"",IF(INDEX(LdBNote,$M785)="","—",INDEX(LdBNote,$M785)),IF($N785&lt;&gt;"",IF(INDEX(LdCNote,$N785)="","—",INDEX(LdCNote,$N785)),""))))</f>
        <v/>
      </c>
      <c r="L785">
        <f>IFERROR(MATCH($C$5&amp;"|"&amp;RIGHT("000000"&amp;769,6),LdAKeyM,0),"")</f>
        <v/>
      </c>
      <c r="M785">
        <f>IFERROR(MATCH($C$5&amp;"|"&amp;RIGHT("000000"&amp;769,6),LdBKeyM,0),"")</f>
        <v/>
      </c>
      <c r="N785">
        <f>IFERROR(MATCH($C$5&amp;"|"&amp;RIGHT("000000"&amp;769,6),LdCKeyM,0),"")</f>
        <v/>
      </c>
    </row>
    <row r="786">
      <c r="A786" s="19" t="n">
        <v>770</v>
      </c>
      <c r="B786" s="20">
        <f>IF(AND($L786="",$M786="",$N786=""),"",IF($L786&lt;&gt;"",INDEX(LdADate,$L786),IF($M786&lt;&gt;"",INDEX(LdBDate,$M786),INDEX(LdCDate,$N786))))</f>
        <v/>
      </c>
      <c r="C786" s="20">
        <f>IF($L786&lt;&gt;"","دستمزد (فردی)",IF($M786&lt;&gt;"","سهم از گروه "&amp;IFERROR(VLOOKUP(INDEX(LdBGroup,$M786),WGTbl,2,0),INDEX(LdBGroup,$M786)),IF($N786&lt;&gt;"",IF(N(INDEX(LdCDep,$N786))&gt;0,"بازگشت بانکی","پرداخت بانکی"),"")))</f>
        <v/>
      </c>
      <c r="D786" s="20">
        <f>IF($L786&lt;&gt;"",IF(INDEX(LdAId,$L786)="","—",INDEX(LdAId,$L786)),IF($M786&lt;&gt;"",IF(INDEX(LdBId,$M786)="","—",INDEX(LdBId,$M786)),IF($N786&lt;&gt;"",IF(INDEX(LdCBank,$N786)="","—",INDEX(LdCBank,$N786)),"")))</f>
        <v/>
      </c>
      <c r="E786" s="21">
        <f>IF($L786&lt;&gt;"",IF(INDEX(LdAAmt,$L786)=0,"",INDEX(LdAAmt,$L786)),IF($M786&lt;&gt;"",IF(INDEX(LdBAmt,$M786)=0,"",INDEX(LdBAmt,$M786)),IF($N786&lt;&gt;"",IF(INDEX(LdCDep,$N786)=0,"",INDEX(LdCDep,$N786)),"")))</f>
        <v/>
      </c>
      <c r="F786" s="21">
        <f>IF(AND($L786="",$M786="",$N786=""),"",IF($N786="","",IF(INDEX(LdCWit,$N786)=0,"",INDEX(LdCWit,$N786))))</f>
        <v/>
      </c>
      <c r="G786" s="31">
        <f>IF($B786="","",IF($G785="",0,$G785)+IF($E786="",0,$E786)-IF($F786="",0,$F786))</f>
        <v/>
      </c>
      <c r="H786" s="32">
        <f>IF(AND($L786="",$M786="",$N786=""),"",IF($L786&lt;&gt;"",IF(INDEX(LdANote,$L786)="","—",INDEX(LdANote,$L786)),IF($M786&lt;&gt;"",IF(INDEX(LdBNote,$M786)="","—",INDEX(LdBNote,$M786)),IF($N786&lt;&gt;"",IF(INDEX(LdCNote,$N786)="","—",INDEX(LdCNote,$N786)),""))))</f>
        <v/>
      </c>
      <c r="L786">
        <f>IFERROR(MATCH($C$5&amp;"|"&amp;RIGHT("000000"&amp;770,6),LdAKeyM,0),"")</f>
        <v/>
      </c>
      <c r="M786">
        <f>IFERROR(MATCH($C$5&amp;"|"&amp;RIGHT("000000"&amp;770,6),LdBKeyM,0),"")</f>
        <v/>
      </c>
      <c r="N786">
        <f>IFERROR(MATCH($C$5&amp;"|"&amp;RIGHT("000000"&amp;770,6),LdCKeyM,0),"")</f>
        <v/>
      </c>
    </row>
    <row r="787">
      <c r="A787" s="10" t="n">
        <v>771</v>
      </c>
      <c r="B787" s="14">
        <f>IF(AND($L787="",$M787="",$N787=""),"",IF($L787&lt;&gt;"",INDEX(LdADate,$L787),IF($M787&lt;&gt;"",INDEX(LdBDate,$M787),INDEX(LdCDate,$N787))))</f>
        <v/>
      </c>
      <c r="C787" s="14">
        <f>IF($L787&lt;&gt;"","دستمزد (فردی)",IF($M787&lt;&gt;"","سهم از گروه "&amp;IFERROR(VLOOKUP(INDEX(LdBGroup,$M787),WGTbl,2,0),INDEX(LdBGroup,$M787)),IF($N787&lt;&gt;"",IF(N(INDEX(LdCDep,$N787))&gt;0,"بازگشت بانکی","پرداخت بانکی"),"")))</f>
        <v/>
      </c>
      <c r="D787" s="14">
        <f>IF($L787&lt;&gt;"",IF(INDEX(LdAId,$L787)="","—",INDEX(LdAId,$L787)),IF($M787&lt;&gt;"",IF(INDEX(LdBId,$M787)="","—",INDEX(LdBId,$M787)),IF($N787&lt;&gt;"",IF(INDEX(LdCBank,$N787)="","—",INDEX(LdCBank,$N787)),"")))</f>
        <v/>
      </c>
      <c r="E787" s="16">
        <f>IF($L787&lt;&gt;"",IF(INDEX(LdAAmt,$L787)=0,"",INDEX(LdAAmt,$L787)),IF($M787&lt;&gt;"",IF(INDEX(LdBAmt,$M787)=0,"",INDEX(LdBAmt,$M787)),IF($N787&lt;&gt;"",IF(INDEX(LdCDep,$N787)=0,"",INDEX(LdCDep,$N787)),"")))</f>
        <v/>
      </c>
      <c r="F787" s="16">
        <f>IF(AND($L787="",$M787="",$N787=""),"",IF($N787="","",IF(INDEX(LdCWit,$N787)=0,"",INDEX(LdCWit,$N787))))</f>
        <v/>
      </c>
      <c r="G787" s="29">
        <f>IF($B787="","",IF($G786="",0,$G786)+IF($E787="",0,$E787)-IF($F787="",0,$F787))</f>
        <v/>
      </c>
      <c r="H787" s="30">
        <f>IF(AND($L787="",$M787="",$N787=""),"",IF($L787&lt;&gt;"",IF(INDEX(LdANote,$L787)="","—",INDEX(LdANote,$L787)),IF($M787&lt;&gt;"",IF(INDEX(LdBNote,$M787)="","—",INDEX(LdBNote,$M787)),IF($N787&lt;&gt;"",IF(INDEX(LdCNote,$N787)="","—",INDEX(LdCNote,$N787)),""))))</f>
        <v/>
      </c>
      <c r="L787">
        <f>IFERROR(MATCH($C$5&amp;"|"&amp;RIGHT("000000"&amp;771,6),LdAKeyM,0),"")</f>
        <v/>
      </c>
      <c r="M787">
        <f>IFERROR(MATCH($C$5&amp;"|"&amp;RIGHT("000000"&amp;771,6),LdBKeyM,0),"")</f>
        <v/>
      </c>
      <c r="N787">
        <f>IFERROR(MATCH($C$5&amp;"|"&amp;RIGHT("000000"&amp;771,6),LdCKeyM,0),"")</f>
        <v/>
      </c>
    </row>
    <row r="788">
      <c r="A788" s="19" t="n">
        <v>772</v>
      </c>
      <c r="B788" s="20">
        <f>IF(AND($L788="",$M788="",$N788=""),"",IF($L788&lt;&gt;"",INDEX(LdADate,$L788),IF($M788&lt;&gt;"",INDEX(LdBDate,$M788),INDEX(LdCDate,$N788))))</f>
        <v/>
      </c>
      <c r="C788" s="20">
        <f>IF($L788&lt;&gt;"","دستمزد (فردی)",IF($M788&lt;&gt;"","سهم از گروه "&amp;IFERROR(VLOOKUP(INDEX(LdBGroup,$M788),WGTbl,2,0),INDEX(LdBGroup,$M788)),IF($N788&lt;&gt;"",IF(N(INDEX(LdCDep,$N788))&gt;0,"بازگشت بانکی","پرداخت بانکی"),"")))</f>
        <v/>
      </c>
      <c r="D788" s="20">
        <f>IF($L788&lt;&gt;"",IF(INDEX(LdAId,$L788)="","—",INDEX(LdAId,$L788)),IF($M788&lt;&gt;"",IF(INDEX(LdBId,$M788)="","—",INDEX(LdBId,$M788)),IF($N788&lt;&gt;"",IF(INDEX(LdCBank,$N788)="","—",INDEX(LdCBank,$N788)),"")))</f>
        <v/>
      </c>
      <c r="E788" s="21">
        <f>IF($L788&lt;&gt;"",IF(INDEX(LdAAmt,$L788)=0,"",INDEX(LdAAmt,$L788)),IF($M788&lt;&gt;"",IF(INDEX(LdBAmt,$M788)=0,"",INDEX(LdBAmt,$M788)),IF($N788&lt;&gt;"",IF(INDEX(LdCDep,$N788)=0,"",INDEX(LdCDep,$N788)),"")))</f>
        <v/>
      </c>
      <c r="F788" s="21">
        <f>IF(AND($L788="",$M788="",$N788=""),"",IF($N788="","",IF(INDEX(LdCWit,$N788)=0,"",INDEX(LdCWit,$N788))))</f>
        <v/>
      </c>
      <c r="G788" s="31">
        <f>IF($B788="","",IF($G787="",0,$G787)+IF($E788="",0,$E788)-IF($F788="",0,$F788))</f>
        <v/>
      </c>
      <c r="H788" s="32">
        <f>IF(AND($L788="",$M788="",$N788=""),"",IF($L788&lt;&gt;"",IF(INDEX(LdANote,$L788)="","—",INDEX(LdANote,$L788)),IF($M788&lt;&gt;"",IF(INDEX(LdBNote,$M788)="","—",INDEX(LdBNote,$M788)),IF($N788&lt;&gt;"",IF(INDEX(LdCNote,$N788)="","—",INDEX(LdCNote,$N788)),""))))</f>
        <v/>
      </c>
      <c r="L788">
        <f>IFERROR(MATCH($C$5&amp;"|"&amp;RIGHT("000000"&amp;772,6),LdAKeyM,0),"")</f>
        <v/>
      </c>
      <c r="M788">
        <f>IFERROR(MATCH($C$5&amp;"|"&amp;RIGHT("000000"&amp;772,6),LdBKeyM,0),"")</f>
        <v/>
      </c>
      <c r="N788">
        <f>IFERROR(MATCH($C$5&amp;"|"&amp;RIGHT("000000"&amp;772,6),LdCKeyM,0),"")</f>
        <v/>
      </c>
    </row>
    <row r="789">
      <c r="A789" s="10" t="n">
        <v>773</v>
      </c>
      <c r="B789" s="14">
        <f>IF(AND($L789="",$M789="",$N789=""),"",IF($L789&lt;&gt;"",INDEX(LdADate,$L789),IF($M789&lt;&gt;"",INDEX(LdBDate,$M789),INDEX(LdCDate,$N789))))</f>
        <v/>
      </c>
      <c r="C789" s="14">
        <f>IF($L789&lt;&gt;"","دستمزد (فردی)",IF($M789&lt;&gt;"","سهم از گروه "&amp;IFERROR(VLOOKUP(INDEX(LdBGroup,$M789),WGTbl,2,0),INDEX(LdBGroup,$M789)),IF($N789&lt;&gt;"",IF(N(INDEX(LdCDep,$N789))&gt;0,"بازگشت بانکی","پرداخت بانکی"),"")))</f>
        <v/>
      </c>
      <c r="D789" s="14">
        <f>IF($L789&lt;&gt;"",IF(INDEX(LdAId,$L789)="","—",INDEX(LdAId,$L789)),IF($M789&lt;&gt;"",IF(INDEX(LdBId,$M789)="","—",INDEX(LdBId,$M789)),IF($N789&lt;&gt;"",IF(INDEX(LdCBank,$N789)="","—",INDEX(LdCBank,$N789)),"")))</f>
        <v/>
      </c>
      <c r="E789" s="16">
        <f>IF($L789&lt;&gt;"",IF(INDEX(LdAAmt,$L789)=0,"",INDEX(LdAAmt,$L789)),IF($M789&lt;&gt;"",IF(INDEX(LdBAmt,$M789)=0,"",INDEX(LdBAmt,$M789)),IF($N789&lt;&gt;"",IF(INDEX(LdCDep,$N789)=0,"",INDEX(LdCDep,$N789)),"")))</f>
        <v/>
      </c>
      <c r="F789" s="16">
        <f>IF(AND($L789="",$M789="",$N789=""),"",IF($N789="","",IF(INDEX(LdCWit,$N789)=0,"",INDEX(LdCWit,$N789))))</f>
        <v/>
      </c>
      <c r="G789" s="29">
        <f>IF($B789="","",IF($G788="",0,$G788)+IF($E789="",0,$E789)-IF($F789="",0,$F789))</f>
        <v/>
      </c>
      <c r="H789" s="30">
        <f>IF(AND($L789="",$M789="",$N789=""),"",IF($L789&lt;&gt;"",IF(INDEX(LdANote,$L789)="","—",INDEX(LdANote,$L789)),IF($M789&lt;&gt;"",IF(INDEX(LdBNote,$M789)="","—",INDEX(LdBNote,$M789)),IF($N789&lt;&gt;"",IF(INDEX(LdCNote,$N789)="","—",INDEX(LdCNote,$N789)),""))))</f>
        <v/>
      </c>
      <c r="L789">
        <f>IFERROR(MATCH($C$5&amp;"|"&amp;RIGHT("000000"&amp;773,6),LdAKeyM,0),"")</f>
        <v/>
      </c>
      <c r="M789">
        <f>IFERROR(MATCH($C$5&amp;"|"&amp;RIGHT("000000"&amp;773,6),LdBKeyM,0),"")</f>
        <v/>
      </c>
      <c r="N789">
        <f>IFERROR(MATCH($C$5&amp;"|"&amp;RIGHT("000000"&amp;773,6),LdCKeyM,0),"")</f>
        <v/>
      </c>
    </row>
    <row r="790">
      <c r="A790" s="19" t="n">
        <v>774</v>
      </c>
      <c r="B790" s="20">
        <f>IF(AND($L790="",$M790="",$N790=""),"",IF($L790&lt;&gt;"",INDEX(LdADate,$L790),IF($M790&lt;&gt;"",INDEX(LdBDate,$M790),INDEX(LdCDate,$N790))))</f>
        <v/>
      </c>
      <c r="C790" s="20">
        <f>IF($L790&lt;&gt;"","دستمزد (فردی)",IF($M790&lt;&gt;"","سهم از گروه "&amp;IFERROR(VLOOKUP(INDEX(LdBGroup,$M790),WGTbl,2,0),INDEX(LdBGroup,$M790)),IF($N790&lt;&gt;"",IF(N(INDEX(LdCDep,$N790))&gt;0,"بازگشت بانکی","پرداخت بانکی"),"")))</f>
        <v/>
      </c>
      <c r="D790" s="20">
        <f>IF($L790&lt;&gt;"",IF(INDEX(LdAId,$L790)="","—",INDEX(LdAId,$L790)),IF($M790&lt;&gt;"",IF(INDEX(LdBId,$M790)="","—",INDEX(LdBId,$M790)),IF($N790&lt;&gt;"",IF(INDEX(LdCBank,$N790)="","—",INDEX(LdCBank,$N790)),"")))</f>
        <v/>
      </c>
      <c r="E790" s="21">
        <f>IF($L790&lt;&gt;"",IF(INDEX(LdAAmt,$L790)=0,"",INDEX(LdAAmt,$L790)),IF($M790&lt;&gt;"",IF(INDEX(LdBAmt,$M790)=0,"",INDEX(LdBAmt,$M790)),IF($N790&lt;&gt;"",IF(INDEX(LdCDep,$N790)=0,"",INDEX(LdCDep,$N790)),"")))</f>
        <v/>
      </c>
      <c r="F790" s="21">
        <f>IF(AND($L790="",$M790="",$N790=""),"",IF($N790="","",IF(INDEX(LdCWit,$N790)=0,"",INDEX(LdCWit,$N790))))</f>
        <v/>
      </c>
      <c r="G790" s="31">
        <f>IF($B790="","",IF($G789="",0,$G789)+IF($E790="",0,$E790)-IF($F790="",0,$F790))</f>
        <v/>
      </c>
      <c r="H790" s="32">
        <f>IF(AND($L790="",$M790="",$N790=""),"",IF($L790&lt;&gt;"",IF(INDEX(LdANote,$L790)="","—",INDEX(LdANote,$L790)),IF($M790&lt;&gt;"",IF(INDEX(LdBNote,$M790)="","—",INDEX(LdBNote,$M790)),IF($N790&lt;&gt;"",IF(INDEX(LdCNote,$N790)="","—",INDEX(LdCNote,$N790)),""))))</f>
        <v/>
      </c>
      <c r="L790">
        <f>IFERROR(MATCH($C$5&amp;"|"&amp;RIGHT("000000"&amp;774,6),LdAKeyM,0),"")</f>
        <v/>
      </c>
      <c r="M790">
        <f>IFERROR(MATCH($C$5&amp;"|"&amp;RIGHT("000000"&amp;774,6),LdBKeyM,0),"")</f>
        <v/>
      </c>
      <c r="N790">
        <f>IFERROR(MATCH($C$5&amp;"|"&amp;RIGHT("000000"&amp;774,6),LdCKeyM,0),"")</f>
        <v/>
      </c>
    </row>
    <row r="791">
      <c r="A791" s="10" t="n">
        <v>775</v>
      </c>
      <c r="B791" s="14">
        <f>IF(AND($L791="",$M791="",$N791=""),"",IF($L791&lt;&gt;"",INDEX(LdADate,$L791),IF($M791&lt;&gt;"",INDEX(LdBDate,$M791),INDEX(LdCDate,$N791))))</f>
        <v/>
      </c>
      <c r="C791" s="14">
        <f>IF($L791&lt;&gt;"","دستمزد (فردی)",IF($M791&lt;&gt;"","سهم از گروه "&amp;IFERROR(VLOOKUP(INDEX(LdBGroup,$M791),WGTbl,2,0),INDEX(LdBGroup,$M791)),IF($N791&lt;&gt;"",IF(N(INDEX(LdCDep,$N791))&gt;0,"بازگشت بانکی","پرداخت بانکی"),"")))</f>
        <v/>
      </c>
      <c r="D791" s="14">
        <f>IF($L791&lt;&gt;"",IF(INDEX(LdAId,$L791)="","—",INDEX(LdAId,$L791)),IF($M791&lt;&gt;"",IF(INDEX(LdBId,$M791)="","—",INDEX(LdBId,$M791)),IF($N791&lt;&gt;"",IF(INDEX(LdCBank,$N791)="","—",INDEX(LdCBank,$N791)),"")))</f>
        <v/>
      </c>
      <c r="E791" s="16">
        <f>IF($L791&lt;&gt;"",IF(INDEX(LdAAmt,$L791)=0,"",INDEX(LdAAmt,$L791)),IF($M791&lt;&gt;"",IF(INDEX(LdBAmt,$M791)=0,"",INDEX(LdBAmt,$M791)),IF($N791&lt;&gt;"",IF(INDEX(LdCDep,$N791)=0,"",INDEX(LdCDep,$N791)),"")))</f>
        <v/>
      </c>
      <c r="F791" s="16">
        <f>IF(AND($L791="",$M791="",$N791=""),"",IF($N791="","",IF(INDEX(LdCWit,$N791)=0,"",INDEX(LdCWit,$N791))))</f>
        <v/>
      </c>
      <c r="G791" s="29">
        <f>IF($B791="","",IF($G790="",0,$G790)+IF($E791="",0,$E791)-IF($F791="",0,$F791))</f>
        <v/>
      </c>
      <c r="H791" s="30">
        <f>IF(AND($L791="",$M791="",$N791=""),"",IF($L791&lt;&gt;"",IF(INDEX(LdANote,$L791)="","—",INDEX(LdANote,$L791)),IF($M791&lt;&gt;"",IF(INDEX(LdBNote,$M791)="","—",INDEX(LdBNote,$M791)),IF($N791&lt;&gt;"",IF(INDEX(LdCNote,$N791)="","—",INDEX(LdCNote,$N791)),""))))</f>
        <v/>
      </c>
      <c r="L791">
        <f>IFERROR(MATCH($C$5&amp;"|"&amp;RIGHT("000000"&amp;775,6),LdAKeyM,0),"")</f>
        <v/>
      </c>
      <c r="M791">
        <f>IFERROR(MATCH($C$5&amp;"|"&amp;RIGHT("000000"&amp;775,6),LdBKeyM,0),"")</f>
        <v/>
      </c>
      <c r="N791">
        <f>IFERROR(MATCH($C$5&amp;"|"&amp;RIGHT("000000"&amp;775,6),LdCKeyM,0),"")</f>
        <v/>
      </c>
    </row>
    <row r="792">
      <c r="A792" s="19" t="n">
        <v>776</v>
      </c>
      <c r="B792" s="20">
        <f>IF(AND($L792="",$M792="",$N792=""),"",IF($L792&lt;&gt;"",INDEX(LdADate,$L792),IF($M792&lt;&gt;"",INDEX(LdBDate,$M792),INDEX(LdCDate,$N792))))</f>
        <v/>
      </c>
      <c r="C792" s="20">
        <f>IF($L792&lt;&gt;"","دستمزد (فردی)",IF($M792&lt;&gt;"","سهم از گروه "&amp;IFERROR(VLOOKUP(INDEX(LdBGroup,$M792),WGTbl,2,0),INDEX(LdBGroup,$M792)),IF($N792&lt;&gt;"",IF(N(INDEX(LdCDep,$N792))&gt;0,"بازگشت بانکی","پرداخت بانکی"),"")))</f>
        <v/>
      </c>
      <c r="D792" s="20">
        <f>IF($L792&lt;&gt;"",IF(INDEX(LdAId,$L792)="","—",INDEX(LdAId,$L792)),IF($M792&lt;&gt;"",IF(INDEX(LdBId,$M792)="","—",INDEX(LdBId,$M792)),IF($N792&lt;&gt;"",IF(INDEX(LdCBank,$N792)="","—",INDEX(LdCBank,$N792)),"")))</f>
        <v/>
      </c>
      <c r="E792" s="21">
        <f>IF($L792&lt;&gt;"",IF(INDEX(LdAAmt,$L792)=0,"",INDEX(LdAAmt,$L792)),IF($M792&lt;&gt;"",IF(INDEX(LdBAmt,$M792)=0,"",INDEX(LdBAmt,$M792)),IF($N792&lt;&gt;"",IF(INDEX(LdCDep,$N792)=0,"",INDEX(LdCDep,$N792)),"")))</f>
        <v/>
      </c>
      <c r="F792" s="21">
        <f>IF(AND($L792="",$M792="",$N792=""),"",IF($N792="","",IF(INDEX(LdCWit,$N792)=0,"",INDEX(LdCWit,$N792))))</f>
        <v/>
      </c>
      <c r="G792" s="31">
        <f>IF($B792="","",IF($G791="",0,$G791)+IF($E792="",0,$E792)-IF($F792="",0,$F792))</f>
        <v/>
      </c>
      <c r="H792" s="32">
        <f>IF(AND($L792="",$M792="",$N792=""),"",IF($L792&lt;&gt;"",IF(INDEX(LdANote,$L792)="","—",INDEX(LdANote,$L792)),IF($M792&lt;&gt;"",IF(INDEX(LdBNote,$M792)="","—",INDEX(LdBNote,$M792)),IF($N792&lt;&gt;"",IF(INDEX(LdCNote,$N792)="","—",INDEX(LdCNote,$N792)),""))))</f>
        <v/>
      </c>
      <c r="L792">
        <f>IFERROR(MATCH($C$5&amp;"|"&amp;RIGHT("000000"&amp;776,6),LdAKeyM,0),"")</f>
        <v/>
      </c>
      <c r="M792">
        <f>IFERROR(MATCH($C$5&amp;"|"&amp;RIGHT("000000"&amp;776,6),LdBKeyM,0),"")</f>
        <v/>
      </c>
      <c r="N792">
        <f>IFERROR(MATCH($C$5&amp;"|"&amp;RIGHT("000000"&amp;776,6),LdCKeyM,0),"")</f>
        <v/>
      </c>
    </row>
    <row r="793">
      <c r="A793" s="10" t="n">
        <v>777</v>
      </c>
      <c r="B793" s="14">
        <f>IF(AND($L793="",$M793="",$N793=""),"",IF($L793&lt;&gt;"",INDEX(LdADate,$L793),IF($M793&lt;&gt;"",INDEX(LdBDate,$M793),INDEX(LdCDate,$N793))))</f>
        <v/>
      </c>
      <c r="C793" s="14">
        <f>IF($L793&lt;&gt;"","دستمزد (فردی)",IF($M793&lt;&gt;"","سهم از گروه "&amp;IFERROR(VLOOKUP(INDEX(LdBGroup,$M793),WGTbl,2,0),INDEX(LdBGroup,$M793)),IF($N793&lt;&gt;"",IF(N(INDEX(LdCDep,$N793))&gt;0,"بازگشت بانکی","پرداخت بانکی"),"")))</f>
        <v/>
      </c>
      <c r="D793" s="14">
        <f>IF($L793&lt;&gt;"",IF(INDEX(LdAId,$L793)="","—",INDEX(LdAId,$L793)),IF($M793&lt;&gt;"",IF(INDEX(LdBId,$M793)="","—",INDEX(LdBId,$M793)),IF($N793&lt;&gt;"",IF(INDEX(LdCBank,$N793)="","—",INDEX(LdCBank,$N793)),"")))</f>
        <v/>
      </c>
      <c r="E793" s="16">
        <f>IF($L793&lt;&gt;"",IF(INDEX(LdAAmt,$L793)=0,"",INDEX(LdAAmt,$L793)),IF($M793&lt;&gt;"",IF(INDEX(LdBAmt,$M793)=0,"",INDEX(LdBAmt,$M793)),IF($N793&lt;&gt;"",IF(INDEX(LdCDep,$N793)=0,"",INDEX(LdCDep,$N793)),"")))</f>
        <v/>
      </c>
      <c r="F793" s="16">
        <f>IF(AND($L793="",$M793="",$N793=""),"",IF($N793="","",IF(INDEX(LdCWit,$N793)=0,"",INDEX(LdCWit,$N793))))</f>
        <v/>
      </c>
      <c r="G793" s="29">
        <f>IF($B793="","",IF($G792="",0,$G792)+IF($E793="",0,$E793)-IF($F793="",0,$F793))</f>
        <v/>
      </c>
      <c r="H793" s="30">
        <f>IF(AND($L793="",$M793="",$N793=""),"",IF($L793&lt;&gt;"",IF(INDEX(LdANote,$L793)="","—",INDEX(LdANote,$L793)),IF($M793&lt;&gt;"",IF(INDEX(LdBNote,$M793)="","—",INDEX(LdBNote,$M793)),IF($N793&lt;&gt;"",IF(INDEX(LdCNote,$N793)="","—",INDEX(LdCNote,$N793)),""))))</f>
        <v/>
      </c>
      <c r="L793">
        <f>IFERROR(MATCH($C$5&amp;"|"&amp;RIGHT("000000"&amp;777,6),LdAKeyM,0),"")</f>
        <v/>
      </c>
      <c r="M793">
        <f>IFERROR(MATCH($C$5&amp;"|"&amp;RIGHT("000000"&amp;777,6),LdBKeyM,0),"")</f>
        <v/>
      </c>
      <c r="N793">
        <f>IFERROR(MATCH($C$5&amp;"|"&amp;RIGHT("000000"&amp;777,6),LdCKeyM,0),"")</f>
        <v/>
      </c>
    </row>
    <row r="794">
      <c r="A794" s="19" t="n">
        <v>778</v>
      </c>
      <c r="B794" s="20">
        <f>IF(AND($L794="",$M794="",$N794=""),"",IF($L794&lt;&gt;"",INDEX(LdADate,$L794),IF($M794&lt;&gt;"",INDEX(LdBDate,$M794),INDEX(LdCDate,$N794))))</f>
        <v/>
      </c>
      <c r="C794" s="20">
        <f>IF($L794&lt;&gt;"","دستمزد (فردی)",IF($M794&lt;&gt;"","سهم از گروه "&amp;IFERROR(VLOOKUP(INDEX(LdBGroup,$M794),WGTbl,2,0),INDEX(LdBGroup,$M794)),IF($N794&lt;&gt;"",IF(N(INDEX(LdCDep,$N794))&gt;0,"بازگشت بانکی","پرداخت بانکی"),"")))</f>
        <v/>
      </c>
      <c r="D794" s="20">
        <f>IF($L794&lt;&gt;"",IF(INDEX(LdAId,$L794)="","—",INDEX(LdAId,$L794)),IF($M794&lt;&gt;"",IF(INDEX(LdBId,$M794)="","—",INDEX(LdBId,$M794)),IF($N794&lt;&gt;"",IF(INDEX(LdCBank,$N794)="","—",INDEX(LdCBank,$N794)),"")))</f>
        <v/>
      </c>
      <c r="E794" s="21">
        <f>IF($L794&lt;&gt;"",IF(INDEX(LdAAmt,$L794)=0,"",INDEX(LdAAmt,$L794)),IF($M794&lt;&gt;"",IF(INDEX(LdBAmt,$M794)=0,"",INDEX(LdBAmt,$M794)),IF($N794&lt;&gt;"",IF(INDEX(LdCDep,$N794)=0,"",INDEX(LdCDep,$N794)),"")))</f>
        <v/>
      </c>
      <c r="F794" s="21">
        <f>IF(AND($L794="",$M794="",$N794=""),"",IF($N794="","",IF(INDEX(LdCWit,$N794)=0,"",INDEX(LdCWit,$N794))))</f>
        <v/>
      </c>
      <c r="G794" s="31">
        <f>IF($B794="","",IF($G793="",0,$G793)+IF($E794="",0,$E794)-IF($F794="",0,$F794))</f>
        <v/>
      </c>
      <c r="H794" s="32">
        <f>IF(AND($L794="",$M794="",$N794=""),"",IF($L794&lt;&gt;"",IF(INDEX(LdANote,$L794)="","—",INDEX(LdANote,$L794)),IF($M794&lt;&gt;"",IF(INDEX(LdBNote,$M794)="","—",INDEX(LdBNote,$M794)),IF($N794&lt;&gt;"",IF(INDEX(LdCNote,$N794)="","—",INDEX(LdCNote,$N794)),""))))</f>
        <v/>
      </c>
      <c r="L794">
        <f>IFERROR(MATCH($C$5&amp;"|"&amp;RIGHT("000000"&amp;778,6),LdAKeyM,0),"")</f>
        <v/>
      </c>
      <c r="M794">
        <f>IFERROR(MATCH($C$5&amp;"|"&amp;RIGHT("000000"&amp;778,6),LdBKeyM,0),"")</f>
        <v/>
      </c>
      <c r="N794">
        <f>IFERROR(MATCH($C$5&amp;"|"&amp;RIGHT("000000"&amp;778,6),LdCKeyM,0),"")</f>
        <v/>
      </c>
    </row>
    <row r="795">
      <c r="A795" s="10" t="n">
        <v>779</v>
      </c>
      <c r="B795" s="14">
        <f>IF(AND($L795="",$M795="",$N795=""),"",IF($L795&lt;&gt;"",INDEX(LdADate,$L795),IF($M795&lt;&gt;"",INDEX(LdBDate,$M795),INDEX(LdCDate,$N795))))</f>
        <v/>
      </c>
      <c r="C795" s="14">
        <f>IF($L795&lt;&gt;"","دستمزد (فردی)",IF($M795&lt;&gt;"","سهم از گروه "&amp;IFERROR(VLOOKUP(INDEX(LdBGroup,$M795),WGTbl,2,0),INDEX(LdBGroup,$M795)),IF($N795&lt;&gt;"",IF(N(INDEX(LdCDep,$N795))&gt;0,"بازگشت بانکی","پرداخت بانکی"),"")))</f>
        <v/>
      </c>
      <c r="D795" s="14">
        <f>IF($L795&lt;&gt;"",IF(INDEX(LdAId,$L795)="","—",INDEX(LdAId,$L795)),IF($M795&lt;&gt;"",IF(INDEX(LdBId,$M795)="","—",INDEX(LdBId,$M795)),IF($N795&lt;&gt;"",IF(INDEX(LdCBank,$N795)="","—",INDEX(LdCBank,$N795)),"")))</f>
        <v/>
      </c>
      <c r="E795" s="16">
        <f>IF($L795&lt;&gt;"",IF(INDEX(LdAAmt,$L795)=0,"",INDEX(LdAAmt,$L795)),IF($M795&lt;&gt;"",IF(INDEX(LdBAmt,$M795)=0,"",INDEX(LdBAmt,$M795)),IF($N795&lt;&gt;"",IF(INDEX(LdCDep,$N795)=0,"",INDEX(LdCDep,$N795)),"")))</f>
        <v/>
      </c>
      <c r="F795" s="16">
        <f>IF(AND($L795="",$M795="",$N795=""),"",IF($N795="","",IF(INDEX(LdCWit,$N795)=0,"",INDEX(LdCWit,$N795))))</f>
        <v/>
      </c>
      <c r="G795" s="29">
        <f>IF($B795="","",IF($G794="",0,$G794)+IF($E795="",0,$E795)-IF($F795="",0,$F795))</f>
        <v/>
      </c>
      <c r="H795" s="30">
        <f>IF(AND($L795="",$M795="",$N795=""),"",IF($L795&lt;&gt;"",IF(INDEX(LdANote,$L795)="","—",INDEX(LdANote,$L795)),IF($M795&lt;&gt;"",IF(INDEX(LdBNote,$M795)="","—",INDEX(LdBNote,$M795)),IF($N795&lt;&gt;"",IF(INDEX(LdCNote,$N795)="","—",INDEX(LdCNote,$N795)),""))))</f>
        <v/>
      </c>
      <c r="L795">
        <f>IFERROR(MATCH($C$5&amp;"|"&amp;RIGHT("000000"&amp;779,6),LdAKeyM,0),"")</f>
        <v/>
      </c>
      <c r="M795">
        <f>IFERROR(MATCH($C$5&amp;"|"&amp;RIGHT("000000"&amp;779,6),LdBKeyM,0),"")</f>
        <v/>
      </c>
      <c r="N795">
        <f>IFERROR(MATCH($C$5&amp;"|"&amp;RIGHT("000000"&amp;779,6),LdCKeyM,0),"")</f>
        <v/>
      </c>
    </row>
    <row r="796">
      <c r="A796" s="19" t="n">
        <v>780</v>
      </c>
      <c r="B796" s="20">
        <f>IF(AND($L796="",$M796="",$N796=""),"",IF($L796&lt;&gt;"",INDEX(LdADate,$L796),IF($M796&lt;&gt;"",INDEX(LdBDate,$M796),INDEX(LdCDate,$N796))))</f>
        <v/>
      </c>
      <c r="C796" s="20">
        <f>IF($L796&lt;&gt;"","دستمزد (فردی)",IF($M796&lt;&gt;"","سهم از گروه "&amp;IFERROR(VLOOKUP(INDEX(LdBGroup,$M796),WGTbl,2,0),INDEX(LdBGroup,$M796)),IF($N796&lt;&gt;"",IF(N(INDEX(LdCDep,$N796))&gt;0,"بازگشت بانکی","پرداخت بانکی"),"")))</f>
        <v/>
      </c>
      <c r="D796" s="20">
        <f>IF($L796&lt;&gt;"",IF(INDEX(LdAId,$L796)="","—",INDEX(LdAId,$L796)),IF($M796&lt;&gt;"",IF(INDEX(LdBId,$M796)="","—",INDEX(LdBId,$M796)),IF($N796&lt;&gt;"",IF(INDEX(LdCBank,$N796)="","—",INDEX(LdCBank,$N796)),"")))</f>
        <v/>
      </c>
      <c r="E796" s="21">
        <f>IF($L796&lt;&gt;"",IF(INDEX(LdAAmt,$L796)=0,"",INDEX(LdAAmt,$L796)),IF($M796&lt;&gt;"",IF(INDEX(LdBAmt,$M796)=0,"",INDEX(LdBAmt,$M796)),IF($N796&lt;&gt;"",IF(INDEX(LdCDep,$N796)=0,"",INDEX(LdCDep,$N796)),"")))</f>
        <v/>
      </c>
      <c r="F796" s="21">
        <f>IF(AND($L796="",$M796="",$N796=""),"",IF($N796="","",IF(INDEX(LdCWit,$N796)=0,"",INDEX(LdCWit,$N796))))</f>
        <v/>
      </c>
      <c r="G796" s="31">
        <f>IF($B796="","",IF($G795="",0,$G795)+IF($E796="",0,$E796)-IF($F796="",0,$F796))</f>
        <v/>
      </c>
      <c r="H796" s="32">
        <f>IF(AND($L796="",$M796="",$N796=""),"",IF($L796&lt;&gt;"",IF(INDEX(LdANote,$L796)="","—",INDEX(LdANote,$L796)),IF($M796&lt;&gt;"",IF(INDEX(LdBNote,$M796)="","—",INDEX(LdBNote,$M796)),IF($N796&lt;&gt;"",IF(INDEX(LdCNote,$N796)="","—",INDEX(LdCNote,$N796)),""))))</f>
        <v/>
      </c>
      <c r="L796">
        <f>IFERROR(MATCH($C$5&amp;"|"&amp;RIGHT("000000"&amp;780,6),LdAKeyM,0),"")</f>
        <v/>
      </c>
      <c r="M796">
        <f>IFERROR(MATCH($C$5&amp;"|"&amp;RIGHT("000000"&amp;780,6),LdBKeyM,0),"")</f>
        <v/>
      </c>
      <c r="N796">
        <f>IFERROR(MATCH($C$5&amp;"|"&amp;RIGHT("000000"&amp;780,6),LdCKeyM,0),"")</f>
        <v/>
      </c>
    </row>
    <row r="797">
      <c r="A797" s="10" t="n">
        <v>781</v>
      </c>
      <c r="B797" s="14">
        <f>IF(AND($L797="",$M797="",$N797=""),"",IF($L797&lt;&gt;"",INDEX(LdADate,$L797),IF($M797&lt;&gt;"",INDEX(LdBDate,$M797),INDEX(LdCDate,$N797))))</f>
        <v/>
      </c>
      <c r="C797" s="14">
        <f>IF($L797&lt;&gt;"","دستمزد (فردی)",IF($M797&lt;&gt;"","سهم از گروه "&amp;IFERROR(VLOOKUP(INDEX(LdBGroup,$M797),WGTbl,2,0),INDEX(LdBGroup,$M797)),IF($N797&lt;&gt;"",IF(N(INDEX(LdCDep,$N797))&gt;0,"بازگشت بانکی","پرداخت بانکی"),"")))</f>
        <v/>
      </c>
      <c r="D797" s="14">
        <f>IF($L797&lt;&gt;"",IF(INDEX(LdAId,$L797)="","—",INDEX(LdAId,$L797)),IF($M797&lt;&gt;"",IF(INDEX(LdBId,$M797)="","—",INDEX(LdBId,$M797)),IF($N797&lt;&gt;"",IF(INDEX(LdCBank,$N797)="","—",INDEX(LdCBank,$N797)),"")))</f>
        <v/>
      </c>
      <c r="E797" s="16">
        <f>IF($L797&lt;&gt;"",IF(INDEX(LdAAmt,$L797)=0,"",INDEX(LdAAmt,$L797)),IF($M797&lt;&gt;"",IF(INDEX(LdBAmt,$M797)=0,"",INDEX(LdBAmt,$M797)),IF($N797&lt;&gt;"",IF(INDEX(LdCDep,$N797)=0,"",INDEX(LdCDep,$N797)),"")))</f>
        <v/>
      </c>
      <c r="F797" s="16">
        <f>IF(AND($L797="",$M797="",$N797=""),"",IF($N797="","",IF(INDEX(LdCWit,$N797)=0,"",INDEX(LdCWit,$N797))))</f>
        <v/>
      </c>
      <c r="G797" s="29">
        <f>IF($B797="","",IF($G796="",0,$G796)+IF($E797="",0,$E797)-IF($F797="",0,$F797))</f>
        <v/>
      </c>
      <c r="H797" s="30">
        <f>IF(AND($L797="",$M797="",$N797=""),"",IF($L797&lt;&gt;"",IF(INDEX(LdANote,$L797)="","—",INDEX(LdANote,$L797)),IF($M797&lt;&gt;"",IF(INDEX(LdBNote,$M797)="","—",INDEX(LdBNote,$M797)),IF($N797&lt;&gt;"",IF(INDEX(LdCNote,$N797)="","—",INDEX(LdCNote,$N797)),""))))</f>
        <v/>
      </c>
      <c r="L797">
        <f>IFERROR(MATCH($C$5&amp;"|"&amp;RIGHT("000000"&amp;781,6),LdAKeyM,0),"")</f>
        <v/>
      </c>
      <c r="M797">
        <f>IFERROR(MATCH($C$5&amp;"|"&amp;RIGHT("000000"&amp;781,6),LdBKeyM,0),"")</f>
        <v/>
      </c>
      <c r="N797">
        <f>IFERROR(MATCH($C$5&amp;"|"&amp;RIGHT("000000"&amp;781,6),LdCKeyM,0),"")</f>
        <v/>
      </c>
    </row>
    <row r="798">
      <c r="A798" s="19" t="n">
        <v>782</v>
      </c>
      <c r="B798" s="20">
        <f>IF(AND($L798="",$M798="",$N798=""),"",IF($L798&lt;&gt;"",INDEX(LdADate,$L798),IF($M798&lt;&gt;"",INDEX(LdBDate,$M798),INDEX(LdCDate,$N798))))</f>
        <v/>
      </c>
      <c r="C798" s="20">
        <f>IF($L798&lt;&gt;"","دستمزد (فردی)",IF($M798&lt;&gt;"","سهم از گروه "&amp;IFERROR(VLOOKUP(INDEX(LdBGroup,$M798),WGTbl,2,0),INDEX(LdBGroup,$M798)),IF($N798&lt;&gt;"",IF(N(INDEX(LdCDep,$N798))&gt;0,"بازگشت بانکی","پرداخت بانکی"),"")))</f>
        <v/>
      </c>
      <c r="D798" s="20">
        <f>IF($L798&lt;&gt;"",IF(INDEX(LdAId,$L798)="","—",INDEX(LdAId,$L798)),IF($M798&lt;&gt;"",IF(INDEX(LdBId,$M798)="","—",INDEX(LdBId,$M798)),IF($N798&lt;&gt;"",IF(INDEX(LdCBank,$N798)="","—",INDEX(LdCBank,$N798)),"")))</f>
        <v/>
      </c>
      <c r="E798" s="21">
        <f>IF($L798&lt;&gt;"",IF(INDEX(LdAAmt,$L798)=0,"",INDEX(LdAAmt,$L798)),IF($M798&lt;&gt;"",IF(INDEX(LdBAmt,$M798)=0,"",INDEX(LdBAmt,$M798)),IF($N798&lt;&gt;"",IF(INDEX(LdCDep,$N798)=0,"",INDEX(LdCDep,$N798)),"")))</f>
        <v/>
      </c>
      <c r="F798" s="21">
        <f>IF(AND($L798="",$M798="",$N798=""),"",IF($N798="","",IF(INDEX(LdCWit,$N798)=0,"",INDEX(LdCWit,$N798))))</f>
        <v/>
      </c>
      <c r="G798" s="31">
        <f>IF($B798="","",IF($G797="",0,$G797)+IF($E798="",0,$E798)-IF($F798="",0,$F798))</f>
        <v/>
      </c>
      <c r="H798" s="32">
        <f>IF(AND($L798="",$M798="",$N798=""),"",IF($L798&lt;&gt;"",IF(INDEX(LdANote,$L798)="","—",INDEX(LdANote,$L798)),IF($M798&lt;&gt;"",IF(INDEX(LdBNote,$M798)="","—",INDEX(LdBNote,$M798)),IF($N798&lt;&gt;"",IF(INDEX(LdCNote,$N798)="","—",INDEX(LdCNote,$N798)),""))))</f>
        <v/>
      </c>
      <c r="L798">
        <f>IFERROR(MATCH($C$5&amp;"|"&amp;RIGHT("000000"&amp;782,6),LdAKeyM,0),"")</f>
        <v/>
      </c>
      <c r="M798">
        <f>IFERROR(MATCH($C$5&amp;"|"&amp;RIGHT("000000"&amp;782,6),LdBKeyM,0),"")</f>
        <v/>
      </c>
      <c r="N798">
        <f>IFERROR(MATCH($C$5&amp;"|"&amp;RIGHT("000000"&amp;782,6),LdCKeyM,0),"")</f>
        <v/>
      </c>
    </row>
    <row r="799">
      <c r="A799" s="10" t="n">
        <v>783</v>
      </c>
      <c r="B799" s="14">
        <f>IF(AND($L799="",$M799="",$N799=""),"",IF($L799&lt;&gt;"",INDEX(LdADate,$L799),IF($M799&lt;&gt;"",INDEX(LdBDate,$M799),INDEX(LdCDate,$N799))))</f>
        <v/>
      </c>
      <c r="C799" s="14">
        <f>IF($L799&lt;&gt;"","دستمزد (فردی)",IF($M799&lt;&gt;"","سهم از گروه "&amp;IFERROR(VLOOKUP(INDEX(LdBGroup,$M799),WGTbl,2,0),INDEX(LdBGroup,$M799)),IF($N799&lt;&gt;"",IF(N(INDEX(LdCDep,$N799))&gt;0,"بازگشت بانکی","پرداخت بانکی"),"")))</f>
        <v/>
      </c>
      <c r="D799" s="14">
        <f>IF($L799&lt;&gt;"",IF(INDEX(LdAId,$L799)="","—",INDEX(LdAId,$L799)),IF($M799&lt;&gt;"",IF(INDEX(LdBId,$M799)="","—",INDEX(LdBId,$M799)),IF($N799&lt;&gt;"",IF(INDEX(LdCBank,$N799)="","—",INDEX(LdCBank,$N799)),"")))</f>
        <v/>
      </c>
      <c r="E799" s="16">
        <f>IF($L799&lt;&gt;"",IF(INDEX(LdAAmt,$L799)=0,"",INDEX(LdAAmt,$L799)),IF($M799&lt;&gt;"",IF(INDEX(LdBAmt,$M799)=0,"",INDEX(LdBAmt,$M799)),IF($N799&lt;&gt;"",IF(INDEX(LdCDep,$N799)=0,"",INDEX(LdCDep,$N799)),"")))</f>
        <v/>
      </c>
      <c r="F799" s="16">
        <f>IF(AND($L799="",$M799="",$N799=""),"",IF($N799="","",IF(INDEX(LdCWit,$N799)=0,"",INDEX(LdCWit,$N799))))</f>
        <v/>
      </c>
      <c r="G799" s="29">
        <f>IF($B799="","",IF($G798="",0,$G798)+IF($E799="",0,$E799)-IF($F799="",0,$F799))</f>
        <v/>
      </c>
      <c r="H799" s="30">
        <f>IF(AND($L799="",$M799="",$N799=""),"",IF($L799&lt;&gt;"",IF(INDEX(LdANote,$L799)="","—",INDEX(LdANote,$L799)),IF($M799&lt;&gt;"",IF(INDEX(LdBNote,$M799)="","—",INDEX(LdBNote,$M799)),IF($N799&lt;&gt;"",IF(INDEX(LdCNote,$N799)="","—",INDEX(LdCNote,$N799)),""))))</f>
        <v/>
      </c>
      <c r="L799">
        <f>IFERROR(MATCH($C$5&amp;"|"&amp;RIGHT("000000"&amp;783,6),LdAKeyM,0),"")</f>
        <v/>
      </c>
      <c r="M799">
        <f>IFERROR(MATCH($C$5&amp;"|"&amp;RIGHT("000000"&amp;783,6),LdBKeyM,0),"")</f>
        <v/>
      </c>
      <c r="N799">
        <f>IFERROR(MATCH($C$5&amp;"|"&amp;RIGHT("000000"&amp;783,6),LdCKeyM,0),"")</f>
        <v/>
      </c>
    </row>
    <row r="800">
      <c r="A800" s="19" t="n">
        <v>784</v>
      </c>
      <c r="B800" s="20">
        <f>IF(AND($L800="",$M800="",$N800=""),"",IF($L800&lt;&gt;"",INDEX(LdADate,$L800),IF($M800&lt;&gt;"",INDEX(LdBDate,$M800),INDEX(LdCDate,$N800))))</f>
        <v/>
      </c>
      <c r="C800" s="20">
        <f>IF($L800&lt;&gt;"","دستمزد (فردی)",IF($M800&lt;&gt;"","سهم از گروه "&amp;IFERROR(VLOOKUP(INDEX(LdBGroup,$M800),WGTbl,2,0),INDEX(LdBGroup,$M800)),IF($N800&lt;&gt;"",IF(N(INDEX(LdCDep,$N800))&gt;0,"بازگشت بانکی","پرداخت بانکی"),"")))</f>
        <v/>
      </c>
      <c r="D800" s="20">
        <f>IF($L800&lt;&gt;"",IF(INDEX(LdAId,$L800)="","—",INDEX(LdAId,$L800)),IF($M800&lt;&gt;"",IF(INDEX(LdBId,$M800)="","—",INDEX(LdBId,$M800)),IF($N800&lt;&gt;"",IF(INDEX(LdCBank,$N800)="","—",INDEX(LdCBank,$N800)),"")))</f>
        <v/>
      </c>
      <c r="E800" s="21">
        <f>IF($L800&lt;&gt;"",IF(INDEX(LdAAmt,$L800)=0,"",INDEX(LdAAmt,$L800)),IF($M800&lt;&gt;"",IF(INDEX(LdBAmt,$M800)=0,"",INDEX(LdBAmt,$M800)),IF($N800&lt;&gt;"",IF(INDEX(LdCDep,$N800)=0,"",INDEX(LdCDep,$N800)),"")))</f>
        <v/>
      </c>
      <c r="F800" s="21">
        <f>IF(AND($L800="",$M800="",$N800=""),"",IF($N800="","",IF(INDEX(LdCWit,$N800)=0,"",INDEX(LdCWit,$N800))))</f>
        <v/>
      </c>
      <c r="G800" s="31">
        <f>IF($B800="","",IF($G799="",0,$G799)+IF($E800="",0,$E800)-IF($F800="",0,$F800))</f>
        <v/>
      </c>
      <c r="H800" s="32">
        <f>IF(AND($L800="",$M800="",$N800=""),"",IF($L800&lt;&gt;"",IF(INDEX(LdANote,$L800)="","—",INDEX(LdANote,$L800)),IF($M800&lt;&gt;"",IF(INDEX(LdBNote,$M800)="","—",INDEX(LdBNote,$M800)),IF($N800&lt;&gt;"",IF(INDEX(LdCNote,$N800)="","—",INDEX(LdCNote,$N800)),""))))</f>
        <v/>
      </c>
      <c r="L800">
        <f>IFERROR(MATCH($C$5&amp;"|"&amp;RIGHT("000000"&amp;784,6),LdAKeyM,0),"")</f>
        <v/>
      </c>
      <c r="M800">
        <f>IFERROR(MATCH($C$5&amp;"|"&amp;RIGHT("000000"&amp;784,6),LdBKeyM,0),"")</f>
        <v/>
      </c>
      <c r="N800">
        <f>IFERROR(MATCH($C$5&amp;"|"&amp;RIGHT("000000"&amp;784,6),LdCKeyM,0),"")</f>
        <v/>
      </c>
    </row>
    <row r="801">
      <c r="A801" s="10" t="n">
        <v>785</v>
      </c>
      <c r="B801" s="14">
        <f>IF(AND($L801="",$M801="",$N801=""),"",IF($L801&lt;&gt;"",INDEX(LdADate,$L801),IF($M801&lt;&gt;"",INDEX(LdBDate,$M801),INDEX(LdCDate,$N801))))</f>
        <v/>
      </c>
      <c r="C801" s="14">
        <f>IF($L801&lt;&gt;"","دستمزد (فردی)",IF($M801&lt;&gt;"","سهم از گروه "&amp;IFERROR(VLOOKUP(INDEX(LdBGroup,$M801),WGTbl,2,0),INDEX(LdBGroup,$M801)),IF($N801&lt;&gt;"",IF(N(INDEX(LdCDep,$N801))&gt;0,"بازگشت بانکی","پرداخت بانکی"),"")))</f>
        <v/>
      </c>
      <c r="D801" s="14">
        <f>IF($L801&lt;&gt;"",IF(INDEX(LdAId,$L801)="","—",INDEX(LdAId,$L801)),IF($M801&lt;&gt;"",IF(INDEX(LdBId,$M801)="","—",INDEX(LdBId,$M801)),IF($N801&lt;&gt;"",IF(INDEX(LdCBank,$N801)="","—",INDEX(LdCBank,$N801)),"")))</f>
        <v/>
      </c>
      <c r="E801" s="16">
        <f>IF($L801&lt;&gt;"",IF(INDEX(LdAAmt,$L801)=0,"",INDEX(LdAAmt,$L801)),IF($M801&lt;&gt;"",IF(INDEX(LdBAmt,$M801)=0,"",INDEX(LdBAmt,$M801)),IF($N801&lt;&gt;"",IF(INDEX(LdCDep,$N801)=0,"",INDEX(LdCDep,$N801)),"")))</f>
        <v/>
      </c>
      <c r="F801" s="16">
        <f>IF(AND($L801="",$M801="",$N801=""),"",IF($N801="","",IF(INDEX(LdCWit,$N801)=0,"",INDEX(LdCWit,$N801))))</f>
        <v/>
      </c>
      <c r="G801" s="29">
        <f>IF($B801="","",IF($G800="",0,$G800)+IF($E801="",0,$E801)-IF($F801="",0,$F801))</f>
        <v/>
      </c>
      <c r="H801" s="30">
        <f>IF(AND($L801="",$M801="",$N801=""),"",IF($L801&lt;&gt;"",IF(INDEX(LdANote,$L801)="","—",INDEX(LdANote,$L801)),IF($M801&lt;&gt;"",IF(INDEX(LdBNote,$M801)="","—",INDEX(LdBNote,$M801)),IF($N801&lt;&gt;"",IF(INDEX(LdCNote,$N801)="","—",INDEX(LdCNote,$N801)),""))))</f>
        <v/>
      </c>
      <c r="L801">
        <f>IFERROR(MATCH($C$5&amp;"|"&amp;RIGHT("000000"&amp;785,6),LdAKeyM,0),"")</f>
        <v/>
      </c>
      <c r="M801">
        <f>IFERROR(MATCH($C$5&amp;"|"&amp;RIGHT("000000"&amp;785,6),LdBKeyM,0),"")</f>
        <v/>
      </c>
      <c r="N801">
        <f>IFERROR(MATCH($C$5&amp;"|"&amp;RIGHT("000000"&amp;785,6),LdCKeyM,0),"")</f>
        <v/>
      </c>
    </row>
    <row r="802">
      <c r="A802" s="19" t="n">
        <v>786</v>
      </c>
      <c r="B802" s="20">
        <f>IF(AND($L802="",$M802="",$N802=""),"",IF($L802&lt;&gt;"",INDEX(LdADate,$L802),IF($M802&lt;&gt;"",INDEX(LdBDate,$M802),INDEX(LdCDate,$N802))))</f>
        <v/>
      </c>
      <c r="C802" s="20">
        <f>IF($L802&lt;&gt;"","دستمزد (فردی)",IF($M802&lt;&gt;"","سهم از گروه "&amp;IFERROR(VLOOKUP(INDEX(LdBGroup,$M802),WGTbl,2,0),INDEX(LdBGroup,$M802)),IF($N802&lt;&gt;"",IF(N(INDEX(LdCDep,$N802))&gt;0,"بازگشت بانکی","پرداخت بانکی"),"")))</f>
        <v/>
      </c>
      <c r="D802" s="20">
        <f>IF($L802&lt;&gt;"",IF(INDEX(LdAId,$L802)="","—",INDEX(LdAId,$L802)),IF($M802&lt;&gt;"",IF(INDEX(LdBId,$M802)="","—",INDEX(LdBId,$M802)),IF($N802&lt;&gt;"",IF(INDEX(LdCBank,$N802)="","—",INDEX(LdCBank,$N802)),"")))</f>
        <v/>
      </c>
      <c r="E802" s="21">
        <f>IF($L802&lt;&gt;"",IF(INDEX(LdAAmt,$L802)=0,"",INDEX(LdAAmt,$L802)),IF($M802&lt;&gt;"",IF(INDEX(LdBAmt,$M802)=0,"",INDEX(LdBAmt,$M802)),IF($N802&lt;&gt;"",IF(INDEX(LdCDep,$N802)=0,"",INDEX(LdCDep,$N802)),"")))</f>
        <v/>
      </c>
      <c r="F802" s="21">
        <f>IF(AND($L802="",$M802="",$N802=""),"",IF($N802="","",IF(INDEX(LdCWit,$N802)=0,"",INDEX(LdCWit,$N802))))</f>
        <v/>
      </c>
      <c r="G802" s="31">
        <f>IF($B802="","",IF($G801="",0,$G801)+IF($E802="",0,$E802)-IF($F802="",0,$F802))</f>
        <v/>
      </c>
      <c r="H802" s="32">
        <f>IF(AND($L802="",$M802="",$N802=""),"",IF($L802&lt;&gt;"",IF(INDEX(LdANote,$L802)="","—",INDEX(LdANote,$L802)),IF($M802&lt;&gt;"",IF(INDEX(LdBNote,$M802)="","—",INDEX(LdBNote,$M802)),IF($N802&lt;&gt;"",IF(INDEX(LdCNote,$N802)="","—",INDEX(LdCNote,$N802)),""))))</f>
        <v/>
      </c>
      <c r="L802">
        <f>IFERROR(MATCH($C$5&amp;"|"&amp;RIGHT("000000"&amp;786,6),LdAKeyM,0),"")</f>
        <v/>
      </c>
      <c r="M802">
        <f>IFERROR(MATCH($C$5&amp;"|"&amp;RIGHT("000000"&amp;786,6),LdBKeyM,0),"")</f>
        <v/>
      </c>
      <c r="N802">
        <f>IFERROR(MATCH($C$5&amp;"|"&amp;RIGHT("000000"&amp;786,6),LdCKeyM,0),"")</f>
        <v/>
      </c>
    </row>
    <row r="803">
      <c r="A803" s="10" t="n">
        <v>787</v>
      </c>
      <c r="B803" s="14">
        <f>IF(AND($L803="",$M803="",$N803=""),"",IF($L803&lt;&gt;"",INDEX(LdADate,$L803),IF($M803&lt;&gt;"",INDEX(LdBDate,$M803),INDEX(LdCDate,$N803))))</f>
        <v/>
      </c>
      <c r="C803" s="14">
        <f>IF($L803&lt;&gt;"","دستمزد (فردی)",IF($M803&lt;&gt;"","سهم از گروه "&amp;IFERROR(VLOOKUP(INDEX(LdBGroup,$M803),WGTbl,2,0),INDEX(LdBGroup,$M803)),IF($N803&lt;&gt;"",IF(N(INDEX(LdCDep,$N803))&gt;0,"بازگشت بانکی","پرداخت بانکی"),"")))</f>
        <v/>
      </c>
      <c r="D803" s="14">
        <f>IF($L803&lt;&gt;"",IF(INDEX(LdAId,$L803)="","—",INDEX(LdAId,$L803)),IF($M803&lt;&gt;"",IF(INDEX(LdBId,$M803)="","—",INDEX(LdBId,$M803)),IF($N803&lt;&gt;"",IF(INDEX(LdCBank,$N803)="","—",INDEX(LdCBank,$N803)),"")))</f>
        <v/>
      </c>
      <c r="E803" s="16">
        <f>IF($L803&lt;&gt;"",IF(INDEX(LdAAmt,$L803)=0,"",INDEX(LdAAmt,$L803)),IF($M803&lt;&gt;"",IF(INDEX(LdBAmt,$M803)=0,"",INDEX(LdBAmt,$M803)),IF($N803&lt;&gt;"",IF(INDEX(LdCDep,$N803)=0,"",INDEX(LdCDep,$N803)),"")))</f>
        <v/>
      </c>
      <c r="F803" s="16">
        <f>IF(AND($L803="",$M803="",$N803=""),"",IF($N803="","",IF(INDEX(LdCWit,$N803)=0,"",INDEX(LdCWit,$N803))))</f>
        <v/>
      </c>
      <c r="G803" s="29">
        <f>IF($B803="","",IF($G802="",0,$G802)+IF($E803="",0,$E803)-IF($F803="",0,$F803))</f>
        <v/>
      </c>
      <c r="H803" s="30">
        <f>IF(AND($L803="",$M803="",$N803=""),"",IF($L803&lt;&gt;"",IF(INDEX(LdANote,$L803)="","—",INDEX(LdANote,$L803)),IF($M803&lt;&gt;"",IF(INDEX(LdBNote,$M803)="","—",INDEX(LdBNote,$M803)),IF($N803&lt;&gt;"",IF(INDEX(LdCNote,$N803)="","—",INDEX(LdCNote,$N803)),""))))</f>
        <v/>
      </c>
      <c r="L803">
        <f>IFERROR(MATCH($C$5&amp;"|"&amp;RIGHT("000000"&amp;787,6),LdAKeyM,0),"")</f>
        <v/>
      </c>
      <c r="M803">
        <f>IFERROR(MATCH($C$5&amp;"|"&amp;RIGHT("000000"&amp;787,6),LdBKeyM,0),"")</f>
        <v/>
      </c>
      <c r="N803">
        <f>IFERROR(MATCH($C$5&amp;"|"&amp;RIGHT("000000"&amp;787,6),LdCKeyM,0),"")</f>
        <v/>
      </c>
    </row>
    <row r="804">
      <c r="A804" s="19" t="n">
        <v>788</v>
      </c>
      <c r="B804" s="20">
        <f>IF(AND($L804="",$M804="",$N804=""),"",IF($L804&lt;&gt;"",INDEX(LdADate,$L804),IF($M804&lt;&gt;"",INDEX(LdBDate,$M804),INDEX(LdCDate,$N804))))</f>
        <v/>
      </c>
      <c r="C804" s="20">
        <f>IF($L804&lt;&gt;"","دستمزد (فردی)",IF($M804&lt;&gt;"","سهم از گروه "&amp;IFERROR(VLOOKUP(INDEX(LdBGroup,$M804),WGTbl,2,0),INDEX(LdBGroup,$M804)),IF($N804&lt;&gt;"",IF(N(INDEX(LdCDep,$N804))&gt;0,"بازگشت بانکی","پرداخت بانکی"),"")))</f>
        <v/>
      </c>
      <c r="D804" s="20">
        <f>IF($L804&lt;&gt;"",IF(INDEX(LdAId,$L804)="","—",INDEX(LdAId,$L804)),IF($M804&lt;&gt;"",IF(INDEX(LdBId,$M804)="","—",INDEX(LdBId,$M804)),IF($N804&lt;&gt;"",IF(INDEX(LdCBank,$N804)="","—",INDEX(LdCBank,$N804)),"")))</f>
        <v/>
      </c>
      <c r="E804" s="21">
        <f>IF($L804&lt;&gt;"",IF(INDEX(LdAAmt,$L804)=0,"",INDEX(LdAAmt,$L804)),IF($M804&lt;&gt;"",IF(INDEX(LdBAmt,$M804)=0,"",INDEX(LdBAmt,$M804)),IF($N804&lt;&gt;"",IF(INDEX(LdCDep,$N804)=0,"",INDEX(LdCDep,$N804)),"")))</f>
        <v/>
      </c>
      <c r="F804" s="21">
        <f>IF(AND($L804="",$M804="",$N804=""),"",IF($N804="","",IF(INDEX(LdCWit,$N804)=0,"",INDEX(LdCWit,$N804))))</f>
        <v/>
      </c>
      <c r="G804" s="31">
        <f>IF($B804="","",IF($G803="",0,$G803)+IF($E804="",0,$E804)-IF($F804="",0,$F804))</f>
        <v/>
      </c>
      <c r="H804" s="32">
        <f>IF(AND($L804="",$M804="",$N804=""),"",IF($L804&lt;&gt;"",IF(INDEX(LdANote,$L804)="","—",INDEX(LdANote,$L804)),IF($M804&lt;&gt;"",IF(INDEX(LdBNote,$M804)="","—",INDEX(LdBNote,$M804)),IF($N804&lt;&gt;"",IF(INDEX(LdCNote,$N804)="","—",INDEX(LdCNote,$N804)),""))))</f>
        <v/>
      </c>
      <c r="L804">
        <f>IFERROR(MATCH($C$5&amp;"|"&amp;RIGHT("000000"&amp;788,6),LdAKeyM,0),"")</f>
        <v/>
      </c>
      <c r="M804">
        <f>IFERROR(MATCH($C$5&amp;"|"&amp;RIGHT("000000"&amp;788,6),LdBKeyM,0),"")</f>
        <v/>
      </c>
      <c r="N804">
        <f>IFERROR(MATCH($C$5&amp;"|"&amp;RIGHT("000000"&amp;788,6),LdCKeyM,0),"")</f>
        <v/>
      </c>
    </row>
    <row r="805">
      <c r="A805" s="10" t="n">
        <v>789</v>
      </c>
      <c r="B805" s="14">
        <f>IF(AND($L805="",$M805="",$N805=""),"",IF($L805&lt;&gt;"",INDEX(LdADate,$L805),IF($M805&lt;&gt;"",INDEX(LdBDate,$M805),INDEX(LdCDate,$N805))))</f>
        <v/>
      </c>
      <c r="C805" s="14">
        <f>IF($L805&lt;&gt;"","دستمزد (فردی)",IF($M805&lt;&gt;"","سهم از گروه "&amp;IFERROR(VLOOKUP(INDEX(LdBGroup,$M805),WGTbl,2,0),INDEX(LdBGroup,$M805)),IF($N805&lt;&gt;"",IF(N(INDEX(LdCDep,$N805))&gt;0,"بازگشت بانکی","پرداخت بانکی"),"")))</f>
        <v/>
      </c>
      <c r="D805" s="14">
        <f>IF($L805&lt;&gt;"",IF(INDEX(LdAId,$L805)="","—",INDEX(LdAId,$L805)),IF($M805&lt;&gt;"",IF(INDEX(LdBId,$M805)="","—",INDEX(LdBId,$M805)),IF($N805&lt;&gt;"",IF(INDEX(LdCBank,$N805)="","—",INDEX(LdCBank,$N805)),"")))</f>
        <v/>
      </c>
      <c r="E805" s="16">
        <f>IF($L805&lt;&gt;"",IF(INDEX(LdAAmt,$L805)=0,"",INDEX(LdAAmt,$L805)),IF($M805&lt;&gt;"",IF(INDEX(LdBAmt,$M805)=0,"",INDEX(LdBAmt,$M805)),IF($N805&lt;&gt;"",IF(INDEX(LdCDep,$N805)=0,"",INDEX(LdCDep,$N805)),"")))</f>
        <v/>
      </c>
      <c r="F805" s="16">
        <f>IF(AND($L805="",$M805="",$N805=""),"",IF($N805="","",IF(INDEX(LdCWit,$N805)=0,"",INDEX(LdCWit,$N805))))</f>
        <v/>
      </c>
      <c r="G805" s="29">
        <f>IF($B805="","",IF($G804="",0,$G804)+IF($E805="",0,$E805)-IF($F805="",0,$F805))</f>
        <v/>
      </c>
      <c r="H805" s="30">
        <f>IF(AND($L805="",$M805="",$N805=""),"",IF($L805&lt;&gt;"",IF(INDEX(LdANote,$L805)="","—",INDEX(LdANote,$L805)),IF($M805&lt;&gt;"",IF(INDEX(LdBNote,$M805)="","—",INDEX(LdBNote,$M805)),IF($N805&lt;&gt;"",IF(INDEX(LdCNote,$N805)="","—",INDEX(LdCNote,$N805)),""))))</f>
        <v/>
      </c>
      <c r="L805">
        <f>IFERROR(MATCH($C$5&amp;"|"&amp;RIGHT("000000"&amp;789,6),LdAKeyM,0),"")</f>
        <v/>
      </c>
      <c r="M805">
        <f>IFERROR(MATCH($C$5&amp;"|"&amp;RIGHT("000000"&amp;789,6),LdBKeyM,0),"")</f>
        <v/>
      </c>
      <c r="N805">
        <f>IFERROR(MATCH($C$5&amp;"|"&amp;RIGHT("000000"&amp;789,6),LdCKeyM,0),"")</f>
        <v/>
      </c>
    </row>
    <row r="806">
      <c r="A806" s="19" t="n">
        <v>790</v>
      </c>
      <c r="B806" s="20">
        <f>IF(AND($L806="",$M806="",$N806=""),"",IF($L806&lt;&gt;"",INDEX(LdADate,$L806),IF($M806&lt;&gt;"",INDEX(LdBDate,$M806),INDEX(LdCDate,$N806))))</f>
        <v/>
      </c>
      <c r="C806" s="20">
        <f>IF($L806&lt;&gt;"","دستمزد (فردی)",IF($M806&lt;&gt;"","سهم از گروه "&amp;IFERROR(VLOOKUP(INDEX(LdBGroup,$M806),WGTbl,2,0),INDEX(LdBGroup,$M806)),IF($N806&lt;&gt;"",IF(N(INDEX(LdCDep,$N806))&gt;0,"بازگشت بانکی","پرداخت بانکی"),"")))</f>
        <v/>
      </c>
      <c r="D806" s="20">
        <f>IF($L806&lt;&gt;"",IF(INDEX(LdAId,$L806)="","—",INDEX(LdAId,$L806)),IF($M806&lt;&gt;"",IF(INDEX(LdBId,$M806)="","—",INDEX(LdBId,$M806)),IF($N806&lt;&gt;"",IF(INDEX(LdCBank,$N806)="","—",INDEX(LdCBank,$N806)),"")))</f>
        <v/>
      </c>
      <c r="E806" s="21">
        <f>IF($L806&lt;&gt;"",IF(INDEX(LdAAmt,$L806)=0,"",INDEX(LdAAmt,$L806)),IF($M806&lt;&gt;"",IF(INDEX(LdBAmt,$M806)=0,"",INDEX(LdBAmt,$M806)),IF($N806&lt;&gt;"",IF(INDEX(LdCDep,$N806)=0,"",INDEX(LdCDep,$N806)),"")))</f>
        <v/>
      </c>
      <c r="F806" s="21">
        <f>IF(AND($L806="",$M806="",$N806=""),"",IF($N806="","",IF(INDEX(LdCWit,$N806)=0,"",INDEX(LdCWit,$N806))))</f>
        <v/>
      </c>
      <c r="G806" s="31">
        <f>IF($B806="","",IF($G805="",0,$G805)+IF($E806="",0,$E806)-IF($F806="",0,$F806))</f>
        <v/>
      </c>
      <c r="H806" s="32">
        <f>IF(AND($L806="",$M806="",$N806=""),"",IF($L806&lt;&gt;"",IF(INDEX(LdANote,$L806)="","—",INDEX(LdANote,$L806)),IF($M806&lt;&gt;"",IF(INDEX(LdBNote,$M806)="","—",INDEX(LdBNote,$M806)),IF($N806&lt;&gt;"",IF(INDEX(LdCNote,$N806)="","—",INDEX(LdCNote,$N806)),""))))</f>
        <v/>
      </c>
      <c r="L806">
        <f>IFERROR(MATCH($C$5&amp;"|"&amp;RIGHT("000000"&amp;790,6),LdAKeyM,0),"")</f>
        <v/>
      </c>
      <c r="M806">
        <f>IFERROR(MATCH($C$5&amp;"|"&amp;RIGHT("000000"&amp;790,6),LdBKeyM,0),"")</f>
        <v/>
      </c>
      <c r="N806">
        <f>IFERROR(MATCH($C$5&amp;"|"&amp;RIGHT("000000"&amp;790,6),LdCKeyM,0),"")</f>
        <v/>
      </c>
    </row>
    <row r="807">
      <c r="A807" s="10" t="n">
        <v>791</v>
      </c>
      <c r="B807" s="14">
        <f>IF(AND($L807="",$M807="",$N807=""),"",IF($L807&lt;&gt;"",INDEX(LdADate,$L807),IF($M807&lt;&gt;"",INDEX(LdBDate,$M807),INDEX(LdCDate,$N807))))</f>
        <v/>
      </c>
      <c r="C807" s="14">
        <f>IF($L807&lt;&gt;"","دستمزد (فردی)",IF($M807&lt;&gt;"","سهم از گروه "&amp;IFERROR(VLOOKUP(INDEX(LdBGroup,$M807),WGTbl,2,0),INDEX(LdBGroup,$M807)),IF($N807&lt;&gt;"",IF(N(INDEX(LdCDep,$N807))&gt;0,"بازگشت بانکی","پرداخت بانکی"),"")))</f>
        <v/>
      </c>
      <c r="D807" s="14">
        <f>IF($L807&lt;&gt;"",IF(INDEX(LdAId,$L807)="","—",INDEX(LdAId,$L807)),IF($M807&lt;&gt;"",IF(INDEX(LdBId,$M807)="","—",INDEX(LdBId,$M807)),IF($N807&lt;&gt;"",IF(INDEX(LdCBank,$N807)="","—",INDEX(LdCBank,$N807)),"")))</f>
        <v/>
      </c>
      <c r="E807" s="16">
        <f>IF($L807&lt;&gt;"",IF(INDEX(LdAAmt,$L807)=0,"",INDEX(LdAAmt,$L807)),IF($M807&lt;&gt;"",IF(INDEX(LdBAmt,$M807)=0,"",INDEX(LdBAmt,$M807)),IF($N807&lt;&gt;"",IF(INDEX(LdCDep,$N807)=0,"",INDEX(LdCDep,$N807)),"")))</f>
        <v/>
      </c>
      <c r="F807" s="16">
        <f>IF(AND($L807="",$M807="",$N807=""),"",IF($N807="","",IF(INDEX(LdCWit,$N807)=0,"",INDEX(LdCWit,$N807))))</f>
        <v/>
      </c>
      <c r="G807" s="29">
        <f>IF($B807="","",IF($G806="",0,$G806)+IF($E807="",0,$E807)-IF($F807="",0,$F807))</f>
        <v/>
      </c>
      <c r="H807" s="30">
        <f>IF(AND($L807="",$M807="",$N807=""),"",IF($L807&lt;&gt;"",IF(INDEX(LdANote,$L807)="","—",INDEX(LdANote,$L807)),IF($M807&lt;&gt;"",IF(INDEX(LdBNote,$M807)="","—",INDEX(LdBNote,$M807)),IF($N807&lt;&gt;"",IF(INDEX(LdCNote,$N807)="","—",INDEX(LdCNote,$N807)),""))))</f>
        <v/>
      </c>
      <c r="L807">
        <f>IFERROR(MATCH($C$5&amp;"|"&amp;RIGHT("000000"&amp;791,6),LdAKeyM,0),"")</f>
        <v/>
      </c>
      <c r="M807">
        <f>IFERROR(MATCH($C$5&amp;"|"&amp;RIGHT("000000"&amp;791,6),LdBKeyM,0),"")</f>
        <v/>
      </c>
      <c r="N807">
        <f>IFERROR(MATCH($C$5&amp;"|"&amp;RIGHT("000000"&amp;791,6),LdCKeyM,0),"")</f>
        <v/>
      </c>
    </row>
    <row r="808">
      <c r="A808" s="19" t="n">
        <v>792</v>
      </c>
      <c r="B808" s="20">
        <f>IF(AND($L808="",$M808="",$N808=""),"",IF($L808&lt;&gt;"",INDEX(LdADate,$L808),IF($M808&lt;&gt;"",INDEX(LdBDate,$M808),INDEX(LdCDate,$N808))))</f>
        <v/>
      </c>
      <c r="C808" s="20">
        <f>IF($L808&lt;&gt;"","دستمزد (فردی)",IF($M808&lt;&gt;"","سهم از گروه "&amp;IFERROR(VLOOKUP(INDEX(LdBGroup,$M808),WGTbl,2,0),INDEX(LdBGroup,$M808)),IF($N808&lt;&gt;"",IF(N(INDEX(LdCDep,$N808))&gt;0,"بازگشت بانکی","پرداخت بانکی"),"")))</f>
        <v/>
      </c>
      <c r="D808" s="20">
        <f>IF($L808&lt;&gt;"",IF(INDEX(LdAId,$L808)="","—",INDEX(LdAId,$L808)),IF($M808&lt;&gt;"",IF(INDEX(LdBId,$M808)="","—",INDEX(LdBId,$M808)),IF($N808&lt;&gt;"",IF(INDEX(LdCBank,$N808)="","—",INDEX(LdCBank,$N808)),"")))</f>
        <v/>
      </c>
      <c r="E808" s="21">
        <f>IF($L808&lt;&gt;"",IF(INDEX(LdAAmt,$L808)=0,"",INDEX(LdAAmt,$L808)),IF($M808&lt;&gt;"",IF(INDEX(LdBAmt,$M808)=0,"",INDEX(LdBAmt,$M808)),IF($N808&lt;&gt;"",IF(INDEX(LdCDep,$N808)=0,"",INDEX(LdCDep,$N808)),"")))</f>
        <v/>
      </c>
      <c r="F808" s="21">
        <f>IF(AND($L808="",$M808="",$N808=""),"",IF($N808="","",IF(INDEX(LdCWit,$N808)=0,"",INDEX(LdCWit,$N808))))</f>
        <v/>
      </c>
      <c r="G808" s="31">
        <f>IF($B808="","",IF($G807="",0,$G807)+IF($E808="",0,$E808)-IF($F808="",0,$F808))</f>
        <v/>
      </c>
      <c r="H808" s="32">
        <f>IF(AND($L808="",$M808="",$N808=""),"",IF($L808&lt;&gt;"",IF(INDEX(LdANote,$L808)="","—",INDEX(LdANote,$L808)),IF($M808&lt;&gt;"",IF(INDEX(LdBNote,$M808)="","—",INDEX(LdBNote,$M808)),IF($N808&lt;&gt;"",IF(INDEX(LdCNote,$N808)="","—",INDEX(LdCNote,$N808)),""))))</f>
        <v/>
      </c>
      <c r="L808">
        <f>IFERROR(MATCH($C$5&amp;"|"&amp;RIGHT("000000"&amp;792,6),LdAKeyM,0),"")</f>
        <v/>
      </c>
      <c r="M808">
        <f>IFERROR(MATCH($C$5&amp;"|"&amp;RIGHT("000000"&amp;792,6),LdBKeyM,0),"")</f>
        <v/>
      </c>
      <c r="N808">
        <f>IFERROR(MATCH($C$5&amp;"|"&amp;RIGHT("000000"&amp;792,6),LdCKeyM,0),"")</f>
        <v/>
      </c>
    </row>
    <row r="809">
      <c r="A809" s="10" t="n">
        <v>793</v>
      </c>
      <c r="B809" s="14">
        <f>IF(AND($L809="",$M809="",$N809=""),"",IF($L809&lt;&gt;"",INDEX(LdADate,$L809),IF($M809&lt;&gt;"",INDEX(LdBDate,$M809),INDEX(LdCDate,$N809))))</f>
        <v/>
      </c>
      <c r="C809" s="14">
        <f>IF($L809&lt;&gt;"","دستمزد (فردی)",IF($M809&lt;&gt;"","سهم از گروه "&amp;IFERROR(VLOOKUP(INDEX(LdBGroup,$M809),WGTbl,2,0),INDEX(LdBGroup,$M809)),IF($N809&lt;&gt;"",IF(N(INDEX(LdCDep,$N809))&gt;0,"بازگشت بانکی","پرداخت بانکی"),"")))</f>
        <v/>
      </c>
      <c r="D809" s="14">
        <f>IF($L809&lt;&gt;"",IF(INDEX(LdAId,$L809)="","—",INDEX(LdAId,$L809)),IF($M809&lt;&gt;"",IF(INDEX(LdBId,$M809)="","—",INDEX(LdBId,$M809)),IF($N809&lt;&gt;"",IF(INDEX(LdCBank,$N809)="","—",INDEX(LdCBank,$N809)),"")))</f>
        <v/>
      </c>
      <c r="E809" s="16">
        <f>IF($L809&lt;&gt;"",IF(INDEX(LdAAmt,$L809)=0,"",INDEX(LdAAmt,$L809)),IF($M809&lt;&gt;"",IF(INDEX(LdBAmt,$M809)=0,"",INDEX(LdBAmt,$M809)),IF($N809&lt;&gt;"",IF(INDEX(LdCDep,$N809)=0,"",INDEX(LdCDep,$N809)),"")))</f>
        <v/>
      </c>
      <c r="F809" s="16">
        <f>IF(AND($L809="",$M809="",$N809=""),"",IF($N809="","",IF(INDEX(LdCWit,$N809)=0,"",INDEX(LdCWit,$N809))))</f>
        <v/>
      </c>
      <c r="G809" s="29">
        <f>IF($B809="","",IF($G808="",0,$G808)+IF($E809="",0,$E809)-IF($F809="",0,$F809))</f>
        <v/>
      </c>
      <c r="H809" s="30">
        <f>IF(AND($L809="",$M809="",$N809=""),"",IF($L809&lt;&gt;"",IF(INDEX(LdANote,$L809)="","—",INDEX(LdANote,$L809)),IF($M809&lt;&gt;"",IF(INDEX(LdBNote,$M809)="","—",INDEX(LdBNote,$M809)),IF($N809&lt;&gt;"",IF(INDEX(LdCNote,$N809)="","—",INDEX(LdCNote,$N809)),""))))</f>
        <v/>
      </c>
      <c r="L809">
        <f>IFERROR(MATCH($C$5&amp;"|"&amp;RIGHT("000000"&amp;793,6),LdAKeyM,0),"")</f>
        <v/>
      </c>
      <c r="M809">
        <f>IFERROR(MATCH($C$5&amp;"|"&amp;RIGHT("000000"&amp;793,6),LdBKeyM,0),"")</f>
        <v/>
      </c>
      <c r="N809">
        <f>IFERROR(MATCH($C$5&amp;"|"&amp;RIGHT("000000"&amp;793,6),LdCKeyM,0),"")</f>
        <v/>
      </c>
    </row>
    <row r="810">
      <c r="A810" s="19" t="n">
        <v>794</v>
      </c>
      <c r="B810" s="20">
        <f>IF(AND($L810="",$M810="",$N810=""),"",IF($L810&lt;&gt;"",INDEX(LdADate,$L810),IF($M810&lt;&gt;"",INDEX(LdBDate,$M810),INDEX(LdCDate,$N810))))</f>
        <v/>
      </c>
      <c r="C810" s="20">
        <f>IF($L810&lt;&gt;"","دستمزد (فردی)",IF($M810&lt;&gt;"","سهم از گروه "&amp;IFERROR(VLOOKUP(INDEX(LdBGroup,$M810),WGTbl,2,0),INDEX(LdBGroup,$M810)),IF($N810&lt;&gt;"",IF(N(INDEX(LdCDep,$N810))&gt;0,"بازگشت بانکی","پرداخت بانکی"),"")))</f>
        <v/>
      </c>
      <c r="D810" s="20">
        <f>IF($L810&lt;&gt;"",IF(INDEX(LdAId,$L810)="","—",INDEX(LdAId,$L810)),IF($M810&lt;&gt;"",IF(INDEX(LdBId,$M810)="","—",INDEX(LdBId,$M810)),IF($N810&lt;&gt;"",IF(INDEX(LdCBank,$N810)="","—",INDEX(LdCBank,$N810)),"")))</f>
        <v/>
      </c>
      <c r="E810" s="21">
        <f>IF($L810&lt;&gt;"",IF(INDEX(LdAAmt,$L810)=0,"",INDEX(LdAAmt,$L810)),IF($M810&lt;&gt;"",IF(INDEX(LdBAmt,$M810)=0,"",INDEX(LdBAmt,$M810)),IF($N810&lt;&gt;"",IF(INDEX(LdCDep,$N810)=0,"",INDEX(LdCDep,$N810)),"")))</f>
        <v/>
      </c>
      <c r="F810" s="21">
        <f>IF(AND($L810="",$M810="",$N810=""),"",IF($N810="","",IF(INDEX(LdCWit,$N810)=0,"",INDEX(LdCWit,$N810))))</f>
        <v/>
      </c>
      <c r="G810" s="31">
        <f>IF($B810="","",IF($G809="",0,$G809)+IF($E810="",0,$E810)-IF($F810="",0,$F810))</f>
        <v/>
      </c>
      <c r="H810" s="32">
        <f>IF(AND($L810="",$M810="",$N810=""),"",IF($L810&lt;&gt;"",IF(INDEX(LdANote,$L810)="","—",INDEX(LdANote,$L810)),IF($M810&lt;&gt;"",IF(INDEX(LdBNote,$M810)="","—",INDEX(LdBNote,$M810)),IF($N810&lt;&gt;"",IF(INDEX(LdCNote,$N810)="","—",INDEX(LdCNote,$N810)),""))))</f>
        <v/>
      </c>
      <c r="L810">
        <f>IFERROR(MATCH($C$5&amp;"|"&amp;RIGHT("000000"&amp;794,6),LdAKeyM,0),"")</f>
        <v/>
      </c>
      <c r="M810">
        <f>IFERROR(MATCH($C$5&amp;"|"&amp;RIGHT("000000"&amp;794,6),LdBKeyM,0),"")</f>
        <v/>
      </c>
      <c r="N810">
        <f>IFERROR(MATCH($C$5&amp;"|"&amp;RIGHT("000000"&amp;794,6),LdCKeyM,0),"")</f>
        <v/>
      </c>
    </row>
    <row r="811">
      <c r="A811" s="10" t="n">
        <v>795</v>
      </c>
      <c r="B811" s="14">
        <f>IF(AND($L811="",$M811="",$N811=""),"",IF($L811&lt;&gt;"",INDEX(LdADate,$L811),IF($M811&lt;&gt;"",INDEX(LdBDate,$M811),INDEX(LdCDate,$N811))))</f>
        <v/>
      </c>
      <c r="C811" s="14">
        <f>IF($L811&lt;&gt;"","دستمزد (فردی)",IF($M811&lt;&gt;"","سهم از گروه "&amp;IFERROR(VLOOKUP(INDEX(LdBGroup,$M811),WGTbl,2,0),INDEX(LdBGroup,$M811)),IF($N811&lt;&gt;"",IF(N(INDEX(LdCDep,$N811))&gt;0,"بازگشت بانکی","پرداخت بانکی"),"")))</f>
        <v/>
      </c>
      <c r="D811" s="14">
        <f>IF($L811&lt;&gt;"",IF(INDEX(LdAId,$L811)="","—",INDEX(LdAId,$L811)),IF($M811&lt;&gt;"",IF(INDEX(LdBId,$M811)="","—",INDEX(LdBId,$M811)),IF($N811&lt;&gt;"",IF(INDEX(LdCBank,$N811)="","—",INDEX(LdCBank,$N811)),"")))</f>
        <v/>
      </c>
      <c r="E811" s="16">
        <f>IF($L811&lt;&gt;"",IF(INDEX(LdAAmt,$L811)=0,"",INDEX(LdAAmt,$L811)),IF($M811&lt;&gt;"",IF(INDEX(LdBAmt,$M811)=0,"",INDEX(LdBAmt,$M811)),IF($N811&lt;&gt;"",IF(INDEX(LdCDep,$N811)=0,"",INDEX(LdCDep,$N811)),"")))</f>
        <v/>
      </c>
      <c r="F811" s="16">
        <f>IF(AND($L811="",$M811="",$N811=""),"",IF($N811="","",IF(INDEX(LdCWit,$N811)=0,"",INDEX(LdCWit,$N811))))</f>
        <v/>
      </c>
      <c r="G811" s="29">
        <f>IF($B811="","",IF($G810="",0,$G810)+IF($E811="",0,$E811)-IF($F811="",0,$F811))</f>
        <v/>
      </c>
      <c r="H811" s="30">
        <f>IF(AND($L811="",$M811="",$N811=""),"",IF($L811&lt;&gt;"",IF(INDEX(LdANote,$L811)="","—",INDEX(LdANote,$L811)),IF($M811&lt;&gt;"",IF(INDEX(LdBNote,$M811)="","—",INDEX(LdBNote,$M811)),IF($N811&lt;&gt;"",IF(INDEX(LdCNote,$N811)="","—",INDEX(LdCNote,$N811)),""))))</f>
        <v/>
      </c>
      <c r="L811">
        <f>IFERROR(MATCH($C$5&amp;"|"&amp;RIGHT("000000"&amp;795,6),LdAKeyM,0),"")</f>
        <v/>
      </c>
      <c r="M811">
        <f>IFERROR(MATCH($C$5&amp;"|"&amp;RIGHT("000000"&amp;795,6),LdBKeyM,0),"")</f>
        <v/>
      </c>
      <c r="N811">
        <f>IFERROR(MATCH($C$5&amp;"|"&amp;RIGHT("000000"&amp;795,6),LdCKeyM,0),"")</f>
        <v/>
      </c>
    </row>
    <row r="812">
      <c r="A812" s="19" t="n">
        <v>796</v>
      </c>
      <c r="B812" s="20">
        <f>IF(AND($L812="",$M812="",$N812=""),"",IF($L812&lt;&gt;"",INDEX(LdADate,$L812),IF($M812&lt;&gt;"",INDEX(LdBDate,$M812),INDEX(LdCDate,$N812))))</f>
        <v/>
      </c>
      <c r="C812" s="20">
        <f>IF($L812&lt;&gt;"","دستمزد (فردی)",IF($M812&lt;&gt;"","سهم از گروه "&amp;IFERROR(VLOOKUP(INDEX(LdBGroup,$M812),WGTbl,2,0),INDEX(LdBGroup,$M812)),IF($N812&lt;&gt;"",IF(N(INDEX(LdCDep,$N812))&gt;0,"بازگشت بانکی","پرداخت بانکی"),"")))</f>
        <v/>
      </c>
      <c r="D812" s="20">
        <f>IF($L812&lt;&gt;"",IF(INDEX(LdAId,$L812)="","—",INDEX(LdAId,$L812)),IF($M812&lt;&gt;"",IF(INDEX(LdBId,$M812)="","—",INDEX(LdBId,$M812)),IF($N812&lt;&gt;"",IF(INDEX(LdCBank,$N812)="","—",INDEX(LdCBank,$N812)),"")))</f>
        <v/>
      </c>
      <c r="E812" s="21">
        <f>IF($L812&lt;&gt;"",IF(INDEX(LdAAmt,$L812)=0,"",INDEX(LdAAmt,$L812)),IF($M812&lt;&gt;"",IF(INDEX(LdBAmt,$M812)=0,"",INDEX(LdBAmt,$M812)),IF($N812&lt;&gt;"",IF(INDEX(LdCDep,$N812)=0,"",INDEX(LdCDep,$N812)),"")))</f>
        <v/>
      </c>
      <c r="F812" s="21">
        <f>IF(AND($L812="",$M812="",$N812=""),"",IF($N812="","",IF(INDEX(LdCWit,$N812)=0,"",INDEX(LdCWit,$N812))))</f>
        <v/>
      </c>
      <c r="G812" s="31">
        <f>IF($B812="","",IF($G811="",0,$G811)+IF($E812="",0,$E812)-IF($F812="",0,$F812))</f>
        <v/>
      </c>
      <c r="H812" s="32">
        <f>IF(AND($L812="",$M812="",$N812=""),"",IF($L812&lt;&gt;"",IF(INDEX(LdANote,$L812)="","—",INDEX(LdANote,$L812)),IF($M812&lt;&gt;"",IF(INDEX(LdBNote,$M812)="","—",INDEX(LdBNote,$M812)),IF($N812&lt;&gt;"",IF(INDEX(LdCNote,$N812)="","—",INDEX(LdCNote,$N812)),""))))</f>
        <v/>
      </c>
      <c r="L812">
        <f>IFERROR(MATCH($C$5&amp;"|"&amp;RIGHT("000000"&amp;796,6),LdAKeyM,0),"")</f>
        <v/>
      </c>
      <c r="M812">
        <f>IFERROR(MATCH($C$5&amp;"|"&amp;RIGHT("000000"&amp;796,6),LdBKeyM,0),"")</f>
        <v/>
      </c>
      <c r="N812">
        <f>IFERROR(MATCH($C$5&amp;"|"&amp;RIGHT("000000"&amp;796,6),LdCKeyM,0),"")</f>
        <v/>
      </c>
    </row>
    <row r="813">
      <c r="A813" s="10" t="n">
        <v>797</v>
      </c>
      <c r="B813" s="14">
        <f>IF(AND($L813="",$M813="",$N813=""),"",IF($L813&lt;&gt;"",INDEX(LdADate,$L813),IF($M813&lt;&gt;"",INDEX(LdBDate,$M813),INDEX(LdCDate,$N813))))</f>
        <v/>
      </c>
      <c r="C813" s="14">
        <f>IF($L813&lt;&gt;"","دستمزد (فردی)",IF($M813&lt;&gt;"","سهم از گروه "&amp;IFERROR(VLOOKUP(INDEX(LdBGroup,$M813),WGTbl,2,0),INDEX(LdBGroup,$M813)),IF($N813&lt;&gt;"",IF(N(INDEX(LdCDep,$N813))&gt;0,"بازگشت بانکی","پرداخت بانکی"),"")))</f>
        <v/>
      </c>
      <c r="D813" s="14">
        <f>IF($L813&lt;&gt;"",IF(INDEX(LdAId,$L813)="","—",INDEX(LdAId,$L813)),IF($M813&lt;&gt;"",IF(INDEX(LdBId,$M813)="","—",INDEX(LdBId,$M813)),IF($N813&lt;&gt;"",IF(INDEX(LdCBank,$N813)="","—",INDEX(LdCBank,$N813)),"")))</f>
        <v/>
      </c>
      <c r="E813" s="16">
        <f>IF($L813&lt;&gt;"",IF(INDEX(LdAAmt,$L813)=0,"",INDEX(LdAAmt,$L813)),IF($M813&lt;&gt;"",IF(INDEX(LdBAmt,$M813)=0,"",INDEX(LdBAmt,$M813)),IF($N813&lt;&gt;"",IF(INDEX(LdCDep,$N813)=0,"",INDEX(LdCDep,$N813)),"")))</f>
        <v/>
      </c>
      <c r="F813" s="16">
        <f>IF(AND($L813="",$M813="",$N813=""),"",IF($N813="","",IF(INDEX(LdCWit,$N813)=0,"",INDEX(LdCWit,$N813))))</f>
        <v/>
      </c>
      <c r="G813" s="29">
        <f>IF($B813="","",IF($G812="",0,$G812)+IF($E813="",0,$E813)-IF($F813="",0,$F813))</f>
        <v/>
      </c>
      <c r="H813" s="30">
        <f>IF(AND($L813="",$M813="",$N813=""),"",IF($L813&lt;&gt;"",IF(INDEX(LdANote,$L813)="","—",INDEX(LdANote,$L813)),IF($M813&lt;&gt;"",IF(INDEX(LdBNote,$M813)="","—",INDEX(LdBNote,$M813)),IF($N813&lt;&gt;"",IF(INDEX(LdCNote,$N813)="","—",INDEX(LdCNote,$N813)),""))))</f>
        <v/>
      </c>
      <c r="L813">
        <f>IFERROR(MATCH($C$5&amp;"|"&amp;RIGHT("000000"&amp;797,6),LdAKeyM,0),"")</f>
        <v/>
      </c>
      <c r="M813">
        <f>IFERROR(MATCH($C$5&amp;"|"&amp;RIGHT("000000"&amp;797,6),LdBKeyM,0),"")</f>
        <v/>
      </c>
      <c r="N813">
        <f>IFERROR(MATCH($C$5&amp;"|"&amp;RIGHT("000000"&amp;797,6),LdCKeyM,0),"")</f>
        <v/>
      </c>
    </row>
    <row r="814">
      <c r="A814" s="19" t="n">
        <v>798</v>
      </c>
      <c r="B814" s="20">
        <f>IF(AND($L814="",$M814="",$N814=""),"",IF($L814&lt;&gt;"",INDEX(LdADate,$L814),IF($M814&lt;&gt;"",INDEX(LdBDate,$M814),INDEX(LdCDate,$N814))))</f>
        <v/>
      </c>
      <c r="C814" s="20">
        <f>IF($L814&lt;&gt;"","دستمزد (فردی)",IF($M814&lt;&gt;"","سهم از گروه "&amp;IFERROR(VLOOKUP(INDEX(LdBGroup,$M814),WGTbl,2,0),INDEX(LdBGroup,$M814)),IF($N814&lt;&gt;"",IF(N(INDEX(LdCDep,$N814))&gt;0,"بازگشت بانکی","پرداخت بانکی"),"")))</f>
        <v/>
      </c>
      <c r="D814" s="20">
        <f>IF($L814&lt;&gt;"",IF(INDEX(LdAId,$L814)="","—",INDEX(LdAId,$L814)),IF($M814&lt;&gt;"",IF(INDEX(LdBId,$M814)="","—",INDEX(LdBId,$M814)),IF($N814&lt;&gt;"",IF(INDEX(LdCBank,$N814)="","—",INDEX(LdCBank,$N814)),"")))</f>
        <v/>
      </c>
      <c r="E814" s="21">
        <f>IF($L814&lt;&gt;"",IF(INDEX(LdAAmt,$L814)=0,"",INDEX(LdAAmt,$L814)),IF($M814&lt;&gt;"",IF(INDEX(LdBAmt,$M814)=0,"",INDEX(LdBAmt,$M814)),IF($N814&lt;&gt;"",IF(INDEX(LdCDep,$N814)=0,"",INDEX(LdCDep,$N814)),"")))</f>
        <v/>
      </c>
      <c r="F814" s="21">
        <f>IF(AND($L814="",$M814="",$N814=""),"",IF($N814="","",IF(INDEX(LdCWit,$N814)=0,"",INDEX(LdCWit,$N814))))</f>
        <v/>
      </c>
      <c r="G814" s="31">
        <f>IF($B814="","",IF($G813="",0,$G813)+IF($E814="",0,$E814)-IF($F814="",0,$F814))</f>
        <v/>
      </c>
      <c r="H814" s="32">
        <f>IF(AND($L814="",$M814="",$N814=""),"",IF($L814&lt;&gt;"",IF(INDEX(LdANote,$L814)="","—",INDEX(LdANote,$L814)),IF($M814&lt;&gt;"",IF(INDEX(LdBNote,$M814)="","—",INDEX(LdBNote,$M814)),IF($N814&lt;&gt;"",IF(INDEX(LdCNote,$N814)="","—",INDEX(LdCNote,$N814)),""))))</f>
        <v/>
      </c>
      <c r="L814">
        <f>IFERROR(MATCH($C$5&amp;"|"&amp;RIGHT("000000"&amp;798,6),LdAKeyM,0),"")</f>
        <v/>
      </c>
      <c r="M814">
        <f>IFERROR(MATCH($C$5&amp;"|"&amp;RIGHT("000000"&amp;798,6),LdBKeyM,0),"")</f>
        <v/>
      </c>
      <c r="N814">
        <f>IFERROR(MATCH($C$5&amp;"|"&amp;RIGHT("000000"&amp;798,6),LdCKeyM,0),"")</f>
        <v/>
      </c>
    </row>
    <row r="815">
      <c r="A815" s="10" t="n">
        <v>799</v>
      </c>
      <c r="B815" s="14">
        <f>IF(AND($L815="",$M815="",$N815=""),"",IF($L815&lt;&gt;"",INDEX(LdADate,$L815),IF($M815&lt;&gt;"",INDEX(LdBDate,$M815),INDEX(LdCDate,$N815))))</f>
        <v/>
      </c>
      <c r="C815" s="14">
        <f>IF($L815&lt;&gt;"","دستمزد (فردی)",IF($M815&lt;&gt;"","سهم از گروه "&amp;IFERROR(VLOOKUP(INDEX(LdBGroup,$M815),WGTbl,2,0),INDEX(LdBGroup,$M815)),IF($N815&lt;&gt;"",IF(N(INDEX(LdCDep,$N815))&gt;0,"بازگشت بانکی","پرداخت بانکی"),"")))</f>
        <v/>
      </c>
      <c r="D815" s="14">
        <f>IF($L815&lt;&gt;"",IF(INDEX(LdAId,$L815)="","—",INDEX(LdAId,$L815)),IF($M815&lt;&gt;"",IF(INDEX(LdBId,$M815)="","—",INDEX(LdBId,$M815)),IF($N815&lt;&gt;"",IF(INDEX(LdCBank,$N815)="","—",INDEX(LdCBank,$N815)),"")))</f>
        <v/>
      </c>
      <c r="E815" s="16">
        <f>IF($L815&lt;&gt;"",IF(INDEX(LdAAmt,$L815)=0,"",INDEX(LdAAmt,$L815)),IF($M815&lt;&gt;"",IF(INDEX(LdBAmt,$M815)=0,"",INDEX(LdBAmt,$M815)),IF($N815&lt;&gt;"",IF(INDEX(LdCDep,$N815)=0,"",INDEX(LdCDep,$N815)),"")))</f>
        <v/>
      </c>
      <c r="F815" s="16">
        <f>IF(AND($L815="",$M815="",$N815=""),"",IF($N815="","",IF(INDEX(LdCWit,$N815)=0,"",INDEX(LdCWit,$N815))))</f>
        <v/>
      </c>
      <c r="G815" s="29">
        <f>IF($B815="","",IF($G814="",0,$G814)+IF($E815="",0,$E815)-IF($F815="",0,$F815))</f>
        <v/>
      </c>
      <c r="H815" s="30">
        <f>IF(AND($L815="",$M815="",$N815=""),"",IF($L815&lt;&gt;"",IF(INDEX(LdANote,$L815)="","—",INDEX(LdANote,$L815)),IF($M815&lt;&gt;"",IF(INDEX(LdBNote,$M815)="","—",INDEX(LdBNote,$M815)),IF($N815&lt;&gt;"",IF(INDEX(LdCNote,$N815)="","—",INDEX(LdCNote,$N815)),""))))</f>
        <v/>
      </c>
      <c r="L815">
        <f>IFERROR(MATCH($C$5&amp;"|"&amp;RIGHT("000000"&amp;799,6),LdAKeyM,0),"")</f>
        <v/>
      </c>
      <c r="M815">
        <f>IFERROR(MATCH($C$5&amp;"|"&amp;RIGHT("000000"&amp;799,6),LdBKeyM,0),"")</f>
        <v/>
      </c>
      <c r="N815">
        <f>IFERROR(MATCH($C$5&amp;"|"&amp;RIGHT("000000"&amp;799,6),LdCKeyM,0),"")</f>
        <v/>
      </c>
    </row>
    <row r="816">
      <c r="A816" s="19" t="n">
        <v>800</v>
      </c>
      <c r="B816" s="20">
        <f>IF(AND($L816="",$M816="",$N816=""),"",IF($L816&lt;&gt;"",INDEX(LdADate,$L816),IF($M816&lt;&gt;"",INDEX(LdBDate,$M816),INDEX(LdCDate,$N816))))</f>
        <v/>
      </c>
      <c r="C816" s="20">
        <f>IF($L816&lt;&gt;"","دستمزد (فردی)",IF($M816&lt;&gt;"","سهم از گروه "&amp;IFERROR(VLOOKUP(INDEX(LdBGroup,$M816),WGTbl,2,0),INDEX(LdBGroup,$M816)),IF($N816&lt;&gt;"",IF(N(INDEX(LdCDep,$N816))&gt;0,"بازگشت بانکی","پرداخت بانکی"),"")))</f>
        <v/>
      </c>
      <c r="D816" s="20">
        <f>IF($L816&lt;&gt;"",IF(INDEX(LdAId,$L816)="","—",INDEX(LdAId,$L816)),IF($M816&lt;&gt;"",IF(INDEX(LdBId,$M816)="","—",INDEX(LdBId,$M816)),IF($N816&lt;&gt;"",IF(INDEX(LdCBank,$N816)="","—",INDEX(LdCBank,$N816)),"")))</f>
        <v/>
      </c>
      <c r="E816" s="21">
        <f>IF($L816&lt;&gt;"",IF(INDEX(LdAAmt,$L816)=0,"",INDEX(LdAAmt,$L816)),IF($M816&lt;&gt;"",IF(INDEX(LdBAmt,$M816)=0,"",INDEX(LdBAmt,$M816)),IF($N816&lt;&gt;"",IF(INDEX(LdCDep,$N816)=0,"",INDEX(LdCDep,$N816)),"")))</f>
        <v/>
      </c>
      <c r="F816" s="21">
        <f>IF(AND($L816="",$M816="",$N816=""),"",IF($N816="","",IF(INDEX(LdCWit,$N816)=0,"",INDEX(LdCWit,$N816))))</f>
        <v/>
      </c>
      <c r="G816" s="31">
        <f>IF($B816="","",IF($G815="",0,$G815)+IF($E816="",0,$E816)-IF($F816="",0,$F816))</f>
        <v/>
      </c>
      <c r="H816" s="32">
        <f>IF(AND($L816="",$M816="",$N816=""),"",IF($L816&lt;&gt;"",IF(INDEX(LdANote,$L816)="","—",INDEX(LdANote,$L816)),IF($M816&lt;&gt;"",IF(INDEX(LdBNote,$M816)="","—",INDEX(LdBNote,$M816)),IF($N816&lt;&gt;"",IF(INDEX(LdCNote,$N816)="","—",INDEX(LdCNote,$N816)),""))))</f>
        <v/>
      </c>
      <c r="L816">
        <f>IFERROR(MATCH($C$5&amp;"|"&amp;RIGHT("000000"&amp;800,6),LdAKeyM,0),"")</f>
        <v/>
      </c>
      <c r="M816">
        <f>IFERROR(MATCH($C$5&amp;"|"&amp;RIGHT("000000"&amp;800,6),LdBKeyM,0),"")</f>
        <v/>
      </c>
      <c r="N816">
        <f>IFERROR(MATCH($C$5&amp;"|"&amp;RIGHT("000000"&amp;800,6),LdCKeyM,0),"")</f>
        <v/>
      </c>
    </row>
    <row r="817">
      <c r="A817" s="10" t="n">
        <v>801</v>
      </c>
      <c r="B817" s="14">
        <f>IF(AND($L817="",$M817="",$N817=""),"",IF($L817&lt;&gt;"",INDEX(LdADate,$L817),IF($M817&lt;&gt;"",INDEX(LdBDate,$M817),INDEX(LdCDate,$N817))))</f>
        <v/>
      </c>
      <c r="C817" s="14">
        <f>IF($L817&lt;&gt;"","دستمزد (فردی)",IF($M817&lt;&gt;"","سهم از گروه "&amp;IFERROR(VLOOKUP(INDEX(LdBGroup,$M817),WGTbl,2,0),INDEX(LdBGroup,$M817)),IF($N817&lt;&gt;"",IF(N(INDEX(LdCDep,$N817))&gt;0,"بازگشت بانکی","پرداخت بانکی"),"")))</f>
        <v/>
      </c>
      <c r="D817" s="14">
        <f>IF($L817&lt;&gt;"",IF(INDEX(LdAId,$L817)="","—",INDEX(LdAId,$L817)),IF($M817&lt;&gt;"",IF(INDEX(LdBId,$M817)="","—",INDEX(LdBId,$M817)),IF($N817&lt;&gt;"",IF(INDEX(LdCBank,$N817)="","—",INDEX(LdCBank,$N817)),"")))</f>
        <v/>
      </c>
      <c r="E817" s="16">
        <f>IF($L817&lt;&gt;"",IF(INDEX(LdAAmt,$L817)=0,"",INDEX(LdAAmt,$L817)),IF($M817&lt;&gt;"",IF(INDEX(LdBAmt,$M817)=0,"",INDEX(LdBAmt,$M817)),IF($N817&lt;&gt;"",IF(INDEX(LdCDep,$N817)=0,"",INDEX(LdCDep,$N817)),"")))</f>
        <v/>
      </c>
      <c r="F817" s="16">
        <f>IF(AND($L817="",$M817="",$N817=""),"",IF($N817="","",IF(INDEX(LdCWit,$N817)=0,"",INDEX(LdCWit,$N817))))</f>
        <v/>
      </c>
      <c r="G817" s="29">
        <f>IF($B817="","",IF($G816="",0,$G816)+IF($E817="",0,$E817)-IF($F817="",0,$F817))</f>
        <v/>
      </c>
      <c r="H817" s="30">
        <f>IF(AND($L817="",$M817="",$N817=""),"",IF($L817&lt;&gt;"",IF(INDEX(LdANote,$L817)="","—",INDEX(LdANote,$L817)),IF($M817&lt;&gt;"",IF(INDEX(LdBNote,$M817)="","—",INDEX(LdBNote,$M817)),IF($N817&lt;&gt;"",IF(INDEX(LdCNote,$N817)="","—",INDEX(LdCNote,$N817)),""))))</f>
        <v/>
      </c>
      <c r="L817">
        <f>IFERROR(MATCH($C$5&amp;"|"&amp;RIGHT("000000"&amp;801,6),LdAKeyM,0),"")</f>
        <v/>
      </c>
      <c r="M817">
        <f>IFERROR(MATCH($C$5&amp;"|"&amp;RIGHT("000000"&amp;801,6),LdBKeyM,0),"")</f>
        <v/>
      </c>
      <c r="N817">
        <f>IFERROR(MATCH($C$5&amp;"|"&amp;RIGHT("000000"&amp;801,6),LdCKeyM,0),"")</f>
        <v/>
      </c>
    </row>
    <row r="818">
      <c r="A818" s="19" t="n">
        <v>802</v>
      </c>
      <c r="B818" s="20">
        <f>IF(AND($L818="",$M818="",$N818=""),"",IF($L818&lt;&gt;"",INDEX(LdADate,$L818),IF($M818&lt;&gt;"",INDEX(LdBDate,$M818),INDEX(LdCDate,$N818))))</f>
        <v/>
      </c>
      <c r="C818" s="20">
        <f>IF($L818&lt;&gt;"","دستمزد (فردی)",IF($M818&lt;&gt;"","سهم از گروه "&amp;IFERROR(VLOOKUP(INDEX(LdBGroup,$M818),WGTbl,2,0),INDEX(LdBGroup,$M818)),IF($N818&lt;&gt;"",IF(N(INDEX(LdCDep,$N818))&gt;0,"بازگشت بانکی","پرداخت بانکی"),"")))</f>
        <v/>
      </c>
      <c r="D818" s="20">
        <f>IF($L818&lt;&gt;"",IF(INDEX(LdAId,$L818)="","—",INDEX(LdAId,$L818)),IF($M818&lt;&gt;"",IF(INDEX(LdBId,$M818)="","—",INDEX(LdBId,$M818)),IF($N818&lt;&gt;"",IF(INDEX(LdCBank,$N818)="","—",INDEX(LdCBank,$N818)),"")))</f>
        <v/>
      </c>
      <c r="E818" s="21">
        <f>IF($L818&lt;&gt;"",IF(INDEX(LdAAmt,$L818)=0,"",INDEX(LdAAmt,$L818)),IF($M818&lt;&gt;"",IF(INDEX(LdBAmt,$M818)=0,"",INDEX(LdBAmt,$M818)),IF($N818&lt;&gt;"",IF(INDEX(LdCDep,$N818)=0,"",INDEX(LdCDep,$N818)),"")))</f>
        <v/>
      </c>
      <c r="F818" s="21">
        <f>IF(AND($L818="",$M818="",$N818=""),"",IF($N818="","",IF(INDEX(LdCWit,$N818)=0,"",INDEX(LdCWit,$N818))))</f>
        <v/>
      </c>
      <c r="G818" s="31">
        <f>IF($B818="","",IF($G817="",0,$G817)+IF($E818="",0,$E818)-IF($F818="",0,$F818))</f>
        <v/>
      </c>
      <c r="H818" s="32">
        <f>IF(AND($L818="",$M818="",$N818=""),"",IF($L818&lt;&gt;"",IF(INDEX(LdANote,$L818)="","—",INDEX(LdANote,$L818)),IF($M818&lt;&gt;"",IF(INDEX(LdBNote,$M818)="","—",INDEX(LdBNote,$M818)),IF($N818&lt;&gt;"",IF(INDEX(LdCNote,$N818)="","—",INDEX(LdCNote,$N818)),""))))</f>
        <v/>
      </c>
      <c r="L818">
        <f>IFERROR(MATCH($C$5&amp;"|"&amp;RIGHT("000000"&amp;802,6),LdAKeyM,0),"")</f>
        <v/>
      </c>
      <c r="M818">
        <f>IFERROR(MATCH($C$5&amp;"|"&amp;RIGHT("000000"&amp;802,6),LdBKeyM,0),"")</f>
        <v/>
      </c>
      <c r="N818">
        <f>IFERROR(MATCH($C$5&amp;"|"&amp;RIGHT("000000"&amp;802,6),LdCKeyM,0),"")</f>
        <v/>
      </c>
    </row>
    <row r="819">
      <c r="A819" s="10" t="n">
        <v>803</v>
      </c>
      <c r="B819" s="14">
        <f>IF(AND($L819="",$M819="",$N819=""),"",IF($L819&lt;&gt;"",INDEX(LdADate,$L819),IF($M819&lt;&gt;"",INDEX(LdBDate,$M819),INDEX(LdCDate,$N819))))</f>
        <v/>
      </c>
      <c r="C819" s="14">
        <f>IF($L819&lt;&gt;"","دستمزد (فردی)",IF($M819&lt;&gt;"","سهم از گروه "&amp;IFERROR(VLOOKUP(INDEX(LdBGroup,$M819),WGTbl,2,0),INDEX(LdBGroup,$M819)),IF($N819&lt;&gt;"",IF(N(INDEX(LdCDep,$N819))&gt;0,"بازگشت بانکی","پرداخت بانکی"),"")))</f>
        <v/>
      </c>
      <c r="D819" s="14">
        <f>IF($L819&lt;&gt;"",IF(INDEX(LdAId,$L819)="","—",INDEX(LdAId,$L819)),IF($M819&lt;&gt;"",IF(INDEX(LdBId,$M819)="","—",INDEX(LdBId,$M819)),IF($N819&lt;&gt;"",IF(INDEX(LdCBank,$N819)="","—",INDEX(LdCBank,$N819)),"")))</f>
        <v/>
      </c>
      <c r="E819" s="16">
        <f>IF($L819&lt;&gt;"",IF(INDEX(LdAAmt,$L819)=0,"",INDEX(LdAAmt,$L819)),IF($M819&lt;&gt;"",IF(INDEX(LdBAmt,$M819)=0,"",INDEX(LdBAmt,$M819)),IF($N819&lt;&gt;"",IF(INDEX(LdCDep,$N819)=0,"",INDEX(LdCDep,$N819)),"")))</f>
        <v/>
      </c>
      <c r="F819" s="16">
        <f>IF(AND($L819="",$M819="",$N819=""),"",IF($N819="","",IF(INDEX(LdCWit,$N819)=0,"",INDEX(LdCWit,$N819))))</f>
        <v/>
      </c>
      <c r="G819" s="29">
        <f>IF($B819="","",IF($G818="",0,$G818)+IF($E819="",0,$E819)-IF($F819="",0,$F819))</f>
        <v/>
      </c>
      <c r="H819" s="30">
        <f>IF(AND($L819="",$M819="",$N819=""),"",IF($L819&lt;&gt;"",IF(INDEX(LdANote,$L819)="","—",INDEX(LdANote,$L819)),IF($M819&lt;&gt;"",IF(INDEX(LdBNote,$M819)="","—",INDEX(LdBNote,$M819)),IF($N819&lt;&gt;"",IF(INDEX(LdCNote,$N819)="","—",INDEX(LdCNote,$N819)),""))))</f>
        <v/>
      </c>
      <c r="L819">
        <f>IFERROR(MATCH($C$5&amp;"|"&amp;RIGHT("000000"&amp;803,6),LdAKeyM,0),"")</f>
        <v/>
      </c>
      <c r="M819">
        <f>IFERROR(MATCH($C$5&amp;"|"&amp;RIGHT("000000"&amp;803,6),LdBKeyM,0),"")</f>
        <v/>
      </c>
      <c r="N819">
        <f>IFERROR(MATCH($C$5&amp;"|"&amp;RIGHT("000000"&amp;803,6),LdCKeyM,0),"")</f>
        <v/>
      </c>
    </row>
    <row r="820">
      <c r="A820" s="19" t="n">
        <v>804</v>
      </c>
      <c r="B820" s="20">
        <f>IF(AND($L820="",$M820="",$N820=""),"",IF($L820&lt;&gt;"",INDEX(LdADate,$L820),IF($M820&lt;&gt;"",INDEX(LdBDate,$M820),INDEX(LdCDate,$N820))))</f>
        <v/>
      </c>
      <c r="C820" s="20">
        <f>IF($L820&lt;&gt;"","دستمزد (فردی)",IF($M820&lt;&gt;"","سهم از گروه "&amp;IFERROR(VLOOKUP(INDEX(LdBGroup,$M820),WGTbl,2,0),INDEX(LdBGroup,$M820)),IF($N820&lt;&gt;"",IF(N(INDEX(LdCDep,$N820))&gt;0,"بازگشت بانکی","پرداخت بانکی"),"")))</f>
        <v/>
      </c>
      <c r="D820" s="20">
        <f>IF($L820&lt;&gt;"",IF(INDEX(LdAId,$L820)="","—",INDEX(LdAId,$L820)),IF($M820&lt;&gt;"",IF(INDEX(LdBId,$M820)="","—",INDEX(LdBId,$M820)),IF($N820&lt;&gt;"",IF(INDEX(LdCBank,$N820)="","—",INDEX(LdCBank,$N820)),"")))</f>
        <v/>
      </c>
      <c r="E820" s="21">
        <f>IF($L820&lt;&gt;"",IF(INDEX(LdAAmt,$L820)=0,"",INDEX(LdAAmt,$L820)),IF($M820&lt;&gt;"",IF(INDEX(LdBAmt,$M820)=0,"",INDEX(LdBAmt,$M820)),IF($N820&lt;&gt;"",IF(INDEX(LdCDep,$N820)=0,"",INDEX(LdCDep,$N820)),"")))</f>
        <v/>
      </c>
      <c r="F820" s="21">
        <f>IF(AND($L820="",$M820="",$N820=""),"",IF($N820="","",IF(INDEX(LdCWit,$N820)=0,"",INDEX(LdCWit,$N820))))</f>
        <v/>
      </c>
      <c r="G820" s="31">
        <f>IF($B820="","",IF($G819="",0,$G819)+IF($E820="",0,$E820)-IF($F820="",0,$F820))</f>
        <v/>
      </c>
      <c r="H820" s="32">
        <f>IF(AND($L820="",$M820="",$N820=""),"",IF($L820&lt;&gt;"",IF(INDEX(LdANote,$L820)="","—",INDEX(LdANote,$L820)),IF($M820&lt;&gt;"",IF(INDEX(LdBNote,$M820)="","—",INDEX(LdBNote,$M820)),IF($N820&lt;&gt;"",IF(INDEX(LdCNote,$N820)="","—",INDEX(LdCNote,$N820)),""))))</f>
        <v/>
      </c>
      <c r="L820">
        <f>IFERROR(MATCH($C$5&amp;"|"&amp;RIGHT("000000"&amp;804,6),LdAKeyM,0),"")</f>
        <v/>
      </c>
      <c r="M820">
        <f>IFERROR(MATCH($C$5&amp;"|"&amp;RIGHT("000000"&amp;804,6),LdBKeyM,0),"")</f>
        <v/>
      </c>
      <c r="N820">
        <f>IFERROR(MATCH($C$5&amp;"|"&amp;RIGHT("000000"&amp;804,6),LdCKeyM,0),"")</f>
        <v/>
      </c>
    </row>
    <row r="821">
      <c r="A821" s="10" t="n">
        <v>805</v>
      </c>
      <c r="B821" s="14">
        <f>IF(AND($L821="",$M821="",$N821=""),"",IF($L821&lt;&gt;"",INDEX(LdADate,$L821),IF($M821&lt;&gt;"",INDEX(LdBDate,$M821),INDEX(LdCDate,$N821))))</f>
        <v/>
      </c>
      <c r="C821" s="14">
        <f>IF($L821&lt;&gt;"","دستمزد (فردی)",IF($M821&lt;&gt;"","سهم از گروه "&amp;IFERROR(VLOOKUP(INDEX(LdBGroup,$M821),WGTbl,2,0),INDEX(LdBGroup,$M821)),IF($N821&lt;&gt;"",IF(N(INDEX(LdCDep,$N821))&gt;0,"بازگشت بانکی","پرداخت بانکی"),"")))</f>
        <v/>
      </c>
      <c r="D821" s="14">
        <f>IF($L821&lt;&gt;"",IF(INDEX(LdAId,$L821)="","—",INDEX(LdAId,$L821)),IF($M821&lt;&gt;"",IF(INDEX(LdBId,$M821)="","—",INDEX(LdBId,$M821)),IF($N821&lt;&gt;"",IF(INDEX(LdCBank,$N821)="","—",INDEX(LdCBank,$N821)),"")))</f>
        <v/>
      </c>
      <c r="E821" s="16">
        <f>IF($L821&lt;&gt;"",IF(INDEX(LdAAmt,$L821)=0,"",INDEX(LdAAmt,$L821)),IF($M821&lt;&gt;"",IF(INDEX(LdBAmt,$M821)=0,"",INDEX(LdBAmt,$M821)),IF($N821&lt;&gt;"",IF(INDEX(LdCDep,$N821)=0,"",INDEX(LdCDep,$N821)),"")))</f>
        <v/>
      </c>
      <c r="F821" s="16">
        <f>IF(AND($L821="",$M821="",$N821=""),"",IF($N821="","",IF(INDEX(LdCWit,$N821)=0,"",INDEX(LdCWit,$N821))))</f>
        <v/>
      </c>
      <c r="G821" s="29">
        <f>IF($B821="","",IF($G820="",0,$G820)+IF($E821="",0,$E821)-IF($F821="",0,$F821))</f>
        <v/>
      </c>
      <c r="H821" s="30">
        <f>IF(AND($L821="",$M821="",$N821=""),"",IF($L821&lt;&gt;"",IF(INDEX(LdANote,$L821)="","—",INDEX(LdANote,$L821)),IF($M821&lt;&gt;"",IF(INDEX(LdBNote,$M821)="","—",INDEX(LdBNote,$M821)),IF($N821&lt;&gt;"",IF(INDEX(LdCNote,$N821)="","—",INDEX(LdCNote,$N821)),""))))</f>
        <v/>
      </c>
      <c r="L821">
        <f>IFERROR(MATCH($C$5&amp;"|"&amp;RIGHT("000000"&amp;805,6),LdAKeyM,0),"")</f>
        <v/>
      </c>
      <c r="M821">
        <f>IFERROR(MATCH($C$5&amp;"|"&amp;RIGHT("000000"&amp;805,6),LdBKeyM,0),"")</f>
        <v/>
      </c>
      <c r="N821">
        <f>IFERROR(MATCH($C$5&amp;"|"&amp;RIGHT("000000"&amp;805,6),LdCKeyM,0),"")</f>
        <v/>
      </c>
    </row>
    <row r="822">
      <c r="A822" s="19" t="n">
        <v>806</v>
      </c>
      <c r="B822" s="20">
        <f>IF(AND($L822="",$M822="",$N822=""),"",IF($L822&lt;&gt;"",INDEX(LdADate,$L822),IF($M822&lt;&gt;"",INDEX(LdBDate,$M822),INDEX(LdCDate,$N822))))</f>
        <v/>
      </c>
      <c r="C822" s="20">
        <f>IF($L822&lt;&gt;"","دستمزد (فردی)",IF($M822&lt;&gt;"","سهم از گروه "&amp;IFERROR(VLOOKUP(INDEX(LdBGroup,$M822),WGTbl,2,0),INDEX(LdBGroup,$M822)),IF($N822&lt;&gt;"",IF(N(INDEX(LdCDep,$N822))&gt;0,"بازگشت بانکی","پرداخت بانکی"),"")))</f>
        <v/>
      </c>
      <c r="D822" s="20">
        <f>IF($L822&lt;&gt;"",IF(INDEX(LdAId,$L822)="","—",INDEX(LdAId,$L822)),IF($M822&lt;&gt;"",IF(INDEX(LdBId,$M822)="","—",INDEX(LdBId,$M822)),IF($N822&lt;&gt;"",IF(INDEX(LdCBank,$N822)="","—",INDEX(LdCBank,$N822)),"")))</f>
        <v/>
      </c>
      <c r="E822" s="21">
        <f>IF($L822&lt;&gt;"",IF(INDEX(LdAAmt,$L822)=0,"",INDEX(LdAAmt,$L822)),IF($M822&lt;&gt;"",IF(INDEX(LdBAmt,$M822)=0,"",INDEX(LdBAmt,$M822)),IF($N822&lt;&gt;"",IF(INDEX(LdCDep,$N822)=0,"",INDEX(LdCDep,$N822)),"")))</f>
        <v/>
      </c>
      <c r="F822" s="21">
        <f>IF(AND($L822="",$M822="",$N822=""),"",IF($N822="","",IF(INDEX(LdCWit,$N822)=0,"",INDEX(LdCWit,$N822))))</f>
        <v/>
      </c>
      <c r="G822" s="31">
        <f>IF($B822="","",IF($G821="",0,$G821)+IF($E822="",0,$E822)-IF($F822="",0,$F822))</f>
        <v/>
      </c>
      <c r="H822" s="32">
        <f>IF(AND($L822="",$M822="",$N822=""),"",IF($L822&lt;&gt;"",IF(INDEX(LdANote,$L822)="","—",INDEX(LdANote,$L822)),IF($M822&lt;&gt;"",IF(INDEX(LdBNote,$M822)="","—",INDEX(LdBNote,$M822)),IF($N822&lt;&gt;"",IF(INDEX(LdCNote,$N822)="","—",INDEX(LdCNote,$N822)),""))))</f>
        <v/>
      </c>
      <c r="L822">
        <f>IFERROR(MATCH($C$5&amp;"|"&amp;RIGHT("000000"&amp;806,6),LdAKeyM,0),"")</f>
        <v/>
      </c>
      <c r="M822">
        <f>IFERROR(MATCH($C$5&amp;"|"&amp;RIGHT("000000"&amp;806,6),LdBKeyM,0),"")</f>
        <v/>
      </c>
      <c r="N822">
        <f>IFERROR(MATCH($C$5&amp;"|"&amp;RIGHT("000000"&amp;806,6),LdCKeyM,0),"")</f>
        <v/>
      </c>
    </row>
    <row r="823">
      <c r="A823" s="10" t="n">
        <v>807</v>
      </c>
      <c r="B823" s="14">
        <f>IF(AND($L823="",$M823="",$N823=""),"",IF($L823&lt;&gt;"",INDEX(LdADate,$L823),IF($M823&lt;&gt;"",INDEX(LdBDate,$M823),INDEX(LdCDate,$N823))))</f>
        <v/>
      </c>
      <c r="C823" s="14">
        <f>IF($L823&lt;&gt;"","دستمزد (فردی)",IF($M823&lt;&gt;"","سهم از گروه "&amp;IFERROR(VLOOKUP(INDEX(LdBGroup,$M823),WGTbl,2,0),INDEX(LdBGroup,$M823)),IF($N823&lt;&gt;"",IF(N(INDEX(LdCDep,$N823))&gt;0,"بازگشت بانکی","پرداخت بانکی"),"")))</f>
        <v/>
      </c>
      <c r="D823" s="14">
        <f>IF($L823&lt;&gt;"",IF(INDEX(LdAId,$L823)="","—",INDEX(LdAId,$L823)),IF($M823&lt;&gt;"",IF(INDEX(LdBId,$M823)="","—",INDEX(LdBId,$M823)),IF($N823&lt;&gt;"",IF(INDEX(LdCBank,$N823)="","—",INDEX(LdCBank,$N823)),"")))</f>
        <v/>
      </c>
      <c r="E823" s="16">
        <f>IF($L823&lt;&gt;"",IF(INDEX(LdAAmt,$L823)=0,"",INDEX(LdAAmt,$L823)),IF($M823&lt;&gt;"",IF(INDEX(LdBAmt,$M823)=0,"",INDEX(LdBAmt,$M823)),IF($N823&lt;&gt;"",IF(INDEX(LdCDep,$N823)=0,"",INDEX(LdCDep,$N823)),"")))</f>
        <v/>
      </c>
      <c r="F823" s="16">
        <f>IF(AND($L823="",$M823="",$N823=""),"",IF($N823="","",IF(INDEX(LdCWit,$N823)=0,"",INDEX(LdCWit,$N823))))</f>
        <v/>
      </c>
      <c r="G823" s="29">
        <f>IF($B823="","",IF($G822="",0,$G822)+IF($E823="",0,$E823)-IF($F823="",0,$F823))</f>
        <v/>
      </c>
      <c r="H823" s="30">
        <f>IF(AND($L823="",$M823="",$N823=""),"",IF($L823&lt;&gt;"",IF(INDEX(LdANote,$L823)="","—",INDEX(LdANote,$L823)),IF($M823&lt;&gt;"",IF(INDEX(LdBNote,$M823)="","—",INDEX(LdBNote,$M823)),IF($N823&lt;&gt;"",IF(INDEX(LdCNote,$N823)="","—",INDEX(LdCNote,$N823)),""))))</f>
        <v/>
      </c>
      <c r="L823">
        <f>IFERROR(MATCH($C$5&amp;"|"&amp;RIGHT("000000"&amp;807,6),LdAKeyM,0),"")</f>
        <v/>
      </c>
      <c r="M823">
        <f>IFERROR(MATCH($C$5&amp;"|"&amp;RIGHT("000000"&amp;807,6),LdBKeyM,0),"")</f>
        <v/>
      </c>
      <c r="N823">
        <f>IFERROR(MATCH($C$5&amp;"|"&amp;RIGHT("000000"&amp;807,6),LdCKeyM,0),"")</f>
        <v/>
      </c>
    </row>
    <row r="824">
      <c r="A824" s="19" t="n">
        <v>808</v>
      </c>
      <c r="B824" s="20">
        <f>IF(AND($L824="",$M824="",$N824=""),"",IF($L824&lt;&gt;"",INDEX(LdADate,$L824),IF($M824&lt;&gt;"",INDEX(LdBDate,$M824),INDEX(LdCDate,$N824))))</f>
        <v/>
      </c>
      <c r="C824" s="20">
        <f>IF($L824&lt;&gt;"","دستمزد (فردی)",IF($M824&lt;&gt;"","سهم از گروه "&amp;IFERROR(VLOOKUP(INDEX(LdBGroup,$M824),WGTbl,2,0),INDEX(LdBGroup,$M824)),IF($N824&lt;&gt;"",IF(N(INDEX(LdCDep,$N824))&gt;0,"بازگشت بانکی","پرداخت بانکی"),"")))</f>
        <v/>
      </c>
      <c r="D824" s="20">
        <f>IF($L824&lt;&gt;"",IF(INDEX(LdAId,$L824)="","—",INDEX(LdAId,$L824)),IF($M824&lt;&gt;"",IF(INDEX(LdBId,$M824)="","—",INDEX(LdBId,$M824)),IF($N824&lt;&gt;"",IF(INDEX(LdCBank,$N824)="","—",INDEX(LdCBank,$N824)),"")))</f>
        <v/>
      </c>
      <c r="E824" s="21">
        <f>IF($L824&lt;&gt;"",IF(INDEX(LdAAmt,$L824)=0,"",INDEX(LdAAmt,$L824)),IF($M824&lt;&gt;"",IF(INDEX(LdBAmt,$M824)=0,"",INDEX(LdBAmt,$M824)),IF($N824&lt;&gt;"",IF(INDEX(LdCDep,$N824)=0,"",INDEX(LdCDep,$N824)),"")))</f>
        <v/>
      </c>
      <c r="F824" s="21">
        <f>IF(AND($L824="",$M824="",$N824=""),"",IF($N824="","",IF(INDEX(LdCWit,$N824)=0,"",INDEX(LdCWit,$N824))))</f>
        <v/>
      </c>
      <c r="G824" s="31">
        <f>IF($B824="","",IF($G823="",0,$G823)+IF($E824="",0,$E824)-IF($F824="",0,$F824))</f>
        <v/>
      </c>
      <c r="H824" s="32">
        <f>IF(AND($L824="",$M824="",$N824=""),"",IF($L824&lt;&gt;"",IF(INDEX(LdANote,$L824)="","—",INDEX(LdANote,$L824)),IF($M824&lt;&gt;"",IF(INDEX(LdBNote,$M824)="","—",INDEX(LdBNote,$M824)),IF($N824&lt;&gt;"",IF(INDEX(LdCNote,$N824)="","—",INDEX(LdCNote,$N824)),""))))</f>
        <v/>
      </c>
      <c r="L824">
        <f>IFERROR(MATCH($C$5&amp;"|"&amp;RIGHT("000000"&amp;808,6),LdAKeyM,0),"")</f>
        <v/>
      </c>
      <c r="M824">
        <f>IFERROR(MATCH($C$5&amp;"|"&amp;RIGHT("000000"&amp;808,6),LdBKeyM,0),"")</f>
        <v/>
      </c>
      <c r="N824">
        <f>IFERROR(MATCH($C$5&amp;"|"&amp;RIGHT("000000"&amp;808,6),LdCKeyM,0),"")</f>
        <v/>
      </c>
    </row>
    <row r="825">
      <c r="A825" s="10" t="n">
        <v>809</v>
      </c>
      <c r="B825" s="14">
        <f>IF(AND($L825="",$M825="",$N825=""),"",IF($L825&lt;&gt;"",INDEX(LdADate,$L825),IF($M825&lt;&gt;"",INDEX(LdBDate,$M825),INDEX(LdCDate,$N825))))</f>
        <v/>
      </c>
      <c r="C825" s="14">
        <f>IF($L825&lt;&gt;"","دستمزد (فردی)",IF($M825&lt;&gt;"","سهم از گروه "&amp;IFERROR(VLOOKUP(INDEX(LdBGroup,$M825),WGTbl,2,0),INDEX(LdBGroup,$M825)),IF($N825&lt;&gt;"",IF(N(INDEX(LdCDep,$N825))&gt;0,"بازگشت بانکی","پرداخت بانکی"),"")))</f>
        <v/>
      </c>
      <c r="D825" s="14">
        <f>IF($L825&lt;&gt;"",IF(INDEX(LdAId,$L825)="","—",INDEX(LdAId,$L825)),IF($M825&lt;&gt;"",IF(INDEX(LdBId,$M825)="","—",INDEX(LdBId,$M825)),IF($N825&lt;&gt;"",IF(INDEX(LdCBank,$N825)="","—",INDEX(LdCBank,$N825)),"")))</f>
        <v/>
      </c>
      <c r="E825" s="16">
        <f>IF($L825&lt;&gt;"",IF(INDEX(LdAAmt,$L825)=0,"",INDEX(LdAAmt,$L825)),IF($M825&lt;&gt;"",IF(INDEX(LdBAmt,$M825)=0,"",INDEX(LdBAmt,$M825)),IF($N825&lt;&gt;"",IF(INDEX(LdCDep,$N825)=0,"",INDEX(LdCDep,$N825)),"")))</f>
        <v/>
      </c>
      <c r="F825" s="16">
        <f>IF(AND($L825="",$M825="",$N825=""),"",IF($N825="","",IF(INDEX(LdCWit,$N825)=0,"",INDEX(LdCWit,$N825))))</f>
        <v/>
      </c>
      <c r="G825" s="29">
        <f>IF($B825="","",IF($G824="",0,$G824)+IF($E825="",0,$E825)-IF($F825="",0,$F825))</f>
        <v/>
      </c>
      <c r="H825" s="30">
        <f>IF(AND($L825="",$M825="",$N825=""),"",IF($L825&lt;&gt;"",IF(INDEX(LdANote,$L825)="","—",INDEX(LdANote,$L825)),IF($M825&lt;&gt;"",IF(INDEX(LdBNote,$M825)="","—",INDEX(LdBNote,$M825)),IF($N825&lt;&gt;"",IF(INDEX(LdCNote,$N825)="","—",INDEX(LdCNote,$N825)),""))))</f>
        <v/>
      </c>
      <c r="L825">
        <f>IFERROR(MATCH($C$5&amp;"|"&amp;RIGHT("000000"&amp;809,6),LdAKeyM,0),"")</f>
        <v/>
      </c>
      <c r="M825">
        <f>IFERROR(MATCH($C$5&amp;"|"&amp;RIGHT("000000"&amp;809,6),LdBKeyM,0),"")</f>
        <v/>
      </c>
      <c r="N825">
        <f>IFERROR(MATCH($C$5&amp;"|"&amp;RIGHT("000000"&amp;809,6),LdCKeyM,0),"")</f>
        <v/>
      </c>
    </row>
    <row r="826">
      <c r="A826" s="19" t="n">
        <v>810</v>
      </c>
      <c r="B826" s="20">
        <f>IF(AND($L826="",$M826="",$N826=""),"",IF($L826&lt;&gt;"",INDEX(LdADate,$L826),IF($M826&lt;&gt;"",INDEX(LdBDate,$M826),INDEX(LdCDate,$N826))))</f>
        <v/>
      </c>
      <c r="C826" s="20">
        <f>IF($L826&lt;&gt;"","دستمزد (فردی)",IF($M826&lt;&gt;"","سهم از گروه "&amp;IFERROR(VLOOKUP(INDEX(LdBGroup,$M826),WGTbl,2,0),INDEX(LdBGroup,$M826)),IF($N826&lt;&gt;"",IF(N(INDEX(LdCDep,$N826))&gt;0,"بازگشت بانکی","پرداخت بانکی"),"")))</f>
        <v/>
      </c>
      <c r="D826" s="20">
        <f>IF($L826&lt;&gt;"",IF(INDEX(LdAId,$L826)="","—",INDEX(LdAId,$L826)),IF($M826&lt;&gt;"",IF(INDEX(LdBId,$M826)="","—",INDEX(LdBId,$M826)),IF($N826&lt;&gt;"",IF(INDEX(LdCBank,$N826)="","—",INDEX(LdCBank,$N826)),"")))</f>
        <v/>
      </c>
      <c r="E826" s="21">
        <f>IF($L826&lt;&gt;"",IF(INDEX(LdAAmt,$L826)=0,"",INDEX(LdAAmt,$L826)),IF($M826&lt;&gt;"",IF(INDEX(LdBAmt,$M826)=0,"",INDEX(LdBAmt,$M826)),IF($N826&lt;&gt;"",IF(INDEX(LdCDep,$N826)=0,"",INDEX(LdCDep,$N826)),"")))</f>
        <v/>
      </c>
      <c r="F826" s="21">
        <f>IF(AND($L826="",$M826="",$N826=""),"",IF($N826="","",IF(INDEX(LdCWit,$N826)=0,"",INDEX(LdCWit,$N826))))</f>
        <v/>
      </c>
      <c r="G826" s="31">
        <f>IF($B826="","",IF($G825="",0,$G825)+IF($E826="",0,$E826)-IF($F826="",0,$F826))</f>
        <v/>
      </c>
      <c r="H826" s="32">
        <f>IF(AND($L826="",$M826="",$N826=""),"",IF($L826&lt;&gt;"",IF(INDEX(LdANote,$L826)="","—",INDEX(LdANote,$L826)),IF($M826&lt;&gt;"",IF(INDEX(LdBNote,$M826)="","—",INDEX(LdBNote,$M826)),IF($N826&lt;&gt;"",IF(INDEX(LdCNote,$N826)="","—",INDEX(LdCNote,$N826)),""))))</f>
        <v/>
      </c>
      <c r="L826">
        <f>IFERROR(MATCH($C$5&amp;"|"&amp;RIGHT("000000"&amp;810,6),LdAKeyM,0),"")</f>
        <v/>
      </c>
      <c r="M826">
        <f>IFERROR(MATCH($C$5&amp;"|"&amp;RIGHT("000000"&amp;810,6),LdBKeyM,0),"")</f>
        <v/>
      </c>
      <c r="N826">
        <f>IFERROR(MATCH($C$5&amp;"|"&amp;RIGHT("000000"&amp;810,6),LdCKeyM,0),"")</f>
        <v/>
      </c>
    </row>
    <row r="827">
      <c r="A827" s="10" t="n">
        <v>811</v>
      </c>
      <c r="B827" s="14">
        <f>IF(AND($L827="",$M827="",$N827=""),"",IF($L827&lt;&gt;"",INDEX(LdADate,$L827),IF($M827&lt;&gt;"",INDEX(LdBDate,$M827),INDEX(LdCDate,$N827))))</f>
        <v/>
      </c>
      <c r="C827" s="14">
        <f>IF($L827&lt;&gt;"","دستمزد (فردی)",IF($M827&lt;&gt;"","سهم از گروه "&amp;IFERROR(VLOOKUP(INDEX(LdBGroup,$M827),WGTbl,2,0),INDEX(LdBGroup,$M827)),IF($N827&lt;&gt;"",IF(N(INDEX(LdCDep,$N827))&gt;0,"بازگشت بانکی","پرداخت بانکی"),"")))</f>
        <v/>
      </c>
      <c r="D827" s="14">
        <f>IF($L827&lt;&gt;"",IF(INDEX(LdAId,$L827)="","—",INDEX(LdAId,$L827)),IF($M827&lt;&gt;"",IF(INDEX(LdBId,$M827)="","—",INDEX(LdBId,$M827)),IF($N827&lt;&gt;"",IF(INDEX(LdCBank,$N827)="","—",INDEX(LdCBank,$N827)),"")))</f>
        <v/>
      </c>
      <c r="E827" s="16">
        <f>IF($L827&lt;&gt;"",IF(INDEX(LdAAmt,$L827)=0,"",INDEX(LdAAmt,$L827)),IF($M827&lt;&gt;"",IF(INDEX(LdBAmt,$M827)=0,"",INDEX(LdBAmt,$M827)),IF($N827&lt;&gt;"",IF(INDEX(LdCDep,$N827)=0,"",INDEX(LdCDep,$N827)),"")))</f>
        <v/>
      </c>
      <c r="F827" s="16">
        <f>IF(AND($L827="",$M827="",$N827=""),"",IF($N827="","",IF(INDEX(LdCWit,$N827)=0,"",INDEX(LdCWit,$N827))))</f>
        <v/>
      </c>
      <c r="G827" s="29">
        <f>IF($B827="","",IF($G826="",0,$G826)+IF($E827="",0,$E827)-IF($F827="",0,$F827))</f>
        <v/>
      </c>
      <c r="H827" s="30">
        <f>IF(AND($L827="",$M827="",$N827=""),"",IF($L827&lt;&gt;"",IF(INDEX(LdANote,$L827)="","—",INDEX(LdANote,$L827)),IF($M827&lt;&gt;"",IF(INDEX(LdBNote,$M827)="","—",INDEX(LdBNote,$M827)),IF($N827&lt;&gt;"",IF(INDEX(LdCNote,$N827)="","—",INDEX(LdCNote,$N827)),""))))</f>
        <v/>
      </c>
      <c r="L827">
        <f>IFERROR(MATCH($C$5&amp;"|"&amp;RIGHT("000000"&amp;811,6),LdAKeyM,0),"")</f>
        <v/>
      </c>
      <c r="M827">
        <f>IFERROR(MATCH($C$5&amp;"|"&amp;RIGHT("000000"&amp;811,6),LdBKeyM,0),"")</f>
        <v/>
      </c>
      <c r="N827">
        <f>IFERROR(MATCH($C$5&amp;"|"&amp;RIGHT("000000"&amp;811,6),LdCKeyM,0),"")</f>
        <v/>
      </c>
    </row>
    <row r="828">
      <c r="A828" s="19" t="n">
        <v>812</v>
      </c>
      <c r="B828" s="20">
        <f>IF(AND($L828="",$M828="",$N828=""),"",IF($L828&lt;&gt;"",INDEX(LdADate,$L828),IF($M828&lt;&gt;"",INDEX(LdBDate,$M828),INDEX(LdCDate,$N828))))</f>
        <v/>
      </c>
      <c r="C828" s="20">
        <f>IF($L828&lt;&gt;"","دستمزد (فردی)",IF($M828&lt;&gt;"","سهم از گروه "&amp;IFERROR(VLOOKUP(INDEX(LdBGroup,$M828),WGTbl,2,0),INDEX(LdBGroup,$M828)),IF($N828&lt;&gt;"",IF(N(INDEX(LdCDep,$N828))&gt;0,"بازگشت بانکی","پرداخت بانکی"),"")))</f>
        <v/>
      </c>
      <c r="D828" s="20">
        <f>IF($L828&lt;&gt;"",IF(INDEX(LdAId,$L828)="","—",INDEX(LdAId,$L828)),IF($M828&lt;&gt;"",IF(INDEX(LdBId,$M828)="","—",INDEX(LdBId,$M828)),IF($N828&lt;&gt;"",IF(INDEX(LdCBank,$N828)="","—",INDEX(LdCBank,$N828)),"")))</f>
        <v/>
      </c>
      <c r="E828" s="21">
        <f>IF($L828&lt;&gt;"",IF(INDEX(LdAAmt,$L828)=0,"",INDEX(LdAAmt,$L828)),IF($M828&lt;&gt;"",IF(INDEX(LdBAmt,$M828)=0,"",INDEX(LdBAmt,$M828)),IF($N828&lt;&gt;"",IF(INDEX(LdCDep,$N828)=0,"",INDEX(LdCDep,$N828)),"")))</f>
        <v/>
      </c>
      <c r="F828" s="21">
        <f>IF(AND($L828="",$M828="",$N828=""),"",IF($N828="","",IF(INDEX(LdCWit,$N828)=0,"",INDEX(LdCWit,$N828))))</f>
        <v/>
      </c>
      <c r="G828" s="31">
        <f>IF($B828="","",IF($G827="",0,$G827)+IF($E828="",0,$E828)-IF($F828="",0,$F828))</f>
        <v/>
      </c>
      <c r="H828" s="32">
        <f>IF(AND($L828="",$M828="",$N828=""),"",IF($L828&lt;&gt;"",IF(INDEX(LdANote,$L828)="","—",INDEX(LdANote,$L828)),IF($M828&lt;&gt;"",IF(INDEX(LdBNote,$M828)="","—",INDEX(LdBNote,$M828)),IF($N828&lt;&gt;"",IF(INDEX(LdCNote,$N828)="","—",INDEX(LdCNote,$N828)),""))))</f>
        <v/>
      </c>
      <c r="L828">
        <f>IFERROR(MATCH($C$5&amp;"|"&amp;RIGHT("000000"&amp;812,6),LdAKeyM,0),"")</f>
        <v/>
      </c>
      <c r="M828">
        <f>IFERROR(MATCH($C$5&amp;"|"&amp;RIGHT("000000"&amp;812,6),LdBKeyM,0),"")</f>
        <v/>
      </c>
      <c r="N828">
        <f>IFERROR(MATCH($C$5&amp;"|"&amp;RIGHT("000000"&amp;812,6),LdCKeyM,0),"")</f>
        <v/>
      </c>
    </row>
    <row r="829">
      <c r="A829" s="10" t="n">
        <v>813</v>
      </c>
      <c r="B829" s="14">
        <f>IF(AND($L829="",$M829="",$N829=""),"",IF($L829&lt;&gt;"",INDEX(LdADate,$L829),IF($M829&lt;&gt;"",INDEX(LdBDate,$M829),INDEX(LdCDate,$N829))))</f>
        <v/>
      </c>
      <c r="C829" s="14">
        <f>IF($L829&lt;&gt;"","دستمزد (فردی)",IF($M829&lt;&gt;"","سهم از گروه "&amp;IFERROR(VLOOKUP(INDEX(LdBGroup,$M829),WGTbl,2,0),INDEX(LdBGroup,$M829)),IF($N829&lt;&gt;"",IF(N(INDEX(LdCDep,$N829))&gt;0,"بازگشت بانکی","پرداخت بانکی"),"")))</f>
        <v/>
      </c>
      <c r="D829" s="14">
        <f>IF($L829&lt;&gt;"",IF(INDEX(LdAId,$L829)="","—",INDEX(LdAId,$L829)),IF($M829&lt;&gt;"",IF(INDEX(LdBId,$M829)="","—",INDEX(LdBId,$M829)),IF($N829&lt;&gt;"",IF(INDEX(LdCBank,$N829)="","—",INDEX(LdCBank,$N829)),"")))</f>
        <v/>
      </c>
      <c r="E829" s="16">
        <f>IF($L829&lt;&gt;"",IF(INDEX(LdAAmt,$L829)=0,"",INDEX(LdAAmt,$L829)),IF($M829&lt;&gt;"",IF(INDEX(LdBAmt,$M829)=0,"",INDEX(LdBAmt,$M829)),IF($N829&lt;&gt;"",IF(INDEX(LdCDep,$N829)=0,"",INDEX(LdCDep,$N829)),"")))</f>
        <v/>
      </c>
      <c r="F829" s="16">
        <f>IF(AND($L829="",$M829="",$N829=""),"",IF($N829="","",IF(INDEX(LdCWit,$N829)=0,"",INDEX(LdCWit,$N829))))</f>
        <v/>
      </c>
      <c r="G829" s="29">
        <f>IF($B829="","",IF($G828="",0,$G828)+IF($E829="",0,$E829)-IF($F829="",0,$F829))</f>
        <v/>
      </c>
      <c r="H829" s="30">
        <f>IF(AND($L829="",$M829="",$N829=""),"",IF($L829&lt;&gt;"",IF(INDEX(LdANote,$L829)="","—",INDEX(LdANote,$L829)),IF($M829&lt;&gt;"",IF(INDEX(LdBNote,$M829)="","—",INDEX(LdBNote,$M829)),IF($N829&lt;&gt;"",IF(INDEX(LdCNote,$N829)="","—",INDEX(LdCNote,$N829)),""))))</f>
        <v/>
      </c>
      <c r="L829">
        <f>IFERROR(MATCH($C$5&amp;"|"&amp;RIGHT("000000"&amp;813,6),LdAKeyM,0),"")</f>
        <v/>
      </c>
      <c r="M829">
        <f>IFERROR(MATCH($C$5&amp;"|"&amp;RIGHT("000000"&amp;813,6),LdBKeyM,0),"")</f>
        <v/>
      </c>
      <c r="N829">
        <f>IFERROR(MATCH($C$5&amp;"|"&amp;RIGHT("000000"&amp;813,6),LdCKeyM,0),"")</f>
        <v/>
      </c>
    </row>
    <row r="830">
      <c r="A830" s="19" t="n">
        <v>814</v>
      </c>
      <c r="B830" s="20">
        <f>IF(AND($L830="",$M830="",$N830=""),"",IF($L830&lt;&gt;"",INDEX(LdADate,$L830),IF($M830&lt;&gt;"",INDEX(LdBDate,$M830),INDEX(LdCDate,$N830))))</f>
        <v/>
      </c>
      <c r="C830" s="20">
        <f>IF($L830&lt;&gt;"","دستمزد (فردی)",IF($M830&lt;&gt;"","سهم از گروه "&amp;IFERROR(VLOOKUP(INDEX(LdBGroup,$M830),WGTbl,2,0),INDEX(LdBGroup,$M830)),IF($N830&lt;&gt;"",IF(N(INDEX(LdCDep,$N830))&gt;0,"بازگشت بانکی","پرداخت بانکی"),"")))</f>
        <v/>
      </c>
      <c r="D830" s="20">
        <f>IF($L830&lt;&gt;"",IF(INDEX(LdAId,$L830)="","—",INDEX(LdAId,$L830)),IF($M830&lt;&gt;"",IF(INDEX(LdBId,$M830)="","—",INDEX(LdBId,$M830)),IF($N830&lt;&gt;"",IF(INDEX(LdCBank,$N830)="","—",INDEX(LdCBank,$N830)),"")))</f>
        <v/>
      </c>
      <c r="E830" s="21">
        <f>IF($L830&lt;&gt;"",IF(INDEX(LdAAmt,$L830)=0,"",INDEX(LdAAmt,$L830)),IF($M830&lt;&gt;"",IF(INDEX(LdBAmt,$M830)=0,"",INDEX(LdBAmt,$M830)),IF($N830&lt;&gt;"",IF(INDEX(LdCDep,$N830)=0,"",INDEX(LdCDep,$N830)),"")))</f>
        <v/>
      </c>
      <c r="F830" s="21">
        <f>IF(AND($L830="",$M830="",$N830=""),"",IF($N830="","",IF(INDEX(LdCWit,$N830)=0,"",INDEX(LdCWit,$N830))))</f>
        <v/>
      </c>
      <c r="G830" s="31">
        <f>IF($B830="","",IF($G829="",0,$G829)+IF($E830="",0,$E830)-IF($F830="",0,$F830))</f>
        <v/>
      </c>
      <c r="H830" s="32">
        <f>IF(AND($L830="",$M830="",$N830=""),"",IF($L830&lt;&gt;"",IF(INDEX(LdANote,$L830)="","—",INDEX(LdANote,$L830)),IF($M830&lt;&gt;"",IF(INDEX(LdBNote,$M830)="","—",INDEX(LdBNote,$M830)),IF($N830&lt;&gt;"",IF(INDEX(LdCNote,$N830)="","—",INDEX(LdCNote,$N830)),""))))</f>
        <v/>
      </c>
      <c r="L830">
        <f>IFERROR(MATCH($C$5&amp;"|"&amp;RIGHT("000000"&amp;814,6),LdAKeyM,0),"")</f>
        <v/>
      </c>
      <c r="M830">
        <f>IFERROR(MATCH($C$5&amp;"|"&amp;RIGHT("000000"&amp;814,6),LdBKeyM,0),"")</f>
        <v/>
      </c>
      <c r="N830">
        <f>IFERROR(MATCH($C$5&amp;"|"&amp;RIGHT("000000"&amp;814,6),LdCKeyM,0),"")</f>
        <v/>
      </c>
    </row>
    <row r="831">
      <c r="A831" s="10" t="n">
        <v>815</v>
      </c>
      <c r="B831" s="14">
        <f>IF(AND($L831="",$M831="",$N831=""),"",IF($L831&lt;&gt;"",INDEX(LdADate,$L831),IF($M831&lt;&gt;"",INDEX(LdBDate,$M831),INDEX(LdCDate,$N831))))</f>
        <v/>
      </c>
      <c r="C831" s="14">
        <f>IF($L831&lt;&gt;"","دستمزد (فردی)",IF($M831&lt;&gt;"","سهم از گروه "&amp;IFERROR(VLOOKUP(INDEX(LdBGroup,$M831),WGTbl,2,0),INDEX(LdBGroup,$M831)),IF($N831&lt;&gt;"",IF(N(INDEX(LdCDep,$N831))&gt;0,"بازگشت بانکی","پرداخت بانکی"),"")))</f>
        <v/>
      </c>
      <c r="D831" s="14">
        <f>IF($L831&lt;&gt;"",IF(INDEX(LdAId,$L831)="","—",INDEX(LdAId,$L831)),IF($M831&lt;&gt;"",IF(INDEX(LdBId,$M831)="","—",INDEX(LdBId,$M831)),IF($N831&lt;&gt;"",IF(INDEX(LdCBank,$N831)="","—",INDEX(LdCBank,$N831)),"")))</f>
        <v/>
      </c>
      <c r="E831" s="16">
        <f>IF($L831&lt;&gt;"",IF(INDEX(LdAAmt,$L831)=0,"",INDEX(LdAAmt,$L831)),IF($M831&lt;&gt;"",IF(INDEX(LdBAmt,$M831)=0,"",INDEX(LdBAmt,$M831)),IF($N831&lt;&gt;"",IF(INDEX(LdCDep,$N831)=0,"",INDEX(LdCDep,$N831)),"")))</f>
        <v/>
      </c>
      <c r="F831" s="16">
        <f>IF(AND($L831="",$M831="",$N831=""),"",IF($N831="","",IF(INDEX(LdCWit,$N831)=0,"",INDEX(LdCWit,$N831))))</f>
        <v/>
      </c>
      <c r="G831" s="29">
        <f>IF($B831="","",IF($G830="",0,$G830)+IF($E831="",0,$E831)-IF($F831="",0,$F831))</f>
        <v/>
      </c>
      <c r="H831" s="30">
        <f>IF(AND($L831="",$M831="",$N831=""),"",IF($L831&lt;&gt;"",IF(INDEX(LdANote,$L831)="","—",INDEX(LdANote,$L831)),IF($M831&lt;&gt;"",IF(INDEX(LdBNote,$M831)="","—",INDEX(LdBNote,$M831)),IF($N831&lt;&gt;"",IF(INDEX(LdCNote,$N831)="","—",INDEX(LdCNote,$N831)),""))))</f>
        <v/>
      </c>
      <c r="L831">
        <f>IFERROR(MATCH($C$5&amp;"|"&amp;RIGHT("000000"&amp;815,6),LdAKeyM,0),"")</f>
        <v/>
      </c>
      <c r="M831">
        <f>IFERROR(MATCH($C$5&amp;"|"&amp;RIGHT("000000"&amp;815,6),LdBKeyM,0),"")</f>
        <v/>
      </c>
      <c r="N831">
        <f>IFERROR(MATCH($C$5&amp;"|"&amp;RIGHT("000000"&amp;815,6),LdCKeyM,0),"")</f>
        <v/>
      </c>
    </row>
    <row r="832">
      <c r="A832" s="19" t="n">
        <v>816</v>
      </c>
      <c r="B832" s="20">
        <f>IF(AND($L832="",$M832="",$N832=""),"",IF($L832&lt;&gt;"",INDEX(LdADate,$L832),IF($M832&lt;&gt;"",INDEX(LdBDate,$M832),INDEX(LdCDate,$N832))))</f>
        <v/>
      </c>
      <c r="C832" s="20">
        <f>IF($L832&lt;&gt;"","دستمزد (فردی)",IF($M832&lt;&gt;"","سهم از گروه "&amp;IFERROR(VLOOKUP(INDEX(LdBGroup,$M832),WGTbl,2,0),INDEX(LdBGroup,$M832)),IF($N832&lt;&gt;"",IF(N(INDEX(LdCDep,$N832))&gt;0,"بازگشت بانکی","پرداخت بانکی"),"")))</f>
        <v/>
      </c>
      <c r="D832" s="20">
        <f>IF($L832&lt;&gt;"",IF(INDEX(LdAId,$L832)="","—",INDEX(LdAId,$L832)),IF($M832&lt;&gt;"",IF(INDEX(LdBId,$M832)="","—",INDEX(LdBId,$M832)),IF($N832&lt;&gt;"",IF(INDEX(LdCBank,$N832)="","—",INDEX(LdCBank,$N832)),"")))</f>
        <v/>
      </c>
      <c r="E832" s="21">
        <f>IF($L832&lt;&gt;"",IF(INDEX(LdAAmt,$L832)=0,"",INDEX(LdAAmt,$L832)),IF($M832&lt;&gt;"",IF(INDEX(LdBAmt,$M832)=0,"",INDEX(LdBAmt,$M832)),IF($N832&lt;&gt;"",IF(INDEX(LdCDep,$N832)=0,"",INDEX(LdCDep,$N832)),"")))</f>
        <v/>
      </c>
      <c r="F832" s="21">
        <f>IF(AND($L832="",$M832="",$N832=""),"",IF($N832="","",IF(INDEX(LdCWit,$N832)=0,"",INDEX(LdCWit,$N832))))</f>
        <v/>
      </c>
      <c r="G832" s="31">
        <f>IF($B832="","",IF($G831="",0,$G831)+IF($E832="",0,$E832)-IF($F832="",0,$F832))</f>
        <v/>
      </c>
      <c r="H832" s="32">
        <f>IF(AND($L832="",$M832="",$N832=""),"",IF($L832&lt;&gt;"",IF(INDEX(LdANote,$L832)="","—",INDEX(LdANote,$L832)),IF($M832&lt;&gt;"",IF(INDEX(LdBNote,$M832)="","—",INDEX(LdBNote,$M832)),IF($N832&lt;&gt;"",IF(INDEX(LdCNote,$N832)="","—",INDEX(LdCNote,$N832)),""))))</f>
        <v/>
      </c>
      <c r="L832">
        <f>IFERROR(MATCH($C$5&amp;"|"&amp;RIGHT("000000"&amp;816,6),LdAKeyM,0),"")</f>
        <v/>
      </c>
      <c r="M832">
        <f>IFERROR(MATCH($C$5&amp;"|"&amp;RIGHT("000000"&amp;816,6),LdBKeyM,0),"")</f>
        <v/>
      </c>
      <c r="N832">
        <f>IFERROR(MATCH($C$5&amp;"|"&amp;RIGHT("000000"&amp;816,6),LdCKeyM,0),"")</f>
        <v/>
      </c>
    </row>
    <row r="833">
      <c r="A833" s="10" t="n">
        <v>817</v>
      </c>
      <c r="B833" s="14">
        <f>IF(AND($L833="",$M833="",$N833=""),"",IF($L833&lt;&gt;"",INDEX(LdADate,$L833),IF($M833&lt;&gt;"",INDEX(LdBDate,$M833),INDEX(LdCDate,$N833))))</f>
        <v/>
      </c>
      <c r="C833" s="14">
        <f>IF($L833&lt;&gt;"","دستمزد (فردی)",IF($M833&lt;&gt;"","سهم از گروه "&amp;IFERROR(VLOOKUP(INDEX(LdBGroup,$M833),WGTbl,2,0),INDEX(LdBGroup,$M833)),IF($N833&lt;&gt;"",IF(N(INDEX(LdCDep,$N833))&gt;0,"بازگشت بانکی","پرداخت بانکی"),"")))</f>
        <v/>
      </c>
      <c r="D833" s="14">
        <f>IF($L833&lt;&gt;"",IF(INDEX(LdAId,$L833)="","—",INDEX(LdAId,$L833)),IF($M833&lt;&gt;"",IF(INDEX(LdBId,$M833)="","—",INDEX(LdBId,$M833)),IF($N833&lt;&gt;"",IF(INDEX(LdCBank,$N833)="","—",INDEX(LdCBank,$N833)),"")))</f>
        <v/>
      </c>
      <c r="E833" s="16">
        <f>IF($L833&lt;&gt;"",IF(INDEX(LdAAmt,$L833)=0,"",INDEX(LdAAmt,$L833)),IF($M833&lt;&gt;"",IF(INDEX(LdBAmt,$M833)=0,"",INDEX(LdBAmt,$M833)),IF($N833&lt;&gt;"",IF(INDEX(LdCDep,$N833)=0,"",INDEX(LdCDep,$N833)),"")))</f>
        <v/>
      </c>
      <c r="F833" s="16">
        <f>IF(AND($L833="",$M833="",$N833=""),"",IF($N833="","",IF(INDEX(LdCWit,$N833)=0,"",INDEX(LdCWit,$N833))))</f>
        <v/>
      </c>
      <c r="G833" s="29">
        <f>IF($B833="","",IF($G832="",0,$G832)+IF($E833="",0,$E833)-IF($F833="",0,$F833))</f>
        <v/>
      </c>
      <c r="H833" s="30">
        <f>IF(AND($L833="",$M833="",$N833=""),"",IF($L833&lt;&gt;"",IF(INDEX(LdANote,$L833)="","—",INDEX(LdANote,$L833)),IF($M833&lt;&gt;"",IF(INDEX(LdBNote,$M833)="","—",INDEX(LdBNote,$M833)),IF($N833&lt;&gt;"",IF(INDEX(LdCNote,$N833)="","—",INDEX(LdCNote,$N833)),""))))</f>
        <v/>
      </c>
      <c r="L833">
        <f>IFERROR(MATCH($C$5&amp;"|"&amp;RIGHT("000000"&amp;817,6),LdAKeyM,0),"")</f>
        <v/>
      </c>
      <c r="M833">
        <f>IFERROR(MATCH($C$5&amp;"|"&amp;RIGHT("000000"&amp;817,6),LdBKeyM,0),"")</f>
        <v/>
      </c>
      <c r="N833">
        <f>IFERROR(MATCH($C$5&amp;"|"&amp;RIGHT("000000"&amp;817,6),LdCKeyM,0),"")</f>
        <v/>
      </c>
    </row>
    <row r="834">
      <c r="A834" s="19" t="n">
        <v>818</v>
      </c>
      <c r="B834" s="20">
        <f>IF(AND($L834="",$M834="",$N834=""),"",IF($L834&lt;&gt;"",INDEX(LdADate,$L834),IF($M834&lt;&gt;"",INDEX(LdBDate,$M834),INDEX(LdCDate,$N834))))</f>
        <v/>
      </c>
      <c r="C834" s="20">
        <f>IF($L834&lt;&gt;"","دستمزد (فردی)",IF($M834&lt;&gt;"","سهم از گروه "&amp;IFERROR(VLOOKUP(INDEX(LdBGroup,$M834),WGTbl,2,0),INDEX(LdBGroup,$M834)),IF($N834&lt;&gt;"",IF(N(INDEX(LdCDep,$N834))&gt;0,"بازگشت بانکی","پرداخت بانکی"),"")))</f>
        <v/>
      </c>
      <c r="D834" s="20">
        <f>IF($L834&lt;&gt;"",IF(INDEX(LdAId,$L834)="","—",INDEX(LdAId,$L834)),IF($M834&lt;&gt;"",IF(INDEX(LdBId,$M834)="","—",INDEX(LdBId,$M834)),IF($N834&lt;&gt;"",IF(INDEX(LdCBank,$N834)="","—",INDEX(LdCBank,$N834)),"")))</f>
        <v/>
      </c>
      <c r="E834" s="21">
        <f>IF($L834&lt;&gt;"",IF(INDEX(LdAAmt,$L834)=0,"",INDEX(LdAAmt,$L834)),IF($M834&lt;&gt;"",IF(INDEX(LdBAmt,$M834)=0,"",INDEX(LdBAmt,$M834)),IF($N834&lt;&gt;"",IF(INDEX(LdCDep,$N834)=0,"",INDEX(LdCDep,$N834)),"")))</f>
        <v/>
      </c>
      <c r="F834" s="21">
        <f>IF(AND($L834="",$M834="",$N834=""),"",IF($N834="","",IF(INDEX(LdCWit,$N834)=0,"",INDEX(LdCWit,$N834))))</f>
        <v/>
      </c>
      <c r="G834" s="31">
        <f>IF($B834="","",IF($G833="",0,$G833)+IF($E834="",0,$E834)-IF($F834="",0,$F834))</f>
        <v/>
      </c>
      <c r="H834" s="32">
        <f>IF(AND($L834="",$M834="",$N834=""),"",IF($L834&lt;&gt;"",IF(INDEX(LdANote,$L834)="","—",INDEX(LdANote,$L834)),IF($M834&lt;&gt;"",IF(INDEX(LdBNote,$M834)="","—",INDEX(LdBNote,$M834)),IF($N834&lt;&gt;"",IF(INDEX(LdCNote,$N834)="","—",INDEX(LdCNote,$N834)),""))))</f>
        <v/>
      </c>
      <c r="L834">
        <f>IFERROR(MATCH($C$5&amp;"|"&amp;RIGHT("000000"&amp;818,6),LdAKeyM,0),"")</f>
        <v/>
      </c>
      <c r="M834">
        <f>IFERROR(MATCH($C$5&amp;"|"&amp;RIGHT("000000"&amp;818,6),LdBKeyM,0),"")</f>
        <v/>
      </c>
      <c r="N834">
        <f>IFERROR(MATCH($C$5&amp;"|"&amp;RIGHT("000000"&amp;818,6),LdCKeyM,0),"")</f>
        <v/>
      </c>
    </row>
    <row r="835">
      <c r="A835" s="10" t="n">
        <v>819</v>
      </c>
      <c r="B835" s="14">
        <f>IF(AND($L835="",$M835="",$N835=""),"",IF($L835&lt;&gt;"",INDEX(LdADate,$L835),IF($M835&lt;&gt;"",INDEX(LdBDate,$M835),INDEX(LdCDate,$N835))))</f>
        <v/>
      </c>
      <c r="C835" s="14">
        <f>IF($L835&lt;&gt;"","دستمزد (فردی)",IF($M835&lt;&gt;"","سهم از گروه "&amp;IFERROR(VLOOKUP(INDEX(LdBGroup,$M835),WGTbl,2,0),INDEX(LdBGroup,$M835)),IF($N835&lt;&gt;"",IF(N(INDEX(LdCDep,$N835))&gt;0,"بازگشت بانکی","پرداخت بانکی"),"")))</f>
        <v/>
      </c>
      <c r="D835" s="14">
        <f>IF($L835&lt;&gt;"",IF(INDEX(LdAId,$L835)="","—",INDEX(LdAId,$L835)),IF($M835&lt;&gt;"",IF(INDEX(LdBId,$M835)="","—",INDEX(LdBId,$M835)),IF($N835&lt;&gt;"",IF(INDEX(LdCBank,$N835)="","—",INDEX(LdCBank,$N835)),"")))</f>
        <v/>
      </c>
      <c r="E835" s="16">
        <f>IF($L835&lt;&gt;"",IF(INDEX(LdAAmt,$L835)=0,"",INDEX(LdAAmt,$L835)),IF($M835&lt;&gt;"",IF(INDEX(LdBAmt,$M835)=0,"",INDEX(LdBAmt,$M835)),IF($N835&lt;&gt;"",IF(INDEX(LdCDep,$N835)=0,"",INDEX(LdCDep,$N835)),"")))</f>
        <v/>
      </c>
      <c r="F835" s="16">
        <f>IF(AND($L835="",$M835="",$N835=""),"",IF($N835="","",IF(INDEX(LdCWit,$N835)=0,"",INDEX(LdCWit,$N835))))</f>
        <v/>
      </c>
      <c r="G835" s="29">
        <f>IF($B835="","",IF($G834="",0,$G834)+IF($E835="",0,$E835)-IF($F835="",0,$F835))</f>
        <v/>
      </c>
      <c r="H835" s="30">
        <f>IF(AND($L835="",$M835="",$N835=""),"",IF($L835&lt;&gt;"",IF(INDEX(LdANote,$L835)="","—",INDEX(LdANote,$L835)),IF($M835&lt;&gt;"",IF(INDEX(LdBNote,$M835)="","—",INDEX(LdBNote,$M835)),IF($N835&lt;&gt;"",IF(INDEX(LdCNote,$N835)="","—",INDEX(LdCNote,$N835)),""))))</f>
        <v/>
      </c>
      <c r="L835">
        <f>IFERROR(MATCH($C$5&amp;"|"&amp;RIGHT("000000"&amp;819,6),LdAKeyM,0),"")</f>
        <v/>
      </c>
      <c r="M835">
        <f>IFERROR(MATCH($C$5&amp;"|"&amp;RIGHT("000000"&amp;819,6),LdBKeyM,0),"")</f>
        <v/>
      </c>
      <c r="N835">
        <f>IFERROR(MATCH($C$5&amp;"|"&amp;RIGHT("000000"&amp;819,6),LdCKeyM,0),"")</f>
        <v/>
      </c>
    </row>
    <row r="836">
      <c r="A836" s="19" t="n">
        <v>820</v>
      </c>
      <c r="B836" s="20">
        <f>IF(AND($L836="",$M836="",$N836=""),"",IF($L836&lt;&gt;"",INDEX(LdADate,$L836),IF($M836&lt;&gt;"",INDEX(LdBDate,$M836),INDEX(LdCDate,$N836))))</f>
        <v/>
      </c>
      <c r="C836" s="20">
        <f>IF($L836&lt;&gt;"","دستمزد (فردی)",IF($M836&lt;&gt;"","سهم از گروه "&amp;IFERROR(VLOOKUP(INDEX(LdBGroup,$M836),WGTbl,2,0),INDEX(LdBGroup,$M836)),IF($N836&lt;&gt;"",IF(N(INDEX(LdCDep,$N836))&gt;0,"بازگشت بانکی","پرداخت بانکی"),"")))</f>
        <v/>
      </c>
      <c r="D836" s="20">
        <f>IF($L836&lt;&gt;"",IF(INDEX(LdAId,$L836)="","—",INDEX(LdAId,$L836)),IF($M836&lt;&gt;"",IF(INDEX(LdBId,$M836)="","—",INDEX(LdBId,$M836)),IF($N836&lt;&gt;"",IF(INDEX(LdCBank,$N836)="","—",INDEX(LdCBank,$N836)),"")))</f>
        <v/>
      </c>
      <c r="E836" s="21">
        <f>IF($L836&lt;&gt;"",IF(INDEX(LdAAmt,$L836)=0,"",INDEX(LdAAmt,$L836)),IF($M836&lt;&gt;"",IF(INDEX(LdBAmt,$M836)=0,"",INDEX(LdBAmt,$M836)),IF($N836&lt;&gt;"",IF(INDEX(LdCDep,$N836)=0,"",INDEX(LdCDep,$N836)),"")))</f>
        <v/>
      </c>
      <c r="F836" s="21">
        <f>IF(AND($L836="",$M836="",$N836=""),"",IF($N836="","",IF(INDEX(LdCWit,$N836)=0,"",INDEX(LdCWit,$N836))))</f>
        <v/>
      </c>
      <c r="G836" s="31">
        <f>IF($B836="","",IF($G835="",0,$G835)+IF($E836="",0,$E836)-IF($F836="",0,$F836))</f>
        <v/>
      </c>
      <c r="H836" s="32">
        <f>IF(AND($L836="",$M836="",$N836=""),"",IF($L836&lt;&gt;"",IF(INDEX(LdANote,$L836)="","—",INDEX(LdANote,$L836)),IF($M836&lt;&gt;"",IF(INDEX(LdBNote,$M836)="","—",INDEX(LdBNote,$M836)),IF($N836&lt;&gt;"",IF(INDEX(LdCNote,$N836)="","—",INDEX(LdCNote,$N836)),""))))</f>
        <v/>
      </c>
      <c r="L836">
        <f>IFERROR(MATCH($C$5&amp;"|"&amp;RIGHT("000000"&amp;820,6),LdAKeyM,0),"")</f>
        <v/>
      </c>
      <c r="M836">
        <f>IFERROR(MATCH($C$5&amp;"|"&amp;RIGHT("000000"&amp;820,6),LdBKeyM,0),"")</f>
        <v/>
      </c>
      <c r="N836">
        <f>IFERROR(MATCH($C$5&amp;"|"&amp;RIGHT("000000"&amp;820,6),LdCKeyM,0),"")</f>
        <v/>
      </c>
    </row>
    <row r="837">
      <c r="A837" s="10" t="n">
        <v>821</v>
      </c>
      <c r="B837" s="14">
        <f>IF(AND($L837="",$M837="",$N837=""),"",IF($L837&lt;&gt;"",INDEX(LdADate,$L837),IF($M837&lt;&gt;"",INDEX(LdBDate,$M837),INDEX(LdCDate,$N837))))</f>
        <v/>
      </c>
      <c r="C837" s="14">
        <f>IF($L837&lt;&gt;"","دستمزد (فردی)",IF($M837&lt;&gt;"","سهم از گروه "&amp;IFERROR(VLOOKUP(INDEX(LdBGroup,$M837),WGTbl,2,0),INDEX(LdBGroup,$M837)),IF($N837&lt;&gt;"",IF(N(INDEX(LdCDep,$N837))&gt;0,"بازگشت بانکی","پرداخت بانکی"),"")))</f>
        <v/>
      </c>
      <c r="D837" s="14">
        <f>IF($L837&lt;&gt;"",IF(INDEX(LdAId,$L837)="","—",INDEX(LdAId,$L837)),IF($M837&lt;&gt;"",IF(INDEX(LdBId,$M837)="","—",INDEX(LdBId,$M837)),IF($N837&lt;&gt;"",IF(INDEX(LdCBank,$N837)="","—",INDEX(LdCBank,$N837)),"")))</f>
        <v/>
      </c>
      <c r="E837" s="16">
        <f>IF($L837&lt;&gt;"",IF(INDEX(LdAAmt,$L837)=0,"",INDEX(LdAAmt,$L837)),IF($M837&lt;&gt;"",IF(INDEX(LdBAmt,$M837)=0,"",INDEX(LdBAmt,$M837)),IF($N837&lt;&gt;"",IF(INDEX(LdCDep,$N837)=0,"",INDEX(LdCDep,$N837)),"")))</f>
        <v/>
      </c>
      <c r="F837" s="16">
        <f>IF(AND($L837="",$M837="",$N837=""),"",IF($N837="","",IF(INDEX(LdCWit,$N837)=0,"",INDEX(LdCWit,$N837))))</f>
        <v/>
      </c>
      <c r="G837" s="29">
        <f>IF($B837="","",IF($G836="",0,$G836)+IF($E837="",0,$E837)-IF($F837="",0,$F837))</f>
        <v/>
      </c>
      <c r="H837" s="30">
        <f>IF(AND($L837="",$M837="",$N837=""),"",IF($L837&lt;&gt;"",IF(INDEX(LdANote,$L837)="","—",INDEX(LdANote,$L837)),IF($M837&lt;&gt;"",IF(INDEX(LdBNote,$M837)="","—",INDEX(LdBNote,$M837)),IF($N837&lt;&gt;"",IF(INDEX(LdCNote,$N837)="","—",INDEX(LdCNote,$N837)),""))))</f>
        <v/>
      </c>
      <c r="L837">
        <f>IFERROR(MATCH($C$5&amp;"|"&amp;RIGHT("000000"&amp;821,6),LdAKeyM,0),"")</f>
        <v/>
      </c>
      <c r="M837">
        <f>IFERROR(MATCH($C$5&amp;"|"&amp;RIGHT("000000"&amp;821,6),LdBKeyM,0),"")</f>
        <v/>
      </c>
      <c r="N837">
        <f>IFERROR(MATCH($C$5&amp;"|"&amp;RIGHT("000000"&amp;821,6),LdCKeyM,0),"")</f>
        <v/>
      </c>
    </row>
    <row r="838">
      <c r="A838" s="19" t="n">
        <v>822</v>
      </c>
      <c r="B838" s="20">
        <f>IF(AND($L838="",$M838="",$N838=""),"",IF($L838&lt;&gt;"",INDEX(LdADate,$L838),IF($M838&lt;&gt;"",INDEX(LdBDate,$M838),INDEX(LdCDate,$N838))))</f>
        <v/>
      </c>
      <c r="C838" s="20">
        <f>IF($L838&lt;&gt;"","دستمزد (فردی)",IF($M838&lt;&gt;"","سهم از گروه "&amp;IFERROR(VLOOKUP(INDEX(LdBGroup,$M838),WGTbl,2,0),INDEX(LdBGroup,$M838)),IF($N838&lt;&gt;"",IF(N(INDEX(LdCDep,$N838))&gt;0,"بازگشت بانکی","پرداخت بانکی"),"")))</f>
        <v/>
      </c>
      <c r="D838" s="20">
        <f>IF($L838&lt;&gt;"",IF(INDEX(LdAId,$L838)="","—",INDEX(LdAId,$L838)),IF($M838&lt;&gt;"",IF(INDEX(LdBId,$M838)="","—",INDEX(LdBId,$M838)),IF($N838&lt;&gt;"",IF(INDEX(LdCBank,$N838)="","—",INDEX(LdCBank,$N838)),"")))</f>
        <v/>
      </c>
      <c r="E838" s="21">
        <f>IF($L838&lt;&gt;"",IF(INDEX(LdAAmt,$L838)=0,"",INDEX(LdAAmt,$L838)),IF($M838&lt;&gt;"",IF(INDEX(LdBAmt,$M838)=0,"",INDEX(LdBAmt,$M838)),IF($N838&lt;&gt;"",IF(INDEX(LdCDep,$N838)=0,"",INDEX(LdCDep,$N838)),"")))</f>
        <v/>
      </c>
      <c r="F838" s="21">
        <f>IF(AND($L838="",$M838="",$N838=""),"",IF($N838="","",IF(INDEX(LdCWit,$N838)=0,"",INDEX(LdCWit,$N838))))</f>
        <v/>
      </c>
      <c r="G838" s="31">
        <f>IF($B838="","",IF($G837="",0,$G837)+IF($E838="",0,$E838)-IF($F838="",0,$F838))</f>
        <v/>
      </c>
      <c r="H838" s="32">
        <f>IF(AND($L838="",$M838="",$N838=""),"",IF($L838&lt;&gt;"",IF(INDEX(LdANote,$L838)="","—",INDEX(LdANote,$L838)),IF($M838&lt;&gt;"",IF(INDEX(LdBNote,$M838)="","—",INDEX(LdBNote,$M838)),IF($N838&lt;&gt;"",IF(INDEX(LdCNote,$N838)="","—",INDEX(LdCNote,$N838)),""))))</f>
        <v/>
      </c>
      <c r="L838">
        <f>IFERROR(MATCH($C$5&amp;"|"&amp;RIGHT("000000"&amp;822,6),LdAKeyM,0),"")</f>
        <v/>
      </c>
      <c r="M838">
        <f>IFERROR(MATCH($C$5&amp;"|"&amp;RIGHT("000000"&amp;822,6),LdBKeyM,0),"")</f>
        <v/>
      </c>
      <c r="N838">
        <f>IFERROR(MATCH($C$5&amp;"|"&amp;RIGHT("000000"&amp;822,6),LdCKeyM,0),"")</f>
        <v/>
      </c>
    </row>
    <row r="839">
      <c r="A839" s="10" t="n">
        <v>823</v>
      </c>
      <c r="B839" s="14">
        <f>IF(AND($L839="",$M839="",$N839=""),"",IF($L839&lt;&gt;"",INDEX(LdADate,$L839),IF($M839&lt;&gt;"",INDEX(LdBDate,$M839),INDEX(LdCDate,$N839))))</f>
        <v/>
      </c>
      <c r="C839" s="14">
        <f>IF($L839&lt;&gt;"","دستمزد (فردی)",IF($M839&lt;&gt;"","سهم از گروه "&amp;IFERROR(VLOOKUP(INDEX(LdBGroup,$M839),WGTbl,2,0),INDEX(LdBGroup,$M839)),IF($N839&lt;&gt;"",IF(N(INDEX(LdCDep,$N839))&gt;0,"بازگشت بانکی","پرداخت بانکی"),"")))</f>
        <v/>
      </c>
      <c r="D839" s="14">
        <f>IF($L839&lt;&gt;"",IF(INDEX(LdAId,$L839)="","—",INDEX(LdAId,$L839)),IF($M839&lt;&gt;"",IF(INDEX(LdBId,$M839)="","—",INDEX(LdBId,$M839)),IF($N839&lt;&gt;"",IF(INDEX(LdCBank,$N839)="","—",INDEX(LdCBank,$N839)),"")))</f>
        <v/>
      </c>
      <c r="E839" s="16">
        <f>IF($L839&lt;&gt;"",IF(INDEX(LdAAmt,$L839)=0,"",INDEX(LdAAmt,$L839)),IF($M839&lt;&gt;"",IF(INDEX(LdBAmt,$M839)=0,"",INDEX(LdBAmt,$M839)),IF($N839&lt;&gt;"",IF(INDEX(LdCDep,$N839)=0,"",INDEX(LdCDep,$N839)),"")))</f>
        <v/>
      </c>
      <c r="F839" s="16">
        <f>IF(AND($L839="",$M839="",$N839=""),"",IF($N839="","",IF(INDEX(LdCWit,$N839)=0,"",INDEX(LdCWit,$N839))))</f>
        <v/>
      </c>
      <c r="G839" s="29">
        <f>IF($B839="","",IF($G838="",0,$G838)+IF($E839="",0,$E839)-IF($F839="",0,$F839))</f>
        <v/>
      </c>
      <c r="H839" s="30">
        <f>IF(AND($L839="",$M839="",$N839=""),"",IF($L839&lt;&gt;"",IF(INDEX(LdANote,$L839)="","—",INDEX(LdANote,$L839)),IF($M839&lt;&gt;"",IF(INDEX(LdBNote,$M839)="","—",INDEX(LdBNote,$M839)),IF($N839&lt;&gt;"",IF(INDEX(LdCNote,$N839)="","—",INDEX(LdCNote,$N839)),""))))</f>
        <v/>
      </c>
      <c r="L839">
        <f>IFERROR(MATCH($C$5&amp;"|"&amp;RIGHT("000000"&amp;823,6),LdAKeyM,0),"")</f>
        <v/>
      </c>
      <c r="M839">
        <f>IFERROR(MATCH($C$5&amp;"|"&amp;RIGHT("000000"&amp;823,6),LdBKeyM,0),"")</f>
        <v/>
      </c>
      <c r="N839">
        <f>IFERROR(MATCH($C$5&amp;"|"&amp;RIGHT("000000"&amp;823,6),LdCKeyM,0),"")</f>
        <v/>
      </c>
    </row>
    <row r="840">
      <c r="A840" s="19" t="n">
        <v>824</v>
      </c>
      <c r="B840" s="20">
        <f>IF(AND($L840="",$M840="",$N840=""),"",IF($L840&lt;&gt;"",INDEX(LdADate,$L840),IF($M840&lt;&gt;"",INDEX(LdBDate,$M840),INDEX(LdCDate,$N840))))</f>
        <v/>
      </c>
      <c r="C840" s="20">
        <f>IF($L840&lt;&gt;"","دستمزد (فردی)",IF($M840&lt;&gt;"","سهم از گروه "&amp;IFERROR(VLOOKUP(INDEX(LdBGroup,$M840),WGTbl,2,0),INDEX(LdBGroup,$M840)),IF($N840&lt;&gt;"",IF(N(INDEX(LdCDep,$N840))&gt;0,"بازگشت بانکی","پرداخت بانکی"),"")))</f>
        <v/>
      </c>
      <c r="D840" s="20">
        <f>IF($L840&lt;&gt;"",IF(INDEX(LdAId,$L840)="","—",INDEX(LdAId,$L840)),IF($M840&lt;&gt;"",IF(INDEX(LdBId,$M840)="","—",INDEX(LdBId,$M840)),IF($N840&lt;&gt;"",IF(INDEX(LdCBank,$N840)="","—",INDEX(LdCBank,$N840)),"")))</f>
        <v/>
      </c>
      <c r="E840" s="21">
        <f>IF($L840&lt;&gt;"",IF(INDEX(LdAAmt,$L840)=0,"",INDEX(LdAAmt,$L840)),IF($M840&lt;&gt;"",IF(INDEX(LdBAmt,$M840)=0,"",INDEX(LdBAmt,$M840)),IF($N840&lt;&gt;"",IF(INDEX(LdCDep,$N840)=0,"",INDEX(LdCDep,$N840)),"")))</f>
        <v/>
      </c>
      <c r="F840" s="21">
        <f>IF(AND($L840="",$M840="",$N840=""),"",IF($N840="","",IF(INDEX(LdCWit,$N840)=0,"",INDEX(LdCWit,$N840))))</f>
        <v/>
      </c>
      <c r="G840" s="31">
        <f>IF($B840="","",IF($G839="",0,$G839)+IF($E840="",0,$E840)-IF($F840="",0,$F840))</f>
        <v/>
      </c>
      <c r="H840" s="32">
        <f>IF(AND($L840="",$M840="",$N840=""),"",IF($L840&lt;&gt;"",IF(INDEX(LdANote,$L840)="","—",INDEX(LdANote,$L840)),IF($M840&lt;&gt;"",IF(INDEX(LdBNote,$M840)="","—",INDEX(LdBNote,$M840)),IF($N840&lt;&gt;"",IF(INDEX(LdCNote,$N840)="","—",INDEX(LdCNote,$N840)),""))))</f>
        <v/>
      </c>
      <c r="L840">
        <f>IFERROR(MATCH($C$5&amp;"|"&amp;RIGHT("000000"&amp;824,6),LdAKeyM,0),"")</f>
        <v/>
      </c>
      <c r="M840">
        <f>IFERROR(MATCH($C$5&amp;"|"&amp;RIGHT("000000"&amp;824,6),LdBKeyM,0),"")</f>
        <v/>
      </c>
      <c r="N840">
        <f>IFERROR(MATCH($C$5&amp;"|"&amp;RIGHT("000000"&amp;824,6),LdCKeyM,0),"")</f>
        <v/>
      </c>
    </row>
    <row r="841">
      <c r="A841" s="10" t="n">
        <v>825</v>
      </c>
      <c r="B841" s="14">
        <f>IF(AND($L841="",$M841="",$N841=""),"",IF($L841&lt;&gt;"",INDEX(LdADate,$L841),IF($M841&lt;&gt;"",INDEX(LdBDate,$M841),INDEX(LdCDate,$N841))))</f>
        <v/>
      </c>
      <c r="C841" s="14">
        <f>IF($L841&lt;&gt;"","دستمزد (فردی)",IF($M841&lt;&gt;"","سهم از گروه "&amp;IFERROR(VLOOKUP(INDEX(LdBGroup,$M841),WGTbl,2,0),INDEX(LdBGroup,$M841)),IF($N841&lt;&gt;"",IF(N(INDEX(LdCDep,$N841))&gt;0,"بازگشت بانکی","پرداخت بانکی"),"")))</f>
        <v/>
      </c>
      <c r="D841" s="14">
        <f>IF($L841&lt;&gt;"",IF(INDEX(LdAId,$L841)="","—",INDEX(LdAId,$L841)),IF($M841&lt;&gt;"",IF(INDEX(LdBId,$M841)="","—",INDEX(LdBId,$M841)),IF($N841&lt;&gt;"",IF(INDEX(LdCBank,$N841)="","—",INDEX(LdCBank,$N841)),"")))</f>
        <v/>
      </c>
      <c r="E841" s="16">
        <f>IF($L841&lt;&gt;"",IF(INDEX(LdAAmt,$L841)=0,"",INDEX(LdAAmt,$L841)),IF($M841&lt;&gt;"",IF(INDEX(LdBAmt,$M841)=0,"",INDEX(LdBAmt,$M841)),IF($N841&lt;&gt;"",IF(INDEX(LdCDep,$N841)=0,"",INDEX(LdCDep,$N841)),"")))</f>
        <v/>
      </c>
      <c r="F841" s="16">
        <f>IF(AND($L841="",$M841="",$N841=""),"",IF($N841="","",IF(INDEX(LdCWit,$N841)=0,"",INDEX(LdCWit,$N841))))</f>
        <v/>
      </c>
      <c r="G841" s="29">
        <f>IF($B841="","",IF($G840="",0,$G840)+IF($E841="",0,$E841)-IF($F841="",0,$F841))</f>
        <v/>
      </c>
      <c r="H841" s="30">
        <f>IF(AND($L841="",$M841="",$N841=""),"",IF($L841&lt;&gt;"",IF(INDEX(LdANote,$L841)="","—",INDEX(LdANote,$L841)),IF($M841&lt;&gt;"",IF(INDEX(LdBNote,$M841)="","—",INDEX(LdBNote,$M841)),IF($N841&lt;&gt;"",IF(INDEX(LdCNote,$N841)="","—",INDEX(LdCNote,$N841)),""))))</f>
        <v/>
      </c>
      <c r="L841">
        <f>IFERROR(MATCH($C$5&amp;"|"&amp;RIGHT("000000"&amp;825,6),LdAKeyM,0),"")</f>
        <v/>
      </c>
      <c r="M841">
        <f>IFERROR(MATCH($C$5&amp;"|"&amp;RIGHT("000000"&amp;825,6),LdBKeyM,0),"")</f>
        <v/>
      </c>
      <c r="N841">
        <f>IFERROR(MATCH($C$5&amp;"|"&amp;RIGHT("000000"&amp;825,6),LdCKeyM,0),"")</f>
        <v/>
      </c>
    </row>
    <row r="842">
      <c r="A842" s="19" t="n">
        <v>826</v>
      </c>
      <c r="B842" s="20">
        <f>IF(AND($L842="",$M842="",$N842=""),"",IF($L842&lt;&gt;"",INDEX(LdADate,$L842),IF($M842&lt;&gt;"",INDEX(LdBDate,$M842),INDEX(LdCDate,$N842))))</f>
        <v/>
      </c>
      <c r="C842" s="20">
        <f>IF($L842&lt;&gt;"","دستمزد (فردی)",IF($M842&lt;&gt;"","سهم از گروه "&amp;IFERROR(VLOOKUP(INDEX(LdBGroup,$M842),WGTbl,2,0),INDEX(LdBGroup,$M842)),IF($N842&lt;&gt;"",IF(N(INDEX(LdCDep,$N842))&gt;0,"بازگشت بانکی","پرداخت بانکی"),"")))</f>
        <v/>
      </c>
      <c r="D842" s="20">
        <f>IF($L842&lt;&gt;"",IF(INDEX(LdAId,$L842)="","—",INDEX(LdAId,$L842)),IF($M842&lt;&gt;"",IF(INDEX(LdBId,$M842)="","—",INDEX(LdBId,$M842)),IF($N842&lt;&gt;"",IF(INDEX(LdCBank,$N842)="","—",INDEX(LdCBank,$N842)),"")))</f>
        <v/>
      </c>
      <c r="E842" s="21">
        <f>IF($L842&lt;&gt;"",IF(INDEX(LdAAmt,$L842)=0,"",INDEX(LdAAmt,$L842)),IF($M842&lt;&gt;"",IF(INDEX(LdBAmt,$M842)=0,"",INDEX(LdBAmt,$M842)),IF($N842&lt;&gt;"",IF(INDEX(LdCDep,$N842)=0,"",INDEX(LdCDep,$N842)),"")))</f>
        <v/>
      </c>
      <c r="F842" s="21">
        <f>IF(AND($L842="",$M842="",$N842=""),"",IF($N842="","",IF(INDEX(LdCWit,$N842)=0,"",INDEX(LdCWit,$N842))))</f>
        <v/>
      </c>
      <c r="G842" s="31">
        <f>IF($B842="","",IF($G841="",0,$G841)+IF($E842="",0,$E842)-IF($F842="",0,$F842))</f>
        <v/>
      </c>
      <c r="H842" s="32">
        <f>IF(AND($L842="",$M842="",$N842=""),"",IF($L842&lt;&gt;"",IF(INDEX(LdANote,$L842)="","—",INDEX(LdANote,$L842)),IF($M842&lt;&gt;"",IF(INDEX(LdBNote,$M842)="","—",INDEX(LdBNote,$M842)),IF($N842&lt;&gt;"",IF(INDEX(LdCNote,$N842)="","—",INDEX(LdCNote,$N842)),""))))</f>
        <v/>
      </c>
      <c r="L842">
        <f>IFERROR(MATCH($C$5&amp;"|"&amp;RIGHT("000000"&amp;826,6),LdAKeyM,0),"")</f>
        <v/>
      </c>
      <c r="M842">
        <f>IFERROR(MATCH($C$5&amp;"|"&amp;RIGHT("000000"&amp;826,6),LdBKeyM,0),"")</f>
        <v/>
      </c>
      <c r="N842">
        <f>IFERROR(MATCH($C$5&amp;"|"&amp;RIGHT("000000"&amp;826,6),LdCKeyM,0),"")</f>
        <v/>
      </c>
    </row>
    <row r="843">
      <c r="A843" s="10" t="n">
        <v>827</v>
      </c>
      <c r="B843" s="14">
        <f>IF(AND($L843="",$M843="",$N843=""),"",IF($L843&lt;&gt;"",INDEX(LdADate,$L843),IF($M843&lt;&gt;"",INDEX(LdBDate,$M843),INDEX(LdCDate,$N843))))</f>
        <v/>
      </c>
      <c r="C843" s="14">
        <f>IF($L843&lt;&gt;"","دستمزد (فردی)",IF($M843&lt;&gt;"","سهم از گروه "&amp;IFERROR(VLOOKUP(INDEX(LdBGroup,$M843),WGTbl,2,0),INDEX(LdBGroup,$M843)),IF($N843&lt;&gt;"",IF(N(INDEX(LdCDep,$N843))&gt;0,"بازگشت بانکی","پرداخت بانکی"),"")))</f>
        <v/>
      </c>
      <c r="D843" s="14">
        <f>IF($L843&lt;&gt;"",IF(INDEX(LdAId,$L843)="","—",INDEX(LdAId,$L843)),IF($M843&lt;&gt;"",IF(INDEX(LdBId,$M843)="","—",INDEX(LdBId,$M843)),IF($N843&lt;&gt;"",IF(INDEX(LdCBank,$N843)="","—",INDEX(LdCBank,$N843)),"")))</f>
        <v/>
      </c>
      <c r="E843" s="16">
        <f>IF($L843&lt;&gt;"",IF(INDEX(LdAAmt,$L843)=0,"",INDEX(LdAAmt,$L843)),IF($M843&lt;&gt;"",IF(INDEX(LdBAmt,$M843)=0,"",INDEX(LdBAmt,$M843)),IF($N843&lt;&gt;"",IF(INDEX(LdCDep,$N843)=0,"",INDEX(LdCDep,$N843)),"")))</f>
        <v/>
      </c>
      <c r="F843" s="16">
        <f>IF(AND($L843="",$M843="",$N843=""),"",IF($N843="","",IF(INDEX(LdCWit,$N843)=0,"",INDEX(LdCWit,$N843))))</f>
        <v/>
      </c>
      <c r="G843" s="29">
        <f>IF($B843="","",IF($G842="",0,$G842)+IF($E843="",0,$E843)-IF($F843="",0,$F843))</f>
        <v/>
      </c>
      <c r="H843" s="30">
        <f>IF(AND($L843="",$M843="",$N843=""),"",IF($L843&lt;&gt;"",IF(INDEX(LdANote,$L843)="","—",INDEX(LdANote,$L843)),IF($M843&lt;&gt;"",IF(INDEX(LdBNote,$M843)="","—",INDEX(LdBNote,$M843)),IF($N843&lt;&gt;"",IF(INDEX(LdCNote,$N843)="","—",INDEX(LdCNote,$N843)),""))))</f>
        <v/>
      </c>
      <c r="L843">
        <f>IFERROR(MATCH($C$5&amp;"|"&amp;RIGHT("000000"&amp;827,6),LdAKeyM,0),"")</f>
        <v/>
      </c>
      <c r="M843">
        <f>IFERROR(MATCH($C$5&amp;"|"&amp;RIGHT("000000"&amp;827,6),LdBKeyM,0),"")</f>
        <v/>
      </c>
      <c r="N843">
        <f>IFERROR(MATCH($C$5&amp;"|"&amp;RIGHT("000000"&amp;827,6),LdCKeyM,0),"")</f>
        <v/>
      </c>
    </row>
    <row r="844">
      <c r="A844" s="19" t="n">
        <v>828</v>
      </c>
      <c r="B844" s="20">
        <f>IF(AND($L844="",$M844="",$N844=""),"",IF($L844&lt;&gt;"",INDEX(LdADate,$L844),IF($M844&lt;&gt;"",INDEX(LdBDate,$M844),INDEX(LdCDate,$N844))))</f>
        <v/>
      </c>
      <c r="C844" s="20">
        <f>IF($L844&lt;&gt;"","دستمزد (فردی)",IF($M844&lt;&gt;"","سهم از گروه "&amp;IFERROR(VLOOKUP(INDEX(LdBGroup,$M844),WGTbl,2,0),INDEX(LdBGroup,$M844)),IF($N844&lt;&gt;"",IF(N(INDEX(LdCDep,$N844))&gt;0,"بازگشت بانکی","پرداخت بانکی"),"")))</f>
        <v/>
      </c>
      <c r="D844" s="20">
        <f>IF($L844&lt;&gt;"",IF(INDEX(LdAId,$L844)="","—",INDEX(LdAId,$L844)),IF($M844&lt;&gt;"",IF(INDEX(LdBId,$M844)="","—",INDEX(LdBId,$M844)),IF($N844&lt;&gt;"",IF(INDEX(LdCBank,$N844)="","—",INDEX(LdCBank,$N844)),"")))</f>
        <v/>
      </c>
      <c r="E844" s="21">
        <f>IF($L844&lt;&gt;"",IF(INDEX(LdAAmt,$L844)=0,"",INDEX(LdAAmt,$L844)),IF($M844&lt;&gt;"",IF(INDEX(LdBAmt,$M844)=0,"",INDEX(LdBAmt,$M844)),IF($N844&lt;&gt;"",IF(INDEX(LdCDep,$N844)=0,"",INDEX(LdCDep,$N844)),"")))</f>
        <v/>
      </c>
      <c r="F844" s="21">
        <f>IF(AND($L844="",$M844="",$N844=""),"",IF($N844="","",IF(INDEX(LdCWit,$N844)=0,"",INDEX(LdCWit,$N844))))</f>
        <v/>
      </c>
      <c r="G844" s="31">
        <f>IF($B844="","",IF($G843="",0,$G843)+IF($E844="",0,$E844)-IF($F844="",0,$F844))</f>
        <v/>
      </c>
      <c r="H844" s="32">
        <f>IF(AND($L844="",$M844="",$N844=""),"",IF($L844&lt;&gt;"",IF(INDEX(LdANote,$L844)="","—",INDEX(LdANote,$L844)),IF($M844&lt;&gt;"",IF(INDEX(LdBNote,$M844)="","—",INDEX(LdBNote,$M844)),IF($N844&lt;&gt;"",IF(INDEX(LdCNote,$N844)="","—",INDEX(LdCNote,$N844)),""))))</f>
        <v/>
      </c>
      <c r="L844">
        <f>IFERROR(MATCH($C$5&amp;"|"&amp;RIGHT("000000"&amp;828,6),LdAKeyM,0),"")</f>
        <v/>
      </c>
      <c r="M844">
        <f>IFERROR(MATCH($C$5&amp;"|"&amp;RIGHT("000000"&amp;828,6),LdBKeyM,0),"")</f>
        <v/>
      </c>
      <c r="N844">
        <f>IFERROR(MATCH($C$5&amp;"|"&amp;RIGHT("000000"&amp;828,6),LdCKeyM,0),"")</f>
        <v/>
      </c>
    </row>
    <row r="845">
      <c r="A845" s="10" t="n">
        <v>829</v>
      </c>
      <c r="B845" s="14">
        <f>IF(AND($L845="",$M845="",$N845=""),"",IF($L845&lt;&gt;"",INDEX(LdADate,$L845),IF($M845&lt;&gt;"",INDEX(LdBDate,$M845),INDEX(LdCDate,$N845))))</f>
        <v/>
      </c>
      <c r="C845" s="14">
        <f>IF($L845&lt;&gt;"","دستمزد (فردی)",IF($M845&lt;&gt;"","سهم از گروه "&amp;IFERROR(VLOOKUP(INDEX(LdBGroup,$M845),WGTbl,2,0),INDEX(LdBGroup,$M845)),IF($N845&lt;&gt;"",IF(N(INDEX(LdCDep,$N845))&gt;0,"بازگشت بانکی","پرداخت بانکی"),"")))</f>
        <v/>
      </c>
      <c r="D845" s="14">
        <f>IF($L845&lt;&gt;"",IF(INDEX(LdAId,$L845)="","—",INDEX(LdAId,$L845)),IF($M845&lt;&gt;"",IF(INDEX(LdBId,$M845)="","—",INDEX(LdBId,$M845)),IF($N845&lt;&gt;"",IF(INDEX(LdCBank,$N845)="","—",INDEX(LdCBank,$N845)),"")))</f>
        <v/>
      </c>
      <c r="E845" s="16">
        <f>IF($L845&lt;&gt;"",IF(INDEX(LdAAmt,$L845)=0,"",INDEX(LdAAmt,$L845)),IF($M845&lt;&gt;"",IF(INDEX(LdBAmt,$M845)=0,"",INDEX(LdBAmt,$M845)),IF($N845&lt;&gt;"",IF(INDEX(LdCDep,$N845)=0,"",INDEX(LdCDep,$N845)),"")))</f>
        <v/>
      </c>
      <c r="F845" s="16">
        <f>IF(AND($L845="",$M845="",$N845=""),"",IF($N845="","",IF(INDEX(LdCWit,$N845)=0,"",INDEX(LdCWit,$N845))))</f>
        <v/>
      </c>
      <c r="G845" s="29">
        <f>IF($B845="","",IF($G844="",0,$G844)+IF($E845="",0,$E845)-IF($F845="",0,$F845))</f>
        <v/>
      </c>
      <c r="H845" s="30">
        <f>IF(AND($L845="",$M845="",$N845=""),"",IF($L845&lt;&gt;"",IF(INDEX(LdANote,$L845)="","—",INDEX(LdANote,$L845)),IF($M845&lt;&gt;"",IF(INDEX(LdBNote,$M845)="","—",INDEX(LdBNote,$M845)),IF($N845&lt;&gt;"",IF(INDEX(LdCNote,$N845)="","—",INDEX(LdCNote,$N845)),""))))</f>
        <v/>
      </c>
      <c r="L845">
        <f>IFERROR(MATCH($C$5&amp;"|"&amp;RIGHT("000000"&amp;829,6),LdAKeyM,0),"")</f>
        <v/>
      </c>
      <c r="M845">
        <f>IFERROR(MATCH($C$5&amp;"|"&amp;RIGHT("000000"&amp;829,6),LdBKeyM,0),"")</f>
        <v/>
      </c>
      <c r="N845">
        <f>IFERROR(MATCH($C$5&amp;"|"&amp;RIGHT("000000"&amp;829,6),LdCKeyM,0),"")</f>
        <v/>
      </c>
    </row>
    <row r="846">
      <c r="A846" s="19" t="n">
        <v>830</v>
      </c>
      <c r="B846" s="20">
        <f>IF(AND($L846="",$M846="",$N846=""),"",IF($L846&lt;&gt;"",INDEX(LdADate,$L846),IF($M846&lt;&gt;"",INDEX(LdBDate,$M846),INDEX(LdCDate,$N846))))</f>
        <v/>
      </c>
      <c r="C846" s="20">
        <f>IF($L846&lt;&gt;"","دستمزد (فردی)",IF($M846&lt;&gt;"","سهم از گروه "&amp;IFERROR(VLOOKUP(INDEX(LdBGroup,$M846),WGTbl,2,0),INDEX(LdBGroup,$M846)),IF($N846&lt;&gt;"",IF(N(INDEX(LdCDep,$N846))&gt;0,"بازگشت بانکی","پرداخت بانکی"),"")))</f>
        <v/>
      </c>
      <c r="D846" s="20">
        <f>IF($L846&lt;&gt;"",IF(INDEX(LdAId,$L846)="","—",INDEX(LdAId,$L846)),IF($M846&lt;&gt;"",IF(INDEX(LdBId,$M846)="","—",INDEX(LdBId,$M846)),IF($N846&lt;&gt;"",IF(INDEX(LdCBank,$N846)="","—",INDEX(LdCBank,$N846)),"")))</f>
        <v/>
      </c>
      <c r="E846" s="21">
        <f>IF($L846&lt;&gt;"",IF(INDEX(LdAAmt,$L846)=0,"",INDEX(LdAAmt,$L846)),IF($M846&lt;&gt;"",IF(INDEX(LdBAmt,$M846)=0,"",INDEX(LdBAmt,$M846)),IF($N846&lt;&gt;"",IF(INDEX(LdCDep,$N846)=0,"",INDEX(LdCDep,$N846)),"")))</f>
        <v/>
      </c>
      <c r="F846" s="21">
        <f>IF(AND($L846="",$M846="",$N846=""),"",IF($N846="","",IF(INDEX(LdCWit,$N846)=0,"",INDEX(LdCWit,$N846))))</f>
        <v/>
      </c>
      <c r="G846" s="31">
        <f>IF($B846="","",IF($G845="",0,$G845)+IF($E846="",0,$E846)-IF($F846="",0,$F846))</f>
        <v/>
      </c>
      <c r="H846" s="32">
        <f>IF(AND($L846="",$M846="",$N846=""),"",IF($L846&lt;&gt;"",IF(INDEX(LdANote,$L846)="","—",INDEX(LdANote,$L846)),IF($M846&lt;&gt;"",IF(INDEX(LdBNote,$M846)="","—",INDEX(LdBNote,$M846)),IF($N846&lt;&gt;"",IF(INDEX(LdCNote,$N846)="","—",INDEX(LdCNote,$N846)),""))))</f>
        <v/>
      </c>
      <c r="L846">
        <f>IFERROR(MATCH($C$5&amp;"|"&amp;RIGHT("000000"&amp;830,6),LdAKeyM,0),"")</f>
        <v/>
      </c>
      <c r="M846">
        <f>IFERROR(MATCH($C$5&amp;"|"&amp;RIGHT("000000"&amp;830,6),LdBKeyM,0),"")</f>
        <v/>
      </c>
      <c r="N846">
        <f>IFERROR(MATCH($C$5&amp;"|"&amp;RIGHT("000000"&amp;830,6),LdCKeyM,0),"")</f>
        <v/>
      </c>
    </row>
    <row r="847">
      <c r="A847" s="10" t="n">
        <v>831</v>
      </c>
      <c r="B847" s="14">
        <f>IF(AND($L847="",$M847="",$N847=""),"",IF($L847&lt;&gt;"",INDEX(LdADate,$L847),IF($M847&lt;&gt;"",INDEX(LdBDate,$M847),INDEX(LdCDate,$N847))))</f>
        <v/>
      </c>
      <c r="C847" s="14">
        <f>IF($L847&lt;&gt;"","دستمزد (فردی)",IF($M847&lt;&gt;"","سهم از گروه "&amp;IFERROR(VLOOKUP(INDEX(LdBGroup,$M847),WGTbl,2,0),INDEX(LdBGroup,$M847)),IF($N847&lt;&gt;"",IF(N(INDEX(LdCDep,$N847))&gt;0,"بازگشت بانکی","پرداخت بانکی"),"")))</f>
        <v/>
      </c>
      <c r="D847" s="14">
        <f>IF($L847&lt;&gt;"",IF(INDEX(LdAId,$L847)="","—",INDEX(LdAId,$L847)),IF($M847&lt;&gt;"",IF(INDEX(LdBId,$M847)="","—",INDEX(LdBId,$M847)),IF($N847&lt;&gt;"",IF(INDEX(LdCBank,$N847)="","—",INDEX(LdCBank,$N847)),"")))</f>
        <v/>
      </c>
      <c r="E847" s="16">
        <f>IF($L847&lt;&gt;"",IF(INDEX(LdAAmt,$L847)=0,"",INDEX(LdAAmt,$L847)),IF($M847&lt;&gt;"",IF(INDEX(LdBAmt,$M847)=0,"",INDEX(LdBAmt,$M847)),IF($N847&lt;&gt;"",IF(INDEX(LdCDep,$N847)=0,"",INDEX(LdCDep,$N847)),"")))</f>
        <v/>
      </c>
      <c r="F847" s="16">
        <f>IF(AND($L847="",$M847="",$N847=""),"",IF($N847="","",IF(INDEX(LdCWit,$N847)=0,"",INDEX(LdCWit,$N847))))</f>
        <v/>
      </c>
      <c r="G847" s="29">
        <f>IF($B847="","",IF($G846="",0,$G846)+IF($E847="",0,$E847)-IF($F847="",0,$F847))</f>
        <v/>
      </c>
      <c r="H847" s="30">
        <f>IF(AND($L847="",$M847="",$N847=""),"",IF($L847&lt;&gt;"",IF(INDEX(LdANote,$L847)="","—",INDEX(LdANote,$L847)),IF($M847&lt;&gt;"",IF(INDEX(LdBNote,$M847)="","—",INDEX(LdBNote,$M847)),IF($N847&lt;&gt;"",IF(INDEX(LdCNote,$N847)="","—",INDEX(LdCNote,$N847)),""))))</f>
        <v/>
      </c>
      <c r="L847">
        <f>IFERROR(MATCH($C$5&amp;"|"&amp;RIGHT("000000"&amp;831,6),LdAKeyM,0),"")</f>
        <v/>
      </c>
      <c r="M847">
        <f>IFERROR(MATCH($C$5&amp;"|"&amp;RIGHT("000000"&amp;831,6),LdBKeyM,0),"")</f>
        <v/>
      </c>
      <c r="N847">
        <f>IFERROR(MATCH($C$5&amp;"|"&amp;RIGHT("000000"&amp;831,6),LdCKeyM,0),"")</f>
        <v/>
      </c>
    </row>
    <row r="848">
      <c r="A848" s="19" t="n">
        <v>832</v>
      </c>
      <c r="B848" s="20">
        <f>IF(AND($L848="",$M848="",$N848=""),"",IF($L848&lt;&gt;"",INDEX(LdADate,$L848),IF($M848&lt;&gt;"",INDEX(LdBDate,$M848),INDEX(LdCDate,$N848))))</f>
        <v/>
      </c>
      <c r="C848" s="20">
        <f>IF($L848&lt;&gt;"","دستمزد (فردی)",IF($M848&lt;&gt;"","سهم از گروه "&amp;IFERROR(VLOOKUP(INDEX(LdBGroup,$M848),WGTbl,2,0),INDEX(LdBGroup,$M848)),IF($N848&lt;&gt;"",IF(N(INDEX(LdCDep,$N848))&gt;0,"بازگشت بانکی","پرداخت بانکی"),"")))</f>
        <v/>
      </c>
      <c r="D848" s="20">
        <f>IF($L848&lt;&gt;"",IF(INDEX(LdAId,$L848)="","—",INDEX(LdAId,$L848)),IF($M848&lt;&gt;"",IF(INDEX(LdBId,$M848)="","—",INDEX(LdBId,$M848)),IF($N848&lt;&gt;"",IF(INDEX(LdCBank,$N848)="","—",INDEX(LdCBank,$N848)),"")))</f>
        <v/>
      </c>
      <c r="E848" s="21">
        <f>IF($L848&lt;&gt;"",IF(INDEX(LdAAmt,$L848)=0,"",INDEX(LdAAmt,$L848)),IF($M848&lt;&gt;"",IF(INDEX(LdBAmt,$M848)=0,"",INDEX(LdBAmt,$M848)),IF($N848&lt;&gt;"",IF(INDEX(LdCDep,$N848)=0,"",INDEX(LdCDep,$N848)),"")))</f>
        <v/>
      </c>
      <c r="F848" s="21">
        <f>IF(AND($L848="",$M848="",$N848=""),"",IF($N848="","",IF(INDEX(LdCWit,$N848)=0,"",INDEX(LdCWit,$N848))))</f>
        <v/>
      </c>
      <c r="G848" s="31">
        <f>IF($B848="","",IF($G847="",0,$G847)+IF($E848="",0,$E848)-IF($F848="",0,$F848))</f>
        <v/>
      </c>
      <c r="H848" s="32">
        <f>IF(AND($L848="",$M848="",$N848=""),"",IF($L848&lt;&gt;"",IF(INDEX(LdANote,$L848)="","—",INDEX(LdANote,$L848)),IF($M848&lt;&gt;"",IF(INDEX(LdBNote,$M848)="","—",INDEX(LdBNote,$M848)),IF($N848&lt;&gt;"",IF(INDEX(LdCNote,$N848)="","—",INDEX(LdCNote,$N848)),""))))</f>
        <v/>
      </c>
      <c r="L848">
        <f>IFERROR(MATCH($C$5&amp;"|"&amp;RIGHT("000000"&amp;832,6),LdAKeyM,0),"")</f>
        <v/>
      </c>
      <c r="M848">
        <f>IFERROR(MATCH($C$5&amp;"|"&amp;RIGHT("000000"&amp;832,6),LdBKeyM,0),"")</f>
        <v/>
      </c>
      <c r="N848">
        <f>IFERROR(MATCH($C$5&amp;"|"&amp;RIGHT("000000"&amp;832,6),LdCKeyM,0),"")</f>
        <v/>
      </c>
    </row>
    <row r="849">
      <c r="A849" s="10" t="n">
        <v>833</v>
      </c>
      <c r="B849" s="14">
        <f>IF(AND($L849="",$M849="",$N849=""),"",IF($L849&lt;&gt;"",INDEX(LdADate,$L849),IF($M849&lt;&gt;"",INDEX(LdBDate,$M849),INDEX(LdCDate,$N849))))</f>
        <v/>
      </c>
      <c r="C849" s="14">
        <f>IF($L849&lt;&gt;"","دستمزد (فردی)",IF($M849&lt;&gt;"","سهم از گروه "&amp;IFERROR(VLOOKUP(INDEX(LdBGroup,$M849),WGTbl,2,0),INDEX(LdBGroup,$M849)),IF($N849&lt;&gt;"",IF(N(INDEX(LdCDep,$N849))&gt;0,"بازگشت بانکی","پرداخت بانکی"),"")))</f>
        <v/>
      </c>
      <c r="D849" s="14">
        <f>IF($L849&lt;&gt;"",IF(INDEX(LdAId,$L849)="","—",INDEX(LdAId,$L849)),IF($M849&lt;&gt;"",IF(INDEX(LdBId,$M849)="","—",INDEX(LdBId,$M849)),IF($N849&lt;&gt;"",IF(INDEX(LdCBank,$N849)="","—",INDEX(LdCBank,$N849)),"")))</f>
        <v/>
      </c>
      <c r="E849" s="16">
        <f>IF($L849&lt;&gt;"",IF(INDEX(LdAAmt,$L849)=0,"",INDEX(LdAAmt,$L849)),IF($M849&lt;&gt;"",IF(INDEX(LdBAmt,$M849)=0,"",INDEX(LdBAmt,$M849)),IF($N849&lt;&gt;"",IF(INDEX(LdCDep,$N849)=0,"",INDEX(LdCDep,$N849)),"")))</f>
        <v/>
      </c>
      <c r="F849" s="16">
        <f>IF(AND($L849="",$M849="",$N849=""),"",IF($N849="","",IF(INDEX(LdCWit,$N849)=0,"",INDEX(LdCWit,$N849))))</f>
        <v/>
      </c>
      <c r="G849" s="29">
        <f>IF($B849="","",IF($G848="",0,$G848)+IF($E849="",0,$E849)-IF($F849="",0,$F849))</f>
        <v/>
      </c>
      <c r="H849" s="30">
        <f>IF(AND($L849="",$M849="",$N849=""),"",IF($L849&lt;&gt;"",IF(INDEX(LdANote,$L849)="","—",INDEX(LdANote,$L849)),IF($M849&lt;&gt;"",IF(INDEX(LdBNote,$M849)="","—",INDEX(LdBNote,$M849)),IF($N849&lt;&gt;"",IF(INDEX(LdCNote,$N849)="","—",INDEX(LdCNote,$N849)),""))))</f>
        <v/>
      </c>
      <c r="L849">
        <f>IFERROR(MATCH($C$5&amp;"|"&amp;RIGHT("000000"&amp;833,6),LdAKeyM,0),"")</f>
        <v/>
      </c>
      <c r="M849">
        <f>IFERROR(MATCH($C$5&amp;"|"&amp;RIGHT("000000"&amp;833,6),LdBKeyM,0),"")</f>
        <v/>
      </c>
      <c r="N849">
        <f>IFERROR(MATCH($C$5&amp;"|"&amp;RIGHT("000000"&amp;833,6),LdCKeyM,0),"")</f>
        <v/>
      </c>
    </row>
    <row r="850">
      <c r="A850" s="19" t="n">
        <v>834</v>
      </c>
      <c r="B850" s="20">
        <f>IF(AND($L850="",$M850="",$N850=""),"",IF($L850&lt;&gt;"",INDEX(LdADate,$L850),IF($M850&lt;&gt;"",INDEX(LdBDate,$M850),INDEX(LdCDate,$N850))))</f>
        <v/>
      </c>
      <c r="C850" s="20">
        <f>IF($L850&lt;&gt;"","دستمزد (فردی)",IF($M850&lt;&gt;"","سهم از گروه "&amp;IFERROR(VLOOKUP(INDEX(LdBGroup,$M850),WGTbl,2,0),INDEX(LdBGroup,$M850)),IF($N850&lt;&gt;"",IF(N(INDEX(LdCDep,$N850))&gt;0,"بازگشت بانکی","پرداخت بانکی"),"")))</f>
        <v/>
      </c>
      <c r="D850" s="20">
        <f>IF($L850&lt;&gt;"",IF(INDEX(LdAId,$L850)="","—",INDEX(LdAId,$L850)),IF($M850&lt;&gt;"",IF(INDEX(LdBId,$M850)="","—",INDEX(LdBId,$M850)),IF($N850&lt;&gt;"",IF(INDEX(LdCBank,$N850)="","—",INDEX(LdCBank,$N850)),"")))</f>
        <v/>
      </c>
      <c r="E850" s="21">
        <f>IF($L850&lt;&gt;"",IF(INDEX(LdAAmt,$L850)=0,"",INDEX(LdAAmt,$L850)),IF($M850&lt;&gt;"",IF(INDEX(LdBAmt,$M850)=0,"",INDEX(LdBAmt,$M850)),IF($N850&lt;&gt;"",IF(INDEX(LdCDep,$N850)=0,"",INDEX(LdCDep,$N850)),"")))</f>
        <v/>
      </c>
      <c r="F850" s="21">
        <f>IF(AND($L850="",$M850="",$N850=""),"",IF($N850="","",IF(INDEX(LdCWit,$N850)=0,"",INDEX(LdCWit,$N850))))</f>
        <v/>
      </c>
      <c r="G850" s="31">
        <f>IF($B850="","",IF($G849="",0,$G849)+IF($E850="",0,$E850)-IF($F850="",0,$F850))</f>
        <v/>
      </c>
      <c r="H850" s="32">
        <f>IF(AND($L850="",$M850="",$N850=""),"",IF($L850&lt;&gt;"",IF(INDEX(LdANote,$L850)="","—",INDEX(LdANote,$L850)),IF($M850&lt;&gt;"",IF(INDEX(LdBNote,$M850)="","—",INDEX(LdBNote,$M850)),IF($N850&lt;&gt;"",IF(INDEX(LdCNote,$N850)="","—",INDEX(LdCNote,$N850)),""))))</f>
        <v/>
      </c>
      <c r="L850">
        <f>IFERROR(MATCH($C$5&amp;"|"&amp;RIGHT("000000"&amp;834,6),LdAKeyM,0),"")</f>
        <v/>
      </c>
      <c r="M850">
        <f>IFERROR(MATCH($C$5&amp;"|"&amp;RIGHT("000000"&amp;834,6),LdBKeyM,0),"")</f>
        <v/>
      </c>
      <c r="N850">
        <f>IFERROR(MATCH($C$5&amp;"|"&amp;RIGHT("000000"&amp;834,6),LdCKeyM,0),"")</f>
        <v/>
      </c>
    </row>
    <row r="851">
      <c r="A851" s="10" t="n">
        <v>835</v>
      </c>
      <c r="B851" s="14">
        <f>IF(AND($L851="",$M851="",$N851=""),"",IF($L851&lt;&gt;"",INDEX(LdADate,$L851),IF($M851&lt;&gt;"",INDEX(LdBDate,$M851),INDEX(LdCDate,$N851))))</f>
        <v/>
      </c>
      <c r="C851" s="14">
        <f>IF($L851&lt;&gt;"","دستمزد (فردی)",IF($M851&lt;&gt;"","سهم از گروه "&amp;IFERROR(VLOOKUP(INDEX(LdBGroup,$M851),WGTbl,2,0),INDEX(LdBGroup,$M851)),IF($N851&lt;&gt;"",IF(N(INDEX(LdCDep,$N851))&gt;0,"بازگشت بانکی","پرداخت بانکی"),"")))</f>
        <v/>
      </c>
      <c r="D851" s="14">
        <f>IF($L851&lt;&gt;"",IF(INDEX(LdAId,$L851)="","—",INDEX(LdAId,$L851)),IF($M851&lt;&gt;"",IF(INDEX(LdBId,$M851)="","—",INDEX(LdBId,$M851)),IF($N851&lt;&gt;"",IF(INDEX(LdCBank,$N851)="","—",INDEX(LdCBank,$N851)),"")))</f>
        <v/>
      </c>
      <c r="E851" s="16">
        <f>IF($L851&lt;&gt;"",IF(INDEX(LdAAmt,$L851)=0,"",INDEX(LdAAmt,$L851)),IF($M851&lt;&gt;"",IF(INDEX(LdBAmt,$M851)=0,"",INDEX(LdBAmt,$M851)),IF($N851&lt;&gt;"",IF(INDEX(LdCDep,$N851)=0,"",INDEX(LdCDep,$N851)),"")))</f>
        <v/>
      </c>
      <c r="F851" s="16">
        <f>IF(AND($L851="",$M851="",$N851=""),"",IF($N851="","",IF(INDEX(LdCWit,$N851)=0,"",INDEX(LdCWit,$N851))))</f>
        <v/>
      </c>
      <c r="G851" s="29">
        <f>IF($B851="","",IF($G850="",0,$G850)+IF($E851="",0,$E851)-IF($F851="",0,$F851))</f>
        <v/>
      </c>
      <c r="H851" s="30">
        <f>IF(AND($L851="",$M851="",$N851=""),"",IF($L851&lt;&gt;"",IF(INDEX(LdANote,$L851)="","—",INDEX(LdANote,$L851)),IF($M851&lt;&gt;"",IF(INDEX(LdBNote,$M851)="","—",INDEX(LdBNote,$M851)),IF($N851&lt;&gt;"",IF(INDEX(LdCNote,$N851)="","—",INDEX(LdCNote,$N851)),""))))</f>
        <v/>
      </c>
      <c r="L851">
        <f>IFERROR(MATCH($C$5&amp;"|"&amp;RIGHT("000000"&amp;835,6),LdAKeyM,0),"")</f>
        <v/>
      </c>
      <c r="M851">
        <f>IFERROR(MATCH($C$5&amp;"|"&amp;RIGHT("000000"&amp;835,6),LdBKeyM,0),"")</f>
        <v/>
      </c>
      <c r="N851">
        <f>IFERROR(MATCH($C$5&amp;"|"&amp;RIGHT("000000"&amp;835,6),LdCKeyM,0),"")</f>
        <v/>
      </c>
    </row>
    <row r="852">
      <c r="A852" s="19" t="n">
        <v>836</v>
      </c>
      <c r="B852" s="20">
        <f>IF(AND($L852="",$M852="",$N852=""),"",IF($L852&lt;&gt;"",INDEX(LdADate,$L852),IF($M852&lt;&gt;"",INDEX(LdBDate,$M852),INDEX(LdCDate,$N852))))</f>
        <v/>
      </c>
      <c r="C852" s="20">
        <f>IF($L852&lt;&gt;"","دستمزد (فردی)",IF($M852&lt;&gt;"","سهم از گروه "&amp;IFERROR(VLOOKUP(INDEX(LdBGroup,$M852),WGTbl,2,0),INDEX(LdBGroup,$M852)),IF($N852&lt;&gt;"",IF(N(INDEX(LdCDep,$N852))&gt;0,"بازگشت بانکی","پرداخت بانکی"),"")))</f>
        <v/>
      </c>
      <c r="D852" s="20">
        <f>IF($L852&lt;&gt;"",IF(INDEX(LdAId,$L852)="","—",INDEX(LdAId,$L852)),IF($M852&lt;&gt;"",IF(INDEX(LdBId,$M852)="","—",INDEX(LdBId,$M852)),IF($N852&lt;&gt;"",IF(INDEX(LdCBank,$N852)="","—",INDEX(LdCBank,$N852)),"")))</f>
        <v/>
      </c>
      <c r="E852" s="21">
        <f>IF($L852&lt;&gt;"",IF(INDEX(LdAAmt,$L852)=0,"",INDEX(LdAAmt,$L852)),IF($M852&lt;&gt;"",IF(INDEX(LdBAmt,$M852)=0,"",INDEX(LdBAmt,$M852)),IF($N852&lt;&gt;"",IF(INDEX(LdCDep,$N852)=0,"",INDEX(LdCDep,$N852)),"")))</f>
        <v/>
      </c>
      <c r="F852" s="21">
        <f>IF(AND($L852="",$M852="",$N852=""),"",IF($N852="","",IF(INDEX(LdCWit,$N852)=0,"",INDEX(LdCWit,$N852))))</f>
        <v/>
      </c>
      <c r="G852" s="31">
        <f>IF($B852="","",IF($G851="",0,$G851)+IF($E852="",0,$E852)-IF($F852="",0,$F852))</f>
        <v/>
      </c>
      <c r="H852" s="32">
        <f>IF(AND($L852="",$M852="",$N852=""),"",IF($L852&lt;&gt;"",IF(INDEX(LdANote,$L852)="","—",INDEX(LdANote,$L852)),IF($M852&lt;&gt;"",IF(INDEX(LdBNote,$M852)="","—",INDEX(LdBNote,$M852)),IF($N852&lt;&gt;"",IF(INDEX(LdCNote,$N852)="","—",INDEX(LdCNote,$N852)),""))))</f>
        <v/>
      </c>
      <c r="L852">
        <f>IFERROR(MATCH($C$5&amp;"|"&amp;RIGHT("000000"&amp;836,6),LdAKeyM,0),"")</f>
        <v/>
      </c>
      <c r="M852">
        <f>IFERROR(MATCH($C$5&amp;"|"&amp;RIGHT("000000"&amp;836,6),LdBKeyM,0),"")</f>
        <v/>
      </c>
      <c r="N852">
        <f>IFERROR(MATCH($C$5&amp;"|"&amp;RIGHT("000000"&amp;836,6),LdCKeyM,0),"")</f>
        <v/>
      </c>
    </row>
    <row r="853">
      <c r="A853" s="10" t="n">
        <v>837</v>
      </c>
      <c r="B853" s="14">
        <f>IF(AND($L853="",$M853="",$N853=""),"",IF($L853&lt;&gt;"",INDEX(LdADate,$L853),IF($M853&lt;&gt;"",INDEX(LdBDate,$M853),INDEX(LdCDate,$N853))))</f>
        <v/>
      </c>
      <c r="C853" s="14">
        <f>IF($L853&lt;&gt;"","دستمزد (فردی)",IF($M853&lt;&gt;"","سهم از گروه "&amp;IFERROR(VLOOKUP(INDEX(LdBGroup,$M853),WGTbl,2,0),INDEX(LdBGroup,$M853)),IF($N853&lt;&gt;"",IF(N(INDEX(LdCDep,$N853))&gt;0,"بازگشت بانکی","پرداخت بانکی"),"")))</f>
        <v/>
      </c>
      <c r="D853" s="14">
        <f>IF($L853&lt;&gt;"",IF(INDEX(LdAId,$L853)="","—",INDEX(LdAId,$L853)),IF($M853&lt;&gt;"",IF(INDEX(LdBId,$M853)="","—",INDEX(LdBId,$M853)),IF($N853&lt;&gt;"",IF(INDEX(LdCBank,$N853)="","—",INDEX(LdCBank,$N853)),"")))</f>
        <v/>
      </c>
      <c r="E853" s="16">
        <f>IF($L853&lt;&gt;"",IF(INDEX(LdAAmt,$L853)=0,"",INDEX(LdAAmt,$L853)),IF($M853&lt;&gt;"",IF(INDEX(LdBAmt,$M853)=0,"",INDEX(LdBAmt,$M853)),IF($N853&lt;&gt;"",IF(INDEX(LdCDep,$N853)=0,"",INDEX(LdCDep,$N853)),"")))</f>
        <v/>
      </c>
      <c r="F853" s="16">
        <f>IF(AND($L853="",$M853="",$N853=""),"",IF($N853="","",IF(INDEX(LdCWit,$N853)=0,"",INDEX(LdCWit,$N853))))</f>
        <v/>
      </c>
      <c r="G853" s="29">
        <f>IF($B853="","",IF($G852="",0,$G852)+IF($E853="",0,$E853)-IF($F853="",0,$F853))</f>
        <v/>
      </c>
      <c r="H853" s="30">
        <f>IF(AND($L853="",$M853="",$N853=""),"",IF($L853&lt;&gt;"",IF(INDEX(LdANote,$L853)="","—",INDEX(LdANote,$L853)),IF($M853&lt;&gt;"",IF(INDEX(LdBNote,$M853)="","—",INDEX(LdBNote,$M853)),IF($N853&lt;&gt;"",IF(INDEX(LdCNote,$N853)="","—",INDEX(LdCNote,$N853)),""))))</f>
        <v/>
      </c>
      <c r="L853">
        <f>IFERROR(MATCH($C$5&amp;"|"&amp;RIGHT("000000"&amp;837,6),LdAKeyM,0),"")</f>
        <v/>
      </c>
      <c r="M853">
        <f>IFERROR(MATCH($C$5&amp;"|"&amp;RIGHT("000000"&amp;837,6),LdBKeyM,0),"")</f>
        <v/>
      </c>
      <c r="N853">
        <f>IFERROR(MATCH($C$5&amp;"|"&amp;RIGHT("000000"&amp;837,6),LdCKeyM,0),"")</f>
        <v/>
      </c>
    </row>
    <row r="854">
      <c r="A854" s="19" t="n">
        <v>838</v>
      </c>
      <c r="B854" s="20">
        <f>IF(AND($L854="",$M854="",$N854=""),"",IF($L854&lt;&gt;"",INDEX(LdADate,$L854),IF($M854&lt;&gt;"",INDEX(LdBDate,$M854),INDEX(LdCDate,$N854))))</f>
        <v/>
      </c>
      <c r="C854" s="20">
        <f>IF($L854&lt;&gt;"","دستمزد (فردی)",IF($M854&lt;&gt;"","سهم از گروه "&amp;IFERROR(VLOOKUP(INDEX(LdBGroup,$M854),WGTbl,2,0),INDEX(LdBGroup,$M854)),IF($N854&lt;&gt;"",IF(N(INDEX(LdCDep,$N854))&gt;0,"بازگشت بانکی","پرداخت بانکی"),"")))</f>
        <v/>
      </c>
      <c r="D854" s="20">
        <f>IF($L854&lt;&gt;"",IF(INDEX(LdAId,$L854)="","—",INDEX(LdAId,$L854)),IF($M854&lt;&gt;"",IF(INDEX(LdBId,$M854)="","—",INDEX(LdBId,$M854)),IF($N854&lt;&gt;"",IF(INDEX(LdCBank,$N854)="","—",INDEX(LdCBank,$N854)),"")))</f>
        <v/>
      </c>
      <c r="E854" s="21">
        <f>IF($L854&lt;&gt;"",IF(INDEX(LdAAmt,$L854)=0,"",INDEX(LdAAmt,$L854)),IF($M854&lt;&gt;"",IF(INDEX(LdBAmt,$M854)=0,"",INDEX(LdBAmt,$M854)),IF($N854&lt;&gt;"",IF(INDEX(LdCDep,$N854)=0,"",INDEX(LdCDep,$N854)),"")))</f>
        <v/>
      </c>
      <c r="F854" s="21">
        <f>IF(AND($L854="",$M854="",$N854=""),"",IF($N854="","",IF(INDEX(LdCWit,$N854)=0,"",INDEX(LdCWit,$N854))))</f>
        <v/>
      </c>
      <c r="G854" s="31">
        <f>IF($B854="","",IF($G853="",0,$G853)+IF($E854="",0,$E854)-IF($F854="",0,$F854))</f>
        <v/>
      </c>
      <c r="H854" s="32">
        <f>IF(AND($L854="",$M854="",$N854=""),"",IF($L854&lt;&gt;"",IF(INDEX(LdANote,$L854)="","—",INDEX(LdANote,$L854)),IF($M854&lt;&gt;"",IF(INDEX(LdBNote,$M854)="","—",INDEX(LdBNote,$M854)),IF($N854&lt;&gt;"",IF(INDEX(LdCNote,$N854)="","—",INDEX(LdCNote,$N854)),""))))</f>
        <v/>
      </c>
      <c r="L854">
        <f>IFERROR(MATCH($C$5&amp;"|"&amp;RIGHT("000000"&amp;838,6),LdAKeyM,0),"")</f>
        <v/>
      </c>
      <c r="M854">
        <f>IFERROR(MATCH($C$5&amp;"|"&amp;RIGHT("000000"&amp;838,6),LdBKeyM,0),"")</f>
        <v/>
      </c>
      <c r="N854">
        <f>IFERROR(MATCH($C$5&amp;"|"&amp;RIGHT("000000"&amp;838,6),LdCKeyM,0),"")</f>
        <v/>
      </c>
    </row>
    <row r="855">
      <c r="A855" s="10" t="n">
        <v>839</v>
      </c>
      <c r="B855" s="14">
        <f>IF(AND($L855="",$M855="",$N855=""),"",IF($L855&lt;&gt;"",INDEX(LdADate,$L855),IF($M855&lt;&gt;"",INDEX(LdBDate,$M855),INDEX(LdCDate,$N855))))</f>
        <v/>
      </c>
      <c r="C855" s="14">
        <f>IF($L855&lt;&gt;"","دستمزد (فردی)",IF($M855&lt;&gt;"","سهم از گروه "&amp;IFERROR(VLOOKUP(INDEX(LdBGroup,$M855),WGTbl,2,0),INDEX(LdBGroup,$M855)),IF($N855&lt;&gt;"",IF(N(INDEX(LdCDep,$N855))&gt;0,"بازگشت بانکی","پرداخت بانکی"),"")))</f>
        <v/>
      </c>
      <c r="D855" s="14">
        <f>IF($L855&lt;&gt;"",IF(INDEX(LdAId,$L855)="","—",INDEX(LdAId,$L855)),IF($M855&lt;&gt;"",IF(INDEX(LdBId,$M855)="","—",INDEX(LdBId,$M855)),IF($N855&lt;&gt;"",IF(INDEX(LdCBank,$N855)="","—",INDEX(LdCBank,$N855)),"")))</f>
        <v/>
      </c>
      <c r="E855" s="16">
        <f>IF($L855&lt;&gt;"",IF(INDEX(LdAAmt,$L855)=0,"",INDEX(LdAAmt,$L855)),IF($M855&lt;&gt;"",IF(INDEX(LdBAmt,$M855)=0,"",INDEX(LdBAmt,$M855)),IF($N855&lt;&gt;"",IF(INDEX(LdCDep,$N855)=0,"",INDEX(LdCDep,$N855)),"")))</f>
        <v/>
      </c>
      <c r="F855" s="16">
        <f>IF(AND($L855="",$M855="",$N855=""),"",IF($N855="","",IF(INDEX(LdCWit,$N855)=0,"",INDEX(LdCWit,$N855))))</f>
        <v/>
      </c>
      <c r="G855" s="29">
        <f>IF($B855="","",IF($G854="",0,$G854)+IF($E855="",0,$E855)-IF($F855="",0,$F855))</f>
        <v/>
      </c>
      <c r="H855" s="30">
        <f>IF(AND($L855="",$M855="",$N855=""),"",IF($L855&lt;&gt;"",IF(INDEX(LdANote,$L855)="","—",INDEX(LdANote,$L855)),IF($M855&lt;&gt;"",IF(INDEX(LdBNote,$M855)="","—",INDEX(LdBNote,$M855)),IF($N855&lt;&gt;"",IF(INDEX(LdCNote,$N855)="","—",INDEX(LdCNote,$N855)),""))))</f>
        <v/>
      </c>
      <c r="L855">
        <f>IFERROR(MATCH($C$5&amp;"|"&amp;RIGHT("000000"&amp;839,6),LdAKeyM,0),"")</f>
        <v/>
      </c>
      <c r="M855">
        <f>IFERROR(MATCH($C$5&amp;"|"&amp;RIGHT("000000"&amp;839,6),LdBKeyM,0),"")</f>
        <v/>
      </c>
      <c r="N855">
        <f>IFERROR(MATCH($C$5&amp;"|"&amp;RIGHT("000000"&amp;839,6),LdCKeyM,0),"")</f>
        <v/>
      </c>
    </row>
    <row r="856">
      <c r="A856" s="19" t="n">
        <v>840</v>
      </c>
      <c r="B856" s="20">
        <f>IF(AND($L856="",$M856="",$N856=""),"",IF($L856&lt;&gt;"",INDEX(LdADate,$L856),IF($M856&lt;&gt;"",INDEX(LdBDate,$M856),INDEX(LdCDate,$N856))))</f>
        <v/>
      </c>
      <c r="C856" s="20">
        <f>IF($L856&lt;&gt;"","دستمزد (فردی)",IF($M856&lt;&gt;"","سهم از گروه "&amp;IFERROR(VLOOKUP(INDEX(LdBGroup,$M856),WGTbl,2,0),INDEX(LdBGroup,$M856)),IF($N856&lt;&gt;"",IF(N(INDEX(LdCDep,$N856))&gt;0,"بازگشت بانکی","پرداخت بانکی"),"")))</f>
        <v/>
      </c>
      <c r="D856" s="20">
        <f>IF($L856&lt;&gt;"",IF(INDEX(LdAId,$L856)="","—",INDEX(LdAId,$L856)),IF($M856&lt;&gt;"",IF(INDEX(LdBId,$M856)="","—",INDEX(LdBId,$M856)),IF($N856&lt;&gt;"",IF(INDEX(LdCBank,$N856)="","—",INDEX(LdCBank,$N856)),"")))</f>
        <v/>
      </c>
      <c r="E856" s="21">
        <f>IF($L856&lt;&gt;"",IF(INDEX(LdAAmt,$L856)=0,"",INDEX(LdAAmt,$L856)),IF($M856&lt;&gt;"",IF(INDEX(LdBAmt,$M856)=0,"",INDEX(LdBAmt,$M856)),IF($N856&lt;&gt;"",IF(INDEX(LdCDep,$N856)=0,"",INDEX(LdCDep,$N856)),"")))</f>
        <v/>
      </c>
      <c r="F856" s="21">
        <f>IF(AND($L856="",$M856="",$N856=""),"",IF($N856="","",IF(INDEX(LdCWit,$N856)=0,"",INDEX(LdCWit,$N856))))</f>
        <v/>
      </c>
      <c r="G856" s="31">
        <f>IF($B856="","",IF($G855="",0,$G855)+IF($E856="",0,$E856)-IF($F856="",0,$F856))</f>
        <v/>
      </c>
      <c r="H856" s="32">
        <f>IF(AND($L856="",$M856="",$N856=""),"",IF($L856&lt;&gt;"",IF(INDEX(LdANote,$L856)="","—",INDEX(LdANote,$L856)),IF($M856&lt;&gt;"",IF(INDEX(LdBNote,$M856)="","—",INDEX(LdBNote,$M856)),IF($N856&lt;&gt;"",IF(INDEX(LdCNote,$N856)="","—",INDEX(LdCNote,$N856)),""))))</f>
        <v/>
      </c>
      <c r="L856">
        <f>IFERROR(MATCH($C$5&amp;"|"&amp;RIGHT("000000"&amp;840,6),LdAKeyM,0),"")</f>
        <v/>
      </c>
      <c r="M856">
        <f>IFERROR(MATCH($C$5&amp;"|"&amp;RIGHT("000000"&amp;840,6),LdBKeyM,0),"")</f>
        <v/>
      </c>
      <c r="N856">
        <f>IFERROR(MATCH($C$5&amp;"|"&amp;RIGHT("000000"&amp;840,6),LdCKeyM,0),"")</f>
        <v/>
      </c>
    </row>
    <row r="857">
      <c r="A857" s="10" t="n">
        <v>841</v>
      </c>
      <c r="B857" s="14">
        <f>IF(AND($L857="",$M857="",$N857=""),"",IF($L857&lt;&gt;"",INDEX(LdADate,$L857),IF($M857&lt;&gt;"",INDEX(LdBDate,$M857),INDEX(LdCDate,$N857))))</f>
        <v/>
      </c>
      <c r="C857" s="14">
        <f>IF($L857&lt;&gt;"","دستمزد (فردی)",IF($M857&lt;&gt;"","سهم از گروه "&amp;IFERROR(VLOOKUP(INDEX(LdBGroup,$M857),WGTbl,2,0),INDEX(LdBGroup,$M857)),IF($N857&lt;&gt;"",IF(N(INDEX(LdCDep,$N857))&gt;0,"بازگشت بانکی","پرداخت بانکی"),"")))</f>
        <v/>
      </c>
      <c r="D857" s="14">
        <f>IF($L857&lt;&gt;"",IF(INDEX(LdAId,$L857)="","—",INDEX(LdAId,$L857)),IF($M857&lt;&gt;"",IF(INDEX(LdBId,$M857)="","—",INDEX(LdBId,$M857)),IF($N857&lt;&gt;"",IF(INDEX(LdCBank,$N857)="","—",INDEX(LdCBank,$N857)),"")))</f>
        <v/>
      </c>
      <c r="E857" s="16">
        <f>IF($L857&lt;&gt;"",IF(INDEX(LdAAmt,$L857)=0,"",INDEX(LdAAmt,$L857)),IF($M857&lt;&gt;"",IF(INDEX(LdBAmt,$M857)=0,"",INDEX(LdBAmt,$M857)),IF($N857&lt;&gt;"",IF(INDEX(LdCDep,$N857)=0,"",INDEX(LdCDep,$N857)),"")))</f>
        <v/>
      </c>
      <c r="F857" s="16">
        <f>IF(AND($L857="",$M857="",$N857=""),"",IF($N857="","",IF(INDEX(LdCWit,$N857)=0,"",INDEX(LdCWit,$N857))))</f>
        <v/>
      </c>
      <c r="G857" s="29">
        <f>IF($B857="","",IF($G856="",0,$G856)+IF($E857="",0,$E857)-IF($F857="",0,$F857))</f>
        <v/>
      </c>
      <c r="H857" s="30">
        <f>IF(AND($L857="",$M857="",$N857=""),"",IF($L857&lt;&gt;"",IF(INDEX(LdANote,$L857)="","—",INDEX(LdANote,$L857)),IF($M857&lt;&gt;"",IF(INDEX(LdBNote,$M857)="","—",INDEX(LdBNote,$M857)),IF($N857&lt;&gt;"",IF(INDEX(LdCNote,$N857)="","—",INDEX(LdCNote,$N857)),""))))</f>
        <v/>
      </c>
      <c r="L857">
        <f>IFERROR(MATCH($C$5&amp;"|"&amp;RIGHT("000000"&amp;841,6),LdAKeyM,0),"")</f>
        <v/>
      </c>
      <c r="M857">
        <f>IFERROR(MATCH($C$5&amp;"|"&amp;RIGHT("000000"&amp;841,6),LdBKeyM,0),"")</f>
        <v/>
      </c>
      <c r="N857">
        <f>IFERROR(MATCH($C$5&amp;"|"&amp;RIGHT("000000"&amp;841,6),LdCKeyM,0),"")</f>
        <v/>
      </c>
    </row>
    <row r="858">
      <c r="A858" s="19" t="n">
        <v>842</v>
      </c>
      <c r="B858" s="20">
        <f>IF(AND($L858="",$M858="",$N858=""),"",IF($L858&lt;&gt;"",INDEX(LdADate,$L858),IF($M858&lt;&gt;"",INDEX(LdBDate,$M858),INDEX(LdCDate,$N858))))</f>
        <v/>
      </c>
      <c r="C858" s="20">
        <f>IF($L858&lt;&gt;"","دستمزد (فردی)",IF($M858&lt;&gt;"","سهم از گروه "&amp;IFERROR(VLOOKUP(INDEX(LdBGroup,$M858),WGTbl,2,0),INDEX(LdBGroup,$M858)),IF($N858&lt;&gt;"",IF(N(INDEX(LdCDep,$N858))&gt;0,"بازگشت بانکی","پرداخت بانکی"),"")))</f>
        <v/>
      </c>
      <c r="D858" s="20">
        <f>IF($L858&lt;&gt;"",IF(INDEX(LdAId,$L858)="","—",INDEX(LdAId,$L858)),IF($M858&lt;&gt;"",IF(INDEX(LdBId,$M858)="","—",INDEX(LdBId,$M858)),IF($N858&lt;&gt;"",IF(INDEX(LdCBank,$N858)="","—",INDEX(LdCBank,$N858)),"")))</f>
        <v/>
      </c>
      <c r="E858" s="21">
        <f>IF($L858&lt;&gt;"",IF(INDEX(LdAAmt,$L858)=0,"",INDEX(LdAAmt,$L858)),IF($M858&lt;&gt;"",IF(INDEX(LdBAmt,$M858)=0,"",INDEX(LdBAmt,$M858)),IF($N858&lt;&gt;"",IF(INDEX(LdCDep,$N858)=0,"",INDEX(LdCDep,$N858)),"")))</f>
        <v/>
      </c>
      <c r="F858" s="21">
        <f>IF(AND($L858="",$M858="",$N858=""),"",IF($N858="","",IF(INDEX(LdCWit,$N858)=0,"",INDEX(LdCWit,$N858))))</f>
        <v/>
      </c>
      <c r="G858" s="31">
        <f>IF($B858="","",IF($G857="",0,$G857)+IF($E858="",0,$E858)-IF($F858="",0,$F858))</f>
        <v/>
      </c>
      <c r="H858" s="32">
        <f>IF(AND($L858="",$M858="",$N858=""),"",IF($L858&lt;&gt;"",IF(INDEX(LdANote,$L858)="","—",INDEX(LdANote,$L858)),IF($M858&lt;&gt;"",IF(INDEX(LdBNote,$M858)="","—",INDEX(LdBNote,$M858)),IF($N858&lt;&gt;"",IF(INDEX(LdCNote,$N858)="","—",INDEX(LdCNote,$N858)),""))))</f>
        <v/>
      </c>
      <c r="L858">
        <f>IFERROR(MATCH($C$5&amp;"|"&amp;RIGHT("000000"&amp;842,6),LdAKeyM,0),"")</f>
        <v/>
      </c>
      <c r="M858">
        <f>IFERROR(MATCH($C$5&amp;"|"&amp;RIGHT("000000"&amp;842,6),LdBKeyM,0),"")</f>
        <v/>
      </c>
      <c r="N858">
        <f>IFERROR(MATCH($C$5&amp;"|"&amp;RIGHT("000000"&amp;842,6),LdCKeyM,0),"")</f>
        <v/>
      </c>
    </row>
    <row r="859">
      <c r="A859" s="10" t="n">
        <v>843</v>
      </c>
      <c r="B859" s="14">
        <f>IF(AND($L859="",$M859="",$N859=""),"",IF($L859&lt;&gt;"",INDEX(LdADate,$L859),IF($M859&lt;&gt;"",INDEX(LdBDate,$M859),INDEX(LdCDate,$N859))))</f>
        <v/>
      </c>
      <c r="C859" s="14">
        <f>IF($L859&lt;&gt;"","دستمزد (فردی)",IF($M859&lt;&gt;"","سهم از گروه "&amp;IFERROR(VLOOKUP(INDEX(LdBGroup,$M859),WGTbl,2,0),INDEX(LdBGroup,$M859)),IF($N859&lt;&gt;"",IF(N(INDEX(LdCDep,$N859))&gt;0,"بازگشت بانکی","پرداخت بانکی"),"")))</f>
        <v/>
      </c>
      <c r="D859" s="14">
        <f>IF($L859&lt;&gt;"",IF(INDEX(LdAId,$L859)="","—",INDEX(LdAId,$L859)),IF($M859&lt;&gt;"",IF(INDEX(LdBId,$M859)="","—",INDEX(LdBId,$M859)),IF($N859&lt;&gt;"",IF(INDEX(LdCBank,$N859)="","—",INDEX(LdCBank,$N859)),"")))</f>
        <v/>
      </c>
      <c r="E859" s="16">
        <f>IF($L859&lt;&gt;"",IF(INDEX(LdAAmt,$L859)=0,"",INDEX(LdAAmt,$L859)),IF($M859&lt;&gt;"",IF(INDEX(LdBAmt,$M859)=0,"",INDEX(LdBAmt,$M859)),IF($N859&lt;&gt;"",IF(INDEX(LdCDep,$N859)=0,"",INDEX(LdCDep,$N859)),"")))</f>
        <v/>
      </c>
      <c r="F859" s="16">
        <f>IF(AND($L859="",$M859="",$N859=""),"",IF($N859="","",IF(INDEX(LdCWit,$N859)=0,"",INDEX(LdCWit,$N859))))</f>
        <v/>
      </c>
      <c r="G859" s="29">
        <f>IF($B859="","",IF($G858="",0,$G858)+IF($E859="",0,$E859)-IF($F859="",0,$F859))</f>
        <v/>
      </c>
      <c r="H859" s="30">
        <f>IF(AND($L859="",$M859="",$N859=""),"",IF($L859&lt;&gt;"",IF(INDEX(LdANote,$L859)="","—",INDEX(LdANote,$L859)),IF($M859&lt;&gt;"",IF(INDEX(LdBNote,$M859)="","—",INDEX(LdBNote,$M859)),IF($N859&lt;&gt;"",IF(INDEX(LdCNote,$N859)="","—",INDEX(LdCNote,$N859)),""))))</f>
        <v/>
      </c>
      <c r="L859">
        <f>IFERROR(MATCH($C$5&amp;"|"&amp;RIGHT("000000"&amp;843,6),LdAKeyM,0),"")</f>
        <v/>
      </c>
      <c r="M859">
        <f>IFERROR(MATCH($C$5&amp;"|"&amp;RIGHT("000000"&amp;843,6),LdBKeyM,0),"")</f>
        <v/>
      </c>
      <c r="N859">
        <f>IFERROR(MATCH($C$5&amp;"|"&amp;RIGHT("000000"&amp;843,6),LdCKeyM,0),"")</f>
        <v/>
      </c>
    </row>
    <row r="860">
      <c r="A860" s="19" t="n">
        <v>844</v>
      </c>
      <c r="B860" s="20">
        <f>IF(AND($L860="",$M860="",$N860=""),"",IF($L860&lt;&gt;"",INDEX(LdADate,$L860),IF($M860&lt;&gt;"",INDEX(LdBDate,$M860),INDEX(LdCDate,$N860))))</f>
        <v/>
      </c>
      <c r="C860" s="20">
        <f>IF($L860&lt;&gt;"","دستمزد (فردی)",IF($M860&lt;&gt;"","سهم از گروه "&amp;IFERROR(VLOOKUP(INDEX(LdBGroup,$M860),WGTbl,2,0),INDEX(LdBGroup,$M860)),IF($N860&lt;&gt;"",IF(N(INDEX(LdCDep,$N860))&gt;0,"بازگشت بانکی","پرداخت بانکی"),"")))</f>
        <v/>
      </c>
      <c r="D860" s="20">
        <f>IF($L860&lt;&gt;"",IF(INDEX(LdAId,$L860)="","—",INDEX(LdAId,$L860)),IF($M860&lt;&gt;"",IF(INDEX(LdBId,$M860)="","—",INDEX(LdBId,$M860)),IF($N860&lt;&gt;"",IF(INDEX(LdCBank,$N860)="","—",INDEX(LdCBank,$N860)),"")))</f>
        <v/>
      </c>
      <c r="E860" s="21">
        <f>IF($L860&lt;&gt;"",IF(INDEX(LdAAmt,$L860)=0,"",INDEX(LdAAmt,$L860)),IF($M860&lt;&gt;"",IF(INDEX(LdBAmt,$M860)=0,"",INDEX(LdBAmt,$M860)),IF($N860&lt;&gt;"",IF(INDEX(LdCDep,$N860)=0,"",INDEX(LdCDep,$N860)),"")))</f>
        <v/>
      </c>
      <c r="F860" s="21">
        <f>IF(AND($L860="",$M860="",$N860=""),"",IF($N860="","",IF(INDEX(LdCWit,$N860)=0,"",INDEX(LdCWit,$N860))))</f>
        <v/>
      </c>
      <c r="G860" s="31">
        <f>IF($B860="","",IF($G859="",0,$G859)+IF($E860="",0,$E860)-IF($F860="",0,$F860))</f>
        <v/>
      </c>
      <c r="H860" s="32">
        <f>IF(AND($L860="",$M860="",$N860=""),"",IF($L860&lt;&gt;"",IF(INDEX(LdANote,$L860)="","—",INDEX(LdANote,$L860)),IF($M860&lt;&gt;"",IF(INDEX(LdBNote,$M860)="","—",INDEX(LdBNote,$M860)),IF($N860&lt;&gt;"",IF(INDEX(LdCNote,$N860)="","—",INDEX(LdCNote,$N860)),""))))</f>
        <v/>
      </c>
      <c r="L860">
        <f>IFERROR(MATCH($C$5&amp;"|"&amp;RIGHT("000000"&amp;844,6),LdAKeyM,0),"")</f>
        <v/>
      </c>
      <c r="M860">
        <f>IFERROR(MATCH($C$5&amp;"|"&amp;RIGHT("000000"&amp;844,6),LdBKeyM,0),"")</f>
        <v/>
      </c>
      <c r="N860">
        <f>IFERROR(MATCH($C$5&amp;"|"&amp;RIGHT("000000"&amp;844,6),LdCKeyM,0),"")</f>
        <v/>
      </c>
    </row>
    <row r="861">
      <c r="A861" s="10" t="n">
        <v>845</v>
      </c>
      <c r="B861" s="14">
        <f>IF(AND($L861="",$M861="",$N861=""),"",IF($L861&lt;&gt;"",INDEX(LdADate,$L861),IF($M861&lt;&gt;"",INDEX(LdBDate,$M861),INDEX(LdCDate,$N861))))</f>
        <v/>
      </c>
      <c r="C861" s="14">
        <f>IF($L861&lt;&gt;"","دستمزد (فردی)",IF($M861&lt;&gt;"","سهم از گروه "&amp;IFERROR(VLOOKUP(INDEX(LdBGroup,$M861),WGTbl,2,0),INDEX(LdBGroup,$M861)),IF($N861&lt;&gt;"",IF(N(INDEX(LdCDep,$N861))&gt;0,"بازگشت بانکی","پرداخت بانکی"),"")))</f>
        <v/>
      </c>
      <c r="D861" s="14">
        <f>IF($L861&lt;&gt;"",IF(INDEX(LdAId,$L861)="","—",INDEX(LdAId,$L861)),IF($M861&lt;&gt;"",IF(INDEX(LdBId,$M861)="","—",INDEX(LdBId,$M861)),IF($N861&lt;&gt;"",IF(INDEX(LdCBank,$N861)="","—",INDEX(LdCBank,$N861)),"")))</f>
        <v/>
      </c>
      <c r="E861" s="16">
        <f>IF($L861&lt;&gt;"",IF(INDEX(LdAAmt,$L861)=0,"",INDEX(LdAAmt,$L861)),IF($M861&lt;&gt;"",IF(INDEX(LdBAmt,$M861)=0,"",INDEX(LdBAmt,$M861)),IF($N861&lt;&gt;"",IF(INDEX(LdCDep,$N861)=0,"",INDEX(LdCDep,$N861)),"")))</f>
        <v/>
      </c>
      <c r="F861" s="16">
        <f>IF(AND($L861="",$M861="",$N861=""),"",IF($N861="","",IF(INDEX(LdCWit,$N861)=0,"",INDEX(LdCWit,$N861))))</f>
        <v/>
      </c>
      <c r="G861" s="29">
        <f>IF($B861="","",IF($G860="",0,$G860)+IF($E861="",0,$E861)-IF($F861="",0,$F861))</f>
        <v/>
      </c>
      <c r="H861" s="30">
        <f>IF(AND($L861="",$M861="",$N861=""),"",IF($L861&lt;&gt;"",IF(INDEX(LdANote,$L861)="","—",INDEX(LdANote,$L861)),IF($M861&lt;&gt;"",IF(INDEX(LdBNote,$M861)="","—",INDEX(LdBNote,$M861)),IF($N861&lt;&gt;"",IF(INDEX(LdCNote,$N861)="","—",INDEX(LdCNote,$N861)),""))))</f>
        <v/>
      </c>
      <c r="L861">
        <f>IFERROR(MATCH($C$5&amp;"|"&amp;RIGHT("000000"&amp;845,6),LdAKeyM,0),"")</f>
        <v/>
      </c>
      <c r="M861">
        <f>IFERROR(MATCH($C$5&amp;"|"&amp;RIGHT("000000"&amp;845,6),LdBKeyM,0),"")</f>
        <v/>
      </c>
      <c r="N861">
        <f>IFERROR(MATCH($C$5&amp;"|"&amp;RIGHT("000000"&amp;845,6),LdCKeyM,0),"")</f>
        <v/>
      </c>
    </row>
    <row r="862">
      <c r="A862" s="19" t="n">
        <v>846</v>
      </c>
      <c r="B862" s="20">
        <f>IF(AND($L862="",$M862="",$N862=""),"",IF($L862&lt;&gt;"",INDEX(LdADate,$L862),IF($M862&lt;&gt;"",INDEX(LdBDate,$M862),INDEX(LdCDate,$N862))))</f>
        <v/>
      </c>
      <c r="C862" s="20">
        <f>IF($L862&lt;&gt;"","دستمزد (فردی)",IF($M862&lt;&gt;"","سهم از گروه "&amp;IFERROR(VLOOKUP(INDEX(LdBGroup,$M862),WGTbl,2,0),INDEX(LdBGroup,$M862)),IF($N862&lt;&gt;"",IF(N(INDEX(LdCDep,$N862))&gt;0,"بازگشت بانکی","پرداخت بانکی"),"")))</f>
        <v/>
      </c>
      <c r="D862" s="20">
        <f>IF($L862&lt;&gt;"",IF(INDEX(LdAId,$L862)="","—",INDEX(LdAId,$L862)),IF($M862&lt;&gt;"",IF(INDEX(LdBId,$M862)="","—",INDEX(LdBId,$M862)),IF($N862&lt;&gt;"",IF(INDEX(LdCBank,$N862)="","—",INDEX(LdCBank,$N862)),"")))</f>
        <v/>
      </c>
      <c r="E862" s="21">
        <f>IF($L862&lt;&gt;"",IF(INDEX(LdAAmt,$L862)=0,"",INDEX(LdAAmt,$L862)),IF($M862&lt;&gt;"",IF(INDEX(LdBAmt,$M862)=0,"",INDEX(LdBAmt,$M862)),IF($N862&lt;&gt;"",IF(INDEX(LdCDep,$N862)=0,"",INDEX(LdCDep,$N862)),"")))</f>
        <v/>
      </c>
      <c r="F862" s="21">
        <f>IF(AND($L862="",$M862="",$N862=""),"",IF($N862="","",IF(INDEX(LdCWit,$N862)=0,"",INDEX(LdCWit,$N862))))</f>
        <v/>
      </c>
      <c r="G862" s="31">
        <f>IF($B862="","",IF($G861="",0,$G861)+IF($E862="",0,$E862)-IF($F862="",0,$F862))</f>
        <v/>
      </c>
      <c r="H862" s="32">
        <f>IF(AND($L862="",$M862="",$N862=""),"",IF($L862&lt;&gt;"",IF(INDEX(LdANote,$L862)="","—",INDEX(LdANote,$L862)),IF($M862&lt;&gt;"",IF(INDEX(LdBNote,$M862)="","—",INDEX(LdBNote,$M862)),IF($N862&lt;&gt;"",IF(INDEX(LdCNote,$N862)="","—",INDEX(LdCNote,$N862)),""))))</f>
        <v/>
      </c>
      <c r="L862">
        <f>IFERROR(MATCH($C$5&amp;"|"&amp;RIGHT("000000"&amp;846,6),LdAKeyM,0),"")</f>
        <v/>
      </c>
      <c r="M862">
        <f>IFERROR(MATCH($C$5&amp;"|"&amp;RIGHT("000000"&amp;846,6),LdBKeyM,0),"")</f>
        <v/>
      </c>
      <c r="N862">
        <f>IFERROR(MATCH($C$5&amp;"|"&amp;RIGHT("000000"&amp;846,6),LdCKeyM,0),"")</f>
        <v/>
      </c>
    </row>
    <row r="863">
      <c r="A863" s="10" t="n">
        <v>847</v>
      </c>
      <c r="B863" s="14">
        <f>IF(AND($L863="",$M863="",$N863=""),"",IF($L863&lt;&gt;"",INDEX(LdADate,$L863),IF($M863&lt;&gt;"",INDEX(LdBDate,$M863),INDEX(LdCDate,$N863))))</f>
        <v/>
      </c>
      <c r="C863" s="14">
        <f>IF($L863&lt;&gt;"","دستمزد (فردی)",IF($M863&lt;&gt;"","سهم از گروه "&amp;IFERROR(VLOOKUP(INDEX(LdBGroup,$M863),WGTbl,2,0),INDEX(LdBGroup,$M863)),IF($N863&lt;&gt;"",IF(N(INDEX(LdCDep,$N863))&gt;0,"بازگشت بانکی","پرداخت بانکی"),"")))</f>
        <v/>
      </c>
      <c r="D863" s="14">
        <f>IF($L863&lt;&gt;"",IF(INDEX(LdAId,$L863)="","—",INDEX(LdAId,$L863)),IF($M863&lt;&gt;"",IF(INDEX(LdBId,$M863)="","—",INDEX(LdBId,$M863)),IF($N863&lt;&gt;"",IF(INDEX(LdCBank,$N863)="","—",INDEX(LdCBank,$N863)),"")))</f>
        <v/>
      </c>
      <c r="E863" s="16">
        <f>IF($L863&lt;&gt;"",IF(INDEX(LdAAmt,$L863)=0,"",INDEX(LdAAmt,$L863)),IF($M863&lt;&gt;"",IF(INDEX(LdBAmt,$M863)=0,"",INDEX(LdBAmt,$M863)),IF($N863&lt;&gt;"",IF(INDEX(LdCDep,$N863)=0,"",INDEX(LdCDep,$N863)),"")))</f>
        <v/>
      </c>
      <c r="F863" s="16">
        <f>IF(AND($L863="",$M863="",$N863=""),"",IF($N863="","",IF(INDEX(LdCWit,$N863)=0,"",INDEX(LdCWit,$N863))))</f>
        <v/>
      </c>
      <c r="G863" s="29">
        <f>IF($B863="","",IF($G862="",0,$G862)+IF($E863="",0,$E863)-IF($F863="",0,$F863))</f>
        <v/>
      </c>
      <c r="H863" s="30">
        <f>IF(AND($L863="",$M863="",$N863=""),"",IF($L863&lt;&gt;"",IF(INDEX(LdANote,$L863)="","—",INDEX(LdANote,$L863)),IF($M863&lt;&gt;"",IF(INDEX(LdBNote,$M863)="","—",INDEX(LdBNote,$M863)),IF($N863&lt;&gt;"",IF(INDEX(LdCNote,$N863)="","—",INDEX(LdCNote,$N863)),""))))</f>
        <v/>
      </c>
      <c r="L863">
        <f>IFERROR(MATCH($C$5&amp;"|"&amp;RIGHT("000000"&amp;847,6),LdAKeyM,0),"")</f>
        <v/>
      </c>
      <c r="M863">
        <f>IFERROR(MATCH($C$5&amp;"|"&amp;RIGHT("000000"&amp;847,6),LdBKeyM,0),"")</f>
        <v/>
      </c>
      <c r="N863">
        <f>IFERROR(MATCH($C$5&amp;"|"&amp;RIGHT("000000"&amp;847,6),LdCKeyM,0),"")</f>
        <v/>
      </c>
    </row>
    <row r="864">
      <c r="A864" s="19" t="n">
        <v>848</v>
      </c>
      <c r="B864" s="20">
        <f>IF(AND($L864="",$M864="",$N864=""),"",IF($L864&lt;&gt;"",INDEX(LdADate,$L864),IF($M864&lt;&gt;"",INDEX(LdBDate,$M864),INDEX(LdCDate,$N864))))</f>
        <v/>
      </c>
      <c r="C864" s="20">
        <f>IF($L864&lt;&gt;"","دستمزد (فردی)",IF($M864&lt;&gt;"","سهم از گروه "&amp;IFERROR(VLOOKUP(INDEX(LdBGroup,$M864),WGTbl,2,0),INDEX(LdBGroup,$M864)),IF($N864&lt;&gt;"",IF(N(INDEX(LdCDep,$N864))&gt;0,"بازگشت بانکی","پرداخت بانکی"),"")))</f>
        <v/>
      </c>
      <c r="D864" s="20">
        <f>IF($L864&lt;&gt;"",IF(INDEX(LdAId,$L864)="","—",INDEX(LdAId,$L864)),IF($M864&lt;&gt;"",IF(INDEX(LdBId,$M864)="","—",INDEX(LdBId,$M864)),IF($N864&lt;&gt;"",IF(INDEX(LdCBank,$N864)="","—",INDEX(LdCBank,$N864)),"")))</f>
        <v/>
      </c>
      <c r="E864" s="21">
        <f>IF($L864&lt;&gt;"",IF(INDEX(LdAAmt,$L864)=0,"",INDEX(LdAAmt,$L864)),IF($M864&lt;&gt;"",IF(INDEX(LdBAmt,$M864)=0,"",INDEX(LdBAmt,$M864)),IF($N864&lt;&gt;"",IF(INDEX(LdCDep,$N864)=0,"",INDEX(LdCDep,$N864)),"")))</f>
        <v/>
      </c>
      <c r="F864" s="21">
        <f>IF(AND($L864="",$M864="",$N864=""),"",IF($N864="","",IF(INDEX(LdCWit,$N864)=0,"",INDEX(LdCWit,$N864))))</f>
        <v/>
      </c>
      <c r="G864" s="31">
        <f>IF($B864="","",IF($G863="",0,$G863)+IF($E864="",0,$E864)-IF($F864="",0,$F864))</f>
        <v/>
      </c>
      <c r="H864" s="32">
        <f>IF(AND($L864="",$M864="",$N864=""),"",IF($L864&lt;&gt;"",IF(INDEX(LdANote,$L864)="","—",INDEX(LdANote,$L864)),IF($M864&lt;&gt;"",IF(INDEX(LdBNote,$M864)="","—",INDEX(LdBNote,$M864)),IF($N864&lt;&gt;"",IF(INDEX(LdCNote,$N864)="","—",INDEX(LdCNote,$N864)),""))))</f>
        <v/>
      </c>
      <c r="L864">
        <f>IFERROR(MATCH($C$5&amp;"|"&amp;RIGHT("000000"&amp;848,6),LdAKeyM,0),"")</f>
        <v/>
      </c>
      <c r="M864">
        <f>IFERROR(MATCH($C$5&amp;"|"&amp;RIGHT("000000"&amp;848,6),LdBKeyM,0),"")</f>
        <v/>
      </c>
      <c r="N864">
        <f>IFERROR(MATCH($C$5&amp;"|"&amp;RIGHT("000000"&amp;848,6),LdCKeyM,0),"")</f>
        <v/>
      </c>
    </row>
    <row r="865">
      <c r="A865" s="10" t="n">
        <v>849</v>
      </c>
      <c r="B865" s="14">
        <f>IF(AND($L865="",$M865="",$N865=""),"",IF($L865&lt;&gt;"",INDEX(LdADate,$L865),IF($M865&lt;&gt;"",INDEX(LdBDate,$M865),INDEX(LdCDate,$N865))))</f>
        <v/>
      </c>
      <c r="C865" s="14">
        <f>IF($L865&lt;&gt;"","دستمزد (فردی)",IF($M865&lt;&gt;"","سهم از گروه "&amp;IFERROR(VLOOKUP(INDEX(LdBGroup,$M865),WGTbl,2,0),INDEX(LdBGroup,$M865)),IF($N865&lt;&gt;"",IF(N(INDEX(LdCDep,$N865))&gt;0,"بازگشت بانکی","پرداخت بانکی"),"")))</f>
        <v/>
      </c>
      <c r="D865" s="14">
        <f>IF($L865&lt;&gt;"",IF(INDEX(LdAId,$L865)="","—",INDEX(LdAId,$L865)),IF($M865&lt;&gt;"",IF(INDEX(LdBId,$M865)="","—",INDEX(LdBId,$M865)),IF($N865&lt;&gt;"",IF(INDEX(LdCBank,$N865)="","—",INDEX(LdCBank,$N865)),"")))</f>
        <v/>
      </c>
      <c r="E865" s="16">
        <f>IF($L865&lt;&gt;"",IF(INDEX(LdAAmt,$L865)=0,"",INDEX(LdAAmt,$L865)),IF($M865&lt;&gt;"",IF(INDEX(LdBAmt,$M865)=0,"",INDEX(LdBAmt,$M865)),IF($N865&lt;&gt;"",IF(INDEX(LdCDep,$N865)=0,"",INDEX(LdCDep,$N865)),"")))</f>
        <v/>
      </c>
      <c r="F865" s="16">
        <f>IF(AND($L865="",$M865="",$N865=""),"",IF($N865="","",IF(INDEX(LdCWit,$N865)=0,"",INDEX(LdCWit,$N865))))</f>
        <v/>
      </c>
      <c r="G865" s="29">
        <f>IF($B865="","",IF($G864="",0,$G864)+IF($E865="",0,$E865)-IF($F865="",0,$F865))</f>
        <v/>
      </c>
      <c r="H865" s="30">
        <f>IF(AND($L865="",$M865="",$N865=""),"",IF($L865&lt;&gt;"",IF(INDEX(LdANote,$L865)="","—",INDEX(LdANote,$L865)),IF($M865&lt;&gt;"",IF(INDEX(LdBNote,$M865)="","—",INDEX(LdBNote,$M865)),IF($N865&lt;&gt;"",IF(INDEX(LdCNote,$N865)="","—",INDEX(LdCNote,$N865)),""))))</f>
        <v/>
      </c>
      <c r="L865">
        <f>IFERROR(MATCH($C$5&amp;"|"&amp;RIGHT("000000"&amp;849,6),LdAKeyM,0),"")</f>
        <v/>
      </c>
      <c r="M865">
        <f>IFERROR(MATCH($C$5&amp;"|"&amp;RIGHT("000000"&amp;849,6),LdBKeyM,0),"")</f>
        <v/>
      </c>
      <c r="N865">
        <f>IFERROR(MATCH($C$5&amp;"|"&amp;RIGHT("000000"&amp;849,6),LdCKeyM,0),"")</f>
        <v/>
      </c>
    </row>
    <row r="866">
      <c r="A866" s="19" t="n">
        <v>850</v>
      </c>
      <c r="B866" s="20">
        <f>IF(AND($L866="",$M866="",$N866=""),"",IF($L866&lt;&gt;"",INDEX(LdADate,$L866),IF($M866&lt;&gt;"",INDEX(LdBDate,$M866),INDEX(LdCDate,$N866))))</f>
        <v/>
      </c>
      <c r="C866" s="20">
        <f>IF($L866&lt;&gt;"","دستمزد (فردی)",IF($M866&lt;&gt;"","سهم از گروه "&amp;IFERROR(VLOOKUP(INDEX(LdBGroup,$M866),WGTbl,2,0),INDEX(LdBGroup,$M866)),IF($N866&lt;&gt;"",IF(N(INDEX(LdCDep,$N866))&gt;0,"بازگشت بانکی","پرداخت بانکی"),"")))</f>
        <v/>
      </c>
      <c r="D866" s="20">
        <f>IF($L866&lt;&gt;"",IF(INDEX(LdAId,$L866)="","—",INDEX(LdAId,$L866)),IF($M866&lt;&gt;"",IF(INDEX(LdBId,$M866)="","—",INDEX(LdBId,$M866)),IF($N866&lt;&gt;"",IF(INDEX(LdCBank,$N866)="","—",INDEX(LdCBank,$N866)),"")))</f>
        <v/>
      </c>
      <c r="E866" s="21">
        <f>IF($L866&lt;&gt;"",IF(INDEX(LdAAmt,$L866)=0,"",INDEX(LdAAmt,$L866)),IF($M866&lt;&gt;"",IF(INDEX(LdBAmt,$M866)=0,"",INDEX(LdBAmt,$M866)),IF($N866&lt;&gt;"",IF(INDEX(LdCDep,$N866)=0,"",INDEX(LdCDep,$N866)),"")))</f>
        <v/>
      </c>
      <c r="F866" s="21">
        <f>IF(AND($L866="",$M866="",$N866=""),"",IF($N866="","",IF(INDEX(LdCWit,$N866)=0,"",INDEX(LdCWit,$N866))))</f>
        <v/>
      </c>
      <c r="G866" s="31">
        <f>IF($B866="","",IF($G865="",0,$G865)+IF($E866="",0,$E866)-IF($F866="",0,$F866))</f>
        <v/>
      </c>
      <c r="H866" s="32">
        <f>IF(AND($L866="",$M866="",$N866=""),"",IF($L866&lt;&gt;"",IF(INDEX(LdANote,$L866)="","—",INDEX(LdANote,$L866)),IF($M866&lt;&gt;"",IF(INDEX(LdBNote,$M866)="","—",INDEX(LdBNote,$M866)),IF($N866&lt;&gt;"",IF(INDEX(LdCNote,$N866)="","—",INDEX(LdCNote,$N866)),""))))</f>
        <v/>
      </c>
      <c r="L866">
        <f>IFERROR(MATCH($C$5&amp;"|"&amp;RIGHT("000000"&amp;850,6),LdAKeyM,0),"")</f>
        <v/>
      </c>
      <c r="M866">
        <f>IFERROR(MATCH($C$5&amp;"|"&amp;RIGHT("000000"&amp;850,6),LdBKeyM,0),"")</f>
        <v/>
      </c>
      <c r="N866">
        <f>IFERROR(MATCH($C$5&amp;"|"&amp;RIGHT("000000"&amp;850,6),LdCKeyM,0),"")</f>
        <v/>
      </c>
    </row>
    <row r="867">
      <c r="A867" s="10" t="n">
        <v>851</v>
      </c>
      <c r="B867" s="14">
        <f>IF(AND($L867="",$M867="",$N867=""),"",IF($L867&lt;&gt;"",INDEX(LdADate,$L867),IF($M867&lt;&gt;"",INDEX(LdBDate,$M867),INDEX(LdCDate,$N867))))</f>
        <v/>
      </c>
      <c r="C867" s="14">
        <f>IF($L867&lt;&gt;"","دستمزد (فردی)",IF($M867&lt;&gt;"","سهم از گروه "&amp;IFERROR(VLOOKUP(INDEX(LdBGroup,$M867),WGTbl,2,0),INDEX(LdBGroup,$M867)),IF($N867&lt;&gt;"",IF(N(INDEX(LdCDep,$N867))&gt;0,"بازگشت بانکی","پرداخت بانکی"),"")))</f>
        <v/>
      </c>
      <c r="D867" s="14">
        <f>IF($L867&lt;&gt;"",IF(INDEX(LdAId,$L867)="","—",INDEX(LdAId,$L867)),IF($M867&lt;&gt;"",IF(INDEX(LdBId,$M867)="","—",INDEX(LdBId,$M867)),IF($N867&lt;&gt;"",IF(INDEX(LdCBank,$N867)="","—",INDEX(LdCBank,$N867)),"")))</f>
        <v/>
      </c>
      <c r="E867" s="16">
        <f>IF($L867&lt;&gt;"",IF(INDEX(LdAAmt,$L867)=0,"",INDEX(LdAAmt,$L867)),IF($M867&lt;&gt;"",IF(INDEX(LdBAmt,$M867)=0,"",INDEX(LdBAmt,$M867)),IF($N867&lt;&gt;"",IF(INDEX(LdCDep,$N867)=0,"",INDEX(LdCDep,$N867)),"")))</f>
        <v/>
      </c>
      <c r="F867" s="16">
        <f>IF(AND($L867="",$M867="",$N867=""),"",IF($N867="","",IF(INDEX(LdCWit,$N867)=0,"",INDEX(LdCWit,$N867))))</f>
        <v/>
      </c>
      <c r="G867" s="29">
        <f>IF($B867="","",IF($G866="",0,$G866)+IF($E867="",0,$E867)-IF($F867="",0,$F867))</f>
        <v/>
      </c>
      <c r="H867" s="30">
        <f>IF(AND($L867="",$M867="",$N867=""),"",IF($L867&lt;&gt;"",IF(INDEX(LdANote,$L867)="","—",INDEX(LdANote,$L867)),IF($M867&lt;&gt;"",IF(INDEX(LdBNote,$M867)="","—",INDEX(LdBNote,$M867)),IF($N867&lt;&gt;"",IF(INDEX(LdCNote,$N867)="","—",INDEX(LdCNote,$N867)),""))))</f>
        <v/>
      </c>
      <c r="L867">
        <f>IFERROR(MATCH($C$5&amp;"|"&amp;RIGHT("000000"&amp;851,6),LdAKeyM,0),"")</f>
        <v/>
      </c>
      <c r="M867">
        <f>IFERROR(MATCH($C$5&amp;"|"&amp;RIGHT("000000"&amp;851,6),LdBKeyM,0),"")</f>
        <v/>
      </c>
      <c r="N867">
        <f>IFERROR(MATCH($C$5&amp;"|"&amp;RIGHT("000000"&amp;851,6),LdCKeyM,0),"")</f>
        <v/>
      </c>
    </row>
    <row r="868">
      <c r="A868" s="19" t="n">
        <v>852</v>
      </c>
      <c r="B868" s="20">
        <f>IF(AND($L868="",$M868="",$N868=""),"",IF($L868&lt;&gt;"",INDEX(LdADate,$L868),IF($M868&lt;&gt;"",INDEX(LdBDate,$M868),INDEX(LdCDate,$N868))))</f>
        <v/>
      </c>
      <c r="C868" s="20">
        <f>IF($L868&lt;&gt;"","دستمزد (فردی)",IF($M868&lt;&gt;"","سهم از گروه "&amp;IFERROR(VLOOKUP(INDEX(LdBGroup,$M868),WGTbl,2,0),INDEX(LdBGroup,$M868)),IF($N868&lt;&gt;"",IF(N(INDEX(LdCDep,$N868))&gt;0,"بازگشت بانکی","پرداخت بانکی"),"")))</f>
        <v/>
      </c>
      <c r="D868" s="20">
        <f>IF($L868&lt;&gt;"",IF(INDEX(LdAId,$L868)="","—",INDEX(LdAId,$L868)),IF($M868&lt;&gt;"",IF(INDEX(LdBId,$M868)="","—",INDEX(LdBId,$M868)),IF($N868&lt;&gt;"",IF(INDEX(LdCBank,$N868)="","—",INDEX(LdCBank,$N868)),"")))</f>
        <v/>
      </c>
      <c r="E868" s="21">
        <f>IF($L868&lt;&gt;"",IF(INDEX(LdAAmt,$L868)=0,"",INDEX(LdAAmt,$L868)),IF($M868&lt;&gt;"",IF(INDEX(LdBAmt,$M868)=0,"",INDEX(LdBAmt,$M868)),IF($N868&lt;&gt;"",IF(INDEX(LdCDep,$N868)=0,"",INDEX(LdCDep,$N868)),"")))</f>
        <v/>
      </c>
      <c r="F868" s="21">
        <f>IF(AND($L868="",$M868="",$N868=""),"",IF($N868="","",IF(INDEX(LdCWit,$N868)=0,"",INDEX(LdCWit,$N868))))</f>
        <v/>
      </c>
      <c r="G868" s="31">
        <f>IF($B868="","",IF($G867="",0,$G867)+IF($E868="",0,$E868)-IF($F868="",0,$F868))</f>
        <v/>
      </c>
      <c r="H868" s="32">
        <f>IF(AND($L868="",$M868="",$N868=""),"",IF($L868&lt;&gt;"",IF(INDEX(LdANote,$L868)="","—",INDEX(LdANote,$L868)),IF($M868&lt;&gt;"",IF(INDEX(LdBNote,$M868)="","—",INDEX(LdBNote,$M868)),IF($N868&lt;&gt;"",IF(INDEX(LdCNote,$N868)="","—",INDEX(LdCNote,$N868)),""))))</f>
        <v/>
      </c>
      <c r="L868">
        <f>IFERROR(MATCH($C$5&amp;"|"&amp;RIGHT("000000"&amp;852,6),LdAKeyM,0),"")</f>
        <v/>
      </c>
      <c r="M868">
        <f>IFERROR(MATCH($C$5&amp;"|"&amp;RIGHT("000000"&amp;852,6),LdBKeyM,0),"")</f>
        <v/>
      </c>
      <c r="N868">
        <f>IFERROR(MATCH($C$5&amp;"|"&amp;RIGHT("000000"&amp;852,6),LdCKeyM,0),"")</f>
        <v/>
      </c>
    </row>
    <row r="869">
      <c r="A869" s="10" t="n">
        <v>853</v>
      </c>
      <c r="B869" s="14">
        <f>IF(AND($L869="",$M869="",$N869=""),"",IF($L869&lt;&gt;"",INDEX(LdADate,$L869),IF($M869&lt;&gt;"",INDEX(LdBDate,$M869),INDEX(LdCDate,$N869))))</f>
        <v/>
      </c>
      <c r="C869" s="14">
        <f>IF($L869&lt;&gt;"","دستمزد (فردی)",IF($M869&lt;&gt;"","سهم از گروه "&amp;IFERROR(VLOOKUP(INDEX(LdBGroup,$M869),WGTbl,2,0),INDEX(LdBGroup,$M869)),IF($N869&lt;&gt;"",IF(N(INDEX(LdCDep,$N869))&gt;0,"بازگشت بانکی","پرداخت بانکی"),"")))</f>
        <v/>
      </c>
      <c r="D869" s="14">
        <f>IF($L869&lt;&gt;"",IF(INDEX(LdAId,$L869)="","—",INDEX(LdAId,$L869)),IF($M869&lt;&gt;"",IF(INDEX(LdBId,$M869)="","—",INDEX(LdBId,$M869)),IF($N869&lt;&gt;"",IF(INDEX(LdCBank,$N869)="","—",INDEX(LdCBank,$N869)),"")))</f>
        <v/>
      </c>
      <c r="E869" s="16">
        <f>IF($L869&lt;&gt;"",IF(INDEX(LdAAmt,$L869)=0,"",INDEX(LdAAmt,$L869)),IF($M869&lt;&gt;"",IF(INDEX(LdBAmt,$M869)=0,"",INDEX(LdBAmt,$M869)),IF($N869&lt;&gt;"",IF(INDEX(LdCDep,$N869)=0,"",INDEX(LdCDep,$N869)),"")))</f>
        <v/>
      </c>
      <c r="F869" s="16">
        <f>IF(AND($L869="",$M869="",$N869=""),"",IF($N869="","",IF(INDEX(LdCWit,$N869)=0,"",INDEX(LdCWit,$N869))))</f>
        <v/>
      </c>
      <c r="G869" s="29">
        <f>IF($B869="","",IF($G868="",0,$G868)+IF($E869="",0,$E869)-IF($F869="",0,$F869))</f>
        <v/>
      </c>
      <c r="H869" s="30">
        <f>IF(AND($L869="",$M869="",$N869=""),"",IF($L869&lt;&gt;"",IF(INDEX(LdANote,$L869)="","—",INDEX(LdANote,$L869)),IF($M869&lt;&gt;"",IF(INDEX(LdBNote,$M869)="","—",INDEX(LdBNote,$M869)),IF($N869&lt;&gt;"",IF(INDEX(LdCNote,$N869)="","—",INDEX(LdCNote,$N869)),""))))</f>
        <v/>
      </c>
      <c r="L869">
        <f>IFERROR(MATCH($C$5&amp;"|"&amp;RIGHT("000000"&amp;853,6),LdAKeyM,0),"")</f>
        <v/>
      </c>
      <c r="M869">
        <f>IFERROR(MATCH($C$5&amp;"|"&amp;RIGHT("000000"&amp;853,6),LdBKeyM,0),"")</f>
        <v/>
      </c>
      <c r="N869">
        <f>IFERROR(MATCH($C$5&amp;"|"&amp;RIGHT("000000"&amp;853,6),LdCKeyM,0),"")</f>
        <v/>
      </c>
    </row>
    <row r="870">
      <c r="A870" s="19" t="n">
        <v>854</v>
      </c>
      <c r="B870" s="20">
        <f>IF(AND($L870="",$M870="",$N870=""),"",IF($L870&lt;&gt;"",INDEX(LdADate,$L870),IF($M870&lt;&gt;"",INDEX(LdBDate,$M870),INDEX(LdCDate,$N870))))</f>
        <v/>
      </c>
      <c r="C870" s="20">
        <f>IF($L870&lt;&gt;"","دستمزد (فردی)",IF($M870&lt;&gt;"","سهم از گروه "&amp;IFERROR(VLOOKUP(INDEX(LdBGroup,$M870),WGTbl,2,0),INDEX(LdBGroup,$M870)),IF($N870&lt;&gt;"",IF(N(INDEX(LdCDep,$N870))&gt;0,"بازگشت بانکی","پرداخت بانکی"),"")))</f>
        <v/>
      </c>
      <c r="D870" s="20">
        <f>IF($L870&lt;&gt;"",IF(INDEX(LdAId,$L870)="","—",INDEX(LdAId,$L870)),IF($M870&lt;&gt;"",IF(INDEX(LdBId,$M870)="","—",INDEX(LdBId,$M870)),IF($N870&lt;&gt;"",IF(INDEX(LdCBank,$N870)="","—",INDEX(LdCBank,$N870)),"")))</f>
        <v/>
      </c>
      <c r="E870" s="21">
        <f>IF($L870&lt;&gt;"",IF(INDEX(LdAAmt,$L870)=0,"",INDEX(LdAAmt,$L870)),IF($M870&lt;&gt;"",IF(INDEX(LdBAmt,$M870)=0,"",INDEX(LdBAmt,$M870)),IF($N870&lt;&gt;"",IF(INDEX(LdCDep,$N870)=0,"",INDEX(LdCDep,$N870)),"")))</f>
        <v/>
      </c>
      <c r="F870" s="21">
        <f>IF(AND($L870="",$M870="",$N870=""),"",IF($N870="","",IF(INDEX(LdCWit,$N870)=0,"",INDEX(LdCWit,$N870))))</f>
        <v/>
      </c>
      <c r="G870" s="31">
        <f>IF($B870="","",IF($G869="",0,$G869)+IF($E870="",0,$E870)-IF($F870="",0,$F870))</f>
        <v/>
      </c>
      <c r="H870" s="32">
        <f>IF(AND($L870="",$M870="",$N870=""),"",IF($L870&lt;&gt;"",IF(INDEX(LdANote,$L870)="","—",INDEX(LdANote,$L870)),IF($M870&lt;&gt;"",IF(INDEX(LdBNote,$M870)="","—",INDEX(LdBNote,$M870)),IF($N870&lt;&gt;"",IF(INDEX(LdCNote,$N870)="","—",INDEX(LdCNote,$N870)),""))))</f>
        <v/>
      </c>
      <c r="L870">
        <f>IFERROR(MATCH($C$5&amp;"|"&amp;RIGHT("000000"&amp;854,6),LdAKeyM,0),"")</f>
        <v/>
      </c>
      <c r="M870">
        <f>IFERROR(MATCH($C$5&amp;"|"&amp;RIGHT("000000"&amp;854,6),LdBKeyM,0),"")</f>
        <v/>
      </c>
      <c r="N870">
        <f>IFERROR(MATCH($C$5&amp;"|"&amp;RIGHT("000000"&amp;854,6),LdCKeyM,0),"")</f>
        <v/>
      </c>
    </row>
    <row r="871">
      <c r="A871" s="10" t="n">
        <v>855</v>
      </c>
      <c r="B871" s="14">
        <f>IF(AND($L871="",$M871="",$N871=""),"",IF($L871&lt;&gt;"",INDEX(LdADate,$L871),IF($M871&lt;&gt;"",INDEX(LdBDate,$M871),INDEX(LdCDate,$N871))))</f>
        <v/>
      </c>
      <c r="C871" s="14">
        <f>IF($L871&lt;&gt;"","دستمزد (فردی)",IF($M871&lt;&gt;"","سهم از گروه "&amp;IFERROR(VLOOKUP(INDEX(LdBGroup,$M871),WGTbl,2,0),INDEX(LdBGroup,$M871)),IF($N871&lt;&gt;"",IF(N(INDEX(LdCDep,$N871))&gt;0,"بازگشت بانکی","پرداخت بانکی"),"")))</f>
        <v/>
      </c>
      <c r="D871" s="14">
        <f>IF($L871&lt;&gt;"",IF(INDEX(LdAId,$L871)="","—",INDEX(LdAId,$L871)),IF($M871&lt;&gt;"",IF(INDEX(LdBId,$M871)="","—",INDEX(LdBId,$M871)),IF($N871&lt;&gt;"",IF(INDEX(LdCBank,$N871)="","—",INDEX(LdCBank,$N871)),"")))</f>
        <v/>
      </c>
      <c r="E871" s="16">
        <f>IF($L871&lt;&gt;"",IF(INDEX(LdAAmt,$L871)=0,"",INDEX(LdAAmt,$L871)),IF($M871&lt;&gt;"",IF(INDEX(LdBAmt,$M871)=0,"",INDEX(LdBAmt,$M871)),IF($N871&lt;&gt;"",IF(INDEX(LdCDep,$N871)=0,"",INDEX(LdCDep,$N871)),"")))</f>
        <v/>
      </c>
      <c r="F871" s="16">
        <f>IF(AND($L871="",$M871="",$N871=""),"",IF($N871="","",IF(INDEX(LdCWit,$N871)=0,"",INDEX(LdCWit,$N871))))</f>
        <v/>
      </c>
      <c r="G871" s="29">
        <f>IF($B871="","",IF($G870="",0,$G870)+IF($E871="",0,$E871)-IF($F871="",0,$F871))</f>
        <v/>
      </c>
      <c r="H871" s="30">
        <f>IF(AND($L871="",$M871="",$N871=""),"",IF($L871&lt;&gt;"",IF(INDEX(LdANote,$L871)="","—",INDEX(LdANote,$L871)),IF($M871&lt;&gt;"",IF(INDEX(LdBNote,$M871)="","—",INDEX(LdBNote,$M871)),IF($N871&lt;&gt;"",IF(INDEX(LdCNote,$N871)="","—",INDEX(LdCNote,$N871)),""))))</f>
        <v/>
      </c>
      <c r="L871">
        <f>IFERROR(MATCH($C$5&amp;"|"&amp;RIGHT("000000"&amp;855,6),LdAKeyM,0),"")</f>
        <v/>
      </c>
      <c r="M871">
        <f>IFERROR(MATCH($C$5&amp;"|"&amp;RIGHT("000000"&amp;855,6),LdBKeyM,0),"")</f>
        <v/>
      </c>
      <c r="N871">
        <f>IFERROR(MATCH($C$5&amp;"|"&amp;RIGHT("000000"&amp;855,6),LdCKeyM,0),"")</f>
        <v/>
      </c>
    </row>
    <row r="872">
      <c r="A872" s="19" t="n">
        <v>856</v>
      </c>
      <c r="B872" s="20">
        <f>IF(AND($L872="",$M872="",$N872=""),"",IF($L872&lt;&gt;"",INDEX(LdADate,$L872),IF($M872&lt;&gt;"",INDEX(LdBDate,$M872),INDEX(LdCDate,$N872))))</f>
        <v/>
      </c>
      <c r="C872" s="20">
        <f>IF($L872&lt;&gt;"","دستمزد (فردی)",IF($M872&lt;&gt;"","سهم از گروه "&amp;IFERROR(VLOOKUP(INDEX(LdBGroup,$M872),WGTbl,2,0),INDEX(LdBGroup,$M872)),IF($N872&lt;&gt;"",IF(N(INDEX(LdCDep,$N872))&gt;0,"بازگشت بانکی","پرداخت بانکی"),"")))</f>
        <v/>
      </c>
      <c r="D872" s="20">
        <f>IF($L872&lt;&gt;"",IF(INDEX(LdAId,$L872)="","—",INDEX(LdAId,$L872)),IF($M872&lt;&gt;"",IF(INDEX(LdBId,$M872)="","—",INDEX(LdBId,$M872)),IF($N872&lt;&gt;"",IF(INDEX(LdCBank,$N872)="","—",INDEX(LdCBank,$N872)),"")))</f>
        <v/>
      </c>
      <c r="E872" s="21">
        <f>IF($L872&lt;&gt;"",IF(INDEX(LdAAmt,$L872)=0,"",INDEX(LdAAmt,$L872)),IF($M872&lt;&gt;"",IF(INDEX(LdBAmt,$M872)=0,"",INDEX(LdBAmt,$M872)),IF($N872&lt;&gt;"",IF(INDEX(LdCDep,$N872)=0,"",INDEX(LdCDep,$N872)),"")))</f>
        <v/>
      </c>
      <c r="F872" s="21">
        <f>IF(AND($L872="",$M872="",$N872=""),"",IF($N872="","",IF(INDEX(LdCWit,$N872)=0,"",INDEX(LdCWit,$N872))))</f>
        <v/>
      </c>
      <c r="G872" s="31">
        <f>IF($B872="","",IF($G871="",0,$G871)+IF($E872="",0,$E872)-IF($F872="",0,$F872))</f>
        <v/>
      </c>
      <c r="H872" s="32">
        <f>IF(AND($L872="",$M872="",$N872=""),"",IF($L872&lt;&gt;"",IF(INDEX(LdANote,$L872)="","—",INDEX(LdANote,$L872)),IF($M872&lt;&gt;"",IF(INDEX(LdBNote,$M872)="","—",INDEX(LdBNote,$M872)),IF($N872&lt;&gt;"",IF(INDEX(LdCNote,$N872)="","—",INDEX(LdCNote,$N872)),""))))</f>
        <v/>
      </c>
      <c r="L872">
        <f>IFERROR(MATCH($C$5&amp;"|"&amp;RIGHT("000000"&amp;856,6),LdAKeyM,0),"")</f>
        <v/>
      </c>
      <c r="M872">
        <f>IFERROR(MATCH($C$5&amp;"|"&amp;RIGHT("000000"&amp;856,6),LdBKeyM,0),"")</f>
        <v/>
      </c>
      <c r="N872">
        <f>IFERROR(MATCH($C$5&amp;"|"&amp;RIGHT("000000"&amp;856,6),LdCKeyM,0),"")</f>
        <v/>
      </c>
    </row>
    <row r="873">
      <c r="A873" s="10" t="n">
        <v>857</v>
      </c>
      <c r="B873" s="14">
        <f>IF(AND($L873="",$M873="",$N873=""),"",IF($L873&lt;&gt;"",INDEX(LdADate,$L873),IF($M873&lt;&gt;"",INDEX(LdBDate,$M873),INDEX(LdCDate,$N873))))</f>
        <v/>
      </c>
      <c r="C873" s="14">
        <f>IF($L873&lt;&gt;"","دستمزد (فردی)",IF($M873&lt;&gt;"","سهم از گروه "&amp;IFERROR(VLOOKUP(INDEX(LdBGroup,$M873),WGTbl,2,0),INDEX(LdBGroup,$M873)),IF($N873&lt;&gt;"",IF(N(INDEX(LdCDep,$N873))&gt;0,"بازگشت بانکی","پرداخت بانکی"),"")))</f>
        <v/>
      </c>
      <c r="D873" s="14">
        <f>IF($L873&lt;&gt;"",IF(INDEX(LdAId,$L873)="","—",INDEX(LdAId,$L873)),IF($M873&lt;&gt;"",IF(INDEX(LdBId,$M873)="","—",INDEX(LdBId,$M873)),IF($N873&lt;&gt;"",IF(INDEX(LdCBank,$N873)="","—",INDEX(LdCBank,$N873)),"")))</f>
        <v/>
      </c>
      <c r="E873" s="16">
        <f>IF($L873&lt;&gt;"",IF(INDEX(LdAAmt,$L873)=0,"",INDEX(LdAAmt,$L873)),IF($M873&lt;&gt;"",IF(INDEX(LdBAmt,$M873)=0,"",INDEX(LdBAmt,$M873)),IF($N873&lt;&gt;"",IF(INDEX(LdCDep,$N873)=0,"",INDEX(LdCDep,$N873)),"")))</f>
        <v/>
      </c>
      <c r="F873" s="16">
        <f>IF(AND($L873="",$M873="",$N873=""),"",IF($N873="","",IF(INDEX(LdCWit,$N873)=0,"",INDEX(LdCWit,$N873))))</f>
        <v/>
      </c>
      <c r="G873" s="29">
        <f>IF($B873="","",IF($G872="",0,$G872)+IF($E873="",0,$E873)-IF($F873="",0,$F873))</f>
        <v/>
      </c>
      <c r="H873" s="30">
        <f>IF(AND($L873="",$M873="",$N873=""),"",IF($L873&lt;&gt;"",IF(INDEX(LdANote,$L873)="","—",INDEX(LdANote,$L873)),IF($M873&lt;&gt;"",IF(INDEX(LdBNote,$M873)="","—",INDEX(LdBNote,$M873)),IF($N873&lt;&gt;"",IF(INDEX(LdCNote,$N873)="","—",INDEX(LdCNote,$N873)),""))))</f>
        <v/>
      </c>
      <c r="L873">
        <f>IFERROR(MATCH($C$5&amp;"|"&amp;RIGHT("000000"&amp;857,6),LdAKeyM,0),"")</f>
        <v/>
      </c>
      <c r="M873">
        <f>IFERROR(MATCH($C$5&amp;"|"&amp;RIGHT("000000"&amp;857,6),LdBKeyM,0),"")</f>
        <v/>
      </c>
      <c r="N873">
        <f>IFERROR(MATCH($C$5&amp;"|"&amp;RIGHT("000000"&amp;857,6),LdCKeyM,0),"")</f>
        <v/>
      </c>
    </row>
    <row r="874">
      <c r="A874" s="19" t="n">
        <v>858</v>
      </c>
      <c r="B874" s="20">
        <f>IF(AND($L874="",$M874="",$N874=""),"",IF($L874&lt;&gt;"",INDEX(LdADate,$L874),IF($M874&lt;&gt;"",INDEX(LdBDate,$M874),INDEX(LdCDate,$N874))))</f>
        <v/>
      </c>
      <c r="C874" s="20">
        <f>IF($L874&lt;&gt;"","دستمزد (فردی)",IF($M874&lt;&gt;"","سهم از گروه "&amp;IFERROR(VLOOKUP(INDEX(LdBGroup,$M874),WGTbl,2,0),INDEX(LdBGroup,$M874)),IF($N874&lt;&gt;"",IF(N(INDEX(LdCDep,$N874))&gt;0,"بازگشت بانکی","پرداخت بانکی"),"")))</f>
        <v/>
      </c>
      <c r="D874" s="20">
        <f>IF($L874&lt;&gt;"",IF(INDEX(LdAId,$L874)="","—",INDEX(LdAId,$L874)),IF($M874&lt;&gt;"",IF(INDEX(LdBId,$M874)="","—",INDEX(LdBId,$M874)),IF($N874&lt;&gt;"",IF(INDEX(LdCBank,$N874)="","—",INDEX(LdCBank,$N874)),"")))</f>
        <v/>
      </c>
      <c r="E874" s="21">
        <f>IF($L874&lt;&gt;"",IF(INDEX(LdAAmt,$L874)=0,"",INDEX(LdAAmt,$L874)),IF($M874&lt;&gt;"",IF(INDEX(LdBAmt,$M874)=0,"",INDEX(LdBAmt,$M874)),IF($N874&lt;&gt;"",IF(INDEX(LdCDep,$N874)=0,"",INDEX(LdCDep,$N874)),"")))</f>
        <v/>
      </c>
      <c r="F874" s="21">
        <f>IF(AND($L874="",$M874="",$N874=""),"",IF($N874="","",IF(INDEX(LdCWit,$N874)=0,"",INDEX(LdCWit,$N874))))</f>
        <v/>
      </c>
      <c r="G874" s="31">
        <f>IF($B874="","",IF($G873="",0,$G873)+IF($E874="",0,$E874)-IF($F874="",0,$F874))</f>
        <v/>
      </c>
      <c r="H874" s="32">
        <f>IF(AND($L874="",$M874="",$N874=""),"",IF($L874&lt;&gt;"",IF(INDEX(LdANote,$L874)="","—",INDEX(LdANote,$L874)),IF($M874&lt;&gt;"",IF(INDEX(LdBNote,$M874)="","—",INDEX(LdBNote,$M874)),IF($N874&lt;&gt;"",IF(INDEX(LdCNote,$N874)="","—",INDEX(LdCNote,$N874)),""))))</f>
        <v/>
      </c>
      <c r="L874">
        <f>IFERROR(MATCH($C$5&amp;"|"&amp;RIGHT("000000"&amp;858,6),LdAKeyM,0),"")</f>
        <v/>
      </c>
      <c r="M874">
        <f>IFERROR(MATCH($C$5&amp;"|"&amp;RIGHT("000000"&amp;858,6),LdBKeyM,0),"")</f>
        <v/>
      </c>
      <c r="N874">
        <f>IFERROR(MATCH($C$5&amp;"|"&amp;RIGHT("000000"&amp;858,6),LdCKeyM,0),"")</f>
        <v/>
      </c>
    </row>
    <row r="875">
      <c r="A875" s="10" t="n">
        <v>859</v>
      </c>
      <c r="B875" s="14">
        <f>IF(AND($L875="",$M875="",$N875=""),"",IF($L875&lt;&gt;"",INDEX(LdADate,$L875),IF($M875&lt;&gt;"",INDEX(LdBDate,$M875),INDEX(LdCDate,$N875))))</f>
        <v/>
      </c>
      <c r="C875" s="14">
        <f>IF($L875&lt;&gt;"","دستمزد (فردی)",IF($M875&lt;&gt;"","سهم از گروه "&amp;IFERROR(VLOOKUP(INDEX(LdBGroup,$M875),WGTbl,2,0),INDEX(LdBGroup,$M875)),IF($N875&lt;&gt;"",IF(N(INDEX(LdCDep,$N875))&gt;0,"بازگشت بانکی","پرداخت بانکی"),"")))</f>
        <v/>
      </c>
      <c r="D875" s="14">
        <f>IF($L875&lt;&gt;"",IF(INDEX(LdAId,$L875)="","—",INDEX(LdAId,$L875)),IF($M875&lt;&gt;"",IF(INDEX(LdBId,$M875)="","—",INDEX(LdBId,$M875)),IF($N875&lt;&gt;"",IF(INDEX(LdCBank,$N875)="","—",INDEX(LdCBank,$N875)),"")))</f>
        <v/>
      </c>
      <c r="E875" s="16">
        <f>IF($L875&lt;&gt;"",IF(INDEX(LdAAmt,$L875)=0,"",INDEX(LdAAmt,$L875)),IF($M875&lt;&gt;"",IF(INDEX(LdBAmt,$M875)=0,"",INDEX(LdBAmt,$M875)),IF($N875&lt;&gt;"",IF(INDEX(LdCDep,$N875)=0,"",INDEX(LdCDep,$N875)),"")))</f>
        <v/>
      </c>
      <c r="F875" s="16">
        <f>IF(AND($L875="",$M875="",$N875=""),"",IF($N875="","",IF(INDEX(LdCWit,$N875)=0,"",INDEX(LdCWit,$N875))))</f>
        <v/>
      </c>
      <c r="G875" s="29">
        <f>IF($B875="","",IF($G874="",0,$G874)+IF($E875="",0,$E875)-IF($F875="",0,$F875))</f>
        <v/>
      </c>
      <c r="H875" s="30">
        <f>IF(AND($L875="",$M875="",$N875=""),"",IF($L875&lt;&gt;"",IF(INDEX(LdANote,$L875)="","—",INDEX(LdANote,$L875)),IF($M875&lt;&gt;"",IF(INDEX(LdBNote,$M875)="","—",INDEX(LdBNote,$M875)),IF($N875&lt;&gt;"",IF(INDEX(LdCNote,$N875)="","—",INDEX(LdCNote,$N875)),""))))</f>
        <v/>
      </c>
      <c r="L875">
        <f>IFERROR(MATCH($C$5&amp;"|"&amp;RIGHT("000000"&amp;859,6),LdAKeyM,0),"")</f>
        <v/>
      </c>
      <c r="M875">
        <f>IFERROR(MATCH($C$5&amp;"|"&amp;RIGHT("000000"&amp;859,6),LdBKeyM,0),"")</f>
        <v/>
      </c>
      <c r="N875">
        <f>IFERROR(MATCH($C$5&amp;"|"&amp;RIGHT("000000"&amp;859,6),LdCKeyM,0),"")</f>
        <v/>
      </c>
    </row>
    <row r="876">
      <c r="A876" s="19" t="n">
        <v>860</v>
      </c>
      <c r="B876" s="20">
        <f>IF(AND($L876="",$M876="",$N876=""),"",IF($L876&lt;&gt;"",INDEX(LdADate,$L876),IF($M876&lt;&gt;"",INDEX(LdBDate,$M876),INDEX(LdCDate,$N876))))</f>
        <v/>
      </c>
      <c r="C876" s="20">
        <f>IF($L876&lt;&gt;"","دستمزد (فردی)",IF($M876&lt;&gt;"","سهم از گروه "&amp;IFERROR(VLOOKUP(INDEX(LdBGroup,$M876),WGTbl,2,0),INDEX(LdBGroup,$M876)),IF($N876&lt;&gt;"",IF(N(INDEX(LdCDep,$N876))&gt;0,"بازگشت بانکی","پرداخت بانکی"),"")))</f>
        <v/>
      </c>
      <c r="D876" s="20">
        <f>IF($L876&lt;&gt;"",IF(INDEX(LdAId,$L876)="","—",INDEX(LdAId,$L876)),IF($M876&lt;&gt;"",IF(INDEX(LdBId,$M876)="","—",INDEX(LdBId,$M876)),IF($N876&lt;&gt;"",IF(INDEX(LdCBank,$N876)="","—",INDEX(LdCBank,$N876)),"")))</f>
        <v/>
      </c>
      <c r="E876" s="21">
        <f>IF($L876&lt;&gt;"",IF(INDEX(LdAAmt,$L876)=0,"",INDEX(LdAAmt,$L876)),IF($M876&lt;&gt;"",IF(INDEX(LdBAmt,$M876)=0,"",INDEX(LdBAmt,$M876)),IF($N876&lt;&gt;"",IF(INDEX(LdCDep,$N876)=0,"",INDEX(LdCDep,$N876)),"")))</f>
        <v/>
      </c>
      <c r="F876" s="21">
        <f>IF(AND($L876="",$M876="",$N876=""),"",IF($N876="","",IF(INDEX(LdCWit,$N876)=0,"",INDEX(LdCWit,$N876))))</f>
        <v/>
      </c>
      <c r="G876" s="31">
        <f>IF($B876="","",IF($G875="",0,$G875)+IF($E876="",0,$E876)-IF($F876="",0,$F876))</f>
        <v/>
      </c>
      <c r="H876" s="32">
        <f>IF(AND($L876="",$M876="",$N876=""),"",IF($L876&lt;&gt;"",IF(INDEX(LdANote,$L876)="","—",INDEX(LdANote,$L876)),IF($M876&lt;&gt;"",IF(INDEX(LdBNote,$M876)="","—",INDEX(LdBNote,$M876)),IF($N876&lt;&gt;"",IF(INDEX(LdCNote,$N876)="","—",INDEX(LdCNote,$N876)),""))))</f>
        <v/>
      </c>
      <c r="L876">
        <f>IFERROR(MATCH($C$5&amp;"|"&amp;RIGHT("000000"&amp;860,6),LdAKeyM,0),"")</f>
        <v/>
      </c>
      <c r="M876">
        <f>IFERROR(MATCH($C$5&amp;"|"&amp;RIGHT("000000"&amp;860,6),LdBKeyM,0),"")</f>
        <v/>
      </c>
      <c r="N876">
        <f>IFERROR(MATCH($C$5&amp;"|"&amp;RIGHT("000000"&amp;860,6),LdCKeyM,0),"")</f>
        <v/>
      </c>
    </row>
    <row r="877">
      <c r="A877" s="10" t="n">
        <v>861</v>
      </c>
      <c r="B877" s="14">
        <f>IF(AND($L877="",$M877="",$N877=""),"",IF($L877&lt;&gt;"",INDEX(LdADate,$L877),IF($M877&lt;&gt;"",INDEX(LdBDate,$M877),INDEX(LdCDate,$N877))))</f>
        <v/>
      </c>
      <c r="C877" s="14">
        <f>IF($L877&lt;&gt;"","دستمزد (فردی)",IF($M877&lt;&gt;"","سهم از گروه "&amp;IFERROR(VLOOKUP(INDEX(LdBGroup,$M877),WGTbl,2,0),INDEX(LdBGroup,$M877)),IF($N877&lt;&gt;"",IF(N(INDEX(LdCDep,$N877))&gt;0,"بازگشت بانکی","پرداخت بانکی"),"")))</f>
        <v/>
      </c>
      <c r="D877" s="14">
        <f>IF($L877&lt;&gt;"",IF(INDEX(LdAId,$L877)="","—",INDEX(LdAId,$L877)),IF($M877&lt;&gt;"",IF(INDEX(LdBId,$M877)="","—",INDEX(LdBId,$M877)),IF($N877&lt;&gt;"",IF(INDEX(LdCBank,$N877)="","—",INDEX(LdCBank,$N877)),"")))</f>
        <v/>
      </c>
      <c r="E877" s="16">
        <f>IF($L877&lt;&gt;"",IF(INDEX(LdAAmt,$L877)=0,"",INDEX(LdAAmt,$L877)),IF($M877&lt;&gt;"",IF(INDEX(LdBAmt,$M877)=0,"",INDEX(LdBAmt,$M877)),IF($N877&lt;&gt;"",IF(INDEX(LdCDep,$N877)=0,"",INDEX(LdCDep,$N877)),"")))</f>
        <v/>
      </c>
      <c r="F877" s="16">
        <f>IF(AND($L877="",$M877="",$N877=""),"",IF($N877="","",IF(INDEX(LdCWit,$N877)=0,"",INDEX(LdCWit,$N877))))</f>
        <v/>
      </c>
      <c r="G877" s="29">
        <f>IF($B877="","",IF($G876="",0,$G876)+IF($E877="",0,$E877)-IF($F877="",0,$F877))</f>
        <v/>
      </c>
      <c r="H877" s="30">
        <f>IF(AND($L877="",$M877="",$N877=""),"",IF($L877&lt;&gt;"",IF(INDEX(LdANote,$L877)="","—",INDEX(LdANote,$L877)),IF($M877&lt;&gt;"",IF(INDEX(LdBNote,$M877)="","—",INDEX(LdBNote,$M877)),IF($N877&lt;&gt;"",IF(INDEX(LdCNote,$N877)="","—",INDEX(LdCNote,$N877)),""))))</f>
        <v/>
      </c>
      <c r="L877">
        <f>IFERROR(MATCH($C$5&amp;"|"&amp;RIGHT("000000"&amp;861,6),LdAKeyM,0),"")</f>
        <v/>
      </c>
      <c r="M877">
        <f>IFERROR(MATCH($C$5&amp;"|"&amp;RIGHT("000000"&amp;861,6),LdBKeyM,0),"")</f>
        <v/>
      </c>
      <c r="N877">
        <f>IFERROR(MATCH($C$5&amp;"|"&amp;RIGHT("000000"&amp;861,6),LdCKeyM,0),"")</f>
        <v/>
      </c>
    </row>
    <row r="878">
      <c r="A878" s="19" t="n">
        <v>862</v>
      </c>
      <c r="B878" s="20">
        <f>IF(AND($L878="",$M878="",$N878=""),"",IF($L878&lt;&gt;"",INDEX(LdADate,$L878),IF($M878&lt;&gt;"",INDEX(LdBDate,$M878),INDEX(LdCDate,$N878))))</f>
        <v/>
      </c>
      <c r="C878" s="20">
        <f>IF($L878&lt;&gt;"","دستمزد (فردی)",IF($M878&lt;&gt;"","سهم از گروه "&amp;IFERROR(VLOOKUP(INDEX(LdBGroup,$M878),WGTbl,2,0),INDEX(LdBGroup,$M878)),IF($N878&lt;&gt;"",IF(N(INDEX(LdCDep,$N878))&gt;0,"بازگشت بانکی","پرداخت بانکی"),"")))</f>
        <v/>
      </c>
      <c r="D878" s="20">
        <f>IF($L878&lt;&gt;"",IF(INDEX(LdAId,$L878)="","—",INDEX(LdAId,$L878)),IF($M878&lt;&gt;"",IF(INDEX(LdBId,$M878)="","—",INDEX(LdBId,$M878)),IF($N878&lt;&gt;"",IF(INDEX(LdCBank,$N878)="","—",INDEX(LdCBank,$N878)),"")))</f>
        <v/>
      </c>
      <c r="E878" s="21">
        <f>IF($L878&lt;&gt;"",IF(INDEX(LdAAmt,$L878)=0,"",INDEX(LdAAmt,$L878)),IF($M878&lt;&gt;"",IF(INDEX(LdBAmt,$M878)=0,"",INDEX(LdBAmt,$M878)),IF($N878&lt;&gt;"",IF(INDEX(LdCDep,$N878)=0,"",INDEX(LdCDep,$N878)),"")))</f>
        <v/>
      </c>
      <c r="F878" s="21">
        <f>IF(AND($L878="",$M878="",$N878=""),"",IF($N878="","",IF(INDEX(LdCWit,$N878)=0,"",INDEX(LdCWit,$N878))))</f>
        <v/>
      </c>
      <c r="G878" s="31">
        <f>IF($B878="","",IF($G877="",0,$G877)+IF($E878="",0,$E878)-IF($F878="",0,$F878))</f>
        <v/>
      </c>
      <c r="H878" s="32">
        <f>IF(AND($L878="",$M878="",$N878=""),"",IF($L878&lt;&gt;"",IF(INDEX(LdANote,$L878)="","—",INDEX(LdANote,$L878)),IF($M878&lt;&gt;"",IF(INDEX(LdBNote,$M878)="","—",INDEX(LdBNote,$M878)),IF($N878&lt;&gt;"",IF(INDEX(LdCNote,$N878)="","—",INDEX(LdCNote,$N878)),""))))</f>
        <v/>
      </c>
      <c r="L878">
        <f>IFERROR(MATCH($C$5&amp;"|"&amp;RIGHT("000000"&amp;862,6),LdAKeyM,0),"")</f>
        <v/>
      </c>
      <c r="M878">
        <f>IFERROR(MATCH($C$5&amp;"|"&amp;RIGHT("000000"&amp;862,6),LdBKeyM,0),"")</f>
        <v/>
      </c>
      <c r="N878">
        <f>IFERROR(MATCH($C$5&amp;"|"&amp;RIGHT("000000"&amp;862,6),LdCKeyM,0),"")</f>
        <v/>
      </c>
    </row>
    <row r="879">
      <c r="A879" s="10" t="n">
        <v>863</v>
      </c>
      <c r="B879" s="14">
        <f>IF(AND($L879="",$M879="",$N879=""),"",IF($L879&lt;&gt;"",INDEX(LdADate,$L879),IF($M879&lt;&gt;"",INDEX(LdBDate,$M879),INDEX(LdCDate,$N879))))</f>
        <v/>
      </c>
      <c r="C879" s="14">
        <f>IF($L879&lt;&gt;"","دستمزد (فردی)",IF($M879&lt;&gt;"","سهم از گروه "&amp;IFERROR(VLOOKUP(INDEX(LdBGroup,$M879),WGTbl,2,0),INDEX(LdBGroup,$M879)),IF($N879&lt;&gt;"",IF(N(INDEX(LdCDep,$N879))&gt;0,"بازگشت بانکی","پرداخت بانکی"),"")))</f>
        <v/>
      </c>
      <c r="D879" s="14">
        <f>IF($L879&lt;&gt;"",IF(INDEX(LdAId,$L879)="","—",INDEX(LdAId,$L879)),IF($M879&lt;&gt;"",IF(INDEX(LdBId,$M879)="","—",INDEX(LdBId,$M879)),IF($N879&lt;&gt;"",IF(INDEX(LdCBank,$N879)="","—",INDEX(LdCBank,$N879)),"")))</f>
        <v/>
      </c>
      <c r="E879" s="16">
        <f>IF($L879&lt;&gt;"",IF(INDEX(LdAAmt,$L879)=0,"",INDEX(LdAAmt,$L879)),IF($M879&lt;&gt;"",IF(INDEX(LdBAmt,$M879)=0,"",INDEX(LdBAmt,$M879)),IF($N879&lt;&gt;"",IF(INDEX(LdCDep,$N879)=0,"",INDEX(LdCDep,$N879)),"")))</f>
        <v/>
      </c>
      <c r="F879" s="16">
        <f>IF(AND($L879="",$M879="",$N879=""),"",IF($N879="","",IF(INDEX(LdCWit,$N879)=0,"",INDEX(LdCWit,$N879))))</f>
        <v/>
      </c>
      <c r="G879" s="29">
        <f>IF($B879="","",IF($G878="",0,$G878)+IF($E879="",0,$E879)-IF($F879="",0,$F879))</f>
        <v/>
      </c>
      <c r="H879" s="30">
        <f>IF(AND($L879="",$M879="",$N879=""),"",IF($L879&lt;&gt;"",IF(INDEX(LdANote,$L879)="","—",INDEX(LdANote,$L879)),IF($M879&lt;&gt;"",IF(INDEX(LdBNote,$M879)="","—",INDEX(LdBNote,$M879)),IF($N879&lt;&gt;"",IF(INDEX(LdCNote,$N879)="","—",INDEX(LdCNote,$N879)),""))))</f>
        <v/>
      </c>
      <c r="L879">
        <f>IFERROR(MATCH($C$5&amp;"|"&amp;RIGHT("000000"&amp;863,6),LdAKeyM,0),"")</f>
        <v/>
      </c>
      <c r="M879">
        <f>IFERROR(MATCH($C$5&amp;"|"&amp;RIGHT("000000"&amp;863,6),LdBKeyM,0),"")</f>
        <v/>
      </c>
      <c r="N879">
        <f>IFERROR(MATCH($C$5&amp;"|"&amp;RIGHT("000000"&amp;863,6),LdCKeyM,0),"")</f>
        <v/>
      </c>
    </row>
    <row r="880">
      <c r="A880" s="19" t="n">
        <v>864</v>
      </c>
      <c r="B880" s="20">
        <f>IF(AND($L880="",$M880="",$N880=""),"",IF($L880&lt;&gt;"",INDEX(LdADate,$L880),IF($M880&lt;&gt;"",INDEX(LdBDate,$M880),INDEX(LdCDate,$N880))))</f>
        <v/>
      </c>
      <c r="C880" s="20">
        <f>IF($L880&lt;&gt;"","دستمزد (فردی)",IF($M880&lt;&gt;"","سهم از گروه "&amp;IFERROR(VLOOKUP(INDEX(LdBGroup,$M880),WGTbl,2,0),INDEX(LdBGroup,$M880)),IF($N880&lt;&gt;"",IF(N(INDEX(LdCDep,$N880))&gt;0,"بازگشت بانکی","پرداخت بانکی"),"")))</f>
        <v/>
      </c>
      <c r="D880" s="20">
        <f>IF($L880&lt;&gt;"",IF(INDEX(LdAId,$L880)="","—",INDEX(LdAId,$L880)),IF($M880&lt;&gt;"",IF(INDEX(LdBId,$M880)="","—",INDEX(LdBId,$M880)),IF($N880&lt;&gt;"",IF(INDEX(LdCBank,$N880)="","—",INDEX(LdCBank,$N880)),"")))</f>
        <v/>
      </c>
      <c r="E880" s="21">
        <f>IF($L880&lt;&gt;"",IF(INDEX(LdAAmt,$L880)=0,"",INDEX(LdAAmt,$L880)),IF($M880&lt;&gt;"",IF(INDEX(LdBAmt,$M880)=0,"",INDEX(LdBAmt,$M880)),IF($N880&lt;&gt;"",IF(INDEX(LdCDep,$N880)=0,"",INDEX(LdCDep,$N880)),"")))</f>
        <v/>
      </c>
      <c r="F880" s="21">
        <f>IF(AND($L880="",$M880="",$N880=""),"",IF($N880="","",IF(INDEX(LdCWit,$N880)=0,"",INDEX(LdCWit,$N880))))</f>
        <v/>
      </c>
      <c r="G880" s="31">
        <f>IF($B880="","",IF($G879="",0,$G879)+IF($E880="",0,$E880)-IF($F880="",0,$F880))</f>
        <v/>
      </c>
      <c r="H880" s="32">
        <f>IF(AND($L880="",$M880="",$N880=""),"",IF($L880&lt;&gt;"",IF(INDEX(LdANote,$L880)="","—",INDEX(LdANote,$L880)),IF($M880&lt;&gt;"",IF(INDEX(LdBNote,$M880)="","—",INDEX(LdBNote,$M880)),IF($N880&lt;&gt;"",IF(INDEX(LdCNote,$N880)="","—",INDEX(LdCNote,$N880)),""))))</f>
        <v/>
      </c>
      <c r="L880">
        <f>IFERROR(MATCH($C$5&amp;"|"&amp;RIGHT("000000"&amp;864,6),LdAKeyM,0),"")</f>
        <v/>
      </c>
      <c r="M880">
        <f>IFERROR(MATCH($C$5&amp;"|"&amp;RIGHT("000000"&amp;864,6),LdBKeyM,0),"")</f>
        <v/>
      </c>
      <c r="N880">
        <f>IFERROR(MATCH($C$5&amp;"|"&amp;RIGHT("000000"&amp;864,6),LdCKeyM,0),"")</f>
        <v/>
      </c>
    </row>
    <row r="881">
      <c r="A881" s="10" t="n">
        <v>865</v>
      </c>
      <c r="B881" s="14">
        <f>IF(AND($L881="",$M881="",$N881=""),"",IF($L881&lt;&gt;"",INDEX(LdADate,$L881),IF($M881&lt;&gt;"",INDEX(LdBDate,$M881),INDEX(LdCDate,$N881))))</f>
        <v/>
      </c>
      <c r="C881" s="14">
        <f>IF($L881&lt;&gt;"","دستمزد (فردی)",IF($M881&lt;&gt;"","سهم از گروه "&amp;IFERROR(VLOOKUP(INDEX(LdBGroup,$M881),WGTbl,2,0),INDEX(LdBGroup,$M881)),IF($N881&lt;&gt;"",IF(N(INDEX(LdCDep,$N881))&gt;0,"بازگشت بانکی","پرداخت بانکی"),"")))</f>
        <v/>
      </c>
      <c r="D881" s="14">
        <f>IF($L881&lt;&gt;"",IF(INDEX(LdAId,$L881)="","—",INDEX(LdAId,$L881)),IF($M881&lt;&gt;"",IF(INDEX(LdBId,$M881)="","—",INDEX(LdBId,$M881)),IF($N881&lt;&gt;"",IF(INDEX(LdCBank,$N881)="","—",INDEX(LdCBank,$N881)),"")))</f>
        <v/>
      </c>
      <c r="E881" s="16">
        <f>IF($L881&lt;&gt;"",IF(INDEX(LdAAmt,$L881)=0,"",INDEX(LdAAmt,$L881)),IF($M881&lt;&gt;"",IF(INDEX(LdBAmt,$M881)=0,"",INDEX(LdBAmt,$M881)),IF($N881&lt;&gt;"",IF(INDEX(LdCDep,$N881)=0,"",INDEX(LdCDep,$N881)),"")))</f>
        <v/>
      </c>
      <c r="F881" s="16">
        <f>IF(AND($L881="",$M881="",$N881=""),"",IF($N881="","",IF(INDEX(LdCWit,$N881)=0,"",INDEX(LdCWit,$N881))))</f>
        <v/>
      </c>
      <c r="G881" s="29">
        <f>IF($B881="","",IF($G880="",0,$G880)+IF($E881="",0,$E881)-IF($F881="",0,$F881))</f>
        <v/>
      </c>
      <c r="H881" s="30">
        <f>IF(AND($L881="",$M881="",$N881=""),"",IF($L881&lt;&gt;"",IF(INDEX(LdANote,$L881)="","—",INDEX(LdANote,$L881)),IF($M881&lt;&gt;"",IF(INDEX(LdBNote,$M881)="","—",INDEX(LdBNote,$M881)),IF($N881&lt;&gt;"",IF(INDEX(LdCNote,$N881)="","—",INDEX(LdCNote,$N881)),""))))</f>
        <v/>
      </c>
      <c r="L881">
        <f>IFERROR(MATCH($C$5&amp;"|"&amp;RIGHT("000000"&amp;865,6),LdAKeyM,0),"")</f>
        <v/>
      </c>
      <c r="M881">
        <f>IFERROR(MATCH($C$5&amp;"|"&amp;RIGHT("000000"&amp;865,6),LdBKeyM,0),"")</f>
        <v/>
      </c>
      <c r="N881">
        <f>IFERROR(MATCH($C$5&amp;"|"&amp;RIGHT("000000"&amp;865,6),LdCKeyM,0),"")</f>
        <v/>
      </c>
    </row>
    <row r="882">
      <c r="A882" s="19" t="n">
        <v>866</v>
      </c>
      <c r="B882" s="20">
        <f>IF(AND($L882="",$M882="",$N882=""),"",IF($L882&lt;&gt;"",INDEX(LdADate,$L882),IF($M882&lt;&gt;"",INDEX(LdBDate,$M882),INDEX(LdCDate,$N882))))</f>
        <v/>
      </c>
      <c r="C882" s="20">
        <f>IF($L882&lt;&gt;"","دستمزد (فردی)",IF($M882&lt;&gt;"","سهم از گروه "&amp;IFERROR(VLOOKUP(INDEX(LdBGroup,$M882),WGTbl,2,0),INDEX(LdBGroup,$M882)),IF($N882&lt;&gt;"",IF(N(INDEX(LdCDep,$N882))&gt;0,"بازگشت بانکی","پرداخت بانکی"),"")))</f>
        <v/>
      </c>
      <c r="D882" s="20">
        <f>IF($L882&lt;&gt;"",IF(INDEX(LdAId,$L882)="","—",INDEX(LdAId,$L882)),IF($M882&lt;&gt;"",IF(INDEX(LdBId,$M882)="","—",INDEX(LdBId,$M882)),IF($N882&lt;&gt;"",IF(INDEX(LdCBank,$N882)="","—",INDEX(LdCBank,$N882)),"")))</f>
        <v/>
      </c>
      <c r="E882" s="21">
        <f>IF($L882&lt;&gt;"",IF(INDEX(LdAAmt,$L882)=0,"",INDEX(LdAAmt,$L882)),IF($M882&lt;&gt;"",IF(INDEX(LdBAmt,$M882)=0,"",INDEX(LdBAmt,$M882)),IF($N882&lt;&gt;"",IF(INDEX(LdCDep,$N882)=0,"",INDEX(LdCDep,$N882)),"")))</f>
        <v/>
      </c>
      <c r="F882" s="21">
        <f>IF(AND($L882="",$M882="",$N882=""),"",IF($N882="","",IF(INDEX(LdCWit,$N882)=0,"",INDEX(LdCWit,$N882))))</f>
        <v/>
      </c>
      <c r="G882" s="31">
        <f>IF($B882="","",IF($G881="",0,$G881)+IF($E882="",0,$E882)-IF($F882="",0,$F882))</f>
        <v/>
      </c>
      <c r="H882" s="32">
        <f>IF(AND($L882="",$M882="",$N882=""),"",IF($L882&lt;&gt;"",IF(INDEX(LdANote,$L882)="","—",INDEX(LdANote,$L882)),IF($M882&lt;&gt;"",IF(INDEX(LdBNote,$M882)="","—",INDEX(LdBNote,$M882)),IF($N882&lt;&gt;"",IF(INDEX(LdCNote,$N882)="","—",INDEX(LdCNote,$N882)),""))))</f>
        <v/>
      </c>
      <c r="L882">
        <f>IFERROR(MATCH($C$5&amp;"|"&amp;RIGHT("000000"&amp;866,6),LdAKeyM,0),"")</f>
        <v/>
      </c>
      <c r="M882">
        <f>IFERROR(MATCH($C$5&amp;"|"&amp;RIGHT("000000"&amp;866,6),LdBKeyM,0),"")</f>
        <v/>
      </c>
      <c r="N882">
        <f>IFERROR(MATCH($C$5&amp;"|"&amp;RIGHT("000000"&amp;866,6),LdCKeyM,0),"")</f>
        <v/>
      </c>
    </row>
    <row r="883">
      <c r="A883" s="10" t="n">
        <v>867</v>
      </c>
      <c r="B883" s="14">
        <f>IF(AND($L883="",$M883="",$N883=""),"",IF($L883&lt;&gt;"",INDEX(LdADate,$L883),IF($M883&lt;&gt;"",INDEX(LdBDate,$M883),INDEX(LdCDate,$N883))))</f>
        <v/>
      </c>
      <c r="C883" s="14">
        <f>IF($L883&lt;&gt;"","دستمزد (فردی)",IF($M883&lt;&gt;"","سهم از گروه "&amp;IFERROR(VLOOKUP(INDEX(LdBGroup,$M883),WGTbl,2,0),INDEX(LdBGroup,$M883)),IF($N883&lt;&gt;"",IF(N(INDEX(LdCDep,$N883))&gt;0,"بازگشت بانکی","پرداخت بانکی"),"")))</f>
        <v/>
      </c>
      <c r="D883" s="14">
        <f>IF($L883&lt;&gt;"",IF(INDEX(LdAId,$L883)="","—",INDEX(LdAId,$L883)),IF($M883&lt;&gt;"",IF(INDEX(LdBId,$M883)="","—",INDEX(LdBId,$M883)),IF($N883&lt;&gt;"",IF(INDEX(LdCBank,$N883)="","—",INDEX(LdCBank,$N883)),"")))</f>
        <v/>
      </c>
      <c r="E883" s="16">
        <f>IF($L883&lt;&gt;"",IF(INDEX(LdAAmt,$L883)=0,"",INDEX(LdAAmt,$L883)),IF($M883&lt;&gt;"",IF(INDEX(LdBAmt,$M883)=0,"",INDEX(LdBAmt,$M883)),IF($N883&lt;&gt;"",IF(INDEX(LdCDep,$N883)=0,"",INDEX(LdCDep,$N883)),"")))</f>
        <v/>
      </c>
      <c r="F883" s="16">
        <f>IF(AND($L883="",$M883="",$N883=""),"",IF($N883="","",IF(INDEX(LdCWit,$N883)=0,"",INDEX(LdCWit,$N883))))</f>
        <v/>
      </c>
      <c r="G883" s="29">
        <f>IF($B883="","",IF($G882="",0,$G882)+IF($E883="",0,$E883)-IF($F883="",0,$F883))</f>
        <v/>
      </c>
      <c r="H883" s="30">
        <f>IF(AND($L883="",$M883="",$N883=""),"",IF($L883&lt;&gt;"",IF(INDEX(LdANote,$L883)="","—",INDEX(LdANote,$L883)),IF($M883&lt;&gt;"",IF(INDEX(LdBNote,$M883)="","—",INDEX(LdBNote,$M883)),IF($N883&lt;&gt;"",IF(INDEX(LdCNote,$N883)="","—",INDEX(LdCNote,$N883)),""))))</f>
        <v/>
      </c>
      <c r="L883">
        <f>IFERROR(MATCH($C$5&amp;"|"&amp;RIGHT("000000"&amp;867,6),LdAKeyM,0),"")</f>
        <v/>
      </c>
      <c r="M883">
        <f>IFERROR(MATCH($C$5&amp;"|"&amp;RIGHT("000000"&amp;867,6),LdBKeyM,0),"")</f>
        <v/>
      </c>
      <c r="N883">
        <f>IFERROR(MATCH($C$5&amp;"|"&amp;RIGHT("000000"&amp;867,6),LdCKeyM,0),"")</f>
        <v/>
      </c>
    </row>
    <row r="884">
      <c r="A884" s="19" t="n">
        <v>868</v>
      </c>
      <c r="B884" s="20">
        <f>IF(AND($L884="",$M884="",$N884=""),"",IF($L884&lt;&gt;"",INDEX(LdADate,$L884),IF($M884&lt;&gt;"",INDEX(LdBDate,$M884),INDEX(LdCDate,$N884))))</f>
        <v/>
      </c>
      <c r="C884" s="20">
        <f>IF($L884&lt;&gt;"","دستمزد (فردی)",IF($M884&lt;&gt;"","سهم از گروه "&amp;IFERROR(VLOOKUP(INDEX(LdBGroup,$M884),WGTbl,2,0),INDEX(LdBGroup,$M884)),IF($N884&lt;&gt;"",IF(N(INDEX(LdCDep,$N884))&gt;0,"بازگشت بانکی","پرداخت بانکی"),"")))</f>
        <v/>
      </c>
      <c r="D884" s="20">
        <f>IF($L884&lt;&gt;"",IF(INDEX(LdAId,$L884)="","—",INDEX(LdAId,$L884)),IF($M884&lt;&gt;"",IF(INDEX(LdBId,$M884)="","—",INDEX(LdBId,$M884)),IF($N884&lt;&gt;"",IF(INDEX(LdCBank,$N884)="","—",INDEX(LdCBank,$N884)),"")))</f>
        <v/>
      </c>
      <c r="E884" s="21">
        <f>IF($L884&lt;&gt;"",IF(INDEX(LdAAmt,$L884)=0,"",INDEX(LdAAmt,$L884)),IF($M884&lt;&gt;"",IF(INDEX(LdBAmt,$M884)=0,"",INDEX(LdBAmt,$M884)),IF($N884&lt;&gt;"",IF(INDEX(LdCDep,$N884)=0,"",INDEX(LdCDep,$N884)),"")))</f>
        <v/>
      </c>
      <c r="F884" s="21">
        <f>IF(AND($L884="",$M884="",$N884=""),"",IF($N884="","",IF(INDEX(LdCWit,$N884)=0,"",INDEX(LdCWit,$N884))))</f>
        <v/>
      </c>
      <c r="G884" s="31">
        <f>IF($B884="","",IF($G883="",0,$G883)+IF($E884="",0,$E884)-IF($F884="",0,$F884))</f>
        <v/>
      </c>
      <c r="H884" s="32">
        <f>IF(AND($L884="",$M884="",$N884=""),"",IF($L884&lt;&gt;"",IF(INDEX(LdANote,$L884)="","—",INDEX(LdANote,$L884)),IF($M884&lt;&gt;"",IF(INDEX(LdBNote,$M884)="","—",INDEX(LdBNote,$M884)),IF($N884&lt;&gt;"",IF(INDEX(LdCNote,$N884)="","—",INDEX(LdCNote,$N884)),""))))</f>
        <v/>
      </c>
      <c r="L884">
        <f>IFERROR(MATCH($C$5&amp;"|"&amp;RIGHT("000000"&amp;868,6),LdAKeyM,0),"")</f>
        <v/>
      </c>
      <c r="M884">
        <f>IFERROR(MATCH($C$5&amp;"|"&amp;RIGHT("000000"&amp;868,6),LdBKeyM,0),"")</f>
        <v/>
      </c>
      <c r="N884">
        <f>IFERROR(MATCH($C$5&amp;"|"&amp;RIGHT("000000"&amp;868,6),LdCKeyM,0),"")</f>
        <v/>
      </c>
    </row>
    <row r="885">
      <c r="A885" s="10" t="n">
        <v>869</v>
      </c>
      <c r="B885" s="14">
        <f>IF(AND($L885="",$M885="",$N885=""),"",IF($L885&lt;&gt;"",INDEX(LdADate,$L885),IF($M885&lt;&gt;"",INDEX(LdBDate,$M885),INDEX(LdCDate,$N885))))</f>
        <v/>
      </c>
      <c r="C885" s="14">
        <f>IF($L885&lt;&gt;"","دستمزد (فردی)",IF($M885&lt;&gt;"","سهم از گروه "&amp;IFERROR(VLOOKUP(INDEX(LdBGroup,$M885),WGTbl,2,0),INDEX(LdBGroup,$M885)),IF($N885&lt;&gt;"",IF(N(INDEX(LdCDep,$N885))&gt;0,"بازگشت بانکی","پرداخت بانکی"),"")))</f>
        <v/>
      </c>
      <c r="D885" s="14">
        <f>IF($L885&lt;&gt;"",IF(INDEX(LdAId,$L885)="","—",INDEX(LdAId,$L885)),IF($M885&lt;&gt;"",IF(INDEX(LdBId,$M885)="","—",INDEX(LdBId,$M885)),IF($N885&lt;&gt;"",IF(INDEX(LdCBank,$N885)="","—",INDEX(LdCBank,$N885)),"")))</f>
        <v/>
      </c>
      <c r="E885" s="16">
        <f>IF($L885&lt;&gt;"",IF(INDEX(LdAAmt,$L885)=0,"",INDEX(LdAAmt,$L885)),IF($M885&lt;&gt;"",IF(INDEX(LdBAmt,$M885)=0,"",INDEX(LdBAmt,$M885)),IF($N885&lt;&gt;"",IF(INDEX(LdCDep,$N885)=0,"",INDEX(LdCDep,$N885)),"")))</f>
        <v/>
      </c>
      <c r="F885" s="16">
        <f>IF(AND($L885="",$M885="",$N885=""),"",IF($N885="","",IF(INDEX(LdCWit,$N885)=0,"",INDEX(LdCWit,$N885))))</f>
        <v/>
      </c>
      <c r="G885" s="29">
        <f>IF($B885="","",IF($G884="",0,$G884)+IF($E885="",0,$E885)-IF($F885="",0,$F885))</f>
        <v/>
      </c>
      <c r="H885" s="30">
        <f>IF(AND($L885="",$M885="",$N885=""),"",IF($L885&lt;&gt;"",IF(INDEX(LdANote,$L885)="","—",INDEX(LdANote,$L885)),IF($M885&lt;&gt;"",IF(INDEX(LdBNote,$M885)="","—",INDEX(LdBNote,$M885)),IF($N885&lt;&gt;"",IF(INDEX(LdCNote,$N885)="","—",INDEX(LdCNote,$N885)),""))))</f>
        <v/>
      </c>
      <c r="L885">
        <f>IFERROR(MATCH($C$5&amp;"|"&amp;RIGHT("000000"&amp;869,6),LdAKeyM,0),"")</f>
        <v/>
      </c>
      <c r="M885">
        <f>IFERROR(MATCH($C$5&amp;"|"&amp;RIGHT("000000"&amp;869,6),LdBKeyM,0),"")</f>
        <v/>
      </c>
      <c r="N885">
        <f>IFERROR(MATCH($C$5&amp;"|"&amp;RIGHT("000000"&amp;869,6),LdCKeyM,0),"")</f>
        <v/>
      </c>
    </row>
    <row r="886">
      <c r="A886" s="19" t="n">
        <v>870</v>
      </c>
      <c r="B886" s="20">
        <f>IF(AND($L886="",$M886="",$N886=""),"",IF($L886&lt;&gt;"",INDEX(LdADate,$L886),IF($M886&lt;&gt;"",INDEX(LdBDate,$M886),INDEX(LdCDate,$N886))))</f>
        <v/>
      </c>
      <c r="C886" s="20">
        <f>IF($L886&lt;&gt;"","دستمزد (فردی)",IF($M886&lt;&gt;"","سهم از گروه "&amp;IFERROR(VLOOKUP(INDEX(LdBGroup,$M886),WGTbl,2,0),INDEX(LdBGroup,$M886)),IF($N886&lt;&gt;"",IF(N(INDEX(LdCDep,$N886))&gt;0,"بازگشت بانکی","پرداخت بانکی"),"")))</f>
        <v/>
      </c>
      <c r="D886" s="20">
        <f>IF($L886&lt;&gt;"",IF(INDEX(LdAId,$L886)="","—",INDEX(LdAId,$L886)),IF($M886&lt;&gt;"",IF(INDEX(LdBId,$M886)="","—",INDEX(LdBId,$M886)),IF($N886&lt;&gt;"",IF(INDEX(LdCBank,$N886)="","—",INDEX(LdCBank,$N886)),"")))</f>
        <v/>
      </c>
      <c r="E886" s="21">
        <f>IF($L886&lt;&gt;"",IF(INDEX(LdAAmt,$L886)=0,"",INDEX(LdAAmt,$L886)),IF($M886&lt;&gt;"",IF(INDEX(LdBAmt,$M886)=0,"",INDEX(LdBAmt,$M886)),IF($N886&lt;&gt;"",IF(INDEX(LdCDep,$N886)=0,"",INDEX(LdCDep,$N886)),"")))</f>
        <v/>
      </c>
      <c r="F886" s="21">
        <f>IF(AND($L886="",$M886="",$N886=""),"",IF($N886="","",IF(INDEX(LdCWit,$N886)=0,"",INDEX(LdCWit,$N886))))</f>
        <v/>
      </c>
      <c r="G886" s="31">
        <f>IF($B886="","",IF($G885="",0,$G885)+IF($E886="",0,$E886)-IF($F886="",0,$F886))</f>
        <v/>
      </c>
      <c r="H886" s="32">
        <f>IF(AND($L886="",$M886="",$N886=""),"",IF($L886&lt;&gt;"",IF(INDEX(LdANote,$L886)="","—",INDEX(LdANote,$L886)),IF($M886&lt;&gt;"",IF(INDEX(LdBNote,$M886)="","—",INDEX(LdBNote,$M886)),IF($N886&lt;&gt;"",IF(INDEX(LdCNote,$N886)="","—",INDEX(LdCNote,$N886)),""))))</f>
        <v/>
      </c>
      <c r="L886">
        <f>IFERROR(MATCH($C$5&amp;"|"&amp;RIGHT("000000"&amp;870,6),LdAKeyM,0),"")</f>
        <v/>
      </c>
      <c r="M886">
        <f>IFERROR(MATCH($C$5&amp;"|"&amp;RIGHT("000000"&amp;870,6),LdBKeyM,0),"")</f>
        <v/>
      </c>
      <c r="N886">
        <f>IFERROR(MATCH($C$5&amp;"|"&amp;RIGHT("000000"&amp;870,6),LdCKeyM,0),"")</f>
        <v/>
      </c>
    </row>
    <row r="887">
      <c r="A887" s="10" t="n">
        <v>871</v>
      </c>
      <c r="B887" s="14">
        <f>IF(AND($L887="",$M887="",$N887=""),"",IF($L887&lt;&gt;"",INDEX(LdADate,$L887),IF($M887&lt;&gt;"",INDEX(LdBDate,$M887),INDEX(LdCDate,$N887))))</f>
        <v/>
      </c>
      <c r="C887" s="14">
        <f>IF($L887&lt;&gt;"","دستمزد (فردی)",IF($M887&lt;&gt;"","سهم از گروه "&amp;IFERROR(VLOOKUP(INDEX(LdBGroup,$M887),WGTbl,2,0),INDEX(LdBGroup,$M887)),IF($N887&lt;&gt;"",IF(N(INDEX(LdCDep,$N887))&gt;0,"بازگشت بانکی","پرداخت بانکی"),"")))</f>
        <v/>
      </c>
      <c r="D887" s="14">
        <f>IF($L887&lt;&gt;"",IF(INDEX(LdAId,$L887)="","—",INDEX(LdAId,$L887)),IF($M887&lt;&gt;"",IF(INDEX(LdBId,$M887)="","—",INDEX(LdBId,$M887)),IF($N887&lt;&gt;"",IF(INDEX(LdCBank,$N887)="","—",INDEX(LdCBank,$N887)),"")))</f>
        <v/>
      </c>
      <c r="E887" s="16">
        <f>IF($L887&lt;&gt;"",IF(INDEX(LdAAmt,$L887)=0,"",INDEX(LdAAmt,$L887)),IF($M887&lt;&gt;"",IF(INDEX(LdBAmt,$M887)=0,"",INDEX(LdBAmt,$M887)),IF($N887&lt;&gt;"",IF(INDEX(LdCDep,$N887)=0,"",INDEX(LdCDep,$N887)),"")))</f>
        <v/>
      </c>
      <c r="F887" s="16">
        <f>IF(AND($L887="",$M887="",$N887=""),"",IF($N887="","",IF(INDEX(LdCWit,$N887)=0,"",INDEX(LdCWit,$N887))))</f>
        <v/>
      </c>
      <c r="G887" s="29">
        <f>IF($B887="","",IF($G886="",0,$G886)+IF($E887="",0,$E887)-IF($F887="",0,$F887))</f>
        <v/>
      </c>
      <c r="H887" s="30">
        <f>IF(AND($L887="",$M887="",$N887=""),"",IF($L887&lt;&gt;"",IF(INDEX(LdANote,$L887)="","—",INDEX(LdANote,$L887)),IF($M887&lt;&gt;"",IF(INDEX(LdBNote,$M887)="","—",INDEX(LdBNote,$M887)),IF($N887&lt;&gt;"",IF(INDEX(LdCNote,$N887)="","—",INDEX(LdCNote,$N887)),""))))</f>
        <v/>
      </c>
      <c r="L887">
        <f>IFERROR(MATCH($C$5&amp;"|"&amp;RIGHT("000000"&amp;871,6),LdAKeyM,0),"")</f>
        <v/>
      </c>
      <c r="M887">
        <f>IFERROR(MATCH($C$5&amp;"|"&amp;RIGHT("000000"&amp;871,6),LdBKeyM,0),"")</f>
        <v/>
      </c>
      <c r="N887">
        <f>IFERROR(MATCH($C$5&amp;"|"&amp;RIGHT("000000"&amp;871,6),LdCKeyM,0),"")</f>
        <v/>
      </c>
    </row>
    <row r="888">
      <c r="A888" s="19" t="n">
        <v>872</v>
      </c>
      <c r="B888" s="20">
        <f>IF(AND($L888="",$M888="",$N888=""),"",IF($L888&lt;&gt;"",INDEX(LdADate,$L888),IF($M888&lt;&gt;"",INDEX(LdBDate,$M888),INDEX(LdCDate,$N888))))</f>
        <v/>
      </c>
      <c r="C888" s="20">
        <f>IF($L888&lt;&gt;"","دستمزد (فردی)",IF($M888&lt;&gt;"","سهم از گروه "&amp;IFERROR(VLOOKUP(INDEX(LdBGroup,$M888),WGTbl,2,0),INDEX(LdBGroup,$M888)),IF($N888&lt;&gt;"",IF(N(INDEX(LdCDep,$N888))&gt;0,"بازگشت بانکی","پرداخت بانکی"),"")))</f>
        <v/>
      </c>
      <c r="D888" s="20">
        <f>IF($L888&lt;&gt;"",IF(INDEX(LdAId,$L888)="","—",INDEX(LdAId,$L888)),IF($M888&lt;&gt;"",IF(INDEX(LdBId,$M888)="","—",INDEX(LdBId,$M888)),IF($N888&lt;&gt;"",IF(INDEX(LdCBank,$N888)="","—",INDEX(LdCBank,$N888)),"")))</f>
        <v/>
      </c>
      <c r="E888" s="21">
        <f>IF($L888&lt;&gt;"",IF(INDEX(LdAAmt,$L888)=0,"",INDEX(LdAAmt,$L888)),IF($M888&lt;&gt;"",IF(INDEX(LdBAmt,$M888)=0,"",INDEX(LdBAmt,$M888)),IF($N888&lt;&gt;"",IF(INDEX(LdCDep,$N888)=0,"",INDEX(LdCDep,$N888)),"")))</f>
        <v/>
      </c>
      <c r="F888" s="21">
        <f>IF(AND($L888="",$M888="",$N888=""),"",IF($N888="","",IF(INDEX(LdCWit,$N888)=0,"",INDEX(LdCWit,$N888))))</f>
        <v/>
      </c>
      <c r="G888" s="31">
        <f>IF($B888="","",IF($G887="",0,$G887)+IF($E888="",0,$E888)-IF($F888="",0,$F888))</f>
        <v/>
      </c>
      <c r="H888" s="32">
        <f>IF(AND($L888="",$M888="",$N888=""),"",IF($L888&lt;&gt;"",IF(INDEX(LdANote,$L888)="","—",INDEX(LdANote,$L888)),IF($M888&lt;&gt;"",IF(INDEX(LdBNote,$M888)="","—",INDEX(LdBNote,$M888)),IF($N888&lt;&gt;"",IF(INDEX(LdCNote,$N888)="","—",INDEX(LdCNote,$N888)),""))))</f>
        <v/>
      </c>
      <c r="L888">
        <f>IFERROR(MATCH($C$5&amp;"|"&amp;RIGHT("000000"&amp;872,6),LdAKeyM,0),"")</f>
        <v/>
      </c>
      <c r="M888">
        <f>IFERROR(MATCH($C$5&amp;"|"&amp;RIGHT("000000"&amp;872,6),LdBKeyM,0),"")</f>
        <v/>
      </c>
      <c r="N888">
        <f>IFERROR(MATCH($C$5&amp;"|"&amp;RIGHT("000000"&amp;872,6),LdCKeyM,0),"")</f>
        <v/>
      </c>
    </row>
    <row r="889">
      <c r="A889" s="10" t="n">
        <v>873</v>
      </c>
      <c r="B889" s="14">
        <f>IF(AND($L889="",$M889="",$N889=""),"",IF($L889&lt;&gt;"",INDEX(LdADate,$L889),IF($M889&lt;&gt;"",INDEX(LdBDate,$M889),INDEX(LdCDate,$N889))))</f>
        <v/>
      </c>
      <c r="C889" s="14">
        <f>IF($L889&lt;&gt;"","دستمزد (فردی)",IF($M889&lt;&gt;"","سهم از گروه "&amp;IFERROR(VLOOKUP(INDEX(LdBGroup,$M889),WGTbl,2,0),INDEX(LdBGroup,$M889)),IF($N889&lt;&gt;"",IF(N(INDEX(LdCDep,$N889))&gt;0,"بازگشت بانکی","پرداخت بانکی"),"")))</f>
        <v/>
      </c>
      <c r="D889" s="14">
        <f>IF($L889&lt;&gt;"",IF(INDEX(LdAId,$L889)="","—",INDEX(LdAId,$L889)),IF($M889&lt;&gt;"",IF(INDEX(LdBId,$M889)="","—",INDEX(LdBId,$M889)),IF($N889&lt;&gt;"",IF(INDEX(LdCBank,$N889)="","—",INDEX(LdCBank,$N889)),"")))</f>
        <v/>
      </c>
      <c r="E889" s="16">
        <f>IF($L889&lt;&gt;"",IF(INDEX(LdAAmt,$L889)=0,"",INDEX(LdAAmt,$L889)),IF($M889&lt;&gt;"",IF(INDEX(LdBAmt,$M889)=0,"",INDEX(LdBAmt,$M889)),IF($N889&lt;&gt;"",IF(INDEX(LdCDep,$N889)=0,"",INDEX(LdCDep,$N889)),"")))</f>
        <v/>
      </c>
      <c r="F889" s="16">
        <f>IF(AND($L889="",$M889="",$N889=""),"",IF($N889="","",IF(INDEX(LdCWit,$N889)=0,"",INDEX(LdCWit,$N889))))</f>
        <v/>
      </c>
      <c r="G889" s="29">
        <f>IF($B889="","",IF($G888="",0,$G888)+IF($E889="",0,$E889)-IF($F889="",0,$F889))</f>
        <v/>
      </c>
      <c r="H889" s="30">
        <f>IF(AND($L889="",$M889="",$N889=""),"",IF($L889&lt;&gt;"",IF(INDEX(LdANote,$L889)="","—",INDEX(LdANote,$L889)),IF($M889&lt;&gt;"",IF(INDEX(LdBNote,$M889)="","—",INDEX(LdBNote,$M889)),IF($N889&lt;&gt;"",IF(INDEX(LdCNote,$N889)="","—",INDEX(LdCNote,$N889)),""))))</f>
        <v/>
      </c>
      <c r="L889">
        <f>IFERROR(MATCH($C$5&amp;"|"&amp;RIGHT("000000"&amp;873,6),LdAKeyM,0),"")</f>
        <v/>
      </c>
      <c r="M889">
        <f>IFERROR(MATCH($C$5&amp;"|"&amp;RIGHT("000000"&amp;873,6),LdBKeyM,0),"")</f>
        <v/>
      </c>
      <c r="N889">
        <f>IFERROR(MATCH($C$5&amp;"|"&amp;RIGHT("000000"&amp;873,6),LdCKeyM,0),"")</f>
        <v/>
      </c>
    </row>
    <row r="890">
      <c r="A890" s="19" t="n">
        <v>874</v>
      </c>
      <c r="B890" s="20">
        <f>IF(AND($L890="",$M890="",$N890=""),"",IF($L890&lt;&gt;"",INDEX(LdADate,$L890),IF($M890&lt;&gt;"",INDEX(LdBDate,$M890),INDEX(LdCDate,$N890))))</f>
        <v/>
      </c>
      <c r="C890" s="20">
        <f>IF($L890&lt;&gt;"","دستمزد (فردی)",IF($M890&lt;&gt;"","سهم از گروه "&amp;IFERROR(VLOOKUP(INDEX(LdBGroup,$M890),WGTbl,2,0),INDEX(LdBGroup,$M890)),IF($N890&lt;&gt;"",IF(N(INDEX(LdCDep,$N890))&gt;0,"بازگشت بانکی","پرداخت بانکی"),"")))</f>
        <v/>
      </c>
      <c r="D890" s="20">
        <f>IF($L890&lt;&gt;"",IF(INDEX(LdAId,$L890)="","—",INDEX(LdAId,$L890)),IF($M890&lt;&gt;"",IF(INDEX(LdBId,$M890)="","—",INDEX(LdBId,$M890)),IF($N890&lt;&gt;"",IF(INDEX(LdCBank,$N890)="","—",INDEX(LdCBank,$N890)),"")))</f>
        <v/>
      </c>
      <c r="E890" s="21">
        <f>IF($L890&lt;&gt;"",IF(INDEX(LdAAmt,$L890)=0,"",INDEX(LdAAmt,$L890)),IF($M890&lt;&gt;"",IF(INDEX(LdBAmt,$M890)=0,"",INDEX(LdBAmt,$M890)),IF($N890&lt;&gt;"",IF(INDEX(LdCDep,$N890)=0,"",INDEX(LdCDep,$N890)),"")))</f>
        <v/>
      </c>
      <c r="F890" s="21">
        <f>IF(AND($L890="",$M890="",$N890=""),"",IF($N890="","",IF(INDEX(LdCWit,$N890)=0,"",INDEX(LdCWit,$N890))))</f>
        <v/>
      </c>
      <c r="G890" s="31">
        <f>IF($B890="","",IF($G889="",0,$G889)+IF($E890="",0,$E890)-IF($F890="",0,$F890))</f>
        <v/>
      </c>
      <c r="H890" s="32">
        <f>IF(AND($L890="",$M890="",$N890=""),"",IF($L890&lt;&gt;"",IF(INDEX(LdANote,$L890)="","—",INDEX(LdANote,$L890)),IF($M890&lt;&gt;"",IF(INDEX(LdBNote,$M890)="","—",INDEX(LdBNote,$M890)),IF($N890&lt;&gt;"",IF(INDEX(LdCNote,$N890)="","—",INDEX(LdCNote,$N890)),""))))</f>
        <v/>
      </c>
      <c r="L890">
        <f>IFERROR(MATCH($C$5&amp;"|"&amp;RIGHT("000000"&amp;874,6),LdAKeyM,0),"")</f>
        <v/>
      </c>
      <c r="M890">
        <f>IFERROR(MATCH($C$5&amp;"|"&amp;RIGHT("000000"&amp;874,6),LdBKeyM,0),"")</f>
        <v/>
      </c>
      <c r="N890">
        <f>IFERROR(MATCH($C$5&amp;"|"&amp;RIGHT("000000"&amp;874,6),LdCKeyM,0),"")</f>
        <v/>
      </c>
    </row>
    <row r="891">
      <c r="A891" s="10" t="n">
        <v>875</v>
      </c>
      <c r="B891" s="14">
        <f>IF(AND($L891="",$M891="",$N891=""),"",IF($L891&lt;&gt;"",INDEX(LdADate,$L891),IF($M891&lt;&gt;"",INDEX(LdBDate,$M891),INDEX(LdCDate,$N891))))</f>
        <v/>
      </c>
      <c r="C891" s="14">
        <f>IF($L891&lt;&gt;"","دستمزد (فردی)",IF($M891&lt;&gt;"","سهم از گروه "&amp;IFERROR(VLOOKUP(INDEX(LdBGroup,$M891),WGTbl,2,0),INDEX(LdBGroup,$M891)),IF($N891&lt;&gt;"",IF(N(INDEX(LdCDep,$N891))&gt;0,"بازگشت بانکی","پرداخت بانکی"),"")))</f>
        <v/>
      </c>
      <c r="D891" s="14">
        <f>IF($L891&lt;&gt;"",IF(INDEX(LdAId,$L891)="","—",INDEX(LdAId,$L891)),IF($M891&lt;&gt;"",IF(INDEX(LdBId,$M891)="","—",INDEX(LdBId,$M891)),IF($N891&lt;&gt;"",IF(INDEX(LdCBank,$N891)="","—",INDEX(LdCBank,$N891)),"")))</f>
        <v/>
      </c>
      <c r="E891" s="16">
        <f>IF($L891&lt;&gt;"",IF(INDEX(LdAAmt,$L891)=0,"",INDEX(LdAAmt,$L891)),IF($M891&lt;&gt;"",IF(INDEX(LdBAmt,$M891)=0,"",INDEX(LdBAmt,$M891)),IF($N891&lt;&gt;"",IF(INDEX(LdCDep,$N891)=0,"",INDEX(LdCDep,$N891)),"")))</f>
        <v/>
      </c>
      <c r="F891" s="16">
        <f>IF(AND($L891="",$M891="",$N891=""),"",IF($N891="","",IF(INDEX(LdCWit,$N891)=0,"",INDEX(LdCWit,$N891))))</f>
        <v/>
      </c>
      <c r="G891" s="29">
        <f>IF($B891="","",IF($G890="",0,$G890)+IF($E891="",0,$E891)-IF($F891="",0,$F891))</f>
        <v/>
      </c>
      <c r="H891" s="30">
        <f>IF(AND($L891="",$M891="",$N891=""),"",IF($L891&lt;&gt;"",IF(INDEX(LdANote,$L891)="","—",INDEX(LdANote,$L891)),IF($M891&lt;&gt;"",IF(INDEX(LdBNote,$M891)="","—",INDEX(LdBNote,$M891)),IF($N891&lt;&gt;"",IF(INDEX(LdCNote,$N891)="","—",INDEX(LdCNote,$N891)),""))))</f>
        <v/>
      </c>
      <c r="L891">
        <f>IFERROR(MATCH($C$5&amp;"|"&amp;RIGHT("000000"&amp;875,6),LdAKeyM,0),"")</f>
        <v/>
      </c>
      <c r="M891">
        <f>IFERROR(MATCH($C$5&amp;"|"&amp;RIGHT("000000"&amp;875,6),LdBKeyM,0),"")</f>
        <v/>
      </c>
      <c r="N891">
        <f>IFERROR(MATCH($C$5&amp;"|"&amp;RIGHT("000000"&amp;875,6),LdCKeyM,0),"")</f>
        <v/>
      </c>
    </row>
    <row r="892">
      <c r="A892" s="19" t="n">
        <v>876</v>
      </c>
      <c r="B892" s="20">
        <f>IF(AND($L892="",$M892="",$N892=""),"",IF($L892&lt;&gt;"",INDEX(LdADate,$L892),IF($M892&lt;&gt;"",INDEX(LdBDate,$M892),INDEX(LdCDate,$N892))))</f>
        <v/>
      </c>
      <c r="C892" s="20">
        <f>IF($L892&lt;&gt;"","دستمزد (فردی)",IF($M892&lt;&gt;"","سهم از گروه "&amp;IFERROR(VLOOKUP(INDEX(LdBGroup,$M892),WGTbl,2,0),INDEX(LdBGroup,$M892)),IF($N892&lt;&gt;"",IF(N(INDEX(LdCDep,$N892))&gt;0,"بازگشت بانکی","پرداخت بانکی"),"")))</f>
        <v/>
      </c>
      <c r="D892" s="20">
        <f>IF($L892&lt;&gt;"",IF(INDEX(LdAId,$L892)="","—",INDEX(LdAId,$L892)),IF($M892&lt;&gt;"",IF(INDEX(LdBId,$M892)="","—",INDEX(LdBId,$M892)),IF($N892&lt;&gt;"",IF(INDEX(LdCBank,$N892)="","—",INDEX(LdCBank,$N892)),"")))</f>
        <v/>
      </c>
      <c r="E892" s="21">
        <f>IF($L892&lt;&gt;"",IF(INDEX(LdAAmt,$L892)=0,"",INDEX(LdAAmt,$L892)),IF($M892&lt;&gt;"",IF(INDEX(LdBAmt,$M892)=0,"",INDEX(LdBAmt,$M892)),IF($N892&lt;&gt;"",IF(INDEX(LdCDep,$N892)=0,"",INDEX(LdCDep,$N892)),"")))</f>
        <v/>
      </c>
      <c r="F892" s="21">
        <f>IF(AND($L892="",$M892="",$N892=""),"",IF($N892="","",IF(INDEX(LdCWit,$N892)=0,"",INDEX(LdCWit,$N892))))</f>
        <v/>
      </c>
      <c r="G892" s="31">
        <f>IF($B892="","",IF($G891="",0,$G891)+IF($E892="",0,$E892)-IF($F892="",0,$F892))</f>
        <v/>
      </c>
      <c r="H892" s="32">
        <f>IF(AND($L892="",$M892="",$N892=""),"",IF($L892&lt;&gt;"",IF(INDEX(LdANote,$L892)="","—",INDEX(LdANote,$L892)),IF($M892&lt;&gt;"",IF(INDEX(LdBNote,$M892)="","—",INDEX(LdBNote,$M892)),IF($N892&lt;&gt;"",IF(INDEX(LdCNote,$N892)="","—",INDEX(LdCNote,$N892)),""))))</f>
        <v/>
      </c>
      <c r="L892">
        <f>IFERROR(MATCH($C$5&amp;"|"&amp;RIGHT("000000"&amp;876,6),LdAKeyM,0),"")</f>
        <v/>
      </c>
      <c r="M892">
        <f>IFERROR(MATCH($C$5&amp;"|"&amp;RIGHT("000000"&amp;876,6),LdBKeyM,0),"")</f>
        <v/>
      </c>
      <c r="N892">
        <f>IFERROR(MATCH($C$5&amp;"|"&amp;RIGHT("000000"&amp;876,6),LdCKeyM,0),"")</f>
        <v/>
      </c>
    </row>
    <row r="893">
      <c r="A893" s="10" t="n">
        <v>877</v>
      </c>
      <c r="B893" s="14">
        <f>IF(AND($L893="",$M893="",$N893=""),"",IF($L893&lt;&gt;"",INDEX(LdADate,$L893),IF($M893&lt;&gt;"",INDEX(LdBDate,$M893),INDEX(LdCDate,$N893))))</f>
        <v/>
      </c>
      <c r="C893" s="14">
        <f>IF($L893&lt;&gt;"","دستمزد (فردی)",IF($M893&lt;&gt;"","سهم از گروه "&amp;IFERROR(VLOOKUP(INDEX(LdBGroup,$M893),WGTbl,2,0),INDEX(LdBGroup,$M893)),IF($N893&lt;&gt;"",IF(N(INDEX(LdCDep,$N893))&gt;0,"بازگشت بانکی","پرداخت بانکی"),"")))</f>
        <v/>
      </c>
      <c r="D893" s="14">
        <f>IF($L893&lt;&gt;"",IF(INDEX(LdAId,$L893)="","—",INDEX(LdAId,$L893)),IF($M893&lt;&gt;"",IF(INDEX(LdBId,$M893)="","—",INDEX(LdBId,$M893)),IF($N893&lt;&gt;"",IF(INDEX(LdCBank,$N893)="","—",INDEX(LdCBank,$N893)),"")))</f>
        <v/>
      </c>
      <c r="E893" s="16">
        <f>IF($L893&lt;&gt;"",IF(INDEX(LdAAmt,$L893)=0,"",INDEX(LdAAmt,$L893)),IF($M893&lt;&gt;"",IF(INDEX(LdBAmt,$M893)=0,"",INDEX(LdBAmt,$M893)),IF($N893&lt;&gt;"",IF(INDEX(LdCDep,$N893)=0,"",INDEX(LdCDep,$N893)),"")))</f>
        <v/>
      </c>
      <c r="F893" s="16">
        <f>IF(AND($L893="",$M893="",$N893=""),"",IF($N893="","",IF(INDEX(LdCWit,$N893)=0,"",INDEX(LdCWit,$N893))))</f>
        <v/>
      </c>
      <c r="G893" s="29">
        <f>IF($B893="","",IF($G892="",0,$G892)+IF($E893="",0,$E893)-IF($F893="",0,$F893))</f>
        <v/>
      </c>
      <c r="H893" s="30">
        <f>IF(AND($L893="",$M893="",$N893=""),"",IF($L893&lt;&gt;"",IF(INDEX(LdANote,$L893)="","—",INDEX(LdANote,$L893)),IF($M893&lt;&gt;"",IF(INDEX(LdBNote,$M893)="","—",INDEX(LdBNote,$M893)),IF($N893&lt;&gt;"",IF(INDEX(LdCNote,$N893)="","—",INDEX(LdCNote,$N893)),""))))</f>
        <v/>
      </c>
      <c r="L893">
        <f>IFERROR(MATCH($C$5&amp;"|"&amp;RIGHT("000000"&amp;877,6),LdAKeyM,0),"")</f>
        <v/>
      </c>
      <c r="M893">
        <f>IFERROR(MATCH($C$5&amp;"|"&amp;RIGHT("000000"&amp;877,6),LdBKeyM,0),"")</f>
        <v/>
      </c>
      <c r="N893">
        <f>IFERROR(MATCH($C$5&amp;"|"&amp;RIGHT("000000"&amp;877,6),LdCKeyM,0),"")</f>
        <v/>
      </c>
    </row>
    <row r="894">
      <c r="A894" s="19" t="n">
        <v>878</v>
      </c>
      <c r="B894" s="20">
        <f>IF(AND($L894="",$M894="",$N894=""),"",IF($L894&lt;&gt;"",INDEX(LdADate,$L894),IF($M894&lt;&gt;"",INDEX(LdBDate,$M894),INDEX(LdCDate,$N894))))</f>
        <v/>
      </c>
      <c r="C894" s="20">
        <f>IF($L894&lt;&gt;"","دستمزد (فردی)",IF($M894&lt;&gt;"","سهم از گروه "&amp;IFERROR(VLOOKUP(INDEX(LdBGroup,$M894),WGTbl,2,0),INDEX(LdBGroup,$M894)),IF($N894&lt;&gt;"",IF(N(INDEX(LdCDep,$N894))&gt;0,"بازگشت بانکی","پرداخت بانکی"),"")))</f>
        <v/>
      </c>
      <c r="D894" s="20">
        <f>IF($L894&lt;&gt;"",IF(INDEX(LdAId,$L894)="","—",INDEX(LdAId,$L894)),IF($M894&lt;&gt;"",IF(INDEX(LdBId,$M894)="","—",INDEX(LdBId,$M894)),IF($N894&lt;&gt;"",IF(INDEX(LdCBank,$N894)="","—",INDEX(LdCBank,$N894)),"")))</f>
        <v/>
      </c>
      <c r="E894" s="21">
        <f>IF($L894&lt;&gt;"",IF(INDEX(LdAAmt,$L894)=0,"",INDEX(LdAAmt,$L894)),IF($M894&lt;&gt;"",IF(INDEX(LdBAmt,$M894)=0,"",INDEX(LdBAmt,$M894)),IF($N894&lt;&gt;"",IF(INDEX(LdCDep,$N894)=0,"",INDEX(LdCDep,$N894)),"")))</f>
        <v/>
      </c>
      <c r="F894" s="21">
        <f>IF(AND($L894="",$M894="",$N894=""),"",IF($N894="","",IF(INDEX(LdCWit,$N894)=0,"",INDEX(LdCWit,$N894))))</f>
        <v/>
      </c>
      <c r="G894" s="31">
        <f>IF($B894="","",IF($G893="",0,$G893)+IF($E894="",0,$E894)-IF($F894="",0,$F894))</f>
        <v/>
      </c>
      <c r="H894" s="32">
        <f>IF(AND($L894="",$M894="",$N894=""),"",IF($L894&lt;&gt;"",IF(INDEX(LdANote,$L894)="","—",INDEX(LdANote,$L894)),IF($M894&lt;&gt;"",IF(INDEX(LdBNote,$M894)="","—",INDEX(LdBNote,$M894)),IF($N894&lt;&gt;"",IF(INDEX(LdCNote,$N894)="","—",INDEX(LdCNote,$N894)),""))))</f>
        <v/>
      </c>
      <c r="L894">
        <f>IFERROR(MATCH($C$5&amp;"|"&amp;RIGHT("000000"&amp;878,6),LdAKeyM,0),"")</f>
        <v/>
      </c>
      <c r="M894">
        <f>IFERROR(MATCH($C$5&amp;"|"&amp;RIGHT("000000"&amp;878,6),LdBKeyM,0),"")</f>
        <v/>
      </c>
      <c r="N894">
        <f>IFERROR(MATCH($C$5&amp;"|"&amp;RIGHT("000000"&amp;878,6),LdCKeyM,0),"")</f>
        <v/>
      </c>
    </row>
    <row r="895">
      <c r="A895" s="10" t="n">
        <v>879</v>
      </c>
      <c r="B895" s="14">
        <f>IF(AND($L895="",$M895="",$N895=""),"",IF($L895&lt;&gt;"",INDEX(LdADate,$L895),IF($M895&lt;&gt;"",INDEX(LdBDate,$M895),INDEX(LdCDate,$N895))))</f>
        <v/>
      </c>
      <c r="C895" s="14">
        <f>IF($L895&lt;&gt;"","دستمزد (فردی)",IF($M895&lt;&gt;"","سهم از گروه "&amp;IFERROR(VLOOKUP(INDEX(LdBGroup,$M895),WGTbl,2,0),INDEX(LdBGroup,$M895)),IF($N895&lt;&gt;"",IF(N(INDEX(LdCDep,$N895))&gt;0,"بازگشت بانکی","پرداخت بانکی"),"")))</f>
        <v/>
      </c>
      <c r="D895" s="14">
        <f>IF($L895&lt;&gt;"",IF(INDEX(LdAId,$L895)="","—",INDEX(LdAId,$L895)),IF($M895&lt;&gt;"",IF(INDEX(LdBId,$M895)="","—",INDEX(LdBId,$M895)),IF($N895&lt;&gt;"",IF(INDEX(LdCBank,$N895)="","—",INDEX(LdCBank,$N895)),"")))</f>
        <v/>
      </c>
      <c r="E895" s="16">
        <f>IF($L895&lt;&gt;"",IF(INDEX(LdAAmt,$L895)=0,"",INDEX(LdAAmt,$L895)),IF($M895&lt;&gt;"",IF(INDEX(LdBAmt,$M895)=0,"",INDEX(LdBAmt,$M895)),IF($N895&lt;&gt;"",IF(INDEX(LdCDep,$N895)=0,"",INDEX(LdCDep,$N895)),"")))</f>
        <v/>
      </c>
      <c r="F895" s="16">
        <f>IF(AND($L895="",$M895="",$N895=""),"",IF($N895="","",IF(INDEX(LdCWit,$N895)=0,"",INDEX(LdCWit,$N895))))</f>
        <v/>
      </c>
      <c r="G895" s="29">
        <f>IF($B895="","",IF($G894="",0,$G894)+IF($E895="",0,$E895)-IF($F895="",0,$F895))</f>
        <v/>
      </c>
      <c r="H895" s="30">
        <f>IF(AND($L895="",$M895="",$N895=""),"",IF($L895&lt;&gt;"",IF(INDEX(LdANote,$L895)="","—",INDEX(LdANote,$L895)),IF($M895&lt;&gt;"",IF(INDEX(LdBNote,$M895)="","—",INDEX(LdBNote,$M895)),IF($N895&lt;&gt;"",IF(INDEX(LdCNote,$N895)="","—",INDEX(LdCNote,$N895)),""))))</f>
        <v/>
      </c>
      <c r="L895">
        <f>IFERROR(MATCH($C$5&amp;"|"&amp;RIGHT("000000"&amp;879,6),LdAKeyM,0),"")</f>
        <v/>
      </c>
      <c r="M895">
        <f>IFERROR(MATCH($C$5&amp;"|"&amp;RIGHT("000000"&amp;879,6),LdBKeyM,0),"")</f>
        <v/>
      </c>
      <c r="N895">
        <f>IFERROR(MATCH($C$5&amp;"|"&amp;RIGHT("000000"&amp;879,6),LdCKeyM,0),"")</f>
        <v/>
      </c>
    </row>
    <row r="896">
      <c r="A896" s="19" t="n">
        <v>880</v>
      </c>
      <c r="B896" s="20">
        <f>IF(AND($L896="",$M896="",$N896=""),"",IF($L896&lt;&gt;"",INDEX(LdADate,$L896),IF($M896&lt;&gt;"",INDEX(LdBDate,$M896),INDEX(LdCDate,$N896))))</f>
        <v/>
      </c>
      <c r="C896" s="20">
        <f>IF($L896&lt;&gt;"","دستمزد (فردی)",IF($M896&lt;&gt;"","سهم از گروه "&amp;IFERROR(VLOOKUP(INDEX(LdBGroup,$M896),WGTbl,2,0),INDEX(LdBGroup,$M896)),IF($N896&lt;&gt;"",IF(N(INDEX(LdCDep,$N896))&gt;0,"بازگشت بانکی","پرداخت بانکی"),"")))</f>
        <v/>
      </c>
      <c r="D896" s="20">
        <f>IF($L896&lt;&gt;"",IF(INDEX(LdAId,$L896)="","—",INDEX(LdAId,$L896)),IF($M896&lt;&gt;"",IF(INDEX(LdBId,$M896)="","—",INDEX(LdBId,$M896)),IF($N896&lt;&gt;"",IF(INDEX(LdCBank,$N896)="","—",INDEX(LdCBank,$N896)),"")))</f>
        <v/>
      </c>
      <c r="E896" s="21">
        <f>IF($L896&lt;&gt;"",IF(INDEX(LdAAmt,$L896)=0,"",INDEX(LdAAmt,$L896)),IF($M896&lt;&gt;"",IF(INDEX(LdBAmt,$M896)=0,"",INDEX(LdBAmt,$M896)),IF($N896&lt;&gt;"",IF(INDEX(LdCDep,$N896)=0,"",INDEX(LdCDep,$N896)),"")))</f>
        <v/>
      </c>
      <c r="F896" s="21">
        <f>IF(AND($L896="",$M896="",$N896=""),"",IF($N896="","",IF(INDEX(LdCWit,$N896)=0,"",INDEX(LdCWit,$N896))))</f>
        <v/>
      </c>
      <c r="G896" s="31">
        <f>IF($B896="","",IF($G895="",0,$G895)+IF($E896="",0,$E896)-IF($F896="",0,$F896))</f>
        <v/>
      </c>
      <c r="H896" s="32">
        <f>IF(AND($L896="",$M896="",$N896=""),"",IF($L896&lt;&gt;"",IF(INDEX(LdANote,$L896)="","—",INDEX(LdANote,$L896)),IF($M896&lt;&gt;"",IF(INDEX(LdBNote,$M896)="","—",INDEX(LdBNote,$M896)),IF($N896&lt;&gt;"",IF(INDEX(LdCNote,$N896)="","—",INDEX(LdCNote,$N896)),""))))</f>
        <v/>
      </c>
      <c r="L896">
        <f>IFERROR(MATCH($C$5&amp;"|"&amp;RIGHT("000000"&amp;880,6),LdAKeyM,0),"")</f>
        <v/>
      </c>
      <c r="M896">
        <f>IFERROR(MATCH($C$5&amp;"|"&amp;RIGHT("000000"&amp;880,6),LdBKeyM,0),"")</f>
        <v/>
      </c>
      <c r="N896">
        <f>IFERROR(MATCH($C$5&amp;"|"&amp;RIGHT("000000"&amp;880,6),LdCKeyM,0),"")</f>
        <v/>
      </c>
    </row>
    <row r="897">
      <c r="A897" s="10" t="n">
        <v>881</v>
      </c>
      <c r="B897" s="14">
        <f>IF(AND($L897="",$M897="",$N897=""),"",IF($L897&lt;&gt;"",INDEX(LdADate,$L897),IF($M897&lt;&gt;"",INDEX(LdBDate,$M897),INDEX(LdCDate,$N897))))</f>
        <v/>
      </c>
      <c r="C897" s="14">
        <f>IF($L897&lt;&gt;"","دستمزد (فردی)",IF($M897&lt;&gt;"","سهم از گروه "&amp;IFERROR(VLOOKUP(INDEX(LdBGroup,$M897),WGTbl,2,0),INDEX(LdBGroup,$M897)),IF($N897&lt;&gt;"",IF(N(INDEX(LdCDep,$N897))&gt;0,"بازگشت بانکی","پرداخت بانکی"),"")))</f>
        <v/>
      </c>
      <c r="D897" s="14">
        <f>IF($L897&lt;&gt;"",IF(INDEX(LdAId,$L897)="","—",INDEX(LdAId,$L897)),IF($M897&lt;&gt;"",IF(INDEX(LdBId,$M897)="","—",INDEX(LdBId,$M897)),IF($N897&lt;&gt;"",IF(INDEX(LdCBank,$N897)="","—",INDEX(LdCBank,$N897)),"")))</f>
        <v/>
      </c>
      <c r="E897" s="16">
        <f>IF($L897&lt;&gt;"",IF(INDEX(LdAAmt,$L897)=0,"",INDEX(LdAAmt,$L897)),IF($M897&lt;&gt;"",IF(INDEX(LdBAmt,$M897)=0,"",INDEX(LdBAmt,$M897)),IF($N897&lt;&gt;"",IF(INDEX(LdCDep,$N897)=0,"",INDEX(LdCDep,$N897)),"")))</f>
        <v/>
      </c>
      <c r="F897" s="16">
        <f>IF(AND($L897="",$M897="",$N897=""),"",IF($N897="","",IF(INDEX(LdCWit,$N897)=0,"",INDEX(LdCWit,$N897))))</f>
        <v/>
      </c>
      <c r="G897" s="29">
        <f>IF($B897="","",IF($G896="",0,$G896)+IF($E897="",0,$E897)-IF($F897="",0,$F897))</f>
        <v/>
      </c>
      <c r="H897" s="30">
        <f>IF(AND($L897="",$M897="",$N897=""),"",IF($L897&lt;&gt;"",IF(INDEX(LdANote,$L897)="","—",INDEX(LdANote,$L897)),IF($M897&lt;&gt;"",IF(INDEX(LdBNote,$M897)="","—",INDEX(LdBNote,$M897)),IF($N897&lt;&gt;"",IF(INDEX(LdCNote,$N897)="","—",INDEX(LdCNote,$N897)),""))))</f>
        <v/>
      </c>
      <c r="L897">
        <f>IFERROR(MATCH($C$5&amp;"|"&amp;RIGHT("000000"&amp;881,6),LdAKeyM,0),"")</f>
        <v/>
      </c>
      <c r="M897">
        <f>IFERROR(MATCH($C$5&amp;"|"&amp;RIGHT("000000"&amp;881,6),LdBKeyM,0),"")</f>
        <v/>
      </c>
      <c r="N897">
        <f>IFERROR(MATCH($C$5&amp;"|"&amp;RIGHT("000000"&amp;881,6),LdCKeyM,0),"")</f>
        <v/>
      </c>
    </row>
    <row r="898">
      <c r="A898" s="19" t="n">
        <v>882</v>
      </c>
      <c r="B898" s="20">
        <f>IF(AND($L898="",$M898="",$N898=""),"",IF($L898&lt;&gt;"",INDEX(LdADate,$L898),IF($M898&lt;&gt;"",INDEX(LdBDate,$M898),INDEX(LdCDate,$N898))))</f>
        <v/>
      </c>
      <c r="C898" s="20">
        <f>IF($L898&lt;&gt;"","دستمزد (فردی)",IF($M898&lt;&gt;"","سهم از گروه "&amp;IFERROR(VLOOKUP(INDEX(LdBGroup,$M898),WGTbl,2,0),INDEX(LdBGroup,$M898)),IF($N898&lt;&gt;"",IF(N(INDEX(LdCDep,$N898))&gt;0,"بازگشت بانکی","پرداخت بانکی"),"")))</f>
        <v/>
      </c>
      <c r="D898" s="20">
        <f>IF($L898&lt;&gt;"",IF(INDEX(LdAId,$L898)="","—",INDEX(LdAId,$L898)),IF($M898&lt;&gt;"",IF(INDEX(LdBId,$M898)="","—",INDEX(LdBId,$M898)),IF($N898&lt;&gt;"",IF(INDEX(LdCBank,$N898)="","—",INDEX(LdCBank,$N898)),"")))</f>
        <v/>
      </c>
      <c r="E898" s="21">
        <f>IF($L898&lt;&gt;"",IF(INDEX(LdAAmt,$L898)=0,"",INDEX(LdAAmt,$L898)),IF($M898&lt;&gt;"",IF(INDEX(LdBAmt,$M898)=0,"",INDEX(LdBAmt,$M898)),IF($N898&lt;&gt;"",IF(INDEX(LdCDep,$N898)=0,"",INDEX(LdCDep,$N898)),"")))</f>
        <v/>
      </c>
      <c r="F898" s="21">
        <f>IF(AND($L898="",$M898="",$N898=""),"",IF($N898="","",IF(INDEX(LdCWit,$N898)=0,"",INDEX(LdCWit,$N898))))</f>
        <v/>
      </c>
      <c r="G898" s="31">
        <f>IF($B898="","",IF($G897="",0,$G897)+IF($E898="",0,$E898)-IF($F898="",0,$F898))</f>
        <v/>
      </c>
      <c r="H898" s="32">
        <f>IF(AND($L898="",$M898="",$N898=""),"",IF($L898&lt;&gt;"",IF(INDEX(LdANote,$L898)="","—",INDEX(LdANote,$L898)),IF($M898&lt;&gt;"",IF(INDEX(LdBNote,$M898)="","—",INDEX(LdBNote,$M898)),IF($N898&lt;&gt;"",IF(INDEX(LdCNote,$N898)="","—",INDEX(LdCNote,$N898)),""))))</f>
        <v/>
      </c>
      <c r="L898">
        <f>IFERROR(MATCH($C$5&amp;"|"&amp;RIGHT("000000"&amp;882,6),LdAKeyM,0),"")</f>
        <v/>
      </c>
      <c r="M898">
        <f>IFERROR(MATCH($C$5&amp;"|"&amp;RIGHT("000000"&amp;882,6),LdBKeyM,0),"")</f>
        <v/>
      </c>
      <c r="N898">
        <f>IFERROR(MATCH($C$5&amp;"|"&amp;RIGHT("000000"&amp;882,6),LdCKeyM,0),"")</f>
        <v/>
      </c>
    </row>
    <row r="899">
      <c r="A899" s="10" t="n">
        <v>883</v>
      </c>
      <c r="B899" s="14">
        <f>IF(AND($L899="",$M899="",$N899=""),"",IF($L899&lt;&gt;"",INDEX(LdADate,$L899),IF($M899&lt;&gt;"",INDEX(LdBDate,$M899),INDEX(LdCDate,$N899))))</f>
        <v/>
      </c>
      <c r="C899" s="14">
        <f>IF($L899&lt;&gt;"","دستمزد (فردی)",IF($M899&lt;&gt;"","سهم از گروه "&amp;IFERROR(VLOOKUP(INDEX(LdBGroup,$M899),WGTbl,2,0),INDEX(LdBGroup,$M899)),IF($N899&lt;&gt;"",IF(N(INDEX(LdCDep,$N899))&gt;0,"بازگشت بانکی","پرداخت بانکی"),"")))</f>
        <v/>
      </c>
      <c r="D899" s="14">
        <f>IF($L899&lt;&gt;"",IF(INDEX(LdAId,$L899)="","—",INDEX(LdAId,$L899)),IF($M899&lt;&gt;"",IF(INDEX(LdBId,$M899)="","—",INDEX(LdBId,$M899)),IF($N899&lt;&gt;"",IF(INDEX(LdCBank,$N899)="","—",INDEX(LdCBank,$N899)),"")))</f>
        <v/>
      </c>
      <c r="E899" s="16">
        <f>IF($L899&lt;&gt;"",IF(INDEX(LdAAmt,$L899)=0,"",INDEX(LdAAmt,$L899)),IF($M899&lt;&gt;"",IF(INDEX(LdBAmt,$M899)=0,"",INDEX(LdBAmt,$M899)),IF($N899&lt;&gt;"",IF(INDEX(LdCDep,$N899)=0,"",INDEX(LdCDep,$N899)),"")))</f>
        <v/>
      </c>
      <c r="F899" s="16">
        <f>IF(AND($L899="",$M899="",$N899=""),"",IF($N899="","",IF(INDEX(LdCWit,$N899)=0,"",INDEX(LdCWit,$N899))))</f>
        <v/>
      </c>
      <c r="G899" s="29">
        <f>IF($B899="","",IF($G898="",0,$G898)+IF($E899="",0,$E899)-IF($F899="",0,$F899))</f>
        <v/>
      </c>
      <c r="H899" s="30">
        <f>IF(AND($L899="",$M899="",$N899=""),"",IF($L899&lt;&gt;"",IF(INDEX(LdANote,$L899)="","—",INDEX(LdANote,$L899)),IF($M899&lt;&gt;"",IF(INDEX(LdBNote,$M899)="","—",INDEX(LdBNote,$M899)),IF($N899&lt;&gt;"",IF(INDEX(LdCNote,$N899)="","—",INDEX(LdCNote,$N899)),""))))</f>
        <v/>
      </c>
      <c r="L899">
        <f>IFERROR(MATCH($C$5&amp;"|"&amp;RIGHT("000000"&amp;883,6),LdAKeyM,0),"")</f>
        <v/>
      </c>
      <c r="M899">
        <f>IFERROR(MATCH($C$5&amp;"|"&amp;RIGHT("000000"&amp;883,6),LdBKeyM,0),"")</f>
        <v/>
      </c>
      <c r="N899">
        <f>IFERROR(MATCH($C$5&amp;"|"&amp;RIGHT("000000"&amp;883,6),LdCKeyM,0),"")</f>
        <v/>
      </c>
    </row>
    <row r="900">
      <c r="A900" s="19" t="n">
        <v>884</v>
      </c>
      <c r="B900" s="20">
        <f>IF(AND($L900="",$M900="",$N900=""),"",IF($L900&lt;&gt;"",INDEX(LdADate,$L900),IF($M900&lt;&gt;"",INDEX(LdBDate,$M900),INDEX(LdCDate,$N900))))</f>
        <v/>
      </c>
      <c r="C900" s="20">
        <f>IF($L900&lt;&gt;"","دستمزد (فردی)",IF($M900&lt;&gt;"","سهم از گروه "&amp;IFERROR(VLOOKUP(INDEX(LdBGroup,$M900),WGTbl,2,0),INDEX(LdBGroup,$M900)),IF($N900&lt;&gt;"",IF(N(INDEX(LdCDep,$N900))&gt;0,"بازگشت بانکی","پرداخت بانکی"),"")))</f>
        <v/>
      </c>
      <c r="D900" s="20">
        <f>IF($L900&lt;&gt;"",IF(INDEX(LdAId,$L900)="","—",INDEX(LdAId,$L900)),IF($M900&lt;&gt;"",IF(INDEX(LdBId,$M900)="","—",INDEX(LdBId,$M900)),IF($N900&lt;&gt;"",IF(INDEX(LdCBank,$N900)="","—",INDEX(LdCBank,$N900)),"")))</f>
        <v/>
      </c>
      <c r="E900" s="21">
        <f>IF($L900&lt;&gt;"",IF(INDEX(LdAAmt,$L900)=0,"",INDEX(LdAAmt,$L900)),IF($M900&lt;&gt;"",IF(INDEX(LdBAmt,$M900)=0,"",INDEX(LdBAmt,$M900)),IF($N900&lt;&gt;"",IF(INDEX(LdCDep,$N900)=0,"",INDEX(LdCDep,$N900)),"")))</f>
        <v/>
      </c>
      <c r="F900" s="21">
        <f>IF(AND($L900="",$M900="",$N900=""),"",IF($N900="","",IF(INDEX(LdCWit,$N900)=0,"",INDEX(LdCWit,$N900))))</f>
        <v/>
      </c>
      <c r="G900" s="31">
        <f>IF($B900="","",IF($G899="",0,$G899)+IF($E900="",0,$E900)-IF($F900="",0,$F900))</f>
        <v/>
      </c>
      <c r="H900" s="32">
        <f>IF(AND($L900="",$M900="",$N900=""),"",IF($L900&lt;&gt;"",IF(INDEX(LdANote,$L900)="","—",INDEX(LdANote,$L900)),IF($M900&lt;&gt;"",IF(INDEX(LdBNote,$M900)="","—",INDEX(LdBNote,$M900)),IF($N900&lt;&gt;"",IF(INDEX(LdCNote,$N900)="","—",INDEX(LdCNote,$N900)),""))))</f>
        <v/>
      </c>
      <c r="L900">
        <f>IFERROR(MATCH($C$5&amp;"|"&amp;RIGHT("000000"&amp;884,6),LdAKeyM,0),"")</f>
        <v/>
      </c>
      <c r="M900">
        <f>IFERROR(MATCH($C$5&amp;"|"&amp;RIGHT("000000"&amp;884,6),LdBKeyM,0),"")</f>
        <v/>
      </c>
      <c r="N900">
        <f>IFERROR(MATCH($C$5&amp;"|"&amp;RIGHT("000000"&amp;884,6),LdCKeyM,0),"")</f>
        <v/>
      </c>
    </row>
    <row r="901">
      <c r="A901" s="10" t="n">
        <v>885</v>
      </c>
      <c r="B901" s="14">
        <f>IF(AND($L901="",$M901="",$N901=""),"",IF($L901&lt;&gt;"",INDEX(LdADate,$L901),IF($M901&lt;&gt;"",INDEX(LdBDate,$M901),INDEX(LdCDate,$N901))))</f>
        <v/>
      </c>
      <c r="C901" s="14">
        <f>IF($L901&lt;&gt;"","دستمزد (فردی)",IF($M901&lt;&gt;"","سهم از گروه "&amp;IFERROR(VLOOKUP(INDEX(LdBGroup,$M901),WGTbl,2,0),INDEX(LdBGroup,$M901)),IF($N901&lt;&gt;"",IF(N(INDEX(LdCDep,$N901))&gt;0,"بازگشت بانکی","پرداخت بانکی"),"")))</f>
        <v/>
      </c>
      <c r="D901" s="14">
        <f>IF($L901&lt;&gt;"",IF(INDEX(LdAId,$L901)="","—",INDEX(LdAId,$L901)),IF($M901&lt;&gt;"",IF(INDEX(LdBId,$M901)="","—",INDEX(LdBId,$M901)),IF($N901&lt;&gt;"",IF(INDEX(LdCBank,$N901)="","—",INDEX(LdCBank,$N901)),"")))</f>
        <v/>
      </c>
      <c r="E901" s="16">
        <f>IF($L901&lt;&gt;"",IF(INDEX(LdAAmt,$L901)=0,"",INDEX(LdAAmt,$L901)),IF($M901&lt;&gt;"",IF(INDEX(LdBAmt,$M901)=0,"",INDEX(LdBAmt,$M901)),IF($N901&lt;&gt;"",IF(INDEX(LdCDep,$N901)=0,"",INDEX(LdCDep,$N901)),"")))</f>
        <v/>
      </c>
      <c r="F901" s="16">
        <f>IF(AND($L901="",$M901="",$N901=""),"",IF($N901="","",IF(INDEX(LdCWit,$N901)=0,"",INDEX(LdCWit,$N901))))</f>
        <v/>
      </c>
      <c r="G901" s="29">
        <f>IF($B901="","",IF($G900="",0,$G900)+IF($E901="",0,$E901)-IF($F901="",0,$F901))</f>
        <v/>
      </c>
      <c r="H901" s="30">
        <f>IF(AND($L901="",$M901="",$N901=""),"",IF($L901&lt;&gt;"",IF(INDEX(LdANote,$L901)="","—",INDEX(LdANote,$L901)),IF($M901&lt;&gt;"",IF(INDEX(LdBNote,$M901)="","—",INDEX(LdBNote,$M901)),IF($N901&lt;&gt;"",IF(INDEX(LdCNote,$N901)="","—",INDEX(LdCNote,$N901)),""))))</f>
        <v/>
      </c>
      <c r="L901">
        <f>IFERROR(MATCH($C$5&amp;"|"&amp;RIGHT("000000"&amp;885,6),LdAKeyM,0),"")</f>
        <v/>
      </c>
      <c r="M901">
        <f>IFERROR(MATCH($C$5&amp;"|"&amp;RIGHT("000000"&amp;885,6),LdBKeyM,0),"")</f>
        <v/>
      </c>
      <c r="N901">
        <f>IFERROR(MATCH($C$5&amp;"|"&amp;RIGHT("000000"&amp;885,6),LdCKeyM,0),"")</f>
        <v/>
      </c>
    </row>
    <row r="902">
      <c r="A902" s="19" t="n">
        <v>886</v>
      </c>
      <c r="B902" s="20">
        <f>IF(AND($L902="",$M902="",$N902=""),"",IF($L902&lt;&gt;"",INDEX(LdADate,$L902),IF($M902&lt;&gt;"",INDEX(LdBDate,$M902),INDEX(LdCDate,$N902))))</f>
        <v/>
      </c>
      <c r="C902" s="20">
        <f>IF($L902&lt;&gt;"","دستمزد (فردی)",IF($M902&lt;&gt;"","سهم از گروه "&amp;IFERROR(VLOOKUP(INDEX(LdBGroup,$M902),WGTbl,2,0),INDEX(LdBGroup,$M902)),IF($N902&lt;&gt;"",IF(N(INDEX(LdCDep,$N902))&gt;0,"بازگشت بانکی","پرداخت بانکی"),"")))</f>
        <v/>
      </c>
      <c r="D902" s="20">
        <f>IF($L902&lt;&gt;"",IF(INDEX(LdAId,$L902)="","—",INDEX(LdAId,$L902)),IF($M902&lt;&gt;"",IF(INDEX(LdBId,$M902)="","—",INDEX(LdBId,$M902)),IF($N902&lt;&gt;"",IF(INDEX(LdCBank,$N902)="","—",INDEX(LdCBank,$N902)),"")))</f>
        <v/>
      </c>
      <c r="E902" s="21">
        <f>IF($L902&lt;&gt;"",IF(INDEX(LdAAmt,$L902)=0,"",INDEX(LdAAmt,$L902)),IF($M902&lt;&gt;"",IF(INDEX(LdBAmt,$M902)=0,"",INDEX(LdBAmt,$M902)),IF($N902&lt;&gt;"",IF(INDEX(LdCDep,$N902)=0,"",INDEX(LdCDep,$N902)),"")))</f>
        <v/>
      </c>
      <c r="F902" s="21">
        <f>IF(AND($L902="",$M902="",$N902=""),"",IF($N902="","",IF(INDEX(LdCWit,$N902)=0,"",INDEX(LdCWit,$N902))))</f>
        <v/>
      </c>
      <c r="G902" s="31">
        <f>IF($B902="","",IF($G901="",0,$G901)+IF($E902="",0,$E902)-IF($F902="",0,$F902))</f>
        <v/>
      </c>
      <c r="H902" s="32">
        <f>IF(AND($L902="",$M902="",$N902=""),"",IF($L902&lt;&gt;"",IF(INDEX(LdANote,$L902)="","—",INDEX(LdANote,$L902)),IF($M902&lt;&gt;"",IF(INDEX(LdBNote,$M902)="","—",INDEX(LdBNote,$M902)),IF($N902&lt;&gt;"",IF(INDEX(LdCNote,$N902)="","—",INDEX(LdCNote,$N902)),""))))</f>
        <v/>
      </c>
      <c r="L902">
        <f>IFERROR(MATCH($C$5&amp;"|"&amp;RIGHT("000000"&amp;886,6),LdAKeyM,0),"")</f>
        <v/>
      </c>
      <c r="M902">
        <f>IFERROR(MATCH($C$5&amp;"|"&amp;RIGHT("000000"&amp;886,6),LdBKeyM,0),"")</f>
        <v/>
      </c>
      <c r="N902">
        <f>IFERROR(MATCH($C$5&amp;"|"&amp;RIGHT("000000"&amp;886,6),LdCKeyM,0),"")</f>
        <v/>
      </c>
    </row>
    <row r="903">
      <c r="A903" s="10" t="n">
        <v>887</v>
      </c>
      <c r="B903" s="14">
        <f>IF(AND($L903="",$M903="",$N903=""),"",IF($L903&lt;&gt;"",INDEX(LdADate,$L903),IF($M903&lt;&gt;"",INDEX(LdBDate,$M903),INDEX(LdCDate,$N903))))</f>
        <v/>
      </c>
      <c r="C903" s="14">
        <f>IF($L903&lt;&gt;"","دستمزد (فردی)",IF($M903&lt;&gt;"","سهم از گروه "&amp;IFERROR(VLOOKUP(INDEX(LdBGroup,$M903),WGTbl,2,0),INDEX(LdBGroup,$M903)),IF($N903&lt;&gt;"",IF(N(INDEX(LdCDep,$N903))&gt;0,"بازگشت بانکی","پرداخت بانکی"),"")))</f>
        <v/>
      </c>
      <c r="D903" s="14">
        <f>IF($L903&lt;&gt;"",IF(INDEX(LdAId,$L903)="","—",INDEX(LdAId,$L903)),IF($M903&lt;&gt;"",IF(INDEX(LdBId,$M903)="","—",INDEX(LdBId,$M903)),IF($N903&lt;&gt;"",IF(INDEX(LdCBank,$N903)="","—",INDEX(LdCBank,$N903)),"")))</f>
        <v/>
      </c>
      <c r="E903" s="16">
        <f>IF($L903&lt;&gt;"",IF(INDEX(LdAAmt,$L903)=0,"",INDEX(LdAAmt,$L903)),IF($M903&lt;&gt;"",IF(INDEX(LdBAmt,$M903)=0,"",INDEX(LdBAmt,$M903)),IF($N903&lt;&gt;"",IF(INDEX(LdCDep,$N903)=0,"",INDEX(LdCDep,$N903)),"")))</f>
        <v/>
      </c>
      <c r="F903" s="16">
        <f>IF(AND($L903="",$M903="",$N903=""),"",IF($N903="","",IF(INDEX(LdCWit,$N903)=0,"",INDEX(LdCWit,$N903))))</f>
        <v/>
      </c>
      <c r="G903" s="29">
        <f>IF($B903="","",IF($G902="",0,$G902)+IF($E903="",0,$E903)-IF($F903="",0,$F903))</f>
        <v/>
      </c>
      <c r="H903" s="30">
        <f>IF(AND($L903="",$M903="",$N903=""),"",IF($L903&lt;&gt;"",IF(INDEX(LdANote,$L903)="","—",INDEX(LdANote,$L903)),IF($M903&lt;&gt;"",IF(INDEX(LdBNote,$M903)="","—",INDEX(LdBNote,$M903)),IF($N903&lt;&gt;"",IF(INDEX(LdCNote,$N903)="","—",INDEX(LdCNote,$N903)),""))))</f>
        <v/>
      </c>
      <c r="L903">
        <f>IFERROR(MATCH($C$5&amp;"|"&amp;RIGHT("000000"&amp;887,6),LdAKeyM,0),"")</f>
        <v/>
      </c>
      <c r="M903">
        <f>IFERROR(MATCH($C$5&amp;"|"&amp;RIGHT("000000"&amp;887,6),LdBKeyM,0),"")</f>
        <v/>
      </c>
      <c r="N903">
        <f>IFERROR(MATCH($C$5&amp;"|"&amp;RIGHT("000000"&amp;887,6),LdCKeyM,0),"")</f>
        <v/>
      </c>
    </row>
    <row r="904">
      <c r="A904" s="19" t="n">
        <v>888</v>
      </c>
      <c r="B904" s="20">
        <f>IF(AND($L904="",$M904="",$N904=""),"",IF($L904&lt;&gt;"",INDEX(LdADate,$L904),IF($M904&lt;&gt;"",INDEX(LdBDate,$M904),INDEX(LdCDate,$N904))))</f>
        <v/>
      </c>
      <c r="C904" s="20">
        <f>IF($L904&lt;&gt;"","دستمزد (فردی)",IF($M904&lt;&gt;"","سهم از گروه "&amp;IFERROR(VLOOKUP(INDEX(LdBGroup,$M904),WGTbl,2,0),INDEX(LdBGroup,$M904)),IF($N904&lt;&gt;"",IF(N(INDEX(LdCDep,$N904))&gt;0,"بازگشت بانکی","پرداخت بانکی"),"")))</f>
        <v/>
      </c>
      <c r="D904" s="20">
        <f>IF($L904&lt;&gt;"",IF(INDEX(LdAId,$L904)="","—",INDEX(LdAId,$L904)),IF($M904&lt;&gt;"",IF(INDEX(LdBId,$M904)="","—",INDEX(LdBId,$M904)),IF($N904&lt;&gt;"",IF(INDEX(LdCBank,$N904)="","—",INDEX(LdCBank,$N904)),"")))</f>
        <v/>
      </c>
      <c r="E904" s="21">
        <f>IF($L904&lt;&gt;"",IF(INDEX(LdAAmt,$L904)=0,"",INDEX(LdAAmt,$L904)),IF($M904&lt;&gt;"",IF(INDEX(LdBAmt,$M904)=0,"",INDEX(LdBAmt,$M904)),IF($N904&lt;&gt;"",IF(INDEX(LdCDep,$N904)=0,"",INDEX(LdCDep,$N904)),"")))</f>
        <v/>
      </c>
      <c r="F904" s="21">
        <f>IF(AND($L904="",$M904="",$N904=""),"",IF($N904="","",IF(INDEX(LdCWit,$N904)=0,"",INDEX(LdCWit,$N904))))</f>
        <v/>
      </c>
      <c r="G904" s="31">
        <f>IF($B904="","",IF($G903="",0,$G903)+IF($E904="",0,$E904)-IF($F904="",0,$F904))</f>
        <v/>
      </c>
      <c r="H904" s="32">
        <f>IF(AND($L904="",$M904="",$N904=""),"",IF($L904&lt;&gt;"",IF(INDEX(LdANote,$L904)="","—",INDEX(LdANote,$L904)),IF($M904&lt;&gt;"",IF(INDEX(LdBNote,$M904)="","—",INDEX(LdBNote,$M904)),IF($N904&lt;&gt;"",IF(INDEX(LdCNote,$N904)="","—",INDEX(LdCNote,$N904)),""))))</f>
        <v/>
      </c>
      <c r="L904">
        <f>IFERROR(MATCH($C$5&amp;"|"&amp;RIGHT("000000"&amp;888,6),LdAKeyM,0),"")</f>
        <v/>
      </c>
      <c r="M904">
        <f>IFERROR(MATCH($C$5&amp;"|"&amp;RIGHT("000000"&amp;888,6),LdBKeyM,0),"")</f>
        <v/>
      </c>
      <c r="N904">
        <f>IFERROR(MATCH($C$5&amp;"|"&amp;RIGHT("000000"&amp;888,6),LdCKeyM,0),"")</f>
        <v/>
      </c>
    </row>
    <row r="905">
      <c r="A905" s="10" t="n">
        <v>889</v>
      </c>
      <c r="B905" s="14">
        <f>IF(AND($L905="",$M905="",$N905=""),"",IF($L905&lt;&gt;"",INDEX(LdADate,$L905),IF($M905&lt;&gt;"",INDEX(LdBDate,$M905),INDEX(LdCDate,$N905))))</f>
        <v/>
      </c>
      <c r="C905" s="14">
        <f>IF($L905&lt;&gt;"","دستمزد (فردی)",IF($M905&lt;&gt;"","سهم از گروه "&amp;IFERROR(VLOOKUP(INDEX(LdBGroup,$M905),WGTbl,2,0),INDEX(LdBGroup,$M905)),IF($N905&lt;&gt;"",IF(N(INDEX(LdCDep,$N905))&gt;0,"بازگشت بانکی","پرداخت بانکی"),"")))</f>
        <v/>
      </c>
      <c r="D905" s="14">
        <f>IF($L905&lt;&gt;"",IF(INDEX(LdAId,$L905)="","—",INDEX(LdAId,$L905)),IF($M905&lt;&gt;"",IF(INDEX(LdBId,$M905)="","—",INDEX(LdBId,$M905)),IF($N905&lt;&gt;"",IF(INDEX(LdCBank,$N905)="","—",INDEX(LdCBank,$N905)),"")))</f>
        <v/>
      </c>
      <c r="E905" s="16">
        <f>IF($L905&lt;&gt;"",IF(INDEX(LdAAmt,$L905)=0,"",INDEX(LdAAmt,$L905)),IF($M905&lt;&gt;"",IF(INDEX(LdBAmt,$M905)=0,"",INDEX(LdBAmt,$M905)),IF($N905&lt;&gt;"",IF(INDEX(LdCDep,$N905)=0,"",INDEX(LdCDep,$N905)),"")))</f>
        <v/>
      </c>
      <c r="F905" s="16">
        <f>IF(AND($L905="",$M905="",$N905=""),"",IF($N905="","",IF(INDEX(LdCWit,$N905)=0,"",INDEX(LdCWit,$N905))))</f>
        <v/>
      </c>
      <c r="G905" s="29">
        <f>IF($B905="","",IF($G904="",0,$G904)+IF($E905="",0,$E905)-IF($F905="",0,$F905))</f>
        <v/>
      </c>
      <c r="H905" s="30">
        <f>IF(AND($L905="",$M905="",$N905=""),"",IF($L905&lt;&gt;"",IF(INDEX(LdANote,$L905)="","—",INDEX(LdANote,$L905)),IF($M905&lt;&gt;"",IF(INDEX(LdBNote,$M905)="","—",INDEX(LdBNote,$M905)),IF($N905&lt;&gt;"",IF(INDEX(LdCNote,$N905)="","—",INDEX(LdCNote,$N905)),""))))</f>
        <v/>
      </c>
      <c r="L905">
        <f>IFERROR(MATCH($C$5&amp;"|"&amp;RIGHT("000000"&amp;889,6),LdAKeyM,0),"")</f>
        <v/>
      </c>
      <c r="M905">
        <f>IFERROR(MATCH($C$5&amp;"|"&amp;RIGHT("000000"&amp;889,6),LdBKeyM,0),"")</f>
        <v/>
      </c>
      <c r="N905">
        <f>IFERROR(MATCH($C$5&amp;"|"&amp;RIGHT("000000"&amp;889,6),LdCKeyM,0),"")</f>
        <v/>
      </c>
    </row>
    <row r="906">
      <c r="A906" s="19" t="n">
        <v>890</v>
      </c>
      <c r="B906" s="20">
        <f>IF(AND($L906="",$M906="",$N906=""),"",IF($L906&lt;&gt;"",INDEX(LdADate,$L906),IF($M906&lt;&gt;"",INDEX(LdBDate,$M906),INDEX(LdCDate,$N906))))</f>
        <v/>
      </c>
      <c r="C906" s="20">
        <f>IF($L906&lt;&gt;"","دستمزد (فردی)",IF($M906&lt;&gt;"","سهم از گروه "&amp;IFERROR(VLOOKUP(INDEX(LdBGroup,$M906),WGTbl,2,0),INDEX(LdBGroup,$M906)),IF($N906&lt;&gt;"",IF(N(INDEX(LdCDep,$N906))&gt;0,"بازگشت بانکی","پرداخت بانکی"),"")))</f>
        <v/>
      </c>
      <c r="D906" s="20">
        <f>IF($L906&lt;&gt;"",IF(INDEX(LdAId,$L906)="","—",INDEX(LdAId,$L906)),IF($M906&lt;&gt;"",IF(INDEX(LdBId,$M906)="","—",INDEX(LdBId,$M906)),IF($N906&lt;&gt;"",IF(INDEX(LdCBank,$N906)="","—",INDEX(LdCBank,$N906)),"")))</f>
        <v/>
      </c>
      <c r="E906" s="21">
        <f>IF($L906&lt;&gt;"",IF(INDEX(LdAAmt,$L906)=0,"",INDEX(LdAAmt,$L906)),IF($M906&lt;&gt;"",IF(INDEX(LdBAmt,$M906)=0,"",INDEX(LdBAmt,$M906)),IF($N906&lt;&gt;"",IF(INDEX(LdCDep,$N906)=0,"",INDEX(LdCDep,$N906)),"")))</f>
        <v/>
      </c>
      <c r="F906" s="21">
        <f>IF(AND($L906="",$M906="",$N906=""),"",IF($N906="","",IF(INDEX(LdCWit,$N906)=0,"",INDEX(LdCWit,$N906))))</f>
        <v/>
      </c>
      <c r="G906" s="31">
        <f>IF($B906="","",IF($G905="",0,$G905)+IF($E906="",0,$E906)-IF($F906="",0,$F906))</f>
        <v/>
      </c>
      <c r="H906" s="32">
        <f>IF(AND($L906="",$M906="",$N906=""),"",IF($L906&lt;&gt;"",IF(INDEX(LdANote,$L906)="","—",INDEX(LdANote,$L906)),IF($M906&lt;&gt;"",IF(INDEX(LdBNote,$M906)="","—",INDEX(LdBNote,$M906)),IF($N906&lt;&gt;"",IF(INDEX(LdCNote,$N906)="","—",INDEX(LdCNote,$N906)),""))))</f>
        <v/>
      </c>
      <c r="L906">
        <f>IFERROR(MATCH($C$5&amp;"|"&amp;RIGHT("000000"&amp;890,6),LdAKeyM,0),"")</f>
        <v/>
      </c>
      <c r="M906">
        <f>IFERROR(MATCH($C$5&amp;"|"&amp;RIGHT("000000"&amp;890,6),LdBKeyM,0),"")</f>
        <v/>
      </c>
      <c r="N906">
        <f>IFERROR(MATCH($C$5&amp;"|"&amp;RIGHT("000000"&amp;890,6),LdCKeyM,0),"")</f>
        <v/>
      </c>
    </row>
    <row r="907">
      <c r="A907" s="10" t="n">
        <v>891</v>
      </c>
      <c r="B907" s="14">
        <f>IF(AND($L907="",$M907="",$N907=""),"",IF($L907&lt;&gt;"",INDEX(LdADate,$L907),IF($M907&lt;&gt;"",INDEX(LdBDate,$M907),INDEX(LdCDate,$N907))))</f>
        <v/>
      </c>
      <c r="C907" s="14">
        <f>IF($L907&lt;&gt;"","دستمزد (فردی)",IF($M907&lt;&gt;"","سهم از گروه "&amp;IFERROR(VLOOKUP(INDEX(LdBGroup,$M907),WGTbl,2,0),INDEX(LdBGroup,$M907)),IF($N907&lt;&gt;"",IF(N(INDEX(LdCDep,$N907))&gt;0,"بازگشت بانکی","پرداخت بانکی"),"")))</f>
        <v/>
      </c>
      <c r="D907" s="14">
        <f>IF($L907&lt;&gt;"",IF(INDEX(LdAId,$L907)="","—",INDEX(LdAId,$L907)),IF($M907&lt;&gt;"",IF(INDEX(LdBId,$M907)="","—",INDEX(LdBId,$M907)),IF($N907&lt;&gt;"",IF(INDEX(LdCBank,$N907)="","—",INDEX(LdCBank,$N907)),"")))</f>
        <v/>
      </c>
      <c r="E907" s="16">
        <f>IF($L907&lt;&gt;"",IF(INDEX(LdAAmt,$L907)=0,"",INDEX(LdAAmt,$L907)),IF($M907&lt;&gt;"",IF(INDEX(LdBAmt,$M907)=0,"",INDEX(LdBAmt,$M907)),IF($N907&lt;&gt;"",IF(INDEX(LdCDep,$N907)=0,"",INDEX(LdCDep,$N907)),"")))</f>
        <v/>
      </c>
      <c r="F907" s="16">
        <f>IF(AND($L907="",$M907="",$N907=""),"",IF($N907="","",IF(INDEX(LdCWit,$N907)=0,"",INDEX(LdCWit,$N907))))</f>
        <v/>
      </c>
      <c r="G907" s="29">
        <f>IF($B907="","",IF($G906="",0,$G906)+IF($E907="",0,$E907)-IF($F907="",0,$F907))</f>
        <v/>
      </c>
      <c r="H907" s="30">
        <f>IF(AND($L907="",$M907="",$N907=""),"",IF($L907&lt;&gt;"",IF(INDEX(LdANote,$L907)="","—",INDEX(LdANote,$L907)),IF($M907&lt;&gt;"",IF(INDEX(LdBNote,$M907)="","—",INDEX(LdBNote,$M907)),IF($N907&lt;&gt;"",IF(INDEX(LdCNote,$N907)="","—",INDEX(LdCNote,$N907)),""))))</f>
        <v/>
      </c>
      <c r="L907">
        <f>IFERROR(MATCH($C$5&amp;"|"&amp;RIGHT("000000"&amp;891,6),LdAKeyM,0),"")</f>
        <v/>
      </c>
      <c r="M907">
        <f>IFERROR(MATCH($C$5&amp;"|"&amp;RIGHT("000000"&amp;891,6),LdBKeyM,0),"")</f>
        <v/>
      </c>
      <c r="N907">
        <f>IFERROR(MATCH($C$5&amp;"|"&amp;RIGHT("000000"&amp;891,6),LdCKeyM,0),"")</f>
        <v/>
      </c>
    </row>
    <row r="908">
      <c r="A908" s="19" t="n">
        <v>892</v>
      </c>
      <c r="B908" s="20">
        <f>IF(AND($L908="",$M908="",$N908=""),"",IF($L908&lt;&gt;"",INDEX(LdADate,$L908),IF($M908&lt;&gt;"",INDEX(LdBDate,$M908),INDEX(LdCDate,$N908))))</f>
        <v/>
      </c>
      <c r="C908" s="20">
        <f>IF($L908&lt;&gt;"","دستمزد (فردی)",IF($M908&lt;&gt;"","سهم از گروه "&amp;IFERROR(VLOOKUP(INDEX(LdBGroup,$M908),WGTbl,2,0),INDEX(LdBGroup,$M908)),IF($N908&lt;&gt;"",IF(N(INDEX(LdCDep,$N908))&gt;0,"بازگشت بانکی","پرداخت بانکی"),"")))</f>
        <v/>
      </c>
      <c r="D908" s="20">
        <f>IF($L908&lt;&gt;"",IF(INDEX(LdAId,$L908)="","—",INDEX(LdAId,$L908)),IF($M908&lt;&gt;"",IF(INDEX(LdBId,$M908)="","—",INDEX(LdBId,$M908)),IF($N908&lt;&gt;"",IF(INDEX(LdCBank,$N908)="","—",INDEX(LdCBank,$N908)),"")))</f>
        <v/>
      </c>
      <c r="E908" s="21">
        <f>IF($L908&lt;&gt;"",IF(INDEX(LdAAmt,$L908)=0,"",INDEX(LdAAmt,$L908)),IF($M908&lt;&gt;"",IF(INDEX(LdBAmt,$M908)=0,"",INDEX(LdBAmt,$M908)),IF($N908&lt;&gt;"",IF(INDEX(LdCDep,$N908)=0,"",INDEX(LdCDep,$N908)),"")))</f>
        <v/>
      </c>
      <c r="F908" s="21">
        <f>IF(AND($L908="",$M908="",$N908=""),"",IF($N908="","",IF(INDEX(LdCWit,$N908)=0,"",INDEX(LdCWit,$N908))))</f>
        <v/>
      </c>
      <c r="G908" s="31">
        <f>IF($B908="","",IF($G907="",0,$G907)+IF($E908="",0,$E908)-IF($F908="",0,$F908))</f>
        <v/>
      </c>
      <c r="H908" s="32">
        <f>IF(AND($L908="",$M908="",$N908=""),"",IF($L908&lt;&gt;"",IF(INDEX(LdANote,$L908)="","—",INDEX(LdANote,$L908)),IF($M908&lt;&gt;"",IF(INDEX(LdBNote,$M908)="","—",INDEX(LdBNote,$M908)),IF($N908&lt;&gt;"",IF(INDEX(LdCNote,$N908)="","—",INDEX(LdCNote,$N908)),""))))</f>
        <v/>
      </c>
      <c r="L908">
        <f>IFERROR(MATCH($C$5&amp;"|"&amp;RIGHT("000000"&amp;892,6),LdAKeyM,0),"")</f>
        <v/>
      </c>
      <c r="M908">
        <f>IFERROR(MATCH($C$5&amp;"|"&amp;RIGHT("000000"&amp;892,6),LdBKeyM,0),"")</f>
        <v/>
      </c>
      <c r="N908">
        <f>IFERROR(MATCH($C$5&amp;"|"&amp;RIGHT("000000"&amp;892,6),LdCKeyM,0),"")</f>
        <v/>
      </c>
    </row>
    <row r="909">
      <c r="A909" s="10" t="n">
        <v>893</v>
      </c>
      <c r="B909" s="14">
        <f>IF(AND($L909="",$M909="",$N909=""),"",IF($L909&lt;&gt;"",INDEX(LdADate,$L909),IF($M909&lt;&gt;"",INDEX(LdBDate,$M909),INDEX(LdCDate,$N909))))</f>
        <v/>
      </c>
      <c r="C909" s="14">
        <f>IF($L909&lt;&gt;"","دستمزد (فردی)",IF($M909&lt;&gt;"","سهم از گروه "&amp;IFERROR(VLOOKUP(INDEX(LdBGroup,$M909),WGTbl,2,0),INDEX(LdBGroup,$M909)),IF($N909&lt;&gt;"",IF(N(INDEX(LdCDep,$N909))&gt;0,"بازگشت بانکی","پرداخت بانکی"),"")))</f>
        <v/>
      </c>
      <c r="D909" s="14">
        <f>IF($L909&lt;&gt;"",IF(INDEX(LdAId,$L909)="","—",INDEX(LdAId,$L909)),IF($M909&lt;&gt;"",IF(INDEX(LdBId,$M909)="","—",INDEX(LdBId,$M909)),IF($N909&lt;&gt;"",IF(INDEX(LdCBank,$N909)="","—",INDEX(LdCBank,$N909)),"")))</f>
        <v/>
      </c>
      <c r="E909" s="16">
        <f>IF($L909&lt;&gt;"",IF(INDEX(LdAAmt,$L909)=0,"",INDEX(LdAAmt,$L909)),IF($M909&lt;&gt;"",IF(INDEX(LdBAmt,$M909)=0,"",INDEX(LdBAmt,$M909)),IF($N909&lt;&gt;"",IF(INDEX(LdCDep,$N909)=0,"",INDEX(LdCDep,$N909)),"")))</f>
        <v/>
      </c>
      <c r="F909" s="16">
        <f>IF(AND($L909="",$M909="",$N909=""),"",IF($N909="","",IF(INDEX(LdCWit,$N909)=0,"",INDEX(LdCWit,$N909))))</f>
        <v/>
      </c>
      <c r="G909" s="29">
        <f>IF($B909="","",IF($G908="",0,$G908)+IF($E909="",0,$E909)-IF($F909="",0,$F909))</f>
        <v/>
      </c>
      <c r="H909" s="30">
        <f>IF(AND($L909="",$M909="",$N909=""),"",IF($L909&lt;&gt;"",IF(INDEX(LdANote,$L909)="","—",INDEX(LdANote,$L909)),IF($M909&lt;&gt;"",IF(INDEX(LdBNote,$M909)="","—",INDEX(LdBNote,$M909)),IF($N909&lt;&gt;"",IF(INDEX(LdCNote,$N909)="","—",INDEX(LdCNote,$N909)),""))))</f>
        <v/>
      </c>
      <c r="L909">
        <f>IFERROR(MATCH($C$5&amp;"|"&amp;RIGHT("000000"&amp;893,6),LdAKeyM,0),"")</f>
        <v/>
      </c>
      <c r="M909">
        <f>IFERROR(MATCH($C$5&amp;"|"&amp;RIGHT("000000"&amp;893,6),LdBKeyM,0),"")</f>
        <v/>
      </c>
      <c r="N909">
        <f>IFERROR(MATCH($C$5&amp;"|"&amp;RIGHT("000000"&amp;893,6),LdCKeyM,0),"")</f>
        <v/>
      </c>
    </row>
    <row r="910">
      <c r="A910" s="19" t="n">
        <v>894</v>
      </c>
      <c r="B910" s="20">
        <f>IF(AND($L910="",$M910="",$N910=""),"",IF($L910&lt;&gt;"",INDEX(LdADate,$L910),IF($M910&lt;&gt;"",INDEX(LdBDate,$M910),INDEX(LdCDate,$N910))))</f>
        <v/>
      </c>
      <c r="C910" s="20">
        <f>IF($L910&lt;&gt;"","دستمزد (فردی)",IF($M910&lt;&gt;"","سهم از گروه "&amp;IFERROR(VLOOKUP(INDEX(LdBGroup,$M910),WGTbl,2,0),INDEX(LdBGroup,$M910)),IF($N910&lt;&gt;"",IF(N(INDEX(LdCDep,$N910))&gt;0,"بازگشت بانکی","پرداخت بانکی"),"")))</f>
        <v/>
      </c>
      <c r="D910" s="20">
        <f>IF($L910&lt;&gt;"",IF(INDEX(LdAId,$L910)="","—",INDEX(LdAId,$L910)),IF($M910&lt;&gt;"",IF(INDEX(LdBId,$M910)="","—",INDEX(LdBId,$M910)),IF($N910&lt;&gt;"",IF(INDEX(LdCBank,$N910)="","—",INDEX(LdCBank,$N910)),"")))</f>
        <v/>
      </c>
      <c r="E910" s="21">
        <f>IF($L910&lt;&gt;"",IF(INDEX(LdAAmt,$L910)=0,"",INDEX(LdAAmt,$L910)),IF($M910&lt;&gt;"",IF(INDEX(LdBAmt,$M910)=0,"",INDEX(LdBAmt,$M910)),IF($N910&lt;&gt;"",IF(INDEX(LdCDep,$N910)=0,"",INDEX(LdCDep,$N910)),"")))</f>
        <v/>
      </c>
      <c r="F910" s="21">
        <f>IF(AND($L910="",$M910="",$N910=""),"",IF($N910="","",IF(INDEX(LdCWit,$N910)=0,"",INDEX(LdCWit,$N910))))</f>
        <v/>
      </c>
      <c r="G910" s="31">
        <f>IF($B910="","",IF($G909="",0,$G909)+IF($E910="",0,$E910)-IF($F910="",0,$F910))</f>
        <v/>
      </c>
      <c r="H910" s="32">
        <f>IF(AND($L910="",$M910="",$N910=""),"",IF($L910&lt;&gt;"",IF(INDEX(LdANote,$L910)="","—",INDEX(LdANote,$L910)),IF($M910&lt;&gt;"",IF(INDEX(LdBNote,$M910)="","—",INDEX(LdBNote,$M910)),IF($N910&lt;&gt;"",IF(INDEX(LdCNote,$N910)="","—",INDEX(LdCNote,$N910)),""))))</f>
        <v/>
      </c>
      <c r="L910">
        <f>IFERROR(MATCH($C$5&amp;"|"&amp;RIGHT("000000"&amp;894,6),LdAKeyM,0),"")</f>
        <v/>
      </c>
      <c r="M910">
        <f>IFERROR(MATCH($C$5&amp;"|"&amp;RIGHT("000000"&amp;894,6),LdBKeyM,0),"")</f>
        <v/>
      </c>
      <c r="N910">
        <f>IFERROR(MATCH($C$5&amp;"|"&amp;RIGHT("000000"&amp;894,6),LdCKeyM,0),"")</f>
        <v/>
      </c>
    </row>
    <row r="911">
      <c r="A911" s="10" t="n">
        <v>895</v>
      </c>
      <c r="B911" s="14">
        <f>IF(AND($L911="",$M911="",$N911=""),"",IF($L911&lt;&gt;"",INDEX(LdADate,$L911),IF($M911&lt;&gt;"",INDEX(LdBDate,$M911),INDEX(LdCDate,$N911))))</f>
        <v/>
      </c>
      <c r="C911" s="14">
        <f>IF($L911&lt;&gt;"","دستمزد (فردی)",IF($M911&lt;&gt;"","سهم از گروه "&amp;IFERROR(VLOOKUP(INDEX(LdBGroup,$M911),WGTbl,2,0),INDEX(LdBGroup,$M911)),IF($N911&lt;&gt;"",IF(N(INDEX(LdCDep,$N911))&gt;0,"بازگشت بانکی","پرداخت بانکی"),"")))</f>
        <v/>
      </c>
      <c r="D911" s="14">
        <f>IF($L911&lt;&gt;"",IF(INDEX(LdAId,$L911)="","—",INDEX(LdAId,$L911)),IF($M911&lt;&gt;"",IF(INDEX(LdBId,$M911)="","—",INDEX(LdBId,$M911)),IF($N911&lt;&gt;"",IF(INDEX(LdCBank,$N911)="","—",INDEX(LdCBank,$N911)),"")))</f>
        <v/>
      </c>
      <c r="E911" s="16">
        <f>IF($L911&lt;&gt;"",IF(INDEX(LdAAmt,$L911)=0,"",INDEX(LdAAmt,$L911)),IF($M911&lt;&gt;"",IF(INDEX(LdBAmt,$M911)=0,"",INDEX(LdBAmt,$M911)),IF($N911&lt;&gt;"",IF(INDEX(LdCDep,$N911)=0,"",INDEX(LdCDep,$N911)),"")))</f>
        <v/>
      </c>
      <c r="F911" s="16">
        <f>IF(AND($L911="",$M911="",$N911=""),"",IF($N911="","",IF(INDEX(LdCWit,$N911)=0,"",INDEX(LdCWit,$N911))))</f>
        <v/>
      </c>
      <c r="G911" s="29">
        <f>IF($B911="","",IF($G910="",0,$G910)+IF($E911="",0,$E911)-IF($F911="",0,$F911))</f>
        <v/>
      </c>
      <c r="H911" s="30">
        <f>IF(AND($L911="",$M911="",$N911=""),"",IF($L911&lt;&gt;"",IF(INDEX(LdANote,$L911)="","—",INDEX(LdANote,$L911)),IF($M911&lt;&gt;"",IF(INDEX(LdBNote,$M911)="","—",INDEX(LdBNote,$M911)),IF($N911&lt;&gt;"",IF(INDEX(LdCNote,$N911)="","—",INDEX(LdCNote,$N911)),""))))</f>
        <v/>
      </c>
      <c r="L911">
        <f>IFERROR(MATCH($C$5&amp;"|"&amp;RIGHT("000000"&amp;895,6),LdAKeyM,0),"")</f>
        <v/>
      </c>
      <c r="M911">
        <f>IFERROR(MATCH($C$5&amp;"|"&amp;RIGHT("000000"&amp;895,6),LdBKeyM,0),"")</f>
        <v/>
      </c>
      <c r="N911">
        <f>IFERROR(MATCH($C$5&amp;"|"&amp;RIGHT("000000"&amp;895,6),LdCKeyM,0),"")</f>
        <v/>
      </c>
    </row>
    <row r="912">
      <c r="A912" s="19" t="n">
        <v>896</v>
      </c>
      <c r="B912" s="20">
        <f>IF(AND($L912="",$M912="",$N912=""),"",IF($L912&lt;&gt;"",INDEX(LdADate,$L912),IF($M912&lt;&gt;"",INDEX(LdBDate,$M912),INDEX(LdCDate,$N912))))</f>
        <v/>
      </c>
      <c r="C912" s="20">
        <f>IF($L912&lt;&gt;"","دستمزد (فردی)",IF($M912&lt;&gt;"","سهم از گروه "&amp;IFERROR(VLOOKUP(INDEX(LdBGroup,$M912),WGTbl,2,0),INDEX(LdBGroup,$M912)),IF($N912&lt;&gt;"",IF(N(INDEX(LdCDep,$N912))&gt;0,"بازگشت بانکی","پرداخت بانکی"),"")))</f>
        <v/>
      </c>
      <c r="D912" s="20">
        <f>IF($L912&lt;&gt;"",IF(INDEX(LdAId,$L912)="","—",INDEX(LdAId,$L912)),IF($M912&lt;&gt;"",IF(INDEX(LdBId,$M912)="","—",INDEX(LdBId,$M912)),IF($N912&lt;&gt;"",IF(INDEX(LdCBank,$N912)="","—",INDEX(LdCBank,$N912)),"")))</f>
        <v/>
      </c>
      <c r="E912" s="21">
        <f>IF($L912&lt;&gt;"",IF(INDEX(LdAAmt,$L912)=0,"",INDEX(LdAAmt,$L912)),IF($M912&lt;&gt;"",IF(INDEX(LdBAmt,$M912)=0,"",INDEX(LdBAmt,$M912)),IF($N912&lt;&gt;"",IF(INDEX(LdCDep,$N912)=0,"",INDEX(LdCDep,$N912)),"")))</f>
        <v/>
      </c>
      <c r="F912" s="21">
        <f>IF(AND($L912="",$M912="",$N912=""),"",IF($N912="","",IF(INDEX(LdCWit,$N912)=0,"",INDEX(LdCWit,$N912))))</f>
        <v/>
      </c>
      <c r="G912" s="31">
        <f>IF($B912="","",IF($G911="",0,$G911)+IF($E912="",0,$E912)-IF($F912="",0,$F912))</f>
        <v/>
      </c>
      <c r="H912" s="32">
        <f>IF(AND($L912="",$M912="",$N912=""),"",IF($L912&lt;&gt;"",IF(INDEX(LdANote,$L912)="","—",INDEX(LdANote,$L912)),IF($M912&lt;&gt;"",IF(INDEX(LdBNote,$M912)="","—",INDEX(LdBNote,$M912)),IF($N912&lt;&gt;"",IF(INDEX(LdCNote,$N912)="","—",INDEX(LdCNote,$N912)),""))))</f>
        <v/>
      </c>
      <c r="L912">
        <f>IFERROR(MATCH($C$5&amp;"|"&amp;RIGHT("000000"&amp;896,6),LdAKeyM,0),"")</f>
        <v/>
      </c>
      <c r="M912">
        <f>IFERROR(MATCH($C$5&amp;"|"&amp;RIGHT("000000"&amp;896,6),LdBKeyM,0),"")</f>
        <v/>
      </c>
      <c r="N912">
        <f>IFERROR(MATCH($C$5&amp;"|"&amp;RIGHT("000000"&amp;896,6),LdCKeyM,0),"")</f>
        <v/>
      </c>
    </row>
    <row r="913">
      <c r="A913" s="10" t="n">
        <v>897</v>
      </c>
      <c r="B913" s="14">
        <f>IF(AND($L913="",$M913="",$N913=""),"",IF($L913&lt;&gt;"",INDEX(LdADate,$L913),IF($M913&lt;&gt;"",INDEX(LdBDate,$M913),INDEX(LdCDate,$N913))))</f>
        <v/>
      </c>
      <c r="C913" s="14">
        <f>IF($L913&lt;&gt;"","دستمزد (فردی)",IF($M913&lt;&gt;"","سهم از گروه "&amp;IFERROR(VLOOKUP(INDEX(LdBGroup,$M913),WGTbl,2,0),INDEX(LdBGroup,$M913)),IF($N913&lt;&gt;"",IF(N(INDEX(LdCDep,$N913))&gt;0,"بازگشت بانکی","پرداخت بانکی"),"")))</f>
        <v/>
      </c>
      <c r="D913" s="14">
        <f>IF($L913&lt;&gt;"",IF(INDEX(LdAId,$L913)="","—",INDEX(LdAId,$L913)),IF($M913&lt;&gt;"",IF(INDEX(LdBId,$M913)="","—",INDEX(LdBId,$M913)),IF($N913&lt;&gt;"",IF(INDEX(LdCBank,$N913)="","—",INDEX(LdCBank,$N913)),"")))</f>
        <v/>
      </c>
      <c r="E913" s="16">
        <f>IF($L913&lt;&gt;"",IF(INDEX(LdAAmt,$L913)=0,"",INDEX(LdAAmt,$L913)),IF($M913&lt;&gt;"",IF(INDEX(LdBAmt,$M913)=0,"",INDEX(LdBAmt,$M913)),IF($N913&lt;&gt;"",IF(INDEX(LdCDep,$N913)=0,"",INDEX(LdCDep,$N913)),"")))</f>
        <v/>
      </c>
      <c r="F913" s="16">
        <f>IF(AND($L913="",$M913="",$N913=""),"",IF($N913="","",IF(INDEX(LdCWit,$N913)=0,"",INDEX(LdCWit,$N913))))</f>
        <v/>
      </c>
      <c r="G913" s="29">
        <f>IF($B913="","",IF($G912="",0,$G912)+IF($E913="",0,$E913)-IF($F913="",0,$F913))</f>
        <v/>
      </c>
      <c r="H913" s="30">
        <f>IF(AND($L913="",$M913="",$N913=""),"",IF($L913&lt;&gt;"",IF(INDEX(LdANote,$L913)="","—",INDEX(LdANote,$L913)),IF($M913&lt;&gt;"",IF(INDEX(LdBNote,$M913)="","—",INDEX(LdBNote,$M913)),IF($N913&lt;&gt;"",IF(INDEX(LdCNote,$N913)="","—",INDEX(LdCNote,$N913)),""))))</f>
        <v/>
      </c>
      <c r="L913">
        <f>IFERROR(MATCH($C$5&amp;"|"&amp;RIGHT("000000"&amp;897,6),LdAKeyM,0),"")</f>
        <v/>
      </c>
      <c r="M913">
        <f>IFERROR(MATCH($C$5&amp;"|"&amp;RIGHT("000000"&amp;897,6),LdBKeyM,0),"")</f>
        <v/>
      </c>
      <c r="N913">
        <f>IFERROR(MATCH($C$5&amp;"|"&amp;RIGHT("000000"&amp;897,6),LdCKeyM,0),"")</f>
        <v/>
      </c>
    </row>
    <row r="914">
      <c r="A914" s="19" t="n">
        <v>898</v>
      </c>
      <c r="B914" s="20">
        <f>IF(AND($L914="",$M914="",$N914=""),"",IF($L914&lt;&gt;"",INDEX(LdADate,$L914),IF($M914&lt;&gt;"",INDEX(LdBDate,$M914),INDEX(LdCDate,$N914))))</f>
        <v/>
      </c>
      <c r="C914" s="20">
        <f>IF($L914&lt;&gt;"","دستمزد (فردی)",IF($M914&lt;&gt;"","سهم از گروه "&amp;IFERROR(VLOOKUP(INDEX(LdBGroup,$M914),WGTbl,2,0),INDEX(LdBGroup,$M914)),IF($N914&lt;&gt;"",IF(N(INDEX(LdCDep,$N914))&gt;0,"بازگشت بانکی","پرداخت بانکی"),"")))</f>
        <v/>
      </c>
      <c r="D914" s="20">
        <f>IF($L914&lt;&gt;"",IF(INDEX(LdAId,$L914)="","—",INDEX(LdAId,$L914)),IF($M914&lt;&gt;"",IF(INDEX(LdBId,$M914)="","—",INDEX(LdBId,$M914)),IF($N914&lt;&gt;"",IF(INDEX(LdCBank,$N914)="","—",INDEX(LdCBank,$N914)),"")))</f>
        <v/>
      </c>
      <c r="E914" s="21">
        <f>IF($L914&lt;&gt;"",IF(INDEX(LdAAmt,$L914)=0,"",INDEX(LdAAmt,$L914)),IF($M914&lt;&gt;"",IF(INDEX(LdBAmt,$M914)=0,"",INDEX(LdBAmt,$M914)),IF($N914&lt;&gt;"",IF(INDEX(LdCDep,$N914)=0,"",INDEX(LdCDep,$N914)),"")))</f>
        <v/>
      </c>
      <c r="F914" s="21">
        <f>IF(AND($L914="",$M914="",$N914=""),"",IF($N914="","",IF(INDEX(LdCWit,$N914)=0,"",INDEX(LdCWit,$N914))))</f>
        <v/>
      </c>
      <c r="G914" s="31">
        <f>IF($B914="","",IF($G913="",0,$G913)+IF($E914="",0,$E914)-IF($F914="",0,$F914))</f>
        <v/>
      </c>
      <c r="H914" s="32">
        <f>IF(AND($L914="",$M914="",$N914=""),"",IF($L914&lt;&gt;"",IF(INDEX(LdANote,$L914)="","—",INDEX(LdANote,$L914)),IF($M914&lt;&gt;"",IF(INDEX(LdBNote,$M914)="","—",INDEX(LdBNote,$M914)),IF($N914&lt;&gt;"",IF(INDEX(LdCNote,$N914)="","—",INDEX(LdCNote,$N914)),""))))</f>
        <v/>
      </c>
      <c r="L914">
        <f>IFERROR(MATCH($C$5&amp;"|"&amp;RIGHT("000000"&amp;898,6),LdAKeyM,0),"")</f>
        <v/>
      </c>
      <c r="M914">
        <f>IFERROR(MATCH($C$5&amp;"|"&amp;RIGHT("000000"&amp;898,6),LdBKeyM,0),"")</f>
        <v/>
      </c>
      <c r="N914">
        <f>IFERROR(MATCH($C$5&amp;"|"&amp;RIGHT("000000"&amp;898,6),LdCKeyM,0),"")</f>
        <v/>
      </c>
    </row>
    <row r="915">
      <c r="A915" s="10" t="n">
        <v>899</v>
      </c>
      <c r="B915" s="14">
        <f>IF(AND($L915="",$M915="",$N915=""),"",IF($L915&lt;&gt;"",INDEX(LdADate,$L915),IF($M915&lt;&gt;"",INDEX(LdBDate,$M915),INDEX(LdCDate,$N915))))</f>
        <v/>
      </c>
      <c r="C915" s="14">
        <f>IF($L915&lt;&gt;"","دستمزد (فردی)",IF($M915&lt;&gt;"","سهم از گروه "&amp;IFERROR(VLOOKUP(INDEX(LdBGroup,$M915),WGTbl,2,0),INDEX(LdBGroup,$M915)),IF($N915&lt;&gt;"",IF(N(INDEX(LdCDep,$N915))&gt;0,"بازگشت بانکی","پرداخت بانکی"),"")))</f>
        <v/>
      </c>
      <c r="D915" s="14">
        <f>IF($L915&lt;&gt;"",IF(INDEX(LdAId,$L915)="","—",INDEX(LdAId,$L915)),IF($M915&lt;&gt;"",IF(INDEX(LdBId,$M915)="","—",INDEX(LdBId,$M915)),IF($N915&lt;&gt;"",IF(INDEX(LdCBank,$N915)="","—",INDEX(LdCBank,$N915)),"")))</f>
        <v/>
      </c>
      <c r="E915" s="16">
        <f>IF($L915&lt;&gt;"",IF(INDEX(LdAAmt,$L915)=0,"",INDEX(LdAAmt,$L915)),IF($M915&lt;&gt;"",IF(INDEX(LdBAmt,$M915)=0,"",INDEX(LdBAmt,$M915)),IF($N915&lt;&gt;"",IF(INDEX(LdCDep,$N915)=0,"",INDEX(LdCDep,$N915)),"")))</f>
        <v/>
      </c>
      <c r="F915" s="16">
        <f>IF(AND($L915="",$M915="",$N915=""),"",IF($N915="","",IF(INDEX(LdCWit,$N915)=0,"",INDEX(LdCWit,$N915))))</f>
        <v/>
      </c>
      <c r="G915" s="29">
        <f>IF($B915="","",IF($G914="",0,$G914)+IF($E915="",0,$E915)-IF($F915="",0,$F915))</f>
        <v/>
      </c>
      <c r="H915" s="30">
        <f>IF(AND($L915="",$M915="",$N915=""),"",IF($L915&lt;&gt;"",IF(INDEX(LdANote,$L915)="","—",INDEX(LdANote,$L915)),IF($M915&lt;&gt;"",IF(INDEX(LdBNote,$M915)="","—",INDEX(LdBNote,$M915)),IF($N915&lt;&gt;"",IF(INDEX(LdCNote,$N915)="","—",INDEX(LdCNote,$N915)),""))))</f>
        <v/>
      </c>
      <c r="L915">
        <f>IFERROR(MATCH($C$5&amp;"|"&amp;RIGHT("000000"&amp;899,6),LdAKeyM,0),"")</f>
        <v/>
      </c>
      <c r="M915">
        <f>IFERROR(MATCH($C$5&amp;"|"&amp;RIGHT("000000"&amp;899,6),LdBKeyM,0),"")</f>
        <v/>
      </c>
      <c r="N915">
        <f>IFERROR(MATCH($C$5&amp;"|"&amp;RIGHT("000000"&amp;899,6),LdCKeyM,0),"")</f>
        <v/>
      </c>
    </row>
    <row r="916">
      <c r="A916" s="19" t="n">
        <v>900</v>
      </c>
      <c r="B916" s="20">
        <f>IF(AND($L916="",$M916="",$N916=""),"",IF($L916&lt;&gt;"",INDEX(LdADate,$L916),IF($M916&lt;&gt;"",INDEX(LdBDate,$M916),INDEX(LdCDate,$N916))))</f>
        <v/>
      </c>
      <c r="C916" s="20">
        <f>IF($L916&lt;&gt;"","دستمزد (فردی)",IF($M916&lt;&gt;"","سهم از گروه "&amp;IFERROR(VLOOKUP(INDEX(LdBGroup,$M916),WGTbl,2,0),INDEX(LdBGroup,$M916)),IF($N916&lt;&gt;"",IF(N(INDEX(LdCDep,$N916))&gt;0,"بازگشت بانکی","پرداخت بانکی"),"")))</f>
        <v/>
      </c>
      <c r="D916" s="20">
        <f>IF($L916&lt;&gt;"",IF(INDEX(LdAId,$L916)="","—",INDEX(LdAId,$L916)),IF($M916&lt;&gt;"",IF(INDEX(LdBId,$M916)="","—",INDEX(LdBId,$M916)),IF($N916&lt;&gt;"",IF(INDEX(LdCBank,$N916)="","—",INDEX(LdCBank,$N916)),"")))</f>
        <v/>
      </c>
      <c r="E916" s="21">
        <f>IF($L916&lt;&gt;"",IF(INDEX(LdAAmt,$L916)=0,"",INDEX(LdAAmt,$L916)),IF($M916&lt;&gt;"",IF(INDEX(LdBAmt,$M916)=0,"",INDEX(LdBAmt,$M916)),IF($N916&lt;&gt;"",IF(INDEX(LdCDep,$N916)=0,"",INDEX(LdCDep,$N916)),"")))</f>
        <v/>
      </c>
      <c r="F916" s="21">
        <f>IF(AND($L916="",$M916="",$N916=""),"",IF($N916="","",IF(INDEX(LdCWit,$N916)=0,"",INDEX(LdCWit,$N916))))</f>
        <v/>
      </c>
      <c r="G916" s="31">
        <f>IF($B916="","",IF($G915="",0,$G915)+IF($E916="",0,$E916)-IF($F916="",0,$F916))</f>
        <v/>
      </c>
      <c r="H916" s="32">
        <f>IF(AND($L916="",$M916="",$N916=""),"",IF($L916&lt;&gt;"",IF(INDEX(LdANote,$L916)="","—",INDEX(LdANote,$L916)),IF($M916&lt;&gt;"",IF(INDEX(LdBNote,$M916)="","—",INDEX(LdBNote,$M916)),IF($N916&lt;&gt;"",IF(INDEX(LdCNote,$N916)="","—",INDEX(LdCNote,$N916)),""))))</f>
        <v/>
      </c>
      <c r="L916">
        <f>IFERROR(MATCH($C$5&amp;"|"&amp;RIGHT("000000"&amp;900,6),LdAKeyM,0),"")</f>
        <v/>
      </c>
      <c r="M916">
        <f>IFERROR(MATCH($C$5&amp;"|"&amp;RIGHT("000000"&amp;900,6),LdBKeyM,0),"")</f>
        <v/>
      </c>
      <c r="N916">
        <f>IFERROR(MATCH($C$5&amp;"|"&amp;RIGHT("000000"&amp;900,6),LdCKeyM,0),"")</f>
        <v/>
      </c>
    </row>
    <row r="917">
      <c r="A917" s="10" t="n">
        <v>901</v>
      </c>
      <c r="B917" s="14">
        <f>IF(AND($L917="",$M917="",$N917=""),"",IF($L917&lt;&gt;"",INDEX(LdADate,$L917),IF($M917&lt;&gt;"",INDEX(LdBDate,$M917),INDEX(LdCDate,$N917))))</f>
        <v/>
      </c>
      <c r="C917" s="14">
        <f>IF($L917&lt;&gt;"","دستمزد (فردی)",IF($M917&lt;&gt;"","سهم از گروه "&amp;IFERROR(VLOOKUP(INDEX(LdBGroup,$M917),WGTbl,2,0),INDEX(LdBGroup,$M917)),IF($N917&lt;&gt;"",IF(N(INDEX(LdCDep,$N917))&gt;0,"بازگشت بانکی","پرداخت بانکی"),"")))</f>
        <v/>
      </c>
      <c r="D917" s="14">
        <f>IF($L917&lt;&gt;"",IF(INDEX(LdAId,$L917)="","—",INDEX(LdAId,$L917)),IF($M917&lt;&gt;"",IF(INDEX(LdBId,$M917)="","—",INDEX(LdBId,$M917)),IF($N917&lt;&gt;"",IF(INDEX(LdCBank,$N917)="","—",INDEX(LdCBank,$N917)),"")))</f>
        <v/>
      </c>
      <c r="E917" s="16">
        <f>IF($L917&lt;&gt;"",IF(INDEX(LdAAmt,$L917)=0,"",INDEX(LdAAmt,$L917)),IF($M917&lt;&gt;"",IF(INDEX(LdBAmt,$M917)=0,"",INDEX(LdBAmt,$M917)),IF($N917&lt;&gt;"",IF(INDEX(LdCDep,$N917)=0,"",INDEX(LdCDep,$N917)),"")))</f>
        <v/>
      </c>
      <c r="F917" s="16">
        <f>IF(AND($L917="",$M917="",$N917=""),"",IF($N917="","",IF(INDEX(LdCWit,$N917)=0,"",INDEX(LdCWit,$N917))))</f>
        <v/>
      </c>
      <c r="G917" s="29">
        <f>IF($B917="","",IF($G916="",0,$G916)+IF($E917="",0,$E917)-IF($F917="",0,$F917))</f>
        <v/>
      </c>
      <c r="H917" s="30">
        <f>IF(AND($L917="",$M917="",$N917=""),"",IF($L917&lt;&gt;"",IF(INDEX(LdANote,$L917)="","—",INDEX(LdANote,$L917)),IF($M917&lt;&gt;"",IF(INDEX(LdBNote,$M917)="","—",INDEX(LdBNote,$M917)),IF($N917&lt;&gt;"",IF(INDEX(LdCNote,$N917)="","—",INDEX(LdCNote,$N917)),""))))</f>
        <v/>
      </c>
      <c r="L917">
        <f>IFERROR(MATCH($C$5&amp;"|"&amp;RIGHT("000000"&amp;901,6),LdAKeyM,0),"")</f>
        <v/>
      </c>
      <c r="M917">
        <f>IFERROR(MATCH($C$5&amp;"|"&amp;RIGHT("000000"&amp;901,6),LdBKeyM,0),"")</f>
        <v/>
      </c>
      <c r="N917">
        <f>IFERROR(MATCH($C$5&amp;"|"&amp;RIGHT("000000"&amp;901,6),LdCKeyM,0),"")</f>
        <v/>
      </c>
    </row>
    <row r="918">
      <c r="A918" s="19" t="n">
        <v>902</v>
      </c>
      <c r="B918" s="20">
        <f>IF(AND($L918="",$M918="",$N918=""),"",IF($L918&lt;&gt;"",INDEX(LdADate,$L918),IF($M918&lt;&gt;"",INDEX(LdBDate,$M918),INDEX(LdCDate,$N918))))</f>
        <v/>
      </c>
      <c r="C918" s="20">
        <f>IF($L918&lt;&gt;"","دستمزد (فردی)",IF($M918&lt;&gt;"","سهم از گروه "&amp;IFERROR(VLOOKUP(INDEX(LdBGroup,$M918),WGTbl,2,0),INDEX(LdBGroup,$M918)),IF($N918&lt;&gt;"",IF(N(INDEX(LdCDep,$N918))&gt;0,"بازگشت بانکی","پرداخت بانکی"),"")))</f>
        <v/>
      </c>
      <c r="D918" s="20">
        <f>IF($L918&lt;&gt;"",IF(INDEX(LdAId,$L918)="","—",INDEX(LdAId,$L918)),IF($M918&lt;&gt;"",IF(INDEX(LdBId,$M918)="","—",INDEX(LdBId,$M918)),IF($N918&lt;&gt;"",IF(INDEX(LdCBank,$N918)="","—",INDEX(LdCBank,$N918)),"")))</f>
        <v/>
      </c>
      <c r="E918" s="21">
        <f>IF($L918&lt;&gt;"",IF(INDEX(LdAAmt,$L918)=0,"",INDEX(LdAAmt,$L918)),IF($M918&lt;&gt;"",IF(INDEX(LdBAmt,$M918)=0,"",INDEX(LdBAmt,$M918)),IF($N918&lt;&gt;"",IF(INDEX(LdCDep,$N918)=0,"",INDEX(LdCDep,$N918)),"")))</f>
        <v/>
      </c>
      <c r="F918" s="21">
        <f>IF(AND($L918="",$M918="",$N918=""),"",IF($N918="","",IF(INDEX(LdCWit,$N918)=0,"",INDEX(LdCWit,$N918))))</f>
        <v/>
      </c>
      <c r="G918" s="31">
        <f>IF($B918="","",IF($G917="",0,$G917)+IF($E918="",0,$E918)-IF($F918="",0,$F918))</f>
        <v/>
      </c>
      <c r="H918" s="32">
        <f>IF(AND($L918="",$M918="",$N918=""),"",IF($L918&lt;&gt;"",IF(INDEX(LdANote,$L918)="","—",INDEX(LdANote,$L918)),IF($M918&lt;&gt;"",IF(INDEX(LdBNote,$M918)="","—",INDEX(LdBNote,$M918)),IF($N918&lt;&gt;"",IF(INDEX(LdCNote,$N918)="","—",INDEX(LdCNote,$N918)),""))))</f>
        <v/>
      </c>
      <c r="L918">
        <f>IFERROR(MATCH($C$5&amp;"|"&amp;RIGHT("000000"&amp;902,6),LdAKeyM,0),"")</f>
        <v/>
      </c>
      <c r="M918">
        <f>IFERROR(MATCH($C$5&amp;"|"&amp;RIGHT("000000"&amp;902,6),LdBKeyM,0),"")</f>
        <v/>
      </c>
      <c r="N918">
        <f>IFERROR(MATCH($C$5&amp;"|"&amp;RIGHT("000000"&amp;902,6),LdCKeyM,0),"")</f>
        <v/>
      </c>
    </row>
    <row r="919">
      <c r="A919" s="10" t="n">
        <v>903</v>
      </c>
      <c r="B919" s="14">
        <f>IF(AND($L919="",$M919="",$N919=""),"",IF($L919&lt;&gt;"",INDEX(LdADate,$L919),IF($M919&lt;&gt;"",INDEX(LdBDate,$M919),INDEX(LdCDate,$N919))))</f>
        <v/>
      </c>
      <c r="C919" s="14">
        <f>IF($L919&lt;&gt;"","دستمزد (فردی)",IF($M919&lt;&gt;"","سهم از گروه "&amp;IFERROR(VLOOKUP(INDEX(LdBGroup,$M919),WGTbl,2,0),INDEX(LdBGroup,$M919)),IF($N919&lt;&gt;"",IF(N(INDEX(LdCDep,$N919))&gt;0,"بازگشت بانکی","پرداخت بانکی"),"")))</f>
        <v/>
      </c>
      <c r="D919" s="14">
        <f>IF($L919&lt;&gt;"",IF(INDEX(LdAId,$L919)="","—",INDEX(LdAId,$L919)),IF($M919&lt;&gt;"",IF(INDEX(LdBId,$M919)="","—",INDEX(LdBId,$M919)),IF($N919&lt;&gt;"",IF(INDEX(LdCBank,$N919)="","—",INDEX(LdCBank,$N919)),"")))</f>
        <v/>
      </c>
      <c r="E919" s="16">
        <f>IF($L919&lt;&gt;"",IF(INDEX(LdAAmt,$L919)=0,"",INDEX(LdAAmt,$L919)),IF($M919&lt;&gt;"",IF(INDEX(LdBAmt,$M919)=0,"",INDEX(LdBAmt,$M919)),IF($N919&lt;&gt;"",IF(INDEX(LdCDep,$N919)=0,"",INDEX(LdCDep,$N919)),"")))</f>
        <v/>
      </c>
      <c r="F919" s="16">
        <f>IF(AND($L919="",$M919="",$N919=""),"",IF($N919="","",IF(INDEX(LdCWit,$N919)=0,"",INDEX(LdCWit,$N919))))</f>
        <v/>
      </c>
      <c r="G919" s="29">
        <f>IF($B919="","",IF($G918="",0,$G918)+IF($E919="",0,$E919)-IF($F919="",0,$F919))</f>
        <v/>
      </c>
      <c r="H919" s="30">
        <f>IF(AND($L919="",$M919="",$N919=""),"",IF($L919&lt;&gt;"",IF(INDEX(LdANote,$L919)="","—",INDEX(LdANote,$L919)),IF($M919&lt;&gt;"",IF(INDEX(LdBNote,$M919)="","—",INDEX(LdBNote,$M919)),IF($N919&lt;&gt;"",IF(INDEX(LdCNote,$N919)="","—",INDEX(LdCNote,$N919)),""))))</f>
        <v/>
      </c>
      <c r="L919">
        <f>IFERROR(MATCH($C$5&amp;"|"&amp;RIGHT("000000"&amp;903,6),LdAKeyM,0),"")</f>
        <v/>
      </c>
      <c r="M919">
        <f>IFERROR(MATCH($C$5&amp;"|"&amp;RIGHT("000000"&amp;903,6),LdBKeyM,0),"")</f>
        <v/>
      </c>
      <c r="N919">
        <f>IFERROR(MATCH($C$5&amp;"|"&amp;RIGHT("000000"&amp;903,6),LdCKeyM,0),"")</f>
        <v/>
      </c>
    </row>
    <row r="920">
      <c r="A920" s="19" t="n">
        <v>904</v>
      </c>
      <c r="B920" s="20">
        <f>IF(AND($L920="",$M920="",$N920=""),"",IF($L920&lt;&gt;"",INDEX(LdADate,$L920),IF($M920&lt;&gt;"",INDEX(LdBDate,$M920),INDEX(LdCDate,$N920))))</f>
        <v/>
      </c>
      <c r="C920" s="20">
        <f>IF($L920&lt;&gt;"","دستمزد (فردی)",IF($M920&lt;&gt;"","سهم از گروه "&amp;IFERROR(VLOOKUP(INDEX(LdBGroup,$M920),WGTbl,2,0),INDEX(LdBGroup,$M920)),IF($N920&lt;&gt;"",IF(N(INDEX(LdCDep,$N920))&gt;0,"بازگشت بانکی","پرداخت بانکی"),"")))</f>
        <v/>
      </c>
      <c r="D920" s="20">
        <f>IF($L920&lt;&gt;"",IF(INDEX(LdAId,$L920)="","—",INDEX(LdAId,$L920)),IF($M920&lt;&gt;"",IF(INDEX(LdBId,$M920)="","—",INDEX(LdBId,$M920)),IF($N920&lt;&gt;"",IF(INDEX(LdCBank,$N920)="","—",INDEX(LdCBank,$N920)),"")))</f>
        <v/>
      </c>
      <c r="E920" s="21">
        <f>IF($L920&lt;&gt;"",IF(INDEX(LdAAmt,$L920)=0,"",INDEX(LdAAmt,$L920)),IF($M920&lt;&gt;"",IF(INDEX(LdBAmt,$M920)=0,"",INDEX(LdBAmt,$M920)),IF($N920&lt;&gt;"",IF(INDEX(LdCDep,$N920)=0,"",INDEX(LdCDep,$N920)),"")))</f>
        <v/>
      </c>
      <c r="F920" s="21">
        <f>IF(AND($L920="",$M920="",$N920=""),"",IF($N920="","",IF(INDEX(LdCWit,$N920)=0,"",INDEX(LdCWit,$N920))))</f>
        <v/>
      </c>
      <c r="G920" s="31">
        <f>IF($B920="","",IF($G919="",0,$G919)+IF($E920="",0,$E920)-IF($F920="",0,$F920))</f>
        <v/>
      </c>
      <c r="H920" s="32">
        <f>IF(AND($L920="",$M920="",$N920=""),"",IF($L920&lt;&gt;"",IF(INDEX(LdANote,$L920)="","—",INDEX(LdANote,$L920)),IF($M920&lt;&gt;"",IF(INDEX(LdBNote,$M920)="","—",INDEX(LdBNote,$M920)),IF($N920&lt;&gt;"",IF(INDEX(LdCNote,$N920)="","—",INDEX(LdCNote,$N920)),""))))</f>
        <v/>
      </c>
      <c r="L920">
        <f>IFERROR(MATCH($C$5&amp;"|"&amp;RIGHT("000000"&amp;904,6),LdAKeyM,0),"")</f>
        <v/>
      </c>
      <c r="M920">
        <f>IFERROR(MATCH($C$5&amp;"|"&amp;RIGHT("000000"&amp;904,6),LdBKeyM,0),"")</f>
        <v/>
      </c>
      <c r="N920">
        <f>IFERROR(MATCH($C$5&amp;"|"&amp;RIGHT("000000"&amp;904,6),LdCKeyM,0),"")</f>
        <v/>
      </c>
    </row>
    <row r="921">
      <c r="A921" s="10" t="n">
        <v>905</v>
      </c>
      <c r="B921" s="14">
        <f>IF(AND($L921="",$M921="",$N921=""),"",IF($L921&lt;&gt;"",INDEX(LdADate,$L921),IF($M921&lt;&gt;"",INDEX(LdBDate,$M921),INDEX(LdCDate,$N921))))</f>
        <v/>
      </c>
      <c r="C921" s="14">
        <f>IF($L921&lt;&gt;"","دستمزد (فردی)",IF($M921&lt;&gt;"","سهم از گروه "&amp;IFERROR(VLOOKUP(INDEX(LdBGroup,$M921),WGTbl,2,0),INDEX(LdBGroup,$M921)),IF($N921&lt;&gt;"",IF(N(INDEX(LdCDep,$N921))&gt;0,"بازگشت بانکی","پرداخت بانکی"),"")))</f>
        <v/>
      </c>
      <c r="D921" s="14">
        <f>IF($L921&lt;&gt;"",IF(INDEX(LdAId,$L921)="","—",INDEX(LdAId,$L921)),IF($M921&lt;&gt;"",IF(INDEX(LdBId,$M921)="","—",INDEX(LdBId,$M921)),IF($N921&lt;&gt;"",IF(INDEX(LdCBank,$N921)="","—",INDEX(LdCBank,$N921)),"")))</f>
        <v/>
      </c>
      <c r="E921" s="16">
        <f>IF($L921&lt;&gt;"",IF(INDEX(LdAAmt,$L921)=0,"",INDEX(LdAAmt,$L921)),IF($M921&lt;&gt;"",IF(INDEX(LdBAmt,$M921)=0,"",INDEX(LdBAmt,$M921)),IF($N921&lt;&gt;"",IF(INDEX(LdCDep,$N921)=0,"",INDEX(LdCDep,$N921)),"")))</f>
        <v/>
      </c>
      <c r="F921" s="16">
        <f>IF(AND($L921="",$M921="",$N921=""),"",IF($N921="","",IF(INDEX(LdCWit,$N921)=0,"",INDEX(LdCWit,$N921))))</f>
        <v/>
      </c>
      <c r="G921" s="29">
        <f>IF($B921="","",IF($G920="",0,$G920)+IF($E921="",0,$E921)-IF($F921="",0,$F921))</f>
        <v/>
      </c>
      <c r="H921" s="30">
        <f>IF(AND($L921="",$M921="",$N921=""),"",IF($L921&lt;&gt;"",IF(INDEX(LdANote,$L921)="","—",INDEX(LdANote,$L921)),IF($M921&lt;&gt;"",IF(INDEX(LdBNote,$M921)="","—",INDEX(LdBNote,$M921)),IF($N921&lt;&gt;"",IF(INDEX(LdCNote,$N921)="","—",INDEX(LdCNote,$N921)),""))))</f>
        <v/>
      </c>
      <c r="L921">
        <f>IFERROR(MATCH($C$5&amp;"|"&amp;RIGHT("000000"&amp;905,6),LdAKeyM,0),"")</f>
        <v/>
      </c>
      <c r="M921">
        <f>IFERROR(MATCH($C$5&amp;"|"&amp;RIGHT("000000"&amp;905,6),LdBKeyM,0),"")</f>
        <v/>
      </c>
      <c r="N921">
        <f>IFERROR(MATCH($C$5&amp;"|"&amp;RIGHT("000000"&amp;905,6),LdCKeyM,0),"")</f>
        <v/>
      </c>
    </row>
    <row r="922">
      <c r="A922" s="19" t="n">
        <v>906</v>
      </c>
      <c r="B922" s="20">
        <f>IF(AND($L922="",$M922="",$N922=""),"",IF($L922&lt;&gt;"",INDEX(LdADate,$L922),IF($M922&lt;&gt;"",INDEX(LdBDate,$M922),INDEX(LdCDate,$N922))))</f>
        <v/>
      </c>
      <c r="C922" s="20">
        <f>IF($L922&lt;&gt;"","دستمزد (فردی)",IF($M922&lt;&gt;"","سهم از گروه "&amp;IFERROR(VLOOKUP(INDEX(LdBGroup,$M922),WGTbl,2,0),INDEX(LdBGroup,$M922)),IF($N922&lt;&gt;"",IF(N(INDEX(LdCDep,$N922))&gt;0,"بازگشت بانکی","پرداخت بانکی"),"")))</f>
        <v/>
      </c>
      <c r="D922" s="20">
        <f>IF($L922&lt;&gt;"",IF(INDEX(LdAId,$L922)="","—",INDEX(LdAId,$L922)),IF($M922&lt;&gt;"",IF(INDEX(LdBId,$M922)="","—",INDEX(LdBId,$M922)),IF($N922&lt;&gt;"",IF(INDEX(LdCBank,$N922)="","—",INDEX(LdCBank,$N922)),"")))</f>
        <v/>
      </c>
      <c r="E922" s="21">
        <f>IF($L922&lt;&gt;"",IF(INDEX(LdAAmt,$L922)=0,"",INDEX(LdAAmt,$L922)),IF($M922&lt;&gt;"",IF(INDEX(LdBAmt,$M922)=0,"",INDEX(LdBAmt,$M922)),IF($N922&lt;&gt;"",IF(INDEX(LdCDep,$N922)=0,"",INDEX(LdCDep,$N922)),"")))</f>
        <v/>
      </c>
      <c r="F922" s="21">
        <f>IF(AND($L922="",$M922="",$N922=""),"",IF($N922="","",IF(INDEX(LdCWit,$N922)=0,"",INDEX(LdCWit,$N922))))</f>
        <v/>
      </c>
      <c r="G922" s="31">
        <f>IF($B922="","",IF($G921="",0,$G921)+IF($E922="",0,$E922)-IF($F922="",0,$F922))</f>
        <v/>
      </c>
      <c r="H922" s="32">
        <f>IF(AND($L922="",$M922="",$N922=""),"",IF($L922&lt;&gt;"",IF(INDEX(LdANote,$L922)="","—",INDEX(LdANote,$L922)),IF($M922&lt;&gt;"",IF(INDEX(LdBNote,$M922)="","—",INDEX(LdBNote,$M922)),IF($N922&lt;&gt;"",IF(INDEX(LdCNote,$N922)="","—",INDEX(LdCNote,$N922)),""))))</f>
        <v/>
      </c>
      <c r="L922">
        <f>IFERROR(MATCH($C$5&amp;"|"&amp;RIGHT("000000"&amp;906,6),LdAKeyM,0),"")</f>
        <v/>
      </c>
      <c r="M922">
        <f>IFERROR(MATCH($C$5&amp;"|"&amp;RIGHT("000000"&amp;906,6),LdBKeyM,0),"")</f>
        <v/>
      </c>
      <c r="N922">
        <f>IFERROR(MATCH($C$5&amp;"|"&amp;RIGHT("000000"&amp;906,6),LdCKeyM,0),"")</f>
        <v/>
      </c>
    </row>
    <row r="923">
      <c r="A923" s="10" t="n">
        <v>907</v>
      </c>
      <c r="B923" s="14">
        <f>IF(AND($L923="",$M923="",$N923=""),"",IF($L923&lt;&gt;"",INDEX(LdADate,$L923),IF($M923&lt;&gt;"",INDEX(LdBDate,$M923),INDEX(LdCDate,$N923))))</f>
        <v/>
      </c>
      <c r="C923" s="14">
        <f>IF($L923&lt;&gt;"","دستمزد (فردی)",IF($M923&lt;&gt;"","سهم از گروه "&amp;IFERROR(VLOOKUP(INDEX(LdBGroup,$M923),WGTbl,2,0),INDEX(LdBGroup,$M923)),IF($N923&lt;&gt;"",IF(N(INDEX(LdCDep,$N923))&gt;0,"بازگشت بانکی","پرداخت بانکی"),"")))</f>
        <v/>
      </c>
      <c r="D923" s="14">
        <f>IF($L923&lt;&gt;"",IF(INDEX(LdAId,$L923)="","—",INDEX(LdAId,$L923)),IF($M923&lt;&gt;"",IF(INDEX(LdBId,$M923)="","—",INDEX(LdBId,$M923)),IF($N923&lt;&gt;"",IF(INDEX(LdCBank,$N923)="","—",INDEX(LdCBank,$N923)),"")))</f>
        <v/>
      </c>
      <c r="E923" s="16">
        <f>IF($L923&lt;&gt;"",IF(INDEX(LdAAmt,$L923)=0,"",INDEX(LdAAmt,$L923)),IF($M923&lt;&gt;"",IF(INDEX(LdBAmt,$M923)=0,"",INDEX(LdBAmt,$M923)),IF($N923&lt;&gt;"",IF(INDEX(LdCDep,$N923)=0,"",INDEX(LdCDep,$N923)),"")))</f>
        <v/>
      </c>
      <c r="F923" s="16">
        <f>IF(AND($L923="",$M923="",$N923=""),"",IF($N923="","",IF(INDEX(LdCWit,$N923)=0,"",INDEX(LdCWit,$N923))))</f>
        <v/>
      </c>
      <c r="G923" s="29">
        <f>IF($B923="","",IF($G922="",0,$G922)+IF($E923="",0,$E923)-IF($F923="",0,$F923))</f>
        <v/>
      </c>
      <c r="H923" s="30">
        <f>IF(AND($L923="",$M923="",$N923=""),"",IF($L923&lt;&gt;"",IF(INDEX(LdANote,$L923)="","—",INDEX(LdANote,$L923)),IF($M923&lt;&gt;"",IF(INDEX(LdBNote,$M923)="","—",INDEX(LdBNote,$M923)),IF($N923&lt;&gt;"",IF(INDEX(LdCNote,$N923)="","—",INDEX(LdCNote,$N923)),""))))</f>
        <v/>
      </c>
      <c r="L923">
        <f>IFERROR(MATCH($C$5&amp;"|"&amp;RIGHT("000000"&amp;907,6),LdAKeyM,0),"")</f>
        <v/>
      </c>
      <c r="M923">
        <f>IFERROR(MATCH($C$5&amp;"|"&amp;RIGHT("000000"&amp;907,6),LdBKeyM,0),"")</f>
        <v/>
      </c>
      <c r="N923">
        <f>IFERROR(MATCH($C$5&amp;"|"&amp;RIGHT("000000"&amp;907,6),LdCKeyM,0),"")</f>
        <v/>
      </c>
    </row>
    <row r="924">
      <c r="A924" s="19" t="n">
        <v>908</v>
      </c>
      <c r="B924" s="20">
        <f>IF(AND($L924="",$M924="",$N924=""),"",IF($L924&lt;&gt;"",INDEX(LdADate,$L924),IF($M924&lt;&gt;"",INDEX(LdBDate,$M924),INDEX(LdCDate,$N924))))</f>
        <v/>
      </c>
      <c r="C924" s="20">
        <f>IF($L924&lt;&gt;"","دستمزد (فردی)",IF($M924&lt;&gt;"","سهم از گروه "&amp;IFERROR(VLOOKUP(INDEX(LdBGroup,$M924),WGTbl,2,0),INDEX(LdBGroup,$M924)),IF($N924&lt;&gt;"",IF(N(INDEX(LdCDep,$N924))&gt;0,"بازگشت بانکی","پرداخت بانکی"),"")))</f>
        <v/>
      </c>
      <c r="D924" s="20">
        <f>IF($L924&lt;&gt;"",IF(INDEX(LdAId,$L924)="","—",INDEX(LdAId,$L924)),IF($M924&lt;&gt;"",IF(INDEX(LdBId,$M924)="","—",INDEX(LdBId,$M924)),IF($N924&lt;&gt;"",IF(INDEX(LdCBank,$N924)="","—",INDEX(LdCBank,$N924)),"")))</f>
        <v/>
      </c>
      <c r="E924" s="21">
        <f>IF($L924&lt;&gt;"",IF(INDEX(LdAAmt,$L924)=0,"",INDEX(LdAAmt,$L924)),IF($M924&lt;&gt;"",IF(INDEX(LdBAmt,$M924)=0,"",INDEX(LdBAmt,$M924)),IF($N924&lt;&gt;"",IF(INDEX(LdCDep,$N924)=0,"",INDEX(LdCDep,$N924)),"")))</f>
        <v/>
      </c>
      <c r="F924" s="21">
        <f>IF(AND($L924="",$M924="",$N924=""),"",IF($N924="","",IF(INDEX(LdCWit,$N924)=0,"",INDEX(LdCWit,$N924))))</f>
        <v/>
      </c>
      <c r="G924" s="31">
        <f>IF($B924="","",IF($G923="",0,$G923)+IF($E924="",0,$E924)-IF($F924="",0,$F924))</f>
        <v/>
      </c>
      <c r="H924" s="32">
        <f>IF(AND($L924="",$M924="",$N924=""),"",IF($L924&lt;&gt;"",IF(INDEX(LdANote,$L924)="","—",INDEX(LdANote,$L924)),IF($M924&lt;&gt;"",IF(INDEX(LdBNote,$M924)="","—",INDEX(LdBNote,$M924)),IF($N924&lt;&gt;"",IF(INDEX(LdCNote,$N924)="","—",INDEX(LdCNote,$N924)),""))))</f>
        <v/>
      </c>
      <c r="L924">
        <f>IFERROR(MATCH($C$5&amp;"|"&amp;RIGHT("000000"&amp;908,6),LdAKeyM,0),"")</f>
        <v/>
      </c>
      <c r="M924">
        <f>IFERROR(MATCH($C$5&amp;"|"&amp;RIGHT("000000"&amp;908,6),LdBKeyM,0),"")</f>
        <v/>
      </c>
      <c r="N924">
        <f>IFERROR(MATCH($C$5&amp;"|"&amp;RIGHT("000000"&amp;908,6),LdCKeyM,0),"")</f>
        <v/>
      </c>
    </row>
    <row r="925">
      <c r="A925" s="10" t="n">
        <v>909</v>
      </c>
      <c r="B925" s="14">
        <f>IF(AND($L925="",$M925="",$N925=""),"",IF($L925&lt;&gt;"",INDEX(LdADate,$L925),IF($M925&lt;&gt;"",INDEX(LdBDate,$M925),INDEX(LdCDate,$N925))))</f>
        <v/>
      </c>
      <c r="C925" s="14">
        <f>IF($L925&lt;&gt;"","دستمزد (فردی)",IF($M925&lt;&gt;"","سهم از گروه "&amp;IFERROR(VLOOKUP(INDEX(LdBGroup,$M925),WGTbl,2,0),INDEX(LdBGroup,$M925)),IF($N925&lt;&gt;"",IF(N(INDEX(LdCDep,$N925))&gt;0,"بازگشت بانکی","پرداخت بانکی"),"")))</f>
        <v/>
      </c>
      <c r="D925" s="14">
        <f>IF($L925&lt;&gt;"",IF(INDEX(LdAId,$L925)="","—",INDEX(LdAId,$L925)),IF($M925&lt;&gt;"",IF(INDEX(LdBId,$M925)="","—",INDEX(LdBId,$M925)),IF($N925&lt;&gt;"",IF(INDEX(LdCBank,$N925)="","—",INDEX(LdCBank,$N925)),"")))</f>
        <v/>
      </c>
      <c r="E925" s="16">
        <f>IF($L925&lt;&gt;"",IF(INDEX(LdAAmt,$L925)=0,"",INDEX(LdAAmt,$L925)),IF($M925&lt;&gt;"",IF(INDEX(LdBAmt,$M925)=0,"",INDEX(LdBAmt,$M925)),IF($N925&lt;&gt;"",IF(INDEX(LdCDep,$N925)=0,"",INDEX(LdCDep,$N925)),"")))</f>
        <v/>
      </c>
      <c r="F925" s="16">
        <f>IF(AND($L925="",$M925="",$N925=""),"",IF($N925="","",IF(INDEX(LdCWit,$N925)=0,"",INDEX(LdCWit,$N925))))</f>
        <v/>
      </c>
      <c r="G925" s="29">
        <f>IF($B925="","",IF($G924="",0,$G924)+IF($E925="",0,$E925)-IF($F925="",0,$F925))</f>
        <v/>
      </c>
      <c r="H925" s="30">
        <f>IF(AND($L925="",$M925="",$N925=""),"",IF($L925&lt;&gt;"",IF(INDEX(LdANote,$L925)="","—",INDEX(LdANote,$L925)),IF($M925&lt;&gt;"",IF(INDEX(LdBNote,$M925)="","—",INDEX(LdBNote,$M925)),IF($N925&lt;&gt;"",IF(INDEX(LdCNote,$N925)="","—",INDEX(LdCNote,$N925)),""))))</f>
        <v/>
      </c>
      <c r="L925">
        <f>IFERROR(MATCH($C$5&amp;"|"&amp;RIGHT("000000"&amp;909,6),LdAKeyM,0),"")</f>
        <v/>
      </c>
      <c r="M925">
        <f>IFERROR(MATCH($C$5&amp;"|"&amp;RIGHT("000000"&amp;909,6),LdBKeyM,0),"")</f>
        <v/>
      </c>
      <c r="N925">
        <f>IFERROR(MATCH($C$5&amp;"|"&amp;RIGHT("000000"&amp;909,6),LdCKeyM,0),"")</f>
        <v/>
      </c>
    </row>
    <row r="926">
      <c r="A926" s="19" t="n">
        <v>910</v>
      </c>
      <c r="B926" s="20">
        <f>IF(AND($L926="",$M926="",$N926=""),"",IF($L926&lt;&gt;"",INDEX(LdADate,$L926),IF($M926&lt;&gt;"",INDEX(LdBDate,$M926),INDEX(LdCDate,$N926))))</f>
        <v/>
      </c>
      <c r="C926" s="20">
        <f>IF($L926&lt;&gt;"","دستمزد (فردی)",IF($M926&lt;&gt;"","سهم از گروه "&amp;IFERROR(VLOOKUP(INDEX(LdBGroup,$M926),WGTbl,2,0),INDEX(LdBGroup,$M926)),IF($N926&lt;&gt;"",IF(N(INDEX(LdCDep,$N926))&gt;0,"بازگشت بانکی","پرداخت بانکی"),"")))</f>
        <v/>
      </c>
      <c r="D926" s="20">
        <f>IF($L926&lt;&gt;"",IF(INDEX(LdAId,$L926)="","—",INDEX(LdAId,$L926)),IF($M926&lt;&gt;"",IF(INDEX(LdBId,$M926)="","—",INDEX(LdBId,$M926)),IF($N926&lt;&gt;"",IF(INDEX(LdCBank,$N926)="","—",INDEX(LdCBank,$N926)),"")))</f>
        <v/>
      </c>
      <c r="E926" s="21">
        <f>IF($L926&lt;&gt;"",IF(INDEX(LdAAmt,$L926)=0,"",INDEX(LdAAmt,$L926)),IF($M926&lt;&gt;"",IF(INDEX(LdBAmt,$M926)=0,"",INDEX(LdBAmt,$M926)),IF($N926&lt;&gt;"",IF(INDEX(LdCDep,$N926)=0,"",INDEX(LdCDep,$N926)),"")))</f>
        <v/>
      </c>
      <c r="F926" s="21">
        <f>IF(AND($L926="",$M926="",$N926=""),"",IF($N926="","",IF(INDEX(LdCWit,$N926)=0,"",INDEX(LdCWit,$N926))))</f>
        <v/>
      </c>
      <c r="G926" s="31">
        <f>IF($B926="","",IF($G925="",0,$G925)+IF($E926="",0,$E926)-IF($F926="",0,$F926))</f>
        <v/>
      </c>
      <c r="H926" s="32">
        <f>IF(AND($L926="",$M926="",$N926=""),"",IF($L926&lt;&gt;"",IF(INDEX(LdANote,$L926)="","—",INDEX(LdANote,$L926)),IF($M926&lt;&gt;"",IF(INDEX(LdBNote,$M926)="","—",INDEX(LdBNote,$M926)),IF($N926&lt;&gt;"",IF(INDEX(LdCNote,$N926)="","—",INDEX(LdCNote,$N926)),""))))</f>
        <v/>
      </c>
      <c r="L926">
        <f>IFERROR(MATCH($C$5&amp;"|"&amp;RIGHT("000000"&amp;910,6),LdAKeyM,0),"")</f>
        <v/>
      </c>
      <c r="M926">
        <f>IFERROR(MATCH($C$5&amp;"|"&amp;RIGHT("000000"&amp;910,6),LdBKeyM,0),"")</f>
        <v/>
      </c>
      <c r="N926">
        <f>IFERROR(MATCH($C$5&amp;"|"&amp;RIGHT("000000"&amp;910,6),LdCKeyM,0),"")</f>
        <v/>
      </c>
    </row>
    <row r="927">
      <c r="A927" s="10" t="n">
        <v>911</v>
      </c>
      <c r="B927" s="14">
        <f>IF(AND($L927="",$M927="",$N927=""),"",IF($L927&lt;&gt;"",INDEX(LdADate,$L927),IF($M927&lt;&gt;"",INDEX(LdBDate,$M927),INDEX(LdCDate,$N927))))</f>
        <v/>
      </c>
      <c r="C927" s="14">
        <f>IF($L927&lt;&gt;"","دستمزد (فردی)",IF($M927&lt;&gt;"","سهم از گروه "&amp;IFERROR(VLOOKUP(INDEX(LdBGroup,$M927),WGTbl,2,0),INDEX(LdBGroup,$M927)),IF($N927&lt;&gt;"",IF(N(INDEX(LdCDep,$N927))&gt;0,"بازگشت بانکی","پرداخت بانکی"),"")))</f>
        <v/>
      </c>
      <c r="D927" s="14">
        <f>IF($L927&lt;&gt;"",IF(INDEX(LdAId,$L927)="","—",INDEX(LdAId,$L927)),IF($M927&lt;&gt;"",IF(INDEX(LdBId,$M927)="","—",INDEX(LdBId,$M927)),IF($N927&lt;&gt;"",IF(INDEX(LdCBank,$N927)="","—",INDEX(LdCBank,$N927)),"")))</f>
        <v/>
      </c>
      <c r="E927" s="16">
        <f>IF($L927&lt;&gt;"",IF(INDEX(LdAAmt,$L927)=0,"",INDEX(LdAAmt,$L927)),IF($M927&lt;&gt;"",IF(INDEX(LdBAmt,$M927)=0,"",INDEX(LdBAmt,$M927)),IF($N927&lt;&gt;"",IF(INDEX(LdCDep,$N927)=0,"",INDEX(LdCDep,$N927)),"")))</f>
        <v/>
      </c>
      <c r="F927" s="16">
        <f>IF(AND($L927="",$M927="",$N927=""),"",IF($N927="","",IF(INDEX(LdCWit,$N927)=0,"",INDEX(LdCWit,$N927))))</f>
        <v/>
      </c>
      <c r="G927" s="29">
        <f>IF($B927="","",IF($G926="",0,$G926)+IF($E927="",0,$E927)-IF($F927="",0,$F927))</f>
        <v/>
      </c>
      <c r="H927" s="30">
        <f>IF(AND($L927="",$M927="",$N927=""),"",IF($L927&lt;&gt;"",IF(INDEX(LdANote,$L927)="","—",INDEX(LdANote,$L927)),IF($M927&lt;&gt;"",IF(INDEX(LdBNote,$M927)="","—",INDEX(LdBNote,$M927)),IF($N927&lt;&gt;"",IF(INDEX(LdCNote,$N927)="","—",INDEX(LdCNote,$N927)),""))))</f>
        <v/>
      </c>
      <c r="L927">
        <f>IFERROR(MATCH($C$5&amp;"|"&amp;RIGHT("000000"&amp;911,6),LdAKeyM,0),"")</f>
        <v/>
      </c>
      <c r="M927">
        <f>IFERROR(MATCH($C$5&amp;"|"&amp;RIGHT("000000"&amp;911,6),LdBKeyM,0),"")</f>
        <v/>
      </c>
      <c r="N927">
        <f>IFERROR(MATCH($C$5&amp;"|"&amp;RIGHT("000000"&amp;911,6),LdCKeyM,0),"")</f>
        <v/>
      </c>
    </row>
    <row r="928">
      <c r="A928" s="19" t="n">
        <v>912</v>
      </c>
      <c r="B928" s="20">
        <f>IF(AND($L928="",$M928="",$N928=""),"",IF($L928&lt;&gt;"",INDEX(LdADate,$L928),IF($M928&lt;&gt;"",INDEX(LdBDate,$M928),INDEX(LdCDate,$N928))))</f>
        <v/>
      </c>
      <c r="C928" s="20">
        <f>IF($L928&lt;&gt;"","دستمزد (فردی)",IF($M928&lt;&gt;"","سهم از گروه "&amp;IFERROR(VLOOKUP(INDEX(LdBGroup,$M928),WGTbl,2,0),INDEX(LdBGroup,$M928)),IF($N928&lt;&gt;"",IF(N(INDEX(LdCDep,$N928))&gt;0,"بازگشت بانکی","پرداخت بانکی"),"")))</f>
        <v/>
      </c>
      <c r="D928" s="20">
        <f>IF($L928&lt;&gt;"",IF(INDEX(LdAId,$L928)="","—",INDEX(LdAId,$L928)),IF($M928&lt;&gt;"",IF(INDEX(LdBId,$M928)="","—",INDEX(LdBId,$M928)),IF($N928&lt;&gt;"",IF(INDEX(LdCBank,$N928)="","—",INDEX(LdCBank,$N928)),"")))</f>
        <v/>
      </c>
      <c r="E928" s="21">
        <f>IF($L928&lt;&gt;"",IF(INDEX(LdAAmt,$L928)=0,"",INDEX(LdAAmt,$L928)),IF($M928&lt;&gt;"",IF(INDEX(LdBAmt,$M928)=0,"",INDEX(LdBAmt,$M928)),IF($N928&lt;&gt;"",IF(INDEX(LdCDep,$N928)=0,"",INDEX(LdCDep,$N928)),"")))</f>
        <v/>
      </c>
      <c r="F928" s="21">
        <f>IF(AND($L928="",$M928="",$N928=""),"",IF($N928="","",IF(INDEX(LdCWit,$N928)=0,"",INDEX(LdCWit,$N928))))</f>
        <v/>
      </c>
      <c r="G928" s="31">
        <f>IF($B928="","",IF($G927="",0,$G927)+IF($E928="",0,$E928)-IF($F928="",0,$F928))</f>
        <v/>
      </c>
      <c r="H928" s="32">
        <f>IF(AND($L928="",$M928="",$N928=""),"",IF($L928&lt;&gt;"",IF(INDEX(LdANote,$L928)="","—",INDEX(LdANote,$L928)),IF($M928&lt;&gt;"",IF(INDEX(LdBNote,$M928)="","—",INDEX(LdBNote,$M928)),IF($N928&lt;&gt;"",IF(INDEX(LdCNote,$N928)="","—",INDEX(LdCNote,$N928)),""))))</f>
        <v/>
      </c>
      <c r="L928">
        <f>IFERROR(MATCH($C$5&amp;"|"&amp;RIGHT("000000"&amp;912,6),LdAKeyM,0),"")</f>
        <v/>
      </c>
      <c r="M928">
        <f>IFERROR(MATCH($C$5&amp;"|"&amp;RIGHT("000000"&amp;912,6),LdBKeyM,0),"")</f>
        <v/>
      </c>
      <c r="N928">
        <f>IFERROR(MATCH($C$5&amp;"|"&amp;RIGHT("000000"&amp;912,6),LdCKeyM,0),"")</f>
        <v/>
      </c>
    </row>
    <row r="929">
      <c r="A929" s="10" t="n">
        <v>913</v>
      </c>
      <c r="B929" s="14">
        <f>IF(AND($L929="",$M929="",$N929=""),"",IF($L929&lt;&gt;"",INDEX(LdADate,$L929),IF($M929&lt;&gt;"",INDEX(LdBDate,$M929),INDEX(LdCDate,$N929))))</f>
        <v/>
      </c>
      <c r="C929" s="14">
        <f>IF($L929&lt;&gt;"","دستمزد (فردی)",IF($M929&lt;&gt;"","سهم از گروه "&amp;IFERROR(VLOOKUP(INDEX(LdBGroup,$M929),WGTbl,2,0),INDEX(LdBGroup,$M929)),IF($N929&lt;&gt;"",IF(N(INDEX(LdCDep,$N929))&gt;0,"بازگشت بانکی","پرداخت بانکی"),"")))</f>
        <v/>
      </c>
      <c r="D929" s="14">
        <f>IF($L929&lt;&gt;"",IF(INDEX(LdAId,$L929)="","—",INDEX(LdAId,$L929)),IF($M929&lt;&gt;"",IF(INDEX(LdBId,$M929)="","—",INDEX(LdBId,$M929)),IF($N929&lt;&gt;"",IF(INDEX(LdCBank,$N929)="","—",INDEX(LdCBank,$N929)),"")))</f>
        <v/>
      </c>
      <c r="E929" s="16">
        <f>IF($L929&lt;&gt;"",IF(INDEX(LdAAmt,$L929)=0,"",INDEX(LdAAmt,$L929)),IF($M929&lt;&gt;"",IF(INDEX(LdBAmt,$M929)=0,"",INDEX(LdBAmt,$M929)),IF($N929&lt;&gt;"",IF(INDEX(LdCDep,$N929)=0,"",INDEX(LdCDep,$N929)),"")))</f>
        <v/>
      </c>
      <c r="F929" s="16">
        <f>IF(AND($L929="",$M929="",$N929=""),"",IF($N929="","",IF(INDEX(LdCWit,$N929)=0,"",INDEX(LdCWit,$N929))))</f>
        <v/>
      </c>
      <c r="G929" s="29">
        <f>IF($B929="","",IF($G928="",0,$G928)+IF($E929="",0,$E929)-IF($F929="",0,$F929))</f>
        <v/>
      </c>
      <c r="H929" s="30">
        <f>IF(AND($L929="",$M929="",$N929=""),"",IF($L929&lt;&gt;"",IF(INDEX(LdANote,$L929)="","—",INDEX(LdANote,$L929)),IF($M929&lt;&gt;"",IF(INDEX(LdBNote,$M929)="","—",INDEX(LdBNote,$M929)),IF($N929&lt;&gt;"",IF(INDEX(LdCNote,$N929)="","—",INDEX(LdCNote,$N929)),""))))</f>
        <v/>
      </c>
      <c r="L929">
        <f>IFERROR(MATCH($C$5&amp;"|"&amp;RIGHT("000000"&amp;913,6),LdAKeyM,0),"")</f>
        <v/>
      </c>
      <c r="M929">
        <f>IFERROR(MATCH($C$5&amp;"|"&amp;RIGHT("000000"&amp;913,6),LdBKeyM,0),"")</f>
        <v/>
      </c>
      <c r="N929">
        <f>IFERROR(MATCH($C$5&amp;"|"&amp;RIGHT("000000"&amp;913,6),LdCKeyM,0),"")</f>
        <v/>
      </c>
    </row>
    <row r="930">
      <c r="A930" s="19" t="n">
        <v>914</v>
      </c>
      <c r="B930" s="20">
        <f>IF(AND($L930="",$M930="",$N930=""),"",IF($L930&lt;&gt;"",INDEX(LdADate,$L930),IF($M930&lt;&gt;"",INDEX(LdBDate,$M930),INDEX(LdCDate,$N930))))</f>
        <v/>
      </c>
      <c r="C930" s="20">
        <f>IF($L930&lt;&gt;"","دستمزد (فردی)",IF($M930&lt;&gt;"","سهم از گروه "&amp;IFERROR(VLOOKUP(INDEX(LdBGroup,$M930),WGTbl,2,0),INDEX(LdBGroup,$M930)),IF($N930&lt;&gt;"",IF(N(INDEX(LdCDep,$N930))&gt;0,"بازگشت بانکی","پرداخت بانکی"),"")))</f>
        <v/>
      </c>
      <c r="D930" s="20">
        <f>IF($L930&lt;&gt;"",IF(INDEX(LdAId,$L930)="","—",INDEX(LdAId,$L930)),IF($M930&lt;&gt;"",IF(INDEX(LdBId,$M930)="","—",INDEX(LdBId,$M930)),IF($N930&lt;&gt;"",IF(INDEX(LdCBank,$N930)="","—",INDEX(LdCBank,$N930)),"")))</f>
        <v/>
      </c>
      <c r="E930" s="21">
        <f>IF($L930&lt;&gt;"",IF(INDEX(LdAAmt,$L930)=0,"",INDEX(LdAAmt,$L930)),IF($M930&lt;&gt;"",IF(INDEX(LdBAmt,$M930)=0,"",INDEX(LdBAmt,$M930)),IF($N930&lt;&gt;"",IF(INDEX(LdCDep,$N930)=0,"",INDEX(LdCDep,$N930)),"")))</f>
        <v/>
      </c>
      <c r="F930" s="21">
        <f>IF(AND($L930="",$M930="",$N930=""),"",IF($N930="","",IF(INDEX(LdCWit,$N930)=0,"",INDEX(LdCWit,$N930))))</f>
        <v/>
      </c>
      <c r="G930" s="31">
        <f>IF($B930="","",IF($G929="",0,$G929)+IF($E930="",0,$E930)-IF($F930="",0,$F930))</f>
        <v/>
      </c>
      <c r="H930" s="32">
        <f>IF(AND($L930="",$M930="",$N930=""),"",IF($L930&lt;&gt;"",IF(INDEX(LdANote,$L930)="","—",INDEX(LdANote,$L930)),IF($M930&lt;&gt;"",IF(INDEX(LdBNote,$M930)="","—",INDEX(LdBNote,$M930)),IF($N930&lt;&gt;"",IF(INDEX(LdCNote,$N930)="","—",INDEX(LdCNote,$N930)),""))))</f>
        <v/>
      </c>
      <c r="L930">
        <f>IFERROR(MATCH($C$5&amp;"|"&amp;RIGHT("000000"&amp;914,6),LdAKeyM,0),"")</f>
        <v/>
      </c>
      <c r="M930">
        <f>IFERROR(MATCH($C$5&amp;"|"&amp;RIGHT("000000"&amp;914,6),LdBKeyM,0),"")</f>
        <v/>
      </c>
      <c r="N930">
        <f>IFERROR(MATCH($C$5&amp;"|"&amp;RIGHT("000000"&amp;914,6),LdCKeyM,0),"")</f>
        <v/>
      </c>
    </row>
    <row r="931">
      <c r="A931" s="10" t="n">
        <v>915</v>
      </c>
      <c r="B931" s="14">
        <f>IF(AND($L931="",$M931="",$N931=""),"",IF($L931&lt;&gt;"",INDEX(LdADate,$L931),IF($M931&lt;&gt;"",INDEX(LdBDate,$M931),INDEX(LdCDate,$N931))))</f>
        <v/>
      </c>
      <c r="C931" s="14">
        <f>IF($L931&lt;&gt;"","دستمزد (فردی)",IF($M931&lt;&gt;"","سهم از گروه "&amp;IFERROR(VLOOKUP(INDEX(LdBGroup,$M931),WGTbl,2,0),INDEX(LdBGroup,$M931)),IF($N931&lt;&gt;"",IF(N(INDEX(LdCDep,$N931))&gt;0,"بازگشت بانکی","پرداخت بانکی"),"")))</f>
        <v/>
      </c>
      <c r="D931" s="14">
        <f>IF($L931&lt;&gt;"",IF(INDEX(LdAId,$L931)="","—",INDEX(LdAId,$L931)),IF($M931&lt;&gt;"",IF(INDEX(LdBId,$M931)="","—",INDEX(LdBId,$M931)),IF($N931&lt;&gt;"",IF(INDEX(LdCBank,$N931)="","—",INDEX(LdCBank,$N931)),"")))</f>
        <v/>
      </c>
      <c r="E931" s="16">
        <f>IF($L931&lt;&gt;"",IF(INDEX(LdAAmt,$L931)=0,"",INDEX(LdAAmt,$L931)),IF($M931&lt;&gt;"",IF(INDEX(LdBAmt,$M931)=0,"",INDEX(LdBAmt,$M931)),IF($N931&lt;&gt;"",IF(INDEX(LdCDep,$N931)=0,"",INDEX(LdCDep,$N931)),"")))</f>
        <v/>
      </c>
      <c r="F931" s="16">
        <f>IF(AND($L931="",$M931="",$N931=""),"",IF($N931="","",IF(INDEX(LdCWit,$N931)=0,"",INDEX(LdCWit,$N931))))</f>
        <v/>
      </c>
      <c r="G931" s="29">
        <f>IF($B931="","",IF($G930="",0,$G930)+IF($E931="",0,$E931)-IF($F931="",0,$F931))</f>
        <v/>
      </c>
      <c r="H931" s="30">
        <f>IF(AND($L931="",$M931="",$N931=""),"",IF($L931&lt;&gt;"",IF(INDEX(LdANote,$L931)="","—",INDEX(LdANote,$L931)),IF($M931&lt;&gt;"",IF(INDEX(LdBNote,$M931)="","—",INDEX(LdBNote,$M931)),IF($N931&lt;&gt;"",IF(INDEX(LdCNote,$N931)="","—",INDEX(LdCNote,$N931)),""))))</f>
        <v/>
      </c>
      <c r="L931">
        <f>IFERROR(MATCH($C$5&amp;"|"&amp;RIGHT("000000"&amp;915,6),LdAKeyM,0),"")</f>
        <v/>
      </c>
      <c r="M931">
        <f>IFERROR(MATCH($C$5&amp;"|"&amp;RIGHT("000000"&amp;915,6),LdBKeyM,0),"")</f>
        <v/>
      </c>
      <c r="N931">
        <f>IFERROR(MATCH($C$5&amp;"|"&amp;RIGHT("000000"&amp;915,6),LdCKeyM,0),"")</f>
        <v/>
      </c>
    </row>
    <row r="932">
      <c r="A932" s="19" t="n">
        <v>916</v>
      </c>
      <c r="B932" s="20">
        <f>IF(AND($L932="",$M932="",$N932=""),"",IF($L932&lt;&gt;"",INDEX(LdADate,$L932),IF($M932&lt;&gt;"",INDEX(LdBDate,$M932),INDEX(LdCDate,$N932))))</f>
        <v/>
      </c>
      <c r="C932" s="20">
        <f>IF($L932&lt;&gt;"","دستمزد (فردی)",IF($M932&lt;&gt;"","سهم از گروه "&amp;IFERROR(VLOOKUP(INDEX(LdBGroup,$M932),WGTbl,2,0),INDEX(LdBGroup,$M932)),IF($N932&lt;&gt;"",IF(N(INDEX(LdCDep,$N932))&gt;0,"بازگشت بانکی","پرداخت بانکی"),"")))</f>
        <v/>
      </c>
      <c r="D932" s="20">
        <f>IF($L932&lt;&gt;"",IF(INDEX(LdAId,$L932)="","—",INDEX(LdAId,$L932)),IF($M932&lt;&gt;"",IF(INDEX(LdBId,$M932)="","—",INDEX(LdBId,$M932)),IF($N932&lt;&gt;"",IF(INDEX(LdCBank,$N932)="","—",INDEX(LdCBank,$N932)),"")))</f>
        <v/>
      </c>
      <c r="E932" s="21">
        <f>IF($L932&lt;&gt;"",IF(INDEX(LdAAmt,$L932)=0,"",INDEX(LdAAmt,$L932)),IF($M932&lt;&gt;"",IF(INDEX(LdBAmt,$M932)=0,"",INDEX(LdBAmt,$M932)),IF($N932&lt;&gt;"",IF(INDEX(LdCDep,$N932)=0,"",INDEX(LdCDep,$N932)),"")))</f>
        <v/>
      </c>
      <c r="F932" s="21">
        <f>IF(AND($L932="",$M932="",$N932=""),"",IF($N932="","",IF(INDEX(LdCWit,$N932)=0,"",INDEX(LdCWit,$N932))))</f>
        <v/>
      </c>
      <c r="G932" s="31">
        <f>IF($B932="","",IF($G931="",0,$G931)+IF($E932="",0,$E932)-IF($F932="",0,$F932))</f>
        <v/>
      </c>
      <c r="H932" s="32">
        <f>IF(AND($L932="",$M932="",$N932=""),"",IF($L932&lt;&gt;"",IF(INDEX(LdANote,$L932)="","—",INDEX(LdANote,$L932)),IF($M932&lt;&gt;"",IF(INDEX(LdBNote,$M932)="","—",INDEX(LdBNote,$M932)),IF($N932&lt;&gt;"",IF(INDEX(LdCNote,$N932)="","—",INDEX(LdCNote,$N932)),""))))</f>
        <v/>
      </c>
      <c r="L932">
        <f>IFERROR(MATCH($C$5&amp;"|"&amp;RIGHT("000000"&amp;916,6),LdAKeyM,0),"")</f>
        <v/>
      </c>
      <c r="M932">
        <f>IFERROR(MATCH($C$5&amp;"|"&amp;RIGHT("000000"&amp;916,6),LdBKeyM,0),"")</f>
        <v/>
      </c>
      <c r="N932">
        <f>IFERROR(MATCH($C$5&amp;"|"&amp;RIGHT("000000"&amp;916,6),LdCKeyM,0),"")</f>
        <v/>
      </c>
    </row>
    <row r="933">
      <c r="A933" s="10" t="n">
        <v>917</v>
      </c>
      <c r="B933" s="14">
        <f>IF(AND($L933="",$M933="",$N933=""),"",IF($L933&lt;&gt;"",INDEX(LdADate,$L933),IF($M933&lt;&gt;"",INDEX(LdBDate,$M933),INDEX(LdCDate,$N933))))</f>
        <v/>
      </c>
      <c r="C933" s="14">
        <f>IF($L933&lt;&gt;"","دستمزد (فردی)",IF($M933&lt;&gt;"","سهم از گروه "&amp;IFERROR(VLOOKUP(INDEX(LdBGroup,$M933),WGTbl,2,0),INDEX(LdBGroup,$M933)),IF($N933&lt;&gt;"",IF(N(INDEX(LdCDep,$N933))&gt;0,"بازگشت بانکی","پرداخت بانکی"),"")))</f>
        <v/>
      </c>
      <c r="D933" s="14">
        <f>IF($L933&lt;&gt;"",IF(INDEX(LdAId,$L933)="","—",INDEX(LdAId,$L933)),IF($M933&lt;&gt;"",IF(INDEX(LdBId,$M933)="","—",INDEX(LdBId,$M933)),IF($N933&lt;&gt;"",IF(INDEX(LdCBank,$N933)="","—",INDEX(LdCBank,$N933)),"")))</f>
        <v/>
      </c>
      <c r="E933" s="16">
        <f>IF($L933&lt;&gt;"",IF(INDEX(LdAAmt,$L933)=0,"",INDEX(LdAAmt,$L933)),IF($M933&lt;&gt;"",IF(INDEX(LdBAmt,$M933)=0,"",INDEX(LdBAmt,$M933)),IF($N933&lt;&gt;"",IF(INDEX(LdCDep,$N933)=0,"",INDEX(LdCDep,$N933)),"")))</f>
        <v/>
      </c>
      <c r="F933" s="16">
        <f>IF(AND($L933="",$M933="",$N933=""),"",IF($N933="","",IF(INDEX(LdCWit,$N933)=0,"",INDEX(LdCWit,$N933))))</f>
        <v/>
      </c>
      <c r="G933" s="29">
        <f>IF($B933="","",IF($G932="",0,$G932)+IF($E933="",0,$E933)-IF($F933="",0,$F933))</f>
        <v/>
      </c>
      <c r="H933" s="30">
        <f>IF(AND($L933="",$M933="",$N933=""),"",IF($L933&lt;&gt;"",IF(INDEX(LdANote,$L933)="","—",INDEX(LdANote,$L933)),IF($M933&lt;&gt;"",IF(INDEX(LdBNote,$M933)="","—",INDEX(LdBNote,$M933)),IF($N933&lt;&gt;"",IF(INDEX(LdCNote,$N933)="","—",INDEX(LdCNote,$N933)),""))))</f>
        <v/>
      </c>
      <c r="L933">
        <f>IFERROR(MATCH($C$5&amp;"|"&amp;RIGHT("000000"&amp;917,6),LdAKeyM,0),"")</f>
        <v/>
      </c>
      <c r="M933">
        <f>IFERROR(MATCH($C$5&amp;"|"&amp;RIGHT("000000"&amp;917,6),LdBKeyM,0),"")</f>
        <v/>
      </c>
      <c r="N933">
        <f>IFERROR(MATCH($C$5&amp;"|"&amp;RIGHT("000000"&amp;917,6),LdCKeyM,0),"")</f>
        <v/>
      </c>
    </row>
    <row r="934">
      <c r="A934" s="19" t="n">
        <v>918</v>
      </c>
      <c r="B934" s="20">
        <f>IF(AND($L934="",$M934="",$N934=""),"",IF($L934&lt;&gt;"",INDEX(LdADate,$L934),IF($M934&lt;&gt;"",INDEX(LdBDate,$M934),INDEX(LdCDate,$N934))))</f>
        <v/>
      </c>
      <c r="C934" s="20">
        <f>IF($L934&lt;&gt;"","دستمزد (فردی)",IF($M934&lt;&gt;"","سهم از گروه "&amp;IFERROR(VLOOKUP(INDEX(LdBGroup,$M934),WGTbl,2,0),INDEX(LdBGroup,$M934)),IF($N934&lt;&gt;"",IF(N(INDEX(LdCDep,$N934))&gt;0,"بازگشت بانکی","پرداخت بانکی"),"")))</f>
        <v/>
      </c>
      <c r="D934" s="20">
        <f>IF($L934&lt;&gt;"",IF(INDEX(LdAId,$L934)="","—",INDEX(LdAId,$L934)),IF($M934&lt;&gt;"",IF(INDEX(LdBId,$M934)="","—",INDEX(LdBId,$M934)),IF($N934&lt;&gt;"",IF(INDEX(LdCBank,$N934)="","—",INDEX(LdCBank,$N934)),"")))</f>
        <v/>
      </c>
      <c r="E934" s="21">
        <f>IF($L934&lt;&gt;"",IF(INDEX(LdAAmt,$L934)=0,"",INDEX(LdAAmt,$L934)),IF($M934&lt;&gt;"",IF(INDEX(LdBAmt,$M934)=0,"",INDEX(LdBAmt,$M934)),IF($N934&lt;&gt;"",IF(INDEX(LdCDep,$N934)=0,"",INDEX(LdCDep,$N934)),"")))</f>
        <v/>
      </c>
      <c r="F934" s="21">
        <f>IF(AND($L934="",$M934="",$N934=""),"",IF($N934="","",IF(INDEX(LdCWit,$N934)=0,"",INDEX(LdCWit,$N934))))</f>
        <v/>
      </c>
      <c r="G934" s="31">
        <f>IF($B934="","",IF($G933="",0,$G933)+IF($E934="",0,$E934)-IF($F934="",0,$F934))</f>
        <v/>
      </c>
      <c r="H934" s="32">
        <f>IF(AND($L934="",$M934="",$N934=""),"",IF($L934&lt;&gt;"",IF(INDEX(LdANote,$L934)="","—",INDEX(LdANote,$L934)),IF($M934&lt;&gt;"",IF(INDEX(LdBNote,$M934)="","—",INDEX(LdBNote,$M934)),IF($N934&lt;&gt;"",IF(INDEX(LdCNote,$N934)="","—",INDEX(LdCNote,$N934)),""))))</f>
        <v/>
      </c>
      <c r="L934">
        <f>IFERROR(MATCH($C$5&amp;"|"&amp;RIGHT("000000"&amp;918,6),LdAKeyM,0),"")</f>
        <v/>
      </c>
      <c r="M934">
        <f>IFERROR(MATCH($C$5&amp;"|"&amp;RIGHT("000000"&amp;918,6),LdBKeyM,0),"")</f>
        <v/>
      </c>
      <c r="N934">
        <f>IFERROR(MATCH($C$5&amp;"|"&amp;RIGHT("000000"&amp;918,6),LdCKeyM,0),"")</f>
        <v/>
      </c>
    </row>
    <row r="935">
      <c r="A935" s="10" t="n">
        <v>919</v>
      </c>
      <c r="B935" s="14">
        <f>IF(AND($L935="",$M935="",$N935=""),"",IF($L935&lt;&gt;"",INDEX(LdADate,$L935),IF($M935&lt;&gt;"",INDEX(LdBDate,$M935),INDEX(LdCDate,$N935))))</f>
        <v/>
      </c>
      <c r="C935" s="14">
        <f>IF($L935&lt;&gt;"","دستمزد (فردی)",IF($M935&lt;&gt;"","سهم از گروه "&amp;IFERROR(VLOOKUP(INDEX(LdBGroup,$M935),WGTbl,2,0),INDEX(LdBGroup,$M935)),IF($N935&lt;&gt;"",IF(N(INDEX(LdCDep,$N935))&gt;0,"بازگشت بانکی","پرداخت بانکی"),"")))</f>
        <v/>
      </c>
      <c r="D935" s="14">
        <f>IF($L935&lt;&gt;"",IF(INDEX(LdAId,$L935)="","—",INDEX(LdAId,$L935)),IF($M935&lt;&gt;"",IF(INDEX(LdBId,$M935)="","—",INDEX(LdBId,$M935)),IF($N935&lt;&gt;"",IF(INDEX(LdCBank,$N935)="","—",INDEX(LdCBank,$N935)),"")))</f>
        <v/>
      </c>
      <c r="E935" s="16">
        <f>IF($L935&lt;&gt;"",IF(INDEX(LdAAmt,$L935)=0,"",INDEX(LdAAmt,$L935)),IF($M935&lt;&gt;"",IF(INDEX(LdBAmt,$M935)=0,"",INDEX(LdBAmt,$M935)),IF($N935&lt;&gt;"",IF(INDEX(LdCDep,$N935)=0,"",INDEX(LdCDep,$N935)),"")))</f>
        <v/>
      </c>
      <c r="F935" s="16">
        <f>IF(AND($L935="",$M935="",$N935=""),"",IF($N935="","",IF(INDEX(LdCWit,$N935)=0,"",INDEX(LdCWit,$N935))))</f>
        <v/>
      </c>
      <c r="G935" s="29">
        <f>IF($B935="","",IF($G934="",0,$G934)+IF($E935="",0,$E935)-IF($F935="",0,$F935))</f>
        <v/>
      </c>
      <c r="H935" s="30">
        <f>IF(AND($L935="",$M935="",$N935=""),"",IF($L935&lt;&gt;"",IF(INDEX(LdANote,$L935)="","—",INDEX(LdANote,$L935)),IF($M935&lt;&gt;"",IF(INDEX(LdBNote,$M935)="","—",INDEX(LdBNote,$M935)),IF($N935&lt;&gt;"",IF(INDEX(LdCNote,$N935)="","—",INDEX(LdCNote,$N935)),""))))</f>
        <v/>
      </c>
      <c r="L935">
        <f>IFERROR(MATCH($C$5&amp;"|"&amp;RIGHT("000000"&amp;919,6),LdAKeyM,0),"")</f>
        <v/>
      </c>
      <c r="M935">
        <f>IFERROR(MATCH($C$5&amp;"|"&amp;RIGHT("000000"&amp;919,6),LdBKeyM,0),"")</f>
        <v/>
      </c>
      <c r="N935">
        <f>IFERROR(MATCH($C$5&amp;"|"&amp;RIGHT("000000"&amp;919,6),LdCKeyM,0),"")</f>
        <v/>
      </c>
    </row>
    <row r="936">
      <c r="A936" s="19" t="n">
        <v>920</v>
      </c>
      <c r="B936" s="20">
        <f>IF(AND($L936="",$M936="",$N936=""),"",IF($L936&lt;&gt;"",INDEX(LdADate,$L936),IF($M936&lt;&gt;"",INDEX(LdBDate,$M936),INDEX(LdCDate,$N936))))</f>
        <v/>
      </c>
      <c r="C936" s="20">
        <f>IF($L936&lt;&gt;"","دستمزد (فردی)",IF($M936&lt;&gt;"","سهم از گروه "&amp;IFERROR(VLOOKUP(INDEX(LdBGroup,$M936),WGTbl,2,0),INDEX(LdBGroup,$M936)),IF($N936&lt;&gt;"",IF(N(INDEX(LdCDep,$N936))&gt;0,"بازگشت بانکی","پرداخت بانکی"),"")))</f>
        <v/>
      </c>
      <c r="D936" s="20">
        <f>IF($L936&lt;&gt;"",IF(INDEX(LdAId,$L936)="","—",INDEX(LdAId,$L936)),IF($M936&lt;&gt;"",IF(INDEX(LdBId,$M936)="","—",INDEX(LdBId,$M936)),IF($N936&lt;&gt;"",IF(INDEX(LdCBank,$N936)="","—",INDEX(LdCBank,$N936)),"")))</f>
        <v/>
      </c>
      <c r="E936" s="21">
        <f>IF($L936&lt;&gt;"",IF(INDEX(LdAAmt,$L936)=0,"",INDEX(LdAAmt,$L936)),IF($M936&lt;&gt;"",IF(INDEX(LdBAmt,$M936)=0,"",INDEX(LdBAmt,$M936)),IF($N936&lt;&gt;"",IF(INDEX(LdCDep,$N936)=0,"",INDEX(LdCDep,$N936)),"")))</f>
        <v/>
      </c>
      <c r="F936" s="21">
        <f>IF(AND($L936="",$M936="",$N936=""),"",IF($N936="","",IF(INDEX(LdCWit,$N936)=0,"",INDEX(LdCWit,$N936))))</f>
        <v/>
      </c>
      <c r="G936" s="31">
        <f>IF($B936="","",IF($G935="",0,$G935)+IF($E936="",0,$E936)-IF($F936="",0,$F936))</f>
        <v/>
      </c>
      <c r="H936" s="32">
        <f>IF(AND($L936="",$M936="",$N936=""),"",IF($L936&lt;&gt;"",IF(INDEX(LdANote,$L936)="","—",INDEX(LdANote,$L936)),IF($M936&lt;&gt;"",IF(INDEX(LdBNote,$M936)="","—",INDEX(LdBNote,$M936)),IF($N936&lt;&gt;"",IF(INDEX(LdCNote,$N936)="","—",INDEX(LdCNote,$N936)),""))))</f>
        <v/>
      </c>
      <c r="L936">
        <f>IFERROR(MATCH($C$5&amp;"|"&amp;RIGHT("000000"&amp;920,6),LdAKeyM,0),"")</f>
        <v/>
      </c>
      <c r="M936">
        <f>IFERROR(MATCH($C$5&amp;"|"&amp;RIGHT("000000"&amp;920,6),LdBKeyM,0),"")</f>
        <v/>
      </c>
      <c r="N936">
        <f>IFERROR(MATCH($C$5&amp;"|"&amp;RIGHT("000000"&amp;920,6),LdCKeyM,0),"")</f>
        <v/>
      </c>
    </row>
    <row r="937">
      <c r="A937" s="10" t="n">
        <v>921</v>
      </c>
      <c r="B937" s="14">
        <f>IF(AND($L937="",$M937="",$N937=""),"",IF($L937&lt;&gt;"",INDEX(LdADate,$L937),IF($M937&lt;&gt;"",INDEX(LdBDate,$M937),INDEX(LdCDate,$N937))))</f>
        <v/>
      </c>
      <c r="C937" s="14">
        <f>IF($L937&lt;&gt;"","دستمزد (فردی)",IF($M937&lt;&gt;"","سهم از گروه "&amp;IFERROR(VLOOKUP(INDEX(LdBGroup,$M937),WGTbl,2,0),INDEX(LdBGroup,$M937)),IF($N937&lt;&gt;"",IF(N(INDEX(LdCDep,$N937))&gt;0,"بازگشت بانکی","پرداخت بانکی"),"")))</f>
        <v/>
      </c>
      <c r="D937" s="14">
        <f>IF($L937&lt;&gt;"",IF(INDEX(LdAId,$L937)="","—",INDEX(LdAId,$L937)),IF($M937&lt;&gt;"",IF(INDEX(LdBId,$M937)="","—",INDEX(LdBId,$M937)),IF($N937&lt;&gt;"",IF(INDEX(LdCBank,$N937)="","—",INDEX(LdCBank,$N937)),"")))</f>
        <v/>
      </c>
      <c r="E937" s="16">
        <f>IF($L937&lt;&gt;"",IF(INDEX(LdAAmt,$L937)=0,"",INDEX(LdAAmt,$L937)),IF($M937&lt;&gt;"",IF(INDEX(LdBAmt,$M937)=0,"",INDEX(LdBAmt,$M937)),IF($N937&lt;&gt;"",IF(INDEX(LdCDep,$N937)=0,"",INDEX(LdCDep,$N937)),"")))</f>
        <v/>
      </c>
      <c r="F937" s="16">
        <f>IF(AND($L937="",$M937="",$N937=""),"",IF($N937="","",IF(INDEX(LdCWit,$N937)=0,"",INDEX(LdCWit,$N937))))</f>
        <v/>
      </c>
      <c r="G937" s="29">
        <f>IF($B937="","",IF($G936="",0,$G936)+IF($E937="",0,$E937)-IF($F937="",0,$F937))</f>
        <v/>
      </c>
      <c r="H937" s="30">
        <f>IF(AND($L937="",$M937="",$N937=""),"",IF($L937&lt;&gt;"",IF(INDEX(LdANote,$L937)="","—",INDEX(LdANote,$L937)),IF($M937&lt;&gt;"",IF(INDEX(LdBNote,$M937)="","—",INDEX(LdBNote,$M937)),IF($N937&lt;&gt;"",IF(INDEX(LdCNote,$N937)="","—",INDEX(LdCNote,$N937)),""))))</f>
        <v/>
      </c>
      <c r="L937">
        <f>IFERROR(MATCH($C$5&amp;"|"&amp;RIGHT("000000"&amp;921,6),LdAKeyM,0),"")</f>
        <v/>
      </c>
      <c r="M937">
        <f>IFERROR(MATCH($C$5&amp;"|"&amp;RIGHT("000000"&amp;921,6),LdBKeyM,0),"")</f>
        <v/>
      </c>
      <c r="N937">
        <f>IFERROR(MATCH($C$5&amp;"|"&amp;RIGHT("000000"&amp;921,6),LdCKeyM,0),"")</f>
        <v/>
      </c>
    </row>
    <row r="938">
      <c r="A938" s="19" t="n">
        <v>922</v>
      </c>
      <c r="B938" s="20">
        <f>IF(AND($L938="",$M938="",$N938=""),"",IF($L938&lt;&gt;"",INDEX(LdADate,$L938),IF($M938&lt;&gt;"",INDEX(LdBDate,$M938),INDEX(LdCDate,$N938))))</f>
        <v/>
      </c>
      <c r="C938" s="20">
        <f>IF($L938&lt;&gt;"","دستمزد (فردی)",IF($M938&lt;&gt;"","سهم از گروه "&amp;IFERROR(VLOOKUP(INDEX(LdBGroup,$M938),WGTbl,2,0),INDEX(LdBGroup,$M938)),IF($N938&lt;&gt;"",IF(N(INDEX(LdCDep,$N938))&gt;0,"بازگشت بانکی","پرداخت بانکی"),"")))</f>
        <v/>
      </c>
      <c r="D938" s="20">
        <f>IF($L938&lt;&gt;"",IF(INDEX(LdAId,$L938)="","—",INDEX(LdAId,$L938)),IF($M938&lt;&gt;"",IF(INDEX(LdBId,$M938)="","—",INDEX(LdBId,$M938)),IF($N938&lt;&gt;"",IF(INDEX(LdCBank,$N938)="","—",INDEX(LdCBank,$N938)),"")))</f>
        <v/>
      </c>
      <c r="E938" s="21">
        <f>IF($L938&lt;&gt;"",IF(INDEX(LdAAmt,$L938)=0,"",INDEX(LdAAmt,$L938)),IF($M938&lt;&gt;"",IF(INDEX(LdBAmt,$M938)=0,"",INDEX(LdBAmt,$M938)),IF($N938&lt;&gt;"",IF(INDEX(LdCDep,$N938)=0,"",INDEX(LdCDep,$N938)),"")))</f>
        <v/>
      </c>
      <c r="F938" s="21">
        <f>IF(AND($L938="",$M938="",$N938=""),"",IF($N938="","",IF(INDEX(LdCWit,$N938)=0,"",INDEX(LdCWit,$N938))))</f>
        <v/>
      </c>
      <c r="G938" s="31">
        <f>IF($B938="","",IF($G937="",0,$G937)+IF($E938="",0,$E938)-IF($F938="",0,$F938))</f>
        <v/>
      </c>
      <c r="H938" s="32">
        <f>IF(AND($L938="",$M938="",$N938=""),"",IF($L938&lt;&gt;"",IF(INDEX(LdANote,$L938)="","—",INDEX(LdANote,$L938)),IF($M938&lt;&gt;"",IF(INDEX(LdBNote,$M938)="","—",INDEX(LdBNote,$M938)),IF($N938&lt;&gt;"",IF(INDEX(LdCNote,$N938)="","—",INDEX(LdCNote,$N938)),""))))</f>
        <v/>
      </c>
      <c r="L938">
        <f>IFERROR(MATCH($C$5&amp;"|"&amp;RIGHT("000000"&amp;922,6),LdAKeyM,0),"")</f>
        <v/>
      </c>
      <c r="M938">
        <f>IFERROR(MATCH($C$5&amp;"|"&amp;RIGHT("000000"&amp;922,6),LdBKeyM,0),"")</f>
        <v/>
      </c>
      <c r="N938">
        <f>IFERROR(MATCH($C$5&amp;"|"&amp;RIGHT("000000"&amp;922,6),LdCKeyM,0),"")</f>
        <v/>
      </c>
    </row>
    <row r="939">
      <c r="A939" s="10" t="n">
        <v>923</v>
      </c>
      <c r="B939" s="14">
        <f>IF(AND($L939="",$M939="",$N939=""),"",IF($L939&lt;&gt;"",INDEX(LdADate,$L939),IF($M939&lt;&gt;"",INDEX(LdBDate,$M939),INDEX(LdCDate,$N939))))</f>
        <v/>
      </c>
      <c r="C939" s="14">
        <f>IF($L939&lt;&gt;"","دستمزد (فردی)",IF($M939&lt;&gt;"","سهم از گروه "&amp;IFERROR(VLOOKUP(INDEX(LdBGroup,$M939),WGTbl,2,0),INDEX(LdBGroup,$M939)),IF($N939&lt;&gt;"",IF(N(INDEX(LdCDep,$N939))&gt;0,"بازگشت بانکی","پرداخت بانکی"),"")))</f>
        <v/>
      </c>
      <c r="D939" s="14">
        <f>IF($L939&lt;&gt;"",IF(INDEX(LdAId,$L939)="","—",INDEX(LdAId,$L939)),IF($M939&lt;&gt;"",IF(INDEX(LdBId,$M939)="","—",INDEX(LdBId,$M939)),IF($N939&lt;&gt;"",IF(INDEX(LdCBank,$N939)="","—",INDEX(LdCBank,$N939)),"")))</f>
        <v/>
      </c>
      <c r="E939" s="16">
        <f>IF($L939&lt;&gt;"",IF(INDEX(LdAAmt,$L939)=0,"",INDEX(LdAAmt,$L939)),IF($M939&lt;&gt;"",IF(INDEX(LdBAmt,$M939)=0,"",INDEX(LdBAmt,$M939)),IF($N939&lt;&gt;"",IF(INDEX(LdCDep,$N939)=0,"",INDEX(LdCDep,$N939)),"")))</f>
        <v/>
      </c>
      <c r="F939" s="16">
        <f>IF(AND($L939="",$M939="",$N939=""),"",IF($N939="","",IF(INDEX(LdCWit,$N939)=0,"",INDEX(LdCWit,$N939))))</f>
        <v/>
      </c>
      <c r="G939" s="29">
        <f>IF($B939="","",IF($G938="",0,$G938)+IF($E939="",0,$E939)-IF($F939="",0,$F939))</f>
        <v/>
      </c>
      <c r="H939" s="30">
        <f>IF(AND($L939="",$M939="",$N939=""),"",IF($L939&lt;&gt;"",IF(INDEX(LdANote,$L939)="","—",INDEX(LdANote,$L939)),IF($M939&lt;&gt;"",IF(INDEX(LdBNote,$M939)="","—",INDEX(LdBNote,$M939)),IF($N939&lt;&gt;"",IF(INDEX(LdCNote,$N939)="","—",INDEX(LdCNote,$N939)),""))))</f>
        <v/>
      </c>
      <c r="L939">
        <f>IFERROR(MATCH($C$5&amp;"|"&amp;RIGHT("000000"&amp;923,6),LdAKeyM,0),"")</f>
        <v/>
      </c>
      <c r="M939">
        <f>IFERROR(MATCH($C$5&amp;"|"&amp;RIGHT("000000"&amp;923,6),LdBKeyM,0),"")</f>
        <v/>
      </c>
      <c r="N939">
        <f>IFERROR(MATCH($C$5&amp;"|"&amp;RIGHT("000000"&amp;923,6),LdCKeyM,0),"")</f>
        <v/>
      </c>
    </row>
    <row r="940">
      <c r="A940" s="19" t="n">
        <v>924</v>
      </c>
      <c r="B940" s="20">
        <f>IF(AND($L940="",$M940="",$N940=""),"",IF($L940&lt;&gt;"",INDEX(LdADate,$L940),IF($M940&lt;&gt;"",INDEX(LdBDate,$M940),INDEX(LdCDate,$N940))))</f>
        <v/>
      </c>
      <c r="C940" s="20">
        <f>IF($L940&lt;&gt;"","دستمزد (فردی)",IF($M940&lt;&gt;"","سهم از گروه "&amp;IFERROR(VLOOKUP(INDEX(LdBGroup,$M940),WGTbl,2,0),INDEX(LdBGroup,$M940)),IF($N940&lt;&gt;"",IF(N(INDEX(LdCDep,$N940))&gt;0,"بازگشت بانکی","پرداخت بانکی"),"")))</f>
        <v/>
      </c>
      <c r="D940" s="20">
        <f>IF($L940&lt;&gt;"",IF(INDEX(LdAId,$L940)="","—",INDEX(LdAId,$L940)),IF($M940&lt;&gt;"",IF(INDEX(LdBId,$M940)="","—",INDEX(LdBId,$M940)),IF($N940&lt;&gt;"",IF(INDEX(LdCBank,$N940)="","—",INDEX(LdCBank,$N940)),"")))</f>
        <v/>
      </c>
      <c r="E940" s="21">
        <f>IF($L940&lt;&gt;"",IF(INDEX(LdAAmt,$L940)=0,"",INDEX(LdAAmt,$L940)),IF($M940&lt;&gt;"",IF(INDEX(LdBAmt,$M940)=0,"",INDEX(LdBAmt,$M940)),IF($N940&lt;&gt;"",IF(INDEX(LdCDep,$N940)=0,"",INDEX(LdCDep,$N940)),"")))</f>
        <v/>
      </c>
      <c r="F940" s="21">
        <f>IF(AND($L940="",$M940="",$N940=""),"",IF($N940="","",IF(INDEX(LdCWit,$N940)=0,"",INDEX(LdCWit,$N940))))</f>
        <v/>
      </c>
      <c r="G940" s="31">
        <f>IF($B940="","",IF($G939="",0,$G939)+IF($E940="",0,$E940)-IF($F940="",0,$F940))</f>
        <v/>
      </c>
      <c r="H940" s="32">
        <f>IF(AND($L940="",$M940="",$N940=""),"",IF($L940&lt;&gt;"",IF(INDEX(LdANote,$L940)="","—",INDEX(LdANote,$L940)),IF($M940&lt;&gt;"",IF(INDEX(LdBNote,$M940)="","—",INDEX(LdBNote,$M940)),IF($N940&lt;&gt;"",IF(INDEX(LdCNote,$N940)="","—",INDEX(LdCNote,$N940)),""))))</f>
        <v/>
      </c>
      <c r="L940">
        <f>IFERROR(MATCH($C$5&amp;"|"&amp;RIGHT("000000"&amp;924,6),LdAKeyM,0),"")</f>
        <v/>
      </c>
      <c r="M940">
        <f>IFERROR(MATCH($C$5&amp;"|"&amp;RIGHT("000000"&amp;924,6),LdBKeyM,0),"")</f>
        <v/>
      </c>
      <c r="N940">
        <f>IFERROR(MATCH($C$5&amp;"|"&amp;RIGHT("000000"&amp;924,6),LdCKeyM,0),"")</f>
        <v/>
      </c>
    </row>
    <row r="941">
      <c r="A941" s="10" t="n">
        <v>925</v>
      </c>
      <c r="B941" s="14">
        <f>IF(AND($L941="",$M941="",$N941=""),"",IF($L941&lt;&gt;"",INDEX(LdADate,$L941),IF($M941&lt;&gt;"",INDEX(LdBDate,$M941),INDEX(LdCDate,$N941))))</f>
        <v/>
      </c>
      <c r="C941" s="14">
        <f>IF($L941&lt;&gt;"","دستمزد (فردی)",IF($M941&lt;&gt;"","سهم از گروه "&amp;IFERROR(VLOOKUP(INDEX(LdBGroup,$M941),WGTbl,2,0),INDEX(LdBGroup,$M941)),IF($N941&lt;&gt;"",IF(N(INDEX(LdCDep,$N941))&gt;0,"بازگشت بانکی","پرداخت بانکی"),"")))</f>
        <v/>
      </c>
      <c r="D941" s="14">
        <f>IF($L941&lt;&gt;"",IF(INDEX(LdAId,$L941)="","—",INDEX(LdAId,$L941)),IF($M941&lt;&gt;"",IF(INDEX(LdBId,$M941)="","—",INDEX(LdBId,$M941)),IF($N941&lt;&gt;"",IF(INDEX(LdCBank,$N941)="","—",INDEX(LdCBank,$N941)),"")))</f>
        <v/>
      </c>
      <c r="E941" s="16">
        <f>IF($L941&lt;&gt;"",IF(INDEX(LdAAmt,$L941)=0,"",INDEX(LdAAmt,$L941)),IF($M941&lt;&gt;"",IF(INDEX(LdBAmt,$M941)=0,"",INDEX(LdBAmt,$M941)),IF($N941&lt;&gt;"",IF(INDEX(LdCDep,$N941)=0,"",INDEX(LdCDep,$N941)),"")))</f>
        <v/>
      </c>
      <c r="F941" s="16">
        <f>IF(AND($L941="",$M941="",$N941=""),"",IF($N941="","",IF(INDEX(LdCWit,$N941)=0,"",INDEX(LdCWit,$N941))))</f>
        <v/>
      </c>
      <c r="G941" s="29">
        <f>IF($B941="","",IF($G940="",0,$G940)+IF($E941="",0,$E941)-IF($F941="",0,$F941))</f>
        <v/>
      </c>
      <c r="H941" s="30">
        <f>IF(AND($L941="",$M941="",$N941=""),"",IF($L941&lt;&gt;"",IF(INDEX(LdANote,$L941)="","—",INDEX(LdANote,$L941)),IF($M941&lt;&gt;"",IF(INDEX(LdBNote,$M941)="","—",INDEX(LdBNote,$M941)),IF($N941&lt;&gt;"",IF(INDEX(LdCNote,$N941)="","—",INDEX(LdCNote,$N941)),""))))</f>
        <v/>
      </c>
      <c r="L941">
        <f>IFERROR(MATCH($C$5&amp;"|"&amp;RIGHT("000000"&amp;925,6),LdAKeyM,0),"")</f>
        <v/>
      </c>
      <c r="M941">
        <f>IFERROR(MATCH($C$5&amp;"|"&amp;RIGHT("000000"&amp;925,6),LdBKeyM,0),"")</f>
        <v/>
      </c>
      <c r="N941">
        <f>IFERROR(MATCH($C$5&amp;"|"&amp;RIGHT("000000"&amp;925,6),LdCKeyM,0),"")</f>
        <v/>
      </c>
    </row>
    <row r="942">
      <c r="A942" s="19" t="n">
        <v>926</v>
      </c>
      <c r="B942" s="20">
        <f>IF(AND($L942="",$M942="",$N942=""),"",IF($L942&lt;&gt;"",INDEX(LdADate,$L942),IF($M942&lt;&gt;"",INDEX(LdBDate,$M942),INDEX(LdCDate,$N942))))</f>
        <v/>
      </c>
      <c r="C942" s="20">
        <f>IF($L942&lt;&gt;"","دستمزد (فردی)",IF($M942&lt;&gt;"","سهم از گروه "&amp;IFERROR(VLOOKUP(INDEX(LdBGroup,$M942),WGTbl,2,0),INDEX(LdBGroup,$M942)),IF($N942&lt;&gt;"",IF(N(INDEX(LdCDep,$N942))&gt;0,"بازگشت بانکی","پرداخت بانکی"),"")))</f>
        <v/>
      </c>
      <c r="D942" s="20">
        <f>IF($L942&lt;&gt;"",IF(INDEX(LdAId,$L942)="","—",INDEX(LdAId,$L942)),IF($M942&lt;&gt;"",IF(INDEX(LdBId,$M942)="","—",INDEX(LdBId,$M942)),IF($N942&lt;&gt;"",IF(INDEX(LdCBank,$N942)="","—",INDEX(LdCBank,$N942)),"")))</f>
        <v/>
      </c>
      <c r="E942" s="21">
        <f>IF($L942&lt;&gt;"",IF(INDEX(LdAAmt,$L942)=0,"",INDEX(LdAAmt,$L942)),IF($M942&lt;&gt;"",IF(INDEX(LdBAmt,$M942)=0,"",INDEX(LdBAmt,$M942)),IF($N942&lt;&gt;"",IF(INDEX(LdCDep,$N942)=0,"",INDEX(LdCDep,$N942)),"")))</f>
        <v/>
      </c>
      <c r="F942" s="21">
        <f>IF(AND($L942="",$M942="",$N942=""),"",IF($N942="","",IF(INDEX(LdCWit,$N942)=0,"",INDEX(LdCWit,$N942))))</f>
        <v/>
      </c>
      <c r="G942" s="31">
        <f>IF($B942="","",IF($G941="",0,$G941)+IF($E942="",0,$E942)-IF($F942="",0,$F942))</f>
        <v/>
      </c>
      <c r="H942" s="32">
        <f>IF(AND($L942="",$M942="",$N942=""),"",IF($L942&lt;&gt;"",IF(INDEX(LdANote,$L942)="","—",INDEX(LdANote,$L942)),IF($M942&lt;&gt;"",IF(INDEX(LdBNote,$M942)="","—",INDEX(LdBNote,$M942)),IF($N942&lt;&gt;"",IF(INDEX(LdCNote,$N942)="","—",INDEX(LdCNote,$N942)),""))))</f>
        <v/>
      </c>
      <c r="L942">
        <f>IFERROR(MATCH($C$5&amp;"|"&amp;RIGHT("000000"&amp;926,6),LdAKeyM,0),"")</f>
        <v/>
      </c>
      <c r="M942">
        <f>IFERROR(MATCH($C$5&amp;"|"&amp;RIGHT("000000"&amp;926,6),LdBKeyM,0),"")</f>
        <v/>
      </c>
      <c r="N942">
        <f>IFERROR(MATCH($C$5&amp;"|"&amp;RIGHT("000000"&amp;926,6),LdCKeyM,0),"")</f>
        <v/>
      </c>
    </row>
    <row r="943">
      <c r="A943" s="10" t="n">
        <v>927</v>
      </c>
      <c r="B943" s="14">
        <f>IF(AND($L943="",$M943="",$N943=""),"",IF($L943&lt;&gt;"",INDEX(LdADate,$L943),IF($M943&lt;&gt;"",INDEX(LdBDate,$M943),INDEX(LdCDate,$N943))))</f>
        <v/>
      </c>
      <c r="C943" s="14">
        <f>IF($L943&lt;&gt;"","دستمزد (فردی)",IF($M943&lt;&gt;"","سهم از گروه "&amp;IFERROR(VLOOKUP(INDEX(LdBGroup,$M943),WGTbl,2,0),INDEX(LdBGroup,$M943)),IF($N943&lt;&gt;"",IF(N(INDEX(LdCDep,$N943))&gt;0,"بازگشت بانکی","پرداخت بانکی"),"")))</f>
        <v/>
      </c>
      <c r="D943" s="14">
        <f>IF($L943&lt;&gt;"",IF(INDEX(LdAId,$L943)="","—",INDEX(LdAId,$L943)),IF($M943&lt;&gt;"",IF(INDEX(LdBId,$M943)="","—",INDEX(LdBId,$M943)),IF($N943&lt;&gt;"",IF(INDEX(LdCBank,$N943)="","—",INDEX(LdCBank,$N943)),"")))</f>
        <v/>
      </c>
      <c r="E943" s="16">
        <f>IF($L943&lt;&gt;"",IF(INDEX(LdAAmt,$L943)=0,"",INDEX(LdAAmt,$L943)),IF($M943&lt;&gt;"",IF(INDEX(LdBAmt,$M943)=0,"",INDEX(LdBAmt,$M943)),IF($N943&lt;&gt;"",IF(INDEX(LdCDep,$N943)=0,"",INDEX(LdCDep,$N943)),"")))</f>
        <v/>
      </c>
      <c r="F943" s="16">
        <f>IF(AND($L943="",$M943="",$N943=""),"",IF($N943="","",IF(INDEX(LdCWit,$N943)=0,"",INDEX(LdCWit,$N943))))</f>
        <v/>
      </c>
      <c r="G943" s="29">
        <f>IF($B943="","",IF($G942="",0,$G942)+IF($E943="",0,$E943)-IF($F943="",0,$F943))</f>
        <v/>
      </c>
      <c r="H943" s="30">
        <f>IF(AND($L943="",$M943="",$N943=""),"",IF($L943&lt;&gt;"",IF(INDEX(LdANote,$L943)="","—",INDEX(LdANote,$L943)),IF($M943&lt;&gt;"",IF(INDEX(LdBNote,$M943)="","—",INDEX(LdBNote,$M943)),IF($N943&lt;&gt;"",IF(INDEX(LdCNote,$N943)="","—",INDEX(LdCNote,$N943)),""))))</f>
        <v/>
      </c>
      <c r="L943">
        <f>IFERROR(MATCH($C$5&amp;"|"&amp;RIGHT("000000"&amp;927,6),LdAKeyM,0),"")</f>
        <v/>
      </c>
      <c r="M943">
        <f>IFERROR(MATCH($C$5&amp;"|"&amp;RIGHT("000000"&amp;927,6),LdBKeyM,0),"")</f>
        <v/>
      </c>
      <c r="N943">
        <f>IFERROR(MATCH($C$5&amp;"|"&amp;RIGHT("000000"&amp;927,6),LdCKeyM,0),"")</f>
        <v/>
      </c>
    </row>
    <row r="944">
      <c r="A944" s="19" t="n">
        <v>928</v>
      </c>
      <c r="B944" s="20">
        <f>IF(AND($L944="",$M944="",$N944=""),"",IF($L944&lt;&gt;"",INDEX(LdADate,$L944),IF($M944&lt;&gt;"",INDEX(LdBDate,$M944),INDEX(LdCDate,$N944))))</f>
        <v/>
      </c>
      <c r="C944" s="20">
        <f>IF($L944&lt;&gt;"","دستمزد (فردی)",IF($M944&lt;&gt;"","سهم از گروه "&amp;IFERROR(VLOOKUP(INDEX(LdBGroup,$M944),WGTbl,2,0),INDEX(LdBGroup,$M944)),IF($N944&lt;&gt;"",IF(N(INDEX(LdCDep,$N944))&gt;0,"بازگشت بانکی","پرداخت بانکی"),"")))</f>
        <v/>
      </c>
      <c r="D944" s="20">
        <f>IF($L944&lt;&gt;"",IF(INDEX(LdAId,$L944)="","—",INDEX(LdAId,$L944)),IF($M944&lt;&gt;"",IF(INDEX(LdBId,$M944)="","—",INDEX(LdBId,$M944)),IF($N944&lt;&gt;"",IF(INDEX(LdCBank,$N944)="","—",INDEX(LdCBank,$N944)),"")))</f>
        <v/>
      </c>
      <c r="E944" s="21">
        <f>IF($L944&lt;&gt;"",IF(INDEX(LdAAmt,$L944)=0,"",INDEX(LdAAmt,$L944)),IF($M944&lt;&gt;"",IF(INDEX(LdBAmt,$M944)=0,"",INDEX(LdBAmt,$M944)),IF($N944&lt;&gt;"",IF(INDEX(LdCDep,$N944)=0,"",INDEX(LdCDep,$N944)),"")))</f>
        <v/>
      </c>
      <c r="F944" s="21">
        <f>IF(AND($L944="",$M944="",$N944=""),"",IF($N944="","",IF(INDEX(LdCWit,$N944)=0,"",INDEX(LdCWit,$N944))))</f>
        <v/>
      </c>
      <c r="G944" s="31">
        <f>IF($B944="","",IF($G943="",0,$G943)+IF($E944="",0,$E944)-IF($F944="",0,$F944))</f>
        <v/>
      </c>
      <c r="H944" s="32">
        <f>IF(AND($L944="",$M944="",$N944=""),"",IF($L944&lt;&gt;"",IF(INDEX(LdANote,$L944)="","—",INDEX(LdANote,$L944)),IF($M944&lt;&gt;"",IF(INDEX(LdBNote,$M944)="","—",INDEX(LdBNote,$M944)),IF($N944&lt;&gt;"",IF(INDEX(LdCNote,$N944)="","—",INDEX(LdCNote,$N944)),""))))</f>
        <v/>
      </c>
      <c r="L944">
        <f>IFERROR(MATCH($C$5&amp;"|"&amp;RIGHT("000000"&amp;928,6),LdAKeyM,0),"")</f>
        <v/>
      </c>
      <c r="M944">
        <f>IFERROR(MATCH($C$5&amp;"|"&amp;RIGHT("000000"&amp;928,6),LdBKeyM,0),"")</f>
        <v/>
      </c>
      <c r="N944">
        <f>IFERROR(MATCH($C$5&amp;"|"&amp;RIGHT("000000"&amp;928,6),LdCKeyM,0),"")</f>
        <v/>
      </c>
    </row>
    <row r="945">
      <c r="A945" s="10" t="n">
        <v>929</v>
      </c>
      <c r="B945" s="14">
        <f>IF(AND($L945="",$M945="",$N945=""),"",IF($L945&lt;&gt;"",INDEX(LdADate,$L945),IF($M945&lt;&gt;"",INDEX(LdBDate,$M945),INDEX(LdCDate,$N945))))</f>
        <v/>
      </c>
      <c r="C945" s="14">
        <f>IF($L945&lt;&gt;"","دستمزد (فردی)",IF($M945&lt;&gt;"","سهم از گروه "&amp;IFERROR(VLOOKUP(INDEX(LdBGroup,$M945),WGTbl,2,0),INDEX(LdBGroup,$M945)),IF($N945&lt;&gt;"",IF(N(INDEX(LdCDep,$N945))&gt;0,"بازگشت بانکی","پرداخت بانکی"),"")))</f>
        <v/>
      </c>
      <c r="D945" s="14">
        <f>IF($L945&lt;&gt;"",IF(INDEX(LdAId,$L945)="","—",INDEX(LdAId,$L945)),IF($M945&lt;&gt;"",IF(INDEX(LdBId,$M945)="","—",INDEX(LdBId,$M945)),IF($N945&lt;&gt;"",IF(INDEX(LdCBank,$N945)="","—",INDEX(LdCBank,$N945)),"")))</f>
        <v/>
      </c>
      <c r="E945" s="16">
        <f>IF($L945&lt;&gt;"",IF(INDEX(LdAAmt,$L945)=0,"",INDEX(LdAAmt,$L945)),IF($M945&lt;&gt;"",IF(INDEX(LdBAmt,$M945)=0,"",INDEX(LdBAmt,$M945)),IF($N945&lt;&gt;"",IF(INDEX(LdCDep,$N945)=0,"",INDEX(LdCDep,$N945)),"")))</f>
        <v/>
      </c>
      <c r="F945" s="16">
        <f>IF(AND($L945="",$M945="",$N945=""),"",IF($N945="","",IF(INDEX(LdCWit,$N945)=0,"",INDEX(LdCWit,$N945))))</f>
        <v/>
      </c>
      <c r="G945" s="29">
        <f>IF($B945="","",IF($G944="",0,$G944)+IF($E945="",0,$E945)-IF($F945="",0,$F945))</f>
        <v/>
      </c>
      <c r="H945" s="30">
        <f>IF(AND($L945="",$M945="",$N945=""),"",IF($L945&lt;&gt;"",IF(INDEX(LdANote,$L945)="","—",INDEX(LdANote,$L945)),IF($M945&lt;&gt;"",IF(INDEX(LdBNote,$M945)="","—",INDEX(LdBNote,$M945)),IF($N945&lt;&gt;"",IF(INDEX(LdCNote,$N945)="","—",INDEX(LdCNote,$N945)),""))))</f>
        <v/>
      </c>
      <c r="L945">
        <f>IFERROR(MATCH($C$5&amp;"|"&amp;RIGHT("000000"&amp;929,6),LdAKeyM,0),"")</f>
        <v/>
      </c>
      <c r="M945">
        <f>IFERROR(MATCH($C$5&amp;"|"&amp;RIGHT("000000"&amp;929,6),LdBKeyM,0),"")</f>
        <v/>
      </c>
      <c r="N945">
        <f>IFERROR(MATCH($C$5&amp;"|"&amp;RIGHT("000000"&amp;929,6),LdCKeyM,0),"")</f>
        <v/>
      </c>
    </row>
    <row r="946">
      <c r="A946" s="19" t="n">
        <v>930</v>
      </c>
      <c r="B946" s="20">
        <f>IF(AND($L946="",$M946="",$N946=""),"",IF($L946&lt;&gt;"",INDEX(LdADate,$L946),IF($M946&lt;&gt;"",INDEX(LdBDate,$M946),INDEX(LdCDate,$N946))))</f>
        <v/>
      </c>
      <c r="C946" s="20">
        <f>IF($L946&lt;&gt;"","دستمزد (فردی)",IF($M946&lt;&gt;"","سهم از گروه "&amp;IFERROR(VLOOKUP(INDEX(LdBGroup,$M946),WGTbl,2,0),INDEX(LdBGroup,$M946)),IF($N946&lt;&gt;"",IF(N(INDEX(LdCDep,$N946))&gt;0,"بازگشت بانکی","پرداخت بانکی"),"")))</f>
        <v/>
      </c>
      <c r="D946" s="20">
        <f>IF($L946&lt;&gt;"",IF(INDEX(LdAId,$L946)="","—",INDEX(LdAId,$L946)),IF($M946&lt;&gt;"",IF(INDEX(LdBId,$M946)="","—",INDEX(LdBId,$M946)),IF($N946&lt;&gt;"",IF(INDEX(LdCBank,$N946)="","—",INDEX(LdCBank,$N946)),"")))</f>
        <v/>
      </c>
      <c r="E946" s="21">
        <f>IF($L946&lt;&gt;"",IF(INDEX(LdAAmt,$L946)=0,"",INDEX(LdAAmt,$L946)),IF($M946&lt;&gt;"",IF(INDEX(LdBAmt,$M946)=0,"",INDEX(LdBAmt,$M946)),IF($N946&lt;&gt;"",IF(INDEX(LdCDep,$N946)=0,"",INDEX(LdCDep,$N946)),"")))</f>
        <v/>
      </c>
      <c r="F946" s="21">
        <f>IF(AND($L946="",$M946="",$N946=""),"",IF($N946="","",IF(INDEX(LdCWit,$N946)=0,"",INDEX(LdCWit,$N946))))</f>
        <v/>
      </c>
      <c r="G946" s="31">
        <f>IF($B946="","",IF($G945="",0,$G945)+IF($E946="",0,$E946)-IF($F946="",0,$F946))</f>
        <v/>
      </c>
      <c r="H946" s="32">
        <f>IF(AND($L946="",$M946="",$N946=""),"",IF($L946&lt;&gt;"",IF(INDEX(LdANote,$L946)="","—",INDEX(LdANote,$L946)),IF($M946&lt;&gt;"",IF(INDEX(LdBNote,$M946)="","—",INDEX(LdBNote,$M946)),IF($N946&lt;&gt;"",IF(INDEX(LdCNote,$N946)="","—",INDEX(LdCNote,$N946)),""))))</f>
        <v/>
      </c>
      <c r="L946">
        <f>IFERROR(MATCH($C$5&amp;"|"&amp;RIGHT("000000"&amp;930,6),LdAKeyM,0),"")</f>
        <v/>
      </c>
      <c r="M946">
        <f>IFERROR(MATCH($C$5&amp;"|"&amp;RIGHT("000000"&amp;930,6),LdBKeyM,0),"")</f>
        <v/>
      </c>
      <c r="N946">
        <f>IFERROR(MATCH($C$5&amp;"|"&amp;RIGHT("000000"&amp;930,6),LdCKeyM,0),"")</f>
        <v/>
      </c>
    </row>
    <row r="947">
      <c r="A947" s="10" t="n">
        <v>931</v>
      </c>
      <c r="B947" s="14">
        <f>IF(AND($L947="",$M947="",$N947=""),"",IF($L947&lt;&gt;"",INDEX(LdADate,$L947),IF($M947&lt;&gt;"",INDEX(LdBDate,$M947),INDEX(LdCDate,$N947))))</f>
        <v/>
      </c>
      <c r="C947" s="14">
        <f>IF($L947&lt;&gt;"","دستمزد (فردی)",IF($M947&lt;&gt;"","سهم از گروه "&amp;IFERROR(VLOOKUP(INDEX(LdBGroup,$M947),WGTbl,2,0),INDEX(LdBGroup,$M947)),IF($N947&lt;&gt;"",IF(N(INDEX(LdCDep,$N947))&gt;0,"بازگشت بانکی","پرداخت بانکی"),"")))</f>
        <v/>
      </c>
      <c r="D947" s="14">
        <f>IF($L947&lt;&gt;"",IF(INDEX(LdAId,$L947)="","—",INDEX(LdAId,$L947)),IF($M947&lt;&gt;"",IF(INDEX(LdBId,$M947)="","—",INDEX(LdBId,$M947)),IF($N947&lt;&gt;"",IF(INDEX(LdCBank,$N947)="","—",INDEX(LdCBank,$N947)),"")))</f>
        <v/>
      </c>
      <c r="E947" s="16">
        <f>IF($L947&lt;&gt;"",IF(INDEX(LdAAmt,$L947)=0,"",INDEX(LdAAmt,$L947)),IF($M947&lt;&gt;"",IF(INDEX(LdBAmt,$M947)=0,"",INDEX(LdBAmt,$M947)),IF($N947&lt;&gt;"",IF(INDEX(LdCDep,$N947)=0,"",INDEX(LdCDep,$N947)),"")))</f>
        <v/>
      </c>
      <c r="F947" s="16">
        <f>IF(AND($L947="",$M947="",$N947=""),"",IF($N947="","",IF(INDEX(LdCWit,$N947)=0,"",INDEX(LdCWit,$N947))))</f>
        <v/>
      </c>
      <c r="G947" s="29">
        <f>IF($B947="","",IF($G946="",0,$G946)+IF($E947="",0,$E947)-IF($F947="",0,$F947))</f>
        <v/>
      </c>
      <c r="H947" s="30">
        <f>IF(AND($L947="",$M947="",$N947=""),"",IF($L947&lt;&gt;"",IF(INDEX(LdANote,$L947)="","—",INDEX(LdANote,$L947)),IF($M947&lt;&gt;"",IF(INDEX(LdBNote,$M947)="","—",INDEX(LdBNote,$M947)),IF($N947&lt;&gt;"",IF(INDEX(LdCNote,$N947)="","—",INDEX(LdCNote,$N947)),""))))</f>
        <v/>
      </c>
      <c r="L947">
        <f>IFERROR(MATCH($C$5&amp;"|"&amp;RIGHT("000000"&amp;931,6),LdAKeyM,0),"")</f>
        <v/>
      </c>
      <c r="M947">
        <f>IFERROR(MATCH($C$5&amp;"|"&amp;RIGHT("000000"&amp;931,6),LdBKeyM,0),"")</f>
        <v/>
      </c>
      <c r="N947">
        <f>IFERROR(MATCH($C$5&amp;"|"&amp;RIGHT("000000"&amp;931,6),LdCKeyM,0),"")</f>
        <v/>
      </c>
    </row>
    <row r="948">
      <c r="A948" s="19" t="n">
        <v>932</v>
      </c>
      <c r="B948" s="20">
        <f>IF(AND($L948="",$M948="",$N948=""),"",IF($L948&lt;&gt;"",INDEX(LdADate,$L948),IF($M948&lt;&gt;"",INDEX(LdBDate,$M948),INDEX(LdCDate,$N948))))</f>
        <v/>
      </c>
      <c r="C948" s="20">
        <f>IF($L948&lt;&gt;"","دستمزد (فردی)",IF($M948&lt;&gt;"","سهم از گروه "&amp;IFERROR(VLOOKUP(INDEX(LdBGroup,$M948),WGTbl,2,0),INDEX(LdBGroup,$M948)),IF($N948&lt;&gt;"",IF(N(INDEX(LdCDep,$N948))&gt;0,"بازگشت بانکی","پرداخت بانکی"),"")))</f>
        <v/>
      </c>
      <c r="D948" s="20">
        <f>IF($L948&lt;&gt;"",IF(INDEX(LdAId,$L948)="","—",INDEX(LdAId,$L948)),IF($M948&lt;&gt;"",IF(INDEX(LdBId,$M948)="","—",INDEX(LdBId,$M948)),IF($N948&lt;&gt;"",IF(INDEX(LdCBank,$N948)="","—",INDEX(LdCBank,$N948)),"")))</f>
        <v/>
      </c>
      <c r="E948" s="21">
        <f>IF($L948&lt;&gt;"",IF(INDEX(LdAAmt,$L948)=0,"",INDEX(LdAAmt,$L948)),IF($M948&lt;&gt;"",IF(INDEX(LdBAmt,$M948)=0,"",INDEX(LdBAmt,$M948)),IF($N948&lt;&gt;"",IF(INDEX(LdCDep,$N948)=0,"",INDEX(LdCDep,$N948)),"")))</f>
        <v/>
      </c>
      <c r="F948" s="21">
        <f>IF(AND($L948="",$M948="",$N948=""),"",IF($N948="","",IF(INDEX(LdCWit,$N948)=0,"",INDEX(LdCWit,$N948))))</f>
        <v/>
      </c>
      <c r="G948" s="31">
        <f>IF($B948="","",IF($G947="",0,$G947)+IF($E948="",0,$E948)-IF($F948="",0,$F948))</f>
        <v/>
      </c>
      <c r="H948" s="32">
        <f>IF(AND($L948="",$M948="",$N948=""),"",IF($L948&lt;&gt;"",IF(INDEX(LdANote,$L948)="","—",INDEX(LdANote,$L948)),IF($M948&lt;&gt;"",IF(INDEX(LdBNote,$M948)="","—",INDEX(LdBNote,$M948)),IF($N948&lt;&gt;"",IF(INDEX(LdCNote,$N948)="","—",INDEX(LdCNote,$N948)),""))))</f>
        <v/>
      </c>
      <c r="L948">
        <f>IFERROR(MATCH($C$5&amp;"|"&amp;RIGHT("000000"&amp;932,6),LdAKeyM,0),"")</f>
        <v/>
      </c>
      <c r="M948">
        <f>IFERROR(MATCH($C$5&amp;"|"&amp;RIGHT("000000"&amp;932,6),LdBKeyM,0),"")</f>
        <v/>
      </c>
      <c r="N948">
        <f>IFERROR(MATCH($C$5&amp;"|"&amp;RIGHT("000000"&amp;932,6),LdCKeyM,0),"")</f>
        <v/>
      </c>
    </row>
    <row r="949">
      <c r="A949" s="10" t="n">
        <v>933</v>
      </c>
      <c r="B949" s="14">
        <f>IF(AND($L949="",$M949="",$N949=""),"",IF($L949&lt;&gt;"",INDEX(LdADate,$L949),IF($M949&lt;&gt;"",INDEX(LdBDate,$M949),INDEX(LdCDate,$N949))))</f>
        <v/>
      </c>
      <c r="C949" s="14">
        <f>IF($L949&lt;&gt;"","دستمزد (فردی)",IF($M949&lt;&gt;"","سهم از گروه "&amp;IFERROR(VLOOKUP(INDEX(LdBGroup,$M949),WGTbl,2,0),INDEX(LdBGroup,$M949)),IF($N949&lt;&gt;"",IF(N(INDEX(LdCDep,$N949))&gt;0,"بازگشت بانکی","پرداخت بانکی"),"")))</f>
        <v/>
      </c>
      <c r="D949" s="14">
        <f>IF($L949&lt;&gt;"",IF(INDEX(LdAId,$L949)="","—",INDEX(LdAId,$L949)),IF($M949&lt;&gt;"",IF(INDEX(LdBId,$M949)="","—",INDEX(LdBId,$M949)),IF($N949&lt;&gt;"",IF(INDEX(LdCBank,$N949)="","—",INDEX(LdCBank,$N949)),"")))</f>
        <v/>
      </c>
      <c r="E949" s="16">
        <f>IF($L949&lt;&gt;"",IF(INDEX(LdAAmt,$L949)=0,"",INDEX(LdAAmt,$L949)),IF($M949&lt;&gt;"",IF(INDEX(LdBAmt,$M949)=0,"",INDEX(LdBAmt,$M949)),IF($N949&lt;&gt;"",IF(INDEX(LdCDep,$N949)=0,"",INDEX(LdCDep,$N949)),"")))</f>
        <v/>
      </c>
      <c r="F949" s="16">
        <f>IF(AND($L949="",$M949="",$N949=""),"",IF($N949="","",IF(INDEX(LdCWit,$N949)=0,"",INDEX(LdCWit,$N949))))</f>
        <v/>
      </c>
      <c r="G949" s="29">
        <f>IF($B949="","",IF($G948="",0,$G948)+IF($E949="",0,$E949)-IF($F949="",0,$F949))</f>
        <v/>
      </c>
      <c r="H949" s="30">
        <f>IF(AND($L949="",$M949="",$N949=""),"",IF($L949&lt;&gt;"",IF(INDEX(LdANote,$L949)="","—",INDEX(LdANote,$L949)),IF($M949&lt;&gt;"",IF(INDEX(LdBNote,$M949)="","—",INDEX(LdBNote,$M949)),IF($N949&lt;&gt;"",IF(INDEX(LdCNote,$N949)="","—",INDEX(LdCNote,$N949)),""))))</f>
        <v/>
      </c>
      <c r="L949">
        <f>IFERROR(MATCH($C$5&amp;"|"&amp;RIGHT("000000"&amp;933,6),LdAKeyM,0),"")</f>
        <v/>
      </c>
      <c r="M949">
        <f>IFERROR(MATCH($C$5&amp;"|"&amp;RIGHT("000000"&amp;933,6),LdBKeyM,0),"")</f>
        <v/>
      </c>
      <c r="N949">
        <f>IFERROR(MATCH($C$5&amp;"|"&amp;RIGHT("000000"&amp;933,6),LdCKeyM,0),"")</f>
        <v/>
      </c>
    </row>
    <row r="950">
      <c r="A950" s="19" t="n">
        <v>934</v>
      </c>
      <c r="B950" s="20">
        <f>IF(AND($L950="",$M950="",$N950=""),"",IF($L950&lt;&gt;"",INDEX(LdADate,$L950),IF($M950&lt;&gt;"",INDEX(LdBDate,$M950),INDEX(LdCDate,$N950))))</f>
        <v/>
      </c>
      <c r="C950" s="20">
        <f>IF($L950&lt;&gt;"","دستمزد (فردی)",IF($M950&lt;&gt;"","سهم از گروه "&amp;IFERROR(VLOOKUP(INDEX(LdBGroup,$M950),WGTbl,2,0),INDEX(LdBGroup,$M950)),IF($N950&lt;&gt;"",IF(N(INDEX(LdCDep,$N950))&gt;0,"بازگشت بانکی","پرداخت بانکی"),"")))</f>
        <v/>
      </c>
      <c r="D950" s="20">
        <f>IF($L950&lt;&gt;"",IF(INDEX(LdAId,$L950)="","—",INDEX(LdAId,$L950)),IF($M950&lt;&gt;"",IF(INDEX(LdBId,$M950)="","—",INDEX(LdBId,$M950)),IF($N950&lt;&gt;"",IF(INDEX(LdCBank,$N950)="","—",INDEX(LdCBank,$N950)),"")))</f>
        <v/>
      </c>
      <c r="E950" s="21">
        <f>IF($L950&lt;&gt;"",IF(INDEX(LdAAmt,$L950)=0,"",INDEX(LdAAmt,$L950)),IF($M950&lt;&gt;"",IF(INDEX(LdBAmt,$M950)=0,"",INDEX(LdBAmt,$M950)),IF($N950&lt;&gt;"",IF(INDEX(LdCDep,$N950)=0,"",INDEX(LdCDep,$N950)),"")))</f>
        <v/>
      </c>
      <c r="F950" s="21">
        <f>IF(AND($L950="",$M950="",$N950=""),"",IF($N950="","",IF(INDEX(LdCWit,$N950)=0,"",INDEX(LdCWit,$N950))))</f>
        <v/>
      </c>
      <c r="G950" s="31">
        <f>IF($B950="","",IF($G949="",0,$G949)+IF($E950="",0,$E950)-IF($F950="",0,$F950))</f>
        <v/>
      </c>
      <c r="H950" s="32">
        <f>IF(AND($L950="",$M950="",$N950=""),"",IF($L950&lt;&gt;"",IF(INDEX(LdANote,$L950)="","—",INDEX(LdANote,$L950)),IF($M950&lt;&gt;"",IF(INDEX(LdBNote,$M950)="","—",INDEX(LdBNote,$M950)),IF($N950&lt;&gt;"",IF(INDEX(LdCNote,$N950)="","—",INDEX(LdCNote,$N950)),""))))</f>
        <v/>
      </c>
      <c r="L950">
        <f>IFERROR(MATCH($C$5&amp;"|"&amp;RIGHT("000000"&amp;934,6),LdAKeyM,0),"")</f>
        <v/>
      </c>
      <c r="M950">
        <f>IFERROR(MATCH($C$5&amp;"|"&amp;RIGHT("000000"&amp;934,6),LdBKeyM,0),"")</f>
        <v/>
      </c>
      <c r="N950">
        <f>IFERROR(MATCH($C$5&amp;"|"&amp;RIGHT("000000"&amp;934,6),LdCKeyM,0),"")</f>
        <v/>
      </c>
    </row>
    <row r="951">
      <c r="A951" s="10" t="n">
        <v>935</v>
      </c>
      <c r="B951" s="14">
        <f>IF(AND($L951="",$M951="",$N951=""),"",IF($L951&lt;&gt;"",INDEX(LdADate,$L951),IF($M951&lt;&gt;"",INDEX(LdBDate,$M951),INDEX(LdCDate,$N951))))</f>
        <v/>
      </c>
      <c r="C951" s="14">
        <f>IF($L951&lt;&gt;"","دستمزد (فردی)",IF($M951&lt;&gt;"","سهم از گروه "&amp;IFERROR(VLOOKUP(INDEX(LdBGroup,$M951),WGTbl,2,0),INDEX(LdBGroup,$M951)),IF($N951&lt;&gt;"",IF(N(INDEX(LdCDep,$N951))&gt;0,"بازگشت بانکی","پرداخت بانکی"),"")))</f>
        <v/>
      </c>
      <c r="D951" s="14">
        <f>IF($L951&lt;&gt;"",IF(INDEX(LdAId,$L951)="","—",INDEX(LdAId,$L951)),IF($M951&lt;&gt;"",IF(INDEX(LdBId,$M951)="","—",INDEX(LdBId,$M951)),IF($N951&lt;&gt;"",IF(INDEX(LdCBank,$N951)="","—",INDEX(LdCBank,$N951)),"")))</f>
        <v/>
      </c>
      <c r="E951" s="16">
        <f>IF($L951&lt;&gt;"",IF(INDEX(LdAAmt,$L951)=0,"",INDEX(LdAAmt,$L951)),IF($M951&lt;&gt;"",IF(INDEX(LdBAmt,$M951)=0,"",INDEX(LdBAmt,$M951)),IF($N951&lt;&gt;"",IF(INDEX(LdCDep,$N951)=0,"",INDEX(LdCDep,$N951)),"")))</f>
        <v/>
      </c>
      <c r="F951" s="16">
        <f>IF(AND($L951="",$M951="",$N951=""),"",IF($N951="","",IF(INDEX(LdCWit,$N951)=0,"",INDEX(LdCWit,$N951))))</f>
        <v/>
      </c>
      <c r="G951" s="29">
        <f>IF($B951="","",IF($G950="",0,$G950)+IF($E951="",0,$E951)-IF($F951="",0,$F951))</f>
        <v/>
      </c>
      <c r="H951" s="30">
        <f>IF(AND($L951="",$M951="",$N951=""),"",IF($L951&lt;&gt;"",IF(INDEX(LdANote,$L951)="","—",INDEX(LdANote,$L951)),IF($M951&lt;&gt;"",IF(INDEX(LdBNote,$M951)="","—",INDEX(LdBNote,$M951)),IF($N951&lt;&gt;"",IF(INDEX(LdCNote,$N951)="","—",INDEX(LdCNote,$N951)),""))))</f>
        <v/>
      </c>
      <c r="L951">
        <f>IFERROR(MATCH($C$5&amp;"|"&amp;RIGHT("000000"&amp;935,6),LdAKeyM,0),"")</f>
        <v/>
      </c>
      <c r="M951">
        <f>IFERROR(MATCH($C$5&amp;"|"&amp;RIGHT("000000"&amp;935,6),LdBKeyM,0),"")</f>
        <v/>
      </c>
      <c r="N951">
        <f>IFERROR(MATCH($C$5&amp;"|"&amp;RIGHT("000000"&amp;935,6),LdCKeyM,0),"")</f>
        <v/>
      </c>
    </row>
    <row r="952">
      <c r="A952" s="19" t="n">
        <v>936</v>
      </c>
      <c r="B952" s="20">
        <f>IF(AND($L952="",$M952="",$N952=""),"",IF($L952&lt;&gt;"",INDEX(LdADate,$L952),IF($M952&lt;&gt;"",INDEX(LdBDate,$M952),INDEX(LdCDate,$N952))))</f>
        <v/>
      </c>
      <c r="C952" s="20">
        <f>IF($L952&lt;&gt;"","دستمزد (فردی)",IF($M952&lt;&gt;"","سهم از گروه "&amp;IFERROR(VLOOKUP(INDEX(LdBGroup,$M952),WGTbl,2,0),INDEX(LdBGroup,$M952)),IF($N952&lt;&gt;"",IF(N(INDEX(LdCDep,$N952))&gt;0,"بازگشت بانکی","پرداخت بانکی"),"")))</f>
        <v/>
      </c>
      <c r="D952" s="20">
        <f>IF($L952&lt;&gt;"",IF(INDEX(LdAId,$L952)="","—",INDEX(LdAId,$L952)),IF($M952&lt;&gt;"",IF(INDEX(LdBId,$M952)="","—",INDEX(LdBId,$M952)),IF($N952&lt;&gt;"",IF(INDEX(LdCBank,$N952)="","—",INDEX(LdCBank,$N952)),"")))</f>
        <v/>
      </c>
      <c r="E952" s="21">
        <f>IF($L952&lt;&gt;"",IF(INDEX(LdAAmt,$L952)=0,"",INDEX(LdAAmt,$L952)),IF($M952&lt;&gt;"",IF(INDEX(LdBAmt,$M952)=0,"",INDEX(LdBAmt,$M952)),IF($N952&lt;&gt;"",IF(INDEX(LdCDep,$N952)=0,"",INDEX(LdCDep,$N952)),"")))</f>
        <v/>
      </c>
      <c r="F952" s="21">
        <f>IF(AND($L952="",$M952="",$N952=""),"",IF($N952="","",IF(INDEX(LdCWit,$N952)=0,"",INDEX(LdCWit,$N952))))</f>
        <v/>
      </c>
      <c r="G952" s="31">
        <f>IF($B952="","",IF($G951="",0,$G951)+IF($E952="",0,$E952)-IF($F952="",0,$F952))</f>
        <v/>
      </c>
      <c r="H952" s="32">
        <f>IF(AND($L952="",$M952="",$N952=""),"",IF($L952&lt;&gt;"",IF(INDEX(LdANote,$L952)="","—",INDEX(LdANote,$L952)),IF($M952&lt;&gt;"",IF(INDEX(LdBNote,$M952)="","—",INDEX(LdBNote,$M952)),IF($N952&lt;&gt;"",IF(INDEX(LdCNote,$N952)="","—",INDEX(LdCNote,$N952)),""))))</f>
        <v/>
      </c>
      <c r="L952">
        <f>IFERROR(MATCH($C$5&amp;"|"&amp;RIGHT("000000"&amp;936,6),LdAKeyM,0),"")</f>
        <v/>
      </c>
      <c r="M952">
        <f>IFERROR(MATCH($C$5&amp;"|"&amp;RIGHT("000000"&amp;936,6),LdBKeyM,0),"")</f>
        <v/>
      </c>
      <c r="N952">
        <f>IFERROR(MATCH($C$5&amp;"|"&amp;RIGHT("000000"&amp;936,6),LdCKeyM,0),"")</f>
        <v/>
      </c>
    </row>
    <row r="953">
      <c r="A953" s="10" t="n">
        <v>937</v>
      </c>
      <c r="B953" s="14">
        <f>IF(AND($L953="",$M953="",$N953=""),"",IF($L953&lt;&gt;"",INDEX(LdADate,$L953),IF($M953&lt;&gt;"",INDEX(LdBDate,$M953),INDEX(LdCDate,$N953))))</f>
        <v/>
      </c>
      <c r="C953" s="14">
        <f>IF($L953&lt;&gt;"","دستمزد (فردی)",IF($M953&lt;&gt;"","سهم از گروه "&amp;IFERROR(VLOOKUP(INDEX(LdBGroup,$M953),WGTbl,2,0),INDEX(LdBGroup,$M953)),IF($N953&lt;&gt;"",IF(N(INDEX(LdCDep,$N953))&gt;0,"بازگشت بانکی","پرداخت بانکی"),"")))</f>
        <v/>
      </c>
      <c r="D953" s="14">
        <f>IF($L953&lt;&gt;"",IF(INDEX(LdAId,$L953)="","—",INDEX(LdAId,$L953)),IF($M953&lt;&gt;"",IF(INDEX(LdBId,$M953)="","—",INDEX(LdBId,$M953)),IF($N953&lt;&gt;"",IF(INDEX(LdCBank,$N953)="","—",INDEX(LdCBank,$N953)),"")))</f>
        <v/>
      </c>
      <c r="E953" s="16">
        <f>IF($L953&lt;&gt;"",IF(INDEX(LdAAmt,$L953)=0,"",INDEX(LdAAmt,$L953)),IF($M953&lt;&gt;"",IF(INDEX(LdBAmt,$M953)=0,"",INDEX(LdBAmt,$M953)),IF($N953&lt;&gt;"",IF(INDEX(LdCDep,$N953)=0,"",INDEX(LdCDep,$N953)),"")))</f>
        <v/>
      </c>
      <c r="F953" s="16">
        <f>IF(AND($L953="",$M953="",$N953=""),"",IF($N953="","",IF(INDEX(LdCWit,$N953)=0,"",INDEX(LdCWit,$N953))))</f>
        <v/>
      </c>
      <c r="G953" s="29">
        <f>IF($B953="","",IF($G952="",0,$G952)+IF($E953="",0,$E953)-IF($F953="",0,$F953))</f>
        <v/>
      </c>
      <c r="H953" s="30">
        <f>IF(AND($L953="",$M953="",$N953=""),"",IF($L953&lt;&gt;"",IF(INDEX(LdANote,$L953)="","—",INDEX(LdANote,$L953)),IF($M953&lt;&gt;"",IF(INDEX(LdBNote,$M953)="","—",INDEX(LdBNote,$M953)),IF($N953&lt;&gt;"",IF(INDEX(LdCNote,$N953)="","—",INDEX(LdCNote,$N953)),""))))</f>
        <v/>
      </c>
      <c r="L953">
        <f>IFERROR(MATCH($C$5&amp;"|"&amp;RIGHT("000000"&amp;937,6),LdAKeyM,0),"")</f>
        <v/>
      </c>
      <c r="M953">
        <f>IFERROR(MATCH($C$5&amp;"|"&amp;RIGHT("000000"&amp;937,6),LdBKeyM,0),"")</f>
        <v/>
      </c>
      <c r="N953">
        <f>IFERROR(MATCH($C$5&amp;"|"&amp;RIGHT("000000"&amp;937,6),LdCKeyM,0),"")</f>
        <v/>
      </c>
    </row>
    <row r="954">
      <c r="A954" s="19" t="n">
        <v>938</v>
      </c>
      <c r="B954" s="20">
        <f>IF(AND($L954="",$M954="",$N954=""),"",IF($L954&lt;&gt;"",INDEX(LdADate,$L954),IF($M954&lt;&gt;"",INDEX(LdBDate,$M954),INDEX(LdCDate,$N954))))</f>
        <v/>
      </c>
      <c r="C954" s="20">
        <f>IF($L954&lt;&gt;"","دستمزد (فردی)",IF($M954&lt;&gt;"","سهم از گروه "&amp;IFERROR(VLOOKUP(INDEX(LdBGroup,$M954),WGTbl,2,0),INDEX(LdBGroup,$M954)),IF($N954&lt;&gt;"",IF(N(INDEX(LdCDep,$N954))&gt;0,"بازگشت بانکی","پرداخت بانکی"),"")))</f>
        <v/>
      </c>
      <c r="D954" s="20">
        <f>IF($L954&lt;&gt;"",IF(INDEX(LdAId,$L954)="","—",INDEX(LdAId,$L954)),IF($M954&lt;&gt;"",IF(INDEX(LdBId,$M954)="","—",INDEX(LdBId,$M954)),IF($N954&lt;&gt;"",IF(INDEX(LdCBank,$N954)="","—",INDEX(LdCBank,$N954)),"")))</f>
        <v/>
      </c>
      <c r="E954" s="21">
        <f>IF($L954&lt;&gt;"",IF(INDEX(LdAAmt,$L954)=0,"",INDEX(LdAAmt,$L954)),IF($M954&lt;&gt;"",IF(INDEX(LdBAmt,$M954)=0,"",INDEX(LdBAmt,$M954)),IF($N954&lt;&gt;"",IF(INDEX(LdCDep,$N954)=0,"",INDEX(LdCDep,$N954)),"")))</f>
        <v/>
      </c>
      <c r="F954" s="21">
        <f>IF(AND($L954="",$M954="",$N954=""),"",IF($N954="","",IF(INDEX(LdCWit,$N954)=0,"",INDEX(LdCWit,$N954))))</f>
        <v/>
      </c>
      <c r="G954" s="31">
        <f>IF($B954="","",IF($G953="",0,$G953)+IF($E954="",0,$E954)-IF($F954="",0,$F954))</f>
        <v/>
      </c>
      <c r="H954" s="32">
        <f>IF(AND($L954="",$M954="",$N954=""),"",IF($L954&lt;&gt;"",IF(INDEX(LdANote,$L954)="","—",INDEX(LdANote,$L954)),IF($M954&lt;&gt;"",IF(INDEX(LdBNote,$M954)="","—",INDEX(LdBNote,$M954)),IF($N954&lt;&gt;"",IF(INDEX(LdCNote,$N954)="","—",INDEX(LdCNote,$N954)),""))))</f>
        <v/>
      </c>
      <c r="L954">
        <f>IFERROR(MATCH($C$5&amp;"|"&amp;RIGHT("000000"&amp;938,6),LdAKeyM,0),"")</f>
        <v/>
      </c>
      <c r="M954">
        <f>IFERROR(MATCH($C$5&amp;"|"&amp;RIGHT("000000"&amp;938,6),LdBKeyM,0),"")</f>
        <v/>
      </c>
      <c r="N954">
        <f>IFERROR(MATCH($C$5&amp;"|"&amp;RIGHT("000000"&amp;938,6),LdCKeyM,0),"")</f>
        <v/>
      </c>
    </row>
    <row r="955">
      <c r="A955" s="10" t="n">
        <v>939</v>
      </c>
      <c r="B955" s="14">
        <f>IF(AND($L955="",$M955="",$N955=""),"",IF($L955&lt;&gt;"",INDEX(LdADate,$L955),IF($M955&lt;&gt;"",INDEX(LdBDate,$M955),INDEX(LdCDate,$N955))))</f>
        <v/>
      </c>
      <c r="C955" s="14">
        <f>IF($L955&lt;&gt;"","دستمزد (فردی)",IF($M955&lt;&gt;"","سهم از گروه "&amp;IFERROR(VLOOKUP(INDEX(LdBGroup,$M955),WGTbl,2,0),INDEX(LdBGroup,$M955)),IF($N955&lt;&gt;"",IF(N(INDEX(LdCDep,$N955))&gt;0,"بازگشت بانکی","پرداخت بانکی"),"")))</f>
        <v/>
      </c>
      <c r="D955" s="14">
        <f>IF($L955&lt;&gt;"",IF(INDEX(LdAId,$L955)="","—",INDEX(LdAId,$L955)),IF($M955&lt;&gt;"",IF(INDEX(LdBId,$M955)="","—",INDEX(LdBId,$M955)),IF($N955&lt;&gt;"",IF(INDEX(LdCBank,$N955)="","—",INDEX(LdCBank,$N955)),"")))</f>
        <v/>
      </c>
      <c r="E955" s="16">
        <f>IF($L955&lt;&gt;"",IF(INDEX(LdAAmt,$L955)=0,"",INDEX(LdAAmt,$L955)),IF($M955&lt;&gt;"",IF(INDEX(LdBAmt,$M955)=0,"",INDEX(LdBAmt,$M955)),IF($N955&lt;&gt;"",IF(INDEX(LdCDep,$N955)=0,"",INDEX(LdCDep,$N955)),"")))</f>
        <v/>
      </c>
      <c r="F955" s="16">
        <f>IF(AND($L955="",$M955="",$N955=""),"",IF($N955="","",IF(INDEX(LdCWit,$N955)=0,"",INDEX(LdCWit,$N955))))</f>
        <v/>
      </c>
      <c r="G955" s="29">
        <f>IF($B955="","",IF($G954="",0,$G954)+IF($E955="",0,$E955)-IF($F955="",0,$F955))</f>
        <v/>
      </c>
      <c r="H955" s="30">
        <f>IF(AND($L955="",$M955="",$N955=""),"",IF($L955&lt;&gt;"",IF(INDEX(LdANote,$L955)="","—",INDEX(LdANote,$L955)),IF($M955&lt;&gt;"",IF(INDEX(LdBNote,$M955)="","—",INDEX(LdBNote,$M955)),IF($N955&lt;&gt;"",IF(INDEX(LdCNote,$N955)="","—",INDEX(LdCNote,$N955)),""))))</f>
        <v/>
      </c>
      <c r="L955">
        <f>IFERROR(MATCH($C$5&amp;"|"&amp;RIGHT("000000"&amp;939,6),LdAKeyM,0),"")</f>
        <v/>
      </c>
      <c r="M955">
        <f>IFERROR(MATCH($C$5&amp;"|"&amp;RIGHT("000000"&amp;939,6),LdBKeyM,0),"")</f>
        <v/>
      </c>
      <c r="N955">
        <f>IFERROR(MATCH($C$5&amp;"|"&amp;RIGHT("000000"&amp;939,6),LdCKeyM,0),"")</f>
        <v/>
      </c>
    </row>
    <row r="956">
      <c r="A956" s="19" t="n">
        <v>940</v>
      </c>
      <c r="B956" s="20">
        <f>IF(AND($L956="",$M956="",$N956=""),"",IF($L956&lt;&gt;"",INDEX(LdADate,$L956),IF($M956&lt;&gt;"",INDEX(LdBDate,$M956),INDEX(LdCDate,$N956))))</f>
        <v/>
      </c>
      <c r="C956" s="20">
        <f>IF($L956&lt;&gt;"","دستمزد (فردی)",IF($M956&lt;&gt;"","سهم از گروه "&amp;IFERROR(VLOOKUP(INDEX(LdBGroup,$M956),WGTbl,2,0),INDEX(LdBGroup,$M956)),IF($N956&lt;&gt;"",IF(N(INDEX(LdCDep,$N956))&gt;0,"بازگشت بانکی","پرداخت بانکی"),"")))</f>
        <v/>
      </c>
      <c r="D956" s="20">
        <f>IF($L956&lt;&gt;"",IF(INDEX(LdAId,$L956)="","—",INDEX(LdAId,$L956)),IF($M956&lt;&gt;"",IF(INDEX(LdBId,$M956)="","—",INDEX(LdBId,$M956)),IF($N956&lt;&gt;"",IF(INDEX(LdCBank,$N956)="","—",INDEX(LdCBank,$N956)),"")))</f>
        <v/>
      </c>
      <c r="E956" s="21">
        <f>IF($L956&lt;&gt;"",IF(INDEX(LdAAmt,$L956)=0,"",INDEX(LdAAmt,$L956)),IF($M956&lt;&gt;"",IF(INDEX(LdBAmt,$M956)=0,"",INDEX(LdBAmt,$M956)),IF($N956&lt;&gt;"",IF(INDEX(LdCDep,$N956)=0,"",INDEX(LdCDep,$N956)),"")))</f>
        <v/>
      </c>
      <c r="F956" s="21">
        <f>IF(AND($L956="",$M956="",$N956=""),"",IF($N956="","",IF(INDEX(LdCWit,$N956)=0,"",INDEX(LdCWit,$N956))))</f>
        <v/>
      </c>
      <c r="G956" s="31">
        <f>IF($B956="","",IF($G955="",0,$G955)+IF($E956="",0,$E956)-IF($F956="",0,$F956))</f>
        <v/>
      </c>
      <c r="H956" s="32">
        <f>IF(AND($L956="",$M956="",$N956=""),"",IF($L956&lt;&gt;"",IF(INDEX(LdANote,$L956)="","—",INDEX(LdANote,$L956)),IF($M956&lt;&gt;"",IF(INDEX(LdBNote,$M956)="","—",INDEX(LdBNote,$M956)),IF($N956&lt;&gt;"",IF(INDEX(LdCNote,$N956)="","—",INDEX(LdCNote,$N956)),""))))</f>
        <v/>
      </c>
      <c r="L956">
        <f>IFERROR(MATCH($C$5&amp;"|"&amp;RIGHT("000000"&amp;940,6),LdAKeyM,0),"")</f>
        <v/>
      </c>
      <c r="M956">
        <f>IFERROR(MATCH($C$5&amp;"|"&amp;RIGHT("000000"&amp;940,6),LdBKeyM,0),"")</f>
        <v/>
      </c>
      <c r="N956">
        <f>IFERROR(MATCH($C$5&amp;"|"&amp;RIGHT("000000"&amp;940,6),LdCKeyM,0),"")</f>
        <v/>
      </c>
    </row>
    <row r="957">
      <c r="A957" s="10" t="n">
        <v>941</v>
      </c>
      <c r="B957" s="14">
        <f>IF(AND($L957="",$M957="",$N957=""),"",IF($L957&lt;&gt;"",INDEX(LdADate,$L957),IF($M957&lt;&gt;"",INDEX(LdBDate,$M957),INDEX(LdCDate,$N957))))</f>
        <v/>
      </c>
      <c r="C957" s="14">
        <f>IF($L957&lt;&gt;"","دستمزد (فردی)",IF($M957&lt;&gt;"","سهم از گروه "&amp;IFERROR(VLOOKUP(INDEX(LdBGroup,$M957),WGTbl,2,0),INDEX(LdBGroup,$M957)),IF($N957&lt;&gt;"",IF(N(INDEX(LdCDep,$N957))&gt;0,"بازگشت بانکی","پرداخت بانکی"),"")))</f>
        <v/>
      </c>
      <c r="D957" s="14">
        <f>IF($L957&lt;&gt;"",IF(INDEX(LdAId,$L957)="","—",INDEX(LdAId,$L957)),IF($M957&lt;&gt;"",IF(INDEX(LdBId,$M957)="","—",INDEX(LdBId,$M957)),IF($N957&lt;&gt;"",IF(INDEX(LdCBank,$N957)="","—",INDEX(LdCBank,$N957)),"")))</f>
        <v/>
      </c>
      <c r="E957" s="16">
        <f>IF($L957&lt;&gt;"",IF(INDEX(LdAAmt,$L957)=0,"",INDEX(LdAAmt,$L957)),IF($M957&lt;&gt;"",IF(INDEX(LdBAmt,$M957)=0,"",INDEX(LdBAmt,$M957)),IF($N957&lt;&gt;"",IF(INDEX(LdCDep,$N957)=0,"",INDEX(LdCDep,$N957)),"")))</f>
        <v/>
      </c>
      <c r="F957" s="16">
        <f>IF(AND($L957="",$M957="",$N957=""),"",IF($N957="","",IF(INDEX(LdCWit,$N957)=0,"",INDEX(LdCWit,$N957))))</f>
        <v/>
      </c>
      <c r="G957" s="29">
        <f>IF($B957="","",IF($G956="",0,$G956)+IF($E957="",0,$E957)-IF($F957="",0,$F957))</f>
        <v/>
      </c>
      <c r="H957" s="30">
        <f>IF(AND($L957="",$M957="",$N957=""),"",IF($L957&lt;&gt;"",IF(INDEX(LdANote,$L957)="","—",INDEX(LdANote,$L957)),IF($M957&lt;&gt;"",IF(INDEX(LdBNote,$M957)="","—",INDEX(LdBNote,$M957)),IF($N957&lt;&gt;"",IF(INDEX(LdCNote,$N957)="","—",INDEX(LdCNote,$N957)),""))))</f>
        <v/>
      </c>
      <c r="L957">
        <f>IFERROR(MATCH($C$5&amp;"|"&amp;RIGHT("000000"&amp;941,6),LdAKeyM,0),"")</f>
        <v/>
      </c>
      <c r="M957">
        <f>IFERROR(MATCH($C$5&amp;"|"&amp;RIGHT("000000"&amp;941,6),LdBKeyM,0),"")</f>
        <v/>
      </c>
      <c r="N957">
        <f>IFERROR(MATCH($C$5&amp;"|"&amp;RIGHT("000000"&amp;941,6),LdCKeyM,0),"")</f>
        <v/>
      </c>
    </row>
    <row r="958">
      <c r="A958" s="19" t="n">
        <v>942</v>
      </c>
      <c r="B958" s="20">
        <f>IF(AND($L958="",$M958="",$N958=""),"",IF($L958&lt;&gt;"",INDEX(LdADate,$L958),IF($M958&lt;&gt;"",INDEX(LdBDate,$M958),INDEX(LdCDate,$N958))))</f>
        <v/>
      </c>
      <c r="C958" s="20">
        <f>IF($L958&lt;&gt;"","دستمزد (فردی)",IF($M958&lt;&gt;"","سهم از گروه "&amp;IFERROR(VLOOKUP(INDEX(LdBGroup,$M958),WGTbl,2,0),INDEX(LdBGroup,$M958)),IF($N958&lt;&gt;"",IF(N(INDEX(LdCDep,$N958))&gt;0,"بازگشت بانکی","پرداخت بانکی"),"")))</f>
        <v/>
      </c>
      <c r="D958" s="20">
        <f>IF($L958&lt;&gt;"",IF(INDEX(LdAId,$L958)="","—",INDEX(LdAId,$L958)),IF($M958&lt;&gt;"",IF(INDEX(LdBId,$M958)="","—",INDEX(LdBId,$M958)),IF($N958&lt;&gt;"",IF(INDEX(LdCBank,$N958)="","—",INDEX(LdCBank,$N958)),"")))</f>
        <v/>
      </c>
      <c r="E958" s="21">
        <f>IF($L958&lt;&gt;"",IF(INDEX(LdAAmt,$L958)=0,"",INDEX(LdAAmt,$L958)),IF($M958&lt;&gt;"",IF(INDEX(LdBAmt,$M958)=0,"",INDEX(LdBAmt,$M958)),IF($N958&lt;&gt;"",IF(INDEX(LdCDep,$N958)=0,"",INDEX(LdCDep,$N958)),"")))</f>
        <v/>
      </c>
      <c r="F958" s="21">
        <f>IF(AND($L958="",$M958="",$N958=""),"",IF($N958="","",IF(INDEX(LdCWit,$N958)=0,"",INDEX(LdCWit,$N958))))</f>
        <v/>
      </c>
      <c r="G958" s="31">
        <f>IF($B958="","",IF($G957="",0,$G957)+IF($E958="",0,$E958)-IF($F958="",0,$F958))</f>
        <v/>
      </c>
      <c r="H958" s="32">
        <f>IF(AND($L958="",$M958="",$N958=""),"",IF($L958&lt;&gt;"",IF(INDEX(LdANote,$L958)="","—",INDEX(LdANote,$L958)),IF($M958&lt;&gt;"",IF(INDEX(LdBNote,$M958)="","—",INDEX(LdBNote,$M958)),IF($N958&lt;&gt;"",IF(INDEX(LdCNote,$N958)="","—",INDEX(LdCNote,$N958)),""))))</f>
        <v/>
      </c>
      <c r="L958">
        <f>IFERROR(MATCH($C$5&amp;"|"&amp;RIGHT("000000"&amp;942,6),LdAKeyM,0),"")</f>
        <v/>
      </c>
      <c r="M958">
        <f>IFERROR(MATCH($C$5&amp;"|"&amp;RIGHT("000000"&amp;942,6),LdBKeyM,0),"")</f>
        <v/>
      </c>
      <c r="N958">
        <f>IFERROR(MATCH($C$5&amp;"|"&amp;RIGHT("000000"&amp;942,6),LdCKeyM,0),"")</f>
        <v/>
      </c>
    </row>
    <row r="959">
      <c r="A959" s="10" t="n">
        <v>943</v>
      </c>
      <c r="B959" s="14">
        <f>IF(AND($L959="",$M959="",$N959=""),"",IF($L959&lt;&gt;"",INDEX(LdADate,$L959),IF($M959&lt;&gt;"",INDEX(LdBDate,$M959),INDEX(LdCDate,$N959))))</f>
        <v/>
      </c>
      <c r="C959" s="14">
        <f>IF($L959&lt;&gt;"","دستمزد (فردی)",IF($M959&lt;&gt;"","سهم از گروه "&amp;IFERROR(VLOOKUP(INDEX(LdBGroup,$M959),WGTbl,2,0),INDEX(LdBGroup,$M959)),IF($N959&lt;&gt;"",IF(N(INDEX(LdCDep,$N959))&gt;0,"بازگشت بانکی","پرداخت بانکی"),"")))</f>
        <v/>
      </c>
      <c r="D959" s="14">
        <f>IF($L959&lt;&gt;"",IF(INDEX(LdAId,$L959)="","—",INDEX(LdAId,$L959)),IF($M959&lt;&gt;"",IF(INDEX(LdBId,$M959)="","—",INDEX(LdBId,$M959)),IF($N959&lt;&gt;"",IF(INDEX(LdCBank,$N959)="","—",INDEX(LdCBank,$N959)),"")))</f>
        <v/>
      </c>
      <c r="E959" s="16">
        <f>IF($L959&lt;&gt;"",IF(INDEX(LdAAmt,$L959)=0,"",INDEX(LdAAmt,$L959)),IF($M959&lt;&gt;"",IF(INDEX(LdBAmt,$M959)=0,"",INDEX(LdBAmt,$M959)),IF($N959&lt;&gt;"",IF(INDEX(LdCDep,$N959)=0,"",INDEX(LdCDep,$N959)),"")))</f>
        <v/>
      </c>
      <c r="F959" s="16">
        <f>IF(AND($L959="",$M959="",$N959=""),"",IF($N959="","",IF(INDEX(LdCWit,$N959)=0,"",INDEX(LdCWit,$N959))))</f>
        <v/>
      </c>
      <c r="G959" s="29">
        <f>IF($B959="","",IF($G958="",0,$G958)+IF($E959="",0,$E959)-IF($F959="",0,$F959))</f>
        <v/>
      </c>
      <c r="H959" s="30">
        <f>IF(AND($L959="",$M959="",$N959=""),"",IF($L959&lt;&gt;"",IF(INDEX(LdANote,$L959)="","—",INDEX(LdANote,$L959)),IF($M959&lt;&gt;"",IF(INDEX(LdBNote,$M959)="","—",INDEX(LdBNote,$M959)),IF($N959&lt;&gt;"",IF(INDEX(LdCNote,$N959)="","—",INDEX(LdCNote,$N959)),""))))</f>
        <v/>
      </c>
      <c r="L959">
        <f>IFERROR(MATCH($C$5&amp;"|"&amp;RIGHT("000000"&amp;943,6),LdAKeyM,0),"")</f>
        <v/>
      </c>
      <c r="M959">
        <f>IFERROR(MATCH($C$5&amp;"|"&amp;RIGHT("000000"&amp;943,6),LdBKeyM,0),"")</f>
        <v/>
      </c>
      <c r="N959">
        <f>IFERROR(MATCH($C$5&amp;"|"&amp;RIGHT("000000"&amp;943,6),LdCKeyM,0),"")</f>
        <v/>
      </c>
    </row>
    <row r="960">
      <c r="A960" s="19" t="n">
        <v>944</v>
      </c>
      <c r="B960" s="20">
        <f>IF(AND($L960="",$M960="",$N960=""),"",IF($L960&lt;&gt;"",INDEX(LdADate,$L960),IF($M960&lt;&gt;"",INDEX(LdBDate,$M960),INDEX(LdCDate,$N960))))</f>
        <v/>
      </c>
      <c r="C960" s="20">
        <f>IF($L960&lt;&gt;"","دستمزد (فردی)",IF($M960&lt;&gt;"","سهم از گروه "&amp;IFERROR(VLOOKUP(INDEX(LdBGroup,$M960),WGTbl,2,0),INDEX(LdBGroup,$M960)),IF($N960&lt;&gt;"",IF(N(INDEX(LdCDep,$N960))&gt;0,"بازگشت بانکی","پرداخت بانکی"),"")))</f>
        <v/>
      </c>
      <c r="D960" s="20">
        <f>IF($L960&lt;&gt;"",IF(INDEX(LdAId,$L960)="","—",INDEX(LdAId,$L960)),IF($M960&lt;&gt;"",IF(INDEX(LdBId,$M960)="","—",INDEX(LdBId,$M960)),IF($N960&lt;&gt;"",IF(INDEX(LdCBank,$N960)="","—",INDEX(LdCBank,$N960)),"")))</f>
        <v/>
      </c>
      <c r="E960" s="21">
        <f>IF($L960&lt;&gt;"",IF(INDEX(LdAAmt,$L960)=0,"",INDEX(LdAAmt,$L960)),IF($M960&lt;&gt;"",IF(INDEX(LdBAmt,$M960)=0,"",INDEX(LdBAmt,$M960)),IF($N960&lt;&gt;"",IF(INDEX(LdCDep,$N960)=0,"",INDEX(LdCDep,$N960)),"")))</f>
        <v/>
      </c>
      <c r="F960" s="21">
        <f>IF(AND($L960="",$M960="",$N960=""),"",IF($N960="","",IF(INDEX(LdCWit,$N960)=0,"",INDEX(LdCWit,$N960))))</f>
        <v/>
      </c>
      <c r="G960" s="31">
        <f>IF($B960="","",IF($G959="",0,$G959)+IF($E960="",0,$E960)-IF($F960="",0,$F960))</f>
        <v/>
      </c>
      <c r="H960" s="32">
        <f>IF(AND($L960="",$M960="",$N960=""),"",IF($L960&lt;&gt;"",IF(INDEX(LdANote,$L960)="","—",INDEX(LdANote,$L960)),IF($M960&lt;&gt;"",IF(INDEX(LdBNote,$M960)="","—",INDEX(LdBNote,$M960)),IF($N960&lt;&gt;"",IF(INDEX(LdCNote,$N960)="","—",INDEX(LdCNote,$N960)),""))))</f>
        <v/>
      </c>
      <c r="L960">
        <f>IFERROR(MATCH($C$5&amp;"|"&amp;RIGHT("000000"&amp;944,6),LdAKeyM,0),"")</f>
        <v/>
      </c>
      <c r="M960">
        <f>IFERROR(MATCH($C$5&amp;"|"&amp;RIGHT("000000"&amp;944,6),LdBKeyM,0),"")</f>
        <v/>
      </c>
      <c r="N960">
        <f>IFERROR(MATCH($C$5&amp;"|"&amp;RIGHT("000000"&amp;944,6),LdCKeyM,0),"")</f>
        <v/>
      </c>
    </row>
    <row r="961">
      <c r="A961" s="10" t="n">
        <v>945</v>
      </c>
      <c r="B961" s="14">
        <f>IF(AND($L961="",$M961="",$N961=""),"",IF($L961&lt;&gt;"",INDEX(LdADate,$L961),IF($M961&lt;&gt;"",INDEX(LdBDate,$M961),INDEX(LdCDate,$N961))))</f>
        <v/>
      </c>
      <c r="C961" s="14">
        <f>IF($L961&lt;&gt;"","دستمزد (فردی)",IF($M961&lt;&gt;"","سهم از گروه "&amp;IFERROR(VLOOKUP(INDEX(LdBGroup,$M961),WGTbl,2,0),INDEX(LdBGroup,$M961)),IF($N961&lt;&gt;"",IF(N(INDEX(LdCDep,$N961))&gt;0,"بازگشت بانکی","پرداخت بانکی"),"")))</f>
        <v/>
      </c>
      <c r="D961" s="14">
        <f>IF($L961&lt;&gt;"",IF(INDEX(LdAId,$L961)="","—",INDEX(LdAId,$L961)),IF($M961&lt;&gt;"",IF(INDEX(LdBId,$M961)="","—",INDEX(LdBId,$M961)),IF($N961&lt;&gt;"",IF(INDEX(LdCBank,$N961)="","—",INDEX(LdCBank,$N961)),"")))</f>
        <v/>
      </c>
      <c r="E961" s="16">
        <f>IF($L961&lt;&gt;"",IF(INDEX(LdAAmt,$L961)=0,"",INDEX(LdAAmt,$L961)),IF($M961&lt;&gt;"",IF(INDEX(LdBAmt,$M961)=0,"",INDEX(LdBAmt,$M961)),IF($N961&lt;&gt;"",IF(INDEX(LdCDep,$N961)=0,"",INDEX(LdCDep,$N961)),"")))</f>
        <v/>
      </c>
      <c r="F961" s="16">
        <f>IF(AND($L961="",$M961="",$N961=""),"",IF($N961="","",IF(INDEX(LdCWit,$N961)=0,"",INDEX(LdCWit,$N961))))</f>
        <v/>
      </c>
      <c r="G961" s="29">
        <f>IF($B961="","",IF($G960="",0,$G960)+IF($E961="",0,$E961)-IF($F961="",0,$F961))</f>
        <v/>
      </c>
      <c r="H961" s="30">
        <f>IF(AND($L961="",$M961="",$N961=""),"",IF($L961&lt;&gt;"",IF(INDEX(LdANote,$L961)="","—",INDEX(LdANote,$L961)),IF($M961&lt;&gt;"",IF(INDEX(LdBNote,$M961)="","—",INDEX(LdBNote,$M961)),IF($N961&lt;&gt;"",IF(INDEX(LdCNote,$N961)="","—",INDEX(LdCNote,$N961)),""))))</f>
        <v/>
      </c>
      <c r="L961">
        <f>IFERROR(MATCH($C$5&amp;"|"&amp;RIGHT("000000"&amp;945,6),LdAKeyM,0),"")</f>
        <v/>
      </c>
      <c r="M961">
        <f>IFERROR(MATCH($C$5&amp;"|"&amp;RIGHT("000000"&amp;945,6),LdBKeyM,0),"")</f>
        <v/>
      </c>
      <c r="N961">
        <f>IFERROR(MATCH($C$5&amp;"|"&amp;RIGHT("000000"&amp;945,6),LdCKeyM,0),"")</f>
        <v/>
      </c>
    </row>
    <row r="962">
      <c r="A962" s="19" t="n">
        <v>946</v>
      </c>
      <c r="B962" s="20">
        <f>IF(AND($L962="",$M962="",$N962=""),"",IF($L962&lt;&gt;"",INDEX(LdADate,$L962),IF($M962&lt;&gt;"",INDEX(LdBDate,$M962),INDEX(LdCDate,$N962))))</f>
        <v/>
      </c>
      <c r="C962" s="20">
        <f>IF($L962&lt;&gt;"","دستمزد (فردی)",IF($M962&lt;&gt;"","سهم از گروه "&amp;IFERROR(VLOOKUP(INDEX(LdBGroup,$M962),WGTbl,2,0),INDEX(LdBGroup,$M962)),IF($N962&lt;&gt;"",IF(N(INDEX(LdCDep,$N962))&gt;0,"بازگشت بانکی","پرداخت بانکی"),"")))</f>
        <v/>
      </c>
      <c r="D962" s="20">
        <f>IF($L962&lt;&gt;"",IF(INDEX(LdAId,$L962)="","—",INDEX(LdAId,$L962)),IF($M962&lt;&gt;"",IF(INDEX(LdBId,$M962)="","—",INDEX(LdBId,$M962)),IF($N962&lt;&gt;"",IF(INDEX(LdCBank,$N962)="","—",INDEX(LdCBank,$N962)),"")))</f>
        <v/>
      </c>
      <c r="E962" s="21">
        <f>IF($L962&lt;&gt;"",IF(INDEX(LdAAmt,$L962)=0,"",INDEX(LdAAmt,$L962)),IF($M962&lt;&gt;"",IF(INDEX(LdBAmt,$M962)=0,"",INDEX(LdBAmt,$M962)),IF($N962&lt;&gt;"",IF(INDEX(LdCDep,$N962)=0,"",INDEX(LdCDep,$N962)),"")))</f>
        <v/>
      </c>
      <c r="F962" s="21">
        <f>IF(AND($L962="",$M962="",$N962=""),"",IF($N962="","",IF(INDEX(LdCWit,$N962)=0,"",INDEX(LdCWit,$N962))))</f>
        <v/>
      </c>
      <c r="G962" s="31">
        <f>IF($B962="","",IF($G961="",0,$G961)+IF($E962="",0,$E962)-IF($F962="",0,$F962))</f>
        <v/>
      </c>
      <c r="H962" s="32">
        <f>IF(AND($L962="",$M962="",$N962=""),"",IF($L962&lt;&gt;"",IF(INDEX(LdANote,$L962)="","—",INDEX(LdANote,$L962)),IF($M962&lt;&gt;"",IF(INDEX(LdBNote,$M962)="","—",INDEX(LdBNote,$M962)),IF($N962&lt;&gt;"",IF(INDEX(LdCNote,$N962)="","—",INDEX(LdCNote,$N962)),""))))</f>
        <v/>
      </c>
      <c r="L962">
        <f>IFERROR(MATCH($C$5&amp;"|"&amp;RIGHT("000000"&amp;946,6),LdAKeyM,0),"")</f>
        <v/>
      </c>
      <c r="M962">
        <f>IFERROR(MATCH($C$5&amp;"|"&amp;RIGHT("000000"&amp;946,6),LdBKeyM,0),"")</f>
        <v/>
      </c>
      <c r="N962">
        <f>IFERROR(MATCH($C$5&amp;"|"&amp;RIGHT("000000"&amp;946,6),LdCKeyM,0),"")</f>
        <v/>
      </c>
    </row>
    <row r="963">
      <c r="A963" s="10" t="n">
        <v>947</v>
      </c>
      <c r="B963" s="14">
        <f>IF(AND($L963="",$M963="",$N963=""),"",IF($L963&lt;&gt;"",INDEX(LdADate,$L963),IF($M963&lt;&gt;"",INDEX(LdBDate,$M963),INDEX(LdCDate,$N963))))</f>
        <v/>
      </c>
      <c r="C963" s="14">
        <f>IF($L963&lt;&gt;"","دستمزد (فردی)",IF($M963&lt;&gt;"","سهم از گروه "&amp;IFERROR(VLOOKUP(INDEX(LdBGroup,$M963),WGTbl,2,0),INDEX(LdBGroup,$M963)),IF($N963&lt;&gt;"",IF(N(INDEX(LdCDep,$N963))&gt;0,"بازگشت بانکی","پرداخت بانکی"),"")))</f>
        <v/>
      </c>
      <c r="D963" s="14">
        <f>IF($L963&lt;&gt;"",IF(INDEX(LdAId,$L963)="","—",INDEX(LdAId,$L963)),IF($M963&lt;&gt;"",IF(INDEX(LdBId,$M963)="","—",INDEX(LdBId,$M963)),IF($N963&lt;&gt;"",IF(INDEX(LdCBank,$N963)="","—",INDEX(LdCBank,$N963)),"")))</f>
        <v/>
      </c>
      <c r="E963" s="16">
        <f>IF($L963&lt;&gt;"",IF(INDEX(LdAAmt,$L963)=0,"",INDEX(LdAAmt,$L963)),IF($M963&lt;&gt;"",IF(INDEX(LdBAmt,$M963)=0,"",INDEX(LdBAmt,$M963)),IF($N963&lt;&gt;"",IF(INDEX(LdCDep,$N963)=0,"",INDEX(LdCDep,$N963)),"")))</f>
        <v/>
      </c>
      <c r="F963" s="16">
        <f>IF(AND($L963="",$M963="",$N963=""),"",IF($N963="","",IF(INDEX(LdCWit,$N963)=0,"",INDEX(LdCWit,$N963))))</f>
        <v/>
      </c>
      <c r="G963" s="29">
        <f>IF($B963="","",IF($G962="",0,$G962)+IF($E963="",0,$E963)-IF($F963="",0,$F963))</f>
        <v/>
      </c>
      <c r="H963" s="30">
        <f>IF(AND($L963="",$M963="",$N963=""),"",IF($L963&lt;&gt;"",IF(INDEX(LdANote,$L963)="","—",INDEX(LdANote,$L963)),IF($M963&lt;&gt;"",IF(INDEX(LdBNote,$M963)="","—",INDEX(LdBNote,$M963)),IF($N963&lt;&gt;"",IF(INDEX(LdCNote,$N963)="","—",INDEX(LdCNote,$N963)),""))))</f>
        <v/>
      </c>
      <c r="L963">
        <f>IFERROR(MATCH($C$5&amp;"|"&amp;RIGHT("000000"&amp;947,6),LdAKeyM,0),"")</f>
        <v/>
      </c>
      <c r="M963">
        <f>IFERROR(MATCH($C$5&amp;"|"&amp;RIGHT("000000"&amp;947,6),LdBKeyM,0),"")</f>
        <v/>
      </c>
      <c r="N963">
        <f>IFERROR(MATCH($C$5&amp;"|"&amp;RIGHT("000000"&amp;947,6),LdCKeyM,0),"")</f>
        <v/>
      </c>
    </row>
    <row r="964">
      <c r="A964" s="19" t="n">
        <v>948</v>
      </c>
      <c r="B964" s="20">
        <f>IF(AND($L964="",$M964="",$N964=""),"",IF($L964&lt;&gt;"",INDEX(LdADate,$L964),IF($M964&lt;&gt;"",INDEX(LdBDate,$M964),INDEX(LdCDate,$N964))))</f>
        <v/>
      </c>
      <c r="C964" s="20">
        <f>IF($L964&lt;&gt;"","دستمزد (فردی)",IF($M964&lt;&gt;"","سهم از گروه "&amp;IFERROR(VLOOKUP(INDEX(LdBGroup,$M964),WGTbl,2,0),INDEX(LdBGroup,$M964)),IF($N964&lt;&gt;"",IF(N(INDEX(LdCDep,$N964))&gt;0,"بازگشت بانکی","پرداخت بانکی"),"")))</f>
        <v/>
      </c>
      <c r="D964" s="20">
        <f>IF($L964&lt;&gt;"",IF(INDEX(LdAId,$L964)="","—",INDEX(LdAId,$L964)),IF($M964&lt;&gt;"",IF(INDEX(LdBId,$M964)="","—",INDEX(LdBId,$M964)),IF($N964&lt;&gt;"",IF(INDEX(LdCBank,$N964)="","—",INDEX(LdCBank,$N964)),"")))</f>
        <v/>
      </c>
      <c r="E964" s="21">
        <f>IF($L964&lt;&gt;"",IF(INDEX(LdAAmt,$L964)=0,"",INDEX(LdAAmt,$L964)),IF($M964&lt;&gt;"",IF(INDEX(LdBAmt,$M964)=0,"",INDEX(LdBAmt,$M964)),IF($N964&lt;&gt;"",IF(INDEX(LdCDep,$N964)=0,"",INDEX(LdCDep,$N964)),"")))</f>
        <v/>
      </c>
      <c r="F964" s="21">
        <f>IF(AND($L964="",$M964="",$N964=""),"",IF($N964="","",IF(INDEX(LdCWit,$N964)=0,"",INDEX(LdCWit,$N964))))</f>
        <v/>
      </c>
      <c r="G964" s="31">
        <f>IF($B964="","",IF($G963="",0,$G963)+IF($E964="",0,$E964)-IF($F964="",0,$F964))</f>
        <v/>
      </c>
      <c r="H964" s="32">
        <f>IF(AND($L964="",$M964="",$N964=""),"",IF($L964&lt;&gt;"",IF(INDEX(LdANote,$L964)="","—",INDEX(LdANote,$L964)),IF($M964&lt;&gt;"",IF(INDEX(LdBNote,$M964)="","—",INDEX(LdBNote,$M964)),IF($N964&lt;&gt;"",IF(INDEX(LdCNote,$N964)="","—",INDEX(LdCNote,$N964)),""))))</f>
        <v/>
      </c>
      <c r="L964">
        <f>IFERROR(MATCH($C$5&amp;"|"&amp;RIGHT("000000"&amp;948,6),LdAKeyM,0),"")</f>
        <v/>
      </c>
      <c r="M964">
        <f>IFERROR(MATCH($C$5&amp;"|"&amp;RIGHT("000000"&amp;948,6),LdBKeyM,0),"")</f>
        <v/>
      </c>
      <c r="N964">
        <f>IFERROR(MATCH($C$5&amp;"|"&amp;RIGHT("000000"&amp;948,6),LdCKeyM,0),"")</f>
        <v/>
      </c>
    </row>
    <row r="965">
      <c r="A965" s="10" t="n">
        <v>949</v>
      </c>
      <c r="B965" s="14">
        <f>IF(AND($L965="",$M965="",$N965=""),"",IF($L965&lt;&gt;"",INDEX(LdADate,$L965),IF($M965&lt;&gt;"",INDEX(LdBDate,$M965),INDEX(LdCDate,$N965))))</f>
        <v/>
      </c>
      <c r="C965" s="14">
        <f>IF($L965&lt;&gt;"","دستمزد (فردی)",IF($M965&lt;&gt;"","سهم از گروه "&amp;IFERROR(VLOOKUP(INDEX(LdBGroup,$M965),WGTbl,2,0),INDEX(LdBGroup,$M965)),IF($N965&lt;&gt;"",IF(N(INDEX(LdCDep,$N965))&gt;0,"بازگشت بانکی","پرداخت بانکی"),"")))</f>
        <v/>
      </c>
      <c r="D965" s="14">
        <f>IF($L965&lt;&gt;"",IF(INDEX(LdAId,$L965)="","—",INDEX(LdAId,$L965)),IF($M965&lt;&gt;"",IF(INDEX(LdBId,$M965)="","—",INDEX(LdBId,$M965)),IF($N965&lt;&gt;"",IF(INDEX(LdCBank,$N965)="","—",INDEX(LdCBank,$N965)),"")))</f>
        <v/>
      </c>
      <c r="E965" s="16">
        <f>IF($L965&lt;&gt;"",IF(INDEX(LdAAmt,$L965)=0,"",INDEX(LdAAmt,$L965)),IF($M965&lt;&gt;"",IF(INDEX(LdBAmt,$M965)=0,"",INDEX(LdBAmt,$M965)),IF($N965&lt;&gt;"",IF(INDEX(LdCDep,$N965)=0,"",INDEX(LdCDep,$N965)),"")))</f>
        <v/>
      </c>
      <c r="F965" s="16">
        <f>IF(AND($L965="",$M965="",$N965=""),"",IF($N965="","",IF(INDEX(LdCWit,$N965)=0,"",INDEX(LdCWit,$N965))))</f>
        <v/>
      </c>
      <c r="G965" s="29">
        <f>IF($B965="","",IF($G964="",0,$G964)+IF($E965="",0,$E965)-IF($F965="",0,$F965))</f>
        <v/>
      </c>
      <c r="H965" s="30">
        <f>IF(AND($L965="",$M965="",$N965=""),"",IF($L965&lt;&gt;"",IF(INDEX(LdANote,$L965)="","—",INDEX(LdANote,$L965)),IF($M965&lt;&gt;"",IF(INDEX(LdBNote,$M965)="","—",INDEX(LdBNote,$M965)),IF($N965&lt;&gt;"",IF(INDEX(LdCNote,$N965)="","—",INDEX(LdCNote,$N965)),""))))</f>
        <v/>
      </c>
      <c r="L965">
        <f>IFERROR(MATCH($C$5&amp;"|"&amp;RIGHT("000000"&amp;949,6),LdAKeyM,0),"")</f>
        <v/>
      </c>
      <c r="M965">
        <f>IFERROR(MATCH($C$5&amp;"|"&amp;RIGHT("000000"&amp;949,6),LdBKeyM,0),"")</f>
        <v/>
      </c>
      <c r="N965">
        <f>IFERROR(MATCH($C$5&amp;"|"&amp;RIGHT("000000"&amp;949,6),LdCKeyM,0),"")</f>
        <v/>
      </c>
    </row>
    <row r="966">
      <c r="A966" s="19" t="n">
        <v>950</v>
      </c>
      <c r="B966" s="20">
        <f>IF(AND($L966="",$M966="",$N966=""),"",IF($L966&lt;&gt;"",INDEX(LdADate,$L966),IF($M966&lt;&gt;"",INDEX(LdBDate,$M966),INDEX(LdCDate,$N966))))</f>
        <v/>
      </c>
      <c r="C966" s="20">
        <f>IF($L966&lt;&gt;"","دستمزد (فردی)",IF($M966&lt;&gt;"","سهم از گروه "&amp;IFERROR(VLOOKUP(INDEX(LdBGroup,$M966),WGTbl,2,0),INDEX(LdBGroup,$M966)),IF($N966&lt;&gt;"",IF(N(INDEX(LdCDep,$N966))&gt;0,"بازگشت بانکی","پرداخت بانکی"),"")))</f>
        <v/>
      </c>
      <c r="D966" s="20">
        <f>IF($L966&lt;&gt;"",IF(INDEX(LdAId,$L966)="","—",INDEX(LdAId,$L966)),IF($M966&lt;&gt;"",IF(INDEX(LdBId,$M966)="","—",INDEX(LdBId,$M966)),IF($N966&lt;&gt;"",IF(INDEX(LdCBank,$N966)="","—",INDEX(LdCBank,$N966)),"")))</f>
        <v/>
      </c>
      <c r="E966" s="21">
        <f>IF($L966&lt;&gt;"",IF(INDEX(LdAAmt,$L966)=0,"",INDEX(LdAAmt,$L966)),IF($M966&lt;&gt;"",IF(INDEX(LdBAmt,$M966)=0,"",INDEX(LdBAmt,$M966)),IF($N966&lt;&gt;"",IF(INDEX(LdCDep,$N966)=0,"",INDEX(LdCDep,$N966)),"")))</f>
        <v/>
      </c>
      <c r="F966" s="21">
        <f>IF(AND($L966="",$M966="",$N966=""),"",IF($N966="","",IF(INDEX(LdCWit,$N966)=0,"",INDEX(LdCWit,$N966))))</f>
        <v/>
      </c>
      <c r="G966" s="31">
        <f>IF($B966="","",IF($G965="",0,$G965)+IF($E966="",0,$E966)-IF($F966="",0,$F966))</f>
        <v/>
      </c>
      <c r="H966" s="32">
        <f>IF(AND($L966="",$M966="",$N966=""),"",IF($L966&lt;&gt;"",IF(INDEX(LdANote,$L966)="","—",INDEX(LdANote,$L966)),IF($M966&lt;&gt;"",IF(INDEX(LdBNote,$M966)="","—",INDEX(LdBNote,$M966)),IF($N966&lt;&gt;"",IF(INDEX(LdCNote,$N966)="","—",INDEX(LdCNote,$N966)),""))))</f>
        <v/>
      </c>
      <c r="L966">
        <f>IFERROR(MATCH($C$5&amp;"|"&amp;RIGHT("000000"&amp;950,6),LdAKeyM,0),"")</f>
        <v/>
      </c>
      <c r="M966">
        <f>IFERROR(MATCH($C$5&amp;"|"&amp;RIGHT("000000"&amp;950,6),LdBKeyM,0),"")</f>
        <v/>
      </c>
      <c r="N966">
        <f>IFERROR(MATCH($C$5&amp;"|"&amp;RIGHT("000000"&amp;950,6),LdCKeyM,0),"")</f>
        <v/>
      </c>
    </row>
    <row r="967">
      <c r="A967" s="10" t="n">
        <v>951</v>
      </c>
      <c r="B967" s="14">
        <f>IF(AND($L967="",$M967="",$N967=""),"",IF($L967&lt;&gt;"",INDEX(LdADate,$L967),IF($M967&lt;&gt;"",INDEX(LdBDate,$M967),INDEX(LdCDate,$N967))))</f>
        <v/>
      </c>
      <c r="C967" s="14">
        <f>IF($L967&lt;&gt;"","دستمزد (فردی)",IF($M967&lt;&gt;"","سهم از گروه "&amp;IFERROR(VLOOKUP(INDEX(LdBGroup,$M967),WGTbl,2,0),INDEX(LdBGroup,$M967)),IF($N967&lt;&gt;"",IF(N(INDEX(LdCDep,$N967))&gt;0,"بازگشت بانکی","پرداخت بانکی"),"")))</f>
        <v/>
      </c>
      <c r="D967" s="14">
        <f>IF($L967&lt;&gt;"",IF(INDEX(LdAId,$L967)="","—",INDEX(LdAId,$L967)),IF($M967&lt;&gt;"",IF(INDEX(LdBId,$M967)="","—",INDEX(LdBId,$M967)),IF($N967&lt;&gt;"",IF(INDEX(LdCBank,$N967)="","—",INDEX(LdCBank,$N967)),"")))</f>
        <v/>
      </c>
      <c r="E967" s="16">
        <f>IF($L967&lt;&gt;"",IF(INDEX(LdAAmt,$L967)=0,"",INDEX(LdAAmt,$L967)),IF($M967&lt;&gt;"",IF(INDEX(LdBAmt,$M967)=0,"",INDEX(LdBAmt,$M967)),IF($N967&lt;&gt;"",IF(INDEX(LdCDep,$N967)=0,"",INDEX(LdCDep,$N967)),"")))</f>
        <v/>
      </c>
      <c r="F967" s="16">
        <f>IF(AND($L967="",$M967="",$N967=""),"",IF($N967="","",IF(INDEX(LdCWit,$N967)=0,"",INDEX(LdCWit,$N967))))</f>
        <v/>
      </c>
      <c r="G967" s="29">
        <f>IF($B967="","",IF($G966="",0,$G966)+IF($E967="",0,$E967)-IF($F967="",0,$F967))</f>
        <v/>
      </c>
      <c r="H967" s="30">
        <f>IF(AND($L967="",$M967="",$N967=""),"",IF($L967&lt;&gt;"",IF(INDEX(LdANote,$L967)="","—",INDEX(LdANote,$L967)),IF($M967&lt;&gt;"",IF(INDEX(LdBNote,$M967)="","—",INDEX(LdBNote,$M967)),IF($N967&lt;&gt;"",IF(INDEX(LdCNote,$N967)="","—",INDEX(LdCNote,$N967)),""))))</f>
        <v/>
      </c>
      <c r="L967">
        <f>IFERROR(MATCH($C$5&amp;"|"&amp;RIGHT("000000"&amp;951,6),LdAKeyM,0),"")</f>
        <v/>
      </c>
      <c r="M967">
        <f>IFERROR(MATCH($C$5&amp;"|"&amp;RIGHT("000000"&amp;951,6),LdBKeyM,0),"")</f>
        <v/>
      </c>
      <c r="N967">
        <f>IFERROR(MATCH($C$5&amp;"|"&amp;RIGHT("000000"&amp;951,6),LdCKeyM,0),"")</f>
        <v/>
      </c>
    </row>
    <row r="968">
      <c r="A968" s="19" t="n">
        <v>952</v>
      </c>
      <c r="B968" s="20">
        <f>IF(AND($L968="",$M968="",$N968=""),"",IF($L968&lt;&gt;"",INDEX(LdADate,$L968),IF($M968&lt;&gt;"",INDEX(LdBDate,$M968),INDEX(LdCDate,$N968))))</f>
        <v/>
      </c>
      <c r="C968" s="20">
        <f>IF($L968&lt;&gt;"","دستمزد (فردی)",IF($M968&lt;&gt;"","سهم از گروه "&amp;IFERROR(VLOOKUP(INDEX(LdBGroup,$M968),WGTbl,2,0),INDEX(LdBGroup,$M968)),IF($N968&lt;&gt;"",IF(N(INDEX(LdCDep,$N968))&gt;0,"بازگشت بانکی","پرداخت بانکی"),"")))</f>
        <v/>
      </c>
      <c r="D968" s="20">
        <f>IF($L968&lt;&gt;"",IF(INDEX(LdAId,$L968)="","—",INDEX(LdAId,$L968)),IF($M968&lt;&gt;"",IF(INDEX(LdBId,$M968)="","—",INDEX(LdBId,$M968)),IF($N968&lt;&gt;"",IF(INDEX(LdCBank,$N968)="","—",INDEX(LdCBank,$N968)),"")))</f>
        <v/>
      </c>
      <c r="E968" s="21">
        <f>IF($L968&lt;&gt;"",IF(INDEX(LdAAmt,$L968)=0,"",INDEX(LdAAmt,$L968)),IF($M968&lt;&gt;"",IF(INDEX(LdBAmt,$M968)=0,"",INDEX(LdBAmt,$M968)),IF($N968&lt;&gt;"",IF(INDEX(LdCDep,$N968)=0,"",INDEX(LdCDep,$N968)),"")))</f>
        <v/>
      </c>
      <c r="F968" s="21">
        <f>IF(AND($L968="",$M968="",$N968=""),"",IF($N968="","",IF(INDEX(LdCWit,$N968)=0,"",INDEX(LdCWit,$N968))))</f>
        <v/>
      </c>
      <c r="G968" s="31">
        <f>IF($B968="","",IF($G967="",0,$G967)+IF($E968="",0,$E968)-IF($F968="",0,$F968))</f>
        <v/>
      </c>
      <c r="H968" s="32">
        <f>IF(AND($L968="",$M968="",$N968=""),"",IF($L968&lt;&gt;"",IF(INDEX(LdANote,$L968)="","—",INDEX(LdANote,$L968)),IF($M968&lt;&gt;"",IF(INDEX(LdBNote,$M968)="","—",INDEX(LdBNote,$M968)),IF($N968&lt;&gt;"",IF(INDEX(LdCNote,$N968)="","—",INDEX(LdCNote,$N968)),""))))</f>
        <v/>
      </c>
      <c r="L968">
        <f>IFERROR(MATCH($C$5&amp;"|"&amp;RIGHT("000000"&amp;952,6),LdAKeyM,0),"")</f>
        <v/>
      </c>
      <c r="M968">
        <f>IFERROR(MATCH($C$5&amp;"|"&amp;RIGHT("000000"&amp;952,6),LdBKeyM,0),"")</f>
        <v/>
      </c>
      <c r="N968">
        <f>IFERROR(MATCH($C$5&amp;"|"&amp;RIGHT("000000"&amp;952,6),LdCKeyM,0),"")</f>
        <v/>
      </c>
    </row>
    <row r="969">
      <c r="A969" s="10" t="n">
        <v>953</v>
      </c>
      <c r="B969" s="14">
        <f>IF(AND($L969="",$M969="",$N969=""),"",IF($L969&lt;&gt;"",INDEX(LdADate,$L969),IF($M969&lt;&gt;"",INDEX(LdBDate,$M969),INDEX(LdCDate,$N969))))</f>
        <v/>
      </c>
      <c r="C969" s="14">
        <f>IF($L969&lt;&gt;"","دستمزد (فردی)",IF($M969&lt;&gt;"","سهم از گروه "&amp;IFERROR(VLOOKUP(INDEX(LdBGroup,$M969),WGTbl,2,0),INDEX(LdBGroup,$M969)),IF($N969&lt;&gt;"",IF(N(INDEX(LdCDep,$N969))&gt;0,"بازگشت بانکی","پرداخت بانکی"),"")))</f>
        <v/>
      </c>
      <c r="D969" s="14">
        <f>IF($L969&lt;&gt;"",IF(INDEX(LdAId,$L969)="","—",INDEX(LdAId,$L969)),IF($M969&lt;&gt;"",IF(INDEX(LdBId,$M969)="","—",INDEX(LdBId,$M969)),IF($N969&lt;&gt;"",IF(INDEX(LdCBank,$N969)="","—",INDEX(LdCBank,$N969)),"")))</f>
        <v/>
      </c>
      <c r="E969" s="16">
        <f>IF($L969&lt;&gt;"",IF(INDEX(LdAAmt,$L969)=0,"",INDEX(LdAAmt,$L969)),IF($M969&lt;&gt;"",IF(INDEX(LdBAmt,$M969)=0,"",INDEX(LdBAmt,$M969)),IF($N969&lt;&gt;"",IF(INDEX(LdCDep,$N969)=0,"",INDEX(LdCDep,$N969)),"")))</f>
        <v/>
      </c>
      <c r="F969" s="16">
        <f>IF(AND($L969="",$M969="",$N969=""),"",IF($N969="","",IF(INDEX(LdCWit,$N969)=0,"",INDEX(LdCWit,$N969))))</f>
        <v/>
      </c>
      <c r="G969" s="29">
        <f>IF($B969="","",IF($G968="",0,$G968)+IF($E969="",0,$E969)-IF($F969="",0,$F969))</f>
        <v/>
      </c>
      <c r="H969" s="30">
        <f>IF(AND($L969="",$M969="",$N969=""),"",IF($L969&lt;&gt;"",IF(INDEX(LdANote,$L969)="","—",INDEX(LdANote,$L969)),IF($M969&lt;&gt;"",IF(INDEX(LdBNote,$M969)="","—",INDEX(LdBNote,$M969)),IF($N969&lt;&gt;"",IF(INDEX(LdCNote,$N969)="","—",INDEX(LdCNote,$N969)),""))))</f>
        <v/>
      </c>
      <c r="L969">
        <f>IFERROR(MATCH($C$5&amp;"|"&amp;RIGHT("000000"&amp;953,6),LdAKeyM,0),"")</f>
        <v/>
      </c>
      <c r="M969">
        <f>IFERROR(MATCH($C$5&amp;"|"&amp;RIGHT("000000"&amp;953,6),LdBKeyM,0),"")</f>
        <v/>
      </c>
      <c r="N969">
        <f>IFERROR(MATCH($C$5&amp;"|"&amp;RIGHT("000000"&amp;953,6),LdCKeyM,0),"")</f>
        <v/>
      </c>
    </row>
    <row r="970">
      <c r="A970" s="19" t="n">
        <v>954</v>
      </c>
      <c r="B970" s="20">
        <f>IF(AND($L970="",$M970="",$N970=""),"",IF($L970&lt;&gt;"",INDEX(LdADate,$L970),IF($M970&lt;&gt;"",INDEX(LdBDate,$M970),INDEX(LdCDate,$N970))))</f>
        <v/>
      </c>
      <c r="C970" s="20">
        <f>IF($L970&lt;&gt;"","دستمزد (فردی)",IF($M970&lt;&gt;"","سهم از گروه "&amp;IFERROR(VLOOKUP(INDEX(LdBGroup,$M970),WGTbl,2,0),INDEX(LdBGroup,$M970)),IF($N970&lt;&gt;"",IF(N(INDEX(LdCDep,$N970))&gt;0,"بازگشت بانکی","پرداخت بانکی"),"")))</f>
        <v/>
      </c>
      <c r="D970" s="20">
        <f>IF($L970&lt;&gt;"",IF(INDEX(LdAId,$L970)="","—",INDEX(LdAId,$L970)),IF($M970&lt;&gt;"",IF(INDEX(LdBId,$M970)="","—",INDEX(LdBId,$M970)),IF($N970&lt;&gt;"",IF(INDEX(LdCBank,$N970)="","—",INDEX(LdCBank,$N970)),"")))</f>
        <v/>
      </c>
      <c r="E970" s="21">
        <f>IF($L970&lt;&gt;"",IF(INDEX(LdAAmt,$L970)=0,"",INDEX(LdAAmt,$L970)),IF($M970&lt;&gt;"",IF(INDEX(LdBAmt,$M970)=0,"",INDEX(LdBAmt,$M970)),IF($N970&lt;&gt;"",IF(INDEX(LdCDep,$N970)=0,"",INDEX(LdCDep,$N970)),"")))</f>
        <v/>
      </c>
      <c r="F970" s="21">
        <f>IF(AND($L970="",$M970="",$N970=""),"",IF($N970="","",IF(INDEX(LdCWit,$N970)=0,"",INDEX(LdCWit,$N970))))</f>
        <v/>
      </c>
      <c r="G970" s="31">
        <f>IF($B970="","",IF($G969="",0,$G969)+IF($E970="",0,$E970)-IF($F970="",0,$F970))</f>
        <v/>
      </c>
      <c r="H970" s="32">
        <f>IF(AND($L970="",$M970="",$N970=""),"",IF($L970&lt;&gt;"",IF(INDEX(LdANote,$L970)="","—",INDEX(LdANote,$L970)),IF($M970&lt;&gt;"",IF(INDEX(LdBNote,$M970)="","—",INDEX(LdBNote,$M970)),IF($N970&lt;&gt;"",IF(INDEX(LdCNote,$N970)="","—",INDEX(LdCNote,$N970)),""))))</f>
        <v/>
      </c>
      <c r="L970">
        <f>IFERROR(MATCH($C$5&amp;"|"&amp;RIGHT("000000"&amp;954,6),LdAKeyM,0),"")</f>
        <v/>
      </c>
      <c r="M970">
        <f>IFERROR(MATCH($C$5&amp;"|"&amp;RIGHT("000000"&amp;954,6),LdBKeyM,0),"")</f>
        <v/>
      </c>
      <c r="N970">
        <f>IFERROR(MATCH($C$5&amp;"|"&amp;RIGHT("000000"&amp;954,6),LdCKeyM,0),"")</f>
        <v/>
      </c>
    </row>
    <row r="971">
      <c r="A971" s="10" t="n">
        <v>955</v>
      </c>
      <c r="B971" s="14">
        <f>IF(AND($L971="",$M971="",$N971=""),"",IF($L971&lt;&gt;"",INDEX(LdADate,$L971),IF($M971&lt;&gt;"",INDEX(LdBDate,$M971),INDEX(LdCDate,$N971))))</f>
        <v/>
      </c>
      <c r="C971" s="14">
        <f>IF($L971&lt;&gt;"","دستمزد (فردی)",IF($M971&lt;&gt;"","سهم از گروه "&amp;IFERROR(VLOOKUP(INDEX(LdBGroup,$M971),WGTbl,2,0),INDEX(LdBGroup,$M971)),IF($N971&lt;&gt;"",IF(N(INDEX(LdCDep,$N971))&gt;0,"بازگشت بانکی","پرداخت بانکی"),"")))</f>
        <v/>
      </c>
      <c r="D971" s="14">
        <f>IF($L971&lt;&gt;"",IF(INDEX(LdAId,$L971)="","—",INDEX(LdAId,$L971)),IF($M971&lt;&gt;"",IF(INDEX(LdBId,$M971)="","—",INDEX(LdBId,$M971)),IF($N971&lt;&gt;"",IF(INDEX(LdCBank,$N971)="","—",INDEX(LdCBank,$N971)),"")))</f>
        <v/>
      </c>
      <c r="E971" s="16">
        <f>IF($L971&lt;&gt;"",IF(INDEX(LdAAmt,$L971)=0,"",INDEX(LdAAmt,$L971)),IF($M971&lt;&gt;"",IF(INDEX(LdBAmt,$M971)=0,"",INDEX(LdBAmt,$M971)),IF($N971&lt;&gt;"",IF(INDEX(LdCDep,$N971)=0,"",INDEX(LdCDep,$N971)),"")))</f>
        <v/>
      </c>
      <c r="F971" s="16">
        <f>IF(AND($L971="",$M971="",$N971=""),"",IF($N971="","",IF(INDEX(LdCWit,$N971)=0,"",INDEX(LdCWit,$N971))))</f>
        <v/>
      </c>
      <c r="G971" s="29">
        <f>IF($B971="","",IF($G970="",0,$G970)+IF($E971="",0,$E971)-IF($F971="",0,$F971))</f>
        <v/>
      </c>
      <c r="H971" s="30">
        <f>IF(AND($L971="",$M971="",$N971=""),"",IF($L971&lt;&gt;"",IF(INDEX(LdANote,$L971)="","—",INDEX(LdANote,$L971)),IF($M971&lt;&gt;"",IF(INDEX(LdBNote,$M971)="","—",INDEX(LdBNote,$M971)),IF($N971&lt;&gt;"",IF(INDEX(LdCNote,$N971)="","—",INDEX(LdCNote,$N971)),""))))</f>
        <v/>
      </c>
      <c r="L971">
        <f>IFERROR(MATCH($C$5&amp;"|"&amp;RIGHT("000000"&amp;955,6),LdAKeyM,0),"")</f>
        <v/>
      </c>
      <c r="M971">
        <f>IFERROR(MATCH($C$5&amp;"|"&amp;RIGHT("000000"&amp;955,6),LdBKeyM,0),"")</f>
        <v/>
      </c>
      <c r="N971">
        <f>IFERROR(MATCH($C$5&amp;"|"&amp;RIGHT("000000"&amp;955,6),LdCKeyM,0),"")</f>
        <v/>
      </c>
    </row>
    <row r="972">
      <c r="A972" s="19" t="n">
        <v>956</v>
      </c>
      <c r="B972" s="20">
        <f>IF(AND($L972="",$M972="",$N972=""),"",IF($L972&lt;&gt;"",INDEX(LdADate,$L972),IF($M972&lt;&gt;"",INDEX(LdBDate,$M972),INDEX(LdCDate,$N972))))</f>
        <v/>
      </c>
      <c r="C972" s="20">
        <f>IF($L972&lt;&gt;"","دستمزد (فردی)",IF($M972&lt;&gt;"","سهم از گروه "&amp;IFERROR(VLOOKUP(INDEX(LdBGroup,$M972),WGTbl,2,0),INDEX(LdBGroup,$M972)),IF($N972&lt;&gt;"",IF(N(INDEX(LdCDep,$N972))&gt;0,"بازگشت بانکی","پرداخت بانکی"),"")))</f>
        <v/>
      </c>
      <c r="D972" s="20">
        <f>IF($L972&lt;&gt;"",IF(INDEX(LdAId,$L972)="","—",INDEX(LdAId,$L972)),IF($M972&lt;&gt;"",IF(INDEX(LdBId,$M972)="","—",INDEX(LdBId,$M972)),IF($N972&lt;&gt;"",IF(INDEX(LdCBank,$N972)="","—",INDEX(LdCBank,$N972)),"")))</f>
        <v/>
      </c>
      <c r="E972" s="21">
        <f>IF($L972&lt;&gt;"",IF(INDEX(LdAAmt,$L972)=0,"",INDEX(LdAAmt,$L972)),IF($M972&lt;&gt;"",IF(INDEX(LdBAmt,$M972)=0,"",INDEX(LdBAmt,$M972)),IF($N972&lt;&gt;"",IF(INDEX(LdCDep,$N972)=0,"",INDEX(LdCDep,$N972)),"")))</f>
        <v/>
      </c>
      <c r="F972" s="21">
        <f>IF(AND($L972="",$M972="",$N972=""),"",IF($N972="","",IF(INDEX(LdCWit,$N972)=0,"",INDEX(LdCWit,$N972))))</f>
        <v/>
      </c>
      <c r="G972" s="31">
        <f>IF($B972="","",IF($G971="",0,$G971)+IF($E972="",0,$E972)-IF($F972="",0,$F972))</f>
        <v/>
      </c>
      <c r="H972" s="32">
        <f>IF(AND($L972="",$M972="",$N972=""),"",IF($L972&lt;&gt;"",IF(INDEX(LdANote,$L972)="","—",INDEX(LdANote,$L972)),IF($M972&lt;&gt;"",IF(INDEX(LdBNote,$M972)="","—",INDEX(LdBNote,$M972)),IF($N972&lt;&gt;"",IF(INDEX(LdCNote,$N972)="","—",INDEX(LdCNote,$N972)),""))))</f>
        <v/>
      </c>
      <c r="L972">
        <f>IFERROR(MATCH($C$5&amp;"|"&amp;RIGHT("000000"&amp;956,6),LdAKeyM,0),"")</f>
        <v/>
      </c>
      <c r="M972">
        <f>IFERROR(MATCH($C$5&amp;"|"&amp;RIGHT("000000"&amp;956,6),LdBKeyM,0),"")</f>
        <v/>
      </c>
      <c r="N972">
        <f>IFERROR(MATCH($C$5&amp;"|"&amp;RIGHT("000000"&amp;956,6),LdCKeyM,0),"")</f>
        <v/>
      </c>
    </row>
    <row r="973">
      <c r="A973" s="10" t="n">
        <v>957</v>
      </c>
      <c r="B973" s="14">
        <f>IF(AND($L973="",$M973="",$N973=""),"",IF($L973&lt;&gt;"",INDEX(LdADate,$L973),IF($M973&lt;&gt;"",INDEX(LdBDate,$M973),INDEX(LdCDate,$N973))))</f>
        <v/>
      </c>
      <c r="C973" s="14">
        <f>IF($L973&lt;&gt;"","دستمزد (فردی)",IF($M973&lt;&gt;"","سهم از گروه "&amp;IFERROR(VLOOKUP(INDEX(LdBGroup,$M973),WGTbl,2,0),INDEX(LdBGroup,$M973)),IF($N973&lt;&gt;"",IF(N(INDEX(LdCDep,$N973))&gt;0,"بازگشت بانکی","پرداخت بانکی"),"")))</f>
        <v/>
      </c>
      <c r="D973" s="14">
        <f>IF($L973&lt;&gt;"",IF(INDEX(LdAId,$L973)="","—",INDEX(LdAId,$L973)),IF($M973&lt;&gt;"",IF(INDEX(LdBId,$M973)="","—",INDEX(LdBId,$M973)),IF($N973&lt;&gt;"",IF(INDEX(LdCBank,$N973)="","—",INDEX(LdCBank,$N973)),"")))</f>
        <v/>
      </c>
      <c r="E973" s="16">
        <f>IF($L973&lt;&gt;"",IF(INDEX(LdAAmt,$L973)=0,"",INDEX(LdAAmt,$L973)),IF($M973&lt;&gt;"",IF(INDEX(LdBAmt,$M973)=0,"",INDEX(LdBAmt,$M973)),IF($N973&lt;&gt;"",IF(INDEX(LdCDep,$N973)=0,"",INDEX(LdCDep,$N973)),"")))</f>
        <v/>
      </c>
      <c r="F973" s="16">
        <f>IF(AND($L973="",$M973="",$N973=""),"",IF($N973="","",IF(INDEX(LdCWit,$N973)=0,"",INDEX(LdCWit,$N973))))</f>
        <v/>
      </c>
      <c r="G973" s="29">
        <f>IF($B973="","",IF($G972="",0,$G972)+IF($E973="",0,$E973)-IF($F973="",0,$F973))</f>
        <v/>
      </c>
      <c r="H973" s="30">
        <f>IF(AND($L973="",$M973="",$N973=""),"",IF($L973&lt;&gt;"",IF(INDEX(LdANote,$L973)="","—",INDEX(LdANote,$L973)),IF($M973&lt;&gt;"",IF(INDEX(LdBNote,$M973)="","—",INDEX(LdBNote,$M973)),IF($N973&lt;&gt;"",IF(INDEX(LdCNote,$N973)="","—",INDEX(LdCNote,$N973)),""))))</f>
        <v/>
      </c>
      <c r="L973">
        <f>IFERROR(MATCH($C$5&amp;"|"&amp;RIGHT("000000"&amp;957,6),LdAKeyM,0),"")</f>
        <v/>
      </c>
      <c r="M973">
        <f>IFERROR(MATCH($C$5&amp;"|"&amp;RIGHT("000000"&amp;957,6),LdBKeyM,0),"")</f>
        <v/>
      </c>
      <c r="N973">
        <f>IFERROR(MATCH($C$5&amp;"|"&amp;RIGHT("000000"&amp;957,6),LdCKeyM,0),"")</f>
        <v/>
      </c>
    </row>
    <row r="974">
      <c r="A974" s="19" t="n">
        <v>958</v>
      </c>
      <c r="B974" s="20">
        <f>IF(AND($L974="",$M974="",$N974=""),"",IF($L974&lt;&gt;"",INDEX(LdADate,$L974),IF($M974&lt;&gt;"",INDEX(LdBDate,$M974),INDEX(LdCDate,$N974))))</f>
        <v/>
      </c>
      <c r="C974" s="20">
        <f>IF($L974&lt;&gt;"","دستمزد (فردی)",IF($M974&lt;&gt;"","سهم از گروه "&amp;IFERROR(VLOOKUP(INDEX(LdBGroup,$M974),WGTbl,2,0),INDEX(LdBGroup,$M974)),IF($N974&lt;&gt;"",IF(N(INDEX(LdCDep,$N974))&gt;0,"بازگشت بانکی","پرداخت بانکی"),"")))</f>
        <v/>
      </c>
      <c r="D974" s="20">
        <f>IF($L974&lt;&gt;"",IF(INDEX(LdAId,$L974)="","—",INDEX(LdAId,$L974)),IF($M974&lt;&gt;"",IF(INDEX(LdBId,$M974)="","—",INDEX(LdBId,$M974)),IF($N974&lt;&gt;"",IF(INDEX(LdCBank,$N974)="","—",INDEX(LdCBank,$N974)),"")))</f>
        <v/>
      </c>
      <c r="E974" s="21">
        <f>IF($L974&lt;&gt;"",IF(INDEX(LdAAmt,$L974)=0,"",INDEX(LdAAmt,$L974)),IF($M974&lt;&gt;"",IF(INDEX(LdBAmt,$M974)=0,"",INDEX(LdBAmt,$M974)),IF($N974&lt;&gt;"",IF(INDEX(LdCDep,$N974)=0,"",INDEX(LdCDep,$N974)),"")))</f>
        <v/>
      </c>
      <c r="F974" s="21">
        <f>IF(AND($L974="",$M974="",$N974=""),"",IF($N974="","",IF(INDEX(LdCWit,$N974)=0,"",INDEX(LdCWit,$N974))))</f>
        <v/>
      </c>
      <c r="G974" s="31">
        <f>IF($B974="","",IF($G973="",0,$G973)+IF($E974="",0,$E974)-IF($F974="",0,$F974))</f>
        <v/>
      </c>
      <c r="H974" s="32">
        <f>IF(AND($L974="",$M974="",$N974=""),"",IF($L974&lt;&gt;"",IF(INDEX(LdANote,$L974)="","—",INDEX(LdANote,$L974)),IF($M974&lt;&gt;"",IF(INDEX(LdBNote,$M974)="","—",INDEX(LdBNote,$M974)),IF($N974&lt;&gt;"",IF(INDEX(LdCNote,$N974)="","—",INDEX(LdCNote,$N974)),""))))</f>
        <v/>
      </c>
      <c r="L974">
        <f>IFERROR(MATCH($C$5&amp;"|"&amp;RIGHT("000000"&amp;958,6),LdAKeyM,0),"")</f>
        <v/>
      </c>
      <c r="M974">
        <f>IFERROR(MATCH($C$5&amp;"|"&amp;RIGHT("000000"&amp;958,6),LdBKeyM,0),"")</f>
        <v/>
      </c>
      <c r="N974">
        <f>IFERROR(MATCH($C$5&amp;"|"&amp;RIGHT("000000"&amp;958,6),LdCKeyM,0),"")</f>
        <v/>
      </c>
    </row>
    <row r="975">
      <c r="A975" s="10" t="n">
        <v>959</v>
      </c>
      <c r="B975" s="14">
        <f>IF(AND($L975="",$M975="",$N975=""),"",IF($L975&lt;&gt;"",INDEX(LdADate,$L975),IF($M975&lt;&gt;"",INDEX(LdBDate,$M975),INDEX(LdCDate,$N975))))</f>
        <v/>
      </c>
      <c r="C975" s="14">
        <f>IF($L975&lt;&gt;"","دستمزد (فردی)",IF($M975&lt;&gt;"","سهم از گروه "&amp;IFERROR(VLOOKUP(INDEX(LdBGroup,$M975),WGTbl,2,0),INDEX(LdBGroup,$M975)),IF($N975&lt;&gt;"",IF(N(INDEX(LdCDep,$N975))&gt;0,"بازگشت بانکی","پرداخت بانکی"),"")))</f>
        <v/>
      </c>
      <c r="D975" s="14">
        <f>IF($L975&lt;&gt;"",IF(INDEX(LdAId,$L975)="","—",INDEX(LdAId,$L975)),IF($M975&lt;&gt;"",IF(INDEX(LdBId,$M975)="","—",INDEX(LdBId,$M975)),IF($N975&lt;&gt;"",IF(INDEX(LdCBank,$N975)="","—",INDEX(LdCBank,$N975)),"")))</f>
        <v/>
      </c>
      <c r="E975" s="16">
        <f>IF($L975&lt;&gt;"",IF(INDEX(LdAAmt,$L975)=0,"",INDEX(LdAAmt,$L975)),IF($M975&lt;&gt;"",IF(INDEX(LdBAmt,$M975)=0,"",INDEX(LdBAmt,$M975)),IF($N975&lt;&gt;"",IF(INDEX(LdCDep,$N975)=0,"",INDEX(LdCDep,$N975)),"")))</f>
        <v/>
      </c>
      <c r="F975" s="16">
        <f>IF(AND($L975="",$M975="",$N975=""),"",IF($N975="","",IF(INDEX(LdCWit,$N975)=0,"",INDEX(LdCWit,$N975))))</f>
        <v/>
      </c>
      <c r="G975" s="29">
        <f>IF($B975="","",IF($G974="",0,$G974)+IF($E975="",0,$E975)-IF($F975="",0,$F975))</f>
        <v/>
      </c>
      <c r="H975" s="30">
        <f>IF(AND($L975="",$M975="",$N975=""),"",IF($L975&lt;&gt;"",IF(INDEX(LdANote,$L975)="","—",INDEX(LdANote,$L975)),IF($M975&lt;&gt;"",IF(INDEX(LdBNote,$M975)="","—",INDEX(LdBNote,$M975)),IF($N975&lt;&gt;"",IF(INDEX(LdCNote,$N975)="","—",INDEX(LdCNote,$N975)),""))))</f>
        <v/>
      </c>
      <c r="L975">
        <f>IFERROR(MATCH($C$5&amp;"|"&amp;RIGHT("000000"&amp;959,6),LdAKeyM,0),"")</f>
        <v/>
      </c>
      <c r="M975">
        <f>IFERROR(MATCH($C$5&amp;"|"&amp;RIGHT("000000"&amp;959,6),LdBKeyM,0),"")</f>
        <v/>
      </c>
      <c r="N975">
        <f>IFERROR(MATCH($C$5&amp;"|"&amp;RIGHT("000000"&amp;959,6),LdCKeyM,0),"")</f>
        <v/>
      </c>
    </row>
    <row r="976">
      <c r="A976" s="19" t="n">
        <v>960</v>
      </c>
      <c r="B976" s="20">
        <f>IF(AND($L976="",$M976="",$N976=""),"",IF($L976&lt;&gt;"",INDEX(LdADate,$L976),IF($M976&lt;&gt;"",INDEX(LdBDate,$M976),INDEX(LdCDate,$N976))))</f>
        <v/>
      </c>
      <c r="C976" s="20">
        <f>IF($L976&lt;&gt;"","دستمزد (فردی)",IF($M976&lt;&gt;"","سهم از گروه "&amp;IFERROR(VLOOKUP(INDEX(LdBGroup,$M976),WGTbl,2,0),INDEX(LdBGroup,$M976)),IF($N976&lt;&gt;"",IF(N(INDEX(LdCDep,$N976))&gt;0,"بازگشت بانکی","پرداخت بانکی"),"")))</f>
        <v/>
      </c>
      <c r="D976" s="20">
        <f>IF($L976&lt;&gt;"",IF(INDEX(LdAId,$L976)="","—",INDEX(LdAId,$L976)),IF($M976&lt;&gt;"",IF(INDEX(LdBId,$M976)="","—",INDEX(LdBId,$M976)),IF($N976&lt;&gt;"",IF(INDEX(LdCBank,$N976)="","—",INDEX(LdCBank,$N976)),"")))</f>
        <v/>
      </c>
      <c r="E976" s="21">
        <f>IF($L976&lt;&gt;"",IF(INDEX(LdAAmt,$L976)=0,"",INDEX(LdAAmt,$L976)),IF($M976&lt;&gt;"",IF(INDEX(LdBAmt,$M976)=0,"",INDEX(LdBAmt,$M976)),IF($N976&lt;&gt;"",IF(INDEX(LdCDep,$N976)=0,"",INDEX(LdCDep,$N976)),"")))</f>
        <v/>
      </c>
      <c r="F976" s="21">
        <f>IF(AND($L976="",$M976="",$N976=""),"",IF($N976="","",IF(INDEX(LdCWit,$N976)=0,"",INDEX(LdCWit,$N976))))</f>
        <v/>
      </c>
      <c r="G976" s="31">
        <f>IF($B976="","",IF($G975="",0,$G975)+IF($E976="",0,$E976)-IF($F976="",0,$F976))</f>
        <v/>
      </c>
      <c r="H976" s="32">
        <f>IF(AND($L976="",$M976="",$N976=""),"",IF($L976&lt;&gt;"",IF(INDEX(LdANote,$L976)="","—",INDEX(LdANote,$L976)),IF($M976&lt;&gt;"",IF(INDEX(LdBNote,$M976)="","—",INDEX(LdBNote,$M976)),IF($N976&lt;&gt;"",IF(INDEX(LdCNote,$N976)="","—",INDEX(LdCNote,$N976)),""))))</f>
        <v/>
      </c>
      <c r="L976">
        <f>IFERROR(MATCH($C$5&amp;"|"&amp;RIGHT("000000"&amp;960,6),LdAKeyM,0),"")</f>
        <v/>
      </c>
      <c r="M976">
        <f>IFERROR(MATCH($C$5&amp;"|"&amp;RIGHT("000000"&amp;960,6),LdBKeyM,0),"")</f>
        <v/>
      </c>
      <c r="N976">
        <f>IFERROR(MATCH($C$5&amp;"|"&amp;RIGHT("000000"&amp;960,6),LdCKeyM,0),"")</f>
        <v/>
      </c>
    </row>
    <row r="977">
      <c r="A977" s="10" t="n">
        <v>961</v>
      </c>
      <c r="B977" s="14">
        <f>IF(AND($L977="",$M977="",$N977=""),"",IF($L977&lt;&gt;"",INDEX(LdADate,$L977),IF($M977&lt;&gt;"",INDEX(LdBDate,$M977),INDEX(LdCDate,$N977))))</f>
        <v/>
      </c>
      <c r="C977" s="14">
        <f>IF($L977&lt;&gt;"","دستمزد (فردی)",IF($M977&lt;&gt;"","سهم از گروه "&amp;IFERROR(VLOOKUP(INDEX(LdBGroup,$M977),WGTbl,2,0),INDEX(LdBGroup,$M977)),IF($N977&lt;&gt;"",IF(N(INDEX(LdCDep,$N977))&gt;0,"بازگشت بانکی","پرداخت بانکی"),"")))</f>
        <v/>
      </c>
      <c r="D977" s="14">
        <f>IF($L977&lt;&gt;"",IF(INDEX(LdAId,$L977)="","—",INDEX(LdAId,$L977)),IF($M977&lt;&gt;"",IF(INDEX(LdBId,$M977)="","—",INDEX(LdBId,$M977)),IF($N977&lt;&gt;"",IF(INDEX(LdCBank,$N977)="","—",INDEX(LdCBank,$N977)),"")))</f>
        <v/>
      </c>
      <c r="E977" s="16">
        <f>IF($L977&lt;&gt;"",IF(INDEX(LdAAmt,$L977)=0,"",INDEX(LdAAmt,$L977)),IF($M977&lt;&gt;"",IF(INDEX(LdBAmt,$M977)=0,"",INDEX(LdBAmt,$M977)),IF($N977&lt;&gt;"",IF(INDEX(LdCDep,$N977)=0,"",INDEX(LdCDep,$N977)),"")))</f>
        <v/>
      </c>
      <c r="F977" s="16">
        <f>IF(AND($L977="",$M977="",$N977=""),"",IF($N977="","",IF(INDEX(LdCWit,$N977)=0,"",INDEX(LdCWit,$N977))))</f>
        <v/>
      </c>
      <c r="G977" s="29">
        <f>IF($B977="","",IF($G976="",0,$G976)+IF($E977="",0,$E977)-IF($F977="",0,$F977))</f>
        <v/>
      </c>
      <c r="H977" s="30">
        <f>IF(AND($L977="",$M977="",$N977=""),"",IF($L977&lt;&gt;"",IF(INDEX(LdANote,$L977)="","—",INDEX(LdANote,$L977)),IF($M977&lt;&gt;"",IF(INDEX(LdBNote,$M977)="","—",INDEX(LdBNote,$M977)),IF($N977&lt;&gt;"",IF(INDEX(LdCNote,$N977)="","—",INDEX(LdCNote,$N977)),""))))</f>
        <v/>
      </c>
      <c r="L977">
        <f>IFERROR(MATCH($C$5&amp;"|"&amp;RIGHT("000000"&amp;961,6),LdAKeyM,0),"")</f>
        <v/>
      </c>
      <c r="M977">
        <f>IFERROR(MATCH($C$5&amp;"|"&amp;RIGHT("000000"&amp;961,6),LdBKeyM,0),"")</f>
        <v/>
      </c>
      <c r="N977">
        <f>IFERROR(MATCH($C$5&amp;"|"&amp;RIGHT("000000"&amp;961,6),LdCKeyM,0),"")</f>
        <v/>
      </c>
    </row>
    <row r="978">
      <c r="A978" s="19" t="n">
        <v>962</v>
      </c>
      <c r="B978" s="20">
        <f>IF(AND($L978="",$M978="",$N978=""),"",IF($L978&lt;&gt;"",INDEX(LdADate,$L978),IF($M978&lt;&gt;"",INDEX(LdBDate,$M978),INDEX(LdCDate,$N978))))</f>
        <v/>
      </c>
      <c r="C978" s="20">
        <f>IF($L978&lt;&gt;"","دستمزد (فردی)",IF($M978&lt;&gt;"","سهم از گروه "&amp;IFERROR(VLOOKUP(INDEX(LdBGroup,$M978),WGTbl,2,0),INDEX(LdBGroup,$M978)),IF($N978&lt;&gt;"",IF(N(INDEX(LdCDep,$N978))&gt;0,"بازگشت بانکی","پرداخت بانکی"),"")))</f>
        <v/>
      </c>
      <c r="D978" s="20">
        <f>IF($L978&lt;&gt;"",IF(INDEX(LdAId,$L978)="","—",INDEX(LdAId,$L978)),IF($M978&lt;&gt;"",IF(INDEX(LdBId,$M978)="","—",INDEX(LdBId,$M978)),IF($N978&lt;&gt;"",IF(INDEX(LdCBank,$N978)="","—",INDEX(LdCBank,$N978)),"")))</f>
        <v/>
      </c>
      <c r="E978" s="21">
        <f>IF($L978&lt;&gt;"",IF(INDEX(LdAAmt,$L978)=0,"",INDEX(LdAAmt,$L978)),IF($M978&lt;&gt;"",IF(INDEX(LdBAmt,$M978)=0,"",INDEX(LdBAmt,$M978)),IF($N978&lt;&gt;"",IF(INDEX(LdCDep,$N978)=0,"",INDEX(LdCDep,$N978)),"")))</f>
        <v/>
      </c>
      <c r="F978" s="21">
        <f>IF(AND($L978="",$M978="",$N978=""),"",IF($N978="","",IF(INDEX(LdCWit,$N978)=0,"",INDEX(LdCWit,$N978))))</f>
        <v/>
      </c>
      <c r="G978" s="31">
        <f>IF($B978="","",IF($G977="",0,$G977)+IF($E978="",0,$E978)-IF($F978="",0,$F978))</f>
        <v/>
      </c>
      <c r="H978" s="32">
        <f>IF(AND($L978="",$M978="",$N978=""),"",IF($L978&lt;&gt;"",IF(INDEX(LdANote,$L978)="","—",INDEX(LdANote,$L978)),IF($M978&lt;&gt;"",IF(INDEX(LdBNote,$M978)="","—",INDEX(LdBNote,$M978)),IF($N978&lt;&gt;"",IF(INDEX(LdCNote,$N978)="","—",INDEX(LdCNote,$N978)),""))))</f>
        <v/>
      </c>
      <c r="L978">
        <f>IFERROR(MATCH($C$5&amp;"|"&amp;RIGHT("000000"&amp;962,6),LdAKeyM,0),"")</f>
        <v/>
      </c>
      <c r="M978">
        <f>IFERROR(MATCH($C$5&amp;"|"&amp;RIGHT("000000"&amp;962,6),LdBKeyM,0),"")</f>
        <v/>
      </c>
      <c r="N978">
        <f>IFERROR(MATCH($C$5&amp;"|"&amp;RIGHT("000000"&amp;962,6),LdCKeyM,0),"")</f>
        <v/>
      </c>
    </row>
    <row r="979">
      <c r="A979" s="10" t="n">
        <v>963</v>
      </c>
      <c r="B979" s="14">
        <f>IF(AND($L979="",$M979="",$N979=""),"",IF($L979&lt;&gt;"",INDEX(LdADate,$L979),IF($M979&lt;&gt;"",INDEX(LdBDate,$M979),INDEX(LdCDate,$N979))))</f>
        <v/>
      </c>
      <c r="C979" s="14">
        <f>IF($L979&lt;&gt;"","دستمزد (فردی)",IF($M979&lt;&gt;"","سهم از گروه "&amp;IFERROR(VLOOKUP(INDEX(LdBGroup,$M979),WGTbl,2,0),INDEX(LdBGroup,$M979)),IF($N979&lt;&gt;"",IF(N(INDEX(LdCDep,$N979))&gt;0,"بازگشت بانکی","پرداخت بانکی"),"")))</f>
        <v/>
      </c>
      <c r="D979" s="14">
        <f>IF($L979&lt;&gt;"",IF(INDEX(LdAId,$L979)="","—",INDEX(LdAId,$L979)),IF($M979&lt;&gt;"",IF(INDEX(LdBId,$M979)="","—",INDEX(LdBId,$M979)),IF($N979&lt;&gt;"",IF(INDEX(LdCBank,$N979)="","—",INDEX(LdCBank,$N979)),"")))</f>
        <v/>
      </c>
      <c r="E979" s="16">
        <f>IF($L979&lt;&gt;"",IF(INDEX(LdAAmt,$L979)=0,"",INDEX(LdAAmt,$L979)),IF($M979&lt;&gt;"",IF(INDEX(LdBAmt,$M979)=0,"",INDEX(LdBAmt,$M979)),IF($N979&lt;&gt;"",IF(INDEX(LdCDep,$N979)=0,"",INDEX(LdCDep,$N979)),"")))</f>
        <v/>
      </c>
      <c r="F979" s="16">
        <f>IF(AND($L979="",$M979="",$N979=""),"",IF($N979="","",IF(INDEX(LdCWit,$N979)=0,"",INDEX(LdCWit,$N979))))</f>
        <v/>
      </c>
      <c r="G979" s="29">
        <f>IF($B979="","",IF($G978="",0,$G978)+IF($E979="",0,$E979)-IF($F979="",0,$F979))</f>
        <v/>
      </c>
      <c r="H979" s="30">
        <f>IF(AND($L979="",$M979="",$N979=""),"",IF($L979&lt;&gt;"",IF(INDEX(LdANote,$L979)="","—",INDEX(LdANote,$L979)),IF($M979&lt;&gt;"",IF(INDEX(LdBNote,$M979)="","—",INDEX(LdBNote,$M979)),IF($N979&lt;&gt;"",IF(INDEX(LdCNote,$N979)="","—",INDEX(LdCNote,$N979)),""))))</f>
        <v/>
      </c>
      <c r="L979">
        <f>IFERROR(MATCH($C$5&amp;"|"&amp;RIGHT("000000"&amp;963,6),LdAKeyM,0),"")</f>
        <v/>
      </c>
      <c r="M979">
        <f>IFERROR(MATCH($C$5&amp;"|"&amp;RIGHT("000000"&amp;963,6),LdBKeyM,0),"")</f>
        <v/>
      </c>
      <c r="N979">
        <f>IFERROR(MATCH($C$5&amp;"|"&amp;RIGHT("000000"&amp;963,6),LdCKeyM,0),"")</f>
        <v/>
      </c>
    </row>
    <row r="980">
      <c r="A980" s="19" t="n">
        <v>964</v>
      </c>
      <c r="B980" s="20">
        <f>IF(AND($L980="",$M980="",$N980=""),"",IF($L980&lt;&gt;"",INDEX(LdADate,$L980),IF($M980&lt;&gt;"",INDEX(LdBDate,$M980),INDEX(LdCDate,$N980))))</f>
        <v/>
      </c>
      <c r="C980" s="20">
        <f>IF($L980&lt;&gt;"","دستمزد (فردی)",IF($M980&lt;&gt;"","سهم از گروه "&amp;IFERROR(VLOOKUP(INDEX(LdBGroup,$M980),WGTbl,2,0),INDEX(LdBGroup,$M980)),IF($N980&lt;&gt;"",IF(N(INDEX(LdCDep,$N980))&gt;0,"بازگشت بانکی","پرداخت بانکی"),"")))</f>
        <v/>
      </c>
      <c r="D980" s="20">
        <f>IF($L980&lt;&gt;"",IF(INDEX(LdAId,$L980)="","—",INDEX(LdAId,$L980)),IF($M980&lt;&gt;"",IF(INDEX(LdBId,$M980)="","—",INDEX(LdBId,$M980)),IF($N980&lt;&gt;"",IF(INDEX(LdCBank,$N980)="","—",INDEX(LdCBank,$N980)),"")))</f>
        <v/>
      </c>
      <c r="E980" s="21">
        <f>IF($L980&lt;&gt;"",IF(INDEX(LdAAmt,$L980)=0,"",INDEX(LdAAmt,$L980)),IF($M980&lt;&gt;"",IF(INDEX(LdBAmt,$M980)=0,"",INDEX(LdBAmt,$M980)),IF($N980&lt;&gt;"",IF(INDEX(LdCDep,$N980)=0,"",INDEX(LdCDep,$N980)),"")))</f>
        <v/>
      </c>
      <c r="F980" s="21">
        <f>IF(AND($L980="",$M980="",$N980=""),"",IF($N980="","",IF(INDEX(LdCWit,$N980)=0,"",INDEX(LdCWit,$N980))))</f>
        <v/>
      </c>
      <c r="G980" s="31">
        <f>IF($B980="","",IF($G979="",0,$G979)+IF($E980="",0,$E980)-IF($F980="",0,$F980))</f>
        <v/>
      </c>
      <c r="H980" s="32">
        <f>IF(AND($L980="",$M980="",$N980=""),"",IF($L980&lt;&gt;"",IF(INDEX(LdANote,$L980)="","—",INDEX(LdANote,$L980)),IF($M980&lt;&gt;"",IF(INDEX(LdBNote,$M980)="","—",INDEX(LdBNote,$M980)),IF($N980&lt;&gt;"",IF(INDEX(LdCNote,$N980)="","—",INDEX(LdCNote,$N980)),""))))</f>
        <v/>
      </c>
      <c r="L980">
        <f>IFERROR(MATCH($C$5&amp;"|"&amp;RIGHT("000000"&amp;964,6),LdAKeyM,0),"")</f>
        <v/>
      </c>
      <c r="M980">
        <f>IFERROR(MATCH($C$5&amp;"|"&amp;RIGHT("000000"&amp;964,6),LdBKeyM,0),"")</f>
        <v/>
      </c>
      <c r="N980">
        <f>IFERROR(MATCH($C$5&amp;"|"&amp;RIGHT("000000"&amp;964,6),LdCKeyM,0),"")</f>
        <v/>
      </c>
    </row>
    <row r="981">
      <c r="A981" s="10" t="n">
        <v>965</v>
      </c>
      <c r="B981" s="14">
        <f>IF(AND($L981="",$M981="",$N981=""),"",IF($L981&lt;&gt;"",INDEX(LdADate,$L981),IF($M981&lt;&gt;"",INDEX(LdBDate,$M981),INDEX(LdCDate,$N981))))</f>
        <v/>
      </c>
      <c r="C981" s="14">
        <f>IF($L981&lt;&gt;"","دستمزد (فردی)",IF($M981&lt;&gt;"","سهم از گروه "&amp;IFERROR(VLOOKUP(INDEX(LdBGroup,$M981),WGTbl,2,0),INDEX(LdBGroup,$M981)),IF($N981&lt;&gt;"",IF(N(INDEX(LdCDep,$N981))&gt;0,"بازگشت بانکی","پرداخت بانکی"),"")))</f>
        <v/>
      </c>
      <c r="D981" s="14">
        <f>IF($L981&lt;&gt;"",IF(INDEX(LdAId,$L981)="","—",INDEX(LdAId,$L981)),IF($M981&lt;&gt;"",IF(INDEX(LdBId,$M981)="","—",INDEX(LdBId,$M981)),IF($N981&lt;&gt;"",IF(INDEX(LdCBank,$N981)="","—",INDEX(LdCBank,$N981)),"")))</f>
        <v/>
      </c>
      <c r="E981" s="16">
        <f>IF($L981&lt;&gt;"",IF(INDEX(LdAAmt,$L981)=0,"",INDEX(LdAAmt,$L981)),IF($M981&lt;&gt;"",IF(INDEX(LdBAmt,$M981)=0,"",INDEX(LdBAmt,$M981)),IF($N981&lt;&gt;"",IF(INDEX(LdCDep,$N981)=0,"",INDEX(LdCDep,$N981)),"")))</f>
        <v/>
      </c>
      <c r="F981" s="16">
        <f>IF(AND($L981="",$M981="",$N981=""),"",IF($N981="","",IF(INDEX(LdCWit,$N981)=0,"",INDEX(LdCWit,$N981))))</f>
        <v/>
      </c>
      <c r="G981" s="29">
        <f>IF($B981="","",IF($G980="",0,$G980)+IF($E981="",0,$E981)-IF($F981="",0,$F981))</f>
        <v/>
      </c>
      <c r="H981" s="30">
        <f>IF(AND($L981="",$M981="",$N981=""),"",IF($L981&lt;&gt;"",IF(INDEX(LdANote,$L981)="","—",INDEX(LdANote,$L981)),IF($M981&lt;&gt;"",IF(INDEX(LdBNote,$M981)="","—",INDEX(LdBNote,$M981)),IF($N981&lt;&gt;"",IF(INDEX(LdCNote,$N981)="","—",INDEX(LdCNote,$N981)),""))))</f>
        <v/>
      </c>
      <c r="L981">
        <f>IFERROR(MATCH($C$5&amp;"|"&amp;RIGHT("000000"&amp;965,6),LdAKeyM,0),"")</f>
        <v/>
      </c>
      <c r="M981">
        <f>IFERROR(MATCH($C$5&amp;"|"&amp;RIGHT("000000"&amp;965,6),LdBKeyM,0),"")</f>
        <v/>
      </c>
      <c r="N981">
        <f>IFERROR(MATCH($C$5&amp;"|"&amp;RIGHT("000000"&amp;965,6),LdCKeyM,0),"")</f>
        <v/>
      </c>
    </row>
    <row r="982">
      <c r="A982" s="19" t="n">
        <v>966</v>
      </c>
      <c r="B982" s="20">
        <f>IF(AND($L982="",$M982="",$N982=""),"",IF($L982&lt;&gt;"",INDEX(LdADate,$L982),IF($M982&lt;&gt;"",INDEX(LdBDate,$M982),INDEX(LdCDate,$N982))))</f>
        <v/>
      </c>
      <c r="C982" s="20">
        <f>IF($L982&lt;&gt;"","دستمزد (فردی)",IF($M982&lt;&gt;"","سهم از گروه "&amp;IFERROR(VLOOKUP(INDEX(LdBGroup,$M982),WGTbl,2,0),INDEX(LdBGroup,$M982)),IF($N982&lt;&gt;"",IF(N(INDEX(LdCDep,$N982))&gt;0,"بازگشت بانکی","پرداخت بانکی"),"")))</f>
        <v/>
      </c>
      <c r="D982" s="20">
        <f>IF($L982&lt;&gt;"",IF(INDEX(LdAId,$L982)="","—",INDEX(LdAId,$L982)),IF($M982&lt;&gt;"",IF(INDEX(LdBId,$M982)="","—",INDEX(LdBId,$M982)),IF($N982&lt;&gt;"",IF(INDEX(LdCBank,$N982)="","—",INDEX(LdCBank,$N982)),"")))</f>
        <v/>
      </c>
      <c r="E982" s="21">
        <f>IF($L982&lt;&gt;"",IF(INDEX(LdAAmt,$L982)=0,"",INDEX(LdAAmt,$L982)),IF($M982&lt;&gt;"",IF(INDEX(LdBAmt,$M982)=0,"",INDEX(LdBAmt,$M982)),IF($N982&lt;&gt;"",IF(INDEX(LdCDep,$N982)=0,"",INDEX(LdCDep,$N982)),"")))</f>
        <v/>
      </c>
      <c r="F982" s="21">
        <f>IF(AND($L982="",$M982="",$N982=""),"",IF($N982="","",IF(INDEX(LdCWit,$N982)=0,"",INDEX(LdCWit,$N982))))</f>
        <v/>
      </c>
      <c r="G982" s="31">
        <f>IF($B982="","",IF($G981="",0,$G981)+IF($E982="",0,$E982)-IF($F982="",0,$F982))</f>
        <v/>
      </c>
      <c r="H982" s="32">
        <f>IF(AND($L982="",$M982="",$N982=""),"",IF($L982&lt;&gt;"",IF(INDEX(LdANote,$L982)="","—",INDEX(LdANote,$L982)),IF($M982&lt;&gt;"",IF(INDEX(LdBNote,$M982)="","—",INDEX(LdBNote,$M982)),IF($N982&lt;&gt;"",IF(INDEX(LdCNote,$N982)="","—",INDEX(LdCNote,$N982)),""))))</f>
        <v/>
      </c>
      <c r="L982">
        <f>IFERROR(MATCH($C$5&amp;"|"&amp;RIGHT("000000"&amp;966,6),LdAKeyM,0),"")</f>
        <v/>
      </c>
      <c r="M982">
        <f>IFERROR(MATCH($C$5&amp;"|"&amp;RIGHT("000000"&amp;966,6),LdBKeyM,0),"")</f>
        <v/>
      </c>
      <c r="N982">
        <f>IFERROR(MATCH($C$5&amp;"|"&amp;RIGHT("000000"&amp;966,6),LdCKeyM,0),"")</f>
        <v/>
      </c>
    </row>
    <row r="983">
      <c r="A983" s="10" t="n">
        <v>967</v>
      </c>
      <c r="B983" s="14">
        <f>IF(AND($L983="",$M983="",$N983=""),"",IF($L983&lt;&gt;"",INDEX(LdADate,$L983),IF($M983&lt;&gt;"",INDEX(LdBDate,$M983),INDEX(LdCDate,$N983))))</f>
        <v/>
      </c>
      <c r="C983" s="14">
        <f>IF($L983&lt;&gt;"","دستمزد (فردی)",IF($M983&lt;&gt;"","سهم از گروه "&amp;IFERROR(VLOOKUP(INDEX(LdBGroup,$M983),WGTbl,2,0),INDEX(LdBGroup,$M983)),IF($N983&lt;&gt;"",IF(N(INDEX(LdCDep,$N983))&gt;0,"بازگشت بانکی","پرداخت بانکی"),"")))</f>
        <v/>
      </c>
      <c r="D983" s="14">
        <f>IF($L983&lt;&gt;"",IF(INDEX(LdAId,$L983)="","—",INDEX(LdAId,$L983)),IF($M983&lt;&gt;"",IF(INDEX(LdBId,$M983)="","—",INDEX(LdBId,$M983)),IF($N983&lt;&gt;"",IF(INDEX(LdCBank,$N983)="","—",INDEX(LdCBank,$N983)),"")))</f>
        <v/>
      </c>
      <c r="E983" s="16">
        <f>IF($L983&lt;&gt;"",IF(INDEX(LdAAmt,$L983)=0,"",INDEX(LdAAmt,$L983)),IF($M983&lt;&gt;"",IF(INDEX(LdBAmt,$M983)=0,"",INDEX(LdBAmt,$M983)),IF($N983&lt;&gt;"",IF(INDEX(LdCDep,$N983)=0,"",INDEX(LdCDep,$N983)),"")))</f>
        <v/>
      </c>
      <c r="F983" s="16">
        <f>IF(AND($L983="",$M983="",$N983=""),"",IF($N983="","",IF(INDEX(LdCWit,$N983)=0,"",INDEX(LdCWit,$N983))))</f>
        <v/>
      </c>
      <c r="G983" s="29">
        <f>IF($B983="","",IF($G982="",0,$G982)+IF($E983="",0,$E983)-IF($F983="",0,$F983))</f>
        <v/>
      </c>
      <c r="H983" s="30">
        <f>IF(AND($L983="",$M983="",$N983=""),"",IF($L983&lt;&gt;"",IF(INDEX(LdANote,$L983)="","—",INDEX(LdANote,$L983)),IF($M983&lt;&gt;"",IF(INDEX(LdBNote,$M983)="","—",INDEX(LdBNote,$M983)),IF($N983&lt;&gt;"",IF(INDEX(LdCNote,$N983)="","—",INDEX(LdCNote,$N983)),""))))</f>
        <v/>
      </c>
      <c r="L983">
        <f>IFERROR(MATCH($C$5&amp;"|"&amp;RIGHT("000000"&amp;967,6),LdAKeyM,0),"")</f>
        <v/>
      </c>
      <c r="M983">
        <f>IFERROR(MATCH($C$5&amp;"|"&amp;RIGHT("000000"&amp;967,6),LdBKeyM,0),"")</f>
        <v/>
      </c>
      <c r="N983">
        <f>IFERROR(MATCH($C$5&amp;"|"&amp;RIGHT("000000"&amp;967,6),LdCKeyM,0),"")</f>
        <v/>
      </c>
    </row>
    <row r="984">
      <c r="A984" s="19" t="n">
        <v>968</v>
      </c>
      <c r="B984" s="20">
        <f>IF(AND($L984="",$M984="",$N984=""),"",IF($L984&lt;&gt;"",INDEX(LdADate,$L984),IF($M984&lt;&gt;"",INDEX(LdBDate,$M984),INDEX(LdCDate,$N984))))</f>
        <v/>
      </c>
      <c r="C984" s="20">
        <f>IF($L984&lt;&gt;"","دستمزد (فردی)",IF($M984&lt;&gt;"","سهم از گروه "&amp;IFERROR(VLOOKUP(INDEX(LdBGroup,$M984),WGTbl,2,0),INDEX(LdBGroup,$M984)),IF($N984&lt;&gt;"",IF(N(INDEX(LdCDep,$N984))&gt;0,"بازگشت بانکی","پرداخت بانکی"),"")))</f>
        <v/>
      </c>
      <c r="D984" s="20">
        <f>IF($L984&lt;&gt;"",IF(INDEX(LdAId,$L984)="","—",INDEX(LdAId,$L984)),IF($M984&lt;&gt;"",IF(INDEX(LdBId,$M984)="","—",INDEX(LdBId,$M984)),IF($N984&lt;&gt;"",IF(INDEX(LdCBank,$N984)="","—",INDEX(LdCBank,$N984)),"")))</f>
        <v/>
      </c>
      <c r="E984" s="21">
        <f>IF($L984&lt;&gt;"",IF(INDEX(LdAAmt,$L984)=0,"",INDEX(LdAAmt,$L984)),IF($M984&lt;&gt;"",IF(INDEX(LdBAmt,$M984)=0,"",INDEX(LdBAmt,$M984)),IF($N984&lt;&gt;"",IF(INDEX(LdCDep,$N984)=0,"",INDEX(LdCDep,$N984)),"")))</f>
        <v/>
      </c>
      <c r="F984" s="21">
        <f>IF(AND($L984="",$M984="",$N984=""),"",IF($N984="","",IF(INDEX(LdCWit,$N984)=0,"",INDEX(LdCWit,$N984))))</f>
        <v/>
      </c>
      <c r="G984" s="31">
        <f>IF($B984="","",IF($G983="",0,$G983)+IF($E984="",0,$E984)-IF($F984="",0,$F984))</f>
        <v/>
      </c>
      <c r="H984" s="32">
        <f>IF(AND($L984="",$M984="",$N984=""),"",IF($L984&lt;&gt;"",IF(INDEX(LdANote,$L984)="","—",INDEX(LdANote,$L984)),IF($M984&lt;&gt;"",IF(INDEX(LdBNote,$M984)="","—",INDEX(LdBNote,$M984)),IF($N984&lt;&gt;"",IF(INDEX(LdCNote,$N984)="","—",INDEX(LdCNote,$N984)),""))))</f>
        <v/>
      </c>
      <c r="L984">
        <f>IFERROR(MATCH($C$5&amp;"|"&amp;RIGHT("000000"&amp;968,6),LdAKeyM,0),"")</f>
        <v/>
      </c>
      <c r="M984">
        <f>IFERROR(MATCH($C$5&amp;"|"&amp;RIGHT("000000"&amp;968,6),LdBKeyM,0),"")</f>
        <v/>
      </c>
      <c r="N984">
        <f>IFERROR(MATCH($C$5&amp;"|"&amp;RIGHT("000000"&amp;968,6),LdCKeyM,0),"")</f>
        <v/>
      </c>
    </row>
    <row r="985">
      <c r="A985" s="10" t="n">
        <v>969</v>
      </c>
      <c r="B985" s="14">
        <f>IF(AND($L985="",$M985="",$N985=""),"",IF($L985&lt;&gt;"",INDEX(LdADate,$L985),IF($M985&lt;&gt;"",INDEX(LdBDate,$M985),INDEX(LdCDate,$N985))))</f>
        <v/>
      </c>
      <c r="C985" s="14">
        <f>IF($L985&lt;&gt;"","دستمزد (فردی)",IF($M985&lt;&gt;"","سهم از گروه "&amp;IFERROR(VLOOKUP(INDEX(LdBGroup,$M985),WGTbl,2,0),INDEX(LdBGroup,$M985)),IF($N985&lt;&gt;"",IF(N(INDEX(LdCDep,$N985))&gt;0,"بازگشت بانکی","پرداخت بانکی"),"")))</f>
        <v/>
      </c>
      <c r="D985" s="14">
        <f>IF($L985&lt;&gt;"",IF(INDEX(LdAId,$L985)="","—",INDEX(LdAId,$L985)),IF($M985&lt;&gt;"",IF(INDEX(LdBId,$M985)="","—",INDEX(LdBId,$M985)),IF($N985&lt;&gt;"",IF(INDEX(LdCBank,$N985)="","—",INDEX(LdCBank,$N985)),"")))</f>
        <v/>
      </c>
      <c r="E985" s="16">
        <f>IF($L985&lt;&gt;"",IF(INDEX(LdAAmt,$L985)=0,"",INDEX(LdAAmt,$L985)),IF($M985&lt;&gt;"",IF(INDEX(LdBAmt,$M985)=0,"",INDEX(LdBAmt,$M985)),IF($N985&lt;&gt;"",IF(INDEX(LdCDep,$N985)=0,"",INDEX(LdCDep,$N985)),"")))</f>
        <v/>
      </c>
      <c r="F985" s="16">
        <f>IF(AND($L985="",$M985="",$N985=""),"",IF($N985="","",IF(INDEX(LdCWit,$N985)=0,"",INDEX(LdCWit,$N985))))</f>
        <v/>
      </c>
      <c r="G985" s="29">
        <f>IF($B985="","",IF($G984="",0,$G984)+IF($E985="",0,$E985)-IF($F985="",0,$F985))</f>
        <v/>
      </c>
      <c r="H985" s="30">
        <f>IF(AND($L985="",$M985="",$N985=""),"",IF($L985&lt;&gt;"",IF(INDEX(LdANote,$L985)="","—",INDEX(LdANote,$L985)),IF($M985&lt;&gt;"",IF(INDEX(LdBNote,$M985)="","—",INDEX(LdBNote,$M985)),IF($N985&lt;&gt;"",IF(INDEX(LdCNote,$N985)="","—",INDEX(LdCNote,$N985)),""))))</f>
        <v/>
      </c>
      <c r="L985">
        <f>IFERROR(MATCH($C$5&amp;"|"&amp;RIGHT("000000"&amp;969,6),LdAKeyM,0),"")</f>
        <v/>
      </c>
      <c r="M985">
        <f>IFERROR(MATCH($C$5&amp;"|"&amp;RIGHT("000000"&amp;969,6),LdBKeyM,0),"")</f>
        <v/>
      </c>
      <c r="N985">
        <f>IFERROR(MATCH($C$5&amp;"|"&amp;RIGHT("000000"&amp;969,6),LdCKeyM,0),"")</f>
        <v/>
      </c>
    </row>
    <row r="986">
      <c r="A986" s="19" t="n">
        <v>970</v>
      </c>
      <c r="B986" s="20">
        <f>IF(AND($L986="",$M986="",$N986=""),"",IF($L986&lt;&gt;"",INDEX(LdADate,$L986),IF($M986&lt;&gt;"",INDEX(LdBDate,$M986),INDEX(LdCDate,$N986))))</f>
        <v/>
      </c>
      <c r="C986" s="20">
        <f>IF($L986&lt;&gt;"","دستمزد (فردی)",IF($M986&lt;&gt;"","سهم از گروه "&amp;IFERROR(VLOOKUP(INDEX(LdBGroup,$M986),WGTbl,2,0),INDEX(LdBGroup,$M986)),IF($N986&lt;&gt;"",IF(N(INDEX(LdCDep,$N986))&gt;0,"بازگشت بانکی","پرداخت بانکی"),"")))</f>
        <v/>
      </c>
      <c r="D986" s="20">
        <f>IF($L986&lt;&gt;"",IF(INDEX(LdAId,$L986)="","—",INDEX(LdAId,$L986)),IF($M986&lt;&gt;"",IF(INDEX(LdBId,$M986)="","—",INDEX(LdBId,$M986)),IF($N986&lt;&gt;"",IF(INDEX(LdCBank,$N986)="","—",INDEX(LdCBank,$N986)),"")))</f>
        <v/>
      </c>
      <c r="E986" s="21">
        <f>IF($L986&lt;&gt;"",IF(INDEX(LdAAmt,$L986)=0,"",INDEX(LdAAmt,$L986)),IF($M986&lt;&gt;"",IF(INDEX(LdBAmt,$M986)=0,"",INDEX(LdBAmt,$M986)),IF($N986&lt;&gt;"",IF(INDEX(LdCDep,$N986)=0,"",INDEX(LdCDep,$N986)),"")))</f>
        <v/>
      </c>
      <c r="F986" s="21">
        <f>IF(AND($L986="",$M986="",$N986=""),"",IF($N986="","",IF(INDEX(LdCWit,$N986)=0,"",INDEX(LdCWit,$N986))))</f>
        <v/>
      </c>
      <c r="G986" s="31">
        <f>IF($B986="","",IF($G985="",0,$G985)+IF($E986="",0,$E986)-IF($F986="",0,$F986))</f>
        <v/>
      </c>
      <c r="H986" s="32">
        <f>IF(AND($L986="",$M986="",$N986=""),"",IF($L986&lt;&gt;"",IF(INDEX(LdANote,$L986)="","—",INDEX(LdANote,$L986)),IF($M986&lt;&gt;"",IF(INDEX(LdBNote,$M986)="","—",INDEX(LdBNote,$M986)),IF($N986&lt;&gt;"",IF(INDEX(LdCNote,$N986)="","—",INDEX(LdCNote,$N986)),""))))</f>
        <v/>
      </c>
      <c r="L986">
        <f>IFERROR(MATCH($C$5&amp;"|"&amp;RIGHT("000000"&amp;970,6),LdAKeyM,0),"")</f>
        <v/>
      </c>
      <c r="M986">
        <f>IFERROR(MATCH($C$5&amp;"|"&amp;RIGHT("000000"&amp;970,6),LdBKeyM,0),"")</f>
        <v/>
      </c>
      <c r="N986">
        <f>IFERROR(MATCH($C$5&amp;"|"&amp;RIGHT("000000"&amp;970,6),LdCKeyM,0),"")</f>
        <v/>
      </c>
    </row>
    <row r="987">
      <c r="A987" s="10" t="n">
        <v>971</v>
      </c>
      <c r="B987" s="14">
        <f>IF(AND($L987="",$M987="",$N987=""),"",IF($L987&lt;&gt;"",INDEX(LdADate,$L987),IF($M987&lt;&gt;"",INDEX(LdBDate,$M987),INDEX(LdCDate,$N987))))</f>
        <v/>
      </c>
      <c r="C987" s="14">
        <f>IF($L987&lt;&gt;"","دستمزد (فردی)",IF($M987&lt;&gt;"","سهم از گروه "&amp;IFERROR(VLOOKUP(INDEX(LdBGroup,$M987),WGTbl,2,0),INDEX(LdBGroup,$M987)),IF($N987&lt;&gt;"",IF(N(INDEX(LdCDep,$N987))&gt;0,"بازگشت بانکی","پرداخت بانکی"),"")))</f>
        <v/>
      </c>
      <c r="D987" s="14">
        <f>IF($L987&lt;&gt;"",IF(INDEX(LdAId,$L987)="","—",INDEX(LdAId,$L987)),IF($M987&lt;&gt;"",IF(INDEX(LdBId,$M987)="","—",INDEX(LdBId,$M987)),IF($N987&lt;&gt;"",IF(INDEX(LdCBank,$N987)="","—",INDEX(LdCBank,$N987)),"")))</f>
        <v/>
      </c>
      <c r="E987" s="16">
        <f>IF($L987&lt;&gt;"",IF(INDEX(LdAAmt,$L987)=0,"",INDEX(LdAAmt,$L987)),IF($M987&lt;&gt;"",IF(INDEX(LdBAmt,$M987)=0,"",INDEX(LdBAmt,$M987)),IF($N987&lt;&gt;"",IF(INDEX(LdCDep,$N987)=0,"",INDEX(LdCDep,$N987)),"")))</f>
        <v/>
      </c>
      <c r="F987" s="16">
        <f>IF(AND($L987="",$M987="",$N987=""),"",IF($N987="","",IF(INDEX(LdCWit,$N987)=0,"",INDEX(LdCWit,$N987))))</f>
        <v/>
      </c>
      <c r="G987" s="29">
        <f>IF($B987="","",IF($G986="",0,$G986)+IF($E987="",0,$E987)-IF($F987="",0,$F987))</f>
        <v/>
      </c>
      <c r="H987" s="30">
        <f>IF(AND($L987="",$M987="",$N987=""),"",IF($L987&lt;&gt;"",IF(INDEX(LdANote,$L987)="","—",INDEX(LdANote,$L987)),IF($M987&lt;&gt;"",IF(INDEX(LdBNote,$M987)="","—",INDEX(LdBNote,$M987)),IF($N987&lt;&gt;"",IF(INDEX(LdCNote,$N987)="","—",INDEX(LdCNote,$N987)),""))))</f>
        <v/>
      </c>
      <c r="L987">
        <f>IFERROR(MATCH($C$5&amp;"|"&amp;RIGHT("000000"&amp;971,6),LdAKeyM,0),"")</f>
        <v/>
      </c>
      <c r="M987">
        <f>IFERROR(MATCH($C$5&amp;"|"&amp;RIGHT("000000"&amp;971,6),LdBKeyM,0),"")</f>
        <v/>
      </c>
      <c r="N987">
        <f>IFERROR(MATCH($C$5&amp;"|"&amp;RIGHT("000000"&amp;971,6),LdCKeyM,0),"")</f>
        <v/>
      </c>
    </row>
    <row r="988">
      <c r="A988" s="19" t="n">
        <v>972</v>
      </c>
      <c r="B988" s="20">
        <f>IF(AND($L988="",$M988="",$N988=""),"",IF($L988&lt;&gt;"",INDEX(LdADate,$L988),IF($M988&lt;&gt;"",INDEX(LdBDate,$M988),INDEX(LdCDate,$N988))))</f>
        <v/>
      </c>
      <c r="C988" s="20">
        <f>IF($L988&lt;&gt;"","دستمزد (فردی)",IF($M988&lt;&gt;"","سهم از گروه "&amp;IFERROR(VLOOKUP(INDEX(LdBGroup,$M988),WGTbl,2,0),INDEX(LdBGroup,$M988)),IF($N988&lt;&gt;"",IF(N(INDEX(LdCDep,$N988))&gt;0,"بازگشت بانکی","پرداخت بانکی"),"")))</f>
        <v/>
      </c>
      <c r="D988" s="20">
        <f>IF($L988&lt;&gt;"",IF(INDEX(LdAId,$L988)="","—",INDEX(LdAId,$L988)),IF($M988&lt;&gt;"",IF(INDEX(LdBId,$M988)="","—",INDEX(LdBId,$M988)),IF($N988&lt;&gt;"",IF(INDEX(LdCBank,$N988)="","—",INDEX(LdCBank,$N988)),"")))</f>
        <v/>
      </c>
      <c r="E988" s="21">
        <f>IF($L988&lt;&gt;"",IF(INDEX(LdAAmt,$L988)=0,"",INDEX(LdAAmt,$L988)),IF($M988&lt;&gt;"",IF(INDEX(LdBAmt,$M988)=0,"",INDEX(LdBAmt,$M988)),IF($N988&lt;&gt;"",IF(INDEX(LdCDep,$N988)=0,"",INDEX(LdCDep,$N988)),"")))</f>
        <v/>
      </c>
      <c r="F988" s="21">
        <f>IF(AND($L988="",$M988="",$N988=""),"",IF($N988="","",IF(INDEX(LdCWit,$N988)=0,"",INDEX(LdCWit,$N988))))</f>
        <v/>
      </c>
      <c r="G988" s="31">
        <f>IF($B988="","",IF($G987="",0,$G987)+IF($E988="",0,$E988)-IF($F988="",0,$F988))</f>
        <v/>
      </c>
      <c r="H988" s="32">
        <f>IF(AND($L988="",$M988="",$N988=""),"",IF($L988&lt;&gt;"",IF(INDEX(LdANote,$L988)="","—",INDEX(LdANote,$L988)),IF($M988&lt;&gt;"",IF(INDEX(LdBNote,$M988)="","—",INDEX(LdBNote,$M988)),IF($N988&lt;&gt;"",IF(INDEX(LdCNote,$N988)="","—",INDEX(LdCNote,$N988)),""))))</f>
        <v/>
      </c>
      <c r="L988">
        <f>IFERROR(MATCH($C$5&amp;"|"&amp;RIGHT("000000"&amp;972,6),LdAKeyM,0),"")</f>
        <v/>
      </c>
      <c r="M988">
        <f>IFERROR(MATCH($C$5&amp;"|"&amp;RIGHT("000000"&amp;972,6),LdBKeyM,0),"")</f>
        <v/>
      </c>
      <c r="N988">
        <f>IFERROR(MATCH($C$5&amp;"|"&amp;RIGHT("000000"&amp;972,6),LdCKeyM,0),"")</f>
        <v/>
      </c>
    </row>
    <row r="989">
      <c r="A989" s="10" t="n">
        <v>973</v>
      </c>
      <c r="B989" s="14">
        <f>IF(AND($L989="",$M989="",$N989=""),"",IF($L989&lt;&gt;"",INDEX(LdADate,$L989),IF($M989&lt;&gt;"",INDEX(LdBDate,$M989),INDEX(LdCDate,$N989))))</f>
        <v/>
      </c>
      <c r="C989" s="14">
        <f>IF($L989&lt;&gt;"","دستمزد (فردی)",IF($M989&lt;&gt;"","سهم از گروه "&amp;IFERROR(VLOOKUP(INDEX(LdBGroup,$M989),WGTbl,2,0),INDEX(LdBGroup,$M989)),IF($N989&lt;&gt;"",IF(N(INDEX(LdCDep,$N989))&gt;0,"بازگشت بانکی","پرداخت بانکی"),"")))</f>
        <v/>
      </c>
      <c r="D989" s="14">
        <f>IF($L989&lt;&gt;"",IF(INDEX(LdAId,$L989)="","—",INDEX(LdAId,$L989)),IF($M989&lt;&gt;"",IF(INDEX(LdBId,$M989)="","—",INDEX(LdBId,$M989)),IF($N989&lt;&gt;"",IF(INDEX(LdCBank,$N989)="","—",INDEX(LdCBank,$N989)),"")))</f>
        <v/>
      </c>
      <c r="E989" s="16">
        <f>IF($L989&lt;&gt;"",IF(INDEX(LdAAmt,$L989)=0,"",INDEX(LdAAmt,$L989)),IF($M989&lt;&gt;"",IF(INDEX(LdBAmt,$M989)=0,"",INDEX(LdBAmt,$M989)),IF($N989&lt;&gt;"",IF(INDEX(LdCDep,$N989)=0,"",INDEX(LdCDep,$N989)),"")))</f>
        <v/>
      </c>
      <c r="F989" s="16">
        <f>IF(AND($L989="",$M989="",$N989=""),"",IF($N989="","",IF(INDEX(LdCWit,$N989)=0,"",INDEX(LdCWit,$N989))))</f>
        <v/>
      </c>
      <c r="G989" s="29">
        <f>IF($B989="","",IF($G988="",0,$G988)+IF($E989="",0,$E989)-IF($F989="",0,$F989))</f>
        <v/>
      </c>
      <c r="H989" s="30">
        <f>IF(AND($L989="",$M989="",$N989=""),"",IF($L989&lt;&gt;"",IF(INDEX(LdANote,$L989)="","—",INDEX(LdANote,$L989)),IF($M989&lt;&gt;"",IF(INDEX(LdBNote,$M989)="","—",INDEX(LdBNote,$M989)),IF($N989&lt;&gt;"",IF(INDEX(LdCNote,$N989)="","—",INDEX(LdCNote,$N989)),""))))</f>
        <v/>
      </c>
      <c r="L989">
        <f>IFERROR(MATCH($C$5&amp;"|"&amp;RIGHT("000000"&amp;973,6),LdAKeyM,0),"")</f>
        <v/>
      </c>
      <c r="M989">
        <f>IFERROR(MATCH($C$5&amp;"|"&amp;RIGHT("000000"&amp;973,6),LdBKeyM,0),"")</f>
        <v/>
      </c>
      <c r="N989">
        <f>IFERROR(MATCH($C$5&amp;"|"&amp;RIGHT("000000"&amp;973,6),LdCKeyM,0),"")</f>
        <v/>
      </c>
    </row>
    <row r="990">
      <c r="A990" s="19" t="n">
        <v>974</v>
      </c>
      <c r="B990" s="20">
        <f>IF(AND($L990="",$M990="",$N990=""),"",IF($L990&lt;&gt;"",INDEX(LdADate,$L990),IF($M990&lt;&gt;"",INDEX(LdBDate,$M990),INDEX(LdCDate,$N990))))</f>
        <v/>
      </c>
      <c r="C990" s="20">
        <f>IF($L990&lt;&gt;"","دستمزد (فردی)",IF($M990&lt;&gt;"","سهم از گروه "&amp;IFERROR(VLOOKUP(INDEX(LdBGroup,$M990),WGTbl,2,0),INDEX(LdBGroup,$M990)),IF($N990&lt;&gt;"",IF(N(INDEX(LdCDep,$N990))&gt;0,"بازگشت بانکی","پرداخت بانکی"),"")))</f>
        <v/>
      </c>
      <c r="D990" s="20">
        <f>IF($L990&lt;&gt;"",IF(INDEX(LdAId,$L990)="","—",INDEX(LdAId,$L990)),IF($M990&lt;&gt;"",IF(INDEX(LdBId,$M990)="","—",INDEX(LdBId,$M990)),IF($N990&lt;&gt;"",IF(INDEX(LdCBank,$N990)="","—",INDEX(LdCBank,$N990)),"")))</f>
        <v/>
      </c>
      <c r="E990" s="21">
        <f>IF($L990&lt;&gt;"",IF(INDEX(LdAAmt,$L990)=0,"",INDEX(LdAAmt,$L990)),IF($M990&lt;&gt;"",IF(INDEX(LdBAmt,$M990)=0,"",INDEX(LdBAmt,$M990)),IF($N990&lt;&gt;"",IF(INDEX(LdCDep,$N990)=0,"",INDEX(LdCDep,$N990)),"")))</f>
        <v/>
      </c>
      <c r="F990" s="21">
        <f>IF(AND($L990="",$M990="",$N990=""),"",IF($N990="","",IF(INDEX(LdCWit,$N990)=0,"",INDEX(LdCWit,$N990))))</f>
        <v/>
      </c>
      <c r="G990" s="31">
        <f>IF($B990="","",IF($G989="",0,$G989)+IF($E990="",0,$E990)-IF($F990="",0,$F990))</f>
        <v/>
      </c>
      <c r="H990" s="32">
        <f>IF(AND($L990="",$M990="",$N990=""),"",IF($L990&lt;&gt;"",IF(INDEX(LdANote,$L990)="","—",INDEX(LdANote,$L990)),IF($M990&lt;&gt;"",IF(INDEX(LdBNote,$M990)="","—",INDEX(LdBNote,$M990)),IF($N990&lt;&gt;"",IF(INDEX(LdCNote,$N990)="","—",INDEX(LdCNote,$N990)),""))))</f>
        <v/>
      </c>
      <c r="L990">
        <f>IFERROR(MATCH($C$5&amp;"|"&amp;RIGHT("000000"&amp;974,6),LdAKeyM,0),"")</f>
        <v/>
      </c>
      <c r="M990">
        <f>IFERROR(MATCH($C$5&amp;"|"&amp;RIGHT("000000"&amp;974,6),LdBKeyM,0),"")</f>
        <v/>
      </c>
      <c r="N990">
        <f>IFERROR(MATCH($C$5&amp;"|"&amp;RIGHT("000000"&amp;974,6),LdCKeyM,0),"")</f>
        <v/>
      </c>
    </row>
    <row r="991">
      <c r="A991" s="10" t="n">
        <v>975</v>
      </c>
      <c r="B991" s="14">
        <f>IF(AND($L991="",$M991="",$N991=""),"",IF($L991&lt;&gt;"",INDEX(LdADate,$L991),IF($M991&lt;&gt;"",INDEX(LdBDate,$M991),INDEX(LdCDate,$N991))))</f>
        <v/>
      </c>
      <c r="C991" s="14">
        <f>IF($L991&lt;&gt;"","دستمزد (فردی)",IF($M991&lt;&gt;"","سهم از گروه "&amp;IFERROR(VLOOKUP(INDEX(LdBGroup,$M991),WGTbl,2,0),INDEX(LdBGroup,$M991)),IF($N991&lt;&gt;"",IF(N(INDEX(LdCDep,$N991))&gt;0,"بازگشت بانکی","پرداخت بانکی"),"")))</f>
        <v/>
      </c>
      <c r="D991" s="14">
        <f>IF($L991&lt;&gt;"",IF(INDEX(LdAId,$L991)="","—",INDEX(LdAId,$L991)),IF($M991&lt;&gt;"",IF(INDEX(LdBId,$M991)="","—",INDEX(LdBId,$M991)),IF($N991&lt;&gt;"",IF(INDEX(LdCBank,$N991)="","—",INDEX(LdCBank,$N991)),"")))</f>
        <v/>
      </c>
      <c r="E991" s="16">
        <f>IF($L991&lt;&gt;"",IF(INDEX(LdAAmt,$L991)=0,"",INDEX(LdAAmt,$L991)),IF($M991&lt;&gt;"",IF(INDEX(LdBAmt,$M991)=0,"",INDEX(LdBAmt,$M991)),IF($N991&lt;&gt;"",IF(INDEX(LdCDep,$N991)=0,"",INDEX(LdCDep,$N991)),"")))</f>
        <v/>
      </c>
      <c r="F991" s="16">
        <f>IF(AND($L991="",$M991="",$N991=""),"",IF($N991="","",IF(INDEX(LdCWit,$N991)=0,"",INDEX(LdCWit,$N991))))</f>
        <v/>
      </c>
      <c r="G991" s="29">
        <f>IF($B991="","",IF($G990="",0,$G990)+IF($E991="",0,$E991)-IF($F991="",0,$F991))</f>
        <v/>
      </c>
      <c r="H991" s="30">
        <f>IF(AND($L991="",$M991="",$N991=""),"",IF($L991&lt;&gt;"",IF(INDEX(LdANote,$L991)="","—",INDEX(LdANote,$L991)),IF($M991&lt;&gt;"",IF(INDEX(LdBNote,$M991)="","—",INDEX(LdBNote,$M991)),IF($N991&lt;&gt;"",IF(INDEX(LdCNote,$N991)="","—",INDEX(LdCNote,$N991)),""))))</f>
        <v/>
      </c>
      <c r="L991">
        <f>IFERROR(MATCH($C$5&amp;"|"&amp;RIGHT("000000"&amp;975,6),LdAKeyM,0),"")</f>
        <v/>
      </c>
      <c r="M991">
        <f>IFERROR(MATCH($C$5&amp;"|"&amp;RIGHT("000000"&amp;975,6),LdBKeyM,0),"")</f>
        <v/>
      </c>
      <c r="N991">
        <f>IFERROR(MATCH($C$5&amp;"|"&amp;RIGHT("000000"&amp;975,6),LdCKeyM,0),"")</f>
        <v/>
      </c>
    </row>
    <row r="992">
      <c r="A992" s="19" t="n">
        <v>976</v>
      </c>
      <c r="B992" s="20">
        <f>IF(AND($L992="",$M992="",$N992=""),"",IF($L992&lt;&gt;"",INDEX(LdADate,$L992),IF($M992&lt;&gt;"",INDEX(LdBDate,$M992),INDEX(LdCDate,$N992))))</f>
        <v/>
      </c>
      <c r="C992" s="20">
        <f>IF($L992&lt;&gt;"","دستمزد (فردی)",IF($M992&lt;&gt;"","سهم از گروه "&amp;IFERROR(VLOOKUP(INDEX(LdBGroup,$M992),WGTbl,2,0),INDEX(LdBGroup,$M992)),IF($N992&lt;&gt;"",IF(N(INDEX(LdCDep,$N992))&gt;0,"بازگشت بانکی","پرداخت بانکی"),"")))</f>
        <v/>
      </c>
      <c r="D992" s="20">
        <f>IF($L992&lt;&gt;"",IF(INDEX(LdAId,$L992)="","—",INDEX(LdAId,$L992)),IF($M992&lt;&gt;"",IF(INDEX(LdBId,$M992)="","—",INDEX(LdBId,$M992)),IF($N992&lt;&gt;"",IF(INDEX(LdCBank,$N992)="","—",INDEX(LdCBank,$N992)),"")))</f>
        <v/>
      </c>
      <c r="E992" s="21">
        <f>IF($L992&lt;&gt;"",IF(INDEX(LdAAmt,$L992)=0,"",INDEX(LdAAmt,$L992)),IF($M992&lt;&gt;"",IF(INDEX(LdBAmt,$M992)=0,"",INDEX(LdBAmt,$M992)),IF($N992&lt;&gt;"",IF(INDEX(LdCDep,$N992)=0,"",INDEX(LdCDep,$N992)),"")))</f>
        <v/>
      </c>
      <c r="F992" s="21">
        <f>IF(AND($L992="",$M992="",$N992=""),"",IF($N992="","",IF(INDEX(LdCWit,$N992)=0,"",INDEX(LdCWit,$N992))))</f>
        <v/>
      </c>
      <c r="G992" s="31">
        <f>IF($B992="","",IF($G991="",0,$G991)+IF($E992="",0,$E992)-IF($F992="",0,$F992))</f>
        <v/>
      </c>
      <c r="H992" s="32">
        <f>IF(AND($L992="",$M992="",$N992=""),"",IF($L992&lt;&gt;"",IF(INDEX(LdANote,$L992)="","—",INDEX(LdANote,$L992)),IF($M992&lt;&gt;"",IF(INDEX(LdBNote,$M992)="","—",INDEX(LdBNote,$M992)),IF($N992&lt;&gt;"",IF(INDEX(LdCNote,$N992)="","—",INDEX(LdCNote,$N992)),""))))</f>
        <v/>
      </c>
      <c r="L992">
        <f>IFERROR(MATCH($C$5&amp;"|"&amp;RIGHT("000000"&amp;976,6),LdAKeyM,0),"")</f>
        <v/>
      </c>
      <c r="M992">
        <f>IFERROR(MATCH($C$5&amp;"|"&amp;RIGHT("000000"&amp;976,6),LdBKeyM,0),"")</f>
        <v/>
      </c>
      <c r="N992">
        <f>IFERROR(MATCH($C$5&amp;"|"&amp;RIGHT("000000"&amp;976,6),LdCKeyM,0),"")</f>
        <v/>
      </c>
    </row>
    <row r="993">
      <c r="A993" s="10" t="n">
        <v>977</v>
      </c>
      <c r="B993" s="14">
        <f>IF(AND($L993="",$M993="",$N993=""),"",IF($L993&lt;&gt;"",INDEX(LdADate,$L993),IF($M993&lt;&gt;"",INDEX(LdBDate,$M993),INDEX(LdCDate,$N993))))</f>
        <v/>
      </c>
      <c r="C993" s="14">
        <f>IF($L993&lt;&gt;"","دستمزد (فردی)",IF($M993&lt;&gt;"","سهم از گروه "&amp;IFERROR(VLOOKUP(INDEX(LdBGroup,$M993),WGTbl,2,0),INDEX(LdBGroup,$M993)),IF($N993&lt;&gt;"",IF(N(INDEX(LdCDep,$N993))&gt;0,"بازگشت بانکی","پرداخت بانکی"),"")))</f>
        <v/>
      </c>
      <c r="D993" s="14">
        <f>IF($L993&lt;&gt;"",IF(INDEX(LdAId,$L993)="","—",INDEX(LdAId,$L993)),IF($M993&lt;&gt;"",IF(INDEX(LdBId,$M993)="","—",INDEX(LdBId,$M993)),IF($N993&lt;&gt;"",IF(INDEX(LdCBank,$N993)="","—",INDEX(LdCBank,$N993)),"")))</f>
        <v/>
      </c>
      <c r="E993" s="16">
        <f>IF($L993&lt;&gt;"",IF(INDEX(LdAAmt,$L993)=0,"",INDEX(LdAAmt,$L993)),IF($M993&lt;&gt;"",IF(INDEX(LdBAmt,$M993)=0,"",INDEX(LdBAmt,$M993)),IF($N993&lt;&gt;"",IF(INDEX(LdCDep,$N993)=0,"",INDEX(LdCDep,$N993)),"")))</f>
        <v/>
      </c>
      <c r="F993" s="16">
        <f>IF(AND($L993="",$M993="",$N993=""),"",IF($N993="","",IF(INDEX(LdCWit,$N993)=0,"",INDEX(LdCWit,$N993))))</f>
        <v/>
      </c>
      <c r="G993" s="29">
        <f>IF($B993="","",IF($G992="",0,$G992)+IF($E993="",0,$E993)-IF($F993="",0,$F993))</f>
        <v/>
      </c>
      <c r="H993" s="30">
        <f>IF(AND($L993="",$M993="",$N993=""),"",IF($L993&lt;&gt;"",IF(INDEX(LdANote,$L993)="","—",INDEX(LdANote,$L993)),IF($M993&lt;&gt;"",IF(INDEX(LdBNote,$M993)="","—",INDEX(LdBNote,$M993)),IF($N993&lt;&gt;"",IF(INDEX(LdCNote,$N993)="","—",INDEX(LdCNote,$N993)),""))))</f>
        <v/>
      </c>
      <c r="L993">
        <f>IFERROR(MATCH($C$5&amp;"|"&amp;RIGHT("000000"&amp;977,6),LdAKeyM,0),"")</f>
        <v/>
      </c>
      <c r="M993">
        <f>IFERROR(MATCH($C$5&amp;"|"&amp;RIGHT("000000"&amp;977,6),LdBKeyM,0),"")</f>
        <v/>
      </c>
      <c r="N993">
        <f>IFERROR(MATCH($C$5&amp;"|"&amp;RIGHT("000000"&amp;977,6),LdCKeyM,0),"")</f>
        <v/>
      </c>
    </row>
    <row r="994">
      <c r="A994" s="19" t="n">
        <v>978</v>
      </c>
      <c r="B994" s="20">
        <f>IF(AND($L994="",$M994="",$N994=""),"",IF($L994&lt;&gt;"",INDEX(LdADate,$L994),IF($M994&lt;&gt;"",INDEX(LdBDate,$M994),INDEX(LdCDate,$N994))))</f>
        <v/>
      </c>
      <c r="C994" s="20">
        <f>IF($L994&lt;&gt;"","دستمزد (فردی)",IF($M994&lt;&gt;"","سهم از گروه "&amp;IFERROR(VLOOKUP(INDEX(LdBGroup,$M994),WGTbl,2,0),INDEX(LdBGroup,$M994)),IF($N994&lt;&gt;"",IF(N(INDEX(LdCDep,$N994))&gt;0,"بازگشت بانکی","پرداخت بانکی"),"")))</f>
        <v/>
      </c>
      <c r="D994" s="20">
        <f>IF($L994&lt;&gt;"",IF(INDEX(LdAId,$L994)="","—",INDEX(LdAId,$L994)),IF($M994&lt;&gt;"",IF(INDEX(LdBId,$M994)="","—",INDEX(LdBId,$M994)),IF($N994&lt;&gt;"",IF(INDEX(LdCBank,$N994)="","—",INDEX(LdCBank,$N994)),"")))</f>
        <v/>
      </c>
      <c r="E994" s="21">
        <f>IF($L994&lt;&gt;"",IF(INDEX(LdAAmt,$L994)=0,"",INDEX(LdAAmt,$L994)),IF($M994&lt;&gt;"",IF(INDEX(LdBAmt,$M994)=0,"",INDEX(LdBAmt,$M994)),IF($N994&lt;&gt;"",IF(INDEX(LdCDep,$N994)=0,"",INDEX(LdCDep,$N994)),"")))</f>
        <v/>
      </c>
      <c r="F994" s="21">
        <f>IF(AND($L994="",$M994="",$N994=""),"",IF($N994="","",IF(INDEX(LdCWit,$N994)=0,"",INDEX(LdCWit,$N994))))</f>
        <v/>
      </c>
      <c r="G994" s="31">
        <f>IF($B994="","",IF($G993="",0,$G993)+IF($E994="",0,$E994)-IF($F994="",0,$F994))</f>
        <v/>
      </c>
      <c r="H994" s="32">
        <f>IF(AND($L994="",$M994="",$N994=""),"",IF($L994&lt;&gt;"",IF(INDEX(LdANote,$L994)="","—",INDEX(LdANote,$L994)),IF($M994&lt;&gt;"",IF(INDEX(LdBNote,$M994)="","—",INDEX(LdBNote,$M994)),IF($N994&lt;&gt;"",IF(INDEX(LdCNote,$N994)="","—",INDEX(LdCNote,$N994)),""))))</f>
        <v/>
      </c>
      <c r="L994">
        <f>IFERROR(MATCH($C$5&amp;"|"&amp;RIGHT("000000"&amp;978,6),LdAKeyM,0),"")</f>
        <v/>
      </c>
      <c r="M994">
        <f>IFERROR(MATCH($C$5&amp;"|"&amp;RIGHT("000000"&amp;978,6),LdBKeyM,0),"")</f>
        <v/>
      </c>
      <c r="N994">
        <f>IFERROR(MATCH($C$5&amp;"|"&amp;RIGHT("000000"&amp;978,6),LdCKeyM,0),"")</f>
        <v/>
      </c>
    </row>
    <row r="995">
      <c r="A995" s="10" t="n">
        <v>979</v>
      </c>
      <c r="B995" s="14">
        <f>IF(AND($L995="",$M995="",$N995=""),"",IF($L995&lt;&gt;"",INDEX(LdADate,$L995),IF($M995&lt;&gt;"",INDEX(LdBDate,$M995),INDEX(LdCDate,$N995))))</f>
        <v/>
      </c>
      <c r="C995" s="14">
        <f>IF($L995&lt;&gt;"","دستمزد (فردی)",IF($M995&lt;&gt;"","سهم از گروه "&amp;IFERROR(VLOOKUP(INDEX(LdBGroup,$M995),WGTbl,2,0),INDEX(LdBGroup,$M995)),IF($N995&lt;&gt;"",IF(N(INDEX(LdCDep,$N995))&gt;0,"بازگشت بانکی","پرداخت بانکی"),"")))</f>
        <v/>
      </c>
      <c r="D995" s="14">
        <f>IF($L995&lt;&gt;"",IF(INDEX(LdAId,$L995)="","—",INDEX(LdAId,$L995)),IF($M995&lt;&gt;"",IF(INDEX(LdBId,$M995)="","—",INDEX(LdBId,$M995)),IF($N995&lt;&gt;"",IF(INDEX(LdCBank,$N995)="","—",INDEX(LdCBank,$N995)),"")))</f>
        <v/>
      </c>
      <c r="E995" s="16">
        <f>IF($L995&lt;&gt;"",IF(INDEX(LdAAmt,$L995)=0,"",INDEX(LdAAmt,$L995)),IF($M995&lt;&gt;"",IF(INDEX(LdBAmt,$M995)=0,"",INDEX(LdBAmt,$M995)),IF($N995&lt;&gt;"",IF(INDEX(LdCDep,$N995)=0,"",INDEX(LdCDep,$N995)),"")))</f>
        <v/>
      </c>
      <c r="F995" s="16">
        <f>IF(AND($L995="",$M995="",$N995=""),"",IF($N995="","",IF(INDEX(LdCWit,$N995)=0,"",INDEX(LdCWit,$N995))))</f>
        <v/>
      </c>
      <c r="G995" s="29">
        <f>IF($B995="","",IF($G994="",0,$G994)+IF($E995="",0,$E995)-IF($F995="",0,$F995))</f>
        <v/>
      </c>
      <c r="H995" s="30">
        <f>IF(AND($L995="",$M995="",$N995=""),"",IF($L995&lt;&gt;"",IF(INDEX(LdANote,$L995)="","—",INDEX(LdANote,$L995)),IF($M995&lt;&gt;"",IF(INDEX(LdBNote,$M995)="","—",INDEX(LdBNote,$M995)),IF($N995&lt;&gt;"",IF(INDEX(LdCNote,$N995)="","—",INDEX(LdCNote,$N995)),""))))</f>
        <v/>
      </c>
      <c r="L995">
        <f>IFERROR(MATCH($C$5&amp;"|"&amp;RIGHT("000000"&amp;979,6),LdAKeyM,0),"")</f>
        <v/>
      </c>
      <c r="M995">
        <f>IFERROR(MATCH($C$5&amp;"|"&amp;RIGHT("000000"&amp;979,6),LdBKeyM,0),"")</f>
        <v/>
      </c>
      <c r="N995">
        <f>IFERROR(MATCH($C$5&amp;"|"&amp;RIGHT("000000"&amp;979,6),LdCKeyM,0),"")</f>
        <v/>
      </c>
    </row>
    <row r="996">
      <c r="A996" s="19" t="n">
        <v>980</v>
      </c>
      <c r="B996" s="20">
        <f>IF(AND($L996="",$M996="",$N996=""),"",IF($L996&lt;&gt;"",INDEX(LdADate,$L996),IF($M996&lt;&gt;"",INDEX(LdBDate,$M996),INDEX(LdCDate,$N996))))</f>
        <v/>
      </c>
      <c r="C996" s="20">
        <f>IF($L996&lt;&gt;"","دستمزد (فردی)",IF($M996&lt;&gt;"","سهم از گروه "&amp;IFERROR(VLOOKUP(INDEX(LdBGroup,$M996),WGTbl,2,0),INDEX(LdBGroup,$M996)),IF($N996&lt;&gt;"",IF(N(INDEX(LdCDep,$N996))&gt;0,"بازگشت بانکی","پرداخت بانکی"),"")))</f>
        <v/>
      </c>
      <c r="D996" s="20">
        <f>IF($L996&lt;&gt;"",IF(INDEX(LdAId,$L996)="","—",INDEX(LdAId,$L996)),IF($M996&lt;&gt;"",IF(INDEX(LdBId,$M996)="","—",INDEX(LdBId,$M996)),IF($N996&lt;&gt;"",IF(INDEX(LdCBank,$N996)="","—",INDEX(LdCBank,$N996)),"")))</f>
        <v/>
      </c>
      <c r="E996" s="21">
        <f>IF($L996&lt;&gt;"",IF(INDEX(LdAAmt,$L996)=0,"",INDEX(LdAAmt,$L996)),IF($M996&lt;&gt;"",IF(INDEX(LdBAmt,$M996)=0,"",INDEX(LdBAmt,$M996)),IF($N996&lt;&gt;"",IF(INDEX(LdCDep,$N996)=0,"",INDEX(LdCDep,$N996)),"")))</f>
        <v/>
      </c>
      <c r="F996" s="21">
        <f>IF(AND($L996="",$M996="",$N996=""),"",IF($N996="","",IF(INDEX(LdCWit,$N996)=0,"",INDEX(LdCWit,$N996))))</f>
        <v/>
      </c>
      <c r="G996" s="31">
        <f>IF($B996="","",IF($G995="",0,$G995)+IF($E996="",0,$E996)-IF($F996="",0,$F996))</f>
        <v/>
      </c>
      <c r="H996" s="32">
        <f>IF(AND($L996="",$M996="",$N996=""),"",IF($L996&lt;&gt;"",IF(INDEX(LdANote,$L996)="","—",INDEX(LdANote,$L996)),IF($M996&lt;&gt;"",IF(INDEX(LdBNote,$M996)="","—",INDEX(LdBNote,$M996)),IF($N996&lt;&gt;"",IF(INDEX(LdCNote,$N996)="","—",INDEX(LdCNote,$N996)),""))))</f>
        <v/>
      </c>
      <c r="L996">
        <f>IFERROR(MATCH($C$5&amp;"|"&amp;RIGHT("000000"&amp;980,6),LdAKeyM,0),"")</f>
        <v/>
      </c>
      <c r="M996">
        <f>IFERROR(MATCH($C$5&amp;"|"&amp;RIGHT("000000"&amp;980,6),LdBKeyM,0),"")</f>
        <v/>
      </c>
      <c r="N996">
        <f>IFERROR(MATCH($C$5&amp;"|"&amp;RIGHT("000000"&amp;980,6),LdCKeyM,0),"")</f>
        <v/>
      </c>
    </row>
    <row r="997">
      <c r="A997" s="10" t="n">
        <v>981</v>
      </c>
      <c r="B997" s="14">
        <f>IF(AND($L997="",$M997="",$N997=""),"",IF($L997&lt;&gt;"",INDEX(LdADate,$L997),IF($M997&lt;&gt;"",INDEX(LdBDate,$M997),INDEX(LdCDate,$N997))))</f>
        <v/>
      </c>
      <c r="C997" s="14">
        <f>IF($L997&lt;&gt;"","دستمزد (فردی)",IF($M997&lt;&gt;"","سهم از گروه "&amp;IFERROR(VLOOKUP(INDEX(LdBGroup,$M997),WGTbl,2,0),INDEX(LdBGroup,$M997)),IF($N997&lt;&gt;"",IF(N(INDEX(LdCDep,$N997))&gt;0,"بازگشت بانکی","پرداخت بانکی"),"")))</f>
        <v/>
      </c>
      <c r="D997" s="14">
        <f>IF($L997&lt;&gt;"",IF(INDEX(LdAId,$L997)="","—",INDEX(LdAId,$L997)),IF($M997&lt;&gt;"",IF(INDEX(LdBId,$M997)="","—",INDEX(LdBId,$M997)),IF($N997&lt;&gt;"",IF(INDEX(LdCBank,$N997)="","—",INDEX(LdCBank,$N997)),"")))</f>
        <v/>
      </c>
      <c r="E997" s="16">
        <f>IF($L997&lt;&gt;"",IF(INDEX(LdAAmt,$L997)=0,"",INDEX(LdAAmt,$L997)),IF($M997&lt;&gt;"",IF(INDEX(LdBAmt,$M997)=0,"",INDEX(LdBAmt,$M997)),IF($N997&lt;&gt;"",IF(INDEX(LdCDep,$N997)=0,"",INDEX(LdCDep,$N997)),"")))</f>
        <v/>
      </c>
      <c r="F997" s="16">
        <f>IF(AND($L997="",$M997="",$N997=""),"",IF($N997="","",IF(INDEX(LdCWit,$N997)=0,"",INDEX(LdCWit,$N997))))</f>
        <v/>
      </c>
      <c r="G997" s="29">
        <f>IF($B997="","",IF($G996="",0,$G996)+IF($E997="",0,$E997)-IF($F997="",0,$F997))</f>
        <v/>
      </c>
      <c r="H997" s="30">
        <f>IF(AND($L997="",$M997="",$N997=""),"",IF($L997&lt;&gt;"",IF(INDEX(LdANote,$L997)="","—",INDEX(LdANote,$L997)),IF($M997&lt;&gt;"",IF(INDEX(LdBNote,$M997)="","—",INDEX(LdBNote,$M997)),IF($N997&lt;&gt;"",IF(INDEX(LdCNote,$N997)="","—",INDEX(LdCNote,$N997)),""))))</f>
        <v/>
      </c>
      <c r="L997">
        <f>IFERROR(MATCH($C$5&amp;"|"&amp;RIGHT("000000"&amp;981,6),LdAKeyM,0),"")</f>
        <v/>
      </c>
      <c r="M997">
        <f>IFERROR(MATCH($C$5&amp;"|"&amp;RIGHT("000000"&amp;981,6),LdBKeyM,0),"")</f>
        <v/>
      </c>
      <c r="N997">
        <f>IFERROR(MATCH($C$5&amp;"|"&amp;RIGHT("000000"&amp;981,6),LdCKeyM,0),"")</f>
        <v/>
      </c>
    </row>
    <row r="998">
      <c r="A998" s="19" t="n">
        <v>982</v>
      </c>
      <c r="B998" s="20">
        <f>IF(AND($L998="",$M998="",$N998=""),"",IF($L998&lt;&gt;"",INDEX(LdADate,$L998),IF($M998&lt;&gt;"",INDEX(LdBDate,$M998),INDEX(LdCDate,$N998))))</f>
        <v/>
      </c>
      <c r="C998" s="20">
        <f>IF($L998&lt;&gt;"","دستمزد (فردی)",IF($M998&lt;&gt;"","سهم از گروه "&amp;IFERROR(VLOOKUP(INDEX(LdBGroup,$M998),WGTbl,2,0),INDEX(LdBGroup,$M998)),IF($N998&lt;&gt;"",IF(N(INDEX(LdCDep,$N998))&gt;0,"بازگشت بانکی","پرداخت بانکی"),"")))</f>
        <v/>
      </c>
      <c r="D998" s="20">
        <f>IF($L998&lt;&gt;"",IF(INDEX(LdAId,$L998)="","—",INDEX(LdAId,$L998)),IF($M998&lt;&gt;"",IF(INDEX(LdBId,$M998)="","—",INDEX(LdBId,$M998)),IF($N998&lt;&gt;"",IF(INDEX(LdCBank,$N998)="","—",INDEX(LdCBank,$N998)),"")))</f>
        <v/>
      </c>
      <c r="E998" s="21">
        <f>IF($L998&lt;&gt;"",IF(INDEX(LdAAmt,$L998)=0,"",INDEX(LdAAmt,$L998)),IF($M998&lt;&gt;"",IF(INDEX(LdBAmt,$M998)=0,"",INDEX(LdBAmt,$M998)),IF($N998&lt;&gt;"",IF(INDEX(LdCDep,$N998)=0,"",INDEX(LdCDep,$N998)),"")))</f>
        <v/>
      </c>
      <c r="F998" s="21">
        <f>IF(AND($L998="",$M998="",$N998=""),"",IF($N998="","",IF(INDEX(LdCWit,$N998)=0,"",INDEX(LdCWit,$N998))))</f>
        <v/>
      </c>
      <c r="G998" s="31">
        <f>IF($B998="","",IF($G997="",0,$G997)+IF($E998="",0,$E998)-IF($F998="",0,$F998))</f>
        <v/>
      </c>
      <c r="H998" s="32">
        <f>IF(AND($L998="",$M998="",$N998=""),"",IF($L998&lt;&gt;"",IF(INDEX(LdANote,$L998)="","—",INDEX(LdANote,$L998)),IF($M998&lt;&gt;"",IF(INDEX(LdBNote,$M998)="","—",INDEX(LdBNote,$M998)),IF($N998&lt;&gt;"",IF(INDEX(LdCNote,$N998)="","—",INDEX(LdCNote,$N998)),""))))</f>
        <v/>
      </c>
      <c r="L998">
        <f>IFERROR(MATCH($C$5&amp;"|"&amp;RIGHT("000000"&amp;982,6),LdAKeyM,0),"")</f>
        <v/>
      </c>
      <c r="M998">
        <f>IFERROR(MATCH($C$5&amp;"|"&amp;RIGHT("000000"&amp;982,6),LdBKeyM,0),"")</f>
        <v/>
      </c>
      <c r="N998">
        <f>IFERROR(MATCH($C$5&amp;"|"&amp;RIGHT("000000"&amp;982,6),LdCKeyM,0),"")</f>
        <v/>
      </c>
    </row>
    <row r="999">
      <c r="A999" s="10" t="n">
        <v>983</v>
      </c>
      <c r="B999" s="14">
        <f>IF(AND($L999="",$M999="",$N999=""),"",IF($L999&lt;&gt;"",INDEX(LdADate,$L999),IF($M999&lt;&gt;"",INDEX(LdBDate,$M999),INDEX(LdCDate,$N999))))</f>
        <v/>
      </c>
      <c r="C999" s="14">
        <f>IF($L999&lt;&gt;"","دستمزد (فردی)",IF($M999&lt;&gt;"","سهم از گروه "&amp;IFERROR(VLOOKUP(INDEX(LdBGroup,$M999),WGTbl,2,0),INDEX(LdBGroup,$M999)),IF($N999&lt;&gt;"",IF(N(INDEX(LdCDep,$N999))&gt;0,"بازگشت بانکی","پرداخت بانکی"),"")))</f>
        <v/>
      </c>
      <c r="D999" s="14">
        <f>IF($L999&lt;&gt;"",IF(INDEX(LdAId,$L999)="","—",INDEX(LdAId,$L999)),IF($M999&lt;&gt;"",IF(INDEX(LdBId,$M999)="","—",INDEX(LdBId,$M999)),IF($N999&lt;&gt;"",IF(INDEX(LdCBank,$N999)="","—",INDEX(LdCBank,$N999)),"")))</f>
        <v/>
      </c>
      <c r="E999" s="16">
        <f>IF($L999&lt;&gt;"",IF(INDEX(LdAAmt,$L999)=0,"",INDEX(LdAAmt,$L999)),IF($M999&lt;&gt;"",IF(INDEX(LdBAmt,$M999)=0,"",INDEX(LdBAmt,$M999)),IF($N999&lt;&gt;"",IF(INDEX(LdCDep,$N999)=0,"",INDEX(LdCDep,$N999)),"")))</f>
        <v/>
      </c>
      <c r="F999" s="16">
        <f>IF(AND($L999="",$M999="",$N999=""),"",IF($N999="","",IF(INDEX(LdCWit,$N999)=0,"",INDEX(LdCWit,$N999))))</f>
        <v/>
      </c>
      <c r="G999" s="29">
        <f>IF($B999="","",IF($G998="",0,$G998)+IF($E999="",0,$E999)-IF($F999="",0,$F999))</f>
        <v/>
      </c>
      <c r="H999" s="30">
        <f>IF(AND($L999="",$M999="",$N999=""),"",IF($L999&lt;&gt;"",IF(INDEX(LdANote,$L999)="","—",INDEX(LdANote,$L999)),IF($M999&lt;&gt;"",IF(INDEX(LdBNote,$M999)="","—",INDEX(LdBNote,$M999)),IF($N999&lt;&gt;"",IF(INDEX(LdCNote,$N999)="","—",INDEX(LdCNote,$N999)),""))))</f>
        <v/>
      </c>
      <c r="L999">
        <f>IFERROR(MATCH($C$5&amp;"|"&amp;RIGHT("000000"&amp;983,6),LdAKeyM,0),"")</f>
        <v/>
      </c>
      <c r="M999">
        <f>IFERROR(MATCH($C$5&amp;"|"&amp;RIGHT("000000"&amp;983,6),LdBKeyM,0),"")</f>
        <v/>
      </c>
      <c r="N999">
        <f>IFERROR(MATCH($C$5&amp;"|"&amp;RIGHT("000000"&amp;983,6),LdCKeyM,0),"")</f>
        <v/>
      </c>
    </row>
    <row r="1000">
      <c r="A1000" s="19" t="n">
        <v>984</v>
      </c>
      <c r="B1000" s="20">
        <f>IF(AND($L1000="",$M1000="",$N1000=""),"",IF($L1000&lt;&gt;"",INDEX(LdADate,$L1000),IF($M1000&lt;&gt;"",INDEX(LdBDate,$M1000),INDEX(LdCDate,$N1000))))</f>
        <v/>
      </c>
      <c r="C1000" s="20">
        <f>IF($L1000&lt;&gt;"","دستمزد (فردی)",IF($M1000&lt;&gt;"","سهم از گروه "&amp;IFERROR(VLOOKUP(INDEX(LdBGroup,$M1000),WGTbl,2,0),INDEX(LdBGroup,$M1000)),IF($N1000&lt;&gt;"",IF(N(INDEX(LdCDep,$N1000))&gt;0,"بازگشت بانکی","پرداخت بانکی"),"")))</f>
        <v/>
      </c>
      <c r="D1000" s="20">
        <f>IF($L1000&lt;&gt;"",IF(INDEX(LdAId,$L1000)="","—",INDEX(LdAId,$L1000)),IF($M1000&lt;&gt;"",IF(INDEX(LdBId,$M1000)="","—",INDEX(LdBId,$M1000)),IF($N1000&lt;&gt;"",IF(INDEX(LdCBank,$N1000)="","—",INDEX(LdCBank,$N1000)),"")))</f>
        <v/>
      </c>
      <c r="E1000" s="21">
        <f>IF($L1000&lt;&gt;"",IF(INDEX(LdAAmt,$L1000)=0,"",INDEX(LdAAmt,$L1000)),IF($M1000&lt;&gt;"",IF(INDEX(LdBAmt,$M1000)=0,"",INDEX(LdBAmt,$M1000)),IF($N1000&lt;&gt;"",IF(INDEX(LdCDep,$N1000)=0,"",INDEX(LdCDep,$N1000)),"")))</f>
        <v/>
      </c>
      <c r="F1000" s="21">
        <f>IF(AND($L1000="",$M1000="",$N1000=""),"",IF($N1000="","",IF(INDEX(LdCWit,$N1000)=0,"",INDEX(LdCWit,$N1000))))</f>
        <v/>
      </c>
      <c r="G1000" s="31">
        <f>IF($B1000="","",IF($G999="",0,$G999)+IF($E1000="",0,$E1000)-IF($F1000="",0,$F1000))</f>
        <v/>
      </c>
      <c r="H1000" s="32">
        <f>IF(AND($L1000="",$M1000="",$N1000=""),"",IF($L1000&lt;&gt;"",IF(INDEX(LdANote,$L1000)="","—",INDEX(LdANote,$L1000)),IF($M1000&lt;&gt;"",IF(INDEX(LdBNote,$M1000)="","—",INDEX(LdBNote,$M1000)),IF($N1000&lt;&gt;"",IF(INDEX(LdCNote,$N1000)="","—",INDEX(LdCNote,$N1000)),""))))</f>
        <v/>
      </c>
      <c r="L1000">
        <f>IFERROR(MATCH($C$5&amp;"|"&amp;RIGHT("000000"&amp;984,6),LdAKeyM,0),"")</f>
        <v/>
      </c>
      <c r="M1000">
        <f>IFERROR(MATCH($C$5&amp;"|"&amp;RIGHT("000000"&amp;984,6),LdBKeyM,0),"")</f>
        <v/>
      </c>
      <c r="N1000">
        <f>IFERROR(MATCH($C$5&amp;"|"&amp;RIGHT("000000"&amp;984,6),LdCKeyM,0),"")</f>
        <v/>
      </c>
    </row>
    <row r="1001">
      <c r="A1001" s="10" t="n">
        <v>985</v>
      </c>
      <c r="B1001" s="14">
        <f>IF(AND($L1001="",$M1001="",$N1001=""),"",IF($L1001&lt;&gt;"",INDEX(LdADate,$L1001),IF($M1001&lt;&gt;"",INDEX(LdBDate,$M1001),INDEX(LdCDate,$N1001))))</f>
        <v/>
      </c>
      <c r="C1001" s="14">
        <f>IF($L1001&lt;&gt;"","دستمزد (فردی)",IF($M1001&lt;&gt;"","سهم از گروه "&amp;IFERROR(VLOOKUP(INDEX(LdBGroup,$M1001),WGTbl,2,0),INDEX(LdBGroup,$M1001)),IF($N1001&lt;&gt;"",IF(N(INDEX(LdCDep,$N1001))&gt;0,"بازگشت بانکی","پرداخت بانکی"),"")))</f>
        <v/>
      </c>
      <c r="D1001" s="14">
        <f>IF($L1001&lt;&gt;"",IF(INDEX(LdAId,$L1001)="","—",INDEX(LdAId,$L1001)),IF($M1001&lt;&gt;"",IF(INDEX(LdBId,$M1001)="","—",INDEX(LdBId,$M1001)),IF($N1001&lt;&gt;"",IF(INDEX(LdCBank,$N1001)="","—",INDEX(LdCBank,$N1001)),"")))</f>
        <v/>
      </c>
      <c r="E1001" s="16">
        <f>IF($L1001&lt;&gt;"",IF(INDEX(LdAAmt,$L1001)=0,"",INDEX(LdAAmt,$L1001)),IF($M1001&lt;&gt;"",IF(INDEX(LdBAmt,$M1001)=0,"",INDEX(LdBAmt,$M1001)),IF($N1001&lt;&gt;"",IF(INDEX(LdCDep,$N1001)=0,"",INDEX(LdCDep,$N1001)),"")))</f>
        <v/>
      </c>
      <c r="F1001" s="16">
        <f>IF(AND($L1001="",$M1001="",$N1001=""),"",IF($N1001="","",IF(INDEX(LdCWit,$N1001)=0,"",INDEX(LdCWit,$N1001))))</f>
        <v/>
      </c>
      <c r="G1001" s="29">
        <f>IF($B1001="","",IF($G1000="",0,$G1000)+IF($E1001="",0,$E1001)-IF($F1001="",0,$F1001))</f>
        <v/>
      </c>
      <c r="H1001" s="30">
        <f>IF(AND($L1001="",$M1001="",$N1001=""),"",IF($L1001&lt;&gt;"",IF(INDEX(LdANote,$L1001)="","—",INDEX(LdANote,$L1001)),IF($M1001&lt;&gt;"",IF(INDEX(LdBNote,$M1001)="","—",INDEX(LdBNote,$M1001)),IF($N1001&lt;&gt;"",IF(INDEX(LdCNote,$N1001)="","—",INDEX(LdCNote,$N1001)),""))))</f>
        <v/>
      </c>
      <c r="L1001">
        <f>IFERROR(MATCH($C$5&amp;"|"&amp;RIGHT("000000"&amp;985,6),LdAKeyM,0),"")</f>
        <v/>
      </c>
      <c r="M1001">
        <f>IFERROR(MATCH($C$5&amp;"|"&amp;RIGHT("000000"&amp;985,6),LdBKeyM,0),"")</f>
        <v/>
      </c>
      <c r="N1001">
        <f>IFERROR(MATCH($C$5&amp;"|"&amp;RIGHT("000000"&amp;985,6),LdCKeyM,0),"")</f>
        <v/>
      </c>
    </row>
    <row r="1002">
      <c r="A1002" s="19" t="n">
        <v>986</v>
      </c>
      <c r="B1002" s="20">
        <f>IF(AND($L1002="",$M1002="",$N1002=""),"",IF($L1002&lt;&gt;"",INDEX(LdADate,$L1002),IF($M1002&lt;&gt;"",INDEX(LdBDate,$M1002),INDEX(LdCDate,$N1002))))</f>
        <v/>
      </c>
      <c r="C1002" s="20">
        <f>IF($L1002&lt;&gt;"","دستمزد (فردی)",IF($M1002&lt;&gt;"","سهم از گروه "&amp;IFERROR(VLOOKUP(INDEX(LdBGroup,$M1002),WGTbl,2,0),INDEX(LdBGroup,$M1002)),IF($N1002&lt;&gt;"",IF(N(INDEX(LdCDep,$N1002))&gt;0,"بازگشت بانکی","پرداخت بانکی"),"")))</f>
        <v/>
      </c>
      <c r="D1002" s="20">
        <f>IF($L1002&lt;&gt;"",IF(INDEX(LdAId,$L1002)="","—",INDEX(LdAId,$L1002)),IF($M1002&lt;&gt;"",IF(INDEX(LdBId,$M1002)="","—",INDEX(LdBId,$M1002)),IF($N1002&lt;&gt;"",IF(INDEX(LdCBank,$N1002)="","—",INDEX(LdCBank,$N1002)),"")))</f>
        <v/>
      </c>
      <c r="E1002" s="21">
        <f>IF($L1002&lt;&gt;"",IF(INDEX(LdAAmt,$L1002)=0,"",INDEX(LdAAmt,$L1002)),IF($M1002&lt;&gt;"",IF(INDEX(LdBAmt,$M1002)=0,"",INDEX(LdBAmt,$M1002)),IF($N1002&lt;&gt;"",IF(INDEX(LdCDep,$N1002)=0,"",INDEX(LdCDep,$N1002)),"")))</f>
        <v/>
      </c>
      <c r="F1002" s="21">
        <f>IF(AND($L1002="",$M1002="",$N1002=""),"",IF($N1002="","",IF(INDEX(LdCWit,$N1002)=0,"",INDEX(LdCWit,$N1002))))</f>
        <v/>
      </c>
      <c r="G1002" s="31">
        <f>IF($B1002="","",IF($G1001="",0,$G1001)+IF($E1002="",0,$E1002)-IF($F1002="",0,$F1002))</f>
        <v/>
      </c>
      <c r="H1002" s="32">
        <f>IF(AND($L1002="",$M1002="",$N1002=""),"",IF($L1002&lt;&gt;"",IF(INDEX(LdANote,$L1002)="","—",INDEX(LdANote,$L1002)),IF($M1002&lt;&gt;"",IF(INDEX(LdBNote,$M1002)="","—",INDEX(LdBNote,$M1002)),IF($N1002&lt;&gt;"",IF(INDEX(LdCNote,$N1002)="","—",INDEX(LdCNote,$N1002)),""))))</f>
        <v/>
      </c>
      <c r="L1002">
        <f>IFERROR(MATCH($C$5&amp;"|"&amp;RIGHT("000000"&amp;986,6),LdAKeyM,0),"")</f>
        <v/>
      </c>
      <c r="M1002">
        <f>IFERROR(MATCH($C$5&amp;"|"&amp;RIGHT("000000"&amp;986,6),LdBKeyM,0),"")</f>
        <v/>
      </c>
      <c r="N1002">
        <f>IFERROR(MATCH($C$5&amp;"|"&amp;RIGHT("000000"&amp;986,6),LdCKeyM,0),"")</f>
        <v/>
      </c>
    </row>
    <row r="1003">
      <c r="A1003" s="10" t="n">
        <v>987</v>
      </c>
      <c r="B1003" s="14">
        <f>IF(AND($L1003="",$M1003="",$N1003=""),"",IF($L1003&lt;&gt;"",INDEX(LdADate,$L1003),IF($M1003&lt;&gt;"",INDEX(LdBDate,$M1003),INDEX(LdCDate,$N1003))))</f>
        <v/>
      </c>
      <c r="C1003" s="14">
        <f>IF($L1003&lt;&gt;"","دستمزد (فردی)",IF($M1003&lt;&gt;"","سهم از گروه "&amp;IFERROR(VLOOKUP(INDEX(LdBGroup,$M1003),WGTbl,2,0),INDEX(LdBGroup,$M1003)),IF($N1003&lt;&gt;"",IF(N(INDEX(LdCDep,$N1003))&gt;0,"بازگشت بانکی","پرداخت بانکی"),"")))</f>
        <v/>
      </c>
      <c r="D1003" s="14">
        <f>IF($L1003&lt;&gt;"",IF(INDEX(LdAId,$L1003)="","—",INDEX(LdAId,$L1003)),IF($M1003&lt;&gt;"",IF(INDEX(LdBId,$M1003)="","—",INDEX(LdBId,$M1003)),IF($N1003&lt;&gt;"",IF(INDEX(LdCBank,$N1003)="","—",INDEX(LdCBank,$N1003)),"")))</f>
        <v/>
      </c>
      <c r="E1003" s="16">
        <f>IF($L1003&lt;&gt;"",IF(INDEX(LdAAmt,$L1003)=0,"",INDEX(LdAAmt,$L1003)),IF($M1003&lt;&gt;"",IF(INDEX(LdBAmt,$M1003)=0,"",INDEX(LdBAmt,$M1003)),IF($N1003&lt;&gt;"",IF(INDEX(LdCDep,$N1003)=0,"",INDEX(LdCDep,$N1003)),"")))</f>
        <v/>
      </c>
      <c r="F1003" s="16">
        <f>IF(AND($L1003="",$M1003="",$N1003=""),"",IF($N1003="","",IF(INDEX(LdCWit,$N1003)=0,"",INDEX(LdCWit,$N1003))))</f>
        <v/>
      </c>
      <c r="G1003" s="29">
        <f>IF($B1003="","",IF($G1002="",0,$G1002)+IF($E1003="",0,$E1003)-IF($F1003="",0,$F1003))</f>
        <v/>
      </c>
      <c r="H1003" s="30">
        <f>IF(AND($L1003="",$M1003="",$N1003=""),"",IF($L1003&lt;&gt;"",IF(INDEX(LdANote,$L1003)="","—",INDEX(LdANote,$L1003)),IF($M1003&lt;&gt;"",IF(INDEX(LdBNote,$M1003)="","—",INDEX(LdBNote,$M1003)),IF($N1003&lt;&gt;"",IF(INDEX(LdCNote,$N1003)="","—",INDEX(LdCNote,$N1003)),""))))</f>
        <v/>
      </c>
      <c r="L1003">
        <f>IFERROR(MATCH($C$5&amp;"|"&amp;RIGHT("000000"&amp;987,6),LdAKeyM,0),"")</f>
        <v/>
      </c>
      <c r="M1003">
        <f>IFERROR(MATCH($C$5&amp;"|"&amp;RIGHT("000000"&amp;987,6),LdBKeyM,0),"")</f>
        <v/>
      </c>
      <c r="N1003">
        <f>IFERROR(MATCH($C$5&amp;"|"&amp;RIGHT("000000"&amp;987,6),LdCKeyM,0),"")</f>
        <v/>
      </c>
    </row>
    <row r="1004">
      <c r="A1004" s="19" t="n">
        <v>988</v>
      </c>
      <c r="B1004" s="20">
        <f>IF(AND($L1004="",$M1004="",$N1004=""),"",IF($L1004&lt;&gt;"",INDEX(LdADate,$L1004),IF($M1004&lt;&gt;"",INDEX(LdBDate,$M1004),INDEX(LdCDate,$N1004))))</f>
        <v/>
      </c>
      <c r="C1004" s="20">
        <f>IF($L1004&lt;&gt;"","دستمزد (فردی)",IF($M1004&lt;&gt;"","سهم از گروه "&amp;IFERROR(VLOOKUP(INDEX(LdBGroup,$M1004),WGTbl,2,0),INDEX(LdBGroup,$M1004)),IF($N1004&lt;&gt;"",IF(N(INDEX(LdCDep,$N1004))&gt;0,"بازگشت بانکی","پرداخت بانکی"),"")))</f>
        <v/>
      </c>
      <c r="D1004" s="20">
        <f>IF($L1004&lt;&gt;"",IF(INDEX(LdAId,$L1004)="","—",INDEX(LdAId,$L1004)),IF($M1004&lt;&gt;"",IF(INDEX(LdBId,$M1004)="","—",INDEX(LdBId,$M1004)),IF($N1004&lt;&gt;"",IF(INDEX(LdCBank,$N1004)="","—",INDEX(LdCBank,$N1004)),"")))</f>
        <v/>
      </c>
      <c r="E1004" s="21">
        <f>IF($L1004&lt;&gt;"",IF(INDEX(LdAAmt,$L1004)=0,"",INDEX(LdAAmt,$L1004)),IF($M1004&lt;&gt;"",IF(INDEX(LdBAmt,$M1004)=0,"",INDEX(LdBAmt,$M1004)),IF($N1004&lt;&gt;"",IF(INDEX(LdCDep,$N1004)=0,"",INDEX(LdCDep,$N1004)),"")))</f>
        <v/>
      </c>
      <c r="F1004" s="21">
        <f>IF(AND($L1004="",$M1004="",$N1004=""),"",IF($N1004="","",IF(INDEX(LdCWit,$N1004)=0,"",INDEX(LdCWit,$N1004))))</f>
        <v/>
      </c>
      <c r="G1004" s="31">
        <f>IF($B1004="","",IF($G1003="",0,$G1003)+IF($E1004="",0,$E1004)-IF($F1004="",0,$F1004))</f>
        <v/>
      </c>
      <c r="H1004" s="32">
        <f>IF(AND($L1004="",$M1004="",$N1004=""),"",IF($L1004&lt;&gt;"",IF(INDEX(LdANote,$L1004)="","—",INDEX(LdANote,$L1004)),IF($M1004&lt;&gt;"",IF(INDEX(LdBNote,$M1004)="","—",INDEX(LdBNote,$M1004)),IF($N1004&lt;&gt;"",IF(INDEX(LdCNote,$N1004)="","—",INDEX(LdCNote,$N1004)),""))))</f>
        <v/>
      </c>
      <c r="L1004">
        <f>IFERROR(MATCH($C$5&amp;"|"&amp;RIGHT("000000"&amp;988,6),LdAKeyM,0),"")</f>
        <v/>
      </c>
      <c r="M1004">
        <f>IFERROR(MATCH($C$5&amp;"|"&amp;RIGHT("000000"&amp;988,6),LdBKeyM,0),"")</f>
        <v/>
      </c>
      <c r="N1004">
        <f>IFERROR(MATCH($C$5&amp;"|"&amp;RIGHT("000000"&amp;988,6),LdCKeyM,0),"")</f>
        <v/>
      </c>
    </row>
    <row r="1005">
      <c r="A1005" s="10" t="n">
        <v>989</v>
      </c>
      <c r="B1005" s="14">
        <f>IF(AND($L1005="",$M1005="",$N1005=""),"",IF($L1005&lt;&gt;"",INDEX(LdADate,$L1005),IF($M1005&lt;&gt;"",INDEX(LdBDate,$M1005),INDEX(LdCDate,$N1005))))</f>
        <v/>
      </c>
      <c r="C1005" s="14">
        <f>IF($L1005&lt;&gt;"","دستمزد (فردی)",IF($M1005&lt;&gt;"","سهم از گروه "&amp;IFERROR(VLOOKUP(INDEX(LdBGroup,$M1005),WGTbl,2,0),INDEX(LdBGroup,$M1005)),IF($N1005&lt;&gt;"",IF(N(INDEX(LdCDep,$N1005))&gt;0,"بازگشت بانکی","پرداخت بانکی"),"")))</f>
        <v/>
      </c>
      <c r="D1005" s="14">
        <f>IF($L1005&lt;&gt;"",IF(INDEX(LdAId,$L1005)="","—",INDEX(LdAId,$L1005)),IF($M1005&lt;&gt;"",IF(INDEX(LdBId,$M1005)="","—",INDEX(LdBId,$M1005)),IF($N1005&lt;&gt;"",IF(INDEX(LdCBank,$N1005)="","—",INDEX(LdCBank,$N1005)),"")))</f>
        <v/>
      </c>
      <c r="E1005" s="16">
        <f>IF($L1005&lt;&gt;"",IF(INDEX(LdAAmt,$L1005)=0,"",INDEX(LdAAmt,$L1005)),IF($M1005&lt;&gt;"",IF(INDEX(LdBAmt,$M1005)=0,"",INDEX(LdBAmt,$M1005)),IF($N1005&lt;&gt;"",IF(INDEX(LdCDep,$N1005)=0,"",INDEX(LdCDep,$N1005)),"")))</f>
        <v/>
      </c>
      <c r="F1005" s="16">
        <f>IF(AND($L1005="",$M1005="",$N1005=""),"",IF($N1005="","",IF(INDEX(LdCWit,$N1005)=0,"",INDEX(LdCWit,$N1005))))</f>
        <v/>
      </c>
      <c r="G1005" s="29">
        <f>IF($B1005="","",IF($G1004="",0,$G1004)+IF($E1005="",0,$E1005)-IF($F1005="",0,$F1005))</f>
        <v/>
      </c>
      <c r="H1005" s="30">
        <f>IF(AND($L1005="",$M1005="",$N1005=""),"",IF($L1005&lt;&gt;"",IF(INDEX(LdANote,$L1005)="","—",INDEX(LdANote,$L1005)),IF($M1005&lt;&gt;"",IF(INDEX(LdBNote,$M1005)="","—",INDEX(LdBNote,$M1005)),IF($N1005&lt;&gt;"",IF(INDEX(LdCNote,$N1005)="","—",INDEX(LdCNote,$N1005)),""))))</f>
        <v/>
      </c>
      <c r="L1005">
        <f>IFERROR(MATCH($C$5&amp;"|"&amp;RIGHT("000000"&amp;989,6),LdAKeyM,0),"")</f>
        <v/>
      </c>
      <c r="M1005">
        <f>IFERROR(MATCH($C$5&amp;"|"&amp;RIGHT("000000"&amp;989,6),LdBKeyM,0),"")</f>
        <v/>
      </c>
      <c r="N1005">
        <f>IFERROR(MATCH($C$5&amp;"|"&amp;RIGHT("000000"&amp;989,6),LdCKeyM,0),"")</f>
        <v/>
      </c>
    </row>
    <row r="1006">
      <c r="A1006" s="19" t="n">
        <v>990</v>
      </c>
      <c r="B1006" s="20">
        <f>IF(AND($L1006="",$M1006="",$N1006=""),"",IF($L1006&lt;&gt;"",INDEX(LdADate,$L1006),IF($M1006&lt;&gt;"",INDEX(LdBDate,$M1006),INDEX(LdCDate,$N1006))))</f>
        <v/>
      </c>
      <c r="C1006" s="20">
        <f>IF($L1006&lt;&gt;"","دستمزد (فردی)",IF($M1006&lt;&gt;"","سهم از گروه "&amp;IFERROR(VLOOKUP(INDEX(LdBGroup,$M1006),WGTbl,2,0),INDEX(LdBGroup,$M1006)),IF($N1006&lt;&gt;"",IF(N(INDEX(LdCDep,$N1006))&gt;0,"بازگشت بانکی","پرداخت بانکی"),"")))</f>
        <v/>
      </c>
      <c r="D1006" s="20">
        <f>IF($L1006&lt;&gt;"",IF(INDEX(LdAId,$L1006)="","—",INDEX(LdAId,$L1006)),IF($M1006&lt;&gt;"",IF(INDEX(LdBId,$M1006)="","—",INDEX(LdBId,$M1006)),IF($N1006&lt;&gt;"",IF(INDEX(LdCBank,$N1006)="","—",INDEX(LdCBank,$N1006)),"")))</f>
        <v/>
      </c>
      <c r="E1006" s="21">
        <f>IF($L1006&lt;&gt;"",IF(INDEX(LdAAmt,$L1006)=0,"",INDEX(LdAAmt,$L1006)),IF($M1006&lt;&gt;"",IF(INDEX(LdBAmt,$M1006)=0,"",INDEX(LdBAmt,$M1006)),IF($N1006&lt;&gt;"",IF(INDEX(LdCDep,$N1006)=0,"",INDEX(LdCDep,$N1006)),"")))</f>
        <v/>
      </c>
      <c r="F1006" s="21">
        <f>IF(AND($L1006="",$M1006="",$N1006=""),"",IF($N1006="","",IF(INDEX(LdCWit,$N1006)=0,"",INDEX(LdCWit,$N1006))))</f>
        <v/>
      </c>
      <c r="G1006" s="31">
        <f>IF($B1006="","",IF($G1005="",0,$G1005)+IF($E1006="",0,$E1006)-IF($F1006="",0,$F1006))</f>
        <v/>
      </c>
      <c r="H1006" s="32">
        <f>IF(AND($L1006="",$M1006="",$N1006=""),"",IF($L1006&lt;&gt;"",IF(INDEX(LdANote,$L1006)="","—",INDEX(LdANote,$L1006)),IF($M1006&lt;&gt;"",IF(INDEX(LdBNote,$M1006)="","—",INDEX(LdBNote,$M1006)),IF($N1006&lt;&gt;"",IF(INDEX(LdCNote,$N1006)="","—",INDEX(LdCNote,$N1006)),""))))</f>
        <v/>
      </c>
      <c r="L1006">
        <f>IFERROR(MATCH($C$5&amp;"|"&amp;RIGHT("000000"&amp;990,6),LdAKeyM,0),"")</f>
        <v/>
      </c>
      <c r="M1006">
        <f>IFERROR(MATCH($C$5&amp;"|"&amp;RIGHT("000000"&amp;990,6),LdBKeyM,0),"")</f>
        <v/>
      </c>
      <c r="N1006">
        <f>IFERROR(MATCH($C$5&amp;"|"&amp;RIGHT("000000"&amp;990,6),LdCKeyM,0),"")</f>
        <v/>
      </c>
    </row>
    <row r="1007">
      <c r="A1007" s="10" t="n">
        <v>991</v>
      </c>
      <c r="B1007" s="14">
        <f>IF(AND($L1007="",$M1007="",$N1007=""),"",IF($L1007&lt;&gt;"",INDEX(LdADate,$L1007),IF($M1007&lt;&gt;"",INDEX(LdBDate,$M1007),INDEX(LdCDate,$N1007))))</f>
        <v/>
      </c>
      <c r="C1007" s="14">
        <f>IF($L1007&lt;&gt;"","دستمزد (فردی)",IF($M1007&lt;&gt;"","سهم از گروه "&amp;IFERROR(VLOOKUP(INDEX(LdBGroup,$M1007),WGTbl,2,0),INDEX(LdBGroup,$M1007)),IF($N1007&lt;&gt;"",IF(N(INDEX(LdCDep,$N1007))&gt;0,"بازگشت بانکی","پرداخت بانکی"),"")))</f>
        <v/>
      </c>
      <c r="D1007" s="14">
        <f>IF($L1007&lt;&gt;"",IF(INDEX(LdAId,$L1007)="","—",INDEX(LdAId,$L1007)),IF($M1007&lt;&gt;"",IF(INDEX(LdBId,$M1007)="","—",INDEX(LdBId,$M1007)),IF($N1007&lt;&gt;"",IF(INDEX(LdCBank,$N1007)="","—",INDEX(LdCBank,$N1007)),"")))</f>
        <v/>
      </c>
      <c r="E1007" s="16">
        <f>IF($L1007&lt;&gt;"",IF(INDEX(LdAAmt,$L1007)=0,"",INDEX(LdAAmt,$L1007)),IF($M1007&lt;&gt;"",IF(INDEX(LdBAmt,$M1007)=0,"",INDEX(LdBAmt,$M1007)),IF($N1007&lt;&gt;"",IF(INDEX(LdCDep,$N1007)=0,"",INDEX(LdCDep,$N1007)),"")))</f>
        <v/>
      </c>
      <c r="F1007" s="16">
        <f>IF(AND($L1007="",$M1007="",$N1007=""),"",IF($N1007="","",IF(INDEX(LdCWit,$N1007)=0,"",INDEX(LdCWit,$N1007))))</f>
        <v/>
      </c>
      <c r="G1007" s="29">
        <f>IF($B1007="","",IF($G1006="",0,$G1006)+IF($E1007="",0,$E1007)-IF($F1007="",0,$F1007))</f>
        <v/>
      </c>
      <c r="H1007" s="30">
        <f>IF(AND($L1007="",$M1007="",$N1007=""),"",IF($L1007&lt;&gt;"",IF(INDEX(LdANote,$L1007)="","—",INDEX(LdANote,$L1007)),IF($M1007&lt;&gt;"",IF(INDEX(LdBNote,$M1007)="","—",INDEX(LdBNote,$M1007)),IF($N1007&lt;&gt;"",IF(INDEX(LdCNote,$N1007)="","—",INDEX(LdCNote,$N1007)),""))))</f>
        <v/>
      </c>
      <c r="L1007">
        <f>IFERROR(MATCH($C$5&amp;"|"&amp;RIGHT("000000"&amp;991,6),LdAKeyM,0),"")</f>
        <v/>
      </c>
      <c r="M1007">
        <f>IFERROR(MATCH($C$5&amp;"|"&amp;RIGHT("000000"&amp;991,6),LdBKeyM,0),"")</f>
        <v/>
      </c>
      <c r="N1007">
        <f>IFERROR(MATCH($C$5&amp;"|"&amp;RIGHT("000000"&amp;991,6),LdCKeyM,0),"")</f>
        <v/>
      </c>
    </row>
    <row r="1008">
      <c r="A1008" s="19" t="n">
        <v>992</v>
      </c>
      <c r="B1008" s="20">
        <f>IF(AND($L1008="",$M1008="",$N1008=""),"",IF($L1008&lt;&gt;"",INDEX(LdADate,$L1008),IF($M1008&lt;&gt;"",INDEX(LdBDate,$M1008),INDEX(LdCDate,$N1008))))</f>
        <v/>
      </c>
      <c r="C1008" s="20">
        <f>IF($L1008&lt;&gt;"","دستمزد (فردی)",IF($M1008&lt;&gt;"","سهم از گروه "&amp;IFERROR(VLOOKUP(INDEX(LdBGroup,$M1008),WGTbl,2,0),INDEX(LdBGroup,$M1008)),IF($N1008&lt;&gt;"",IF(N(INDEX(LdCDep,$N1008))&gt;0,"بازگشت بانکی","پرداخت بانکی"),"")))</f>
        <v/>
      </c>
      <c r="D1008" s="20">
        <f>IF($L1008&lt;&gt;"",IF(INDEX(LdAId,$L1008)="","—",INDEX(LdAId,$L1008)),IF($M1008&lt;&gt;"",IF(INDEX(LdBId,$M1008)="","—",INDEX(LdBId,$M1008)),IF($N1008&lt;&gt;"",IF(INDEX(LdCBank,$N1008)="","—",INDEX(LdCBank,$N1008)),"")))</f>
        <v/>
      </c>
      <c r="E1008" s="21">
        <f>IF($L1008&lt;&gt;"",IF(INDEX(LdAAmt,$L1008)=0,"",INDEX(LdAAmt,$L1008)),IF($M1008&lt;&gt;"",IF(INDEX(LdBAmt,$M1008)=0,"",INDEX(LdBAmt,$M1008)),IF($N1008&lt;&gt;"",IF(INDEX(LdCDep,$N1008)=0,"",INDEX(LdCDep,$N1008)),"")))</f>
        <v/>
      </c>
      <c r="F1008" s="21">
        <f>IF(AND($L1008="",$M1008="",$N1008=""),"",IF($N1008="","",IF(INDEX(LdCWit,$N1008)=0,"",INDEX(LdCWit,$N1008))))</f>
        <v/>
      </c>
      <c r="G1008" s="31">
        <f>IF($B1008="","",IF($G1007="",0,$G1007)+IF($E1008="",0,$E1008)-IF($F1008="",0,$F1008))</f>
        <v/>
      </c>
      <c r="H1008" s="32">
        <f>IF(AND($L1008="",$M1008="",$N1008=""),"",IF($L1008&lt;&gt;"",IF(INDEX(LdANote,$L1008)="","—",INDEX(LdANote,$L1008)),IF($M1008&lt;&gt;"",IF(INDEX(LdBNote,$M1008)="","—",INDEX(LdBNote,$M1008)),IF($N1008&lt;&gt;"",IF(INDEX(LdCNote,$N1008)="","—",INDEX(LdCNote,$N1008)),""))))</f>
        <v/>
      </c>
      <c r="L1008">
        <f>IFERROR(MATCH($C$5&amp;"|"&amp;RIGHT("000000"&amp;992,6),LdAKeyM,0),"")</f>
        <v/>
      </c>
      <c r="M1008">
        <f>IFERROR(MATCH($C$5&amp;"|"&amp;RIGHT("000000"&amp;992,6),LdBKeyM,0),"")</f>
        <v/>
      </c>
      <c r="N1008">
        <f>IFERROR(MATCH($C$5&amp;"|"&amp;RIGHT("000000"&amp;992,6),LdCKeyM,0),"")</f>
        <v/>
      </c>
    </row>
    <row r="1009">
      <c r="A1009" s="10" t="n">
        <v>993</v>
      </c>
      <c r="B1009" s="14">
        <f>IF(AND($L1009="",$M1009="",$N1009=""),"",IF($L1009&lt;&gt;"",INDEX(LdADate,$L1009),IF($M1009&lt;&gt;"",INDEX(LdBDate,$M1009),INDEX(LdCDate,$N1009))))</f>
        <v/>
      </c>
      <c r="C1009" s="14">
        <f>IF($L1009&lt;&gt;"","دستمزد (فردی)",IF($M1009&lt;&gt;"","سهم از گروه "&amp;IFERROR(VLOOKUP(INDEX(LdBGroup,$M1009),WGTbl,2,0),INDEX(LdBGroup,$M1009)),IF($N1009&lt;&gt;"",IF(N(INDEX(LdCDep,$N1009))&gt;0,"بازگشت بانکی","پرداخت بانکی"),"")))</f>
        <v/>
      </c>
      <c r="D1009" s="14">
        <f>IF($L1009&lt;&gt;"",IF(INDEX(LdAId,$L1009)="","—",INDEX(LdAId,$L1009)),IF($M1009&lt;&gt;"",IF(INDEX(LdBId,$M1009)="","—",INDEX(LdBId,$M1009)),IF($N1009&lt;&gt;"",IF(INDEX(LdCBank,$N1009)="","—",INDEX(LdCBank,$N1009)),"")))</f>
        <v/>
      </c>
      <c r="E1009" s="16">
        <f>IF($L1009&lt;&gt;"",IF(INDEX(LdAAmt,$L1009)=0,"",INDEX(LdAAmt,$L1009)),IF($M1009&lt;&gt;"",IF(INDEX(LdBAmt,$M1009)=0,"",INDEX(LdBAmt,$M1009)),IF($N1009&lt;&gt;"",IF(INDEX(LdCDep,$N1009)=0,"",INDEX(LdCDep,$N1009)),"")))</f>
        <v/>
      </c>
      <c r="F1009" s="16">
        <f>IF(AND($L1009="",$M1009="",$N1009=""),"",IF($N1009="","",IF(INDEX(LdCWit,$N1009)=0,"",INDEX(LdCWit,$N1009))))</f>
        <v/>
      </c>
      <c r="G1009" s="29">
        <f>IF($B1009="","",IF($G1008="",0,$G1008)+IF($E1009="",0,$E1009)-IF($F1009="",0,$F1009))</f>
        <v/>
      </c>
      <c r="H1009" s="30">
        <f>IF(AND($L1009="",$M1009="",$N1009=""),"",IF($L1009&lt;&gt;"",IF(INDEX(LdANote,$L1009)="","—",INDEX(LdANote,$L1009)),IF($M1009&lt;&gt;"",IF(INDEX(LdBNote,$M1009)="","—",INDEX(LdBNote,$M1009)),IF($N1009&lt;&gt;"",IF(INDEX(LdCNote,$N1009)="","—",INDEX(LdCNote,$N1009)),""))))</f>
        <v/>
      </c>
      <c r="L1009">
        <f>IFERROR(MATCH($C$5&amp;"|"&amp;RIGHT("000000"&amp;993,6),LdAKeyM,0),"")</f>
        <v/>
      </c>
      <c r="M1009">
        <f>IFERROR(MATCH($C$5&amp;"|"&amp;RIGHT("000000"&amp;993,6),LdBKeyM,0),"")</f>
        <v/>
      </c>
      <c r="N1009">
        <f>IFERROR(MATCH($C$5&amp;"|"&amp;RIGHT("000000"&amp;993,6),LdCKeyM,0),"")</f>
        <v/>
      </c>
    </row>
    <row r="1010">
      <c r="A1010" s="19" t="n">
        <v>994</v>
      </c>
      <c r="B1010" s="20">
        <f>IF(AND($L1010="",$M1010="",$N1010=""),"",IF($L1010&lt;&gt;"",INDEX(LdADate,$L1010),IF($M1010&lt;&gt;"",INDEX(LdBDate,$M1010),INDEX(LdCDate,$N1010))))</f>
        <v/>
      </c>
      <c r="C1010" s="20">
        <f>IF($L1010&lt;&gt;"","دستمزد (فردی)",IF($M1010&lt;&gt;"","سهم از گروه "&amp;IFERROR(VLOOKUP(INDEX(LdBGroup,$M1010),WGTbl,2,0),INDEX(LdBGroup,$M1010)),IF($N1010&lt;&gt;"",IF(N(INDEX(LdCDep,$N1010))&gt;0,"بازگشت بانکی","پرداخت بانکی"),"")))</f>
        <v/>
      </c>
      <c r="D1010" s="20">
        <f>IF($L1010&lt;&gt;"",IF(INDEX(LdAId,$L1010)="","—",INDEX(LdAId,$L1010)),IF($M1010&lt;&gt;"",IF(INDEX(LdBId,$M1010)="","—",INDEX(LdBId,$M1010)),IF($N1010&lt;&gt;"",IF(INDEX(LdCBank,$N1010)="","—",INDEX(LdCBank,$N1010)),"")))</f>
        <v/>
      </c>
      <c r="E1010" s="21">
        <f>IF($L1010&lt;&gt;"",IF(INDEX(LdAAmt,$L1010)=0,"",INDEX(LdAAmt,$L1010)),IF($M1010&lt;&gt;"",IF(INDEX(LdBAmt,$M1010)=0,"",INDEX(LdBAmt,$M1010)),IF($N1010&lt;&gt;"",IF(INDEX(LdCDep,$N1010)=0,"",INDEX(LdCDep,$N1010)),"")))</f>
        <v/>
      </c>
      <c r="F1010" s="21">
        <f>IF(AND($L1010="",$M1010="",$N1010=""),"",IF($N1010="","",IF(INDEX(LdCWit,$N1010)=0,"",INDEX(LdCWit,$N1010))))</f>
        <v/>
      </c>
      <c r="G1010" s="31">
        <f>IF($B1010="","",IF($G1009="",0,$G1009)+IF($E1010="",0,$E1010)-IF($F1010="",0,$F1010))</f>
        <v/>
      </c>
      <c r="H1010" s="32">
        <f>IF(AND($L1010="",$M1010="",$N1010=""),"",IF($L1010&lt;&gt;"",IF(INDEX(LdANote,$L1010)="","—",INDEX(LdANote,$L1010)),IF($M1010&lt;&gt;"",IF(INDEX(LdBNote,$M1010)="","—",INDEX(LdBNote,$M1010)),IF($N1010&lt;&gt;"",IF(INDEX(LdCNote,$N1010)="","—",INDEX(LdCNote,$N1010)),""))))</f>
        <v/>
      </c>
      <c r="L1010">
        <f>IFERROR(MATCH($C$5&amp;"|"&amp;RIGHT("000000"&amp;994,6),LdAKeyM,0),"")</f>
        <v/>
      </c>
      <c r="M1010">
        <f>IFERROR(MATCH($C$5&amp;"|"&amp;RIGHT("000000"&amp;994,6),LdBKeyM,0),"")</f>
        <v/>
      </c>
      <c r="N1010">
        <f>IFERROR(MATCH($C$5&amp;"|"&amp;RIGHT("000000"&amp;994,6),LdCKeyM,0),"")</f>
        <v/>
      </c>
    </row>
    <row r="1011">
      <c r="A1011" s="10" t="n">
        <v>995</v>
      </c>
      <c r="B1011" s="14">
        <f>IF(AND($L1011="",$M1011="",$N1011=""),"",IF($L1011&lt;&gt;"",INDEX(LdADate,$L1011),IF($M1011&lt;&gt;"",INDEX(LdBDate,$M1011),INDEX(LdCDate,$N1011))))</f>
        <v/>
      </c>
      <c r="C1011" s="14">
        <f>IF($L1011&lt;&gt;"","دستمزد (فردی)",IF($M1011&lt;&gt;"","سهم از گروه "&amp;IFERROR(VLOOKUP(INDEX(LdBGroup,$M1011),WGTbl,2,0),INDEX(LdBGroup,$M1011)),IF($N1011&lt;&gt;"",IF(N(INDEX(LdCDep,$N1011))&gt;0,"بازگشت بانکی","پرداخت بانکی"),"")))</f>
        <v/>
      </c>
      <c r="D1011" s="14">
        <f>IF($L1011&lt;&gt;"",IF(INDEX(LdAId,$L1011)="","—",INDEX(LdAId,$L1011)),IF($M1011&lt;&gt;"",IF(INDEX(LdBId,$M1011)="","—",INDEX(LdBId,$M1011)),IF($N1011&lt;&gt;"",IF(INDEX(LdCBank,$N1011)="","—",INDEX(LdCBank,$N1011)),"")))</f>
        <v/>
      </c>
      <c r="E1011" s="16">
        <f>IF($L1011&lt;&gt;"",IF(INDEX(LdAAmt,$L1011)=0,"",INDEX(LdAAmt,$L1011)),IF($M1011&lt;&gt;"",IF(INDEX(LdBAmt,$M1011)=0,"",INDEX(LdBAmt,$M1011)),IF($N1011&lt;&gt;"",IF(INDEX(LdCDep,$N1011)=0,"",INDEX(LdCDep,$N1011)),"")))</f>
        <v/>
      </c>
      <c r="F1011" s="16">
        <f>IF(AND($L1011="",$M1011="",$N1011=""),"",IF($N1011="","",IF(INDEX(LdCWit,$N1011)=0,"",INDEX(LdCWit,$N1011))))</f>
        <v/>
      </c>
      <c r="G1011" s="29">
        <f>IF($B1011="","",IF($G1010="",0,$G1010)+IF($E1011="",0,$E1011)-IF($F1011="",0,$F1011))</f>
        <v/>
      </c>
      <c r="H1011" s="30">
        <f>IF(AND($L1011="",$M1011="",$N1011=""),"",IF($L1011&lt;&gt;"",IF(INDEX(LdANote,$L1011)="","—",INDEX(LdANote,$L1011)),IF($M1011&lt;&gt;"",IF(INDEX(LdBNote,$M1011)="","—",INDEX(LdBNote,$M1011)),IF($N1011&lt;&gt;"",IF(INDEX(LdCNote,$N1011)="","—",INDEX(LdCNote,$N1011)),""))))</f>
        <v/>
      </c>
      <c r="L1011">
        <f>IFERROR(MATCH($C$5&amp;"|"&amp;RIGHT("000000"&amp;995,6),LdAKeyM,0),"")</f>
        <v/>
      </c>
      <c r="M1011">
        <f>IFERROR(MATCH($C$5&amp;"|"&amp;RIGHT("000000"&amp;995,6),LdBKeyM,0),"")</f>
        <v/>
      </c>
      <c r="N1011">
        <f>IFERROR(MATCH($C$5&amp;"|"&amp;RIGHT("000000"&amp;995,6),LdCKeyM,0),"")</f>
        <v/>
      </c>
    </row>
    <row r="1012">
      <c r="A1012" s="19" t="n">
        <v>996</v>
      </c>
      <c r="B1012" s="20">
        <f>IF(AND($L1012="",$M1012="",$N1012=""),"",IF($L1012&lt;&gt;"",INDEX(LdADate,$L1012),IF($M1012&lt;&gt;"",INDEX(LdBDate,$M1012),INDEX(LdCDate,$N1012))))</f>
        <v/>
      </c>
      <c r="C1012" s="20">
        <f>IF($L1012&lt;&gt;"","دستمزد (فردی)",IF($M1012&lt;&gt;"","سهم از گروه "&amp;IFERROR(VLOOKUP(INDEX(LdBGroup,$M1012),WGTbl,2,0),INDEX(LdBGroup,$M1012)),IF($N1012&lt;&gt;"",IF(N(INDEX(LdCDep,$N1012))&gt;0,"بازگشت بانکی","پرداخت بانکی"),"")))</f>
        <v/>
      </c>
      <c r="D1012" s="20">
        <f>IF($L1012&lt;&gt;"",IF(INDEX(LdAId,$L1012)="","—",INDEX(LdAId,$L1012)),IF($M1012&lt;&gt;"",IF(INDEX(LdBId,$M1012)="","—",INDEX(LdBId,$M1012)),IF($N1012&lt;&gt;"",IF(INDEX(LdCBank,$N1012)="","—",INDEX(LdCBank,$N1012)),"")))</f>
        <v/>
      </c>
      <c r="E1012" s="21">
        <f>IF($L1012&lt;&gt;"",IF(INDEX(LdAAmt,$L1012)=0,"",INDEX(LdAAmt,$L1012)),IF($M1012&lt;&gt;"",IF(INDEX(LdBAmt,$M1012)=0,"",INDEX(LdBAmt,$M1012)),IF($N1012&lt;&gt;"",IF(INDEX(LdCDep,$N1012)=0,"",INDEX(LdCDep,$N1012)),"")))</f>
        <v/>
      </c>
      <c r="F1012" s="21">
        <f>IF(AND($L1012="",$M1012="",$N1012=""),"",IF($N1012="","",IF(INDEX(LdCWit,$N1012)=0,"",INDEX(LdCWit,$N1012))))</f>
        <v/>
      </c>
      <c r="G1012" s="31">
        <f>IF($B1012="","",IF($G1011="",0,$G1011)+IF($E1012="",0,$E1012)-IF($F1012="",0,$F1012))</f>
        <v/>
      </c>
      <c r="H1012" s="32">
        <f>IF(AND($L1012="",$M1012="",$N1012=""),"",IF($L1012&lt;&gt;"",IF(INDEX(LdANote,$L1012)="","—",INDEX(LdANote,$L1012)),IF($M1012&lt;&gt;"",IF(INDEX(LdBNote,$M1012)="","—",INDEX(LdBNote,$M1012)),IF($N1012&lt;&gt;"",IF(INDEX(LdCNote,$N1012)="","—",INDEX(LdCNote,$N1012)),""))))</f>
        <v/>
      </c>
      <c r="L1012">
        <f>IFERROR(MATCH($C$5&amp;"|"&amp;RIGHT("000000"&amp;996,6),LdAKeyM,0),"")</f>
        <v/>
      </c>
      <c r="M1012">
        <f>IFERROR(MATCH($C$5&amp;"|"&amp;RIGHT("000000"&amp;996,6),LdBKeyM,0),"")</f>
        <v/>
      </c>
      <c r="N1012">
        <f>IFERROR(MATCH($C$5&amp;"|"&amp;RIGHT("000000"&amp;996,6),LdCKeyM,0),"")</f>
        <v/>
      </c>
    </row>
    <row r="1013">
      <c r="A1013" s="10" t="n">
        <v>997</v>
      </c>
      <c r="B1013" s="14">
        <f>IF(AND($L1013="",$M1013="",$N1013=""),"",IF($L1013&lt;&gt;"",INDEX(LdADate,$L1013),IF($M1013&lt;&gt;"",INDEX(LdBDate,$M1013),INDEX(LdCDate,$N1013))))</f>
        <v/>
      </c>
      <c r="C1013" s="14">
        <f>IF($L1013&lt;&gt;"","دستمزد (فردی)",IF($M1013&lt;&gt;"","سهم از گروه "&amp;IFERROR(VLOOKUP(INDEX(LdBGroup,$M1013),WGTbl,2,0),INDEX(LdBGroup,$M1013)),IF($N1013&lt;&gt;"",IF(N(INDEX(LdCDep,$N1013))&gt;0,"بازگشت بانکی","پرداخت بانکی"),"")))</f>
        <v/>
      </c>
      <c r="D1013" s="14">
        <f>IF($L1013&lt;&gt;"",IF(INDEX(LdAId,$L1013)="","—",INDEX(LdAId,$L1013)),IF($M1013&lt;&gt;"",IF(INDEX(LdBId,$M1013)="","—",INDEX(LdBId,$M1013)),IF($N1013&lt;&gt;"",IF(INDEX(LdCBank,$N1013)="","—",INDEX(LdCBank,$N1013)),"")))</f>
        <v/>
      </c>
      <c r="E1013" s="16">
        <f>IF($L1013&lt;&gt;"",IF(INDEX(LdAAmt,$L1013)=0,"",INDEX(LdAAmt,$L1013)),IF($M1013&lt;&gt;"",IF(INDEX(LdBAmt,$M1013)=0,"",INDEX(LdBAmt,$M1013)),IF($N1013&lt;&gt;"",IF(INDEX(LdCDep,$N1013)=0,"",INDEX(LdCDep,$N1013)),"")))</f>
        <v/>
      </c>
      <c r="F1013" s="16">
        <f>IF(AND($L1013="",$M1013="",$N1013=""),"",IF($N1013="","",IF(INDEX(LdCWit,$N1013)=0,"",INDEX(LdCWit,$N1013))))</f>
        <v/>
      </c>
      <c r="G1013" s="29">
        <f>IF($B1013="","",IF($G1012="",0,$G1012)+IF($E1013="",0,$E1013)-IF($F1013="",0,$F1013))</f>
        <v/>
      </c>
      <c r="H1013" s="30">
        <f>IF(AND($L1013="",$M1013="",$N1013=""),"",IF($L1013&lt;&gt;"",IF(INDEX(LdANote,$L1013)="","—",INDEX(LdANote,$L1013)),IF($M1013&lt;&gt;"",IF(INDEX(LdBNote,$M1013)="","—",INDEX(LdBNote,$M1013)),IF($N1013&lt;&gt;"",IF(INDEX(LdCNote,$N1013)="","—",INDEX(LdCNote,$N1013)),""))))</f>
        <v/>
      </c>
      <c r="L1013">
        <f>IFERROR(MATCH($C$5&amp;"|"&amp;RIGHT("000000"&amp;997,6),LdAKeyM,0),"")</f>
        <v/>
      </c>
      <c r="M1013">
        <f>IFERROR(MATCH($C$5&amp;"|"&amp;RIGHT("000000"&amp;997,6),LdBKeyM,0),"")</f>
        <v/>
      </c>
      <c r="N1013">
        <f>IFERROR(MATCH($C$5&amp;"|"&amp;RIGHT("000000"&amp;997,6),LdCKeyM,0),"")</f>
        <v/>
      </c>
    </row>
    <row r="1014">
      <c r="A1014" s="19" t="n">
        <v>998</v>
      </c>
      <c r="B1014" s="20">
        <f>IF(AND($L1014="",$M1014="",$N1014=""),"",IF($L1014&lt;&gt;"",INDEX(LdADate,$L1014),IF($M1014&lt;&gt;"",INDEX(LdBDate,$M1014),INDEX(LdCDate,$N1014))))</f>
        <v/>
      </c>
      <c r="C1014" s="20">
        <f>IF($L1014&lt;&gt;"","دستمزد (فردی)",IF($M1014&lt;&gt;"","سهم از گروه "&amp;IFERROR(VLOOKUP(INDEX(LdBGroup,$M1014),WGTbl,2,0),INDEX(LdBGroup,$M1014)),IF($N1014&lt;&gt;"",IF(N(INDEX(LdCDep,$N1014))&gt;0,"بازگشت بانکی","پرداخت بانکی"),"")))</f>
        <v/>
      </c>
      <c r="D1014" s="20">
        <f>IF($L1014&lt;&gt;"",IF(INDEX(LdAId,$L1014)="","—",INDEX(LdAId,$L1014)),IF($M1014&lt;&gt;"",IF(INDEX(LdBId,$M1014)="","—",INDEX(LdBId,$M1014)),IF($N1014&lt;&gt;"",IF(INDEX(LdCBank,$N1014)="","—",INDEX(LdCBank,$N1014)),"")))</f>
        <v/>
      </c>
      <c r="E1014" s="21">
        <f>IF($L1014&lt;&gt;"",IF(INDEX(LdAAmt,$L1014)=0,"",INDEX(LdAAmt,$L1014)),IF($M1014&lt;&gt;"",IF(INDEX(LdBAmt,$M1014)=0,"",INDEX(LdBAmt,$M1014)),IF($N1014&lt;&gt;"",IF(INDEX(LdCDep,$N1014)=0,"",INDEX(LdCDep,$N1014)),"")))</f>
        <v/>
      </c>
      <c r="F1014" s="21">
        <f>IF(AND($L1014="",$M1014="",$N1014=""),"",IF($N1014="","",IF(INDEX(LdCWit,$N1014)=0,"",INDEX(LdCWit,$N1014))))</f>
        <v/>
      </c>
      <c r="G1014" s="31">
        <f>IF($B1014="","",IF($G1013="",0,$G1013)+IF($E1014="",0,$E1014)-IF($F1014="",0,$F1014))</f>
        <v/>
      </c>
      <c r="H1014" s="32">
        <f>IF(AND($L1014="",$M1014="",$N1014=""),"",IF($L1014&lt;&gt;"",IF(INDEX(LdANote,$L1014)="","—",INDEX(LdANote,$L1014)),IF($M1014&lt;&gt;"",IF(INDEX(LdBNote,$M1014)="","—",INDEX(LdBNote,$M1014)),IF($N1014&lt;&gt;"",IF(INDEX(LdCNote,$N1014)="","—",INDEX(LdCNote,$N1014)),""))))</f>
        <v/>
      </c>
      <c r="L1014">
        <f>IFERROR(MATCH($C$5&amp;"|"&amp;RIGHT("000000"&amp;998,6),LdAKeyM,0),"")</f>
        <v/>
      </c>
      <c r="M1014">
        <f>IFERROR(MATCH($C$5&amp;"|"&amp;RIGHT("000000"&amp;998,6),LdBKeyM,0),"")</f>
        <v/>
      </c>
      <c r="N1014">
        <f>IFERROR(MATCH($C$5&amp;"|"&amp;RIGHT("000000"&amp;998,6),LdCKeyM,0),"")</f>
        <v/>
      </c>
    </row>
    <row r="1015">
      <c r="A1015" s="10" t="n">
        <v>999</v>
      </c>
      <c r="B1015" s="14">
        <f>IF(AND($L1015="",$M1015="",$N1015=""),"",IF($L1015&lt;&gt;"",INDEX(LdADate,$L1015),IF($M1015&lt;&gt;"",INDEX(LdBDate,$M1015),INDEX(LdCDate,$N1015))))</f>
        <v/>
      </c>
      <c r="C1015" s="14">
        <f>IF($L1015&lt;&gt;"","دستمزد (فردی)",IF($M1015&lt;&gt;"","سهم از گروه "&amp;IFERROR(VLOOKUP(INDEX(LdBGroup,$M1015),WGTbl,2,0),INDEX(LdBGroup,$M1015)),IF($N1015&lt;&gt;"",IF(N(INDEX(LdCDep,$N1015))&gt;0,"بازگشت بانکی","پرداخت بانکی"),"")))</f>
        <v/>
      </c>
      <c r="D1015" s="14">
        <f>IF($L1015&lt;&gt;"",IF(INDEX(LdAId,$L1015)="","—",INDEX(LdAId,$L1015)),IF($M1015&lt;&gt;"",IF(INDEX(LdBId,$M1015)="","—",INDEX(LdBId,$M1015)),IF($N1015&lt;&gt;"",IF(INDEX(LdCBank,$N1015)="","—",INDEX(LdCBank,$N1015)),"")))</f>
        <v/>
      </c>
      <c r="E1015" s="16">
        <f>IF($L1015&lt;&gt;"",IF(INDEX(LdAAmt,$L1015)=0,"",INDEX(LdAAmt,$L1015)),IF($M1015&lt;&gt;"",IF(INDEX(LdBAmt,$M1015)=0,"",INDEX(LdBAmt,$M1015)),IF($N1015&lt;&gt;"",IF(INDEX(LdCDep,$N1015)=0,"",INDEX(LdCDep,$N1015)),"")))</f>
        <v/>
      </c>
      <c r="F1015" s="16">
        <f>IF(AND($L1015="",$M1015="",$N1015=""),"",IF($N1015="","",IF(INDEX(LdCWit,$N1015)=0,"",INDEX(LdCWit,$N1015))))</f>
        <v/>
      </c>
      <c r="G1015" s="29">
        <f>IF($B1015="","",IF($G1014="",0,$G1014)+IF($E1015="",0,$E1015)-IF($F1015="",0,$F1015))</f>
        <v/>
      </c>
      <c r="H1015" s="30">
        <f>IF(AND($L1015="",$M1015="",$N1015=""),"",IF($L1015&lt;&gt;"",IF(INDEX(LdANote,$L1015)="","—",INDEX(LdANote,$L1015)),IF($M1015&lt;&gt;"",IF(INDEX(LdBNote,$M1015)="","—",INDEX(LdBNote,$M1015)),IF($N1015&lt;&gt;"",IF(INDEX(LdCNote,$N1015)="","—",INDEX(LdCNote,$N1015)),""))))</f>
        <v/>
      </c>
      <c r="L1015">
        <f>IFERROR(MATCH($C$5&amp;"|"&amp;RIGHT("000000"&amp;999,6),LdAKeyM,0),"")</f>
        <v/>
      </c>
      <c r="M1015">
        <f>IFERROR(MATCH($C$5&amp;"|"&amp;RIGHT("000000"&amp;999,6),LdBKeyM,0),"")</f>
        <v/>
      </c>
      <c r="N1015">
        <f>IFERROR(MATCH($C$5&amp;"|"&amp;RIGHT("000000"&amp;999,6),LdCKeyM,0),"")</f>
        <v/>
      </c>
    </row>
    <row r="1016">
      <c r="A1016" s="19" t="n">
        <v>1000</v>
      </c>
      <c r="B1016" s="20">
        <f>IF(AND($L1016="",$M1016="",$N1016=""),"",IF($L1016&lt;&gt;"",INDEX(LdADate,$L1016),IF($M1016&lt;&gt;"",INDEX(LdBDate,$M1016),INDEX(LdCDate,$N1016))))</f>
        <v/>
      </c>
      <c r="C1016" s="20">
        <f>IF($L1016&lt;&gt;"","دستمزد (فردی)",IF($M1016&lt;&gt;"","سهم از گروه "&amp;IFERROR(VLOOKUP(INDEX(LdBGroup,$M1016),WGTbl,2,0),INDEX(LdBGroup,$M1016)),IF($N1016&lt;&gt;"",IF(N(INDEX(LdCDep,$N1016))&gt;0,"بازگشت بانکی","پرداخت بانکی"),"")))</f>
        <v/>
      </c>
      <c r="D1016" s="20">
        <f>IF($L1016&lt;&gt;"",IF(INDEX(LdAId,$L1016)="","—",INDEX(LdAId,$L1016)),IF($M1016&lt;&gt;"",IF(INDEX(LdBId,$M1016)="","—",INDEX(LdBId,$M1016)),IF($N1016&lt;&gt;"",IF(INDEX(LdCBank,$N1016)="","—",INDEX(LdCBank,$N1016)),"")))</f>
        <v/>
      </c>
      <c r="E1016" s="21">
        <f>IF($L1016&lt;&gt;"",IF(INDEX(LdAAmt,$L1016)=0,"",INDEX(LdAAmt,$L1016)),IF($M1016&lt;&gt;"",IF(INDEX(LdBAmt,$M1016)=0,"",INDEX(LdBAmt,$M1016)),IF($N1016&lt;&gt;"",IF(INDEX(LdCDep,$N1016)=0,"",INDEX(LdCDep,$N1016)),"")))</f>
        <v/>
      </c>
      <c r="F1016" s="21">
        <f>IF(AND($L1016="",$M1016="",$N1016=""),"",IF($N1016="","",IF(INDEX(LdCWit,$N1016)=0,"",INDEX(LdCWit,$N1016))))</f>
        <v/>
      </c>
      <c r="G1016" s="31">
        <f>IF($B1016="","",IF($G1015="",0,$G1015)+IF($E1016="",0,$E1016)-IF($F1016="",0,$F1016))</f>
        <v/>
      </c>
      <c r="H1016" s="32">
        <f>IF(AND($L1016="",$M1016="",$N1016=""),"",IF($L1016&lt;&gt;"",IF(INDEX(LdANote,$L1016)="","—",INDEX(LdANote,$L1016)),IF($M1016&lt;&gt;"",IF(INDEX(LdBNote,$M1016)="","—",INDEX(LdBNote,$M1016)),IF($N1016&lt;&gt;"",IF(INDEX(LdCNote,$N1016)="","—",INDEX(LdCNote,$N1016)),""))))</f>
        <v/>
      </c>
      <c r="L1016">
        <f>IFERROR(MATCH($C$5&amp;"|"&amp;RIGHT("000000"&amp;1000,6),LdAKeyM,0),"")</f>
        <v/>
      </c>
      <c r="M1016">
        <f>IFERROR(MATCH($C$5&amp;"|"&amp;RIGHT("000000"&amp;1000,6),LdBKeyM,0),"")</f>
        <v/>
      </c>
      <c r="N1016">
        <f>IFERROR(MATCH($C$5&amp;"|"&amp;RIGHT("000000"&amp;1000,6),LdCKeyM,0),"")</f>
        <v/>
      </c>
    </row>
    <row r="1017">
      <c r="A1017" s="10" t="n">
        <v>1001</v>
      </c>
      <c r="B1017" s="14">
        <f>IF(AND($L1017="",$M1017="",$N1017=""),"",IF($L1017&lt;&gt;"",INDEX(LdADate,$L1017),IF($M1017&lt;&gt;"",INDEX(LdBDate,$M1017),INDEX(LdCDate,$N1017))))</f>
        <v/>
      </c>
      <c r="C1017" s="14">
        <f>IF($L1017&lt;&gt;"","دستمزد (فردی)",IF($M1017&lt;&gt;"","سهم از گروه "&amp;IFERROR(VLOOKUP(INDEX(LdBGroup,$M1017),WGTbl,2,0),INDEX(LdBGroup,$M1017)),IF($N1017&lt;&gt;"",IF(N(INDEX(LdCDep,$N1017))&gt;0,"بازگشت بانکی","پرداخت بانکی"),"")))</f>
        <v/>
      </c>
      <c r="D1017" s="14">
        <f>IF($L1017&lt;&gt;"",IF(INDEX(LdAId,$L1017)="","—",INDEX(LdAId,$L1017)),IF($M1017&lt;&gt;"",IF(INDEX(LdBId,$M1017)="","—",INDEX(LdBId,$M1017)),IF($N1017&lt;&gt;"",IF(INDEX(LdCBank,$N1017)="","—",INDEX(LdCBank,$N1017)),"")))</f>
        <v/>
      </c>
      <c r="E1017" s="16">
        <f>IF($L1017&lt;&gt;"",IF(INDEX(LdAAmt,$L1017)=0,"",INDEX(LdAAmt,$L1017)),IF($M1017&lt;&gt;"",IF(INDEX(LdBAmt,$M1017)=0,"",INDEX(LdBAmt,$M1017)),IF($N1017&lt;&gt;"",IF(INDEX(LdCDep,$N1017)=0,"",INDEX(LdCDep,$N1017)),"")))</f>
        <v/>
      </c>
      <c r="F1017" s="16">
        <f>IF(AND($L1017="",$M1017="",$N1017=""),"",IF($N1017="","",IF(INDEX(LdCWit,$N1017)=0,"",INDEX(LdCWit,$N1017))))</f>
        <v/>
      </c>
      <c r="G1017" s="29">
        <f>IF($B1017="","",IF($G1016="",0,$G1016)+IF($E1017="",0,$E1017)-IF($F1017="",0,$F1017))</f>
        <v/>
      </c>
      <c r="H1017" s="30">
        <f>IF(AND($L1017="",$M1017="",$N1017=""),"",IF($L1017&lt;&gt;"",IF(INDEX(LdANote,$L1017)="","—",INDEX(LdANote,$L1017)),IF($M1017&lt;&gt;"",IF(INDEX(LdBNote,$M1017)="","—",INDEX(LdBNote,$M1017)),IF($N1017&lt;&gt;"",IF(INDEX(LdCNote,$N1017)="","—",INDEX(LdCNote,$N1017)),""))))</f>
        <v/>
      </c>
      <c r="L1017">
        <f>IFERROR(MATCH($C$5&amp;"|"&amp;RIGHT("000000"&amp;1001,6),LdAKeyM,0),"")</f>
        <v/>
      </c>
      <c r="M1017">
        <f>IFERROR(MATCH($C$5&amp;"|"&amp;RIGHT("000000"&amp;1001,6),LdBKeyM,0),"")</f>
        <v/>
      </c>
      <c r="N1017">
        <f>IFERROR(MATCH($C$5&amp;"|"&amp;RIGHT("000000"&amp;1001,6),LdCKeyM,0),"")</f>
        <v/>
      </c>
    </row>
    <row r="1018">
      <c r="A1018" s="19" t="n">
        <v>1002</v>
      </c>
      <c r="B1018" s="20">
        <f>IF(AND($L1018="",$M1018="",$N1018=""),"",IF($L1018&lt;&gt;"",INDEX(LdADate,$L1018),IF($M1018&lt;&gt;"",INDEX(LdBDate,$M1018),INDEX(LdCDate,$N1018))))</f>
        <v/>
      </c>
      <c r="C1018" s="20">
        <f>IF($L1018&lt;&gt;"","دستمزد (فردی)",IF($M1018&lt;&gt;"","سهم از گروه "&amp;IFERROR(VLOOKUP(INDEX(LdBGroup,$M1018),WGTbl,2,0),INDEX(LdBGroup,$M1018)),IF($N1018&lt;&gt;"",IF(N(INDEX(LdCDep,$N1018))&gt;0,"بازگشت بانکی","پرداخت بانکی"),"")))</f>
        <v/>
      </c>
      <c r="D1018" s="20">
        <f>IF($L1018&lt;&gt;"",IF(INDEX(LdAId,$L1018)="","—",INDEX(LdAId,$L1018)),IF($M1018&lt;&gt;"",IF(INDEX(LdBId,$M1018)="","—",INDEX(LdBId,$M1018)),IF($N1018&lt;&gt;"",IF(INDEX(LdCBank,$N1018)="","—",INDEX(LdCBank,$N1018)),"")))</f>
        <v/>
      </c>
      <c r="E1018" s="21">
        <f>IF($L1018&lt;&gt;"",IF(INDEX(LdAAmt,$L1018)=0,"",INDEX(LdAAmt,$L1018)),IF($M1018&lt;&gt;"",IF(INDEX(LdBAmt,$M1018)=0,"",INDEX(LdBAmt,$M1018)),IF($N1018&lt;&gt;"",IF(INDEX(LdCDep,$N1018)=0,"",INDEX(LdCDep,$N1018)),"")))</f>
        <v/>
      </c>
      <c r="F1018" s="21">
        <f>IF(AND($L1018="",$M1018="",$N1018=""),"",IF($N1018="","",IF(INDEX(LdCWit,$N1018)=0,"",INDEX(LdCWit,$N1018))))</f>
        <v/>
      </c>
      <c r="G1018" s="31">
        <f>IF($B1018="","",IF($G1017="",0,$G1017)+IF($E1018="",0,$E1018)-IF($F1018="",0,$F1018))</f>
        <v/>
      </c>
      <c r="H1018" s="32">
        <f>IF(AND($L1018="",$M1018="",$N1018=""),"",IF($L1018&lt;&gt;"",IF(INDEX(LdANote,$L1018)="","—",INDEX(LdANote,$L1018)),IF($M1018&lt;&gt;"",IF(INDEX(LdBNote,$M1018)="","—",INDEX(LdBNote,$M1018)),IF($N1018&lt;&gt;"",IF(INDEX(LdCNote,$N1018)="","—",INDEX(LdCNote,$N1018)),""))))</f>
        <v/>
      </c>
      <c r="L1018">
        <f>IFERROR(MATCH($C$5&amp;"|"&amp;RIGHT("000000"&amp;1002,6),LdAKeyM,0),"")</f>
        <v/>
      </c>
      <c r="M1018">
        <f>IFERROR(MATCH($C$5&amp;"|"&amp;RIGHT("000000"&amp;1002,6),LdBKeyM,0),"")</f>
        <v/>
      </c>
      <c r="N1018">
        <f>IFERROR(MATCH($C$5&amp;"|"&amp;RIGHT("000000"&amp;1002,6),LdCKeyM,0),"")</f>
        <v/>
      </c>
    </row>
    <row r="1019">
      <c r="A1019" s="10" t="n">
        <v>1003</v>
      </c>
      <c r="B1019" s="14">
        <f>IF(AND($L1019="",$M1019="",$N1019=""),"",IF($L1019&lt;&gt;"",INDEX(LdADate,$L1019),IF($M1019&lt;&gt;"",INDEX(LdBDate,$M1019),INDEX(LdCDate,$N1019))))</f>
        <v/>
      </c>
      <c r="C1019" s="14">
        <f>IF($L1019&lt;&gt;"","دستمزد (فردی)",IF($M1019&lt;&gt;"","سهم از گروه "&amp;IFERROR(VLOOKUP(INDEX(LdBGroup,$M1019),WGTbl,2,0),INDEX(LdBGroup,$M1019)),IF($N1019&lt;&gt;"",IF(N(INDEX(LdCDep,$N1019))&gt;0,"بازگشت بانکی","پرداخت بانکی"),"")))</f>
        <v/>
      </c>
      <c r="D1019" s="14">
        <f>IF($L1019&lt;&gt;"",IF(INDEX(LdAId,$L1019)="","—",INDEX(LdAId,$L1019)),IF($M1019&lt;&gt;"",IF(INDEX(LdBId,$M1019)="","—",INDEX(LdBId,$M1019)),IF($N1019&lt;&gt;"",IF(INDEX(LdCBank,$N1019)="","—",INDEX(LdCBank,$N1019)),"")))</f>
        <v/>
      </c>
      <c r="E1019" s="16">
        <f>IF($L1019&lt;&gt;"",IF(INDEX(LdAAmt,$L1019)=0,"",INDEX(LdAAmt,$L1019)),IF($M1019&lt;&gt;"",IF(INDEX(LdBAmt,$M1019)=0,"",INDEX(LdBAmt,$M1019)),IF($N1019&lt;&gt;"",IF(INDEX(LdCDep,$N1019)=0,"",INDEX(LdCDep,$N1019)),"")))</f>
        <v/>
      </c>
      <c r="F1019" s="16">
        <f>IF(AND($L1019="",$M1019="",$N1019=""),"",IF($N1019="","",IF(INDEX(LdCWit,$N1019)=0,"",INDEX(LdCWit,$N1019))))</f>
        <v/>
      </c>
      <c r="G1019" s="29">
        <f>IF($B1019="","",IF($G1018="",0,$G1018)+IF($E1019="",0,$E1019)-IF($F1019="",0,$F1019))</f>
        <v/>
      </c>
      <c r="H1019" s="30">
        <f>IF(AND($L1019="",$M1019="",$N1019=""),"",IF($L1019&lt;&gt;"",IF(INDEX(LdANote,$L1019)="","—",INDEX(LdANote,$L1019)),IF($M1019&lt;&gt;"",IF(INDEX(LdBNote,$M1019)="","—",INDEX(LdBNote,$M1019)),IF($N1019&lt;&gt;"",IF(INDEX(LdCNote,$N1019)="","—",INDEX(LdCNote,$N1019)),""))))</f>
        <v/>
      </c>
      <c r="L1019">
        <f>IFERROR(MATCH($C$5&amp;"|"&amp;RIGHT("000000"&amp;1003,6),LdAKeyM,0),"")</f>
        <v/>
      </c>
      <c r="M1019">
        <f>IFERROR(MATCH($C$5&amp;"|"&amp;RIGHT("000000"&amp;1003,6),LdBKeyM,0),"")</f>
        <v/>
      </c>
      <c r="N1019">
        <f>IFERROR(MATCH($C$5&amp;"|"&amp;RIGHT("000000"&amp;1003,6),LdCKeyM,0),"")</f>
        <v/>
      </c>
    </row>
    <row r="1020">
      <c r="A1020" s="19" t="n">
        <v>1004</v>
      </c>
      <c r="B1020" s="20">
        <f>IF(AND($L1020="",$M1020="",$N1020=""),"",IF($L1020&lt;&gt;"",INDEX(LdADate,$L1020),IF($M1020&lt;&gt;"",INDEX(LdBDate,$M1020),INDEX(LdCDate,$N1020))))</f>
        <v/>
      </c>
      <c r="C1020" s="20">
        <f>IF($L1020&lt;&gt;"","دستمزد (فردی)",IF($M1020&lt;&gt;"","سهم از گروه "&amp;IFERROR(VLOOKUP(INDEX(LdBGroup,$M1020),WGTbl,2,0),INDEX(LdBGroup,$M1020)),IF($N1020&lt;&gt;"",IF(N(INDEX(LdCDep,$N1020))&gt;0,"بازگشت بانکی","پرداخت بانکی"),"")))</f>
        <v/>
      </c>
      <c r="D1020" s="20">
        <f>IF($L1020&lt;&gt;"",IF(INDEX(LdAId,$L1020)="","—",INDEX(LdAId,$L1020)),IF($M1020&lt;&gt;"",IF(INDEX(LdBId,$M1020)="","—",INDEX(LdBId,$M1020)),IF($N1020&lt;&gt;"",IF(INDEX(LdCBank,$N1020)="","—",INDEX(LdCBank,$N1020)),"")))</f>
        <v/>
      </c>
      <c r="E1020" s="21">
        <f>IF($L1020&lt;&gt;"",IF(INDEX(LdAAmt,$L1020)=0,"",INDEX(LdAAmt,$L1020)),IF($M1020&lt;&gt;"",IF(INDEX(LdBAmt,$M1020)=0,"",INDEX(LdBAmt,$M1020)),IF($N1020&lt;&gt;"",IF(INDEX(LdCDep,$N1020)=0,"",INDEX(LdCDep,$N1020)),"")))</f>
        <v/>
      </c>
      <c r="F1020" s="21">
        <f>IF(AND($L1020="",$M1020="",$N1020=""),"",IF($N1020="","",IF(INDEX(LdCWit,$N1020)=0,"",INDEX(LdCWit,$N1020))))</f>
        <v/>
      </c>
      <c r="G1020" s="31">
        <f>IF($B1020="","",IF($G1019="",0,$G1019)+IF($E1020="",0,$E1020)-IF($F1020="",0,$F1020))</f>
        <v/>
      </c>
      <c r="H1020" s="32">
        <f>IF(AND($L1020="",$M1020="",$N1020=""),"",IF($L1020&lt;&gt;"",IF(INDEX(LdANote,$L1020)="","—",INDEX(LdANote,$L1020)),IF($M1020&lt;&gt;"",IF(INDEX(LdBNote,$M1020)="","—",INDEX(LdBNote,$M1020)),IF($N1020&lt;&gt;"",IF(INDEX(LdCNote,$N1020)="","—",INDEX(LdCNote,$N1020)),""))))</f>
        <v/>
      </c>
      <c r="L1020">
        <f>IFERROR(MATCH($C$5&amp;"|"&amp;RIGHT("000000"&amp;1004,6),LdAKeyM,0),"")</f>
        <v/>
      </c>
      <c r="M1020">
        <f>IFERROR(MATCH($C$5&amp;"|"&amp;RIGHT("000000"&amp;1004,6),LdBKeyM,0),"")</f>
        <v/>
      </c>
      <c r="N1020">
        <f>IFERROR(MATCH($C$5&amp;"|"&amp;RIGHT("000000"&amp;1004,6),LdCKeyM,0),"")</f>
        <v/>
      </c>
    </row>
    <row r="1021">
      <c r="A1021" s="10" t="n">
        <v>1005</v>
      </c>
      <c r="B1021" s="14">
        <f>IF(AND($L1021="",$M1021="",$N1021=""),"",IF($L1021&lt;&gt;"",INDEX(LdADate,$L1021),IF($M1021&lt;&gt;"",INDEX(LdBDate,$M1021),INDEX(LdCDate,$N1021))))</f>
        <v/>
      </c>
      <c r="C1021" s="14">
        <f>IF($L1021&lt;&gt;"","دستمزد (فردی)",IF($M1021&lt;&gt;"","سهم از گروه "&amp;IFERROR(VLOOKUP(INDEX(LdBGroup,$M1021),WGTbl,2,0),INDEX(LdBGroup,$M1021)),IF($N1021&lt;&gt;"",IF(N(INDEX(LdCDep,$N1021))&gt;0,"بازگشت بانکی","پرداخت بانکی"),"")))</f>
        <v/>
      </c>
      <c r="D1021" s="14">
        <f>IF($L1021&lt;&gt;"",IF(INDEX(LdAId,$L1021)="","—",INDEX(LdAId,$L1021)),IF($M1021&lt;&gt;"",IF(INDEX(LdBId,$M1021)="","—",INDEX(LdBId,$M1021)),IF($N1021&lt;&gt;"",IF(INDEX(LdCBank,$N1021)="","—",INDEX(LdCBank,$N1021)),"")))</f>
        <v/>
      </c>
      <c r="E1021" s="16">
        <f>IF($L1021&lt;&gt;"",IF(INDEX(LdAAmt,$L1021)=0,"",INDEX(LdAAmt,$L1021)),IF($M1021&lt;&gt;"",IF(INDEX(LdBAmt,$M1021)=0,"",INDEX(LdBAmt,$M1021)),IF($N1021&lt;&gt;"",IF(INDEX(LdCDep,$N1021)=0,"",INDEX(LdCDep,$N1021)),"")))</f>
        <v/>
      </c>
      <c r="F1021" s="16">
        <f>IF(AND($L1021="",$M1021="",$N1021=""),"",IF($N1021="","",IF(INDEX(LdCWit,$N1021)=0,"",INDEX(LdCWit,$N1021))))</f>
        <v/>
      </c>
      <c r="G1021" s="29">
        <f>IF($B1021="","",IF($G1020="",0,$G1020)+IF($E1021="",0,$E1021)-IF($F1021="",0,$F1021))</f>
        <v/>
      </c>
      <c r="H1021" s="30">
        <f>IF(AND($L1021="",$M1021="",$N1021=""),"",IF($L1021&lt;&gt;"",IF(INDEX(LdANote,$L1021)="","—",INDEX(LdANote,$L1021)),IF($M1021&lt;&gt;"",IF(INDEX(LdBNote,$M1021)="","—",INDEX(LdBNote,$M1021)),IF($N1021&lt;&gt;"",IF(INDEX(LdCNote,$N1021)="","—",INDEX(LdCNote,$N1021)),""))))</f>
        <v/>
      </c>
      <c r="L1021">
        <f>IFERROR(MATCH($C$5&amp;"|"&amp;RIGHT("000000"&amp;1005,6),LdAKeyM,0),"")</f>
        <v/>
      </c>
      <c r="M1021">
        <f>IFERROR(MATCH($C$5&amp;"|"&amp;RIGHT("000000"&amp;1005,6),LdBKeyM,0),"")</f>
        <v/>
      </c>
      <c r="N1021">
        <f>IFERROR(MATCH($C$5&amp;"|"&amp;RIGHT("000000"&amp;1005,6),LdCKeyM,0),"")</f>
        <v/>
      </c>
    </row>
    <row r="1022">
      <c r="A1022" s="19" t="n">
        <v>1006</v>
      </c>
      <c r="B1022" s="20">
        <f>IF(AND($L1022="",$M1022="",$N1022=""),"",IF($L1022&lt;&gt;"",INDEX(LdADate,$L1022),IF($M1022&lt;&gt;"",INDEX(LdBDate,$M1022),INDEX(LdCDate,$N1022))))</f>
        <v/>
      </c>
      <c r="C1022" s="20">
        <f>IF($L1022&lt;&gt;"","دستمزد (فردی)",IF($M1022&lt;&gt;"","سهم از گروه "&amp;IFERROR(VLOOKUP(INDEX(LdBGroup,$M1022),WGTbl,2,0),INDEX(LdBGroup,$M1022)),IF($N1022&lt;&gt;"",IF(N(INDEX(LdCDep,$N1022))&gt;0,"بازگشت بانکی","پرداخت بانکی"),"")))</f>
        <v/>
      </c>
      <c r="D1022" s="20">
        <f>IF($L1022&lt;&gt;"",IF(INDEX(LdAId,$L1022)="","—",INDEX(LdAId,$L1022)),IF($M1022&lt;&gt;"",IF(INDEX(LdBId,$M1022)="","—",INDEX(LdBId,$M1022)),IF($N1022&lt;&gt;"",IF(INDEX(LdCBank,$N1022)="","—",INDEX(LdCBank,$N1022)),"")))</f>
        <v/>
      </c>
      <c r="E1022" s="21">
        <f>IF($L1022&lt;&gt;"",IF(INDEX(LdAAmt,$L1022)=0,"",INDEX(LdAAmt,$L1022)),IF($M1022&lt;&gt;"",IF(INDEX(LdBAmt,$M1022)=0,"",INDEX(LdBAmt,$M1022)),IF($N1022&lt;&gt;"",IF(INDEX(LdCDep,$N1022)=0,"",INDEX(LdCDep,$N1022)),"")))</f>
        <v/>
      </c>
      <c r="F1022" s="21">
        <f>IF(AND($L1022="",$M1022="",$N1022=""),"",IF($N1022="","",IF(INDEX(LdCWit,$N1022)=0,"",INDEX(LdCWit,$N1022))))</f>
        <v/>
      </c>
      <c r="G1022" s="31">
        <f>IF($B1022="","",IF($G1021="",0,$G1021)+IF($E1022="",0,$E1022)-IF($F1022="",0,$F1022))</f>
        <v/>
      </c>
      <c r="H1022" s="32">
        <f>IF(AND($L1022="",$M1022="",$N1022=""),"",IF($L1022&lt;&gt;"",IF(INDEX(LdANote,$L1022)="","—",INDEX(LdANote,$L1022)),IF($M1022&lt;&gt;"",IF(INDEX(LdBNote,$M1022)="","—",INDEX(LdBNote,$M1022)),IF($N1022&lt;&gt;"",IF(INDEX(LdCNote,$N1022)="","—",INDEX(LdCNote,$N1022)),""))))</f>
        <v/>
      </c>
      <c r="L1022">
        <f>IFERROR(MATCH($C$5&amp;"|"&amp;RIGHT("000000"&amp;1006,6),LdAKeyM,0),"")</f>
        <v/>
      </c>
      <c r="M1022">
        <f>IFERROR(MATCH($C$5&amp;"|"&amp;RIGHT("000000"&amp;1006,6),LdBKeyM,0),"")</f>
        <v/>
      </c>
      <c r="N1022">
        <f>IFERROR(MATCH($C$5&amp;"|"&amp;RIGHT("000000"&amp;1006,6),LdCKeyM,0),"")</f>
        <v/>
      </c>
    </row>
    <row r="1023">
      <c r="A1023" s="10" t="n">
        <v>1007</v>
      </c>
      <c r="B1023" s="14">
        <f>IF(AND($L1023="",$M1023="",$N1023=""),"",IF($L1023&lt;&gt;"",INDEX(LdADate,$L1023),IF($M1023&lt;&gt;"",INDEX(LdBDate,$M1023),INDEX(LdCDate,$N1023))))</f>
        <v/>
      </c>
      <c r="C1023" s="14">
        <f>IF($L1023&lt;&gt;"","دستمزد (فردی)",IF($M1023&lt;&gt;"","سهم از گروه "&amp;IFERROR(VLOOKUP(INDEX(LdBGroup,$M1023),WGTbl,2,0),INDEX(LdBGroup,$M1023)),IF($N1023&lt;&gt;"",IF(N(INDEX(LdCDep,$N1023))&gt;0,"بازگشت بانکی","پرداخت بانکی"),"")))</f>
        <v/>
      </c>
      <c r="D1023" s="14">
        <f>IF($L1023&lt;&gt;"",IF(INDEX(LdAId,$L1023)="","—",INDEX(LdAId,$L1023)),IF($M1023&lt;&gt;"",IF(INDEX(LdBId,$M1023)="","—",INDEX(LdBId,$M1023)),IF($N1023&lt;&gt;"",IF(INDEX(LdCBank,$N1023)="","—",INDEX(LdCBank,$N1023)),"")))</f>
        <v/>
      </c>
      <c r="E1023" s="16">
        <f>IF($L1023&lt;&gt;"",IF(INDEX(LdAAmt,$L1023)=0,"",INDEX(LdAAmt,$L1023)),IF($M1023&lt;&gt;"",IF(INDEX(LdBAmt,$M1023)=0,"",INDEX(LdBAmt,$M1023)),IF($N1023&lt;&gt;"",IF(INDEX(LdCDep,$N1023)=0,"",INDEX(LdCDep,$N1023)),"")))</f>
        <v/>
      </c>
      <c r="F1023" s="16">
        <f>IF(AND($L1023="",$M1023="",$N1023=""),"",IF($N1023="","",IF(INDEX(LdCWit,$N1023)=0,"",INDEX(LdCWit,$N1023))))</f>
        <v/>
      </c>
      <c r="G1023" s="29">
        <f>IF($B1023="","",IF($G1022="",0,$G1022)+IF($E1023="",0,$E1023)-IF($F1023="",0,$F1023))</f>
        <v/>
      </c>
      <c r="H1023" s="30">
        <f>IF(AND($L1023="",$M1023="",$N1023=""),"",IF($L1023&lt;&gt;"",IF(INDEX(LdANote,$L1023)="","—",INDEX(LdANote,$L1023)),IF($M1023&lt;&gt;"",IF(INDEX(LdBNote,$M1023)="","—",INDEX(LdBNote,$M1023)),IF($N1023&lt;&gt;"",IF(INDEX(LdCNote,$N1023)="","—",INDEX(LdCNote,$N1023)),""))))</f>
        <v/>
      </c>
      <c r="L1023">
        <f>IFERROR(MATCH($C$5&amp;"|"&amp;RIGHT("000000"&amp;1007,6),LdAKeyM,0),"")</f>
        <v/>
      </c>
      <c r="M1023">
        <f>IFERROR(MATCH($C$5&amp;"|"&amp;RIGHT("000000"&amp;1007,6),LdBKeyM,0),"")</f>
        <v/>
      </c>
      <c r="N1023">
        <f>IFERROR(MATCH($C$5&amp;"|"&amp;RIGHT("000000"&amp;1007,6),LdCKeyM,0),"")</f>
        <v/>
      </c>
    </row>
    <row r="1024">
      <c r="A1024" s="19" t="n">
        <v>1008</v>
      </c>
      <c r="B1024" s="20">
        <f>IF(AND($L1024="",$M1024="",$N1024=""),"",IF($L1024&lt;&gt;"",INDEX(LdADate,$L1024),IF($M1024&lt;&gt;"",INDEX(LdBDate,$M1024),INDEX(LdCDate,$N1024))))</f>
        <v/>
      </c>
      <c r="C1024" s="20">
        <f>IF($L1024&lt;&gt;"","دستمزد (فردی)",IF($M1024&lt;&gt;"","سهم از گروه "&amp;IFERROR(VLOOKUP(INDEX(LdBGroup,$M1024),WGTbl,2,0),INDEX(LdBGroup,$M1024)),IF($N1024&lt;&gt;"",IF(N(INDEX(LdCDep,$N1024))&gt;0,"بازگشت بانکی","پرداخت بانکی"),"")))</f>
        <v/>
      </c>
      <c r="D1024" s="20">
        <f>IF($L1024&lt;&gt;"",IF(INDEX(LdAId,$L1024)="","—",INDEX(LdAId,$L1024)),IF($M1024&lt;&gt;"",IF(INDEX(LdBId,$M1024)="","—",INDEX(LdBId,$M1024)),IF($N1024&lt;&gt;"",IF(INDEX(LdCBank,$N1024)="","—",INDEX(LdCBank,$N1024)),"")))</f>
        <v/>
      </c>
      <c r="E1024" s="21">
        <f>IF($L1024&lt;&gt;"",IF(INDEX(LdAAmt,$L1024)=0,"",INDEX(LdAAmt,$L1024)),IF($M1024&lt;&gt;"",IF(INDEX(LdBAmt,$M1024)=0,"",INDEX(LdBAmt,$M1024)),IF($N1024&lt;&gt;"",IF(INDEX(LdCDep,$N1024)=0,"",INDEX(LdCDep,$N1024)),"")))</f>
        <v/>
      </c>
      <c r="F1024" s="21">
        <f>IF(AND($L1024="",$M1024="",$N1024=""),"",IF($N1024="","",IF(INDEX(LdCWit,$N1024)=0,"",INDEX(LdCWit,$N1024))))</f>
        <v/>
      </c>
      <c r="G1024" s="31">
        <f>IF($B1024="","",IF($G1023="",0,$G1023)+IF($E1024="",0,$E1024)-IF($F1024="",0,$F1024))</f>
        <v/>
      </c>
      <c r="H1024" s="32">
        <f>IF(AND($L1024="",$M1024="",$N1024=""),"",IF($L1024&lt;&gt;"",IF(INDEX(LdANote,$L1024)="","—",INDEX(LdANote,$L1024)),IF($M1024&lt;&gt;"",IF(INDEX(LdBNote,$M1024)="","—",INDEX(LdBNote,$M1024)),IF($N1024&lt;&gt;"",IF(INDEX(LdCNote,$N1024)="","—",INDEX(LdCNote,$N1024)),""))))</f>
        <v/>
      </c>
      <c r="L1024">
        <f>IFERROR(MATCH($C$5&amp;"|"&amp;RIGHT("000000"&amp;1008,6),LdAKeyM,0),"")</f>
        <v/>
      </c>
      <c r="M1024">
        <f>IFERROR(MATCH($C$5&amp;"|"&amp;RIGHT("000000"&amp;1008,6),LdBKeyM,0),"")</f>
        <v/>
      </c>
      <c r="N1024">
        <f>IFERROR(MATCH($C$5&amp;"|"&amp;RIGHT("000000"&amp;1008,6),LdCKeyM,0),"")</f>
        <v/>
      </c>
    </row>
    <row r="1025">
      <c r="A1025" s="10" t="n">
        <v>1009</v>
      </c>
      <c r="B1025" s="14">
        <f>IF(AND($L1025="",$M1025="",$N1025=""),"",IF($L1025&lt;&gt;"",INDEX(LdADate,$L1025),IF($M1025&lt;&gt;"",INDEX(LdBDate,$M1025),INDEX(LdCDate,$N1025))))</f>
        <v/>
      </c>
      <c r="C1025" s="14">
        <f>IF($L1025&lt;&gt;"","دستمزد (فردی)",IF($M1025&lt;&gt;"","سهم از گروه "&amp;IFERROR(VLOOKUP(INDEX(LdBGroup,$M1025),WGTbl,2,0),INDEX(LdBGroup,$M1025)),IF($N1025&lt;&gt;"",IF(N(INDEX(LdCDep,$N1025))&gt;0,"بازگشت بانکی","پرداخت بانکی"),"")))</f>
        <v/>
      </c>
      <c r="D1025" s="14">
        <f>IF($L1025&lt;&gt;"",IF(INDEX(LdAId,$L1025)="","—",INDEX(LdAId,$L1025)),IF($M1025&lt;&gt;"",IF(INDEX(LdBId,$M1025)="","—",INDEX(LdBId,$M1025)),IF($N1025&lt;&gt;"",IF(INDEX(LdCBank,$N1025)="","—",INDEX(LdCBank,$N1025)),"")))</f>
        <v/>
      </c>
      <c r="E1025" s="16">
        <f>IF($L1025&lt;&gt;"",IF(INDEX(LdAAmt,$L1025)=0,"",INDEX(LdAAmt,$L1025)),IF($M1025&lt;&gt;"",IF(INDEX(LdBAmt,$M1025)=0,"",INDEX(LdBAmt,$M1025)),IF($N1025&lt;&gt;"",IF(INDEX(LdCDep,$N1025)=0,"",INDEX(LdCDep,$N1025)),"")))</f>
        <v/>
      </c>
      <c r="F1025" s="16">
        <f>IF(AND($L1025="",$M1025="",$N1025=""),"",IF($N1025="","",IF(INDEX(LdCWit,$N1025)=0,"",INDEX(LdCWit,$N1025))))</f>
        <v/>
      </c>
      <c r="G1025" s="29">
        <f>IF($B1025="","",IF($G1024="",0,$G1024)+IF($E1025="",0,$E1025)-IF($F1025="",0,$F1025))</f>
        <v/>
      </c>
      <c r="H1025" s="30">
        <f>IF(AND($L1025="",$M1025="",$N1025=""),"",IF($L1025&lt;&gt;"",IF(INDEX(LdANote,$L1025)="","—",INDEX(LdANote,$L1025)),IF($M1025&lt;&gt;"",IF(INDEX(LdBNote,$M1025)="","—",INDEX(LdBNote,$M1025)),IF($N1025&lt;&gt;"",IF(INDEX(LdCNote,$N1025)="","—",INDEX(LdCNote,$N1025)),""))))</f>
        <v/>
      </c>
      <c r="L1025">
        <f>IFERROR(MATCH($C$5&amp;"|"&amp;RIGHT("000000"&amp;1009,6),LdAKeyM,0),"")</f>
        <v/>
      </c>
      <c r="M1025">
        <f>IFERROR(MATCH($C$5&amp;"|"&amp;RIGHT("000000"&amp;1009,6),LdBKeyM,0),"")</f>
        <v/>
      </c>
      <c r="N1025">
        <f>IFERROR(MATCH($C$5&amp;"|"&amp;RIGHT("000000"&amp;1009,6),LdCKeyM,0),"")</f>
        <v/>
      </c>
    </row>
    <row r="1026">
      <c r="A1026" s="19" t="n">
        <v>1010</v>
      </c>
      <c r="B1026" s="20">
        <f>IF(AND($L1026="",$M1026="",$N1026=""),"",IF($L1026&lt;&gt;"",INDEX(LdADate,$L1026),IF($M1026&lt;&gt;"",INDEX(LdBDate,$M1026),INDEX(LdCDate,$N1026))))</f>
        <v/>
      </c>
      <c r="C1026" s="20">
        <f>IF($L1026&lt;&gt;"","دستمزد (فردی)",IF($M1026&lt;&gt;"","سهم از گروه "&amp;IFERROR(VLOOKUP(INDEX(LdBGroup,$M1026),WGTbl,2,0),INDEX(LdBGroup,$M1026)),IF($N1026&lt;&gt;"",IF(N(INDEX(LdCDep,$N1026))&gt;0,"بازگشت بانکی","پرداخت بانکی"),"")))</f>
        <v/>
      </c>
      <c r="D1026" s="20">
        <f>IF($L1026&lt;&gt;"",IF(INDEX(LdAId,$L1026)="","—",INDEX(LdAId,$L1026)),IF($M1026&lt;&gt;"",IF(INDEX(LdBId,$M1026)="","—",INDEX(LdBId,$M1026)),IF($N1026&lt;&gt;"",IF(INDEX(LdCBank,$N1026)="","—",INDEX(LdCBank,$N1026)),"")))</f>
        <v/>
      </c>
      <c r="E1026" s="21">
        <f>IF($L1026&lt;&gt;"",IF(INDEX(LdAAmt,$L1026)=0,"",INDEX(LdAAmt,$L1026)),IF($M1026&lt;&gt;"",IF(INDEX(LdBAmt,$M1026)=0,"",INDEX(LdBAmt,$M1026)),IF($N1026&lt;&gt;"",IF(INDEX(LdCDep,$N1026)=0,"",INDEX(LdCDep,$N1026)),"")))</f>
        <v/>
      </c>
      <c r="F1026" s="21">
        <f>IF(AND($L1026="",$M1026="",$N1026=""),"",IF($N1026="","",IF(INDEX(LdCWit,$N1026)=0,"",INDEX(LdCWit,$N1026))))</f>
        <v/>
      </c>
      <c r="G1026" s="31">
        <f>IF($B1026="","",IF($G1025="",0,$G1025)+IF($E1026="",0,$E1026)-IF($F1026="",0,$F1026))</f>
        <v/>
      </c>
      <c r="H1026" s="32">
        <f>IF(AND($L1026="",$M1026="",$N1026=""),"",IF($L1026&lt;&gt;"",IF(INDEX(LdANote,$L1026)="","—",INDEX(LdANote,$L1026)),IF($M1026&lt;&gt;"",IF(INDEX(LdBNote,$M1026)="","—",INDEX(LdBNote,$M1026)),IF($N1026&lt;&gt;"",IF(INDEX(LdCNote,$N1026)="","—",INDEX(LdCNote,$N1026)),""))))</f>
        <v/>
      </c>
      <c r="L1026">
        <f>IFERROR(MATCH($C$5&amp;"|"&amp;RIGHT("000000"&amp;1010,6),LdAKeyM,0),"")</f>
        <v/>
      </c>
      <c r="M1026">
        <f>IFERROR(MATCH($C$5&amp;"|"&amp;RIGHT("000000"&amp;1010,6),LdBKeyM,0),"")</f>
        <v/>
      </c>
      <c r="N1026">
        <f>IFERROR(MATCH($C$5&amp;"|"&amp;RIGHT("000000"&amp;1010,6),LdCKeyM,0),"")</f>
        <v/>
      </c>
    </row>
    <row r="1027">
      <c r="A1027" s="10" t="n">
        <v>1011</v>
      </c>
      <c r="B1027" s="14">
        <f>IF(AND($L1027="",$M1027="",$N1027=""),"",IF($L1027&lt;&gt;"",INDEX(LdADate,$L1027),IF($M1027&lt;&gt;"",INDEX(LdBDate,$M1027),INDEX(LdCDate,$N1027))))</f>
        <v/>
      </c>
      <c r="C1027" s="14">
        <f>IF($L1027&lt;&gt;"","دستمزد (فردی)",IF($M1027&lt;&gt;"","سهم از گروه "&amp;IFERROR(VLOOKUP(INDEX(LdBGroup,$M1027),WGTbl,2,0),INDEX(LdBGroup,$M1027)),IF($N1027&lt;&gt;"",IF(N(INDEX(LdCDep,$N1027))&gt;0,"بازگشت بانکی","پرداخت بانکی"),"")))</f>
        <v/>
      </c>
      <c r="D1027" s="14">
        <f>IF($L1027&lt;&gt;"",IF(INDEX(LdAId,$L1027)="","—",INDEX(LdAId,$L1027)),IF($M1027&lt;&gt;"",IF(INDEX(LdBId,$M1027)="","—",INDEX(LdBId,$M1027)),IF($N1027&lt;&gt;"",IF(INDEX(LdCBank,$N1027)="","—",INDEX(LdCBank,$N1027)),"")))</f>
        <v/>
      </c>
      <c r="E1027" s="16">
        <f>IF($L1027&lt;&gt;"",IF(INDEX(LdAAmt,$L1027)=0,"",INDEX(LdAAmt,$L1027)),IF($M1027&lt;&gt;"",IF(INDEX(LdBAmt,$M1027)=0,"",INDEX(LdBAmt,$M1027)),IF($N1027&lt;&gt;"",IF(INDEX(LdCDep,$N1027)=0,"",INDEX(LdCDep,$N1027)),"")))</f>
        <v/>
      </c>
      <c r="F1027" s="16">
        <f>IF(AND($L1027="",$M1027="",$N1027=""),"",IF($N1027="","",IF(INDEX(LdCWit,$N1027)=0,"",INDEX(LdCWit,$N1027))))</f>
        <v/>
      </c>
      <c r="G1027" s="29">
        <f>IF($B1027="","",IF($G1026="",0,$G1026)+IF($E1027="",0,$E1027)-IF($F1027="",0,$F1027))</f>
        <v/>
      </c>
      <c r="H1027" s="30">
        <f>IF(AND($L1027="",$M1027="",$N1027=""),"",IF($L1027&lt;&gt;"",IF(INDEX(LdANote,$L1027)="","—",INDEX(LdANote,$L1027)),IF($M1027&lt;&gt;"",IF(INDEX(LdBNote,$M1027)="","—",INDEX(LdBNote,$M1027)),IF($N1027&lt;&gt;"",IF(INDEX(LdCNote,$N1027)="","—",INDEX(LdCNote,$N1027)),""))))</f>
        <v/>
      </c>
      <c r="L1027">
        <f>IFERROR(MATCH($C$5&amp;"|"&amp;RIGHT("000000"&amp;1011,6),LdAKeyM,0),"")</f>
        <v/>
      </c>
      <c r="M1027">
        <f>IFERROR(MATCH($C$5&amp;"|"&amp;RIGHT("000000"&amp;1011,6),LdBKeyM,0),"")</f>
        <v/>
      </c>
      <c r="N1027">
        <f>IFERROR(MATCH($C$5&amp;"|"&amp;RIGHT("000000"&amp;1011,6),LdCKeyM,0),"")</f>
        <v/>
      </c>
    </row>
    <row r="1028">
      <c r="A1028" s="19" t="n">
        <v>1012</v>
      </c>
      <c r="B1028" s="20">
        <f>IF(AND($L1028="",$M1028="",$N1028=""),"",IF($L1028&lt;&gt;"",INDEX(LdADate,$L1028),IF($M1028&lt;&gt;"",INDEX(LdBDate,$M1028),INDEX(LdCDate,$N1028))))</f>
        <v/>
      </c>
      <c r="C1028" s="20">
        <f>IF($L1028&lt;&gt;"","دستمزد (فردی)",IF($M1028&lt;&gt;"","سهم از گروه "&amp;IFERROR(VLOOKUP(INDEX(LdBGroup,$M1028),WGTbl,2,0),INDEX(LdBGroup,$M1028)),IF($N1028&lt;&gt;"",IF(N(INDEX(LdCDep,$N1028))&gt;0,"بازگشت بانکی","پرداخت بانکی"),"")))</f>
        <v/>
      </c>
      <c r="D1028" s="20">
        <f>IF($L1028&lt;&gt;"",IF(INDEX(LdAId,$L1028)="","—",INDEX(LdAId,$L1028)),IF($M1028&lt;&gt;"",IF(INDEX(LdBId,$M1028)="","—",INDEX(LdBId,$M1028)),IF($N1028&lt;&gt;"",IF(INDEX(LdCBank,$N1028)="","—",INDEX(LdCBank,$N1028)),"")))</f>
        <v/>
      </c>
      <c r="E1028" s="21">
        <f>IF($L1028&lt;&gt;"",IF(INDEX(LdAAmt,$L1028)=0,"",INDEX(LdAAmt,$L1028)),IF($M1028&lt;&gt;"",IF(INDEX(LdBAmt,$M1028)=0,"",INDEX(LdBAmt,$M1028)),IF($N1028&lt;&gt;"",IF(INDEX(LdCDep,$N1028)=0,"",INDEX(LdCDep,$N1028)),"")))</f>
        <v/>
      </c>
      <c r="F1028" s="21">
        <f>IF(AND($L1028="",$M1028="",$N1028=""),"",IF($N1028="","",IF(INDEX(LdCWit,$N1028)=0,"",INDEX(LdCWit,$N1028))))</f>
        <v/>
      </c>
      <c r="G1028" s="31">
        <f>IF($B1028="","",IF($G1027="",0,$G1027)+IF($E1028="",0,$E1028)-IF($F1028="",0,$F1028))</f>
        <v/>
      </c>
      <c r="H1028" s="32">
        <f>IF(AND($L1028="",$M1028="",$N1028=""),"",IF($L1028&lt;&gt;"",IF(INDEX(LdANote,$L1028)="","—",INDEX(LdANote,$L1028)),IF($M1028&lt;&gt;"",IF(INDEX(LdBNote,$M1028)="","—",INDEX(LdBNote,$M1028)),IF($N1028&lt;&gt;"",IF(INDEX(LdCNote,$N1028)="","—",INDEX(LdCNote,$N1028)),""))))</f>
        <v/>
      </c>
      <c r="L1028">
        <f>IFERROR(MATCH($C$5&amp;"|"&amp;RIGHT("000000"&amp;1012,6),LdAKeyM,0),"")</f>
        <v/>
      </c>
      <c r="M1028">
        <f>IFERROR(MATCH($C$5&amp;"|"&amp;RIGHT("000000"&amp;1012,6),LdBKeyM,0),"")</f>
        <v/>
      </c>
      <c r="N1028">
        <f>IFERROR(MATCH($C$5&amp;"|"&amp;RIGHT("000000"&amp;1012,6),LdCKeyM,0),"")</f>
        <v/>
      </c>
    </row>
    <row r="1029">
      <c r="A1029" s="10" t="n">
        <v>1013</v>
      </c>
      <c r="B1029" s="14">
        <f>IF(AND($L1029="",$M1029="",$N1029=""),"",IF($L1029&lt;&gt;"",INDEX(LdADate,$L1029),IF($M1029&lt;&gt;"",INDEX(LdBDate,$M1029),INDEX(LdCDate,$N1029))))</f>
        <v/>
      </c>
      <c r="C1029" s="14">
        <f>IF($L1029&lt;&gt;"","دستمزد (فردی)",IF($M1029&lt;&gt;"","سهم از گروه "&amp;IFERROR(VLOOKUP(INDEX(LdBGroup,$M1029),WGTbl,2,0),INDEX(LdBGroup,$M1029)),IF($N1029&lt;&gt;"",IF(N(INDEX(LdCDep,$N1029))&gt;0,"بازگشت بانکی","پرداخت بانکی"),"")))</f>
        <v/>
      </c>
      <c r="D1029" s="14">
        <f>IF($L1029&lt;&gt;"",IF(INDEX(LdAId,$L1029)="","—",INDEX(LdAId,$L1029)),IF($M1029&lt;&gt;"",IF(INDEX(LdBId,$M1029)="","—",INDEX(LdBId,$M1029)),IF($N1029&lt;&gt;"",IF(INDEX(LdCBank,$N1029)="","—",INDEX(LdCBank,$N1029)),"")))</f>
        <v/>
      </c>
      <c r="E1029" s="16">
        <f>IF($L1029&lt;&gt;"",IF(INDEX(LdAAmt,$L1029)=0,"",INDEX(LdAAmt,$L1029)),IF($M1029&lt;&gt;"",IF(INDEX(LdBAmt,$M1029)=0,"",INDEX(LdBAmt,$M1029)),IF($N1029&lt;&gt;"",IF(INDEX(LdCDep,$N1029)=0,"",INDEX(LdCDep,$N1029)),"")))</f>
        <v/>
      </c>
      <c r="F1029" s="16">
        <f>IF(AND($L1029="",$M1029="",$N1029=""),"",IF($N1029="","",IF(INDEX(LdCWit,$N1029)=0,"",INDEX(LdCWit,$N1029))))</f>
        <v/>
      </c>
      <c r="G1029" s="29">
        <f>IF($B1029="","",IF($G1028="",0,$G1028)+IF($E1029="",0,$E1029)-IF($F1029="",0,$F1029))</f>
        <v/>
      </c>
      <c r="H1029" s="30">
        <f>IF(AND($L1029="",$M1029="",$N1029=""),"",IF($L1029&lt;&gt;"",IF(INDEX(LdANote,$L1029)="","—",INDEX(LdANote,$L1029)),IF($M1029&lt;&gt;"",IF(INDEX(LdBNote,$M1029)="","—",INDEX(LdBNote,$M1029)),IF($N1029&lt;&gt;"",IF(INDEX(LdCNote,$N1029)="","—",INDEX(LdCNote,$N1029)),""))))</f>
        <v/>
      </c>
      <c r="L1029">
        <f>IFERROR(MATCH($C$5&amp;"|"&amp;RIGHT("000000"&amp;1013,6),LdAKeyM,0),"")</f>
        <v/>
      </c>
      <c r="M1029">
        <f>IFERROR(MATCH($C$5&amp;"|"&amp;RIGHT("000000"&amp;1013,6),LdBKeyM,0),"")</f>
        <v/>
      </c>
      <c r="N1029">
        <f>IFERROR(MATCH($C$5&amp;"|"&amp;RIGHT("000000"&amp;1013,6),LdCKeyM,0),"")</f>
        <v/>
      </c>
    </row>
    <row r="1030">
      <c r="A1030" s="19" t="n">
        <v>1014</v>
      </c>
      <c r="B1030" s="20">
        <f>IF(AND($L1030="",$M1030="",$N1030=""),"",IF($L1030&lt;&gt;"",INDEX(LdADate,$L1030),IF($M1030&lt;&gt;"",INDEX(LdBDate,$M1030),INDEX(LdCDate,$N1030))))</f>
        <v/>
      </c>
      <c r="C1030" s="20">
        <f>IF($L1030&lt;&gt;"","دستمزد (فردی)",IF($M1030&lt;&gt;"","سهم از گروه "&amp;IFERROR(VLOOKUP(INDEX(LdBGroup,$M1030),WGTbl,2,0),INDEX(LdBGroup,$M1030)),IF($N1030&lt;&gt;"",IF(N(INDEX(LdCDep,$N1030))&gt;0,"بازگشت بانکی","پرداخت بانکی"),"")))</f>
        <v/>
      </c>
      <c r="D1030" s="20">
        <f>IF($L1030&lt;&gt;"",IF(INDEX(LdAId,$L1030)="","—",INDEX(LdAId,$L1030)),IF($M1030&lt;&gt;"",IF(INDEX(LdBId,$M1030)="","—",INDEX(LdBId,$M1030)),IF($N1030&lt;&gt;"",IF(INDEX(LdCBank,$N1030)="","—",INDEX(LdCBank,$N1030)),"")))</f>
        <v/>
      </c>
      <c r="E1030" s="21">
        <f>IF($L1030&lt;&gt;"",IF(INDEX(LdAAmt,$L1030)=0,"",INDEX(LdAAmt,$L1030)),IF($M1030&lt;&gt;"",IF(INDEX(LdBAmt,$M1030)=0,"",INDEX(LdBAmt,$M1030)),IF($N1030&lt;&gt;"",IF(INDEX(LdCDep,$N1030)=0,"",INDEX(LdCDep,$N1030)),"")))</f>
        <v/>
      </c>
      <c r="F1030" s="21">
        <f>IF(AND($L1030="",$M1030="",$N1030=""),"",IF($N1030="","",IF(INDEX(LdCWit,$N1030)=0,"",INDEX(LdCWit,$N1030))))</f>
        <v/>
      </c>
      <c r="G1030" s="31">
        <f>IF($B1030="","",IF($G1029="",0,$G1029)+IF($E1030="",0,$E1030)-IF($F1030="",0,$F1030))</f>
        <v/>
      </c>
      <c r="H1030" s="32">
        <f>IF(AND($L1030="",$M1030="",$N1030=""),"",IF($L1030&lt;&gt;"",IF(INDEX(LdANote,$L1030)="","—",INDEX(LdANote,$L1030)),IF($M1030&lt;&gt;"",IF(INDEX(LdBNote,$M1030)="","—",INDEX(LdBNote,$M1030)),IF($N1030&lt;&gt;"",IF(INDEX(LdCNote,$N1030)="","—",INDEX(LdCNote,$N1030)),""))))</f>
        <v/>
      </c>
      <c r="L1030">
        <f>IFERROR(MATCH($C$5&amp;"|"&amp;RIGHT("000000"&amp;1014,6),LdAKeyM,0),"")</f>
        <v/>
      </c>
      <c r="M1030">
        <f>IFERROR(MATCH($C$5&amp;"|"&amp;RIGHT("000000"&amp;1014,6),LdBKeyM,0),"")</f>
        <v/>
      </c>
      <c r="N1030">
        <f>IFERROR(MATCH($C$5&amp;"|"&amp;RIGHT("000000"&amp;1014,6),LdCKeyM,0),"")</f>
        <v/>
      </c>
    </row>
    <row r="1031">
      <c r="A1031" s="10" t="n">
        <v>1015</v>
      </c>
      <c r="B1031" s="14">
        <f>IF(AND($L1031="",$M1031="",$N1031=""),"",IF($L1031&lt;&gt;"",INDEX(LdADate,$L1031),IF($M1031&lt;&gt;"",INDEX(LdBDate,$M1031),INDEX(LdCDate,$N1031))))</f>
        <v/>
      </c>
      <c r="C1031" s="14">
        <f>IF($L1031&lt;&gt;"","دستمزد (فردی)",IF($M1031&lt;&gt;"","سهم از گروه "&amp;IFERROR(VLOOKUP(INDEX(LdBGroup,$M1031),WGTbl,2,0),INDEX(LdBGroup,$M1031)),IF($N1031&lt;&gt;"",IF(N(INDEX(LdCDep,$N1031))&gt;0,"بازگشت بانکی","پرداخت بانکی"),"")))</f>
        <v/>
      </c>
      <c r="D1031" s="14">
        <f>IF($L1031&lt;&gt;"",IF(INDEX(LdAId,$L1031)="","—",INDEX(LdAId,$L1031)),IF($M1031&lt;&gt;"",IF(INDEX(LdBId,$M1031)="","—",INDEX(LdBId,$M1031)),IF($N1031&lt;&gt;"",IF(INDEX(LdCBank,$N1031)="","—",INDEX(LdCBank,$N1031)),"")))</f>
        <v/>
      </c>
      <c r="E1031" s="16">
        <f>IF($L1031&lt;&gt;"",IF(INDEX(LdAAmt,$L1031)=0,"",INDEX(LdAAmt,$L1031)),IF($M1031&lt;&gt;"",IF(INDEX(LdBAmt,$M1031)=0,"",INDEX(LdBAmt,$M1031)),IF($N1031&lt;&gt;"",IF(INDEX(LdCDep,$N1031)=0,"",INDEX(LdCDep,$N1031)),"")))</f>
        <v/>
      </c>
      <c r="F1031" s="16">
        <f>IF(AND($L1031="",$M1031="",$N1031=""),"",IF($N1031="","",IF(INDEX(LdCWit,$N1031)=0,"",INDEX(LdCWit,$N1031))))</f>
        <v/>
      </c>
      <c r="G1031" s="29">
        <f>IF($B1031="","",IF($G1030="",0,$G1030)+IF($E1031="",0,$E1031)-IF($F1031="",0,$F1031))</f>
        <v/>
      </c>
      <c r="H1031" s="30">
        <f>IF(AND($L1031="",$M1031="",$N1031=""),"",IF($L1031&lt;&gt;"",IF(INDEX(LdANote,$L1031)="","—",INDEX(LdANote,$L1031)),IF($M1031&lt;&gt;"",IF(INDEX(LdBNote,$M1031)="","—",INDEX(LdBNote,$M1031)),IF($N1031&lt;&gt;"",IF(INDEX(LdCNote,$N1031)="","—",INDEX(LdCNote,$N1031)),""))))</f>
        <v/>
      </c>
      <c r="L1031">
        <f>IFERROR(MATCH($C$5&amp;"|"&amp;RIGHT("000000"&amp;1015,6),LdAKeyM,0),"")</f>
        <v/>
      </c>
      <c r="M1031">
        <f>IFERROR(MATCH($C$5&amp;"|"&amp;RIGHT("000000"&amp;1015,6),LdBKeyM,0),"")</f>
        <v/>
      </c>
      <c r="N1031">
        <f>IFERROR(MATCH($C$5&amp;"|"&amp;RIGHT("000000"&amp;1015,6),LdCKeyM,0),"")</f>
        <v/>
      </c>
    </row>
    <row r="1032">
      <c r="A1032" s="19" t="n">
        <v>1016</v>
      </c>
      <c r="B1032" s="20">
        <f>IF(AND($L1032="",$M1032="",$N1032=""),"",IF($L1032&lt;&gt;"",INDEX(LdADate,$L1032),IF($M1032&lt;&gt;"",INDEX(LdBDate,$M1032),INDEX(LdCDate,$N1032))))</f>
        <v/>
      </c>
      <c r="C1032" s="20">
        <f>IF($L1032&lt;&gt;"","دستمزد (فردی)",IF($M1032&lt;&gt;"","سهم از گروه "&amp;IFERROR(VLOOKUP(INDEX(LdBGroup,$M1032),WGTbl,2,0),INDEX(LdBGroup,$M1032)),IF($N1032&lt;&gt;"",IF(N(INDEX(LdCDep,$N1032))&gt;0,"بازگشت بانکی","پرداخت بانکی"),"")))</f>
        <v/>
      </c>
      <c r="D1032" s="20">
        <f>IF($L1032&lt;&gt;"",IF(INDEX(LdAId,$L1032)="","—",INDEX(LdAId,$L1032)),IF($M1032&lt;&gt;"",IF(INDEX(LdBId,$M1032)="","—",INDEX(LdBId,$M1032)),IF($N1032&lt;&gt;"",IF(INDEX(LdCBank,$N1032)="","—",INDEX(LdCBank,$N1032)),"")))</f>
        <v/>
      </c>
      <c r="E1032" s="21">
        <f>IF($L1032&lt;&gt;"",IF(INDEX(LdAAmt,$L1032)=0,"",INDEX(LdAAmt,$L1032)),IF($M1032&lt;&gt;"",IF(INDEX(LdBAmt,$M1032)=0,"",INDEX(LdBAmt,$M1032)),IF($N1032&lt;&gt;"",IF(INDEX(LdCDep,$N1032)=0,"",INDEX(LdCDep,$N1032)),"")))</f>
        <v/>
      </c>
      <c r="F1032" s="21">
        <f>IF(AND($L1032="",$M1032="",$N1032=""),"",IF($N1032="","",IF(INDEX(LdCWit,$N1032)=0,"",INDEX(LdCWit,$N1032))))</f>
        <v/>
      </c>
      <c r="G1032" s="31">
        <f>IF($B1032="","",IF($G1031="",0,$G1031)+IF($E1032="",0,$E1032)-IF($F1032="",0,$F1032))</f>
        <v/>
      </c>
      <c r="H1032" s="32">
        <f>IF(AND($L1032="",$M1032="",$N1032=""),"",IF($L1032&lt;&gt;"",IF(INDEX(LdANote,$L1032)="","—",INDEX(LdANote,$L1032)),IF($M1032&lt;&gt;"",IF(INDEX(LdBNote,$M1032)="","—",INDEX(LdBNote,$M1032)),IF($N1032&lt;&gt;"",IF(INDEX(LdCNote,$N1032)="","—",INDEX(LdCNote,$N1032)),""))))</f>
        <v/>
      </c>
      <c r="L1032">
        <f>IFERROR(MATCH($C$5&amp;"|"&amp;RIGHT("000000"&amp;1016,6),LdAKeyM,0),"")</f>
        <v/>
      </c>
      <c r="M1032">
        <f>IFERROR(MATCH($C$5&amp;"|"&amp;RIGHT("000000"&amp;1016,6),LdBKeyM,0),"")</f>
        <v/>
      </c>
      <c r="N1032">
        <f>IFERROR(MATCH($C$5&amp;"|"&amp;RIGHT("000000"&amp;1016,6),LdCKeyM,0),"")</f>
        <v/>
      </c>
    </row>
    <row r="1033">
      <c r="A1033" s="10" t="n">
        <v>1017</v>
      </c>
      <c r="B1033" s="14">
        <f>IF(AND($L1033="",$M1033="",$N1033=""),"",IF($L1033&lt;&gt;"",INDEX(LdADate,$L1033),IF($M1033&lt;&gt;"",INDEX(LdBDate,$M1033),INDEX(LdCDate,$N1033))))</f>
        <v/>
      </c>
      <c r="C1033" s="14">
        <f>IF($L1033&lt;&gt;"","دستمزد (فردی)",IF($M1033&lt;&gt;"","سهم از گروه "&amp;IFERROR(VLOOKUP(INDEX(LdBGroup,$M1033),WGTbl,2,0),INDEX(LdBGroup,$M1033)),IF($N1033&lt;&gt;"",IF(N(INDEX(LdCDep,$N1033))&gt;0,"بازگشت بانکی","پرداخت بانکی"),"")))</f>
        <v/>
      </c>
      <c r="D1033" s="14">
        <f>IF($L1033&lt;&gt;"",IF(INDEX(LdAId,$L1033)="","—",INDEX(LdAId,$L1033)),IF($M1033&lt;&gt;"",IF(INDEX(LdBId,$M1033)="","—",INDEX(LdBId,$M1033)),IF($N1033&lt;&gt;"",IF(INDEX(LdCBank,$N1033)="","—",INDEX(LdCBank,$N1033)),"")))</f>
        <v/>
      </c>
      <c r="E1033" s="16">
        <f>IF($L1033&lt;&gt;"",IF(INDEX(LdAAmt,$L1033)=0,"",INDEX(LdAAmt,$L1033)),IF($M1033&lt;&gt;"",IF(INDEX(LdBAmt,$M1033)=0,"",INDEX(LdBAmt,$M1033)),IF($N1033&lt;&gt;"",IF(INDEX(LdCDep,$N1033)=0,"",INDEX(LdCDep,$N1033)),"")))</f>
        <v/>
      </c>
      <c r="F1033" s="16">
        <f>IF(AND($L1033="",$M1033="",$N1033=""),"",IF($N1033="","",IF(INDEX(LdCWit,$N1033)=0,"",INDEX(LdCWit,$N1033))))</f>
        <v/>
      </c>
      <c r="G1033" s="29">
        <f>IF($B1033="","",IF($G1032="",0,$G1032)+IF($E1033="",0,$E1033)-IF($F1033="",0,$F1033))</f>
        <v/>
      </c>
      <c r="H1033" s="30">
        <f>IF(AND($L1033="",$M1033="",$N1033=""),"",IF($L1033&lt;&gt;"",IF(INDEX(LdANote,$L1033)="","—",INDEX(LdANote,$L1033)),IF($M1033&lt;&gt;"",IF(INDEX(LdBNote,$M1033)="","—",INDEX(LdBNote,$M1033)),IF($N1033&lt;&gt;"",IF(INDEX(LdCNote,$N1033)="","—",INDEX(LdCNote,$N1033)),""))))</f>
        <v/>
      </c>
      <c r="L1033">
        <f>IFERROR(MATCH($C$5&amp;"|"&amp;RIGHT("000000"&amp;1017,6),LdAKeyM,0),"")</f>
        <v/>
      </c>
      <c r="M1033">
        <f>IFERROR(MATCH($C$5&amp;"|"&amp;RIGHT("000000"&amp;1017,6),LdBKeyM,0),"")</f>
        <v/>
      </c>
      <c r="N1033">
        <f>IFERROR(MATCH($C$5&amp;"|"&amp;RIGHT("000000"&amp;1017,6),LdCKeyM,0),"")</f>
        <v/>
      </c>
    </row>
    <row r="1034">
      <c r="A1034" s="19" t="n">
        <v>1018</v>
      </c>
      <c r="B1034" s="20">
        <f>IF(AND($L1034="",$M1034="",$N1034=""),"",IF($L1034&lt;&gt;"",INDEX(LdADate,$L1034),IF($M1034&lt;&gt;"",INDEX(LdBDate,$M1034),INDEX(LdCDate,$N1034))))</f>
        <v/>
      </c>
      <c r="C1034" s="20">
        <f>IF($L1034&lt;&gt;"","دستمزد (فردی)",IF($M1034&lt;&gt;"","سهم از گروه "&amp;IFERROR(VLOOKUP(INDEX(LdBGroup,$M1034),WGTbl,2,0),INDEX(LdBGroup,$M1034)),IF($N1034&lt;&gt;"",IF(N(INDEX(LdCDep,$N1034))&gt;0,"بازگشت بانکی","پرداخت بانکی"),"")))</f>
        <v/>
      </c>
      <c r="D1034" s="20">
        <f>IF($L1034&lt;&gt;"",IF(INDEX(LdAId,$L1034)="","—",INDEX(LdAId,$L1034)),IF($M1034&lt;&gt;"",IF(INDEX(LdBId,$M1034)="","—",INDEX(LdBId,$M1034)),IF($N1034&lt;&gt;"",IF(INDEX(LdCBank,$N1034)="","—",INDEX(LdCBank,$N1034)),"")))</f>
        <v/>
      </c>
      <c r="E1034" s="21">
        <f>IF($L1034&lt;&gt;"",IF(INDEX(LdAAmt,$L1034)=0,"",INDEX(LdAAmt,$L1034)),IF($M1034&lt;&gt;"",IF(INDEX(LdBAmt,$M1034)=0,"",INDEX(LdBAmt,$M1034)),IF($N1034&lt;&gt;"",IF(INDEX(LdCDep,$N1034)=0,"",INDEX(LdCDep,$N1034)),"")))</f>
        <v/>
      </c>
      <c r="F1034" s="21">
        <f>IF(AND($L1034="",$M1034="",$N1034=""),"",IF($N1034="","",IF(INDEX(LdCWit,$N1034)=0,"",INDEX(LdCWit,$N1034))))</f>
        <v/>
      </c>
      <c r="G1034" s="31">
        <f>IF($B1034="","",IF($G1033="",0,$G1033)+IF($E1034="",0,$E1034)-IF($F1034="",0,$F1034))</f>
        <v/>
      </c>
      <c r="H1034" s="32">
        <f>IF(AND($L1034="",$M1034="",$N1034=""),"",IF($L1034&lt;&gt;"",IF(INDEX(LdANote,$L1034)="","—",INDEX(LdANote,$L1034)),IF($M1034&lt;&gt;"",IF(INDEX(LdBNote,$M1034)="","—",INDEX(LdBNote,$M1034)),IF($N1034&lt;&gt;"",IF(INDEX(LdCNote,$N1034)="","—",INDEX(LdCNote,$N1034)),""))))</f>
        <v/>
      </c>
      <c r="L1034">
        <f>IFERROR(MATCH($C$5&amp;"|"&amp;RIGHT("000000"&amp;1018,6),LdAKeyM,0),"")</f>
        <v/>
      </c>
      <c r="M1034">
        <f>IFERROR(MATCH($C$5&amp;"|"&amp;RIGHT("000000"&amp;1018,6),LdBKeyM,0),"")</f>
        <v/>
      </c>
      <c r="N1034">
        <f>IFERROR(MATCH($C$5&amp;"|"&amp;RIGHT("000000"&amp;1018,6),LdCKeyM,0),"")</f>
        <v/>
      </c>
    </row>
    <row r="1035">
      <c r="A1035" s="10" t="n">
        <v>1019</v>
      </c>
      <c r="B1035" s="14">
        <f>IF(AND($L1035="",$M1035="",$N1035=""),"",IF($L1035&lt;&gt;"",INDEX(LdADate,$L1035),IF($M1035&lt;&gt;"",INDEX(LdBDate,$M1035),INDEX(LdCDate,$N1035))))</f>
        <v/>
      </c>
      <c r="C1035" s="14">
        <f>IF($L1035&lt;&gt;"","دستمزد (فردی)",IF($M1035&lt;&gt;"","سهم از گروه "&amp;IFERROR(VLOOKUP(INDEX(LdBGroup,$M1035),WGTbl,2,0),INDEX(LdBGroup,$M1035)),IF($N1035&lt;&gt;"",IF(N(INDEX(LdCDep,$N1035))&gt;0,"بازگشت بانکی","پرداخت بانکی"),"")))</f>
        <v/>
      </c>
      <c r="D1035" s="14">
        <f>IF($L1035&lt;&gt;"",IF(INDEX(LdAId,$L1035)="","—",INDEX(LdAId,$L1035)),IF($M1035&lt;&gt;"",IF(INDEX(LdBId,$M1035)="","—",INDEX(LdBId,$M1035)),IF($N1035&lt;&gt;"",IF(INDEX(LdCBank,$N1035)="","—",INDEX(LdCBank,$N1035)),"")))</f>
        <v/>
      </c>
      <c r="E1035" s="16">
        <f>IF($L1035&lt;&gt;"",IF(INDEX(LdAAmt,$L1035)=0,"",INDEX(LdAAmt,$L1035)),IF($M1035&lt;&gt;"",IF(INDEX(LdBAmt,$M1035)=0,"",INDEX(LdBAmt,$M1035)),IF($N1035&lt;&gt;"",IF(INDEX(LdCDep,$N1035)=0,"",INDEX(LdCDep,$N1035)),"")))</f>
        <v/>
      </c>
      <c r="F1035" s="16">
        <f>IF(AND($L1035="",$M1035="",$N1035=""),"",IF($N1035="","",IF(INDEX(LdCWit,$N1035)=0,"",INDEX(LdCWit,$N1035))))</f>
        <v/>
      </c>
      <c r="G1035" s="29">
        <f>IF($B1035="","",IF($G1034="",0,$G1034)+IF($E1035="",0,$E1035)-IF($F1035="",0,$F1035))</f>
        <v/>
      </c>
      <c r="H1035" s="30">
        <f>IF(AND($L1035="",$M1035="",$N1035=""),"",IF($L1035&lt;&gt;"",IF(INDEX(LdANote,$L1035)="","—",INDEX(LdANote,$L1035)),IF($M1035&lt;&gt;"",IF(INDEX(LdBNote,$M1035)="","—",INDEX(LdBNote,$M1035)),IF($N1035&lt;&gt;"",IF(INDEX(LdCNote,$N1035)="","—",INDEX(LdCNote,$N1035)),""))))</f>
        <v/>
      </c>
      <c r="L1035">
        <f>IFERROR(MATCH($C$5&amp;"|"&amp;RIGHT("000000"&amp;1019,6),LdAKeyM,0),"")</f>
        <v/>
      </c>
      <c r="M1035">
        <f>IFERROR(MATCH($C$5&amp;"|"&amp;RIGHT("000000"&amp;1019,6),LdBKeyM,0),"")</f>
        <v/>
      </c>
      <c r="N1035">
        <f>IFERROR(MATCH($C$5&amp;"|"&amp;RIGHT("000000"&amp;1019,6),LdCKeyM,0),"")</f>
        <v/>
      </c>
    </row>
    <row r="1036">
      <c r="A1036" s="19" t="n">
        <v>1020</v>
      </c>
      <c r="B1036" s="20">
        <f>IF(AND($L1036="",$M1036="",$N1036=""),"",IF($L1036&lt;&gt;"",INDEX(LdADate,$L1036),IF($M1036&lt;&gt;"",INDEX(LdBDate,$M1036),INDEX(LdCDate,$N1036))))</f>
        <v/>
      </c>
      <c r="C1036" s="20">
        <f>IF($L1036&lt;&gt;"","دستمزد (فردی)",IF($M1036&lt;&gt;"","سهم از گروه "&amp;IFERROR(VLOOKUP(INDEX(LdBGroup,$M1036),WGTbl,2,0),INDEX(LdBGroup,$M1036)),IF($N1036&lt;&gt;"",IF(N(INDEX(LdCDep,$N1036))&gt;0,"بازگشت بانکی","پرداخت بانکی"),"")))</f>
        <v/>
      </c>
      <c r="D1036" s="20">
        <f>IF($L1036&lt;&gt;"",IF(INDEX(LdAId,$L1036)="","—",INDEX(LdAId,$L1036)),IF($M1036&lt;&gt;"",IF(INDEX(LdBId,$M1036)="","—",INDEX(LdBId,$M1036)),IF($N1036&lt;&gt;"",IF(INDEX(LdCBank,$N1036)="","—",INDEX(LdCBank,$N1036)),"")))</f>
        <v/>
      </c>
      <c r="E1036" s="21">
        <f>IF($L1036&lt;&gt;"",IF(INDEX(LdAAmt,$L1036)=0,"",INDEX(LdAAmt,$L1036)),IF($M1036&lt;&gt;"",IF(INDEX(LdBAmt,$M1036)=0,"",INDEX(LdBAmt,$M1036)),IF($N1036&lt;&gt;"",IF(INDEX(LdCDep,$N1036)=0,"",INDEX(LdCDep,$N1036)),"")))</f>
        <v/>
      </c>
      <c r="F1036" s="21">
        <f>IF(AND($L1036="",$M1036="",$N1036=""),"",IF($N1036="","",IF(INDEX(LdCWit,$N1036)=0,"",INDEX(LdCWit,$N1036))))</f>
        <v/>
      </c>
      <c r="G1036" s="31">
        <f>IF($B1036="","",IF($G1035="",0,$G1035)+IF($E1036="",0,$E1036)-IF($F1036="",0,$F1036))</f>
        <v/>
      </c>
      <c r="H1036" s="32">
        <f>IF(AND($L1036="",$M1036="",$N1036=""),"",IF($L1036&lt;&gt;"",IF(INDEX(LdANote,$L1036)="","—",INDEX(LdANote,$L1036)),IF($M1036&lt;&gt;"",IF(INDEX(LdBNote,$M1036)="","—",INDEX(LdBNote,$M1036)),IF($N1036&lt;&gt;"",IF(INDEX(LdCNote,$N1036)="","—",INDEX(LdCNote,$N1036)),""))))</f>
        <v/>
      </c>
      <c r="L1036">
        <f>IFERROR(MATCH($C$5&amp;"|"&amp;RIGHT("000000"&amp;1020,6),LdAKeyM,0),"")</f>
        <v/>
      </c>
      <c r="M1036">
        <f>IFERROR(MATCH($C$5&amp;"|"&amp;RIGHT("000000"&amp;1020,6),LdBKeyM,0),"")</f>
        <v/>
      </c>
      <c r="N1036">
        <f>IFERROR(MATCH($C$5&amp;"|"&amp;RIGHT("000000"&amp;1020,6),LdCKeyM,0),"")</f>
        <v/>
      </c>
    </row>
    <row r="1037">
      <c r="A1037" s="10" t="n">
        <v>1021</v>
      </c>
      <c r="B1037" s="14">
        <f>IF(AND($L1037="",$M1037="",$N1037=""),"",IF($L1037&lt;&gt;"",INDEX(LdADate,$L1037),IF($M1037&lt;&gt;"",INDEX(LdBDate,$M1037),INDEX(LdCDate,$N1037))))</f>
        <v/>
      </c>
      <c r="C1037" s="14">
        <f>IF($L1037&lt;&gt;"","دستمزد (فردی)",IF($M1037&lt;&gt;"","سهم از گروه "&amp;IFERROR(VLOOKUP(INDEX(LdBGroup,$M1037),WGTbl,2,0),INDEX(LdBGroup,$M1037)),IF($N1037&lt;&gt;"",IF(N(INDEX(LdCDep,$N1037))&gt;0,"بازگشت بانکی","پرداخت بانکی"),"")))</f>
        <v/>
      </c>
      <c r="D1037" s="14">
        <f>IF($L1037&lt;&gt;"",IF(INDEX(LdAId,$L1037)="","—",INDEX(LdAId,$L1037)),IF($M1037&lt;&gt;"",IF(INDEX(LdBId,$M1037)="","—",INDEX(LdBId,$M1037)),IF($N1037&lt;&gt;"",IF(INDEX(LdCBank,$N1037)="","—",INDEX(LdCBank,$N1037)),"")))</f>
        <v/>
      </c>
      <c r="E1037" s="16">
        <f>IF($L1037&lt;&gt;"",IF(INDEX(LdAAmt,$L1037)=0,"",INDEX(LdAAmt,$L1037)),IF($M1037&lt;&gt;"",IF(INDEX(LdBAmt,$M1037)=0,"",INDEX(LdBAmt,$M1037)),IF($N1037&lt;&gt;"",IF(INDEX(LdCDep,$N1037)=0,"",INDEX(LdCDep,$N1037)),"")))</f>
        <v/>
      </c>
      <c r="F1037" s="16">
        <f>IF(AND($L1037="",$M1037="",$N1037=""),"",IF($N1037="","",IF(INDEX(LdCWit,$N1037)=0,"",INDEX(LdCWit,$N1037))))</f>
        <v/>
      </c>
      <c r="G1037" s="29">
        <f>IF($B1037="","",IF($G1036="",0,$G1036)+IF($E1037="",0,$E1037)-IF($F1037="",0,$F1037))</f>
        <v/>
      </c>
      <c r="H1037" s="30">
        <f>IF(AND($L1037="",$M1037="",$N1037=""),"",IF($L1037&lt;&gt;"",IF(INDEX(LdANote,$L1037)="","—",INDEX(LdANote,$L1037)),IF($M1037&lt;&gt;"",IF(INDEX(LdBNote,$M1037)="","—",INDEX(LdBNote,$M1037)),IF($N1037&lt;&gt;"",IF(INDEX(LdCNote,$N1037)="","—",INDEX(LdCNote,$N1037)),""))))</f>
        <v/>
      </c>
      <c r="L1037">
        <f>IFERROR(MATCH($C$5&amp;"|"&amp;RIGHT("000000"&amp;1021,6),LdAKeyM,0),"")</f>
        <v/>
      </c>
      <c r="M1037">
        <f>IFERROR(MATCH($C$5&amp;"|"&amp;RIGHT("000000"&amp;1021,6),LdBKeyM,0),"")</f>
        <v/>
      </c>
      <c r="N1037">
        <f>IFERROR(MATCH($C$5&amp;"|"&amp;RIGHT("000000"&amp;1021,6),LdCKeyM,0),"")</f>
        <v/>
      </c>
    </row>
    <row r="1038">
      <c r="A1038" s="19" t="n">
        <v>1022</v>
      </c>
      <c r="B1038" s="20">
        <f>IF(AND($L1038="",$M1038="",$N1038=""),"",IF($L1038&lt;&gt;"",INDEX(LdADate,$L1038),IF($M1038&lt;&gt;"",INDEX(LdBDate,$M1038),INDEX(LdCDate,$N1038))))</f>
        <v/>
      </c>
      <c r="C1038" s="20">
        <f>IF($L1038&lt;&gt;"","دستمزد (فردی)",IF($M1038&lt;&gt;"","سهم از گروه "&amp;IFERROR(VLOOKUP(INDEX(LdBGroup,$M1038),WGTbl,2,0),INDEX(LdBGroup,$M1038)),IF($N1038&lt;&gt;"",IF(N(INDEX(LdCDep,$N1038))&gt;0,"بازگشت بانکی","پرداخت بانکی"),"")))</f>
        <v/>
      </c>
      <c r="D1038" s="20">
        <f>IF($L1038&lt;&gt;"",IF(INDEX(LdAId,$L1038)="","—",INDEX(LdAId,$L1038)),IF($M1038&lt;&gt;"",IF(INDEX(LdBId,$M1038)="","—",INDEX(LdBId,$M1038)),IF($N1038&lt;&gt;"",IF(INDEX(LdCBank,$N1038)="","—",INDEX(LdCBank,$N1038)),"")))</f>
        <v/>
      </c>
      <c r="E1038" s="21">
        <f>IF($L1038&lt;&gt;"",IF(INDEX(LdAAmt,$L1038)=0,"",INDEX(LdAAmt,$L1038)),IF($M1038&lt;&gt;"",IF(INDEX(LdBAmt,$M1038)=0,"",INDEX(LdBAmt,$M1038)),IF($N1038&lt;&gt;"",IF(INDEX(LdCDep,$N1038)=0,"",INDEX(LdCDep,$N1038)),"")))</f>
        <v/>
      </c>
      <c r="F1038" s="21">
        <f>IF(AND($L1038="",$M1038="",$N1038=""),"",IF($N1038="","",IF(INDEX(LdCWit,$N1038)=0,"",INDEX(LdCWit,$N1038))))</f>
        <v/>
      </c>
      <c r="G1038" s="31">
        <f>IF($B1038="","",IF($G1037="",0,$G1037)+IF($E1038="",0,$E1038)-IF($F1038="",0,$F1038))</f>
        <v/>
      </c>
      <c r="H1038" s="32">
        <f>IF(AND($L1038="",$M1038="",$N1038=""),"",IF($L1038&lt;&gt;"",IF(INDEX(LdANote,$L1038)="","—",INDEX(LdANote,$L1038)),IF($M1038&lt;&gt;"",IF(INDEX(LdBNote,$M1038)="","—",INDEX(LdBNote,$M1038)),IF($N1038&lt;&gt;"",IF(INDEX(LdCNote,$N1038)="","—",INDEX(LdCNote,$N1038)),""))))</f>
        <v/>
      </c>
      <c r="L1038">
        <f>IFERROR(MATCH($C$5&amp;"|"&amp;RIGHT("000000"&amp;1022,6),LdAKeyM,0),"")</f>
        <v/>
      </c>
      <c r="M1038">
        <f>IFERROR(MATCH($C$5&amp;"|"&amp;RIGHT("000000"&amp;1022,6),LdBKeyM,0),"")</f>
        <v/>
      </c>
      <c r="N1038">
        <f>IFERROR(MATCH($C$5&amp;"|"&amp;RIGHT("000000"&amp;1022,6),LdCKeyM,0),"")</f>
        <v/>
      </c>
    </row>
    <row r="1039">
      <c r="A1039" s="10" t="n">
        <v>1023</v>
      </c>
      <c r="B1039" s="14">
        <f>IF(AND($L1039="",$M1039="",$N1039=""),"",IF($L1039&lt;&gt;"",INDEX(LdADate,$L1039),IF($M1039&lt;&gt;"",INDEX(LdBDate,$M1039),INDEX(LdCDate,$N1039))))</f>
        <v/>
      </c>
      <c r="C1039" s="14">
        <f>IF($L1039&lt;&gt;"","دستمزد (فردی)",IF($M1039&lt;&gt;"","سهم از گروه "&amp;IFERROR(VLOOKUP(INDEX(LdBGroup,$M1039),WGTbl,2,0),INDEX(LdBGroup,$M1039)),IF($N1039&lt;&gt;"",IF(N(INDEX(LdCDep,$N1039))&gt;0,"بازگشت بانکی","پرداخت بانکی"),"")))</f>
        <v/>
      </c>
      <c r="D1039" s="14">
        <f>IF($L1039&lt;&gt;"",IF(INDEX(LdAId,$L1039)="","—",INDEX(LdAId,$L1039)),IF($M1039&lt;&gt;"",IF(INDEX(LdBId,$M1039)="","—",INDEX(LdBId,$M1039)),IF($N1039&lt;&gt;"",IF(INDEX(LdCBank,$N1039)="","—",INDEX(LdCBank,$N1039)),"")))</f>
        <v/>
      </c>
      <c r="E1039" s="16">
        <f>IF($L1039&lt;&gt;"",IF(INDEX(LdAAmt,$L1039)=0,"",INDEX(LdAAmt,$L1039)),IF($M1039&lt;&gt;"",IF(INDEX(LdBAmt,$M1039)=0,"",INDEX(LdBAmt,$M1039)),IF($N1039&lt;&gt;"",IF(INDEX(LdCDep,$N1039)=0,"",INDEX(LdCDep,$N1039)),"")))</f>
        <v/>
      </c>
      <c r="F1039" s="16">
        <f>IF(AND($L1039="",$M1039="",$N1039=""),"",IF($N1039="","",IF(INDEX(LdCWit,$N1039)=0,"",INDEX(LdCWit,$N1039))))</f>
        <v/>
      </c>
      <c r="G1039" s="29">
        <f>IF($B1039="","",IF($G1038="",0,$G1038)+IF($E1039="",0,$E1039)-IF($F1039="",0,$F1039))</f>
        <v/>
      </c>
      <c r="H1039" s="30">
        <f>IF(AND($L1039="",$M1039="",$N1039=""),"",IF($L1039&lt;&gt;"",IF(INDEX(LdANote,$L1039)="","—",INDEX(LdANote,$L1039)),IF($M1039&lt;&gt;"",IF(INDEX(LdBNote,$M1039)="","—",INDEX(LdBNote,$M1039)),IF($N1039&lt;&gt;"",IF(INDEX(LdCNote,$N1039)="","—",INDEX(LdCNote,$N1039)),""))))</f>
        <v/>
      </c>
      <c r="L1039">
        <f>IFERROR(MATCH($C$5&amp;"|"&amp;RIGHT("000000"&amp;1023,6),LdAKeyM,0),"")</f>
        <v/>
      </c>
      <c r="M1039">
        <f>IFERROR(MATCH($C$5&amp;"|"&amp;RIGHT("000000"&amp;1023,6),LdBKeyM,0),"")</f>
        <v/>
      </c>
      <c r="N1039">
        <f>IFERROR(MATCH($C$5&amp;"|"&amp;RIGHT("000000"&amp;1023,6),LdCKeyM,0),"")</f>
        <v/>
      </c>
    </row>
    <row r="1040">
      <c r="A1040" s="19" t="n">
        <v>1024</v>
      </c>
      <c r="B1040" s="20">
        <f>IF(AND($L1040="",$M1040="",$N1040=""),"",IF($L1040&lt;&gt;"",INDEX(LdADate,$L1040),IF($M1040&lt;&gt;"",INDEX(LdBDate,$M1040),INDEX(LdCDate,$N1040))))</f>
        <v/>
      </c>
      <c r="C1040" s="20">
        <f>IF($L1040&lt;&gt;"","دستمزد (فردی)",IF($M1040&lt;&gt;"","سهم از گروه "&amp;IFERROR(VLOOKUP(INDEX(LdBGroup,$M1040),WGTbl,2,0),INDEX(LdBGroup,$M1040)),IF($N1040&lt;&gt;"",IF(N(INDEX(LdCDep,$N1040))&gt;0,"بازگشت بانکی","پرداخت بانکی"),"")))</f>
        <v/>
      </c>
      <c r="D1040" s="20">
        <f>IF($L1040&lt;&gt;"",IF(INDEX(LdAId,$L1040)="","—",INDEX(LdAId,$L1040)),IF($M1040&lt;&gt;"",IF(INDEX(LdBId,$M1040)="","—",INDEX(LdBId,$M1040)),IF($N1040&lt;&gt;"",IF(INDEX(LdCBank,$N1040)="","—",INDEX(LdCBank,$N1040)),"")))</f>
        <v/>
      </c>
      <c r="E1040" s="21">
        <f>IF($L1040&lt;&gt;"",IF(INDEX(LdAAmt,$L1040)=0,"",INDEX(LdAAmt,$L1040)),IF($M1040&lt;&gt;"",IF(INDEX(LdBAmt,$M1040)=0,"",INDEX(LdBAmt,$M1040)),IF($N1040&lt;&gt;"",IF(INDEX(LdCDep,$N1040)=0,"",INDEX(LdCDep,$N1040)),"")))</f>
        <v/>
      </c>
      <c r="F1040" s="21">
        <f>IF(AND($L1040="",$M1040="",$N1040=""),"",IF($N1040="","",IF(INDEX(LdCWit,$N1040)=0,"",INDEX(LdCWit,$N1040))))</f>
        <v/>
      </c>
      <c r="G1040" s="31">
        <f>IF($B1040="","",IF($G1039="",0,$G1039)+IF($E1040="",0,$E1040)-IF($F1040="",0,$F1040))</f>
        <v/>
      </c>
      <c r="H1040" s="32">
        <f>IF(AND($L1040="",$M1040="",$N1040=""),"",IF($L1040&lt;&gt;"",IF(INDEX(LdANote,$L1040)="","—",INDEX(LdANote,$L1040)),IF($M1040&lt;&gt;"",IF(INDEX(LdBNote,$M1040)="","—",INDEX(LdBNote,$M1040)),IF($N1040&lt;&gt;"",IF(INDEX(LdCNote,$N1040)="","—",INDEX(LdCNote,$N1040)),""))))</f>
        <v/>
      </c>
      <c r="L1040">
        <f>IFERROR(MATCH($C$5&amp;"|"&amp;RIGHT("000000"&amp;1024,6),LdAKeyM,0),"")</f>
        <v/>
      </c>
      <c r="M1040">
        <f>IFERROR(MATCH($C$5&amp;"|"&amp;RIGHT("000000"&amp;1024,6),LdBKeyM,0),"")</f>
        <v/>
      </c>
      <c r="N1040">
        <f>IFERROR(MATCH($C$5&amp;"|"&amp;RIGHT("000000"&amp;1024,6),LdCKeyM,0),"")</f>
        <v/>
      </c>
    </row>
    <row r="1041">
      <c r="A1041" s="10" t="n">
        <v>1025</v>
      </c>
      <c r="B1041" s="14">
        <f>IF(AND($L1041="",$M1041="",$N1041=""),"",IF($L1041&lt;&gt;"",INDEX(LdADate,$L1041),IF($M1041&lt;&gt;"",INDEX(LdBDate,$M1041),INDEX(LdCDate,$N1041))))</f>
        <v/>
      </c>
      <c r="C1041" s="14">
        <f>IF($L1041&lt;&gt;"","دستمزد (فردی)",IF($M1041&lt;&gt;"","سهم از گروه "&amp;IFERROR(VLOOKUP(INDEX(LdBGroup,$M1041),WGTbl,2,0),INDEX(LdBGroup,$M1041)),IF($N1041&lt;&gt;"",IF(N(INDEX(LdCDep,$N1041))&gt;0,"بازگشت بانکی","پرداخت بانکی"),"")))</f>
        <v/>
      </c>
      <c r="D1041" s="14">
        <f>IF($L1041&lt;&gt;"",IF(INDEX(LdAId,$L1041)="","—",INDEX(LdAId,$L1041)),IF($M1041&lt;&gt;"",IF(INDEX(LdBId,$M1041)="","—",INDEX(LdBId,$M1041)),IF($N1041&lt;&gt;"",IF(INDEX(LdCBank,$N1041)="","—",INDEX(LdCBank,$N1041)),"")))</f>
        <v/>
      </c>
      <c r="E1041" s="16">
        <f>IF($L1041&lt;&gt;"",IF(INDEX(LdAAmt,$L1041)=0,"",INDEX(LdAAmt,$L1041)),IF($M1041&lt;&gt;"",IF(INDEX(LdBAmt,$M1041)=0,"",INDEX(LdBAmt,$M1041)),IF($N1041&lt;&gt;"",IF(INDEX(LdCDep,$N1041)=0,"",INDEX(LdCDep,$N1041)),"")))</f>
        <v/>
      </c>
      <c r="F1041" s="16">
        <f>IF(AND($L1041="",$M1041="",$N1041=""),"",IF($N1041="","",IF(INDEX(LdCWit,$N1041)=0,"",INDEX(LdCWit,$N1041))))</f>
        <v/>
      </c>
      <c r="G1041" s="29">
        <f>IF($B1041="","",IF($G1040="",0,$G1040)+IF($E1041="",0,$E1041)-IF($F1041="",0,$F1041))</f>
        <v/>
      </c>
      <c r="H1041" s="30">
        <f>IF(AND($L1041="",$M1041="",$N1041=""),"",IF($L1041&lt;&gt;"",IF(INDEX(LdANote,$L1041)="","—",INDEX(LdANote,$L1041)),IF($M1041&lt;&gt;"",IF(INDEX(LdBNote,$M1041)="","—",INDEX(LdBNote,$M1041)),IF($N1041&lt;&gt;"",IF(INDEX(LdCNote,$N1041)="","—",INDEX(LdCNote,$N1041)),""))))</f>
        <v/>
      </c>
      <c r="L1041">
        <f>IFERROR(MATCH($C$5&amp;"|"&amp;RIGHT("000000"&amp;1025,6),LdAKeyM,0),"")</f>
        <v/>
      </c>
      <c r="M1041">
        <f>IFERROR(MATCH($C$5&amp;"|"&amp;RIGHT("000000"&amp;1025,6),LdBKeyM,0),"")</f>
        <v/>
      </c>
      <c r="N1041">
        <f>IFERROR(MATCH($C$5&amp;"|"&amp;RIGHT("000000"&amp;1025,6),LdCKeyM,0),"")</f>
        <v/>
      </c>
    </row>
    <row r="1042">
      <c r="A1042" s="19" t="n">
        <v>1026</v>
      </c>
      <c r="B1042" s="20">
        <f>IF(AND($L1042="",$M1042="",$N1042=""),"",IF($L1042&lt;&gt;"",INDEX(LdADate,$L1042),IF($M1042&lt;&gt;"",INDEX(LdBDate,$M1042),INDEX(LdCDate,$N1042))))</f>
        <v/>
      </c>
      <c r="C1042" s="20">
        <f>IF($L1042&lt;&gt;"","دستمزد (فردی)",IF($M1042&lt;&gt;"","سهم از گروه "&amp;IFERROR(VLOOKUP(INDEX(LdBGroup,$M1042),WGTbl,2,0),INDEX(LdBGroup,$M1042)),IF($N1042&lt;&gt;"",IF(N(INDEX(LdCDep,$N1042))&gt;0,"بازگشت بانکی","پرداخت بانکی"),"")))</f>
        <v/>
      </c>
      <c r="D1042" s="20">
        <f>IF($L1042&lt;&gt;"",IF(INDEX(LdAId,$L1042)="","—",INDEX(LdAId,$L1042)),IF($M1042&lt;&gt;"",IF(INDEX(LdBId,$M1042)="","—",INDEX(LdBId,$M1042)),IF($N1042&lt;&gt;"",IF(INDEX(LdCBank,$N1042)="","—",INDEX(LdCBank,$N1042)),"")))</f>
        <v/>
      </c>
      <c r="E1042" s="21">
        <f>IF($L1042&lt;&gt;"",IF(INDEX(LdAAmt,$L1042)=0,"",INDEX(LdAAmt,$L1042)),IF($M1042&lt;&gt;"",IF(INDEX(LdBAmt,$M1042)=0,"",INDEX(LdBAmt,$M1042)),IF($N1042&lt;&gt;"",IF(INDEX(LdCDep,$N1042)=0,"",INDEX(LdCDep,$N1042)),"")))</f>
        <v/>
      </c>
      <c r="F1042" s="21">
        <f>IF(AND($L1042="",$M1042="",$N1042=""),"",IF($N1042="","",IF(INDEX(LdCWit,$N1042)=0,"",INDEX(LdCWit,$N1042))))</f>
        <v/>
      </c>
      <c r="G1042" s="31">
        <f>IF($B1042="","",IF($G1041="",0,$G1041)+IF($E1042="",0,$E1042)-IF($F1042="",0,$F1042))</f>
        <v/>
      </c>
      <c r="H1042" s="32">
        <f>IF(AND($L1042="",$M1042="",$N1042=""),"",IF($L1042&lt;&gt;"",IF(INDEX(LdANote,$L1042)="","—",INDEX(LdANote,$L1042)),IF($M1042&lt;&gt;"",IF(INDEX(LdBNote,$M1042)="","—",INDEX(LdBNote,$M1042)),IF($N1042&lt;&gt;"",IF(INDEX(LdCNote,$N1042)="","—",INDEX(LdCNote,$N1042)),""))))</f>
        <v/>
      </c>
      <c r="L1042">
        <f>IFERROR(MATCH($C$5&amp;"|"&amp;RIGHT("000000"&amp;1026,6),LdAKeyM,0),"")</f>
        <v/>
      </c>
      <c r="M1042">
        <f>IFERROR(MATCH($C$5&amp;"|"&amp;RIGHT("000000"&amp;1026,6),LdBKeyM,0),"")</f>
        <v/>
      </c>
      <c r="N1042">
        <f>IFERROR(MATCH($C$5&amp;"|"&amp;RIGHT("000000"&amp;1026,6),LdCKeyM,0),"")</f>
        <v/>
      </c>
    </row>
    <row r="1043">
      <c r="A1043" s="10" t="n">
        <v>1027</v>
      </c>
      <c r="B1043" s="14">
        <f>IF(AND($L1043="",$M1043="",$N1043=""),"",IF($L1043&lt;&gt;"",INDEX(LdADate,$L1043),IF($M1043&lt;&gt;"",INDEX(LdBDate,$M1043),INDEX(LdCDate,$N1043))))</f>
        <v/>
      </c>
      <c r="C1043" s="14">
        <f>IF($L1043&lt;&gt;"","دستمزد (فردی)",IF($M1043&lt;&gt;"","سهم از گروه "&amp;IFERROR(VLOOKUP(INDEX(LdBGroup,$M1043),WGTbl,2,0),INDEX(LdBGroup,$M1043)),IF($N1043&lt;&gt;"",IF(N(INDEX(LdCDep,$N1043))&gt;0,"بازگشت بانکی","پرداخت بانکی"),"")))</f>
        <v/>
      </c>
      <c r="D1043" s="14">
        <f>IF($L1043&lt;&gt;"",IF(INDEX(LdAId,$L1043)="","—",INDEX(LdAId,$L1043)),IF($M1043&lt;&gt;"",IF(INDEX(LdBId,$M1043)="","—",INDEX(LdBId,$M1043)),IF($N1043&lt;&gt;"",IF(INDEX(LdCBank,$N1043)="","—",INDEX(LdCBank,$N1043)),"")))</f>
        <v/>
      </c>
      <c r="E1043" s="16">
        <f>IF($L1043&lt;&gt;"",IF(INDEX(LdAAmt,$L1043)=0,"",INDEX(LdAAmt,$L1043)),IF($M1043&lt;&gt;"",IF(INDEX(LdBAmt,$M1043)=0,"",INDEX(LdBAmt,$M1043)),IF($N1043&lt;&gt;"",IF(INDEX(LdCDep,$N1043)=0,"",INDEX(LdCDep,$N1043)),"")))</f>
        <v/>
      </c>
      <c r="F1043" s="16">
        <f>IF(AND($L1043="",$M1043="",$N1043=""),"",IF($N1043="","",IF(INDEX(LdCWit,$N1043)=0,"",INDEX(LdCWit,$N1043))))</f>
        <v/>
      </c>
      <c r="G1043" s="29">
        <f>IF($B1043="","",IF($G1042="",0,$G1042)+IF($E1043="",0,$E1043)-IF($F1043="",0,$F1043))</f>
        <v/>
      </c>
      <c r="H1043" s="30">
        <f>IF(AND($L1043="",$M1043="",$N1043=""),"",IF($L1043&lt;&gt;"",IF(INDEX(LdANote,$L1043)="","—",INDEX(LdANote,$L1043)),IF($M1043&lt;&gt;"",IF(INDEX(LdBNote,$M1043)="","—",INDEX(LdBNote,$M1043)),IF($N1043&lt;&gt;"",IF(INDEX(LdCNote,$N1043)="","—",INDEX(LdCNote,$N1043)),""))))</f>
        <v/>
      </c>
      <c r="L1043">
        <f>IFERROR(MATCH($C$5&amp;"|"&amp;RIGHT("000000"&amp;1027,6),LdAKeyM,0),"")</f>
        <v/>
      </c>
      <c r="M1043">
        <f>IFERROR(MATCH($C$5&amp;"|"&amp;RIGHT("000000"&amp;1027,6),LdBKeyM,0),"")</f>
        <v/>
      </c>
      <c r="N1043">
        <f>IFERROR(MATCH($C$5&amp;"|"&amp;RIGHT("000000"&amp;1027,6),LdCKeyM,0),"")</f>
        <v/>
      </c>
    </row>
    <row r="1044">
      <c r="A1044" s="19" t="n">
        <v>1028</v>
      </c>
      <c r="B1044" s="20">
        <f>IF(AND($L1044="",$M1044="",$N1044=""),"",IF($L1044&lt;&gt;"",INDEX(LdADate,$L1044),IF($M1044&lt;&gt;"",INDEX(LdBDate,$M1044),INDEX(LdCDate,$N1044))))</f>
        <v/>
      </c>
      <c r="C1044" s="20">
        <f>IF($L1044&lt;&gt;"","دستمزد (فردی)",IF($M1044&lt;&gt;"","سهم از گروه "&amp;IFERROR(VLOOKUP(INDEX(LdBGroup,$M1044),WGTbl,2,0),INDEX(LdBGroup,$M1044)),IF($N1044&lt;&gt;"",IF(N(INDEX(LdCDep,$N1044))&gt;0,"بازگشت بانکی","پرداخت بانکی"),"")))</f>
        <v/>
      </c>
      <c r="D1044" s="20">
        <f>IF($L1044&lt;&gt;"",IF(INDEX(LdAId,$L1044)="","—",INDEX(LdAId,$L1044)),IF($M1044&lt;&gt;"",IF(INDEX(LdBId,$M1044)="","—",INDEX(LdBId,$M1044)),IF($N1044&lt;&gt;"",IF(INDEX(LdCBank,$N1044)="","—",INDEX(LdCBank,$N1044)),"")))</f>
        <v/>
      </c>
      <c r="E1044" s="21">
        <f>IF($L1044&lt;&gt;"",IF(INDEX(LdAAmt,$L1044)=0,"",INDEX(LdAAmt,$L1044)),IF($M1044&lt;&gt;"",IF(INDEX(LdBAmt,$M1044)=0,"",INDEX(LdBAmt,$M1044)),IF($N1044&lt;&gt;"",IF(INDEX(LdCDep,$N1044)=0,"",INDEX(LdCDep,$N1044)),"")))</f>
        <v/>
      </c>
      <c r="F1044" s="21">
        <f>IF(AND($L1044="",$M1044="",$N1044=""),"",IF($N1044="","",IF(INDEX(LdCWit,$N1044)=0,"",INDEX(LdCWit,$N1044))))</f>
        <v/>
      </c>
      <c r="G1044" s="31">
        <f>IF($B1044="","",IF($G1043="",0,$G1043)+IF($E1044="",0,$E1044)-IF($F1044="",0,$F1044))</f>
        <v/>
      </c>
      <c r="H1044" s="32">
        <f>IF(AND($L1044="",$M1044="",$N1044=""),"",IF($L1044&lt;&gt;"",IF(INDEX(LdANote,$L1044)="","—",INDEX(LdANote,$L1044)),IF($M1044&lt;&gt;"",IF(INDEX(LdBNote,$M1044)="","—",INDEX(LdBNote,$M1044)),IF($N1044&lt;&gt;"",IF(INDEX(LdCNote,$N1044)="","—",INDEX(LdCNote,$N1044)),""))))</f>
        <v/>
      </c>
      <c r="L1044">
        <f>IFERROR(MATCH($C$5&amp;"|"&amp;RIGHT("000000"&amp;1028,6),LdAKeyM,0),"")</f>
        <v/>
      </c>
      <c r="M1044">
        <f>IFERROR(MATCH($C$5&amp;"|"&amp;RIGHT("000000"&amp;1028,6),LdBKeyM,0),"")</f>
        <v/>
      </c>
      <c r="N1044">
        <f>IFERROR(MATCH($C$5&amp;"|"&amp;RIGHT("000000"&amp;1028,6),LdCKeyM,0),"")</f>
        <v/>
      </c>
    </row>
    <row r="1045">
      <c r="A1045" s="10" t="n">
        <v>1029</v>
      </c>
      <c r="B1045" s="14">
        <f>IF(AND($L1045="",$M1045="",$N1045=""),"",IF($L1045&lt;&gt;"",INDEX(LdADate,$L1045),IF($M1045&lt;&gt;"",INDEX(LdBDate,$M1045),INDEX(LdCDate,$N1045))))</f>
        <v/>
      </c>
      <c r="C1045" s="14">
        <f>IF($L1045&lt;&gt;"","دستمزد (فردی)",IF($M1045&lt;&gt;"","سهم از گروه "&amp;IFERROR(VLOOKUP(INDEX(LdBGroup,$M1045),WGTbl,2,0),INDEX(LdBGroup,$M1045)),IF($N1045&lt;&gt;"",IF(N(INDEX(LdCDep,$N1045))&gt;0,"بازگشت بانکی","پرداخت بانکی"),"")))</f>
        <v/>
      </c>
      <c r="D1045" s="14">
        <f>IF($L1045&lt;&gt;"",IF(INDEX(LdAId,$L1045)="","—",INDEX(LdAId,$L1045)),IF($M1045&lt;&gt;"",IF(INDEX(LdBId,$M1045)="","—",INDEX(LdBId,$M1045)),IF($N1045&lt;&gt;"",IF(INDEX(LdCBank,$N1045)="","—",INDEX(LdCBank,$N1045)),"")))</f>
        <v/>
      </c>
      <c r="E1045" s="16">
        <f>IF($L1045&lt;&gt;"",IF(INDEX(LdAAmt,$L1045)=0,"",INDEX(LdAAmt,$L1045)),IF($M1045&lt;&gt;"",IF(INDEX(LdBAmt,$M1045)=0,"",INDEX(LdBAmt,$M1045)),IF($N1045&lt;&gt;"",IF(INDEX(LdCDep,$N1045)=0,"",INDEX(LdCDep,$N1045)),"")))</f>
        <v/>
      </c>
      <c r="F1045" s="16">
        <f>IF(AND($L1045="",$M1045="",$N1045=""),"",IF($N1045="","",IF(INDEX(LdCWit,$N1045)=0,"",INDEX(LdCWit,$N1045))))</f>
        <v/>
      </c>
      <c r="G1045" s="29">
        <f>IF($B1045="","",IF($G1044="",0,$G1044)+IF($E1045="",0,$E1045)-IF($F1045="",0,$F1045))</f>
        <v/>
      </c>
      <c r="H1045" s="30">
        <f>IF(AND($L1045="",$M1045="",$N1045=""),"",IF($L1045&lt;&gt;"",IF(INDEX(LdANote,$L1045)="","—",INDEX(LdANote,$L1045)),IF($M1045&lt;&gt;"",IF(INDEX(LdBNote,$M1045)="","—",INDEX(LdBNote,$M1045)),IF($N1045&lt;&gt;"",IF(INDEX(LdCNote,$N1045)="","—",INDEX(LdCNote,$N1045)),""))))</f>
        <v/>
      </c>
      <c r="L1045">
        <f>IFERROR(MATCH($C$5&amp;"|"&amp;RIGHT("000000"&amp;1029,6),LdAKeyM,0),"")</f>
        <v/>
      </c>
      <c r="M1045">
        <f>IFERROR(MATCH($C$5&amp;"|"&amp;RIGHT("000000"&amp;1029,6),LdBKeyM,0),"")</f>
        <v/>
      </c>
      <c r="N1045">
        <f>IFERROR(MATCH($C$5&amp;"|"&amp;RIGHT("000000"&amp;1029,6),LdCKeyM,0),"")</f>
        <v/>
      </c>
    </row>
    <row r="1046">
      <c r="A1046" s="19" t="n">
        <v>1030</v>
      </c>
      <c r="B1046" s="20">
        <f>IF(AND($L1046="",$M1046="",$N1046=""),"",IF($L1046&lt;&gt;"",INDEX(LdADate,$L1046),IF($M1046&lt;&gt;"",INDEX(LdBDate,$M1046),INDEX(LdCDate,$N1046))))</f>
        <v/>
      </c>
      <c r="C1046" s="20">
        <f>IF($L1046&lt;&gt;"","دستمزد (فردی)",IF($M1046&lt;&gt;"","سهم از گروه "&amp;IFERROR(VLOOKUP(INDEX(LdBGroup,$M1046),WGTbl,2,0),INDEX(LdBGroup,$M1046)),IF($N1046&lt;&gt;"",IF(N(INDEX(LdCDep,$N1046))&gt;0,"بازگشت بانکی","پرداخت بانکی"),"")))</f>
        <v/>
      </c>
      <c r="D1046" s="20">
        <f>IF($L1046&lt;&gt;"",IF(INDEX(LdAId,$L1046)="","—",INDEX(LdAId,$L1046)),IF($M1046&lt;&gt;"",IF(INDEX(LdBId,$M1046)="","—",INDEX(LdBId,$M1046)),IF($N1046&lt;&gt;"",IF(INDEX(LdCBank,$N1046)="","—",INDEX(LdCBank,$N1046)),"")))</f>
        <v/>
      </c>
      <c r="E1046" s="21">
        <f>IF($L1046&lt;&gt;"",IF(INDEX(LdAAmt,$L1046)=0,"",INDEX(LdAAmt,$L1046)),IF($M1046&lt;&gt;"",IF(INDEX(LdBAmt,$M1046)=0,"",INDEX(LdBAmt,$M1046)),IF($N1046&lt;&gt;"",IF(INDEX(LdCDep,$N1046)=0,"",INDEX(LdCDep,$N1046)),"")))</f>
        <v/>
      </c>
      <c r="F1046" s="21">
        <f>IF(AND($L1046="",$M1046="",$N1046=""),"",IF($N1046="","",IF(INDEX(LdCWit,$N1046)=0,"",INDEX(LdCWit,$N1046))))</f>
        <v/>
      </c>
      <c r="G1046" s="31">
        <f>IF($B1046="","",IF($G1045="",0,$G1045)+IF($E1046="",0,$E1046)-IF($F1046="",0,$F1046))</f>
        <v/>
      </c>
      <c r="H1046" s="32">
        <f>IF(AND($L1046="",$M1046="",$N1046=""),"",IF($L1046&lt;&gt;"",IF(INDEX(LdANote,$L1046)="","—",INDEX(LdANote,$L1046)),IF($M1046&lt;&gt;"",IF(INDEX(LdBNote,$M1046)="","—",INDEX(LdBNote,$M1046)),IF($N1046&lt;&gt;"",IF(INDEX(LdCNote,$N1046)="","—",INDEX(LdCNote,$N1046)),""))))</f>
        <v/>
      </c>
      <c r="L1046">
        <f>IFERROR(MATCH($C$5&amp;"|"&amp;RIGHT("000000"&amp;1030,6),LdAKeyM,0),"")</f>
        <v/>
      </c>
      <c r="M1046">
        <f>IFERROR(MATCH($C$5&amp;"|"&amp;RIGHT("000000"&amp;1030,6),LdBKeyM,0),"")</f>
        <v/>
      </c>
      <c r="N1046">
        <f>IFERROR(MATCH($C$5&amp;"|"&amp;RIGHT("000000"&amp;1030,6),LdCKeyM,0),"")</f>
        <v/>
      </c>
    </row>
    <row r="1047">
      <c r="A1047" s="10" t="n">
        <v>1031</v>
      </c>
      <c r="B1047" s="14">
        <f>IF(AND($L1047="",$M1047="",$N1047=""),"",IF($L1047&lt;&gt;"",INDEX(LdADate,$L1047),IF($M1047&lt;&gt;"",INDEX(LdBDate,$M1047),INDEX(LdCDate,$N1047))))</f>
        <v/>
      </c>
      <c r="C1047" s="14">
        <f>IF($L1047&lt;&gt;"","دستمزد (فردی)",IF($M1047&lt;&gt;"","سهم از گروه "&amp;IFERROR(VLOOKUP(INDEX(LdBGroup,$M1047),WGTbl,2,0),INDEX(LdBGroup,$M1047)),IF($N1047&lt;&gt;"",IF(N(INDEX(LdCDep,$N1047))&gt;0,"بازگشت بانکی","پرداخت بانکی"),"")))</f>
        <v/>
      </c>
      <c r="D1047" s="14">
        <f>IF($L1047&lt;&gt;"",IF(INDEX(LdAId,$L1047)="","—",INDEX(LdAId,$L1047)),IF($M1047&lt;&gt;"",IF(INDEX(LdBId,$M1047)="","—",INDEX(LdBId,$M1047)),IF($N1047&lt;&gt;"",IF(INDEX(LdCBank,$N1047)="","—",INDEX(LdCBank,$N1047)),"")))</f>
        <v/>
      </c>
      <c r="E1047" s="16">
        <f>IF($L1047&lt;&gt;"",IF(INDEX(LdAAmt,$L1047)=0,"",INDEX(LdAAmt,$L1047)),IF($M1047&lt;&gt;"",IF(INDEX(LdBAmt,$M1047)=0,"",INDEX(LdBAmt,$M1047)),IF($N1047&lt;&gt;"",IF(INDEX(LdCDep,$N1047)=0,"",INDEX(LdCDep,$N1047)),"")))</f>
        <v/>
      </c>
      <c r="F1047" s="16">
        <f>IF(AND($L1047="",$M1047="",$N1047=""),"",IF($N1047="","",IF(INDEX(LdCWit,$N1047)=0,"",INDEX(LdCWit,$N1047))))</f>
        <v/>
      </c>
      <c r="G1047" s="29">
        <f>IF($B1047="","",IF($G1046="",0,$G1046)+IF($E1047="",0,$E1047)-IF($F1047="",0,$F1047))</f>
        <v/>
      </c>
      <c r="H1047" s="30">
        <f>IF(AND($L1047="",$M1047="",$N1047=""),"",IF($L1047&lt;&gt;"",IF(INDEX(LdANote,$L1047)="","—",INDEX(LdANote,$L1047)),IF($M1047&lt;&gt;"",IF(INDEX(LdBNote,$M1047)="","—",INDEX(LdBNote,$M1047)),IF($N1047&lt;&gt;"",IF(INDEX(LdCNote,$N1047)="","—",INDEX(LdCNote,$N1047)),""))))</f>
        <v/>
      </c>
      <c r="L1047">
        <f>IFERROR(MATCH($C$5&amp;"|"&amp;RIGHT("000000"&amp;1031,6),LdAKeyM,0),"")</f>
        <v/>
      </c>
      <c r="M1047">
        <f>IFERROR(MATCH($C$5&amp;"|"&amp;RIGHT("000000"&amp;1031,6),LdBKeyM,0),"")</f>
        <v/>
      </c>
      <c r="N1047">
        <f>IFERROR(MATCH($C$5&amp;"|"&amp;RIGHT("000000"&amp;1031,6),LdCKeyM,0),"")</f>
        <v/>
      </c>
    </row>
    <row r="1048">
      <c r="A1048" s="19" t="n">
        <v>1032</v>
      </c>
      <c r="B1048" s="20">
        <f>IF(AND($L1048="",$M1048="",$N1048=""),"",IF($L1048&lt;&gt;"",INDEX(LdADate,$L1048),IF($M1048&lt;&gt;"",INDEX(LdBDate,$M1048),INDEX(LdCDate,$N1048))))</f>
        <v/>
      </c>
      <c r="C1048" s="20">
        <f>IF($L1048&lt;&gt;"","دستمزد (فردی)",IF($M1048&lt;&gt;"","سهم از گروه "&amp;IFERROR(VLOOKUP(INDEX(LdBGroup,$M1048),WGTbl,2,0),INDEX(LdBGroup,$M1048)),IF($N1048&lt;&gt;"",IF(N(INDEX(LdCDep,$N1048))&gt;0,"بازگشت بانکی","پرداخت بانکی"),"")))</f>
        <v/>
      </c>
      <c r="D1048" s="20">
        <f>IF($L1048&lt;&gt;"",IF(INDEX(LdAId,$L1048)="","—",INDEX(LdAId,$L1048)),IF($M1048&lt;&gt;"",IF(INDEX(LdBId,$M1048)="","—",INDEX(LdBId,$M1048)),IF($N1048&lt;&gt;"",IF(INDEX(LdCBank,$N1048)="","—",INDEX(LdCBank,$N1048)),"")))</f>
        <v/>
      </c>
      <c r="E1048" s="21">
        <f>IF($L1048&lt;&gt;"",IF(INDEX(LdAAmt,$L1048)=0,"",INDEX(LdAAmt,$L1048)),IF($M1048&lt;&gt;"",IF(INDEX(LdBAmt,$M1048)=0,"",INDEX(LdBAmt,$M1048)),IF($N1048&lt;&gt;"",IF(INDEX(LdCDep,$N1048)=0,"",INDEX(LdCDep,$N1048)),"")))</f>
        <v/>
      </c>
      <c r="F1048" s="21">
        <f>IF(AND($L1048="",$M1048="",$N1048=""),"",IF($N1048="","",IF(INDEX(LdCWit,$N1048)=0,"",INDEX(LdCWit,$N1048))))</f>
        <v/>
      </c>
      <c r="G1048" s="31">
        <f>IF($B1048="","",IF($G1047="",0,$G1047)+IF($E1048="",0,$E1048)-IF($F1048="",0,$F1048))</f>
        <v/>
      </c>
      <c r="H1048" s="32">
        <f>IF(AND($L1048="",$M1048="",$N1048=""),"",IF($L1048&lt;&gt;"",IF(INDEX(LdANote,$L1048)="","—",INDEX(LdANote,$L1048)),IF($M1048&lt;&gt;"",IF(INDEX(LdBNote,$M1048)="","—",INDEX(LdBNote,$M1048)),IF($N1048&lt;&gt;"",IF(INDEX(LdCNote,$N1048)="","—",INDEX(LdCNote,$N1048)),""))))</f>
        <v/>
      </c>
      <c r="L1048">
        <f>IFERROR(MATCH($C$5&amp;"|"&amp;RIGHT("000000"&amp;1032,6),LdAKeyM,0),"")</f>
        <v/>
      </c>
      <c r="M1048">
        <f>IFERROR(MATCH($C$5&amp;"|"&amp;RIGHT("000000"&amp;1032,6),LdBKeyM,0),"")</f>
        <v/>
      </c>
      <c r="N1048">
        <f>IFERROR(MATCH($C$5&amp;"|"&amp;RIGHT("000000"&amp;1032,6),LdCKeyM,0),"")</f>
        <v/>
      </c>
    </row>
    <row r="1049">
      <c r="A1049" s="10" t="n">
        <v>1033</v>
      </c>
      <c r="B1049" s="14">
        <f>IF(AND($L1049="",$M1049="",$N1049=""),"",IF($L1049&lt;&gt;"",INDEX(LdADate,$L1049),IF($M1049&lt;&gt;"",INDEX(LdBDate,$M1049),INDEX(LdCDate,$N1049))))</f>
        <v/>
      </c>
      <c r="C1049" s="14">
        <f>IF($L1049&lt;&gt;"","دستمزد (فردی)",IF($M1049&lt;&gt;"","سهم از گروه "&amp;IFERROR(VLOOKUP(INDEX(LdBGroup,$M1049),WGTbl,2,0),INDEX(LdBGroup,$M1049)),IF($N1049&lt;&gt;"",IF(N(INDEX(LdCDep,$N1049))&gt;0,"بازگشت بانکی","پرداخت بانکی"),"")))</f>
        <v/>
      </c>
      <c r="D1049" s="14">
        <f>IF($L1049&lt;&gt;"",IF(INDEX(LdAId,$L1049)="","—",INDEX(LdAId,$L1049)),IF($M1049&lt;&gt;"",IF(INDEX(LdBId,$M1049)="","—",INDEX(LdBId,$M1049)),IF($N1049&lt;&gt;"",IF(INDEX(LdCBank,$N1049)="","—",INDEX(LdCBank,$N1049)),"")))</f>
        <v/>
      </c>
      <c r="E1049" s="16">
        <f>IF($L1049&lt;&gt;"",IF(INDEX(LdAAmt,$L1049)=0,"",INDEX(LdAAmt,$L1049)),IF($M1049&lt;&gt;"",IF(INDEX(LdBAmt,$M1049)=0,"",INDEX(LdBAmt,$M1049)),IF($N1049&lt;&gt;"",IF(INDEX(LdCDep,$N1049)=0,"",INDEX(LdCDep,$N1049)),"")))</f>
        <v/>
      </c>
      <c r="F1049" s="16">
        <f>IF(AND($L1049="",$M1049="",$N1049=""),"",IF($N1049="","",IF(INDEX(LdCWit,$N1049)=0,"",INDEX(LdCWit,$N1049))))</f>
        <v/>
      </c>
      <c r="G1049" s="29">
        <f>IF($B1049="","",IF($G1048="",0,$G1048)+IF($E1049="",0,$E1049)-IF($F1049="",0,$F1049))</f>
        <v/>
      </c>
      <c r="H1049" s="30">
        <f>IF(AND($L1049="",$M1049="",$N1049=""),"",IF($L1049&lt;&gt;"",IF(INDEX(LdANote,$L1049)="","—",INDEX(LdANote,$L1049)),IF($M1049&lt;&gt;"",IF(INDEX(LdBNote,$M1049)="","—",INDEX(LdBNote,$M1049)),IF($N1049&lt;&gt;"",IF(INDEX(LdCNote,$N1049)="","—",INDEX(LdCNote,$N1049)),""))))</f>
        <v/>
      </c>
      <c r="L1049">
        <f>IFERROR(MATCH($C$5&amp;"|"&amp;RIGHT("000000"&amp;1033,6),LdAKeyM,0),"")</f>
        <v/>
      </c>
      <c r="M1049">
        <f>IFERROR(MATCH($C$5&amp;"|"&amp;RIGHT("000000"&amp;1033,6),LdBKeyM,0),"")</f>
        <v/>
      </c>
      <c r="N1049">
        <f>IFERROR(MATCH($C$5&amp;"|"&amp;RIGHT("000000"&amp;1033,6),LdCKeyM,0),"")</f>
        <v/>
      </c>
    </row>
    <row r="1050">
      <c r="A1050" s="19" t="n">
        <v>1034</v>
      </c>
      <c r="B1050" s="20">
        <f>IF(AND($L1050="",$M1050="",$N1050=""),"",IF($L1050&lt;&gt;"",INDEX(LdADate,$L1050),IF($M1050&lt;&gt;"",INDEX(LdBDate,$M1050),INDEX(LdCDate,$N1050))))</f>
        <v/>
      </c>
      <c r="C1050" s="20">
        <f>IF($L1050&lt;&gt;"","دستمزد (فردی)",IF($M1050&lt;&gt;"","سهم از گروه "&amp;IFERROR(VLOOKUP(INDEX(LdBGroup,$M1050),WGTbl,2,0),INDEX(LdBGroup,$M1050)),IF($N1050&lt;&gt;"",IF(N(INDEX(LdCDep,$N1050))&gt;0,"بازگشت بانکی","پرداخت بانکی"),"")))</f>
        <v/>
      </c>
      <c r="D1050" s="20">
        <f>IF($L1050&lt;&gt;"",IF(INDEX(LdAId,$L1050)="","—",INDEX(LdAId,$L1050)),IF($M1050&lt;&gt;"",IF(INDEX(LdBId,$M1050)="","—",INDEX(LdBId,$M1050)),IF($N1050&lt;&gt;"",IF(INDEX(LdCBank,$N1050)="","—",INDEX(LdCBank,$N1050)),"")))</f>
        <v/>
      </c>
      <c r="E1050" s="21">
        <f>IF($L1050&lt;&gt;"",IF(INDEX(LdAAmt,$L1050)=0,"",INDEX(LdAAmt,$L1050)),IF($M1050&lt;&gt;"",IF(INDEX(LdBAmt,$M1050)=0,"",INDEX(LdBAmt,$M1050)),IF($N1050&lt;&gt;"",IF(INDEX(LdCDep,$N1050)=0,"",INDEX(LdCDep,$N1050)),"")))</f>
        <v/>
      </c>
      <c r="F1050" s="21">
        <f>IF(AND($L1050="",$M1050="",$N1050=""),"",IF($N1050="","",IF(INDEX(LdCWit,$N1050)=0,"",INDEX(LdCWit,$N1050))))</f>
        <v/>
      </c>
      <c r="G1050" s="31">
        <f>IF($B1050="","",IF($G1049="",0,$G1049)+IF($E1050="",0,$E1050)-IF($F1050="",0,$F1050))</f>
        <v/>
      </c>
      <c r="H1050" s="32">
        <f>IF(AND($L1050="",$M1050="",$N1050=""),"",IF($L1050&lt;&gt;"",IF(INDEX(LdANote,$L1050)="","—",INDEX(LdANote,$L1050)),IF($M1050&lt;&gt;"",IF(INDEX(LdBNote,$M1050)="","—",INDEX(LdBNote,$M1050)),IF($N1050&lt;&gt;"",IF(INDEX(LdCNote,$N1050)="","—",INDEX(LdCNote,$N1050)),""))))</f>
        <v/>
      </c>
      <c r="L1050">
        <f>IFERROR(MATCH($C$5&amp;"|"&amp;RIGHT("000000"&amp;1034,6),LdAKeyM,0),"")</f>
        <v/>
      </c>
      <c r="M1050">
        <f>IFERROR(MATCH($C$5&amp;"|"&amp;RIGHT("000000"&amp;1034,6),LdBKeyM,0),"")</f>
        <v/>
      </c>
      <c r="N1050">
        <f>IFERROR(MATCH($C$5&amp;"|"&amp;RIGHT("000000"&amp;1034,6),LdCKeyM,0),"")</f>
        <v/>
      </c>
    </row>
    <row r="1051">
      <c r="A1051" s="10" t="n">
        <v>1035</v>
      </c>
      <c r="B1051" s="14">
        <f>IF(AND($L1051="",$M1051="",$N1051=""),"",IF($L1051&lt;&gt;"",INDEX(LdADate,$L1051),IF($M1051&lt;&gt;"",INDEX(LdBDate,$M1051),INDEX(LdCDate,$N1051))))</f>
        <v/>
      </c>
      <c r="C1051" s="14">
        <f>IF($L1051&lt;&gt;"","دستمزد (فردی)",IF($M1051&lt;&gt;"","سهم از گروه "&amp;IFERROR(VLOOKUP(INDEX(LdBGroup,$M1051),WGTbl,2,0),INDEX(LdBGroup,$M1051)),IF($N1051&lt;&gt;"",IF(N(INDEX(LdCDep,$N1051))&gt;0,"بازگشت بانکی","پرداخت بانکی"),"")))</f>
        <v/>
      </c>
      <c r="D1051" s="14">
        <f>IF($L1051&lt;&gt;"",IF(INDEX(LdAId,$L1051)="","—",INDEX(LdAId,$L1051)),IF($M1051&lt;&gt;"",IF(INDEX(LdBId,$M1051)="","—",INDEX(LdBId,$M1051)),IF($N1051&lt;&gt;"",IF(INDEX(LdCBank,$N1051)="","—",INDEX(LdCBank,$N1051)),"")))</f>
        <v/>
      </c>
      <c r="E1051" s="16">
        <f>IF($L1051&lt;&gt;"",IF(INDEX(LdAAmt,$L1051)=0,"",INDEX(LdAAmt,$L1051)),IF($M1051&lt;&gt;"",IF(INDEX(LdBAmt,$M1051)=0,"",INDEX(LdBAmt,$M1051)),IF($N1051&lt;&gt;"",IF(INDEX(LdCDep,$N1051)=0,"",INDEX(LdCDep,$N1051)),"")))</f>
        <v/>
      </c>
      <c r="F1051" s="16">
        <f>IF(AND($L1051="",$M1051="",$N1051=""),"",IF($N1051="","",IF(INDEX(LdCWit,$N1051)=0,"",INDEX(LdCWit,$N1051))))</f>
        <v/>
      </c>
      <c r="G1051" s="29">
        <f>IF($B1051="","",IF($G1050="",0,$G1050)+IF($E1051="",0,$E1051)-IF($F1051="",0,$F1051))</f>
        <v/>
      </c>
      <c r="H1051" s="30">
        <f>IF(AND($L1051="",$M1051="",$N1051=""),"",IF($L1051&lt;&gt;"",IF(INDEX(LdANote,$L1051)="","—",INDEX(LdANote,$L1051)),IF($M1051&lt;&gt;"",IF(INDEX(LdBNote,$M1051)="","—",INDEX(LdBNote,$M1051)),IF($N1051&lt;&gt;"",IF(INDEX(LdCNote,$N1051)="","—",INDEX(LdCNote,$N1051)),""))))</f>
        <v/>
      </c>
      <c r="L1051">
        <f>IFERROR(MATCH($C$5&amp;"|"&amp;RIGHT("000000"&amp;1035,6),LdAKeyM,0),"")</f>
        <v/>
      </c>
      <c r="M1051">
        <f>IFERROR(MATCH($C$5&amp;"|"&amp;RIGHT("000000"&amp;1035,6),LdBKeyM,0),"")</f>
        <v/>
      </c>
      <c r="N1051">
        <f>IFERROR(MATCH($C$5&amp;"|"&amp;RIGHT("000000"&amp;1035,6),LdCKeyM,0),"")</f>
        <v/>
      </c>
    </row>
    <row r="1052">
      <c r="A1052" s="19" t="n">
        <v>1036</v>
      </c>
      <c r="B1052" s="20">
        <f>IF(AND($L1052="",$M1052="",$N1052=""),"",IF($L1052&lt;&gt;"",INDEX(LdADate,$L1052),IF($M1052&lt;&gt;"",INDEX(LdBDate,$M1052),INDEX(LdCDate,$N1052))))</f>
        <v/>
      </c>
      <c r="C1052" s="20">
        <f>IF($L1052&lt;&gt;"","دستمزد (فردی)",IF($M1052&lt;&gt;"","سهم از گروه "&amp;IFERROR(VLOOKUP(INDEX(LdBGroup,$M1052),WGTbl,2,0),INDEX(LdBGroup,$M1052)),IF($N1052&lt;&gt;"",IF(N(INDEX(LdCDep,$N1052))&gt;0,"بازگشت بانکی","پرداخت بانکی"),"")))</f>
        <v/>
      </c>
      <c r="D1052" s="20">
        <f>IF($L1052&lt;&gt;"",IF(INDEX(LdAId,$L1052)="","—",INDEX(LdAId,$L1052)),IF($M1052&lt;&gt;"",IF(INDEX(LdBId,$M1052)="","—",INDEX(LdBId,$M1052)),IF($N1052&lt;&gt;"",IF(INDEX(LdCBank,$N1052)="","—",INDEX(LdCBank,$N1052)),"")))</f>
        <v/>
      </c>
      <c r="E1052" s="21">
        <f>IF($L1052&lt;&gt;"",IF(INDEX(LdAAmt,$L1052)=0,"",INDEX(LdAAmt,$L1052)),IF($M1052&lt;&gt;"",IF(INDEX(LdBAmt,$M1052)=0,"",INDEX(LdBAmt,$M1052)),IF($N1052&lt;&gt;"",IF(INDEX(LdCDep,$N1052)=0,"",INDEX(LdCDep,$N1052)),"")))</f>
        <v/>
      </c>
      <c r="F1052" s="21">
        <f>IF(AND($L1052="",$M1052="",$N1052=""),"",IF($N1052="","",IF(INDEX(LdCWit,$N1052)=0,"",INDEX(LdCWit,$N1052))))</f>
        <v/>
      </c>
      <c r="G1052" s="31">
        <f>IF($B1052="","",IF($G1051="",0,$G1051)+IF($E1052="",0,$E1052)-IF($F1052="",0,$F1052))</f>
        <v/>
      </c>
      <c r="H1052" s="32">
        <f>IF(AND($L1052="",$M1052="",$N1052=""),"",IF($L1052&lt;&gt;"",IF(INDEX(LdANote,$L1052)="","—",INDEX(LdANote,$L1052)),IF($M1052&lt;&gt;"",IF(INDEX(LdBNote,$M1052)="","—",INDEX(LdBNote,$M1052)),IF($N1052&lt;&gt;"",IF(INDEX(LdCNote,$N1052)="","—",INDEX(LdCNote,$N1052)),""))))</f>
        <v/>
      </c>
      <c r="L1052">
        <f>IFERROR(MATCH($C$5&amp;"|"&amp;RIGHT("000000"&amp;1036,6),LdAKeyM,0),"")</f>
        <v/>
      </c>
      <c r="M1052">
        <f>IFERROR(MATCH($C$5&amp;"|"&amp;RIGHT("000000"&amp;1036,6),LdBKeyM,0),"")</f>
        <v/>
      </c>
      <c r="N1052">
        <f>IFERROR(MATCH($C$5&amp;"|"&amp;RIGHT("000000"&amp;1036,6),LdCKeyM,0),"")</f>
        <v/>
      </c>
    </row>
    <row r="1053">
      <c r="A1053" s="10" t="n">
        <v>1037</v>
      </c>
      <c r="B1053" s="14">
        <f>IF(AND($L1053="",$M1053="",$N1053=""),"",IF($L1053&lt;&gt;"",INDEX(LdADate,$L1053),IF($M1053&lt;&gt;"",INDEX(LdBDate,$M1053),INDEX(LdCDate,$N1053))))</f>
        <v/>
      </c>
      <c r="C1053" s="14">
        <f>IF($L1053&lt;&gt;"","دستمزد (فردی)",IF($M1053&lt;&gt;"","سهم از گروه "&amp;IFERROR(VLOOKUP(INDEX(LdBGroup,$M1053),WGTbl,2,0),INDEX(LdBGroup,$M1053)),IF($N1053&lt;&gt;"",IF(N(INDEX(LdCDep,$N1053))&gt;0,"بازگشت بانکی","پرداخت بانکی"),"")))</f>
        <v/>
      </c>
      <c r="D1053" s="14">
        <f>IF($L1053&lt;&gt;"",IF(INDEX(LdAId,$L1053)="","—",INDEX(LdAId,$L1053)),IF($M1053&lt;&gt;"",IF(INDEX(LdBId,$M1053)="","—",INDEX(LdBId,$M1053)),IF($N1053&lt;&gt;"",IF(INDEX(LdCBank,$N1053)="","—",INDEX(LdCBank,$N1053)),"")))</f>
        <v/>
      </c>
      <c r="E1053" s="16">
        <f>IF($L1053&lt;&gt;"",IF(INDEX(LdAAmt,$L1053)=0,"",INDEX(LdAAmt,$L1053)),IF($M1053&lt;&gt;"",IF(INDEX(LdBAmt,$M1053)=0,"",INDEX(LdBAmt,$M1053)),IF($N1053&lt;&gt;"",IF(INDEX(LdCDep,$N1053)=0,"",INDEX(LdCDep,$N1053)),"")))</f>
        <v/>
      </c>
      <c r="F1053" s="16">
        <f>IF(AND($L1053="",$M1053="",$N1053=""),"",IF($N1053="","",IF(INDEX(LdCWit,$N1053)=0,"",INDEX(LdCWit,$N1053))))</f>
        <v/>
      </c>
      <c r="G1053" s="29">
        <f>IF($B1053="","",IF($G1052="",0,$G1052)+IF($E1053="",0,$E1053)-IF($F1053="",0,$F1053))</f>
        <v/>
      </c>
      <c r="H1053" s="30">
        <f>IF(AND($L1053="",$M1053="",$N1053=""),"",IF($L1053&lt;&gt;"",IF(INDEX(LdANote,$L1053)="","—",INDEX(LdANote,$L1053)),IF($M1053&lt;&gt;"",IF(INDEX(LdBNote,$M1053)="","—",INDEX(LdBNote,$M1053)),IF($N1053&lt;&gt;"",IF(INDEX(LdCNote,$N1053)="","—",INDEX(LdCNote,$N1053)),""))))</f>
        <v/>
      </c>
      <c r="L1053">
        <f>IFERROR(MATCH($C$5&amp;"|"&amp;RIGHT("000000"&amp;1037,6),LdAKeyM,0),"")</f>
        <v/>
      </c>
      <c r="M1053">
        <f>IFERROR(MATCH($C$5&amp;"|"&amp;RIGHT("000000"&amp;1037,6),LdBKeyM,0),"")</f>
        <v/>
      </c>
      <c r="N1053">
        <f>IFERROR(MATCH($C$5&amp;"|"&amp;RIGHT("000000"&amp;1037,6),LdCKeyM,0),"")</f>
        <v/>
      </c>
    </row>
    <row r="1054">
      <c r="A1054" s="19" t="n">
        <v>1038</v>
      </c>
      <c r="B1054" s="20">
        <f>IF(AND($L1054="",$M1054="",$N1054=""),"",IF($L1054&lt;&gt;"",INDEX(LdADate,$L1054),IF($M1054&lt;&gt;"",INDEX(LdBDate,$M1054),INDEX(LdCDate,$N1054))))</f>
        <v/>
      </c>
      <c r="C1054" s="20">
        <f>IF($L1054&lt;&gt;"","دستمزد (فردی)",IF($M1054&lt;&gt;"","سهم از گروه "&amp;IFERROR(VLOOKUP(INDEX(LdBGroup,$M1054),WGTbl,2,0),INDEX(LdBGroup,$M1054)),IF($N1054&lt;&gt;"",IF(N(INDEX(LdCDep,$N1054))&gt;0,"بازگشت بانکی","پرداخت بانکی"),"")))</f>
        <v/>
      </c>
      <c r="D1054" s="20">
        <f>IF($L1054&lt;&gt;"",IF(INDEX(LdAId,$L1054)="","—",INDEX(LdAId,$L1054)),IF($M1054&lt;&gt;"",IF(INDEX(LdBId,$M1054)="","—",INDEX(LdBId,$M1054)),IF($N1054&lt;&gt;"",IF(INDEX(LdCBank,$N1054)="","—",INDEX(LdCBank,$N1054)),"")))</f>
        <v/>
      </c>
      <c r="E1054" s="21">
        <f>IF($L1054&lt;&gt;"",IF(INDEX(LdAAmt,$L1054)=0,"",INDEX(LdAAmt,$L1054)),IF($M1054&lt;&gt;"",IF(INDEX(LdBAmt,$M1054)=0,"",INDEX(LdBAmt,$M1054)),IF($N1054&lt;&gt;"",IF(INDEX(LdCDep,$N1054)=0,"",INDEX(LdCDep,$N1054)),"")))</f>
        <v/>
      </c>
      <c r="F1054" s="21">
        <f>IF(AND($L1054="",$M1054="",$N1054=""),"",IF($N1054="","",IF(INDEX(LdCWit,$N1054)=0,"",INDEX(LdCWit,$N1054))))</f>
        <v/>
      </c>
      <c r="G1054" s="31">
        <f>IF($B1054="","",IF($G1053="",0,$G1053)+IF($E1054="",0,$E1054)-IF($F1054="",0,$F1054))</f>
        <v/>
      </c>
      <c r="H1054" s="32">
        <f>IF(AND($L1054="",$M1054="",$N1054=""),"",IF($L1054&lt;&gt;"",IF(INDEX(LdANote,$L1054)="","—",INDEX(LdANote,$L1054)),IF($M1054&lt;&gt;"",IF(INDEX(LdBNote,$M1054)="","—",INDEX(LdBNote,$M1054)),IF($N1054&lt;&gt;"",IF(INDEX(LdCNote,$N1054)="","—",INDEX(LdCNote,$N1054)),""))))</f>
        <v/>
      </c>
      <c r="L1054">
        <f>IFERROR(MATCH($C$5&amp;"|"&amp;RIGHT("000000"&amp;1038,6),LdAKeyM,0),"")</f>
        <v/>
      </c>
      <c r="M1054">
        <f>IFERROR(MATCH($C$5&amp;"|"&amp;RIGHT("000000"&amp;1038,6),LdBKeyM,0),"")</f>
        <v/>
      </c>
      <c r="N1054">
        <f>IFERROR(MATCH($C$5&amp;"|"&amp;RIGHT("000000"&amp;1038,6),LdCKeyM,0),"")</f>
        <v/>
      </c>
    </row>
    <row r="1055">
      <c r="A1055" s="10" t="n">
        <v>1039</v>
      </c>
      <c r="B1055" s="14">
        <f>IF(AND($L1055="",$M1055="",$N1055=""),"",IF($L1055&lt;&gt;"",INDEX(LdADate,$L1055),IF($M1055&lt;&gt;"",INDEX(LdBDate,$M1055),INDEX(LdCDate,$N1055))))</f>
        <v/>
      </c>
      <c r="C1055" s="14">
        <f>IF($L1055&lt;&gt;"","دستمزد (فردی)",IF($M1055&lt;&gt;"","سهم از گروه "&amp;IFERROR(VLOOKUP(INDEX(LdBGroup,$M1055),WGTbl,2,0),INDEX(LdBGroup,$M1055)),IF($N1055&lt;&gt;"",IF(N(INDEX(LdCDep,$N1055))&gt;0,"بازگشت بانکی","پرداخت بانکی"),"")))</f>
        <v/>
      </c>
      <c r="D1055" s="14">
        <f>IF($L1055&lt;&gt;"",IF(INDEX(LdAId,$L1055)="","—",INDEX(LdAId,$L1055)),IF($M1055&lt;&gt;"",IF(INDEX(LdBId,$M1055)="","—",INDEX(LdBId,$M1055)),IF($N1055&lt;&gt;"",IF(INDEX(LdCBank,$N1055)="","—",INDEX(LdCBank,$N1055)),"")))</f>
        <v/>
      </c>
      <c r="E1055" s="16">
        <f>IF($L1055&lt;&gt;"",IF(INDEX(LdAAmt,$L1055)=0,"",INDEX(LdAAmt,$L1055)),IF($M1055&lt;&gt;"",IF(INDEX(LdBAmt,$M1055)=0,"",INDEX(LdBAmt,$M1055)),IF($N1055&lt;&gt;"",IF(INDEX(LdCDep,$N1055)=0,"",INDEX(LdCDep,$N1055)),"")))</f>
        <v/>
      </c>
      <c r="F1055" s="16">
        <f>IF(AND($L1055="",$M1055="",$N1055=""),"",IF($N1055="","",IF(INDEX(LdCWit,$N1055)=0,"",INDEX(LdCWit,$N1055))))</f>
        <v/>
      </c>
      <c r="G1055" s="29">
        <f>IF($B1055="","",IF($G1054="",0,$G1054)+IF($E1055="",0,$E1055)-IF($F1055="",0,$F1055))</f>
        <v/>
      </c>
      <c r="H1055" s="30">
        <f>IF(AND($L1055="",$M1055="",$N1055=""),"",IF($L1055&lt;&gt;"",IF(INDEX(LdANote,$L1055)="","—",INDEX(LdANote,$L1055)),IF($M1055&lt;&gt;"",IF(INDEX(LdBNote,$M1055)="","—",INDEX(LdBNote,$M1055)),IF($N1055&lt;&gt;"",IF(INDEX(LdCNote,$N1055)="","—",INDEX(LdCNote,$N1055)),""))))</f>
        <v/>
      </c>
      <c r="L1055">
        <f>IFERROR(MATCH($C$5&amp;"|"&amp;RIGHT("000000"&amp;1039,6),LdAKeyM,0),"")</f>
        <v/>
      </c>
      <c r="M1055">
        <f>IFERROR(MATCH($C$5&amp;"|"&amp;RIGHT("000000"&amp;1039,6),LdBKeyM,0),"")</f>
        <v/>
      </c>
      <c r="N1055">
        <f>IFERROR(MATCH($C$5&amp;"|"&amp;RIGHT("000000"&amp;1039,6),LdCKeyM,0),"")</f>
        <v/>
      </c>
    </row>
    <row r="1056">
      <c r="A1056" s="19" t="n">
        <v>1040</v>
      </c>
      <c r="B1056" s="20">
        <f>IF(AND($L1056="",$M1056="",$N1056=""),"",IF($L1056&lt;&gt;"",INDEX(LdADate,$L1056),IF($M1056&lt;&gt;"",INDEX(LdBDate,$M1056),INDEX(LdCDate,$N1056))))</f>
        <v/>
      </c>
      <c r="C1056" s="20">
        <f>IF($L1056&lt;&gt;"","دستمزد (فردی)",IF($M1056&lt;&gt;"","سهم از گروه "&amp;IFERROR(VLOOKUP(INDEX(LdBGroup,$M1056),WGTbl,2,0),INDEX(LdBGroup,$M1056)),IF($N1056&lt;&gt;"",IF(N(INDEX(LdCDep,$N1056))&gt;0,"بازگشت بانکی","پرداخت بانکی"),"")))</f>
        <v/>
      </c>
      <c r="D1056" s="20">
        <f>IF($L1056&lt;&gt;"",IF(INDEX(LdAId,$L1056)="","—",INDEX(LdAId,$L1056)),IF($M1056&lt;&gt;"",IF(INDEX(LdBId,$M1056)="","—",INDEX(LdBId,$M1056)),IF($N1056&lt;&gt;"",IF(INDEX(LdCBank,$N1056)="","—",INDEX(LdCBank,$N1056)),"")))</f>
        <v/>
      </c>
      <c r="E1056" s="21">
        <f>IF($L1056&lt;&gt;"",IF(INDEX(LdAAmt,$L1056)=0,"",INDEX(LdAAmt,$L1056)),IF($M1056&lt;&gt;"",IF(INDEX(LdBAmt,$M1056)=0,"",INDEX(LdBAmt,$M1056)),IF($N1056&lt;&gt;"",IF(INDEX(LdCDep,$N1056)=0,"",INDEX(LdCDep,$N1056)),"")))</f>
        <v/>
      </c>
      <c r="F1056" s="21">
        <f>IF(AND($L1056="",$M1056="",$N1056=""),"",IF($N1056="","",IF(INDEX(LdCWit,$N1056)=0,"",INDEX(LdCWit,$N1056))))</f>
        <v/>
      </c>
      <c r="G1056" s="31">
        <f>IF($B1056="","",IF($G1055="",0,$G1055)+IF($E1056="",0,$E1056)-IF($F1056="",0,$F1056))</f>
        <v/>
      </c>
      <c r="H1056" s="32">
        <f>IF(AND($L1056="",$M1056="",$N1056=""),"",IF($L1056&lt;&gt;"",IF(INDEX(LdANote,$L1056)="","—",INDEX(LdANote,$L1056)),IF($M1056&lt;&gt;"",IF(INDEX(LdBNote,$M1056)="","—",INDEX(LdBNote,$M1056)),IF($N1056&lt;&gt;"",IF(INDEX(LdCNote,$N1056)="","—",INDEX(LdCNote,$N1056)),""))))</f>
        <v/>
      </c>
      <c r="L1056">
        <f>IFERROR(MATCH($C$5&amp;"|"&amp;RIGHT("000000"&amp;1040,6),LdAKeyM,0),"")</f>
        <v/>
      </c>
      <c r="M1056">
        <f>IFERROR(MATCH($C$5&amp;"|"&amp;RIGHT("000000"&amp;1040,6),LdBKeyM,0),"")</f>
        <v/>
      </c>
      <c r="N1056">
        <f>IFERROR(MATCH($C$5&amp;"|"&amp;RIGHT("000000"&amp;1040,6),LdCKeyM,0),"")</f>
        <v/>
      </c>
    </row>
    <row r="1057">
      <c r="A1057" s="10" t="n">
        <v>1041</v>
      </c>
      <c r="B1057" s="14">
        <f>IF(AND($L1057="",$M1057="",$N1057=""),"",IF($L1057&lt;&gt;"",INDEX(LdADate,$L1057),IF($M1057&lt;&gt;"",INDEX(LdBDate,$M1057),INDEX(LdCDate,$N1057))))</f>
        <v/>
      </c>
      <c r="C1057" s="14">
        <f>IF($L1057&lt;&gt;"","دستمزد (فردی)",IF($M1057&lt;&gt;"","سهم از گروه "&amp;IFERROR(VLOOKUP(INDEX(LdBGroup,$M1057),WGTbl,2,0),INDEX(LdBGroup,$M1057)),IF($N1057&lt;&gt;"",IF(N(INDEX(LdCDep,$N1057))&gt;0,"بازگشت بانکی","پرداخت بانکی"),"")))</f>
        <v/>
      </c>
      <c r="D1057" s="14">
        <f>IF($L1057&lt;&gt;"",IF(INDEX(LdAId,$L1057)="","—",INDEX(LdAId,$L1057)),IF($M1057&lt;&gt;"",IF(INDEX(LdBId,$M1057)="","—",INDEX(LdBId,$M1057)),IF($N1057&lt;&gt;"",IF(INDEX(LdCBank,$N1057)="","—",INDEX(LdCBank,$N1057)),"")))</f>
        <v/>
      </c>
      <c r="E1057" s="16">
        <f>IF($L1057&lt;&gt;"",IF(INDEX(LdAAmt,$L1057)=0,"",INDEX(LdAAmt,$L1057)),IF($M1057&lt;&gt;"",IF(INDEX(LdBAmt,$M1057)=0,"",INDEX(LdBAmt,$M1057)),IF($N1057&lt;&gt;"",IF(INDEX(LdCDep,$N1057)=0,"",INDEX(LdCDep,$N1057)),"")))</f>
        <v/>
      </c>
      <c r="F1057" s="16">
        <f>IF(AND($L1057="",$M1057="",$N1057=""),"",IF($N1057="","",IF(INDEX(LdCWit,$N1057)=0,"",INDEX(LdCWit,$N1057))))</f>
        <v/>
      </c>
      <c r="G1057" s="29">
        <f>IF($B1057="","",IF($G1056="",0,$G1056)+IF($E1057="",0,$E1057)-IF($F1057="",0,$F1057))</f>
        <v/>
      </c>
      <c r="H1057" s="30">
        <f>IF(AND($L1057="",$M1057="",$N1057=""),"",IF($L1057&lt;&gt;"",IF(INDEX(LdANote,$L1057)="","—",INDEX(LdANote,$L1057)),IF($M1057&lt;&gt;"",IF(INDEX(LdBNote,$M1057)="","—",INDEX(LdBNote,$M1057)),IF($N1057&lt;&gt;"",IF(INDEX(LdCNote,$N1057)="","—",INDEX(LdCNote,$N1057)),""))))</f>
        <v/>
      </c>
      <c r="L1057">
        <f>IFERROR(MATCH($C$5&amp;"|"&amp;RIGHT("000000"&amp;1041,6),LdAKeyM,0),"")</f>
        <v/>
      </c>
      <c r="M1057">
        <f>IFERROR(MATCH($C$5&amp;"|"&amp;RIGHT("000000"&amp;1041,6),LdBKeyM,0),"")</f>
        <v/>
      </c>
      <c r="N1057">
        <f>IFERROR(MATCH($C$5&amp;"|"&amp;RIGHT("000000"&amp;1041,6),LdCKeyM,0),"")</f>
        <v/>
      </c>
    </row>
    <row r="1058">
      <c r="A1058" s="19" t="n">
        <v>1042</v>
      </c>
      <c r="B1058" s="20">
        <f>IF(AND($L1058="",$M1058="",$N1058=""),"",IF($L1058&lt;&gt;"",INDEX(LdADate,$L1058),IF($M1058&lt;&gt;"",INDEX(LdBDate,$M1058),INDEX(LdCDate,$N1058))))</f>
        <v/>
      </c>
      <c r="C1058" s="20">
        <f>IF($L1058&lt;&gt;"","دستمزد (فردی)",IF($M1058&lt;&gt;"","سهم از گروه "&amp;IFERROR(VLOOKUP(INDEX(LdBGroup,$M1058),WGTbl,2,0),INDEX(LdBGroup,$M1058)),IF($N1058&lt;&gt;"",IF(N(INDEX(LdCDep,$N1058))&gt;0,"بازگشت بانکی","پرداخت بانکی"),"")))</f>
        <v/>
      </c>
      <c r="D1058" s="20">
        <f>IF($L1058&lt;&gt;"",IF(INDEX(LdAId,$L1058)="","—",INDEX(LdAId,$L1058)),IF($M1058&lt;&gt;"",IF(INDEX(LdBId,$M1058)="","—",INDEX(LdBId,$M1058)),IF($N1058&lt;&gt;"",IF(INDEX(LdCBank,$N1058)="","—",INDEX(LdCBank,$N1058)),"")))</f>
        <v/>
      </c>
      <c r="E1058" s="21">
        <f>IF($L1058&lt;&gt;"",IF(INDEX(LdAAmt,$L1058)=0,"",INDEX(LdAAmt,$L1058)),IF($M1058&lt;&gt;"",IF(INDEX(LdBAmt,$M1058)=0,"",INDEX(LdBAmt,$M1058)),IF($N1058&lt;&gt;"",IF(INDEX(LdCDep,$N1058)=0,"",INDEX(LdCDep,$N1058)),"")))</f>
        <v/>
      </c>
      <c r="F1058" s="21">
        <f>IF(AND($L1058="",$M1058="",$N1058=""),"",IF($N1058="","",IF(INDEX(LdCWit,$N1058)=0,"",INDEX(LdCWit,$N1058))))</f>
        <v/>
      </c>
      <c r="G1058" s="31">
        <f>IF($B1058="","",IF($G1057="",0,$G1057)+IF($E1058="",0,$E1058)-IF($F1058="",0,$F1058))</f>
        <v/>
      </c>
      <c r="H1058" s="32">
        <f>IF(AND($L1058="",$M1058="",$N1058=""),"",IF($L1058&lt;&gt;"",IF(INDEX(LdANote,$L1058)="","—",INDEX(LdANote,$L1058)),IF($M1058&lt;&gt;"",IF(INDEX(LdBNote,$M1058)="","—",INDEX(LdBNote,$M1058)),IF($N1058&lt;&gt;"",IF(INDEX(LdCNote,$N1058)="","—",INDEX(LdCNote,$N1058)),""))))</f>
        <v/>
      </c>
      <c r="L1058">
        <f>IFERROR(MATCH($C$5&amp;"|"&amp;RIGHT("000000"&amp;1042,6),LdAKeyM,0),"")</f>
        <v/>
      </c>
      <c r="M1058">
        <f>IFERROR(MATCH($C$5&amp;"|"&amp;RIGHT("000000"&amp;1042,6),LdBKeyM,0),"")</f>
        <v/>
      </c>
      <c r="N1058">
        <f>IFERROR(MATCH($C$5&amp;"|"&amp;RIGHT("000000"&amp;1042,6),LdCKeyM,0),"")</f>
        <v/>
      </c>
    </row>
    <row r="1059">
      <c r="A1059" s="10" t="n">
        <v>1043</v>
      </c>
      <c r="B1059" s="14">
        <f>IF(AND($L1059="",$M1059="",$N1059=""),"",IF($L1059&lt;&gt;"",INDEX(LdADate,$L1059),IF($M1059&lt;&gt;"",INDEX(LdBDate,$M1059),INDEX(LdCDate,$N1059))))</f>
        <v/>
      </c>
      <c r="C1059" s="14">
        <f>IF($L1059&lt;&gt;"","دستمزد (فردی)",IF($M1059&lt;&gt;"","سهم از گروه "&amp;IFERROR(VLOOKUP(INDEX(LdBGroup,$M1059),WGTbl,2,0),INDEX(LdBGroup,$M1059)),IF($N1059&lt;&gt;"",IF(N(INDEX(LdCDep,$N1059))&gt;0,"بازگشت بانکی","پرداخت بانکی"),"")))</f>
        <v/>
      </c>
      <c r="D1059" s="14">
        <f>IF($L1059&lt;&gt;"",IF(INDEX(LdAId,$L1059)="","—",INDEX(LdAId,$L1059)),IF($M1059&lt;&gt;"",IF(INDEX(LdBId,$M1059)="","—",INDEX(LdBId,$M1059)),IF($N1059&lt;&gt;"",IF(INDEX(LdCBank,$N1059)="","—",INDEX(LdCBank,$N1059)),"")))</f>
        <v/>
      </c>
      <c r="E1059" s="16">
        <f>IF($L1059&lt;&gt;"",IF(INDEX(LdAAmt,$L1059)=0,"",INDEX(LdAAmt,$L1059)),IF($M1059&lt;&gt;"",IF(INDEX(LdBAmt,$M1059)=0,"",INDEX(LdBAmt,$M1059)),IF($N1059&lt;&gt;"",IF(INDEX(LdCDep,$N1059)=0,"",INDEX(LdCDep,$N1059)),"")))</f>
        <v/>
      </c>
      <c r="F1059" s="16">
        <f>IF(AND($L1059="",$M1059="",$N1059=""),"",IF($N1059="","",IF(INDEX(LdCWit,$N1059)=0,"",INDEX(LdCWit,$N1059))))</f>
        <v/>
      </c>
      <c r="G1059" s="29">
        <f>IF($B1059="","",IF($G1058="",0,$G1058)+IF($E1059="",0,$E1059)-IF($F1059="",0,$F1059))</f>
        <v/>
      </c>
      <c r="H1059" s="30">
        <f>IF(AND($L1059="",$M1059="",$N1059=""),"",IF($L1059&lt;&gt;"",IF(INDEX(LdANote,$L1059)="","—",INDEX(LdANote,$L1059)),IF($M1059&lt;&gt;"",IF(INDEX(LdBNote,$M1059)="","—",INDEX(LdBNote,$M1059)),IF($N1059&lt;&gt;"",IF(INDEX(LdCNote,$N1059)="","—",INDEX(LdCNote,$N1059)),""))))</f>
        <v/>
      </c>
      <c r="L1059">
        <f>IFERROR(MATCH($C$5&amp;"|"&amp;RIGHT("000000"&amp;1043,6),LdAKeyM,0),"")</f>
        <v/>
      </c>
      <c r="M1059">
        <f>IFERROR(MATCH($C$5&amp;"|"&amp;RIGHT("000000"&amp;1043,6),LdBKeyM,0),"")</f>
        <v/>
      </c>
      <c r="N1059">
        <f>IFERROR(MATCH($C$5&amp;"|"&amp;RIGHT("000000"&amp;1043,6),LdCKeyM,0),"")</f>
        <v/>
      </c>
    </row>
    <row r="1060">
      <c r="A1060" s="19" t="n">
        <v>1044</v>
      </c>
      <c r="B1060" s="20">
        <f>IF(AND($L1060="",$M1060="",$N1060=""),"",IF($L1060&lt;&gt;"",INDEX(LdADate,$L1060),IF($M1060&lt;&gt;"",INDEX(LdBDate,$M1060),INDEX(LdCDate,$N1060))))</f>
        <v/>
      </c>
      <c r="C1060" s="20">
        <f>IF($L1060&lt;&gt;"","دستمزد (فردی)",IF($M1060&lt;&gt;"","سهم از گروه "&amp;IFERROR(VLOOKUP(INDEX(LdBGroup,$M1060),WGTbl,2,0),INDEX(LdBGroup,$M1060)),IF($N1060&lt;&gt;"",IF(N(INDEX(LdCDep,$N1060))&gt;0,"بازگشت بانکی","پرداخت بانکی"),"")))</f>
        <v/>
      </c>
      <c r="D1060" s="20">
        <f>IF($L1060&lt;&gt;"",IF(INDEX(LdAId,$L1060)="","—",INDEX(LdAId,$L1060)),IF($M1060&lt;&gt;"",IF(INDEX(LdBId,$M1060)="","—",INDEX(LdBId,$M1060)),IF($N1060&lt;&gt;"",IF(INDEX(LdCBank,$N1060)="","—",INDEX(LdCBank,$N1060)),"")))</f>
        <v/>
      </c>
      <c r="E1060" s="21">
        <f>IF($L1060&lt;&gt;"",IF(INDEX(LdAAmt,$L1060)=0,"",INDEX(LdAAmt,$L1060)),IF($M1060&lt;&gt;"",IF(INDEX(LdBAmt,$M1060)=0,"",INDEX(LdBAmt,$M1060)),IF($N1060&lt;&gt;"",IF(INDEX(LdCDep,$N1060)=0,"",INDEX(LdCDep,$N1060)),"")))</f>
        <v/>
      </c>
      <c r="F1060" s="21">
        <f>IF(AND($L1060="",$M1060="",$N1060=""),"",IF($N1060="","",IF(INDEX(LdCWit,$N1060)=0,"",INDEX(LdCWit,$N1060))))</f>
        <v/>
      </c>
      <c r="G1060" s="31">
        <f>IF($B1060="","",IF($G1059="",0,$G1059)+IF($E1060="",0,$E1060)-IF($F1060="",0,$F1060))</f>
        <v/>
      </c>
      <c r="H1060" s="32">
        <f>IF(AND($L1060="",$M1060="",$N1060=""),"",IF($L1060&lt;&gt;"",IF(INDEX(LdANote,$L1060)="","—",INDEX(LdANote,$L1060)),IF($M1060&lt;&gt;"",IF(INDEX(LdBNote,$M1060)="","—",INDEX(LdBNote,$M1060)),IF($N1060&lt;&gt;"",IF(INDEX(LdCNote,$N1060)="","—",INDEX(LdCNote,$N1060)),""))))</f>
        <v/>
      </c>
      <c r="L1060">
        <f>IFERROR(MATCH($C$5&amp;"|"&amp;RIGHT("000000"&amp;1044,6),LdAKeyM,0),"")</f>
        <v/>
      </c>
      <c r="M1060">
        <f>IFERROR(MATCH($C$5&amp;"|"&amp;RIGHT("000000"&amp;1044,6),LdBKeyM,0),"")</f>
        <v/>
      </c>
      <c r="N1060">
        <f>IFERROR(MATCH($C$5&amp;"|"&amp;RIGHT("000000"&amp;1044,6),LdCKeyM,0),"")</f>
        <v/>
      </c>
    </row>
    <row r="1061">
      <c r="A1061" s="10" t="n">
        <v>1045</v>
      </c>
      <c r="B1061" s="14">
        <f>IF(AND($L1061="",$M1061="",$N1061=""),"",IF($L1061&lt;&gt;"",INDEX(LdADate,$L1061),IF($M1061&lt;&gt;"",INDEX(LdBDate,$M1061),INDEX(LdCDate,$N1061))))</f>
        <v/>
      </c>
      <c r="C1061" s="14">
        <f>IF($L1061&lt;&gt;"","دستمزد (فردی)",IF($M1061&lt;&gt;"","سهم از گروه "&amp;IFERROR(VLOOKUP(INDEX(LdBGroup,$M1061),WGTbl,2,0),INDEX(LdBGroup,$M1061)),IF($N1061&lt;&gt;"",IF(N(INDEX(LdCDep,$N1061))&gt;0,"بازگشت بانکی","پرداخت بانکی"),"")))</f>
        <v/>
      </c>
      <c r="D1061" s="14">
        <f>IF($L1061&lt;&gt;"",IF(INDEX(LdAId,$L1061)="","—",INDEX(LdAId,$L1061)),IF($M1061&lt;&gt;"",IF(INDEX(LdBId,$M1061)="","—",INDEX(LdBId,$M1061)),IF($N1061&lt;&gt;"",IF(INDEX(LdCBank,$N1061)="","—",INDEX(LdCBank,$N1061)),"")))</f>
        <v/>
      </c>
      <c r="E1061" s="16">
        <f>IF($L1061&lt;&gt;"",IF(INDEX(LdAAmt,$L1061)=0,"",INDEX(LdAAmt,$L1061)),IF($M1061&lt;&gt;"",IF(INDEX(LdBAmt,$M1061)=0,"",INDEX(LdBAmt,$M1061)),IF($N1061&lt;&gt;"",IF(INDEX(LdCDep,$N1061)=0,"",INDEX(LdCDep,$N1061)),"")))</f>
        <v/>
      </c>
      <c r="F1061" s="16">
        <f>IF(AND($L1061="",$M1061="",$N1061=""),"",IF($N1061="","",IF(INDEX(LdCWit,$N1061)=0,"",INDEX(LdCWit,$N1061))))</f>
        <v/>
      </c>
      <c r="G1061" s="29">
        <f>IF($B1061="","",IF($G1060="",0,$G1060)+IF($E1061="",0,$E1061)-IF($F1061="",0,$F1061))</f>
        <v/>
      </c>
      <c r="H1061" s="30">
        <f>IF(AND($L1061="",$M1061="",$N1061=""),"",IF($L1061&lt;&gt;"",IF(INDEX(LdANote,$L1061)="","—",INDEX(LdANote,$L1061)),IF($M1061&lt;&gt;"",IF(INDEX(LdBNote,$M1061)="","—",INDEX(LdBNote,$M1061)),IF($N1061&lt;&gt;"",IF(INDEX(LdCNote,$N1061)="","—",INDEX(LdCNote,$N1061)),""))))</f>
        <v/>
      </c>
      <c r="L1061">
        <f>IFERROR(MATCH($C$5&amp;"|"&amp;RIGHT("000000"&amp;1045,6),LdAKeyM,0),"")</f>
        <v/>
      </c>
      <c r="M1061">
        <f>IFERROR(MATCH($C$5&amp;"|"&amp;RIGHT("000000"&amp;1045,6),LdBKeyM,0),"")</f>
        <v/>
      </c>
      <c r="N1061">
        <f>IFERROR(MATCH($C$5&amp;"|"&amp;RIGHT("000000"&amp;1045,6),LdCKeyM,0),"")</f>
        <v/>
      </c>
    </row>
    <row r="1062">
      <c r="A1062" s="19" t="n">
        <v>1046</v>
      </c>
      <c r="B1062" s="20">
        <f>IF(AND($L1062="",$M1062="",$N1062=""),"",IF($L1062&lt;&gt;"",INDEX(LdADate,$L1062),IF($M1062&lt;&gt;"",INDEX(LdBDate,$M1062),INDEX(LdCDate,$N1062))))</f>
        <v/>
      </c>
      <c r="C1062" s="20">
        <f>IF($L1062&lt;&gt;"","دستمزد (فردی)",IF($M1062&lt;&gt;"","سهم از گروه "&amp;IFERROR(VLOOKUP(INDEX(LdBGroup,$M1062),WGTbl,2,0),INDEX(LdBGroup,$M1062)),IF($N1062&lt;&gt;"",IF(N(INDEX(LdCDep,$N1062))&gt;0,"بازگشت بانکی","پرداخت بانکی"),"")))</f>
        <v/>
      </c>
      <c r="D1062" s="20">
        <f>IF($L1062&lt;&gt;"",IF(INDEX(LdAId,$L1062)="","—",INDEX(LdAId,$L1062)),IF($M1062&lt;&gt;"",IF(INDEX(LdBId,$M1062)="","—",INDEX(LdBId,$M1062)),IF($N1062&lt;&gt;"",IF(INDEX(LdCBank,$N1062)="","—",INDEX(LdCBank,$N1062)),"")))</f>
        <v/>
      </c>
      <c r="E1062" s="21">
        <f>IF($L1062&lt;&gt;"",IF(INDEX(LdAAmt,$L1062)=0,"",INDEX(LdAAmt,$L1062)),IF($M1062&lt;&gt;"",IF(INDEX(LdBAmt,$M1062)=0,"",INDEX(LdBAmt,$M1062)),IF($N1062&lt;&gt;"",IF(INDEX(LdCDep,$N1062)=0,"",INDEX(LdCDep,$N1062)),"")))</f>
        <v/>
      </c>
      <c r="F1062" s="21">
        <f>IF(AND($L1062="",$M1062="",$N1062=""),"",IF($N1062="","",IF(INDEX(LdCWit,$N1062)=0,"",INDEX(LdCWit,$N1062))))</f>
        <v/>
      </c>
      <c r="G1062" s="31">
        <f>IF($B1062="","",IF($G1061="",0,$G1061)+IF($E1062="",0,$E1062)-IF($F1062="",0,$F1062))</f>
        <v/>
      </c>
      <c r="H1062" s="32">
        <f>IF(AND($L1062="",$M1062="",$N1062=""),"",IF($L1062&lt;&gt;"",IF(INDEX(LdANote,$L1062)="","—",INDEX(LdANote,$L1062)),IF($M1062&lt;&gt;"",IF(INDEX(LdBNote,$M1062)="","—",INDEX(LdBNote,$M1062)),IF($N1062&lt;&gt;"",IF(INDEX(LdCNote,$N1062)="","—",INDEX(LdCNote,$N1062)),""))))</f>
        <v/>
      </c>
      <c r="L1062">
        <f>IFERROR(MATCH($C$5&amp;"|"&amp;RIGHT("000000"&amp;1046,6),LdAKeyM,0),"")</f>
        <v/>
      </c>
      <c r="M1062">
        <f>IFERROR(MATCH($C$5&amp;"|"&amp;RIGHT("000000"&amp;1046,6),LdBKeyM,0),"")</f>
        <v/>
      </c>
      <c r="N1062">
        <f>IFERROR(MATCH($C$5&amp;"|"&amp;RIGHT("000000"&amp;1046,6),LdCKeyM,0),"")</f>
        <v/>
      </c>
    </row>
    <row r="1063">
      <c r="A1063" s="10" t="n">
        <v>1047</v>
      </c>
      <c r="B1063" s="14">
        <f>IF(AND($L1063="",$M1063="",$N1063=""),"",IF($L1063&lt;&gt;"",INDEX(LdADate,$L1063),IF($M1063&lt;&gt;"",INDEX(LdBDate,$M1063),INDEX(LdCDate,$N1063))))</f>
        <v/>
      </c>
      <c r="C1063" s="14">
        <f>IF($L1063&lt;&gt;"","دستمزد (فردی)",IF($M1063&lt;&gt;"","سهم از گروه "&amp;IFERROR(VLOOKUP(INDEX(LdBGroup,$M1063),WGTbl,2,0),INDEX(LdBGroup,$M1063)),IF($N1063&lt;&gt;"",IF(N(INDEX(LdCDep,$N1063))&gt;0,"بازگشت بانکی","پرداخت بانکی"),"")))</f>
        <v/>
      </c>
      <c r="D1063" s="14">
        <f>IF($L1063&lt;&gt;"",IF(INDEX(LdAId,$L1063)="","—",INDEX(LdAId,$L1063)),IF($M1063&lt;&gt;"",IF(INDEX(LdBId,$M1063)="","—",INDEX(LdBId,$M1063)),IF($N1063&lt;&gt;"",IF(INDEX(LdCBank,$N1063)="","—",INDEX(LdCBank,$N1063)),"")))</f>
        <v/>
      </c>
      <c r="E1063" s="16">
        <f>IF($L1063&lt;&gt;"",IF(INDEX(LdAAmt,$L1063)=0,"",INDEX(LdAAmt,$L1063)),IF($M1063&lt;&gt;"",IF(INDEX(LdBAmt,$M1063)=0,"",INDEX(LdBAmt,$M1063)),IF($N1063&lt;&gt;"",IF(INDEX(LdCDep,$N1063)=0,"",INDEX(LdCDep,$N1063)),"")))</f>
        <v/>
      </c>
      <c r="F1063" s="16">
        <f>IF(AND($L1063="",$M1063="",$N1063=""),"",IF($N1063="","",IF(INDEX(LdCWit,$N1063)=0,"",INDEX(LdCWit,$N1063))))</f>
        <v/>
      </c>
      <c r="G1063" s="29">
        <f>IF($B1063="","",IF($G1062="",0,$G1062)+IF($E1063="",0,$E1063)-IF($F1063="",0,$F1063))</f>
        <v/>
      </c>
      <c r="H1063" s="30">
        <f>IF(AND($L1063="",$M1063="",$N1063=""),"",IF($L1063&lt;&gt;"",IF(INDEX(LdANote,$L1063)="","—",INDEX(LdANote,$L1063)),IF($M1063&lt;&gt;"",IF(INDEX(LdBNote,$M1063)="","—",INDEX(LdBNote,$M1063)),IF($N1063&lt;&gt;"",IF(INDEX(LdCNote,$N1063)="","—",INDEX(LdCNote,$N1063)),""))))</f>
        <v/>
      </c>
      <c r="L1063">
        <f>IFERROR(MATCH($C$5&amp;"|"&amp;RIGHT("000000"&amp;1047,6),LdAKeyM,0),"")</f>
        <v/>
      </c>
      <c r="M1063">
        <f>IFERROR(MATCH($C$5&amp;"|"&amp;RIGHT("000000"&amp;1047,6),LdBKeyM,0),"")</f>
        <v/>
      </c>
      <c r="N1063">
        <f>IFERROR(MATCH($C$5&amp;"|"&amp;RIGHT("000000"&amp;1047,6),LdCKeyM,0),"")</f>
        <v/>
      </c>
    </row>
    <row r="1064">
      <c r="A1064" s="19" t="n">
        <v>1048</v>
      </c>
      <c r="B1064" s="20">
        <f>IF(AND($L1064="",$M1064="",$N1064=""),"",IF($L1064&lt;&gt;"",INDEX(LdADate,$L1064),IF($M1064&lt;&gt;"",INDEX(LdBDate,$M1064),INDEX(LdCDate,$N1064))))</f>
        <v/>
      </c>
      <c r="C1064" s="20">
        <f>IF($L1064&lt;&gt;"","دستمزد (فردی)",IF($M1064&lt;&gt;"","سهم از گروه "&amp;IFERROR(VLOOKUP(INDEX(LdBGroup,$M1064),WGTbl,2,0),INDEX(LdBGroup,$M1064)),IF($N1064&lt;&gt;"",IF(N(INDEX(LdCDep,$N1064))&gt;0,"بازگشت بانکی","پرداخت بانکی"),"")))</f>
        <v/>
      </c>
      <c r="D1064" s="20">
        <f>IF($L1064&lt;&gt;"",IF(INDEX(LdAId,$L1064)="","—",INDEX(LdAId,$L1064)),IF($M1064&lt;&gt;"",IF(INDEX(LdBId,$M1064)="","—",INDEX(LdBId,$M1064)),IF($N1064&lt;&gt;"",IF(INDEX(LdCBank,$N1064)="","—",INDEX(LdCBank,$N1064)),"")))</f>
        <v/>
      </c>
      <c r="E1064" s="21">
        <f>IF($L1064&lt;&gt;"",IF(INDEX(LdAAmt,$L1064)=0,"",INDEX(LdAAmt,$L1064)),IF($M1064&lt;&gt;"",IF(INDEX(LdBAmt,$M1064)=0,"",INDEX(LdBAmt,$M1064)),IF($N1064&lt;&gt;"",IF(INDEX(LdCDep,$N1064)=0,"",INDEX(LdCDep,$N1064)),"")))</f>
        <v/>
      </c>
      <c r="F1064" s="21">
        <f>IF(AND($L1064="",$M1064="",$N1064=""),"",IF($N1064="","",IF(INDEX(LdCWit,$N1064)=0,"",INDEX(LdCWit,$N1064))))</f>
        <v/>
      </c>
      <c r="G1064" s="31">
        <f>IF($B1064="","",IF($G1063="",0,$G1063)+IF($E1064="",0,$E1064)-IF($F1064="",0,$F1064))</f>
        <v/>
      </c>
      <c r="H1064" s="32">
        <f>IF(AND($L1064="",$M1064="",$N1064=""),"",IF($L1064&lt;&gt;"",IF(INDEX(LdANote,$L1064)="","—",INDEX(LdANote,$L1064)),IF($M1064&lt;&gt;"",IF(INDEX(LdBNote,$M1064)="","—",INDEX(LdBNote,$M1064)),IF($N1064&lt;&gt;"",IF(INDEX(LdCNote,$N1064)="","—",INDEX(LdCNote,$N1064)),""))))</f>
        <v/>
      </c>
      <c r="L1064">
        <f>IFERROR(MATCH($C$5&amp;"|"&amp;RIGHT("000000"&amp;1048,6),LdAKeyM,0),"")</f>
        <v/>
      </c>
      <c r="M1064">
        <f>IFERROR(MATCH($C$5&amp;"|"&amp;RIGHT("000000"&amp;1048,6),LdBKeyM,0),"")</f>
        <v/>
      </c>
      <c r="N1064">
        <f>IFERROR(MATCH($C$5&amp;"|"&amp;RIGHT("000000"&amp;1048,6),LdCKeyM,0),"")</f>
        <v/>
      </c>
    </row>
    <row r="1065">
      <c r="A1065" s="10" t="n">
        <v>1049</v>
      </c>
      <c r="B1065" s="14">
        <f>IF(AND($L1065="",$M1065="",$N1065=""),"",IF($L1065&lt;&gt;"",INDEX(LdADate,$L1065),IF($M1065&lt;&gt;"",INDEX(LdBDate,$M1065),INDEX(LdCDate,$N1065))))</f>
        <v/>
      </c>
      <c r="C1065" s="14">
        <f>IF($L1065&lt;&gt;"","دستمزد (فردی)",IF($M1065&lt;&gt;"","سهم از گروه "&amp;IFERROR(VLOOKUP(INDEX(LdBGroup,$M1065),WGTbl,2,0),INDEX(LdBGroup,$M1065)),IF($N1065&lt;&gt;"",IF(N(INDEX(LdCDep,$N1065))&gt;0,"بازگشت بانکی","پرداخت بانکی"),"")))</f>
        <v/>
      </c>
      <c r="D1065" s="14">
        <f>IF($L1065&lt;&gt;"",IF(INDEX(LdAId,$L1065)="","—",INDEX(LdAId,$L1065)),IF($M1065&lt;&gt;"",IF(INDEX(LdBId,$M1065)="","—",INDEX(LdBId,$M1065)),IF($N1065&lt;&gt;"",IF(INDEX(LdCBank,$N1065)="","—",INDEX(LdCBank,$N1065)),"")))</f>
        <v/>
      </c>
      <c r="E1065" s="16">
        <f>IF($L1065&lt;&gt;"",IF(INDEX(LdAAmt,$L1065)=0,"",INDEX(LdAAmt,$L1065)),IF($M1065&lt;&gt;"",IF(INDEX(LdBAmt,$M1065)=0,"",INDEX(LdBAmt,$M1065)),IF($N1065&lt;&gt;"",IF(INDEX(LdCDep,$N1065)=0,"",INDEX(LdCDep,$N1065)),"")))</f>
        <v/>
      </c>
      <c r="F1065" s="16">
        <f>IF(AND($L1065="",$M1065="",$N1065=""),"",IF($N1065="","",IF(INDEX(LdCWit,$N1065)=0,"",INDEX(LdCWit,$N1065))))</f>
        <v/>
      </c>
      <c r="G1065" s="29">
        <f>IF($B1065="","",IF($G1064="",0,$G1064)+IF($E1065="",0,$E1065)-IF($F1065="",0,$F1065))</f>
        <v/>
      </c>
      <c r="H1065" s="30">
        <f>IF(AND($L1065="",$M1065="",$N1065=""),"",IF($L1065&lt;&gt;"",IF(INDEX(LdANote,$L1065)="","—",INDEX(LdANote,$L1065)),IF($M1065&lt;&gt;"",IF(INDEX(LdBNote,$M1065)="","—",INDEX(LdBNote,$M1065)),IF($N1065&lt;&gt;"",IF(INDEX(LdCNote,$N1065)="","—",INDEX(LdCNote,$N1065)),""))))</f>
        <v/>
      </c>
      <c r="L1065">
        <f>IFERROR(MATCH($C$5&amp;"|"&amp;RIGHT("000000"&amp;1049,6),LdAKeyM,0),"")</f>
        <v/>
      </c>
      <c r="M1065">
        <f>IFERROR(MATCH($C$5&amp;"|"&amp;RIGHT("000000"&amp;1049,6),LdBKeyM,0),"")</f>
        <v/>
      </c>
      <c r="N1065">
        <f>IFERROR(MATCH($C$5&amp;"|"&amp;RIGHT("000000"&amp;1049,6),LdCKeyM,0),"")</f>
        <v/>
      </c>
    </row>
    <row r="1066">
      <c r="A1066" s="19" t="n">
        <v>1050</v>
      </c>
      <c r="B1066" s="20">
        <f>IF(AND($L1066="",$M1066="",$N1066=""),"",IF($L1066&lt;&gt;"",INDEX(LdADate,$L1066),IF($M1066&lt;&gt;"",INDEX(LdBDate,$M1066),INDEX(LdCDate,$N1066))))</f>
        <v/>
      </c>
      <c r="C1066" s="20">
        <f>IF($L1066&lt;&gt;"","دستمزد (فردی)",IF($M1066&lt;&gt;"","سهم از گروه "&amp;IFERROR(VLOOKUP(INDEX(LdBGroup,$M1066),WGTbl,2,0),INDEX(LdBGroup,$M1066)),IF($N1066&lt;&gt;"",IF(N(INDEX(LdCDep,$N1066))&gt;0,"بازگشت بانکی","پرداخت بانکی"),"")))</f>
        <v/>
      </c>
      <c r="D1066" s="20">
        <f>IF($L1066&lt;&gt;"",IF(INDEX(LdAId,$L1066)="","—",INDEX(LdAId,$L1066)),IF($M1066&lt;&gt;"",IF(INDEX(LdBId,$M1066)="","—",INDEX(LdBId,$M1066)),IF($N1066&lt;&gt;"",IF(INDEX(LdCBank,$N1066)="","—",INDEX(LdCBank,$N1066)),"")))</f>
        <v/>
      </c>
      <c r="E1066" s="21">
        <f>IF($L1066&lt;&gt;"",IF(INDEX(LdAAmt,$L1066)=0,"",INDEX(LdAAmt,$L1066)),IF($M1066&lt;&gt;"",IF(INDEX(LdBAmt,$M1066)=0,"",INDEX(LdBAmt,$M1066)),IF($N1066&lt;&gt;"",IF(INDEX(LdCDep,$N1066)=0,"",INDEX(LdCDep,$N1066)),"")))</f>
        <v/>
      </c>
      <c r="F1066" s="21">
        <f>IF(AND($L1066="",$M1066="",$N1066=""),"",IF($N1066="","",IF(INDEX(LdCWit,$N1066)=0,"",INDEX(LdCWit,$N1066))))</f>
        <v/>
      </c>
      <c r="G1066" s="31">
        <f>IF($B1066="","",IF($G1065="",0,$G1065)+IF($E1066="",0,$E1066)-IF($F1066="",0,$F1066))</f>
        <v/>
      </c>
      <c r="H1066" s="32">
        <f>IF(AND($L1066="",$M1066="",$N1066=""),"",IF($L1066&lt;&gt;"",IF(INDEX(LdANote,$L1066)="","—",INDEX(LdANote,$L1066)),IF($M1066&lt;&gt;"",IF(INDEX(LdBNote,$M1066)="","—",INDEX(LdBNote,$M1066)),IF($N1066&lt;&gt;"",IF(INDEX(LdCNote,$N1066)="","—",INDEX(LdCNote,$N1066)),""))))</f>
        <v/>
      </c>
      <c r="L1066">
        <f>IFERROR(MATCH($C$5&amp;"|"&amp;RIGHT("000000"&amp;1050,6),LdAKeyM,0),"")</f>
        <v/>
      </c>
      <c r="M1066">
        <f>IFERROR(MATCH($C$5&amp;"|"&amp;RIGHT("000000"&amp;1050,6),LdBKeyM,0),"")</f>
        <v/>
      </c>
      <c r="N1066">
        <f>IFERROR(MATCH($C$5&amp;"|"&amp;RIGHT("000000"&amp;1050,6),LdCKeyM,0),"")</f>
        <v/>
      </c>
    </row>
    <row r="1067">
      <c r="A1067" s="10" t="n">
        <v>1051</v>
      </c>
      <c r="B1067" s="14">
        <f>IF(AND($L1067="",$M1067="",$N1067=""),"",IF($L1067&lt;&gt;"",INDEX(LdADate,$L1067),IF($M1067&lt;&gt;"",INDEX(LdBDate,$M1067),INDEX(LdCDate,$N1067))))</f>
        <v/>
      </c>
      <c r="C1067" s="14">
        <f>IF($L1067&lt;&gt;"","دستمزد (فردی)",IF($M1067&lt;&gt;"","سهم از گروه "&amp;IFERROR(VLOOKUP(INDEX(LdBGroup,$M1067),WGTbl,2,0),INDEX(LdBGroup,$M1067)),IF($N1067&lt;&gt;"",IF(N(INDEX(LdCDep,$N1067))&gt;0,"بازگشت بانکی","پرداخت بانکی"),"")))</f>
        <v/>
      </c>
      <c r="D1067" s="14">
        <f>IF($L1067&lt;&gt;"",IF(INDEX(LdAId,$L1067)="","—",INDEX(LdAId,$L1067)),IF($M1067&lt;&gt;"",IF(INDEX(LdBId,$M1067)="","—",INDEX(LdBId,$M1067)),IF($N1067&lt;&gt;"",IF(INDEX(LdCBank,$N1067)="","—",INDEX(LdCBank,$N1067)),"")))</f>
        <v/>
      </c>
      <c r="E1067" s="16">
        <f>IF($L1067&lt;&gt;"",IF(INDEX(LdAAmt,$L1067)=0,"",INDEX(LdAAmt,$L1067)),IF($M1067&lt;&gt;"",IF(INDEX(LdBAmt,$M1067)=0,"",INDEX(LdBAmt,$M1067)),IF($N1067&lt;&gt;"",IF(INDEX(LdCDep,$N1067)=0,"",INDEX(LdCDep,$N1067)),"")))</f>
        <v/>
      </c>
      <c r="F1067" s="16">
        <f>IF(AND($L1067="",$M1067="",$N1067=""),"",IF($N1067="","",IF(INDEX(LdCWit,$N1067)=0,"",INDEX(LdCWit,$N1067))))</f>
        <v/>
      </c>
      <c r="G1067" s="29">
        <f>IF($B1067="","",IF($G1066="",0,$G1066)+IF($E1067="",0,$E1067)-IF($F1067="",0,$F1067))</f>
        <v/>
      </c>
      <c r="H1067" s="30">
        <f>IF(AND($L1067="",$M1067="",$N1067=""),"",IF($L1067&lt;&gt;"",IF(INDEX(LdANote,$L1067)="","—",INDEX(LdANote,$L1067)),IF($M1067&lt;&gt;"",IF(INDEX(LdBNote,$M1067)="","—",INDEX(LdBNote,$M1067)),IF($N1067&lt;&gt;"",IF(INDEX(LdCNote,$N1067)="","—",INDEX(LdCNote,$N1067)),""))))</f>
        <v/>
      </c>
      <c r="L1067">
        <f>IFERROR(MATCH($C$5&amp;"|"&amp;RIGHT("000000"&amp;1051,6),LdAKeyM,0),"")</f>
        <v/>
      </c>
      <c r="M1067">
        <f>IFERROR(MATCH($C$5&amp;"|"&amp;RIGHT("000000"&amp;1051,6),LdBKeyM,0),"")</f>
        <v/>
      </c>
      <c r="N1067">
        <f>IFERROR(MATCH($C$5&amp;"|"&amp;RIGHT("000000"&amp;1051,6),LdCKeyM,0),"")</f>
        <v/>
      </c>
    </row>
    <row r="1068">
      <c r="A1068" s="19" t="n">
        <v>1052</v>
      </c>
      <c r="B1068" s="20">
        <f>IF(AND($L1068="",$M1068="",$N1068=""),"",IF($L1068&lt;&gt;"",INDEX(LdADate,$L1068),IF($M1068&lt;&gt;"",INDEX(LdBDate,$M1068),INDEX(LdCDate,$N1068))))</f>
        <v/>
      </c>
      <c r="C1068" s="20">
        <f>IF($L1068&lt;&gt;"","دستمزد (فردی)",IF($M1068&lt;&gt;"","سهم از گروه "&amp;IFERROR(VLOOKUP(INDEX(LdBGroup,$M1068),WGTbl,2,0),INDEX(LdBGroup,$M1068)),IF($N1068&lt;&gt;"",IF(N(INDEX(LdCDep,$N1068))&gt;0,"بازگشت بانکی","پرداخت بانکی"),"")))</f>
        <v/>
      </c>
      <c r="D1068" s="20">
        <f>IF($L1068&lt;&gt;"",IF(INDEX(LdAId,$L1068)="","—",INDEX(LdAId,$L1068)),IF($M1068&lt;&gt;"",IF(INDEX(LdBId,$M1068)="","—",INDEX(LdBId,$M1068)),IF($N1068&lt;&gt;"",IF(INDEX(LdCBank,$N1068)="","—",INDEX(LdCBank,$N1068)),"")))</f>
        <v/>
      </c>
      <c r="E1068" s="21">
        <f>IF($L1068&lt;&gt;"",IF(INDEX(LdAAmt,$L1068)=0,"",INDEX(LdAAmt,$L1068)),IF($M1068&lt;&gt;"",IF(INDEX(LdBAmt,$M1068)=0,"",INDEX(LdBAmt,$M1068)),IF($N1068&lt;&gt;"",IF(INDEX(LdCDep,$N1068)=0,"",INDEX(LdCDep,$N1068)),"")))</f>
        <v/>
      </c>
      <c r="F1068" s="21">
        <f>IF(AND($L1068="",$M1068="",$N1068=""),"",IF($N1068="","",IF(INDEX(LdCWit,$N1068)=0,"",INDEX(LdCWit,$N1068))))</f>
        <v/>
      </c>
      <c r="G1068" s="31">
        <f>IF($B1068="","",IF($G1067="",0,$G1067)+IF($E1068="",0,$E1068)-IF($F1068="",0,$F1068))</f>
        <v/>
      </c>
      <c r="H1068" s="32">
        <f>IF(AND($L1068="",$M1068="",$N1068=""),"",IF($L1068&lt;&gt;"",IF(INDEX(LdANote,$L1068)="","—",INDEX(LdANote,$L1068)),IF($M1068&lt;&gt;"",IF(INDEX(LdBNote,$M1068)="","—",INDEX(LdBNote,$M1068)),IF($N1068&lt;&gt;"",IF(INDEX(LdCNote,$N1068)="","—",INDEX(LdCNote,$N1068)),""))))</f>
        <v/>
      </c>
      <c r="L1068">
        <f>IFERROR(MATCH($C$5&amp;"|"&amp;RIGHT("000000"&amp;1052,6),LdAKeyM,0),"")</f>
        <v/>
      </c>
      <c r="M1068">
        <f>IFERROR(MATCH($C$5&amp;"|"&amp;RIGHT("000000"&amp;1052,6),LdBKeyM,0),"")</f>
        <v/>
      </c>
      <c r="N1068">
        <f>IFERROR(MATCH($C$5&amp;"|"&amp;RIGHT("000000"&amp;1052,6),LdCKeyM,0),"")</f>
        <v/>
      </c>
    </row>
    <row r="1069">
      <c r="A1069" s="10" t="n">
        <v>1053</v>
      </c>
      <c r="B1069" s="14">
        <f>IF(AND($L1069="",$M1069="",$N1069=""),"",IF($L1069&lt;&gt;"",INDEX(LdADate,$L1069),IF($M1069&lt;&gt;"",INDEX(LdBDate,$M1069),INDEX(LdCDate,$N1069))))</f>
        <v/>
      </c>
      <c r="C1069" s="14">
        <f>IF($L1069&lt;&gt;"","دستمزد (فردی)",IF($M1069&lt;&gt;"","سهم از گروه "&amp;IFERROR(VLOOKUP(INDEX(LdBGroup,$M1069),WGTbl,2,0),INDEX(LdBGroup,$M1069)),IF($N1069&lt;&gt;"",IF(N(INDEX(LdCDep,$N1069))&gt;0,"بازگشت بانکی","پرداخت بانکی"),"")))</f>
        <v/>
      </c>
      <c r="D1069" s="14">
        <f>IF($L1069&lt;&gt;"",IF(INDEX(LdAId,$L1069)="","—",INDEX(LdAId,$L1069)),IF($M1069&lt;&gt;"",IF(INDEX(LdBId,$M1069)="","—",INDEX(LdBId,$M1069)),IF($N1069&lt;&gt;"",IF(INDEX(LdCBank,$N1069)="","—",INDEX(LdCBank,$N1069)),"")))</f>
        <v/>
      </c>
      <c r="E1069" s="16">
        <f>IF($L1069&lt;&gt;"",IF(INDEX(LdAAmt,$L1069)=0,"",INDEX(LdAAmt,$L1069)),IF($M1069&lt;&gt;"",IF(INDEX(LdBAmt,$M1069)=0,"",INDEX(LdBAmt,$M1069)),IF($N1069&lt;&gt;"",IF(INDEX(LdCDep,$N1069)=0,"",INDEX(LdCDep,$N1069)),"")))</f>
        <v/>
      </c>
      <c r="F1069" s="16">
        <f>IF(AND($L1069="",$M1069="",$N1069=""),"",IF($N1069="","",IF(INDEX(LdCWit,$N1069)=0,"",INDEX(LdCWit,$N1069))))</f>
        <v/>
      </c>
      <c r="G1069" s="29">
        <f>IF($B1069="","",IF($G1068="",0,$G1068)+IF($E1069="",0,$E1069)-IF($F1069="",0,$F1069))</f>
        <v/>
      </c>
      <c r="H1069" s="30">
        <f>IF(AND($L1069="",$M1069="",$N1069=""),"",IF($L1069&lt;&gt;"",IF(INDEX(LdANote,$L1069)="","—",INDEX(LdANote,$L1069)),IF($M1069&lt;&gt;"",IF(INDEX(LdBNote,$M1069)="","—",INDEX(LdBNote,$M1069)),IF($N1069&lt;&gt;"",IF(INDEX(LdCNote,$N1069)="","—",INDEX(LdCNote,$N1069)),""))))</f>
        <v/>
      </c>
      <c r="L1069">
        <f>IFERROR(MATCH($C$5&amp;"|"&amp;RIGHT("000000"&amp;1053,6),LdAKeyM,0),"")</f>
        <v/>
      </c>
      <c r="M1069">
        <f>IFERROR(MATCH($C$5&amp;"|"&amp;RIGHT("000000"&amp;1053,6),LdBKeyM,0),"")</f>
        <v/>
      </c>
      <c r="N1069">
        <f>IFERROR(MATCH($C$5&amp;"|"&amp;RIGHT("000000"&amp;1053,6),LdCKeyM,0),"")</f>
        <v/>
      </c>
    </row>
    <row r="1070">
      <c r="A1070" s="19" t="n">
        <v>1054</v>
      </c>
      <c r="B1070" s="20">
        <f>IF(AND($L1070="",$M1070="",$N1070=""),"",IF($L1070&lt;&gt;"",INDEX(LdADate,$L1070),IF($M1070&lt;&gt;"",INDEX(LdBDate,$M1070),INDEX(LdCDate,$N1070))))</f>
        <v/>
      </c>
      <c r="C1070" s="20">
        <f>IF($L1070&lt;&gt;"","دستمزد (فردی)",IF($M1070&lt;&gt;"","سهم از گروه "&amp;IFERROR(VLOOKUP(INDEX(LdBGroup,$M1070),WGTbl,2,0),INDEX(LdBGroup,$M1070)),IF($N1070&lt;&gt;"",IF(N(INDEX(LdCDep,$N1070))&gt;0,"بازگشت بانکی","پرداخت بانکی"),"")))</f>
        <v/>
      </c>
      <c r="D1070" s="20">
        <f>IF($L1070&lt;&gt;"",IF(INDEX(LdAId,$L1070)="","—",INDEX(LdAId,$L1070)),IF($M1070&lt;&gt;"",IF(INDEX(LdBId,$M1070)="","—",INDEX(LdBId,$M1070)),IF($N1070&lt;&gt;"",IF(INDEX(LdCBank,$N1070)="","—",INDEX(LdCBank,$N1070)),"")))</f>
        <v/>
      </c>
      <c r="E1070" s="21">
        <f>IF($L1070&lt;&gt;"",IF(INDEX(LdAAmt,$L1070)=0,"",INDEX(LdAAmt,$L1070)),IF($M1070&lt;&gt;"",IF(INDEX(LdBAmt,$M1070)=0,"",INDEX(LdBAmt,$M1070)),IF($N1070&lt;&gt;"",IF(INDEX(LdCDep,$N1070)=0,"",INDEX(LdCDep,$N1070)),"")))</f>
        <v/>
      </c>
      <c r="F1070" s="21">
        <f>IF(AND($L1070="",$M1070="",$N1070=""),"",IF($N1070="","",IF(INDEX(LdCWit,$N1070)=0,"",INDEX(LdCWit,$N1070))))</f>
        <v/>
      </c>
      <c r="G1070" s="31">
        <f>IF($B1070="","",IF($G1069="",0,$G1069)+IF($E1070="",0,$E1070)-IF($F1070="",0,$F1070))</f>
        <v/>
      </c>
      <c r="H1070" s="32">
        <f>IF(AND($L1070="",$M1070="",$N1070=""),"",IF($L1070&lt;&gt;"",IF(INDEX(LdANote,$L1070)="","—",INDEX(LdANote,$L1070)),IF($M1070&lt;&gt;"",IF(INDEX(LdBNote,$M1070)="","—",INDEX(LdBNote,$M1070)),IF($N1070&lt;&gt;"",IF(INDEX(LdCNote,$N1070)="","—",INDEX(LdCNote,$N1070)),""))))</f>
        <v/>
      </c>
      <c r="L1070">
        <f>IFERROR(MATCH($C$5&amp;"|"&amp;RIGHT("000000"&amp;1054,6),LdAKeyM,0),"")</f>
        <v/>
      </c>
      <c r="M1070">
        <f>IFERROR(MATCH($C$5&amp;"|"&amp;RIGHT("000000"&amp;1054,6),LdBKeyM,0),"")</f>
        <v/>
      </c>
      <c r="N1070">
        <f>IFERROR(MATCH($C$5&amp;"|"&amp;RIGHT("000000"&amp;1054,6),LdCKeyM,0),"")</f>
        <v/>
      </c>
    </row>
    <row r="1071">
      <c r="A1071" s="10" t="n">
        <v>1055</v>
      </c>
      <c r="B1071" s="14">
        <f>IF(AND($L1071="",$M1071="",$N1071=""),"",IF($L1071&lt;&gt;"",INDEX(LdADate,$L1071),IF($M1071&lt;&gt;"",INDEX(LdBDate,$M1071),INDEX(LdCDate,$N1071))))</f>
        <v/>
      </c>
      <c r="C1071" s="14">
        <f>IF($L1071&lt;&gt;"","دستمزد (فردی)",IF($M1071&lt;&gt;"","سهم از گروه "&amp;IFERROR(VLOOKUP(INDEX(LdBGroup,$M1071),WGTbl,2,0),INDEX(LdBGroup,$M1071)),IF($N1071&lt;&gt;"",IF(N(INDEX(LdCDep,$N1071))&gt;0,"بازگشت بانکی","پرداخت بانکی"),"")))</f>
        <v/>
      </c>
      <c r="D1071" s="14">
        <f>IF($L1071&lt;&gt;"",IF(INDEX(LdAId,$L1071)="","—",INDEX(LdAId,$L1071)),IF($M1071&lt;&gt;"",IF(INDEX(LdBId,$M1071)="","—",INDEX(LdBId,$M1071)),IF($N1071&lt;&gt;"",IF(INDEX(LdCBank,$N1071)="","—",INDEX(LdCBank,$N1071)),"")))</f>
        <v/>
      </c>
      <c r="E1071" s="16">
        <f>IF($L1071&lt;&gt;"",IF(INDEX(LdAAmt,$L1071)=0,"",INDEX(LdAAmt,$L1071)),IF($M1071&lt;&gt;"",IF(INDEX(LdBAmt,$M1071)=0,"",INDEX(LdBAmt,$M1071)),IF($N1071&lt;&gt;"",IF(INDEX(LdCDep,$N1071)=0,"",INDEX(LdCDep,$N1071)),"")))</f>
        <v/>
      </c>
      <c r="F1071" s="16">
        <f>IF(AND($L1071="",$M1071="",$N1071=""),"",IF($N1071="","",IF(INDEX(LdCWit,$N1071)=0,"",INDEX(LdCWit,$N1071))))</f>
        <v/>
      </c>
      <c r="G1071" s="29">
        <f>IF($B1071="","",IF($G1070="",0,$G1070)+IF($E1071="",0,$E1071)-IF($F1071="",0,$F1071))</f>
        <v/>
      </c>
      <c r="H1071" s="30">
        <f>IF(AND($L1071="",$M1071="",$N1071=""),"",IF($L1071&lt;&gt;"",IF(INDEX(LdANote,$L1071)="","—",INDEX(LdANote,$L1071)),IF($M1071&lt;&gt;"",IF(INDEX(LdBNote,$M1071)="","—",INDEX(LdBNote,$M1071)),IF($N1071&lt;&gt;"",IF(INDEX(LdCNote,$N1071)="","—",INDEX(LdCNote,$N1071)),""))))</f>
        <v/>
      </c>
      <c r="L1071">
        <f>IFERROR(MATCH($C$5&amp;"|"&amp;RIGHT("000000"&amp;1055,6),LdAKeyM,0),"")</f>
        <v/>
      </c>
      <c r="M1071">
        <f>IFERROR(MATCH($C$5&amp;"|"&amp;RIGHT("000000"&amp;1055,6),LdBKeyM,0),"")</f>
        <v/>
      </c>
      <c r="N1071">
        <f>IFERROR(MATCH($C$5&amp;"|"&amp;RIGHT("000000"&amp;1055,6),LdCKeyM,0),"")</f>
        <v/>
      </c>
    </row>
    <row r="1072">
      <c r="A1072" s="19" t="n">
        <v>1056</v>
      </c>
      <c r="B1072" s="20">
        <f>IF(AND($L1072="",$M1072="",$N1072=""),"",IF($L1072&lt;&gt;"",INDEX(LdADate,$L1072),IF($M1072&lt;&gt;"",INDEX(LdBDate,$M1072),INDEX(LdCDate,$N1072))))</f>
        <v/>
      </c>
      <c r="C1072" s="20">
        <f>IF($L1072&lt;&gt;"","دستمزد (فردی)",IF($M1072&lt;&gt;"","سهم از گروه "&amp;IFERROR(VLOOKUP(INDEX(LdBGroup,$M1072),WGTbl,2,0),INDEX(LdBGroup,$M1072)),IF($N1072&lt;&gt;"",IF(N(INDEX(LdCDep,$N1072))&gt;0,"بازگشت بانکی","پرداخت بانکی"),"")))</f>
        <v/>
      </c>
      <c r="D1072" s="20">
        <f>IF($L1072&lt;&gt;"",IF(INDEX(LdAId,$L1072)="","—",INDEX(LdAId,$L1072)),IF($M1072&lt;&gt;"",IF(INDEX(LdBId,$M1072)="","—",INDEX(LdBId,$M1072)),IF($N1072&lt;&gt;"",IF(INDEX(LdCBank,$N1072)="","—",INDEX(LdCBank,$N1072)),"")))</f>
        <v/>
      </c>
      <c r="E1072" s="21">
        <f>IF($L1072&lt;&gt;"",IF(INDEX(LdAAmt,$L1072)=0,"",INDEX(LdAAmt,$L1072)),IF($M1072&lt;&gt;"",IF(INDEX(LdBAmt,$M1072)=0,"",INDEX(LdBAmt,$M1072)),IF($N1072&lt;&gt;"",IF(INDEX(LdCDep,$N1072)=0,"",INDEX(LdCDep,$N1072)),"")))</f>
        <v/>
      </c>
      <c r="F1072" s="21">
        <f>IF(AND($L1072="",$M1072="",$N1072=""),"",IF($N1072="","",IF(INDEX(LdCWit,$N1072)=0,"",INDEX(LdCWit,$N1072))))</f>
        <v/>
      </c>
      <c r="G1072" s="31">
        <f>IF($B1072="","",IF($G1071="",0,$G1071)+IF($E1072="",0,$E1072)-IF($F1072="",0,$F1072))</f>
        <v/>
      </c>
      <c r="H1072" s="32">
        <f>IF(AND($L1072="",$M1072="",$N1072=""),"",IF($L1072&lt;&gt;"",IF(INDEX(LdANote,$L1072)="","—",INDEX(LdANote,$L1072)),IF($M1072&lt;&gt;"",IF(INDEX(LdBNote,$M1072)="","—",INDEX(LdBNote,$M1072)),IF($N1072&lt;&gt;"",IF(INDEX(LdCNote,$N1072)="","—",INDEX(LdCNote,$N1072)),""))))</f>
        <v/>
      </c>
      <c r="L1072">
        <f>IFERROR(MATCH($C$5&amp;"|"&amp;RIGHT("000000"&amp;1056,6),LdAKeyM,0),"")</f>
        <v/>
      </c>
      <c r="M1072">
        <f>IFERROR(MATCH($C$5&amp;"|"&amp;RIGHT("000000"&amp;1056,6),LdBKeyM,0),"")</f>
        <v/>
      </c>
      <c r="N1072">
        <f>IFERROR(MATCH($C$5&amp;"|"&amp;RIGHT("000000"&amp;1056,6),LdCKeyM,0),"")</f>
        <v/>
      </c>
    </row>
    <row r="1073">
      <c r="A1073" s="10" t="n">
        <v>1057</v>
      </c>
      <c r="B1073" s="14">
        <f>IF(AND($L1073="",$M1073="",$N1073=""),"",IF($L1073&lt;&gt;"",INDEX(LdADate,$L1073),IF($M1073&lt;&gt;"",INDEX(LdBDate,$M1073),INDEX(LdCDate,$N1073))))</f>
        <v/>
      </c>
      <c r="C1073" s="14">
        <f>IF($L1073&lt;&gt;"","دستمزد (فردی)",IF($M1073&lt;&gt;"","سهم از گروه "&amp;IFERROR(VLOOKUP(INDEX(LdBGroup,$M1073),WGTbl,2,0),INDEX(LdBGroup,$M1073)),IF($N1073&lt;&gt;"",IF(N(INDEX(LdCDep,$N1073))&gt;0,"بازگشت بانکی","پرداخت بانکی"),"")))</f>
        <v/>
      </c>
      <c r="D1073" s="14">
        <f>IF($L1073&lt;&gt;"",IF(INDEX(LdAId,$L1073)="","—",INDEX(LdAId,$L1073)),IF($M1073&lt;&gt;"",IF(INDEX(LdBId,$M1073)="","—",INDEX(LdBId,$M1073)),IF($N1073&lt;&gt;"",IF(INDEX(LdCBank,$N1073)="","—",INDEX(LdCBank,$N1073)),"")))</f>
        <v/>
      </c>
      <c r="E1073" s="16">
        <f>IF($L1073&lt;&gt;"",IF(INDEX(LdAAmt,$L1073)=0,"",INDEX(LdAAmt,$L1073)),IF($M1073&lt;&gt;"",IF(INDEX(LdBAmt,$M1073)=0,"",INDEX(LdBAmt,$M1073)),IF($N1073&lt;&gt;"",IF(INDEX(LdCDep,$N1073)=0,"",INDEX(LdCDep,$N1073)),"")))</f>
        <v/>
      </c>
      <c r="F1073" s="16">
        <f>IF(AND($L1073="",$M1073="",$N1073=""),"",IF($N1073="","",IF(INDEX(LdCWit,$N1073)=0,"",INDEX(LdCWit,$N1073))))</f>
        <v/>
      </c>
      <c r="G1073" s="29">
        <f>IF($B1073="","",IF($G1072="",0,$G1072)+IF($E1073="",0,$E1073)-IF($F1073="",0,$F1073))</f>
        <v/>
      </c>
      <c r="H1073" s="30">
        <f>IF(AND($L1073="",$M1073="",$N1073=""),"",IF($L1073&lt;&gt;"",IF(INDEX(LdANote,$L1073)="","—",INDEX(LdANote,$L1073)),IF($M1073&lt;&gt;"",IF(INDEX(LdBNote,$M1073)="","—",INDEX(LdBNote,$M1073)),IF($N1073&lt;&gt;"",IF(INDEX(LdCNote,$N1073)="","—",INDEX(LdCNote,$N1073)),""))))</f>
        <v/>
      </c>
      <c r="L1073">
        <f>IFERROR(MATCH($C$5&amp;"|"&amp;RIGHT("000000"&amp;1057,6),LdAKeyM,0),"")</f>
        <v/>
      </c>
      <c r="M1073">
        <f>IFERROR(MATCH($C$5&amp;"|"&amp;RIGHT("000000"&amp;1057,6),LdBKeyM,0),"")</f>
        <v/>
      </c>
      <c r="N1073">
        <f>IFERROR(MATCH($C$5&amp;"|"&amp;RIGHT("000000"&amp;1057,6),LdCKeyM,0),"")</f>
        <v/>
      </c>
    </row>
    <row r="1074">
      <c r="A1074" s="19" t="n">
        <v>1058</v>
      </c>
      <c r="B1074" s="20">
        <f>IF(AND($L1074="",$M1074="",$N1074=""),"",IF($L1074&lt;&gt;"",INDEX(LdADate,$L1074),IF($M1074&lt;&gt;"",INDEX(LdBDate,$M1074),INDEX(LdCDate,$N1074))))</f>
        <v/>
      </c>
      <c r="C1074" s="20">
        <f>IF($L1074&lt;&gt;"","دستمزد (فردی)",IF($M1074&lt;&gt;"","سهم از گروه "&amp;IFERROR(VLOOKUP(INDEX(LdBGroup,$M1074),WGTbl,2,0),INDEX(LdBGroup,$M1074)),IF($N1074&lt;&gt;"",IF(N(INDEX(LdCDep,$N1074))&gt;0,"بازگشت بانکی","پرداخت بانکی"),"")))</f>
        <v/>
      </c>
      <c r="D1074" s="20">
        <f>IF($L1074&lt;&gt;"",IF(INDEX(LdAId,$L1074)="","—",INDEX(LdAId,$L1074)),IF($M1074&lt;&gt;"",IF(INDEX(LdBId,$M1074)="","—",INDEX(LdBId,$M1074)),IF($N1074&lt;&gt;"",IF(INDEX(LdCBank,$N1074)="","—",INDEX(LdCBank,$N1074)),"")))</f>
        <v/>
      </c>
      <c r="E1074" s="21">
        <f>IF($L1074&lt;&gt;"",IF(INDEX(LdAAmt,$L1074)=0,"",INDEX(LdAAmt,$L1074)),IF($M1074&lt;&gt;"",IF(INDEX(LdBAmt,$M1074)=0,"",INDEX(LdBAmt,$M1074)),IF($N1074&lt;&gt;"",IF(INDEX(LdCDep,$N1074)=0,"",INDEX(LdCDep,$N1074)),"")))</f>
        <v/>
      </c>
      <c r="F1074" s="21">
        <f>IF(AND($L1074="",$M1074="",$N1074=""),"",IF($N1074="","",IF(INDEX(LdCWit,$N1074)=0,"",INDEX(LdCWit,$N1074))))</f>
        <v/>
      </c>
      <c r="G1074" s="31">
        <f>IF($B1074="","",IF($G1073="",0,$G1073)+IF($E1074="",0,$E1074)-IF($F1074="",0,$F1074))</f>
        <v/>
      </c>
      <c r="H1074" s="32">
        <f>IF(AND($L1074="",$M1074="",$N1074=""),"",IF($L1074&lt;&gt;"",IF(INDEX(LdANote,$L1074)="","—",INDEX(LdANote,$L1074)),IF($M1074&lt;&gt;"",IF(INDEX(LdBNote,$M1074)="","—",INDEX(LdBNote,$M1074)),IF($N1074&lt;&gt;"",IF(INDEX(LdCNote,$N1074)="","—",INDEX(LdCNote,$N1074)),""))))</f>
        <v/>
      </c>
      <c r="L1074">
        <f>IFERROR(MATCH($C$5&amp;"|"&amp;RIGHT("000000"&amp;1058,6),LdAKeyM,0),"")</f>
        <v/>
      </c>
      <c r="M1074">
        <f>IFERROR(MATCH($C$5&amp;"|"&amp;RIGHT("000000"&amp;1058,6),LdBKeyM,0),"")</f>
        <v/>
      </c>
      <c r="N1074">
        <f>IFERROR(MATCH($C$5&amp;"|"&amp;RIGHT("000000"&amp;1058,6),LdCKeyM,0),"")</f>
        <v/>
      </c>
    </row>
    <row r="1075">
      <c r="A1075" s="10" t="n">
        <v>1059</v>
      </c>
      <c r="B1075" s="14">
        <f>IF(AND($L1075="",$M1075="",$N1075=""),"",IF($L1075&lt;&gt;"",INDEX(LdADate,$L1075),IF($M1075&lt;&gt;"",INDEX(LdBDate,$M1075),INDEX(LdCDate,$N1075))))</f>
        <v/>
      </c>
      <c r="C1075" s="14">
        <f>IF($L1075&lt;&gt;"","دستمزد (فردی)",IF($M1075&lt;&gt;"","سهم از گروه "&amp;IFERROR(VLOOKUP(INDEX(LdBGroup,$M1075),WGTbl,2,0),INDEX(LdBGroup,$M1075)),IF($N1075&lt;&gt;"",IF(N(INDEX(LdCDep,$N1075))&gt;0,"بازگشت بانکی","پرداخت بانکی"),"")))</f>
        <v/>
      </c>
      <c r="D1075" s="14">
        <f>IF($L1075&lt;&gt;"",IF(INDEX(LdAId,$L1075)="","—",INDEX(LdAId,$L1075)),IF($M1075&lt;&gt;"",IF(INDEX(LdBId,$M1075)="","—",INDEX(LdBId,$M1075)),IF($N1075&lt;&gt;"",IF(INDEX(LdCBank,$N1075)="","—",INDEX(LdCBank,$N1075)),"")))</f>
        <v/>
      </c>
      <c r="E1075" s="16">
        <f>IF($L1075&lt;&gt;"",IF(INDEX(LdAAmt,$L1075)=0,"",INDEX(LdAAmt,$L1075)),IF($M1075&lt;&gt;"",IF(INDEX(LdBAmt,$M1075)=0,"",INDEX(LdBAmt,$M1075)),IF($N1075&lt;&gt;"",IF(INDEX(LdCDep,$N1075)=0,"",INDEX(LdCDep,$N1075)),"")))</f>
        <v/>
      </c>
      <c r="F1075" s="16">
        <f>IF(AND($L1075="",$M1075="",$N1075=""),"",IF($N1075="","",IF(INDEX(LdCWit,$N1075)=0,"",INDEX(LdCWit,$N1075))))</f>
        <v/>
      </c>
      <c r="G1075" s="29">
        <f>IF($B1075="","",IF($G1074="",0,$G1074)+IF($E1075="",0,$E1075)-IF($F1075="",0,$F1075))</f>
        <v/>
      </c>
      <c r="H1075" s="30">
        <f>IF(AND($L1075="",$M1075="",$N1075=""),"",IF($L1075&lt;&gt;"",IF(INDEX(LdANote,$L1075)="","—",INDEX(LdANote,$L1075)),IF($M1075&lt;&gt;"",IF(INDEX(LdBNote,$M1075)="","—",INDEX(LdBNote,$M1075)),IF($N1075&lt;&gt;"",IF(INDEX(LdCNote,$N1075)="","—",INDEX(LdCNote,$N1075)),""))))</f>
        <v/>
      </c>
      <c r="L1075">
        <f>IFERROR(MATCH($C$5&amp;"|"&amp;RIGHT("000000"&amp;1059,6),LdAKeyM,0),"")</f>
        <v/>
      </c>
      <c r="M1075">
        <f>IFERROR(MATCH($C$5&amp;"|"&amp;RIGHT("000000"&amp;1059,6),LdBKeyM,0),"")</f>
        <v/>
      </c>
      <c r="N1075">
        <f>IFERROR(MATCH($C$5&amp;"|"&amp;RIGHT("000000"&amp;1059,6),LdCKeyM,0),"")</f>
        <v/>
      </c>
    </row>
    <row r="1076">
      <c r="A1076" s="19" t="n">
        <v>1060</v>
      </c>
      <c r="B1076" s="20">
        <f>IF(AND($L1076="",$M1076="",$N1076=""),"",IF($L1076&lt;&gt;"",INDEX(LdADate,$L1076),IF($M1076&lt;&gt;"",INDEX(LdBDate,$M1076),INDEX(LdCDate,$N1076))))</f>
        <v/>
      </c>
      <c r="C1076" s="20">
        <f>IF($L1076&lt;&gt;"","دستمزد (فردی)",IF($M1076&lt;&gt;"","سهم از گروه "&amp;IFERROR(VLOOKUP(INDEX(LdBGroup,$M1076),WGTbl,2,0),INDEX(LdBGroup,$M1076)),IF($N1076&lt;&gt;"",IF(N(INDEX(LdCDep,$N1076))&gt;0,"بازگشت بانکی","پرداخت بانکی"),"")))</f>
        <v/>
      </c>
      <c r="D1076" s="20">
        <f>IF($L1076&lt;&gt;"",IF(INDEX(LdAId,$L1076)="","—",INDEX(LdAId,$L1076)),IF($M1076&lt;&gt;"",IF(INDEX(LdBId,$M1076)="","—",INDEX(LdBId,$M1076)),IF($N1076&lt;&gt;"",IF(INDEX(LdCBank,$N1076)="","—",INDEX(LdCBank,$N1076)),"")))</f>
        <v/>
      </c>
      <c r="E1076" s="21">
        <f>IF($L1076&lt;&gt;"",IF(INDEX(LdAAmt,$L1076)=0,"",INDEX(LdAAmt,$L1076)),IF($M1076&lt;&gt;"",IF(INDEX(LdBAmt,$M1076)=0,"",INDEX(LdBAmt,$M1076)),IF($N1076&lt;&gt;"",IF(INDEX(LdCDep,$N1076)=0,"",INDEX(LdCDep,$N1076)),"")))</f>
        <v/>
      </c>
      <c r="F1076" s="21">
        <f>IF(AND($L1076="",$M1076="",$N1076=""),"",IF($N1076="","",IF(INDEX(LdCWit,$N1076)=0,"",INDEX(LdCWit,$N1076))))</f>
        <v/>
      </c>
      <c r="G1076" s="31">
        <f>IF($B1076="","",IF($G1075="",0,$G1075)+IF($E1076="",0,$E1076)-IF($F1076="",0,$F1076))</f>
        <v/>
      </c>
      <c r="H1076" s="32">
        <f>IF(AND($L1076="",$M1076="",$N1076=""),"",IF($L1076&lt;&gt;"",IF(INDEX(LdANote,$L1076)="","—",INDEX(LdANote,$L1076)),IF($M1076&lt;&gt;"",IF(INDEX(LdBNote,$M1076)="","—",INDEX(LdBNote,$M1076)),IF($N1076&lt;&gt;"",IF(INDEX(LdCNote,$N1076)="","—",INDEX(LdCNote,$N1076)),""))))</f>
        <v/>
      </c>
      <c r="L1076">
        <f>IFERROR(MATCH($C$5&amp;"|"&amp;RIGHT("000000"&amp;1060,6),LdAKeyM,0),"")</f>
        <v/>
      </c>
      <c r="M1076">
        <f>IFERROR(MATCH($C$5&amp;"|"&amp;RIGHT("000000"&amp;1060,6),LdBKeyM,0),"")</f>
        <v/>
      </c>
      <c r="N1076">
        <f>IFERROR(MATCH($C$5&amp;"|"&amp;RIGHT("000000"&amp;1060,6),LdCKeyM,0),"")</f>
        <v/>
      </c>
    </row>
    <row r="1077">
      <c r="A1077" s="10" t="n">
        <v>1061</v>
      </c>
      <c r="B1077" s="14">
        <f>IF(AND($L1077="",$M1077="",$N1077=""),"",IF($L1077&lt;&gt;"",INDEX(LdADate,$L1077),IF($M1077&lt;&gt;"",INDEX(LdBDate,$M1077),INDEX(LdCDate,$N1077))))</f>
        <v/>
      </c>
      <c r="C1077" s="14">
        <f>IF($L1077&lt;&gt;"","دستمزد (فردی)",IF($M1077&lt;&gt;"","سهم از گروه "&amp;IFERROR(VLOOKUP(INDEX(LdBGroup,$M1077),WGTbl,2,0),INDEX(LdBGroup,$M1077)),IF($N1077&lt;&gt;"",IF(N(INDEX(LdCDep,$N1077))&gt;0,"بازگشت بانکی","پرداخت بانکی"),"")))</f>
        <v/>
      </c>
      <c r="D1077" s="14">
        <f>IF($L1077&lt;&gt;"",IF(INDEX(LdAId,$L1077)="","—",INDEX(LdAId,$L1077)),IF($M1077&lt;&gt;"",IF(INDEX(LdBId,$M1077)="","—",INDEX(LdBId,$M1077)),IF($N1077&lt;&gt;"",IF(INDEX(LdCBank,$N1077)="","—",INDEX(LdCBank,$N1077)),"")))</f>
        <v/>
      </c>
      <c r="E1077" s="16">
        <f>IF($L1077&lt;&gt;"",IF(INDEX(LdAAmt,$L1077)=0,"",INDEX(LdAAmt,$L1077)),IF($M1077&lt;&gt;"",IF(INDEX(LdBAmt,$M1077)=0,"",INDEX(LdBAmt,$M1077)),IF($N1077&lt;&gt;"",IF(INDEX(LdCDep,$N1077)=0,"",INDEX(LdCDep,$N1077)),"")))</f>
        <v/>
      </c>
      <c r="F1077" s="16">
        <f>IF(AND($L1077="",$M1077="",$N1077=""),"",IF($N1077="","",IF(INDEX(LdCWit,$N1077)=0,"",INDEX(LdCWit,$N1077))))</f>
        <v/>
      </c>
      <c r="G1077" s="29">
        <f>IF($B1077="","",IF($G1076="",0,$G1076)+IF($E1077="",0,$E1077)-IF($F1077="",0,$F1077))</f>
        <v/>
      </c>
      <c r="H1077" s="30">
        <f>IF(AND($L1077="",$M1077="",$N1077=""),"",IF($L1077&lt;&gt;"",IF(INDEX(LdANote,$L1077)="","—",INDEX(LdANote,$L1077)),IF($M1077&lt;&gt;"",IF(INDEX(LdBNote,$M1077)="","—",INDEX(LdBNote,$M1077)),IF($N1077&lt;&gt;"",IF(INDEX(LdCNote,$N1077)="","—",INDEX(LdCNote,$N1077)),""))))</f>
        <v/>
      </c>
      <c r="L1077">
        <f>IFERROR(MATCH($C$5&amp;"|"&amp;RIGHT("000000"&amp;1061,6),LdAKeyM,0),"")</f>
        <v/>
      </c>
      <c r="M1077">
        <f>IFERROR(MATCH($C$5&amp;"|"&amp;RIGHT("000000"&amp;1061,6),LdBKeyM,0),"")</f>
        <v/>
      </c>
      <c r="N1077">
        <f>IFERROR(MATCH($C$5&amp;"|"&amp;RIGHT("000000"&amp;1061,6),LdCKeyM,0),"")</f>
        <v/>
      </c>
    </row>
    <row r="1078">
      <c r="A1078" s="19" t="n">
        <v>1062</v>
      </c>
      <c r="B1078" s="20">
        <f>IF(AND($L1078="",$M1078="",$N1078=""),"",IF($L1078&lt;&gt;"",INDEX(LdADate,$L1078),IF($M1078&lt;&gt;"",INDEX(LdBDate,$M1078),INDEX(LdCDate,$N1078))))</f>
        <v/>
      </c>
      <c r="C1078" s="20">
        <f>IF($L1078&lt;&gt;"","دستمزد (فردی)",IF($M1078&lt;&gt;"","سهم از گروه "&amp;IFERROR(VLOOKUP(INDEX(LdBGroup,$M1078),WGTbl,2,0),INDEX(LdBGroup,$M1078)),IF($N1078&lt;&gt;"",IF(N(INDEX(LdCDep,$N1078))&gt;0,"بازگشت بانکی","پرداخت بانکی"),"")))</f>
        <v/>
      </c>
      <c r="D1078" s="20">
        <f>IF($L1078&lt;&gt;"",IF(INDEX(LdAId,$L1078)="","—",INDEX(LdAId,$L1078)),IF($M1078&lt;&gt;"",IF(INDEX(LdBId,$M1078)="","—",INDEX(LdBId,$M1078)),IF($N1078&lt;&gt;"",IF(INDEX(LdCBank,$N1078)="","—",INDEX(LdCBank,$N1078)),"")))</f>
        <v/>
      </c>
      <c r="E1078" s="21">
        <f>IF($L1078&lt;&gt;"",IF(INDEX(LdAAmt,$L1078)=0,"",INDEX(LdAAmt,$L1078)),IF($M1078&lt;&gt;"",IF(INDEX(LdBAmt,$M1078)=0,"",INDEX(LdBAmt,$M1078)),IF($N1078&lt;&gt;"",IF(INDEX(LdCDep,$N1078)=0,"",INDEX(LdCDep,$N1078)),"")))</f>
        <v/>
      </c>
      <c r="F1078" s="21">
        <f>IF(AND($L1078="",$M1078="",$N1078=""),"",IF($N1078="","",IF(INDEX(LdCWit,$N1078)=0,"",INDEX(LdCWit,$N1078))))</f>
        <v/>
      </c>
      <c r="G1078" s="31">
        <f>IF($B1078="","",IF($G1077="",0,$G1077)+IF($E1078="",0,$E1078)-IF($F1078="",0,$F1078))</f>
        <v/>
      </c>
      <c r="H1078" s="32">
        <f>IF(AND($L1078="",$M1078="",$N1078=""),"",IF($L1078&lt;&gt;"",IF(INDEX(LdANote,$L1078)="","—",INDEX(LdANote,$L1078)),IF($M1078&lt;&gt;"",IF(INDEX(LdBNote,$M1078)="","—",INDEX(LdBNote,$M1078)),IF($N1078&lt;&gt;"",IF(INDEX(LdCNote,$N1078)="","—",INDEX(LdCNote,$N1078)),""))))</f>
        <v/>
      </c>
      <c r="L1078">
        <f>IFERROR(MATCH($C$5&amp;"|"&amp;RIGHT("000000"&amp;1062,6),LdAKeyM,0),"")</f>
        <v/>
      </c>
      <c r="M1078">
        <f>IFERROR(MATCH($C$5&amp;"|"&amp;RIGHT("000000"&amp;1062,6),LdBKeyM,0),"")</f>
        <v/>
      </c>
      <c r="N1078">
        <f>IFERROR(MATCH($C$5&amp;"|"&amp;RIGHT("000000"&amp;1062,6),LdCKeyM,0),"")</f>
        <v/>
      </c>
    </row>
    <row r="1079">
      <c r="A1079" s="10" t="n">
        <v>1063</v>
      </c>
      <c r="B1079" s="14">
        <f>IF(AND($L1079="",$M1079="",$N1079=""),"",IF($L1079&lt;&gt;"",INDEX(LdADate,$L1079),IF($M1079&lt;&gt;"",INDEX(LdBDate,$M1079),INDEX(LdCDate,$N1079))))</f>
        <v/>
      </c>
      <c r="C1079" s="14">
        <f>IF($L1079&lt;&gt;"","دستمزد (فردی)",IF($M1079&lt;&gt;"","سهم از گروه "&amp;IFERROR(VLOOKUP(INDEX(LdBGroup,$M1079),WGTbl,2,0),INDEX(LdBGroup,$M1079)),IF($N1079&lt;&gt;"",IF(N(INDEX(LdCDep,$N1079))&gt;0,"بازگشت بانکی","پرداخت بانکی"),"")))</f>
        <v/>
      </c>
      <c r="D1079" s="14">
        <f>IF($L1079&lt;&gt;"",IF(INDEX(LdAId,$L1079)="","—",INDEX(LdAId,$L1079)),IF($M1079&lt;&gt;"",IF(INDEX(LdBId,$M1079)="","—",INDEX(LdBId,$M1079)),IF($N1079&lt;&gt;"",IF(INDEX(LdCBank,$N1079)="","—",INDEX(LdCBank,$N1079)),"")))</f>
        <v/>
      </c>
      <c r="E1079" s="16">
        <f>IF($L1079&lt;&gt;"",IF(INDEX(LdAAmt,$L1079)=0,"",INDEX(LdAAmt,$L1079)),IF($M1079&lt;&gt;"",IF(INDEX(LdBAmt,$M1079)=0,"",INDEX(LdBAmt,$M1079)),IF($N1079&lt;&gt;"",IF(INDEX(LdCDep,$N1079)=0,"",INDEX(LdCDep,$N1079)),"")))</f>
        <v/>
      </c>
      <c r="F1079" s="16">
        <f>IF(AND($L1079="",$M1079="",$N1079=""),"",IF($N1079="","",IF(INDEX(LdCWit,$N1079)=0,"",INDEX(LdCWit,$N1079))))</f>
        <v/>
      </c>
      <c r="G1079" s="29">
        <f>IF($B1079="","",IF($G1078="",0,$G1078)+IF($E1079="",0,$E1079)-IF($F1079="",0,$F1079))</f>
        <v/>
      </c>
      <c r="H1079" s="30">
        <f>IF(AND($L1079="",$M1079="",$N1079=""),"",IF($L1079&lt;&gt;"",IF(INDEX(LdANote,$L1079)="","—",INDEX(LdANote,$L1079)),IF($M1079&lt;&gt;"",IF(INDEX(LdBNote,$M1079)="","—",INDEX(LdBNote,$M1079)),IF($N1079&lt;&gt;"",IF(INDEX(LdCNote,$N1079)="","—",INDEX(LdCNote,$N1079)),""))))</f>
        <v/>
      </c>
      <c r="L1079">
        <f>IFERROR(MATCH($C$5&amp;"|"&amp;RIGHT("000000"&amp;1063,6),LdAKeyM,0),"")</f>
        <v/>
      </c>
      <c r="M1079">
        <f>IFERROR(MATCH($C$5&amp;"|"&amp;RIGHT("000000"&amp;1063,6),LdBKeyM,0),"")</f>
        <v/>
      </c>
      <c r="N1079">
        <f>IFERROR(MATCH($C$5&amp;"|"&amp;RIGHT("000000"&amp;1063,6),LdCKeyM,0),"")</f>
        <v/>
      </c>
    </row>
    <row r="1080">
      <c r="A1080" s="19" t="n">
        <v>1064</v>
      </c>
      <c r="B1080" s="20">
        <f>IF(AND($L1080="",$M1080="",$N1080=""),"",IF($L1080&lt;&gt;"",INDEX(LdADate,$L1080),IF($M1080&lt;&gt;"",INDEX(LdBDate,$M1080),INDEX(LdCDate,$N1080))))</f>
        <v/>
      </c>
      <c r="C1080" s="20">
        <f>IF($L1080&lt;&gt;"","دستمزد (فردی)",IF($M1080&lt;&gt;"","سهم از گروه "&amp;IFERROR(VLOOKUP(INDEX(LdBGroup,$M1080),WGTbl,2,0),INDEX(LdBGroup,$M1080)),IF($N1080&lt;&gt;"",IF(N(INDEX(LdCDep,$N1080))&gt;0,"بازگشت بانکی","پرداخت بانکی"),"")))</f>
        <v/>
      </c>
      <c r="D1080" s="20">
        <f>IF($L1080&lt;&gt;"",IF(INDEX(LdAId,$L1080)="","—",INDEX(LdAId,$L1080)),IF($M1080&lt;&gt;"",IF(INDEX(LdBId,$M1080)="","—",INDEX(LdBId,$M1080)),IF($N1080&lt;&gt;"",IF(INDEX(LdCBank,$N1080)="","—",INDEX(LdCBank,$N1080)),"")))</f>
        <v/>
      </c>
      <c r="E1080" s="21">
        <f>IF($L1080&lt;&gt;"",IF(INDEX(LdAAmt,$L1080)=0,"",INDEX(LdAAmt,$L1080)),IF($M1080&lt;&gt;"",IF(INDEX(LdBAmt,$M1080)=0,"",INDEX(LdBAmt,$M1080)),IF($N1080&lt;&gt;"",IF(INDEX(LdCDep,$N1080)=0,"",INDEX(LdCDep,$N1080)),"")))</f>
        <v/>
      </c>
      <c r="F1080" s="21">
        <f>IF(AND($L1080="",$M1080="",$N1080=""),"",IF($N1080="","",IF(INDEX(LdCWit,$N1080)=0,"",INDEX(LdCWit,$N1080))))</f>
        <v/>
      </c>
      <c r="G1080" s="31">
        <f>IF($B1080="","",IF($G1079="",0,$G1079)+IF($E1080="",0,$E1080)-IF($F1080="",0,$F1080))</f>
        <v/>
      </c>
      <c r="H1080" s="32">
        <f>IF(AND($L1080="",$M1080="",$N1080=""),"",IF($L1080&lt;&gt;"",IF(INDEX(LdANote,$L1080)="","—",INDEX(LdANote,$L1080)),IF($M1080&lt;&gt;"",IF(INDEX(LdBNote,$M1080)="","—",INDEX(LdBNote,$M1080)),IF($N1080&lt;&gt;"",IF(INDEX(LdCNote,$N1080)="","—",INDEX(LdCNote,$N1080)),""))))</f>
        <v/>
      </c>
      <c r="L1080">
        <f>IFERROR(MATCH($C$5&amp;"|"&amp;RIGHT("000000"&amp;1064,6),LdAKeyM,0),"")</f>
        <v/>
      </c>
      <c r="M1080">
        <f>IFERROR(MATCH($C$5&amp;"|"&amp;RIGHT("000000"&amp;1064,6),LdBKeyM,0),"")</f>
        <v/>
      </c>
      <c r="N1080">
        <f>IFERROR(MATCH($C$5&amp;"|"&amp;RIGHT("000000"&amp;1064,6),LdCKeyM,0),"")</f>
        <v/>
      </c>
    </row>
    <row r="1081">
      <c r="A1081" s="10" t="n">
        <v>1065</v>
      </c>
      <c r="B1081" s="14">
        <f>IF(AND($L1081="",$M1081="",$N1081=""),"",IF($L1081&lt;&gt;"",INDEX(LdADate,$L1081),IF($M1081&lt;&gt;"",INDEX(LdBDate,$M1081),INDEX(LdCDate,$N1081))))</f>
        <v/>
      </c>
      <c r="C1081" s="14">
        <f>IF($L1081&lt;&gt;"","دستمزد (فردی)",IF($M1081&lt;&gt;"","سهم از گروه "&amp;IFERROR(VLOOKUP(INDEX(LdBGroup,$M1081),WGTbl,2,0),INDEX(LdBGroup,$M1081)),IF($N1081&lt;&gt;"",IF(N(INDEX(LdCDep,$N1081))&gt;0,"بازگشت بانکی","پرداخت بانکی"),"")))</f>
        <v/>
      </c>
      <c r="D1081" s="14">
        <f>IF($L1081&lt;&gt;"",IF(INDEX(LdAId,$L1081)="","—",INDEX(LdAId,$L1081)),IF($M1081&lt;&gt;"",IF(INDEX(LdBId,$M1081)="","—",INDEX(LdBId,$M1081)),IF($N1081&lt;&gt;"",IF(INDEX(LdCBank,$N1081)="","—",INDEX(LdCBank,$N1081)),"")))</f>
        <v/>
      </c>
      <c r="E1081" s="16">
        <f>IF($L1081&lt;&gt;"",IF(INDEX(LdAAmt,$L1081)=0,"",INDEX(LdAAmt,$L1081)),IF($M1081&lt;&gt;"",IF(INDEX(LdBAmt,$M1081)=0,"",INDEX(LdBAmt,$M1081)),IF($N1081&lt;&gt;"",IF(INDEX(LdCDep,$N1081)=0,"",INDEX(LdCDep,$N1081)),"")))</f>
        <v/>
      </c>
      <c r="F1081" s="16">
        <f>IF(AND($L1081="",$M1081="",$N1081=""),"",IF($N1081="","",IF(INDEX(LdCWit,$N1081)=0,"",INDEX(LdCWit,$N1081))))</f>
        <v/>
      </c>
      <c r="G1081" s="29">
        <f>IF($B1081="","",IF($G1080="",0,$G1080)+IF($E1081="",0,$E1081)-IF($F1081="",0,$F1081))</f>
        <v/>
      </c>
      <c r="H1081" s="30">
        <f>IF(AND($L1081="",$M1081="",$N1081=""),"",IF($L1081&lt;&gt;"",IF(INDEX(LdANote,$L1081)="","—",INDEX(LdANote,$L1081)),IF($M1081&lt;&gt;"",IF(INDEX(LdBNote,$M1081)="","—",INDEX(LdBNote,$M1081)),IF($N1081&lt;&gt;"",IF(INDEX(LdCNote,$N1081)="","—",INDEX(LdCNote,$N1081)),""))))</f>
        <v/>
      </c>
      <c r="L1081">
        <f>IFERROR(MATCH($C$5&amp;"|"&amp;RIGHT("000000"&amp;1065,6),LdAKeyM,0),"")</f>
        <v/>
      </c>
      <c r="M1081">
        <f>IFERROR(MATCH($C$5&amp;"|"&amp;RIGHT("000000"&amp;1065,6),LdBKeyM,0),"")</f>
        <v/>
      </c>
      <c r="N1081">
        <f>IFERROR(MATCH($C$5&amp;"|"&amp;RIGHT("000000"&amp;1065,6),LdCKeyM,0),"")</f>
        <v/>
      </c>
    </row>
    <row r="1082">
      <c r="A1082" s="19" t="n">
        <v>1066</v>
      </c>
      <c r="B1082" s="20">
        <f>IF(AND($L1082="",$M1082="",$N1082=""),"",IF($L1082&lt;&gt;"",INDEX(LdADate,$L1082),IF($M1082&lt;&gt;"",INDEX(LdBDate,$M1082),INDEX(LdCDate,$N1082))))</f>
        <v/>
      </c>
      <c r="C1082" s="20">
        <f>IF($L1082&lt;&gt;"","دستمزد (فردی)",IF($M1082&lt;&gt;"","سهم از گروه "&amp;IFERROR(VLOOKUP(INDEX(LdBGroup,$M1082),WGTbl,2,0),INDEX(LdBGroup,$M1082)),IF($N1082&lt;&gt;"",IF(N(INDEX(LdCDep,$N1082))&gt;0,"بازگشت بانکی","پرداخت بانکی"),"")))</f>
        <v/>
      </c>
      <c r="D1082" s="20">
        <f>IF($L1082&lt;&gt;"",IF(INDEX(LdAId,$L1082)="","—",INDEX(LdAId,$L1082)),IF($M1082&lt;&gt;"",IF(INDEX(LdBId,$M1082)="","—",INDEX(LdBId,$M1082)),IF($N1082&lt;&gt;"",IF(INDEX(LdCBank,$N1082)="","—",INDEX(LdCBank,$N1082)),"")))</f>
        <v/>
      </c>
      <c r="E1082" s="21">
        <f>IF($L1082&lt;&gt;"",IF(INDEX(LdAAmt,$L1082)=0,"",INDEX(LdAAmt,$L1082)),IF($M1082&lt;&gt;"",IF(INDEX(LdBAmt,$M1082)=0,"",INDEX(LdBAmt,$M1082)),IF($N1082&lt;&gt;"",IF(INDEX(LdCDep,$N1082)=0,"",INDEX(LdCDep,$N1082)),"")))</f>
        <v/>
      </c>
      <c r="F1082" s="21">
        <f>IF(AND($L1082="",$M1082="",$N1082=""),"",IF($N1082="","",IF(INDEX(LdCWit,$N1082)=0,"",INDEX(LdCWit,$N1082))))</f>
        <v/>
      </c>
      <c r="G1082" s="31">
        <f>IF($B1082="","",IF($G1081="",0,$G1081)+IF($E1082="",0,$E1082)-IF($F1082="",0,$F1082))</f>
        <v/>
      </c>
      <c r="H1082" s="32">
        <f>IF(AND($L1082="",$M1082="",$N1082=""),"",IF($L1082&lt;&gt;"",IF(INDEX(LdANote,$L1082)="","—",INDEX(LdANote,$L1082)),IF($M1082&lt;&gt;"",IF(INDEX(LdBNote,$M1082)="","—",INDEX(LdBNote,$M1082)),IF($N1082&lt;&gt;"",IF(INDEX(LdCNote,$N1082)="","—",INDEX(LdCNote,$N1082)),""))))</f>
        <v/>
      </c>
      <c r="L1082">
        <f>IFERROR(MATCH($C$5&amp;"|"&amp;RIGHT("000000"&amp;1066,6),LdAKeyM,0),"")</f>
        <v/>
      </c>
      <c r="M1082">
        <f>IFERROR(MATCH($C$5&amp;"|"&amp;RIGHT("000000"&amp;1066,6),LdBKeyM,0),"")</f>
        <v/>
      </c>
      <c r="N1082">
        <f>IFERROR(MATCH($C$5&amp;"|"&amp;RIGHT("000000"&amp;1066,6),LdCKeyM,0),"")</f>
        <v/>
      </c>
    </row>
    <row r="1083">
      <c r="A1083" s="10" t="n">
        <v>1067</v>
      </c>
      <c r="B1083" s="14">
        <f>IF(AND($L1083="",$M1083="",$N1083=""),"",IF($L1083&lt;&gt;"",INDEX(LdADate,$L1083),IF($M1083&lt;&gt;"",INDEX(LdBDate,$M1083),INDEX(LdCDate,$N1083))))</f>
        <v/>
      </c>
      <c r="C1083" s="14">
        <f>IF($L1083&lt;&gt;"","دستمزد (فردی)",IF($M1083&lt;&gt;"","سهم از گروه "&amp;IFERROR(VLOOKUP(INDEX(LdBGroup,$M1083),WGTbl,2,0),INDEX(LdBGroup,$M1083)),IF($N1083&lt;&gt;"",IF(N(INDEX(LdCDep,$N1083))&gt;0,"بازگشت بانکی","پرداخت بانکی"),"")))</f>
        <v/>
      </c>
      <c r="D1083" s="14">
        <f>IF($L1083&lt;&gt;"",IF(INDEX(LdAId,$L1083)="","—",INDEX(LdAId,$L1083)),IF($M1083&lt;&gt;"",IF(INDEX(LdBId,$M1083)="","—",INDEX(LdBId,$M1083)),IF($N1083&lt;&gt;"",IF(INDEX(LdCBank,$N1083)="","—",INDEX(LdCBank,$N1083)),"")))</f>
        <v/>
      </c>
      <c r="E1083" s="16">
        <f>IF($L1083&lt;&gt;"",IF(INDEX(LdAAmt,$L1083)=0,"",INDEX(LdAAmt,$L1083)),IF($M1083&lt;&gt;"",IF(INDEX(LdBAmt,$M1083)=0,"",INDEX(LdBAmt,$M1083)),IF($N1083&lt;&gt;"",IF(INDEX(LdCDep,$N1083)=0,"",INDEX(LdCDep,$N1083)),"")))</f>
        <v/>
      </c>
      <c r="F1083" s="16">
        <f>IF(AND($L1083="",$M1083="",$N1083=""),"",IF($N1083="","",IF(INDEX(LdCWit,$N1083)=0,"",INDEX(LdCWit,$N1083))))</f>
        <v/>
      </c>
      <c r="G1083" s="29">
        <f>IF($B1083="","",IF($G1082="",0,$G1082)+IF($E1083="",0,$E1083)-IF($F1083="",0,$F1083))</f>
        <v/>
      </c>
      <c r="H1083" s="30">
        <f>IF(AND($L1083="",$M1083="",$N1083=""),"",IF($L1083&lt;&gt;"",IF(INDEX(LdANote,$L1083)="","—",INDEX(LdANote,$L1083)),IF($M1083&lt;&gt;"",IF(INDEX(LdBNote,$M1083)="","—",INDEX(LdBNote,$M1083)),IF($N1083&lt;&gt;"",IF(INDEX(LdCNote,$N1083)="","—",INDEX(LdCNote,$N1083)),""))))</f>
        <v/>
      </c>
      <c r="L1083">
        <f>IFERROR(MATCH($C$5&amp;"|"&amp;RIGHT("000000"&amp;1067,6),LdAKeyM,0),"")</f>
        <v/>
      </c>
      <c r="M1083">
        <f>IFERROR(MATCH($C$5&amp;"|"&amp;RIGHT("000000"&amp;1067,6),LdBKeyM,0),"")</f>
        <v/>
      </c>
      <c r="N1083">
        <f>IFERROR(MATCH($C$5&amp;"|"&amp;RIGHT("000000"&amp;1067,6),LdCKeyM,0),"")</f>
        <v/>
      </c>
    </row>
    <row r="1084">
      <c r="A1084" s="19" t="n">
        <v>1068</v>
      </c>
      <c r="B1084" s="20">
        <f>IF(AND($L1084="",$M1084="",$N1084=""),"",IF($L1084&lt;&gt;"",INDEX(LdADate,$L1084),IF($M1084&lt;&gt;"",INDEX(LdBDate,$M1084),INDEX(LdCDate,$N1084))))</f>
        <v/>
      </c>
      <c r="C1084" s="20">
        <f>IF($L1084&lt;&gt;"","دستمزد (فردی)",IF($M1084&lt;&gt;"","سهم از گروه "&amp;IFERROR(VLOOKUP(INDEX(LdBGroup,$M1084),WGTbl,2,0),INDEX(LdBGroup,$M1084)),IF($N1084&lt;&gt;"",IF(N(INDEX(LdCDep,$N1084))&gt;0,"بازگشت بانکی","پرداخت بانکی"),"")))</f>
        <v/>
      </c>
      <c r="D1084" s="20">
        <f>IF($L1084&lt;&gt;"",IF(INDEX(LdAId,$L1084)="","—",INDEX(LdAId,$L1084)),IF($M1084&lt;&gt;"",IF(INDEX(LdBId,$M1084)="","—",INDEX(LdBId,$M1084)),IF($N1084&lt;&gt;"",IF(INDEX(LdCBank,$N1084)="","—",INDEX(LdCBank,$N1084)),"")))</f>
        <v/>
      </c>
      <c r="E1084" s="21">
        <f>IF($L1084&lt;&gt;"",IF(INDEX(LdAAmt,$L1084)=0,"",INDEX(LdAAmt,$L1084)),IF($M1084&lt;&gt;"",IF(INDEX(LdBAmt,$M1084)=0,"",INDEX(LdBAmt,$M1084)),IF($N1084&lt;&gt;"",IF(INDEX(LdCDep,$N1084)=0,"",INDEX(LdCDep,$N1084)),"")))</f>
        <v/>
      </c>
      <c r="F1084" s="21">
        <f>IF(AND($L1084="",$M1084="",$N1084=""),"",IF($N1084="","",IF(INDEX(LdCWit,$N1084)=0,"",INDEX(LdCWit,$N1084))))</f>
        <v/>
      </c>
      <c r="G1084" s="31">
        <f>IF($B1084="","",IF($G1083="",0,$G1083)+IF($E1084="",0,$E1084)-IF($F1084="",0,$F1084))</f>
        <v/>
      </c>
      <c r="H1084" s="32">
        <f>IF(AND($L1084="",$M1084="",$N1084=""),"",IF($L1084&lt;&gt;"",IF(INDEX(LdANote,$L1084)="","—",INDEX(LdANote,$L1084)),IF($M1084&lt;&gt;"",IF(INDEX(LdBNote,$M1084)="","—",INDEX(LdBNote,$M1084)),IF($N1084&lt;&gt;"",IF(INDEX(LdCNote,$N1084)="","—",INDEX(LdCNote,$N1084)),""))))</f>
        <v/>
      </c>
      <c r="L1084">
        <f>IFERROR(MATCH($C$5&amp;"|"&amp;RIGHT("000000"&amp;1068,6),LdAKeyM,0),"")</f>
        <v/>
      </c>
      <c r="M1084">
        <f>IFERROR(MATCH($C$5&amp;"|"&amp;RIGHT("000000"&amp;1068,6),LdBKeyM,0),"")</f>
        <v/>
      </c>
      <c r="N1084">
        <f>IFERROR(MATCH($C$5&amp;"|"&amp;RIGHT("000000"&amp;1068,6),LdCKeyM,0),"")</f>
        <v/>
      </c>
    </row>
    <row r="1085">
      <c r="A1085" s="10" t="n">
        <v>1069</v>
      </c>
      <c r="B1085" s="14">
        <f>IF(AND($L1085="",$M1085="",$N1085=""),"",IF($L1085&lt;&gt;"",INDEX(LdADate,$L1085),IF($M1085&lt;&gt;"",INDEX(LdBDate,$M1085),INDEX(LdCDate,$N1085))))</f>
        <v/>
      </c>
      <c r="C1085" s="14">
        <f>IF($L1085&lt;&gt;"","دستمزد (فردی)",IF($M1085&lt;&gt;"","سهم از گروه "&amp;IFERROR(VLOOKUP(INDEX(LdBGroup,$M1085),WGTbl,2,0),INDEX(LdBGroup,$M1085)),IF($N1085&lt;&gt;"",IF(N(INDEX(LdCDep,$N1085))&gt;0,"بازگشت بانکی","پرداخت بانکی"),"")))</f>
        <v/>
      </c>
      <c r="D1085" s="14">
        <f>IF($L1085&lt;&gt;"",IF(INDEX(LdAId,$L1085)="","—",INDEX(LdAId,$L1085)),IF($M1085&lt;&gt;"",IF(INDEX(LdBId,$M1085)="","—",INDEX(LdBId,$M1085)),IF($N1085&lt;&gt;"",IF(INDEX(LdCBank,$N1085)="","—",INDEX(LdCBank,$N1085)),"")))</f>
        <v/>
      </c>
      <c r="E1085" s="16">
        <f>IF($L1085&lt;&gt;"",IF(INDEX(LdAAmt,$L1085)=0,"",INDEX(LdAAmt,$L1085)),IF($M1085&lt;&gt;"",IF(INDEX(LdBAmt,$M1085)=0,"",INDEX(LdBAmt,$M1085)),IF($N1085&lt;&gt;"",IF(INDEX(LdCDep,$N1085)=0,"",INDEX(LdCDep,$N1085)),"")))</f>
        <v/>
      </c>
      <c r="F1085" s="16">
        <f>IF(AND($L1085="",$M1085="",$N1085=""),"",IF($N1085="","",IF(INDEX(LdCWit,$N1085)=0,"",INDEX(LdCWit,$N1085))))</f>
        <v/>
      </c>
      <c r="G1085" s="29">
        <f>IF($B1085="","",IF($G1084="",0,$G1084)+IF($E1085="",0,$E1085)-IF($F1085="",0,$F1085))</f>
        <v/>
      </c>
      <c r="H1085" s="30">
        <f>IF(AND($L1085="",$M1085="",$N1085=""),"",IF($L1085&lt;&gt;"",IF(INDEX(LdANote,$L1085)="","—",INDEX(LdANote,$L1085)),IF($M1085&lt;&gt;"",IF(INDEX(LdBNote,$M1085)="","—",INDEX(LdBNote,$M1085)),IF($N1085&lt;&gt;"",IF(INDEX(LdCNote,$N1085)="","—",INDEX(LdCNote,$N1085)),""))))</f>
        <v/>
      </c>
      <c r="L1085">
        <f>IFERROR(MATCH($C$5&amp;"|"&amp;RIGHT("000000"&amp;1069,6),LdAKeyM,0),"")</f>
        <v/>
      </c>
      <c r="M1085">
        <f>IFERROR(MATCH($C$5&amp;"|"&amp;RIGHT("000000"&amp;1069,6),LdBKeyM,0),"")</f>
        <v/>
      </c>
      <c r="N1085">
        <f>IFERROR(MATCH($C$5&amp;"|"&amp;RIGHT("000000"&amp;1069,6),LdCKeyM,0),"")</f>
        <v/>
      </c>
    </row>
    <row r="1086">
      <c r="A1086" s="19" t="n">
        <v>1070</v>
      </c>
      <c r="B1086" s="20">
        <f>IF(AND($L1086="",$M1086="",$N1086=""),"",IF($L1086&lt;&gt;"",INDEX(LdADate,$L1086),IF($M1086&lt;&gt;"",INDEX(LdBDate,$M1086),INDEX(LdCDate,$N1086))))</f>
        <v/>
      </c>
      <c r="C1086" s="20">
        <f>IF($L1086&lt;&gt;"","دستمزد (فردی)",IF($M1086&lt;&gt;"","سهم از گروه "&amp;IFERROR(VLOOKUP(INDEX(LdBGroup,$M1086),WGTbl,2,0),INDEX(LdBGroup,$M1086)),IF($N1086&lt;&gt;"",IF(N(INDEX(LdCDep,$N1086))&gt;0,"بازگشت بانکی","پرداخت بانکی"),"")))</f>
        <v/>
      </c>
      <c r="D1086" s="20">
        <f>IF($L1086&lt;&gt;"",IF(INDEX(LdAId,$L1086)="","—",INDEX(LdAId,$L1086)),IF($M1086&lt;&gt;"",IF(INDEX(LdBId,$M1086)="","—",INDEX(LdBId,$M1086)),IF($N1086&lt;&gt;"",IF(INDEX(LdCBank,$N1086)="","—",INDEX(LdCBank,$N1086)),"")))</f>
        <v/>
      </c>
      <c r="E1086" s="21">
        <f>IF($L1086&lt;&gt;"",IF(INDEX(LdAAmt,$L1086)=0,"",INDEX(LdAAmt,$L1086)),IF($M1086&lt;&gt;"",IF(INDEX(LdBAmt,$M1086)=0,"",INDEX(LdBAmt,$M1086)),IF($N1086&lt;&gt;"",IF(INDEX(LdCDep,$N1086)=0,"",INDEX(LdCDep,$N1086)),"")))</f>
        <v/>
      </c>
      <c r="F1086" s="21">
        <f>IF(AND($L1086="",$M1086="",$N1086=""),"",IF($N1086="","",IF(INDEX(LdCWit,$N1086)=0,"",INDEX(LdCWit,$N1086))))</f>
        <v/>
      </c>
      <c r="G1086" s="31">
        <f>IF($B1086="","",IF($G1085="",0,$G1085)+IF($E1086="",0,$E1086)-IF($F1086="",0,$F1086))</f>
        <v/>
      </c>
      <c r="H1086" s="32">
        <f>IF(AND($L1086="",$M1086="",$N1086=""),"",IF($L1086&lt;&gt;"",IF(INDEX(LdANote,$L1086)="","—",INDEX(LdANote,$L1086)),IF($M1086&lt;&gt;"",IF(INDEX(LdBNote,$M1086)="","—",INDEX(LdBNote,$M1086)),IF($N1086&lt;&gt;"",IF(INDEX(LdCNote,$N1086)="","—",INDEX(LdCNote,$N1086)),""))))</f>
        <v/>
      </c>
      <c r="L1086">
        <f>IFERROR(MATCH($C$5&amp;"|"&amp;RIGHT("000000"&amp;1070,6),LdAKeyM,0),"")</f>
        <v/>
      </c>
      <c r="M1086">
        <f>IFERROR(MATCH($C$5&amp;"|"&amp;RIGHT("000000"&amp;1070,6),LdBKeyM,0),"")</f>
        <v/>
      </c>
      <c r="N1086">
        <f>IFERROR(MATCH($C$5&amp;"|"&amp;RIGHT("000000"&amp;1070,6),LdCKeyM,0),"")</f>
        <v/>
      </c>
    </row>
    <row r="1087">
      <c r="A1087" s="10" t="n">
        <v>1071</v>
      </c>
      <c r="B1087" s="14">
        <f>IF(AND($L1087="",$M1087="",$N1087=""),"",IF($L1087&lt;&gt;"",INDEX(LdADate,$L1087),IF($M1087&lt;&gt;"",INDEX(LdBDate,$M1087),INDEX(LdCDate,$N1087))))</f>
        <v/>
      </c>
      <c r="C1087" s="14">
        <f>IF($L1087&lt;&gt;"","دستمزد (فردی)",IF($M1087&lt;&gt;"","سهم از گروه "&amp;IFERROR(VLOOKUP(INDEX(LdBGroup,$M1087),WGTbl,2,0),INDEX(LdBGroup,$M1087)),IF($N1087&lt;&gt;"",IF(N(INDEX(LdCDep,$N1087))&gt;0,"بازگشت بانکی","پرداخت بانکی"),"")))</f>
        <v/>
      </c>
      <c r="D1087" s="14">
        <f>IF($L1087&lt;&gt;"",IF(INDEX(LdAId,$L1087)="","—",INDEX(LdAId,$L1087)),IF($M1087&lt;&gt;"",IF(INDEX(LdBId,$M1087)="","—",INDEX(LdBId,$M1087)),IF($N1087&lt;&gt;"",IF(INDEX(LdCBank,$N1087)="","—",INDEX(LdCBank,$N1087)),"")))</f>
        <v/>
      </c>
      <c r="E1087" s="16">
        <f>IF($L1087&lt;&gt;"",IF(INDEX(LdAAmt,$L1087)=0,"",INDEX(LdAAmt,$L1087)),IF($M1087&lt;&gt;"",IF(INDEX(LdBAmt,$M1087)=0,"",INDEX(LdBAmt,$M1087)),IF($N1087&lt;&gt;"",IF(INDEX(LdCDep,$N1087)=0,"",INDEX(LdCDep,$N1087)),"")))</f>
        <v/>
      </c>
      <c r="F1087" s="16">
        <f>IF(AND($L1087="",$M1087="",$N1087=""),"",IF($N1087="","",IF(INDEX(LdCWit,$N1087)=0,"",INDEX(LdCWit,$N1087))))</f>
        <v/>
      </c>
      <c r="G1087" s="29">
        <f>IF($B1087="","",IF($G1086="",0,$G1086)+IF($E1087="",0,$E1087)-IF($F1087="",0,$F1087))</f>
        <v/>
      </c>
      <c r="H1087" s="30">
        <f>IF(AND($L1087="",$M1087="",$N1087=""),"",IF($L1087&lt;&gt;"",IF(INDEX(LdANote,$L1087)="","—",INDEX(LdANote,$L1087)),IF($M1087&lt;&gt;"",IF(INDEX(LdBNote,$M1087)="","—",INDEX(LdBNote,$M1087)),IF($N1087&lt;&gt;"",IF(INDEX(LdCNote,$N1087)="","—",INDEX(LdCNote,$N1087)),""))))</f>
        <v/>
      </c>
      <c r="L1087">
        <f>IFERROR(MATCH($C$5&amp;"|"&amp;RIGHT("000000"&amp;1071,6),LdAKeyM,0),"")</f>
        <v/>
      </c>
      <c r="M1087">
        <f>IFERROR(MATCH($C$5&amp;"|"&amp;RIGHT("000000"&amp;1071,6),LdBKeyM,0),"")</f>
        <v/>
      </c>
      <c r="N1087">
        <f>IFERROR(MATCH($C$5&amp;"|"&amp;RIGHT("000000"&amp;1071,6),LdCKeyM,0),"")</f>
        <v/>
      </c>
    </row>
    <row r="1088">
      <c r="A1088" s="19" t="n">
        <v>1072</v>
      </c>
      <c r="B1088" s="20">
        <f>IF(AND($L1088="",$M1088="",$N1088=""),"",IF($L1088&lt;&gt;"",INDEX(LdADate,$L1088),IF($M1088&lt;&gt;"",INDEX(LdBDate,$M1088),INDEX(LdCDate,$N1088))))</f>
        <v/>
      </c>
      <c r="C1088" s="20">
        <f>IF($L1088&lt;&gt;"","دستمزد (فردی)",IF($M1088&lt;&gt;"","سهم از گروه "&amp;IFERROR(VLOOKUP(INDEX(LdBGroup,$M1088),WGTbl,2,0),INDEX(LdBGroup,$M1088)),IF($N1088&lt;&gt;"",IF(N(INDEX(LdCDep,$N1088))&gt;0,"بازگشت بانکی","پرداخت بانکی"),"")))</f>
        <v/>
      </c>
      <c r="D1088" s="20">
        <f>IF($L1088&lt;&gt;"",IF(INDEX(LdAId,$L1088)="","—",INDEX(LdAId,$L1088)),IF($M1088&lt;&gt;"",IF(INDEX(LdBId,$M1088)="","—",INDEX(LdBId,$M1088)),IF($N1088&lt;&gt;"",IF(INDEX(LdCBank,$N1088)="","—",INDEX(LdCBank,$N1088)),"")))</f>
        <v/>
      </c>
      <c r="E1088" s="21">
        <f>IF($L1088&lt;&gt;"",IF(INDEX(LdAAmt,$L1088)=0,"",INDEX(LdAAmt,$L1088)),IF($M1088&lt;&gt;"",IF(INDEX(LdBAmt,$M1088)=0,"",INDEX(LdBAmt,$M1088)),IF($N1088&lt;&gt;"",IF(INDEX(LdCDep,$N1088)=0,"",INDEX(LdCDep,$N1088)),"")))</f>
        <v/>
      </c>
      <c r="F1088" s="21">
        <f>IF(AND($L1088="",$M1088="",$N1088=""),"",IF($N1088="","",IF(INDEX(LdCWit,$N1088)=0,"",INDEX(LdCWit,$N1088))))</f>
        <v/>
      </c>
      <c r="G1088" s="31">
        <f>IF($B1088="","",IF($G1087="",0,$G1087)+IF($E1088="",0,$E1088)-IF($F1088="",0,$F1088))</f>
        <v/>
      </c>
      <c r="H1088" s="32">
        <f>IF(AND($L1088="",$M1088="",$N1088=""),"",IF($L1088&lt;&gt;"",IF(INDEX(LdANote,$L1088)="","—",INDEX(LdANote,$L1088)),IF($M1088&lt;&gt;"",IF(INDEX(LdBNote,$M1088)="","—",INDEX(LdBNote,$M1088)),IF($N1088&lt;&gt;"",IF(INDEX(LdCNote,$N1088)="","—",INDEX(LdCNote,$N1088)),""))))</f>
        <v/>
      </c>
      <c r="L1088">
        <f>IFERROR(MATCH($C$5&amp;"|"&amp;RIGHT("000000"&amp;1072,6),LdAKeyM,0),"")</f>
        <v/>
      </c>
      <c r="M1088">
        <f>IFERROR(MATCH($C$5&amp;"|"&amp;RIGHT("000000"&amp;1072,6),LdBKeyM,0),"")</f>
        <v/>
      </c>
      <c r="N1088">
        <f>IFERROR(MATCH($C$5&amp;"|"&amp;RIGHT("000000"&amp;1072,6),LdCKeyM,0),"")</f>
        <v/>
      </c>
    </row>
    <row r="1089">
      <c r="A1089" s="10" t="n">
        <v>1073</v>
      </c>
      <c r="B1089" s="14">
        <f>IF(AND($L1089="",$M1089="",$N1089=""),"",IF($L1089&lt;&gt;"",INDEX(LdADate,$L1089),IF($M1089&lt;&gt;"",INDEX(LdBDate,$M1089),INDEX(LdCDate,$N1089))))</f>
        <v/>
      </c>
      <c r="C1089" s="14">
        <f>IF($L1089&lt;&gt;"","دستمزد (فردی)",IF($M1089&lt;&gt;"","سهم از گروه "&amp;IFERROR(VLOOKUP(INDEX(LdBGroup,$M1089),WGTbl,2,0),INDEX(LdBGroup,$M1089)),IF($N1089&lt;&gt;"",IF(N(INDEX(LdCDep,$N1089))&gt;0,"بازگشت بانکی","پرداخت بانکی"),"")))</f>
        <v/>
      </c>
      <c r="D1089" s="14">
        <f>IF($L1089&lt;&gt;"",IF(INDEX(LdAId,$L1089)="","—",INDEX(LdAId,$L1089)),IF($M1089&lt;&gt;"",IF(INDEX(LdBId,$M1089)="","—",INDEX(LdBId,$M1089)),IF($N1089&lt;&gt;"",IF(INDEX(LdCBank,$N1089)="","—",INDEX(LdCBank,$N1089)),"")))</f>
        <v/>
      </c>
      <c r="E1089" s="16">
        <f>IF($L1089&lt;&gt;"",IF(INDEX(LdAAmt,$L1089)=0,"",INDEX(LdAAmt,$L1089)),IF($M1089&lt;&gt;"",IF(INDEX(LdBAmt,$M1089)=0,"",INDEX(LdBAmt,$M1089)),IF($N1089&lt;&gt;"",IF(INDEX(LdCDep,$N1089)=0,"",INDEX(LdCDep,$N1089)),"")))</f>
        <v/>
      </c>
      <c r="F1089" s="16">
        <f>IF(AND($L1089="",$M1089="",$N1089=""),"",IF($N1089="","",IF(INDEX(LdCWit,$N1089)=0,"",INDEX(LdCWit,$N1089))))</f>
        <v/>
      </c>
      <c r="G1089" s="29">
        <f>IF($B1089="","",IF($G1088="",0,$G1088)+IF($E1089="",0,$E1089)-IF($F1089="",0,$F1089))</f>
        <v/>
      </c>
      <c r="H1089" s="30">
        <f>IF(AND($L1089="",$M1089="",$N1089=""),"",IF($L1089&lt;&gt;"",IF(INDEX(LdANote,$L1089)="","—",INDEX(LdANote,$L1089)),IF($M1089&lt;&gt;"",IF(INDEX(LdBNote,$M1089)="","—",INDEX(LdBNote,$M1089)),IF($N1089&lt;&gt;"",IF(INDEX(LdCNote,$N1089)="","—",INDEX(LdCNote,$N1089)),""))))</f>
        <v/>
      </c>
      <c r="L1089">
        <f>IFERROR(MATCH($C$5&amp;"|"&amp;RIGHT("000000"&amp;1073,6),LdAKeyM,0),"")</f>
        <v/>
      </c>
      <c r="M1089">
        <f>IFERROR(MATCH($C$5&amp;"|"&amp;RIGHT("000000"&amp;1073,6),LdBKeyM,0),"")</f>
        <v/>
      </c>
      <c r="N1089">
        <f>IFERROR(MATCH($C$5&amp;"|"&amp;RIGHT("000000"&amp;1073,6),LdCKeyM,0),"")</f>
        <v/>
      </c>
    </row>
    <row r="1090">
      <c r="A1090" s="19" t="n">
        <v>1074</v>
      </c>
      <c r="B1090" s="20">
        <f>IF(AND($L1090="",$M1090="",$N1090=""),"",IF($L1090&lt;&gt;"",INDEX(LdADate,$L1090),IF($M1090&lt;&gt;"",INDEX(LdBDate,$M1090),INDEX(LdCDate,$N1090))))</f>
        <v/>
      </c>
      <c r="C1090" s="20">
        <f>IF($L1090&lt;&gt;"","دستمزد (فردی)",IF($M1090&lt;&gt;"","سهم از گروه "&amp;IFERROR(VLOOKUP(INDEX(LdBGroup,$M1090),WGTbl,2,0),INDEX(LdBGroup,$M1090)),IF($N1090&lt;&gt;"",IF(N(INDEX(LdCDep,$N1090))&gt;0,"بازگشت بانکی","پرداخت بانکی"),"")))</f>
        <v/>
      </c>
      <c r="D1090" s="20">
        <f>IF($L1090&lt;&gt;"",IF(INDEX(LdAId,$L1090)="","—",INDEX(LdAId,$L1090)),IF($M1090&lt;&gt;"",IF(INDEX(LdBId,$M1090)="","—",INDEX(LdBId,$M1090)),IF($N1090&lt;&gt;"",IF(INDEX(LdCBank,$N1090)="","—",INDEX(LdCBank,$N1090)),"")))</f>
        <v/>
      </c>
      <c r="E1090" s="21">
        <f>IF($L1090&lt;&gt;"",IF(INDEX(LdAAmt,$L1090)=0,"",INDEX(LdAAmt,$L1090)),IF($M1090&lt;&gt;"",IF(INDEX(LdBAmt,$M1090)=0,"",INDEX(LdBAmt,$M1090)),IF($N1090&lt;&gt;"",IF(INDEX(LdCDep,$N1090)=0,"",INDEX(LdCDep,$N1090)),"")))</f>
        <v/>
      </c>
      <c r="F1090" s="21">
        <f>IF(AND($L1090="",$M1090="",$N1090=""),"",IF($N1090="","",IF(INDEX(LdCWit,$N1090)=0,"",INDEX(LdCWit,$N1090))))</f>
        <v/>
      </c>
      <c r="G1090" s="31">
        <f>IF($B1090="","",IF($G1089="",0,$G1089)+IF($E1090="",0,$E1090)-IF($F1090="",0,$F1090))</f>
        <v/>
      </c>
      <c r="H1090" s="32">
        <f>IF(AND($L1090="",$M1090="",$N1090=""),"",IF($L1090&lt;&gt;"",IF(INDEX(LdANote,$L1090)="","—",INDEX(LdANote,$L1090)),IF($M1090&lt;&gt;"",IF(INDEX(LdBNote,$M1090)="","—",INDEX(LdBNote,$M1090)),IF($N1090&lt;&gt;"",IF(INDEX(LdCNote,$N1090)="","—",INDEX(LdCNote,$N1090)),""))))</f>
        <v/>
      </c>
      <c r="L1090">
        <f>IFERROR(MATCH($C$5&amp;"|"&amp;RIGHT("000000"&amp;1074,6),LdAKeyM,0),"")</f>
        <v/>
      </c>
      <c r="M1090">
        <f>IFERROR(MATCH($C$5&amp;"|"&amp;RIGHT("000000"&amp;1074,6),LdBKeyM,0),"")</f>
        <v/>
      </c>
      <c r="N1090">
        <f>IFERROR(MATCH($C$5&amp;"|"&amp;RIGHT("000000"&amp;1074,6),LdCKeyM,0),"")</f>
        <v/>
      </c>
    </row>
    <row r="1091">
      <c r="A1091" s="10" t="n">
        <v>1075</v>
      </c>
      <c r="B1091" s="14">
        <f>IF(AND($L1091="",$M1091="",$N1091=""),"",IF($L1091&lt;&gt;"",INDEX(LdADate,$L1091),IF($M1091&lt;&gt;"",INDEX(LdBDate,$M1091),INDEX(LdCDate,$N1091))))</f>
        <v/>
      </c>
      <c r="C1091" s="14">
        <f>IF($L1091&lt;&gt;"","دستمزد (فردی)",IF($M1091&lt;&gt;"","سهم از گروه "&amp;IFERROR(VLOOKUP(INDEX(LdBGroup,$M1091),WGTbl,2,0),INDEX(LdBGroup,$M1091)),IF($N1091&lt;&gt;"",IF(N(INDEX(LdCDep,$N1091))&gt;0,"بازگشت بانکی","پرداخت بانکی"),"")))</f>
        <v/>
      </c>
      <c r="D1091" s="14">
        <f>IF($L1091&lt;&gt;"",IF(INDEX(LdAId,$L1091)="","—",INDEX(LdAId,$L1091)),IF($M1091&lt;&gt;"",IF(INDEX(LdBId,$M1091)="","—",INDEX(LdBId,$M1091)),IF($N1091&lt;&gt;"",IF(INDEX(LdCBank,$N1091)="","—",INDEX(LdCBank,$N1091)),"")))</f>
        <v/>
      </c>
      <c r="E1091" s="16">
        <f>IF($L1091&lt;&gt;"",IF(INDEX(LdAAmt,$L1091)=0,"",INDEX(LdAAmt,$L1091)),IF($M1091&lt;&gt;"",IF(INDEX(LdBAmt,$M1091)=0,"",INDEX(LdBAmt,$M1091)),IF($N1091&lt;&gt;"",IF(INDEX(LdCDep,$N1091)=0,"",INDEX(LdCDep,$N1091)),"")))</f>
        <v/>
      </c>
      <c r="F1091" s="16">
        <f>IF(AND($L1091="",$M1091="",$N1091=""),"",IF($N1091="","",IF(INDEX(LdCWit,$N1091)=0,"",INDEX(LdCWit,$N1091))))</f>
        <v/>
      </c>
      <c r="G1091" s="29">
        <f>IF($B1091="","",IF($G1090="",0,$G1090)+IF($E1091="",0,$E1091)-IF($F1091="",0,$F1091))</f>
        <v/>
      </c>
      <c r="H1091" s="30">
        <f>IF(AND($L1091="",$M1091="",$N1091=""),"",IF($L1091&lt;&gt;"",IF(INDEX(LdANote,$L1091)="","—",INDEX(LdANote,$L1091)),IF($M1091&lt;&gt;"",IF(INDEX(LdBNote,$M1091)="","—",INDEX(LdBNote,$M1091)),IF($N1091&lt;&gt;"",IF(INDEX(LdCNote,$N1091)="","—",INDEX(LdCNote,$N1091)),""))))</f>
        <v/>
      </c>
      <c r="L1091">
        <f>IFERROR(MATCH($C$5&amp;"|"&amp;RIGHT("000000"&amp;1075,6),LdAKeyM,0),"")</f>
        <v/>
      </c>
      <c r="M1091">
        <f>IFERROR(MATCH($C$5&amp;"|"&amp;RIGHT("000000"&amp;1075,6),LdBKeyM,0),"")</f>
        <v/>
      </c>
      <c r="N1091">
        <f>IFERROR(MATCH($C$5&amp;"|"&amp;RIGHT("000000"&amp;1075,6),LdCKeyM,0),"")</f>
        <v/>
      </c>
    </row>
    <row r="1092">
      <c r="A1092" s="19" t="n">
        <v>1076</v>
      </c>
      <c r="B1092" s="20">
        <f>IF(AND($L1092="",$M1092="",$N1092=""),"",IF($L1092&lt;&gt;"",INDEX(LdADate,$L1092),IF($M1092&lt;&gt;"",INDEX(LdBDate,$M1092),INDEX(LdCDate,$N1092))))</f>
        <v/>
      </c>
      <c r="C1092" s="20">
        <f>IF($L1092&lt;&gt;"","دستمزد (فردی)",IF($M1092&lt;&gt;"","سهم از گروه "&amp;IFERROR(VLOOKUP(INDEX(LdBGroup,$M1092),WGTbl,2,0),INDEX(LdBGroup,$M1092)),IF($N1092&lt;&gt;"",IF(N(INDEX(LdCDep,$N1092))&gt;0,"بازگشت بانکی","پرداخت بانکی"),"")))</f>
        <v/>
      </c>
      <c r="D1092" s="20">
        <f>IF($L1092&lt;&gt;"",IF(INDEX(LdAId,$L1092)="","—",INDEX(LdAId,$L1092)),IF($M1092&lt;&gt;"",IF(INDEX(LdBId,$M1092)="","—",INDEX(LdBId,$M1092)),IF($N1092&lt;&gt;"",IF(INDEX(LdCBank,$N1092)="","—",INDEX(LdCBank,$N1092)),"")))</f>
        <v/>
      </c>
      <c r="E1092" s="21">
        <f>IF($L1092&lt;&gt;"",IF(INDEX(LdAAmt,$L1092)=0,"",INDEX(LdAAmt,$L1092)),IF($M1092&lt;&gt;"",IF(INDEX(LdBAmt,$M1092)=0,"",INDEX(LdBAmt,$M1092)),IF($N1092&lt;&gt;"",IF(INDEX(LdCDep,$N1092)=0,"",INDEX(LdCDep,$N1092)),"")))</f>
        <v/>
      </c>
      <c r="F1092" s="21">
        <f>IF(AND($L1092="",$M1092="",$N1092=""),"",IF($N1092="","",IF(INDEX(LdCWit,$N1092)=0,"",INDEX(LdCWit,$N1092))))</f>
        <v/>
      </c>
      <c r="G1092" s="31">
        <f>IF($B1092="","",IF($G1091="",0,$G1091)+IF($E1092="",0,$E1092)-IF($F1092="",0,$F1092))</f>
        <v/>
      </c>
      <c r="H1092" s="32">
        <f>IF(AND($L1092="",$M1092="",$N1092=""),"",IF($L1092&lt;&gt;"",IF(INDEX(LdANote,$L1092)="","—",INDEX(LdANote,$L1092)),IF($M1092&lt;&gt;"",IF(INDEX(LdBNote,$M1092)="","—",INDEX(LdBNote,$M1092)),IF($N1092&lt;&gt;"",IF(INDEX(LdCNote,$N1092)="","—",INDEX(LdCNote,$N1092)),""))))</f>
        <v/>
      </c>
      <c r="L1092">
        <f>IFERROR(MATCH($C$5&amp;"|"&amp;RIGHT("000000"&amp;1076,6),LdAKeyM,0),"")</f>
        <v/>
      </c>
      <c r="M1092">
        <f>IFERROR(MATCH($C$5&amp;"|"&amp;RIGHT("000000"&amp;1076,6),LdBKeyM,0),"")</f>
        <v/>
      </c>
      <c r="N1092">
        <f>IFERROR(MATCH($C$5&amp;"|"&amp;RIGHT("000000"&amp;1076,6),LdCKeyM,0),"")</f>
        <v/>
      </c>
    </row>
    <row r="1093">
      <c r="A1093" s="10" t="n">
        <v>1077</v>
      </c>
      <c r="B1093" s="14">
        <f>IF(AND($L1093="",$M1093="",$N1093=""),"",IF($L1093&lt;&gt;"",INDEX(LdADate,$L1093),IF($M1093&lt;&gt;"",INDEX(LdBDate,$M1093),INDEX(LdCDate,$N1093))))</f>
        <v/>
      </c>
      <c r="C1093" s="14">
        <f>IF($L1093&lt;&gt;"","دستمزد (فردی)",IF($M1093&lt;&gt;"","سهم از گروه "&amp;IFERROR(VLOOKUP(INDEX(LdBGroup,$M1093),WGTbl,2,0),INDEX(LdBGroup,$M1093)),IF($N1093&lt;&gt;"",IF(N(INDEX(LdCDep,$N1093))&gt;0,"بازگشت بانکی","پرداخت بانکی"),"")))</f>
        <v/>
      </c>
      <c r="D1093" s="14">
        <f>IF($L1093&lt;&gt;"",IF(INDEX(LdAId,$L1093)="","—",INDEX(LdAId,$L1093)),IF($M1093&lt;&gt;"",IF(INDEX(LdBId,$M1093)="","—",INDEX(LdBId,$M1093)),IF($N1093&lt;&gt;"",IF(INDEX(LdCBank,$N1093)="","—",INDEX(LdCBank,$N1093)),"")))</f>
        <v/>
      </c>
      <c r="E1093" s="16">
        <f>IF($L1093&lt;&gt;"",IF(INDEX(LdAAmt,$L1093)=0,"",INDEX(LdAAmt,$L1093)),IF($M1093&lt;&gt;"",IF(INDEX(LdBAmt,$M1093)=0,"",INDEX(LdBAmt,$M1093)),IF($N1093&lt;&gt;"",IF(INDEX(LdCDep,$N1093)=0,"",INDEX(LdCDep,$N1093)),"")))</f>
        <v/>
      </c>
      <c r="F1093" s="16">
        <f>IF(AND($L1093="",$M1093="",$N1093=""),"",IF($N1093="","",IF(INDEX(LdCWit,$N1093)=0,"",INDEX(LdCWit,$N1093))))</f>
        <v/>
      </c>
      <c r="G1093" s="29">
        <f>IF($B1093="","",IF($G1092="",0,$G1092)+IF($E1093="",0,$E1093)-IF($F1093="",0,$F1093))</f>
        <v/>
      </c>
      <c r="H1093" s="30">
        <f>IF(AND($L1093="",$M1093="",$N1093=""),"",IF($L1093&lt;&gt;"",IF(INDEX(LdANote,$L1093)="","—",INDEX(LdANote,$L1093)),IF($M1093&lt;&gt;"",IF(INDEX(LdBNote,$M1093)="","—",INDEX(LdBNote,$M1093)),IF($N1093&lt;&gt;"",IF(INDEX(LdCNote,$N1093)="","—",INDEX(LdCNote,$N1093)),""))))</f>
        <v/>
      </c>
      <c r="L1093">
        <f>IFERROR(MATCH($C$5&amp;"|"&amp;RIGHT("000000"&amp;1077,6),LdAKeyM,0),"")</f>
        <v/>
      </c>
      <c r="M1093">
        <f>IFERROR(MATCH($C$5&amp;"|"&amp;RIGHT("000000"&amp;1077,6),LdBKeyM,0),"")</f>
        <v/>
      </c>
      <c r="N1093">
        <f>IFERROR(MATCH($C$5&amp;"|"&amp;RIGHT("000000"&amp;1077,6),LdCKeyM,0),"")</f>
        <v/>
      </c>
    </row>
    <row r="1094">
      <c r="A1094" s="19" t="n">
        <v>1078</v>
      </c>
      <c r="B1094" s="20">
        <f>IF(AND($L1094="",$M1094="",$N1094=""),"",IF($L1094&lt;&gt;"",INDEX(LdADate,$L1094),IF($M1094&lt;&gt;"",INDEX(LdBDate,$M1094),INDEX(LdCDate,$N1094))))</f>
        <v/>
      </c>
      <c r="C1094" s="20">
        <f>IF($L1094&lt;&gt;"","دستمزد (فردی)",IF($M1094&lt;&gt;"","سهم از گروه "&amp;IFERROR(VLOOKUP(INDEX(LdBGroup,$M1094),WGTbl,2,0),INDEX(LdBGroup,$M1094)),IF($N1094&lt;&gt;"",IF(N(INDEX(LdCDep,$N1094))&gt;0,"بازگشت بانکی","پرداخت بانکی"),"")))</f>
        <v/>
      </c>
      <c r="D1094" s="20">
        <f>IF($L1094&lt;&gt;"",IF(INDEX(LdAId,$L1094)="","—",INDEX(LdAId,$L1094)),IF($M1094&lt;&gt;"",IF(INDEX(LdBId,$M1094)="","—",INDEX(LdBId,$M1094)),IF($N1094&lt;&gt;"",IF(INDEX(LdCBank,$N1094)="","—",INDEX(LdCBank,$N1094)),"")))</f>
        <v/>
      </c>
      <c r="E1094" s="21">
        <f>IF($L1094&lt;&gt;"",IF(INDEX(LdAAmt,$L1094)=0,"",INDEX(LdAAmt,$L1094)),IF($M1094&lt;&gt;"",IF(INDEX(LdBAmt,$M1094)=0,"",INDEX(LdBAmt,$M1094)),IF($N1094&lt;&gt;"",IF(INDEX(LdCDep,$N1094)=0,"",INDEX(LdCDep,$N1094)),"")))</f>
        <v/>
      </c>
      <c r="F1094" s="21">
        <f>IF(AND($L1094="",$M1094="",$N1094=""),"",IF($N1094="","",IF(INDEX(LdCWit,$N1094)=0,"",INDEX(LdCWit,$N1094))))</f>
        <v/>
      </c>
      <c r="G1094" s="31">
        <f>IF($B1094="","",IF($G1093="",0,$G1093)+IF($E1094="",0,$E1094)-IF($F1094="",0,$F1094))</f>
        <v/>
      </c>
      <c r="H1094" s="32">
        <f>IF(AND($L1094="",$M1094="",$N1094=""),"",IF($L1094&lt;&gt;"",IF(INDEX(LdANote,$L1094)="","—",INDEX(LdANote,$L1094)),IF($M1094&lt;&gt;"",IF(INDEX(LdBNote,$M1094)="","—",INDEX(LdBNote,$M1094)),IF($N1094&lt;&gt;"",IF(INDEX(LdCNote,$N1094)="","—",INDEX(LdCNote,$N1094)),""))))</f>
        <v/>
      </c>
      <c r="L1094">
        <f>IFERROR(MATCH($C$5&amp;"|"&amp;RIGHT("000000"&amp;1078,6),LdAKeyM,0),"")</f>
        <v/>
      </c>
      <c r="M1094">
        <f>IFERROR(MATCH($C$5&amp;"|"&amp;RIGHT("000000"&amp;1078,6),LdBKeyM,0),"")</f>
        <v/>
      </c>
      <c r="N1094">
        <f>IFERROR(MATCH($C$5&amp;"|"&amp;RIGHT("000000"&amp;1078,6),LdCKeyM,0),"")</f>
        <v/>
      </c>
    </row>
    <row r="1095">
      <c r="A1095" s="10" t="n">
        <v>1079</v>
      </c>
      <c r="B1095" s="14">
        <f>IF(AND($L1095="",$M1095="",$N1095=""),"",IF($L1095&lt;&gt;"",INDEX(LdADate,$L1095),IF($M1095&lt;&gt;"",INDEX(LdBDate,$M1095),INDEX(LdCDate,$N1095))))</f>
        <v/>
      </c>
      <c r="C1095" s="14">
        <f>IF($L1095&lt;&gt;"","دستمزد (فردی)",IF($M1095&lt;&gt;"","سهم از گروه "&amp;IFERROR(VLOOKUP(INDEX(LdBGroup,$M1095),WGTbl,2,0),INDEX(LdBGroup,$M1095)),IF($N1095&lt;&gt;"",IF(N(INDEX(LdCDep,$N1095))&gt;0,"بازگشت بانکی","پرداخت بانکی"),"")))</f>
        <v/>
      </c>
      <c r="D1095" s="14">
        <f>IF($L1095&lt;&gt;"",IF(INDEX(LdAId,$L1095)="","—",INDEX(LdAId,$L1095)),IF($M1095&lt;&gt;"",IF(INDEX(LdBId,$M1095)="","—",INDEX(LdBId,$M1095)),IF($N1095&lt;&gt;"",IF(INDEX(LdCBank,$N1095)="","—",INDEX(LdCBank,$N1095)),"")))</f>
        <v/>
      </c>
      <c r="E1095" s="16">
        <f>IF($L1095&lt;&gt;"",IF(INDEX(LdAAmt,$L1095)=0,"",INDEX(LdAAmt,$L1095)),IF($M1095&lt;&gt;"",IF(INDEX(LdBAmt,$M1095)=0,"",INDEX(LdBAmt,$M1095)),IF($N1095&lt;&gt;"",IF(INDEX(LdCDep,$N1095)=0,"",INDEX(LdCDep,$N1095)),"")))</f>
        <v/>
      </c>
      <c r="F1095" s="16">
        <f>IF(AND($L1095="",$M1095="",$N1095=""),"",IF($N1095="","",IF(INDEX(LdCWit,$N1095)=0,"",INDEX(LdCWit,$N1095))))</f>
        <v/>
      </c>
      <c r="G1095" s="29">
        <f>IF($B1095="","",IF($G1094="",0,$G1094)+IF($E1095="",0,$E1095)-IF($F1095="",0,$F1095))</f>
        <v/>
      </c>
      <c r="H1095" s="30">
        <f>IF(AND($L1095="",$M1095="",$N1095=""),"",IF($L1095&lt;&gt;"",IF(INDEX(LdANote,$L1095)="","—",INDEX(LdANote,$L1095)),IF($M1095&lt;&gt;"",IF(INDEX(LdBNote,$M1095)="","—",INDEX(LdBNote,$M1095)),IF($N1095&lt;&gt;"",IF(INDEX(LdCNote,$N1095)="","—",INDEX(LdCNote,$N1095)),""))))</f>
        <v/>
      </c>
      <c r="L1095">
        <f>IFERROR(MATCH($C$5&amp;"|"&amp;RIGHT("000000"&amp;1079,6),LdAKeyM,0),"")</f>
        <v/>
      </c>
      <c r="M1095">
        <f>IFERROR(MATCH($C$5&amp;"|"&amp;RIGHT("000000"&amp;1079,6),LdBKeyM,0),"")</f>
        <v/>
      </c>
      <c r="N1095">
        <f>IFERROR(MATCH($C$5&amp;"|"&amp;RIGHT("000000"&amp;1079,6),LdCKeyM,0),"")</f>
        <v/>
      </c>
    </row>
    <row r="1096">
      <c r="A1096" s="19" t="n">
        <v>1080</v>
      </c>
      <c r="B1096" s="20">
        <f>IF(AND($L1096="",$M1096="",$N1096=""),"",IF($L1096&lt;&gt;"",INDEX(LdADate,$L1096),IF($M1096&lt;&gt;"",INDEX(LdBDate,$M1096),INDEX(LdCDate,$N1096))))</f>
        <v/>
      </c>
      <c r="C1096" s="20">
        <f>IF($L1096&lt;&gt;"","دستمزد (فردی)",IF($M1096&lt;&gt;"","سهم از گروه "&amp;IFERROR(VLOOKUP(INDEX(LdBGroup,$M1096),WGTbl,2,0),INDEX(LdBGroup,$M1096)),IF($N1096&lt;&gt;"",IF(N(INDEX(LdCDep,$N1096))&gt;0,"بازگشت بانکی","پرداخت بانکی"),"")))</f>
        <v/>
      </c>
      <c r="D1096" s="20">
        <f>IF($L1096&lt;&gt;"",IF(INDEX(LdAId,$L1096)="","—",INDEX(LdAId,$L1096)),IF($M1096&lt;&gt;"",IF(INDEX(LdBId,$M1096)="","—",INDEX(LdBId,$M1096)),IF($N1096&lt;&gt;"",IF(INDEX(LdCBank,$N1096)="","—",INDEX(LdCBank,$N1096)),"")))</f>
        <v/>
      </c>
      <c r="E1096" s="21">
        <f>IF($L1096&lt;&gt;"",IF(INDEX(LdAAmt,$L1096)=0,"",INDEX(LdAAmt,$L1096)),IF($M1096&lt;&gt;"",IF(INDEX(LdBAmt,$M1096)=0,"",INDEX(LdBAmt,$M1096)),IF($N1096&lt;&gt;"",IF(INDEX(LdCDep,$N1096)=0,"",INDEX(LdCDep,$N1096)),"")))</f>
        <v/>
      </c>
      <c r="F1096" s="21">
        <f>IF(AND($L1096="",$M1096="",$N1096=""),"",IF($N1096="","",IF(INDEX(LdCWit,$N1096)=0,"",INDEX(LdCWit,$N1096))))</f>
        <v/>
      </c>
      <c r="G1096" s="31">
        <f>IF($B1096="","",IF($G1095="",0,$G1095)+IF($E1096="",0,$E1096)-IF($F1096="",0,$F1096))</f>
        <v/>
      </c>
      <c r="H1096" s="32">
        <f>IF(AND($L1096="",$M1096="",$N1096=""),"",IF($L1096&lt;&gt;"",IF(INDEX(LdANote,$L1096)="","—",INDEX(LdANote,$L1096)),IF($M1096&lt;&gt;"",IF(INDEX(LdBNote,$M1096)="","—",INDEX(LdBNote,$M1096)),IF($N1096&lt;&gt;"",IF(INDEX(LdCNote,$N1096)="","—",INDEX(LdCNote,$N1096)),""))))</f>
        <v/>
      </c>
      <c r="L1096">
        <f>IFERROR(MATCH($C$5&amp;"|"&amp;RIGHT("000000"&amp;1080,6),LdAKeyM,0),"")</f>
        <v/>
      </c>
      <c r="M1096">
        <f>IFERROR(MATCH($C$5&amp;"|"&amp;RIGHT("000000"&amp;1080,6),LdBKeyM,0),"")</f>
        <v/>
      </c>
      <c r="N1096">
        <f>IFERROR(MATCH($C$5&amp;"|"&amp;RIGHT("000000"&amp;1080,6),LdCKeyM,0),"")</f>
        <v/>
      </c>
    </row>
    <row r="1097">
      <c r="A1097" s="10" t="n">
        <v>1081</v>
      </c>
      <c r="B1097" s="14">
        <f>IF(AND($L1097="",$M1097="",$N1097=""),"",IF($L1097&lt;&gt;"",INDEX(LdADate,$L1097),IF($M1097&lt;&gt;"",INDEX(LdBDate,$M1097),INDEX(LdCDate,$N1097))))</f>
        <v/>
      </c>
      <c r="C1097" s="14">
        <f>IF($L1097&lt;&gt;"","دستمزد (فردی)",IF($M1097&lt;&gt;"","سهم از گروه "&amp;IFERROR(VLOOKUP(INDEX(LdBGroup,$M1097),WGTbl,2,0),INDEX(LdBGroup,$M1097)),IF($N1097&lt;&gt;"",IF(N(INDEX(LdCDep,$N1097))&gt;0,"بازگشت بانکی","پرداخت بانکی"),"")))</f>
        <v/>
      </c>
      <c r="D1097" s="14">
        <f>IF($L1097&lt;&gt;"",IF(INDEX(LdAId,$L1097)="","—",INDEX(LdAId,$L1097)),IF($M1097&lt;&gt;"",IF(INDEX(LdBId,$M1097)="","—",INDEX(LdBId,$M1097)),IF($N1097&lt;&gt;"",IF(INDEX(LdCBank,$N1097)="","—",INDEX(LdCBank,$N1097)),"")))</f>
        <v/>
      </c>
      <c r="E1097" s="16">
        <f>IF($L1097&lt;&gt;"",IF(INDEX(LdAAmt,$L1097)=0,"",INDEX(LdAAmt,$L1097)),IF($M1097&lt;&gt;"",IF(INDEX(LdBAmt,$M1097)=0,"",INDEX(LdBAmt,$M1097)),IF($N1097&lt;&gt;"",IF(INDEX(LdCDep,$N1097)=0,"",INDEX(LdCDep,$N1097)),"")))</f>
        <v/>
      </c>
      <c r="F1097" s="16">
        <f>IF(AND($L1097="",$M1097="",$N1097=""),"",IF($N1097="","",IF(INDEX(LdCWit,$N1097)=0,"",INDEX(LdCWit,$N1097))))</f>
        <v/>
      </c>
      <c r="G1097" s="29">
        <f>IF($B1097="","",IF($G1096="",0,$G1096)+IF($E1097="",0,$E1097)-IF($F1097="",0,$F1097))</f>
        <v/>
      </c>
      <c r="H1097" s="30">
        <f>IF(AND($L1097="",$M1097="",$N1097=""),"",IF($L1097&lt;&gt;"",IF(INDEX(LdANote,$L1097)="","—",INDEX(LdANote,$L1097)),IF($M1097&lt;&gt;"",IF(INDEX(LdBNote,$M1097)="","—",INDEX(LdBNote,$M1097)),IF($N1097&lt;&gt;"",IF(INDEX(LdCNote,$N1097)="","—",INDEX(LdCNote,$N1097)),""))))</f>
        <v/>
      </c>
      <c r="L1097">
        <f>IFERROR(MATCH($C$5&amp;"|"&amp;RIGHT("000000"&amp;1081,6),LdAKeyM,0),"")</f>
        <v/>
      </c>
      <c r="M1097">
        <f>IFERROR(MATCH($C$5&amp;"|"&amp;RIGHT("000000"&amp;1081,6),LdBKeyM,0),"")</f>
        <v/>
      </c>
      <c r="N1097">
        <f>IFERROR(MATCH($C$5&amp;"|"&amp;RIGHT("000000"&amp;1081,6),LdCKeyM,0),"")</f>
        <v/>
      </c>
    </row>
    <row r="1098">
      <c r="A1098" s="19" t="n">
        <v>1082</v>
      </c>
      <c r="B1098" s="20">
        <f>IF(AND($L1098="",$M1098="",$N1098=""),"",IF($L1098&lt;&gt;"",INDEX(LdADate,$L1098),IF($M1098&lt;&gt;"",INDEX(LdBDate,$M1098),INDEX(LdCDate,$N1098))))</f>
        <v/>
      </c>
      <c r="C1098" s="20">
        <f>IF($L1098&lt;&gt;"","دستمزد (فردی)",IF($M1098&lt;&gt;"","سهم از گروه "&amp;IFERROR(VLOOKUP(INDEX(LdBGroup,$M1098),WGTbl,2,0),INDEX(LdBGroup,$M1098)),IF($N1098&lt;&gt;"",IF(N(INDEX(LdCDep,$N1098))&gt;0,"بازگشت بانکی","پرداخت بانکی"),"")))</f>
        <v/>
      </c>
      <c r="D1098" s="20">
        <f>IF($L1098&lt;&gt;"",IF(INDEX(LdAId,$L1098)="","—",INDEX(LdAId,$L1098)),IF($M1098&lt;&gt;"",IF(INDEX(LdBId,$M1098)="","—",INDEX(LdBId,$M1098)),IF($N1098&lt;&gt;"",IF(INDEX(LdCBank,$N1098)="","—",INDEX(LdCBank,$N1098)),"")))</f>
        <v/>
      </c>
      <c r="E1098" s="21">
        <f>IF($L1098&lt;&gt;"",IF(INDEX(LdAAmt,$L1098)=0,"",INDEX(LdAAmt,$L1098)),IF($M1098&lt;&gt;"",IF(INDEX(LdBAmt,$M1098)=0,"",INDEX(LdBAmt,$M1098)),IF($N1098&lt;&gt;"",IF(INDEX(LdCDep,$N1098)=0,"",INDEX(LdCDep,$N1098)),"")))</f>
        <v/>
      </c>
      <c r="F1098" s="21">
        <f>IF(AND($L1098="",$M1098="",$N1098=""),"",IF($N1098="","",IF(INDEX(LdCWit,$N1098)=0,"",INDEX(LdCWit,$N1098))))</f>
        <v/>
      </c>
      <c r="G1098" s="31">
        <f>IF($B1098="","",IF($G1097="",0,$G1097)+IF($E1098="",0,$E1098)-IF($F1098="",0,$F1098))</f>
        <v/>
      </c>
      <c r="H1098" s="32">
        <f>IF(AND($L1098="",$M1098="",$N1098=""),"",IF($L1098&lt;&gt;"",IF(INDEX(LdANote,$L1098)="","—",INDEX(LdANote,$L1098)),IF($M1098&lt;&gt;"",IF(INDEX(LdBNote,$M1098)="","—",INDEX(LdBNote,$M1098)),IF($N1098&lt;&gt;"",IF(INDEX(LdCNote,$N1098)="","—",INDEX(LdCNote,$N1098)),""))))</f>
        <v/>
      </c>
      <c r="L1098">
        <f>IFERROR(MATCH($C$5&amp;"|"&amp;RIGHT("000000"&amp;1082,6),LdAKeyM,0),"")</f>
        <v/>
      </c>
      <c r="M1098">
        <f>IFERROR(MATCH($C$5&amp;"|"&amp;RIGHT("000000"&amp;1082,6),LdBKeyM,0),"")</f>
        <v/>
      </c>
      <c r="N1098">
        <f>IFERROR(MATCH($C$5&amp;"|"&amp;RIGHT("000000"&amp;1082,6),LdCKeyM,0),"")</f>
        <v/>
      </c>
    </row>
    <row r="1099">
      <c r="A1099" s="10" t="n">
        <v>1083</v>
      </c>
      <c r="B1099" s="14">
        <f>IF(AND($L1099="",$M1099="",$N1099=""),"",IF($L1099&lt;&gt;"",INDEX(LdADate,$L1099),IF($M1099&lt;&gt;"",INDEX(LdBDate,$M1099),INDEX(LdCDate,$N1099))))</f>
        <v/>
      </c>
      <c r="C1099" s="14">
        <f>IF($L1099&lt;&gt;"","دستمزد (فردی)",IF($M1099&lt;&gt;"","سهم از گروه "&amp;IFERROR(VLOOKUP(INDEX(LdBGroup,$M1099),WGTbl,2,0),INDEX(LdBGroup,$M1099)),IF($N1099&lt;&gt;"",IF(N(INDEX(LdCDep,$N1099))&gt;0,"بازگشت بانکی","پرداخت بانکی"),"")))</f>
        <v/>
      </c>
      <c r="D1099" s="14">
        <f>IF($L1099&lt;&gt;"",IF(INDEX(LdAId,$L1099)="","—",INDEX(LdAId,$L1099)),IF($M1099&lt;&gt;"",IF(INDEX(LdBId,$M1099)="","—",INDEX(LdBId,$M1099)),IF($N1099&lt;&gt;"",IF(INDEX(LdCBank,$N1099)="","—",INDEX(LdCBank,$N1099)),"")))</f>
        <v/>
      </c>
      <c r="E1099" s="16">
        <f>IF($L1099&lt;&gt;"",IF(INDEX(LdAAmt,$L1099)=0,"",INDEX(LdAAmt,$L1099)),IF($M1099&lt;&gt;"",IF(INDEX(LdBAmt,$M1099)=0,"",INDEX(LdBAmt,$M1099)),IF($N1099&lt;&gt;"",IF(INDEX(LdCDep,$N1099)=0,"",INDEX(LdCDep,$N1099)),"")))</f>
        <v/>
      </c>
      <c r="F1099" s="16">
        <f>IF(AND($L1099="",$M1099="",$N1099=""),"",IF($N1099="","",IF(INDEX(LdCWit,$N1099)=0,"",INDEX(LdCWit,$N1099))))</f>
        <v/>
      </c>
      <c r="G1099" s="29">
        <f>IF($B1099="","",IF($G1098="",0,$G1098)+IF($E1099="",0,$E1099)-IF($F1099="",0,$F1099))</f>
        <v/>
      </c>
      <c r="H1099" s="30">
        <f>IF(AND($L1099="",$M1099="",$N1099=""),"",IF($L1099&lt;&gt;"",IF(INDEX(LdANote,$L1099)="","—",INDEX(LdANote,$L1099)),IF($M1099&lt;&gt;"",IF(INDEX(LdBNote,$M1099)="","—",INDEX(LdBNote,$M1099)),IF($N1099&lt;&gt;"",IF(INDEX(LdCNote,$N1099)="","—",INDEX(LdCNote,$N1099)),""))))</f>
        <v/>
      </c>
      <c r="L1099">
        <f>IFERROR(MATCH($C$5&amp;"|"&amp;RIGHT("000000"&amp;1083,6),LdAKeyM,0),"")</f>
        <v/>
      </c>
      <c r="M1099">
        <f>IFERROR(MATCH($C$5&amp;"|"&amp;RIGHT("000000"&amp;1083,6),LdBKeyM,0),"")</f>
        <v/>
      </c>
      <c r="N1099">
        <f>IFERROR(MATCH($C$5&amp;"|"&amp;RIGHT("000000"&amp;1083,6),LdCKeyM,0),"")</f>
        <v/>
      </c>
    </row>
    <row r="1100">
      <c r="A1100" s="19" t="n">
        <v>1084</v>
      </c>
      <c r="B1100" s="20">
        <f>IF(AND($L1100="",$M1100="",$N1100=""),"",IF($L1100&lt;&gt;"",INDEX(LdADate,$L1100),IF($M1100&lt;&gt;"",INDEX(LdBDate,$M1100),INDEX(LdCDate,$N1100))))</f>
        <v/>
      </c>
      <c r="C1100" s="20">
        <f>IF($L1100&lt;&gt;"","دستمزد (فردی)",IF($M1100&lt;&gt;"","سهم از گروه "&amp;IFERROR(VLOOKUP(INDEX(LdBGroup,$M1100),WGTbl,2,0),INDEX(LdBGroup,$M1100)),IF($N1100&lt;&gt;"",IF(N(INDEX(LdCDep,$N1100))&gt;0,"بازگشت بانکی","پرداخت بانکی"),"")))</f>
        <v/>
      </c>
      <c r="D1100" s="20">
        <f>IF($L1100&lt;&gt;"",IF(INDEX(LdAId,$L1100)="","—",INDEX(LdAId,$L1100)),IF($M1100&lt;&gt;"",IF(INDEX(LdBId,$M1100)="","—",INDEX(LdBId,$M1100)),IF($N1100&lt;&gt;"",IF(INDEX(LdCBank,$N1100)="","—",INDEX(LdCBank,$N1100)),"")))</f>
        <v/>
      </c>
      <c r="E1100" s="21">
        <f>IF($L1100&lt;&gt;"",IF(INDEX(LdAAmt,$L1100)=0,"",INDEX(LdAAmt,$L1100)),IF($M1100&lt;&gt;"",IF(INDEX(LdBAmt,$M1100)=0,"",INDEX(LdBAmt,$M1100)),IF($N1100&lt;&gt;"",IF(INDEX(LdCDep,$N1100)=0,"",INDEX(LdCDep,$N1100)),"")))</f>
        <v/>
      </c>
      <c r="F1100" s="21">
        <f>IF(AND($L1100="",$M1100="",$N1100=""),"",IF($N1100="","",IF(INDEX(LdCWit,$N1100)=0,"",INDEX(LdCWit,$N1100))))</f>
        <v/>
      </c>
      <c r="G1100" s="31">
        <f>IF($B1100="","",IF($G1099="",0,$G1099)+IF($E1100="",0,$E1100)-IF($F1100="",0,$F1100))</f>
        <v/>
      </c>
      <c r="H1100" s="32">
        <f>IF(AND($L1100="",$M1100="",$N1100=""),"",IF($L1100&lt;&gt;"",IF(INDEX(LdANote,$L1100)="","—",INDEX(LdANote,$L1100)),IF($M1100&lt;&gt;"",IF(INDEX(LdBNote,$M1100)="","—",INDEX(LdBNote,$M1100)),IF($N1100&lt;&gt;"",IF(INDEX(LdCNote,$N1100)="","—",INDEX(LdCNote,$N1100)),""))))</f>
        <v/>
      </c>
      <c r="L1100">
        <f>IFERROR(MATCH($C$5&amp;"|"&amp;RIGHT("000000"&amp;1084,6),LdAKeyM,0),"")</f>
        <v/>
      </c>
      <c r="M1100">
        <f>IFERROR(MATCH($C$5&amp;"|"&amp;RIGHT("000000"&amp;1084,6),LdBKeyM,0),"")</f>
        <v/>
      </c>
      <c r="N1100">
        <f>IFERROR(MATCH($C$5&amp;"|"&amp;RIGHT("000000"&amp;1084,6),LdCKeyM,0),"")</f>
        <v/>
      </c>
    </row>
    <row r="1101">
      <c r="A1101" s="10" t="n">
        <v>1085</v>
      </c>
      <c r="B1101" s="14">
        <f>IF(AND($L1101="",$M1101="",$N1101=""),"",IF($L1101&lt;&gt;"",INDEX(LdADate,$L1101),IF($M1101&lt;&gt;"",INDEX(LdBDate,$M1101),INDEX(LdCDate,$N1101))))</f>
        <v/>
      </c>
      <c r="C1101" s="14">
        <f>IF($L1101&lt;&gt;"","دستمزد (فردی)",IF($M1101&lt;&gt;"","سهم از گروه "&amp;IFERROR(VLOOKUP(INDEX(LdBGroup,$M1101),WGTbl,2,0),INDEX(LdBGroup,$M1101)),IF($N1101&lt;&gt;"",IF(N(INDEX(LdCDep,$N1101))&gt;0,"بازگشت بانکی","پرداخت بانکی"),"")))</f>
        <v/>
      </c>
      <c r="D1101" s="14">
        <f>IF($L1101&lt;&gt;"",IF(INDEX(LdAId,$L1101)="","—",INDEX(LdAId,$L1101)),IF($M1101&lt;&gt;"",IF(INDEX(LdBId,$M1101)="","—",INDEX(LdBId,$M1101)),IF($N1101&lt;&gt;"",IF(INDEX(LdCBank,$N1101)="","—",INDEX(LdCBank,$N1101)),"")))</f>
        <v/>
      </c>
      <c r="E1101" s="16">
        <f>IF($L1101&lt;&gt;"",IF(INDEX(LdAAmt,$L1101)=0,"",INDEX(LdAAmt,$L1101)),IF($M1101&lt;&gt;"",IF(INDEX(LdBAmt,$M1101)=0,"",INDEX(LdBAmt,$M1101)),IF($N1101&lt;&gt;"",IF(INDEX(LdCDep,$N1101)=0,"",INDEX(LdCDep,$N1101)),"")))</f>
        <v/>
      </c>
      <c r="F1101" s="16">
        <f>IF(AND($L1101="",$M1101="",$N1101=""),"",IF($N1101="","",IF(INDEX(LdCWit,$N1101)=0,"",INDEX(LdCWit,$N1101))))</f>
        <v/>
      </c>
      <c r="G1101" s="29">
        <f>IF($B1101="","",IF($G1100="",0,$G1100)+IF($E1101="",0,$E1101)-IF($F1101="",0,$F1101))</f>
        <v/>
      </c>
      <c r="H1101" s="30">
        <f>IF(AND($L1101="",$M1101="",$N1101=""),"",IF($L1101&lt;&gt;"",IF(INDEX(LdANote,$L1101)="","—",INDEX(LdANote,$L1101)),IF($M1101&lt;&gt;"",IF(INDEX(LdBNote,$M1101)="","—",INDEX(LdBNote,$M1101)),IF($N1101&lt;&gt;"",IF(INDEX(LdCNote,$N1101)="","—",INDEX(LdCNote,$N1101)),""))))</f>
        <v/>
      </c>
      <c r="L1101">
        <f>IFERROR(MATCH($C$5&amp;"|"&amp;RIGHT("000000"&amp;1085,6),LdAKeyM,0),"")</f>
        <v/>
      </c>
      <c r="M1101">
        <f>IFERROR(MATCH($C$5&amp;"|"&amp;RIGHT("000000"&amp;1085,6),LdBKeyM,0),"")</f>
        <v/>
      </c>
      <c r="N1101">
        <f>IFERROR(MATCH($C$5&amp;"|"&amp;RIGHT("000000"&amp;1085,6),LdCKeyM,0),"")</f>
        <v/>
      </c>
    </row>
    <row r="1102">
      <c r="A1102" s="19" t="n">
        <v>1086</v>
      </c>
      <c r="B1102" s="20">
        <f>IF(AND($L1102="",$M1102="",$N1102=""),"",IF($L1102&lt;&gt;"",INDEX(LdADate,$L1102),IF($M1102&lt;&gt;"",INDEX(LdBDate,$M1102),INDEX(LdCDate,$N1102))))</f>
        <v/>
      </c>
      <c r="C1102" s="20">
        <f>IF($L1102&lt;&gt;"","دستمزد (فردی)",IF($M1102&lt;&gt;"","سهم از گروه "&amp;IFERROR(VLOOKUP(INDEX(LdBGroup,$M1102),WGTbl,2,0),INDEX(LdBGroup,$M1102)),IF($N1102&lt;&gt;"",IF(N(INDEX(LdCDep,$N1102))&gt;0,"بازگشت بانکی","پرداخت بانکی"),"")))</f>
        <v/>
      </c>
      <c r="D1102" s="20">
        <f>IF($L1102&lt;&gt;"",IF(INDEX(LdAId,$L1102)="","—",INDEX(LdAId,$L1102)),IF($M1102&lt;&gt;"",IF(INDEX(LdBId,$M1102)="","—",INDEX(LdBId,$M1102)),IF($N1102&lt;&gt;"",IF(INDEX(LdCBank,$N1102)="","—",INDEX(LdCBank,$N1102)),"")))</f>
        <v/>
      </c>
      <c r="E1102" s="21">
        <f>IF($L1102&lt;&gt;"",IF(INDEX(LdAAmt,$L1102)=0,"",INDEX(LdAAmt,$L1102)),IF($M1102&lt;&gt;"",IF(INDEX(LdBAmt,$M1102)=0,"",INDEX(LdBAmt,$M1102)),IF($N1102&lt;&gt;"",IF(INDEX(LdCDep,$N1102)=0,"",INDEX(LdCDep,$N1102)),"")))</f>
        <v/>
      </c>
      <c r="F1102" s="21">
        <f>IF(AND($L1102="",$M1102="",$N1102=""),"",IF($N1102="","",IF(INDEX(LdCWit,$N1102)=0,"",INDEX(LdCWit,$N1102))))</f>
        <v/>
      </c>
      <c r="G1102" s="31">
        <f>IF($B1102="","",IF($G1101="",0,$G1101)+IF($E1102="",0,$E1102)-IF($F1102="",0,$F1102))</f>
        <v/>
      </c>
      <c r="H1102" s="32">
        <f>IF(AND($L1102="",$M1102="",$N1102=""),"",IF($L1102&lt;&gt;"",IF(INDEX(LdANote,$L1102)="","—",INDEX(LdANote,$L1102)),IF($M1102&lt;&gt;"",IF(INDEX(LdBNote,$M1102)="","—",INDEX(LdBNote,$M1102)),IF($N1102&lt;&gt;"",IF(INDEX(LdCNote,$N1102)="","—",INDEX(LdCNote,$N1102)),""))))</f>
        <v/>
      </c>
      <c r="L1102">
        <f>IFERROR(MATCH($C$5&amp;"|"&amp;RIGHT("000000"&amp;1086,6),LdAKeyM,0),"")</f>
        <v/>
      </c>
      <c r="M1102">
        <f>IFERROR(MATCH($C$5&amp;"|"&amp;RIGHT("000000"&amp;1086,6),LdBKeyM,0),"")</f>
        <v/>
      </c>
      <c r="N1102">
        <f>IFERROR(MATCH($C$5&amp;"|"&amp;RIGHT("000000"&amp;1086,6),LdCKeyM,0),"")</f>
        <v/>
      </c>
    </row>
    <row r="1103">
      <c r="A1103" s="10" t="n">
        <v>1087</v>
      </c>
      <c r="B1103" s="14">
        <f>IF(AND($L1103="",$M1103="",$N1103=""),"",IF($L1103&lt;&gt;"",INDEX(LdADate,$L1103),IF($M1103&lt;&gt;"",INDEX(LdBDate,$M1103),INDEX(LdCDate,$N1103))))</f>
        <v/>
      </c>
      <c r="C1103" s="14">
        <f>IF($L1103&lt;&gt;"","دستمزد (فردی)",IF($M1103&lt;&gt;"","سهم از گروه "&amp;IFERROR(VLOOKUP(INDEX(LdBGroup,$M1103),WGTbl,2,0),INDEX(LdBGroup,$M1103)),IF($N1103&lt;&gt;"",IF(N(INDEX(LdCDep,$N1103))&gt;0,"بازگشت بانکی","پرداخت بانکی"),"")))</f>
        <v/>
      </c>
      <c r="D1103" s="14">
        <f>IF($L1103&lt;&gt;"",IF(INDEX(LdAId,$L1103)="","—",INDEX(LdAId,$L1103)),IF($M1103&lt;&gt;"",IF(INDEX(LdBId,$M1103)="","—",INDEX(LdBId,$M1103)),IF($N1103&lt;&gt;"",IF(INDEX(LdCBank,$N1103)="","—",INDEX(LdCBank,$N1103)),"")))</f>
        <v/>
      </c>
      <c r="E1103" s="16">
        <f>IF($L1103&lt;&gt;"",IF(INDEX(LdAAmt,$L1103)=0,"",INDEX(LdAAmt,$L1103)),IF($M1103&lt;&gt;"",IF(INDEX(LdBAmt,$M1103)=0,"",INDEX(LdBAmt,$M1103)),IF($N1103&lt;&gt;"",IF(INDEX(LdCDep,$N1103)=0,"",INDEX(LdCDep,$N1103)),"")))</f>
        <v/>
      </c>
      <c r="F1103" s="16">
        <f>IF(AND($L1103="",$M1103="",$N1103=""),"",IF($N1103="","",IF(INDEX(LdCWit,$N1103)=0,"",INDEX(LdCWit,$N1103))))</f>
        <v/>
      </c>
      <c r="G1103" s="29">
        <f>IF($B1103="","",IF($G1102="",0,$G1102)+IF($E1103="",0,$E1103)-IF($F1103="",0,$F1103))</f>
        <v/>
      </c>
      <c r="H1103" s="30">
        <f>IF(AND($L1103="",$M1103="",$N1103=""),"",IF($L1103&lt;&gt;"",IF(INDEX(LdANote,$L1103)="","—",INDEX(LdANote,$L1103)),IF($M1103&lt;&gt;"",IF(INDEX(LdBNote,$M1103)="","—",INDEX(LdBNote,$M1103)),IF($N1103&lt;&gt;"",IF(INDEX(LdCNote,$N1103)="","—",INDEX(LdCNote,$N1103)),""))))</f>
        <v/>
      </c>
      <c r="L1103">
        <f>IFERROR(MATCH($C$5&amp;"|"&amp;RIGHT("000000"&amp;1087,6),LdAKeyM,0),"")</f>
        <v/>
      </c>
      <c r="M1103">
        <f>IFERROR(MATCH($C$5&amp;"|"&amp;RIGHT("000000"&amp;1087,6),LdBKeyM,0),"")</f>
        <v/>
      </c>
      <c r="N1103">
        <f>IFERROR(MATCH($C$5&amp;"|"&amp;RIGHT("000000"&amp;1087,6),LdCKeyM,0),"")</f>
        <v/>
      </c>
    </row>
    <row r="1104">
      <c r="A1104" s="19" t="n">
        <v>1088</v>
      </c>
      <c r="B1104" s="20">
        <f>IF(AND($L1104="",$M1104="",$N1104=""),"",IF($L1104&lt;&gt;"",INDEX(LdADate,$L1104),IF($M1104&lt;&gt;"",INDEX(LdBDate,$M1104),INDEX(LdCDate,$N1104))))</f>
        <v/>
      </c>
      <c r="C1104" s="20">
        <f>IF($L1104&lt;&gt;"","دستمزد (فردی)",IF($M1104&lt;&gt;"","سهم از گروه "&amp;IFERROR(VLOOKUP(INDEX(LdBGroup,$M1104),WGTbl,2,0),INDEX(LdBGroup,$M1104)),IF($N1104&lt;&gt;"",IF(N(INDEX(LdCDep,$N1104))&gt;0,"بازگشت بانکی","پرداخت بانکی"),"")))</f>
        <v/>
      </c>
      <c r="D1104" s="20">
        <f>IF($L1104&lt;&gt;"",IF(INDEX(LdAId,$L1104)="","—",INDEX(LdAId,$L1104)),IF($M1104&lt;&gt;"",IF(INDEX(LdBId,$M1104)="","—",INDEX(LdBId,$M1104)),IF($N1104&lt;&gt;"",IF(INDEX(LdCBank,$N1104)="","—",INDEX(LdCBank,$N1104)),"")))</f>
        <v/>
      </c>
      <c r="E1104" s="21">
        <f>IF($L1104&lt;&gt;"",IF(INDEX(LdAAmt,$L1104)=0,"",INDEX(LdAAmt,$L1104)),IF($M1104&lt;&gt;"",IF(INDEX(LdBAmt,$M1104)=0,"",INDEX(LdBAmt,$M1104)),IF($N1104&lt;&gt;"",IF(INDEX(LdCDep,$N1104)=0,"",INDEX(LdCDep,$N1104)),"")))</f>
        <v/>
      </c>
      <c r="F1104" s="21">
        <f>IF(AND($L1104="",$M1104="",$N1104=""),"",IF($N1104="","",IF(INDEX(LdCWit,$N1104)=0,"",INDEX(LdCWit,$N1104))))</f>
        <v/>
      </c>
      <c r="G1104" s="31">
        <f>IF($B1104="","",IF($G1103="",0,$G1103)+IF($E1104="",0,$E1104)-IF($F1104="",0,$F1104))</f>
        <v/>
      </c>
      <c r="H1104" s="32">
        <f>IF(AND($L1104="",$M1104="",$N1104=""),"",IF($L1104&lt;&gt;"",IF(INDEX(LdANote,$L1104)="","—",INDEX(LdANote,$L1104)),IF($M1104&lt;&gt;"",IF(INDEX(LdBNote,$M1104)="","—",INDEX(LdBNote,$M1104)),IF($N1104&lt;&gt;"",IF(INDEX(LdCNote,$N1104)="","—",INDEX(LdCNote,$N1104)),""))))</f>
        <v/>
      </c>
      <c r="L1104">
        <f>IFERROR(MATCH($C$5&amp;"|"&amp;RIGHT("000000"&amp;1088,6),LdAKeyM,0),"")</f>
        <v/>
      </c>
      <c r="M1104">
        <f>IFERROR(MATCH($C$5&amp;"|"&amp;RIGHT("000000"&amp;1088,6),LdBKeyM,0),"")</f>
        <v/>
      </c>
      <c r="N1104">
        <f>IFERROR(MATCH($C$5&amp;"|"&amp;RIGHT("000000"&amp;1088,6),LdCKeyM,0),"")</f>
        <v/>
      </c>
    </row>
    <row r="1105">
      <c r="A1105" s="10" t="n">
        <v>1089</v>
      </c>
      <c r="B1105" s="14">
        <f>IF(AND($L1105="",$M1105="",$N1105=""),"",IF($L1105&lt;&gt;"",INDEX(LdADate,$L1105),IF($M1105&lt;&gt;"",INDEX(LdBDate,$M1105),INDEX(LdCDate,$N1105))))</f>
        <v/>
      </c>
      <c r="C1105" s="14">
        <f>IF($L1105&lt;&gt;"","دستمزد (فردی)",IF($M1105&lt;&gt;"","سهم از گروه "&amp;IFERROR(VLOOKUP(INDEX(LdBGroup,$M1105),WGTbl,2,0),INDEX(LdBGroup,$M1105)),IF($N1105&lt;&gt;"",IF(N(INDEX(LdCDep,$N1105))&gt;0,"بازگشت بانکی","پرداخت بانکی"),"")))</f>
        <v/>
      </c>
      <c r="D1105" s="14">
        <f>IF($L1105&lt;&gt;"",IF(INDEX(LdAId,$L1105)="","—",INDEX(LdAId,$L1105)),IF($M1105&lt;&gt;"",IF(INDEX(LdBId,$M1105)="","—",INDEX(LdBId,$M1105)),IF($N1105&lt;&gt;"",IF(INDEX(LdCBank,$N1105)="","—",INDEX(LdCBank,$N1105)),"")))</f>
        <v/>
      </c>
      <c r="E1105" s="16">
        <f>IF($L1105&lt;&gt;"",IF(INDEX(LdAAmt,$L1105)=0,"",INDEX(LdAAmt,$L1105)),IF($M1105&lt;&gt;"",IF(INDEX(LdBAmt,$M1105)=0,"",INDEX(LdBAmt,$M1105)),IF($N1105&lt;&gt;"",IF(INDEX(LdCDep,$N1105)=0,"",INDEX(LdCDep,$N1105)),"")))</f>
        <v/>
      </c>
      <c r="F1105" s="16">
        <f>IF(AND($L1105="",$M1105="",$N1105=""),"",IF($N1105="","",IF(INDEX(LdCWit,$N1105)=0,"",INDEX(LdCWit,$N1105))))</f>
        <v/>
      </c>
      <c r="G1105" s="29">
        <f>IF($B1105="","",IF($G1104="",0,$G1104)+IF($E1105="",0,$E1105)-IF($F1105="",0,$F1105))</f>
        <v/>
      </c>
      <c r="H1105" s="30">
        <f>IF(AND($L1105="",$M1105="",$N1105=""),"",IF($L1105&lt;&gt;"",IF(INDEX(LdANote,$L1105)="","—",INDEX(LdANote,$L1105)),IF($M1105&lt;&gt;"",IF(INDEX(LdBNote,$M1105)="","—",INDEX(LdBNote,$M1105)),IF($N1105&lt;&gt;"",IF(INDEX(LdCNote,$N1105)="","—",INDEX(LdCNote,$N1105)),""))))</f>
        <v/>
      </c>
      <c r="L1105">
        <f>IFERROR(MATCH($C$5&amp;"|"&amp;RIGHT("000000"&amp;1089,6),LdAKeyM,0),"")</f>
        <v/>
      </c>
      <c r="M1105">
        <f>IFERROR(MATCH($C$5&amp;"|"&amp;RIGHT("000000"&amp;1089,6),LdBKeyM,0),"")</f>
        <v/>
      </c>
      <c r="N1105">
        <f>IFERROR(MATCH($C$5&amp;"|"&amp;RIGHT("000000"&amp;1089,6),LdCKeyM,0),"")</f>
        <v/>
      </c>
    </row>
    <row r="1106">
      <c r="A1106" s="19" t="n">
        <v>1090</v>
      </c>
      <c r="B1106" s="20">
        <f>IF(AND($L1106="",$M1106="",$N1106=""),"",IF($L1106&lt;&gt;"",INDEX(LdADate,$L1106),IF($M1106&lt;&gt;"",INDEX(LdBDate,$M1106),INDEX(LdCDate,$N1106))))</f>
        <v/>
      </c>
      <c r="C1106" s="20">
        <f>IF($L1106&lt;&gt;"","دستمزد (فردی)",IF($M1106&lt;&gt;"","سهم از گروه "&amp;IFERROR(VLOOKUP(INDEX(LdBGroup,$M1106),WGTbl,2,0),INDEX(LdBGroup,$M1106)),IF($N1106&lt;&gt;"",IF(N(INDEX(LdCDep,$N1106))&gt;0,"بازگشت بانکی","پرداخت بانکی"),"")))</f>
        <v/>
      </c>
      <c r="D1106" s="20">
        <f>IF($L1106&lt;&gt;"",IF(INDEX(LdAId,$L1106)="","—",INDEX(LdAId,$L1106)),IF($M1106&lt;&gt;"",IF(INDEX(LdBId,$M1106)="","—",INDEX(LdBId,$M1106)),IF($N1106&lt;&gt;"",IF(INDEX(LdCBank,$N1106)="","—",INDEX(LdCBank,$N1106)),"")))</f>
        <v/>
      </c>
      <c r="E1106" s="21">
        <f>IF($L1106&lt;&gt;"",IF(INDEX(LdAAmt,$L1106)=0,"",INDEX(LdAAmt,$L1106)),IF($M1106&lt;&gt;"",IF(INDEX(LdBAmt,$M1106)=0,"",INDEX(LdBAmt,$M1106)),IF($N1106&lt;&gt;"",IF(INDEX(LdCDep,$N1106)=0,"",INDEX(LdCDep,$N1106)),"")))</f>
        <v/>
      </c>
      <c r="F1106" s="21">
        <f>IF(AND($L1106="",$M1106="",$N1106=""),"",IF($N1106="","",IF(INDEX(LdCWit,$N1106)=0,"",INDEX(LdCWit,$N1106))))</f>
        <v/>
      </c>
      <c r="G1106" s="31">
        <f>IF($B1106="","",IF($G1105="",0,$G1105)+IF($E1106="",0,$E1106)-IF($F1106="",0,$F1106))</f>
        <v/>
      </c>
      <c r="H1106" s="32">
        <f>IF(AND($L1106="",$M1106="",$N1106=""),"",IF($L1106&lt;&gt;"",IF(INDEX(LdANote,$L1106)="","—",INDEX(LdANote,$L1106)),IF($M1106&lt;&gt;"",IF(INDEX(LdBNote,$M1106)="","—",INDEX(LdBNote,$M1106)),IF($N1106&lt;&gt;"",IF(INDEX(LdCNote,$N1106)="","—",INDEX(LdCNote,$N1106)),""))))</f>
        <v/>
      </c>
      <c r="L1106">
        <f>IFERROR(MATCH($C$5&amp;"|"&amp;RIGHT("000000"&amp;1090,6),LdAKeyM,0),"")</f>
        <v/>
      </c>
      <c r="M1106">
        <f>IFERROR(MATCH($C$5&amp;"|"&amp;RIGHT("000000"&amp;1090,6),LdBKeyM,0),"")</f>
        <v/>
      </c>
      <c r="N1106">
        <f>IFERROR(MATCH($C$5&amp;"|"&amp;RIGHT("000000"&amp;1090,6),LdCKeyM,0),"")</f>
        <v/>
      </c>
    </row>
    <row r="1107">
      <c r="A1107" s="10" t="n">
        <v>1091</v>
      </c>
      <c r="B1107" s="14">
        <f>IF(AND($L1107="",$M1107="",$N1107=""),"",IF($L1107&lt;&gt;"",INDEX(LdADate,$L1107),IF($M1107&lt;&gt;"",INDEX(LdBDate,$M1107),INDEX(LdCDate,$N1107))))</f>
        <v/>
      </c>
      <c r="C1107" s="14">
        <f>IF($L1107&lt;&gt;"","دستمزد (فردی)",IF($M1107&lt;&gt;"","سهم از گروه "&amp;IFERROR(VLOOKUP(INDEX(LdBGroup,$M1107),WGTbl,2,0),INDEX(LdBGroup,$M1107)),IF($N1107&lt;&gt;"",IF(N(INDEX(LdCDep,$N1107))&gt;0,"بازگشت بانکی","پرداخت بانکی"),"")))</f>
        <v/>
      </c>
      <c r="D1107" s="14">
        <f>IF($L1107&lt;&gt;"",IF(INDEX(LdAId,$L1107)="","—",INDEX(LdAId,$L1107)),IF($M1107&lt;&gt;"",IF(INDEX(LdBId,$M1107)="","—",INDEX(LdBId,$M1107)),IF($N1107&lt;&gt;"",IF(INDEX(LdCBank,$N1107)="","—",INDEX(LdCBank,$N1107)),"")))</f>
        <v/>
      </c>
      <c r="E1107" s="16">
        <f>IF($L1107&lt;&gt;"",IF(INDEX(LdAAmt,$L1107)=0,"",INDEX(LdAAmt,$L1107)),IF($M1107&lt;&gt;"",IF(INDEX(LdBAmt,$M1107)=0,"",INDEX(LdBAmt,$M1107)),IF($N1107&lt;&gt;"",IF(INDEX(LdCDep,$N1107)=0,"",INDEX(LdCDep,$N1107)),"")))</f>
        <v/>
      </c>
      <c r="F1107" s="16">
        <f>IF(AND($L1107="",$M1107="",$N1107=""),"",IF($N1107="","",IF(INDEX(LdCWit,$N1107)=0,"",INDEX(LdCWit,$N1107))))</f>
        <v/>
      </c>
      <c r="G1107" s="29">
        <f>IF($B1107="","",IF($G1106="",0,$G1106)+IF($E1107="",0,$E1107)-IF($F1107="",0,$F1107))</f>
        <v/>
      </c>
      <c r="H1107" s="30">
        <f>IF(AND($L1107="",$M1107="",$N1107=""),"",IF($L1107&lt;&gt;"",IF(INDEX(LdANote,$L1107)="","—",INDEX(LdANote,$L1107)),IF($M1107&lt;&gt;"",IF(INDEX(LdBNote,$M1107)="","—",INDEX(LdBNote,$M1107)),IF($N1107&lt;&gt;"",IF(INDEX(LdCNote,$N1107)="","—",INDEX(LdCNote,$N1107)),""))))</f>
        <v/>
      </c>
      <c r="L1107">
        <f>IFERROR(MATCH($C$5&amp;"|"&amp;RIGHT("000000"&amp;1091,6),LdAKeyM,0),"")</f>
        <v/>
      </c>
      <c r="M1107">
        <f>IFERROR(MATCH($C$5&amp;"|"&amp;RIGHT("000000"&amp;1091,6),LdBKeyM,0),"")</f>
        <v/>
      </c>
      <c r="N1107">
        <f>IFERROR(MATCH($C$5&amp;"|"&amp;RIGHT("000000"&amp;1091,6),LdCKeyM,0),"")</f>
        <v/>
      </c>
    </row>
    <row r="1108">
      <c r="A1108" s="19" t="n">
        <v>1092</v>
      </c>
      <c r="B1108" s="20">
        <f>IF(AND($L1108="",$M1108="",$N1108=""),"",IF($L1108&lt;&gt;"",INDEX(LdADate,$L1108),IF($M1108&lt;&gt;"",INDEX(LdBDate,$M1108),INDEX(LdCDate,$N1108))))</f>
        <v/>
      </c>
      <c r="C1108" s="20">
        <f>IF($L1108&lt;&gt;"","دستمزد (فردی)",IF($M1108&lt;&gt;"","سهم از گروه "&amp;IFERROR(VLOOKUP(INDEX(LdBGroup,$M1108),WGTbl,2,0),INDEX(LdBGroup,$M1108)),IF($N1108&lt;&gt;"",IF(N(INDEX(LdCDep,$N1108))&gt;0,"بازگشت بانکی","پرداخت بانکی"),"")))</f>
        <v/>
      </c>
      <c r="D1108" s="20">
        <f>IF($L1108&lt;&gt;"",IF(INDEX(LdAId,$L1108)="","—",INDEX(LdAId,$L1108)),IF($M1108&lt;&gt;"",IF(INDEX(LdBId,$M1108)="","—",INDEX(LdBId,$M1108)),IF($N1108&lt;&gt;"",IF(INDEX(LdCBank,$N1108)="","—",INDEX(LdCBank,$N1108)),"")))</f>
        <v/>
      </c>
      <c r="E1108" s="21">
        <f>IF($L1108&lt;&gt;"",IF(INDEX(LdAAmt,$L1108)=0,"",INDEX(LdAAmt,$L1108)),IF($M1108&lt;&gt;"",IF(INDEX(LdBAmt,$M1108)=0,"",INDEX(LdBAmt,$M1108)),IF($N1108&lt;&gt;"",IF(INDEX(LdCDep,$N1108)=0,"",INDEX(LdCDep,$N1108)),"")))</f>
        <v/>
      </c>
      <c r="F1108" s="21">
        <f>IF(AND($L1108="",$M1108="",$N1108=""),"",IF($N1108="","",IF(INDEX(LdCWit,$N1108)=0,"",INDEX(LdCWit,$N1108))))</f>
        <v/>
      </c>
      <c r="G1108" s="31">
        <f>IF($B1108="","",IF($G1107="",0,$G1107)+IF($E1108="",0,$E1108)-IF($F1108="",0,$F1108))</f>
        <v/>
      </c>
      <c r="H1108" s="32">
        <f>IF(AND($L1108="",$M1108="",$N1108=""),"",IF($L1108&lt;&gt;"",IF(INDEX(LdANote,$L1108)="","—",INDEX(LdANote,$L1108)),IF($M1108&lt;&gt;"",IF(INDEX(LdBNote,$M1108)="","—",INDEX(LdBNote,$M1108)),IF($N1108&lt;&gt;"",IF(INDEX(LdCNote,$N1108)="","—",INDEX(LdCNote,$N1108)),""))))</f>
        <v/>
      </c>
      <c r="L1108">
        <f>IFERROR(MATCH($C$5&amp;"|"&amp;RIGHT("000000"&amp;1092,6),LdAKeyM,0),"")</f>
        <v/>
      </c>
      <c r="M1108">
        <f>IFERROR(MATCH($C$5&amp;"|"&amp;RIGHT("000000"&amp;1092,6),LdBKeyM,0),"")</f>
        <v/>
      </c>
      <c r="N1108">
        <f>IFERROR(MATCH($C$5&amp;"|"&amp;RIGHT("000000"&amp;1092,6),LdCKeyM,0),"")</f>
        <v/>
      </c>
    </row>
    <row r="1109">
      <c r="A1109" s="10" t="n">
        <v>1093</v>
      </c>
      <c r="B1109" s="14">
        <f>IF(AND($L1109="",$M1109="",$N1109=""),"",IF($L1109&lt;&gt;"",INDEX(LdADate,$L1109),IF($M1109&lt;&gt;"",INDEX(LdBDate,$M1109),INDEX(LdCDate,$N1109))))</f>
        <v/>
      </c>
      <c r="C1109" s="14">
        <f>IF($L1109&lt;&gt;"","دستمزد (فردی)",IF($M1109&lt;&gt;"","سهم از گروه "&amp;IFERROR(VLOOKUP(INDEX(LdBGroup,$M1109),WGTbl,2,0),INDEX(LdBGroup,$M1109)),IF($N1109&lt;&gt;"",IF(N(INDEX(LdCDep,$N1109))&gt;0,"بازگشت بانکی","پرداخت بانکی"),"")))</f>
        <v/>
      </c>
      <c r="D1109" s="14">
        <f>IF($L1109&lt;&gt;"",IF(INDEX(LdAId,$L1109)="","—",INDEX(LdAId,$L1109)),IF($M1109&lt;&gt;"",IF(INDEX(LdBId,$M1109)="","—",INDEX(LdBId,$M1109)),IF($N1109&lt;&gt;"",IF(INDEX(LdCBank,$N1109)="","—",INDEX(LdCBank,$N1109)),"")))</f>
        <v/>
      </c>
      <c r="E1109" s="16">
        <f>IF($L1109&lt;&gt;"",IF(INDEX(LdAAmt,$L1109)=0,"",INDEX(LdAAmt,$L1109)),IF($M1109&lt;&gt;"",IF(INDEX(LdBAmt,$M1109)=0,"",INDEX(LdBAmt,$M1109)),IF($N1109&lt;&gt;"",IF(INDEX(LdCDep,$N1109)=0,"",INDEX(LdCDep,$N1109)),"")))</f>
        <v/>
      </c>
      <c r="F1109" s="16">
        <f>IF(AND($L1109="",$M1109="",$N1109=""),"",IF($N1109="","",IF(INDEX(LdCWit,$N1109)=0,"",INDEX(LdCWit,$N1109))))</f>
        <v/>
      </c>
      <c r="G1109" s="29">
        <f>IF($B1109="","",IF($G1108="",0,$G1108)+IF($E1109="",0,$E1109)-IF($F1109="",0,$F1109))</f>
        <v/>
      </c>
      <c r="H1109" s="30">
        <f>IF(AND($L1109="",$M1109="",$N1109=""),"",IF($L1109&lt;&gt;"",IF(INDEX(LdANote,$L1109)="","—",INDEX(LdANote,$L1109)),IF($M1109&lt;&gt;"",IF(INDEX(LdBNote,$M1109)="","—",INDEX(LdBNote,$M1109)),IF($N1109&lt;&gt;"",IF(INDEX(LdCNote,$N1109)="","—",INDEX(LdCNote,$N1109)),""))))</f>
        <v/>
      </c>
      <c r="L1109">
        <f>IFERROR(MATCH($C$5&amp;"|"&amp;RIGHT("000000"&amp;1093,6),LdAKeyM,0),"")</f>
        <v/>
      </c>
      <c r="M1109">
        <f>IFERROR(MATCH($C$5&amp;"|"&amp;RIGHT("000000"&amp;1093,6),LdBKeyM,0),"")</f>
        <v/>
      </c>
      <c r="N1109">
        <f>IFERROR(MATCH($C$5&amp;"|"&amp;RIGHT("000000"&amp;1093,6),LdCKeyM,0),"")</f>
        <v/>
      </c>
    </row>
    <row r="1110">
      <c r="A1110" s="19" t="n">
        <v>1094</v>
      </c>
      <c r="B1110" s="20">
        <f>IF(AND($L1110="",$M1110="",$N1110=""),"",IF($L1110&lt;&gt;"",INDEX(LdADate,$L1110),IF($M1110&lt;&gt;"",INDEX(LdBDate,$M1110),INDEX(LdCDate,$N1110))))</f>
        <v/>
      </c>
      <c r="C1110" s="20">
        <f>IF($L1110&lt;&gt;"","دستمزد (فردی)",IF($M1110&lt;&gt;"","سهم از گروه "&amp;IFERROR(VLOOKUP(INDEX(LdBGroup,$M1110),WGTbl,2,0),INDEX(LdBGroup,$M1110)),IF($N1110&lt;&gt;"",IF(N(INDEX(LdCDep,$N1110))&gt;0,"بازگشت بانکی","پرداخت بانکی"),"")))</f>
        <v/>
      </c>
      <c r="D1110" s="20">
        <f>IF($L1110&lt;&gt;"",IF(INDEX(LdAId,$L1110)="","—",INDEX(LdAId,$L1110)),IF($M1110&lt;&gt;"",IF(INDEX(LdBId,$M1110)="","—",INDEX(LdBId,$M1110)),IF($N1110&lt;&gt;"",IF(INDEX(LdCBank,$N1110)="","—",INDEX(LdCBank,$N1110)),"")))</f>
        <v/>
      </c>
      <c r="E1110" s="21">
        <f>IF($L1110&lt;&gt;"",IF(INDEX(LdAAmt,$L1110)=0,"",INDEX(LdAAmt,$L1110)),IF($M1110&lt;&gt;"",IF(INDEX(LdBAmt,$M1110)=0,"",INDEX(LdBAmt,$M1110)),IF($N1110&lt;&gt;"",IF(INDEX(LdCDep,$N1110)=0,"",INDEX(LdCDep,$N1110)),"")))</f>
        <v/>
      </c>
      <c r="F1110" s="21">
        <f>IF(AND($L1110="",$M1110="",$N1110=""),"",IF($N1110="","",IF(INDEX(LdCWit,$N1110)=0,"",INDEX(LdCWit,$N1110))))</f>
        <v/>
      </c>
      <c r="G1110" s="31">
        <f>IF($B1110="","",IF($G1109="",0,$G1109)+IF($E1110="",0,$E1110)-IF($F1110="",0,$F1110))</f>
        <v/>
      </c>
      <c r="H1110" s="32">
        <f>IF(AND($L1110="",$M1110="",$N1110=""),"",IF($L1110&lt;&gt;"",IF(INDEX(LdANote,$L1110)="","—",INDEX(LdANote,$L1110)),IF($M1110&lt;&gt;"",IF(INDEX(LdBNote,$M1110)="","—",INDEX(LdBNote,$M1110)),IF($N1110&lt;&gt;"",IF(INDEX(LdCNote,$N1110)="","—",INDEX(LdCNote,$N1110)),""))))</f>
        <v/>
      </c>
      <c r="L1110">
        <f>IFERROR(MATCH($C$5&amp;"|"&amp;RIGHT("000000"&amp;1094,6),LdAKeyM,0),"")</f>
        <v/>
      </c>
      <c r="M1110">
        <f>IFERROR(MATCH($C$5&amp;"|"&amp;RIGHT("000000"&amp;1094,6),LdBKeyM,0),"")</f>
        <v/>
      </c>
      <c r="N1110">
        <f>IFERROR(MATCH($C$5&amp;"|"&amp;RIGHT("000000"&amp;1094,6),LdCKeyM,0),"")</f>
        <v/>
      </c>
    </row>
    <row r="1111">
      <c r="A1111" s="10" t="n">
        <v>1095</v>
      </c>
      <c r="B1111" s="14">
        <f>IF(AND($L1111="",$M1111="",$N1111=""),"",IF($L1111&lt;&gt;"",INDEX(LdADate,$L1111),IF($M1111&lt;&gt;"",INDEX(LdBDate,$M1111),INDEX(LdCDate,$N1111))))</f>
        <v/>
      </c>
      <c r="C1111" s="14">
        <f>IF($L1111&lt;&gt;"","دستمزد (فردی)",IF($M1111&lt;&gt;"","سهم از گروه "&amp;IFERROR(VLOOKUP(INDEX(LdBGroup,$M1111),WGTbl,2,0),INDEX(LdBGroup,$M1111)),IF($N1111&lt;&gt;"",IF(N(INDEX(LdCDep,$N1111))&gt;0,"بازگشت بانکی","پرداخت بانکی"),"")))</f>
        <v/>
      </c>
      <c r="D1111" s="14">
        <f>IF($L1111&lt;&gt;"",IF(INDEX(LdAId,$L1111)="","—",INDEX(LdAId,$L1111)),IF($M1111&lt;&gt;"",IF(INDEX(LdBId,$M1111)="","—",INDEX(LdBId,$M1111)),IF($N1111&lt;&gt;"",IF(INDEX(LdCBank,$N1111)="","—",INDEX(LdCBank,$N1111)),"")))</f>
        <v/>
      </c>
      <c r="E1111" s="16">
        <f>IF($L1111&lt;&gt;"",IF(INDEX(LdAAmt,$L1111)=0,"",INDEX(LdAAmt,$L1111)),IF($M1111&lt;&gt;"",IF(INDEX(LdBAmt,$M1111)=0,"",INDEX(LdBAmt,$M1111)),IF($N1111&lt;&gt;"",IF(INDEX(LdCDep,$N1111)=0,"",INDEX(LdCDep,$N1111)),"")))</f>
        <v/>
      </c>
      <c r="F1111" s="16">
        <f>IF(AND($L1111="",$M1111="",$N1111=""),"",IF($N1111="","",IF(INDEX(LdCWit,$N1111)=0,"",INDEX(LdCWit,$N1111))))</f>
        <v/>
      </c>
      <c r="G1111" s="29">
        <f>IF($B1111="","",IF($G1110="",0,$G1110)+IF($E1111="",0,$E1111)-IF($F1111="",0,$F1111))</f>
        <v/>
      </c>
      <c r="H1111" s="30">
        <f>IF(AND($L1111="",$M1111="",$N1111=""),"",IF($L1111&lt;&gt;"",IF(INDEX(LdANote,$L1111)="","—",INDEX(LdANote,$L1111)),IF($M1111&lt;&gt;"",IF(INDEX(LdBNote,$M1111)="","—",INDEX(LdBNote,$M1111)),IF($N1111&lt;&gt;"",IF(INDEX(LdCNote,$N1111)="","—",INDEX(LdCNote,$N1111)),""))))</f>
        <v/>
      </c>
      <c r="L1111">
        <f>IFERROR(MATCH($C$5&amp;"|"&amp;RIGHT("000000"&amp;1095,6),LdAKeyM,0),"")</f>
        <v/>
      </c>
      <c r="M1111">
        <f>IFERROR(MATCH($C$5&amp;"|"&amp;RIGHT("000000"&amp;1095,6),LdBKeyM,0),"")</f>
        <v/>
      </c>
      <c r="N1111">
        <f>IFERROR(MATCH($C$5&amp;"|"&amp;RIGHT("000000"&amp;1095,6),LdCKeyM,0),"")</f>
        <v/>
      </c>
    </row>
    <row r="1112">
      <c r="A1112" s="19" t="n">
        <v>1096</v>
      </c>
      <c r="B1112" s="20">
        <f>IF(AND($L1112="",$M1112="",$N1112=""),"",IF($L1112&lt;&gt;"",INDEX(LdADate,$L1112),IF($M1112&lt;&gt;"",INDEX(LdBDate,$M1112),INDEX(LdCDate,$N1112))))</f>
        <v/>
      </c>
      <c r="C1112" s="20">
        <f>IF($L1112&lt;&gt;"","دستمزد (فردی)",IF($M1112&lt;&gt;"","سهم از گروه "&amp;IFERROR(VLOOKUP(INDEX(LdBGroup,$M1112),WGTbl,2,0),INDEX(LdBGroup,$M1112)),IF($N1112&lt;&gt;"",IF(N(INDEX(LdCDep,$N1112))&gt;0,"بازگشت بانکی","پرداخت بانکی"),"")))</f>
        <v/>
      </c>
      <c r="D1112" s="20">
        <f>IF($L1112&lt;&gt;"",IF(INDEX(LdAId,$L1112)="","—",INDEX(LdAId,$L1112)),IF($M1112&lt;&gt;"",IF(INDEX(LdBId,$M1112)="","—",INDEX(LdBId,$M1112)),IF($N1112&lt;&gt;"",IF(INDEX(LdCBank,$N1112)="","—",INDEX(LdCBank,$N1112)),"")))</f>
        <v/>
      </c>
      <c r="E1112" s="21">
        <f>IF($L1112&lt;&gt;"",IF(INDEX(LdAAmt,$L1112)=0,"",INDEX(LdAAmt,$L1112)),IF($M1112&lt;&gt;"",IF(INDEX(LdBAmt,$M1112)=0,"",INDEX(LdBAmt,$M1112)),IF($N1112&lt;&gt;"",IF(INDEX(LdCDep,$N1112)=0,"",INDEX(LdCDep,$N1112)),"")))</f>
        <v/>
      </c>
      <c r="F1112" s="21">
        <f>IF(AND($L1112="",$M1112="",$N1112=""),"",IF($N1112="","",IF(INDEX(LdCWit,$N1112)=0,"",INDEX(LdCWit,$N1112))))</f>
        <v/>
      </c>
      <c r="G1112" s="31">
        <f>IF($B1112="","",IF($G1111="",0,$G1111)+IF($E1112="",0,$E1112)-IF($F1112="",0,$F1112))</f>
        <v/>
      </c>
      <c r="H1112" s="32">
        <f>IF(AND($L1112="",$M1112="",$N1112=""),"",IF($L1112&lt;&gt;"",IF(INDEX(LdANote,$L1112)="","—",INDEX(LdANote,$L1112)),IF($M1112&lt;&gt;"",IF(INDEX(LdBNote,$M1112)="","—",INDEX(LdBNote,$M1112)),IF($N1112&lt;&gt;"",IF(INDEX(LdCNote,$N1112)="","—",INDEX(LdCNote,$N1112)),""))))</f>
        <v/>
      </c>
      <c r="L1112">
        <f>IFERROR(MATCH($C$5&amp;"|"&amp;RIGHT("000000"&amp;1096,6),LdAKeyM,0),"")</f>
        <v/>
      </c>
      <c r="M1112">
        <f>IFERROR(MATCH($C$5&amp;"|"&amp;RIGHT("000000"&amp;1096,6),LdBKeyM,0),"")</f>
        <v/>
      </c>
      <c r="N1112">
        <f>IFERROR(MATCH($C$5&amp;"|"&amp;RIGHT("000000"&amp;1096,6),LdCKeyM,0),"")</f>
        <v/>
      </c>
    </row>
    <row r="1113">
      <c r="A1113" s="10" t="n">
        <v>1097</v>
      </c>
      <c r="B1113" s="14">
        <f>IF(AND($L1113="",$M1113="",$N1113=""),"",IF($L1113&lt;&gt;"",INDEX(LdADate,$L1113),IF($M1113&lt;&gt;"",INDEX(LdBDate,$M1113),INDEX(LdCDate,$N1113))))</f>
        <v/>
      </c>
      <c r="C1113" s="14">
        <f>IF($L1113&lt;&gt;"","دستمزد (فردی)",IF($M1113&lt;&gt;"","سهم از گروه "&amp;IFERROR(VLOOKUP(INDEX(LdBGroup,$M1113),WGTbl,2,0),INDEX(LdBGroup,$M1113)),IF($N1113&lt;&gt;"",IF(N(INDEX(LdCDep,$N1113))&gt;0,"بازگشت بانکی","پرداخت بانکی"),"")))</f>
        <v/>
      </c>
      <c r="D1113" s="14">
        <f>IF($L1113&lt;&gt;"",IF(INDEX(LdAId,$L1113)="","—",INDEX(LdAId,$L1113)),IF($M1113&lt;&gt;"",IF(INDEX(LdBId,$M1113)="","—",INDEX(LdBId,$M1113)),IF($N1113&lt;&gt;"",IF(INDEX(LdCBank,$N1113)="","—",INDEX(LdCBank,$N1113)),"")))</f>
        <v/>
      </c>
      <c r="E1113" s="16">
        <f>IF($L1113&lt;&gt;"",IF(INDEX(LdAAmt,$L1113)=0,"",INDEX(LdAAmt,$L1113)),IF($M1113&lt;&gt;"",IF(INDEX(LdBAmt,$M1113)=0,"",INDEX(LdBAmt,$M1113)),IF($N1113&lt;&gt;"",IF(INDEX(LdCDep,$N1113)=0,"",INDEX(LdCDep,$N1113)),"")))</f>
        <v/>
      </c>
      <c r="F1113" s="16">
        <f>IF(AND($L1113="",$M1113="",$N1113=""),"",IF($N1113="","",IF(INDEX(LdCWit,$N1113)=0,"",INDEX(LdCWit,$N1113))))</f>
        <v/>
      </c>
      <c r="G1113" s="29">
        <f>IF($B1113="","",IF($G1112="",0,$G1112)+IF($E1113="",0,$E1113)-IF($F1113="",0,$F1113))</f>
        <v/>
      </c>
      <c r="H1113" s="30">
        <f>IF(AND($L1113="",$M1113="",$N1113=""),"",IF($L1113&lt;&gt;"",IF(INDEX(LdANote,$L1113)="","—",INDEX(LdANote,$L1113)),IF($M1113&lt;&gt;"",IF(INDEX(LdBNote,$M1113)="","—",INDEX(LdBNote,$M1113)),IF($N1113&lt;&gt;"",IF(INDEX(LdCNote,$N1113)="","—",INDEX(LdCNote,$N1113)),""))))</f>
        <v/>
      </c>
      <c r="L1113">
        <f>IFERROR(MATCH($C$5&amp;"|"&amp;RIGHT("000000"&amp;1097,6),LdAKeyM,0),"")</f>
        <v/>
      </c>
      <c r="M1113">
        <f>IFERROR(MATCH($C$5&amp;"|"&amp;RIGHT("000000"&amp;1097,6),LdBKeyM,0),"")</f>
        <v/>
      </c>
      <c r="N1113">
        <f>IFERROR(MATCH($C$5&amp;"|"&amp;RIGHT("000000"&amp;1097,6),LdCKeyM,0),"")</f>
        <v/>
      </c>
    </row>
    <row r="1114">
      <c r="A1114" s="19" t="n">
        <v>1098</v>
      </c>
      <c r="B1114" s="20">
        <f>IF(AND($L1114="",$M1114="",$N1114=""),"",IF($L1114&lt;&gt;"",INDEX(LdADate,$L1114),IF($M1114&lt;&gt;"",INDEX(LdBDate,$M1114),INDEX(LdCDate,$N1114))))</f>
        <v/>
      </c>
      <c r="C1114" s="20">
        <f>IF($L1114&lt;&gt;"","دستمزد (فردی)",IF($M1114&lt;&gt;"","سهم از گروه "&amp;IFERROR(VLOOKUP(INDEX(LdBGroup,$M1114),WGTbl,2,0),INDEX(LdBGroup,$M1114)),IF($N1114&lt;&gt;"",IF(N(INDEX(LdCDep,$N1114))&gt;0,"بازگشت بانکی","پرداخت بانکی"),"")))</f>
        <v/>
      </c>
      <c r="D1114" s="20">
        <f>IF($L1114&lt;&gt;"",IF(INDEX(LdAId,$L1114)="","—",INDEX(LdAId,$L1114)),IF($M1114&lt;&gt;"",IF(INDEX(LdBId,$M1114)="","—",INDEX(LdBId,$M1114)),IF($N1114&lt;&gt;"",IF(INDEX(LdCBank,$N1114)="","—",INDEX(LdCBank,$N1114)),"")))</f>
        <v/>
      </c>
      <c r="E1114" s="21">
        <f>IF($L1114&lt;&gt;"",IF(INDEX(LdAAmt,$L1114)=0,"",INDEX(LdAAmt,$L1114)),IF($M1114&lt;&gt;"",IF(INDEX(LdBAmt,$M1114)=0,"",INDEX(LdBAmt,$M1114)),IF($N1114&lt;&gt;"",IF(INDEX(LdCDep,$N1114)=0,"",INDEX(LdCDep,$N1114)),"")))</f>
        <v/>
      </c>
      <c r="F1114" s="21">
        <f>IF(AND($L1114="",$M1114="",$N1114=""),"",IF($N1114="","",IF(INDEX(LdCWit,$N1114)=0,"",INDEX(LdCWit,$N1114))))</f>
        <v/>
      </c>
      <c r="G1114" s="31">
        <f>IF($B1114="","",IF($G1113="",0,$G1113)+IF($E1114="",0,$E1114)-IF($F1114="",0,$F1114))</f>
        <v/>
      </c>
      <c r="H1114" s="32">
        <f>IF(AND($L1114="",$M1114="",$N1114=""),"",IF($L1114&lt;&gt;"",IF(INDEX(LdANote,$L1114)="","—",INDEX(LdANote,$L1114)),IF($M1114&lt;&gt;"",IF(INDEX(LdBNote,$M1114)="","—",INDEX(LdBNote,$M1114)),IF($N1114&lt;&gt;"",IF(INDEX(LdCNote,$N1114)="","—",INDEX(LdCNote,$N1114)),""))))</f>
        <v/>
      </c>
      <c r="L1114">
        <f>IFERROR(MATCH($C$5&amp;"|"&amp;RIGHT("000000"&amp;1098,6),LdAKeyM,0),"")</f>
        <v/>
      </c>
      <c r="M1114">
        <f>IFERROR(MATCH($C$5&amp;"|"&amp;RIGHT("000000"&amp;1098,6),LdBKeyM,0),"")</f>
        <v/>
      </c>
      <c r="N1114">
        <f>IFERROR(MATCH($C$5&amp;"|"&amp;RIGHT("000000"&amp;1098,6),LdCKeyM,0),"")</f>
        <v/>
      </c>
    </row>
    <row r="1115">
      <c r="A1115" s="10" t="n">
        <v>1099</v>
      </c>
      <c r="B1115" s="14">
        <f>IF(AND($L1115="",$M1115="",$N1115=""),"",IF($L1115&lt;&gt;"",INDEX(LdADate,$L1115),IF($M1115&lt;&gt;"",INDEX(LdBDate,$M1115),INDEX(LdCDate,$N1115))))</f>
        <v/>
      </c>
      <c r="C1115" s="14">
        <f>IF($L1115&lt;&gt;"","دستمزد (فردی)",IF($M1115&lt;&gt;"","سهم از گروه "&amp;IFERROR(VLOOKUP(INDEX(LdBGroup,$M1115),WGTbl,2,0),INDEX(LdBGroup,$M1115)),IF($N1115&lt;&gt;"",IF(N(INDEX(LdCDep,$N1115))&gt;0,"بازگشت بانکی","پرداخت بانکی"),"")))</f>
        <v/>
      </c>
      <c r="D1115" s="14">
        <f>IF($L1115&lt;&gt;"",IF(INDEX(LdAId,$L1115)="","—",INDEX(LdAId,$L1115)),IF($M1115&lt;&gt;"",IF(INDEX(LdBId,$M1115)="","—",INDEX(LdBId,$M1115)),IF($N1115&lt;&gt;"",IF(INDEX(LdCBank,$N1115)="","—",INDEX(LdCBank,$N1115)),"")))</f>
        <v/>
      </c>
      <c r="E1115" s="16">
        <f>IF($L1115&lt;&gt;"",IF(INDEX(LdAAmt,$L1115)=0,"",INDEX(LdAAmt,$L1115)),IF($M1115&lt;&gt;"",IF(INDEX(LdBAmt,$M1115)=0,"",INDEX(LdBAmt,$M1115)),IF($N1115&lt;&gt;"",IF(INDEX(LdCDep,$N1115)=0,"",INDEX(LdCDep,$N1115)),"")))</f>
        <v/>
      </c>
      <c r="F1115" s="16">
        <f>IF(AND($L1115="",$M1115="",$N1115=""),"",IF($N1115="","",IF(INDEX(LdCWit,$N1115)=0,"",INDEX(LdCWit,$N1115))))</f>
        <v/>
      </c>
      <c r="G1115" s="29">
        <f>IF($B1115="","",IF($G1114="",0,$G1114)+IF($E1115="",0,$E1115)-IF($F1115="",0,$F1115))</f>
        <v/>
      </c>
      <c r="H1115" s="30">
        <f>IF(AND($L1115="",$M1115="",$N1115=""),"",IF($L1115&lt;&gt;"",IF(INDEX(LdANote,$L1115)="","—",INDEX(LdANote,$L1115)),IF($M1115&lt;&gt;"",IF(INDEX(LdBNote,$M1115)="","—",INDEX(LdBNote,$M1115)),IF($N1115&lt;&gt;"",IF(INDEX(LdCNote,$N1115)="","—",INDEX(LdCNote,$N1115)),""))))</f>
        <v/>
      </c>
      <c r="L1115">
        <f>IFERROR(MATCH($C$5&amp;"|"&amp;RIGHT("000000"&amp;1099,6),LdAKeyM,0),"")</f>
        <v/>
      </c>
      <c r="M1115">
        <f>IFERROR(MATCH($C$5&amp;"|"&amp;RIGHT("000000"&amp;1099,6),LdBKeyM,0),"")</f>
        <v/>
      </c>
      <c r="N1115">
        <f>IFERROR(MATCH($C$5&amp;"|"&amp;RIGHT("000000"&amp;1099,6),LdCKeyM,0),"")</f>
        <v/>
      </c>
    </row>
    <row r="1116">
      <c r="A1116" s="19" t="n">
        <v>1100</v>
      </c>
      <c r="B1116" s="20">
        <f>IF(AND($L1116="",$M1116="",$N1116=""),"",IF($L1116&lt;&gt;"",INDEX(LdADate,$L1116),IF($M1116&lt;&gt;"",INDEX(LdBDate,$M1116),INDEX(LdCDate,$N1116))))</f>
        <v/>
      </c>
      <c r="C1116" s="20">
        <f>IF($L1116&lt;&gt;"","دستمزد (فردی)",IF($M1116&lt;&gt;"","سهم از گروه "&amp;IFERROR(VLOOKUP(INDEX(LdBGroup,$M1116),WGTbl,2,0),INDEX(LdBGroup,$M1116)),IF($N1116&lt;&gt;"",IF(N(INDEX(LdCDep,$N1116))&gt;0,"بازگشت بانکی","پرداخت بانکی"),"")))</f>
        <v/>
      </c>
      <c r="D1116" s="20">
        <f>IF($L1116&lt;&gt;"",IF(INDEX(LdAId,$L1116)="","—",INDEX(LdAId,$L1116)),IF($M1116&lt;&gt;"",IF(INDEX(LdBId,$M1116)="","—",INDEX(LdBId,$M1116)),IF($N1116&lt;&gt;"",IF(INDEX(LdCBank,$N1116)="","—",INDEX(LdCBank,$N1116)),"")))</f>
        <v/>
      </c>
      <c r="E1116" s="21">
        <f>IF($L1116&lt;&gt;"",IF(INDEX(LdAAmt,$L1116)=0,"",INDEX(LdAAmt,$L1116)),IF($M1116&lt;&gt;"",IF(INDEX(LdBAmt,$M1116)=0,"",INDEX(LdBAmt,$M1116)),IF($N1116&lt;&gt;"",IF(INDEX(LdCDep,$N1116)=0,"",INDEX(LdCDep,$N1116)),"")))</f>
        <v/>
      </c>
      <c r="F1116" s="21">
        <f>IF(AND($L1116="",$M1116="",$N1116=""),"",IF($N1116="","",IF(INDEX(LdCWit,$N1116)=0,"",INDEX(LdCWit,$N1116))))</f>
        <v/>
      </c>
      <c r="G1116" s="31">
        <f>IF($B1116="","",IF($G1115="",0,$G1115)+IF($E1116="",0,$E1116)-IF($F1116="",0,$F1116))</f>
        <v/>
      </c>
      <c r="H1116" s="32">
        <f>IF(AND($L1116="",$M1116="",$N1116=""),"",IF($L1116&lt;&gt;"",IF(INDEX(LdANote,$L1116)="","—",INDEX(LdANote,$L1116)),IF($M1116&lt;&gt;"",IF(INDEX(LdBNote,$M1116)="","—",INDEX(LdBNote,$M1116)),IF($N1116&lt;&gt;"",IF(INDEX(LdCNote,$N1116)="","—",INDEX(LdCNote,$N1116)),""))))</f>
        <v/>
      </c>
      <c r="L1116">
        <f>IFERROR(MATCH($C$5&amp;"|"&amp;RIGHT("000000"&amp;1100,6),LdAKeyM,0),"")</f>
        <v/>
      </c>
      <c r="M1116">
        <f>IFERROR(MATCH($C$5&amp;"|"&amp;RIGHT("000000"&amp;1100,6),LdBKeyM,0),"")</f>
        <v/>
      </c>
      <c r="N1116">
        <f>IFERROR(MATCH($C$5&amp;"|"&amp;RIGHT("000000"&amp;1100,6),LdCKeyM,0),"")</f>
        <v/>
      </c>
    </row>
    <row r="1117">
      <c r="A1117" s="10" t="n">
        <v>1101</v>
      </c>
      <c r="B1117" s="14">
        <f>IF(AND($L1117="",$M1117="",$N1117=""),"",IF($L1117&lt;&gt;"",INDEX(LdADate,$L1117),IF($M1117&lt;&gt;"",INDEX(LdBDate,$M1117),INDEX(LdCDate,$N1117))))</f>
        <v/>
      </c>
      <c r="C1117" s="14">
        <f>IF($L1117&lt;&gt;"","دستمزد (فردی)",IF($M1117&lt;&gt;"","سهم از گروه "&amp;IFERROR(VLOOKUP(INDEX(LdBGroup,$M1117),WGTbl,2,0),INDEX(LdBGroup,$M1117)),IF($N1117&lt;&gt;"",IF(N(INDEX(LdCDep,$N1117))&gt;0,"بازگشت بانکی","پرداخت بانکی"),"")))</f>
        <v/>
      </c>
      <c r="D1117" s="14">
        <f>IF($L1117&lt;&gt;"",IF(INDEX(LdAId,$L1117)="","—",INDEX(LdAId,$L1117)),IF($M1117&lt;&gt;"",IF(INDEX(LdBId,$M1117)="","—",INDEX(LdBId,$M1117)),IF($N1117&lt;&gt;"",IF(INDEX(LdCBank,$N1117)="","—",INDEX(LdCBank,$N1117)),"")))</f>
        <v/>
      </c>
      <c r="E1117" s="16">
        <f>IF($L1117&lt;&gt;"",IF(INDEX(LdAAmt,$L1117)=0,"",INDEX(LdAAmt,$L1117)),IF($M1117&lt;&gt;"",IF(INDEX(LdBAmt,$M1117)=0,"",INDEX(LdBAmt,$M1117)),IF($N1117&lt;&gt;"",IF(INDEX(LdCDep,$N1117)=0,"",INDEX(LdCDep,$N1117)),"")))</f>
        <v/>
      </c>
      <c r="F1117" s="16">
        <f>IF(AND($L1117="",$M1117="",$N1117=""),"",IF($N1117="","",IF(INDEX(LdCWit,$N1117)=0,"",INDEX(LdCWit,$N1117))))</f>
        <v/>
      </c>
      <c r="G1117" s="29">
        <f>IF($B1117="","",IF($G1116="",0,$G1116)+IF($E1117="",0,$E1117)-IF($F1117="",0,$F1117))</f>
        <v/>
      </c>
      <c r="H1117" s="30">
        <f>IF(AND($L1117="",$M1117="",$N1117=""),"",IF($L1117&lt;&gt;"",IF(INDEX(LdANote,$L1117)="","—",INDEX(LdANote,$L1117)),IF($M1117&lt;&gt;"",IF(INDEX(LdBNote,$M1117)="","—",INDEX(LdBNote,$M1117)),IF($N1117&lt;&gt;"",IF(INDEX(LdCNote,$N1117)="","—",INDEX(LdCNote,$N1117)),""))))</f>
        <v/>
      </c>
      <c r="L1117">
        <f>IFERROR(MATCH($C$5&amp;"|"&amp;RIGHT("000000"&amp;1101,6),LdAKeyM,0),"")</f>
        <v/>
      </c>
      <c r="M1117">
        <f>IFERROR(MATCH($C$5&amp;"|"&amp;RIGHT("000000"&amp;1101,6),LdBKeyM,0),"")</f>
        <v/>
      </c>
      <c r="N1117">
        <f>IFERROR(MATCH($C$5&amp;"|"&amp;RIGHT("000000"&amp;1101,6),LdCKeyM,0),"")</f>
        <v/>
      </c>
    </row>
    <row r="1118">
      <c r="A1118" s="19" t="n">
        <v>1102</v>
      </c>
      <c r="B1118" s="20">
        <f>IF(AND($L1118="",$M1118="",$N1118=""),"",IF($L1118&lt;&gt;"",INDEX(LdADate,$L1118),IF($M1118&lt;&gt;"",INDEX(LdBDate,$M1118),INDEX(LdCDate,$N1118))))</f>
        <v/>
      </c>
      <c r="C1118" s="20">
        <f>IF($L1118&lt;&gt;"","دستمزد (فردی)",IF($M1118&lt;&gt;"","سهم از گروه "&amp;IFERROR(VLOOKUP(INDEX(LdBGroup,$M1118),WGTbl,2,0),INDEX(LdBGroup,$M1118)),IF($N1118&lt;&gt;"",IF(N(INDEX(LdCDep,$N1118))&gt;0,"بازگشت بانکی","پرداخت بانکی"),"")))</f>
        <v/>
      </c>
      <c r="D1118" s="20">
        <f>IF($L1118&lt;&gt;"",IF(INDEX(LdAId,$L1118)="","—",INDEX(LdAId,$L1118)),IF($M1118&lt;&gt;"",IF(INDEX(LdBId,$M1118)="","—",INDEX(LdBId,$M1118)),IF($N1118&lt;&gt;"",IF(INDEX(LdCBank,$N1118)="","—",INDEX(LdCBank,$N1118)),"")))</f>
        <v/>
      </c>
      <c r="E1118" s="21">
        <f>IF($L1118&lt;&gt;"",IF(INDEX(LdAAmt,$L1118)=0,"",INDEX(LdAAmt,$L1118)),IF($M1118&lt;&gt;"",IF(INDEX(LdBAmt,$M1118)=0,"",INDEX(LdBAmt,$M1118)),IF($N1118&lt;&gt;"",IF(INDEX(LdCDep,$N1118)=0,"",INDEX(LdCDep,$N1118)),"")))</f>
        <v/>
      </c>
      <c r="F1118" s="21">
        <f>IF(AND($L1118="",$M1118="",$N1118=""),"",IF($N1118="","",IF(INDEX(LdCWit,$N1118)=0,"",INDEX(LdCWit,$N1118))))</f>
        <v/>
      </c>
      <c r="G1118" s="31">
        <f>IF($B1118="","",IF($G1117="",0,$G1117)+IF($E1118="",0,$E1118)-IF($F1118="",0,$F1118))</f>
        <v/>
      </c>
      <c r="H1118" s="32">
        <f>IF(AND($L1118="",$M1118="",$N1118=""),"",IF($L1118&lt;&gt;"",IF(INDEX(LdANote,$L1118)="","—",INDEX(LdANote,$L1118)),IF($M1118&lt;&gt;"",IF(INDEX(LdBNote,$M1118)="","—",INDEX(LdBNote,$M1118)),IF($N1118&lt;&gt;"",IF(INDEX(LdCNote,$N1118)="","—",INDEX(LdCNote,$N1118)),""))))</f>
        <v/>
      </c>
      <c r="L1118">
        <f>IFERROR(MATCH($C$5&amp;"|"&amp;RIGHT("000000"&amp;1102,6),LdAKeyM,0),"")</f>
        <v/>
      </c>
      <c r="M1118">
        <f>IFERROR(MATCH($C$5&amp;"|"&amp;RIGHT("000000"&amp;1102,6),LdBKeyM,0),"")</f>
        <v/>
      </c>
      <c r="N1118">
        <f>IFERROR(MATCH($C$5&amp;"|"&amp;RIGHT("000000"&amp;1102,6),LdCKeyM,0),"")</f>
        <v/>
      </c>
    </row>
    <row r="1119">
      <c r="A1119" s="10" t="n">
        <v>1103</v>
      </c>
      <c r="B1119" s="14">
        <f>IF(AND($L1119="",$M1119="",$N1119=""),"",IF($L1119&lt;&gt;"",INDEX(LdADate,$L1119),IF($M1119&lt;&gt;"",INDEX(LdBDate,$M1119),INDEX(LdCDate,$N1119))))</f>
        <v/>
      </c>
      <c r="C1119" s="14">
        <f>IF($L1119&lt;&gt;"","دستمزد (فردی)",IF($M1119&lt;&gt;"","سهم از گروه "&amp;IFERROR(VLOOKUP(INDEX(LdBGroup,$M1119),WGTbl,2,0),INDEX(LdBGroup,$M1119)),IF($N1119&lt;&gt;"",IF(N(INDEX(LdCDep,$N1119))&gt;0,"بازگشت بانکی","پرداخت بانکی"),"")))</f>
        <v/>
      </c>
      <c r="D1119" s="14">
        <f>IF($L1119&lt;&gt;"",IF(INDEX(LdAId,$L1119)="","—",INDEX(LdAId,$L1119)),IF($M1119&lt;&gt;"",IF(INDEX(LdBId,$M1119)="","—",INDEX(LdBId,$M1119)),IF($N1119&lt;&gt;"",IF(INDEX(LdCBank,$N1119)="","—",INDEX(LdCBank,$N1119)),"")))</f>
        <v/>
      </c>
      <c r="E1119" s="16">
        <f>IF($L1119&lt;&gt;"",IF(INDEX(LdAAmt,$L1119)=0,"",INDEX(LdAAmt,$L1119)),IF($M1119&lt;&gt;"",IF(INDEX(LdBAmt,$M1119)=0,"",INDEX(LdBAmt,$M1119)),IF($N1119&lt;&gt;"",IF(INDEX(LdCDep,$N1119)=0,"",INDEX(LdCDep,$N1119)),"")))</f>
        <v/>
      </c>
      <c r="F1119" s="16">
        <f>IF(AND($L1119="",$M1119="",$N1119=""),"",IF($N1119="","",IF(INDEX(LdCWit,$N1119)=0,"",INDEX(LdCWit,$N1119))))</f>
        <v/>
      </c>
      <c r="G1119" s="29">
        <f>IF($B1119="","",IF($G1118="",0,$G1118)+IF($E1119="",0,$E1119)-IF($F1119="",0,$F1119))</f>
        <v/>
      </c>
      <c r="H1119" s="30">
        <f>IF(AND($L1119="",$M1119="",$N1119=""),"",IF($L1119&lt;&gt;"",IF(INDEX(LdANote,$L1119)="","—",INDEX(LdANote,$L1119)),IF($M1119&lt;&gt;"",IF(INDEX(LdBNote,$M1119)="","—",INDEX(LdBNote,$M1119)),IF($N1119&lt;&gt;"",IF(INDEX(LdCNote,$N1119)="","—",INDEX(LdCNote,$N1119)),""))))</f>
        <v/>
      </c>
      <c r="L1119">
        <f>IFERROR(MATCH($C$5&amp;"|"&amp;RIGHT("000000"&amp;1103,6),LdAKeyM,0),"")</f>
        <v/>
      </c>
      <c r="M1119">
        <f>IFERROR(MATCH($C$5&amp;"|"&amp;RIGHT("000000"&amp;1103,6),LdBKeyM,0),"")</f>
        <v/>
      </c>
      <c r="N1119">
        <f>IFERROR(MATCH($C$5&amp;"|"&amp;RIGHT("000000"&amp;1103,6),LdCKeyM,0),"")</f>
        <v/>
      </c>
    </row>
    <row r="1120">
      <c r="A1120" s="19" t="n">
        <v>1104</v>
      </c>
      <c r="B1120" s="20">
        <f>IF(AND($L1120="",$M1120="",$N1120=""),"",IF($L1120&lt;&gt;"",INDEX(LdADate,$L1120),IF($M1120&lt;&gt;"",INDEX(LdBDate,$M1120),INDEX(LdCDate,$N1120))))</f>
        <v/>
      </c>
      <c r="C1120" s="20">
        <f>IF($L1120&lt;&gt;"","دستمزد (فردی)",IF($M1120&lt;&gt;"","سهم از گروه "&amp;IFERROR(VLOOKUP(INDEX(LdBGroup,$M1120),WGTbl,2,0),INDEX(LdBGroup,$M1120)),IF($N1120&lt;&gt;"",IF(N(INDEX(LdCDep,$N1120))&gt;0,"بازگشت بانکی","پرداخت بانکی"),"")))</f>
        <v/>
      </c>
      <c r="D1120" s="20">
        <f>IF($L1120&lt;&gt;"",IF(INDEX(LdAId,$L1120)="","—",INDEX(LdAId,$L1120)),IF($M1120&lt;&gt;"",IF(INDEX(LdBId,$M1120)="","—",INDEX(LdBId,$M1120)),IF($N1120&lt;&gt;"",IF(INDEX(LdCBank,$N1120)="","—",INDEX(LdCBank,$N1120)),"")))</f>
        <v/>
      </c>
      <c r="E1120" s="21">
        <f>IF($L1120&lt;&gt;"",IF(INDEX(LdAAmt,$L1120)=0,"",INDEX(LdAAmt,$L1120)),IF($M1120&lt;&gt;"",IF(INDEX(LdBAmt,$M1120)=0,"",INDEX(LdBAmt,$M1120)),IF($N1120&lt;&gt;"",IF(INDEX(LdCDep,$N1120)=0,"",INDEX(LdCDep,$N1120)),"")))</f>
        <v/>
      </c>
      <c r="F1120" s="21">
        <f>IF(AND($L1120="",$M1120="",$N1120=""),"",IF($N1120="","",IF(INDEX(LdCWit,$N1120)=0,"",INDEX(LdCWit,$N1120))))</f>
        <v/>
      </c>
      <c r="G1120" s="31">
        <f>IF($B1120="","",IF($G1119="",0,$G1119)+IF($E1120="",0,$E1120)-IF($F1120="",0,$F1120))</f>
        <v/>
      </c>
      <c r="H1120" s="32">
        <f>IF(AND($L1120="",$M1120="",$N1120=""),"",IF($L1120&lt;&gt;"",IF(INDEX(LdANote,$L1120)="","—",INDEX(LdANote,$L1120)),IF($M1120&lt;&gt;"",IF(INDEX(LdBNote,$M1120)="","—",INDEX(LdBNote,$M1120)),IF($N1120&lt;&gt;"",IF(INDEX(LdCNote,$N1120)="","—",INDEX(LdCNote,$N1120)),""))))</f>
        <v/>
      </c>
      <c r="L1120">
        <f>IFERROR(MATCH($C$5&amp;"|"&amp;RIGHT("000000"&amp;1104,6),LdAKeyM,0),"")</f>
        <v/>
      </c>
      <c r="M1120">
        <f>IFERROR(MATCH($C$5&amp;"|"&amp;RIGHT("000000"&amp;1104,6),LdBKeyM,0),"")</f>
        <v/>
      </c>
      <c r="N1120">
        <f>IFERROR(MATCH($C$5&amp;"|"&amp;RIGHT("000000"&amp;1104,6),LdCKeyM,0),"")</f>
        <v/>
      </c>
    </row>
    <row r="1121">
      <c r="A1121" s="10" t="n">
        <v>1105</v>
      </c>
      <c r="B1121" s="14">
        <f>IF(AND($L1121="",$M1121="",$N1121=""),"",IF($L1121&lt;&gt;"",INDEX(LdADate,$L1121),IF($M1121&lt;&gt;"",INDEX(LdBDate,$M1121),INDEX(LdCDate,$N1121))))</f>
        <v/>
      </c>
      <c r="C1121" s="14">
        <f>IF($L1121&lt;&gt;"","دستمزد (فردی)",IF($M1121&lt;&gt;"","سهم از گروه "&amp;IFERROR(VLOOKUP(INDEX(LdBGroup,$M1121),WGTbl,2,0),INDEX(LdBGroup,$M1121)),IF($N1121&lt;&gt;"",IF(N(INDEX(LdCDep,$N1121))&gt;0,"بازگشت بانکی","پرداخت بانکی"),"")))</f>
        <v/>
      </c>
      <c r="D1121" s="14">
        <f>IF($L1121&lt;&gt;"",IF(INDEX(LdAId,$L1121)="","—",INDEX(LdAId,$L1121)),IF($M1121&lt;&gt;"",IF(INDEX(LdBId,$M1121)="","—",INDEX(LdBId,$M1121)),IF($N1121&lt;&gt;"",IF(INDEX(LdCBank,$N1121)="","—",INDEX(LdCBank,$N1121)),"")))</f>
        <v/>
      </c>
      <c r="E1121" s="16">
        <f>IF($L1121&lt;&gt;"",IF(INDEX(LdAAmt,$L1121)=0,"",INDEX(LdAAmt,$L1121)),IF($M1121&lt;&gt;"",IF(INDEX(LdBAmt,$M1121)=0,"",INDEX(LdBAmt,$M1121)),IF($N1121&lt;&gt;"",IF(INDEX(LdCDep,$N1121)=0,"",INDEX(LdCDep,$N1121)),"")))</f>
        <v/>
      </c>
      <c r="F1121" s="16">
        <f>IF(AND($L1121="",$M1121="",$N1121=""),"",IF($N1121="","",IF(INDEX(LdCWit,$N1121)=0,"",INDEX(LdCWit,$N1121))))</f>
        <v/>
      </c>
      <c r="G1121" s="29">
        <f>IF($B1121="","",IF($G1120="",0,$G1120)+IF($E1121="",0,$E1121)-IF($F1121="",0,$F1121))</f>
        <v/>
      </c>
      <c r="H1121" s="30">
        <f>IF(AND($L1121="",$M1121="",$N1121=""),"",IF($L1121&lt;&gt;"",IF(INDEX(LdANote,$L1121)="","—",INDEX(LdANote,$L1121)),IF($M1121&lt;&gt;"",IF(INDEX(LdBNote,$M1121)="","—",INDEX(LdBNote,$M1121)),IF($N1121&lt;&gt;"",IF(INDEX(LdCNote,$N1121)="","—",INDEX(LdCNote,$N1121)),""))))</f>
        <v/>
      </c>
      <c r="L1121">
        <f>IFERROR(MATCH($C$5&amp;"|"&amp;RIGHT("000000"&amp;1105,6),LdAKeyM,0),"")</f>
        <v/>
      </c>
      <c r="M1121">
        <f>IFERROR(MATCH($C$5&amp;"|"&amp;RIGHT("000000"&amp;1105,6),LdBKeyM,0),"")</f>
        <v/>
      </c>
      <c r="N1121">
        <f>IFERROR(MATCH($C$5&amp;"|"&amp;RIGHT("000000"&amp;1105,6),LdCKeyM,0),"")</f>
        <v/>
      </c>
    </row>
    <row r="1122">
      <c r="A1122" s="19" t="n">
        <v>1106</v>
      </c>
      <c r="B1122" s="20">
        <f>IF(AND($L1122="",$M1122="",$N1122=""),"",IF($L1122&lt;&gt;"",INDEX(LdADate,$L1122),IF($M1122&lt;&gt;"",INDEX(LdBDate,$M1122),INDEX(LdCDate,$N1122))))</f>
        <v/>
      </c>
      <c r="C1122" s="20">
        <f>IF($L1122&lt;&gt;"","دستمزد (فردی)",IF($M1122&lt;&gt;"","سهم از گروه "&amp;IFERROR(VLOOKUP(INDEX(LdBGroup,$M1122),WGTbl,2,0),INDEX(LdBGroup,$M1122)),IF($N1122&lt;&gt;"",IF(N(INDEX(LdCDep,$N1122))&gt;0,"بازگشت بانکی","پرداخت بانکی"),"")))</f>
        <v/>
      </c>
      <c r="D1122" s="20">
        <f>IF($L1122&lt;&gt;"",IF(INDEX(LdAId,$L1122)="","—",INDEX(LdAId,$L1122)),IF($M1122&lt;&gt;"",IF(INDEX(LdBId,$M1122)="","—",INDEX(LdBId,$M1122)),IF($N1122&lt;&gt;"",IF(INDEX(LdCBank,$N1122)="","—",INDEX(LdCBank,$N1122)),"")))</f>
        <v/>
      </c>
      <c r="E1122" s="21">
        <f>IF($L1122&lt;&gt;"",IF(INDEX(LdAAmt,$L1122)=0,"",INDEX(LdAAmt,$L1122)),IF($M1122&lt;&gt;"",IF(INDEX(LdBAmt,$M1122)=0,"",INDEX(LdBAmt,$M1122)),IF($N1122&lt;&gt;"",IF(INDEX(LdCDep,$N1122)=0,"",INDEX(LdCDep,$N1122)),"")))</f>
        <v/>
      </c>
      <c r="F1122" s="21">
        <f>IF(AND($L1122="",$M1122="",$N1122=""),"",IF($N1122="","",IF(INDEX(LdCWit,$N1122)=0,"",INDEX(LdCWit,$N1122))))</f>
        <v/>
      </c>
      <c r="G1122" s="31">
        <f>IF($B1122="","",IF($G1121="",0,$G1121)+IF($E1122="",0,$E1122)-IF($F1122="",0,$F1122))</f>
        <v/>
      </c>
      <c r="H1122" s="32">
        <f>IF(AND($L1122="",$M1122="",$N1122=""),"",IF($L1122&lt;&gt;"",IF(INDEX(LdANote,$L1122)="","—",INDEX(LdANote,$L1122)),IF($M1122&lt;&gt;"",IF(INDEX(LdBNote,$M1122)="","—",INDEX(LdBNote,$M1122)),IF($N1122&lt;&gt;"",IF(INDEX(LdCNote,$N1122)="","—",INDEX(LdCNote,$N1122)),""))))</f>
        <v/>
      </c>
      <c r="L1122">
        <f>IFERROR(MATCH($C$5&amp;"|"&amp;RIGHT("000000"&amp;1106,6),LdAKeyM,0),"")</f>
        <v/>
      </c>
      <c r="M1122">
        <f>IFERROR(MATCH($C$5&amp;"|"&amp;RIGHT("000000"&amp;1106,6),LdBKeyM,0),"")</f>
        <v/>
      </c>
      <c r="N1122">
        <f>IFERROR(MATCH($C$5&amp;"|"&amp;RIGHT("000000"&amp;1106,6),LdCKeyM,0),"")</f>
        <v/>
      </c>
    </row>
    <row r="1123">
      <c r="A1123" s="10" t="n">
        <v>1107</v>
      </c>
      <c r="B1123" s="14">
        <f>IF(AND($L1123="",$M1123="",$N1123=""),"",IF($L1123&lt;&gt;"",INDEX(LdADate,$L1123),IF($M1123&lt;&gt;"",INDEX(LdBDate,$M1123),INDEX(LdCDate,$N1123))))</f>
        <v/>
      </c>
      <c r="C1123" s="14">
        <f>IF($L1123&lt;&gt;"","دستمزد (فردی)",IF($M1123&lt;&gt;"","سهم از گروه "&amp;IFERROR(VLOOKUP(INDEX(LdBGroup,$M1123),WGTbl,2,0),INDEX(LdBGroup,$M1123)),IF($N1123&lt;&gt;"",IF(N(INDEX(LdCDep,$N1123))&gt;0,"بازگشت بانکی","پرداخت بانکی"),"")))</f>
        <v/>
      </c>
      <c r="D1123" s="14">
        <f>IF($L1123&lt;&gt;"",IF(INDEX(LdAId,$L1123)="","—",INDEX(LdAId,$L1123)),IF($M1123&lt;&gt;"",IF(INDEX(LdBId,$M1123)="","—",INDEX(LdBId,$M1123)),IF($N1123&lt;&gt;"",IF(INDEX(LdCBank,$N1123)="","—",INDEX(LdCBank,$N1123)),"")))</f>
        <v/>
      </c>
      <c r="E1123" s="16">
        <f>IF($L1123&lt;&gt;"",IF(INDEX(LdAAmt,$L1123)=0,"",INDEX(LdAAmt,$L1123)),IF($M1123&lt;&gt;"",IF(INDEX(LdBAmt,$M1123)=0,"",INDEX(LdBAmt,$M1123)),IF($N1123&lt;&gt;"",IF(INDEX(LdCDep,$N1123)=0,"",INDEX(LdCDep,$N1123)),"")))</f>
        <v/>
      </c>
      <c r="F1123" s="16">
        <f>IF(AND($L1123="",$M1123="",$N1123=""),"",IF($N1123="","",IF(INDEX(LdCWit,$N1123)=0,"",INDEX(LdCWit,$N1123))))</f>
        <v/>
      </c>
      <c r="G1123" s="29">
        <f>IF($B1123="","",IF($G1122="",0,$G1122)+IF($E1123="",0,$E1123)-IF($F1123="",0,$F1123))</f>
        <v/>
      </c>
      <c r="H1123" s="30">
        <f>IF(AND($L1123="",$M1123="",$N1123=""),"",IF($L1123&lt;&gt;"",IF(INDEX(LdANote,$L1123)="","—",INDEX(LdANote,$L1123)),IF($M1123&lt;&gt;"",IF(INDEX(LdBNote,$M1123)="","—",INDEX(LdBNote,$M1123)),IF($N1123&lt;&gt;"",IF(INDEX(LdCNote,$N1123)="","—",INDEX(LdCNote,$N1123)),""))))</f>
        <v/>
      </c>
      <c r="L1123">
        <f>IFERROR(MATCH($C$5&amp;"|"&amp;RIGHT("000000"&amp;1107,6),LdAKeyM,0),"")</f>
        <v/>
      </c>
      <c r="M1123">
        <f>IFERROR(MATCH($C$5&amp;"|"&amp;RIGHT("000000"&amp;1107,6),LdBKeyM,0),"")</f>
        <v/>
      </c>
      <c r="N1123">
        <f>IFERROR(MATCH($C$5&amp;"|"&amp;RIGHT("000000"&amp;1107,6),LdCKeyM,0),"")</f>
        <v/>
      </c>
    </row>
    <row r="1124">
      <c r="A1124" s="19" t="n">
        <v>1108</v>
      </c>
      <c r="B1124" s="20">
        <f>IF(AND($L1124="",$M1124="",$N1124=""),"",IF($L1124&lt;&gt;"",INDEX(LdADate,$L1124),IF($M1124&lt;&gt;"",INDEX(LdBDate,$M1124),INDEX(LdCDate,$N1124))))</f>
        <v/>
      </c>
      <c r="C1124" s="20">
        <f>IF($L1124&lt;&gt;"","دستمزد (فردی)",IF($M1124&lt;&gt;"","سهم از گروه "&amp;IFERROR(VLOOKUP(INDEX(LdBGroup,$M1124),WGTbl,2,0),INDEX(LdBGroup,$M1124)),IF($N1124&lt;&gt;"",IF(N(INDEX(LdCDep,$N1124))&gt;0,"بازگشت بانکی","پرداخت بانکی"),"")))</f>
        <v/>
      </c>
      <c r="D1124" s="20">
        <f>IF($L1124&lt;&gt;"",IF(INDEX(LdAId,$L1124)="","—",INDEX(LdAId,$L1124)),IF($M1124&lt;&gt;"",IF(INDEX(LdBId,$M1124)="","—",INDEX(LdBId,$M1124)),IF($N1124&lt;&gt;"",IF(INDEX(LdCBank,$N1124)="","—",INDEX(LdCBank,$N1124)),"")))</f>
        <v/>
      </c>
      <c r="E1124" s="21">
        <f>IF($L1124&lt;&gt;"",IF(INDEX(LdAAmt,$L1124)=0,"",INDEX(LdAAmt,$L1124)),IF($M1124&lt;&gt;"",IF(INDEX(LdBAmt,$M1124)=0,"",INDEX(LdBAmt,$M1124)),IF($N1124&lt;&gt;"",IF(INDEX(LdCDep,$N1124)=0,"",INDEX(LdCDep,$N1124)),"")))</f>
        <v/>
      </c>
      <c r="F1124" s="21">
        <f>IF(AND($L1124="",$M1124="",$N1124=""),"",IF($N1124="","",IF(INDEX(LdCWit,$N1124)=0,"",INDEX(LdCWit,$N1124))))</f>
        <v/>
      </c>
      <c r="G1124" s="31">
        <f>IF($B1124="","",IF($G1123="",0,$G1123)+IF($E1124="",0,$E1124)-IF($F1124="",0,$F1124))</f>
        <v/>
      </c>
      <c r="H1124" s="32">
        <f>IF(AND($L1124="",$M1124="",$N1124=""),"",IF($L1124&lt;&gt;"",IF(INDEX(LdANote,$L1124)="","—",INDEX(LdANote,$L1124)),IF($M1124&lt;&gt;"",IF(INDEX(LdBNote,$M1124)="","—",INDEX(LdBNote,$M1124)),IF($N1124&lt;&gt;"",IF(INDEX(LdCNote,$N1124)="","—",INDEX(LdCNote,$N1124)),""))))</f>
        <v/>
      </c>
      <c r="L1124">
        <f>IFERROR(MATCH($C$5&amp;"|"&amp;RIGHT("000000"&amp;1108,6),LdAKeyM,0),"")</f>
        <v/>
      </c>
      <c r="M1124">
        <f>IFERROR(MATCH($C$5&amp;"|"&amp;RIGHT("000000"&amp;1108,6),LdBKeyM,0),"")</f>
        <v/>
      </c>
      <c r="N1124">
        <f>IFERROR(MATCH($C$5&amp;"|"&amp;RIGHT("000000"&amp;1108,6),LdCKeyM,0),"")</f>
        <v/>
      </c>
    </row>
    <row r="1125">
      <c r="A1125" s="10" t="n">
        <v>1109</v>
      </c>
      <c r="B1125" s="14">
        <f>IF(AND($L1125="",$M1125="",$N1125=""),"",IF($L1125&lt;&gt;"",INDEX(LdADate,$L1125),IF($M1125&lt;&gt;"",INDEX(LdBDate,$M1125),INDEX(LdCDate,$N1125))))</f>
        <v/>
      </c>
      <c r="C1125" s="14">
        <f>IF($L1125&lt;&gt;"","دستمزد (فردی)",IF($M1125&lt;&gt;"","سهم از گروه "&amp;IFERROR(VLOOKUP(INDEX(LdBGroup,$M1125),WGTbl,2,0),INDEX(LdBGroup,$M1125)),IF($N1125&lt;&gt;"",IF(N(INDEX(LdCDep,$N1125))&gt;0,"بازگشت بانکی","پرداخت بانکی"),"")))</f>
        <v/>
      </c>
      <c r="D1125" s="14">
        <f>IF($L1125&lt;&gt;"",IF(INDEX(LdAId,$L1125)="","—",INDEX(LdAId,$L1125)),IF($M1125&lt;&gt;"",IF(INDEX(LdBId,$M1125)="","—",INDEX(LdBId,$M1125)),IF($N1125&lt;&gt;"",IF(INDEX(LdCBank,$N1125)="","—",INDEX(LdCBank,$N1125)),"")))</f>
        <v/>
      </c>
      <c r="E1125" s="16">
        <f>IF($L1125&lt;&gt;"",IF(INDEX(LdAAmt,$L1125)=0,"",INDEX(LdAAmt,$L1125)),IF($M1125&lt;&gt;"",IF(INDEX(LdBAmt,$M1125)=0,"",INDEX(LdBAmt,$M1125)),IF($N1125&lt;&gt;"",IF(INDEX(LdCDep,$N1125)=0,"",INDEX(LdCDep,$N1125)),"")))</f>
        <v/>
      </c>
      <c r="F1125" s="16">
        <f>IF(AND($L1125="",$M1125="",$N1125=""),"",IF($N1125="","",IF(INDEX(LdCWit,$N1125)=0,"",INDEX(LdCWit,$N1125))))</f>
        <v/>
      </c>
      <c r="G1125" s="29">
        <f>IF($B1125="","",IF($G1124="",0,$G1124)+IF($E1125="",0,$E1125)-IF($F1125="",0,$F1125))</f>
        <v/>
      </c>
      <c r="H1125" s="30">
        <f>IF(AND($L1125="",$M1125="",$N1125=""),"",IF($L1125&lt;&gt;"",IF(INDEX(LdANote,$L1125)="","—",INDEX(LdANote,$L1125)),IF($M1125&lt;&gt;"",IF(INDEX(LdBNote,$M1125)="","—",INDEX(LdBNote,$M1125)),IF($N1125&lt;&gt;"",IF(INDEX(LdCNote,$N1125)="","—",INDEX(LdCNote,$N1125)),""))))</f>
        <v/>
      </c>
      <c r="L1125">
        <f>IFERROR(MATCH($C$5&amp;"|"&amp;RIGHT("000000"&amp;1109,6),LdAKeyM,0),"")</f>
        <v/>
      </c>
      <c r="M1125">
        <f>IFERROR(MATCH($C$5&amp;"|"&amp;RIGHT("000000"&amp;1109,6),LdBKeyM,0),"")</f>
        <v/>
      </c>
      <c r="N1125">
        <f>IFERROR(MATCH($C$5&amp;"|"&amp;RIGHT("000000"&amp;1109,6),LdCKeyM,0),"")</f>
        <v/>
      </c>
    </row>
    <row r="1126">
      <c r="A1126" s="19" t="n">
        <v>1110</v>
      </c>
      <c r="B1126" s="20">
        <f>IF(AND($L1126="",$M1126="",$N1126=""),"",IF($L1126&lt;&gt;"",INDEX(LdADate,$L1126),IF($M1126&lt;&gt;"",INDEX(LdBDate,$M1126),INDEX(LdCDate,$N1126))))</f>
        <v/>
      </c>
      <c r="C1126" s="20">
        <f>IF($L1126&lt;&gt;"","دستمزد (فردی)",IF($M1126&lt;&gt;"","سهم از گروه "&amp;IFERROR(VLOOKUP(INDEX(LdBGroup,$M1126),WGTbl,2,0),INDEX(LdBGroup,$M1126)),IF($N1126&lt;&gt;"",IF(N(INDEX(LdCDep,$N1126))&gt;0,"بازگشت بانکی","پرداخت بانکی"),"")))</f>
        <v/>
      </c>
      <c r="D1126" s="20">
        <f>IF($L1126&lt;&gt;"",IF(INDEX(LdAId,$L1126)="","—",INDEX(LdAId,$L1126)),IF($M1126&lt;&gt;"",IF(INDEX(LdBId,$M1126)="","—",INDEX(LdBId,$M1126)),IF($N1126&lt;&gt;"",IF(INDEX(LdCBank,$N1126)="","—",INDEX(LdCBank,$N1126)),"")))</f>
        <v/>
      </c>
      <c r="E1126" s="21">
        <f>IF($L1126&lt;&gt;"",IF(INDEX(LdAAmt,$L1126)=0,"",INDEX(LdAAmt,$L1126)),IF($M1126&lt;&gt;"",IF(INDEX(LdBAmt,$M1126)=0,"",INDEX(LdBAmt,$M1126)),IF($N1126&lt;&gt;"",IF(INDEX(LdCDep,$N1126)=0,"",INDEX(LdCDep,$N1126)),"")))</f>
        <v/>
      </c>
      <c r="F1126" s="21">
        <f>IF(AND($L1126="",$M1126="",$N1126=""),"",IF($N1126="","",IF(INDEX(LdCWit,$N1126)=0,"",INDEX(LdCWit,$N1126))))</f>
        <v/>
      </c>
      <c r="G1126" s="31">
        <f>IF($B1126="","",IF($G1125="",0,$G1125)+IF($E1126="",0,$E1126)-IF($F1126="",0,$F1126))</f>
        <v/>
      </c>
      <c r="H1126" s="32">
        <f>IF(AND($L1126="",$M1126="",$N1126=""),"",IF($L1126&lt;&gt;"",IF(INDEX(LdANote,$L1126)="","—",INDEX(LdANote,$L1126)),IF($M1126&lt;&gt;"",IF(INDEX(LdBNote,$M1126)="","—",INDEX(LdBNote,$M1126)),IF($N1126&lt;&gt;"",IF(INDEX(LdCNote,$N1126)="","—",INDEX(LdCNote,$N1126)),""))))</f>
        <v/>
      </c>
      <c r="L1126">
        <f>IFERROR(MATCH($C$5&amp;"|"&amp;RIGHT("000000"&amp;1110,6),LdAKeyM,0),"")</f>
        <v/>
      </c>
      <c r="M1126">
        <f>IFERROR(MATCH($C$5&amp;"|"&amp;RIGHT("000000"&amp;1110,6),LdBKeyM,0),"")</f>
        <v/>
      </c>
      <c r="N1126">
        <f>IFERROR(MATCH($C$5&amp;"|"&amp;RIGHT("000000"&amp;1110,6),LdCKeyM,0),"")</f>
        <v/>
      </c>
    </row>
    <row r="1127">
      <c r="A1127" s="10" t="n">
        <v>1111</v>
      </c>
      <c r="B1127" s="14">
        <f>IF(AND($L1127="",$M1127="",$N1127=""),"",IF($L1127&lt;&gt;"",INDEX(LdADate,$L1127),IF($M1127&lt;&gt;"",INDEX(LdBDate,$M1127),INDEX(LdCDate,$N1127))))</f>
        <v/>
      </c>
      <c r="C1127" s="14">
        <f>IF($L1127&lt;&gt;"","دستمزد (فردی)",IF($M1127&lt;&gt;"","سهم از گروه "&amp;IFERROR(VLOOKUP(INDEX(LdBGroup,$M1127),WGTbl,2,0),INDEX(LdBGroup,$M1127)),IF($N1127&lt;&gt;"",IF(N(INDEX(LdCDep,$N1127))&gt;0,"بازگشت بانکی","پرداخت بانکی"),"")))</f>
        <v/>
      </c>
      <c r="D1127" s="14">
        <f>IF($L1127&lt;&gt;"",IF(INDEX(LdAId,$L1127)="","—",INDEX(LdAId,$L1127)),IF($M1127&lt;&gt;"",IF(INDEX(LdBId,$M1127)="","—",INDEX(LdBId,$M1127)),IF($N1127&lt;&gt;"",IF(INDEX(LdCBank,$N1127)="","—",INDEX(LdCBank,$N1127)),"")))</f>
        <v/>
      </c>
      <c r="E1127" s="16">
        <f>IF($L1127&lt;&gt;"",IF(INDEX(LdAAmt,$L1127)=0,"",INDEX(LdAAmt,$L1127)),IF($M1127&lt;&gt;"",IF(INDEX(LdBAmt,$M1127)=0,"",INDEX(LdBAmt,$M1127)),IF($N1127&lt;&gt;"",IF(INDEX(LdCDep,$N1127)=0,"",INDEX(LdCDep,$N1127)),"")))</f>
        <v/>
      </c>
      <c r="F1127" s="16">
        <f>IF(AND($L1127="",$M1127="",$N1127=""),"",IF($N1127="","",IF(INDEX(LdCWit,$N1127)=0,"",INDEX(LdCWit,$N1127))))</f>
        <v/>
      </c>
      <c r="G1127" s="29">
        <f>IF($B1127="","",IF($G1126="",0,$G1126)+IF($E1127="",0,$E1127)-IF($F1127="",0,$F1127))</f>
        <v/>
      </c>
      <c r="H1127" s="30">
        <f>IF(AND($L1127="",$M1127="",$N1127=""),"",IF($L1127&lt;&gt;"",IF(INDEX(LdANote,$L1127)="","—",INDEX(LdANote,$L1127)),IF($M1127&lt;&gt;"",IF(INDEX(LdBNote,$M1127)="","—",INDEX(LdBNote,$M1127)),IF($N1127&lt;&gt;"",IF(INDEX(LdCNote,$N1127)="","—",INDEX(LdCNote,$N1127)),""))))</f>
        <v/>
      </c>
      <c r="L1127">
        <f>IFERROR(MATCH($C$5&amp;"|"&amp;RIGHT("000000"&amp;1111,6),LdAKeyM,0),"")</f>
        <v/>
      </c>
      <c r="M1127">
        <f>IFERROR(MATCH($C$5&amp;"|"&amp;RIGHT("000000"&amp;1111,6),LdBKeyM,0),"")</f>
        <v/>
      </c>
      <c r="N1127">
        <f>IFERROR(MATCH($C$5&amp;"|"&amp;RIGHT("000000"&amp;1111,6),LdCKeyM,0),"")</f>
        <v/>
      </c>
    </row>
    <row r="1128">
      <c r="A1128" s="19" t="n">
        <v>1112</v>
      </c>
      <c r="B1128" s="20">
        <f>IF(AND($L1128="",$M1128="",$N1128=""),"",IF($L1128&lt;&gt;"",INDEX(LdADate,$L1128),IF($M1128&lt;&gt;"",INDEX(LdBDate,$M1128),INDEX(LdCDate,$N1128))))</f>
        <v/>
      </c>
      <c r="C1128" s="20">
        <f>IF($L1128&lt;&gt;"","دستمزد (فردی)",IF($M1128&lt;&gt;"","سهم از گروه "&amp;IFERROR(VLOOKUP(INDEX(LdBGroup,$M1128),WGTbl,2,0),INDEX(LdBGroup,$M1128)),IF($N1128&lt;&gt;"",IF(N(INDEX(LdCDep,$N1128))&gt;0,"بازگشت بانکی","پرداخت بانکی"),"")))</f>
        <v/>
      </c>
      <c r="D1128" s="20">
        <f>IF($L1128&lt;&gt;"",IF(INDEX(LdAId,$L1128)="","—",INDEX(LdAId,$L1128)),IF($M1128&lt;&gt;"",IF(INDEX(LdBId,$M1128)="","—",INDEX(LdBId,$M1128)),IF($N1128&lt;&gt;"",IF(INDEX(LdCBank,$N1128)="","—",INDEX(LdCBank,$N1128)),"")))</f>
        <v/>
      </c>
      <c r="E1128" s="21">
        <f>IF($L1128&lt;&gt;"",IF(INDEX(LdAAmt,$L1128)=0,"",INDEX(LdAAmt,$L1128)),IF($M1128&lt;&gt;"",IF(INDEX(LdBAmt,$M1128)=0,"",INDEX(LdBAmt,$M1128)),IF($N1128&lt;&gt;"",IF(INDEX(LdCDep,$N1128)=0,"",INDEX(LdCDep,$N1128)),"")))</f>
        <v/>
      </c>
      <c r="F1128" s="21">
        <f>IF(AND($L1128="",$M1128="",$N1128=""),"",IF($N1128="","",IF(INDEX(LdCWit,$N1128)=0,"",INDEX(LdCWit,$N1128))))</f>
        <v/>
      </c>
      <c r="G1128" s="31">
        <f>IF($B1128="","",IF($G1127="",0,$G1127)+IF($E1128="",0,$E1128)-IF($F1128="",0,$F1128))</f>
        <v/>
      </c>
      <c r="H1128" s="32">
        <f>IF(AND($L1128="",$M1128="",$N1128=""),"",IF($L1128&lt;&gt;"",IF(INDEX(LdANote,$L1128)="","—",INDEX(LdANote,$L1128)),IF($M1128&lt;&gt;"",IF(INDEX(LdBNote,$M1128)="","—",INDEX(LdBNote,$M1128)),IF($N1128&lt;&gt;"",IF(INDEX(LdCNote,$N1128)="","—",INDEX(LdCNote,$N1128)),""))))</f>
        <v/>
      </c>
      <c r="L1128">
        <f>IFERROR(MATCH($C$5&amp;"|"&amp;RIGHT("000000"&amp;1112,6),LdAKeyM,0),"")</f>
        <v/>
      </c>
      <c r="M1128">
        <f>IFERROR(MATCH($C$5&amp;"|"&amp;RIGHT("000000"&amp;1112,6),LdBKeyM,0),"")</f>
        <v/>
      </c>
      <c r="N1128">
        <f>IFERROR(MATCH($C$5&amp;"|"&amp;RIGHT("000000"&amp;1112,6),LdCKeyM,0),"")</f>
        <v/>
      </c>
    </row>
    <row r="1129">
      <c r="A1129" s="10" t="n">
        <v>1113</v>
      </c>
      <c r="B1129" s="14">
        <f>IF(AND($L1129="",$M1129="",$N1129=""),"",IF($L1129&lt;&gt;"",INDEX(LdADate,$L1129),IF($M1129&lt;&gt;"",INDEX(LdBDate,$M1129),INDEX(LdCDate,$N1129))))</f>
        <v/>
      </c>
      <c r="C1129" s="14">
        <f>IF($L1129&lt;&gt;"","دستمزد (فردی)",IF($M1129&lt;&gt;"","سهم از گروه "&amp;IFERROR(VLOOKUP(INDEX(LdBGroup,$M1129),WGTbl,2,0),INDEX(LdBGroup,$M1129)),IF($N1129&lt;&gt;"",IF(N(INDEX(LdCDep,$N1129))&gt;0,"بازگشت بانکی","پرداخت بانکی"),"")))</f>
        <v/>
      </c>
      <c r="D1129" s="14">
        <f>IF($L1129&lt;&gt;"",IF(INDEX(LdAId,$L1129)="","—",INDEX(LdAId,$L1129)),IF($M1129&lt;&gt;"",IF(INDEX(LdBId,$M1129)="","—",INDEX(LdBId,$M1129)),IF($N1129&lt;&gt;"",IF(INDEX(LdCBank,$N1129)="","—",INDEX(LdCBank,$N1129)),"")))</f>
        <v/>
      </c>
      <c r="E1129" s="16">
        <f>IF($L1129&lt;&gt;"",IF(INDEX(LdAAmt,$L1129)=0,"",INDEX(LdAAmt,$L1129)),IF($M1129&lt;&gt;"",IF(INDEX(LdBAmt,$M1129)=0,"",INDEX(LdBAmt,$M1129)),IF($N1129&lt;&gt;"",IF(INDEX(LdCDep,$N1129)=0,"",INDEX(LdCDep,$N1129)),"")))</f>
        <v/>
      </c>
      <c r="F1129" s="16">
        <f>IF(AND($L1129="",$M1129="",$N1129=""),"",IF($N1129="","",IF(INDEX(LdCWit,$N1129)=0,"",INDEX(LdCWit,$N1129))))</f>
        <v/>
      </c>
      <c r="G1129" s="29">
        <f>IF($B1129="","",IF($G1128="",0,$G1128)+IF($E1129="",0,$E1129)-IF($F1129="",0,$F1129))</f>
        <v/>
      </c>
      <c r="H1129" s="30">
        <f>IF(AND($L1129="",$M1129="",$N1129=""),"",IF($L1129&lt;&gt;"",IF(INDEX(LdANote,$L1129)="","—",INDEX(LdANote,$L1129)),IF($M1129&lt;&gt;"",IF(INDEX(LdBNote,$M1129)="","—",INDEX(LdBNote,$M1129)),IF($N1129&lt;&gt;"",IF(INDEX(LdCNote,$N1129)="","—",INDEX(LdCNote,$N1129)),""))))</f>
        <v/>
      </c>
      <c r="L1129">
        <f>IFERROR(MATCH($C$5&amp;"|"&amp;RIGHT("000000"&amp;1113,6),LdAKeyM,0),"")</f>
        <v/>
      </c>
      <c r="M1129">
        <f>IFERROR(MATCH($C$5&amp;"|"&amp;RIGHT("000000"&amp;1113,6),LdBKeyM,0),"")</f>
        <v/>
      </c>
      <c r="N1129">
        <f>IFERROR(MATCH($C$5&amp;"|"&amp;RIGHT("000000"&amp;1113,6),LdCKeyM,0),"")</f>
        <v/>
      </c>
    </row>
    <row r="1130">
      <c r="A1130" s="19" t="n">
        <v>1114</v>
      </c>
      <c r="B1130" s="20">
        <f>IF(AND($L1130="",$M1130="",$N1130=""),"",IF($L1130&lt;&gt;"",INDEX(LdADate,$L1130),IF($M1130&lt;&gt;"",INDEX(LdBDate,$M1130),INDEX(LdCDate,$N1130))))</f>
        <v/>
      </c>
      <c r="C1130" s="20">
        <f>IF($L1130&lt;&gt;"","دستمزد (فردی)",IF($M1130&lt;&gt;"","سهم از گروه "&amp;IFERROR(VLOOKUP(INDEX(LdBGroup,$M1130),WGTbl,2,0),INDEX(LdBGroup,$M1130)),IF($N1130&lt;&gt;"",IF(N(INDEX(LdCDep,$N1130))&gt;0,"بازگشت بانکی","پرداخت بانکی"),"")))</f>
        <v/>
      </c>
      <c r="D1130" s="20">
        <f>IF($L1130&lt;&gt;"",IF(INDEX(LdAId,$L1130)="","—",INDEX(LdAId,$L1130)),IF($M1130&lt;&gt;"",IF(INDEX(LdBId,$M1130)="","—",INDEX(LdBId,$M1130)),IF($N1130&lt;&gt;"",IF(INDEX(LdCBank,$N1130)="","—",INDEX(LdCBank,$N1130)),"")))</f>
        <v/>
      </c>
      <c r="E1130" s="21">
        <f>IF($L1130&lt;&gt;"",IF(INDEX(LdAAmt,$L1130)=0,"",INDEX(LdAAmt,$L1130)),IF($M1130&lt;&gt;"",IF(INDEX(LdBAmt,$M1130)=0,"",INDEX(LdBAmt,$M1130)),IF($N1130&lt;&gt;"",IF(INDEX(LdCDep,$N1130)=0,"",INDEX(LdCDep,$N1130)),"")))</f>
        <v/>
      </c>
      <c r="F1130" s="21">
        <f>IF(AND($L1130="",$M1130="",$N1130=""),"",IF($N1130="","",IF(INDEX(LdCWit,$N1130)=0,"",INDEX(LdCWit,$N1130))))</f>
        <v/>
      </c>
      <c r="G1130" s="31">
        <f>IF($B1130="","",IF($G1129="",0,$G1129)+IF($E1130="",0,$E1130)-IF($F1130="",0,$F1130))</f>
        <v/>
      </c>
      <c r="H1130" s="32">
        <f>IF(AND($L1130="",$M1130="",$N1130=""),"",IF($L1130&lt;&gt;"",IF(INDEX(LdANote,$L1130)="","—",INDEX(LdANote,$L1130)),IF($M1130&lt;&gt;"",IF(INDEX(LdBNote,$M1130)="","—",INDEX(LdBNote,$M1130)),IF($N1130&lt;&gt;"",IF(INDEX(LdCNote,$N1130)="","—",INDEX(LdCNote,$N1130)),""))))</f>
        <v/>
      </c>
      <c r="L1130">
        <f>IFERROR(MATCH($C$5&amp;"|"&amp;RIGHT("000000"&amp;1114,6),LdAKeyM,0),"")</f>
        <v/>
      </c>
      <c r="M1130">
        <f>IFERROR(MATCH($C$5&amp;"|"&amp;RIGHT("000000"&amp;1114,6),LdBKeyM,0),"")</f>
        <v/>
      </c>
      <c r="N1130">
        <f>IFERROR(MATCH($C$5&amp;"|"&amp;RIGHT("000000"&amp;1114,6),LdCKeyM,0),"")</f>
        <v/>
      </c>
    </row>
    <row r="1131">
      <c r="A1131" s="10" t="n">
        <v>1115</v>
      </c>
      <c r="B1131" s="14">
        <f>IF(AND($L1131="",$M1131="",$N1131=""),"",IF($L1131&lt;&gt;"",INDEX(LdADate,$L1131),IF($M1131&lt;&gt;"",INDEX(LdBDate,$M1131),INDEX(LdCDate,$N1131))))</f>
        <v/>
      </c>
      <c r="C1131" s="14">
        <f>IF($L1131&lt;&gt;"","دستمزد (فردی)",IF($M1131&lt;&gt;"","سهم از گروه "&amp;IFERROR(VLOOKUP(INDEX(LdBGroup,$M1131),WGTbl,2,0),INDEX(LdBGroup,$M1131)),IF($N1131&lt;&gt;"",IF(N(INDEX(LdCDep,$N1131))&gt;0,"بازگشت بانکی","پرداخت بانکی"),"")))</f>
        <v/>
      </c>
      <c r="D1131" s="14">
        <f>IF($L1131&lt;&gt;"",IF(INDEX(LdAId,$L1131)="","—",INDEX(LdAId,$L1131)),IF($M1131&lt;&gt;"",IF(INDEX(LdBId,$M1131)="","—",INDEX(LdBId,$M1131)),IF($N1131&lt;&gt;"",IF(INDEX(LdCBank,$N1131)="","—",INDEX(LdCBank,$N1131)),"")))</f>
        <v/>
      </c>
      <c r="E1131" s="16">
        <f>IF($L1131&lt;&gt;"",IF(INDEX(LdAAmt,$L1131)=0,"",INDEX(LdAAmt,$L1131)),IF($M1131&lt;&gt;"",IF(INDEX(LdBAmt,$M1131)=0,"",INDEX(LdBAmt,$M1131)),IF($N1131&lt;&gt;"",IF(INDEX(LdCDep,$N1131)=0,"",INDEX(LdCDep,$N1131)),"")))</f>
        <v/>
      </c>
      <c r="F1131" s="16">
        <f>IF(AND($L1131="",$M1131="",$N1131=""),"",IF($N1131="","",IF(INDEX(LdCWit,$N1131)=0,"",INDEX(LdCWit,$N1131))))</f>
        <v/>
      </c>
      <c r="G1131" s="29">
        <f>IF($B1131="","",IF($G1130="",0,$G1130)+IF($E1131="",0,$E1131)-IF($F1131="",0,$F1131))</f>
        <v/>
      </c>
      <c r="H1131" s="30">
        <f>IF(AND($L1131="",$M1131="",$N1131=""),"",IF($L1131&lt;&gt;"",IF(INDEX(LdANote,$L1131)="","—",INDEX(LdANote,$L1131)),IF($M1131&lt;&gt;"",IF(INDEX(LdBNote,$M1131)="","—",INDEX(LdBNote,$M1131)),IF($N1131&lt;&gt;"",IF(INDEX(LdCNote,$N1131)="","—",INDEX(LdCNote,$N1131)),""))))</f>
        <v/>
      </c>
      <c r="L1131">
        <f>IFERROR(MATCH($C$5&amp;"|"&amp;RIGHT("000000"&amp;1115,6),LdAKeyM,0),"")</f>
        <v/>
      </c>
      <c r="M1131">
        <f>IFERROR(MATCH($C$5&amp;"|"&amp;RIGHT("000000"&amp;1115,6),LdBKeyM,0),"")</f>
        <v/>
      </c>
      <c r="N1131">
        <f>IFERROR(MATCH($C$5&amp;"|"&amp;RIGHT("000000"&amp;1115,6),LdCKeyM,0),"")</f>
        <v/>
      </c>
    </row>
    <row r="1132">
      <c r="A1132" s="19" t="n">
        <v>1116</v>
      </c>
      <c r="B1132" s="20">
        <f>IF(AND($L1132="",$M1132="",$N1132=""),"",IF($L1132&lt;&gt;"",INDEX(LdADate,$L1132),IF($M1132&lt;&gt;"",INDEX(LdBDate,$M1132),INDEX(LdCDate,$N1132))))</f>
        <v/>
      </c>
      <c r="C1132" s="20">
        <f>IF($L1132&lt;&gt;"","دستمزد (فردی)",IF($M1132&lt;&gt;"","سهم از گروه "&amp;IFERROR(VLOOKUP(INDEX(LdBGroup,$M1132),WGTbl,2,0),INDEX(LdBGroup,$M1132)),IF($N1132&lt;&gt;"",IF(N(INDEX(LdCDep,$N1132))&gt;0,"بازگشت بانکی","پرداخت بانکی"),"")))</f>
        <v/>
      </c>
      <c r="D1132" s="20">
        <f>IF($L1132&lt;&gt;"",IF(INDEX(LdAId,$L1132)="","—",INDEX(LdAId,$L1132)),IF($M1132&lt;&gt;"",IF(INDEX(LdBId,$M1132)="","—",INDEX(LdBId,$M1132)),IF($N1132&lt;&gt;"",IF(INDEX(LdCBank,$N1132)="","—",INDEX(LdCBank,$N1132)),"")))</f>
        <v/>
      </c>
      <c r="E1132" s="21">
        <f>IF($L1132&lt;&gt;"",IF(INDEX(LdAAmt,$L1132)=0,"",INDEX(LdAAmt,$L1132)),IF($M1132&lt;&gt;"",IF(INDEX(LdBAmt,$M1132)=0,"",INDEX(LdBAmt,$M1132)),IF($N1132&lt;&gt;"",IF(INDEX(LdCDep,$N1132)=0,"",INDEX(LdCDep,$N1132)),"")))</f>
        <v/>
      </c>
      <c r="F1132" s="21">
        <f>IF(AND($L1132="",$M1132="",$N1132=""),"",IF($N1132="","",IF(INDEX(LdCWit,$N1132)=0,"",INDEX(LdCWit,$N1132))))</f>
        <v/>
      </c>
      <c r="G1132" s="31">
        <f>IF($B1132="","",IF($G1131="",0,$G1131)+IF($E1132="",0,$E1132)-IF($F1132="",0,$F1132))</f>
        <v/>
      </c>
      <c r="H1132" s="32">
        <f>IF(AND($L1132="",$M1132="",$N1132=""),"",IF($L1132&lt;&gt;"",IF(INDEX(LdANote,$L1132)="","—",INDEX(LdANote,$L1132)),IF($M1132&lt;&gt;"",IF(INDEX(LdBNote,$M1132)="","—",INDEX(LdBNote,$M1132)),IF($N1132&lt;&gt;"",IF(INDEX(LdCNote,$N1132)="","—",INDEX(LdCNote,$N1132)),""))))</f>
        <v/>
      </c>
      <c r="L1132">
        <f>IFERROR(MATCH($C$5&amp;"|"&amp;RIGHT("000000"&amp;1116,6),LdAKeyM,0),"")</f>
        <v/>
      </c>
      <c r="M1132">
        <f>IFERROR(MATCH($C$5&amp;"|"&amp;RIGHT("000000"&amp;1116,6),LdBKeyM,0),"")</f>
        <v/>
      </c>
      <c r="N1132">
        <f>IFERROR(MATCH($C$5&amp;"|"&amp;RIGHT("000000"&amp;1116,6),LdCKeyM,0),"")</f>
        <v/>
      </c>
    </row>
    <row r="1133">
      <c r="A1133" s="10" t="n">
        <v>1117</v>
      </c>
      <c r="B1133" s="14">
        <f>IF(AND($L1133="",$M1133="",$N1133=""),"",IF($L1133&lt;&gt;"",INDEX(LdADate,$L1133),IF($M1133&lt;&gt;"",INDEX(LdBDate,$M1133),INDEX(LdCDate,$N1133))))</f>
        <v/>
      </c>
      <c r="C1133" s="14">
        <f>IF($L1133&lt;&gt;"","دستمزد (فردی)",IF($M1133&lt;&gt;"","سهم از گروه "&amp;IFERROR(VLOOKUP(INDEX(LdBGroup,$M1133),WGTbl,2,0),INDEX(LdBGroup,$M1133)),IF($N1133&lt;&gt;"",IF(N(INDEX(LdCDep,$N1133))&gt;0,"بازگشت بانکی","پرداخت بانکی"),"")))</f>
        <v/>
      </c>
      <c r="D1133" s="14">
        <f>IF($L1133&lt;&gt;"",IF(INDEX(LdAId,$L1133)="","—",INDEX(LdAId,$L1133)),IF($M1133&lt;&gt;"",IF(INDEX(LdBId,$M1133)="","—",INDEX(LdBId,$M1133)),IF($N1133&lt;&gt;"",IF(INDEX(LdCBank,$N1133)="","—",INDEX(LdCBank,$N1133)),"")))</f>
        <v/>
      </c>
      <c r="E1133" s="16">
        <f>IF($L1133&lt;&gt;"",IF(INDEX(LdAAmt,$L1133)=0,"",INDEX(LdAAmt,$L1133)),IF($M1133&lt;&gt;"",IF(INDEX(LdBAmt,$M1133)=0,"",INDEX(LdBAmt,$M1133)),IF($N1133&lt;&gt;"",IF(INDEX(LdCDep,$N1133)=0,"",INDEX(LdCDep,$N1133)),"")))</f>
        <v/>
      </c>
      <c r="F1133" s="16">
        <f>IF(AND($L1133="",$M1133="",$N1133=""),"",IF($N1133="","",IF(INDEX(LdCWit,$N1133)=0,"",INDEX(LdCWit,$N1133))))</f>
        <v/>
      </c>
      <c r="G1133" s="29">
        <f>IF($B1133="","",IF($G1132="",0,$G1132)+IF($E1133="",0,$E1133)-IF($F1133="",0,$F1133))</f>
        <v/>
      </c>
      <c r="H1133" s="30">
        <f>IF(AND($L1133="",$M1133="",$N1133=""),"",IF($L1133&lt;&gt;"",IF(INDEX(LdANote,$L1133)="","—",INDEX(LdANote,$L1133)),IF($M1133&lt;&gt;"",IF(INDEX(LdBNote,$M1133)="","—",INDEX(LdBNote,$M1133)),IF($N1133&lt;&gt;"",IF(INDEX(LdCNote,$N1133)="","—",INDEX(LdCNote,$N1133)),""))))</f>
        <v/>
      </c>
      <c r="L1133">
        <f>IFERROR(MATCH($C$5&amp;"|"&amp;RIGHT("000000"&amp;1117,6),LdAKeyM,0),"")</f>
        <v/>
      </c>
      <c r="M1133">
        <f>IFERROR(MATCH($C$5&amp;"|"&amp;RIGHT("000000"&amp;1117,6),LdBKeyM,0),"")</f>
        <v/>
      </c>
      <c r="N1133">
        <f>IFERROR(MATCH($C$5&amp;"|"&amp;RIGHT("000000"&amp;1117,6),LdCKeyM,0),"")</f>
        <v/>
      </c>
    </row>
    <row r="1134">
      <c r="A1134" s="19" t="n">
        <v>1118</v>
      </c>
      <c r="B1134" s="20">
        <f>IF(AND($L1134="",$M1134="",$N1134=""),"",IF($L1134&lt;&gt;"",INDEX(LdADate,$L1134),IF($M1134&lt;&gt;"",INDEX(LdBDate,$M1134),INDEX(LdCDate,$N1134))))</f>
        <v/>
      </c>
      <c r="C1134" s="20">
        <f>IF($L1134&lt;&gt;"","دستمزد (فردی)",IF($M1134&lt;&gt;"","سهم از گروه "&amp;IFERROR(VLOOKUP(INDEX(LdBGroup,$M1134),WGTbl,2,0),INDEX(LdBGroup,$M1134)),IF($N1134&lt;&gt;"",IF(N(INDEX(LdCDep,$N1134))&gt;0,"بازگشت بانکی","پرداخت بانکی"),"")))</f>
        <v/>
      </c>
      <c r="D1134" s="20">
        <f>IF($L1134&lt;&gt;"",IF(INDEX(LdAId,$L1134)="","—",INDEX(LdAId,$L1134)),IF($M1134&lt;&gt;"",IF(INDEX(LdBId,$M1134)="","—",INDEX(LdBId,$M1134)),IF($N1134&lt;&gt;"",IF(INDEX(LdCBank,$N1134)="","—",INDEX(LdCBank,$N1134)),"")))</f>
        <v/>
      </c>
      <c r="E1134" s="21">
        <f>IF($L1134&lt;&gt;"",IF(INDEX(LdAAmt,$L1134)=0,"",INDEX(LdAAmt,$L1134)),IF($M1134&lt;&gt;"",IF(INDEX(LdBAmt,$M1134)=0,"",INDEX(LdBAmt,$M1134)),IF($N1134&lt;&gt;"",IF(INDEX(LdCDep,$N1134)=0,"",INDEX(LdCDep,$N1134)),"")))</f>
        <v/>
      </c>
      <c r="F1134" s="21">
        <f>IF(AND($L1134="",$M1134="",$N1134=""),"",IF($N1134="","",IF(INDEX(LdCWit,$N1134)=0,"",INDEX(LdCWit,$N1134))))</f>
        <v/>
      </c>
      <c r="G1134" s="31">
        <f>IF($B1134="","",IF($G1133="",0,$G1133)+IF($E1134="",0,$E1134)-IF($F1134="",0,$F1134))</f>
        <v/>
      </c>
      <c r="H1134" s="32">
        <f>IF(AND($L1134="",$M1134="",$N1134=""),"",IF($L1134&lt;&gt;"",IF(INDEX(LdANote,$L1134)="","—",INDEX(LdANote,$L1134)),IF($M1134&lt;&gt;"",IF(INDEX(LdBNote,$M1134)="","—",INDEX(LdBNote,$M1134)),IF($N1134&lt;&gt;"",IF(INDEX(LdCNote,$N1134)="","—",INDEX(LdCNote,$N1134)),""))))</f>
        <v/>
      </c>
      <c r="L1134">
        <f>IFERROR(MATCH($C$5&amp;"|"&amp;RIGHT("000000"&amp;1118,6),LdAKeyM,0),"")</f>
        <v/>
      </c>
      <c r="M1134">
        <f>IFERROR(MATCH($C$5&amp;"|"&amp;RIGHT("000000"&amp;1118,6),LdBKeyM,0),"")</f>
        <v/>
      </c>
      <c r="N1134">
        <f>IFERROR(MATCH($C$5&amp;"|"&amp;RIGHT("000000"&amp;1118,6),LdCKeyM,0),"")</f>
        <v/>
      </c>
    </row>
    <row r="1135">
      <c r="A1135" s="10" t="n">
        <v>1119</v>
      </c>
      <c r="B1135" s="14">
        <f>IF(AND($L1135="",$M1135="",$N1135=""),"",IF($L1135&lt;&gt;"",INDEX(LdADate,$L1135),IF($M1135&lt;&gt;"",INDEX(LdBDate,$M1135),INDEX(LdCDate,$N1135))))</f>
        <v/>
      </c>
      <c r="C1135" s="14">
        <f>IF($L1135&lt;&gt;"","دستمزد (فردی)",IF($M1135&lt;&gt;"","سهم از گروه "&amp;IFERROR(VLOOKUP(INDEX(LdBGroup,$M1135),WGTbl,2,0),INDEX(LdBGroup,$M1135)),IF($N1135&lt;&gt;"",IF(N(INDEX(LdCDep,$N1135))&gt;0,"بازگشت بانکی","پرداخت بانکی"),"")))</f>
        <v/>
      </c>
      <c r="D1135" s="14">
        <f>IF($L1135&lt;&gt;"",IF(INDEX(LdAId,$L1135)="","—",INDEX(LdAId,$L1135)),IF($M1135&lt;&gt;"",IF(INDEX(LdBId,$M1135)="","—",INDEX(LdBId,$M1135)),IF($N1135&lt;&gt;"",IF(INDEX(LdCBank,$N1135)="","—",INDEX(LdCBank,$N1135)),"")))</f>
        <v/>
      </c>
      <c r="E1135" s="16">
        <f>IF($L1135&lt;&gt;"",IF(INDEX(LdAAmt,$L1135)=0,"",INDEX(LdAAmt,$L1135)),IF($M1135&lt;&gt;"",IF(INDEX(LdBAmt,$M1135)=0,"",INDEX(LdBAmt,$M1135)),IF($N1135&lt;&gt;"",IF(INDEX(LdCDep,$N1135)=0,"",INDEX(LdCDep,$N1135)),"")))</f>
        <v/>
      </c>
      <c r="F1135" s="16">
        <f>IF(AND($L1135="",$M1135="",$N1135=""),"",IF($N1135="","",IF(INDEX(LdCWit,$N1135)=0,"",INDEX(LdCWit,$N1135))))</f>
        <v/>
      </c>
      <c r="G1135" s="29">
        <f>IF($B1135="","",IF($G1134="",0,$G1134)+IF($E1135="",0,$E1135)-IF($F1135="",0,$F1135))</f>
        <v/>
      </c>
      <c r="H1135" s="30">
        <f>IF(AND($L1135="",$M1135="",$N1135=""),"",IF($L1135&lt;&gt;"",IF(INDEX(LdANote,$L1135)="","—",INDEX(LdANote,$L1135)),IF($M1135&lt;&gt;"",IF(INDEX(LdBNote,$M1135)="","—",INDEX(LdBNote,$M1135)),IF($N1135&lt;&gt;"",IF(INDEX(LdCNote,$N1135)="","—",INDEX(LdCNote,$N1135)),""))))</f>
        <v/>
      </c>
      <c r="L1135">
        <f>IFERROR(MATCH($C$5&amp;"|"&amp;RIGHT("000000"&amp;1119,6),LdAKeyM,0),"")</f>
        <v/>
      </c>
      <c r="M1135">
        <f>IFERROR(MATCH($C$5&amp;"|"&amp;RIGHT("000000"&amp;1119,6),LdBKeyM,0),"")</f>
        <v/>
      </c>
      <c r="N1135">
        <f>IFERROR(MATCH($C$5&amp;"|"&amp;RIGHT("000000"&amp;1119,6),LdCKeyM,0),"")</f>
        <v/>
      </c>
    </row>
    <row r="1136">
      <c r="A1136" s="19" t="n">
        <v>1120</v>
      </c>
      <c r="B1136" s="20">
        <f>IF(AND($L1136="",$M1136="",$N1136=""),"",IF($L1136&lt;&gt;"",INDEX(LdADate,$L1136),IF($M1136&lt;&gt;"",INDEX(LdBDate,$M1136),INDEX(LdCDate,$N1136))))</f>
        <v/>
      </c>
      <c r="C1136" s="20">
        <f>IF($L1136&lt;&gt;"","دستمزد (فردی)",IF($M1136&lt;&gt;"","سهم از گروه "&amp;IFERROR(VLOOKUP(INDEX(LdBGroup,$M1136),WGTbl,2,0),INDEX(LdBGroup,$M1136)),IF($N1136&lt;&gt;"",IF(N(INDEX(LdCDep,$N1136))&gt;0,"بازگشت بانکی","پرداخت بانکی"),"")))</f>
        <v/>
      </c>
      <c r="D1136" s="20">
        <f>IF($L1136&lt;&gt;"",IF(INDEX(LdAId,$L1136)="","—",INDEX(LdAId,$L1136)),IF($M1136&lt;&gt;"",IF(INDEX(LdBId,$M1136)="","—",INDEX(LdBId,$M1136)),IF($N1136&lt;&gt;"",IF(INDEX(LdCBank,$N1136)="","—",INDEX(LdCBank,$N1136)),"")))</f>
        <v/>
      </c>
      <c r="E1136" s="21">
        <f>IF($L1136&lt;&gt;"",IF(INDEX(LdAAmt,$L1136)=0,"",INDEX(LdAAmt,$L1136)),IF($M1136&lt;&gt;"",IF(INDEX(LdBAmt,$M1136)=0,"",INDEX(LdBAmt,$M1136)),IF($N1136&lt;&gt;"",IF(INDEX(LdCDep,$N1136)=0,"",INDEX(LdCDep,$N1136)),"")))</f>
        <v/>
      </c>
      <c r="F1136" s="21">
        <f>IF(AND($L1136="",$M1136="",$N1136=""),"",IF($N1136="","",IF(INDEX(LdCWit,$N1136)=0,"",INDEX(LdCWit,$N1136))))</f>
        <v/>
      </c>
      <c r="G1136" s="31">
        <f>IF($B1136="","",IF($G1135="",0,$G1135)+IF($E1136="",0,$E1136)-IF($F1136="",0,$F1136))</f>
        <v/>
      </c>
      <c r="H1136" s="32">
        <f>IF(AND($L1136="",$M1136="",$N1136=""),"",IF($L1136&lt;&gt;"",IF(INDEX(LdANote,$L1136)="","—",INDEX(LdANote,$L1136)),IF($M1136&lt;&gt;"",IF(INDEX(LdBNote,$M1136)="","—",INDEX(LdBNote,$M1136)),IF($N1136&lt;&gt;"",IF(INDEX(LdCNote,$N1136)="","—",INDEX(LdCNote,$N1136)),""))))</f>
        <v/>
      </c>
      <c r="L1136">
        <f>IFERROR(MATCH($C$5&amp;"|"&amp;RIGHT("000000"&amp;1120,6),LdAKeyM,0),"")</f>
        <v/>
      </c>
      <c r="M1136">
        <f>IFERROR(MATCH($C$5&amp;"|"&amp;RIGHT("000000"&amp;1120,6),LdBKeyM,0),"")</f>
        <v/>
      </c>
      <c r="N1136">
        <f>IFERROR(MATCH($C$5&amp;"|"&amp;RIGHT("000000"&amp;1120,6),LdCKeyM,0),"")</f>
        <v/>
      </c>
    </row>
    <row r="1137">
      <c r="A1137" s="10" t="n">
        <v>1121</v>
      </c>
      <c r="B1137" s="14">
        <f>IF(AND($L1137="",$M1137="",$N1137=""),"",IF($L1137&lt;&gt;"",INDEX(LdADate,$L1137),IF($M1137&lt;&gt;"",INDEX(LdBDate,$M1137),INDEX(LdCDate,$N1137))))</f>
        <v/>
      </c>
      <c r="C1137" s="14">
        <f>IF($L1137&lt;&gt;"","دستمزد (فردی)",IF($M1137&lt;&gt;"","سهم از گروه "&amp;IFERROR(VLOOKUP(INDEX(LdBGroup,$M1137),WGTbl,2,0),INDEX(LdBGroup,$M1137)),IF($N1137&lt;&gt;"",IF(N(INDEX(LdCDep,$N1137))&gt;0,"بازگشت بانکی","پرداخت بانکی"),"")))</f>
        <v/>
      </c>
      <c r="D1137" s="14">
        <f>IF($L1137&lt;&gt;"",IF(INDEX(LdAId,$L1137)="","—",INDEX(LdAId,$L1137)),IF($M1137&lt;&gt;"",IF(INDEX(LdBId,$M1137)="","—",INDEX(LdBId,$M1137)),IF($N1137&lt;&gt;"",IF(INDEX(LdCBank,$N1137)="","—",INDEX(LdCBank,$N1137)),"")))</f>
        <v/>
      </c>
      <c r="E1137" s="16">
        <f>IF($L1137&lt;&gt;"",IF(INDEX(LdAAmt,$L1137)=0,"",INDEX(LdAAmt,$L1137)),IF($M1137&lt;&gt;"",IF(INDEX(LdBAmt,$M1137)=0,"",INDEX(LdBAmt,$M1137)),IF($N1137&lt;&gt;"",IF(INDEX(LdCDep,$N1137)=0,"",INDEX(LdCDep,$N1137)),"")))</f>
        <v/>
      </c>
      <c r="F1137" s="16">
        <f>IF(AND($L1137="",$M1137="",$N1137=""),"",IF($N1137="","",IF(INDEX(LdCWit,$N1137)=0,"",INDEX(LdCWit,$N1137))))</f>
        <v/>
      </c>
      <c r="G1137" s="29">
        <f>IF($B1137="","",IF($G1136="",0,$G1136)+IF($E1137="",0,$E1137)-IF($F1137="",0,$F1137))</f>
        <v/>
      </c>
      <c r="H1137" s="30">
        <f>IF(AND($L1137="",$M1137="",$N1137=""),"",IF($L1137&lt;&gt;"",IF(INDEX(LdANote,$L1137)="","—",INDEX(LdANote,$L1137)),IF($M1137&lt;&gt;"",IF(INDEX(LdBNote,$M1137)="","—",INDEX(LdBNote,$M1137)),IF($N1137&lt;&gt;"",IF(INDEX(LdCNote,$N1137)="","—",INDEX(LdCNote,$N1137)),""))))</f>
        <v/>
      </c>
      <c r="L1137">
        <f>IFERROR(MATCH($C$5&amp;"|"&amp;RIGHT("000000"&amp;1121,6),LdAKeyM,0),"")</f>
        <v/>
      </c>
      <c r="M1137">
        <f>IFERROR(MATCH($C$5&amp;"|"&amp;RIGHT("000000"&amp;1121,6),LdBKeyM,0),"")</f>
        <v/>
      </c>
      <c r="N1137">
        <f>IFERROR(MATCH($C$5&amp;"|"&amp;RIGHT("000000"&amp;1121,6),LdCKeyM,0),"")</f>
        <v/>
      </c>
    </row>
    <row r="1138">
      <c r="A1138" s="19" t="n">
        <v>1122</v>
      </c>
      <c r="B1138" s="20">
        <f>IF(AND($L1138="",$M1138="",$N1138=""),"",IF($L1138&lt;&gt;"",INDEX(LdADate,$L1138),IF($M1138&lt;&gt;"",INDEX(LdBDate,$M1138),INDEX(LdCDate,$N1138))))</f>
        <v/>
      </c>
      <c r="C1138" s="20">
        <f>IF($L1138&lt;&gt;"","دستمزد (فردی)",IF($M1138&lt;&gt;"","سهم از گروه "&amp;IFERROR(VLOOKUP(INDEX(LdBGroup,$M1138),WGTbl,2,0),INDEX(LdBGroup,$M1138)),IF($N1138&lt;&gt;"",IF(N(INDEX(LdCDep,$N1138))&gt;0,"بازگشت بانکی","پرداخت بانکی"),"")))</f>
        <v/>
      </c>
      <c r="D1138" s="20">
        <f>IF($L1138&lt;&gt;"",IF(INDEX(LdAId,$L1138)="","—",INDEX(LdAId,$L1138)),IF($M1138&lt;&gt;"",IF(INDEX(LdBId,$M1138)="","—",INDEX(LdBId,$M1138)),IF($N1138&lt;&gt;"",IF(INDEX(LdCBank,$N1138)="","—",INDEX(LdCBank,$N1138)),"")))</f>
        <v/>
      </c>
      <c r="E1138" s="21">
        <f>IF($L1138&lt;&gt;"",IF(INDEX(LdAAmt,$L1138)=0,"",INDEX(LdAAmt,$L1138)),IF($M1138&lt;&gt;"",IF(INDEX(LdBAmt,$M1138)=0,"",INDEX(LdBAmt,$M1138)),IF($N1138&lt;&gt;"",IF(INDEX(LdCDep,$N1138)=0,"",INDEX(LdCDep,$N1138)),"")))</f>
        <v/>
      </c>
      <c r="F1138" s="21">
        <f>IF(AND($L1138="",$M1138="",$N1138=""),"",IF($N1138="","",IF(INDEX(LdCWit,$N1138)=0,"",INDEX(LdCWit,$N1138))))</f>
        <v/>
      </c>
      <c r="G1138" s="31">
        <f>IF($B1138="","",IF($G1137="",0,$G1137)+IF($E1138="",0,$E1138)-IF($F1138="",0,$F1138))</f>
        <v/>
      </c>
      <c r="H1138" s="32">
        <f>IF(AND($L1138="",$M1138="",$N1138=""),"",IF($L1138&lt;&gt;"",IF(INDEX(LdANote,$L1138)="","—",INDEX(LdANote,$L1138)),IF($M1138&lt;&gt;"",IF(INDEX(LdBNote,$M1138)="","—",INDEX(LdBNote,$M1138)),IF($N1138&lt;&gt;"",IF(INDEX(LdCNote,$N1138)="","—",INDEX(LdCNote,$N1138)),""))))</f>
        <v/>
      </c>
      <c r="L1138">
        <f>IFERROR(MATCH($C$5&amp;"|"&amp;RIGHT("000000"&amp;1122,6),LdAKeyM,0),"")</f>
        <v/>
      </c>
      <c r="M1138">
        <f>IFERROR(MATCH($C$5&amp;"|"&amp;RIGHT("000000"&amp;1122,6),LdBKeyM,0),"")</f>
        <v/>
      </c>
      <c r="N1138">
        <f>IFERROR(MATCH($C$5&amp;"|"&amp;RIGHT("000000"&amp;1122,6),LdCKeyM,0),"")</f>
        <v/>
      </c>
    </row>
    <row r="1139">
      <c r="A1139" s="10" t="n">
        <v>1123</v>
      </c>
      <c r="B1139" s="14">
        <f>IF(AND($L1139="",$M1139="",$N1139=""),"",IF($L1139&lt;&gt;"",INDEX(LdADate,$L1139),IF($M1139&lt;&gt;"",INDEX(LdBDate,$M1139),INDEX(LdCDate,$N1139))))</f>
        <v/>
      </c>
      <c r="C1139" s="14">
        <f>IF($L1139&lt;&gt;"","دستمزد (فردی)",IF($M1139&lt;&gt;"","سهم از گروه "&amp;IFERROR(VLOOKUP(INDEX(LdBGroup,$M1139),WGTbl,2,0),INDEX(LdBGroup,$M1139)),IF($N1139&lt;&gt;"",IF(N(INDEX(LdCDep,$N1139))&gt;0,"بازگشت بانکی","پرداخت بانکی"),"")))</f>
        <v/>
      </c>
      <c r="D1139" s="14">
        <f>IF($L1139&lt;&gt;"",IF(INDEX(LdAId,$L1139)="","—",INDEX(LdAId,$L1139)),IF($M1139&lt;&gt;"",IF(INDEX(LdBId,$M1139)="","—",INDEX(LdBId,$M1139)),IF($N1139&lt;&gt;"",IF(INDEX(LdCBank,$N1139)="","—",INDEX(LdCBank,$N1139)),"")))</f>
        <v/>
      </c>
      <c r="E1139" s="16">
        <f>IF($L1139&lt;&gt;"",IF(INDEX(LdAAmt,$L1139)=0,"",INDEX(LdAAmt,$L1139)),IF($M1139&lt;&gt;"",IF(INDEX(LdBAmt,$M1139)=0,"",INDEX(LdBAmt,$M1139)),IF($N1139&lt;&gt;"",IF(INDEX(LdCDep,$N1139)=0,"",INDEX(LdCDep,$N1139)),"")))</f>
        <v/>
      </c>
      <c r="F1139" s="16">
        <f>IF(AND($L1139="",$M1139="",$N1139=""),"",IF($N1139="","",IF(INDEX(LdCWit,$N1139)=0,"",INDEX(LdCWit,$N1139))))</f>
        <v/>
      </c>
      <c r="G1139" s="29">
        <f>IF($B1139="","",IF($G1138="",0,$G1138)+IF($E1139="",0,$E1139)-IF($F1139="",0,$F1139))</f>
        <v/>
      </c>
      <c r="H1139" s="30">
        <f>IF(AND($L1139="",$M1139="",$N1139=""),"",IF($L1139&lt;&gt;"",IF(INDEX(LdANote,$L1139)="","—",INDEX(LdANote,$L1139)),IF($M1139&lt;&gt;"",IF(INDEX(LdBNote,$M1139)="","—",INDEX(LdBNote,$M1139)),IF($N1139&lt;&gt;"",IF(INDEX(LdCNote,$N1139)="","—",INDEX(LdCNote,$N1139)),""))))</f>
        <v/>
      </c>
      <c r="L1139">
        <f>IFERROR(MATCH($C$5&amp;"|"&amp;RIGHT("000000"&amp;1123,6),LdAKeyM,0),"")</f>
        <v/>
      </c>
      <c r="M1139">
        <f>IFERROR(MATCH($C$5&amp;"|"&amp;RIGHT("000000"&amp;1123,6),LdBKeyM,0),"")</f>
        <v/>
      </c>
      <c r="N1139">
        <f>IFERROR(MATCH($C$5&amp;"|"&amp;RIGHT("000000"&amp;1123,6),LdCKeyM,0),"")</f>
        <v/>
      </c>
    </row>
    <row r="1140">
      <c r="A1140" s="19" t="n">
        <v>1124</v>
      </c>
      <c r="B1140" s="20">
        <f>IF(AND($L1140="",$M1140="",$N1140=""),"",IF($L1140&lt;&gt;"",INDEX(LdADate,$L1140),IF($M1140&lt;&gt;"",INDEX(LdBDate,$M1140),INDEX(LdCDate,$N1140))))</f>
        <v/>
      </c>
      <c r="C1140" s="20">
        <f>IF($L1140&lt;&gt;"","دستمزد (فردی)",IF($M1140&lt;&gt;"","سهم از گروه "&amp;IFERROR(VLOOKUP(INDEX(LdBGroup,$M1140),WGTbl,2,0),INDEX(LdBGroup,$M1140)),IF($N1140&lt;&gt;"",IF(N(INDEX(LdCDep,$N1140))&gt;0,"بازگشت بانکی","پرداخت بانکی"),"")))</f>
        <v/>
      </c>
      <c r="D1140" s="20">
        <f>IF($L1140&lt;&gt;"",IF(INDEX(LdAId,$L1140)="","—",INDEX(LdAId,$L1140)),IF($M1140&lt;&gt;"",IF(INDEX(LdBId,$M1140)="","—",INDEX(LdBId,$M1140)),IF($N1140&lt;&gt;"",IF(INDEX(LdCBank,$N1140)="","—",INDEX(LdCBank,$N1140)),"")))</f>
        <v/>
      </c>
      <c r="E1140" s="21">
        <f>IF($L1140&lt;&gt;"",IF(INDEX(LdAAmt,$L1140)=0,"",INDEX(LdAAmt,$L1140)),IF($M1140&lt;&gt;"",IF(INDEX(LdBAmt,$M1140)=0,"",INDEX(LdBAmt,$M1140)),IF($N1140&lt;&gt;"",IF(INDEX(LdCDep,$N1140)=0,"",INDEX(LdCDep,$N1140)),"")))</f>
        <v/>
      </c>
      <c r="F1140" s="21">
        <f>IF(AND($L1140="",$M1140="",$N1140=""),"",IF($N1140="","",IF(INDEX(LdCWit,$N1140)=0,"",INDEX(LdCWit,$N1140))))</f>
        <v/>
      </c>
      <c r="G1140" s="31">
        <f>IF($B1140="","",IF($G1139="",0,$G1139)+IF($E1140="",0,$E1140)-IF($F1140="",0,$F1140))</f>
        <v/>
      </c>
      <c r="H1140" s="32">
        <f>IF(AND($L1140="",$M1140="",$N1140=""),"",IF($L1140&lt;&gt;"",IF(INDEX(LdANote,$L1140)="","—",INDEX(LdANote,$L1140)),IF($M1140&lt;&gt;"",IF(INDEX(LdBNote,$M1140)="","—",INDEX(LdBNote,$M1140)),IF($N1140&lt;&gt;"",IF(INDEX(LdCNote,$N1140)="","—",INDEX(LdCNote,$N1140)),""))))</f>
        <v/>
      </c>
      <c r="L1140">
        <f>IFERROR(MATCH($C$5&amp;"|"&amp;RIGHT("000000"&amp;1124,6),LdAKeyM,0),"")</f>
        <v/>
      </c>
      <c r="M1140">
        <f>IFERROR(MATCH($C$5&amp;"|"&amp;RIGHT("000000"&amp;1124,6),LdBKeyM,0),"")</f>
        <v/>
      </c>
      <c r="N1140">
        <f>IFERROR(MATCH($C$5&amp;"|"&amp;RIGHT("000000"&amp;1124,6),LdCKeyM,0),"")</f>
        <v/>
      </c>
    </row>
    <row r="1141">
      <c r="A1141" s="10" t="n">
        <v>1125</v>
      </c>
      <c r="B1141" s="14">
        <f>IF(AND($L1141="",$M1141="",$N1141=""),"",IF($L1141&lt;&gt;"",INDEX(LdADate,$L1141),IF($M1141&lt;&gt;"",INDEX(LdBDate,$M1141),INDEX(LdCDate,$N1141))))</f>
        <v/>
      </c>
      <c r="C1141" s="14">
        <f>IF($L1141&lt;&gt;"","دستمزد (فردی)",IF($M1141&lt;&gt;"","سهم از گروه "&amp;IFERROR(VLOOKUP(INDEX(LdBGroup,$M1141),WGTbl,2,0),INDEX(LdBGroup,$M1141)),IF($N1141&lt;&gt;"",IF(N(INDEX(LdCDep,$N1141))&gt;0,"بازگشت بانکی","پرداخت بانکی"),"")))</f>
        <v/>
      </c>
      <c r="D1141" s="14">
        <f>IF($L1141&lt;&gt;"",IF(INDEX(LdAId,$L1141)="","—",INDEX(LdAId,$L1141)),IF($M1141&lt;&gt;"",IF(INDEX(LdBId,$M1141)="","—",INDEX(LdBId,$M1141)),IF($N1141&lt;&gt;"",IF(INDEX(LdCBank,$N1141)="","—",INDEX(LdCBank,$N1141)),"")))</f>
        <v/>
      </c>
      <c r="E1141" s="16">
        <f>IF($L1141&lt;&gt;"",IF(INDEX(LdAAmt,$L1141)=0,"",INDEX(LdAAmt,$L1141)),IF($M1141&lt;&gt;"",IF(INDEX(LdBAmt,$M1141)=0,"",INDEX(LdBAmt,$M1141)),IF($N1141&lt;&gt;"",IF(INDEX(LdCDep,$N1141)=0,"",INDEX(LdCDep,$N1141)),"")))</f>
        <v/>
      </c>
      <c r="F1141" s="16">
        <f>IF(AND($L1141="",$M1141="",$N1141=""),"",IF($N1141="","",IF(INDEX(LdCWit,$N1141)=0,"",INDEX(LdCWit,$N1141))))</f>
        <v/>
      </c>
      <c r="G1141" s="29">
        <f>IF($B1141="","",IF($G1140="",0,$G1140)+IF($E1141="",0,$E1141)-IF($F1141="",0,$F1141))</f>
        <v/>
      </c>
      <c r="H1141" s="30">
        <f>IF(AND($L1141="",$M1141="",$N1141=""),"",IF($L1141&lt;&gt;"",IF(INDEX(LdANote,$L1141)="","—",INDEX(LdANote,$L1141)),IF($M1141&lt;&gt;"",IF(INDEX(LdBNote,$M1141)="","—",INDEX(LdBNote,$M1141)),IF($N1141&lt;&gt;"",IF(INDEX(LdCNote,$N1141)="","—",INDEX(LdCNote,$N1141)),""))))</f>
        <v/>
      </c>
      <c r="L1141">
        <f>IFERROR(MATCH($C$5&amp;"|"&amp;RIGHT("000000"&amp;1125,6),LdAKeyM,0),"")</f>
        <v/>
      </c>
      <c r="M1141">
        <f>IFERROR(MATCH($C$5&amp;"|"&amp;RIGHT("000000"&amp;1125,6),LdBKeyM,0),"")</f>
        <v/>
      </c>
      <c r="N1141">
        <f>IFERROR(MATCH($C$5&amp;"|"&amp;RIGHT("000000"&amp;1125,6),LdCKeyM,0),"")</f>
        <v/>
      </c>
    </row>
    <row r="1142">
      <c r="A1142" s="19" t="n">
        <v>1126</v>
      </c>
      <c r="B1142" s="20">
        <f>IF(AND($L1142="",$M1142="",$N1142=""),"",IF($L1142&lt;&gt;"",INDEX(LdADate,$L1142),IF($M1142&lt;&gt;"",INDEX(LdBDate,$M1142),INDEX(LdCDate,$N1142))))</f>
        <v/>
      </c>
      <c r="C1142" s="20">
        <f>IF($L1142&lt;&gt;"","دستمزد (فردی)",IF($M1142&lt;&gt;"","سهم از گروه "&amp;IFERROR(VLOOKUP(INDEX(LdBGroup,$M1142),WGTbl,2,0),INDEX(LdBGroup,$M1142)),IF($N1142&lt;&gt;"",IF(N(INDEX(LdCDep,$N1142))&gt;0,"بازگشت بانکی","پرداخت بانکی"),"")))</f>
        <v/>
      </c>
      <c r="D1142" s="20">
        <f>IF($L1142&lt;&gt;"",IF(INDEX(LdAId,$L1142)="","—",INDEX(LdAId,$L1142)),IF($M1142&lt;&gt;"",IF(INDEX(LdBId,$M1142)="","—",INDEX(LdBId,$M1142)),IF($N1142&lt;&gt;"",IF(INDEX(LdCBank,$N1142)="","—",INDEX(LdCBank,$N1142)),"")))</f>
        <v/>
      </c>
      <c r="E1142" s="21">
        <f>IF($L1142&lt;&gt;"",IF(INDEX(LdAAmt,$L1142)=0,"",INDEX(LdAAmt,$L1142)),IF($M1142&lt;&gt;"",IF(INDEX(LdBAmt,$M1142)=0,"",INDEX(LdBAmt,$M1142)),IF($N1142&lt;&gt;"",IF(INDEX(LdCDep,$N1142)=0,"",INDEX(LdCDep,$N1142)),"")))</f>
        <v/>
      </c>
      <c r="F1142" s="21">
        <f>IF(AND($L1142="",$M1142="",$N1142=""),"",IF($N1142="","",IF(INDEX(LdCWit,$N1142)=0,"",INDEX(LdCWit,$N1142))))</f>
        <v/>
      </c>
      <c r="G1142" s="31">
        <f>IF($B1142="","",IF($G1141="",0,$G1141)+IF($E1142="",0,$E1142)-IF($F1142="",0,$F1142))</f>
        <v/>
      </c>
      <c r="H1142" s="32">
        <f>IF(AND($L1142="",$M1142="",$N1142=""),"",IF($L1142&lt;&gt;"",IF(INDEX(LdANote,$L1142)="","—",INDEX(LdANote,$L1142)),IF($M1142&lt;&gt;"",IF(INDEX(LdBNote,$M1142)="","—",INDEX(LdBNote,$M1142)),IF($N1142&lt;&gt;"",IF(INDEX(LdCNote,$N1142)="","—",INDEX(LdCNote,$N1142)),""))))</f>
        <v/>
      </c>
      <c r="L1142">
        <f>IFERROR(MATCH($C$5&amp;"|"&amp;RIGHT("000000"&amp;1126,6),LdAKeyM,0),"")</f>
        <v/>
      </c>
      <c r="M1142">
        <f>IFERROR(MATCH($C$5&amp;"|"&amp;RIGHT("000000"&amp;1126,6),LdBKeyM,0),"")</f>
        <v/>
      </c>
      <c r="N1142">
        <f>IFERROR(MATCH($C$5&amp;"|"&amp;RIGHT("000000"&amp;1126,6),LdCKeyM,0),"")</f>
        <v/>
      </c>
    </row>
    <row r="1143">
      <c r="A1143" s="10" t="n">
        <v>1127</v>
      </c>
      <c r="B1143" s="14">
        <f>IF(AND($L1143="",$M1143="",$N1143=""),"",IF($L1143&lt;&gt;"",INDEX(LdADate,$L1143),IF($M1143&lt;&gt;"",INDEX(LdBDate,$M1143),INDEX(LdCDate,$N1143))))</f>
        <v/>
      </c>
      <c r="C1143" s="14">
        <f>IF($L1143&lt;&gt;"","دستمزد (فردی)",IF($M1143&lt;&gt;"","سهم از گروه "&amp;IFERROR(VLOOKUP(INDEX(LdBGroup,$M1143),WGTbl,2,0),INDEX(LdBGroup,$M1143)),IF($N1143&lt;&gt;"",IF(N(INDEX(LdCDep,$N1143))&gt;0,"بازگشت بانکی","پرداخت بانکی"),"")))</f>
        <v/>
      </c>
      <c r="D1143" s="14">
        <f>IF($L1143&lt;&gt;"",IF(INDEX(LdAId,$L1143)="","—",INDEX(LdAId,$L1143)),IF($M1143&lt;&gt;"",IF(INDEX(LdBId,$M1143)="","—",INDEX(LdBId,$M1143)),IF($N1143&lt;&gt;"",IF(INDEX(LdCBank,$N1143)="","—",INDEX(LdCBank,$N1143)),"")))</f>
        <v/>
      </c>
      <c r="E1143" s="16">
        <f>IF($L1143&lt;&gt;"",IF(INDEX(LdAAmt,$L1143)=0,"",INDEX(LdAAmt,$L1143)),IF($M1143&lt;&gt;"",IF(INDEX(LdBAmt,$M1143)=0,"",INDEX(LdBAmt,$M1143)),IF($N1143&lt;&gt;"",IF(INDEX(LdCDep,$N1143)=0,"",INDEX(LdCDep,$N1143)),"")))</f>
        <v/>
      </c>
      <c r="F1143" s="16">
        <f>IF(AND($L1143="",$M1143="",$N1143=""),"",IF($N1143="","",IF(INDEX(LdCWit,$N1143)=0,"",INDEX(LdCWit,$N1143))))</f>
        <v/>
      </c>
      <c r="G1143" s="29">
        <f>IF($B1143="","",IF($G1142="",0,$G1142)+IF($E1143="",0,$E1143)-IF($F1143="",0,$F1143))</f>
        <v/>
      </c>
      <c r="H1143" s="30">
        <f>IF(AND($L1143="",$M1143="",$N1143=""),"",IF($L1143&lt;&gt;"",IF(INDEX(LdANote,$L1143)="","—",INDEX(LdANote,$L1143)),IF($M1143&lt;&gt;"",IF(INDEX(LdBNote,$M1143)="","—",INDEX(LdBNote,$M1143)),IF($N1143&lt;&gt;"",IF(INDEX(LdCNote,$N1143)="","—",INDEX(LdCNote,$N1143)),""))))</f>
        <v/>
      </c>
      <c r="L1143">
        <f>IFERROR(MATCH($C$5&amp;"|"&amp;RIGHT("000000"&amp;1127,6),LdAKeyM,0),"")</f>
        <v/>
      </c>
      <c r="M1143">
        <f>IFERROR(MATCH($C$5&amp;"|"&amp;RIGHT("000000"&amp;1127,6),LdBKeyM,0),"")</f>
        <v/>
      </c>
      <c r="N1143">
        <f>IFERROR(MATCH($C$5&amp;"|"&amp;RIGHT("000000"&amp;1127,6),LdCKeyM,0),"")</f>
        <v/>
      </c>
    </row>
    <row r="1144">
      <c r="A1144" s="19" t="n">
        <v>1128</v>
      </c>
      <c r="B1144" s="20">
        <f>IF(AND($L1144="",$M1144="",$N1144=""),"",IF($L1144&lt;&gt;"",INDEX(LdADate,$L1144),IF($M1144&lt;&gt;"",INDEX(LdBDate,$M1144),INDEX(LdCDate,$N1144))))</f>
        <v/>
      </c>
      <c r="C1144" s="20">
        <f>IF($L1144&lt;&gt;"","دستمزد (فردی)",IF($M1144&lt;&gt;"","سهم از گروه "&amp;IFERROR(VLOOKUP(INDEX(LdBGroup,$M1144),WGTbl,2,0),INDEX(LdBGroup,$M1144)),IF($N1144&lt;&gt;"",IF(N(INDEX(LdCDep,$N1144))&gt;0,"بازگشت بانکی","پرداخت بانکی"),"")))</f>
        <v/>
      </c>
      <c r="D1144" s="20">
        <f>IF($L1144&lt;&gt;"",IF(INDEX(LdAId,$L1144)="","—",INDEX(LdAId,$L1144)),IF($M1144&lt;&gt;"",IF(INDEX(LdBId,$M1144)="","—",INDEX(LdBId,$M1144)),IF($N1144&lt;&gt;"",IF(INDEX(LdCBank,$N1144)="","—",INDEX(LdCBank,$N1144)),"")))</f>
        <v/>
      </c>
      <c r="E1144" s="21">
        <f>IF($L1144&lt;&gt;"",IF(INDEX(LdAAmt,$L1144)=0,"",INDEX(LdAAmt,$L1144)),IF($M1144&lt;&gt;"",IF(INDEX(LdBAmt,$M1144)=0,"",INDEX(LdBAmt,$M1144)),IF($N1144&lt;&gt;"",IF(INDEX(LdCDep,$N1144)=0,"",INDEX(LdCDep,$N1144)),"")))</f>
        <v/>
      </c>
      <c r="F1144" s="21">
        <f>IF(AND($L1144="",$M1144="",$N1144=""),"",IF($N1144="","",IF(INDEX(LdCWit,$N1144)=0,"",INDEX(LdCWit,$N1144))))</f>
        <v/>
      </c>
      <c r="G1144" s="31">
        <f>IF($B1144="","",IF($G1143="",0,$G1143)+IF($E1144="",0,$E1144)-IF($F1144="",0,$F1144))</f>
        <v/>
      </c>
      <c r="H1144" s="32">
        <f>IF(AND($L1144="",$M1144="",$N1144=""),"",IF($L1144&lt;&gt;"",IF(INDEX(LdANote,$L1144)="","—",INDEX(LdANote,$L1144)),IF($M1144&lt;&gt;"",IF(INDEX(LdBNote,$M1144)="","—",INDEX(LdBNote,$M1144)),IF($N1144&lt;&gt;"",IF(INDEX(LdCNote,$N1144)="","—",INDEX(LdCNote,$N1144)),""))))</f>
        <v/>
      </c>
      <c r="L1144">
        <f>IFERROR(MATCH($C$5&amp;"|"&amp;RIGHT("000000"&amp;1128,6),LdAKeyM,0),"")</f>
        <v/>
      </c>
      <c r="M1144">
        <f>IFERROR(MATCH($C$5&amp;"|"&amp;RIGHT("000000"&amp;1128,6),LdBKeyM,0),"")</f>
        <v/>
      </c>
      <c r="N1144">
        <f>IFERROR(MATCH($C$5&amp;"|"&amp;RIGHT("000000"&amp;1128,6),LdCKeyM,0),"")</f>
        <v/>
      </c>
    </row>
    <row r="1145">
      <c r="A1145" s="10" t="n">
        <v>1129</v>
      </c>
      <c r="B1145" s="14">
        <f>IF(AND($L1145="",$M1145="",$N1145=""),"",IF($L1145&lt;&gt;"",INDEX(LdADate,$L1145),IF($M1145&lt;&gt;"",INDEX(LdBDate,$M1145),INDEX(LdCDate,$N1145))))</f>
        <v/>
      </c>
      <c r="C1145" s="14">
        <f>IF($L1145&lt;&gt;"","دستمزد (فردی)",IF($M1145&lt;&gt;"","سهم از گروه "&amp;IFERROR(VLOOKUP(INDEX(LdBGroup,$M1145),WGTbl,2,0),INDEX(LdBGroup,$M1145)),IF($N1145&lt;&gt;"",IF(N(INDEX(LdCDep,$N1145))&gt;0,"بازگشت بانکی","پرداخت بانکی"),"")))</f>
        <v/>
      </c>
      <c r="D1145" s="14">
        <f>IF($L1145&lt;&gt;"",IF(INDEX(LdAId,$L1145)="","—",INDEX(LdAId,$L1145)),IF($M1145&lt;&gt;"",IF(INDEX(LdBId,$M1145)="","—",INDEX(LdBId,$M1145)),IF($N1145&lt;&gt;"",IF(INDEX(LdCBank,$N1145)="","—",INDEX(LdCBank,$N1145)),"")))</f>
        <v/>
      </c>
      <c r="E1145" s="16">
        <f>IF($L1145&lt;&gt;"",IF(INDEX(LdAAmt,$L1145)=0,"",INDEX(LdAAmt,$L1145)),IF($M1145&lt;&gt;"",IF(INDEX(LdBAmt,$M1145)=0,"",INDEX(LdBAmt,$M1145)),IF($N1145&lt;&gt;"",IF(INDEX(LdCDep,$N1145)=0,"",INDEX(LdCDep,$N1145)),"")))</f>
        <v/>
      </c>
      <c r="F1145" s="16">
        <f>IF(AND($L1145="",$M1145="",$N1145=""),"",IF($N1145="","",IF(INDEX(LdCWit,$N1145)=0,"",INDEX(LdCWit,$N1145))))</f>
        <v/>
      </c>
      <c r="G1145" s="29">
        <f>IF($B1145="","",IF($G1144="",0,$G1144)+IF($E1145="",0,$E1145)-IF($F1145="",0,$F1145))</f>
        <v/>
      </c>
      <c r="H1145" s="30">
        <f>IF(AND($L1145="",$M1145="",$N1145=""),"",IF($L1145&lt;&gt;"",IF(INDEX(LdANote,$L1145)="","—",INDEX(LdANote,$L1145)),IF($M1145&lt;&gt;"",IF(INDEX(LdBNote,$M1145)="","—",INDEX(LdBNote,$M1145)),IF($N1145&lt;&gt;"",IF(INDEX(LdCNote,$N1145)="","—",INDEX(LdCNote,$N1145)),""))))</f>
        <v/>
      </c>
      <c r="L1145">
        <f>IFERROR(MATCH($C$5&amp;"|"&amp;RIGHT("000000"&amp;1129,6),LdAKeyM,0),"")</f>
        <v/>
      </c>
      <c r="M1145">
        <f>IFERROR(MATCH($C$5&amp;"|"&amp;RIGHT("000000"&amp;1129,6),LdBKeyM,0),"")</f>
        <v/>
      </c>
      <c r="N1145">
        <f>IFERROR(MATCH($C$5&amp;"|"&amp;RIGHT("000000"&amp;1129,6),LdCKeyM,0),"")</f>
        <v/>
      </c>
    </row>
    <row r="1146">
      <c r="A1146" s="19" t="n">
        <v>1130</v>
      </c>
      <c r="B1146" s="20">
        <f>IF(AND($L1146="",$M1146="",$N1146=""),"",IF($L1146&lt;&gt;"",INDEX(LdADate,$L1146),IF($M1146&lt;&gt;"",INDEX(LdBDate,$M1146),INDEX(LdCDate,$N1146))))</f>
        <v/>
      </c>
      <c r="C1146" s="20">
        <f>IF($L1146&lt;&gt;"","دستمزد (فردی)",IF($M1146&lt;&gt;"","سهم از گروه "&amp;IFERROR(VLOOKUP(INDEX(LdBGroup,$M1146),WGTbl,2,0),INDEX(LdBGroup,$M1146)),IF($N1146&lt;&gt;"",IF(N(INDEX(LdCDep,$N1146))&gt;0,"بازگشت بانکی","پرداخت بانکی"),"")))</f>
        <v/>
      </c>
      <c r="D1146" s="20">
        <f>IF($L1146&lt;&gt;"",IF(INDEX(LdAId,$L1146)="","—",INDEX(LdAId,$L1146)),IF($M1146&lt;&gt;"",IF(INDEX(LdBId,$M1146)="","—",INDEX(LdBId,$M1146)),IF($N1146&lt;&gt;"",IF(INDEX(LdCBank,$N1146)="","—",INDEX(LdCBank,$N1146)),"")))</f>
        <v/>
      </c>
      <c r="E1146" s="21">
        <f>IF($L1146&lt;&gt;"",IF(INDEX(LdAAmt,$L1146)=0,"",INDEX(LdAAmt,$L1146)),IF($M1146&lt;&gt;"",IF(INDEX(LdBAmt,$M1146)=0,"",INDEX(LdBAmt,$M1146)),IF($N1146&lt;&gt;"",IF(INDEX(LdCDep,$N1146)=0,"",INDEX(LdCDep,$N1146)),"")))</f>
        <v/>
      </c>
      <c r="F1146" s="21">
        <f>IF(AND($L1146="",$M1146="",$N1146=""),"",IF($N1146="","",IF(INDEX(LdCWit,$N1146)=0,"",INDEX(LdCWit,$N1146))))</f>
        <v/>
      </c>
      <c r="G1146" s="31">
        <f>IF($B1146="","",IF($G1145="",0,$G1145)+IF($E1146="",0,$E1146)-IF($F1146="",0,$F1146))</f>
        <v/>
      </c>
      <c r="H1146" s="32">
        <f>IF(AND($L1146="",$M1146="",$N1146=""),"",IF($L1146&lt;&gt;"",IF(INDEX(LdANote,$L1146)="","—",INDEX(LdANote,$L1146)),IF($M1146&lt;&gt;"",IF(INDEX(LdBNote,$M1146)="","—",INDEX(LdBNote,$M1146)),IF($N1146&lt;&gt;"",IF(INDEX(LdCNote,$N1146)="","—",INDEX(LdCNote,$N1146)),""))))</f>
        <v/>
      </c>
      <c r="L1146">
        <f>IFERROR(MATCH($C$5&amp;"|"&amp;RIGHT("000000"&amp;1130,6),LdAKeyM,0),"")</f>
        <v/>
      </c>
      <c r="M1146">
        <f>IFERROR(MATCH($C$5&amp;"|"&amp;RIGHT("000000"&amp;1130,6),LdBKeyM,0),"")</f>
        <v/>
      </c>
      <c r="N1146">
        <f>IFERROR(MATCH($C$5&amp;"|"&amp;RIGHT("000000"&amp;1130,6),LdCKeyM,0),"")</f>
        <v/>
      </c>
    </row>
    <row r="1147">
      <c r="A1147" s="10" t="n">
        <v>1131</v>
      </c>
      <c r="B1147" s="14">
        <f>IF(AND($L1147="",$M1147="",$N1147=""),"",IF($L1147&lt;&gt;"",INDEX(LdADate,$L1147),IF($M1147&lt;&gt;"",INDEX(LdBDate,$M1147),INDEX(LdCDate,$N1147))))</f>
        <v/>
      </c>
      <c r="C1147" s="14">
        <f>IF($L1147&lt;&gt;"","دستمزد (فردی)",IF($M1147&lt;&gt;"","سهم از گروه "&amp;IFERROR(VLOOKUP(INDEX(LdBGroup,$M1147),WGTbl,2,0),INDEX(LdBGroup,$M1147)),IF($N1147&lt;&gt;"",IF(N(INDEX(LdCDep,$N1147))&gt;0,"بازگشت بانکی","پرداخت بانکی"),"")))</f>
        <v/>
      </c>
      <c r="D1147" s="14">
        <f>IF($L1147&lt;&gt;"",IF(INDEX(LdAId,$L1147)="","—",INDEX(LdAId,$L1147)),IF($M1147&lt;&gt;"",IF(INDEX(LdBId,$M1147)="","—",INDEX(LdBId,$M1147)),IF($N1147&lt;&gt;"",IF(INDEX(LdCBank,$N1147)="","—",INDEX(LdCBank,$N1147)),"")))</f>
        <v/>
      </c>
      <c r="E1147" s="16">
        <f>IF($L1147&lt;&gt;"",IF(INDEX(LdAAmt,$L1147)=0,"",INDEX(LdAAmt,$L1147)),IF($M1147&lt;&gt;"",IF(INDEX(LdBAmt,$M1147)=0,"",INDEX(LdBAmt,$M1147)),IF($N1147&lt;&gt;"",IF(INDEX(LdCDep,$N1147)=0,"",INDEX(LdCDep,$N1147)),"")))</f>
        <v/>
      </c>
      <c r="F1147" s="16">
        <f>IF(AND($L1147="",$M1147="",$N1147=""),"",IF($N1147="","",IF(INDEX(LdCWit,$N1147)=0,"",INDEX(LdCWit,$N1147))))</f>
        <v/>
      </c>
      <c r="G1147" s="29">
        <f>IF($B1147="","",IF($G1146="",0,$G1146)+IF($E1147="",0,$E1147)-IF($F1147="",0,$F1147))</f>
        <v/>
      </c>
      <c r="H1147" s="30">
        <f>IF(AND($L1147="",$M1147="",$N1147=""),"",IF($L1147&lt;&gt;"",IF(INDEX(LdANote,$L1147)="","—",INDEX(LdANote,$L1147)),IF($M1147&lt;&gt;"",IF(INDEX(LdBNote,$M1147)="","—",INDEX(LdBNote,$M1147)),IF($N1147&lt;&gt;"",IF(INDEX(LdCNote,$N1147)="","—",INDEX(LdCNote,$N1147)),""))))</f>
        <v/>
      </c>
      <c r="L1147">
        <f>IFERROR(MATCH($C$5&amp;"|"&amp;RIGHT("000000"&amp;1131,6),LdAKeyM,0),"")</f>
        <v/>
      </c>
      <c r="M1147">
        <f>IFERROR(MATCH($C$5&amp;"|"&amp;RIGHT("000000"&amp;1131,6),LdBKeyM,0),"")</f>
        <v/>
      </c>
      <c r="N1147">
        <f>IFERROR(MATCH($C$5&amp;"|"&amp;RIGHT("000000"&amp;1131,6),LdCKeyM,0),"")</f>
        <v/>
      </c>
    </row>
    <row r="1148">
      <c r="A1148" s="19" t="n">
        <v>1132</v>
      </c>
      <c r="B1148" s="20">
        <f>IF(AND($L1148="",$M1148="",$N1148=""),"",IF($L1148&lt;&gt;"",INDEX(LdADate,$L1148),IF($M1148&lt;&gt;"",INDEX(LdBDate,$M1148),INDEX(LdCDate,$N1148))))</f>
        <v/>
      </c>
      <c r="C1148" s="20">
        <f>IF($L1148&lt;&gt;"","دستمزد (فردی)",IF($M1148&lt;&gt;"","سهم از گروه "&amp;IFERROR(VLOOKUP(INDEX(LdBGroup,$M1148),WGTbl,2,0),INDEX(LdBGroup,$M1148)),IF($N1148&lt;&gt;"",IF(N(INDEX(LdCDep,$N1148))&gt;0,"بازگشت بانکی","پرداخت بانکی"),"")))</f>
        <v/>
      </c>
      <c r="D1148" s="20">
        <f>IF($L1148&lt;&gt;"",IF(INDEX(LdAId,$L1148)="","—",INDEX(LdAId,$L1148)),IF($M1148&lt;&gt;"",IF(INDEX(LdBId,$M1148)="","—",INDEX(LdBId,$M1148)),IF($N1148&lt;&gt;"",IF(INDEX(LdCBank,$N1148)="","—",INDEX(LdCBank,$N1148)),"")))</f>
        <v/>
      </c>
      <c r="E1148" s="21">
        <f>IF($L1148&lt;&gt;"",IF(INDEX(LdAAmt,$L1148)=0,"",INDEX(LdAAmt,$L1148)),IF($M1148&lt;&gt;"",IF(INDEX(LdBAmt,$M1148)=0,"",INDEX(LdBAmt,$M1148)),IF($N1148&lt;&gt;"",IF(INDEX(LdCDep,$N1148)=0,"",INDEX(LdCDep,$N1148)),"")))</f>
        <v/>
      </c>
      <c r="F1148" s="21">
        <f>IF(AND($L1148="",$M1148="",$N1148=""),"",IF($N1148="","",IF(INDEX(LdCWit,$N1148)=0,"",INDEX(LdCWit,$N1148))))</f>
        <v/>
      </c>
      <c r="G1148" s="31">
        <f>IF($B1148="","",IF($G1147="",0,$G1147)+IF($E1148="",0,$E1148)-IF($F1148="",0,$F1148))</f>
        <v/>
      </c>
      <c r="H1148" s="32">
        <f>IF(AND($L1148="",$M1148="",$N1148=""),"",IF($L1148&lt;&gt;"",IF(INDEX(LdANote,$L1148)="","—",INDEX(LdANote,$L1148)),IF($M1148&lt;&gt;"",IF(INDEX(LdBNote,$M1148)="","—",INDEX(LdBNote,$M1148)),IF($N1148&lt;&gt;"",IF(INDEX(LdCNote,$N1148)="","—",INDEX(LdCNote,$N1148)),""))))</f>
        <v/>
      </c>
      <c r="L1148">
        <f>IFERROR(MATCH($C$5&amp;"|"&amp;RIGHT("000000"&amp;1132,6),LdAKeyM,0),"")</f>
        <v/>
      </c>
      <c r="M1148">
        <f>IFERROR(MATCH($C$5&amp;"|"&amp;RIGHT("000000"&amp;1132,6),LdBKeyM,0),"")</f>
        <v/>
      </c>
      <c r="N1148">
        <f>IFERROR(MATCH($C$5&amp;"|"&amp;RIGHT("000000"&amp;1132,6),LdCKeyM,0),"")</f>
        <v/>
      </c>
    </row>
    <row r="1149">
      <c r="A1149" s="10" t="n">
        <v>1133</v>
      </c>
      <c r="B1149" s="14">
        <f>IF(AND($L1149="",$M1149="",$N1149=""),"",IF($L1149&lt;&gt;"",INDEX(LdADate,$L1149),IF($M1149&lt;&gt;"",INDEX(LdBDate,$M1149),INDEX(LdCDate,$N1149))))</f>
        <v/>
      </c>
      <c r="C1149" s="14">
        <f>IF($L1149&lt;&gt;"","دستمزد (فردی)",IF($M1149&lt;&gt;"","سهم از گروه "&amp;IFERROR(VLOOKUP(INDEX(LdBGroup,$M1149),WGTbl,2,0),INDEX(LdBGroup,$M1149)),IF($N1149&lt;&gt;"",IF(N(INDEX(LdCDep,$N1149))&gt;0,"بازگشت بانکی","پرداخت بانکی"),"")))</f>
        <v/>
      </c>
      <c r="D1149" s="14">
        <f>IF($L1149&lt;&gt;"",IF(INDEX(LdAId,$L1149)="","—",INDEX(LdAId,$L1149)),IF($M1149&lt;&gt;"",IF(INDEX(LdBId,$M1149)="","—",INDEX(LdBId,$M1149)),IF($N1149&lt;&gt;"",IF(INDEX(LdCBank,$N1149)="","—",INDEX(LdCBank,$N1149)),"")))</f>
        <v/>
      </c>
      <c r="E1149" s="16">
        <f>IF($L1149&lt;&gt;"",IF(INDEX(LdAAmt,$L1149)=0,"",INDEX(LdAAmt,$L1149)),IF($M1149&lt;&gt;"",IF(INDEX(LdBAmt,$M1149)=0,"",INDEX(LdBAmt,$M1149)),IF($N1149&lt;&gt;"",IF(INDEX(LdCDep,$N1149)=0,"",INDEX(LdCDep,$N1149)),"")))</f>
        <v/>
      </c>
      <c r="F1149" s="16">
        <f>IF(AND($L1149="",$M1149="",$N1149=""),"",IF($N1149="","",IF(INDEX(LdCWit,$N1149)=0,"",INDEX(LdCWit,$N1149))))</f>
        <v/>
      </c>
      <c r="G1149" s="29">
        <f>IF($B1149="","",IF($G1148="",0,$G1148)+IF($E1149="",0,$E1149)-IF($F1149="",0,$F1149))</f>
        <v/>
      </c>
      <c r="H1149" s="30">
        <f>IF(AND($L1149="",$M1149="",$N1149=""),"",IF($L1149&lt;&gt;"",IF(INDEX(LdANote,$L1149)="","—",INDEX(LdANote,$L1149)),IF($M1149&lt;&gt;"",IF(INDEX(LdBNote,$M1149)="","—",INDEX(LdBNote,$M1149)),IF($N1149&lt;&gt;"",IF(INDEX(LdCNote,$N1149)="","—",INDEX(LdCNote,$N1149)),""))))</f>
        <v/>
      </c>
      <c r="L1149">
        <f>IFERROR(MATCH($C$5&amp;"|"&amp;RIGHT("000000"&amp;1133,6),LdAKeyM,0),"")</f>
        <v/>
      </c>
      <c r="M1149">
        <f>IFERROR(MATCH($C$5&amp;"|"&amp;RIGHT("000000"&amp;1133,6),LdBKeyM,0),"")</f>
        <v/>
      </c>
      <c r="N1149">
        <f>IFERROR(MATCH($C$5&amp;"|"&amp;RIGHT("000000"&amp;1133,6),LdCKeyM,0),"")</f>
        <v/>
      </c>
    </row>
    <row r="1150">
      <c r="A1150" s="19" t="n">
        <v>1134</v>
      </c>
      <c r="B1150" s="20">
        <f>IF(AND($L1150="",$M1150="",$N1150=""),"",IF($L1150&lt;&gt;"",INDEX(LdADate,$L1150),IF($M1150&lt;&gt;"",INDEX(LdBDate,$M1150),INDEX(LdCDate,$N1150))))</f>
        <v/>
      </c>
      <c r="C1150" s="20">
        <f>IF($L1150&lt;&gt;"","دستمزد (فردی)",IF($M1150&lt;&gt;"","سهم از گروه "&amp;IFERROR(VLOOKUP(INDEX(LdBGroup,$M1150),WGTbl,2,0),INDEX(LdBGroup,$M1150)),IF($N1150&lt;&gt;"",IF(N(INDEX(LdCDep,$N1150))&gt;0,"بازگشت بانکی","پرداخت بانکی"),"")))</f>
        <v/>
      </c>
      <c r="D1150" s="20">
        <f>IF($L1150&lt;&gt;"",IF(INDEX(LdAId,$L1150)="","—",INDEX(LdAId,$L1150)),IF($M1150&lt;&gt;"",IF(INDEX(LdBId,$M1150)="","—",INDEX(LdBId,$M1150)),IF($N1150&lt;&gt;"",IF(INDEX(LdCBank,$N1150)="","—",INDEX(LdCBank,$N1150)),"")))</f>
        <v/>
      </c>
      <c r="E1150" s="21">
        <f>IF($L1150&lt;&gt;"",IF(INDEX(LdAAmt,$L1150)=0,"",INDEX(LdAAmt,$L1150)),IF($M1150&lt;&gt;"",IF(INDEX(LdBAmt,$M1150)=0,"",INDEX(LdBAmt,$M1150)),IF($N1150&lt;&gt;"",IF(INDEX(LdCDep,$N1150)=0,"",INDEX(LdCDep,$N1150)),"")))</f>
        <v/>
      </c>
      <c r="F1150" s="21">
        <f>IF(AND($L1150="",$M1150="",$N1150=""),"",IF($N1150="","",IF(INDEX(LdCWit,$N1150)=0,"",INDEX(LdCWit,$N1150))))</f>
        <v/>
      </c>
      <c r="G1150" s="31">
        <f>IF($B1150="","",IF($G1149="",0,$G1149)+IF($E1150="",0,$E1150)-IF($F1150="",0,$F1150))</f>
        <v/>
      </c>
      <c r="H1150" s="32">
        <f>IF(AND($L1150="",$M1150="",$N1150=""),"",IF($L1150&lt;&gt;"",IF(INDEX(LdANote,$L1150)="","—",INDEX(LdANote,$L1150)),IF($M1150&lt;&gt;"",IF(INDEX(LdBNote,$M1150)="","—",INDEX(LdBNote,$M1150)),IF($N1150&lt;&gt;"",IF(INDEX(LdCNote,$N1150)="","—",INDEX(LdCNote,$N1150)),""))))</f>
        <v/>
      </c>
      <c r="L1150">
        <f>IFERROR(MATCH($C$5&amp;"|"&amp;RIGHT("000000"&amp;1134,6),LdAKeyM,0),"")</f>
        <v/>
      </c>
      <c r="M1150">
        <f>IFERROR(MATCH($C$5&amp;"|"&amp;RIGHT("000000"&amp;1134,6),LdBKeyM,0),"")</f>
        <v/>
      </c>
      <c r="N1150">
        <f>IFERROR(MATCH($C$5&amp;"|"&amp;RIGHT("000000"&amp;1134,6),LdCKeyM,0),"")</f>
        <v/>
      </c>
    </row>
    <row r="1151">
      <c r="A1151" s="10" t="n">
        <v>1135</v>
      </c>
      <c r="B1151" s="14">
        <f>IF(AND($L1151="",$M1151="",$N1151=""),"",IF($L1151&lt;&gt;"",INDEX(LdADate,$L1151),IF($M1151&lt;&gt;"",INDEX(LdBDate,$M1151),INDEX(LdCDate,$N1151))))</f>
        <v/>
      </c>
      <c r="C1151" s="14">
        <f>IF($L1151&lt;&gt;"","دستمزد (فردی)",IF($M1151&lt;&gt;"","سهم از گروه "&amp;IFERROR(VLOOKUP(INDEX(LdBGroup,$M1151),WGTbl,2,0),INDEX(LdBGroup,$M1151)),IF($N1151&lt;&gt;"",IF(N(INDEX(LdCDep,$N1151))&gt;0,"بازگشت بانکی","پرداخت بانکی"),"")))</f>
        <v/>
      </c>
      <c r="D1151" s="14">
        <f>IF($L1151&lt;&gt;"",IF(INDEX(LdAId,$L1151)="","—",INDEX(LdAId,$L1151)),IF($M1151&lt;&gt;"",IF(INDEX(LdBId,$M1151)="","—",INDEX(LdBId,$M1151)),IF($N1151&lt;&gt;"",IF(INDEX(LdCBank,$N1151)="","—",INDEX(LdCBank,$N1151)),"")))</f>
        <v/>
      </c>
      <c r="E1151" s="16">
        <f>IF($L1151&lt;&gt;"",IF(INDEX(LdAAmt,$L1151)=0,"",INDEX(LdAAmt,$L1151)),IF($M1151&lt;&gt;"",IF(INDEX(LdBAmt,$M1151)=0,"",INDEX(LdBAmt,$M1151)),IF($N1151&lt;&gt;"",IF(INDEX(LdCDep,$N1151)=0,"",INDEX(LdCDep,$N1151)),"")))</f>
        <v/>
      </c>
      <c r="F1151" s="16">
        <f>IF(AND($L1151="",$M1151="",$N1151=""),"",IF($N1151="","",IF(INDEX(LdCWit,$N1151)=0,"",INDEX(LdCWit,$N1151))))</f>
        <v/>
      </c>
      <c r="G1151" s="29">
        <f>IF($B1151="","",IF($G1150="",0,$G1150)+IF($E1151="",0,$E1151)-IF($F1151="",0,$F1151))</f>
        <v/>
      </c>
      <c r="H1151" s="30">
        <f>IF(AND($L1151="",$M1151="",$N1151=""),"",IF($L1151&lt;&gt;"",IF(INDEX(LdANote,$L1151)="","—",INDEX(LdANote,$L1151)),IF($M1151&lt;&gt;"",IF(INDEX(LdBNote,$M1151)="","—",INDEX(LdBNote,$M1151)),IF($N1151&lt;&gt;"",IF(INDEX(LdCNote,$N1151)="","—",INDEX(LdCNote,$N1151)),""))))</f>
        <v/>
      </c>
      <c r="L1151">
        <f>IFERROR(MATCH($C$5&amp;"|"&amp;RIGHT("000000"&amp;1135,6),LdAKeyM,0),"")</f>
        <v/>
      </c>
      <c r="M1151">
        <f>IFERROR(MATCH($C$5&amp;"|"&amp;RIGHT("000000"&amp;1135,6),LdBKeyM,0),"")</f>
        <v/>
      </c>
      <c r="N1151">
        <f>IFERROR(MATCH($C$5&amp;"|"&amp;RIGHT("000000"&amp;1135,6),LdCKeyM,0),"")</f>
        <v/>
      </c>
    </row>
    <row r="1152">
      <c r="A1152" s="19" t="n">
        <v>1136</v>
      </c>
      <c r="B1152" s="20">
        <f>IF(AND($L1152="",$M1152="",$N1152=""),"",IF($L1152&lt;&gt;"",INDEX(LdADate,$L1152),IF($M1152&lt;&gt;"",INDEX(LdBDate,$M1152),INDEX(LdCDate,$N1152))))</f>
        <v/>
      </c>
      <c r="C1152" s="20">
        <f>IF($L1152&lt;&gt;"","دستمزد (فردی)",IF($M1152&lt;&gt;"","سهم از گروه "&amp;IFERROR(VLOOKUP(INDEX(LdBGroup,$M1152),WGTbl,2,0),INDEX(LdBGroup,$M1152)),IF($N1152&lt;&gt;"",IF(N(INDEX(LdCDep,$N1152))&gt;0,"بازگشت بانکی","پرداخت بانکی"),"")))</f>
        <v/>
      </c>
      <c r="D1152" s="20">
        <f>IF($L1152&lt;&gt;"",IF(INDEX(LdAId,$L1152)="","—",INDEX(LdAId,$L1152)),IF($M1152&lt;&gt;"",IF(INDEX(LdBId,$M1152)="","—",INDEX(LdBId,$M1152)),IF($N1152&lt;&gt;"",IF(INDEX(LdCBank,$N1152)="","—",INDEX(LdCBank,$N1152)),"")))</f>
        <v/>
      </c>
      <c r="E1152" s="21">
        <f>IF($L1152&lt;&gt;"",IF(INDEX(LdAAmt,$L1152)=0,"",INDEX(LdAAmt,$L1152)),IF($M1152&lt;&gt;"",IF(INDEX(LdBAmt,$M1152)=0,"",INDEX(LdBAmt,$M1152)),IF($N1152&lt;&gt;"",IF(INDEX(LdCDep,$N1152)=0,"",INDEX(LdCDep,$N1152)),"")))</f>
        <v/>
      </c>
      <c r="F1152" s="21">
        <f>IF(AND($L1152="",$M1152="",$N1152=""),"",IF($N1152="","",IF(INDEX(LdCWit,$N1152)=0,"",INDEX(LdCWit,$N1152))))</f>
        <v/>
      </c>
      <c r="G1152" s="31">
        <f>IF($B1152="","",IF($G1151="",0,$G1151)+IF($E1152="",0,$E1152)-IF($F1152="",0,$F1152))</f>
        <v/>
      </c>
      <c r="H1152" s="32">
        <f>IF(AND($L1152="",$M1152="",$N1152=""),"",IF($L1152&lt;&gt;"",IF(INDEX(LdANote,$L1152)="","—",INDEX(LdANote,$L1152)),IF($M1152&lt;&gt;"",IF(INDEX(LdBNote,$M1152)="","—",INDEX(LdBNote,$M1152)),IF($N1152&lt;&gt;"",IF(INDEX(LdCNote,$N1152)="","—",INDEX(LdCNote,$N1152)),""))))</f>
        <v/>
      </c>
      <c r="L1152">
        <f>IFERROR(MATCH($C$5&amp;"|"&amp;RIGHT("000000"&amp;1136,6),LdAKeyM,0),"")</f>
        <v/>
      </c>
      <c r="M1152">
        <f>IFERROR(MATCH($C$5&amp;"|"&amp;RIGHT("000000"&amp;1136,6),LdBKeyM,0),"")</f>
        <v/>
      </c>
      <c r="N1152">
        <f>IFERROR(MATCH($C$5&amp;"|"&amp;RIGHT("000000"&amp;1136,6),LdCKeyM,0),"")</f>
        <v/>
      </c>
    </row>
    <row r="1153">
      <c r="A1153" s="10" t="n">
        <v>1137</v>
      </c>
      <c r="B1153" s="14">
        <f>IF(AND($L1153="",$M1153="",$N1153=""),"",IF($L1153&lt;&gt;"",INDEX(LdADate,$L1153),IF($M1153&lt;&gt;"",INDEX(LdBDate,$M1153),INDEX(LdCDate,$N1153))))</f>
        <v/>
      </c>
      <c r="C1153" s="14">
        <f>IF($L1153&lt;&gt;"","دستمزد (فردی)",IF($M1153&lt;&gt;"","سهم از گروه "&amp;IFERROR(VLOOKUP(INDEX(LdBGroup,$M1153),WGTbl,2,0),INDEX(LdBGroup,$M1153)),IF($N1153&lt;&gt;"",IF(N(INDEX(LdCDep,$N1153))&gt;0,"بازگشت بانکی","پرداخت بانکی"),"")))</f>
        <v/>
      </c>
      <c r="D1153" s="14">
        <f>IF($L1153&lt;&gt;"",IF(INDEX(LdAId,$L1153)="","—",INDEX(LdAId,$L1153)),IF($M1153&lt;&gt;"",IF(INDEX(LdBId,$M1153)="","—",INDEX(LdBId,$M1153)),IF($N1153&lt;&gt;"",IF(INDEX(LdCBank,$N1153)="","—",INDEX(LdCBank,$N1153)),"")))</f>
        <v/>
      </c>
      <c r="E1153" s="16">
        <f>IF($L1153&lt;&gt;"",IF(INDEX(LdAAmt,$L1153)=0,"",INDEX(LdAAmt,$L1153)),IF($M1153&lt;&gt;"",IF(INDEX(LdBAmt,$M1153)=0,"",INDEX(LdBAmt,$M1153)),IF($N1153&lt;&gt;"",IF(INDEX(LdCDep,$N1153)=0,"",INDEX(LdCDep,$N1153)),"")))</f>
        <v/>
      </c>
      <c r="F1153" s="16">
        <f>IF(AND($L1153="",$M1153="",$N1153=""),"",IF($N1153="","",IF(INDEX(LdCWit,$N1153)=0,"",INDEX(LdCWit,$N1153))))</f>
        <v/>
      </c>
      <c r="G1153" s="29">
        <f>IF($B1153="","",IF($G1152="",0,$G1152)+IF($E1153="",0,$E1153)-IF($F1153="",0,$F1153))</f>
        <v/>
      </c>
      <c r="H1153" s="30">
        <f>IF(AND($L1153="",$M1153="",$N1153=""),"",IF($L1153&lt;&gt;"",IF(INDEX(LdANote,$L1153)="","—",INDEX(LdANote,$L1153)),IF($M1153&lt;&gt;"",IF(INDEX(LdBNote,$M1153)="","—",INDEX(LdBNote,$M1153)),IF($N1153&lt;&gt;"",IF(INDEX(LdCNote,$N1153)="","—",INDEX(LdCNote,$N1153)),""))))</f>
        <v/>
      </c>
      <c r="L1153">
        <f>IFERROR(MATCH($C$5&amp;"|"&amp;RIGHT("000000"&amp;1137,6),LdAKeyM,0),"")</f>
        <v/>
      </c>
      <c r="M1153">
        <f>IFERROR(MATCH($C$5&amp;"|"&amp;RIGHT("000000"&amp;1137,6),LdBKeyM,0),"")</f>
        <v/>
      </c>
      <c r="N1153">
        <f>IFERROR(MATCH($C$5&amp;"|"&amp;RIGHT("000000"&amp;1137,6),LdCKeyM,0),"")</f>
        <v/>
      </c>
    </row>
    <row r="1154">
      <c r="A1154" s="19" t="n">
        <v>1138</v>
      </c>
      <c r="B1154" s="20">
        <f>IF(AND($L1154="",$M1154="",$N1154=""),"",IF($L1154&lt;&gt;"",INDEX(LdADate,$L1154),IF($M1154&lt;&gt;"",INDEX(LdBDate,$M1154),INDEX(LdCDate,$N1154))))</f>
        <v/>
      </c>
      <c r="C1154" s="20">
        <f>IF($L1154&lt;&gt;"","دستمزد (فردی)",IF($M1154&lt;&gt;"","سهم از گروه "&amp;IFERROR(VLOOKUP(INDEX(LdBGroup,$M1154),WGTbl,2,0),INDEX(LdBGroup,$M1154)),IF($N1154&lt;&gt;"",IF(N(INDEX(LdCDep,$N1154))&gt;0,"بازگشت بانکی","پرداخت بانکی"),"")))</f>
        <v/>
      </c>
      <c r="D1154" s="20">
        <f>IF($L1154&lt;&gt;"",IF(INDEX(LdAId,$L1154)="","—",INDEX(LdAId,$L1154)),IF($M1154&lt;&gt;"",IF(INDEX(LdBId,$M1154)="","—",INDEX(LdBId,$M1154)),IF($N1154&lt;&gt;"",IF(INDEX(LdCBank,$N1154)="","—",INDEX(LdCBank,$N1154)),"")))</f>
        <v/>
      </c>
      <c r="E1154" s="21">
        <f>IF($L1154&lt;&gt;"",IF(INDEX(LdAAmt,$L1154)=0,"",INDEX(LdAAmt,$L1154)),IF($M1154&lt;&gt;"",IF(INDEX(LdBAmt,$M1154)=0,"",INDEX(LdBAmt,$M1154)),IF($N1154&lt;&gt;"",IF(INDEX(LdCDep,$N1154)=0,"",INDEX(LdCDep,$N1154)),"")))</f>
        <v/>
      </c>
      <c r="F1154" s="21">
        <f>IF(AND($L1154="",$M1154="",$N1154=""),"",IF($N1154="","",IF(INDEX(LdCWit,$N1154)=0,"",INDEX(LdCWit,$N1154))))</f>
        <v/>
      </c>
      <c r="G1154" s="31">
        <f>IF($B1154="","",IF($G1153="",0,$G1153)+IF($E1154="",0,$E1154)-IF($F1154="",0,$F1154))</f>
        <v/>
      </c>
      <c r="H1154" s="32">
        <f>IF(AND($L1154="",$M1154="",$N1154=""),"",IF($L1154&lt;&gt;"",IF(INDEX(LdANote,$L1154)="","—",INDEX(LdANote,$L1154)),IF($M1154&lt;&gt;"",IF(INDEX(LdBNote,$M1154)="","—",INDEX(LdBNote,$M1154)),IF($N1154&lt;&gt;"",IF(INDEX(LdCNote,$N1154)="","—",INDEX(LdCNote,$N1154)),""))))</f>
        <v/>
      </c>
      <c r="L1154">
        <f>IFERROR(MATCH($C$5&amp;"|"&amp;RIGHT("000000"&amp;1138,6),LdAKeyM,0),"")</f>
        <v/>
      </c>
      <c r="M1154">
        <f>IFERROR(MATCH($C$5&amp;"|"&amp;RIGHT("000000"&amp;1138,6),LdBKeyM,0),"")</f>
        <v/>
      </c>
      <c r="N1154">
        <f>IFERROR(MATCH($C$5&amp;"|"&amp;RIGHT("000000"&amp;1138,6),LdCKeyM,0),"")</f>
        <v/>
      </c>
    </row>
    <row r="1155">
      <c r="A1155" s="10" t="n">
        <v>1139</v>
      </c>
      <c r="B1155" s="14">
        <f>IF(AND($L1155="",$M1155="",$N1155=""),"",IF($L1155&lt;&gt;"",INDEX(LdADate,$L1155),IF($M1155&lt;&gt;"",INDEX(LdBDate,$M1155),INDEX(LdCDate,$N1155))))</f>
        <v/>
      </c>
      <c r="C1155" s="14">
        <f>IF($L1155&lt;&gt;"","دستمزد (فردی)",IF($M1155&lt;&gt;"","سهم از گروه "&amp;IFERROR(VLOOKUP(INDEX(LdBGroup,$M1155),WGTbl,2,0),INDEX(LdBGroup,$M1155)),IF($N1155&lt;&gt;"",IF(N(INDEX(LdCDep,$N1155))&gt;0,"بازگشت بانکی","پرداخت بانکی"),"")))</f>
        <v/>
      </c>
      <c r="D1155" s="14">
        <f>IF($L1155&lt;&gt;"",IF(INDEX(LdAId,$L1155)="","—",INDEX(LdAId,$L1155)),IF($M1155&lt;&gt;"",IF(INDEX(LdBId,$M1155)="","—",INDEX(LdBId,$M1155)),IF($N1155&lt;&gt;"",IF(INDEX(LdCBank,$N1155)="","—",INDEX(LdCBank,$N1155)),"")))</f>
        <v/>
      </c>
      <c r="E1155" s="16">
        <f>IF($L1155&lt;&gt;"",IF(INDEX(LdAAmt,$L1155)=0,"",INDEX(LdAAmt,$L1155)),IF($M1155&lt;&gt;"",IF(INDEX(LdBAmt,$M1155)=0,"",INDEX(LdBAmt,$M1155)),IF($N1155&lt;&gt;"",IF(INDEX(LdCDep,$N1155)=0,"",INDEX(LdCDep,$N1155)),"")))</f>
        <v/>
      </c>
      <c r="F1155" s="16">
        <f>IF(AND($L1155="",$M1155="",$N1155=""),"",IF($N1155="","",IF(INDEX(LdCWit,$N1155)=0,"",INDEX(LdCWit,$N1155))))</f>
        <v/>
      </c>
      <c r="G1155" s="29">
        <f>IF($B1155="","",IF($G1154="",0,$G1154)+IF($E1155="",0,$E1155)-IF($F1155="",0,$F1155))</f>
        <v/>
      </c>
      <c r="H1155" s="30">
        <f>IF(AND($L1155="",$M1155="",$N1155=""),"",IF($L1155&lt;&gt;"",IF(INDEX(LdANote,$L1155)="","—",INDEX(LdANote,$L1155)),IF($M1155&lt;&gt;"",IF(INDEX(LdBNote,$M1155)="","—",INDEX(LdBNote,$M1155)),IF($N1155&lt;&gt;"",IF(INDEX(LdCNote,$N1155)="","—",INDEX(LdCNote,$N1155)),""))))</f>
        <v/>
      </c>
      <c r="L1155">
        <f>IFERROR(MATCH($C$5&amp;"|"&amp;RIGHT("000000"&amp;1139,6),LdAKeyM,0),"")</f>
        <v/>
      </c>
      <c r="M1155">
        <f>IFERROR(MATCH($C$5&amp;"|"&amp;RIGHT("000000"&amp;1139,6),LdBKeyM,0),"")</f>
        <v/>
      </c>
      <c r="N1155">
        <f>IFERROR(MATCH($C$5&amp;"|"&amp;RIGHT("000000"&amp;1139,6),LdCKeyM,0),"")</f>
        <v/>
      </c>
    </row>
    <row r="1156">
      <c r="A1156" s="19" t="n">
        <v>1140</v>
      </c>
      <c r="B1156" s="20">
        <f>IF(AND($L1156="",$M1156="",$N1156=""),"",IF($L1156&lt;&gt;"",INDEX(LdADate,$L1156),IF($M1156&lt;&gt;"",INDEX(LdBDate,$M1156),INDEX(LdCDate,$N1156))))</f>
        <v/>
      </c>
      <c r="C1156" s="20">
        <f>IF($L1156&lt;&gt;"","دستمزد (فردی)",IF($M1156&lt;&gt;"","سهم از گروه "&amp;IFERROR(VLOOKUP(INDEX(LdBGroup,$M1156),WGTbl,2,0),INDEX(LdBGroup,$M1156)),IF($N1156&lt;&gt;"",IF(N(INDEX(LdCDep,$N1156))&gt;0,"بازگشت بانکی","پرداخت بانکی"),"")))</f>
        <v/>
      </c>
      <c r="D1156" s="20">
        <f>IF($L1156&lt;&gt;"",IF(INDEX(LdAId,$L1156)="","—",INDEX(LdAId,$L1156)),IF($M1156&lt;&gt;"",IF(INDEX(LdBId,$M1156)="","—",INDEX(LdBId,$M1156)),IF($N1156&lt;&gt;"",IF(INDEX(LdCBank,$N1156)="","—",INDEX(LdCBank,$N1156)),"")))</f>
        <v/>
      </c>
      <c r="E1156" s="21">
        <f>IF($L1156&lt;&gt;"",IF(INDEX(LdAAmt,$L1156)=0,"",INDEX(LdAAmt,$L1156)),IF($M1156&lt;&gt;"",IF(INDEX(LdBAmt,$M1156)=0,"",INDEX(LdBAmt,$M1156)),IF($N1156&lt;&gt;"",IF(INDEX(LdCDep,$N1156)=0,"",INDEX(LdCDep,$N1156)),"")))</f>
        <v/>
      </c>
      <c r="F1156" s="21">
        <f>IF(AND($L1156="",$M1156="",$N1156=""),"",IF($N1156="","",IF(INDEX(LdCWit,$N1156)=0,"",INDEX(LdCWit,$N1156))))</f>
        <v/>
      </c>
      <c r="G1156" s="31">
        <f>IF($B1156="","",IF($G1155="",0,$G1155)+IF($E1156="",0,$E1156)-IF($F1156="",0,$F1156))</f>
        <v/>
      </c>
      <c r="H1156" s="32">
        <f>IF(AND($L1156="",$M1156="",$N1156=""),"",IF($L1156&lt;&gt;"",IF(INDEX(LdANote,$L1156)="","—",INDEX(LdANote,$L1156)),IF($M1156&lt;&gt;"",IF(INDEX(LdBNote,$M1156)="","—",INDEX(LdBNote,$M1156)),IF($N1156&lt;&gt;"",IF(INDEX(LdCNote,$N1156)="","—",INDEX(LdCNote,$N1156)),""))))</f>
        <v/>
      </c>
      <c r="L1156">
        <f>IFERROR(MATCH($C$5&amp;"|"&amp;RIGHT("000000"&amp;1140,6),LdAKeyM,0),"")</f>
        <v/>
      </c>
      <c r="M1156">
        <f>IFERROR(MATCH($C$5&amp;"|"&amp;RIGHT("000000"&amp;1140,6),LdBKeyM,0),"")</f>
        <v/>
      </c>
      <c r="N1156">
        <f>IFERROR(MATCH($C$5&amp;"|"&amp;RIGHT("000000"&amp;1140,6),LdCKeyM,0),"")</f>
        <v/>
      </c>
    </row>
    <row r="1157">
      <c r="A1157" s="10" t="n">
        <v>1141</v>
      </c>
      <c r="B1157" s="14">
        <f>IF(AND($L1157="",$M1157="",$N1157=""),"",IF($L1157&lt;&gt;"",INDEX(LdADate,$L1157),IF($M1157&lt;&gt;"",INDEX(LdBDate,$M1157),INDEX(LdCDate,$N1157))))</f>
        <v/>
      </c>
      <c r="C1157" s="14">
        <f>IF($L1157&lt;&gt;"","دستمزد (فردی)",IF($M1157&lt;&gt;"","سهم از گروه "&amp;IFERROR(VLOOKUP(INDEX(LdBGroup,$M1157),WGTbl,2,0),INDEX(LdBGroup,$M1157)),IF($N1157&lt;&gt;"",IF(N(INDEX(LdCDep,$N1157))&gt;0,"بازگشت بانکی","پرداخت بانکی"),"")))</f>
        <v/>
      </c>
      <c r="D1157" s="14">
        <f>IF($L1157&lt;&gt;"",IF(INDEX(LdAId,$L1157)="","—",INDEX(LdAId,$L1157)),IF($M1157&lt;&gt;"",IF(INDEX(LdBId,$M1157)="","—",INDEX(LdBId,$M1157)),IF($N1157&lt;&gt;"",IF(INDEX(LdCBank,$N1157)="","—",INDEX(LdCBank,$N1157)),"")))</f>
        <v/>
      </c>
      <c r="E1157" s="16">
        <f>IF($L1157&lt;&gt;"",IF(INDEX(LdAAmt,$L1157)=0,"",INDEX(LdAAmt,$L1157)),IF($M1157&lt;&gt;"",IF(INDEX(LdBAmt,$M1157)=0,"",INDEX(LdBAmt,$M1157)),IF($N1157&lt;&gt;"",IF(INDEX(LdCDep,$N1157)=0,"",INDEX(LdCDep,$N1157)),"")))</f>
        <v/>
      </c>
      <c r="F1157" s="16">
        <f>IF(AND($L1157="",$M1157="",$N1157=""),"",IF($N1157="","",IF(INDEX(LdCWit,$N1157)=0,"",INDEX(LdCWit,$N1157))))</f>
        <v/>
      </c>
      <c r="G1157" s="29">
        <f>IF($B1157="","",IF($G1156="",0,$G1156)+IF($E1157="",0,$E1157)-IF($F1157="",0,$F1157))</f>
        <v/>
      </c>
      <c r="H1157" s="30">
        <f>IF(AND($L1157="",$M1157="",$N1157=""),"",IF($L1157&lt;&gt;"",IF(INDEX(LdANote,$L1157)="","—",INDEX(LdANote,$L1157)),IF($M1157&lt;&gt;"",IF(INDEX(LdBNote,$M1157)="","—",INDEX(LdBNote,$M1157)),IF($N1157&lt;&gt;"",IF(INDEX(LdCNote,$N1157)="","—",INDEX(LdCNote,$N1157)),""))))</f>
        <v/>
      </c>
      <c r="L1157">
        <f>IFERROR(MATCH($C$5&amp;"|"&amp;RIGHT("000000"&amp;1141,6),LdAKeyM,0),"")</f>
        <v/>
      </c>
      <c r="M1157">
        <f>IFERROR(MATCH($C$5&amp;"|"&amp;RIGHT("000000"&amp;1141,6),LdBKeyM,0),"")</f>
        <v/>
      </c>
      <c r="N1157">
        <f>IFERROR(MATCH($C$5&amp;"|"&amp;RIGHT("000000"&amp;1141,6),LdCKeyM,0),"")</f>
        <v/>
      </c>
    </row>
    <row r="1158">
      <c r="A1158" s="19" t="n">
        <v>1142</v>
      </c>
      <c r="B1158" s="20">
        <f>IF(AND($L1158="",$M1158="",$N1158=""),"",IF($L1158&lt;&gt;"",INDEX(LdADate,$L1158),IF($M1158&lt;&gt;"",INDEX(LdBDate,$M1158),INDEX(LdCDate,$N1158))))</f>
        <v/>
      </c>
      <c r="C1158" s="20">
        <f>IF($L1158&lt;&gt;"","دستمزد (فردی)",IF($M1158&lt;&gt;"","سهم از گروه "&amp;IFERROR(VLOOKUP(INDEX(LdBGroup,$M1158),WGTbl,2,0),INDEX(LdBGroup,$M1158)),IF($N1158&lt;&gt;"",IF(N(INDEX(LdCDep,$N1158))&gt;0,"بازگشت بانکی","پرداخت بانکی"),"")))</f>
        <v/>
      </c>
      <c r="D1158" s="20">
        <f>IF($L1158&lt;&gt;"",IF(INDEX(LdAId,$L1158)="","—",INDEX(LdAId,$L1158)),IF($M1158&lt;&gt;"",IF(INDEX(LdBId,$M1158)="","—",INDEX(LdBId,$M1158)),IF($N1158&lt;&gt;"",IF(INDEX(LdCBank,$N1158)="","—",INDEX(LdCBank,$N1158)),"")))</f>
        <v/>
      </c>
      <c r="E1158" s="21">
        <f>IF($L1158&lt;&gt;"",IF(INDEX(LdAAmt,$L1158)=0,"",INDEX(LdAAmt,$L1158)),IF($M1158&lt;&gt;"",IF(INDEX(LdBAmt,$M1158)=0,"",INDEX(LdBAmt,$M1158)),IF($N1158&lt;&gt;"",IF(INDEX(LdCDep,$N1158)=0,"",INDEX(LdCDep,$N1158)),"")))</f>
        <v/>
      </c>
      <c r="F1158" s="21">
        <f>IF(AND($L1158="",$M1158="",$N1158=""),"",IF($N1158="","",IF(INDEX(LdCWit,$N1158)=0,"",INDEX(LdCWit,$N1158))))</f>
        <v/>
      </c>
      <c r="G1158" s="31">
        <f>IF($B1158="","",IF($G1157="",0,$G1157)+IF($E1158="",0,$E1158)-IF($F1158="",0,$F1158))</f>
        <v/>
      </c>
      <c r="H1158" s="32">
        <f>IF(AND($L1158="",$M1158="",$N1158=""),"",IF($L1158&lt;&gt;"",IF(INDEX(LdANote,$L1158)="","—",INDEX(LdANote,$L1158)),IF($M1158&lt;&gt;"",IF(INDEX(LdBNote,$M1158)="","—",INDEX(LdBNote,$M1158)),IF($N1158&lt;&gt;"",IF(INDEX(LdCNote,$N1158)="","—",INDEX(LdCNote,$N1158)),""))))</f>
        <v/>
      </c>
      <c r="L1158">
        <f>IFERROR(MATCH($C$5&amp;"|"&amp;RIGHT("000000"&amp;1142,6),LdAKeyM,0),"")</f>
        <v/>
      </c>
      <c r="M1158">
        <f>IFERROR(MATCH($C$5&amp;"|"&amp;RIGHT("000000"&amp;1142,6),LdBKeyM,0),"")</f>
        <v/>
      </c>
      <c r="N1158">
        <f>IFERROR(MATCH($C$5&amp;"|"&amp;RIGHT("000000"&amp;1142,6),LdCKeyM,0),"")</f>
        <v/>
      </c>
    </row>
    <row r="1159">
      <c r="A1159" s="10" t="n">
        <v>1143</v>
      </c>
      <c r="B1159" s="14">
        <f>IF(AND($L1159="",$M1159="",$N1159=""),"",IF($L1159&lt;&gt;"",INDEX(LdADate,$L1159),IF($M1159&lt;&gt;"",INDEX(LdBDate,$M1159),INDEX(LdCDate,$N1159))))</f>
        <v/>
      </c>
      <c r="C1159" s="14">
        <f>IF($L1159&lt;&gt;"","دستمزد (فردی)",IF($M1159&lt;&gt;"","سهم از گروه "&amp;IFERROR(VLOOKUP(INDEX(LdBGroup,$M1159),WGTbl,2,0),INDEX(LdBGroup,$M1159)),IF($N1159&lt;&gt;"",IF(N(INDEX(LdCDep,$N1159))&gt;0,"بازگشت بانکی","پرداخت بانکی"),"")))</f>
        <v/>
      </c>
      <c r="D1159" s="14">
        <f>IF($L1159&lt;&gt;"",IF(INDEX(LdAId,$L1159)="","—",INDEX(LdAId,$L1159)),IF($M1159&lt;&gt;"",IF(INDEX(LdBId,$M1159)="","—",INDEX(LdBId,$M1159)),IF($N1159&lt;&gt;"",IF(INDEX(LdCBank,$N1159)="","—",INDEX(LdCBank,$N1159)),"")))</f>
        <v/>
      </c>
      <c r="E1159" s="16">
        <f>IF($L1159&lt;&gt;"",IF(INDEX(LdAAmt,$L1159)=0,"",INDEX(LdAAmt,$L1159)),IF($M1159&lt;&gt;"",IF(INDEX(LdBAmt,$M1159)=0,"",INDEX(LdBAmt,$M1159)),IF($N1159&lt;&gt;"",IF(INDEX(LdCDep,$N1159)=0,"",INDEX(LdCDep,$N1159)),"")))</f>
        <v/>
      </c>
      <c r="F1159" s="16">
        <f>IF(AND($L1159="",$M1159="",$N1159=""),"",IF($N1159="","",IF(INDEX(LdCWit,$N1159)=0,"",INDEX(LdCWit,$N1159))))</f>
        <v/>
      </c>
      <c r="G1159" s="29">
        <f>IF($B1159="","",IF($G1158="",0,$G1158)+IF($E1159="",0,$E1159)-IF($F1159="",0,$F1159))</f>
        <v/>
      </c>
      <c r="H1159" s="30">
        <f>IF(AND($L1159="",$M1159="",$N1159=""),"",IF($L1159&lt;&gt;"",IF(INDEX(LdANote,$L1159)="","—",INDEX(LdANote,$L1159)),IF($M1159&lt;&gt;"",IF(INDEX(LdBNote,$M1159)="","—",INDEX(LdBNote,$M1159)),IF($N1159&lt;&gt;"",IF(INDEX(LdCNote,$N1159)="","—",INDEX(LdCNote,$N1159)),""))))</f>
        <v/>
      </c>
      <c r="L1159">
        <f>IFERROR(MATCH($C$5&amp;"|"&amp;RIGHT("000000"&amp;1143,6),LdAKeyM,0),"")</f>
        <v/>
      </c>
      <c r="M1159">
        <f>IFERROR(MATCH($C$5&amp;"|"&amp;RIGHT("000000"&amp;1143,6),LdBKeyM,0),"")</f>
        <v/>
      </c>
      <c r="N1159">
        <f>IFERROR(MATCH($C$5&amp;"|"&amp;RIGHT("000000"&amp;1143,6),LdCKeyM,0),"")</f>
        <v/>
      </c>
    </row>
    <row r="1160">
      <c r="A1160" s="19" t="n">
        <v>1144</v>
      </c>
      <c r="B1160" s="20">
        <f>IF(AND($L1160="",$M1160="",$N1160=""),"",IF($L1160&lt;&gt;"",INDEX(LdADate,$L1160),IF($M1160&lt;&gt;"",INDEX(LdBDate,$M1160),INDEX(LdCDate,$N1160))))</f>
        <v/>
      </c>
      <c r="C1160" s="20">
        <f>IF($L1160&lt;&gt;"","دستمزد (فردی)",IF($M1160&lt;&gt;"","سهم از گروه "&amp;IFERROR(VLOOKUP(INDEX(LdBGroup,$M1160),WGTbl,2,0),INDEX(LdBGroup,$M1160)),IF($N1160&lt;&gt;"",IF(N(INDEX(LdCDep,$N1160))&gt;0,"بازگشت بانکی","پرداخت بانکی"),"")))</f>
        <v/>
      </c>
      <c r="D1160" s="20">
        <f>IF($L1160&lt;&gt;"",IF(INDEX(LdAId,$L1160)="","—",INDEX(LdAId,$L1160)),IF($M1160&lt;&gt;"",IF(INDEX(LdBId,$M1160)="","—",INDEX(LdBId,$M1160)),IF($N1160&lt;&gt;"",IF(INDEX(LdCBank,$N1160)="","—",INDEX(LdCBank,$N1160)),"")))</f>
        <v/>
      </c>
      <c r="E1160" s="21">
        <f>IF($L1160&lt;&gt;"",IF(INDEX(LdAAmt,$L1160)=0,"",INDEX(LdAAmt,$L1160)),IF($M1160&lt;&gt;"",IF(INDEX(LdBAmt,$M1160)=0,"",INDEX(LdBAmt,$M1160)),IF($N1160&lt;&gt;"",IF(INDEX(LdCDep,$N1160)=0,"",INDEX(LdCDep,$N1160)),"")))</f>
        <v/>
      </c>
      <c r="F1160" s="21">
        <f>IF(AND($L1160="",$M1160="",$N1160=""),"",IF($N1160="","",IF(INDEX(LdCWit,$N1160)=0,"",INDEX(LdCWit,$N1160))))</f>
        <v/>
      </c>
      <c r="G1160" s="31">
        <f>IF($B1160="","",IF($G1159="",0,$G1159)+IF($E1160="",0,$E1160)-IF($F1160="",0,$F1160))</f>
        <v/>
      </c>
      <c r="H1160" s="32">
        <f>IF(AND($L1160="",$M1160="",$N1160=""),"",IF($L1160&lt;&gt;"",IF(INDEX(LdANote,$L1160)="","—",INDEX(LdANote,$L1160)),IF($M1160&lt;&gt;"",IF(INDEX(LdBNote,$M1160)="","—",INDEX(LdBNote,$M1160)),IF($N1160&lt;&gt;"",IF(INDEX(LdCNote,$N1160)="","—",INDEX(LdCNote,$N1160)),""))))</f>
        <v/>
      </c>
      <c r="L1160">
        <f>IFERROR(MATCH($C$5&amp;"|"&amp;RIGHT("000000"&amp;1144,6),LdAKeyM,0),"")</f>
        <v/>
      </c>
      <c r="M1160">
        <f>IFERROR(MATCH($C$5&amp;"|"&amp;RIGHT("000000"&amp;1144,6),LdBKeyM,0),"")</f>
        <v/>
      </c>
      <c r="N1160">
        <f>IFERROR(MATCH($C$5&amp;"|"&amp;RIGHT("000000"&amp;1144,6),LdCKeyM,0),"")</f>
        <v/>
      </c>
    </row>
    <row r="1161">
      <c r="A1161" s="10" t="n">
        <v>1145</v>
      </c>
      <c r="B1161" s="14">
        <f>IF(AND($L1161="",$M1161="",$N1161=""),"",IF($L1161&lt;&gt;"",INDEX(LdADate,$L1161),IF($M1161&lt;&gt;"",INDEX(LdBDate,$M1161),INDEX(LdCDate,$N1161))))</f>
        <v/>
      </c>
      <c r="C1161" s="14">
        <f>IF($L1161&lt;&gt;"","دستمزد (فردی)",IF($M1161&lt;&gt;"","سهم از گروه "&amp;IFERROR(VLOOKUP(INDEX(LdBGroup,$M1161),WGTbl,2,0),INDEX(LdBGroup,$M1161)),IF($N1161&lt;&gt;"",IF(N(INDEX(LdCDep,$N1161))&gt;0,"بازگشت بانکی","پرداخت بانکی"),"")))</f>
        <v/>
      </c>
      <c r="D1161" s="14">
        <f>IF($L1161&lt;&gt;"",IF(INDEX(LdAId,$L1161)="","—",INDEX(LdAId,$L1161)),IF($M1161&lt;&gt;"",IF(INDEX(LdBId,$M1161)="","—",INDEX(LdBId,$M1161)),IF($N1161&lt;&gt;"",IF(INDEX(LdCBank,$N1161)="","—",INDEX(LdCBank,$N1161)),"")))</f>
        <v/>
      </c>
      <c r="E1161" s="16">
        <f>IF($L1161&lt;&gt;"",IF(INDEX(LdAAmt,$L1161)=0,"",INDEX(LdAAmt,$L1161)),IF($M1161&lt;&gt;"",IF(INDEX(LdBAmt,$M1161)=0,"",INDEX(LdBAmt,$M1161)),IF($N1161&lt;&gt;"",IF(INDEX(LdCDep,$N1161)=0,"",INDEX(LdCDep,$N1161)),"")))</f>
        <v/>
      </c>
      <c r="F1161" s="16">
        <f>IF(AND($L1161="",$M1161="",$N1161=""),"",IF($N1161="","",IF(INDEX(LdCWit,$N1161)=0,"",INDEX(LdCWit,$N1161))))</f>
        <v/>
      </c>
      <c r="G1161" s="29">
        <f>IF($B1161="","",IF($G1160="",0,$G1160)+IF($E1161="",0,$E1161)-IF($F1161="",0,$F1161))</f>
        <v/>
      </c>
      <c r="H1161" s="30">
        <f>IF(AND($L1161="",$M1161="",$N1161=""),"",IF($L1161&lt;&gt;"",IF(INDEX(LdANote,$L1161)="","—",INDEX(LdANote,$L1161)),IF($M1161&lt;&gt;"",IF(INDEX(LdBNote,$M1161)="","—",INDEX(LdBNote,$M1161)),IF($N1161&lt;&gt;"",IF(INDEX(LdCNote,$N1161)="","—",INDEX(LdCNote,$N1161)),""))))</f>
        <v/>
      </c>
      <c r="L1161">
        <f>IFERROR(MATCH($C$5&amp;"|"&amp;RIGHT("000000"&amp;1145,6),LdAKeyM,0),"")</f>
        <v/>
      </c>
      <c r="M1161">
        <f>IFERROR(MATCH($C$5&amp;"|"&amp;RIGHT("000000"&amp;1145,6),LdBKeyM,0),"")</f>
        <v/>
      </c>
      <c r="N1161">
        <f>IFERROR(MATCH($C$5&amp;"|"&amp;RIGHT("000000"&amp;1145,6),LdCKeyM,0),"")</f>
        <v/>
      </c>
    </row>
    <row r="1162">
      <c r="A1162" s="19" t="n">
        <v>1146</v>
      </c>
      <c r="B1162" s="20">
        <f>IF(AND($L1162="",$M1162="",$N1162=""),"",IF($L1162&lt;&gt;"",INDEX(LdADate,$L1162),IF($M1162&lt;&gt;"",INDEX(LdBDate,$M1162),INDEX(LdCDate,$N1162))))</f>
        <v/>
      </c>
      <c r="C1162" s="20">
        <f>IF($L1162&lt;&gt;"","دستمزد (فردی)",IF($M1162&lt;&gt;"","سهم از گروه "&amp;IFERROR(VLOOKUP(INDEX(LdBGroup,$M1162),WGTbl,2,0),INDEX(LdBGroup,$M1162)),IF($N1162&lt;&gt;"",IF(N(INDEX(LdCDep,$N1162))&gt;0,"بازگشت بانکی","پرداخت بانکی"),"")))</f>
        <v/>
      </c>
      <c r="D1162" s="20">
        <f>IF($L1162&lt;&gt;"",IF(INDEX(LdAId,$L1162)="","—",INDEX(LdAId,$L1162)),IF($M1162&lt;&gt;"",IF(INDEX(LdBId,$M1162)="","—",INDEX(LdBId,$M1162)),IF($N1162&lt;&gt;"",IF(INDEX(LdCBank,$N1162)="","—",INDEX(LdCBank,$N1162)),"")))</f>
        <v/>
      </c>
      <c r="E1162" s="21">
        <f>IF($L1162&lt;&gt;"",IF(INDEX(LdAAmt,$L1162)=0,"",INDEX(LdAAmt,$L1162)),IF($M1162&lt;&gt;"",IF(INDEX(LdBAmt,$M1162)=0,"",INDEX(LdBAmt,$M1162)),IF($N1162&lt;&gt;"",IF(INDEX(LdCDep,$N1162)=0,"",INDEX(LdCDep,$N1162)),"")))</f>
        <v/>
      </c>
      <c r="F1162" s="21">
        <f>IF(AND($L1162="",$M1162="",$N1162=""),"",IF($N1162="","",IF(INDEX(LdCWit,$N1162)=0,"",INDEX(LdCWit,$N1162))))</f>
        <v/>
      </c>
      <c r="G1162" s="31">
        <f>IF($B1162="","",IF($G1161="",0,$G1161)+IF($E1162="",0,$E1162)-IF($F1162="",0,$F1162))</f>
        <v/>
      </c>
      <c r="H1162" s="32">
        <f>IF(AND($L1162="",$M1162="",$N1162=""),"",IF($L1162&lt;&gt;"",IF(INDEX(LdANote,$L1162)="","—",INDEX(LdANote,$L1162)),IF($M1162&lt;&gt;"",IF(INDEX(LdBNote,$M1162)="","—",INDEX(LdBNote,$M1162)),IF($N1162&lt;&gt;"",IF(INDEX(LdCNote,$N1162)="","—",INDEX(LdCNote,$N1162)),""))))</f>
        <v/>
      </c>
      <c r="L1162">
        <f>IFERROR(MATCH($C$5&amp;"|"&amp;RIGHT("000000"&amp;1146,6),LdAKeyM,0),"")</f>
        <v/>
      </c>
      <c r="M1162">
        <f>IFERROR(MATCH($C$5&amp;"|"&amp;RIGHT("000000"&amp;1146,6),LdBKeyM,0),"")</f>
        <v/>
      </c>
      <c r="N1162">
        <f>IFERROR(MATCH($C$5&amp;"|"&amp;RIGHT("000000"&amp;1146,6),LdCKeyM,0),"")</f>
        <v/>
      </c>
    </row>
    <row r="1163">
      <c r="A1163" s="10" t="n">
        <v>1147</v>
      </c>
      <c r="B1163" s="14">
        <f>IF(AND($L1163="",$M1163="",$N1163=""),"",IF($L1163&lt;&gt;"",INDEX(LdADate,$L1163),IF($M1163&lt;&gt;"",INDEX(LdBDate,$M1163),INDEX(LdCDate,$N1163))))</f>
        <v/>
      </c>
      <c r="C1163" s="14">
        <f>IF($L1163&lt;&gt;"","دستمزد (فردی)",IF($M1163&lt;&gt;"","سهم از گروه "&amp;IFERROR(VLOOKUP(INDEX(LdBGroup,$M1163),WGTbl,2,0),INDEX(LdBGroup,$M1163)),IF($N1163&lt;&gt;"",IF(N(INDEX(LdCDep,$N1163))&gt;0,"بازگشت بانکی","پرداخت بانکی"),"")))</f>
        <v/>
      </c>
      <c r="D1163" s="14">
        <f>IF($L1163&lt;&gt;"",IF(INDEX(LdAId,$L1163)="","—",INDEX(LdAId,$L1163)),IF($M1163&lt;&gt;"",IF(INDEX(LdBId,$M1163)="","—",INDEX(LdBId,$M1163)),IF($N1163&lt;&gt;"",IF(INDEX(LdCBank,$N1163)="","—",INDEX(LdCBank,$N1163)),"")))</f>
        <v/>
      </c>
      <c r="E1163" s="16">
        <f>IF($L1163&lt;&gt;"",IF(INDEX(LdAAmt,$L1163)=0,"",INDEX(LdAAmt,$L1163)),IF($M1163&lt;&gt;"",IF(INDEX(LdBAmt,$M1163)=0,"",INDEX(LdBAmt,$M1163)),IF($N1163&lt;&gt;"",IF(INDEX(LdCDep,$N1163)=0,"",INDEX(LdCDep,$N1163)),"")))</f>
        <v/>
      </c>
      <c r="F1163" s="16">
        <f>IF(AND($L1163="",$M1163="",$N1163=""),"",IF($N1163="","",IF(INDEX(LdCWit,$N1163)=0,"",INDEX(LdCWit,$N1163))))</f>
        <v/>
      </c>
      <c r="G1163" s="29">
        <f>IF($B1163="","",IF($G1162="",0,$G1162)+IF($E1163="",0,$E1163)-IF($F1163="",0,$F1163))</f>
        <v/>
      </c>
      <c r="H1163" s="30">
        <f>IF(AND($L1163="",$M1163="",$N1163=""),"",IF($L1163&lt;&gt;"",IF(INDEX(LdANote,$L1163)="","—",INDEX(LdANote,$L1163)),IF($M1163&lt;&gt;"",IF(INDEX(LdBNote,$M1163)="","—",INDEX(LdBNote,$M1163)),IF($N1163&lt;&gt;"",IF(INDEX(LdCNote,$N1163)="","—",INDEX(LdCNote,$N1163)),""))))</f>
        <v/>
      </c>
      <c r="L1163">
        <f>IFERROR(MATCH($C$5&amp;"|"&amp;RIGHT("000000"&amp;1147,6),LdAKeyM,0),"")</f>
        <v/>
      </c>
      <c r="M1163">
        <f>IFERROR(MATCH($C$5&amp;"|"&amp;RIGHT("000000"&amp;1147,6),LdBKeyM,0),"")</f>
        <v/>
      </c>
      <c r="N1163">
        <f>IFERROR(MATCH($C$5&amp;"|"&amp;RIGHT("000000"&amp;1147,6),LdCKeyM,0),"")</f>
        <v/>
      </c>
    </row>
    <row r="1164">
      <c r="A1164" s="19" t="n">
        <v>1148</v>
      </c>
      <c r="B1164" s="20">
        <f>IF(AND($L1164="",$M1164="",$N1164=""),"",IF($L1164&lt;&gt;"",INDEX(LdADate,$L1164),IF($M1164&lt;&gt;"",INDEX(LdBDate,$M1164),INDEX(LdCDate,$N1164))))</f>
        <v/>
      </c>
      <c r="C1164" s="20">
        <f>IF($L1164&lt;&gt;"","دستمزد (فردی)",IF($M1164&lt;&gt;"","سهم از گروه "&amp;IFERROR(VLOOKUP(INDEX(LdBGroup,$M1164),WGTbl,2,0),INDEX(LdBGroup,$M1164)),IF($N1164&lt;&gt;"",IF(N(INDEX(LdCDep,$N1164))&gt;0,"بازگشت بانکی","پرداخت بانکی"),"")))</f>
        <v/>
      </c>
      <c r="D1164" s="20">
        <f>IF($L1164&lt;&gt;"",IF(INDEX(LdAId,$L1164)="","—",INDEX(LdAId,$L1164)),IF($M1164&lt;&gt;"",IF(INDEX(LdBId,$M1164)="","—",INDEX(LdBId,$M1164)),IF($N1164&lt;&gt;"",IF(INDEX(LdCBank,$N1164)="","—",INDEX(LdCBank,$N1164)),"")))</f>
        <v/>
      </c>
      <c r="E1164" s="21">
        <f>IF($L1164&lt;&gt;"",IF(INDEX(LdAAmt,$L1164)=0,"",INDEX(LdAAmt,$L1164)),IF($M1164&lt;&gt;"",IF(INDEX(LdBAmt,$M1164)=0,"",INDEX(LdBAmt,$M1164)),IF($N1164&lt;&gt;"",IF(INDEX(LdCDep,$N1164)=0,"",INDEX(LdCDep,$N1164)),"")))</f>
        <v/>
      </c>
      <c r="F1164" s="21">
        <f>IF(AND($L1164="",$M1164="",$N1164=""),"",IF($N1164="","",IF(INDEX(LdCWit,$N1164)=0,"",INDEX(LdCWit,$N1164))))</f>
        <v/>
      </c>
      <c r="G1164" s="31">
        <f>IF($B1164="","",IF($G1163="",0,$G1163)+IF($E1164="",0,$E1164)-IF($F1164="",0,$F1164))</f>
        <v/>
      </c>
      <c r="H1164" s="32">
        <f>IF(AND($L1164="",$M1164="",$N1164=""),"",IF($L1164&lt;&gt;"",IF(INDEX(LdANote,$L1164)="","—",INDEX(LdANote,$L1164)),IF($M1164&lt;&gt;"",IF(INDEX(LdBNote,$M1164)="","—",INDEX(LdBNote,$M1164)),IF($N1164&lt;&gt;"",IF(INDEX(LdCNote,$N1164)="","—",INDEX(LdCNote,$N1164)),""))))</f>
        <v/>
      </c>
      <c r="L1164">
        <f>IFERROR(MATCH($C$5&amp;"|"&amp;RIGHT("000000"&amp;1148,6),LdAKeyM,0),"")</f>
        <v/>
      </c>
      <c r="M1164">
        <f>IFERROR(MATCH($C$5&amp;"|"&amp;RIGHT("000000"&amp;1148,6),LdBKeyM,0),"")</f>
        <v/>
      </c>
      <c r="N1164">
        <f>IFERROR(MATCH($C$5&amp;"|"&amp;RIGHT("000000"&amp;1148,6),LdCKeyM,0),"")</f>
        <v/>
      </c>
    </row>
    <row r="1165">
      <c r="A1165" s="10" t="n">
        <v>1149</v>
      </c>
      <c r="B1165" s="14">
        <f>IF(AND($L1165="",$M1165="",$N1165=""),"",IF($L1165&lt;&gt;"",INDEX(LdADate,$L1165),IF($M1165&lt;&gt;"",INDEX(LdBDate,$M1165),INDEX(LdCDate,$N1165))))</f>
        <v/>
      </c>
      <c r="C1165" s="14">
        <f>IF($L1165&lt;&gt;"","دستمزد (فردی)",IF($M1165&lt;&gt;"","سهم از گروه "&amp;IFERROR(VLOOKUP(INDEX(LdBGroup,$M1165),WGTbl,2,0),INDEX(LdBGroup,$M1165)),IF($N1165&lt;&gt;"",IF(N(INDEX(LdCDep,$N1165))&gt;0,"بازگشت بانکی","پرداخت بانکی"),"")))</f>
        <v/>
      </c>
      <c r="D1165" s="14">
        <f>IF($L1165&lt;&gt;"",IF(INDEX(LdAId,$L1165)="","—",INDEX(LdAId,$L1165)),IF($M1165&lt;&gt;"",IF(INDEX(LdBId,$M1165)="","—",INDEX(LdBId,$M1165)),IF($N1165&lt;&gt;"",IF(INDEX(LdCBank,$N1165)="","—",INDEX(LdCBank,$N1165)),"")))</f>
        <v/>
      </c>
      <c r="E1165" s="16">
        <f>IF($L1165&lt;&gt;"",IF(INDEX(LdAAmt,$L1165)=0,"",INDEX(LdAAmt,$L1165)),IF($M1165&lt;&gt;"",IF(INDEX(LdBAmt,$M1165)=0,"",INDEX(LdBAmt,$M1165)),IF($N1165&lt;&gt;"",IF(INDEX(LdCDep,$N1165)=0,"",INDEX(LdCDep,$N1165)),"")))</f>
        <v/>
      </c>
      <c r="F1165" s="16">
        <f>IF(AND($L1165="",$M1165="",$N1165=""),"",IF($N1165="","",IF(INDEX(LdCWit,$N1165)=0,"",INDEX(LdCWit,$N1165))))</f>
        <v/>
      </c>
      <c r="G1165" s="29">
        <f>IF($B1165="","",IF($G1164="",0,$G1164)+IF($E1165="",0,$E1165)-IF($F1165="",0,$F1165))</f>
        <v/>
      </c>
      <c r="H1165" s="30">
        <f>IF(AND($L1165="",$M1165="",$N1165=""),"",IF($L1165&lt;&gt;"",IF(INDEX(LdANote,$L1165)="","—",INDEX(LdANote,$L1165)),IF($M1165&lt;&gt;"",IF(INDEX(LdBNote,$M1165)="","—",INDEX(LdBNote,$M1165)),IF($N1165&lt;&gt;"",IF(INDEX(LdCNote,$N1165)="","—",INDEX(LdCNote,$N1165)),""))))</f>
        <v/>
      </c>
      <c r="L1165">
        <f>IFERROR(MATCH($C$5&amp;"|"&amp;RIGHT("000000"&amp;1149,6),LdAKeyM,0),"")</f>
        <v/>
      </c>
      <c r="M1165">
        <f>IFERROR(MATCH($C$5&amp;"|"&amp;RIGHT("000000"&amp;1149,6),LdBKeyM,0),"")</f>
        <v/>
      </c>
      <c r="N1165">
        <f>IFERROR(MATCH($C$5&amp;"|"&amp;RIGHT("000000"&amp;1149,6),LdCKeyM,0),"")</f>
        <v/>
      </c>
    </row>
    <row r="1166">
      <c r="A1166" s="19" t="n">
        <v>1150</v>
      </c>
      <c r="B1166" s="20">
        <f>IF(AND($L1166="",$M1166="",$N1166=""),"",IF($L1166&lt;&gt;"",INDEX(LdADate,$L1166),IF($M1166&lt;&gt;"",INDEX(LdBDate,$M1166),INDEX(LdCDate,$N1166))))</f>
        <v/>
      </c>
      <c r="C1166" s="20">
        <f>IF($L1166&lt;&gt;"","دستمزد (فردی)",IF($M1166&lt;&gt;"","سهم از گروه "&amp;IFERROR(VLOOKUP(INDEX(LdBGroup,$M1166),WGTbl,2,0),INDEX(LdBGroup,$M1166)),IF($N1166&lt;&gt;"",IF(N(INDEX(LdCDep,$N1166))&gt;0,"بازگشت بانکی","پرداخت بانکی"),"")))</f>
        <v/>
      </c>
      <c r="D1166" s="20">
        <f>IF($L1166&lt;&gt;"",IF(INDEX(LdAId,$L1166)="","—",INDEX(LdAId,$L1166)),IF($M1166&lt;&gt;"",IF(INDEX(LdBId,$M1166)="","—",INDEX(LdBId,$M1166)),IF($N1166&lt;&gt;"",IF(INDEX(LdCBank,$N1166)="","—",INDEX(LdCBank,$N1166)),"")))</f>
        <v/>
      </c>
      <c r="E1166" s="21">
        <f>IF($L1166&lt;&gt;"",IF(INDEX(LdAAmt,$L1166)=0,"",INDEX(LdAAmt,$L1166)),IF($M1166&lt;&gt;"",IF(INDEX(LdBAmt,$M1166)=0,"",INDEX(LdBAmt,$M1166)),IF($N1166&lt;&gt;"",IF(INDEX(LdCDep,$N1166)=0,"",INDEX(LdCDep,$N1166)),"")))</f>
        <v/>
      </c>
      <c r="F1166" s="21">
        <f>IF(AND($L1166="",$M1166="",$N1166=""),"",IF($N1166="","",IF(INDEX(LdCWit,$N1166)=0,"",INDEX(LdCWit,$N1166))))</f>
        <v/>
      </c>
      <c r="G1166" s="31">
        <f>IF($B1166="","",IF($G1165="",0,$G1165)+IF($E1166="",0,$E1166)-IF($F1166="",0,$F1166))</f>
        <v/>
      </c>
      <c r="H1166" s="32">
        <f>IF(AND($L1166="",$M1166="",$N1166=""),"",IF($L1166&lt;&gt;"",IF(INDEX(LdANote,$L1166)="","—",INDEX(LdANote,$L1166)),IF($M1166&lt;&gt;"",IF(INDEX(LdBNote,$M1166)="","—",INDEX(LdBNote,$M1166)),IF($N1166&lt;&gt;"",IF(INDEX(LdCNote,$N1166)="","—",INDEX(LdCNote,$N1166)),""))))</f>
        <v/>
      </c>
      <c r="L1166">
        <f>IFERROR(MATCH($C$5&amp;"|"&amp;RIGHT("000000"&amp;1150,6),LdAKeyM,0),"")</f>
        <v/>
      </c>
      <c r="M1166">
        <f>IFERROR(MATCH($C$5&amp;"|"&amp;RIGHT("000000"&amp;1150,6),LdBKeyM,0),"")</f>
        <v/>
      </c>
      <c r="N1166">
        <f>IFERROR(MATCH($C$5&amp;"|"&amp;RIGHT("000000"&amp;1150,6),LdCKeyM,0),"")</f>
        <v/>
      </c>
    </row>
    <row r="1167">
      <c r="A1167" s="10" t="n">
        <v>1151</v>
      </c>
      <c r="B1167" s="14">
        <f>IF(AND($L1167="",$M1167="",$N1167=""),"",IF($L1167&lt;&gt;"",INDEX(LdADate,$L1167),IF($M1167&lt;&gt;"",INDEX(LdBDate,$M1167),INDEX(LdCDate,$N1167))))</f>
        <v/>
      </c>
      <c r="C1167" s="14">
        <f>IF($L1167&lt;&gt;"","دستمزد (فردی)",IF($M1167&lt;&gt;"","سهم از گروه "&amp;IFERROR(VLOOKUP(INDEX(LdBGroup,$M1167),WGTbl,2,0),INDEX(LdBGroup,$M1167)),IF($N1167&lt;&gt;"",IF(N(INDEX(LdCDep,$N1167))&gt;0,"بازگشت بانکی","پرداخت بانکی"),"")))</f>
        <v/>
      </c>
      <c r="D1167" s="14">
        <f>IF($L1167&lt;&gt;"",IF(INDEX(LdAId,$L1167)="","—",INDEX(LdAId,$L1167)),IF($M1167&lt;&gt;"",IF(INDEX(LdBId,$M1167)="","—",INDEX(LdBId,$M1167)),IF($N1167&lt;&gt;"",IF(INDEX(LdCBank,$N1167)="","—",INDEX(LdCBank,$N1167)),"")))</f>
        <v/>
      </c>
      <c r="E1167" s="16">
        <f>IF($L1167&lt;&gt;"",IF(INDEX(LdAAmt,$L1167)=0,"",INDEX(LdAAmt,$L1167)),IF($M1167&lt;&gt;"",IF(INDEX(LdBAmt,$M1167)=0,"",INDEX(LdBAmt,$M1167)),IF($N1167&lt;&gt;"",IF(INDEX(LdCDep,$N1167)=0,"",INDEX(LdCDep,$N1167)),"")))</f>
        <v/>
      </c>
      <c r="F1167" s="16">
        <f>IF(AND($L1167="",$M1167="",$N1167=""),"",IF($N1167="","",IF(INDEX(LdCWit,$N1167)=0,"",INDEX(LdCWit,$N1167))))</f>
        <v/>
      </c>
      <c r="G1167" s="29">
        <f>IF($B1167="","",IF($G1166="",0,$G1166)+IF($E1167="",0,$E1167)-IF($F1167="",0,$F1167))</f>
        <v/>
      </c>
      <c r="H1167" s="30">
        <f>IF(AND($L1167="",$M1167="",$N1167=""),"",IF($L1167&lt;&gt;"",IF(INDEX(LdANote,$L1167)="","—",INDEX(LdANote,$L1167)),IF($M1167&lt;&gt;"",IF(INDEX(LdBNote,$M1167)="","—",INDEX(LdBNote,$M1167)),IF($N1167&lt;&gt;"",IF(INDEX(LdCNote,$N1167)="","—",INDEX(LdCNote,$N1167)),""))))</f>
        <v/>
      </c>
      <c r="L1167">
        <f>IFERROR(MATCH($C$5&amp;"|"&amp;RIGHT("000000"&amp;1151,6),LdAKeyM,0),"")</f>
        <v/>
      </c>
      <c r="M1167">
        <f>IFERROR(MATCH($C$5&amp;"|"&amp;RIGHT("000000"&amp;1151,6),LdBKeyM,0),"")</f>
        <v/>
      </c>
      <c r="N1167">
        <f>IFERROR(MATCH($C$5&amp;"|"&amp;RIGHT("000000"&amp;1151,6),LdCKeyM,0),"")</f>
        <v/>
      </c>
    </row>
    <row r="1168">
      <c r="A1168" s="19" t="n">
        <v>1152</v>
      </c>
      <c r="B1168" s="20">
        <f>IF(AND($L1168="",$M1168="",$N1168=""),"",IF($L1168&lt;&gt;"",INDEX(LdADate,$L1168),IF($M1168&lt;&gt;"",INDEX(LdBDate,$M1168),INDEX(LdCDate,$N1168))))</f>
        <v/>
      </c>
      <c r="C1168" s="20">
        <f>IF($L1168&lt;&gt;"","دستمزد (فردی)",IF($M1168&lt;&gt;"","سهم از گروه "&amp;IFERROR(VLOOKUP(INDEX(LdBGroup,$M1168),WGTbl,2,0),INDEX(LdBGroup,$M1168)),IF($N1168&lt;&gt;"",IF(N(INDEX(LdCDep,$N1168))&gt;0,"بازگشت بانکی","پرداخت بانکی"),"")))</f>
        <v/>
      </c>
      <c r="D1168" s="20">
        <f>IF($L1168&lt;&gt;"",IF(INDEX(LdAId,$L1168)="","—",INDEX(LdAId,$L1168)),IF($M1168&lt;&gt;"",IF(INDEX(LdBId,$M1168)="","—",INDEX(LdBId,$M1168)),IF($N1168&lt;&gt;"",IF(INDEX(LdCBank,$N1168)="","—",INDEX(LdCBank,$N1168)),"")))</f>
        <v/>
      </c>
      <c r="E1168" s="21">
        <f>IF($L1168&lt;&gt;"",IF(INDEX(LdAAmt,$L1168)=0,"",INDEX(LdAAmt,$L1168)),IF($M1168&lt;&gt;"",IF(INDEX(LdBAmt,$M1168)=0,"",INDEX(LdBAmt,$M1168)),IF($N1168&lt;&gt;"",IF(INDEX(LdCDep,$N1168)=0,"",INDEX(LdCDep,$N1168)),"")))</f>
        <v/>
      </c>
      <c r="F1168" s="21">
        <f>IF(AND($L1168="",$M1168="",$N1168=""),"",IF($N1168="","",IF(INDEX(LdCWit,$N1168)=0,"",INDEX(LdCWit,$N1168))))</f>
        <v/>
      </c>
      <c r="G1168" s="31">
        <f>IF($B1168="","",IF($G1167="",0,$G1167)+IF($E1168="",0,$E1168)-IF($F1168="",0,$F1168))</f>
        <v/>
      </c>
      <c r="H1168" s="32">
        <f>IF(AND($L1168="",$M1168="",$N1168=""),"",IF($L1168&lt;&gt;"",IF(INDEX(LdANote,$L1168)="","—",INDEX(LdANote,$L1168)),IF($M1168&lt;&gt;"",IF(INDEX(LdBNote,$M1168)="","—",INDEX(LdBNote,$M1168)),IF($N1168&lt;&gt;"",IF(INDEX(LdCNote,$N1168)="","—",INDEX(LdCNote,$N1168)),""))))</f>
        <v/>
      </c>
      <c r="L1168">
        <f>IFERROR(MATCH($C$5&amp;"|"&amp;RIGHT("000000"&amp;1152,6),LdAKeyM,0),"")</f>
        <v/>
      </c>
      <c r="M1168">
        <f>IFERROR(MATCH($C$5&amp;"|"&amp;RIGHT("000000"&amp;1152,6),LdBKeyM,0),"")</f>
        <v/>
      </c>
      <c r="N1168">
        <f>IFERROR(MATCH($C$5&amp;"|"&amp;RIGHT("000000"&amp;1152,6),LdCKeyM,0),"")</f>
        <v/>
      </c>
    </row>
    <row r="1169">
      <c r="A1169" s="10" t="n">
        <v>1153</v>
      </c>
      <c r="B1169" s="14">
        <f>IF(AND($L1169="",$M1169="",$N1169=""),"",IF($L1169&lt;&gt;"",INDEX(LdADate,$L1169),IF($M1169&lt;&gt;"",INDEX(LdBDate,$M1169),INDEX(LdCDate,$N1169))))</f>
        <v/>
      </c>
      <c r="C1169" s="14">
        <f>IF($L1169&lt;&gt;"","دستمزد (فردی)",IF($M1169&lt;&gt;"","سهم از گروه "&amp;IFERROR(VLOOKUP(INDEX(LdBGroup,$M1169),WGTbl,2,0),INDEX(LdBGroup,$M1169)),IF($N1169&lt;&gt;"",IF(N(INDEX(LdCDep,$N1169))&gt;0,"بازگشت بانکی","پرداخت بانکی"),"")))</f>
        <v/>
      </c>
      <c r="D1169" s="14">
        <f>IF($L1169&lt;&gt;"",IF(INDEX(LdAId,$L1169)="","—",INDEX(LdAId,$L1169)),IF($M1169&lt;&gt;"",IF(INDEX(LdBId,$M1169)="","—",INDEX(LdBId,$M1169)),IF($N1169&lt;&gt;"",IF(INDEX(LdCBank,$N1169)="","—",INDEX(LdCBank,$N1169)),"")))</f>
        <v/>
      </c>
      <c r="E1169" s="16">
        <f>IF($L1169&lt;&gt;"",IF(INDEX(LdAAmt,$L1169)=0,"",INDEX(LdAAmt,$L1169)),IF($M1169&lt;&gt;"",IF(INDEX(LdBAmt,$M1169)=0,"",INDEX(LdBAmt,$M1169)),IF($N1169&lt;&gt;"",IF(INDEX(LdCDep,$N1169)=0,"",INDEX(LdCDep,$N1169)),"")))</f>
        <v/>
      </c>
      <c r="F1169" s="16">
        <f>IF(AND($L1169="",$M1169="",$N1169=""),"",IF($N1169="","",IF(INDEX(LdCWit,$N1169)=0,"",INDEX(LdCWit,$N1169))))</f>
        <v/>
      </c>
      <c r="G1169" s="29">
        <f>IF($B1169="","",IF($G1168="",0,$G1168)+IF($E1169="",0,$E1169)-IF($F1169="",0,$F1169))</f>
        <v/>
      </c>
      <c r="H1169" s="30">
        <f>IF(AND($L1169="",$M1169="",$N1169=""),"",IF($L1169&lt;&gt;"",IF(INDEX(LdANote,$L1169)="","—",INDEX(LdANote,$L1169)),IF($M1169&lt;&gt;"",IF(INDEX(LdBNote,$M1169)="","—",INDEX(LdBNote,$M1169)),IF($N1169&lt;&gt;"",IF(INDEX(LdCNote,$N1169)="","—",INDEX(LdCNote,$N1169)),""))))</f>
        <v/>
      </c>
      <c r="L1169">
        <f>IFERROR(MATCH($C$5&amp;"|"&amp;RIGHT("000000"&amp;1153,6),LdAKeyM,0),"")</f>
        <v/>
      </c>
      <c r="M1169">
        <f>IFERROR(MATCH($C$5&amp;"|"&amp;RIGHT("000000"&amp;1153,6),LdBKeyM,0),"")</f>
        <v/>
      </c>
      <c r="N1169">
        <f>IFERROR(MATCH($C$5&amp;"|"&amp;RIGHT("000000"&amp;1153,6),LdCKeyM,0),"")</f>
        <v/>
      </c>
    </row>
    <row r="1170">
      <c r="A1170" s="19" t="n">
        <v>1154</v>
      </c>
      <c r="B1170" s="20">
        <f>IF(AND($L1170="",$M1170="",$N1170=""),"",IF($L1170&lt;&gt;"",INDEX(LdADate,$L1170),IF($M1170&lt;&gt;"",INDEX(LdBDate,$M1170),INDEX(LdCDate,$N1170))))</f>
        <v/>
      </c>
      <c r="C1170" s="20">
        <f>IF($L1170&lt;&gt;"","دستمزد (فردی)",IF($M1170&lt;&gt;"","سهم از گروه "&amp;IFERROR(VLOOKUP(INDEX(LdBGroup,$M1170),WGTbl,2,0),INDEX(LdBGroup,$M1170)),IF($N1170&lt;&gt;"",IF(N(INDEX(LdCDep,$N1170))&gt;0,"بازگشت بانکی","پرداخت بانکی"),"")))</f>
        <v/>
      </c>
      <c r="D1170" s="20">
        <f>IF($L1170&lt;&gt;"",IF(INDEX(LdAId,$L1170)="","—",INDEX(LdAId,$L1170)),IF($M1170&lt;&gt;"",IF(INDEX(LdBId,$M1170)="","—",INDEX(LdBId,$M1170)),IF($N1170&lt;&gt;"",IF(INDEX(LdCBank,$N1170)="","—",INDEX(LdCBank,$N1170)),"")))</f>
        <v/>
      </c>
      <c r="E1170" s="21">
        <f>IF($L1170&lt;&gt;"",IF(INDEX(LdAAmt,$L1170)=0,"",INDEX(LdAAmt,$L1170)),IF($M1170&lt;&gt;"",IF(INDEX(LdBAmt,$M1170)=0,"",INDEX(LdBAmt,$M1170)),IF($N1170&lt;&gt;"",IF(INDEX(LdCDep,$N1170)=0,"",INDEX(LdCDep,$N1170)),"")))</f>
        <v/>
      </c>
      <c r="F1170" s="21">
        <f>IF(AND($L1170="",$M1170="",$N1170=""),"",IF($N1170="","",IF(INDEX(LdCWit,$N1170)=0,"",INDEX(LdCWit,$N1170))))</f>
        <v/>
      </c>
      <c r="G1170" s="31">
        <f>IF($B1170="","",IF($G1169="",0,$G1169)+IF($E1170="",0,$E1170)-IF($F1170="",0,$F1170))</f>
        <v/>
      </c>
      <c r="H1170" s="32">
        <f>IF(AND($L1170="",$M1170="",$N1170=""),"",IF($L1170&lt;&gt;"",IF(INDEX(LdANote,$L1170)="","—",INDEX(LdANote,$L1170)),IF($M1170&lt;&gt;"",IF(INDEX(LdBNote,$M1170)="","—",INDEX(LdBNote,$M1170)),IF($N1170&lt;&gt;"",IF(INDEX(LdCNote,$N1170)="","—",INDEX(LdCNote,$N1170)),""))))</f>
        <v/>
      </c>
      <c r="L1170">
        <f>IFERROR(MATCH($C$5&amp;"|"&amp;RIGHT("000000"&amp;1154,6),LdAKeyM,0),"")</f>
        <v/>
      </c>
      <c r="M1170">
        <f>IFERROR(MATCH($C$5&amp;"|"&amp;RIGHT("000000"&amp;1154,6),LdBKeyM,0),"")</f>
        <v/>
      </c>
      <c r="N1170">
        <f>IFERROR(MATCH($C$5&amp;"|"&amp;RIGHT("000000"&amp;1154,6),LdCKeyM,0),"")</f>
        <v/>
      </c>
    </row>
    <row r="1171">
      <c r="A1171" s="10" t="n">
        <v>1155</v>
      </c>
      <c r="B1171" s="14">
        <f>IF(AND($L1171="",$M1171="",$N1171=""),"",IF($L1171&lt;&gt;"",INDEX(LdADate,$L1171),IF($M1171&lt;&gt;"",INDEX(LdBDate,$M1171),INDEX(LdCDate,$N1171))))</f>
        <v/>
      </c>
      <c r="C1171" s="14">
        <f>IF($L1171&lt;&gt;"","دستمزد (فردی)",IF($M1171&lt;&gt;"","سهم از گروه "&amp;IFERROR(VLOOKUP(INDEX(LdBGroup,$M1171),WGTbl,2,0),INDEX(LdBGroup,$M1171)),IF($N1171&lt;&gt;"",IF(N(INDEX(LdCDep,$N1171))&gt;0,"بازگشت بانکی","پرداخت بانکی"),"")))</f>
        <v/>
      </c>
      <c r="D1171" s="14">
        <f>IF($L1171&lt;&gt;"",IF(INDEX(LdAId,$L1171)="","—",INDEX(LdAId,$L1171)),IF($M1171&lt;&gt;"",IF(INDEX(LdBId,$M1171)="","—",INDEX(LdBId,$M1171)),IF($N1171&lt;&gt;"",IF(INDEX(LdCBank,$N1171)="","—",INDEX(LdCBank,$N1171)),"")))</f>
        <v/>
      </c>
      <c r="E1171" s="16">
        <f>IF($L1171&lt;&gt;"",IF(INDEX(LdAAmt,$L1171)=0,"",INDEX(LdAAmt,$L1171)),IF($M1171&lt;&gt;"",IF(INDEX(LdBAmt,$M1171)=0,"",INDEX(LdBAmt,$M1171)),IF($N1171&lt;&gt;"",IF(INDEX(LdCDep,$N1171)=0,"",INDEX(LdCDep,$N1171)),"")))</f>
        <v/>
      </c>
      <c r="F1171" s="16">
        <f>IF(AND($L1171="",$M1171="",$N1171=""),"",IF($N1171="","",IF(INDEX(LdCWit,$N1171)=0,"",INDEX(LdCWit,$N1171))))</f>
        <v/>
      </c>
      <c r="G1171" s="29">
        <f>IF($B1171="","",IF($G1170="",0,$G1170)+IF($E1171="",0,$E1171)-IF($F1171="",0,$F1171))</f>
        <v/>
      </c>
      <c r="H1171" s="30">
        <f>IF(AND($L1171="",$M1171="",$N1171=""),"",IF($L1171&lt;&gt;"",IF(INDEX(LdANote,$L1171)="","—",INDEX(LdANote,$L1171)),IF($M1171&lt;&gt;"",IF(INDEX(LdBNote,$M1171)="","—",INDEX(LdBNote,$M1171)),IF($N1171&lt;&gt;"",IF(INDEX(LdCNote,$N1171)="","—",INDEX(LdCNote,$N1171)),""))))</f>
        <v/>
      </c>
      <c r="L1171">
        <f>IFERROR(MATCH($C$5&amp;"|"&amp;RIGHT("000000"&amp;1155,6),LdAKeyM,0),"")</f>
        <v/>
      </c>
      <c r="M1171">
        <f>IFERROR(MATCH($C$5&amp;"|"&amp;RIGHT("000000"&amp;1155,6),LdBKeyM,0),"")</f>
        <v/>
      </c>
      <c r="N1171">
        <f>IFERROR(MATCH($C$5&amp;"|"&amp;RIGHT("000000"&amp;1155,6),LdCKeyM,0),"")</f>
        <v/>
      </c>
    </row>
    <row r="1172">
      <c r="A1172" s="19" t="n">
        <v>1156</v>
      </c>
      <c r="B1172" s="20">
        <f>IF(AND($L1172="",$M1172="",$N1172=""),"",IF($L1172&lt;&gt;"",INDEX(LdADate,$L1172),IF($M1172&lt;&gt;"",INDEX(LdBDate,$M1172),INDEX(LdCDate,$N1172))))</f>
        <v/>
      </c>
      <c r="C1172" s="20">
        <f>IF($L1172&lt;&gt;"","دستمزد (فردی)",IF($M1172&lt;&gt;"","سهم از گروه "&amp;IFERROR(VLOOKUP(INDEX(LdBGroup,$M1172),WGTbl,2,0),INDEX(LdBGroup,$M1172)),IF($N1172&lt;&gt;"",IF(N(INDEX(LdCDep,$N1172))&gt;0,"بازگشت بانکی","پرداخت بانکی"),"")))</f>
        <v/>
      </c>
      <c r="D1172" s="20">
        <f>IF($L1172&lt;&gt;"",IF(INDEX(LdAId,$L1172)="","—",INDEX(LdAId,$L1172)),IF($M1172&lt;&gt;"",IF(INDEX(LdBId,$M1172)="","—",INDEX(LdBId,$M1172)),IF($N1172&lt;&gt;"",IF(INDEX(LdCBank,$N1172)="","—",INDEX(LdCBank,$N1172)),"")))</f>
        <v/>
      </c>
      <c r="E1172" s="21">
        <f>IF($L1172&lt;&gt;"",IF(INDEX(LdAAmt,$L1172)=0,"",INDEX(LdAAmt,$L1172)),IF($M1172&lt;&gt;"",IF(INDEX(LdBAmt,$M1172)=0,"",INDEX(LdBAmt,$M1172)),IF($N1172&lt;&gt;"",IF(INDEX(LdCDep,$N1172)=0,"",INDEX(LdCDep,$N1172)),"")))</f>
        <v/>
      </c>
      <c r="F1172" s="21">
        <f>IF(AND($L1172="",$M1172="",$N1172=""),"",IF($N1172="","",IF(INDEX(LdCWit,$N1172)=0,"",INDEX(LdCWit,$N1172))))</f>
        <v/>
      </c>
      <c r="G1172" s="31">
        <f>IF($B1172="","",IF($G1171="",0,$G1171)+IF($E1172="",0,$E1172)-IF($F1172="",0,$F1172))</f>
        <v/>
      </c>
      <c r="H1172" s="32">
        <f>IF(AND($L1172="",$M1172="",$N1172=""),"",IF($L1172&lt;&gt;"",IF(INDEX(LdANote,$L1172)="","—",INDEX(LdANote,$L1172)),IF($M1172&lt;&gt;"",IF(INDEX(LdBNote,$M1172)="","—",INDEX(LdBNote,$M1172)),IF($N1172&lt;&gt;"",IF(INDEX(LdCNote,$N1172)="","—",INDEX(LdCNote,$N1172)),""))))</f>
        <v/>
      </c>
      <c r="L1172">
        <f>IFERROR(MATCH($C$5&amp;"|"&amp;RIGHT("000000"&amp;1156,6),LdAKeyM,0),"")</f>
        <v/>
      </c>
      <c r="M1172">
        <f>IFERROR(MATCH($C$5&amp;"|"&amp;RIGHT("000000"&amp;1156,6),LdBKeyM,0),"")</f>
        <v/>
      </c>
      <c r="N1172">
        <f>IFERROR(MATCH($C$5&amp;"|"&amp;RIGHT("000000"&amp;1156,6),LdCKeyM,0),"")</f>
        <v/>
      </c>
    </row>
    <row r="1173">
      <c r="A1173" s="10" t="n">
        <v>1157</v>
      </c>
      <c r="B1173" s="14">
        <f>IF(AND($L1173="",$M1173="",$N1173=""),"",IF($L1173&lt;&gt;"",INDEX(LdADate,$L1173),IF($M1173&lt;&gt;"",INDEX(LdBDate,$M1173),INDEX(LdCDate,$N1173))))</f>
        <v/>
      </c>
      <c r="C1173" s="14">
        <f>IF($L1173&lt;&gt;"","دستمزد (فردی)",IF($M1173&lt;&gt;"","سهم از گروه "&amp;IFERROR(VLOOKUP(INDEX(LdBGroup,$M1173),WGTbl,2,0),INDEX(LdBGroup,$M1173)),IF($N1173&lt;&gt;"",IF(N(INDEX(LdCDep,$N1173))&gt;0,"بازگشت بانکی","پرداخت بانکی"),"")))</f>
        <v/>
      </c>
      <c r="D1173" s="14">
        <f>IF($L1173&lt;&gt;"",IF(INDEX(LdAId,$L1173)="","—",INDEX(LdAId,$L1173)),IF($M1173&lt;&gt;"",IF(INDEX(LdBId,$M1173)="","—",INDEX(LdBId,$M1173)),IF($N1173&lt;&gt;"",IF(INDEX(LdCBank,$N1173)="","—",INDEX(LdCBank,$N1173)),"")))</f>
        <v/>
      </c>
      <c r="E1173" s="16">
        <f>IF($L1173&lt;&gt;"",IF(INDEX(LdAAmt,$L1173)=0,"",INDEX(LdAAmt,$L1173)),IF($M1173&lt;&gt;"",IF(INDEX(LdBAmt,$M1173)=0,"",INDEX(LdBAmt,$M1173)),IF($N1173&lt;&gt;"",IF(INDEX(LdCDep,$N1173)=0,"",INDEX(LdCDep,$N1173)),"")))</f>
        <v/>
      </c>
      <c r="F1173" s="16">
        <f>IF(AND($L1173="",$M1173="",$N1173=""),"",IF($N1173="","",IF(INDEX(LdCWit,$N1173)=0,"",INDEX(LdCWit,$N1173))))</f>
        <v/>
      </c>
      <c r="G1173" s="29">
        <f>IF($B1173="","",IF($G1172="",0,$G1172)+IF($E1173="",0,$E1173)-IF($F1173="",0,$F1173))</f>
        <v/>
      </c>
      <c r="H1173" s="30">
        <f>IF(AND($L1173="",$M1173="",$N1173=""),"",IF($L1173&lt;&gt;"",IF(INDEX(LdANote,$L1173)="","—",INDEX(LdANote,$L1173)),IF($M1173&lt;&gt;"",IF(INDEX(LdBNote,$M1173)="","—",INDEX(LdBNote,$M1173)),IF($N1173&lt;&gt;"",IF(INDEX(LdCNote,$N1173)="","—",INDEX(LdCNote,$N1173)),""))))</f>
        <v/>
      </c>
      <c r="L1173">
        <f>IFERROR(MATCH($C$5&amp;"|"&amp;RIGHT("000000"&amp;1157,6),LdAKeyM,0),"")</f>
        <v/>
      </c>
      <c r="M1173">
        <f>IFERROR(MATCH($C$5&amp;"|"&amp;RIGHT("000000"&amp;1157,6),LdBKeyM,0),"")</f>
        <v/>
      </c>
      <c r="N1173">
        <f>IFERROR(MATCH($C$5&amp;"|"&amp;RIGHT("000000"&amp;1157,6),LdCKeyM,0),"")</f>
        <v/>
      </c>
    </row>
    <row r="1174">
      <c r="A1174" s="19" t="n">
        <v>1158</v>
      </c>
      <c r="B1174" s="20">
        <f>IF(AND($L1174="",$M1174="",$N1174=""),"",IF($L1174&lt;&gt;"",INDEX(LdADate,$L1174),IF($M1174&lt;&gt;"",INDEX(LdBDate,$M1174),INDEX(LdCDate,$N1174))))</f>
        <v/>
      </c>
      <c r="C1174" s="20">
        <f>IF($L1174&lt;&gt;"","دستمزد (فردی)",IF($M1174&lt;&gt;"","سهم از گروه "&amp;IFERROR(VLOOKUP(INDEX(LdBGroup,$M1174),WGTbl,2,0),INDEX(LdBGroup,$M1174)),IF($N1174&lt;&gt;"",IF(N(INDEX(LdCDep,$N1174))&gt;0,"بازگشت بانکی","پرداخت بانکی"),"")))</f>
        <v/>
      </c>
      <c r="D1174" s="20">
        <f>IF($L1174&lt;&gt;"",IF(INDEX(LdAId,$L1174)="","—",INDEX(LdAId,$L1174)),IF($M1174&lt;&gt;"",IF(INDEX(LdBId,$M1174)="","—",INDEX(LdBId,$M1174)),IF($N1174&lt;&gt;"",IF(INDEX(LdCBank,$N1174)="","—",INDEX(LdCBank,$N1174)),"")))</f>
        <v/>
      </c>
      <c r="E1174" s="21">
        <f>IF($L1174&lt;&gt;"",IF(INDEX(LdAAmt,$L1174)=0,"",INDEX(LdAAmt,$L1174)),IF($M1174&lt;&gt;"",IF(INDEX(LdBAmt,$M1174)=0,"",INDEX(LdBAmt,$M1174)),IF($N1174&lt;&gt;"",IF(INDEX(LdCDep,$N1174)=0,"",INDEX(LdCDep,$N1174)),"")))</f>
        <v/>
      </c>
      <c r="F1174" s="21">
        <f>IF(AND($L1174="",$M1174="",$N1174=""),"",IF($N1174="","",IF(INDEX(LdCWit,$N1174)=0,"",INDEX(LdCWit,$N1174))))</f>
        <v/>
      </c>
      <c r="G1174" s="31">
        <f>IF($B1174="","",IF($G1173="",0,$G1173)+IF($E1174="",0,$E1174)-IF($F1174="",0,$F1174))</f>
        <v/>
      </c>
      <c r="H1174" s="32">
        <f>IF(AND($L1174="",$M1174="",$N1174=""),"",IF($L1174&lt;&gt;"",IF(INDEX(LdANote,$L1174)="","—",INDEX(LdANote,$L1174)),IF($M1174&lt;&gt;"",IF(INDEX(LdBNote,$M1174)="","—",INDEX(LdBNote,$M1174)),IF($N1174&lt;&gt;"",IF(INDEX(LdCNote,$N1174)="","—",INDEX(LdCNote,$N1174)),""))))</f>
        <v/>
      </c>
      <c r="L1174">
        <f>IFERROR(MATCH($C$5&amp;"|"&amp;RIGHT("000000"&amp;1158,6),LdAKeyM,0),"")</f>
        <v/>
      </c>
      <c r="M1174">
        <f>IFERROR(MATCH($C$5&amp;"|"&amp;RIGHT("000000"&amp;1158,6),LdBKeyM,0),"")</f>
        <v/>
      </c>
      <c r="N1174">
        <f>IFERROR(MATCH($C$5&amp;"|"&amp;RIGHT("000000"&amp;1158,6),LdCKeyM,0),"")</f>
        <v/>
      </c>
    </row>
    <row r="1175">
      <c r="A1175" s="10" t="n">
        <v>1159</v>
      </c>
      <c r="B1175" s="14">
        <f>IF(AND($L1175="",$M1175="",$N1175=""),"",IF($L1175&lt;&gt;"",INDEX(LdADate,$L1175),IF($M1175&lt;&gt;"",INDEX(LdBDate,$M1175),INDEX(LdCDate,$N1175))))</f>
        <v/>
      </c>
      <c r="C1175" s="14">
        <f>IF($L1175&lt;&gt;"","دستمزد (فردی)",IF($M1175&lt;&gt;"","سهم از گروه "&amp;IFERROR(VLOOKUP(INDEX(LdBGroup,$M1175),WGTbl,2,0),INDEX(LdBGroup,$M1175)),IF($N1175&lt;&gt;"",IF(N(INDEX(LdCDep,$N1175))&gt;0,"بازگشت بانکی","پرداخت بانکی"),"")))</f>
        <v/>
      </c>
      <c r="D1175" s="14">
        <f>IF($L1175&lt;&gt;"",IF(INDEX(LdAId,$L1175)="","—",INDEX(LdAId,$L1175)),IF($M1175&lt;&gt;"",IF(INDEX(LdBId,$M1175)="","—",INDEX(LdBId,$M1175)),IF($N1175&lt;&gt;"",IF(INDEX(LdCBank,$N1175)="","—",INDEX(LdCBank,$N1175)),"")))</f>
        <v/>
      </c>
      <c r="E1175" s="16">
        <f>IF($L1175&lt;&gt;"",IF(INDEX(LdAAmt,$L1175)=0,"",INDEX(LdAAmt,$L1175)),IF($M1175&lt;&gt;"",IF(INDEX(LdBAmt,$M1175)=0,"",INDEX(LdBAmt,$M1175)),IF($N1175&lt;&gt;"",IF(INDEX(LdCDep,$N1175)=0,"",INDEX(LdCDep,$N1175)),"")))</f>
        <v/>
      </c>
      <c r="F1175" s="16">
        <f>IF(AND($L1175="",$M1175="",$N1175=""),"",IF($N1175="","",IF(INDEX(LdCWit,$N1175)=0,"",INDEX(LdCWit,$N1175))))</f>
        <v/>
      </c>
      <c r="G1175" s="29">
        <f>IF($B1175="","",IF($G1174="",0,$G1174)+IF($E1175="",0,$E1175)-IF($F1175="",0,$F1175))</f>
        <v/>
      </c>
      <c r="H1175" s="30">
        <f>IF(AND($L1175="",$M1175="",$N1175=""),"",IF($L1175&lt;&gt;"",IF(INDEX(LdANote,$L1175)="","—",INDEX(LdANote,$L1175)),IF($M1175&lt;&gt;"",IF(INDEX(LdBNote,$M1175)="","—",INDEX(LdBNote,$M1175)),IF($N1175&lt;&gt;"",IF(INDEX(LdCNote,$N1175)="","—",INDEX(LdCNote,$N1175)),""))))</f>
        <v/>
      </c>
      <c r="L1175">
        <f>IFERROR(MATCH($C$5&amp;"|"&amp;RIGHT("000000"&amp;1159,6),LdAKeyM,0),"")</f>
        <v/>
      </c>
      <c r="M1175">
        <f>IFERROR(MATCH($C$5&amp;"|"&amp;RIGHT("000000"&amp;1159,6),LdBKeyM,0),"")</f>
        <v/>
      </c>
      <c r="N1175">
        <f>IFERROR(MATCH($C$5&amp;"|"&amp;RIGHT("000000"&amp;1159,6),LdCKeyM,0),"")</f>
        <v/>
      </c>
    </row>
    <row r="1176">
      <c r="A1176" s="19" t="n">
        <v>1160</v>
      </c>
      <c r="B1176" s="20">
        <f>IF(AND($L1176="",$M1176="",$N1176=""),"",IF($L1176&lt;&gt;"",INDEX(LdADate,$L1176),IF($M1176&lt;&gt;"",INDEX(LdBDate,$M1176),INDEX(LdCDate,$N1176))))</f>
        <v/>
      </c>
      <c r="C1176" s="20">
        <f>IF($L1176&lt;&gt;"","دستمزد (فردی)",IF($M1176&lt;&gt;"","سهم از گروه "&amp;IFERROR(VLOOKUP(INDEX(LdBGroup,$M1176),WGTbl,2,0),INDEX(LdBGroup,$M1176)),IF($N1176&lt;&gt;"",IF(N(INDEX(LdCDep,$N1176))&gt;0,"بازگشت بانکی","پرداخت بانکی"),"")))</f>
        <v/>
      </c>
      <c r="D1176" s="20">
        <f>IF($L1176&lt;&gt;"",IF(INDEX(LdAId,$L1176)="","—",INDEX(LdAId,$L1176)),IF($M1176&lt;&gt;"",IF(INDEX(LdBId,$M1176)="","—",INDEX(LdBId,$M1176)),IF($N1176&lt;&gt;"",IF(INDEX(LdCBank,$N1176)="","—",INDEX(LdCBank,$N1176)),"")))</f>
        <v/>
      </c>
      <c r="E1176" s="21">
        <f>IF($L1176&lt;&gt;"",IF(INDEX(LdAAmt,$L1176)=0,"",INDEX(LdAAmt,$L1176)),IF($M1176&lt;&gt;"",IF(INDEX(LdBAmt,$M1176)=0,"",INDEX(LdBAmt,$M1176)),IF($N1176&lt;&gt;"",IF(INDEX(LdCDep,$N1176)=0,"",INDEX(LdCDep,$N1176)),"")))</f>
        <v/>
      </c>
      <c r="F1176" s="21">
        <f>IF(AND($L1176="",$M1176="",$N1176=""),"",IF($N1176="","",IF(INDEX(LdCWit,$N1176)=0,"",INDEX(LdCWit,$N1176))))</f>
        <v/>
      </c>
      <c r="G1176" s="31">
        <f>IF($B1176="","",IF($G1175="",0,$G1175)+IF($E1176="",0,$E1176)-IF($F1176="",0,$F1176))</f>
        <v/>
      </c>
      <c r="H1176" s="32">
        <f>IF(AND($L1176="",$M1176="",$N1176=""),"",IF($L1176&lt;&gt;"",IF(INDEX(LdANote,$L1176)="","—",INDEX(LdANote,$L1176)),IF($M1176&lt;&gt;"",IF(INDEX(LdBNote,$M1176)="","—",INDEX(LdBNote,$M1176)),IF($N1176&lt;&gt;"",IF(INDEX(LdCNote,$N1176)="","—",INDEX(LdCNote,$N1176)),""))))</f>
        <v/>
      </c>
      <c r="L1176">
        <f>IFERROR(MATCH($C$5&amp;"|"&amp;RIGHT("000000"&amp;1160,6),LdAKeyM,0),"")</f>
        <v/>
      </c>
      <c r="M1176">
        <f>IFERROR(MATCH($C$5&amp;"|"&amp;RIGHT("000000"&amp;1160,6),LdBKeyM,0),"")</f>
        <v/>
      </c>
      <c r="N1176">
        <f>IFERROR(MATCH($C$5&amp;"|"&amp;RIGHT("000000"&amp;1160,6),LdCKeyM,0),"")</f>
        <v/>
      </c>
    </row>
    <row r="1177">
      <c r="A1177" s="10" t="n">
        <v>1161</v>
      </c>
      <c r="B1177" s="14">
        <f>IF(AND($L1177="",$M1177="",$N1177=""),"",IF($L1177&lt;&gt;"",INDEX(LdADate,$L1177),IF($M1177&lt;&gt;"",INDEX(LdBDate,$M1177),INDEX(LdCDate,$N1177))))</f>
        <v/>
      </c>
      <c r="C1177" s="14">
        <f>IF($L1177&lt;&gt;"","دستمزد (فردی)",IF($M1177&lt;&gt;"","سهم از گروه "&amp;IFERROR(VLOOKUP(INDEX(LdBGroup,$M1177),WGTbl,2,0),INDEX(LdBGroup,$M1177)),IF($N1177&lt;&gt;"",IF(N(INDEX(LdCDep,$N1177))&gt;0,"بازگشت بانکی","پرداخت بانکی"),"")))</f>
        <v/>
      </c>
      <c r="D1177" s="14">
        <f>IF($L1177&lt;&gt;"",IF(INDEX(LdAId,$L1177)="","—",INDEX(LdAId,$L1177)),IF($M1177&lt;&gt;"",IF(INDEX(LdBId,$M1177)="","—",INDEX(LdBId,$M1177)),IF($N1177&lt;&gt;"",IF(INDEX(LdCBank,$N1177)="","—",INDEX(LdCBank,$N1177)),"")))</f>
        <v/>
      </c>
      <c r="E1177" s="16">
        <f>IF($L1177&lt;&gt;"",IF(INDEX(LdAAmt,$L1177)=0,"",INDEX(LdAAmt,$L1177)),IF($M1177&lt;&gt;"",IF(INDEX(LdBAmt,$M1177)=0,"",INDEX(LdBAmt,$M1177)),IF($N1177&lt;&gt;"",IF(INDEX(LdCDep,$N1177)=0,"",INDEX(LdCDep,$N1177)),"")))</f>
        <v/>
      </c>
      <c r="F1177" s="16">
        <f>IF(AND($L1177="",$M1177="",$N1177=""),"",IF($N1177="","",IF(INDEX(LdCWit,$N1177)=0,"",INDEX(LdCWit,$N1177))))</f>
        <v/>
      </c>
      <c r="G1177" s="29">
        <f>IF($B1177="","",IF($G1176="",0,$G1176)+IF($E1177="",0,$E1177)-IF($F1177="",0,$F1177))</f>
        <v/>
      </c>
      <c r="H1177" s="30">
        <f>IF(AND($L1177="",$M1177="",$N1177=""),"",IF($L1177&lt;&gt;"",IF(INDEX(LdANote,$L1177)="","—",INDEX(LdANote,$L1177)),IF($M1177&lt;&gt;"",IF(INDEX(LdBNote,$M1177)="","—",INDEX(LdBNote,$M1177)),IF($N1177&lt;&gt;"",IF(INDEX(LdCNote,$N1177)="","—",INDEX(LdCNote,$N1177)),""))))</f>
        <v/>
      </c>
      <c r="L1177">
        <f>IFERROR(MATCH($C$5&amp;"|"&amp;RIGHT("000000"&amp;1161,6),LdAKeyM,0),"")</f>
        <v/>
      </c>
      <c r="M1177">
        <f>IFERROR(MATCH($C$5&amp;"|"&amp;RIGHT("000000"&amp;1161,6),LdBKeyM,0),"")</f>
        <v/>
      </c>
      <c r="N1177">
        <f>IFERROR(MATCH($C$5&amp;"|"&amp;RIGHT("000000"&amp;1161,6),LdCKeyM,0),"")</f>
        <v/>
      </c>
    </row>
    <row r="1178">
      <c r="A1178" s="19" t="n">
        <v>1162</v>
      </c>
      <c r="B1178" s="20">
        <f>IF(AND($L1178="",$M1178="",$N1178=""),"",IF($L1178&lt;&gt;"",INDEX(LdADate,$L1178),IF($M1178&lt;&gt;"",INDEX(LdBDate,$M1178),INDEX(LdCDate,$N1178))))</f>
        <v/>
      </c>
      <c r="C1178" s="20">
        <f>IF($L1178&lt;&gt;"","دستمزد (فردی)",IF($M1178&lt;&gt;"","سهم از گروه "&amp;IFERROR(VLOOKUP(INDEX(LdBGroup,$M1178),WGTbl,2,0),INDEX(LdBGroup,$M1178)),IF($N1178&lt;&gt;"",IF(N(INDEX(LdCDep,$N1178))&gt;0,"بازگشت بانکی","پرداخت بانکی"),"")))</f>
        <v/>
      </c>
      <c r="D1178" s="20">
        <f>IF($L1178&lt;&gt;"",IF(INDEX(LdAId,$L1178)="","—",INDEX(LdAId,$L1178)),IF($M1178&lt;&gt;"",IF(INDEX(LdBId,$M1178)="","—",INDEX(LdBId,$M1178)),IF($N1178&lt;&gt;"",IF(INDEX(LdCBank,$N1178)="","—",INDEX(LdCBank,$N1178)),"")))</f>
        <v/>
      </c>
      <c r="E1178" s="21">
        <f>IF($L1178&lt;&gt;"",IF(INDEX(LdAAmt,$L1178)=0,"",INDEX(LdAAmt,$L1178)),IF($M1178&lt;&gt;"",IF(INDEX(LdBAmt,$M1178)=0,"",INDEX(LdBAmt,$M1178)),IF($N1178&lt;&gt;"",IF(INDEX(LdCDep,$N1178)=0,"",INDEX(LdCDep,$N1178)),"")))</f>
        <v/>
      </c>
      <c r="F1178" s="21">
        <f>IF(AND($L1178="",$M1178="",$N1178=""),"",IF($N1178="","",IF(INDEX(LdCWit,$N1178)=0,"",INDEX(LdCWit,$N1178))))</f>
        <v/>
      </c>
      <c r="G1178" s="31">
        <f>IF($B1178="","",IF($G1177="",0,$G1177)+IF($E1178="",0,$E1178)-IF($F1178="",0,$F1178))</f>
        <v/>
      </c>
      <c r="H1178" s="32">
        <f>IF(AND($L1178="",$M1178="",$N1178=""),"",IF($L1178&lt;&gt;"",IF(INDEX(LdANote,$L1178)="","—",INDEX(LdANote,$L1178)),IF($M1178&lt;&gt;"",IF(INDEX(LdBNote,$M1178)="","—",INDEX(LdBNote,$M1178)),IF($N1178&lt;&gt;"",IF(INDEX(LdCNote,$N1178)="","—",INDEX(LdCNote,$N1178)),""))))</f>
        <v/>
      </c>
      <c r="L1178">
        <f>IFERROR(MATCH($C$5&amp;"|"&amp;RIGHT("000000"&amp;1162,6),LdAKeyM,0),"")</f>
        <v/>
      </c>
      <c r="M1178">
        <f>IFERROR(MATCH($C$5&amp;"|"&amp;RIGHT("000000"&amp;1162,6),LdBKeyM,0),"")</f>
        <v/>
      </c>
      <c r="N1178">
        <f>IFERROR(MATCH($C$5&amp;"|"&amp;RIGHT("000000"&amp;1162,6),LdCKeyM,0),"")</f>
        <v/>
      </c>
    </row>
    <row r="1179">
      <c r="A1179" s="10" t="n">
        <v>1163</v>
      </c>
      <c r="B1179" s="14">
        <f>IF(AND($L1179="",$M1179="",$N1179=""),"",IF($L1179&lt;&gt;"",INDEX(LdADate,$L1179),IF($M1179&lt;&gt;"",INDEX(LdBDate,$M1179),INDEX(LdCDate,$N1179))))</f>
        <v/>
      </c>
      <c r="C1179" s="14">
        <f>IF($L1179&lt;&gt;"","دستمزد (فردی)",IF($M1179&lt;&gt;"","سهم از گروه "&amp;IFERROR(VLOOKUP(INDEX(LdBGroup,$M1179),WGTbl,2,0),INDEX(LdBGroup,$M1179)),IF($N1179&lt;&gt;"",IF(N(INDEX(LdCDep,$N1179))&gt;0,"بازگشت بانکی","پرداخت بانکی"),"")))</f>
        <v/>
      </c>
      <c r="D1179" s="14">
        <f>IF($L1179&lt;&gt;"",IF(INDEX(LdAId,$L1179)="","—",INDEX(LdAId,$L1179)),IF($M1179&lt;&gt;"",IF(INDEX(LdBId,$M1179)="","—",INDEX(LdBId,$M1179)),IF($N1179&lt;&gt;"",IF(INDEX(LdCBank,$N1179)="","—",INDEX(LdCBank,$N1179)),"")))</f>
        <v/>
      </c>
      <c r="E1179" s="16">
        <f>IF($L1179&lt;&gt;"",IF(INDEX(LdAAmt,$L1179)=0,"",INDEX(LdAAmt,$L1179)),IF($M1179&lt;&gt;"",IF(INDEX(LdBAmt,$M1179)=0,"",INDEX(LdBAmt,$M1179)),IF($N1179&lt;&gt;"",IF(INDEX(LdCDep,$N1179)=0,"",INDEX(LdCDep,$N1179)),"")))</f>
        <v/>
      </c>
      <c r="F1179" s="16">
        <f>IF(AND($L1179="",$M1179="",$N1179=""),"",IF($N1179="","",IF(INDEX(LdCWit,$N1179)=0,"",INDEX(LdCWit,$N1179))))</f>
        <v/>
      </c>
      <c r="G1179" s="29">
        <f>IF($B1179="","",IF($G1178="",0,$G1178)+IF($E1179="",0,$E1179)-IF($F1179="",0,$F1179))</f>
        <v/>
      </c>
      <c r="H1179" s="30">
        <f>IF(AND($L1179="",$M1179="",$N1179=""),"",IF($L1179&lt;&gt;"",IF(INDEX(LdANote,$L1179)="","—",INDEX(LdANote,$L1179)),IF($M1179&lt;&gt;"",IF(INDEX(LdBNote,$M1179)="","—",INDEX(LdBNote,$M1179)),IF($N1179&lt;&gt;"",IF(INDEX(LdCNote,$N1179)="","—",INDEX(LdCNote,$N1179)),""))))</f>
        <v/>
      </c>
      <c r="L1179">
        <f>IFERROR(MATCH($C$5&amp;"|"&amp;RIGHT("000000"&amp;1163,6),LdAKeyM,0),"")</f>
        <v/>
      </c>
      <c r="M1179">
        <f>IFERROR(MATCH($C$5&amp;"|"&amp;RIGHT("000000"&amp;1163,6),LdBKeyM,0),"")</f>
        <v/>
      </c>
      <c r="N1179">
        <f>IFERROR(MATCH($C$5&amp;"|"&amp;RIGHT("000000"&amp;1163,6),LdCKeyM,0),"")</f>
        <v/>
      </c>
    </row>
    <row r="1180">
      <c r="A1180" s="19" t="n">
        <v>1164</v>
      </c>
      <c r="B1180" s="20">
        <f>IF(AND($L1180="",$M1180="",$N1180=""),"",IF($L1180&lt;&gt;"",INDEX(LdADate,$L1180),IF($M1180&lt;&gt;"",INDEX(LdBDate,$M1180),INDEX(LdCDate,$N1180))))</f>
        <v/>
      </c>
      <c r="C1180" s="20">
        <f>IF($L1180&lt;&gt;"","دستمزد (فردی)",IF($M1180&lt;&gt;"","سهم از گروه "&amp;IFERROR(VLOOKUP(INDEX(LdBGroup,$M1180),WGTbl,2,0),INDEX(LdBGroup,$M1180)),IF($N1180&lt;&gt;"",IF(N(INDEX(LdCDep,$N1180))&gt;0,"بازگشت بانکی","پرداخت بانکی"),"")))</f>
        <v/>
      </c>
      <c r="D1180" s="20">
        <f>IF($L1180&lt;&gt;"",IF(INDEX(LdAId,$L1180)="","—",INDEX(LdAId,$L1180)),IF($M1180&lt;&gt;"",IF(INDEX(LdBId,$M1180)="","—",INDEX(LdBId,$M1180)),IF($N1180&lt;&gt;"",IF(INDEX(LdCBank,$N1180)="","—",INDEX(LdCBank,$N1180)),"")))</f>
        <v/>
      </c>
      <c r="E1180" s="21">
        <f>IF($L1180&lt;&gt;"",IF(INDEX(LdAAmt,$L1180)=0,"",INDEX(LdAAmt,$L1180)),IF($M1180&lt;&gt;"",IF(INDEX(LdBAmt,$M1180)=0,"",INDEX(LdBAmt,$M1180)),IF($N1180&lt;&gt;"",IF(INDEX(LdCDep,$N1180)=0,"",INDEX(LdCDep,$N1180)),"")))</f>
        <v/>
      </c>
      <c r="F1180" s="21">
        <f>IF(AND($L1180="",$M1180="",$N1180=""),"",IF($N1180="","",IF(INDEX(LdCWit,$N1180)=0,"",INDEX(LdCWit,$N1180))))</f>
        <v/>
      </c>
      <c r="G1180" s="31">
        <f>IF($B1180="","",IF($G1179="",0,$G1179)+IF($E1180="",0,$E1180)-IF($F1180="",0,$F1180))</f>
        <v/>
      </c>
      <c r="H1180" s="32">
        <f>IF(AND($L1180="",$M1180="",$N1180=""),"",IF($L1180&lt;&gt;"",IF(INDEX(LdANote,$L1180)="","—",INDEX(LdANote,$L1180)),IF($M1180&lt;&gt;"",IF(INDEX(LdBNote,$M1180)="","—",INDEX(LdBNote,$M1180)),IF($N1180&lt;&gt;"",IF(INDEX(LdCNote,$N1180)="","—",INDEX(LdCNote,$N1180)),""))))</f>
        <v/>
      </c>
      <c r="L1180">
        <f>IFERROR(MATCH($C$5&amp;"|"&amp;RIGHT("000000"&amp;1164,6),LdAKeyM,0),"")</f>
        <v/>
      </c>
      <c r="M1180">
        <f>IFERROR(MATCH($C$5&amp;"|"&amp;RIGHT("000000"&amp;1164,6),LdBKeyM,0),"")</f>
        <v/>
      </c>
      <c r="N1180">
        <f>IFERROR(MATCH($C$5&amp;"|"&amp;RIGHT("000000"&amp;1164,6),LdCKeyM,0),"")</f>
        <v/>
      </c>
    </row>
    <row r="1181">
      <c r="A1181" s="10" t="n">
        <v>1165</v>
      </c>
      <c r="B1181" s="14">
        <f>IF(AND($L1181="",$M1181="",$N1181=""),"",IF($L1181&lt;&gt;"",INDEX(LdADate,$L1181),IF($M1181&lt;&gt;"",INDEX(LdBDate,$M1181),INDEX(LdCDate,$N1181))))</f>
        <v/>
      </c>
      <c r="C1181" s="14">
        <f>IF($L1181&lt;&gt;"","دستمزد (فردی)",IF($M1181&lt;&gt;"","سهم از گروه "&amp;IFERROR(VLOOKUP(INDEX(LdBGroup,$M1181),WGTbl,2,0),INDEX(LdBGroup,$M1181)),IF($N1181&lt;&gt;"",IF(N(INDEX(LdCDep,$N1181))&gt;0,"بازگشت بانکی","پرداخت بانکی"),"")))</f>
        <v/>
      </c>
      <c r="D1181" s="14">
        <f>IF($L1181&lt;&gt;"",IF(INDEX(LdAId,$L1181)="","—",INDEX(LdAId,$L1181)),IF($M1181&lt;&gt;"",IF(INDEX(LdBId,$M1181)="","—",INDEX(LdBId,$M1181)),IF($N1181&lt;&gt;"",IF(INDEX(LdCBank,$N1181)="","—",INDEX(LdCBank,$N1181)),"")))</f>
        <v/>
      </c>
      <c r="E1181" s="16">
        <f>IF($L1181&lt;&gt;"",IF(INDEX(LdAAmt,$L1181)=0,"",INDEX(LdAAmt,$L1181)),IF($M1181&lt;&gt;"",IF(INDEX(LdBAmt,$M1181)=0,"",INDEX(LdBAmt,$M1181)),IF($N1181&lt;&gt;"",IF(INDEX(LdCDep,$N1181)=0,"",INDEX(LdCDep,$N1181)),"")))</f>
        <v/>
      </c>
      <c r="F1181" s="16">
        <f>IF(AND($L1181="",$M1181="",$N1181=""),"",IF($N1181="","",IF(INDEX(LdCWit,$N1181)=0,"",INDEX(LdCWit,$N1181))))</f>
        <v/>
      </c>
      <c r="G1181" s="29">
        <f>IF($B1181="","",IF($G1180="",0,$G1180)+IF($E1181="",0,$E1181)-IF($F1181="",0,$F1181))</f>
        <v/>
      </c>
      <c r="H1181" s="30">
        <f>IF(AND($L1181="",$M1181="",$N1181=""),"",IF($L1181&lt;&gt;"",IF(INDEX(LdANote,$L1181)="","—",INDEX(LdANote,$L1181)),IF($M1181&lt;&gt;"",IF(INDEX(LdBNote,$M1181)="","—",INDEX(LdBNote,$M1181)),IF($N1181&lt;&gt;"",IF(INDEX(LdCNote,$N1181)="","—",INDEX(LdCNote,$N1181)),""))))</f>
        <v/>
      </c>
      <c r="L1181">
        <f>IFERROR(MATCH($C$5&amp;"|"&amp;RIGHT("000000"&amp;1165,6),LdAKeyM,0),"")</f>
        <v/>
      </c>
      <c r="M1181">
        <f>IFERROR(MATCH($C$5&amp;"|"&amp;RIGHT("000000"&amp;1165,6),LdBKeyM,0),"")</f>
        <v/>
      </c>
      <c r="N1181">
        <f>IFERROR(MATCH($C$5&amp;"|"&amp;RIGHT("000000"&amp;1165,6),LdCKeyM,0),"")</f>
        <v/>
      </c>
    </row>
    <row r="1182">
      <c r="A1182" s="19" t="n">
        <v>1166</v>
      </c>
      <c r="B1182" s="20">
        <f>IF(AND($L1182="",$M1182="",$N1182=""),"",IF($L1182&lt;&gt;"",INDEX(LdADate,$L1182),IF($M1182&lt;&gt;"",INDEX(LdBDate,$M1182),INDEX(LdCDate,$N1182))))</f>
        <v/>
      </c>
      <c r="C1182" s="20">
        <f>IF($L1182&lt;&gt;"","دستمزد (فردی)",IF($M1182&lt;&gt;"","سهم از گروه "&amp;IFERROR(VLOOKUP(INDEX(LdBGroup,$M1182),WGTbl,2,0),INDEX(LdBGroup,$M1182)),IF($N1182&lt;&gt;"",IF(N(INDEX(LdCDep,$N1182))&gt;0,"بازگشت بانکی","پرداخت بانکی"),"")))</f>
        <v/>
      </c>
      <c r="D1182" s="20">
        <f>IF($L1182&lt;&gt;"",IF(INDEX(LdAId,$L1182)="","—",INDEX(LdAId,$L1182)),IF($M1182&lt;&gt;"",IF(INDEX(LdBId,$M1182)="","—",INDEX(LdBId,$M1182)),IF($N1182&lt;&gt;"",IF(INDEX(LdCBank,$N1182)="","—",INDEX(LdCBank,$N1182)),"")))</f>
        <v/>
      </c>
      <c r="E1182" s="21">
        <f>IF($L1182&lt;&gt;"",IF(INDEX(LdAAmt,$L1182)=0,"",INDEX(LdAAmt,$L1182)),IF($M1182&lt;&gt;"",IF(INDEX(LdBAmt,$M1182)=0,"",INDEX(LdBAmt,$M1182)),IF($N1182&lt;&gt;"",IF(INDEX(LdCDep,$N1182)=0,"",INDEX(LdCDep,$N1182)),"")))</f>
        <v/>
      </c>
      <c r="F1182" s="21">
        <f>IF(AND($L1182="",$M1182="",$N1182=""),"",IF($N1182="","",IF(INDEX(LdCWit,$N1182)=0,"",INDEX(LdCWit,$N1182))))</f>
        <v/>
      </c>
      <c r="G1182" s="31">
        <f>IF($B1182="","",IF($G1181="",0,$G1181)+IF($E1182="",0,$E1182)-IF($F1182="",0,$F1182))</f>
        <v/>
      </c>
      <c r="H1182" s="32">
        <f>IF(AND($L1182="",$M1182="",$N1182=""),"",IF($L1182&lt;&gt;"",IF(INDEX(LdANote,$L1182)="","—",INDEX(LdANote,$L1182)),IF($M1182&lt;&gt;"",IF(INDEX(LdBNote,$M1182)="","—",INDEX(LdBNote,$M1182)),IF($N1182&lt;&gt;"",IF(INDEX(LdCNote,$N1182)="","—",INDEX(LdCNote,$N1182)),""))))</f>
        <v/>
      </c>
      <c r="L1182">
        <f>IFERROR(MATCH($C$5&amp;"|"&amp;RIGHT("000000"&amp;1166,6),LdAKeyM,0),"")</f>
        <v/>
      </c>
      <c r="M1182">
        <f>IFERROR(MATCH($C$5&amp;"|"&amp;RIGHT("000000"&amp;1166,6),LdBKeyM,0),"")</f>
        <v/>
      </c>
      <c r="N1182">
        <f>IFERROR(MATCH($C$5&amp;"|"&amp;RIGHT("000000"&amp;1166,6),LdCKeyM,0),"")</f>
        <v/>
      </c>
    </row>
    <row r="1183">
      <c r="A1183" s="10" t="n">
        <v>1167</v>
      </c>
      <c r="B1183" s="14">
        <f>IF(AND($L1183="",$M1183="",$N1183=""),"",IF($L1183&lt;&gt;"",INDEX(LdADate,$L1183),IF($M1183&lt;&gt;"",INDEX(LdBDate,$M1183),INDEX(LdCDate,$N1183))))</f>
        <v/>
      </c>
      <c r="C1183" s="14">
        <f>IF($L1183&lt;&gt;"","دستمزد (فردی)",IF($M1183&lt;&gt;"","سهم از گروه "&amp;IFERROR(VLOOKUP(INDEX(LdBGroup,$M1183),WGTbl,2,0),INDEX(LdBGroup,$M1183)),IF($N1183&lt;&gt;"",IF(N(INDEX(LdCDep,$N1183))&gt;0,"بازگشت بانکی","پرداخت بانکی"),"")))</f>
        <v/>
      </c>
      <c r="D1183" s="14">
        <f>IF($L1183&lt;&gt;"",IF(INDEX(LdAId,$L1183)="","—",INDEX(LdAId,$L1183)),IF($M1183&lt;&gt;"",IF(INDEX(LdBId,$M1183)="","—",INDEX(LdBId,$M1183)),IF($N1183&lt;&gt;"",IF(INDEX(LdCBank,$N1183)="","—",INDEX(LdCBank,$N1183)),"")))</f>
        <v/>
      </c>
      <c r="E1183" s="16">
        <f>IF($L1183&lt;&gt;"",IF(INDEX(LdAAmt,$L1183)=0,"",INDEX(LdAAmt,$L1183)),IF($M1183&lt;&gt;"",IF(INDEX(LdBAmt,$M1183)=0,"",INDEX(LdBAmt,$M1183)),IF($N1183&lt;&gt;"",IF(INDEX(LdCDep,$N1183)=0,"",INDEX(LdCDep,$N1183)),"")))</f>
        <v/>
      </c>
      <c r="F1183" s="16">
        <f>IF(AND($L1183="",$M1183="",$N1183=""),"",IF($N1183="","",IF(INDEX(LdCWit,$N1183)=0,"",INDEX(LdCWit,$N1183))))</f>
        <v/>
      </c>
      <c r="G1183" s="29">
        <f>IF($B1183="","",IF($G1182="",0,$G1182)+IF($E1183="",0,$E1183)-IF($F1183="",0,$F1183))</f>
        <v/>
      </c>
      <c r="H1183" s="30">
        <f>IF(AND($L1183="",$M1183="",$N1183=""),"",IF($L1183&lt;&gt;"",IF(INDEX(LdANote,$L1183)="","—",INDEX(LdANote,$L1183)),IF($M1183&lt;&gt;"",IF(INDEX(LdBNote,$M1183)="","—",INDEX(LdBNote,$M1183)),IF($N1183&lt;&gt;"",IF(INDEX(LdCNote,$N1183)="","—",INDEX(LdCNote,$N1183)),""))))</f>
        <v/>
      </c>
      <c r="L1183">
        <f>IFERROR(MATCH($C$5&amp;"|"&amp;RIGHT("000000"&amp;1167,6),LdAKeyM,0),"")</f>
        <v/>
      </c>
      <c r="M1183">
        <f>IFERROR(MATCH($C$5&amp;"|"&amp;RIGHT("000000"&amp;1167,6),LdBKeyM,0),"")</f>
        <v/>
      </c>
      <c r="N1183">
        <f>IFERROR(MATCH($C$5&amp;"|"&amp;RIGHT("000000"&amp;1167,6),LdCKeyM,0),"")</f>
        <v/>
      </c>
    </row>
    <row r="1184">
      <c r="A1184" s="19" t="n">
        <v>1168</v>
      </c>
      <c r="B1184" s="20">
        <f>IF(AND($L1184="",$M1184="",$N1184=""),"",IF($L1184&lt;&gt;"",INDEX(LdADate,$L1184),IF($M1184&lt;&gt;"",INDEX(LdBDate,$M1184),INDEX(LdCDate,$N1184))))</f>
        <v/>
      </c>
      <c r="C1184" s="20">
        <f>IF($L1184&lt;&gt;"","دستمزد (فردی)",IF($M1184&lt;&gt;"","سهم از گروه "&amp;IFERROR(VLOOKUP(INDEX(LdBGroup,$M1184),WGTbl,2,0),INDEX(LdBGroup,$M1184)),IF($N1184&lt;&gt;"",IF(N(INDEX(LdCDep,$N1184))&gt;0,"بازگشت بانکی","پرداخت بانکی"),"")))</f>
        <v/>
      </c>
      <c r="D1184" s="20">
        <f>IF($L1184&lt;&gt;"",IF(INDEX(LdAId,$L1184)="","—",INDEX(LdAId,$L1184)),IF($M1184&lt;&gt;"",IF(INDEX(LdBId,$M1184)="","—",INDEX(LdBId,$M1184)),IF($N1184&lt;&gt;"",IF(INDEX(LdCBank,$N1184)="","—",INDEX(LdCBank,$N1184)),"")))</f>
        <v/>
      </c>
      <c r="E1184" s="21">
        <f>IF($L1184&lt;&gt;"",IF(INDEX(LdAAmt,$L1184)=0,"",INDEX(LdAAmt,$L1184)),IF($M1184&lt;&gt;"",IF(INDEX(LdBAmt,$M1184)=0,"",INDEX(LdBAmt,$M1184)),IF($N1184&lt;&gt;"",IF(INDEX(LdCDep,$N1184)=0,"",INDEX(LdCDep,$N1184)),"")))</f>
        <v/>
      </c>
      <c r="F1184" s="21">
        <f>IF(AND($L1184="",$M1184="",$N1184=""),"",IF($N1184="","",IF(INDEX(LdCWit,$N1184)=0,"",INDEX(LdCWit,$N1184))))</f>
        <v/>
      </c>
      <c r="G1184" s="31">
        <f>IF($B1184="","",IF($G1183="",0,$G1183)+IF($E1184="",0,$E1184)-IF($F1184="",0,$F1184))</f>
        <v/>
      </c>
      <c r="H1184" s="32">
        <f>IF(AND($L1184="",$M1184="",$N1184=""),"",IF($L1184&lt;&gt;"",IF(INDEX(LdANote,$L1184)="","—",INDEX(LdANote,$L1184)),IF($M1184&lt;&gt;"",IF(INDEX(LdBNote,$M1184)="","—",INDEX(LdBNote,$M1184)),IF($N1184&lt;&gt;"",IF(INDEX(LdCNote,$N1184)="","—",INDEX(LdCNote,$N1184)),""))))</f>
        <v/>
      </c>
      <c r="L1184">
        <f>IFERROR(MATCH($C$5&amp;"|"&amp;RIGHT("000000"&amp;1168,6),LdAKeyM,0),"")</f>
        <v/>
      </c>
      <c r="M1184">
        <f>IFERROR(MATCH($C$5&amp;"|"&amp;RIGHT("000000"&amp;1168,6),LdBKeyM,0),"")</f>
        <v/>
      </c>
      <c r="N1184">
        <f>IFERROR(MATCH($C$5&amp;"|"&amp;RIGHT("000000"&amp;1168,6),LdCKeyM,0),"")</f>
        <v/>
      </c>
    </row>
    <row r="1185">
      <c r="A1185" s="10" t="n">
        <v>1169</v>
      </c>
      <c r="B1185" s="14">
        <f>IF(AND($L1185="",$M1185="",$N1185=""),"",IF($L1185&lt;&gt;"",INDEX(LdADate,$L1185),IF($M1185&lt;&gt;"",INDEX(LdBDate,$M1185),INDEX(LdCDate,$N1185))))</f>
        <v/>
      </c>
      <c r="C1185" s="14">
        <f>IF($L1185&lt;&gt;"","دستمزد (فردی)",IF($M1185&lt;&gt;"","سهم از گروه "&amp;IFERROR(VLOOKUP(INDEX(LdBGroup,$M1185),WGTbl,2,0),INDEX(LdBGroup,$M1185)),IF($N1185&lt;&gt;"",IF(N(INDEX(LdCDep,$N1185))&gt;0,"بازگشت بانکی","پرداخت بانکی"),"")))</f>
        <v/>
      </c>
      <c r="D1185" s="14">
        <f>IF($L1185&lt;&gt;"",IF(INDEX(LdAId,$L1185)="","—",INDEX(LdAId,$L1185)),IF($M1185&lt;&gt;"",IF(INDEX(LdBId,$M1185)="","—",INDEX(LdBId,$M1185)),IF($N1185&lt;&gt;"",IF(INDEX(LdCBank,$N1185)="","—",INDEX(LdCBank,$N1185)),"")))</f>
        <v/>
      </c>
      <c r="E1185" s="16">
        <f>IF($L1185&lt;&gt;"",IF(INDEX(LdAAmt,$L1185)=0,"",INDEX(LdAAmt,$L1185)),IF($M1185&lt;&gt;"",IF(INDEX(LdBAmt,$M1185)=0,"",INDEX(LdBAmt,$M1185)),IF($N1185&lt;&gt;"",IF(INDEX(LdCDep,$N1185)=0,"",INDEX(LdCDep,$N1185)),"")))</f>
        <v/>
      </c>
      <c r="F1185" s="16">
        <f>IF(AND($L1185="",$M1185="",$N1185=""),"",IF($N1185="","",IF(INDEX(LdCWit,$N1185)=0,"",INDEX(LdCWit,$N1185))))</f>
        <v/>
      </c>
      <c r="G1185" s="29">
        <f>IF($B1185="","",IF($G1184="",0,$G1184)+IF($E1185="",0,$E1185)-IF($F1185="",0,$F1185))</f>
        <v/>
      </c>
      <c r="H1185" s="30">
        <f>IF(AND($L1185="",$M1185="",$N1185=""),"",IF($L1185&lt;&gt;"",IF(INDEX(LdANote,$L1185)="","—",INDEX(LdANote,$L1185)),IF($M1185&lt;&gt;"",IF(INDEX(LdBNote,$M1185)="","—",INDEX(LdBNote,$M1185)),IF($N1185&lt;&gt;"",IF(INDEX(LdCNote,$N1185)="","—",INDEX(LdCNote,$N1185)),""))))</f>
        <v/>
      </c>
      <c r="L1185">
        <f>IFERROR(MATCH($C$5&amp;"|"&amp;RIGHT("000000"&amp;1169,6),LdAKeyM,0),"")</f>
        <v/>
      </c>
      <c r="M1185">
        <f>IFERROR(MATCH($C$5&amp;"|"&amp;RIGHT("000000"&amp;1169,6),LdBKeyM,0),"")</f>
        <v/>
      </c>
      <c r="N1185">
        <f>IFERROR(MATCH($C$5&amp;"|"&amp;RIGHT("000000"&amp;1169,6),LdCKeyM,0),"")</f>
        <v/>
      </c>
    </row>
    <row r="1186">
      <c r="A1186" s="19" t="n">
        <v>1170</v>
      </c>
      <c r="B1186" s="20">
        <f>IF(AND($L1186="",$M1186="",$N1186=""),"",IF($L1186&lt;&gt;"",INDEX(LdADate,$L1186),IF($M1186&lt;&gt;"",INDEX(LdBDate,$M1186),INDEX(LdCDate,$N1186))))</f>
        <v/>
      </c>
      <c r="C1186" s="20">
        <f>IF($L1186&lt;&gt;"","دستمزد (فردی)",IF($M1186&lt;&gt;"","سهم از گروه "&amp;IFERROR(VLOOKUP(INDEX(LdBGroup,$M1186),WGTbl,2,0),INDEX(LdBGroup,$M1186)),IF($N1186&lt;&gt;"",IF(N(INDEX(LdCDep,$N1186))&gt;0,"بازگشت بانکی","پرداخت بانکی"),"")))</f>
        <v/>
      </c>
      <c r="D1186" s="20">
        <f>IF($L1186&lt;&gt;"",IF(INDEX(LdAId,$L1186)="","—",INDEX(LdAId,$L1186)),IF($M1186&lt;&gt;"",IF(INDEX(LdBId,$M1186)="","—",INDEX(LdBId,$M1186)),IF($N1186&lt;&gt;"",IF(INDEX(LdCBank,$N1186)="","—",INDEX(LdCBank,$N1186)),"")))</f>
        <v/>
      </c>
      <c r="E1186" s="21">
        <f>IF($L1186&lt;&gt;"",IF(INDEX(LdAAmt,$L1186)=0,"",INDEX(LdAAmt,$L1186)),IF($M1186&lt;&gt;"",IF(INDEX(LdBAmt,$M1186)=0,"",INDEX(LdBAmt,$M1186)),IF($N1186&lt;&gt;"",IF(INDEX(LdCDep,$N1186)=0,"",INDEX(LdCDep,$N1186)),"")))</f>
        <v/>
      </c>
      <c r="F1186" s="21">
        <f>IF(AND($L1186="",$M1186="",$N1186=""),"",IF($N1186="","",IF(INDEX(LdCWit,$N1186)=0,"",INDEX(LdCWit,$N1186))))</f>
        <v/>
      </c>
      <c r="G1186" s="31">
        <f>IF($B1186="","",IF($G1185="",0,$G1185)+IF($E1186="",0,$E1186)-IF($F1186="",0,$F1186))</f>
        <v/>
      </c>
      <c r="H1186" s="32">
        <f>IF(AND($L1186="",$M1186="",$N1186=""),"",IF($L1186&lt;&gt;"",IF(INDEX(LdANote,$L1186)="","—",INDEX(LdANote,$L1186)),IF($M1186&lt;&gt;"",IF(INDEX(LdBNote,$M1186)="","—",INDEX(LdBNote,$M1186)),IF($N1186&lt;&gt;"",IF(INDEX(LdCNote,$N1186)="","—",INDEX(LdCNote,$N1186)),""))))</f>
        <v/>
      </c>
      <c r="L1186">
        <f>IFERROR(MATCH($C$5&amp;"|"&amp;RIGHT("000000"&amp;1170,6),LdAKeyM,0),"")</f>
        <v/>
      </c>
      <c r="M1186">
        <f>IFERROR(MATCH($C$5&amp;"|"&amp;RIGHT("000000"&amp;1170,6),LdBKeyM,0),"")</f>
        <v/>
      </c>
      <c r="N1186">
        <f>IFERROR(MATCH($C$5&amp;"|"&amp;RIGHT("000000"&amp;1170,6),LdCKeyM,0),"")</f>
        <v/>
      </c>
    </row>
    <row r="1187">
      <c r="A1187" s="10" t="n">
        <v>1171</v>
      </c>
      <c r="B1187" s="14">
        <f>IF(AND($L1187="",$M1187="",$N1187=""),"",IF($L1187&lt;&gt;"",INDEX(LdADate,$L1187),IF($M1187&lt;&gt;"",INDEX(LdBDate,$M1187),INDEX(LdCDate,$N1187))))</f>
        <v/>
      </c>
      <c r="C1187" s="14">
        <f>IF($L1187&lt;&gt;"","دستمزد (فردی)",IF($M1187&lt;&gt;"","سهم از گروه "&amp;IFERROR(VLOOKUP(INDEX(LdBGroup,$M1187),WGTbl,2,0),INDEX(LdBGroup,$M1187)),IF($N1187&lt;&gt;"",IF(N(INDEX(LdCDep,$N1187))&gt;0,"بازگشت بانکی","پرداخت بانکی"),"")))</f>
        <v/>
      </c>
      <c r="D1187" s="14">
        <f>IF($L1187&lt;&gt;"",IF(INDEX(LdAId,$L1187)="","—",INDEX(LdAId,$L1187)),IF($M1187&lt;&gt;"",IF(INDEX(LdBId,$M1187)="","—",INDEX(LdBId,$M1187)),IF($N1187&lt;&gt;"",IF(INDEX(LdCBank,$N1187)="","—",INDEX(LdCBank,$N1187)),"")))</f>
        <v/>
      </c>
      <c r="E1187" s="16">
        <f>IF($L1187&lt;&gt;"",IF(INDEX(LdAAmt,$L1187)=0,"",INDEX(LdAAmt,$L1187)),IF($M1187&lt;&gt;"",IF(INDEX(LdBAmt,$M1187)=0,"",INDEX(LdBAmt,$M1187)),IF($N1187&lt;&gt;"",IF(INDEX(LdCDep,$N1187)=0,"",INDEX(LdCDep,$N1187)),"")))</f>
        <v/>
      </c>
      <c r="F1187" s="16">
        <f>IF(AND($L1187="",$M1187="",$N1187=""),"",IF($N1187="","",IF(INDEX(LdCWit,$N1187)=0,"",INDEX(LdCWit,$N1187))))</f>
        <v/>
      </c>
      <c r="G1187" s="29">
        <f>IF($B1187="","",IF($G1186="",0,$G1186)+IF($E1187="",0,$E1187)-IF($F1187="",0,$F1187))</f>
        <v/>
      </c>
      <c r="H1187" s="30">
        <f>IF(AND($L1187="",$M1187="",$N1187=""),"",IF($L1187&lt;&gt;"",IF(INDEX(LdANote,$L1187)="","—",INDEX(LdANote,$L1187)),IF($M1187&lt;&gt;"",IF(INDEX(LdBNote,$M1187)="","—",INDEX(LdBNote,$M1187)),IF($N1187&lt;&gt;"",IF(INDEX(LdCNote,$N1187)="","—",INDEX(LdCNote,$N1187)),""))))</f>
        <v/>
      </c>
      <c r="L1187">
        <f>IFERROR(MATCH($C$5&amp;"|"&amp;RIGHT("000000"&amp;1171,6),LdAKeyM,0),"")</f>
        <v/>
      </c>
      <c r="M1187">
        <f>IFERROR(MATCH($C$5&amp;"|"&amp;RIGHT("000000"&amp;1171,6),LdBKeyM,0),"")</f>
        <v/>
      </c>
      <c r="N1187">
        <f>IFERROR(MATCH($C$5&amp;"|"&amp;RIGHT("000000"&amp;1171,6),LdCKeyM,0),"")</f>
        <v/>
      </c>
    </row>
    <row r="1188">
      <c r="A1188" s="19" t="n">
        <v>1172</v>
      </c>
      <c r="B1188" s="20">
        <f>IF(AND($L1188="",$M1188="",$N1188=""),"",IF($L1188&lt;&gt;"",INDEX(LdADate,$L1188),IF($M1188&lt;&gt;"",INDEX(LdBDate,$M1188),INDEX(LdCDate,$N1188))))</f>
        <v/>
      </c>
      <c r="C1188" s="20">
        <f>IF($L1188&lt;&gt;"","دستمزد (فردی)",IF($M1188&lt;&gt;"","سهم از گروه "&amp;IFERROR(VLOOKUP(INDEX(LdBGroup,$M1188),WGTbl,2,0),INDEX(LdBGroup,$M1188)),IF($N1188&lt;&gt;"",IF(N(INDEX(LdCDep,$N1188))&gt;0,"بازگشت بانکی","پرداخت بانکی"),"")))</f>
        <v/>
      </c>
      <c r="D1188" s="20">
        <f>IF($L1188&lt;&gt;"",IF(INDEX(LdAId,$L1188)="","—",INDEX(LdAId,$L1188)),IF($M1188&lt;&gt;"",IF(INDEX(LdBId,$M1188)="","—",INDEX(LdBId,$M1188)),IF($N1188&lt;&gt;"",IF(INDEX(LdCBank,$N1188)="","—",INDEX(LdCBank,$N1188)),"")))</f>
        <v/>
      </c>
      <c r="E1188" s="21">
        <f>IF($L1188&lt;&gt;"",IF(INDEX(LdAAmt,$L1188)=0,"",INDEX(LdAAmt,$L1188)),IF($M1188&lt;&gt;"",IF(INDEX(LdBAmt,$M1188)=0,"",INDEX(LdBAmt,$M1188)),IF($N1188&lt;&gt;"",IF(INDEX(LdCDep,$N1188)=0,"",INDEX(LdCDep,$N1188)),"")))</f>
        <v/>
      </c>
      <c r="F1188" s="21">
        <f>IF(AND($L1188="",$M1188="",$N1188=""),"",IF($N1188="","",IF(INDEX(LdCWit,$N1188)=0,"",INDEX(LdCWit,$N1188))))</f>
        <v/>
      </c>
      <c r="G1188" s="31">
        <f>IF($B1188="","",IF($G1187="",0,$G1187)+IF($E1188="",0,$E1188)-IF($F1188="",0,$F1188))</f>
        <v/>
      </c>
      <c r="H1188" s="32">
        <f>IF(AND($L1188="",$M1188="",$N1188=""),"",IF($L1188&lt;&gt;"",IF(INDEX(LdANote,$L1188)="","—",INDEX(LdANote,$L1188)),IF($M1188&lt;&gt;"",IF(INDEX(LdBNote,$M1188)="","—",INDEX(LdBNote,$M1188)),IF($N1188&lt;&gt;"",IF(INDEX(LdCNote,$N1188)="","—",INDEX(LdCNote,$N1188)),""))))</f>
        <v/>
      </c>
      <c r="L1188">
        <f>IFERROR(MATCH($C$5&amp;"|"&amp;RIGHT("000000"&amp;1172,6),LdAKeyM,0),"")</f>
        <v/>
      </c>
      <c r="M1188">
        <f>IFERROR(MATCH($C$5&amp;"|"&amp;RIGHT("000000"&amp;1172,6),LdBKeyM,0),"")</f>
        <v/>
      </c>
      <c r="N1188">
        <f>IFERROR(MATCH($C$5&amp;"|"&amp;RIGHT("000000"&amp;1172,6),LdCKeyM,0),"")</f>
        <v/>
      </c>
    </row>
    <row r="1189">
      <c r="A1189" s="10" t="n">
        <v>1173</v>
      </c>
      <c r="B1189" s="14">
        <f>IF(AND($L1189="",$M1189="",$N1189=""),"",IF($L1189&lt;&gt;"",INDEX(LdADate,$L1189),IF($M1189&lt;&gt;"",INDEX(LdBDate,$M1189),INDEX(LdCDate,$N1189))))</f>
        <v/>
      </c>
      <c r="C1189" s="14">
        <f>IF($L1189&lt;&gt;"","دستمزد (فردی)",IF($M1189&lt;&gt;"","سهم از گروه "&amp;IFERROR(VLOOKUP(INDEX(LdBGroup,$M1189),WGTbl,2,0),INDEX(LdBGroup,$M1189)),IF($N1189&lt;&gt;"",IF(N(INDEX(LdCDep,$N1189))&gt;0,"بازگشت بانکی","پرداخت بانکی"),"")))</f>
        <v/>
      </c>
      <c r="D1189" s="14">
        <f>IF($L1189&lt;&gt;"",IF(INDEX(LdAId,$L1189)="","—",INDEX(LdAId,$L1189)),IF($M1189&lt;&gt;"",IF(INDEX(LdBId,$M1189)="","—",INDEX(LdBId,$M1189)),IF($N1189&lt;&gt;"",IF(INDEX(LdCBank,$N1189)="","—",INDEX(LdCBank,$N1189)),"")))</f>
        <v/>
      </c>
      <c r="E1189" s="16">
        <f>IF($L1189&lt;&gt;"",IF(INDEX(LdAAmt,$L1189)=0,"",INDEX(LdAAmt,$L1189)),IF($M1189&lt;&gt;"",IF(INDEX(LdBAmt,$M1189)=0,"",INDEX(LdBAmt,$M1189)),IF($N1189&lt;&gt;"",IF(INDEX(LdCDep,$N1189)=0,"",INDEX(LdCDep,$N1189)),"")))</f>
        <v/>
      </c>
      <c r="F1189" s="16">
        <f>IF(AND($L1189="",$M1189="",$N1189=""),"",IF($N1189="","",IF(INDEX(LdCWit,$N1189)=0,"",INDEX(LdCWit,$N1189))))</f>
        <v/>
      </c>
      <c r="G1189" s="29">
        <f>IF($B1189="","",IF($G1188="",0,$G1188)+IF($E1189="",0,$E1189)-IF($F1189="",0,$F1189))</f>
        <v/>
      </c>
      <c r="H1189" s="30">
        <f>IF(AND($L1189="",$M1189="",$N1189=""),"",IF($L1189&lt;&gt;"",IF(INDEX(LdANote,$L1189)="","—",INDEX(LdANote,$L1189)),IF($M1189&lt;&gt;"",IF(INDEX(LdBNote,$M1189)="","—",INDEX(LdBNote,$M1189)),IF($N1189&lt;&gt;"",IF(INDEX(LdCNote,$N1189)="","—",INDEX(LdCNote,$N1189)),""))))</f>
        <v/>
      </c>
      <c r="L1189">
        <f>IFERROR(MATCH($C$5&amp;"|"&amp;RIGHT("000000"&amp;1173,6),LdAKeyM,0),"")</f>
        <v/>
      </c>
      <c r="M1189">
        <f>IFERROR(MATCH($C$5&amp;"|"&amp;RIGHT("000000"&amp;1173,6),LdBKeyM,0),"")</f>
        <v/>
      </c>
      <c r="N1189">
        <f>IFERROR(MATCH($C$5&amp;"|"&amp;RIGHT("000000"&amp;1173,6),LdCKeyM,0),"")</f>
        <v/>
      </c>
    </row>
    <row r="1190">
      <c r="A1190" s="19" t="n">
        <v>1174</v>
      </c>
      <c r="B1190" s="20">
        <f>IF(AND($L1190="",$M1190="",$N1190=""),"",IF($L1190&lt;&gt;"",INDEX(LdADate,$L1190),IF($M1190&lt;&gt;"",INDEX(LdBDate,$M1190),INDEX(LdCDate,$N1190))))</f>
        <v/>
      </c>
      <c r="C1190" s="20">
        <f>IF($L1190&lt;&gt;"","دستمزد (فردی)",IF($M1190&lt;&gt;"","سهم از گروه "&amp;IFERROR(VLOOKUP(INDEX(LdBGroup,$M1190),WGTbl,2,0),INDEX(LdBGroup,$M1190)),IF($N1190&lt;&gt;"",IF(N(INDEX(LdCDep,$N1190))&gt;0,"بازگشت بانکی","پرداخت بانکی"),"")))</f>
        <v/>
      </c>
      <c r="D1190" s="20">
        <f>IF($L1190&lt;&gt;"",IF(INDEX(LdAId,$L1190)="","—",INDEX(LdAId,$L1190)),IF($M1190&lt;&gt;"",IF(INDEX(LdBId,$M1190)="","—",INDEX(LdBId,$M1190)),IF($N1190&lt;&gt;"",IF(INDEX(LdCBank,$N1190)="","—",INDEX(LdCBank,$N1190)),"")))</f>
        <v/>
      </c>
      <c r="E1190" s="21">
        <f>IF($L1190&lt;&gt;"",IF(INDEX(LdAAmt,$L1190)=0,"",INDEX(LdAAmt,$L1190)),IF($M1190&lt;&gt;"",IF(INDEX(LdBAmt,$M1190)=0,"",INDEX(LdBAmt,$M1190)),IF($N1190&lt;&gt;"",IF(INDEX(LdCDep,$N1190)=0,"",INDEX(LdCDep,$N1190)),"")))</f>
        <v/>
      </c>
      <c r="F1190" s="21">
        <f>IF(AND($L1190="",$M1190="",$N1190=""),"",IF($N1190="","",IF(INDEX(LdCWit,$N1190)=0,"",INDEX(LdCWit,$N1190))))</f>
        <v/>
      </c>
      <c r="G1190" s="31">
        <f>IF($B1190="","",IF($G1189="",0,$G1189)+IF($E1190="",0,$E1190)-IF($F1190="",0,$F1190))</f>
        <v/>
      </c>
      <c r="H1190" s="32">
        <f>IF(AND($L1190="",$M1190="",$N1190=""),"",IF($L1190&lt;&gt;"",IF(INDEX(LdANote,$L1190)="","—",INDEX(LdANote,$L1190)),IF($M1190&lt;&gt;"",IF(INDEX(LdBNote,$M1190)="","—",INDEX(LdBNote,$M1190)),IF($N1190&lt;&gt;"",IF(INDEX(LdCNote,$N1190)="","—",INDEX(LdCNote,$N1190)),""))))</f>
        <v/>
      </c>
      <c r="L1190">
        <f>IFERROR(MATCH($C$5&amp;"|"&amp;RIGHT("000000"&amp;1174,6),LdAKeyM,0),"")</f>
        <v/>
      </c>
      <c r="M1190">
        <f>IFERROR(MATCH($C$5&amp;"|"&amp;RIGHT("000000"&amp;1174,6),LdBKeyM,0),"")</f>
        <v/>
      </c>
      <c r="N1190">
        <f>IFERROR(MATCH($C$5&amp;"|"&amp;RIGHT("000000"&amp;1174,6),LdCKeyM,0),"")</f>
        <v/>
      </c>
    </row>
    <row r="1191">
      <c r="A1191" s="10" t="n">
        <v>1175</v>
      </c>
      <c r="B1191" s="14">
        <f>IF(AND($L1191="",$M1191="",$N1191=""),"",IF($L1191&lt;&gt;"",INDEX(LdADate,$L1191),IF($M1191&lt;&gt;"",INDEX(LdBDate,$M1191),INDEX(LdCDate,$N1191))))</f>
        <v/>
      </c>
      <c r="C1191" s="14">
        <f>IF($L1191&lt;&gt;"","دستمزد (فردی)",IF($M1191&lt;&gt;"","سهم از گروه "&amp;IFERROR(VLOOKUP(INDEX(LdBGroup,$M1191),WGTbl,2,0),INDEX(LdBGroup,$M1191)),IF($N1191&lt;&gt;"",IF(N(INDEX(LdCDep,$N1191))&gt;0,"بازگشت بانکی","پرداخت بانکی"),"")))</f>
        <v/>
      </c>
      <c r="D1191" s="14">
        <f>IF($L1191&lt;&gt;"",IF(INDEX(LdAId,$L1191)="","—",INDEX(LdAId,$L1191)),IF($M1191&lt;&gt;"",IF(INDEX(LdBId,$M1191)="","—",INDEX(LdBId,$M1191)),IF($N1191&lt;&gt;"",IF(INDEX(LdCBank,$N1191)="","—",INDEX(LdCBank,$N1191)),"")))</f>
        <v/>
      </c>
      <c r="E1191" s="16">
        <f>IF($L1191&lt;&gt;"",IF(INDEX(LdAAmt,$L1191)=0,"",INDEX(LdAAmt,$L1191)),IF($M1191&lt;&gt;"",IF(INDEX(LdBAmt,$M1191)=0,"",INDEX(LdBAmt,$M1191)),IF($N1191&lt;&gt;"",IF(INDEX(LdCDep,$N1191)=0,"",INDEX(LdCDep,$N1191)),"")))</f>
        <v/>
      </c>
      <c r="F1191" s="16">
        <f>IF(AND($L1191="",$M1191="",$N1191=""),"",IF($N1191="","",IF(INDEX(LdCWit,$N1191)=0,"",INDEX(LdCWit,$N1191))))</f>
        <v/>
      </c>
      <c r="G1191" s="29">
        <f>IF($B1191="","",IF($G1190="",0,$G1190)+IF($E1191="",0,$E1191)-IF($F1191="",0,$F1191))</f>
        <v/>
      </c>
      <c r="H1191" s="30">
        <f>IF(AND($L1191="",$M1191="",$N1191=""),"",IF($L1191&lt;&gt;"",IF(INDEX(LdANote,$L1191)="","—",INDEX(LdANote,$L1191)),IF($M1191&lt;&gt;"",IF(INDEX(LdBNote,$M1191)="","—",INDEX(LdBNote,$M1191)),IF($N1191&lt;&gt;"",IF(INDEX(LdCNote,$N1191)="","—",INDEX(LdCNote,$N1191)),""))))</f>
        <v/>
      </c>
      <c r="L1191">
        <f>IFERROR(MATCH($C$5&amp;"|"&amp;RIGHT("000000"&amp;1175,6),LdAKeyM,0),"")</f>
        <v/>
      </c>
      <c r="M1191">
        <f>IFERROR(MATCH($C$5&amp;"|"&amp;RIGHT("000000"&amp;1175,6),LdBKeyM,0),"")</f>
        <v/>
      </c>
      <c r="N1191">
        <f>IFERROR(MATCH($C$5&amp;"|"&amp;RIGHT("000000"&amp;1175,6),LdCKeyM,0),"")</f>
        <v/>
      </c>
    </row>
    <row r="1192">
      <c r="A1192" s="19" t="n">
        <v>1176</v>
      </c>
      <c r="B1192" s="20">
        <f>IF(AND($L1192="",$M1192="",$N1192=""),"",IF($L1192&lt;&gt;"",INDEX(LdADate,$L1192),IF($M1192&lt;&gt;"",INDEX(LdBDate,$M1192),INDEX(LdCDate,$N1192))))</f>
        <v/>
      </c>
      <c r="C1192" s="20">
        <f>IF($L1192&lt;&gt;"","دستمزد (فردی)",IF($M1192&lt;&gt;"","سهم از گروه "&amp;IFERROR(VLOOKUP(INDEX(LdBGroup,$M1192),WGTbl,2,0),INDEX(LdBGroup,$M1192)),IF($N1192&lt;&gt;"",IF(N(INDEX(LdCDep,$N1192))&gt;0,"بازگشت بانکی","پرداخت بانکی"),"")))</f>
        <v/>
      </c>
      <c r="D1192" s="20">
        <f>IF($L1192&lt;&gt;"",IF(INDEX(LdAId,$L1192)="","—",INDEX(LdAId,$L1192)),IF($M1192&lt;&gt;"",IF(INDEX(LdBId,$M1192)="","—",INDEX(LdBId,$M1192)),IF($N1192&lt;&gt;"",IF(INDEX(LdCBank,$N1192)="","—",INDEX(LdCBank,$N1192)),"")))</f>
        <v/>
      </c>
      <c r="E1192" s="21">
        <f>IF($L1192&lt;&gt;"",IF(INDEX(LdAAmt,$L1192)=0,"",INDEX(LdAAmt,$L1192)),IF($M1192&lt;&gt;"",IF(INDEX(LdBAmt,$M1192)=0,"",INDEX(LdBAmt,$M1192)),IF($N1192&lt;&gt;"",IF(INDEX(LdCDep,$N1192)=0,"",INDEX(LdCDep,$N1192)),"")))</f>
        <v/>
      </c>
      <c r="F1192" s="21">
        <f>IF(AND($L1192="",$M1192="",$N1192=""),"",IF($N1192="","",IF(INDEX(LdCWit,$N1192)=0,"",INDEX(LdCWit,$N1192))))</f>
        <v/>
      </c>
      <c r="G1192" s="31">
        <f>IF($B1192="","",IF($G1191="",0,$G1191)+IF($E1192="",0,$E1192)-IF($F1192="",0,$F1192))</f>
        <v/>
      </c>
      <c r="H1192" s="32">
        <f>IF(AND($L1192="",$M1192="",$N1192=""),"",IF($L1192&lt;&gt;"",IF(INDEX(LdANote,$L1192)="","—",INDEX(LdANote,$L1192)),IF($M1192&lt;&gt;"",IF(INDEX(LdBNote,$M1192)="","—",INDEX(LdBNote,$M1192)),IF($N1192&lt;&gt;"",IF(INDEX(LdCNote,$N1192)="","—",INDEX(LdCNote,$N1192)),""))))</f>
        <v/>
      </c>
      <c r="L1192">
        <f>IFERROR(MATCH($C$5&amp;"|"&amp;RIGHT("000000"&amp;1176,6),LdAKeyM,0),"")</f>
        <v/>
      </c>
      <c r="M1192">
        <f>IFERROR(MATCH($C$5&amp;"|"&amp;RIGHT("000000"&amp;1176,6),LdBKeyM,0),"")</f>
        <v/>
      </c>
      <c r="N1192">
        <f>IFERROR(MATCH($C$5&amp;"|"&amp;RIGHT("000000"&amp;1176,6),LdCKeyM,0),"")</f>
        <v/>
      </c>
    </row>
    <row r="1193">
      <c r="A1193" s="10" t="n">
        <v>1177</v>
      </c>
      <c r="B1193" s="14">
        <f>IF(AND($L1193="",$M1193="",$N1193=""),"",IF($L1193&lt;&gt;"",INDEX(LdADate,$L1193),IF($M1193&lt;&gt;"",INDEX(LdBDate,$M1193),INDEX(LdCDate,$N1193))))</f>
        <v/>
      </c>
      <c r="C1193" s="14">
        <f>IF($L1193&lt;&gt;"","دستمزد (فردی)",IF($M1193&lt;&gt;"","سهم از گروه "&amp;IFERROR(VLOOKUP(INDEX(LdBGroup,$M1193),WGTbl,2,0),INDEX(LdBGroup,$M1193)),IF($N1193&lt;&gt;"",IF(N(INDEX(LdCDep,$N1193))&gt;0,"بازگشت بانکی","پرداخت بانکی"),"")))</f>
        <v/>
      </c>
      <c r="D1193" s="14">
        <f>IF($L1193&lt;&gt;"",IF(INDEX(LdAId,$L1193)="","—",INDEX(LdAId,$L1193)),IF($M1193&lt;&gt;"",IF(INDEX(LdBId,$M1193)="","—",INDEX(LdBId,$M1193)),IF($N1193&lt;&gt;"",IF(INDEX(LdCBank,$N1193)="","—",INDEX(LdCBank,$N1193)),"")))</f>
        <v/>
      </c>
      <c r="E1193" s="16">
        <f>IF($L1193&lt;&gt;"",IF(INDEX(LdAAmt,$L1193)=0,"",INDEX(LdAAmt,$L1193)),IF($M1193&lt;&gt;"",IF(INDEX(LdBAmt,$M1193)=0,"",INDEX(LdBAmt,$M1193)),IF($N1193&lt;&gt;"",IF(INDEX(LdCDep,$N1193)=0,"",INDEX(LdCDep,$N1193)),"")))</f>
        <v/>
      </c>
      <c r="F1193" s="16">
        <f>IF(AND($L1193="",$M1193="",$N1193=""),"",IF($N1193="","",IF(INDEX(LdCWit,$N1193)=0,"",INDEX(LdCWit,$N1193))))</f>
        <v/>
      </c>
      <c r="G1193" s="29">
        <f>IF($B1193="","",IF($G1192="",0,$G1192)+IF($E1193="",0,$E1193)-IF($F1193="",0,$F1193))</f>
        <v/>
      </c>
      <c r="H1193" s="30">
        <f>IF(AND($L1193="",$M1193="",$N1193=""),"",IF($L1193&lt;&gt;"",IF(INDEX(LdANote,$L1193)="","—",INDEX(LdANote,$L1193)),IF($M1193&lt;&gt;"",IF(INDEX(LdBNote,$M1193)="","—",INDEX(LdBNote,$M1193)),IF($N1193&lt;&gt;"",IF(INDEX(LdCNote,$N1193)="","—",INDEX(LdCNote,$N1193)),""))))</f>
        <v/>
      </c>
      <c r="L1193">
        <f>IFERROR(MATCH($C$5&amp;"|"&amp;RIGHT("000000"&amp;1177,6),LdAKeyM,0),"")</f>
        <v/>
      </c>
      <c r="M1193">
        <f>IFERROR(MATCH($C$5&amp;"|"&amp;RIGHT("000000"&amp;1177,6),LdBKeyM,0),"")</f>
        <v/>
      </c>
      <c r="N1193">
        <f>IFERROR(MATCH($C$5&amp;"|"&amp;RIGHT("000000"&amp;1177,6),LdCKeyM,0),"")</f>
        <v/>
      </c>
    </row>
    <row r="1194">
      <c r="A1194" s="19" t="n">
        <v>1178</v>
      </c>
      <c r="B1194" s="20">
        <f>IF(AND($L1194="",$M1194="",$N1194=""),"",IF($L1194&lt;&gt;"",INDEX(LdADate,$L1194),IF($M1194&lt;&gt;"",INDEX(LdBDate,$M1194),INDEX(LdCDate,$N1194))))</f>
        <v/>
      </c>
      <c r="C1194" s="20">
        <f>IF($L1194&lt;&gt;"","دستمزد (فردی)",IF($M1194&lt;&gt;"","سهم از گروه "&amp;IFERROR(VLOOKUP(INDEX(LdBGroup,$M1194),WGTbl,2,0),INDEX(LdBGroup,$M1194)),IF($N1194&lt;&gt;"",IF(N(INDEX(LdCDep,$N1194))&gt;0,"بازگشت بانکی","پرداخت بانکی"),"")))</f>
        <v/>
      </c>
      <c r="D1194" s="20">
        <f>IF($L1194&lt;&gt;"",IF(INDEX(LdAId,$L1194)="","—",INDEX(LdAId,$L1194)),IF($M1194&lt;&gt;"",IF(INDEX(LdBId,$M1194)="","—",INDEX(LdBId,$M1194)),IF($N1194&lt;&gt;"",IF(INDEX(LdCBank,$N1194)="","—",INDEX(LdCBank,$N1194)),"")))</f>
        <v/>
      </c>
      <c r="E1194" s="21">
        <f>IF($L1194&lt;&gt;"",IF(INDEX(LdAAmt,$L1194)=0,"",INDEX(LdAAmt,$L1194)),IF($M1194&lt;&gt;"",IF(INDEX(LdBAmt,$M1194)=0,"",INDEX(LdBAmt,$M1194)),IF($N1194&lt;&gt;"",IF(INDEX(LdCDep,$N1194)=0,"",INDEX(LdCDep,$N1194)),"")))</f>
        <v/>
      </c>
      <c r="F1194" s="21">
        <f>IF(AND($L1194="",$M1194="",$N1194=""),"",IF($N1194="","",IF(INDEX(LdCWit,$N1194)=0,"",INDEX(LdCWit,$N1194))))</f>
        <v/>
      </c>
      <c r="G1194" s="31">
        <f>IF($B1194="","",IF($G1193="",0,$G1193)+IF($E1194="",0,$E1194)-IF($F1194="",0,$F1194))</f>
        <v/>
      </c>
      <c r="H1194" s="32">
        <f>IF(AND($L1194="",$M1194="",$N1194=""),"",IF($L1194&lt;&gt;"",IF(INDEX(LdANote,$L1194)="","—",INDEX(LdANote,$L1194)),IF($M1194&lt;&gt;"",IF(INDEX(LdBNote,$M1194)="","—",INDEX(LdBNote,$M1194)),IF($N1194&lt;&gt;"",IF(INDEX(LdCNote,$N1194)="","—",INDEX(LdCNote,$N1194)),""))))</f>
        <v/>
      </c>
      <c r="L1194">
        <f>IFERROR(MATCH($C$5&amp;"|"&amp;RIGHT("000000"&amp;1178,6),LdAKeyM,0),"")</f>
        <v/>
      </c>
      <c r="M1194">
        <f>IFERROR(MATCH($C$5&amp;"|"&amp;RIGHT("000000"&amp;1178,6),LdBKeyM,0),"")</f>
        <v/>
      </c>
      <c r="N1194">
        <f>IFERROR(MATCH($C$5&amp;"|"&amp;RIGHT("000000"&amp;1178,6),LdCKeyM,0),"")</f>
        <v/>
      </c>
    </row>
    <row r="1195">
      <c r="A1195" s="10" t="n">
        <v>1179</v>
      </c>
      <c r="B1195" s="14">
        <f>IF(AND($L1195="",$M1195="",$N1195=""),"",IF($L1195&lt;&gt;"",INDEX(LdADate,$L1195),IF($M1195&lt;&gt;"",INDEX(LdBDate,$M1195),INDEX(LdCDate,$N1195))))</f>
        <v/>
      </c>
      <c r="C1195" s="14">
        <f>IF($L1195&lt;&gt;"","دستمزد (فردی)",IF($M1195&lt;&gt;"","سهم از گروه "&amp;IFERROR(VLOOKUP(INDEX(LdBGroup,$M1195),WGTbl,2,0),INDEX(LdBGroup,$M1195)),IF($N1195&lt;&gt;"",IF(N(INDEX(LdCDep,$N1195))&gt;0,"بازگشت بانکی","پرداخت بانکی"),"")))</f>
        <v/>
      </c>
      <c r="D1195" s="14">
        <f>IF($L1195&lt;&gt;"",IF(INDEX(LdAId,$L1195)="","—",INDEX(LdAId,$L1195)),IF($M1195&lt;&gt;"",IF(INDEX(LdBId,$M1195)="","—",INDEX(LdBId,$M1195)),IF($N1195&lt;&gt;"",IF(INDEX(LdCBank,$N1195)="","—",INDEX(LdCBank,$N1195)),"")))</f>
        <v/>
      </c>
      <c r="E1195" s="16">
        <f>IF($L1195&lt;&gt;"",IF(INDEX(LdAAmt,$L1195)=0,"",INDEX(LdAAmt,$L1195)),IF($M1195&lt;&gt;"",IF(INDEX(LdBAmt,$M1195)=0,"",INDEX(LdBAmt,$M1195)),IF($N1195&lt;&gt;"",IF(INDEX(LdCDep,$N1195)=0,"",INDEX(LdCDep,$N1195)),"")))</f>
        <v/>
      </c>
      <c r="F1195" s="16">
        <f>IF(AND($L1195="",$M1195="",$N1195=""),"",IF($N1195="","",IF(INDEX(LdCWit,$N1195)=0,"",INDEX(LdCWit,$N1195))))</f>
        <v/>
      </c>
      <c r="G1195" s="29">
        <f>IF($B1195="","",IF($G1194="",0,$G1194)+IF($E1195="",0,$E1195)-IF($F1195="",0,$F1195))</f>
        <v/>
      </c>
      <c r="H1195" s="30">
        <f>IF(AND($L1195="",$M1195="",$N1195=""),"",IF($L1195&lt;&gt;"",IF(INDEX(LdANote,$L1195)="","—",INDEX(LdANote,$L1195)),IF($M1195&lt;&gt;"",IF(INDEX(LdBNote,$M1195)="","—",INDEX(LdBNote,$M1195)),IF($N1195&lt;&gt;"",IF(INDEX(LdCNote,$N1195)="","—",INDEX(LdCNote,$N1195)),""))))</f>
        <v/>
      </c>
      <c r="L1195">
        <f>IFERROR(MATCH($C$5&amp;"|"&amp;RIGHT("000000"&amp;1179,6),LdAKeyM,0),"")</f>
        <v/>
      </c>
      <c r="M1195">
        <f>IFERROR(MATCH($C$5&amp;"|"&amp;RIGHT("000000"&amp;1179,6),LdBKeyM,0),"")</f>
        <v/>
      </c>
      <c r="N1195">
        <f>IFERROR(MATCH($C$5&amp;"|"&amp;RIGHT("000000"&amp;1179,6),LdCKeyM,0),"")</f>
        <v/>
      </c>
    </row>
    <row r="1196">
      <c r="A1196" s="19" t="n">
        <v>1180</v>
      </c>
      <c r="B1196" s="20">
        <f>IF(AND($L1196="",$M1196="",$N1196=""),"",IF($L1196&lt;&gt;"",INDEX(LdADate,$L1196),IF($M1196&lt;&gt;"",INDEX(LdBDate,$M1196),INDEX(LdCDate,$N1196))))</f>
        <v/>
      </c>
      <c r="C1196" s="20">
        <f>IF($L1196&lt;&gt;"","دستمزد (فردی)",IF($M1196&lt;&gt;"","سهم از گروه "&amp;IFERROR(VLOOKUP(INDEX(LdBGroup,$M1196),WGTbl,2,0),INDEX(LdBGroup,$M1196)),IF($N1196&lt;&gt;"",IF(N(INDEX(LdCDep,$N1196))&gt;0,"بازگشت بانکی","پرداخت بانکی"),"")))</f>
        <v/>
      </c>
      <c r="D1196" s="20">
        <f>IF($L1196&lt;&gt;"",IF(INDEX(LdAId,$L1196)="","—",INDEX(LdAId,$L1196)),IF($M1196&lt;&gt;"",IF(INDEX(LdBId,$M1196)="","—",INDEX(LdBId,$M1196)),IF($N1196&lt;&gt;"",IF(INDEX(LdCBank,$N1196)="","—",INDEX(LdCBank,$N1196)),"")))</f>
        <v/>
      </c>
      <c r="E1196" s="21">
        <f>IF($L1196&lt;&gt;"",IF(INDEX(LdAAmt,$L1196)=0,"",INDEX(LdAAmt,$L1196)),IF($M1196&lt;&gt;"",IF(INDEX(LdBAmt,$M1196)=0,"",INDEX(LdBAmt,$M1196)),IF($N1196&lt;&gt;"",IF(INDEX(LdCDep,$N1196)=0,"",INDEX(LdCDep,$N1196)),"")))</f>
        <v/>
      </c>
      <c r="F1196" s="21">
        <f>IF(AND($L1196="",$M1196="",$N1196=""),"",IF($N1196="","",IF(INDEX(LdCWit,$N1196)=0,"",INDEX(LdCWit,$N1196))))</f>
        <v/>
      </c>
      <c r="G1196" s="31">
        <f>IF($B1196="","",IF($G1195="",0,$G1195)+IF($E1196="",0,$E1196)-IF($F1196="",0,$F1196))</f>
        <v/>
      </c>
      <c r="H1196" s="32">
        <f>IF(AND($L1196="",$M1196="",$N1196=""),"",IF($L1196&lt;&gt;"",IF(INDEX(LdANote,$L1196)="","—",INDEX(LdANote,$L1196)),IF($M1196&lt;&gt;"",IF(INDEX(LdBNote,$M1196)="","—",INDEX(LdBNote,$M1196)),IF($N1196&lt;&gt;"",IF(INDEX(LdCNote,$N1196)="","—",INDEX(LdCNote,$N1196)),""))))</f>
        <v/>
      </c>
      <c r="L1196">
        <f>IFERROR(MATCH($C$5&amp;"|"&amp;RIGHT("000000"&amp;1180,6),LdAKeyM,0),"")</f>
        <v/>
      </c>
      <c r="M1196">
        <f>IFERROR(MATCH($C$5&amp;"|"&amp;RIGHT("000000"&amp;1180,6),LdBKeyM,0),"")</f>
        <v/>
      </c>
      <c r="N1196">
        <f>IFERROR(MATCH($C$5&amp;"|"&amp;RIGHT("000000"&amp;1180,6),LdCKeyM,0),"")</f>
        <v/>
      </c>
    </row>
    <row r="1197">
      <c r="A1197" s="10" t="n">
        <v>1181</v>
      </c>
      <c r="B1197" s="14">
        <f>IF(AND($L1197="",$M1197="",$N1197=""),"",IF($L1197&lt;&gt;"",INDEX(LdADate,$L1197),IF($M1197&lt;&gt;"",INDEX(LdBDate,$M1197),INDEX(LdCDate,$N1197))))</f>
        <v/>
      </c>
      <c r="C1197" s="14">
        <f>IF($L1197&lt;&gt;"","دستمزد (فردی)",IF($M1197&lt;&gt;"","سهم از گروه "&amp;IFERROR(VLOOKUP(INDEX(LdBGroup,$M1197),WGTbl,2,0),INDEX(LdBGroup,$M1197)),IF($N1197&lt;&gt;"",IF(N(INDEX(LdCDep,$N1197))&gt;0,"بازگشت بانکی","پرداخت بانکی"),"")))</f>
        <v/>
      </c>
      <c r="D1197" s="14">
        <f>IF($L1197&lt;&gt;"",IF(INDEX(LdAId,$L1197)="","—",INDEX(LdAId,$L1197)),IF($M1197&lt;&gt;"",IF(INDEX(LdBId,$M1197)="","—",INDEX(LdBId,$M1197)),IF($N1197&lt;&gt;"",IF(INDEX(LdCBank,$N1197)="","—",INDEX(LdCBank,$N1197)),"")))</f>
        <v/>
      </c>
      <c r="E1197" s="16">
        <f>IF($L1197&lt;&gt;"",IF(INDEX(LdAAmt,$L1197)=0,"",INDEX(LdAAmt,$L1197)),IF($M1197&lt;&gt;"",IF(INDEX(LdBAmt,$M1197)=0,"",INDEX(LdBAmt,$M1197)),IF($N1197&lt;&gt;"",IF(INDEX(LdCDep,$N1197)=0,"",INDEX(LdCDep,$N1197)),"")))</f>
        <v/>
      </c>
      <c r="F1197" s="16">
        <f>IF(AND($L1197="",$M1197="",$N1197=""),"",IF($N1197="","",IF(INDEX(LdCWit,$N1197)=0,"",INDEX(LdCWit,$N1197))))</f>
        <v/>
      </c>
      <c r="G1197" s="29">
        <f>IF($B1197="","",IF($G1196="",0,$G1196)+IF($E1197="",0,$E1197)-IF($F1197="",0,$F1197))</f>
        <v/>
      </c>
      <c r="H1197" s="30">
        <f>IF(AND($L1197="",$M1197="",$N1197=""),"",IF($L1197&lt;&gt;"",IF(INDEX(LdANote,$L1197)="","—",INDEX(LdANote,$L1197)),IF($M1197&lt;&gt;"",IF(INDEX(LdBNote,$M1197)="","—",INDEX(LdBNote,$M1197)),IF($N1197&lt;&gt;"",IF(INDEX(LdCNote,$N1197)="","—",INDEX(LdCNote,$N1197)),""))))</f>
        <v/>
      </c>
      <c r="L1197">
        <f>IFERROR(MATCH($C$5&amp;"|"&amp;RIGHT("000000"&amp;1181,6),LdAKeyM,0),"")</f>
        <v/>
      </c>
      <c r="M1197">
        <f>IFERROR(MATCH($C$5&amp;"|"&amp;RIGHT("000000"&amp;1181,6),LdBKeyM,0),"")</f>
        <v/>
      </c>
      <c r="N1197">
        <f>IFERROR(MATCH($C$5&amp;"|"&amp;RIGHT("000000"&amp;1181,6),LdCKeyM,0),"")</f>
        <v/>
      </c>
    </row>
    <row r="1198">
      <c r="A1198" s="19" t="n">
        <v>1182</v>
      </c>
      <c r="B1198" s="20">
        <f>IF(AND($L1198="",$M1198="",$N1198=""),"",IF($L1198&lt;&gt;"",INDEX(LdADate,$L1198),IF($M1198&lt;&gt;"",INDEX(LdBDate,$M1198),INDEX(LdCDate,$N1198))))</f>
        <v/>
      </c>
      <c r="C1198" s="20">
        <f>IF($L1198&lt;&gt;"","دستمزد (فردی)",IF($M1198&lt;&gt;"","سهم از گروه "&amp;IFERROR(VLOOKUP(INDEX(LdBGroup,$M1198),WGTbl,2,0),INDEX(LdBGroup,$M1198)),IF($N1198&lt;&gt;"",IF(N(INDEX(LdCDep,$N1198))&gt;0,"بازگشت بانکی","پرداخت بانکی"),"")))</f>
        <v/>
      </c>
      <c r="D1198" s="20">
        <f>IF($L1198&lt;&gt;"",IF(INDEX(LdAId,$L1198)="","—",INDEX(LdAId,$L1198)),IF($M1198&lt;&gt;"",IF(INDEX(LdBId,$M1198)="","—",INDEX(LdBId,$M1198)),IF($N1198&lt;&gt;"",IF(INDEX(LdCBank,$N1198)="","—",INDEX(LdCBank,$N1198)),"")))</f>
        <v/>
      </c>
      <c r="E1198" s="21">
        <f>IF($L1198&lt;&gt;"",IF(INDEX(LdAAmt,$L1198)=0,"",INDEX(LdAAmt,$L1198)),IF($M1198&lt;&gt;"",IF(INDEX(LdBAmt,$M1198)=0,"",INDEX(LdBAmt,$M1198)),IF($N1198&lt;&gt;"",IF(INDEX(LdCDep,$N1198)=0,"",INDEX(LdCDep,$N1198)),"")))</f>
        <v/>
      </c>
      <c r="F1198" s="21">
        <f>IF(AND($L1198="",$M1198="",$N1198=""),"",IF($N1198="","",IF(INDEX(LdCWit,$N1198)=0,"",INDEX(LdCWit,$N1198))))</f>
        <v/>
      </c>
      <c r="G1198" s="31">
        <f>IF($B1198="","",IF($G1197="",0,$G1197)+IF($E1198="",0,$E1198)-IF($F1198="",0,$F1198))</f>
        <v/>
      </c>
      <c r="H1198" s="32">
        <f>IF(AND($L1198="",$M1198="",$N1198=""),"",IF($L1198&lt;&gt;"",IF(INDEX(LdANote,$L1198)="","—",INDEX(LdANote,$L1198)),IF($M1198&lt;&gt;"",IF(INDEX(LdBNote,$M1198)="","—",INDEX(LdBNote,$M1198)),IF($N1198&lt;&gt;"",IF(INDEX(LdCNote,$N1198)="","—",INDEX(LdCNote,$N1198)),""))))</f>
        <v/>
      </c>
      <c r="L1198">
        <f>IFERROR(MATCH($C$5&amp;"|"&amp;RIGHT("000000"&amp;1182,6),LdAKeyM,0),"")</f>
        <v/>
      </c>
      <c r="M1198">
        <f>IFERROR(MATCH($C$5&amp;"|"&amp;RIGHT("000000"&amp;1182,6),LdBKeyM,0),"")</f>
        <v/>
      </c>
      <c r="N1198">
        <f>IFERROR(MATCH($C$5&amp;"|"&amp;RIGHT("000000"&amp;1182,6),LdCKeyM,0),"")</f>
        <v/>
      </c>
    </row>
    <row r="1199">
      <c r="A1199" s="10" t="n">
        <v>1183</v>
      </c>
      <c r="B1199" s="14">
        <f>IF(AND($L1199="",$M1199="",$N1199=""),"",IF($L1199&lt;&gt;"",INDEX(LdADate,$L1199),IF($M1199&lt;&gt;"",INDEX(LdBDate,$M1199),INDEX(LdCDate,$N1199))))</f>
        <v/>
      </c>
      <c r="C1199" s="14">
        <f>IF($L1199&lt;&gt;"","دستمزد (فردی)",IF($M1199&lt;&gt;"","سهم از گروه "&amp;IFERROR(VLOOKUP(INDEX(LdBGroup,$M1199),WGTbl,2,0),INDEX(LdBGroup,$M1199)),IF($N1199&lt;&gt;"",IF(N(INDEX(LdCDep,$N1199))&gt;0,"بازگشت بانکی","پرداخت بانکی"),"")))</f>
        <v/>
      </c>
      <c r="D1199" s="14">
        <f>IF($L1199&lt;&gt;"",IF(INDEX(LdAId,$L1199)="","—",INDEX(LdAId,$L1199)),IF($M1199&lt;&gt;"",IF(INDEX(LdBId,$M1199)="","—",INDEX(LdBId,$M1199)),IF($N1199&lt;&gt;"",IF(INDEX(LdCBank,$N1199)="","—",INDEX(LdCBank,$N1199)),"")))</f>
        <v/>
      </c>
      <c r="E1199" s="16">
        <f>IF($L1199&lt;&gt;"",IF(INDEX(LdAAmt,$L1199)=0,"",INDEX(LdAAmt,$L1199)),IF($M1199&lt;&gt;"",IF(INDEX(LdBAmt,$M1199)=0,"",INDEX(LdBAmt,$M1199)),IF($N1199&lt;&gt;"",IF(INDEX(LdCDep,$N1199)=0,"",INDEX(LdCDep,$N1199)),"")))</f>
        <v/>
      </c>
      <c r="F1199" s="16">
        <f>IF(AND($L1199="",$M1199="",$N1199=""),"",IF($N1199="","",IF(INDEX(LdCWit,$N1199)=0,"",INDEX(LdCWit,$N1199))))</f>
        <v/>
      </c>
      <c r="G1199" s="29">
        <f>IF($B1199="","",IF($G1198="",0,$G1198)+IF($E1199="",0,$E1199)-IF($F1199="",0,$F1199))</f>
        <v/>
      </c>
      <c r="H1199" s="30">
        <f>IF(AND($L1199="",$M1199="",$N1199=""),"",IF($L1199&lt;&gt;"",IF(INDEX(LdANote,$L1199)="","—",INDEX(LdANote,$L1199)),IF($M1199&lt;&gt;"",IF(INDEX(LdBNote,$M1199)="","—",INDEX(LdBNote,$M1199)),IF($N1199&lt;&gt;"",IF(INDEX(LdCNote,$N1199)="","—",INDEX(LdCNote,$N1199)),""))))</f>
        <v/>
      </c>
      <c r="L1199">
        <f>IFERROR(MATCH($C$5&amp;"|"&amp;RIGHT("000000"&amp;1183,6),LdAKeyM,0),"")</f>
        <v/>
      </c>
      <c r="M1199">
        <f>IFERROR(MATCH($C$5&amp;"|"&amp;RIGHT("000000"&amp;1183,6),LdBKeyM,0),"")</f>
        <v/>
      </c>
      <c r="N1199">
        <f>IFERROR(MATCH($C$5&amp;"|"&amp;RIGHT("000000"&amp;1183,6),LdCKeyM,0),"")</f>
        <v/>
      </c>
    </row>
    <row r="1200">
      <c r="A1200" s="19" t="n">
        <v>1184</v>
      </c>
      <c r="B1200" s="20">
        <f>IF(AND($L1200="",$M1200="",$N1200=""),"",IF($L1200&lt;&gt;"",INDEX(LdADate,$L1200),IF($M1200&lt;&gt;"",INDEX(LdBDate,$M1200),INDEX(LdCDate,$N1200))))</f>
        <v/>
      </c>
      <c r="C1200" s="20">
        <f>IF($L1200&lt;&gt;"","دستمزد (فردی)",IF($M1200&lt;&gt;"","سهم از گروه "&amp;IFERROR(VLOOKUP(INDEX(LdBGroup,$M1200),WGTbl,2,0),INDEX(LdBGroup,$M1200)),IF($N1200&lt;&gt;"",IF(N(INDEX(LdCDep,$N1200))&gt;0,"بازگشت بانکی","پرداخت بانکی"),"")))</f>
        <v/>
      </c>
      <c r="D1200" s="20">
        <f>IF($L1200&lt;&gt;"",IF(INDEX(LdAId,$L1200)="","—",INDEX(LdAId,$L1200)),IF($M1200&lt;&gt;"",IF(INDEX(LdBId,$M1200)="","—",INDEX(LdBId,$M1200)),IF($N1200&lt;&gt;"",IF(INDEX(LdCBank,$N1200)="","—",INDEX(LdCBank,$N1200)),"")))</f>
        <v/>
      </c>
      <c r="E1200" s="21">
        <f>IF($L1200&lt;&gt;"",IF(INDEX(LdAAmt,$L1200)=0,"",INDEX(LdAAmt,$L1200)),IF($M1200&lt;&gt;"",IF(INDEX(LdBAmt,$M1200)=0,"",INDEX(LdBAmt,$M1200)),IF($N1200&lt;&gt;"",IF(INDEX(LdCDep,$N1200)=0,"",INDEX(LdCDep,$N1200)),"")))</f>
        <v/>
      </c>
      <c r="F1200" s="21">
        <f>IF(AND($L1200="",$M1200="",$N1200=""),"",IF($N1200="","",IF(INDEX(LdCWit,$N1200)=0,"",INDEX(LdCWit,$N1200))))</f>
        <v/>
      </c>
      <c r="G1200" s="31">
        <f>IF($B1200="","",IF($G1199="",0,$G1199)+IF($E1200="",0,$E1200)-IF($F1200="",0,$F1200))</f>
        <v/>
      </c>
      <c r="H1200" s="32">
        <f>IF(AND($L1200="",$M1200="",$N1200=""),"",IF($L1200&lt;&gt;"",IF(INDEX(LdANote,$L1200)="","—",INDEX(LdANote,$L1200)),IF($M1200&lt;&gt;"",IF(INDEX(LdBNote,$M1200)="","—",INDEX(LdBNote,$M1200)),IF($N1200&lt;&gt;"",IF(INDEX(LdCNote,$N1200)="","—",INDEX(LdCNote,$N1200)),""))))</f>
        <v/>
      </c>
      <c r="L1200">
        <f>IFERROR(MATCH($C$5&amp;"|"&amp;RIGHT("000000"&amp;1184,6),LdAKeyM,0),"")</f>
        <v/>
      </c>
      <c r="M1200">
        <f>IFERROR(MATCH($C$5&amp;"|"&amp;RIGHT("000000"&amp;1184,6),LdBKeyM,0),"")</f>
        <v/>
      </c>
      <c r="N1200">
        <f>IFERROR(MATCH($C$5&amp;"|"&amp;RIGHT("000000"&amp;1184,6),LdCKeyM,0),"")</f>
        <v/>
      </c>
    </row>
    <row r="1201">
      <c r="A1201" s="10" t="n">
        <v>1185</v>
      </c>
      <c r="B1201" s="14">
        <f>IF(AND($L1201="",$M1201="",$N1201=""),"",IF($L1201&lt;&gt;"",INDEX(LdADate,$L1201),IF($M1201&lt;&gt;"",INDEX(LdBDate,$M1201),INDEX(LdCDate,$N1201))))</f>
        <v/>
      </c>
      <c r="C1201" s="14">
        <f>IF($L1201&lt;&gt;"","دستمزد (فردی)",IF($M1201&lt;&gt;"","سهم از گروه "&amp;IFERROR(VLOOKUP(INDEX(LdBGroup,$M1201),WGTbl,2,0),INDEX(LdBGroup,$M1201)),IF($N1201&lt;&gt;"",IF(N(INDEX(LdCDep,$N1201))&gt;0,"بازگشت بانکی","پرداخت بانکی"),"")))</f>
        <v/>
      </c>
      <c r="D1201" s="14">
        <f>IF($L1201&lt;&gt;"",IF(INDEX(LdAId,$L1201)="","—",INDEX(LdAId,$L1201)),IF($M1201&lt;&gt;"",IF(INDEX(LdBId,$M1201)="","—",INDEX(LdBId,$M1201)),IF($N1201&lt;&gt;"",IF(INDEX(LdCBank,$N1201)="","—",INDEX(LdCBank,$N1201)),"")))</f>
        <v/>
      </c>
      <c r="E1201" s="16">
        <f>IF($L1201&lt;&gt;"",IF(INDEX(LdAAmt,$L1201)=0,"",INDEX(LdAAmt,$L1201)),IF($M1201&lt;&gt;"",IF(INDEX(LdBAmt,$M1201)=0,"",INDEX(LdBAmt,$M1201)),IF($N1201&lt;&gt;"",IF(INDEX(LdCDep,$N1201)=0,"",INDEX(LdCDep,$N1201)),"")))</f>
        <v/>
      </c>
      <c r="F1201" s="16">
        <f>IF(AND($L1201="",$M1201="",$N1201=""),"",IF($N1201="","",IF(INDEX(LdCWit,$N1201)=0,"",INDEX(LdCWit,$N1201))))</f>
        <v/>
      </c>
      <c r="G1201" s="29">
        <f>IF($B1201="","",IF($G1200="",0,$G1200)+IF($E1201="",0,$E1201)-IF($F1201="",0,$F1201))</f>
        <v/>
      </c>
      <c r="H1201" s="30">
        <f>IF(AND($L1201="",$M1201="",$N1201=""),"",IF($L1201&lt;&gt;"",IF(INDEX(LdANote,$L1201)="","—",INDEX(LdANote,$L1201)),IF($M1201&lt;&gt;"",IF(INDEX(LdBNote,$M1201)="","—",INDEX(LdBNote,$M1201)),IF($N1201&lt;&gt;"",IF(INDEX(LdCNote,$N1201)="","—",INDEX(LdCNote,$N1201)),""))))</f>
        <v/>
      </c>
      <c r="L1201">
        <f>IFERROR(MATCH($C$5&amp;"|"&amp;RIGHT("000000"&amp;1185,6),LdAKeyM,0),"")</f>
        <v/>
      </c>
      <c r="M1201">
        <f>IFERROR(MATCH($C$5&amp;"|"&amp;RIGHT("000000"&amp;1185,6),LdBKeyM,0),"")</f>
        <v/>
      </c>
      <c r="N1201">
        <f>IFERROR(MATCH($C$5&amp;"|"&amp;RIGHT("000000"&amp;1185,6),LdCKeyM,0),"")</f>
        <v/>
      </c>
    </row>
    <row r="1202">
      <c r="A1202" s="19" t="n">
        <v>1186</v>
      </c>
      <c r="B1202" s="20">
        <f>IF(AND($L1202="",$M1202="",$N1202=""),"",IF($L1202&lt;&gt;"",INDEX(LdADate,$L1202),IF($M1202&lt;&gt;"",INDEX(LdBDate,$M1202),INDEX(LdCDate,$N1202))))</f>
        <v/>
      </c>
      <c r="C1202" s="20">
        <f>IF($L1202&lt;&gt;"","دستمزد (فردی)",IF($M1202&lt;&gt;"","سهم از گروه "&amp;IFERROR(VLOOKUP(INDEX(LdBGroup,$M1202),WGTbl,2,0),INDEX(LdBGroup,$M1202)),IF($N1202&lt;&gt;"",IF(N(INDEX(LdCDep,$N1202))&gt;0,"بازگشت بانکی","پرداخت بانکی"),"")))</f>
        <v/>
      </c>
      <c r="D1202" s="20">
        <f>IF($L1202&lt;&gt;"",IF(INDEX(LdAId,$L1202)="","—",INDEX(LdAId,$L1202)),IF($M1202&lt;&gt;"",IF(INDEX(LdBId,$M1202)="","—",INDEX(LdBId,$M1202)),IF($N1202&lt;&gt;"",IF(INDEX(LdCBank,$N1202)="","—",INDEX(LdCBank,$N1202)),"")))</f>
        <v/>
      </c>
      <c r="E1202" s="21">
        <f>IF($L1202&lt;&gt;"",IF(INDEX(LdAAmt,$L1202)=0,"",INDEX(LdAAmt,$L1202)),IF($M1202&lt;&gt;"",IF(INDEX(LdBAmt,$M1202)=0,"",INDEX(LdBAmt,$M1202)),IF($N1202&lt;&gt;"",IF(INDEX(LdCDep,$N1202)=0,"",INDEX(LdCDep,$N1202)),"")))</f>
        <v/>
      </c>
      <c r="F1202" s="21">
        <f>IF(AND($L1202="",$M1202="",$N1202=""),"",IF($N1202="","",IF(INDEX(LdCWit,$N1202)=0,"",INDEX(LdCWit,$N1202))))</f>
        <v/>
      </c>
      <c r="G1202" s="31">
        <f>IF($B1202="","",IF($G1201="",0,$G1201)+IF($E1202="",0,$E1202)-IF($F1202="",0,$F1202))</f>
        <v/>
      </c>
      <c r="H1202" s="32">
        <f>IF(AND($L1202="",$M1202="",$N1202=""),"",IF($L1202&lt;&gt;"",IF(INDEX(LdANote,$L1202)="","—",INDEX(LdANote,$L1202)),IF($M1202&lt;&gt;"",IF(INDEX(LdBNote,$M1202)="","—",INDEX(LdBNote,$M1202)),IF($N1202&lt;&gt;"",IF(INDEX(LdCNote,$N1202)="","—",INDEX(LdCNote,$N1202)),""))))</f>
        <v/>
      </c>
      <c r="L1202">
        <f>IFERROR(MATCH($C$5&amp;"|"&amp;RIGHT("000000"&amp;1186,6),LdAKeyM,0),"")</f>
        <v/>
      </c>
      <c r="M1202">
        <f>IFERROR(MATCH($C$5&amp;"|"&amp;RIGHT("000000"&amp;1186,6),LdBKeyM,0),"")</f>
        <v/>
      </c>
      <c r="N1202">
        <f>IFERROR(MATCH($C$5&amp;"|"&amp;RIGHT("000000"&amp;1186,6),LdCKeyM,0),"")</f>
        <v/>
      </c>
    </row>
    <row r="1203">
      <c r="A1203" s="10" t="n">
        <v>1187</v>
      </c>
      <c r="B1203" s="14">
        <f>IF(AND($L1203="",$M1203="",$N1203=""),"",IF($L1203&lt;&gt;"",INDEX(LdADate,$L1203),IF($M1203&lt;&gt;"",INDEX(LdBDate,$M1203),INDEX(LdCDate,$N1203))))</f>
        <v/>
      </c>
      <c r="C1203" s="14">
        <f>IF($L1203&lt;&gt;"","دستمزد (فردی)",IF($M1203&lt;&gt;"","سهم از گروه "&amp;IFERROR(VLOOKUP(INDEX(LdBGroup,$M1203),WGTbl,2,0),INDEX(LdBGroup,$M1203)),IF($N1203&lt;&gt;"",IF(N(INDEX(LdCDep,$N1203))&gt;0,"بازگشت بانکی","پرداخت بانکی"),"")))</f>
        <v/>
      </c>
      <c r="D1203" s="14">
        <f>IF($L1203&lt;&gt;"",IF(INDEX(LdAId,$L1203)="","—",INDEX(LdAId,$L1203)),IF($M1203&lt;&gt;"",IF(INDEX(LdBId,$M1203)="","—",INDEX(LdBId,$M1203)),IF($N1203&lt;&gt;"",IF(INDEX(LdCBank,$N1203)="","—",INDEX(LdCBank,$N1203)),"")))</f>
        <v/>
      </c>
      <c r="E1203" s="16">
        <f>IF($L1203&lt;&gt;"",IF(INDEX(LdAAmt,$L1203)=0,"",INDEX(LdAAmt,$L1203)),IF($M1203&lt;&gt;"",IF(INDEX(LdBAmt,$M1203)=0,"",INDEX(LdBAmt,$M1203)),IF($N1203&lt;&gt;"",IF(INDEX(LdCDep,$N1203)=0,"",INDEX(LdCDep,$N1203)),"")))</f>
        <v/>
      </c>
      <c r="F1203" s="16">
        <f>IF(AND($L1203="",$M1203="",$N1203=""),"",IF($N1203="","",IF(INDEX(LdCWit,$N1203)=0,"",INDEX(LdCWit,$N1203))))</f>
        <v/>
      </c>
      <c r="G1203" s="29">
        <f>IF($B1203="","",IF($G1202="",0,$G1202)+IF($E1203="",0,$E1203)-IF($F1203="",0,$F1203))</f>
        <v/>
      </c>
      <c r="H1203" s="30">
        <f>IF(AND($L1203="",$M1203="",$N1203=""),"",IF($L1203&lt;&gt;"",IF(INDEX(LdANote,$L1203)="","—",INDEX(LdANote,$L1203)),IF($M1203&lt;&gt;"",IF(INDEX(LdBNote,$M1203)="","—",INDEX(LdBNote,$M1203)),IF($N1203&lt;&gt;"",IF(INDEX(LdCNote,$N1203)="","—",INDEX(LdCNote,$N1203)),""))))</f>
        <v/>
      </c>
      <c r="L1203">
        <f>IFERROR(MATCH($C$5&amp;"|"&amp;RIGHT("000000"&amp;1187,6),LdAKeyM,0),"")</f>
        <v/>
      </c>
      <c r="M1203">
        <f>IFERROR(MATCH($C$5&amp;"|"&amp;RIGHT("000000"&amp;1187,6),LdBKeyM,0),"")</f>
        <v/>
      </c>
      <c r="N1203">
        <f>IFERROR(MATCH($C$5&amp;"|"&amp;RIGHT("000000"&amp;1187,6),LdCKeyM,0),"")</f>
        <v/>
      </c>
    </row>
    <row r="1204">
      <c r="A1204" s="19" t="n">
        <v>1188</v>
      </c>
      <c r="B1204" s="20">
        <f>IF(AND($L1204="",$M1204="",$N1204=""),"",IF($L1204&lt;&gt;"",INDEX(LdADate,$L1204),IF($M1204&lt;&gt;"",INDEX(LdBDate,$M1204),INDEX(LdCDate,$N1204))))</f>
        <v/>
      </c>
      <c r="C1204" s="20">
        <f>IF($L1204&lt;&gt;"","دستمزد (فردی)",IF($M1204&lt;&gt;"","سهم از گروه "&amp;IFERROR(VLOOKUP(INDEX(LdBGroup,$M1204),WGTbl,2,0),INDEX(LdBGroup,$M1204)),IF($N1204&lt;&gt;"",IF(N(INDEX(LdCDep,$N1204))&gt;0,"بازگشت بانکی","پرداخت بانکی"),"")))</f>
        <v/>
      </c>
      <c r="D1204" s="20">
        <f>IF($L1204&lt;&gt;"",IF(INDEX(LdAId,$L1204)="","—",INDEX(LdAId,$L1204)),IF($M1204&lt;&gt;"",IF(INDEX(LdBId,$M1204)="","—",INDEX(LdBId,$M1204)),IF($N1204&lt;&gt;"",IF(INDEX(LdCBank,$N1204)="","—",INDEX(LdCBank,$N1204)),"")))</f>
        <v/>
      </c>
      <c r="E1204" s="21">
        <f>IF($L1204&lt;&gt;"",IF(INDEX(LdAAmt,$L1204)=0,"",INDEX(LdAAmt,$L1204)),IF($M1204&lt;&gt;"",IF(INDEX(LdBAmt,$M1204)=0,"",INDEX(LdBAmt,$M1204)),IF($N1204&lt;&gt;"",IF(INDEX(LdCDep,$N1204)=0,"",INDEX(LdCDep,$N1204)),"")))</f>
        <v/>
      </c>
      <c r="F1204" s="21">
        <f>IF(AND($L1204="",$M1204="",$N1204=""),"",IF($N1204="","",IF(INDEX(LdCWit,$N1204)=0,"",INDEX(LdCWit,$N1204))))</f>
        <v/>
      </c>
      <c r="G1204" s="31">
        <f>IF($B1204="","",IF($G1203="",0,$G1203)+IF($E1204="",0,$E1204)-IF($F1204="",0,$F1204))</f>
        <v/>
      </c>
      <c r="H1204" s="32">
        <f>IF(AND($L1204="",$M1204="",$N1204=""),"",IF($L1204&lt;&gt;"",IF(INDEX(LdANote,$L1204)="","—",INDEX(LdANote,$L1204)),IF($M1204&lt;&gt;"",IF(INDEX(LdBNote,$M1204)="","—",INDEX(LdBNote,$M1204)),IF($N1204&lt;&gt;"",IF(INDEX(LdCNote,$N1204)="","—",INDEX(LdCNote,$N1204)),""))))</f>
        <v/>
      </c>
      <c r="L1204">
        <f>IFERROR(MATCH($C$5&amp;"|"&amp;RIGHT("000000"&amp;1188,6),LdAKeyM,0),"")</f>
        <v/>
      </c>
      <c r="M1204">
        <f>IFERROR(MATCH($C$5&amp;"|"&amp;RIGHT("000000"&amp;1188,6),LdBKeyM,0),"")</f>
        <v/>
      </c>
      <c r="N1204">
        <f>IFERROR(MATCH($C$5&amp;"|"&amp;RIGHT("000000"&amp;1188,6),LdCKeyM,0),"")</f>
        <v/>
      </c>
    </row>
    <row r="1205">
      <c r="A1205" s="10" t="n">
        <v>1189</v>
      </c>
      <c r="B1205" s="14">
        <f>IF(AND($L1205="",$M1205="",$N1205=""),"",IF($L1205&lt;&gt;"",INDEX(LdADate,$L1205),IF($M1205&lt;&gt;"",INDEX(LdBDate,$M1205),INDEX(LdCDate,$N1205))))</f>
        <v/>
      </c>
      <c r="C1205" s="14">
        <f>IF($L1205&lt;&gt;"","دستمزد (فردی)",IF($M1205&lt;&gt;"","سهم از گروه "&amp;IFERROR(VLOOKUP(INDEX(LdBGroup,$M1205),WGTbl,2,0),INDEX(LdBGroup,$M1205)),IF($N1205&lt;&gt;"",IF(N(INDEX(LdCDep,$N1205))&gt;0,"بازگشت بانکی","پرداخت بانکی"),"")))</f>
        <v/>
      </c>
      <c r="D1205" s="14">
        <f>IF($L1205&lt;&gt;"",IF(INDEX(LdAId,$L1205)="","—",INDEX(LdAId,$L1205)),IF($M1205&lt;&gt;"",IF(INDEX(LdBId,$M1205)="","—",INDEX(LdBId,$M1205)),IF($N1205&lt;&gt;"",IF(INDEX(LdCBank,$N1205)="","—",INDEX(LdCBank,$N1205)),"")))</f>
        <v/>
      </c>
      <c r="E1205" s="16">
        <f>IF($L1205&lt;&gt;"",IF(INDEX(LdAAmt,$L1205)=0,"",INDEX(LdAAmt,$L1205)),IF($M1205&lt;&gt;"",IF(INDEX(LdBAmt,$M1205)=0,"",INDEX(LdBAmt,$M1205)),IF($N1205&lt;&gt;"",IF(INDEX(LdCDep,$N1205)=0,"",INDEX(LdCDep,$N1205)),"")))</f>
        <v/>
      </c>
      <c r="F1205" s="16">
        <f>IF(AND($L1205="",$M1205="",$N1205=""),"",IF($N1205="","",IF(INDEX(LdCWit,$N1205)=0,"",INDEX(LdCWit,$N1205))))</f>
        <v/>
      </c>
      <c r="G1205" s="29">
        <f>IF($B1205="","",IF($G1204="",0,$G1204)+IF($E1205="",0,$E1205)-IF($F1205="",0,$F1205))</f>
        <v/>
      </c>
      <c r="H1205" s="30">
        <f>IF(AND($L1205="",$M1205="",$N1205=""),"",IF($L1205&lt;&gt;"",IF(INDEX(LdANote,$L1205)="","—",INDEX(LdANote,$L1205)),IF($M1205&lt;&gt;"",IF(INDEX(LdBNote,$M1205)="","—",INDEX(LdBNote,$M1205)),IF($N1205&lt;&gt;"",IF(INDEX(LdCNote,$N1205)="","—",INDEX(LdCNote,$N1205)),""))))</f>
        <v/>
      </c>
      <c r="L1205">
        <f>IFERROR(MATCH($C$5&amp;"|"&amp;RIGHT("000000"&amp;1189,6),LdAKeyM,0),"")</f>
        <v/>
      </c>
      <c r="M1205">
        <f>IFERROR(MATCH($C$5&amp;"|"&amp;RIGHT("000000"&amp;1189,6),LdBKeyM,0),"")</f>
        <v/>
      </c>
      <c r="N1205">
        <f>IFERROR(MATCH($C$5&amp;"|"&amp;RIGHT("000000"&amp;1189,6),LdCKeyM,0),"")</f>
        <v/>
      </c>
    </row>
    <row r="1206">
      <c r="A1206" s="19" t="n">
        <v>1190</v>
      </c>
      <c r="B1206" s="20">
        <f>IF(AND($L1206="",$M1206="",$N1206=""),"",IF($L1206&lt;&gt;"",INDEX(LdADate,$L1206),IF($M1206&lt;&gt;"",INDEX(LdBDate,$M1206),INDEX(LdCDate,$N1206))))</f>
        <v/>
      </c>
      <c r="C1206" s="20">
        <f>IF($L1206&lt;&gt;"","دستمزد (فردی)",IF($M1206&lt;&gt;"","سهم از گروه "&amp;IFERROR(VLOOKUP(INDEX(LdBGroup,$M1206),WGTbl,2,0),INDEX(LdBGroup,$M1206)),IF($N1206&lt;&gt;"",IF(N(INDEX(LdCDep,$N1206))&gt;0,"بازگشت بانکی","پرداخت بانکی"),"")))</f>
        <v/>
      </c>
      <c r="D1206" s="20">
        <f>IF($L1206&lt;&gt;"",IF(INDEX(LdAId,$L1206)="","—",INDEX(LdAId,$L1206)),IF($M1206&lt;&gt;"",IF(INDEX(LdBId,$M1206)="","—",INDEX(LdBId,$M1206)),IF($N1206&lt;&gt;"",IF(INDEX(LdCBank,$N1206)="","—",INDEX(LdCBank,$N1206)),"")))</f>
        <v/>
      </c>
      <c r="E1206" s="21">
        <f>IF($L1206&lt;&gt;"",IF(INDEX(LdAAmt,$L1206)=0,"",INDEX(LdAAmt,$L1206)),IF($M1206&lt;&gt;"",IF(INDEX(LdBAmt,$M1206)=0,"",INDEX(LdBAmt,$M1206)),IF($N1206&lt;&gt;"",IF(INDEX(LdCDep,$N1206)=0,"",INDEX(LdCDep,$N1206)),"")))</f>
        <v/>
      </c>
      <c r="F1206" s="21">
        <f>IF(AND($L1206="",$M1206="",$N1206=""),"",IF($N1206="","",IF(INDEX(LdCWit,$N1206)=0,"",INDEX(LdCWit,$N1206))))</f>
        <v/>
      </c>
      <c r="G1206" s="31">
        <f>IF($B1206="","",IF($G1205="",0,$G1205)+IF($E1206="",0,$E1206)-IF($F1206="",0,$F1206))</f>
        <v/>
      </c>
      <c r="H1206" s="32">
        <f>IF(AND($L1206="",$M1206="",$N1206=""),"",IF($L1206&lt;&gt;"",IF(INDEX(LdANote,$L1206)="","—",INDEX(LdANote,$L1206)),IF($M1206&lt;&gt;"",IF(INDEX(LdBNote,$M1206)="","—",INDEX(LdBNote,$M1206)),IF($N1206&lt;&gt;"",IF(INDEX(LdCNote,$N1206)="","—",INDEX(LdCNote,$N1206)),""))))</f>
        <v/>
      </c>
      <c r="L1206">
        <f>IFERROR(MATCH($C$5&amp;"|"&amp;RIGHT("000000"&amp;1190,6),LdAKeyM,0),"")</f>
        <v/>
      </c>
      <c r="M1206">
        <f>IFERROR(MATCH($C$5&amp;"|"&amp;RIGHT("000000"&amp;1190,6),LdBKeyM,0),"")</f>
        <v/>
      </c>
      <c r="N1206">
        <f>IFERROR(MATCH($C$5&amp;"|"&amp;RIGHT("000000"&amp;1190,6),LdCKeyM,0),"")</f>
        <v/>
      </c>
    </row>
    <row r="1207">
      <c r="A1207" s="10" t="n">
        <v>1191</v>
      </c>
      <c r="B1207" s="14">
        <f>IF(AND($L1207="",$M1207="",$N1207=""),"",IF($L1207&lt;&gt;"",INDEX(LdADate,$L1207),IF($M1207&lt;&gt;"",INDEX(LdBDate,$M1207),INDEX(LdCDate,$N1207))))</f>
        <v/>
      </c>
      <c r="C1207" s="14">
        <f>IF($L1207&lt;&gt;"","دستمزد (فردی)",IF($M1207&lt;&gt;"","سهم از گروه "&amp;IFERROR(VLOOKUP(INDEX(LdBGroup,$M1207),WGTbl,2,0),INDEX(LdBGroup,$M1207)),IF($N1207&lt;&gt;"",IF(N(INDEX(LdCDep,$N1207))&gt;0,"بازگشت بانکی","پرداخت بانکی"),"")))</f>
        <v/>
      </c>
      <c r="D1207" s="14">
        <f>IF($L1207&lt;&gt;"",IF(INDEX(LdAId,$L1207)="","—",INDEX(LdAId,$L1207)),IF($M1207&lt;&gt;"",IF(INDEX(LdBId,$M1207)="","—",INDEX(LdBId,$M1207)),IF($N1207&lt;&gt;"",IF(INDEX(LdCBank,$N1207)="","—",INDEX(LdCBank,$N1207)),"")))</f>
        <v/>
      </c>
      <c r="E1207" s="16">
        <f>IF($L1207&lt;&gt;"",IF(INDEX(LdAAmt,$L1207)=0,"",INDEX(LdAAmt,$L1207)),IF($M1207&lt;&gt;"",IF(INDEX(LdBAmt,$M1207)=0,"",INDEX(LdBAmt,$M1207)),IF($N1207&lt;&gt;"",IF(INDEX(LdCDep,$N1207)=0,"",INDEX(LdCDep,$N1207)),"")))</f>
        <v/>
      </c>
      <c r="F1207" s="16">
        <f>IF(AND($L1207="",$M1207="",$N1207=""),"",IF($N1207="","",IF(INDEX(LdCWit,$N1207)=0,"",INDEX(LdCWit,$N1207))))</f>
        <v/>
      </c>
      <c r="G1207" s="29">
        <f>IF($B1207="","",IF($G1206="",0,$G1206)+IF($E1207="",0,$E1207)-IF($F1207="",0,$F1207))</f>
        <v/>
      </c>
      <c r="H1207" s="30">
        <f>IF(AND($L1207="",$M1207="",$N1207=""),"",IF($L1207&lt;&gt;"",IF(INDEX(LdANote,$L1207)="","—",INDEX(LdANote,$L1207)),IF($M1207&lt;&gt;"",IF(INDEX(LdBNote,$M1207)="","—",INDEX(LdBNote,$M1207)),IF($N1207&lt;&gt;"",IF(INDEX(LdCNote,$N1207)="","—",INDEX(LdCNote,$N1207)),""))))</f>
        <v/>
      </c>
      <c r="L1207">
        <f>IFERROR(MATCH($C$5&amp;"|"&amp;RIGHT("000000"&amp;1191,6),LdAKeyM,0),"")</f>
        <v/>
      </c>
      <c r="M1207">
        <f>IFERROR(MATCH($C$5&amp;"|"&amp;RIGHT("000000"&amp;1191,6),LdBKeyM,0),"")</f>
        <v/>
      </c>
      <c r="N1207">
        <f>IFERROR(MATCH($C$5&amp;"|"&amp;RIGHT("000000"&amp;1191,6),LdCKeyM,0),"")</f>
        <v/>
      </c>
    </row>
    <row r="1208">
      <c r="A1208" s="19" t="n">
        <v>1192</v>
      </c>
      <c r="B1208" s="20">
        <f>IF(AND($L1208="",$M1208="",$N1208=""),"",IF($L1208&lt;&gt;"",INDEX(LdADate,$L1208),IF($M1208&lt;&gt;"",INDEX(LdBDate,$M1208),INDEX(LdCDate,$N1208))))</f>
        <v/>
      </c>
      <c r="C1208" s="20">
        <f>IF($L1208&lt;&gt;"","دستمزد (فردی)",IF($M1208&lt;&gt;"","سهم از گروه "&amp;IFERROR(VLOOKUP(INDEX(LdBGroup,$M1208),WGTbl,2,0),INDEX(LdBGroup,$M1208)),IF($N1208&lt;&gt;"",IF(N(INDEX(LdCDep,$N1208))&gt;0,"بازگشت بانکی","پرداخت بانکی"),"")))</f>
        <v/>
      </c>
      <c r="D1208" s="20">
        <f>IF($L1208&lt;&gt;"",IF(INDEX(LdAId,$L1208)="","—",INDEX(LdAId,$L1208)),IF($M1208&lt;&gt;"",IF(INDEX(LdBId,$M1208)="","—",INDEX(LdBId,$M1208)),IF($N1208&lt;&gt;"",IF(INDEX(LdCBank,$N1208)="","—",INDEX(LdCBank,$N1208)),"")))</f>
        <v/>
      </c>
      <c r="E1208" s="21">
        <f>IF($L1208&lt;&gt;"",IF(INDEX(LdAAmt,$L1208)=0,"",INDEX(LdAAmt,$L1208)),IF($M1208&lt;&gt;"",IF(INDEX(LdBAmt,$M1208)=0,"",INDEX(LdBAmt,$M1208)),IF($N1208&lt;&gt;"",IF(INDEX(LdCDep,$N1208)=0,"",INDEX(LdCDep,$N1208)),"")))</f>
        <v/>
      </c>
      <c r="F1208" s="21">
        <f>IF(AND($L1208="",$M1208="",$N1208=""),"",IF($N1208="","",IF(INDEX(LdCWit,$N1208)=0,"",INDEX(LdCWit,$N1208))))</f>
        <v/>
      </c>
      <c r="G1208" s="31">
        <f>IF($B1208="","",IF($G1207="",0,$G1207)+IF($E1208="",0,$E1208)-IF($F1208="",0,$F1208))</f>
        <v/>
      </c>
      <c r="H1208" s="32">
        <f>IF(AND($L1208="",$M1208="",$N1208=""),"",IF($L1208&lt;&gt;"",IF(INDEX(LdANote,$L1208)="","—",INDEX(LdANote,$L1208)),IF($M1208&lt;&gt;"",IF(INDEX(LdBNote,$M1208)="","—",INDEX(LdBNote,$M1208)),IF($N1208&lt;&gt;"",IF(INDEX(LdCNote,$N1208)="","—",INDEX(LdCNote,$N1208)),""))))</f>
        <v/>
      </c>
      <c r="L1208">
        <f>IFERROR(MATCH($C$5&amp;"|"&amp;RIGHT("000000"&amp;1192,6),LdAKeyM,0),"")</f>
        <v/>
      </c>
      <c r="M1208">
        <f>IFERROR(MATCH($C$5&amp;"|"&amp;RIGHT("000000"&amp;1192,6),LdBKeyM,0),"")</f>
        <v/>
      </c>
      <c r="N1208">
        <f>IFERROR(MATCH($C$5&amp;"|"&amp;RIGHT("000000"&amp;1192,6),LdCKeyM,0),"")</f>
        <v/>
      </c>
    </row>
    <row r="1209">
      <c r="A1209" s="10" t="n">
        <v>1193</v>
      </c>
      <c r="B1209" s="14">
        <f>IF(AND($L1209="",$M1209="",$N1209=""),"",IF($L1209&lt;&gt;"",INDEX(LdADate,$L1209),IF($M1209&lt;&gt;"",INDEX(LdBDate,$M1209),INDEX(LdCDate,$N1209))))</f>
        <v/>
      </c>
      <c r="C1209" s="14">
        <f>IF($L1209&lt;&gt;"","دستمزد (فردی)",IF($M1209&lt;&gt;"","سهم از گروه "&amp;IFERROR(VLOOKUP(INDEX(LdBGroup,$M1209),WGTbl,2,0),INDEX(LdBGroup,$M1209)),IF($N1209&lt;&gt;"",IF(N(INDEX(LdCDep,$N1209))&gt;0,"بازگشت بانکی","پرداخت بانکی"),"")))</f>
        <v/>
      </c>
      <c r="D1209" s="14">
        <f>IF($L1209&lt;&gt;"",IF(INDEX(LdAId,$L1209)="","—",INDEX(LdAId,$L1209)),IF($M1209&lt;&gt;"",IF(INDEX(LdBId,$M1209)="","—",INDEX(LdBId,$M1209)),IF($N1209&lt;&gt;"",IF(INDEX(LdCBank,$N1209)="","—",INDEX(LdCBank,$N1209)),"")))</f>
        <v/>
      </c>
      <c r="E1209" s="16">
        <f>IF($L1209&lt;&gt;"",IF(INDEX(LdAAmt,$L1209)=0,"",INDEX(LdAAmt,$L1209)),IF($M1209&lt;&gt;"",IF(INDEX(LdBAmt,$M1209)=0,"",INDEX(LdBAmt,$M1209)),IF($N1209&lt;&gt;"",IF(INDEX(LdCDep,$N1209)=0,"",INDEX(LdCDep,$N1209)),"")))</f>
        <v/>
      </c>
      <c r="F1209" s="16">
        <f>IF(AND($L1209="",$M1209="",$N1209=""),"",IF($N1209="","",IF(INDEX(LdCWit,$N1209)=0,"",INDEX(LdCWit,$N1209))))</f>
        <v/>
      </c>
      <c r="G1209" s="29">
        <f>IF($B1209="","",IF($G1208="",0,$G1208)+IF($E1209="",0,$E1209)-IF($F1209="",0,$F1209))</f>
        <v/>
      </c>
      <c r="H1209" s="30">
        <f>IF(AND($L1209="",$M1209="",$N1209=""),"",IF($L1209&lt;&gt;"",IF(INDEX(LdANote,$L1209)="","—",INDEX(LdANote,$L1209)),IF($M1209&lt;&gt;"",IF(INDEX(LdBNote,$M1209)="","—",INDEX(LdBNote,$M1209)),IF($N1209&lt;&gt;"",IF(INDEX(LdCNote,$N1209)="","—",INDEX(LdCNote,$N1209)),""))))</f>
        <v/>
      </c>
      <c r="L1209">
        <f>IFERROR(MATCH($C$5&amp;"|"&amp;RIGHT("000000"&amp;1193,6),LdAKeyM,0),"")</f>
        <v/>
      </c>
      <c r="M1209">
        <f>IFERROR(MATCH($C$5&amp;"|"&amp;RIGHT("000000"&amp;1193,6),LdBKeyM,0),"")</f>
        <v/>
      </c>
      <c r="N1209">
        <f>IFERROR(MATCH($C$5&amp;"|"&amp;RIGHT("000000"&amp;1193,6),LdCKeyM,0),"")</f>
        <v/>
      </c>
    </row>
    <row r="1210">
      <c r="A1210" s="19" t="n">
        <v>1194</v>
      </c>
      <c r="B1210" s="20">
        <f>IF(AND($L1210="",$M1210="",$N1210=""),"",IF($L1210&lt;&gt;"",INDEX(LdADate,$L1210),IF($M1210&lt;&gt;"",INDEX(LdBDate,$M1210),INDEX(LdCDate,$N1210))))</f>
        <v/>
      </c>
      <c r="C1210" s="20">
        <f>IF($L1210&lt;&gt;"","دستمزد (فردی)",IF($M1210&lt;&gt;"","سهم از گروه "&amp;IFERROR(VLOOKUP(INDEX(LdBGroup,$M1210),WGTbl,2,0),INDEX(LdBGroup,$M1210)),IF($N1210&lt;&gt;"",IF(N(INDEX(LdCDep,$N1210))&gt;0,"بازگشت بانکی","پرداخت بانکی"),"")))</f>
        <v/>
      </c>
      <c r="D1210" s="20">
        <f>IF($L1210&lt;&gt;"",IF(INDEX(LdAId,$L1210)="","—",INDEX(LdAId,$L1210)),IF($M1210&lt;&gt;"",IF(INDEX(LdBId,$M1210)="","—",INDEX(LdBId,$M1210)),IF($N1210&lt;&gt;"",IF(INDEX(LdCBank,$N1210)="","—",INDEX(LdCBank,$N1210)),"")))</f>
        <v/>
      </c>
      <c r="E1210" s="21">
        <f>IF($L1210&lt;&gt;"",IF(INDEX(LdAAmt,$L1210)=0,"",INDEX(LdAAmt,$L1210)),IF($M1210&lt;&gt;"",IF(INDEX(LdBAmt,$M1210)=0,"",INDEX(LdBAmt,$M1210)),IF($N1210&lt;&gt;"",IF(INDEX(LdCDep,$N1210)=0,"",INDEX(LdCDep,$N1210)),"")))</f>
        <v/>
      </c>
      <c r="F1210" s="21">
        <f>IF(AND($L1210="",$M1210="",$N1210=""),"",IF($N1210="","",IF(INDEX(LdCWit,$N1210)=0,"",INDEX(LdCWit,$N1210))))</f>
        <v/>
      </c>
      <c r="G1210" s="31">
        <f>IF($B1210="","",IF($G1209="",0,$G1209)+IF($E1210="",0,$E1210)-IF($F1210="",0,$F1210))</f>
        <v/>
      </c>
      <c r="H1210" s="32">
        <f>IF(AND($L1210="",$M1210="",$N1210=""),"",IF($L1210&lt;&gt;"",IF(INDEX(LdANote,$L1210)="","—",INDEX(LdANote,$L1210)),IF($M1210&lt;&gt;"",IF(INDEX(LdBNote,$M1210)="","—",INDEX(LdBNote,$M1210)),IF($N1210&lt;&gt;"",IF(INDEX(LdCNote,$N1210)="","—",INDEX(LdCNote,$N1210)),""))))</f>
        <v/>
      </c>
      <c r="L1210">
        <f>IFERROR(MATCH($C$5&amp;"|"&amp;RIGHT("000000"&amp;1194,6),LdAKeyM,0),"")</f>
        <v/>
      </c>
      <c r="M1210">
        <f>IFERROR(MATCH($C$5&amp;"|"&amp;RIGHT("000000"&amp;1194,6),LdBKeyM,0),"")</f>
        <v/>
      </c>
      <c r="N1210">
        <f>IFERROR(MATCH($C$5&amp;"|"&amp;RIGHT("000000"&amp;1194,6),LdCKeyM,0),"")</f>
        <v/>
      </c>
    </row>
    <row r="1211">
      <c r="A1211" s="10" t="n">
        <v>1195</v>
      </c>
      <c r="B1211" s="14">
        <f>IF(AND($L1211="",$M1211="",$N1211=""),"",IF($L1211&lt;&gt;"",INDEX(LdADate,$L1211),IF($M1211&lt;&gt;"",INDEX(LdBDate,$M1211),INDEX(LdCDate,$N1211))))</f>
        <v/>
      </c>
      <c r="C1211" s="14">
        <f>IF($L1211&lt;&gt;"","دستمزد (فردی)",IF($M1211&lt;&gt;"","سهم از گروه "&amp;IFERROR(VLOOKUP(INDEX(LdBGroup,$M1211),WGTbl,2,0),INDEX(LdBGroup,$M1211)),IF($N1211&lt;&gt;"",IF(N(INDEX(LdCDep,$N1211))&gt;0,"بازگشت بانکی","پرداخت بانکی"),"")))</f>
        <v/>
      </c>
      <c r="D1211" s="14">
        <f>IF($L1211&lt;&gt;"",IF(INDEX(LdAId,$L1211)="","—",INDEX(LdAId,$L1211)),IF($M1211&lt;&gt;"",IF(INDEX(LdBId,$M1211)="","—",INDEX(LdBId,$M1211)),IF($N1211&lt;&gt;"",IF(INDEX(LdCBank,$N1211)="","—",INDEX(LdCBank,$N1211)),"")))</f>
        <v/>
      </c>
      <c r="E1211" s="16">
        <f>IF($L1211&lt;&gt;"",IF(INDEX(LdAAmt,$L1211)=0,"",INDEX(LdAAmt,$L1211)),IF($M1211&lt;&gt;"",IF(INDEX(LdBAmt,$M1211)=0,"",INDEX(LdBAmt,$M1211)),IF($N1211&lt;&gt;"",IF(INDEX(LdCDep,$N1211)=0,"",INDEX(LdCDep,$N1211)),"")))</f>
        <v/>
      </c>
      <c r="F1211" s="16">
        <f>IF(AND($L1211="",$M1211="",$N1211=""),"",IF($N1211="","",IF(INDEX(LdCWit,$N1211)=0,"",INDEX(LdCWit,$N1211))))</f>
        <v/>
      </c>
      <c r="G1211" s="29">
        <f>IF($B1211="","",IF($G1210="",0,$G1210)+IF($E1211="",0,$E1211)-IF($F1211="",0,$F1211))</f>
        <v/>
      </c>
      <c r="H1211" s="30">
        <f>IF(AND($L1211="",$M1211="",$N1211=""),"",IF($L1211&lt;&gt;"",IF(INDEX(LdANote,$L1211)="","—",INDEX(LdANote,$L1211)),IF($M1211&lt;&gt;"",IF(INDEX(LdBNote,$M1211)="","—",INDEX(LdBNote,$M1211)),IF($N1211&lt;&gt;"",IF(INDEX(LdCNote,$N1211)="","—",INDEX(LdCNote,$N1211)),""))))</f>
        <v/>
      </c>
      <c r="L1211">
        <f>IFERROR(MATCH($C$5&amp;"|"&amp;RIGHT("000000"&amp;1195,6),LdAKeyM,0),"")</f>
        <v/>
      </c>
      <c r="M1211">
        <f>IFERROR(MATCH($C$5&amp;"|"&amp;RIGHT("000000"&amp;1195,6),LdBKeyM,0),"")</f>
        <v/>
      </c>
      <c r="N1211">
        <f>IFERROR(MATCH($C$5&amp;"|"&amp;RIGHT("000000"&amp;1195,6),LdCKeyM,0),"")</f>
        <v/>
      </c>
    </row>
    <row r="1212">
      <c r="A1212" s="19" t="n">
        <v>1196</v>
      </c>
      <c r="B1212" s="20">
        <f>IF(AND($L1212="",$M1212="",$N1212=""),"",IF($L1212&lt;&gt;"",INDEX(LdADate,$L1212),IF($M1212&lt;&gt;"",INDEX(LdBDate,$M1212),INDEX(LdCDate,$N1212))))</f>
        <v/>
      </c>
      <c r="C1212" s="20">
        <f>IF($L1212&lt;&gt;"","دستمزد (فردی)",IF($M1212&lt;&gt;"","سهم از گروه "&amp;IFERROR(VLOOKUP(INDEX(LdBGroup,$M1212),WGTbl,2,0),INDEX(LdBGroup,$M1212)),IF($N1212&lt;&gt;"",IF(N(INDEX(LdCDep,$N1212))&gt;0,"بازگشت بانکی","پرداخت بانکی"),"")))</f>
        <v/>
      </c>
      <c r="D1212" s="20">
        <f>IF($L1212&lt;&gt;"",IF(INDEX(LdAId,$L1212)="","—",INDEX(LdAId,$L1212)),IF($M1212&lt;&gt;"",IF(INDEX(LdBId,$M1212)="","—",INDEX(LdBId,$M1212)),IF($N1212&lt;&gt;"",IF(INDEX(LdCBank,$N1212)="","—",INDEX(LdCBank,$N1212)),"")))</f>
        <v/>
      </c>
      <c r="E1212" s="21">
        <f>IF($L1212&lt;&gt;"",IF(INDEX(LdAAmt,$L1212)=0,"",INDEX(LdAAmt,$L1212)),IF($M1212&lt;&gt;"",IF(INDEX(LdBAmt,$M1212)=0,"",INDEX(LdBAmt,$M1212)),IF($N1212&lt;&gt;"",IF(INDEX(LdCDep,$N1212)=0,"",INDEX(LdCDep,$N1212)),"")))</f>
        <v/>
      </c>
      <c r="F1212" s="21">
        <f>IF(AND($L1212="",$M1212="",$N1212=""),"",IF($N1212="","",IF(INDEX(LdCWit,$N1212)=0,"",INDEX(LdCWit,$N1212))))</f>
        <v/>
      </c>
      <c r="G1212" s="31">
        <f>IF($B1212="","",IF($G1211="",0,$G1211)+IF($E1212="",0,$E1212)-IF($F1212="",0,$F1212))</f>
        <v/>
      </c>
      <c r="H1212" s="32">
        <f>IF(AND($L1212="",$M1212="",$N1212=""),"",IF($L1212&lt;&gt;"",IF(INDEX(LdANote,$L1212)="","—",INDEX(LdANote,$L1212)),IF($M1212&lt;&gt;"",IF(INDEX(LdBNote,$M1212)="","—",INDEX(LdBNote,$M1212)),IF($N1212&lt;&gt;"",IF(INDEX(LdCNote,$N1212)="","—",INDEX(LdCNote,$N1212)),""))))</f>
        <v/>
      </c>
      <c r="L1212">
        <f>IFERROR(MATCH($C$5&amp;"|"&amp;RIGHT("000000"&amp;1196,6),LdAKeyM,0),"")</f>
        <v/>
      </c>
      <c r="M1212">
        <f>IFERROR(MATCH($C$5&amp;"|"&amp;RIGHT("000000"&amp;1196,6),LdBKeyM,0),"")</f>
        <v/>
      </c>
      <c r="N1212">
        <f>IFERROR(MATCH($C$5&amp;"|"&amp;RIGHT("000000"&amp;1196,6),LdCKeyM,0),"")</f>
        <v/>
      </c>
    </row>
    <row r="1213">
      <c r="A1213" s="10" t="n">
        <v>1197</v>
      </c>
      <c r="B1213" s="14">
        <f>IF(AND($L1213="",$M1213="",$N1213=""),"",IF($L1213&lt;&gt;"",INDEX(LdADate,$L1213),IF($M1213&lt;&gt;"",INDEX(LdBDate,$M1213),INDEX(LdCDate,$N1213))))</f>
        <v/>
      </c>
      <c r="C1213" s="14">
        <f>IF($L1213&lt;&gt;"","دستمزد (فردی)",IF($M1213&lt;&gt;"","سهم از گروه "&amp;IFERROR(VLOOKUP(INDEX(LdBGroup,$M1213),WGTbl,2,0),INDEX(LdBGroup,$M1213)),IF($N1213&lt;&gt;"",IF(N(INDEX(LdCDep,$N1213))&gt;0,"بازگشت بانکی","پرداخت بانکی"),"")))</f>
        <v/>
      </c>
      <c r="D1213" s="14">
        <f>IF($L1213&lt;&gt;"",IF(INDEX(LdAId,$L1213)="","—",INDEX(LdAId,$L1213)),IF($M1213&lt;&gt;"",IF(INDEX(LdBId,$M1213)="","—",INDEX(LdBId,$M1213)),IF($N1213&lt;&gt;"",IF(INDEX(LdCBank,$N1213)="","—",INDEX(LdCBank,$N1213)),"")))</f>
        <v/>
      </c>
      <c r="E1213" s="16">
        <f>IF($L1213&lt;&gt;"",IF(INDEX(LdAAmt,$L1213)=0,"",INDEX(LdAAmt,$L1213)),IF($M1213&lt;&gt;"",IF(INDEX(LdBAmt,$M1213)=0,"",INDEX(LdBAmt,$M1213)),IF($N1213&lt;&gt;"",IF(INDEX(LdCDep,$N1213)=0,"",INDEX(LdCDep,$N1213)),"")))</f>
        <v/>
      </c>
      <c r="F1213" s="16">
        <f>IF(AND($L1213="",$M1213="",$N1213=""),"",IF($N1213="","",IF(INDEX(LdCWit,$N1213)=0,"",INDEX(LdCWit,$N1213))))</f>
        <v/>
      </c>
      <c r="G1213" s="29">
        <f>IF($B1213="","",IF($G1212="",0,$G1212)+IF($E1213="",0,$E1213)-IF($F1213="",0,$F1213))</f>
        <v/>
      </c>
      <c r="H1213" s="30">
        <f>IF(AND($L1213="",$M1213="",$N1213=""),"",IF($L1213&lt;&gt;"",IF(INDEX(LdANote,$L1213)="","—",INDEX(LdANote,$L1213)),IF($M1213&lt;&gt;"",IF(INDEX(LdBNote,$M1213)="","—",INDEX(LdBNote,$M1213)),IF($N1213&lt;&gt;"",IF(INDEX(LdCNote,$N1213)="","—",INDEX(LdCNote,$N1213)),""))))</f>
        <v/>
      </c>
      <c r="L1213">
        <f>IFERROR(MATCH($C$5&amp;"|"&amp;RIGHT("000000"&amp;1197,6),LdAKeyM,0),"")</f>
        <v/>
      </c>
      <c r="M1213">
        <f>IFERROR(MATCH($C$5&amp;"|"&amp;RIGHT("000000"&amp;1197,6),LdBKeyM,0),"")</f>
        <v/>
      </c>
      <c r="N1213">
        <f>IFERROR(MATCH($C$5&amp;"|"&amp;RIGHT("000000"&amp;1197,6),LdCKeyM,0),"")</f>
        <v/>
      </c>
    </row>
    <row r="1214">
      <c r="A1214" s="19" t="n">
        <v>1198</v>
      </c>
      <c r="B1214" s="20">
        <f>IF(AND($L1214="",$M1214="",$N1214=""),"",IF($L1214&lt;&gt;"",INDEX(LdADate,$L1214),IF($M1214&lt;&gt;"",INDEX(LdBDate,$M1214),INDEX(LdCDate,$N1214))))</f>
        <v/>
      </c>
      <c r="C1214" s="20">
        <f>IF($L1214&lt;&gt;"","دستمزد (فردی)",IF($M1214&lt;&gt;"","سهم از گروه "&amp;IFERROR(VLOOKUP(INDEX(LdBGroup,$M1214),WGTbl,2,0),INDEX(LdBGroup,$M1214)),IF($N1214&lt;&gt;"",IF(N(INDEX(LdCDep,$N1214))&gt;0,"بازگشت بانکی","پرداخت بانکی"),"")))</f>
        <v/>
      </c>
      <c r="D1214" s="20">
        <f>IF($L1214&lt;&gt;"",IF(INDEX(LdAId,$L1214)="","—",INDEX(LdAId,$L1214)),IF($M1214&lt;&gt;"",IF(INDEX(LdBId,$M1214)="","—",INDEX(LdBId,$M1214)),IF($N1214&lt;&gt;"",IF(INDEX(LdCBank,$N1214)="","—",INDEX(LdCBank,$N1214)),"")))</f>
        <v/>
      </c>
      <c r="E1214" s="21">
        <f>IF($L1214&lt;&gt;"",IF(INDEX(LdAAmt,$L1214)=0,"",INDEX(LdAAmt,$L1214)),IF($M1214&lt;&gt;"",IF(INDEX(LdBAmt,$M1214)=0,"",INDEX(LdBAmt,$M1214)),IF($N1214&lt;&gt;"",IF(INDEX(LdCDep,$N1214)=0,"",INDEX(LdCDep,$N1214)),"")))</f>
        <v/>
      </c>
      <c r="F1214" s="21">
        <f>IF(AND($L1214="",$M1214="",$N1214=""),"",IF($N1214="","",IF(INDEX(LdCWit,$N1214)=0,"",INDEX(LdCWit,$N1214))))</f>
        <v/>
      </c>
      <c r="G1214" s="31">
        <f>IF($B1214="","",IF($G1213="",0,$G1213)+IF($E1214="",0,$E1214)-IF($F1214="",0,$F1214))</f>
        <v/>
      </c>
      <c r="H1214" s="32">
        <f>IF(AND($L1214="",$M1214="",$N1214=""),"",IF($L1214&lt;&gt;"",IF(INDEX(LdANote,$L1214)="","—",INDEX(LdANote,$L1214)),IF($M1214&lt;&gt;"",IF(INDEX(LdBNote,$M1214)="","—",INDEX(LdBNote,$M1214)),IF($N1214&lt;&gt;"",IF(INDEX(LdCNote,$N1214)="","—",INDEX(LdCNote,$N1214)),""))))</f>
        <v/>
      </c>
      <c r="L1214">
        <f>IFERROR(MATCH($C$5&amp;"|"&amp;RIGHT("000000"&amp;1198,6),LdAKeyM,0),"")</f>
        <v/>
      </c>
      <c r="M1214">
        <f>IFERROR(MATCH($C$5&amp;"|"&amp;RIGHT("000000"&amp;1198,6),LdBKeyM,0),"")</f>
        <v/>
      </c>
      <c r="N1214">
        <f>IFERROR(MATCH($C$5&amp;"|"&amp;RIGHT("000000"&amp;1198,6),LdCKeyM,0),"")</f>
        <v/>
      </c>
    </row>
    <row r="1215">
      <c r="A1215" s="10" t="n">
        <v>1199</v>
      </c>
      <c r="B1215" s="14">
        <f>IF(AND($L1215="",$M1215="",$N1215=""),"",IF($L1215&lt;&gt;"",INDEX(LdADate,$L1215),IF($M1215&lt;&gt;"",INDEX(LdBDate,$M1215),INDEX(LdCDate,$N1215))))</f>
        <v/>
      </c>
      <c r="C1215" s="14">
        <f>IF($L1215&lt;&gt;"","دستمزد (فردی)",IF($M1215&lt;&gt;"","سهم از گروه "&amp;IFERROR(VLOOKUP(INDEX(LdBGroup,$M1215),WGTbl,2,0),INDEX(LdBGroup,$M1215)),IF($N1215&lt;&gt;"",IF(N(INDEX(LdCDep,$N1215))&gt;0,"بازگشت بانکی","پرداخت بانکی"),"")))</f>
        <v/>
      </c>
      <c r="D1215" s="14">
        <f>IF($L1215&lt;&gt;"",IF(INDEX(LdAId,$L1215)="","—",INDEX(LdAId,$L1215)),IF($M1215&lt;&gt;"",IF(INDEX(LdBId,$M1215)="","—",INDEX(LdBId,$M1215)),IF($N1215&lt;&gt;"",IF(INDEX(LdCBank,$N1215)="","—",INDEX(LdCBank,$N1215)),"")))</f>
        <v/>
      </c>
      <c r="E1215" s="16">
        <f>IF($L1215&lt;&gt;"",IF(INDEX(LdAAmt,$L1215)=0,"",INDEX(LdAAmt,$L1215)),IF($M1215&lt;&gt;"",IF(INDEX(LdBAmt,$M1215)=0,"",INDEX(LdBAmt,$M1215)),IF($N1215&lt;&gt;"",IF(INDEX(LdCDep,$N1215)=0,"",INDEX(LdCDep,$N1215)),"")))</f>
        <v/>
      </c>
      <c r="F1215" s="16">
        <f>IF(AND($L1215="",$M1215="",$N1215=""),"",IF($N1215="","",IF(INDEX(LdCWit,$N1215)=0,"",INDEX(LdCWit,$N1215))))</f>
        <v/>
      </c>
      <c r="G1215" s="29">
        <f>IF($B1215="","",IF($G1214="",0,$G1214)+IF($E1215="",0,$E1215)-IF($F1215="",0,$F1215))</f>
        <v/>
      </c>
      <c r="H1215" s="30">
        <f>IF(AND($L1215="",$M1215="",$N1215=""),"",IF($L1215&lt;&gt;"",IF(INDEX(LdANote,$L1215)="","—",INDEX(LdANote,$L1215)),IF($M1215&lt;&gt;"",IF(INDEX(LdBNote,$M1215)="","—",INDEX(LdBNote,$M1215)),IF($N1215&lt;&gt;"",IF(INDEX(LdCNote,$N1215)="","—",INDEX(LdCNote,$N1215)),""))))</f>
        <v/>
      </c>
      <c r="L1215">
        <f>IFERROR(MATCH($C$5&amp;"|"&amp;RIGHT("000000"&amp;1199,6),LdAKeyM,0),"")</f>
        <v/>
      </c>
      <c r="M1215">
        <f>IFERROR(MATCH($C$5&amp;"|"&amp;RIGHT("000000"&amp;1199,6),LdBKeyM,0),"")</f>
        <v/>
      </c>
      <c r="N1215">
        <f>IFERROR(MATCH($C$5&amp;"|"&amp;RIGHT("000000"&amp;1199,6),LdCKeyM,0),"")</f>
        <v/>
      </c>
    </row>
    <row r="1216">
      <c r="A1216" s="19" t="n">
        <v>1200</v>
      </c>
      <c r="B1216" s="20">
        <f>IF(AND($L1216="",$M1216="",$N1216=""),"",IF($L1216&lt;&gt;"",INDEX(LdADate,$L1216),IF($M1216&lt;&gt;"",INDEX(LdBDate,$M1216),INDEX(LdCDate,$N1216))))</f>
        <v/>
      </c>
      <c r="C1216" s="20">
        <f>IF($L1216&lt;&gt;"","دستمزد (فردی)",IF($M1216&lt;&gt;"","سهم از گروه "&amp;IFERROR(VLOOKUP(INDEX(LdBGroup,$M1216),WGTbl,2,0),INDEX(LdBGroup,$M1216)),IF($N1216&lt;&gt;"",IF(N(INDEX(LdCDep,$N1216))&gt;0,"بازگشت بانکی","پرداخت بانکی"),"")))</f>
        <v/>
      </c>
      <c r="D1216" s="20">
        <f>IF($L1216&lt;&gt;"",IF(INDEX(LdAId,$L1216)="","—",INDEX(LdAId,$L1216)),IF($M1216&lt;&gt;"",IF(INDEX(LdBId,$M1216)="","—",INDEX(LdBId,$M1216)),IF($N1216&lt;&gt;"",IF(INDEX(LdCBank,$N1216)="","—",INDEX(LdCBank,$N1216)),"")))</f>
        <v/>
      </c>
      <c r="E1216" s="21">
        <f>IF($L1216&lt;&gt;"",IF(INDEX(LdAAmt,$L1216)=0,"",INDEX(LdAAmt,$L1216)),IF($M1216&lt;&gt;"",IF(INDEX(LdBAmt,$M1216)=0,"",INDEX(LdBAmt,$M1216)),IF($N1216&lt;&gt;"",IF(INDEX(LdCDep,$N1216)=0,"",INDEX(LdCDep,$N1216)),"")))</f>
        <v/>
      </c>
      <c r="F1216" s="21">
        <f>IF(AND($L1216="",$M1216="",$N1216=""),"",IF($N1216="","",IF(INDEX(LdCWit,$N1216)=0,"",INDEX(LdCWit,$N1216))))</f>
        <v/>
      </c>
      <c r="G1216" s="31">
        <f>IF($B1216="","",IF($G1215="",0,$G1215)+IF($E1216="",0,$E1216)-IF($F1216="",0,$F1216))</f>
        <v/>
      </c>
      <c r="H1216" s="32">
        <f>IF(AND($L1216="",$M1216="",$N1216=""),"",IF($L1216&lt;&gt;"",IF(INDEX(LdANote,$L1216)="","—",INDEX(LdANote,$L1216)),IF($M1216&lt;&gt;"",IF(INDEX(LdBNote,$M1216)="","—",INDEX(LdBNote,$M1216)),IF($N1216&lt;&gt;"",IF(INDEX(LdCNote,$N1216)="","—",INDEX(LdCNote,$N1216)),""))))</f>
        <v/>
      </c>
      <c r="L1216">
        <f>IFERROR(MATCH($C$5&amp;"|"&amp;RIGHT("000000"&amp;1200,6),LdAKeyM,0),"")</f>
        <v/>
      </c>
      <c r="M1216">
        <f>IFERROR(MATCH($C$5&amp;"|"&amp;RIGHT("000000"&amp;1200,6),LdBKeyM,0),"")</f>
        <v/>
      </c>
      <c r="N1216">
        <f>IFERROR(MATCH($C$5&amp;"|"&amp;RIGHT("000000"&amp;1200,6),LdCKeyM,0),"")</f>
        <v/>
      </c>
    </row>
    <row r="1217">
      <c r="A1217" s="10" t="n">
        <v>1201</v>
      </c>
      <c r="B1217" s="14">
        <f>IF(AND($L1217="",$M1217="",$N1217=""),"",IF($L1217&lt;&gt;"",INDEX(LdADate,$L1217),IF($M1217&lt;&gt;"",INDEX(LdBDate,$M1217),INDEX(LdCDate,$N1217))))</f>
        <v/>
      </c>
      <c r="C1217" s="14">
        <f>IF($L1217&lt;&gt;"","دستمزد (فردی)",IF($M1217&lt;&gt;"","سهم از گروه "&amp;IFERROR(VLOOKUP(INDEX(LdBGroup,$M1217),WGTbl,2,0),INDEX(LdBGroup,$M1217)),IF($N1217&lt;&gt;"",IF(N(INDEX(LdCDep,$N1217))&gt;0,"بازگشت بانکی","پرداخت بانکی"),"")))</f>
        <v/>
      </c>
      <c r="D1217" s="14">
        <f>IF($L1217&lt;&gt;"",IF(INDEX(LdAId,$L1217)="","—",INDEX(LdAId,$L1217)),IF($M1217&lt;&gt;"",IF(INDEX(LdBId,$M1217)="","—",INDEX(LdBId,$M1217)),IF($N1217&lt;&gt;"",IF(INDEX(LdCBank,$N1217)="","—",INDEX(LdCBank,$N1217)),"")))</f>
        <v/>
      </c>
      <c r="E1217" s="16">
        <f>IF($L1217&lt;&gt;"",IF(INDEX(LdAAmt,$L1217)=0,"",INDEX(LdAAmt,$L1217)),IF($M1217&lt;&gt;"",IF(INDEX(LdBAmt,$M1217)=0,"",INDEX(LdBAmt,$M1217)),IF($N1217&lt;&gt;"",IF(INDEX(LdCDep,$N1217)=0,"",INDEX(LdCDep,$N1217)),"")))</f>
        <v/>
      </c>
      <c r="F1217" s="16">
        <f>IF(AND($L1217="",$M1217="",$N1217=""),"",IF($N1217="","",IF(INDEX(LdCWit,$N1217)=0,"",INDEX(LdCWit,$N1217))))</f>
        <v/>
      </c>
      <c r="G1217" s="29">
        <f>IF($B1217="","",IF($G1216="",0,$G1216)+IF($E1217="",0,$E1217)-IF($F1217="",0,$F1217))</f>
        <v/>
      </c>
      <c r="H1217" s="30">
        <f>IF(AND($L1217="",$M1217="",$N1217=""),"",IF($L1217&lt;&gt;"",IF(INDEX(LdANote,$L1217)="","—",INDEX(LdANote,$L1217)),IF($M1217&lt;&gt;"",IF(INDEX(LdBNote,$M1217)="","—",INDEX(LdBNote,$M1217)),IF($N1217&lt;&gt;"",IF(INDEX(LdCNote,$N1217)="","—",INDEX(LdCNote,$N1217)),""))))</f>
        <v/>
      </c>
      <c r="L1217">
        <f>IFERROR(MATCH($C$5&amp;"|"&amp;RIGHT("000000"&amp;1201,6),LdAKeyM,0),"")</f>
        <v/>
      </c>
      <c r="M1217">
        <f>IFERROR(MATCH($C$5&amp;"|"&amp;RIGHT("000000"&amp;1201,6),LdBKeyM,0),"")</f>
        <v/>
      </c>
      <c r="N1217">
        <f>IFERROR(MATCH($C$5&amp;"|"&amp;RIGHT("000000"&amp;1201,6),LdCKeyM,0),"")</f>
        <v/>
      </c>
    </row>
    <row r="1218">
      <c r="A1218" s="19" t="n">
        <v>1202</v>
      </c>
      <c r="B1218" s="20">
        <f>IF(AND($L1218="",$M1218="",$N1218=""),"",IF($L1218&lt;&gt;"",INDEX(LdADate,$L1218),IF($M1218&lt;&gt;"",INDEX(LdBDate,$M1218),INDEX(LdCDate,$N1218))))</f>
        <v/>
      </c>
      <c r="C1218" s="20">
        <f>IF($L1218&lt;&gt;"","دستمزد (فردی)",IF($M1218&lt;&gt;"","سهم از گروه "&amp;IFERROR(VLOOKUP(INDEX(LdBGroup,$M1218),WGTbl,2,0),INDEX(LdBGroup,$M1218)),IF($N1218&lt;&gt;"",IF(N(INDEX(LdCDep,$N1218))&gt;0,"بازگشت بانکی","پرداخت بانکی"),"")))</f>
        <v/>
      </c>
      <c r="D1218" s="20">
        <f>IF($L1218&lt;&gt;"",IF(INDEX(LdAId,$L1218)="","—",INDEX(LdAId,$L1218)),IF($M1218&lt;&gt;"",IF(INDEX(LdBId,$M1218)="","—",INDEX(LdBId,$M1218)),IF($N1218&lt;&gt;"",IF(INDEX(LdCBank,$N1218)="","—",INDEX(LdCBank,$N1218)),"")))</f>
        <v/>
      </c>
      <c r="E1218" s="21">
        <f>IF($L1218&lt;&gt;"",IF(INDEX(LdAAmt,$L1218)=0,"",INDEX(LdAAmt,$L1218)),IF($M1218&lt;&gt;"",IF(INDEX(LdBAmt,$M1218)=0,"",INDEX(LdBAmt,$M1218)),IF($N1218&lt;&gt;"",IF(INDEX(LdCDep,$N1218)=0,"",INDEX(LdCDep,$N1218)),"")))</f>
        <v/>
      </c>
      <c r="F1218" s="21">
        <f>IF(AND($L1218="",$M1218="",$N1218=""),"",IF($N1218="","",IF(INDEX(LdCWit,$N1218)=0,"",INDEX(LdCWit,$N1218))))</f>
        <v/>
      </c>
      <c r="G1218" s="31">
        <f>IF($B1218="","",IF($G1217="",0,$G1217)+IF($E1218="",0,$E1218)-IF($F1218="",0,$F1218))</f>
        <v/>
      </c>
      <c r="H1218" s="32">
        <f>IF(AND($L1218="",$M1218="",$N1218=""),"",IF($L1218&lt;&gt;"",IF(INDEX(LdANote,$L1218)="","—",INDEX(LdANote,$L1218)),IF($M1218&lt;&gt;"",IF(INDEX(LdBNote,$M1218)="","—",INDEX(LdBNote,$M1218)),IF($N1218&lt;&gt;"",IF(INDEX(LdCNote,$N1218)="","—",INDEX(LdCNote,$N1218)),""))))</f>
        <v/>
      </c>
      <c r="L1218">
        <f>IFERROR(MATCH($C$5&amp;"|"&amp;RIGHT("000000"&amp;1202,6),LdAKeyM,0),"")</f>
        <v/>
      </c>
      <c r="M1218">
        <f>IFERROR(MATCH($C$5&amp;"|"&amp;RIGHT("000000"&amp;1202,6),LdBKeyM,0),"")</f>
        <v/>
      </c>
      <c r="N1218">
        <f>IFERROR(MATCH($C$5&amp;"|"&amp;RIGHT("000000"&amp;1202,6),LdCKeyM,0),"")</f>
        <v/>
      </c>
    </row>
    <row r="1219">
      <c r="A1219" s="10" t="n">
        <v>1203</v>
      </c>
      <c r="B1219" s="14">
        <f>IF(AND($L1219="",$M1219="",$N1219=""),"",IF($L1219&lt;&gt;"",INDEX(LdADate,$L1219),IF($M1219&lt;&gt;"",INDEX(LdBDate,$M1219),INDEX(LdCDate,$N1219))))</f>
        <v/>
      </c>
      <c r="C1219" s="14">
        <f>IF($L1219&lt;&gt;"","دستمزد (فردی)",IF($M1219&lt;&gt;"","سهم از گروه "&amp;IFERROR(VLOOKUP(INDEX(LdBGroup,$M1219),WGTbl,2,0),INDEX(LdBGroup,$M1219)),IF($N1219&lt;&gt;"",IF(N(INDEX(LdCDep,$N1219))&gt;0,"بازگشت بانکی","پرداخت بانکی"),"")))</f>
        <v/>
      </c>
      <c r="D1219" s="14">
        <f>IF($L1219&lt;&gt;"",IF(INDEX(LdAId,$L1219)="","—",INDEX(LdAId,$L1219)),IF($M1219&lt;&gt;"",IF(INDEX(LdBId,$M1219)="","—",INDEX(LdBId,$M1219)),IF($N1219&lt;&gt;"",IF(INDEX(LdCBank,$N1219)="","—",INDEX(LdCBank,$N1219)),"")))</f>
        <v/>
      </c>
      <c r="E1219" s="16">
        <f>IF($L1219&lt;&gt;"",IF(INDEX(LdAAmt,$L1219)=0,"",INDEX(LdAAmt,$L1219)),IF($M1219&lt;&gt;"",IF(INDEX(LdBAmt,$M1219)=0,"",INDEX(LdBAmt,$M1219)),IF($N1219&lt;&gt;"",IF(INDEX(LdCDep,$N1219)=0,"",INDEX(LdCDep,$N1219)),"")))</f>
        <v/>
      </c>
      <c r="F1219" s="16">
        <f>IF(AND($L1219="",$M1219="",$N1219=""),"",IF($N1219="","",IF(INDEX(LdCWit,$N1219)=0,"",INDEX(LdCWit,$N1219))))</f>
        <v/>
      </c>
      <c r="G1219" s="29">
        <f>IF($B1219="","",IF($G1218="",0,$G1218)+IF($E1219="",0,$E1219)-IF($F1219="",0,$F1219))</f>
        <v/>
      </c>
      <c r="H1219" s="30">
        <f>IF(AND($L1219="",$M1219="",$N1219=""),"",IF($L1219&lt;&gt;"",IF(INDEX(LdANote,$L1219)="","—",INDEX(LdANote,$L1219)),IF($M1219&lt;&gt;"",IF(INDEX(LdBNote,$M1219)="","—",INDEX(LdBNote,$M1219)),IF($N1219&lt;&gt;"",IF(INDEX(LdCNote,$N1219)="","—",INDEX(LdCNote,$N1219)),""))))</f>
        <v/>
      </c>
      <c r="L1219">
        <f>IFERROR(MATCH($C$5&amp;"|"&amp;RIGHT("000000"&amp;1203,6),LdAKeyM,0),"")</f>
        <v/>
      </c>
      <c r="M1219">
        <f>IFERROR(MATCH($C$5&amp;"|"&amp;RIGHT("000000"&amp;1203,6),LdBKeyM,0),"")</f>
        <v/>
      </c>
      <c r="N1219">
        <f>IFERROR(MATCH($C$5&amp;"|"&amp;RIGHT("000000"&amp;1203,6),LdCKeyM,0),"")</f>
        <v/>
      </c>
    </row>
    <row r="1220">
      <c r="A1220" s="19" t="n">
        <v>1204</v>
      </c>
      <c r="B1220" s="20">
        <f>IF(AND($L1220="",$M1220="",$N1220=""),"",IF($L1220&lt;&gt;"",INDEX(LdADate,$L1220),IF($M1220&lt;&gt;"",INDEX(LdBDate,$M1220),INDEX(LdCDate,$N1220))))</f>
        <v/>
      </c>
      <c r="C1220" s="20">
        <f>IF($L1220&lt;&gt;"","دستمزد (فردی)",IF($M1220&lt;&gt;"","سهم از گروه "&amp;IFERROR(VLOOKUP(INDEX(LdBGroup,$M1220),WGTbl,2,0),INDEX(LdBGroup,$M1220)),IF($N1220&lt;&gt;"",IF(N(INDEX(LdCDep,$N1220))&gt;0,"بازگشت بانکی","پرداخت بانکی"),"")))</f>
        <v/>
      </c>
      <c r="D1220" s="20">
        <f>IF($L1220&lt;&gt;"",IF(INDEX(LdAId,$L1220)="","—",INDEX(LdAId,$L1220)),IF($M1220&lt;&gt;"",IF(INDEX(LdBId,$M1220)="","—",INDEX(LdBId,$M1220)),IF($N1220&lt;&gt;"",IF(INDEX(LdCBank,$N1220)="","—",INDEX(LdCBank,$N1220)),"")))</f>
        <v/>
      </c>
      <c r="E1220" s="21">
        <f>IF($L1220&lt;&gt;"",IF(INDEX(LdAAmt,$L1220)=0,"",INDEX(LdAAmt,$L1220)),IF($M1220&lt;&gt;"",IF(INDEX(LdBAmt,$M1220)=0,"",INDEX(LdBAmt,$M1220)),IF($N1220&lt;&gt;"",IF(INDEX(LdCDep,$N1220)=0,"",INDEX(LdCDep,$N1220)),"")))</f>
        <v/>
      </c>
      <c r="F1220" s="21">
        <f>IF(AND($L1220="",$M1220="",$N1220=""),"",IF($N1220="","",IF(INDEX(LdCWit,$N1220)=0,"",INDEX(LdCWit,$N1220))))</f>
        <v/>
      </c>
      <c r="G1220" s="31">
        <f>IF($B1220="","",IF($G1219="",0,$G1219)+IF($E1220="",0,$E1220)-IF($F1220="",0,$F1220))</f>
        <v/>
      </c>
      <c r="H1220" s="32">
        <f>IF(AND($L1220="",$M1220="",$N1220=""),"",IF($L1220&lt;&gt;"",IF(INDEX(LdANote,$L1220)="","—",INDEX(LdANote,$L1220)),IF($M1220&lt;&gt;"",IF(INDEX(LdBNote,$M1220)="","—",INDEX(LdBNote,$M1220)),IF($N1220&lt;&gt;"",IF(INDEX(LdCNote,$N1220)="","—",INDEX(LdCNote,$N1220)),""))))</f>
        <v/>
      </c>
      <c r="L1220">
        <f>IFERROR(MATCH($C$5&amp;"|"&amp;RIGHT("000000"&amp;1204,6),LdAKeyM,0),"")</f>
        <v/>
      </c>
      <c r="M1220">
        <f>IFERROR(MATCH($C$5&amp;"|"&amp;RIGHT("000000"&amp;1204,6),LdBKeyM,0),"")</f>
        <v/>
      </c>
      <c r="N1220">
        <f>IFERROR(MATCH($C$5&amp;"|"&amp;RIGHT("000000"&amp;1204,6),LdCKeyM,0),"")</f>
        <v/>
      </c>
    </row>
    <row r="1221">
      <c r="A1221" s="10" t="n">
        <v>1205</v>
      </c>
      <c r="B1221" s="14">
        <f>IF(AND($L1221="",$M1221="",$N1221=""),"",IF($L1221&lt;&gt;"",INDEX(LdADate,$L1221),IF($M1221&lt;&gt;"",INDEX(LdBDate,$M1221),INDEX(LdCDate,$N1221))))</f>
        <v/>
      </c>
      <c r="C1221" s="14">
        <f>IF($L1221&lt;&gt;"","دستمزد (فردی)",IF($M1221&lt;&gt;"","سهم از گروه "&amp;IFERROR(VLOOKUP(INDEX(LdBGroup,$M1221),WGTbl,2,0),INDEX(LdBGroup,$M1221)),IF($N1221&lt;&gt;"",IF(N(INDEX(LdCDep,$N1221))&gt;0,"بازگشت بانکی","پرداخت بانکی"),"")))</f>
        <v/>
      </c>
      <c r="D1221" s="14">
        <f>IF($L1221&lt;&gt;"",IF(INDEX(LdAId,$L1221)="","—",INDEX(LdAId,$L1221)),IF($M1221&lt;&gt;"",IF(INDEX(LdBId,$M1221)="","—",INDEX(LdBId,$M1221)),IF($N1221&lt;&gt;"",IF(INDEX(LdCBank,$N1221)="","—",INDEX(LdCBank,$N1221)),"")))</f>
        <v/>
      </c>
      <c r="E1221" s="16">
        <f>IF($L1221&lt;&gt;"",IF(INDEX(LdAAmt,$L1221)=0,"",INDEX(LdAAmt,$L1221)),IF($M1221&lt;&gt;"",IF(INDEX(LdBAmt,$M1221)=0,"",INDEX(LdBAmt,$M1221)),IF($N1221&lt;&gt;"",IF(INDEX(LdCDep,$N1221)=0,"",INDEX(LdCDep,$N1221)),"")))</f>
        <v/>
      </c>
      <c r="F1221" s="16">
        <f>IF(AND($L1221="",$M1221="",$N1221=""),"",IF($N1221="","",IF(INDEX(LdCWit,$N1221)=0,"",INDEX(LdCWit,$N1221))))</f>
        <v/>
      </c>
      <c r="G1221" s="29">
        <f>IF($B1221="","",IF($G1220="",0,$G1220)+IF($E1221="",0,$E1221)-IF($F1221="",0,$F1221))</f>
        <v/>
      </c>
      <c r="H1221" s="30">
        <f>IF(AND($L1221="",$M1221="",$N1221=""),"",IF($L1221&lt;&gt;"",IF(INDEX(LdANote,$L1221)="","—",INDEX(LdANote,$L1221)),IF($M1221&lt;&gt;"",IF(INDEX(LdBNote,$M1221)="","—",INDEX(LdBNote,$M1221)),IF($N1221&lt;&gt;"",IF(INDEX(LdCNote,$N1221)="","—",INDEX(LdCNote,$N1221)),""))))</f>
        <v/>
      </c>
      <c r="L1221">
        <f>IFERROR(MATCH($C$5&amp;"|"&amp;RIGHT("000000"&amp;1205,6),LdAKeyM,0),"")</f>
        <v/>
      </c>
      <c r="M1221">
        <f>IFERROR(MATCH($C$5&amp;"|"&amp;RIGHT("000000"&amp;1205,6),LdBKeyM,0),"")</f>
        <v/>
      </c>
      <c r="N1221">
        <f>IFERROR(MATCH($C$5&amp;"|"&amp;RIGHT("000000"&amp;1205,6),LdCKeyM,0),"")</f>
        <v/>
      </c>
    </row>
    <row r="1222">
      <c r="A1222" s="19" t="n">
        <v>1206</v>
      </c>
      <c r="B1222" s="20">
        <f>IF(AND($L1222="",$M1222="",$N1222=""),"",IF($L1222&lt;&gt;"",INDEX(LdADate,$L1222),IF($M1222&lt;&gt;"",INDEX(LdBDate,$M1222),INDEX(LdCDate,$N1222))))</f>
        <v/>
      </c>
      <c r="C1222" s="20">
        <f>IF($L1222&lt;&gt;"","دستمزد (فردی)",IF($M1222&lt;&gt;"","سهم از گروه "&amp;IFERROR(VLOOKUP(INDEX(LdBGroup,$M1222),WGTbl,2,0),INDEX(LdBGroup,$M1222)),IF($N1222&lt;&gt;"",IF(N(INDEX(LdCDep,$N1222))&gt;0,"بازگشت بانکی","پرداخت بانکی"),"")))</f>
        <v/>
      </c>
      <c r="D1222" s="20">
        <f>IF($L1222&lt;&gt;"",IF(INDEX(LdAId,$L1222)="","—",INDEX(LdAId,$L1222)),IF($M1222&lt;&gt;"",IF(INDEX(LdBId,$M1222)="","—",INDEX(LdBId,$M1222)),IF($N1222&lt;&gt;"",IF(INDEX(LdCBank,$N1222)="","—",INDEX(LdCBank,$N1222)),"")))</f>
        <v/>
      </c>
      <c r="E1222" s="21">
        <f>IF($L1222&lt;&gt;"",IF(INDEX(LdAAmt,$L1222)=0,"",INDEX(LdAAmt,$L1222)),IF($M1222&lt;&gt;"",IF(INDEX(LdBAmt,$M1222)=0,"",INDEX(LdBAmt,$M1222)),IF($N1222&lt;&gt;"",IF(INDEX(LdCDep,$N1222)=0,"",INDEX(LdCDep,$N1222)),"")))</f>
        <v/>
      </c>
      <c r="F1222" s="21">
        <f>IF(AND($L1222="",$M1222="",$N1222=""),"",IF($N1222="","",IF(INDEX(LdCWit,$N1222)=0,"",INDEX(LdCWit,$N1222))))</f>
        <v/>
      </c>
      <c r="G1222" s="31">
        <f>IF($B1222="","",IF($G1221="",0,$G1221)+IF($E1222="",0,$E1222)-IF($F1222="",0,$F1222))</f>
        <v/>
      </c>
      <c r="H1222" s="32">
        <f>IF(AND($L1222="",$M1222="",$N1222=""),"",IF($L1222&lt;&gt;"",IF(INDEX(LdANote,$L1222)="","—",INDEX(LdANote,$L1222)),IF($M1222&lt;&gt;"",IF(INDEX(LdBNote,$M1222)="","—",INDEX(LdBNote,$M1222)),IF($N1222&lt;&gt;"",IF(INDEX(LdCNote,$N1222)="","—",INDEX(LdCNote,$N1222)),""))))</f>
        <v/>
      </c>
      <c r="L1222">
        <f>IFERROR(MATCH($C$5&amp;"|"&amp;RIGHT("000000"&amp;1206,6),LdAKeyM,0),"")</f>
        <v/>
      </c>
      <c r="M1222">
        <f>IFERROR(MATCH($C$5&amp;"|"&amp;RIGHT("000000"&amp;1206,6),LdBKeyM,0),"")</f>
        <v/>
      </c>
      <c r="N1222">
        <f>IFERROR(MATCH($C$5&amp;"|"&amp;RIGHT("000000"&amp;1206,6),LdCKeyM,0),"")</f>
        <v/>
      </c>
    </row>
    <row r="1223">
      <c r="A1223" s="10" t="n">
        <v>1207</v>
      </c>
      <c r="B1223" s="14">
        <f>IF(AND($L1223="",$M1223="",$N1223=""),"",IF($L1223&lt;&gt;"",INDEX(LdADate,$L1223),IF($M1223&lt;&gt;"",INDEX(LdBDate,$M1223),INDEX(LdCDate,$N1223))))</f>
        <v/>
      </c>
      <c r="C1223" s="14">
        <f>IF($L1223&lt;&gt;"","دستمزد (فردی)",IF($M1223&lt;&gt;"","سهم از گروه "&amp;IFERROR(VLOOKUP(INDEX(LdBGroup,$M1223),WGTbl,2,0),INDEX(LdBGroup,$M1223)),IF($N1223&lt;&gt;"",IF(N(INDEX(LdCDep,$N1223))&gt;0,"بازگشت بانکی","پرداخت بانکی"),"")))</f>
        <v/>
      </c>
      <c r="D1223" s="14">
        <f>IF($L1223&lt;&gt;"",IF(INDEX(LdAId,$L1223)="","—",INDEX(LdAId,$L1223)),IF($M1223&lt;&gt;"",IF(INDEX(LdBId,$M1223)="","—",INDEX(LdBId,$M1223)),IF($N1223&lt;&gt;"",IF(INDEX(LdCBank,$N1223)="","—",INDEX(LdCBank,$N1223)),"")))</f>
        <v/>
      </c>
      <c r="E1223" s="16">
        <f>IF($L1223&lt;&gt;"",IF(INDEX(LdAAmt,$L1223)=0,"",INDEX(LdAAmt,$L1223)),IF($M1223&lt;&gt;"",IF(INDEX(LdBAmt,$M1223)=0,"",INDEX(LdBAmt,$M1223)),IF($N1223&lt;&gt;"",IF(INDEX(LdCDep,$N1223)=0,"",INDEX(LdCDep,$N1223)),"")))</f>
        <v/>
      </c>
      <c r="F1223" s="16">
        <f>IF(AND($L1223="",$M1223="",$N1223=""),"",IF($N1223="","",IF(INDEX(LdCWit,$N1223)=0,"",INDEX(LdCWit,$N1223))))</f>
        <v/>
      </c>
      <c r="G1223" s="29">
        <f>IF($B1223="","",IF($G1222="",0,$G1222)+IF($E1223="",0,$E1223)-IF($F1223="",0,$F1223))</f>
        <v/>
      </c>
      <c r="H1223" s="30">
        <f>IF(AND($L1223="",$M1223="",$N1223=""),"",IF($L1223&lt;&gt;"",IF(INDEX(LdANote,$L1223)="","—",INDEX(LdANote,$L1223)),IF($M1223&lt;&gt;"",IF(INDEX(LdBNote,$M1223)="","—",INDEX(LdBNote,$M1223)),IF($N1223&lt;&gt;"",IF(INDEX(LdCNote,$N1223)="","—",INDEX(LdCNote,$N1223)),""))))</f>
        <v/>
      </c>
      <c r="L1223">
        <f>IFERROR(MATCH($C$5&amp;"|"&amp;RIGHT("000000"&amp;1207,6),LdAKeyM,0),"")</f>
        <v/>
      </c>
      <c r="M1223">
        <f>IFERROR(MATCH($C$5&amp;"|"&amp;RIGHT("000000"&amp;1207,6),LdBKeyM,0),"")</f>
        <v/>
      </c>
      <c r="N1223">
        <f>IFERROR(MATCH($C$5&amp;"|"&amp;RIGHT("000000"&amp;1207,6),LdCKeyM,0),"")</f>
        <v/>
      </c>
    </row>
    <row r="1224">
      <c r="A1224" s="19" t="n">
        <v>1208</v>
      </c>
      <c r="B1224" s="20">
        <f>IF(AND($L1224="",$M1224="",$N1224=""),"",IF($L1224&lt;&gt;"",INDEX(LdADate,$L1224),IF($M1224&lt;&gt;"",INDEX(LdBDate,$M1224),INDEX(LdCDate,$N1224))))</f>
        <v/>
      </c>
      <c r="C1224" s="20">
        <f>IF($L1224&lt;&gt;"","دستمزد (فردی)",IF($M1224&lt;&gt;"","سهم از گروه "&amp;IFERROR(VLOOKUP(INDEX(LdBGroup,$M1224),WGTbl,2,0),INDEX(LdBGroup,$M1224)),IF($N1224&lt;&gt;"",IF(N(INDEX(LdCDep,$N1224))&gt;0,"بازگشت بانکی","پرداخت بانکی"),"")))</f>
        <v/>
      </c>
      <c r="D1224" s="20">
        <f>IF($L1224&lt;&gt;"",IF(INDEX(LdAId,$L1224)="","—",INDEX(LdAId,$L1224)),IF($M1224&lt;&gt;"",IF(INDEX(LdBId,$M1224)="","—",INDEX(LdBId,$M1224)),IF($N1224&lt;&gt;"",IF(INDEX(LdCBank,$N1224)="","—",INDEX(LdCBank,$N1224)),"")))</f>
        <v/>
      </c>
      <c r="E1224" s="21">
        <f>IF($L1224&lt;&gt;"",IF(INDEX(LdAAmt,$L1224)=0,"",INDEX(LdAAmt,$L1224)),IF($M1224&lt;&gt;"",IF(INDEX(LdBAmt,$M1224)=0,"",INDEX(LdBAmt,$M1224)),IF($N1224&lt;&gt;"",IF(INDEX(LdCDep,$N1224)=0,"",INDEX(LdCDep,$N1224)),"")))</f>
        <v/>
      </c>
      <c r="F1224" s="21">
        <f>IF(AND($L1224="",$M1224="",$N1224=""),"",IF($N1224="","",IF(INDEX(LdCWit,$N1224)=0,"",INDEX(LdCWit,$N1224))))</f>
        <v/>
      </c>
      <c r="G1224" s="31">
        <f>IF($B1224="","",IF($G1223="",0,$G1223)+IF($E1224="",0,$E1224)-IF($F1224="",0,$F1224))</f>
        <v/>
      </c>
      <c r="H1224" s="32">
        <f>IF(AND($L1224="",$M1224="",$N1224=""),"",IF($L1224&lt;&gt;"",IF(INDEX(LdANote,$L1224)="","—",INDEX(LdANote,$L1224)),IF($M1224&lt;&gt;"",IF(INDEX(LdBNote,$M1224)="","—",INDEX(LdBNote,$M1224)),IF($N1224&lt;&gt;"",IF(INDEX(LdCNote,$N1224)="","—",INDEX(LdCNote,$N1224)),""))))</f>
        <v/>
      </c>
      <c r="L1224">
        <f>IFERROR(MATCH($C$5&amp;"|"&amp;RIGHT("000000"&amp;1208,6),LdAKeyM,0),"")</f>
        <v/>
      </c>
      <c r="M1224">
        <f>IFERROR(MATCH($C$5&amp;"|"&amp;RIGHT("000000"&amp;1208,6),LdBKeyM,0),"")</f>
        <v/>
      </c>
      <c r="N1224">
        <f>IFERROR(MATCH($C$5&amp;"|"&amp;RIGHT("000000"&amp;1208,6),LdCKeyM,0),"")</f>
        <v/>
      </c>
    </row>
    <row r="1225">
      <c r="A1225" s="10" t="n">
        <v>1209</v>
      </c>
      <c r="B1225" s="14">
        <f>IF(AND($L1225="",$M1225="",$N1225=""),"",IF($L1225&lt;&gt;"",INDEX(LdADate,$L1225),IF($M1225&lt;&gt;"",INDEX(LdBDate,$M1225),INDEX(LdCDate,$N1225))))</f>
        <v/>
      </c>
      <c r="C1225" s="14">
        <f>IF($L1225&lt;&gt;"","دستمزد (فردی)",IF($M1225&lt;&gt;"","سهم از گروه "&amp;IFERROR(VLOOKUP(INDEX(LdBGroup,$M1225),WGTbl,2,0),INDEX(LdBGroup,$M1225)),IF($N1225&lt;&gt;"",IF(N(INDEX(LdCDep,$N1225))&gt;0,"بازگشت بانکی","پرداخت بانکی"),"")))</f>
        <v/>
      </c>
      <c r="D1225" s="14">
        <f>IF($L1225&lt;&gt;"",IF(INDEX(LdAId,$L1225)="","—",INDEX(LdAId,$L1225)),IF($M1225&lt;&gt;"",IF(INDEX(LdBId,$M1225)="","—",INDEX(LdBId,$M1225)),IF($N1225&lt;&gt;"",IF(INDEX(LdCBank,$N1225)="","—",INDEX(LdCBank,$N1225)),"")))</f>
        <v/>
      </c>
      <c r="E1225" s="16">
        <f>IF($L1225&lt;&gt;"",IF(INDEX(LdAAmt,$L1225)=0,"",INDEX(LdAAmt,$L1225)),IF($M1225&lt;&gt;"",IF(INDEX(LdBAmt,$M1225)=0,"",INDEX(LdBAmt,$M1225)),IF($N1225&lt;&gt;"",IF(INDEX(LdCDep,$N1225)=0,"",INDEX(LdCDep,$N1225)),"")))</f>
        <v/>
      </c>
      <c r="F1225" s="16">
        <f>IF(AND($L1225="",$M1225="",$N1225=""),"",IF($N1225="","",IF(INDEX(LdCWit,$N1225)=0,"",INDEX(LdCWit,$N1225))))</f>
        <v/>
      </c>
      <c r="G1225" s="29">
        <f>IF($B1225="","",IF($G1224="",0,$G1224)+IF($E1225="",0,$E1225)-IF($F1225="",0,$F1225))</f>
        <v/>
      </c>
      <c r="H1225" s="30">
        <f>IF(AND($L1225="",$M1225="",$N1225=""),"",IF($L1225&lt;&gt;"",IF(INDEX(LdANote,$L1225)="","—",INDEX(LdANote,$L1225)),IF($M1225&lt;&gt;"",IF(INDEX(LdBNote,$M1225)="","—",INDEX(LdBNote,$M1225)),IF($N1225&lt;&gt;"",IF(INDEX(LdCNote,$N1225)="","—",INDEX(LdCNote,$N1225)),""))))</f>
        <v/>
      </c>
      <c r="L1225">
        <f>IFERROR(MATCH($C$5&amp;"|"&amp;RIGHT("000000"&amp;1209,6),LdAKeyM,0),"")</f>
        <v/>
      </c>
      <c r="M1225">
        <f>IFERROR(MATCH($C$5&amp;"|"&amp;RIGHT("000000"&amp;1209,6),LdBKeyM,0),"")</f>
        <v/>
      </c>
      <c r="N1225">
        <f>IFERROR(MATCH($C$5&amp;"|"&amp;RIGHT("000000"&amp;1209,6),LdCKeyM,0),"")</f>
        <v/>
      </c>
    </row>
    <row r="1226">
      <c r="A1226" s="19" t="n">
        <v>1210</v>
      </c>
      <c r="B1226" s="20">
        <f>IF(AND($L1226="",$M1226="",$N1226=""),"",IF($L1226&lt;&gt;"",INDEX(LdADate,$L1226),IF($M1226&lt;&gt;"",INDEX(LdBDate,$M1226),INDEX(LdCDate,$N1226))))</f>
        <v/>
      </c>
      <c r="C1226" s="20">
        <f>IF($L1226&lt;&gt;"","دستمزد (فردی)",IF($M1226&lt;&gt;"","سهم از گروه "&amp;IFERROR(VLOOKUP(INDEX(LdBGroup,$M1226),WGTbl,2,0),INDEX(LdBGroup,$M1226)),IF($N1226&lt;&gt;"",IF(N(INDEX(LdCDep,$N1226))&gt;0,"بازگشت بانکی","پرداخت بانکی"),"")))</f>
        <v/>
      </c>
      <c r="D1226" s="20">
        <f>IF($L1226&lt;&gt;"",IF(INDEX(LdAId,$L1226)="","—",INDEX(LdAId,$L1226)),IF($M1226&lt;&gt;"",IF(INDEX(LdBId,$M1226)="","—",INDEX(LdBId,$M1226)),IF($N1226&lt;&gt;"",IF(INDEX(LdCBank,$N1226)="","—",INDEX(LdCBank,$N1226)),"")))</f>
        <v/>
      </c>
      <c r="E1226" s="21">
        <f>IF($L1226&lt;&gt;"",IF(INDEX(LdAAmt,$L1226)=0,"",INDEX(LdAAmt,$L1226)),IF($M1226&lt;&gt;"",IF(INDEX(LdBAmt,$M1226)=0,"",INDEX(LdBAmt,$M1226)),IF($N1226&lt;&gt;"",IF(INDEX(LdCDep,$N1226)=0,"",INDEX(LdCDep,$N1226)),"")))</f>
        <v/>
      </c>
      <c r="F1226" s="21">
        <f>IF(AND($L1226="",$M1226="",$N1226=""),"",IF($N1226="","",IF(INDEX(LdCWit,$N1226)=0,"",INDEX(LdCWit,$N1226))))</f>
        <v/>
      </c>
      <c r="G1226" s="31">
        <f>IF($B1226="","",IF($G1225="",0,$G1225)+IF($E1226="",0,$E1226)-IF($F1226="",0,$F1226))</f>
        <v/>
      </c>
      <c r="H1226" s="32">
        <f>IF(AND($L1226="",$M1226="",$N1226=""),"",IF($L1226&lt;&gt;"",IF(INDEX(LdANote,$L1226)="","—",INDEX(LdANote,$L1226)),IF($M1226&lt;&gt;"",IF(INDEX(LdBNote,$M1226)="","—",INDEX(LdBNote,$M1226)),IF($N1226&lt;&gt;"",IF(INDEX(LdCNote,$N1226)="","—",INDEX(LdCNote,$N1226)),""))))</f>
        <v/>
      </c>
      <c r="L1226">
        <f>IFERROR(MATCH($C$5&amp;"|"&amp;RIGHT("000000"&amp;1210,6),LdAKeyM,0),"")</f>
        <v/>
      </c>
      <c r="M1226">
        <f>IFERROR(MATCH($C$5&amp;"|"&amp;RIGHT("000000"&amp;1210,6),LdBKeyM,0),"")</f>
        <v/>
      </c>
      <c r="N1226">
        <f>IFERROR(MATCH($C$5&amp;"|"&amp;RIGHT("000000"&amp;1210,6),LdCKeyM,0),"")</f>
        <v/>
      </c>
    </row>
    <row r="1227">
      <c r="A1227" s="10" t="n">
        <v>1211</v>
      </c>
      <c r="B1227" s="14">
        <f>IF(AND($L1227="",$M1227="",$N1227=""),"",IF($L1227&lt;&gt;"",INDEX(LdADate,$L1227),IF($M1227&lt;&gt;"",INDEX(LdBDate,$M1227),INDEX(LdCDate,$N1227))))</f>
        <v/>
      </c>
      <c r="C1227" s="14">
        <f>IF($L1227&lt;&gt;"","دستمزد (فردی)",IF($M1227&lt;&gt;"","سهم از گروه "&amp;IFERROR(VLOOKUP(INDEX(LdBGroup,$M1227),WGTbl,2,0),INDEX(LdBGroup,$M1227)),IF($N1227&lt;&gt;"",IF(N(INDEX(LdCDep,$N1227))&gt;0,"بازگشت بانکی","پرداخت بانکی"),"")))</f>
        <v/>
      </c>
      <c r="D1227" s="14">
        <f>IF($L1227&lt;&gt;"",IF(INDEX(LdAId,$L1227)="","—",INDEX(LdAId,$L1227)),IF($M1227&lt;&gt;"",IF(INDEX(LdBId,$M1227)="","—",INDEX(LdBId,$M1227)),IF($N1227&lt;&gt;"",IF(INDEX(LdCBank,$N1227)="","—",INDEX(LdCBank,$N1227)),"")))</f>
        <v/>
      </c>
      <c r="E1227" s="16">
        <f>IF($L1227&lt;&gt;"",IF(INDEX(LdAAmt,$L1227)=0,"",INDEX(LdAAmt,$L1227)),IF($M1227&lt;&gt;"",IF(INDEX(LdBAmt,$M1227)=0,"",INDEX(LdBAmt,$M1227)),IF($N1227&lt;&gt;"",IF(INDEX(LdCDep,$N1227)=0,"",INDEX(LdCDep,$N1227)),"")))</f>
        <v/>
      </c>
      <c r="F1227" s="16">
        <f>IF(AND($L1227="",$M1227="",$N1227=""),"",IF($N1227="","",IF(INDEX(LdCWit,$N1227)=0,"",INDEX(LdCWit,$N1227))))</f>
        <v/>
      </c>
      <c r="G1227" s="29">
        <f>IF($B1227="","",IF($G1226="",0,$G1226)+IF($E1227="",0,$E1227)-IF($F1227="",0,$F1227))</f>
        <v/>
      </c>
      <c r="H1227" s="30">
        <f>IF(AND($L1227="",$M1227="",$N1227=""),"",IF($L1227&lt;&gt;"",IF(INDEX(LdANote,$L1227)="","—",INDEX(LdANote,$L1227)),IF($M1227&lt;&gt;"",IF(INDEX(LdBNote,$M1227)="","—",INDEX(LdBNote,$M1227)),IF($N1227&lt;&gt;"",IF(INDEX(LdCNote,$N1227)="","—",INDEX(LdCNote,$N1227)),""))))</f>
        <v/>
      </c>
      <c r="L1227">
        <f>IFERROR(MATCH($C$5&amp;"|"&amp;RIGHT("000000"&amp;1211,6),LdAKeyM,0),"")</f>
        <v/>
      </c>
      <c r="M1227">
        <f>IFERROR(MATCH($C$5&amp;"|"&amp;RIGHT("000000"&amp;1211,6),LdBKeyM,0),"")</f>
        <v/>
      </c>
      <c r="N1227">
        <f>IFERROR(MATCH($C$5&amp;"|"&amp;RIGHT("000000"&amp;1211,6),LdCKeyM,0),"")</f>
        <v/>
      </c>
    </row>
    <row r="1228">
      <c r="A1228" s="19" t="n">
        <v>1212</v>
      </c>
      <c r="B1228" s="20">
        <f>IF(AND($L1228="",$M1228="",$N1228=""),"",IF($L1228&lt;&gt;"",INDEX(LdADate,$L1228),IF($M1228&lt;&gt;"",INDEX(LdBDate,$M1228),INDEX(LdCDate,$N1228))))</f>
        <v/>
      </c>
      <c r="C1228" s="20">
        <f>IF($L1228&lt;&gt;"","دستمزد (فردی)",IF($M1228&lt;&gt;"","سهم از گروه "&amp;IFERROR(VLOOKUP(INDEX(LdBGroup,$M1228),WGTbl,2,0),INDEX(LdBGroup,$M1228)),IF($N1228&lt;&gt;"",IF(N(INDEX(LdCDep,$N1228))&gt;0,"بازگشت بانکی","پرداخت بانکی"),"")))</f>
        <v/>
      </c>
      <c r="D1228" s="20">
        <f>IF($L1228&lt;&gt;"",IF(INDEX(LdAId,$L1228)="","—",INDEX(LdAId,$L1228)),IF($M1228&lt;&gt;"",IF(INDEX(LdBId,$M1228)="","—",INDEX(LdBId,$M1228)),IF($N1228&lt;&gt;"",IF(INDEX(LdCBank,$N1228)="","—",INDEX(LdCBank,$N1228)),"")))</f>
        <v/>
      </c>
      <c r="E1228" s="21">
        <f>IF($L1228&lt;&gt;"",IF(INDEX(LdAAmt,$L1228)=0,"",INDEX(LdAAmt,$L1228)),IF($M1228&lt;&gt;"",IF(INDEX(LdBAmt,$M1228)=0,"",INDEX(LdBAmt,$M1228)),IF($N1228&lt;&gt;"",IF(INDEX(LdCDep,$N1228)=0,"",INDEX(LdCDep,$N1228)),"")))</f>
        <v/>
      </c>
      <c r="F1228" s="21">
        <f>IF(AND($L1228="",$M1228="",$N1228=""),"",IF($N1228="","",IF(INDEX(LdCWit,$N1228)=0,"",INDEX(LdCWit,$N1228))))</f>
        <v/>
      </c>
      <c r="G1228" s="31">
        <f>IF($B1228="","",IF($G1227="",0,$G1227)+IF($E1228="",0,$E1228)-IF($F1228="",0,$F1228))</f>
        <v/>
      </c>
      <c r="H1228" s="32">
        <f>IF(AND($L1228="",$M1228="",$N1228=""),"",IF($L1228&lt;&gt;"",IF(INDEX(LdANote,$L1228)="","—",INDEX(LdANote,$L1228)),IF($M1228&lt;&gt;"",IF(INDEX(LdBNote,$M1228)="","—",INDEX(LdBNote,$M1228)),IF($N1228&lt;&gt;"",IF(INDEX(LdCNote,$N1228)="","—",INDEX(LdCNote,$N1228)),""))))</f>
        <v/>
      </c>
      <c r="L1228">
        <f>IFERROR(MATCH($C$5&amp;"|"&amp;RIGHT("000000"&amp;1212,6),LdAKeyM,0),"")</f>
        <v/>
      </c>
      <c r="M1228">
        <f>IFERROR(MATCH($C$5&amp;"|"&amp;RIGHT("000000"&amp;1212,6),LdBKeyM,0),"")</f>
        <v/>
      </c>
      <c r="N1228">
        <f>IFERROR(MATCH($C$5&amp;"|"&amp;RIGHT("000000"&amp;1212,6),LdCKeyM,0),"")</f>
        <v/>
      </c>
    </row>
    <row r="1229">
      <c r="A1229" s="10" t="n">
        <v>1213</v>
      </c>
      <c r="B1229" s="14">
        <f>IF(AND($L1229="",$M1229="",$N1229=""),"",IF($L1229&lt;&gt;"",INDEX(LdADate,$L1229),IF($M1229&lt;&gt;"",INDEX(LdBDate,$M1229),INDEX(LdCDate,$N1229))))</f>
        <v/>
      </c>
      <c r="C1229" s="14">
        <f>IF($L1229&lt;&gt;"","دستمزد (فردی)",IF($M1229&lt;&gt;"","سهم از گروه "&amp;IFERROR(VLOOKUP(INDEX(LdBGroup,$M1229),WGTbl,2,0),INDEX(LdBGroup,$M1229)),IF($N1229&lt;&gt;"",IF(N(INDEX(LdCDep,$N1229))&gt;0,"بازگشت بانکی","پرداخت بانکی"),"")))</f>
        <v/>
      </c>
      <c r="D1229" s="14">
        <f>IF($L1229&lt;&gt;"",IF(INDEX(LdAId,$L1229)="","—",INDEX(LdAId,$L1229)),IF($M1229&lt;&gt;"",IF(INDEX(LdBId,$M1229)="","—",INDEX(LdBId,$M1229)),IF($N1229&lt;&gt;"",IF(INDEX(LdCBank,$N1229)="","—",INDEX(LdCBank,$N1229)),"")))</f>
        <v/>
      </c>
      <c r="E1229" s="16">
        <f>IF($L1229&lt;&gt;"",IF(INDEX(LdAAmt,$L1229)=0,"",INDEX(LdAAmt,$L1229)),IF($M1229&lt;&gt;"",IF(INDEX(LdBAmt,$M1229)=0,"",INDEX(LdBAmt,$M1229)),IF($N1229&lt;&gt;"",IF(INDEX(LdCDep,$N1229)=0,"",INDEX(LdCDep,$N1229)),"")))</f>
        <v/>
      </c>
      <c r="F1229" s="16">
        <f>IF(AND($L1229="",$M1229="",$N1229=""),"",IF($N1229="","",IF(INDEX(LdCWit,$N1229)=0,"",INDEX(LdCWit,$N1229))))</f>
        <v/>
      </c>
      <c r="G1229" s="29">
        <f>IF($B1229="","",IF($G1228="",0,$G1228)+IF($E1229="",0,$E1229)-IF($F1229="",0,$F1229))</f>
        <v/>
      </c>
      <c r="H1229" s="30">
        <f>IF(AND($L1229="",$M1229="",$N1229=""),"",IF($L1229&lt;&gt;"",IF(INDEX(LdANote,$L1229)="","—",INDEX(LdANote,$L1229)),IF($M1229&lt;&gt;"",IF(INDEX(LdBNote,$M1229)="","—",INDEX(LdBNote,$M1229)),IF($N1229&lt;&gt;"",IF(INDEX(LdCNote,$N1229)="","—",INDEX(LdCNote,$N1229)),""))))</f>
        <v/>
      </c>
      <c r="L1229">
        <f>IFERROR(MATCH($C$5&amp;"|"&amp;RIGHT("000000"&amp;1213,6),LdAKeyM,0),"")</f>
        <v/>
      </c>
      <c r="M1229">
        <f>IFERROR(MATCH($C$5&amp;"|"&amp;RIGHT("000000"&amp;1213,6),LdBKeyM,0),"")</f>
        <v/>
      </c>
      <c r="N1229">
        <f>IFERROR(MATCH($C$5&amp;"|"&amp;RIGHT("000000"&amp;1213,6),LdCKeyM,0),"")</f>
        <v/>
      </c>
    </row>
    <row r="1230">
      <c r="A1230" s="19" t="n">
        <v>1214</v>
      </c>
      <c r="B1230" s="20">
        <f>IF(AND($L1230="",$M1230="",$N1230=""),"",IF($L1230&lt;&gt;"",INDEX(LdADate,$L1230),IF($M1230&lt;&gt;"",INDEX(LdBDate,$M1230),INDEX(LdCDate,$N1230))))</f>
        <v/>
      </c>
      <c r="C1230" s="20">
        <f>IF($L1230&lt;&gt;"","دستمزد (فردی)",IF($M1230&lt;&gt;"","سهم از گروه "&amp;IFERROR(VLOOKUP(INDEX(LdBGroup,$M1230),WGTbl,2,0),INDEX(LdBGroup,$M1230)),IF($N1230&lt;&gt;"",IF(N(INDEX(LdCDep,$N1230))&gt;0,"بازگشت بانکی","پرداخت بانکی"),"")))</f>
        <v/>
      </c>
      <c r="D1230" s="20">
        <f>IF($L1230&lt;&gt;"",IF(INDEX(LdAId,$L1230)="","—",INDEX(LdAId,$L1230)),IF($M1230&lt;&gt;"",IF(INDEX(LdBId,$M1230)="","—",INDEX(LdBId,$M1230)),IF($N1230&lt;&gt;"",IF(INDEX(LdCBank,$N1230)="","—",INDEX(LdCBank,$N1230)),"")))</f>
        <v/>
      </c>
      <c r="E1230" s="21">
        <f>IF($L1230&lt;&gt;"",IF(INDEX(LdAAmt,$L1230)=0,"",INDEX(LdAAmt,$L1230)),IF($M1230&lt;&gt;"",IF(INDEX(LdBAmt,$M1230)=0,"",INDEX(LdBAmt,$M1230)),IF($N1230&lt;&gt;"",IF(INDEX(LdCDep,$N1230)=0,"",INDEX(LdCDep,$N1230)),"")))</f>
        <v/>
      </c>
      <c r="F1230" s="21">
        <f>IF(AND($L1230="",$M1230="",$N1230=""),"",IF($N1230="","",IF(INDEX(LdCWit,$N1230)=0,"",INDEX(LdCWit,$N1230))))</f>
        <v/>
      </c>
      <c r="G1230" s="31">
        <f>IF($B1230="","",IF($G1229="",0,$G1229)+IF($E1230="",0,$E1230)-IF($F1230="",0,$F1230))</f>
        <v/>
      </c>
      <c r="H1230" s="32">
        <f>IF(AND($L1230="",$M1230="",$N1230=""),"",IF($L1230&lt;&gt;"",IF(INDEX(LdANote,$L1230)="","—",INDEX(LdANote,$L1230)),IF($M1230&lt;&gt;"",IF(INDEX(LdBNote,$M1230)="","—",INDEX(LdBNote,$M1230)),IF($N1230&lt;&gt;"",IF(INDEX(LdCNote,$N1230)="","—",INDEX(LdCNote,$N1230)),""))))</f>
        <v/>
      </c>
      <c r="L1230">
        <f>IFERROR(MATCH($C$5&amp;"|"&amp;RIGHT("000000"&amp;1214,6),LdAKeyM,0),"")</f>
        <v/>
      </c>
      <c r="M1230">
        <f>IFERROR(MATCH($C$5&amp;"|"&amp;RIGHT("000000"&amp;1214,6),LdBKeyM,0),"")</f>
        <v/>
      </c>
      <c r="N1230">
        <f>IFERROR(MATCH($C$5&amp;"|"&amp;RIGHT("000000"&amp;1214,6),LdCKeyM,0),"")</f>
        <v/>
      </c>
    </row>
    <row r="1231">
      <c r="A1231" s="10" t="n">
        <v>1215</v>
      </c>
      <c r="B1231" s="14">
        <f>IF(AND($L1231="",$M1231="",$N1231=""),"",IF($L1231&lt;&gt;"",INDEX(LdADate,$L1231),IF($M1231&lt;&gt;"",INDEX(LdBDate,$M1231),INDEX(LdCDate,$N1231))))</f>
        <v/>
      </c>
      <c r="C1231" s="14">
        <f>IF($L1231&lt;&gt;"","دستمزد (فردی)",IF($M1231&lt;&gt;"","سهم از گروه "&amp;IFERROR(VLOOKUP(INDEX(LdBGroup,$M1231),WGTbl,2,0),INDEX(LdBGroup,$M1231)),IF($N1231&lt;&gt;"",IF(N(INDEX(LdCDep,$N1231))&gt;0,"بازگشت بانکی","پرداخت بانکی"),"")))</f>
        <v/>
      </c>
      <c r="D1231" s="14">
        <f>IF($L1231&lt;&gt;"",IF(INDEX(LdAId,$L1231)="","—",INDEX(LdAId,$L1231)),IF($M1231&lt;&gt;"",IF(INDEX(LdBId,$M1231)="","—",INDEX(LdBId,$M1231)),IF($N1231&lt;&gt;"",IF(INDEX(LdCBank,$N1231)="","—",INDEX(LdCBank,$N1231)),"")))</f>
        <v/>
      </c>
      <c r="E1231" s="16">
        <f>IF($L1231&lt;&gt;"",IF(INDEX(LdAAmt,$L1231)=0,"",INDEX(LdAAmt,$L1231)),IF($M1231&lt;&gt;"",IF(INDEX(LdBAmt,$M1231)=0,"",INDEX(LdBAmt,$M1231)),IF($N1231&lt;&gt;"",IF(INDEX(LdCDep,$N1231)=0,"",INDEX(LdCDep,$N1231)),"")))</f>
        <v/>
      </c>
      <c r="F1231" s="16">
        <f>IF(AND($L1231="",$M1231="",$N1231=""),"",IF($N1231="","",IF(INDEX(LdCWit,$N1231)=0,"",INDEX(LdCWit,$N1231))))</f>
        <v/>
      </c>
      <c r="G1231" s="29">
        <f>IF($B1231="","",IF($G1230="",0,$G1230)+IF($E1231="",0,$E1231)-IF($F1231="",0,$F1231))</f>
        <v/>
      </c>
      <c r="H1231" s="30">
        <f>IF(AND($L1231="",$M1231="",$N1231=""),"",IF($L1231&lt;&gt;"",IF(INDEX(LdANote,$L1231)="","—",INDEX(LdANote,$L1231)),IF($M1231&lt;&gt;"",IF(INDEX(LdBNote,$M1231)="","—",INDEX(LdBNote,$M1231)),IF($N1231&lt;&gt;"",IF(INDEX(LdCNote,$N1231)="","—",INDEX(LdCNote,$N1231)),""))))</f>
        <v/>
      </c>
      <c r="L1231">
        <f>IFERROR(MATCH($C$5&amp;"|"&amp;RIGHT("000000"&amp;1215,6),LdAKeyM,0),"")</f>
        <v/>
      </c>
      <c r="M1231">
        <f>IFERROR(MATCH($C$5&amp;"|"&amp;RIGHT("000000"&amp;1215,6),LdBKeyM,0),"")</f>
        <v/>
      </c>
      <c r="N1231">
        <f>IFERROR(MATCH($C$5&amp;"|"&amp;RIGHT("000000"&amp;1215,6),LdCKeyM,0),"")</f>
        <v/>
      </c>
    </row>
    <row r="1232">
      <c r="A1232" s="19" t="n">
        <v>1216</v>
      </c>
      <c r="B1232" s="20">
        <f>IF(AND($L1232="",$M1232="",$N1232=""),"",IF($L1232&lt;&gt;"",INDEX(LdADate,$L1232),IF($M1232&lt;&gt;"",INDEX(LdBDate,$M1232),INDEX(LdCDate,$N1232))))</f>
        <v/>
      </c>
      <c r="C1232" s="20">
        <f>IF($L1232&lt;&gt;"","دستمزد (فردی)",IF($M1232&lt;&gt;"","سهم از گروه "&amp;IFERROR(VLOOKUP(INDEX(LdBGroup,$M1232),WGTbl,2,0),INDEX(LdBGroup,$M1232)),IF($N1232&lt;&gt;"",IF(N(INDEX(LdCDep,$N1232))&gt;0,"بازگشت بانکی","پرداخت بانکی"),"")))</f>
        <v/>
      </c>
      <c r="D1232" s="20">
        <f>IF($L1232&lt;&gt;"",IF(INDEX(LdAId,$L1232)="","—",INDEX(LdAId,$L1232)),IF($M1232&lt;&gt;"",IF(INDEX(LdBId,$M1232)="","—",INDEX(LdBId,$M1232)),IF($N1232&lt;&gt;"",IF(INDEX(LdCBank,$N1232)="","—",INDEX(LdCBank,$N1232)),"")))</f>
        <v/>
      </c>
      <c r="E1232" s="21">
        <f>IF($L1232&lt;&gt;"",IF(INDEX(LdAAmt,$L1232)=0,"",INDEX(LdAAmt,$L1232)),IF($M1232&lt;&gt;"",IF(INDEX(LdBAmt,$M1232)=0,"",INDEX(LdBAmt,$M1232)),IF($N1232&lt;&gt;"",IF(INDEX(LdCDep,$N1232)=0,"",INDEX(LdCDep,$N1232)),"")))</f>
        <v/>
      </c>
      <c r="F1232" s="21">
        <f>IF(AND($L1232="",$M1232="",$N1232=""),"",IF($N1232="","",IF(INDEX(LdCWit,$N1232)=0,"",INDEX(LdCWit,$N1232))))</f>
        <v/>
      </c>
      <c r="G1232" s="31">
        <f>IF($B1232="","",IF($G1231="",0,$G1231)+IF($E1232="",0,$E1232)-IF($F1232="",0,$F1232))</f>
        <v/>
      </c>
      <c r="H1232" s="32">
        <f>IF(AND($L1232="",$M1232="",$N1232=""),"",IF($L1232&lt;&gt;"",IF(INDEX(LdANote,$L1232)="","—",INDEX(LdANote,$L1232)),IF($M1232&lt;&gt;"",IF(INDEX(LdBNote,$M1232)="","—",INDEX(LdBNote,$M1232)),IF($N1232&lt;&gt;"",IF(INDEX(LdCNote,$N1232)="","—",INDEX(LdCNote,$N1232)),""))))</f>
        <v/>
      </c>
      <c r="L1232">
        <f>IFERROR(MATCH($C$5&amp;"|"&amp;RIGHT("000000"&amp;1216,6),LdAKeyM,0),"")</f>
        <v/>
      </c>
      <c r="M1232">
        <f>IFERROR(MATCH($C$5&amp;"|"&amp;RIGHT("000000"&amp;1216,6),LdBKeyM,0),"")</f>
        <v/>
      </c>
      <c r="N1232">
        <f>IFERROR(MATCH($C$5&amp;"|"&amp;RIGHT("000000"&amp;1216,6),LdCKeyM,0),"")</f>
        <v/>
      </c>
    </row>
    <row r="1233">
      <c r="A1233" s="10" t="n">
        <v>1217</v>
      </c>
      <c r="B1233" s="14">
        <f>IF(AND($L1233="",$M1233="",$N1233=""),"",IF($L1233&lt;&gt;"",INDEX(LdADate,$L1233),IF($M1233&lt;&gt;"",INDEX(LdBDate,$M1233),INDEX(LdCDate,$N1233))))</f>
        <v/>
      </c>
      <c r="C1233" s="14">
        <f>IF($L1233&lt;&gt;"","دستمزد (فردی)",IF($M1233&lt;&gt;"","سهم از گروه "&amp;IFERROR(VLOOKUP(INDEX(LdBGroup,$M1233),WGTbl,2,0),INDEX(LdBGroup,$M1233)),IF($N1233&lt;&gt;"",IF(N(INDEX(LdCDep,$N1233))&gt;0,"بازگشت بانکی","پرداخت بانکی"),"")))</f>
        <v/>
      </c>
      <c r="D1233" s="14">
        <f>IF($L1233&lt;&gt;"",IF(INDEX(LdAId,$L1233)="","—",INDEX(LdAId,$L1233)),IF($M1233&lt;&gt;"",IF(INDEX(LdBId,$M1233)="","—",INDEX(LdBId,$M1233)),IF($N1233&lt;&gt;"",IF(INDEX(LdCBank,$N1233)="","—",INDEX(LdCBank,$N1233)),"")))</f>
        <v/>
      </c>
      <c r="E1233" s="16">
        <f>IF($L1233&lt;&gt;"",IF(INDEX(LdAAmt,$L1233)=0,"",INDEX(LdAAmt,$L1233)),IF($M1233&lt;&gt;"",IF(INDEX(LdBAmt,$M1233)=0,"",INDEX(LdBAmt,$M1233)),IF($N1233&lt;&gt;"",IF(INDEX(LdCDep,$N1233)=0,"",INDEX(LdCDep,$N1233)),"")))</f>
        <v/>
      </c>
      <c r="F1233" s="16">
        <f>IF(AND($L1233="",$M1233="",$N1233=""),"",IF($N1233="","",IF(INDEX(LdCWit,$N1233)=0,"",INDEX(LdCWit,$N1233))))</f>
        <v/>
      </c>
      <c r="G1233" s="29">
        <f>IF($B1233="","",IF($G1232="",0,$G1232)+IF($E1233="",0,$E1233)-IF($F1233="",0,$F1233))</f>
        <v/>
      </c>
      <c r="H1233" s="30">
        <f>IF(AND($L1233="",$M1233="",$N1233=""),"",IF($L1233&lt;&gt;"",IF(INDEX(LdANote,$L1233)="","—",INDEX(LdANote,$L1233)),IF($M1233&lt;&gt;"",IF(INDEX(LdBNote,$M1233)="","—",INDEX(LdBNote,$M1233)),IF($N1233&lt;&gt;"",IF(INDEX(LdCNote,$N1233)="","—",INDEX(LdCNote,$N1233)),""))))</f>
        <v/>
      </c>
      <c r="L1233">
        <f>IFERROR(MATCH($C$5&amp;"|"&amp;RIGHT("000000"&amp;1217,6),LdAKeyM,0),"")</f>
        <v/>
      </c>
      <c r="M1233">
        <f>IFERROR(MATCH($C$5&amp;"|"&amp;RIGHT("000000"&amp;1217,6),LdBKeyM,0),"")</f>
        <v/>
      </c>
      <c r="N1233">
        <f>IFERROR(MATCH($C$5&amp;"|"&amp;RIGHT("000000"&amp;1217,6),LdCKeyM,0),"")</f>
        <v/>
      </c>
    </row>
    <row r="1234">
      <c r="A1234" s="19" t="n">
        <v>1218</v>
      </c>
      <c r="B1234" s="20">
        <f>IF(AND($L1234="",$M1234="",$N1234=""),"",IF($L1234&lt;&gt;"",INDEX(LdADate,$L1234),IF($M1234&lt;&gt;"",INDEX(LdBDate,$M1234),INDEX(LdCDate,$N1234))))</f>
        <v/>
      </c>
      <c r="C1234" s="20">
        <f>IF($L1234&lt;&gt;"","دستمزد (فردی)",IF($M1234&lt;&gt;"","سهم از گروه "&amp;IFERROR(VLOOKUP(INDEX(LdBGroup,$M1234),WGTbl,2,0),INDEX(LdBGroup,$M1234)),IF($N1234&lt;&gt;"",IF(N(INDEX(LdCDep,$N1234))&gt;0,"بازگشت بانکی","پرداخت بانکی"),"")))</f>
        <v/>
      </c>
      <c r="D1234" s="20">
        <f>IF($L1234&lt;&gt;"",IF(INDEX(LdAId,$L1234)="","—",INDEX(LdAId,$L1234)),IF($M1234&lt;&gt;"",IF(INDEX(LdBId,$M1234)="","—",INDEX(LdBId,$M1234)),IF($N1234&lt;&gt;"",IF(INDEX(LdCBank,$N1234)="","—",INDEX(LdCBank,$N1234)),"")))</f>
        <v/>
      </c>
      <c r="E1234" s="21">
        <f>IF($L1234&lt;&gt;"",IF(INDEX(LdAAmt,$L1234)=0,"",INDEX(LdAAmt,$L1234)),IF($M1234&lt;&gt;"",IF(INDEX(LdBAmt,$M1234)=0,"",INDEX(LdBAmt,$M1234)),IF($N1234&lt;&gt;"",IF(INDEX(LdCDep,$N1234)=0,"",INDEX(LdCDep,$N1234)),"")))</f>
        <v/>
      </c>
      <c r="F1234" s="21">
        <f>IF(AND($L1234="",$M1234="",$N1234=""),"",IF($N1234="","",IF(INDEX(LdCWit,$N1234)=0,"",INDEX(LdCWit,$N1234))))</f>
        <v/>
      </c>
      <c r="G1234" s="31">
        <f>IF($B1234="","",IF($G1233="",0,$G1233)+IF($E1234="",0,$E1234)-IF($F1234="",0,$F1234))</f>
        <v/>
      </c>
      <c r="H1234" s="32">
        <f>IF(AND($L1234="",$M1234="",$N1234=""),"",IF($L1234&lt;&gt;"",IF(INDEX(LdANote,$L1234)="","—",INDEX(LdANote,$L1234)),IF($M1234&lt;&gt;"",IF(INDEX(LdBNote,$M1234)="","—",INDEX(LdBNote,$M1234)),IF($N1234&lt;&gt;"",IF(INDEX(LdCNote,$N1234)="","—",INDEX(LdCNote,$N1234)),""))))</f>
        <v/>
      </c>
      <c r="L1234">
        <f>IFERROR(MATCH($C$5&amp;"|"&amp;RIGHT("000000"&amp;1218,6),LdAKeyM,0),"")</f>
        <v/>
      </c>
      <c r="M1234">
        <f>IFERROR(MATCH($C$5&amp;"|"&amp;RIGHT("000000"&amp;1218,6),LdBKeyM,0),"")</f>
        <v/>
      </c>
      <c r="N1234">
        <f>IFERROR(MATCH($C$5&amp;"|"&amp;RIGHT("000000"&amp;1218,6),LdCKeyM,0),"")</f>
        <v/>
      </c>
    </row>
    <row r="1235">
      <c r="A1235" s="10" t="n">
        <v>1219</v>
      </c>
      <c r="B1235" s="14">
        <f>IF(AND($L1235="",$M1235="",$N1235=""),"",IF($L1235&lt;&gt;"",INDEX(LdADate,$L1235),IF($M1235&lt;&gt;"",INDEX(LdBDate,$M1235),INDEX(LdCDate,$N1235))))</f>
        <v/>
      </c>
      <c r="C1235" s="14">
        <f>IF($L1235&lt;&gt;"","دستمزد (فردی)",IF($M1235&lt;&gt;"","سهم از گروه "&amp;IFERROR(VLOOKUP(INDEX(LdBGroup,$M1235),WGTbl,2,0),INDEX(LdBGroup,$M1235)),IF($N1235&lt;&gt;"",IF(N(INDEX(LdCDep,$N1235))&gt;0,"بازگشت بانکی","پرداخت بانکی"),"")))</f>
        <v/>
      </c>
      <c r="D1235" s="14">
        <f>IF($L1235&lt;&gt;"",IF(INDEX(LdAId,$L1235)="","—",INDEX(LdAId,$L1235)),IF($M1235&lt;&gt;"",IF(INDEX(LdBId,$M1235)="","—",INDEX(LdBId,$M1235)),IF($N1235&lt;&gt;"",IF(INDEX(LdCBank,$N1235)="","—",INDEX(LdCBank,$N1235)),"")))</f>
        <v/>
      </c>
      <c r="E1235" s="16">
        <f>IF($L1235&lt;&gt;"",IF(INDEX(LdAAmt,$L1235)=0,"",INDEX(LdAAmt,$L1235)),IF($M1235&lt;&gt;"",IF(INDEX(LdBAmt,$M1235)=0,"",INDEX(LdBAmt,$M1235)),IF($N1235&lt;&gt;"",IF(INDEX(LdCDep,$N1235)=0,"",INDEX(LdCDep,$N1235)),"")))</f>
        <v/>
      </c>
      <c r="F1235" s="16">
        <f>IF(AND($L1235="",$M1235="",$N1235=""),"",IF($N1235="","",IF(INDEX(LdCWit,$N1235)=0,"",INDEX(LdCWit,$N1235))))</f>
        <v/>
      </c>
      <c r="G1235" s="29">
        <f>IF($B1235="","",IF($G1234="",0,$G1234)+IF($E1235="",0,$E1235)-IF($F1235="",0,$F1235))</f>
        <v/>
      </c>
      <c r="H1235" s="30">
        <f>IF(AND($L1235="",$M1235="",$N1235=""),"",IF($L1235&lt;&gt;"",IF(INDEX(LdANote,$L1235)="","—",INDEX(LdANote,$L1235)),IF($M1235&lt;&gt;"",IF(INDEX(LdBNote,$M1235)="","—",INDEX(LdBNote,$M1235)),IF($N1235&lt;&gt;"",IF(INDEX(LdCNote,$N1235)="","—",INDEX(LdCNote,$N1235)),""))))</f>
        <v/>
      </c>
      <c r="L1235">
        <f>IFERROR(MATCH($C$5&amp;"|"&amp;RIGHT("000000"&amp;1219,6),LdAKeyM,0),"")</f>
        <v/>
      </c>
      <c r="M1235">
        <f>IFERROR(MATCH($C$5&amp;"|"&amp;RIGHT("000000"&amp;1219,6),LdBKeyM,0),"")</f>
        <v/>
      </c>
      <c r="N1235">
        <f>IFERROR(MATCH($C$5&amp;"|"&amp;RIGHT("000000"&amp;1219,6),LdCKeyM,0),"")</f>
        <v/>
      </c>
    </row>
    <row r="1236">
      <c r="A1236" s="19" t="n">
        <v>1220</v>
      </c>
      <c r="B1236" s="20">
        <f>IF(AND($L1236="",$M1236="",$N1236=""),"",IF($L1236&lt;&gt;"",INDEX(LdADate,$L1236),IF($M1236&lt;&gt;"",INDEX(LdBDate,$M1236),INDEX(LdCDate,$N1236))))</f>
        <v/>
      </c>
      <c r="C1236" s="20">
        <f>IF($L1236&lt;&gt;"","دستمزد (فردی)",IF($M1236&lt;&gt;"","سهم از گروه "&amp;IFERROR(VLOOKUP(INDEX(LdBGroup,$M1236),WGTbl,2,0),INDEX(LdBGroup,$M1236)),IF($N1236&lt;&gt;"",IF(N(INDEX(LdCDep,$N1236))&gt;0,"بازگشت بانکی","پرداخت بانکی"),"")))</f>
        <v/>
      </c>
      <c r="D1236" s="20">
        <f>IF($L1236&lt;&gt;"",IF(INDEX(LdAId,$L1236)="","—",INDEX(LdAId,$L1236)),IF($M1236&lt;&gt;"",IF(INDEX(LdBId,$M1236)="","—",INDEX(LdBId,$M1236)),IF($N1236&lt;&gt;"",IF(INDEX(LdCBank,$N1236)="","—",INDEX(LdCBank,$N1236)),"")))</f>
        <v/>
      </c>
      <c r="E1236" s="21">
        <f>IF($L1236&lt;&gt;"",IF(INDEX(LdAAmt,$L1236)=0,"",INDEX(LdAAmt,$L1236)),IF($M1236&lt;&gt;"",IF(INDEX(LdBAmt,$M1236)=0,"",INDEX(LdBAmt,$M1236)),IF($N1236&lt;&gt;"",IF(INDEX(LdCDep,$N1236)=0,"",INDEX(LdCDep,$N1236)),"")))</f>
        <v/>
      </c>
      <c r="F1236" s="21">
        <f>IF(AND($L1236="",$M1236="",$N1236=""),"",IF($N1236="","",IF(INDEX(LdCWit,$N1236)=0,"",INDEX(LdCWit,$N1236))))</f>
        <v/>
      </c>
      <c r="G1236" s="31">
        <f>IF($B1236="","",IF($G1235="",0,$G1235)+IF($E1236="",0,$E1236)-IF($F1236="",0,$F1236))</f>
        <v/>
      </c>
      <c r="H1236" s="32">
        <f>IF(AND($L1236="",$M1236="",$N1236=""),"",IF($L1236&lt;&gt;"",IF(INDEX(LdANote,$L1236)="","—",INDEX(LdANote,$L1236)),IF($M1236&lt;&gt;"",IF(INDEX(LdBNote,$M1236)="","—",INDEX(LdBNote,$M1236)),IF($N1236&lt;&gt;"",IF(INDEX(LdCNote,$N1236)="","—",INDEX(LdCNote,$N1236)),""))))</f>
        <v/>
      </c>
      <c r="L1236">
        <f>IFERROR(MATCH($C$5&amp;"|"&amp;RIGHT("000000"&amp;1220,6),LdAKeyM,0),"")</f>
        <v/>
      </c>
      <c r="M1236">
        <f>IFERROR(MATCH($C$5&amp;"|"&amp;RIGHT("000000"&amp;1220,6),LdBKeyM,0),"")</f>
        <v/>
      </c>
      <c r="N1236">
        <f>IFERROR(MATCH($C$5&amp;"|"&amp;RIGHT("000000"&amp;1220,6),LdCKeyM,0),"")</f>
        <v/>
      </c>
    </row>
    <row r="1237">
      <c r="A1237" s="10" t="n">
        <v>1221</v>
      </c>
      <c r="B1237" s="14">
        <f>IF(AND($L1237="",$M1237="",$N1237=""),"",IF($L1237&lt;&gt;"",INDEX(LdADate,$L1237),IF($M1237&lt;&gt;"",INDEX(LdBDate,$M1237),INDEX(LdCDate,$N1237))))</f>
        <v/>
      </c>
      <c r="C1237" s="14">
        <f>IF($L1237&lt;&gt;"","دستمزد (فردی)",IF($M1237&lt;&gt;"","سهم از گروه "&amp;IFERROR(VLOOKUP(INDEX(LdBGroup,$M1237),WGTbl,2,0),INDEX(LdBGroup,$M1237)),IF($N1237&lt;&gt;"",IF(N(INDEX(LdCDep,$N1237))&gt;0,"بازگشت بانکی","پرداخت بانکی"),"")))</f>
        <v/>
      </c>
      <c r="D1237" s="14">
        <f>IF($L1237&lt;&gt;"",IF(INDEX(LdAId,$L1237)="","—",INDEX(LdAId,$L1237)),IF($M1237&lt;&gt;"",IF(INDEX(LdBId,$M1237)="","—",INDEX(LdBId,$M1237)),IF($N1237&lt;&gt;"",IF(INDEX(LdCBank,$N1237)="","—",INDEX(LdCBank,$N1237)),"")))</f>
        <v/>
      </c>
      <c r="E1237" s="16">
        <f>IF($L1237&lt;&gt;"",IF(INDEX(LdAAmt,$L1237)=0,"",INDEX(LdAAmt,$L1237)),IF($M1237&lt;&gt;"",IF(INDEX(LdBAmt,$M1237)=0,"",INDEX(LdBAmt,$M1237)),IF($N1237&lt;&gt;"",IF(INDEX(LdCDep,$N1237)=0,"",INDEX(LdCDep,$N1237)),"")))</f>
        <v/>
      </c>
      <c r="F1237" s="16">
        <f>IF(AND($L1237="",$M1237="",$N1237=""),"",IF($N1237="","",IF(INDEX(LdCWit,$N1237)=0,"",INDEX(LdCWit,$N1237))))</f>
        <v/>
      </c>
      <c r="G1237" s="29">
        <f>IF($B1237="","",IF($G1236="",0,$G1236)+IF($E1237="",0,$E1237)-IF($F1237="",0,$F1237))</f>
        <v/>
      </c>
      <c r="H1237" s="30">
        <f>IF(AND($L1237="",$M1237="",$N1237=""),"",IF($L1237&lt;&gt;"",IF(INDEX(LdANote,$L1237)="","—",INDEX(LdANote,$L1237)),IF($M1237&lt;&gt;"",IF(INDEX(LdBNote,$M1237)="","—",INDEX(LdBNote,$M1237)),IF($N1237&lt;&gt;"",IF(INDEX(LdCNote,$N1237)="","—",INDEX(LdCNote,$N1237)),""))))</f>
        <v/>
      </c>
      <c r="L1237">
        <f>IFERROR(MATCH($C$5&amp;"|"&amp;RIGHT("000000"&amp;1221,6),LdAKeyM,0),"")</f>
        <v/>
      </c>
      <c r="M1237">
        <f>IFERROR(MATCH($C$5&amp;"|"&amp;RIGHT("000000"&amp;1221,6),LdBKeyM,0),"")</f>
        <v/>
      </c>
      <c r="N1237">
        <f>IFERROR(MATCH($C$5&amp;"|"&amp;RIGHT("000000"&amp;1221,6),LdCKeyM,0),"")</f>
        <v/>
      </c>
    </row>
    <row r="1238">
      <c r="A1238" s="19" t="n">
        <v>1222</v>
      </c>
      <c r="B1238" s="20">
        <f>IF(AND($L1238="",$M1238="",$N1238=""),"",IF($L1238&lt;&gt;"",INDEX(LdADate,$L1238),IF($M1238&lt;&gt;"",INDEX(LdBDate,$M1238),INDEX(LdCDate,$N1238))))</f>
        <v/>
      </c>
      <c r="C1238" s="20">
        <f>IF($L1238&lt;&gt;"","دستمزد (فردی)",IF($M1238&lt;&gt;"","سهم از گروه "&amp;IFERROR(VLOOKUP(INDEX(LdBGroup,$M1238),WGTbl,2,0),INDEX(LdBGroup,$M1238)),IF($N1238&lt;&gt;"",IF(N(INDEX(LdCDep,$N1238))&gt;0,"بازگشت بانکی","پرداخت بانکی"),"")))</f>
        <v/>
      </c>
      <c r="D1238" s="20">
        <f>IF($L1238&lt;&gt;"",IF(INDEX(LdAId,$L1238)="","—",INDEX(LdAId,$L1238)),IF($M1238&lt;&gt;"",IF(INDEX(LdBId,$M1238)="","—",INDEX(LdBId,$M1238)),IF($N1238&lt;&gt;"",IF(INDEX(LdCBank,$N1238)="","—",INDEX(LdCBank,$N1238)),"")))</f>
        <v/>
      </c>
      <c r="E1238" s="21">
        <f>IF($L1238&lt;&gt;"",IF(INDEX(LdAAmt,$L1238)=0,"",INDEX(LdAAmt,$L1238)),IF($M1238&lt;&gt;"",IF(INDEX(LdBAmt,$M1238)=0,"",INDEX(LdBAmt,$M1238)),IF($N1238&lt;&gt;"",IF(INDEX(LdCDep,$N1238)=0,"",INDEX(LdCDep,$N1238)),"")))</f>
        <v/>
      </c>
      <c r="F1238" s="21">
        <f>IF(AND($L1238="",$M1238="",$N1238=""),"",IF($N1238="","",IF(INDEX(LdCWit,$N1238)=0,"",INDEX(LdCWit,$N1238))))</f>
        <v/>
      </c>
      <c r="G1238" s="31">
        <f>IF($B1238="","",IF($G1237="",0,$G1237)+IF($E1238="",0,$E1238)-IF($F1238="",0,$F1238))</f>
        <v/>
      </c>
      <c r="H1238" s="32">
        <f>IF(AND($L1238="",$M1238="",$N1238=""),"",IF($L1238&lt;&gt;"",IF(INDEX(LdANote,$L1238)="","—",INDEX(LdANote,$L1238)),IF($M1238&lt;&gt;"",IF(INDEX(LdBNote,$M1238)="","—",INDEX(LdBNote,$M1238)),IF($N1238&lt;&gt;"",IF(INDEX(LdCNote,$N1238)="","—",INDEX(LdCNote,$N1238)),""))))</f>
        <v/>
      </c>
      <c r="L1238">
        <f>IFERROR(MATCH($C$5&amp;"|"&amp;RIGHT("000000"&amp;1222,6),LdAKeyM,0),"")</f>
        <v/>
      </c>
      <c r="M1238">
        <f>IFERROR(MATCH($C$5&amp;"|"&amp;RIGHT("000000"&amp;1222,6),LdBKeyM,0),"")</f>
        <v/>
      </c>
      <c r="N1238">
        <f>IFERROR(MATCH($C$5&amp;"|"&amp;RIGHT("000000"&amp;1222,6),LdCKeyM,0),"")</f>
        <v/>
      </c>
    </row>
    <row r="1239">
      <c r="A1239" s="10" t="n">
        <v>1223</v>
      </c>
      <c r="B1239" s="14">
        <f>IF(AND($L1239="",$M1239="",$N1239=""),"",IF($L1239&lt;&gt;"",INDEX(LdADate,$L1239),IF($M1239&lt;&gt;"",INDEX(LdBDate,$M1239),INDEX(LdCDate,$N1239))))</f>
        <v/>
      </c>
      <c r="C1239" s="14">
        <f>IF($L1239&lt;&gt;"","دستمزد (فردی)",IF($M1239&lt;&gt;"","سهم از گروه "&amp;IFERROR(VLOOKUP(INDEX(LdBGroup,$M1239),WGTbl,2,0),INDEX(LdBGroup,$M1239)),IF($N1239&lt;&gt;"",IF(N(INDEX(LdCDep,$N1239))&gt;0,"بازگشت بانکی","پرداخت بانکی"),"")))</f>
        <v/>
      </c>
      <c r="D1239" s="14">
        <f>IF($L1239&lt;&gt;"",IF(INDEX(LdAId,$L1239)="","—",INDEX(LdAId,$L1239)),IF($M1239&lt;&gt;"",IF(INDEX(LdBId,$M1239)="","—",INDEX(LdBId,$M1239)),IF($N1239&lt;&gt;"",IF(INDEX(LdCBank,$N1239)="","—",INDEX(LdCBank,$N1239)),"")))</f>
        <v/>
      </c>
      <c r="E1239" s="16">
        <f>IF($L1239&lt;&gt;"",IF(INDEX(LdAAmt,$L1239)=0,"",INDEX(LdAAmt,$L1239)),IF($M1239&lt;&gt;"",IF(INDEX(LdBAmt,$M1239)=0,"",INDEX(LdBAmt,$M1239)),IF($N1239&lt;&gt;"",IF(INDEX(LdCDep,$N1239)=0,"",INDEX(LdCDep,$N1239)),"")))</f>
        <v/>
      </c>
      <c r="F1239" s="16">
        <f>IF(AND($L1239="",$M1239="",$N1239=""),"",IF($N1239="","",IF(INDEX(LdCWit,$N1239)=0,"",INDEX(LdCWit,$N1239))))</f>
        <v/>
      </c>
      <c r="G1239" s="29">
        <f>IF($B1239="","",IF($G1238="",0,$G1238)+IF($E1239="",0,$E1239)-IF($F1239="",0,$F1239))</f>
        <v/>
      </c>
      <c r="H1239" s="30">
        <f>IF(AND($L1239="",$M1239="",$N1239=""),"",IF($L1239&lt;&gt;"",IF(INDEX(LdANote,$L1239)="","—",INDEX(LdANote,$L1239)),IF($M1239&lt;&gt;"",IF(INDEX(LdBNote,$M1239)="","—",INDEX(LdBNote,$M1239)),IF($N1239&lt;&gt;"",IF(INDEX(LdCNote,$N1239)="","—",INDEX(LdCNote,$N1239)),""))))</f>
        <v/>
      </c>
      <c r="L1239">
        <f>IFERROR(MATCH($C$5&amp;"|"&amp;RIGHT("000000"&amp;1223,6),LdAKeyM,0),"")</f>
        <v/>
      </c>
      <c r="M1239">
        <f>IFERROR(MATCH($C$5&amp;"|"&amp;RIGHT("000000"&amp;1223,6),LdBKeyM,0),"")</f>
        <v/>
      </c>
      <c r="N1239">
        <f>IFERROR(MATCH($C$5&amp;"|"&amp;RIGHT("000000"&amp;1223,6),LdCKeyM,0),"")</f>
        <v/>
      </c>
    </row>
    <row r="1240">
      <c r="A1240" s="19" t="n">
        <v>1224</v>
      </c>
      <c r="B1240" s="20">
        <f>IF(AND($L1240="",$M1240="",$N1240=""),"",IF($L1240&lt;&gt;"",INDEX(LdADate,$L1240),IF($M1240&lt;&gt;"",INDEX(LdBDate,$M1240),INDEX(LdCDate,$N1240))))</f>
        <v/>
      </c>
      <c r="C1240" s="20">
        <f>IF($L1240&lt;&gt;"","دستمزد (فردی)",IF($M1240&lt;&gt;"","سهم از گروه "&amp;IFERROR(VLOOKUP(INDEX(LdBGroup,$M1240),WGTbl,2,0),INDEX(LdBGroup,$M1240)),IF($N1240&lt;&gt;"",IF(N(INDEX(LdCDep,$N1240))&gt;0,"بازگشت بانکی","پرداخت بانکی"),"")))</f>
        <v/>
      </c>
      <c r="D1240" s="20">
        <f>IF($L1240&lt;&gt;"",IF(INDEX(LdAId,$L1240)="","—",INDEX(LdAId,$L1240)),IF($M1240&lt;&gt;"",IF(INDEX(LdBId,$M1240)="","—",INDEX(LdBId,$M1240)),IF($N1240&lt;&gt;"",IF(INDEX(LdCBank,$N1240)="","—",INDEX(LdCBank,$N1240)),"")))</f>
        <v/>
      </c>
      <c r="E1240" s="21">
        <f>IF($L1240&lt;&gt;"",IF(INDEX(LdAAmt,$L1240)=0,"",INDEX(LdAAmt,$L1240)),IF($M1240&lt;&gt;"",IF(INDEX(LdBAmt,$M1240)=0,"",INDEX(LdBAmt,$M1240)),IF($N1240&lt;&gt;"",IF(INDEX(LdCDep,$N1240)=0,"",INDEX(LdCDep,$N1240)),"")))</f>
        <v/>
      </c>
      <c r="F1240" s="21">
        <f>IF(AND($L1240="",$M1240="",$N1240=""),"",IF($N1240="","",IF(INDEX(LdCWit,$N1240)=0,"",INDEX(LdCWit,$N1240))))</f>
        <v/>
      </c>
      <c r="G1240" s="31">
        <f>IF($B1240="","",IF($G1239="",0,$G1239)+IF($E1240="",0,$E1240)-IF($F1240="",0,$F1240))</f>
        <v/>
      </c>
      <c r="H1240" s="32">
        <f>IF(AND($L1240="",$M1240="",$N1240=""),"",IF($L1240&lt;&gt;"",IF(INDEX(LdANote,$L1240)="","—",INDEX(LdANote,$L1240)),IF($M1240&lt;&gt;"",IF(INDEX(LdBNote,$M1240)="","—",INDEX(LdBNote,$M1240)),IF($N1240&lt;&gt;"",IF(INDEX(LdCNote,$N1240)="","—",INDEX(LdCNote,$N1240)),""))))</f>
        <v/>
      </c>
      <c r="L1240">
        <f>IFERROR(MATCH($C$5&amp;"|"&amp;RIGHT("000000"&amp;1224,6),LdAKeyM,0),"")</f>
        <v/>
      </c>
      <c r="M1240">
        <f>IFERROR(MATCH($C$5&amp;"|"&amp;RIGHT("000000"&amp;1224,6),LdBKeyM,0),"")</f>
        <v/>
      </c>
      <c r="N1240">
        <f>IFERROR(MATCH($C$5&amp;"|"&amp;RIGHT("000000"&amp;1224,6),LdCKeyM,0),"")</f>
        <v/>
      </c>
    </row>
    <row r="1241">
      <c r="A1241" s="10" t="n">
        <v>1225</v>
      </c>
      <c r="B1241" s="14">
        <f>IF(AND($L1241="",$M1241="",$N1241=""),"",IF($L1241&lt;&gt;"",INDEX(LdADate,$L1241),IF($M1241&lt;&gt;"",INDEX(LdBDate,$M1241),INDEX(LdCDate,$N1241))))</f>
        <v/>
      </c>
      <c r="C1241" s="14">
        <f>IF($L1241&lt;&gt;"","دستمزد (فردی)",IF($M1241&lt;&gt;"","سهم از گروه "&amp;IFERROR(VLOOKUP(INDEX(LdBGroup,$M1241),WGTbl,2,0),INDEX(LdBGroup,$M1241)),IF($N1241&lt;&gt;"",IF(N(INDEX(LdCDep,$N1241))&gt;0,"بازگشت بانکی","پرداخت بانکی"),"")))</f>
        <v/>
      </c>
      <c r="D1241" s="14">
        <f>IF($L1241&lt;&gt;"",IF(INDEX(LdAId,$L1241)="","—",INDEX(LdAId,$L1241)),IF($M1241&lt;&gt;"",IF(INDEX(LdBId,$M1241)="","—",INDEX(LdBId,$M1241)),IF($N1241&lt;&gt;"",IF(INDEX(LdCBank,$N1241)="","—",INDEX(LdCBank,$N1241)),"")))</f>
        <v/>
      </c>
      <c r="E1241" s="16">
        <f>IF($L1241&lt;&gt;"",IF(INDEX(LdAAmt,$L1241)=0,"",INDEX(LdAAmt,$L1241)),IF($M1241&lt;&gt;"",IF(INDEX(LdBAmt,$M1241)=0,"",INDEX(LdBAmt,$M1241)),IF($N1241&lt;&gt;"",IF(INDEX(LdCDep,$N1241)=0,"",INDEX(LdCDep,$N1241)),"")))</f>
        <v/>
      </c>
      <c r="F1241" s="16">
        <f>IF(AND($L1241="",$M1241="",$N1241=""),"",IF($N1241="","",IF(INDEX(LdCWit,$N1241)=0,"",INDEX(LdCWit,$N1241))))</f>
        <v/>
      </c>
      <c r="G1241" s="29">
        <f>IF($B1241="","",IF($G1240="",0,$G1240)+IF($E1241="",0,$E1241)-IF($F1241="",0,$F1241))</f>
        <v/>
      </c>
      <c r="H1241" s="30">
        <f>IF(AND($L1241="",$M1241="",$N1241=""),"",IF($L1241&lt;&gt;"",IF(INDEX(LdANote,$L1241)="","—",INDEX(LdANote,$L1241)),IF($M1241&lt;&gt;"",IF(INDEX(LdBNote,$M1241)="","—",INDEX(LdBNote,$M1241)),IF($N1241&lt;&gt;"",IF(INDEX(LdCNote,$N1241)="","—",INDEX(LdCNote,$N1241)),""))))</f>
        <v/>
      </c>
      <c r="L1241">
        <f>IFERROR(MATCH($C$5&amp;"|"&amp;RIGHT("000000"&amp;1225,6),LdAKeyM,0),"")</f>
        <v/>
      </c>
      <c r="M1241">
        <f>IFERROR(MATCH($C$5&amp;"|"&amp;RIGHT("000000"&amp;1225,6),LdBKeyM,0),"")</f>
        <v/>
      </c>
      <c r="N1241">
        <f>IFERROR(MATCH($C$5&amp;"|"&amp;RIGHT("000000"&amp;1225,6),LdCKeyM,0),"")</f>
        <v/>
      </c>
    </row>
    <row r="1242">
      <c r="A1242" s="19" t="n">
        <v>1226</v>
      </c>
      <c r="B1242" s="20">
        <f>IF(AND($L1242="",$M1242="",$N1242=""),"",IF($L1242&lt;&gt;"",INDEX(LdADate,$L1242),IF($M1242&lt;&gt;"",INDEX(LdBDate,$M1242),INDEX(LdCDate,$N1242))))</f>
        <v/>
      </c>
      <c r="C1242" s="20">
        <f>IF($L1242&lt;&gt;"","دستمزد (فردی)",IF($M1242&lt;&gt;"","سهم از گروه "&amp;IFERROR(VLOOKUP(INDEX(LdBGroup,$M1242),WGTbl,2,0),INDEX(LdBGroup,$M1242)),IF($N1242&lt;&gt;"",IF(N(INDEX(LdCDep,$N1242))&gt;0,"بازگشت بانکی","پرداخت بانکی"),"")))</f>
        <v/>
      </c>
      <c r="D1242" s="20">
        <f>IF($L1242&lt;&gt;"",IF(INDEX(LdAId,$L1242)="","—",INDEX(LdAId,$L1242)),IF($M1242&lt;&gt;"",IF(INDEX(LdBId,$M1242)="","—",INDEX(LdBId,$M1242)),IF($N1242&lt;&gt;"",IF(INDEX(LdCBank,$N1242)="","—",INDEX(LdCBank,$N1242)),"")))</f>
        <v/>
      </c>
      <c r="E1242" s="21">
        <f>IF($L1242&lt;&gt;"",IF(INDEX(LdAAmt,$L1242)=0,"",INDEX(LdAAmt,$L1242)),IF($M1242&lt;&gt;"",IF(INDEX(LdBAmt,$M1242)=0,"",INDEX(LdBAmt,$M1242)),IF($N1242&lt;&gt;"",IF(INDEX(LdCDep,$N1242)=0,"",INDEX(LdCDep,$N1242)),"")))</f>
        <v/>
      </c>
      <c r="F1242" s="21">
        <f>IF(AND($L1242="",$M1242="",$N1242=""),"",IF($N1242="","",IF(INDEX(LdCWit,$N1242)=0,"",INDEX(LdCWit,$N1242))))</f>
        <v/>
      </c>
      <c r="G1242" s="31">
        <f>IF($B1242="","",IF($G1241="",0,$G1241)+IF($E1242="",0,$E1242)-IF($F1242="",0,$F1242))</f>
        <v/>
      </c>
      <c r="H1242" s="32">
        <f>IF(AND($L1242="",$M1242="",$N1242=""),"",IF($L1242&lt;&gt;"",IF(INDEX(LdANote,$L1242)="","—",INDEX(LdANote,$L1242)),IF($M1242&lt;&gt;"",IF(INDEX(LdBNote,$M1242)="","—",INDEX(LdBNote,$M1242)),IF($N1242&lt;&gt;"",IF(INDEX(LdCNote,$N1242)="","—",INDEX(LdCNote,$N1242)),""))))</f>
        <v/>
      </c>
      <c r="L1242">
        <f>IFERROR(MATCH($C$5&amp;"|"&amp;RIGHT("000000"&amp;1226,6),LdAKeyM,0),"")</f>
        <v/>
      </c>
      <c r="M1242">
        <f>IFERROR(MATCH($C$5&amp;"|"&amp;RIGHT("000000"&amp;1226,6),LdBKeyM,0),"")</f>
        <v/>
      </c>
      <c r="N1242">
        <f>IFERROR(MATCH($C$5&amp;"|"&amp;RIGHT("000000"&amp;1226,6),LdCKeyM,0),"")</f>
        <v/>
      </c>
    </row>
    <row r="1243">
      <c r="A1243" s="10" t="n">
        <v>1227</v>
      </c>
      <c r="B1243" s="14">
        <f>IF(AND($L1243="",$M1243="",$N1243=""),"",IF($L1243&lt;&gt;"",INDEX(LdADate,$L1243),IF($M1243&lt;&gt;"",INDEX(LdBDate,$M1243),INDEX(LdCDate,$N1243))))</f>
        <v/>
      </c>
      <c r="C1243" s="14">
        <f>IF($L1243&lt;&gt;"","دستمزد (فردی)",IF($M1243&lt;&gt;"","سهم از گروه "&amp;IFERROR(VLOOKUP(INDEX(LdBGroup,$M1243),WGTbl,2,0),INDEX(LdBGroup,$M1243)),IF($N1243&lt;&gt;"",IF(N(INDEX(LdCDep,$N1243))&gt;0,"بازگشت بانکی","پرداخت بانکی"),"")))</f>
        <v/>
      </c>
      <c r="D1243" s="14">
        <f>IF($L1243&lt;&gt;"",IF(INDEX(LdAId,$L1243)="","—",INDEX(LdAId,$L1243)),IF($M1243&lt;&gt;"",IF(INDEX(LdBId,$M1243)="","—",INDEX(LdBId,$M1243)),IF($N1243&lt;&gt;"",IF(INDEX(LdCBank,$N1243)="","—",INDEX(LdCBank,$N1243)),"")))</f>
        <v/>
      </c>
      <c r="E1243" s="16">
        <f>IF($L1243&lt;&gt;"",IF(INDEX(LdAAmt,$L1243)=0,"",INDEX(LdAAmt,$L1243)),IF($M1243&lt;&gt;"",IF(INDEX(LdBAmt,$M1243)=0,"",INDEX(LdBAmt,$M1243)),IF($N1243&lt;&gt;"",IF(INDEX(LdCDep,$N1243)=0,"",INDEX(LdCDep,$N1243)),"")))</f>
        <v/>
      </c>
      <c r="F1243" s="16">
        <f>IF(AND($L1243="",$M1243="",$N1243=""),"",IF($N1243="","",IF(INDEX(LdCWit,$N1243)=0,"",INDEX(LdCWit,$N1243))))</f>
        <v/>
      </c>
      <c r="G1243" s="29">
        <f>IF($B1243="","",IF($G1242="",0,$G1242)+IF($E1243="",0,$E1243)-IF($F1243="",0,$F1243))</f>
        <v/>
      </c>
      <c r="H1243" s="30">
        <f>IF(AND($L1243="",$M1243="",$N1243=""),"",IF($L1243&lt;&gt;"",IF(INDEX(LdANote,$L1243)="","—",INDEX(LdANote,$L1243)),IF($M1243&lt;&gt;"",IF(INDEX(LdBNote,$M1243)="","—",INDEX(LdBNote,$M1243)),IF($N1243&lt;&gt;"",IF(INDEX(LdCNote,$N1243)="","—",INDEX(LdCNote,$N1243)),""))))</f>
        <v/>
      </c>
      <c r="L1243">
        <f>IFERROR(MATCH($C$5&amp;"|"&amp;RIGHT("000000"&amp;1227,6),LdAKeyM,0),"")</f>
        <v/>
      </c>
      <c r="M1243">
        <f>IFERROR(MATCH($C$5&amp;"|"&amp;RIGHT("000000"&amp;1227,6),LdBKeyM,0),"")</f>
        <v/>
      </c>
      <c r="N1243">
        <f>IFERROR(MATCH($C$5&amp;"|"&amp;RIGHT("000000"&amp;1227,6),LdCKeyM,0),"")</f>
        <v/>
      </c>
    </row>
    <row r="1244">
      <c r="A1244" s="19" t="n">
        <v>1228</v>
      </c>
      <c r="B1244" s="20">
        <f>IF(AND($L1244="",$M1244="",$N1244=""),"",IF($L1244&lt;&gt;"",INDEX(LdADate,$L1244),IF($M1244&lt;&gt;"",INDEX(LdBDate,$M1244),INDEX(LdCDate,$N1244))))</f>
        <v/>
      </c>
      <c r="C1244" s="20">
        <f>IF($L1244&lt;&gt;"","دستمزد (فردی)",IF($M1244&lt;&gt;"","سهم از گروه "&amp;IFERROR(VLOOKUP(INDEX(LdBGroup,$M1244),WGTbl,2,0),INDEX(LdBGroup,$M1244)),IF($N1244&lt;&gt;"",IF(N(INDEX(LdCDep,$N1244))&gt;0,"بازگشت بانکی","پرداخت بانکی"),"")))</f>
        <v/>
      </c>
      <c r="D1244" s="20">
        <f>IF($L1244&lt;&gt;"",IF(INDEX(LdAId,$L1244)="","—",INDEX(LdAId,$L1244)),IF($M1244&lt;&gt;"",IF(INDEX(LdBId,$M1244)="","—",INDEX(LdBId,$M1244)),IF($N1244&lt;&gt;"",IF(INDEX(LdCBank,$N1244)="","—",INDEX(LdCBank,$N1244)),"")))</f>
        <v/>
      </c>
      <c r="E1244" s="21">
        <f>IF($L1244&lt;&gt;"",IF(INDEX(LdAAmt,$L1244)=0,"",INDEX(LdAAmt,$L1244)),IF($M1244&lt;&gt;"",IF(INDEX(LdBAmt,$M1244)=0,"",INDEX(LdBAmt,$M1244)),IF($N1244&lt;&gt;"",IF(INDEX(LdCDep,$N1244)=0,"",INDEX(LdCDep,$N1244)),"")))</f>
        <v/>
      </c>
      <c r="F1244" s="21">
        <f>IF(AND($L1244="",$M1244="",$N1244=""),"",IF($N1244="","",IF(INDEX(LdCWit,$N1244)=0,"",INDEX(LdCWit,$N1244))))</f>
        <v/>
      </c>
      <c r="G1244" s="31">
        <f>IF($B1244="","",IF($G1243="",0,$G1243)+IF($E1244="",0,$E1244)-IF($F1244="",0,$F1244))</f>
        <v/>
      </c>
      <c r="H1244" s="32">
        <f>IF(AND($L1244="",$M1244="",$N1244=""),"",IF($L1244&lt;&gt;"",IF(INDEX(LdANote,$L1244)="","—",INDEX(LdANote,$L1244)),IF($M1244&lt;&gt;"",IF(INDEX(LdBNote,$M1244)="","—",INDEX(LdBNote,$M1244)),IF($N1244&lt;&gt;"",IF(INDEX(LdCNote,$N1244)="","—",INDEX(LdCNote,$N1244)),""))))</f>
        <v/>
      </c>
      <c r="L1244">
        <f>IFERROR(MATCH($C$5&amp;"|"&amp;RIGHT("000000"&amp;1228,6),LdAKeyM,0),"")</f>
        <v/>
      </c>
      <c r="M1244">
        <f>IFERROR(MATCH($C$5&amp;"|"&amp;RIGHT("000000"&amp;1228,6),LdBKeyM,0),"")</f>
        <v/>
      </c>
      <c r="N1244">
        <f>IFERROR(MATCH($C$5&amp;"|"&amp;RIGHT("000000"&amp;1228,6),LdCKeyM,0),"")</f>
        <v/>
      </c>
    </row>
    <row r="1245">
      <c r="A1245" s="10" t="n">
        <v>1229</v>
      </c>
      <c r="B1245" s="14">
        <f>IF(AND($L1245="",$M1245="",$N1245=""),"",IF($L1245&lt;&gt;"",INDEX(LdADate,$L1245),IF($M1245&lt;&gt;"",INDEX(LdBDate,$M1245),INDEX(LdCDate,$N1245))))</f>
        <v/>
      </c>
      <c r="C1245" s="14">
        <f>IF($L1245&lt;&gt;"","دستمزد (فردی)",IF($M1245&lt;&gt;"","سهم از گروه "&amp;IFERROR(VLOOKUP(INDEX(LdBGroup,$M1245),WGTbl,2,0),INDEX(LdBGroup,$M1245)),IF($N1245&lt;&gt;"",IF(N(INDEX(LdCDep,$N1245))&gt;0,"بازگشت بانکی","پرداخت بانکی"),"")))</f>
        <v/>
      </c>
      <c r="D1245" s="14">
        <f>IF($L1245&lt;&gt;"",IF(INDEX(LdAId,$L1245)="","—",INDEX(LdAId,$L1245)),IF($M1245&lt;&gt;"",IF(INDEX(LdBId,$M1245)="","—",INDEX(LdBId,$M1245)),IF($N1245&lt;&gt;"",IF(INDEX(LdCBank,$N1245)="","—",INDEX(LdCBank,$N1245)),"")))</f>
        <v/>
      </c>
      <c r="E1245" s="16">
        <f>IF($L1245&lt;&gt;"",IF(INDEX(LdAAmt,$L1245)=0,"",INDEX(LdAAmt,$L1245)),IF($M1245&lt;&gt;"",IF(INDEX(LdBAmt,$M1245)=0,"",INDEX(LdBAmt,$M1245)),IF($N1245&lt;&gt;"",IF(INDEX(LdCDep,$N1245)=0,"",INDEX(LdCDep,$N1245)),"")))</f>
        <v/>
      </c>
      <c r="F1245" s="16">
        <f>IF(AND($L1245="",$M1245="",$N1245=""),"",IF($N1245="","",IF(INDEX(LdCWit,$N1245)=0,"",INDEX(LdCWit,$N1245))))</f>
        <v/>
      </c>
      <c r="G1245" s="29">
        <f>IF($B1245="","",IF($G1244="",0,$G1244)+IF($E1245="",0,$E1245)-IF($F1245="",0,$F1245))</f>
        <v/>
      </c>
      <c r="H1245" s="30">
        <f>IF(AND($L1245="",$M1245="",$N1245=""),"",IF($L1245&lt;&gt;"",IF(INDEX(LdANote,$L1245)="","—",INDEX(LdANote,$L1245)),IF($M1245&lt;&gt;"",IF(INDEX(LdBNote,$M1245)="","—",INDEX(LdBNote,$M1245)),IF($N1245&lt;&gt;"",IF(INDEX(LdCNote,$N1245)="","—",INDEX(LdCNote,$N1245)),""))))</f>
        <v/>
      </c>
      <c r="L1245">
        <f>IFERROR(MATCH($C$5&amp;"|"&amp;RIGHT("000000"&amp;1229,6),LdAKeyM,0),"")</f>
        <v/>
      </c>
      <c r="M1245">
        <f>IFERROR(MATCH($C$5&amp;"|"&amp;RIGHT("000000"&amp;1229,6),LdBKeyM,0),"")</f>
        <v/>
      </c>
      <c r="N1245">
        <f>IFERROR(MATCH($C$5&amp;"|"&amp;RIGHT("000000"&amp;1229,6),LdCKeyM,0),"")</f>
        <v/>
      </c>
    </row>
    <row r="1246">
      <c r="A1246" s="19" t="n">
        <v>1230</v>
      </c>
      <c r="B1246" s="20">
        <f>IF(AND($L1246="",$M1246="",$N1246=""),"",IF($L1246&lt;&gt;"",INDEX(LdADate,$L1246),IF($M1246&lt;&gt;"",INDEX(LdBDate,$M1246),INDEX(LdCDate,$N1246))))</f>
        <v/>
      </c>
      <c r="C1246" s="20">
        <f>IF($L1246&lt;&gt;"","دستمزد (فردی)",IF($M1246&lt;&gt;"","سهم از گروه "&amp;IFERROR(VLOOKUP(INDEX(LdBGroup,$M1246),WGTbl,2,0),INDEX(LdBGroup,$M1246)),IF($N1246&lt;&gt;"",IF(N(INDEX(LdCDep,$N1246))&gt;0,"بازگشت بانکی","پرداخت بانکی"),"")))</f>
        <v/>
      </c>
      <c r="D1246" s="20">
        <f>IF($L1246&lt;&gt;"",IF(INDEX(LdAId,$L1246)="","—",INDEX(LdAId,$L1246)),IF($M1246&lt;&gt;"",IF(INDEX(LdBId,$M1246)="","—",INDEX(LdBId,$M1246)),IF($N1246&lt;&gt;"",IF(INDEX(LdCBank,$N1246)="","—",INDEX(LdCBank,$N1246)),"")))</f>
        <v/>
      </c>
      <c r="E1246" s="21">
        <f>IF($L1246&lt;&gt;"",IF(INDEX(LdAAmt,$L1246)=0,"",INDEX(LdAAmt,$L1246)),IF($M1246&lt;&gt;"",IF(INDEX(LdBAmt,$M1246)=0,"",INDEX(LdBAmt,$M1246)),IF($N1246&lt;&gt;"",IF(INDEX(LdCDep,$N1246)=0,"",INDEX(LdCDep,$N1246)),"")))</f>
        <v/>
      </c>
      <c r="F1246" s="21">
        <f>IF(AND($L1246="",$M1246="",$N1246=""),"",IF($N1246="","",IF(INDEX(LdCWit,$N1246)=0,"",INDEX(LdCWit,$N1246))))</f>
        <v/>
      </c>
      <c r="G1246" s="31">
        <f>IF($B1246="","",IF($G1245="",0,$G1245)+IF($E1246="",0,$E1246)-IF($F1246="",0,$F1246))</f>
        <v/>
      </c>
      <c r="H1246" s="32">
        <f>IF(AND($L1246="",$M1246="",$N1246=""),"",IF($L1246&lt;&gt;"",IF(INDEX(LdANote,$L1246)="","—",INDEX(LdANote,$L1246)),IF($M1246&lt;&gt;"",IF(INDEX(LdBNote,$M1246)="","—",INDEX(LdBNote,$M1246)),IF($N1246&lt;&gt;"",IF(INDEX(LdCNote,$N1246)="","—",INDEX(LdCNote,$N1246)),""))))</f>
        <v/>
      </c>
      <c r="L1246">
        <f>IFERROR(MATCH($C$5&amp;"|"&amp;RIGHT("000000"&amp;1230,6),LdAKeyM,0),"")</f>
        <v/>
      </c>
      <c r="M1246">
        <f>IFERROR(MATCH($C$5&amp;"|"&amp;RIGHT("000000"&amp;1230,6),LdBKeyM,0),"")</f>
        <v/>
      </c>
      <c r="N1246">
        <f>IFERROR(MATCH($C$5&amp;"|"&amp;RIGHT("000000"&amp;1230,6),LdCKeyM,0),"")</f>
        <v/>
      </c>
    </row>
    <row r="1247">
      <c r="A1247" s="10" t="n">
        <v>1231</v>
      </c>
      <c r="B1247" s="14">
        <f>IF(AND($L1247="",$M1247="",$N1247=""),"",IF($L1247&lt;&gt;"",INDEX(LdADate,$L1247),IF($M1247&lt;&gt;"",INDEX(LdBDate,$M1247),INDEX(LdCDate,$N1247))))</f>
        <v/>
      </c>
      <c r="C1247" s="14">
        <f>IF($L1247&lt;&gt;"","دستمزد (فردی)",IF($M1247&lt;&gt;"","سهم از گروه "&amp;IFERROR(VLOOKUP(INDEX(LdBGroup,$M1247),WGTbl,2,0),INDEX(LdBGroup,$M1247)),IF($N1247&lt;&gt;"",IF(N(INDEX(LdCDep,$N1247))&gt;0,"بازگشت بانکی","پرداخت بانکی"),"")))</f>
        <v/>
      </c>
      <c r="D1247" s="14">
        <f>IF($L1247&lt;&gt;"",IF(INDEX(LdAId,$L1247)="","—",INDEX(LdAId,$L1247)),IF($M1247&lt;&gt;"",IF(INDEX(LdBId,$M1247)="","—",INDEX(LdBId,$M1247)),IF($N1247&lt;&gt;"",IF(INDEX(LdCBank,$N1247)="","—",INDEX(LdCBank,$N1247)),"")))</f>
        <v/>
      </c>
      <c r="E1247" s="16">
        <f>IF($L1247&lt;&gt;"",IF(INDEX(LdAAmt,$L1247)=0,"",INDEX(LdAAmt,$L1247)),IF($M1247&lt;&gt;"",IF(INDEX(LdBAmt,$M1247)=0,"",INDEX(LdBAmt,$M1247)),IF($N1247&lt;&gt;"",IF(INDEX(LdCDep,$N1247)=0,"",INDEX(LdCDep,$N1247)),"")))</f>
        <v/>
      </c>
      <c r="F1247" s="16">
        <f>IF(AND($L1247="",$M1247="",$N1247=""),"",IF($N1247="","",IF(INDEX(LdCWit,$N1247)=0,"",INDEX(LdCWit,$N1247))))</f>
        <v/>
      </c>
      <c r="G1247" s="29">
        <f>IF($B1247="","",IF($G1246="",0,$G1246)+IF($E1247="",0,$E1247)-IF($F1247="",0,$F1247))</f>
        <v/>
      </c>
      <c r="H1247" s="30">
        <f>IF(AND($L1247="",$M1247="",$N1247=""),"",IF($L1247&lt;&gt;"",IF(INDEX(LdANote,$L1247)="","—",INDEX(LdANote,$L1247)),IF($M1247&lt;&gt;"",IF(INDEX(LdBNote,$M1247)="","—",INDEX(LdBNote,$M1247)),IF($N1247&lt;&gt;"",IF(INDEX(LdCNote,$N1247)="","—",INDEX(LdCNote,$N1247)),""))))</f>
        <v/>
      </c>
      <c r="L1247">
        <f>IFERROR(MATCH($C$5&amp;"|"&amp;RIGHT("000000"&amp;1231,6),LdAKeyM,0),"")</f>
        <v/>
      </c>
      <c r="M1247">
        <f>IFERROR(MATCH($C$5&amp;"|"&amp;RIGHT("000000"&amp;1231,6),LdBKeyM,0),"")</f>
        <v/>
      </c>
      <c r="N1247">
        <f>IFERROR(MATCH($C$5&amp;"|"&amp;RIGHT("000000"&amp;1231,6),LdCKeyM,0),"")</f>
        <v/>
      </c>
    </row>
    <row r="1248">
      <c r="A1248" s="19" t="n">
        <v>1232</v>
      </c>
      <c r="B1248" s="20">
        <f>IF(AND($L1248="",$M1248="",$N1248=""),"",IF($L1248&lt;&gt;"",INDEX(LdADate,$L1248),IF($M1248&lt;&gt;"",INDEX(LdBDate,$M1248),INDEX(LdCDate,$N1248))))</f>
        <v/>
      </c>
      <c r="C1248" s="20">
        <f>IF($L1248&lt;&gt;"","دستمزد (فردی)",IF($M1248&lt;&gt;"","سهم از گروه "&amp;IFERROR(VLOOKUP(INDEX(LdBGroup,$M1248),WGTbl,2,0),INDEX(LdBGroup,$M1248)),IF($N1248&lt;&gt;"",IF(N(INDEX(LdCDep,$N1248))&gt;0,"بازگشت بانکی","پرداخت بانکی"),"")))</f>
        <v/>
      </c>
      <c r="D1248" s="20">
        <f>IF($L1248&lt;&gt;"",IF(INDEX(LdAId,$L1248)="","—",INDEX(LdAId,$L1248)),IF($M1248&lt;&gt;"",IF(INDEX(LdBId,$M1248)="","—",INDEX(LdBId,$M1248)),IF($N1248&lt;&gt;"",IF(INDEX(LdCBank,$N1248)="","—",INDEX(LdCBank,$N1248)),"")))</f>
        <v/>
      </c>
      <c r="E1248" s="21">
        <f>IF($L1248&lt;&gt;"",IF(INDEX(LdAAmt,$L1248)=0,"",INDEX(LdAAmt,$L1248)),IF($M1248&lt;&gt;"",IF(INDEX(LdBAmt,$M1248)=0,"",INDEX(LdBAmt,$M1248)),IF($N1248&lt;&gt;"",IF(INDEX(LdCDep,$N1248)=0,"",INDEX(LdCDep,$N1248)),"")))</f>
        <v/>
      </c>
      <c r="F1248" s="21">
        <f>IF(AND($L1248="",$M1248="",$N1248=""),"",IF($N1248="","",IF(INDEX(LdCWit,$N1248)=0,"",INDEX(LdCWit,$N1248))))</f>
        <v/>
      </c>
      <c r="G1248" s="31">
        <f>IF($B1248="","",IF($G1247="",0,$G1247)+IF($E1248="",0,$E1248)-IF($F1248="",0,$F1248))</f>
        <v/>
      </c>
      <c r="H1248" s="32">
        <f>IF(AND($L1248="",$M1248="",$N1248=""),"",IF($L1248&lt;&gt;"",IF(INDEX(LdANote,$L1248)="","—",INDEX(LdANote,$L1248)),IF($M1248&lt;&gt;"",IF(INDEX(LdBNote,$M1248)="","—",INDEX(LdBNote,$M1248)),IF($N1248&lt;&gt;"",IF(INDEX(LdCNote,$N1248)="","—",INDEX(LdCNote,$N1248)),""))))</f>
        <v/>
      </c>
      <c r="L1248">
        <f>IFERROR(MATCH($C$5&amp;"|"&amp;RIGHT("000000"&amp;1232,6),LdAKeyM,0),"")</f>
        <v/>
      </c>
      <c r="M1248">
        <f>IFERROR(MATCH($C$5&amp;"|"&amp;RIGHT("000000"&amp;1232,6),LdBKeyM,0),"")</f>
        <v/>
      </c>
      <c r="N1248">
        <f>IFERROR(MATCH($C$5&amp;"|"&amp;RIGHT("000000"&amp;1232,6),LdCKeyM,0),"")</f>
        <v/>
      </c>
    </row>
    <row r="1249">
      <c r="A1249" s="10" t="n">
        <v>1233</v>
      </c>
      <c r="B1249" s="14">
        <f>IF(AND($L1249="",$M1249="",$N1249=""),"",IF($L1249&lt;&gt;"",INDEX(LdADate,$L1249),IF($M1249&lt;&gt;"",INDEX(LdBDate,$M1249),INDEX(LdCDate,$N1249))))</f>
        <v/>
      </c>
      <c r="C1249" s="14">
        <f>IF($L1249&lt;&gt;"","دستمزد (فردی)",IF($M1249&lt;&gt;"","سهم از گروه "&amp;IFERROR(VLOOKUP(INDEX(LdBGroup,$M1249),WGTbl,2,0),INDEX(LdBGroup,$M1249)),IF($N1249&lt;&gt;"",IF(N(INDEX(LdCDep,$N1249))&gt;0,"بازگشت بانکی","پرداخت بانکی"),"")))</f>
        <v/>
      </c>
      <c r="D1249" s="14">
        <f>IF($L1249&lt;&gt;"",IF(INDEX(LdAId,$L1249)="","—",INDEX(LdAId,$L1249)),IF($M1249&lt;&gt;"",IF(INDEX(LdBId,$M1249)="","—",INDEX(LdBId,$M1249)),IF($N1249&lt;&gt;"",IF(INDEX(LdCBank,$N1249)="","—",INDEX(LdCBank,$N1249)),"")))</f>
        <v/>
      </c>
      <c r="E1249" s="16">
        <f>IF($L1249&lt;&gt;"",IF(INDEX(LdAAmt,$L1249)=0,"",INDEX(LdAAmt,$L1249)),IF($M1249&lt;&gt;"",IF(INDEX(LdBAmt,$M1249)=0,"",INDEX(LdBAmt,$M1249)),IF($N1249&lt;&gt;"",IF(INDEX(LdCDep,$N1249)=0,"",INDEX(LdCDep,$N1249)),"")))</f>
        <v/>
      </c>
      <c r="F1249" s="16">
        <f>IF(AND($L1249="",$M1249="",$N1249=""),"",IF($N1249="","",IF(INDEX(LdCWit,$N1249)=0,"",INDEX(LdCWit,$N1249))))</f>
        <v/>
      </c>
      <c r="G1249" s="29">
        <f>IF($B1249="","",IF($G1248="",0,$G1248)+IF($E1249="",0,$E1249)-IF($F1249="",0,$F1249))</f>
        <v/>
      </c>
      <c r="H1249" s="30">
        <f>IF(AND($L1249="",$M1249="",$N1249=""),"",IF($L1249&lt;&gt;"",IF(INDEX(LdANote,$L1249)="","—",INDEX(LdANote,$L1249)),IF($M1249&lt;&gt;"",IF(INDEX(LdBNote,$M1249)="","—",INDEX(LdBNote,$M1249)),IF($N1249&lt;&gt;"",IF(INDEX(LdCNote,$N1249)="","—",INDEX(LdCNote,$N1249)),""))))</f>
        <v/>
      </c>
      <c r="L1249">
        <f>IFERROR(MATCH($C$5&amp;"|"&amp;RIGHT("000000"&amp;1233,6),LdAKeyM,0),"")</f>
        <v/>
      </c>
      <c r="M1249">
        <f>IFERROR(MATCH($C$5&amp;"|"&amp;RIGHT("000000"&amp;1233,6),LdBKeyM,0),"")</f>
        <v/>
      </c>
      <c r="N1249">
        <f>IFERROR(MATCH($C$5&amp;"|"&amp;RIGHT("000000"&amp;1233,6),LdCKeyM,0),"")</f>
        <v/>
      </c>
    </row>
    <row r="1250">
      <c r="A1250" s="19" t="n">
        <v>1234</v>
      </c>
      <c r="B1250" s="20">
        <f>IF(AND($L1250="",$M1250="",$N1250=""),"",IF($L1250&lt;&gt;"",INDEX(LdADate,$L1250),IF($M1250&lt;&gt;"",INDEX(LdBDate,$M1250),INDEX(LdCDate,$N1250))))</f>
        <v/>
      </c>
      <c r="C1250" s="20">
        <f>IF($L1250&lt;&gt;"","دستمزد (فردی)",IF($M1250&lt;&gt;"","سهم از گروه "&amp;IFERROR(VLOOKUP(INDEX(LdBGroup,$M1250),WGTbl,2,0),INDEX(LdBGroup,$M1250)),IF($N1250&lt;&gt;"",IF(N(INDEX(LdCDep,$N1250))&gt;0,"بازگشت بانکی","پرداخت بانکی"),"")))</f>
        <v/>
      </c>
      <c r="D1250" s="20">
        <f>IF($L1250&lt;&gt;"",IF(INDEX(LdAId,$L1250)="","—",INDEX(LdAId,$L1250)),IF($M1250&lt;&gt;"",IF(INDEX(LdBId,$M1250)="","—",INDEX(LdBId,$M1250)),IF($N1250&lt;&gt;"",IF(INDEX(LdCBank,$N1250)="","—",INDEX(LdCBank,$N1250)),"")))</f>
        <v/>
      </c>
      <c r="E1250" s="21">
        <f>IF($L1250&lt;&gt;"",IF(INDEX(LdAAmt,$L1250)=0,"",INDEX(LdAAmt,$L1250)),IF($M1250&lt;&gt;"",IF(INDEX(LdBAmt,$M1250)=0,"",INDEX(LdBAmt,$M1250)),IF($N1250&lt;&gt;"",IF(INDEX(LdCDep,$N1250)=0,"",INDEX(LdCDep,$N1250)),"")))</f>
        <v/>
      </c>
      <c r="F1250" s="21">
        <f>IF(AND($L1250="",$M1250="",$N1250=""),"",IF($N1250="","",IF(INDEX(LdCWit,$N1250)=0,"",INDEX(LdCWit,$N1250))))</f>
        <v/>
      </c>
      <c r="G1250" s="31">
        <f>IF($B1250="","",IF($G1249="",0,$G1249)+IF($E1250="",0,$E1250)-IF($F1250="",0,$F1250))</f>
        <v/>
      </c>
      <c r="H1250" s="32">
        <f>IF(AND($L1250="",$M1250="",$N1250=""),"",IF($L1250&lt;&gt;"",IF(INDEX(LdANote,$L1250)="","—",INDEX(LdANote,$L1250)),IF($M1250&lt;&gt;"",IF(INDEX(LdBNote,$M1250)="","—",INDEX(LdBNote,$M1250)),IF($N1250&lt;&gt;"",IF(INDEX(LdCNote,$N1250)="","—",INDEX(LdCNote,$N1250)),""))))</f>
        <v/>
      </c>
      <c r="L1250">
        <f>IFERROR(MATCH($C$5&amp;"|"&amp;RIGHT("000000"&amp;1234,6),LdAKeyM,0),"")</f>
        <v/>
      </c>
      <c r="M1250">
        <f>IFERROR(MATCH($C$5&amp;"|"&amp;RIGHT("000000"&amp;1234,6),LdBKeyM,0),"")</f>
        <v/>
      </c>
      <c r="N1250">
        <f>IFERROR(MATCH($C$5&amp;"|"&amp;RIGHT("000000"&amp;1234,6),LdCKeyM,0),"")</f>
        <v/>
      </c>
    </row>
    <row r="1251">
      <c r="A1251" s="10" t="n">
        <v>1235</v>
      </c>
      <c r="B1251" s="14">
        <f>IF(AND($L1251="",$M1251="",$N1251=""),"",IF($L1251&lt;&gt;"",INDEX(LdADate,$L1251),IF($M1251&lt;&gt;"",INDEX(LdBDate,$M1251),INDEX(LdCDate,$N1251))))</f>
        <v/>
      </c>
      <c r="C1251" s="14">
        <f>IF($L1251&lt;&gt;"","دستمزد (فردی)",IF($M1251&lt;&gt;"","سهم از گروه "&amp;IFERROR(VLOOKUP(INDEX(LdBGroup,$M1251),WGTbl,2,0),INDEX(LdBGroup,$M1251)),IF($N1251&lt;&gt;"",IF(N(INDEX(LdCDep,$N1251))&gt;0,"بازگشت بانکی","پرداخت بانکی"),"")))</f>
        <v/>
      </c>
      <c r="D1251" s="14">
        <f>IF($L1251&lt;&gt;"",IF(INDEX(LdAId,$L1251)="","—",INDEX(LdAId,$L1251)),IF($M1251&lt;&gt;"",IF(INDEX(LdBId,$M1251)="","—",INDEX(LdBId,$M1251)),IF($N1251&lt;&gt;"",IF(INDEX(LdCBank,$N1251)="","—",INDEX(LdCBank,$N1251)),"")))</f>
        <v/>
      </c>
      <c r="E1251" s="16">
        <f>IF($L1251&lt;&gt;"",IF(INDEX(LdAAmt,$L1251)=0,"",INDEX(LdAAmt,$L1251)),IF($M1251&lt;&gt;"",IF(INDEX(LdBAmt,$M1251)=0,"",INDEX(LdBAmt,$M1251)),IF($N1251&lt;&gt;"",IF(INDEX(LdCDep,$N1251)=0,"",INDEX(LdCDep,$N1251)),"")))</f>
        <v/>
      </c>
      <c r="F1251" s="16">
        <f>IF(AND($L1251="",$M1251="",$N1251=""),"",IF($N1251="","",IF(INDEX(LdCWit,$N1251)=0,"",INDEX(LdCWit,$N1251))))</f>
        <v/>
      </c>
      <c r="G1251" s="29">
        <f>IF($B1251="","",IF($G1250="",0,$G1250)+IF($E1251="",0,$E1251)-IF($F1251="",0,$F1251))</f>
        <v/>
      </c>
      <c r="H1251" s="30">
        <f>IF(AND($L1251="",$M1251="",$N1251=""),"",IF($L1251&lt;&gt;"",IF(INDEX(LdANote,$L1251)="","—",INDEX(LdANote,$L1251)),IF($M1251&lt;&gt;"",IF(INDEX(LdBNote,$M1251)="","—",INDEX(LdBNote,$M1251)),IF($N1251&lt;&gt;"",IF(INDEX(LdCNote,$N1251)="","—",INDEX(LdCNote,$N1251)),""))))</f>
        <v/>
      </c>
      <c r="L1251">
        <f>IFERROR(MATCH($C$5&amp;"|"&amp;RIGHT("000000"&amp;1235,6),LdAKeyM,0),"")</f>
        <v/>
      </c>
      <c r="M1251">
        <f>IFERROR(MATCH($C$5&amp;"|"&amp;RIGHT("000000"&amp;1235,6),LdBKeyM,0),"")</f>
        <v/>
      </c>
      <c r="N1251">
        <f>IFERROR(MATCH($C$5&amp;"|"&amp;RIGHT("000000"&amp;1235,6),LdCKeyM,0),"")</f>
        <v/>
      </c>
    </row>
    <row r="1252">
      <c r="A1252" s="19" t="n">
        <v>1236</v>
      </c>
      <c r="B1252" s="20">
        <f>IF(AND($L1252="",$M1252="",$N1252=""),"",IF($L1252&lt;&gt;"",INDEX(LdADate,$L1252),IF($M1252&lt;&gt;"",INDEX(LdBDate,$M1252),INDEX(LdCDate,$N1252))))</f>
        <v/>
      </c>
      <c r="C1252" s="20">
        <f>IF($L1252&lt;&gt;"","دستمزد (فردی)",IF($M1252&lt;&gt;"","سهم از گروه "&amp;IFERROR(VLOOKUP(INDEX(LdBGroup,$M1252),WGTbl,2,0),INDEX(LdBGroup,$M1252)),IF($N1252&lt;&gt;"",IF(N(INDEX(LdCDep,$N1252))&gt;0,"بازگشت بانکی","پرداخت بانکی"),"")))</f>
        <v/>
      </c>
      <c r="D1252" s="20">
        <f>IF($L1252&lt;&gt;"",IF(INDEX(LdAId,$L1252)="","—",INDEX(LdAId,$L1252)),IF($M1252&lt;&gt;"",IF(INDEX(LdBId,$M1252)="","—",INDEX(LdBId,$M1252)),IF($N1252&lt;&gt;"",IF(INDEX(LdCBank,$N1252)="","—",INDEX(LdCBank,$N1252)),"")))</f>
        <v/>
      </c>
      <c r="E1252" s="21">
        <f>IF($L1252&lt;&gt;"",IF(INDEX(LdAAmt,$L1252)=0,"",INDEX(LdAAmt,$L1252)),IF($M1252&lt;&gt;"",IF(INDEX(LdBAmt,$M1252)=0,"",INDEX(LdBAmt,$M1252)),IF($N1252&lt;&gt;"",IF(INDEX(LdCDep,$N1252)=0,"",INDEX(LdCDep,$N1252)),"")))</f>
        <v/>
      </c>
      <c r="F1252" s="21">
        <f>IF(AND($L1252="",$M1252="",$N1252=""),"",IF($N1252="","",IF(INDEX(LdCWit,$N1252)=0,"",INDEX(LdCWit,$N1252))))</f>
        <v/>
      </c>
      <c r="G1252" s="31">
        <f>IF($B1252="","",IF($G1251="",0,$G1251)+IF($E1252="",0,$E1252)-IF($F1252="",0,$F1252))</f>
        <v/>
      </c>
      <c r="H1252" s="32">
        <f>IF(AND($L1252="",$M1252="",$N1252=""),"",IF($L1252&lt;&gt;"",IF(INDEX(LdANote,$L1252)="","—",INDEX(LdANote,$L1252)),IF($M1252&lt;&gt;"",IF(INDEX(LdBNote,$M1252)="","—",INDEX(LdBNote,$M1252)),IF($N1252&lt;&gt;"",IF(INDEX(LdCNote,$N1252)="","—",INDEX(LdCNote,$N1252)),""))))</f>
        <v/>
      </c>
      <c r="L1252">
        <f>IFERROR(MATCH($C$5&amp;"|"&amp;RIGHT("000000"&amp;1236,6),LdAKeyM,0),"")</f>
        <v/>
      </c>
      <c r="M1252">
        <f>IFERROR(MATCH($C$5&amp;"|"&amp;RIGHT("000000"&amp;1236,6),LdBKeyM,0),"")</f>
        <v/>
      </c>
      <c r="N1252">
        <f>IFERROR(MATCH($C$5&amp;"|"&amp;RIGHT("000000"&amp;1236,6),LdCKeyM,0),"")</f>
        <v/>
      </c>
    </row>
    <row r="1253">
      <c r="A1253" s="10" t="n">
        <v>1237</v>
      </c>
      <c r="B1253" s="14">
        <f>IF(AND($L1253="",$M1253="",$N1253=""),"",IF($L1253&lt;&gt;"",INDEX(LdADate,$L1253),IF($M1253&lt;&gt;"",INDEX(LdBDate,$M1253),INDEX(LdCDate,$N1253))))</f>
        <v/>
      </c>
      <c r="C1253" s="14">
        <f>IF($L1253&lt;&gt;"","دستمزد (فردی)",IF($M1253&lt;&gt;"","سهم از گروه "&amp;IFERROR(VLOOKUP(INDEX(LdBGroup,$M1253),WGTbl,2,0),INDEX(LdBGroup,$M1253)),IF($N1253&lt;&gt;"",IF(N(INDEX(LdCDep,$N1253))&gt;0,"بازگشت بانکی","پرداخت بانکی"),"")))</f>
        <v/>
      </c>
      <c r="D1253" s="14">
        <f>IF($L1253&lt;&gt;"",IF(INDEX(LdAId,$L1253)="","—",INDEX(LdAId,$L1253)),IF($M1253&lt;&gt;"",IF(INDEX(LdBId,$M1253)="","—",INDEX(LdBId,$M1253)),IF($N1253&lt;&gt;"",IF(INDEX(LdCBank,$N1253)="","—",INDEX(LdCBank,$N1253)),"")))</f>
        <v/>
      </c>
      <c r="E1253" s="16">
        <f>IF($L1253&lt;&gt;"",IF(INDEX(LdAAmt,$L1253)=0,"",INDEX(LdAAmt,$L1253)),IF($M1253&lt;&gt;"",IF(INDEX(LdBAmt,$M1253)=0,"",INDEX(LdBAmt,$M1253)),IF($N1253&lt;&gt;"",IF(INDEX(LdCDep,$N1253)=0,"",INDEX(LdCDep,$N1253)),"")))</f>
        <v/>
      </c>
      <c r="F1253" s="16">
        <f>IF(AND($L1253="",$M1253="",$N1253=""),"",IF($N1253="","",IF(INDEX(LdCWit,$N1253)=0,"",INDEX(LdCWit,$N1253))))</f>
        <v/>
      </c>
      <c r="G1253" s="29">
        <f>IF($B1253="","",IF($G1252="",0,$G1252)+IF($E1253="",0,$E1253)-IF($F1253="",0,$F1253))</f>
        <v/>
      </c>
      <c r="H1253" s="30">
        <f>IF(AND($L1253="",$M1253="",$N1253=""),"",IF($L1253&lt;&gt;"",IF(INDEX(LdANote,$L1253)="","—",INDEX(LdANote,$L1253)),IF($M1253&lt;&gt;"",IF(INDEX(LdBNote,$M1253)="","—",INDEX(LdBNote,$M1253)),IF($N1253&lt;&gt;"",IF(INDEX(LdCNote,$N1253)="","—",INDEX(LdCNote,$N1253)),""))))</f>
        <v/>
      </c>
      <c r="L1253">
        <f>IFERROR(MATCH($C$5&amp;"|"&amp;RIGHT("000000"&amp;1237,6),LdAKeyM,0),"")</f>
        <v/>
      </c>
      <c r="M1253">
        <f>IFERROR(MATCH($C$5&amp;"|"&amp;RIGHT("000000"&amp;1237,6),LdBKeyM,0),"")</f>
        <v/>
      </c>
      <c r="N1253">
        <f>IFERROR(MATCH($C$5&amp;"|"&amp;RIGHT("000000"&amp;1237,6),LdCKeyM,0),"")</f>
        <v/>
      </c>
    </row>
    <row r="1254">
      <c r="A1254" s="19" t="n">
        <v>1238</v>
      </c>
      <c r="B1254" s="20">
        <f>IF(AND($L1254="",$M1254="",$N1254=""),"",IF($L1254&lt;&gt;"",INDEX(LdADate,$L1254),IF($M1254&lt;&gt;"",INDEX(LdBDate,$M1254),INDEX(LdCDate,$N1254))))</f>
        <v/>
      </c>
      <c r="C1254" s="20">
        <f>IF($L1254&lt;&gt;"","دستمزد (فردی)",IF($M1254&lt;&gt;"","سهم از گروه "&amp;IFERROR(VLOOKUP(INDEX(LdBGroup,$M1254),WGTbl,2,0),INDEX(LdBGroup,$M1254)),IF($N1254&lt;&gt;"",IF(N(INDEX(LdCDep,$N1254))&gt;0,"بازگشت بانکی","پرداخت بانکی"),"")))</f>
        <v/>
      </c>
      <c r="D1254" s="20">
        <f>IF($L1254&lt;&gt;"",IF(INDEX(LdAId,$L1254)="","—",INDEX(LdAId,$L1254)),IF($M1254&lt;&gt;"",IF(INDEX(LdBId,$M1254)="","—",INDEX(LdBId,$M1254)),IF($N1254&lt;&gt;"",IF(INDEX(LdCBank,$N1254)="","—",INDEX(LdCBank,$N1254)),"")))</f>
        <v/>
      </c>
      <c r="E1254" s="21">
        <f>IF($L1254&lt;&gt;"",IF(INDEX(LdAAmt,$L1254)=0,"",INDEX(LdAAmt,$L1254)),IF($M1254&lt;&gt;"",IF(INDEX(LdBAmt,$M1254)=0,"",INDEX(LdBAmt,$M1254)),IF($N1254&lt;&gt;"",IF(INDEX(LdCDep,$N1254)=0,"",INDEX(LdCDep,$N1254)),"")))</f>
        <v/>
      </c>
      <c r="F1254" s="21">
        <f>IF(AND($L1254="",$M1254="",$N1254=""),"",IF($N1254="","",IF(INDEX(LdCWit,$N1254)=0,"",INDEX(LdCWit,$N1254))))</f>
        <v/>
      </c>
      <c r="G1254" s="31">
        <f>IF($B1254="","",IF($G1253="",0,$G1253)+IF($E1254="",0,$E1254)-IF($F1254="",0,$F1254))</f>
        <v/>
      </c>
      <c r="H1254" s="32">
        <f>IF(AND($L1254="",$M1254="",$N1254=""),"",IF($L1254&lt;&gt;"",IF(INDEX(LdANote,$L1254)="","—",INDEX(LdANote,$L1254)),IF($M1254&lt;&gt;"",IF(INDEX(LdBNote,$M1254)="","—",INDEX(LdBNote,$M1254)),IF($N1254&lt;&gt;"",IF(INDEX(LdCNote,$N1254)="","—",INDEX(LdCNote,$N1254)),""))))</f>
        <v/>
      </c>
      <c r="L1254">
        <f>IFERROR(MATCH($C$5&amp;"|"&amp;RIGHT("000000"&amp;1238,6),LdAKeyM,0),"")</f>
        <v/>
      </c>
      <c r="M1254">
        <f>IFERROR(MATCH($C$5&amp;"|"&amp;RIGHT("000000"&amp;1238,6),LdBKeyM,0),"")</f>
        <v/>
      </c>
      <c r="N1254">
        <f>IFERROR(MATCH($C$5&amp;"|"&amp;RIGHT("000000"&amp;1238,6),LdCKeyM,0),"")</f>
        <v/>
      </c>
    </row>
    <row r="1255">
      <c r="A1255" s="10" t="n">
        <v>1239</v>
      </c>
      <c r="B1255" s="14">
        <f>IF(AND($L1255="",$M1255="",$N1255=""),"",IF($L1255&lt;&gt;"",INDEX(LdADate,$L1255),IF($M1255&lt;&gt;"",INDEX(LdBDate,$M1255),INDEX(LdCDate,$N1255))))</f>
        <v/>
      </c>
      <c r="C1255" s="14">
        <f>IF($L1255&lt;&gt;"","دستمزد (فردی)",IF($M1255&lt;&gt;"","سهم از گروه "&amp;IFERROR(VLOOKUP(INDEX(LdBGroup,$M1255),WGTbl,2,0),INDEX(LdBGroup,$M1255)),IF($N1255&lt;&gt;"",IF(N(INDEX(LdCDep,$N1255))&gt;0,"بازگشت بانکی","پرداخت بانکی"),"")))</f>
        <v/>
      </c>
      <c r="D1255" s="14">
        <f>IF($L1255&lt;&gt;"",IF(INDEX(LdAId,$L1255)="","—",INDEX(LdAId,$L1255)),IF($M1255&lt;&gt;"",IF(INDEX(LdBId,$M1255)="","—",INDEX(LdBId,$M1255)),IF($N1255&lt;&gt;"",IF(INDEX(LdCBank,$N1255)="","—",INDEX(LdCBank,$N1255)),"")))</f>
        <v/>
      </c>
      <c r="E1255" s="16">
        <f>IF($L1255&lt;&gt;"",IF(INDEX(LdAAmt,$L1255)=0,"",INDEX(LdAAmt,$L1255)),IF($M1255&lt;&gt;"",IF(INDEX(LdBAmt,$M1255)=0,"",INDEX(LdBAmt,$M1255)),IF($N1255&lt;&gt;"",IF(INDEX(LdCDep,$N1255)=0,"",INDEX(LdCDep,$N1255)),"")))</f>
        <v/>
      </c>
      <c r="F1255" s="16">
        <f>IF(AND($L1255="",$M1255="",$N1255=""),"",IF($N1255="","",IF(INDEX(LdCWit,$N1255)=0,"",INDEX(LdCWit,$N1255))))</f>
        <v/>
      </c>
      <c r="G1255" s="29">
        <f>IF($B1255="","",IF($G1254="",0,$G1254)+IF($E1255="",0,$E1255)-IF($F1255="",0,$F1255))</f>
        <v/>
      </c>
      <c r="H1255" s="30">
        <f>IF(AND($L1255="",$M1255="",$N1255=""),"",IF($L1255&lt;&gt;"",IF(INDEX(LdANote,$L1255)="","—",INDEX(LdANote,$L1255)),IF($M1255&lt;&gt;"",IF(INDEX(LdBNote,$M1255)="","—",INDEX(LdBNote,$M1255)),IF($N1255&lt;&gt;"",IF(INDEX(LdCNote,$N1255)="","—",INDEX(LdCNote,$N1255)),""))))</f>
        <v/>
      </c>
      <c r="L1255">
        <f>IFERROR(MATCH($C$5&amp;"|"&amp;RIGHT("000000"&amp;1239,6),LdAKeyM,0),"")</f>
        <v/>
      </c>
      <c r="M1255">
        <f>IFERROR(MATCH($C$5&amp;"|"&amp;RIGHT("000000"&amp;1239,6),LdBKeyM,0),"")</f>
        <v/>
      </c>
      <c r="N1255">
        <f>IFERROR(MATCH($C$5&amp;"|"&amp;RIGHT("000000"&amp;1239,6),LdCKeyM,0),"")</f>
        <v/>
      </c>
    </row>
    <row r="1256">
      <c r="A1256" s="19" t="n">
        <v>1240</v>
      </c>
      <c r="B1256" s="20">
        <f>IF(AND($L1256="",$M1256="",$N1256=""),"",IF($L1256&lt;&gt;"",INDEX(LdADate,$L1256),IF($M1256&lt;&gt;"",INDEX(LdBDate,$M1256),INDEX(LdCDate,$N1256))))</f>
        <v/>
      </c>
      <c r="C1256" s="20">
        <f>IF($L1256&lt;&gt;"","دستمزد (فردی)",IF($M1256&lt;&gt;"","سهم از گروه "&amp;IFERROR(VLOOKUP(INDEX(LdBGroup,$M1256),WGTbl,2,0),INDEX(LdBGroup,$M1256)),IF($N1256&lt;&gt;"",IF(N(INDEX(LdCDep,$N1256))&gt;0,"بازگشت بانکی","پرداخت بانکی"),"")))</f>
        <v/>
      </c>
      <c r="D1256" s="20">
        <f>IF($L1256&lt;&gt;"",IF(INDEX(LdAId,$L1256)="","—",INDEX(LdAId,$L1256)),IF($M1256&lt;&gt;"",IF(INDEX(LdBId,$M1256)="","—",INDEX(LdBId,$M1256)),IF($N1256&lt;&gt;"",IF(INDEX(LdCBank,$N1256)="","—",INDEX(LdCBank,$N1256)),"")))</f>
        <v/>
      </c>
      <c r="E1256" s="21">
        <f>IF($L1256&lt;&gt;"",IF(INDEX(LdAAmt,$L1256)=0,"",INDEX(LdAAmt,$L1256)),IF($M1256&lt;&gt;"",IF(INDEX(LdBAmt,$M1256)=0,"",INDEX(LdBAmt,$M1256)),IF($N1256&lt;&gt;"",IF(INDEX(LdCDep,$N1256)=0,"",INDEX(LdCDep,$N1256)),"")))</f>
        <v/>
      </c>
      <c r="F1256" s="21">
        <f>IF(AND($L1256="",$M1256="",$N1256=""),"",IF($N1256="","",IF(INDEX(LdCWit,$N1256)=0,"",INDEX(LdCWit,$N1256))))</f>
        <v/>
      </c>
      <c r="G1256" s="31">
        <f>IF($B1256="","",IF($G1255="",0,$G1255)+IF($E1256="",0,$E1256)-IF($F1256="",0,$F1256))</f>
        <v/>
      </c>
      <c r="H1256" s="32">
        <f>IF(AND($L1256="",$M1256="",$N1256=""),"",IF($L1256&lt;&gt;"",IF(INDEX(LdANote,$L1256)="","—",INDEX(LdANote,$L1256)),IF($M1256&lt;&gt;"",IF(INDEX(LdBNote,$M1256)="","—",INDEX(LdBNote,$M1256)),IF($N1256&lt;&gt;"",IF(INDEX(LdCNote,$N1256)="","—",INDEX(LdCNote,$N1256)),""))))</f>
        <v/>
      </c>
      <c r="L1256">
        <f>IFERROR(MATCH($C$5&amp;"|"&amp;RIGHT("000000"&amp;1240,6),LdAKeyM,0),"")</f>
        <v/>
      </c>
      <c r="M1256">
        <f>IFERROR(MATCH($C$5&amp;"|"&amp;RIGHT("000000"&amp;1240,6),LdBKeyM,0),"")</f>
        <v/>
      </c>
      <c r="N1256">
        <f>IFERROR(MATCH($C$5&amp;"|"&amp;RIGHT("000000"&amp;1240,6),LdCKeyM,0),"")</f>
        <v/>
      </c>
    </row>
    <row r="1257">
      <c r="A1257" s="10" t="n">
        <v>1241</v>
      </c>
      <c r="B1257" s="14">
        <f>IF(AND($L1257="",$M1257="",$N1257=""),"",IF($L1257&lt;&gt;"",INDEX(LdADate,$L1257),IF($M1257&lt;&gt;"",INDEX(LdBDate,$M1257),INDEX(LdCDate,$N1257))))</f>
        <v/>
      </c>
      <c r="C1257" s="14">
        <f>IF($L1257&lt;&gt;"","دستمزد (فردی)",IF($M1257&lt;&gt;"","سهم از گروه "&amp;IFERROR(VLOOKUP(INDEX(LdBGroup,$M1257),WGTbl,2,0),INDEX(LdBGroup,$M1257)),IF($N1257&lt;&gt;"",IF(N(INDEX(LdCDep,$N1257))&gt;0,"بازگشت بانکی","پرداخت بانکی"),"")))</f>
        <v/>
      </c>
      <c r="D1257" s="14">
        <f>IF($L1257&lt;&gt;"",IF(INDEX(LdAId,$L1257)="","—",INDEX(LdAId,$L1257)),IF($M1257&lt;&gt;"",IF(INDEX(LdBId,$M1257)="","—",INDEX(LdBId,$M1257)),IF($N1257&lt;&gt;"",IF(INDEX(LdCBank,$N1257)="","—",INDEX(LdCBank,$N1257)),"")))</f>
        <v/>
      </c>
      <c r="E1257" s="16">
        <f>IF($L1257&lt;&gt;"",IF(INDEX(LdAAmt,$L1257)=0,"",INDEX(LdAAmt,$L1257)),IF($M1257&lt;&gt;"",IF(INDEX(LdBAmt,$M1257)=0,"",INDEX(LdBAmt,$M1257)),IF($N1257&lt;&gt;"",IF(INDEX(LdCDep,$N1257)=0,"",INDEX(LdCDep,$N1257)),"")))</f>
        <v/>
      </c>
      <c r="F1257" s="16">
        <f>IF(AND($L1257="",$M1257="",$N1257=""),"",IF($N1257="","",IF(INDEX(LdCWit,$N1257)=0,"",INDEX(LdCWit,$N1257))))</f>
        <v/>
      </c>
      <c r="G1257" s="29">
        <f>IF($B1257="","",IF($G1256="",0,$G1256)+IF($E1257="",0,$E1257)-IF($F1257="",0,$F1257))</f>
        <v/>
      </c>
      <c r="H1257" s="30">
        <f>IF(AND($L1257="",$M1257="",$N1257=""),"",IF($L1257&lt;&gt;"",IF(INDEX(LdANote,$L1257)="","—",INDEX(LdANote,$L1257)),IF($M1257&lt;&gt;"",IF(INDEX(LdBNote,$M1257)="","—",INDEX(LdBNote,$M1257)),IF($N1257&lt;&gt;"",IF(INDEX(LdCNote,$N1257)="","—",INDEX(LdCNote,$N1257)),""))))</f>
        <v/>
      </c>
      <c r="L1257">
        <f>IFERROR(MATCH($C$5&amp;"|"&amp;RIGHT("000000"&amp;1241,6),LdAKeyM,0),"")</f>
        <v/>
      </c>
      <c r="M1257">
        <f>IFERROR(MATCH($C$5&amp;"|"&amp;RIGHT("000000"&amp;1241,6),LdBKeyM,0),"")</f>
        <v/>
      </c>
      <c r="N1257">
        <f>IFERROR(MATCH($C$5&amp;"|"&amp;RIGHT("000000"&amp;1241,6),LdCKeyM,0),"")</f>
        <v/>
      </c>
    </row>
    <row r="1258">
      <c r="A1258" s="19" t="n">
        <v>1242</v>
      </c>
      <c r="B1258" s="20">
        <f>IF(AND($L1258="",$M1258="",$N1258=""),"",IF($L1258&lt;&gt;"",INDEX(LdADate,$L1258),IF($M1258&lt;&gt;"",INDEX(LdBDate,$M1258),INDEX(LdCDate,$N1258))))</f>
        <v/>
      </c>
      <c r="C1258" s="20">
        <f>IF($L1258&lt;&gt;"","دستمزد (فردی)",IF($M1258&lt;&gt;"","سهم از گروه "&amp;IFERROR(VLOOKUP(INDEX(LdBGroup,$M1258),WGTbl,2,0),INDEX(LdBGroup,$M1258)),IF($N1258&lt;&gt;"",IF(N(INDEX(LdCDep,$N1258))&gt;0,"بازگشت بانکی","پرداخت بانکی"),"")))</f>
        <v/>
      </c>
      <c r="D1258" s="20">
        <f>IF($L1258&lt;&gt;"",IF(INDEX(LdAId,$L1258)="","—",INDEX(LdAId,$L1258)),IF($M1258&lt;&gt;"",IF(INDEX(LdBId,$M1258)="","—",INDEX(LdBId,$M1258)),IF($N1258&lt;&gt;"",IF(INDEX(LdCBank,$N1258)="","—",INDEX(LdCBank,$N1258)),"")))</f>
        <v/>
      </c>
      <c r="E1258" s="21">
        <f>IF($L1258&lt;&gt;"",IF(INDEX(LdAAmt,$L1258)=0,"",INDEX(LdAAmt,$L1258)),IF($M1258&lt;&gt;"",IF(INDEX(LdBAmt,$M1258)=0,"",INDEX(LdBAmt,$M1258)),IF($N1258&lt;&gt;"",IF(INDEX(LdCDep,$N1258)=0,"",INDEX(LdCDep,$N1258)),"")))</f>
        <v/>
      </c>
      <c r="F1258" s="21">
        <f>IF(AND($L1258="",$M1258="",$N1258=""),"",IF($N1258="","",IF(INDEX(LdCWit,$N1258)=0,"",INDEX(LdCWit,$N1258))))</f>
        <v/>
      </c>
      <c r="G1258" s="31">
        <f>IF($B1258="","",IF($G1257="",0,$G1257)+IF($E1258="",0,$E1258)-IF($F1258="",0,$F1258))</f>
        <v/>
      </c>
      <c r="H1258" s="32">
        <f>IF(AND($L1258="",$M1258="",$N1258=""),"",IF($L1258&lt;&gt;"",IF(INDEX(LdANote,$L1258)="","—",INDEX(LdANote,$L1258)),IF($M1258&lt;&gt;"",IF(INDEX(LdBNote,$M1258)="","—",INDEX(LdBNote,$M1258)),IF($N1258&lt;&gt;"",IF(INDEX(LdCNote,$N1258)="","—",INDEX(LdCNote,$N1258)),""))))</f>
        <v/>
      </c>
      <c r="L1258">
        <f>IFERROR(MATCH($C$5&amp;"|"&amp;RIGHT("000000"&amp;1242,6),LdAKeyM,0),"")</f>
        <v/>
      </c>
      <c r="M1258">
        <f>IFERROR(MATCH($C$5&amp;"|"&amp;RIGHT("000000"&amp;1242,6),LdBKeyM,0),"")</f>
        <v/>
      </c>
      <c r="N1258">
        <f>IFERROR(MATCH($C$5&amp;"|"&amp;RIGHT("000000"&amp;1242,6),LdCKeyM,0),"")</f>
        <v/>
      </c>
    </row>
    <row r="1259">
      <c r="A1259" s="10" t="n">
        <v>1243</v>
      </c>
      <c r="B1259" s="14">
        <f>IF(AND($L1259="",$M1259="",$N1259=""),"",IF($L1259&lt;&gt;"",INDEX(LdADate,$L1259),IF($M1259&lt;&gt;"",INDEX(LdBDate,$M1259),INDEX(LdCDate,$N1259))))</f>
        <v/>
      </c>
      <c r="C1259" s="14">
        <f>IF($L1259&lt;&gt;"","دستمزد (فردی)",IF($M1259&lt;&gt;"","سهم از گروه "&amp;IFERROR(VLOOKUP(INDEX(LdBGroup,$M1259),WGTbl,2,0),INDEX(LdBGroup,$M1259)),IF($N1259&lt;&gt;"",IF(N(INDEX(LdCDep,$N1259))&gt;0,"بازگشت بانکی","پرداخت بانکی"),"")))</f>
        <v/>
      </c>
      <c r="D1259" s="14">
        <f>IF($L1259&lt;&gt;"",IF(INDEX(LdAId,$L1259)="","—",INDEX(LdAId,$L1259)),IF($M1259&lt;&gt;"",IF(INDEX(LdBId,$M1259)="","—",INDEX(LdBId,$M1259)),IF($N1259&lt;&gt;"",IF(INDEX(LdCBank,$N1259)="","—",INDEX(LdCBank,$N1259)),"")))</f>
        <v/>
      </c>
      <c r="E1259" s="16">
        <f>IF($L1259&lt;&gt;"",IF(INDEX(LdAAmt,$L1259)=0,"",INDEX(LdAAmt,$L1259)),IF($M1259&lt;&gt;"",IF(INDEX(LdBAmt,$M1259)=0,"",INDEX(LdBAmt,$M1259)),IF($N1259&lt;&gt;"",IF(INDEX(LdCDep,$N1259)=0,"",INDEX(LdCDep,$N1259)),"")))</f>
        <v/>
      </c>
      <c r="F1259" s="16">
        <f>IF(AND($L1259="",$M1259="",$N1259=""),"",IF($N1259="","",IF(INDEX(LdCWit,$N1259)=0,"",INDEX(LdCWit,$N1259))))</f>
        <v/>
      </c>
      <c r="G1259" s="29">
        <f>IF($B1259="","",IF($G1258="",0,$G1258)+IF($E1259="",0,$E1259)-IF($F1259="",0,$F1259))</f>
        <v/>
      </c>
      <c r="H1259" s="30">
        <f>IF(AND($L1259="",$M1259="",$N1259=""),"",IF($L1259&lt;&gt;"",IF(INDEX(LdANote,$L1259)="","—",INDEX(LdANote,$L1259)),IF($M1259&lt;&gt;"",IF(INDEX(LdBNote,$M1259)="","—",INDEX(LdBNote,$M1259)),IF($N1259&lt;&gt;"",IF(INDEX(LdCNote,$N1259)="","—",INDEX(LdCNote,$N1259)),""))))</f>
        <v/>
      </c>
      <c r="L1259">
        <f>IFERROR(MATCH($C$5&amp;"|"&amp;RIGHT("000000"&amp;1243,6),LdAKeyM,0),"")</f>
        <v/>
      </c>
      <c r="M1259">
        <f>IFERROR(MATCH($C$5&amp;"|"&amp;RIGHT("000000"&amp;1243,6),LdBKeyM,0),"")</f>
        <v/>
      </c>
      <c r="N1259">
        <f>IFERROR(MATCH($C$5&amp;"|"&amp;RIGHT("000000"&amp;1243,6),LdCKeyM,0),"")</f>
        <v/>
      </c>
    </row>
    <row r="1260">
      <c r="A1260" s="19" t="n">
        <v>1244</v>
      </c>
      <c r="B1260" s="20">
        <f>IF(AND($L1260="",$M1260="",$N1260=""),"",IF($L1260&lt;&gt;"",INDEX(LdADate,$L1260),IF($M1260&lt;&gt;"",INDEX(LdBDate,$M1260),INDEX(LdCDate,$N1260))))</f>
        <v/>
      </c>
      <c r="C1260" s="20">
        <f>IF($L1260&lt;&gt;"","دستمزد (فردی)",IF($M1260&lt;&gt;"","سهم از گروه "&amp;IFERROR(VLOOKUP(INDEX(LdBGroup,$M1260),WGTbl,2,0),INDEX(LdBGroup,$M1260)),IF($N1260&lt;&gt;"",IF(N(INDEX(LdCDep,$N1260))&gt;0,"بازگشت بانکی","پرداخت بانکی"),"")))</f>
        <v/>
      </c>
      <c r="D1260" s="20">
        <f>IF($L1260&lt;&gt;"",IF(INDEX(LdAId,$L1260)="","—",INDEX(LdAId,$L1260)),IF($M1260&lt;&gt;"",IF(INDEX(LdBId,$M1260)="","—",INDEX(LdBId,$M1260)),IF($N1260&lt;&gt;"",IF(INDEX(LdCBank,$N1260)="","—",INDEX(LdCBank,$N1260)),"")))</f>
        <v/>
      </c>
      <c r="E1260" s="21">
        <f>IF($L1260&lt;&gt;"",IF(INDEX(LdAAmt,$L1260)=0,"",INDEX(LdAAmt,$L1260)),IF($M1260&lt;&gt;"",IF(INDEX(LdBAmt,$M1260)=0,"",INDEX(LdBAmt,$M1260)),IF($N1260&lt;&gt;"",IF(INDEX(LdCDep,$N1260)=0,"",INDEX(LdCDep,$N1260)),"")))</f>
        <v/>
      </c>
      <c r="F1260" s="21">
        <f>IF(AND($L1260="",$M1260="",$N1260=""),"",IF($N1260="","",IF(INDEX(LdCWit,$N1260)=0,"",INDEX(LdCWit,$N1260))))</f>
        <v/>
      </c>
      <c r="G1260" s="31">
        <f>IF($B1260="","",IF($G1259="",0,$G1259)+IF($E1260="",0,$E1260)-IF($F1260="",0,$F1260))</f>
        <v/>
      </c>
      <c r="H1260" s="32">
        <f>IF(AND($L1260="",$M1260="",$N1260=""),"",IF($L1260&lt;&gt;"",IF(INDEX(LdANote,$L1260)="","—",INDEX(LdANote,$L1260)),IF($M1260&lt;&gt;"",IF(INDEX(LdBNote,$M1260)="","—",INDEX(LdBNote,$M1260)),IF($N1260&lt;&gt;"",IF(INDEX(LdCNote,$N1260)="","—",INDEX(LdCNote,$N1260)),""))))</f>
        <v/>
      </c>
      <c r="L1260">
        <f>IFERROR(MATCH($C$5&amp;"|"&amp;RIGHT("000000"&amp;1244,6),LdAKeyM,0),"")</f>
        <v/>
      </c>
      <c r="M1260">
        <f>IFERROR(MATCH($C$5&amp;"|"&amp;RIGHT("000000"&amp;1244,6),LdBKeyM,0),"")</f>
        <v/>
      </c>
      <c r="N1260">
        <f>IFERROR(MATCH($C$5&amp;"|"&amp;RIGHT("000000"&amp;1244,6),LdCKeyM,0),"")</f>
        <v/>
      </c>
    </row>
    <row r="1261">
      <c r="A1261" s="10" t="n">
        <v>1245</v>
      </c>
      <c r="B1261" s="14">
        <f>IF(AND($L1261="",$M1261="",$N1261=""),"",IF($L1261&lt;&gt;"",INDEX(LdADate,$L1261),IF($M1261&lt;&gt;"",INDEX(LdBDate,$M1261),INDEX(LdCDate,$N1261))))</f>
        <v/>
      </c>
      <c r="C1261" s="14">
        <f>IF($L1261&lt;&gt;"","دستمزد (فردی)",IF($M1261&lt;&gt;"","سهم از گروه "&amp;IFERROR(VLOOKUP(INDEX(LdBGroup,$M1261),WGTbl,2,0),INDEX(LdBGroup,$M1261)),IF($N1261&lt;&gt;"",IF(N(INDEX(LdCDep,$N1261))&gt;0,"بازگشت بانکی","پرداخت بانکی"),"")))</f>
        <v/>
      </c>
      <c r="D1261" s="14">
        <f>IF($L1261&lt;&gt;"",IF(INDEX(LdAId,$L1261)="","—",INDEX(LdAId,$L1261)),IF($M1261&lt;&gt;"",IF(INDEX(LdBId,$M1261)="","—",INDEX(LdBId,$M1261)),IF($N1261&lt;&gt;"",IF(INDEX(LdCBank,$N1261)="","—",INDEX(LdCBank,$N1261)),"")))</f>
        <v/>
      </c>
      <c r="E1261" s="16">
        <f>IF($L1261&lt;&gt;"",IF(INDEX(LdAAmt,$L1261)=0,"",INDEX(LdAAmt,$L1261)),IF($M1261&lt;&gt;"",IF(INDEX(LdBAmt,$M1261)=0,"",INDEX(LdBAmt,$M1261)),IF($N1261&lt;&gt;"",IF(INDEX(LdCDep,$N1261)=0,"",INDEX(LdCDep,$N1261)),"")))</f>
        <v/>
      </c>
      <c r="F1261" s="16">
        <f>IF(AND($L1261="",$M1261="",$N1261=""),"",IF($N1261="","",IF(INDEX(LdCWit,$N1261)=0,"",INDEX(LdCWit,$N1261))))</f>
        <v/>
      </c>
      <c r="G1261" s="29">
        <f>IF($B1261="","",IF($G1260="",0,$G1260)+IF($E1261="",0,$E1261)-IF($F1261="",0,$F1261))</f>
        <v/>
      </c>
      <c r="H1261" s="30">
        <f>IF(AND($L1261="",$M1261="",$N1261=""),"",IF($L1261&lt;&gt;"",IF(INDEX(LdANote,$L1261)="","—",INDEX(LdANote,$L1261)),IF($M1261&lt;&gt;"",IF(INDEX(LdBNote,$M1261)="","—",INDEX(LdBNote,$M1261)),IF($N1261&lt;&gt;"",IF(INDEX(LdCNote,$N1261)="","—",INDEX(LdCNote,$N1261)),""))))</f>
        <v/>
      </c>
      <c r="L1261">
        <f>IFERROR(MATCH($C$5&amp;"|"&amp;RIGHT("000000"&amp;1245,6),LdAKeyM,0),"")</f>
        <v/>
      </c>
      <c r="M1261">
        <f>IFERROR(MATCH($C$5&amp;"|"&amp;RIGHT("000000"&amp;1245,6),LdBKeyM,0),"")</f>
        <v/>
      </c>
      <c r="N1261">
        <f>IFERROR(MATCH($C$5&amp;"|"&amp;RIGHT("000000"&amp;1245,6),LdCKeyM,0),"")</f>
        <v/>
      </c>
    </row>
    <row r="1262">
      <c r="A1262" s="19" t="n">
        <v>1246</v>
      </c>
      <c r="B1262" s="20">
        <f>IF(AND($L1262="",$M1262="",$N1262=""),"",IF($L1262&lt;&gt;"",INDEX(LdADate,$L1262),IF($M1262&lt;&gt;"",INDEX(LdBDate,$M1262),INDEX(LdCDate,$N1262))))</f>
        <v/>
      </c>
      <c r="C1262" s="20">
        <f>IF($L1262&lt;&gt;"","دستمزد (فردی)",IF($M1262&lt;&gt;"","سهم از گروه "&amp;IFERROR(VLOOKUP(INDEX(LdBGroup,$M1262),WGTbl,2,0),INDEX(LdBGroup,$M1262)),IF($N1262&lt;&gt;"",IF(N(INDEX(LdCDep,$N1262))&gt;0,"بازگشت بانکی","پرداخت بانکی"),"")))</f>
        <v/>
      </c>
      <c r="D1262" s="20">
        <f>IF($L1262&lt;&gt;"",IF(INDEX(LdAId,$L1262)="","—",INDEX(LdAId,$L1262)),IF($M1262&lt;&gt;"",IF(INDEX(LdBId,$M1262)="","—",INDEX(LdBId,$M1262)),IF($N1262&lt;&gt;"",IF(INDEX(LdCBank,$N1262)="","—",INDEX(LdCBank,$N1262)),"")))</f>
        <v/>
      </c>
      <c r="E1262" s="21">
        <f>IF($L1262&lt;&gt;"",IF(INDEX(LdAAmt,$L1262)=0,"",INDEX(LdAAmt,$L1262)),IF($M1262&lt;&gt;"",IF(INDEX(LdBAmt,$M1262)=0,"",INDEX(LdBAmt,$M1262)),IF($N1262&lt;&gt;"",IF(INDEX(LdCDep,$N1262)=0,"",INDEX(LdCDep,$N1262)),"")))</f>
        <v/>
      </c>
      <c r="F1262" s="21">
        <f>IF(AND($L1262="",$M1262="",$N1262=""),"",IF($N1262="","",IF(INDEX(LdCWit,$N1262)=0,"",INDEX(LdCWit,$N1262))))</f>
        <v/>
      </c>
      <c r="G1262" s="31">
        <f>IF($B1262="","",IF($G1261="",0,$G1261)+IF($E1262="",0,$E1262)-IF($F1262="",0,$F1262))</f>
        <v/>
      </c>
      <c r="H1262" s="32">
        <f>IF(AND($L1262="",$M1262="",$N1262=""),"",IF($L1262&lt;&gt;"",IF(INDEX(LdANote,$L1262)="","—",INDEX(LdANote,$L1262)),IF($M1262&lt;&gt;"",IF(INDEX(LdBNote,$M1262)="","—",INDEX(LdBNote,$M1262)),IF($N1262&lt;&gt;"",IF(INDEX(LdCNote,$N1262)="","—",INDEX(LdCNote,$N1262)),""))))</f>
        <v/>
      </c>
      <c r="L1262">
        <f>IFERROR(MATCH($C$5&amp;"|"&amp;RIGHT("000000"&amp;1246,6),LdAKeyM,0),"")</f>
        <v/>
      </c>
      <c r="M1262">
        <f>IFERROR(MATCH($C$5&amp;"|"&amp;RIGHT("000000"&amp;1246,6),LdBKeyM,0),"")</f>
        <v/>
      </c>
      <c r="N1262">
        <f>IFERROR(MATCH($C$5&amp;"|"&amp;RIGHT("000000"&amp;1246,6),LdCKeyM,0),"")</f>
        <v/>
      </c>
    </row>
    <row r="1263">
      <c r="A1263" s="10" t="n">
        <v>1247</v>
      </c>
      <c r="B1263" s="14">
        <f>IF(AND($L1263="",$M1263="",$N1263=""),"",IF($L1263&lt;&gt;"",INDEX(LdADate,$L1263),IF($M1263&lt;&gt;"",INDEX(LdBDate,$M1263),INDEX(LdCDate,$N1263))))</f>
        <v/>
      </c>
      <c r="C1263" s="14">
        <f>IF($L1263&lt;&gt;"","دستمزد (فردی)",IF($M1263&lt;&gt;"","سهم از گروه "&amp;IFERROR(VLOOKUP(INDEX(LdBGroup,$M1263),WGTbl,2,0),INDEX(LdBGroup,$M1263)),IF($N1263&lt;&gt;"",IF(N(INDEX(LdCDep,$N1263))&gt;0,"بازگشت بانکی","پرداخت بانکی"),"")))</f>
        <v/>
      </c>
      <c r="D1263" s="14">
        <f>IF($L1263&lt;&gt;"",IF(INDEX(LdAId,$L1263)="","—",INDEX(LdAId,$L1263)),IF($M1263&lt;&gt;"",IF(INDEX(LdBId,$M1263)="","—",INDEX(LdBId,$M1263)),IF($N1263&lt;&gt;"",IF(INDEX(LdCBank,$N1263)="","—",INDEX(LdCBank,$N1263)),"")))</f>
        <v/>
      </c>
      <c r="E1263" s="16">
        <f>IF($L1263&lt;&gt;"",IF(INDEX(LdAAmt,$L1263)=0,"",INDEX(LdAAmt,$L1263)),IF($M1263&lt;&gt;"",IF(INDEX(LdBAmt,$M1263)=0,"",INDEX(LdBAmt,$M1263)),IF($N1263&lt;&gt;"",IF(INDEX(LdCDep,$N1263)=0,"",INDEX(LdCDep,$N1263)),"")))</f>
        <v/>
      </c>
      <c r="F1263" s="16">
        <f>IF(AND($L1263="",$M1263="",$N1263=""),"",IF($N1263="","",IF(INDEX(LdCWit,$N1263)=0,"",INDEX(LdCWit,$N1263))))</f>
        <v/>
      </c>
      <c r="G1263" s="29">
        <f>IF($B1263="","",IF($G1262="",0,$G1262)+IF($E1263="",0,$E1263)-IF($F1263="",0,$F1263))</f>
        <v/>
      </c>
      <c r="H1263" s="30">
        <f>IF(AND($L1263="",$M1263="",$N1263=""),"",IF($L1263&lt;&gt;"",IF(INDEX(LdANote,$L1263)="","—",INDEX(LdANote,$L1263)),IF($M1263&lt;&gt;"",IF(INDEX(LdBNote,$M1263)="","—",INDEX(LdBNote,$M1263)),IF($N1263&lt;&gt;"",IF(INDEX(LdCNote,$N1263)="","—",INDEX(LdCNote,$N1263)),""))))</f>
        <v/>
      </c>
      <c r="L1263">
        <f>IFERROR(MATCH($C$5&amp;"|"&amp;RIGHT("000000"&amp;1247,6),LdAKeyM,0),"")</f>
        <v/>
      </c>
      <c r="M1263">
        <f>IFERROR(MATCH($C$5&amp;"|"&amp;RIGHT("000000"&amp;1247,6),LdBKeyM,0),"")</f>
        <v/>
      </c>
      <c r="N1263">
        <f>IFERROR(MATCH($C$5&amp;"|"&amp;RIGHT("000000"&amp;1247,6),LdCKeyM,0),"")</f>
        <v/>
      </c>
    </row>
    <row r="1264">
      <c r="A1264" s="19" t="n">
        <v>1248</v>
      </c>
      <c r="B1264" s="20">
        <f>IF(AND($L1264="",$M1264="",$N1264=""),"",IF($L1264&lt;&gt;"",INDEX(LdADate,$L1264),IF($M1264&lt;&gt;"",INDEX(LdBDate,$M1264),INDEX(LdCDate,$N1264))))</f>
        <v/>
      </c>
      <c r="C1264" s="20">
        <f>IF($L1264&lt;&gt;"","دستمزد (فردی)",IF($M1264&lt;&gt;"","سهم از گروه "&amp;IFERROR(VLOOKUP(INDEX(LdBGroup,$M1264),WGTbl,2,0),INDEX(LdBGroup,$M1264)),IF($N1264&lt;&gt;"",IF(N(INDEX(LdCDep,$N1264))&gt;0,"بازگشت بانکی","پرداخت بانکی"),"")))</f>
        <v/>
      </c>
      <c r="D1264" s="20">
        <f>IF($L1264&lt;&gt;"",IF(INDEX(LdAId,$L1264)="","—",INDEX(LdAId,$L1264)),IF($M1264&lt;&gt;"",IF(INDEX(LdBId,$M1264)="","—",INDEX(LdBId,$M1264)),IF($N1264&lt;&gt;"",IF(INDEX(LdCBank,$N1264)="","—",INDEX(LdCBank,$N1264)),"")))</f>
        <v/>
      </c>
      <c r="E1264" s="21">
        <f>IF($L1264&lt;&gt;"",IF(INDEX(LdAAmt,$L1264)=0,"",INDEX(LdAAmt,$L1264)),IF($M1264&lt;&gt;"",IF(INDEX(LdBAmt,$M1264)=0,"",INDEX(LdBAmt,$M1264)),IF($N1264&lt;&gt;"",IF(INDEX(LdCDep,$N1264)=0,"",INDEX(LdCDep,$N1264)),"")))</f>
        <v/>
      </c>
      <c r="F1264" s="21">
        <f>IF(AND($L1264="",$M1264="",$N1264=""),"",IF($N1264="","",IF(INDEX(LdCWit,$N1264)=0,"",INDEX(LdCWit,$N1264))))</f>
        <v/>
      </c>
      <c r="G1264" s="31">
        <f>IF($B1264="","",IF($G1263="",0,$G1263)+IF($E1264="",0,$E1264)-IF($F1264="",0,$F1264))</f>
        <v/>
      </c>
      <c r="H1264" s="32">
        <f>IF(AND($L1264="",$M1264="",$N1264=""),"",IF($L1264&lt;&gt;"",IF(INDEX(LdANote,$L1264)="","—",INDEX(LdANote,$L1264)),IF($M1264&lt;&gt;"",IF(INDEX(LdBNote,$M1264)="","—",INDEX(LdBNote,$M1264)),IF($N1264&lt;&gt;"",IF(INDEX(LdCNote,$N1264)="","—",INDEX(LdCNote,$N1264)),""))))</f>
        <v/>
      </c>
      <c r="L1264">
        <f>IFERROR(MATCH($C$5&amp;"|"&amp;RIGHT("000000"&amp;1248,6),LdAKeyM,0),"")</f>
        <v/>
      </c>
      <c r="M1264">
        <f>IFERROR(MATCH($C$5&amp;"|"&amp;RIGHT("000000"&amp;1248,6),LdBKeyM,0),"")</f>
        <v/>
      </c>
      <c r="N1264">
        <f>IFERROR(MATCH($C$5&amp;"|"&amp;RIGHT("000000"&amp;1248,6),LdCKeyM,0),"")</f>
        <v/>
      </c>
    </row>
    <row r="1265">
      <c r="A1265" s="10" t="n">
        <v>1249</v>
      </c>
      <c r="B1265" s="14">
        <f>IF(AND($L1265="",$M1265="",$N1265=""),"",IF($L1265&lt;&gt;"",INDEX(LdADate,$L1265),IF($M1265&lt;&gt;"",INDEX(LdBDate,$M1265),INDEX(LdCDate,$N1265))))</f>
        <v/>
      </c>
      <c r="C1265" s="14">
        <f>IF($L1265&lt;&gt;"","دستمزد (فردی)",IF($M1265&lt;&gt;"","سهم از گروه "&amp;IFERROR(VLOOKUP(INDEX(LdBGroup,$M1265),WGTbl,2,0),INDEX(LdBGroup,$M1265)),IF($N1265&lt;&gt;"",IF(N(INDEX(LdCDep,$N1265))&gt;0,"بازگشت بانکی","پرداخت بانکی"),"")))</f>
        <v/>
      </c>
      <c r="D1265" s="14">
        <f>IF($L1265&lt;&gt;"",IF(INDEX(LdAId,$L1265)="","—",INDEX(LdAId,$L1265)),IF($M1265&lt;&gt;"",IF(INDEX(LdBId,$M1265)="","—",INDEX(LdBId,$M1265)),IF($N1265&lt;&gt;"",IF(INDEX(LdCBank,$N1265)="","—",INDEX(LdCBank,$N1265)),"")))</f>
        <v/>
      </c>
      <c r="E1265" s="16">
        <f>IF($L1265&lt;&gt;"",IF(INDEX(LdAAmt,$L1265)=0,"",INDEX(LdAAmt,$L1265)),IF($M1265&lt;&gt;"",IF(INDEX(LdBAmt,$M1265)=0,"",INDEX(LdBAmt,$M1265)),IF($N1265&lt;&gt;"",IF(INDEX(LdCDep,$N1265)=0,"",INDEX(LdCDep,$N1265)),"")))</f>
        <v/>
      </c>
      <c r="F1265" s="16">
        <f>IF(AND($L1265="",$M1265="",$N1265=""),"",IF($N1265="","",IF(INDEX(LdCWit,$N1265)=0,"",INDEX(LdCWit,$N1265))))</f>
        <v/>
      </c>
      <c r="G1265" s="29">
        <f>IF($B1265="","",IF($G1264="",0,$G1264)+IF($E1265="",0,$E1265)-IF($F1265="",0,$F1265))</f>
        <v/>
      </c>
      <c r="H1265" s="30">
        <f>IF(AND($L1265="",$M1265="",$N1265=""),"",IF($L1265&lt;&gt;"",IF(INDEX(LdANote,$L1265)="","—",INDEX(LdANote,$L1265)),IF($M1265&lt;&gt;"",IF(INDEX(LdBNote,$M1265)="","—",INDEX(LdBNote,$M1265)),IF($N1265&lt;&gt;"",IF(INDEX(LdCNote,$N1265)="","—",INDEX(LdCNote,$N1265)),""))))</f>
        <v/>
      </c>
      <c r="L1265">
        <f>IFERROR(MATCH($C$5&amp;"|"&amp;RIGHT("000000"&amp;1249,6),LdAKeyM,0),"")</f>
        <v/>
      </c>
      <c r="M1265">
        <f>IFERROR(MATCH($C$5&amp;"|"&amp;RIGHT("000000"&amp;1249,6),LdBKeyM,0),"")</f>
        <v/>
      </c>
      <c r="N1265">
        <f>IFERROR(MATCH($C$5&amp;"|"&amp;RIGHT("000000"&amp;1249,6),LdCKeyM,0),"")</f>
        <v/>
      </c>
    </row>
    <row r="1266">
      <c r="A1266" s="19" t="n">
        <v>1250</v>
      </c>
      <c r="B1266" s="20">
        <f>IF(AND($L1266="",$M1266="",$N1266=""),"",IF($L1266&lt;&gt;"",INDEX(LdADate,$L1266),IF($M1266&lt;&gt;"",INDEX(LdBDate,$M1266),INDEX(LdCDate,$N1266))))</f>
        <v/>
      </c>
      <c r="C1266" s="20">
        <f>IF($L1266&lt;&gt;"","دستمزد (فردی)",IF($M1266&lt;&gt;"","سهم از گروه "&amp;IFERROR(VLOOKUP(INDEX(LdBGroup,$M1266),WGTbl,2,0),INDEX(LdBGroup,$M1266)),IF($N1266&lt;&gt;"",IF(N(INDEX(LdCDep,$N1266))&gt;0,"بازگشت بانکی","پرداخت بانکی"),"")))</f>
        <v/>
      </c>
      <c r="D1266" s="20">
        <f>IF($L1266&lt;&gt;"",IF(INDEX(LdAId,$L1266)="","—",INDEX(LdAId,$L1266)),IF($M1266&lt;&gt;"",IF(INDEX(LdBId,$M1266)="","—",INDEX(LdBId,$M1266)),IF($N1266&lt;&gt;"",IF(INDEX(LdCBank,$N1266)="","—",INDEX(LdCBank,$N1266)),"")))</f>
        <v/>
      </c>
      <c r="E1266" s="21">
        <f>IF($L1266&lt;&gt;"",IF(INDEX(LdAAmt,$L1266)=0,"",INDEX(LdAAmt,$L1266)),IF($M1266&lt;&gt;"",IF(INDEX(LdBAmt,$M1266)=0,"",INDEX(LdBAmt,$M1266)),IF($N1266&lt;&gt;"",IF(INDEX(LdCDep,$N1266)=0,"",INDEX(LdCDep,$N1266)),"")))</f>
        <v/>
      </c>
      <c r="F1266" s="21">
        <f>IF(AND($L1266="",$M1266="",$N1266=""),"",IF($N1266="","",IF(INDEX(LdCWit,$N1266)=0,"",INDEX(LdCWit,$N1266))))</f>
        <v/>
      </c>
      <c r="G1266" s="31">
        <f>IF($B1266="","",IF($G1265="",0,$G1265)+IF($E1266="",0,$E1266)-IF($F1266="",0,$F1266))</f>
        <v/>
      </c>
      <c r="H1266" s="32">
        <f>IF(AND($L1266="",$M1266="",$N1266=""),"",IF($L1266&lt;&gt;"",IF(INDEX(LdANote,$L1266)="","—",INDEX(LdANote,$L1266)),IF($M1266&lt;&gt;"",IF(INDEX(LdBNote,$M1266)="","—",INDEX(LdBNote,$M1266)),IF($N1266&lt;&gt;"",IF(INDEX(LdCNote,$N1266)="","—",INDEX(LdCNote,$N1266)),""))))</f>
        <v/>
      </c>
      <c r="L1266">
        <f>IFERROR(MATCH($C$5&amp;"|"&amp;RIGHT("000000"&amp;1250,6),LdAKeyM,0),"")</f>
        <v/>
      </c>
      <c r="M1266">
        <f>IFERROR(MATCH($C$5&amp;"|"&amp;RIGHT("000000"&amp;1250,6),LdBKeyM,0),"")</f>
        <v/>
      </c>
      <c r="N1266">
        <f>IFERROR(MATCH($C$5&amp;"|"&amp;RIGHT("000000"&amp;1250,6),LdCKeyM,0),"")</f>
        <v/>
      </c>
    </row>
    <row r="1267">
      <c r="A1267" s="10" t="n">
        <v>1251</v>
      </c>
      <c r="B1267" s="14">
        <f>IF(AND($L1267="",$M1267="",$N1267=""),"",IF($L1267&lt;&gt;"",INDEX(LdADate,$L1267),IF($M1267&lt;&gt;"",INDEX(LdBDate,$M1267),INDEX(LdCDate,$N1267))))</f>
        <v/>
      </c>
      <c r="C1267" s="14">
        <f>IF($L1267&lt;&gt;"","دستمزد (فردی)",IF($M1267&lt;&gt;"","سهم از گروه "&amp;IFERROR(VLOOKUP(INDEX(LdBGroup,$M1267),WGTbl,2,0),INDEX(LdBGroup,$M1267)),IF($N1267&lt;&gt;"",IF(N(INDEX(LdCDep,$N1267))&gt;0,"بازگشت بانکی","پرداخت بانکی"),"")))</f>
        <v/>
      </c>
      <c r="D1267" s="14">
        <f>IF($L1267&lt;&gt;"",IF(INDEX(LdAId,$L1267)="","—",INDEX(LdAId,$L1267)),IF($M1267&lt;&gt;"",IF(INDEX(LdBId,$M1267)="","—",INDEX(LdBId,$M1267)),IF($N1267&lt;&gt;"",IF(INDEX(LdCBank,$N1267)="","—",INDEX(LdCBank,$N1267)),"")))</f>
        <v/>
      </c>
      <c r="E1267" s="16">
        <f>IF($L1267&lt;&gt;"",IF(INDEX(LdAAmt,$L1267)=0,"",INDEX(LdAAmt,$L1267)),IF($M1267&lt;&gt;"",IF(INDEX(LdBAmt,$M1267)=0,"",INDEX(LdBAmt,$M1267)),IF($N1267&lt;&gt;"",IF(INDEX(LdCDep,$N1267)=0,"",INDEX(LdCDep,$N1267)),"")))</f>
        <v/>
      </c>
      <c r="F1267" s="16">
        <f>IF(AND($L1267="",$M1267="",$N1267=""),"",IF($N1267="","",IF(INDEX(LdCWit,$N1267)=0,"",INDEX(LdCWit,$N1267))))</f>
        <v/>
      </c>
      <c r="G1267" s="29">
        <f>IF($B1267="","",IF($G1266="",0,$G1266)+IF($E1267="",0,$E1267)-IF($F1267="",0,$F1267))</f>
        <v/>
      </c>
      <c r="H1267" s="30">
        <f>IF(AND($L1267="",$M1267="",$N1267=""),"",IF($L1267&lt;&gt;"",IF(INDEX(LdANote,$L1267)="","—",INDEX(LdANote,$L1267)),IF($M1267&lt;&gt;"",IF(INDEX(LdBNote,$M1267)="","—",INDEX(LdBNote,$M1267)),IF($N1267&lt;&gt;"",IF(INDEX(LdCNote,$N1267)="","—",INDEX(LdCNote,$N1267)),""))))</f>
        <v/>
      </c>
      <c r="L1267">
        <f>IFERROR(MATCH($C$5&amp;"|"&amp;RIGHT("000000"&amp;1251,6),LdAKeyM,0),"")</f>
        <v/>
      </c>
      <c r="M1267">
        <f>IFERROR(MATCH($C$5&amp;"|"&amp;RIGHT("000000"&amp;1251,6),LdBKeyM,0),"")</f>
        <v/>
      </c>
      <c r="N1267">
        <f>IFERROR(MATCH($C$5&amp;"|"&amp;RIGHT("000000"&amp;1251,6),LdCKeyM,0),"")</f>
        <v/>
      </c>
    </row>
    <row r="1268">
      <c r="A1268" s="19" t="n">
        <v>1252</v>
      </c>
      <c r="B1268" s="20">
        <f>IF(AND($L1268="",$M1268="",$N1268=""),"",IF($L1268&lt;&gt;"",INDEX(LdADate,$L1268),IF($M1268&lt;&gt;"",INDEX(LdBDate,$M1268),INDEX(LdCDate,$N1268))))</f>
        <v/>
      </c>
      <c r="C1268" s="20">
        <f>IF($L1268&lt;&gt;"","دستمزد (فردی)",IF($M1268&lt;&gt;"","سهم از گروه "&amp;IFERROR(VLOOKUP(INDEX(LdBGroup,$M1268),WGTbl,2,0),INDEX(LdBGroup,$M1268)),IF($N1268&lt;&gt;"",IF(N(INDEX(LdCDep,$N1268))&gt;0,"بازگشت بانکی","پرداخت بانکی"),"")))</f>
        <v/>
      </c>
      <c r="D1268" s="20">
        <f>IF($L1268&lt;&gt;"",IF(INDEX(LdAId,$L1268)="","—",INDEX(LdAId,$L1268)),IF($M1268&lt;&gt;"",IF(INDEX(LdBId,$M1268)="","—",INDEX(LdBId,$M1268)),IF($N1268&lt;&gt;"",IF(INDEX(LdCBank,$N1268)="","—",INDEX(LdCBank,$N1268)),"")))</f>
        <v/>
      </c>
      <c r="E1268" s="21">
        <f>IF($L1268&lt;&gt;"",IF(INDEX(LdAAmt,$L1268)=0,"",INDEX(LdAAmt,$L1268)),IF($M1268&lt;&gt;"",IF(INDEX(LdBAmt,$M1268)=0,"",INDEX(LdBAmt,$M1268)),IF($N1268&lt;&gt;"",IF(INDEX(LdCDep,$N1268)=0,"",INDEX(LdCDep,$N1268)),"")))</f>
        <v/>
      </c>
      <c r="F1268" s="21">
        <f>IF(AND($L1268="",$M1268="",$N1268=""),"",IF($N1268="","",IF(INDEX(LdCWit,$N1268)=0,"",INDEX(LdCWit,$N1268))))</f>
        <v/>
      </c>
      <c r="G1268" s="31">
        <f>IF($B1268="","",IF($G1267="",0,$G1267)+IF($E1268="",0,$E1268)-IF($F1268="",0,$F1268))</f>
        <v/>
      </c>
      <c r="H1268" s="32">
        <f>IF(AND($L1268="",$M1268="",$N1268=""),"",IF($L1268&lt;&gt;"",IF(INDEX(LdANote,$L1268)="","—",INDEX(LdANote,$L1268)),IF($M1268&lt;&gt;"",IF(INDEX(LdBNote,$M1268)="","—",INDEX(LdBNote,$M1268)),IF($N1268&lt;&gt;"",IF(INDEX(LdCNote,$N1268)="","—",INDEX(LdCNote,$N1268)),""))))</f>
        <v/>
      </c>
      <c r="L1268">
        <f>IFERROR(MATCH($C$5&amp;"|"&amp;RIGHT("000000"&amp;1252,6),LdAKeyM,0),"")</f>
        <v/>
      </c>
      <c r="M1268">
        <f>IFERROR(MATCH($C$5&amp;"|"&amp;RIGHT("000000"&amp;1252,6),LdBKeyM,0),"")</f>
        <v/>
      </c>
      <c r="N1268">
        <f>IFERROR(MATCH($C$5&amp;"|"&amp;RIGHT("000000"&amp;1252,6),LdCKeyM,0),"")</f>
        <v/>
      </c>
    </row>
    <row r="1269">
      <c r="A1269" s="10" t="n">
        <v>1253</v>
      </c>
      <c r="B1269" s="14">
        <f>IF(AND($L1269="",$M1269="",$N1269=""),"",IF($L1269&lt;&gt;"",INDEX(LdADate,$L1269),IF($M1269&lt;&gt;"",INDEX(LdBDate,$M1269),INDEX(LdCDate,$N1269))))</f>
        <v/>
      </c>
      <c r="C1269" s="14">
        <f>IF($L1269&lt;&gt;"","دستمزد (فردی)",IF($M1269&lt;&gt;"","سهم از گروه "&amp;IFERROR(VLOOKUP(INDEX(LdBGroup,$M1269),WGTbl,2,0),INDEX(LdBGroup,$M1269)),IF($N1269&lt;&gt;"",IF(N(INDEX(LdCDep,$N1269))&gt;0,"بازگشت بانکی","پرداخت بانکی"),"")))</f>
        <v/>
      </c>
      <c r="D1269" s="14">
        <f>IF($L1269&lt;&gt;"",IF(INDEX(LdAId,$L1269)="","—",INDEX(LdAId,$L1269)),IF($M1269&lt;&gt;"",IF(INDEX(LdBId,$M1269)="","—",INDEX(LdBId,$M1269)),IF($N1269&lt;&gt;"",IF(INDEX(LdCBank,$N1269)="","—",INDEX(LdCBank,$N1269)),"")))</f>
        <v/>
      </c>
      <c r="E1269" s="16">
        <f>IF($L1269&lt;&gt;"",IF(INDEX(LdAAmt,$L1269)=0,"",INDEX(LdAAmt,$L1269)),IF($M1269&lt;&gt;"",IF(INDEX(LdBAmt,$M1269)=0,"",INDEX(LdBAmt,$M1269)),IF($N1269&lt;&gt;"",IF(INDEX(LdCDep,$N1269)=0,"",INDEX(LdCDep,$N1269)),"")))</f>
        <v/>
      </c>
      <c r="F1269" s="16">
        <f>IF(AND($L1269="",$M1269="",$N1269=""),"",IF($N1269="","",IF(INDEX(LdCWit,$N1269)=0,"",INDEX(LdCWit,$N1269))))</f>
        <v/>
      </c>
      <c r="G1269" s="29">
        <f>IF($B1269="","",IF($G1268="",0,$G1268)+IF($E1269="",0,$E1269)-IF($F1269="",0,$F1269))</f>
        <v/>
      </c>
      <c r="H1269" s="30">
        <f>IF(AND($L1269="",$M1269="",$N1269=""),"",IF($L1269&lt;&gt;"",IF(INDEX(LdANote,$L1269)="","—",INDEX(LdANote,$L1269)),IF($M1269&lt;&gt;"",IF(INDEX(LdBNote,$M1269)="","—",INDEX(LdBNote,$M1269)),IF($N1269&lt;&gt;"",IF(INDEX(LdCNote,$N1269)="","—",INDEX(LdCNote,$N1269)),""))))</f>
        <v/>
      </c>
      <c r="L1269">
        <f>IFERROR(MATCH($C$5&amp;"|"&amp;RIGHT("000000"&amp;1253,6),LdAKeyM,0),"")</f>
        <v/>
      </c>
      <c r="M1269">
        <f>IFERROR(MATCH($C$5&amp;"|"&amp;RIGHT("000000"&amp;1253,6),LdBKeyM,0),"")</f>
        <v/>
      </c>
      <c r="N1269">
        <f>IFERROR(MATCH($C$5&amp;"|"&amp;RIGHT("000000"&amp;1253,6),LdCKeyM,0),"")</f>
        <v/>
      </c>
    </row>
    <row r="1270">
      <c r="A1270" s="19" t="n">
        <v>1254</v>
      </c>
      <c r="B1270" s="20">
        <f>IF(AND($L1270="",$M1270="",$N1270=""),"",IF($L1270&lt;&gt;"",INDEX(LdADate,$L1270),IF($M1270&lt;&gt;"",INDEX(LdBDate,$M1270),INDEX(LdCDate,$N1270))))</f>
        <v/>
      </c>
      <c r="C1270" s="20">
        <f>IF($L1270&lt;&gt;"","دستمزد (فردی)",IF($M1270&lt;&gt;"","سهم از گروه "&amp;IFERROR(VLOOKUP(INDEX(LdBGroup,$M1270),WGTbl,2,0),INDEX(LdBGroup,$M1270)),IF($N1270&lt;&gt;"",IF(N(INDEX(LdCDep,$N1270))&gt;0,"بازگشت بانکی","پرداخت بانکی"),"")))</f>
        <v/>
      </c>
      <c r="D1270" s="20">
        <f>IF($L1270&lt;&gt;"",IF(INDEX(LdAId,$L1270)="","—",INDEX(LdAId,$L1270)),IF($M1270&lt;&gt;"",IF(INDEX(LdBId,$M1270)="","—",INDEX(LdBId,$M1270)),IF($N1270&lt;&gt;"",IF(INDEX(LdCBank,$N1270)="","—",INDEX(LdCBank,$N1270)),"")))</f>
        <v/>
      </c>
      <c r="E1270" s="21">
        <f>IF($L1270&lt;&gt;"",IF(INDEX(LdAAmt,$L1270)=0,"",INDEX(LdAAmt,$L1270)),IF($M1270&lt;&gt;"",IF(INDEX(LdBAmt,$M1270)=0,"",INDEX(LdBAmt,$M1270)),IF($N1270&lt;&gt;"",IF(INDEX(LdCDep,$N1270)=0,"",INDEX(LdCDep,$N1270)),"")))</f>
        <v/>
      </c>
      <c r="F1270" s="21">
        <f>IF(AND($L1270="",$M1270="",$N1270=""),"",IF($N1270="","",IF(INDEX(LdCWit,$N1270)=0,"",INDEX(LdCWit,$N1270))))</f>
        <v/>
      </c>
      <c r="G1270" s="31">
        <f>IF($B1270="","",IF($G1269="",0,$G1269)+IF($E1270="",0,$E1270)-IF($F1270="",0,$F1270))</f>
        <v/>
      </c>
      <c r="H1270" s="32">
        <f>IF(AND($L1270="",$M1270="",$N1270=""),"",IF($L1270&lt;&gt;"",IF(INDEX(LdANote,$L1270)="","—",INDEX(LdANote,$L1270)),IF($M1270&lt;&gt;"",IF(INDEX(LdBNote,$M1270)="","—",INDEX(LdBNote,$M1270)),IF($N1270&lt;&gt;"",IF(INDEX(LdCNote,$N1270)="","—",INDEX(LdCNote,$N1270)),""))))</f>
        <v/>
      </c>
      <c r="L1270">
        <f>IFERROR(MATCH($C$5&amp;"|"&amp;RIGHT("000000"&amp;1254,6),LdAKeyM,0),"")</f>
        <v/>
      </c>
      <c r="M1270">
        <f>IFERROR(MATCH($C$5&amp;"|"&amp;RIGHT("000000"&amp;1254,6),LdBKeyM,0),"")</f>
        <v/>
      </c>
      <c r="N1270">
        <f>IFERROR(MATCH($C$5&amp;"|"&amp;RIGHT("000000"&amp;1254,6),LdCKeyM,0),"")</f>
        <v/>
      </c>
    </row>
    <row r="1271">
      <c r="A1271" s="10" t="n">
        <v>1255</v>
      </c>
      <c r="B1271" s="14">
        <f>IF(AND($L1271="",$M1271="",$N1271=""),"",IF($L1271&lt;&gt;"",INDEX(LdADate,$L1271),IF($M1271&lt;&gt;"",INDEX(LdBDate,$M1271),INDEX(LdCDate,$N1271))))</f>
        <v/>
      </c>
      <c r="C1271" s="14">
        <f>IF($L1271&lt;&gt;"","دستمزد (فردی)",IF($M1271&lt;&gt;"","سهم از گروه "&amp;IFERROR(VLOOKUP(INDEX(LdBGroup,$M1271),WGTbl,2,0),INDEX(LdBGroup,$M1271)),IF($N1271&lt;&gt;"",IF(N(INDEX(LdCDep,$N1271))&gt;0,"بازگشت بانکی","پرداخت بانکی"),"")))</f>
        <v/>
      </c>
      <c r="D1271" s="14">
        <f>IF($L1271&lt;&gt;"",IF(INDEX(LdAId,$L1271)="","—",INDEX(LdAId,$L1271)),IF($M1271&lt;&gt;"",IF(INDEX(LdBId,$M1271)="","—",INDEX(LdBId,$M1271)),IF($N1271&lt;&gt;"",IF(INDEX(LdCBank,$N1271)="","—",INDEX(LdCBank,$N1271)),"")))</f>
        <v/>
      </c>
      <c r="E1271" s="16">
        <f>IF($L1271&lt;&gt;"",IF(INDEX(LdAAmt,$L1271)=0,"",INDEX(LdAAmt,$L1271)),IF($M1271&lt;&gt;"",IF(INDEX(LdBAmt,$M1271)=0,"",INDEX(LdBAmt,$M1271)),IF($N1271&lt;&gt;"",IF(INDEX(LdCDep,$N1271)=0,"",INDEX(LdCDep,$N1271)),"")))</f>
        <v/>
      </c>
      <c r="F1271" s="16">
        <f>IF(AND($L1271="",$M1271="",$N1271=""),"",IF($N1271="","",IF(INDEX(LdCWit,$N1271)=0,"",INDEX(LdCWit,$N1271))))</f>
        <v/>
      </c>
      <c r="G1271" s="29">
        <f>IF($B1271="","",IF($G1270="",0,$G1270)+IF($E1271="",0,$E1271)-IF($F1271="",0,$F1271))</f>
        <v/>
      </c>
      <c r="H1271" s="30">
        <f>IF(AND($L1271="",$M1271="",$N1271=""),"",IF($L1271&lt;&gt;"",IF(INDEX(LdANote,$L1271)="","—",INDEX(LdANote,$L1271)),IF($M1271&lt;&gt;"",IF(INDEX(LdBNote,$M1271)="","—",INDEX(LdBNote,$M1271)),IF($N1271&lt;&gt;"",IF(INDEX(LdCNote,$N1271)="","—",INDEX(LdCNote,$N1271)),""))))</f>
        <v/>
      </c>
      <c r="L1271">
        <f>IFERROR(MATCH($C$5&amp;"|"&amp;RIGHT("000000"&amp;1255,6),LdAKeyM,0),"")</f>
        <v/>
      </c>
      <c r="M1271">
        <f>IFERROR(MATCH($C$5&amp;"|"&amp;RIGHT("000000"&amp;1255,6),LdBKeyM,0),"")</f>
        <v/>
      </c>
      <c r="N1271">
        <f>IFERROR(MATCH($C$5&amp;"|"&amp;RIGHT("000000"&amp;1255,6),LdCKeyM,0),"")</f>
        <v/>
      </c>
    </row>
    <row r="1272">
      <c r="A1272" s="19" t="n">
        <v>1256</v>
      </c>
      <c r="B1272" s="20">
        <f>IF(AND($L1272="",$M1272="",$N1272=""),"",IF($L1272&lt;&gt;"",INDEX(LdADate,$L1272),IF($M1272&lt;&gt;"",INDEX(LdBDate,$M1272),INDEX(LdCDate,$N1272))))</f>
        <v/>
      </c>
      <c r="C1272" s="20">
        <f>IF($L1272&lt;&gt;"","دستمزد (فردی)",IF($M1272&lt;&gt;"","سهم از گروه "&amp;IFERROR(VLOOKUP(INDEX(LdBGroup,$M1272),WGTbl,2,0),INDEX(LdBGroup,$M1272)),IF($N1272&lt;&gt;"",IF(N(INDEX(LdCDep,$N1272))&gt;0,"بازگشت بانکی","پرداخت بانکی"),"")))</f>
        <v/>
      </c>
      <c r="D1272" s="20">
        <f>IF($L1272&lt;&gt;"",IF(INDEX(LdAId,$L1272)="","—",INDEX(LdAId,$L1272)),IF($M1272&lt;&gt;"",IF(INDEX(LdBId,$M1272)="","—",INDEX(LdBId,$M1272)),IF($N1272&lt;&gt;"",IF(INDEX(LdCBank,$N1272)="","—",INDEX(LdCBank,$N1272)),"")))</f>
        <v/>
      </c>
      <c r="E1272" s="21">
        <f>IF($L1272&lt;&gt;"",IF(INDEX(LdAAmt,$L1272)=0,"",INDEX(LdAAmt,$L1272)),IF($M1272&lt;&gt;"",IF(INDEX(LdBAmt,$M1272)=0,"",INDEX(LdBAmt,$M1272)),IF($N1272&lt;&gt;"",IF(INDEX(LdCDep,$N1272)=0,"",INDEX(LdCDep,$N1272)),"")))</f>
        <v/>
      </c>
      <c r="F1272" s="21">
        <f>IF(AND($L1272="",$M1272="",$N1272=""),"",IF($N1272="","",IF(INDEX(LdCWit,$N1272)=0,"",INDEX(LdCWit,$N1272))))</f>
        <v/>
      </c>
      <c r="G1272" s="31">
        <f>IF($B1272="","",IF($G1271="",0,$G1271)+IF($E1272="",0,$E1272)-IF($F1272="",0,$F1272))</f>
        <v/>
      </c>
      <c r="H1272" s="32">
        <f>IF(AND($L1272="",$M1272="",$N1272=""),"",IF($L1272&lt;&gt;"",IF(INDEX(LdANote,$L1272)="","—",INDEX(LdANote,$L1272)),IF($M1272&lt;&gt;"",IF(INDEX(LdBNote,$M1272)="","—",INDEX(LdBNote,$M1272)),IF($N1272&lt;&gt;"",IF(INDEX(LdCNote,$N1272)="","—",INDEX(LdCNote,$N1272)),""))))</f>
        <v/>
      </c>
      <c r="L1272">
        <f>IFERROR(MATCH($C$5&amp;"|"&amp;RIGHT("000000"&amp;1256,6),LdAKeyM,0),"")</f>
        <v/>
      </c>
      <c r="M1272">
        <f>IFERROR(MATCH($C$5&amp;"|"&amp;RIGHT("000000"&amp;1256,6),LdBKeyM,0),"")</f>
        <v/>
      </c>
      <c r="N1272">
        <f>IFERROR(MATCH($C$5&amp;"|"&amp;RIGHT("000000"&amp;1256,6),LdCKeyM,0),"")</f>
        <v/>
      </c>
    </row>
    <row r="1273">
      <c r="A1273" s="10" t="n">
        <v>1257</v>
      </c>
      <c r="B1273" s="14">
        <f>IF(AND($L1273="",$M1273="",$N1273=""),"",IF($L1273&lt;&gt;"",INDEX(LdADate,$L1273),IF($M1273&lt;&gt;"",INDEX(LdBDate,$M1273),INDEX(LdCDate,$N1273))))</f>
        <v/>
      </c>
      <c r="C1273" s="14">
        <f>IF($L1273&lt;&gt;"","دستمزد (فردی)",IF($M1273&lt;&gt;"","سهم از گروه "&amp;IFERROR(VLOOKUP(INDEX(LdBGroup,$M1273),WGTbl,2,0),INDEX(LdBGroup,$M1273)),IF($N1273&lt;&gt;"",IF(N(INDEX(LdCDep,$N1273))&gt;0,"بازگشت بانکی","پرداخت بانکی"),"")))</f>
        <v/>
      </c>
      <c r="D1273" s="14">
        <f>IF($L1273&lt;&gt;"",IF(INDEX(LdAId,$L1273)="","—",INDEX(LdAId,$L1273)),IF($M1273&lt;&gt;"",IF(INDEX(LdBId,$M1273)="","—",INDEX(LdBId,$M1273)),IF($N1273&lt;&gt;"",IF(INDEX(LdCBank,$N1273)="","—",INDEX(LdCBank,$N1273)),"")))</f>
        <v/>
      </c>
      <c r="E1273" s="16">
        <f>IF($L1273&lt;&gt;"",IF(INDEX(LdAAmt,$L1273)=0,"",INDEX(LdAAmt,$L1273)),IF($M1273&lt;&gt;"",IF(INDEX(LdBAmt,$M1273)=0,"",INDEX(LdBAmt,$M1273)),IF($N1273&lt;&gt;"",IF(INDEX(LdCDep,$N1273)=0,"",INDEX(LdCDep,$N1273)),"")))</f>
        <v/>
      </c>
      <c r="F1273" s="16">
        <f>IF(AND($L1273="",$M1273="",$N1273=""),"",IF($N1273="","",IF(INDEX(LdCWit,$N1273)=0,"",INDEX(LdCWit,$N1273))))</f>
        <v/>
      </c>
      <c r="G1273" s="29">
        <f>IF($B1273="","",IF($G1272="",0,$G1272)+IF($E1273="",0,$E1273)-IF($F1273="",0,$F1273))</f>
        <v/>
      </c>
      <c r="H1273" s="30">
        <f>IF(AND($L1273="",$M1273="",$N1273=""),"",IF($L1273&lt;&gt;"",IF(INDEX(LdANote,$L1273)="","—",INDEX(LdANote,$L1273)),IF($M1273&lt;&gt;"",IF(INDEX(LdBNote,$M1273)="","—",INDEX(LdBNote,$M1273)),IF($N1273&lt;&gt;"",IF(INDEX(LdCNote,$N1273)="","—",INDEX(LdCNote,$N1273)),""))))</f>
        <v/>
      </c>
      <c r="L1273">
        <f>IFERROR(MATCH($C$5&amp;"|"&amp;RIGHT("000000"&amp;1257,6),LdAKeyM,0),"")</f>
        <v/>
      </c>
      <c r="M1273">
        <f>IFERROR(MATCH($C$5&amp;"|"&amp;RIGHT("000000"&amp;1257,6),LdBKeyM,0),"")</f>
        <v/>
      </c>
      <c r="N1273">
        <f>IFERROR(MATCH($C$5&amp;"|"&amp;RIGHT("000000"&amp;1257,6),LdCKeyM,0),"")</f>
        <v/>
      </c>
    </row>
    <row r="1274">
      <c r="A1274" s="19" t="n">
        <v>1258</v>
      </c>
      <c r="B1274" s="20">
        <f>IF(AND($L1274="",$M1274="",$N1274=""),"",IF($L1274&lt;&gt;"",INDEX(LdADate,$L1274),IF($M1274&lt;&gt;"",INDEX(LdBDate,$M1274),INDEX(LdCDate,$N1274))))</f>
        <v/>
      </c>
      <c r="C1274" s="20">
        <f>IF($L1274&lt;&gt;"","دستمزد (فردی)",IF($M1274&lt;&gt;"","سهم از گروه "&amp;IFERROR(VLOOKUP(INDEX(LdBGroup,$M1274),WGTbl,2,0),INDEX(LdBGroup,$M1274)),IF($N1274&lt;&gt;"",IF(N(INDEX(LdCDep,$N1274))&gt;0,"بازگشت بانکی","پرداخت بانکی"),"")))</f>
        <v/>
      </c>
      <c r="D1274" s="20">
        <f>IF($L1274&lt;&gt;"",IF(INDEX(LdAId,$L1274)="","—",INDEX(LdAId,$L1274)),IF($M1274&lt;&gt;"",IF(INDEX(LdBId,$M1274)="","—",INDEX(LdBId,$M1274)),IF($N1274&lt;&gt;"",IF(INDEX(LdCBank,$N1274)="","—",INDEX(LdCBank,$N1274)),"")))</f>
        <v/>
      </c>
      <c r="E1274" s="21">
        <f>IF($L1274&lt;&gt;"",IF(INDEX(LdAAmt,$L1274)=0,"",INDEX(LdAAmt,$L1274)),IF($M1274&lt;&gt;"",IF(INDEX(LdBAmt,$M1274)=0,"",INDEX(LdBAmt,$M1274)),IF($N1274&lt;&gt;"",IF(INDEX(LdCDep,$N1274)=0,"",INDEX(LdCDep,$N1274)),"")))</f>
        <v/>
      </c>
      <c r="F1274" s="21">
        <f>IF(AND($L1274="",$M1274="",$N1274=""),"",IF($N1274="","",IF(INDEX(LdCWit,$N1274)=0,"",INDEX(LdCWit,$N1274))))</f>
        <v/>
      </c>
      <c r="G1274" s="31">
        <f>IF($B1274="","",IF($G1273="",0,$G1273)+IF($E1274="",0,$E1274)-IF($F1274="",0,$F1274))</f>
        <v/>
      </c>
      <c r="H1274" s="32">
        <f>IF(AND($L1274="",$M1274="",$N1274=""),"",IF($L1274&lt;&gt;"",IF(INDEX(LdANote,$L1274)="","—",INDEX(LdANote,$L1274)),IF($M1274&lt;&gt;"",IF(INDEX(LdBNote,$M1274)="","—",INDEX(LdBNote,$M1274)),IF($N1274&lt;&gt;"",IF(INDEX(LdCNote,$N1274)="","—",INDEX(LdCNote,$N1274)),""))))</f>
        <v/>
      </c>
      <c r="L1274">
        <f>IFERROR(MATCH($C$5&amp;"|"&amp;RIGHT("000000"&amp;1258,6),LdAKeyM,0),"")</f>
        <v/>
      </c>
      <c r="M1274">
        <f>IFERROR(MATCH($C$5&amp;"|"&amp;RIGHT("000000"&amp;1258,6),LdBKeyM,0),"")</f>
        <v/>
      </c>
      <c r="N1274">
        <f>IFERROR(MATCH($C$5&amp;"|"&amp;RIGHT("000000"&amp;1258,6),LdCKeyM,0),"")</f>
        <v/>
      </c>
    </row>
    <row r="1275">
      <c r="A1275" s="10" t="n">
        <v>1259</v>
      </c>
      <c r="B1275" s="14">
        <f>IF(AND($L1275="",$M1275="",$N1275=""),"",IF($L1275&lt;&gt;"",INDEX(LdADate,$L1275),IF($M1275&lt;&gt;"",INDEX(LdBDate,$M1275),INDEX(LdCDate,$N1275))))</f>
        <v/>
      </c>
      <c r="C1275" s="14">
        <f>IF($L1275&lt;&gt;"","دستمزد (فردی)",IF($M1275&lt;&gt;"","سهم از گروه "&amp;IFERROR(VLOOKUP(INDEX(LdBGroup,$M1275),WGTbl,2,0),INDEX(LdBGroup,$M1275)),IF($N1275&lt;&gt;"",IF(N(INDEX(LdCDep,$N1275))&gt;0,"بازگشت بانکی","پرداخت بانکی"),"")))</f>
        <v/>
      </c>
      <c r="D1275" s="14">
        <f>IF($L1275&lt;&gt;"",IF(INDEX(LdAId,$L1275)="","—",INDEX(LdAId,$L1275)),IF($M1275&lt;&gt;"",IF(INDEX(LdBId,$M1275)="","—",INDEX(LdBId,$M1275)),IF($N1275&lt;&gt;"",IF(INDEX(LdCBank,$N1275)="","—",INDEX(LdCBank,$N1275)),"")))</f>
        <v/>
      </c>
      <c r="E1275" s="16">
        <f>IF($L1275&lt;&gt;"",IF(INDEX(LdAAmt,$L1275)=0,"",INDEX(LdAAmt,$L1275)),IF($M1275&lt;&gt;"",IF(INDEX(LdBAmt,$M1275)=0,"",INDEX(LdBAmt,$M1275)),IF($N1275&lt;&gt;"",IF(INDEX(LdCDep,$N1275)=0,"",INDEX(LdCDep,$N1275)),"")))</f>
        <v/>
      </c>
      <c r="F1275" s="16">
        <f>IF(AND($L1275="",$M1275="",$N1275=""),"",IF($N1275="","",IF(INDEX(LdCWit,$N1275)=0,"",INDEX(LdCWit,$N1275))))</f>
        <v/>
      </c>
      <c r="G1275" s="29">
        <f>IF($B1275="","",IF($G1274="",0,$G1274)+IF($E1275="",0,$E1275)-IF($F1275="",0,$F1275))</f>
        <v/>
      </c>
      <c r="H1275" s="30">
        <f>IF(AND($L1275="",$M1275="",$N1275=""),"",IF($L1275&lt;&gt;"",IF(INDEX(LdANote,$L1275)="","—",INDEX(LdANote,$L1275)),IF($M1275&lt;&gt;"",IF(INDEX(LdBNote,$M1275)="","—",INDEX(LdBNote,$M1275)),IF($N1275&lt;&gt;"",IF(INDEX(LdCNote,$N1275)="","—",INDEX(LdCNote,$N1275)),""))))</f>
        <v/>
      </c>
      <c r="L1275">
        <f>IFERROR(MATCH($C$5&amp;"|"&amp;RIGHT("000000"&amp;1259,6),LdAKeyM,0),"")</f>
        <v/>
      </c>
      <c r="M1275">
        <f>IFERROR(MATCH($C$5&amp;"|"&amp;RIGHT("000000"&amp;1259,6),LdBKeyM,0),"")</f>
        <v/>
      </c>
      <c r="N1275">
        <f>IFERROR(MATCH($C$5&amp;"|"&amp;RIGHT("000000"&amp;1259,6),LdCKeyM,0),"")</f>
        <v/>
      </c>
    </row>
    <row r="1276">
      <c r="A1276" s="19" t="n">
        <v>1260</v>
      </c>
      <c r="B1276" s="20">
        <f>IF(AND($L1276="",$M1276="",$N1276=""),"",IF($L1276&lt;&gt;"",INDEX(LdADate,$L1276),IF($M1276&lt;&gt;"",INDEX(LdBDate,$M1276),INDEX(LdCDate,$N1276))))</f>
        <v/>
      </c>
      <c r="C1276" s="20">
        <f>IF($L1276&lt;&gt;"","دستمزد (فردی)",IF($M1276&lt;&gt;"","سهم از گروه "&amp;IFERROR(VLOOKUP(INDEX(LdBGroup,$M1276),WGTbl,2,0),INDEX(LdBGroup,$M1276)),IF($N1276&lt;&gt;"",IF(N(INDEX(LdCDep,$N1276))&gt;0,"بازگشت بانکی","پرداخت بانکی"),"")))</f>
        <v/>
      </c>
      <c r="D1276" s="20">
        <f>IF($L1276&lt;&gt;"",IF(INDEX(LdAId,$L1276)="","—",INDEX(LdAId,$L1276)),IF($M1276&lt;&gt;"",IF(INDEX(LdBId,$M1276)="","—",INDEX(LdBId,$M1276)),IF($N1276&lt;&gt;"",IF(INDEX(LdCBank,$N1276)="","—",INDEX(LdCBank,$N1276)),"")))</f>
        <v/>
      </c>
      <c r="E1276" s="21">
        <f>IF($L1276&lt;&gt;"",IF(INDEX(LdAAmt,$L1276)=0,"",INDEX(LdAAmt,$L1276)),IF($M1276&lt;&gt;"",IF(INDEX(LdBAmt,$M1276)=0,"",INDEX(LdBAmt,$M1276)),IF($N1276&lt;&gt;"",IF(INDEX(LdCDep,$N1276)=0,"",INDEX(LdCDep,$N1276)),"")))</f>
        <v/>
      </c>
      <c r="F1276" s="21">
        <f>IF(AND($L1276="",$M1276="",$N1276=""),"",IF($N1276="","",IF(INDEX(LdCWit,$N1276)=0,"",INDEX(LdCWit,$N1276))))</f>
        <v/>
      </c>
      <c r="G1276" s="31">
        <f>IF($B1276="","",IF($G1275="",0,$G1275)+IF($E1276="",0,$E1276)-IF($F1276="",0,$F1276))</f>
        <v/>
      </c>
      <c r="H1276" s="32">
        <f>IF(AND($L1276="",$M1276="",$N1276=""),"",IF($L1276&lt;&gt;"",IF(INDEX(LdANote,$L1276)="","—",INDEX(LdANote,$L1276)),IF($M1276&lt;&gt;"",IF(INDEX(LdBNote,$M1276)="","—",INDEX(LdBNote,$M1276)),IF($N1276&lt;&gt;"",IF(INDEX(LdCNote,$N1276)="","—",INDEX(LdCNote,$N1276)),""))))</f>
        <v/>
      </c>
      <c r="L1276">
        <f>IFERROR(MATCH($C$5&amp;"|"&amp;RIGHT("000000"&amp;1260,6),LdAKeyM,0),"")</f>
        <v/>
      </c>
      <c r="M1276">
        <f>IFERROR(MATCH($C$5&amp;"|"&amp;RIGHT("000000"&amp;1260,6),LdBKeyM,0),"")</f>
        <v/>
      </c>
      <c r="N1276">
        <f>IFERROR(MATCH($C$5&amp;"|"&amp;RIGHT("000000"&amp;1260,6),LdCKeyM,0),"")</f>
        <v/>
      </c>
    </row>
    <row r="1277">
      <c r="A1277" s="10" t="n">
        <v>1261</v>
      </c>
      <c r="B1277" s="14">
        <f>IF(AND($L1277="",$M1277="",$N1277=""),"",IF($L1277&lt;&gt;"",INDEX(LdADate,$L1277),IF($M1277&lt;&gt;"",INDEX(LdBDate,$M1277),INDEX(LdCDate,$N1277))))</f>
        <v/>
      </c>
      <c r="C1277" s="14">
        <f>IF($L1277&lt;&gt;"","دستمزد (فردی)",IF($M1277&lt;&gt;"","سهم از گروه "&amp;IFERROR(VLOOKUP(INDEX(LdBGroup,$M1277),WGTbl,2,0),INDEX(LdBGroup,$M1277)),IF($N1277&lt;&gt;"",IF(N(INDEX(LdCDep,$N1277))&gt;0,"بازگشت بانکی","پرداخت بانکی"),"")))</f>
        <v/>
      </c>
      <c r="D1277" s="14">
        <f>IF($L1277&lt;&gt;"",IF(INDEX(LdAId,$L1277)="","—",INDEX(LdAId,$L1277)),IF($M1277&lt;&gt;"",IF(INDEX(LdBId,$M1277)="","—",INDEX(LdBId,$M1277)),IF($N1277&lt;&gt;"",IF(INDEX(LdCBank,$N1277)="","—",INDEX(LdCBank,$N1277)),"")))</f>
        <v/>
      </c>
      <c r="E1277" s="16">
        <f>IF($L1277&lt;&gt;"",IF(INDEX(LdAAmt,$L1277)=0,"",INDEX(LdAAmt,$L1277)),IF($M1277&lt;&gt;"",IF(INDEX(LdBAmt,$M1277)=0,"",INDEX(LdBAmt,$M1277)),IF($N1277&lt;&gt;"",IF(INDEX(LdCDep,$N1277)=0,"",INDEX(LdCDep,$N1277)),"")))</f>
        <v/>
      </c>
      <c r="F1277" s="16">
        <f>IF(AND($L1277="",$M1277="",$N1277=""),"",IF($N1277="","",IF(INDEX(LdCWit,$N1277)=0,"",INDEX(LdCWit,$N1277))))</f>
        <v/>
      </c>
      <c r="G1277" s="29">
        <f>IF($B1277="","",IF($G1276="",0,$G1276)+IF($E1277="",0,$E1277)-IF($F1277="",0,$F1277))</f>
        <v/>
      </c>
      <c r="H1277" s="30">
        <f>IF(AND($L1277="",$M1277="",$N1277=""),"",IF($L1277&lt;&gt;"",IF(INDEX(LdANote,$L1277)="","—",INDEX(LdANote,$L1277)),IF($M1277&lt;&gt;"",IF(INDEX(LdBNote,$M1277)="","—",INDEX(LdBNote,$M1277)),IF($N1277&lt;&gt;"",IF(INDEX(LdCNote,$N1277)="","—",INDEX(LdCNote,$N1277)),""))))</f>
        <v/>
      </c>
      <c r="L1277">
        <f>IFERROR(MATCH($C$5&amp;"|"&amp;RIGHT("000000"&amp;1261,6),LdAKeyM,0),"")</f>
        <v/>
      </c>
      <c r="M1277">
        <f>IFERROR(MATCH($C$5&amp;"|"&amp;RIGHT("000000"&amp;1261,6),LdBKeyM,0),"")</f>
        <v/>
      </c>
      <c r="N1277">
        <f>IFERROR(MATCH($C$5&amp;"|"&amp;RIGHT("000000"&amp;1261,6),LdCKeyM,0),"")</f>
        <v/>
      </c>
    </row>
    <row r="1278">
      <c r="A1278" s="19" t="n">
        <v>1262</v>
      </c>
      <c r="B1278" s="20">
        <f>IF(AND($L1278="",$M1278="",$N1278=""),"",IF($L1278&lt;&gt;"",INDEX(LdADate,$L1278),IF($M1278&lt;&gt;"",INDEX(LdBDate,$M1278),INDEX(LdCDate,$N1278))))</f>
        <v/>
      </c>
      <c r="C1278" s="20">
        <f>IF($L1278&lt;&gt;"","دستمزد (فردی)",IF($M1278&lt;&gt;"","سهم از گروه "&amp;IFERROR(VLOOKUP(INDEX(LdBGroup,$M1278),WGTbl,2,0),INDEX(LdBGroup,$M1278)),IF($N1278&lt;&gt;"",IF(N(INDEX(LdCDep,$N1278))&gt;0,"بازگشت بانکی","پرداخت بانکی"),"")))</f>
        <v/>
      </c>
      <c r="D1278" s="20">
        <f>IF($L1278&lt;&gt;"",IF(INDEX(LdAId,$L1278)="","—",INDEX(LdAId,$L1278)),IF($M1278&lt;&gt;"",IF(INDEX(LdBId,$M1278)="","—",INDEX(LdBId,$M1278)),IF($N1278&lt;&gt;"",IF(INDEX(LdCBank,$N1278)="","—",INDEX(LdCBank,$N1278)),"")))</f>
        <v/>
      </c>
      <c r="E1278" s="21">
        <f>IF($L1278&lt;&gt;"",IF(INDEX(LdAAmt,$L1278)=0,"",INDEX(LdAAmt,$L1278)),IF($M1278&lt;&gt;"",IF(INDEX(LdBAmt,$M1278)=0,"",INDEX(LdBAmt,$M1278)),IF($N1278&lt;&gt;"",IF(INDEX(LdCDep,$N1278)=0,"",INDEX(LdCDep,$N1278)),"")))</f>
        <v/>
      </c>
      <c r="F1278" s="21">
        <f>IF(AND($L1278="",$M1278="",$N1278=""),"",IF($N1278="","",IF(INDEX(LdCWit,$N1278)=0,"",INDEX(LdCWit,$N1278))))</f>
        <v/>
      </c>
      <c r="G1278" s="31">
        <f>IF($B1278="","",IF($G1277="",0,$G1277)+IF($E1278="",0,$E1278)-IF($F1278="",0,$F1278))</f>
        <v/>
      </c>
      <c r="H1278" s="32">
        <f>IF(AND($L1278="",$M1278="",$N1278=""),"",IF($L1278&lt;&gt;"",IF(INDEX(LdANote,$L1278)="","—",INDEX(LdANote,$L1278)),IF($M1278&lt;&gt;"",IF(INDEX(LdBNote,$M1278)="","—",INDEX(LdBNote,$M1278)),IF($N1278&lt;&gt;"",IF(INDEX(LdCNote,$N1278)="","—",INDEX(LdCNote,$N1278)),""))))</f>
        <v/>
      </c>
      <c r="L1278">
        <f>IFERROR(MATCH($C$5&amp;"|"&amp;RIGHT("000000"&amp;1262,6),LdAKeyM,0),"")</f>
        <v/>
      </c>
      <c r="M1278">
        <f>IFERROR(MATCH($C$5&amp;"|"&amp;RIGHT("000000"&amp;1262,6),LdBKeyM,0),"")</f>
        <v/>
      </c>
      <c r="N1278">
        <f>IFERROR(MATCH($C$5&amp;"|"&amp;RIGHT("000000"&amp;1262,6),LdCKeyM,0),"")</f>
        <v/>
      </c>
    </row>
    <row r="1279">
      <c r="A1279" s="10" t="n">
        <v>1263</v>
      </c>
      <c r="B1279" s="14">
        <f>IF(AND($L1279="",$M1279="",$N1279=""),"",IF($L1279&lt;&gt;"",INDEX(LdADate,$L1279),IF($M1279&lt;&gt;"",INDEX(LdBDate,$M1279),INDEX(LdCDate,$N1279))))</f>
        <v/>
      </c>
      <c r="C1279" s="14">
        <f>IF($L1279&lt;&gt;"","دستمزد (فردی)",IF($M1279&lt;&gt;"","سهم از گروه "&amp;IFERROR(VLOOKUP(INDEX(LdBGroup,$M1279),WGTbl,2,0),INDEX(LdBGroup,$M1279)),IF($N1279&lt;&gt;"",IF(N(INDEX(LdCDep,$N1279))&gt;0,"بازگشت بانکی","پرداخت بانکی"),"")))</f>
        <v/>
      </c>
      <c r="D1279" s="14">
        <f>IF($L1279&lt;&gt;"",IF(INDEX(LdAId,$L1279)="","—",INDEX(LdAId,$L1279)),IF($M1279&lt;&gt;"",IF(INDEX(LdBId,$M1279)="","—",INDEX(LdBId,$M1279)),IF($N1279&lt;&gt;"",IF(INDEX(LdCBank,$N1279)="","—",INDEX(LdCBank,$N1279)),"")))</f>
        <v/>
      </c>
      <c r="E1279" s="16">
        <f>IF($L1279&lt;&gt;"",IF(INDEX(LdAAmt,$L1279)=0,"",INDEX(LdAAmt,$L1279)),IF($M1279&lt;&gt;"",IF(INDEX(LdBAmt,$M1279)=0,"",INDEX(LdBAmt,$M1279)),IF($N1279&lt;&gt;"",IF(INDEX(LdCDep,$N1279)=0,"",INDEX(LdCDep,$N1279)),"")))</f>
        <v/>
      </c>
      <c r="F1279" s="16">
        <f>IF(AND($L1279="",$M1279="",$N1279=""),"",IF($N1279="","",IF(INDEX(LdCWit,$N1279)=0,"",INDEX(LdCWit,$N1279))))</f>
        <v/>
      </c>
      <c r="G1279" s="29">
        <f>IF($B1279="","",IF($G1278="",0,$G1278)+IF($E1279="",0,$E1279)-IF($F1279="",0,$F1279))</f>
        <v/>
      </c>
      <c r="H1279" s="30">
        <f>IF(AND($L1279="",$M1279="",$N1279=""),"",IF($L1279&lt;&gt;"",IF(INDEX(LdANote,$L1279)="","—",INDEX(LdANote,$L1279)),IF($M1279&lt;&gt;"",IF(INDEX(LdBNote,$M1279)="","—",INDEX(LdBNote,$M1279)),IF($N1279&lt;&gt;"",IF(INDEX(LdCNote,$N1279)="","—",INDEX(LdCNote,$N1279)),""))))</f>
        <v/>
      </c>
      <c r="L1279">
        <f>IFERROR(MATCH($C$5&amp;"|"&amp;RIGHT("000000"&amp;1263,6),LdAKeyM,0),"")</f>
        <v/>
      </c>
      <c r="M1279">
        <f>IFERROR(MATCH($C$5&amp;"|"&amp;RIGHT("000000"&amp;1263,6),LdBKeyM,0),"")</f>
        <v/>
      </c>
      <c r="N1279">
        <f>IFERROR(MATCH($C$5&amp;"|"&amp;RIGHT("000000"&amp;1263,6),LdCKeyM,0),"")</f>
        <v/>
      </c>
    </row>
    <row r="1280">
      <c r="A1280" s="19" t="n">
        <v>1264</v>
      </c>
      <c r="B1280" s="20">
        <f>IF(AND($L1280="",$M1280="",$N1280=""),"",IF($L1280&lt;&gt;"",INDEX(LdADate,$L1280),IF($M1280&lt;&gt;"",INDEX(LdBDate,$M1280),INDEX(LdCDate,$N1280))))</f>
        <v/>
      </c>
      <c r="C1280" s="20">
        <f>IF($L1280&lt;&gt;"","دستمزد (فردی)",IF($M1280&lt;&gt;"","سهم از گروه "&amp;IFERROR(VLOOKUP(INDEX(LdBGroup,$M1280),WGTbl,2,0),INDEX(LdBGroup,$M1280)),IF($N1280&lt;&gt;"",IF(N(INDEX(LdCDep,$N1280))&gt;0,"بازگشت بانکی","پرداخت بانکی"),"")))</f>
        <v/>
      </c>
      <c r="D1280" s="20">
        <f>IF($L1280&lt;&gt;"",IF(INDEX(LdAId,$L1280)="","—",INDEX(LdAId,$L1280)),IF($M1280&lt;&gt;"",IF(INDEX(LdBId,$M1280)="","—",INDEX(LdBId,$M1280)),IF($N1280&lt;&gt;"",IF(INDEX(LdCBank,$N1280)="","—",INDEX(LdCBank,$N1280)),"")))</f>
        <v/>
      </c>
      <c r="E1280" s="21">
        <f>IF($L1280&lt;&gt;"",IF(INDEX(LdAAmt,$L1280)=0,"",INDEX(LdAAmt,$L1280)),IF($M1280&lt;&gt;"",IF(INDEX(LdBAmt,$M1280)=0,"",INDEX(LdBAmt,$M1280)),IF($N1280&lt;&gt;"",IF(INDEX(LdCDep,$N1280)=0,"",INDEX(LdCDep,$N1280)),"")))</f>
        <v/>
      </c>
      <c r="F1280" s="21">
        <f>IF(AND($L1280="",$M1280="",$N1280=""),"",IF($N1280="","",IF(INDEX(LdCWit,$N1280)=0,"",INDEX(LdCWit,$N1280))))</f>
        <v/>
      </c>
      <c r="G1280" s="31">
        <f>IF($B1280="","",IF($G1279="",0,$G1279)+IF($E1280="",0,$E1280)-IF($F1280="",0,$F1280))</f>
        <v/>
      </c>
      <c r="H1280" s="32">
        <f>IF(AND($L1280="",$M1280="",$N1280=""),"",IF($L1280&lt;&gt;"",IF(INDEX(LdANote,$L1280)="","—",INDEX(LdANote,$L1280)),IF($M1280&lt;&gt;"",IF(INDEX(LdBNote,$M1280)="","—",INDEX(LdBNote,$M1280)),IF($N1280&lt;&gt;"",IF(INDEX(LdCNote,$N1280)="","—",INDEX(LdCNote,$N1280)),""))))</f>
        <v/>
      </c>
      <c r="L1280">
        <f>IFERROR(MATCH($C$5&amp;"|"&amp;RIGHT("000000"&amp;1264,6),LdAKeyM,0),"")</f>
        <v/>
      </c>
      <c r="M1280">
        <f>IFERROR(MATCH($C$5&amp;"|"&amp;RIGHT("000000"&amp;1264,6),LdBKeyM,0),"")</f>
        <v/>
      </c>
      <c r="N1280">
        <f>IFERROR(MATCH($C$5&amp;"|"&amp;RIGHT("000000"&amp;1264,6),LdCKeyM,0),"")</f>
        <v/>
      </c>
    </row>
    <row r="1281">
      <c r="A1281" s="10" t="n">
        <v>1265</v>
      </c>
      <c r="B1281" s="14">
        <f>IF(AND($L1281="",$M1281="",$N1281=""),"",IF($L1281&lt;&gt;"",INDEX(LdADate,$L1281),IF($M1281&lt;&gt;"",INDEX(LdBDate,$M1281),INDEX(LdCDate,$N1281))))</f>
        <v/>
      </c>
      <c r="C1281" s="14">
        <f>IF($L1281&lt;&gt;"","دستمزد (فردی)",IF($M1281&lt;&gt;"","سهم از گروه "&amp;IFERROR(VLOOKUP(INDEX(LdBGroup,$M1281),WGTbl,2,0),INDEX(LdBGroup,$M1281)),IF($N1281&lt;&gt;"",IF(N(INDEX(LdCDep,$N1281))&gt;0,"بازگشت بانکی","پرداخت بانکی"),"")))</f>
        <v/>
      </c>
      <c r="D1281" s="14">
        <f>IF($L1281&lt;&gt;"",IF(INDEX(LdAId,$L1281)="","—",INDEX(LdAId,$L1281)),IF($M1281&lt;&gt;"",IF(INDEX(LdBId,$M1281)="","—",INDEX(LdBId,$M1281)),IF($N1281&lt;&gt;"",IF(INDEX(LdCBank,$N1281)="","—",INDEX(LdCBank,$N1281)),"")))</f>
        <v/>
      </c>
      <c r="E1281" s="16">
        <f>IF($L1281&lt;&gt;"",IF(INDEX(LdAAmt,$L1281)=0,"",INDEX(LdAAmt,$L1281)),IF($M1281&lt;&gt;"",IF(INDEX(LdBAmt,$M1281)=0,"",INDEX(LdBAmt,$M1281)),IF($N1281&lt;&gt;"",IF(INDEX(LdCDep,$N1281)=0,"",INDEX(LdCDep,$N1281)),"")))</f>
        <v/>
      </c>
      <c r="F1281" s="16">
        <f>IF(AND($L1281="",$M1281="",$N1281=""),"",IF($N1281="","",IF(INDEX(LdCWit,$N1281)=0,"",INDEX(LdCWit,$N1281))))</f>
        <v/>
      </c>
      <c r="G1281" s="29">
        <f>IF($B1281="","",IF($G1280="",0,$G1280)+IF($E1281="",0,$E1281)-IF($F1281="",0,$F1281))</f>
        <v/>
      </c>
      <c r="H1281" s="30">
        <f>IF(AND($L1281="",$M1281="",$N1281=""),"",IF($L1281&lt;&gt;"",IF(INDEX(LdANote,$L1281)="","—",INDEX(LdANote,$L1281)),IF($M1281&lt;&gt;"",IF(INDEX(LdBNote,$M1281)="","—",INDEX(LdBNote,$M1281)),IF($N1281&lt;&gt;"",IF(INDEX(LdCNote,$N1281)="","—",INDEX(LdCNote,$N1281)),""))))</f>
        <v/>
      </c>
      <c r="L1281">
        <f>IFERROR(MATCH($C$5&amp;"|"&amp;RIGHT("000000"&amp;1265,6),LdAKeyM,0),"")</f>
        <v/>
      </c>
      <c r="M1281">
        <f>IFERROR(MATCH($C$5&amp;"|"&amp;RIGHT("000000"&amp;1265,6),LdBKeyM,0),"")</f>
        <v/>
      </c>
      <c r="N1281">
        <f>IFERROR(MATCH($C$5&amp;"|"&amp;RIGHT("000000"&amp;1265,6),LdCKeyM,0),"")</f>
        <v/>
      </c>
    </row>
    <row r="1282">
      <c r="A1282" s="19" t="n">
        <v>1266</v>
      </c>
      <c r="B1282" s="20">
        <f>IF(AND($L1282="",$M1282="",$N1282=""),"",IF($L1282&lt;&gt;"",INDEX(LdADate,$L1282),IF($M1282&lt;&gt;"",INDEX(LdBDate,$M1282),INDEX(LdCDate,$N1282))))</f>
        <v/>
      </c>
      <c r="C1282" s="20">
        <f>IF($L1282&lt;&gt;"","دستمزد (فردی)",IF($M1282&lt;&gt;"","سهم از گروه "&amp;IFERROR(VLOOKUP(INDEX(LdBGroup,$M1282),WGTbl,2,0),INDEX(LdBGroup,$M1282)),IF($N1282&lt;&gt;"",IF(N(INDEX(LdCDep,$N1282))&gt;0,"بازگشت بانکی","پرداخت بانکی"),"")))</f>
        <v/>
      </c>
      <c r="D1282" s="20">
        <f>IF($L1282&lt;&gt;"",IF(INDEX(LdAId,$L1282)="","—",INDEX(LdAId,$L1282)),IF($M1282&lt;&gt;"",IF(INDEX(LdBId,$M1282)="","—",INDEX(LdBId,$M1282)),IF($N1282&lt;&gt;"",IF(INDEX(LdCBank,$N1282)="","—",INDEX(LdCBank,$N1282)),"")))</f>
        <v/>
      </c>
      <c r="E1282" s="21">
        <f>IF($L1282&lt;&gt;"",IF(INDEX(LdAAmt,$L1282)=0,"",INDEX(LdAAmt,$L1282)),IF($M1282&lt;&gt;"",IF(INDEX(LdBAmt,$M1282)=0,"",INDEX(LdBAmt,$M1282)),IF($N1282&lt;&gt;"",IF(INDEX(LdCDep,$N1282)=0,"",INDEX(LdCDep,$N1282)),"")))</f>
        <v/>
      </c>
      <c r="F1282" s="21">
        <f>IF(AND($L1282="",$M1282="",$N1282=""),"",IF($N1282="","",IF(INDEX(LdCWit,$N1282)=0,"",INDEX(LdCWit,$N1282))))</f>
        <v/>
      </c>
      <c r="G1282" s="31">
        <f>IF($B1282="","",IF($G1281="",0,$G1281)+IF($E1282="",0,$E1282)-IF($F1282="",0,$F1282))</f>
        <v/>
      </c>
      <c r="H1282" s="32">
        <f>IF(AND($L1282="",$M1282="",$N1282=""),"",IF($L1282&lt;&gt;"",IF(INDEX(LdANote,$L1282)="","—",INDEX(LdANote,$L1282)),IF($M1282&lt;&gt;"",IF(INDEX(LdBNote,$M1282)="","—",INDEX(LdBNote,$M1282)),IF($N1282&lt;&gt;"",IF(INDEX(LdCNote,$N1282)="","—",INDEX(LdCNote,$N1282)),""))))</f>
        <v/>
      </c>
      <c r="L1282">
        <f>IFERROR(MATCH($C$5&amp;"|"&amp;RIGHT("000000"&amp;1266,6),LdAKeyM,0),"")</f>
        <v/>
      </c>
      <c r="M1282">
        <f>IFERROR(MATCH($C$5&amp;"|"&amp;RIGHT("000000"&amp;1266,6),LdBKeyM,0),"")</f>
        <v/>
      </c>
      <c r="N1282">
        <f>IFERROR(MATCH($C$5&amp;"|"&amp;RIGHT("000000"&amp;1266,6),LdCKeyM,0),"")</f>
        <v/>
      </c>
    </row>
    <row r="1283">
      <c r="A1283" s="10" t="n">
        <v>1267</v>
      </c>
      <c r="B1283" s="14">
        <f>IF(AND($L1283="",$M1283="",$N1283=""),"",IF($L1283&lt;&gt;"",INDEX(LdADate,$L1283),IF($M1283&lt;&gt;"",INDEX(LdBDate,$M1283),INDEX(LdCDate,$N1283))))</f>
        <v/>
      </c>
      <c r="C1283" s="14">
        <f>IF($L1283&lt;&gt;"","دستمزد (فردی)",IF($M1283&lt;&gt;"","سهم از گروه "&amp;IFERROR(VLOOKUP(INDEX(LdBGroup,$M1283),WGTbl,2,0),INDEX(LdBGroup,$M1283)),IF($N1283&lt;&gt;"",IF(N(INDEX(LdCDep,$N1283))&gt;0,"بازگشت بانکی","پرداخت بانکی"),"")))</f>
        <v/>
      </c>
      <c r="D1283" s="14">
        <f>IF($L1283&lt;&gt;"",IF(INDEX(LdAId,$L1283)="","—",INDEX(LdAId,$L1283)),IF($M1283&lt;&gt;"",IF(INDEX(LdBId,$M1283)="","—",INDEX(LdBId,$M1283)),IF($N1283&lt;&gt;"",IF(INDEX(LdCBank,$N1283)="","—",INDEX(LdCBank,$N1283)),"")))</f>
        <v/>
      </c>
      <c r="E1283" s="16">
        <f>IF($L1283&lt;&gt;"",IF(INDEX(LdAAmt,$L1283)=0,"",INDEX(LdAAmt,$L1283)),IF($M1283&lt;&gt;"",IF(INDEX(LdBAmt,$M1283)=0,"",INDEX(LdBAmt,$M1283)),IF($N1283&lt;&gt;"",IF(INDEX(LdCDep,$N1283)=0,"",INDEX(LdCDep,$N1283)),"")))</f>
        <v/>
      </c>
      <c r="F1283" s="16">
        <f>IF(AND($L1283="",$M1283="",$N1283=""),"",IF($N1283="","",IF(INDEX(LdCWit,$N1283)=0,"",INDEX(LdCWit,$N1283))))</f>
        <v/>
      </c>
      <c r="G1283" s="29">
        <f>IF($B1283="","",IF($G1282="",0,$G1282)+IF($E1283="",0,$E1283)-IF($F1283="",0,$F1283))</f>
        <v/>
      </c>
      <c r="H1283" s="30">
        <f>IF(AND($L1283="",$M1283="",$N1283=""),"",IF($L1283&lt;&gt;"",IF(INDEX(LdANote,$L1283)="","—",INDEX(LdANote,$L1283)),IF($M1283&lt;&gt;"",IF(INDEX(LdBNote,$M1283)="","—",INDEX(LdBNote,$M1283)),IF($N1283&lt;&gt;"",IF(INDEX(LdCNote,$N1283)="","—",INDEX(LdCNote,$N1283)),""))))</f>
        <v/>
      </c>
      <c r="L1283">
        <f>IFERROR(MATCH($C$5&amp;"|"&amp;RIGHT("000000"&amp;1267,6),LdAKeyM,0),"")</f>
        <v/>
      </c>
      <c r="M1283">
        <f>IFERROR(MATCH($C$5&amp;"|"&amp;RIGHT("000000"&amp;1267,6),LdBKeyM,0),"")</f>
        <v/>
      </c>
      <c r="N1283">
        <f>IFERROR(MATCH($C$5&amp;"|"&amp;RIGHT("000000"&amp;1267,6),LdCKeyM,0),"")</f>
        <v/>
      </c>
    </row>
    <row r="1284">
      <c r="A1284" s="19" t="n">
        <v>1268</v>
      </c>
      <c r="B1284" s="20">
        <f>IF(AND($L1284="",$M1284="",$N1284=""),"",IF($L1284&lt;&gt;"",INDEX(LdADate,$L1284),IF($M1284&lt;&gt;"",INDEX(LdBDate,$M1284),INDEX(LdCDate,$N1284))))</f>
        <v/>
      </c>
      <c r="C1284" s="20">
        <f>IF($L1284&lt;&gt;"","دستمزد (فردی)",IF($M1284&lt;&gt;"","سهم از گروه "&amp;IFERROR(VLOOKUP(INDEX(LdBGroup,$M1284),WGTbl,2,0),INDEX(LdBGroup,$M1284)),IF($N1284&lt;&gt;"",IF(N(INDEX(LdCDep,$N1284))&gt;0,"بازگشت بانکی","پرداخت بانکی"),"")))</f>
        <v/>
      </c>
      <c r="D1284" s="20">
        <f>IF($L1284&lt;&gt;"",IF(INDEX(LdAId,$L1284)="","—",INDEX(LdAId,$L1284)),IF($M1284&lt;&gt;"",IF(INDEX(LdBId,$M1284)="","—",INDEX(LdBId,$M1284)),IF($N1284&lt;&gt;"",IF(INDEX(LdCBank,$N1284)="","—",INDEX(LdCBank,$N1284)),"")))</f>
        <v/>
      </c>
      <c r="E1284" s="21">
        <f>IF($L1284&lt;&gt;"",IF(INDEX(LdAAmt,$L1284)=0,"",INDEX(LdAAmt,$L1284)),IF($M1284&lt;&gt;"",IF(INDEX(LdBAmt,$M1284)=0,"",INDEX(LdBAmt,$M1284)),IF($N1284&lt;&gt;"",IF(INDEX(LdCDep,$N1284)=0,"",INDEX(LdCDep,$N1284)),"")))</f>
        <v/>
      </c>
      <c r="F1284" s="21">
        <f>IF(AND($L1284="",$M1284="",$N1284=""),"",IF($N1284="","",IF(INDEX(LdCWit,$N1284)=0,"",INDEX(LdCWit,$N1284))))</f>
        <v/>
      </c>
      <c r="G1284" s="31">
        <f>IF($B1284="","",IF($G1283="",0,$G1283)+IF($E1284="",0,$E1284)-IF($F1284="",0,$F1284))</f>
        <v/>
      </c>
      <c r="H1284" s="32">
        <f>IF(AND($L1284="",$M1284="",$N1284=""),"",IF($L1284&lt;&gt;"",IF(INDEX(LdANote,$L1284)="","—",INDEX(LdANote,$L1284)),IF($M1284&lt;&gt;"",IF(INDEX(LdBNote,$M1284)="","—",INDEX(LdBNote,$M1284)),IF($N1284&lt;&gt;"",IF(INDEX(LdCNote,$N1284)="","—",INDEX(LdCNote,$N1284)),""))))</f>
        <v/>
      </c>
      <c r="L1284">
        <f>IFERROR(MATCH($C$5&amp;"|"&amp;RIGHT("000000"&amp;1268,6),LdAKeyM,0),"")</f>
        <v/>
      </c>
      <c r="M1284">
        <f>IFERROR(MATCH($C$5&amp;"|"&amp;RIGHT("000000"&amp;1268,6),LdBKeyM,0),"")</f>
        <v/>
      </c>
      <c r="N1284">
        <f>IFERROR(MATCH($C$5&amp;"|"&amp;RIGHT("000000"&amp;1268,6),LdCKeyM,0),"")</f>
        <v/>
      </c>
    </row>
    <row r="1285">
      <c r="A1285" s="10" t="n">
        <v>1269</v>
      </c>
      <c r="B1285" s="14">
        <f>IF(AND($L1285="",$M1285="",$N1285=""),"",IF($L1285&lt;&gt;"",INDEX(LdADate,$L1285),IF($M1285&lt;&gt;"",INDEX(LdBDate,$M1285),INDEX(LdCDate,$N1285))))</f>
        <v/>
      </c>
      <c r="C1285" s="14">
        <f>IF($L1285&lt;&gt;"","دستمزد (فردی)",IF($M1285&lt;&gt;"","سهم از گروه "&amp;IFERROR(VLOOKUP(INDEX(LdBGroup,$M1285),WGTbl,2,0),INDEX(LdBGroup,$M1285)),IF($N1285&lt;&gt;"",IF(N(INDEX(LdCDep,$N1285))&gt;0,"بازگشت بانکی","پرداخت بانکی"),"")))</f>
        <v/>
      </c>
      <c r="D1285" s="14">
        <f>IF($L1285&lt;&gt;"",IF(INDEX(LdAId,$L1285)="","—",INDEX(LdAId,$L1285)),IF($M1285&lt;&gt;"",IF(INDEX(LdBId,$M1285)="","—",INDEX(LdBId,$M1285)),IF($N1285&lt;&gt;"",IF(INDEX(LdCBank,$N1285)="","—",INDEX(LdCBank,$N1285)),"")))</f>
        <v/>
      </c>
      <c r="E1285" s="16">
        <f>IF($L1285&lt;&gt;"",IF(INDEX(LdAAmt,$L1285)=0,"",INDEX(LdAAmt,$L1285)),IF($M1285&lt;&gt;"",IF(INDEX(LdBAmt,$M1285)=0,"",INDEX(LdBAmt,$M1285)),IF($N1285&lt;&gt;"",IF(INDEX(LdCDep,$N1285)=0,"",INDEX(LdCDep,$N1285)),"")))</f>
        <v/>
      </c>
      <c r="F1285" s="16">
        <f>IF(AND($L1285="",$M1285="",$N1285=""),"",IF($N1285="","",IF(INDEX(LdCWit,$N1285)=0,"",INDEX(LdCWit,$N1285))))</f>
        <v/>
      </c>
      <c r="G1285" s="29">
        <f>IF($B1285="","",IF($G1284="",0,$G1284)+IF($E1285="",0,$E1285)-IF($F1285="",0,$F1285))</f>
        <v/>
      </c>
      <c r="H1285" s="30">
        <f>IF(AND($L1285="",$M1285="",$N1285=""),"",IF($L1285&lt;&gt;"",IF(INDEX(LdANote,$L1285)="","—",INDEX(LdANote,$L1285)),IF($M1285&lt;&gt;"",IF(INDEX(LdBNote,$M1285)="","—",INDEX(LdBNote,$M1285)),IF($N1285&lt;&gt;"",IF(INDEX(LdCNote,$N1285)="","—",INDEX(LdCNote,$N1285)),""))))</f>
        <v/>
      </c>
      <c r="L1285">
        <f>IFERROR(MATCH($C$5&amp;"|"&amp;RIGHT("000000"&amp;1269,6),LdAKeyM,0),"")</f>
        <v/>
      </c>
      <c r="M1285">
        <f>IFERROR(MATCH($C$5&amp;"|"&amp;RIGHT("000000"&amp;1269,6),LdBKeyM,0),"")</f>
        <v/>
      </c>
      <c r="N1285">
        <f>IFERROR(MATCH($C$5&amp;"|"&amp;RIGHT("000000"&amp;1269,6),LdCKeyM,0),"")</f>
        <v/>
      </c>
    </row>
    <row r="1286">
      <c r="A1286" s="19" t="n">
        <v>1270</v>
      </c>
      <c r="B1286" s="20">
        <f>IF(AND($L1286="",$M1286="",$N1286=""),"",IF($L1286&lt;&gt;"",INDEX(LdADate,$L1286),IF($M1286&lt;&gt;"",INDEX(LdBDate,$M1286),INDEX(LdCDate,$N1286))))</f>
        <v/>
      </c>
      <c r="C1286" s="20">
        <f>IF($L1286&lt;&gt;"","دستمزد (فردی)",IF($M1286&lt;&gt;"","سهم از گروه "&amp;IFERROR(VLOOKUP(INDEX(LdBGroup,$M1286),WGTbl,2,0),INDEX(LdBGroup,$M1286)),IF($N1286&lt;&gt;"",IF(N(INDEX(LdCDep,$N1286))&gt;0,"بازگشت بانکی","پرداخت بانکی"),"")))</f>
        <v/>
      </c>
      <c r="D1286" s="20">
        <f>IF($L1286&lt;&gt;"",IF(INDEX(LdAId,$L1286)="","—",INDEX(LdAId,$L1286)),IF($M1286&lt;&gt;"",IF(INDEX(LdBId,$M1286)="","—",INDEX(LdBId,$M1286)),IF($N1286&lt;&gt;"",IF(INDEX(LdCBank,$N1286)="","—",INDEX(LdCBank,$N1286)),"")))</f>
        <v/>
      </c>
      <c r="E1286" s="21">
        <f>IF($L1286&lt;&gt;"",IF(INDEX(LdAAmt,$L1286)=0,"",INDEX(LdAAmt,$L1286)),IF($M1286&lt;&gt;"",IF(INDEX(LdBAmt,$M1286)=0,"",INDEX(LdBAmt,$M1286)),IF($N1286&lt;&gt;"",IF(INDEX(LdCDep,$N1286)=0,"",INDEX(LdCDep,$N1286)),"")))</f>
        <v/>
      </c>
      <c r="F1286" s="21">
        <f>IF(AND($L1286="",$M1286="",$N1286=""),"",IF($N1286="","",IF(INDEX(LdCWit,$N1286)=0,"",INDEX(LdCWit,$N1286))))</f>
        <v/>
      </c>
      <c r="G1286" s="31">
        <f>IF($B1286="","",IF($G1285="",0,$G1285)+IF($E1286="",0,$E1286)-IF($F1286="",0,$F1286))</f>
        <v/>
      </c>
      <c r="H1286" s="32">
        <f>IF(AND($L1286="",$M1286="",$N1286=""),"",IF($L1286&lt;&gt;"",IF(INDEX(LdANote,$L1286)="","—",INDEX(LdANote,$L1286)),IF($M1286&lt;&gt;"",IF(INDEX(LdBNote,$M1286)="","—",INDEX(LdBNote,$M1286)),IF($N1286&lt;&gt;"",IF(INDEX(LdCNote,$N1286)="","—",INDEX(LdCNote,$N1286)),""))))</f>
        <v/>
      </c>
      <c r="L1286">
        <f>IFERROR(MATCH($C$5&amp;"|"&amp;RIGHT("000000"&amp;1270,6),LdAKeyM,0),"")</f>
        <v/>
      </c>
      <c r="M1286">
        <f>IFERROR(MATCH($C$5&amp;"|"&amp;RIGHT("000000"&amp;1270,6),LdBKeyM,0),"")</f>
        <v/>
      </c>
      <c r="N1286">
        <f>IFERROR(MATCH($C$5&amp;"|"&amp;RIGHT("000000"&amp;1270,6),LdCKeyM,0),"")</f>
        <v/>
      </c>
    </row>
    <row r="1287">
      <c r="A1287" s="10" t="n">
        <v>1271</v>
      </c>
      <c r="B1287" s="14">
        <f>IF(AND($L1287="",$M1287="",$N1287=""),"",IF($L1287&lt;&gt;"",INDEX(LdADate,$L1287),IF($M1287&lt;&gt;"",INDEX(LdBDate,$M1287),INDEX(LdCDate,$N1287))))</f>
        <v/>
      </c>
      <c r="C1287" s="14">
        <f>IF($L1287&lt;&gt;"","دستمزد (فردی)",IF($M1287&lt;&gt;"","سهم از گروه "&amp;IFERROR(VLOOKUP(INDEX(LdBGroup,$M1287),WGTbl,2,0),INDEX(LdBGroup,$M1287)),IF($N1287&lt;&gt;"",IF(N(INDEX(LdCDep,$N1287))&gt;0,"بازگشت بانکی","پرداخت بانکی"),"")))</f>
        <v/>
      </c>
      <c r="D1287" s="14">
        <f>IF($L1287&lt;&gt;"",IF(INDEX(LdAId,$L1287)="","—",INDEX(LdAId,$L1287)),IF($M1287&lt;&gt;"",IF(INDEX(LdBId,$M1287)="","—",INDEX(LdBId,$M1287)),IF($N1287&lt;&gt;"",IF(INDEX(LdCBank,$N1287)="","—",INDEX(LdCBank,$N1287)),"")))</f>
        <v/>
      </c>
      <c r="E1287" s="16">
        <f>IF($L1287&lt;&gt;"",IF(INDEX(LdAAmt,$L1287)=0,"",INDEX(LdAAmt,$L1287)),IF($M1287&lt;&gt;"",IF(INDEX(LdBAmt,$M1287)=0,"",INDEX(LdBAmt,$M1287)),IF($N1287&lt;&gt;"",IF(INDEX(LdCDep,$N1287)=0,"",INDEX(LdCDep,$N1287)),"")))</f>
        <v/>
      </c>
      <c r="F1287" s="16">
        <f>IF(AND($L1287="",$M1287="",$N1287=""),"",IF($N1287="","",IF(INDEX(LdCWit,$N1287)=0,"",INDEX(LdCWit,$N1287))))</f>
        <v/>
      </c>
      <c r="G1287" s="29">
        <f>IF($B1287="","",IF($G1286="",0,$G1286)+IF($E1287="",0,$E1287)-IF($F1287="",0,$F1287))</f>
        <v/>
      </c>
      <c r="H1287" s="30">
        <f>IF(AND($L1287="",$M1287="",$N1287=""),"",IF($L1287&lt;&gt;"",IF(INDEX(LdANote,$L1287)="","—",INDEX(LdANote,$L1287)),IF($M1287&lt;&gt;"",IF(INDEX(LdBNote,$M1287)="","—",INDEX(LdBNote,$M1287)),IF($N1287&lt;&gt;"",IF(INDEX(LdCNote,$N1287)="","—",INDEX(LdCNote,$N1287)),""))))</f>
        <v/>
      </c>
      <c r="L1287">
        <f>IFERROR(MATCH($C$5&amp;"|"&amp;RIGHT("000000"&amp;1271,6),LdAKeyM,0),"")</f>
        <v/>
      </c>
      <c r="M1287">
        <f>IFERROR(MATCH($C$5&amp;"|"&amp;RIGHT("000000"&amp;1271,6),LdBKeyM,0),"")</f>
        <v/>
      </c>
      <c r="N1287">
        <f>IFERROR(MATCH($C$5&amp;"|"&amp;RIGHT("000000"&amp;1271,6),LdCKeyM,0),"")</f>
        <v/>
      </c>
    </row>
    <row r="1288">
      <c r="A1288" s="19" t="n">
        <v>1272</v>
      </c>
      <c r="B1288" s="20">
        <f>IF(AND($L1288="",$M1288="",$N1288=""),"",IF($L1288&lt;&gt;"",INDEX(LdADate,$L1288),IF($M1288&lt;&gt;"",INDEX(LdBDate,$M1288),INDEX(LdCDate,$N1288))))</f>
        <v/>
      </c>
      <c r="C1288" s="20">
        <f>IF($L1288&lt;&gt;"","دستمزد (فردی)",IF($M1288&lt;&gt;"","سهم از گروه "&amp;IFERROR(VLOOKUP(INDEX(LdBGroup,$M1288),WGTbl,2,0),INDEX(LdBGroup,$M1288)),IF($N1288&lt;&gt;"",IF(N(INDEX(LdCDep,$N1288))&gt;0,"بازگشت بانکی","پرداخت بانکی"),"")))</f>
        <v/>
      </c>
      <c r="D1288" s="20">
        <f>IF($L1288&lt;&gt;"",IF(INDEX(LdAId,$L1288)="","—",INDEX(LdAId,$L1288)),IF($M1288&lt;&gt;"",IF(INDEX(LdBId,$M1288)="","—",INDEX(LdBId,$M1288)),IF($N1288&lt;&gt;"",IF(INDEX(LdCBank,$N1288)="","—",INDEX(LdCBank,$N1288)),"")))</f>
        <v/>
      </c>
      <c r="E1288" s="21">
        <f>IF($L1288&lt;&gt;"",IF(INDEX(LdAAmt,$L1288)=0,"",INDEX(LdAAmt,$L1288)),IF($M1288&lt;&gt;"",IF(INDEX(LdBAmt,$M1288)=0,"",INDEX(LdBAmt,$M1288)),IF($N1288&lt;&gt;"",IF(INDEX(LdCDep,$N1288)=0,"",INDEX(LdCDep,$N1288)),"")))</f>
        <v/>
      </c>
      <c r="F1288" s="21">
        <f>IF(AND($L1288="",$M1288="",$N1288=""),"",IF($N1288="","",IF(INDEX(LdCWit,$N1288)=0,"",INDEX(LdCWit,$N1288))))</f>
        <v/>
      </c>
      <c r="G1288" s="31">
        <f>IF($B1288="","",IF($G1287="",0,$G1287)+IF($E1288="",0,$E1288)-IF($F1288="",0,$F1288))</f>
        <v/>
      </c>
      <c r="H1288" s="32">
        <f>IF(AND($L1288="",$M1288="",$N1288=""),"",IF($L1288&lt;&gt;"",IF(INDEX(LdANote,$L1288)="","—",INDEX(LdANote,$L1288)),IF($M1288&lt;&gt;"",IF(INDEX(LdBNote,$M1288)="","—",INDEX(LdBNote,$M1288)),IF($N1288&lt;&gt;"",IF(INDEX(LdCNote,$N1288)="","—",INDEX(LdCNote,$N1288)),""))))</f>
        <v/>
      </c>
      <c r="L1288">
        <f>IFERROR(MATCH($C$5&amp;"|"&amp;RIGHT("000000"&amp;1272,6),LdAKeyM,0),"")</f>
        <v/>
      </c>
      <c r="M1288">
        <f>IFERROR(MATCH($C$5&amp;"|"&amp;RIGHT("000000"&amp;1272,6),LdBKeyM,0),"")</f>
        <v/>
      </c>
      <c r="N1288">
        <f>IFERROR(MATCH($C$5&amp;"|"&amp;RIGHT("000000"&amp;1272,6),LdCKeyM,0),"")</f>
        <v/>
      </c>
    </row>
    <row r="1289">
      <c r="A1289" s="10" t="n">
        <v>1273</v>
      </c>
      <c r="B1289" s="14">
        <f>IF(AND($L1289="",$M1289="",$N1289=""),"",IF($L1289&lt;&gt;"",INDEX(LdADate,$L1289),IF($M1289&lt;&gt;"",INDEX(LdBDate,$M1289),INDEX(LdCDate,$N1289))))</f>
        <v/>
      </c>
      <c r="C1289" s="14">
        <f>IF($L1289&lt;&gt;"","دستمزد (فردی)",IF($M1289&lt;&gt;"","سهم از گروه "&amp;IFERROR(VLOOKUP(INDEX(LdBGroup,$M1289),WGTbl,2,0),INDEX(LdBGroup,$M1289)),IF($N1289&lt;&gt;"",IF(N(INDEX(LdCDep,$N1289))&gt;0,"بازگشت بانکی","پرداخت بانکی"),"")))</f>
        <v/>
      </c>
      <c r="D1289" s="14">
        <f>IF($L1289&lt;&gt;"",IF(INDEX(LdAId,$L1289)="","—",INDEX(LdAId,$L1289)),IF($M1289&lt;&gt;"",IF(INDEX(LdBId,$M1289)="","—",INDEX(LdBId,$M1289)),IF($N1289&lt;&gt;"",IF(INDEX(LdCBank,$N1289)="","—",INDEX(LdCBank,$N1289)),"")))</f>
        <v/>
      </c>
      <c r="E1289" s="16">
        <f>IF($L1289&lt;&gt;"",IF(INDEX(LdAAmt,$L1289)=0,"",INDEX(LdAAmt,$L1289)),IF($M1289&lt;&gt;"",IF(INDEX(LdBAmt,$M1289)=0,"",INDEX(LdBAmt,$M1289)),IF($N1289&lt;&gt;"",IF(INDEX(LdCDep,$N1289)=0,"",INDEX(LdCDep,$N1289)),"")))</f>
        <v/>
      </c>
      <c r="F1289" s="16">
        <f>IF(AND($L1289="",$M1289="",$N1289=""),"",IF($N1289="","",IF(INDEX(LdCWit,$N1289)=0,"",INDEX(LdCWit,$N1289))))</f>
        <v/>
      </c>
      <c r="G1289" s="29">
        <f>IF($B1289="","",IF($G1288="",0,$G1288)+IF($E1289="",0,$E1289)-IF($F1289="",0,$F1289))</f>
        <v/>
      </c>
      <c r="H1289" s="30">
        <f>IF(AND($L1289="",$M1289="",$N1289=""),"",IF($L1289&lt;&gt;"",IF(INDEX(LdANote,$L1289)="","—",INDEX(LdANote,$L1289)),IF($M1289&lt;&gt;"",IF(INDEX(LdBNote,$M1289)="","—",INDEX(LdBNote,$M1289)),IF($N1289&lt;&gt;"",IF(INDEX(LdCNote,$N1289)="","—",INDEX(LdCNote,$N1289)),""))))</f>
        <v/>
      </c>
      <c r="L1289">
        <f>IFERROR(MATCH($C$5&amp;"|"&amp;RIGHT("000000"&amp;1273,6),LdAKeyM,0),"")</f>
        <v/>
      </c>
      <c r="M1289">
        <f>IFERROR(MATCH($C$5&amp;"|"&amp;RIGHT("000000"&amp;1273,6),LdBKeyM,0),"")</f>
        <v/>
      </c>
      <c r="N1289">
        <f>IFERROR(MATCH($C$5&amp;"|"&amp;RIGHT("000000"&amp;1273,6),LdCKeyM,0),"")</f>
        <v/>
      </c>
    </row>
    <row r="1290">
      <c r="A1290" s="19" t="n">
        <v>1274</v>
      </c>
      <c r="B1290" s="20">
        <f>IF(AND($L1290="",$M1290="",$N1290=""),"",IF($L1290&lt;&gt;"",INDEX(LdADate,$L1290),IF($M1290&lt;&gt;"",INDEX(LdBDate,$M1290),INDEX(LdCDate,$N1290))))</f>
        <v/>
      </c>
      <c r="C1290" s="20">
        <f>IF($L1290&lt;&gt;"","دستمزد (فردی)",IF($M1290&lt;&gt;"","سهم از گروه "&amp;IFERROR(VLOOKUP(INDEX(LdBGroup,$M1290),WGTbl,2,0),INDEX(LdBGroup,$M1290)),IF($N1290&lt;&gt;"",IF(N(INDEX(LdCDep,$N1290))&gt;0,"بازگشت بانکی","پرداخت بانکی"),"")))</f>
        <v/>
      </c>
      <c r="D1290" s="20">
        <f>IF($L1290&lt;&gt;"",IF(INDEX(LdAId,$L1290)="","—",INDEX(LdAId,$L1290)),IF($M1290&lt;&gt;"",IF(INDEX(LdBId,$M1290)="","—",INDEX(LdBId,$M1290)),IF($N1290&lt;&gt;"",IF(INDEX(LdCBank,$N1290)="","—",INDEX(LdCBank,$N1290)),"")))</f>
        <v/>
      </c>
      <c r="E1290" s="21">
        <f>IF($L1290&lt;&gt;"",IF(INDEX(LdAAmt,$L1290)=0,"",INDEX(LdAAmt,$L1290)),IF($M1290&lt;&gt;"",IF(INDEX(LdBAmt,$M1290)=0,"",INDEX(LdBAmt,$M1290)),IF($N1290&lt;&gt;"",IF(INDEX(LdCDep,$N1290)=0,"",INDEX(LdCDep,$N1290)),"")))</f>
        <v/>
      </c>
      <c r="F1290" s="21">
        <f>IF(AND($L1290="",$M1290="",$N1290=""),"",IF($N1290="","",IF(INDEX(LdCWit,$N1290)=0,"",INDEX(LdCWit,$N1290))))</f>
        <v/>
      </c>
      <c r="G1290" s="31">
        <f>IF($B1290="","",IF($G1289="",0,$G1289)+IF($E1290="",0,$E1290)-IF($F1290="",0,$F1290))</f>
        <v/>
      </c>
      <c r="H1290" s="32">
        <f>IF(AND($L1290="",$M1290="",$N1290=""),"",IF($L1290&lt;&gt;"",IF(INDEX(LdANote,$L1290)="","—",INDEX(LdANote,$L1290)),IF($M1290&lt;&gt;"",IF(INDEX(LdBNote,$M1290)="","—",INDEX(LdBNote,$M1290)),IF($N1290&lt;&gt;"",IF(INDEX(LdCNote,$N1290)="","—",INDEX(LdCNote,$N1290)),""))))</f>
        <v/>
      </c>
      <c r="L1290">
        <f>IFERROR(MATCH($C$5&amp;"|"&amp;RIGHT("000000"&amp;1274,6),LdAKeyM,0),"")</f>
        <v/>
      </c>
      <c r="M1290">
        <f>IFERROR(MATCH($C$5&amp;"|"&amp;RIGHT("000000"&amp;1274,6),LdBKeyM,0),"")</f>
        <v/>
      </c>
      <c r="N1290">
        <f>IFERROR(MATCH($C$5&amp;"|"&amp;RIGHT("000000"&amp;1274,6),LdCKeyM,0),"")</f>
        <v/>
      </c>
    </row>
    <row r="1291">
      <c r="A1291" s="10" t="n">
        <v>1275</v>
      </c>
      <c r="B1291" s="14">
        <f>IF(AND($L1291="",$M1291="",$N1291=""),"",IF($L1291&lt;&gt;"",INDEX(LdADate,$L1291),IF($M1291&lt;&gt;"",INDEX(LdBDate,$M1291),INDEX(LdCDate,$N1291))))</f>
        <v/>
      </c>
      <c r="C1291" s="14">
        <f>IF($L1291&lt;&gt;"","دستمزد (فردی)",IF($M1291&lt;&gt;"","سهم از گروه "&amp;IFERROR(VLOOKUP(INDEX(LdBGroup,$M1291),WGTbl,2,0),INDEX(LdBGroup,$M1291)),IF($N1291&lt;&gt;"",IF(N(INDEX(LdCDep,$N1291))&gt;0,"بازگشت بانکی","پرداخت بانکی"),"")))</f>
        <v/>
      </c>
      <c r="D1291" s="14">
        <f>IF($L1291&lt;&gt;"",IF(INDEX(LdAId,$L1291)="","—",INDEX(LdAId,$L1291)),IF($M1291&lt;&gt;"",IF(INDEX(LdBId,$M1291)="","—",INDEX(LdBId,$M1291)),IF($N1291&lt;&gt;"",IF(INDEX(LdCBank,$N1291)="","—",INDEX(LdCBank,$N1291)),"")))</f>
        <v/>
      </c>
      <c r="E1291" s="16">
        <f>IF($L1291&lt;&gt;"",IF(INDEX(LdAAmt,$L1291)=0,"",INDEX(LdAAmt,$L1291)),IF($M1291&lt;&gt;"",IF(INDEX(LdBAmt,$M1291)=0,"",INDEX(LdBAmt,$M1291)),IF($N1291&lt;&gt;"",IF(INDEX(LdCDep,$N1291)=0,"",INDEX(LdCDep,$N1291)),"")))</f>
        <v/>
      </c>
      <c r="F1291" s="16">
        <f>IF(AND($L1291="",$M1291="",$N1291=""),"",IF($N1291="","",IF(INDEX(LdCWit,$N1291)=0,"",INDEX(LdCWit,$N1291))))</f>
        <v/>
      </c>
      <c r="G1291" s="29">
        <f>IF($B1291="","",IF($G1290="",0,$G1290)+IF($E1291="",0,$E1291)-IF($F1291="",0,$F1291))</f>
        <v/>
      </c>
      <c r="H1291" s="30">
        <f>IF(AND($L1291="",$M1291="",$N1291=""),"",IF($L1291&lt;&gt;"",IF(INDEX(LdANote,$L1291)="","—",INDEX(LdANote,$L1291)),IF($M1291&lt;&gt;"",IF(INDEX(LdBNote,$M1291)="","—",INDEX(LdBNote,$M1291)),IF($N1291&lt;&gt;"",IF(INDEX(LdCNote,$N1291)="","—",INDEX(LdCNote,$N1291)),""))))</f>
        <v/>
      </c>
      <c r="L1291">
        <f>IFERROR(MATCH($C$5&amp;"|"&amp;RIGHT("000000"&amp;1275,6),LdAKeyM,0),"")</f>
        <v/>
      </c>
      <c r="M1291">
        <f>IFERROR(MATCH($C$5&amp;"|"&amp;RIGHT("000000"&amp;1275,6),LdBKeyM,0),"")</f>
        <v/>
      </c>
      <c r="N1291">
        <f>IFERROR(MATCH($C$5&amp;"|"&amp;RIGHT("000000"&amp;1275,6),LdCKeyM,0),"")</f>
        <v/>
      </c>
    </row>
    <row r="1292">
      <c r="A1292" s="19" t="n">
        <v>1276</v>
      </c>
      <c r="B1292" s="20">
        <f>IF(AND($L1292="",$M1292="",$N1292=""),"",IF($L1292&lt;&gt;"",INDEX(LdADate,$L1292),IF($M1292&lt;&gt;"",INDEX(LdBDate,$M1292),INDEX(LdCDate,$N1292))))</f>
        <v/>
      </c>
      <c r="C1292" s="20">
        <f>IF($L1292&lt;&gt;"","دستمزد (فردی)",IF($M1292&lt;&gt;"","سهم از گروه "&amp;IFERROR(VLOOKUP(INDEX(LdBGroup,$M1292),WGTbl,2,0),INDEX(LdBGroup,$M1292)),IF($N1292&lt;&gt;"",IF(N(INDEX(LdCDep,$N1292))&gt;0,"بازگشت بانکی","پرداخت بانکی"),"")))</f>
        <v/>
      </c>
      <c r="D1292" s="20">
        <f>IF($L1292&lt;&gt;"",IF(INDEX(LdAId,$L1292)="","—",INDEX(LdAId,$L1292)),IF($M1292&lt;&gt;"",IF(INDEX(LdBId,$M1292)="","—",INDEX(LdBId,$M1292)),IF($N1292&lt;&gt;"",IF(INDEX(LdCBank,$N1292)="","—",INDEX(LdCBank,$N1292)),"")))</f>
        <v/>
      </c>
      <c r="E1292" s="21">
        <f>IF($L1292&lt;&gt;"",IF(INDEX(LdAAmt,$L1292)=0,"",INDEX(LdAAmt,$L1292)),IF($M1292&lt;&gt;"",IF(INDEX(LdBAmt,$M1292)=0,"",INDEX(LdBAmt,$M1292)),IF($N1292&lt;&gt;"",IF(INDEX(LdCDep,$N1292)=0,"",INDEX(LdCDep,$N1292)),"")))</f>
        <v/>
      </c>
      <c r="F1292" s="21">
        <f>IF(AND($L1292="",$M1292="",$N1292=""),"",IF($N1292="","",IF(INDEX(LdCWit,$N1292)=0,"",INDEX(LdCWit,$N1292))))</f>
        <v/>
      </c>
      <c r="G1292" s="31">
        <f>IF($B1292="","",IF($G1291="",0,$G1291)+IF($E1292="",0,$E1292)-IF($F1292="",0,$F1292))</f>
        <v/>
      </c>
      <c r="H1292" s="32">
        <f>IF(AND($L1292="",$M1292="",$N1292=""),"",IF($L1292&lt;&gt;"",IF(INDEX(LdANote,$L1292)="","—",INDEX(LdANote,$L1292)),IF($M1292&lt;&gt;"",IF(INDEX(LdBNote,$M1292)="","—",INDEX(LdBNote,$M1292)),IF($N1292&lt;&gt;"",IF(INDEX(LdCNote,$N1292)="","—",INDEX(LdCNote,$N1292)),""))))</f>
        <v/>
      </c>
      <c r="L1292">
        <f>IFERROR(MATCH($C$5&amp;"|"&amp;RIGHT("000000"&amp;1276,6),LdAKeyM,0),"")</f>
        <v/>
      </c>
      <c r="M1292">
        <f>IFERROR(MATCH($C$5&amp;"|"&amp;RIGHT("000000"&amp;1276,6),LdBKeyM,0),"")</f>
        <v/>
      </c>
      <c r="N1292">
        <f>IFERROR(MATCH($C$5&amp;"|"&amp;RIGHT("000000"&amp;1276,6),LdCKeyM,0),"")</f>
        <v/>
      </c>
    </row>
    <row r="1293">
      <c r="A1293" s="10" t="n">
        <v>1277</v>
      </c>
      <c r="B1293" s="14">
        <f>IF(AND($L1293="",$M1293="",$N1293=""),"",IF($L1293&lt;&gt;"",INDEX(LdADate,$L1293),IF($M1293&lt;&gt;"",INDEX(LdBDate,$M1293),INDEX(LdCDate,$N1293))))</f>
        <v/>
      </c>
      <c r="C1293" s="14">
        <f>IF($L1293&lt;&gt;"","دستمزد (فردی)",IF($M1293&lt;&gt;"","سهم از گروه "&amp;IFERROR(VLOOKUP(INDEX(LdBGroup,$M1293),WGTbl,2,0),INDEX(LdBGroup,$M1293)),IF($N1293&lt;&gt;"",IF(N(INDEX(LdCDep,$N1293))&gt;0,"بازگشت بانکی","پرداخت بانکی"),"")))</f>
        <v/>
      </c>
      <c r="D1293" s="14">
        <f>IF($L1293&lt;&gt;"",IF(INDEX(LdAId,$L1293)="","—",INDEX(LdAId,$L1293)),IF($M1293&lt;&gt;"",IF(INDEX(LdBId,$M1293)="","—",INDEX(LdBId,$M1293)),IF($N1293&lt;&gt;"",IF(INDEX(LdCBank,$N1293)="","—",INDEX(LdCBank,$N1293)),"")))</f>
        <v/>
      </c>
      <c r="E1293" s="16">
        <f>IF($L1293&lt;&gt;"",IF(INDEX(LdAAmt,$L1293)=0,"",INDEX(LdAAmt,$L1293)),IF($M1293&lt;&gt;"",IF(INDEX(LdBAmt,$M1293)=0,"",INDEX(LdBAmt,$M1293)),IF($N1293&lt;&gt;"",IF(INDEX(LdCDep,$N1293)=0,"",INDEX(LdCDep,$N1293)),"")))</f>
        <v/>
      </c>
      <c r="F1293" s="16">
        <f>IF(AND($L1293="",$M1293="",$N1293=""),"",IF($N1293="","",IF(INDEX(LdCWit,$N1293)=0,"",INDEX(LdCWit,$N1293))))</f>
        <v/>
      </c>
      <c r="G1293" s="29">
        <f>IF($B1293="","",IF($G1292="",0,$G1292)+IF($E1293="",0,$E1293)-IF($F1293="",0,$F1293))</f>
        <v/>
      </c>
      <c r="H1293" s="30">
        <f>IF(AND($L1293="",$M1293="",$N1293=""),"",IF($L1293&lt;&gt;"",IF(INDEX(LdANote,$L1293)="","—",INDEX(LdANote,$L1293)),IF($M1293&lt;&gt;"",IF(INDEX(LdBNote,$M1293)="","—",INDEX(LdBNote,$M1293)),IF($N1293&lt;&gt;"",IF(INDEX(LdCNote,$N1293)="","—",INDEX(LdCNote,$N1293)),""))))</f>
        <v/>
      </c>
      <c r="L1293">
        <f>IFERROR(MATCH($C$5&amp;"|"&amp;RIGHT("000000"&amp;1277,6),LdAKeyM,0),"")</f>
        <v/>
      </c>
      <c r="M1293">
        <f>IFERROR(MATCH($C$5&amp;"|"&amp;RIGHT("000000"&amp;1277,6),LdBKeyM,0),"")</f>
        <v/>
      </c>
      <c r="N1293">
        <f>IFERROR(MATCH($C$5&amp;"|"&amp;RIGHT("000000"&amp;1277,6),LdCKeyM,0),"")</f>
        <v/>
      </c>
    </row>
    <row r="1294">
      <c r="A1294" s="19" t="n">
        <v>1278</v>
      </c>
      <c r="B1294" s="20">
        <f>IF(AND($L1294="",$M1294="",$N1294=""),"",IF($L1294&lt;&gt;"",INDEX(LdADate,$L1294),IF($M1294&lt;&gt;"",INDEX(LdBDate,$M1294),INDEX(LdCDate,$N1294))))</f>
        <v/>
      </c>
      <c r="C1294" s="20">
        <f>IF($L1294&lt;&gt;"","دستمزد (فردی)",IF($M1294&lt;&gt;"","سهم از گروه "&amp;IFERROR(VLOOKUP(INDEX(LdBGroup,$M1294),WGTbl,2,0),INDEX(LdBGroup,$M1294)),IF($N1294&lt;&gt;"",IF(N(INDEX(LdCDep,$N1294))&gt;0,"بازگشت بانکی","پرداخت بانکی"),"")))</f>
        <v/>
      </c>
      <c r="D1294" s="20">
        <f>IF($L1294&lt;&gt;"",IF(INDEX(LdAId,$L1294)="","—",INDEX(LdAId,$L1294)),IF($M1294&lt;&gt;"",IF(INDEX(LdBId,$M1294)="","—",INDEX(LdBId,$M1294)),IF($N1294&lt;&gt;"",IF(INDEX(LdCBank,$N1294)="","—",INDEX(LdCBank,$N1294)),"")))</f>
        <v/>
      </c>
      <c r="E1294" s="21">
        <f>IF($L1294&lt;&gt;"",IF(INDEX(LdAAmt,$L1294)=0,"",INDEX(LdAAmt,$L1294)),IF($M1294&lt;&gt;"",IF(INDEX(LdBAmt,$M1294)=0,"",INDEX(LdBAmt,$M1294)),IF($N1294&lt;&gt;"",IF(INDEX(LdCDep,$N1294)=0,"",INDEX(LdCDep,$N1294)),"")))</f>
        <v/>
      </c>
      <c r="F1294" s="21">
        <f>IF(AND($L1294="",$M1294="",$N1294=""),"",IF($N1294="","",IF(INDEX(LdCWit,$N1294)=0,"",INDEX(LdCWit,$N1294))))</f>
        <v/>
      </c>
      <c r="G1294" s="31">
        <f>IF($B1294="","",IF($G1293="",0,$G1293)+IF($E1294="",0,$E1294)-IF($F1294="",0,$F1294))</f>
        <v/>
      </c>
      <c r="H1294" s="32">
        <f>IF(AND($L1294="",$M1294="",$N1294=""),"",IF($L1294&lt;&gt;"",IF(INDEX(LdANote,$L1294)="","—",INDEX(LdANote,$L1294)),IF($M1294&lt;&gt;"",IF(INDEX(LdBNote,$M1294)="","—",INDEX(LdBNote,$M1294)),IF($N1294&lt;&gt;"",IF(INDEX(LdCNote,$N1294)="","—",INDEX(LdCNote,$N1294)),""))))</f>
        <v/>
      </c>
      <c r="L1294">
        <f>IFERROR(MATCH($C$5&amp;"|"&amp;RIGHT("000000"&amp;1278,6),LdAKeyM,0),"")</f>
        <v/>
      </c>
      <c r="M1294">
        <f>IFERROR(MATCH($C$5&amp;"|"&amp;RIGHT("000000"&amp;1278,6),LdBKeyM,0),"")</f>
        <v/>
      </c>
      <c r="N1294">
        <f>IFERROR(MATCH($C$5&amp;"|"&amp;RIGHT("000000"&amp;1278,6),LdCKeyM,0),"")</f>
        <v/>
      </c>
    </row>
    <row r="1295">
      <c r="A1295" s="10" t="n">
        <v>1279</v>
      </c>
      <c r="B1295" s="14">
        <f>IF(AND($L1295="",$M1295="",$N1295=""),"",IF($L1295&lt;&gt;"",INDEX(LdADate,$L1295),IF($M1295&lt;&gt;"",INDEX(LdBDate,$M1295),INDEX(LdCDate,$N1295))))</f>
        <v/>
      </c>
      <c r="C1295" s="14">
        <f>IF($L1295&lt;&gt;"","دستمزد (فردی)",IF($M1295&lt;&gt;"","سهم از گروه "&amp;IFERROR(VLOOKUP(INDEX(LdBGroup,$M1295),WGTbl,2,0),INDEX(LdBGroup,$M1295)),IF($N1295&lt;&gt;"",IF(N(INDEX(LdCDep,$N1295))&gt;0,"بازگشت بانکی","پرداخت بانکی"),"")))</f>
        <v/>
      </c>
      <c r="D1295" s="14">
        <f>IF($L1295&lt;&gt;"",IF(INDEX(LdAId,$L1295)="","—",INDEX(LdAId,$L1295)),IF($M1295&lt;&gt;"",IF(INDEX(LdBId,$M1295)="","—",INDEX(LdBId,$M1295)),IF($N1295&lt;&gt;"",IF(INDEX(LdCBank,$N1295)="","—",INDEX(LdCBank,$N1295)),"")))</f>
        <v/>
      </c>
      <c r="E1295" s="16">
        <f>IF($L1295&lt;&gt;"",IF(INDEX(LdAAmt,$L1295)=0,"",INDEX(LdAAmt,$L1295)),IF($M1295&lt;&gt;"",IF(INDEX(LdBAmt,$M1295)=0,"",INDEX(LdBAmt,$M1295)),IF($N1295&lt;&gt;"",IF(INDEX(LdCDep,$N1295)=0,"",INDEX(LdCDep,$N1295)),"")))</f>
        <v/>
      </c>
      <c r="F1295" s="16">
        <f>IF(AND($L1295="",$M1295="",$N1295=""),"",IF($N1295="","",IF(INDEX(LdCWit,$N1295)=0,"",INDEX(LdCWit,$N1295))))</f>
        <v/>
      </c>
      <c r="G1295" s="29">
        <f>IF($B1295="","",IF($G1294="",0,$G1294)+IF($E1295="",0,$E1295)-IF($F1295="",0,$F1295))</f>
        <v/>
      </c>
      <c r="H1295" s="30">
        <f>IF(AND($L1295="",$M1295="",$N1295=""),"",IF($L1295&lt;&gt;"",IF(INDEX(LdANote,$L1295)="","—",INDEX(LdANote,$L1295)),IF($M1295&lt;&gt;"",IF(INDEX(LdBNote,$M1295)="","—",INDEX(LdBNote,$M1295)),IF($N1295&lt;&gt;"",IF(INDEX(LdCNote,$N1295)="","—",INDEX(LdCNote,$N1295)),""))))</f>
        <v/>
      </c>
      <c r="L1295">
        <f>IFERROR(MATCH($C$5&amp;"|"&amp;RIGHT("000000"&amp;1279,6),LdAKeyM,0),"")</f>
        <v/>
      </c>
      <c r="M1295">
        <f>IFERROR(MATCH($C$5&amp;"|"&amp;RIGHT("000000"&amp;1279,6),LdBKeyM,0),"")</f>
        <v/>
      </c>
      <c r="N1295">
        <f>IFERROR(MATCH($C$5&amp;"|"&amp;RIGHT("000000"&amp;1279,6),LdCKeyM,0),"")</f>
        <v/>
      </c>
    </row>
    <row r="1296">
      <c r="A1296" s="19" t="n">
        <v>1280</v>
      </c>
      <c r="B1296" s="20">
        <f>IF(AND($L1296="",$M1296="",$N1296=""),"",IF($L1296&lt;&gt;"",INDEX(LdADate,$L1296),IF($M1296&lt;&gt;"",INDEX(LdBDate,$M1296),INDEX(LdCDate,$N1296))))</f>
        <v/>
      </c>
      <c r="C1296" s="20">
        <f>IF($L1296&lt;&gt;"","دستمزد (فردی)",IF($M1296&lt;&gt;"","سهم از گروه "&amp;IFERROR(VLOOKUP(INDEX(LdBGroup,$M1296),WGTbl,2,0),INDEX(LdBGroup,$M1296)),IF($N1296&lt;&gt;"",IF(N(INDEX(LdCDep,$N1296))&gt;0,"بازگشت بانکی","پرداخت بانکی"),"")))</f>
        <v/>
      </c>
      <c r="D1296" s="20">
        <f>IF($L1296&lt;&gt;"",IF(INDEX(LdAId,$L1296)="","—",INDEX(LdAId,$L1296)),IF($M1296&lt;&gt;"",IF(INDEX(LdBId,$M1296)="","—",INDEX(LdBId,$M1296)),IF($N1296&lt;&gt;"",IF(INDEX(LdCBank,$N1296)="","—",INDEX(LdCBank,$N1296)),"")))</f>
        <v/>
      </c>
      <c r="E1296" s="21">
        <f>IF($L1296&lt;&gt;"",IF(INDEX(LdAAmt,$L1296)=0,"",INDEX(LdAAmt,$L1296)),IF($M1296&lt;&gt;"",IF(INDEX(LdBAmt,$M1296)=0,"",INDEX(LdBAmt,$M1296)),IF($N1296&lt;&gt;"",IF(INDEX(LdCDep,$N1296)=0,"",INDEX(LdCDep,$N1296)),"")))</f>
        <v/>
      </c>
      <c r="F1296" s="21">
        <f>IF(AND($L1296="",$M1296="",$N1296=""),"",IF($N1296="","",IF(INDEX(LdCWit,$N1296)=0,"",INDEX(LdCWit,$N1296))))</f>
        <v/>
      </c>
      <c r="G1296" s="31">
        <f>IF($B1296="","",IF($G1295="",0,$G1295)+IF($E1296="",0,$E1296)-IF($F1296="",0,$F1296))</f>
        <v/>
      </c>
      <c r="H1296" s="32">
        <f>IF(AND($L1296="",$M1296="",$N1296=""),"",IF($L1296&lt;&gt;"",IF(INDEX(LdANote,$L1296)="","—",INDEX(LdANote,$L1296)),IF($M1296&lt;&gt;"",IF(INDEX(LdBNote,$M1296)="","—",INDEX(LdBNote,$M1296)),IF($N1296&lt;&gt;"",IF(INDEX(LdCNote,$N1296)="","—",INDEX(LdCNote,$N1296)),""))))</f>
        <v/>
      </c>
      <c r="L1296">
        <f>IFERROR(MATCH($C$5&amp;"|"&amp;RIGHT("000000"&amp;1280,6),LdAKeyM,0),"")</f>
        <v/>
      </c>
      <c r="M1296">
        <f>IFERROR(MATCH($C$5&amp;"|"&amp;RIGHT("000000"&amp;1280,6),LdBKeyM,0),"")</f>
        <v/>
      </c>
      <c r="N1296">
        <f>IFERROR(MATCH($C$5&amp;"|"&amp;RIGHT("000000"&amp;1280,6),LdCKeyM,0),"")</f>
        <v/>
      </c>
    </row>
    <row r="1297">
      <c r="A1297" s="10" t="n">
        <v>1281</v>
      </c>
      <c r="B1297" s="14">
        <f>IF(AND($L1297="",$M1297="",$N1297=""),"",IF($L1297&lt;&gt;"",INDEX(LdADate,$L1297),IF($M1297&lt;&gt;"",INDEX(LdBDate,$M1297),INDEX(LdCDate,$N1297))))</f>
        <v/>
      </c>
      <c r="C1297" s="14">
        <f>IF($L1297&lt;&gt;"","دستمزد (فردی)",IF($M1297&lt;&gt;"","سهم از گروه "&amp;IFERROR(VLOOKUP(INDEX(LdBGroup,$M1297),WGTbl,2,0),INDEX(LdBGroup,$M1297)),IF($N1297&lt;&gt;"",IF(N(INDEX(LdCDep,$N1297))&gt;0,"بازگشت بانکی","پرداخت بانکی"),"")))</f>
        <v/>
      </c>
      <c r="D1297" s="14">
        <f>IF($L1297&lt;&gt;"",IF(INDEX(LdAId,$L1297)="","—",INDEX(LdAId,$L1297)),IF($M1297&lt;&gt;"",IF(INDEX(LdBId,$M1297)="","—",INDEX(LdBId,$M1297)),IF($N1297&lt;&gt;"",IF(INDEX(LdCBank,$N1297)="","—",INDEX(LdCBank,$N1297)),"")))</f>
        <v/>
      </c>
      <c r="E1297" s="16">
        <f>IF($L1297&lt;&gt;"",IF(INDEX(LdAAmt,$L1297)=0,"",INDEX(LdAAmt,$L1297)),IF($M1297&lt;&gt;"",IF(INDEX(LdBAmt,$M1297)=0,"",INDEX(LdBAmt,$M1297)),IF($N1297&lt;&gt;"",IF(INDEX(LdCDep,$N1297)=0,"",INDEX(LdCDep,$N1297)),"")))</f>
        <v/>
      </c>
      <c r="F1297" s="16">
        <f>IF(AND($L1297="",$M1297="",$N1297=""),"",IF($N1297="","",IF(INDEX(LdCWit,$N1297)=0,"",INDEX(LdCWit,$N1297))))</f>
        <v/>
      </c>
      <c r="G1297" s="29">
        <f>IF($B1297="","",IF($G1296="",0,$G1296)+IF($E1297="",0,$E1297)-IF($F1297="",0,$F1297))</f>
        <v/>
      </c>
      <c r="H1297" s="30">
        <f>IF(AND($L1297="",$M1297="",$N1297=""),"",IF($L1297&lt;&gt;"",IF(INDEX(LdANote,$L1297)="","—",INDEX(LdANote,$L1297)),IF($M1297&lt;&gt;"",IF(INDEX(LdBNote,$M1297)="","—",INDEX(LdBNote,$M1297)),IF($N1297&lt;&gt;"",IF(INDEX(LdCNote,$N1297)="","—",INDEX(LdCNote,$N1297)),""))))</f>
        <v/>
      </c>
      <c r="L1297">
        <f>IFERROR(MATCH($C$5&amp;"|"&amp;RIGHT("000000"&amp;1281,6),LdAKeyM,0),"")</f>
        <v/>
      </c>
      <c r="M1297">
        <f>IFERROR(MATCH($C$5&amp;"|"&amp;RIGHT("000000"&amp;1281,6),LdBKeyM,0),"")</f>
        <v/>
      </c>
      <c r="N1297">
        <f>IFERROR(MATCH($C$5&amp;"|"&amp;RIGHT("000000"&amp;1281,6),LdCKeyM,0),"")</f>
        <v/>
      </c>
    </row>
    <row r="1298">
      <c r="A1298" s="19" t="n">
        <v>1282</v>
      </c>
      <c r="B1298" s="20">
        <f>IF(AND($L1298="",$M1298="",$N1298=""),"",IF($L1298&lt;&gt;"",INDEX(LdADate,$L1298),IF($M1298&lt;&gt;"",INDEX(LdBDate,$M1298),INDEX(LdCDate,$N1298))))</f>
        <v/>
      </c>
      <c r="C1298" s="20">
        <f>IF($L1298&lt;&gt;"","دستمزد (فردی)",IF($M1298&lt;&gt;"","سهم از گروه "&amp;IFERROR(VLOOKUP(INDEX(LdBGroup,$M1298),WGTbl,2,0),INDEX(LdBGroup,$M1298)),IF($N1298&lt;&gt;"",IF(N(INDEX(LdCDep,$N1298))&gt;0,"بازگشت بانکی","پرداخت بانکی"),"")))</f>
        <v/>
      </c>
      <c r="D1298" s="20">
        <f>IF($L1298&lt;&gt;"",IF(INDEX(LdAId,$L1298)="","—",INDEX(LdAId,$L1298)),IF($M1298&lt;&gt;"",IF(INDEX(LdBId,$M1298)="","—",INDEX(LdBId,$M1298)),IF($N1298&lt;&gt;"",IF(INDEX(LdCBank,$N1298)="","—",INDEX(LdCBank,$N1298)),"")))</f>
        <v/>
      </c>
      <c r="E1298" s="21">
        <f>IF($L1298&lt;&gt;"",IF(INDEX(LdAAmt,$L1298)=0,"",INDEX(LdAAmt,$L1298)),IF($M1298&lt;&gt;"",IF(INDEX(LdBAmt,$M1298)=0,"",INDEX(LdBAmt,$M1298)),IF($N1298&lt;&gt;"",IF(INDEX(LdCDep,$N1298)=0,"",INDEX(LdCDep,$N1298)),"")))</f>
        <v/>
      </c>
      <c r="F1298" s="21">
        <f>IF(AND($L1298="",$M1298="",$N1298=""),"",IF($N1298="","",IF(INDEX(LdCWit,$N1298)=0,"",INDEX(LdCWit,$N1298))))</f>
        <v/>
      </c>
      <c r="G1298" s="31">
        <f>IF($B1298="","",IF($G1297="",0,$G1297)+IF($E1298="",0,$E1298)-IF($F1298="",0,$F1298))</f>
        <v/>
      </c>
      <c r="H1298" s="32">
        <f>IF(AND($L1298="",$M1298="",$N1298=""),"",IF($L1298&lt;&gt;"",IF(INDEX(LdANote,$L1298)="","—",INDEX(LdANote,$L1298)),IF($M1298&lt;&gt;"",IF(INDEX(LdBNote,$M1298)="","—",INDEX(LdBNote,$M1298)),IF($N1298&lt;&gt;"",IF(INDEX(LdCNote,$N1298)="","—",INDEX(LdCNote,$N1298)),""))))</f>
        <v/>
      </c>
      <c r="L1298">
        <f>IFERROR(MATCH($C$5&amp;"|"&amp;RIGHT("000000"&amp;1282,6),LdAKeyM,0),"")</f>
        <v/>
      </c>
      <c r="M1298">
        <f>IFERROR(MATCH($C$5&amp;"|"&amp;RIGHT("000000"&amp;1282,6),LdBKeyM,0),"")</f>
        <v/>
      </c>
      <c r="N1298">
        <f>IFERROR(MATCH($C$5&amp;"|"&amp;RIGHT("000000"&amp;1282,6),LdCKeyM,0),"")</f>
        <v/>
      </c>
    </row>
    <row r="1299">
      <c r="A1299" s="10" t="n">
        <v>1283</v>
      </c>
      <c r="B1299" s="14">
        <f>IF(AND($L1299="",$M1299="",$N1299=""),"",IF($L1299&lt;&gt;"",INDEX(LdADate,$L1299),IF($M1299&lt;&gt;"",INDEX(LdBDate,$M1299),INDEX(LdCDate,$N1299))))</f>
        <v/>
      </c>
      <c r="C1299" s="14">
        <f>IF($L1299&lt;&gt;"","دستمزد (فردی)",IF($M1299&lt;&gt;"","سهم از گروه "&amp;IFERROR(VLOOKUP(INDEX(LdBGroup,$M1299),WGTbl,2,0),INDEX(LdBGroup,$M1299)),IF($N1299&lt;&gt;"",IF(N(INDEX(LdCDep,$N1299))&gt;0,"بازگشت بانکی","پرداخت بانکی"),"")))</f>
        <v/>
      </c>
      <c r="D1299" s="14">
        <f>IF($L1299&lt;&gt;"",IF(INDEX(LdAId,$L1299)="","—",INDEX(LdAId,$L1299)),IF($M1299&lt;&gt;"",IF(INDEX(LdBId,$M1299)="","—",INDEX(LdBId,$M1299)),IF($N1299&lt;&gt;"",IF(INDEX(LdCBank,$N1299)="","—",INDEX(LdCBank,$N1299)),"")))</f>
        <v/>
      </c>
      <c r="E1299" s="16">
        <f>IF($L1299&lt;&gt;"",IF(INDEX(LdAAmt,$L1299)=0,"",INDEX(LdAAmt,$L1299)),IF($M1299&lt;&gt;"",IF(INDEX(LdBAmt,$M1299)=0,"",INDEX(LdBAmt,$M1299)),IF($N1299&lt;&gt;"",IF(INDEX(LdCDep,$N1299)=0,"",INDEX(LdCDep,$N1299)),"")))</f>
        <v/>
      </c>
      <c r="F1299" s="16">
        <f>IF(AND($L1299="",$M1299="",$N1299=""),"",IF($N1299="","",IF(INDEX(LdCWit,$N1299)=0,"",INDEX(LdCWit,$N1299))))</f>
        <v/>
      </c>
      <c r="G1299" s="29">
        <f>IF($B1299="","",IF($G1298="",0,$G1298)+IF($E1299="",0,$E1299)-IF($F1299="",0,$F1299))</f>
        <v/>
      </c>
      <c r="H1299" s="30">
        <f>IF(AND($L1299="",$M1299="",$N1299=""),"",IF($L1299&lt;&gt;"",IF(INDEX(LdANote,$L1299)="","—",INDEX(LdANote,$L1299)),IF($M1299&lt;&gt;"",IF(INDEX(LdBNote,$M1299)="","—",INDEX(LdBNote,$M1299)),IF($N1299&lt;&gt;"",IF(INDEX(LdCNote,$N1299)="","—",INDEX(LdCNote,$N1299)),""))))</f>
        <v/>
      </c>
      <c r="L1299">
        <f>IFERROR(MATCH($C$5&amp;"|"&amp;RIGHT("000000"&amp;1283,6),LdAKeyM,0),"")</f>
        <v/>
      </c>
      <c r="M1299">
        <f>IFERROR(MATCH($C$5&amp;"|"&amp;RIGHT("000000"&amp;1283,6),LdBKeyM,0),"")</f>
        <v/>
      </c>
      <c r="N1299">
        <f>IFERROR(MATCH($C$5&amp;"|"&amp;RIGHT("000000"&amp;1283,6),LdCKeyM,0),"")</f>
        <v/>
      </c>
    </row>
    <row r="1300">
      <c r="A1300" s="19" t="n">
        <v>1284</v>
      </c>
      <c r="B1300" s="20">
        <f>IF(AND($L1300="",$M1300="",$N1300=""),"",IF($L1300&lt;&gt;"",INDEX(LdADate,$L1300),IF($M1300&lt;&gt;"",INDEX(LdBDate,$M1300),INDEX(LdCDate,$N1300))))</f>
        <v/>
      </c>
      <c r="C1300" s="20">
        <f>IF($L1300&lt;&gt;"","دستمزد (فردی)",IF($M1300&lt;&gt;"","سهم از گروه "&amp;IFERROR(VLOOKUP(INDEX(LdBGroup,$M1300),WGTbl,2,0),INDEX(LdBGroup,$M1300)),IF($N1300&lt;&gt;"",IF(N(INDEX(LdCDep,$N1300))&gt;0,"بازگشت بانکی","پرداخت بانکی"),"")))</f>
        <v/>
      </c>
      <c r="D1300" s="20">
        <f>IF($L1300&lt;&gt;"",IF(INDEX(LdAId,$L1300)="","—",INDEX(LdAId,$L1300)),IF($M1300&lt;&gt;"",IF(INDEX(LdBId,$M1300)="","—",INDEX(LdBId,$M1300)),IF($N1300&lt;&gt;"",IF(INDEX(LdCBank,$N1300)="","—",INDEX(LdCBank,$N1300)),"")))</f>
        <v/>
      </c>
      <c r="E1300" s="21">
        <f>IF($L1300&lt;&gt;"",IF(INDEX(LdAAmt,$L1300)=0,"",INDEX(LdAAmt,$L1300)),IF($M1300&lt;&gt;"",IF(INDEX(LdBAmt,$M1300)=0,"",INDEX(LdBAmt,$M1300)),IF($N1300&lt;&gt;"",IF(INDEX(LdCDep,$N1300)=0,"",INDEX(LdCDep,$N1300)),"")))</f>
        <v/>
      </c>
      <c r="F1300" s="21">
        <f>IF(AND($L1300="",$M1300="",$N1300=""),"",IF($N1300="","",IF(INDEX(LdCWit,$N1300)=0,"",INDEX(LdCWit,$N1300))))</f>
        <v/>
      </c>
      <c r="G1300" s="31">
        <f>IF($B1300="","",IF($G1299="",0,$G1299)+IF($E1300="",0,$E1300)-IF($F1300="",0,$F1300))</f>
        <v/>
      </c>
      <c r="H1300" s="32">
        <f>IF(AND($L1300="",$M1300="",$N1300=""),"",IF($L1300&lt;&gt;"",IF(INDEX(LdANote,$L1300)="","—",INDEX(LdANote,$L1300)),IF($M1300&lt;&gt;"",IF(INDEX(LdBNote,$M1300)="","—",INDEX(LdBNote,$M1300)),IF($N1300&lt;&gt;"",IF(INDEX(LdCNote,$N1300)="","—",INDEX(LdCNote,$N1300)),""))))</f>
        <v/>
      </c>
      <c r="L1300">
        <f>IFERROR(MATCH($C$5&amp;"|"&amp;RIGHT("000000"&amp;1284,6),LdAKeyM,0),"")</f>
        <v/>
      </c>
      <c r="M1300">
        <f>IFERROR(MATCH($C$5&amp;"|"&amp;RIGHT("000000"&amp;1284,6),LdBKeyM,0),"")</f>
        <v/>
      </c>
      <c r="N1300">
        <f>IFERROR(MATCH($C$5&amp;"|"&amp;RIGHT("000000"&amp;1284,6),LdCKeyM,0),"")</f>
        <v/>
      </c>
    </row>
    <row r="1301">
      <c r="A1301" s="10" t="n">
        <v>1285</v>
      </c>
      <c r="B1301" s="14">
        <f>IF(AND($L1301="",$M1301="",$N1301=""),"",IF($L1301&lt;&gt;"",INDEX(LdADate,$L1301),IF($M1301&lt;&gt;"",INDEX(LdBDate,$M1301),INDEX(LdCDate,$N1301))))</f>
        <v/>
      </c>
      <c r="C1301" s="14">
        <f>IF($L1301&lt;&gt;"","دستمزد (فردی)",IF($M1301&lt;&gt;"","سهم از گروه "&amp;IFERROR(VLOOKUP(INDEX(LdBGroup,$M1301),WGTbl,2,0),INDEX(LdBGroup,$M1301)),IF($N1301&lt;&gt;"",IF(N(INDEX(LdCDep,$N1301))&gt;0,"بازگشت بانکی","پرداخت بانکی"),"")))</f>
        <v/>
      </c>
      <c r="D1301" s="14">
        <f>IF($L1301&lt;&gt;"",IF(INDEX(LdAId,$L1301)="","—",INDEX(LdAId,$L1301)),IF($M1301&lt;&gt;"",IF(INDEX(LdBId,$M1301)="","—",INDEX(LdBId,$M1301)),IF($N1301&lt;&gt;"",IF(INDEX(LdCBank,$N1301)="","—",INDEX(LdCBank,$N1301)),"")))</f>
        <v/>
      </c>
      <c r="E1301" s="16">
        <f>IF($L1301&lt;&gt;"",IF(INDEX(LdAAmt,$L1301)=0,"",INDEX(LdAAmt,$L1301)),IF($M1301&lt;&gt;"",IF(INDEX(LdBAmt,$M1301)=0,"",INDEX(LdBAmt,$M1301)),IF($N1301&lt;&gt;"",IF(INDEX(LdCDep,$N1301)=0,"",INDEX(LdCDep,$N1301)),"")))</f>
        <v/>
      </c>
      <c r="F1301" s="16">
        <f>IF(AND($L1301="",$M1301="",$N1301=""),"",IF($N1301="","",IF(INDEX(LdCWit,$N1301)=0,"",INDEX(LdCWit,$N1301))))</f>
        <v/>
      </c>
      <c r="G1301" s="29">
        <f>IF($B1301="","",IF($G1300="",0,$G1300)+IF($E1301="",0,$E1301)-IF($F1301="",0,$F1301))</f>
        <v/>
      </c>
      <c r="H1301" s="30">
        <f>IF(AND($L1301="",$M1301="",$N1301=""),"",IF($L1301&lt;&gt;"",IF(INDEX(LdANote,$L1301)="","—",INDEX(LdANote,$L1301)),IF($M1301&lt;&gt;"",IF(INDEX(LdBNote,$M1301)="","—",INDEX(LdBNote,$M1301)),IF($N1301&lt;&gt;"",IF(INDEX(LdCNote,$N1301)="","—",INDEX(LdCNote,$N1301)),""))))</f>
        <v/>
      </c>
      <c r="L1301">
        <f>IFERROR(MATCH($C$5&amp;"|"&amp;RIGHT("000000"&amp;1285,6),LdAKeyM,0),"")</f>
        <v/>
      </c>
      <c r="M1301">
        <f>IFERROR(MATCH($C$5&amp;"|"&amp;RIGHT("000000"&amp;1285,6),LdBKeyM,0),"")</f>
        <v/>
      </c>
      <c r="N1301">
        <f>IFERROR(MATCH($C$5&amp;"|"&amp;RIGHT("000000"&amp;1285,6),LdCKeyM,0),"")</f>
        <v/>
      </c>
    </row>
    <row r="1302">
      <c r="A1302" s="19" t="n">
        <v>1286</v>
      </c>
      <c r="B1302" s="20">
        <f>IF(AND($L1302="",$M1302="",$N1302=""),"",IF($L1302&lt;&gt;"",INDEX(LdADate,$L1302),IF($M1302&lt;&gt;"",INDEX(LdBDate,$M1302),INDEX(LdCDate,$N1302))))</f>
        <v/>
      </c>
      <c r="C1302" s="20">
        <f>IF($L1302&lt;&gt;"","دستمزد (فردی)",IF($M1302&lt;&gt;"","سهم از گروه "&amp;IFERROR(VLOOKUP(INDEX(LdBGroup,$M1302),WGTbl,2,0),INDEX(LdBGroup,$M1302)),IF($N1302&lt;&gt;"",IF(N(INDEX(LdCDep,$N1302))&gt;0,"بازگشت بانکی","پرداخت بانکی"),"")))</f>
        <v/>
      </c>
      <c r="D1302" s="20">
        <f>IF($L1302&lt;&gt;"",IF(INDEX(LdAId,$L1302)="","—",INDEX(LdAId,$L1302)),IF($M1302&lt;&gt;"",IF(INDEX(LdBId,$M1302)="","—",INDEX(LdBId,$M1302)),IF($N1302&lt;&gt;"",IF(INDEX(LdCBank,$N1302)="","—",INDEX(LdCBank,$N1302)),"")))</f>
        <v/>
      </c>
      <c r="E1302" s="21">
        <f>IF($L1302&lt;&gt;"",IF(INDEX(LdAAmt,$L1302)=0,"",INDEX(LdAAmt,$L1302)),IF($M1302&lt;&gt;"",IF(INDEX(LdBAmt,$M1302)=0,"",INDEX(LdBAmt,$M1302)),IF($N1302&lt;&gt;"",IF(INDEX(LdCDep,$N1302)=0,"",INDEX(LdCDep,$N1302)),"")))</f>
        <v/>
      </c>
      <c r="F1302" s="21">
        <f>IF(AND($L1302="",$M1302="",$N1302=""),"",IF($N1302="","",IF(INDEX(LdCWit,$N1302)=0,"",INDEX(LdCWit,$N1302))))</f>
        <v/>
      </c>
      <c r="G1302" s="31">
        <f>IF($B1302="","",IF($G1301="",0,$G1301)+IF($E1302="",0,$E1302)-IF($F1302="",0,$F1302))</f>
        <v/>
      </c>
      <c r="H1302" s="32">
        <f>IF(AND($L1302="",$M1302="",$N1302=""),"",IF($L1302&lt;&gt;"",IF(INDEX(LdANote,$L1302)="","—",INDEX(LdANote,$L1302)),IF($M1302&lt;&gt;"",IF(INDEX(LdBNote,$M1302)="","—",INDEX(LdBNote,$M1302)),IF($N1302&lt;&gt;"",IF(INDEX(LdCNote,$N1302)="","—",INDEX(LdCNote,$N1302)),""))))</f>
        <v/>
      </c>
      <c r="L1302">
        <f>IFERROR(MATCH($C$5&amp;"|"&amp;RIGHT("000000"&amp;1286,6),LdAKeyM,0),"")</f>
        <v/>
      </c>
      <c r="M1302">
        <f>IFERROR(MATCH($C$5&amp;"|"&amp;RIGHT("000000"&amp;1286,6),LdBKeyM,0),"")</f>
        <v/>
      </c>
      <c r="N1302">
        <f>IFERROR(MATCH($C$5&amp;"|"&amp;RIGHT("000000"&amp;1286,6),LdCKeyM,0),"")</f>
        <v/>
      </c>
    </row>
    <row r="1303">
      <c r="A1303" s="10" t="n">
        <v>1287</v>
      </c>
      <c r="B1303" s="14">
        <f>IF(AND($L1303="",$M1303="",$N1303=""),"",IF($L1303&lt;&gt;"",INDEX(LdADate,$L1303),IF($M1303&lt;&gt;"",INDEX(LdBDate,$M1303),INDEX(LdCDate,$N1303))))</f>
        <v/>
      </c>
      <c r="C1303" s="14">
        <f>IF($L1303&lt;&gt;"","دستمزد (فردی)",IF($M1303&lt;&gt;"","سهم از گروه "&amp;IFERROR(VLOOKUP(INDEX(LdBGroup,$M1303),WGTbl,2,0),INDEX(LdBGroup,$M1303)),IF($N1303&lt;&gt;"",IF(N(INDEX(LdCDep,$N1303))&gt;0,"بازگشت بانکی","پرداخت بانکی"),"")))</f>
        <v/>
      </c>
      <c r="D1303" s="14">
        <f>IF($L1303&lt;&gt;"",IF(INDEX(LdAId,$L1303)="","—",INDEX(LdAId,$L1303)),IF($M1303&lt;&gt;"",IF(INDEX(LdBId,$M1303)="","—",INDEX(LdBId,$M1303)),IF($N1303&lt;&gt;"",IF(INDEX(LdCBank,$N1303)="","—",INDEX(LdCBank,$N1303)),"")))</f>
        <v/>
      </c>
      <c r="E1303" s="16">
        <f>IF($L1303&lt;&gt;"",IF(INDEX(LdAAmt,$L1303)=0,"",INDEX(LdAAmt,$L1303)),IF($M1303&lt;&gt;"",IF(INDEX(LdBAmt,$M1303)=0,"",INDEX(LdBAmt,$M1303)),IF($N1303&lt;&gt;"",IF(INDEX(LdCDep,$N1303)=0,"",INDEX(LdCDep,$N1303)),"")))</f>
        <v/>
      </c>
      <c r="F1303" s="16">
        <f>IF(AND($L1303="",$M1303="",$N1303=""),"",IF($N1303="","",IF(INDEX(LdCWit,$N1303)=0,"",INDEX(LdCWit,$N1303))))</f>
        <v/>
      </c>
      <c r="G1303" s="29">
        <f>IF($B1303="","",IF($G1302="",0,$G1302)+IF($E1303="",0,$E1303)-IF($F1303="",0,$F1303))</f>
        <v/>
      </c>
      <c r="H1303" s="30">
        <f>IF(AND($L1303="",$M1303="",$N1303=""),"",IF($L1303&lt;&gt;"",IF(INDEX(LdANote,$L1303)="","—",INDEX(LdANote,$L1303)),IF($M1303&lt;&gt;"",IF(INDEX(LdBNote,$M1303)="","—",INDEX(LdBNote,$M1303)),IF($N1303&lt;&gt;"",IF(INDEX(LdCNote,$N1303)="","—",INDEX(LdCNote,$N1303)),""))))</f>
        <v/>
      </c>
      <c r="L1303">
        <f>IFERROR(MATCH($C$5&amp;"|"&amp;RIGHT("000000"&amp;1287,6),LdAKeyM,0),"")</f>
        <v/>
      </c>
      <c r="M1303">
        <f>IFERROR(MATCH($C$5&amp;"|"&amp;RIGHT("000000"&amp;1287,6),LdBKeyM,0),"")</f>
        <v/>
      </c>
      <c r="N1303">
        <f>IFERROR(MATCH($C$5&amp;"|"&amp;RIGHT("000000"&amp;1287,6),LdCKeyM,0),"")</f>
        <v/>
      </c>
    </row>
    <row r="1304">
      <c r="A1304" s="19" t="n">
        <v>1288</v>
      </c>
      <c r="B1304" s="20">
        <f>IF(AND($L1304="",$M1304="",$N1304=""),"",IF($L1304&lt;&gt;"",INDEX(LdADate,$L1304),IF($M1304&lt;&gt;"",INDEX(LdBDate,$M1304),INDEX(LdCDate,$N1304))))</f>
        <v/>
      </c>
      <c r="C1304" s="20">
        <f>IF($L1304&lt;&gt;"","دستمزد (فردی)",IF($M1304&lt;&gt;"","سهم از گروه "&amp;IFERROR(VLOOKUP(INDEX(LdBGroup,$M1304),WGTbl,2,0),INDEX(LdBGroup,$M1304)),IF($N1304&lt;&gt;"",IF(N(INDEX(LdCDep,$N1304))&gt;0,"بازگشت بانکی","پرداخت بانکی"),"")))</f>
        <v/>
      </c>
      <c r="D1304" s="20">
        <f>IF($L1304&lt;&gt;"",IF(INDEX(LdAId,$L1304)="","—",INDEX(LdAId,$L1304)),IF($M1304&lt;&gt;"",IF(INDEX(LdBId,$M1304)="","—",INDEX(LdBId,$M1304)),IF($N1304&lt;&gt;"",IF(INDEX(LdCBank,$N1304)="","—",INDEX(LdCBank,$N1304)),"")))</f>
        <v/>
      </c>
      <c r="E1304" s="21">
        <f>IF($L1304&lt;&gt;"",IF(INDEX(LdAAmt,$L1304)=0,"",INDEX(LdAAmt,$L1304)),IF($M1304&lt;&gt;"",IF(INDEX(LdBAmt,$M1304)=0,"",INDEX(LdBAmt,$M1304)),IF($N1304&lt;&gt;"",IF(INDEX(LdCDep,$N1304)=0,"",INDEX(LdCDep,$N1304)),"")))</f>
        <v/>
      </c>
      <c r="F1304" s="21">
        <f>IF(AND($L1304="",$M1304="",$N1304=""),"",IF($N1304="","",IF(INDEX(LdCWit,$N1304)=0,"",INDEX(LdCWit,$N1304))))</f>
        <v/>
      </c>
      <c r="G1304" s="31">
        <f>IF($B1304="","",IF($G1303="",0,$G1303)+IF($E1304="",0,$E1304)-IF($F1304="",0,$F1304))</f>
        <v/>
      </c>
      <c r="H1304" s="32">
        <f>IF(AND($L1304="",$M1304="",$N1304=""),"",IF($L1304&lt;&gt;"",IF(INDEX(LdANote,$L1304)="","—",INDEX(LdANote,$L1304)),IF($M1304&lt;&gt;"",IF(INDEX(LdBNote,$M1304)="","—",INDEX(LdBNote,$M1304)),IF($N1304&lt;&gt;"",IF(INDEX(LdCNote,$N1304)="","—",INDEX(LdCNote,$N1304)),""))))</f>
        <v/>
      </c>
      <c r="L1304">
        <f>IFERROR(MATCH($C$5&amp;"|"&amp;RIGHT("000000"&amp;1288,6),LdAKeyM,0),"")</f>
        <v/>
      </c>
      <c r="M1304">
        <f>IFERROR(MATCH($C$5&amp;"|"&amp;RIGHT("000000"&amp;1288,6),LdBKeyM,0),"")</f>
        <v/>
      </c>
      <c r="N1304">
        <f>IFERROR(MATCH($C$5&amp;"|"&amp;RIGHT("000000"&amp;1288,6),LdCKeyM,0),"")</f>
        <v/>
      </c>
    </row>
    <row r="1305">
      <c r="A1305" s="10" t="n">
        <v>1289</v>
      </c>
      <c r="B1305" s="14">
        <f>IF(AND($L1305="",$M1305="",$N1305=""),"",IF($L1305&lt;&gt;"",INDEX(LdADate,$L1305),IF($M1305&lt;&gt;"",INDEX(LdBDate,$M1305),INDEX(LdCDate,$N1305))))</f>
        <v/>
      </c>
      <c r="C1305" s="14">
        <f>IF($L1305&lt;&gt;"","دستمزد (فردی)",IF($M1305&lt;&gt;"","سهم از گروه "&amp;IFERROR(VLOOKUP(INDEX(LdBGroup,$M1305),WGTbl,2,0),INDEX(LdBGroup,$M1305)),IF($N1305&lt;&gt;"",IF(N(INDEX(LdCDep,$N1305))&gt;0,"بازگشت بانکی","پرداخت بانکی"),"")))</f>
        <v/>
      </c>
      <c r="D1305" s="14">
        <f>IF($L1305&lt;&gt;"",IF(INDEX(LdAId,$L1305)="","—",INDEX(LdAId,$L1305)),IF($M1305&lt;&gt;"",IF(INDEX(LdBId,$M1305)="","—",INDEX(LdBId,$M1305)),IF($N1305&lt;&gt;"",IF(INDEX(LdCBank,$N1305)="","—",INDEX(LdCBank,$N1305)),"")))</f>
        <v/>
      </c>
      <c r="E1305" s="16">
        <f>IF($L1305&lt;&gt;"",IF(INDEX(LdAAmt,$L1305)=0,"",INDEX(LdAAmt,$L1305)),IF($M1305&lt;&gt;"",IF(INDEX(LdBAmt,$M1305)=0,"",INDEX(LdBAmt,$M1305)),IF($N1305&lt;&gt;"",IF(INDEX(LdCDep,$N1305)=0,"",INDEX(LdCDep,$N1305)),"")))</f>
        <v/>
      </c>
      <c r="F1305" s="16">
        <f>IF(AND($L1305="",$M1305="",$N1305=""),"",IF($N1305="","",IF(INDEX(LdCWit,$N1305)=0,"",INDEX(LdCWit,$N1305))))</f>
        <v/>
      </c>
      <c r="G1305" s="29">
        <f>IF($B1305="","",IF($G1304="",0,$G1304)+IF($E1305="",0,$E1305)-IF($F1305="",0,$F1305))</f>
        <v/>
      </c>
      <c r="H1305" s="30">
        <f>IF(AND($L1305="",$M1305="",$N1305=""),"",IF($L1305&lt;&gt;"",IF(INDEX(LdANote,$L1305)="","—",INDEX(LdANote,$L1305)),IF($M1305&lt;&gt;"",IF(INDEX(LdBNote,$M1305)="","—",INDEX(LdBNote,$M1305)),IF($N1305&lt;&gt;"",IF(INDEX(LdCNote,$N1305)="","—",INDEX(LdCNote,$N1305)),""))))</f>
        <v/>
      </c>
      <c r="L1305">
        <f>IFERROR(MATCH($C$5&amp;"|"&amp;RIGHT("000000"&amp;1289,6),LdAKeyM,0),"")</f>
        <v/>
      </c>
      <c r="M1305">
        <f>IFERROR(MATCH($C$5&amp;"|"&amp;RIGHT("000000"&amp;1289,6),LdBKeyM,0),"")</f>
        <v/>
      </c>
      <c r="N1305">
        <f>IFERROR(MATCH($C$5&amp;"|"&amp;RIGHT("000000"&amp;1289,6),LdCKeyM,0),"")</f>
        <v/>
      </c>
    </row>
    <row r="1306">
      <c r="A1306" s="19" t="n">
        <v>1290</v>
      </c>
      <c r="B1306" s="20">
        <f>IF(AND($L1306="",$M1306="",$N1306=""),"",IF($L1306&lt;&gt;"",INDEX(LdADate,$L1306),IF($M1306&lt;&gt;"",INDEX(LdBDate,$M1306),INDEX(LdCDate,$N1306))))</f>
        <v/>
      </c>
      <c r="C1306" s="20">
        <f>IF($L1306&lt;&gt;"","دستمزد (فردی)",IF($M1306&lt;&gt;"","سهم از گروه "&amp;IFERROR(VLOOKUP(INDEX(LdBGroup,$M1306),WGTbl,2,0),INDEX(LdBGroup,$M1306)),IF($N1306&lt;&gt;"",IF(N(INDEX(LdCDep,$N1306))&gt;0,"بازگشت بانکی","پرداخت بانکی"),"")))</f>
        <v/>
      </c>
      <c r="D1306" s="20">
        <f>IF($L1306&lt;&gt;"",IF(INDEX(LdAId,$L1306)="","—",INDEX(LdAId,$L1306)),IF($M1306&lt;&gt;"",IF(INDEX(LdBId,$M1306)="","—",INDEX(LdBId,$M1306)),IF($N1306&lt;&gt;"",IF(INDEX(LdCBank,$N1306)="","—",INDEX(LdCBank,$N1306)),"")))</f>
        <v/>
      </c>
      <c r="E1306" s="21">
        <f>IF($L1306&lt;&gt;"",IF(INDEX(LdAAmt,$L1306)=0,"",INDEX(LdAAmt,$L1306)),IF($M1306&lt;&gt;"",IF(INDEX(LdBAmt,$M1306)=0,"",INDEX(LdBAmt,$M1306)),IF($N1306&lt;&gt;"",IF(INDEX(LdCDep,$N1306)=0,"",INDEX(LdCDep,$N1306)),"")))</f>
        <v/>
      </c>
      <c r="F1306" s="21">
        <f>IF(AND($L1306="",$M1306="",$N1306=""),"",IF($N1306="","",IF(INDEX(LdCWit,$N1306)=0,"",INDEX(LdCWit,$N1306))))</f>
        <v/>
      </c>
      <c r="G1306" s="31">
        <f>IF($B1306="","",IF($G1305="",0,$G1305)+IF($E1306="",0,$E1306)-IF($F1306="",0,$F1306))</f>
        <v/>
      </c>
      <c r="H1306" s="32">
        <f>IF(AND($L1306="",$M1306="",$N1306=""),"",IF($L1306&lt;&gt;"",IF(INDEX(LdANote,$L1306)="","—",INDEX(LdANote,$L1306)),IF($M1306&lt;&gt;"",IF(INDEX(LdBNote,$M1306)="","—",INDEX(LdBNote,$M1306)),IF($N1306&lt;&gt;"",IF(INDEX(LdCNote,$N1306)="","—",INDEX(LdCNote,$N1306)),""))))</f>
        <v/>
      </c>
      <c r="L1306">
        <f>IFERROR(MATCH($C$5&amp;"|"&amp;RIGHT("000000"&amp;1290,6),LdAKeyM,0),"")</f>
        <v/>
      </c>
      <c r="M1306">
        <f>IFERROR(MATCH($C$5&amp;"|"&amp;RIGHT("000000"&amp;1290,6),LdBKeyM,0),"")</f>
        <v/>
      </c>
      <c r="N1306">
        <f>IFERROR(MATCH($C$5&amp;"|"&amp;RIGHT("000000"&amp;1290,6),LdCKeyM,0),"")</f>
        <v/>
      </c>
    </row>
    <row r="1307">
      <c r="A1307" s="10" t="n">
        <v>1291</v>
      </c>
      <c r="B1307" s="14">
        <f>IF(AND($L1307="",$M1307="",$N1307=""),"",IF($L1307&lt;&gt;"",INDEX(LdADate,$L1307),IF($M1307&lt;&gt;"",INDEX(LdBDate,$M1307),INDEX(LdCDate,$N1307))))</f>
        <v/>
      </c>
      <c r="C1307" s="14">
        <f>IF($L1307&lt;&gt;"","دستمزد (فردی)",IF($M1307&lt;&gt;"","سهم از گروه "&amp;IFERROR(VLOOKUP(INDEX(LdBGroup,$M1307),WGTbl,2,0),INDEX(LdBGroup,$M1307)),IF($N1307&lt;&gt;"",IF(N(INDEX(LdCDep,$N1307))&gt;0,"بازگشت بانکی","پرداخت بانکی"),"")))</f>
        <v/>
      </c>
      <c r="D1307" s="14">
        <f>IF($L1307&lt;&gt;"",IF(INDEX(LdAId,$L1307)="","—",INDEX(LdAId,$L1307)),IF($M1307&lt;&gt;"",IF(INDEX(LdBId,$M1307)="","—",INDEX(LdBId,$M1307)),IF($N1307&lt;&gt;"",IF(INDEX(LdCBank,$N1307)="","—",INDEX(LdCBank,$N1307)),"")))</f>
        <v/>
      </c>
      <c r="E1307" s="16">
        <f>IF($L1307&lt;&gt;"",IF(INDEX(LdAAmt,$L1307)=0,"",INDEX(LdAAmt,$L1307)),IF($M1307&lt;&gt;"",IF(INDEX(LdBAmt,$M1307)=0,"",INDEX(LdBAmt,$M1307)),IF($N1307&lt;&gt;"",IF(INDEX(LdCDep,$N1307)=0,"",INDEX(LdCDep,$N1307)),"")))</f>
        <v/>
      </c>
      <c r="F1307" s="16">
        <f>IF(AND($L1307="",$M1307="",$N1307=""),"",IF($N1307="","",IF(INDEX(LdCWit,$N1307)=0,"",INDEX(LdCWit,$N1307))))</f>
        <v/>
      </c>
      <c r="G1307" s="29">
        <f>IF($B1307="","",IF($G1306="",0,$G1306)+IF($E1307="",0,$E1307)-IF($F1307="",0,$F1307))</f>
        <v/>
      </c>
      <c r="H1307" s="30">
        <f>IF(AND($L1307="",$M1307="",$N1307=""),"",IF($L1307&lt;&gt;"",IF(INDEX(LdANote,$L1307)="","—",INDEX(LdANote,$L1307)),IF($M1307&lt;&gt;"",IF(INDEX(LdBNote,$M1307)="","—",INDEX(LdBNote,$M1307)),IF($N1307&lt;&gt;"",IF(INDEX(LdCNote,$N1307)="","—",INDEX(LdCNote,$N1307)),""))))</f>
        <v/>
      </c>
      <c r="L1307">
        <f>IFERROR(MATCH($C$5&amp;"|"&amp;RIGHT("000000"&amp;1291,6),LdAKeyM,0),"")</f>
        <v/>
      </c>
      <c r="M1307">
        <f>IFERROR(MATCH($C$5&amp;"|"&amp;RIGHT("000000"&amp;1291,6),LdBKeyM,0),"")</f>
        <v/>
      </c>
      <c r="N1307">
        <f>IFERROR(MATCH($C$5&amp;"|"&amp;RIGHT("000000"&amp;1291,6),LdCKeyM,0),"")</f>
        <v/>
      </c>
    </row>
    <row r="1308">
      <c r="A1308" s="19" t="n">
        <v>1292</v>
      </c>
      <c r="B1308" s="20">
        <f>IF(AND($L1308="",$M1308="",$N1308=""),"",IF($L1308&lt;&gt;"",INDEX(LdADate,$L1308),IF($M1308&lt;&gt;"",INDEX(LdBDate,$M1308),INDEX(LdCDate,$N1308))))</f>
        <v/>
      </c>
      <c r="C1308" s="20">
        <f>IF($L1308&lt;&gt;"","دستمزد (فردی)",IF($M1308&lt;&gt;"","سهم از گروه "&amp;IFERROR(VLOOKUP(INDEX(LdBGroup,$M1308),WGTbl,2,0),INDEX(LdBGroup,$M1308)),IF($N1308&lt;&gt;"",IF(N(INDEX(LdCDep,$N1308))&gt;0,"بازگشت بانکی","پرداخت بانکی"),"")))</f>
        <v/>
      </c>
      <c r="D1308" s="20">
        <f>IF($L1308&lt;&gt;"",IF(INDEX(LdAId,$L1308)="","—",INDEX(LdAId,$L1308)),IF($M1308&lt;&gt;"",IF(INDEX(LdBId,$M1308)="","—",INDEX(LdBId,$M1308)),IF($N1308&lt;&gt;"",IF(INDEX(LdCBank,$N1308)="","—",INDEX(LdCBank,$N1308)),"")))</f>
        <v/>
      </c>
      <c r="E1308" s="21">
        <f>IF($L1308&lt;&gt;"",IF(INDEX(LdAAmt,$L1308)=0,"",INDEX(LdAAmt,$L1308)),IF($M1308&lt;&gt;"",IF(INDEX(LdBAmt,$M1308)=0,"",INDEX(LdBAmt,$M1308)),IF($N1308&lt;&gt;"",IF(INDEX(LdCDep,$N1308)=0,"",INDEX(LdCDep,$N1308)),"")))</f>
        <v/>
      </c>
      <c r="F1308" s="21">
        <f>IF(AND($L1308="",$M1308="",$N1308=""),"",IF($N1308="","",IF(INDEX(LdCWit,$N1308)=0,"",INDEX(LdCWit,$N1308))))</f>
        <v/>
      </c>
      <c r="G1308" s="31">
        <f>IF($B1308="","",IF($G1307="",0,$G1307)+IF($E1308="",0,$E1308)-IF($F1308="",0,$F1308))</f>
        <v/>
      </c>
      <c r="H1308" s="32">
        <f>IF(AND($L1308="",$M1308="",$N1308=""),"",IF($L1308&lt;&gt;"",IF(INDEX(LdANote,$L1308)="","—",INDEX(LdANote,$L1308)),IF($M1308&lt;&gt;"",IF(INDEX(LdBNote,$M1308)="","—",INDEX(LdBNote,$M1308)),IF($N1308&lt;&gt;"",IF(INDEX(LdCNote,$N1308)="","—",INDEX(LdCNote,$N1308)),""))))</f>
        <v/>
      </c>
      <c r="L1308">
        <f>IFERROR(MATCH($C$5&amp;"|"&amp;RIGHT("000000"&amp;1292,6),LdAKeyM,0),"")</f>
        <v/>
      </c>
      <c r="M1308">
        <f>IFERROR(MATCH($C$5&amp;"|"&amp;RIGHT("000000"&amp;1292,6),LdBKeyM,0),"")</f>
        <v/>
      </c>
      <c r="N1308">
        <f>IFERROR(MATCH($C$5&amp;"|"&amp;RIGHT("000000"&amp;1292,6),LdCKeyM,0),"")</f>
        <v/>
      </c>
    </row>
    <row r="1309">
      <c r="A1309" s="10" t="n">
        <v>1293</v>
      </c>
      <c r="B1309" s="14">
        <f>IF(AND($L1309="",$M1309="",$N1309=""),"",IF($L1309&lt;&gt;"",INDEX(LdADate,$L1309),IF($M1309&lt;&gt;"",INDEX(LdBDate,$M1309),INDEX(LdCDate,$N1309))))</f>
        <v/>
      </c>
      <c r="C1309" s="14">
        <f>IF($L1309&lt;&gt;"","دستمزد (فردی)",IF($M1309&lt;&gt;"","سهم از گروه "&amp;IFERROR(VLOOKUP(INDEX(LdBGroup,$M1309),WGTbl,2,0),INDEX(LdBGroup,$M1309)),IF($N1309&lt;&gt;"",IF(N(INDEX(LdCDep,$N1309))&gt;0,"بازگشت بانکی","پرداخت بانکی"),"")))</f>
        <v/>
      </c>
      <c r="D1309" s="14">
        <f>IF($L1309&lt;&gt;"",IF(INDEX(LdAId,$L1309)="","—",INDEX(LdAId,$L1309)),IF($M1309&lt;&gt;"",IF(INDEX(LdBId,$M1309)="","—",INDEX(LdBId,$M1309)),IF($N1309&lt;&gt;"",IF(INDEX(LdCBank,$N1309)="","—",INDEX(LdCBank,$N1309)),"")))</f>
        <v/>
      </c>
      <c r="E1309" s="16">
        <f>IF($L1309&lt;&gt;"",IF(INDEX(LdAAmt,$L1309)=0,"",INDEX(LdAAmt,$L1309)),IF($M1309&lt;&gt;"",IF(INDEX(LdBAmt,$M1309)=0,"",INDEX(LdBAmt,$M1309)),IF($N1309&lt;&gt;"",IF(INDEX(LdCDep,$N1309)=0,"",INDEX(LdCDep,$N1309)),"")))</f>
        <v/>
      </c>
      <c r="F1309" s="16">
        <f>IF(AND($L1309="",$M1309="",$N1309=""),"",IF($N1309="","",IF(INDEX(LdCWit,$N1309)=0,"",INDEX(LdCWit,$N1309))))</f>
        <v/>
      </c>
      <c r="G1309" s="29">
        <f>IF($B1309="","",IF($G1308="",0,$G1308)+IF($E1309="",0,$E1309)-IF($F1309="",0,$F1309))</f>
        <v/>
      </c>
      <c r="H1309" s="30">
        <f>IF(AND($L1309="",$M1309="",$N1309=""),"",IF($L1309&lt;&gt;"",IF(INDEX(LdANote,$L1309)="","—",INDEX(LdANote,$L1309)),IF($M1309&lt;&gt;"",IF(INDEX(LdBNote,$M1309)="","—",INDEX(LdBNote,$M1309)),IF($N1309&lt;&gt;"",IF(INDEX(LdCNote,$N1309)="","—",INDEX(LdCNote,$N1309)),""))))</f>
        <v/>
      </c>
      <c r="L1309">
        <f>IFERROR(MATCH($C$5&amp;"|"&amp;RIGHT("000000"&amp;1293,6),LdAKeyM,0),"")</f>
        <v/>
      </c>
      <c r="M1309">
        <f>IFERROR(MATCH($C$5&amp;"|"&amp;RIGHT("000000"&amp;1293,6),LdBKeyM,0),"")</f>
        <v/>
      </c>
      <c r="N1309">
        <f>IFERROR(MATCH($C$5&amp;"|"&amp;RIGHT("000000"&amp;1293,6),LdCKeyM,0),"")</f>
        <v/>
      </c>
    </row>
    <row r="1310">
      <c r="A1310" s="19" t="n">
        <v>1294</v>
      </c>
      <c r="B1310" s="20">
        <f>IF(AND($L1310="",$M1310="",$N1310=""),"",IF($L1310&lt;&gt;"",INDEX(LdADate,$L1310),IF($M1310&lt;&gt;"",INDEX(LdBDate,$M1310),INDEX(LdCDate,$N1310))))</f>
        <v/>
      </c>
      <c r="C1310" s="20">
        <f>IF($L1310&lt;&gt;"","دستمزد (فردی)",IF($M1310&lt;&gt;"","سهم از گروه "&amp;IFERROR(VLOOKUP(INDEX(LdBGroup,$M1310),WGTbl,2,0),INDEX(LdBGroup,$M1310)),IF($N1310&lt;&gt;"",IF(N(INDEX(LdCDep,$N1310))&gt;0,"بازگشت بانکی","پرداخت بانکی"),"")))</f>
        <v/>
      </c>
      <c r="D1310" s="20">
        <f>IF($L1310&lt;&gt;"",IF(INDEX(LdAId,$L1310)="","—",INDEX(LdAId,$L1310)),IF($M1310&lt;&gt;"",IF(INDEX(LdBId,$M1310)="","—",INDEX(LdBId,$M1310)),IF($N1310&lt;&gt;"",IF(INDEX(LdCBank,$N1310)="","—",INDEX(LdCBank,$N1310)),"")))</f>
        <v/>
      </c>
      <c r="E1310" s="21">
        <f>IF($L1310&lt;&gt;"",IF(INDEX(LdAAmt,$L1310)=0,"",INDEX(LdAAmt,$L1310)),IF($M1310&lt;&gt;"",IF(INDEX(LdBAmt,$M1310)=0,"",INDEX(LdBAmt,$M1310)),IF($N1310&lt;&gt;"",IF(INDEX(LdCDep,$N1310)=0,"",INDEX(LdCDep,$N1310)),"")))</f>
        <v/>
      </c>
      <c r="F1310" s="21">
        <f>IF(AND($L1310="",$M1310="",$N1310=""),"",IF($N1310="","",IF(INDEX(LdCWit,$N1310)=0,"",INDEX(LdCWit,$N1310))))</f>
        <v/>
      </c>
      <c r="G1310" s="31">
        <f>IF($B1310="","",IF($G1309="",0,$G1309)+IF($E1310="",0,$E1310)-IF($F1310="",0,$F1310))</f>
        <v/>
      </c>
      <c r="H1310" s="32">
        <f>IF(AND($L1310="",$M1310="",$N1310=""),"",IF($L1310&lt;&gt;"",IF(INDEX(LdANote,$L1310)="","—",INDEX(LdANote,$L1310)),IF($M1310&lt;&gt;"",IF(INDEX(LdBNote,$M1310)="","—",INDEX(LdBNote,$M1310)),IF($N1310&lt;&gt;"",IF(INDEX(LdCNote,$N1310)="","—",INDEX(LdCNote,$N1310)),""))))</f>
        <v/>
      </c>
      <c r="L1310">
        <f>IFERROR(MATCH($C$5&amp;"|"&amp;RIGHT("000000"&amp;1294,6),LdAKeyM,0),"")</f>
        <v/>
      </c>
      <c r="M1310">
        <f>IFERROR(MATCH($C$5&amp;"|"&amp;RIGHT("000000"&amp;1294,6),LdBKeyM,0),"")</f>
        <v/>
      </c>
      <c r="N1310">
        <f>IFERROR(MATCH($C$5&amp;"|"&amp;RIGHT("000000"&amp;1294,6),LdCKeyM,0),"")</f>
        <v/>
      </c>
    </row>
    <row r="1311">
      <c r="A1311" s="10" t="n">
        <v>1295</v>
      </c>
      <c r="B1311" s="14">
        <f>IF(AND($L1311="",$M1311="",$N1311=""),"",IF($L1311&lt;&gt;"",INDEX(LdADate,$L1311),IF($M1311&lt;&gt;"",INDEX(LdBDate,$M1311),INDEX(LdCDate,$N1311))))</f>
        <v/>
      </c>
      <c r="C1311" s="14">
        <f>IF($L1311&lt;&gt;"","دستمزد (فردی)",IF($M1311&lt;&gt;"","سهم از گروه "&amp;IFERROR(VLOOKUP(INDEX(LdBGroup,$M1311),WGTbl,2,0),INDEX(LdBGroup,$M1311)),IF($N1311&lt;&gt;"",IF(N(INDEX(LdCDep,$N1311))&gt;0,"بازگشت بانکی","پرداخت بانکی"),"")))</f>
        <v/>
      </c>
      <c r="D1311" s="14">
        <f>IF($L1311&lt;&gt;"",IF(INDEX(LdAId,$L1311)="","—",INDEX(LdAId,$L1311)),IF($M1311&lt;&gt;"",IF(INDEX(LdBId,$M1311)="","—",INDEX(LdBId,$M1311)),IF($N1311&lt;&gt;"",IF(INDEX(LdCBank,$N1311)="","—",INDEX(LdCBank,$N1311)),"")))</f>
        <v/>
      </c>
      <c r="E1311" s="16">
        <f>IF($L1311&lt;&gt;"",IF(INDEX(LdAAmt,$L1311)=0,"",INDEX(LdAAmt,$L1311)),IF($M1311&lt;&gt;"",IF(INDEX(LdBAmt,$M1311)=0,"",INDEX(LdBAmt,$M1311)),IF($N1311&lt;&gt;"",IF(INDEX(LdCDep,$N1311)=0,"",INDEX(LdCDep,$N1311)),"")))</f>
        <v/>
      </c>
      <c r="F1311" s="16">
        <f>IF(AND($L1311="",$M1311="",$N1311=""),"",IF($N1311="","",IF(INDEX(LdCWit,$N1311)=0,"",INDEX(LdCWit,$N1311))))</f>
        <v/>
      </c>
      <c r="G1311" s="29">
        <f>IF($B1311="","",IF($G1310="",0,$G1310)+IF($E1311="",0,$E1311)-IF($F1311="",0,$F1311))</f>
        <v/>
      </c>
      <c r="H1311" s="30">
        <f>IF(AND($L1311="",$M1311="",$N1311=""),"",IF($L1311&lt;&gt;"",IF(INDEX(LdANote,$L1311)="","—",INDEX(LdANote,$L1311)),IF($M1311&lt;&gt;"",IF(INDEX(LdBNote,$M1311)="","—",INDEX(LdBNote,$M1311)),IF($N1311&lt;&gt;"",IF(INDEX(LdCNote,$N1311)="","—",INDEX(LdCNote,$N1311)),""))))</f>
        <v/>
      </c>
      <c r="L1311">
        <f>IFERROR(MATCH($C$5&amp;"|"&amp;RIGHT("000000"&amp;1295,6),LdAKeyM,0),"")</f>
        <v/>
      </c>
      <c r="M1311">
        <f>IFERROR(MATCH($C$5&amp;"|"&amp;RIGHT("000000"&amp;1295,6),LdBKeyM,0),"")</f>
        <v/>
      </c>
      <c r="N1311">
        <f>IFERROR(MATCH($C$5&amp;"|"&amp;RIGHT("000000"&amp;1295,6),LdCKeyM,0),"")</f>
        <v/>
      </c>
    </row>
    <row r="1312">
      <c r="A1312" s="19" t="n">
        <v>1296</v>
      </c>
      <c r="B1312" s="20">
        <f>IF(AND($L1312="",$M1312="",$N1312=""),"",IF($L1312&lt;&gt;"",INDEX(LdADate,$L1312),IF($M1312&lt;&gt;"",INDEX(LdBDate,$M1312),INDEX(LdCDate,$N1312))))</f>
        <v/>
      </c>
      <c r="C1312" s="20">
        <f>IF($L1312&lt;&gt;"","دستمزد (فردی)",IF($M1312&lt;&gt;"","سهم از گروه "&amp;IFERROR(VLOOKUP(INDEX(LdBGroup,$M1312),WGTbl,2,0),INDEX(LdBGroup,$M1312)),IF($N1312&lt;&gt;"",IF(N(INDEX(LdCDep,$N1312))&gt;0,"بازگشت بانکی","پرداخت بانکی"),"")))</f>
        <v/>
      </c>
      <c r="D1312" s="20">
        <f>IF($L1312&lt;&gt;"",IF(INDEX(LdAId,$L1312)="","—",INDEX(LdAId,$L1312)),IF($M1312&lt;&gt;"",IF(INDEX(LdBId,$M1312)="","—",INDEX(LdBId,$M1312)),IF($N1312&lt;&gt;"",IF(INDEX(LdCBank,$N1312)="","—",INDEX(LdCBank,$N1312)),"")))</f>
        <v/>
      </c>
      <c r="E1312" s="21">
        <f>IF($L1312&lt;&gt;"",IF(INDEX(LdAAmt,$L1312)=0,"",INDEX(LdAAmt,$L1312)),IF($M1312&lt;&gt;"",IF(INDEX(LdBAmt,$M1312)=0,"",INDEX(LdBAmt,$M1312)),IF($N1312&lt;&gt;"",IF(INDEX(LdCDep,$N1312)=0,"",INDEX(LdCDep,$N1312)),"")))</f>
        <v/>
      </c>
      <c r="F1312" s="21">
        <f>IF(AND($L1312="",$M1312="",$N1312=""),"",IF($N1312="","",IF(INDEX(LdCWit,$N1312)=0,"",INDEX(LdCWit,$N1312))))</f>
        <v/>
      </c>
      <c r="G1312" s="31">
        <f>IF($B1312="","",IF($G1311="",0,$G1311)+IF($E1312="",0,$E1312)-IF($F1312="",0,$F1312))</f>
        <v/>
      </c>
      <c r="H1312" s="32">
        <f>IF(AND($L1312="",$M1312="",$N1312=""),"",IF($L1312&lt;&gt;"",IF(INDEX(LdANote,$L1312)="","—",INDEX(LdANote,$L1312)),IF($M1312&lt;&gt;"",IF(INDEX(LdBNote,$M1312)="","—",INDEX(LdBNote,$M1312)),IF($N1312&lt;&gt;"",IF(INDEX(LdCNote,$N1312)="","—",INDEX(LdCNote,$N1312)),""))))</f>
        <v/>
      </c>
      <c r="L1312">
        <f>IFERROR(MATCH($C$5&amp;"|"&amp;RIGHT("000000"&amp;1296,6),LdAKeyM,0),"")</f>
        <v/>
      </c>
      <c r="M1312">
        <f>IFERROR(MATCH($C$5&amp;"|"&amp;RIGHT("000000"&amp;1296,6),LdBKeyM,0),"")</f>
        <v/>
      </c>
      <c r="N1312">
        <f>IFERROR(MATCH($C$5&amp;"|"&amp;RIGHT("000000"&amp;1296,6),LdCKeyM,0),"")</f>
        <v/>
      </c>
    </row>
    <row r="1313">
      <c r="A1313" s="10" t="n">
        <v>1297</v>
      </c>
      <c r="B1313" s="14">
        <f>IF(AND($L1313="",$M1313="",$N1313=""),"",IF($L1313&lt;&gt;"",INDEX(LdADate,$L1313),IF($M1313&lt;&gt;"",INDEX(LdBDate,$M1313),INDEX(LdCDate,$N1313))))</f>
        <v/>
      </c>
      <c r="C1313" s="14">
        <f>IF($L1313&lt;&gt;"","دستمزد (فردی)",IF($M1313&lt;&gt;"","سهم از گروه "&amp;IFERROR(VLOOKUP(INDEX(LdBGroup,$M1313),WGTbl,2,0),INDEX(LdBGroup,$M1313)),IF($N1313&lt;&gt;"",IF(N(INDEX(LdCDep,$N1313))&gt;0,"بازگشت بانکی","پرداخت بانکی"),"")))</f>
        <v/>
      </c>
      <c r="D1313" s="14">
        <f>IF($L1313&lt;&gt;"",IF(INDEX(LdAId,$L1313)="","—",INDEX(LdAId,$L1313)),IF($M1313&lt;&gt;"",IF(INDEX(LdBId,$M1313)="","—",INDEX(LdBId,$M1313)),IF($N1313&lt;&gt;"",IF(INDEX(LdCBank,$N1313)="","—",INDEX(LdCBank,$N1313)),"")))</f>
        <v/>
      </c>
      <c r="E1313" s="16">
        <f>IF($L1313&lt;&gt;"",IF(INDEX(LdAAmt,$L1313)=0,"",INDEX(LdAAmt,$L1313)),IF($M1313&lt;&gt;"",IF(INDEX(LdBAmt,$M1313)=0,"",INDEX(LdBAmt,$M1313)),IF($N1313&lt;&gt;"",IF(INDEX(LdCDep,$N1313)=0,"",INDEX(LdCDep,$N1313)),"")))</f>
        <v/>
      </c>
      <c r="F1313" s="16">
        <f>IF(AND($L1313="",$M1313="",$N1313=""),"",IF($N1313="","",IF(INDEX(LdCWit,$N1313)=0,"",INDEX(LdCWit,$N1313))))</f>
        <v/>
      </c>
      <c r="G1313" s="29">
        <f>IF($B1313="","",IF($G1312="",0,$G1312)+IF($E1313="",0,$E1313)-IF($F1313="",0,$F1313))</f>
        <v/>
      </c>
      <c r="H1313" s="30">
        <f>IF(AND($L1313="",$M1313="",$N1313=""),"",IF($L1313&lt;&gt;"",IF(INDEX(LdANote,$L1313)="","—",INDEX(LdANote,$L1313)),IF($M1313&lt;&gt;"",IF(INDEX(LdBNote,$M1313)="","—",INDEX(LdBNote,$M1313)),IF($N1313&lt;&gt;"",IF(INDEX(LdCNote,$N1313)="","—",INDEX(LdCNote,$N1313)),""))))</f>
        <v/>
      </c>
      <c r="L1313">
        <f>IFERROR(MATCH($C$5&amp;"|"&amp;RIGHT("000000"&amp;1297,6),LdAKeyM,0),"")</f>
        <v/>
      </c>
      <c r="M1313">
        <f>IFERROR(MATCH($C$5&amp;"|"&amp;RIGHT("000000"&amp;1297,6),LdBKeyM,0),"")</f>
        <v/>
      </c>
      <c r="N1313">
        <f>IFERROR(MATCH($C$5&amp;"|"&amp;RIGHT("000000"&amp;1297,6),LdCKeyM,0),"")</f>
        <v/>
      </c>
    </row>
    <row r="1314">
      <c r="A1314" s="19" t="n">
        <v>1298</v>
      </c>
      <c r="B1314" s="20">
        <f>IF(AND($L1314="",$M1314="",$N1314=""),"",IF($L1314&lt;&gt;"",INDEX(LdADate,$L1314),IF($M1314&lt;&gt;"",INDEX(LdBDate,$M1314),INDEX(LdCDate,$N1314))))</f>
        <v/>
      </c>
      <c r="C1314" s="20">
        <f>IF($L1314&lt;&gt;"","دستمزد (فردی)",IF($M1314&lt;&gt;"","سهم از گروه "&amp;IFERROR(VLOOKUP(INDEX(LdBGroup,$M1314),WGTbl,2,0),INDEX(LdBGroup,$M1314)),IF($N1314&lt;&gt;"",IF(N(INDEX(LdCDep,$N1314))&gt;0,"بازگشت بانکی","پرداخت بانکی"),"")))</f>
        <v/>
      </c>
      <c r="D1314" s="20">
        <f>IF($L1314&lt;&gt;"",IF(INDEX(LdAId,$L1314)="","—",INDEX(LdAId,$L1314)),IF($M1314&lt;&gt;"",IF(INDEX(LdBId,$M1314)="","—",INDEX(LdBId,$M1314)),IF($N1314&lt;&gt;"",IF(INDEX(LdCBank,$N1314)="","—",INDEX(LdCBank,$N1314)),"")))</f>
        <v/>
      </c>
      <c r="E1314" s="21">
        <f>IF($L1314&lt;&gt;"",IF(INDEX(LdAAmt,$L1314)=0,"",INDEX(LdAAmt,$L1314)),IF($M1314&lt;&gt;"",IF(INDEX(LdBAmt,$M1314)=0,"",INDEX(LdBAmt,$M1314)),IF($N1314&lt;&gt;"",IF(INDEX(LdCDep,$N1314)=0,"",INDEX(LdCDep,$N1314)),"")))</f>
        <v/>
      </c>
      <c r="F1314" s="21">
        <f>IF(AND($L1314="",$M1314="",$N1314=""),"",IF($N1314="","",IF(INDEX(LdCWit,$N1314)=0,"",INDEX(LdCWit,$N1314))))</f>
        <v/>
      </c>
      <c r="G1314" s="31">
        <f>IF($B1314="","",IF($G1313="",0,$G1313)+IF($E1314="",0,$E1314)-IF($F1314="",0,$F1314))</f>
        <v/>
      </c>
      <c r="H1314" s="32">
        <f>IF(AND($L1314="",$M1314="",$N1314=""),"",IF($L1314&lt;&gt;"",IF(INDEX(LdANote,$L1314)="","—",INDEX(LdANote,$L1314)),IF($M1314&lt;&gt;"",IF(INDEX(LdBNote,$M1314)="","—",INDEX(LdBNote,$M1314)),IF($N1314&lt;&gt;"",IF(INDEX(LdCNote,$N1314)="","—",INDEX(LdCNote,$N1314)),""))))</f>
        <v/>
      </c>
      <c r="L1314">
        <f>IFERROR(MATCH($C$5&amp;"|"&amp;RIGHT("000000"&amp;1298,6),LdAKeyM,0),"")</f>
        <v/>
      </c>
      <c r="M1314">
        <f>IFERROR(MATCH($C$5&amp;"|"&amp;RIGHT("000000"&amp;1298,6),LdBKeyM,0),"")</f>
        <v/>
      </c>
      <c r="N1314">
        <f>IFERROR(MATCH($C$5&amp;"|"&amp;RIGHT("000000"&amp;1298,6),LdCKeyM,0),"")</f>
        <v/>
      </c>
    </row>
    <row r="1315">
      <c r="A1315" s="10" t="n">
        <v>1299</v>
      </c>
      <c r="B1315" s="14">
        <f>IF(AND($L1315="",$M1315="",$N1315=""),"",IF($L1315&lt;&gt;"",INDEX(LdADate,$L1315),IF($M1315&lt;&gt;"",INDEX(LdBDate,$M1315),INDEX(LdCDate,$N1315))))</f>
        <v/>
      </c>
      <c r="C1315" s="14">
        <f>IF($L1315&lt;&gt;"","دستمزد (فردی)",IF($M1315&lt;&gt;"","سهم از گروه "&amp;IFERROR(VLOOKUP(INDEX(LdBGroup,$M1315),WGTbl,2,0),INDEX(LdBGroup,$M1315)),IF($N1315&lt;&gt;"",IF(N(INDEX(LdCDep,$N1315))&gt;0,"بازگشت بانکی","پرداخت بانکی"),"")))</f>
        <v/>
      </c>
      <c r="D1315" s="14">
        <f>IF($L1315&lt;&gt;"",IF(INDEX(LdAId,$L1315)="","—",INDEX(LdAId,$L1315)),IF($M1315&lt;&gt;"",IF(INDEX(LdBId,$M1315)="","—",INDEX(LdBId,$M1315)),IF($N1315&lt;&gt;"",IF(INDEX(LdCBank,$N1315)="","—",INDEX(LdCBank,$N1315)),"")))</f>
        <v/>
      </c>
      <c r="E1315" s="16">
        <f>IF($L1315&lt;&gt;"",IF(INDEX(LdAAmt,$L1315)=0,"",INDEX(LdAAmt,$L1315)),IF($M1315&lt;&gt;"",IF(INDEX(LdBAmt,$M1315)=0,"",INDEX(LdBAmt,$M1315)),IF($N1315&lt;&gt;"",IF(INDEX(LdCDep,$N1315)=0,"",INDEX(LdCDep,$N1315)),"")))</f>
        <v/>
      </c>
      <c r="F1315" s="16">
        <f>IF(AND($L1315="",$M1315="",$N1315=""),"",IF($N1315="","",IF(INDEX(LdCWit,$N1315)=0,"",INDEX(LdCWit,$N1315))))</f>
        <v/>
      </c>
      <c r="G1315" s="29">
        <f>IF($B1315="","",IF($G1314="",0,$G1314)+IF($E1315="",0,$E1315)-IF($F1315="",0,$F1315))</f>
        <v/>
      </c>
      <c r="H1315" s="30">
        <f>IF(AND($L1315="",$M1315="",$N1315=""),"",IF($L1315&lt;&gt;"",IF(INDEX(LdANote,$L1315)="","—",INDEX(LdANote,$L1315)),IF($M1315&lt;&gt;"",IF(INDEX(LdBNote,$M1315)="","—",INDEX(LdBNote,$M1315)),IF($N1315&lt;&gt;"",IF(INDEX(LdCNote,$N1315)="","—",INDEX(LdCNote,$N1315)),""))))</f>
        <v/>
      </c>
      <c r="L1315">
        <f>IFERROR(MATCH($C$5&amp;"|"&amp;RIGHT("000000"&amp;1299,6),LdAKeyM,0),"")</f>
        <v/>
      </c>
      <c r="M1315">
        <f>IFERROR(MATCH($C$5&amp;"|"&amp;RIGHT("000000"&amp;1299,6),LdBKeyM,0),"")</f>
        <v/>
      </c>
      <c r="N1315">
        <f>IFERROR(MATCH($C$5&amp;"|"&amp;RIGHT("000000"&amp;1299,6),LdCKeyM,0),"")</f>
        <v/>
      </c>
    </row>
    <row r="1316">
      <c r="A1316" s="19" t="n">
        <v>1300</v>
      </c>
      <c r="B1316" s="20">
        <f>IF(AND($L1316="",$M1316="",$N1316=""),"",IF($L1316&lt;&gt;"",INDEX(LdADate,$L1316),IF($M1316&lt;&gt;"",INDEX(LdBDate,$M1316),INDEX(LdCDate,$N1316))))</f>
        <v/>
      </c>
      <c r="C1316" s="20">
        <f>IF($L1316&lt;&gt;"","دستمزد (فردی)",IF($M1316&lt;&gt;"","سهم از گروه "&amp;IFERROR(VLOOKUP(INDEX(LdBGroup,$M1316),WGTbl,2,0),INDEX(LdBGroup,$M1316)),IF($N1316&lt;&gt;"",IF(N(INDEX(LdCDep,$N1316))&gt;0,"بازگشت بانکی","پرداخت بانکی"),"")))</f>
        <v/>
      </c>
      <c r="D1316" s="20">
        <f>IF($L1316&lt;&gt;"",IF(INDEX(LdAId,$L1316)="","—",INDEX(LdAId,$L1316)),IF($M1316&lt;&gt;"",IF(INDEX(LdBId,$M1316)="","—",INDEX(LdBId,$M1316)),IF($N1316&lt;&gt;"",IF(INDEX(LdCBank,$N1316)="","—",INDEX(LdCBank,$N1316)),"")))</f>
        <v/>
      </c>
      <c r="E1316" s="21">
        <f>IF($L1316&lt;&gt;"",IF(INDEX(LdAAmt,$L1316)=0,"",INDEX(LdAAmt,$L1316)),IF($M1316&lt;&gt;"",IF(INDEX(LdBAmt,$M1316)=0,"",INDEX(LdBAmt,$M1316)),IF($N1316&lt;&gt;"",IF(INDEX(LdCDep,$N1316)=0,"",INDEX(LdCDep,$N1316)),"")))</f>
        <v/>
      </c>
      <c r="F1316" s="21">
        <f>IF(AND($L1316="",$M1316="",$N1316=""),"",IF($N1316="","",IF(INDEX(LdCWit,$N1316)=0,"",INDEX(LdCWit,$N1316))))</f>
        <v/>
      </c>
      <c r="G1316" s="31">
        <f>IF($B1316="","",IF($G1315="",0,$G1315)+IF($E1316="",0,$E1316)-IF($F1316="",0,$F1316))</f>
        <v/>
      </c>
      <c r="H1316" s="32">
        <f>IF(AND($L1316="",$M1316="",$N1316=""),"",IF($L1316&lt;&gt;"",IF(INDEX(LdANote,$L1316)="","—",INDEX(LdANote,$L1316)),IF($M1316&lt;&gt;"",IF(INDEX(LdBNote,$M1316)="","—",INDEX(LdBNote,$M1316)),IF($N1316&lt;&gt;"",IF(INDEX(LdCNote,$N1316)="","—",INDEX(LdCNote,$N1316)),""))))</f>
        <v/>
      </c>
      <c r="L1316">
        <f>IFERROR(MATCH($C$5&amp;"|"&amp;RIGHT("000000"&amp;1300,6),LdAKeyM,0),"")</f>
        <v/>
      </c>
      <c r="M1316">
        <f>IFERROR(MATCH($C$5&amp;"|"&amp;RIGHT("000000"&amp;1300,6),LdBKeyM,0),"")</f>
        <v/>
      </c>
      <c r="N1316">
        <f>IFERROR(MATCH($C$5&amp;"|"&amp;RIGHT("000000"&amp;1300,6),LdCKeyM,0),"")</f>
        <v/>
      </c>
    </row>
    <row r="1317">
      <c r="A1317" s="10" t="n">
        <v>1301</v>
      </c>
      <c r="B1317" s="14">
        <f>IF(AND($L1317="",$M1317="",$N1317=""),"",IF($L1317&lt;&gt;"",INDEX(LdADate,$L1317),IF($M1317&lt;&gt;"",INDEX(LdBDate,$M1317),INDEX(LdCDate,$N1317))))</f>
        <v/>
      </c>
      <c r="C1317" s="14">
        <f>IF($L1317&lt;&gt;"","دستمزد (فردی)",IF($M1317&lt;&gt;"","سهم از گروه "&amp;IFERROR(VLOOKUP(INDEX(LdBGroup,$M1317),WGTbl,2,0),INDEX(LdBGroup,$M1317)),IF($N1317&lt;&gt;"",IF(N(INDEX(LdCDep,$N1317))&gt;0,"بازگشت بانکی","پرداخت بانکی"),"")))</f>
        <v/>
      </c>
      <c r="D1317" s="14">
        <f>IF($L1317&lt;&gt;"",IF(INDEX(LdAId,$L1317)="","—",INDEX(LdAId,$L1317)),IF($M1317&lt;&gt;"",IF(INDEX(LdBId,$M1317)="","—",INDEX(LdBId,$M1317)),IF($N1317&lt;&gt;"",IF(INDEX(LdCBank,$N1317)="","—",INDEX(LdCBank,$N1317)),"")))</f>
        <v/>
      </c>
      <c r="E1317" s="16">
        <f>IF($L1317&lt;&gt;"",IF(INDEX(LdAAmt,$L1317)=0,"",INDEX(LdAAmt,$L1317)),IF($M1317&lt;&gt;"",IF(INDEX(LdBAmt,$M1317)=0,"",INDEX(LdBAmt,$M1317)),IF($N1317&lt;&gt;"",IF(INDEX(LdCDep,$N1317)=0,"",INDEX(LdCDep,$N1317)),"")))</f>
        <v/>
      </c>
      <c r="F1317" s="16">
        <f>IF(AND($L1317="",$M1317="",$N1317=""),"",IF($N1317="","",IF(INDEX(LdCWit,$N1317)=0,"",INDEX(LdCWit,$N1317))))</f>
        <v/>
      </c>
      <c r="G1317" s="29">
        <f>IF($B1317="","",IF($G1316="",0,$G1316)+IF($E1317="",0,$E1317)-IF($F1317="",0,$F1317))</f>
        <v/>
      </c>
      <c r="H1317" s="30">
        <f>IF(AND($L1317="",$M1317="",$N1317=""),"",IF($L1317&lt;&gt;"",IF(INDEX(LdANote,$L1317)="","—",INDEX(LdANote,$L1317)),IF($M1317&lt;&gt;"",IF(INDEX(LdBNote,$M1317)="","—",INDEX(LdBNote,$M1317)),IF($N1317&lt;&gt;"",IF(INDEX(LdCNote,$N1317)="","—",INDEX(LdCNote,$N1317)),""))))</f>
        <v/>
      </c>
      <c r="L1317">
        <f>IFERROR(MATCH($C$5&amp;"|"&amp;RIGHT("000000"&amp;1301,6),LdAKeyM,0),"")</f>
        <v/>
      </c>
      <c r="M1317">
        <f>IFERROR(MATCH($C$5&amp;"|"&amp;RIGHT("000000"&amp;1301,6),LdBKeyM,0),"")</f>
        <v/>
      </c>
      <c r="N1317">
        <f>IFERROR(MATCH($C$5&amp;"|"&amp;RIGHT("000000"&amp;1301,6),LdCKeyM,0),"")</f>
        <v/>
      </c>
    </row>
    <row r="1318">
      <c r="A1318" s="19" t="n">
        <v>1302</v>
      </c>
      <c r="B1318" s="20">
        <f>IF(AND($L1318="",$M1318="",$N1318=""),"",IF($L1318&lt;&gt;"",INDEX(LdADate,$L1318),IF($M1318&lt;&gt;"",INDEX(LdBDate,$M1318),INDEX(LdCDate,$N1318))))</f>
        <v/>
      </c>
      <c r="C1318" s="20">
        <f>IF($L1318&lt;&gt;"","دستمزد (فردی)",IF($M1318&lt;&gt;"","سهم از گروه "&amp;IFERROR(VLOOKUP(INDEX(LdBGroup,$M1318),WGTbl,2,0),INDEX(LdBGroup,$M1318)),IF($N1318&lt;&gt;"",IF(N(INDEX(LdCDep,$N1318))&gt;0,"بازگشت بانکی","پرداخت بانکی"),"")))</f>
        <v/>
      </c>
      <c r="D1318" s="20">
        <f>IF($L1318&lt;&gt;"",IF(INDEX(LdAId,$L1318)="","—",INDEX(LdAId,$L1318)),IF($M1318&lt;&gt;"",IF(INDEX(LdBId,$M1318)="","—",INDEX(LdBId,$M1318)),IF($N1318&lt;&gt;"",IF(INDEX(LdCBank,$N1318)="","—",INDEX(LdCBank,$N1318)),"")))</f>
        <v/>
      </c>
      <c r="E1318" s="21">
        <f>IF($L1318&lt;&gt;"",IF(INDEX(LdAAmt,$L1318)=0,"",INDEX(LdAAmt,$L1318)),IF($M1318&lt;&gt;"",IF(INDEX(LdBAmt,$M1318)=0,"",INDEX(LdBAmt,$M1318)),IF($N1318&lt;&gt;"",IF(INDEX(LdCDep,$N1318)=0,"",INDEX(LdCDep,$N1318)),"")))</f>
        <v/>
      </c>
      <c r="F1318" s="21">
        <f>IF(AND($L1318="",$M1318="",$N1318=""),"",IF($N1318="","",IF(INDEX(LdCWit,$N1318)=0,"",INDEX(LdCWit,$N1318))))</f>
        <v/>
      </c>
      <c r="G1318" s="31">
        <f>IF($B1318="","",IF($G1317="",0,$G1317)+IF($E1318="",0,$E1318)-IF($F1318="",0,$F1318))</f>
        <v/>
      </c>
      <c r="H1318" s="32">
        <f>IF(AND($L1318="",$M1318="",$N1318=""),"",IF($L1318&lt;&gt;"",IF(INDEX(LdANote,$L1318)="","—",INDEX(LdANote,$L1318)),IF($M1318&lt;&gt;"",IF(INDEX(LdBNote,$M1318)="","—",INDEX(LdBNote,$M1318)),IF($N1318&lt;&gt;"",IF(INDEX(LdCNote,$N1318)="","—",INDEX(LdCNote,$N1318)),""))))</f>
        <v/>
      </c>
      <c r="L1318">
        <f>IFERROR(MATCH($C$5&amp;"|"&amp;RIGHT("000000"&amp;1302,6),LdAKeyM,0),"")</f>
        <v/>
      </c>
      <c r="M1318">
        <f>IFERROR(MATCH($C$5&amp;"|"&amp;RIGHT("000000"&amp;1302,6),LdBKeyM,0),"")</f>
        <v/>
      </c>
      <c r="N1318">
        <f>IFERROR(MATCH($C$5&amp;"|"&amp;RIGHT("000000"&amp;1302,6),LdCKeyM,0),"")</f>
        <v/>
      </c>
    </row>
    <row r="1319">
      <c r="A1319" s="10" t="n">
        <v>1303</v>
      </c>
      <c r="B1319" s="14">
        <f>IF(AND($L1319="",$M1319="",$N1319=""),"",IF($L1319&lt;&gt;"",INDEX(LdADate,$L1319),IF($M1319&lt;&gt;"",INDEX(LdBDate,$M1319),INDEX(LdCDate,$N1319))))</f>
        <v/>
      </c>
      <c r="C1319" s="14">
        <f>IF($L1319&lt;&gt;"","دستمزد (فردی)",IF($M1319&lt;&gt;"","سهم از گروه "&amp;IFERROR(VLOOKUP(INDEX(LdBGroup,$M1319),WGTbl,2,0),INDEX(LdBGroup,$M1319)),IF($N1319&lt;&gt;"",IF(N(INDEX(LdCDep,$N1319))&gt;0,"بازگشت بانکی","پرداخت بانکی"),"")))</f>
        <v/>
      </c>
      <c r="D1319" s="14">
        <f>IF($L1319&lt;&gt;"",IF(INDEX(LdAId,$L1319)="","—",INDEX(LdAId,$L1319)),IF($M1319&lt;&gt;"",IF(INDEX(LdBId,$M1319)="","—",INDEX(LdBId,$M1319)),IF($N1319&lt;&gt;"",IF(INDEX(LdCBank,$N1319)="","—",INDEX(LdCBank,$N1319)),"")))</f>
        <v/>
      </c>
      <c r="E1319" s="16">
        <f>IF($L1319&lt;&gt;"",IF(INDEX(LdAAmt,$L1319)=0,"",INDEX(LdAAmt,$L1319)),IF($M1319&lt;&gt;"",IF(INDEX(LdBAmt,$M1319)=0,"",INDEX(LdBAmt,$M1319)),IF($N1319&lt;&gt;"",IF(INDEX(LdCDep,$N1319)=0,"",INDEX(LdCDep,$N1319)),"")))</f>
        <v/>
      </c>
      <c r="F1319" s="16">
        <f>IF(AND($L1319="",$M1319="",$N1319=""),"",IF($N1319="","",IF(INDEX(LdCWit,$N1319)=0,"",INDEX(LdCWit,$N1319))))</f>
        <v/>
      </c>
      <c r="G1319" s="29">
        <f>IF($B1319="","",IF($G1318="",0,$G1318)+IF($E1319="",0,$E1319)-IF($F1319="",0,$F1319))</f>
        <v/>
      </c>
      <c r="H1319" s="30">
        <f>IF(AND($L1319="",$M1319="",$N1319=""),"",IF($L1319&lt;&gt;"",IF(INDEX(LdANote,$L1319)="","—",INDEX(LdANote,$L1319)),IF($M1319&lt;&gt;"",IF(INDEX(LdBNote,$M1319)="","—",INDEX(LdBNote,$M1319)),IF($N1319&lt;&gt;"",IF(INDEX(LdCNote,$N1319)="","—",INDEX(LdCNote,$N1319)),""))))</f>
        <v/>
      </c>
      <c r="L1319">
        <f>IFERROR(MATCH($C$5&amp;"|"&amp;RIGHT("000000"&amp;1303,6),LdAKeyM,0),"")</f>
        <v/>
      </c>
      <c r="M1319">
        <f>IFERROR(MATCH($C$5&amp;"|"&amp;RIGHT("000000"&amp;1303,6),LdBKeyM,0),"")</f>
        <v/>
      </c>
      <c r="N1319">
        <f>IFERROR(MATCH($C$5&amp;"|"&amp;RIGHT("000000"&amp;1303,6),LdCKeyM,0),"")</f>
        <v/>
      </c>
    </row>
    <row r="1320">
      <c r="A1320" s="19" t="n">
        <v>1304</v>
      </c>
      <c r="B1320" s="20">
        <f>IF(AND($L1320="",$M1320="",$N1320=""),"",IF($L1320&lt;&gt;"",INDEX(LdADate,$L1320),IF($M1320&lt;&gt;"",INDEX(LdBDate,$M1320),INDEX(LdCDate,$N1320))))</f>
        <v/>
      </c>
      <c r="C1320" s="20">
        <f>IF($L1320&lt;&gt;"","دستمزد (فردی)",IF($M1320&lt;&gt;"","سهم از گروه "&amp;IFERROR(VLOOKUP(INDEX(LdBGroup,$M1320),WGTbl,2,0),INDEX(LdBGroup,$M1320)),IF($N1320&lt;&gt;"",IF(N(INDEX(LdCDep,$N1320))&gt;0,"بازگشت بانکی","پرداخت بانکی"),"")))</f>
        <v/>
      </c>
      <c r="D1320" s="20">
        <f>IF($L1320&lt;&gt;"",IF(INDEX(LdAId,$L1320)="","—",INDEX(LdAId,$L1320)),IF($M1320&lt;&gt;"",IF(INDEX(LdBId,$M1320)="","—",INDEX(LdBId,$M1320)),IF($N1320&lt;&gt;"",IF(INDEX(LdCBank,$N1320)="","—",INDEX(LdCBank,$N1320)),"")))</f>
        <v/>
      </c>
      <c r="E1320" s="21">
        <f>IF($L1320&lt;&gt;"",IF(INDEX(LdAAmt,$L1320)=0,"",INDEX(LdAAmt,$L1320)),IF($M1320&lt;&gt;"",IF(INDEX(LdBAmt,$M1320)=0,"",INDEX(LdBAmt,$M1320)),IF($N1320&lt;&gt;"",IF(INDEX(LdCDep,$N1320)=0,"",INDEX(LdCDep,$N1320)),"")))</f>
        <v/>
      </c>
      <c r="F1320" s="21">
        <f>IF(AND($L1320="",$M1320="",$N1320=""),"",IF($N1320="","",IF(INDEX(LdCWit,$N1320)=0,"",INDEX(LdCWit,$N1320))))</f>
        <v/>
      </c>
      <c r="G1320" s="31">
        <f>IF($B1320="","",IF($G1319="",0,$G1319)+IF($E1320="",0,$E1320)-IF($F1320="",0,$F1320))</f>
        <v/>
      </c>
      <c r="H1320" s="32">
        <f>IF(AND($L1320="",$M1320="",$N1320=""),"",IF($L1320&lt;&gt;"",IF(INDEX(LdANote,$L1320)="","—",INDEX(LdANote,$L1320)),IF($M1320&lt;&gt;"",IF(INDEX(LdBNote,$M1320)="","—",INDEX(LdBNote,$M1320)),IF($N1320&lt;&gt;"",IF(INDEX(LdCNote,$N1320)="","—",INDEX(LdCNote,$N1320)),""))))</f>
        <v/>
      </c>
      <c r="L1320">
        <f>IFERROR(MATCH($C$5&amp;"|"&amp;RIGHT("000000"&amp;1304,6),LdAKeyM,0),"")</f>
        <v/>
      </c>
      <c r="M1320">
        <f>IFERROR(MATCH($C$5&amp;"|"&amp;RIGHT("000000"&amp;1304,6),LdBKeyM,0),"")</f>
        <v/>
      </c>
      <c r="N1320">
        <f>IFERROR(MATCH($C$5&amp;"|"&amp;RIGHT("000000"&amp;1304,6),LdCKeyM,0),"")</f>
        <v/>
      </c>
    </row>
    <row r="1321">
      <c r="A1321" s="10" t="n">
        <v>1305</v>
      </c>
      <c r="B1321" s="14">
        <f>IF(AND($L1321="",$M1321="",$N1321=""),"",IF($L1321&lt;&gt;"",INDEX(LdADate,$L1321),IF($M1321&lt;&gt;"",INDEX(LdBDate,$M1321),INDEX(LdCDate,$N1321))))</f>
        <v/>
      </c>
      <c r="C1321" s="14">
        <f>IF($L1321&lt;&gt;"","دستمزد (فردی)",IF($M1321&lt;&gt;"","سهم از گروه "&amp;IFERROR(VLOOKUP(INDEX(LdBGroup,$M1321),WGTbl,2,0),INDEX(LdBGroup,$M1321)),IF($N1321&lt;&gt;"",IF(N(INDEX(LdCDep,$N1321))&gt;0,"بازگشت بانکی","پرداخت بانکی"),"")))</f>
        <v/>
      </c>
      <c r="D1321" s="14">
        <f>IF($L1321&lt;&gt;"",IF(INDEX(LdAId,$L1321)="","—",INDEX(LdAId,$L1321)),IF($M1321&lt;&gt;"",IF(INDEX(LdBId,$M1321)="","—",INDEX(LdBId,$M1321)),IF($N1321&lt;&gt;"",IF(INDEX(LdCBank,$N1321)="","—",INDEX(LdCBank,$N1321)),"")))</f>
        <v/>
      </c>
      <c r="E1321" s="16">
        <f>IF($L1321&lt;&gt;"",IF(INDEX(LdAAmt,$L1321)=0,"",INDEX(LdAAmt,$L1321)),IF($M1321&lt;&gt;"",IF(INDEX(LdBAmt,$M1321)=0,"",INDEX(LdBAmt,$M1321)),IF($N1321&lt;&gt;"",IF(INDEX(LdCDep,$N1321)=0,"",INDEX(LdCDep,$N1321)),"")))</f>
        <v/>
      </c>
      <c r="F1321" s="16">
        <f>IF(AND($L1321="",$M1321="",$N1321=""),"",IF($N1321="","",IF(INDEX(LdCWit,$N1321)=0,"",INDEX(LdCWit,$N1321))))</f>
        <v/>
      </c>
      <c r="G1321" s="29">
        <f>IF($B1321="","",IF($G1320="",0,$G1320)+IF($E1321="",0,$E1321)-IF($F1321="",0,$F1321))</f>
        <v/>
      </c>
      <c r="H1321" s="30">
        <f>IF(AND($L1321="",$M1321="",$N1321=""),"",IF($L1321&lt;&gt;"",IF(INDEX(LdANote,$L1321)="","—",INDEX(LdANote,$L1321)),IF($M1321&lt;&gt;"",IF(INDEX(LdBNote,$M1321)="","—",INDEX(LdBNote,$M1321)),IF($N1321&lt;&gt;"",IF(INDEX(LdCNote,$N1321)="","—",INDEX(LdCNote,$N1321)),""))))</f>
        <v/>
      </c>
      <c r="L1321">
        <f>IFERROR(MATCH($C$5&amp;"|"&amp;RIGHT("000000"&amp;1305,6),LdAKeyM,0),"")</f>
        <v/>
      </c>
      <c r="M1321">
        <f>IFERROR(MATCH($C$5&amp;"|"&amp;RIGHT("000000"&amp;1305,6),LdBKeyM,0),"")</f>
        <v/>
      </c>
      <c r="N1321">
        <f>IFERROR(MATCH($C$5&amp;"|"&amp;RIGHT("000000"&amp;1305,6),LdCKeyM,0),"")</f>
        <v/>
      </c>
    </row>
    <row r="1322">
      <c r="A1322" s="19" t="n">
        <v>1306</v>
      </c>
      <c r="B1322" s="20">
        <f>IF(AND($L1322="",$M1322="",$N1322=""),"",IF($L1322&lt;&gt;"",INDEX(LdADate,$L1322),IF($M1322&lt;&gt;"",INDEX(LdBDate,$M1322),INDEX(LdCDate,$N1322))))</f>
        <v/>
      </c>
      <c r="C1322" s="20">
        <f>IF($L1322&lt;&gt;"","دستمزد (فردی)",IF($M1322&lt;&gt;"","سهم از گروه "&amp;IFERROR(VLOOKUP(INDEX(LdBGroup,$M1322),WGTbl,2,0),INDEX(LdBGroup,$M1322)),IF($N1322&lt;&gt;"",IF(N(INDEX(LdCDep,$N1322))&gt;0,"بازگشت بانکی","پرداخت بانکی"),"")))</f>
        <v/>
      </c>
      <c r="D1322" s="20">
        <f>IF($L1322&lt;&gt;"",IF(INDEX(LdAId,$L1322)="","—",INDEX(LdAId,$L1322)),IF($M1322&lt;&gt;"",IF(INDEX(LdBId,$M1322)="","—",INDEX(LdBId,$M1322)),IF($N1322&lt;&gt;"",IF(INDEX(LdCBank,$N1322)="","—",INDEX(LdCBank,$N1322)),"")))</f>
        <v/>
      </c>
      <c r="E1322" s="21">
        <f>IF($L1322&lt;&gt;"",IF(INDEX(LdAAmt,$L1322)=0,"",INDEX(LdAAmt,$L1322)),IF($M1322&lt;&gt;"",IF(INDEX(LdBAmt,$M1322)=0,"",INDEX(LdBAmt,$M1322)),IF($N1322&lt;&gt;"",IF(INDEX(LdCDep,$N1322)=0,"",INDEX(LdCDep,$N1322)),"")))</f>
        <v/>
      </c>
      <c r="F1322" s="21">
        <f>IF(AND($L1322="",$M1322="",$N1322=""),"",IF($N1322="","",IF(INDEX(LdCWit,$N1322)=0,"",INDEX(LdCWit,$N1322))))</f>
        <v/>
      </c>
      <c r="G1322" s="31">
        <f>IF($B1322="","",IF($G1321="",0,$G1321)+IF($E1322="",0,$E1322)-IF($F1322="",0,$F1322))</f>
        <v/>
      </c>
      <c r="H1322" s="32">
        <f>IF(AND($L1322="",$M1322="",$N1322=""),"",IF($L1322&lt;&gt;"",IF(INDEX(LdANote,$L1322)="","—",INDEX(LdANote,$L1322)),IF($M1322&lt;&gt;"",IF(INDEX(LdBNote,$M1322)="","—",INDEX(LdBNote,$M1322)),IF($N1322&lt;&gt;"",IF(INDEX(LdCNote,$N1322)="","—",INDEX(LdCNote,$N1322)),""))))</f>
        <v/>
      </c>
      <c r="L1322">
        <f>IFERROR(MATCH($C$5&amp;"|"&amp;RIGHT("000000"&amp;1306,6),LdAKeyM,0),"")</f>
        <v/>
      </c>
      <c r="M1322">
        <f>IFERROR(MATCH($C$5&amp;"|"&amp;RIGHT("000000"&amp;1306,6),LdBKeyM,0),"")</f>
        <v/>
      </c>
      <c r="N1322">
        <f>IFERROR(MATCH($C$5&amp;"|"&amp;RIGHT("000000"&amp;1306,6),LdCKeyM,0),"")</f>
        <v/>
      </c>
    </row>
    <row r="1323">
      <c r="A1323" s="10" t="n">
        <v>1307</v>
      </c>
      <c r="B1323" s="14">
        <f>IF(AND($L1323="",$M1323="",$N1323=""),"",IF($L1323&lt;&gt;"",INDEX(LdADate,$L1323),IF($M1323&lt;&gt;"",INDEX(LdBDate,$M1323),INDEX(LdCDate,$N1323))))</f>
        <v/>
      </c>
      <c r="C1323" s="14">
        <f>IF($L1323&lt;&gt;"","دستمزد (فردی)",IF($M1323&lt;&gt;"","سهم از گروه "&amp;IFERROR(VLOOKUP(INDEX(LdBGroup,$M1323),WGTbl,2,0),INDEX(LdBGroup,$M1323)),IF($N1323&lt;&gt;"",IF(N(INDEX(LdCDep,$N1323))&gt;0,"بازگشت بانکی","پرداخت بانکی"),"")))</f>
        <v/>
      </c>
      <c r="D1323" s="14">
        <f>IF($L1323&lt;&gt;"",IF(INDEX(LdAId,$L1323)="","—",INDEX(LdAId,$L1323)),IF($M1323&lt;&gt;"",IF(INDEX(LdBId,$M1323)="","—",INDEX(LdBId,$M1323)),IF($N1323&lt;&gt;"",IF(INDEX(LdCBank,$N1323)="","—",INDEX(LdCBank,$N1323)),"")))</f>
        <v/>
      </c>
      <c r="E1323" s="16">
        <f>IF($L1323&lt;&gt;"",IF(INDEX(LdAAmt,$L1323)=0,"",INDEX(LdAAmt,$L1323)),IF($M1323&lt;&gt;"",IF(INDEX(LdBAmt,$M1323)=0,"",INDEX(LdBAmt,$M1323)),IF($N1323&lt;&gt;"",IF(INDEX(LdCDep,$N1323)=0,"",INDEX(LdCDep,$N1323)),"")))</f>
        <v/>
      </c>
      <c r="F1323" s="16">
        <f>IF(AND($L1323="",$M1323="",$N1323=""),"",IF($N1323="","",IF(INDEX(LdCWit,$N1323)=0,"",INDEX(LdCWit,$N1323))))</f>
        <v/>
      </c>
      <c r="G1323" s="29">
        <f>IF($B1323="","",IF($G1322="",0,$G1322)+IF($E1323="",0,$E1323)-IF($F1323="",0,$F1323))</f>
        <v/>
      </c>
      <c r="H1323" s="30">
        <f>IF(AND($L1323="",$M1323="",$N1323=""),"",IF($L1323&lt;&gt;"",IF(INDEX(LdANote,$L1323)="","—",INDEX(LdANote,$L1323)),IF($M1323&lt;&gt;"",IF(INDEX(LdBNote,$M1323)="","—",INDEX(LdBNote,$M1323)),IF($N1323&lt;&gt;"",IF(INDEX(LdCNote,$N1323)="","—",INDEX(LdCNote,$N1323)),""))))</f>
        <v/>
      </c>
      <c r="L1323">
        <f>IFERROR(MATCH($C$5&amp;"|"&amp;RIGHT("000000"&amp;1307,6),LdAKeyM,0),"")</f>
        <v/>
      </c>
      <c r="M1323">
        <f>IFERROR(MATCH($C$5&amp;"|"&amp;RIGHT("000000"&amp;1307,6),LdBKeyM,0),"")</f>
        <v/>
      </c>
      <c r="N1323">
        <f>IFERROR(MATCH($C$5&amp;"|"&amp;RIGHT("000000"&amp;1307,6),LdCKeyM,0),"")</f>
        <v/>
      </c>
    </row>
    <row r="1324">
      <c r="A1324" s="19" t="n">
        <v>1308</v>
      </c>
      <c r="B1324" s="20">
        <f>IF(AND($L1324="",$M1324="",$N1324=""),"",IF($L1324&lt;&gt;"",INDEX(LdADate,$L1324),IF($M1324&lt;&gt;"",INDEX(LdBDate,$M1324),INDEX(LdCDate,$N1324))))</f>
        <v/>
      </c>
      <c r="C1324" s="20">
        <f>IF($L1324&lt;&gt;"","دستمزد (فردی)",IF($M1324&lt;&gt;"","سهم از گروه "&amp;IFERROR(VLOOKUP(INDEX(LdBGroup,$M1324),WGTbl,2,0),INDEX(LdBGroup,$M1324)),IF($N1324&lt;&gt;"",IF(N(INDEX(LdCDep,$N1324))&gt;0,"بازگشت بانکی","پرداخت بانکی"),"")))</f>
        <v/>
      </c>
      <c r="D1324" s="20">
        <f>IF($L1324&lt;&gt;"",IF(INDEX(LdAId,$L1324)="","—",INDEX(LdAId,$L1324)),IF($M1324&lt;&gt;"",IF(INDEX(LdBId,$M1324)="","—",INDEX(LdBId,$M1324)),IF($N1324&lt;&gt;"",IF(INDEX(LdCBank,$N1324)="","—",INDEX(LdCBank,$N1324)),"")))</f>
        <v/>
      </c>
      <c r="E1324" s="21">
        <f>IF($L1324&lt;&gt;"",IF(INDEX(LdAAmt,$L1324)=0,"",INDEX(LdAAmt,$L1324)),IF($M1324&lt;&gt;"",IF(INDEX(LdBAmt,$M1324)=0,"",INDEX(LdBAmt,$M1324)),IF($N1324&lt;&gt;"",IF(INDEX(LdCDep,$N1324)=0,"",INDEX(LdCDep,$N1324)),"")))</f>
        <v/>
      </c>
      <c r="F1324" s="21">
        <f>IF(AND($L1324="",$M1324="",$N1324=""),"",IF($N1324="","",IF(INDEX(LdCWit,$N1324)=0,"",INDEX(LdCWit,$N1324))))</f>
        <v/>
      </c>
      <c r="G1324" s="31">
        <f>IF($B1324="","",IF($G1323="",0,$G1323)+IF($E1324="",0,$E1324)-IF($F1324="",0,$F1324))</f>
        <v/>
      </c>
      <c r="H1324" s="32">
        <f>IF(AND($L1324="",$M1324="",$N1324=""),"",IF($L1324&lt;&gt;"",IF(INDEX(LdANote,$L1324)="","—",INDEX(LdANote,$L1324)),IF($M1324&lt;&gt;"",IF(INDEX(LdBNote,$M1324)="","—",INDEX(LdBNote,$M1324)),IF($N1324&lt;&gt;"",IF(INDEX(LdCNote,$N1324)="","—",INDEX(LdCNote,$N1324)),""))))</f>
        <v/>
      </c>
      <c r="L1324">
        <f>IFERROR(MATCH($C$5&amp;"|"&amp;RIGHT("000000"&amp;1308,6),LdAKeyM,0),"")</f>
        <v/>
      </c>
      <c r="M1324">
        <f>IFERROR(MATCH($C$5&amp;"|"&amp;RIGHT("000000"&amp;1308,6),LdBKeyM,0),"")</f>
        <v/>
      </c>
      <c r="N1324">
        <f>IFERROR(MATCH($C$5&amp;"|"&amp;RIGHT("000000"&amp;1308,6),LdCKeyM,0),"")</f>
        <v/>
      </c>
    </row>
    <row r="1325">
      <c r="A1325" s="10" t="n">
        <v>1309</v>
      </c>
      <c r="B1325" s="14">
        <f>IF(AND($L1325="",$M1325="",$N1325=""),"",IF($L1325&lt;&gt;"",INDEX(LdADate,$L1325),IF($M1325&lt;&gt;"",INDEX(LdBDate,$M1325),INDEX(LdCDate,$N1325))))</f>
        <v/>
      </c>
      <c r="C1325" s="14">
        <f>IF($L1325&lt;&gt;"","دستمزد (فردی)",IF($M1325&lt;&gt;"","سهم از گروه "&amp;IFERROR(VLOOKUP(INDEX(LdBGroup,$M1325),WGTbl,2,0),INDEX(LdBGroup,$M1325)),IF($N1325&lt;&gt;"",IF(N(INDEX(LdCDep,$N1325))&gt;0,"بازگشت بانکی","پرداخت بانکی"),"")))</f>
        <v/>
      </c>
      <c r="D1325" s="14">
        <f>IF($L1325&lt;&gt;"",IF(INDEX(LdAId,$L1325)="","—",INDEX(LdAId,$L1325)),IF($M1325&lt;&gt;"",IF(INDEX(LdBId,$M1325)="","—",INDEX(LdBId,$M1325)),IF($N1325&lt;&gt;"",IF(INDEX(LdCBank,$N1325)="","—",INDEX(LdCBank,$N1325)),"")))</f>
        <v/>
      </c>
      <c r="E1325" s="16">
        <f>IF($L1325&lt;&gt;"",IF(INDEX(LdAAmt,$L1325)=0,"",INDEX(LdAAmt,$L1325)),IF($M1325&lt;&gt;"",IF(INDEX(LdBAmt,$M1325)=0,"",INDEX(LdBAmt,$M1325)),IF($N1325&lt;&gt;"",IF(INDEX(LdCDep,$N1325)=0,"",INDEX(LdCDep,$N1325)),"")))</f>
        <v/>
      </c>
      <c r="F1325" s="16">
        <f>IF(AND($L1325="",$M1325="",$N1325=""),"",IF($N1325="","",IF(INDEX(LdCWit,$N1325)=0,"",INDEX(LdCWit,$N1325))))</f>
        <v/>
      </c>
      <c r="G1325" s="29">
        <f>IF($B1325="","",IF($G1324="",0,$G1324)+IF($E1325="",0,$E1325)-IF($F1325="",0,$F1325))</f>
        <v/>
      </c>
      <c r="H1325" s="30">
        <f>IF(AND($L1325="",$M1325="",$N1325=""),"",IF($L1325&lt;&gt;"",IF(INDEX(LdANote,$L1325)="","—",INDEX(LdANote,$L1325)),IF($M1325&lt;&gt;"",IF(INDEX(LdBNote,$M1325)="","—",INDEX(LdBNote,$M1325)),IF($N1325&lt;&gt;"",IF(INDEX(LdCNote,$N1325)="","—",INDEX(LdCNote,$N1325)),""))))</f>
        <v/>
      </c>
      <c r="L1325">
        <f>IFERROR(MATCH($C$5&amp;"|"&amp;RIGHT("000000"&amp;1309,6),LdAKeyM,0),"")</f>
        <v/>
      </c>
      <c r="M1325">
        <f>IFERROR(MATCH($C$5&amp;"|"&amp;RIGHT("000000"&amp;1309,6),LdBKeyM,0),"")</f>
        <v/>
      </c>
      <c r="N1325">
        <f>IFERROR(MATCH($C$5&amp;"|"&amp;RIGHT("000000"&amp;1309,6),LdCKeyM,0),"")</f>
        <v/>
      </c>
    </row>
    <row r="1326">
      <c r="A1326" s="19" t="n">
        <v>1310</v>
      </c>
      <c r="B1326" s="20">
        <f>IF(AND($L1326="",$M1326="",$N1326=""),"",IF($L1326&lt;&gt;"",INDEX(LdADate,$L1326),IF($M1326&lt;&gt;"",INDEX(LdBDate,$M1326),INDEX(LdCDate,$N1326))))</f>
        <v/>
      </c>
      <c r="C1326" s="20">
        <f>IF($L1326&lt;&gt;"","دستمزد (فردی)",IF($M1326&lt;&gt;"","سهم از گروه "&amp;IFERROR(VLOOKUP(INDEX(LdBGroup,$M1326),WGTbl,2,0),INDEX(LdBGroup,$M1326)),IF($N1326&lt;&gt;"",IF(N(INDEX(LdCDep,$N1326))&gt;0,"بازگشت بانکی","پرداخت بانکی"),"")))</f>
        <v/>
      </c>
      <c r="D1326" s="20">
        <f>IF($L1326&lt;&gt;"",IF(INDEX(LdAId,$L1326)="","—",INDEX(LdAId,$L1326)),IF($M1326&lt;&gt;"",IF(INDEX(LdBId,$M1326)="","—",INDEX(LdBId,$M1326)),IF($N1326&lt;&gt;"",IF(INDEX(LdCBank,$N1326)="","—",INDEX(LdCBank,$N1326)),"")))</f>
        <v/>
      </c>
      <c r="E1326" s="21">
        <f>IF($L1326&lt;&gt;"",IF(INDEX(LdAAmt,$L1326)=0,"",INDEX(LdAAmt,$L1326)),IF($M1326&lt;&gt;"",IF(INDEX(LdBAmt,$M1326)=0,"",INDEX(LdBAmt,$M1326)),IF($N1326&lt;&gt;"",IF(INDEX(LdCDep,$N1326)=0,"",INDEX(LdCDep,$N1326)),"")))</f>
        <v/>
      </c>
      <c r="F1326" s="21">
        <f>IF(AND($L1326="",$M1326="",$N1326=""),"",IF($N1326="","",IF(INDEX(LdCWit,$N1326)=0,"",INDEX(LdCWit,$N1326))))</f>
        <v/>
      </c>
      <c r="G1326" s="31">
        <f>IF($B1326="","",IF($G1325="",0,$G1325)+IF($E1326="",0,$E1326)-IF($F1326="",0,$F1326))</f>
        <v/>
      </c>
      <c r="H1326" s="32">
        <f>IF(AND($L1326="",$M1326="",$N1326=""),"",IF($L1326&lt;&gt;"",IF(INDEX(LdANote,$L1326)="","—",INDEX(LdANote,$L1326)),IF($M1326&lt;&gt;"",IF(INDEX(LdBNote,$M1326)="","—",INDEX(LdBNote,$M1326)),IF($N1326&lt;&gt;"",IF(INDEX(LdCNote,$N1326)="","—",INDEX(LdCNote,$N1326)),""))))</f>
        <v/>
      </c>
      <c r="L1326">
        <f>IFERROR(MATCH($C$5&amp;"|"&amp;RIGHT("000000"&amp;1310,6),LdAKeyM,0),"")</f>
        <v/>
      </c>
      <c r="M1326">
        <f>IFERROR(MATCH($C$5&amp;"|"&amp;RIGHT("000000"&amp;1310,6),LdBKeyM,0),"")</f>
        <v/>
      </c>
      <c r="N1326">
        <f>IFERROR(MATCH($C$5&amp;"|"&amp;RIGHT("000000"&amp;1310,6),LdCKeyM,0),"")</f>
        <v/>
      </c>
    </row>
    <row r="1327">
      <c r="A1327" s="10" t="n">
        <v>1311</v>
      </c>
      <c r="B1327" s="14">
        <f>IF(AND($L1327="",$M1327="",$N1327=""),"",IF($L1327&lt;&gt;"",INDEX(LdADate,$L1327),IF($M1327&lt;&gt;"",INDEX(LdBDate,$M1327),INDEX(LdCDate,$N1327))))</f>
        <v/>
      </c>
      <c r="C1327" s="14">
        <f>IF($L1327&lt;&gt;"","دستمزد (فردی)",IF($M1327&lt;&gt;"","سهم از گروه "&amp;IFERROR(VLOOKUP(INDEX(LdBGroup,$M1327),WGTbl,2,0),INDEX(LdBGroup,$M1327)),IF($N1327&lt;&gt;"",IF(N(INDEX(LdCDep,$N1327))&gt;0,"بازگشت بانکی","پرداخت بانکی"),"")))</f>
        <v/>
      </c>
      <c r="D1327" s="14">
        <f>IF($L1327&lt;&gt;"",IF(INDEX(LdAId,$L1327)="","—",INDEX(LdAId,$L1327)),IF($M1327&lt;&gt;"",IF(INDEX(LdBId,$M1327)="","—",INDEX(LdBId,$M1327)),IF($N1327&lt;&gt;"",IF(INDEX(LdCBank,$N1327)="","—",INDEX(LdCBank,$N1327)),"")))</f>
        <v/>
      </c>
      <c r="E1327" s="16">
        <f>IF($L1327&lt;&gt;"",IF(INDEX(LdAAmt,$L1327)=0,"",INDEX(LdAAmt,$L1327)),IF($M1327&lt;&gt;"",IF(INDEX(LdBAmt,$M1327)=0,"",INDEX(LdBAmt,$M1327)),IF($N1327&lt;&gt;"",IF(INDEX(LdCDep,$N1327)=0,"",INDEX(LdCDep,$N1327)),"")))</f>
        <v/>
      </c>
      <c r="F1327" s="16">
        <f>IF(AND($L1327="",$M1327="",$N1327=""),"",IF($N1327="","",IF(INDEX(LdCWit,$N1327)=0,"",INDEX(LdCWit,$N1327))))</f>
        <v/>
      </c>
      <c r="G1327" s="29">
        <f>IF($B1327="","",IF($G1326="",0,$G1326)+IF($E1327="",0,$E1327)-IF($F1327="",0,$F1327))</f>
        <v/>
      </c>
      <c r="H1327" s="30">
        <f>IF(AND($L1327="",$M1327="",$N1327=""),"",IF($L1327&lt;&gt;"",IF(INDEX(LdANote,$L1327)="","—",INDEX(LdANote,$L1327)),IF($M1327&lt;&gt;"",IF(INDEX(LdBNote,$M1327)="","—",INDEX(LdBNote,$M1327)),IF($N1327&lt;&gt;"",IF(INDEX(LdCNote,$N1327)="","—",INDEX(LdCNote,$N1327)),""))))</f>
        <v/>
      </c>
      <c r="L1327">
        <f>IFERROR(MATCH($C$5&amp;"|"&amp;RIGHT("000000"&amp;1311,6),LdAKeyM,0),"")</f>
        <v/>
      </c>
      <c r="M1327">
        <f>IFERROR(MATCH($C$5&amp;"|"&amp;RIGHT("000000"&amp;1311,6),LdBKeyM,0),"")</f>
        <v/>
      </c>
      <c r="N1327">
        <f>IFERROR(MATCH($C$5&amp;"|"&amp;RIGHT("000000"&amp;1311,6),LdCKeyM,0),"")</f>
        <v/>
      </c>
    </row>
    <row r="1328">
      <c r="A1328" s="19" t="n">
        <v>1312</v>
      </c>
      <c r="B1328" s="20">
        <f>IF(AND($L1328="",$M1328="",$N1328=""),"",IF($L1328&lt;&gt;"",INDEX(LdADate,$L1328),IF($M1328&lt;&gt;"",INDEX(LdBDate,$M1328),INDEX(LdCDate,$N1328))))</f>
        <v/>
      </c>
      <c r="C1328" s="20">
        <f>IF($L1328&lt;&gt;"","دستمزد (فردی)",IF($M1328&lt;&gt;"","سهم از گروه "&amp;IFERROR(VLOOKUP(INDEX(LdBGroup,$M1328),WGTbl,2,0),INDEX(LdBGroup,$M1328)),IF($N1328&lt;&gt;"",IF(N(INDEX(LdCDep,$N1328))&gt;0,"بازگشت بانکی","پرداخت بانکی"),"")))</f>
        <v/>
      </c>
      <c r="D1328" s="20">
        <f>IF($L1328&lt;&gt;"",IF(INDEX(LdAId,$L1328)="","—",INDEX(LdAId,$L1328)),IF($M1328&lt;&gt;"",IF(INDEX(LdBId,$M1328)="","—",INDEX(LdBId,$M1328)),IF($N1328&lt;&gt;"",IF(INDEX(LdCBank,$N1328)="","—",INDEX(LdCBank,$N1328)),"")))</f>
        <v/>
      </c>
      <c r="E1328" s="21">
        <f>IF($L1328&lt;&gt;"",IF(INDEX(LdAAmt,$L1328)=0,"",INDEX(LdAAmt,$L1328)),IF($M1328&lt;&gt;"",IF(INDEX(LdBAmt,$M1328)=0,"",INDEX(LdBAmt,$M1328)),IF($N1328&lt;&gt;"",IF(INDEX(LdCDep,$N1328)=0,"",INDEX(LdCDep,$N1328)),"")))</f>
        <v/>
      </c>
      <c r="F1328" s="21">
        <f>IF(AND($L1328="",$M1328="",$N1328=""),"",IF($N1328="","",IF(INDEX(LdCWit,$N1328)=0,"",INDEX(LdCWit,$N1328))))</f>
        <v/>
      </c>
      <c r="G1328" s="31">
        <f>IF($B1328="","",IF($G1327="",0,$G1327)+IF($E1328="",0,$E1328)-IF($F1328="",0,$F1328))</f>
        <v/>
      </c>
      <c r="H1328" s="32">
        <f>IF(AND($L1328="",$M1328="",$N1328=""),"",IF($L1328&lt;&gt;"",IF(INDEX(LdANote,$L1328)="","—",INDEX(LdANote,$L1328)),IF($M1328&lt;&gt;"",IF(INDEX(LdBNote,$M1328)="","—",INDEX(LdBNote,$M1328)),IF($N1328&lt;&gt;"",IF(INDEX(LdCNote,$N1328)="","—",INDEX(LdCNote,$N1328)),""))))</f>
        <v/>
      </c>
      <c r="L1328">
        <f>IFERROR(MATCH($C$5&amp;"|"&amp;RIGHT("000000"&amp;1312,6),LdAKeyM,0),"")</f>
        <v/>
      </c>
      <c r="M1328">
        <f>IFERROR(MATCH($C$5&amp;"|"&amp;RIGHT("000000"&amp;1312,6),LdBKeyM,0),"")</f>
        <v/>
      </c>
      <c r="N1328">
        <f>IFERROR(MATCH($C$5&amp;"|"&amp;RIGHT("000000"&amp;1312,6),LdCKeyM,0),"")</f>
        <v/>
      </c>
    </row>
    <row r="1329">
      <c r="A1329" s="10" t="n">
        <v>1313</v>
      </c>
      <c r="B1329" s="14">
        <f>IF(AND($L1329="",$M1329="",$N1329=""),"",IF($L1329&lt;&gt;"",INDEX(LdADate,$L1329),IF($M1329&lt;&gt;"",INDEX(LdBDate,$M1329),INDEX(LdCDate,$N1329))))</f>
        <v/>
      </c>
      <c r="C1329" s="14">
        <f>IF($L1329&lt;&gt;"","دستمزد (فردی)",IF($M1329&lt;&gt;"","سهم از گروه "&amp;IFERROR(VLOOKUP(INDEX(LdBGroup,$M1329),WGTbl,2,0),INDEX(LdBGroup,$M1329)),IF($N1329&lt;&gt;"",IF(N(INDEX(LdCDep,$N1329))&gt;0,"بازگشت بانکی","پرداخت بانکی"),"")))</f>
        <v/>
      </c>
      <c r="D1329" s="14">
        <f>IF($L1329&lt;&gt;"",IF(INDEX(LdAId,$L1329)="","—",INDEX(LdAId,$L1329)),IF($M1329&lt;&gt;"",IF(INDEX(LdBId,$M1329)="","—",INDEX(LdBId,$M1329)),IF($N1329&lt;&gt;"",IF(INDEX(LdCBank,$N1329)="","—",INDEX(LdCBank,$N1329)),"")))</f>
        <v/>
      </c>
      <c r="E1329" s="16">
        <f>IF($L1329&lt;&gt;"",IF(INDEX(LdAAmt,$L1329)=0,"",INDEX(LdAAmt,$L1329)),IF($M1329&lt;&gt;"",IF(INDEX(LdBAmt,$M1329)=0,"",INDEX(LdBAmt,$M1329)),IF($N1329&lt;&gt;"",IF(INDEX(LdCDep,$N1329)=0,"",INDEX(LdCDep,$N1329)),"")))</f>
        <v/>
      </c>
      <c r="F1329" s="16">
        <f>IF(AND($L1329="",$M1329="",$N1329=""),"",IF($N1329="","",IF(INDEX(LdCWit,$N1329)=0,"",INDEX(LdCWit,$N1329))))</f>
        <v/>
      </c>
      <c r="G1329" s="29">
        <f>IF($B1329="","",IF($G1328="",0,$G1328)+IF($E1329="",0,$E1329)-IF($F1329="",0,$F1329))</f>
        <v/>
      </c>
      <c r="H1329" s="30">
        <f>IF(AND($L1329="",$M1329="",$N1329=""),"",IF($L1329&lt;&gt;"",IF(INDEX(LdANote,$L1329)="","—",INDEX(LdANote,$L1329)),IF($M1329&lt;&gt;"",IF(INDEX(LdBNote,$M1329)="","—",INDEX(LdBNote,$M1329)),IF($N1329&lt;&gt;"",IF(INDEX(LdCNote,$N1329)="","—",INDEX(LdCNote,$N1329)),""))))</f>
        <v/>
      </c>
      <c r="L1329">
        <f>IFERROR(MATCH($C$5&amp;"|"&amp;RIGHT("000000"&amp;1313,6),LdAKeyM,0),"")</f>
        <v/>
      </c>
      <c r="M1329">
        <f>IFERROR(MATCH($C$5&amp;"|"&amp;RIGHT("000000"&amp;1313,6),LdBKeyM,0),"")</f>
        <v/>
      </c>
      <c r="N1329">
        <f>IFERROR(MATCH($C$5&amp;"|"&amp;RIGHT("000000"&amp;1313,6),LdCKeyM,0),"")</f>
        <v/>
      </c>
    </row>
    <row r="1330">
      <c r="A1330" s="19" t="n">
        <v>1314</v>
      </c>
      <c r="B1330" s="20">
        <f>IF(AND($L1330="",$M1330="",$N1330=""),"",IF($L1330&lt;&gt;"",INDEX(LdADate,$L1330),IF($M1330&lt;&gt;"",INDEX(LdBDate,$M1330),INDEX(LdCDate,$N1330))))</f>
        <v/>
      </c>
      <c r="C1330" s="20">
        <f>IF($L1330&lt;&gt;"","دستمزد (فردی)",IF($M1330&lt;&gt;"","سهم از گروه "&amp;IFERROR(VLOOKUP(INDEX(LdBGroup,$M1330),WGTbl,2,0),INDEX(LdBGroup,$M1330)),IF($N1330&lt;&gt;"",IF(N(INDEX(LdCDep,$N1330))&gt;0,"بازگشت بانکی","پرداخت بانکی"),"")))</f>
        <v/>
      </c>
      <c r="D1330" s="20">
        <f>IF($L1330&lt;&gt;"",IF(INDEX(LdAId,$L1330)="","—",INDEX(LdAId,$L1330)),IF($M1330&lt;&gt;"",IF(INDEX(LdBId,$M1330)="","—",INDEX(LdBId,$M1330)),IF($N1330&lt;&gt;"",IF(INDEX(LdCBank,$N1330)="","—",INDEX(LdCBank,$N1330)),"")))</f>
        <v/>
      </c>
      <c r="E1330" s="21">
        <f>IF($L1330&lt;&gt;"",IF(INDEX(LdAAmt,$L1330)=0,"",INDEX(LdAAmt,$L1330)),IF($M1330&lt;&gt;"",IF(INDEX(LdBAmt,$M1330)=0,"",INDEX(LdBAmt,$M1330)),IF($N1330&lt;&gt;"",IF(INDEX(LdCDep,$N1330)=0,"",INDEX(LdCDep,$N1330)),"")))</f>
        <v/>
      </c>
      <c r="F1330" s="21">
        <f>IF(AND($L1330="",$M1330="",$N1330=""),"",IF($N1330="","",IF(INDEX(LdCWit,$N1330)=0,"",INDEX(LdCWit,$N1330))))</f>
        <v/>
      </c>
      <c r="G1330" s="31">
        <f>IF($B1330="","",IF($G1329="",0,$G1329)+IF($E1330="",0,$E1330)-IF($F1330="",0,$F1330))</f>
        <v/>
      </c>
      <c r="H1330" s="32">
        <f>IF(AND($L1330="",$M1330="",$N1330=""),"",IF($L1330&lt;&gt;"",IF(INDEX(LdANote,$L1330)="","—",INDEX(LdANote,$L1330)),IF($M1330&lt;&gt;"",IF(INDEX(LdBNote,$M1330)="","—",INDEX(LdBNote,$M1330)),IF($N1330&lt;&gt;"",IF(INDEX(LdCNote,$N1330)="","—",INDEX(LdCNote,$N1330)),""))))</f>
        <v/>
      </c>
      <c r="L1330">
        <f>IFERROR(MATCH($C$5&amp;"|"&amp;RIGHT("000000"&amp;1314,6),LdAKeyM,0),"")</f>
        <v/>
      </c>
      <c r="M1330">
        <f>IFERROR(MATCH($C$5&amp;"|"&amp;RIGHT("000000"&amp;1314,6),LdBKeyM,0),"")</f>
        <v/>
      </c>
      <c r="N1330">
        <f>IFERROR(MATCH($C$5&amp;"|"&amp;RIGHT("000000"&amp;1314,6),LdCKeyM,0),"")</f>
        <v/>
      </c>
    </row>
    <row r="1331">
      <c r="A1331" s="10" t="n">
        <v>1315</v>
      </c>
      <c r="B1331" s="14">
        <f>IF(AND($L1331="",$M1331="",$N1331=""),"",IF($L1331&lt;&gt;"",INDEX(LdADate,$L1331),IF($M1331&lt;&gt;"",INDEX(LdBDate,$M1331),INDEX(LdCDate,$N1331))))</f>
        <v/>
      </c>
      <c r="C1331" s="14">
        <f>IF($L1331&lt;&gt;"","دستمزد (فردی)",IF($M1331&lt;&gt;"","سهم از گروه "&amp;IFERROR(VLOOKUP(INDEX(LdBGroup,$M1331),WGTbl,2,0),INDEX(LdBGroup,$M1331)),IF($N1331&lt;&gt;"",IF(N(INDEX(LdCDep,$N1331))&gt;0,"بازگشت بانکی","پرداخت بانکی"),"")))</f>
        <v/>
      </c>
      <c r="D1331" s="14">
        <f>IF($L1331&lt;&gt;"",IF(INDEX(LdAId,$L1331)="","—",INDEX(LdAId,$L1331)),IF($M1331&lt;&gt;"",IF(INDEX(LdBId,$M1331)="","—",INDEX(LdBId,$M1331)),IF($N1331&lt;&gt;"",IF(INDEX(LdCBank,$N1331)="","—",INDEX(LdCBank,$N1331)),"")))</f>
        <v/>
      </c>
      <c r="E1331" s="16">
        <f>IF($L1331&lt;&gt;"",IF(INDEX(LdAAmt,$L1331)=0,"",INDEX(LdAAmt,$L1331)),IF($M1331&lt;&gt;"",IF(INDEX(LdBAmt,$M1331)=0,"",INDEX(LdBAmt,$M1331)),IF($N1331&lt;&gt;"",IF(INDEX(LdCDep,$N1331)=0,"",INDEX(LdCDep,$N1331)),"")))</f>
        <v/>
      </c>
      <c r="F1331" s="16">
        <f>IF(AND($L1331="",$M1331="",$N1331=""),"",IF($N1331="","",IF(INDEX(LdCWit,$N1331)=0,"",INDEX(LdCWit,$N1331))))</f>
        <v/>
      </c>
      <c r="G1331" s="29">
        <f>IF($B1331="","",IF($G1330="",0,$G1330)+IF($E1331="",0,$E1331)-IF($F1331="",0,$F1331))</f>
        <v/>
      </c>
      <c r="H1331" s="30">
        <f>IF(AND($L1331="",$M1331="",$N1331=""),"",IF($L1331&lt;&gt;"",IF(INDEX(LdANote,$L1331)="","—",INDEX(LdANote,$L1331)),IF($M1331&lt;&gt;"",IF(INDEX(LdBNote,$M1331)="","—",INDEX(LdBNote,$M1331)),IF($N1331&lt;&gt;"",IF(INDEX(LdCNote,$N1331)="","—",INDEX(LdCNote,$N1331)),""))))</f>
        <v/>
      </c>
      <c r="L1331">
        <f>IFERROR(MATCH($C$5&amp;"|"&amp;RIGHT("000000"&amp;1315,6),LdAKeyM,0),"")</f>
        <v/>
      </c>
      <c r="M1331">
        <f>IFERROR(MATCH($C$5&amp;"|"&amp;RIGHT("000000"&amp;1315,6),LdBKeyM,0),"")</f>
        <v/>
      </c>
      <c r="N1331">
        <f>IFERROR(MATCH($C$5&amp;"|"&amp;RIGHT("000000"&amp;1315,6),LdCKeyM,0),"")</f>
        <v/>
      </c>
    </row>
    <row r="1332">
      <c r="A1332" s="19" t="n">
        <v>1316</v>
      </c>
      <c r="B1332" s="20">
        <f>IF(AND($L1332="",$M1332="",$N1332=""),"",IF($L1332&lt;&gt;"",INDEX(LdADate,$L1332),IF($M1332&lt;&gt;"",INDEX(LdBDate,$M1332),INDEX(LdCDate,$N1332))))</f>
        <v/>
      </c>
      <c r="C1332" s="20">
        <f>IF($L1332&lt;&gt;"","دستمزد (فردی)",IF($M1332&lt;&gt;"","سهم از گروه "&amp;IFERROR(VLOOKUP(INDEX(LdBGroup,$M1332),WGTbl,2,0),INDEX(LdBGroup,$M1332)),IF($N1332&lt;&gt;"",IF(N(INDEX(LdCDep,$N1332))&gt;0,"بازگشت بانکی","پرداخت بانکی"),"")))</f>
        <v/>
      </c>
      <c r="D1332" s="20">
        <f>IF($L1332&lt;&gt;"",IF(INDEX(LdAId,$L1332)="","—",INDEX(LdAId,$L1332)),IF($M1332&lt;&gt;"",IF(INDEX(LdBId,$M1332)="","—",INDEX(LdBId,$M1332)),IF($N1332&lt;&gt;"",IF(INDEX(LdCBank,$N1332)="","—",INDEX(LdCBank,$N1332)),"")))</f>
        <v/>
      </c>
      <c r="E1332" s="21">
        <f>IF($L1332&lt;&gt;"",IF(INDEX(LdAAmt,$L1332)=0,"",INDEX(LdAAmt,$L1332)),IF($M1332&lt;&gt;"",IF(INDEX(LdBAmt,$M1332)=0,"",INDEX(LdBAmt,$M1332)),IF($N1332&lt;&gt;"",IF(INDEX(LdCDep,$N1332)=0,"",INDEX(LdCDep,$N1332)),"")))</f>
        <v/>
      </c>
      <c r="F1332" s="21">
        <f>IF(AND($L1332="",$M1332="",$N1332=""),"",IF($N1332="","",IF(INDEX(LdCWit,$N1332)=0,"",INDEX(LdCWit,$N1332))))</f>
        <v/>
      </c>
      <c r="G1332" s="31">
        <f>IF($B1332="","",IF($G1331="",0,$G1331)+IF($E1332="",0,$E1332)-IF($F1332="",0,$F1332))</f>
        <v/>
      </c>
      <c r="H1332" s="32">
        <f>IF(AND($L1332="",$M1332="",$N1332=""),"",IF($L1332&lt;&gt;"",IF(INDEX(LdANote,$L1332)="","—",INDEX(LdANote,$L1332)),IF($M1332&lt;&gt;"",IF(INDEX(LdBNote,$M1332)="","—",INDEX(LdBNote,$M1332)),IF($N1332&lt;&gt;"",IF(INDEX(LdCNote,$N1332)="","—",INDEX(LdCNote,$N1332)),""))))</f>
        <v/>
      </c>
      <c r="L1332">
        <f>IFERROR(MATCH($C$5&amp;"|"&amp;RIGHT("000000"&amp;1316,6),LdAKeyM,0),"")</f>
        <v/>
      </c>
      <c r="M1332">
        <f>IFERROR(MATCH($C$5&amp;"|"&amp;RIGHT("000000"&amp;1316,6),LdBKeyM,0),"")</f>
        <v/>
      </c>
      <c r="N1332">
        <f>IFERROR(MATCH($C$5&amp;"|"&amp;RIGHT("000000"&amp;1316,6),LdCKeyM,0),"")</f>
        <v/>
      </c>
    </row>
    <row r="1333">
      <c r="A1333" s="10" t="n">
        <v>1317</v>
      </c>
      <c r="B1333" s="14">
        <f>IF(AND($L1333="",$M1333="",$N1333=""),"",IF($L1333&lt;&gt;"",INDEX(LdADate,$L1333),IF($M1333&lt;&gt;"",INDEX(LdBDate,$M1333),INDEX(LdCDate,$N1333))))</f>
        <v/>
      </c>
      <c r="C1333" s="14">
        <f>IF($L1333&lt;&gt;"","دستمزد (فردی)",IF($M1333&lt;&gt;"","سهم از گروه "&amp;IFERROR(VLOOKUP(INDEX(LdBGroup,$M1333),WGTbl,2,0),INDEX(LdBGroup,$M1333)),IF($N1333&lt;&gt;"",IF(N(INDEX(LdCDep,$N1333))&gt;0,"بازگشت بانکی","پرداخت بانکی"),"")))</f>
        <v/>
      </c>
      <c r="D1333" s="14">
        <f>IF($L1333&lt;&gt;"",IF(INDEX(LdAId,$L1333)="","—",INDEX(LdAId,$L1333)),IF($M1333&lt;&gt;"",IF(INDEX(LdBId,$M1333)="","—",INDEX(LdBId,$M1333)),IF($N1333&lt;&gt;"",IF(INDEX(LdCBank,$N1333)="","—",INDEX(LdCBank,$N1333)),"")))</f>
        <v/>
      </c>
      <c r="E1333" s="16">
        <f>IF($L1333&lt;&gt;"",IF(INDEX(LdAAmt,$L1333)=0,"",INDEX(LdAAmt,$L1333)),IF($M1333&lt;&gt;"",IF(INDEX(LdBAmt,$M1333)=0,"",INDEX(LdBAmt,$M1333)),IF($N1333&lt;&gt;"",IF(INDEX(LdCDep,$N1333)=0,"",INDEX(LdCDep,$N1333)),"")))</f>
        <v/>
      </c>
      <c r="F1333" s="16">
        <f>IF(AND($L1333="",$M1333="",$N1333=""),"",IF($N1333="","",IF(INDEX(LdCWit,$N1333)=0,"",INDEX(LdCWit,$N1333))))</f>
        <v/>
      </c>
      <c r="G1333" s="29">
        <f>IF($B1333="","",IF($G1332="",0,$G1332)+IF($E1333="",0,$E1333)-IF($F1333="",0,$F1333))</f>
        <v/>
      </c>
      <c r="H1333" s="30">
        <f>IF(AND($L1333="",$M1333="",$N1333=""),"",IF($L1333&lt;&gt;"",IF(INDEX(LdANote,$L1333)="","—",INDEX(LdANote,$L1333)),IF($M1333&lt;&gt;"",IF(INDEX(LdBNote,$M1333)="","—",INDEX(LdBNote,$M1333)),IF($N1333&lt;&gt;"",IF(INDEX(LdCNote,$N1333)="","—",INDEX(LdCNote,$N1333)),""))))</f>
        <v/>
      </c>
      <c r="L1333">
        <f>IFERROR(MATCH($C$5&amp;"|"&amp;RIGHT("000000"&amp;1317,6),LdAKeyM,0),"")</f>
        <v/>
      </c>
      <c r="M1333">
        <f>IFERROR(MATCH($C$5&amp;"|"&amp;RIGHT("000000"&amp;1317,6),LdBKeyM,0),"")</f>
        <v/>
      </c>
      <c r="N1333">
        <f>IFERROR(MATCH($C$5&amp;"|"&amp;RIGHT("000000"&amp;1317,6),LdCKeyM,0),"")</f>
        <v/>
      </c>
    </row>
    <row r="1334">
      <c r="A1334" s="19" t="n">
        <v>1318</v>
      </c>
      <c r="B1334" s="20">
        <f>IF(AND($L1334="",$M1334="",$N1334=""),"",IF($L1334&lt;&gt;"",INDEX(LdADate,$L1334),IF($M1334&lt;&gt;"",INDEX(LdBDate,$M1334),INDEX(LdCDate,$N1334))))</f>
        <v/>
      </c>
      <c r="C1334" s="20">
        <f>IF($L1334&lt;&gt;"","دستمزد (فردی)",IF($M1334&lt;&gt;"","سهم از گروه "&amp;IFERROR(VLOOKUP(INDEX(LdBGroup,$M1334),WGTbl,2,0),INDEX(LdBGroup,$M1334)),IF($N1334&lt;&gt;"",IF(N(INDEX(LdCDep,$N1334))&gt;0,"بازگشت بانکی","پرداخت بانکی"),"")))</f>
        <v/>
      </c>
      <c r="D1334" s="20">
        <f>IF($L1334&lt;&gt;"",IF(INDEX(LdAId,$L1334)="","—",INDEX(LdAId,$L1334)),IF($M1334&lt;&gt;"",IF(INDEX(LdBId,$M1334)="","—",INDEX(LdBId,$M1334)),IF($N1334&lt;&gt;"",IF(INDEX(LdCBank,$N1334)="","—",INDEX(LdCBank,$N1334)),"")))</f>
        <v/>
      </c>
      <c r="E1334" s="21">
        <f>IF($L1334&lt;&gt;"",IF(INDEX(LdAAmt,$L1334)=0,"",INDEX(LdAAmt,$L1334)),IF($M1334&lt;&gt;"",IF(INDEX(LdBAmt,$M1334)=0,"",INDEX(LdBAmt,$M1334)),IF($N1334&lt;&gt;"",IF(INDEX(LdCDep,$N1334)=0,"",INDEX(LdCDep,$N1334)),"")))</f>
        <v/>
      </c>
      <c r="F1334" s="21">
        <f>IF(AND($L1334="",$M1334="",$N1334=""),"",IF($N1334="","",IF(INDEX(LdCWit,$N1334)=0,"",INDEX(LdCWit,$N1334))))</f>
        <v/>
      </c>
      <c r="G1334" s="31">
        <f>IF($B1334="","",IF($G1333="",0,$G1333)+IF($E1334="",0,$E1334)-IF($F1334="",0,$F1334))</f>
        <v/>
      </c>
      <c r="H1334" s="32">
        <f>IF(AND($L1334="",$M1334="",$N1334=""),"",IF($L1334&lt;&gt;"",IF(INDEX(LdANote,$L1334)="","—",INDEX(LdANote,$L1334)),IF($M1334&lt;&gt;"",IF(INDEX(LdBNote,$M1334)="","—",INDEX(LdBNote,$M1334)),IF($N1334&lt;&gt;"",IF(INDEX(LdCNote,$N1334)="","—",INDEX(LdCNote,$N1334)),""))))</f>
        <v/>
      </c>
      <c r="L1334">
        <f>IFERROR(MATCH($C$5&amp;"|"&amp;RIGHT("000000"&amp;1318,6),LdAKeyM,0),"")</f>
        <v/>
      </c>
      <c r="M1334">
        <f>IFERROR(MATCH($C$5&amp;"|"&amp;RIGHT("000000"&amp;1318,6),LdBKeyM,0),"")</f>
        <v/>
      </c>
      <c r="N1334">
        <f>IFERROR(MATCH($C$5&amp;"|"&amp;RIGHT("000000"&amp;1318,6),LdCKeyM,0),"")</f>
        <v/>
      </c>
    </row>
    <row r="1335">
      <c r="A1335" s="10" t="n">
        <v>1319</v>
      </c>
      <c r="B1335" s="14">
        <f>IF(AND($L1335="",$M1335="",$N1335=""),"",IF($L1335&lt;&gt;"",INDEX(LdADate,$L1335),IF($M1335&lt;&gt;"",INDEX(LdBDate,$M1335),INDEX(LdCDate,$N1335))))</f>
        <v/>
      </c>
      <c r="C1335" s="14">
        <f>IF($L1335&lt;&gt;"","دستمزد (فردی)",IF($M1335&lt;&gt;"","سهم از گروه "&amp;IFERROR(VLOOKUP(INDEX(LdBGroup,$M1335),WGTbl,2,0),INDEX(LdBGroup,$M1335)),IF($N1335&lt;&gt;"",IF(N(INDEX(LdCDep,$N1335))&gt;0,"بازگشت بانکی","پرداخت بانکی"),"")))</f>
        <v/>
      </c>
      <c r="D1335" s="14">
        <f>IF($L1335&lt;&gt;"",IF(INDEX(LdAId,$L1335)="","—",INDEX(LdAId,$L1335)),IF($M1335&lt;&gt;"",IF(INDEX(LdBId,$M1335)="","—",INDEX(LdBId,$M1335)),IF($N1335&lt;&gt;"",IF(INDEX(LdCBank,$N1335)="","—",INDEX(LdCBank,$N1335)),"")))</f>
        <v/>
      </c>
      <c r="E1335" s="16">
        <f>IF($L1335&lt;&gt;"",IF(INDEX(LdAAmt,$L1335)=0,"",INDEX(LdAAmt,$L1335)),IF($M1335&lt;&gt;"",IF(INDEX(LdBAmt,$M1335)=0,"",INDEX(LdBAmt,$M1335)),IF($N1335&lt;&gt;"",IF(INDEX(LdCDep,$N1335)=0,"",INDEX(LdCDep,$N1335)),"")))</f>
        <v/>
      </c>
      <c r="F1335" s="16">
        <f>IF(AND($L1335="",$M1335="",$N1335=""),"",IF($N1335="","",IF(INDEX(LdCWit,$N1335)=0,"",INDEX(LdCWit,$N1335))))</f>
        <v/>
      </c>
      <c r="G1335" s="29">
        <f>IF($B1335="","",IF($G1334="",0,$G1334)+IF($E1335="",0,$E1335)-IF($F1335="",0,$F1335))</f>
        <v/>
      </c>
      <c r="H1335" s="30">
        <f>IF(AND($L1335="",$M1335="",$N1335=""),"",IF($L1335&lt;&gt;"",IF(INDEX(LdANote,$L1335)="","—",INDEX(LdANote,$L1335)),IF($M1335&lt;&gt;"",IF(INDEX(LdBNote,$M1335)="","—",INDEX(LdBNote,$M1335)),IF($N1335&lt;&gt;"",IF(INDEX(LdCNote,$N1335)="","—",INDEX(LdCNote,$N1335)),""))))</f>
        <v/>
      </c>
      <c r="L1335">
        <f>IFERROR(MATCH($C$5&amp;"|"&amp;RIGHT("000000"&amp;1319,6),LdAKeyM,0),"")</f>
        <v/>
      </c>
      <c r="M1335">
        <f>IFERROR(MATCH($C$5&amp;"|"&amp;RIGHT("000000"&amp;1319,6),LdBKeyM,0),"")</f>
        <v/>
      </c>
      <c r="N1335">
        <f>IFERROR(MATCH($C$5&amp;"|"&amp;RIGHT("000000"&amp;1319,6),LdCKeyM,0),"")</f>
        <v/>
      </c>
    </row>
    <row r="1336">
      <c r="A1336" s="19" t="n">
        <v>1320</v>
      </c>
      <c r="B1336" s="20">
        <f>IF(AND($L1336="",$M1336="",$N1336=""),"",IF($L1336&lt;&gt;"",INDEX(LdADate,$L1336),IF($M1336&lt;&gt;"",INDEX(LdBDate,$M1336),INDEX(LdCDate,$N1336))))</f>
        <v/>
      </c>
      <c r="C1336" s="20">
        <f>IF($L1336&lt;&gt;"","دستمزد (فردی)",IF($M1336&lt;&gt;"","سهم از گروه "&amp;IFERROR(VLOOKUP(INDEX(LdBGroup,$M1336),WGTbl,2,0),INDEX(LdBGroup,$M1336)),IF($N1336&lt;&gt;"",IF(N(INDEX(LdCDep,$N1336))&gt;0,"بازگشت بانکی","پرداخت بانکی"),"")))</f>
        <v/>
      </c>
      <c r="D1336" s="20">
        <f>IF($L1336&lt;&gt;"",IF(INDEX(LdAId,$L1336)="","—",INDEX(LdAId,$L1336)),IF($M1336&lt;&gt;"",IF(INDEX(LdBId,$M1336)="","—",INDEX(LdBId,$M1336)),IF($N1336&lt;&gt;"",IF(INDEX(LdCBank,$N1336)="","—",INDEX(LdCBank,$N1336)),"")))</f>
        <v/>
      </c>
      <c r="E1336" s="21">
        <f>IF($L1336&lt;&gt;"",IF(INDEX(LdAAmt,$L1336)=0,"",INDEX(LdAAmt,$L1336)),IF($M1336&lt;&gt;"",IF(INDEX(LdBAmt,$M1336)=0,"",INDEX(LdBAmt,$M1336)),IF($N1336&lt;&gt;"",IF(INDEX(LdCDep,$N1336)=0,"",INDEX(LdCDep,$N1336)),"")))</f>
        <v/>
      </c>
      <c r="F1336" s="21">
        <f>IF(AND($L1336="",$M1336="",$N1336=""),"",IF($N1336="","",IF(INDEX(LdCWit,$N1336)=0,"",INDEX(LdCWit,$N1336))))</f>
        <v/>
      </c>
      <c r="G1336" s="31">
        <f>IF($B1336="","",IF($G1335="",0,$G1335)+IF($E1336="",0,$E1336)-IF($F1336="",0,$F1336))</f>
        <v/>
      </c>
      <c r="H1336" s="32">
        <f>IF(AND($L1336="",$M1336="",$N1336=""),"",IF($L1336&lt;&gt;"",IF(INDEX(LdANote,$L1336)="","—",INDEX(LdANote,$L1336)),IF($M1336&lt;&gt;"",IF(INDEX(LdBNote,$M1336)="","—",INDEX(LdBNote,$M1336)),IF($N1336&lt;&gt;"",IF(INDEX(LdCNote,$N1336)="","—",INDEX(LdCNote,$N1336)),""))))</f>
        <v/>
      </c>
      <c r="L1336">
        <f>IFERROR(MATCH($C$5&amp;"|"&amp;RIGHT("000000"&amp;1320,6),LdAKeyM,0),"")</f>
        <v/>
      </c>
      <c r="M1336">
        <f>IFERROR(MATCH($C$5&amp;"|"&amp;RIGHT("000000"&amp;1320,6),LdBKeyM,0),"")</f>
        <v/>
      </c>
      <c r="N1336">
        <f>IFERROR(MATCH($C$5&amp;"|"&amp;RIGHT("000000"&amp;1320,6),LdCKeyM,0),"")</f>
        <v/>
      </c>
    </row>
    <row r="1337">
      <c r="A1337" s="10" t="n">
        <v>1321</v>
      </c>
      <c r="B1337" s="14">
        <f>IF(AND($L1337="",$M1337="",$N1337=""),"",IF($L1337&lt;&gt;"",INDEX(LdADate,$L1337),IF($M1337&lt;&gt;"",INDEX(LdBDate,$M1337),INDEX(LdCDate,$N1337))))</f>
        <v/>
      </c>
      <c r="C1337" s="14">
        <f>IF($L1337&lt;&gt;"","دستمزد (فردی)",IF($M1337&lt;&gt;"","سهم از گروه "&amp;IFERROR(VLOOKUP(INDEX(LdBGroup,$M1337),WGTbl,2,0),INDEX(LdBGroup,$M1337)),IF($N1337&lt;&gt;"",IF(N(INDEX(LdCDep,$N1337))&gt;0,"بازگشت بانکی","پرداخت بانکی"),"")))</f>
        <v/>
      </c>
      <c r="D1337" s="14">
        <f>IF($L1337&lt;&gt;"",IF(INDEX(LdAId,$L1337)="","—",INDEX(LdAId,$L1337)),IF($M1337&lt;&gt;"",IF(INDEX(LdBId,$M1337)="","—",INDEX(LdBId,$M1337)),IF($N1337&lt;&gt;"",IF(INDEX(LdCBank,$N1337)="","—",INDEX(LdCBank,$N1337)),"")))</f>
        <v/>
      </c>
      <c r="E1337" s="16">
        <f>IF($L1337&lt;&gt;"",IF(INDEX(LdAAmt,$L1337)=0,"",INDEX(LdAAmt,$L1337)),IF($M1337&lt;&gt;"",IF(INDEX(LdBAmt,$M1337)=0,"",INDEX(LdBAmt,$M1337)),IF($N1337&lt;&gt;"",IF(INDEX(LdCDep,$N1337)=0,"",INDEX(LdCDep,$N1337)),"")))</f>
        <v/>
      </c>
      <c r="F1337" s="16">
        <f>IF(AND($L1337="",$M1337="",$N1337=""),"",IF($N1337="","",IF(INDEX(LdCWit,$N1337)=0,"",INDEX(LdCWit,$N1337))))</f>
        <v/>
      </c>
      <c r="G1337" s="29">
        <f>IF($B1337="","",IF($G1336="",0,$G1336)+IF($E1337="",0,$E1337)-IF($F1337="",0,$F1337))</f>
        <v/>
      </c>
      <c r="H1337" s="30">
        <f>IF(AND($L1337="",$M1337="",$N1337=""),"",IF($L1337&lt;&gt;"",IF(INDEX(LdANote,$L1337)="","—",INDEX(LdANote,$L1337)),IF($M1337&lt;&gt;"",IF(INDEX(LdBNote,$M1337)="","—",INDEX(LdBNote,$M1337)),IF($N1337&lt;&gt;"",IF(INDEX(LdCNote,$N1337)="","—",INDEX(LdCNote,$N1337)),""))))</f>
        <v/>
      </c>
      <c r="L1337">
        <f>IFERROR(MATCH($C$5&amp;"|"&amp;RIGHT("000000"&amp;1321,6),LdAKeyM,0),"")</f>
        <v/>
      </c>
      <c r="M1337">
        <f>IFERROR(MATCH($C$5&amp;"|"&amp;RIGHT("000000"&amp;1321,6),LdBKeyM,0),"")</f>
        <v/>
      </c>
      <c r="N1337">
        <f>IFERROR(MATCH($C$5&amp;"|"&amp;RIGHT("000000"&amp;1321,6),LdCKeyM,0),"")</f>
        <v/>
      </c>
    </row>
    <row r="1338">
      <c r="A1338" s="19" t="n">
        <v>1322</v>
      </c>
      <c r="B1338" s="20">
        <f>IF(AND($L1338="",$M1338="",$N1338=""),"",IF($L1338&lt;&gt;"",INDEX(LdADate,$L1338),IF($M1338&lt;&gt;"",INDEX(LdBDate,$M1338),INDEX(LdCDate,$N1338))))</f>
        <v/>
      </c>
      <c r="C1338" s="20">
        <f>IF($L1338&lt;&gt;"","دستمزد (فردی)",IF($M1338&lt;&gt;"","سهم از گروه "&amp;IFERROR(VLOOKUP(INDEX(LdBGroup,$M1338),WGTbl,2,0),INDEX(LdBGroup,$M1338)),IF($N1338&lt;&gt;"",IF(N(INDEX(LdCDep,$N1338))&gt;0,"بازگشت بانکی","پرداخت بانکی"),"")))</f>
        <v/>
      </c>
      <c r="D1338" s="20">
        <f>IF($L1338&lt;&gt;"",IF(INDEX(LdAId,$L1338)="","—",INDEX(LdAId,$L1338)),IF($M1338&lt;&gt;"",IF(INDEX(LdBId,$M1338)="","—",INDEX(LdBId,$M1338)),IF($N1338&lt;&gt;"",IF(INDEX(LdCBank,$N1338)="","—",INDEX(LdCBank,$N1338)),"")))</f>
        <v/>
      </c>
      <c r="E1338" s="21">
        <f>IF($L1338&lt;&gt;"",IF(INDEX(LdAAmt,$L1338)=0,"",INDEX(LdAAmt,$L1338)),IF($M1338&lt;&gt;"",IF(INDEX(LdBAmt,$M1338)=0,"",INDEX(LdBAmt,$M1338)),IF($N1338&lt;&gt;"",IF(INDEX(LdCDep,$N1338)=0,"",INDEX(LdCDep,$N1338)),"")))</f>
        <v/>
      </c>
      <c r="F1338" s="21">
        <f>IF(AND($L1338="",$M1338="",$N1338=""),"",IF($N1338="","",IF(INDEX(LdCWit,$N1338)=0,"",INDEX(LdCWit,$N1338))))</f>
        <v/>
      </c>
      <c r="G1338" s="31">
        <f>IF($B1338="","",IF($G1337="",0,$G1337)+IF($E1338="",0,$E1338)-IF($F1338="",0,$F1338))</f>
        <v/>
      </c>
      <c r="H1338" s="32">
        <f>IF(AND($L1338="",$M1338="",$N1338=""),"",IF($L1338&lt;&gt;"",IF(INDEX(LdANote,$L1338)="","—",INDEX(LdANote,$L1338)),IF($M1338&lt;&gt;"",IF(INDEX(LdBNote,$M1338)="","—",INDEX(LdBNote,$M1338)),IF($N1338&lt;&gt;"",IF(INDEX(LdCNote,$N1338)="","—",INDEX(LdCNote,$N1338)),""))))</f>
        <v/>
      </c>
      <c r="L1338">
        <f>IFERROR(MATCH($C$5&amp;"|"&amp;RIGHT("000000"&amp;1322,6),LdAKeyM,0),"")</f>
        <v/>
      </c>
      <c r="M1338">
        <f>IFERROR(MATCH($C$5&amp;"|"&amp;RIGHT("000000"&amp;1322,6),LdBKeyM,0),"")</f>
        <v/>
      </c>
      <c r="N1338">
        <f>IFERROR(MATCH($C$5&amp;"|"&amp;RIGHT("000000"&amp;1322,6),LdCKeyM,0),"")</f>
        <v/>
      </c>
    </row>
    <row r="1339">
      <c r="A1339" s="10" t="n">
        <v>1323</v>
      </c>
      <c r="B1339" s="14">
        <f>IF(AND($L1339="",$M1339="",$N1339=""),"",IF($L1339&lt;&gt;"",INDEX(LdADate,$L1339),IF($M1339&lt;&gt;"",INDEX(LdBDate,$M1339),INDEX(LdCDate,$N1339))))</f>
        <v/>
      </c>
      <c r="C1339" s="14">
        <f>IF($L1339&lt;&gt;"","دستمزد (فردی)",IF($M1339&lt;&gt;"","سهم از گروه "&amp;IFERROR(VLOOKUP(INDEX(LdBGroup,$M1339),WGTbl,2,0),INDEX(LdBGroup,$M1339)),IF($N1339&lt;&gt;"",IF(N(INDEX(LdCDep,$N1339))&gt;0,"بازگشت بانکی","پرداخت بانکی"),"")))</f>
        <v/>
      </c>
      <c r="D1339" s="14">
        <f>IF($L1339&lt;&gt;"",IF(INDEX(LdAId,$L1339)="","—",INDEX(LdAId,$L1339)),IF($M1339&lt;&gt;"",IF(INDEX(LdBId,$M1339)="","—",INDEX(LdBId,$M1339)),IF($N1339&lt;&gt;"",IF(INDEX(LdCBank,$N1339)="","—",INDEX(LdCBank,$N1339)),"")))</f>
        <v/>
      </c>
      <c r="E1339" s="16">
        <f>IF($L1339&lt;&gt;"",IF(INDEX(LdAAmt,$L1339)=0,"",INDEX(LdAAmt,$L1339)),IF($M1339&lt;&gt;"",IF(INDEX(LdBAmt,$M1339)=0,"",INDEX(LdBAmt,$M1339)),IF($N1339&lt;&gt;"",IF(INDEX(LdCDep,$N1339)=0,"",INDEX(LdCDep,$N1339)),"")))</f>
        <v/>
      </c>
      <c r="F1339" s="16">
        <f>IF(AND($L1339="",$M1339="",$N1339=""),"",IF($N1339="","",IF(INDEX(LdCWit,$N1339)=0,"",INDEX(LdCWit,$N1339))))</f>
        <v/>
      </c>
      <c r="G1339" s="29">
        <f>IF($B1339="","",IF($G1338="",0,$G1338)+IF($E1339="",0,$E1339)-IF($F1339="",0,$F1339))</f>
        <v/>
      </c>
      <c r="H1339" s="30">
        <f>IF(AND($L1339="",$M1339="",$N1339=""),"",IF($L1339&lt;&gt;"",IF(INDEX(LdANote,$L1339)="","—",INDEX(LdANote,$L1339)),IF($M1339&lt;&gt;"",IF(INDEX(LdBNote,$M1339)="","—",INDEX(LdBNote,$M1339)),IF($N1339&lt;&gt;"",IF(INDEX(LdCNote,$N1339)="","—",INDEX(LdCNote,$N1339)),""))))</f>
        <v/>
      </c>
      <c r="L1339">
        <f>IFERROR(MATCH($C$5&amp;"|"&amp;RIGHT("000000"&amp;1323,6),LdAKeyM,0),"")</f>
        <v/>
      </c>
      <c r="M1339">
        <f>IFERROR(MATCH($C$5&amp;"|"&amp;RIGHT("000000"&amp;1323,6),LdBKeyM,0),"")</f>
        <v/>
      </c>
      <c r="N1339">
        <f>IFERROR(MATCH($C$5&amp;"|"&amp;RIGHT("000000"&amp;1323,6),LdCKeyM,0),"")</f>
        <v/>
      </c>
    </row>
    <row r="1340">
      <c r="A1340" s="19" t="n">
        <v>1324</v>
      </c>
      <c r="B1340" s="20">
        <f>IF(AND($L1340="",$M1340="",$N1340=""),"",IF($L1340&lt;&gt;"",INDEX(LdADate,$L1340),IF($M1340&lt;&gt;"",INDEX(LdBDate,$M1340),INDEX(LdCDate,$N1340))))</f>
        <v/>
      </c>
      <c r="C1340" s="20">
        <f>IF($L1340&lt;&gt;"","دستمزد (فردی)",IF($M1340&lt;&gt;"","سهم از گروه "&amp;IFERROR(VLOOKUP(INDEX(LdBGroup,$M1340),WGTbl,2,0),INDEX(LdBGroup,$M1340)),IF($N1340&lt;&gt;"",IF(N(INDEX(LdCDep,$N1340))&gt;0,"بازگشت بانکی","پرداخت بانکی"),"")))</f>
        <v/>
      </c>
      <c r="D1340" s="20">
        <f>IF($L1340&lt;&gt;"",IF(INDEX(LdAId,$L1340)="","—",INDEX(LdAId,$L1340)),IF($M1340&lt;&gt;"",IF(INDEX(LdBId,$M1340)="","—",INDEX(LdBId,$M1340)),IF($N1340&lt;&gt;"",IF(INDEX(LdCBank,$N1340)="","—",INDEX(LdCBank,$N1340)),"")))</f>
        <v/>
      </c>
      <c r="E1340" s="21">
        <f>IF($L1340&lt;&gt;"",IF(INDEX(LdAAmt,$L1340)=0,"",INDEX(LdAAmt,$L1340)),IF($M1340&lt;&gt;"",IF(INDEX(LdBAmt,$M1340)=0,"",INDEX(LdBAmt,$M1340)),IF($N1340&lt;&gt;"",IF(INDEX(LdCDep,$N1340)=0,"",INDEX(LdCDep,$N1340)),"")))</f>
        <v/>
      </c>
      <c r="F1340" s="21">
        <f>IF(AND($L1340="",$M1340="",$N1340=""),"",IF($N1340="","",IF(INDEX(LdCWit,$N1340)=0,"",INDEX(LdCWit,$N1340))))</f>
        <v/>
      </c>
      <c r="G1340" s="31">
        <f>IF($B1340="","",IF($G1339="",0,$G1339)+IF($E1340="",0,$E1340)-IF($F1340="",0,$F1340))</f>
        <v/>
      </c>
      <c r="H1340" s="32">
        <f>IF(AND($L1340="",$M1340="",$N1340=""),"",IF($L1340&lt;&gt;"",IF(INDEX(LdANote,$L1340)="","—",INDEX(LdANote,$L1340)),IF($M1340&lt;&gt;"",IF(INDEX(LdBNote,$M1340)="","—",INDEX(LdBNote,$M1340)),IF($N1340&lt;&gt;"",IF(INDEX(LdCNote,$N1340)="","—",INDEX(LdCNote,$N1340)),""))))</f>
        <v/>
      </c>
      <c r="L1340">
        <f>IFERROR(MATCH($C$5&amp;"|"&amp;RIGHT("000000"&amp;1324,6),LdAKeyM,0),"")</f>
        <v/>
      </c>
      <c r="M1340">
        <f>IFERROR(MATCH($C$5&amp;"|"&amp;RIGHT("000000"&amp;1324,6),LdBKeyM,0),"")</f>
        <v/>
      </c>
      <c r="N1340">
        <f>IFERROR(MATCH($C$5&amp;"|"&amp;RIGHT("000000"&amp;1324,6),LdCKeyM,0),"")</f>
        <v/>
      </c>
    </row>
    <row r="1341">
      <c r="A1341" s="10" t="n">
        <v>1325</v>
      </c>
      <c r="B1341" s="14">
        <f>IF(AND($L1341="",$M1341="",$N1341=""),"",IF($L1341&lt;&gt;"",INDEX(LdADate,$L1341),IF($M1341&lt;&gt;"",INDEX(LdBDate,$M1341),INDEX(LdCDate,$N1341))))</f>
        <v/>
      </c>
      <c r="C1341" s="14">
        <f>IF($L1341&lt;&gt;"","دستمزد (فردی)",IF($M1341&lt;&gt;"","سهم از گروه "&amp;IFERROR(VLOOKUP(INDEX(LdBGroup,$M1341),WGTbl,2,0),INDEX(LdBGroup,$M1341)),IF($N1341&lt;&gt;"",IF(N(INDEX(LdCDep,$N1341))&gt;0,"بازگشت بانکی","پرداخت بانکی"),"")))</f>
        <v/>
      </c>
      <c r="D1341" s="14">
        <f>IF($L1341&lt;&gt;"",IF(INDEX(LdAId,$L1341)="","—",INDEX(LdAId,$L1341)),IF($M1341&lt;&gt;"",IF(INDEX(LdBId,$M1341)="","—",INDEX(LdBId,$M1341)),IF($N1341&lt;&gt;"",IF(INDEX(LdCBank,$N1341)="","—",INDEX(LdCBank,$N1341)),"")))</f>
        <v/>
      </c>
      <c r="E1341" s="16">
        <f>IF($L1341&lt;&gt;"",IF(INDEX(LdAAmt,$L1341)=0,"",INDEX(LdAAmt,$L1341)),IF($M1341&lt;&gt;"",IF(INDEX(LdBAmt,$M1341)=0,"",INDEX(LdBAmt,$M1341)),IF($N1341&lt;&gt;"",IF(INDEX(LdCDep,$N1341)=0,"",INDEX(LdCDep,$N1341)),"")))</f>
        <v/>
      </c>
      <c r="F1341" s="16">
        <f>IF(AND($L1341="",$M1341="",$N1341=""),"",IF($N1341="","",IF(INDEX(LdCWit,$N1341)=0,"",INDEX(LdCWit,$N1341))))</f>
        <v/>
      </c>
      <c r="G1341" s="29">
        <f>IF($B1341="","",IF($G1340="",0,$G1340)+IF($E1341="",0,$E1341)-IF($F1341="",0,$F1341))</f>
        <v/>
      </c>
      <c r="H1341" s="30">
        <f>IF(AND($L1341="",$M1341="",$N1341=""),"",IF($L1341&lt;&gt;"",IF(INDEX(LdANote,$L1341)="","—",INDEX(LdANote,$L1341)),IF($M1341&lt;&gt;"",IF(INDEX(LdBNote,$M1341)="","—",INDEX(LdBNote,$M1341)),IF($N1341&lt;&gt;"",IF(INDEX(LdCNote,$N1341)="","—",INDEX(LdCNote,$N1341)),""))))</f>
        <v/>
      </c>
      <c r="L1341">
        <f>IFERROR(MATCH($C$5&amp;"|"&amp;RIGHT("000000"&amp;1325,6),LdAKeyM,0),"")</f>
        <v/>
      </c>
      <c r="M1341">
        <f>IFERROR(MATCH($C$5&amp;"|"&amp;RIGHT("000000"&amp;1325,6),LdBKeyM,0),"")</f>
        <v/>
      </c>
      <c r="N1341">
        <f>IFERROR(MATCH($C$5&amp;"|"&amp;RIGHT("000000"&amp;1325,6),LdCKeyM,0),"")</f>
        <v/>
      </c>
    </row>
    <row r="1342">
      <c r="A1342" s="19" t="n">
        <v>1326</v>
      </c>
      <c r="B1342" s="20">
        <f>IF(AND($L1342="",$M1342="",$N1342=""),"",IF($L1342&lt;&gt;"",INDEX(LdADate,$L1342),IF($M1342&lt;&gt;"",INDEX(LdBDate,$M1342),INDEX(LdCDate,$N1342))))</f>
        <v/>
      </c>
      <c r="C1342" s="20">
        <f>IF($L1342&lt;&gt;"","دستمزد (فردی)",IF($M1342&lt;&gt;"","سهم از گروه "&amp;IFERROR(VLOOKUP(INDEX(LdBGroup,$M1342),WGTbl,2,0),INDEX(LdBGroup,$M1342)),IF($N1342&lt;&gt;"",IF(N(INDEX(LdCDep,$N1342))&gt;0,"بازگشت بانکی","پرداخت بانکی"),"")))</f>
        <v/>
      </c>
      <c r="D1342" s="20">
        <f>IF($L1342&lt;&gt;"",IF(INDEX(LdAId,$L1342)="","—",INDEX(LdAId,$L1342)),IF($M1342&lt;&gt;"",IF(INDEX(LdBId,$M1342)="","—",INDEX(LdBId,$M1342)),IF($N1342&lt;&gt;"",IF(INDEX(LdCBank,$N1342)="","—",INDEX(LdCBank,$N1342)),"")))</f>
        <v/>
      </c>
      <c r="E1342" s="21">
        <f>IF($L1342&lt;&gt;"",IF(INDEX(LdAAmt,$L1342)=0,"",INDEX(LdAAmt,$L1342)),IF($M1342&lt;&gt;"",IF(INDEX(LdBAmt,$M1342)=0,"",INDEX(LdBAmt,$M1342)),IF($N1342&lt;&gt;"",IF(INDEX(LdCDep,$N1342)=0,"",INDEX(LdCDep,$N1342)),"")))</f>
        <v/>
      </c>
      <c r="F1342" s="21">
        <f>IF(AND($L1342="",$M1342="",$N1342=""),"",IF($N1342="","",IF(INDEX(LdCWit,$N1342)=0,"",INDEX(LdCWit,$N1342))))</f>
        <v/>
      </c>
      <c r="G1342" s="31">
        <f>IF($B1342="","",IF($G1341="",0,$G1341)+IF($E1342="",0,$E1342)-IF($F1342="",0,$F1342))</f>
        <v/>
      </c>
      <c r="H1342" s="32">
        <f>IF(AND($L1342="",$M1342="",$N1342=""),"",IF($L1342&lt;&gt;"",IF(INDEX(LdANote,$L1342)="","—",INDEX(LdANote,$L1342)),IF($M1342&lt;&gt;"",IF(INDEX(LdBNote,$M1342)="","—",INDEX(LdBNote,$M1342)),IF($N1342&lt;&gt;"",IF(INDEX(LdCNote,$N1342)="","—",INDEX(LdCNote,$N1342)),""))))</f>
        <v/>
      </c>
      <c r="L1342">
        <f>IFERROR(MATCH($C$5&amp;"|"&amp;RIGHT("000000"&amp;1326,6),LdAKeyM,0),"")</f>
        <v/>
      </c>
      <c r="M1342">
        <f>IFERROR(MATCH($C$5&amp;"|"&amp;RIGHT("000000"&amp;1326,6),LdBKeyM,0),"")</f>
        <v/>
      </c>
      <c r="N1342">
        <f>IFERROR(MATCH($C$5&amp;"|"&amp;RIGHT("000000"&amp;1326,6),LdCKeyM,0),"")</f>
        <v/>
      </c>
    </row>
    <row r="1343">
      <c r="A1343" s="10" t="n">
        <v>1327</v>
      </c>
      <c r="B1343" s="14">
        <f>IF(AND($L1343="",$M1343="",$N1343=""),"",IF($L1343&lt;&gt;"",INDEX(LdADate,$L1343),IF($M1343&lt;&gt;"",INDEX(LdBDate,$M1343),INDEX(LdCDate,$N1343))))</f>
        <v/>
      </c>
      <c r="C1343" s="14">
        <f>IF($L1343&lt;&gt;"","دستمزد (فردی)",IF($M1343&lt;&gt;"","سهم از گروه "&amp;IFERROR(VLOOKUP(INDEX(LdBGroup,$M1343),WGTbl,2,0),INDEX(LdBGroup,$M1343)),IF($N1343&lt;&gt;"",IF(N(INDEX(LdCDep,$N1343))&gt;0,"بازگشت بانکی","پرداخت بانکی"),"")))</f>
        <v/>
      </c>
      <c r="D1343" s="14">
        <f>IF($L1343&lt;&gt;"",IF(INDEX(LdAId,$L1343)="","—",INDEX(LdAId,$L1343)),IF($M1343&lt;&gt;"",IF(INDEX(LdBId,$M1343)="","—",INDEX(LdBId,$M1343)),IF($N1343&lt;&gt;"",IF(INDEX(LdCBank,$N1343)="","—",INDEX(LdCBank,$N1343)),"")))</f>
        <v/>
      </c>
      <c r="E1343" s="16">
        <f>IF($L1343&lt;&gt;"",IF(INDEX(LdAAmt,$L1343)=0,"",INDEX(LdAAmt,$L1343)),IF($M1343&lt;&gt;"",IF(INDEX(LdBAmt,$M1343)=0,"",INDEX(LdBAmt,$M1343)),IF($N1343&lt;&gt;"",IF(INDEX(LdCDep,$N1343)=0,"",INDEX(LdCDep,$N1343)),"")))</f>
        <v/>
      </c>
      <c r="F1343" s="16">
        <f>IF(AND($L1343="",$M1343="",$N1343=""),"",IF($N1343="","",IF(INDEX(LdCWit,$N1343)=0,"",INDEX(LdCWit,$N1343))))</f>
        <v/>
      </c>
      <c r="G1343" s="29">
        <f>IF($B1343="","",IF($G1342="",0,$G1342)+IF($E1343="",0,$E1343)-IF($F1343="",0,$F1343))</f>
        <v/>
      </c>
      <c r="H1343" s="30">
        <f>IF(AND($L1343="",$M1343="",$N1343=""),"",IF($L1343&lt;&gt;"",IF(INDEX(LdANote,$L1343)="","—",INDEX(LdANote,$L1343)),IF($M1343&lt;&gt;"",IF(INDEX(LdBNote,$M1343)="","—",INDEX(LdBNote,$M1343)),IF($N1343&lt;&gt;"",IF(INDEX(LdCNote,$N1343)="","—",INDEX(LdCNote,$N1343)),""))))</f>
        <v/>
      </c>
      <c r="L1343">
        <f>IFERROR(MATCH($C$5&amp;"|"&amp;RIGHT("000000"&amp;1327,6),LdAKeyM,0),"")</f>
        <v/>
      </c>
      <c r="M1343">
        <f>IFERROR(MATCH($C$5&amp;"|"&amp;RIGHT("000000"&amp;1327,6),LdBKeyM,0),"")</f>
        <v/>
      </c>
      <c r="N1343">
        <f>IFERROR(MATCH($C$5&amp;"|"&amp;RIGHT("000000"&amp;1327,6),LdCKeyM,0),"")</f>
        <v/>
      </c>
    </row>
    <row r="1344">
      <c r="A1344" s="19" t="n">
        <v>1328</v>
      </c>
      <c r="B1344" s="20">
        <f>IF(AND($L1344="",$M1344="",$N1344=""),"",IF($L1344&lt;&gt;"",INDEX(LdADate,$L1344),IF($M1344&lt;&gt;"",INDEX(LdBDate,$M1344),INDEX(LdCDate,$N1344))))</f>
        <v/>
      </c>
      <c r="C1344" s="20">
        <f>IF($L1344&lt;&gt;"","دستمزد (فردی)",IF($M1344&lt;&gt;"","سهم از گروه "&amp;IFERROR(VLOOKUP(INDEX(LdBGroup,$M1344),WGTbl,2,0),INDEX(LdBGroup,$M1344)),IF($N1344&lt;&gt;"",IF(N(INDEX(LdCDep,$N1344))&gt;0,"بازگشت بانکی","پرداخت بانکی"),"")))</f>
        <v/>
      </c>
      <c r="D1344" s="20">
        <f>IF($L1344&lt;&gt;"",IF(INDEX(LdAId,$L1344)="","—",INDEX(LdAId,$L1344)),IF($M1344&lt;&gt;"",IF(INDEX(LdBId,$M1344)="","—",INDEX(LdBId,$M1344)),IF($N1344&lt;&gt;"",IF(INDEX(LdCBank,$N1344)="","—",INDEX(LdCBank,$N1344)),"")))</f>
        <v/>
      </c>
      <c r="E1344" s="21">
        <f>IF($L1344&lt;&gt;"",IF(INDEX(LdAAmt,$L1344)=0,"",INDEX(LdAAmt,$L1344)),IF($M1344&lt;&gt;"",IF(INDEX(LdBAmt,$M1344)=0,"",INDEX(LdBAmt,$M1344)),IF($N1344&lt;&gt;"",IF(INDEX(LdCDep,$N1344)=0,"",INDEX(LdCDep,$N1344)),"")))</f>
        <v/>
      </c>
      <c r="F1344" s="21">
        <f>IF(AND($L1344="",$M1344="",$N1344=""),"",IF($N1344="","",IF(INDEX(LdCWit,$N1344)=0,"",INDEX(LdCWit,$N1344))))</f>
        <v/>
      </c>
      <c r="G1344" s="31">
        <f>IF($B1344="","",IF($G1343="",0,$G1343)+IF($E1344="",0,$E1344)-IF($F1344="",0,$F1344))</f>
        <v/>
      </c>
      <c r="H1344" s="32">
        <f>IF(AND($L1344="",$M1344="",$N1344=""),"",IF($L1344&lt;&gt;"",IF(INDEX(LdANote,$L1344)="","—",INDEX(LdANote,$L1344)),IF($M1344&lt;&gt;"",IF(INDEX(LdBNote,$M1344)="","—",INDEX(LdBNote,$M1344)),IF($N1344&lt;&gt;"",IF(INDEX(LdCNote,$N1344)="","—",INDEX(LdCNote,$N1344)),""))))</f>
        <v/>
      </c>
      <c r="L1344">
        <f>IFERROR(MATCH($C$5&amp;"|"&amp;RIGHT("000000"&amp;1328,6),LdAKeyM,0),"")</f>
        <v/>
      </c>
      <c r="M1344">
        <f>IFERROR(MATCH($C$5&amp;"|"&amp;RIGHT("000000"&amp;1328,6),LdBKeyM,0),"")</f>
        <v/>
      </c>
      <c r="N1344">
        <f>IFERROR(MATCH($C$5&amp;"|"&amp;RIGHT("000000"&amp;1328,6),LdCKeyM,0),"")</f>
        <v/>
      </c>
    </row>
    <row r="1345">
      <c r="A1345" s="10" t="n">
        <v>1329</v>
      </c>
      <c r="B1345" s="14">
        <f>IF(AND($L1345="",$M1345="",$N1345=""),"",IF($L1345&lt;&gt;"",INDEX(LdADate,$L1345),IF($M1345&lt;&gt;"",INDEX(LdBDate,$M1345),INDEX(LdCDate,$N1345))))</f>
        <v/>
      </c>
      <c r="C1345" s="14">
        <f>IF($L1345&lt;&gt;"","دستمزد (فردی)",IF($M1345&lt;&gt;"","سهم از گروه "&amp;IFERROR(VLOOKUP(INDEX(LdBGroup,$M1345),WGTbl,2,0),INDEX(LdBGroup,$M1345)),IF($N1345&lt;&gt;"",IF(N(INDEX(LdCDep,$N1345))&gt;0,"بازگشت بانکی","پرداخت بانکی"),"")))</f>
        <v/>
      </c>
      <c r="D1345" s="14">
        <f>IF($L1345&lt;&gt;"",IF(INDEX(LdAId,$L1345)="","—",INDEX(LdAId,$L1345)),IF($M1345&lt;&gt;"",IF(INDEX(LdBId,$M1345)="","—",INDEX(LdBId,$M1345)),IF($N1345&lt;&gt;"",IF(INDEX(LdCBank,$N1345)="","—",INDEX(LdCBank,$N1345)),"")))</f>
        <v/>
      </c>
      <c r="E1345" s="16">
        <f>IF($L1345&lt;&gt;"",IF(INDEX(LdAAmt,$L1345)=0,"",INDEX(LdAAmt,$L1345)),IF($M1345&lt;&gt;"",IF(INDEX(LdBAmt,$M1345)=0,"",INDEX(LdBAmt,$M1345)),IF($N1345&lt;&gt;"",IF(INDEX(LdCDep,$N1345)=0,"",INDEX(LdCDep,$N1345)),"")))</f>
        <v/>
      </c>
      <c r="F1345" s="16">
        <f>IF(AND($L1345="",$M1345="",$N1345=""),"",IF($N1345="","",IF(INDEX(LdCWit,$N1345)=0,"",INDEX(LdCWit,$N1345))))</f>
        <v/>
      </c>
      <c r="G1345" s="29">
        <f>IF($B1345="","",IF($G1344="",0,$G1344)+IF($E1345="",0,$E1345)-IF($F1345="",0,$F1345))</f>
        <v/>
      </c>
      <c r="H1345" s="30">
        <f>IF(AND($L1345="",$M1345="",$N1345=""),"",IF($L1345&lt;&gt;"",IF(INDEX(LdANote,$L1345)="","—",INDEX(LdANote,$L1345)),IF($M1345&lt;&gt;"",IF(INDEX(LdBNote,$M1345)="","—",INDEX(LdBNote,$M1345)),IF($N1345&lt;&gt;"",IF(INDEX(LdCNote,$N1345)="","—",INDEX(LdCNote,$N1345)),""))))</f>
        <v/>
      </c>
      <c r="L1345">
        <f>IFERROR(MATCH($C$5&amp;"|"&amp;RIGHT("000000"&amp;1329,6),LdAKeyM,0),"")</f>
        <v/>
      </c>
      <c r="M1345">
        <f>IFERROR(MATCH($C$5&amp;"|"&amp;RIGHT("000000"&amp;1329,6),LdBKeyM,0),"")</f>
        <v/>
      </c>
      <c r="N1345">
        <f>IFERROR(MATCH($C$5&amp;"|"&amp;RIGHT("000000"&amp;1329,6),LdCKeyM,0),"")</f>
        <v/>
      </c>
    </row>
    <row r="1346">
      <c r="A1346" s="19" t="n">
        <v>1330</v>
      </c>
      <c r="B1346" s="20">
        <f>IF(AND($L1346="",$M1346="",$N1346=""),"",IF($L1346&lt;&gt;"",INDEX(LdADate,$L1346),IF($M1346&lt;&gt;"",INDEX(LdBDate,$M1346),INDEX(LdCDate,$N1346))))</f>
        <v/>
      </c>
      <c r="C1346" s="20">
        <f>IF($L1346&lt;&gt;"","دستمزد (فردی)",IF($M1346&lt;&gt;"","سهم از گروه "&amp;IFERROR(VLOOKUP(INDEX(LdBGroup,$M1346),WGTbl,2,0),INDEX(LdBGroup,$M1346)),IF($N1346&lt;&gt;"",IF(N(INDEX(LdCDep,$N1346))&gt;0,"بازگشت بانکی","پرداخت بانکی"),"")))</f>
        <v/>
      </c>
      <c r="D1346" s="20">
        <f>IF($L1346&lt;&gt;"",IF(INDEX(LdAId,$L1346)="","—",INDEX(LdAId,$L1346)),IF($M1346&lt;&gt;"",IF(INDEX(LdBId,$M1346)="","—",INDEX(LdBId,$M1346)),IF($N1346&lt;&gt;"",IF(INDEX(LdCBank,$N1346)="","—",INDEX(LdCBank,$N1346)),"")))</f>
        <v/>
      </c>
      <c r="E1346" s="21">
        <f>IF($L1346&lt;&gt;"",IF(INDEX(LdAAmt,$L1346)=0,"",INDEX(LdAAmt,$L1346)),IF($M1346&lt;&gt;"",IF(INDEX(LdBAmt,$M1346)=0,"",INDEX(LdBAmt,$M1346)),IF($N1346&lt;&gt;"",IF(INDEX(LdCDep,$N1346)=0,"",INDEX(LdCDep,$N1346)),"")))</f>
        <v/>
      </c>
      <c r="F1346" s="21">
        <f>IF(AND($L1346="",$M1346="",$N1346=""),"",IF($N1346="","",IF(INDEX(LdCWit,$N1346)=0,"",INDEX(LdCWit,$N1346))))</f>
        <v/>
      </c>
      <c r="G1346" s="31">
        <f>IF($B1346="","",IF($G1345="",0,$G1345)+IF($E1346="",0,$E1346)-IF($F1346="",0,$F1346))</f>
        <v/>
      </c>
      <c r="H1346" s="32">
        <f>IF(AND($L1346="",$M1346="",$N1346=""),"",IF($L1346&lt;&gt;"",IF(INDEX(LdANote,$L1346)="","—",INDEX(LdANote,$L1346)),IF($M1346&lt;&gt;"",IF(INDEX(LdBNote,$M1346)="","—",INDEX(LdBNote,$M1346)),IF($N1346&lt;&gt;"",IF(INDEX(LdCNote,$N1346)="","—",INDEX(LdCNote,$N1346)),""))))</f>
        <v/>
      </c>
      <c r="L1346">
        <f>IFERROR(MATCH($C$5&amp;"|"&amp;RIGHT("000000"&amp;1330,6),LdAKeyM,0),"")</f>
        <v/>
      </c>
      <c r="M1346">
        <f>IFERROR(MATCH($C$5&amp;"|"&amp;RIGHT("000000"&amp;1330,6),LdBKeyM,0),"")</f>
        <v/>
      </c>
      <c r="N1346">
        <f>IFERROR(MATCH($C$5&amp;"|"&amp;RIGHT("000000"&amp;1330,6),LdCKeyM,0),"")</f>
        <v/>
      </c>
    </row>
    <row r="1347">
      <c r="A1347" s="10" t="n">
        <v>1331</v>
      </c>
      <c r="B1347" s="14">
        <f>IF(AND($L1347="",$M1347="",$N1347=""),"",IF($L1347&lt;&gt;"",INDEX(LdADate,$L1347),IF($M1347&lt;&gt;"",INDEX(LdBDate,$M1347),INDEX(LdCDate,$N1347))))</f>
        <v/>
      </c>
      <c r="C1347" s="14">
        <f>IF($L1347&lt;&gt;"","دستمزد (فردی)",IF($M1347&lt;&gt;"","سهم از گروه "&amp;IFERROR(VLOOKUP(INDEX(LdBGroup,$M1347),WGTbl,2,0),INDEX(LdBGroup,$M1347)),IF($N1347&lt;&gt;"",IF(N(INDEX(LdCDep,$N1347))&gt;0,"بازگشت بانکی","پرداخت بانکی"),"")))</f>
        <v/>
      </c>
      <c r="D1347" s="14">
        <f>IF($L1347&lt;&gt;"",IF(INDEX(LdAId,$L1347)="","—",INDEX(LdAId,$L1347)),IF($M1347&lt;&gt;"",IF(INDEX(LdBId,$M1347)="","—",INDEX(LdBId,$M1347)),IF($N1347&lt;&gt;"",IF(INDEX(LdCBank,$N1347)="","—",INDEX(LdCBank,$N1347)),"")))</f>
        <v/>
      </c>
      <c r="E1347" s="16">
        <f>IF($L1347&lt;&gt;"",IF(INDEX(LdAAmt,$L1347)=0,"",INDEX(LdAAmt,$L1347)),IF($M1347&lt;&gt;"",IF(INDEX(LdBAmt,$M1347)=0,"",INDEX(LdBAmt,$M1347)),IF($N1347&lt;&gt;"",IF(INDEX(LdCDep,$N1347)=0,"",INDEX(LdCDep,$N1347)),"")))</f>
        <v/>
      </c>
      <c r="F1347" s="16">
        <f>IF(AND($L1347="",$M1347="",$N1347=""),"",IF($N1347="","",IF(INDEX(LdCWit,$N1347)=0,"",INDEX(LdCWit,$N1347))))</f>
        <v/>
      </c>
      <c r="G1347" s="29">
        <f>IF($B1347="","",IF($G1346="",0,$G1346)+IF($E1347="",0,$E1347)-IF($F1347="",0,$F1347))</f>
        <v/>
      </c>
      <c r="H1347" s="30">
        <f>IF(AND($L1347="",$M1347="",$N1347=""),"",IF($L1347&lt;&gt;"",IF(INDEX(LdANote,$L1347)="","—",INDEX(LdANote,$L1347)),IF($M1347&lt;&gt;"",IF(INDEX(LdBNote,$M1347)="","—",INDEX(LdBNote,$M1347)),IF($N1347&lt;&gt;"",IF(INDEX(LdCNote,$N1347)="","—",INDEX(LdCNote,$N1347)),""))))</f>
        <v/>
      </c>
      <c r="L1347">
        <f>IFERROR(MATCH($C$5&amp;"|"&amp;RIGHT("000000"&amp;1331,6),LdAKeyM,0),"")</f>
        <v/>
      </c>
      <c r="M1347">
        <f>IFERROR(MATCH($C$5&amp;"|"&amp;RIGHT("000000"&amp;1331,6),LdBKeyM,0),"")</f>
        <v/>
      </c>
      <c r="N1347">
        <f>IFERROR(MATCH($C$5&amp;"|"&amp;RIGHT("000000"&amp;1331,6),LdCKeyM,0),"")</f>
        <v/>
      </c>
    </row>
    <row r="1348">
      <c r="A1348" s="19" t="n">
        <v>1332</v>
      </c>
      <c r="B1348" s="20">
        <f>IF(AND($L1348="",$M1348="",$N1348=""),"",IF($L1348&lt;&gt;"",INDEX(LdADate,$L1348),IF($M1348&lt;&gt;"",INDEX(LdBDate,$M1348),INDEX(LdCDate,$N1348))))</f>
        <v/>
      </c>
      <c r="C1348" s="20">
        <f>IF($L1348&lt;&gt;"","دستمزد (فردی)",IF($M1348&lt;&gt;"","سهم از گروه "&amp;IFERROR(VLOOKUP(INDEX(LdBGroup,$M1348),WGTbl,2,0),INDEX(LdBGroup,$M1348)),IF($N1348&lt;&gt;"",IF(N(INDEX(LdCDep,$N1348))&gt;0,"بازگشت بانکی","پرداخت بانکی"),"")))</f>
        <v/>
      </c>
      <c r="D1348" s="20">
        <f>IF($L1348&lt;&gt;"",IF(INDEX(LdAId,$L1348)="","—",INDEX(LdAId,$L1348)),IF($M1348&lt;&gt;"",IF(INDEX(LdBId,$M1348)="","—",INDEX(LdBId,$M1348)),IF($N1348&lt;&gt;"",IF(INDEX(LdCBank,$N1348)="","—",INDEX(LdCBank,$N1348)),"")))</f>
        <v/>
      </c>
      <c r="E1348" s="21">
        <f>IF($L1348&lt;&gt;"",IF(INDEX(LdAAmt,$L1348)=0,"",INDEX(LdAAmt,$L1348)),IF($M1348&lt;&gt;"",IF(INDEX(LdBAmt,$M1348)=0,"",INDEX(LdBAmt,$M1348)),IF($N1348&lt;&gt;"",IF(INDEX(LdCDep,$N1348)=0,"",INDEX(LdCDep,$N1348)),"")))</f>
        <v/>
      </c>
      <c r="F1348" s="21">
        <f>IF(AND($L1348="",$M1348="",$N1348=""),"",IF($N1348="","",IF(INDEX(LdCWit,$N1348)=0,"",INDEX(LdCWit,$N1348))))</f>
        <v/>
      </c>
      <c r="G1348" s="31">
        <f>IF($B1348="","",IF($G1347="",0,$G1347)+IF($E1348="",0,$E1348)-IF($F1348="",0,$F1348))</f>
        <v/>
      </c>
      <c r="H1348" s="32">
        <f>IF(AND($L1348="",$M1348="",$N1348=""),"",IF($L1348&lt;&gt;"",IF(INDEX(LdANote,$L1348)="","—",INDEX(LdANote,$L1348)),IF($M1348&lt;&gt;"",IF(INDEX(LdBNote,$M1348)="","—",INDEX(LdBNote,$M1348)),IF($N1348&lt;&gt;"",IF(INDEX(LdCNote,$N1348)="","—",INDEX(LdCNote,$N1348)),""))))</f>
        <v/>
      </c>
      <c r="L1348">
        <f>IFERROR(MATCH($C$5&amp;"|"&amp;RIGHT("000000"&amp;1332,6),LdAKeyM,0),"")</f>
        <v/>
      </c>
      <c r="M1348">
        <f>IFERROR(MATCH($C$5&amp;"|"&amp;RIGHT("000000"&amp;1332,6),LdBKeyM,0),"")</f>
        <v/>
      </c>
      <c r="N1348">
        <f>IFERROR(MATCH($C$5&amp;"|"&amp;RIGHT("000000"&amp;1332,6),LdCKeyM,0),"")</f>
        <v/>
      </c>
    </row>
    <row r="1349">
      <c r="A1349" s="10" t="n">
        <v>1333</v>
      </c>
      <c r="B1349" s="14">
        <f>IF(AND($L1349="",$M1349="",$N1349=""),"",IF($L1349&lt;&gt;"",INDEX(LdADate,$L1349),IF($M1349&lt;&gt;"",INDEX(LdBDate,$M1349),INDEX(LdCDate,$N1349))))</f>
        <v/>
      </c>
      <c r="C1349" s="14">
        <f>IF($L1349&lt;&gt;"","دستمزد (فردی)",IF($M1349&lt;&gt;"","سهم از گروه "&amp;IFERROR(VLOOKUP(INDEX(LdBGroup,$M1349),WGTbl,2,0),INDEX(LdBGroup,$M1349)),IF($N1349&lt;&gt;"",IF(N(INDEX(LdCDep,$N1349))&gt;0,"بازگشت بانکی","پرداخت بانکی"),"")))</f>
        <v/>
      </c>
      <c r="D1349" s="14">
        <f>IF($L1349&lt;&gt;"",IF(INDEX(LdAId,$L1349)="","—",INDEX(LdAId,$L1349)),IF($M1349&lt;&gt;"",IF(INDEX(LdBId,$M1349)="","—",INDEX(LdBId,$M1349)),IF($N1349&lt;&gt;"",IF(INDEX(LdCBank,$N1349)="","—",INDEX(LdCBank,$N1349)),"")))</f>
        <v/>
      </c>
      <c r="E1349" s="16">
        <f>IF($L1349&lt;&gt;"",IF(INDEX(LdAAmt,$L1349)=0,"",INDEX(LdAAmt,$L1349)),IF($M1349&lt;&gt;"",IF(INDEX(LdBAmt,$M1349)=0,"",INDEX(LdBAmt,$M1349)),IF($N1349&lt;&gt;"",IF(INDEX(LdCDep,$N1349)=0,"",INDEX(LdCDep,$N1349)),"")))</f>
        <v/>
      </c>
      <c r="F1349" s="16">
        <f>IF(AND($L1349="",$M1349="",$N1349=""),"",IF($N1349="","",IF(INDEX(LdCWit,$N1349)=0,"",INDEX(LdCWit,$N1349))))</f>
        <v/>
      </c>
      <c r="G1349" s="29">
        <f>IF($B1349="","",IF($G1348="",0,$G1348)+IF($E1349="",0,$E1349)-IF($F1349="",0,$F1349))</f>
        <v/>
      </c>
      <c r="H1349" s="30">
        <f>IF(AND($L1349="",$M1349="",$N1349=""),"",IF($L1349&lt;&gt;"",IF(INDEX(LdANote,$L1349)="","—",INDEX(LdANote,$L1349)),IF($M1349&lt;&gt;"",IF(INDEX(LdBNote,$M1349)="","—",INDEX(LdBNote,$M1349)),IF($N1349&lt;&gt;"",IF(INDEX(LdCNote,$N1349)="","—",INDEX(LdCNote,$N1349)),""))))</f>
        <v/>
      </c>
      <c r="L1349">
        <f>IFERROR(MATCH($C$5&amp;"|"&amp;RIGHT("000000"&amp;1333,6),LdAKeyM,0),"")</f>
        <v/>
      </c>
      <c r="M1349">
        <f>IFERROR(MATCH($C$5&amp;"|"&amp;RIGHT("000000"&amp;1333,6),LdBKeyM,0),"")</f>
        <v/>
      </c>
      <c r="N1349">
        <f>IFERROR(MATCH($C$5&amp;"|"&amp;RIGHT("000000"&amp;1333,6),LdCKeyM,0),"")</f>
        <v/>
      </c>
    </row>
    <row r="1350">
      <c r="A1350" s="19" t="n">
        <v>1334</v>
      </c>
      <c r="B1350" s="20">
        <f>IF(AND($L1350="",$M1350="",$N1350=""),"",IF($L1350&lt;&gt;"",INDEX(LdADate,$L1350),IF($M1350&lt;&gt;"",INDEX(LdBDate,$M1350),INDEX(LdCDate,$N1350))))</f>
        <v/>
      </c>
      <c r="C1350" s="20">
        <f>IF($L1350&lt;&gt;"","دستمزد (فردی)",IF($M1350&lt;&gt;"","سهم از گروه "&amp;IFERROR(VLOOKUP(INDEX(LdBGroup,$M1350),WGTbl,2,0),INDEX(LdBGroup,$M1350)),IF($N1350&lt;&gt;"",IF(N(INDEX(LdCDep,$N1350))&gt;0,"بازگشت بانکی","پرداخت بانکی"),"")))</f>
        <v/>
      </c>
      <c r="D1350" s="20">
        <f>IF($L1350&lt;&gt;"",IF(INDEX(LdAId,$L1350)="","—",INDEX(LdAId,$L1350)),IF($M1350&lt;&gt;"",IF(INDEX(LdBId,$M1350)="","—",INDEX(LdBId,$M1350)),IF($N1350&lt;&gt;"",IF(INDEX(LdCBank,$N1350)="","—",INDEX(LdCBank,$N1350)),"")))</f>
        <v/>
      </c>
      <c r="E1350" s="21">
        <f>IF($L1350&lt;&gt;"",IF(INDEX(LdAAmt,$L1350)=0,"",INDEX(LdAAmt,$L1350)),IF($M1350&lt;&gt;"",IF(INDEX(LdBAmt,$M1350)=0,"",INDEX(LdBAmt,$M1350)),IF($N1350&lt;&gt;"",IF(INDEX(LdCDep,$N1350)=0,"",INDEX(LdCDep,$N1350)),"")))</f>
        <v/>
      </c>
      <c r="F1350" s="21">
        <f>IF(AND($L1350="",$M1350="",$N1350=""),"",IF($N1350="","",IF(INDEX(LdCWit,$N1350)=0,"",INDEX(LdCWit,$N1350))))</f>
        <v/>
      </c>
      <c r="G1350" s="31">
        <f>IF($B1350="","",IF($G1349="",0,$G1349)+IF($E1350="",0,$E1350)-IF($F1350="",0,$F1350))</f>
        <v/>
      </c>
      <c r="H1350" s="32">
        <f>IF(AND($L1350="",$M1350="",$N1350=""),"",IF($L1350&lt;&gt;"",IF(INDEX(LdANote,$L1350)="","—",INDEX(LdANote,$L1350)),IF($M1350&lt;&gt;"",IF(INDEX(LdBNote,$M1350)="","—",INDEX(LdBNote,$M1350)),IF($N1350&lt;&gt;"",IF(INDEX(LdCNote,$N1350)="","—",INDEX(LdCNote,$N1350)),""))))</f>
        <v/>
      </c>
      <c r="L1350">
        <f>IFERROR(MATCH($C$5&amp;"|"&amp;RIGHT("000000"&amp;1334,6),LdAKeyM,0),"")</f>
        <v/>
      </c>
      <c r="M1350">
        <f>IFERROR(MATCH($C$5&amp;"|"&amp;RIGHT("000000"&amp;1334,6),LdBKeyM,0),"")</f>
        <v/>
      </c>
      <c r="N1350">
        <f>IFERROR(MATCH($C$5&amp;"|"&amp;RIGHT("000000"&amp;1334,6),LdCKeyM,0),"")</f>
        <v/>
      </c>
    </row>
    <row r="1351">
      <c r="A1351" s="10" t="n">
        <v>1335</v>
      </c>
      <c r="B1351" s="14">
        <f>IF(AND($L1351="",$M1351="",$N1351=""),"",IF($L1351&lt;&gt;"",INDEX(LdADate,$L1351),IF($M1351&lt;&gt;"",INDEX(LdBDate,$M1351),INDEX(LdCDate,$N1351))))</f>
        <v/>
      </c>
      <c r="C1351" s="14">
        <f>IF($L1351&lt;&gt;"","دستمزد (فردی)",IF($M1351&lt;&gt;"","سهم از گروه "&amp;IFERROR(VLOOKUP(INDEX(LdBGroup,$M1351),WGTbl,2,0),INDEX(LdBGroup,$M1351)),IF($N1351&lt;&gt;"",IF(N(INDEX(LdCDep,$N1351))&gt;0,"بازگشت بانکی","پرداخت بانکی"),"")))</f>
        <v/>
      </c>
      <c r="D1351" s="14">
        <f>IF($L1351&lt;&gt;"",IF(INDEX(LdAId,$L1351)="","—",INDEX(LdAId,$L1351)),IF($M1351&lt;&gt;"",IF(INDEX(LdBId,$M1351)="","—",INDEX(LdBId,$M1351)),IF($N1351&lt;&gt;"",IF(INDEX(LdCBank,$N1351)="","—",INDEX(LdCBank,$N1351)),"")))</f>
        <v/>
      </c>
      <c r="E1351" s="16">
        <f>IF($L1351&lt;&gt;"",IF(INDEX(LdAAmt,$L1351)=0,"",INDEX(LdAAmt,$L1351)),IF($M1351&lt;&gt;"",IF(INDEX(LdBAmt,$M1351)=0,"",INDEX(LdBAmt,$M1351)),IF($N1351&lt;&gt;"",IF(INDEX(LdCDep,$N1351)=0,"",INDEX(LdCDep,$N1351)),"")))</f>
        <v/>
      </c>
      <c r="F1351" s="16">
        <f>IF(AND($L1351="",$M1351="",$N1351=""),"",IF($N1351="","",IF(INDEX(LdCWit,$N1351)=0,"",INDEX(LdCWit,$N1351))))</f>
        <v/>
      </c>
      <c r="G1351" s="29">
        <f>IF($B1351="","",IF($G1350="",0,$G1350)+IF($E1351="",0,$E1351)-IF($F1351="",0,$F1351))</f>
        <v/>
      </c>
      <c r="H1351" s="30">
        <f>IF(AND($L1351="",$M1351="",$N1351=""),"",IF($L1351&lt;&gt;"",IF(INDEX(LdANote,$L1351)="","—",INDEX(LdANote,$L1351)),IF($M1351&lt;&gt;"",IF(INDEX(LdBNote,$M1351)="","—",INDEX(LdBNote,$M1351)),IF($N1351&lt;&gt;"",IF(INDEX(LdCNote,$N1351)="","—",INDEX(LdCNote,$N1351)),""))))</f>
        <v/>
      </c>
      <c r="L1351">
        <f>IFERROR(MATCH($C$5&amp;"|"&amp;RIGHT("000000"&amp;1335,6),LdAKeyM,0),"")</f>
        <v/>
      </c>
      <c r="M1351">
        <f>IFERROR(MATCH($C$5&amp;"|"&amp;RIGHT("000000"&amp;1335,6),LdBKeyM,0),"")</f>
        <v/>
      </c>
      <c r="N1351">
        <f>IFERROR(MATCH($C$5&amp;"|"&amp;RIGHT("000000"&amp;1335,6),LdCKeyM,0),"")</f>
        <v/>
      </c>
    </row>
    <row r="1352">
      <c r="A1352" s="19" t="n">
        <v>1336</v>
      </c>
      <c r="B1352" s="20">
        <f>IF(AND($L1352="",$M1352="",$N1352=""),"",IF($L1352&lt;&gt;"",INDEX(LdADate,$L1352),IF($M1352&lt;&gt;"",INDEX(LdBDate,$M1352),INDEX(LdCDate,$N1352))))</f>
        <v/>
      </c>
      <c r="C1352" s="20">
        <f>IF($L1352&lt;&gt;"","دستمزد (فردی)",IF($M1352&lt;&gt;"","سهم از گروه "&amp;IFERROR(VLOOKUP(INDEX(LdBGroup,$M1352),WGTbl,2,0),INDEX(LdBGroup,$M1352)),IF($N1352&lt;&gt;"",IF(N(INDEX(LdCDep,$N1352))&gt;0,"بازگشت بانکی","پرداخت بانکی"),"")))</f>
        <v/>
      </c>
      <c r="D1352" s="20">
        <f>IF($L1352&lt;&gt;"",IF(INDEX(LdAId,$L1352)="","—",INDEX(LdAId,$L1352)),IF($M1352&lt;&gt;"",IF(INDEX(LdBId,$M1352)="","—",INDEX(LdBId,$M1352)),IF($N1352&lt;&gt;"",IF(INDEX(LdCBank,$N1352)="","—",INDEX(LdCBank,$N1352)),"")))</f>
        <v/>
      </c>
      <c r="E1352" s="21">
        <f>IF($L1352&lt;&gt;"",IF(INDEX(LdAAmt,$L1352)=0,"",INDEX(LdAAmt,$L1352)),IF($M1352&lt;&gt;"",IF(INDEX(LdBAmt,$M1352)=0,"",INDEX(LdBAmt,$M1352)),IF($N1352&lt;&gt;"",IF(INDEX(LdCDep,$N1352)=0,"",INDEX(LdCDep,$N1352)),"")))</f>
        <v/>
      </c>
      <c r="F1352" s="21">
        <f>IF(AND($L1352="",$M1352="",$N1352=""),"",IF($N1352="","",IF(INDEX(LdCWit,$N1352)=0,"",INDEX(LdCWit,$N1352))))</f>
        <v/>
      </c>
      <c r="G1352" s="31">
        <f>IF($B1352="","",IF($G1351="",0,$G1351)+IF($E1352="",0,$E1352)-IF($F1352="",0,$F1352))</f>
        <v/>
      </c>
      <c r="H1352" s="32">
        <f>IF(AND($L1352="",$M1352="",$N1352=""),"",IF($L1352&lt;&gt;"",IF(INDEX(LdANote,$L1352)="","—",INDEX(LdANote,$L1352)),IF($M1352&lt;&gt;"",IF(INDEX(LdBNote,$M1352)="","—",INDEX(LdBNote,$M1352)),IF($N1352&lt;&gt;"",IF(INDEX(LdCNote,$N1352)="","—",INDEX(LdCNote,$N1352)),""))))</f>
        <v/>
      </c>
      <c r="L1352">
        <f>IFERROR(MATCH($C$5&amp;"|"&amp;RIGHT("000000"&amp;1336,6),LdAKeyM,0),"")</f>
        <v/>
      </c>
      <c r="M1352">
        <f>IFERROR(MATCH($C$5&amp;"|"&amp;RIGHT("000000"&amp;1336,6),LdBKeyM,0),"")</f>
        <v/>
      </c>
      <c r="N1352">
        <f>IFERROR(MATCH($C$5&amp;"|"&amp;RIGHT("000000"&amp;1336,6),LdCKeyM,0),"")</f>
        <v/>
      </c>
    </row>
    <row r="1353">
      <c r="A1353" s="10" t="n">
        <v>1337</v>
      </c>
      <c r="B1353" s="14">
        <f>IF(AND($L1353="",$M1353="",$N1353=""),"",IF($L1353&lt;&gt;"",INDEX(LdADate,$L1353),IF($M1353&lt;&gt;"",INDEX(LdBDate,$M1353),INDEX(LdCDate,$N1353))))</f>
        <v/>
      </c>
      <c r="C1353" s="14">
        <f>IF($L1353&lt;&gt;"","دستمزد (فردی)",IF($M1353&lt;&gt;"","سهم از گروه "&amp;IFERROR(VLOOKUP(INDEX(LdBGroup,$M1353),WGTbl,2,0),INDEX(LdBGroup,$M1353)),IF($N1353&lt;&gt;"",IF(N(INDEX(LdCDep,$N1353))&gt;0,"بازگشت بانکی","پرداخت بانکی"),"")))</f>
        <v/>
      </c>
      <c r="D1353" s="14">
        <f>IF($L1353&lt;&gt;"",IF(INDEX(LdAId,$L1353)="","—",INDEX(LdAId,$L1353)),IF($M1353&lt;&gt;"",IF(INDEX(LdBId,$M1353)="","—",INDEX(LdBId,$M1353)),IF($N1353&lt;&gt;"",IF(INDEX(LdCBank,$N1353)="","—",INDEX(LdCBank,$N1353)),"")))</f>
        <v/>
      </c>
      <c r="E1353" s="16">
        <f>IF($L1353&lt;&gt;"",IF(INDEX(LdAAmt,$L1353)=0,"",INDEX(LdAAmt,$L1353)),IF($M1353&lt;&gt;"",IF(INDEX(LdBAmt,$M1353)=0,"",INDEX(LdBAmt,$M1353)),IF($N1353&lt;&gt;"",IF(INDEX(LdCDep,$N1353)=0,"",INDEX(LdCDep,$N1353)),"")))</f>
        <v/>
      </c>
      <c r="F1353" s="16">
        <f>IF(AND($L1353="",$M1353="",$N1353=""),"",IF($N1353="","",IF(INDEX(LdCWit,$N1353)=0,"",INDEX(LdCWit,$N1353))))</f>
        <v/>
      </c>
      <c r="G1353" s="29">
        <f>IF($B1353="","",IF($G1352="",0,$G1352)+IF($E1353="",0,$E1353)-IF($F1353="",0,$F1353))</f>
        <v/>
      </c>
      <c r="H1353" s="30">
        <f>IF(AND($L1353="",$M1353="",$N1353=""),"",IF($L1353&lt;&gt;"",IF(INDEX(LdANote,$L1353)="","—",INDEX(LdANote,$L1353)),IF($M1353&lt;&gt;"",IF(INDEX(LdBNote,$M1353)="","—",INDEX(LdBNote,$M1353)),IF($N1353&lt;&gt;"",IF(INDEX(LdCNote,$N1353)="","—",INDEX(LdCNote,$N1353)),""))))</f>
        <v/>
      </c>
      <c r="L1353">
        <f>IFERROR(MATCH($C$5&amp;"|"&amp;RIGHT("000000"&amp;1337,6),LdAKeyM,0),"")</f>
        <v/>
      </c>
      <c r="M1353">
        <f>IFERROR(MATCH($C$5&amp;"|"&amp;RIGHT("000000"&amp;1337,6),LdBKeyM,0),"")</f>
        <v/>
      </c>
      <c r="N1353">
        <f>IFERROR(MATCH($C$5&amp;"|"&amp;RIGHT("000000"&amp;1337,6),LdCKeyM,0),"")</f>
        <v/>
      </c>
    </row>
    <row r="1354">
      <c r="A1354" s="19" t="n">
        <v>1338</v>
      </c>
      <c r="B1354" s="20">
        <f>IF(AND($L1354="",$M1354="",$N1354=""),"",IF($L1354&lt;&gt;"",INDEX(LdADate,$L1354),IF($M1354&lt;&gt;"",INDEX(LdBDate,$M1354),INDEX(LdCDate,$N1354))))</f>
        <v/>
      </c>
      <c r="C1354" s="20">
        <f>IF($L1354&lt;&gt;"","دستمزد (فردی)",IF($M1354&lt;&gt;"","سهم از گروه "&amp;IFERROR(VLOOKUP(INDEX(LdBGroup,$M1354),WGTbl,2,0),INDEX(LdBGroup,$M1354)),IF($N1354&lt;&gt;"",IF(N(INDEX(LdCDep,$N1354))&gt;0,"بازگشت بانکی","پرداخت بانکی"),"")))</f>
        <v/>
      </c>
      <c r="D1354" s="20">
        <f>IF($L1354&lt;&gt;"",IF(INDEX(LdAId,$L1354)="","—",INDEX(LdAId,$L1354)),IF($M1354&lt;&gt;"",IF(INDEX(LdBId,$M1354)="","—",INDEX(LdBId,$M1354)),IF($N1354&lt;&gt;"",IF(INDEX(LdCBank,$N1354)="","—",INDEX(LdCBank,$N1354)),"")))</f>
        <v/>
      </c>
      <c r="E1354" s="21">
        <f>IF($L1354&lt;&gt;"",IF(INDEX(LdAAmt,$L1354)=0,"",INDEX(LdAAmt,$L1354)),IF($M1354&lt;&gt;"",IF(INDEX(LdBAmt,$M1354)=0,"",INDEX(LdBAmt,$M1354)),IF($N1354&lt;&gt;"",IF(INDEX(LdCDep,$N1354)=0,"",INDEX(LdCDep,$N1354)),"")))</f>
        <v/>
      </c>
      <c r="F1354" s="21">
        <f>IF(AND($L1354="",$M1354="",$N1354=""),"",IF($N1354="","",IF(INDEX(LdCWit,$N1354)=0,"",INDEX(LdCWit,$N1354))))</f>
        <v/>
      </c>
      <c r="G1354" s="31">
        <f>IF($B1354="","",IF($G1353="",0,$G1353)+IF($E1354="",0,$E1354)-IF($F1354="",0,$F1354))</f>
        <v/>
      </c>
      <c r="H1354" s="32">
        <f>IF(AND($L1354="",$M1354="",$N1354=""),"",IF($L1354&lt;&gt;"",IF(INDEX(LdANote,$L1354)="","—",INDEX(LdANote,$L1354)),IF($M1354&lt;&gt;"",IF(INDEX(LdBNote,$M1354)="","—",INDEX(LdBNote,$M1354)),IF($N1354&lt;&gt;"",IF(INDEX(LdCNote,$N1354)="","—",INDEX(LdCNote,$N1354)),""))))</f>
        <v/>
      </c>
      <c r="L1354">
        <f>IFERROR(MATCH($C$5&amp;"|"&amp;RIGHT("000000"&amp;1338,6),LdAKeyM,0),"")</f>
        <v/>
      </c>
      <c r="M1354">
        <f>IFERROR(MATCH($C$5&amp;"|"&amp;RIGHT("000000"&amp;1338,6),LdBKeyM,0),"")</f>
        <v/>
      </c>
      <c r="N1354">
        <f>IFERROR(MATCH($C$5&amp;"|"&amp;RIGHT("000000"&amp;1338,6),LdCKeyM,0),"")</f>
        <v/>
      </c>
    </row>
    <row r="1355">
      <c r="A1355" s="10" t="n">
        <v>1339</v>
      </c>
      <c r="B1355" s="14">
        <f>IF(AND($L1355="",$M1355="",$N1355=""),"",IF($L1355&lt;&gt;"",INDEX(LdADate,$L1355),IF($M1355&lt;&gt;"",INDEX(LdBDate,$M1355),INDEX(LdCDate,$N1355))))</f>
        <v/>
      </c>
      <c r="C1355" s="14">
        <f>IF($L1355&lt;&gt;"","دستمزد (فردی)",IF($M1355&lt;&gt;"","سهم از گروه "&amp;IFERROR(VLOOKUP(INDEX(LdBGroup,$M1355),WGTbl,2,0),INDEX(LdBGroup,$M1355)),IF($N1355&lt;&gt;"",IF(N(INDEX(LdCDep,$N1355))&gt;0,"بازگشت بانکی","پرداخت بانکی"),"")))</f>
        <v/>
      </c>
      <c r="D1355" s="14">
        <f>IF($L1355&lt;&gt;"",IF(INDEX(LdAId,$L1355)="","—",INDEX(LdAId,$L1355)),IF($M1355&lt;&gt;"",IF(INDEX(LdBId,$M1355)="","—",INDEX(LdBId,$M1355)),IF($N1355&lt;&gt;"",IF(INDEX(LdCBank,$N1355)="","—",INDEX(LdCBank,$N1355)),"")))</f>
        <v/>
      </c>
      <c r="E1355" s="16">
        <f>IF($L1355&lt;&gt;"",IF(INDEX(LdAAmt,$L1355)=0,"",INDEX(LdAAmt,$L1355)),IF($M1355&lt;&gt;"",IF(INDEX(LdBAmt,$M1355)=0,"",INDEX(LdBAmt,$M1355)),IF($N1355&lt;&gt;"",IF(INDEX(LdCDep,$N1355)=0,"",INDEX(LdCDep,$N1355)),"")))</f>
        <v/>
      </c>
      <c r="F1355" s="16">
        <f>IF(AND($L1355="",$M1355="",$N1355=""),"",IF($N1355="","",IF(INDEX(LdCWit,$N1355)=0,"",INDEX(LdCWit,$N1355))))</f>
        <v/>
      </c>
      <c r="G1355" s="29">
        <f>IF($B1355="","",IF($G1354="",0,$G1354)+IF($E1355="",0,$E1355)-IF($F1355="",0,$F1355))</f>
        <v/>
      </c>
      <c r="H1355" s="30">
        <f>IF(AND($L1355="",$M1355="",$N1355=""),"",IF($L1355&lt;&gt;"",IF(INDEX(LdANote,$L1355)="","—",INDEX(LdANote,$L1355)),IF($M1355&lt;&gt;"",IF(INDEX(LdBNote,$M1355)="","—",INDEX(LdBNote,$M1355)),IF($N1355&lt;&gt;"",IF(INDEX(LdCNote,$N1355)="","—",INDEX(LdCNote,$N1355)),""))))</f>
        <v/>
      </c>
      <c r="L1355">
        <f>IFERROR(MATCH($C$5&amp;"|"&amp;RIGHT("000000"&amp;1339,6),LdAKeyM,0),"")</f>
        <v/>
      </c>
      <c r="M1355">
        <f>IFERROR(MATCH($C$5&amp;"|"&amp;RIGHT("000000"&amp;1339,6),LdBKeyM,0),"")</f>
        <v/>
      </c>
      <c r="N1355">
        <f>IFERROR(MATCH($C$5&amp;"|"&amp;RIGHT("000000"&amp;1339,6),LdCKeyM,0),"")</f>
        <v/>
      </c>
    </row>
    <row r="1356">
      <c r="A1356" s="19" t="n">
        <v>1340</v>
      </c>
      <c r="B1356" s="20">
        <f>IF(AND($L1356="",$M1356="",$N1356=""),"",IF($L1356&lt;&gt;"",INDEX(LdADate,$L1356),IF($M1356&lt;&gt;"",INDEX(LdBDate,$M1356),INDEX(LdCDate,$N1356))))</f>
        <v/>
      </c>
      <c r="C1356" s="20">
        <f>IF($L1356&lt;&gt;"","دستمزد (فردی)",IF($M1356&lt;&gt;"","سهم از گروه "&amp;IFERROR(VLOOKUP(INDEX(LdBGroup,$M1356),WGTbl,2,0),INDEX(LdBGroup,$M1356)),IF($N1356&lt;&gt;"",IF(N(INDEX(LdCDep,$N1356))&gt;0,"بازگشت بانکی","پرداخت بانکی"),"")))</f>
        <v/>
      </c>
      <c r="D1356" s="20">
        <f>IF($L1356&lt;&gt;"",IF(INDEX(LdAId,$L1356)="","—",INDEX(LdAId,$L1356)),IF($M1356&lt;&gt;"",IF(INDEX(LdBId,$M1356)="","—",INDEX(LdBId,$M1356)),IF($N1356&lt;&gt;"",IF(INDEX(LdCBank,$N1356)="","—",INDEX(LdCBank,$N1356)),"")))</f>
        <v/>
      </c>
      <c r="E1356" s="21">
        <f>IF($L1356&lt;&gt;"",IF(INDEX(LdAAmt,$L1356)=0,"",INDEX(LdAAmt,$L1356)),IF($M1356&lt;&gt;"",IF(INDEX(LdBAmt,$M1356)=0,"",INDEX(LdBAmt,$M1356)),IF($N1356&lt;&gt;"",IF(INDEX(LdCDep,$N1356)=0,"",INDEX(LdCDep,$N1356)),"")))</f>
        <v/>
      </c>
      <c r="F1356" s="21">
        <f>IF(AND($L1356="",$M1356="",$N1356=""),"",IF($N1356="","",IF(INDEX(LdCWit,$N1356)=0,"",INDEX(LdCWit,$N1356))))</f>
        <v/>
      </c>
      <c r="G1356" s="31">
        <f>IF($B1356="","",IF($G1355="",0,$G1355)+IF($E1356="",0,$E1356)-IF($F1356="",0,$F1356))</f>
        <v/>
      </c>
      <c r="H1356" s="32">
        <f>IF(AND($L1356="",$M1356="",$N1356=""),"",IF($L1356&lt;&gt;"",IF(INDEX(LdANote,$L1356)="","—",INDEX(LdANote,$L1356)),IF($M1356&lt;&gt;"",IF(INDEX(LdBNote,$M1356)="","—",INDEX(LdBNote,$M1356)),IF($N1356&lt;&gt;"",IF(INDEX(LdCNote,$N1356)="","—",INDEX(LdCNote,$N1356)),""))))</f>
        <v/>
      </c>
      <c r="L1356">
        <f>IFERROR(MATCH($C$5&amp;"|"&amp;RIGHT("000000"&amp;1340,6),LdAKeyM,0),"")</f>
        <v/>
      </c>
      <c r="M1356">
        <f>IFERROR(MATCH($C$5&amp;"|"&amp;RIGHT("000000"&amp;1340,6),LdBKeyM,0),"")</f>
        <v/>
      </c>
      <c r="N1356">
        <f>IFERROR(MATCH($C$5&amp;"|"&amp;RIGHT("000000"&amp;1340,6),LdCKeyM,0),"")</f>
        <v/>
      </c>
    </row>
    <row r="1357">
      <c r="A1357" s="10" t="n">
        <v>1341</v>
      </c>
      <c r="B1357" s="14">
        <f>IF(AND($L1357="",$M1357="",$N1357=""),"",IF($L1357&lt;&gt;"",INDEX(LdADate,$L1357),IF($M1357&lt;&gt;"",INDEX(LdBDate,$M1357),INDEX(LdCDate,$N1357))))</f>
        <v/>
      </c>
      <c r="C1357" s="14">
        <f>IF($L1357&lt;&gt;"","دستمزد (فردی)",IF($M1357&lt;&gt;"","سهم از گروه "&amp;IFERROR(VLOOKUP(INDEX(LdBGroup,$M1357),WGTbl,2,0),INDEX(LdBGroup,$M1357)),IF($N1357&lt;&gt;"",IF(N(INDEX(LdCDep,$N1357))&gt;0,"بازگشت بانکی","پرداخت بانکی"),"")))</f>
        <v/>
      </c>
      <c r="D1357" s="14">
        <f>IF($L1357&lt;&gt;"",IF(INDEX(LdAId,$L1357)="","—",INDEX(LdAId,$L1357)),IF($M1357&lt;&gt;"",IF(INDEX(LdBId,$M1357)="","—",INDEX(LdBId,$M1357)),IF($N1357&lt;&gt;"",IF(INDEX(LdCBank,$N1357)="","—",INDEX(LdCBank,$N1357)),"")))</f>
        <v/>
      </c>
      <c r="E1357" s="16">
        <f>IF($L1357&lt;&gt;"",IF(INDEX(LdAAmt,$L1357)=0,"",INDEX(LdAAmt,$L1357)),IF($M1357&lt;&gt;"",IF(INDEX(LdBAmt,$M1357)=0,"",INDEX(LdBAmt,$M1357)),IF($N1357&lt;&gt;"",IF(INDEX(LdCDep,$N1357)=0,"",INDEX(LdCDep,$N1357)),"")))</f>
        <v/>
      </c>
      <c r="F1357" s="16">
        <f>IF(AND($L1357="",$M1357="",$N1357=""),"",IF($N1357="","",IF(INDEX(LdCWit,$N1357)=0,"",INDEX(LdCWit,$N1357))))</f>
        <v/>
      </c>
      <c r="G1357" s="29">
        <f>IF($B1357="","",IF($G1356="",0,$G1356)+IF($E1357="",0,$E1357)-IF($F1357="",0,$F1357))</f>
        <v/>
      </c>
      <c r="H1357" s="30">
        <f>IF(AND($L1357="",$M1357="",$N1357=""),"",IF($L1357&lt;&gt;"",IF(INDEX(LdANote,$L1357)="","—",INDEX(LdANote,$L1357)),IF($M1357&lt;&gt;"",IF(INDEX(LdBNote,$M1357)="","—",INDEX(LdBNote,$M1357)),IF($N1357&lt;&gt;"",IF(INDEX(LdCNote,$N1357)="","—",INDEX(LdCNote,$N1357)),""))))</f>
        <v/>
      </c>
      <c r="L1357">
        <f>IFERROR(MATCH($C$5&amp;"|"&amp;RIGHT("000000"&amp;1341,6),LdAKeyM,0),"")</f>
        <v/>
      </c>
      <c r="M1357">
        <f>IFERROR(MATCH($C$5&amp;"|"&amp;RIGHT("000000"&amp;1341,6),LdBKeyM,0),"")</f>
        <v/>
      </c>
      <c r="N1357">
        <f>IFERROR(MATCH($C$5&amp;"|"&amp;RIGHT("000000"&amp;1341,6),LdCKeyM,0),"")</f>
        <v/>
      </c>
    </row>
    <row r="1358">
      <c r="A1358" s="19" t="n">
        <v>1342</v>
      </c>
      <c r="B1358" s="20">
        <f>IF(AND($L1358="",$M1358="",$N1358=""),"",IF($L1358&lt;&gt;"",INDEX(LdADate,$L1358),IF($M1358&lt;&gt;"",INDEX(LdBDate,$M1358),INDEX(LdCDate,$N1358))))</f>
        <v/>
      </c>
      <c r="C1358" s="20">
        <f>IF($L1358&lt;&gt;"","دستمزد (فردی)",IF($M1358&lt;&gt;"","سهم از گروه "&amp;IFERROR(VLOOKUP(INDEX(LdBGroup,$M1358),WGTbl,2,0),INDEX(LdBGroup,$M1358)),IF($N1358&lt;&gt;"",IF(N(INDEX(LdCDep,$N1358))&gt;0,"بازگشت بانکی","پرداخت بانکی"),"")))</f>
        <v/>
      </c>
      <c r="D1358" s="20">
        <f>IF($L1358&lt;&gt;"",IF(INDEX(LdAId,$L1358)="","—",INDEX(LdAId,$L1358)),IF($M1358&lt;&gt;"",IF(INDEX(LdBId,$M1358)="","—",INDEX(LdBId,$M1358)),IF($N1358&lt;&gt;"",IF(INDEX(LdCBank,$N1358)="","—",INDEX(LdCBank,$N1358)),"")))</f>
        <v/>
      </c>
      <c r="E1358" s="21">
        <f>IF($L1358&lt;&gt;"",IF(INDEX(LdAAmt,$L1358)=0,"",INDEX(LdAAmt,$L1358)),IF($M1358&lt;&gt;"",IF(INDEX(LdBAmt,$M1358)=0,"",INDEX(LdBAmt,$M1358)),IF($N1358&lt;&gt;"",IF(INDEX(LdCDep,$N1358)=0,"",INDEX(LdCDep,$N1358)),"")))</f>
        <v/>
      </c>
      <c r="F1358" s="21">
        <f>IF(AND($L1358="",$M1358="",$N1358=""),"",IF($N1358="","",IF(INDEX(LdCWit,$N1358)=0,"",INDEX(LdCWit,$N1358))))</f>
        <v/>
      </c>
      <c r="G1358" s="31">
        <f>IF($B1358="","",IF($G1357="",0,$G1357)+IF($E1358="",0,$E1358)-IF($F1358="",0,$F1358))</f>
        <v/>
      </c>
      <c r="H1358" s="32">
        <f>IF(AND($L1358="",$M1358="",$N1358=""),"",IF($L1358&lt;&gt;"",IF(INDEX(LdANote,$L1358)="","—",INDEX(LdANote,$L1358)),IF($M1358&lt;&gt;"",IF(INDEX(LdBNote,$M1358)="","—",INDEX(LdBNote,$M1358)),IF($N1358&lt;&gt;"",IF(INDEX(LdCNote,$N1358)="","—",INDEX(LdCNote,$N1358)),""))))</f>
        <v/>
      </c>
      <c r="L1358">
        <f>IFERROR(MATCH($C$5&amp;"|"&amp;RIGHT("000000"&amp;1342,6),LdAKeyM,0),"")</f>
        <v/>
      </c>
      <c r="M1358">
        <f>IFERROR(MATCH($C$5&amp;"|"&amp;RIGHT("000000"&amp;1342,6),LdBKeyM,0),"")</f>
        <v/>
      </c>
      <c r="N1358">
        <f>IFERROR(MATCH($C$5&amp;"|"&amp;RIGHT("000000"&amp;1342,6),LdCKeyM,0),"")</f>
        <v/>
      </c>
    </row>
    <row r="1359">
      <c r="A1359" s="10" t="n">
        <v>1343</v>
      </c>
      <c r="B1359" s="14">
        <f>IF(AND($L1359="",$M1359="",$N1359=""),"",IF($L1359&lt;&gt;"",INDEX(LdADate,$L1359),IF($M1359&lt;&gt;"",INDEX(LdBDate,$M1359),INDEX(LdCDate,$N1359))))</f>
        <v/>
      </c>
      <c r="C1359" s="14">
        <f>IF($L1359&lt;&gt;"","دستمزد (فردی)",IF($M1359&lt;&gt;"","سهم از گروه "&amp;IFERROR(VLOOKUP(INDEX(LdBGroup,$M1359),WGTbl,2,0),INDEX(LdBGroup,$M1359)),IF($N1359&lt;&gt;"",IF(N(INDEX(LdCDep,$N1359))&gt;0,"بازگشت بانکی","پرداخت بانکی"),"")))</f>
        <v/>
      </c>
      <c r="D1359" s="14">
        <f>IF($L1359&lt;&gt;"",IF(INDEX(LdAId,$L1359)="","—",INDEX(LdAId,$L1359)),IF($M1359&lt;&gt;"",IF(INDEX(LdBId,$M1359)="","—",INDEX(LdBId,$M1359)),IF($N1359&lt;&gt;"",IF(INDEX(LdCBank,$N1359)="","—",INDEX(LdCBank,$N1359)),"")))</f>
        <v/>
      </c>
      <c r="E1359" s="16">
        <f>IF($L1359&lt;&gt;"",IF(INDEX(LdAAmt,$L1359)=0,"",INDEX(LdAAmt,$L1359)),IF($M1359&lt;&gt;"",IF(INDEX(LdBAmt,$M1359)=0,"",INDEX(LdBAmt,$M1359)),IF($N1359&lt;&gt;"",IF(INDEX(LdCDep,$N1359)=0,"",INDEX(LdCDep,$N1359)),"")))</f>
        <v/>
      </c>
      <c r="F1359" s="16">
        <f>IF(AND($L1359="",$M1359="",$N1359=""),"",IF($N1359="","",IF(INDEX(LdCWit,$N1359)=0,"",INDEX(LdCWit,$N1359))))</f>
        <v/>
      </c>
      <c r="G1359" s="29">
        <f>IF($B1359="","",IF($G1358="",0,$G1358)+IF($E1359="",0,$E1359)-IF($F1359="",0,$F1359))</f>
        <v/>
      </c>
      <c r="H1359" s="30">
        <f>IF(AND($L1359="",$M1359="",$N1359=""),"",IF($L1359&lt;&gt;"",IF(INDEX(LdANote,$L1359)="","—",INDEX(LdANote,$L1359)),IF($M1359&lt;&gt;"",IF(INDEX(LdBNote,$M1359)="","—",INDEX(LdBNote,$M1359)),IF($N1359&lt;&gt;"",IF(INDEX(LdCNote,$N1359)="","—",INDEX(LdCNote,$N1359)),""))))</f>
        <v/>
      </c>
      <c r="L1359">
        <f>IFERROR(MATCH($C$5&amp;"|"&amp;RIGHT("000000"&amp;1343,6),LdAKeyM,0),"")</f>
        <v/>
      </c>
      <c r="M1359">
        <f>IFERROR(MATCH($C$5&amp;"|"&amp;RIGHT("000000"&amp;1343,6),LdBKeyM,0),"")</f>
        <v/>
      </c>
      <c r="N1359">
        <f>IFERROR(MATCH($C$5&amp;"|"&amp;RIGHT("000000"&amp;1343,6),LdCKeyM,0),"")</f>
        <v/>
      </c>
    </row>
    <row r="1360">
      <c r="A1360" s="19" t="n">
        <v>1344</v>
      </c>
      <c r="B1360" s="20">
        <f>IF(AND($L1360="",$M1360="",$N1360=""),"",IF($L1360&lt;&gt;"",INDEX(LdADate,$L1360),IF($M1360&lt;&gt;"",INDEX(LdBDate,$M1360),INDEX(LdCDate,$N1360))))</f>
        <v/>
      </c>
      <c r="C1360" s="20">
        <f>IF($L1360&lt;&gt;"","دستمزد (فردی)",IF($M1360&lt;&gt;"","سهم از گروه "&amp;IFERROR(VLOOKUP(INDEX(LdBGroup,$M1360),WGTbl,2,0),INDEX(LdBGroup,$M1360)),IF($N1360&lt;&gt;"",IF(N(INDEX(LdCDep,$N1360))&gt;0,"بازگشت بانکی","پرداخت بانکی"),"")))</f>
        <v/>
      </c>
      <c r="D1360" s="20">
        <f>IF($L1360&lt;&gt;"",IF(INDEX(LdAId,$L1360)="","—",INDEX(LdAId,$L1360)),IF($M1360&lt;&gt;"",IF(INDEX(LdBId,$M1360)="","—",INDEX(LdBId,$M1360)),IF($N1360&lt;&gt;"",IF(INDEX(LdCBank,$N1360)="","—",INDEX(LdCBank,$N1360)),"")))</f>
        <v/>
      </c>
      <c r="E1360" s="21">
        <f>IF($L1360&lt;&gt;"",IF(INDEX(LdAAmt,$L1360)=0,"",INDEX(LdAAmt,$L1360)),IF($M1360&lt;&gt;"",IF(INDEX(LdBAmt,$M1360)=0,"",INDEX(LdBAmt,$M1360)),IF($N1360&lt;&gt;"",IF(INDEX(LdCDep,$N1360)=0,"",INDEX(LdCDep,$N1360)),"")))</f>
        <v/>
      </c>
      <c r="F1360" s="21">
        <f>IF(AND($L1360="",$M1360="",$N1360=""),"",IF($N1360="","",IF(INDEX(LdCWit,$N1360)=0,"",INDEX(LdCWit,$N1360))))</f>
        <v/>
      </c>
      <c r="G1360" s="31">
        <f>IF($B1360="","",IF($G1359="",0,$G1359)+IF($E1360="",0,$E1360)-IF($F1360="",0,$F1360))</f>
        <v/>
      </c>
      <c r="H1360" s="32">
        <f>IF(AND($L1360="",$M1360="",$N1360=""),"",IF($L1360&lt;&gt;"",IF(INDEX(LdANote,$L1360)="","—",INDEX(LdANote,$L1360)),IF($M1360&lt;&gt;"",IF(INDEX(LdBNote,$M1360)="","—",INDEX(LdBNote,$M1360)),IF($N1360&lt;&gt;"",IF(INDEX(LdCNote,$N1360)="","—",INDEX(LdCNote,$N1360)),""))))</f>
        <v/>
      </c>
      <c r="L1360">
        <f>IFERROR(MATCH($C$5&amp;"|"&amp;RIGHT("000000"&amp;1344,6),LdAKeyM,0),"")</f>
        <v/>
      </c>
      <c r="M1360">
        <f>IFERROR(MATCH($C$5&amp;"|"&amp;RIGHT("000000"&amp;1344,6),LdBKeyM,0),"")</f>
        <v/>
      </c>
      <c r="N1360">
        <f>IFERROR(MATCH($C$5&amp;"|"&amp;RIGHT("000000"&amp;1344,6),LdCKeyM,0),"")</f>
        <v/>
      </c>
    </row>
    <row r="1361">
      <c r="A1361" s="10" t="n">
        <v>1345</v>
      </c>
      <c r="B1361" s="14">
        <f>IF(AND($L1361="",$M1361="",$N1361=""),"",IF($L1361&lt;&gt;"",INDEX(LdADate,$L1361),IF($M1361&lt;&gt;"",INDEX(LdBDate,$M1361),INDEX(LdCDate,$N1361))))</f>
        <v/>
      </c>
      <c r="C1361" s="14">
        <f>IF($L1361&lt;&gt;"","دستمزد (فردی)",IF($M1361&lt;&gt;"","سهم از گروه "&amp;IFERROR(VLOOKUP(INDEX(LdBGroup,$M1361),WGTbl,2,0),INDEX(LdBGroup,$M1361)),IF($N1361&lt;&gt;"",IF(N(INDEX(LdCDep,$N1361))&gt;0,"بازگشت بانکی","پرداخت بانکی"),"")))</f>
        <v/>
      </c>
      <c r="D1361" s="14">
        <f>IF($L1361&lt;&gt;"",IF(INDEX(LdAId,$L1361)="","—",INDEX(LdAId,$L1361)),IF($M1361&lt;&gt;"",IF(INDEX(LdBId,$M1361)="","—",INDEX(LdBId,$M1361)),IF($N1361&lt;&gt;"",IF(INDEX(LdCBank,$N1361)="","—",INDEX(LdCBank,$N1361)),"")))</f>
        <v/>
      </c>
      <c r="E1361" s="16">
        <f>IF($L1361&lt;&gt;"",IF(INDEX(LdAAmt,$L1361)=0,"",INDEX(LdAAmt,$L1361)),IF($M1361&lt;&gt;"",IF(INDEX(LdBAmt,$M1361)=0,"",INDEX(LdBAmt,$M1361)),IF($N1361&lt;&gt;"",IF(INDEX(LdCDep,$N1361)=0,"",INDEX(LdCDep,$N1361)),"")))</f>
        <v/>
      </c>
      <c r="F1361" s="16">
        <f>IF(AND($L1361="",$M1361="",$N1361=""),"",IF($N1361="","",IF(INDEX(LdCWit,$N1361)=0,"",INDEX(LdCWit,$N1361))))</f>
        <v/>
      </c>
      <c r="G1361" s="29">
        <f>IF($B1361="","",IF($G1360="",0,$G1360)+IF($E1361="",0,$E1361)-IF($F1361="",0,$F1361))</f>
        <v/>
      </c>
      <c r="H1361" s="30">
        <f>IF(AND($L1361="",$M1361="",$N1361=""),"",IF($L1361&lt;&gt;"",IF(INDEX(LdANote,$L1361)="","—",INDEX(LdANote,$L1361)),IF($M1361&lt;&gt;"",IF(INDEX(LdBNote,$M1361)="","—",INDEX(LdBNote,$M1361)),IF($N1361&lt;&gt;"",IF(INDEX(LdCNote,$N1361)="","—",INDEX(LdCNote,$N1361)),""))))</f>
        <v/>
      </c>
      <c r="L1361">
        <f>IFERROR(MATCH($C$5&amp;"|"&amp;RIGHT("000000"&amp;1345,6),LdAKeyM,0),"")</f>
        <v/>
      </c>
      <c r="M1361">
        <f>IFERROR(MATCH($C$5&amp;"|"&amp;RIGHT("000000"&amp;1345,6),LdBKeyM,0),"")</f>
        <v/>
      </c>
      <c r="N1361">
        <f>IFERROR(MATCH($C$5&amp;"|"&amp;RIGHT("000000"&amp;1345,6),LdCKeyM,0),"")</f>
        <v/>
      </c>
    </row>
    <row r="1362">
      <c r="A1362" s="19" t="n">
        <v>1346</v>
      </c>
      <c r="B1362" s="20">
        <f>IF(AND($L1362="",$M1362="",$N1362=""),"",IF($L1362&lt;&gt;"",INDEX(LdADate,$L1362),IF($M1362&lt;&gt;"",INDEX(LdBDate,$M1362),INDEX(LdCDate,$N1362))))</f>
        <v/>
      </c>
      <c r="C1362" s="20">
        <f>IF($L1362&lt;&gt;"","دستمزد (فردی)",IF($M1362&lt;&gt;"","سهم از گروه "&amp;IFERROR(VLOOKUP(INDEX(LdBGroup,$M1362),WGTbl,2,0),INDEX(LdBGroup,$M1362)),IF($N1362&lt;&gt;"",IF(N(INDEX(LdCDep,$N1362))&gt;0,"بازگشت بانکی","پرداخت بانکی"),"")))</f>
        <v/>
      </c>
      <c r="D1362" s="20">
        <f>IF($L1362&lt;&gt;"",IF(INDEX(LdAId,$L1362)="","—",INDEX(LdAId,$L1362)),IF($M1362&lt;&gt;"",IF(INDEX(LdBId,$M1362)="","—",INDEX(LdBId,$M1362)),IF($N1362&lt;&gt;"",IF(INDEX(LdCBank,$N1362)="","—",INDEX(LdCBank,$N1362)),"")))</f>
        <v/>
      </c>
      <c r="E1362" s="21">
        <f>IF($L1362&lt;&gt;"",IF(INDEX(LdAAmt,$L1362)=0,"",INDEX(LdAAmt,$L1362)),IF($M1362&lt;&gt;"",IF(INDEX(LdBAmt,$M1362)=0,"",INDEX(LdBAmt,$M1362)),IF($N1362&lt;&gt;"",IF(INDEX(LdCDep,$N1362)=0,"",INDEX(LdCDep,$N1362)),"")))</f>
        <v/>
      </c>
      <c r="F1362" s="21">
        <f>IF(AND($L1362="",$M1362="",$N1362=""),"",IF($N1362="","",IF(INDEX(LdCWit,$N1362)=0,"",INDEX(LdCWit,$N1362))))</f>
        <v/>
      </c>
      <c r="G1362" s="31">
        <f>IF($B1362="","",IF($G1361="",0,$G1361)+IF($E1362="",0,$E1362)-IF($F1362="",0,$F1362))</f>
        <v/>
      </c>
      <c r="H1362" s="32">
        <f>IF(AND($L1362="",$M1362="",$N1362=""),"",IF($L1362&lt;&gt;"",IF(INDEX(LdANote,$L1362)="","—",INDEX(LdANote,$L1362)),IF($M1362&lt;&gt;"",IF(INDEX(LdBNote,$M1362)="","—",INDEX(LdBNote,$M1362)),IF($N1362&lt;&gt;"",IF(INDEX(LdCNote,$N1362)="","—",INDEX(LdCNote,$N1362)),""))))</f>
        <v/>
      </c>
      <c r="L1362">
        <f>IFERROR(MATCH($C$5&amp;"|"&amp;RIGHT("000000"&amp;1346,6),LdAKeyM,0),"")</f>
        <v/>
      </c>
      <c r="M1362">
        <f>IFERROR(MATCH($C$5&amp;"|"&amp;RIGHT("000000"&amp;1346,6),LdBKeyM,0),"")</f>
        <v/>
      </c>
      <c r="N1362">
        <f>IFERROR(MATCH($C$5&amp;"|"&amp;RIGHT("000000"&amp;1346,6),LdCKeyM,0),"")</f>
        <v/>
      </c>
    </row>
    <row r="1363">
      <c r="A1363" s="10" t="n">
        <v>1347</v>
      </c>
      <c r="B1363" s="14">
        <f>IF(AND($L1363="",$M1363="",$N1363=""),"",IF($L1363&lt;&gt;"",INDEX(LdADate,$L1363),IF($M1363&lt;&gt;"",INDEX(LdBDate,$M1363),INDEX(LdCDate,$N1363))))</f>
        <v/>
      </c>
      <c r="C1363" s="14">
        <f>IF($L1363&lt;&gt;"","دستمزد (فردی)",IF($M1363&lt;&gt;"","سهم از گروه "&amp;IFERROR(VLOOKUP(INDEX(LdBGroup,$M1363),WGTbl,2,0),INDEX(LdBGroup,$M1363)),IF($N1363&lt;&gt;"",IF(N(INDEX(LdCDep,$N1363))&gt;0,"بازگشت بانکی","پرداخت بانکی"),"")))</f>
        <v/>
      </c>
      <c r="D1363" s="14">
        <f>IF($L1363&lt;&gt;"",IF(INDEX(LdAId,$L1363)="","—",INDEX(LdAId,$L1363)),IF($M1363&lt;&gt;"",IF(INDEX(LdBId,$M1363)="","—",INDEX(LdBId,$M1363)),IF($N1363&lt;&gt;"",IF(INDEX(LdCBank,$N1363)="","—",INDEX(LdCBank,$N1363)),"")))</f>
        <v/>
      </c>
      <c r="E1363" s="16">
        <f>IF($L1363&lt;&gt;"",IF(INDEX(LdAAmt,$L1363)=0,"",INDEX(LdAAmt,$L1363)),IF($M1363&lt;&gt;"",IF(INDEX(LdBAmt,$M1363)=0,"",INDEX(LdBAmt,$M1363)),IF($N1363&lt;&gt;"",IF(INDEX(LdCDep,$N1363)=0,"",INDEX(LdCDep,$N1363)),"")))</f>
        <v/>
      </c>
      <c r="F1363" s="16">
        <f>IF(AND($L1363="",$M1363="",$N1363=""),"",IF($N1363="","",IF(INDEX(LdCWit,$N1363)=0,"",INDEX(LdCWit,$N1363))))</f>
        <v/>
      </c>
      <c r="G1363" s="29">
        <f>IF($B1363="","",IF($G1362="",0,$G1362)+IF($E1363="",0,$E1363)-IF($F1363="",0,$F1363))</f>
        <v/>
      </c>
      <c r="H1363" s="30">
        <f>IF(AND($L1363="",$M1363="",$N1363=""),"",IF($L1363&lt;&gt;"",IF(INDEX(LdANote,$L1363)="","—",INDEX(LdANote,$L1363)),IF($M1363&lt;&gt;"",IF(INDEX(LdBNote,$M1363)="","—",INDEX(LdBNote,$M1363)),IF($N1363&lt;&gt;"",IF(INDEX(LdCNote,$N1363)="","—",INDEX(LdCNote,$N1363)),""))))</f>
        <v/>
      </c>
      <c r="L1363">
        <f>IFERROR(MATCH($C$5&amp;"|"&amp;RIGHT("000000"&amp;1347,6),LdAKeyM,0),"")</f>
        <v/>
      </c>
      <c r="M1363">
        <f>IFERROR(MATCH($C$5&amp;"|"&amp;RIGHT("000000"&amp;1347,6),LdBKeyM,0),"")</f>
        <v/>
      </c>
      <c r="N1363">
        <f>IFERROR(MATCH($C$5&amp;"|"&amp;RIGHT("000000"&amp;1347,6),LdCKeyM,0),"")</f>
        <v/>
      </c>
    </row>
    <row r="1364">
      <c r="A1364" s="19" t="n">
        <v>1348</v>
      </c>
      <c r="B1364" s="20">
        <f>IF(AND($L1364="",$M1364="",$N1364=""),"",IF($L1364&lt;&gt;"",INDEX(LdADate,$L1364),IF($M1364&lt;&gt;"",INDEX(LdBDate,$M1364),INDEX(LdCDate,$N1364))))</f>
        <v/>
      </c>
      <c r="C1364" s="20">
        <f>IF($L1364&lt;&gt;"","دستمزد (فردی)",IF($M1364&lt;&gt;"","سهم از گروه "&amp;IFERROR(VLOOKUP(INDEX(LdBGroup,$M1364),WGTbl,2,0),INDEX(LdBGroup,$M1364)),IF($N1364&lt;&gt;"",IF(N(INDEX(LdCDep,$N1364))&gt;0,"بازگشت بانکی","پرداخت بانکی"),"")))</f>
        <v/>
      </c>
      <c r="D1364" s="20">
        <f>IF($L1364&lt;&gt;"",IF(INDEX(LdAId,$L1364)="","—",INDEX(LdAId,$L1364)),IF($M1364&lt;&gt;"",IF(INDEX(LdBId,$M1364)="","—",INDEX(LdBId,$M1364)),IF($N1364&lt;&gt;"",IF(INDEX(LdCBank,$N1364)="","—",INDEX(LdCBank,$N1364)),"")))</f>
        <v/>
      </c>
      <c r="E1364" s="21">
        <f>IF($L1364&lt;&gt;"",IF(INDEX(LdAAmt,$L1364)=0,"",INDEX(LdAAmt,$L1364)),IF($M1364&lt;&gt;"",IF(INDEX(LdBAmt,$M1364)=0,"",INDEX(LdBAmt,$M1364)),IF($N1364&lt;&gt;"",IF(INDEX(LdCDep,$N1364)=0,"",INDEX(LdCDep,$N1364)),"")))</f>
        <v/>
      </c>
      <c r="F1364" s="21">
        <f>IF(AND($L1364="",$M1364="",$N1364=""),"",IF($N1364="","",IF(INDEX(LdCWit,$N1364)=0,"",INDEX(LdCWit,$N1364))))</f>
        <v/>
      </c>
      <c r="G1364" s="31">
        <f>IF($B1364="","",IF($G1363="",0,$G1363)+IF($E1364="",0,$E1364)-IF($F1364="",0,$F1364))</f>
        <v/>
      </c>
      <c r="H1364" s="32">
        <f>IF(AND($L1364="",$M1364="",$N1364=""),"",IF($L1364&lt;&gt;"",IF(INDEX(LdANote,$L1364)="","—",INDEX(LdANote,$L1364)),IF($M1364&lt;&gt;"",IF(INDEX(LdBNote,$M1364)="","—",INDEX(LdBNote,$M1364)),IF($N1364&lt;&gt;"",IF(INDEX(LdCNote,$N1364)="","—",INDEX(LdCNote,$N1364)),""))))</f>
        <v/>
      </c>
      <c r="L1364">
        <f>IFERROR(MATCH($C$5&amp;"|"&amp;RIGHT("000000"&amp;1348,6),LdAKeyM,0),"")</f>
        <v/>
      </c>
      <c r="M1364">
        <f>IFERROR(MATCH($C$5&amp;"|"&amp;RIGHT("000000"&amp;1348,6),LdBKeyM,0),"")</f>
        <v/>
      </c>
      <c r="N1364">
        <f>IFERROR(MATCH($C$5&amp;"|"&amp;RIGHT("000000"&amp;1348,6),LdCKeyM,0),"")</f>
        <v/>
      </c>
    </row>
    <row r="1365">
      <c r="A1365" s="10" t="n">
        <v>1349</v>
      </c>
      <c r="B1365" s="14">
        <f>IF(AND($L1365="",$M1365="",$N1365=""),"",IF($L1365&lt;&gt;"",INDEX(LdADate,$L1365),IF($M1365&lt;&gt;"",INDEX(LdBDate,$M1365),INDEX(LdCDate,$N1365))))</f>
        <v/>
      </c>
      <c r="C1365" s="14">
        <f>IF($L1365&lt;&gt;"","دستمزد (فردی)",IF($M1365&lt;&gt;"","سهم از گروه "&amp;IFERROR(VLOOKUP(INDEX(LdBGroup,$M1365),WGTbl,2,0),INDEX(LdBGroup,$M1365)),IF($N1365&lt;&gt;"",IF(N(INDEX(LdCDep,$N1365))&gt;0,"بازگشت بانکی","پرداخت بانکی"),"")))</f>
        <v/>
      </c>
      <c r="D1365" s="14">
        <f>IF($L1365&lt;&gt;"",IF(INDEX(LdAId,$L1365)="","—",INDEX(LdAId,$L1365)),IF($M1365&lt;&gt;"",IF(INDEX(LdBId,$M1365)="","—",INDEX(LdBId,$M1365)),IF($N1365&lt;&gt;"",IF(INDEX(LdCBank,$N1365)="","—",INDEX(LdCBank,$N1365)),"")))</f>
        <v/>
      </c>
      <c r="E1365" s="16">
        <f>IF($L1365&lt;&gt;"",IF(INDEX(LdAAmt,$L1365)=0,"",INDEX(LdAAmt,$L1365)),IF($M1365&lt;&gt;"",IF(INDEX(LdBAmt,$M1365)=0,"",INDEX(LdBAmt,$M1365)),IF($N1365&lt;&gt;"",IF(INDEX(LdCDep,$N1365)=0,"",INDEX(LdCDep,$N1365)),"")))</f>
        <v/>
      </c>
      <c r="F1365" s="16">
        <f>IF(AND($L1365="",$M1365="",$N1365=""),"",IF($N1365="","",IF(INDEX(LdCWit,$N1365)=0,"",INDEX(LdCWit,$N1365))))</f>
        <v/>
      </c>
      <c r="G1365" s="29">
        <f>IF($B1365="","",IF($G1364="",0,$G1364)+IF($E1365="",0,$E1365)-IF($F1365="",0,$F1365))</f>
        <v/>
      </c>
      <c r="H1365" s="30">
        <f>IF(AND($L1365="",$M1365="",$N1365=""),"",IF($L1365&lt;&gt;"",IF(INDEX(LdANote,$L1365)="","—",INDEX(LdANote,$L1365)),IF($M1365&lt;&gt;"",IF(INDEX(LdBNote,$M1365)="","—",INDEX(LdBNote,$M1365)),IF($N1365&lt;&gt;"",IF(INDEX(LdCNote,$N1365)="","—",INDEX(LdCNote,$N1365)),""))))</f>
        <v/>
      </c>
      <c r="L1365">
        <f>IFERROR(MATCH($C$5&amp;"|"&amp;RIGHT("000000"&amp;1349,6),LdAKeyM,0),"")</f>
        <v/>
      </c>
      <c r="M1365">
        <f>IFERROR(MATCH($C$5&amp;"|"&amp;RIGHT("000000"&amp;1349,6),LdBKeyM,0),"")</f>
        <v/>
      </c>
      <c r="N1365">
        <f>IFERROR(MATCH($C$5&amp;"|"&amp;RIGHT("000000"&amp;1349,6),LdCKeyM,0),"")</f>
        <v/>
      </c>
    </row>
    <row r="1366">
      <c r="A1366" s="19" t="n">
        <v>1350</v>
      </c>
      <c r="B1366" s="20">
        <f>IF(AND($L1366="",$M1366="",$N1366=""),"",IF($L1366&lt;&gt;"",INDEX(LdADate,$L1366),IF($M1366&lt;&gt;"",INDEX(LdBDate,$M1366),INDEX(LdCDate,$N1366))))</f>
        <v/>
      </c>
      <c r="C1366" s="20">
        <f>IF($L1366&lt;&gt;"","دستمزد (فردی)",IF($M1366&lt;&gt;"","سهم از گروه "&amp;IFERROR(VLOOKUP(INDEX(LdBGroup,$M1366),WGTbl,2,0),INDEX(LdBGroup,$M1366)),IF($N1366&lt;&gt;"",IF(N(INDEX(LdCDep,$N1366))&gt;0,"بازگشت بانکی","پرداخت بانکی"),"")))</f>
        <v/>
      </c>
      <c r="D1366" s="20">
        <f>IF($L1366&lt;&gt;"",IF(INDEX(LdAId,$L1366)="","—",INDEX(LdAId,$L1366)),IF($M1366&lt;&gt;"",IF(INDEX(LdBId,$M1366)="","—",INDEX(LdBId,$M1366)),IF($N1366&lt;&gt;"",IF(INDEX(LdCBank,$N1366)="","—",INDEX(LdCBank,$N1366)),"")))</f>
        <v/>
      </c>
      <c r="E1366" s="21">
        <f>IF($L1366&lt;&gt;"",IF(INDEX(LdAAmt,$L1366)=0,"",INDEX(LdAAmt,$L1366)),IF($M1366&lt;&gt;"",IF(INDEX(LdBAmt,$M1366)=0,"",INDEX(LdBAmt,$M1366)),IF($N1366&lt;&gt;"",IF(INDEX(LdCDep,$N1366)=0,"",INDEX(LdCDep,$N1366)),"")))</f>
        <v/>
      </c>
      <c r="F1366" s="21">
        <f>IF(AND($L1366="",$M1366="",$N1366=""),"",IF($N1366="","",IF(INDEX(LdCWit,$N1366)=0,"",INDEX(LdCWit,$N1366))))</f>
        <v/>
      </c>
      <c r="G1366" s="31">
        <f>IF($B1366="","",IF($G1365="",0,$G1365)+IF($E1366="",0,$E1366)-IF($F1366="",0,$F1366))</f>
        <v/>
      </c>
      <c r="H1366" s="32">
        <f>IF(AND($L1366="",$M1366="",$N1366=""),"",IF($L1366&lt;&gt;"",IF(INDEX(LdANote,$L1366)="","—",INDEX(LdANote,$L1366)),IF($M1366&lt;&gt;"",IF(INDEX(LdBNote,$M1366)="","—",INDEX(LdBNote,$M1366)),IF($N1366&lt;&gt;"",IF(INDEX(LdCNote,$N1366)="","—",INDEX(LdCNote,$N1366)),""))))</f>
        <v/>
      </c>
      <c r="L1366">
        <f>IFERROR(MATCH($C$5&amp;"|"&amp;RIGHT("000000"&amp;1350,6),LdAKeyM,0),"")</f>
        <v/>
      </c>
      <c r="M1366">
        <f>IFERROR(MATCH($C$5&amp;"|"&amp;RIGHT("000000"&amp;1350,6),LdBKeyM,0),"")</f>
        <v/>
      </c>
      <c r="N1366">
        <f>IFERROR(MATCH($C$5&amp;"|"&amp;RIGHT("000000"&amp;1350,6),LdCKeyM,0),"")</f>
        <v/>
      </c>
    </row>
    <row r="1367">
      <c r="A1367" s="10" t="n">
        <v>1351</v>
      </c>
      <c r="B1367" s="14">
        <f>IF(AND($L1367="",$M1367="",$N1367=""),"",IF($L1367&lt;&gt;"",INDEX(LdADate,$L1367),IF($M1367&lt;&gt;"",INDEX(LdBDate,$M1367),INDEX(LdCDate,$N1367))))</f>
        <v/>
      </c>
      <c r="C1367" s="14">
        <f>IF($L1367&lt;&gt;"","دستمزد (فردی)",IF($M1367&lt;&gt;"","سهم از گروه "&amp;IFERROR(VLOOKUP(INDEX(LdBGroup,$M1367),WGTbl,2,0),INDEX(LdBGroup,$M1367)),IF($N1367&lt;&gt;"",IF(N(INDEX(LdCDep,$N1367))&gt;0,"بازگشت بانکی","پرداخت بانکی"),"")))</f>
        <v/>
      </c>
      <c r="D1367" s="14">
        <f>IF($L1367&lt;&gt;"",IF(INDEX(LdAId,$L1367)="","—",INDEX(LdAId,$L1367)),IF($M1367&lt;&gt;"",IF(INDEX(LdBId,$M1367)="","—",INDEX(LdBId,$M1367)),IF($N1367&lt;&gt;"",IF(INDEX(LdCBank,$N1367)="","—",INDEX(LdCBank,$N1367)),"")))</f>
        <v/>
      </c>
      <c r="E1367" s="16">
        <f>IF($L1367&lt;&gt;"",IF(INDEX(LdAAmt,$L1367)=0,"",INDEX(LdAAmt,$L1367)),IF($M1367&lt;&gt;"",IF(INDEX(LdBAmt,$M1367)=0,"",INDEX(LdBAmt,$M1367)),IF($N1367&lt;&gt;"",IF(INDEX(LdCDep,$N1367)=0,"",INDEX(LdCDep,$N1367)),"")))</f>
        <v/>
      </c>
      <c r="F1367" s="16">
        <f>IF(AND($L1367="",$M1367="",$N1367=""),"",IF($N1367="","",IF(INDEX(LdCWit,$N1367)=0,"",INDEX(LdCWit,$N1367))))</f>
        <v/>
      </c>
      <c r="G1367" s="29">
        <f>IF($B1367="","",IF($G1366="",0,$G1366)+IF($E1367="",0,$E1367)-IF($F1367="",0,$F1367))</f>
        <v/>
      </c>
      <c r="H1367" s="30">
        <f>IF(AND($L1367="",$M1367="",$N1367=""),"",IF($L1367&lt;&gt;"",IF(INDEX(LdANote,$L1367)="","—",INDEX(LdANote,$L1367)),IF($M1367&lt;&gt;"",IF(INDEX(LdBNote,$M1367)="","—",INDEX(LdBNote,$M1367)),IF($N1367&lt;&gt;"",IF(INDEX(LdCNote,$N1367)="","—",INDEX(LdCNote,$N1367)),""))))</f>
        <v/>
      </c>
      <c r="L1367">
        <f>IFERROR(MATCH($C$5&amp;"|"&amp;RIGHT("000000"&amp;1351,6),LdAKeyM,0),"")</f>
        <v/>
      </c>
      <c r="M1367">
        <f>IFERROR(MATCH($C$5&amp;"|"&amp;RIGHT("000000"&amp;1351,6),LdBKeyM,0),"")</f>
        <v/>
      </c>
      <c r="N1367">
        <f>IFERROR(MATCH($C$5&amp;"|"&amp;RIGHT("000000"&amp;1351,6),LdCKeyM,0),"")</f>
        <v/>
      </c>
    </row>
    <row r="1368">
      <c r="A1368" s="19" t="n">
        <v>1352</v>
      </c>
      <c r="B1368" s="20">
        <f>IF(AND($L1368="",$M1368="",$N1368=""),"",IF($L1368&lt;&gt;"",INDEX(LdADate,$L1368),IF($M1368&lt;&gt;"",INDEX(LdBDate,$M1368),INDEX(LdCDate,$N1368))))</f>
        <v/>
      </c>
      <c r="C1368" s="20">
        <f>IF($L1368&lt;&gt;"","دستمزد (فردی)",IF($M1368&lt;&gt;"","سهم از گروه "&amp;IFERROR(VLOOKUP(INDEX(LdBGroup,$M1368),WGTbl,2,0),INDEX(LdBGroup,$M1368)),IF($N1368&lt;&gt;"",IF(N(INDEX(LdCDep,$N1368))&gt;0,"بازگشت بانکی","پرداخت بانکی"),"")))</f>
        <v/>
      </c>
      <c r="D1368" s="20">
        <f>IF($L1368&lt;&gt;"",IF(INDEX(LdAId,$L1368)="","—",INDEX(LdAId,$L1368)),IF($M1368&lt;&gt;"",IF(INDEX(LdBId,$M1368)="","—",INDEX(LdBId,$M1368)),IF($N1368&lt;&gt;"",IF(INDEX(LdCBank,$N1368)="","—",INDEX(LdCBank,$N1368)),"")))</f>
        <v/>
      </c>
      <c r="E1368" s="21">
        <f>IF($L1368&lt;&gt;"",IF(INDEX(LdAAmt,$L1368)=0,"",INDEX(LdAAmt,$L1368)),IF($M1368&lt;&gt;"",IF(INDEX(LdBAmt,$M1368)=0,"",INDEX(LdBAmt,$M1368)),IF($N1368&lt;&gt;"",IF(INDEX(LdCDep,$N1368)=0,"",INDEX(LdCDep,$N1368)),"")))</f>
        <v/>
      </c>
      <c r="F1368" s="21">
        <f>IF(AND($L1368="",$M1368="",$N1368=""),"",IF($N1368="","",IF(INDEX(LdCWit,$N1368)=0,"",INDEX(LdCWit,$N1368))))</f>
        <v/>
      </c>
      <c r="G1368" s="31">
        <f>IF($B1368="","",IF($G1367="",0,$G1367)+IF($E1368="",0,$E1368)-IF($F1368="",0,$F1368))</f>
        <v/>
      </c>
      <c r="H1368" s="32">
        <f>IF(AND($L1368="",$M1368="",$N1368=""),"",IF($L1368&lt;&gt;"",IF(INDEX(LdANote,$L1368)="","—",INDEX(LdANote,$L1368)),IF($M1368&lt;&gt;"",IF(INDEX(LdBNote,$M1368)="","—",INDEX(LdBNote,$M1368)),IF($N1368&lt;&gt;"",IF(INDEX(LdCNote,$N1368)="","—",INDEX(LdCNote,$N1368)),""))))</f>
        <v/>
      </c>
      <c r="L1368">
        <f>IFERROR(MATCH($C$5&amp;"|"&amp;RIGHT("000000"&amp;1352,6),LdAKeyM,0),"")</f>
        <v/>
      </c>
      <c r="M1368">
        <f>IFERROR(MATCH($C$5&amp;"|"&amp;RIGHT("000000"&amp;1352,6),LdBKeyM,0),"")</f>
        <v/>
      </c>
      <c r="N1368">
        <f>IFERROR(MATCH($C$5&amp;"|"&amp;RIGHT("000000"&amp;1352,6),LdCKeyM,0),"")</f>
        <v/>
      </c>
    </row>
    <row r="1369">
      <c r="A1369" s="10" t="n">
        <v>1353</v>
      </c>
      <c r="B1369" s="14">
        <f>IF(AND($L1369="",$M1369="",$N1369=""),"",IF($L1369&lt;&gt;"",INDEX(LdADate,$L1369),IF($M1369&lt;&gt;"",INDEX(LdBDate,$M1369),INDEX(LdCDate,$N1369))))</f>
        <v/>
      </c>
      <c r="C1369" s="14">
        <f>IF($L1369&lt;&gt;"","دستمزد (فردی)",IF($M1369&lt;&gt;"","سهم از گروه "&amp;IFERROR(VLOOKUP(INDEX(LdBGroup,$M1369),WGTbl,2,0),INDEX(LdBGroup,$M1369)),IF($N1369&lt;&gt;"",IF(N(INDEX(LdCDep,$N1369))&gt;0,"بازگشت بانکی","پرداخت بانکی"),"")))</f>
        <v/>
      </c>
      <c r="D1369" s="14">
        <f>IF($L1369&lt;&gt;"",IF(INDEX(LdAId,$L1369)="","—",INDEX(LdAId,$L1369)),IF($M1369&lt;&gt;"",IF(INDEX(LdBId,$M1369)="","—",INDEX(LdBId,$M1369)),IF($N1369&lt;&gt;"",IF(INDEX(LdCBank,$N1369)="","—",INDEX(LdCBank,$N1369)),"")))</f>
        <v/>
      </c>
      <c r="E1369" s="16">
        <f>IF($L1369&lt;&gt;"",IF(INDEX(LdAAmt,$L1369)=0,"",INDEX(LdAAmt,$L1369)),IF($M1369&lt;&gt;"",IF(INDEX(LdBAmt,$M1369)=0,"",INDEX(LdBAmt,$M1369)),IF($N1369&lt;&gt;"",IF(INDEX(LdCDep,$N1369)=0,"",INDEX(LdCDep,$N1369)),"")))</f>
        <v/>
      </c>
      <c r="F1369" s="16">
        <f>IF(AND($L1369="",$M1369="",$N1369=""),"",IF($N1369="","",IF(INDEX(LdCWit,$N1369)=0,"",INDEX(LdCWit,$N1369))))</f>
        <v/>
      </c>
      <c r="G1369" s="29">
        <f>IF($B1369="","",IF($G1368="",0,$G1368)+IF($E1369="",0,$E1369)-IF($F1369="",0,$F1369))</f>
        <v/>
      </c>
      <c r="H1369" s="30">
        <f>IF(AND($L1369="",$M1369="",$N1369=""),"",IF($L1369&lt;&gt;"",IF(INDEX(LdANote,$L1369)="","—",INDEX(LdANote,$L1369)),IF($M1369&lt;&gt;"",IF(INDEX(LdBNote,$M1369)="","—",INDEX(LdBNote,$M1369)),IF($N1369&lt;&gt;"",IF(INDEX(LdCNote,$N1369)="","—",INDEX(LdCNote,$N1369)),""))))</f>
        <v/>
      </c>
      <c r="L1369">
        <f>IFERROR(MATCH($C$5&amp;"|"&amp;RIGHT("000000"&amp;1353,6),LdAKeyM,0),"")</f>
        <v/>
      </c>
      <c r="M1369">
        <f>IFERROR(MATCH($C$5&amp;"|"&amp;RIGHT("000000"&amp;1353,6),LdBKeyM,0),"")</f>
        <v/>
      </c>
      <c r="N1369">
        <f>IFERROR(MATCH($C$5&amp;"|"&amp;RIGHT("000000"&amp;1353,6),LdCKeyM,0),"")</f>
        <v/>
      </c>
    </row>
    <row r="1370">
      <c r="A1370" s="19" t="n">
        <v>1354</v>
      </c>
      <c r="B1370" s="20">
        <f>IF(AND($L1370="",$M1370="",$N1370=""),"",IF($L1370&lt;&gt;"",INDEX(LdADate,$L1370),IF($M1370&lt;&gt;"",INDEX(LdBDate,$M1370),INDEX(LdCDate,$N1370))))</f>
        <v/>
      </c>
      <c r="C1370" s="20">
        <f>IF($L1370&lt;&gt;"","دستمزد (فردی)",IF($M1370&lt;&gt;"","سهم از گروه "&amp;IFERROR(VLOOKUP(INDEX(LdBGroup,$M1370),WGTbl,2,0),INDEX(LdBGroup,$M1370)),IF($N1370&lt;&gt;"",IF(N(INDEX(LdCDep,$N1370))&gt;0,"بازگشت بانکی","پرداخت بانکی"),"")))</f>
        <v/>
      </c>
      <c r="D1370" s="20">
        <f>IF($L1370&lt;&gt;"",IF(INDEX(LdAId,$L1370)="","—",INDEX(LdAId,$L1370)),IF($M1370&lt;&gt;"",IF(INDEX(LdBId,$M1370)="","—",INDEX(LdBId,$M1370)),IF($N1370&lt;&gt;"",IF(INDEX(LdCBank,$N1370)="","—",INDEX(LdCBank,$N1370)),"")))</f>
        <v/>
      </c>
      <c r="E1370" s="21">
        <f>IF($L1370&lt;&gt;"",IF(INDEX(LdAAmt,$L1370)=0,"",INDEX(LdAAmt,$L1370)),IF($M1370&lt;&gt;"",IF(INDEX(LdBAmt,$M1370)=0,"",INDEX(LdBAmt,$M1370)),IF($N1370&lt;&gt;"",IF(INDEX(LdCDep,$N1370)=0,"",INDEX(LdCDep,$N1370)),"")))</f>
        <v/>
      </c>
      <c r="F1370" s="21">
        <f>IF(AND($L1370="",$M1370="",$N1370=""),"",IF($N1370="","",IF(INDEX(LdCWit,$N1370)=0,"",INDEX(LdCWit,$N1370))))</f>
        <v/>
      </c>
      <c r="G1370" s="31">
        <f>IF($B1370="","",IF($G1369="",0,$G1369)+IF($E1370="",0,$E1370)-IF($F1370="",0,$F1370))</f>
        <v/>
      </c>
      <c r="H1370" s="32">
        <f>IF(AND($L1370="",$M1370="",$N1370=""),"",IF($L1370&lt;&gt;"",IF(INDEX(LdANote,$L1370)="","—",INDEX(LdANote,$L1370)),IF($M1370&lt;&gt;"",IF(INDEX(LdBNote,$M1370)="","—",INDEX(LdBNote,$M1370)),IF($N1370&lt;&gt;"",IF(INDEX(LdCNote,$N1370)="","—",INDEX(LdCNote,$N1370)),""))))</f>
        <v/>
      </c>
      <c r="L1370">
        <f>IFERROR(MATCH($C$5&amp;"|"&amp;RIGHT("000000"&amp;1354,6),LdAKeyM,0),"")</f>
        <v/>
      </c>
      <c r="M1370">
        <f>IFERROR(MATCH($C$5&amp;"|"&amp;RIGHT("000000"&amp;1354,6),LdBKeyM,0),"")</f>
        <v/>
      </c>
      <c r="N1370">
        <f>IFERROR(MATCH($C$5&amp;"|"&amp;RIGHT("000000"&amp;1354,6),LdCKeyM,0),"")</f>
        <v/>
      </c>
    </row>
    <row r="1371">
      <c r="A1371" s="10" t="n">
        <v>1355</v>
      </c>
      <c r="B1371" s="14">
        <f>IF(AND($L1371="",$M1371="",$N1371=""),"",IF($L1371&lt;&gt;"",INDEX(LdADate,$L1371),IF($M1371&lt;&gt;"",INDEX(LdBDate,$M1371),INDEX(LdCDate,$N1371))))</f>
        <v/>
      </c>
      <c r="C1371" s="14">
        <f>IF($L1371&lt;&gt;"","دستمزد (فردی)",IF($M1371&lt;&gt;"","سهم از گروه "&amp;IFERROR(VLOOKUP(INDEX(LdBGroup,$M1371),WGTbl,2,0),INDEX(LdBGroup,$M1371)),IF($N1371&lt;&gt;"",IF(N(INDEX(LdCDep,$N1371))&gt;0,"بازگشت بانکی","پرداخت بانکی"),"")))</f>
        <v/>
      </c>
      <c r="D1371" s="14">
        <f>IF($L1371&lt;&gt;"",IF(INDEX(LdAId,$L1371)="","—",INDEX(LdAId,$L1371)),IF($M1371&lt;&gt;"",IF(INDEX(LdBId,$M1371)="","—",INDEX(LdBId,$M1371)),IF($N1371&lt;&gt;"",IF(INDEX(LdCBank,$N1371)="","—",INDEX(LdCBank,$N1371)),"")))</f>
        <v/>
      </c>
      <c r="E1371" s="16">
        <f>IF($L1371&lt;&gt;"",IF(INDEX(LdAAmt,$L1371)=0,"",INDEX(LdAAmt,$L1371)),IF($M1371&lt;&gt;"",IF(INDEX(LdBAmt,$M1371)=0,"",INDEX(LdBAmt,$M1371)),IF($N1371&lt;&gt;"",IF(INDEX(LdCDep,$N1371)=0,"",INDEX(LdCDep,$N1371)),"")))</f>
        <v/>
      </c>
      <c r="F1371" s="16">
        <f>IF(AND($L1371="",$M1371="",$N1371=""),"",IF($N1371="","",IF(INDEX(LdCWit,$N1371)=0,"",INDEX(LdCWit,$N1371))))</f>
        <v/>
      </c>
      <c r="G1371" s="29">
        <f>IF($B1371="","",IF($G1370="",0,$G1370)+IF($E1371="",0,$E1371)-IF($F1371="",0,$F1371))</f>
        <v/>
      </c>
      <c r="H1371" s="30">
        <f>IF(AND($L1371="",$M1371="",$N1371=""),"",IF($L1371&lt;&gt;"",IF(INDEX(LdANote,$L1371)="","—",INDEX(LdANote,$L1371)),IF($M1371&lt;&gt;"",IF(INDEX(LdBNote,$M1371)="","—",INDEX(LdBNote,$M1371)),IF($N1371&lt;&gt;"",IF(INDEX(LdCNote,$N1371)="","—",INDEX(LdCNote,$N1371)),""))))</f>
        <v/>
      </c>
      <c r="L1371">
        <f>IFERROR(MATCH($C$5&amp;"|"&amp;RIGHT("000000"&amp;1355,6),LdAKeyM,0),"")</f>
        <v/>
      </c>
      <c r="M1371">
        <f>IFERROR(MATCH($C$5&amp;"|"&amp;RIGHT("000000"&amp;1355,6),LdBKeyM,0),"")</f>
        <v/>
      </c>
      <c r="N1371">
        <f>IFERROR(MATCH($C$5&amp;"|"&amp;RIGHT("000000"&amp;1355,6),LdCKeyM,0),"")</f>
        <v/>
      </c>
    </row>
    <row r="1372">
      <c r="A1372" s="19" t="n">
        <v>1356</v>
      </c>
      <c r="B1372" s="20">
        <f>IF(AND($L1372="",$M1372="",$N1372=""),"",IF($L1372&lt;&gt;"",INDEX(LdADate,$L1372),IF($M1372&lt;&gt;"",INDEX(LdBDate,$M1372),INDEX(LdCDate,$N1372))))</f>
        <v/>
      </c>
      <c r="C1372" s="20">
        <f>IF($L1372&lt;&gt;"","دستمزد (فردی)",IF($M1372&lt;&gt;"","سهم از گروه "&amp;IFERROR(VLOOKUP(INDEX(LdBGroup,$M1372),WGTbl,2,0),INDEX(LdBGroup,$M1372)),IF($N1372&lt;&gt;"",IF(N(INDEX(LdCDep,$N1372))&gt;0,"بازگشت بانکی","پرداخت بانکی"),"")))</f>
        <v/>
      </c>
      <c r="D1372" s="20">
        <f>IF($L1372&lt;&gt;"",IF(INDEX(LdAId,$L1372)="","—",INDEX(LdAId,$L1372)),IF($M1372&lt;&gt;"",IF(INDEX(LdBId,$M1372)="","—",INDEX(LdBId,$M1372)),IF($N1372&lt;&gt;"",IF(INDEX(LdCBank,$N1372)="","—",INDEX(LdCBank,$N1372)),"")))</f>
        <v/>
      </c>
      <c r="E1372" s="21">
        <f>IF($L1372&lt;&gt;"",IF(INDEX(LdAAmt,$L1372)=0,"",INDEX(LdAAmt,$L1372)),IF($M1372&lt;&gt;"",IF(INDEX(LdBAmt,$M1372)=0,"",INDEX(LdBAmt,$M1372)),IF($N1372&lt;&gt;"",IF(INDEX(LdCDep,$N1372)=0,"",INDEX(LdCDep,$N1372)),"")))</f>
        <v/>
      </c>
      <c r="F1372" s="21">
        <f>IF(AND($L1372="",$M1372="",$N1372=""),"",IF($N1372="","",IF(INDEX(LdCWit,$N1372)=0,"",INDEX(LdCWit,$N1372))))</f>
        <v/>
      </c>
      <c r="G1372" s="31">
        <f>IF($B1372="","",IF($G1371="",0,$G1371)+IF($E1372="",0,$E1372)-IF($F1372="",0,$F1372))</f>
        <v/>
      </c>
      <c r="H1372" s="32">
        <f>IF(AND($L1372="",$M1372="",$N1372=""),"",IF($L1372&lt;&gt;"",IF(INDEX(LdANote,$L1372)="","—",INDEX(LdANote,$L1372)),IF($M1372&lt;&gt;"",IF(INDEX(LdBNote,$M1372)="","—",INDEX(LdBNote,$M1372)),IF($N1372&lt;&gt;"",IF(INDEX(LdCNote,$N1372)="","—",INDEX(LdCNote,$N1372)),""))))</f>
        <v/>
      </c>
      <c r="L1372">
        <f>IFERROR(MATCH($C$5&amp;"|"&amp;RIGHT("000000"&amp;1356,6),LdAKeyM,0),"")</f>
        <v/>
      </c>
      <c r="M1372">
        <f>IFERROR(MATCH($C$5&amp;"|"&amp;RIGHT("000000"&amp;1356,6),LdBKeyM,0),"")</f>
        <v/>
      </c>
      <c r="N1372">
        <f>IFERROR(MATCH($C$5&amp;"|"&amp;RIGHT("000000"&amp;1356,6),LdCKeyM,0),"")</f>
        <v/>
      </c>
    </row>
    <row r="1373">
      <c r="A1373" s="10" t="n">
        <v>1357</v>
      </c>
      <c r="B1373" s="14">
        <f>IF(AND($L1373="",$M1373="",$N1373=""),"",IF($L1373&lt;&gt;"",INDEX(LdADate,$L1373),IF($M1373&lt;&gt;"",INDEX(LdBDate,$M1373),INDEX(LdCDate,$N1373))))</f>
        <v/>
      </c>
      <c r="C1373" s="14">
        <f>IF($L1373&lt;&gt;"","دستمزد (فردی)",IF($M1373&lt;&gt;"","سهم از گروه "&amp;IFERROR(VLOOKUP(INDEX(LdBGroup,$M1373),WGTbl,2,0),INDEX(LdBGroup,$M1373)),IF($N1373&lt;&gt;"",IF(N(INDEX(LdCDep,$N1373))&gt;0,"بازگشت بانکی","پرداخت بانکی"),"")))</f>
        <v/>
      </c>
      <c r="D1373" s="14">
        <f>IF($L1373&lt;&gt;"",IF(INDEX(LdAId,$L1373)="","—",INDEX(LdAId,$L1373)),IF($M1373&lt;&gt;"",IF(INDEX(LdBId,$M1373)="","—",INDEX(LdBId,$M1373)),IF($N1373&lt;&gt;"",IF(INDEX(LdCBank,$N1373)="","—",INDEX(LdCBank,$N1373)),"")))</f>
        <v/>
      </c>
      <c r="E1373" s="16">
        <f>IF($L1373&lt;&gt;"",IF(INDEX(LdAAmt,$L1373)=0,"",INDEX(LdAAmt,$L1373)),IF($M1373&lt;&gt;"",IF(INDEX(LdBAmt,$M1373)=0,"",INDEX(LdBAmt,$M1373)),IF($N1373&lt;&gt;"",IF(INDEX(LdCDep,$N1373)=0,"",INDEX(LdCDep,$N1373)),"")))</f>
        <v/>
      </c>
      <c r="F1373" s="16">
        <f>IF(AND($L1373="",$M1373="",$N1373=""),"",IF($N1373="","",IF(INDEX(LdCWit,$N1373)=0,"",INDEX(LdCWit,$N1373))))</f>
        <v/>
      </c>
      <c r="G1373" s="29">
        <f>IF($B1373="","",IF($G1372="",0,$G1372)+IF($E1373="",0,$E1373)-IF($F1373="",0,$F1373))</f>
        <v/>
      </c>
      <c r="H1373" s="30">
        <f>IF(AND($L1373="",$M1373="",$N1373=""),"",IF($L1373&lt;&gt;"",IF(INDEX(LdANote,$L1373)="","—",INDEX(LdANote,$L1373)),IF($M1373&lt;&gt;"",IF(INDEX(LdBNote,$M1373)="","—",INDEX(LdBNote,$M1373)),IF($N1373&lt;&gt;"",IF(INDEX(LdCNote,$N1373)="","—",INDEX(LdCNote,$N1373)),""))))</f>
        <v/>
      </c>
      <c r="L1373">
        <f>IFERROR(MATCH($C$5&amp;"|"&amp;RIGHT("000000"&amp;1357,6),LdAKeyM,0),"")</f>
        <v/>
      </c>
      <c r="M1373">
        <f>IFERROR(MATCH($C$5&amp;"|"&amp;RIGHT("000000"&amp;1357,6),LdBKeyM,0),"")</f>
        <v/>
      </c>
      <c r="N1373">
        <f>IFERROR(MATCH($C$5&amp;"|"&amp;RIGHT("000000"&amp;1357,6),LdCKeyM,0),"")</f>
        <v/>
      </c>
    </row>
    <row r="1374">
      <c r="A1374" s="19" t="n">
        <v>1358</v>
      </c>
      <c r="B1374" s="20">
        <f>IF(AND($L1374="",$M1374="",$N1374=""),"",IF($L1374&lt;&gt;"",INDEX(LdADate,$L1374),IF($M1374&lt;&gt;"",INDEX(LdBDate,$M1374),INDEX(LdCDate,$N1374))))</f>
        <v/>
      </c>
      <c r="C1374" s="20">
        <f>IF($L1374&lt;&gt;"","دستمزد (فردی)",IF($M1374&lt;&gt;"","سهم از گروه "&amp;IFERROR(VLOOKUP(INDEX(LdBGroup,$M1374),WGTbl,2,0),INDEX(LdBGroup,$M1374)),IF($N1374&lt;&gt;"",IF(N(INDEX(LdCDep,$N1374))&gt;0,"بازگشت بانکی","پرداخت بانکی"),"")))</f>
        <v/>
      </c>
      <c r="D1374" s="20">
        <f>IF($L1374&lt;&gt;"",IF(INDEX(LdAId,$L1374)="","—",INDEX(LdAId,$L1374)),IF($M1374&lt;&gt;"",IF(INDEX(LdBId,$M1374)="","—",INDEX(LdBId,$M1374)),IF($N1374&lt;&gt;"",IF(INDEX(LdCBank,$N1374)="","—",INDEX(LdCBank,$N1374)),"")))</f>
        <v/>
      </c>
      <c r="E1374" s="21">
        <f>IF($L1374&lt;&gt;"",IF(INDEX(LdAAmt,$L1374)=0,"",INDEX(LdAAmt,$L1374)),IF($M1374&lt;&gt;"",IF(INDEX(LdBAmt,$M1374)=0,"",INDEX(LdBAmt,$M1374)),IF($N1374&lt;&gt;"",IF(INDEX(LdCDep,$N1374)=0,"",INDEX(LdCDep,$N1374)),"")))</f>
        <v/>
      </c>
      <c r="F1374" s="21">
        <f>IF(AND($L1374="",$M1374="",$N1374=""),"",IF($N1374="","",IF(INDEX(LdCWit,$N1374)=0,"",INDEX(LdCWit,$N1374))))</f>
        <v/>
      </c>
      <c r="G1374" s="31">
        <f>IF($B1374="","",IF($G1373="",0,$G1373)+IF($E1374="",0,$E1374)-IF($F1374="",0,$F1374))</f>
        <v/>
      </c>
      <c r="H1374" s="32">
        <f>IF(AND($L1374="",$M1374="",$N1374=""),"",IF($L1374&lt;&gt;"",IF(INDEX(LdANote,$L1374)="","—",INDEX(LdANote,$L1374)),IF($M1374&lt;&gt;"",IF(INDEX(LdBNote,$M1374)="","—",INDEX(LdBNote,$M1374)),IF($N1374&lt;&gt;"",IF(INDEX(LdCNote,$N1374)="","—",INDEX(LdCNote,$N1374)),""))))</f>
        <v/>
      </c>
      <c r="L1374">
        <f>IFERROR(MATCH($C$5&amp;"|"&amp;RIGHT("000000"&amp;1358,6),LdAKeyM,0),"")</f>
        <v/>
      </c>
      <c r="M1374">
        <f>IFERROR(MATCH($C$5&amp;"|"&amp;RIGHT("000000"&amp;1358,6),LdBKeyM,0),"")</f>
        <v/>
      </c>
      <c r="N1374">
        <f>IFERROR(MATCH($C$5&amp;"|"&amp;RIGHT("000000"&amp;1358,6),LdCKeyM,0),"")</f>
        <v/>
      </c>
    </row>
    <row r="1375">
      <c r="A1375" s="10" t="n">
        <v>1359</v>
      </c>
      <c r="B1375" s="14">
        <f>IF(AND($L1375="",$M1375="",$N1375=""),"",IF($L1375&lt;&gt;"",INDEX(LdADate,$L1375),IF($M1375&lt;&gt;"",INDEX(LdBDate,$M1375),INDEX(LdCDate,$N1375))))</f>
        <v/>
      </c>
      <c r="C1375" s="14">
        <f>IF($L1375&lt;&gt;"","دستمزد (فردی)",IF($M1375&lt;&gt;"","سهم از گروه "&amp;IFERROR(VLOOKUP(INDEX(LdBGroup,$M1375),WGTbl,2,0),INDEX(LdBGroup,$M1375)),IF($N1375&lt;&gt;"",IF(N(INDEX(LdCDep,$N1375))&gt;0,"بازگشت بانکی","پرداخت بانکی"),"")))</f>
        <v/>
      </c>
      <c r="D1375" s="14">
        <f>IF($L1375&lt;&gt;"",IF(INDEX(LdAId,$L1375)="","—",INDEX(LdAId,$L1375)),IF($M1375&lt;&gt;"",IF(INDEX(LdBId,$M1375)="","—",INDEX(LdBId,$M1375)),IF($N1375&lt;&gt;"",IF(INDEX(LdCBank,$N1375)="","—",INDEX(LdCBank,$N1375)),"")))</f>
        <v/>
      </c>
      <c r="E1375" s="16">
        <f>IF($L1375&lt;&gt;"",IF(INDEX(LdAAmt,$L1375)=0,"",INDEX(LdAAmt,$L1375)),IF($M1375&lt;&gt;"",IF(INDEX(LdBAmt,$M1375)=0,"",INDEX(LdBAmt,$M1375)),IF($N1375&lt;&gt;"",IF(INDEX(LdCDep,$N1375)=0,"",INDEX(LdCDep,$N1375)),"")))</f>
        <v/>
      </c>
      <c r="F1375" s="16">
        <f>IF(AND($L1375="",$M1375="",$N1375=""),"",IF($N1375="","",IF(INDEX(LdCWit,$N1375)=0,"",INDEX(LdCWit,$N1375))))</f>
        <v/>
      </c>
      <c r="G1375" s="29">
        <f>IF($B1375="","",IF($G1374="",0,$G1374)+IF($E1375="",0,$E1375)-IF($F1375="",0,$F1375))</f>
        <v/>
      </c>
      <c r="H1375" s="30">
        <f>IF(AND($L1375="",$M1375="",$N1375=""),"",IF($L1375&lt;&gt;"",IF(INDEX(LdANote,$L1375)="","—",INDEX(LdANote,$L1375)),IF($M1375&lt;&gt;"",IF(INDEX(LdBNote,$M1375)="","—",INDEX(LdBNote,$M1375)),IF($N1375&lt;&gt;"",IF(INDEX(LdCNote,$N1375)="","—",INDEX(LdCNote,$N1375)),""))))</f>
        <v/>
      </c>
      <c r="L1375">
        <f>IFERROR(MATCH($C$5&amp;"|"&amp;RIGHT("000000"&amp;1359,6),LdAKeyM,0),"")</f>
        <v/>
      </c>
      <c r="M1375">
        <f>IFERROR(MATCH($C$5&amp;"|"&amp;RIGHT("000000"&amp;1359,6),LdBKeyM,0),"")</f>
        <v/>
      </c>
      <c r="N1375">
        <f>IFERROR(MATCH($C$5&amp;"|"&amp;RIGHT("000000"&amp;1359,6),LdCKeyM,0),"")</f>
        <v/>
      </c>
    </row>
    <row r="1376">
      <c r="A1376" s="19" t="n">
        <v>1360</v>
      </c>
      <c r="B1376" s="20">
        <f>IF(AND($L1376="",$M1376="",$N1376=""),"",IF($L1376&lt;&gt;"",INDEX(LdADate,$L1376),IF($M1376&lt;&gt;"",INDEX(LdBDate,$M1376),INDEX(LdCDate,$N1376))))</f>
        <v/>
      </c>
      <c r="C1376" s="20">
        <f>IF($L1376&lt;&gt;"","دستمزد (فردی)",IF($M1376&lt;&gt;"","سهم از گروه "&amp;IFERROR(VLOOKUP(INDEX(LdBGroup,$M1376),WGTbl,2,0),INDEX(LdBGroup,$M1376)),IF($N1376&lt;&gt;"",IF(N(INDEX(LdCDep,$N1376))&gt;0,"بازگشت بانکی","پرداخت بانکی"),"")))</f>
        <v/>
      </c>
      <c r="D1376" s="20">
        <f>IF($L1376&lt;&gt;"",IF(INDEX(LdAId,$L1376)="","—",INDEX(LdAId,$L1376)),IF($M1376&lt;&gt;"",IF(INDEX(LdBId,$M1376)="","—",INDEX(LdBId,$M1376)),IF($N1376&lt;&gt;"",IF(INDEX(LdCBank,$N1376)="","—",INDEX(LdCBank,$N1376)),"")))</f>
        <v/>
      </c>
      <c r="E1376" s="21">
        <f>IF($L1376&lt;&gt;"",IF(INDEX(LdAAmt,$L1376)=0,"",INDEX(LdAAmt,$L1376)),IF($M1376&lt;&gt;"",IF(INDEX(LdBAmt,$M1376)=0,"",INDEX(LdBAmt,$M1376)),IF($N1376&lt;&gt;"",IF(INDEX(LdCDep,$N1376)=0,"",INDEX(LdCDep,$N1376)),"")))</f>
        <v/>
      </c>
      <c r="F1376" s="21">
        <f>IF(AND($L1376="",$M1376="",$N1376=""),"",IF($N1376="","",IF(INDEX(LdCWit,$N1376)=0,"",INDEX(LdCWit,$N1376))))</f>
        <v/>
      </c>
      <c r="G1376" s="31">
        <f>IF($B1376="","",IF($G1375="",0,$G1375)+IF($E1376="",0,$E1376)-IF($F1376="",0,$F1376))</f>
        <v/>
      </c>
      <c r="H1376" s="32">
        <f>IF(AND($L1376="",$M1376="",$N1376=""),"",IF($L1376&lt;&gt;"",IF(INDEX(LdANote,$L1376)="","—",INDEX(LdANote,$L1376)),IF($M1376&lt;&gt;"",IF(INDEX(LdBNote,$M1376)="","—",INDEX(LdBNote,$M1376)),IF($N1376&lt;&gt;"",IF(INDEX(LdCNote,$N1376)="","—",INDEX(LdCNote,$N1376)),""))))</f>
        <v/>
      </c>
      <c r="L1376">
        <f>IFERROR(MATCH($C$5&amp;"|"&amp;RIGHT("000000"&amp;1360,6),LdAKeyM,0),"")</f>
        <v/>
      </c>
      <c r="M1376">
        <f>IFERROR(MATCH($C$5&amp;"|"&amp;RIGHT("000000"&amp;1360,6),LdBKeyM,0),"")</f>
        <v/>
      </c>
      <c r="N1376">
        <f>IFERROR(MATCH($C$5&amp;"|"&amp;RIGHT("000000"&amp;1360,6),LdCKeyM,0),"")</f>
        <v/>
      </c>
    </row>
    <row r="1377">
      <c r="A1377" s="10" t="n">
        <v>1361</v>
      </c>
      <c r="B1377" s="14">
        <f>IF(AND($L1377="",$M1377="",$N1377=""),"",IF($L1377&lt;&gt;"",INDEX(LdADate,$L1377),IF($M1377&lt;&gt;"",INDEX(LdBDate,$M1377),INDEX(LdCDate,$N1377))))</f>
        <v/>
      </c>
      <c r="C1377" s="14">
        <f>IF($L1377&lt;&gt;"","دستمزد (فردی)",IF($M1377&lt;&gt;"","سهم از گروه "&amp;IFERROR(VLOOKUP(INDEX(LdBGroup,$M1377),WGTbl,2,0),INDEX(LdBGroup,$M1377)),IF($N1377&lt;&gt;"",IF(N(INDEX(LdCDep,$N1377))&gt;0,"بازگشت بانکی","پرداخت بانکی"),"")))</f>
        <v/>
      </c>
      <c r="D1377" s="14">
        <f>IF($L1377&lt;&gt;"",IF(INDEX(LdAId,$L1377)="","—",INDEX(LdAId,$L1377)),IF($M1377&lt;&gt;"",IF(INDEX(LdBId,$M1377)="","—",INDEX(LdBId,$M1377)),IF($N1377&lt;&gt;"",IF(INDEX(LdCBank,$N1377)="","—",INDEX(LdCBank,$N1377)),"")))</f>
        <v/>
      </c>
      <c r="E1377" s="16">
        <f>IF($L1377&lt;&gt;"",IF(INDEX(LdAAmt,$L1377)=0,"",INDEX(LdAAmt,$L1377)),IF($M1377&lt;&gt;"",IF(INDEX(LdBAmt,$M1377)=0,"",INDEX(LdBAmt,$M1377)),IF($N1377&lt;&gt;"",IF(INDEX(LdCDep,$N1377)=0,"",INDEX(LdCDep,$N1377)),"")))</f>
        <v/>
      </c>
      <c r="F1377" s="16">
        <f>IF(AND($L1377="",$M1377="",$N1377=""),"",IF($N1377="","",IF(INDEX(LdCWit,$N1377)=0,"",INDEX(LdCWit,$N1377))))</f>
        <v/>
      </c>
      <c r="G1377" s="29">
        <f>IF($B1377="","",IF($G1376="",0,$G1376)+IF($E1377="",0,$E1377)-IF($F1377="",0,$F1377))</f>
        <v/>
      </c>
      <c r="H1377" s="30">
        <f>IF(AND($L1377="",$M1377="",$N1377=""),"",IF($L1377&lt;&gt;"",IF(INDEX(LdANote,$L1377)="","—",INDEX(LdANote,$L1377)),IF($M1377&lt;&gt;"",IF(INDEX(LdBNote,$M1377)="","—",INDEX(LdBNote,$M1377)),IF($N1377&lt;&gt;"",IF(INDEX(LdCNote,$N1377)="","—",INDEX(LdCNote,$N1377)),""))))</f>
        <v/>
      </c>
      <c r="L1377">
        <f>IFERROR(MATCH($C$5&amp;"|"&amp;RIGHT("000000"&amp;1361,6),LdAKeyM,0),"")</f>
        <v/>
      </c>
      <c r="M1377">
        <f>IFERROR(MATCH($C$5&amp;"|"&amp;RIGHT("000000"&amp;1361,6),LdBKeyM,0),"")</f>
        <v/>
      </c>
      <c r="N1377">
        <f>IFERROR(MATCH($C$5&amp;"|"&amp;RIGHT("000000"&amp;1361,6),LdCKeyM,0),"")</f>
        <v/>
      </c>
    </row>
    <row r="1378">
      <c r="A1378" s="19" t="n">
        <v>1362</v>
      </c>
      <c r="B1378" s="20">
        <f>IF(AND($L1378="",$M1378="",$N1378=""),"",IF($L1378&lt;&gt;"",INDEX(LdADate,$L1378),IF($M1378&lt;&gt;"",INDEX(LdBDate,$M1378),INDEX(LdCDate,$N1378))))</f>
        <v/>
      </c>
      <c r="C1378" s="20">
        <f>IF($L1378&lt;&gt;"","دستمزد (فردی)",IF($M1378&lt;&gt;"","سهم از گروه "&amp;IFERROR(VLOOKUP(INDEX(LdBGroup,$M1378),WGTbl,2,0),INDEX(LdBGroup,$M1378)),IF($N1378&lt;&gt;"",IF(N(INDEX(LdCDep,$N1378))&gt;0,"بازگشت بانکی","پرداخت بانکی"),"")))</f>
        <v/>
      </c>
      <c r="D1378" s="20">
        <f>IF($L1378&lt;&gt;"",IF(INDEX(LdAId,$L1378)="","—",INDEX(LdAId,$L1378)),IF($M1378&lt;&gt;"",IF(INDEX(LdBId,$M1378)="","—",INDEX(LdBId,$M1378)),IF($N1378&lt;&gt;"",IF(INDEX(LdCBank,$N1378)="","—",INDEX(LdCBank,$N1378)),"")))</f>
        <v/>
      </c>
      <c r="E1378" s="21">
        <f>IF($L1378&lt;&gt;"",IF(INDEX(LdAAmt,$L1378)=0,"",INDEX(LdAAmt,$L1378)),IF($M1378&lt;&gt;"",IF(INDEX(LdBAmt,$M1378)=0,"",INDEX(LdBAmt,$M1378)),IF($N1378&lt;&gt;"",IF(INDEX(LdCDep,$N1378)=0,"",INDEX(LdCDep,$N1378)),"")))</f>
        <v/>
      </c>
      <c r="F1378" s="21">
        <f>IF(AND($L1378="",$M1378="",$N1378=""),"",IF($N1378="","",IF(INDEX(LdCWit,$N1378)=0,"",INDEX(LdCWit,$N1378))))</f>
        <v/>
      </c>
      <c r="G1378" s="31">
        <f>IF($B1378="","",IF($G1377="",0,$G1377)+IF($E1378="",0,$E1378)-IF($F1378="",0,$F1378))</f>
        <v/>
      </c>
      <c r="H1378" s="32">
        <f>IF(AND($L1378="",$M1378="",$N1378=""),"",IF($L1378&lt;&gt;"",IF(INDEX(LdANote,$L1378)="","—",INDEX(LdANote,$L1378)),IF($M1378&lt;&gt;"",IF(INDEX(LdBNote,$M1378)="","—",INDEX(LdBNote,$M1378)),IF($N1378&lt;&gt;"",IF(INDEX(LdCNote,$N1378)="","—",INDEX(LdCNote,$N1378)),""))))</f>
        <v/>
      </c>
      <c r="L1378">
        <f>IFERROR(MATCH($C$5&amp;"|"&amp;RIGHT("000000"&amp;1362,6),LdAKeyM,0),"")</f>
        <v/>
      </c>
      <c r="M1378">
        <f>IFERROR(MATCH($C$5&amp;"|"&amp;RIGHT("000000"&amp;1362,6),LdBKeyM,0),"")</f>
        <v/>
      </c>
      <c r="N1378">
        <f>IFERROR(MATCH($C$5&amp;"|"&amp;RIGHT("000000"&amp;1362,6),LdCKeyM,0),"")</f>
        <v/>
      </c>
    </row>
    <row r="1379">
      <c r="A1379" s="10" t="n">
        <v>1363</v>
      </c>
      <c r="B1379" s="14">
        <f>IF(AND($L1379="",$M1379="",$N1379=""),"",IF($L1379&lt;&gt;"",INDEX(LdADate,$L1379),IF($M1379&lt;&gt;"",INDEX(LdBDate,$M1379),INDEX(LdCDate,$N1379))))</f>
        <v/>
      </c>
      <c r="C1379" s="14">
        <f>IF($L1379&lt;&gt;"","دستمزد (فردی)",IF($M1379&lt;&gt;"","سهم از گروه "&amp;IFERROR(VLOOKUP(INDEX(LdBGroup,$M1379),WGTbl,2,0),INDEX(LdBGroup,$M1379)),IF($N1379&lt;&gt;"",IF(N(INDEX(LdCDep,$N1379))&gt;0,"بازگشت بانکی","پرداخت بانکی"),"")))</f>
        <v/>
      </c>
      <c r="D1379" s="14">
        <f>IF($L1379&lt;&gt;"",IF(INDEX(LdAId,$L1379)="","—",INDEX(LdAId,$L1379)),IF($M1379&lt;&gt;"",IF(INDEX(LdBId,$M1379)="","—",INDEX(LdBId,$M1379)),IF($N1379&lt;&gt;"",IF(INDEX(LdCBank,$N1379)="","—",INDEX(LdCBank,$N1379)),"")))</f>
        <v/>
      </c>
      <c r="E1379" s="16">
        <f>IF($L1379&lt;&gt;"",IF(INDEX(LdAAmt,$L1379)=0,"",INDEX(LdAAmt,$L1379)),IF($M1379&lt;&gt;"",IF(INDEX(LdBAmt,$M1379)=0,"",INDEX(LdBAmt,$M1379)),IF($N1379&lt;&gt;"",IF(INDEX(LdCDep,$N1379)=0,"",INDEX(LdCDep,$N1379)),"")))</f>
        <v/>
      </c>
      <c r="F1379" s="16">
        <f>IF(AND($L1379="",$M1379="",$N1379=""),"",IF($N1379="","",IF(INDEX(LdCWit,$N1379)=0,"",INDEX(LdCWit,$N1379))))</f>
        <v/>
      </c>
      <c r="G1379" s="29">
        <f>IF($B1379="","",IF($G1378="",0,$G1378)+IF($E1379="",0,$E1379)-IF($F1379="",0,$F1379))</f>
        <v/>
      </c>
      <c r="H1379" s="30">
        <f>IF(AND($L1379="",$M1379="",$N1379=""),"",IF($L1379&lt;&gt;"",IF(INDEX(LdANote,$L1379)="","—",INDEX(LdANote,$L1379)),IF($M1379&lt;&gt;"",IF(INDEX(LdBNote,$M1379)="","—",INDEX(LdBNote,$M1379)),IF($N1379&lt;&gt;"",IF(INDEX(LdCNote,$N1379)="","—",INDEX(LdCNote,$N1379)),""))))</f>
        <v/>
      </c>
      <c r="L1379">
        <f>IFERROR(MATCH($C$5&amp;"|"&amp;RIGHT("000000"&amp;1363,6),LdAKeyM,0),"")</f>
        <v/>
      </c>
      <c r="M1379">
        <f>IFERROR(MATCH($C$5&amp;"|"&amp;RIGHT("000000"&amp;1363,6),LdBKeyM,0),"")</f>
        <v/>
      </c>
      <c r="N1379">
        <f>IFERROR(MATCH($C$5&amp;"|"&amp;RIGHT("000000"&amp;1363,6),LdCKeyM,0),"")</f>
        <v/>
      </c>
    </row>
    <row r="1380">
      <c r="A1380" s="19" t="n">
        <v>1364</v>
      </c>
      <c r="B1380" s="20">
        <f>IF(AND($L1380="",$M1380="",$N1380=""),"",IF($L1380&lt;&gt;"",INDEX(LdADate,$L1380),IF($M1380&lt;&gt;"",INDEX(LdBDate,$M1380),INDEX(LdCDate,$N1380))))</f>
        <v/>
      </c>
      <c r="C1380" s="20">
        <f>IF($L1380&lt;&gt;"","دستمزد (فردی)",IF($M1380&lt;&gt;"","سهم از گروه "&amp;IFERROR(VLOOKUP(INDEX(LdBGroup,$M1380),WGTbl,2,0),INDEX(LdBGroup,$M1380)),IF($N1380&lt;&gt;"",IF(N(INDEX(LdCDep,$N1380))&gt;0,"بازگشت بانکی","پرداخت بانکی"),"")))</f>
        <v/>
      </c>
      <c r="D1380" s="20">
        <f>IF($L1380&lt;&gt;"",IF(INDEX(LdAId,$L1380)="","—",INDEX(LdAId,$L1380)),IF($M1380&lt;&gt;"",IF(INDEX(LdBId,$M1380)="","—",INDEX(LdBId,$M1380)),IF($N1380&lt;&gt;"",IF(INDEX(LdCBank,$N1380)="","—",INDEX(LdCBank,$N1380)),"")))</f>
        <v/>
      </c>
      <c r="E1380" s="21">
        <f>IF($L1380&lt;&gt;"",IF(INDEX(LdAAmt,$L1380)=0,"",INDEX(LdAAmt,$L1380)),IF($M1380&lt;&gt;"",IF(INDEX(LdBAmt,$M1380)=0,"",INDEX(LdBAmt,$M1380)),IF($N1380&lt;&gt;"",IF(INDEX(LdCDep,$N1380)=0,"",INDEX(LdCDep,$N1380)),"")))</f>
        <v/>
      </c>
      <c r="F1380" s="21">
        <f>IF(AND($L1380="",$M1380="",$N1380=""),"",IF($N1380="","",IF(INDEX(LdCWit,$N1380)=0,"",INDEX(LdCWit,$N1380))))</f>
        <v/>
      </c>
      <c r="G1380" s="31">
        <f>IF($B1380="","",IF($G1379="",0,$G1379)+IF($E1380="",0,$E1380)-IF($F1380="",0,$F1380))</f>
        <v/>
      </c>
      <c r="H1380" s="32">
        <f>IF(AND($L1380="",$M1380="",$N1380=""),"",IF($L1380&lt;&gt;"",IF(INDEX(LdANote,$L1380)="","—",INDEX(LdANote,$L1380)),IF($M1380&lt;&gt;"",IF(INDEX(LdBNote,$M1380)="","—",INDEX(LdBNote,$M1380)),IF($N1380&lt;&gt;"",IF(INDEX(LdCNote,$N1380)="","—",INDEX(LdCNote,$N1380)),""))))</f>
        <v/>
      </c>
      <c r="L1380">
        <f>IFERROR(MATCH($C$5&amp;"|"&amp;RIGHT("000000"&amp;1364,6),LdAKeyM,0),"")</f>
        <v/>
      </c>
      <c r="M1380">
        <f>IFERROR(MATCH($C$5&amp;"|"&amp;RIGHT("000000"&amp;1364,6),LdBKeyM,0),"")</f>
        <v/>
      </c>
      <c r="N1380">
        <f>IFERROR(MATCH($C$5&amp;"|"&amp;RIGHT("000000"&amp;1364,6),LdCKeyM,0),"")</f>
        <v/>
      </c>
    </row>
    <row r="1381">
      <c r="A1381" s="10" t="n">
        <v>1365</v>
      </c>
      <c r="B1381" s="14">
        <f>IF(AND($L1381="",$M1381="",$N1381=""),"",IF($L1381&lt;&gt;"",INDEX(LdADate,$L1381),IF($M1381&lt;&gt;"",INDEX(LdBDate,$M1381),INDEX(LdCDate,$N1381))))</f>
        <v/>
      </c>
      <c r="C1381" s="14">
        <f>IF($L1381&lt;&gt;"","دستمزد (فردی)",IF($M1381&lt;&gt;"","سهم از گروه "&amp;IFERROR(VLOOKUP(INDEX(LdBGroup,$M1381),WGTbl,2,0),INDEX(LdBGroup,$M1381)),IF($N1381&lt;&gt;"",IF(N(INDEX(LdCDep,$N1381))&gt;0,"بازگشت بانکی","پرداخت بانکی"),"")))</f>
        <v/>
      </c>
      <c r="D1381" s="14">
        <f>IF($L1381&lt;&gt;"",IF(INDEX(LdAId,$L1381)="","—",INDEX(LdAId,$L1381)),IF($M1381&lt;&gt;"",IF(INDEX(LdBId,$M1381)="","—",INDEX(LdBId,$M1381)),IF($N1381&lt;&gt;"",IF(INDEX(LdCBank,$N1381)="","—",INDEX(LdCBank,$N1381)),"")))</f>
        <v/>
      </c>
      <c r="E1381" s="16">
        <f>IF($L1381&lt;&gt;"",IF(INDEX(LdAAmt,$L1381)=0,"",INDEX(LdAAmt,$L1381)),IF($M1381&lt;&gt;"",IF(INDEX(LdBAmt,$M1381)=0,"",INDEX(LdBAmt,$M1381)),IF($N1381&lt;&gt;"",IF(INDEX(LdCDep,$N1381)=0,"",INDEX(LdCDep,$N1381)),"")))</f>
        <v/>
      </c>
      <c r="F1381" s="16">
        <f>IF(AND($L1381="",$M1381="",$N1381=""),"",IF($N1381="","",IF(INDEX(LdCWit,$N1381)=0,"",INDEX(LdCWit,$N1381))))</f>
        <v/>
      </c>
      <c r="G1381" s="29">
        <f>IF($B1381="","",IF($G1380="",0,$G1380)+IF($E1381="",0,$E1381)-IF($F1381="",0,$F1381))</f>
        <v/>
      </c>
      <c r="H1381" s="30">
        <f>IF(AND($L1381="",$M1381="",$N1381=""),"",IF($L1381&lt;&gt;"",IF(INDEX(LdANote,$L1381)="","—",INDEX(LdANote,$L1381)),IF($M1381&lt;&gt;"",IF(INDEX(LdBNote,$M1381)="","—",INDEX(LdBNote,$M1381)),IF($N1381&lt;&gt;"",IF(INDEX(LdCNote,$N1381)="","—",INDEX(LdCNote,$N1381)),""))))</f>
        <v/>
      </c>
      <c r="L1381">
        <f>IFERROR(MATCH($C$5&amp;"|"&amp;RIGHT("000000"&amp;1365,6),LdAKeyM,0),"")</f>
        <v/>
      </c>
      <c r="M1381">
        <f>IFERROR(MATCH($C$5&amp;"|"&amp;RIGHT("000000"&amp;1365,6),LdBKeyM,0),"")</f>
        <v/>
      </c>
      <c r="N1381">
        <f>IFERROR(MATCH($C$5&amp;"|"&amp;RIGHT("000000"&amp;1365,6),LdCKeyM,0),"")</f>
        <v/>
      </c>
    </row>
    <row r="1382">
      <c r="A1382" s="19" t="n">
        <v>1366</v>
      </c>
      <c r="B1382" s="20">
        <f>IF(AND($L1382="",$M1382="",$N1382=""),"",IF($L1382&lt;&gt;"",INDEX(LdADate,$L1382),IF($M1382&lt;&gt;"",INDEX(LdBDate,$M1382),INDEX(LdCDate,$N1382))))</f>
        <v/>
      </c>
      <c r="C1382" s="20">
        <f>IF($L1382&lt;&gt;"","دستمزد (فردی)",IF($M1382&lt;&gt;"","سهم از گروه "&amp;IFERROR(VLOOKUP(INDEX(LdBGroup,$M1382),WGTbl,2,0),INDEX(LdBGroup,$M1382)),IF($N1382&lt;&gt;"",IF(N(INDEX(LdCDep,$N1382))&gt;0,"بازگشت بانکی","پرداخت بانکی"),"")))</f>
        <v/>
      </c>
      <c r="D1382" s="20">
        <f>IF($L1382&lt;&gt;"",IF(INDEX(LdAId,$L1382)="","—",INDEX(LdAId,$L1382)),IF($M1382&lt;&gt;"",IF(INDEX(LdBId,$M1382)="","—",INDEX(LdBId,$M1382)),IF($N1382&lt;&gt;"",IF(INDEX(LdCBank,$N1382)="","—",INDEX(LdCBank,$N1382)),"")))</f>
        <v/>
      </c>
      <c r="E1382" s="21">
        <f>IF($L1382&lt;&gt;"",IF(INDEX(LdAAmt,$L1382)=0,"",INDEX(LdAAmt,$L1382)),IF($M1382&lt;&gt;"",IF(INDEX(LdBAmt,$M1382)=0,"",INDEX(LdBAmt,$M1382)),IF($N1382&lt;&gt;"",IF(INDEX(LdCDep,$N1382)=0,"",INDEX(LdCDep,$N1382)),"")))</f>
        <v/>
      </c>
      <c r="F1382" s="21">
        <f>IF(AND($L1382="",$M1382="",$N1382=""),"",IF($N1382="","",IF(INDEX(LdCWit,$N1382)=0,"",INDEX(LdCWit,$N1382))))</f>
        <v/>
      </c>
      <c r="G1382" s="31">
        <f>IF($B1382="","",IF($G1381="",0,$G1381)+IF($E1382="",0,$E1382)-IF($F1382="",0,$F1382))</f>
        <v/>
      </c>
      <c r="H1382" s="32">
        <f>IF(AND($L1382="",$M1382="",$N1382=""),"",IF($L1382&lt;&gt;"",IF(INDEX(LdANote,$L1382)="","—",INDEX(LdANote,$L1382)),IF($M1382&lt;&gt;"",IF(INDEX(LdBNote,$M1382)="","—",INDEX(LdBNote,$M1382)),IF($N1382&lt;&gt;"",IF(INDEX(LdCNote,$N1382)="","—",INDEX(LdCNote,$N1382)),""))))</f>
        <v/>
      </c>
      <c r="L1382">
        <f>IFERROR(MATCH($C$5&amp;"|"&amp;RIGHT("000000"&amp;1366,6),LdAKeyM,0),"")</f>
        <v/>
      </c>
      <c r="M1382">
        <f>IFERROR(MATCH($C$5&amp;"|"&amp;RIGHT("000000"&amp;1366,6),LdBKeyM,0),"")</f>
        <v/>
      </c>
      <c r="N1382">
        <f>IFERROR(MATCH($C$5&amp;"|"&amp;RIGHT("000000"&amp;1366,6),LdCKeyM,0),"")</f>
        <v/>
      </c>
    </row>
    <row r="1383">
      <c r="A1383" s="10" t="n">
        <v>1367</v>
      </c>
      <c r="B1383" s="14">
        <f>IF(AND($L1383="",$M1383="",$N1383=""),"",IF($L1383&lt;&gt;"",INDEX(LdADate,$L1383),IF($M1383&lt;&gt;"",INDEX(LdBDate,$M1383),INDEX(LdCDate,$N1383))))</f>
        <v/>
      </c>
      <c r="C1383" s="14">
        <f>IF($L1383&lt;&gt;"","دستمزد (فردی)",IF($M1383&lt;&gt;"","سهم از گروه "&amp;IFERROR(VLOOKUP(INDEX(LdBGroup,$M1383),WGTbl,2,0),INDEX(LdBGroup,$M1383)),IF($N1383&lt;&gt;"",IF(N(INDEX(LdCDep,$N1383))&gt;0,"بازگشت بانکی","پرداخت بانکی"),"")))</f>
        <v/>
      </c>
      <c r="D1383" s="14">
        <f>IF($L1383&lt;&gt;"",IF(INDEX(LdAId,$L1383)="","—",INDEX(LdAId,$L1383)),IF($M1383&lt;&gt;"",IF(INDEX(LdBId,$M1383)="","—",INDEX(LdBId,$M1383)),IF($N1383&lt;&gt;"",IF(INDEX(LdCBank,$N1383)="","—",INDEX(LdCBank,$N1383)),"")))</f>
        <v/>
      </c>
      <c r="E1383" s="16">
        <f>IF($L1383&lt;&gt;"",IF(INDEX(LdAAmt,$L1383)=0,"",INDEX(LdAAmt,$L1383)),IF($M1383&lt;&gt;"",IF(INDEX(LdBAmt,$M1383)=0,"",INDEX(LdBAmt,$M1383)),IF($N1383&lt;&gt;"",IF(INDEX(LdCDep,$N1383)=0,"",INDEX(LdCDep,$N1383)),"")))</f>
        <v/>
      </c>
      <c r="F1383" s="16">
        <f>IF(AND($L1383="",$M1383="",$N1383=""),"",IF($N1383="","",IF(INDEX(LdCWit,$N1383)=0,"",INDEX(LdCWit,$N1383))))</f>
        <v/>
      </c>
      <c r="G1383" s="29">
        <f>IF($B1383="","",IF($G1382="",0,$G1382)+IF($E1383="",0,$E1383)-IF($F1383="",0,$F1383))</f>
        <v/>
      </c>
      <c r="H1383" s="30">
        <f>IF(AND($L1383="",$M1383="",$N1383=""),"",IF($L1383&lt;&gt;"",IF(INDEX(LdANote,$L1383)="","—",INDEX(LdANote,$L1383)),IF($M1383&lt;&gt;"",IF(INDEX(LdBNote,$M1383)="","—",INDEX(LdBNote,$M1383)),IF($N1383&lt;&gt;"",IF(INDEX(LdCNote,$N1383)="","—",INDEX(LdCNote,$N1383)),""))))</f>
        <v/>
      </c>
      <c r="L1383">
        <f>IFERROR(MATCH($C$5&amp;"|"&amp;RIGHT("000000"&amp;1367,6),LdAKeyM,0),"")</f>
        <v/>
      </c>
      <c r="M1383">
        <f>IFERROR(MATCH($C$5&amp;"|"&amp;RIGHT("000000"&amp;1367,6),LdBKeyM,0),"")</f>
        <v/>
      </c>
      <c r="N1383">
        <f>IFERROR(MATCH($C$5&amp;"|"&amp;RIGHT("000000"&amp;1367,6),LdCKeyM,0),"")</f>
        <v/>
      </c>
    </row>
    <row r="1384">
      <c r="A1384" s="19" t="n">
        <v>1368</v>
      </c>
      <c r="B1384" s="20">
        <f>IF(AND($L1384="",$M1384="",$N1384=""),"",IF($L1384&lt;&gt;"",INDEX(LdADate,$L1384),IF($M1384&lt;&gt;"",INDEX(LdBDate,$M1384),INDEX(LdCDate,$N1384))))</f>
        <v/>
      </c>
      <c r="C1384" s="20">
        <f>IF($L1384&lt;&gt;"","دستمزد (فردی)",IF($M1384&lt;&gt;"","سهم از گروه "&amp;IFERROR(VLOOKUP(INDEX(LdBGroup,$M1384),WGTbl,2,0),INDEX(LdBGroup,$M1384)),IF($N1384&lt;&gt;"",IF(N(INDEX(LdCDep,$N1384))&gt;0,"بازگشت بانکی","پرداخت بانکی"),"")))</f>
        <v/>
      </c>
      <c r="D1384" s="20">
        <f>IF($L1384&lt;&gt;"",IF(INDEX(LdAId,$L1384)="","—",INDEX(LdAId,$L1384)),IF($M1384&lt;&gt;"",IF(INDEX(LdBId,$M1384)="","—",INDEX(LdBId,$M1384)),IF($N1384&lt;&gt;"",IF(INDEX(LdCBank,$N1384)="","—",INDEX(LdCBank,$N1384)),"")))</f>
        <v/>
      </c>
      <c r="E1384" s="21">
        <f>IF($L1384&lt;&gt;"",IF(INDEX(LdAAmt,$L1384)=0,"",INDEX(LdAAmt,$L1384)),IF($M1384&lt;&gt;"",IF(INDEX(LdBAmt,$M1384)=0,"",INDEX(LdBAmt,$M1384)),IF($N1384&lt;&gt;"",IF(INDEX(LdCDep,$N1384)=0,"",INDEX(LdCDep,$N1384)),"")))</f>
        <v/>
      </c>
      <c r="F1384" s="21">
        <f>IF(AND($L1384="",$M1384="",$N1384=""),"",IF($N1384="","",IF(INDEX(LdCWit,$N1384)=0,"",INDEX(LdCWit,$N1384))))</f>
        <v/>
      </c>
      <c r="G1384" s="31">
        <f>IF($B1384="","",IF($G1383="",0,$G1383)+IF($E1384="",0,$E1384)-IF($F1384="",0,$F1384))</f>
        <v/>
      </c>
      <c r="H1384" s="32">
        <f>IF(AND($L1384="",$M1384="",$N1384=""),"",IF($L1384&lt;&gt;"",IF(INDEX(LdANote,$L1384)="","—",INDEX(LdANote,$L1384)),IF($M1384&lt;&gt;"",IF(INDEX(LdBNote,$M1384)="","—",INDEX(LdBNote,$M1384)),IF($N1384&lt;&gt;"",IF(INDEX(LdCNote,$N1384)="","—",INDEX(LdCNote,$N1384)),""))))</f>
        <v/>
      </c>
      <c r="L1384">
        <f>IFERROR(MATCH($C$5&amp;"|"&amp;RIGHT("000000"&amp;1368,6),LdAKeyM,0),"")</f>
        <v/>
      </c>
      <c r="M1384">
        <f>IFERROR(MATCH($C$5&amp;"|"&amp;RIGHT("000000"&amp;1368,6),LdBKeyM,0),"")</f>
        <v/>
      </c>
      <c r="N1384">
        <f>IFERROR(MATCH($C$5&amp;"|"&amp;RIGHT("000000"&amp;1368,6),LdCKeyM,0),"")</f>
        <v/>
      </c>
    </row>
    <row r="1385">
      <c r="A1385" s="10" t="n">
        <v>1369</v>
      </c>
      <c r="B1385" s="14">
        <f>IF(AND($L1385="",$M1385="",$N1385=""),"",IF($L1385&lt;&gt;"",INDEX(LdADate,$L1385),IF($M1385&lt;&gt;"",INDEX(LdBDate,$M1385),INDEX(LdCDate,$N1385))))</f>
        <v/>
      </c>
      <c r="C1385" s="14">
        <f>IF($L1385&lt;&gt;"","دستمزد (فردی)",IF($M1385&lt;&gt;"","سهم از گروه "&amp;IFERROR(VLOOKUP(INDEX(LdBGroup,$M1385),WGTbl,2,0),INDEX(LdBGroup,$M1385)),IF($N1385&lt;&gt;"",IF(N(INDEX(LdCDep,$N1385))&gt;0,"بازگشت بانکی","پرداخت بانکی"),"")))</f>
        <v/>
      </c>
      <c r="D1385" s="14">
        <f>IF($L1385&lt;&gt;"",IF(INDEX(LdAId,$L1385)="","—",INDEX(LdAId,$L1385)),IF($M1385&lt;&gt;"",IF(INDEX(LdBId,$M1385)="","—",INDEX(LdBId,$M1385)),IF($N1385&lt;&gt;"",IF(INDEX(LdCBank,$N1385)="","—",INDEX(LdCBank,$N1385)),"")))</f>
        <v/>
      </c>
      <c r="E1385" s="16">
        <f>IF($L1385&lt;&gt;"",IF(INDEX(LdAAmt,$L1385)=0,"",INDEX(LdAAmt,$L1385)),IF($M1385&lt;&gt;"",IF(INDEX(LdBAmt,$M1385)=0,"",INDEX(LdBAmt,$M1385)),IF($N1385&lt;&gt;"",IF(INDEX(LdCDep,$N1385)=0,"",INDEX(LdCDep,$N1385)),"")))</f>
        <v/>
      </c>
      <c r="F1385" s="16">
        <f>IF(AND($L1385="",$M1385="",$N1385=""),"",IF($N1385="","",IF(INDEX(LdCWit,$N1385)=0,"",INDEX(LdCWit,$N1385))))</f>
        <v/>
      </c>
      <c r="G1385" s="29">
        <f>IF($B1385="","",IF($G1384="",0,$G1384)+IF($E1385="",0,$E1385)-IF($F1385="",0,$F1385))</f>
        <v/>
      </c>
      <c r="H1385" s="30">
        <f>IF(AND($L1385="",$M1385="",$N1385=""),"",IF($L1385&lt;&gt;"",IF(INDEX(LdANote,$L1385)="","—",INDEX(LdANote,$L1385)),IF($M1385&lt;&gt;"",IF(INDEX(LdBNote,$M1385)="","—",INDEX(LdBNote,$M1385)),IF($N1385&lt;&gt;"",IF(INDEX(LdCNote,$N1385)="","—",INDEX(LdCNote,$N1385)),""))))</f>
        <v/>
      </c>
      <c r="L1385">
        <f>IFERROR(MATCH($C$5&amp;"|"&amp;RIGHT("000000"&amp;1369,6),LdAKeyM,0),"")</f>
        <v/>
      </c>
      <c r="M1385">
        <f>IFERROR(MATCH($C$5&amp;"|"&amp;RIGHT("000000"&amp;1369,6),LdBKeyM,0),"")</f>
        <v/>
      </c>
      <c r="N1385">
        <f>IFERROR(MATCH($C$5&amp;"|"&amp;RIGHT("000000"&amp;1369,6),LdCKeyM,0),"")</f>
        <v/>
      </c>
    </row>
    <row r="1386">
      <c r="A1386" s="19" t="n">
        <v>1370</v>
      </c>
      <c r="B1386" s="20">
        <f>IF(AND($L1386="",$M1386="",$N1386=""),"",IF($L1386&lt;&gt;"",INDEX(LdADate,$L1386),IF($M1386&lt;&gt;"",INDEX(LdBDate,$M1386),INDEX(LdCDate,$N1386))))</f>
        <v/>
      </c>
      <c r="C1386" s="20">
        <f>IF($L1386&lt;&gt;"","دستمزد (فردی)",IF($M1386&lt;&gt;"","سهم از گروه "&amp;IFERROR(VLOOKUP(INDEX(LdBGroup,$M1386),WGTbl,2,0),INDEX(LdBGroup,$M1386)),IF($N1386&lt;&gt;"",IF(N(INDEX(LdCDep,$N1386))&gt;0,"بازگشت بانکی","پرداخت بانکی"),"")))</f>
        <v/>
      </c>
      <c r="D1386" s="20">
        <f>IF($L1386&lt;&gt;"",IF(INDEX(LdAId,$L1386)="","—",INDEX(LdAId,$L1386)),IF($M1386&lt;&gt;"",IF(INDEX(LdBId,$M1386)="","—",INDEX(LdBId,$M1386)),IF($N1386&lt;&gt;"",IF(INDEX(LdCBank,$N1386)="","—",INDEX(LdCBank,$N1386)),"")))</f>
        <v/>
      </c>
      <c r="E1386" s="21">
        <f>IF($L1386&lt;&gt;"",IF(INDEX(LdAAmt,$L1386)=0,"",INDEX(LdAAmt,$L1386)),IF($M1386&lt;&gt;"",IF(INDEX(LdBAmt,$M1386)=0,"",INDEX(LdBAmt,$M1386)),IF($N1386&lt;&gt;"",IF(INDEX(LdCDep,$N1386)=0,"",INDEX(LdCDep,$N1386)),"")))</f>
        <v/>
      </c>
      <c r="F1386" s="21">
        <f>IF(AND($L1386="",$M1386="",$N1386=""),"",IF($N1386="","",IF(INDEX(LdCWit,$N1386)=0,"",INDEX(LdCWit,$N1386))))</f>
        <v/>
      </c>
      <c r="G1386" s="31">
        <f>IF($B1386="","",IF($G1385="",0,$G1385)+IF($E1386="",0,$E1386)-IF($F1386="",0,$F1386))</f>
        <v/>
      </c>
      <c r="H1386" s="32">
        <f>IF(AND($L1386="",$M1386="",$N1386=""),"",IF($L1386&lt;&gt;"",IF(INDEX(LdANote,$L1386)="","—",INDEX(LdANote,$L1386)),IF($M1386&lt;&gt;"",IF(INDEX(LdBNote,$M1386)="","—",INDEX(LdBNote,$M1386)),IF($N1386&lt;&gt;"",IF(INDEX(LdCNote,$N1386)="","—",INDEX(LdCNote,$N1386)),""))))</f>
        <v/>
      </c>
      <c r="L1386">
        <f>IFERROR(MATCH($C$5&amp;"|"&amp;RIGHT("000000"&amp;1370,6),LdAKeyM,0),"")</f>
        <v/>
      </c>
      <c r="M1386">
        <f>IFERROR(MATCH($C$5&amp;"|"&amp;RIGHT("000000"&amp;1370,6),LdBKeyM,0),"")</f>
        <v/>
      </c>
      <c r="N1386">
        <f>IFERROR(MATCH($C$5&amp;"|"&amp;RIGHT("000000"&amp;1370,6),LdCKeyM,0),"")</f>
        <v/>
      </c>
    </row>
    <row r="1387">
      <c r="A1387" s="10" t="n">
        <v>1371</v>
      </c>
      <c r="B1387" s="14">
        <f>IF(AND($L1387="",$M1387="",$N1387=""),"",IF($L1387&lt;&gt;"",INDEX(LdADate,$L1387),IF($M1387&lt;&gt;"",INDEX(LdBDate,$M1387),INDEX(LdCDate,$N1387))))</f>
        <v/>
      </c>
      <c r="C1387" s="14">
        <f>IF($L1387&lt;&gt;"","دستمزد (فردی)",IF($M1387&lt;&gt;"","سهم از گروه "&amp;IFERROR(VLOOKUP(INDEX(LdBGroup,$M1387),WGTbl,2,0),INDEX(LdBGroup,$M1387)),IF($N1387&lt;&gt;"",IF(N(INDEX(LdCDep,$N1387))&gt;0,"بازگشت بانکی","پرداخت بانکی"),"")))</f>
        <v/>
      </c>
      <c r="D1387" s="14">
        <f>IF($L1387&lt;&gt;"",IF(INDEX(LdAId,$L1387)="","—",INDEX(LdAId,$L1387)),IF($M1387&lt;&gt;"",IF(INDEX(LdBId,$M1387)="","—",INDEX(LdBId,$M1387)),IF($N1387&lt;&gt;"",IF(INDEX(LdCBank,$N1387)="","—",INDEX(LdCBank,$N1387)),"")))</f>
        <v/>
      </c>
      <c r="E1387" s="16">
        <f>IF($L1387&lt;&gt;"",IF(INDEX(LdAAmt,$L1387)=0,"",INDEX(LdAAmt,$L1387)),IF($M1387&lt;&gt;"",IF(INDEX(LdBAmt,$M1387)=0,"",INDEX(LdBAmt,$M1387)),IF($N1387&lt;&gt;"",IF(INDEX(LdCDep,$N1387)=0,"",INDEX(LdCDep,$N1387)),"")))</f>
        <v/>
      </c>
      <c r="F1387" s="16">
        <f>IF(AND($L1387="",$M1387="",$N1387=""),"",IF($N1387="","",IF(INDEX(LdCWit,$N1387)=0,"",INDEX(LdCWit,$N1387))))</f>
        <v/>
      </c>
      <c r="G1387" s="29">
        <f>IF($B1387="","",IF($G1386="",0,$G1386)+IF($E1387="",0,$E1387)-IF($F1387="",0,$F1387))</f>
        <v/>
      </c>
      <c r="H1387" s="30">
        <f>IF(AND($L1387="",$M1387="",$N1387=""),"",IF($L1387&lt;&gt;"",IF(INDEX(LdANote,$L1387)="","—",INDEX(LdANote,$L1387)),IF($M1387&lt;&gt;"",IF(INDEX(LdBNote,$M1387)="","—",INDEX(LdBNote,$M1387)),IF($N1387&lt;&gt;"",IF(INDEX(LdCNote,$N1387)="","—",INDEX(LdCNote,$N1387)),""))))</f>
        <v/>
      </c>
      <c r="L1387">
        <f>IFERROR(MATCH($C$5&amp;"|"&amp;RIGHT("000000"&amp;1371,6),LdAKeyM,0),"")</f>
        <v/>
      </c>
      <c r="M1387">
        <f>IFERROR(MATCH($C$5&amp;"|"&amp;RIGHT("000000"&amp;1371,6),LdBKeyM,0),"")</f>
        <v/>
      </c>
      <c r="N1387">
        <f>IFERROR(MATCH($C$5&amp;"|"&amp;RIGHT("000000"&amp;1371,6),LdCKeyM,0),"")</f>
        <v/>
      </c>
    </row>
    <row r="1388">
      <c r="A1388" s="19" t="n">
        <v>1372</v>
      </c>
      <c r="B1388" s="20">
        <f>IF(AND($L1388="",$M1388="",$N1388=""),"",IF($L1388&lt;&gt;"",INDEX(LdADate,$L1388),IF($M1388&lt;&gt;"",INDEX(LdBDate,$M1388),INDEX(LdCDate,$N1388))))</f>
        <v/>
      </c>
      <c r="C1388" s="20">
        <f>IF($L1388&lt;&gt;"","دستمزد (فردی)",IF($M1388&lt;&gt;"","سهم از گروه "&amp;IFERROR(VLOOKUP(INDEX(LdBGroup,$M1388),WGTbl,2,0),INDEX(LdBGroup,$M1388)),IF($N1388&lt;&gt;"",IF(N(INDEX(LdCDep,$N1388))&gt;0,"بازگشت بانکی","پرداخت بانکی"),"")))</f>
        <v/>
      </c>
      <c r="D1388" s="20">
        <f>IF($L1388&lt;&gt;"",IF(INDEX(LdAId,$L1388)="","—",INDEX(LdAId,$L1388)),IF($M1388&lt;&gt;"",IF(INDEX(LdBId,$M1388)="","—",INDEX(LdBId,$M1388)),IF($N1388&lt;&gt;"",IF(INDEX(LdCBank,$N1388)="","—",INDEX(LdCBank,$N1388)),"")))</f>
        <v/>
      </c>
      <c r="E1388" s="21">
        <f>IF($L1388&lt;&gt;"",IF(INDEX(LdAAmt,$L1388)=0,"",INDEX(LdAAmt,$L1388)),IF($M1388&lt;&gt;"",IF(INDEX(LdBAmt,$M1388)=0,"",INDEX(LdBAmt,$M1388)),IF($N1388&lt;&gt;"",IF(INDEX(LdCDep,$N1388)=0,"",INDEX(LdCDep,$N1388)),"")))</f>
        <v/>
      </c>
      <c r="F1388" s="21">
        <f>IF(AND($L1388="",$M1388="",$N1388=""),"",IF($N1388="","",IF(INDEX(LdCWit,$N1388)=0,"",INDEX(LdCWit,$N1388))))</f>
        <v/>
      </c>
      <c r="G1388" s="31">
        <f>IF($B1388="","",IF($G1387="",0,$G1387)+IF($E1388="",0,$E1388)-IF($F1388="",0,$F1388))</f>
        <v/>
      </c>
      <c r="H1388" s="32">
        <f>IF(AND($L1388="",$M1388="",$N1388=""),"",IF($L1388&lt;&gt;"",IF(INDEX(LdANote,$L1388)="","—",INDEX(LdANote,$L1388)),IF($M1388&lt;&gt;"",IF(INDEX(LdBNote,$M1388)="","—",INDEX(LdBNote,$M1388)),IF($N1388&lt;&gt;"",IF(INDEX(LdCNote,$N1388)="","—",INDEX(LdCNote,$N1388)),""))))</f>
        <v/>
      </c>
      <c r="L1388">
        <f>IFERROR(MATCH($C$5&amp;"|"&amp;RIGHT("000000"&amp;1372,6),LdAKeyM,0),"")</f>
        <v/>
      </c>
      <c r="M1388">
        <f>IFERROR(MATCH($C$5&amp;"|"&amp;RIGHT("000000"&amp;1372,6),LdBKeyM,0),"")</f>
        <v/>
      </c>
      <c r="N1388">
        <f>IFERROR(MATCH($C$5&amp;"|"&amp;RIGHT("000000"&amp;1372,6),LdCKeyM,0),"")</f>
        <v/>
      </c>
    </row>
    <row r="1389">
      <c r="A1389" s="10" t="n">
        <v>1373</v>
      </c>
      <c r="B1389" s="14">
        <f>IF(AND($L1389="",$M1389="",$N1389=""),"",IF($L1389&lt;&gt;"",INDEX(LdADate,$L1389),IF($M1389&lt;&gt;"",INDEX(LdBDate,$M1389),INDEX(LdCDate,$N1389))))</f>
        <v/>
      </c>
      <c r="C1389" s="14">
        <f>IF($L1389&lt;&gt;"","دستمزد (فردی)",IF($M1389&lt;&gt;"","سهم از گروه "&amp;IFERROR(VLOOKUP(INDEX(LdBGroup,$M1389),WGTbl,2,0),INDEX(LdBGroup,$M1389)),IF($N1389&lt;&gt;"",IF(N(INDEX(LdCDep,$N1389))&gt;0,"بازگشت بانکی","پرداخت بانکی"),"")))</f>
        <v/>
      </c>
      <c r="D1389" s="14">
        <f>IF($L1389&lt;&gt;"",IF(INDEX(LdAId,$L1389)="","—",INDEX(LdAId,$L1389)),IF($M1389&lt;&gt;"",IF(INDEX(LdBId,$M1389)="","—",INDEX(LdBId,$M1389)),IF($N1389&lt;&gt;"",IF(INDEX(LdCBank,$N1389)="","—",INDEX(LdCBank,$N1389)),"")))</f>
        <v/>
      </c>
      <c r="E1389" s="16">
        <f>IF($L1389&lt;&gt;"",IF(INDEX(LdAAmt,$L1389)=0,"",INDEX(LdAAmt,$L1389)),IF($M1389&lt;&gt;"",IF(INDEX(LdBAmt,$M1389)=0,"",INDEX(LdBAmt,$M1389)),IF($N1389&lt;&gt;"",IF(INDEX(LdCDep,$N1389)=0,"",INDEX(LdCDep,$N1389)),"")))</f>
        <v/>
      </c>
      <c r="F1389" s="16">
        <f>IF(AND($L1389="",$M1389="",$N1389=""),"",IF($N1389="","",IF(INDEX(LdCWit,$N1389)=0,"",INDEX(LdCWit,$N1389))))</f>
        <v/>
      </c>
      <c r="G1389" s="29">
        <f>IF($B1389="","",IF($G1388="",0,$G1388)+IF($E1389="",0,$E1389)-IF($F1389="",0,$F1389))</f>
        <v/>
      </c>
      <c r="H1389" s="30">
        <f>IF(AND($L1389="",$M1389="",$N1389=""),"",IF($L1389&lt;&gt;"",IF(INDEX(LdANote,$L1389)="","—",INDEX(LdANote,$L1389)),IF($M1389&lt;&gt;"",IF(INDEX(LdBNote,$M1389)="","—",INDEX(LdBNote,$M1389)),IF($N1389&lt;&gt;"",IF(INDEX(LdCNote,$N1389)="","—",INDEX(LdCNote,$N1389)),""))))</f>
        <v/>
      </c>
      <c r="L1389">
        <f>IFERROR(MATCH($C$5&amp;"|"&amp;RIGHT("000000"&amp;1373,6),LdAKeyM,0),"")</f>
        <v/>
      </c>
      <c r="M1389">
        <f>IFERROR(MATCH($C$5&amp;"|"&amp;RIGHT("000000"&amp;1373,6),LdBKeyM,0),"")</f>
        <v/>
      </c>
      <c r="N1389">
        <f>IFERROR(MATCH($C$5&amp;"|"&amp;RIGHT("000000"&amp;1373,6),LdCKeyM,0),"")</f>
        <v/>
      </c>
    </row>
    <row r="1390">
      <c r="A1390" s="19" t="n">
        <v>1374</v>
      </c>
      <c r="B1390" s="20">
        <f>IF(AND($L1390="",$M1390="",$N1390=""),"",IF($L1390&lt;&gt;"",INDEX(LdADate,$L1390),IF($M1390&lt;&gt;"",INDEX(LdBDate,$M1390),INDEX(LdCDate,$N1390))))</f>
        <v/>
      </c>
      <c r="C1390" s="20">
        <f>IF($L1390&lt;&gt;"","دستمزد (فردی)",IF($M1390&lt;&gt;"","سهم از گروه "&amp;IFERROR(VLOOKUP(INDEX(LdBGroup,$M1390),WGTbl,2,0),INDEX(LdBGroup,$M1390)),IF($N1390&lt;&gt;"",IF(N(INDEX(LdCDep,$N1390))&gt;0,"بازگشت بانکی","پرداخت بانکی"),"")))</f>
        <v/>
      </c>
      <c r="D1390" s="20">
        <f>IF($L1390&lt;&gt;"",IF(INDEX(LdAId,$L1390)="","—",INDEX(LdAId,$L1390)),IF($M1390&lt;&gt;"",IF(INDEX(LdBId,$M1390)="","—",INDEX(LdBId,$M1390)),IF($N1390&lt;&gt;"",IF(INDEX(LdCBank,$N1390)="","—",INDEX(LdCBank,$N1390)),"")))</f>
        <v/>
      </c>
      <c r="E1390" s="21">
        <f>IF($L1390&lt;&gt;"",IF(INDEX(LdAAmt,$L1390)=0,"",INDEX(LdAAmt,$L1390)),IF($M1390&lt;&gt;"",IF(INDEX(LdBAmt,$M1390)=0,"",INDEX(LdBAmt,$M1390)),IF($N1390&lt;&gt;"",IF(INDEX(LdCDep,$N1390)=0,"",INDEX(LdCDep,$N1390)),"")))</f>
        <v/>
      </c>
      <c r="F1390" s="21">
        <f>IF(AND($L1390="",$M1390="",$N1390=""),"",IF($N1390="","",IF(INDEX(LdCWit,$N1390)=0,"",INDEX(LdCWit,$N1390))))</f>
        <v/>
      </c>
      <c r="G1390" s="31">
        <f>IF($B1390="","",IF($G1389="",0,$G1389)+IF($E1390="",0,$E1390)-IF($F1390="",0,$F1390))</f>
        <v/>
      </c>
      <c r="H1390" s="32">
        <f>IF(AND($L1390="",$M1390="",$N1390=""),"",IF($L1390&lt;&gt;"",IF(INDEX(LdANote,$L1390)="","—",INDEX(LdANote,$L1390)),IF($M1390&lt;&gt;"",IF(INDEX(LdBNote,$M1390)="","—",INDEX(LdBNote,$M1390)),IF($N1390&lt;&gt;"",IF(INDEX(LdCNote,$N1390)="","—",INDEX(LdCNote,$N1390)),""))))</f>
        <v/>
      </c>
      <c r="L1390">
        <f>IFERROR(MATCH($C$5&amp;"|"&amp;RIGHT("000000"&amp;1374,6),LdAKeyM,0),"")</f>
        <v/>
      </c>
      <c r="M1390">
        <f>IFERROR(MATCH($C$5&amp;"|"&amp;RIGHT("000000"&amp;1374,6),LdBKeyM,0),"")</f>
        <v/>
      </c>
      <c r="N1390">
        <f>IFERROR(MATCH($C$5&amp;"|"&amp;RIGHT("000000"&amp;1374,6),LdCKeyM,0),"")</f>
        <v/>
      </c>
    </row>
    <row r="1391">
      <c r="A1391" s="10" t="n">
        <v>1375</v>
      </c>
      <c r="B1391" s="14">
        <f>IF(AND($L1391="",$M1391="",$N1391=""),"",IF($L1391&lt;&gt;"",INDEX(LdADate,$L1391),IF($M1391&lt;&gt;"",INDEX(LdBDate,$M1391),INDEX(LdCDate,$N1391))))</f>
        <v/>
      </c>
      <c r="C1391" s="14">
        <f>IF($L1391&lt;&gt;"","دستمزد (فردی)",IF($M1391&lt;&gt;"","سهم از گروه "&amp;IFERROR(VLOOKUP(INDEX(LdBGroup,$M1391),WGTbl,2,0),INDEX(LdBGroup,$M1391)),IF($N1391&lt;&gt;"",IF(N(INDEX(LdCDep,$N1391))&gt;0,"بازگشت بانکی","پرداخت بانکی"),"")))</f>
        <v/>
      </c>
      <c r="D1391" s="14">
        <f>IF($L1391&lt;&gt;"",IF(INDEX(LdAId,$L1391)="","—",INDEX(LdAId,$L1391)),IF($M1391&lt;&gt;"",IF(INDEX(LdBId,$M1391)="","—",INDEX(LdBId,$M1391)),IF($N1391&lt;&gt;"",IF(INDEX(LdCBank,$N1391)="","—",INDEX(LdCBank,$N1391)),"")))</f>
        <v/>
      </c>
      <c r="E1391" s="16">
        <f>IF($L1391&lt;&gt;"",IF(INDEX(LdAAmt,$L1391)=0,"",INDEX(LdAAmt,$L1391)),IF($M1391&lt;&gt;"",IF(INDEX(LdBAmt,$M1391)=0,"",INDEX(LdBAmt,$M1391)),IF($N1391&lt;&gt;"",IF(INDEX(LdCDep,$N1391)=0,"",INDEX(LdCDep,$N1391)),"")))</f>
        <v/>
      </c>
      <c r="F1391" s="16">
        <f>IF(AND($L1391="",$M1391="",$N1391=""),"",IF($N1391="","",IF(INDEX(LdCWit,$N1391)=0,"",INDEX(LdCWit,$N1391))))</f>
        <v/>
      </c>
      <c r="G1391" s="29">
        <f>IF($B1391="","",IF($G1390="",0,$G1390)+IF($E1391="",0,$E1391)-IF($F1391="",0,$F1391))</f>
        <v/>
      </c>
      <c r="H1391" s="30">
        <f>IF(AND($L1391="",$M1391="",$N1391=""),"",IF($L1391&lt;&gt;"",IF(INDEX(LdANote,$L1391)="","—",INDEX(LdANote,$L1391)),IF($M1391&lt;&gt;"",IF(INDEX(LdBNote,$M1391)="","—",INDEX(LdBNote,$M1391)),IF($N1391&lt;&gt;"",IF(INDEX(LdCNote,$N1391)="","—",INDEX(LdCNote,$N1391)),""))))</f>
        <v/>
      </c>
      <c r="L1391">
        <f>IFERROR(MATCH($C$5&amp;"|"&amp;RIGHT("000000"&amp;1375,6),LdAKeyM,0),"")</f>
        <v/>
      </c>
      <c r="M1391">
        <f>IFERROR(MATCH($C$5&amp;"|"&amp;RIGHT("000000"&amp;1375,6),LdBKeyM,0),"")</f>
        <v/>
      </c>
      <c r="N1391">
        <f>IFERROR(MATCH($C$5&amp;"|"&amp;RIGHT("000000"&amp;1375,6),LdCKeyM,0),"")</f>
        <v/>
      </c>
    </row>
    <row r="1392">
      <c r="A1392" s="19" t="n">
        <v>1376</v>
      </c>
      <c r="B1392" s="20">
        <f>IF(AND($L1392="",$M1392="",$N1392=""),"",IF($L1392&lt;&gt;"",INDEX(LdADate,$L1392),IF($M1392&lt;&gt;"",INDEX(LdBDate,$M1392),INDEX(LdCDate,$N1392))))</f>
        <v/>
      </c>
      <c r="C1392" s="20">
        <f>IF($L1392&lt;&gt;"","دستمزد (فردی)",IF($M1392&lt;&gt;"","سهم از گروه "&amp;IFERROR(VLOOKUP(INDEX(LdBGroup,$M1392),WGTbl,2,0),INDEX(LdBGroup,$M1392)),IF($N1392&lt;&gt;"",IF(N(INDEX(LdCDep,$N1392))&gt;0,"بازگشت بانکی","پرداخت بانکی"),"")))</f>
        <v/>
      </c>
      <c r="D1392" s="20">
        <f>IF($L1392&lt;&gt;"",IF(INDEX(LdAId,$L1392)="","—",INDEX(LdAId,$L1392)),IF($M1392&lt;&gt;"",IF(INDEX(LdBId,$M1392)="","—",INDEX(LdBId,$M1392)),IF($N1392&lt;&gt;"",IF(INDEX(LdCBank,$N1392)="","—",INDEX(LdCBank,$N1392)),"")))</f>
        <v/>
      </c>
      <c r="E1392" s="21">
        <f>IF($L1392&lt;&gt;"",IF(INDEX(LdAAmt,$L1392)=0,"",INDEX(LdAAmt,$L1392)),IF($M1392&lt;&gt;"",IF(INDEX(LdBAmt,$M1392)=0,"",INDEX(LdBAmt,$M1392)),IF($N1392&lt;&gt;"",IF(INDEX(LdCDep,$N1392)=0,"",INDEX(LdCDep,$N1392)),"")))</f>
        <v/>
      </c>
      <c r="F1392" s="21">
        <f>IF(AND($L1392="",$M1392="",$N1392=""),"",IF($N1392="","",IF(INDEX(LdCWit,$N1392)=0,"",INDEX(LdCWit,$N1392))))</f>
        <v/>
      </c>
      <c r="G1392" s="31">
        <f>IF($B1392="","",IF($G1391="",0,$G1391)+IF($E1392="",0,$E1392)-IF($F1392="",0,$F1392))</f>
        <v/>
      </c>
      <c r="H1392" s="32">
        <f>IF(AND($L1392="",$M1392="",$N1392=""),"",IF($L1392&lt;&gt;"",IF(INDEX(LdANote,$L1392)="","—",INDEX(LdANote,$L1392)),IF($M1392&lt;&gt;"",IF(INDEX(LdBNote,$M1392)="","—",INDEX(LdBNote,$M1392)),IF($N1392&lt;&gt;"",IF(INDEX(LdCNote,$N1392)="","—",INDEX(LdCNote,$N1392)),""))))</f>
        <v/>
      </c>
      <c r="L1392">
        <f>IFERROR(MATCH($C$5&amp;"|"&amp;RIGHT("000000"&amp;1376,6),LdAKeyM,0),"")</f>
        <v/>
      </c>
      <c r="M1392">
        <f>IFERROR(MATCH($C$5&amp;"|"&amp;RIGHT("000000"&amp;1376,6),LdBKeyM,0),"")</f>
        <v/>
      </c>
      <c r="N1392">
        <f>IFERROR(MATCH($C$5&amp;"|"&amp;RIGHT("000000"&amp;1376,6),LdCKeyM,0),"")</f>
        <v/>
      </c>
    </row>
    <row r="1393">
      <c r="A1393" s="10" t="n">
        <v>1377</v>
      </c>
      <c r="B1393" s="14">
        <f>IF(AND($L1393="",$M1393="",$N1393=""),"",IF($L1393&lt;&gt;"",INDEX(LdADate,$L1393),IF($M1393&lt;&gt;"",INDEX(LdBDate,$M1393),INDEX(LdCDate,$N1393))))</f>
        <v/>
      </c>
      <c r="C1393" s="14">
        <f>IF($L1393&lt;&gt;"","دستمزد (فردی)",IF($M1393&lt;&gt;"","سهم از گروه "&amp;IFERROR(VLOOKUP(INDEX(LdBGroup,$M1393),WGTbl,2,0),INDEX(LdBGroup,$M1393)),IF($N1393&lt;&gt;"",IF(N(INDEX(LdCDep,$N1393))&gt;0,"بازگشت بانکی","پرداخت بانکی"),"")))</f>
        <v/>
      </c>
      <c r="D1393" s="14">
        <f>IF($L1393&lt;&gt;"",IF(INDEX(LdAId,$L1393)="","—",INDEX(LdAId,$L1393)),IF($M1393&lt;&gt;"",IF(INDEX(LdBId,$M1393)="","—",INDEX(LdBId,$M1393)),IF($N1393&lt;&gt;"",IF(INDEX(LdCBank,$N1393)="","—",INDEX(LdCBank,$N1393)),"")))</f>
        <v/>
      </c>
      <c r="E1393" s="16">
        <f>IF($L1393&lt;&gt;"",IF(INDEX(LdAAmt,$L1393)=0,"",INDEX(LdAAmt,$L1393)),IF($M1393&lt;&gt;"",IF(INDEX(LdBAmt,$M1393)=0,"",INDEX(LdBAmt,$M1393)),IF($N1393&lt;&gt;"",IF(INDEX(LdCDep,$N1393)=0,"",INDEX(LdCDep,$N1393)),"")))</f>
        <v/>
      </c>
      <c r="F1393" s="16">
        <f>IF(AND($L1393="",$M1393="",$N1393=""),"",IF($N1393="","",IF(INDEX(LdCWit,$N1393)=0,"",INDEX(LdCWit,$N1393))))</f>
        <v/>
      </c>
      <c r="G1393" s="29">
        <f>IF($B1393="","",IF($G1392="",0,$G1392)+IF($E1393="",0,$E1393)-IF($F1393="",0,$F1393))</f>
        <v/>
      </c>
      <c r="H1393" s="30">
        <f>IF(AND($L1393="",$M1393="",$N1393=""),"",IF($L1393&lt;&gt;"",IF(INDEX(LdANote,$L1393)="","—",INDEX(LdANote,$L1393)),IF($M1393&lt;&gt;"",IF(INDEX(LdBNote,$M1393)="","—",INDEX(LdBNote,$M1393)),IF($N1393&lt;&gt;"",IF(INDEX(LdCNote,$N1393)="","—",INDEX(LdCNote,$N1393)),""))))</f>
        <v/>
      </c>
      <c r="L1393">
        <f>IFERROR(MATCH($C$5&amp;"|"&amp;RIGHT("000000"&amp;1377,6),LdAKeyM,0),"")</f>
        <v/>
      </c>
      <c r="M1393">
        <f>IFERROR(MATCH($C$5&amp;"|"&amp;RIGHT("000000"&amp;1377,6),LdBKeyM,0),"")</f>
        <v/>
      </c>
      <c r="N1393">
        <f>IFERROR(MATCH($C$5&amp;"|"&amp;RIGHT("000000"&amp;1377,6),LdCKeyM,0),"")</f>
        <v/>
      </c>
    </row>
    <row r="1394">
      <c r="A1394" s="19" t="n">
        <v>1378</v>
      </c>
      <c r="B1394" s="20">
        <f>IF(AND($L1394="",$M1394="",$N1394=""),"",IF($L1394&lt;&gt;"",INDEX(LdADate,$L1394),IF($M1394&lt;&gt;"",INDEX(LdBDate,$M1394),INDEX(LdCDate,$N1394))))</f>
        <v/>
      </c>
      <c r="C1394" s="20">
        <f>IF($L1394&lt;&gt;"","دستمزد (فردی)",IF($M1394&lt;&gt;"","سهم از گروه "&amp;IFERROR(VLOOKUP(INDEX(LdBGroup,$M1394),WGTbl,2,0),INDEX(LdBGroup,$M1394)),IF($N1394&lt;&gt;"",IF(N(INDEX(LdCDep,$N1394))&gt;0,"بازگشت بانکی","پرداخت بانکی"),"")))</f>
        <v/>
      </c>
      <c r="D1394" s="20">
        <f>IF($L1394&lt;&gt;"",IF(INDEX(LdAId,$L1394)="","—",INDEX(LdAId,$L1394)),IF($M1394&lt;&gt;"",IF(INDEX(LdBId,$M1394)="","—",INDEX(LdBId,$M1394)),IF($N1394&lt;&gt;"",IF(INDEX(LdCBank,$N1394)="","—",INDEX(LdCBank,$N1394)),"")))</f>
        <v/>
      </c>
      <c r="E1394" s="21">
        <f>IF($L1394&lt;&gt;"",IF(INDEX(LdAAmt,$L1394)=0,"",INDEX(LdAAmt,$L1394)),IF($M1394&lt;&gt;"",IF(INDEX(LdBAmt,$M1394)=0,"",INDEX(LdBAmt,$M1394)),IF($N1394&lt;&gt;"",IF(INDEX(LdCDep,$N1394)=0,"",INDEX(LdCDep,$N1394)),"")))</f>
        <v/>
      </c>
      <c r="F1394" s="21">
        <f>IF(AND($L1394="",$M1394="",$N1394=""),"",IF($N1394="","",IF(INDEX(LdCWit,$N1394)=0,"",INDEX(LdCWit,$N1394))))</f>
        <v/>
      </c>
      <c r="G1394" s="31">
        <f>IF($B1394="","",IF($G1393="",0,$G1393)+IF($E1394="",0,$E1394)-IF($F1394="",0,$F1394))</f>
        <v/>
      </c>
      <c r="H1394" s="32">
        <f>IF(AND($L1394="",$M1394="",$N1394=""),"",IF($L1394&lt;&gt;"",IF(INDEX(LdANote,$L1394)="","—",INDEX(LdANote,$L1394)),IF($M1394&lt;&gt;"",IF(INDEX(LdBNote,$M1394)="","—",INDEX(LdBNote,$M1394)),IF($N1394&lt;&gt;"",IF(INDEX(LdCNote,$N1394)="","—",INDEX(LdCNote,$N1394)),""))))</f>
        <v/>
      </c>
      <c r="L1394">
        <f>IFERROR(MATCH($C$5&amp;"|"&amp;RIGHT("000000"&amp;1378,6),LdAKeyM,0),"")</f>
        <v/>
      </c>
      <c r="M1394">
        <f>IFERROR(MATCH($C$5&amp;"|"&amp;RIGHT("000000"&amp;1378,6),LdBKeyM,0),"")</f>
        <v/>
      </c>
      <c r="N1394">
        <f>IFERROR(MATCH($C$5&amp;"|"&amp;RIGHT("000000"&amp;1378,6),LdCKeyM,0),"")</f>
        <v/>
      </c>
    </row>
    <row r="1395">
      <c r="A1395" s="10" t="n">
        <v>1379</v>
      </c>
      <c r="B1395" s="14">
        <f>IF(AND($L1395="",$M1395="",$N1395=""),"",IF($L1395&lt;&gt;"",INDEX(LdADate,$L1395),IF($M1395&lt;&gt;"",INDEX(LdBDate,$M1395),INDEX(LdCDate,$N1395))))</f>
        <v/>
      </c>
      <c r="C1395" s="14">
        <f>IF($L1395&lt;&gt;"","دستمزد (فردی)",IF($M1395&lt;&gt;"","سهم از گروه "&amp;IFERROR(VLOOKUP(INDEX(LdBGroup,$M1395),WGTbl,2,0),INDEX(LdBGroup,$M1395)),IF($N1395&lt;&gt;"",IF(N(INDEX(LdCDep,$N1395))&gt;0,"بازگشت بانکی","پرداخت بانکی"),"")))</f>
        <v/>
      </c>
      <c r="D1395" s="14">
        <f>IF($L1395&lt;&gt;"",IF(INDEX(LdAId,$L1395)="","—",INDEX(LdAId,$L1395)),IF($M1395&lt;&gt;"",IF(INDEX(LdBId,$M1395)="","—",INDEX(LdBId,$M1395)),IF($N1395&lt;&gt;"",IF(INDEX(LdCBank,$N1395)="","—",INDEX(LdCBank,$N1395)),"")))</f>
        <v/>
      </c>
      <c r="E1395" s="16">
        <f>IF($L1395&lt;&gt;"",IF(INDEX(LdAAmt,$L1395)=0,"",INDEX(LdAAmt,$L1395)),IF($M1395&lt;&gt;"",IF(INDEX(LdBAmt,$M1395)=0,"",INDEX(LdBAmt,$M1395)),IF($N1395&lt;&gt;"",IF(INDEX(LdCDep,$N1395)=0,"",INDEX(LdCDep,$N1395)),"")))</f>
        <v/>
      </c>
      <c r="F1395" s="16">
        <f>IF(AND($L1395="",$M1395="",$N1395=""),"",IF($N1395="","",IF(INDEX(LdCWit,$N1395)=0,"",INDEX(LdCWit,$N1395))))</f>
        <v/>
      </c>
      <c r="G1395" s="29">
        <f>IF($B1395="","",IF($G1394="",0,$G1394)+IF($E1395="",0,$E1395)-IF($F1395="",0,$F1395))</f>
        <v/>
      </c>
      <c r="H1395" s="30">
        <f>IF(AND($L1395="",$M1395="",$N1395=""),"",IF($L1395&lt;&gt;"",IF(INDEX(LdANote,$L1395)="","—",INDEX(LdANote,$L1395)),IF($M1395&lt;&gt;"",IF(INDEX(LdBNote,$M1395)="","—",INDEX(LdBNote,$M1395)),IF($N1395&lt;&gt;"",IF(INDEX(LdCNote,$N1395)="","—",INDEX(LdCNote,$N1395)),""))))</f>
        <v/>
      </c>
      <c r="L1395">
        <f>IFERROR(MATCH($C$5&amp;"|"&amp;RIGHT("000000"&amp;1379,6),LdAKeyM,0),"")</f>
        <v/>
      </c>
      <c r="M1395">
        <f>IFERROR(MATCH($C$5&amp;"|"&amp;RIGHT("000000"&amp;1379,6),LdBKeyM,0),"")</f>
        <v/>
      </c>
      <c r="N1395">
        <f>IFERROR(MATCH($C$5&amp;"|"&amp;RIGHT("000000"&amp;1379,6),LdCKeyM,0),"")</f>
        <v/>
      </c>
    </row>
    <row r="1396">
      <c r="A1396" s="19" t="n">
        <v>1380</v>
      </c>
      <c r="B1396" s="20">
        <f>IF(AND($L1396="",$M1396="",$N1396=""),"",IF($L1396&lt;&gt;"",INDEX(LdADate,$L1396),IF($M1396&lt;&gt;"",INDEX(LdBDate,$M1396),INDEX(LdCDate,$N1396))))</f>
        <v/>
      </c>
      <c r="C1396" s="20">
        <f>IF($L1396&lt;&gt;"","دستمزد (فردی)",IF($M1396&lt;&gt;"","سهم از گروه "&amp;IFERROR(VLOOKUP(INDEX(LdBGroup,$M1396),WGTbl,2,0),INDEX(LdBGroup,$M1396)),IF($N1396&lt;&gt;"",IF(N(INDEX(LdCDep,$N1396))&gt;0,"بازگشت بانکی","پرداخت بانکی"),"")))</f>
        <v/>
      </c>
      <c r="D1396" s="20">
        <f>IF($L1396&lt;&gt;"",IF(INDEX(LdAId,$L1396)="","—",INDEX(LdAId,$L1396)),IF($M1396&lt;&gt;"",IF(INDEX(LdBId,$M1396)="","—",INDEX(LdBId,$M1396)),IF($N1396&lt;&gt;"",IF(INDEX(LdCBank,$N1396)="","—",INDEX(LdCBank,$N1396)),"")))</f>
        <v/>
      </c>
      <c r="E1396" s="21">
        <f>IF($L1396&lt;&gt;"",IF(INDEX(LdAAmt,$L1396)=0,"",INDEX(LdAAmt,$L1396)),IF($M1396&lt;&gt;"",IF(INDEX(LdBAmt,$M1396)=0,"",INDEX(LdBAmt,$M1396)),IF($N1396&lt;&gt;"",IF(INDEX(LdCDep,$N1396)=0,"",INDEX(LdCDep,$N1396)),"")))</f>
        <v/>
      </c>
      <c r="F1396" s="21">
        <f>IF(AND($L1396="",$M1396="",$N1396=""),"",IF($N1396="","",IF(INDEX(LdCWit,$N1396)=0,"",INDEX(LdCWit,$N1396))))</f>
        <v/>
      </c>
      <c r="G1396" s="31">
        <f>IF($B1396="","",IF($G1395="",0,$G1395)+IF($E1396="",0,$E1396)-IF($F1396="",0,$F1396))</f>
        <v/>
      </c>
      <c r="H1396" s="32">
        <f>IF(AND($L1396="",$M1396="",$N1396=""),"",IF($L1396&lt;&gt;"",IF(INDEX(LdANote,$L1396)="","—",INDEX(LdANote,$L1396)),IF($M1396&lt;&gt;"",IF(INDEX(LdBNote,$M1396)="","—",INDEX(LdBNote,$M1396)),IF($N1396&lt;&gt;"",IF(INDEX(LdCNote,$N1396)="","—",INDEX(LdCNote,$N1396)),""))))</f>
        <v/>
      </c>
      <c r="L1396">
        <f>IFERROR(MATCH($C$5&amp;"|"&amp;RIGHT("000000"&amp;1380,6),LdAKeyM,0),"")</f>
        <v/>
      </c>
      <c r="M1396">
        <f>IFERROR(MATCH($C$5&amp;"|"&amp;RIGHT("000000"&amp;1380,6),LdBKeyM,0),"")</f>
        <v/>
      </c>
      <c r="N1396">
        <f>IFERROR(MATCH($C$5&amp;"|"&amp;RIGHT("000000"&amp;1380,6),LdCKeyM,0),"")</f>
        <v/>
      </c>
    </row>
    <row r="1397">
      <c r="A1397" s="10" t="n">
        <v>1381</v>
      </c>
      <c r="B1397" s="14">
        <f>IF(AND($L1397="",$M1397="",$N1397=""),"",IF($L1397&lt;&gt;"",INDEX(LdADate,$L1397),IF($M1397&lt;&gt;"",INDEX(LdBDate,$M1397),INDEX(LdCDate,$N1397))))</f>
        <v/>
      </c>
      <c r="C1397" s="14">
        <f>IF($L1397&lt;&gt;"","دستمزد (فردی)",IF($M1397&lt;&gt;"","سهم از گروه "&amp;IFERROR(VLOOKUP(INDEX(LdBGroup,$M1397),WGTbl,2,0),INDEX(LdBGroup,$M1397)),IF($N1397&lt;&gt;"",IF(N(INDEX(LdCDep,$N1397))&gt;0,"بازگشت بانکی","پرداخت بانکی"),"")))</f>
        <v/>
      </c>
      <c r="D1397" s="14">
        <f>IF($L1397&lt;&gt;"",IF(INDEX(LdAId,$L1397)="","—",INDEX(LdAId,$L1397)),IF($M1397&lt;&gt;"",IF(INDEX(LdBId,$M1397)="","—",INDEX(LdBId,$M1397)),IF($N1397&lt;&gt;"",IF(INDEX(LdCBank,$N1397)="","—",INDEX(LdCBank,$N1397)),"")))</f>
        <v/>
      </c>
      <c r="E1397" s="16">
        <f>IF($L1397&lt;&gt;"",IF(INDEX(LdAAmt,$L1397)=0,"",INDEX(LdAAmt,$L1397)),IF($M1397&lt;&gt;"",IF(INDEX(LdBAmt,$M1397)=0,"",INDEX(LdBAmt,$M1397)),IF($N1397&lt;&gt;"",IF(INDEX(LdCDep,$N1397)=0,"",INDEX(LdCDep,$N1397)),"")))</f>
        <v/>
      </c>
      <c r="F1397" s="16">
        <f>IF(AND($L1397="",$M1397="",$N1397=""),"",IF($N1397="","",IF(INDEX(LdCWit,$N1397)=0,"",INDEX(LdCWit,$N1397))))</f>
        <v/>
      </c>
      <c r="G1397" s="29">
        <f>IF($B1397="","",IF($G1396="",0,$G1396)+IF($E1397="",0,$E1397)-IF($F1397="",0,$F1397))</f>
        <v/>
      </c>
      <c r="H1397" s="30">
        <f>IF(AND($L1397="",$M1397="",$N1397=""),"",IF($L1397&lt;&gt;"",IF(INDEX(LdANote,$L1397)="","—",INDEX(LdANote,$L1397)),IF($M1397&lt;&gt;"",IF(INDEX(LdBNote,$M1397)="","—",INDEX(LdBNote,$M1397)),IF($N1397&lt;&gt;"",IF(INDEX(LdCNote,$N1397)="","—",INDEX(LdCNote,$N1397)),""))))</f>
        <v/>
      </c>
      <c r="L1397">
        <f>IFERROR(MATCH($C$5&amp;"|"&amp;RIGHT("000000"&amp;1381,6),LdAKeyM,0),"")</f>
        <v/>
      </c>
      <c r="M1397">
        <f>IFERROR(MATCH($C$5&amp;"|"&amp;RIGHT("000000"&amp;1381,6),LdBKeyM,0),"")</f>
        <v/>
      </c>
      <c r="N1397">
        <f>IFERROR(MATCH($C$5&amp;"|"&amp;RIGHT("000000"&amp;1381,6),LdCKeyM,0),"")</f>
        <v/>
      </c>
    </row>
    <row r="1398">
      <c r="A1398" s="19" t="n">
        <v>1382</v>
      </c>
      <c r="B1398" s="20">
        <f>IF(AND($L1398="",$M1398="",$N1398=""),"",IF($L1398&lt;&gt;"",INDEX(LdADate,$L1398),IF($M1398&lt;&gt;"",INDEX(LdBDate,$M1398),INDEX(LdCDate,$N1398))))</f>
        <v/>
      </c>
      <c r="C1398" s="20">
        <f>IF($L1398&lt;&gt;"","دستمزد (فردی)",IF($M1398&lt;&gt;"","سهم از گروه "&amp;IFERROR(VLOOKUP(INDEX(LdBGroup,$M1398),WGTbl,2,0),INDEX(LdBGroup,$M1398)),IF($N1398&lt;&gt;"",IF(N(INDEX(LdCDep,$N1398))&gt;0,"بازگشت بانکی","پرداخت بانکی"),"")))</f>
        <v/>
      </c>
      <c r="D1398" s="20">
        <f>IF($L1398&lt;&gt;"",IF(INDEX(LdAId,$L1398)="","—",INDEX(LdAId,$L1398)),IF($M1398&lt;&gt;"",IF(INDEX(LdBId,$M1398)="","—",INDEX(LdBId,$M1398)),IF($N1398&lt;&gt;"",IF(INDEX(LdCBank,$N1398)="","—",INDEX(LdCBank,$N1398)),"")))</f>
        <v/>
      </c>
      <c r="E1398" s="21">
        <f>IF($L1398&lt;&gt;"",IF(INDEX(LdAAmt,$L1398)=0,"",INDEX(LdAAmt,$L1398)),IF($M1398&lt;&gt;"",IF(INDEX(LdBAmt,$M1398)=0,"",INDEX(LdBAmt,$M1398)),IF($N1398&lt;&gt;"",IF(INDEX(LdCDep,$N1398)=0,"",INDEX(LdCDep,$N1398)),"")))</f>
        <v/>
      </c>
      <c r="F1398" s="21">
        <f>IF(AND($L1398="",$M1398="",$N1398=""),"",IF($N1398="","",IF(INDEX(LdCWit,$N1398)=0,"",INDEX(LdCWit,$N1398))))</f>
        <v/>
      </c>
      <c r="G1398" s="31">
        <f>IF($B1398="","",IF($G1397="",0,$G1397)+IF($E1398="",0,$E1398)-IF($F1398="",0,$F1398))</f>
        <v/>
      </c>
      <c r="H1398" s="32">
        <f>IF(AND($L1398="",$M1398="",$N1398=""),"",IF($L1398&lt;&gt;"",IF(INDEX(LdANote,$L1398)="","—",INDEX(LdANote,$L1398)),IF($M1398&lt;&gt;"",IF(INDEX(LdBNote,$M1398)="","—",INDEX(LdBNote,$M1398)),IF($N1398&lt;&gt;"",IF(INDEX(LdCNote,$N1398)="","—",INDEX(LdCNote,$N1398)),""))))</f>
        <v/>
      </c>
      <c r="L1398">
        <f>IFERROR(MATCH($C$5&amp;"|"&amp;RIGHT("000000"&amp;1382,6),LdAKeyM,0),"")</f>
        <v/>
      </c>
      <c r="M1398">
        <f>IFERROR(MATCH($C$5&amp;"|"&amp;RIGHT("000000"&amp;1382,6),LdBKeyM,0),"")</f>
        <v/>
      </c>
      <c r="N1398">
        <f>IFERROR(MATCH($C$5&amp;"|"&amp;RIGHT("000000"&amp;1382,6),LdCKeyM,0),"")</f>
        <v/>
      </c>
    </row>
    <row r="1399">
      <c r="A1399" s="10" t="n">
        <v>1383</v>
      </c>
      <c r="B1399" s="14">
        <f>IF(AND($L1399="",$M1399="",$N1399=""),"",IF($L1399&lt;&gt;"",INDEX(LdADate,$L1399),IF($M1399&lt;&gt;"",INDEX(LdBDate,$M1399),INDEX(LdCDate,$N1399))))</f>
        <v/>
      </c>
      <c r="C1399" s="14">
        <f>IF($L1399&lt;&gt;"","دستمزد (فردی)",IF($M1399&lt;&gt;"","سهم از گروه "&amp;IFERROR(VLOOKUP(INDEX(LdBGroup,$M1399),WGTbl,2,0),INDEX(LdBGroup,$M1399)),IF($N1399&lt;&gt;"",IF(N(INDEX(LdCDep,$N1399))&gt;0,"بازگشت بانکی","پرداخت بانکی"),"")))</f>
        <v/>
      </c>
      <c r="D1399" s="14">
        <f>IF($L1399&lt;&gt;"",IF(INDEX(LdAId,$L1399)="","—",INDEX(LdAId,$L1399)),IF($M1399&lt;&gt;"",IF(INDEX(LdBId,$M1399)="","—",INDEX(LdBId,$M1399)),IF($N1399&lt;&gt;"",IF(INDEX(LdCBank,$N1399)="","—",INDEX(LdCBank,$N1399)),"")))</f>
        <v/>
      </c>
      <c r="E1399" s="16">
        <f>IF($L1399&lt;&gt;"",IF(INDEX(LdAAmt,$L1399)=0,"",INDEX(LdAAmt,$L1399)),IF($M1399&lt;&gt;"",IF(INDEX(LdBAmt,$M1399)=0,"",INDEX(LdBAmt,$M1399)),IF($N1399&lt;&gt;"",IF(INDEX(LdCDep,$N1399)=0,"",INDEX(LdCDep,$N1399)),"")))</f>
        <v/>
      </c>
      <c r="F1399" s="16">
        <f>IF(AND($L1399="",$M1399="",$N1399=""),"",IF($N1399="","",IF(INDEX(LdCWit,$N1399)=0,"",INDEX(LdCWit,$N1399))))</f>
        <v/>
      </c>
      <c r="G1399" s="29">
        <f>IF($B1399="","",IF($G1398="",0,$G1398)+IF($E1399="",0,$E1399)-IF($F1399="",0,$F1399))</f>
        <v/>
      </c>
      <c r="H1399" s="30">
        <f>IF(AND($L1399="",$M1399="",$N1399=""),"",IF($L1399&lt;&gt;"",IF(INDEX(LdANote,$L1399)="","—",INDEX(LdANote,$L1399)),IF($M1399&lt;&gt;"",IF(INDEX(LdBNote,$M1399)="","—",INDEX(LdBNote,$M1399)),IF($N1399&lt;&gt;"",IF(INDEX(LdCNote,$N1399)="","—",INDEX(LdCNote,$N1399)),""))))</f>
        <v/>
      </c>
      <c r="L1399">
        <f>IFERROR(MATCH($C$5&amp;"|"&amp;RIGHT("000000"&amp;1383,6),LdAKeyM,0),"")</f>
        <v/>
      </c>
      <c r="M1399">
        <f>IFERROR(MATCH($C$5&amp;"|"&amp;RIGHT("000000"&amp;1383,6),LdBKeyM,0),"")</f>
        <v/>
      </c>
      <c r="N1399">
        <f>IFERROR(MATCH($C$5&amp;"|"&amp;RIGHT("000000"&amp;1383,6),LdCKeyM,0),"")</f>
        <v/>
      </c>
    </row>
    <row r="1400">
      <c r="A1400" s="19" t="n">
        <v>1384</v>
      </c>
      <c r="B1400" s="20">
        <f>IF(AND($L1400="",$M1400="",$N1400=""),"",IF($L1400&lt;&gt;"",INDEX(LdADate,$L1400),IF($M1400&lt;&gt;"",INDEX(LdBDate,$M1400),INDEX(LdCDate,$N1400))))</f>
        <v/>
      </c>
      <c r="C1400" s="20">
        <f>IF($L1400&lt;&gt;"","دستمزد (فردی)",IF($M1400&lt;&gt;"","سهم از گروه "&amp;IFERROR(VLOOKUP(INDEX(LdBGroup,$M1400),WGTbl,2,0),INDEX(LdBGroup,$M1400)),IF($N1400&lt;&gt;"",IF(N(INDEX(LdCDep,$N1400))&gt;0,"بازگشت بانکی","پرداخت بانکی"),"")))</f>
        <v/>
      </c>
      <c r="D1400" s="20">
        <f>IF($L1400&lt;&gt;"",IF(INDEX(LdAId,$L1400)="","—",INDEX(LdAId,$L1400)),IF($M1400&lt;&gt;"",IF(INDEX(LdBId,$M1400)="","—",INDEX(LdBId,$M1400)),IF($N1400&lt;&gt;"",IF(INDEX(LdCBank,$N1400)="","—",INDEX(LdCBank,$N1400)),"")))</f>
        <v/>
      </c>
      <c r="E1400" s="21">
        <f>IF($L1400&lt;&gt;"",IF(INDEX(LdAAmt,$L1400)=0,"",INDEX(LdAAmt,$L1400)),IF($M1400&lt;&gt;"",IF(INDEX(LdBAmt,$M1400)=0,"",INDEX(LdBAmt,$M1400)),IF($N1400&lt;&gt;"",IF(INDEX(LdCDep,$N1400)=0,"",INDEX(LdCDep,$N1400)),"")))</f>
        <v/>
      </c>
      <c r="F1400" s="21">
        <f>IF(AND($L1400="",$M1400="",$N1400=""),"",IF($N1400="","",IF(INDEX(LdCWit,$N1400)=0,"",INDEX(LdCWit,$N1400))))</f>
        <v/>
      </c>
      <c r="G1400" s="31">
        <f>IF($B1400="","",IF($G1399="",0,$G1399)+IF($E1400="",0,$E1400)-IF($F1400="",0,$F1400))</f>
        <v/>
      </c>
      <c r="H1400" s="32">
        <f>IF(AND($L1400="",$M1400="",$N1400=""),"",IF($L1400&lt;&gt;"",IF(INDEX(LdANote,$L1400)="","—",INDEX(LdANote,$L1400)),IF($M1400&lt;&gt;"",IF(INDEX(LdBNote,$M1400)="","—",INDEX(LdBNote,$M1400)),IF($N1400&lt;&gt;"",IF(INDEX(LdCNote,$N1400)="","—",INDEX(LdCNote,$N1400)),""))))</f>
        <v/>
      </c>
      <c r="L1400">
        <f>IFERROR(MATCH($C$5&amp;"|"&amp;RIGHT("000000"&amp;1384,6),LdAKeyM,0),"")</f>
        <v/>
      </c>
      <c r="M1400">
        <f>IFERROR(MATCH($C$5&amp;"|"&amp;RIGHT("000000"&amp;1384,6),LdBKeyM,0),"")</f>
        <v/>
      </c>
      <c r="N1400">
        <f>IFERROR(MATCH($C$5&amp;"|"&amp;RIGHT("000000"&amp;1384,6),LdCKeyM,0),"")</f>
        <v/>
      </c>
    </row>
    <row r="1401">
      <c r="A1401" s="10" t="n">
        <v>1385</v>
      </c>
      <c r="B1401" s="14">
        <f>IF(AND($L1401="",$M1401="",$N1401=""),"",IF($L1401&lt;&gt;"",INDEX(LdADate,$L1401),IF($M1401&lt;&gt;"",INDEX(LdBDate,$M1401),INDEX(LdCDate,$N1401))))</f>
        <v/>
      </c>
      <c r="C1401" s="14">
        <f>IF($L1401&lt;&gt;"","دستمزد (فردی)",IF($M1401&lt;&gt;"","سهم از گروه "&amp;IFERROR(VLOOKUP(INDEX(LdBGroup,$M1401),WGTbl,2,0),INDEX(LdBGroup,$M1401)),IF($N1401&lt;&gt;"",IF(N(INDEX(LdCDep,$N1401))&gt;0,"بازگشت بانکی","پرداخت بانکی"),"")))</f>
        <v/>
      </c>
      <c r="D1401" s="14">
        <f>IF($L1401&lt;&gt;"",IF(INDEX(LdAId,$L1401)="","—",INDEX(LdAId,$L1401)),IF($M1401&lt;&gt;"",IF(INDEX(LdBId,$M1401)="","—",INDEX(LdBId,$M1401)),IF($N1401&lt;&gt;"",IF(INDEX(LdCBank,$N1401)="","—",INDEX(LdCBank,$N1401)),"")))</f>
        <v/>
      </c>
      <c r="E1401" s="16">
        <f>IF($L1401&lt;&gt;"",IF(INDEX(LdAAmt,$L1401)=0,"",INDEX(LdAAmt,$L1401)),IF($M1401&lt;&gt;"",IF(INDEX(LdBAmt,$M1401)=0,"",INDEX(LdBAmt,$M1401)),IF($N1401&lt;&gt;"",IF(INDEX(LdCDep,$N1401)=0,"",INDEX(LdCDep,$N1401)),"")))</f>
        <v/>
      </c>
      <c r="F1401" s="16">
        <f>IF(AND($L1401="",$M1401="",$N1401=""),"",IF($N1401="","",IF(INDEX(LdCWit,$N1401)=0,"",INDEX(LdCWit,$N1401))))</f>
        <v/>
      </c>
      <c r="G1401" s="29">
        <f>IF($B1401="","",IF($G1400="",0,$G1400)+IF($E1401="",0,$E1401)-IF($F1401="",0,$F1401))</f>
        <v/>
      </c>
      <c r="H1401" s="30">
        <f>IF(AND($L1401="",$M1401="",$N1401=""),"",IF($L1401&lt;&gt;"",IF(INDEX(LdANote,$L1401)="","—",INDEX(LdANote,$L1401)),IF($M1401&lt;&gt;"",IF(INDEX(LdBNote,$M1401)="","—",INDEX(LdBNote,$M1401)),IF($N1401&lt;&gt;"",IF(INDEX(LdCNote,$N1401)="","—",INDEX(LdCNote,$N1401)),""))))</f>
        <v/>
      </c>
      <c r="L1401">
        <f>IFERROR(MATCH($C$5&amp;"|"&amp;RIGHT("000000"&amp;1385,6),LdAKeyM,0),"")</f>
        <v/>
      </c>
      <c r="M1401">
        <f>IFERROR(MATCH($C$5&amp;"|"&amp;RIGHT("000000"&amp;1385,6),LdBKeyM,0),"")</f>
        <v/>
      </c>
      <c r="N1401">
        <f>IFERROR(MATCH($C$5&amp;"|"&amp;RIGHT("000000"&amp;1385,6),LdCKeyM,0),"")</f>
        <v/>
      </c>
    </row>
    <row r="1402">
      <c r="A1402" s="19" t="n">
        <v>1386</v>
      </c>
      <c r="B1402" s="20">
        <f>IF(AND($L1402="",$M1402="",$N1402=""),"",IF($L1402&lt;&gt;"",INDEX(LdADate,$L1402),IF($M1402&lt;&gt;"",INDEX(LdBDate,$M1402),INDEX(LdCDate,$N1402))))</f>
        <v/>
      </c>
      <c r="C1402" s="20">
        <f>IF($L1402&lt;&gt;"","دستمزد (فردی)",IF($M1402&lt;&gt;"","سهم از گروه "&amp;IFERROR(VLOOKUP(INDEX(LdBGroup,$M1402),WGTbl,2,0),INDEX(LdBGroup,$M1402)),IF($N1402&lt;&gt;"",IF(N(INDEX(LdCDep,$N1402))&gt;0,"بازگشت بانکی","پرداخت بانکی"),"")))</f>
        <v/>
      </c>
      <c r="D1402" s="20">
        <f>IF($L1402&lt;&gt;"",IF(INDEX(LdAId,$L1402)="","—",INDEX(LdAId,$L1402)),IF($M1402&lt;&gt;"",IF(INDEX(LdBId,$M1402)="","—",INDEX(LdBId,$M1402)),IF($N1402&lt;&gt;"",IF(INDEX(LdCBank,$N1402)="","—",INDEX(LdCBank,$N1402)),"")))</f>
        <v/>
      </c>
      <c r="E1402" s="21">
        <f>IF($L1402&lt;&gt;"",IF(INDEX(LdAAmt,$L1402)=0,"",INDEX(LdAAmt,$L1402)),IF($M1402&lt;&gt;"",IF(INDEX(LdBAmt,$M1402)=0,"",INDEX(LdBAmt,$M1402)),IF($N1402&lt;&gt;"",IF(INDEX(LdCDep,$N1402)=0,"",INDEX(LdCDep,$N1402)),"")))</f>
        <v/>
      </c>
      <c r="F1402" s="21">
        <f>IF(AND($L1402="",$M1402="",$N1402=""),"",IF($N1402="","",IF(INDEX(LdCWit,$N1402)=0,"",INDEX(LdCWit,$N1402))))</f>
        <v/>
      </c>
      <c r="G1402" s="31">
        <f>IF($B1402="","",IF($G1401="",0,$G1401)+IF($E1402="",0,$E1402)-IF($F1402="",0,$F1402))</f>
        <v/>
      </c>
      <c r="H1402" s="32">
        <f>IF(AND($L1402="",$M1402="",$N1402=""),"",IF($L1402&lt;&gt;"",IF(INDEX(LdANote,$L1402)="","—",INDEX(LdANote,$L1402)),IF($M1402&lt;&gt;"",IF(INDEX(LdBNote,$M1402)="","—",INDEX(LdBNote,$M1402)),IF($N1402&lt;&gt;"",IF(INDEX(LdCNote,$N1402)="","—",INDEX(LdCNote,$N1402)),""))))</f>
        <v/>
      </c>
      <c r="L1402">
        <f>IFERROR(MATCH($C$5&amp;"|"&amp;RIGHT("000000"&amp;1386,6),LdAKeyM,0),"")</f>
        <v/>
      </c>
      <c r="M1402">
        <f>IFERROR(MATCH($C$5&amp;"|"&amp;RIGHT("000000"&amp;1386,6),LdBKeyM,0),"")</f>
        <v/>
      </c>
      <c r="N1402">
        <f>IFERROR(MATCH($C$5&amp;"|"&amp;RIGHT("000000"&amp;1386,6),LdCKeyM,0),"")</f>
        <v/>
      </c>
    </row>
    <row r="1403">
      <c r="A1403" s="10" t="n">
        <v>1387</v>
      </c>
      <c r="B1403" s="14">
        <f>IF(AND($L1403="",$M1403="",$N1403=""),"",IF($L1403&lt;&gt;"",INDEX(LdADate,$L1403),IF($M1403&lt;&gt;"",INDEX(LdBDate,$M1403),INDEX(LdCDate,$N1403))))</f>
        <v/>
      </c>
      <c r="C1403" s="14">
        <f>IF($L1403&lt;&gt;"","دستمزد (فردی)",IF($M1403&lt;&gt;"","سهم از گروه "&amp;IFERROR(VLOOKUP(INDEX(LdBGroup,$M1403),WGTbl,2,0),INDEX(LdBGroup,$M1403)),IF($N1403&lt;&gt;"",IF(N(INDEX(LdCDep,$N1403))&gt;0,"بازگشت بانکی","پرداخت بانکی"),"")))</f>
        <v/>
      </c>
      <c r="D1403" s="14">
        <f>IF($L1403&lt;&gt;"",IF(INDEX(LdAId,$L1403)="","—",INDEX(LdAId,$L1403)),IF($M1403&lt;&gt;"",IF(INDEX(LdBId,$M1403)="","—",INDEX(LdBId,$M1403)),IF($N1403&lt;&gt;"",IF(INDEX(LdCBank,$N1403)="","—",INDEX(LdCBank,$N1403)),"")))</f>
        <v/>
      </c>
      <c r="E1403" s="16">
        <f>IF($L1403&lt;&gt;"",IF(INDEX(LdAAmt,$L1403)=0,"",INDEX(LdAAmt,$L1403)),IF($M1403&lt;&gt;"",IF(INDEX(LdBAmt,$M1403)=0,"",INDEX(LdBAmt,$M1403)),IF($N1403&lt;&gt;"",IF(INDEX(LdCDep,$N1403)=0,"",INDEX(LdCDep,$N1403)),"")))</f>
        <v/>
      </c>
      <c r="F1403" s="16">
        <f>IF(AND($L1403="",$M1403="",$N1403=""),"",IF($N1403="","",IF(INDEX(LdCWit,$N1403)=0,"",INDEX(LdCWit,$N1403))))</f>
        <v/>
      </c>
      <c r="G1403" s="29">
        <f>IF($B1403="","",IF($G1402="",0,$G1402)+IF($E1403="",0,$E1403)-IF($F1403="",0,$F1403))</f>
        <v/>
      </c>
      <c r="H1403" s="30">
        <f>IF(AND($L1403="",$M1403="",$N1403=""),"",IF($L1403&lt;&gt;"",IF(INDEX(LdANote,$L1403)="","—",INDEX(LdANote,$L1403)),IF($M1403&lt;&gt;"",IF(INDEX(LdBNote,$M1403)="","—",INDEX(LdBNote,$M1403)),IF($N1403&lt;&gt;"",IF(INDEX(LdCNote,$N1403)="","—",INDEX(LdCNote,$N1403)),""))))</f>
        <v/>
      </c>
      <c r="L1403">
        <f>IFERROR(MATCH($C$5&amp;"|"&amp;RIGHT("000000"&amp;1387,6),LdAKeyM,0),"")</f>
        <v/>
      </c>
      <c r="M1403">
        <f>IFERROR(MATCH($C$5&amp;"|"&amp;RIGHT("000000"&amp;1387,6),LdBKeyM,0),"")</f>
        <v/>
      </c>
      <c r="N1403">
        <f>IFERROR(MATCH($C$5&amp;"|"&amp;RIGHT("000000"&amp;1387,6),LdCKeyM,0),"")</f>
        <v/>
      </c>
    </row>
    <row r="1404">
      <c r="A1404" s="19" t="n">
        <v>1388</v>
      </c>
      <c r="B1404" s="20">
        <f>IF(AND($L1404="",$M1404="",$N1404=""),"",IF($L1404&lt;&gt;"",INDEX(LdADate,$L1404),IF($M1404&lt;&gt;"",INDEX(LdBDate,$M1404),INDEX(LdCDate,$N1404))))</f>
        <v/>
      </c>
      <c r="C1404" s="20">
        <f>IF($L1404&lt;&gt;"","دستمزد (فردی)",IF($M1404&lt;&gt;"","سهم از گروه "&amp;IFERROR(VLOOKUP(INDEX(LdBGroup,$M1404),WGTbl,2,0),INDEX(LdBGroup,$M1404)),IF($N1404&lt;&gt;"",IF(N(INDEX(LdCDep,$N1404))&gt;0,"بازگشت بانکی","پرداخت بانکی"),"")))</f>
        <v/>
      </c>
      <c r="D1404" s="20">
        <f>IF($L1404&lt;&gt;"",IF(INDEX(LdAId,$L1404)="","—",INDEX(LdAId,$L1404)),IF($M1404&lt;&gt;"",IF(INDEX(LdBId,$M1404)="","—",INDEX(LdBId,$M1404)),IF($N1404&lt;&gt;"",IF(INDEX(LdCBank,$N1404)="","—",INDEX(LdCBank,$N1404)),"")))</f>
        <v/>
      </c>
      <c r="E1404" s="21">
        <f>IF($L1404&lt;&gt;"",IF(INDEX(LdAAmt,$L1404)=0,"",INDEX(LdAAmt,$L1404)),IF($M1404&lt;&gt;"",IF(INDEX(LdBAmt,$M1404)=0,"",INDEX(LdBAmt,$M1404)),IF($N1404&lt;&gt;"",IF(INDEX(LdCDep,$N1404)=0,"",INDEX(LdCDep,$N1404)),"")))</f>
        <v/>
      </c>
      <c r="F1404" s="21">
        <f>IF(AND($L1404="",$M1404="",$N1404=""),"",IF($N1404="","",IF(INDEX(LdCWit,$N1404)=0,"",INDEX(LdCWit,$N1404))))</f>
        <v/>
      </c>
      <c r="G1404" s="31">
        <f>IF($B1404="","",IF($G1403="",0,$G1403)+IF($E1404="",0,$E1404)-IF($F1404="",0,$F1404))</f>
        <v/>
      </c>
      <c r="H1404" s="32">
        <f>IF(AND($L1404="",$M1404="",$N1404=""),"",IF($L1404&lt;&gt;"",IF(INDEX(LdANote,$L1404)="","—",INDEX(LdANote,$L1404)),IF($M1404&lt;&gt;"",IF(INDEX(LdBNote,$M1404)="","—",INDEX(LdBNote,$M1404)),IF($N1404&lt;&gt;"",IF(INDEX(LdCNote,$N1404)="","—",INDEX(LdCNote,$N1404)),""))))</f>
        <v/>
      </c>
      <c r="L1404">
        <f>IFERROR(MATCH($C$5&amp;"|"&amp;RIGHT("000000"&amp;1388,6),LdAKeyM,0),"")</f>
        <v/>
      </c>
      <c r="M1404">
        <f>IFERROR(MATCH($C$5&amp;"|"&amp;RIGHT("000000"&amp;1388,6),LdBKeyM,0),"")</f>
        <v/>
      </c>
      <c r="N1404">
        <f>IFERROR(MATCH($C$5&amp;"|"&amp;RIGHT("000000"&amp;1388,6),LdCKeyM,0),"")</f>
        <v/>
      </c>
    </row>
    <row r="1405">
      <c r="A1405" s="10" t="n">
        <v>1389</v>
      </c>
      <c r="B1405" s="14">
        <f>IF(AND($L1405="",$M1405="",$N1405=""),"",IF($L1405&lt;&gt;"",INDEX(LdADate,$L1405),IF($M1405&lt;&gt;"",INDEX(LdBDate,$M1405),INDEX(LdCDate,$N1405))))</f>
        <v/>
      </c>
      <c r="C1405" s="14">
        <f>IF($L1405&lt;&gt;"","دستمزد (فردی)",IF($M1405&lt;&gt;"","سهم از گروه "&amp;IFERROR(VLOOKUP(INDEX(LdBGroup,$M1405),WGTbl,2,0),INDEX(LdBGroup,$M1405)),IF($N1405&lt;&gt;"",IF(N(INDEX(LdCDep,$N1405))&gt;0,"بازگشت بانکی","پرداخت بانکی"),"")))</f>
        <v/>
      </c>
      <c r="D1405" s="14">
        <f>IF($L1405&lt;&gt;"",IF(INDEX(LdAId,$L1405)="","—",INDEX(LdAId,$L1405)),IF($M1405&lt;&gt;"",IF(INDEX(LdBId,$M1405)="","—",INDEX(LdBId,$M1405)),IF($N1405&lt;&gt;"",IF(INDEX(LdCBank,$N1405)="","—",INDEX(LdCBank,$N1405)),"")))</f>
        <v/>
      </c>
      <c r="E1405" s="16">
        <f>IF($L1405&lt;&gt;"",IF(INDEX(LdAAmt,$L1405)=0,"",INDEX(LdAAmt,$L1405)),IF($M1405&lt;&gt;"",IF(INDEX(LdBAmt,$M1405)=0,"",INDEX(LdBAmt,$M1405)),IF($N1405&lt;&gt;"",IF(INDEX(LdCDep,$N1405)=0,"",INDEX(LdCDep,$N1405)),"")))</f>
        <v/>
      </c>
      <c r="F1405" s="16">
        <f>IF(AND($L1405="",$M1405="",$N1405=""),"",IF($N1405="","",IF(INDEX(LdCWit,$N1405)=0,"",INDEX(LdCWit,$N1405))))</f>
        <v/>
      </c>
      <c r="G1405" s="29">
        <f>IF($B1405="","",IF($G1404="",0,$G1404)+IF($E1405="",0,$E1405)-IF($F1405="",0,$F1405))</f>
        <v/>
      </c>
      <c r="H1405" s="30">
        <f>IF(AND($L1405="",$M1405="",$N1405=""),"",IF($L1405&lt;&gt;"",IF(INDEX(LdANote,$L1405)="","—",INDEX(LdANote,$L1405)),IF($M1405&lt;&gt;"",IF(INDEX(LdBNote,$M1405)="","—",INDEX(LdBNote,$M1405)),IF($N1405&lt;&gt;"",IF(INDEX(LdCNote,$N1405)="","—",INDEX(LdCNote,$N1405)),""))))</f>
        <v/>
      </c>
      <c r="L1405">
        <f>IFERROR(MATCH($C$5&amp;"|"&amp;RIGHT("000000"&amp;1389,6),LdAKeyM,0),"")</f>
        <v/>
      </c>
      <c r="M1405">
        <f>IFERROR(MATCH($C$5&amp;"|"&amp;RIGHT("000000"&amp;1389,6),LdBKeyM,0),"")</f>
        <v/>
      </c>
      <c r="N1405">
        <f>IFERROR(MATCH($C$5&amp;"|"&amp;RIGHT("000000"&amp;1389,6),LdCKeyM,0),"")</f>
        <v/>
      </c>
    </row>
    <row r="1406">
      <c r="A1406" s="19" t="n">
        <v>1390</v>
      </c>
      <c r="B1406" s="20">
        <f>IF(AND($L1406="",$M1406="",$N1406=""),"",IF($L1406&lt;&gt;"",INDEX(LdADate,$L1406),IF($M1406&lt;&gt;"",INDEX(LdBDate,$M1406),INDEX(LdCDate,$N1406))))</f>
        <v/>
      </c>
      <c r="C1406" s="20">
        <f>IF($L1406&lt;&gt;"","دستمزد (فردی)",IF($M1406&lt;&gt;"","سهم از گروه "&amp;IFERROR(VLOOKUP(INDEX(LdBGroup,$M1406),WGTbl,2,0),INDEX(LdBGroup,$M1406)),IF($N1406&lt;&gt;"",IF(N(INDEX(LdCDep,$N1406))&gt;0,"بازگشت بانکی","پرداخت بانکی"),"")))</f>
        <v/>
      </c>
      <c r="D1406" s="20">
        <f>IF($L1406&lt;&gt;"",IF(INDEX(LdAId,$L1406)="","—",INDEX(LdAId,$L1406)),IF($M1406&lt;&gt;"",IF(INDEX(LdBId,$M1406)="","—",INDEX(LdBId,$M1406)),IF($N1406&lt;&gt;"",IF(INDEX(LdCBank,$N1406)="","—",INDEX(LdCBank,$N1406)),"")))</f>
        <v/>
      </c>
      <c r="E1406" s="21">
        <f>IF($L1406&lt;&gt;"",IF(INDEX(LdAAmt,$L1406)=0,"",INDEX(LdAAmt,$L1406)),IF($M1406&lt;&gt;"",IF(INDEX(LdBAmt,$M1406)=0,"",INDEX(LdBAmt,$M1406)),IF($N1406&lt;&gt;"",IF(INDEX(LdCDep,$N1406)=0,"",INDEX(LdCDep,$N1406)),"")))</f>
        <v/>
      </c>
      <c r="F1406" s="21">
        <f>IF(AND($L1406="",$M1406="",$N1406=""),"",IF($N1406="","",IF(INDEX(LdCWit,$N1406)=0,"",INDEX(LdCWit,$N1406))))</f>
        <v/>
      </c>
      <c r="G1406" s="31">
        <f>IF($B1406="","",IF($G1405="",0,$G1405)+IF($E1406="",0,$E1406)-IF($F1406="",0,$F1406))</f>
        <v/>
      </c>
      <c r="H1406" s="32">
        <f>IF(AND($L1406="",$M1406="",$N1406=""),"",IF($L1406&lt;&gt;"",IF(INDEX(LdANote,$L1406)="","—",INDEX(LdANote,$L1406)),IF($M1406&lt;&gt;"",IF(INDEX(LdBNote,$M1406)="","—",INDEX(LdBNote,$M1406)),IF($N1406&lt;&gt;"",IF(INDEX(LdCNote,$N1406)="","—",INDEX(LdCNote,$N1406)),""))))</f>
        <v/>
      </c>
      <c r="L1406">
        <f>IFERROR(MATCH($C$5&amp;"|"&amp;RIGHT("000000"&amp;1390,6),LdAKeyM,0),"")</f>
        <v/>
      </c>
      <c r="M1406">
        <f>IFERROR(MATCH($C$5&amp;"|"&amp;RIGHT("000000"&amp;1390,6),LdBKeyM,0),"")</f>
        <v/>
      </c>
      <c r="N1406">
        <f>IFERROR(MATCH($C$5&amp;"|"&amp;RIGHT("000000"&amp;1390,6),LdCKeyM,0),"")</f>
        <v/>
      </c>
    </row>
    <row r="1407">
      <c r="A1407" s="10" t="n">
        <v>1391</v>
      </c>
      <c r="B1407" s="14">
        <f>IF(AND($L1407="",$M1407="",$N1407=""),"",IF($L1407&lt;&gt;"",INDEX(LdADate,$L1407),IF($M1407&lt;&gt;"",INDEX(LdBDate,$M1407),INDEX(LdCDate,$N1407))))</f>
        <v/>
      </c>
      <c r="C1407" s="14">
        <f>IF($L1407&lt;&gt;"","دستمزد (فردی)",IF($M1407&lt;&gt;"","سهم از گروه "&amp;IFERROR(VLOOKUP(INDEX(LdBGroup,$M1407),WGTbl,2,0),INDEX(LdBGroup,$M1407)),IF($N1407&lt;&gt;"",IF(N(INDEX(LdCDep,$N1407))&gt;0,"بازگشت بانکی","پرداخت بانکی"),"")))</f>
        <v/>
      </c>
      <c r="D1407" s="14">
        <f>IF($L1407&lt;&gt;"",IF(INDEX(LdAId,$L1407)="","—",INDEX(LdAId,$L1407)),IF($M1407&lt;&gt;"",IF(INDEX(LdBId,$M1407)="","—",INDEX(LdBId,$M1407)),IF($N1407&lt;&gt;"",IF(INDEX(LdCBank,$N1407)="","—",INDEX(LdCBank,$N1407)),"")))</f>
        <v/>
      </c>
      <c r="E1407" s="16">
        <f>IF($L1407&lt;&gt;"",IF(INDEX(LdAAmt,$L1407)=0,"",INDEX(LdAAmt,$L1407)),IF($M1407&lt;&gt;"",IF(INDEX(LdBAmt,$M1407)=0,"",INDEX(LdBAmt,$M1407)),IF($N1407&lt;&gt;"",IF(INDEX(LdCDep,$N1407)=0,"",INDEX(LdCDep,$N1407)),"")))</f>
        <v/>
      </c>
      <c r="F1407" s="16">
        <f>IF(AND($L1407="",$M1407="",$N1407=""),"",IF($N1407="","",IF(INDEX(LdCWit,$N1407)=0,"",INDEX(LdCWit,$N1407))))</f>
        <v/>
      </c>
      <c r="G1407" s="29">
        <f>IF($B1407="","",IF($G1406="",0,$G1406)+IF($E1407="",0,$E1407)-IF($F1407="",0,$F1407))</f>
        <v/>
      </c>
      <c r="H1407" s="30">
        <f>IF(AND($L1407="",$M1407="",$N1407=""),"",IF($L1407&lt;&gt;"",IF(INDEX(LdANote,$L1407)="","—",INDEX(LdANote,$L1407)),IF($M1407&lt;&gt;"",IF(INDEX(LdBNote,$M1407)="","—",INDEX(LdBNote,$M1407)),IF($N1407&lt;&gt;"",IF(INDEX(LdCNote,$N1407)="","—",INDEX(LdCNote,$N1407)),""))))</f>
        <v/>
      </c>
      <c r="L1407">
        <f>IFERROR(MATCH($C$5&amp;"|"&amp;RIGHT("000000"&amp;1391,6),LdAKeyM,0),"")</f>
        <v/>
      </c>
      <c r="M1407">
        <f>IFERROR(MATCH($C$5&amp;"|"&amp;RIGHT("000000"&amp;1391,6),LdBKeyM,0),"")</f>
        <v/>
      </c>
      <c r="N1407">
        <f>IFERROR(MATCH($C$5&amp;"|"&amp;RIGHT("000000"&amp;1391,6),LdCKeyM,0),"")</f>
        <v/>
      </c>
    </row>
    <row r="1408">
      <c r="A1408" s="19" t="n">
        <v>1392</v>
      </c>
      <c r="B1408" s="20">
        <f>IF(AND($L1408="",$M1408="",$N1408=""),"",IF($L1408&lt;&gt;"",INDEX(LdADate,$L1408),IF($M1408&lt;&gt;"",INDEX(LdBDate,$M1408),INDEX(LdCDate,$N1408))))</f>
        <v/>
      </c>
      <c r="C1408" s="20">
        <f>IF($L1408&lt;&gt;"","دستمزد (فردی)",IF($M1408&lt;&gt;"","سهم از گروه "&amp;IFERROR(VLOOKUP(INDEX(LdBGroup,$M1408),WGTbl,2,0),INDEX(LdBGroup,$M1408)),IF($N1408&lt;&gt;"",IF(N(INDEX(LdCDep,$N1408))&gt;0,"بازگشت بانکی","پرداخت بانکی"),"")))</f>
        <v/>
      </c>
      <c r="D1408" s="20">
        <f>IF($L1408&lt;&gt;"",IF(INDEX(LdAId,$L1408)="","—",INDEX(LdAId,$L1408)),IF($M1408&lt;&gt;"",IF(INDEX(LdBId,$M1408)="","—",INDEX(LdBId,$M1408)),IF($N1408&lt;&gt;"",IF(INDEX(LdCBank,$N1408)="","—",INDEX(LdCBank,$N1408)),"")))</f>
        <v/>
      </c>
      <c r="E1408" s="21">
        <f>IF($L1408&lt;&gt;"",IF(INDEX(LdAAmt,$L1408)=0,"",INDEX(LdAAmt,$L1408)),IF($M1408&lt;&gt;"",IF(INDEX(LdBAmt,$M1408)=0,"",INDEX(LdBAmt,$M1408)),IF($N1408&lt;&gt;"",IF(INDEX(LdCDep,$N1408)=0,"",INDEX(LdCDep,$N1408)),"")))</f>
        <v/>
      </c>
      <c r="F1408" s="21">
        <f>IF(AND($L1408="",$M1408="",$N1408=""),"",IF($N1408="","",IF(INDEX(LdCWit,$N1408)=0,"",INDEX(LdCWit,$N1408))))</f>
        <v/>
      </c>
      <c r="G1408" s="31">
        <f>IF($B1408="","",IF($G1407="",0,$G1407)+IF($E1408="",0,$E1408)-IF($F1408="",0,$F1408))</f>
        <v/>
      </c>
      <c r="H1408" s="32">
        <f>IF(AND($L1408="",$M1408="",$N1408=""),"",IF($L1408&lt;&gt;"",IF(INDEX(LdANote,$L1408)="","—",INDEX(LdANote,$L1408)),IF($M1408&lt;&gt;"",IF(INDEX(LdBNote,$M1408)="","—",INDEX(LdBNote,$M1408)),IF($N1408&lt;&gt;"",IF(INDEX(LdCNote,$N1408)="","—",INDEX(LdCNote,$N1408)),""))))</f>
        <v/>
      </c>
      <c r="L1408">
        <f>IFERROR(MATCH($C$5&amp;"|"&amp;RIGHT("000000"&amp;1392,6),LdAKeyM,0),"")</f>
        <v/>
      </c>
      <c r="M1408">
        <f>IFERROR(MATCH($C$5&amp;"|"&amp;RIGHT("000000"&amp;1392,6),LdBKeyM,0),"")</f>
        <v/>
      </c>
      <c r="N1408">
        <f>IFERROR(MATCH($C$5&amp;"|"&amp;RIGHT("000000"&amp;1392,6),LdCKeyM,0),"")</f>
        <v/>
      </c>
    </row>
    <row r="1409">
      <c r="A1409" s="10" t="n">
        <v>1393</v>
      </c>
      <c r="B1409" s="14">
        <f>IF(AND($L1409="",$M1409="",$N1409=""),"",IF($L1409&lt;&gt;"",INDEX(LdADate,$L1409),IF($M1409&lt;&gt;"",INDEX(LdBDate,$M1409),INDEX(LdCDate,$N1409))))</f>
        <v/>
      </c>
      <c r="C1409" s="14">
        <f>IF($L1409&lt;&gt;"","دستمزد (فردی)",IF($M1409&lt;&gt;"","سهم از گروه "&amp;IFERROR(VLOOKUP(INDEX(LdBGroup,$M1409),WGTbl,2,0),INDEX(LdBGroup,$M1409)),IF($N1409&lt;&gt;"",IF(N(INDEX(LdCDep,$N1409))&gt;0,"بازگشت بانکی","پرداخت بانکی"),"")))</f>
        <v/>
      </c>
      <c r="D1409" s="14">
        <f>IF($L1409&lt;&gt;"",IF(INDEX(LdAId,$L1409)="","—",INDEX(LdAId,$L1409)),IF($M1409&lt;&gt;"",IF(INDEX(LdBId,$M1409)="","—",INDEX(LdBId,$M1409)),IF($N1409&lt;&gt;"",IF(INDEX(LdCBank,$N1409)="","—",INDEX(LdCBank,$N1409)),"")))</f>
        <v/>
      </c>
      <c r="E1409" s="16">
        <f>IF($L1409&lt;&gt;"",IF(INDEX(LdAAmt,$L1409)=0,"",INDEX(LdAAmt,$L1409)),IF($M1409&lt;&gt;"",IF(INDEX(LdBAmt,$M1409)=0,"",INDEX(LdBAmt,$M1409)),IF($N1409&lt;&gt;"",IF(INDEX(LdCDep,$N1409)=0,"",INDEX(LdCDep,$N1409)),"")))</f>
        <v/>
      </c>
      <c r="F1409" s="16">
        <f>IF(AND($L1409="",$M1409="",$N1409=""),"",IF($N1409="","",IF(INDEX(LdCWit,$N1409)=0,"",INDEX(LdCWit,$N1409))))</f>
        <v/>
      </c>
      <c r="G1409" s="29">
        <f>IF($B1409="","",IF($G1408="",0,$G1408)+IF($E1409="",0,$E1409)-IF($F1409="",0,$F1409))</f>
        <v/>
      </c>
      <c r="H1409" s="30">
        <f>IF(AND($L1409="",$M1409="",$N1409=""),"",IF($L1409&lt;&gt;"",IF(INDEX(LdANote,$L1409)="","—",INDEX(LdANote,$L1409)),IF($M1409&lt;&gt;"",IF(INDEX(LdBNote,$M1409)="","—",INDEX(LdBNote,$M1409)),IF($N1409&lt;&gt;"",IF(INDEX(LdCNote,$N1409)="","—",INDEX(LdCNote,$N1409)),""))))</f>
        <v/>
      </c>
      <c r="L1409">
        <f>IFERROR(MATCH($C$5&amp;"|"&amp;RIGHT("000000"&amp;1393,6),LdAKeyM,0),"")</f>
        <v/>
      </c>
      <c r="M1409">
        <f>IFERROR(MATCH($C$5&amp;"|"&amp;RIGHT("000000"&amp;1393,6),LdBKeyM,0),"")</f>
        <v/>
      </c>
      <c r="N1409">
        <f>IFERROR(MATCH($C$5&amp;"|"&amp;RIGHT("000000"&amp;1393,6),LdCKeyM,0),"")</f>
        <v/>
      </c>
    </row>
    <row r="1410">
      <c r="A1410" s="19" t="n">
        <v>1394</v>
      </c>
      <c r="B1410" s="20">
        <f>IF(AND($L1410="",$M1410="",$N1410=""),"",IF($L1410&lt;&gt;"",INDEX(LdADate,$L1410),IF($M1410&lt;&gt;"",INDEX(LdBDate,$M1410),INDEX(LdCDate,$N1410))))</f>
        <v/>
      </c>
      <c r="C1410" s="20">
        <f>IF($L1410&lt;&gt;"","دستمزد (فردی)",IF($M1410&lt;&gt;"","سهم از گروه "&amp;IFERROR(VLOOKUP(INDEX(LdBGroup,$M1410),WGTbl,2,0),INDEX(LdBGroup,$M1410)),IF($N1410&lt;&gt;"",IF(N(INDEX(LdCDep,$N1410))&gt;0,"بازگشت بانکی","پرداخت بانکی"),"")))</f>
        <v/>
      </c>
      <c r="D1410" s="20">
        <f>IF($L1410&lt;&gt;"",IF(INDEX(LdAId,$L1410)="","—",INDEX(LdAId,$L1410)),IF($M1410&lt;&gt;"",IF(INDEX(LdBId,$M1410)="","—",INDEX(LdBId,$M1410)),IF($N1410&lt;&gt;"",IF(INDEX(LdCBank,$N1410)="","—",INDEX(LdCBank,$N1410)),"")))</f>
        <v/>
      </c>
      <c r="E1410" s="21">
        <f>IF($L1410&lt;&gt;"",IF(INDEX(LdAAmt,$L1410)=0,"",INDEX(LdAAmt,$L1410)),IF($M1410&lt;&gt;"",IF(INDEX(LdBAmt,$M1410)=0,"",INDEX(LdBAmt,$M1410)),IF($N1410&lt;&gt;"",IF(INDEX(LdCDep,$N1410)=0,"",INDEX(LdCDep,$N1410)),"")))</f>
        <v/>
      </c>
      <c r="F1410" s="21">
        <f>IF(AND($L1410="",$M1410="",$N1410=""),"",IF($N1410="","",IF(INDEX(LdCWit,$N1410)=0,"",INDEX(LdCWit,$N1410))))</f>
        <v/>
      </c>
      <c r="G1410" s="31">
        <f>IF($B1410="","",IF($G1409="",0,$G1409)+IF($E1410="",0,$E1410)-IF($F1410="",0,$F1410))</f>
        <v/>
      </c>
      <c r="H1410" s="32">
        <f>IF(AND($L1410="",$M1410="",$N1410=""),"",IF($L1410&lt;&gt;"",IF(INDEX(LdANote,$L1410)="","—",INDEX(LdANote,$L1410)),IF($M1410&lt;&gt;"",IF(INDEX(LdBNote,$M1410)="","—",INDEX(LdBNote,$M1410)),IF($N1410&lt;&gt;"",IF(INDEX(LdCNote,$N1410)="","—",INDEX(LdCNote,$N1410)),""))))</f>
        <v/>
      </c>
      <c r="L1410">
        <f>IFERROR(MATCH($C$5&amp;"|"&amp;RIGHT("000000"&amp;1394,6),LdAKeyM,0),"")</f>
        <v/>
      </c>
      <c r="M1410">
        <f>IFERROR(MATCH($C$5&amp;"|"&amp;RIGHT("000000"&amp;1394,6),LdBKeyM,0),"")</f>
        <v/>
      </c>
      <c r="N1410">
        <f>IFERROR(MATCH($C$5&amp;"|"&amp;RIGHT("000000"&amp;1394,6),LdCKeyM,0),"")</f>
        <v/>
      </c>
    </row>
    <row r="1411">
      <c r="A1411" s="10" t="n">
        <v>1395</v>
      </c>
      <c r="B1411" s="14">
        <f>IF(AND($L1411="",$M1411="",$N1411=""),"",IF($L1411&lt;&gt;"",INDEX(LdADate,$L1411),IF($M1411&lt;&gt;"",INDEX(LdBDate,$M1411),INDEX(LdCDate,$N1411))))</f>
        <v/>
      </c>
      <c r="C1411" s="14">
        <f>IF($L1411&lt;&gt;"","دستمزد (فردی)",IF($M1411&lt;&gt;"","سهم از گروه "&amp;IFERROR(VLOOKUP(INDEX(LdBGroup,$M1411),WGTbl,2,0),INDEX(LdBGroup,$M1411)),IF($N1411&lt;&gt;"",IF(N(INDEX(LdCDep,$N1411))&gt;0,"بازگشت بانکی","پرداخت بانکی"),"")))</f>
        <v/>
      </c>
      <c r="D1411" s="14">
        <f>IF($L1411&lt;&gt;"",IF(INDEX(LdAId,$L1411)="","—",INDEX(LdAId,$L1411)),IF($M1411&lt;&gt;"",IF(INDEX(LdBId,$M1411)="","—",INDEX(LdBId,$M1411)),IF($N1411&lt;&gt;"",IF(INDEX(LdCBank,$N1411)="","—",INDEX(LdCBank,$N1411)),"")))</f>
        <v/>
      </c>
      <c r="E1411" s="16">
        <f>IF($L1411&lt;&gt;"",IF(INDEX(LdAAmt,$L1411)=0,"",INDEX(LdAAmt,$L1411)),IF($M1411&lt;&gt;"",IF(INDEX(LdBAmt,$M1411)=0,"",INDEX(LdBAmt,$M1411)),IF($N1411&lt;&gt;"",IF(INDEX(LdCDep,$N1411)=0,"",INDEX(LdCDep,$N1411)),"")))</f>
        <v/>
      </c>
      <c r="F1411" s="16">
        <f>IF(AND($L1411="",$M1411="",$N1411=""),"",IF($N1411="","",IF(INDEX(LdCWit,$N1411)=0,"",INDEX(LdCWit,$N1411))))</f>
        <v/>
      </c>
      <c r="G1411" s="29">
        <f>IF($B1411="","",IF($G1410="",0,$G1410)+IF($E1411="",0,$E1411)-IF($F1411="",0,$F1411))</f>
        <v/>
      </c>
      <c r="H1411" s="30">
        <f>IF(AND($L1411="",$M1411="",$N1411=""),"",IF($L1411&lt;&gt;"",IF(INDEX(LdANote,$L1411)="","—",INDEX(LdANote,$L1411)),IF($M1411&lt;&gt;"",IF(INDEX(LdBNote,$M1411)="","—",INDEX(LdBNote,$M1411)),IF($N1411&lt;&gt;"",IF(INDEX(LdCNote,$N1411)="","—",INDEX(LdCNote,$N1411)),""))))</f>
        <v/>
      </c>
      <c r="L1411">
        <f>IFERROR(MATCH($C$5&amp;"|"&amp;RIGHT("000000"&amp;1395,6),LdAKeyM,0),"")</f>
        <v/>
      </c>
      <c r="M1411">
        <f>IFERROR(MATCH($C$5&amp;"|"&amp;RIGHT("000000"&amp;1395,6),LdBKeyM,0),"")</f>
        <v/>
      </c>
      <c r="N1411">
        <f>IFERROR(MATCH($C$5&amp;"|"&amp;RIGHT("000000"&amp;1395,6),LdCKeyM,0),"")</f>
        <v/>
      </c>
    </row>
    <row r="1412">
      <c r="A1412" s="19" t="n">
        <v>1396</v>
      </c>
      <c r="B1412" s="20">
        <f>IF(AND($L1412="",$M1412="",$N1412=""),"",IF($L1412&lt;&gt;"",INDEX(LdADate,$L1412),IF($M1412&lt;&gt;"",INDEX(LdBDate,$M1412),INDEX(LdCDate,$N1412))))</f>
        <v/>
      </c>
      <c r="C1412" s="20">
        <f>IF($L1412&lt;&gt;"","دستمزد (فردی)",IF($M1412&lt;&gt;"","سهم از گروه "&amp;IFERROR(VLOOKUP(INDEX(LdBGroup,$M1412),WGTbl,2,0),INDEX(LdBGroup,$M1412)),IF($N1412&lt;&gt;"",IF(N(INDEX(LdCDep,$N1412))&gt;0,"بازگشت بانکی","پرداخت بانکی"),"")))</f>
        <v/>
      </c>
      <c r="D1412" s="20">
        <f>IF($L1412&lt;&gt;"",IF(INDEX(LdAId,$L1412)="","—",INDEX(LdAId,$L1412)),IF($M1412&lt;&gt;"",IF(INDEX(LdBId,$M1412)="","—",INDEX(LdBId,$M1412)),IF($N1412&lt;&gt;"",IF(INDEX(LdCBank,$N1412)="","—",INDEX(LdCBank,$N1412)),"")))</f>
        <v/>
      </c>
      <c r="E1412" s="21">
        <f>IF($L1412&lt;&gt;"",IF(INDEX(LdAAmt,$L1412)=0,"",INDEX(LdAAmt,$L1412)),IF($M1412&lt;&gt;"",IF(INDEX(LdBAmt,$M1412)=0,"",INDEX(LdBAmt,$M1412)),IF($N1412&lt;&gt;"",IF(INDEX(LdCDep,$N1412)=0,"",INDEX(LdCDep,$N1412)),"")))</f>
        <v/>
      </c>
      <c r="F1412" s="21">
        <f>IF(AND($L1412="",$M1412="",$N1412=""),"",IF($N1412="","",IF(INDEX(LdCWit,$N1412)=0,"",INDEX(LdCWit,$N1412))))</f>
        <v/>
      </c>
      <c r="G1412" s="31">
        <f>IF($B1412="","",IF($G1411="",0,$G1411)+IF($E1412="",0,$E1412)-IF($F1412="",0,$F1412))</f>
        <v/>
      </c>
      <c r="H1412" s="32">
        <f>IF(AND($L1412="",$M1412="",$N1412=""),"",IF($L1412&lt;&gt;"",IF(INDEX(LdANote,$L1412)="","—",INDEX(LdANote,$L1412)),IF($M1412&lt;&gt;"",IF(INDEX(LdBNote,$M1412)="","—",INDEX(LdBNote,$M1412)),IF($N1412&lt;&gt;"",IF(INDEX(LdCNote,$N1412)="","—",INDEX(LdCNote,$N1412)),""))))</f>
        <v/>
      </c>
      <c r="L1412">
        <f>IFERROR(MATCH($C$5&amp;"|"&amp;RIGHT("000000"&amp;1396,6),LdAKeyM,0),"")</f>
        <v/>
      </c>
      <c r="M1412">
        <f>IFERROR(MATCH($C$5&amp;"|"&amp;RIGHT("000000"&amp;1396,6),LdBKeyM,0),"")</f>
        <v/>
      </c>
      <c r="N1412">
        <f>IFERROR(MATCH($C$5&amp;"|"&amp;RIGHT("000000"&amp;1396,6),LdCKeyM,0),"")</f>
        <v/>
      </c>
    </row>
    <row r="1413">
      <c r="A1413" s="10" t="n">
        <v>1397</v>
      </c>
      <c r="B1413" s="14">
        <f>IF(AND($L1413="",$M1413="",$N1413=""),"",IF($L1413&lt;&gt;"",INDEX(LdADate,$L1413),IF($M1413&lt;&gt;"",INDEX(LdBDate,$M1413),INDEX(LdCDate,$N1413))))</f>
        <v/>
      </c>
      <c r="C1413" s="14">
        <f>IF($L1413&lt;&gt;"","دستمزد (فردی)",IF($M1413&lt;&gt;"","سهم از گروه "&amp;IFERROR(VLOOKUP(INDEX(LdBGroup,$M1413),WGTbl,2,0),INDEX(LdBGroup,$M1413)),IF($N1413&lt;&gt;"",IF(N(INDEX(LdCDep,$N1413))&gt;0,"بازگشت بانکی","پرداخت بانکی"),"")))</f>
        <v/>
      </c>
      <c r="D1413" s="14">
        <f>IF($L1413&lt;&gt;"",IF(INDEX(LdAId,$L1413)="","—",INDEX(LdAId,$L1413)),IF($M1413&lt;&gt;"",IF(INDEX(LdBId,$M1413)="","—",INDEX(LdBId,$M1413)),IF($N1413&lt;&gt;"",IF(INDEX(LdCBank,$N1413)="","—",INDEX(LdCBank,$N1413)),"")))</f>
        <v/>
      </c>
      <c r="E1413" s="16">
        <f>IF($L1413&lt;&gt;"",IF(INDEX(LdAAmt,$L1413)=0,"",INDEX(LdAAmt,$L1413)),IF($M1413&lt;&gt;"",IF(INDEX(LdBAmt,$M1413)=0,"",INDEX(LdBAmt,$M1413)),IF($N1413&lt;&gt;"",IF(INDEX(LdCDep,$N1413)=0,"",INDEX(LdCDep,$N1413)),"")))</f>
        <v/>
      </c>
      <c r="F1413" s="16">
        <f>IF(AND($L1413="",$M1413="",$N1413=""),"",IF($N1413="","",IF(INDEX(LdCWit,$N1413)=0,"",INDEX(LdCWit,$N1413))))</f>
        <v/>
      </c>
      <c r="G1413" s="29">
        <f>IF($B1413="","",IF($G1412="",0,$G1412)+IF($E1413="",0,$E1413)-IF($F1413="",0,$F1413))</f>
        <v/>
      </c>
      <c r="H1413" s="30">
        <f>IF(AND($L1413="",$M1413="",$N1413=""),"",IF($L1413&lt;&gt;"",IF(INDEX(LdANote,$L1413)="","—",INDEX(LdANote,$L1413)),IF($M1413&lt;&gt;"",IF(INDEX(LdBNote,$M1413)="","—",INDEX(LdBNote,$M1413)),IF($N1413&lt;&gt;"",IF(INDEX(LdCNote,$N1413)="","—",INDEX(LdCNote,$N1413)),""))))</f>
        <v/>
      </c>
      <c r="L1413">
        <f>IFERROR(MATCH($C$5&amp;"|"&amp;RIGHT("000000"&amp;1397,6),LdAKeyM,0),"")</f>
        <v/>
      </c>
      <c r="M1413">
        <f>IFERROR(MATCH($C$5&amp;"|"&amp;RIGHT("000000"&amp;1397,6),LdBKeyM,0),"")</f>
        <v/>
      </c>
      <c r="N1413">
        <f>IFERROR(MATCH($C$5&amp;"|"&amp;RIGHT("000000"&amp;1397,6),LdCKeyM,0),"")</f>
        <v/>
      </c>
    </row>
    <row r="1414">
      <c r="A1414" s="19" t="n">
        <v>1398</v>
      </c>
      <c r="B1414" s="20">
        <f>IF(AND($L1414="",$M1414="",$N1414=""),"",IF($L1414&lt;&gt;"",INDEX(LdADate,$L1414),IF($M1414&lt;&gt;"",INDEX(LdBDate,$M1414),INDEX(LdCDate,$N1414))))</f>
        <v/>
      </c>
      <c r="C1414" s="20">
        <f>IF($L1414&lt;&gt;"","دستمزد (فردی)",IF($M1414&lt;&gt;"","سهم از گروه "&amp;IFERROR(VLOOKUP(INDEX(LdBGroup,$M1414),WGTbl,2,0),INDEX(LdBGroup,$M1414)),IF($N1414&lt;&gt;"",IF(N(INDEX(LdCDep,$N1414))&gt;0,"بازگشت بانکی","پرداخت بانکی"),"")))</f>
        <v/>
      </c>
      <c r="D1414" s="20">
        <f>IF($L1414&lt;&gt;"",IF(INDEX(LdAId,$L1414)="","—",INDEX(LdAId,$L1414)),IF($M1414&lt;&gt;"",IF(INDEX(LdBId,$M1414)="","—",INDEX(LdBId,$M1414)),IF($N1414&lt;&gt;"",IF(INDEX(LdCBank,$N1414)="","—",INDEX(LdCBank,$N1414)),"")))</f>
        <v/>
      </c>
      <c r="E1414" s="21">
        <f>IF($L1414&lt;&gt;"",IF(INDEX(LdAAmt,$L1414)=0,"",INDEX(LdAAmt,$L1414)),IF($M1414&lt;&gt;"",IF(INDEX(LdBAmt,$M1414)=0,"",INDEX(LdBAmt,$M1414)),IF($N1414&lt;&gt;"",IF(INDEX(LdCDep,$N1414)=0,"",INDEX(LdCDep,$N1414)),"")))</f>
        <v/>
      </c>
      <c r="F1414" s="21">
        <f>IF(AND($L1414="",$M1414="",$N1414=""),"",IF($N1414="","",IF(INDEX(LdCWit,$N1414)=0,"",INDEX(LdCWit,$N1414))))</f>
        <v/>
      </c>
      <c r="G1414" s="31">
        <f>IF($B1414="","",IF($G1413="",0,$G1413)+IF($E1414="",0,$E1414)-IF($F1414="",0,$F1414))</f>
        <v/>
      </c>
      <c r="H1414" s="32">
        <f>IF(AND($L1414="",$M1414="",$N1414=""),"",IF($L1414&lt;&gt;"",IF(INDEX(LdANote,$L1414)="","—",INDEX(LdANote,$L1414)),IF($M1414&lt;&gt;"",IF(INDEX(LdBNote,$M1414)="","—",INDEX(LdBNote,$M1414)),IF($N1414&lt;&gt;"",IF(INDEX(LdCNote,$N1414)="","—",INDEX(LdCNote,$N1414)),""))))</f>
        <v/>
      </c>
      <c r="L1414">
        <f>IFERROR(MATCH($C$5&amp;"|"&amp;RIGHT("000000"&amp;1398,6),LdAKeyM,0),"")</f>
        <v/>
      </c>
      <c r="M1414">
        <f>IFERROR(MATCH($C$5&amp;"|"&amp;RIGHT("000000"&amp;1398,6),LdBKeyM,0),"")</f>
        <v/>
      </c>
      <c r="N1414">
        <f>IFERROR(MATCH($C$5&amp;"|"&amp;RIGHT("000000"&amp;1398,6),LdCKeyM,0),"")</f>
        <v/>
      </c>
    </row>
    <row r="1415">
      <c r="A1415" s="10" t="n">
        <v>1399</v>
      </c>
      <c r="B1415" s="14">
        <f>IF(AND($L1415="",$M1415="",$N1415=""),"",IF($L1415&lt;&gt;"",INDEX(LdADate,$L1415),IF($M1415&lt;&gt;"",INDEX(LdBDate,$M1415),INDEX(LdCDate,$N1415))))</f>
        <v/>
      </c>
      <c r="C1415" s="14">
        <f>IF($L1415&lt;&gt;"","دستمزد (فردی)",IF($M1415&lt;&gt;"","سهم از گروه "&amp;IFERROR(VLOOKUP(INDEX(LdBGroup,$M1415),WGTbl,2,0),INDEX(LdBGroup,$M1415)),IF($N1415&lt;&gt;"",IF(N(INDEX(LdCDep,$N1415))&gt;0,"بازگشت بانکی","پرداخت بانکی"),"")))</f>
        <v/>
      </c>
      <c r="D1415" s="14">
        <f>IF($L1415&lt;&gt;"",IF(INDEX(LdAId,$L1415)="","—",INDEX(LdAId,$L1415)),IF($M1415&lt;&gt;"",IF(INDEX(LdBId,$M1415)="","—",INDEX(LdBId,$M1415)),IF($N1415&lt;&gt;"",IF(INDEX(LdCBank,$N1415)="","—",INDEX(LdCBank,$N1415)),"")))</f>
        <v/>
      </c>
      <c r="E1415" s="16">
        <f>IF($L1415&lt;&gt;"",IF(INDEX(LdAAmt,$L1415)=0,"",INDEX(LdAAmt,$L1415)),IF($M1415&lt;&gt;"",IF(INDEX(LdBAmt,$M1415)=0,"",INDEX(LdBAmt,$M1415)),IF($N1415&lt;&gt;"",IF(INDEX(LdCDep,$N1415)=0,"",INDEX(LdCDep,$N1415)),"")))</f>
        <v/>
      </c>
      <c r="F1415" s="16">
        <f>IF(AND($L1415="",$M1415="",$N1415=""),"",IF($N1415="","",IF(INDEX(LdCWit,$N1415)=0,"",INDEX(LdCWit,$N1415))))</f>
        <v/>
      </c>
      <c r="G1415" s="29">
        <f>IF($B1415="","",IF($G1414="",0,$G1414)+IF($E1415="",0,$E1415)-IF($F1415="",0,$F1415))</f>
        <v/>
      </c>
      <c r="H1415" s="30">
        <f>IF(AND($L1415="",$M1415="",$N1415=""),"",IF($L1415&lt;&gt;"",IF(INDEX(LdANote,$L1415)="","—",INDEX(LdANote,$L1415)),IF($M1415&lt;&gt;"",IF(INDEX(LdBNote,$M1415)="","—",INDEX(LdBNote,$M1415)),IF($N1415&lt;&gt;"",IF(INDEX(LdCNote,$N1415)="","—",INDEX(LdCNote,$N1415)),""))))</f>
        <v/>
      </c>
      <c r="L1415">
        <f>IFERROR(MATCH($C$5&amp;"|"&amp;RIGHT("000000"&amp;1399,6),LdAKeyM,0),"")</f>
        <v/>
      </c>
      <c r="M1415">
        <f>IFERROR(MATCH($C$5&amp;"|"&amp;RIGHT("000000"&amp;1399,6),LdBKeyM,0),"")</f>
        <v/>
      </c>
      <c r="N1415">
        <f>IFERROR(MATCH($C$5&amp;"|"&amp;RIGHT("000000"&amp;1399,6),LdCKeyM,0),"")</f>
        <v/>
      </c>
    </row>
    <row r="1416">
      <c r="A1416" s="19" t="n">
        <v>1400</v>
      </c>
      <c r="B1416" s="20">
        <f>IF(AND($L1416="",$M1416="",$N1416=""),"",IF($L1416&lt;&gt;"",INDEX(LdADate,$L1416),IF($M1416&lt;&gt;"",INDEX(LdBDate,$M1416),INDEX(LdCDate,$N1416))))</f>
        <v/>
      </c>
      <c r="C1416" s="20">
        <f>IF($L1416&lt;&gt;"","دستمزد (فردی)",IF($M1416&lt;&gt;"","سهم از گروه "&amp;IFERROR(VLOOKUP(INDEX(LdBGroup,$M1416),WGTbl,2,0),INDEX(LdBGroup,$M1416)),IF($N1416&lt;&gt;"",IF(N(INDEX(LdCDep,$N1416))&gt;0,"بازگشت بانکی","پرداخت بانکی"),"")))</f>
        <v/>
      </c>
      <c r="D1416" s="20">
        <f>IF($L1416&lt;&gt;"",IF(INDEX(LdAId,$L1416)="","—",INDEX(LdAId,$L1416)),IF($M1416&lt;&gt;"",IF(INDEX(LdBId,$M1416)="","—",INDEX(LdBId,$M1416)),IF($N1416&lt;&gt;"",IF(INDEX(LdCBank,$N1416)="","—",INDEX(LdCBank,$N1416)),"")))</f>
        <v/>
      </c>
      <c r="E1416" s="21">
        <f>IF($L1416&lt;&gt;"",IF(INDEX(LdAAmt,$L1416)=0,"",INDEX(LdAAmt,$L1416)),IF($M1416&lt;&gt;"",IF(INDEX(LdBAmt,$M1416)=0,"",INDEX(LdBAmt,$M1416)),IF($N1416&lt;&gt;"",IF(INDEX(LdCDep,$N1416)=0,"",INDEX(LdCDep,$N1416)),"")))</f>
        <v/>
      </c>
      <c r="F1416" s="21">
        <f>IF(AND($L1416="",$M1416="",$N1416=""),"",IF($N1416="","",IF(INDEX(LdCWit,$N1416)=0,"",INDEX(LdCWit,$N1416))))</f>
        <v/>
      </c>
      <c r="G1416" s="31">
        <f>IF($B1416="","",IF($G1415="",0,$G1415)+IF($E1416="",0,$E1416)-IF($F1416="",0,$F1416))</f>
        <v/>
      </c>
      <c r="H1416" s="32">
        <f>IF(AND($L1416="",$M1416="",$N1416=""),"",IF($L1416&lt;&gt;"",IF(INDEX(LdANote,$L1416)="","—",INDEX(LdANote,$L1416)),IF($M1416&lt;&gt;"",IF(INDEX(LdBNote,$M1416)="","—",INDEX(LdBNote,$M1416)),IF($N1416&lt;&gt;"",IF(INDEX(LdCNote,$N1416)="","—",INDEX(LdCNote,$N1416)),""))))</f>
        <v/>
      </c>
      <c r="L1416">
        <f>IFERROR(MATCH($C$5&amp;"|"&amp;RIGHT("000000"&amp;1400,6),LdAKeyM,0),"")</f>
        <v/>
      </c>
      <c r="M1416">
        <f>IFERROR(MATCH($C$5&amp;"|"&amp;RIGHT("000000"&amp;1400,6),LdBKeyM,0),"")</f>
        <v/>
      </c>
      <c r="N1416">
        <f>IFERROR(MATCH($C$5&amp;"|"&amp;RIGHT("000000"&amp;1400,6),LdCKeyM,0),"")</f>
        <v/>
      </c>
    </row>
    <row r="1417">
      <c r="A1417" s="10" t="n">
        <v>1401</v>
      </c>
      <c r="B1417" s="14">
        <f>IF(AND($L1417="",$M1417="",$N1417=""),"",IF($L1417&lt;&gt;"",INDEX(LdADate,$L1417),IF($M1417&lt;&gt;"",INDEX(LdBDate,$M1417),INDEX(LdCDate,$N1417))))</f>
        <v/>
      </c>
      <c r="C1417" s="14">
        <f>IF($L1417&lt;&gt;"","دستمزد (فردی)",IF($M1417&lt;&gt;"","سهم از گروه "&amp;IFERROR(VLOOKUP(INDEX(LdBGroup,$M1417),WGTbl,2,0),INDEX(LdBGroup,$M1417)),IF($N1417&lt;&gt;"",IF(N(INDEX(LdCDep,$N1417))&gt;0,"بازگشت بانکی","پرداخت بانکی"),"")))</f>
        <v/>
      </c>
      <c r="D1417" s="14">
        <f>IF($L1417&lt;&gt;"",IF(INDEX(LdAId,$L1417)="","—",INDEX(LdAId,$L1417)),IF($M1417&lt;&gt;"",IF(INDEX(LdBId,$M1417)="","—",INDEX(LdBId,$M1417)),IF($N1417&lt;&gt;"",IF(INDEX(LdCBank,$N1417)="","—",INDEX(LdCBank,$N1417)),"")))</f>
        <v/>
      </c>
      <c r="E1417" s="16">
        <f>IF($L1417&lt;&gt;"",IF(INDEX(LdAAmt,$L1417)=0,"",INDEX(LdAAmt,$L1417)),IF($M1417&lt;&gt;"",IF(INDEX(LdBAmt,$M1417)=0,"",INDEX(LdBAmt,$M1417)),IF($N1417&lt;&gt;"",IF(INDEX(LdCDep,$N1417)=0,"",INDEX(LdCDep,$N1417)),"")))</f>
        <v/>
      </c>
      <c r="F1417" s="16">
        <f>IF(AND($L1417="",$M1417="",$N1417=""),"",IF($N1417="","",IF(INDEX(LdCWit,$N1417)=0,"",INDEX(LdCWit,$N1417))))</f>
        <v/>
      </c>
      <c r="G1417" s="29">
        <f>IF($B1417="","",IF($G1416="",0,$G1416)+IF($E1417="",0,$E1417)-IF($F1417="",0,$F1417))</f>
        <v/>
      </c>
      <c r="H1417" s="30">
        <f>IF(AND($L1417="",$M1417="",$N1417=""),"",IF($L1417&lt;&gt;"",IF(INDEX(LdANote,$L1417)="","—",INDEX(LdANote,$L1417)),IF($M1417&lt;&gt;"",IF(INDEX(LdBNote,$M1417)="","—",INDEX(LdBNote,$M1417)),IF($N1417&lt;&gt;"",IF(INDEX(LdCNote,$N1417)="","—",INDEX(LdCNote,$N1417)),""))))</f>
        <v/>
      </c>
      <c r="L1417">
        <f>IFERROR(MATCH($C$5&amp;"|"&amp;RIGHT("000000"&amp;1401,6),LdAKeyM,0),"")</f>
        <v/>
      </c>
      <c r="M1417">
        <f>IFERROR(MATCH($C$5&amp;"|"&amp;RIGHT("000000"&amp;1401,6),LdBKeyM,0),"")</f>
        <v/>
      </c>
      <c r="N1417">
        <f>IFERROR(MATCH($C$5&amp;"|"&amp;RIGHT("000000"&amp;1401,6),LdCKeyM,0),"")</f>
        <v/>
      </c>
    </row>
    <row r="1418">
      <c r="A1418" s="19" t="n">
        <v>1402</v>
      </c>
      <c r="B1418" s="20">
        <f>IF(AND($L1418="",$M1418="",$N1418=""),"",IF($L1418&lt;&gt;"",INDEX(LdADate,$L1418),IF($M1418&lt;&gt;"",INDEX(LdBDate,$M1418),INDEX(LdCDate,$N1418))))</f>
        <v/>
      </c>
      <c r="C1418" s="20">
        <f>IF($L1418&lt;&gt;"","دستمزد (فردی)",IF($M1418&lt;&gt;"","سهم از گروه "&amp;IFERROR(VLOOKUP(INDEX(LdBGroup,$M1418),WGTbl,2,0),INDEX(LdBGroup,$M1418)),IF($N1418&lt;&gt;"",IF(N(INDEX(LdCDep,$N1418))&gt;0,"بازگشت بانکی","پرداخت بانکی"),"")))</f>
        <v/>
      </c>
      <c r="D1418" s="20">
        <f>IF($L1418&lt;&gt;"",IF(INDEX(LdAId,$L1418)="","—",INDEX(LdAId,$L1418)),IF($M1418&lt;&gt;"",IF(INDEX(LdBId,$M1418)="","—",INDEX(LdBId,$M1418)),IF($N1418&lt;&gt;"",IF(INDEX(LdCBank,$N1418)="","—",INDEX(LdCBank,$N1418)),"")))</f>
        <v/>
      </c>
      <c r="E1418" s="21">
        <f>IF($L1418&lt;&gt;"",IF(INDEX(LdAAmt,$L1418)=0,"",INDEX(LdAAmt,$L1418)),IF($M1418&lt;&gt;"",IF(INDEX(LdBAmt,$M1418)=0,"",INDEX(LdBAmt,$M1418)),IF($N1418&lt;&gt;"",IF(INDEX(LdCDep,$N1418)=0,"",INDEX(LdCDep,$N1418)),"")))</f>
        <v/>
      </c>
      <c r="F1418" s="21">
        <f>IF(AND($L1418="",$M1418="",$N1418=""),"",IF($N1418="","",IF(INDEX(LdCWit,$N1418)=0,"",INDEX(LdCWit,$N1418))))</f>
        <v/>
      </c>
      <c r="G1418" s="31">
        <f>IF($B1418="","",IF($G1417="",0,$G1417)+IF($E1418="",0,$E1418)-IF($F1418="",0,$F1418))</f>
        <v/>
      </c>
      <c r="H1418" s="32">
        <f>IF(AND($L1418="",$M1418="",$N1418=""),"",IF($L1418&lt;&gt;"",IF(INDEX(LdANote,$L1418)="","—",INDEX(LdANote,$L1418)),IF($M1418&lt;&gt;"",IF(INDEX(LdBNote,$M1418)="","—",INDEX(LdBNote,$M1418)),IF($N1418&lt;&gt;"",IF(INDEX(LdCNote,$N1418)="","—",INDEX(LdCNote,$N1418)),""))))</f>
        <v/>
      </c>
      <c r="L1418">
        <f>IFERROR(MATCH($C$5&amp;"|"&amp;RIGHT("000000"&amp;1402,6),LdAKeyM,0),"")</f>
        <v/>
      </c>
      <c r="M1418">
        <f>IFERROR(MATCH($C$5&amp;"|"&amp;RIGHT("000000"&amp;1402,6),LdBKeyM,0),"")</f>
        <v/>
      </c>
      <c r="N1418">
        <f>IFERROR(MATCH($C$5&amp;"|"&amp;RIGHT("000000"&amp;1402,6),LdCKeyM,0),"")</f>
        <v/>
      </c>
    </row>
    <row r="1419">
      <c r="A1419" s="10" t="n">
        <v>1403</v>
      </c>
      <c r="B1419" s="14">
        <f>IF(AND($L1419="",$M1419="",$N1419=""),"",IF($L1419&lt;&gt;"",INDEX(LdADate,$L1419),IF($M1419&lt;&gt;"",INDEX(LdBDate,$M1419),INDEX(LdCDate,$N1419))))</f>
        <v/>
      </c>
      <c r="C1419" s="14">
        <f>IF($L1419&lt;&gt;"","دستمزد (فردی)",IF($M1419&lt;&gt;"","سهم از گروه "&amp;IFERROR(VLOOKUP(INDEX(LdBGroup,$M1419),WGTbl,2,0),INDEX(LdBGroup,$M1419)),IF($N1419&lt;&gt;"",IF(N(INDEX(LdCDep,$N1419))&gt;0,"بازگشت بانکی","پرداخت بانکی"),"")))</f>
        <v/>
      </c>
      <c r="D1419" s="14">
        <f>IF($L1419&lt;&gt;"",IF(INDEX(LdAId,$L1419)="","—",INDEX(LdAId,$L1419)),IF($M1419&lt;&gt;"",IF(INDEX(LdBId,$M1419)="","—",INDEX(LdBId,$M1419)),IF($N1419&lt;&gt;"",IF(INDEX(LdCBank,$N1419)="","—",INDEX(LdCBank,$N1419)),"")))</f>
        <v/>
      </c>
      <c r="E1419" s="16">
        <f>IF($L1419&lt;&gt;"",IF(INDEX(LdAAmt,$L1419)=0,"",INDEX(LdAAmt,$L1419)),IF($M1419&lt;&gt;"",IF(INDEX(LdBAmt,$M1419)=0,"",INDEX(LdBAmt,$M1419)),IF($N1419&lt;&gt;"",IF(INDEX(LdCDep,$N1419)=0,"",INDEX(LdCDep,$N1419)),"")))</f>
        <v/>
      </c>
      <c r="F1419" s="16">
        <f>IF(AND($L1419="",$M1419="",$N1419=""),"",IF($N1419="","",IF(INDEX(LdCWit,$N1419)=0,"",INDEX(LdCWit,$N1419))))</f>
        <v/>
      </c>
      <c r="G1419" s="29">
        <f>IF($B1419="","",IF($G1418="",0,$G1418)+IF($E1419="",0,$E1419)-IF($F1419="",0,$F1419))</f>
        <v/>
      </c>
      <c r="H1419" s="30">
        <f>IF(AND($L1419="",$M1419="",$N1419=""),"",IF($L1419&lt;&gt;"",IF(INDEX(LdANote,$L1419)="","—",INDEX(LdANote,$L1419)),IF($M1419&lt;&gt;"",IF(INDEX(LdBNote,$M1419)="","—",INDEX(LdBNote,$M1419)),IF($N1419&lt;&gt;"",IF(INDEX(LdCNote,$N1419)="","—",INDEX(LdCNote,$N1419)),""))))</f>
        <v/>
      </c>
      <c r="L1419">
        <f>IFERROR(MATCH($C$5&amp;"|"&amp;RIGHT("000000"&amp;1403,6),LdAKeyM,0),"")</f>
        <v/>
      </c>
      <c r="M1419">
        <f>IFERROR(MATCH($C$5&amp;"|"&amp;RIGHT("000000"&amp;1403,6),LdBKeyM,0),"")</f>
        <v/>
      </c>
      <c r="N1419">
        <f>IFERROR(MATCH($C$5&amp;"|"&amp;RIGHT("000000"&amp;1403,6),LdCKeyM,0),"")</f>
        <v/>
      </c>
    </row>
    <row r="1420">
      <c r="A1420" s="19" t="n">
        <v>1404</v>
      </c>
      <c r="B1420" s="20">
        <f>IF(AND($L1420="",$M1420="",$N1420=""),"",IF($L1420&lt;&gt;"",INDEX(LdADate,$L1420),IF($M1420&lt;&gt;"",INDEX(LdBDate,$M1420),INDEX(LdCDate,$N1420))))</f>
        <v/>
      </c>
      <c r="C1420" s="20">
        <f>IF($L1420&lt;&gt;"","دستمزد (فردی)",IF($M1420&lt;&gt;"","سهم از گروه "&amp;IFERROR(VLOOKUP(INDEX(LdBGroup,$M1420),WGTbl,2,0),INDEX(LdBGroup,$M1420)),IF($N1420&lt;&gt;"",IF(N(INDEX(LdCDep,$N1420))&gt;0,"بازگشت بانکی","پرداخت بانکی"),"")))</f>
        <v/>
      </c>
      <c r="D1420" s="20">
        <f>IF($L1420&lt;&gt;"",IF(INDEX(LdAId,$L1420)="","—",INDEX(LdAId,$L1420)),IF($M1420&lt;&gt;"",IF(INDEX(LdBId,$M1420)="","—",INDEX(LdBId,$M1420)),IF($N1420&lt;&gt;"",IF(INDEX(LdCBank,$N1420)="","—",INDEX(LdCBank,$N1420)),"")))</f>
        <v/>
      </c>
      <c r="E1420" s="21">
        <f>IF($L1420&lt;&gt;"",IF(INDEX(LdAAmt,$L1420)=0,"",INDEX(LdAAmt,$L1420)),IF($M1420&lt;&gt;"",IF(INDEX(LdBAmt,$M1420)=0,"",INDEX(LdBAmt,$M1420)),IF($N1420&lt;&gt;"",IF(INDEX(LdCDep,$N1420)=0,"",INDEX(LdCDep,$N1420)),"")))</f>
        <v/>
      </c>
      <c r="F1420" s="21">
        <f>IF(AND($L1420="",$M1420="",$N1420=""),"",IF($N1420="","",IF(INDEX(LdCWit,$N1420)=0,"",INDEX(LdCWit,$N1420))))</f>
        <v/>
      </c>
      <c r="G1420" s="31">
        <f>IF($B1420="","",IF($G1419="",0,$G1419)+IF($E1420="",0,$E1420)-IF($F1420="",0,$F1420))</f>
        <v/>
      </c>
      <c r="H1420" s="32">
        <f>IF(AND($L1420="",$M1420="",$N1420=""),"",IF($L1420&lt;&gt;"",IF(INDEX(LdANote,$L1420)="","—",INDEX(LdANote,$L1420)),IF($M1420&lt;&gt;"",IF(INDEX(LdBNote,$M1420)="","—",INDEX(LdBNote,$M1420)),IF($N1420&lt;&gt;"",IF(INDEX(LdCNote,$N1420)="","—",INDEX(LdCNote,$N1420)),""))))</f>
        <v/>
      </c>
      <c r="L1420">
        <f>IFERROR(MATCH($C$5&amp;"|"&amp;RIGHT("000000"&amp;1404,6),LdAKeyM,0),"")</f>
        <v/>
      </c>
      <c r="M1420">
        <f>IFERROR(MATCH($C$5&amp;"|"&amp;RIGHT("000000"&amp;1404,6),LdBKeyM,0),"")</f>
        <v/>
      </c>
      <c r="N1420">
        <f>IFERROR(MATCH($C$5&amp;"|"&amp;RIGHT("000000"&amp;1404,6),LdCKeyM,0),"")</f>
        <v/>
      </c>
    </row>
    <row r="1421">
      <c r="A1421" s="10" t="n">
        <v>1405</v>
      </c>
      <c r="B1421" s="14">
        <f>IF(AND($L1421="",$M1421="",$N1421=""),"",IF($L1421&lt;&gt;"",INDEX(LdADate,$L1421),IF($M1421&lt;&gt;"",INDEX(LdBDate,$M1421),INDEX(LdCDate,$N1421))))</f>
        <v/>
      </c>
      <c r="C1421" s="14">
        <f>IF($L1421&lt;&gt;"","دستمزد (فردی)",IF($M1421&lt;&gt;"","سهم از گروه "&amp;IFERROR(VLOOKUP(INDEX(LdBGroup,$M1421),WGTbl,2,0),INDEX(LdBGroup,$M1421)),IF($N1421&lt;&gt;"",IF(N(INDEX(LdCDep,$N1421))&gt;0,"بازگشت بانکی","پرداخت بانکی"),"")))</f>
        <v/>
      </c>
      <c r="D1421" s="14">
        <f>IF($L1421&lt;&gt;"",IF(INDEX(LdAId,$L1421)="","—",INDEX(LdAId,$L1421)),IF($M1421&lt;&gt;"",IF(INDEX(LdBId,$M1421)="","—",INDEX(LdBId,$M1421)),IF($N1421&lt;&gt;"",IF(INDEX(LdCBank,$N1421)="","—",INDEX(LdCBank,$N1421)),"")))</f>
        <v/>
      </c>
      <c r="E1421" s="16">
        <f>IF($L1421&lt;&gt;"",IF(INDEX(LdAAmt,$L1421)=0,"",INDEX(LdAAmt,$L1421)),IF($M1421&lt;&gt;"",IF(INDEX(LdBAmt,$M1421)=0,"",INDEX(LdBAmt,$M1421)),IF($N1421&lt;&gt;"",IF(INDEX(LdCDep,$N1421)=0,"",INDEX(LdCDep,$N1421)),"")))</f>
        <v/>
      </c>
      <c r="F1421" s="16">
        <f>IF(AND($L1421="",$M1421="",$N1421=""),"",IF($N1421="","",IF(INDEX(LdCWit,$N1421)=0,"",INDEX(LdCWit,$N1421))))</f>
        <v/>
      </c>
      <c r="G1421" s="29">
        <f>IF($B1421="","",IF($G1420="",0,$G1420)+IF($E1421="",0,$E1421)-IF($F1421="",0,$F1421))</f>
        <v/>
      </c>
      <c r="H1421" s="30">
        <f>IF(AND($L1421="",$M1421="",$N1421=""),"",IF($L1421&lt;&gt;"",IF(INDEX(LdANote,$L1421)="","—",INDEX(LdANote,$L1421)),IF($M1421&lt;&gt;"",IF(INDEX(LdBNote,$M1421)="","—",INDEX(LdBNote,$M1421)),IF($N1421&lt;&gt;"",IF(INDEX(LdCNote,$N1421)="","—",INDEX(LdCNote,$N1421)),""))))</f>
        <v/>
      </c>
      <c r="L1421">
        <f>IFERROR(MATCH($C$5&amp;"|"&amp;RIGHT("000000"&amp;1405,6),LdAKeyM,0),"")</f>
        <v/>
      </c>
      <c r="M1421">
        <f>IFERROR(MATCH($C$5&amp;"|"&amp;RIGHT("000000"&amp;1405,6),LdBKeyM,0),"")</f>
        <v/>
      </c>
      <c r="N1421">
        <f>IFERROR(MATCH($C$5&amp;"|"&amp;RIGHT("000000"&amp;1405,6),LdCKeyM,0),"")</f>
        <v/>
      </c>
    </row>
    <row r="1422">
      <c r="A1422" s="19" t="n">
        <v>1406</v>
      </c>
      <c r="B1422" s="20">
        <f>IF(AND($L1422="",$M1422="",$N1422=""),"",IF($L1422&lt;&gt;"",INDEX(LdADate,$L1422),IF($M1422&lt;&gt;"",INDEX(LdBDate,$M1422),INDEX(LdCDate,$N1422))))</f>
        <v/>
      </c>
      <c r="C1422" s="20">
        <f>IF($L1422&lt;&gt;"","دستمزد (فردی)",IF($M1422&lt;&gt;"","سهم از گروه "&amp;IFERROR(VLOOKUP(INDEX(LdBGroup,$M1422),WGTbl,2,0),INDEX(LdBGroup,$M1422)),IF($N1422&lt;&gt;"",IF(N(INDEX(LdCDep,$N1422))&gt;0,"بازگشت بانکی","پرداخت بانکی"),"")))</f>
        <v/>
      </c>
      <c r="D1422" s="20">
        <f>IF($L1422&lt;&gt;"",IF(INDEX(LdAId,$L1422)="","—",INDEX(LdAId,$L1422)),IF($M1422&lt;&gt;"",IF(INDEX(LdBId,$M1422)="","—",INDEX(LdBId,$M1422)),IF($N1422&lt;&gt;"",IF(INDEX(LdCBank,$N1422)="","—",INDEX(LdCBank,$N1422)),"")))</f>
        <v/>
      </c>
      <c r="E1422" s="21">
        <f>IF($L1422&lt;&gt;"",IF(INDEX(LdAAmt,$L1422)=0,"",INDEX(LdAAmt,$L1422)),IF($M1422&lt;&gt;"",IF(INDEX(LdBAmt,$M1422)=0,"",INDEX(LdBAmt,$M1422)),IF($N1422&lt;&gt;"",IF(INDEX(LdCDep,$N1422)=0,"",INDEX(LdCDep,$N1422)),"")))</f>
        <v/>
      </c>
      <c r="F1422" s="21">
        <f>IF(AND($L1422="",$M1422="",$N1422=""),"",IF($N1422="","",IF(INDEX(LdCWit,$N1422)=0,"",INDEX(LdCWit,$N1422))))</f>
        <v/>
      </c>
      <c r="G1422" s="31">
        <f>IF($B1422="","",IF($G1421="",0,$G1421)+IF($E1422="",0,$E1422)-IF($F1422="",0,$F1422))</f>
        <v/>
      </c>
      <c r="H1422" s="32">
        <f>IF(AND($L1422="",$M1422="",$N1422=""),"",IF($L1422&lt;&gt;"",IF(INDEX(LdANote,$L1422)="","—",INDEX(LdANote,$L1422)),IF($M1422&lt;&gt;"",IF(INDEX(LdBNote,$M1422)="","—",INDEX(LdBNote,$M1422)),IF($N1422&lt;&gt;"",IF(INDEX(LdCNote,$N1422)="","—",INDEX(LdCNote,$N1422)),""))))</f>
        <v/>
      </c>
      <c r="L1422">
        <f>IFERROR(MATCH($C$5&amp;"|"&amp;RIGHT("000000"&amp;1406,6),LdAKeyM,0),"")</f>
        <v/>
      </c>
      <c r="M1422">
        <f>IFERROR(MATCH($C$5&amp;"|"&amp;RIGHT("000000"&amp;1406,6),LdBKeyM,0),"")</f>
        <v/>
      </c>
      <c r="N1422">
        <f>IFERROR(MATCH($C$5&amp;"|"&amp;RIGHT("000000"&amp;1406,6),LdCKeyM,0),"")</f>
        <v/>
      </c>
    </row>
    <row r="1423">
      <c r="A1423" s="10" t="n">
        <v>1407</v>
      </c>
      <c r="B1423" s="14">
        <f>IF(AND($L1423="",$M1423="",$N1423=""),"",IF($L1423&lt;&gt;"",INDEX(LdADate,$L1423),IF($M1423&lt;&gt;"",INDEX(LdBDate,$M1423),INDEX(LdCDate,$N1423))))</f>
        <v/>
      </c>
      <c r="C1423" s="14">
        <f>IF($L1423&lt;&gt;"","دستمزد (فردی)",IF($M1423&lt;&gt;"","سهم از گروه "&amp;IFERROR(VLOOKUP(INDEX(LdBGroup,$M1423),WGTbl,2,0),INDEX(LdBGroup,$M1423)),IF($N1423&lt;&gt;"",IF(N(INDEX(LdCDep,$N1423))&gt;0,"بازگشت بانکی","پرداخت بانکی"),"")))</f>
        <v/>
      </c>
      <c r="D1423" s="14">
        <f>IF($L1423&lt;&gt;"",IF(INDEX(LdAId,$L1423)="","—",INDEX(LdAId,$L1423)),IF($M1423&lt;&gt;"",IF(INDEX(LdBId,$M1423)="","—",INDEX(LdBId,$M1423)),IF($N1423&lt;&gt;"",IF(INDEX(LdCBank,$N1423)="","—",INDEX(LdCBank,$N1423)),"")))</f>
        <v/>
      </c>
      <c r="E1423" s="16">
        <f>IF($L1423&lt;&gt;"",IF(INDEX(LdAAmt,$L1423)=0,"",INDEX(LdAAmt,$L1423)),IF($M1423&lt;&gt;"",IF(INDEX(LdBAmt,$M1423)=0,"",INDEX(LdBAmt,$M1423)),IF($N1423&lt;&gt;"",IF(INDEX(LdCDep,$N1423)=0,"",INDEX(LdCDep,$N1423)),"")))</f>
        <v/>
      </c>
      <c r="F1423" s="16">
        <f>IF(AND($L1423="",$M1423="",$N1423=""),"",IF($N1423="","",IF(INDEX(LdCWit,$N1423)=0,"",INDEX(LdCWit,$N1423))))</f>
        <v/>
      </c>
      <c r="G1423" s="29">
        <f>IF($B1423="","",IF($G1422="",0,$G1422)+IF($E1423="",0,$E1423)-IF($F1423="",0,$F1423))</f>
        <v/>
      </c>
      <c r="H1423" s="30">
        <f>IF(AND($L1423="",$M1423="",$N1423=""),"",IF($L1423&lt;&gt;"",IF(INDEX(LdANote,$L1423)="","—",INDEX(LdANote,$L1423)),IF($M1423&lt;&gt;"",IF(INDEX(LdBNote,$M1423)="","—",INDEX(LdBNote,$M1423)),IF($N1423&lt;&gt;"",IF(INDEX(LdCNote,$N1423)="","—",INDEX(LdCNote,$N1423)),""))))</f>
        <v/>
      </c>
      <c r="L1423">
        <f>IFERROR(MATCH($C$5&amp;"|"&amp;RIGHT("000000"&amp;1407,6),LdAKeyM,0),"")</f>
        <v/>
      </c>
      <c r="M1423">
        <f>IFERROR(MATCH($C$5&amp;"|"&amp;RIGHT("000000"&amp;1407,6),LdBKeyM,0),"")</f>
        <v/>
      </c>
      <c r="N1423">
        <f>IFERROR(MATCH($C$5&amp;"|"&amp;RIGHT("000000"&amp;1407,6),LdCKeyM,0),"")</f>
        <v/>
      </c>
    </row>
    <row r="1424">
      <c r="A1424" s="19" t="n">
        <v>1408</v>
      </c>
      <c r="B1424" s="20">
        <f>IF(AND($L1424="",$M1424="",$N1424=""),"",IF($L1424&lt;&gt;"",INDEX(LdADate,$L1424),IF($M1424&lt;&gt;"",INDEX(LdBDate,$M1424),INDEX(LdCDate,$N1424))))</f>
        <v/>
      </c>
      <c r="C1424" s="20">
        <f>IF($L1424&lt;&gt;"","دستمزد (فردی)",IF($M1424&lt;&gt;"","سهم از گروه "&amp;IFERROR(VLOOKUP(INDEX(LdBGroup,$M1424),WGTbl,2,0),INDEX(LdBGroup,$M1424)),IF($N1424&lt;&gt;"",IF(N(INDEX(LdCDep,$N1424))&gt;0,"بازگشت بانکی","پرداخت بانکی"),"")))</f>
        <v/>
      </c>
      <c r="D1424" s="20">
        <f>IF($L1424&lt;&gt;"",IF(INDEX(LdAId,$L1424)="","—",INDEX(LdAId,$L1424)),IF($M1424&lt;&gt;"",IF(INDEX(LdBId,$M1424)="","—",INDEX(LdBId,$M1424)),IF($N1424&lt;&gt;"",IF(INDEX(LdCBank,$N1424)="","—",INDEX(LdCBank,$N1424)),"")))</f>
        <v/>
      </c>
      <c r="E1424" s="21">
        <f>IF($L1424&lt;&gt;"",IF(INDEX(LdAAmt,$L1424)=0,"",INDEX(LdAAmt,$L1424)),IF($M1424&lt;&gt;"",IF(INDEX(LdBAmt,$M1424)=0,"",INDEX(LdBAmt,$M1424)),IF($N1424&lt;&gt;"",IF(INDEX(LdCDep,$N1424)=0,"",INDEX(LdCDep,$N1424)),"")))</f>
        <v/>
      </c>
      <c r="F1424" s="21">
        <f>IF(AND($L1424="",$M1424="",$N1424=""),"",IF($N1424="","",IF(INDEX(LdCWit,$N1424)=0,"",INDEX(LdCWit,$N1424))))</f>
        <v/>
      </c>
      <c r="G1424" s="31">
        <f>IF($B1424="","",IF($G1423="",0,$G1423)+IF($E1424="",0,$E1424)-IF($F1424="",0,$F1424))</f>
        <v/>
      </c>
      <c r="H1424" s="32">
        <f>IF(AND($L1424="",$M1424="",$N1424=""),"",IF($L1424&lt;&gt;"",IF(INDEX(LdANote,$L1424)="","—",INDEX(LdANote,$L1424)),IF($M1424&lt;&gt;"",IF(INDEX(LdBNote,$M1424)="","—",INDEX(LdBNote,$M1424)),IF($N1424&lt;&gt;"",IF(INDEX(LdCNote,$N1424)="","—",INDEX(LdCNote,$N1424)),""))))</f>
        <v/>
      </c>
      <c r="L1424">
        <f>IFERROR(MATCH($C$5&amp;"|"&amp;RIGHT("000000"&amp;1408,6),LdAKeyM,0),"")</f>
        <v/>
      </c>
      <c r="M1424">
        <f>IFERROR(MATCH($C$5&amp;"|"&amp;RIGHT("000000"&amp;1408,6),LdBKeyM,0),"")</f>
        <v/>
      </c>
      <c r="N1424">
        <f>IFERROR(MATCH($C$5&amp;"|"&amp;RIGHT("000000"&amp;1408,6),LdCKeyM,0),"")</f>
        <v/>
      </c>
    </row>
    <row r="1425">
      <c r="A1425" s="10" t="n">
        <v>1409</v>
      </c>
      <c r="B1425" s="14">
        <f>IF(AND($L1425="",$M1425="",$N1425=""),"",IF($L1425&lt;&gt;"",INDEX(LdADate,$L1425),IF($M1425&lt;&gt;"",INDEX(LdBDate,$M1425),INDEX(LdCDate,$N1425))))</f>
        <v/>
      </c>
      <c r="C1425" s="14">
        <f>IF($L1425&lt;&gt;"","دستمزد (فردی)",IF($M1425&lt;&gt;"","سهم از گروه "&amp;IFERROR(VLOOKUP(INDEX(LdBGroup,$M1425),WGTbl,2,0),INDEX(LdBGroup,$M1425)),IF($N1425&lt;&gt;"",IF(N(INDEX(LdCDep,$N1425))&gt;0,"بازگشت بانکی","پرداخت بانکی"),"")))</f>
        <v/>
      </c>
      <c r="D1425" s="14">
        <f>IF($L1425&lt;&gt;"",IF(INDEX(LdAId,$L1425)="","—",INDEX(LdAId,$L1425)),IF($M1425&lt;&gt;"",IF(INDEX(LdBId,$M1425)="","—",INDEX(LdBId,$M1425)),IF($N1425&lt;&gt;"",IF(INDEX(LdCBank,$N1425)="","—",INDEX(LdCBank,$N1425)),"")))</f>
        <v/>
      </c>
      <c r="E1425" s="16">
        <f>IF($L1425&lt;&gt;"",IF(INDEX(LdAAmt,$L1425)=0,"",INDEX(LdAAmt,$L1425)),IF($M1425&lt;&gt;"",IF(INDEX(LdBAmt,$M1425)=0,"",INDEX(LdBAmt,$M1425)),IF($N1425&lt;&gt;"",IF(INDEX(LdCDep,$N1425)=0,"",INDEX(LdCDep,$N1425)),"")))</f>
        <v/>
      </c>
      <c r="F1425" s="16">
        <f>IF(AND($L1425="",$M1425="",$N1425=""),"",IF($N1425="","",IF(INDEX(LdCWit,$N1425)=0,"",INDEX(LdCWit,$N1425))))</f>
        <v/>
      </c>
      <c r="G1425" s="29">
        <f>IF($B1425="","",IF($G1424="",0,$G1424)+IF($E1425="",0,$E1425)-IF($F1425="",0,$F1425))</f>
        <v/>
      </c>
      <c r="H1425" s="30">
        <f>IF(AND($L1425="",$M1425="",$N1425=""),"",IF($L1425&lt;&gt;"",IF(INDEX(LdANote,$L1425)="","—",INDEX(LdANote,$L1425)),IF($M1425&lt;&gt;"",IF(INDEX(LdBNote,$M1425)="","—",INDEX(LdBNote,$M1425)),IF($N1425&lt;&gt;"",IF(INDEX(LdCNote,$N1425)="","—",INDEX(LdCNote,$N1425)),""))))</f>
        <v/>
      </c>
      <c r="L1425">
        <f>IFERROR(MATCH($C$5&amp;"|"&amp;RIGHT("000000"&amp;1409,6),LdAKeyM,0),"")</f>
        <v/>
      </c>
      <c r="M1425">
        <f>IFERROR(MATCH($C$5&amp;"|"&amp;RIGHT("000000"&amp;1409,6),LdBKeyM,0),"")</f>
        <v/>
      </c>
      <c r="N1425">
        <f>IFERROR(MATCH($C$5&amp;"|"&amp;RIGHT("000000"&amp;1409,6),LdCKeyM,0),"")</f>
        <v/>
      </c>
    </row>
    <row r="1426">
      <c r="A1426" s="19" t="n">
        <v>1410</v>
      </c>
      <c r="B1426" s="20">
        <f>IF(AND($L1426="",$M1426="",$N1426=""),"",IF($L1426&lt;&gt;"",INDEX(LdADate,$L1426),IF($M1426&lt;&gt;"",INDEX(LdBDate,$M1426),INDEX(LdCDate,$N1426))))</f>
        <v/>
      </c>
      <c r="C1426" s="20">
        <f>IF($L1426&lt;&gt;"","دستمزد (فردی)",IF($M1426&lt;&gt;"","سهم از گروه "&amp;IFERROR(VLOOKUP(INDEX(LdBGroup,$M1426),WGTbl,2,0),INDEX(LdBGroup,$M1426)),IF($N1426&lt;&gt;"",IF(N(INDEX(LdCDep,$N1426))&gt;0,"بازگشت بانکی","پرداخت بانکی"),"")))</f>
        <v/>
      </c>
      <c r="D1426" s="20">
        <f>IF($L1426&lt;&gt;"",IF(INDEX(LdAId,$L1426)="","—",INDEX(LdAId,$L1426)),IF($M1426&lt;&gt;"",IF(INDEX(LdBId,$M1426)="","—",INDEX(LdBId,$M1426)),IF($N1426&lt;&gt;"",IF(INDEX(LdCBank,$N1426)="","—",INDEX(LdCBank,$N1426)),"")))</f>
        <v/>
      </c>
      <c r="E1426" s="21">
        <f>IF($L1426&lt;&gt;"",IF(INDEX(LdAAmt,$L1426)=0,"",INDEX(LdAAmt,$L1426)),IF($M1426&lt;&gt;"",IF(INDEX(LdBAmt,$M1426)=0,"",INDEX(LdBAmt,$M1426)),IF($N1426&lt;&gt;"",IF(INDEX(LdCDep,$N1426)=0,"",INDEX(LdCDep,$N1426)),"")))</f>
        <v/>
      </c>
      <c r="F1426" s="21">
        <f>IF(AND($L1426="",$M1426="",$N1426=""),"",IF($N1426="","",IF(INDEX(LdCWit,$N1426)=0,"",INDEX(LdCWit,$N1426))))</f>
        <v/>
      </c>
      <c r="G1426" s="31">
        <f>IF($B1426="","",IF($G1425="",0,$G1425)+IF($E1426="",0,$E1426)-IF($F1426="",0,$F1426))</f>
        <v/>
      </c>
      <c r="H1426" s="32">
        <f>IF(AND($L1426="",$M1426="",$N1426=""),"",IF($L1426&lt;&gt;"",IF(INDEX(LdANote,$L1426)="","—",INDEX(LdANote,$L1426)),IF($M1426&lt;&gt;"",IF(INDEX(LdBNote,$M1426)="","—",INDEX(LdBNote,$M1426)),IF($N1426&lt;&gt;"",IF(INDEX(LdCNote,$N1426)="","—",INDEX(LdCNote,$N1426)),""))))</f>
        <v/>
      </c>
      <c r="L1426">
        <f>IFERROR(MATCH($C$5&amp;"|"&amp;RIGHT("000000"&amp;1410,6),LdAKeyM,0),"")</f>
        <v/>
      </c>
      <c r="M1426">
        <f>IFERROR(MATCH($C$5&amp;"|"&amp;RIGHT("000000"&amp;1410,6),LdBKeyM,0),"")</f>
        <v/>
      </c>
      <c r="N1426">
        <f>IFERROR(MATCH($C$5&amp;"|"&amp;RIGHT("000000"&amp;1410,6),LdCKeyM,0),"")</f>
        <v/>
      </c>
    </row>
    <row r="1427">
      <c r="A1427" s="10" t="n">
        <v>1411</v>
      </c>
      <c r="B1427" s="14">
        <f>IF(AND($L1427="",$M1427="",$N1427=""),"",IF($L1427&lt;&gt;"",INDEX(LdADate,$L1427),IF($M1427&lt;&gt;"",INDEX(LdBDate,$M1427),INDEX(LdCDate,$N1427))))</f>
        <v/>
      </c>
      <c r="C1427" s="14">
        <f>IF($L1427&lt;&gt;"","دستمزد (فردی)",IF($M1427&lt;&gt;"","سهم از گروه "&amp;IFERROR(VLOOKUP(INDEX(LdBGroup,$M1427),WGTbl,2,0),INDEX(LdBGroup,$M1427)),IF($N1427&lt;&gt;"",IF(N(INDEX(LdCDep,$N1427))&gt;0,"بازگشت بانکی","پرداخت بانکی"),"")))</f>
        <v/>
      </c>
      <c r="D1427" s="14">
        <f>IF($L1427&lt;&gt;"",IF(INDEX(LdAId,$L1427)="","—",INDEX(LdAId,$L1427)),IF($M1427&lt;&gt;"",IF(INDEX(LdBId,$M1427)="","—",INDEX(LdBId,$M1427)),IF($N1427&lt;&gt;"",IF(INDEX(LdCBank,$N1427)="","—",INDEX(LdCBank,$N1427)),"")))</f>
        <v/>
      </c>
      <c r="E1427" s="16">
        <f>IF($L1427&lt;&gt;"",IF(INDEX(LdAAmt,$L1427)=0,"",INDEX(LdAAmt,$L1427)),IF($M1427&lt;&gt;"",IF(INDEX(LdBAmt,$M1427)=0,"",INDEX(LdBAmt,$M1427)),IF($N1427&lt;&gt;"",IF(INDEX(LdCDep,$N1427)=0,"",INDEX(LdCDep,$N1427)),"")))</f>
        <v/>
      </c>
      <c r="F1427" s="16">
        <f>IF(AND($L1427="",$M1427="",$N1427=""),"",IF($N1427="","",IF(INDEX(LdCWit,$N1427)=0,"",INDEX(LdCWit,$N1427))))</f>
        <v/>
      </c>
      <c r="G1427" s="29">
        <f>IF($B1427="","",IF($G1426="",0,$G1426)+IF($E1427="",0,$E1427)-IF($F1427="",0,$F1427))</f>
        <v/>
      </c>
      <c r="H1427" s="30">
        <f>IF(AND($L1427="",$M1427="",$N1427=""),"",IF($L1427&lt;&gt;"",IF(INDEX(LdANote,$L1427)="","—",INDEX(LdANote,$L1427)),IF($M1427&lt;&gt;"",IF(INDEX(LdBNote,$M1427)="","—",INDEX(LdBNote,$M1427)),IF($N1427&lt;&gt;"",IF(INDEX(LdCNote,$N1427)="","—",INDEX(LdCNote,$N1427)),""))))</f>
        <v/>
      </c>
      <c r="L1427">
        <f>IFERROR(MATCH($C$5&amp;"|"&amp;RIGHT("000000"&amp;1411,6),LdAKeyM,0),"")</f>
        <v/>
      </c>
      <c r="M1427">
        <f>IFERROR(MATCH($C$5&amp;"|"&amp;RIGHT("000000"&amp;1411,6),LdBKeyM,0),"")</f>
        <v/>
      </c>
      <c r="N1427">
        <f>IFERROR(MATCH($C$5&amp;"|"&amp;RIGHT("000000"&amp;1411,6),LdCKeyM,0),"")</f>
        <v/>
      </c>
    </row>
    <row r="1428">
      <c r="A1428" s="19" t="n">
        <v>1412</v>
      </c>
      <c r="B1428" s="20">
        <f>IF(AND($L1428="",$M1428="",$N1428=""),"",IF($L1428&lt;&gt;"",INDEX(LdADate,$L1428),IF($M1428&lt;&gt;"",INDEX(LdBDate,$M1428),INDEX(LdCDate,$N1428))))</f>
        <v/>
      </c>
      <c r="C1428" s="20">
        <f>IF($L1428&lt;&gt;"","دستمزد (فردی)",IF($M1428&lt;&gt;"","سهم از گروه "&amp;IFERROR(VLOOKUP(INDEX(LdBGroup,$M1428),WGTbl,2,0),INDEX(LdBGroup,$M1428)),IF($N1428&lt;&gt;"",IF(N(INDEX(LdCDep,$N1428))&gt;0,"بازگشت بانکی","پرداخت بانکی"),"")))</f>
        <v/>
      </c>
      <c r="D1428" s="20">
        <f>IF($L1428&lt;&gt;"",IF(INDEX(LdAId,$L1428)="","—",INDEX(LdAId,$L1428)),IF($M1428&lt;&gt;"",IF(INDEX(LdBId,$M1428)="","—",INDEX(LdBId,$M1428)),IF($N1428&lt;&gt;"",IF(INDEX(LdCBank,$N1428)="","—",INDEX(LdCBank,$N1428)),"")))</f>
        <v/>
      </c>
      <c r="E1428" s="21">
        <f>IF($L1428&lt;&gt;"",IF(INDEX(LdAAmt,$L1428)=0,"",INDEX(LdAAmt,$L1428)),IF($M1428&lt;&gt;"",IF(INDEX(LdBAmt,$M1428)=0,"",INDEX(LdBAmt,$M1428)),IF($N1428&lt;&gt;"",IF(INDEX(LdCDep,$N1428)=0,"",INDEX(LdCDep,$N1428)),"")))</f>
        <v/>
      </c>
      <c r="F1428" s="21">
        <f>IF(AND($L1428="",$M1428="",$N1428=""),"",IF($N1428="","",IF(INDEX(LdCWit,$N1428)=0,"",INDEX(LdCWit,$N1428))))</f>
        <v/>
      </c>
      <c r="G1428" s="31">
        <f>IF($B1428="","",IF($G1427="",0,$G1427)+IF($E1428="",0,$E1428)-IF($F1428="",0,$F1428))</f>
        <v/>
      </c>
      <c r="H1428" s="32">
        <f>IF(AND($L1428="",$M1428="",$N1428=""),"",IF($L1428&lt;&gt;"",IF(INDEX(LdANote,$L1428)="","—",INDEX(LdANote,$L1428)),IF($M1428&lt;&gt;"",IF(INDEX(LdBNote,$M1428)="","—",INDEX(LdBNote,$M1428)),IF($N1428&lt;&gt;"",IF(INDEX(LdCNote,$N1428)="","—",INDEX(LdCNote,$N1428)),""))))</f>
        <v/>
      </c>
      <c r="L1428">
        <f>IFERROR(MATCH($C$5&amp;"|"&amp;RIGHT("000000"&amp;1412,6),LdAKeyM,0),"")</f>
        <v/>
      </c>
      <c r="M1428">
        <f>IFERROR(MATCH($C$5&amp;"|"&amp;RIGHT("000000"&amp;1412,6),LdBKeyM,0),"")</f>
        <v/>
      </c>
      <c r="N1428">
        <f>IFERROR(MATCH($C$5&amp;"|"&amp;RIGHT("000000"&amp;1412,6),LdCKeyM,0),"")</f>
        <v/>
      </c>
    </row>
    <row r="1429">
      <c r="A1429" s="10" t="n">
        <v>1413</v>
      </c>
      <c r="B1429" s="14">
        <f>IF(AND($L1429="",$M1429="",$N1429=""),"",IF($L1429&lt;&gt;"",INDEX(LdADate,$L1429),IF($M1429&lt;&gt;"",INDEX(LdBDate,$M1429),INDEX(LdCDate,$N1429))))</f>
        <v/>
      </c>
      <c r="C1429" s="14">
        <f>IF($L1429&lt;&gt;"","دستمزد (فردی)",IF($M1429&lt;&gt;"","سهم از گروه "&amp;IFERROR(VLOOKUP(INDEX(LdBGroup,$M1429),WGTbl,2,0),INDEX(LdBGroup,$M1429)),IF($N1429&lt;&gt;"",IF(N(INDEX(LdCDep,$N1429))&gt;0,"بازگشت بانکی","پرداخت بانکی"),"")))</f>
        <v/>
      </c>
      <c r="D1429" s="14">
        <f>IF($L1429&lt;&gt;"",IF(INDEX(LdAId,$L1429)="","—",INDEX(LdAId,$L1429)),IF($M1429&lt;&gt;"",IF(INDEX(LdBId,$M1429)="","—",INDEX(LdBId,$M1429)),IF($N1429&lt;&gt;"",IF(INDEX(LdCBank,$N1429)="","—",INDEX(LdCBank,$N1429)),"")))</f>
        <v/>
      </c>
      <c r="E1429" s="16">
        <f>IF($L1429&lt;&gt;"",IF(INDEX(LdAAmt,$L1429)=0,"",INDEX(LdAAmt,$L1429)),IF($M1429&lt;&gt;"",IF(INDEX(LdBAmt,$M1429)=0,"",INDEX(LdBAmt,$M1429)),IF($N1429&lt;&gt;"",IF(INDEX(LdCDep,$N1429)=0,"",INDEX(LdCDep,$N1429)),"")))</f>
        <v/>
      </c>
      <c r="F1429" s="16">
        <f>IF(AND($L1429="",$M1429="",$N1429=""),"",IF($N1429="","",IF(INDEX(LdCWit,$N1429)=0,"",INDEX(LdCWit,$N1429))))</f>
        <v/>
      </c>
      <c r="G1429" s="29">
        <f>IF($B1429="","",IF($G1428="",0,$G1428)+IF($E1429="",0,$E1429)-IF($F1429="",0,$F1429))</f>
        <v/>
      </c>
      <c r="H1429" s="30">
        <f>IF(AND($L1429="",$M1429="",$N1429=""),"",IF($L1429&lt;&gt;"",IF(INDEX(LdANote,$L1429)="","—",INDEX(LdANote,$L1429)),IF($M1429&lt;&gt;"",IF(INDEX(LdBNote,$M1429)="","—",INDEX(LdBNote,$M1429)),IF($N1429&lt;&gt;"",IF(INDEX(LdCNote,$N1429)="","—",INDEX(LdCNote,$N1429)),""))))</f>
        <v/>
      </c>
      <c r="L1429">
        <f>IFERROR(MATCH($C$5&amp;"|"&amp;RIGHT("000000"&amp;1413,6),LdAKeyM,0),"")</f>
        <v/>
      </c>
      <c r="M1429">
        <f>IFERROR(MATCH($C$5&amp;"|"&amp;RIGHT("000000"&amp;1413,6),LdBKeyM,0),"")</f>
        <v/>
      </c>
      <c r="N1429">
        <f>IFERROR(MATCH($C$5&amp;"|"&amp;RIGHT("000000"&amp;1413,6),LdCKeyM,0),"")</f>
        <v/>
      </c>
    </row>
    <row r="1430">
      <c r="A1430" s="19" t="n">
        <v>1414</v>
      </c>
      <c r="B1430" s="20">
        <f>IF(AND($L1430="",$M1430="",$N1430=""),"",IF($L1430&lt;&gt;"",INDEX(LdADate,$L1430),IF($M1430&lt;&gt;"",INDEX(LdBDate,$M1430),INDEX(LdCDate,$N1430))))</f>
        <v/>
      </c>
      <c r="C1430" s="20">
        <f>IF($L1430&lt;&gt;"","دستمزد (فردی)",IF($M1430&lt;&gt;"","سهم از گروه "&amp;IFERROR(VLOOKUP(INDEX(LdBGroup,$M1430),WGTbl,2,0),INDEX(LdBGroup,$M1430)),IF($N1430&lt;&gt;"",IF(N(INDEX(LdCDep,$N1430))&gt;0,"بازگشت بانکی","پرداخت بانکی"),"")))</f>
        <v/>
      </c>
      <c r="D1430" s="20">
        <f>IF($L1430&lt;&gt;"",IF(INDEX(LdAId,$L1430)="","—",INDEX(LdAId,$L1430)),IF($M1430&lt;&gt;"",IF(INDEX(LdBId,$M1430)="","—",INDEX(LdBId,$M1430)),IF($N1430&lt;&gt;"",IF(INDEX(LdCBank,$N1430)="","—",INDEX(LdCBank,$N1430)),"")))</f>
        <v/>
      </c>
      <c r="E1430" s="21">
        <f>IF($L1430&lt;&gt;"",IF(INDEX(LdAAmt,$L1430)=0,"",INDEX(LdAAmt,$L1430)),IF($M1430&lt;&gt;"",IF(INDEX(LdBAmt,$M1430)=0,"",INDEX(LdBAmt,$M1430)),IF($N1430&lt;&gt;"",IF(INDEX(LdCDep,$N1430)=0,"",INDEX(LdCDep,$N1430)),"")))</f>
        <v/>
      </c>
      <c r="F1430" s="21">
        <f>IF(AND($L1430="",$M1430="",$N1430=""),"",IF($N1430="","",IF(INDEX(LdCWit,$N1430)=0,"",INDEX(LdCWit,$N1430))))</f>
        <v/>
      </c>
      <c r="G1430" s="31">
        <f>IF($B1430="","",IF($G1429="",0,$G1429)+IF($E1430="",0,$E1430)-IF($F1430="",0,$F1430))</f>
        <v/>
      </c>
      <c r="H1430" s="32">
        <f>IF(AND($L1430="",$M1430="",$N1430=""),"",IF($L1430&lt;&gt;"",IF(INDEX(LdANote,$L1430)="","—",INDEX(LdANote,$L1430)),IF($M1430&lt;&gt;"",IF(INDEX(LdBNote,$M1430)="","—",INDEX(LdBNote,$M1430)),IF($N1430&lt;&gt;"",IF(INDEX(LdCNote,$N1430)="","—",INDEX(LdCNote,$N1430)),""))))</f>
        <v/>
      </c>
      <c r="L1430">
        <f>IFERROR(MATCH($C$5&amp;"|"&amp;RIGHT("000000"&amp;1414,6),LdAKeyM,0),"")</f>
        <v/>
      </c>
      <c r="M1430">
        <f>IFERROR(MATCH($C$5&amp;"|"&amp;RIGHT("000000"&amp;1414,6),LdBKeyM,0),"")</f>
        <v/>
      </c>
      <c r="N1430">
        <f>IFERROR(MATCH($C$5&amp;"|"&amp;RIGHT("000000"&amp;1414,6),LdCKeyM,0),"")</f>
        <v/>
      </c>
    </row>
    <row r="1431">
      <c r="A1431" s="10" t="n">
        <v>1415</v>
      </c>
      <c r="B1431" s="14">
        <f>IF(AND($L1431="",$M1431="",$N1431=""),"",IF($L1431&lt;&gt;"",INDEX(LdADate,$L1431),IF($M1431&lt;&gt;"",INDEX(LdBDate,$M1431),INDEX(LdCDate,$N1431))))</f>
        <v/>
      </c>
      <c r="C1431" s="14">
        <f>IF($L1431&lt;&gt;"","دستمزد (فردی)",IF($M1431&lt;&gt;"","سهم از گروه "&amp;IFERROR(VLOOKUP(INDEX(LdBGroup,$M1431),WGTbl,2,0),INDEX(LdBGroup,$M1431)),IF($N1431&lt;&gt;"",IF(N(INDEX(LdCDep,$N1431))&gt;0,"بازگشت بانکی","پرداخت بانکی"),"")))</f>
        <v/>
      </c>
      <c r="D1431" s="14">
        <f>IF($L1431&lt;&gt;"",IF(INDEX(LdAId,$L1431)="","—",INDEX(LdAId,$L1431)),IF($M1431&lt;&gt;"",IF(INDEX(LdBId,$M1431)="","—",INDEX(LdBId,$M1431)),IF($N1431&lt;&gt;"",IF(INDEX(LdCBank,$N1431)="","—",INDEX(LdCBank,$N1431)),"")))</f>
        <v/>
      </c>
      <c r="E1431" s="16">
        <f>IF($L1431&lt;&gt;"",IF(INDEX(LdAAmt,$L1431)=0,"",INDEX(LdAAmt,$L1431)),IF($M1431&lt;&gt;"",IF(INDEX(LdBAmt,$M1431)=0,"",INDEX(LdBAmt,$M1431)),IF($N1431&lt;&gt;"",IF(INDEX(LdCDep,$N1431)=0,"",INDEX(LdCDep,$N1431)),"")))</f>
        <v/>
      </c>
      <c r="F1431" s="16">
        <f>IF(AND($L1431="",$M1431="",$N1431=""),"",IF($N1431="","",IF(INDEX(LdCWit,$N1431)=0,"",INDEX(LdCWit,$N1431))))</f>
        <v/>
      </c>
      <c r="G1431" s="29">
        <f>IF($B1431="","",IF($G1430="",0,$G1430)+IF($E1431="",0,$E1431)-IF($F1431="",0,$F1431))</f>
        <v/>
      </c>
      <c r="H1431" s="30">
        <f>IF(AND($L1431="",$M1431="",$N1431=""),"",IF($L1431&lt;&gt;"",IF(INDEX(LdANote,$L1431)="","—",INDEX(LdANote,$L1431)),IF($M1431&lt;&gt;"",IF(INDEX(LdBNote,$M1431)="","—",INDEX(LdBNote,$M1431)),IF($N1431&lt;&gt;"",IF(INDEX(LdCNote,$N1431)="","—",INDEX(LdCNote,$N1431)),""))))</f>
        <v/>
      </c>
      <c r="L1431">
        <f>IFERROR(MATCH($C$5&amp;"|"&amp;RIGHT("000000"&amp;1415,6),LdAKeyM,0),"")</f>
        <v/>
      </c>
      <c r="M1431">
        <f>IFERROR(MATCH($C$5&amp;"|"&amp;RIGHT("000000"&amp;1415,6),LdBKeyM,0),"")</f>
        <v/>
      </c>
      <c r="N1431">
        <f>IFERROR(MATCH($C$5&amp;"|"&amp;RIGHT("000000"&amp;1415,6),LdCKeyM,0),"")</f>
        <v/>
      </c>
    </row>
    <row r="1432">
      <c r="A1432" s="19" t="n">
        <v>1416</v>
      </c>
      <c r="B1432" s="20">
        <f>IF(AND($L1432="",$M1432="",$N1432=""),"",IF($L1432&lt;&gt;"",INDEX(LdADate,$L1432),IF($M1432&lt;&gt;"",INDEX(LdBDate,$M1432),INDEX(LdCDate,$N1432))))</f>
        <v/>
      </c>
      <c r="C1432" s="20">
        <f>IF($L1432&lt;&gt;"","دستمزد (فردی)",IF($M1432&lt;&gt;"","سهم از گروه "&amp;IFERROR(VLOOKUP(INDEX(LdBGroup,$M1432),WGTbl,2,0),INDEX(LdBGroup,$M1432)),IF($N1432&lt;&gt;"",IF(N(INDEX(LdCDep,$N1432))&gt;0,"بازگشت بانکی","پرداخت بانکی"),"")))</f>
        <v/>
      </c>
      <c r="D1432" s="20">
        <f>IF($L1432&lt;&gt;"",IF(INDEX(LdAId,$L1432)="","—",INDEX(LdAId,$L1432)),IF($M1432&lt;&gt;"",IF(INDEX(LdBId,$M1432)="","—",INDEX(LdBId,$M1432)),IF($N1432&lt;&gt;"",IF(INDEX(LdCBank,$N1432)="","—",INDEX(LdCBank,$N1432)),"")))</f>
        <v/>
      </c>
      <c r="E1432" s="21">
        <f>IF($L1432&lt;&gt;"",IF(INDEX(LdAAmt,$L1432)=0,"",INDEX(LdAAmt,$L1432)),IF($M1432&lt;&gt;"",IF(INDEX(LdBAmt,$M1432)=0,"",INDEX(LdBAmt,$M1432)),IF($N1432&lt;&gt;"",IF(INDEX(LdCDep,$N1432)=0,"",INDEX(LdCDep,$N1432)),"")))</f>
        <v/>
      </c>
      <c r="F1432" s="21">
        <f>IF(AND($L1432="",$M1432="",$N1432=""),"",IF($N1432="","",IF(INDEX(LdCWit,$N1432)=0,"",INDEX(LdCWit,$N1432))))</f>
        <v/>
      </c>
      <c r="G1432" s="31">
        <f>IF($B1432="","",IF($G1431="",0,$G1431)+IF($E1432="",0,$E1432)-IF($F1432="",0,$F1432))</f>
        <v/>
      </c>
      <c r="H1432" s="32">
        <f>IF(AND($L1432="",$M1432="",$N1432=""),"",IF($L1432&lt;&gt;"",IF(INDEX(LdANote,$L1432)="","—",INDEX(LdANote,$L1432)),IF($M1432&lt;&gt;"",IF(INDEX(LdBNote,$M1432)="","—",INDEX(LdBNote,$M1432)),IF($N1432&lt;&gt;"",IF(INDEX(LdCNote,$N1432)="","—",INDEX(LdCNote,$N1432)),""))))</f>
        <v/>
      </c>
      <c r="L1432">
        <f>IFERROR(MATCH($C$5&amp;"|"&amp;RIGHT("000000"&amp;1416,6),LdAKeyM,0),"")</f>
        <v/>
      </c>
      <c r="M1432">
        <f>IFERROR(MATCH($C$5&amp;"|"&amp;RIGHT("000000"&amp;1416,6),LdBKeyM,0),"")</f>
        <v/>
      </c>
      <c r="N1432">
        <f>IFERROR(MATCH($C$5&amp;"|"&amp;RIGHT("000000"&amp;1416,6),LdCKeyM,0),"")</f>
        <v/>
      </c>
    </row>
    <row r="1433">
      <c r="A1433" s="10" t="n">
        <v>1417</v>
      </c>
      <c r="B1433" s="14">
        <f>IF(AND($L1433="",$M1433="",$N1433=""),"",IF($L1433&lt;&gt;"",INDEX(LdADate,$L1433),IF($M1433&lt;&gt;"",INDEX(LdBDate,$M1433),INDEX(LdCDate,$N1433))))</f>
        <v/>
      </c>
      <c r="C1433" s="14">
        <f>IF($L1433&lt;&gt;"","دستمزد (فردی)",IF($M1433&lt;&gt;"","سهم از گروه "&amp;IFERROR(VLOOKUP(INDEX(LdBGroup,$M1433),WGTbl,2,0),INDEX(LdBGroup,$M1433)),IF($N1433&lt;&gt;"",IF(N(INDEX(LdCDep,$N1433))&gt;0,"بازگشت بانکی","پرداخت بانکی"),"")))</f>
        <v/>
      </c>
      <c r="D1433" s="14">
        <f>IF($L1433&lt;&gt;"",IF(INDEX(LdAId,$L1433)="","—",INDEX(LdAId,$L1433)),IF($M1433&lt;&gt;"",IF(INDEX(LdBId,$M1433)="","—",INDEX(LdBId,$M1433)),IF($N1433&lt;&gt;"",IF(INDEX(LdCBank,$N1433)="","—",INDEX(LdCBank,$N1433)),"")))</f>
        <v/>
      </c>
      <c r="E1433" s="16">
        <f>IF($L1433&lt;&gt;"",IF(INDEX(LdAAmt,$L1433)=0,"",INDEX(LdAAmt,$L1433)),IF($M1433&lt;&gt;"",IF(INDEX(LdBAmt,$M1433)=0,"",INDEX(LdBAmt,$M1433)),IF($N1433&lt;&gt;"",IF(INDEX(LdCDep,$N1433)=0,"",INDEX(LdCDep,$N1433)),"")))</f>
        <v/>
      </c>
      <c r="F1433" s="16">
        <f>IF(AND($L1433="",$M1433="",$N1433=""),"",IF($N1433="","",IF(INDEX(LdCWit,$N1433)=0,"",INDEX(LdCWit,$N1433))))</f>
        <v/>
      </c>
      <c r="G1433" s="29">
        <f>IF($B1433="","",IF($G1432="",0,$G1432)+IF($E1433="",0,$E1433)-IF($F1433="",0,$F1433))</f>
        <v/>
      </c>
      <c r="H1433" s="30">
        <f>IF(AND($L1433="",$M1433="",$N1433=""),"",IF($L1433&lt;&gt;"",IF(INDEX(LdANote,$L1433)="","—",INDEX(LdANote,$L1433)),IF($M1433&lt;&gt;"",IF(INDEX(LdBNote,$M1433)="","—",INDEX(LdBNote,$M1433)),IF($N1433&lt;&gt;"",IF(INDEX(LdCNote,$N1433)="","—",INDEX(LdCNote,$N1433)),""))))</f>
        <v/>
      </c>
      <c r="L1433">
        <f>IFERROR(MATCH($C$5&amp;"|"&amp;RIGHT("000000"&amp;1417,6),LdAKeyM,0),"")</f>
        <v/>
      </c>
      <c r="M1433">
        <f>IFERROR(MATCH($C$5&amp;"|"&amp;RIGHT("000000"&amp;1417,6),LdBKeyM,0),"")</f>
        <v/>
      </c>
      <c r="N1433">
        <f>IFERROR(MATCH($C$5&amp;"|"&amp;RIGHT("000000"&amp;1417,6),LdCKeyM,0),"")</f>
        <v/>
      </c>
    </row>
    <row r="1434">
      <c r="A1434" s="19" t="n">
        <v>1418</v>
      </c>
      <c r="B1434" s="20">
        <f>IF(AND($L1434="",$M1434="",$N1434=""),"",IF($L1434&lt;&gt;"",INDEX(LdADate,$L1434),IF($M1434&lt;&gt;"",INDEX(LdBDate,$M1434),INDEX(LdCDate,$N1434))))</f>
        <v/>
      </c>
      <c r="C1434" s="20">
        <f>IF($L1434&lt;&gt;"","دستمزد (فردی)",IF($M1434&lt;&gt;"","سهم از گروه "&amp;IFERROR(VLOOKUP(INDEX(LdBGroup,$M1434),WGTbl,2,0),INDEX(LdBGroup,$M1434)),IF($N1434&lt;&gt;"",IF(N(INDEX(LdCDep,$N1434))&gt;0,"بازگشت بانکی","پرداخت بانکی"),"")))</f>
        <v/>
      </c>
      <c r="D1434" s="20">
        <f>IF($L1434&lt;&gt;"",IF(INDEX(LdAId,$L1434)="","—",INDEX(LdAId,$L1434)),IF($M1434&lt;&gt;"",IF(INDEX(LdBId,$M1434)="","—",INDEX(LdBId,$M1434)),IF($N1434&lt;&gt;"",IF(INDEX(LdCBank,$N1434)="","—",INDEX(LdCBank,$N1434)),"")))</f>
        <v/>
      </c>
      <c r="E1434" s="21">
        <f>IF($L1434&lt;&gt;"",IF(INDEX(LdAAmt,$L1434)=0,"",INDEX(LdAAmt,$L1434)),IF($M1434&lt;&gt;"",IF(INDEX(LdBAmt,$M1434)=0,"",INDEX(LdBAmt,$M1434)),IF($N1434&lt;&gt;"",IF(INDEX(LdCDep,$N1434)=0,"",INDEX(LdCDep,$N1434)),"")))</f>
        <v/>
      </c>
      <c r="F1434" s="21">
        <f>IF(AND($L1434="",$M1434="",$N1434=""),"",IF($N1434="","",IF(INDEX(LdCWit,$N1434)=0,"",INDEX(LdCWit,$N1434))))</f>
        <v/>
      </c>
      <c r="G1434" s="31">
        <f>IF($B1434="","",IF($G1433="",0,$G1433)+IF($E1434="",0,$E1434)-IF($F1434="",0,$F1434))</f>
        <v/>
      </c>
      <c r="H1434" s="32">
        <f>IF(AND($L1434="",$M1434="",$N1434=""),"",IF($L1434&lt;&gt;"",IF(INDEX(LdANote,$L1434)="","—",INDEX(LdANote,$L1434)),IF($M1434&lt;&gt;"",IF(INDEX(LdBNote,$M1434)="","—",INDEX(LdBNote,$M1434)),IF($N1434&lt;&gt;"",IF(INDEX(LdCNote,$N1434)="","—",INDEX(LdCNote,$N1434)),""))))</f>
        <v/>
      </c>
      <c r="L1434">
        <f>IFERROR(MATCH($C$5&amp;"|"&amp;RIGHT("000000"&amp;1418,6),LdAKeyM,0),"")</f>
        <v/>
      </c>
      <c r="M1434">
        <f>IFERROR(MATCH($C$5&amp;"|"&amp;RIGHT("000000"&amp;1418,6),LdBKeyM,0),"")</f>
        <v/>
      </c>
      <c r="N1434">
        <f>IFERROR(MATCH($C$5&amp;"|"&amp;RIGHT("000000"&amp;1418,6),LdCKeyM,0),"")</f>
        <v/>
      </c>
    </row>
    <row r="1435">
      <c r="A1435" s="10" t="n">
        <v>1419</v>
      </c>
      <c r="B1435" s="14">
        <f>IF(AND($L1435="",$M1435="",$N1435=""),"",IF($L1435&lt;&gt;"",INDEX(LdADate,$L1435),IF($M1435&lt;&gt;"",INDEX(LdBDate,$M1435),INDEX(LdCDate,$N1435))))</f>
        <v/>
      </c>
      <c r="C1435" s="14">
        <f>IF($L1435&lt;&gt;"","دستمزد (فردی)",IF($M1435&lt;&gt;"","سهم از گروه "&amp;IFERROR(VLOOKUP(INDEX(LdBGroup,$M1435),WGTbl,2,0),INDEX(LdBGroup,$M1435)),IF($N1435&lt;&gt;"",IF(N(INDEX(LdCDep,$N1435))&gt;0,"بازگشت بانکی","پرداخت بانکی"),"")))</f>
        <v/>
      </c>
      <c r="D1435" s="14">
        <f>IF($L1435&lt;&gt;"",IF(INDEX(LdAId,$L1435)="","—",INDEX(LdAId,$L1435)),IF($M1435&lt;&gt;"",IF(INDEX(LdBId,$M1435)="","—",INDEX(LdBId,$M1435)),IF($N1435&lt;&gt;"",IF(INDEX(LdCBank,$N1435)="","—",INDEX(LdCBank,$N1435)),"")))</f>
        <v/>
      </c>
      <c r="E1435" s="16">
        <f>IF($L1435&lt;&gt;"",IF(INDEX(LdAAmt,$L1435)=0,"",INDEX(LdAAmt,$L1435)),IF($M1435&lt;&gt;"",IF(INDEX(LdBAmt,$M1435)=0,"",INDEX(LdBAmt,$M1435)),IF($N1435&lt;&gt;"",IF(INDEX(LdCDep,$N1435)=0,"",INDEX(LdCDep,$N1435)),"")))</f>
        <v/>
      </c>
      <c r="F1435" s="16">
        <f>IF(AND($L1435="",$M1435="",$N1435=""),"",IF($N1435="","",IF(INDEX(LdCWit,$N1435)=0,"",INDEX(LdCWit,$N1435))))</f>
        <v/>
      </c>
      <c r="G1435" s="29">
        <f>IF($B1435="","",IF($G1434="",0,$G1434)+IF($E1435="",0,$E1435)-IF($F1435="",0,$F1435))</f>
        <v/>
      </c>
      <c r="H1435" s="30">
        <f>IF(AND($L1435="",$M1435="",$N1435=""),"",IF($L1435&lt;&gt;"",IF(INDEX(LdANote,$L1435)="","—",INDEX(LdANote,$L1435)),IF($M1435&lt;&gt;"",IF(INDEX(LdBNote,$M1435)="","—",INDEX(LdBNote,$M1435)),IF($N1435&lt;&gt;"",IF(INDEX(LdCNote,$N1435)="","—",INDEX(LdCNote,$N1435)),""))))</f>
        <v/>
      </c>
      <c r="L1435">
        <f>IFERROR(MATCH($C$5&amp;"|"&amp;RIGHT("000000"&amp;1419,6),LdAKeyM,0),"")</f>
        <v/>
      </c>
      <c r="M1435">
        <f>IFERROR(MATCH($C$5&amp;"|"&amp;RIGHT("000000"&amp;1419,6),LdBKeyM,0),"")</f>
        <v/>
      </c>
      <c r="N1435">
        <f>IFERROR(MATCH($C$5&amp;"|"&amp;RIGHT("000000"&amp;1419,6),LdCKeyM,0),"")</f>
        <v/>
      </c>
    </row>
    <row r="1436">
      <c r="A1436" s="19" t="n">
        <v>1420</v>
      </c>
      <c r="B1436" s="20">
        <f>IF(AND($L1436="",$M1436="",$N1436=""),"",IF($L1436&lt;&gt;"",INDEX(LdADate,$L1436),IF($M1436&lt;&gt;"",INDEX(LdBDate,$M1436),INDEX(LdCDate,$N1436))))</f>
        <v/>
      </c>
      <c r="C1436" s="20">
        <f>IF($L1436&lt;&gt;"","دستمزد (فردی)",IF($M1436&lt;&gt;"","سهم از گروه "&amp;IFERROR(VLOOKUP(INDEX(LdBGroup,$M1436),WGTbl,2,0),INDEX(LdBGroup,$M1436)),IF($N1436&lt;&gt;"",IF(N(INDEX(LdCDep,$N1436))&gt;0,"بازگشت بانکی","پرداخت بانکی"),"")))</f>
        <v/>
      </c>
      <c r="D1436" s="20">
        <f>IF($L1436&lt;&gt;"",IF(INDEX(LdAId,$L1436)="","—",INDEX(LdAId,$L1436)),IF($M1436&lt;&gt;"",IF(INDEX(LdBId,$M1436)="","—",INDEX(LdBId,$M1436)),IF($N1436&lt;&gt;"",IF(INDEX(LdCBank,$N1436)="","—",INDEX(LdCBank,$N1436)),"")))</f>
        <v/>
      </c>
      <c r="E1436" s="21">
        <f>IF($L1436&lt;&gt;"",IF(INDEX(LdAAmt,$L1436)=0,"",INDEX(LdAAmt,$L1436)),IF($M1436&lt;&gt;"",IF(INDEX(LdBAmt,$M1436)=0,"",INDEX(LdBAmt,$M1436)),IF($N1436&lt;&gt;"",IF(INDEX(LdCDep,$N1436)=0,"",INDEX(LdCDep,$N1436)),"")))</f>
        <v/>
      </c>
      <c r="F1436" s="21">
        <f>IF(AND($L1436="",$M1436="",$N1436=""),"",IF($N1436="","",IF(INDEX(LdCWit,$N1436)=0,"",INDEX(LdCWit,$N1436))))</f>
        <v/>
      </c>
      <c r="G1436" s="31">
        <f>IF($B1436="","",IF($G1435="",0,$G1435)+IF($E1436="",0,$E1436)-IF($F1436="",0,$F1436))</f>
        <v/>
      </c>
      <c r="H1436" s="32">
        <f>IF(AND($L1436="",$M1436="",$N1436=""),"",IF($L1436&lt;&gt;"",IF(INDEX(LdANote,$L1436)="","—",INDEX(LdANote,$L1436)),IF($M1436&lt;&gt;"",IF(INDEX(LdBNote,$M1436)="","—",INDEX(LdBNote,$M1436)),IF($N1436&lt;&gt;"",IF(INDEX(LdCNote,$N1436)="","—",INDEX(LdCNote,$N1436)),""))))</f>
        <v/>
      </c>
      <c r="L1436">
        <f>IFERROR(MATCH($C$5&amp;"|"&amp;RIGHT("000000"&amp;1420,6),LdAKeyM,0),"")</f>
        <v/>
      </c>
      <c r="M1436">
        <f>IFERROR(MATCH($C$5&amp;"|"&amp;RIGHT("000000"&amp;1420,6),LdBKeyM,0),"")</f>
        <v/>
      </c>
      <c r="N1436">
        <f>IFERROR(MATCH($C$5&amp;"|"&amp;RIGHT("000000"&amp;1420,6),LdCKeyM,0),"")</f>
        <v/>
      </c>
    </row>
    <row r="1437">
      <c r="A1437" s="10" t="n">
        <v>1421</v>
      </c>
      <c r="B1437" s="14">
        <f>IF(AND($L1437="",$M1437="",$N1437=""),"",IF($L1437&lt;&gt;"",INDEX(LdADate,$L1437),IF($M1437&lt;&gt;"",INDEX(LdBDate,$M1437),INDEX(LdCDate,$N1437))))</f>
        <v/>
      </c>
      <c r="C1437" s="14">
        <f>IF($L1437&lt;&gt;"","دستمزد (فردی)",IF($M1437&lt;&gt;"","سهم از گروه "&amp;IFERROR(VLOOKUP(INDEX(LdBGroup,$M1437),WGTbl,2,0),INDEX(LdBGroup,$M1437)),IF($N1437&lt;&gt;"",IF(N(INDEX(LdCDep,$N1437))&gt;0,"بازگشت بانکی","پرداخت بانکی"),"")))</f>
        <v/>
      </c>
      <c r="D1437" s="14">
        <f>IF($L1437&lt;&gt;"",IF(INDEX(LdAId,$L1437)="","—",INDEX(LdAId,$L1437)),IF($M1437&lt;&gt;"",IF(INDEX(LdBId,$M1437)="","—",INDEX(LdBId,$M1437)),IF($N1437&lt;&gt;"",IF(INDEX(LdCBank,$N1437)="","—",INDEX(LdCBank,$N1437)),"")))</f>
        <v/>
      </c>
      <c r="E1437" s="16">
        <f>IF($L1437&lt;&gt;"",IF(INDEX(LdAAmt,$L1437)=0,"",INDEX(LdAAmt,$L1437)),IF($M1437&lt;&gt;"",IF(INDEX(LdBAmt,$M1437)=0,"",INDEX(LdBAmt,$M1437)),IF($N1437&lt;&gt;"",IF(INDEX(LdCDep,$N1437)=0,"",INDEX(LdCDep,$N1437)),"")))</f>
        <v/>
      </c>
      <c r="F1437" s="16">
        <f>IF(AND($L1437="",$M1437="",$N1437=""),"",IF($N1437="","",IF(INDEX(LdCWit,$N1437)=0,"",INDEX(LdCWit,$N1437))))</f>
        <v/>
      </c>
      <c r="G1437" s="29">
        <f>IF($B1437="","",IF($G1436="",0,$G1436)+IF($E1437="",0,$E1437)-IF($F1437="",0,$F1437))</f>
        <v/>
      </c>
      <c r="H1437" s="30">
        <f>IF(AND($L1437="",$M1437="",$N1437=""),"",IF($L1437&lt;&gt;"",IF(INDEX(LdANote,$L1437)="","—",INDEX(LdANote,$L1437)),IF($M1437&lt;&gt;"",IF(INDEX(LdBNote,$M1437)="","—",INDEX(LdBNote,$M1437)),IF($N1437&lt;&gt;"",IF(INDEX(LdCNote,$N1437)="","—",INDEX(LdCNote,$N1437)),""))))</f>
        <v/>
      </c>
      <c r="L1437">
        <f>IFERROR(MATCH($C$5&amp;"|"&amp;RIGHT("000000"&amp;1421,6),LdAKeyM,0),"")</f>
        <v/>
      </c>
      <c r="M1437">
        <f>IFERROR(MATCH($C$5&amp;"|"&amp;RIGHT("000000"&amp;1421,6),LdBKeyM,0),"")</f>
        <v/>
      </c>
      <c r="N1437">
        <f>IFERROR(MATCH($C$5&amp;"|"&amp;RIGHT("000000"&amp;1421,6),LdCKeyM,0),"")</f>
        <v/>
      </c>
    </row>
    <row r="1438">
      <c r="A1438" s="19" t="n">
        <v>1422</v>
      </c>
      <c r="B1438" s="20">
        <f>IF(AND($L1438="",$M1438="",$N1438=""),"",IF($L1438&lt;&gt;"",INDEX(LdADate,$L1438),IF($M1438&lt;&gt;"",INDEX(LdBDate,$M1438),INDEX(LdCDate,$N1438))))</f>
        <v/>
      </c>
      <c r="C1438" s="20">
        <f>IF($L1438&lt;&gt;"","دستمزد (فردی)",IF($M1438&lt;&gt;"","سهم از گروه "&amp;IFERROR(VLOOKUP(INDEX(LdBGroup,$M1438),WGTbl,2,0),INDEX(LdBGroup,$M1438)),IF($N1438&lt;&gt;"",IF(N(INDEX(LdCDep,$N1438))&gt;0,"بازگشت بانکی","پرداخت بانکی"),"")))</f>
        <v/>
      </c>
      <c r="D1438" s="20">
        <f>IF($L1438&lt;&gt;"",IF(INDEX(LdAId,$L1438)="","—",INDEX(LdAId,$L1438)),IF($M1438&lt;&gt;"",IF(INDEX(LdBId,$M1438)="","—",INDEX(LdBId,$M1438)),IF($N1438&lt;&gt;"",IF(INDEX(LdCBank,$N1438)="","—",INDEX(LdCBank,$N1438)),"")))</f>
        <v/>
      </c>
      <c r="E1438" s="21">
        <f>IF($L1438&lt;&gt;"",IF(INDEX(LdAAmt,$L1438)=0,"",INDEX(LdAAmt,$L1438)),IF($M1438&lt;&gt;"",IF(INDEX(LdBAmt,$M1438)=0,"",INDEX(LdBAmt,$M1438)),IF($N1438&lt;&gt;"",IF(INDEX(LdCDep,$N1438)=0,"",INDEX(LdCDep,$N1438)),"")))</f>
        <v/>
      </c>
      <c r="F1438" s="21">
        <f>IF(AND($L1438="",$M1438="",$N1438=""),"",IF($N1438="","",IF(INDEX(LdCWit,$N1438)=0,"",INDEX(LdCWit,$N1438))))</f>
        <v/>
      </c>
      <c r="G1438" s="31">
        <f>IF($B1438="","",IF($G1437="",0,$G1437)+IF($E1438="",0,$E1438)-IF($F1438="",0,$F1438))</f>
        <v/>
      </c>
      <c r="H1438" s="32">
        <f>IF(AND($L1438="",$M1438="",$N1438=""),"",IF($L1438&lt;&gt;"",IF(INDEX(LdANote,$L1438)="","—",INDEX(LdANote,$L1438)),IF($M1438&lt;&gt;"",IF(INDEX(LdBNote,$M1438)="","—",INDEX(LdBNote,$M1438)),IF($N1438&lt;&gt;"",IF(INDEX(LdCNote,$N1438)="","—",INDEX(LdCNote,$N1438)),""))))</f>
        <v/>
      </c>
      <c r="L1438">
        <f>IFERROR(MATCH($C$5&amp;"|"&amp;RIGHT("000000"&amp;1422,6),LdAKeyM,0),"")</f>
        <v/>
      </c>
      <c r="M1438">
        <f>IFERROR(MATCH($C$5&amp;"|"&amp;RIGHT("000000"&amp;1422,6),LdBKeyM,0),"")</f>
        <v/>
      </c>
      <c r="N1438">
        <f>IFERROR(MATCH($C$5&amp;"|"&amp;RIGHT("000000"&amp;1422,6),LdCKeyM,0),"")</f>
        <v/>
      </c>
    </row>
    <row r="1439">
      <c r="A1439" s="10" t="n">
        <v>1423</v>
      </c>
      <c r="B1439" s="14">
        <f>IF(AND($L1439="",$M1439="",$N1439=""),"",IF($L1439&lt;&gt;"",INDEX(LdADate,$L1439),IF($M1439&lt;&gt;"",INDEX(LdBDate,$M1439),INDEX(LdCDate,$N1439))))</f>
        <v/>
      </c>
      <c r="C1439" s="14">
        <f>IF($L1439&lt;&gt;"","دستمزد (فردی)",IF($M1439&lt;&gt;"","سهم از گروه "&amp;IFERROR(VLOOKUP(INDEX(LdBGroup,$M1439),WGTbl,2,0),INDEX(LdBGroup,$M1439)),IF($N1439&lt;&gt;"",IF(N(INDEX(LdCDep,$N1439))&gt;0,"بازگشت بانکی","پرداخت بانکی"),"")))</f>
        <v/>
      </c>
      <c r="D1439" s="14">
        <f>IF($L1439&lt;&gt;"",IF(INDEX(LdAId,$L1439)="","—",INDEX(LdAId,$L1439)),IF($M1439&lt;&gt;"",IF(INDEX(LdBId,$M1439)="","—",INDEX(LdBId,$M1439)),IF($N1439&lt;&gt;"",IF(INDEX(LdCBank,$N1439)="","—",INDEX(LdCBank,$N1439)),"")))</f>
        <v/>
      </c>
      <c r="E1439" s="16">
        <f>IF($L1439&lt;&gt;"",IF(INDEX(LdAAmt,$L1439)=0,"",INDEX(LdAAmt,$L1439)),IF($M1439&lt;&gt;"",IF(INDEX(LdBAmt,$M1439)=0,"",INDEX(LdBAmt,$M1439)),IF($N1439&lt;&gt;"",IF(INDEX(LdCDep,$N1439)=0,"",INDEX(LdCDep,$N1439)),"")))</f>
        <v/>
      </c>
      <c r="F1439" s="16">
        <f>IF(AND($L1439="",$M1439="",$N1439=""),"",IF($N1439="","",IF(INDEX(LdCWit,$N1439)=0,"",INDEX(LdCWit,$N1439))))</f>
        <v/>
      </c>
      <c r="G1439" s="29">
        <f>IF($B1439="","",IF($G1438="",0,$G1438)+IF($E1439="",0,$E1439)-IF($F1439="",0,$F1439))</f>
        <v/>
      </c>
      <c r="H1439" s="30">
        <f>IF(AND($L1439="",$M1439="",$N1439=""),"",IF($L1439&lt;&gt;"",IF(INDEX(LdANote,$L1439)="","—",INDEX(LdANote,$L1439)),IF($M1439&lt;&gt;"",IF(INDEX(LdBNote,$M1439)="","—",INDEX(LdBNote,$M1439)),IF($N1439&lt;&gt;"",IF(INDEX(LdCNote,$N1439)="","—",INDEX(LdCNote,$N1439)),""))))</f>
        <v/>
      </c>
      <c r="L1439">
        <f>IFERROR(MATCH($C$5&amp;"|"&amp;RIGHT("000000"&amp;1423,6),LdAKeyM,0),"")</f>
        <v/>
      </c>
      <c r="M1439">
        <f>IFERROR(MATCH($C$5&amp;"|"&amp;RIGHT("000000"&amp;1423,6),LdBKeyM,0),"")</f>
        <v/>
      </c>
      <c r="N1439">
        <f>IFERROR(MATCH($C$5&amp;"|"&amp;RIGHT("000000"&amp;1423,6),LdCKeyM,0),"")</f>
        <v/>
      </c>
    </row>
    <row r="1440">
      <c r="A1440" s="19" t="n">
        <v>1424</v>
      </c>
      <c r="B1440" s="20">
        <f>IF(AND($L1440="",$M1440="",$N1440=""),"",IF($L1440&lt;&gt;"",INDEX(LdADate,$L1440),IF($M1440&lt;&gt;"",INDEX(LdBDate,$M1440),INDEX(LdCDate,$N1440))))</f>
        <v/>
      </c>
      <c r="C1440" s="20">
        <f>IF($L1440&lt;&gt;"","دستمزد (فردی)",IF($M1440&lt;&gt;"","سهم از گروه "&amp;IFERROR(VLOOKUP(INDEX(LdBGroup,$M1440),WGTbl,2,0),INDEX(LdBGroup,$M1440)),IF($N1440&lt;&gt;"",IF(N(INDEX(LdCDep,$N1440))&gt;0,"بازگشت بانکی","پرداخت بانکی"),"")))</f>
        <v/>
      </c>
      <c r="D1440" s="20">
        <f>IF($L1440&lt;&gt;"",IF(INDEX(LdAId,$L1440)="","—",INDEX(LdAId,$L1440)),IF($M1440&lt;&gt;"",IF(INDEX(LdBId,$M1440)="","—",INDEX(LdBId,$M1440)),IF($N1440&lt;&gt;"",IF(INDEX(LdCBank,$N1440)="","—",INDEX(LdCBank,$N1440)),"")))</f>
        <v/>
      </c>
      <c r="E1440" s="21">
        <f>IF($L1440&lt;&gt;"",IF(INDEX(LdAAmt,$L1440)=0,"",INDEX(LdAAmt,$L1440)),IF($M1440&lt;&gt;"",IF(INDEX(LdBAmt,$M1440)=0,"",INDEX(LdBAmt,$M1440)),IF($N1440&lt;&gt;"",IF(INDEX(LdCDep,$N1440)=0,"",INDEX(LdCDep,$N1440)),"")))</f>
        <v/>
      </c>
      <c r="F1440" s="21">
        <f>IF(AND($L1440="",$M1440="",$N1440=""),"",IF($N1440="","",IF(INDEX(LdCWit,$N1440)=0,"",INDEX(LdCWit,$N1440))))</f>
        <v/>
      </c>
      <c r="G1440" s="31">
        <f>IF($B1440="","",IF($G1439="",0,$G1439)+IF($E1440="",0,$E1440)-IF($F1440="",0,$F1440))</f>
        <v/>
      </c>
      <c r="H1440" s="32">
        <f>IF(AND($L1440="",$M1440="",$N1440=""),"",IF($L1440&lt;&gt;"",IF(INDEX(LdANote,$L1440)="","—",INDEX(LdANote,$L1440)),IF($M1440&lt;&gt;"",IF(INDEX(LdBNote,$M1440)="","—",INDEX(LdBNote,$M1440)),IF($N1440&lt;&gt;"",IF(INDEX(LdCNote,$N1440)="","—",INDEX(LdCNote,$N1440)),""))))</f>
        <v/>
      </c>
      <c r="L1440">
        <f>IFERROR(MATCH($C$5&amp;"|"&amp;RIGHT("000000"&amp;1424,6),LdAKeyM,0),"")</f>
        <v/>
      </c>
      <c r="M1440">
        <f>IFERROR(MATCH($C$5&amp;"|"&amp;RIGHT("000000"&amp;1424,6),LdBKeyM,0),"")</f>
        <v/>
      </c>
      <c r="N1440">
        <f>IFERROR(MATCH($C$5&amp;"|"&amp;RIGHT("000000"&amp;1424,6),LdCKeyM,0),"")</f>
        <v/>
      </c>
    </row>
    <row r="1441">
      <c r="A1441" s="10" t="n">
        <v>1425</v>
      </c>
      <c r="B1441" s="14">
        <f>IF(AND($L1441="",$M1441="",$N1441=""),"",IF($L1441&lt;&gt;"",INDEX(LdADate,$L1441),IF($M1441&lt;&gt;"",INDEX(LdBDate,$M1441),INDEX(LdCDate,$N1441))))</f>
        <v/>
      </c>
      <c r="C1441" s="14">
        <f>IF($L1441&lt;&gt;"","دستمزد (فردی)",IF($M1441&lt;&gt;"","سهم از گروه "&amp;IFERROR(VLOOKUP(INDEX(LdBGroup,$M1441),WGTbl,2,0),INDEX(LdBGroup,$M1441)),IF($N1441&lt;&gt;"",IF(N(INDEX(LdCDep,$N1441))&gt;0,"بازگشت بانکی","پرداخت بانکی"),"")))</f>
        <v/>
      </c>
      <c r="D1441" s="14">
        <f>IF($L1441&lt;&gt;"",IF(INDEX(LdAId,$L1441)="","—",INDEX(LdAId,$L1441)),IF($M1441&lt;&gt;"",IF(INDEX(LdBId,$M1441)="","—",INDEX(LdBId,$M1441)),IF($N1441&lt;&gt;"",IF(INDEX(LdCBank,$N1441)="","—",INDEX(LdCBank,$N1441)),"")))</f>
        <v/>
      </c>
      <c r="E1441" s="16">
        <f>IF($L1441&lt;&gt;"",IF(INDEX(LdAAmt,$L1441)=0,"",INDEX(LdAAmt,$L1441)),IF($M1441&lt;&gt;"",IF(INDEX(LdBAmt,$M1441)=0,"",INDEX(LdBAmt,$M1441)),IF($N1441&lt;&gt;"",IF(INDEX(LdCDep,$N1441)=0,"",INDEX(LdCDep,$N1441)),"")))</f>
        <v/>
      </c>
      <c r="F1441" s="16">
        <f>IF(AND($L1441="",$M1441="",$N1441=""),"",IF($N1441="","",IF(INDEX(LdCWit,$N1441)=0,"",INDEX(LdCWit,$N1441))))</f>
        <v/>
      </c>
      <c r="G1441" s="29">
        <f>IF($B1441="","",IF($G1440="",0,$G1440)+IF($E1441="",0,$E1441)-IF($F1441="",0,$F1441))</f>
        <v/>
      </c>
      <c r="H1441" s="30">
        <f>IF(AND($L1441="",$M1441="",$N1441=""),"",IF($L1441&lt;&gt;"",IF(INDEX(LdANote,$L1441)="","—",INDEX(LdANote,$L1441)),IF($M1441&lt;&gt;"",IF(INDEX(LdBNote,$M1441)="","—",INDEX(LdBNote,$M1441)),IF($N1441&lt;&gt;"",IF(INDEX(LdCNote,$N1441)="","—",INDEX(LdCNote,$N1441)),""))))</f>
        <v/>
      </c>
      <c r="L1441">
        <f>IFERROR(MATCH($C$5&amp;"|"&amp;RIGHT("000000"&amp;1425,6),LdAKeyM,0),"")</f>
        <v/>
      </c>
      <c r="M1441">
        <f>IFERROR(MATCH($C$5&amp;"|"&amp;RIGHT("000000"&amp;1425,6),LdBKeyM,0),"")</f>
        <v/>
      </c>
      <c r="N1441">
        <f>IFERROR(MATCH($C$5&amp;"|"&amp;RIGHT("000000"&amp;1425,6),LdCKeyM,0),"")</f>
        <v/>
      </c>
    </row>
    <row r="1442">
      <c r="A1442" s="19" t="n">
        <v>1426</v>
      </c>
      <c r="B1442" s="20">
        <f>IF(AND($L1442="",$M1442="",$N1442=""),"",IF($L1442&lt;&gt;"",INDEX(LdADate,$L1442),IF($M1442&lt;&gt;"",INDEX(LdBDate,$M1442),INDEX(LdCDate,$N1442))))</f>
        <v/>
      </c>
      <c r="C1442" s="20">
        <f>IF($L1442&lt;&gt;"","دستمزد (فردی)",IF($M1442&lt;&gt;"","سهم از گروه "&amp;IFERROR(VLOOKUP(INDEX(LdBGroup,$M1442),WGTbl,2,0),INDEX(LdBGroup,$M1442)),IF($N1442&lt;&gt;"",IF(N(INDEX(LdCDep,$N1442))&gt;0,"بازگشت بانکی","پرداخت بانکی"),"")))</f>
        <v/>
      </c>
      <c r="D1442" s="20">
        <f>IF($L1442&lt;&gt;"",IF(INDEX(LdAId,$L1442)="","—",INDEX(LdAId,$L1442)),IF($M1442&lt;&gt;"",IF(INDEX(LdBId,$M1442)="","—",INDEX(LdBId,$M1442)),IF($N1442&lt;&gt;"",IF(INDEX(LdCBank,$N1442)="","—",INDEX(LdCBank,$N1442)),"")))</f>
        <v/>
      </c>
      <c r="E1442" s="21">
        <f>IF($L1442&lt;&gt;"",IF(INDEX(LdAAmt,$L1442)=0,"",INDEX(LdAAmt,$L1442)),IF($M1442&lt;&gt;"",IF(INDEX(LdBAmt,$M1442)=0,"",INDEX(LdBAmt,$M1442)),IF($N1442&lt;&gt;"",IF(INDEX(LdCDep,$N1442)=0,"",INDEX(LdCDep,$N1442)),"")))</f>
        <v/>
      </c>
      <c r="F1442" s="21">
        <f>IF(AND($L1442="",$M1442="",$N1442=""),"",IF($N1442="","",IF(INDEX(LdCWit,$N1442)=0,"",INDEX(LdCWit,$N1442))))</f>
        <v/>
      </c>
      <c r="G1442" s="31">
        <f>IF($B1442="","",IF($G1441="",0,$G1441)+IF($E1442="",0,$E1442)-IF($F1442="",0,$F1442))</f>
        <v/>
      </c>
      <c r="H1442" s="32">
        <f>IF(AND($L1442="",$M1442="",$N1442=""),"",IF($L1442&lt;&gt;"",IF(INDEX(LdANote,$L1442)="","—",INDEX(LdANote,$L1442)),IF($M1442&lt;&gt;"",IF(INDEX(LdBNote,$M1442)="","—",INDEX(LdBNote,$M1442)),IF($N1442&lt;&gt;"",IF(INDEX(LdCNote,$N1442)="","—",INDEX(LdCNote,$N1442)),""))))</f>
        <v/>
      </c>
      <c r="L1442">
        <f>IFERROR(MATCH($C$5&amp;"|"&amp;RIGHT("000000"&amp;1426,6),LdAKeyM,0),"")</f>
        <v/>
      </c>
      <c r="M1442">
        <f>IFERROR(MATCH($C$5&amp;"|"&amp;RIGHT("000000"&amp;1426,6),LdBKeyM,0),"")</f>
        <v/>
      </c>
      <c r="N1442">
        <f>IFERROR(MATCH($C$5&amp;"|"&amp;RIGHT("000000"&amp;1426,6),LdCKeyM,0),"")</f>
        <v/>
      </c>
    </row>
    <row r="1443">
      <c r="A1443" s="10" t="n">
        <v>1427</v>
      </c>
      <c r="B1443" s="14">
        <f>IF(AND($L1443="",$M1443="",$N1443=""),"",IF($L1443&lt;&gt;"",INDEX(LdADate,$L1443),IF($M1443&lt;&gt;"",INDEX(LdBDate,$M1443),INDEX(LdCDate,$N1443))))</f>
        <v/>
      </c>
      <c r="C1443" s="14">
        <f>IF($L1443&lt;&gt;"","دستمزد (فردی)",IF($M1443&lt;&gt;"","سهم از گروه "&amp;IFERROR(VLOOKUP(INDEX(LdBGroup,$M1443),WGTbl,2,0),INDEX(LdBGroup,$M1443)),IF($N1443&lt;&gt;"",IF(N(INDEX(LdCDep,$N1443))&gt;0,"بازگشت بانکی","پرداخت بانکی"),"")))</f>
        <v/>
      </c>
      <c r="D1443" s="14">
        <f>IF($L1443&lt;&gt;"",IF(INDEX(LdAId,$L1443)="","—",INDEX(LdAId,$L1443)),IF($M1443&lt;&gt;"",IF(INDEX(LdBId,$M1443)="","—",INDEX(LdBId,$M1443)),IF($N1443&lt;&gt;"",IF(INDEX(LdCBank,$N1443)="","—",INDEX(LdCBank,$N1443)),"")))</f>
        <v/>
      </c>
      <c r="E1443" s="16">
        <f>IF($L1443&lt;&gt;"",IF(INDEX(LdAAmt,$L1443)=0,"",INDEX(LdAAmt,$L1443)),IF($M1443&lt;&gt;"",IF(INDEX(LdBAmt,$M1443)=0,"",INDEX(LdBAmt,$M1443)),IF($N1443&lt;&gt;"",IF(INDEX(LdCDep,$N1443)=0,"",INDEX(LdCDep,$N1443)),"")))</f>
        <v/>
      </c>
      <c r="F1443" s="16">
        <f>IF(AND($L1443="",$M1443="",$N1443=""),"",IF($N1443="","",IF(INDEX(LdCWit,$N1443)=0,"",INDEX(LdCWit,$N1443))))</f>
        <v/>
      </c>
      <c r="G1443" s="29">
        <f>IF($B1443="","",IF($G1442="",0,$G1442)+IF($E1443="",0,$E1443)-IF($F1443="",0,$F1443))</f>
        <v/>
      </c>
      <c r="H1443" s="30">
        <f>IF(AND($L1443="",$M1443="",$N1443=""),"",IF($L1443&lt;&gt;"",IF(INDEX(LdANote,$L1443)="","—",INDEX(LdANote,$L1443)),IF($M1443&lt;&gt;"",IF(INDEX(LdBNote,$M1443)="","—",INDEX(LdBNote,$M1443)),IF($N1443&lt;&gt;"",IF(INDEX(LdCNote,$N1443)="","—",INDEX(LdCNote,$N1443)),""))))</f>
        <v/>
      </c>
      <c r="L1443">
        <f>IFERROR(MATCH($C$5&amp;"|"&amp;RIGHT("000000"&amp;1427,6),LdAKeyM,0),"")</f>
        <v/>
      </c>
      <c r="M1443">
        <f>IFERROR(MATCH($C$5&amp;"|"&amp;RIGHT("000000"&amp;1427,6),LdBKeyM,0),"")</f>
        <v/>
      </c>
      <c r="N1443">
        <f>IFERROR(MATCH($C$5&amp;"|"&amp;RIGHT("000000"&amp;1427,6),LdCKeyM,0),"")</f>
        <v/>
      </c>
    </row>
    <row r="1444">
      <c r="A1444" s="19" t="n">
        <v>1428</v>
      </c>
      <c r="B1444" s="20">
        <f>IF(AND($L1444="",$M1444="",$N1444=""),"",IF($L1444&lt;&gt;"",INDEX(LdADate,$L1444),IF($M1444&lt;&gt;"",INDEX(LdBDate,$M1444),INDEX(LdCDate,$N1444))))</f>
        <v/>
      </c>
      <c r="C1444" s="20">
        <f>IF($L1444&lt;&gt;"","دستمزد (فردی)",IF($M1444&lt;&gt;"","سهم از گروه "&amp;IFERROR(VLOOKUP(INDEX(LdBGroup,$M1444),WGTbl,2,0),INDEX(LdBGroup,$M1444)),IF($N1444&lt;&gt;"",IF(N(INDEX(LdCDep,$N1444))&gt;0,"بازگشت بانکی","پرداخت بانکی"),"")))</f>
        <v/>
      </c>
      <c r="D1444" s="20">
        <f>IF($L1444&lt;&gt;"",IF(INDEX(LdAId,$L1444)="","—",INDEX(LdAId,$L1444)),IF($M1444&lt;&gt;"",IF(INDEX(LdBId,$M1444)="","—",INDEX(LdBId,$M1444)),IF($N1444&lt;&gt;"",IF(INDEX(LdCBank,$N1444)="","—",INDEX(LdCBank,$N1444)),"")))</f>
        <v/>
      </c>
      <c r="E1444" s="21">
        <f>IF($L1444&lt;&gt;"",IF(INDEX(LdAAmt,$L1444)=0,"",INDEX(LdAAmt,$L1444)),IF($M1444&lt;&gt;"",IF(INDEX(LdBAmt,$M1444)=0,"",INDEX(LdBAmt,$M1444)),IF($N1444&lt;&gt;"",IF(INDEX(LdCDep,$N1444)=0,"",INDEX(LdCDep,$N1444)),"")))</f>
        <v/>
      </c>
      <c r="F1444" s="21">
        <f>IF(AND($L1444="",$M1444="",$N1444=""),"",IF($N1444="","",IF(INDEX(LdCWit,$N1444)=0,"",INDEX(LdCWit,$N1444))))</f>
        <v/>
      </c>
      <c r="G1444" s="31">
        <f>IF($B1444="","",IF($G1443="",0,$G1443)+IF($E1444="",0,$E1444)-IF($F1444="",0,$F1444))</f>
        <v/>
      </c>
      <c r="H1444" s="32">
        <f>IF(AND($L1444="",$M1444="",$N1444=""),"",IF($L1444&lt;&gt;"",IF(INDEX(LdANote,$L1444)="","—",INDEX(LdANote,$L1444)),IF($M1444&lt;&gt;"",IF(INDEX(LdBNote,$M1444)="","—",INDEX(LdBNote,$M1444)),IF($N1444&lt;&gt;"",IF(INDEX(LdCNote,$N1444)="","—",INDEX(LdCNote,$N1444)),""))))</f>
        <v/>
      </c>
      <c r="L1444">
        <f>IFERROR(MATCH($C$5&amp;"|"&amp;RIGHT("000000"&amp;1428,6),LdAKeyM,0),"")</f>
        <v/>
      </c>
      <c r="M1444">
        <f>IFERROR(MATCH($C$5&amp;"|"&amp;RIGHT("000000"&amp;1428,6),LdBKeyM,0),"")</f>
        <v/>
      </c>
      <c r="N1444">
        <f>IFERROR(MATCH($C$5&amp;"|"&amp;RIGHT("000000"&amp;1428,6),LdCKeyM,0),"")</f>
        <v/>
      </c>
    </row>
    <row r="1445">
      <c r="A1445" s="10" t="n">
        <v>1429</v>
      </c>
      <c r="B1445" s="14">
        <f>IF(AND($L1445="",$M1445="",$N1445=""),"",IF($L1445&lt;&gt;"",INDEX(LdADate,$L1445),IF($M1445&lt;&gt;"",INDEX(LdBDate,$M1445),INDEX(LdCDate,$N1445))))</f>
        <v/>
      </c>
      <c r="C1445" s="14">
        <f>IF($L1445&lt;&gt;"","دستمزد (فردی)",IF($M1445&lt;&gt;"","سهم از گروه "&amp;IFERROR(VLOOKUP(INDEX(LdBGroup,$M1445),WGTbl,2,0),INDEX(LdBGroup,$M1445)),IF($N1445&lt;&gt;"",IF(N(INDEX(LdCDep,$N1445))&gt;0,"بازگشت بانکی","پرداخت بانکی"),"")))</f>
        <v/>
      </c>
      <c r="D1445" s="14">
        <f>IF($L1445&lt;&gt;"",IF(INDEX(LdAId,$L1445)="","—",INDEX(LdAId,$L1445)),IF($M1445&lt;&gt;"",IF(INDEX(LdBId,$M1445)="","—",INDEX(LdBId,$M1445)),IF($N1445&lt;&gt;"",IF(INDEX(LdCBank,$N1445)="","—",INDEX(LdCBank,$N1445)),"")))</f>
        <v/>
      </c>
      <c r="E1445" s="16">
        <f>IF($L1445&lt;&gt;"",IF(INDEX(LdAAmt,$L1445)=0,"",INDEX(LdAAmt,$L1445)),IF($M1445&lt;&gt;"",IF(INDEX(LdBAmt,$M1445)=0,"",INDEX(LdBAmt,$M1445)),IF($N1445&lt;&gt;"",IF(INDEX(LdCDep,$N1445)=0,"",INDEX(LdCDep,$N1445)),"")))</f>
        <v/>
      </c>
      <c r="F1445" s="16">
        <f>IF(AND($L1445="",$M1445="",$N1445=""),"",IF($N1445="","",IF(INDEX(LdCWit,$N1445)=0,"",INDEX(LdCWit,$N1445))))</f>
        <v/>
      </c>
      <c r="G1445" s="29">
        <f>IF($B1445="","",IF($G1444="",0,$G1444)+IF($E1445="",0,$E1445)-IF($F1445="",0,$F1445))</f>
        <v/>
      </c>
      <c r="H1445" s="30">
        <f>IF(AND($L1445="",$M1445="",$N1445=""),"",IF($L1445&lt;&gt;"",IF(INDEX(LdANote,$L1445)="","—",INDEX(LdANote,$L1445)),IF($M1445&lt;&gt;"",IF(INDEX(LdBNote,$M1445)="","—",INDEX(LdBNote,$M1445)),IF($N1445&lt;&gt;"",IF(INDEX(LdCNote,$N1445)="","—",INDEX(LdCNote,$N1445)),""))))</f>
        <v/>
      </c>
      <c r="L1445">
        <f>IFERROR(MATCH($C$5&amp;"|"&amp;RIGHT("000000"&amp;1429,6),LdAKeyM,0),"")</f>
        <v/>
      </c>
      <c r="M1445">
        <f>IFERROR(MATCH($C$5&amp;"|"&amp;RIGHT("000000"&amp;1429,6),LdBKeyM,0),"")</f>
        <v/>
      </c>
      <c r="N1445">
        <f>IFERROR(MATCH($C$5&amp;"|"&amp;RIGHT("000000"&amp;1429,6),LdCKeyM,0),"")</f>
        <v/>
      </c>
    </row>
    <row r="1446">
      <c r="A1446" s="19" t="n">
        <v>1430</v>
      </c>
      <c r="B1446" s="20">
        <f>IF(AND($L1446="",$M1446="",$N1446=""),"",IF($L1446&lt;&gt;"",INDEX(LdADate,$L1446),IF($M1446&lt;&gt;"",INDEX(LdBDate,$M1446),INDEX(LdCDate,$N1446))))</f>
        <v/>
      </c>
      <c r="C1446" s="20">
        <f>IF($L1446&lt;&gt;"","دستمزد (فردی)",IF($M1446&lt;&gt;"","سهم از گروه "&amp;IFERROR(VLOOKUP(INDEX(LdBGroup,$M1446),WGTbl,2,0),INDEX(LdBGroup,$M1446)),IF($N1446&lt;&gt;"",IF(N(INDEX(LdCDep,$N1446))&gt;0,"بازگشت بانکی","پرداخت بانکی"),"")))</f>
        <v/>
      </c>
      <c r="D1446" s="20">
        <f>IF($L1446&lt;&gt;"",IF(INDEX(LdAId,$L1446)="","—",INDEX(LdAId,$L1446)),IF($M1446&lt;&gt;"",IF(INDEX(LdBId,$M1446)="","—",INDEX(LdBId,$M1446)),IF($N1446&lt;&gt;"",IF(INDEX(LdCBank,$N1446)="","—",INDEX(LdCBank,$N1446)),"")))</f>
        <v/>
      </c>
      <c r="E1446" s="21">
        <f>IF($L1446&lt;&gt;"",IF(INDEX(LdAAmt,$L1446)=0,"",INDEX(LdAAmt,$L1446)),IF($M1446&lt;&gt;"",IF(INDEX(LdBAmt,$M1446)=0,"",INDEX(LdBAmt,$M1446)),IF($N1446&lt;&gt;"",IF(INDEX(LdCDep,$N1446)=0,"",INDEX(LdCDep,$N1446)),"")))</f>
        <v/>
      </c>
      <c r="F1446" s="21">
        <f>IF(AND($L1446="",$M1446="",$N1446=""),"",IF($N1446="","",IF(INDEX(LdCWit,$N1446)=0,"",INDEX(LdCWit,$N1446))))</f>
        <v/>
      </c>
      <c r="G1446" s="31">
        <f>IF($B1446="","",IF($G1445="",0,$G1445)+IF($E1446="",0,$E1446)-IF($F1446="",0,$F1446))</f>
        <v/>
      </c>
      <c r="H1446" s="32">
        <f>IF(AND($L1446="",$M1446="",$N1446=""),"",IF($L1446&lt;&gt;"",IF(INDEX(LdANote,$L1446)="","—",INDEX(LdANote,$L1446)),IF($M1446&lt;&gt;"",IF(INDEX(LdBNote,$M1446)="","—",INDEX(LdBNote,$M1446)),IF($N1446&lt;&gt;"",IF(INDEX(LdCNote,$N1446)="","—",INDEX(LdCNote,$N1446)),""))))</f>
        <v/>
      </c>
      <c r="L1446">
        <f>IFERROR(MATCH($C$5&amp;"|"&amp;RIGHT("000000"&amp;1430,6),LdAKeyM,0),"")</f>
        <v/>
      </c>
      <c r="M1446">
        <f>IFERROR(MATCH($C$5&amp;"|"&amp;RIGHT("000000"&amp;1430,6),LdBKeyM,0),"")</f>
        <v/>
      </c>
      <c r="N1446">
        <f>IFERROR(MATCH($C$5&amp;"|"&amp;RIGHT("000000"&amp;1430,6),LdCKeyM,0),"")</f>
        <v/>
      </c>
    </row>
    <row r="1447">
      <c r="A1447" s="10" t="n">
        <v>1431</v>
      </c>
      <c r="B1447" s="14">
        <f>IF(AND($L1447="",$M1447="",$N1447=""),"",IF($L1447&lt;&gt;"",INDEX(LdADate,$L1447),IF($M1447&lt;&gt;"",INDEX(LdBDate,$M1447),INDEX(LdCDate,$N1447))))</f>
        <v/>
      </c>
      <c r="C1447" s="14">
        <f>IF($L1447&lt;&gt;"","دستمزد (فردی)",IF($M1447&lt;&gt;"","سهم از گروه "&amp;IFERROR(VLOOKUP(INDEX(LdBGroup,$M1447),WGTbl,2,0),INDEX(LdBGroup,$M1447)),IF($N1447&lt;&gt;"",IF(N(INDEX(LdCDep,$N1447))&gt;0,"بازگشت بانکی","پرداخت بانکی"),"")))</f>
        <v/>
      </c>
      <c r="D1447" s="14">
        <f>IF($L1447&lt;&gt;"",IF(INDEX(LdAId,$L1447)="","—",INDEX(LdAId,$L1447)),IF($M1447&lt;&gt;"",IF(INDEX(LdBId,$M1447)="","—",INDEX(LdBId,$M1447)),IF($N1447&lt;&gt;"",IF(INDEX(LdCBank,$N1447)="","—",INDEX(LdCBank,$N1447)),"")))</f>
        <v/>
      </c>
      <c r="E1447" s="16">
        <f>IF($L1447&lt;&gt;"",IF(INDEX(LdAAmt,$L1447)=0,"",INDEX(LdAAmt,$L1447)),IF($M1447&lt;&gt;"",IF(INDEX(LdBAmt,$M1447)=0,"",INDEX(LdBAmt,$M1447)),IF($N1447&lt;&gt;"",IF(INDEX(LdCDep,$N1447)=0,"",INDEX(LdCDep,$N1447)),"")))</f>
        <v/>
      </c>
      <c r="F1447" s="16">
        <f>IF(AND($L1447="",$M1447="",$N1447=""),"",IF($N1447="","",IF(INDEX(LdCWit,$N1447)=0,"",INDEX(LdCWit,$N1447))))</f>
        <v/>
      </c>
      <c r="G1447" s="29">
        <f>IF($B1447="","",IF($G1446="",0,$G1446)+IF($E1447="",0,$E1447)-IF($F1447="",0,$F1447))</f>
        <v/>
      </c>
      <c r="H1447" s="30">
        <f>IF(AND($L1447="",$M1447="",$N1447=""),"",IF($L1447&lt;&gt;"",IF(INDEX(LdANote,$L1447)="","—",INDEX(LdANote,$L1447)),IF($M1447&lt;&gt;"",IF(INDEX(LdBNote,$M1447)="","—",INDEX(LdBNote,$M1447)),IF($N1447&lt;&gt;"",IF(INDEX(LdCNote,$N1447)="","—",INDEX(LdCNote,$N1447)),""))))</f>
        <v/>
      </c>
      <c r="L1447">
        <f>IFERROR(MATCH($C$5&amp;"|"&amp;RIGHT("000000"&amp;1431,6),LdAKeyM,0),"")</f>
        <v/>
      </c>
      <c r="M1447">
        <f>IFERROR(MATCH($C$5&amp;"|"&amp;RIGHT("000000"&amp;1431,6),LdBKeyM,0),"")</f>
        <v/>
      </c>
      <c r="N1447">
        <f>IFERROR(MATCH($C$5&amp;"|"&amp;RIGHT("000000"&amp;1431,6),LdCKeyM,0),"")</f>
        <v/>
      </c>
    </row>
    <row r="1448">
      <c r="A1448" s="19" t="n">
        <v>1432</v>
      </c>
      <c r="B1448" s="20">
        <f>IF(AND($L1448="",$M1448="",$N1448=""),"",IF($L1448&lt;&gt;"",INDEX(LdADate,$L1448),IF($M1448&lt;&gt;"",INDEX(LdBDate,$M1448),INDEX(LdCDate,$N1448))))</f>
        <v/>
      </c>
      <c r="C1448" s="20">
        <f>IF($L1448&lt;&gt;"","دستمزد (فردی)",IF($M1448&lt;&gt;"","سهم از گروه "&amp;IFERROR(VLOOKUP(INDEX(LdBGroup,$M1448),WGTbl,2,0),INDEX(LdBGroup,$M1448)),IF($N1448&lt;&gt;"",IF(N(INDEX(LdCDep,$N1448))&gt;0,"بازگشت بانکی","پرداخت بانکی"),"")))</f>
        <v/>
      </c>
      <c r="D1448" s="20">
        <f>IF($L1448&lt;&gt;"",IF(INDEX(LdAId,$L1448)="","—",INDEX(LdAId,$L1448)),IF($M1448&lt;&gt;"",IF(INDEX(LdBId,$M1448)="","—",INDEX(LdBId,$M1448)),IF($N1448&lt;&gt;"",IF(INDEX(LdCBank,$N1448)="","—",INDEX(LdCBank,$N1448)),"")))</f>
        <v/>
      </c>
      <c r="E1448" s="21">
        <f>IF($L1448&lt;&gt;"",IF(INDEX(LdAAmt,$L1448)=0,"",INDEX(LdAAmt,$L1448)),IF($M1448&lt;&gt;"",IF(INDEX(LdBAmt,$M1448)=0,"",INDEX(LdBAmt,$M1448)),IF($N1448&lt;&gt;"",IF(INDEX(LdCDep,$N1448)=0,"",INDEX(LdCDep,$N1448)),"")))</f>
        <v/>
      </c>
      <c r="F1448" s="21">
        <f>IF(AND($L1448="",$M1448="",$N1448=""),"",IF($N1448="","",IF(INDEX(LdCWit,$N1448)=0,"",INDEX(LdCWit,$N1448))))</f>
        <v/>
      </c>
      <c r="G1448" s="31">
        <f>IF($B1448="","",IF($G1447="",0,$G1447)+IF($E1448="",0,$E1448)-IF($F1448="",0,$F1448))</f>
        <v/>
      </c>
      <c r="H1448" s="32">
        <f>IF(AND($L1448="",$M1448="",$N1448=""),"",IF($L1448&lt;&gt;"",IF(INDEX(LdANote,$L1448)="","—",INDEX(LdANote,$L1448)),IF($M1448&lt;&gt;"",IF(INDEX(LdBNote,$M1448)="","—",INDEX(LdBNote,$M1448)),IF($N1448&lt;&gt;"",IF(INDEX(LdCNote,$N1448)="","—",INDEX(LdCNote,$N1448)),""))))</f>
        <v/>
      </c>
      <c r="L1448">
        <f>IFERROR(MATCH($C$5&amp;"|"&amp;RIGHT("000000"&amp;1432,6),LdAKeyM,0),"")</f>
        <v/>
      </c>
      <c r="M1448">
        <f>IFERROR(MATCH($C$5&amp;"|"&amp;RIGHT("000000"&amp;1432,6),LdBKeyM,0),"")</f>
        <v/>
      </c>
      <c r="N1448">
        <f>IFERROR(MATCH($C$5&amp;"|"&amp;RIGHT("000000"&amp;1432,6),LdCKeyM,0),"")</f>
        <v/>
      </c>
    </row>
    <row r="1449">
      <c r="A1449" s="10" t="n">
        <v>1433</v>
      </c>
      <c r="B1449" s="14">
        <f>IF(AND($L1449="",$M1449="",$N1449=""),"",IF($L1449&lt;&gt;"",INDEX(LdADate,$L1449),IF($M1449&lt;&gt;"",INDEX(LdBDate,$M1449),INDEX(LdCDate,$N1449))))</f>
        <v/>
      </c>
      <c r="C1449" s="14">
        <f>IF($L1449&lt;&gt;"","دستمزد (فردی)",IF($M1449&lt;&gt;"","سهم از گروه "&amp;IFERROR(VLOOKUP(INDEX(LdBGroup,$M1449),WGTbl,2,0),INDEX(LdBGroup,$M1449)),IF($N1449&lt;&gt;"",IF(N(INDEX(LdCDep,$N1449))&gt;0,"بازگشت بانکی","پرداخت بانکی"),"")))</f>
        <v/>
      </c>
      <c r="D1449" s="14">
        <f>IF($L1449&lt;&gt;"",IF(INDEX(LdAId,$L1449)="","—",INDEX(LdAId,$L1449)),IF($M1449&lt;&gt;"",IF(INDEX(LdBId,$M1449)="","—",INDEX(LdBId,$M1449)),IF($N1449&lt;&gt;"",IF(INDEX(LdCBank,$N1449)="","—",INDEX(LdCBank,$N1449)),"")))</f>
        <v/>
      </c>
      <c r="E1449" s="16">
        <f>IF($L1449&lt;&gt;"",IF(INDEX(LdAAmt,$L1449)=0,"",INDEX(LdAAmt,$L1449)),IF($M1449&lt;&gt;"",IF(INDEX(LdBAmt,$M1449)=0,"",INDEX(LdBAmt,$M1449)),IF($N1449&lt;&gt;"",IF(INDEX(LdCDep,$N1449)=0,"",INDEX(LdCDep,$N1449)),"")))</f>
        <v/>
      </c>
      <c r="F1449" s="16">
        <f>IF(AND($L1449="",$M1449="",$N1449=""),"",IF($N1449="","",IF(INDEX(LdCWit,$N1449)=0,"",INDEX(LdCWit,$N1449))))</f>
        <v/>
      </c>
      <c r="G1449" s="29">
        <f>IF($B1449="","",IF($G1448="",0,$G1448)+IF($E1449="",0,$E1449)-IF($F1449="",0,$F1449))</f>
        <v/>
      </c>
      <c r="H1449" s="30">
        <f>IF(AND($L1449="",$M1449="",$N1449=""),"",IF($L1449&lt;&gt;"",IF(INDEX(LdANote,$L1449)="","—",INDEX(LdANote,$L1449)),IF($M1449&lt;&gt;"",IF(INDEX(LdBNote,$M1449)="","—",INDEX(LdBNote,$M1449)),IF($N1449&lt;&gt;"",IF(INDEX(LdCNote,$N1449)="","—",INDEX(LdCNote,$N1449)),""))))</f>
        <v/>
      </c>
      <c r="L1449">
        <f>IFERROR(MATCH($C$5&amp;"|"&amp;RIGHT("000000"&amp;1433,6),LdAKeyM,0),"")</f>
        <v/>
      </c>
      <c r="M1449">
        <f>IFERROR(MATCH($C$5&amp;"|"&amp;RIGHT("000000"&amp;1433,6),LdBKeyM,0),"")</f>
        <v/>
      </c>
      <c r="N1449">
        <f>IFERROR(MATCH($C$5&amp;"|"&amp;RIGHT("000000"&amp;1433,6),LdCKeyM,0),"")</f>
        <v/>
      </c>
    </row>
    <row r="1450">
      <c r="A1450" s="19" t="n">
        <v>1434</v>
      </c>
      <c r="B1450" s="20">
        <f>IF(AND($L1450="",$M1450="",$N1450=""),"",IF($L1450&lt;&gt;"",INDEX(LdADate,$L1450),IF($M1450&lt;&gt;"",INDEX(LdBDate,$M1450),INDEX(LdCDate,$N1450))))</f>
        <v/>
      </c>
      <c r="C1450" s="20">
        <f>IF($L1450&lt;&gt;"","دستمزد (فردی)",IF($M1450&lt;&gt;"","سهم از گروه "&amp;IFERROR(VLOOKUP(INDEX(LdBGroup,$M1450),WGTbl,2,0),INDEX(LdBGroup,$M1450)),IF($N1450&lt;&gt;"",IF(N(INDEX(LdCDep,$N1450))&gt;0,"بازگشت بانکی","پرداخت بانکی"),"")))</f>
        <v/>
      </c>
      <c r="D1450" s="20">
        <f>IF($L1450&lt;&gt;"",IF(INDEX(LdAId,$L1450)="","—",INDEX(LdAId,$L1450)),IF($M1450&lt;&gt;"",IF(INDEX(LdBId,$M1450)="","—",INDEX(LdBId,$M1450)),IF($N1450&lt;&gt;"",IF(INDEX(LdCBank,$N1450)="","—",INDEX(LdCBank,$N1450)),"")))</f>
        <v/>
      </c>
      <c r="E1450" s="21">
        <f>IF($L1450&lt;&gt;"",IF(INDEX(LdAAmt,$L1450)=0,"",INDEX(LdAAmt,$L1450)),IF($M1450&lt;&gt;"",IF(INDEX(LdBAmt,$M1450)=0,"",INDEX(LdBAmt,$M1450)),IF($N1450&lt;&gt;"",IF(INDEX(LdCDep,$N1450)=0,"",INDEX(LdCDep,$N1450)),"")))</f>
        <v/>
      </c>
      <c r="F1450" s="21">
        <f>IF(AND($L1450="",$M1450="",$N1450=""),"",IF($N1450="","",IF(INDEX(LdCWit,$N1450)=0,"",INDEX(LdCWit,$N1450))))</f>
        <v/>
      </c>
      <c r="G1450" s="31">
        <f>IF($B1450="","",IF($G1449="",0,$G1449)+IF($E1450="",0,$E1450)-IF($F1450="",0,$F1450))</f>
        <v/>
      </c>
      <c r="H1450" s="32">
        <f>IF(AND($L1450="",$M1450="",$N1450=""),"",IF($L1450&lt;&gt;"",IF(INDEX(LdANote,$L1450)="","—",INDEX(LdANote,$L1450)),IF($M1450&lt;&gt;"",IF(INDEX(LdBNote,$M1450)="","—",INDEX(LdBNote,$M1450)),IF($N1450&lt;&gt;"",IF(INDEX(LdCNote,$N1450)="","—",INDEX(LdCNote,$N1450)),""))))</f>
        <v/>
      </c>
      <c r="L1450">
        <f>IFERROR(MATCH($C$5&amp;"|"&amp;RIGHT("000000"&amp;1434,6),LdAKeyM,0),"")</f>
        <v/>
      </c>
      <c r="M1450">
        <f>IFERROR(MATCH($C$5&amp;"|"&amp;RIGHT("000000"&amp;1434,6),LdBKeyM,0),"")</f>
        <v/>
      </c>
      <c r="N1450">
        <f>IFERROR(MATCH($C$5&amp;"|"&amp;RIGHT("000000"&amp;1434,6),LdCKeyM,0),"")</f>
        <v/>
      </c>
    </row>
    <row r="1451">
      <c r="A1451" s="10" t="n">
        <v>1435</v>
      </c>
      <c r="B1451" s="14">
        <f>IF(AND($L1451="",$M1451="",$N1451=""),"",IF($L1451&lt;&gt;"",INDEX(LdADate,$L1451),IF($M1451&lt;&gt;"",INDEX(LdBDate,$M1451),INDEX(LdCDate,$N1451))))</f>
        <v/>
      </c>
      <c r="C1451" s="14">
        <f>IF($L1451&lt;&gt;"","دستمزد (فردی)",IF($M1451&lt;&gt;"","سهم از گروه "&amp;IFERROR(VLOOKUP(INDEX(LdBGroup,$M1451),WGTbl,2,0),INDEX(LdBGroup,$M1451)),IF($N1451&lt;&gt;"",IF(N(INDEX(LdCDep,$N1451))&gt;0,"بازگشت بانکی","پرداخت بانکی"),"")))</f>
        <v/>
      </c>
      <c r="D1451" s="14">
        <f>IF($L1451&lt;&gt;"",IF(INDEX(LdAId,$L1451)="","—",INDEX(LdAId,$L1451)),IF($M1451&lt;&gt;"",IF(INDEX(LdBId,$M1451)="","—",INDEX(LdBId,$M1451)),IF($N1451&lt;&gt;"",IF(INDEX(LdCBank,$N1451)="","—",INDEX(LdCBank,$N1451)),"")))</f>
        <v/>
      </c>
      <c r="E1451" s="16">
        <f>IF($L1451&lt;&gt;"",IF(INDEX(LdAAmt,$L1451)=0,"",INDEX(LdAAmt,$L1451)),IF($M1451&lt;&gt;"",IF(INDEX(LdBAmt,$M1451)=0,"",INDEX(LdBAmt,$M1451)),IF($N1451&lt;&gt;"",IF(INDEX(LdCDep,$N1451)=0,"",INDEX(LdCDep,$N1451)),"")))</f>
        <v/>
      </c>
      <c r="F1451" s="16">
        <f>IF(AND($L1451="",$M1451="",$N1451=""),"",IF($N1451="","",IF(INDEX(LdCWit,$N1451)=0,"",INDEX(LdCWit,$N1451))))</f>
        <v/>
      </c>
      <c r="G1451" s="29">
        <f>IF($B1451="","",IF($G1450="",0,$G1450)+IF($E1451="",0,$E1451)-IF($F1451="",0,$F1451))</f>
        <v/>
      </c>
      <c r="H1451" s="30">
        <f>IF(AND($L1451="",$M1451="",$N1451=""),"",IF($L1451&lt;&gt;"",IF(INDEX(LdANote,$L1451)="","—",INDEX(LdANote,$L1451)),IF($M1451&lt;&gt;"",IF(INDEX(LdBNote,$M1451)="","—",INDEX(LdBNote,$M1451)),IF($N1451&lt;&gt;"",IF(INDEX(LdCNote,$N1451)="","—",INDEX(LdCNote,$N1451)),""))))</f>
        <v/>
      </c>
      <c r="L1451">
        <f>IFERROR(MATCH($C$5&amp;"|"&amp;RIGHT("000000"&amp;1435,6),LdAKeyM,0),"")</f>
        <v/>
      </c>
      <c r="M1451">
        <f>IFERROR(MATCH($C$5&amp;"|"&amp;RIGHT("000000"&amp;1435,6),LdBKeyM,0),"")</f>
        <v/>
      </c>
      <c r="N1451">
        <f>IFERROR(MATCH($C$5&amp;"|"&amp;RIGHT("000000"&amp;1435,6),LdCKeyM,0),"")</f>
        <v/>
      </c>
    </row>
    <row r="1452">
      <c r="A1452" s="19" t="n">
        <v>1436</v>
      </c>
      <c r="B1452" s="20">
        <f>IF(AND($L1452="",$M1452="",$N1452=""),"",IF($L1452&lt;&gt;"",INDEX(LdADate,$L1452),IF($M1452&lt;&gt;"",INDEX(LdBDate,$M1452),INDEX(LdCDate,$N1452))))</f>
        <v/>
      </c>
      <c r="C1452" s="20">
        <f>IF($L1452&lt;&gt;"","دستمزد (فردی)",IF($M1452&lt;&gt;"","سهم از گروه "&amp;IFERROR(VLOOKUP(INDEX(LdBGroup,$M1452),WGTbl,2,0),INDEX(LdBGroup,$M1452)),IF($N1452&lt;&gt;"",IF(N(INDEX(LdCDep,$N1452))&gt;0,"بازگشت بانکی","پرداخت بانکی"),"")))</f>
        <v/>
      </c>
      <c r="D1452" s="20">
        <f>IF($L1452&lt;&gt;"",IF(INDEX(LdAId,$L1452)="","—",INDEX(LdAId,$L1452)),IF($M1452&lt;&gt;"",IF(INDEX(LdBId,$M1452)="","—",INDEX(LdBId,$M1452)),IF($N1452&lt;&gt;"",IF(INDEX(LdCBank,$N1452)="","—",INDEX(LdCBank,$N1452)),"")))</f>
        <v/>
      </c>
      <c r="E1452" s="21">
        <f>IF($L1452&lt;&gt;"",IF(INDEX(LdAAmt,$L1452)=0,"",INDEX(LdAAmt,$L1452)),IF($M1452&lt;&gt;"",IF(INDEX(LdBAmt,$M1452)=0,"",INDEX(LdBAmt,$M1452)),IF($N1452&lt;&gt;"",IF(INDEX(LdCDep,$N1452)=0,"",INDEX(LdCDep,$N1452)),"")))</f>
        <v/>
      </c>
      <c r="F1452" s="21">
        <f>IF(AND($L1452="",$M1452="",$N1452=""),"",IF($N1452="","",IF(INDEX(LdCWit,$N1452)=0,"",INDEX(LdCWit,$N1452))))</f>
        <v/>
      </c>
      <c r="G1452" s="31">
        <f>IF($B1452="","",IF($G1451="",0,$G1451)+IF($E1452="",0,$E1452)-IF($F1452="",0,$F1452))</f>
        <v/>
      </c>
      <c r="H1452" s="32">
        <f>IF(AND($L1452="",$M1452="",$N1452=""),"",IF($L1452&lt;&gt;"",IF(INDEX(LdANote,$L1452)="","—",INDEX(LdANote,$L1452)),IF($M1452&lt;&gt;"",IF(INDEX(LdBNote,$M1452)="","—",INDEX(LdBNote,$M1452)),IF($N1452&lt;&gt;"",IF(INDEX(LdCNote,$N1452)="","—",INDEX(LdCNote,$N1452)),""))))</f>
        <v/>
      </c>
      <c r="L1452">
        <f>IFERROR(MATCH($C$5&amp;"|"&amp;RIGHT("000000"&amp;1436,6),LdAKeyM,0),"")</f>
        <v/>
      </c>
      <c r="M1452">
        <f>IFERROR(MATCH($C$5&amp;"|"&amp;RIGHT("000000"&amp;1436,6),LdBKeyM,0),"")</f>
        <v/>
      </c>
      <c r="N1452">
        <f>IFERROR(MATCH($C$5&amp;"|"&amp;RIGHT("000000"&amp;1436,6),LdCKeyM,0),"")</f>
        <v/>
      </c>
    </row>
    <row r="1453">
      <c r="A1453" s="10" t="n">
        <v>1437</v>
      </c>
      <c r="B1453" s="14">
        <f>IF(AND($L1453="",$M1453="",$N1453=""),"",IF($L1453&lt;&gt;"",INDEX(LdADate,$L1453),IF($M1453&lt;&gt;"",INDEX(LdBDate,$M1453),INDEX(LdCDate,$N1453))))</f>
        <v/>
      </c>
      <c r="C1453" s="14">
        <f>IF($L1453&lt;&gt;"","دستمزد (فردی)",IF($M1453&lt;&gt;"","سهم از گروه "&amp;IFERROR(VLOOKUP(INDEX(LdBGroup,$M1453),WGTbl,2,0),INDEX(LdBGroup,$M1453)),IF($N1453&lt;&gt;"",IF(N(INDEX(LdCDep,$N1453))&gt;0,"بازگشت بانکی","پرداخت بانکی"),"")))</f>
        <v/>
      </c>
      <c r="D1453" s="14">
        <f>IF($L1453&lt;&gt;"",IF(INDEX(LdAId,$L1453)="","—",INDEX(LdAId,$L1453)),IF($M1453&lt;&gt;"",IF(INDEX(LdBId,$M1453)="","—",INDEX(LdBId,$M1453)),IF($N1453&lt;&gt;"",IF(INDEX(LdCBank,$N1453)="","—",INDEX(LdCBank,$N1453)),"")))</f>
        <v/>
      </c>
      <c r="E1453" s="16">
        <f>IF($L1453&lt;&gt;"",IF(INDEX(LdAAmt,$L1453)=0,"",INDEX(LdAAmt,$L1453)),IF($M1453&lt;&gt;"",IF(INDEX(LdBAmt,$M1453)=0,"",INDEX(LdBAmt,$M1453)),IF($N1453&lt;&gt;"",IF(INDEX(LdCDep,$N1453)=0,"",INDEX(LdCDep,$N1453)),"")))</f>
        <v/>
      </c>
      <c r="F1453" s="16">
        <f>IF(AND($L1453="",$M1453="",$N1453=""),"",IF($N1453="","",IF(INDEX(LdCWit,$N1453)=0,"",INDEX(LdCWit,$N1453))))</f>
        <v/>
      </c>
      <c r="G1453" s="29">
        <f>IF($B1453="","",IF($G1452="",0,$G1452)+IF($E1453="",0,$E1453)-IF($F1453="",0,$F1453))</f>
        <v/>
      </c>
      <c r="H1453" s="30">
        <f>IF(AND($L1453="",$M1453="",$N1453=""),"",IF($L1453&lt;&gt;"",IF(INDEX(LdANote,$L1453)="","—",INDEX(LdANote,$L1453)),IF($M1453&lt;&gt;"",IF(INDEX(LdBNote,$M1453)="","—",INDEX(LdBNote,$M1453)),IF($N1453&lt;&gt;"",IF(INDEX(LdCNote,$N1453)="","—",INDEX(LdCNote,$N1453)),""))))</f>
        <v/>
      </c>
      <c r="L1453">
        <f>IFERROR(MATCH($C$5&amp;"|"&amp;RIGHT("000000"&amp;1437,6),LdAKeyM,0),"")</f>
        <v/>
      </c>
      <c r="M1453">
        <f>IFERROR(MATCH($C$5&amp;"|"&amp;RIGHT("000000"&amp;1437,6),LdBKeyM,0),"")</f>
        <v/>
      </c>
      <c r="N1453">
        <f>IFERROR(MATCH($C$5&amp;"|"&amp;RIGHT("000000"&amp;1437,6),LdCKeyM,0),"")</f>
        <v/>
      </c>
    </row>
    <row r="1454">
      <c r="A1454" s="19" t="n">
        <v>1438</v>
      </c>
      <c r="B1454" s="20">
        <f>IF(AND($L1454="",$M1454="",$N1454=""),"",IF($L1454&lt;&gt;"",INDEX(LdADate,$L1454),IF($M1454&lt;&gt;"",INDEX(LdBDate,$M1454),INDEX(LdCDate,$N1454))))</f>
        <v/>
      </c>
      <c r="C1454" s="20">
        <f>IF($L1454&lt;&gt;"","دستمزد (فردی)",IF($M1454&lt;&gt;"","سهم از گروه "&amp;IFERROR(VLOOKUP(INDEX(LdBGroup,$M1454),WGTbl,2,0),INDEX(LdBGroup,$M1454)),IF($N1454&lt;&gt;"",IF(N(INDEX(LdCDep,$N1454))&gt;0,"بازگشت بانکی","پرداخت بانکی"),"")))</f>
        <v/>
      </c>
      <c r="D1454" s="20">
        <f>IF($L1454&lt;&gt;"",IF(INDEX(LdAId,$L1454)="","—",INDEX(LdAId,$L1454)),IF($M1454&lt;&gt;"",IF(INDEX(LdBId,$M1454)="","—",INDEX(LdBId,$M1454)),IF($N1454&lt;&gt;"",IF(INDEX(LdCBank,$N1454)="","—",INDEX(LdCBank,$N1454)),"")))</f>
        <v/>
      </c>
      <c r="E1454" s="21">
        <f>IF($L1454&lt;&gt;"",IF(INDEX(LdAAmt,$L1454)=0,"",INDEX(LdAAmt,$L1454)),IF($M1454&lt;&gt;"",IF(INDEX(LdBAmt,$M1454)=0,"",INDEX(LdBAmt,$M1454)),IF($N1454&lt;&gt;"",IF(INDEX(LdCDep,$N1454)=0,"",INDEX(LdCDep,$N1454)),"")))</f>
        <v/>
      </c>
      <c r="F1454" s="21">
        <f>IF(AND($L1454="",$M1454="",$N1454=""),"",IF($N1454="","",IF(INDEX(LdCWit,$N1454)=0,"",INDEX(LdCWit,$N1454))))</f>
        <v/>
      </c>
      <c r="G1454" s="31">
        <f>IF($B1454="","",IF($G1453="",0,$G1453)+IF($E1454="",0,$E1454)-IF($F1454="",0,$F1454))</f>
        <v/>
      </c>
      <c r="H1454" s="32">
        <f>IF(AND($L1454="",$M1454="",$N1454=""),"",IF($L1454&lt;&gt;"",IF(INDEX(LdANote,$L1454)="","—",INDEX(LdANote,$L1454)),IF($M1454&lt;&gt;"",IF(INDEX(LdBNote,$M1454)="","—",INDEX(LdBNote,$M1454)),IF($N1454&lt;&gt;"",IF(INDEX(LdCNote,$N1454)="","—",INDEX(LdCNote,$N1454)),""))))</f>
        <v/>
      </c>
      <c r="L1454">
        <f>IFERROR(MATCH($C$5&amp;"|"&amp;RIGHT("000000"&amp;1438,6),LdAKeyM,0),"")</f>
        <v/>
      </c>
      <c r="M1454">
        <f>IFERROR(MATCH($C$5&amp;"|"&amp;RIGHT("000000"&amp;1438,6),LdBKeyM,0),"")</f>
        <v/>
      </c>
      <c r="N1454">
        <f>IFERROR(MATCH($C$5&amp;"|"&amp;RIGHT("000000"&amp;1438,6),LdCKeyM,0),"")</f>
        <v/>
      </c>
    </row>
    <row r="1455">
      <c r="A1455" s="10" t="n">
        <v>1439</v>
      </c>
      <c r="B1455" s="14">
        <f>IF(AND($L1455="",$M1455="",$N1455=""),"",IF($L1455&lt;&gt;"",INDEX(LdADate,$L1455),IF($M1455&lt;&gt;"",INDEX(LdBDate,$M1455),INDEX(LdCDate,$N1455))))</f>
        <v/>
      </c>
      <c r="C1455" s="14">
        <f>IF($L1455&lt;&gt;"","دستمزد (فردی)",IF($M1455&lt;&gt;"","سهم از گروه "&amp;IFERROR(VLOOKUP(INDEX(LdBGroup,$M1455),WGTbl,2,0),INDEX(LdBGroup,$M1455)),IF($N1455&lt;&gt;"",IF(N(INDEX(LdCDep,$N1455))&gt;0,"بازگشت بانکی","پرداخت بانکی"),"")))</f>
        <v/>
      </c>
      <c r="D1455" s="14">
        <f>IF($L1455&lt;&gt;"",IF(INDEX(LdAId,$L1455)="","—",INDEX(LdAId,$L1455)),IF($M1455&lt;&gt;"",IF(INDEX(LdBId,$M1455)="","—",INDEX(LdBId,$M1455)),IF($N1455&lt;&gt;"",IF(INDEX(LdCBank,$N1455)="","—",INDEX(LdCBank,$N1455)),"")))</f>
        <v/>
      </c>
      <c r="E1455" s="16">
        <f>IF($L1455&lt;&gt;"",IF(INDEX(LdAAmt,$L1455)=0,"",INDEX(LdAAmt,$L1455)),IF($M1455&lt;&gt;"",IF(INDEX(LdBAmt,$M1455)=0,"",INDEX(LdBAmt,$M1455)),IF($N1455&lt;&gt;"",IF(INDEX(LdCDep,$N1455)=0,"",INDEX(LdCDep,$N1455)),"")))</f>
        <v/>
      </c>
      <c r="F1455" s="16">
        <f>IF(AND($L1455="",$M1455="",$N1455=""),"",IF($N1455="","",IF(INDEX(LdCWit,$N1455)=0,"",INDEX(LdCWit,$N1455))))</f>
        <v/>
      </c>
      <c r="G1455" s="29">
        <f>IF($B1455="","",IF($G1454="",0,$G1454)+IF($E1455="",0,$E1455)-IF($F1455="",0,$F1455))</f>
        <v/>
      </c>
      <c r="H1455" s="30">
        <f>IF(AND($L1455="",$M1455="",$N1455=""),"",IF($L1455&lt;&gt;"",IF(INDEX(LdANote,$L1455)="","—",INDEX(LdANote,$L1455)),IF($M1455&lt;&gt;"",IF(INDEX(LdBNote,$M1455)="","—",INDEX(LdBNote,$M1455)),IF($N1455&lt;&gt;"",IF(INDEX(LdCNote,$N1455)="","—",INDEX(LdCNote,$N1455)),""))))</f>
        <v/>
      </c>
      <c r="L1455">
        <f>IFERROR(MATCH($C$5&amp;"|"&amp;RIGHT("000000"&amp;1439,6),LdAKeyM,0),"")</f>
        <v/>
      </c>
      <c r="M1455">
        <f>IFERROR(MATCH($C$5&amp;"|"&amp;RIGHT("000000"&amp;1439,6),LdBKeyM,0),"")</f>
        <v/>
      </c>
      <c r="N1455">
        <f>IFERROR(MATCH($C$5&amp;"|"&amp;RIGHT("000000"&amp;1439,6),LdCKeyM,0),"")</f>
        <v/>
      </c>
    </row>
    <row r="1456">
      <c r="A1456" s="19" t="n">
        <v>1440</v>
      </c>
      <c r="B1456" s="20">
        <f>IF(AND($L1456="",$M1456="",$N1456=""),"",IF($L1456&lt;&gt;"",INDEX(LdADate,$L1456),IF($M1456&lt;&gt;"",INDEX(LdBDate,$M1456),INDEX(LdCDate,$N1456))))</f>
        <v/>
      </c>
      <c r="C1456" s="20">
        <f>IF($L1456&lt;&gt;"","دستمزد (فردی)",IF($M1456&lt;&gt;"","سهم از گروه "&amp;IFERROR(VLOOKUP(INDEX(LdBGroup,$M1456),WGTbl,2,0),INDEX(LdBGroup,$M1456)),IF($N1456&lt;&gt;"",IF(N(INDEX(LdCDep,$N1456))&gt;0,"بازگشت بانکی","پرداخت بانکی"),"")))</f>
        <v/>
      </c>
      <c r="D1456" s="20">
        <f>IF($L1456&lt;&gt;"",IF(INDEX(LdAId,$L1456)="","—",INDEX(LdAId,$L1456)),IF($M1456&lt;&gt;"",IF(INDEX(LdBId,$M1456)="","—",INDEX(LdBId,$M1456)),IF($N1456&lt;&gt;"",IF(INDEX(LdCBank,$N1456)="","—",INDEX(LdCBank,$N1456)),"")))</f>
        <v/>
      </c>
      <c r="E1456" s="21">
        <f>IF($L1456&lt;&gt;"",IF(INDEX(LdAAmt,$L1456)=0,"",INDEX(LdAAmt,$L1456)),IF($M1456&lt;&gt;"",IF(INDEX(LdBAmt,$M1456)=0,"",INDEX(LdBAmt,$M1456)),IF($N1456&lt;&gt;"",IF(INDEX(LdCDep,$N1456)=0,"",INDEX(LdCDep,$N1456)),"")))</f>
        <v/>
      </c>
      <c r="F1456" s="21">
        <f>IF(AND($L1456="",$M1456="",$N1456=""),"",IF($N1456="","",IF(INDEX(LdCWit,$N1456)=0,"",INDEX(LdCWit,$N1456))))</f>
        <v/>
      </c>
      <c r="G1456" s="31">
        <f>IF($B1456="","",IF($G1455="",0,$G1455)+IF($E1456="",0,$E1456)-IF($F1456="",0,$F1456))</f>
        <v/>
      </c>
      <c r="H1456" s="32">
        <f>IF(AND($L1456="",$M1456="",$N1456=""),"",IF($L1456&lt;&gt;"",IF(INDEX(LdANote,$L1456)="","—",INDEX(LdANote,$L1456)),IF($M1456&lt;&gt;"",IF(INDEX(LdBNote,$M1456)="","—",INDEX(LdBNote,$M1456)),IF($N1456&lt;&gt;"",IF(INDEX(LdCNote,$N1456)="","—",INDEX(LdCNote,$N1456)),""))))</f>
        <v/>
      </c>
      <c r="L1456">
        <f>IFERROR(MATCH($C$5&amp;"|"&amp;RIGHT("000000"&amp;1440,6),LdAKeyM,0),"")</f>
        <v/>
      </c>
      <c r="M1456">
        <f>IFERROR(MATCH($C$5&amp;"|"&amp;RIGHT("000000"&amp;1440,6),LdBKeyM,0),"")</f>
        <v/>
      </c>
      <c r="N1456">
        <f>IFERROR(MATCH($C$5&amp;"|"&amp;RIGHT("000000"&amp;1440,6),LdCKeyM,0),"")</f>
        <v/>
      </c>
    </row>
    <row r="1457">
      <c r="A1457" s="10" t="n">
        <v>1441</v>
      </c>
      <c r="B1457" s="14">
        <f>IF(AND($L1457="",$M1457="",$N1457=""),"",IF($L1457&lt;&gt;"",INDEX(LdADate,$L1457),IF($M1457&lt;&gt;"",INDEX(LdBDate,$M1457),INDEX(LdCDate,$N1457))))</f>
        <v/>
      </c>
      <c r="C1457" s="14">
        <f>IF($L1457&lt;&gt;"","دستمزد (فردی)",IF($M1457&lt;&gt;"","سهم از گروه "&amp;IFERROR(VLOOKUP(INDEX(LdBGroup,$M1457),WGTbl,2,0),INDEX(LdBGroup,$M1457)),IF($N1457&lt;&gt;"",IF(N(INDEX(LdCDep,$N1457))&gt;0,"بازگشت بانکی","پرداخت بانکی"),"")))</f>
        <v/>
      </c>
      <c r="D1457" s="14">
        <f>IF($L1457&lt;&gt;"",IF(INDEX(LdAId,$L1457)="","—",INDEX(LdAId,$L1457)),IF($M1457&lt;&gt;"",IF(INDEX(LdBId,$M1457)="","—",INDEX(LdBId,$M1457)),IF($N1457&lt;&gt;"",IF(INDEX(LdCBank,$N1457)="","—",INDEX(LdCBank,$N1457)),"")))</f>
        <v/>
      </c>
      <c r="E1457" s="16">
        <f>IF($L1457&lt;&gt;"",IF(INDEX(LdAAmt,$L1457)=0,"",INDEX(LdAAmt,$L1457)),IF($M1457&lt;&gt;"",IF(INDEX(LdBAmt,$M1457)=0,"",INDEX(LdBAmt,$M1457)),IF($N1457&lt;&gt;"",IF(INDEX(LdCDep,$N1457)=0,"",INDEX(LdCDep,$N1457)),"")))</f>
        <v/>
      </c>
      <c r="F1457" s="16">
        <f>IF(AND($L1457="",$M1457="",$N1457=""),"",IF($N1457="","",IF(INDEX(LdCWit,$N1457)=0,"",INDEX(LdCWit,$N1457))))</f>
        <v/>
      </c>
      <c r="G1457" s="29">
        <f>IF($B1457="","",IF($G1456="",0,$G1456)+IF($E1457="",0,$E1457)-IF($F1457="",0,$F1457))</f>
        <v/>
      </c>
      <c r="H1457" s="30">
        <f>IF(AND($L1457="",$M1457="",$N1457=""),"",IF($L1457&lt;&gt;"",IF(INDEX(LdANote,$L1457)="","—",INDEX(LdANote,$L1457)),IF($M1457&lt;&gt;"",IF(INDEX(LdBNote,$M1457)="","—",INDEX(LdBNote,$M1457)),IF($N1457&lt;&gt;"",IF(INDEX(LdCNote,$N1457)="","—",INDEX(LdCNote,$N1457)),""))))</f>
        <v/>
      </c>
      <c r="L1457">
        <f>IFERROR(MATCH($C$5&amp;"|"&amp;RIGHT("000000"&amp;1441,6),LdAKeyM,0),"")</f>
        <v/>
      </c>
      <c r="M1457">
        <f>IFERROR(MATCH($C$5&amp;"|"&amp;RIGHT("000000"&amp;1441,6),LdBKeyM,0),"")</f>
        <v/>
      </c>
      <c r="N1457">
        <f>IFERROR(MATCH($C$5&amp;"|"&amp;RIGHT("000000"&amp;1441,6),LdCKeyM,0),"")</f>
        <v/>
      </c>
    </row>
    <row r="1458">
      <c r="A1458" s="19" t="n">
        <v>1442</v>
      </c>
      <c r="B1458" s="20">
        <f>IF(AND($L1458="",$M1458="",$N1458=""),"",IF($L1458&lt;&gt;"",INDEX(LdADate,$L1458),IF($M1458&lt;&gt;"",INDEX(LdBDate,$M1458),INDEX(LdCDate,$N1458))))</f>
        <v/>
      </c>
      <c r="C1458" s="20">
        <f>IF($L1458&lt;&gt;"","دستمزد (فردی)",IF($M1458&lt;&gt;"","سهم از گروه "&amp;IFERROR(VLOOKUP(INDEX(LdBGroup,$M1458),WGTbl,2,0),INDEX(LdBGroup,$M1458)),IF($N1458&lt;&gt;"",IF(N(INDEX(LdCDep,$N1458))&gt;0,"بازگشت بانکی","پرداخت بانکی"),"")))</f>
        <v/>
      </c>
      <c r="D1458" s="20">
        <f>IF($L1458&lt;&gt;"",IF(INDEX(LdAId,$L1458)="","—",INDEX(LdAId,$L1458)),IF($M1458&lt;&gt;"",IF(INDEX(LdBId,$M1458)="","—",INDEX(LdBId,$M1458)),IF($N1458&lt;&gt;"",IF(INDEX(LdCBank,$N1458)="","—",INDEX(LdCBank,$N1458)),"")))</f>
        <v/>
      </c>
      <c r="E1458" s="21">
        <f>IF($L1458&lt;&gt;"",IF(INDEX(LdAAmt,$L1458)=0,"",INDEX(LdAAmt,$L1458)),IF($M1458&lt;&gt;"",IF(INDEX(LdBAmt,$M1458)=0,"",INDEX(LdBAmt,$M1458)),IF($N1458&lt;&gt;"",IF(INDEX(LdCDep,$N1458)=0,"",INDEX(LdCDep,$N1458)),"")))</f>
        <v/>
      </c>
      <c r="F1458" s="21">
        <f>IF(AND($L1458="",$M1458="",$N1458=""),"",IF($N1458="","",IF(INDEX(LdCWit,$N1458)=0,"",INDEX(LdCWit,$N1458))))</f>
        <v/>
      </c>
      <c r="G1458" s="31">
        <f>IF($B1458="","",IF($G1457="",0,$G1457)+IF($E1458="",0,$E1458)-IF($F1458="",0,$F1458))</f>
        <v/>
      </c>
      <c r="H1458" s="32">
        <f>IF(AND($L1458="",$M1458="",$N1458=""),"",IF($L1458&lt;&gt;"",IF(INDEX(LdANote,$L1458)="","—",INDEX(LdANote,$L1458)),IF($M1458&lt;&gt;"",IF(INDEX(LdBNote,$M1458)="","—",INDEX(LdBNote,$M1458)),IF($N1458&lt;&gt;"",IF(INDEX(LdCNote,$N1458)="","—",INDEX(LdCNote,$N1458)),""))))</f>
        <v/>
      </c>
      <c r="L1458">
        <f>IFERROR(MATCH($C$5&amp;"|"&amp;RIGHT("000000"&amp;1442,6),LdAKeyM,0),"")</f>
        <v/>
      </c>
      <c r="M1458">
        <f>IFERROR(MATCH($C$5&amp;"|"&amp;RIGHT("000000"&amp;1442,6),LdBKeyM,0),"")</f>
        <v/>
      </c>
      <c r="N1458">
        <f>IFERROR(MATCH($C$5&amp;"|"&amp;RIGHT("000000"&amp;1442,6),LdCKeyM,0),"")</f>
        <v/>
      </c>
    </row>
    <row r="1459">
      <c r="A1459" s="10" t="n">
        <v>1443</v>
      </c>
      <c r="B1459" s="14">
        <f>IF(AND($L1459="",$M1459="",$N1459=""),"",IF($L1459&lt;&gt;"",INDEX(LdADate,$L1459),IF($M1459&lt;&gt;"",INDEX(LdBDate,$M1459),INDEX(LdCDate,$N1459))))</f>
        <v/>
      </c>
      <c r="C1459" s="14">
        <f>IF($L1459&lt;&gt;"","دستمزد (فردی)",IF($M1459&lt;&gt;"","سهم از گروه "&amp;IFERROR(VLOOKUP(INDEX(LdBGroup,$M1459),WGTbl,2,0),INDEX(LdBGroup,$M1459)),IF($N1459&lt;&gt;"",IF(N(INDEX(LdCDep,$N1459))&gt;0,"بازگشت بانکی","پرداخت بانکی"),"")))</f>
        <v/>
      </c>
      <c r="D1459" s="14">
        <f>IF($L1459&lt;&gt;"",IF(INDEX(LdAId,$L1459)="","—",INDEX(LdAId,$L1459)),IF($M1459&lt;&gt;"",IF(INDEX(LdBId,$M1459)="","—",INDEX(LdBId,$M1459)),IF($N1459&lt;&gt;"",IF(INDEX(LdCBank,$N1459)="","—",INDEX(LdCBank,$N1459)),"")))</f>
        <v/>
      </c>
      <c r="E1459" s="16">
        <f>IF($L1459&lt;&gt;"",IF(INDEX(LdAAmt,$L1459)=0,"",INDEX(LdAAmt,$L1459)),IF($M1459&lt;&gt;"",IF(INDEX(LdBAmt,$M1459)=0,"",INDEX(LdBAmt,$M1459)),IF($N1459&lt;&gt;"",IF(INDEX(LdCDep,$N1459)=0,"",INDEX(LdCDep,$N1459)),"")))</f>
        <v/>
      </c>
      <c r="F1459" s="16">
        <f>IF(AND($L1459="",$M1459="",$N1459=""),"",IF($N1459="","",IF(INDEX(LdCWit,$N1459)=0,"",INDEX(LdCWit,$N1459))))</f>
        <v/>
      </c>
      <c r="G1459" s="29">
        <f>IF($B1459="","",IF($G1458="",0,$G1458)+IF($E1459="",0,$E1459)-IF($F1459="",0,$F1459))</f>
        <v/>
      </c>
      <c r="H1459" s="30">
        <f>IF(AND($L1459="",$M1459="",$N1459=""),"",IF($L1459&lt;&gt;"",IF(INDEX(LdANote,$L1459)="","—",INDEX(LdANote,$L1459)),IF($M1459&lt;&gt;"",IF(INDEX(LdBNote,$M1459)="","—",INDEX(LdBNote,$M1459)),IF($N1459&lt;&gt;"",IF(INDEX(LdCNote,$N1459)="","—",INDEX(LdCNote,$N1459)),""))))</f>
        <v/>
      </c>
      <c r="L1459">
        <f>IFERROR(MATCH($C$5&amp;"|"&amp;RIGHT("000000"&amp;1443,6),LdAKeyM,0),"")</f>
        <v/>
      </c>
      <c r="M1459">
        <f>IFERROR(MATCH($C$5&amp;"|"&amp;RIGHT("000000"&amp;1443,6),LdBKeyM,0),"")</f>
        <v/>
      </c>
      <c r="N1459">
        <f>IFERROR(MATCH($C$5&amp;"|"&amp;RIGHT("000000"&amp;1443,6),LdCKeyM,0),"")</f>
        <v/>
      </c>
    </row>
    <row r="1460">
      <c r="A1460" s="19" t="n">
        <v>1444</v>
      </c>
      <c r="B1460" s="20">
        <f>IF(AND($L1460="",$M1460="",$N1460=""),"",IF($L1460&lt;&gt;"",INDEX(LdADate,$L1460),IF($M1460&lt;&gt;"",INDEX(LdBDate,$M1460),INDEX(LdCDate,$N1460))))</f>
        <v/>
      </c>
      <c r="C1460" s="20">
        <f>IF($L1460&lt;&gt;"","دستمزد (فردی)",IF($M1460&lt;&gt;"","سهم از گروه "&amp;IFERROR(VLOOKUP(INDEX(LdBGroup,$M1460),WGTbl,2,0),INDEX(LdBGroup,$M1460)),IF($N1460&lt;&gt;"",IF(N(INDEX(LdCDep,$N1460))&gt;0,"بازگشت بانکی","پرداخت بانکی"),"")))</f>
        <v/>
      </c>
      <c r="D1460" s="20">
        <f>IF($L1460&lt;&gt;"",IF(INDEX(LdAId,$L1460)="","—",INDEX(LdAId,$L1460)),IF($M1460&lt;&gt;"",IF(INDEX(LdBId,$M1460)="","—",INDEX(LdBId,$M1460)),IF($N1460&lt;&gt;"",IF(INDEX(LdCBank,$N1460)="","—",INDEX(LdCBank,$N1460)),"")))</f>
        <v/>
      </c>
      <c r="E1460" s="21">
        <f>IF($L1460&lt;&gt;"",IF(INDEX(LdAAmt,$L1460)=0,"",INDEX(LdAAmt,$L1460)),IF($M1460&lt;&gt;"",IF(INDEX(LdBAmt,$M1460)=0,"",INDEX(LdBAmt,$M1460)),IF($N1460&lt;&gt;"",IF(INDEX(LdCDep,$N1460)=0,"",INDEX(LdCDep,$N1460)),"")))</f>
        <v/>
      </c>
      <c r="F1460" s="21">
        <f>IF(AND($L1460="",$M1460="",$N1460=""),"",IF($N1460="","",IF(INDEX(LdCWit,$N1460)=0,"",INDEX(LdCWit,$N1460))))</f>
        <v/>
      </c>
      <c r="G1460" s="31">
        <f>IF($B1460="","",IF($G1459="",0,$G1459)+IF($E1460="",0,$E1460)-IF($F1460="",0,$F1460))</f>
        <v/>
      </c>
      <c r="H1460" s="32">
        <f>IF(AND($L1460="",$M1460="",$N1460=""),"",IF($L1460&lt;&gt;"",IF(INDEX(LdANote,$L1460)="","—",INDEX(LdANote,$L1460)),IF($M1460&lt;&gt;"",IF(INDEX(LdBNote,$M1460)="","—",INDEX(LdBNote,$M1460)),IF($N1460&lt;&gt;"",IF(INDEX(LdCNote,$N1460)="","—",INDEX(LdCNote,$N1460)),""))))</f>
        <v/>
      </c>
      <c r="L1460">
        <f>IFERROR(MATCH($C$5&amp;"|"&amp;RIGHT("000000"&amp;1444,6),LdAKeyM,0),"")</f>
        <v/>
      </c>
      <c r="M1460">
        <f>IFERROR(MATCH($C$5&amp;"|"&amp;RIGHT("000000"&amp;1444,6),LdBKeyM,0),"")</f>
        <v/>
      </c>
      <c r="N1460">
        <f>IFERROR(MATCH($C$5&amp;"|"&amp;RIGHT("000000"&amp;1444,6),LdCKeyM,0),"")</f>
        <v/>
      </c>
    </row>
    <row r="1461">
      <c r="A1461" s="10" t="n">
        <v>1445</v>
      </c>
      <c r="B1461" s="14">
        <f>IF(AND($L1461="",$M1461="",$N1461=""),"",IF($L1461&lt;&gt;"",INDEX(LdADate,$L1461),IF($M1461&lt;&gt;"",INDEX(LdBDate,$M1461),INDEX(LdCDate,$N1461))))</f>
        <v/>
      </c>
      <c r="C1461" s="14">
        <f>IF($L1461&lt;&gt;"","دستمزد (فردی)",IF($M1461&lt;&gt;"","سهم از گروه "&amp;IFERROR(VLOOKUP(INDEX(LdBGroup,$M1461),WGTbl,2,0),INDEX(LdBGroup,$M1461)),IF($N1461&lt;&gt;"",IF(N(INDEX(LdCDep,$N1461))&gt;0,"بازگشت بانکی","پرداخت بانکی"),"")))</f>
        <v/>
      </c>
      <c r="D1461" s="14">
        <f>IF($L1461&lt;&gt;"",IF(INDEX(LdAId,$L1461)="","—",INDEX(LdAId,$L1461)),IF($M1461&lt;&gt;"",IF(INDEX(LdBId,$M1461)="","—",INDEX(LdBId,$M1461)),IF($N1461&lt;&gt;"",IF(INDEX(LdCBank,$N1461)="","—",INDEX(LdCBank,$N1461)),"")))</f>
        <v/>
      </c>
      <c r="E1461" s="16">
        <f>IF($L1461&lt;&gt;"",IF(INDEX(LdAAmt,$L1461)=0,"",INDEX(LdAAmt,$L1461)),IF($M1461&lt;&gt;"",IF(INDEX(LdBAmt,$M1461)=0,"",INDEX(LdBAmt,$M1461)),IF($N1461&lt;&gt;"",IF(INDEX(LdCDep,$N1461)=0,"",INDEX(LdCDep,$N1461)),"")))</f>
        <v/>
      </c>
      <c r="F1461" s="16">
        <f>IF(AND($L1461="",$M1461="",$N1461=""),"",IF($N1461="","",IF(INDEX(LdCWit,$N1461)=0,"",INDEX(LdCWit,$N1461))))</f>
        <v/>
      </c>
      <c r="G1461" s="29">
        <f>IF($B1461="","",IF($G1460="",0,$G1460)+IF($E1461="",0,$E1461)-IF($F1461="",0,$F1461))</f>
        <v/>
      </c>
      <c r="H1461" s="30">
        <f>IF(AND($L1461="",$M1461="",$N1461=""),"",IF($L1461&lt;&gt;"",IF(INDEX(LdANote,$L1461)="","—",INDEX(LdANote,$L1461)),IF($M1461&lt;&gt;"",IF(INDEX(LdBNote,$M1461)="","—",INDEX(LdBNote,$M1461)),IF($N1461&lt;&gt;"",IF(INDEX(LdCNote,$N1461)="","—",INDEX(LdCNote,$N1461)),""))))</f>
        <v/>
      </c>
      <c r="L1461">
        <f>IFERROR(MATCH($C$5&amp;"|"&amp;RIGHT("000000"&amp;1445,6),LdAKeyM,0),"")</f>
        <v/>
      </c>
      <c r="M1461">
        <f>IFERROR(MATCH($C$5&amp;"|"&amp;RIGHT("000000"&amp;1445,6),LdBKeyM,0),"")</f>
        <v/>
      </c>
      <c r="N1461">
        <f>IFERROR(MATCH($C$5&amp;"|"&amp;RIGHT("000000"&amp;1445,6),LdCKeyM,0),"")</f>
        <v/>
      </c>
    </row>
    <row r="1462">
      <c r="A1462" s="19" t="n">
        <v>1446</v>
      </c>
      <c r="B1462" s="20">
        <f>IF(AND($L1462="",$M1462="",$N1462=""),"",IF($L1462&lt;&gt;"",INDEX(LdADate,$L1462),IF($M1462&lt;&gt;"",INDEX(LdBDate,$M1462),INDEX(LdCDate,$N1462))))</f>
        <v/>
      </c>
      <c r="C1462" s="20">
        <f>IF($L1462&lt;&gt;"","دستمزد (فردی)",IF($M1462&lt;&gt;"","سهم از گروه "&amp;IFERROR(VLOOKUP(INDEX(LdBGroup,$M1462),WGTbl,2,0),INDEX(LdBGroup,$M1462)),IF($N1462&lt;&gt;"",IF(N(INDEX(LdCDep,$N1462))&gt;0,"بازگشت بانکی","پرداخت بانکی"),"")))</f>
        <v/>
      </c>
      <c r="D1462" s="20">
        <f>IF($L1462&lt;&gt;"",IF(INDEX(LdAId,$L1462)="","—",INDEX(LdAId,$L1462)),IF($M1462&lt;&gt;"",IF(INDEX(LdBId,$M1462)="","—",INDEX(LdBId,$M1462)),IF($N1462&lt;&gt;"",IF(INDEX(LdCBank,$N1462)="","—",INDEX(LdCBank,$N1462)),"")))</f>
        <v/>
      </c>
      <c r="E1462" s="21">
        <f>IF($L1462&lt;&gt;"",IF(INDEX(LdAAmt,$L1462)=0,"",INDEX(LdAAmt,$L1462)),IF($M1462&lt;&gt;"",IF(INDEX(LdBAmt,$M1462)=0,"",INDEX(LdBAmt,$M1462)),IF($N1462&lt;&gt;"",IF(INDEX(LdCDep,$N1462)=0,"",INDEX(LdCDep,$N1462)),"")))</f>
        <v/>
      </c>
      <c r="F1462" s="21">
        <f>IF(AND($L1462="",$M1462="",$N1462=""),"",IF($N1462="","",IF(INDEX(LdCWit,$N1462)=0,"",INDEX(LdCWit,$N1462))))</f>
        <v/>
      </c>
      <c r="G1462" s="31">
        <f>IF($B1462="","",IF($G1461="",0,$G1461)+IF($E1462="",0,$E1462)-IF($F1462="",0,$F1462))</f>
        <v/>
      </c>
      <c r="H1462" s="32">
        <f>IF(AND($L1462="",$M1462="",$N1462=""),"",IF($L1462&lt;&gt;"",IF(INDEX(LdANote,$L1462)="","—",INDEX(LdANote,$L1462)),IF($M1462&lt;&gt;"",IF(INDEX(LdBNote,$M1462)="","—",INDEX(LdBNote,$M1462)),IF($N1462&lt;&gt;"",IF(INDEX(LdCNote,$N1462)="","—",INDEX(LdCNote,$N1462)),""))))</f>
        <v/>
      </c>
      <c r="L1462">
        <f>IFERROR(MATCH($C$5&amp;"|"&amp;RIGHT("000000"&amp;1446,6),LdAKeyM,0),"")</f>
        <v/>
      </c>
      <c r="M1462">
        <f>IFERROR(MATCH($C$5&amp;"|"&amp;RIGHT("000000"&amp;1446,6),LdBKeyM,0),"")</f>
        <v/>
      </c>
      <c r="N1462">
        <f>IFERROR(MATCH($C$5&amp;"|"&amp;RIGHT("000000"&amp;1446,6),LdCKeyM,0),"")</f>
        <v/>
      </c>
    </row>
    <row r="1463">
      <c r="A1463" s="10" t="n">
        <v>1447</v>
      </c>
      <c r="B1463" s="14">
        <f>IF(AND($L1463="",$M1463="",$N1463=""),"",IF($L1463&lt;&gt;"",INDEX(LdADate,$L1463),IF($M1463&lt;&gt;"",INDEX(LdBDate,$M1463),INDEX(LdCDate,$N1463))))</f>
        <v/>
      </c>
      <c r="C1463" s="14">
        <f>IF($L1463&lt;&gt;"","دستمزد (فردی)",IF($M1463&lt;&gt;"","سهم از گروه "&amp;IFERROR(VLOOKUP(INDEX(LdBGroup,$M1463),WGTbl,2,0),INDEX(LdBGroup,$M1463)),IF($N1463&lt;&gt;"",IF(N(INDEX(LdCDep,$N1463))&gt;0,"بازگشت بانکی","پرداخت بانکی"),"")))</f>
        <v/>
      </c>
      <c r="D1463" s="14">
        <f>IF($L1463&lt;&gt;"",IF(INDEX(LdAId,$L1463)="","—",INDEX(LdAId,$L1463)),IF($M1463&lt;&gt;"",IF(INDEX(LdBId,$M1463)="","—",INDEX(LdBId,$M1463)),IF($N1463&lt;&gt;"",IF(INDEX(LdCBank,$N1463)="","—",INDEX(LdCBank,$N1463)),"")))</f>
        <v/>
      </c>
      <c r="E1463" s="16">
        <f>IF($L1463&lt;&gt;"",IF(INDEX(LdAAmt,$L1463)=0,"",INDEX(LdAAmt,$L1463)),IF($M1463&lt;&gt;"",IF(INDEX(LdBAmt,$M1463)=0,"",INDEX(LdBAmt,$M1463)),IF($N1463&lt;&gt;"",IF(INDEX(LdCDep,$N1463)=0,"",INDEX(LdCDep,$N1463)),"")))</f>
        <v/>
      </c>
      <c r="F1463" s="16">
        <f>IF(AND($L1463="",$M1463="",$N1463=""),"",IF($N1463="","",IF(INDEX(LdCWit,$N1463)=0,"",INDEX(LdCWit,$N1463))))</f>
        <v/>
      </c>
      <c r="G1463" s="29">
        <f>IF($B1463="","",IF($G1462="",0,$G1462)+IF($E1463="",0,$E1463)-IF($F1463="",0,$F1463))</f>
        <v/>
      </c>
      <c r="H1463" s="30">
        <f>IF(AND($L1463="",$M1463="",$N1463=""),"",IF($L1463&lt;&gt;"",IF(INDEX(LdANote,$L1463)="","—",INDEX(LdANote,$L1463)),IF($M1463&lt;&gt;"",IF(INDEX(LdBNote,$M1463)="","—",INDEX(LdBNote,$M1463)),IF($N1463&lt;&gt;"",IF(INDEX(LdCNote,$N1463)="","—",INDEX(LdCNote,$N1463)),""))))</f>
        <v/>
      </c>
      <c r="L1463">
        <f>IFERROR(MATCH($C$5&amp;"|"&amp;RIGHT("000000"&amp;1447,6),LdAKeyM,0),"")</f>
        <v/>
      </c>
      <c r="M1463">
        <f>IFERROR(MATCH($C$5&amp;"|"&amp;RIGHT("000000"&amp;1447,6),LdBKeyM,0),"")</f>
        <v/>
      </c>
      <c r="N1463">
        <f>IFERROR(MATCH($C$5&amp;"|"&amp;RIGHT("000000"&amp;1447,6),LdCKeyM,0),"")</f>
        <v/>
      </c>
    </row>
    <row r="1464">
      <c r="A1464" s="19" t="n">
        <v>1448</v>
      </c>
      <c r="B1464" s="20">
        <f>IF(AND($L1464="",$M1464="",$N1464=""),"",IF($L1464&lt;&gt;"",INDEX(LdADate,$L1464),IF($M1464&lt;&gt;"",INDEX(LdBDate,$M1464),INDEX(LdCDate,$N1464))))</f>
        <v/>
      </c>
      <c r="C1464" s="20">
        <f>IF($L1464&lt;&gt;"","دستمزد (فردی)",IF($M1464&lt;&gt;"","سهم از گروه "&amp;IFERROR(VLOOKUP(INDEX(LdBGroup,$M1464),WGTbl,2,0),INDEX(LdBGroup,$M1464)),IF($N1464&lt;&gt;"",IF(N(INDEX(LdCDep,$N1464))&gt;0,"بازگشت بانکی","پرداخت بانکی"),"")))</f>
        <v/>
      </c>
      <c r="D1464" s="20">
        <f>IF($L1464&lt;&gt;"",IF(INDEX(LdAId,$L1464)="","—",INDEX(LdAId,$L1464)),IF($M1464&lt;&gt;"",IF(INDEX(LdBId,$M1464)="","—",INDEX(LdBId,$M1464)),IF($N1464&lt;&gt;"",IF(INDEX(LdCBank,$N1464)="","—",INDEX(LdCBank,$N1464)),"")))</f>
        <v/>
      </c>
      <c r="E1464" s="21">
        <f>IF($L1464&lt;&gt;"",IF(INDEX(LdAAmt,$L1464)=0,"",INDEX(LdAAmt,$L1464)),IF($M1464&lt;&gt;"",IF(INDEX(LdBAmt,$M1464)=0,"",INDEX(LdBAmt,$M1464)),IF($N1464&lt;&gt;"",IF(INDEX(LdCDep,$N1464)=0,"",INDEX(LdCDep,$N1464)),"")))</f>
        <v/>
      </c>
      <c r="F1464" s="21">
        <f>IF(AND($L1464="",$M1464="",$N1464=""),"",IF($N1464="","",IF(INDEX(LdCWit,$N1464)=0,"",INDEX(LdCWit,$N1464))))</f>
        <v/>
      </c>
      <c r="G1464" s="31">
        <f>IF($B1464="","",IF($G1463="",0,$G1463)+IF($E1464="",0,$E1464)-IF($F1464="",0,$F1464))</f>
        <v/>
      </c>
      <c r="H1464" s="32">
        <f>IF(AND($L1464="",$M1464="",$N1464=""),"",IF($L1464&lt;&gt;"",IF(INDEX(LdANote,$L1464)="","—",INDEX(LdANote,$L1464)),IF($M1464&lt;&gt;"",IF(INDEX(LdBNote,$M1464)="","—",INDEX(LdBNote,$M1464)),IF($N1464&lt;&gt;"",IF(INDEX(LdCNote,$N1464)="","—",INDEX(LdCNote,$N1464)),""))))</f>
        <v/>
      </c>
      <c r="L1464">
        <f>IFERROR(MATCH($C$5&amp;"|"&amp;RIGHT("000000"&amp;1448,6),LdAKeyM,0),"")</f>
        <v/>
      </c>
      <c r="M1464">
        <f>IFERROR(MATCH($C$5&amp;"|"&amp;RIGHT("000000"&amp;1448,6),LdBKeyM,0),"")</f>
        <v/>
      </c>
      <c r="N1464">
        <f>IFERROR(MATCH($C$5&amp;"|"&amp;RIGHT("000000"&amp;1448,6),LdCKeyM,0),"")</f>
        <v/>
      </c>
    </row>
    <row r="1465">
      <c r="A1465" s="10" t="n">
        <v>1449</v>
      </c>
      <c r="B1465" s="14">
        <f>IF(AND($L1465="",$M1465="",$N1465=""),"",IF($L1465&lt;&gt;"",INDEX(LdADate,$L1465),IF($M1465&lt;&gt;"",INDEX(LdBDate,$M1465),INDEX(LdCDate,$N1465))))</f>
        <v/>
      </c>
      <c r="C1465" s="14">
        <f>IF($L1465&lt;&gt;"","دستمزد (فردی)",IF($M1465&lt;&gt;"","سهم از گروه "&amp;IFERROR(VLOOKUP(INDEX(LdBGroup,$M1465),WGTbl,2,0),INDEX(LdBGroup,$M1465)),IF($N1465&lt;&gt;"",IF(N(INDEX(LdCDep,$N1465))&gt;0,"بازگشت بانکی","پرداخت بانکی"),"")))</f>
        <v/>
      </c>
      <c r="D1465" s="14">
        <f>IF($L1465&lt;&gt;"",IF(INDEX(LdAId,$L1465)="","—",INDEX(LdAId,$L1465)),IF($M1465&lt;&gt;"",IF(INDEX(LdBId,$M1465)="","—",INDEX(LdBId,$M1465)),IF($N1465&lt;&gt;"",IF(INDEX(LdCBank,$N1465)="","—",INDEX(LdCBank,$N1465)),"")))</f>
        <v/>
      </c>
      <c r="E1465" s="16">
        <f>IF($L1465&lt;&gt;"",IF(INDEX(LdAAmt,$L1465)=0,"",INDEX(LdAAmt,$L1465)),IF($M1465&lt;&gt;"",IF(INDEX(LdBAmt,$M1465)=0,"",INDEX(LdBAmt,$M1465)),IF($N1465&lt;&gt;"",IF(INDEX(LdCDep,$N1465)=0,"",INDEX(LdCDep,$N1465)),"")))</f>
        <v/>
      </c>
      <c r="F1465" s="16">
        <f>IF(AND($L1465="",$M1465="",$N1465=""),"",IF($N1465="","",IF(INDEX(LdCWit,$N1465)=0,"",INDEX(LdCWit,$N1465))))</f>
        <v/>
      </c>
      <c r="G1465" s="29">
        <f>IF($B1465="","",IF($G1464="",0,$G1464)+IF($E1465="",0,$E1465)-IF($F1465="",0,$F1465))</f>
        <v/>
      </c>
      <c r="H1465" s="30">
        <f>IF(AND($L1465="",$M1465="",$N1465=""),"",IF($L1465&lt;&gt;"",IF(INDEX(LdANote,$L1465)="","—",INDEX(LdANote,$L1465)),IF($M1465&lt;&gt;"",IF(INDEX(LdBNote,$M1465)="","—",INDEX(LdBNote,$M1465)),IF($N1465&lt;&gt;"",IF(INDEX(LdCNote,$N1465)="","—",INDEX(LdCNote,$N1465)),""))))</f>
        <v/>
      </c>
      <c r="L1465">
        <f>IFERROR(MATCH($C$5&amp;"|"&amp;RIGHT("000000"&amp;1449,6),LdAKeyM,0),"")</f>
        <v/>
      </c>
      <c r="M1465">
        <f>IFERROR(MATCH($C$5&amp;"|"&amp;RIGHT("000000"&amp;1449,6),LdBKeyM,0),"")</f>
        <v/>
      </c>
      <c r="N1465">
        <f>IFERROR(MATCH($C$5&amp;"|"&amp;RIGHT("000000"&amp;1449,6),LdCKeyM,0),"")</f>
        <v/>
      </c>
    </row>
    <row r="1466">
      <c r="A1466" s="19" t="n">
        <v>1450</v>
      </c>
      <c r="B1466" s="20">
        <f>IF(AND($L1466="",$M1466="",$N1466=""),"",IF($L1466&lt;&gt;"",INDEX(LdADate,$L1466),IF($M1466&lt;&gt;"",INDEX(LdBDate,$M1466),INDEX(LdCDate,$N1466))))</f>
        <v/>
      </c>
      <c r="C1466" s="20">
        <f>IF($L1466&lt;&gt;"","دستمزد (فردی)",IF($M1466&lt;&gt;"","سهم از گروه "&amp;IFERROR(VLOOKUP(INDEX(LdBGroup,$M1466),WGTbl,2,0),INDEX(LdBGroup,$M1466)),IF($N1466&lt;&gt;"",IF(N(INDEX(LdCDep,$N1466))&gt;0,"بازگشت بانکی","پرداخت بانکی"),"")))</f>
        <v/>
      </c>
      <c r="D1466" s="20">
        <f>IF($L1466&lt;&gt;"",IF(INDEX(LdAId,$L1466)="","—",INDEX(LdAId,$L1466)),IF($M1466&lt;&gt;"",IF(INDEX(LdBId,$M1466)="","—",INDEX(LdBId,$M1466)),IF($N1466&lt;&gt;"",IF(INDEX(LdCBank,$N1466)="","—",INDEX(LdCBank,$N1466)),"")))</f>
        <v/>
      </c>
      <c r="E1466" s="21">
        <f>IF($L1466&lt;&gt;"",IF(INDEX(LdAAmt,$L1466)=0,"",INDEX(LdAAmt,$L1466)),IF($M1466&lt;&gt;"",IF(INDEX(LdBAmt,$M1466)=0,"",INDEX(LdBAmt,$M1466)),IF($N1466&lt;&gt;"",IF(INDEX(LdCDep,$N1466)=0,"",INDEX(LdCDep,$N1466)),"")))</f>
        <v/>
      </c>
      <c r="F1466" s="21">
        <f>IF(AND($L1466="",$M1466="",$N1466=""),"",IF($N1466="","",IF(INDEX(LdCWit,$N1466)=0,"",INDEX(LdCWit,$N1466))))</f>
        <v/>
      </c>
      <c r="G1466" s="31">
        <f>IF($B1466="","",IF($G1465="",0,$G1465)+IF($E1466="",0,$E1466)-IF($F1466="",0,$F1466))</f>
        <v/>
      </c>
      <c r="H1466" s="32">
        <f>IF(AND($L1466="",$M1466="",$N1466=""),"",IF($L1466&lt;&gt;"",IF(INDEX(LdANote,$L1466)="","—",INDEX(LdANote,$L1466)),IF($M1466&lt;&gt;"",IF(INDEX(LdBNote,$M1466)="","—",INDEX(LdBNote,$M1466)),IF($N1466&lt;&gt;"",IF(INDEX(LdCNote,$N1466)="","—",INDEX(LdCNote,$N1466)),""))))</f>
        <v/>
      </c>
      <c r="L1466">
        <f>IFERROR(MATCH($C$5&amp;"|"&amp;RIGHT("000000"&amp;1450,6),LdAKeyM,0),"")</f>
        <v/>
      </c>
      <c r="M1466">
        <f>IFERROR(MATCH($C$5&amp;"|"&amp;RIGHT("000000"&amp;1450,6),LdBKeyM,0),"")</f>
        <v/>
      </c>
      <c r="N1466">
        <f>IFERROR(MATCH($C$5&amp;"|"&amp;RIGHT("000000"&amp;1450,6),LdCKeyM,0),"")</f>
        <v/>
      </c>
    </row>
    <row r="1467">
      <c r="A1467" s="10" t="n">
        <v>1451</v>
      </c>
      <c r="B1467" s="14">
        <f>IF(AND($L1467="",$M1467="",$N1467=""),"",IF($L1467&lt;&gt;"",INDEX(LdADate,$L1467),IF($M1467&lt;&gt;"",INDEX(LdBDate,$M1467),INDEX(LdCDate,$N1467))))</f>
        <v/>
      </c>
      <c r="C1467" s="14">
        <f>IF($L1467&lt;&gt;"","دستمزد (فردی)",IF($M1467&lt;&gt;"","سهم از گروه "&amp;IFERROR(VLOOKUP(INDEX(LdBGroup,$M1467),WGTbl,2,0),INDEX(LdBGroup,$M1467)),IF($N1467&lt;&gt;"",IF(N(INDEX(LdCDep,$N1467))&gt;0,"بازگشت بانکی","پرداخت بانکی"),"")))</f>
        <v/>
      </c>
      <c r="D1467" s="14">
        <f>IF($L1467&lt;&gt;"",IF(INDEX(LdAId,$L1467)="","—",INDEX(LdAId,$L1467)),IF($M1467&lt;&gt;"",IF(INDEX(LdBId,$M1467)="","—",INDEX(LdBId,$M1467)),IF($N1467&lt;&gt;"",IF(INDEX(LdCBank,$N1467)="","—",INDEX(LdCBank,$N1467)),"")))</f>
        <v/>
      </c>
      <c r="E1467" s="16">
        <f>IF($L1467&lt;&gt;"",IF(INDEX(LdAAmt,$L1467)=0,"",INDEX(LdAAmt,$L1467)),IF($M1467&lt;&gt;"",IF(INDEX(LdBAmt,$M1467)=0,"",INDEX(LdBAmt,$M1467)),IF($N1467&lt;&gt;"",IF(INDEX(LdCDep,$N1467)=0,"",INDEX(LdCDep,$N1467)),"")))</f>
        <v/>
      </c>
      <c r="F1467" s="16">
        <f>IF(AND($L1467="",$M1467="",$N1467=""),"",IF($N1467="","",IF(INDEX(LdCWit,$N1467)=0,"",INDEX(LdCWit,$N1467))))</f>
        <v/>
      </c>
      <c r="G1467" s="29">
        <f>IF($B1467="","",IF($G1466="",0,$G1466)+IF($E1467="",0,$E1467)-IF($F1467="",0,$F1467))</f>
        <v/>
      </c>
      <c r="H1467" s="30">
        <f>IF(AND($L1467="",$M1467="",$N1467=""),"",IF($L1467&lt;&gt;"",IF(INDEX(LdANote,$L1467)="","—",INDEX(LdANote,$L1467)),IF($M1467&lt;&gt;"",IF(INDEX(LdBNote,$M1467)="","—",INDEX(LdBNote,$M1467)),IF($N1467&lt;&gt;"",IF(INDEX(LdCNote,$N1467)="","—",INDEX(LdCNote,$N1467)),""))))</f>
        <v/>
      </c>
      <c r="L1467">
        <f>IFERROR(MATCH($C$5&amp;"|"&amp;RIGHT("000000"&amp;1451,6),LdAKeyM,0),"")</f>
        <v/>
      </c>
      <c r="M1467">
        <f>IFERROR(MATCH($C$5&amp;"|"&amp;RIGHT("000000"&amp;1451,6),LdBKeyM,0),"")</f>
        <v/>
      </c>
      <c r="N1467">
        <f>IFERROR(MATCH($C$5&amp;"|"&amp;RIGHT("000000"&amp;1451,6),LdCKeyM,0),"")</f>
        <v/>
      </c>
    </row>
    <row r="1468">
      <c r="A1468" s="19" t="n">
        <v>1452</v>
      </c>
      <c r="B1468" s="20">
        <f>IF(AND($L1468="",$M1468="",$N1468=""),"",IF($L1468&lt;&gt;"",INDEX(LdADate,$L1468),IF($M1468&lt;&gt;"",INDEX(LdBDate,$M1468),INDEX(LdCDate,$N1468))))</f>
        <v/>
      </c>
      <c r="C1468" s="20">
        <f>IF($L1468&lt;&gt;"","دستمزد (فردی)",IF($M1468&lt;&gt;"","سهم از گروه "&amp;IFERROR(VLOOKUP(INDEX(LdBGroup,$M1468),WGTbl,2,0),INDEX(LdBGroup,$M1468)),IF($N1468&lt;&gt;"",IF(N(INDEX(LdCDep,$N1468))&gt;0,"بازگشت بانکی","پرداخت بانکی"),"")))</f>
        <v/>
      </c>
      <c r="D1468" s="20">
        <f>IF($L1468&lt;&gt;"",IF(INDEX(LdAId,$L1468)="","—",INDEX(LdAId,$L1468)),IF($M1468&lt;&gt;"",IF(INDEX(LdBId,$M1468)="","—",INDEX(LdBId,$M1468)),IF($N1468&lt;&gt;"",IF(INDEX(LdCBank,$N1468)="","—",INDEX(LdCBank,$N1468)),"")))</f>
        <v/>
      </c>
      <c r="E1468" s="21">
        <f>IF($L1468&lt;&gt;"",IF(INDEX(LdAAmt,$L1468)=0,"",INDEX(LdAAmt,$L1468)),IF($M1468&lt;&gt;"",IF(INDEX(LdBAmt,$M1468)=0,"",INDEX(LdBAmt,$M1468)),IF($N1468&lt;&gt;"",IF(INDEX(LdCDep,$N1468)=0,"",INDEX(LdCDep,$N1468)),"")))</f>
        <v/>
      </c>
      <c r="F1468" s="21">
        <f>IF(AND($L1468="",$M1468="",$N1468=""),"",IF($N1468="","",IF(INDEX(LdCWit,$N1468)=0,"",INDEX(LdCWit,$N1468))))</f>
        <v/>
      </c>
      <c r="G1468" s="31">
        <f>IF($B1468="","",IF($G1467="",0,$G1467)+IF($E1468="",0,$E1468)-IF($F1468="",0,$F1468))</f>
        <v/>
      </c>
      <c r="H1468" s="32">
        <f>IF(AND($L1468="",$M1468="",$N1468=""),"",IF($L1468&lt;&gt;"",IF(INDEX(LdANote,$L1468)="","—",INDEX(LdANote,$L1468)),IF($M1468&lt;&gt;"",IF(INDEX(LdBNote,$M1468)="","—",INDEX(LdBNote,$M1468)),IF($N1468&lt;&gt;"",IF(INDEX(LdCNote,$N1468)="","—",INDEX(LdCNote,$N1468)),""))))</f>
        <v/>
      </c>
      <c r="L1468">
        <f>IFERROR(MATCH($C$5&amp;"|"&amp;RIGHT("000000"&amp;1452,6),LdAKeyM,0),"")</f>
        <v/>
      </c>
      <c r="M1468">
        <f>IFERROR(MATCH($C$5&amp;"|"&amp;RIGHT("000000"&amp;1452,6),LdBKeyM,0),"")</f>
        <v/>
      </c>
      <c r="N1468">
        <f>IFERROR(MATCH($C$5&amp;"|"&amp;RIGHT("000000"&amp;1452,6),LdCKeyM,0),"")</f>
        <v/>
      </c>
    </row>
    <row r="1469">
      <c r="A1469" s="10" t="n">
        <v>1453</v>
      </c>
      <c r="B1469" s="14">
        <f>IF(AND($L1469="",$M1469="",$N1469=""),"",IF($L1469&lt;&gt;"",INDEX(LdADate,$L1469),IF($M1469&lt;&gt;"",INDEX(LdBDate,$M1469),INDEX(LdCDate,$N1469))))</f>
        <v/>
      </c>
      <c r="C1469" s="14">
        <f>IF($L1469&lt;&gt;"","دستمزد (فردی)",IF($M1469&lt;&gt;"","سهم از گروه "&amp;IFERROR(VLOOKUP(INDEX(LdBGroup,$M1469),WGTbl,2,0),INDEX(LdBGroup,$M1469)),IF($N1469&lt;&gt;"",IF(N(INDEX(LdCDep,$N1469))&gt;0,"بازگشت بانکی","پرداخت بانکی"),"")))</f>
        <v/>
      </c>
      <c r="D1469" s="14">
        <f>IF($L1469&lt;&gt;"",IF(INDEX(LdAId,$L1469)="","—",INDEX(LdAId,$L1469)),IF($M1469&lt;&gt;"",IF(INDEX(LdBId,$M1469)="","—",INDEX(LdBId,$M1469)),IF($N1469&lt;&gt;"",IF(INDEX(LdCBank,$N1469)="","—",INDEX(LdCBank,$N1469)),"")))</f>
        <v/>
      </c>
      <c r="E1469" s="16">
        <f>IF($L1469&lt;&gt;"",IF(INDEX(LdAAmt,$L1469)=0,"",INDEX(LdAAmt,$L1469)),IF($M1469&lt;&gt;"",IF(INDEX(LdBAmt,$M1469)=0,"",INDEX(LdBAmt,$M1469)),IF($N1469&lt;&gt;"",IF(INDEX(LdCDep,$N1469)=0,"",INDEX(LdCDep,$N1469)),"")))</f>
        <v/>
      </c>
      <c r="F1469" s="16">
        <f>IF(AND($L1469="",$M1469="",$N1469=""),"",IF($N1469="","",IF(INDEX(LdCWit,$N1469)=0,"",INDEX(LdCWit,$N1469))))</f>
        <v/>
      </c>
      <c r="G1469" s="29">
        <f>IF($B1469="","",IF($G1468="",0,$G1468)+IF($E1469="",0,$E1469)-IF($F1469="",0,$F1469))</f>
        <v/>
      </c>
      <c r="H1469" s="30">
        <f>IF(AND($L1469="",$M1469="",$N1469=""),"",IF($L1469&lt;&gt;"",IF(INDEX(LdANote,$L1469)="","—",INDEX(LdANote,$L1469)),IF($M1469&lt;&gt;"",IF(INDEX(LdBNote,$M1469)="","—",INDEX(LdBNote,$M1469)),IF($N1469&lt;&gt;"",IF(INDEX(LdCNote,$N1469)="","—",INDEX(LdCNote,$N1469)),""))))</f>
        <v/>
      </c>
      <c r="L1469">
        <f>IFERROR(MATCH($C$5&amp;"|"&amp;RIGHT("000000"&amp;1453,6),LdAKeyM,0),"")</f>
        <v/>
      </c>
      <c r="M1469">
        <f>IFERROR(MATCH($C$5&amp;"|"&amp;RIGHT("000000"&amp;1453,6),LdBKeyM,0),"")</f>
        <v/>
      </c>
      <c r="N1469">
        <f>IFERROR(MATCH($C$5&amp;"|"&amp;RIGHT("000000"&amp;1453,6),LdCKeyM,0),"")</f>
        <v/>
      </c>
    </row>
    <row r="1470">
      <c r="A1470" s="19" t="n">
        <v>1454</v>
      </c>
      <c r="B1470" s="20">
        <f>IF(AND($L1470="",$M1470="",$N1470=""),"",IF($L1470&lt;&gt;"",INDEX(LdADate,$L1470),IF($M1470&lt;&gt;"",INDEX(LdBDate,$M1470),INDEX(LdCDate,$N1470))))</f>
        <v/>
      </c>
      <c r="C1470" s="20">
        <f>IF($L1470&lt;&gt;"","دستمزد (فردی)",IF($M1470&lt;&gt;"","سهم از گروه "&amp;IFERROR(VLOOKUP(INDEX(LdBGroup,$M1470),WGTbl,2,0),INDEX(LdBGroup,$M1470)),IF($N1470&lt;&gt;"",IF(N(INDEX(LdCDep,$N1470))&gt;0,"بازگشت بانکی","پرداخت بانکی"),"")))</f>
        <v/>
      </c>
      <c r="D1470" s="20">
        <f>IF($L1470&lt;&gt;"",IF(INDEX(LdAId,$L1470)="","—",INDEX(LdAId,$L1470)),IF($M1470&lt;&gt;"",IF(INDEX(LdBId,$M1470)="","—",INDEX(LdBId,$M1470)),IF($N1470&lt;&gt;"",IF(INDEX(LdCBank,$N1470)="","—",INDEX(LdCBank,$N1470)),"")))</f>
        <v/>
      </c>
      <c r="E1470" s="21">
        <f>IF($L1470&lt;&gt;"",IF(INDEX(LdAAmt,$L1470)=0,"",INDEX(LdAAmt,$L1470)),IF($M1470&lt;&gt;"",IF(INDEX(LdBAmt,$M1470)=0,"",INDEX(LdBAmt,$M1470)),IF($N1470&lt;&gt;"",IF(INDEX(LdCDep,$N1470)=0,"",INDEX(LdCDep,$N1470)),"")))</f>
        <v/>
      </c>
      <c r="F1470" s="21">
        <f>IF(AND($L1470="",$M1470="",$N1470=""),"",IF($N1470="","",IF(INDEX(LdCWit,$N1470)=0,"",INDEX(LdCWit,$N1470))))</f>
        <v/>
      </c>
      <c r="G1470" s="31">
        <f>IF($B1470="","",IF($G1469="",0,$G1469)+IF($E1470="",0,$E1470)-IF($F1470="",0,$F1470))</f>
        <v/>
      </c>
      <c r="H1470" s="32">
        <f>IF(AND($L1470="",$M1470="",$N1470=""),"",IF($L1470&lt;&gt;"",IF(INDEX(LdANote,$L1470)="","—",INDEX(LdANote,$L1470)),IF($M1470&lt;&gt;"",IF(INDEX(LdBNote,$M1470)="","—",INDEX(LdBNote,$M1470)),IF($N1470&lt;&gt;"",IF(INDEX(LdCNote,$N1470)="","—",INDEX(LdCNote,$N1470)),""))))</f>
        <v/>
      </c>
      <c r="L1470">
        <f>IFERROR(MATCH($C$5&amp;"|"&amp;RIGHT("000000"&amp;1454,6),LdAKeyM,0),"")</f>
        <v/>
      </c>
      <c r="M1470">
        <f>IFERROR(MATCH($C$5&amp;"|"&amp;RIGHT("000000"&amp;1454,6),LdBKeyM,0),"")</f>
        <v/>
      </c>
      <c r="N1470">
        <f>IFERROR(MATCH($C$5&amp;"|"&amp;RIGHT("000000"&amp;1454,6),LdCKeyM,0),"")</f>
        <v/>
      </c>
    </row>
    <row r="1471">
      <c r="A1471" s="10" t="n">
        <v>1455</v>
      </c>
      <c r="B1471" s="14">
        <f>IF(AND($L1471="",$M1471="",$N1471=""),"",IF($L1471&lt;&gt;"",INDEX(LdADate,$L1471),IF($M1471&lt;&gt;"",INDEX(LdBDate,$M1471),INDEX(LdCDate,$N1471))))</f>
        <v/>
      </c>
      <c r="C1471" s="14">
        <f>IF($L1471&lt;&gt;"","دستمزد (فردی)",IF($M1471&lt;&gt;"","سهم از گروه "&amp;IFERROR(VLOOKUP(INDEX(LdBGroup,$M1471),WGTbl,2,0),INDEX(LdBGroup,$M1471)),IF($N1471&lt;&gt;"",IF(N(INDEX(LdCDep,$N1471))&gt;0,"بازگشت بانکی","پرداخت بانکی"),"")))</f>
        <v/>
      </c>
      <c r="D1471" s="14">
        <f>IF($L1471&lt;&gt;"",IF(INDEX(LdAId,$L1471)="","—",INDEX(LdAId,$L1471)),IF($M1471&lt;&gt;"",IF(INDEX(LdBId,$M1471)="","—",INDEX(LdBId,$M1471)),IF($N1471&lt;&gt;"",IF(INDEX(LdCBank,$N1471)="","—",INDEX(LdCBank,$N1471)),"")))</f>
        <v/>
      </c>
      <c r="E1471" s="16">
        <f>IF($L1471&lt;&gt;"",IF(INDEX(LdAAmt,$L1471)=0,"",INDEX(LdAAmt,$L1471)),IF($M1471&lt;&gt;"",IF(INDEX(LdBAmt,$M1471)=0,"",INDEX(LdBAmt,$M1471)),IF($N1471&lt;&gt;"",IF(INDEX(LdCDep,$N1471)=0,"",INDEX(LdCDep,$N1471)),"")))</f>
        <v/>
      </c>
      <c r="F1471" s="16">
        <f>IF(AND($L1471="",$M1471="",$N1471=""),"",IF($N1471="","",IF(INDEX(LdCWit,$N1471)=0,"",INDEX(LdCWit,$N1471))))</f>
        <v/>
      </c>
      <c r="G1471" s="29">
        <f>IF($B1471="","",IF($G1470="",0,$G1470)+IF($E1471="",0,$E1471)-IF($F1471="",0,$F1471))</f>
        <v/>
      </c>
      <c r="H1471" s="30">
        <f>IF(AND($L1471="",$M1471="",$N1471=""),"",IF($L1471&lt;&gt;"",IF(INDEX(LdANote,$L1471)="","—",INDEX(LdANote,$L1471)),IF($M1471&lt;&gt;"",IF(INDEX(LdBNote,$M1471)="","—",INDEX(LdBNote,$M1471)),IF($N1471&lt;&gt;"",IF(INDEX(LdCNote,$N1471)="","—",INDEX(LdCNote,$N1471)),""))))</f>
        <v/>
      </c>
      <c r="L1471">
        <f>IFERROR(MATCH($C$5&amp;"|"&amp;RIGHT("000000"&amp;1455,6),LdAKeyM,0),"")</f>
        <v/>
      </c>
      <c r="M1471">
        <f>IFERROR(MATCH($C$5&amp;"|"&amp;RIGHT("000000"&amp;1455,6),LdBKeyM,0),"")</f>
        <v/>
      </c>
      <c r="N1471">
        <f>IFERROR(MATCH($C$5&amp;"|"&amp;RIGHT("000000"&amp;1455,6),LdCKeyM,0),"")</f>
        <v/>
      </c>
    </row>
    <row r="1472">
      <c r="A1472" s="19" t="n">
        <v>1456</v>
      </c>
      <c r="B1472" s="20">
        <f>IF(AND($L1472="",$M1472="",$N1472=""),"",IF($L1472&lt;&gt;"",INDEX(LdADate,$L1472),IF($M1472&lt;&gt;"",INDEX(LdBDate,$M1472),INDEX(LdCDate,$N1472))))</f>
        <v/>
      </c>
      <c r="C1472" s="20">
        <f>IF($L1472&lt;&gt;"","دستمزد (فردی)",IF($M1472&lt;&gt;"","سهم از گروه "&amp;IFERROR(VLOOKUP(INDEX(LdBGroup,$M1472),WGTbl,2,0),INDEX(LdBGroup,$M1472)),IF($N1472&lt;&gt;"",IF(N(INDEX(LdCDep,$N1472))&gt;0,"بازگشت بانکی","پرداخت بانکی"),"")))</f>
        <v/>
      </c>
      <c r="D1472" s="20">
        <f>IF($L1472&lt;&gt;"",IF(INDEX(LdAId,$L1472)="","—",INDEX(LdAId,$L1472)),IF($M1472&lt;&gt;"",IF(INDEX(LdBId,$M1472)="","—",INDEX(LdBId,$M1472)),IF($N1472&lt;&gt;"",IF(INDEX(LdCBank,$N1472)="","—",INDEX(LdCBank,$N1472)),"")))</f>
        <v/>
      </c>
      <c r="E1472" s="21">
        <f>IF($L1472&lt;&gt;"",IF(INDEX(LdAAmt,$L1472)=0,"",INDEX(LdAAmt,$L1472)),IF($M1472&lt;&gt;"",IF(INDEX(LdBAmt,$M1472)=0,"",INDEX(LdBAmt,$M1472)),IF($N1472&lt;&gt;"",IF(INDEX(LdCDep,$N1472)=0,"",INDEX(LdCDep,$N1472)),"")))</f>
        <v/>
      </c>
      <c r="F1472" s="21">
        <f>IF(AND($L1472="",$M1472="",$N1472=""),"",IF($N1472="","",IF(INDEX(LdCWit,$N1472)=0,"",INDEX(LdCWit,$N1472))))</f>
        <v/>
      </c>
      <c r="G1472" s="31">
        <f>IF($B1472="","",IF($G1471="",0,$G1471)+IF($E1472="",0,$E1472)-IF($F1472="",0,$F1472))</f>
        <v/>
      </c>
      <c r="H1472" s="32">
        <f>IF(AND($L1472="",$M1472="",$N1472=""),"",IF($L1472&lt;&gt;"",IF(INDEX(LdANote,$L1472)="","—",INDEX(LdANote,$L1472)),IF($M1472&lt;&gt;"",IF(INDEX(LdBNote,$M1472)="","—",INDEX(LdBNote,$M1472)),IF($N1472&lt;&gt;"",IF(INDEX(LdCNote,$N1472)="","—",INDEX(LdCNote,$N1472)),""))))</f>
        <v/>
      </c>
      <c r="L1472">
        <f>IFERROR(MATCH($C$5&amp;"|"&amp;RIGHT("000000"&amp;1456,6),LdAKeyM,0),"")</f>
        <v/>
      </c>
      <c r="M1472">
        <f>IFERROR(MATCH($C$5&amp;"|"&amp;RIGHT("000000"&amp;1456,6),LdBKeyM,0),"")</f>
        <v/>
      </c>
      <c r="N1472">
        <f>IFERROR(MATCH($C$5&amp;"|"&amp;RIGHT("000000"&amp;1456,6),LdCKeyM,0),"")</f>
        <v/>
      </c>
    </row>
    <row r="1473">
      <c r="A1473" s="10" t="n">
        <v>1457</v>
      </c>
      <c r="B1473" s="14">
        <f>IF(AND($L1473="",$M1473="",$N1473=""),"",IF($L1473&lt;&gt;"",INDEX(LdADate,$L1473),IF($M1473&lt;&gt;"",INDEX(LdBDate,$M1473),INDEX(LdCDate,$N1473))))</f>
        <v/>
      </c>
      <c r="C1473" s="14">
        <f>IF($L1473&lt;&gt;"","دستمزد (فردی)",IF($M1473&lt;&gt;"","سهم از گروه "&amp;IFERROR(VLOOKUP(INDEX(LdBGroup,$M1473),WGTbl,2,0),INDEX(LdBGroup,$M1473)),IF($N1473&lt;&gt;"",IF(N(INDEX(LdCDep,$N1473))&gt;0,"بازگشت بانکی","پرداخت بانکی"),"")))</f>
        <v/>
      </c>
      <c r="D1473" s="14">
        <f>IF($L1473&lt;&gt;"",IF(INDEX(LdAId,$L1473)="","—",INDEX(LdAId,$L1473)),IF($M1473&lt;&gt;"",IF(INDEX(LdBId,$M1473)="","—",INDEX(LdBId,$M1473)),IF($N1473&lt;&gt;"",IF(INDEX(LdCBank,$N1473)="","—",INDEX(LdCBank,$N1473)),"")))</f>
        <v/>
      </c>
      <c r="E1473" s="16">
        <f>IF($L1473&lt;&gt;"",IF(INDEX(LdAAmt,$L1473)=0,"",INDEX(LdAAmt,$L1473)),IF($M1473&lt;&gt;"",IF(INDEX(LdBAmt,$M1473)=0,"",INDEX(LdBAmt,$M1473)),IF($N1473&lt;&gt;"",IF(INDEX(LdCDep,$N1473)=0,"",INDEX(LdCDep,$N1473)),"")))</f>
        <v/>
      </c>
      <c r="F1473" s="16">
        <f>IF(AND($L1473="",$M1473="",$N1473=""),"",IF($N1473="","",IF(INDEX(LdCWit,$N1473)=0,"",INDEX(LdCWit,$N1473))))</f>
        <v/>
      </c>
      <c r="G1473" s="29">
        <f>IF($B1473="","",IF($G1472="",0,$G1472)+IF($E1473="",0,$E1473)-IF($F1473="",0,$F1473))</f>
        <v/>
      </c>
      <c r="H1473" s="30">
        <f>IF(AND($L1473="",$M1473="",$N1473=""),"",IF($L1473&lt;&gt;"",IF(INDEX(LdANote,$L1473)="","—",INDEX(LdANote,$L1473)),IF($M1473&lt;&gt;"",IF(INDEX(LdBNote,$M1473)="","—",INDEX(LdBNote,$M1473)),IF($N1473&lt;&gt;"",IF(INDEX(LdCNote,$N1473)="","—",INDEX(LdCNote,$N1473)),""))))</f>
        <v/>
      </c>
      <c r="L1473">
        <f>IFERROR(MATCH($C$5&amp;"|"&amp;RIGHT("000000"&amp;1457,6),LdAKeyM,0),"")</f>
        <v/>
      </c>
      <c r="M1473">
        <f>IFERROR(MATCH($C$5&amp;"|"&amp;RIGHT("000000"&amp;1457,6),LdBKeyM,0),"")</f>
        <v/>
      </c>
      <c r="N1473">
        <f>IFERROR(MATCH($C$5&amp;"|"&amp;RIGHT("000000"&amp;1457,6),LdCKeyM,0),"")</f>
        <v/>
      </c>
    </row>
    <row r="1474">
      <c r="A1474" s="19" t="n">
        <v>1458</v>
      </c>
      <c r="B1474" s="20">
        <f>IF(AND($L1474="",$M1474="",$N1474=""),"",IF($L1474&lt;&gt;"",INDEX(LdADate,$L1474),IF($M1474&lt;&gt;"",INDEX(LdBDate,$M1474),INDEX(LdCDate,$N1474))))</f>
        <v/>
      </c>
      <c r="C1474" s="20">
        <f>IF($L1474&lt;&gt;"","دستمزد (فردی)",IF($M1474&lt;&gt;"","سهم از گروه "&amp;IFERROR(VLOOKUP(INDEX(LdBGroup,$M1474),WGTbl,2,0),INDEX(LdBGroup,$M1474)),IF($N1474&lt;&gt;"",IF(N(INDEX(LdCDep,$N1474))&gt;0,"بازگشت بانکی","پرداخت بانکی"),"")))</f>
        <v/>
      </c>
      <c r="D1474" s="20">
        <f>IF($L1474&lt;&gt;"",IF(INDEX(LdAId,$L1474)="","—",INDEX(LdAId,$L1474)),IF($M1474&lt;&gt;"",IF(INDEX(LdBId,$M1474)="","—",INDEX(LdBId,$M1474)),IF($N1474&lt;&gt;"",IF(INDEX(LdCBank,$N1474)="","—",INDEX(LdCBank,$N1474)),"")))</f>
        <v/>
      </c>
      <c r="E1474" s="21">
        <f>IF($L1474&lt;&gt;"",IF(INDEX(LdAAmt,$L1474)=0,"",INDEX(LdAAmt,$L1474)),IF($M1474&lt;&gt;"",IF(INDEX(LdBAmt,$M1474)=0,"",INDEX(LdBAmt,$M1474)),IF($N1474&lt;&gt;"",IF(INDEX(LdCDep,$N1474)=0,"",INDEX(LdCDep,$N1474)),"")))</f>
        <v/>
      </c>
      <c r="F1474" s="21">
        <f>IF(AND($L1474="",$M1474="",$N1474=""),"",IF($N1474="","",IF(INDEX(LdCWit,$N1474)=0,"",INDEX(LdCWit,$N1474))))</f>
        <v/>
      </c>
      <c r="G1474" s="31">
        <f>IF($B1474="","",IF($G1473="",0,$G1473)+IF($E1474="",0,$E1474)-IF($F1474="",0,$F1474))</f>
        <v/>
      </c>
      <c r="H1474" s="32">
        <f>IF(AND($L1474="",$M1474="",$N1474=""),"",IF($L1474&lt;&gt;"",IF(INDEX(LdANote,$L1474)="","—",INDEX(LdANote,$L1474)),IF($M1474&lt;&gt;"",IF(INDEX(LdBNote,$M1474)="","—",INDEX(LdBNote,$M1474)),IF($N1474&lt;&gt;"",IF(INDEX(LdCNote,$N1474)="","—",INDEX(LdCNote,$N1474)),""))))</f>
        <v/>
      </c>
      <c r="L1474">
        <f>IFERROR(MATCH($C$5&amp;"|"&amp;RIGHT("000000"&amp;1458,6),LdAKeyM,0),"")</f>
        <v/>
      </c>
      <c r="M1474">
        <f>IFERROR(MATCH($C$5&amp;"|"&amp;RIGHT("000000"&amp;1458,6),LdBKeyM,0),"")</f>
        <v/>
      </c>
      <c r="N1474">
        <f>IFERROR(MATCH($C$5&amp;"|"&amp;RIGHT("000000"&amp;1458,6),LdCKeyM,0),"")</f>
        <v/>
      </c>
    </row>
    <row r="1475">
      <c r="A1475" s="10" t="n">
        <v>1459</v>
      </c>
      <c r="B1475" s="14">
        <f>IF(AND($L1475="",$M1475="",$N1475=""),"",IF($L1475&lt;&gt;"",INDEX(LdADate,$L1475),IF($M1475&lt;&gt;"",INDEX(LdBDate,$M1475),INDEX(LdCDate,$N1475))))</f>
        <v/>
      </c>
      <c r="C1475" s="14">
        <f>IF($L1475&lt;&gt;"","دستمزد (فردی)",IF($M1475&lt;&gt;"","سهم از گروه "&amp;IFERROR(VLOOKUP(INDEX(LdBGroup,$M1475),WGTbl,2,0),INDEX(LdBGroup,$M1475)),IF($N1475&lt;&gt;"",IF(N(INDEX(LdCDep,$N1475))&gt;0,"بازگشت بانکی","پرداخت بانکی"),"")))</f>
        <v/>
      </c>
      <c r="D1475" s="14">
        <f>IF($L1475&lt;&gt;"",IF(INDEX(LdAId,$L1475)="","—",INDEX(LdAId,$L1475)),IF($M1475&lt;&gt;"",IF(INDEX(LdBId,$M1475)="","—",INDEX(LdBId,$M1475)),IF($N1475&lt;&gt;"",IF(INDEX(LdCBank,$N1475)="","—",INDEX(LdCBank,$N1475)),"")))</f>
        <v/>
      </c>
      <c r="E1475" s="16">
        <f>IF($L1475&lt;&gt;"",IF(INDEX(LdAAmt,$L1475)=0,"",INDEX(LdAAmt,$L1475)),IF($M1475&lt;&gt;"",IF(INDEX(LdBAmt,$M1475)=0,"",INDEX(LdBAmt,$M1475)),IF($N1475&lt;&gt;"",IF(INDEX(LdCDep,$N1475)=0,"",INDEX(LdCDep,$N1475)),"")))</f>
        <v/>
      </c>
      <c r="F1475" s="16">
        <f>IF(AND($L1475="",$M1475="",$N1475=""),"",IF($N1475="","",IF(INDEX(LdCWit,$N1475)=0,"",INDEX(LdCWit,$N1475))))</f>
        <v/>
      </c>
      <c r="G1475" s="29">
        <f>IF($B1475="","",IF($G1474="",0,$G1474)+IF($E1475="",0,$E1475)-IF($F1475="",0,$F1475))</f>
        <v/>
      </c>
      <c r="H1475" s="30">
        <f>IF(AND($L1475="",$M1475="",$N1475=""),"",IF($L1475&lt;&gt;"",IF(INDEX(LdANote,$L1475)="","—",INDEX(LdANote,$L1475)),IF($M1475&lt;&gt;"",IF(INDEX(LdBNote,$M1475)="","—",INDEX(LdBNote,$M1475)),IF($N1475&lt;&gt;"",IF(INDEX(LdCNote,$N1475)="","—",INDEX(LdCNote,$N1475)),""))))</f>
        <v/>
      </c>
      <c r="L1475">
        <f>IFERROR(MATCH($C$5&amp;"|"&amp;RIGHT("000000"&amp;1459,6),LdAKeyM,0),"")</f>
        <v/>
      </c>
      <c r="M1475">
        <f>IFERROR(MATCH($C$5&amp;"|"&amp;RIGHT("000000"&amp;1459,6),LdBKeyM,0),"")</f>
        <v/>
      </c>
      <c r="N1475">
        <f>IFERROR(MATCH($C$5&amp;"|"&amp;RIGHT("000000"&amp;1459,6),LdCKeyM,0),"")</f>
        <v/>
      </c>
    </row>
    <row r="1476">
      <c r="A1476" s="19" t="n">
        <v>1460</v>
      </c>
      <c r="B1476" s="20">
        <f>IF(AND($L1476="",$M1476="",$N1476=""),"",IF($L1476&lt;&gt;"",INDEX(LdADate,$L1476),IF($M1476&lt;&gt;"",INDEX(LdBDate,$M1476),INDEX(LdCDate,$N1476))))</f>
        <v/>
      </c>
      <c r="C1476" s="20">
        <f>IF($L1476&lt;&gt;"","دستمزد (فردی)",IF($M1476&lt;&gt;"","سهم از گروه "&amp;IFERROR(VLOOKUP(INDEX(LdBGroup,$M1476),WGTbl,2,0),INDEX(LdBGroup,$M1476)),IF($N1476&lt;&gt;"",IF(N(INDEX(LdCDep,$N1476))&gt;0,"بازگشت بانکی","پرداخت بانکی"),"")))</f>
        <v/>
      </c>
      <c r="D1476" s="20">
        <f>IF($L1476&lt;&gt;"",IF(INDEX(LdAId,$L1476)="","—",INDEX(LdAId,$L1476)),IF($M1476&lt;&gt;"",IF(INDEX(LdBId,$M1476)="","—",INDEX(LdBId,$M1476)),IF($N1476&lt;&gt;"",IF(INDEX(LdCBank,$N1476)="","—",INDEX(LdCBank,$N1476)),"")))</f>
        <v/>
      </c>
      <c r="E1476" s="21">
        <f>IF($L1476&lt;&gt;"",IF(INDEX(LdAAmt,$L1476)=0,"",INDEX(LdAAmt,$L1476)),IF($M1476&lt;&gt;"",IF(INDEX(LdBAmt,$M1476)=0,"",INDEX(LdBAmt,$M1476)),IF($N1476&lt;&gt;"",IF(INDEX(LdCDep,$N1476)=0,"",INDEX(LdCDep,$N1476)),"")))</f>
        <v/>
      </c>
      <c r="F1476" s="21">
        <f>IF(AND($L1476="",$M1476="",$N1476=""),"",IF($N1476="","",IF(INDEX(LdCWit,$N1476)=0,"",INDEX(LdCWit,$N1476))))</f>
        <v/>
      </c>
      <c r="G1476" s="31">
        <f>IF($B1476="","",IF($G1475="",0,$G1475)+IF($E1476="",0,$E1476)-IF($F1476="",0,$F1476))</f>
        <v/>
      </c>
      <c r="H1476" s="32">
        <f>IF(AND($L1476="",$M1476="",$N1476=""),"",IF($L1476&lt;&gt;"",IF(INDEX(LdANote,$L1476)="","—",INDEX(LdANote,$L1476)),IF($M1476&lt;&gt;"",IF(INDEX(LdBNote,$M1476)="","—",INDEX(LdBNote,$M1476)),IF($N1476&lt;&gt;"",IF(INDEX(LdCNote,$N1476)="","—",INDEX(LdCNote,$N1476)),""))))</f>
        <v/>
      </c>
      <c r="L1476">
        <f>IFERROR(MATCH($C$5&amp;"|"&amp;RIGHT("000000"&amp;1460,6),LdAKeyM,0),"")</f>
        <v/>
      </c>
      <c r="M1476">
        <f>IFERROR(MATCH($C$5&amp;"|"&amp;RIGHT("000000"&amp;1460,6),LdBKeyM,0),"")</f>
        <v/>
      </c>
      <c r="N1476">
        <f>IFERROR(MATCH($C$5&amp;"|"&amp;RIGHT("000000"&amp;1460,6),LdCKeyM,0),"")</f>
        <v/>
      </c>
    </row>
    <row r="1477">
      <c r="A1477" s="10" t="n">
        <v>1461</v>
      </c>
      <c r="B1477" s="14">
        <f>IF(AND($L1477="",$M1477="",$N1477=""),"",IF($L1477&lt;&gt;"",INDEX(LdADate,$L1477),IF($M1477&lt;&gt;"",INDEX(LdBDate,$M1477),INDEX(LdCDate,$N1477))))</f>
        <v/>
      </c>
      <c r="C1477" s="14">
        <f>IF($L1477&lt;&gt;"","دستمزد (فردی)",IF($M1477&lt;&gt;"","سهم از گروه "&amp;IFERROR(VLOOKUP(INDEX(LdBGroup,$M1477),WGTbl,2,0),INDEX(LdBGroup,$M1477)),IF($N1477&lt;&gt;"",IF(N(INDEX(LdCDep,$N1477))&gt;0,"بازگشت بانکی","پرداخت بانکی"),"")))</f>
        <v/>
      </c>
      <c r="D1477" s="14">
        <f>IF($L1477&lt;&gt;"",IF(INDEX(LdAId,$L1477)="","—",INDEX(LdAId,$L1477)),IF($M1477&lt;&gt;"",IF(INDEX(LdBId,$M1477)="","—",INDEX(LdBId,$M1477)),IF($N1477&lt;&gt;"",IF(INDEX(LdCBank,$N1477)="","—",INDEX(LdCBank,$N1477)),"")))</f>
        <v/>
      </c>
      <c r="E1477" s="16">
        <f>IF($L1477&lt;&gt;"",IF(INDEX(LdAAmt,$L1477)=0,"",INDEX(LdAAmt,$L1477)),IF($M1477&lt;&gt;"",IF(INDEX(LdBAmt,$M1477)=0,"",INDEX(LdBAmt,$M1477)),IF($N1477&lt;&gt;"",IF(INDEX(LdCDep,$N1477)=0,"",INDEX(LdCDep,$N1477)),"")))</f>
        <v/>
      </c>
      <c r="F1477" s="16">
        <f>IF(AND($L1477="",$M1477="",$N1477=""),"",IF($N1477="","",IF(INDEX(LdCWit,$N1477)=0,"",INDEX(LdCWit,$N1477))))</f>
        <v/>
      </c>
      <c r="G1477" s="29">
        <f>IF($B1477="","",IF($G1476="",0,$G1476)+IF($E1477="",0,$E1477)-IF($F1477="",0,$F1477))</f>
        <v/>
      </c>
      <c r="H1477" s="30">
        <f>IF(AND($L1477="",$M1477="",$N1477=""),"",IF($L1477&lt;&gt;"",IF(INDEX(LdANote,$L1477)="","—",INDEX(LdANote,$L1477)),IF($M1477&lt;&gt;"",IF(INDEX(LdBNote,$M1477)="","—",INDEX(LdBNote,$M1477)),IF($N1477&lt;&gt;"",IF(INDEX(LdCNote,$N1477)="","—",INDEX(LdCNote,$N1477)),""))))</f>
        <v/>
      </c>
      <c r="L1477">
        <f>IFERROR(MATCH($C$5&amp;"|"&amp;RIGHT("000000"&amp;1461,6),LdAKeyM,0),"")</f>
        <v/>
      </c>
      <c r="M1477">
        <f>IFERROR(MATCH($C$5&amp;"|"&amp;RIGHT("000000"&amp;1461,6),LdBKeyM,0),"")</f>
        <v/>
      </c>
      <c r="N1477">
        <f>IFERROR(MATCH($C$5&amp;"|"&amp;RIGHT("000000"&amp;1461,6),LdCKeyM,0),"")</f>
        <v/>
      </c>
    </row>
    <row r="1478">
      <c r="A1478" s="19" t="n">
        <v>1462</v>
      </c>
      <c r="B1478" s="20">
        <f>IF(AND($L1478="",$M1478="",$N1478=""),"",IF($L1478&lt;&gt;"",INDEX(LdADate,$L1478),IF($M1478&lt;&gt;"",INDEX(LdBDate,$M1478),INDEX(LdCDate,$N1478))))</f>
        <v/>
      </c>
      <c r="C1478" s="20">
        <f>IF($L1478&lt;&gt;"","دستمزد (فردی)",IF($M1478&lt;&gt;"","سهم از گروه "&amp;IFERROR(VLOOKUP(INDEX(LdBGroup,$M1478),WGTbl,2,0),INDEX(LdBGroup,$M1478)),IF($N1478&lt;&gt;"",IF(N(INDEX(LdCDep,$N1478))&gt;0,"بازگشت بانکی","پرداخت بانکی"),"")))</f>
        <v/>
      </c>
      <c r="D1478" s="20">
        <f>IF($L1478&lt;&gt;"",IF(INDEX(LdAId,$L1478)="","—",INDEX(LdAId,$L1478)),IF($M1478&lt;&gt;"",IF(INDEX(LdBId,$M1478)="","—",INDEX(LdBId,$M1478)),IF($N1478&lt;&gt;"",IF(INDEX(LdCBank,$N1478)="","—",INDEX(LdCBank,$N1478)),"")))</f>
        <v/>
      </c>
      <c r="E1478" s="21">
        <f>IF($L1478&lt;&gt;"",IF(INDEX(LdAAmt,$L1478)=0,"",INDEX(LdAAmt,$L1478)),IF($M1478&lt;&gt;"",IF(INDEX(LdBAmt,$M1478)=0,"",INDEX(LdBAmt,$M1478)),IF($N1478&lt;&gt;"",IF(INDEX(LdCDep,$N1478)=0,"",INDEX(LdCDep,$N1478)),"")))</f>
        <v/>
      </c>
      <c r="F1478" s="21">
        <f>IF(AND($L1478="",$M1478="",$N1478=""),"",IF($N1478="","",IF(INDEX(LdCWit,$N1478)=0,"",INDEX(LdCWit,$N1478))))</f>
        <v/>
      </c>
      <c r="G1478" s="31">
        <f>IF($B1478="","",IF($G1477="",0,$G1477)+IF($E1478="",0,$E1478)-IF($F1478="",0,$F1478))</f>
        <v/>
      </c>
      <c r="H1478" s="32">
        <f>IF(AND($L1478="",$M1478="",$N1478=""),"",IF($L1478&lt;&gt;"",IF(INDEX(LdANote,$L1478)="","—",INDEX(LdANote,$L1478)),IF($M1478&lt;&gt;"",IF(INDEX(LdBNote,$M1478)="","—",INDEX(LdBNote,$M1478)),IF($N1478&lt;&gt;"",IF(INDEX(LdCNote,$N1478)="","—",INDEX(LdCNote,$N1478)),""))))</f>
        <v/>
      </c>
      <c r="L1478">
        <f>IFERROR(MATCH($C$5&amp;"|"&amp;RIGHT("000000"&amp;1462,6),LdAKeyM,0),"")</f>
        <v/>
      </c>
      <c r="M1478">
        <f>IFERROR(MATCH($C$5&amp;"|"&amp;RIGHT("000000"&amp;1462,6),LdBKeyM,0),"")</f>
        <v/>
      </c>
      <c r="N1478">
        <f>IFERROR(MATCH($C$5&amp;"|"&amp;RIGHT("000000"&amp;1462,6),LdCKeyM,0),"")</f>
        <v/>
      </c>
    </row>
    <row r="1479">
      <c r="A1479" s="10" t="n">
        <v>1463</v>
      </c>
      <c r="B1479" s="14">
        <f>IF(AND($L1479="",$M1479="",$N1479=""),"",IF($L1479&lt;&gt;"",INDEX(LdADate,$L1479),IF($M1479&lt;&gt;"",INDEX(LdBDate,$M1479),INDEX(LdCDate,$N1479))))</f>
        <v/>
      </c>
      <c r="C1479" s="14">
        <f>IF($L1479&lt;&gt;"","دستمزد (فردی)",IF($M1479&lt;&gt;"","سهم از گروه "&amp;IFERROR(VLOOKUP(INDEX(LdBGroup,$M1479),WGTbl,2,0),INDEX(LdBGroup,$M1479)),IF($N1479&lt;&gt;"",IF(N(INDEX(LdCDep,$N1479))&gt;0,"بازگشت بانکی","پرداخت بانکی"),"")))</f>
        <v/>
      </c>
      <c r="D1479" s="14">
        <f>IF($L1479&lt;&gt;"",IF(INDEX(LdAId,$L1479)="","—",INDEX(LdAId,$L1479)),IF($M1479&lt;&gt;"",IF(INDEX(LdBId,$M1479)="","—",INDEX(LdBId,$M1479)),IF($N1479&lt;&gt;"",IF(INDEX(LdCBank,$N1479)="","—",INDEX(LdCBank,$N1479)),"")))</f>
        <v/>
      </c>
      <c r="E1479" s="16">
        <f>IF($L1479&lt;&gt;"",IF(INDEX(LdAAmt,$L1479)=0,"",INDEX(LdAAmt,$L1479)),IF($M1479&lt;&gt;"",IF(INDEX(LdBAmt,$M1479)=0,"",INDEX(LdBAmt,$M1479)),IF($N1479&lt;&gt;"",IF(INDEX(LdCDep,$N1479)=0,"",INDEX(LdCDep,$N1479)),"")))</f>
        <v/>
      </c>
      <c r="F1479" s="16">
        <f>IF(AND($L1479="",$M1479="",$N1479=""),"",IF($N1479="","",IF(INDEX(LdCWit,$N1479)=0,"",INDEX(LdCWit,$N1479))))</f>
        <v/>
      </c>
      <c r="G1479" s="29">
        <f>IF($B1479="","",IF($G1478="",0,$G1478)+IF($E1479="",0,$E1479)-IF($F1479="",0,$F1479))</f>
        <v/>
      </c>
      <c r="H1479" s="30">
        <f>IF(AND($L1479="",$M1479="",$N1479=""),"",IF($L1479&lt;&gt;"",IF(INDEX(LdANote,$L1479)="","—",INDEX(LdANote,$L1479)),IF($M1479&lt;&gt;"",IF(INDEX(LdBNote,$M1479)="","—",INDEX(LdBNote,$M1479)),IF($N1479&lt;&gt;"",IF(INDEX(LdCNote,$N1479)="","—",INDEX(LdCNote,$N1479)),""))))</f>
        <v/>
      </c>
      <c r="L1479">
        <f>IFERROR(MATCH($C$5&amp;"|"&amp;RIGHT("000000"&amp;1463,6),LdAKeyM,0),"")</f>
        <v/>
      </c>
      <c r="M1479">
        <f>IFERROR(MATCH($C$5&amp;"|"&amp;RIGHT("000000"&amp;1463,6),LdBKeyM,0),"")</f>
        <v/>
      </c>
      <c r="N1479">
        <f>IFERROR(MATCH($C$5&amp;"|"&amp;RIGHT("000000"&amp;1463,6),LdCKeyM,0),"")</f>
        <v/>
      </c>
    </row>
    <row r="1480">
      <c r="A1480" s="19" t="n">
        <v>1464</v>
      </c>
      <c r="B1480" s="20">
        <f>IF(AND($L1480="",$M1480="",$N1480=""),"",IF($L1480&lt;&gt;"",INDEX(LdADate,$L1480),IF($M1480&lt;&gt;"",INDEX(LdBDate,$M1480),INDEX(LdCDate,$N1480))))</f>
        <v/>
      </c>
      <c r="C1480" s="20">
        <f>IF($L1480&lt;&gt;"","دستمزد (فردی)",IF($M1480&lt;&gt;"","سهم از گروه "&amp;IFERROR(VLOOKUP(INDEX(LdBGroup,$M1480),WGTbl,2,0),INDEX(LdBGroup,$M1480)),IF($N1480&lt;&gt;"",IF(N(INDEX(LdCDep,$N1480))&gt;0,"بازگشت بانکی","پرداخت بانکی"),"")))</f>
        <v/>
      </c>
      <c r="D1480" s="20">
        <f>IF($L1480&lt;&gt;"",IF(INDEX(LdAId,$L1480)="","—",INDEX(LdAId,$L1480)),IF($M1480&lt;&gt;"",IF(INDEX(LdBId,$M1480)="","—",INDEX(LdBId,$M1480)),IF($N1480&lt;&gt;"",IF(INDEX(LdCBank,$N1480)="","—",INDEX(LdCBank,$N1480)),"")))</f>
        <v/>
      </c>
      <c r="E1480" s="21">
        <f>IF($L1480&lt;&gt;"",IF(INDEX(LdAAmt,$L1480)=0,"",INDEX(LdAAmt,$L1480)),IF($M1480&lt;&gt;"",IF(INDEX(LdBAmt,$M1480)=0,"",INDEX(LdBAmt,$M1480)),IF($N1480&lt;&gt;"",IF(INDEX(LdCDep,$N1480)=0,"",INDEX(LdCDep,$N1480)),"")))</f>
        <v/>
      </c>
      <c r="F1480" s="21">
        <f>IF(AND($L1480="",$M1480="",$N1480=""),"",IF($N1480="","",IF(INDEX(LdCWit,$N1480)=0,"",INDEX(LdCWit,$N1480))))</f>
        <v/>
      </c>
      <c r="G1480" s="31">
        <f>IF($B1480="","",IF($G1479="",0,$G1479)+IF($E1480="",0,$E1480)-IF($F1480="",0,$F1480))</f>
        <v/>
      </c>
      <c r="H1480" s="32">
        <f>IF(AND($L1480="",$M1480="",$N1480=""),"",IF($L1480&lt;&gt;"",IF(INDEX(LdANote,$L1480)="","—",INDEX(LdANote,$L1480)),IF($M1480&lt;&gt;"",IF(INDEX(LdBNote,$M1480)="","—",INDEX(LdBNote,$M1480)),IF($N1480&lt;&gt;"",IF(INDEX(LdCNote,$N1480)="","—",INDEX(LdCNote,$N1480)),""))))</f>
        <v/>
      </c>
      <c r="L1480">
        <f>IFERROR(MATCH($C$5&amp;"|"&amp;RIGHT("000000"&amp;1464,6),LdAKeyM,0),"")</f>
        <v/>
      </c>
      <c r="M1480">
        <f>IFERROR(MATCH($C$5&amp;"|"&amp;RIGHT("000000"&amp;1464,6),LdBKeyM,0),"")</f>
        <v/>
      </c>
      <c r="N1480">
        <f>IFERROR(MATCH($C$5&amp;"|"&amp;RIGHT("000000"&amp;1464,6),LdCKeyM,0),"")</f>
        <v/>
      </c>
    </row>
    <row r="1481">
      <c r="A1481" s="10" t="n">
        <v>1465</v>
      </c>
      <c r="B1481" s="14">
        <f>IF(AND($L1481="",$M1481="",$N1481=""),"",IF($L1481&lt;&gt;"",INDEX(LdADate,$L1481),IF($M1481&lt;&gt;"",INDEX(LdBDate,$M1481),INDEX(LdCDate,$N1481))))</f>
        <v/>
      </c>
      <c r="C1481" s="14">
        <f>IF($L1481&lt;&gt;"","دستمزد (فردی)",IF($M1481&lt;&gt;"","سهم از گروه "&amp;IFERROR(VLOOKUP(INDEX(LdBGroup,$M1481),WGTbl,2,0),INDEX(LdBGroup,$M1481)),IF($N1481&lt;&gt;"",IF(N(INDEX(LdCDep,$N1481))&gt;0,"بازگشت بانکی","پرداخت بانکی"),"")))</f>
        <v/>
      </c>
      <c r="D1481" s="14">
        <f>IF($L1481&lt;&gt;"",IF(INDEX(LdAId,$L1481)="","—",INDEX(LdAId,$L1481)),IF($M1481&lt;&gt;"",IF(INDEX(LdBId,$M1481)="","—",INDEX(LdBId,$M1481)),IF($N1481&lt;&gt;"",IF(INDEX(LdCBank,$N1481)="","—",INDEX(LdCBank,$N1481)),"")))</f>
        <v/>
      </c>
      <c r="E1481" s="16">
        <f>IF($L1481&lt;&gt;"",IF(INDEX(LdAAmt,$L1481)=0,"",INDEX(LdAAmt,$L1481)),IF($M1481&lt;&gt;"",IF(INDEX(LdBAmt,$M1481)=0,"",INDEX(LdBAmt,$M1481)),IF($N1481&lt;&gt;"",IF(INDEX(LdCDep,$N1481)=0,"",INDEX(LdCDep,$N1481)),"")))</f>
        <v/>
      </c>
      <c r="F1481" s="16">
        <f>IF(AND($L1481="",$M1481="",$N1481=""),"",IF($N1481="","",IF(INDEX(LdCWit,$N1481)=0,"",INDEX(LdCWit,$N1481))))</f>
        <v/>
      </c>
      <c r="G1481" s="29">
        <f>IF($B1481="","",IF($G1480="",0,$G1480)+IF($E1481="",0,$E1481)-IF($F1481="",0,$F1481))</f>
        <v/>
      </c>
      <c r="H1481" s="30">
        <f>IF(AND($L1481="",$M1481="",$N1481=""),"",IF($L1481&lt;&gt;"",IF(INDEX(LdANote,$L1481)="","—",INDEX(LdANote,$L1481)),IF($M1481&lt;&gt;"",IF(INDEX(LdBNote,$M1481)="","—",INDEX(LdBNote,$M1481)),IF($N1481&lt;&gt;"",IF(INDEX(LdCNote,$N1481)="","—",INDEX(LdCNote,$N1481)),""))))</f>
        <v/>
      </c>
      <c r="L1481">
        <f>IFERROR(MATCH($C$5&amp;"|"&amp;RIGHT("000000"&amp;1465,6),LdAKeyM,0),"")</f>
        <v/>
      </c>
      <c r="M1481">
        <f>IFERROR(MATCH($C$5&amp;"|"&amp;RIGHT("000000"&amp;1465,6),LdBKeyM,0),"")</f>
        <v/>
      </c>
      <c r="N1481">
        <f>IFERROR(MATCH($C$5&amp;"|"&amp;RIGHT("000000"&amp;1465,6),LdCKeyM,0),"")</f>
        <v/>
      </c>
    </row>
    <row r="1482">
      <c r="A1482" s="19" t="n">
        <v>1466</v>
      </c>
      <c r="B1482" s="20">
        <f>IF(AND($L1482="",$M1482="",$N1482=""),"",IF($L1482&lt;&gt;"",INDEX(LdADate,$L1482),IF($M1482&lt;&gt;"",INDEX(LdBDate,$M1482),INDEX(LdCDate,$N1482))))</f>
        <v/>
      </c>
      <c r="C1482" s="20">
        <f>IF($L1482&lt;&gt;"","دستمزد (فردی)",IF($M1482&lt;&gt;"","سهم از گروه "&amp;IFERROR(VLOOKUP(INDEX(LdBGroup,$M1482),WGTbl,2,0),INDEX(LdBGroup,$M1482)),IF($N1482&lt;&gt;"",IF(N(INDEX(LdCDep,$N1482))&gt;0,"بازگشت بانکی","پرداخت بانکی"),"")))</f>
        <v/>
      </c>
      <c r="D1482" s="20">
        <f>IF($L1482&lt;&gt;"",IF(INDEX(LdAId,$L1482)="","—",INDEX(LdAId,$L1482)),IF($M1482&lt;&gt;"",IF(INDEX(LdBId,$M1482)="","—",INDEX(LdBId,$M1482)),IF($N1482&lt;&gt;"",IF(INDEX(LdCBank,$N1482)="","—",INDEX(LdCBank,$N1482)),"")))</f>
        <v/>
      </c>
      <c r="E1482" s="21">
        <f>IF($L1482&lt;&gt;"",IF(INDEX(LdAAmt,$L1482)=0,"",INDEX(LdAAmt,$L1482)),IF($M1482&lt;&gt;"",IF(INDEX(LdBAmt,$M1482)=0,"",INDEX(LdBAmt,$M1482)),IF($N1482&lt;&gt;"",IF(INDEX(LdCDep,$N1482)=0,"",INDEX(LdCDep,$N1482)),"")))</f>
        <v/>
      </c>
      <c r="F1482" s="21">
        <f>IF(AND($L1482="",$M1482="",$N1482=""),"",IF($N1482="","",IF(INDEX(LdCWit,$N1482)=0,"",INDEX(LdCWit,$N1482))))</f>
        <v/>
      </c>
      <c r="G1482" s="31">
        <f>IF($B1482="","",IF($G1481="",0,$G1481)+IF($E1482="",0,$E1482)-IF($F1482="",0,$F1482))</f>
        <v/>
      </c>
      <c r="H1482" s="32">
        <f>IF(AND($L1482="",$M1482="",$N1482=""),"",IF($L1482&lt;&gt;"",IF(INDEX(LdANote,$L1482)="","—",INDEX(LdANote,$L1482)),IF($M1482&lt;&gt;"",IF(INDEX(LdBNote,$M1482)="","—",INDEX(LdBNote,$M1482)),IF($N1482&lt;&gt;"",IF(INDEX(LdCNote,$N1482)="","—",INDEX(LdCNote,$N1482)),""))))</f>
        <v/>
      </c>
      <c r="L1482">
        <f>IFERROR(MATCH($C$5&amp;"|"&amp;RIGHT("000000"&amp;1466,6),LdAKeyM,0),"")</f>
        <v/>
      </c>
      <c r="M1482">
        <f>IFERROR(MATCH($C$5&amp;"|"&amp;RIGHT("000000"&amp;1466,6),LdBKeyM,0),"")</f>
        <v/>
      </c>
      <c r="N1482">
        <f>IFERROR(MATCH($C$5&amp;"|"&amp;RIGHT("000000"&amp;1466,6),LdCKeyM,0),"")</f>
        <v/>
      </c>
    </row>
    <row r="1483">
      <c r="A1483" s="10" t="n">
        <v>1467</v>
      </c>
      <c r="B1483" s="14">
        <f>IF(AND($L1483="",$M1483="",$N1483=""),"",IF($L1483&lt;&gt;"",INDEX(LdADate,$L1483),IF($M1483&lt;&gt;"",INDEX(LdBDate,$M1483),INDEX(LdCDate,$N1483))))</f>
        <v/>
      </c>
      <c r="C1483" s="14">
        <f>IF($L1483&lt;&gt;"","دستمزد (فردی)",IF($M1483&lt;&gt;"","سهم از گروه "&amp;IFERROR(VLOOKUP(INDEX(LdBGroup,$M1483),WGTbl,2,0),INDEX(LdBGroup,$M1483)),IF($N1483&lt;&gt;"",IF(N(INDEX(LdCDep,$N1483))&gt;0,"بازگشت بانکی","پرداخت بانکی"),"")))</f>
        <v/>
      </c>
      <c r="D1483" s="14">
        <f>IF($L1483&lt;&gt;"",IF(INDEX(LdAId,$L1483)="","—",INDEX(LdAId,$L1483)),IF($M1483&lt;&gt;"",IF(INDEX(LdBId,$M1483)="","—",INDEX(LdBId,$M1483)),IF($N1483&lt;&gt;"",IF(INDEX(LdCBank,$N1483)="","—",INDEX(LdCBank,$N1483)),"")))</f>
        <v/>
      </c>
      <c r="E1483" s="16">
        <f>IF($L1483&lt;&gt;"",IF(INDEX(LdAAmt,$L1483)=0,"",INDEX(LdAAmt,$L1483)),IF($M1483&lt;&gt;"",IF(INDEX(LdBAmt,$M1483)=0,"",INDEX(LdBAmt,$M1483)),IF($N1483&lt;&gt;"",IF(INDEX(LdCDep,$N1483)=0,"",INDEX(LdCDep,$N1483)),"")))</f>
        <v/>
      </c>
      <c r="F1483" s="16">
        <f>IF(AND($L1483="",$M1483="",$N1483=""),"",IF($N1483="","",IF(INDEX(LdCWit,$N1483)=0,"",INDEX(LdCWit,$N1483))))</f>
        <v/>
      </c>
      <c r="G1483" s="29">
        <f>IF($B1483="","",IF($G1482="",0,$G1482)+IF($E1483="",0,$E1483)-IF($F1483="",0,$F1483))</f>
        <v/>
      </c>
      <c r="H1483" s="30">
        <f>IF(AND($L1483="",$M1483="",$N1483=""),"",IF($L1483&lt;&gt;"",IF(INDEX(LdANote,$L1483)="","—",INDEX(LdANote,$L1483)),IF($M1483&lt;&gt;"",IF(INDEX(LdBNote,$M1483)="","—",INDEX(LdBNote,$M1483)),IF($N1483&lt;&gt;"",IF(INDEX(LdCNote,$N1483)="","—",INDEX(LdCNote,$N1483)),""))))</f>
        <v/>
      </c>
      <c r="L1483">
        <f>IFERROR(MATCH($C$5&amp;"|"&amp;RIGHT("000000"&amp;1467,6),LdAKeyM,0),"")</f>
        <v/>
      </c>
      <c r="M1483">
        <f>IFERROR(MATCH($C$5&amp;"|"&amp;RIGHT("000000"&amp;1467,6),LdBKeyM,0),"")</f>
        <v/>
      </c>
      <c r="N1483">
        <f>IFERROR(MATCH($C$5&amp;"|"&amp;RIGHT("000000"&amp;1467,6),LdCKeyM,0),"")</f>
        <v/>
      </c>
    </row>
    <row r="1484">
      <c r="A1484" s="19" t="n">
        <v>1468</v>
      </c>
      <c r="B1484" s="20">
        <f>IF(AND($L1484="",$M1484="",$N1484=""),"",IF($L1484&lt;&gt;"",INDEX(LdADate,$L1484),IF($M1484&lt;&gt;"",INDEX(LdBDate,$M1484),INDEX(LdCDate,$N1484))))</f>
        <v/>
      </c>
      <c r="C1484" s="20">
        <f>IF($L1484&lt;&gt;"","دستمزد (فردی)",IF($M1484&lt;&gt;"","سهم از گروه "&amp;IFERROR(VLOOKUP(INDEX(LdBGroup,$M1484),WGTbl,2,0),INDEX(LdBGroup,$M1484)),IF($N1484&lt;&gt;"",IF(N(INDEX(LdCDep,$N1484))&gt;0,"بازگشت بانکی","پرداخت بانکی"),"")))</f>
        <v/>
      </c>
      <c r="D1484" s="20">
        <f>IF($L1484&lt;&gt;"",IF(INDEX(LdAId,$L1484)="","—",INDEX(LdAId,$L1484)),IF($M1484&lt;&gt;"",IF(INDEX(LdBId,$M1484)="","—",INDEX(LdBId,$M1484)),IF($N1484&lt;&gt;"",IF(INDEX(LdCBank,$N1484)="","—",INDEX(LdCBank,$N1484)),"")))</f>
        <v/>
      </c>
      <c r="E1484" s="21">
        <f>IF($L1484&lt;&gt;"",IF(INDEX(LdAAmt,$L1484)=0,"",INDEX(LdAAmt,$L1484)),IF($M1484&lt;&gt;"",IF(INDEX(LdBAmt,$M1484)=0,"",INDEX(LdBAmt,$M1484)),IF($N1484&lt;&gt;"",IF(INDEX(LdCDep,$N1484)=0,"",INDEX(LdCDep,$N1484)),"")))</f>
        <v/>
      </c>
      <c r="F1484" s="21">
        <f>IF(AND($L1484="",$M1484="",$N1484=""),"",IF($N1484="","",IF(INDEX(LdCWit,$N1484)=0,"",INDEX(LdCWit,$N1484))))</f>
        <v/>
      </c>
      <c r="G1484" s="31">
        <f>IF($B1484="","",IF($G1483="",0,$G1483)+IF($E1484="",0,$E1484)-IF($F1484="",0,$F1484))</f>
        <v/>
      </c>
      <c r="H1484" s="32">
        <f>IF(AND($L1484="",$M1484="",$N1484=""),"",IF($L1484&lt;&gt;"",IF(INDEX(LdANote,$L1484)="","—",INDEX(LdANote,$L1484)),IF($M1484&lt;&gt;"",IF(INDEX(LdBNote,$M1484)="","—",INDEX(LdBNote,$M1484)),IF($N1484&lt;&gt;"",IF(INDEX(LdCNote,$N1484)="","—",INDEX(LdCNote,$N1484)),""))))</f>
        <v/>
      </c>
      <c r="L1484">
        <f>IFERROR(MATCH($C$5&amp;"|"&amp;RIGHT("000000"&amp;1468,6),LdAKeyM,0),"")</f>
        <v/>
      </c>
      <c r="M1484">
        <f>IFERROR(MATCH($C$5&amp;"|"&amp;RIGHT("000000"&amp;1468,6),LdBKeyM,0),"")</f>
        <v/>
      </c>
      <c r="N1484">
        <f>IFERROR(MATCH($C$5&amp;"|"&amp;RIGHT("000000"&amp;1468,6),LdCKeyM,0),"")</f>
        <v/>
      </c>
    </row>
    <row r="1485">
      <c r="A1485" s="10" t="n">
        <v>1469</v>
      </c>
      <c r="B1485" s="14">
        <f>IF(AND($L1485="",$M1485="",$N1485=""),"",IF($L1485&lt;&gt;"",INDEX(LdADate,$L1485),IF($M1485&lt;&gt;"",INDEX(LdBDate,$M1485),INDEX(LdCDate,$N1485))))</f>
        <v/>
      </c>
      <c r="C1485" s="14">
        <f>IF($L1485&lt;&gt;"","دستمزد (فردی)",IF($M1485&lt;&gt;"","سهم از گروه "&amp;IFERROR(VLOOKUP(INDEX(LdBGroup,$M1485),WGTbl,2,0),INDEX(LdBGroup,$M1485)),IF($N1485&lt;&gt;"",IF(N(INDEX(LdCDep,$N1485))&gt;0,"بازگشت بانکی","پرداخت بانکی"),"")))</f>
        <v/>
      </c>
      <c r="D1485" s="14">
        <f>IF($L1485&lt;&gt;"",IF(INDEX(LdAId,$L1485)="","—",INDEX(LdAId,$L1485)),IF($M1485&lt;&gt;"",IF(INDEX(LdBId,$M1485)="","—",INDEX(LdBId,$M1485)),IF($N1485&lt;&gt;"",IF(INDEX(LdCBank,$N1485)="","—",INDEX(LdCBank,$N1485)),"")))</f>
        <v/>
      </c>
      <c r="E1485" s="16">
        <f>IF($L1485&lt;&gt;"",IF(INDEX(LdAAmt,$L1485)=0,"",INDEX(LdAAmt,$L1485)),IF($M1485&lt;&gt;"",IF(INDEX(LdBAmt,$M1485)=0,"",INDEX(LdBAmt,$M1485)),IF($N1485&lt;&gt;"",IF(INDEX(LdCDep,$N1485)=0,"",INDEX(LdCDep,$N1485)),"")))</f>
        <v/>
      </c>
      <c r="F1485" s="16">
        <f>IF(AND($L1485="",$M1485="",$N1485=""),"",IF($N1485="","",IF(INDEX(LdCWit,$N1485)=0,"",INDEX(LdCWit,$N1485))))</f>
        <v/>
      </c>
      <c r="G1485" s="29">
        <f>IF($B1485="","",IF($G1484="",0,$G1484)+IF($E1485="",0,$E1485)-IF($F1485="",0,$F1485))</f>
        <v/>
      </c>
      <c r="H1485" s="30">
        <f>IF(AND($L1485="",$M1485="",$N1485=""),"",IF($L1485&lt;&gt;"",IF(INDEX(LdANote,$L1485)="","—",INDEX(LdANote,$L1485)),IF($M1485&lt;&gt;"",IF(INDEX(LdBNote,$M1485)="","—",INDEX(LdBNote,$M1485)),IF($N1485&lt;&gt;"",IF(INDEX(LdCNote,$N1485)="","—",INDEX(LdCNote,$N1485)),""))))</f>
        <v/>
      </c>
      <c r="L1485">
        <f>IFERROR(MATCH($C$5&amp;"|"&amp;RIGHT("000000"&amp;1469,6),LdAKeyM,0),"")</f>
        <v/>
      </c>
      <c r="M1485">
        <f>IFERROR(MATCH($C$5&amp;"|"&amp;RIGHT("000000"&amp;1469,6),LdBKeyM,0),"")</f>
        <v/>
      </c>
      <c r="N1485">
        <f>IFERROR(MATCH($C$5&amp;"|"&amp;RIGHT("000000"&amp;1469,6),LdCKeyM,0),"")</f>
        <v/>
      </c>
    </row>
    <row r="1486">
      <c r="A1486" s="19" t="n">
        <v>1470</v>
      </c>
      <c r="B1486" s="20">
        <f>IF(AND($L1486="",$M1486="",$N1486=""),"",IF($L1486&lt;&gt;"",INDEX(LdADate,$L1486),IF($M1486&lt;&gt;"",INDEX(LdBDate,$M1486),INDEX(LdCDate,$N1486))))</f>
        <v/>
      </c>
      <c r="C1486" s="20">
        <f>IF($L1486&lt;&gt;"","دستمزد (فردی)",IF($M1486&lt;&gt;"","سهم از گروه "&amp;IFERROR(VLOOKUP(INDEX(LdBGroup,$M1486),WGTbl,2,0),INDEX(LdBGroup,$M1486)),IF($N1486&lt;&gt;"",IF(N(INDEX(LdCDep,$N1486))&gt;0,"بازگشت بانکی","پرداخت بانکی"),"")))</f>
        <v/>
      </c>
      <c r="D1486" s="20">
        <f>IF($L1486&lt;&gt;"",IF(INDEX(LdAId,$L1486)="","—",INDEX(LdAId,$L1486)),IF($M1486&lt;&gt;"",IF(INDEX(LdBId,$M1486)="","—",INDEX(LdBId,$M1486)),IF($N1486&lt;&gt;"",IF(INDEX(LdCBank,$N1486)="","—",INDEX(LdCBank,$N1486)),"")))</f>
        <v/>
      </c>
      <c r="E1486" s="21">
        <f>IF($L1486&lt;&gt;"",IF(INDEX(LdAAmt,$L1486)=0,"",INDEX(LdAAmt,$L1486)),IF($M1486&lt;&gt;"",IF(INDEX(LdBAmt,$M1486)=0,"",INDEX(LdBAmt,$M1486)),IF($N1486&lt;&gt;"",IF(INDEX(LdCDep,$N1486)=0,"",INDEX(LdCDep,$N1486)),"")))</f>
        <v/>
      </c>
      <c r="F1486" s="21">
        <f>IF(AND($L1486="",$M1486="",$N1486=""),"",IF($N1486="","",IF(INDEX(LdCWit,$N1486)=0,"",INDEX(LdCWit,$N1486))))</f>
        <v/>
      </c>
      <c r="G1486" s="31">
        <f>IF($B1486="","",IF($G1485="",0,$G1485)+IF($E1486="",0,$E1486)-IF($F1486="",0,$F1486))</f>
        <v/>
      </c>
      <c r="H1486" s="32">
        <f>IF(AND($L1486="",$M1486="",$N1486=""),"",IF($L1486&lt;&gt;"",IF(INDEX(LdANote,$L1486)="","—",INDEX(LdANote,$L1486)),IF($M1486&lt;&gt;"",IF(INDEX(LdBNote,$M1486)="","—",INDEX(LdBNote,$M1486)),IF($N1486&lt;&gt;"",IF(INDEX(LdCNote,$N1486)="","—",INDEX(LdCNote,$N1486)),""))))</f>
        <v/>
      </c>
      <c r="L1486">
        <f>IFERROR(MATCH($C$5&amp;"|"&amp;RIGHT("000000"&amp;1470,6),LdAKeyM,0),"")</f>
        <v/>
      </c>
      <c r="M1486">
        <f>IFERROR(MATCH($C$5&amp;"|"&amp;RIGHT("000000"&amp;1470,6),LdBKeyM,0),"")</f>
        <v/>
      </c>
      <c r="N1486">
        <f>IFERROR(MATCH($C$5&amp;"|"&amp;RIGHT("000000"&amp;1470,6),LdCKeyM,0),"")</f>
        <v/>
      </c>
    </row>
    <row r="1487">
      <c r="A1487" s="10" t="n">
        <v>1471</v>
      </c>
      <c r="B1487" s="14">
        <f>IF(AND($L1487="",$M1487="",$N1487=""),"",IF($L1487&lt;&gt;"",INDEX(LdADate,$L1487),IF($M1487&lt;&gt;"",INDEX(LdBDate,$M1487),INDEX(LdCDate,$N1487))))</f>
        <v/>
      </c>
      <c r="C1487" s="14">
        <f>IF($L1487&lt;&gt;"","دستمزد (فردی)",IF($M1487&lt;&gt;"","سهم از گروه "&amp;IFERROR(VLOOKUP(INDEX(LdBGroup,$M1487),WGTbl,2,0),INDEX(LdBGroup,$M1487)),IF($N1487&lt;&gt;"",IF(N(INDEX(LdCDep,$N1487))&gt;0,"بازگشت بانکی","پرداخت بانکی"),"")))</f>
        <v/>
      </c>
      <c r="D1487" s="14">
        <f>IF($L1487&lt;&gt;"",IF(INDEX(LdAId,$L1487)="","—",INDEX(LdAId,$L1487)),IF($M1487&lt;&gt;"",IF(INDEX(LdBId,$M1487)="","—",INDEX(LdBId,$M1487)),IF($N1487&lt;&gt;"",IF(INDEX(LdCBank,$N1487)="","—",INDEX(LdCBank,$N1487)),"")))</f>
        <v/>
      </c>
      <c r="E1487" s="16">
        <f>IF($L1487&lt;&gt;"",IF(INDEX(LdAAmt,$L1487)=0,"",INDEX(LdAAmt,$L1487)),IF($M1487&lt;&gt;"",IF(INDEX(LdBAmt,$M1487)=0,"",INDEX(LdBAmt,$M1487)),IF($N1487&lt;&gt;"",IF(INDEX(LdCDep,$N1487)=0,"",INDEX(LdCDep,$N1487)),"")))</f>
        <v/>
      </c>
      <c r="F1487" s="16">
        <f>IF(AND($L1487="",$M1487="",$N1487=""),"",IF($N1487="","",IF(INDEX(LdCWit,$N1487)=0,"",INDEX(LdCWit,$N1487))))</f>
        <v/>
      </c>
      <c r="G1487" s="29">
        <f>IF($B1487="","",IF($G1486="",0,$G1486)+IF($E1487="",0,$E1487)-IF($F1487="",0,$F1487))</f>
        <v/>
      </c>
      <c r="H1487" s="30">
        <f>IF(AND($L1487="",$M1487="",$N1487=""),"",IF($L1487&lt;&gt;"",IF(INDEX(LdANote,$L1487)="","—",INDEX(LdANote,$L1487)),IF($M1487&lt;&gt;"",IF(INDEX(LdBNote,$M1487)="","—",INDEX(LdBNote,$M1487)),IF($N1487&lt;&gt;"",IF(INDEX(LdCNote,$N1487)="","—",INDEX(LdCNote,$N1487)),""))))</f>
        <v/>
      </c>
      <c r="L1487">
        <f>IFERROR(MATCH($C$5&amp;"|"&amp;RIGHT("000000"&amp;1471,6),LdAKeyM,0),"")</f>
        <v/>
      </c>
      <c r="M1487">
        <f>IFERROR(MATCH($C$5&amp;"|"&amp;RIGHT("000000"&amp;1471,6),LdBKeyM,0),"")</f>
        <v/>
      </c>
      <c r="N1487">
        <f>IFERROR(MATCH($C$5&amp;"|"&amp;RIGHT("000000"&amp;1471,6),LdCKeyM,0),"")</f>
        <v/>
      </c>
    </row>
    <row r="1488">
      <c r="A1488" s="19" t="n">
        <v>1472</v>
      </c>
      <c r="B1488" s="20">
        <f>IF(AND($L1488="",$M1488="",$N1488=""),"",IF($L1488&lt;&gt;"",INDEX(LdADate,$L1488),IF($M1488&lt;&gt;"",INDEX(LdBDate,$M1488),INDEX(LdCDate,$N1488))))</f>
        <v/>
      </c>
      <c r="C1488" s="20">
        <f>IF($L1488&lt;&gt;"","دستمزد (فردی)",IF($M1488&lt;&gt;"","سهم از گروه "&amp;IFERROR(VLOOKUP(INDEX(LdBGroup,$M1488),WGTbl,2,0),INDEX(LdBGroup,$M1488)),IF($N1488&lt;&gt;"",IF(N(INDEX(LdCDep,$N1488))&gt;0,"بازگشت بانکی","پرداخت بانکی"),"")))</f>
        <v/>
      </c>
      <c r="D1488" s="20">
        <f>IF($L1488&lt;&gt;"",IF(INDEX(LdAId,$L1488)="","—",INDEX(LdAId,$L1488)),IF($M1488&lt;&gt;"",IF(INDEX(LdBId,$M1488)="","—",INDEX(LdBId,$M1488)),IF($N1488&lt;&gt;"",IF(INDEX(LdCBank,$N1488)="","—",INDEX(LdCBank,$N1488)),"")))</f>
        <v/>
      </c>
      <c r="E1488" s="21">
        <f>IF($L1488&lt;&gt;"",IF(INDEX(LdAAmt,$L1488)=0,"",INDEX(LdAAmt,$L1488)),IF($M1488&lt;&gt;"",IF(INDEX(LdBAmt,$M1488)=0,"",INDEX(LdBAmt,$M1488)),IF($N1488&lt;&gt;"",IF(INDEX(LdCDep,$N1488)=0,"",INDEX(LdCDep,$N1488)),"")))</f>
        <v/>
      </c>
      <c r="F1488" s="21">
        <f>IF(AND($L1488="",$M1488="",$N1488=""),"",IF($N1488="","",IF(INDEX(LdCWit,$N1488)=0,"",INDEX(LdCWit,$N1488))))</f>
        <v/>
      </c>
      <c r="G1488" s="31">
        <f>IF($B1488="","",IF($G1487="",0,$G1487)+IF($E1488="",0,$E1488)-IF($F1488="",0,$F1488))</f>
        <v/>
      </c>
      <c r="H1488" s="32">
        <f>IF(AND($L1488="",$M1488="",$N1488=""),"",IF($L1488&lt;&gt;"",IF(INDEX(LdANote,$L1488)="","—",INDEX(LdANote,$L1488)),IF($M1488&lt;&gt;"",IF(INDEX(LdBNote,$M1488)="","—",INDEX(LdBNote,$M1488)),IF($N1488&lt;&gt;"",IF(INDEX(LdCNote,$N1488)="","—",INDEX(LdCNote,$N1488)),""))))</f>
        <v/>
      </c>
      <c r="L1488">
        <f>IFERROR(MATCH($C$5&amp;"|"&amp;RIGHT("000000"&amp;1472,6),LdAKeyM,0),"")</f>
        <v/>
      </c>
      <c r="M1488">
        <f>IFERROR(MATCH($C$5&amp;"|"&amp;RIGHT("000000"&amp;1472,6),LdBKeyM,0),"")</f>
        <v/>
      </c>
      <c r="N1488">
        <f>IFERROR(MATCH($C$5&amp;"|"&amp;RIGHT("000000"&amp;1472,6),LdCKeyM,0),"")</f>
        <v/>
      </c>
    </row>
    <row r="1489">
      <c r="A1489" s="10" t="n">
        <v>1473</v>
      </c>
      <c r="B1489" s="14">
        <f>IF(AND($L1489="",$M1489="",$N1489=""),"",IF($L1489&lt;&gt;"",INDEX(LdADate,$L1489),IF($M1489&lt;&gt;"",INDEX(LdBDate,$M1489),INDEX(LdCDate,$N1489))))</f>
        <v/>
      </c>
      <c r="C1489" s="14">
        <f>IF($L1489&lt;&gt;"","دستمزد (فردی)",IF($M1489&lt;&gt;"","سهم از گروه "&amp;IFERROR(VLOOKUP(INDEX(LdBGroup,$M1489),WGTbl,2,0),INDEX(LdBGroup,$M1489)),IF($N1489&lt;&gt;"",IF(N(INDEX(LdCDep,$N1489))&gt;0,"بازگشت بانکی","پرداخت بانکی"),"")))</f>
        <v/>
      </c>
      <c r="D1489" s="14">
        <f>IF($L1489&lt;&gt;"",IF(INDEX(LdAId,$L1489)="","—",INDEX(LdAId,$L1489)),IF($M1489&lt;&gt;"",IF(INDEX(LdBId,$M1489)="","—",INDEX(LdBId,$M1489)),IF($N1489&lt;&gt;"",IF(INDEX(LdCBank,$N1489)="","—",INDEX(LdCBank,$N1489)),"")))</f>
        <v/>
      </c>
      <c r="E1489" s="16">
        <f>IF($L1489&lt;&gt;"",IF(INDEX(LdAAmt,$L1489)=0,"",INDEX(LdAAmt,$L1489)),IF($M1489&lt;&gt;"",IF(INDEX(LdBAmt,$M1489)=0,"",INDEX(LdBAmt,$M1489)),IF($N1489&lt;&gt;"",IF(INDEX(LdCDep,$N1489)=0,"",INDEX(LdCDep,$N1489)),"")))</f>
        <v/>
      </c>
      <c r="F1489" s="16">
        <f>IF(AND($L1489="",$M1489="",$N1489=""),"",IF($N1489="","",IF(INDEX(LdCWit,$N1489)=0,"",INDEX(LdCWit,$N1489))))</f>
        <v/>
      </c>
      <c r="G1489" s="29">
        <f>IF($B1489="","",IF($G1488="",0,$G1488)+IF($E1489="",0,$E1489)-IF($F1489="",0,$F1489))</f>
        <v/>
      </c>
      <c r="H1489" s="30">
        <f>IF(AND($L1489="",$M1489="",$N1489=""),"",IF($L1489&lt;&gt;"",IF(INDEX(LdANote,$L1489)="","—",INDEX(LdANote,$L1489)),IF($M1489&lt;&gt;"",IF(INDEX(LdBNote,$M1489)="","—",INDEX(LdBNote,$M1489)),IF($N1489&lt;&gt;"",IF(INDEX(LdCNote,$N1489)="","—",INDEX(LdCNote,$N1489)),""))))</f>
        <v/>
      </c>
      <c r="L1489">
        <f>IFERROR(MATCH($C$5&amp;"|"&amp;RIGHT("000000"&amp;1473,6),LdAKeyM,0),"")</f>
        <v/>
      </c>
      <c r="M1489">
        <f>IFERROR(MATCH($C$5&amp;"|"&amp;RIGHT("000000"&amp;1473,6),LdBKeyM,0),"")</f>
        <v/>
      </c>
      <c r="N1489">
        <f>IFERROR(MATCH($C$5&amp;"|"&amp;RIGHT("000000"&amp;1473,6),LdCKeyM,0),"")</f>
        <v/>
      </c>
    </row>
    <row r="1490">
      <c r="A1490" s="19" t="n">
        <v>1474</v>
      </c>
      <c r="B1490" s="20">
        <f>IF(AND($L1490="",$M1490="",$N1490=""),"",IF($L1490&lt;&gt;"",INDEX(LdADate,$L1490),IF($M1490&lt;&gt;"",INDEX(LdBDate,$M1490),INDEX(LdCDate,$N1490))))</f>
        <v/>
      </c>
      <c r="C1490" s="20">
        <f>IF($L1490&lt;&gt;"","دستمزد (فردی)",IF($M1490&lt;&gt;"","سهم از گروه "&amp;IFERROR(VLOOKUP(INDEX(LdBGroup,$M1490),WGTbl,2,0),INDEX(LdBGroup,$M1490)),IF($N1490&lt;&gt;"",IF(N(INDEX(LdCDep,$N1490))&gt;0,"بازگشت بانکی","پرداخت بانکی"),"")))</f>
        <v/>
      </c>
      <c r="D1490" s="20">
        <f>IF($L1490&lt;&gt;"",IF(INDEX(LdAId,$L1490)="","—",INDEX(LdAId,$L1490)),IF($M1490&lt;&gt;"",IF(INDEX(LdBId,$M1490)="","—",INDEX(LdBId,$M1490)),IF($N1490&lt;&gt;"",IF(INDEX(LdCBank,$N1490)="","—",INDEX(LdCBank,$N1490)),"")))</f>
        <v/>
      </c>
      <c r="E1490" s="21">
        <f>IF($L1490&lt;&gt;"",IF(INDEX(LdAAmt,$L1490)=0,"",INDEX(LdAAmt,$L1490)),IF($M1490&lt;&gt;"",IF(INDEX(LdBAmt,$M1490)=0,"",INDEX(LdBAmt,$M1490)),IF($N1490&lt;&gt;"",IF(INDEX(LdCDep,$N1490)=0,"",INDEX(LdCDep,$N1490)),"")))</f>
        <v/>
      </c>
      <c r="F1490" s="21">
        <f>IF(AND($L1490="",$M1490="",$N1490=""),"",IF($N1490="","",IF(INDEX(LdCWit,$N1490)=0,"",INDEX(LdCWit,$N1490))))</f>
        <v/>
      </c>
      <c r="G1490" s="31">
        <f>IF($B1490="","",IF($G1489="",0,$G1489)+IF($E1490="",0,$E1490)-IF($F1490="",0,$F1490))</f>
        <v/>
      </c>
      <c r="H1490" s="32">
        <f>IF(AND($L1490="",$M1490="",$N1490=""),"",IF($L1490&lt;&gt;"",IF(INDEX(LdANote,$L1490)="","—",INDEX(LdANote,$L1490)),IF($M1490&lt;&gt;"",IF(INDEX(LdBNote,$M1490)="","—",INDEX(LdBNote,$M1490)),IF($N1490&lt;&gt;"",IF(INDEX(LdCNote,$N1490)="","—",INDEX(LdCNote,$N1490)),""))))</f>
        <v/>
      </c>
      <c r="L1490">
        <f>IFERROR(MATCH($C$5&amp;"|"&amp;RIGHT("000000"&amp;1474,6),LdAKeyM,0),"")</f>
        <v/>
      </c>
      <c r="M1490">
        <f>IFERROR(MATCH($C$5&amp;"|"&amp;RIGHT("000000"&amp;1474,6),LdBKeyM,0),"")</f>
        <v/>
      </c>
      <c r="N1490">
        <f>IFERROR(MATCH($C$5&amp;"|"&amp;RIGHT("000000"&amp;1474,6),LdCKeyM,0),"")</f>
        <v/>
      </c>
    </row>
    <row r="1491">
      <c r="A1491" s="10" t="n">
        <v>1475</v>
      </c>
      <c r="B1491" s="14">
        <f>IF(AND($L1491="",$M1491="",$N1491=""),"",IF($L1491&lt;&gt;"",INDEX(LdADate,$L1491),IF($M1491&lt;&gt;"",INDEX(LdBDate,$M1491),INDEX(LdCDate,$N1491))))</f>
        <v/>
      </c>
      <c r="C1491" s="14">
        <f>IF($L1491&lt;&gt;"","دستمزد (فردی)",IF($M1491&lt;&gt;"","سهم از گروه "&amp;IFERROR(VLOOKUP(INDEX(LdBGroup,$M1491),WGTbl,2,0),INDEX(LdBGroup,$M1491)),IF($N1491&lt;&gt;"",IF(N(INDEX(LdCDep,$N1491))&gt;0,"بازگشت بانکی","پرداخت بانکی"),"")))</f>
        <v/>
      </c>
      <c r="D1491" s="14">
        <f>IF($L1491&lt;&gt;"",IF(INDEX(LdAId,$L1491)="","—",INDEX(LdAId,$L1491)),IF($M1491&lt;&gt;"",IF(INDEX(LdBId,$M1491)="","—",INDEX(LdBId,$M1491)),IF($N1491&lt;&gt;"",IF(INDEX(LdCBank,$N1491)="","—",INDEX(LdCBank,$N1491)),"")))</f>
        <v/>
      </c>
      <c r="E1491" s="16">
        <f>IF($L1491&lt;&gt;"",IF(INDEX(LdAAmt,$L1491)=0,"",INDEX(LdAAmt,$L1491)),IF($M1491&lt;&gt;"",IF(INDEX(LdBAmt,$M1491)=0,"",INDEX(LdBAmt,$M1491)),IF($N1491&lt;&gt;"",IF(INDEX(LdCDep,$N1491)=0,"",INDEX(LdCDep,$N1491)),"")))</f>
        <v/>
      </c>
      <c r="F1491" s="16">
        <f>IF(AND($L1491="",$M1491="",$N1491=""),"",IF($N1491="","",IF(INDEX(LdCWit,$N1491)=0,"",INDEX(LdCWit,$N1491))))</f>
        <v/>
      </c>
      <c r="G1491" s="29">
        <f>IF($B1491="","",IF($G1490="",0,$G1490)+IF($E1491="",0,$E1491)-IF($F1491="",0,$F1491))</f>
        <v/>
      </c>
      <c r="H1491" s="30">
        <f>IF(AND($L1491="",$M1491="",$N1491=""),"",IF($L1491&lt;&gt;"",IF(INDEX(LdANote,$L1491)="","—",INDEX(LdANote,$L1491)),IF($M1491&lt;&gt;"",IF(INDEX(LdBNote,$M1491)="","—",INDEX(LdBNote,$M1491)),IF($N1491&lt;&gt;"",IF(INDEX(LdCNote,$N1491)="","—",INDEX(LdCNote,$N1491)),""))))</f>
        <v/>
      </c>
      <c r="L1491">
        <f>IFERROR(MATCH($C$5&amp;"|"&amp;RIGHT("000000"&amp;1475,6),LdAKeyM,0),"")</f>
        <v/>
      </c>
      <c r="M1491">
        <f>IFERROR(MATCH($C$5&amp;"|"&amp;RIGHT("000000"&amp;1475,6),LdBKeyM,0),"")</f>
        <v/>
      </c>
      <c r="N1491">
        <f>IFERROR(MATCH($C$5&amp;"|"&amp;RIGHT("000000"&amp;1475,6),LdCKeyM,0),"")</f>
        <v/>
      </c>
    </row>
    <row r="1492">
      <c r="A1492" s="19" t="n">
        <v>1476</v>
      </c>
      <c r="B1492" s="20">
        <f>IF(AND($L1492="",$M1492="",$N1492=""),"",IF($L1492&lt;&gt;"",INDEX(LdADate,$L1492),IF($M1492&lt;&gt;"",INDEX(LdBDate,$M1492),INDEX(LdCDate,$N1492))))</f>
        <v/>
      </c>
      <c r="C1492" s="20">
        <f>IF($L1492&lt;&gt;"","دستمزد (فردی)",IF($M1492&lt;&gt;"","سهم از گروه "&amp;IFERROR(VLOOKUP(INDEX(LdBGroup,$M1492),WGTbl,2,0),INDEX(LdBGroup,$M1492)),IF($N1492&lt;&gt;"",IF(N(INDEX(LdCDep,$N1492))&gt;0,"بازگشت بانکی","پرداخت بانکی"),"")))</f>
        <v/>
      </c>
      <c r="D1492" s="20">
        <f>IF($L1492&lt;&gt;"",IF(INDEX(LdAId,$L1492)="","—",INDEX(LdAId,$L1492)),IF($M1492&lt;&gt;"",IF(INDEX(LdBId,$M1492)="","—",INDEX(LdBId,$M1492)),IF($N1492&lt;&gt;"",IF(INDEX(LdCBank,$N1492)="","—",INDEX(LdCBank,$N1492)),"")))</f>
        <v/>
      </c>
      <c r="E1492" s="21">
        <f>IF($L1492&lt;&gt;"",IF(INDEX(LdAAmt,$L1492)=0,"",INDEX(LdAAmt,$L1492)),IF($M1492&lt;&gt;"",IF(INDEX(LdBAmt,$M1492)=0,"",INDEX(LdBAmt,$M1492)),IF($N1492&lt;&gt;"",IF(INDEX(LdCDep,$N1492)=0,"",INDEX(LdCDep,$N1492)),"")))</f>
        <v/>
      </c>
      <c r="F1492" s="21">
        <f>IF(AND($L1492="",$M1492="",$N1492=""),"",IF($N1492="","",IF(INDEX(LdCWit,$N1492)=0,"",INDEX(LdCWit,$N1492))))</f>
        <v/>
      </c>
      <c r="G1492" s="31">
        <f>IF($B1492="","",IF($G1491="",0,$G1491)+IF($E1492="",0,$E1492)-IF($F1492="",0,$F1492))</f>
        <v/>
      </c>
      <c r="H1492" s="32">
        <f>IF(AND($L1492="",$M1492="",$N1492=""),"",IF($L1492&lt;&gt;"",IF(INDEX(LdANote,$L1492)="","—",INDEX(LdANote,$L1492)),IF($M1492&lt;&gt;"",IF(INDEX(LdBNote,$M1492)="","—",INDEX(LdBNote,$M1492)),IF($N1492&lt;&gt;"",IF(INDEX(LdCNote,$N1492)="","—",INDEX(LdCNote,$N1492)),""))))</f>
        <v/>
      </c>
      <c r="L1492">
        <f>IFERROR(MATCH($C$5&amp;"|"&amp;RIGHT("000000"&amp;1476,6),LdAKeyM,0),"")</f>
        <v/>
      </c>
      <c r="M1492">
        <f>IFERROR(MATCH($C$5&amp;"|"&amp;RIGHT("000000"&amp;1476,6),LdBKeyM,0),"")</f>
        <v/>
      </c>
      <c r="N1492">
        <f>IFERROR(MATCH($C$5&amp;"|"&amp;RIGHT("000000"&amp;1476,6),LdCKeyM,0),"")</f>
        <v/>
      </c>
    </row>
    <row r="1493">
      <c r="A1493" s="10" t="n">
        <v>1477</v>
      </c>
      <c r="B1493" s="14">
        <f>IF(AND($L1493="",$M1493="",$N1493=""),"",IF($L1493&lt;&gt;"",INDEX(LdADate,$L1493),IF($M1493&lt;&gt;"",INDEX(LdBDate,$M1493),INDEX(LdCDate,$N1493))))</f>
        <v/>
      </c>
      <c r="C1493" s="14">
        <f>IF($L1493&lt;&gt;"","دستمزد (فردی)",IF($M1493&lt;&gt;"","سهم از گروه "&amp;IFERROR(VLOOKUP(INDEX(LdBGroup,$M1493),WGTbl,2,0),INDEX(LdBGroup,$M1493)),IF($N1493&lt;&gt;"",IF(N(INDEX(LdCDep,$N1493))&gt;0,"بازگشت بانکی","پرداخت بانکی"),"")))</f>
        <v/>
      </c>
      <c r="D1493" s="14">
        <f>IF($L1493&lt;&gt;"",IF(INDEX(LdAId,$L1493)="","—",INDEX(LdAId,$L1493)),IF($M1493&lt;&gt;"",IF(INDEX(LdBId,$M1493)="","—",INDEX(LdBId,$M1493)),IF($N1493&lt;&gt;"",IF(INDEX(LdCBank,$N1493)="","—",INDEX(LdCBank,$N1493)),"")))</f>
        <v/>
      </c>
      <c r="E1493" s="16">
        <f>IF($L1493&lt;&gt;"",IF(INDEX(LdAAmt,$L1493)=0,"",INDEX(LdAAmt,$L1493)),IF($M1493&lt;&gt;"",IF(INDEX(LdBAmt,$M1493)=0,"",INDEX(LdBAmt,$M1493)),IF($N1493&lt;&gt;"",IF(INDEX(LdCDep,$N1493)=0,"",INDEX(LdCDep,$N1493)),"")))</f>
        <v/>
      </c>
      <c r="F1493" s="16">
        <f>IF(AND($L1493="",$M1493="",$N1493=""),"",IF($N1493="","",IF(INDEX(LdCWit,$N1493)=0,"",INDEX(LdCWit,$N1493))))</f>
        <v/>
      </c>
      <c r="G1493" s="29">
        <f>IF($B1493="","",IF($G1492="",0,$G1492)+IF($E1493="",0,$E1493)-IF($F1493="",0,$F1493))</f>
        <v/>
      </c>
      <c r="H1493" s="30">
        <f>IF(AND($L1493="",$M1493="",$N1493=""),"",IF($L1493&lt;&gt;"",IF(INDEX(LdANote,$L1493)="","—",INDEX(LdANote,$L1493)),IF($M1493&lt;&gt;"",IF(INDEX(LdBNote,$M1493)="","—",INDEX(LdBNote,$M1493)),IF($N1493&lt;&gt;"",IF(INDEX(LdCNote,$N1493)="","—",INDEX(LdCNote,$N1493)),""))))</f>
        <v/>
      </c>
      <c r="L1493">
        <f>IFERROR(MATCH($C$5&amp;"|"&amp;RIGHT("000000"&amp;1477,6),LdAKeyM,0),"")</f>
        <v/>
      </c>
      <c r="M1493">
        <f>IFERROR(MATCH($C$5&amp;"|"&amp;RIGHT("000000"&amp;1477,6),LdBKeyM,0),"")</f>
        <v/>
      </c>
      <c r="N1493">
        <f>IFERROR(MATCH($C$5&amp;"|"&amp;RIGHT("000000"&amp;1477,6),LdCKeyM,0),"")</f>
        <v/>
      </c>
    </row>
    <row r="1494">
      <c r="A1494" s="19" t="n">
        <v>1478</v>
      </c>
      <c r="B1494" s="20">
        <f>IF(AND($L1494="",$M1494="",$N1494=""),"",IF($L1494&lt;&gt;"",INDEX(LdADate,$L1494),IF($M1494&lt;&gt;"",INDEX(LdBDate,$M1494),INDEX(LdCDate,$N1494))))</f>
        <v/>
      </c>
      <c r="C1494" s="20">
        <f>IF($L1494&lt;&gt;"","دستمزد (فردی)",IF($M1494&lt;&gt;"","سهم از گروه "&amp;IFERROR(VLOOKUP(INDEX(LdBGroup,$M1494),WGTbl,2,0),INDEX(LdBGroup,$M1494)),IF($N1494&lt;&gt;"",IF(N(INDEX(LdCDep,$N1494))&gt;0,"بازگشت بانکی","پرداخت بانکی"),"")))</f>
        <v/>
      </c>
      <c r="D1494" s="20">
        <f>IF($L1494&lt;&gt;"",IF(INDEX(LdAId,$L1494)="","—",INDEX(LdAId,$L1494)),IF($M1494&lt;&gt;"",IF(INDEX(LdBId,$M1494)="","—",INDEX(LdBId,$M1494)),IF($N1494&lt;&gt;"",IF(INDEX(LdCBank,$N1494)="","—",INDEX(LdCBank,$N1494)),"")))</f>
        <v/>
      </c>
      <c r="E1494" s="21">
        <f>IF($L1494&lt;&gt;"",IF(INDEX(LdAAmt,$L1494)=0,"",INDEX(LdAAmt,$L1494)),IF($M1494&lt;&gt;"",IF(INDEX(LdBAmt,$M1494)=0,"",INDEX(LdBAmt,$M1494)),IF($N1494&lt;&gt;"",IF(INDEX(LdCDep,$N1494)=0,"",INDEX(LdCDep,$N1494)),"")))</f>
        <v/>
      </c>
      <c r="F1494" s="21">
        <f>IF(AND($L1494="",$M1494="",$N1494=""),"",IF($N1494="","",IF(INDEX(LdCWit,$N1494)=0,"",INDEX(LdCWit,$N1494))))</f>
        <v/>
      </c>
      <c r="G1494" s="31">
        <f>IF($B1494="","",IF($G1493="",0,$G1493)+IF($E1494="",0,$E1494)-IF($F1494="",0,$F1494))</f>
        <v/>
      </c>
      <c r="H1494" s="32">
        <f>IF(AND($L1494="",$M1494="",$N1494=""),"",IF($L1494&lt;&gt;"",IF(INDEX(LdANote,$L1494)="","—",INDEX(LdANote,$L1494)),IF($M1494&lt;&gt;"",IF(INDEX(LdBNote,$M1494)="","—",INDEX(LdBNote,$M1494)),IF($N1494&lt;&gt;"",IF(INDEX(LdCNote,$N1494)="","—",INDEX(LdCNote,$N1494)),""))))</f>
        <v/>
      </c>
      <c r="L1494">
        <f>IFERROR(MATCH($C$5&amp;"|"&amp;RIGHT("000000"&amp;1478,6),LdAKeyM,0),"")</f>
        <v/>
      </c>
      <c r="M1494">
        <f>IFERROR(MATCH($C$5&amp;"|"&amp;RIGHT("000000"&amp;1478,6),LdBKeyM,0),"")</f>
        <v/>
      </c>
      <c r="N1494">
        <f>IFERROR(MATCH($C$5&amp;"|"&amp;RIGHT("000000"&amp;1478,6),LdCKeyM,0),"")</f>
        <v/>
      </c>
    </row>
    <row r="1495">
      <c r="A1495" s="10" t="n">
        <v>1479</v>
      </c>
      <c r="B1495" s="14">
        <f>IF(AND($L1495="",$M1495="",$N1495=""),"",IF($L1495&lt;&gt;"",INDEX(LdADate,$L1495),IF($M1495&lt;&gt;"",INDEX(LdBDate,$M1495),INDEX(LdCDate,$N1495))))</f>
        <v/>
      </c>
      <c r="C1495" s="14">
        <f>IF($L1495&lt;&gt;"","دستمزد (فردی)",IF($M1495&lt;&gt;"","سهم از گروه "&amp;IFERROR(VLOOKUP(INDEX(LdBGroup,$M1495),WGTbl,2,0),INDEX(LdBGroup,$M1495)),IF($N1495&lt;&gt;"",IF(N(INDEX(LdCDep,$N1495))&gt;0,"بازگشت بانکی","پرداخت بانکی"),"")))</f>
        <v/>
      </c>
      <c r="D1495" s="14">
        <f>IF($L1495&lt;&gt;"",IF(INDEX(LdAId,$L1495)="","—",INDEX(LdAId,$L1495)),IF($M1495&lt;&gt;"",IF(INDEX(LdBId,$M1495)="","—",INDEX(LdBId,$M1495)),IF($N1495&lt;&gt;"",IF(INDEX(LdCBank,$N1495)="","—",INDEX(LdCBank,$N1495)),"")))</f>
        <v/>
      </c>
      <c r="E1495" s="16">
        <f>IF($L1495&lt;&gt;"",IF(INDEX(LdAAmt,$L1495)=0,"",INDEX(LdAAmt,$L1495)),IF($M1495&lt;&gt;"",IF(INDEX(LdBAmt,$M1495)=0,"",INDEX(LdBAmt,$M1495)),IF($N1495&lt;&gt;"",IF(INDEX(LdCDep,$N1495)=0,"",INDEX(LdCDep,$N1495)),"")))</f>
        <v/>
      </c>
      <c r="F1495" s="16">
        <f>IF(AND($L1495="",$M1495="",$N1495=""),"",IF($N1495="","",IF(INDEX(LdCWit,$N1495)=0,"",INDEX(LdCWit,$N1495))))</f>
        <v/>
      </c>
      <c r="G1495" s="29">
        <f>IF($B1495="","",IF($G1494="",0,$G1494)+IF($E1495="",0,$E1495)-IF($F1495="",0,$F1495))</f>
        <v/>
      </c>
      <c r="H1495" s="30">
        <f>IF(AND($L1495="",$M1495="",$N1495=""),"",IF($L1495&lt;&gt;"",IF(INDEX(LdANote,$L1495)="","—",INDEX(LdANote,$L1495)),IF($M1495&lt;&gt;"",IF(INDEX(LdBNote,$M1495)="","—",INDEX(LdBNote,$M1495)),IF($N1495&lt;&gt;"",IF(INDEX(LdCNote,$N1495)="","—",INDEX(LdCNote,$N1495)),""))))</f>
        <v/>
      </c>
      <c r="L1495">
        <f>IFERROR(MATCH($C$5&amp;"|"&amp;RIGHT("000000"&amp;1479,6),LdAKeyM,0),"")</f>
        <v/>
      </c>
      <c r="M1495">
        <f>IFERROR(MATCH($C$5&amp;"|"&amp;RIGHT("000000"&amp;1479,6),LdBKeyM,0),"")</f>
        <v/>
      </c>
      <c r="N1495">
        <f>IFERROR(MATCH($C$5&amp;"|"&amp;RIGHT("000000"&amp;1479,6),LdCKeyM,0),"")</f>
        <v/>
      </c>
    </row>
    <row r="1496">
      <c r="A1496" s="19" t="n">
        <v>1480</v>
      </c>
      <c r="B1496" s="20">
        <f>IF(AND($L1496="",$M1496="",$N1496=""),"",IF($L1496&lt;&gt;"",INDEX(LdADate,$L1496),IF($M1496&lt;&gt;"",INDEX(LdBDate,$M1496),INDEX(LdCDate,$N1496))))</f>
        <v/>
      </c>
      <c r="C1496" s="20">
        <f>IF($L1496&lt;&gt;"","دستمزد (فردی)",IF($M1496&lt;&gt;"","سهم از گروه "&amp;IFERROR(VLOOKUP(INDEX(LdBGroup,$M1496),WGTbl,2,0),INDEX(LdBGroup,$M1496)),IF($N1496&lt;&gt;"",IF(N(INDEX(LdCDep,$N1496))&gt;0,"بازگشت بانکی","پرداخت بانکی"),"")))</f>
        <v/>
      </c>
      <c r="D1496" s="20">
        <f>IF($L1496&lt;&gt;"",IF(INDEX(LdAId,$L1496)="","—",INDEX(LdAId,$L1496)),IF($M1496&lt;&gt;"",IF(INDEX(LdBId,$M1496)="","—",INDEX(LdBId,$M1496)),IF($N1496&lt;&gt;"",IF(INDEX(LdCBank,$N1496)="","—",INDEX(LdCBank,$N1496)),"")))</f>
        <v/>
      </c>
      <c r="E1496" s="21">
        <f>IF($L1496&lt;&gt;"",IF(INDEX(LdAAmt,$L1496)=0,"",INDEX(LdAAmt,$L1496)),IF($M1496&lt;&gt;"",IF(INDEX(LdBAmt,$M1496)=0,"",INDEX(LdBAmt,$M1496)),IF($N1496&lt;&gt;"",IF(INDEX(LdCDep,$N1496)=0,"",INDEX(LdCDep,$N1496)),"")))</f>
        <v/>
      </c>
      <c r="F1496" s="21">
        <f>IF(AND($L1496="",$M1496="",$N1496=""),"",IF($N1496="","",IF(INDEX(LdCWit,$N1496)=0,"",INDEX(LdCWit,$N1496))))</f>
        <v/>
      </c>
      <c r="G1496" s="31">
        <f>IF($B1496="","",IF($G1495="",0,$G1495)+IF($E1496="",0,$E1496)-IF($F1496="",0,$F1496))</f>
        <v/>
      </c>
      <c r="H1496" s="32">
        <f>IF(AND($L1496="",$M1496="",$N1496=""),"",IF($L1496&lt;&gt;"",IF(INDEX(LdANote,$L1496)="","—",INDEX(LdANote,$L1496)),IF($M1496&lt;&gt;"",IF(INDEX(LdBNote,$M1496)="","—",INDEX(LdBNote,$M1496)),IF($N1496&lt;&gt;"",IF(INDEX(LdCNote,$N1496)="","—",INDEX(LdCNote,$N1496)),""))))</f>
        <v/>
      </c>
      <c r="L1496">
        <f>IFERROR(MATCH($C$5&amp;"|"&amp;RIGHT("000000"&amp;1480,6),LdAKeyM,0),"")</f>
        <v/>
      </c>
      <c r="M1496">
        <f>IFERROR(MATCH($C$5&amp;"|"&amp;RIGHT("000000"&amp;1480,6),LdBKeyM,0),"")</f>
        <v/>
      </c>
      <c r="N1496">
        <f>IFERROR(MATCH($C$5&amp;"|"&amp;RIGHT("000000"&amp;1480,6),LdCKeyM,0),"")</f>
        <v/>
      </c>
    </row>
    <row r="1497">
      <c r="A1497" s="10" t="n">
        <v>1481</v>
      </c>
      <c r="B1497" s="14">
        <f>IF(AND($L1497="",$M1497="",$N1497=""),"",IF($L1497&lt;&gt;"",INDEX(LdADate,$L1497),IF($M1497&lt;&gt;"",INDEX(LdBDate,$M1497),INDEX(LdCDate,$N1497))))</f>
        <v/>
      </c>
      <c r="C1497" s="14">
        <f>IF($L1497&lt;&gt;"","دستمزد (فردی)",IF($M1497&lt;&gt;"","سهم از گروه "&amp;IFERROR(VLOOKUP(INDEX(LdBGroup,$M1497),WGTbl,2,0),INDEX(LdBGroup,$M1497)),IF($N1497&lt;&gt;"",IF(N(INDEX(LdCDep,$N1497))&gt;0,"بازگشت بانکی","پرداخت بانکی"),"")))</f>
        <v/>
      </c>
      <c r="D1497" s="14">
        <f>IF($L1497&lt;&gt;"",IF(INDEX(LdAId,$L1497)="","—",INDEX(LdAId,$L1497)),IF($M1497&lt;&gt;"",IF(INDEX(LdBId,$M1497)="","—",INDEX(LdBId,$M1497)),IF($N1497&lt;&gt;"",IF(INDEX(LdCBank,$N1497)="","—",INDEX(LdCBank,$N1497)),"")))</f>
        <v/>
      </c>
      <c r="E1497" s="16">
        <f>IF($L1497&lt;&gt;"",IF(INDEX(LdAAmt,$L1497)=0,"",INDEX(LdAAmt,$L1497)),IF($M1497&lt;&gt;"",IF(INDEX(LdBAmt,$M1497)=0,"",INDEX(LdBAmt,$M1497)),IF($N1497&lt;&gt;"",IF(INDEX(LdCDep,$N1497)=0,"",INDEX(LdCDep,$N1497)),"")))</f>
        <v/>
      </c>
      <c r="F1497" s="16">
        <f>IF(AND($L1497="",$M1497="",$N1497=""),"",IF($N1497="","",IF(INDEX(LdCWit,$N1497)=0,"",INDEX(LdCWit,$N1497))))</f>
        <v/>
      </c>
      <c r="G1497" s="29">
        <f>IF($B1497="","",IF($G1496="",0,$G1496)+IF($E1497="",0,$E1497)-IF($F1497="",0,$F1497))</f>
        <v/>
      </c>
      <c r="H1497" s="30">
        <f>IF(AND($L1497="",$M1497="",$N1497=""),"",IF($L1497&lt;&gt;"",IF(INDEX(LdANote,$L1497)="","—",INDEX(LdANote,$L1497)),IF($M1497&lt;&gt;"",IF(INDEX(LdBNote,$M1497)="","—",INDEX(LdBNote,$M1497)),IF($N1497&lt;&gt;"",IF(INDEX(LdCNote,$N1497)="","—",INDEX(LdCNote,$N1497)),""))))</f>
        <v/>
      </c>
      <c r="L1497">
        <f>IFERROR(MATCH($C$5&amp;"|"&amp;RIGHT("000000"&amp;1481,6),LdAKeyM,0),"")</f>
        <v/>
      </c>
      <c r="M1497">
        <f>IFERROR(MATCH($C$5&amp;"|"&amp;RIGHT("000000"&amp;1481,6),LdBKeyM,0),"")</f>
        <v/>
      </c>
      <c r="N1497">
        <f>IFERROR(MATCH($C$5&amp;"|"&amp;RIGHT("000000"&amp;1481,6),LdCKeyM,0),"")</f>
        <v/>
      </c>
    </row>
    <row r="1498">
      <c r="A1498" s="19" t="n">
        <v>1482</v>
      </c>
      <c r="B1498" s="20">
        <f>IF(AND($L1498="",$M1498="",$N1498=""),"",IF($L1498&lt;&gt;"",INDEX(LdADate,$L1498),IF($M1498&lt;&gt;"",INDEX(LdBDate,$M1498),INDEX(LdCDate,$N1498))))</f>
        <v/>
      </c>
      <c r="C1498" s="20">
        <f>IF($L1498&lt;&gt;"","دستمزد (فردی)",IF($M1498&lt;&gt;"","سهم از گروه "&amp;IFERROR(VLOOKUP(INDEX(LdBGroup,$M1498),WGTbl,2,0),INDEX(LdBGroup,$M1498)),IF($N1498&lt;&gt;"",IF(N(INDEX(LdCDep,$N1498))&gt;0,"بازگشت بانکی","پرداخت بانکی"),"")))</f>
        <v/>
      </c>
      <c r="D1498" s="20">
        <f>IF($L1498&lt;&gt;"",IF(INDEX(LdAId,$L1498)="","—",INDEX(LdAId,$L1498)),IF($M1498&lt;&gt;"",IF(INDEX(LdBId,$M1498)="","—",INDEX(LdBId,$M1498)),IF($N1498&lt;&gt;"",IF(INDEX(LdCBank,$N1498)="","—",INDEX(LdCBank,$N1498)),"")))</f>
        <v/>
      </c>
      <c r="E1498" s="21">
        <f>IF($L1498&lt;&gt;"",IF(INDEX(LdAAmt,$L1498)=0,"",INDEX(LdAAmt,$L1498)),IF($M1498&lt;&gt;"",IF(INDEX(LdBAmt,$M1498)=0,"",INDEX(LdBAmt,$M1498)),IF($N1498&lt;&gt;"",IF(INDEX(LdCDep,$N1498)=0,"",INDEX(LdCDep,$N1498)),"")))</f>
        <v/>
      </c>
      <c r="F1498" s="21">
        <f>IF(AND($L1498="",$M1498="",$N1498=""),"",IF($N1498="","",IF(INDEX(LdCWit,$N1498)=0,"",INDEX(LdCWit,$N1498))))</f>
        <v/>
      </c>
      <c r="G1498" s="31">
        <f>IF($B1498="","",IF($G1497="",0,$G1497)+IF($E1498="",0,$E1498)-IF($F1498="",0,$F1498))</f>
        <v/>
      </c>
      <c r="H1498" s="32">
        <f>IF(AND($L1498="",$M1498="",$N1498=""),"",IF($L1498&lt;&gt;"",IF(INDEX(LdANote,$L1498)="","—",INDEX(LdANote,$L1498)),IF($M1498&lt;&gt;"",IF(INDEX(LdBNote,$M1498)="","—",INDEX(LdBNote,$M1498)),IF($N1498&lt;&gt;"",IF(INDEX(LdCNote,$N1498)="","—",INDEX(LdCNote,$N1498)),""))))</f>
        <v/>
      </c>
      <c r="L1498">
        <f>IFERROR(MATCH($C$5&amp;"|"&amp;RIGHT("000000"&amp;1482,6),LdAKeyM,0),"")</f>
        <v/>
      </c>
      <c r="M1498">
        <f>IFERROR(MATCH($C$5&amp;"|"&amp;RIGHT("000000"&amp;1482,6),LdBKeyM,0),"")</f>
        <v/>
      </c>
      <c r="N1498">
        <f>IFERROR(MATCH($C$5&amp;"|"&amp;RIGHT("000000"&amp;1482,6),LdCKeyM,0),"")</f>
        <v/>
      </c>
    </row>
    <row r="1499">
      <c r="A1499" s="10" t="n">
        <v>1483</v>
      </c>
      <c r="B1499" s="14">
        <f>IF(AND($L1499="",$M1499="",$N1499=""),"",IF($L1499&lt;&gt;"",INDEX(LdADate,$L1499),IF($M1499&lt;&gt;"",INDEX(LdBDate,$M1499),INDEX(LdCDate,$N1499))))</f>
        <v/>
      </c>
      <c r="C1499" s="14">
        <f>IF($L1499&lt;&gt;"","دستمزد (فردی)",IF($M1499&lt;&gt;"","سهم از گروه "&amp;IFERROR(VLOOKUP(INDEX(LdBGroup,$M1499),WGTbl,2,0),INDEX(LdBGroup,$M1499)),IF($N1499&lt;&gt;"",IF(N(INDEX(LdCDep,$N1499))&gt;0,"بازگشت بانکی","پرداخت بانکی"),"")))</f>
        <v/>
      </c>
      <c r="D1499" s="14">
        <f>IF($L1499&lt;&gt;"",IF(INDEX(LdAId,$L1499)="","—",INDEX(LdAId,$L1499)),IF($M1499&lt;&gt;"",IF(INDEX(LdBId,$M1499)="","—",INDEX(LdBId,$M1499)),IF($N1499&lt;&gt;"",IF(INDEX(LdCBank,$N1499)="","—",INDEX(LdCBank,$N1499)),"")))</f>
        <v/>
      </c>
      <c r="E1499" s="16">
        <f>IF($L1499&lt;&gt;"",IF(INDEX(LdAAmt,$L1499)=0,"",INDEX(LdAAmt,$L1499)),IF($M1499&lt;&gt;"",IF(INDEX(LdBAmt,$M1499)=0,"",INDEX(LdBAmt,$M1499)),IF($N1499&lt;&gt;"",IF(INDEX(LdCDep,$N1499)=0,"",INDEX(LdCDep,$N1499)),"")))</f>
        <v/>
      </c>
      <c r="F1499" s="16">
        <f>IF(AND($L1499="",$M1499="",$N1499=""),"",IF($N1499="","",IF(INDEX(LdCWit,$N1499)=0,"",INDEX(LdCWit,$N1499))))</f>
        <v/>
      </c>
      <c r="G1499" s="29">
        <f>IF($B1499="","",IF($G1498="",0,$G1498)+IF($E1499="",0,$E1499)-IF($F1499="",0,$F1499))</f>
        <v/>
      </c>
      <c r="H1499" s="30">
        <f>IF(AND($L1499="",$M1499="",$N1499=""),"",IF($L1499&lt;&gt;"",IF(INDEX(LdANote,$L1499)="","—",INDEX(LdANote,$L1499)),IF($M1499&lt;&gt;"",IF(INDEX(LdBNote,$M1499)="","—",INDEX(LdBNote,$M1499)),IF($N1499&lt;&gt;"",IF(INDEX(LdCNote,$N1499)="","—",INDEX(LdCNote,$N1499)),""))))</f>
        <v/>
      </c>
      <c r="L1499">
        <f>IFERROR(MATCH($C$5&amp;"|"&amp;RIGHT("000000"&amp;1483,6),LdAKeyM,0),"")</f>
        <v/>
      </c>
      <c r="M1499">
        <f>IFERROR(MATCH($C$5&amp;"|"&amp;RIGHT("000000"&amp;1483,6),LdBKeyM,0),"")</f>
        <v/>
      </c>
      <c r="N1499">
        <f>IFERROR(MATCH($C$5&amp;"|"&amp;RIGHT("000000"&amp;1483,6),LdCKeyM,0),"")</f>
        <v/>
      </c>
    </row>
    <row r="1500">
      <c r="A1500" s="19" t="n">
        <v>1484</v>
      </c>
      <c r="B1500" s="20">
        <f>IF(AND($L1500="",$M1500="",$N1500=""),"",IF($L1500&lt;&gt;"",INDEX(LdADate,$L1500),IF($M1500&lt;&gt;"",INDEX(LdBDate,$M1500),INDEX(LdCDate,$N1500))))</f>
        <v/>
      </c>
      <c r="C1500" s="20">
        <f>IF($L1500&lt;&gt;"","دستمزد (فردی)",IF($M1500&lt;&gt;"","سهم از گروه "&amp;IFERROR(VLOOKUP(INDEX(LdBGroup,$M1500),WGTbl,2,0),INDEX(LdBGroup,$M1500)),IF($N1500&lt;&gt;"",IF(N(INDEX(LdCDep,$N1500))&gt;0,"بازگشت بانکی","پرداخت بانکی"),"")))</f>
        <v/>
      </c>
      <c r="D1500" s="20">
        <f>IF($L1500&lt;&gt;"",IF(INDEX(LdAId,$L1500)="","—",INDEX(LdAId,$L1500)),IF($M1500&lt;&gt;"",IF(INDEX(LdBId,$M1500)="","—",INDEX(LdBId,$M1500)),IF($N1500&lt;&gt;"",IF(INDEX(LdCBank,$N1500)="","—",INDEX(LdCBank,$N1500)),"")))</f>
        <v/>
      </c>
      <c r="E1500" s="21">
        <f>IF($L1500&lt;&gt;"",IF(INDEX(LdAAmt,$L1500)=0,"",INDEX(LdAAmt,$L1500)),IF($M1500&lt;&gt;"",IF(INDEX(LdBAmt,$M1500)=0,"",INDEX(LdBAmt,$M1500)),IF($N1500&lt;&gt;"",IF(INDEX(LdCDep,$N1500)=0,"",INDEX(LdCDep,$N1500)),"")))</f>
        <v/>
      </c>
      <c r="F1500" s="21">
        <f>IF(AND($L1500="",$M1500="",$N1500=""),"",IF($N1500="","",IF(INDEX(LdCWit,$N1500)=0,"",INDEX(LdCWit,$N1500))))</f>
        <v/>
      </c>
      <c r="G1500" s="31">
        <f>IF($B1500="","",IF($G1499="",0,$G1499)+IF($E1500="",0,$E1500)-IF($F1500="",0,$F1500))</f>
        <v/>
      </c>
      <c r="H1500" s="32">
        <f>IF(AND($L1500="",$M1500="",$N1500=""),"",IF($L1500&lt;&gt;"",IF(INDEX(LdANote,$L1500)="","—",INDEX(LdANote,$L1500)),IF($M1500&lt;&gt;"",IF(INDEX(LdBNote,$M1500)="","—",INDEX(LdBNote,$M1500)),IF($N1500&lt;&gt;"",IF(INDEX(LdCNote,$N1500)="","—",INDEX(LdCNote,$N1500)),""))))</f>
        <v/>
      </c>
      <c r="L1500">
        <f>IFERROR(MATCH($C$5&amp;"|"&amp;RIGHT("000000"&amp;1484,6),LdAKeyM,0),"")</f>
        <v/>
      </c>
      <c r="M1500">
        <f>IFERROR(MATCH($C$5&amp;"|"&amp;RIGHT("000000"&amp;1484,6),LdBKeyM,0),"")</f>
        <v/>
      </c>
      <c r="N1500">
        <f>IFERROR(MATCH($C$5&amp;"|"&amp;RIGHT("000000"&amp;1484,6),LdCKeyM,0),"")</f>
        <v/>
      </c>
    </row>
    <row r="1501">
      <c r="A1501" s="10" t="n">
        <v>1485</v>
      </c>
      <c r="B1501" s="14">
        <f>IF(AND($L1501="",$M1501="",$N1501=""),"",IF($L1501&lt;&gt;"",INDEX(LdADate,$L1501),IF($M1501&lt;&gt;"",INDEX(LdBDate,$M1501),INDEX(LdCDate,$N1501))))</f>
        <v/>
      </c>
      <c r="C1501" s="14">
        <f>IF($L1501&lt;&gt;"","دستمزد (فردی)",IF($M1501&lt;&gt;"","سهم از گروه "&amp;IFERROR(VLOOKUP(INDEX(LdBGroup,$M1501),WGTbl,2,0),INDEX(LdBGroup,$M1501)),IF($N1501&lt;&gt;"",IF(N(INDEX(LdCDep,$N1501))&gt;0,"بازگشت بانکی","پرداخت بانکی"),"")))</f>
        <v/>
      </c>
      <c r="D1501" s="14">
        <f>IF($L1501&lt;&gt;"",IF(INDEX(LdAId,$L1501)="","—",INDEX(LdAId,$L1501)),IF($M1501&lt;&gt;"",IF(INDEX(LdBId,$M1501)="","—",INDEX(LdBId,$M1501)),IF($N1501&lt;&gt;"",IF(INDEX(LdCBank,$N1501)="","—",INDEX(LdCBank,$N1501)),"")))</f>
        <v/>
      </c>
      <c r="E1501" s="16">
        <f>IF($L1501&lt;&gt;"",IF(INDEX(LdAAmt,$L1501)=0,"",INDEX(LdAAmt,$L1501)),IF($M1501&lt;&gt;"",IF(INDEX(LdBAmt,$M1501)=0,"",INDEX(LdBAmt,$M1501)),IF($N1501&lt;&gt;"",IF(INDEX(LdCDep,$N1501)=0,"",INDEX(LdCDep,$N1501)),"")))</f>
        <v/>
      </c>
      <c r="F1501" s="16">
        <f>IF(AND($L1501="",$M1501="",$N1501=""),"",IF($N1501="","",IF(INDEX(LdCWit,$N1501)=0,"",INDEX(LdCWit,$N1501))))</f>
        <v/>
      </c>
      <c r="G1501" s="29">
        <f>IF($B1501="","",IF($G1500="",0,$G1500)+IF($E1501="",0,$E1501)-IF($F1501="",0,$F1501))</f>
        <v/>
      </c>
      <c r="H1501" s="30">
        <f>IF(AND($L1501="",$M1501="",$N1501=""),"",IF($L1501&lt;&gt;"",IF(INDEX(LdANote,$L1501)="","—",INDEX(LdANote,$L1501)),IF($M1501&lt;&gt;"",IF(INDEX(LdBNote,$M1501)="","—",INDEX(LdBNote,$M1501)),IF($N1501&lt;&gt;"",IF(INDEX(LdCNote,$N1501)="","—",INDEX(LdCNote,$N1501)),""))))</f>
        <v/>
      </c>
      <c r="L1501">
        <f>IFERROR(MATCH($C$5&amp;"|"&amp;RIGHT("000000"&amp;1485,6),LdAKeyM,0),"")</f>
        <v/>
      </c>
      <c r="M1501">
        <f>IFERROR(MATCH($C$5&amp;"|"&amp;RIGHT("000000"&amp;1485,6),LdBKeyM,0),"")</f>
        <v/>
      </c>
      <c r="N1501">
        <f>IFERROR(MATCH($C$5&amp;"|"&amp;RIGHT("000000"&amp;1485,6),LdCKeyM,0),"")</f>
        <v/>
      </c>
    </row>
    <row r="1502">
      <c r="A1502" s="19" t="n">
        <v>1486</v>
      </c>
      <c r="B1502" s="20">
        <f>IF(AND($L1502="",$M1502="",$N1502=""),"",IF($L1502&lt;&gt;"",INDEX(LdADate,$L1502),IF($M1502&lt;&gt;"",INDEX(LdBDate,$M1502),INDEX(LdCDate,$N1502))))</f>
        <v/>
      </c>
      <c r="C1502" s="20">
        <f>IF($L1502&lt;&gt;"","دستمزد (فردی)",IF($M1502&lt;&gt;"","سهم از گروه "&amp;IFERROR(VLOOKUP(INDEX(LdBGroup,$M1502),WGTbl,2,0),INDEX(LdBGroup,$M1502)),IF($N1502&lt;&gt;"",IF(N(INDEX(LdCDep,$N1502))&gt;0,"بازگشت بانکی","پرداخت بانکی"),"")))</f>
        <v/>
      </c>
      <c r="D1502" s="20">
        <f>IF($L1502&lt;&gt;"",IF(INDEX(LdAId,$L1502)="","—",INDEX(LdAId,$L1502)),IF($M1502&lt;&gt;"",IF(INDEX(LdBId,$M1502)="","—",INDEX(LdBId,$M1502)),IF($N1502&lt;&gt;"",IF(INDEX(LdCBank,$N1502)="","—",INDEX(LdCBank,$N1502)),"")))</f>
        <v/>
      </c>
      <c r="E1502" s="21">
        <f>IF($L1502&lt;&gt;"",IF(INDEX(LdAAmt,$L1502)=0,"",INDEX(LdAAmt,$L1502)),IF($M1502&lt;&gt;"",IF(INDEX(LdBAmt,$M1502)=0,"",INDEX(LdBAmt,$M1502)),IF($N1502&lt;&gt;"",IF(INDEX(LdCDep,$N1502)=0,"",INDEX(LdCDep,$N1502)),"")))</f>
        <v/>
      </c>
      <c r="F1502" s="21">
        <f>IF(AND($L1502="",$M1502="",$N1502=""),"",IF($N1502="","",IF(INDEX(LdCWit,$N1502)=0,"",INDEX(LdCWit,$N1502))))</f>
        <v/>
      </c>
      <c r="G1502" s="31">
        <f>IF($B1502="","",IF($G1501="",0,$G1501)+IF($E1502="",0,$E1502)-IF($F1502="",0,$F1502))</f>
        <v/>
      </c>
      <c r="H1502" s="32">
        <f>IF(AND($L1502="",$M1502="",$N1502=""),"",IF($L1502&lt;&gt;"",IF(INDEX(LdANote,$L1502)="","—",INDEX(LdANote,$L1502)),IF($M1502&lt;&gt;"",IF(INDEX(LdBNote,$M1502)="","—",INDEX(LdBNote,$M1502)),IF($N1502&lt;&gt;"",IF(INDEX(LdCNote,$N1502)="","—",INDEX(LdCNote,$N1502)),""))))</f>
        <v/>
      </c>
      <c r="L1502">
        <f>IFERROR(MATCH($C$5&amp;"|"&amp;RIGHT("000000"&amp;1486,6),LdAKeyM,0),"")</f>
        <v/>
      </c>
      <c r="M1502">
        <f>IFERROR(MATCH($C$5&amp;"|"&amp;RIGHT("000000"&amp;1486,6),LdBKeyM,0),"")</f>
        <v/>
      </c>
      <c r="N1502">
        <f>IFERROR(MATCH($C$5&amp;"|"&amp;RIGHT("000000"&amp;1486,6),LdCKeyM,0),"")</f>
        <v/>
      </c>
    </row>
    <row r="1503">
      <c r="A1503" s="10" t="n">
        <v>1487</v>
      </c>
      <c r="B1503" s="14">
        <f>IF(AND($L1503="",$M1503="",$N1503=""),"",IF($L1503&lt;&gt;"",INDEX(LdADate,$L1503),IF($M1503&lt;&gt;"",INDEX(LdBDate,$M1503),INDEX(LdCDate,$N1503))))</f>
        <v/>
      </c>
      <c r="C1503" s="14">
        <f>IF($L1503&lt;&gt;"","دستمزد (فردی)",IF($M1503&lt;&gt;"","سهم از گروه "&amp;IFERROR(VLOOKUP(INDEX(LdBGroup,$M1503),WGTbl,2,0),INDEX(LdBGroup,$M1503)),IF($N1503&lt;&gt;"",IF(N(INDEX(LdCDep,$N1503))&gt;0,"بازگشت بانکی","پرداخت بانکی"),"")))</f>
        <v/>
      </c>
      <c r="D1503" s="14">
        <f>IF($L1503&lt;&gt;"",IF(INDEX(LdAId,$L1503)="","—",INDEX(LdAId,$L1503)),IF($M1503&lt;&gt;"",IF(INDEX(LdBId,$M1503)="","—",INDEX(LdBId,$M1503)),IF($N1503&lt;&gt;"",IF(INDEX(LdCBank,$N1503)="","—",INDEX(LdCBank,$N1503)),"")))</f>
        <v/>
      </c>
      <c r="E1503" s="16">
        <f>IF($L1503&lt;&gt;"",IF(INDEX(LdAAmt,$L1503)=0,"",INDEX(LdAAmt,$L1503)),IF($M1503&lt;&gt;"",IF(INDEX(LdBAmt,$M1503)=0,"",INDEX(LdBAmt,$M1503)),IF($N1503&lt;&gt;"",IF(INDEX(LdCDep,$N1503)=0,"",INDEX(LdCDep,$N1503)),"")))</f>
        <v/>
      </c>
      <c r="F1503" s="16">
        <f>IF(AND($L1503="",$M1503="",$N1503=""),"",IF($N1503="","",IF(INDEX(LdCWit,$N1503)=0,"",INDEX(LdCWit,$N1503))))</f>
        <v/>
      </c>
      <c r="G1503" s="29">
        <f>IF($B1503="","",IF($G1502="",0,$G1502)+IF($E1503="",0,$E1503)-IF($F1503="",0,$F1503))</f>
        <v/>
      </c>
      <c r="H1503" s="30">
        <f>IF(AND($L1503="",$M1503="",$N1503=""),"",IF($L1503&lt;&gt;"",IF(INDEX(LdANote,$L1503)="","—",INDEX(LdANote,$L1503)),IF($M1503&lt;&gt;"",IF(INDEX(LdBNote,$M1503)="","—",INDEX(LdBNote,$M1503)),IF($N1503&lt;&gt;"",IF(INDEX(LdCNote,$N1503)="","—",INDEX(LdCNote,$N1503)),""))))</f>
        <v/>
      </c>
      <c r="L1503">
        <f>IFERROR(MATCH($C$5&amp;"|"&amp;RIGHT("000000"&amp;1487,6),LdAKeyM,0),"")</f>
        <v/>
      </c>
      <c r="M1503">
        <f>IFERROR(MATCH($C$5&amp;"|"&amp;RIGHT("000000"&amp;1487,6),LdBKeyM,0),"")</f>
        <v/>
      </c>
      <c r="N1503">
        <f>IFERROR(MATCH($C$5&amp;"|"&amp;RIGHT("000000"&amp;1487,6),LdCKeyM,0),"")</f>
        <v/>
      </c>
    </row>
    <row r="1504">
      <c r="A1504" s="19" t="n">
        <v>1488</v>
      </c>
      <c r="B1504" s="20">
        <f>IF(AND($L1504="",$M1504="",$N1504=""),"",IF($L1504&lt;&gt;"",INDEX(LdADate,$L1504),IF($M1504&lt;&gt;"",INDEX(LdBDate,$M1504),INDEX(LdCDate,$N1504))))</f>
        <v/>
      </c>
      <c r="C1504" s="20">
        <f>IF($L1504&lt;&gt;"","دستمزد (فردی)",IF($M1504&lt;&gt;"","سهم از گروه "&amp;IFERROR(VLOOKUP(INDEX(LdBGroup,$M1504),WGTbl,2,0),INDEX(LdBGroup,$M1504)),IF($N1504&lt;&gt;"",IF(N(INDEX(LdCDep,$N1504))&gt;0,"بازگشت بانکی","پرداخت بانکی"),"")))</f>
        <v/>
      </c>
      <c r="D1504" s="20">
        <f>IF($L1504&lt;&gt;"",IF(INDEX(LdAId,$L1504)="","—",INDEX(LdAId,$L1504)),IF($M1504&lt;&gt;"",IF(INDEX(LdBId,$M1504)="","—",INDEX(LdBId,$M1504)),IF($N1504&lt;&gt;"",IF(INDEX(LdCBank,$N1504)="","—",INDEX(LdCBank,$N1504)),"")))</f>
        <v/>
      </c>
      <c r="E1504" s="21">
        <f>IF($L1504&lt;&gt;"",IF(INDEX(LdAAmt,$L1504)=0,"",INDEX(LdAAmt,$L1504)),IF($M1504&lt;&gt;"",IF(INDEX(LdBAmt,$M1504)=0,"",INDEX(LdBAmt,$M1504)),IF($N1504&lt;&gt;"",IF(INDEX(LdCDep,$N1504)=0,"",INDEX(LdCDep,$N1504)),"")))</f>
        <v/>
      </c>
      <c r="F1504" s="21">
        <f>IF(AND($L1504="",$M1504="",$N1504=""),"",IF($N1504="","",IF(INDEX(LdCWit,$N1504)=0,"",INDEX(LdCWit,$N1504))))</f>
        <v/>
      </c>
      <c r="G1504" s="31">
        <f>IF($B1504="","",IF($G1503="",0,$G1503)+IF($E1504="",0,$E1504)-IF($F1504="",0,$F1504))</f>
        <v/>
      </c>
      <c r="H1504" s="32">
        <f>IF(AND($L1504="",$M1504="",$N1504=""),"",IF($L1504&lt;&gt;"",IF(INDEX(LdANote,$L1504)="","—",INDEX(LdANote,$L1504)),IF($M1504&lt;&gt;"",IF(INDEX(LdBNote,$M1504)="","—",INDEX(LdBNote,$M1504)),IF($N1504&lt;&gt;"",IF(INDEX(LdCNote,$N1504)="","—",INDEX(LdCNote,$N1504)),""))))</f>
        <v/>
      </c>
      <c r="L1504">
        <f>IFERROR(MATCH($C$5&amp;"|"&amp;RIGHT("000000"&amp;1488,6),LdAKeyM,0),"")</f>
        <v/>
      </c>
      <c r="M1504">
        <f>IFERROR(MATCH($C$5&amp;"|"&amp;RIGHT("000000"&amp;1488,6),LdBKeyM,0),"")</f>
        <v/>
      </c>
      <c r="N1504">
        <f>IFERROR(MATCH($C$5&amp;"|"&amp;RIGHT("000000"&amp;1488,6),LdCKeyM,0),"")</f>
        <v/>
      </c>
    </row>
    <row r="1505">
      <c r="A1505" s="10" t="n">
        <v>1489</v>
      </c>
      <c r="B1505" s="14">
        <f>IF(AND($L1505="",$M1505="",$N1505=""),"",IF($L1505&lt;&gt;"",INDEX(LdADate,$L1505),IF($M1505&lt;&gt;"",INDEX(LdBDate,$M1505),INDEX(LdCDate,$N1505))))</f>
        <v/>
      </c>
      <c r="C1505" s="14">
        <f>IF($L1505&lt;&gt;"","دستمزد (فردی)",IF($M1505&lt;&gt;"","سهم از گروه "&amp;IFERROR(VLOOKUP(INDEX(LdBGroup,$M1505),WGTbl,2,0),INDEX(LdBGroup,$M1505)),IF($N1505&lt;&gt;"",IF(N(INDEX(LdCDep,$N1505))&gt;0,"بازگشت بانکی","پرداخت بانکی"),"")))</f>
        <v/>
      </c>
      <c r="D1505" s="14">
        <f>IF($L1505&lt;&gt;"",IF(INDEX(LdAId,$L1505)="","—",INDEX(LdAId,$L1505)),IF($M1505&lt;&gt;"",IF(INDEX(LdBId,$M1505)="","—",INDEX(LdBId,$M1505)),IF($N1505&lt;&gt;"",IF(INDEX(LdCBank,$N1505)="","—",INDEX(LdCBank,$N1505)),"")))</f>
        <v/>
      </c>
      <c r="E1505" s="16">
        <f>IF($L1505&lt;&gt;"",IF(INDEX(LdAAmt,$L1505)=0,"",INDEX(LdAAmt,$L1505)),IF($M1505&lt;&gt;"",IF(INDEX(LdBAmt,$M1505)=0,"",INDEX(LdBAmt,$M1505)),IF($N1505&lt;&gt;"",IF(INDEX(LdCDep,$N1505)=0,"",INDEX(LdCDep,$N1505)),"")))</f>
        <v/>
      </c>
      <c r="F1505" s="16">
        <f>IF(AND($L1505="",$M1505="",$N1505=""),"",IF($N1505="","",IF(INDEX(LdCWit,$N1505)=0,"",INDEX(LdCWit,$N1505))))</f>
        <v/>
      </c>
      <c r="G1505" s="29">
        <f>IF($B1505="","",IF($G1504="",0,$G1504)+IF($E1505="",0,$E1505)-IF($F1505="",0,$F1505))</f>
        <v/>
      </c>
      <c r="H1505" s="30">
        <f>IF(AND($L1505="",$M1505="",$N1505=""),"",IF($L1505&lt;&gt;"",IF(INDEX(LdANote,$L1505)="","—",INDEX(LdANote,$L1505)),IF($M1505&lt;&gt;"",IF(INDEX(LdBNote,$M1505)="","—",INDEX(LdBNote,$M1505)),IF($N1505&lt;&gt;"",IF(INDEX(LdCNote,$N1505)="","—",INDEX(LdCNote,$N1505)),""))))</f>
        <v/>
      </c>
      <c r="L1505">
        <f>IFERROR(MATCH($C$5&amp;"|"&amp;RIGHT("000000"&amp;1489,6),LdAKeyM,0),"")</f>
        <v/>
      </c>
      <c r="M1505">
        <f>IFERROR(MATCH($C$5&amp;"|"&amp;RIGHT("000000"&amp;1489,6),LdBKeyM,0),"")</f>
        <v/>
      </c>
      <c r="N1505">
        <f>IFERROR(MATCH($C$5&amp;"|"&amp;RIGHT("000000"&amp;1489,6),LdCKeyM,0),"")</f>
        <v/>
      </c>
    </row>
    <row r="1506">
      <c r="A1506" s="19" t="n">
        <v>1490</v>
      </c>
      <c r="B1506" s="20">
        <f>IF(AND($L1506="",$M1506="",$N1506=""),"",IF($L1506&lt;&gt;"",INDEX(LdADate,$L1506),IF($M1506&lt;&gt;"",INDEX(LdBDate,$M1506),INDEX(LdCDate,$N1506))))</f>
        <v/>
      </c>
      <c r="C1506" s="20">
        <f>IF($L1506&lt;&gt;"","دستمزد (فردی)",IF($M1506&lt;&gt;"","سهم از گروه "&amp;IFERROR(VLOOKUP(INDEX(LdBGroup,$M1506),WGTbl,2,0),INDEX(LdBGroup,$M1506)),IF($N1506&lt;&gt;"",IF(N(INDEX(LdCDep,$N1506))&gt;0,"بازگشت بانکی","پرداخت بانکی"),"")))</f>
        <v/>
      </c>
      <c r="D1506" s="20">
        <f>IF($L1506&lt;&gt;"",IF(INDEX(LdAId,$L1506)="","—",INDEX(LdAId,$L1506)),IF($M1506&lt;&gt;"",IF(INDEX(LdBId,$M1506)="","—",INDEX(LdBId,$M1506)),IF($N1506&lt;&gt;"",IF(INDEX(LdCBank,$N1506)="","—",INDEX(LdCBank,$N1506)),"")))</f>
        <v/>
      </c>
      <c r="E1506" s="21">
        <f>IF($L1506&lt;&gt;"",IF(INDEX(LdAAmt,$L1506)=0,"",INDEX(LdAAmt,$L1506)),IF($M1506&lt;&gt;"",IF(INDEX(LdBAmt,$M1506)=0,"",INDEX(LdBAmt,$M1506)),IF($N1506&lt;&gt;"",IF(INDEX(LdCDep,$N1506)=0,"",INDEX(LdCDep,$N1506)),"")))</f>
        <v/>
      </c>
      <c r="F1506" s="21">
        <f>IF(AND($L1506="",$M1506="",$N1506=""),"",IF($N1506="","",IF(INDEX(LdCWit,$N1506)=0,"",INDEX(LdCWit,$N1506))))</f>
        <v/>
      </c>
      <c r="G1506" s="31">
        <f>IF($B1506="","",IF($G1505="",0,$G1505)+IF($E1506="",0,$E1506)-IF($F1506="",0,$F1506))</f>
        <v/>
      </c>
      <c r="H1506" s="32">
        <f>IF(AND($L1506="",$M1506="",$N1506=""),"",IF($L1506&lt;&gt;"",IF(INDEX(LdANote,$L1506)="","—",INDEX(LdANote,$L1506)),IF($M1506&lt;&gt;"",IF(INDEX(LdBNote,$M1506)="","—",INDEX(LdBNote,$M1506)),IF($N1506&lt;&gt;"",IF(INDEX(LdCNote,$N1506)="","—",INDEX(LdCNote,$N1506)),""))))</f>
        <v/>
      </c>
      <c r="L1506">
        <f>IFERROR(MATCH($C$5&amp;"|"&amp;RIGHT("000000"&amp;1490,6),LdAKeyM,0),"")</f>
        <v/>
      </c>
      <c r="M1506">
        <f>IFERROR(MATCH($C$5&amp;"|"&amp;RIGHT("000000"&amp;1490,6),LdBKeyM,0),"")</f>
        <v/>
      </c>
      <c r="N1506">
        <f>IFERROR(MATCH($C$5&amp;"|"&amp;RIGHT("000000"&amp;1490,6),LdCKeyM,0),"")</f>
        <v/>
      </c>
    </row>
    <row r="1507">
      <c r="A1507" s="10" t="n">
        <v>1491</v>
      </c>
      <c r="B1507" s="14">
        <f>IF(AND($L1507="",$M1507="",$N1507=""),"",IF($L1507&lt;&gt;"",INDEX(LdADate,$L1507),IF($M1507&lt;&gt;"",INDEX(LdBDate,$M1507),INDEX(LdCDate,$N1507))))</f>
        <v/>
      </c>
      <c r="C1507" s="14">
        <f>IF($L1507&lt;&gt;"","دستمزد (فردی)",IF($M1507&lt;&gt;"","سهم از گروه "&amp;IFERROR(VLOOKUP(INDEX(LdBGroup,$M1507),WGTbl,2,0),INDEX(LdBGroup,$M1507)),IF($N1507&lt;&gt;"",IF(N(INDEX(LdCDep,$N1507))&gt;0,"بازگشت بانکی","پرداخت بانکی"),"")))</f>
        <v/>
      </c>
      <c r="D1507" s="14">
        <f>IF($L1507&lt;&gt;"",IF(INDEX(LdAId,$L1507)="","—",INDEX(LdAId,$L1507)),IF($M1507&lt;&gt;"",IF(INDEX(LdBId,$M1507)="","—",INDEX(LdBId,$M1507)),IF($N1507&lt;&gt;"",IF(INDEX(LdCBank,$N1507)="","—",INDEX(LdCBank,$N1507)),"")))</f>
        <v/>
      </c>
      <c r="E1507" s="16">
        <f>IF($L1507&lt;&gt;"",IF(INDEX(LdAAmt,$L1507)=0,"",INDEX(LdAAmt,$L1507)),IF($M1507&lt;&gt;"",IF(INDEX(LdBAmt,$M1507)=0,"",INDEX(LdBAmt,$M1507)),IF($N1507&lt;&gt;"",IF(INDEX(LdCDep,$N1507)=0,"",INDEX(LdCDep,$N1507)),"")))</f>
        <v/>
      </c>
      <c r="F1507" s="16">
        <f>IF(AND($L1507="",$M1507="",$N1507=""),"",IF($N1507="","",IF(INDEX(LdCWit,$N1507)=0,"",INDEX(LdCWit,$N1507))))</f>
        <v/>
      </c>
      <c r="G1507" s="29">
        <f>IF($B1507="","",IF($G1506="",0,$G1506)+IF($E1507="",0,$E1507)-IF($F1507="",0,$F1507))</f>
        <v/>
      </c>
      <c r="H1507" s="30">
        <f>IF(AND($L1507="",$M1507="",$N1507=""),"",IF($L1507&lt;&gt;"",IF(INDEX(LdANote,$L1507)="","—",INDEX(LdANote,$L1507)),IF($M1507&lt;&gt;"",IF(INDEX(LdBNote,$M1507)="","—",INDEX(LdBNote,$M1507)),IF($N1507&lt;&gt;"",IF(INDEX(LdCNote,$N1507)="","—",INDEX(LdCNote,$N1507)),""))))</f>
        <v/>
      </c>
      <c r="L1507">
        <f>IFERROR(MATCH($C$5&amp;"|"&amp;RIGHT("000000"&amp;1491,6),LdAKeyM,0),"")</f>
        <v/>
      </c>
      <c r="M1507">
        <f>IFERROR(MATCH($C$5&amp;"|"&amp;RIGHT("000000"&amp;1491,6),LdBKeyM,0),"")</f>
        <v/>
      </c>
      <c r="N1507">
        <f>IFERROR(MATCH($C$5&amp;"|"&amp;RIGHT("000000"&amp;1491,6),LdCKeyM,0),"")</f>
        <v/>
      </c>
    </row>
    <row r="1508">
      <c r="A1508" s="19" t="n">
        <v>1492</v>
      </c>
      <c r="B1508" s="20">
        <f>IF(AND($L1508="",$M1508="",$N1508=""),"",IF($L1508&lt;&gt;"",INDEX(LdADate,$L1508),IF($M1508&lt;&gt;"",INDEX(LdBDate,$M1508),INDEX(LdCDate,$N1508))))</f>
        <v/>
      </c>
      <c r="C1508" s="20">
        <f>IF($L1508&lt;&gt;"","دستمزد (فردی)",IF($M1508&lt;&gt;"","سهم از گروه "&amp;IFERROR(VLOOKUP(INDEX(LdBGroup,$M1508),WGTbl,2,0),INDEX(LdBGroup,$M1508)),IF($N1508&lt;&gt;"",IF(N(INDEX(LdCDep,$N1508))&gt;0,"بازگشت بانکی","پرداخت بانکی"),"")))</f>
        <v/>
      </c>
      <c r="D1508" s="20">
        <f>IF($L1508&lt;&gt;"",IF(INDEX(LdAId,$L1508)="","—",INDEX(LdAId,$L1508)),IF($M1508&lt;&gt;"",IF(INDEX(LdBId,$M1508)="","—",INDEX(LdBId,$M1508)),IF($N1508&lt;&gt;"",IF(INDEX(LdCBank,$N1508)="","—",INDEX(LdCBank,$N1508)),"")))</f>
        <v/>
      </c>
      <c r="E1508" s="21">
        <f>IF($L1508&lt;&gt;"",IF(INDEX(LdAAmt,$L1508)=0,"",INDEX(LdAAmt,$L1508)),IF($M1508&lt;&gt;"",IF(INDEX(LdBAmt,$M1508)=0,"",INDEX(LdBAmt,$M1508)),IF($N1508&lt;&gt;"",IF(INDEX(LdCDep,$N1508)=0,"",INDEX(LdCDep,$N1508)),"")))</f>
        <v/>
      </c>
      <c r="F1508" s="21">
        <f>IF(AND($L1508="",$M1508="",$N1508=""),"",IF($N1508="","",IF(INDEX(LdCWit,$N1508)=0,"",INDEX(LdCWit,$N1508))))</f>
        <v/>
      </c>
      <c r="G1508" s="31">
        <f>IF($B1508="","",IF($G1507="",0,$G1507)+IF($E1508="",0,$E1508)-IF($F1508="",0,$F1508))</f>
        <v/>
      </c>
      <c r="H1508" s="32">
        <f>IF(AND($L1508="",$M1508="",$N1508=""),"",IF($L1508&lt;&gt;"",IF(INDEX(LdANote,$L1508)="","—",INDEX(LdANote,$L1508)),IF($M1508&lt;&gt;"",IF(INDEX(LdBNote,$M1508)="","—",INDEX(LdBNote,$M1508)),IF($N1508&lt;&gt;"",IF(INDEX(LdCNote,$N1508)="","—",INDEX(LdCNote,$N1508)),""))))</f>
        <v/>
      </c>
      <c r="L1508">
        <f>IFERROR(MATCH($C$5&amp;"|"&amp;RIGHT("000000"&amp;1492,6),LdAKeyM,0),"")</f>
        <v/>
      </c>
      <c r="M1508">
        <f>IFERROR(MATCH($C$5&amp;"|"&amp;RIGHT("000000"&amp;1492,6),LdBKeyM,0),"")</f>
        <v/>
      </c>
      <c r="N1508">
        <f>IFERROR(MATCH($C$5&amp;"|"&amp;RIGHT("000000"&amp;1492,6),LdCKeyM,0),"")</f>
        <v/>
      </c>
    </row>
    <row r="1509">
      <c r="A1509" s="10" t="n">
        <v>1493</v>
      </c>
      <c r="B1509" s="14">
        <f>IF(AND($L1509="",$M1509="",$N1509=""),"",IF($L1509&lt;&gt;"",INDEX(LdADate,$L1509),IF($M1509&lt;&gt;"",INDEX(LdBDate,$M1509),INDEX(LdCDate,$N1509))))</f>
        <v/>
      </c>
      <c r="C1509" s="14">
        <f>IF($L1509&lt;&gt;"","دستمزد (فردی)",IF($M1509&lt;&gt;"","سهم از گروه "&amp;IFERROR(VLOOKUP(INDEX(LdBGroup,$M1509),WGTbl,2,0),INDEX(LdBGroup,$M1509)),IF($N1509&lt;&gt;"",IF(N(INDEX(LdCDep,$N1509))&gt;0,"بازگشت بانکی","پرداخت بانکی"),"")))</f>
        <v/>
      </c>
      <c r="D1509" s="14">
        <f>IF($L1509&lt;&gt;"",IF(INDEX(LdAId,$L1509)="","—",INDEX(LdAId,$L1509)),IF($M1509&lt;&gt;"",IF(INDEX(LdBId,$M1509)="","—",INDEX(LdBId,$M1509)),IF($N1509&lt;&gt;"",IF(INDEX(LdCBank,$N1509)="","—",INDEX(LdCBank,$N1509)),"")))</f>
        <v/>
      </c>
      <c r="E1509" s="16">
        <f>IF($L1509&lt;&gt;"",IF(INDEX(LdAAmt,$L1509)=0,"",INDEX(LdAAmt,$L1509)),IF($M1509&lt;&gt;"",IF(INDEX(LdBAmt,$M1509)=0,"",INDEX(LdBAmt,$M1509)),IF($N1509&lt;&gt;"",IF(INDEX(LdCDep,$N1509)=0,"",INDEX(LdCDep,$N1509)),"")))</f>
        <v/>
      </c>
      <c r="F1509" s="16">
        <f>IF(AND($L1509="",$M1509="",$N1509=""),"",IF($N1509="","",IF(INDEX(LdCWit,$N1509)=0,"",INDEX(LdCWit,$N1509))))</f>
        <v/>
      </c>
      <c r="G1509" s="29">
        <f>IF($B1509="","",IF($G1508="",0,$G1508)+IF($E1509="",0,$E1509)-IF($F1509="",0,$F1509))</f>
        <v/>
      </c>
      <c r="H1509" s="30">
        <f>IF(AND($L1509="",$M1509="",$N1509=""),"",IF($L1509&lt;&gt;"",IF(INDEX(LdANote,$L1509)="","—",INDEX(LdANote,$L1509)),IF($M1509&lt;&gt;"",IF(INDEX(LdBNote,$M1509)="","—",INDEX(LdBNote,$M1509)),IF($N1509&lt;&gt;"",IF(INDEX(LdCNote,$N1509)="","—",INDEX(LdCNote,$N1509)),""))))</f>
        <v/>
      </c>
      <c r="L1509">
        <f>IFERROR(MATCH($C$5&amp;"|"&amp;RIGHT("000000"&amp;1493,6),LdAKeyM,0),"")</f>
        <v/>
      </c>
      <c r="M1509">
        <f>IFERROR(MATCH($C$5&amp;"|"&amp;RIGHT("000000"&amp;1493,6),LdBKeyM,0),"")</f>
        <v/>
      </c>
      <c r="N1509">
        <f>IFERROR(MATCH($C$5&amp;"|"&amp;RIGHT("000000"&amp;1493,6),LdCKeyM,0),"")</f>
        <v/>
      </c>
    </row>
    <row r="1510">
      <c r="A1510" s="19" t="n">
        <v>1494</v>
      </c>
      <c r="B1510" s="20">
        <f>IF(AND($L1510="",$M1510="",$N1510=""),"",IF($L1510&lt;&gt;"",INDEX(LdADate,$L1510),IF($M1510&lt;&gt;"",INDEX(LdBDate,$M1510),INDEX(LdCDate,$N1510))))</f>
        <v/>
      </c>
      <c r="C1510" s="20">
        <f>IF($L1510&lt;&gt;"","دستمزد (فردی)",IF($M1510&lt;&gt;"","سهم از گروه "&amp;IFERROR(VLOOKUP(INDEX(LdBGroup,$M1510),WGTbl,2,0),INDEX(LdBGroup,$M1510)),IF($N1510&lt;&gt;"",IF(N(INDEX(LdCDep,$N1510))&gt;0,"بازگشت بانکی","پرداخت بانکی"),"")))</f>
        <v/>
      </c>
      <c r="D1510" s="20">
        <f>IF($L1510&lt;&gt;"",IF(INDEX(LdAId,$L1510)="","—",INDEX(LdAId,$L1510)),IF($M1510&lt;&gt;"",IF(INDEX(LdBId,$M1510)="","—",INDEX(LdBId,$M1510)),IF($N1510&lt;&gt;"",IF(INDEX(LdCBank,$N1510)="","—",INDEX(LdCBank,$N1510)),"")))</f>
        <v/>
      </c>
      <c r="E1510" s="21">
        <f>IF($L1510&lt;&gt;"",IF(INDEX(LdAAmt,$L1510)=0,"",INDEX(LdAAmt,$L1510)),IF($M1510&lt;&gt;"",IF(INDEX(LdBAmt,$M1510)=0,"",INDEX(LdBAmt,$M1510)),IF($N1510&lt;&gt;"",IF(INDEX(LdCDep,$N1510)=0,"",INDEX(LdCDep,$N1510)),"")))</f>
        <v/>
      </c>
      <c r="F1510" s="21">
        <f>IF(AND($L1510="",$M1510="",$N1510=""),"",IF($N1510="","",IF(INDEX(LdCWit,$N1510)=0,"",INDEX(LdCWit,$N1510))))</f>
        <v/>
      </c>
      <c r="G1510" s="31">
        <f>IF($B1510="","",IF($G1509="",0,$G1509)+IF($E1510="",0,$E1510)-IF($F1510="",0,$F1510))</f>
        <v/>
      </c>
      <c r="H1510" s="32">
        <f>IF(AND($L1510="",$M1510="",$N1510=""),"",IF($L1510&lt;&gt;"",IF(INDEX(LdANote,$L1510)="","—",INDEX(LdANote,$L1510)),IF($M1510&lt;&gt;"",IF(INDEX(LdBNote,$M1510)="","—",INDEX(LdBNote,$M1510)),IF($N1510&lt;&gt;"",IF(INDEX(LdCNote,$N1510)="","—",INDEX(LdCNote,$N1510)),""))))</f>
        <v/>
      </c>
      <c r="L1510">
        <f>IFERROR(MATCH($C$5&amp;"|"&amp;RIGHT("000000"&amp;1494,6),LdAKeyM,0),"")</f>
        <v/>
      </c>
      <c r="M1510">
        <f>IFERROR(MATCH($C$5&amp;"|"&amp;RIGHT("000000"&amp;1494,6),LdBKeyM,0),"")</f>
        <v/>
      </c>
      <c r="N1510">
        <f>IFERROR(MATCH($C$5&amp;"|"&amp;RIGHT("000000"&amp;1494,6),LdCKeyM,0),"")</f>
        <v/>
      </c>
    </row>
    <row r="1511">
      <c r="A1511" s="10" t="n">
        <v>1495</v>
      </c>
      <c r="B1511" s="14">
        <f>IF(AND($L1511="",$M1511="",$N1511=""),"",IF($L1511&lt;&gt;"",INDEX(LdADate,$L1511),IF($M1511&lt;&gt;"",INDEX(LdBDate,$M1511),INDEX(LdCDate,$N1511))))</f>
        <v/>
      </c>
      <c r="C1511" s="14">
        <f>IF($L1511&lt;&gt;"","دستمزد (فردی)",IF($M1511&lt;&gt;"","سهم از گروه "&amp;IFERROR(VLOOKUP(INDEX(LdBGroup,$M1511),WGTbl,2,0),INDEX(LdBGroup,$M1511)),IF($N1511&lt;&gt;"",IF(N(INDEX(LdCDep,$N1511))&gt;0,"بازگشت بانکی","پرداخت بانکی"),"")))</f>
        <v/>
      </c>
      <c r="D1511" s="14">
        <f>IF($L1511&lt;&gt;"",IF(INDEX(LdAId,$L1511)="","—",INDEX(LdAId,$L1511)),IF($M1511&lt;&gt;"",IF(INDEX(LdBId,$M1511)="","—",INDEX(LdBId,$M1511)),IF($N1511&lt;&gt;"",IF(INDEX(LdCBank,$N1511)="","—",INDEX(LdCBank,$N1511)),"")))</f>
        <v/>
      </c>
      <c r="E1511" s="16">
        <f>IF($L1511&lt;&gt;"",IF(INDEX(LdAAmt,$L1511)=0,"",INDEX(LdAAmt,$L1511)),IF($M1511&lt;&gt;"",IF(INDEX(LdBAmt,$M1511)=0,"",INDEX(LdBAmt,$M1511)),IF($N1511&lt;&gt;"",IF(INDEX(LdCDep,$N1511)=0,"",INDEX(LdCDep,$N1511)),"")))</f>
        <v/>
      </c>
      <c r="F1511" s="16">
        <f>IF(AND($L1511="",$M1511="",$N1511=""),"",IF($N1511="","",IF(INDEX(LdCWit,$N1511)=0,"",INDEX(LdCWit,$N1511))))</f>
        <v/>
      </c>
      <c r="G1511" s="29">
        <f>IF($B1511="","",IF($G1510="",0,$G1510)+IF($E1511="",0,$E1511)-IF($F1511="",0,$F1511))</f>
        <v/>
      </c>
      <c r="H1511" s="30">
        <f>IF(AND($L1511="",$M1511="",$N1511=""),"",IF($L1511&lt;&gt;"",IF(INDEX(LdANote,$L1511)="","—",INDEX(LdANote,$L1511)),IF($M1511&lt;&gt;"",IF(INDEX(LdBNote,$M1511)="","—",INDEX(LdBNote,$M1511)),IF($N1511&lt;&gt;"",IF(INDEX(LdCNote,$N1511)="","—",INDEX(LdCNote,$N1511)),""))))</f>
        <v/>
      </c>
      <c r="L1511">
        <f>IFERROR(MATCH($C$5&amp;"|"&amp;RIGHT("000000"&amp;1495,6),LdAKeyM,0),"")</f>
        <v/>
      </c>
      <c r="M1511">
        <f>IFERROR(MATCH($C$5&amp;"|"&amp;RIGHT("000000"&amp;1495,6),LdBKeyM,0),"")</f>
        <v/>
      </c>
      <c r="N1511">
        <f>IFERROR(MATCH($C$5&amp;"|"&amp;RIGHT("000000"&amp;1495,6),LdCKeyM,0),"")</f>
        <v/>
      </c>
    </row>
    <row r="1512">
      <c r="A1512" s="19" t="n">
        <v>1496</v>
      </c>
      <c r="B1512" s="20">
        <f>IF(AND($L1512="",$M1512="",$N1512=""),"",IF($L1512&lt;&gt;"",INDEX(LdADate,$L1512),IF($M1512&lt;&gt;"",INDEX(LdBDate,$M1512),INDEX(LdCDate,$N1512))))</f>
        <v/>
      </c>
      <c r="C1512" s="20">
        <f>IF($L1512&lt;&gt;"","دستمزد (فردی)",IF($M1512&lt;&gt;"","سهم از گروه "&amp;IFERROR(VLOOKUP(INDEX(LdBGroup,$M1512),WGTbl,2,0),INDEX(LdBGroup,$M1512)),IF($N1512&lt;&gt;"",IF(N(INDEX(LdCDep,$N1512))&gt;0,"بازگشت بانکی","پرداخت بانکی"),"")))</f>
        <v/>
      </c>
      <c r="D1512" s="20">
        <f>IF($L1512&lt;&gt;"",IF(INDEX(LdAId,$L1512)="","—",INDEX(LdAId,$L1512)),IF($M1512&lt;&gt;"",IF(INDEX(LdBId,$M1512)="","—",INDEX(LdBId,$M1512)),IF($N1512&lt;&gt;"",IF(INDEX(LdCBank,$N1512)="","—",INDEX(LdCBank,$N1512)),"")))</f>
        <v/>
      </c>
      <c r="E1512" s="21">
        <f>IF($L1512&lt;&gt;"",IF(INDEX(LdAAmt,$L1512)=0,"",INDEX(LdAAmt,$L1512)),IF($M1512&lt;&gt;"",IF(INDEX(LdBAmt,$M1512)=0,"",INDEX(LdBAmt,$M1512)),IF($N1512&lt;&gt;"",IF(INDEX(LdCDep,$N1512)=0,"",INDEX(LdCDep,$N1512)),"")))</f>
        <v/>
      </c>
      <c r="F1512" s="21">
        <f>IF(AND($L1512="",$M1512="",$N1512=""),"",IF($N1512="","",IF(INDEX(LdCWit,$N1512)=0,"",INDEX(LdCWit,$N1512))))</f>
        <v/>
      </c>
      <c r="G1512" s="31">
        <f>IF($B1512="","",IF($G1511="",0,$G1511)+IF($E1512="",0,$E1512)-IF($F1512="",0,$F1512))</f>
        <v/>
      </c>
      <c r="H1512" s="32">
        <f>IF(AND($L1512="",$M1512="",$N1512=""),"",IF($L1512&lt;&gt;"",IF(INDEX(LdANote,$L1512)="","—",INDEX(LdANote,$L1512)),IF($M1512&lt;&gt;"",IF(INDEX(LdBNote,$M1512)="","—",INDEX(LdBNote,$M1512)),IF($N1512&lt;&gt;"",IF(INDEX(LdCNote,$N1512)="","—",INDEX(LdCNote,$N1512)),""))))</f>
        <v/>
      </c>
      <c r="L1512">
        <f>IFERROR(MATCH($C$5&amp;"|"&amp;RIGHT("000000"&amp;1496,6),LdAKeyM,0),"")</f>
        <v/>
      </c>
      <c r="M1512">
        <f>IFERROR(MATCH($C$5&amp;"|"&amp;RIGHT("000000"&amp;1496,6),LdBKeyM,0),"")</f>
        <v/>
      </c>
      <c r="N1512">
        <f>IFERROR(MATCH($C$5&amp;"|"&amp;RIGHT("000000"&amp;1496,6),LdCKeyM,0),"")</f>
        <v/>
      </c>
    </row>
    <row r="1513">
      <c r="A1513" s="10" t="n">
        <v>1497</v>
      </c>
      <c r="B1513" s="14">
        <f>IF(AND($L1513="",$M1513="",$N1513=""),"",IF($L1513&lt;&gt;"",INDEX(LdADate,$L1513),IF($M1513&lt;&gt;"",INDEX(LdBDate,$M1513),INDEX(LdCDate,$N1513))))</f>
        <v/>
      </c>
      <c r="C1513" s="14">
        <f>IF($L1513&lt;&gt;"","دستمزد (فردی)",IF($M1513&lt;&gt;"","سهم از گروه "&amp;IFERROR(VLOOKUP(INDEX(LdBGroup,$M1513),WGTbl,2,0),INDEX(LdBGroup,$M1513)),IF($N1513&lt;&gt;"",IF(N(INDEX(LdCDep,$N1513))&gt;0,"بازگشت بانکی","پرداخت بانکی"),"")))</f>
        <v/>
      </c>
      <c r="D1513" s="14">
        <f>IF($L1513&lt;&gt;"",IF(INDEX(LdAId,$L1513)="","—",INDEX(LdAId,$L1513)),IF($M1513&lt;&gt;"",IF(INDEX(LdBId,$M1513)="","—",INDEX(LdBId,$M1513)),IF($N1513&lt;&gt;"",IF(INDEX(LdCBank,$N1513)="","—",INDEX(LdCBank,$N1513)),"")))</f>
        <v/>
      </c>
      <c r="E1513" s="16">
        <f>IF($L1513&lt;&gt;"",IF(INDEX(LdAAmt,$L1513)=0,"",INDEX(LdAAmt,$L1513)),IF($M1513&lt;&gt;"",IF(INDEX(LdBAmt,$M1513)=0,"",INDEX(LdBAmt,$M1513)),IF($N1513&lt;&gt;"",IF(INDEX(LdCDep,$N1513)=0,"",INDEX(LdCDep,$N1513)),"")))</f>
        <v/>
      </c>
      <c r="F1513" s="16">
        <f>IF(AND($L1513="",$M1513="",$N1513=""),"",IF($N1513="","",IF(INDEX(LdCWit,$N1513)=0,"",INDEX(LdCWit,$N1513))))</f>
        <v/>
      </c>
      <c r="G1513" s="29">
        <f>IF($B1513="","",IF($G1512="",0,$G1512)+IF($E1513="",0,$E1513)-IF($F1513="",0,$F1513))</f>
        <v/>
      </c>
      <c r="H1513" s="30">
        <f>IF(AND($L1513="",$M1513="",$N1513=""),"",IF($L1513&lt;&gt;"",IF(INDEX(LdANote,$L1513)="","—",INDEX(LdANote,$L1513)),IF($M1513&lt;&gt;"",IF(INDEX(LdBNote,$M1513)="","—",INDEX(LdBNote,$M1513)),IF($N1513&lt;&gt;"",IF(INDEX(LdCNote,$N1513)="","—",INDEX(LdCNote,$N1513)),""))))</f>
        <v/>
      </c>
      <c r="L1513">
        <f>IFERROR(MATCH($C$5&amp;"|"&amp;RIGHT("000000"&amp;1497,6),LdAKeyM,0),"")</f>
        <v/>
      </c>
      <c r="M1513">
        <f>IFERROR(MATCH($C$5&amp;"|"&amp;RIGHT("000000"&amp;1497,6),LdBKeyM,0),"")</f>
        <v/>
      </c>
      <c r="N1513">
        <f>IFERROR(MATCH($C$5&amp;"|"&amp;RIGHT("000000"&amp;1497,6),LdCKeyM,0),"")</f>
        <v/>
      </c>
    </row>
    <row r="1514">
      <c r="A1514" s="19" t="n">
        <v>1498</v>
      </c>
      <c r="B1514" s="20">
        <f>IF(AND($L1514="",$M1514="",$N1514=""),"",IF($L1514&lt;&gt;"",INDEX(LdADate,$L1514),IF($M1514&lt;&gt;"",INDEX(LdBDate,$M1514),INDEX(LdCDate,$N1514))))</f>
        <v/>
      </c>
      <c r="C1514" s="20">
        <f>IF($L1514&lt;&gt;"","دستمزد (فردی)",IF($M1514&lt;&gt;"","سهم از گروه "&amp;IFERROR(VLOOKUP(INDEX(LdBGroup,$M1514),WGTbl,2,0),INDEX(LdBGroup,$M1514)),IF($N1514&lt;&gt;"",IF(N(INDEX(LdCDep,$N1514))&gt;0,"بازگشت بانکی","پرداخت بانکی"),"")))</f>
        <v/>
      </c>
      <c r="D1514" s="20">
        <f>IF($L1514&lt;&gt;"",IF(INDEX(LdAId,$L1514)="","—",INDEX(LdAId,$L1514)),IF($M1514&lt;&gt;"",IF(INDEX(LdBId,$M1514)="","—",INDEX(LdBId,$M1514)),IF($N1514&lt;&gt;"",IF(INDEX(LdCBank,$N1514)="","—",INDEX(LdCBank,$N1514)),"")))</f>
        <v/>
      </c>
      <c r="E1514" s="21">
        <f>IF($L1514&lt;&gt;"",IF(INDEX(LdAAmt,$L1514)=0,"",INDEX(LdAAmt,$L1514)),IF($M1514&lt;&gt;"",IF(INDEX(LdBAmt,$M1514)=0,"",INDEX(LdBAmt,$M1514)),IF($N1514&lt;&gt;"",IF(INDEX(LdCDep,$N1514)=0,"",INDEX(LdCDep,$N1514)),"")))</f>
        <v/>
      </c>
      <c r="F1514" s="21">
        <f>IF(AND($L1514="",$M1514="",$N1514=""),"",IF($N1514="","",IF(INDEX(LdCWit,$N1514)=0,"",INDEX(LdCWit,$N1514))))</f>
        <v/>
      </c>
      <c r="G1514" s="31">
        <f>IF($B1514="","",IF($G1513="",0,$G1513)+IF($E1514="",0,$E1514)-IF($F1514="",0,$F1514))</f>
        <v/>
      </c>
      <c r="H1514" s="32">
        <f>IF(AND($L1514="",$M1514="",$N1514=""),"",IF($L1514&lt;&gt;"",IF(INDEX(LdANote,$L1514)="","—",INDEX(LdANote,$L1514)),IF($M1514&lt;&gt;"",IF(INDEX(LdBNote,$M1514)="","—",INDEX(LdBNote,$M1514)),IF($N1514&lt;&gt;"",IF(INDEX(LdCNote,$N1514)="","—",INDEX(LdCNote,$N1514)),""))))</f>
        <v/>
      </c>
      <c r="L1514">
        <f>IFERROR(MATCH($C$5&amp;"|"&amp;RIGHT("000000"&amp;1498,6),LdAKeyM,0),"")</f>
        <v/>
      </c>
      <c r="M1514">
        <f>IFERROR(MATCH($C$5&amp;"|"&amp;RIGHT("000000"&amp;1498,6),LdBKeyM,0),"")</f>
        <v/>
      </c>
      <c r="N1514">
        <f>IFERROR(MATCH($C$5&amp;"|"&amp;RIGHT("000000"&amp;1498,6),LdCKeyM,0),"")</f>
        <v/>
      </c>
    </row>
    <row r="1515">
      <c r="A1515" s="10" t="n">
        <v>1499</v>
      </c>
      <c r="B1515" s="14">
        <f>IF(AND($L1515="",$M1515="",$N1515=""),"",IF($L1515&lt;&gt;"",INDEX(LdADate,$L1515),IF($M1515&lt;&gt;"",INDEX(LdBDate,$M1515),INDEX(LdCDate,$N1515))))</f>
        <v/>
      </c>
      <c r="C1515" s="14">
        <f>IF($L1515&lt;&gt;"","دستمزد (فردی)",IF($M1515&lt;&gt;"","سهم از گروه "&amp;IFERROR(VLOOKUP(INDEX(LdBGroup,$M1515),WGTbl,2,0),INDEX(LdBGroup,$M1515)),IF($N1515&lt;&gt;"",IF(N(INDEX(LdCDep,$N1515))&gt;0,"بازگشت بانکی","پرداخت بانکی"),"")))</f>
        <v/>
      </c>
      <c r="D1515" s="14">
        <f>IF($L1515&lt;&gt;"",IF(INDEX(LdAId,$L1515)="","—",INDEX(LdAId,$L1515)),IF($M1515&lt;&gt;"",IF(INDEX(LdBId,$M1515)="","—",INDEX(LdBId,$M1515)),IF($N1515&lt;&gt;"",IF(INDEX(LdCBank,$N1515)="","—",INDEX(LdCBank,$N1515)),"")))</f>
        <v/>
      </c>
      <c r="E1515" s="16">
        <f>IF($L1515&lt;&gt;"",IF(INDEX(LdAAmt,$L1515)=0,"",INDEX(LdAAmt,$L1515)),IF($M1515&lt;&gt;"",IF(INDEX(LdBAmt,$M1515)=0,"",INDEX(LdBAmt,$M1515)),IF($N1515&lt;&gt;"",IF(INDEX(LdCDep,$N1515)=0,"",INDEX(LdCDep,$N1515)),"")))</f>
        <v/>
      </c>
      <c r="F1515" s="16">
        <f>IF(AND($L1515="",$M1515="",$N1515=""),"",IF($N1515="","",IF(INDEX(LdCWit,$N1515)=0,"",INDEX(LdCWit,$N1515))))</f>
        <v/>
      </c>
      <c r="G1515" s="29">
        <f>IF($B1515="","",IF($G1514="",0,$G1514)+IF($E1515="",0,$E1515)-IF($F1515="",0,$F1515))</f>
        <v/>
      </c>
      <c r="H1515" s="30">
        <f>IF(AND($L1515="",$M1515="",$N1515=""),"",IF($L1515&lt;&gt;"",IF(INDEX(LdANote,$L1515)="","—",INDEX(LdANote,$L1515)),IF($M1515&lt;&gt;"",IF(INDEX(LdBNote,$M1515)="","—",INDEX(LdBNote,$M1515)),IF($N1515&lt;&gt;"",IF(INDEX(LdCNote,$N1515)="","—",INDEX(LdCNote,$N1515)),""))))</f>
        <v/>
      </c>
      <c r="L1515">
        <f>IFERROR(MATCH($C$5&amp;"|"&amp;RIGHT("000000"&amp;1499,6),LdAKeyM,0),"")</f>
        <v/>
      </c>
      <c r="M1515">
        <f>IFERROR(MATCH($C$5&amp;"|"&amp;RIGHT("000000"&amp;1499,6),LdBKeyM,0),"")</f>
        <v/>
      </c>
      <c r="N1515">
        <f>IFERROR(MATCH($C$5&amp;"|"&amp;RIGHT("000000"&amp;1499,6),LdCKeyM,0),"")</f>
        <v/>
      </c>
    </row>
    <row r="1516">
      <c r="A1516" s="19" t="n">
        <v>1500</v>
      </c>
      <c r="B1516" s="20">
        <f>IF(AND($L1516="",$M1516="",$N1516=""),"",IF($L1516&lt;&gt;"",INDEX(LdADate,$L1516),IF($M1516&lt;&gt;"",INDEX(LdBDate,$M1516),INDEX(LdCDate,$N1516))))</f>
        <v/>
      </c>
      <c r="C1516" s="20">
        <f>IF($L1516&lt;&gt;"","دستمزد (فردی)",IF($M1516&lt;&gt;"","سهم از گروه "&amp;IFERROR(VLOOKUP(INDEX(LdBGroup,$M1516),WGTbl,2,0),INDEX(LdBGroup,$M1516)),IF($N1516&lt;&gt;"",IF(N(INDEX(LdCDep,$N1516))&gt;0,"بازگشت بانکی","پرداخت بانکی"),"")))</f>
        <v/>
      </c>
      <c r="D1516" s="20">
        <f>IF($L1516&lt;&gt;"",IF(INDEX(LdAId,$L1516)="","—",INDEX(LdAId,$L1516)),IF($M1516&lt;&gt;"",IF(INDEX(LdBId,$M1516)="","—",INDEX(LdBId,$M1516)),IF($N1516&lt;&gt;"",IF(INDEX(LdCBank,$N1516)="","—",INDEX(LdCBank,$N1516)),"")))</f>
        <v/>
      </c>
      <c r="E1516" s="21">
        <f>IF($L1516&lt;&gt;"",IF(INDEX(LdAAmt,$L1516)=0,"",INDEX(LdAAmt,$L1516)),IF($M1516&lt;&gt;"",IF(INDEX(LdBAmt,$M1516)=0,"",INDEX(LdBAmt,$M1516)),IF($N1516&lt;&gt;"",IF(INDEX(LdCDep,$N1516)=0,"",INDEX(LdCDep,$N1516)),"")))</f>
        <v/>
      </c>
      <c r="F1516" s="21">
        <f>IF(AND($L1516="",$M1516="",$N1516=""),"",IF($N1516="","",IF(INDEX(LdCWit,$N1516)=0,"",INDEX(LdCWit,$N1516))))</f>
        <v/>
      </c>
      <c r="G1516" s="31">
        <f>IF($B1516="","",IF($G1515="",0,$G1515)+IF($E1516="",0,$E1516)-IF($F1516="",0,$F1516))</f>
        <v/>
      </c>
      <c r="H1516" s="32">
        <f>IF(AND($L1516="",$M1516="",$N1516=""),"",IF($L1516&lt;&gt;"",IF(INDEX(LdANote,$L1516)="","—",INDEX(LdANote,$L1516)),IF($M1516&lt;&gt;"",IF(INDEX(LdBNote,$M1516)="","—",INDEX(LdBNote,$M1516)),IF($N1516&lt;&gt;"",IF(INDEX(LdCNote,$N1516)="","—",INDEX(LdCNote,$N1516)),""))))</f>
        <v/>
      </c>
      <c r="L1516">
        <f>IFERROR(MATCH($C$5&amp;"|"&amp;RIGHT("000000"&amp;1500,6),LdAKeyM,0),"")</f>
        <v/>
      </c>
      <c r="M1516">
        <f>IFERROR(MATCH($C$5&amp;"|"&amp;RIGHT("000000"&amp;1500,6),LdBKeyM,0),"")</f>
        <v/>
      </c>
      <c r="N1516">
        <f>IFERROR(MATCH($C$5&amp;"|"&amp;RIGHT("000000"&amp;1500,6),LdCKeyM,0),"")</f>
        <v/>
      </c>
    </row>
    <row r="1517">
      <c r="A1517" s="10" t="n">
        <v>1501</v>
      </c>
      <c r="B1517" s="14">
        <f>IF(AND($L1517="",$M1517="",$N1517=""),"",IF($L1517&lt;&gt;"",INDEX(LdADate,$L1517),IF($M1517&lt;&gt;"",INDEX(LdBDate,$M1517),INDEX(LdCDate,$N1517))))</f>
        <v/>
      </c>
      <c r="C1517" s="14">
        <f>IF($L1517&lt;&gt;"","دستمزد (فردی)",IF($M1517&lt;&gt;"","سهم از گروه "&amp;IFERROR(VLOOKUP(INDEX(LdBGroup,$M1517),WGTbl,2,0),INDEX(LdBGroup,$M1517)),IF($N1517&lt;&gt;"",IF(N(INDEX(LdCDep,$N1517))&gt;0,"بازگشت بانکی","پرداخت بانکی"),"")))</f>
        <v/>
      </c>
      <c r="D1517" s="14">
        <f>IF($L1517&lt;&gt;"",IF(INDEX(LdAId,$L1517)="","—",INDEX(LdAId,$L1517)),IF($M1517&lt;&gt;"",IF(INDEX(LdBId,$M1517)="","—",INDEX(LdBId,$M1517)),IF($N1517&lt;&gt;"",IF(INDEX(LdCBank,$N1517)="","—",INDEX(LdCBank,$N1517)),"")))</f>
        <v/>
      </c>
      <c r="E1517" s="16">
        <f>IF($L1517&lt;&gt;"",IF(INDEX(LdAAmt,$L1517)=0,"",INDEX(LdAAmt,$L1517)),IF($M1517&lt;&gt;"",IF(INDEX(LdBAmt,$M1517)=0,"",INDEX(LdBAmt,$M1517)),IF($N1517&lt;&gt;"",IF(INDEX(LdCDep,$N1517)=0,"",INDEX(LdCDep,$N1517)),"")))</f>
        <v/>
      </c>
      <c r="F1517" s="16">
        <f>IF(AND($L1517="",$M1517="",$N1517=""),"",IF($N1517="","",IF(INDEX(LdCWit,$N1517)=0,"",INDEX(LdCWit,$N1517))))</f>
        <v/>
      </c>
      <c r="G1517" s="29">
        <f>IF($B1517="","",IF($G1516="",0,$G1516)+IF($E1517="",0,$E1517)-IF($F1517="",0,$F1517))</f>
        <v/>
      </c>
      <c r="H1517" s="30">
        <f>IF(AND($L1517="",$M1517="",$N1517=""),"",IF($L1517&lt;&gt;"",IF(INDEX(LdANote,$L1517)="","—",INDEX(LdANote,$L1517)),IF($M1517&lt;&gt;"",IF(INDEX(LdBNote,$M1517)="","—",INDEX(LdBNote,$M1517)),IF($N1517&lt;&gt;"",IF(INDEX(LdCNote,$N1517)="","—",INDEX(LdCNote,$N1517)),""))))</f>
        <v/>
      </c>
      <c r="L1517">
        <f>IFERROR(MATCH($C$5&amp;"|"&amp;RIGHT("000000"&amp;1501,6),LdAKeyM,0),"")</f>
        <v/>
      </c>
      <c r="M1517">
        <f>IFERROR(MATCH($C$5&amp;"|"&amp;RIGHT("000000"&amp;1501,6),LdBKeyM,0),"")</f>
        <v/>
      </c>
      <c r="N1517">
        <f>IFERROR(MATCH($C$5&amp;"|"&amp;RIGHT("000000"&amp;1501,6),LdCKeyM,0),"")</f>
        <v/>
      </c>
    </row>
    <row r="1518">
      <c r="A1518" s="19" t="n">
        <v>1502</v>
      </c>
      <c r="B1518" s="20">
        <f>IF(AND($L1518="",$M1518="",$N1518=""),"",IF($L1518&lt;&gt;"",INDEX(LdADate,$L1518),IF($M1518&lt;&gt;"",INDEX(LdBDate,$M1518),INDEX(LdCDate,$N1518))))</f>
        <v/>
      </c>
      <c r="C1518" s="20">
        <f>IF($L1518&lt;&gt;"","دستمزد (فردی)",IF($M1518&lt;&gt;"","سهم از گروه "&amp;IFERROR(VLOOKUP(INDEX(LdBGroup,$M1518),WGTbl,2,0),INDEX(LdBGroup,$M1518)),IF($N1518&lt;&gt;"",IF(N(INDEX(LdCDep,$N1518))&gt;0,"بازگشت بانکی","پرداخت بانکی"),"")))</f>
        <v/>
      </c>
      <c r="D1518" s="20">
        <f>IF($L1518&lt;&gt;"",IF(INDEX(LdAId,$L1518)="","—",INDEX(LdAId,$L1518)),IF($M1518&lt;&gt;"",IF(INDEX(LdBId,$M1518)="","—",INDEX(LdBId,$M1518)),IF($N1518&lt;&gt;"",IF(INDEX(LdCBank,$N1518)="","—",INDEX(LdCBank,$N1518)),"")))</f>
        <v/>
      </c>
      <c r="E1518" s="21">
        <f>IF($L1518&lt;&gt;"",IF(INDEX(LdAAmt,$L1518)=0,"",INDEX(LdAAmt,$L1518)),IF($M1518&lt;&gt;"",IF(INDEX(LdBAmt,$M1518)=0,"",INDEX(LdBAmt,$M1518)),IF($N1518&lt;&gt;"",IF(INDEX(LdCDep,$N1518)=0,"",INDEX(LdCDep,$N1518)),"")))</f>
        <v/>
      </c>
      <c r="F1518" s="21">
        <f>IF(AND($L1518="",$M1518="",$N1518=""),"",IF($N1518="","",IF(INDEX(LdCWit,$N1518)=0,"",INDEX(LdCWit,$N1518))))</f>
        <v/>
      </c>
      <c r="G1518" s="31">
        <f>IF($B1518="","",IF($G1517="",0,$G1517)+IF($E1518="",0,$E1518)-IF($F1518="",0,$F1518))</f>
        <v/>
      </c>
      <c r="H1518" s="32">
        <f>IF(AND($L1518="",$M1518="",$N1518=""),"",IF($L1518&lt;&gt;"",IF(INDEX(LdANote,$L1518)="","—",INDEX(LdANote,$L1518)),IF($M1518&lt;&gt;"",IF(INDEX(LdBNote,$M1518)="","—",INDEX(LdBNote,$M1518)),IF($N1518&lt;&gt;"",IF(INDEX(LdCNote,$N1518)="","—",INDEX(LdCNote,$N1518)),""))))</f>
        <v/>
      </c>
      <c r="L1518">
        <f>IFERROR(MATCH($C$5&amp;"|"&amp;RIGHT("000000"&amp;1502,6),LdAKeyM,0),"")</f>
        <v/>
      </c>
      <c r="M1518">
        <f>IFERROR(MATCH($C$5&amp;"|"&amp;RIGHT("000000"&amp;1502,6),LdBKeyM,0),"")</f>
        <v/>
      </c>
      <c r="N1518">
        <f>IFERROR(MATCH($C$5&amp;"|"&amp;RIGHT("000000"&amp;1502,6),LdCKeyM,0),"")</f>
        <v/>
      </c>
    </row>
    <row r="1519">
      <c r="A1519" s="10" t="n">
        <v>1503</v>
      </c>
      <c r="B1519" s="14">
        <f>IF(AND($L1519="",$M1519="",$N1519=""),"",IF($L1519&lt;&gt;"",INDEX(LdADate,$L1519),IF($M1519&lt;&gt;"",INDEX(LdBDate,$M1519),INDEX(LdCDate,$N1519))))</f>
        <v/>
      </c>
      <c r="C1519" s="14">
        <f>IF($L1519&lt;&gt;"","دستمزد (فردی)",IF($M1519&lt;&gt;"","سهم از گروه "&amp;IFERROR(VLOOKUP(INDEX(LdBGroup,$M1519),WGTbl,2,0),INDEX(LdBGroup,$M1519)),IF($N1519&lt;&gt;"",IF(N(INDEX(LdCDep,$N1519))&gt;0,"بازگشت بانکی","پرداخت بانکی"),"")))</f>
        <v/>
      </c>
      <c r="D1519" s="14">
        <f>IF($L1519&lt;&gt;"",IF(INDEX(LdAId,$L1519)="","—",INDEX(LdAId,$L1519)),IF($M1519&lt;&gt;"",IF(INDEX(LdBId,$M1519)="","—",INDEX(LdBId,$M1519)),IF($N1519&lt;&gt;"",IF(INDEX(LdCBank,$N1519)="","—",INDEX(LdCBank,$N1519)),"")))</f>
        <v/>
      </c>
      <c r="E1519" s="16">
        <f>IF($L1519&lt;&gt;"",IF(INDEX(LdAAmt,$L1519)=0,"",INDEX(LdAAmt,$L1519)),IF($M1519&lt;&gt;"",IF(INDEX(LdBAmt,$M1519)=0,"",INDEX(LdBAmt,$M1519)),IF($N1519&lt;&gt;"",IF(INDEX(LdCDep,$N1519)=0,"",INDEX(LdCDep,$N1519)),"")))</f>
        <v/>
      </c>
      <c r="F1519" s="16">
        <f>IF(AND($L1519="",$M1519="",$N1519=""),"",IF($N1519="","",IF(INDEX(LdCWit,$N1519)=0,"",INDEX(LdCWit,$N1519))))</f>
        <v/>
      </c>
      <c r="G1519" s="29">
        <f>IF($B1519="","",IF($G1518="",0,$G1518)+IF($E1519="",0,$E1519)-IF($F1519="",0,$F1519))</f>
        <v/>
      </c>
      <c r="H1519" s="30">
        <f>IF(AND($L1519="",$M1519="",$N1519=""),"",IF($L1519&lt;&gt;"",IF(INDEX(LdANote,$L1519)="","—",INDEX(LdANote,$L1519)),IF($M1519&lt;&gt;"",IF(INDEX(LdBNote,$M1519)="","—",INDEX(LdBNote,$M1519)),IF($N1519&lt;&gt;"",IF(INDEX(LdCNote,$N1519)="","—",INDEX(LdCNote,$N1519)),""))))</f>
        <v/>
      </c>
      <c r="L1519">
        <f>IFERROR(MATCH($C$5&amp;"|"&amp;RIGHT("000000"&amp;1503,6),LdAKeyM,0),"")</f>
        <v/>
      </c>
      <c r="M1519">
        <f>IFERROR(MATCH($C$5&amp;"|"&amp;RIGHT("000000"&amp;1503,6),LdBKeyM,0),"")</f>
        <v/>
      </c>
      <c r="N1519">
        <f>IFERROR(MATCH($C$5&amp;"|"&amp;RIGHT("000000"&amp;1503,6),LdCKeyM,0),"")</f>
        <v/>
      </c>
    </row>
    <row r="1520">
      <c r="A1520" s="19" t="n">
        <v>1504</v>
      </c>
      <c r="B1520" s="20">
        <f>IF(AND($L1520="",$M1520="",$N1520=""),"",IF($L1520&lt;&gt;"",INDEX(LdADate,$L1520),IF($M1520&lt;&gt;"",INDEX(LdBDate,$M1520),INDEX(LdCDate,$N1520))))</f>
        <v/>
      </c>
      <c r="C1520" s="20">
        <f>IF($L1520&lt;&gt;"","دستمزد (فردی)",IF($M1520&lt;&gt;"","سهم از گروه "&amp;IFERROR(VLOOKUP(INDEX(LdBGroup,$M1520),WGTbl,2,0),INDEX(LdBGroup,$M1520)),IF($N1520&lt;&gt;"",IF(N(INDEX(LdCDep,$N1520))&gt;0,"بازگشت بانکی","پرداخت بانکی"),"")))</f>
        <v/>
      </c>
      <c r="D1520" s="20">
        <f>IF($L1520&lt;&gt;"",IF(INDEX(LdAId,$L1520)="","—",INDEX(LdAId,$L1520)),IF($M1520&lt;&gt;"",IF(INDEX(LdBId,$M1520)="","—",INDEX(LdBId,$M1520)),IF($N1520&lt;&gt;"",IF(INDEX(LdCBank,$N1520)="","—",INDEX(LdCBank,$N1520)),"")))</f>
        <v/>
      </c>
      <c r="E1520" s="21">
        <f>IF($L1520&lt;&gt;"",IF(INDEX(LdAAmt,$L1520)=0,"",INDEX(LdAAmt,$L1520)),IF($M1520&lt;&gt;"",IF(INDEX(LdBAmt,$M1520)=0,"",INDEX(LdBAmt,$M1520)),IF($N1520&lt;&gt;"",IF(INDEX(LdCDep,$N1520)=0,"",INDEX(LdCDep,$N1520)),"")))</f>
        <v/>
      </c>
      <c r="F1520" s="21">
        <f>IF(AND($L1520="",$M1520="",$N1520=""),"",IF($N1520="","",IF(INDEX(LdCWit,$N1520)=0,"",INDEX(LdCWit,$N1520))))</f>
        <v/>
      </c>
      <c r="G1520" s="31">
        <f>IF($B1520="","",IF($G1519="",0,$G1519)+IF($E1520="",0,$E1520)-IF($F1520="",0,$F1520))</f>
        <v/>
      </c>
      <c r="H1520" s="32">
        <f>IF(AND($L1520="",$M1520="",$N1520=""),"",IF($L1520&lt;&gt;"",IF(INDEX(LdANote,$L1520)="","—",INDEX(LdANote,$L1520)),IF($M1520&lt;&gt;"",IF(INDEX(LdBNote,$M1520)="","—",INDEX(LdBNote,$M1520)),IF($N1520&lt;&gt;"",IF(INDEX(LdCNote,$N1520)="","—",INDEX(LdCNote,$N1520)),""))))</f>
        <v/>
      </c>
      <c r="L1520">
        <f>IFERROR(MATCH($C$5&amp;"|"&amp;RIGHT("000000"&amp;1504,6),LdAKeyM,0),"")</f>
        <v/>
      </c>
      <c r="M1520">
        <f>IFERROR(MATCH($C$5&amp;"|"&amp;RIGHT("000000"&amp;1504,6),LdBKeyM,0),"")</f>
        <v/>
      </c>
      <c r="N1520">
        <f>IFERROR(MATCH($C$5&amp;"|"&amp;RIGHT("000000"&amp;1504,6),LdCKeyM,0),"")</f>
        <v/>
      </c>
    </row>
    <row r="1521">
      <c r="A1521" s="10" t="n">
        <v>1505</v>
      </c>
      <c r="B1521" s="14">
        <f>IF(AND($L1521="",$M1521="",$N1521=""),"",IF($L1521&lt;&gt;"",INDEX(LdADate,$L1521),IF($M1521&lt;&gt;"",INDEX(LdBDate,$M1521),INDEX(LdCDate,$N1521))))</f>
        <v/>
      </c>
      <c r="C1521" s="14">
        <f>IF($L1521&lt;&gt;"","دستمزد (فردی)",IF($M1521&lt;&gt;"","سهم از گروه "&amp;IFERROR(VLOOKUP(INDEX(LdBGroup,$M1521),WGTbl,2,0),INDEX(LdBGroup,$M1521)),IF($N1521&lt;&gt;"",IF(N(INDEX(LdCDep,$N1521))&gt;0,"بازگشت بانکی","پرداخت بانکی"),"")))</f>
        <v/>
      </c>
      <c r="D1521" s="14">
        <f>IF($L1521&lt;&gt;"",IF(INDEX(LdAId,$L1521)="","—",INDEX(LdAId,$L1521)),IF($M1521&lt;&gt;"",IF(INDEX(LdBId,$M1521)="","—",INDEX(LdBId,$M1521)),IF($N1521&lt;&gt;"",IF(INDEX(LdCBank,$N1521)="","—",INDEX(LdCBank,$N1521)),"")))</f>
        <v/>
      </c>
      <c r="E1521" s="16">
        <f>IF($L1521&lt;&gt;"",IF(INDEX(LdAAmt,$L1521)=0,"",INDEX(LdAAmt,$L1521)),IF($M1521&lt;&gt;"",IF(INDEX(LdBAmt,$M1521)=0,"",INDEX(LdBAmt,$M1521)),IF($N1521&lt;&gt;"",IF(INDEX(LdCDep,$N1521)=0,"",INDEX(LdCDep,$N1521)),"")))</f>
        <v/>
      </c>
      <c r="F1521" s="16">
        <f>IF(AND($L1521="",$M1521="",$N1521=""),"",IF($N1521="","",IF(INDEX(LdCWit,$N1521)=0,"",INDEX(LdCWit,$N1521))))</f>
        <v/>
      </c>
      <c r="G1521" s="29">
        <f>IF($B1521="","",IF($G1520="",0,$G1520)+IF($E1521="",0,$E1521)-IF($F1521="",0,$F1521))</f>
        <v/>
      </c>
      <c r="H1521" s="30">
        <f>IF(AND($L1521="",$M1521="",$N1521=""),"",IF($L1521&lt;&gt;"",IF(INDEX(LdANote,$L1521)="","—",INDEX(LdANote,$L1521)),IF($M1521&lt;&gt;"",IF(INDEX(LdBNote,$M1521)="","—",INDEX(LdBNote,$M1521)),IF($N1521&lt;&gt;"",IF(INDEX(LdCNote,$N1521)="","—",INDEX(LdCNote,$N1521)),""))))</f>
        <v/>
      </c>
      <c r="L1521">
        <f>IFERROR(MATCH($C$5&amp;"|"&amp;RIGHT("000000"&amp;1505,6),LdAKeyM,0),"")</f>
        <v/>
      </c>
      <c r="M1521">
        <f>IFERROR(MATCH($C$5&amp;"|"&amp;RIGHT("000000"&amp;1505,6),LdBKeyM,0),"")</f>
        <v/>
      </c>
      <c r="N1521">
        <f>IFERROR(MATCH($C$5&amp;"|"&amp;RIGHT("000000"&amp;1505,6),LdCKeyM,0),"")</f>
        <v/>
      </c>
    </row>
    <row r="1522">
      <c r="A1522" s="19" t="n">
        <v>1506</v>
      </c>
      <c r="B1522" s="20">
        <f>IF(AND($L1522="",$M1522="",$N1522=""),"",IF($L1522&lt;&gt;"",INDEX(LdADate,$L1522),IF($M1522&lt;&gt;"",INDEX(LdBDate,$M1522),INDEX(LdCDate,$N1522))))</f>
        <v/>
      </c>
      <c r="C1522" s="20">
        <f>IF($L1522&lt;&gt;"","دستمزد (فردی)",IF($M1522&lt;&gt;"","سهم از گروه "&amp;IFERROR(VLOOKUP(INDEX(LdBGroup,$M1522),WGTbl,2,0),INDEX(LdBGroup,$M1522)),IF($N1522&lt;&gt;"",IF(N(INDEX(LdCDep,$N1522))&gt;0,"بازگشت بانکی","پرداخت بانکی"),"")))</f>
        <v/>
      </c>
      <c r="D1522" s="20">
        <f>IF($L1522&lt;&gt;"",IF(INDEX(LdAId,$L1522)="","—",INDEX(LdAId,$L1522)),IF($M1522&lt;&gt;"",IF(INDEX(LdBId,$M1522)="","—",INDEX(LdBId,$M1522)),IF($N1522&lt;&gt;"",IF(INDEX(LdCBank,$N1522)="","—",INDEX(LdCBank,$N1522)),"")))</f>
        <v/>
      </c>
      <c r="E1522" s="21">
        <f>IF($L1522&lt;&gt;"",IF(INDEX(LdAAmt,$L1522)=0,"",INDEX(LdAAmt,$L1522)),IF($M1522&lt;&gt;"",IF(INDEX(LdBAmt,$M1522)=0,"",INDEX(LdBAmt,$M1522)),IF($N1522&lt;&gt;"",IF(INDEX(LdCDep,$N1522)=0,"",INDEX(LdCDep,$N1522)),"")))</f>
        <v/>
      </c>
      <c r="F1522" s="21">
        <f>IF(AND($L1522="",$M1522="",$N1522=""),"",IF($N1522="","",IF(INDEX(LdCWit,$N1522)=0,"",INDEX(LdCWit,$N1522))))</f>
        <v/>
      </c>
      <c r="G1522" s="31">
        <f>IF($B1522="","",IF($G1521="",0,$G1521)+IF($E1522="",0,$E1522)-IF($F1522="",0,$F1522))</f>
        <v/>
      </c>
      <c r="H1522" s="32">
        <f>IF(AND($L1522="",$M1522="",$N1522=""),"",IF($L1522&lt;&gt;"",IF(INDEX(LdANote,$L1522)="","—",INDEX(LdANote,$L1522)),IF($M1522&lt;&gt;"",IF(INDEX(LdBNote,$M1522)="","—",INDEX(LdBNote,$M1522)),IF($N1522&lt;&gt;"",IF(INDEX(LdCNote,$N1522)="","—",INDEX(LdCNote,$N1522)),""))))</f>
        <v/>
      </c>
      <c r="L1522">
        <f>IFERROR(MATCH($C$5&amp;"|"&amp;RIGHT("000000"&amp;1506,6),LdAKeyM,0),"")</f>
        <v/>
      </c>
      <c r="M1522">
        <f>IFERROR(MATCH($C$5&amp;"|"&amp;RIGHT("000000"&amp;1506,6),LdBKeyM,0),"")</f>
        <v/>
      </c>
      <c r="N1522">
        <f>IFERROR(MATCH($C$5&amp;"|"&amp;RIGHT("000000"&amp;1506,6),LdCKeyM,0),"")</f>
        <v/>
      </c>
    </row>
    <row r="1523">
      <c r="A1523" s="10" t="n">
        <v>1507</v>
      </c>
      <c r="B1523" s="14">
        <f>IF(AND($L1523="",$M1523="",$N1523=""),"",IF($L1523&lt;&gt;"",INDEX(LdADate,$L1523),IF($M1523&lt;&gt;"",INDEX(LdBDate,$M1523),INDEX(LdCDate,$N1523))))</f>
        <v/>
      </c>
      <c r="C1523" s="14">
        <f>IF($L1523&lt;&gt;"","دستمزد (فردی)",IF($M1523&lt;&gt;"","سهم از گروه "&amp;IFERROR(VLOOKUP(INDEX(LdBGroup,$M1523),WGTbl,2,0),INDEX(LdBGroup,$M1523)),IF($N1523&lt;&gt;"",IF(N(INDEX(LdCDep,$N1523))&gt;0,"بازگشت بانکی","پرداخت بانکی"),"")))</f>
        <v/>
      </c>
      <c r="D1523" s="14">
        <f>IF($L1523&lt;&gt;"",IF(INDEX(LdAId,$L1523)="","—",INDEX(LdAId,$L1523)),IF($M1523&lt;&gt;"",IF(INDEX(LdBId,$M1523)="","—",INDEX(LdBId,$M1523)),IF($N1523&lt;&gt;"",IF(INDEX(LdCBank,$N1523)="","—",INDEX(LdCBank,$N1523)),"")))</f>
        <v/>
      </c>
      <c r="E1523" s="16">
        <f>IF($L1523&lt;&gt;"",IF(INDEX(LdAAmt,$L1523)=0,"",INDEX(LdAAmt,$L1523)),IF($M1523&lt;&gt;"",IF(INDEX(LdBAmt,$M1523)=0,"",INDEX(LdBAmt,$M1523)),IF($N1523&lt;&gt;"",IF(INDEX(LdCDep,$N1523)=0,"",INDEX(LdCDep,$N1523)),"")))</f>
        <v/>
      </c>
      <c r="F1523" s="16">
        <f>IF(AND($L1523="",$M1523="",$N1523=""),"",IF($N1523="","",IF(INDEX(LdCWit,$N1523)=0,"",INDEX(LdCWit,$N1523))))</f>
        <v/>
      </c>
      <c r="G1523" s="29">
        <f>IF($B1523="","",IF($G1522="",0,$G1522)+IF($E1523="",0,$E1523)-IF($F1523="",0,$F1523))</f>
        <v/>
      </c>
      <c r="H1523" s="30">
        <f>IF(AND($L1523="",$M1523="",$N1523=""),"",IF($L1523&lt;&gt;"",IF(INDEX(LdANote,$L1523)="","—",INDEX(LdANote,$L1523)),IF($M1523&lt;&gt;"",IF(INDEX(LdBNote,$M1523)="","—",INDEX(LdBNote,$M1523)),IF($N1523&lt;&gt;"",IF(INDEX(LdCNote,$N1523)="","—",INDEX(LdCNote,$N1523)),""))))</f>
        <v/>
      </c>
      <c r="L1523">
        <f>IFERROR(MATCH($C$5&amp;"|"&amp;RIGHT("000000"&amp;1507,6),LdAKeyM,0),"")</f>
        <v/>
      </c>
      <c r="M1523">
        <f>IFERROR(MATCH($C$5&amp;"|"&amp;RIGHT("000000"&amp;1507,6),LdBKeyM,0),"")</f>
        <v/>
      </c>
      <c r="N1523">
        <f>IFERROR(MATCH($C$5&amp;"|"&amp;RIGHT("000000"&amp;1507,6),LdCKeyM,0),"")</f>
        <v/>
      </c>
    </row>
    <row r="1524">
      <c r="A1524" s="19" t="n">
        <v>1508</v>
      </c>
      <c r="B1524" s="20">
        <f>IF(AND($L1524="",$M1524="",$N1524=""),"",IF($L1524&lt;&gt;"",INDEX(LdADate,$L1524),IF($M1524&lt;&gt;"",INDEX(LdBDate,$M1524),INDEX(LdCDate,$N1524))))</f>
        <v/>
      </c>
      <c r="C1524" s="20">
        <f>IF($L1524&lt;&gt;"","دستمزد (فردی)",IF($M1524&lt;&gt;"","سهم از گروه "&amp;IFERROR(VLOOKUP(INDEX(LdBGroup,$M1524),WGTbl,2,0),INDEX(LdBGroup,$M1524)),IF($N1524&lt;&gt;"",IF(N(INDEX(LdCDep,$N1524))&gt;0,"بازگشت بانکی","پرداخت بانکی"),"")))</f>
        <v/>
      </c>
      <c r="D1524" s="20">
        <f>IF($L1524&lt;&gt;"",IF(INDEX(LdAId,$L1524)="","—",INDEX(LdAId,$L1524)),IF($M1524&lt;&gt;"",IF(INDEX(LdBId,$M1524)="","—",INDEX(LdBId,$M1524)),IF($N1524&lt;&gt;"",IF(INDEX(LdCBank,$N1524)="","—",INDEX(LdCBank,$N1524)),"")))</f>
        <v/>
      </c>
      <c r="E1524" s="21">
        <f>IF($L1524&lt;&gt;"",IF(INDEX(LdAAmt,$L1524)=0,"",INDEX(LdAAmt,$L1524)),IF($M1524&lt;&gt;"",IF(INDEX(LdBAmt,$M1524)=0,"",INDEX(LdBAmt,$M1524)),IF($N1524&lt;&gt;"",IF(INDEX(LdCDep,$N1524)=0,"",INDEX(LdCDep,$N1524)),"")))</f>
        <v/>
      </c>
      <c r="F1524" s="21">
        <f>IF(AND($L1524="",$M1524="",$N1524=""),"",IF($N1524="","",IF(INDEX(LdCWit,$N1524)=0,"",INDEX(LdCWit,$N1524))))</f>
        <v/>
      </c>
      <c r="G1524" s="31">
        <f>IF($B1524="","",IF($G1523="",0,$G1523)+IF($E1524="",0,$E1524)-IF($F1524="",0,$F1524))</f>
        <v/>
      </c>
      <c r="H1524" s="32">
        <f>IF(AND($L1524="",$M1524="",$N1524=""),"",IF($L1524&lt;&gt;"",IF(INDEX(LdANote,$L1524)="","—",INDEX(LdANote,$L1524)),IF($M1524&lt;&gt;"",IF(INDEX(LdBNote,$M1524)="","—",INDEX(LdBNote,$M1524)),IF($N1524&lt;&gt;"",IF(INDEX(LdCNote,$N1524)="","—",INDEX(LdCNote,$N1524)),""))))</f>
        <v/>
      </c>
      <c r="L1524">
        <f>IFERROR(MATCH($C$5&amp;"|"&amp;RIGHT("000000"&amp;1508,6),LdAKeyM,0),"")</f>
        <v/>
      </c>
      <c r="M1524">
        <f>IFERROR(MATCH($C$5&amp;"|"&amp;RIGHT("000000"&amp;1508,6),LdBKeyM,0),"")</f>
        <v/>
      </c>
      <c r="N1524">
        <f>IFERROR(MATCH($C$5&amp;"|"&amp;RIGHT("000000"&amp;1508,6),LdCKeyM,0),"")</f>
        <v/>
      </c>
    </row>
    <row r="1525">
      <c r="A1525" s="10" t="n">
        <v>1509</v>
      </c>
      <c r="B1525" s="14">
        <f>IF(AND($L1525="",$M1525="",$N1525=""),"",IF($L1525&lt;&gt;"",INDEX(LdADate,$L1525),IF($M1525&lt;&gt;"",INDEX(LdBDate,$M1525),INDEX(LdCDate,$N1525))))</f>
        <v/>
      </c>
      <c r="C1525" s="14">
        <f>IF($L1525&lt;&gt;"","دستمزد (فردی)",IF($M1525&lt;&gt;"","سهم از گروه "&amp;IFERROR(VLOOKUP(INDEX(LdBGroup,$M1525),WGTbl,2,0),INDEX(LdBGroup,$M1525)),IF($N1525&lt;&gt;"",IF(N(INDEX(LdCDep,$N1525))&gt;0,"بازگشت بانکی","پرداخت بانکی"),"")))</f>
        <v/>
      </c>
      <c r="D1525" s="14">
        <f>IF($L1525&lt;&gt;"",IF(INDEX(LdAId,$L1525)="","—",INDEX(LdAId,$L1525)),IF($M1525&lt;&gt;"",IF(INDEX(LdBId,$M1525)="","—",INDEX(LdBId,$M1525)),IF($N1525&lt;&gt;"",IF(INDEX(LdCBank,$N1525)="","—",INDEX(LdCBank,$N1525)),"")))</f>
        <v/>
      </c>
      <c r="E1525" s="16">
        <f>IF($L1525&lt;&gt;"",IF(INDEX(LdAAmt,$L1525)=0,"",INDEX(LdAAmt,$L1525)),IF($M1525&lt;&gt;"",IF(INDEX(LdBAmt,$M1525)=0,"",INDEX(LdBAmt,$M1525)),IF($N1525&lt;&gt;"",IF(INDEX(LdCDep,$N1525)=0,"",INDEX(LdCDep,$N1525)),"")))</f>
        <v/>
      </c>
      <c r="F1525" s="16">
        <f>IF(AND($L1525="",$M1525="",$N1525=""),"",IF($N1525="","",IF(INDEX(LdCWit,$N1525)=0,"",INDEX(LdCWit,$N1525))))</f>
        <v/>
      </c>
      <c r="G1525" s="29">
        <f>IF($B1525="","",IF($G1524="",0,$G1524)+IF($E1525="",0,$E1525)-IF($F1525="",0,$F1525))</f>
        <v/>
      </c>
      <c r="H1525" s="30">
        <f>IF(AND($L1525="",$M1525="",$N1525=""),"",IF($L1525&lt;&gt;"",IF(INDEX(LdANote,$L1525)="","—",INDEX(LdANote,$L1525)),IF($M1525&lt;&gt;"",IF(INDEX(LdBNote,$M1525)="","—",INDEX(LdBNote,$M1525)),IF($N1525&lt;&gt;"",IF(INDEX(LdCNote,$N1525)="","—",INDEX(LdCNote,$N1525)),""))))</f>
        <v/>
      </c>
      <c r="L1525">
        <f>IFERROR(MATCH($C$5&amp;"|"&amp;RIGHT("000000"&amp;1509,6),LdAKeyM,0),"")</f>
        <v/>
      </c>
      <c r="M1525">
        <f>IFERROR(MATCH($C$5&amp;"|"&amp;RIGHT("000000"&amp;1509,6),LdBKeyM,0),"")</f>
        <v/>
      </c>
      <c r="N1525">
        <f>IFERROR(MATCH($C$5&amp;"|"&amp;RIGHT("000000"&amp;1509,6),LdCKeyM,0),"")</f>
        <v/>
      </c>
    </row>
    <row r="1526">
      <c r="A1526" s="19" t="n">
        <v>1510</v>
      </c>
      <c r="B1526" s="20">
        <f>IF(AND($L1526="",$M1526="",$N1526=""),"",IF($L1526&lt;&gt;"",INDEX(LdADate,$L1526),IF($M1526&lt;&gt;"",INDEX(LdBDate,$M1526),INDEX(LdCDate,$N1526))))</f>
        <v/>
      </c>
      <c r="C1526" s="20">
        <f>IF($L1526&lt;&gt;"","دستمزد (فردی)",IF($M1526&lt;&gt;"","سهم از گروه "&amp;IFERROR(VLOOKUP(INDEX(LdBGroup,$M1526),WGTbl,2,0),INDEX(LdBGroup,$M1526)),IF($N1526&lt;&gt;"",IF(N(INDEX(LdCDep,$N1526))&gt;0,"بازگشت بانکی","پرداخت بانکی"),"")))</f>
        <v/>
      </c>
      <c r="D1526" s="20">
        <f>IF($L1526&lt;&gt;"",IF(INDEX(LdAId,$L1526)="","—",INDEX(LdAId,$L1526)),IF($M1526&lt;&gt;"",IF(INDEX(LdBId,$M1526)="","—",INDEX(LdBId,$M1526)),IF($N1526&lt;&gt;"",IF(INDEX(LdCBank,$N1526)="","—",INDEX(LdCBank,$N1526)),"")))</f>
        <v/>
      </c>
      <c r="E1526" s="21">
        <f>IF($L1526&lt;&gt;"",IF(INDEX(LdAAmt,$L1526)=0,"",INDEX(LdAAmt,$L1526)),IF($M1526&lt;&gt;"",IF(INDEX(LdBAmt,$M1526)=0,"",INDEX(LdBAmt,$M1526)),IF($N1526&lt;&gt;"",IF(INDEX(LdCDep,$N1526)=0,"",INDEX(LdCDep,$N1526)),"")))</f>
        <v/>
      </c>
      <c r="F1526" s="21">
        <f>IF(AND($L1526="",$M1526="",$N1526=""),"",IF($N1526="","",IF(INDEX(LdCWit,$N1526)=0,"",INDEX(LdCWit,$N1526))))</f>
        <v/>
      </c>
      <c r="G1526" s="31">
        <f>IF($B1526="","",IF($G1525="",0,$G1525)+IF($E1526="",0,$E1526)-IF($F1526="",0,$F1526))</f>
        <v/>
      </c>
      <c r="H1526" s="32">
        <f>IF(AND($L1526="",$M1526="",$N1526=""),"",IF($L1526&lt;&gt;"",IF(INDEX(LdANote,$L1526)="","—",INDEX(LdANote,$L1526)),IF($M1526&lt;&gt;"",IF(INDEX(LdBNote,$M1526)="","—",INDEX(LdBNote,$M1526)),IF($N1526&lt;&gt;"",IF(INDEX(LdCNote,$N1526)="","—",INDEX(LdCNote,$N1526)),""))))</f>
        <v/>
      </c>
      <c r="L1526">
        <f>IFERROR(MATCH($C$5&amp;"|"&amp;RIGHT("000000"&amp;1510,6),LdAKeyM,0),"")</f>
        <v/>
      </c>
      <c r="M1526">
        <f>IFERROR(MATCH($C$5&amp;"|"&amp;RIGHT("000000"&amp;1510,6),LdBKeyM,0),"")</f>
        <v/>
      </c>
      <c r="N1526">
        <f>IFERROR(MATCH($C$5&amp;"|"&amp;RIGHT("000000"&amp;1510,6),LdCKeyM,0),"")</f>
        <v/>
      </c>
    </row>
    <row r="1527">
      <c r="A1527" s="10" t="n">
        <v>1511</v>
      </c>
      <c r="B1527" s="14">
        <f>IF(AND($L1527="",$M1527="",$N1527=""),"",IF($L1527&lt;&gt;"",INDEX(LdADate,$L1527),IF($M1527&lt;&gt;"",INDEX(LdBDate,$M1527),INDEX(LdCDate,$N1527))))</f>
        <v/>
      </c>
      <c r="C1527" s="14">
        <f>IF($L1527&lt;&gt;"","دستمزد (فردی)",IF($M1527&lt;&gt;"","سهم از گروه "&amp;IFERROR(VLOOKUP(INDEX(LdBGroup,$M1527),WGTbl,2,0),INDEX(LdBGroup,$M1527)),IF($N1527&lt;&gt;"",IF(N(INDEX(LdCDep,$N1527))&gt;0,"بازگشت بانکی","پرداخت بانکی"),"")))</f>
        <v/>
      </c>
      <c r="D1527" s="14">
        <f>IF($L1527&lt;&gt;"",IF(INDEX(LdAId,$L1527)="","—",INDEX(LdAId,$L1527)),IF($M1527&lt;&gt;"",IF(INDEX(LdBId,$M1527)="","—",INDEX(LdBId,$M1527)),IF($N1527&lt;&gt;"",IF(INDEX(LdCBank,$N1527)="","—",INDEX(LdCBank,$N1527)),"")))</f>
        <v/>
      </c>
      <c r="E1527" s="16">
        <f>IF($L1527&lt;&gt;"",IF(INDEX(LdAAmt,$L1527)=0,"",INDEX(LdAAmt,$L1527)),IF($M1527&lt;&gt;"",IF(INDEX(LdBAmt,$M1527)=0,"",INDEX(LdBAmt,$M1527)),IF($N1527&lt;&gt;"",IF(INDEX(LdCDep,$N1527)=0,"",INDEX(LdCDep,$N1527)),"")))</f>
        <v/>
      </c>
      <c r="F1527" s="16">
        <f>IF(AND($L1527="",$M1527="",$N1527=""),"",IF($N1527="","",IF(INDEX(LdCWit,$N1527)=0,"",INDEX(LdCWit,$N1527))))</f>
        <v/>
      </c>
      <c r="G1527" s="29">
        <f>IF($B1527="","",IF($G1526="",0,$G1526)+IF($E1527="",0,$E1527)-IF($F1527="",0,$F1527))</f>
        <v/>
      </c>
      <c r="H1527" s="30">
        <f>IF(AND($L1527="",$M1527="",$N1527=""),"",IF($L1527&lt;&gt;"",IF(INDEX(LdANote,$L1527)="","—",INDEX(LdANote,$L1527)),IF($M1527&lt;&gt;"",IF(INDEX(LdBNote,$M1527)="","—",INDEX(LdBNote,$M1527)),IF($N1527&lt;&gt;"",IF(INDEX(LdCNote,$N1527)="","—",INDEX(LdCNote,$N1527)),""))))</f>
        <v/>
      </c>
      <c r="L1527">
        <f>IFERROR(MATCH($C$5&amp;"|"&amp;RIGHT("000000"&amp;1511,6),LdAKeyM,0),"")</f>
        <v/>
      </c>
      <c r="M1527">
        <f>IFERROR(MATCH($C$5&amp;"|"&amp;RIGHT("000000"&amp;1511,6),LdBKeyM,0),"")</f>
        <v/>
      </c>
      <c r="N1527">
        <f>IFERROR(MATCH($C$5&amp;"|"&amp;RIGHT("000000"&amp;1511,6),LdCKeyM,0),"")</f>
        <v/>
      </c>
    </row>
    <row r="1528">
      <c r="A1528" s="19" t="n">
        <v>1512</v>
      </c>
      <c r="B1528" s="20">
        <f>IF(AND($L1528="",$M1528="",$N1528=""),"",IF($L1528&lt;&gt;"",INDEX(LdADate,$L1528),IF($M1528&lt;&gt;"",INDEX(LdBDate,$M1528),INDEX(LdCDate,$N1528))))</f>
        <v/>
      </c>
      <c r="C1528" s="20">
        <f>IF($L1528&lt;&gt;"","دستمزد (فردی)",IF($M1528&lt;&gt;"","سهم از گروه "&amp;IFERROR(VLOOKUP(INDEX(LdBGroup,$M1528),WGTbl,2,0),INDEX(LdBGroup,$M1528)),IF($N1528&lt;&gt;"",IF(N(INDEX(LdCDep,$N1528))&gt;0,"بازگشت بانکی","پرداخت بانکی"),"")))</f>
        <v/>
      </c>
      <c r="D1528" s="20">
        <f>IF($L1528&lt;&gt;"",IF(INDEX(LdAId,$L1528)="","—",INDEX(LdAId,$L1528)),IF($M1528&lt;&gt;"",IF(INDEX(LdBId,$M1528)="","—",INDEX(LdBId,$M1528)),IF($N1528&lt;&gt;"",IF(INDEX(LdCBank,$N1528)="","—",INDEX(LdCBank,$N1528)),"")))</f>
        <v/>
      </c>
      <c r="E1528" s="21">
        <f>IF($L1528&lt;&gt;"",IF(INDEX(LdAAmt,$L1528)=0,"",INDEX(LdAAmt,$L1528)),IF($M1528&lt;&gt;"",IF(INDEX(LdBAmt,$M1528)=0,"",INDEX(LdBAmt,$M1528)),IF($N1528&lt;&gt;"",IF(INDEX(LdCDep,$N1528)=0,"",INDEX(LdCDep,$N1528)),"")))</f>
        <v/>
      </c>
      <c r="F1528" s="21">
        <f>IF(AND($L1528="",$M1528="",$N1528=""),"",IF($N1528="","",IF(INDEX(LdCWit,$N1528)=0,"",INDEX(LdCWit,$N1528))))</f>
        <v/>
      </c>
      <c r="G1528" s="31">
        <f>IF($B1528="","",IF($G1527="",0,$G1527)+IF($E1528="",0,$E1528)-IF($F1528="",0,$F1528))</f>
        <v/>
      </c>
      <c r="H1528" s="32">
        <f>IF(AND($L1528="",$M1528="",$N1528=""),"",IF($L1528&lt;&gt;"",IF(INDEX(LdANote,$L1528)="","—",INDEX(LdANote,$L1528)),IF($M1528&lt;&gt;"",IF(INDEX(LdBNote,$M1528)="","—",INDEX(LdBNote,$M1528)),IF($N1528&lt;&gt;"",IF(INDEX(LdCNote,$N1528)="","—",INDEX(LdCNote,$N1528)),""))))</f>
        <v/>
      </c>
      <c r="L1528">
        <f>IFERROR(MATCH($C$5&amp;"|"&amp;RIGHT("000000"&amp;1512,6),LdAKeyM,0),"")</f>
        <v/>
      </c>
      <c r="M1528">
        <f>IFERROR(MATCH($C$5&amp;"|"&amp;RIGHT("000000"&amp;1512,6),LdBKeyM,0),"")</f>
        <v/>
      </c>
      <c r="N1528">
        <f>IFERROR(MATCH($C$5&amp;"|"&amp;RIGHT("000000"&amp;1512,6),LdCKeyM,0),"")</f>
        <v/>
      </c>
    </row>
    <row r="1529">
      <c r="A1529" s="10" t="n">
        <v>1513</v>
      </c>
      <c r="B1529" s="14">
        <f>IF(AND($L1529="",$M1529="",$N1529=""),"",IF($L1529&lt;&gt;"",INDEX(LdADate,$L1529),IF($M1529&lt;&gt;"",INDEX(LdBDate,$M1529),INDEX(LdCDate,$N1529))))</f>
        <v/>
      </c>
      <c r="C1529" s="14">
        <f>IF($L1529&lt;&gt;"","دستمزد (فردی)",IF($M1529&lt;&gt;"","سهم از گروه "&amp;IFERROR(VLOOKUP(INDEX(LdBGroup,$M1529),WGTbl,2,0),INDEX(LdBGroup,$M1529)),IF($N1529&lt;&gt;"",IF(N(INDEX(LdCDep,$N1529))&gt;0,"بازگشت بانکی","پرداخت بانکی"),"")))</f>
        <v/>
      </c>
      <c r="D1529" s="14">
        <f>IF($L1529&lt;&gt;"",IF(INDEX(LdAId,$L1529)="","—",INDEX(LdAId,$L1529)),IF($M1529&lt;&gt;"",IF(INDEX(LdBId,$M1529)="","—",INDEX(LdBId,$M1529)),IF($N1529&lt;&gt;"",IF(INDEX(LdCBank,$N1529)="","—",INDEX(LdCBank,$N1529)),"")))</f>
        <v/>
      </c>
      <c r="E1529" s="16">
        <f>IF($L1529&lt;&gt;"",IF(INDEX(LdAAmt,$L1529)=0,"",INDEX(LdAAmt,$L1529)),IF($M1529&lt;&gt;"",IF(INDEX(LdBAmt,$M1529)=0,"",INDEX(LdBAmt,$M1529)),IF($N1529&lt;&gt;"",IF(INDEX(LdCDep,$N1529)=0,"",INDEX(LdCDep,$N1529)),"")))</f>
        <v/>
      </c>
      <c r="F1529" s="16">
        <f>IF(AND($L1529="",$M1529="",$N1529=""),"",IF($N1529="","",IF(INDEX(LdCWit,$N1529)=0,"",INDEX(LdCWit,$N1529))))</f>
        <v/>
      </c>
      <c r="G1529" s="29">
        <f>IF($B1529="","",IF($G1528="",0,$G1528)+IF($E1529="",0,$E1529)-IF($F1529="",0,$F1529))</f>
        <v/>
      </c>
      <c r="H1529" s="30">
        <f>IF(AND($L1529="",$M1529="",$N1529=""),"",IF($L1529&lt;&gt;"",IF(INDEX(LdANote,$L1529)="","—",INDEX(LdANote,$L1529)),IF($M1529&lt;&gt;"",IF(INDEX(LdBNote,$M1529)="","—",INDEX(LdBNote,$M1529)),IF($N1529&lt;&gt;"",IF(INDEX(LdCNote,$N1529)="","—",INDEX(LdCNote,$N1529)),""))))</f>
        <v/>
      </c>
      <c r="L1529">
        <f>IFERROR(MATCH($C$5&amp;"|"&amp;RIGHT("000000"&amp;1513,6),LdAKeyM,0),"")</f>
        <v/>
      </c>
      <c r="M1529">
        <f>IFERROR(MATCH($C$5&amp;"|"&amp;RIGHT("000000"&amp;1513,6),LdBKeyM,0),"")</f>
        <v/>
      </c>
      <c r="N1529">
        <f>IFERROR(MATCH($C$5&amp;"|"&amp;RIGHT("000000"&amp;1513,6),LdCKeyM,0),"")</f>
        <v/>
      </c>
    </row>
    <row r="1530">
      <c r="A1530" s="19" t="n">
        <v>1514</v>
      </c>
      <c r="B1530" s="20">
        <f>IF(AND($L1530="",$M1530="",$N1530=""),"",IF($L1530&lt;&gt;"",INDEX(LdADate,$L1530),IF($M1530&lt;&gt;"",INDEX(LdBDate,$M1530),INDEX(LdCDate,$N1530))))</f>
        <v/>
      </c>
      <c r="C1530" s="20">
        <f>IF($L1530&lt;&gt;"","دستمزد (فردی)",IF($M1530&lt;&gt;"","سهم از گروه "&amp;IFERROR(VLOOKUP(INDEX(LdBGroup,$M1530),WGTbl,2,0),INDEX(LdBGroup,$M1530)),IF($N1530&lt;&gt;"",IF(N(INDEX(LdCDep,$N1530))&gt;0,"بازگشت بانکی","پرداخت بانکی"),"")))</f>
        <v/>
      </c>
      <c r="D1530" s="20">
        <f>IF($L1530&lt;&gt;"",IF(INDEX(LdAId,$L1530)="","—",INDEX(LdAId,$L1530)),IF($M1530&lt;&gt;"",IF(INDEX(LdBId,$M1530)="","—",INDEX(LdBId,$M1530)),IF($N1530&lt;&gt;"",IF(INDEX(LdCBank,$N1530)="","—",INDEX(LdCBank,$N1530)),"")))</f>
        <v/>
      </c>
      <c r="E1530" s="21">
        <f>IF($L1530&lt;&gt;"",IF(INDEX(LdAAmt,$L1530)=0,"",INDEX(LdAAmt,$L1530)),IF($M1530&lt;&gt;"",IF(INDEX(LdBAmt,$M1530)=0,"",INDEX(LdBAmt,$M1530)),IF($N1530&lt;&gt;"",IF(INDEX(LdCDep,$N1530)=0,"",INDEX(LdCDep,$N1530)),"")))</f>
        <v/>
      </c>
      <c r="F1530" s="21">
        <f>IF(AND($L1530="",$M1530="",$N1530=""),"",IF($N1530="","",IF(INDEX(LdCWit,$N1530)=0,"",INDEX(LdCWit,$N1530))))</f>
        <v/>
      </c>
      <c r="G1530" s="31">
        <f>IF($B1530="","",IF($G1529="",0,$G1529)+IF($E1530="",0,$E1530)-IF($F1530="",0,$F1530))</f>
        <v/>
      </c>
      <c r="H1530" s="32">
        <f>IF(AND($L1530="",$M1530="",$N1530=""),"",IF($L1530&lt;&gt;"",IF(INDEX(LdANote,$L1530)="","—",INDEX(LdANote,$L1530)),IF($M1530&lt;&gt;"",IF(INDEX(LdBNote,$M1530)="","—",INDEX(LdBNote,$M1530)),IF($N1530&lt;&gt;"",IF(INDEX(LdCNote,$N1530)="","—",INDEX(LdCNote,$N1530)),""))))</f>
        <v/>
      </c>
      <c r="L1530">
        <f>IFERROR(MATCH($C$5&amp;"|"&amp;RIGHT("000000"&amp;1514,6),LdAKeyM,0),"")</f>
        <v/>
      </c>
      <c r="M1530">
        <f>IFERROR(MATCH($C$5&amp;"|"&amp;RIGHT("000000"&amp;1514,6),LdBKeyM,0),"")</f>
        <v/>
      </c>
      <c r="N1530">
        <f>IFERROR(MATCH($C$5&amp;"|"&amp;RIGHT("000000"&amp;1514,6),LdCKeyM,0),"")</f>
        <v/>
      </c>
    </row>
    <row r="1531">
      <c r="A1531" s="10" t="n">
        <v>1515</v>
      </c>
      <c r="B1531" s="14">
        <f>IF(AND($L1531="",$M1531="",$N1531=""),"",IF($L1531&lt;&gt;"",INDEX(LdADate,$L1531),IF($M1531&lt;&gt;"",INDEX(LdBDate,$M1531),INDEX(LdCDate,$N1531))))</f>
        <v/>
      </c>
      <c r="C1531" s="14">
        <f>IF($L1531&lt;&gt;"","دستمزد (فردی)",IF($M1531&lt;&gt;"","سهم از گروه "&amp;IFERROR(VLOOKUP(INDEX(LdBGroup,$M1531),WGTbl,2,0),INDEX(LdBGroup,$M1531)),IF($N1531&lt;&gt;"",IF(N(INDEX(LdCDep,$N1531))&gt;0,"بازگشت بانکی","پرداخت بانکی"),"")))</f>
        <v/>
      </c>
      <c r="D1531" s="14">
        <f>IF($L1531&lt;&gt;"",IF(INDEX(LdAId,$L1531)="","—",INDEX(LdAId,$L1531)),IF($M1531&lt;&gt;"",IF(INDEX(LdBId,$M1531)="","—",INDEX(LdBId,$M1531)),IF($N1531&lt;&gt;"",IF(INDEX(LdCBank,$N1531)="","—",INDEX(LdCBank,$N1531)),"")))</f>
        <v/>
      </c>
      <c r="E1531" s="16">
        <f>IF($L1531&lt;&gt;"",IF(INDEX(LdAAmt,$L1531)=0,"",INDEX(LdAAmt,$L1531)),IF($M1531&lt;&gt;"",IF(INDEX(LdBAmt,$M1531)=0,"",INDEX(LdBAmt,$M1531)),IF($N1531&lt;&gt;"",IF(INDEX(LdCDep,$N1531)=0,"",INDEX(LdCDep,$N1531)),"")))</f>
        <v/>
      </c>
      <c r="F1531" s="16">
        <f>IF(AND($L1531="",$M1531="",$N1531=""),"",IF($N1531="","",IF(INDEX(LdCWit,$N1531)=0,"",INDEX(LdCWit,$N1531))))</f>
        <v/>
      </c>
      <c r="G1531" s="29">
        <f>IF($B1531="","",IF($G1530="",0,$G1530)+IF($E1531="",0,$E1531)-IF($F1531="",0,$F1531))</f>
        <v/>
      </c>
      <c r="H1531" s="30">
        <f>IF(AND($L1531="",$M1531="",$N1531=""),"",IF($L1531&lt;&gt;"",IF(INDEX(LdANote,$L1531)="","—",INDEX(LdANote,$L1531)),IF($M1531&lt;&gt;"",IF(INDEX(LdBNote,$M1531)="","—",INDEX(LdBNote,$M1531)),IF($N1531&lt;&gt;"",IF(INDEX(LdCNote,$N1531)="","—",INDEX(LdCNote,$N1531)),""))))</f>
        <v/>
      </c>
      <c r="L1531">
        <f>IFERROR(MATCH($C$5&amp;"|"&amp;RIGHT("000000"&amp;1515,6),LdAKeyM,0),"")</f>
        <v/>
      </c>
      <c r="M1531">
        <f>IFERROR(MATCH($C$5&amp;"|"&amp;RIGHT("000000"&amp;1515,6),LdBKeyM,0),"")</f>
        <v/>
      </c>
      <c r="N1531">
        <f>IFERROR(MATCH($C$5&amp;"|"&amp;RIGHT("000000"&amp;1515,6),LdCKeyM,0),"")</f>
        <v/>
      </c>
    </row>
    <row r="1532">
      <c r="A1532" s="19" t="n">
        <v>1516</v>
      </c>
      <c r="B1532" s="20">
        <f>IF(AND($L1532="",$M1532="",$N1532=""),"",IF($L1532&lt;&gt;"",INDEX(LdADate,$L1532),IF($M1532&lt;&gt;"",INDEX(LdBDate,$M1532),INDEX(LdCDate,$N1532))))</f>
        <v/>
      </c>
      <c r="C1532" s="20">
        <f>IF($L1532&lt;&gt;"","دستمزد (فردی)",IF($M1532&lt;&gt;"","سهم از گروه "&amp;IFERROR(VLOOKUP(INDEX(LdBGroup,$M1532),WGTbl,2,0),INDEX(LdBGroup,$M1532)),IF($N1532&lt;&gt;"",IF(N(INDEX(LdCDep,$N1532))&gt;0,"بازگشت بانکی","پرداخت بانکی"),"")))</f>
        <v/>
      </c>
      <c r="D1532" s="20">
        <f>IF($L1532&lt;&gt;"",IF(INDEX(LdAId,$L1532)="","—",INDEX(LdAId,$L1532)),IF($M1532&lt;&gt;"",IF(INDEX(LdBId,$M1532)="","—",INDEX(LdBId,$M1532)),IF($N1532&lt;&gt;"",IF(INDEX(LdCBank,$N1532)="","—",INDEX(LdCBank,$N1532)),"")))</f>
        <v/>
      </c>
      <c r="E1532" s="21">
        <f>IF($L1532&lt;&gt;"",IF(INDEX(LdAAmt,$L1532)=0,"",INDEX(LdAAmt,$L1532)),IF($M1532&lt;&gt;"",IF(INDEX(LdBAmt,$M1532)=0,"",INDEX(LdBAmt,$M1532)),IF($N1532&lt;&gt;"",IF(INDEX(LdCDep,$N1532)=0,"",INDEX(LdCDep,$N1532)),"")))</f>
        <v/>
      </c>
      <c r="F1532" s="21">
        <f>IF(AND($L1532="",$M1532="",$N1532=""),"",IF($N1532="","",IF(INDEX(LdCWit,$N1532)=0,"",INDEX(LdCWit,$N1532))))</f>
        <v/>
      </c>
      <c r="G1532" s="31">
        <f>IF($B1532="","",IF($G1531="",0,$G1531)+IF($E1532="",0,$E1532)-IF($F1532="",0,$F1532))</f>
        <v/>
      </c>
      <c r="H1532" s="32">
        <f>IF(AND($L1532="",$M1532="",$N1532=""),"",IF($L1532&lt;&gt;"",IF(INDEX(LdANote,$L1532)="","—",INDEX(LdANote,$L1532)),IF($M1532&lt;&gt;"",IF(INDEX(LdBNote,$M1532)="","—",INDEX(LdBNote,$M1532)),IF($N1532&lt;&gt;"",IF(INDEX(LdCNote,$N1532)="","—",INDEX(LdCNote,$N1532)),""))))</f>
        <v/>
      </c>
      <c r="L1532">
        <f>IFERROR(MATCH($C$5&amp;"|"&amp;RIGHT("000000"&amp;1516,6),LdAKeyM,0),"")</f>
        <v/>
      </c>
      <c r="M1532">
        <f>IFERROR(MATCH($C$5&amp;"|"&amp;RIGHT("000000"&amp;1516,6),LdBKeyM,0),"")</f>
        <v/>
      </c>
      <c r="N1532">
        <f>IFERROR(MATCH($C$5&amp;"|"&amp;RIGHT("000000"&amp;1516,6),LdCKeyM,0),"")</f>
        <v/>
      </c>
    </row>
    <row r="1533">
      <c r="A1533" s="10" t="n">
        <v>1517</v>
      </c>
      <c r="B1533" s="14">
        <f>IF(AND($L1533="",$M1533="",$N1533=""),"",IF($L1533&lt;&gt;"",INDEX(LdADate,$L1533),IF($M1533&lt;&gt;"",INDEX(LdBDate,$M1533),INDEX(LdCDate,$N1533))))</f>
        <v/>
      </c>
      <c r="C1533" s="14">
        <f>IF($L1533&lt;&gt;"","دستمزد (فردی)",IF($M1533&lt;&gt;"","سهم از گروه "&amp;IFERROR(VLOOKUP(INDEX(LdBGroup,$M1533),WGTbl,2,0),INDEX(LdBGroup,$M1533)),IF($N1533&lt;&gt;"",IF(N(INDEX(LdCDep,$N1533))&gt;0,"بازگشت بانکی","پرداخت بانکی"),"")))</f>
        <v/>
      </c>
      <c r="D1533" s="14">
        <f>IF($L1533&lt;&gt;"",IF(INDEX(LdAId,$L1533)="","—",INDEX(LdAId,$L1533)),IF($M1533&lt;&gt;"",IF(INDEX(LdBId,$M1533)="","—",INDEX(LdBId,$M1533)),IF($N1533&lt;&gt;"",IF(INDEX(LdCBank,$N1533)="","—",INDEX(LdCBank,$N1533)),"")))</f>
        <v/>
      </c>
      <c r="E1533" s="16">
        <f>IF($L1533&lt;&gt;"",IF(INDEX(LdAAmt,$L1533)=0,"",INDEX(LdAAmt,$L1533)),IF($M1533&lt;&gt;"",IF(INDEX(LdBAmt,$M1533)=0,"",INDEX(LdBAmt,$M1533)),IF($N1533&lt;&gt;"",IF(INDEX(LdCDep,$N1533)=0,"",INDEX(LdCDep,$N1533)),"")))</f>
        <v/>
      </c>
      <c r="F1533" s="16">
        <f>IF(AND($L1533="",$M1533="",$N1533=""),"",IF($N1533="","",IF(INDEX(LdCWit,$N1533)=0,"",INDEX(LdCWit,$N1533))))</f>
        <v/>
      </c>
      <c r="G1533" s="29">
        <f>IF($B1533="","",IF($G1532="",0,$G1532)+IF($E1533="",0,$E1533)-IF($F1533="",0,$F1533))</f>
        <v/>
      </c>
      <c r="H1533" s="30">
        <f>IF(AND($L1533="",$M1533="",$N1533=""),"",IF($L1533&lt;&gt;"",IF(INDEX(LdANote,$L1533)="","—",INDEX(LdANote,$L1533)),IF($M1533&lt;&gt;"",IF(INDEX(LdBNote,$M1533)="","—",INDEX(LdBNote,$M1533)),IF($N1533&lt;&gt;"",IF(INDEX(LdCNote,$N1533)="","—",INDEX(LdCNote,$N1533)),""))))</f>
        <v/>
      </c>
      <c r="L1533">
        <f>IFERROR(MATCH($C$5&amp;"|"&amp;RIGHT("000000"&amp;1517,6),LdAKeyM,0),"")</f>
        <v/>
      </c>
      <c r="M1533">
        <f>IFERROR(MATCH($C$5&amp;"|"&amp;RIGHT("000000"&amp;1517,6),LdBKeyM,0),"")</f>
        <v/>
      </c>
      <c r="N1533">
        <f>IFERROR(MATCH($C$5&amp;"|"&amp;RIGHT("000000"&amp;1517,6),LdCKeyM,0),"")</f>
        <v/>
      </c>
    </row>
    <row r="1534">
      <c r="A1534" s="19" t="n">
        <v>1518</v>
      </c>
      <c r="B1534" s="20">
        <f>IF(AND($L1534="",$M1534="",$N1534=""),"",IF($L1534&lt;&gt;"",INDEX(LdADate,$L1534),IF($M1534&lt;&gt;"",INDEX(LdBDate,$M1534),INDEX(LdCDate,$N1534))))</f>
        <v/>
      </c>
      <c r="C1534" s="20">
        <f>IF($L1534&lt;&gt;"","دستمزد (فردی)",IF($M1534&lt;&gt;"","سهم از گروه "&amp;IFERROR(VLOOKUP(INDEX(LdBGroup,$M1534),WGTbl,2,0),INDEX(LdBGroup,$M1534)),IF($N1534&lt;&gt;"",IF(N(INDEX(LdCDep,$N1534))&gt;0,"بازگشت بانکی","پرداخت بانکی"),"")))</f>
        <v/>
      </c>
      <c r="D1534" s="20">
        <f>IF($L1534&lt;&gt;"",IF(INDEX(LdAId,$L1534)="","—",INDEX(LdAId,$L1534)),IF($M1534&lt;&gt;"",IF(INDEX(LdBId,$M1534)="","—",INDEX(LdBId,$M1534)),IF($N1534&lt;&gt;"",IF(INDEX(LdCBank,$N1534)="","—",INDEX(LdCBank,$N1534)),"")))</f>
        <v/>
      </c>
      <c r="E1534" s="21">
        <f>IF($L1534&lt;&gt;"",IF(INDEX(LdAAmt,$L1534)=0,"",INDEX(LdAAmt,$L1534)),IF($M1534&lt;&gt;"",IF(INDEX(LdBAmt,$M1534)=0,"",INDEX(LdBAmt,$M1534)),IF($N1534&lt;&gt;"",IF(INDEX(LdCDep,$N1534)=0,"",INDEX(LdCDep,$N1534)),"")))</f>
        <v/>
      </c>
      <c r="F1534" s="21">
        <f>IF(AND($L1534="",$M1534="",$N1534=""),"",IF($N1534="","",IF(INDEX(LdCWit,$N1534)=0,"",INDEX(LdCWit,$N1534))))</f>
        <v/>
      </c>
      <c r="G1534" s="31">
        <f>IF($B1534="","",IF($G1533="",0,$G1533)+IF($E1534="",0,$E1534)-IF($F1534="",0,$F1534))</f>
        <v/>
      </c>
      <c r="H1534" s="32">
        <f>IF(AND($L1534="",$M1534="",$N1534=""),"",IF($L1534&lt;&gt;"",IF(INDEX(LdANote,$L1534)="","—",INDEX(LdANote,$L1534)),IF($M1534&lt;&gt;"",IF(INDEX(LdBNote,$M1534)="","—",INDEX(LdBNote,$M1534)),IF($N1534&lt;&gt;"",IF(INDEX(LdCNote,$N1534)="","—",INDEX(LdCNote,$N1534)),""))))</f>
        <v/>
      </c>
      <c r="L1534">
        <f>IFERROR(MATCH($C$5&amp;"|"&amp;RIGHT("000000"&amp;1518,6),LdAKeyM,0),"")</f>
        <v/>
      </c>
      <c r="M1534">
        <f>IFERROR(MATCH($C$5&amp;"|"&amp;RIGHT("000000"&amp;1518,6),LdBKeyM,0),"")</f>
        <v/>
      </c>
      <c r="N1534">
        <f>IFERROR(MATCH($C$5&amp;"|"&amp;RIGHT("000000"&amp;1518,6),LdCKeyM,0),"")</f>
        <v/>
      </c>
    </row>
    <row r="1535">
      <c r="A1535" s="10" t="n">
        <v>1519</v>
      </c>
      <c r="B1535" s="14">
        <f>IF(AND($L1535="",$M1535="",$N1535=""),"",IF($L1535&lt;&gt;"",INDEX(LdADate,$L1535),IF($M1535&lt;&gt;"",INDEX(LdBDate,$M1535),INDEX(LdCDate,$N1535))))</f>
        <v/>
      </c>
      <c r="C1535" s="14">
        <f>IF($L1535&lt;&gt;"","دستمزد (فردی)",IF($M1535&lt;&gt;"","سهم از گروه "&amp;IFERROR(VLOOKUP(INDEX(LdBGroup,$M1535),WGTbl,2,0),INDEX(LdBGroup,$M1535)),IF($N1535&lt;&gt;"",IF(N(INDEX(LdCDep,$N1535))&gt;0,"بازگشت بانکی","پرداخت بانکی"),"")))</f>
        <v/>
      </c>
      <c r="D1535" s="14">
        <f>IF($L1535&lt;&gt;"",IF(INDEX(LdAId,$L1535)="","—",INDEX(LdAId,$L1535)),IF($M1535&lt;&gt;"",IF(INDEX(LdBId,$M1535)="","—",INDEX(LdBId,$M1535)),IF($N1535&lt;&gt;"",IF(INDEX(LdCBank,$N1535)="","—",INDEX(LdCBank,$N1535)),"")))</f>
        <v/>
      </c>
      <c r="E1535" s="16">
        <f>IF($L1535&lt;&gt;"",IF(INDEX(LdAAmt,$L1535)=0,"",INDEX(LdAAmt,$L1535)),IF($M1535&lt;&gt;"",IF(INDEX(LdBAmt,$M1535)=0,"",INDEX(LdBAmt,$M1535)),IF($N1535&lt;&gt;"",IF(INDEX(LdCDep,$N1535)=0,"",INDEX(LdCDep,$N1535)),"")))</f>
        <v/>
      </c>
      <c r="F1535" s="16">
        <f>IF(AND($L1535="",$M1535="",$N1535=""),"",IF($N1535="","",IF(INDEX(LdCWit,$N1535)=0,"",INDEX(LdCWit,$N1535))))</f>
        <v/>
      </c>
      <c r="G1535" s="29">
        <f>IF($B1535="","",IF($G1534="",0,$G1534)+IF($E1535="",0,$E1535)-IF($F1535="",0,$F1535))</f>
        <v/>
      </c>
      <c r="H1535" s="30">
        <f>IF(AND($L1535="",$M1535="",$N1535=""),"",IF($L1535&lt;&gt;"",IF(INDEX(LdANote,$L1535)="","—",INDEX(LdANote,$L1535)),IF($M1535&lt;&gt;"",IF(INDEX(LdBNote,$M1535)="","—",INDEX(LdBNote,$M1535)),IF($N1535&lt;&gt;"",IF(INDEX(LdCNote,$N1535)="","—",INDEX(LdCNote,$N1535)),""))))</f>
        <v/>
      </c>
      <c r="L1535">
        <f>IFERROR(MATCH($C$5&amp;"|"&amp;RIGHT("000000"&amp;1519,6),LdAKeyM,0),"")</f>
        <v/>
      </c>
      <c r="M1535">
        <f>IFERROR(MATCH($C$5&amp;"|"&amp;RIGHT("000000"&amp;1519,6),LdBKeyM,0),"")</f>
        <v/>
      </c>
      <c r="N1535">
        <f>IFERROR(MATCH($C$5&amp;"|"&amp;RIGHT("000000"&amp;1519,6),LdCKeyM,0),"")</f>
        <v/>
      </c>
    </row>
    <row r="1536">
      <c r="A1536" s="19" t="n">
        <v>1520</v>
      </c>
      <c r="B1536" s="20">
        <f>IF(AND($L1536="",$M1536="",$N1536=""),"",IF($L1536&lt;&gt;"",INDEX(LdADate,$L1536),IF($M1536&lt;&gt;"",INDEX(LdBDate,$M1536),INDEX(LdCDate,$N1536))))</f>
        <v/>
      </c>
      <c r="C1536" s="20">
        <f>IF($L1536&lt;&gt;"","دستمزد (فردی)",IF($M1536&lt;&gt;"","سهم از گروه "&amp;IFERROR(VLOOKUP(INDEX(LdBGroup,$M1536),WGTbl,2,0),INDEX(LdBGroup,$M1536)),IF($N1536&lt;&gt;"",IF(N(INDEX(LdCDep,$N1536))&gt;0,"بازگشت بانکی","پرداخت بانکی"),"")))</f>
        <v/>
      </c>
      <c r="D1536" s="20">
        <f>IF($L1536&lt;&gt;"",IF(INDEX(LdAId,$L1536)="","—",INDEX(LdAId,$L1536)),IF($M1536&lt;&gt;"",IF(INDEX(LdBId,$M1536)="","—",INDEX(LdBId,$M1536)),IF($N1536&lt;&gt;"",IF(INDEX(LdCBank,$N1536)="","—",INDEX(LdCBank,$N1536)),"")))</f>
        <v/>
      </c>
      <c r="E1536" s="21">
        <f>IF($L1536&lt;&gt;"",IF(INDEX(LdAAmt,$L1536)=0,"",INDEX(LdAAmt,$L1536)),IF($M1536&lt;&gt;"",IF(INDEX(LdBAmt,$M1536)=0,"",INDEX(LdBAmt,$M1536)),IF($N1536&lt;&gt;"",IF(INDEX(LdCDep,$N1536)=0,"",INDEX(LdCDep,$N1536)),"")))</f>
        <v/>
      </c>
      <c r="F1536" s="21">
        <f>IF(AND($L1536="",$M1536="",$N1536=""),"",IF($N1536="","",IF(INDEX(LdCWit,$N1536)=0,"",INDEX(LdCWit,$N1536))))</f>
        <v/>
      </c>
      <c r="G1536" s="31">
        <f>IF($B1536="","",IF($G1535="",0,$G1535)+IF($E1536="",0,$E1536)-IF($F1536="",0,$F1536))</f>
        <v/>
      </c>
      <c r="H1536" s="32">
        <f>IF(AND($L1536="",$M1536="",$N1536=""),"",IF($L1536&lt;&gt;"",IF(INDEX(LdANote,$L1536)="","—",INDEX(LdANote,$L1536)),IF($M1536&lt;&gt;"",IF(INDEX(LdBNote,$M1536)="","—",INDEX(LdBNote,$M1536)),IF($N1536&lt;&gt;"",IF(INDEX(LdCNote,$N1536)="","—",INDEX(LdCNote,$N1536)),""))))</f>
        <v/>
      </c>
      <c r="L1536">
        <f>IFERROR(MATCH($C$5&amp;"|"&amp;RIGHT("000000"&amp;1520,6),LdAKeyM,0),"")</f>
        <v/>
      </c>
      <c r="M1536">
        <f>IFERROR(MATCH($C$5&amp;"|"&amp;RIGHT("000000"&amp;1520,6),LdBKeyM,0),"")</f>
        <v/>
      </c>
      <c r="N1536">
        <f>IFERROR(MATCH($C$5&amp;"|"&amp;RIGHT("000000"&amp;1520,6),LdCKeyM,0),"")</f>
        <v/>
      </c>
    </row>
    <row r="1537">
      <c r="A1537" s="10" t="n">
        <v>1521</v>
      </c>
      <c r="B1537" s="14">
        <f>IF(AND($L1537="",$M1537="",$N1537=""),"",IF($L1537&lt;&gt;"",INDEX(LdADate,$L1537),IF($M1537&lt;&gt;"",INDEX(LdBDate,$M1537),INDEX(LdCDate,$N1537))))</f>
        <v/>
      </c>
      <c r="C1537" s="14">
        <f>IF($L1537&lt;&gt;"","دستمزد (فردی)",IF($M1537&lt;&gt;"","سهم از گروه "&amp;IFERROR(VLOOKUP(INDEX(LdBGroup,$M1537),WGTbl,2,0),INDEX(LdBGroup,$M1537)),IF($N1537&lt;&gt;"",IF(N(INDEX(LdCDep,$N1537))&gt;0,"بازگشت بانکی","پرداخت بانکی"),"")))</f>
        <v/>
      </c>
      <c r="D1537" s="14">
        <f>IF($L1537&lt;&gt;"",IF(INDEX(LdAId,$L1537)="","—",INDEX(LdAId,$L1537)),IF($M1537&lt;&gt;"",IF(INDEX(LdBId,$M1537)="","—",INDEX(LdBId,$M1537)),IF($N1537&lt;&gt;"",IF(INDEX(LdCBank,$N1537)="","—",INDEX(LdCBank,$N1537)),"")))</f>
        <v/>
      </c>
      <c r="E1537" s="16">
        <f>IF($L1537&lt;&gt;"",IF(INDEX(LdAAmt,$L1537)=0,"",INDEX(LdAAmt,$L1537)),IF($M1537&lt;&gt;"",IF(INDEX(LdBAmt,$M1537)=0,"",INDEX(LdBAmt,$M1537)),IF($N1537&lt;&gt;"",IF(INDEX(LdCDep,$N1537)=0,"",INDEX(LdCDep,$N1537)),"")))</f>
        <v/>
      </c>
      <c r="F1537" s="16">
        <f>IF(AND($L1537="",$M1537="",$N1537=""),"",IF($N1537="","",IF(INDEX(LdCWit,$N1537)=0,"",INDEX(LdCWit,$N1537))))</f>
        <v/>
      </c>
      <c r="G1537" s="29">
        <f>IF($B1537="","",IF($G1536="",0,$G1536)+IF($E1537="",0,$E1537)-IF($F1537="",0,$F1537))</f>
        <v/>
      </c>
      <c r="H1537" s="30">
        <f>IF(AND($L1537="",$M1537="",$N1537=""),"",IF($L1537&lt;&gt;"",IF(INDEX(LdANote,$L1537)="","—",INDEX(LdANote,$L1537)),IF($M1537&lt;&gt;"",IF(INDEX(LdBNote,$M1537)="","—",INDEX(LdBNote,$M1537)),IF($N1537&lt;&gt;"",IF(INDEX(LdCNote,$N1537)="","—",INDEX(LdCNote,$N1537)),""))))</f>
        <v/>
      </c>
      <c r="L1537">
        <f>IFERROR(MATCH($C$5&amp;"|"&amp;RIGHT("000000"&amp;1521,6),LdAKeyM,0),"")</f>
        <v/>
      </c>
      <c r="M1537">
        <f>IFERROR(MATCH($C$5&amp;"|"&amp;RIGHT("000000"&amp;1521,6),LdBKeyM,0),"")</f>
        <v/>
      </c>
      <c r="N1537">
        <f>IFERROR(MATCH($C$5&amp;"|"&amp;RIGHT("000000"&amp;1521,6),LdCKeyM,0),"")</f>
        <v/>
      </c>
    </row>
    <row r="1538">
      <c r="A1538" s="19" t="n">
        <v>1522</v>
      </c>
      <c r="B1538" s="20">
        <f>IF(AND($L1538="",$M1538="",$N1538=""),"",IF($L1538&lt;&gt;"",INDEX(LdADate,$L1538),IF($M1538&lt;&gt;"",INDEX(LdBDate,$M1538),INDEX(LdCDate,$N1538))))</f>
        <v/>
      </c>
      <c r="C1538" s="20">
        <f>IF($L1538&lt;&gt;"","دستمزد (فردی)",IF($M1538&lt;&gt;"","سهم از گروه "&amp;IFERROR(VLOOKUP(INDEX(LdBGroup,$M1538),WGTbl,2,0),INDEX(LdBGroup,$M1538)),IF($N1538&lt;&gt;"",IF(N(INDEX(LdCDep,$N1538))&gt;0,"بازگشت بانکی","پرداخت بانکی"),"")))</f>
        <v/>
      </c>
      <c r="D1538" s="20">
        <f>IF($L1538&lt;&gt;"",IF(INDEX(LdAId,$L1538)="","—",INDEX(LdAId,$L1538)),IF($M1538&lt;&gt;"",IF(INDEX(LdBId,$M1538)="","—",INDEX(LdBId,$M1538)),IF($N1538&lt;&gt;"",IF(INDEX(LdCBank,$N1538)="","—",INDEX(LdCBank,$N1538)),"")))</f>
        <v/>
      </c>
      <c r="E1538" s="21">
        <f>IF($L1538&lt;&gt;"",IF(INDEX(LdAAmt,$L1538)=0,"",INDEX(LdAAmt,$L1538)),IF($M1538&lt;&gt;"",IF(INDEX(LdBAmt,$M1538)=0,"",INDEX(LdBAmt,$M1538)),IF($N1538&lt;&gt;"",IF(INDEX(LdCDep,$N1538)=0,"",INDEX(LdCDep,$N1538)),"")))</f>
        <v/>
      </c>
      <c r="F1538" s="21">
        <f>IF(AND($L1538="",$M1538="",$N1538=""),"",IF($N1538="","",IF(INDEX(LdCWit,$N1538)=0,"",INDEX(LdCWit,$N1538))))</f>
        <v/>
      </c>
      <c r="G1538" s="31">
        <f>IF($B1538="","",IF($G1537="",0,$G1537)+IF($E1538="",0,$E1538)-IF($F1538="",0,$F1538))</f>
        <v/>
      </c>
      <c r="H1538" s="32">
        <f>IF(AND($L1538="",$M1538="",$N1538=""),"",IF($L1538&lt;&gt;"",IF(INDEX(LdANote,$L1538)="","—",INDEX(LdANote,$L1538)),IF($M1538&lt;&gt;"",IF(INDEX(LdBNote,$M1538)="","—",INDEX(LdBNote,$M1538)),IF($N1538&lt;&gt;"",IF(INDEX(LdCNote,$N1538)="","—",INDEX(LdCNote,$N1538)),""))))</f>
        <v/>
      </c>
      <c r="L1538">
        <f>IFERROR(MATCH($C$5&amp;"|"&amp;RIGHT("000000"&amp;1522,6),LdAKeyM,0),"")</f>
        <v/>
      </c>
      <c r="M1538">
        <f>IFERROR(MATCH($C$5&amp;"|"&amp;RIGHT("000000"&amp;1522,6),LdBKeyM,0),"")</f>
        <v/>
      </c>
      <c r="N1538">
        <f>IFERROR(MATCH($C$5&amp;"|"&amp;RIGHT("000000"&amp;1522,6),LdCKeyM,0),"")</f>
        <v/>
      </c>
    </row>
    <row r="1539">
      <c r="A1539" s="10" t="n">
        <v>1523</v>
      </c>
      <c r="B1539" s="14">
        <f>IF(AND($L1539="",$M1539="",$N1539=""),"",IF($L1539&lt;&gt;"",INDEX(LdADate,$L1539),IF($M1539&lt;&gt;"",INDEX(LdBDate,$M1539),INDEX(LdCDate,$N1539))))</f>
        <v/>
      </c>
      <c r="C1539" s="14">
        <f>IF($L1539&lt;&gt;"","دستمزد (فردی)",IF($M1539&lt;&gt;"","سهم از گروه "&amp;IFERROR(VLOOKUP(INDEX(LdBGroup,$M1539),WGTbl,2,0),INDEX(LdBGroup,$M1539)),IF($N1539&lt;&gt;"",IF(N(INDEX(LdCDep,$N1539))&gt;0,"بازگشت بانکی","پرداخت بانکی"),"")))</f>
        <v/>
      </c>
      <c r="D1539" s="14">
        <f>IF($L1539&lt;&gt;"",IF(INDEX(LdAId,$L1539)="","—",INDEX(LdAId,$L1539)),IF($M1539&lt;&gt;"",IF(INDEX(LdBId,$M1539)="","—",INDEX(LdBId,$M1539)),IF($N1539&lt;&gt;"",IF(INDEX(LdCBank,$N1539)="","—",INDEX(LdCBank,$N1539)),"")))</f>
        <v/>
      </c>
      <c r="E1539" s="16">
        <f>IF($L1539&lt;&gt;"",IF(INDEX(LdAAmt,$L1539)=0,"",INDEX(LdAAmt,$L1539)),IF($M1539&lt;&gt;"",IF(INDEX(LdBAmt,$M1539)=0,"",INDEX(LdBAmt,$M1539)),IF($N1539&lt;&gt;"",IF(INDEX(LdCDep,$N1539)=0,"",INDEX(LdCDep,$N1539)),"")))</f>
        <v/>
      </c>
      <c r="F1539" s="16">
        <f>IF(AND($L1539="",$M1539="",$N1539=""),"",IF($N1539="","",IF(INDEX(LdCWit,$N1539)=0,"",INDEX(LdCWit,$N1539))))</f>
        <v/>
      </c>
      <c r="G1539" s="29">
        <f>IF($B1539="","",IF($G1538="",0,$G1538)+IF($E1539="",0,$E1539)-IF($F1539="",0,$F1539))</f>
        <v/>
      </c>
      <c r="H1539" s="30">
        <f>IF(AND($L1539="",$M1539="",$N1539=""),"",IF($L1539&lt;&gt;"",IF(INDEX(LdANote,$L1539)="","—",INDEX(LdANote,$L1539)),IF($M1539&lt;&gt;"",IF(INDEX(LdBNote,$M1539)="","—",INDEX(LdBNote,$M1539)),IF($N1539&lt;&gt;"",IF(INDEX(LdCNote,$N1539)="","—",INDEX(LdCNote,$N1539)),""))))</f>
        <v/>
      </c>
      <c r="L1539">
        <f>IFERROR(MATCH($C$5&amp;"|"&amp;RIGHT("000000"&amp;1523,6),LdAKeyM,0),"")</f>
        <v/>
      </c>
      <c r="M1539">
        <f>IFERROR(MATCH($C$5&amp;"|"&amp;RIGHT("000000"&amp;1523,6),LdBKeyM,0),"")</f>
        <v/>
      </c>
      <c r="N1539">
        <f>IFERROR(MATCH($C$5&amp;"|"&amp;RIGHT("000000"&amp;1523,6),LdCKeyM,0),"")</f>
        <v/>
      </c>
    </row>
    <row r="1540">
      <c r="A1540" s="19" t="n">
        <v>1524</v>
      </c>
      <c r="B1540" s="20">
        <f>IF(AND($L1540="",$M1540="",$N1540=""),"",IF($L1540&lt;&gt;"",INDEX(LdADate,$L1540),IF($M1540&lt;&gt;"",INDEX(LdBDate,$M1540),INDEX(LdCDate,$N1540))))</f>
        <v/>
      </c>
      <c r="C1540" s="20">
        <f>IF($L1540&lt;&gt;"","دستمزد (فردی)",IF($M1540&lt;&gt;"","سهم از گروه "&amp;IFERROR(VLOOKUP(INDEX(LdBGroup,$M1540),WGTbl,2,0),INDEX(LdBGroup,$M1540)),IF($N1540&lt;&gt;"",IF(N(INDEX(LdCDep,$N1540))&gt;0,"بازگشت بانکی","پرداخت بانکی"),"")))</f>
        <v/>
      </c>
      <c r="D1540" s="20">
        <f>IF($L1540&lt;&gt;"",IF(INDEX(LdAId,$L1540)="","—",INDEX(LdAId,$L1540)),IF($M1540&lt;&gt;"",IF(INDEX(LdBId,$M1540)="","—",INDEX(LdBId,$M1540)),IF($N1540&lt;&gt;"",IF(INDEX(LdCBank,$N1540)="","—",INDEX(LdCBank,$N1540)),"")))</f>
        <v/>
      </c>
      <c r="E1540" s="21">
        <f>IF($L1540&lt;&gt;"",IF(INDEX(LdAAmt,$L1540)=0,"",INDEX(LdAAmt,$L1540)),IF($M1540&lt;&gt;"",IF(INDEX(LdBAmt,$M1540)=0,"",INDEX(LdBAmt,$M1540)),IF($N1540&lt;&gt;"",IF(INDEX(LdCDep,$N1540)=0,"",INDEX(LdCDep,$N1540)),"")))</f>
        <v/>
      </c>
      <c r="F1540" s="21">
        <f>IF(AND($L1540="",$M1540="",$N1540=""),"",IF($N1540="","",IF(INDEX(LdCWit,$N1540)=0,"",INDEX(LdCWit,$N1540))))</f>
        <v/>
      </c>
      <c r="G1540" s="31">
        <f>IF($B1540="","",IF($G1539="",0,$G1539)+IF($E1540="",0,$E1540)-IF($F1540="",0,$F1540))</f>
        <v/>
      </c>
      <c r="H1540" s="32">
        <f>IF(AND($L1540="",$M1540="",$N1540=""),"",IF($L1540&lt;&gt;"",IF(INDEX(LdANote,$L1540)="","—",INDEX(LdANote,$L1540)),IF($M1540&lt;&gt;"",IF(INDEX(LdBNote,$M1540)="","—",INDEX(LdBNote,$M1540)),IF($N1540&lt;&gt;"",IF(INDEX(LdCNote,$N1540)="","—",INDEX(LdCNote,$N1540)),""))))</f>
        <v/>
      </c>
      <c r="L1540">
        <f>IFERROR(MATCH($C$5&amp;"|"&amp;RIGHT("000000"&amp;1524,6),LdAKeyM,0),"")</f>
        <v/>
      </c>
      <c r="M1540">
        <f>IFERROR(MATCH($C$5&amp;"|"&amp;RIGHT("000000"&amp;1524,6),LdBKeyM,0),"")</f>
        <v/>
      </c>
      <c r="N1540">
        <f>IFERROR(MATCH($C$5&amp;"|"&amp;RIGHT("000000"&amp;1524,6),LdCKeyM,0),"")</f>
        <v/>
      </c>
    </row>
    <row r="1541">
      <c r="A1541" s="10" t="n">
        <v>1525</v>
      </c>
      <c r="B1541" s="14">
        <f>IF(AND($L1541="",$M1541="",$N1541=""),"",IF($L1541&lt;&gt;"",INDEX(LdADate,$L1541),IF($M1541&lt;&gt;"",INDEX(LdBDate,$M1541),INDEX(LdCDate,$N1541))))</f>
        <v/>
      </c>
      <c r="C1541" s="14">
        <f>IF($L1541&lt;&gt;"","دستمزد (فردی)",IF($M1541&lt;&gt;"","سهم از گروه "&amp;IFERROR(VLOOKUP(INDEX(LdBGroup,$M1541),WGTbl,2,0),INDEX(LdBGroup,$M1541)),IF($N1541&lt;&gt;"",IF(N(INDEX(LdCDep,$N1541))&gt;0,"بازگشت بانکی","پرداخت بانکی"),"")))</f>
        <v/>
      </c>
      <c r="D1541" s="14">
        <f>IF($L1541&lt;&gt;"",IF(INDEX(LdAId,$L1541)="","—",INDEX(LdAId,$L1541)),IF($M1541&lt;&gt;"",IF(INDEX(LdBId,$M1541)="","—",INDEX(LdBId,$M1541)),IF($N1541&lt;&gt;"",IF(INDEX(LdCBank,$N1541)="","—",INDEX(LdCBank,$N1541)),"")))</f>
        <v/>
      </c>
      <c r="E1541" s="16">
        <f>IF($L1541&lt;&gt;"",IF(INDEX(LdAAmt,$L1541)=0,"",INDEX(LdAAmt,$L1541)),IF($M1541&lt;&gt;"",IF(INDEX(LdBAmt,$M1541)=0,"",INDEX(LdBAmt,$M1541)),IF($N1541&lt;&gt;"",IF(INDEX(LdCDep,$N1541)=0,"",INDEX(LdCDep,$N1541)),"")))</f>
        <v/>
      </c>
      <c r="F1541" s="16">
        <f>IF(AND($L1541="",$M1541="",$N1541=""),"",IF($N1541="","",IF(INDEX(LdCWit,$N1541)=0,"",INDEX(LdCWit,$N1541))))</f>
        <v/>
      </c>
      <c r="G1541" s="29">
        <f>IF($B1541="","",IF($G1540="",0,$G1540)+IF($E1541="",0,$E1541)-IF($F1541="",0,$F1541))</f>
        <v/>
      </c>
      <c r="H1541" s="30">
        <f>IF(AND($L1541="",$M1541="",$N1541=""),"",IF($L1541&lt;&gt;"",IF(INDEX(LdANote,$L1541)="","—",INDEX(LdANote,$L1541)),IF($M1541&lt;&gt;"",IF(INDEX(LdBNote,$M1541)="","—",INDEX(LdBNote,$M1541)),IF($N1541&lt;&gt;"",IF(INDEX(LdCNote,$N1541)="","—",INDEX(LdCNote,$N1541)),""))))</f>
        <v/>
      </c>
      <c r="L1541">
        <f>IFERROR(MATCH($C$5&amp;"|"&amp;RIGHT("000000"&amp;1525,6),LdAKeyM,0),"")</f>
        <v/>
      </c>
      <c r="M1541">
        <f>IFERROR(MATCH($C$5&amp;"|"&amp;RIGHT("000000"&amp;1525,6),LdBKeyM,0),"")</f>
        <v/>
      </c>
      <c r="N1541">
        <f>IFERROR(MATCH($C$5&amp;"|"&amp;RIGHT("000000"&amp;1525,6),LdCKeyM,0),"")</f>
        <v/>
      </c>
    </row>
    <row r="1542">
      <c r="A1542" s="19" t="n">
        <v>1526</v>
      </c>
      <c r="B1542" s="20">
        <f>IF(AND($L1542="",$M1542="",$N1542=""),"",IF($L1542&lt;&gt;"",INDEX(LdADate,$L1542),IF($M1542&lt;&gt;"",INDEX(LdBDate,$M1542),INDEX(LdCDate,$N1542))))</f>
        <v/>
      </c>
      <c r="C1542" s="20">
        <f>IF($L1542&lt;&gt;"","دستمزد (فردی)",IF($M1542&lt;&gt;"","سهم از گروه "&amp;IFERROR(VLOOKUP(INDEX(LdBGroup,$M1542),WGTbl,2,0),INDEX(LdBGroup,$M1542)),IF($N1542&lt;&gt;"",IF(N(INDEX(LdCDep,$N1542))&gt;0,"بازگشت بانکی","پرداخت بانکی"),"")))</f>
        <v/>
      </c>
      <c r="D1542" s="20">
        <f>IF($L1542&lt;&gt;"",IF(INDEX(LdAId,$L1542)="","—",INDEX(LdAId,$L1542)),IF($M1542&lt;&gt;"",IF(INDEX(LdBId,$M1542)="","—",INDEX(LdBId,$M1542)),IF($N1542&lt;&gt;"",IF(INDEX(LdCBank,$N1542)="","—",INDEX(LdCBank,$N1542)),"")))</f>
        <v/>
      </c>
      <c r="E1542" s="21">
        <f>IF($L1542&lt;&gt;"",IF(INDEX(LdAAmt,$L1542)=0,"",INDEX(LdAAmt,$L1542)),IF($M1542&lt;&gt;"",IF(INDEX(LdBAmt,$M1542)=0,"",INDEX(LdBAmt,$M1542)),IF($N1542&lt;&gt;"",IF(INDEX(LdCDep,$N1542)=0,"",INDEX(LdCDep,$N1542)),"")))</f>
        <v/>
      </c>
      <c r="F1542" s="21">
        <f>IF(AND($L1542="",$M1542="",$N1542=""),"",IF($N1542="","",IF(INDEX(LdCWit,$N1542)=0,"",INDEX(LdCWit,$N1542))))</f>
        <v/>
      </c>
      <c r="G1542" s="31">
        <f>IF($B1542="","",IF($G1541="",0,$G1541)+IF($E1542="",0,$E1542)-IF($F1542="",0,$F1542))</f>
        <v/>
      </c>
      <c r="H1542" s="32">
        <f>IF(AND($L1542="",$M1542="",$N1542=""),"",IF($L1542&lt;&gt;"",IF(INDEX(LdANote,$L1542)="","—",INDEX(LdANote,$L1542)),IF($M1542&lt;&gt;"",IF(INDEX(LdBNote,$M1542)="","—",INDEX(LdBNote,$M1542)),IF($N1542&lt;&gt;"",IF(INDEX(LdCNote,$N1542)="","—",INDEX(LdCNote,$N1542)),""))))</f>
        <v/>
      </c>
      <c r="L1542">
        <f>IFERROR(MATCH($C$5&amp;"|"&amp;RIGHT("000000"&amp;1526,6),LdAKeyM,0),"")</f>
        <v/>
      </c>
      <c r="M1542">
        <f>IFERROR(MATCH($C$5&amp;"|"&amp;RIGHT("000000"&amp;1526,6),LdBKeyM,0),"")</f>
        <v/>
      </c>
      <c r="N1542">
        <f>IFERROR(MATCH($C$5&amp;"|"&amp;RIGHT("000000"&amp;1526,6),LdCKeyM,0),"")</f>
        <v/>
      </c>
    </row>
    <row r="1543">
      <c r="A1543" s="10" t="n">
        <v>1527</v>
      </c>
      <c r="B1543" s="14">
        <f>IF(AND($L1543="",$M1543="",$N1543=""),"",IF($L1543&lt;&gt;"",INDEX(LdADate,$L1543),IF($M1543&lt;&gt;"",INDEX(LdBDate,$M1543),INDEX(LdCDate,$N1543))))</f>
        <v/>
      </c>
      <c r="C1543" s="14">
        <f>IF($L1543&lt;&gt;"","دستمزد (فردی)",IF($M1543&lt;&gt;"","سهم از گروه "&amp;IFERROR(VLOOKUP(INDEX(LdBGroup,$M1543),WGTbl,2,0),INDEX(LdBGroup,$M1543)),IF($N1543&lt;&gt;"",IF(N(INDEX(LdCDep,$N1543))&gt;0,"بازگشت بانکی","پرداخت بانکی"),"")))</f>
        <v/>
      </c>
      <c r="D1543" s="14">
        <f>IF($L1543&lt;&gt;"",IF(INDEX(LdAId,$L1543)="","—",INDEX(LdAId,$L1543)),IF($M1543&lt;&gt;"",IF(INDEX(LdBId,$M1543)="","—",INDEX(LdBId,$M1543)),IF($N1543&lt;&gt;"",IF(INDEX(LdCBank,$N1543)="","—",INDEX(LdCBank,$N1543)),"")))</f>
        <v/>
      </c>
      <c r="E1543" s="16">
        <f>IF($L1543&lt;&gt;"",IF(INDEX(LdAAmt,$L1543)=0,"",INDEX(LdAAmt,$L1543)),IF($M1543&lt;&gt;"",IF(INDEX(LdBAmt,$M1543)=0,"",INDEX(LdBAmt,$M1543)),IF($N1543&lt;&gt;"",IF(INDEX(LdCDep,$N1543)=0,"",INDEX(LdCDep,$N1543)),"")))</f>
        <v/>
      </c>
      <c r="F1543" s="16">
        <f>IF(AND($L1543="",$M1543="",$N1543=""),"",IF($N1543="","",IF(INDEX(LdCWit,$N1543)=0,"",INDEX(LdCWit,$N1543))))</f>
        <v/>
      </c>
      <c r="G1543" s="29">
        <f>IF($B1543="","",IF($G1542="",0,$G1542)+IF($E1543="",0,$E1543)-IF($F1543="",0,$F1543))</f>
        <v/>
      </c>
      <c r="H1543" s="30">
        <f>IF(AND($L1543="",$M1543="",$N1543=""),"",IF($L1543&lt;&gt;"",IF(INDEX(LdANote,$L1543)="","—",INDEX(LdANote,$L1543)),IF($M1543&lt;&gt;"",IF(INDEX(LdBNote,$M1543)="","—",INDEX(LdBNote,$M1543)),IF($N1543&lt;&gt;"",IF(INDEX(LdCNote,$N1543)="","—",INDEX(LdCNote,$N1543)),""))))</f>
        <v/>
      </c>
      <c r="L1543">
        <f>IFERROR(MATCH($C$5&amp;"|"&amp;RIGHT("000000"&amp;1527,6),LdAKeyM,0),"")</f>
        <v/>
      </c>
      <c r="M1543">
        <f>IFERROR(MATCH($C$5&amp;"|"&amp;RIGHT("000000"&amp;1527,6),LdBKeyM,0),"")</f>
        <v/>
      </c>
      <c r="N1543">
        <f>IFERROR(MATCH($C$5&amp;"|"&amp;RIGHT("000000"&amp;1527,6),LdCKeyM,0),"")</f>
        <v/>
      </c>
    </row>
    <row r="1544">
      <c r="A1544" s="19" t="n">
        <v>1528</v>
      </c>
      <c r="B1544" s="20">
        <f>IF(AND($L1544="",$M1544="",$N1544=""),"",IF($L1544&lt;&gt;"",INDEX(LdADate,$L1544),IF($M1544&lt;&gt;"",INDEX(LdBDate,$M1544),INDEX(LdCDate,$N1544))))</f>
        <v/>
      </c>
      <c r="C1544" s="20">
        <f>IF($L1544&lt;&gt;"","دستمزد (فردی)",IF($M1544&lt;&gt;"","سهم از گروه "&amp;IFERROR(VLOOKUP(INDEX(LdBGroup,$M1544),WGTbl,2,0),INDEX(LdBGroup,$M1544)),IF($N1544&lt;&gt;"",IF(N(INDEX(LdCDep,$N1544))&gt;0,"بازگشت بانکی","پرداخت بانکی"),"")))</f>
        <v/>
      </c>
      <c r="D1544" s="20">
        <f>IF($L1544&lt;&gt;"",IF(INDEX(LdAId,$L1544)="","—",INDEX(LdAId,$L1544)),IF($M1544&lt;&gt;"",IF(INDEX(LdBId,$M1544)="","—",INDEX(LdBId,$M1544)),IF($N1544&lt;&gt;"",IF(INDEX(LdCBank,$N1544)="","—",INDEX(LdCBank,$N1544)),"")))</f>
        <v/>
      </c>
      <c r="E1544" s="21">
        <f>IF($L1544&lt;&gt;"",IF(INDEX(LdAAmt,$L1544)=0,"",INDEX(LdAAmt,$L1544)),IF($M1544&lt;&gt;"",IF(INDEX(LdBAmt,$M1544)=0,"",INDEX(LdBAmt,$M1544)),IF($N1544&lt;&gt;"",IF(INDEX(LdCDep,$N1544)=0,"",INDEX(LdCDep,$N1544)),"")))</f>
        <v/>
      </c>
      <c r="F1544" s="21">
        <f>IF(AND($L1544="",$M1544="",$N1544=""),"",IF($N1544="","",IF(INDEX(LdCWit,$N1544)=0,"",INDEX(LdCWit,$N1544))))</f>
        <v/>
      </c>
      <c r="G1544" s="31">
        <f>IF($B1544="","",IF($G1543="",0,$G1543)+IF($E1544="",0,$E1544)-IF($F1544="",0,$F1544))</f>
        <v/>
      </c>
      <c r="H1544" s="32">
        <f>IF(AND($L1544="",$M1544="",$N1544=""),"",IF($L1544&lt;&gt;"",IF(INDEX(LdANote,$L1544)="","—",INDEX(LdANote,$L1544)),IF($M1544&lt;&gt;"",IF(INDEX(LdBNote,$M1544)="","—",INDEX(LdBNote,$M1544)),IF($N1544&lt;&gt;"",IF(INDEX(LdCNote,$N1544)="","—",INDEX(LdCNote,$N1544)),""))))</f>
        <v/>
      </c>
      <c r="L1544">
        <f>IFERROR(MATCH($C$5&amp;"|"&amp;RIGHT("000000"&amp;1528,6),LdAKeyM,0),"")</f>
        <v/>
      </c>
      <c r="M1544">
        <f>IFERROR(MATCH($C$5&amp;"|"&amp;RIGHT("000000"&amp;1528,6),LdBKeyM,0),"")</f>
        <v/>
      </c>
      <c r="N1544">
        <f>IFERROR(MATCH($C$5&amp;"|"&amp;RIGHT("000000"&amp;1528,6),LdCKeyM,0),"")</f>
        <v/>
      </c>
    </row>
    <row r="1545">
      <c r="A1545" s="10" t="n">
        <v>1529</v>
      </c>
      <c r="B1545" s="14">
        <f>IF(AND($L1545="",$M1545="",$N1545=""),"",IF($L1545&lt;&gt;"",INDEX(LdADate,$L1545),IF($M1545&lt;&gt;"",INDEX(LdBDate,$M1545),INDEX(LdCDate,$N1545))))</f>
        <v/>
      </c>
      <c r="C1545" s="14">
        <f>IF($L1545&lt;&gt;"","دستمزد (فردی)",IF($M1545&lt;&gt;"","سهم از گروه "&amp;IFERROR(VLOOKUP(INDEX(LdBGroup,$M1545),WGTbl,2,0),INDEX(LdBGroup,$M1545)),IF($N1545&lt;&gt;"",IF(N(INDEX(LdCDep,$N1545))&gt;0,"بازگشت بانکی","پرداخت بانکی"),"")))</f>
        <v/>
      </c>
      <c r="D1545" s="14">
        <f>IF($L1545&lt;&gt;"",IF(INDEX(LdAId,$L1545)="","—",INDEX(LdAId,$L1545)),IF($M1545&lt;&gt;"",IF(INDEX(LdBId,$M1545)="","—",INDEX(LdBId,$M1545)),IF($N1545&lt;&gt;"",IF(INDEX(LdCBank,$N1545)="","—",INDEX(LdCBank,$N1545)),"")))</f>
        <v/>
      </c>
      <c r="E1545" s="16">
        <f>IF($L1545&lt;&gt;"",IF(INDEX(LdAAmt,$L1545)=0,"",INDEX(LdAAmt,$L1545)),IF($M1545&lt;&gt;"",IF(INDEX(LdBAmt,$M1545)=0,"",INDEX(LdBAmt,$M1545)),IF($N1545&lt;&gt;"",IF(INDEX(LdCDep,$N1545)=0,"",INDEX(LdCDep,$N1545)),"")))</f>
        <v/>
      </c>
      <c r="F1545" s="16">
        <f>IF(AND($L1545="",$M1545="",$N1545=""),"",IF($N1545="","",IF(INDEX(LdCWit,$N1545)=0,"",INDEX(LdCWit,$N1545))))</f>
        <v/>
      </c>
      <c r="G1545" s="29">
        <f>IF($B1545="","",IF($G1544="",0,$G1544)+IF($E1545="",0,$E1545)-IF($F1545="",0,$F1545))</f>
        <v/>
      </c>
      <c r="H1545" s="30">
        <f>IF(AND($L1545="",$M1545="",$N1545=""),"",IF($L1545&lt;&gt;"",IF(INDEX(LdANote,$L1545)="","—",INDEX(LdANote,$L1545)),IF($M1545&lt;&gt;"",IF(INDEX(LdBNote,$M1545)="","—",INDEX(LdBNote,$M1545)),IF($N1545&lt;&gt;"",IF(INDEX(LdCNote,$N1545)="","—",INDEX(LdCNote,$N1545)),""))))</f>
        <v/>
      </c>
      <c r="L1545">
        <f>IFERROR(MATCH($C$5&amp;"|"&amp;RIGHT("000000"&amp;1529,6),LdAKeyM,0),"")</f>
        <v/>
      </c>
      <c r="M1545">
        <f>IFERROR(MATCH($C$5&amp;"|"&amp;RIGHT("000000"&amp;1529,6),LdBKeyM,0),"")</f>
        <v/>
      </c>
      <c r="N1545">
        <f>IFERROR(MATCH($C$5&amp;"|"&amp;RIGHT("000000"&amp;1529,6),LdCKeyM,0),"")</f>
        <v/>
      </c>
    </row>
    <row r="1546">
      <c r="A1546" s="19" t="n">
        <v>1530</v>
      </c>
      <c r="B1546" s="20">
        <f>IF(AND($L1546="",$M1546="",$N1546=""),"",IF($L1546&lt;&gt;"",INDEX(LdADate,$L1546),IF($M1546&lt;&gt;"",INDEX(LdBDate,$M1546),INDEX(LdCDate,$N1546))))</f>
        <v/>
      </c>
      <c r="C1546" s="20">
        <f>IF($L1546&lt;&gt;"","دستمزد (فردی)",IF($M1546&lt;&gt;"","سهم از گروه "&amp;IFERROR(VLOOKUP(INDEX(LdBGroup,$M1546),WGTbl,2,0),INDEX(LdBGroup,$M1546)),IF($N1546&lt;&gt;"",IF(N(INDEX(LdCDep,$N1546))&gt;0,"بازگشت بانکی","پرداخت بانکی"),"")))</f>
        <v/>
      </c>
      <c r="D1546" s="20">
        <f>IF($L1546&lt;&gt;"",IF(INDEX(LdAId,$L1546)="","—",INDEX(LdAId,$L1546)),IF($M1546&lt;&gt;"",IF(INDEX(LdBId,$M1546)="","—",INDEX(LdBId,$M1546)),IF($N1546&lt;&gt;"",IF(INDEX(LdCBank,$N1546)="","—",INDEX(LdCBank,$N1546)),"")))</f>
        <v/>
      </c>
      <c r="E1546" s="21">
        <f>IF($L1546&lt;&gt;"",IF(INDEX(LdAAmt,$L1546)=0,"",INDEX(LdAAmt,$L1546)),IF($M1546&lt;&gt;"",IF(INDEX(LdBAmt,$M1546)=0,"",INDEX(LdBAmt,$M1546)),IF($N1546&lt;&gt;"",IF(INDEX(LdCDep,$N1546)=0,"",INDEX(LdCDep,$N1546)),"")))</f>
        <v/>
      </c>
      <c r="F1546" s="21">
        <f>IF(AND($L1546="",$M1546="",$N1546=""),"",IF($N1546="","",IF(INDEX(LdCWit,$N1546)=0,"",INDEX(LdCWit,$N1546))))</f>
        <v/>
      </c>
      <c r="G1546" s="31">
        <f>IF($B1546="","",IF($G1545="",0,$G1545)+IF($E1546="",0,$E1546)-IF($F1546="",0,$F1546))</f>
        <v/>
      </c>
      <c r="H1546" s="32">
        <f>IF(AND($L1546="",$M1546="",$N1546=""),"",IF($L1546&lt;&gt;"",IF(INDEX(LdANote,$L1546)="","—",INDEX(LdANote,$L1546)),IF($M1546&lt;&gt;"",IF(INDEX(LdBNote,$M1546)="","—",INDEX(LdBNote,$M1546)),IF($N1546&lt;&gt;"",IF(INDEX(LdCNote,$N1546)="","—",INDEX(LdCNote,$N1546)),""))))</f>
        <v/>
      </c>
      <c r="L1546">
        <f>IFERROR(MATCH($C$5&amp;"|"&amp;RIGHT("000000"&amp;1530,6),LdAKeyM,0),"")</f>
        <v/>
      </c>
      <c r="M1546">
        <f>IFERROR(MATCH($C$5&amp;"|"&amp;RIGHT("000000"&amp;1530,6),LdBKeyM,0),"")</f>
        <v/>
      </c>
      <c r="N1546">
        <f>IFERROR(MATCH($C$5&amp;"|"&amp;RIGHT("000000"&amp;1530,6),LdCKeyM,0),"")</f>
        <v/>
      </c>
    </row>
    <row r="1547">
      <c r="A1547" s="10" t="n">
        <v>1531</v>
      </c>
      <c r="B1547" s="14">
        <f>IF(AND($L1547="",$M1547="",$N1547=""),"",IF($L1547&lt;&gt;"",INDEX(LdADate,$L1547),IF($M1547&lt;&gt;"",INDEX(LdBDate,$M1547),INDEX(LdCDate,$N1547))))</f>
        <v/>
      </c>
      <c r="C1547" s="14">
        <f>IF($L1547&lt;&gt;"","دستمزد (فردی)",IF($M1547&lt;&gt;"","سهم از گروه "&amp;IFERROR(VLOOKUP(INDEX(LdBGroup,$M1547),WGTbl,2,0),INDEX(LdBGroup,$M1547)),IF($N1547&lt;&gt;"",IF(N(INDEX(LdCDep,$N1547))&gt;0,"بازگشت بانکی","پرداخت بانکی"),"")))</f>
        <v/>
      </c>
      <c r="D1547" s="14">
        <f>IF($L1547&lt;&gt;"",IF(INDEX(LdAId,$L1547)="","—",INDEX(LdAId,$L1547)),IF($M1547&lt;&gt;"",IF(INDEX(LdBId,$M1547)="","—",INDEX(LdBId,$M1547)),IF($N1547&lt;&gt;"",IF(INDEX(LdCBank,$N1547)="","—",INDEX(LdCBank,$N1547)),"")))</f>
        <v/>
      </c>
      <c r="E1547" s="16">
        <f>IF($L1547&lt;&gt;"",IF(INDEX(LdAAmt,$L1547)=0,"",INDEX(LdAAmt,$L1547)),IF($M1547&lt;&gt;"",IF(INDEX(LdBAmt,$M1547)=0,"",INDEX(LdBAmt,$M1547)),IF($N1547&lt;&gt;"",IF(INDEX(LdCDep,$N1547)=0,"",INDEX(LdCDep,$N1547)),"")))</f>
        <v/>
      </c>
      <c r="F1547" s="16">
        <f>IF(AND($L1547="",$M1547="",$N1547=""),"",IF($N1547="","",IF(INDEX(LdCWit,$N1547)=0,"",INDEX(LdCWit,$N1547))))</f>
        <v/>
      </c>
      <c r="G1547" s="29">
        <f>IF($B1547="","",IF($G1546="",0,$G1546)+IF($E1547="",0,$E1547)-IF($F1547="",0,$F1547))</f>
        <v/>
      </c>
      <c r="H1547" s="30">
        <f>IF(AND($L1547="",$M1547="",$N1547=""),"",IF($L1547&lt;&gt;"",IF(INDEX(LdANote,$L1547)="","—",INDEX(LdANote,$L1547)),IF($M1547&lt;&gt;"",IF(INDEX(LdBNote,$M1547)="","—",INDEX(LdBNote,$M1547)),IF($N1547&lt;&gt;"",IF(INDEX(LdCNote,$N1547)="","—",INDEX(LdCNote,$N1547)),""))))</f>
        <v/>
      </c>
      <c r="L1547">
        <f>IFERROR(MATCH($C$5&amp;"|"&amp;RIGHT("000000"&amp;1531,6),LdAKeyM,0),"")</f>
        <v/>
      </c>
      <c r="M1547">
        <f>IFERROR(MATCH($C$5&amp;"|"&amp;RIGHT("000000"&amp;1531,6),LdBKeyM,0),"")</f>
        <v/>
      </c>
      <c r="N1547">
        <f>IFERROR(MATCH($C$5&amp;"|"&amp;RIGHT("000000"&amp;1531,6),LdCKeyM,0),"")</f>
        <v/>
      </c>
    </row>
    <row r="1548">
      <c r="A1548" s="19" t="n">
        <v>1532</v>
      </c>
      <c r="B1548" s="20">
        <f>IF(AND($L1548="",$M1548="",$N1548=""),"",IF($L1548&lt;&gt;"",INDEX(LdADate,$L1548),IF($M1548&lt;&gt;"",INDEX(LdBDate,$M1548),INDEX(LdCDate,$N1548))))</f>
        <v/>
      </c>
      <c r="C1548" s="20">
        <f>IF($L1548&lt;&gt;"","دستمزد (فردی)",IF($M1548&lt;&gt;"","سهم از گروه "&amp;IFERROR(VLOOKUP(INDEX(LdBGroup,$M1548),WGTbl,2,0),INDEX(LdBGroup,$M1548)),IF($N1548&lt;&gt;"",IF(N(INDEX(LdCDep,$N1548))&gt;0,"بازگشت بانکی","پرداخت بانکی"),"")))</f>
        <v/>
      </c>
      <c r="D1548" s="20">
        <f>IF($L1548&lt;&gt;"",IF(INDEX(LdAId,$L1548)="","—",INDEX(LdAId,$L1548)),IF($M1548&lt;&gt;"",IF(INDEX(LdBId,$M1548)="","—",INDEX(LdBId,$M1548)),IF($N1548&lt;&gt;"",IF(INDEX(LdCBank,$N1548)="","—",INDEX(LdCBank,$N1548)),"")))</f>
        <v/>
      </c>
      <c r="E1548" s="21">
        <f>IF($L1548&lt;&gt;"",IF(INDEX(LdAAmt,$L1548)=0,"",INDEX(LdAAmt,$L1548)),IF($M1548&lt;&gt;"",IF(INDEX(LdBAmt,$M1548)=0,"",INDEX(LdBAmt,$M1548)),IF($N1548&lt;&gt;"",IF(INDEX(LdCDep,$N1548)=0,"",INDEX(LdCDep,$N1548)),"")))</f>
        <v/>
      </c>
      <c r="F1548" s="21">
        <f>IF(AND($L1548="",$M1548="",$N1548=""),"",IF($N1548="","",IF(INDEX(LdCWit,$N1548)=0,"",INDEX(LdCWit,$N1548))))</f>
        <v/>
      </c>
      <c r="G1548" s="31">
        <f>IF($B1548="","",IF($G1547="",0,$G1547)+IF($E1548="",0,$E1548)-IF($F1548="",0,$F1548))</f>
        <v/>
      </c>
      <c r="H1548" s="32">
        <f>IF(AND($L1548="",$M1548="",$N1548=""),"",IF($L1548&lt;&gt;"",IF(INDEX(LdANote,$L1548)="","—",INDEX(LdANote,$L1548)),IF($M1548&lt;&gt;"",IF(INDEX(LdBNote,$M1548)="","—",INDEX(LdBNote,$M1548)),IF($N1548&lt;&gt;"",IF(INDEX(LdCNote,$N1548)="","—",INDEX(LdCNote,$N1548)),""))))</f>
        <v/>
      </c>
      <c r="L1548">
        <f>IFERROR(MATCH($C$5&amp;"|"&amp;RIGHT("000000"&amp;1532,6),LdAKeyM,0),"")</f>
        <v/>
      </c>
      <c r="M1548">
        <f>IFERROR(MATCH($C$5&amp;"|"&amp;RIGHT("000000"&amp;1532,6),LdBKeyM,0),"")</f>
        <v/>
      </c>
      <c r="N1548">
        <f>IFERROR(MATCH($C$5&amp;"|"&amp;RIGHT("000000"&amp;1532,6),LdCKeyM,0),"")</f>
        <v/>
      </c>
    </row>
    <row r="1549">
      <c r="A1549" s="10" t="n">
        <v>1533</v>
      </c>
      <c r="B1549" s="14">
        <f>IF(AND($L1549="",$M1549="",$N1549=""),"",IF($L1549&lt;&gt;"",INDEX(LdADate,$L1549),IF($M1549&lt;&gt;"",INDEX(LdBDate,$M1549),INDEX(LdCDate,$N1549))))</f>
        <v/>
      </c>
      <c r="C1549" s="14">
        <f>IF($L1549&lt;&gt;"","دستمزد (فردی)",IF($M1549&lt;&gt;"","سهم از گروه "&amp;IFERROR(VLOOKUP(INDEX(LdBGroup,$M1549),WGTbl,2,0),INDEX(LdBGroup,$M1549)),IF($N1549&lt;&gt;"",IF(N(INDEX(LdCDep,$N1549))&gt;0,"بازگشت بانکی","پرداخت بانکی"),"")))</f>
        <v/>
      </c>
      <c r="D1549" s="14">
        <f>IF($L1549&lt;&gt;"",IF(INDEX(LdAId,$L1549)="","—",INDEX(LdAId,$L1549)),IF($M1549&lt;&gt;"",IF(INDEX(LdBId,$M1549)="","—",INDEX(LdBId,$M1549)),IF($N1549&lt;&gt;"",IF(INDEX(LdCBank,$N1549)="","—",INDEX(LdCBank,$N1549)),"")))</f>
        <v/>
      </c>
      <c r="E1549" s="16">
        <f>IF($L1549&lt;&gt;"",IF(INDEX(LdAAmt,$L1549)=0,"",INDEX(LdAAmt,$L1549)),IF($M1549&lt;&gt;"",IF(INDEX(LdBAmt,$M1549)=0,"",INDEX(LdBAmt,$M1549)),IF($N1549&lt;&gt;"",IF(INDEX(LdCDep,$N1549)=0,"",INDEX(LdCDep,$N1549)),"")))</f>
        <v/>
      </c>
      <c r="F1549" s="16">
        <f>IF(AND($L1549="",$M1549="",$N1549=""),"",IF($N1549="","",IF(INDEX(LdCWit,$N1549)=0,"",INDEX(LdCWit,$N1549))))</f>
        <v/>
      </c>
      <c r="G1549" s="29">
        <f>IF($B1549="","",IF($G1548="",0,$G1548)+IF($E1549="",0,$E1549)-IF($F1549="",0,$F1549))</f>
        <v/>
      </c>
      <c r="H1549" s="30">
        <f>IF(AND($L1549="",$M1549="",$N1549=""),"",IF($L1549&lt;&gt;"",IF(INDEX(LdANote,$L1549)="","—",INDEX(LdANote,$L1549)),IF($M1549&lt;&gt;"",IF(INDEX(LdBNote,$M1549)="","—",INDEX(LdBNote,$M1549)),IF($N1549&lt;&gt;"",IF(INDEX(LdCNote,$N1549)="","—",INDEX(LdCNote,$N1549)),""))))</f>
        <v/>
      </c>
      <c r="L1549">
        <f>IFERROR(MATCH($C$5&amp;"|"&amp;RIGHT("000000"&amp;1533,6),LdAKeyM,0),"")</f>
        <v/>
      </c>
      <c r="M1549">
        <f>IFERROR(MATCH($C$5&amp;"|"&amp;RIGHT("000000"&amp;1533,6),LdBKeyM,0),"")</f>
        <v/>
      </c>
      <c r="N1549">
        <f>IFERROR(MATCH($C$5&amp;"|"&amp;RIGHT("000000"&amp;1533,6),LdCKeyM,0),"")</f>
        <v/>
      </c>
    </row>
    <row r="1550">
      <c r="A1550" s="19" t="n">
        <v>1534</v>
      </c>
      <c r="B1550" s="20">
        <f>IF(AND($L1550="",$M1550="",$N1550=""),"",IF($L1550&lt;&gt;"",INDEX(LdADate,$L1550),IF($M1550&lt;&gt;"",INDEX(LdBDate,$M1550),INDEX(LdCDate,$N1550))))</f>
        <v/>
      </c>
      <c r="C1550" s="20">
        <f>IF($L1550&lt;&gt;"","دستمزد (فردی)",IF($M1550&lt;&gt;"","سهم از گروه "&amp;IFERROR(VLOOKUP(INDEX(LdBGroup,$M1550),WGTbl,2,0),INDEX(LdBGroup,$M1550)),IF($N1550&lt;&gt;"",IF(N(INDEX(LdCDep,$N1550))&gt;0,"بازگشت بانکی","پرداخت بانکی"),"")))</f>
        <v/>
      </c>
      <c r="D1550" s="20">
        <f>IF($L1550&lt;&gt;"",IF(INDEX(LdAId,$L1550)="","—",INDEX(LdAId,$L1550)),IF($M1550&lt;&gt;"",IF(INDEX(LdBId,$M1550)="","—",INDEX(LdBId,$M1550)),IF($N1550&lt;&gt;"",IF(INDEX(LdCBank,$N1550)="","—",INDEX(LdCBank,$N1550)),"")))</f>
        <v/>
      </c>
      <c r="E1550" s="21">
        <f>IF($L1550&lt;&gt;"",IF(INDEX(LdAAmt,$L1550)=0,"",INDEX(LdAAmt,$L1550)),IF($M1550&lt;&gt;"",IF(INDEX(LdBAmt,$M1550)=0,"",INDEX(LdBAmt,$M1550)),IF($N1550&lt;&gt;"",IF(INDEX(LdCDep,$N1550)=0,"",INDEX(LdCDep,$N1550)),"")))</f>
        <v/>
      </c>
      <c r="F1550" s="21">
        <f>IF(AND($L1550="",$M1550="",$N1550=""),"",IF($N1550="","",IF(INDEX(LdCWit,$N1550)=0,"",INDEX(LdCWit,$N1550))))</f>
        <v/>
      </c>
      <c r="G1550" s="31">
        <f>IF($B1550="","",IF($G1549="",0,$G1549)+IF($E1550="",0,$E1550)-IF($F1550="",0,$F1550))</f>
        <v/>
      </c>
      <c r="H1550" s="32">
        <f>IF(AND($L1550="",$M1550="",$N1550=""),"",IF($L1550&lt;&gt;"",IF(INDEX(LdANote,$L1550)="","—",INDEX(LdANote,$L1550)),IF($M1550&lt;&gt;"",IF(INDEX(LdBNote,$M1550)="","—",INDEX(LdBNote,$M1550)),IF($N1550&lt;&gt;"",IF(INDEX(LdCNote,$N1550)="","—",INDEX(LdCNote,$N1550)),""))))</f>
        <v/>
      </c>
      <c r="L1550">
        <f>IFERROR(MATCH($C$5&amp;"|"&amp;RIGHT("000000"&amp;1534,6),LdAKeyM,0),"")</f>
        <v/>
      </c>
      <c r="M1550">
        <f>IFERROR(MATCH($C$5&amp;"|"&amp;RIGHT("000000"&amp;1534,6),LdBKeyM,0),"")</f>
        <v/>
      </c>
      <c r="N1550">
        <f>IFERROR(MATCH($C$5&amp;"|"&amp;RIGHT("000000"&amp;1534,6),LdCKeyM,0),"")</f>
        <v/>
      </c>
    </row>
    <row r="1551">
      <c r="A1551" s="10" t="n">
        <v>1535</v>
      </c>
      <c r="B1551" s="14">
        <f>IF(AND($L1551="",$M1551="",$N1551=""),"",IF($L1551&lt;&gt;"",INDEX(LdADate,$L1551),IF($M1551&lt;&gt;"",INDEX(LdBDate,$M1551),INDEX(LdCDate,$N1551))))</f>
        <v/>
      </c>
      <c r="C1551" s="14">
        <f>IF($L1551&lt;&gt;"","دستمزد (فردی)",IF($M1551&lt;&gt;"","سهم از گروه "&amp;IFERROR(VLOOKUP(INDEX(LdBGroup,$M1551),WGTbl,2,0),INDEX(LdBGroup,$M1551)),IF($N1551&lt;&gt;"",IF(N(INDEX(LdCDep,$N1551))&gt;0,"بازگشت بانکی","پرداخت بانکی"),"")))</f>
        <v/>
      </c>
      <c r="D1551" s="14">
        <f>IF($L1551&lt;&gt;"",IF(INDEX(LdAId,$L1551)="","—",INDEX(LdAId,$L1551)),IF($M1551&lt;&gt;"",IF(INDEX(LdBId,$M1551)="","—",INDEX(LdBId,$M1551)),IF($N1551&lt;&gt;"",IF(INDEX(LdCBank,$N1551)="","—",INDEX(LdCBank,$N1551)),"")))</f>
        <v/>
      </c>
      <c r="E1551" s="16">
        <f>IF($L1551&lt;&gt;"",IF(INDEX(LdAAmt,$L1551)=0,"",INDEX(LdAAmt,$L1551)),IF($M1551&lt;&gt;"",IF(INDEX(LdBAmt,$M1551)=0,"",INDEX(LdBAmt,$M1551)),IF($N1551&lt;&gt;"",IF(INDEX(LdCDep,$N1551)=0,"",INDEX(LdCDep,$N1551)),"")))</f>
        <v/>
      </c>
      <c r="F1551" s="16">
        <f>IF(AND($L1551="",$M1551="",$N1551=""),"",IF($N1551="","",IF(INDEX(LdCWit,$N1551)=0,"",INDEX(LdCWit,$N1551))))</f>
        <v/>
      </c>
      <c r="G1551" s="29">
        <f>IF($B1551="","",IF($G1550="",0,$G1550)+IF($E1551="",0,$E1551)-IF($F1551="",0,$F1551))</f>
        <v/>
      </c>
      <c r="H1551" s="30">
        <f>IF(AND($L1551="",$M1551="",$N1551=""),"",IF($L1551&lt;&gt;"",IF(INDEX(LdANote,$L1551)="","—",INDEX(LdANote,$L1551)),IF($M1551&lt;&gt;"",IF(INDEX(LdBNote,$M1551)="","—",INDEX(LdBNote,$M1551)),IF($N1551&lt;&gt;"",IF(INDEX(LdCNote,$N1551)="","—",INDEX(LdCNote,$N1551)),""))))</f>
        <v/>
      </c>
      <c r="L1551">
        <f>IFERROR(MATCH($C$5&amp;"|"&amp;RIGHT("000000"&amp;1535,6),LdAKeyM,0),"")</f>
        <v/>
      </c>
      <c r="M1551">
        <f>IFERROR(MATCH($C$5&amp;"|"&amp;RIGHT("000000"&amp;1535,6),LdBKeyM,0),"")</f>
        <v/>
      </c>
      <c r="N1551">
        <f>IFERROR(MATCH($C$5&amp;"|"&amp;RIGHT("000000"&amp;1535,6),LdCKeyM,0),"")</f>
        <v/>
      </c>
    </row>
    <row r="1552">
      <c r="A1552" s="19" t="n">
        <v>1536</v>
      </c>
      <c r="B1552" s="20">
        <f>IF(AND($L1552="",$M1552="",$N1552=""),"",IF($L1552&lt;&gt;"",INDEX(LdADate,$L1552),IF($M1552&lt;&gt;"",INDEX(LdBDate,$M1552),INDEX(LdCDate,$N1552))))</f>
        <v/>
      </c>
      <c r="C1552" s="20">
        <f>IF($L1552&lt;&gt;"","دستمزد (فردی)",IF($M1552&lt;&gt;"","سهم از گروه "&amp;IFERROR(VLOOKUP(INDEX(LdBGroup,$M1552),WGTbl,2,0),INDEX(LdBGroup,$M1552)),IF($N1552&lt;&gt;"",IF(N(INDEX(LdCDep,$N1552))&gt;0,"بازگشت بانکی","پرداخت بانکی"),"")))</f>
        <v/>
      </c>
      <c r="D1552" s="20">
        <f>IF($L1552&lt;&gt;"",IF(INDEX(LdAId,$L1552)="","—",INDEX(LdAId,$L1552)),IF($M1552&lt;&gt;"",IF(INDEX(LdBId,$M1552)="","—",INDEX(LdBId,$M1552)),IF($N1552&lt;&gt;"",IF(INDEX(LdCBank,$N1552)="","—",INDEX(LdCBank,$N1552)),"")))</f>
        <v/>
      </c>
      <c r="E1552" s="21">
        <f>IF($L1552&lt;&gt;"",IF(INDEX(LdAAmt,$L1552)=0,"",INDEX(LdAAmt,$L1552)),IF($M1552&lt;&gt;"",IF(INDEX(LdBAmt,$M1552)=0,"",INDEX(LdBAmt,$M1552)),IF($N1552&lt;&gt;"",IF(INDEX(LdCDep,$N1552)=0,"",INDEX(LdCDep,$N1552)),"")))</f>
        <v/>
      </c>
      <c r="F1552" s="21">
        <f>IF(AND($L1552="",$M1552="",$N1552=""),"",IF($N1552="","",IF(INDEX(LdCWit,$N1552)=0,"",INDEX(LdCWit,$N1552))))</f>
        <v/>
      </c>
      <c r="G1552" s="31">
        <f>IF($B1552="","",IF($G1551="",0,$G1551)+IF($E1552="",0,$E1552)-IF($F1552="",0,$F1552))</f>
        <v/>
      </c>
      <c r="H1552" s="32">
        <f>IF(AND($L1552="",$M1552="",$N1552=""),"",IF($L1552&lt;&gt;"",IF(INDEX(LdANote,$L1552)="","—",INDEX(LdANote,$L1552)),IF($M1552&lt;&gt;"",IF(INDEX(LdBNote,$M1552)="","—",INDEX(LdBNote,$M1552)),IF($N1552&lt;&gt;"",IF(INDEX(LdCNote,$N1552)="","—",INDEX(LdCNote,$N1552)),""))))</f>
        <v/>
      </c>
      <c r="L1552">
        <f>IFERROR(MATCH($C$5&amp;"|"&amp;RIGHT("000000"&amp;1536,6),LdAKeyM,0),"")</f>
        <v/>
      </c>
      <c r="M1552">
        <f>IFERROR(MATCH($C$5&amp;"|"&amp;RIGHT("000000"&amp;1536,6),LdBKeyM,0),"")</f>
        <v/>
      </c>
      <c r="N1552">
        <f>IFERROR(MATCH($C$5&amp;"|"&amp;RIGHT("000000"&amp;1536,6),LdCKeyM,0),"")</f>
        <v/>
      </c>
    </row>
    <row r="1553">
      <c r="A1553" s="10" t="n">
        <v>1537</v>
      </c>
      <c r="B1553" s="14">
        <f>IF(AND($L1553="",$M1553="",$N1553=""),"",IF($L1553&lt;&gt;"",INDEX(LdADate,$L1553),IF($M1553&lt;&gt;"",INDEX(LdBDate,$M1553),INDEX(LdCDate,$N1553))))</f>
        <v/>
      </c>
      <c r="C1553" s="14">
        <f>IF($L1553&lt;&gt;"","دستمزد (فردی)",IF($M1553&lt;&gt;"","سهم از گروه "&amp;IFERROR(VLOOKUP(INDEX(LdBGroup,$M1553),WGTbl,2,0),INDEX(LdBGroup,$M1553)),IF($N1553&lt;&gt;"",IF(N(INDEX(LdCDep,$N1553))&gt;0,"بازگشت بانکی","پرداخت بانکی"),"")))</f>
        <v/>
      </c>
      <c r="D1553" s="14">
        <f>IF($L1553&lt;&gt;"",IF(INDEX(LdAId,$L1553)="","—",INDEX(LdAId,$L1553)),IF($M1553&lt;&gt;"",IF(INDEX(LdBId,$M1553)="","—",INDEX(LdBId,$M1553)),IF($N1553&lt;&gt;"",IF(INDEX(LdCBank,$N1553)="","—",INDEX(LdCBank,$N1553)),"")))</f>
        <v/>
      </c>
      <c r="E1553" s="16">
        <f>IF($L1553&lt;&gt;"",IF(INDEX(LdAAmt,$L1553)=0,"",INDEX(LdAAmt,$L1553)),IF($M1553&lt;&gt;"",IF(INDEX(LdBAmt,$M1553)=0,"",INDEX(LdBAmt,$M1553)),IF($N1553&lt;&gt;"",IF(INDEX(LdCDep,$N1553)=0,"",INDEX(LdCDep,$N1553)),"")))</f>
        <v/>
      </c>
      <c r="F1553" s="16">
        <f>IF(AND($L1553="",$M1553="",$N1553=""),"",IF($N1553="","",IF(INDEX(LdCWit,$N1553)=0,"",INDEX(LdCWit,$N1553))))</f>
        <v/>
      </c>
      <c r="G1553" s="29">
        <f>IF($B1553="","",IF($G1552="",0,$G1552)+IF($E1553="",0,$E1553)-IF($F1553="",0,$F1553))</f>
        <v/>
      </c>
      <c r="H1553" s="30">
        <f>IF(AND($L1553="",$M1553="",$N1553=""),"",IF($L1553&lt;&gt;"",IF(INDEX(LdANote,$L1553)="","—",INDEX(LdANote,$L1553)),IF($M1553&lt;&gt;"",IF(INDEX(LdBNote,$M1553)="","—",INDEX(LdBNote,$M1553)),IF($N1553&lt;&gt;"",IF(INDEX(LdCNote,$N1553)="","—",INDEX(LdCNote,$N1553)),""))))</f>
        <v/>
      </c>
      <c r="L1553">
        <f>IFERROR(MATCH($C$5&amp;"|"&amp;RIGHT("000000"&amp;1537,6),LdAKeyM,0),"")</f>
        <v/>
      </c>
      <c r="M1553">
        <f>IFERROR(MATCH($C$5&amp;"|"&amp;RIGHT("000000"&amp;1537,6),LdBKeyM,0),"")</f>
        <v/>
      </c>
      <c r="N1553">
        <f>IFERROR(MATCH($C$5&amp;"|"&amp;RIGHT("000000"&amp;1537,6),LdCKeyM,0),"")</f>
        <v/>
      </c>
    </row>
    <row r="1554">
      <c r="A1554" s="19" t="n">
        <v>1538</v>
      </c>
      <c r="B1554" s="20">
        <f>IF(AND($L1554="",$M1554="",$N1554=""),"",IF($L1554&lt;&gt;"",INDEX(LdADate,$L1554),IF($M1554&lt;&gt;"",INDEX(LdBDate,$M1554),INDEX(LdCDate,$N1554))))</f>
        <v/>
      </c>
      <c r="C1554" s="20">
        <f>IF($L1554&lt;&gt;"","دستمزد (فردی)",IF($M1554&lt;&gt;"","سهم از گروه "&amp;IFERROR(VLOOKUP(INDEX(LdBGroup,$M1554),WGTbl,2,0),INDEX(LdBGroup,$M1554)),IF($N1554&lt;&gt;"",IF(N(INDEX(LdCDep,$N1554))&gt;0,"بازگشت بانکی","پرداخت بانکی"),"")))</f>
        <v/>
      </c>
      <c r="D1554" s="20">
        <f>IF($L1554&lt;&gt;"",IF(INDEX(LdAId,$L1554)="","—",INDEX(LdAId,$L1554)),IF($M1554&lt;&gt;"",IF(INDEX(LdBId,$M1554)="","—",INDEX(LdBId,$M1554)),IF($N1554&lt;&gt;"",IF(INDEX(LdCBank,$N1554)="","—",INDEX(LdCBank,$N1554)),"")))</f>
        <v/>
      </c>
      <c r="E1554" s="21">
        <f>IF($L1554&lt;&gt;"",IF(INDEX(LdAAmt,$L1554)=0,"",INDEX(LdAAmt,$L1554)),IF($M1554&lt;&gt;"",IF(INDEX(LdBAmt,$M1554)=0,"",INDEX(LdBAmt,$M1554)),IF($N1554&lt;&gt;"",IF(INDEX(LdCDep,$N1554)=0,"",INDEX(LdCDep,$N1554)),"")))</f>
        <v/>
      </c>
      <c r="F1554" s="21">
        <f>IF(AND($L1554="",$M1554="",$N1554=""),"",IF($N1554="","",IF(INDEX(LdCWit,$N1554)=0,"",INDEX(LdCWit,$N1554))))</f>
        <v/>
      </c>
      <c r="G1554" s="31">
        <f>IF($B1554="","",IF($G1553="",0,$G1553)+IF($E1554="",0,$E1554)-IF($F1554="",0,$F1554))</f>
        <v/>
      </c>
      <c r="H1554" s="32">
        <f>IF(AND($L1554="",$M1554="",$N1554=""),"",IF($L1554&lt;&gt;"",IF(INDEX(LdANote,$L1554)="","—",INDEX(LdANote,$L1554)),IF($M1554&lt;&gt;"",IF(INDEX(LdBNote,$M1554)="","—",INDEX(LdBNote,$M1554)),IF($N1554&lt;&gt;"",IF(INDEX(LdCNote,$N1554)="","—",INDEX(LdCNote,$N1554)),""))))</f>
        <v/>
      </c>
      <c r="L1554">
        <f>IFERROR(MATCH($C$5&amp;"|"&amp;RIGHT("000000"&amp;1538,6),LdAKeyM,0),"")</f>
        <v/>
      </c>
      <c r="M1554">
        <f>IFERROR(MATCH($C$5&amp;"|"&amp;RIGHT("000000"&amp;1538,6),LdBKeyM,0),"")</f>
        <v/>
      </c>
      <c r="N1554">
        <f>IFERROR(MATCH($C$5&amp;"|"&amp;RIGHT("000000"&amp;1538,6),LdCKeyM,0),"")</f>
        <v/>
      </c>
    </row>
    <row r="1555">
      <c r="A1555" s="10" t="n">
        <v>1539</v>
      </c>
      <c r="B1555" s="14">
        <f>IF(AND($L1555="",$M1555="",$N1555=""),"",IF($L1555&lt;&gt;"",INDEX(LdADate,$L1555),IF($M1555&lt;&gt;"",INDEX(LdBDate,$M1555),INDEX(LdCDate,$N1555))))</f>
        <v/>
      </c>
      <c r="C1555" s="14">
        <f>IF($L1555&lt;&gt;"","دستمزد (فردی)",IF($M1555&lt;&gt;"","سهم از گروه "&amp;IFERROR(VLOOKUP(INDEX(LdBGroup,$M1555),WGTbl,2,0),INDEX(LdBGroup,$M1555)),IF($N1555&lt;&gt;"",IF(N(INDEX(LdCDep,$N1555))&gt;0,"بازگشت بانکی","پرداخت بانکی"),"")))</f>
        <v/>
      </c>
      <c r="D1555" s="14">
        <f>IF($L1555&lt;&gt;"",IF(INDEX(LdAId,$L1555)="","—",INDEX(LdAId,$L1555)),IF($M1555&lt;&gt;"",IF(INDEX(LdBId,$M1555)="","—",INDEX(LdBId,$M1555)),IF($N1555&lt;&gt;"",IF(INDEX(LdCBank,$N1555)="","—",INDEX(LdCBank,$N1555)),"")))</f>
        <v/>
      </c>
      <c r="E1555" s="16">
        <f>IF($L1555&lt;&gt;"",IF(INDEX(LdAAmt,$L1555)=0,"",INDEX(LdAAmt,$L1555)),IF($M1555&lt;&gt;"",IF(INDEX(LdBAmt,$M1555)=0,"",INDEX(LdBAmt,$M1555)),IF($N1555&lt;&gt;"",IF(INDEX(LdCDep,$N1555)=0,"",INDEX(LdCDep,$N1555)),"")))</f>
        <v/>
      </c>
      <c r="F1555" s="16">
        <f>IF(AND($L1555="",$M1555="",$N1555=""),"",IF($N1555="","",IF(INDEX(LdCWit,$N1555)=0,"",INDEX(LdCWit,$N1555))))</f>
        <v/>
      </c>
      <c r="G1555" s="29">
        <f>IF($B1555="","",IF($G1554="",0,$G1554)+IF($E1555="",0,$E1555)-IF($F1555="",0,$F1555))</f>
        <v/>
      </c>
      <c r="H1555" s="30">
        <f>IF(AND($L1555="",$M1555="",$N1555=""),"",IF($L1555&lt;&gt;"",IF(INDEX(LdANote,$L1555)="","—",INDEX(LdANote,$L1555)),IF($M1555&lt;&gt;"",IF(INDEX(LdBNote,$M1555)="","—",INDEX(LdBNote,$M1555)),IF($N1555&lt;&gt;"",IF(INDEX(LdCNote,$N1555)="","—",INDEX(LdCNote,$N1555)),""))))</f>
        <v/>
      </c>
      <c r="L1555">
        <f>IFERROR(MATCH($C$5&amp;"|"&amp;RIGHT("000000"&amp;1539,6),LdAKeyM,0),"")</f>
        <v/>
      </c>
      <c r="M1555">
        <f>IFERROR(MATCH($C$5&amp;"|"&amp;RIGHT("000000"&amp;1539,6),LdBKeyM,0),"")</f>
        <v/>
      </c>
      <c r="N1555">
        <f>IFERROR(MATCH($C$5&amp;"|"&amp;RIGHT("000000"&amp;1539,6),LdCKeyM,0),"")</f>
        <v/>
      </c>
    </row>
    <row r="1556">
      <c r="A1556" s="19" t="n">
        <v>1540</v>
      </c>
      <c r="B1556" s="20">
        <f>IF(AND($L1556="",$M1556="",$N1556=""),"",IF($L1556&lt;&gt;"",INDEX(LdADate,$L1556),IF($M1556&lt;&gt;"",INDEX(LdBDate,$M1556),INDEX(LdCDate,$N1556))))</f>
        <v/>
      </c>
      <c r="C1556" s="20">
        <f>IF($L1556&lt;&gt;"","دستمزد (فردی)",IF($M1556&lt;&gt;"","سهم از گروه "&amp;IFERROR(VLOOKUP(INDEX(LdBGroup,$M1556),WGTbl,2,0),INDEX(LdBGroup,$M1556)),IF($N1556&lt;&gt;"",IF(N(INDEX(LdCDep,$N1556))&gt;0,"بازگشت بانکی","پرداخت بانکی"),"")))</f>
        <v/>
      </c>
      <c r="D1556" s="20">
        <f>IF($L1556&lt;&gt;"",IF(INDEX(LdAId,$L1556)="","—",INDEX(LdAId,$L1556)),IF($M1556&lt;&gt;"",IF(INDEX(LdBId,$M1556)="","—",INDEX(LdBId,$M1556)),IF($N1556&lt;&gt;"",IF(INDEX(LdCBank,$N1556)="","—",INDEX(LdCBank,$N1556)),"")))</f>
        <v/>
      </c>
      <c r="E1556" s="21">
        <f>IF($L1556&lt;&gt;"",IF(INDEX(LdAAmt,$L1556)=0,"",INDEX(LdAAmt,$L1556)),IF($M1556&lt;&gt;"",IF(INDEX(LdBAmt,$M1556)=0,"",INDEX(LdBAmt,$M1556)),IF($N1556&lt;&gt;"",IF(INDEX(LdCDep,$N1556)=0,"",INDEX(LdCDep,$N1556)),"")))</f>
        <v/>
      </c>
      <c r="F1556" s="21">
        <f>IF(AND($L1556="",$M1556="",$N1556=""),"",IF($N1556="","",IF(INDEX(LdCWit,$N1556)=0,"",INDEX(LdCWit,$N1556))))</f>
        <v/>
      </c>
      <c r="G1556" s="31">
        <f>IF($B1556="","",IF($G1555="",0,$G1555)+IF($E1556="",0,$E1556)-IF($F1556="",0,$F1556))</f>
        <v/>
      </c>
      <c r="H1556" s="32">
        <f>IF(AND($L1556="",$M1556="",$N1556=""),"",IF($L1556&lt;&gt;"",IF(INDEX(LdANote,$L1556)="","—",INDEX(LdANote,$L1556)),IF($M1556&lt;&gt;"",IF(INDEX(LdBNote,$M1556)="","—",INDEX(LdBNote,$M1556)),IF($N1556&lt;&gt;"",IF(INDEX(LdCNote,$N1556)="","—",INDEX(LdCNote,$N1556)),""))))</f>
        <v/>
      </c>
      <c r="L1556">
        <f>IFERROR(MATCH($C$5&amp;"|"&amp;RIGHT("000000"&amp;1540,6),LdAKeyM,0),"")</f>
        <v/>
      </c>
      <c r="M1556">
        <f>IFERROR(MATCH($C$5&amp;"|"&amp;RIGHT("000000"&amp;1540,6),LdBKeyM,0),"")</f>
        <v/>
      </c>
      <c r="N1556">
        <f>IFERROR(MATCH($C$5&amp;"|"&amp;RIGHT("000000"&amp;1540,6),LdCKeyM,0),"")</f>
        <v/>
      </c>
    </row>
    <row r="1557">
      <c r="A1557" s="10" t="n">
        <v>1541</v>
      </c>
      <c r="B1557" s="14">
        <f>IF(AND($L1557="",$M1557="",$N1557=""),"",IF($L1557&lt;&gt;"",INDEX(LdADate,$L1557),IF($M1557&lt;&gt;"",INDEX(LdBDate,$M1557),INDEX(LdCDate,$N1557))))</f>
        <v/>
      </c>
      <c r="C1557" s="14">
        <f>IF($L1557&lt;&gt;"","دستمزد (فردی)",IF($M1557&lt;&gt;"","سهم از گروه "&amp;IFERROR(VLOOKUP(INDEX(LdBGroup,$M1557),WGTbl,2,0),INDEX(LdBGroup,$M1557)),IF($N1557&lt;&gt;"",IF(N(INDEX(LdCDep,$N1557))&gt;0,"بازگشت بانکی","پرداخت بانکی"),"")))</f>
        <v/>
      </c>
      <c r="D1557" s="14">
        <f>IF($L1557&lt;&gt;"",IF(INDEX(LdAId,$L1557)="","—",INDEX(LdAId,$L1557)),IF($M1557&lt;&gt;"",IF(INDEX(LdBId,$M1557)="","—",INDEX(LdBId,$M1557)),IF($N1557&lt;&gt;"",IF(INDEX(LdCBank,$N1557)="","—",INDEX(LdCBank,$N1557)),"")))</f>
        <v/>
      </c>
      <c r="E1557" s="16">
        <f>IF($L1557&lt;&gt;"",IF(INDEX(LdAAmt,$L1557)=0,"",INDEX(LdAAmt,$L1557)),IF($M1557&lt;&gt;"",IF(INDEX(LdBAmt,$M1557)=0,"",INDEX(LdBAmt,$M1557)),IF($N1557&lt;&gt;"",IF(INDEX(LdCDep,$N1557)=0,"",INDEX(LdCDep,$N1557)),"")))</f>
        <v/>
      </c>
      <c r="F1557" s="16">
        <f>IF(AND($L1557="",$M1557="",$N1557=""),"",IF($N1557="","",IF(INDEX(LdCWit,$N1557)=0,"",INDEX(LdCWit,$N1557))))</f>
        <v/>
      </c>
      <c r="G1557" s="29">
        <f>IF($B1557="","",IF($G1556="",0,$G1556)+IF($E1557="",0,$E1557)-IF($F1557="",0,$F1557))</f>
        <v/>
      </c>
      <c r="H1557" s="30">
        <f>IF(AND($L1557="",$M1557="",$N1557=""),"",IF($L1557&lt;&gt;"",IF(INDEX(LdANote,$L1557)="","—",INDEX(LdANote,$L1557)),IF($M1557&lt;&gt;"",IF(INDEX(LdBNote,$M1557)="","—",INDEX(LdBNote,$M1557)),IF($N1557&lt;&gt;"",IF(INDEX(LdCNote,$N1557)="","—",INDEX(LdCNote,$N1557)),""))))</f>
        <v/>
      </c>
      <c r="L1557">
        <f>IFERROR(MATCH($C$5&amp;"|"&amp;RIGHT("000000"&amp;1541,6),LdAKeyM,0),"")</f>
        <v/>
      </c>
      <c r="M1557">
        <f>IFERROR(MATCH($C$5&amp;"|"&amp;RIGHT("000000"&amp;1541,6),LdBKeyM,0),"")</f>
        <v/>
      </c>
      <c r="N1557">
        <f>IFERROR(MATCH($C$5&amp;"|"&amp;RIGHT("000000"&amp;1541,6),LdCKeyM,0),"")</f>
        <v/>
      </c>
    </row>
    <row r="1558">
      <c r="A1558" s="19" t="n">
        <v>1542</v>
      </c>
      <c r="B1558" s="20">
        <f>IF(AND($L1558="",$M1558="",$N1558=""),"",IF($L1558&lt;&gt;"",INDEX(LdADate,$L1558),IF($M1558&lt;&gt;"",INDEX(LdBDate,$M1558),INDEX(LdCDate,$N1558))))</f>
        <v/>
      </c>
      <c r="C1558" s="20">
        <f>IF($L1558&lt;&gt;"","دستمزد (فردی)",IF($M1558&lt;&gt;"","سهم از گروه "&amp;IFERROR(VLOOKUP(INDEX(LdBGroup,$M1558),WGTbl,2,0),INDEX(LdBGroup,$M1558)),IF($N1558&lt;&gt;"",IF(N(INDEX(LdCDep,$N1558))&gt;0,"بازگشت بانکی","پرداخت بانکی"),"")))</f>
        <v/>
      </c>
      <c r="D1558" s="20">
        <f>IF($L1558&lt;&gt;"",IF(INDEX(LdAId,$L1558)="","—",INDEX(LdAId,$L1558)),IF($M1558&lt;&gt;"",IF(INDEX(LdBId,$M1558)="","—",INDEX(LdBId,$M1558)),IF($N1558&lt;&gt;"",IF(INDEX(LdCBank,$N1558)="","—",INDEX(LdCBank,$N1558)),"")))</f>
        <v/>
      </c>
      <c r="E1558" s="21">
        <f>IF($L1558&lt;&gt;"",IF(INDEX(LdAAmt,$L1558)=0,"",INDEX(LdAAmt,$L1558)),IF($M1558&lt;&gt;"",IF(INDEX(LdBAmt,$M1558)=0,"",INDEX(LdBAmt,$M1558)),IF($N1558&lt;&gt;"",IF(INDEX(LdCDep,$N1558)=0,"",INDEX(LdCDep,$N1558)),"")))</f>
        <v/>
      </c>
      <c r="F1558" s="21">
        <f>IF(AND($L1558="",$M1558="",$N1558=""),"",IF($N1558="","",IF(INDEX(LdCWit,$N1558)=0,"",INDEX(LdCWit,$N1558))))</f>
        <v/>
      </c>
      <c r="G1558" s="31">
        <f>IF($B1558="","",IF($G1557="",0,$G1557)+IF($E1558="",0,$E1558)-IF($F1558="",0,$F1558))</f>
        <v/>
      </c>
      <c r="H1558" s="32">
        <f>IF(AND($L1558="",$M1558="",$N1558=""),"",IF($L1558&lt;&gt;"",IF(INDEX(LdANote,$L1558)="","—",INDEX(LdANote,$L1558)),IF($M1558&lt;&gt;"",IF(INDEX(LdBNote,$M1558)="","—",INDEX(LdBNote,$M1558)),IF($N1558&lt;&gt;"",IF(INDEX(LdCNote,$N1558)="","—",INDEX(LdCNote,$N1558)),""))))</f>
        <v/>
      </c>
      <c r="L1558">
        <f>IFERROR(MATCH($C$5&amp;"|"&amp;RIGHT("000000"&amp;1542,6),LdAKeyM,0),"")</f>
        <v/>
      </c>
      <c r="M1558">
        <f>IFERROR(MATCH($C$5&amp;"|"&amp;RIGHT("000000"&amp;1542,6),LdBKeyM,0),"")</f>
        <v/>
      </c>
      <c r="N1558">
        <f>IFERROR(MATCH($C$5&amp;"|"&amp;RIGHT("000000"&amp;1542,6),LdCKeyM,0),"")</f>
        <v/>
      </c>
    </row>
    <row r="1559">
      <c r="A1559" s="10" t="n">
        <v>1543</v>
      </c>
      <c r="B1559" s="14">
        <f>IF(AND($L1559="",$M1559="",$N1559=""),"",IF($L1559&lt;&gt;"",INDEX(LdADate,$L1559),IF($M1559&lt;&gt;"",INDEX(LdBDate,$M1559),INDEX(LdCDate,$N1559))))</f>
        <v/>
      </c>
      <c r="C1559" s="14">
        <f>IF($L1559&lt;&gt;"","دستمزد (فردی)",IF($M1559&lt;&gt;"","سهم از گروه "&amp;IFERROR(VLOOKUP(INDEX(LdBGroup,$M1559),WGTbl,2,0),INDEX(LdBGroup,$M1559)),IF($N1559&lt;&gt;"",IF(N(INDEX(LdCDep,$N1559))&gt;0,"بازگشت بانکی","پرداخت بانکی"),"")))</f>
        <v/>
      </c>
      <c r="D1559" s="14">
        <f>IF($L1559&lt;&gt;"",IF(INDEX(LdAId,$L1559)="","—",INDEX(LdAId,$L1559)),IF($M1559&lt;&gt;"",IF(INDEX(LdBId,$M1559)="","—",INDEX(LdBId,$M1559)),IF($N1559&lt;&gt;"",IF(INDEX(LdCBank,$N1559)="","—",INDEX(LdCBank,$N1559)),"")))</f>
        <v/>
      </c>
      <c r="E1559" s="16">
        <f>IF($L1559&lt;&gt;"",IF(INDEX(LdAAmt,$L1559)=0,"",INDEX(LdAAmt,$L1559)),IF($M1559&lt;&gt;"",IF(INDEX(LdBAmt,$M1559)=0,"",INDEX(LdBAmt,$M1559)),IF($N1559&lt;&gt;"",IF(INDEX(LdCDep,$N1559)=0,"",INDEX(LdCDep,$N1559)),"")))</f>
        <v/>
      </c>
      <c r="F1559" s="16">
        <f>IF(AND($L1559="",$M1559="",$N1559=""),"",IF($N1559="","",IF(INDEX(LdCWit,$N1559)=0,"",INDEX(LdCWit,$N1559))))</f>
        <v/>
      </c>
      <c r="G1559" s="29">
        <f>IF($B1559="","",IF($G1558="",0,$G1558)+IF($E1559="",0,$E1559)-IF($F1559="",0,$F1559))</f>
        <v/>
      </c>
      <c r="H1559" s="30">
        <f>IF(AND($L1559="",$M1559="",$N1559=""),"",IF($L1559&lt;&gt;"",IF(INDEX(LdANote,$L1559)="","—",INDEX(LdANote,$L1559)),IF($M1559&lt;&gt;"",IF(INDEX(LdBNote,$M1559)="","—",INDEX(LdBNote,$M1559)),IF($N1559&lt;&gt;"",IF(INDEX(LdCNote,$N1559)="","—",INDEX(LdCNote,$N1559)),""))))</f>
        <v/>
      </c>
      <c r="L1559">
        <f>IFERROR(MATCH($C$5&amp;"|"&amp;RIGHT("000000"&amp;1543,6),LdAKeyM,0),"")</f>
        <v/>
      </c>
      <c r="M1559">
        <f>IFERROR(MATCH($C$5&amp;"|"&amp;RIGHT("000000"&amp;1543,6),LdBKeyM,0),"")</f>
        <v/>
      </c>
      <c r="N1559">
        <f>IFERROR(MATCH($C$5&amp;"|"&amp;RIGHT("000000"&amp;1543,6),LdCKeyM,0),"")</f>
        <v/>
      </c>
    </row>
    <row r="1560">
      <c r="A1560" s="19" t="n">
        <v>1544</v>
      </c>
      <c r="B1560" s="20">
        <f>IF(AND($L1560="",$M1560="",$N1560=""),"",IF($L1560&lt;&gt;"",INDEX(LdADate,$L1560),IF($M1560&lt;&gt;"",INDEX(LdBDate,$M1560),INDEX(LdCDate,$N1560))))</f>
        <v/>
      </c>
      <c r="C1560" s="20">
        <f>IF($L1560&lt;&gt;"","دستمزد (فردی)",IF($M1560&lt;&gt;"","سهم از گروه "&amp;IFERROR(VLOOKUP(INDEX(LdBGroup,$M1560),WGTbl,2,0),INDEX(LdBGroup,$M1560)),IF($N1560&lt;&gt;"",IF(N(INDEX(LdCDep,$N1560))&gt;0,"بازگشت بانکی","پرداخت بانکی"),"")))</f>
        <v/>
      </c>
      <c r="D1560" s="20">
        <f>IF($L1560&lt;&gt;"",IF(INDEX(LdAId,$L1560)="","—",INDEX(LdAId,$L1560)),IF($M1560&lt;&gt;"",IF(INDEX(LdBId,$M1560)="","—",INDEX(LdBId,$M1560)),IF($N1560&lt;&gt;"",IF(INDEX(LdCBank,$N1560)="","—",INDEX(LdCBank,$N1560)),"")))</f>
        <v/>
      </c>
      <c r="E1560" s="21">
        <f>IF($L1560&lt;&gt;"",IF(INDEX(LdAAmt,$L1560)=0,"",INDEX(LdAAmt,$L1560)),IF($M1560&lt;&gt;"",IF(INDEX(LdBAmt,$M1560)=0,"",INDEX(LdBAmt,$M1560)),IF($N1560&lt;&gt;"",IF(INDEX(LdCDep,$N1560)=0,"",INDEX(LdCDep,$N1560)),"")))</f>
        <v/>
      </c>
      <c r="F1560" s="21">
        <f>IF(AND($L1560="",$M1560="",$N1560=""),"",IF($N1560="","",IF(INDEX(LdCWit,$N1560)=0,"",INDEX(LdCWit,$N1560))))</f>
        <v/>
      </c>
      <c r="G1560" s="31">
        <f>IF($B1560="","",IF($G1559="",0,$G1559)+IF($E1560="",0,$E1560)-IF($F1560="",0,$F1560))</f>
        <v/>
      </c>
      <c r="H1560" s="32">
        <f>IF(AND($L1560="",$M1560="",$N1560=""),"",IF($L1560&lt;&gt;"",IF(INDEX(LdANote,$L1560)="","—",INDEX(LdANote,$L1560)),IF($M1560&lt;&gt;"",IF(INDEX(LdBNote,$M1560)="","—",INDEX(LdBNote,$M1560)),IF($N1560&lt;&gt;"",IF(INDEX(LdCNote,$N1560)="","—",INDEX(LdCNote,$N1560)),""))))</f>
        <v/>
      </c>
      <c r="L1560">
        <f>IFERROR(MATCH($C$5&amp;"|"&amp;RIGHT("000000"&amp;1544,6),LdAKeyM,0),"")</f>
        <v/>
      </c>
      <c r="M1560">
        <f>IFERROR(MATCH($C$5&amp;"|"&amp;RIGHT("000000"&amp;1544,6),LdBKeyM,0),"")</f>
        <v/>
      </c>
      <c r="N1560">
        <f>IFERROR(MATCH($C$5&amp;"|"&amp;RIGHT("000000"&amp;1544,6),LdCKeyM,0),"")</f>
        <v/>
      </c>
    </row>
    <row r="1561">
      <c r="A1561" s="10" t="n">
        <v>1545</v>
      </c>
      <c r="B1561" s="14">
        <f>IF(AND($L1561="",$M1561="",$N1561=""),"",IF($L1561&lt;&gt;"",INDEX(LdADate,$L1561),IF($M1561&lt;&gt;"",INDEX(LdBDate,$M1561),INDEX(LdCDate,$N1561))))</f>
        <v/>
      </c>
      <c r="C1561" s="14">
        <f>IF($L1561&lt;&gt;"","دستمزد (فردی)",IF($M1561&lt;&gt;"","سهم از گروه "&amp;IFERROR(VLOOKUP(INDEX(LdBGroup,$M1561),WGTbl,2,0),INDEX(LdBGroup,$M1561)),IF($N1561&lt;&gt;"",IF(N(INDEX(LdCDep,$N1561))&gt;0,"بازگشت بانکی","پرداخت بانکی"),"")))</f>
        <v/>
      </c>
      <c r="D1561" s="14">
        <f>IF($L1561&lt;&gt;"",IF(INDEX(LdAId,$L1561)="","—",INDEX(LdAId,$L1561)),IF($M1561&lt;&gt;"",IF(INDEX(LdBId,$M1561)="","—",INDEX(LdBId,$M1561)),IF($N1561&lt;&gt;"",IF(INDEX(LdCBank,$N1561)="","—",INDEX(LdCBank,$N1561)),"")))</f>
        <v/>
      </c>
      <c r="E1561" s="16">
        <f>IF($L1561&lt;&gt;"",IF(INDEX(LdAAmt,$L1561)=0,"",INDEX(LdAAmt,$L1561)),IF($M1561&lt;&gt;"",IF(INDEX(LdBAmt,$M1561)=0,"",INDEX(LdBAmt,$M1561)),IF($N1561&lt;&gt;"",IF(INDEX(LdCDep,$N1561)=0,"",INDEX(LdCDep,$N1561)),"")))</f>
        <v/>
      </c>
      <c r="F1561" s="16">
        <f>IF(AND($L1561="",$M1561="",$N1561=""),"",IF($N1561="","",IF(INDEX(LdCWit,$N1561)=0,"",INDEX(LdCWit,$N1561))))</f>
        <v/>
      </c>
      <c r="G1561" s="29">
        <f>IF($B1561="","",IF($G1560="",0,$G1560)+IF($E1561="",0,$E1561)-IF($F1561="",0,$F1561))</f>
        <v/>
      </c>
      <c r="H1561" s="30">
        <f>IF(AND($L1561="",$M1561="",$N1561=""),"",IF($L1561&lt;&gt;"",IF(INDEX(LdANote,$L1561)="","—",INDEX(LdANote,$L1561)),IF($M1561&lt;&gt;"",IF(INDEX(LdBNote,$M1561)="","—",INDEX(LdBNote,$M1561)),IF($N1561&lt;&gt;"",IF(INDEX(LdCNote,$N1561)="","—",INDEX(LdCNote,$N1561)),""))))</f>
        <v/>
      </c>
      <c r="L1561">
        <f>IFERROR(MATCH($C$5&amp;"|"&amp;RIGHT("000000"&amp;1545,6),LdAKeyM,0),"")</f>
        <v/>
      </c>
      <c r="M1561">
        <f>IFERROR(MATCH($C$5&amp;"|"&amp;RIGHT("000000"&amp;1545,6),LdBKeyM,0),"")</f>
        <v/>
      </c>
      <c r="N1561">
        <f>IFERROR(MATCH($C$5&amp;"|"&amp;RIGHT("000000"&amp;1545,6),LdCKeyM,0),"")</f>
        <v/>
      </c>
    </row>
    <row r="1562">
      <c r="A1562" s="19" t="n">
        <v>1546</v>
      </c>
      <c r="B1562" s="20">
        <f>IF(AND($L1562="",$M1562="",$N1562=""),"",IF($L1562&lt;&gt;"",INDEX(LdADate,$L1562),IF($M1562&lt;&gt;"",INDEX(LdBDate,$M1562),INDEX(LdCDate,$N1562))))</f>
        <v/>
      </c>
      <c r="C1562" s="20">
        <f>IF($L1562&lt;&gt;"","دستمزد (فردی)",IF($M1562&lt;&gt;"","سهم از گروه "&amp;IFERROR(VLOOKUP(INDEX(LdBGroup,$M1562),WGTbl,2,0),INDEX(LdBGroup,$M1562)),IF($N1562&lt;&gt;"",IF(N(INDEX(LdCDep,$N1562))&gt;0,"بازگشت بانکی","پرداخت بانکی"),"")))</f>
        <v/>
      </c>
      <c r="D1562" s="20">
        <f>IF($L1562&lt;&gt;"",IF(INDEX(LdAId,$L1562)="","—",INDEX(LdAId,$L1562)),IF($M1562&lt;&gt;"",IF(INDEX(LdBId,$M1562)="","—",INDEX(LdBId,$M1562)),IF($N1562&lt;&gt;"",IF(INDEX(LdCBank,$N1562)="","—",INDEX(LdCBank,$N1562)),"")))</f>
        <v/>
      </c>
      <c r="E1562" s="21">
        <f>IF($L1562&lt;&gt;"",IF(INDEX(LdAAmt,$L1562)=0,"",INDEX(LdAAmt,$L1562)),IF($M1562&lt;&gt;"",IF(INDEX(LdBAmt,$M1562)=0,"",INDEX(LdBAmt,$M1562)),IF($N1562&lt;&gt;"",IF(INDEX(LdCDep,$N1562)=0,"",INDEX(LdCDep,$N1562)),"")))</f>
        <v/>
      </c>
      <c r="F1562" s="21">
        <f>IF(AND($L1562="",$M1562="",$N1562=""),"",IF($N1562="","",IF(INDEX(LdCWit,$N1562)=0,"",INDEX(LdCWit,$N1562))))</f>
        <v/>
      </c>
      <c r="G1562" s="31">
        <f>IF($B1562="","",IF($G1561="",0,$G1561)+IF($E1562="",0,$E1562)-IF($F1562="",0,$F1562))</f>
        <v/>
      </c>
      <c r="H1562" s="32">
        <f>IF(AND($L1562="",$M1562="",$N1562=""),"",IF($L1562&lt;&gt;"",IF(INDEX(LdANote,$L1562)="","—",INDEX(LdANote,$L1562)),IF($M1562&lt;&gt;"",IF(INDEX(LdBNote,$M1562)="","—",INDEX(LdBNote,$M1562)),IF($N1562&lt;&gt;"",IF(INDEX(LdCNote,$N1562)="","—",INDEX(LdCNote,$N1562)),""))))</f>
        <v/>
      </c>
      <c r="L1562">
        <f>IFERROR(MATCH($C$5&amp;"|"&amp;RIGHT("000000"&amp;1546,6),LdAKeyM,0),"")</f>
        <v/>
      </c>
      <c r="M1562">
        <f>IFERROR(MATCH($C$5&amp;"|"&amp;RIGHT("000000"&amp;1546,6),LdBKeyM,0),"")</f>
        <v/>
      </c>
      <c r="N1562">
        <f>IFERROR(MATCH($C$5&amp;"|"&amp;RIGHT("000000"&amp;1546,6),LdCKeyM,0),"")</f>
        <v/>
      </c>
    </row>
    <row r="1563">
      <c r="A1563" s="10" t="n">
        <v>1547</v>
      </c>
      <c r="B1563" s="14">
        <f>IF(AND($L1563="",$M1563="",$N1563=""),"",IF($L1563&lt;&gt;"",INDEX(LdADate,$L1563),IF($M1563&lt;&gt;"",INDEX(LdBDate,$M1563),INDEX(LdCDate,$N1563))))</f>
        <v/>
      </c>
      <c r="C1563" s="14">
        <f>IF($L1563&lt;&gt;"","دستمزد (فردی)",IF($M1563&lt;&gt;"","سهم از گروه "&amp;IFERROR(VLOOKUP(INDEX(LdBGroup,$M1563),WGTbl,2,0),INDEX(LdBGroup,$M1563)),IF($N1563&lt;&gt;"",IF(N(INDEX(LdCDep,$N1563))&gt;0,"بازگشت بانکی","پرداخت بانکی"),"")))</f>
        <v/>
      </c>
      <c r="D1563" s="14">
        <f>IF($L1563&lt;&gt;"",IF(INDEX(LdAId,$L1563)="","—",INDEX(LdAId,$L1563)),IF($M1563&lt;&gt;"",IF(INDEX(LdBId,$M1563)="","—",INDEX(LdBId,$M1563)),IF($N1563&lt;&gt;"",IF(INDEX(LdCBank,$N1563)="","—",INDEX(LdCBank,$N1563)),"")))</f>
        <v/>
      </c>
      <c r="E1563" s="16">
        <f>IF($L1563&lt;&gt;"",IF(INDEX(LdAAmt,$L1563)=0,"",INDEX(LdAAmt,$L1563)),IF($M1563&lt;&gt;"",IF(INDEX(LdBAmt,$M1563)=0,"",INDEX(LdBAmt,$M1563)),IF($N1563&lt;&gt;"",IF(INDEX(LdCDep,$N1563)=0,"",INDEX(LdCDep,$N1563)),"")))</f>
        <v/>
      </c>
      <c r="F1563" s="16">
        <f>IF(AND($L1563="",$M1563="",$N1563=""),"",IF($N1563="","",IF(INDEX(LdCWit,$N1563)=0,"",INDEX(LdCWit,$N1563))))</f>
        <v/>
      </c>
      <c r="G1563" s="29">
        <f>IF($B1563="","",IF($G1562="",0,$G1562)+IF($E1563="",0,$E1563)-IF($F1563="",0,$F1563))</f>
        <v/>
      </c>
      <c r="H1563" s="30">
        <f>IF(AND($L1563="",$M1563="",$N1563=""),"",IF($L1563&lt;&gt;"",IF(INDEX(LdANote,$L1563)="","—",INDEX(LdANote,$L1563)),IF($M1563&lt;&gt;"",IF(INDEX(LdBNote,$M1563)="","—",INDEX(LdBNote,$M1563)),IF($N1563&lt;&gt;"",IF(INDEX(LdCNote,$N1563)="","—",INDEX(LdCNote,$N1563)),""))))</f>
        <v/>
      </c>
      <c r="L1563">
        <f>IFERROR(MATCH($C$5&amp;"|"&amp;RIGHT("000000"&amp;1547,6),LdAKeyM,0),"")</f>
        <v/>
      </c>
      <c r="M1563">
        <f>IFERROR(MATCH($C$5&amp;"|"&amp;RIGHT("000000"&amp;1547,6),LdBKeyM,0),"")</f>
        <v/>
      </c>
      <c r="N1563">
        <f>IFERROR(MATCH($C$5&amp;"|"&amp;RIGHT("000000"&amp;1547,6),LdCKeyM,0),"")</f>
        <v/>
      </c>
    </row>
    <row r="1564">
      <c r="A1564" s="19" t="n">
        <v>1548</v>
      </c>
      <c r="B1564" s="20">
        <f>IF(AND($L1564="",$M1564="",$N1564=""),"",IF($L1564&lt;&gt;"",INDEX(LdADate,$L1564),IF($M1564&lt;&gt;"",INDEX(LdBDate,$M1564),INDEX(LdCDate,$N1564))))</f>
        <v/>
      </c>
      <c r="C1564" s="20">
        <f>IF($L1564&lt;&gt;"","دستمزد (فردی)",IF($M1564&lt;&gt;"","سهم از گروه "&amp;IFERROR(VLOOKUP(INDEX(LdBGroup,$M1564),WGTbl,2,0),INDEX(LdBGroup,$M1564)),IF($N1564&lt;&gt;"",IF(N(INDEX(LdCDep,$N1564))&gt;0,"بازگشت بانکی","پرداخت بانکی"),"")))</f>
        <v/>
      </c>
      <c r="D1564" s="20">
        <f>IF($L1564&lt;&gt;"",IF(INDEX(LdAId,$L1564)="","—",INDEX(LdAId,$L1564)),IF($M1564&lt;&gt;"",IF(INDEX(LdBId,$M1564)="","—",INDEX(LdBId,$M1564)),IF($N1564&lt;&gt;"",IF(INDEX(LdCBank,$N1564)="","—",INDEX(LdCBank,$N1564)),"")))</f>
        <v/>
      </c>
      <c r="E1564" s="21">
        <f>IF($L1564&lt;&gt;"",IF(INDEX(LdAAmt,$L1564)=0,"",INDEX(LdAAmt,$L1564)),IF($M1564&lt;&gt;"",IF(INDEX(LdBAmt,$M1564)=0,"",INDEX(LdBAmt,$M1564)),IF($N1564&lt;&gt;"",IF(INDEX(LdCDep,$N1564)=0,"",INDEX(LdCDep,$N1564)),"")))</f>
        <v/>
      </c>
      <c r="F1564" s="21">
        <f>IF(AND($L1564="",$M1564="",$N1564=""),"",IF($N1564="","",IF(INDEX(LdCWit,$N1564)=0,"",INDEX(LdCWit,$N1564))))</f>
        <v/>
      </c>
      <c r="G1564" s="31">
        <f>IF($B1564="","",IF($G1563="",0,$G1563)+IF($E1564="",0,$E1564)-IF($F1564="",0,$F1564))</f>
        <v/>
      </c>
      <c r="H1564" s="32">
        <f>IF(AND($L1564="",$M1564="",$N1564=""),"",IF($L1564&lt;&gt;"",IF(INDEX(LdANote,$L1564)="","—",INDEX(LdANote,$L1564)),IF($M1564&lt;&gt;"",IF(INDEX(LdBNote,$M1564)="","—",INDEX(LdBNote,$M1564)),IF($N1564&lt;&gt;"",IF(INDEX(LdCNote,$N1564)="","—",INDEX(LdCNote,$N1564)),""))))</f>
        <v/>
      </c>
      <c r="L1564">
        <f>IFERROR(MATCH($C$5&amp;"|"&amp;RIGHT("000000"&amp;1548,6),LdAKeyM,0),"")</f>
        <v/>
      </c>
      <c r="M1564">
        <f>IFERROR(MATCH($C$5&amp;"|"&amp;RIGHT("000000"&amp;1548,6),LdBKeyM,0),"")</f>
        <v/>
      </c>
      <c r="N1564">
        <f>IFERROR(MATCH($C$5&amp;"|"&amp;RIGHT("000000"&amp;1548,6),LdCKeyM,0),"")</f>
        <v/>
      </c>
    </row>
    <row r="1565">
      <c r="A1565" s="10" t="n">
        <v>1549</v>
      </c>
      <c r="B1565" s="14">
        <f>IF(AND($L1565="",$M1565="",$N1565=""),"",IF($L1565&lt;&gt;"",INDEX(LdADate,$L1565),IF($M1565&lt;&gt;"",INDEX(LdBDate,$M1565),INDEX(LdCDate,$N1565))))</f>
        <v/>
      </c>
      <c r="C1565" s="14">
        <f>IF($L1565&lt;&gt;"","دستمزد (فردی)",IF($M1565&lt;&gt;"","سهم از گروه "&amp;IFERROR(VLOOKUP(INDEX(LdBGroup,$M1565),WGTbl,2,0),INDEX(LdBGroup,$M1565)),IF($N1565&lt;&gt;"",IF(N(INDEX(LdCDep,$N1565))&gt;0,"بازگشت بانکی","پرداخت بانکی"),"")))</f>
        <v/>
      </c>
      <c r="D1565" s="14">
        <f>IF($L1565&lt;&gt;"",IF(INDEX(LdAId,$L1565)="","—",INDEX(LdAId,$L1565)),IF($M1565&lt;&gt;"",IF(INDEX(LdBId,$M1565)="","—",INDEX(LdBId,$M1565)),IF($N1565&lt;&gt;"",IF(INDEX(LdCBank,$N1565)="","—",INDEX(LdCBank,$N1565)),"")))</f>
        <v/>
      </c>
      <c r="E1565" s="16">
        <f>IF($L1565&lt;&gt;"",IF(INDEX(LdAAmt,$L1565)=0,"",INDEX(LdAAmt,$L1565)),IF($M1565&lt;&gt;"",IF(INDEX(LdBAmt,$M1565)=0,"",INDEX(LdBAmt,$M1565)),IF($N1565&lt;&gt;"",IF(INDEX(LdCDep,$N1565)=0,"",INDEX(LdCDep,$N1565)),"")))</f>
        <v/>
      </c>
      <c r="F1565" s="16">
        <f>IF(AND($L1565="",$M1565="",$N1565=""),"",IF($N1565="","",IF(INDEX(LdCWit,$N1565)=0,"",INDEX(LdCWit,$N1565))))</f>
        <v/>
      </c>
      <c r="G1565" s="29">
        <f>IF($B1565="","",IF($G1564="",0,$G1564)+IF($E1565="",0,$E1565)-IF($F1565="",0,$F1565))</f>
        <v/>
      </c>
      <c r="H1565" s="30">
        <f>IF(AND($L1565="",$M1565="",$N1565=""),"",IF($L1565&lt;&gt;"",IF(INDEX(LdANote,$L1565)="","—",INDEX(LdANote,$L1565)),IF($M1565&lt;&gt;"",IF(INDEX(LdBNote,$M1565)="","—",INDEX(LdBNote,$M1565)),IF($N1565&lt;&gt;"",IF(INDEX(LdCNote,$N1565)="","—",INDEX(LdCNote,$N1565)),""))))</f>
        <v/>
      </c>
      <c r="L1565">
        <f>IFERROR(MATCH($C$5&amp;"|"&amp;RIGHT("000000"&amp;1549,6),LdAKeyM,0),"")</f>
        <v/>
      </c>
      <c r="M1565">
        <f>IFERROR(MATCH($C$5&amp;"|"&amp;RIGHT("000000"&amp;1549,6),LdBKeyM,0),"")</f>
        <v/>
      </c>
      <c r="N1565">
        <f>IFERROR(MATCH($C$5&amp;"|"&amp;RIGHT("000000"&amp;1549,6),LdCKeyM,0),"")</f>
        <v/>
      </c>
    </row>
    <row r="1566">
      <c r="A1566" s="19" t="n">
        <v>1550</v>
      </c>
      <c r="B1566" s="20">
        <f>IF(AND($L1566="",$M1566="",$N1566=""),"",IF($L1566&lt;&gt;"",INDEX(LdADate,$L1566),IF($M1566&lt;&gt;"",INDEX(LdBDate,$M1566),INDEX(LdCDate,$N1566))))</f>
        <v/>
      </c>
      <c r="C1566" s="20">
        <f>IF($L1566&lt;&gt;"","دستمزد (فردی)",IF($M1566&lt;&gt;"","سهم از گروه "&amp;IFERROR(VLOOKUP(INDEX(LdBGroup,$M1566),WGTbl,2,0),INDEX(LdBGroup,$M1566)),IF($N1566&lt;&gt;"",IF(N(INDEX(LdCDep,$N1566))&gt;0,"بازگشت بانکی","پرداخت بانکی"),"")))</f>
        <v/>
      </c>
      <c r="D1566" s="20">
        <f>IF($L1566&lt;&gt;"",IF(INDEX(LdAId,$L1566)="","—",INDEX(LdAId,$L1566)),IF($M1566&lt;&gt;"",IF(INDEX(LdBId,$M1566)="","—",INDEX(LdBId,$M1566)),IF($N1566&lt;&gt;"",IF(INDEX(LdCBank,$N1566)="","—",INDEX(LdCBank,$N1566)),"")))</f>
        <v/>
      </c>
      <c r="E1566" s="21">
        <f>IF($L1566&lt;&gt;"",IF(INDEX(LdAAmt,$L1566)=0,"",INDEX(LdAAmt,$L1566)),IF($M1566&lt;&gt;"",IF(INDEX(LdBAmt,$M1566)=0,"",INDEX(LdBAmt,$M1566)),IF($N1566&lt;&gt;"",IF(INDEX(LdCDep,$N1566)=0,"",INDEX(LdCDep,$N1566)),"")))</f>
        <v/>
      </c>
      <c r="F1566" s="21">
        <f>IF(AND($L1566="",$M1566="",$N1566=""),"",IF($N1566="","",IF(INDEX(LdCWit,$N1566)=0,"",INDEX(LdCWit,$N1566))))</f>
        <v/>
      </c>
      <c r="G1566" s="31">
        <f>IF($B1566="","",IF($G1565="",0,$G1565)+IF($E1566="",0,$E1566)-IF($F1566="",0,$F1566))</f>
        <v/>
      </c>
      <c r="H1566" s="32">
        <f>IF(AND($L1566="",$M1566="",$N1566=""),"",IF($L1566&lt;&gt;"",IF(INDEX(LdANote,$L1566)="","—",INDEX(LdANote,$L1566)),IF($M1566&lt;&gt;"",IF(INDEX(LdBNote,$M1566)="","—",INDEX(LdBNote,$M1566)),IF($N1566&lt;&gt;"",IF(INDEX(LdCNote,$N1566)="","—",INDEX(LdCNote,$N1566)),""))))</f>
        <v/>
      </c>
      <c r="L1566">
        <f>IFERROR(MATCH($C$5&amp;"|"&amp;RIGHT("000000"&amp;1550,6),LdAKeyM,0),"")</f>
        <v/>
      </c>
      <c r="M1566">
        <f>IFERROR(MATCH($C$5&amp;"|"&amp;RIGHT("000000"&amp;1550,6),LdBKeyM,0),"")</f>
        <v/>
      </c>
      <c r="N1566">
        <f>IFERROR(MATCH($C$5&amp;"|"&amp;RIGHT("000000"&amp;1550,6),LdCKeyM,0),"")</f>
        <v/>
      </c>
    </row>
    <row r="1567">
      <c r="A1567" s="10" t="n">
        <v>1551</v>
      </c>
      <c r="B1567" s="14">
        <f>IF(AND($L1567="",$M1567="",$N1567=""),"",IF($L1567&lt;&gt;"",INDEX(LdADate,$L1567),IF($M1567&lt;&gt;"",INDEX(LdBDate,$M1567),INDEX(LdCDate,$N1567))))</f>
        <v/>
      </c>
      <c r="C1567" s="14">
        <f>IF($L1567&lt;&gt;"","دستمزد (فردی)",IF($M1567&lt;&gt;"","سهم از گروه "&amp;IFERROR(VLOOKUP(INDEX(LdBGroup,$M1567),WGTbl,2,0),INDEX(LdBGroup,$M1567)),IF($N1567&lt;&gt;"",IF(N(INDEX(LdCDep,$N1567))&gt;0,"بازگشت بانکی","پرداخت بانکی"),"")))</f>
        <v/>
      </c>
      <c r="D1567" s="14">
        <f>IF($L1567&lt;&gt;"",IF(INDEX(LdAId,$L1567)="","—",INDEX(LdAId,$L1567)),IF($M1567&lt;&gt;"",IF(INDEX(LdBId,$M1567)="","—",INDEX(LdBId,$M1567)),IF($N1567&lt;&gt;"",IF(INDEX(LdCBank,$N1567)="","—",INDEX(LdCBank,$N1567)),"")))</f>
        <v/>
      </c>
      <c r="E1567" s="16">
        <f>IF($L1567&lt;&gt;"",IF(INDEX(LdAAmt,$L1567)=0,"",INDEX(LdAAmt,$L1567)),IF($M1567&lt;&gt;"",IF(INDEX(LdBAmt,$M1567)=0,"",INDEX(LdBAmt,$M1567)),IF($N1567&lt;&gt;"",IF(INDEX(LdCDep,$N1567)=0,"",INDEX(LdCDep,$N1567)),"")))</f>
        <v/>
      </c>
      <c r="F1567" s="16">
        <f>IF(AND($L1567="",$M1567="",$N1567=""),"",IF($N1567="","",IF(INDEX(LdCWit,$N1567)=0,"",INDEX(LdCWit,$N1567))))</f>
        <v/>
      </c>
      <c r="G1567" s="29">
        <f>IF($B1567="","",IF($G1566="",0,$G1566)+IF($E1567="",0,$E1567)-IF($F1567="",0,$F1567))</f>
        <v/>
      </c>
      <c r="H1567" s="30">
        <f>IF(AND($L1567="",$M1567="",$N1567=""),"",IF($L1567&lt;&gt;"",IF(INDEX(LdANote,$L1567)="","—",INDEX(LdANote,$L1567)),IF($M1567&lt;&gt;"",IF(INDEX(LdBNote,$M1567)="","—",INDEX(LdBNote,$M1567)),IF($N1567&lt;&gt;"",IF(INDEX(LdCNote,$N1567)="","—",INDEX(LdCNote,$N1567)),""))))</f>
        <v/>
      </c>
      <c r="L1567">
        <f>IFERROR(MATCH($C$5&amp;"|"&amp;RIGHT("000000"&amp;1551,6),LdAKeyM,0),"")</f>
        <v/>
      </c>
      <c r="M1567">
        <f>IFERROR(MATCH($C$5&amp;"|"&amp;RIGHT("000000"&amp;1551,6),LdBKeyM,0),"")</f>
        <v/>
      </c>
      <c r="N1567">
        <f>IFERROR(MATCH($C$5&amp;"|"&amp;RIGHT("000000"&amp;1551,6),LdCKeyM,0),"")</f>
        <v/>
      </c>
    </row>
    <row r="1568">
      <c r="A1568" s="19" t="n">
        <v>1552</v>
      </c>
      <c r="B1568" s="20">
        <f>IF(AND($L1568="",$M1568="",$N1568=""),"",IF($L1568&lt;&gt;"",INDEX(LdADate,$L1568),IF($M1568&lt;&gt;"",INDEX(LdBDate,$M1568),INDEX(LdCDate,$N1568))))</f>
        <v/>
      </c>
      <c r="C1568" s="20">
        <f>IF($L1568&lt;&gt;"","دستمزد (فردی)",IF($M1568&lt;&gt;"","سهم از گروه "&amp;IFERROR(VLOOKUP(INDEX(LdBGroup,$M1568),WGTbl,2,0),INDEX(LdBGroup,$M1568)),IF($N1568&lt;&gt;"",IF(N(INDEX(LdCDep,$N1568))&gt;0,"بازگشت بانکی","پرداخت بانکی"),"")))</f>
        <v/>
      </c>
      <c r="D1568" s="20">
        <f>IF($L1568&lt;&gt;"",IF(INDEX(LdAId,$L1568)="","—",INDEX(LdAId,$L1568)),IF($M1568&lt;&gt;"",IF(INDEX(LdBId,$M1568)="","—",INDEX(LdBId,$M1568)),IF($N1568&lt;&gt;"",IF(INDEX(LdCBank,$N1568)="","—",INDEX(LdCBank,$N1568)),"")))</f>
        <v/>
      </c>
      <c r="E1568" s="21">
        <f>IF($L1568&lt;&gt;"",IF(INDEX(LdAAmt,$L1568)=0,"",INDEX(LdAAmt,$L1568)),IF($M1568&lt;&gt;"",IF(INDEX(LdBAmt,$M1568)=0,"",INDEX(LdBAmt,$M1568)),IF($N1568&lt;&gt;"",IF(INDEX(LdCDep,$N1568)=0,"",INDEX(LdCDep,$N1568)),"")))</f>
        <v/>
      </c>
      <c r="F1568" s="21">
        <f>IF(AND($L1568="",$M1568="",$N1568=""),"",IF($N1568="","",IF(INDEX(LdCWit,$N1568)=0,"",INDEX(LdCWit,$N1568))))</f>
        <v/>
      </c>
      <c r="G1568" s="31">
        <f>IF($B1568="","",IF($G1567="",0,$G1567)+IF($E1568="",0,$E1568)-IF($F1568="",0,$F1568))</f>
        <v/>
      </c>
      <c r="H1568" s="32">
        <f>IF(AND($L1568="",$M1568="",$N1568=""),"",IF($L1568&lt;&gt;"",IF(INDEX(LdANote,$L1568)="","—",INDEX(LdANote,$L1568)),IF($M1568&lt;&gt;"",IF(INDEX(LdBNote,$M1568)="","—",INDEX(LdBNote,$M1568)),IF($N1568&lt;&gt;"",IF(INDEX(LdCNote,$N1568)="","—",INDEX(LdCNote,$N1568)),""))))</f>
        <v/>
      </c>
      <c r="L1568">
        <f>IFERROR(MATCH($C$5&amp;"|"&amp;RIGHT("000000"&amp;1552,6),LdAKeyM,0),"")</f>
        <v/>
      </c>
      <c r="M1568">
        <f>IFERROR(MATCH($C$5&amp;"|"&amp;RIGHT("000000"&amp;1552,6),LdBKeyM,0),"")</f>
        <v/>
      </c>
      <c r="N1568">
        <f>IFERROR(MATCH($C$5&amp;"|"&amp;RIGHT("000000"&amp;1552,6),LdCKeyM,0),"")</f>
        <v/>
      </c>
    </row>
    <row r="1569">
      <c r="A1569" s="10" t="n">
        <v>1553</v>
      </c>
      <c r="B1569" s="14">
        <f>IF(AND($L1569="",$M1569="",$N1569=""),"",IF($L1569&lt;&gt;"",INDEX(LdADate,$L1569),IF($M1569&lt;&gt;"",INDEX(LdBDate,$M1569),INDEX(LdCDate,$N1569))))</f>
        <v/>
      </c>
      <c r="C1569" s="14">
        <f>IF($L1569&lt;&gt;"","دستمزد (فردی)",IF($M1569&lt;&gt;"","سهم از گروه "&amp;IFERROR(VLOOKUP(INDEX(LdBGroup,$M1569),WGTbl,2,0),INDEX(LdBGroup,$M1569)),IF($N1569&lt;&gt;"",IF(N(INDEX(LdCDep,$N1569))&gt;0,"بازگشت بانکی","پرداخت بانکی"),"")))</f>
        <v/>
      </c>
      <c r="D1569" s="14">
        <f>IF($L1569&lt;&gt;"",IF(INDEX(LdAId,$L1569)="","—",INDEX(LdAId,$L1569)),IF($M1569&lt;&gt;"",IF(INDEX(LdBId,$M1569)="","—",INDEX(LdBId,$M1569)),IF($N1569&lt;&gt;"",IF(INDEX(LdCBank,$N1569)="","—",INDEX(LdCBank,$N1569)),"")))</f>
        <v/>
      </c>
      <c r="E1569" s="16">
        <f>IF($L1569&lt;&gt;"",IF(INDEX(LdAAmt,$L1569)=0,"",INDEX(LdAAmt,$L1569)),IF($M1569&lt;&gt;"",IF(INDEX(LdBAmt,$M1569)=0,"",INDEX(LdBAmt,$M1569)),IF($N1569&lt;&gt;"",IF(INDEX(LdCDep,$N1569)=0,"",INDEX(LdCDep,$N1569)),"")))</f>
        <v/>
      </c>
      <c r="F1569" s="16">
        <f>IF(AND($L1569="",$M1569="",$N1569=""),"",IF($N1569="","",IF(INDEX(LdCWit,$N1569)=0,"",INDEX(LdCWit,$N1569))))</f>
        <v/>
      </c>
      <c r="G1569" s="29">
        <f>IF($B1569="","",IF($G1568="",0,$G1568)+IF($E1569="",0,$E1569)-IF($F1569="",0,$F1569))</f>
        <v/>
      </c>
      <c r="H1569" s="30">
        <f>IF(AND($L1569="",$M1569="",$N1569=""),"",IF($L1569&lt;&gt;"",IF(INDEX(LdANote,$L1569)="","—",INDEX(LdANote,$L1569)),IF($M1569&lt;&gt;"",IF(INDEX(LdBNote,$M1569)="","—",INDEX(LdBNote,$M1569)),IF($N1569&lt;&gt;"",IF(INDEX(LdCNote,$N1569)="","—",INDEX(LdCNote,$N1569)),""))))</f>
        <v/>
      </c>
      <c r="L1569">
        <f>IFERROR(MATCH($C$5&amp;"|"&amp;RIGHT("000000"&amp;1553,6),LdAKeyM,0),"")</f>
        <v/>
      </c>
      <c r="M1569">
        <f>IFERROR(MATCH($C$5&amp;"|"&amp;RIGHT("000000"&amp;1553,6),LdBKeyM,0),"")</f>
        <v/>
      </c>
      <c r="N1569">
        <f>IFERROR(MATCH($C$5&amp;"|"&amp;RIGHT("000000"&amp;1553,6),LdCKeyM,0),"")</f>
        <v/>
      </c>
    </row>
    <row r="1570">
      <c r="A1570" s="19" t="n">
        <v>1554</v>
      </c>
      <c r="B1570" s="20">
        <f>IF(AND($L1570="",$M1570="",$N1570=""),"",IF($L1570&lt;&gt;"",INDEX(LdADate,$L1570),IF($M1570&lt;&gt;"",INDEX(LdBDate,$M1570),INDEX(LdCDate,$N1570))))</f>
        <v/>
      </c>
      <c r="C1570" s="20">
        <f>IF($L1570&lt;&gt;"","دستمزد (فردی)",IF($M1570&lt;&gt;"","سهم از گروه "&amp;IFERROR(VLOOKUP(INDEX(LdBGroup,$M1570),WGTbl,2,0),INDEX(LdBGroup,$M1570)),IF($N1570&lt;&gt;"",IF(N(INDEX(LdCDep,$N1570))&gt;0,"بازگشت بانکی","پرداخت بانکی"),"")))</f>
        <v/>
      </c>
      <c r="D1570" s="20">
        <f>IF($L1570&lt;&gt;"",IF(INDEX(LdAId,$L1570)="","—",INDEX(LdAId,$L1570)),IF($M1570&lt;&gt;"",IF(INDEX(LdBId,$M1570)="","—",INDEX(LdBId,$M1570)),IF($N1570&lt;&gt;"",IF(INDEX(LdCBank,$N1570)="","—",INDEX(LdCBank,$N1570)),"")))</f>
        <v/>
      </c>
      <c r="E1570" s="21">
        <f>IF($L1570&lt;&gt;"",IF(INDEX(LdAAmt,$L1570)=0,"",INDEX(LdAAmt,$L1570)),IF($M1570&lt;&gt;"",IF(INDEX(LdBAmt,$M1570)=0,"",INDEX(LdBAmt,$M1570)),IF($N1570&lt;&gt;"",IF(INDEX(LdCDep,$N1570)=0,"",INDEX(LdCDep,$N1570)),"")))</f>
        <v/>
      </c>
      <c r="F1570" s="21">
        <f>IF(AND($L1570="",$M1570="",$N1570=""),"",IF($N1570="","",IF(INDEX(LdCWit,$N1570)=0,"",INDEX(LdCWit,$N1570))))</f>
        <v/>
      </c>
      <c r="G1570" s="31">
        <f>IF($B1570="","",IF($G1569="",0,$G1569)+IF($E1570="",0,$E1570)-IF($F1570="",0,$F1570))</f>
        <v/>
      </c>
      <c r="H1570" s="32">
        <f>IF(AND($L1570="",$M1570="",$N1570=""),"",IF($L1570&lt;&gt;"",IF(INDEX(LdANote,$L1570)="","—",INDEX(LdANote,$L1570)),IF($M1570&lt;&gt;"",IF(INDEX(LdBNote,$M1570)="","—",INDEX(LdBNote,$M1570)),IF($N1570&lt;&gt;"",IF(INDEX(LdCNote,$N1570)="","—",INDEX(LdCNote,$N1570)),""))))</f>
        <v/>
      </c>
      <c r="L1570">
        <f>IFERROR(MATCH($C$5&amp;"|"&amp;RIGHT("000000"&amp;1554,6),LdAKeyM,0),"")</f>
        <v/>
      </c>
      <c r="M1570">
        <f>IFERROR(MATCH($C$5&amp;"|"&amp;RIGHT("000000"&amp;1554,6),LdBKeyM,0),"")</f>
        <v/>
      </c>
      <c r="N1570">
        <f>IFERROR(MATCH($C$5&amp;"|"&amp;RIGHT("000000"&amp;1554,6),LdCKeyM,0),"")</f>
        <v/>
      </c>
    </row>
    <row r="1571">
      <c r="A1571" s="10" t="n">
        <v>1555</v>
      </c>
      <c r="B1571" s="14">
        <f>IF(AND($L1571="",$M1571="",$N1571=""),"",IF($L1571&lt;&gt;"",INDEX(LdADate,$L1571),IF($M1571&lt;&gt;"",INDEX(LdBDate,$M1571),INDEX(LdCDate,$N1571))))</f>
        <v/>
      </c>
      <c r="C1571" s="14">
        <f>IF($L1571&lt;&gt;"","دستمزد (فردی)",IF($M1571&lt;&gt;"","سهم از گروه "&amp;IFERROR(VLOOKUP(INDEX(LdBGroup,$M1571),WGTbl,2,0),INDEX(LdBGroup,$M1571)),IF($N1571&lt;&gt;"",IF(N(INDEX(LdCDep,$N1571))&gt;0,"بازگشت بانکی","پرداخت بانکی"),"")))</f>
        <v/>
      </c>
      <c r="D1571" s="14">
        <f>IF($L1571&lt;&gt;"",IF(INDEX(LdAId,$L1571)="","—",INDEX(LdAId,$L1571)),IF($M1571&lt;&gt;"",IF(INDEX(LdBId,$M1571)="","—",INDEX(LdBId,$M1571)),IF($N1571&lt;&gt;"",IF(INDEX(LdCBank,$N1571)="","—",INDEX(LdCBank,$N1571)),"")))</f>
        <v/>
      </c>
      <c r="E1571" s="16">
        <f>IF($L1571&lt;&gt;"",IF(INDEX(LdAAmt,$L1571)=0,"",INDEX(LdAAmt,$L1571)),IF($M1571&lt;&gt;"",IF(INDEX(LdBAmt,$M1571)=0,"",INDEX(LdBAmt,$M1571)),IF($N1571&lt;&gt;"",IF(INDEX(LdCDep,$N1571)=0,"",INDEX(LdCDep,$N1571)),"")))</f>
        <v/>
      </c>
      <c r="F1571" s="16">
        <f>IF(AND($L1571="",$M1571="",$N1571=""),"",IF($N1571="","",IF(INDEX(LdCWit,$N1571)=0,"",INDEX(LdCWit,$N1571))))</f>
        <v/>
      </c>
      <c r="G1571" s="29">
        <f>IF($B1571="","",IF($G1570="",0,$G1570)+IF($E1571="",0,$E1571)-IF($F1571="",0,$F1571))</f>
        <v/>
      </c>
      <c r="H1571" s="30">
        <f>IF(AND($L1571="",$M1571="",$N1571=""),"",IF($L1571&lt;&gt;"",IF(INDEX(LdANote,$L1571)="","—",INDEX(LdANote,$L1571)),IF($M1571&lt;&gt;"",IF(INDEX(LdBNote,$M1571)="","—",INDEX(LdBNote,$M1571)),IF($N1571&lt;&gt;"",IF(INDEX(LdCNote,$N1571)="","—",INDEX(LdCNote,$N1571)),""))))</f>
        <v/>
      </c>
      <c r="L1571">
        <f>IFERROR(MATCH($C$5&amp;"|"&amp;RIGHT("000000"&amp;1555,6),LdAKeyM,0),"")</f>
        <v/>
      </c>
      <c r="M1571">
        <f>IFERROR(MATCH($C$5&amp;"|"&amp;RIGHT("000000"&amp;1555,6),LdBKeyM,0),"")</f>
        <v/>
      </c>
      <c r="N1571">
        <f>IFERROR(MATCH($C$5&amp;"|"&amp;RIGHT("000000"&amp;1555,6),LdCKeyM,0),"")</f>
        <v/>
      </c>
    </row>
    <row r="1572">
      <c r="A1572" s="19" t="n">
        <v>1556</v>
      </c>
      <c r="B1572" s="20">
        <f>IF(AND($L1572="",$M1572="",$N1572=""),"",IF($L1572&lt;&gt;"",INDEX(LdADate,$L1572),IF($M1572&lt;&gt;"",INDEX(LdBDate,$M1572),INDEX(LdCDate,$N1572))))</f>
        <v/>
      </c>
      <c r="C1572" s="20">
        <f>IF($L1572&lt;&gt;"","دستمزد (فردی)",IF($M1572&lt;&gt;"","سهم از گروه "&amp;IFERROR(VLOOKUP(INDEX(LdBGroup,$M1572),WGTbl,2,0),INDEX(LdBGroup,$M1572)),IF($N1572&lt;&gt;"",IF(N(INDEX(LdCDep,$N1572))&gt;0,"بازگشت بانکی","پرداخت بانکی"),"")))</f>
        <v/>
      </c>
      <c r="D1572" s="20">
        <f>IF($L1572&lt;&gt;"",IF(INDEX(LdAId,$L1572)="","—",INDEX(LdAId,$L1572)),IF($M1572&lt;&gt;"",IF(INDEX(LdBId,$M1572)="","—",INDEX(LdBId,$M1572)),IF($N1572&lt;&gt;"",IF(INDEX(LdCBank,$N1572)="","—",INDEX(LdCBank,$N1572)),"")))</f>
        <v/>
      </c>
      <c r="E1572" s="21">
        <f>IF($L1572&lt;&gt;"",IF(INDEX(LdAAmt,$L1572)=0,"",INDEX(LdAAmt,$L1572)),IF($M1572&lt;&gt;"",IF(INDEX(LdBAmt,$M1572)=0,"",INDEX(LdBAmt,$M1572)),IF($N1572&lt;&gt;"",IF(INDEX(LdCDep,$N1572)=0,"",INDEX(LdCDep,$N1572)),"")))</f>
        <v/>
      </c>
      <c r="F1572" s="21">
        <f>IF(AND($L1572="",$M1572="",$N1572=""),"",IF($N1572="","",IF(INDEX(LdCWit,$N1572)=0,"",INDEX(LdCWit,$N1572))))</f>
        <v/>
      </c>
      <c r="G1572" s="31">
        <f>IF($B1572="","",IF($G1571="",0,$G1571)+IF($E1572="",0,$E1572)-IF($F1572="",0,$F1572))</f>
        <v/>
      </c>
      <c r="H1572" s="32">
        <f>IF(AND($L1572="",$M1572="",$N1572=""),"",IF($L1572&lt;&gt;"",IF(INDEX(LdANote,$L1572)="","—",INDEX(LdANote,$L1572)),IF($M1572&lt;&gt;"",IF(INDEX(LdBNote,$M1572)="","—",INDEX(LdBNote,$M1572)),IF($N1572&lt;&gt;"",IF(INDEX(LdCNote,$N1572)="","—",INDEX(LdCNote,$N1572)),""))))</f>
        <v/>
      </c>
      <c r="L1572">
        <f>IFERROR(MATCH($C$5&amp;"|"&amp;RIGHT("000000"&amp;1556,6),LdAKeyM,0),"")</f>
        <v/>
      </c>
      <c r="M1572">
        <f>IFERROR(MATCH($C$5&amp;"|"&amp;RIGHT("000000"&amp;1556,6),LdBKeyM,0),"")</f>
        <v/>
      </c>
      <c r="N1572">
        <f>IFERROR(MATCH($C$5&amp;"|"&amp;RIGHT("000000"&amp;1556,6),LdCKeyM,0),"")</f>
        <v/>
      </c>
    </row>
    <row r="1573">
      <c r="A1573" s="10" t="n">
        <v>1557</v>
      </c>
      <c r="B1573" s="14">
        <f>IF(AND($L1573="",$M1573="",$N1573=""),"",IF($L1573&lt;&gt;"",INDEX(LdADate,$L1573),IF($M1573&lt;&gt;"",INDEX(LdBDate,$M1573),INDEX(LdCDate,$N1573))))</f>
        <v/>
      </c>
      <c r="C1573" s="14">
        <f>IF($L1573&lt;&gt;"","دستمزد (فردی)",IF($M1573&lt;&gt;"","سهم از گروه "&amp;IFERROR(VLOOKUP(INDEX(LdBGroup,$M1573),WGTbl,2,0),INDEX(LdBGroup,$M1573)),IF($N1573&lt;&gt;"",IF(N(INDEX(LdCDep,$N1573))&gt;0,"بازگشت بانکی","پرداخت بانکی"),"")))</f>
        <v/>
      </c>
      <c r="D1573" s="14">
        <f>IF($L1573&lt;&gt;"",IF(INDEX(LdAId,$L1573)="","—",INDEX(LdAId,$L1573)),IF($M1573&lt;&gt;"",IF(INDEX(LdBId,$M1573)="","—",INDEX(LdBId,$M1573)),IF($N1573&lt;&gt;"",IF(INDEX(LdCBank,$N1573)="","—",INDEX(LdCBank,$N1573)),"")))</f>
        <v/>
      </c>
      <c r="E1573" s="16">
        <f>IF($L1573&lt;&gt;"",IF(INDEX(LdAAmt,$L1573)=0,"",INDEX(LdAAmt,$L1573)),IF($M1573&lt;&gt;"",IF(INDEX(LdBAmt,$M1573)=0,"",INDEX(LdBAmt,$M1573)),IF($N1573&lt;&gt;"",IF(INDEX(LdCDep,$N1573)=0,"",INDEX(LdCDep,$N1573)),"")))</f>
        <v/>
      </c>
      <c r="F1573" s="16">
        <f>IF(AND($L1573="",$M1573="",$N1573=""),"",IF($N1573="","",IF(INDEX(LdCWit,$N1573)=0,"",INDEX(LdCWit,$N1573))))</f>
        <v/>
      </c>
      <c r="G1573" s="29">
        <f>IF($B1573="","",IF($G1572="",0,$G1572)+IF($E1573="",0,$E1573)-IF($F1573="",0,$F1573))</f>
        <v/>
      </c>
      <c r="H1573" s="30">
        <f>IF(AND($L1573="",$M1573="",$N1573=""),"",IF($L1573&lt;&gt;"",IF(INDEX(LdANote,$L1573)="","—",INDEX(LdANote,$L1573)),IF($M1573&lt;&gt;"",IF(INDEX(LdBNote,$M1573)="","—",INDEX(LdBNote,$M1573)),IF($N1573&lt;&gt;"",IF(INDEX(LdCNote,$N1573)="","—",INDEX(LdCNote,$N1573)),""))))</f>
        <v/>
      </c>
      <c r="L1573">
        <f>IFERROR(MATCH($C$5&amp;"|"&amp;RIGHT("000000"&amp;1557,6),LdAKeyM,0),"")</f>
        <v/>
      </c>
      <c r="M1573">
        <f>IFERROR(MATCH($C$5&amp;"|"&amp;RIGHT("000000"&amp;1557,6),LdBKeyM,0),"")</f>
        <v/>
      </c>
      <c r="N1573">
        <f>IFERROR(MATCH($C$5&amp;"|"&amp;RIGHT("000000"&amp;1557,6),LdCKeyM,0),"")</f>
        <v/>
      </c>
    </row>
    <row r="1574">
      <c r="A1574" s="19" t="n">
        <v>1558</v>
      </c>
      <c r="B1574" s="20">
        <f>IF(AND($L1574="",$M1574="",$N1574=""),"",IF($L1574&lt;&gt;"",INDEX(LdADate,$L1574),IF($M1574&lt;&gt;"",INDEX(LdBDate,$M1574),INDEX(LdCDate,$N1574))))</f>
        <v/>
      </c>
      <c r="C1574" s="20">
        <f>IF($L1574&lt;&gt;"","دستمزد (فردی)",IF($M1574&lt;&gt;"","سهم از گروه "&amp;IFERROR(VLOOKUP(INDEX(LdBGroup,$M1574),WGTbl,2,0),INDEX(LdBGroup,$M1574)),IF($N1574&lt;&gt;"",IF(N(INDEX(LdCDep,$N1574))&gt;0,"بازگشت بانکی","پرداخت بانکی"),"")))</f>
        <v/>
      </c>
      <c r="D1574" s="20">
        <f>IF($L1574&lt;&gt;"",IF(INDEX(LdAId,$L1574)="","—",INDEX(LdAId,$L1574)),IF($M1574&lt;&gt;"",IF(INDEX(LdBId,$M1574)="","—",INDEX(LdBId,$M1574)),IF($N1574&lt;&gt;"",IF(INDEX(LdCBank,$N1574)="","—",INDEX(LdCBank,$N1574)),"")))</f>
        <v/>
      </c>
      <c r="E1574" s="21">
        <f>IF($L1574&lt;&gt;"",IF(INDEX(LdAAmt,$L1574)=0,"",INDEX(LdAAmt,$L1574)),IF($M1574&lt;&gt;"",IF(INDEX(LdBAmt,$M1574)=0,"",INDEX(LdBAmt,$M1574)),IF($N1574&lt;&gt;"",IF(INDEX(LdCDep,$N1574)=0,"",INDEX(LdCDep,$N1574)),"")))</f>
        <v/>
      </c>
      <c r="F1574" s="21">
        <f>IF(AND($L1574="",$M1574="",$N1574=""),"",IF($N1574="","",IF(INDEX(LdCWit,$N1574)=0,"",INDEX(LdCWit,$N1574))))</f>
        <v/>
      </c>
      <c r="G1574" s="31">
        <f>IF($B1574="","",IF($G1573="",0,$G1573)+IF($E1574="",0,$E1574)-IF($F1574="",0,$F1574))</f>
        <v/>
      </c>
      <c r="H1574" s="32">
        <f>IF(AND($L1574="",$M1574="",$N1574=""),"",IF($L1574&lt;&gt;"",IF(INDEX(LdANote,$L1574)="","—",INDEX(LdANote,$L1574)),IF($M1574&lt;&gt;"",IF(INDEX(LdBNote,$M1574)="","—",INDEX(LdBNote,$M1574)),IF($N1574&lt;&gt;"",IF(INDEX(LdCNote,$N1574)="","—",INDEX(LdCNote,$N1574)),""))))</f>
        <v/>
      </c>
      <c r="L1574">
        <f>IFERROR(MATCH($C$5&amp;"|"&amp;RIGHT("000000"&amp;1558,6),LdAKeyM,0),"")</f>
        <v/>
      </c>
      <c r="M1574">
        <f>IFERROR(MATCH($C$5&amp;"|"&amp;RIGHT("000000"&amp;1558,6),LdBKeyM,0),"")</f>
        <v/>
      </c>
      <c r="N1574">
        <f>IFERROR(MATCH($C$5&amp;"|"&amp;RIGHT("000000"&amp;1558,6),LdCKeyM,0),"")</f>
        <v/>
      </c>
    </row>
    <row r="1575">
      <c r="A1575" s="10" t="n">
        <v>1559</v>
      </c>
      <c r="B1575" s="14">
        <f>IF(AND($L1575="",$M1575="",$N1575=""),"",IF($L1575&lt;&gt;"",INDEX(LdADate,$L1575),IF($M1575&lt;&gt;"",INDEX(LdBDate,$M1575),INDEX(LdCDate,$N1575))))</f>
        <v/>
      </c>
      <c r="C1575" s="14">
        <f>IF($L1575&lt;&gt;"","دستمزد (فردی)",IF($M1575&lt;&gt;"","سهم از گروه "&amp;IFERROR(VLOOKUP(INDEX(LdBGroup,$M1575),WGTbl,2,0),INDEX(LdBGroup,$M1575)),IF($N1575&lt;&gt;"",IF(N(INDEX(LdCDep,$N1575))&gt;0,"بازگشت بانکی","پرداخت بانکی"),"")))</f>
        <v/>
      </c>
      <c r="D1575" s="14">
        <f>IF($L1575&lt;&gt;"",IF(INDEX(LdAId,$L1575)="","—",INDEX(LdAId,$L1575)),IF($M1575&lt;&gt;"",IF(INDEX(LdBId,$M1575)="","—",INDEX(LdBId,$M1575)),IF($N1575&lt;&gt;"",IF(INDEX(LdCBank,$N1575)="","—",INDEX(LdCBank,$N1575)),"")))</f>
        <v/>
      </c>
      <c r="E1575" s="16">
        <f>IF($L1575&lt;&gt;"",IF(INDEX(LdAAmt,$L1575)=0,"",INDEX(LdAAmt,$L1575)),IF($M1575&lt;&gt;"",IF(INDEX(LdBAmt,$M1575)=0,"",INDEX(LdBAmt,$M1575)),IF($N1575&lt;&gt;"",IF(INDEX(LdCDep,$N1575)=0,"",INDEX(LdCDep,$N1575)),"")))</f>
        <v/>
      </c>
      <c r="F1575" s="16">
        <f>IF(AND($L1575="",$M1575="",$N1575=""),"",IF($N1575="","",IF(INDEX(LdCWit,$N1575)=0,"",INDEX(LdCWit,$N1575))))</f>
        <v/>
      </c>
      <c r="G1575" s="29">
        <f>IF($B1575="","",IF($G1574="",0,$G1574)+IF($E1575="",0,$E1575)-IF($F1575="",0,$F1575))</f>
        <v/>
      </c>
      <c r="H1575" s="30">
        <f>IF(AND($L1575="",$M1575="",$N1575=""),"",IF($L1575&lt;&gt;"",IF(INDEX(LdANote,$L1575)="","—",INDEX(LdANote,$L1575)),IF($M1575&lt;&gt;"",IF(INDEX(LdBNote,$M1575)="","—",INDEX(LdBNote,$M1575)),IF($N1575&lt;&gt;"",IF(INDEX(LdCNote,$N1575)="","—",INDEX(LdCNote,$N1575)),""))))</f>
        <v/>
      </c>
      <c r="L1575">
        <f>IFERROR(MATCH($C$5&amp;"|"&amp;RIGHT("000000"&amp;1559,6),LdAKeyM,0),"")</f>
        <v/>
      </c>
      <c r="M1575">
        <f>IFERROR(MATCH($C$5&amp;"|"&amp;RIGHT("000000"&amp;1559,6),LdBKeyM,0),"")</f>
        <v/>
      </c>
      <c r="N1575">
        <f>IFERROR(MATCH($C$5&amp;"|"&amp;RIGHT("000000"&amp;1559,6),LdCKeyM,0),"")</f>
        <v/>
      </c>
    </row>
    <row r="1576">
      <c r="A1576" s="19" t="n">
        <v>1560</v>
      </c>
      <c r="B1576" s="20">
        <f>IF(AND($L1576="",$M1576="",$N1576=""),"",IF($L1576&lt;&gt;"",INDEX(LdADate,$L1576),IF($M1576&lt;&gt;"",INDEX(LdBDate,$M1576),INDEX(LdCDate,$N1576))))</f>
        <v/>
      </c>
      <c r="C1576" s="20">
        <f>IF($L1576&lt;&gt;"","دستمزد (فردی)",IF($M1576&lt;&gt;"","سهم از گروه "&amp;IFERROR(VLOOKUP(INDEX(LdBGroup,$M1576),WGTbl,2,0),INDEX(LdBGroup,$M1576)),IF($N1576&lt;&gt;"",IF(N(INDEX(LdCDep,$N1576))&gt;0,"بازگشت بانکی","پرداخت بانکی"),"")))</f>
        <v/>
      </c>
      <c r="D1576" s="20">
        <f>IF($L1576&lt;&gt;"",IF(INDEX(LdAId,$L1576)="","—",INDEX(LdAId,$L1576)),IF($M1576&lt;&gt;"",IF(INDEX(LdBId,$M1576)="","—",INDEX(LdBId,$M1576)),IF($N1576&lt;&gt;"",IF(INDEX(LdCBank,$N1576)="","—",INDEX(LdCBank,$N1576)),"")))</f>
        <v/>
      </c>
      <c r="E1576" s="21">
        <f>IF($L1576&lt;&gt;"",IF(INDEX(LdAAmt,$L1576)=0,"",INDEX(LdAAmt,$L1576)),IF($M1576&lt;&gt;"",IF(INDEX(LdBAmt,$M1576)=0,"",INDEX(LdBAmt,$M1576)),IF($N1576&lt;&gt;"",IF(INDEX(LdCDep,$N1576)=0,"",INDEX(LdCDep,$N1576)),"")))</f>
        <v/>
      </c>
      <c r="F1576" s="21">
        <f>IF(AND($L1576="",$M1576="",$N1576=""),"",IF($N1576="","",IF(INDEX(LdCWit,$N1576)=0,"",INDEX(LdCWit,$N1576))))</f>
        <v/>
      </c>
      <c r="G1576" s="31">
        <f>IF($B1576="","",IF($G1575="",0,$G1575)+IF($E1576="",0,$E1576)-IF($F1576="",0,$F1576))</f>
        <v/>
      </c>
      <c r="H1576" s="32">
        <f>IF(AND($L1576="",$M1576="",$N1576=""),"",IF($L1576&lt;&gt;"",IF(INDEX(LdANote,$L1576)="","—",INDEX(LdANote,$L1576)),IF($M1576&lt;&gt;"",IF(INDEX(LdBNote,$M1576)="","—",INDEX(LdBNote,$M1576)),IF($N1576&lt;&gt;"",IF(INDEX(LdCNote,$N1576)="","—",INDEX(LdCNote,$N1576)),""))))</f>
        <v/>
      </c>
      <c r="L1576">
        <f>IFERROR(MATCH($C$5&amp;"|"&amp;RIGHT("000000"&amp;1560,6),LdAKeyM,0),"")</f>
        <v/>
      </c>
      <c r="M1576">
        <f>IFERROR(MATCH($C$5&amp;"|"&amp;RIGHT("000000"&amp;1560,6),LdBKeyM,0),"")</f>
        <v/>
      </c>
      <c r="N1576">
        <f>IFERROR(MATCH($C$5&amp;"|"&amp;RIGHT("000000"&amp;1560,6),LdCKeyM,0),"")</f>
        <v/>
      </c>
    </row>
    <row r="1577">
      <c r="A1577" s="10" t="n">
        <v>1561</v>
      </c>
      <c r="B1577" s="14">
        <f>IF(AND($L1577="",$M1577="",$N1577=""),"",IF($L1577&lt;&gt;"",INDEX(LdADate,$L1577),IF($M1577&lt;&gt;"",INDEX(LdBDate,$M1577),INDEX(LdCDate,$N1577))))</f>
        <v/>
      </c>
      <c r="C1577" s="14">
        <f>IF($L1577&lt;&gt;"","دستمزد (فردی)",IF($M1577&lt;&gt;"","سهم از گروه "&amp;IFERROR(VLOOKUP(INDEX(LdBGroup,$M1577),WGTbl,2,0),INDEX(LdBGroup,$M1577)),IF($N1577&lt;&gt;"",IF(N(INDEX(LdCDep,$N1577))&gt;0,"بازگشت بانکی","پرداخت بانکی"),"")))</f>
        <v/>
      </c>
      <c r="D1577" s="14">
        <f>IF($L1577&lt;&gt;"",IF(INDEX(LdAId,$L1577)="","—",INDEX(LdAId,$L1577)),IF($M1577&lt;&gt;"",IF(INDEX(LdBId,$M1577)="","—",INDEX(LdBId,$M1577)),IF($N1577&lt;&gt;"",IF(INDEX(LdCBank,$N1577)="","—",INDEX(LdCBank,$N1577)),"")))</f>
        <v/>
      </c>
      <c r="E1577" s="16">
        <f>IF($L1577&lt;&gt;"",IF(INDEX(LdAAmt,$L1577)=0,"",INDEX(LdAAmt,$L1577)),IF($M1577&lt;&gt;"",IF(INDEX(LdBAmt,$M1577)=0,"",INDEX(LdBAmt,$M1577)),IF($N1577&lt;&gt;"",IF(INDEX(LdCDep,$N1577)=0,"",INDEX(LdCDep,$N1577)),"")))</f>
        <v/>
      </c>
      <c r="F1577" s="16">
        <f>IF(AND($L1577="",$M1577="",$N1577=""),"",IF($N1577="","",IF(INDEX(LdCWit,$N1577)=0,"",INDEX(LdCWit,$N1577))))</f>
        <v/>
      </c>
      <c r="G1577" s="29">
        <f>IF($B1577="","",IF($G1576="",0,$G1576)+IF($E1577="",0,$E1577)-IF($F1577="",0,$F1577))</f>
        <v/>
      </c>
      <c r="H1577" s="30">
        <f>IF(AND($L1577="",$M1577="",$N1577=""),"",IF($L1577&lt;&gt;"",IF(INDEX(LdANote,$L1577)="","—",INDEX(LdANote,$L1577)),IF($M1577&lt;&gt;"",IF(INDEX(LdBNote,$M1577)="","—",INDEX(LdBNote,$M1577)),IF($N1577&lt;&gt;"",IF(INDEX(LdCNote,$N1577)="","—",INDEX(LdCNote,$N1577)),""))))</f>
        <v/>
      </c>
      <c r="L1577">
        <f>IFERROR(MATCH($C$5&amp;"|"&amp;RIGHT("000000"&amp;1561,6),LdAKeyM,0),"")</f>
        <v/>
      </c>
      <c r="M1577">
        <f>IFERROR(MATCH($C$5&amp;"|"&amp;RIGHT("000000"&amp;1561,6),LdBKeyM,0),"")</f>
        <v/>
      </c>
      <c r="N1577">
        <f>IFERROR(MATCH($C$5&amp;"|"&amp;RIGHT("000000"&amp;1561,6),LdCKeyM,0),"")</f>
        <v/>
      </c>
    </row>
    <row r="1578">
      <c r="A1578" s="19" t="n">
        <v>1562</v>
      </c>
      <c r="B1578" s="20">
        <f>IF(AND($L1578="",$M1578="",$N1578=""),"",IF($L1578&lt;&gt;"",INDEX(LdADate,$L1578),IF($M1578&lt;&gt;"",INDEX(LdBDate,$M1578),INDEX(LdCDate,$N1578))))</f>
        <v/>
      </c>
      <c r="C1578" s="20">
        <f>IF($L1578&lt;&gt;"","دستمزد (فردی)",IF($M1578&lt;&gt;"","سهم از گروه "&amp;IFERROR(VLOOKUP(INDEX(LdBGroup,$M1578),WGTbl,2,0),INDEX(LdBGroup,$M1578)),IF($N1578&lt;&gt;"",IF(N(INDEX(LdCDep,$N1578))&gt;0,"بازگشت بانکی","پرداخت بانکی"),"")))</f>
        <v/>
      </c>
      <c r="D1578" s="20">
        <f>IF($L1578&lt;&gt;"",IF(INDEX(LdAId,$L1578)="","—",INDEX(LdAId,$L1578)),IF($M1578&lt;&gt;"",IF(INDEX(LdBId,$M1578)="","—",INDEX(LdBId,$M1578)),IF($N1578&lt;&gt;"",IF(INDEX(LdCBank,$N1578)="","—",INDEX(LdCBank,$N1578)),"")))</f>
        <v/>
      </c>
      <c r="E1578" s="21">
        <f>IF($L1578&lt;&gt;"",IF(INDEX(LdAAmt,$L1578)=0,"",INDEX(LdAAmt,$L1578)),IF($M1578&lt;&gt;"",IF(INDEX(LdBAmt,$M1578)=0,"",INDEX(LdBAmt,$M1578)),IF($N1578&lt;&gt;"",IF(INDEX(LdCDep,$N1578)=0,"",INDEX(LdCDep,$N1578)),"")))</f>
        <v/>
      </c>
      <c r="F1578" s="21">
        <f>IF(AND($L1578="",$M1578="",$N1578=""),"",IF($N1578="","",IF(INDEX(LdCWit,$N1578)=0,"",INDEX(LdCWit,$N1578))))</f>
        <v/>
      </c>
      <c r="G1578" s="31">
        <f>IF($B1578="","",IF($G1577="",0,$G1577)+IF($E1578="",0,$E1578)-IF($F1578="",0,$F1578))</f>
        <v/>
      </c>
      <c r="H1578" s="32">
        <f>IF(AND($L1578="",$M1578="",$N1578=""),"",IF($L1578&lt;&gt;"",IF(INDEX(LdANote,$L1578)="","—",INDEX(LdANote,$L1578)),IF($M1578&lt;&gt;"",IF(INDEX(LdBNote,$M1578)="","—",INDEX(LdBNote,$M1578)),IF($N1578&lt;&gt;"",IF(INDEX(LdCNote,$N1578)="","—",INDEX(LdCNote,$N1578)),""))))</f>
        <v/>
      </c>
      <c r="L1578">
        <f>IFERROR(MATCH($C$5&amp;"|"&amp;RIGHT("000000"&amp;1562,6),LdAKeyM,0),"")</f>
        <v/>
      </c>
      <c r="M1578">
        <f>IFERROR(MATCH($C$5&amp;"|"&amp;RIGHT("000000"&amp;1562,6),LdBKeyM,0),"")</f>
        <v/>
      </c>
      <c r="N1578">
        <f>IFERROR(MATCH($C$5&amp;"|"&amp;RIGHT("000000"&amp;1562,6),LdCKeyM,0),"")</f>
        <v/>
      </c>
    </row>
    <row r="1579">
      <c r="A1579" s="10" t="n">
        <v>1563</v>
      </c>
      <c r="B1579" s="14">
        <f>IF(AND($L1579="",$M1579="",$N1579=""),"",IF($L1579&lt;&gt;"",INDEX(LdADate,$L1579),IF($M1579&lt;&gt;"",INDEX(LdBDate,$M1579),INDEX(LdCDate,$N1579))))</f>
        <v/>
      </c>
      <c r="C1579" s="14">
        <f>IF($L1579&lt;&gt;"","دستمزد (فردی)",IF($M1579&lt;&gt;"","سهم از گروه "&amp;IFERROR(VLOOKUP(INDEX(LdBGroup,$M1579),WGTbl,2,0),INDEX(LdBGroup,$M1579)),IF($N1579&lt;&gt;"",IF(N(INDEX(LdCDep,$N1579))&gt;0,"بازگشت بانکی","پرداخت بانکی"),"")))</f>
        <v/>
      </c>
      <c r="D1579" s="14">
        <f>IF($L1579&lt;&gt;"",IF(INDEX(LdAId,$L1579)="","—",INDEX(LdAId,$L1579)),IF($M1579&lt;&gt;"",IF(INDEX(LdBId,$M1579)="","—",INDEX(LdBId,$M1579)),IF($N1579&lt;&gt;"",IF(INDEX(LdCBank,$N1579)="","—",INDEX(LdCBank,$N1579)),"")))</f>
        <v/>
      </c>
      <c r="E1579" s="16">
        <f>IF($L1579&lt;&gt;"",IF(INDEX(LdAAmt,$L1579)=0,"",INDEX(LdAAmt,$L1579)),IF($M1579&lt;&gt;"",IF(INDEX(LdBAmt,$M1579)=0,"",INDEX(LdBAmt,$M1579)),IF($N1579&lt;&gt;"",IF(INDEX(LdCDep,$N1579)=0,"",INDEX(LdCDep,$N1579)),"")))</f>
        <v/>
      </c>
      <c r="F1579" s="16">
        <f>IF(AND($L1579="",$M1579="",$N1579=""),"",IF($N1579="","",IF(INDEX(LdCWit,$N1579)=0,"",INDEX(LdCWit,$N1579))))</f>
        <v/>
      </c>
      <c r="G1579" s="29">
        <f>IF($B1579="","",IF($G1578="",0,$G1578)+IF($E1579="",0,$E1579)-IF($F1579="",0,$F1579))</f>
        <v/>
      </c>
      <c r="H1579" s="30">
        <f>IF(AND($L1579="",$M1579="",$N1579=""),"",IF($L1579&lt;&gt;"",IF(INDEX(LdANote,$L1579)="","—",INDEX(LdANote,$L1579)),IF($M1579&lt;&gt;"",IF(INDEX(LdBNote,$M1579)="","—",INDEX(LdBNote,$M1579)),IF($N1579&lt;&gt;"",IF(INDEX(LdCNote,$N1579)="","—",INDEX(LdCNote,$N1579)),""))))</f>
        <v/>
      </c>
      <c r="L1579">
        <f>IFERROR(MATCH($C$5&amp;"|"&amp;RIGHT("000000"&amp;1563,6),LdAKeyM,0),"")</f>
        <v/>
      </c>
      <c r="M1579">
        <f>IFERROR(MATCH($C$5&amp;"|"&amp;RIGHT("000000"&amp;1563,6),LdBKeyM,0),"")</f>
        <v/>
      </c>
      <c r="N1579">
        <f>IFERROR(MATCH($C$5&amp;"|"&amp;RIGHT("000000"&amp;1563,6),LdCKeyM,0),"")</f>
        <v/>
      </c>
    </row>
    <row r="1580">
      <c r="A1580" s="19" t="n">
        <v>1564</v>
      </c>
      <c r="B1580" s="20">
        <f>IF(AND($L1580="",$M1580="",$N1580=""),"",IF($L1580&lt;&gt;"",INDEX(LdADate,$L1580),IF($M1580&lt;&gt;"",INDEX(LdBDate,$M1580),INDEX(LdCDate,$N1580))))</f>
        <v/>
      </c>
      <c r="C1580" s="20">
        <f>IF($L1580&lt;&gt;"","دستمزد (فردی)",IF($M1580&lt;&gt;"","سهم از گروه "&amp;IFERROR(VLOOKUP(INDEX(LdBGroup,$M1580),WGTbl,2,0),INDEX(LdBGroup,$M1580)),IF($N1580&lt;&gt;"",IF(N(INDEX(LdCDep,$N1580))&gt;0,"بازگشت بانکی","پرداخت بانکی"),"")))</f>
        <v/>
      </c>
      <c r="D1580" s="20">
        <f>IF($L1580&lt;&gt;"",IF(INDEX(LdAId,$L1580)="","—",INDEX(LdAId,$L1580)),IF($M1580&lt;&gt;"",IF(INDEX(LdBId,$M1580)="","—",INDEX(LdBId,$M1580)),IF($N1580&lt;&gt;"",IF(INDEX(LdCBank,$N1580)="","—",INDEX(LdCBank,$N1580)),"")))</f>
        <v/>
      </c>
      <c r="E1580" s="21">
        <f>IF($L1580&lt;&gt;"",IF(INDEX(LdAAmt,$L1580)=0,"",INDEX(LdAAmt,$L1580)),IF($M1580&lt;&gt;"",IF(INDEX(LdBAmt,$M1580)=0,"",INDEX(LdBAmt,$M1580)),IF($N1580&lt;&gt;"",IF(INDEX(LdCDep,$N1580)=0,"",INDEX(LdCDep,$N1580)),"")))</f>
        <v/>
      </c>
      <c r="F1580" s="21">
        <f>IF(AND($L1580="",$M1580="",$N1580=""),"",IF($N1580="","",IF(INDEX(LdCWit,$N1580)=0,"",INDEX(LdCWit,$N1580))))</f>
        <v/>
      </c>
      <c r="G1580" s="31">
        <f>IF($B1580="","",IF($G1579="",0,$G1579)+IF($E1580="",0,$E1580)-IF($F1580="",0,$F1580))</f>
        <v/>
      </c>
      <c r="H1580" s="32">
        <f>IF(AND($L1580="",$M1580="",$N1580=""),"",IF($L1580&lt;&gt;"",IF(INDEX(LdANote,$L1580)="","—",INDEX(LdANote,$L1580)),IF($M1580&lt;&gt;"",IF(INDEX(LdBNote,$M1580)="","—",INDEX(LdBNote,$M1580)),IF($N1580&lt;&gt;"",IF(INDEX(LdCNote,$N1580)="","—",INDEX(LdCNote,$N1580)),""))))</f>
        <v/>
      </c>
      <c r="L1580">
        <f>IFERROR(MATCH($C$5&amp;"|"&amp;RIGHT("000000"&amp;1564,6),LdAKeyM,0),"")</f>
        <v/>
      </c>
      <c r="M1580">
        <f>IFERROR(MATCH($C$5&amp;"|"&amp;RIGHT("000000"&amp;1564,6),LdBKeyM,0),"")</f>
        <v/>
      </c>
      <c r="N1580">
        <f>IFERROR(MATCH($C$5&amp;"|"&amp;RIGHT("000000"&amp;1564,6),LdCKeyM,0),"")</f>
        <v/>
      </c>
    </row>
    <row r="1581">
      <c r="A1581" s="10" t="n">
        <v>1565</v>
      </c>
      <c r="B1581" s="14">
        <f>IF(AND($L1581="",$M1581="",$N1581=""),"",IF($L1581&lt;&gt;"",INDEX(LdADate,$L1581),IF($M1581&lt;&gt;"",INDEX(LdBDate,$M1581),INDEX(LdCDate,$N1581))))</f>
        <v/>
      </c>
      <c r="C1581" s="14">
        <f>IF($L1581&lt;&gt;"","دستمزد (فردی)",IF($M1581&lt;&gt;"","سهم از گروه "&amp;IFERROR(VLOOKUP(INDEX(LdBGroup,$M1581),WGTbl,2,0),INDEX(LdBGroup,$M1581)),IF($N1581&lt;&gt;"",IF(N(INDEX(LdCDep,$N1581))&gt;0,"بازگشت بانکی","پرداخت بانکی"),"")))</f>
        <v/>
      </c>
      <c r="D1581" s="14">
        <f>IF($L1581&lt;&gt;"",IF(INDEX(LdAId,$L1581)="","—",INDEX(LdAId,$L1581)),IF($M1581&lt;&gt;"",IF(INDEX(LdBId,$M1581)="","—",INDEX(LdBId,$M1581)),IF($N1581&lt;&gt;"",IF(INDEX(LdCBank,$N1581)="","—",INDEX(LdCBank,$N1581)),"")))</f>
        <v/>
      </c>
      <c r="E1581" s="16">
        <f>IF($L1581&lt;&gt;"",IF(INDEX(LdAAmt,$L1581)=0,"",INDEX(LdAAmt,$L1581)),IF($M1581&lt;&gt;"",IF(INDEX(LdBAmt,$M1581)=0,"",INDEX(LdBAmt,$M1581)),IF($N1581&lt;&gt;"",IF(INDEX(LdCDep,$N1581)=0,"",INDEX(LdCDep,$N1581)),"")))</f>
        <v/>
      </c>
      <c r="F1581" s="16">
        <f>IF(AND($L1581="",$M1581="",$N1581=""),"",IF($N1581="","",IF(INDEX(LdCWit,$N1581)=0,"",INDEX(LdCWit,$N1581))))</f>
        <v/>
      </c>
      <c r="G1581" s="29">
        <f>IF($B1581="","",IF($G1580="",0,$G1580)+IF($E1581="",0,$E1581)-IF($F1581="",0,$F1581))</f>
        <v/>
      </c>
      <c r="H1581" s="30">
        <f>IF(AND($L1581="",$M1581="",$N1581=""),"",IF($L1581&lt;&gt;"",IF(INDEX(LdANote,$L1581)="","—",INDEX(LdANote,$L1581)),IF($M1581&lt;&gt;"",IF(INDEX(LdBNote,$M1581)="","—",INDEX(LdBNote,$M1581)),IF($N1581&lt;&gt;"",IF(INDEX(LdCNote,$N1581)="","—",INDEX(LdCNote,$N1581)),""))))</f>
        <v/>
      </c>
      <c r="L1581">
        <f>IFERROR(MATCH($C$5&amp;"|"&amp;RIGHT("000000"&amp;1565,6),LdAKeyM,0),"")</f>
        <v/>
      </c>
      <c r="M1581">
        <f>IFERROR(MATCH($C$5&amp;"|"&amp;RIGHT("000000"&amp;1565,6),LdBKeyM,0),"")</f>
        <v/>
      </c>
      <c r="N1581">
        <f>IFERROR(MATCH($C$5&amp;"|"&amp;RIGHT("000000"&amp;1565,6),LdCKeyM,0),"")</f>
        <v/>
      </c>
    </row>
    <row r="1582">
      <c r="A1582" s="19" t="n">
        <v>1566</v>
      </c>
      <c r="B1582" s="20">
        <f>IF(AND($L1582="",$M1582="",$N1582=""),"",IF($L1582&lt;&gt;"",INDEX(LdADate,$L1582),IF($M1582&lt;&gt;"",INDEX(LdBDate,$M1582),INDEX(LdCDate,$N1582))))</f>
        <v/>
      </c>
      <c r="C1582" s="20">
        <f>IF($L1582&lt;&gt;"","دستمزد (فردی)",IF($M1582&lt;&gt;"","سهم از گروه "&amp;IFERROR(VLOOKUP(INDEX(LdBGroup,$M1582),WGTbl,2,0),INDEX(LdBGroup,$M1582)),IF($N1582&lt;&gt;"",IF(N(INDEX(LdCDep,$N1582))&gt;0,"بازگشت بانکی","پرداخت بانکی"),"")))</f>
        <v/>
      </c>
      <c r="D1582" s="20">
        <f>IF($L1582&lt;&gt;"",IF(INDEX(LdAId,$L1582)="","—",INDEX(LdAId,$L1582)),IF($M1582&lt;&gt;"",IF(INDEX(LdBId,$M1582)="","—",INDEX(LdBId,$M1582)),IF($N1582&lt;&gt;"",IF(INDEX(LdCBank,$N1582)="","—",INDEX(LdCBank,$N1582)),"")))</f>
        <v/>
      </c>
      <c r="E1582" s="21">
        <f>IF($L1582&lt;&gt;"",IF(INDEX(LdAAmt,$L1582)=0,"",INDEX(LdAAmt,$L1582)),IF($M1582&lt;&gt;"",IF(INDEX(LdBAmt,$M1582)=0,"",INDEX(LdBAmt,$M1582)),IF($N1582&lt;&gt;"",IF(INDEX(LdCDep,$N1582)=0,"",INDEX(LdCDep,$N1582)),"")))</f>
        <v/>
      </c>
      <c r="F1582" s="21">
        <f>IF(AND($L1582="",$M1582="",$N1582=""),"",IF($N1582="","",IF(INDEX(LdCWit,$N1582)=0,"",INDEX(LdCWit,$N1582))))</f>
        <v/>
      </c>
      <c r="G1582" s="31">
        <f>IF($B1582="","",IF($G1581="",0,$G1581)+IF($E1582="",0,$E1582)-IF($F1582="",0,$F1582))</f>
        <v/>
      </c>
      <c r="H1582" s="32">
        <f>IF(AND($L1582="",$M1582="",$N1582=""),"",IF($L1582&lt;&gt;"",IF(INDEX(LdANote,$L1582)="","—",INDEX(LdANote,$L1582)),IF($M1582&lt;&gt;"",IF(INDEX(LdBNote,$M1582)="","—",INDEX(LdBNote,$M1582)),IF($N1582&lt;&gt;"",IF(INDEX(LdCNote,$N1582)="","—",INDEX(LdCNote,$N1582)),""))))</f>
        <v/>
      </c>
      <c r="L1582">
        <f>IFERROR(MATCH($C$5&amp;"|"&amp;RIGHT("000000"&amp;1566,6),LdAKeyM,0),"")</f>
        <v/>
      </c>
      <c r="M1582">
        <f>IFERROR(MATCH($C$5&amp;"|"&amp;RIGHT("000000"&amp;1566,6),LdBKeyM,0),"")</f>
        <v/>
      </c>
      <c r="N1582">
        <f>IFERROR(MATCH($C$5&amp;"|"&amp;RIGHT("000000"&amp;1566,6),LdCKeyM,0),"")</f>
        <v/>
      </c>
    </row>
    <row r="1583">
      <c r="A1583" s="10" t="n">
        <v>1567</v>
      </c>
      <c r="B1583" s="14">
        <f>IF(AND($L1583="",$M1583="",$N1583=""),"",IF($L1583&lt;&gt;"",INDEX(LdADate,$L1583),IF($M1583&lt;&gt;"",INDEX(LdBDate,$M1583),INDEX(LdCDate,$N1583))))</f>
        <v/>
      </c>
      <c r="C1583" s="14">
        <f>IF($L1583&lt;&gt;"","دستمزد (فردی)",IF($M1583&lt;&gt;"","سهم از گروه "&amp;IFERROR(VLOOKUP(INDEX(LdBGroup,$M1583),WGTbl,2,0),INDEX(LdBGroup,$M1583)),IF($N1583&lt;&gt;"",IF(N(INDEX(LdCDep,$N1583))&gt;0,"بازگشت بانکی","پرداخت بانکی"),"")))</f>
        <v/>
      </c>
      <c r="D1583" s="14">
        <f>IF($L1583&lt;&gt;"",IF(INDEX(LdAId,$L1583)="","—",INDEX(LdAId,$L1583)),IF($M1583&lt;&gt;"",IF(INDEX(LdBId,$M1583)="","—",INDEX(LdBId,$M1583)),IF($N1583&lt;&gt;"",IF(INDEX(LdCBank,$N1583)="","—",INDEX(LdCBank,$N1583)),"")))</f>
        <v/>
      </c>
      <c r="E1583" s="16">
        <f>IF($L1583&lt;&gt;"",IF(INDEX(LdAAmt,$L1583)=0,"",INDEX(LdAAmt,$L1583)),IF($M1583&lt;&gt;"",IF(INDEX(LdBAmt,$M1583)=0,"",INDEX(LdBAmt,$M1583)),IF($N1583&lt;&gt;"",IF(INDEX(LdCDep,$N1583)=0,"",INDEX(LdCDep,$N1583)),"")))</f>
        <v/>
      </c>
      <c r="F1583" s="16">
        <f>IF(AND($L1583="",$M1583="",$N1583=""),"",IF($N1583="","",IF(INDEX(LdCWit,$N1583)=0,"",INDEX(LdCWit,$N1583))))</f>
        <v/>
      </c>
      <c r="G1583" s="29">
        <f>IF($B1583="","",IF($G1582="",0,$G1582)+IF($E1583="",0,$E1583)-IF($F1583="",0,$F1583))</f>
        <v/>
      </c>
      <c r="H1583" s="30">
        <f>IF(AND($L1583="",$M1583="",$N1583=""),"",IF($L1583&lt;&gt;"",IF(INDEX(LdANote,$L1583)="","—",INDEX(LdANote,$L1583)),IF($M1583&lt;&gt;"",IF(INDEX(LdBNote,$M1583)="","—",INDEX(LdBNote,$M1583)),IF($N1583&lt;&gt;"",IF(INDEX(LdCNote,$N1583)="","—",INDEX(LdCNote,$N1583)),""))))</f>
        <v/>
      </c>
      <c r="L1583">
        <f>IFERROR(MATCH($C$5&amp;"|"&amp;RIGHT("000000"&amp;1567,6),LdAKeyM,0),"")</f>
        <v/>
      </c>
      <c r="M1583">
        <f>IFERROR(MATCH($C$5&amp;"|"&amp;RIGHT("000000"&amp;1567,6),LdBKeyM,0),"")</f>
        <v/>
      </c>
      <c r="N1583">
        <f>IFERROR(MATCH($C$5&amp;"|"&amp;RIGHT("000000"&amp;1567,6),LdCKeyM,0),"")</f>
        <v/>
      </c>
    </row>
    <row r="1584">
      <c r="A1584" s="19" t="n">
        <v>1568</v>
      </c>
      <c r="B1584" s="20">
        <f>IF(AND($L1584="",$M1584="",$N1584=""),"",IF($L1584&lt;&gt;"",INDEX(LdADate,$L1584),IF($M1584&lt;&gt;"",INDEX(LdBDate,$M1584),INDEX(LdCDate,$N1584))))</f>
        <v/>
      </c>
      <c r="C1584" s="20">
        <f>IF($L1584&lt;&gt;"","دستمزد (فردی)",IF($M1584&lt;&gt;"","سهم از گروه "&amp;IFERROR(VLOOKUP(INDEX(LdBGroup,$M1584),WGTbl,2,0),INDEX(LdBGroup,$M1584)),IF($N1584&lt;&gt;"",IF(N(INDEX(LdCDep,$N1584))&gt;0,"بازگشت بانکی","پرداخت بانکی"),"")))</f>
        <v/>
      </c>
      <c r="D1584" s="20">
        <f>IF($L1584&lt;&gt;"",IF(INDEX(LdAId,$L1584)="","—",INDEX(LdAId,$L1584)),IF($M1584&lt;&gt;"",IF(INDEX(LdBId,$M1584)="","—",INDEX(LdBId,$M1584)),IF($N1584&lt;&gt;"",IF(INDEX(LdCBank,$N1584)="","—",INDEX(LdCBank,$N1584)),"")))</f>
        <v/>
      </c>
      <c r="E1584" s="21">
        <f>IF($L1584&lt;&gt;"",IF(INDEX(LdAAmt,$L1584)=0,"",INDEX(LdAAmt,$L1584)),IF($M1584&lt;&gt;"",IF(INDEX(LdBAmt,$M1584)=0,"",INDEX(LdBAmt,$M1584)),IF($N1584&lt;&gt;"",IF(INDEX(LdCDep,$N1584)=0,"",INDEX(LdCDep,$N1584)),"")))</f>
        <v/>
      </c>
      <c r="F1584" s="21">
        <f>IF(AND($L1584="",$M1584="",$N1584=""),"",IF($N1584="","",IF(INDEX(LdCWit,$N1584)=0,"",INDEX(LdCWit,$N1584))))</f>
        <v/>
      </c>
      <c r="G1584" s="31">
        <f>IF($B1584="","",IF($G1583="",0,$G1583)+IF($E1584="",0,$E1584)-IF($F1584="",0,$F1584))</f>
        <v/>
      </c>
      <c r="H1584" s="32">
        <f>IF(AND($L1584="",$M1584="",$N1584=""),"",IF($L1584&lt;&gt;"",IF(INDEX(LdANote,$L1584)="","—",INDEX(LdANote,$L1584)),IF($M1584&lt;&gt;"",IF(INDEX(LdBNote,$M1584)="","—",INDEX(LdBNote,$M1584)),IF($N1584&lt;&gt;"",IF(INDEX(LdCNote,$N1584)="","—",INDEX(LdCNote,$N1584)),""))))</f>
        <v/>
      </c>
      <c r="L1584">
        <f>IFERROR(MATCH($C$5&amp;"|"&amp;RIGHT("000000"&amp;1568,6),LdAKeyM,0),"")</f>
        <v/>
      </c>
      <c r="M1584">
        <f>IFERROR(MATCH($C$5&amp;"|"&amp;RIGHT("000000"&amp;1568,6),LdBKeyM,0),"")</f>
        <v/>
      </c>
      <c r="N1584">
        <f>IFERROR(MATCH($C$5&amp;"|"&amp;RIGHT("000000"&amp;1568,6),LdCKeyM,0),"")</f>
        <v/>
      </c>
    </row>
    <row r="1585">
      <c r="A1585" s="10" t="n">
        <v>1569</v>
      </c>
      <c r="B1585" s="14">
        <f>IF(AND($L1585="",$M1585="",$N1585=""),"",IF($L1585&lt;&gt;"",INDEX(LdADate,$L1585),IF($M1585&lt;&gt;"",INDEX(LdBDate,$M1585),INDEX(LdCDate,$N1585))))</f>
        <v/>
      </c>
      <c r="C1585" s="14">
        <f>IF($L1585&lt;&gt;"","دستمزد (فردی)",IF($M1585&lt;&gt;"","سهم از گروه "&amp;IFERROR(VLOOKUP(INDEX(LdBGroup,$M1585),WGTbl,2,0),INDEX(LdBGroup,$M1585)),IF($N1585&lt;&gt;"",IF(N(INDEX(LdCDep,$N1585))&gt;0,"بازگشت بانکی","پرداخت بانکی"),"")))</f>
        <v/>
      </c>
      <c r="D1585" s="14">
        <f>IF($L1585&lt;&gt;"",IF(INDEX(LdAId,$L1585)="","—",INDEX(LdAId,$L1585)),IF($M1585&lt;&gt;"",IF(INDEX(LdBId,$M1585)="","—",INDEX(LdBId,$M1585)),IF($N1585&lt;&gt;"",IF(INDEX(LdCBank,$N1585)="","—",INDEX(LdCBank,$N1585)),"")))</f>
        <v/>
      </c>
      <c r="E1585" s="16">
        <f>IF($L1585&lt;&gt;"",IF(INDEX(LdAAmt,$L1585)=0,"",INDEX(LdAAmt,$L1585)),IF($M1585&lt;&gt;"",IF(INDEX(LdBAmt,$M1585)=0,"",INDEX(LdBAmt,$M1585)),IF($N1585&lt;&gt;"",IF(INDEX(LdCDep,$N1585)=0,"",INDEX(LdCDep,$N1585)),"")))</f>
        <v/>
      </c>
      <c r="F1585" s="16">
        <f>IF(AND($L1585="",$M1585="",$N1585=""),"",IF($N1585="","",IF(INDEX(LdCWit,$N1585)=0,"",INDEX(LdCWit,$N1585))))</f>
        <v/>
      </c>
      <c r="G1585" s="29">
        <f>IF($B1585="","",IF($G1584="",0,$G1584)+IF($E1585="",0,$E1585)-IF($F1585="",0,$F1585))</f>
        <v/>
      </c>
      <c r="H1585" s="30">
        <f>IF(AND($L1585="",$M1585="",$N1585=""),"",IF($L1585&lt;&gt;"",IF(INDEX(LdANote,$L1585)="","—",INDEX(LdANote,$L1585)),IF($M1585&lt;&gt;"",IF(INDEX(LdBNote,$M1585)="","—",INDEX(LdBNote,$M1585)),IF($N1585&lt;&gt;"",IF(INDEX(LdCNote,$N1585)="","—",INDEX(LdCNote,$N1585)),""))))</f>
        <v/>
      </c>
      <c r="L1585">
        <f>IFERROR(MATCH($C$5&amp;"|"&amp;RIGHT("000000"&amp;1569,6),LdAKeyM,0),"")</f>
        <v/>
      </c>
      <c r="M1585">
        <f>IFERROR(MATCH($C$5&amp;"|"&amp;RIGHT("000000"&amp;1569,6),LdBKeyM,0),"")</f>
        <v/>
      </c>
      <c r="N1585">
        <f>IFERROR(MATCH($C$5&amp;"|"&amp;RIGHT("000000"&amp;1569,6),LdCKeyM,0),"")</f>
        <v/>
      </c>
    </row>
    <row r="1586">
      <c r="A1586" s="19" t="n">
        <v>1570</v>
      </c>
      <c r="B1586" s="20">
        <f>IF(AND($L1586="",$M1586="",$N1586=""),"",IF($L1586&lt;&gt;"",INDEX(LdADate,$L1586),IF($M1586&lt;&gt;"",INDEX(LdBDate,$M1586),INDEX(LdCDate,$N1586))))</f>
        <v/>
      </c>
      <c r="C1586" s="20">
        <f>IF($L1586&lt;&gt;"","دستمزد (فردی)",IF($M1586&lt;&gt;"","سهم از گروه "&amp;IFERROR(VLOOKUP(INDEX(LdBGroup,$M1586),WGTbl,2,0),INDEX(LdBGroup,$M1586)),IF($N1586&lt;&gt;"",IF(N(INDEX(LdCDep,$N1586))&gt;0,"بازگشت بانکی","پرداخت بانکی"),"")))</f>
        <v/>
      </c>
      <c r="D1586" s="20">
        <f>IF($L1586&lt;&gt;"",IF(INDEX(LdAId,$L1586)="","—",INDEX(LdAId,$L1586)),IF($M1586&lt;&gt;"",IF(INDEX(LdBId,$M1586)="","—",INDEX(LdBId,$M1586)),IF($N1586&lt;&gt;"",IF(INDEX(LdCBank,$N1586)="","—",INDEX(LdCBank,$N1586)),"")))</f>
        <v/>
      </c>
      <c r="E1586" s="21">
        <f>IF($L1586&lt;&gt;"",IF(INDEX(LdAAmt,$L1586)=0,"",INDEX(LdAAmt,$L1586)),IF($M1586&lt;&gt;"",IF(INDEX(LdBAmt,$M1586)=0,"",INDEX(LdBAmt,$M1586)),IF($N1586&lt;&gt;"",IF(INDEX(LdCDep,$N1586)=0,"",INDEX(LdCDep,$N1586)),"")))</f>
        <v/>
      </c>
      <c r="F1586" s="21">
        <f>IF(AND($L1586="",$M1586="",$N1586=""),"",IF($N1586="","",IF(INDEX(LdCWit,$N1586)=0,"",INDEX(LdCWit,$N1586))))</f>
        <v/>
      </c>
      <c r="G1586" s="31">
        <f>IF($B1586="","",IF($G1585="",0,$G1585)+IF($E1586="",0,$E1586)-IF($F1586="",0,$F1586))</f>
        <v/>
      </c>
      <c r="H1586" s="32">
        <f>IF(AND($L1586="",$M1586="",$N1586=""),"",IF($L1586&lt;&gt;"",IF(INDEX(LdANote,$L1586)="","—",INDEX(LdANote,$L1586)),IF($M1586&lt;&gt;"",IF(INDEX(LdBNote,$M1586)="","—",INDEX(LdBNote,$M1586)),IF($N1586&lt;&gt;"",IF(INDEX(LdCNote,$N1586)="","—",INDEX(LdCNote,$N1586)),""))))</f>
        <v/>
      </c>
      <c r="L1586">
        <f>IFERROR(MATCH($C$5&amp;"|"&amp;RIGHT("000000"&amp;1570,6),LdAKeyM,0),"")</f>
        <v/>
      </c>
      <c r="M1586">
        <f>IFERROR(MATCH($C$5&amp;"|"&amp;RIGHT("000000"&amp;1570,6),LdBKeyM,0),"")</f>
        <v/>
      </c>
      <c r="N1586">
        <f>IFERROR(MATCH($C$5&amp;"|"&amp;RIGHT("000000"&amp;1570,6),LdCKeyM,0),"")</f>
        <v/>
      </c>
    </row>
    <row r="1587">
      <c r="A1587" s="10" t="n">
        <v>1571</v>
      </c>
      <c r="B1587" s="14">
        <f>IF(AND($L1587="",$M1587="",$N1587=""),"",IF($L1587&lt;&gt;"",INDEX(LdADate,$L1587),IF($M1587&lt;&gt;"",INDEX(LdBDate,$M1587),INDEX(LdCDate,$N1587))))</f>
        <v/>
      </c>
      <c r="C1587" s="14">
        <f>IF($L1587&lt;&gt;"","دستمزد (فردی)",IF($M1587&lt;&gt;"","سهم از گروه "&amp;IFERROR(VLOOKUP(INDEX(LdBGroup,$M1587),WGTbl,2,0),INDEX(LdBGroup,$M1587)),IF($N1587&lt;&gt;"",IF(N(INDEX(LdCDep,$N1587))&gt;0,"بازگشت بانکی","پرداخت بانکی"),"")))</f>
        <v/>
      </c>
      <c r="D1587" s="14">
        <f>IF($L1587&lt;&gt;"",IF(INDEX(LdAId,$L1587)="","—",INDEX(LdAId,$L1587)),IF($M1587&lt;&gt;"",IF(INDEX(LdBId,$M1587)="","—",INDEX(LdBId,$M1587)),IF($N1587&lt;&gt;"",IF(INDEX(LdCBank,$N1587)="","—",INDEX(LdCBank,$N1587)),"")))</f>
        <v/>
      </c>
      <c r="E1587" s="16">
        <f>IF($L1587&lt;&gt;"",IF(INDEX(LdAAmt,$L1587)=0,"",INDEX(LdAAmt,$L1587)),IF($M1587&lt;&gt;"",IF(INDEX(LdBAmt,$M1587)=0,"",INDEX(LdBAmt,$M1587)),IF($N1587&lt;&gt;"",IF(INDEX(LdCDep,$N1587)=0,"",INDEX(LdCDep,$N1587)),"")))</f>
        <v/>
      </c>
      <c r="F1587" s="16">
        <f>IF(AND($L1587="",$M1587="",$N1587=""),"",IF($N1587="","",IF(INDEX(LdCWit,$N1587)=0,"",INDEX(LdCWit,$N1587))))</f>
        <v/>
      </c>
      <c r="G1587" s="29">
        <f>IF($B1587="","",IF($G1586="",0,$G1586)+IF($E1587="",0,$E1587)-IF($F1587="",0,$F1587))</f>
        <v/>
      </c>
      <c r="H1587" s="30">
        <f>IF(AND($L1587="",$M1587="",$N1587=""),"",IF($L1587&lt;&gt;"",IF(INDEX(LdANote,$L1587)="","—",INDEX(LdANote,$L1587)),IF($M1587&lt;&gt;"",IF(INDEX(LdBNote,$M1587)="","—",INDEX(LdBNote,$M1587)),IF($N1587&lt;&gt;"",IF(INDEX(LdCNote,$N1587)="","—",INDEX(LdCNote,$N1587)),""))))</f>
        <v/>
      </c>
      <c r="L1587">
        <f>IFERROR(MATCH($C$5&amp;"|"&amp;RIGHT("000000"&amp;1571,6),LdAKeyM,0),"")</f>
        <v/>
      </c>
      <c r="M1587">
        <f>IFERROR(MATCH($C$5&amp;"|"&amp;RIGHT("000000"&amp;1571,6),LdBKeyM,0),"")</f>
        <v/>
      </c>
      <c r="N1587">
        <f>IFERROR(MATCH($C$5&amp;"|"&amp;RIGHT("000000"&amp;1571,6),LdCKeyM,0),"")</f>
        <v/>
      </c>
    </row>
    <row r="1588">
      <c r="A1588" s="19" t="n">
        <v>1572</v>
      </c>
      <c r="B1588" s="20">
        <f>IF(AND($L1588="",$M1588="",$N1588=""),"",IF($L1588&lt;&gt;"",INDEX(LdADate,$L1588),IF($M1588&lt;&gt;"",INDEX(LdBDate,$M1588),INDEX(LdCDate,$N1588))))</f>
        <v/>
      </c>
      <c r="C1588" s="20">
        <f>IF($L1588&lt;&gt;"","دستمزد (فردی)",IF($M1588&lt;&gt;"","سهم از گروه "&amp;IFERROR(VLOOKUP(INDEX(LdBGroup,$M1588),WGTbl,2,0),INDEX(LdBGroup,$M1588)),IF($N1588&lt;&gt;"",IF(N(INDEX(LdCDep,$N1588))&gt;0,"بازگشت بانکی","پرداخت بانکی"),"")))</f>
        <v/>
      </c>
      <c r="D1588" s="20">
        <f>IF($L1588&lt;&gt;"",IF(INDEX(LdAId,$L1588)="","—",INDEX(LdAId,$L1588)),IF($M1588&lt;&gt;"",IF(INDEX(LdBId,$M1588)="","—",INDEX(LdBId,$M1588)),IF($N1588&lt;&gt;"",IF(INDEX(LdCBank,$N1588)="","—",INDEX(LdCBank,$N1588)),"")))</f>
        <v/>
      </c>
      <c r="E1588" s="21">
        <f>IF($L1588&lt;&gt;"",IF(INDEX(LdAAmt,$L1588)=0,"",INDEX(LdAAmt,$L1588)),IF($M1588&lt;&gt;"",IF(INDEX(LdBAmt,$M1588)=0,"",INDEX(LdBAmt,$M1588)),IF($N1588&lt;&gt;"",IF(INDEX(LdCDep,$N1588)=0,"",INDEX(LdCDep,$N1588)),"")))</f>
        <v/>
      </c>
      <c r="F1588" s="21">
        <f>IF(AND($L1588="",$M1588="",$N1588=""),"",IF($N1588="","",IF(INDEX(LdCWit,$N1588)=0,"",INDEX(LdCWit,$N1588))))</f>
        <v/>
      </c>
      <c r="G1588" s="31">
        <f>IF($B1588="","",IF($G1587="",0,$G1587)+IF($E1588="",0,$E1588)-IF($F1588="",0,$F1588))</f>
        <v/>
      </c>
      <c r="H1588" s="32">
        <f>IF(AND($L1588="",$M1588="",$N1588=""),"",IF($L1588&lt;&gt;"",IF(INDEX(LdANote,$L1588)="","—",INDEX(LdANote,$L1588)),IF($M1588&lt;&gt;"",IF(INDEX(LdBNote,$M1588)="","—",INDEX(LdBNote,$M1588)),IF($N1588&lt;&gt;"",IF(INDEX(LdCNote,$N1588)="","—",INDEX(LdCNote,$N1588)),""))))</f>
        <v/>
      </c>
      <c r="L1588">
        <f>IFERROR(MATCH($C$5&amp;"|"&amp;RIGHT("000000"&amp;1572,6),LdAKeyM,0),"")</f>
        <v/>
      </c>
      <c r="M1588">
        <f>IFERROR(MATCH($C$5&amp;"|"&amp;RIGHT("000000"&amp;1572,6),LdBKeyM,0),"")</f>
        <v/>
      </c>
      <c r="N1588">
        <f>IFERROR(MATCH($C$5&amp;"|"&amp;RIGHT("000000"&amp;1572,6),LdCKeyM,0),"")</f>
        <v/>
      </c>
    </row>
    <row r="1589">
      <c r="A1589" s="10" t="n">
        <v>1573</v>
      </c>
      <c r="B1589" s="14">
        <f>IF(AND($L1589="",$M1589="",$N1589=""),"",IF($L1589&lt;&gt;"",INDEX(LdADate,$L1589),IF($M1589&lt;&gt;"",INDEX(LdBDate,$M1589),INDEX(LdCDate,$N1589))))</f>
        <v/>
      </c>
      <c r="C1589" s="14">
        <f>IF($L1589&lt;&gt;"","دستمزد (فردی)",IF($M1589&lt;&gt;"","سهم از گروه "&amp;IFERROR(VLOOKUP(INDEX(LdBGroup,$M1589),WGTbl,2,0),INDEX(LdBGroup,$M1589)),IF($N1589&lt;&gt;"",IF(N(INDEX(LdCDep,$N1589))&gt;0,"بازگشت بانکی","پرداخت بانکی"),"")))</f>
        <v/>
      </c>
      <c r="D1589" s="14">
        <f>IF($L1589&lt;&gt;"",IF(INDEX(LdAId,$L1589)="","—",INDEX(LdAId,$L1589)),IF($M1589&lt;&gt;"",IF(INDEX(LdBId,$M1589)="","—",INDEX(LdBId,$M1589)),IF($N1589&lt;&gt;"",IF(INDEX(LdCBank,$N1589)="","—",INDEX(LdCBank,$N1589)),"")))</f>
        <v/>
      </c>
      <c r="E1589" s="16">
        <f>IF($L1589&lt;&gt;"",IF(INDEX(LdAAmt,$L1589)=0,"",INDEX(LdAAmt,$L1589)),IF($M1589&lt;&gt;"",IF(INDEX(LdBAmt,$M1589)=0,"",INDEX(LdBAmt,$M1589)),IF($N1589&lt;&gt;"",IF(INDEX(LdCDep,$N1589)=0,"",INDEX(LdCDep,$N1589)),"")))</f>
        <v/>
      </c>
      <c r="F1589" s="16">
        <f>IF(AND($L1589="",$M1589="",$N1589=""),"",IF($N1589="","",IF(INDEX(LdCWit,$N1589)=0,"",INDEX(LdCWit,$N1589))))</f>
        <v/>
      </c>
      <c r="G1589" s="29">
        <f>IF($B1589="","",IF($G1588="",0,$G1588)+IF($E1589="",0,$E1589)-IF($F1589="",0,$F1589))</f>
        <v/>
      </c>
      <c r="H1589" s="30">
        <f>IF(AND($L1589="",$M1589="",$N1589=""),"",IF($L1589&lt;&gt;"",IF(INDEX(LdANote,$L1589)="","—",INDEX(LdANote,$L1589)),IF($M1589&lt;&gt;"",IF(INDEX(LdBNote,$M1589)="","—",INDEX(LdBNote,$M1589)),IF($N1589&lt;&gt;"",IF(INDEX(LdCNote,$N1589)="","—",INDEX(LdCNote,$N1589)),""))))</f>
        <v/>
      </c>
      <c r="L1589">
        <f>IFERROR(MATCH($C$5&amp;"|"&amp;RIGHT("000000"&amp;1573,6),LdAKeyM,0),"")</f>
        <v/>
      </c>
      <c r="M1589">
        <f>IFERROR(MATCH($C$5&amp;"|"&amp;RIGHT("000000"&amp;1573,6),LdBKeyM,0),"")</f>
        <v/>
      </c>
      <c r="N1589">
        <f>IFERROR(MATCH($C$5&amp;"|"&amp;RIGHT("000000"&amp;1573,6),LdCKeyM,0),"")</f>
        <v/>
      </c>
    </row>
    <row r="1590">
      <c r="A1590" s="19" t="n">
        <v>1574</v>
      </c>
      <c r="B1590" s="20">
        <f>IF(AND($L1590="",$M1590="",$N1590=""),"",IF($L1590&lt;&gt;"",INDEX(LdADate,$L1590),IF($M1590&lt;&gt;"",INDEX(LdBDate,$M1590),INDEX(LdCDate,$N1590))))</f>
        <v/>
      </c>
      <c r="C1590" s="20">
        <f>IF($L1590&lt;&gt;"","دستمزد (فردی)",IF($M1590&lt;&gt;"","سهم از گروه "&amp;IFERROR(VLOOKUP(INDEX(LdBGroup,$M1590),WGTbl,2,0),INDEX(LdBGroup,$M1590)),IF($N1590&lt;&gt;"",IF(N(INDEX(LdCDep,$N1590))&gt;0,"بازگشت بانکی","پرداخت بانکی"),"")))</f>
        <v/>
      </c>
      <c r="D1590" s="20">
        <f>IF($L1590&lt;&gt;"",IF(INDEX(LdAId,$L1590)="","—",INDEX(LdAId,$L1590)),IF($M1590&lt;&gt;"",IF(INDEX(LdBId,$M1590)="","—",INDEX(LdBId,$M1590)),IF($N1590&lt;&gt;"",IF(INDEX(LdCBank,$N1590)="","—",INDEX(LdCBank,$N1590)),"")))</f>
        <v/>
      </c>
      <c r="E1590" s="21">
        <f>IF($L1590&lt;&gt;"",IF(INDEX(LdAAmt,$L1590)=0,"",INDEX(LdAAmt,$L1590)),IF($M1590&lt;&gt;"",IF(INDEX(LdBAmt,$M1590)=0,"",INDEX(LdBAmt,$M1590)),IF($N1590&lt;&gt;"",IF(INDEX(LdCDep,$N1590)=0,"",INDEX(LdCDep,$N1590)),"")))</f>
        <v/>
      </c>
      <c r="F1590" s="21">
        <f>IF(AND($L1590="",$M1590="",$N1590=""),"",IF($N1590="","",IF(INDEX(LdCWit,$N1590)=0,"",INDEX(LdCWit,$N1590))))</f>
        <v/>
      </c>
      <c r="G1590" s="31">
        <f>IF($B1590="","",IF($G1589="",0,$G1589)+IF($E1590="",0,$E1590)-IF($F1590="",0,$F1590))</f>
        <v/>
      </c>
      <c r="H1590" s="32">
        <f>IF(AND($L1590="",$M1590="",$N1590=""),"",IF($L1590&lt;&gt;"",IF(INDEX(LdANote,$L1590)="","—",INDEX(LdANote,$L1590)),IF($M1590&lt;&gt;"",IF(INDEX(LdBNote,$M1590)="","—",INDEX(LdBNote,$M1590)),IF($N1590&lt;&gt;"",IF(INDEX(LdCNote,$N1590)="","—",INDEX(LdCNote,$N1590)),""))))</f>
        <v/>
      </c>
      <c r="L1590">
        <f>IFERROR(MATCH($C$5&amp;"|"&amp;RIGHT("000000"&amp;1574,6),LdAKeyM,0),"")</f>
        <v/>
      </c>
      <c r="M1590">
        <f>IFERROR(MATCH($C$5&amp;"|"&amp;RIGHT("000000"&amp;1574,6),LdBKeyM,0),"")</f>
        <v/>
      </c>
      <c r="N1590">
        <f>IFERROR(MATCH($C$5&amp;"|"&amp;RIGHT("000000"&amp;1574,6),LdCKeyM,0),"")</f>
        <v/>
      </c>
    </row>
    <row r="1591">
      <c r="A1591" s="10" t="n">
        <v>1575</v>
      </c>
      <c r="B1591" s="14">
        <f>IF(AND($L1591="",$M1591="",$N1591=""),"",IF($L1591&lt;&gt;"",INDEX(LdADate,$L1591),IF($M1591&lt;&gt;"",INDEX(LdBDate,$M1591),INDEX(LdCDate,$N1591))))</f>
        <v/>
      </c>
      <c r="C1591" s="14">
        <f>IF($L1591&lt;&gt;"","دستمزد (فردی)",IF($M1591&lt;&gt;"","سهم از گروه "&amp;IFERROR(VLOOKUP(INDEX(LdBGroup,$M1591),WGTbl,2,0),INDEX(LdBGroup,$M1591)),IF($N1591&lt;&gt;"",IF(N(INDEX(LdCDep,$N1591))&gt;0,"بازگشت بانکی","پرداخت بانکی"),"")))</f>
        <v/>
      </c>
      <c r="D1591" s="14">
        <f>IF($L1591&lt;&gt;"",IF(INDEX(LdAId,$L1591)="","—",INDEX(LdAId,$L1591)),IF($M1591&lt;&gt;"",IF(INDEX(LdBId,$M1591)="","—",INDEX(LdBId,$M1591)),IF($N1591&lt;&gt;"",IF(INDEX(LdCBank,$N1591)="","—",INDEX(LdCBank,$N1591)),"")))</f>
        <v/>
      </c>
      <c r="E1591" s="16">
        <f>IF($L1591&lt;&gt;"",IF(INDEX(LdAAmt,$L1591)=0,"",INDEX(LdAAmt,$L1591)),IF($M1591&lt;&gt;"",IF(INDEX(LdBAmt,$M1591)=0,"",INDEX(LdBAmt,$M1591)),IF($N1591&lt;&gt;"",IF(INDEX(LdCDep,$N1591)=0,"",INDEX(LdCDep,$N1591)),"")))</f>
        <v/>
      </c>
      <c r="F1591" s="16">
        <f>IF(AND($L1591="",$M1591="",$N1591=""),"",IF($N1591="","",IF(INDEX(LdCWit,$N1591)=0,"",INDEX(LdCWit,$N1591))))</f>
        <v/>
      </c>
      <c r="G1591" s="29">
        <f>IF($B1591="","",IF($G1590="",0,$G1590)+IF($E1591="",0,$E1591)-IF($F1591="",0,$F1591))</f>
        <v/>
      </c>
      <c r="H1591" s="30">
        <f>IF(AND($L1591="",$M1591="",$N1591=""),"",IF($L1591&lt;&gt;"",IF(INDEX(LdANote,$L1591)="","—",INDEX(LdANote,$L1591)),IF($M1591&lt;&gt;"",IF(INDEX(LdBNote,$M1591)="","—",INDEX(LdBNote,$M1591)),IF($N1591&lt;&gt;"",IF(INDEX(LdCNote,$N1591)="","—",INDEX(LdCNote,$N1591)),""))))</f>
        <v/>
      </c>
      <c r="L1591">
        <f>IFERROR(MATCH($C$5&amp;"|"&amp;RIGHT("000000"&amp;1575,6),LdAKeyM,0),"")</f>
        <v/>
      </c>
      <c r="M1591">
        <f>IFERROR(MATCH($C$5&amp;"|"&amp;RIGHT("000000"&amp;1575,6),LdBKeyM,0),"")</f>
        <v/>
      </c>
      <c r="N1591">
        <f>IFERROR(MATCH($C$5&amp;"|"&amp;RIGHT("000000"&amp;1575,6),LdCKeyM,0),"")</f>
        <v/>
      </c>
    </row>
    <row r="1592">
      <c r="A1592" s="19" t="n">
        <v>1576</v>
      </c>
      <c r="B1592" s="20">
        <f>IF(AND($L1592="",$M1592="",$N1592=""),"",IF($L1592&lt;&gt;"",INDEX(LdADate,$L1592),IF($M1592&lt;&gt;"",INDEX(LdBDate,$M1592),INDEX(LdCDate,$N1592))))</f>
        <v/>
      </c>
      <c r="C1592" s="20">
        <f>IF($L1592&lt;&gt;"","دستمزد (فردی)",IF($M1592&lt;&gt;"","سهم از گروه "&amp;IFERROR(VLOOKUP(INDEX(LdBGroup,$M1592),WGTbl,2,0),INDEX(LdBGroup,$M1592)),IF($N1592&lt;&gt;"",IF(N(INDEX(LdCDep,$N1592))&gt;0,"بازگشت بانکی","پرداخت بانکی"),"")))</f>
        <v/>
      </c>
      <c r="D1592" s="20">
        <f>IF($L1592&lt;&gt;"",IF(INDEX(LdAId,$L1592)="","—",INDEX(LdAId,$L1592)),IF($M1592&lt;&gt;"",IF(INDEX(LdBId,$M1592)="","—",INDEX(LdBId,$M1592)),IF($N1592&lt;&gt;"",IF(INDEX(LdCBank,$N1592)="","—",INDEX(LdCBank,$N1592)),"")))</f>
        <v/>
      </c>
      <c r="E1592" s="21">
        <f>IF($L1592&lt;&gt;"",IF(INDEX(LdAAmt,$L1592)=0,"",INDEX(LdAAmt,$L1592)),IF($M1592&lt;&gt;"",IF(INDEX(LdBAmt,$M1592)=0,"",INDEX(LdBAmt,$M1592)),IF($N1592&lt;&gt;"",IF(INDEX(LdCDep,$N1592)=0,"",INDEX(LdCDep,$N1592)),"")))</f>
        <v/>
      </c>
      <c r="F1592" s="21">
        <f>IF(AND($L1592="",$M1592="",$N1592=""),"",IF($N1592="","",IF(INDEX(LdCWit,$N1592)=0,"",INDEX(LdCWit,$N1592))))</f>
        <v/>
      </c>
      <c r="G1592" s="31">
        <f>IF($B1592="","",IF($G1591="",0,$G1591)+IF($E1592="",0,$E1592)-IF($F1592="",0,$F1592))</f>
        <v/>
      </c>
      <c r="H1592" s="32">
        <f>IF(AND($L1592="",$M1592="",$N1592=""),"",IF($L1592&lt;&gt;"",IF(INDEX(LdANote,$L1592)="","—",INDEX(LdANote,$L1592)),IF($M1592&lt;&gt;"",IF(INDEX(LdBNote,$M1592)="","—",INDEX(LdBNote,$M1592)),IF($N1592&lt;&gt;"",IF(INDEX(LdCNote,$N1592)="","—",INDEX(LdCNote,$N1592)),""))))</f>
        <v/>
      </c>
      <c r="L1592">
        <f>IFERROR(MATCH($C$5&amp;"|"&amp;RIGHT("000000"&amp;1576,6),LdAKeyM,0),"")</f>
        <v/>
      </c>
      <c r="M1592">
        <f>IFERROR(MATCH($C$5&amp;"|"&amp;RIGHT("000000"&amp;1576,6),LdBKeyM,0),"")</f>
        <v/>
      </c>
      <c r="N1592">
        <f>IFERROR(MATCH($C$5&amp;"|"&amp;RIGHT("000000"&amp;1576,6),LdCKeyM,0),"")</f>
        <v/>
      </c>
    </row>
    <row r="1593">
      <c r="A1593" s="10" t="n">
        <v>1577</v>
      </c>
      <c r="B1593" s="14">
        <f>IF(AND($L1593="",$M1593="",$N1593=""),"",IF($L1593&lt;&gt;"",INDEX(LdADate,$L1593),IF($M1593&lt;&gt;"",INDEX(LdBDate,$M1593),INDEX(LdCDate,$N1593))))</f>
        <v/>
      </c>
      <c r="C1593" s="14">
        <f>IF($L1593&lt;&gt;"","دستمزد (فردی)",IF($M1593&lt;&gt;"","سهم از گروه "&amp;IFERROR(VLOOKUP(INDEX(LdBGroup,$M1593),WGTbl,2,0),INDEX(LdBGroup,$M1593)),IF($N1593&lt;&gt;"",IF(N(INDEX(LdCDep,$N1593))&gt;0,"بازگشت بانکی","پرداخت بانکی"),"")))</f>
        <v/>
      </c>
      <c r="D1593" s="14">
        <f>IF($L1593&lt;&gt;"",IF(INDEX(LdAId,$L1593)="","—",INDEX(LdAId,$L1593)),IF($M1593&lt;&gt;"",IF(INDEX(LdBId,$M1593)="","—",INDEX(LdBId,$M1593)),IF($N1593&lt;&gt;"",IF(INDEX(LdCBank,$N1593)="","—",INDEX(LdCBank,$N1593)),"")))</f>
        <v/>
      </c>
      <c r="E1593" s="16">
        <f>IF($L1593&lt;&gt;"",IF(INDEX(LdAAmt,$L1593)=0,"",INDEX(LdAAmt,$L1593)),IF($M1593&lt;&gt;"",IF(INDEX(LdBAmt,$M1593)=0,"",INDEX(LdBAmt,$M1593)),IF($N1593&lt;&gt;"",IF(INDEX(LdCDep,$N1593)=0,"",INDEX(LdCDep,$N1593)),"")))</f>
        <v/>
      </c>
      <c r="F1593" s="16">
        <f>IF(AND($L1593="",$M1593="",$N1593=""),"",IF($N1593="","",IF(INDEX(LdCWit,$N1593)=0,"",INDEX(LdCWit,$N1593))))</f>
        <v/>
      </c>
      <c r="G1593" s="29">
        <f>IF($B1593="","",IF($G1592="",0,$G1592)+IF($E1593="",0,$E1593)-IF($F1593="",0,$F1593))</f>
        <v/>
      </c>
      <c r="H1593" s="30">
        <f>IF(AND($L1593="",$M1593="",$N1593=""),"",IF($L1593&lt;&gt;"",IF(INDEX(LdANote,$L1593)="","—",INDEX(LdANote,$L1593)),IF($M1593&lt;&gt;"",IF(INDEX(LdBNote,$M1593)="","—",INDEX(LdBNote,$M1593)),IF($N1593&lt;&gt;"",IF(INDEX(LdCNote,$N1593)="","—",INDEX(LdCNote,$N1593)),""))))</f>
        <v/>
      </c>
      <c r="L1593">
        <f>IFERROR(MATCH($C$5&amp;"|"&amp;RIGHT("000000"&amp;1577,6),LdAKeyM,0),"")</f>
        <v/>
      </c>
      <c r="M1593">
        <f>IFERROR(MATCH($C$5&amp;"|"&amp;RIGHT("000000"&amp;1577,6),LdBKeyM,0),"")</f>
        <v/>
      </c>
      <c r="N1593">
        <f>IFERROR(MATCH($C$5&amp;"|"&amp;RIGHT("000000"&amp;1577,6),LdCKeyM,0),"")</f>
        <v/>
      </c>
    </row>
    <row r="1594">
      <c r="A1594" s="19" t="n">
        <v>1578</v>
      </c>
      <c r="B1594" s="20">
        <f>IF(AND($L1594="",$M1594="",$N1594=""),"",IF($L1594&lt;&gt;"",INDEX(LdADate,$L1594),IF($M1594&lt;&gt;"",INDEX(LdBDate,$M1594),INDEX(LdCDate,$N1594))))</f>
        <v/>
      </c>
      <c r="C1594" s="20">
        <f>IF($L1594&lt;&gt;"","دستمزد (فردی)",IF($M1594&lt;&gt;"","سهم از گروه "&amp;IFERROR(VLOOKUP(INDEX(LdBGroup,$M1594),WGTbl,2,0),INDEX(LdBGroup,$M1594)),IF($N1594&lt;&gt;"",IF(N(INDEX(LdCDep,$N1594))&gt;0,"بازگشت بانکی","پرداخت بانکی"),"")))</f>
        <v/>
      </c>
      <c r="D1594" s="20">
        <f>IF($L1594&lt;&gt;"",IF(INDEX(LdAId,$L1594)="","—",INDEX(LdAId,$L1594)),IF($M1594&lt;&gt;"",IF(INDEX(LdBId,$M1594)="","—",INDEX(LdBId,$M1594)),IF($N1594&lt;&gt;"",IF(INDEX(LdCBank,$N1594)="","—",INDEX(LdCBank,$N1594)),"")))</f>
        <v/>
      </c>
      <c r="E1594" s="21">
        <f>IF($L1594&lt;&gt;"",IF(INDEX(LdAAmt,$L1594)=0,"",INDEX(LdAAmt,$L1594)),IF($M1594&lt;&gt;"",IF(INDEX(LdBAmt,$M1594)=0,"",INDEX(LdBAmt,$M1594)),IF($N1594&lt;&gt;"",IF(INDEX(LdCDep,$N1594)=0,"",INDEX(LdCDep,$N1594)),"")))</f>
        <v/>
      </c>
      <c r="F1594" s="21">
        <f>IF(AND($L1594="",$M1594="",$N1594=""),"",IF($N1594="","",IF(INDEX(LdCWit,$N1594)=0,"",INDEX(LdCWit,$N1594))))</f>
        <v/>
      </c>
      <c r="G1594" s="31">
        <f>IF($B1594="","",IF($G1593="",0,$G1593)+IF($E1594="",0,$E1594)-IF($F1594="",0,$F1594))</f>
        <v/>
      </c>
      <c r="H1594" s="32">
        <f>IF(AND($L1594="",$M1594="",$N1594=""),"",IF($L1594&lt;&gt;"",IF(INDEX(LdANote,$L1594)="","—",INDEX(LdANote,$L1594)),IF($M1594&lt;&gt;"",IF(INDEX(LdBNote,$M1594)="","—",INDEX(LdBNote,$M1594)),IF($N1594&lt;&gt;"",IF(INDEX(LdCNote,$N1594)="","—",INDEX(LdCNote,$N1594)),""))))</f>
        <v/>
      </c>
      <c r="L1594">
        <f>IFERROR(MATCH($C$5&amp;"|"&amp;RIGHT("000000"&amp;1578,6),LdAKeyM,0),"")</f>
        <v/>
      </c>
      <c r="M1594">
        <f>IFERROR(MATCH($C$5&amp;"|"&amp;RIGHT("000000"&amp;1578,6),LdBKeyM,0),"")</f>
        <v/>
      </c>
      <c r="N1594">
        <f>IFERROR(MATCH($C$5&amp;"|"&amp;RIGHT("000000"&amp;1578,6),LdCKeyM,0),"")</f>
        <v/>
      </c>
    </row>
    <row r="1595">
      <c r="A1595" s="10" t="n">
        <v>1579</v>
      </c>
      <c r="B1595" s="14">
        <f>IF(AND($L1595="",$M1595="",$N1595=""),"",IF($L1595&lt;&gt;"",INDEX(LdADate,$L1595),IF($M1595&lt;&gt;"",INDEX(LdBDate,$M1595),INDEX(LdCDate,$N1595))))</f>
        <v/>
      </c>
      <c r="C1595" s="14">
        <f>IF($L1595&lt;&gt;"","دستمزد (فردی)",IF($M1595&lt;&gt;"","سهم از گروه "&amp;IFERROR(VLOOKUP(INDEX(LdBGroup,$M1595),WGTbl,2,0),INDEX(LdBGroup,$M1595)),IF($N1595&lt;&gt;"",IF(N(INDEX(LdCDep,$N1595))&gt;0,"بازگشت بانکی","پرداخت بانکی"),"")))</f>
        <v/>
      </c>
      <c r="D1595" s="14">
        <f>IF($L1595&lt;&gt;"",IF(INDEX(LdAId,$L1595)="","—",INDEX(LdAId,$L1595)),IF($M1595&lt;&gt;"",IF(INDEX(LdBId,$M1595)="","—",INDEX(LdBId,$M1595)),IF($N1595&lt;&gt;"",IF(INDEX(LdCBank,$N1595)="","—",INDEX(LdCBank,$N1595)),"")))</f>
        <v/>
      </c>
      <c r="E1595" s="16">
        <f>IF($L1595&lt;&gt;"",IF(INDEX(LdAAmt,$L1595)=0,"",INDEX(LdAAmt,$L1595)),IF($M1595&lt;&gt;"",IF(INDEX(LdBAmt,$M1595)=0,"",INDEX(LdBAmt,$M1595)),IF($N1595&lt;&gt;"",IF(INDEX(LdCDep,$N1595)=0,"",INDEX(LdCDep,$N1595)),"")))</f>
        <v/>
      </c>
      <c r="F1595" s="16">
        <f>IF(AND($L1595="",$M1595="",$N1595=""),"",IF($N1595="","",IF(INDEX(LdCWit,$N1595)=0,"",INDEX(LdCWit,$N1595))))</f>
        <v/>
      </c>
      <c r="G1595" s="29">
        <f>IF($B1595="","",IF($G1594="",0,$G1594)+IF($E1595="",0,$E1595)-IF($F1595="",0,$F1595))</f>
        <v/>
      </c>
      <c r="H1595" s="30">
        <f>IF(AND($L1595="",$M1595="",$N1595=""),"",IF($L1595&lt;&gt;"",IF(INDEX(LdANote,$L1595)="","—",INDEX(LdANote,$L1595)),IF($M1595&lt;&gt;"",IF(INDEX(LdBNote,$M1595)="","—",INDEX(LdBNote,$M1595)),IF($N1595&lt;&gt;"",IF(INDEX(LdCNote,$N1595)="","—",INDEX(LdCNote,$N1595)),""))))</f>
        <v/>
      </c>
      <c r="L1595">
        <f>IFERROR(MATCH($C$5&amp;"|"&amp;RIGHT("000000"&amp;1579,6),LdAKeyM,0),"")</f>
        <v/>
      </c>
      <c r="M1595">
        <f>IFERROR(MATCH($C$5&amp;"|"&amp;RIGHT("000000"&amp;1579,6),LdBKeyM,0),"")</f>
        <v/>
      </c>
      <c r="N1595">
        <f>IFERROR(MATCH($C$5&amp;"|"&amp;RIGHT("000000"&amp;1579,6),LdCKeyM,0),"")</f>
        <v/>
      </c>
    </row>
    <row r="1596">
      <c r="A1596" s="19" t="n">
        <v>1580</v>
      </c>
      <c r="B1596" s="20">
        <f>IF(AND($L1596="",$M1596="",$N1596=""),"",IF($L1596&lt;&gt;"",INDEX(LdADate,$L1596),IF($M1596&lt;&gt;"",INDEX(LdBDate,$M1596),INDEX(LdCDate,$N1596))))</f>
        <v/>
      </c>
      <c r="C1596" s="20">
        <f>IF($L1596&lt;&gt;"","دستمزد (فردی)",IF($M1596&lt;&gt;"","سهم از گروه "&amp;IFERROR(VLOOKUP(INDEX(LdBGroup,$M1596),WGTbl,2,0),INDEX(LdBGroup,$M1596)),IF($N1596&lt;&gt;"",IF(N(INDEX(LdCDep,$N1596))&gt;0,"بازگشت بانکی","پرداخت بانکی"),"")))</f>
        <v/>
      </c>
      <c r="D1596" s="20">
        <f>IF($L1596&lt;&gt;"",IF(INDEX(LdAId,$L1596)="","—",INDEX(LdAId,$L1596)),IF($M1596&lt;&gt;"",IF(INDEX(LdBId,$M1596)="","—",INDEX(LdBId,$M1596)),IF($N1596&lt;&gt;"",IF(INDEX(LdCBank,$N1596)="","—",INDEX(LdCBank,$N1596)),"")))</f>
        <v/>
      </c>
      <c r="E1596" s="21">
        <f>IF($L1596&lt;&gt;"",IF(INDEX(LdAAmt,$L1596)=0,"",INDEX(LdAAmt,$L1596)),IF($M1596&lt;&gt;"",IF(INDEX(LdBAmt,$M1596)=0,"",INDEX(LdBAmt,$M1596)),IF($N1596&lt;&gt;"",IF(INDEX(LdCDep,$N1596)=0,"",INDEX(LdCDep,$N1596)),"")))</f>
        <v/>
      </c>
      <c r="F1596" s="21">
        <f>IF(AND($L1596="",$M1596="",$N1596=""),"",IF($N1596="","",IF(INDEX(LdCWit,$N1596)=0,"",INDEX(LdCWit,$N1596))))</f>
        <v/>
      </c>
      <c r="G1596" s="31">
        <f>IF($B1596="","",IF($G1595="",0,$G1595)+IF($E1596="",0,$E1596)-IF($F1596="",0,$F1596))</f>
        <v/>
      </c>
      <c r="H1596" s="32">
        <f>IF(AND($L1596="",$M1596="",$N1596=""),"",IF($L1596&lt;&gt;"",IF(INDEX(LdANote,$L1596)="","—",INDEX(LdANote,$L1596)),IF($M1596&lt;&gt;"",IF(INDEX(LdBNote,$M1596)="","—",INDEX(LdBNote,$M1596)),IF($N1596&lt;&gt;"",IF(INDEX(LdCNote,$N1596)="","—",INDEX(LdCNote,$N1596)),""))))</f>
        <v/>
      </c>
      <c r="L1596">
        <f>IFERROR(MATCH($C$5&amp;"|"&amp;RIGHT("000000"&amp;1580,6),LdAKeyM,0),"")</f>
        <v/>
      </c>
      <c r="M1596">
        <f>IFERROR(MATCH($C$5&amp;"|"&amp;RIGHT("000000"&amp;1580,6),LdBKeyM,0),"")</f>
        <v/>
      </c>
      <c r="N1596">
        <f>IFERROR(MATCH($C$5&amp;"|"&amp;RIGHT("000000"&amp;1580,6),LdCKeyM,0),"")</f>
        <v/>
      </c>
    </row>
    <row r="1597">
      <c r="A1597" s="10" t="n">
        <v>1581</v>
      </c>
      <c r="B1597" s="14">
        <f>IF(AND($L1597="",$M1597="",$N1597=""),"",IF($L1597&lt;&gt;"",INDEX(LdADate,$L1597),IF($M1597&lt;&gt;"",INDEX(LdBDate,$M1597),INDEX(LdCDate,$N1597))))</f>
        <v/>
      </c>
      <c r="C1597" s="14">
        <f>IF($L1597&lt;&gt;"","دستمزد (فردی)",IF($M1597&lt;&gt;"","سهم از گروه "&amp;IFERROR(VLOOKUP(INDEX(LdBGroup,$M1597),WGTbl,2,0),INDEX(LdBGroup,$M1597)),IF($N1597&lt;&gt;"",IF(N(INDEX(LdCDep,$N1597))&gt;0,"بازگشت بانکی","پرداخت بانکی"),"")))</f>
        <v/>
      </c>
      <c r="D1597" s="14">
        <f>IF($L1597&lt;&gt;"",IF(INDEX(LdAId,$L1597)="","—",INDEX(LdAId,$L1597)),IF($M1597&lt;&gt;"",IF(INDEX(LdBId,$M1597)="","—",INDEX(LdBId,$M1597)),IF($N1597&lt;&gt;"",IF(INDEX(LdCBank,$N1597)="","—",INDEX(LdCBank,$N1597)),"")))</f>
        <v/>
      </c>
      <c r="E1597" s="16">
        <f>IF($L1597&lt;&gt;"",IF(INDEX(LdAAmt,$L1597)=0,"",INDEX(LdAAmt,$L1597)),IF($M1597&lt;&gt;"",IF(INDEX(LdBAmt,$M1597)=0,"",INDEX(LdBAmt,$M1597)),IF($N1597&lt;&gt;"",IF(INDEX(LdCDep,$N1597)=0,"",INDEX(LdCDep,$N1597)),"")))</f>
        <v/>
      </c>
      <c r="F1597" s="16">
        <f>IF(AND($L1597="",$M1597="",$N1597=""),"",IF($N1597="","",IF(INDEX(LdCWit,$N1597)=0,"",INDEX(LdCWit,$N1597))))</f>
        <v/>
      </c>
      <c r="G1597" s="29">
        <f>IF($B1597="","",IF($G1596="",0,$G1596)+IF($E1597="",0,$E1597)-IF($F1597="",0,$F1597))</f>
        <v/>
      </c>
      <c r="H1597" s="30">
        <f>IF(AND($L1597="",$M1597="",$N1597=""),"",IF($L1597&lt;&gt;"",IF(INDEX(LdANote,$L1597)="","—",INDEX(LdANote,$L1597)),IF($M1597&lt;&gt;"",IF(INDEX(LdBNote,$M1597)="","—",INDEX(LdBNote,$M1597)),IF($N1597&lt;&gt;"",IF(INDEX(LdCNote,$N1597)="","—",INDEX(LdCNote,$N1597)),""))))</f>
        <v/>
      </c>
      <c r="L1597">
        <f>IFERROR(MATCH($C$5&amp;"|"&amp;RIGHT("000000"&amp;1581,6),LdAKeyM,0),"")</f>
        <v/>
      </c>
      <c r="M1597">
        <f>IFERROR(MATCH($C$5&amp;"|"&amp;RIGHT("000000"&amp;1581,6),LdBKeyM,0),"")</f>
        <v/>
      </c>
      <c r="N1597">
        <f>IFERROR(MATCH($C$5&amp;"|"&amp;RIGHT("000000"&amp;1581,6),LdCKeyM,0),"")</f>
        <v/>
      </c>
    </row>
    <row r="1598">
      <c r="A1598" s="19" t="n">
        <v>1582</v>
      </c>
      <c r="B1598" s="20">
        <f>IF(AND($L1598="",$M1598="",$N1598=""),"",IF($L1598&lt;&gt;"",INDEX(LdADate,$L1598),IF($M1598&lt;&gt;"",INDEX(LdBDate,$M1598),INDEX(LdCDate,$N1598))))</f>
        <v/>
      </c>
      <c r="C1598" s="20">
        <f>IF($L1598&lt;&gt;"","دستمزد (فردی)",IF($M1598&lt;&gt;"","سهم از گروه "&amp;IFERROR(VLOOKUP(INDEX(LdBGroup,$M1598),WGTbl,2,0),INDEX(LdBGroup,$M1598)),IF($N1598&lt;&gt;"",IF(N(INDEX(LdCDep,$N1598))&gt;0,"بازگشت بانکی","پرداخت بانکی"),"")))</f>
        <v/>
      </c>
      <c r="D1598" s="20">
        <f>IF($L1598&lt;&gt;"",IF(INDEX(LdAId,$L1598)="","—",INDEX(LdAId,$L1598)),IF($M1598&lt;&gt;"",IF(INDEX(LdBId,$M1598)="","—",INDEX(LdBId,$M1598)),IF($N1598&lt;&gt;"",IF(INDEX(LdCBank,$N1598)="","—",INDEX(LdCBank,$N1598)),"")))</f>
        <v/>
      </c>
      <c r="E1598" s="21">
        <f>IF($L1598&lt;&gt;"",IF(INDEX(LdAAmt,$L1598)=0,"",INDEX(LdAAmt,$L1598)),IF($M1598&lt;&gt;"",IF(INDEX(LdBAmt,$M1598)=0,"",INDEX(LdBAmt,$M1598)),IF($N1598&lt;&gt;"",IF(INDEX(LdCDep,$N1598)=0,"",INDEX(LdCDep,$N1598)),"")))</f>
        <v/>
      </c>
      <c r="F1598" s="21">
        <f>IF(AND($L1598="",$M1598="",$N1598=""),"",IF($N1598="","",IF(INDEX(LdCWit,$N1598)=0,"",INDEX(LdCWit,$N1598))))</f>
        <v/>
      </c>
      <c r="G1598" s="31">
        <f>IF($B1598="","",IF($G1597="",0,$G1597)+IF($E1598="",0,$E1598)-IF($F1598="",0,$F1598))</f>
        <v/>
      </c>
      <c r="H1598" s="32">
        <f>IF(AND($L1598="",$M1598="",$N1598=""),"",IF($L1598&lt;&gt;"",IF(INDEX(LdANote,$L1598)="","—",INDEX(LdANote,$L1598)),IF($M1598&lt;&gt;"",IF(INDEX(LdBNote,$M1598)="","—",INDEX(LdBNote,$M1598)),IF($N1598&lt;&gt;"",IF(INDEX(LdCNote,$N1598)="","—",INDEX(LdCNote,$N1598)),""))))</f>
        <v/>
      </c>
      <c r="L1598">
        <f>IFERROR(MATCH($C$5&amp;"|"&amp;RIGHT("000000"&amp;1582,6),LdAKeyM,0),"")</f>
        <v/>
      </c>
      <c r="M1598">
        <f>IFERROR(MATCH($C$5&amp;"|"&amp;RIGHT("000000"&amp;1582,6),LdBKeyM,0),"")</f>
        <v/>
      </c>
      <c r="N1598">
        <f>IFERROR(MATCH($C$5&amp;"|"&amp;RIGHT("000000"&amp;1582,6),LdCKeyM,0),"")</f>
        <v/>
      </c>
    </row>
    <row r="1599">
      <c r="A1599" s="10" t="n">
        <v>1583</v>
      </c>
      <c r="B1599" s="14">
        <f>IF(AND($L1599="",$M1599="",$N1599=""),"",IF($L1599&lt;&gt;"",INDEX(LdADate,$L1599),IF($M1599&lt;&gt;"",INDEX(LdBDate,$M1599),INDEX(LdCDate,$N1599))))</f>
        <v/>
      </c>
      <c r="C1599" s="14">
        <f>IF($L1599&lt;&gt;"","دستمزد (فردی)",IF($M1599&lt;&gt;"","سهم از گروه "&amp;IFERROR(VLOOKUP(INDEX(LdBGroup,$M1599),WGTbl,2,0),INDEX(LdBGroup,$M1599)),IF($N1599&lt;&gt;"",IF(N(INDEX(LdCDep,$N1599))&gt;0,"بازگشت بانکی","پرداخت بانکی"),"")))</f>
        <v/>
      </c>
      <c r="D1599" s="14">
        <f>IF($L1599&lt;&gt;"",IF(INDEX(LdAId,$L1599)="","—",INDEX(LdAId,$L1599)),IF($M1599&lt;&gt;"",IF(INDEX(LdBId,$M1599)="","—",INDEX(LdBId,$M1599)),IF($N1599&lt;&gt;"",IF(INDEX(LdCBank,$N1599)="","—",INDEX(LdCBank,$N1599)),"")))</f>
        <v/>
      </c>
      <c r="E1599" s="16">
        <f>IF($L1599&lt;&gt;"",IF(INDEX(LdAAmt,$L1599)=0,"",INDEX(LdAAmt,$L1599)),IF($M1599&lt;&gt;"",IF(INDEX(LdBAmt,$M1599)=0,"",INDEX(LdBAmt,$M1599)),IF($N1599&lt;&gt;"",IF(INDEX(LdCDep,$N1599)=0,"",INDEX(LdCDep,$N1599)),"")))</f>
        <v/>
      </c>
      <c r="F1599" s="16">
        <f>IF(AND($L1599="",$M1599="",$N1599=""),"",IF($N1599="","",IF(INDEX(LdCWit,$N1599)=0,"",INDEX(LdCWit,$N1599))))</f>
        <v/>
      </c>
      <c r="G1599" s="29">
        <f>IF($B1599="","",IF($G1598="",0,$G1598)+IF($E1599="",0,$E1599)-IF($F1599="",0,$F1599))</f>
        <v/>
      </c>
      <c r="H1599" s="30">
        <f>IF(AND($L1599="",$M1599="",$N1599=""),"",IF($L1599&lt;&gt;"",IF(INDEX(LdANote,$L1599)="","—",INDEX(LdANote,$L1599)),IF($M1599&lt;&gt;"",IF(INDEX(LdBNote,$M1599)="","—",INDEX(LdBNote,$M1599)),IF($N1599&lt;&gt;"",IF(INDEX(LdCNote,$N1599)="","—",INDEX(LdCNote,$N1599)),""))))</f>
        <v/>
      </c>
      <c r="L1599">
        <f>IFERROR(MATCH($C$5&amp;"|"&amp;RIGHT("000000"&amp;1583,6),LdAKeyM,0),"")</f>
        <v/>
      </c>
      <c r="M1599">
        <f>IFERROR(MATCH($C$5&amp;"|"&amp;RIGHT("000000"&amp;1583,6),LdBKeyM,0),"")</f>
        <v/>
      </c>
      <c r="N1599">
        <f>IFERROR(MATCH($C$5&amp;"|"&amp;RIGHT("000000"&amp;1583,6),LdCKeyM,0),"")</f>
        <v/>
      </c>
    </row>
    <row r="1600">
      <c r="A1600" s="19" t="n">
        <v>1584</v>
      </c>
      <c r="B1600" s="20">
        <f>IF(AND($L1600="",$M1600="",$N1600=""),"",IF($L1600&lt;&gt;"",INDEX(LdADate,$L1600),IF($M1600&lt;&gt;"",INDEX(LdBDate,$M1600),INDEX(LdCDate,$N1600))))</f>
        <v/>
      </c>
      <c r="C1600" s="20">
        <f>IF($L1600&lt;&gt;"","دستمزد (فردی)",IF($M1600&lt;&gt;"","سهم از گروه "&amp;IFERROR(VLOOKUP(INDEX(LdBGroup,$M1600),WGTbl,2,0),INDEX(LdBGroup,$M1600)),IF($N1600&lt;&gt;"",IF(N(INDEX(LdCDep,$N1600))&gt;0,"بازگشت بانکی","پرداخت بانکی"),"")))</f>
        <v/>
      </c>
      <c r="D1600" s="20">
        <f>IF($L1600&lt;&gt;"",IF(INDEX(LdAId,$L1600)="","—",INDEX(LdAId,$L1600)),IF($M1600&lt;&gt;"",IF(INDEX(LdBId,$M1600)="","—",INDEX(LdBId,$M1600)),IF($N1600&lt;&gt;"",IF(INDEX(LdCBank,$N1600)="","—",INDEX(LdCBank,$N1600)),"")))</f>
        <v/>
      </c>
      <c r="E1600" s="21">
        <f>IF($L1600&lt;&gt;"",IF(INDEX(LdAAmt,$L1600)=0,"",INDEX(LdAAmt,$L1600)),IF($M1600&lt;&gt;"",IF(INDEX(LdBAmt,$M1600)=0,"",INDEX(LdBAmt,$M1600)),IF($N1600&lt;&gt;"",IF(INDEX(LdCDep,$N1600)=0,"",INDEX(LdCDep,$N1600)),"")))</f>
        <v/>
      </c>
      <c r="F1600" s="21">
        <f>IF(AND($L1600="",$M1600="",$N1600=""),"",IF($N1600="","",IF(INDEX(LdCWit,$N1600)=0,"",INDEX(LdCWit,$N1600))))</f>
        <v/>
      </c>
      <c r="G1600" s="31">
        <f>IF($B1600="","",IF($G1599="",0,$G1599)+IF($E1600="",0,$E1600)-IF($F1600="",0,$F1600))</f>
        <v/>
      </c>
      <c r="H1600" s="32">
        <f>IF(AND($L1600="",$M1600="",$N1600=""),"",IF($L1600&lt;&gt;"",IF(INDEX(LdANote,$L1600)="","—",INDEX(LdANote,$L1600)),IF($M1600&lt;&gt;"",IF(INDEX(LdBNote,$M1600)="","—",INDEX(LdBNote,$M1600)),IF($N1600&lt;&gt;"",IF(INDEX(LdCNote,$N1600)="","—",INDEX(LdCNote,$N1600)),""))))</f>
        <v/>
      </c>
      <c r="L1600">
        <f>IFERROR(MATCH($C$5&amp;"|"&amp;RIGHT("000000"&amp;1584,6),LdAKeyM,0),"")</f>
        <v/>
      </c>
      <c r="M1600">
        <f>IFERROR(MATCH($C$5&amp;"|"&amp;RIGHT("000000"&amp;1584,6),LdBKeyM,0),"")</f>
        <v/>
      </c>
      <c r="N1600">
        <f>IFERROR(MATCH($C$5&amp;"|"&amp;RIGHT("000000"&amp;1584,6),LdCKeyM,0),"")</f>
        <v/>
      </c>
    </row>
    <row r="1601">
      <c r="A1601" s="10" t="n">
        <v>1585</v>
      </c>
      <c r="B1601" s="14">
        <f>IF(AND($L1601="",$M1601="",$N1601=""),"",IF($L1601&lt;&gt;"",INDEX(LdADate,$L1601),IF($M1601&lt;&gt;"",INDEX(LdBDate,$M1601),INDEX(LdCDate,$N1601))))</f>
        <v/>
      </c>
      <c r="C1601" s="14">
        <f>IF($L1601&lt;&gt;"","دستمزد (فردی)",IF($M1601&lt;&gt;"","سهم از گروه "&amp;IFERROR(VLOOKUP(INDEX(LdBGroup,$M1601),WGTbl,2,0),INDEX(LdBGroup,$M1601)),IF($N1601&lt;&gt;"",IF(N(INDEX(LdCDep,$N1601))&gt;0,"بازگشت بانکی","پرداخت بانکی"),"")))</f>
        <v/>
      </c>
      <c r="D1601" s="14">
        <f>IF($L1601&lt;&gt;"",IF(INDEX(LdAId,$L1601)="","—",INDEX(LdAId,$L1601)),IF($M1601&lt;&gt;"",IF(INDEX(LdBId,$M1601)="","—",INDEX(LdBId,$M1601)),IF($N1601&lt;&gt;"",IF(INDEX(LdCBank,$N1601)="","—",INDEX(LdCBank,$N1601)),"")))</f>
        <v/>
      </c>
      <c r="E1601" s="16">
        <f>IF($L1601&lt;&gt;"",IF(INDEX(LdAAmt,$L1601)=0,"",INDEX(LdAAmt,$L1601)),IF($M1601&lt;&gt;"",IF(INDEX(LdBAmt,$M1601)=0,"",INDEX(LdBAmt,$M1601)),IF($N1601&lt;&gt;"",IF(INDEX(LdCDep,$N1601)=0,"",INDEX(LdCDep,$N1601)),"")))</f>
        <v/>
      </c>
      <c r="F1601" s="16">
        <f>IF(AND($L1601="",$M1601="",$N1601=""),"",IF($N1601="","",IF(INDEX(LdCWit,$N1601)=0,"",INDEX(LdCWit,$N1601))))</f>
        <v/>
      </c>
      <c r="G1601" s="29">
        <f>IF($B1601="","",IF($G1600="",0,$G1600)+IF($E1601="",0,$E1601)-IF($F1601="",0,$F1601))</f>
        <v/>
      </c>
      <c r="H1601" s="30">
        <f>IF(AND($L1601="",$M1601="",$N1601=""),"",IF($L1601&lt;&gt;"",IF(INDEX(LdANote,$L1601)="","—",INDEX(LdANote,$L1601)),IF($M1601&lt;&gt;"",IF(INDEX(LdBNote,$M1601)="","—",INDEX(LdBNote,$M1601)),IF($N1601&lt;&gt;"",IF(INDEX(LdCNote,$N1601)="","—",INDEX(LdCNote,$N1601)),""))))</f>
        <v/>
      </c>
      <c r="L1601">
        <f>IFERROR(MATCH($C$5&amp;"|"&amp;RIGHT("000000"&amp;1585,6),LdAKeyM,0),"")</f>
        <v/>
      </c>
      <c r="M1601">
        <f>IFERROR(MATCH($C$5&amp;"|"&amp;RIGHT("000000"&amp;1585,6),LdBKeyM,0),"")</f>
        <v/>
      </c>
      <c r="N1601">
        <f>IFERROR(MATCH($C$5&amp;"|"&amp;RIGHT("000000"&amp;1585,6),LdCKeyM,0),"")</f>
        <v/>
      </c>
    </row>
    <row r="1602">
      <c r="A1602" s="19" t="n">
        <v>1586</v>
      </c>
      <c r="B1602" s="20">
        <f>IF(AND($L1602="",$M1602="",$N1602=""),"",IF($L1602&lt;&gt;"",INDEX(LdADate,$L1602),IF($M1602&lt;&gt;"",INDEX(LdBDate,$M1602),INDEX(LdCDate,$N1602))))</f>
        <v/>
      </c>
      <c r="C1602" s="20">
        <f>IF($L1602&lt;&gt;"","دستمزد (فردی)",IF($M1602&lt;&gt;"","سهم از گروه "&amp;IFERROR(VLOOKUP(INDEX(LdBGroup,$M1602),WGTbl,2,0),INDEX(LdBGroup,$M1602)),IF($N1602&lt;&gt;"",IF(N(INDEX(LdCDep,$N1602))&gt;0,"بازگشت بانکی","پرداخت بانکی"),"")))</f>
        <v/>
      </c>
      <c r="D1602" s="20">
        <f>IF($L1602&lt;&gt;"",IF(INDEX(LdAId,$L1602)="","—",INDEX(LdAId,$L1602)),IF($M1602&lt;&gt;"",IF(INDEX(LdBId,$M1602)="","—",INDEX(LdBId,$M1602)),IF($N1602&lt;&gt;"",IF(INDEX(LdCBank,$N1602)="","—",INDEX(LdCBank,$N1602)),"")))</f>
        <v/>
      </c>
      <c r="E1602" s="21">
        <f>IF($L1602&lt;&gt;"",IF(INDEX(LdAAmt,$L1602)=0,"",INDEX(LdAAmt,$L1602)),IF($M1602&lt;&gt;"",IF(INDEX(LdBAmt,$M1602)=0,"",INDEX(LdBAmt,$M1602)),IF($N1602&lt;&gt;"",IF(INDEX(LdCDep,$N1602)=0,"",INDEX(LdCDep,$N1602)),"")))</f>
        <v/>
      </c>
      <c r="F1602" s="21">
        <f>IF(AND($L1602="",$M1602="",$N1602=""),"",IF($N1602="","",IF(INDEX(LdCWit,$N1602)=0,"",INDEX(LdCWit,$N1602))))</f>
        <v/>
      </c>
      <c r="G1602" s="31">
        <f>IF($B1602="","",IF($G1601="",0,$G1601)+IF($E1602="",0,$E1602)-IF($F1602="",0,$F1602))</f>
        <v/>
      </c>
      <c r="H1602" s="32">
        <f>IF(AND($L1602="",$M1602="",$N1602=""),"",IF($L1602&lt;&gt;"",IF(INDEX(LdANote,$L1602)="","—",INDEX(LdANote,$L1602)),IF($M1602&lt;&gt;"",IF(INDEX(LdBNote,$M1602)="","—",INDEX(LdBNote,$M1602)),IF($N1602&lt;&gt;"",IF(INDEX(LdCNote,$N1602)="","—",INDEX(LdCNote,$N1602)),""))))</f>
        <v/>
      </c>
      <c r="L1602">
        <f>IFERROR(MATCH($C$5&amp;"|"&amp;RIGHT("000000"&amp;1586,6),LdAKeyM,0),"")</f>
        <v/>
      </c>
      <c r="M1602">
        <f>IFERROR(MATCH($C$5&amp;"|"&amp;RIGHT("000000"&amp;1586,6),LdBKeyM,0),"")</f>
        <v/>
      </c>
      <c r="N1602">
        <f>IFERROR(MATCH($C$5&amp;"|"&amp;RIGHT("000000"&amp;1586,6),LdCKeyM,0),"")</f>
        <v/>
      </c>
    </row>
    <row r="1603">
      <c r="A1603" s="10" t="n">
        <v>1587</v>
      </c>
      <c r="B1603" s="14">
        <f>IF(AND($L1603="",$M1603="",$N1603=""),"",IF($L1603&lt;&gt;"",INDEX(LdADate,$L1603),IF($M1603&lt;&gt;"",INDEX(LdBDate,$M1603),INDEX(LdCDate,$N1603))))</f>
        <v/>
      </c>
      <c r="C1603" s="14">
        <f>IF($L1603&lt;&gt;"","دستمزد (فردی)",IF($M1603&lt;&gt;"","سهم از گروه "&amp;IFERROR(VLOOKUP(INDEX(LdBGroup,$M1603),WGTbl,2,0),INDEX(LdBGroup,$M1603)),IF($N1603&lt;&gt;"",IF(N(INDEX(LdCDep,$N1603))&gt;0,"بازگشت بانکی","پرداخت بانکی"),"")))</f>
        <v/>
      </c>
      <c r="D1603" s="14">
        <f>IF($L1603&lt;&gt;"",IF(INDEX(LdAId,$L1603)="","—",INDEX(LdAId,$L1603)),IF($M1603&lt;&gt;"",IF(INDEX(LdBId,$M1603)="","—",INDEX(LdBId,$M1603)),IF($N1603&lt;&gt;"",IF(INDEX(LdCBank,$N1603)="","—",INDEX(LdCBank,$N1603)),"")))</f>
        <v/>
      </c>
      <c r="E1603" s="16">
        <f>IF($L1603&lt;&gt;"",IF(INDEX(LdAAmt,$L1603)=0,"",INDEX(LdAAmt,$L1603)),IF($M1603&lt;&gt;"",IF(INDEX(LdBAmt,$M1603)=0,"",INDEX(LdBAmt,$M1603)),IF($N1603&lt;&gt;"",IF(INDEX(LdCDep,$N1603)=0,"",INDEX(LdCDep,$N1603)),"")))</f>
        <v/>
      </c>
      <c r="F1603" s="16">
        <f>IF(AND($L1603="",$M1603="",$N1603=""),"",IF($N1603="","",IF(INDEX(LdCWit,$N1603)=0,"",INDEX(LdCWit,$N1603))))</f>
        <v/>
      </c>
      <c r="G1603" s="29">
        <f>IF($B1603="","",IF($G1602="",0,$G1602)+IF($E1603="",0,$E1603)-IF($F1603="",0,$F1603))</f>
        <v/>
      </c>
      <c r="H1603" s="30">
        <f>IF(AND($L1603="",$M1603="",$N1603=""),"",IF($L1603&lt;&gt;"",IF(INDEX(LdANote,$L1603)="","—",INDEX(LdANote,$L1603)),IF($M1603&lt;&gt;"",IF(INDEX(LdBNote,$M1603)="","—",INDEX(LdBNote,$M1603)),IF($N1603&lt;&gt;"",IF(INDEX(LdCNote,$N1603)="","—",INDEX(LdCNote,$N1603)),""))))</f>
        <v/>
      </c>
      <c r="L1603">
        <f>IFERROR(MATCH($C$5&amp;"|"&amp;RIGHT("000000"&amp;1587,6),LdAKeyM,0),"")</f>
        <v/>
      </c>
      <c r="M1603">
        <f>IFERROR(MATCH($C$5&amp;"|"&amp;RIGHT("000000"&amp;1587,6),LdBKeyM,0),"")</f>
        <v/>
      </c>
      <c r="N1603">
        <f>IFERROR(MATCH($C$5&amp;"|"&amp;RIGHT("000000"&amp;1587,6),LdCKeyM,0),"")</f>
        <v/>
      </c>
    </row>
    <row r="1604">
      <c r="A1604" s="19" t="n">
        <v>1588</v>
      </c>
      <c r="B1604" s="20">
        <f>IF(AND($L1604="",$M1604="",$N1604=""),"",IF($L1604&lt;&gt;"",INDEX(LdADate,$L1604),IF($M1604&lt;&gt;"",INDEX(LdBDate,$M1604),INDEX(LdCDate,$N1604))))</f>
        <v/>
      </c>
      <c r="C1604" s="20">
        <f>IF($L1604&lt;&gt;"","دستمزد (فردی)",IF($M1604&lt;&gt;"","سهم از گروه "&amp;IFERROR(VLOOKUP(INDEX(LdBGroup,$M1604),WGTbl,2,0),INDEX(LdBGroup,$M1604)),IF($N1604&lt;&gt;"",IF(N(INDEX(LdCDep,$N1604))&gt;0,"بازگشت بانکی","پرداخت بانکی"),"")))</f>
        <v/>
      </c>
      <c r="D1604" s="20">
        <f>IF($L1604&lt;&gt;"",IF(INDEX(LdAId,$L1604)="","—",INDEX(LdAId,$L1604)),IF($M1604&lt;&gt;"",IF(INDEX(LdBId,$M1604)="","—",INDEX(LdBId,$M1604)),IF($N1604&lt;&gt;"",IF(INDEX(LdCBank,$N1604)="","—",INDEX(LdCBank,$N1604)),"")))</f>
        <v/>
      </c>
      <c r="E1604" s="21">
        <f>IF($L1604&lt;&gt;"",IF(INDEX(LdAAmt,$L1604)=0,"",INDEX(LdAAmt,$L1604)),IF($M1604&lt;&gt;"",IF(INDEX(LdBAmt,$M1604)=0,"",INDEX(LdBAmt,$M1604)),IF($N1604&lt;&gt;"",IF(INDEX(LdCDep,$N1604)=0,"",INDEX(LdCDep,$N1604)),"")))</f>
        <v/>
      </c>
      <c r="F1604" s="21">
        <f>IF(AND($L1604="",$M1604="",$N1604=""),"",IF($N1604="","",IF(INDEX(LdCWit,$N1604)=0,"",INDEX(LdCWit,$N1604))))</f>
        <v/>
      </c>
      <c r="G1604" s="31">
        <f>IF($B1604="","",IF($G1603="",0,$G1603)+IF($E1604="",0,$E1604)-IF($F1604="",0,$F1604))</f>
        <v/>
      </c>
      <c r="H1604" s="32">
        <f>IF(AND($L1604="",$M1604="",$N1604=""),"",IF($L1604&lt;&gt;"",IF(INDEX(LdANote,$L1604)="","—",INDEX(LdANote,$L1604)),IF($M1604&lt;&gt;"",IF(INDEX(LdBNote,$M1604)="","—",INDEX(LdBNote,$M1604)),IF($N1604&lt;&gt;"",IF(INDEX(LdCNote,$N1604)="","—",INDEX(LdCNote,$N1604)),""))))</f>
        <v/>
      </c>
      <c r="L1604">
        <f>IFERROR(MATCH($C$5&amp;"|"&amp;RIGHT("000000"&amp;1588,6),LdAKeyM,0),"")</f>
        <v/>
      </c>
      <c r="M1604">
        <f>IFERROR(MATCH($C$5&amp;"|"&amp;RIGHT("000000"&amp;1588,6),LdBKeyM,0),"")</f>
        <v/>
      </c>
      <c r="N1604">
        <f>IFERROR(MATCH($C$5&amp;"|"&amp;RIGHT("000000"&amp;1588,6),LdCKeyM,0),"")</f>
        <v/>
      </c>
    </row>
    <row r="1605">
      <c r="A1605" s="10" t="n">
        <v>1589</v>
      </c>
      <c r="B1605" s="14">
        <f>IF(AND($L1605="",$M1605="",$N1605=""),"",IF($L1605&lt;&gt;"",INDEX(LdADate,$L1605),IF($M1605&lt;&gt;"",INDEX(LdBDate,$M1605),INDEX(LdCDate,$N1605))))</f>
        <v/>
      </c>
      <c r="C1605" s="14">
        <f>IF($L1605&lt;&gt;"","دستمزد (فردی)",IF($M1605&lt;&gt;"","سهم از گروه "&amp;IFERROR(VLOOKUP(INDEX(LdBGroup,$M1605),WGTbl,2,0),INDEX(LdBGroup,$M1605)),IF($N1605&lt;&gt;"",IF(N(INDEX(LdCDep,$N1605))&gt;0,"بازگشت بانکی","پرداخت بانکی"),"")))</f>
        <v/>
      </c>
      <c r="D1605" s="14">
        <f>IF($L1605&lt;&gt;"",IF(INDEX(LdAId,$L1605)="","—",INDEX(LdAId,$L1605)),IF($M1605&lt;&gt;"",IF(INDEX(LdBId,$M1605)="","—",INDEX(LdBId,$M1605)),IF($N1605&lt;&gt;"",IF(INDEX(LdCBank,$N1605)="","—",INDEX(LdCBank,$N1605)),"")))</f>
        <v/>
      </c>
      <c r="E1605" s="16">
        <f>IF($L1605&lt;&gt;"",IF(INDEX(LdAAmt,$L1605)=0,"",INDEX(LdAAmt,$L1605)),IF($M1605&lt;&gt;"",IF(INDEX(LdBAmt,$M1605)=0,"",INDEX(LdBAmt,$M1605)),IF($N1605&lt;&gt;"",IF(INDEX(LdCDep,$N1605)=0,"",INDEX(LdCDep,$N1605)),"")))</f>
        <v/>
      </c>
      <c r="F1605" s="16">
        <f>IF(AND($L1605="",$M1605="",$N1605=""),"",IF($N1605="","",IF(INDEX(LdCWit,$N1605)=0,"",INDEX(LdCWit,$N1605))))</f>
        <v/>
      </c>
      <c r="G1605" s="29">
        <f>IF($B1605="","",IF($G1604="",0,$G1604)+IF($E1605="",0,$E1605)-IF($F1605="",0,$F1605))</f>
        <v/>
      </c>
      <c r="H1605" s="30">
        <f>IF(AND($L1605="",$M1605="",$N1605=""),"",IF($L1605&lt;&gt;"",IF(INDEX(LdANote,$L1605)="","—",INDEX(LdANote,$L1605)),IF($M1605&lt;&gt;"",IF(INDEX(LdBNote,$M1605)="","—",INDEX(LdBNote,$M1605)),IF($N1605&lt;&gt;"",IF(INDEX(LdCNote,$N1605)="","—",INDEX(LdCNote,$N1605)),""))))</f>
        <v/>
      </c>
      <c r="L1605">
        <f>IFERROR(MATCH($C$5&amp;"|"&amp;RIGHT("000000"&amp;1589,6),LdAKeyM,0),"")</f>
        <v/>
      </c>
      <c r="M1605">
        <f>IFERROR(MATCH($C$5&amp;"|"&amp;RIGHT("000000"&amp;1589,6),LdBKeyM,0),"")</f>
        <v/>
      </c>
      <c r="N1605">
        <f>IFERROR(MATCH($C$5&amp;"|"&amp;RIGHT("000000"&amp;1589,6),LdCKeyM,0),"")</f>
        <v/>
      </c>
    </row>
    <row r="1606">
      <c r="A1606" s="19" t="n">
        <v>1590</v>
      </c>
      <c r="B1606" s="20">
        <f>IF(AND($L1606="",$M1606="",$N1606=""),"",IF($L1606&lt;&gt;"",INDEX(LdADate,$L1606),IF($M1606&lt;&gt;"",INDEX(LdBDate,$M1606),INDEX(LdCDate,$N1606))))</f>
        <v/>
      </c>
      <c r="C1606" s="20">
        <f>IF($L1606&lt;&gt;"","دستمزد (فردی)",IF($M1606&lt;&gt;"","سهم از گروه "&amp;IFERROR(VLOOKUP(INDEX(LdBGroup,$M1606),WGTbl,2,0),INDEX(LdBGroup,$M1606)),IF($N1606&lt;&gt;"",IF(N(INDEX(LdCDep,$N1606))&gt;0,"بازگشت بانکی","پرداخت بانکی"),"")))</f>
        <v/>
      </c>
      <c r="D1606" s="20">
        <f>IF($L1606&lt;&gt;"",IF(INDEX(LdAId,$L1606)="","—",INDEX(LdAId,$L1606)),IF($M1606&lt;&gt;"",IF(INDEX(LdBId,$M1606)="","—",INDEX(LdBId,$M1606)),IF($N1606&lt;&gt;"",IF(INDEX(LdCBank,$N1606)="","—",INDEX(LdCBank,$N1606)),"")))</f>
        <v/>
      </c>
      <c r="E1606" s="21">
        <f>IF($L1606&lt;&gt;"",IF(INDEX(LdAAmt,$L1606)=0,"",INDEX(LdAAmt,$L1606)),IF($M1606&lt;&gt;"",IF(INDEX(LdBAmt,$M1606)=0,"",INDEX(LdBAmt,$M1606)),IF($N1606&lt;&gt;"",IF(INDEX(LdCDep,$N1606)=0,"",INDEX(LdCDep,$N1606)),"")))</f>
        <v/>
      </c>
      <c r="F1606" s="21">
        <f>IF(AND($L1606="",$M1606="",$N1606=""),"",IF($N1606="","",IF(INDEX(LdCWit,$N1606)=0,"",INDEX(LdCWit,$N1606))))</f>
        <v/>
      </c>
      <c r="G1606" s="31">
        <f>IF($B1606="","",IF($G1605="",0,$G1605)+IF($E1606="",0,$E1606)-IF($F1606="",0,$F1606))</f>
        <v/>
      </c>
      <c r="H1606" s="32">
        <f>IF(AND($L1606="",$M1606="",$N1606=""),"",IF($L1606&lt;&gt;"",IF(INDEX(LdANote,$L1606)="","—",INDEX(LdANote,$L1606)),IF($M1606&lt;&gt;"",IF(INDEX(LdBNote,$M1606)="","—",INDEX(LdBNote,$M1606)),IF($N1606&lt;&gt;"",IF(INDEX(LdCNote,$N1606)="","—",INDEX(LdCNote,$N1606)),""))))</f>
        <v/>
      </c>
      <c r="L1606">
        <f>IFERROR(MATCH($C$5&amp;"|"&amp;RIGHT("000000"&amp;1590,6),LdAKeyM,0),"")</f>
        <v/>
      </c>
      <c r="M1606">
        <f>IFERROR(MATCH($C$5&amp;"|"&amp;RIGHT("000000"&amp;1590,6),LdBKeyM,0),"")</f>
        <v/>
      </c>
      <c r="N1606">
        <f>IFERROR(MATCH($C$5&amp;"|"&amp;RIGHT("000000"&amp;1590,6),LdCKeyM,0),"")</f>
        <v/>
      </c>
    </row>
    <row r="1607">
      <c r="A1607" s="10" t="n">
        <v>1591</v>
      </c>
      <c r="B1607" s="14">
        <f>IF(AND($L1607="",$M1607="",$N1607=""),"",IF($L1607&lt;&gt;"",INDEX(LdADate,$L1607),IF($M1607&lt;&gt;"",INDEX(LdBDate,$M1607),INDEX(LdCDate,$N1607))))</f>
        <v/>
      </c>
      <c r="C1607" s="14">
        <f>IF($L1607&lt;&gt;"","دستمزد (فردی)",IF($M1607&lt;&gt;"","سهم از گروه "&amp;IFERROR(VLOOKUP(INDEX(LdBGroup,$M1607),WGTbl,2,0),INDEX(LdBGroup,$M1607)),IF($N1607&lt;&gt;"",IF(N(INDEX(LdCDep,$N1607))&gt;0,"بازگشت بانکی","پرداخت بانکی"),"")))</f>
        <v/>
      </c>
      <c r="D1607" s="14">
        <f>IF($L1607&lt;&gt;"",IF(INDEX(LdAId,$L1607)="","—",INDEX(LdAId,$L1607)),IF($M1607&lt;&gt;"",IF(INDEX(LdBId,$M1607)="","—",INDEX(LdBId,$M1607)),IF($N1607&lt;&gt;"",IF(INDEX(LdCBank,$N1607)="","—",INDEX(LdCBank,$N1607)),"")))</f>
        <v/>
      </c>
      <c r="E1607" s="16">
        <f>IF($L1607&lt;&gt;"",IF(INDEX(LdAAmt,$L1607)=0,"",INDEX(LdAAmt,$L1607)),IF($M1607&lt;&gt;"",IF(INDEX(LdBAmt,$M1607)=0,"",INDEX(LdBAmt,$M1607)),IF($N1607&lt;&gt;"",IF(INDEX(LdCDep,$N1607)=0,"",INDEX(LdCDep,$N1607)),"")))</f>
        <v/>
      </c>
      <c r="F1607" s="16">
        <f>IF(AND($L1607="",$M1607="",$N1607=""),"",IF($N1607="","",IF(INDEX(LdCWit,$N1607)=0,"",INDEX(LdCWit,$N1607))))</f>
        <v/>
      </c>
      <c r="G1607" s="29">
        <f>IF($B1607="","",IF($G1606="",0,$G1606)+IF($E1607="",0,$E1607)-IF($F1607="",0,$F1607))</f>
        <v/>
      </c>
      <c r="H1607" s="30">
        <f>IF(AND($L1607="",$M1607="",$N1607=""),"",IF($L1607&lt;&gt;"",IF(INDEX(LdANote,$L1607)="","—",INDEX(LdANote,$L1607)),IF($M1607&lt;&gt;"",IF(INDEX(LdBNote,$M1607)="","—",INDEX(LdBNote,$M1607)),IF($N1607&lt;&gt;"",IF(INDEX(LdCNote,$N1607)="","—",INDEX(LdCNote,$N1607)),""))))</f>
        <v/>
      </c>
      <c r="L1607">
        <f>IFERROR(MATCH($C$5&amp;"|"&amp;RIGHT("000000"&amp;1591,6),LdAKeyM,0),"")</f>
        <v/>
      </c>
      <c r="M1607">
        <f>IFERROR(MATCH($C$5&amp;"|"&amp;RIGHT("000000"&amp;1591,6),LdBKeyM,0),"")</f>
        <v/>
      </c>
      <c r="N1607">
        <f>IFERROR(MATCH($C$5&amp;"|"&amp;RIGHT("000000"&amp;1591,6),LdCKeyM,0),"")</f>
        <v/>
      </c>
    </row>
    <row r="1608">
      <c r="A1608" s="19" t="n">
        <v>1592</v>
      </c>
      <c r="B1608" s="20">
        <f>IF(AND($L1608="",$M1608="",$N1608=""),"",IF($L1608&lt;&gt;"",INDEX(LdADate,$L1608),IF($M1608&lt;&gt;"",INDEX(LdBDate,$M1608),INDEX(LdCDate,$N1608))))</f>
        <v/>
      </c>
      <c r="C1608" s="20">
        <f>IF($L1608&lt;&gt;"","دستمزد (فردی)",IF($M1608&lt;&gt;"","سهم از گروه "&amp;IFERROR(VLOOKUP(INDEX(LdBGroup,$M1608),WGTbl,2,0),INDEX(LdBGroup,$M1608)),IF($N1608&lt;&gt;"",IF(N(INDEX(LdCDep,$N1608))&gt;0,"بازگشت بانکی","پرداخت بانکی"),"")))</f>
        <v/>
      </c>
      <c r="D1608" s="20">
        <f>IF($L1608&lt;&gt;"",IF(INDEX(LdAId,$L1608)="","—",INDEX(LdAId,$L1608)),IF($M1608&lt;&gt;"",IF(INDEX(LdBId,$M1608)="","—",INDEX(LdBId,$M1608)),IF($N1608&lt;&gt;"",IF(INDEX(LdCBank,$N1608)="","—",INDEX(LdCBank,$N1608)),"")))</f>
        <v/>
      </c>
      <c r="E1608" s="21">
        <f>IF($L1608&lt;&gt;"",IF(INDEX(LdAAmt,$L1608)=0,"",INDEX(LdAAmt,$L1608)),IF($M1608&lt;&gt;"",IF(INDEX(LdBAmt,$M1608)=0,"",INDEX(LdBAmt,$M1608)),IF($N1608&lt;&gt;"",IF(INDEX(LdCDep,$N1608)=0,"",INDEX(LdCDep,$N1608)),"")))</f>
        <v/>
      </c>
      <c r="F1608" s="21">
        <f>IF(AND($L1608="",$M1608="",$N1608=""),"",IF($N1608="","",IF(INDEX(LdCWit,$N1608)=0,"",INDEX(LdCWit,$N1608))))</f>
        <v/>
      </c>
      <c r="G1608" s="31">
        <f>IF($B1608="","",IF($G1607="",0,$G1607)+IF($E1608="",0,$E1608)-IF($F1608="",0,$F1608))</f>
        <v/>
      </c>
      <c r="H1608" s="32">
        <f>IF(AND($L1608="",$M1608="",$N1608=""),"",IF($L1608&lt;&gt;"",IF(INDEX(LdANote,$L1608)="","—",INDEX(LdANote,$L1608)),IF($M1608&lt;&gt;"",IF(INDEX(LdBNote,$M1608)="","—",INDEX(LdBNote,$M1608)),IF($N1608&lt;&gt;"",IF(INDEX(LdCNote,$N1608)="","—",INDEX(LdCNote,$N1608)),""))))</f>
        <v/>
      </c>
      <c r="L1608">
        <f>IFERROR(MATCH($C$5&amp;"|"&amp;RIGHT("000000"&amp;1592,6),LdAKeyM,0),"")</f>
        <v/>
      </c>
      <c r="M1608">
        <f>IFERROR(MATCH($C$5&amp;"|"&amp;RIGHT("000000"&amp;1592,6),LdBKeyM,0),"")</f>
        <v/>
      </c>
      <c r="N1608">
        <f>IFERROR(MATCH($C$5&amp;"|"&amp;RIGHT("000000"&amp;1592,6),LdCKeyM,0),"")</f>
        <v/>
      </c>
    </row>
    <row r="1609">
      <c r="A1609" s="10" t="n">
        <v>1593</v>
      </c>
      <c r="B1609" s="14">
        <f>IF(AND($L1609="",$M1609="",$N1609=""),"",IF($L1609&lt;&gt;"",INDEX(LdADate,$L1609),IF($M1609&lt;&gt;"",INDEX(LdBDate,$M1609),INDEX(LdCDate,$N1609))))</f>
        <v/>
      </c>
      <c r="C1609" s="14">
        <f>IF($L1609&lt;&gt;"","دستمزد (فردی)",IF($M1609&lt;&gt;"","سهم از گروه "&amp;IFERROR(VLOOKUP(INDEX(LdBGroup,$M1609),WGTbl,2,0),INDEX(LdBGroup,$M1609)),IF($N1609&lt;&gt;"",IF(N(INDEX(LdCDep,$N1609))&gt;0,"بازگشت بانکی","پرداخت بانکی"),"")))</f>
        <v/>
      </c>
      <c r="D1609" s="14">
        <f>IF($L1609&lt;&gt;"",IF(INDEX(LdAId,$L1609)="","—",INDEX(LdAId,$L1609)),IF($M1609&lt;&gt;"",IF(INDEX(LdBId,$M1609)="","—",INDEX(LdBId,$M1609)),IF($N1609&lt;&gt;"",IF(INDEX(LdCBank,$N1609)="","—",INDEX(LdCBank,$N1609)),"")))</f>
        <v/>
      </c>
      <c r="E1609" s="16">
        <f>IF($L1609&lt;&gt;"",IF(INDEX(LdAAmt,$L1609)=0,"",INDEX(LdAAmt,$L1609)),IF($M1609&lt;&gt;"",IF(INDEX(LdBAmt,$M1609)=0,"",INDEX(LdBAmt,$M1609)),IF($N1609&lt;&gt;"",IF(INDEX(LdCDep,$N1609)=0,"",INDEX(LdCDep,$N1609)),"")))</f>
        <v/>
      </c>
      <c r="F1609" s="16">
        <f>IF(AND($L1609="",$M1609="",$N1609=""),"",IF($N1609="","",IF(INDEX(LdCWit,$N1609)=0,"",INDEX(LdCWit,$N1609))))</f>
        <v/>
      </c>
      <c r="G1609" s="29">
        <f>IF($B1609="","",IF($G1608="",0,$G1608)+IF($E1609="",0,$E1609)-IF($F1609="",0,$F1609))</f>
        <v/>
      </c>
      <c r="H1609" s="30">
        <f>IF(AND($L1609="",$M1609="",$N1609=""),"",IF($L1609&lt;&gt;"",IF(INDEX(LdANote,$L1609)="","—",INDEX(LdANote,$L1609)),IF($M1609&lt;&gt;"",IF(INDEX(LdBNote,$M1609)="","—",INDEX(LdBNote,$M1609)),IF($N1609&lt;&gt;"",IF(INDEX(LdCNote,$N1609)="","—",INDEX(LdCNote,$N1609)),""))))</f>
        <v/>
      </c>
      <c r="L1609">
        <f>IFERROR(MATCH($C$5&amp;"|"&amp;RIGHT("000000"&amp;1593,6),LdAKeyM,0),"")</f>
        <v/>
      </c>
      <c r="M1609">
        <f>IFERROR(MATCH($C$5&amp;"|"&amp;RIGHT("000000"&amp;1593,6),LdBKeyM,0),"")</f>
        <v/>
      </c>
      <c r="N1609">
        <f>IFERROR(MATCH($C$5&amp;"|"&amp;RIGHT("000000"&amp;1593,6),LdCKeyM,0),"")</f>
        <v/>
      </c>
    </row>
    <row r="1610">
      <c r="A1610" s="19" t="n">
        <v>1594</v>
      </c>
      <c r="B1610" s="20">
        <f>IF(AND($L1610="",$M1610="",$N1610=""),"",IF($L1610&lt;&gt;"",INDEX(LdADate,$L1610),IF($M1610&lt;&gt;"",INDEX(LdBDate,$M1610),INDEX(LdCDate,$N1610))))</f>
        <v/>
      </c>
      <c r="C1610" s="20">
        <f>IF($L1610&lt;&gt;"","دستمزد (فردی)",IF($M1610&lt;&gt;"","سهم از گروه "&amp;IFERROR(VLOOKUP(INDEX(LdBGroup,$M1610),WGTbl,2,0),INDEX(LdBGroup,$M1610)),IF($N1610&lt;&gt;"",IF(N(INDEX(LdCDep,$N1610))&gt;0,"بازگشت بانکی","پرداخت بانکی"),"")))</f>
        <v/>
      </c>
      <c r="D1610" s="20">
        <f>IF($L1610&lt;&gt;"",IF(INDEX(LdAId,$L1610)="","—",INDEX(LdAId,$L1610)),IF($M1610&lt;&gt;"",IF(INDEX(LdBId,$M1610)="","—",INDEX(LdBId,$M1610)),IF($N1610&lt;&gt;"",IF(INDEX(LdCBank,$N1610)="","—",INDEX(LdCBank,$N1610)),"")))</f>
        <v/>
      </c>
      <c r="E1610" s="21">
        <f>IF($L1610&lt;&gt;"",IF(INDEX(LdAAmt,$L1610)=0,"",INDEX(LdAAmt,$L1610)),IF($M1610&lt;&gt;"",IF(INDEX(LdBAmt,$M1610)=0,"",INDEX(LdBAmt,$M1610)),IF($N1610&lt;&gt;"",IF(INDEX(LdCDep,$N1610)=0,"",INDEX(LdCDep,$N1610)),"")))</f>
        <v/>
      </c>
      <c r="F1610" s="21">
        <f>IF(AND($L1610="",$M1610="",$N1610=""),"",IF($N1610="","",IF(INDEX(LdCWit,$N1610)=0,"",INDEX(LdCWit,$N1610))))</f>
        <v/>
      </c>
      <c r="G1610" s="31">
        <f>IF($B1610="","",IF($G1609="",0,$G1609)+IF($E1610="",0,$E1610)-IF($F1610="",0,$F1610))</f>
        <v/>
      </c>
      <c r="H1610" s="32">
        <f>IF(AND($L1610="",$M1610="",$N1610=""),"",IF($L1610&lt;&gt;"",IF(INDEX(LdANote,$L1610)="","—",INDEX(LdANote,$L1610)),IF($M1610&lt;&gt;"",IF(INDEX(LdBNote,$M1610)="","—",INDEX(LdBNote,$M1610)),IF($N1610&lt;&gt;"",IF(INDEX(LdCNote,$N1610)="","—",INDEX(LdCNote,$N1610)),""))))</f>
        <v/>
      </c>
      <c r="L1610">
        <f>IFERROR(MATCH($C$5&amp;"|"&amp;RIGHT("000000"&amp;1594,6),LdAKeyM,0),"")</f>
        <v/>
      </c>
      <c r="M1610">
        <f>IFERROR(MATCH($C$5&amp;"|"&amp;RIGHT("000000"&amp;1594,6),LdBKeyM,0),"")</f>
        <v/>
      </c>
      <c r="N1610">
        <f>IFERROR(MATCH($C$5&amp;"|"&amp;RIGHT("000000"&amp;1594,6),LdCKeyM,0),"")</f>
        <v/>
      </c>
    </row>
    <row r="1611">
      <c r="A1611" s="10" t="n">
        <v>1595</v>
      </c>
      <c r="B1611" s="14">
        <f>IF(AND($L1611="",$M1611="",$N1611=""),"",IF($L1611&lt;&gt;"",INDEX(LdADate,$L1611),IF($M1611&lt;&gt;"",INDEX(LdBDate,$M1611),INDEX(LdCDate,$N1611))))</f>
        <v/>
      </c>
      <c r="C1611" s="14">
        <f>IF($L1611&lt;&gt;"","دستمزد (فردی)",IF($M1611&lt;&gt;"","سهم از گروه "&amp;IFERROR(VLOOKUP(INDEX(LdBGroup,$M1611),WGTbl,2,0),INDEX(LdBGroup,$M1611)),IF($N1611&lt;&gt;"",IF(N(INDEX(LdCDep,$N1611))&gt;0,"بازگشت بانکی","پرداخت بانکی"),"")))</f>
        <v/>
      </c>
      <c r="D1611" s="14">
        <f>IF($L1611&lt;&gt;"",IF(INDEX(LdAId,$L1611)="","—",INDEX(LdAId,$L1611)),IF($M1611&lt;&gt;"",IF(INDEX(LdBId,$M1611)="","—",INDEX(LdBId,$M1611)),IF($N1611&lt;&gt;"",IF(INDEX(LdCBank,$N1611)="","—",INDEX(LdCBank,$N1611)),"")))</f>
        <v/>
      </c>
      <c r="E1611" s="16">
        <f>IF($L1611&lt;&gt;"",IF(INDEX(LdAAmt,$L1611)=0,"",INDEX(LdAAmt,$L1611)),IF($M1611&lt;&gt;"",IF(INDEX(LdBAmt,$M1611)=0,"",INDEX(LdBAmt,$M1611)),IF($N1611&lt;&gt;"",IF(INDEX(LdCDep,$N1611)=0,"",INDEX(LdCDep,$N1611)),"")))</f>
        <v/>
      </c>
      <c r="F1611" s="16">
        <f>IF(AND($L1611="",$M1611="",$N1611=""),"",IF($N1611="","",IF(INDEX(LdCWit,$N1611)=0,"",INDEX(LdCWit,$N1611))))</f>
        <v/>
      </c>
      <c r="G1611" s="29">
        <f>IF($B1611="","",IF($G1610="",0,$G1610)+IF($E1611="",0,$E1611)-IF($F1611="",0,$F1611))</f>
        <v/>
      </c>
      <c r="H1611" s="30">
        <f>IF(AND($L1611="",$M1611="",$N1611=""),"",IF($L1611&lt;&gt;"",IF(INDEX(LdANote,$L1611)="","—",INDEX(LdANote,$L1611)),IF($M1611&lt;&gt;"",IF(INDEX(LdBNote,$M1611)="","—",INDEX(LdBNote,$M1611)),IF($N1611&lt;&gt;"",IF(INDEX(LdCNote,$N1611)="","—",INDEX(LdCNote,$N1611)),""))))</f>
        <v/>
      </c>
      <c r="L1611">
        <f>IFERROR(MATCH($C$5&amp;"|"&amp;RIGHT("000000"&amp;1595,6),LdAKeyM,0),"")</f>
        <v/>
      </c>
      <c r="M1611">
        <f>IFERROR(MATCH($C$5&amp;"|"&amp;RIGHT("000000"&amp;1595,6),LdBKeyM,0),"")</f>
        <v/>
      </c>
      <c r="N1611">
        <f>IFERROR(MATCH($C$5&amp;"|"&amp;RIGHT("000000"&amp;1595,6),LdCKeyM,0),"")</f>
        <v/>
      </c>
    </row>
    <row r="1612">
      <c r="A1612" s="19" t="n">
        <v>1596</v>
      </c>
      <c r="B1612" s="20">
        <f>IF(AND($L1612="",$M1612="",$N1612=""),"",IF($L1612&lt;&gt;"",INDEX(LdADate,$L1612),IF($M1612&lt;&gt;"",INDEX(LdBDate,$M1612),INDEX(LdCDate,$N1612))))</f>
        <v/>
      </c>
      <c r="C1612" s="20">
        <f>IF($L1612&lt;&gt;"","دستمزد (فردی)",IF($M1612&lt;&gt;"","سهم از گروه "&amp;IFERROR(VLOOKUP(INDEX(LdBGroup,$M1612),WGTbl,2,0),INDEX(LdBGroup,$M1612)),IF($N1612&lt;&gt;"",IF(N(INDEX(LdCDep,$N1612))&gt;0,"بازگشت بانکی","پرداخت بانکی"),"")))</f>
        <v/>
      </c>
      <c r="D1612" s="20">
        <f>IF($L1612&lt;&gt;"",IF(INDEX(LdAId,$L1612)="","—",INDEX(LdAId,$L1612)),IF($M1612&lt;&gt;"",IF(INDEX(LdBId,$M1612)="","—",INDEX(LdBId,$M1612)),IF($N1612&lt;&gt;"",IF(INDEX(LdCBank,$N1612)="","—",INDEX(LdCBank,$N1612)),"")))</f>
        <v/>
      </c>
      <c r="E1612" s="21">
        <f>IF($L1612&lt;&gt;"",IF(INDEX(LdAAmt,$L1612)=0,"",INDEX(LdAAmt,$L1612)),IF($M1612&lt;&gt;"",IF(INDEX(LdBAmt,$M1612)=0,"",INDEX(LdBAmt,$M1612)),IF($N1612&lt;&gt;"",IF(INDEX(LdCDep,$N1612)=0,"",INDEX(LdCDep,$N1612)),"")))</f>
        <v/>
      </c>
      <c r="F1612" s="21">
        <f>IF(AND($L1612="",$M1612="",$N1612=""),"",IF($N1612="","",IF(INDEX(LdCWit,$N1612)=0,"",INDEX(LdCWit,$N1612))))</f>
        <v/>
      </c>
      <c r="G1612" s="31">
        <f>IF($B1612="","",IF($G1611="",0,$G1611)+IF($E1612="",0,$E1612)-IF($F1612="",0,$F1612))</f>
        <v/>
      </c>
      <c r="H1612" s="32">
        <f>IF(AND($L1612="",$M1612="",$N1612=""),"",IF($L1612&lt;&gt;"",IF(INDEX(LdANote,$L1612)="","—",INDEX(LdANote,$L1612)),IF($M1612&lt;&gt;"",IF(INDEX(LdBNote,$M1612)="","—",INDEX(LdBNote,$M1612)),IF($N1612&lt;&gt;"",IF(INDEX(LdCNote,$N1612)="","—",INDEX(LdCNote,$N1612)),""))))</f>
        <v/>
      </c>
      <c r="L1612">
        <f>IFERROR(MATCH($C$5&amp;"|"&amp;RIGHT("000000"&amp;1596,6),LdAKeyM,0),"")</f>
        <v/>
      </c>
      <c r="M1612">
        <f>IFERROR(MATCH($C$5&amp;"|"&amp;RIGHT("000000"&amp;1596,6),LdBKeyM,0),"")</f>
        <v/>
      </c>
      <c r="N1612">
        <f>IFERROR(MATCH($C$5&amp;"|"&amp;RIGHT("000000"&amp;1596,6),LdCKeyM,0),"")</f>
        <v/>
      </c>
    </row>
    <row r="1613">
      <c r="A1613" s="10" t="n">
        <v>1597</v>
      </c>
      <c r="B1613" s="14">
        <f>IF(AND($L1613="",$M1613="",$N1613=""),"",IF($L1613&lt;&gt;"",INDEX(LdADate,$L1613),IF($M1613&lt;&gt;"",INDEX(LdBDate,$M1613),INDEX(LdCDate,$N1613))))</f>
        <v/>
      </c>
      <c r="C1613" s="14">
        <f>IF($L1613&lt;&gt;"","دستمزد (فردی)",IF($M1613&lt;&gt;"","سهم از گروه "&amp;IFERROR(VLOOKUP(INDEX(LdBGroup,$M1613),WGTbl,2,0),INDEX(LdBGroup,$M1613)),IF($N1613&lt;&gt;"",IF(N(INDEX(LdCDep,$N1613))&gt;0,"بازگشت بانکی","پرداخت بانکی"),"")))</f>
        <v/>
      </c>
      <c r="D1613" s="14">
        <f>IF($L1613&lt;&gt;"",IF(INDEX(LdAId,$L1613)="","—",INDEX(LdAId,$L1613)),IF($M1613&lt;&gt;"",IF(INDEX(LdBId,$M1613)="","—",INDEX(LdBId,$M1613)),IF($N1613&lt;&gt;"",IF(INDEX(LdCBank,$N1613)="","—",INDEX(LdCBank,$N1613)),"")))</f>
        <v/>
      </c>
      <c r="E1613" s="16">
        <f>IF($L1613&lt;&gt;"",IF(INDEX(LdAAmt,$L1613)=0,"",INDEX(LdAAmt,$L1613)),IF($M1613&lt;&gt;"",IF(INDEX(LdBAmt,$M1613)=0,"",INDEX(LdBAmt,$M1613)),IF($N1613&lt;&gt;"",IF(INDEX(LdCDep,$N1613)=0,"",INDEX(LdCDep,$N1613)),"")))</f>
        <v/>
      </c>
      <c r="F1613" s="16">
        <f>IF(AND($L1613="",$M1613="",$N1613=""),"",IF($N1613="","",IF(INDEX(LdCWit,$N1613)=0,"",INDEX(LdCWit,$N1613))))</f>
        <v/>
      </c>
      <c r="G1613" s="29">
        <f>IF($B1613="","",IF($G1612="",0,$G1612)+IF($E1613="",0,$E1613)-IF($F1613="",0,$F1613))</f>
        <v/>
      </c>
      <c r="H1613" s="30">
        <f>IF(AND($L1613="",$M1613="",$N1613=""),"",IF($L1613&lt;&gt;"",IF(INDEX(LdANote,$L1613)="","—",INDEX(LdANote,$L1613)),IF($M1613&lt;&gt;"",IF(INDEX(LdBNote,$M1613)="","—",INDEX(LdBNote,$M1613)),IF($N1613&lt;&gt;"",IF(INDEX(LdCNote,$N1613)="","—",INDEX(LdCNote,$N1613)),""))))</f>
        <v/>
      </c>
      <c r="L1613">
        <f>IFERROR(MATCH($C$5&amp;"|"&amp;RIGHT("000000"&amp;1597,6),LdAKeyM,0),"")</f>
        <v/>
      </c>
      <c r="M1613">
        <f>IFERROR(MATCH($C$5&amp;"|"&amp;RIGHT("000000"&amp;1597,6),LdBKeyM,0),"")</f>
        <v/>
      </c>
      <c r="N1613">
        <f>IFERROR(MATCH($C$5&amp;"|"&amp;RIGHT("000000"&amp;1597,6),LdCKeyM,0),"")</f>
        <v/>
      </c>
    </row>
    <row r="1614">
      <c r="A1614" s="19" t="n">
        <v>1598</v>
      </c>
      <c r="B1614" s="20">
        <f>IF(AND($L1614="",$M1614="",$N1614=""),"",IF($L1614&lt;&gt;"",INDEX(LdADate,$L1614),IF($M1614&lt;&gt;"",INDEX(LdBDate,$M1614),INDEX(LdCDate,$N1614))))</f>
        <v/>
      </c>
      <c r="C1614" s="20">
        <f>IF($L1614&lt;&gt;"","دستمزد (فردی)",IF($M1614&lt;&gt;"","سهم از گروه "&amp;IFERROR(VLOOKUP(INDEX(LdBGroup,$M1614),WGTbl,2,0),INDEX(LdBGroup,$M1614)),IF($N1614&lt;&gt;"",IF(N(INDEX(LdCDep,$N1614))&gt;0,"بازگشت بانکی","پرداخت بانکی"),"")))</f>
        <v/>
      </c>
      <c r="D1614" s="20">
        <f>IF($L1614&lt;&gt;"",IF(INDEX(LdAId,$L1614)="","—",INDEX(LdAId,$L1614)),IF($M1614&lt;&gt;"",IF(INDEX(LdBId,$M1614)="","—",INDEX(LdBId,$M1614)),IF($N1614&lt;&gt;"",IF(INDEX(LdCBank,$N1614)="","—",INDEX(LdCBank,$N1614)),"")))</f>
        <v/>
      </c>
      <c r="E1614" s="21">
        <f>IF($L1614&lt;&gt;"",IF(INDEX(LdAAmt,$L1614)=0,"",INDEX(LdAAmt,$L1614)),IF($M1614&lt;&gt;"",IF(INDEX(LdBAmt,$M1614)=0,"",INDEX(LdBAmt,$M1614)),IF($N1614&lt;&gt;"",IF(INDEX(LdCDep,$N1614)=0,"",INDEX(LdCDep,$N1614)),"")))</f>
        <v/>
      </c>
      <c r="F1614" s="21">
        <f>IF(AND($L1614="",$M1614="",$N1614=""),"",IF($N1614="","",IF(INDEX(LdCWit,$N1614)=0,"",INDEX(LdCWit,$N1614))))</f>
        <v/>
      </c>
      <c r="G1614" s="31">
        <f>IF($B1614="","",IF($G1613="",0,$G1613)+IF($E1614="",0,$E1614)-IF($F1614="",0,$F1614))</f>
        <v/>
      </c>
      <c r="H1614" s="32">
        <f>IF(AND($L1614="",$M1614="",$N1614=""),"",IF($L1614&lt;&gt;"",IF(INDEX(LdANote,$L1614)="","—",INDEX(LdANote,$L1614)),IF($M1614&lt;&gt;"",IF(INDEX(LdBNote,$M1614)="","—",INDEX(LdBNote,$M1614)),IF($N1614&lt;&gt;"",IF(INDEX(LdCNote,$N1614)="","—",INDEX(LdCNote,$N1614)),""))))</f>
        <v/>
      </c>
      <c r="L1614">
        <f>IFERROR(MATCH($C$5&amp;"|"&amp;RIGHT("000000"&amp;1598,6),LdAKeyM,0),"")</f>
        <v/>
      </c>
      <c r="M1614">
        <f>IFERROR(MATCH($C$5&amp;"|"&amp;RIGHT("000000"&amp;1598,6),LdBKeyM,0),"")</f>
        <v/>
      </c>
      <c r="N1614">
        <f>IFERROR(MATCH($C$5&amp;"|"&amp;RIGHT("000000"&amp;1598,6),LdCKeyM,0),"")</f>
        <v/>
      </c>
    </row>
    <row r="1615">
      <c r="A1615" s="10" t="n">
        <v>1599</v>
      </c>
      <c r="B1615" s="14">
        <f>IF(AND($L1615="",$M1615="",$N1615=""),"",IF($L1615&lt;&gt;"",INDEX(LdADate,$L1615),IF($M1615&lt;&gt;"",INDEX(LdBDate,$M1615),INDEX(LdCDate,$N1615))))</f>
        <v/>
      </c>
      <c r="C1615" s="14">
        <f>IF($L1615&lt;&gt;"","دستمزد (فردی)",IF($M1615&lt;&gt;"","سهم از گروه "&amp;IFERROR(VLOOKUP(INDEX(LdBGroup,$M1615),WGTbl,2,0),INDEX(LdBGroup,$M1615)),IF($N1615&lt;&gt;"",IF(N(INDEX(LdCDep,$N1615))&gt;0,"بازگشت بانکی","پرداخت بانکی"),"")))</f>
        <v/>
      </c>
      <c r="D1615" s="14">
        <f>IF($L1615&lt;&gt;"",IF(INDEX(LdAId,$L1615)="","—",INDEX(LdAId,$L1615)),IF($M1615&lt;&gt;"",IF(INDEX(LdBId,$M1615)="","—",INDEX(LdBId,$M1615)),IF($N1615&lt;&gt;"",IF(INDEX(LdCBank,$N1615)="","—",INDEX(LdCBank,$N1615)),"")))</f>
        <v/>
      </c>
      <c r="E1615" s="16">
        <f>IF($L1615&lt;&gt;"",IF(INDEX(LdAAmt,$L1615)=0,"",INDEX(LdAAmt,$L1615)),IF($M1615&lt;&gt;"",IF(INDEX(LdBAmt,$M1615)=0,"",INDEX(LdBAmt,$M1615)),IF($N1615&lt;&gt;"",IF(INDEX(LdCDep,$N1615)=0,"",INDEX(LdCDep,$N1615)),"")))</f>
        <v/>
      </c>
      <c r="F1615" s="16">
        <f>IF(AND($L1615="",$M1615="",$N1615=""),"",IF($N1615="","",IF(INDEX(LdCWit,$N1615)=0,"",INDEX(LdCWit,$N1615))))</f>
        <v/>
      </c>
      <c r="G1615" s="29">
        <f>IF($B1615="","",IF($G1614="",0,$G1614)+IF($E1615="",0,$E1615)-IF($F1615="",0,$F1615))</f>
        <v/>
      </c>
      <c r="H1615" s="30">
        <f>IF(AND($L1615="",$M1615="",$N1615=""),"",IF($L1615&lt;&gt;"",IF(INDEX(LdANote,$L1615)="","—",INDEX(LdANote,$L1615)),IF($M1615&lt;&gt;"",IF(INDEX(LdBNote,$M1615)="","—",INDEX(LdBNote,$M1615)),IF($N1615&lt;&gt;"",IF(INDEX(LdCNote,$N1615)="","—",INDEX(LdCNote,$N1615)),""))))</f>
        <v/>
      </c>
      <c r="L1615">
        <f>IFERROR(MATCH($C$5&amp;"|"&amp;RIGHT("000000"&amp;1599,6),LdAKeyM,0),"")</f>
        <v/>
      </c>
      <c r="M1615">
        <f>IFERROR(MATCH($C$5&amp;"|"&amp;RIGHT("000000"&amp;1599,6),LdBKeyM,0),"")</f>
        <v/>
      </c>
      <c r="N1615">
        <f>IFERROR(MATCH($C$5&amp;"|"&amp;RIGHT("000000"&amp;1599,6),LdCKeyM,0),"")</f>
        <v/>
      </c>
    </row>
    <row r="1616">
      <c r="A1616" s="19" t="n">
        <v>1600</v>
      </c>
      <c r="B1616" s="20">
        <f>IF(AND($L1616="",$M1616="",$N1616=""),"",IF($L1616&lt;&gt;"",INDEX(LdADate,$L1616),IF($M1616&lt;&gt;"",INDEX(LdBDate,$M1616),INDEX(LdCDate,$N1616))))</f>
        <v/>
      </c>
      <c r="C1616" s="20">
        <f>IF($L1616&lt;&gt;"","دستمزد (فردی)",IF($M1616&lt;&gt;"","سهم از گروه "&amp;IFERROR(VLOOKUP(INDEX(LdBGroup,$M1616),WGTbl,2,0),INDEX(LdBGroup,$M1616)),IF($N1616&lt;&gt;"",IF(N(INDEX(LdCDep,$N1616))&gt;0,"بازگشت بانکی","پرداخت بانکی"),"")))</f>
        <v/>
      </c>
      <c r="D1616" s="20">
        <f>IF($L1616&lt;&gt;"",IF(INDEX(LdAId,$L1616)="","—",INDEX(LdAId,$L1616)),IF($M1616&lt;&gt;"",IF(INDEX(LdBId,$M1616)="","—",INDEX(LdBId,$M1616)),IF($N1616&lt;&gt;"",IF(INDEX(LdCBank,$N1616)="","—",INDEX(LdCBank,$N1616)),"")))</f>
        <v/>
      </c>
      <c r="E1616" s="21">
        <f>IF($L1616&lt;&gt;"",IF(INDEX(LdAAmt,$L1616)=0,"",INDEX(LdAAmt,$L1616)),IF($M1616&lt;&gt;"",IF(INDEX(LdBAmt,$M1616)=0,"",INDEX(LdBAmt,$M1616)),IF($N1616&lt;&gt;"",IF(INDEX(LdCDep,$N1616)=0,"",INDEX(LdCDep,$N1616)),"")))</f>
        <v/>
      </c>
      <c r="F1616" s="21">
        <f>IF(AND($L1616="",$M1616="",$N1616=""),"",IF($N1616="","",IF(INDEX(LdCWit,$N1616)=0,"",INDEX(LdCWit,$N1616))))</f>
        <v/>
      </c>
      <c r="G1616" s="31">
        <f>IF($B1616="","",IF($G1615="",0,$G1615)+IF($E1616="",0,$E1616)-IF($F1616="",0,$F1616))</f>
        <v/>
      </c>
      <c r="H1616" s="32">
        <f>IF(AND($L1616="",$M1616="",$N1616=""),"",IF($L1616&lt;&gt;"",IF(INDEX(LdANote,$L1616)="","—",INDEX(LdANote,$L1616)),IF($M1616&lt;&gt;"",IF(INDEX(LdBNote,$M1616)="","—",INDEX(LdBNote,$M1616)),IF($N1616&lt;&gt;"",IF(INDEX(LdCNote,$N1616)="","—",INDEX(LdCNote,$N1616)),""))))</f>
        <v/>
      </c>
      <c r="L1616">
        <f>IFERROR(MATCH($C$5&amp;"|"&amp;RIGHT("000000"&amp;1600,6),LdAKeyM,0),"")</f>
        <v/>
      </c>
      <c r="M1616">
        <f>IFERROR(MATCH($C$5&amp;"|"&amp;RIGHT("000000"&amp;1600,6),LdBKeyM,0),"")</f>
        <v/>
      </c>
      <c r="N1616">
        <f>IFERROR(MATCH($C$5&amp;"|"&amp;RIGHT("000000"&amp;1600,6),LdCKeyM,0),"")</f>
        <v/>
      </c>
    </row>
    <row r="1617">
      <c r="A1617" s="10" t="n">
        <v>1601</v>
      </c>
      <c r="B1617" s="14">
        <f>IF(AND($L1617="",$M1617="",$N1617=""),"",IF($L1617&lt;&gt;"",INDEX(LdADate,$L1617),IF($M1617&lt;&gt;"",INDEX(LdBDate,$M1617),INDEX(LdCDate,$N1617))))</f>
        <v/>
      </c>
      <c r="C1617" s="14">
        <f>IF($L1617&lt;&gt;"","دستمزد (فردی)",IF($M1617&lt;&gt;"","سهم از گروه "&amp;IFERROR(VLOOKUP(INDEX(LdBGroup,$M1617),WGTbl,2,0),INDEX(LdBGroup,$M1617)),IF($N1617&lt;&gt;"",IF(N(INDEX(LdCDep,$N1617))&gt;0,"بازگشت بانکی","پرداخت بانکی"),"")))</f>
        <v/>
      </c>
      <c r="D1617" s="14">
        <f>IF($L1617&lt;&gt;"",IF(INDEX(LdAId,$L1617)="","—",INDEX(LdAId,$L1617)),IF($M1617&lt;&gt;"",IF(INDEX(LdBId,$M1617)="","—",INDEX(LdBId,$M1617)),IF($N1617&lt;&gt;"",IF(INDEX(LdCBank,$N1617)="","—",INDEX(LdCBank,$N1617)),"")))</f>
        <v/>
      </c>
      <c r="E1617" s="16">
        <f>IF($L1617&lt;&gt;"",IF(INDEX(LdAAmt,$L1617)=0,"",INDEX(LdAAmt,$L1617)),IF($M1617&lt;&gt;"",IF(INDEX(LdBAmt,$M1617)=0,"",INDEX(LdBAmt,$M1617)),IF($N1617&lt;&gt;"",IF(INDEX(LdCDep,$N1617)=0,"",INDEX(LdCDep,$N1617)),"")))</f>
        <v/>
      </c>
      <c r="F1617" s="16">
        <f>IF(AND($L1617="",$M1617="",$N1617=""),"",IF($N1617="","",IF(INDEX(LdCWit,$N1617)=0,"",INDEX(LdCWit,$N1617))))</f>
        <v/>
      </c>
      <c r="G1617" s="29">
        <f>IF($B1617="","",IF($G1616="",0,$G1616)+IF($E1617="",0,$E1617)-IF($F1617="",0,$F1617))</f>
        <v/>
      </c>
      <c r="H1617" s="30">
        <f>IF(AND($L1617="",$M1617="",$N1617=""),"",IF($L1617&lt;&gt;"",IF(INDEX(LdANote,$L1617)="","—",INDEX(LdANote,$L1617)),IF($M1617&lt;&gt;"",IF(INDEX(LdBNote,$M1617)="","—",INDEX(LdBNote,$M1617)),IF($N1617&lt;&gt;"",IF(INDEX(LdCNote,$N1617)="","—",INDEX(LdCNote,$N1617)),""))))</f>
        <v/>
      </c>
      <c r="L1617">
        <f>IFERROR(MATCH($C$5&amp;"|"&amp;RIGHT("000000"&amp;1601,6),LdAKeyM,0),"")</f>
        <v/>
      </c>
      <c r="M1617">
        <f>IFERROR(MATCH($C$5&amp;"|"&amp;RIGHT("000000"&amp;1601,6),LdBKeyM,0),"")</f>
        <v/>
      </c>
      <c r="N1617">
        <f>IFERROR(MATCH($C$5&amp;"|"&amp;RIGHT("000000"&amp;1601,6),LdCKeyM,0),"")</f>
        <v/>
      </c>
    </row>
    <row r="1618">
      <c r="A1618" s="19" t="n">
        <v>1602</v>
      </c>
      <c r="B1618" s="20">
        <f>IF(AND($L1618="",$M1618="",$N1618=""),"",IF($L1618&lt;&gt;"",INDEX(LdADate,$L1618),IF($M1618&lt;&gt;"",INDEX(LdBDate,$M1618),INDEX(LdCDate,$N1618))))</f>
        <v/>
      </c>
      <c r="C1618" s="20">
        <f>IF($L1618&lt;&gt;"","دستمزد (فردی)",IF($M1618&lt;&gt;"","سهم از گروه "&amp;IFERROR(VLOOKUP(INDEX(LdBGroup,$M1618),WGTbl,2,0),INDEX(LdBGroup,$M1618)),IF($N1618&lt;&gt;"",IF(N(INDEX(LdCDep,$N1618))&gt;0,"بازگشت بانکی","پرداخت بانکی"),"")))</f>
        <v/>
      </c>
      <c r="D1618" s="20">
        <f>IF($L1618&lt;&gt;"",IF(INDEX(LdAId,$L1618)="","—",INDEX(LdAId,$L1618)),IF($M1618&lt;&gt;"",IF(INDEX(LdBId,$M1618)="","—",INDEX(LdBId,$M1618)),IF($N1618&lt;&gt;"",IF(INDEX(LdCBank,$N1618)="","—",INDEX(LdCBank,$N1618)),"")))</f>
        <v/>
      </c>
      <c r="E1618" s="21">
        <f>IF($L1618&lt;&gt;"",IF(INDEX(LdAAmt,$L1618)=0,"",INDEX(LdAAmt,$L1618)),IF($M1618&lt;&gt;"",IF(INDEX(LdBAmt,$M1618)=0,"",INDEX(LdBAmt,$M1618)),IF($N1618&lt;&gt;"",IF(INDEX(LdCDep,$N1618)=0,"",INDEX(LdCDep,$N1618)),"")))</f>
        <v/>
      </c>
      <c r="F1618" s="21">
        <f>IF(AND($L1618="",$M1618="",$N1618=""),"",IF($N1618="","",IF(INDEX(LdCWit,$N1618)=0,"",INDEX(LdCWit,$N1618))))</f>
        <v/>
      </c>
      <c r="G1618" s="31">
        <f>IF($B1618="","",IF($G1617="",0,$G1617)+IF($E1618="",0,$E1618)-IF($F1618="",0,$F1618))</f>
        <v/>
      </c>
      <c r="H1618" s="32">
        <f>IF(AND($L1618="",$M1618="",$N1618=""),"",IF($L1618&lt;&gt;"",IF(INDEX(LdANote,$L1618)="","—",INDEX(LdANote,$L1618)),IF($M1618&lt;&gt;"",IF(INDEX(LdBNote,$M1618)="","—",INDEX(LdBNote,$M1618)),IF($N1618&lt;&gt;"",IF(INDEX(LdCNote,$N1618)="","—",INDEX(LdCNote,$N1618)),""))))</f>
        <v/>
      </c>
      <c r="L1618">
        <f>IFERROR(MATCH($C$5&amp;"|"&amp;RIGHT("000000"&amp;1602,6),LdAKeyM,0),"")</f>
        <v/>
      </c>
      <c r="M1618">
        <f>IFERROR(MATCH($C$5&amp;"|"&amp;RIGHT("000000"&amp;1602,6),LdBKeyM,0),"")</f>
        <v/>
      </c>
      <c r="N1618">
        <f>IFERROR(MATCH($C$5&amp;"|"&amp;RIGHT("000000"&amp;1602,6),LdCKeyM,0),"")</f>
        <v/>
      </c>
    </row>
    <row r="1619">
      <c r="A1619" s="10" t="n">
        <v>1603</v>
      </c>
      <c r="B1619" s="14">
        <f>IF(AND($L1619="",$M1619="",$N1619=""),"",IF($L1619&lt;&gt;"",INDEX(LdADate,$L1619),IF($M1619&lt;&gt;"",INDEX(LdBDate,$M1619),INDEX(LdCDate,$N1619))))</f>
        <v/>
      </c>
      <c r="C1619" s="14">
        <f>IF($L1619&lt;&gt;"","دستمزد (فردی)",IF($M1619&lt;&gt;"","سهم از گروه "&amp;IFERROR(VLOOKUP(INDEX(LdBGroup,$M1619),WGTbl,2,0),INDEX(LdBGroup,$M1619)),IF($N1619&lt;&gt;"",IF(N(INDEX(LdCDep,$N1619))&gt;0,"بازگشت بانکی","پرداخت بانکی"),"")))</f>
        <v/>
      </c>
      <c r="D1619" s="14">
        <f>IF($L1619&lt;&gt;"",IF(INDEX(LdAId,$L1619)="","—",INDEX(LdAId,$L1619)),IF($M1619&lt;&gt;"",IF(INDEX(LdBId,$M1619)="","—",INDEX(LdBId,$M1619)),IF($N1619&lt;&gt;"",IF(INDEX(LdCBank,$N1619)="","—",INDEX(LdCBank,$N1619)),"")))</f>
        <v/>
      </c>
      <c r="E1619" s="16">
        <f>IF($L1619&lt;&gt;"",IF(INDEX(LdAAmt,$L1619)=0,"",INDEX(LdAAmt,$L1619)),IF($M1619&lt;&gt;"",IF(INDEX(LdBAmt,$M1619)=0,"",INDEX(LdBAmt,$M1619)),IF($N1619&lt;&gt;"",IF(INDEX(LdCDep,$N1619)=0,"",INDEX(LdCDep,$N1619)),"")))</f>
        <v/>
      </c>
      <c r="F1619" s="16">
        <f>IF(AND($L1619="",$M1619="",$N1619=""),"",IF($N1619="","",IF(INDEX(LdCWit,$N1619)=0,"",INDEX(LdCWit,$N1619))))</f>
        <v/>
      </c>
      <c r="G1619" s="29">
        <f>IF($B1619="","",IF($G1618="",0,$G1618)+IF($E1619="",0,$E1619)-IF($F1619="",0,$F1619))</f>
        <v/>
      </c>
      <c r="H1619" s="30">
        <f>IF(AND($L1619="",$M1619="",$N1619=""),"",IF($L1619&lt;&gt;"",IF(INDEX(LdANote,$L1619)="","—",INDEX(LdANote,$L1619)),IF($M1619&lt;&gt;"",IF(INDEX(LdBNote,$M1619)="","—",INDEX(LdBNote,$M1619)),IF($N1619&lt;&gt;"",IF(INDEX(LdCNote,$N1619)="","—",INDEX(LdCNote,$N1619)),""))))</f>
        <v/>
      </c>
      <c r="L1619">
        <f>IFERROR(MATCH($C$5&amp;"|"&amp;RIGHT("000000"&amp;1603,6),LdAKeyM,0),"")</f>
        <v/>
      </c>
      <c r="M1619">
        <f>IFERROR(MATCH($C$5&amp;"|"&amp;RIGHT("000000"&amp;1603,6),LdBKeyM,0),"")</f>
        <v/>
      </c>
      <c r="N1619">
        <f>IFERROR(MATCH($C$5&amp;"|"&amp;RIGHT("000000"&amp;1603,6),LdCKeyM,0),"")</f>
        <v/>
      </c>
    </row>
    <row r="1620">
      <c r="A1620" s="19" t="n">
        <v>1604</v>
      </c>
      <c r="B1620" s="20">
        <f>IF(AND($L1620="",$M1620="",$N1620=""),"",IF($L1620&lt;&gt;"",INDEX(LdADate,$L1620),IF($M1620&lt;&gt;"",INDEX(LdBDate,$M1620),INDEX(LdCDate,$N1620))))</f>
        <v/>
      </c>
      <c r="C1620" s="20">
        <f>IF($L1620&lt;&gt;"","دستمزد (فردی)",IF($M1620&lt;&gt;"","سهم از گروه "&amp;IFERROR(VLOOKUP(INDEX(LdBGroup,$M1620),WGTbl,2,0),INDEX(LdBGroup,$M1620)),IF($N1620&lt;&gt;"",IF(N(INDEX(LdCDep,$N1620))&gt;0,"بازگشت بانکی","پرداخت بانکی"),"")))</f>
        <v/>
      </c>
      <c r="D1620" s="20">
        <f>IF($L1620&lt;&gt;"",IF(INDEX(LdAId,$L1620)="","—",INDEX(LdAId,$L1620)),IF($M1620&lt;&gt;"",IF(INDEX(LdBId,$M1620)="","—",INDEX(LdBId,$M1620)),IF($N1620&lt;&gt;"",IF(INDEX(LdCBank,$N1620)="","—",INDEX(LdCBank,$N1620)),"")))</f>
        <v/>
      </c>
      <c r="E1620" s="21">
        <f>IF($L1620&lt;&gt;"",IF(INDEX(LdAAmt,$L1620)=0,"",INDEX(LdAAmt,$L1620)),IF($M1620&lt;&gt;"",IF(INDEX(LdBAmt,$M1620)=0,"",INDEX(LdBAmt,$M1620)),IF($N1620&lt;&gt;"",IF(INDEX(LdCDep,$N1620)=0,"",INDEX(LdCDep,$N1620)),"")))</f>
        <v/>
      </c>
      <c r="F1620" s="21">
        <f>IF(AND($L1620="",$M1620="",$N1620=""),"",IF($N1620="","",IF(INDEX(LdCWit,$N1620)=0,"",INDEX(LdCWit,$N1620))))</f>
        <v/>
      </c>
      <c r="G1620" s="31">
        <f>IF($B1620="","",IF($G1619="",0,$G1619)+IF($E1620="",0,$E1620)-IF($F1620="",0,$F1620))</f>
        <v/>
      </c>
      <c r="H1620" s="32">
        <f>IF(AND($L1620="",$M1620="",$N1620=""),"",IF($L1620&lt;&gt;"",IF(INDEX(LdANote,$L1620)="","—",INDEX(LdANote,$L1620)),IF($M1620&lt;&gt;"",IF(INDEX(LdBNote,$M1620)="","—",INDEX(LdBNote,$M1620)),IF($N1620&lt;&gt;"",IF(INDEX(LdCNote,$N1620)="","—",INDEX(LdCNote,$N1620)),""))))</f>
        <v/>
      </c>
      <c r="L1620">
        <f>IFERROR(MATCH($C$5&amp;"|"&amp;RIGHT("000000"&amp;1604,6),LdAKeyM,0),"")</f>
        <v/>
      </c>
      <c r="M1620">
        <f>IFERROR(MATCH($C$5&amp;"|"&amp;RIGHT("000000"&amp;1604,6),LdBKeyM,0),"")</f>
        <v/>
      </c>
      <c r="N1620">
        <f>IFERROR(MATCH($C$5&amp;"|"&amp;RIGHT("000000"&amp;1604,6),LdCKeyM,0),"")</f>
        <v/>
      </c>
    </row>
    <row r="1621">
      <c r="A1621" s="10" t="n">
        <v>1605</v>
      </c>
      <c r="B1621" s="14">
        <f>IF(AND($L1621="",$M1621="",$N1621=""),"",IF($L1621&lt;&gt;"",INDEX(LdADate,$L1621),IF($M1621&lt;&gt;"",INDEX(LdBDate,$M1621),INDEX(LdCDate,$N1621))))</f>
        <v/>
      </c>
      <c r="C1621" s="14">
        <f>IF($L1621&lt;&gt;"","دستمزد (فردی)",IF($M1621&lt;&gt;"","سهم از گروه "&amp;IFERROR(VLOOKUP(INDEX(LdBGroup,$M1621),WGTbl,2,0),INDEX(LdBGroup,$M1621)),IF($N1621&lt;&gt;"",IF(N(INDEX(LdCDep,$N1621))&gt;0,"بازگشت بانکی","پرداخت بانکی"),"")))</f>
        <v/>
      </c>
      <c r="D1621" s="14">
        <f>IF($L1621&lt;&gt;"",IF(INDEX(LdAId,$L1621)="","—",INDEX(LdAId,$L1621)),IF($M1621&lt;&gt;"",IF(INDEX(LdBId,$M1621)="","—",INDEX(LdBId,$M1621)),IF($N1621&lt;&gt;"",IF(INDEX(LdCBank,$N1621)="","—",INDEX(LdCBank,$N1621)),"")))</f>
        <v/>
      </c>
      <c r="E1621" s="16">
        <f>IF($L1621&lt;&gt;"",IF(INDEX(LdAAmt,$L1621)=0,"",INDEX(LdAAmt,$L1621)),IF($M1621&lt;&gt;"",IF(INDEX(LdBAmt,$M1621)=0,"",INDEX(LdBAmt,$M1621)),IF($N1621&lt;&gt;"",IF(INDEX(LdCDep,$N1621)=0,"",INDEX(LdCDep,$N1621)),"")))</f>
        <v/>
      </c>
      <c r="F1621" s="16">
        <f>IF(AND($L1621="",$M1621="",$N1621=""),"",IF($N1621="","",IF(INDEX(LdCWit,$N1621)=0,"",INDEX(LdCWit,$N1621))))</f>
        <v/>
      </c>
      <c r="G1621" s="29">
        <f>IF($B1621="","",IF($G1620="",0,$G1620)+IF($E1621="",0,$E1621)-IF($F1621="",0,$F1621))</f>
        <v/>
      </c>
      <c r="H1621" s="30">
        <f>IF(AND($L1621="",$M1621="",$N1621=""),"",IF($L1621&lt;&gt;"",IF(INDEX(LdANote,$L1621)="","—",INDEX(LdANote,$L1621)),IF($M1621&lt;&gt;"",IF(INDEX(LdBNote,$M1621)="","—",INDEX(LdBNote,$M1621)),IF($N1621&lt;&gt;"",IF(INDEX(LdCNote,$N1621)="","—",INDEX(LdCNote,$N1621)),""))))</f>
        <v/>
      </c>
      <c r="L1621">
        <f>IFERROR(MATCH($C$5&amp;"|"&amp;RIGHT("000000"&amp;1605,6),LdAKeyM,0),"")</f>
        <v/>
      </c>
      <c r="M1621">
        <f>IFERROR(MATCH($C$5&amp;"|"&amp;RIGHT("000000"&amp;1605,6),LdBKeyM,0),"")</f>
        <v/>
      </c>
      <c r="N1621">
        <f>IFERROR(MATCH($C$5&amp;"|"&amp;RIGHT("000000"&amp;1605,6),LdCKeyM,0),"")</f>
        <v/>
      </c>
    </row>
    <row r="1622">
      <c r="A1622" s="19" t="n">
        <v>1606</v>
      </c>
      <c r="B1622" s="20">
        <f>IF(AND($L1622="",$M1622="",$N1622=""),"",IF($L1622&lt;&gt;"",INDEX(LdADate,$L1622),IF($M1622&lt;&gt;"",INDEX(LdBDate,$M1622),INDEX(LdCDate,$N1622))))</f>
        <v/>
      </c>
      <c r="C1622" s="20">
        <f>IF($L1622&lt;&gt;"","دستمزد (فردی)",IF($M1622&lt;&gt;"","سهم از گروه "&amp;IFERROR(VLOOKUP(INDEX(LdBGroup,$M1622),WGTbl,2,0),INDEX(LdBGroup,$M1622)),IF($N1622&lt;&gt;"",IF(N(INDEX(LdCDep,$N1622))&gt;0,"بازگشت بانکی","پرداخت بانکی"),"")))</f>
        <v/>
      </c>
      <c r="D1622" s="20">
        <f>IF($L1622&lt;&gt;"",IF(INDEX(LdAId,$L1622)="","—",INDEX(LdAId,$L1622)),IF($M1622&lt;&gt;"",IF(INDEX(LdBId,$M1622)="","—",INDEX(LdBId,$M1622)),IF($N1622&lt;&gt;"",IF(INDEX(LdCBank,$N1622)="","—",INDEX(LdCBank,$N1622)),"")))</f>
        <v/>
      </c>
      <c r="E1622" s="21">
        <f>IF($L1622&lt;&gt;"",IF(INDEX(LdAAmt,$L1622)=0,"",INDEX(LdAAmt,$L1622)),IF($M1622&lt;&gt;"",IF(INDEX(LdBAmt,$M1622)=0,"",INDEX(LdBAmt,$M1622)),IF($N1622&lt;&gt;"",IF(INDEX(LdCDep,$N1622)=0,"",INDEX(LdCDep,$N1622)),"")))</f>
        <v/>
      </c>
      <c r="F1622" s="21">
        <f>IF(AND($L1622="",$M1622="",$N1622=""),"",IF($N1622="","",IF(INDEX(LdCWit,$N1622)=0,"",INDEX(LdCWit,$N1622))))</f>
        <v/>
      </c>
      <c r="G1622" s="31">
        <f>IF($B1622="","",IF($G1621="",0,$G1621)+IF($E1622="",0,$E1622)-IF($F1622="",0,$F1622))</f>
        <v/>
      </c>
      <c r="H1622" s="32">
        <f>IF(AND($L1622="",$M1622="",$N1622=""),"",IF($L1622&lt;&gt;"",IF(INDEX(LdANote,$L1622)="","—",INDEX(LdANote,$L1622)),IF($M1622&lt;&gt;"",IF(INDEX(LdBNote,$M1622)="","—",INDEX(LdBNote,$M1622)),IF($N1622&lt;&gt;"",IF(INDEX(LdCNote,$N1622)="","—",INDEX(LdCNote,$N1622)),""))))</f>
        <v/>
      </c>
      <c r="L1622">
        <f>IFERROR(MATCH($C$5&amp;"|"&amp;RIGHT("000000"&amp;1606,6),LdAKeyM,0),"")</f>
        <v/>
      </c>
      <c r="M1622">
        <f>IFERROR(MATCH($C$5&amp;"|"&amp;RIGHT("000000"&amp;1606,6),LdBKeyM,0),"")</f>
        <v/>
      </c>
      <c r="N1622">
        <f>IFERROR(MATCH($C$5&amp;"|"&amp;RIGHT("000000"&amp;1606,6),LdCKeyM,0),"")</f>
        <v/>
      </c>
    </row>
    <row r="1623">
      <c r="A1623" s="10" t="n">
        <v>1607</v>
      </c>
      <c r="B1623" s="14">
        <f>IF(AND($L1623="",$M1623="",$N1623=""),"",IF($L1623&lt;&gt;"",INDEX(LdADate,$L1623),IF($M1623&lt;&gt;"",INDEX(LdBDate,$M1623),INDEX(LdCDate,$N1623))))</f>
        <v/>
      </c>
      <c r="C1623" s="14">
        <f>IF($L1623&lt;&gt;"","دستمزد (فردی)",IF($M1623&lt;&gt;"","سهم از گروه "&amp;IFERROR(VLOOKUP(INDEX(LdBGroup,$M1623),WGTbl,2,0),INDEX(LdBGroup,$M1623)),IF($N1623&lt;&gt;"",IF(N(INDEX(LdCDep,$N1623))&gt;0,"بازگشت بانکی","پرداخت بانکی"),"")))</f>
        <v/>
      </c>
      <c r="D1623" s="14">
        <f>IF($L1623&lt;&gt;"",IF(INDEX(LdAId,$L1623)="","—",INDEX(LdAId,$L1623)),IF($M1623&lt;&gt;"",IF(INDEX(LdBId,$M1623)="","—",INDEX(LdBId,$M1623)),IF($N1623&lt;&gt;"",IF(INDEX(LdCBank,$N1623)="","—",INDEX(LdCBank,$N1623)),"")))</f>
        <v/>
      </c>
      <c r="E1623" s="16">
        <f>IF($L1623&lt;&gt;"",IF(INDEX(LdAAmt,$L1623)=0,"",INDEX(LdAAmt,$L1623)),IF($M1623&lt;&gt;"",IF(INDEX(LdBAmt,$M1623)=0,"",INDEX(LdBAmt,$M1623)),IF($N1623&lt;&gt;"",IF(INDEX(LdCDep,$N1623)=0,"",INDEX(LdCDep,$N1623)),"")))</f>
        <v/>
      </c>
      <c r="F1623" s="16">
        <f>IF(AND($L1623="",$M1623="",$N1623=""),"",IF($N1623="","",IF(INDEX(LdCWit,$N1623)=0,"",INDEX(LdCWit,$N1623))))</f>
        <v/>
      </c>
      <c r="G1623" s="29">
        <f>IF($B1623="","",IF($G1622="",0,$G1622)+IF($E1623="",0,$E1623)-IF($F1623="",0,$F1623))</f>
        <v/>
      </c>
      <c r="H1623" s="30">
        <f>IF(AND($L1623="",$M1623="",$N1623=""),"",IF($L1623&lt;&gt;"",IF(INDEX(LdANote,$L1623)="","—",INDEX(LdANote,$L1623)),IF($M1623&lt;&gt;"",IF(INDEX(LdBNote,$M1623)="","—",INDEX(LdBNote,$M1623)),IF($N1623&lt;&gt;"",IF(INDEX(LdCNote,$N1623)="","—",INDEX(LdCNote,$N1623)),""))))</f>
        <v/>
      </c>
      <c r="L1623">
        <f>IFERROR(MATCH($C$5&amp;"|"&amp;RIGHT("000000"&amp;1607,6),LdAKeyM,0),"")</f>
        <v/>
      </c>
      <c r="M1623">
        <f>IFERROR(MATCH($C$5&amp;"|"&amp;RIGHT("000000"&amp;1607,6),LdBKeyM,0),"")</f>
        <v/>
      </c>
      <c r="N1623">
        <f>IFERROR(MATCH($C$5&amp;"|"&amp;RIGHT("000000"&amp;1607,6),LdCKeyM,0),"")</f>
        <v/>
      </c>
    </row>
    <row r="1624">
      <c r="A1624" s="19" t="n">
        <v>1608</v>
      </c>
      <c r="B1624" s="20">
        <f>IF(AND($L1624="",$M1624="",$N1624=""),"",IF($L1624&lt;&gt;"",INDEX(LdADate,$L1624),IF($M1624&lt;&gt;"",INDEX(LdBDate,$M1624),INDEX(LdCDate,$N1624))))</f>
        <v/>
      </c>
      <c r="C1624" s="20">
        <f>IF($L1624&lt;&gt;"","دستمزد (فردی)",IF($M1624&lt;&gt;"","سهم از گروه "&amp;IFERROR(VLOOKUP(INDEX(LdBGroup,$M1624),WGTbl,2,0),INDEX(LdBGroup,$M1624)),IF($N1624&lt;&gt;"",IF(N(INDEX(LdCDep,$N1624))&gt;0,"بازگشت بانکی","پرداخت بانکی"),"")))</f>
        <v/>
      </c>
      <c r="D1624" s="20">
        <f>IF($L1624&lt;&gt;"",IF(INDEX(LdAId,$L1624)="","—",INDEX(LdAId,$L1624)),IF($M1624&lt;&gt;"",IF(INDEX(LdBId,$M1624)="","—",INDEX(LdBId,$M1624)),IF($N1624&lt;&gt;"",IF(INDEX(LdCBank,$N1624)="","—",INDEX(LdCBank,$N1624)),"")))</f>
        <v/>
      </c>
      <c r="E1624" s="21">
        <f>IF($L1624&lt;&gt;"",IF(INDEX(LdAAmt,$L1624)=0,"",INDEX(LdAAmt,$L1624)),IF($M1624&lt;&gt;"",IF(INDEX(LdBAmt,$M1624)=0,"",INDEX(LdBAmt,$M1624)),IF($N1624&lt;&gt;"",IF(INDEX(LdCDep,$N1624)=0,"",INDEX(LdCDep,$N1624)),"")))</f>
        <v/>
      </c>
      <c r="F1624" s="21">
        <f>IF(AND($L1624="",$M1624="",$N1624=""),"",IF($N1624="","",IF(INDEX(LdCWit,$N1624)=0,"",INDEX(LdCWit,$N1624))))</f>
        <v/>
      </c>
      <c r="G1624" s="31">
        <f>IF($B1624="","",IF($G1623="",0,$G1623)+IF($E1624="",0,$E1624)-IF($F1624="",0,$F1624))</f>
        <v/>
      </c>
      <c r="H1624" s="32">
        <f>IF(AND($L1624="",$M1624="",$N1624=""),"",IF($L1624&lt;&gt;"",IF(INDEX(LdANote,$L1624)="","—",INDEX(LdANote,$L1624)),IF($M1624&lt;&gt;"",IF(INDEX(LdBNote,$M1624)="","—",INDEX(LdBNote,$M1624)),IF($N1624&lt;&gt;"",IF(INDEX(LdCNote,$N1624)="","—",INDEX(LdCNote,$N1624)),""))))</f>
        <v/>
      </c>
      <c r="L1624">
        <f>IFERROR(MATCH($C$5&amp;"|"&amp;RIGHT("000000"&amp;1608,6),LdAKeyM,0),"")</f>
        <v/>
      </c>
      <c r="M1624">
        <f>IFERROR(MATCH($C$5&amp;"|"&amp;RIGHT("000000"&amp;1608,6),LdBKeyM,0),"")</f>
        <v/>
      </c>
      <c r="N1624">
        <f>IFERROR(MATCH($C$5&amp;"|"&amp;RIGHT("000000"&amp;1608,6),LdCKeyM,0),"")</f>
        <v/>
      </c>
    </row>
    <row r="1625">
      <c r="A1625" s="10" t="n">
        <v>1609</v>
      </c>
      <c r="B1625" s="14">
        <f>IF(AND($L1625="",$M1625="",$N1625=""),"",IF($L1625&lt;&gt;"",INDEX(LdADate,$L1625),IF($M1625&lt;&gt;"",INDEX(LdBDate,$M1625),INDEX(LdCDate,$N1625))))</f>
        <v/>
      </c>
      <c r="C1625" s="14">
        <f>IF($L1625&lt;&gt;"","دستمزد (فردی)",IF($M1625&lt;&gt;"","سهم از گروه "&amp;IFERROR(VLOOKUP(INDEX(LdBGroup,$M1625),WGTbl,2,0),INDEX(LdBGroup,$M1625)),IF($N1625&lt;&gt;"",IF(N(INDEX(LdCDep,$N1625))&gt;0,"بازگشت بانکی","پرداخت بانکی"),"")))</f>
        <v/>
      </c>
      <c r="D1625" s="14">
        <f>IF($L1625&lt;&gt;"",IF(INDEX(LdAId,$L1625)="","—",INDEX(LdAId,$L1625)),IF($M1625&lt;&gt;"",IF(INDEX(LdBId,$M1625)="","—",INDEX(LdBId,$M1625)),IF($N1625&lt;&gt;"",IF(INDEX(LdCBank,$N1625)="","—",INDEX(LdCBank,$N1625)),"")))</f>
        <v/>
      </c>
      <c r="E1625" s="16">
        <f>IF($L1625&lt;&gt;"",IF(INDEX(LdAAmt,$L1625)=0,"",INDEX(LdAAmt,$L1625)),IF($M1625&lt;&gt;"",IF(INDEX(LdBAmt,$M1625)=0,"",INDEX(LdBAmt,$M1625)),IF($N1625&lt;&gt;"",IF(INDEX(LdCDep,$N1625)=0,"",INDEX(LdCDep,$N1625)),"")))</f>
        <v/>
      </c>
      <c r="F1625" s="16">
        <f>IF(AND($L1625="",$M1625="",$N1625=""),"",IF($N1625="","",IF(INDEX(LdCWit,$N1625)=0,"",INDEX(LdCWit,$N1625))))</f>
        <v/>
      </c>
      <c r="G1625" s="29">
        <f>IF($B1625="","",IF($G1624="",0,$G1624)+IF($E1625="",0,$E1625)-IF($F1625="",0,$F1625))</f>
        <v/>
      </c>
      <c r="H1625" s="30">
        <f>IF(AND($L1625="",$M1625="",$N1625=""),"",IF($L1625&lt;&gt;"",IF(INDEX(LdANote,$L1625)="","—",INDEX(LdANote,$L1625)),IF($M1625&lt;&gt;"",IF(INDEX(LdBNote,$M1625)="","—",INDEX(LdBNote,$M1625)),IF($N1625&lt;&gt;"",IF(INDEX(LdCNote,$N1625)="","—",INDEX(LdCNote,$N1625)),""))))</f>
        <v/>
      </c>
      <c r="L1625">
        <f>IFERROR(MATCH($C$5&amp;"|"&amp;RIGHT("000000"&amp;1609,6),LdAKeyM,0),"")</f>
        <v/>
      </c>
      <c r="M1625">
        <f>IFERROR(MATCH($C$5&amp;"|"&amp;RIGHT("000000"&amp;1609,6),LdBKeyM,0),"")</f>
        <v/>
      </c>
      <c r="N1625">
        <f>IFERROR(MATCH($C$5&amp;"|"&amp;RIGHT("000000"&amp;1609,6),LdCKeyM,0),"")</f>
        <v/>
      </c>
    </row>
    <row r="1626">
      <c r="A1626" s="19" t="n">
        <v>1610</v>
      </c>
      <c r="B1626" s="20">
        <f>IF(AND($L1626="",$M1626="",$N1626=""),"",IF($L1626&lt;&gt;"",INDEX(LdADate,$L1626),IF($M1626&lt;&gt;"",INDEX(LdBDate,$M1626),INDEX(LdCDate,$N1626))))</f>
        <v/>
      </c>
      <c r="C1626" s="20">
        <f>IF($L1626&lt;&gt;"","دستمزد (فردی)",IF($M1626&lt;&gt;"","سهم از گروه "&amp;IFERROR(VLOOKUP(INDEX(LdBGroup,$M1626),WGTbl,2,0),INDEX(LdBGroup,$M1626)),IF($N1626&lt;&gt;"",IF(N(INDEX(LdCDep,$N1626))&gt;0,"بازگشت بانکی","پرداخت بانکی"),"")))</f>
        <v/>
      </c>
      <c r="D1626" s="20">
        <f>IF($L1626&lt;&gt;"",IF(INDEX(LdAId,$L1626)="","—",INDEX(LdAId,$L1626)),IF($M1626&lt;&gt;"",IF(INDEX(LdBId,$M1626)="","—",INDEX(LdBId,$M1626)),IF($N1626&lt;&gt;"",IF(INDEX(LdCBank,$N1626)="","—",INDEX(LdCBank,$N1626)),"")))</f>
        <v/>
      </c>
      <c r="E1626" s="21">
        <f>IF($L1626&lt;&gt;"",IF(INDEX(LdAAmt,$L1626)=0,"",INDEX(LdAAmt,$L1626)),IF($M1626&lt;&gt;"",IF(INDEX(LdBAmt,$M1626)=0,"",INDEX(LdBAmt,$M1626)),IF($N1626&lt;&gt;"",IF(INDEX(LdCDep,$N1626)=0,"",INDEX(LdCDep,$N1626)),"")))</f>
        <v/>
      </c>
      <c r="F1626" s="21">
        <f>IF(AND($L1626="",$M1626="",$N1626=""),"",IF($N1626="","",IF(INDEX(LdCWit,$N1626)=0,"",INDEX(LdCWit,$N1626))))</f>
        <v/>
      </c>
      <c r="G1626" s="31">
        <f>IF($B1626="","",IF($G1625="",0,$G1625)+IF($E1626="",0,$E1626)-IF($F1626="",0,$F1626))</f>
        <v/>
      </c>
      <c r="H1626" s="32">
        <f>IF(AND($L1626="",$M1626="",$N1626=""),"",IF($L1626&lt;&gt;"",IF(INDEX(LdANote,$L1626)="","—",INDEX(LdANote,$L1626)),IF($M1626&lt;&gt;"",IF(INDEX(LdBNote,$M1626)="","—",INDEX(LdBNote,$M1626)),IF($N1626&lt;&gt;"",IF(INDEX(LdCNote,$N1626)="","—",INDEX(LdCNote,$N1626)),""))))</f>
        <v/>
      </c>
      <c r="L1626">
        <f>IFERROR(MATCH($C$5&amp;"|"&amp;RIGHT("000000"&amp;1610,6),LdAKeyM,0),"")</f>
        <v/>
      </c>
      <c r="M1626">
        <f>IFERROR(MATCH($C$5&amp;"|"&amp;RIGHT("000000"&amp;1610,6),LdBKeyM,0),"")</f>
        <v/>
      </c>
      <c r="N1626">
        <f>IFERROR(MATCH($C$5&amp;"|"&amp;RIGHT("000000"&amp;1610,6),LdCKeyM,0),"")</f>
        <v/>
      </c>
    </row>
    <row r="1627">
      <c r="A1627" s="10" t="n">
        <v>1611</v>
      </c>
      <c r="B1627" s="14">
        <f>IF(AND($L1627="",$M1627="",$N1627=""),"",IF($L1627&lt;&gt;"",INDEX(LdADate,$L1627),IF($M1627&lt;&gt;"",INDEX(LdBDate,$M1627),INDEX(LdCDate,$N1627))))</f>
        <v/>
      </c>
      <c r="C1627" s="14">
        <f>IF($L1627&lt;&gt;"","دستمزد (فردی)",IF($M1627&lt;&gt;"","سهم از گروه "&amp;IFERROR(VLOOKUP(INDEX(LdBGroup,$M1627),WGTbl,2,0),INDEX(LdBGroup,$M1627)),IF($N1627&lt;&gt;"",IF(N(INDEX(LdCDep,$N1627))&gt;0,"بازگشت بانکی","پرداخت بانکی"),"")))</f>
        <v/>
      </c>
      <c r="D1627" s="14">
        <f>IF($L1627&lt;&gt;"",IF(INDEX(LdAId,$L1627)="","—",INDEX(LdAId,$L1627)),IF($M1627&lt;&gt;"",IF(INDEX(LdBId,$M1627)="","—",INDEX(LdBId,$M1627)),IF($N1627&lt;&gt;"",IF(INDEX(LdCBank,$N1627)="","—",INDEX(LdCBank,$N1627)),"")))</f>
        <v/>
      </c>
      <c r="E1627" s="16">
        <f>IF($L1627&lt;&gt;"",IF(INDEX(LdAAmt,$L1627)=0,"",INDEX(LdAAmt,$L1627)),IF($M1627&lt;&gt;"",IF(INDEX(LdBAmt,$M1627)=0,"",INDEX(LdBAmt,$M1627)),IF($N1627&lt;&gt;"",IF(INDEX(LdCDep,$N1627)=0,"",INDEX(LdCDep,$N1627)),"")))</f>
        <v/>
      </c>
      <c r="F1627" s="16">
        <f>IF(AND($L1627="",$M1627="",$N1627=""),"",IF($N1627="","",IF(INDEX(LdCWit,$N1627)=0,"",INDEX(LdCWit,$N1627))))</f>
        <v/>
      </c>
      <c r="G1627" s="29">
        <f>IF($B1627="","",IF($G1626="",0,$G1626)+IF($E1627="",0,$E1627)-IF($F1627="",0,$F1627))</f>
        <v/>
      </c>
      <c r="H1627" s="30">
        <f>IF(AND($L1627="",$M1627="",$N1627=""),"",IF($L1627&lt;&gt;"",IF(INDEX(LdANote,$L1627)="","—",INDEX(LdANote,$L1627)),IF($M1627&lt;&gt;"",IF(INDEX(LdBNote,$M1627)="","—",INDEX(LdBNote,$M1627)),IF($N1627&lt;&gt;"",IF(INDEX(LdCNote,$N1627)="","—",INDEX(LdCNote,$N1627)),""))))</f>
        <v/>
      </c>
      <c r="L1627">
        <f>IFERROR(MATCH($C$5&amp;"|"&amp;RIGHT("000000"&amp;1611,6),LdAKeyM,0),"")</f>
        <v/>
      </c>
      <c r="M1627">
        <f>IFERROR(MATCH($C$5&amp;"|"&amp;RIGHT("000000"&amp;1611,6),LdBKeyM,0),"")</f>
        <v/>
      </c>
      <c r="N1627">
        <f>IFERROR(MATCH($C$5&amp;"|"&amp;RIGHT("000000"&amp;1611,6),LdCKeyM,0),"")</f>
        <v/>
      </c>
    </row>
    <row r="1628">
      <c r="A1628" s="19" t="n">
        <v>1612</v>
      </c>
      <c r="B1628" s="20">
        <f>IF(AND($L1628="",$M1628="",$N1628=""),"",IF($L1628&lt;&gt;"",INDEX(LdADate,$L1628),IF($M1628&lt;&gt;"",INDEX(LdBDate,$M1628),INDEX(LdCDate,$N1628))))</f>
        <v/>
      </c>
      <c r="C1628" s="20">
        <f>IF($L1628&lt;&gt;"","دستمزد (فردی)",IF($M1628&lt;&gt;"","سهم از گروه "&amp;IFERROR(VLOOKUP(INDEX(LdBGroup,$M1628),WGTbl,2,0),INDEX(LdBGroup,$M1628)),IF($N1628&lt;&gt;"",IF(N(INDEX(LdCDep,$N1628))&gt;0,"بازگشت بانکی","پرداخت بانکی"),"")))</f>
        <v/>
      </c>
      <c r="D1628" s="20">
        <f>IF($L1628&lt;&gt;"",IF(INDEX(LdAId,$L1628)="","—",INDEX(LdAId,$L1628)),IF($M1628&lt;&gt;"",IF(INDEX(LdBId,$M1628)="","—",INDEX(LdBId,$M1628)),IF($N1628&lt;&gt;"",IF(INDEX(LdCBank,$N1628)="","—",INDEX(LdCBank,$N1628)),"")))</f>
        <v/>
      </c>
      <c r="E1628" s="21">
        <f>IF($L1628&lt;&gt;"",IF(INDEX(LdAAmt,$L1628)=0,"",INDEX(LdAAmt,$L1628)),IF($M1628&lt;&gt;"",IF(INDEX(LdBAmt,$M1628)=0,"",INDEX(LdBAmt,$M1628)),IF($N1628&lt;&gt;"",IF(INDEX(LdCDep,$N1628)=0,"",INDEX(LdCDep,$N1628)),"")))</f>
        <v/>
      </c>
      <c r="F1628" s="21">
        <f>IF(AND($L1628="",$M1628="",$N1628=""),"",IF($N1628="","",IF(INDEX(LdCWit,$N1628)=0,"",INDEX(LdCWit,$N1628))))</f>
        <v/>
      </c>
      <c r="G1628" s="31">
        <f>IF($B1628="","",IF($G1627="",0,$G1627)+IF($E1628="",0,$E1628)-IF($F1628="",0,$F1628))</f>
        <v/>
      </c>
      <c r="H1628" s="32">
        <f>IF(AND($L1628="",$M1628="",$N1628=""),"",IF($L1628&lt;&gt;"",IF(INDEX(LdANote,$L1628)="","—",INDEX(LdANote,$L1628)),IF($M1628&lt;&gt;"",IF(INDEX(LdBNote,$M1628)="","—",INDEX(LdBNote,$M1628)),IF($N1628&lt;&gt;"",IF(INDEX(LdCNote,$N1628)="","—",INDEX(LdCNote,$N1628)),""))))</f>
        <v/>
      </c>
      <c r="L1628">
        <f>IFERROR(MATCH($C$5&amp;"|"&amp;RIGHT("000000"&amp;1612,6),LdAKeyM,0),"")</f>
        <v/>
      </c>
      <c r="M1628">
        <f>IFERROR(MATCH($C$5&amp;"|"&amp;RIGHT("000000"&amp;1612,6),LdBKeyM,0),"")</f>
        <v/>
      </c>
      <c r="N1628">
        <f>IFERROR(MATCH($C$5&amp;"|"&amp;RIGHT("000000"&amp;1612,6),LdCKeyM,0),"")</f>
        <v/>
      </c>
    </row>
    <row r="1629">
      <c r="A1629" s="10" t="n">
        <v>1613</v>
      </c>
      <c r="B1629" s="14">
        <f>IF(AND($L1629="",$M1629="",$N1629=""),"",IF($L1629&lt;&gt;"",INDEX(LdADate,$L1629),IF($M1629&lt;&gt;"",INDEX(LdBDate,$M1629),INDEX(LdCDate,$N1629))))</f>
        <v/>
      </c>
      <c r="C1629" s="14">
        <f>IF($L1629&lt;&gt;"","دستمزد (فردی)",IF($M1629&lt;&gt;"","سهم از گروه "&amp;IFERROR(VLOOKUP(INDEX(LdBGroup,$M1629),WGTbl,2,0),INDEX(LdBGroup,$M1629)),IF($N1629&lt;&gt;"",IF(N(INDEX(LdCDep,$N1629))&gt;0,"بازگشت بانکی","پرداخت بانکی"),"")))</f>
        <v/>
      </c>
      <c r="D1629" s="14">
        <f>IF($L1629&lt;&gt;"",IF(INDEX(LdAId,$L1629)="","—",INDEX(LdAId,$L1629)),IF($M1629&lt;&gt;"",IF(INDEX(LdBId,$M1629)="","—",INDEX(LdBId,$M1629)),IF($N1629&lt;&gt;"",IF(INDEX(LdCBank,$N1629)="","—",INDEX(LdCBank,$N1629)),"")))</f>
        <v/>
      </c>
      <c r="E1629" s="16">
        <f>IF($L1629&lt;&gt;"",IF(INDEX(LdAAmt,$L1629)=0,"",INDEX(LdAAmt,$L1629)),IF($M1629&lt;&gt;"",IF(INDEX(LdBAmt,$M1629)=0,"",INDEX(LdBAmt,$M1629)),IF($N1629&lt;&gt;"",IF(INDEX(LdCDep,$N1629)=0,"",INDEX(LdCDep,$N1629)),"")))</f>
        <v/>
      </c>
      <c r="F1629" s="16">
        <f>IF(AND($L1629="",$M1629="",$N1629=""),"",IF($N1629="","",IF(INDEX(LdCWit,$N1629)=0,"",INDEX(LdCWit,$N1629))))</f>
        <v/>
      </c>
      <c r="G1629" s="29">
        <f>IF($B1629="","",IF($G1628="",0,$G1628)+IF($E1629="",0,$E1629)-IF($F1629="",0,$F1629))</f>
        <v/>
      </c>
      <c r="H1629" s="30">
        <f>IF(AND($L1629="",$M1629="",$N1629=""),"",IF($L1629&lt;&gt;"",IF(INDEX(LdANote,$L1629)="","—",INDEX(LdANote,$L1629)),IF($M1629&lt;&gt;"",IF(INDEX(LdBNote,$M1629)="","—",INDEX(LdBNote,$M1629)),IF($N1629&lt;&gt;"",IF(INDEX(LdCNote,$N1629)="","—",INDEX(LdCNote,$N1629)),""))))</f>
        <v/>
      </c>
      <c r="L1629">
        <f>IFERROR(MATCH($C$5&amp;"|"&amp;RIGHT("000000"&amp;1613,6),LdAKeyM,0),"")</f>
        <v/>
      </c>
      <c r="M1629">
        <f>IFERROR(MATCH($C$5&amp;"|"&amp;RIGHT("000000"&amp;1613,6),LdBKeyM,0),"")</f>
        <v/>
      </c>
      <c r="N1629">
        <f>IFERROR(MATCH($C$5&amp;"|"&amp;RIGHT("000000"&amp;1613,6),LdCKeyM,0),"")</f>
        <v/>
      </c>
    </row>
    <row r="1630">
      <c r="A1630" s="19" t="n">
        <v>1614</v>
      </c>
      <c r="B1630" s="20">
        <f>IF(AND($L1630="",$M1630="",$N1630=""),"",IF($L1630&lt;&gt;"",INDEX(LdADate,$L1630),IF($M1630&lt;&gt;"",INDEX(LdBDate,$M1630),INDEX(LdCDate,$N1630))))</f>
        <v/>
      </c>
      <c r="C1630" s="20">
        <f>IF($L1630&lt;&gt;"","دستمزد (فردی)",IF($M1630&lt;&gt;"","سهم از گروه "&amp;IFERROR(VLOOKUP(INDEX(LdBGroup,$M1630),WGTbl,2,0),INDEX(LdBGroup,$M1630)),IF($N1630&lt;&gt;"",IF(N(INDEX(LdCDep,$N1630))&gt;0,"بازگشت بانکی","پرداخت بانکی"),"")))</f>
        <v/>
      </c>
      <c r="D1630" s="20">
        <f>IF($L1630&lt;&gt;"",IF(INDEX(LdAId,$L1630)="","—",INDEX(LdAId,$L1630)),IF($M1630&lt;&gt;"",IF(INDEX(LdBId,$M1630)="","—",INDEX(LdBId,$M1630)),IF($N1630&lt;&gt;"",IF(INDEX(LdCBank,$N1630)="","—",INDEX(LdCBank,$N1630)),"")))</f>
        <v/>
      </c>
      <c r="E1630" s="21">
        <f>IF($L1630&lt;&gt;"",IF(INDEX(LdAAmt,$L1630)=0,"",INDEX(LdAAmt,$L1630)),IF($M1630&lt;&gt;"",IF(INDEX(LdBAmt,$M1630)=0,"",INDEX(LdBAmt,$M1630)),IF($N1630&lt;&gt;"",IF(INDEX(LdCDep,$N1630)=0,"",INDEX(LdCDep,$N1630)),"")))</f>
        <v/>
      </c>
      <c r="F1630" s="21">
        <f>IF(AND($L1630="",$M1630="",$N1630=""),"",IF($N1630="","",IF(INDEX(LdCWit,$N1630)=0,"",INDEX(LdCWit,$N1630))))</f>
        <v/>
      </c>
      <c r="G1630" s="31">
        <f>IF($B1630="","",IF($G1629="",0,$G1629)+IF($E1630="",0,$E1630)-IF($F1630="",0,$F1630))</f>
        <v/>
      </c>
      <c r="H1630" s="32">
        <f>IF(AND($L1630="",$M1630="",$N1630=""),"",IF($L1630&lt;&gt;"",IF(INDEX(LdANote,$L1630)="","—",INDEX(LdANote,$L1630)),IF($M1630&lt;&gt;"",IF(INDEX(LdBNote,$M1630)="","—",INDEX(LdBNote,$M1630)),IF($N1630&lt;&gt;"",IF(INDEX(LdCNote,$N1630)="","—",INDEX(LdCNote,$N1630)),""))))</f>
        <v/>
      </c>
      <c r="L1630">
        <f>IFERROR(MATCH($C$5&amp;"|"&amp;RIGHT("000000"&amp;1614,6),LdAKeyM,0),"")</f>
        <v/>
      </c>
      <c r="M1630">
        <f>IFERROR(MATCH($C$5&amp;"|"&amp;RIGHT("000000"&amp;1614,6),LdBKeyM,0),"")</f>
        <v/>
      </c>
      <c r="N1630">
        <f>IFERROR(MATCH($C$5&amp;"|"&amp;RIGHT("000000"&amp;1614,6),LdCKeyM,0),"")</f>
        <v/>
      </c>
    </row>
    <row r="1631">
      <c r="A1631" s="10" t="n">
        <v>1615</v>
      </c>
      <c r="B1631" s="14">
        <f>IF(AND($L1631="",$M1631="",$N1631=""),"",IF($L1631&lt;&gt;"",INDEX(LdADate,$L1631),IF($M1631&lt;&gt;"",INDEX(LdBDate,$M1631),INDEX(LdCDate,$N1631))))</f>
        <v/>
      </c>
      <c r="C1631" s="14">
        <f>IF($L1631&lt;&gt;"","دستمزد (فردی)",IF($M1631&lt;&gt;"","سهم از گروه "&amp;IFERROR(VLOOKUP(INDEX(LdBGroup,$M1631),WGTbl,2,0),INDEX(LdBGroup,$M1631)),IF($N1631&lt;&gt;"",IF(N(INDEX(LdCDep,$N1631))&gt;0,"بازگشت بانکی","پرداخت بانکی"),"")))</f>
        <v/>
      </c>
      <c r="D1631" s="14">
        <f>IF($L1631&lt;&gt;"",IF(INDEX(LdAId,$L1631)="","—",INDEX(LdAId,$L1631)),IF($M1631&lt;&gt;"",IF(INDEX(LdBId,$M1631)="","—",INDEX(LdBId,$M1631)),IF($N1631&lt;&gt;"",IF(INDEX(LdCBank,$N1631)="","—",INDEX(LdCBank,$N1631)),"")))</f>
        <v/>
      </c>
      <c r="E1631" s="16">
        <f>IF($L1631&lt;&gt;"",IF(INDEX(LdAAmt,$L1631)=0,"",INDEX(LdAAmt,$L1631)),IF($M1631&lt;&gt;"",IF(INDEX(LdBAmt,$M1631)=0,"",INDEX(LdBAmt,$M1631)),IF($N1631&lt;&gt;"",IF(INDEX(LdCDep,$N1631)=0,"",INDEX(LdCDep,$N1631)),"")))</f>
        <v/>
      </c>
      <c r="F1631" s="16">
        <f>IF(AND($L1631="",$M1631="",$N1631=""),"",IF($N1631="","",IF(INDEX(LdCWit,$N1631)=0,"",INDEX(LdCWit,$N1631))))</f>
        <v/>
      </c>
      <c r="G1631" s="29">
        <f>IF($B1631="","",IF($G1630="",0,$G1630)+IF($E1631="",0,$E1631)-IF($F1631="",0,$F1631))</f>
        <v/>
      </c>
      <c r="H1631" s="30">
        <f>IF(AND($L1631="",$M1631="",$N1631=""),"",IF($L1631&lt;&gt;"",IF(INDEX(LdANote,$L1631)="","—",INDEX(LdANote,$L1631)),IF($M1631&lt;&gt;"",IF(INDEX(LdBNote,$M1631)="","—",INDEX(LdBNote,$M1631)),IF($N1631&lt;&gt;"",IF(INDEX(LdCNote,$N1631)="","—",INDEX(LdCNote,$N1631)),""))))</f>
        <v/>
      </c>
      <c r="L1631">
        <f>IFERROR(MATCH($C$5&amp;"|"&amp;RIGHT("000000"&amp;1615,6),LdAKeyM,0),"")</f>
        <v/>
      </c>
      <c r="M1631">
        <f>IFERROR(MATCH($C$5&amp;"|"&amp;RIGHT("000000"&amp;1615,6),LdBKeyM,0),"")</f>
        <v/>
      </c>
      <c r="N1631">
        <f>IFERROR(MATCH($C$5&amp;"|"&amp;RIGHT("000000"&amp;1615,6),LdCKeyM,0),"")</f>
        <v/>
      </c>
    </row>
    <row r="1632">
      <c r="A1632" s="19" t="n">
        <v>1616</v>
      </c>
      <c r="B1632" s="20">
        <f>IF(AND($L1632="",$M1632="",$N1632=""),"",IF($L1632&lt;&gt;"",INDEX(LdADate,$L1632),IF($M1632&lt;&gt;"",INDEX(LdBDate,$M1632),INDEX(LdCDate,$N1632))))</f>
        <v/>
      </c>
      <c r="C1632" s="20">
        <f>IF($L1632&lt;&gt;"","دستمزد (فردی)",IF($M1632&lt;&gt;"","سهم از گروه "&amp;IFERROR(VLOOKUP(INDEX(LdBGroup,$M1632),WGTbl,2,0),INDEX(LdBGroup,$M1632)),IF($N1632&lt;&gt;"",IF(N(INDEX(LdCDep,$N1632))&gt;0,"بازگشت بانکی","پرداخت بانکی"),"")))</f>
        <v/>
      </c>
      <c r="D1632" s="20">
        <f>IF($L1632&lt;&gt;"",IF(INDEX(LdAId,$L1632)="","—",INDEX(LdAId,$L1632)),IF($M1632&lt;&gt;"",IF(INDEX(LdBId,$M1632)="","—",INDEX(LdBId,$M1632)),IF($N1632&lt;&gt;"",IF(INDEX(LdCBank,$N1632)="","—",INDEX(LdCBank,$N1632)),"")))</f>
        <v/>
      </c>
      <c r="E1632" s="21">
        <f>IF($L1632&lt;&gt;"",IF(INDEX(LdAAmt,$L1632)=0,"",INDEX(LdAAmt,$L1632)),IF($M1632&lt;&gt;"",IF(INDEX(LdBAmt,$M1632)=0,"",INDEX(LdBAmt,$M1632)),IF($N1632&lt;&gt;"",IF(INDEX(LdCDep,$N1632)=0,"",INDEX(LdCDep,$N1632)),"")))</f>
        <v/>
      </c>
      <c r="F1632" s="21">
        <f>IF(AND($L1632="",$M1632="",$N1632=""),"",IF($N1632="","",IF(INDEX(LdCWit,$N1632)=0,"",INDEX(LdCWit,$N1632))))</f>
        <v/>
      </c>
      <c r="G1632" s="31">
        <f>IF($B1632="","",IF($G1631="",0,$G1631)+IF($E1632="",0,$E1632)-IF($F1632="",0,$F1632))</f>
        <v/>
      </c>
      <c r="H1632" s="32">
        <f>IF(AND($L1632="",$M1632="",$N1632=""),"",IF($L1632&lt;&gt;"",IF(INDEX(LdANote,$L1632)="","—",INDEX(LdANote,$L1632)),IF($M1632&lt;&gt;"",IF(INDEX(LdBNote,$M1632)="","—",INDEX(LdBNote,$M1632)),IF($N1632&lt;&gt;"",IF(INDEX(LdCNote,$N1632)="","—",INDEX(LdCNote,$N1632)),""))))</f>
        <v/>
      </c>
      <c r="L1632">
        <f>IFERROR(MATCH($C$5&amp;"|"&amp;RIGHT("000000"&amp;1616,6),LdAKeyM,0),"")</f>
        <v/>
      </c>
      <c r="M1632">
        <f>IFERROR(MATCH($C$5&amp;"|"&amp;RIGHT("000000"&amp;1616,6),LdBKeyM,0),"")</f>
        <v/>
      </c>
      <c r="N1632">
        <f>IFERROR(MATCH($C$5&amp;"|"&amp;RIGHT("000000"&amp;1616,6),LdCKeyM,0),"")</f>
        <v/>
      </c>
    </row>
    <row r="1633">
      <c r="A1633" s="10" t="n">
        <v>1617</v>
      </c>
      <c r="B1633" s="14">
        <f>IF(AND($L1633="",$M1633="",$N1633=""),"",IF($L1633&lt;&gt;"",INDEX(LdADate,$L1633),IF($M1633&lt;&gt;"",INDEX(LdBDate,$M1633),INDEX(LdCDate,$N1633))))</f>
        <v/>
      </c>
      <c r="C1633" s="14">
        <f>IF($L1633&lt;&gt;"","دستمزد (فردی)",IF($M1633&lt;&gt;"","سهم از گروه "&amp;IFERROR(VLOOKUP(INDEX(LdBGroup,$M1633),WGTbl,2,0),INDEX(LdBGroup,$M1633)),IF($N1633&lt;&gt;"",IF(N(INDEX(LdCDep,$N1633))&gt;0,"بازگشت بانکی","پرداخت بانکی"),"")))</f>
        <v/>
      </c>
      <c r="D1633" s="14">
        <f>IF($L1633&lt;&gt;"",IF(INDEX(LdAId,$L1633)="","—",INDEX(LdAId,$L1633)),IF($M1633&lt;&gt;"",IF(INDEX(LdBId,$M1633)="","—",INDEX(LdBId,$M1633)),IF($N1633&lt;&gt;"",IF(INDEX(LdCBank,$N1633)="","—",INDEX(LdCBank,$N1633)),"")))</f>
        <v/>
      </c>
      <c r="E1633" s="16">
        <f>IF($L1633&lt;&gt;"",IF(INDEX(LdAAmt,$L1633)=0,"",INDEX(LdAAmt,$L1633)),IF($M1633&lt;&gt;"",IF(INDEX(LdBAmt,$M1633)=0,"",INDEX(LdBAmt,$M1633)),IF($N1633&lt;&gt;"",IF(INDEX(LdCDep,$N1633)=0,"",INDEX(LdCDep,$N1633)),"")))</f>
        <v/>
      </c>
      <c r="F1633" s="16">
        <f>IF(AND($L1633="",$M1633="",$N1633=""),"",IF($N1633="","",IF(INDEX(LdCWit,$N1633)=0,"",INDEX(LdCWit,$N1633))))</f>
        <v/>
      </c>
      <c r="G1633" s="29">
        <f>IF($B1633="","",IF($G1632="",0,$G1632)+IF($E1633="",0,$E1633)-IF($F1633="",0,$F1633))</f>
        <v/>
      </c>
      <c r="H1633" s="30">
        <f>IF(AND($L1633="",$M1633="",$N1633=""),"",IF($L1633&lt;&gt;"",IF(INDEX(LdANote,$L1633)="","—",INDEX(LdANote,$L1633)),IF($M1633&lt;&gt;"",IF(INDEX(LdBNote,$M1633)="","—",INDEX(LdBNote,$M1633)),IF($N1633&lt;&gt;"",IF(INDEX(LdCNote,$N1633)="","—",INDEX(LdCNote,$N1633)),""))))</f>
        <v/>
      </c>
      <c r="L1633">
        <f>IFERROR(MATCH($C$5&amp;"|"&amp;RIGHT("000000"&amp;1617,6),LdAKeyM,0),"")</f>
        <v/>
      </c>
      <c r="M1633">
        <f>IFERROR(MATCH($C$5&amp;"|"&amp;RIGHT("000000"&amp;1617,6),LdBKeyM,0),"")</f>
        <v/>
      </c>
      <c r="N1633">
        <f>IFERROR(MATCH($C$5&amp;"|"&amp;RIGHT("000000"&amp;1617,6),LdCKeyM,0),"")</f>
        <v/>
      </c>
    </row>
    <row r="1634">
      <c r="A1634" s="19" t="n">
        <v>1618</v>
      </c>
      <c r="B1634" s="20">
        <f>IF(AND($L1634="",$M1634="",$N1634=""),"",IF($L1634&lt;&gt;"",INDEX(LdADate,$L1634),IF($M1634&lt;&gt;"",INDEX(LdBDate,$M1634),INDEX(LdCDate,$N1634))))</f>
        <v/>
      </c>
      <c r="C1634" s="20">
        <f>IF($L1634&lt;&gt;"","دستمزد (فردی)",IF($M1634&lt;&gt;"","سهم از گروه "&amp;IFERROR(VLOOKUP(INDEX(LdBGroup,$M1634),WGTbl,2,0),INDEX(LdBGroup,$M1634)),IF($N1634&lt;&gt;"",IF(N(INDEX(LdCDep,$N1634))&gt;0,"بازگشت بانکی","پرداخت بانکی"),"")))</f>
        <v/>
      </c>
      <c r="D1634" s="20">
        <f>IF($L1634&lt;&gt;"",IF(INDEX(LdAId,$L1634)="","—",INDEX(LdAId,$L1634)),IF($M1634&lt;&gt;"",IF(INDEX(LdBId,$M1634)="","—",INDEX(LdBId,$M1634)),IF($N1634&lt;&gt;"",IF(INDEX(LdCBank,$N1634)="","—",INDEX(LdCBank,$N1634)),"")))</f>
        <v/>
      </c>
      <c r="E1634" s="21">
        <f>IF($L1634&lt;&gt;"",IF(INDEX(LdAAmt,$L1634)=0,"",INDEX(LdAAmt,$L1634)),IF($M1634&lt;&gt;"",IF(INDEX(LdBAmt,$M1634)=0,"",INDEX(LdBAmt,$M1634)),IF($N1634&lt;&gt;"",IF(INDEX(LdCDep,$N1634)=0,"",INDEX(LdCDep,$N1634)),"")))</f>
        <v/>
      </c>
      <c r="F1634" s="21">
        <f>IF(AND($L1634="",$M1634="",$N1634=""),"",IF($N1634="","",IF(INDEX(LdCWit,$N1634)=0,"",INDEX(LdCWit,$N1634))))</f>
        <v/>
      </c>
      <c r="G1634" s="31">
        <f>IF($B1634="","",IF($G1633="",0,$G1633)+IF($E1634="",0,$E1634)-IF($F1634="",0,$F1634))</f>
        <v/>
      </c>
      <c r="H1634" s="32">
        <f>IF(AND($L1634="",$M1634="",$N1634=""),"",IF($L1634&lt;&gt;"",IF(INDEX(LdANote,$L1634)="","—",INDEX(LdANote,$L1634)),IF($M1634&lt;&gt;"",IF(INDEX(LdBNote,$M1634)="","—",INDEX(LdBNote,$M1634)),IF($N1634&lt;&gt;"",IF(INDEX(LdCNote,$N1634)="","—",INDEX(LdCNote,$N1634)),""))))</f>
        <v/>
      </c>
      <c r="L1634">
        <f>IFERROR(MATCH($C$5&amp;"|"&amp;RIGHT("000000"&amp;1618,6),LdAKeyM,0),"")</f>
        <v/>
      </c>
      <c r="M1634">
        <f>IFERROR(MATCH($C$5&amp;"|"&amp;RIGHT("000000"&amp;1618,6),LdBKeyM,0),"")</f>
        <v/>
      </c>
      <c r="N1634">
        <f>IFERROR(MATCH($C$5&amp;"|"&amp;RIGHT("000000"&amp;1618,6),LdCKeyM,0),"")</f>
        <v/>
      </c>
    </row>
    <row r="1635">
      <c r="A1635" s="10" t="n">
        <v>1619</v>
      </c>
      <c r="B1635" s="14">
        <f>IF(AND($L1635="",$M1635="",$N1635=""),"",IF($L1635&lt;&gt;"",INDEX(LdADate,$L1635),IF($M1635&lt;&gt;"",INDEX(LdBDate,$M1635),INDEX(LdCDate,$N1635))))</f>
        <v/>
      </c>
      <c r="C1635" s="14">
        <f>IF($L1635&lt;&gt;"","دستمزد (فردی)",IF($M1635&lt;&gt;"","سهم از گروه "&amp;IFERROR(VLOOKUP(INDEX(LdBGroup,$M1635),WGTbl,2,0),INDEX(LdBGroup,$M1635)),IF($N1635&lt;&gt;"",IF(N(INDEX(LdCDep,$N1635))&gt;0,"بازگشت بانکی","پرداخت بانکی"),"")))</f>
        <v/>
      </c>
      <c r="D1635" s="14">
        <f>IF($L1635&lt;&gt;"",IF(INDEX(LdAId,$L1635)="","—",INDEX(LdAId,$L1635)),IF($M1635&lt;&gt;"",IF(INDEX(LdBId,$M1635)="","—",INDEX(LdBId,$M1635)),IF($N1635&lt;&gt;"",IF(INDEX(LdCBank,$N1635)="","—",INDEX(LdCBank,$N1635)),"")))</f>
        <v/>
      </c>
      <c r="E1635" s="16">
        <f>IF($L1635&lt;&gt;"",IF(INDEX(LdAAmt,$L1635)=0,"",INDEX(LdAAmt,$L1635)),IF($M1635&lt;&gt;"",IF(INDEX(LdBAmt,$M1635)=0,"",INDEX(LdBAmt,$M1635)),IF($N1635&lt;&gt;"",IF(INDEX(LdCDep,$N1635)=0,"",INDEX(LdCDep,$N1635)),"")))</f>
        <v/>
      </c>
      <c r="F1635" s="16">
        <f>IF(AND($L1635="",$M1635="",$N1635=""),"",IF($N1635="","",IF(INDEX(LdCWit,$N1635)=0,"",INDEX(LdCWit,$N1635))))</f>
        <v/>
      </c>
      <c r="G1635" s="29">
        <f>IF($B1635="","",IF($G1634="",0,$G1634)+IF($E1635="",0,$E1635)-IF($F1635="",0,$F1635))</f>
        <v/>
      </c>
      <c r="H1635" s="30">
        <f>IF(AND($L1635="",$M1635="",$N1635=""),"",IF($L1635&lt;&gt;"",IF(INDEX(LdANote,$L1635)="","—",INDEX(LdANote,$L1635)),IF($M1635&lt;&gt;"",IF(INDEX(LdBNote,$M1635)="","—",INDEX(LdBNote,$M1635)),IF($N1635&lt;&gt;"",IF(INDEX(LdCNote,$N1635)="","—",INDEX(LdCNote,$N1635)),""))))</f>
        <v/>
      </c>
      <c r="L1635">
        <f>IFERROR(MATCH($C$5&amp;"|"&amp;RIGHT("000000"&amp;1619,6),LdAKeyM,0),"")</f>
        <v/>
      </c>
      <c r="M1635">
        <f>IFERROR(MATCH($C$5&amp;"|"&amp;RIGHT("000000"&amp;1619,6),LdBKeyM,0),"")</f>
        <v/>
      </c>
      <c r="N1635">
        <f>IFERROR(MATCH($C$5&amp;"|"&amp;RIGHT("000000"&amp;1619,6),LdCKeyM,0),"")</f>
        <v/>
      </c>
    </row>
    <row r="1636">
      <c r="A1636" s="19" t="n">
        <v>1620</v>
      </c>
      <c r="B1636" s="20">
        <f>IF(AND($L1636="",$M1636="",$N1636=""),"",IF($L1636&lt;&gt;"",INDEX(LdADate,$L1636),IF($M1636&lt;&gt;"",INDEX(LdBDate,$M1636),INDEX(LdCDate,$N1636))))</f>
        <v/>
      </c>
      <c r="C1636" s="20">
        <f>IF($L1636&lt;&gt;"","دستمزد (فردی)",IF($M1636&lt;&gt;"","سهم از گروه "&amp;IFERROR(VLOOKUP(INDEX(LdBGroup,$M1636),WGTbl,2,0),INDEX(LdBGroup,$M1636)),IF($N1636&lt;&gt;"",IF(N(INDEX(LdCDep,$N1636))&gt;0,"بازگشت بانکی","پرداخت بانکی"),"")))</f>
        <v/>
      </c>
      <c r="D1636" s="20">
        <f>IF($L1636&lt;&gt;"",IF(INDEX(LdAId,$L1636)="","—",INDEX(LdAId,$L1636)),IF($M1636&lt;&gt;"",IF(INDEX(LdBId,$M1636)="","—",INDEX(LdBId,$M1636)),IF($N1636&lt;&gt;"",IF(INDEX(LdCBank,$N1636)="","—",INDEX(LdCBank,$N1636)),"")))</f>
        <v/>
      </c>
      <c r="E1636" s="21">
        <f>IF($L1636&lt;&gt;"",IF(INDEX(LdAAmt,$L1636)=0,"",INDEX(LdAAmt,$L1636)),IF($M1636&lt;&gt;"",IF(INDEX(LdBAmt,$M1636)=0,"",INDEX(LdBAmt,$M1636)),IF($N1636&lt;&gt;"",IF(INDEX(LdCDep,$N1636)=0,"",INDEX(LdCDep,$N1636)),"")))</f>
        <v/>
      </c>
      <c r="F1636" s="21">
        <f>IF(AND($L1636="",$M1636="",$N1636=""),"",IF($N1636="","",IF(INDEX(LdCWit,$N1636)=0,"",INDEX(LdCWit,$N1636))))</f>
        <v/>
      </c>
      <c r="G1636" s="31">
        <f>IF($B1636="","",IF($G1635="",0,$G1635)+IF($E1636="",0,$E1636)-IF($F1636="",0,$F1636))</f>
        <v/>
      </c>
      <c r="H1636" s="32">
        <f>IF(AND($L1636="",$M1636="",$N1636=""),"",IF($L1636&lt;&gt;"",IF(INDEX(LdANote,$L1636)="","—",INDEX(LdANote,$L1636)),IF($M1636&lt;&gt;"",IF(INDEX(LdBNote,$M1636)="","—",INDEX(LdBNote,$M1636)),IF($N1636&lt;&gt;"",IF(INDEX(LdCNote,$N1636)="","—",INDEX(LdCNote,$N1636)),""))))</f>
        <v/>
      </c>
      <c r="L1636">
        <f>IFERROR(MATCH($C$5&amp;"|"&amp;RIGHT("000000"&amp;1620,6),LdAKeyM,0),"")</f>
        <v/>
      </c>
      <c r="M1636">
        <f>IFERROR(MATCH($C$5&amp;"|"&amp;RIGHT("000000"&amp;1620,6),LdBKeyM,0),"")</f>
        <v/>
      </c>
      <c r="N1636">
        <f>IFERROR(MATCH($C$5&amp;"|"&amp;RIGHT("000000"&amp;1620,6),LdCKeyM,0),"")</f>
        <v/>
      </c>
    </row>
    <row r="1637">
      <c r="A1637" s="10" t="n">
        <v>1621</v>
      </c>
      <c r="B1637" s="14">
        <f>IF(AND($L1637="",$M1637="",$N1637=""),"",IF($L1637&lt;&gt;"",INDEX(LdADate,$L1637),IF($M1637&lt;&gt;"",INDEX(LdBDate,$M1637),INDEX(LdCDate,$N1637))))</f>
        <v/>
      </c>
      <c r="C1637" s="14">
        <f>IF($L1637&lt;&gt;"","دستمزد (فردی)",IF($M1637&lt;&gt;"","سهم از گروه "&amp;IFERROR(VLOOKUP(INDEX(LdBGroup,$M1637),WGTbl,2,0),INDEX(LdBGroup,$M1637)),IF($N1637&lt;&gt;"",IF(N(INDEX(LdCDep,$N1637))&gt;0,"بازگشت بانکی","پرداخت بانکی"),"")))</f>
        <v/>
      </c>
      <c r="D1637" s="14">
        <f>IF($L1637&lt;&gt;"",IF(INDEX(LdAId,$L1637)="","—",INDEX(LdAId,$L1637)),IF($M1637&lt;&gt;"",IF(INDEX(LdBId,$M1637)="","—",INDEX(LdBId,$M1637)),IF($N1637&lt;&gt;"",IF(INDEX(LdCBank,$N1637)="","—",INDEX(LdCBank,$N1637)),"")))</f>
        <v/>
      </c>
      <c r="E1637" s="16">
        <f>IF($L1637&lt;&gt;"",IF(INDEX(LdAAmt,$L1637)=0,"",INDEX(LdAAmt,$L1637)),IF($M1637&lt;&gt;"",IF(INDEX(LdBAmt,$M1637)=0,"",INDEX(LdBAmt,$M1637)),IF($N1637&lt;&gt;"",IF(INDEX(LdCDep,$N1637)=0,"",INDEX(LdCDep,$N1637)),"")))</f>
        <v/>
      </c>
      <c r="F1637" s="16">
        <f>IF(AND($L1637="",$M1637="",$N1637=""),"",IF($N1637="","",IF(INDEX(LdCWit,$N1637)=0,"",INDEX(LdCWit,$N1637))))</f>
        <v/>
      </c>
      <c r="G1637" s="29">
        <f>IF($B1637="","",IF($G1636="",0,$G1636)+IF($E1637="",0,$E1637)-IF($F1637="",0,$F1637))</f>
        <v/>
      </c>
      <c r="H1637" s="30">
        <f>IF(AND($L1637="",$M1637="",$N1637=""),"",IF($L1637&lt;&gt;"",IF(INDEX(LdANote,$L1637)="","—",INDEX(LdANote,$L1637)),IF($M1637&lt;&gt;"",IF(INDEX(LdBNote,$M1637)="","—",INDEX(LdBNote,$M1637)),IF($N1637&lt;&gt;"",IF(INDEX(LdCNote,$N1637)="","—",INDEX(LdCNote,$N1637)),""))))</f>
        <v/>
      </c>
      <c r="L1637">
        <f>IFERROR(MATCH($C$5&amp;"|"&amp;RIGHT("000000"&amp;1621,6),LdAKeyM,0),"")</f>
        <v/>
      </c>
      <c r="M1637">
        <f>IFERROR(MATCH($C$5&amp;"|"&amp;RIGHT("000000"&amp;1621,6),LdBKeyM,0),"")</f>
        <v/>
      </c>
      <c r="N1637">
        <f>IFERROR(MATCH($C$5&amp;"|"&amp;RIGHT("000000"&amp;1621,6),LdCKeyM,0),"")</f>
        <v/>
      </c>
    </row>
    <row r="1638">
      <c r="A1638" s="19" t="n">
        <v>1622</v>
      </c>
      <c r="B1638" s="20">
        <f>IF(AND($L1638="",$M1638="",$N1638=""),"",IF($L1638&lt;&gt;"",INDEX(LdADate,$L1638),IF($M1638&lt;&gt;"",INDEX(LdBDate,$M1638),INDEX(LdCDate,$N1638))))</f>
        <v/>
      </c>
      <c r="C1638" s="20">
        <f>IF($L1638&lt;&gt;"","دستمزد (فردی)",IF($M1638&lt;&gt;"","سهم از گروه "&amp;IFERROR(VLOOKUP(INDEX(LdBGroup,$M1638),WGTbl,2,0),INDEX(LdBGroup,$M1638)),IF($N1638&lt;&gt;"",IF(N(INDEX(LdCDep,$N1638))&gt;0,"بازگشت بانکی","پرداخت بانکی"),"")))</f>
        <v/>
      </c>
      <c r="D1638" s="20">
        <f>IF($L1638&lt;&gt;"",IF(INDEX(LdAId,$L1638)="","—",INDEX(LdAId,$L1638)),IF($M1638&lt;&gt;"",IF(INDEX(LdBId,$M1638)="","—",INDEX(LdBId,$M1638)),IF($N1638&lt;&gt;"",IF(INDEX(LdCBank,$N1638)="","—",INDEX(LdCBank,$N1638)),"")))</f>
        <v/>
      </c>
      <c r="E1638" s="21">
        <f>IF($L1638&lt;&gt;"",IF(INDEX(LdAAmt,$L1638)=0,"",INDEX(LdAAmt,$L1638)),IF($M1638&lt;&gt;"",IF(INDEX(LdBAmt,$M1638)=0,"",INDEX(LdBAmt,$M1638)),IF($N1638&lt;&gt;"",IF(INDEX(LdCDep,$N1638)=0,"",INDEX(LdCDep,$N1638)),"")))</f>
        <v/>
      </c>
      <c r="F1638" s="21">
        <f>IF(AND($L1638="",$M1638="",$N1638=""),"",IF($N1638="","",IF(INDEX(LdCWit,$N1638)=0,"",INDEX(LdCWit,$N1638))))</f>
        <v/>
      </c>
      <c r="G1638" s="31">
        <f>IF($B1638="","",IF($G1637="",0,$G1637)+IF($E1638="",0,$E1638)-IF($F1638="",0,$F1638))</f>
        <v/>
      </c>
      <c r="H1638" s="32">
        <f>IF(AND($L1638="",$M1638="",$N1638=""),"",IF($L1638&lt;&gt;"",IF(INDEX(LdANote,$L1638)="","—",INDEX(LdANote,$L1638)),IF($M1638&lt;&gt;"",IF(INDEX(LdBNote,$M1638)="","—",INDEX(LdBNote,$M1638)),IF($N1638&lt;&gt;"",IF(INDEX(LdCNote,$N1638)="","—",INDEX(LdCNote,$N1638)),""))))</f>
        <v/>
      </c>
      <c r="L1638">
        <f>IFERROR(MATCH($C$5&amp;"|"&amp;RIGHT("000000"&amp;1622,6),LdAKeyM,0),"")</f>
        <v/>
      </c>
      <c r="M1638">
        <f>IFERROR(MATCH($C$5&amp;"|"&amp;RIGHT("000000"&amp;1622,6),LdBKeyM,0),"")</f>
        <v/>
      </c>
      <c r="N1638">
        <f>IFERROR(MATCH($C$5&amp;"|"&amp;RIGHT("000000"&amp;1622,6),LdCKeyM,0),"")</f>
        <v/>
      </c>
    </row>
    <row r="1639">
      <c r="A1639" s="10" t="n">
        <v>1623</v>
      </c>
      <c r="B1639" s="14">
        <f>IF(AND($L1639="",$M1639="",$N1639=""),"",IF($L1639&lt;&gt;"",INDEX(LdADate,$L1639),IF($M1639&lt;&gt;"",INDEX(LdBDate,$M1639),INDEX(LdCDate,$N1639))))</f>
        <v/>
      </c>
      <c r="C1639" s="14">
        <f>IF($L1639&lt;&gt;"","دستمزد (فردی)",IF($M1639&lt;&gt;"","سهم از گروه "&amp;IFERROR(VLOOKUP(INDEX(LdBGroup,$M1639),WGTbl,2,0),INDEX(LdBGroup,$M1639)),IF($N1639&lt;&gt;"",IF(N(INDEX(LdCDep,$N1639))&gt;0,"بازگشت بانکی","پرداخت بانکی"),"")))</f>
        <v/>
      </c>
      <c r="D1639" s="14">
        <f>IF($L1639&lt;&gt;"",IF(INDEX(LdAId,$L1639)="","—",INDEX(LdAId,$L1639)),IF($M1639&lt;&gt;"",IF(INDEX(LdBId,$M1639)="","—",INDEX(LdBId,$M1639)),IF($N1639&lt;&gt;"",IF(INDEX(LdCBank,$N1639)="","—",INDEX(LdCBank,$N1639)),"")))</f>
        <v/>
      </c>
      <c r="E1639" s="16">
        <f>IF($L1639&lt;&gt;"",IF(INDEX(LdAAmt,$L1639)=0,"",INDEX(LdAAmt,$L1639)),IF($M1639&lt;&gt;"",IF(INDEX(LdBAmt,$M1639)=0,"",INDEX(LdBAmt,$M1639)),IF($N1639&lt;&gt;"",IF(INDEX(LdCDep,$N1639)=0,"",INDEX(LdCDep,$N1639)),"")))</f>
        <v/>
      </c>
      <c r="F1639" s="16">
        <f>IF(AND($L1639="",$M1639="",$N1639=""),"",IF($N1639="","",IF(INDEX(LdCWit,$N1639)=0,"",INDEX(LdCWit,$N1639))))</f>
        <v/>
      </c>
      <c r="G1639" s="29">
        <f>IF($B1639="","",IF($G1638="",0,$G1638)+IF($E1639="",0,$E1639)-IF($F1639="",0,$F1639))</f>
        <v/>
      </c>
      <c r="H1639" s="30">
        <f>IF(AND($L1639="",$M1639="",$N1639=""),"",IF($L1639&lt;&gt;"",IF(INDEX(LdANote,$L1639)="","—",INDEX(LdANote,$L1639)),IF($M1639&lt;&gt;"",IF(INDEX(LdBNote,$M1639)="","—",INDEX(LdBNote,$M1639)),IF($N1639&lt;&gt;"",IF(INDEX(LdCNote,$N1639)="","—",INDEX(LdCNote,$N1639)),""))))</f>
        <v/>
      </c>
      <c r="L1639">
        <f>IFERROR(MATCH($C$5&amp;"|"&amp;RIGHT("000000"&amp;1623,6),LdAKeyM,0),"")</f>
        <v/>
      </c>
      <c r="M1639">
        <f>IFERROR(MATCH($C$5&amp;"|"&amp;RIGHT("000000"&amp;1623,6),LdBKeyM,0),"")</f>
        <v/>
      </c>
      <c r="N1639">
        <f>IFERROR(MATCH($C$5&amp;"|"&amp;RIGHT("000000"&amp;1623,6),LdCKeyM,0),"")</f>
        <v/>
      </c>
    </row>
    <row r="1640">
      <c r="A1640" s="19" t="n">
        <v>1624</v>
      </c>
      <c r="B1640" s="20">
        <f>IF(AND($L1640="",$M1640="",$N1640=""),"",IF($L1640&lt;&gt;"",INDEX(LdADate,$L1640),IF($M1640&lt;&gt;"",INDEX(LdBDate,$M1640),INDEX(LdCDate,$N1640))))</f>
        <v/>
      </c>
      <c r="C1640" s="20">
        <f>IF($L1640&lt;&gt;"","دستمزد (فردی)",IF($M1640&lt;&gt;"","سهم از گروه "&amp;IFERROR(VLOOKUP(INDEX(LdBGroup,$M1640),WGTbl,2,0),INDEX(LdBGroup,$M1640)),IF($N1640&lt;&gt;"",IF(N(INDEX(LdCDep,$N1640))&gt;0,"بازگشت بانکی","پرداخت بانکی"),"")))</f>
        <v/>
      </c>
      <c r="D1640" s="20">
        <f>IF($L1640&lt;&gt;"",IF(INDEX(LdAId,$L1640)="","—",INDEX(LdAId,$L1640)),IF($M1640&lt;&gt;"",IF(INDEX(LdBId,$M1640)="","—",INDEX(LdBId,$M1640)),IF($N1640&lt;&gt;"",IF(INDEX(LdCBank,$N1640)="","—",INDEX(LdCBank,$N1640)),"")))</f>
        <v/>
      </c>
      <c r="E1640" s="21">
        <f>IF($L1640&lt;&gt;"",IF(INDEX(LdAAmt,$L1640)=0,"",INDEX(LdAAmt,$L1640)),IF($M1640&lt;&gt;"",IF(INDEX(LdBAmt,$M1640)=0,"",INDEX(LdBAmt,$M1640)),IF($N1640&lt;&gt;"",IF(INDEX(LdCDep,$N1640)=0,"",INDEX(LdCDep,$N1640)),"")))</f>
        <v/>
      </c>
      <c r="F1640" s="21">
        <f>IF(AND($L1640="",$M1640="",$N1640=""),"",IF($N1640="","",IF(INDEX(LdCWit,$N1640)=0,"",INDEX(LdCWit,$N1640))))</f>
        <v/>
      </c>
      <c r="G1640" s="31">
        <f>IF($B1640="","",IF($G1639="",0,$G1639)+IF($E1640="",0,$E1640)-IF($F1640="",0,$F1640))</f>
        <v/>
      </c>
      <c r="H1640" s="32">
        <f>IF(AND($L1640="",$M1640="",$N1640=""),"",IF($L1640&lt;&gt;"",IF(INDEX(LdANote,$L1640)="","—",INDEX(LdANote,$L1640)),IF($M1640&lt;&gt;"",IF(INDEX(LdBNote,$M1640)="","—",INDEX(LdBNote,$M1640)),IF($N1640&lt;&gt;"",IF(INDEX(LdCNote,$N1640)="","—",INDEX(LdCNote,$N1640)),""))))</f>
        <v/>
      </c>
      <c r="L1640">
        <f>IFERROR(MATCH($C$5&amp;"|"&amp;RIGHT("000000"&amp;1624,6),LdAKeyM,0),"")</f>
        <v/>
      </c>
      <c r="M1640">
        <f>IFERROR(MATCH($C$5&amp;"|"&amp;RIGHT("000000"&amp;1624,6),LdBKeyM,0),"")</f>
        <v/>
      </c>
      <c r="N1640">
        <f>IFERROR(MATCH($C$5&amp;"|"&amp;RIGHT("000000"&amp;1624,6),LdCKeyM,0),"")</f>
        <v/>
      </c>
    </row>
    <row r="1641">
      <c r="A1641" s="10" t="n">
        <v>1625</v>
      </c>
      <c r="B1641" s="14">
        <f>IF(AND($L1641="",$M1641="",$N1641=""),"",IF($L1641&lt;&gt;"",INDEX(LdADate,$L1641),IF($M1641&lt;&gt;"",INDEX(LdBDate,$M1641),INDEX(LdCDate,$N1641))))</f>
        <v/>
      </c>
      <c r="C1641" s="14">
        <f>IF($L1641&lt;&gt;"","دستمزد (فردی)",IF($M1641&lt;&gt;"","سهم از گروه "&amp;IFERROR(VLOOKUP(INDEX(LdBGroup,$M1641),WGTbl,2,0),INDEX(LdBGroup,$M1641)),IF($N1641&lt;&gt;"",IF(N(INDEX(LdCDep,$N1641))&gt;0,"بازگشت بانکی","پرداخت بانکی"),"")))</f>
        <v/>
      </c>
      <c r="D1641" s="14">
        <f>IF($L1641&lt;&gt;"",IF(INDEX(LdAId,$L1641)="","—",INDEX(LdAId,$L1641)),IF($M1641&lt;&gt;"",IF(INDEX(LdBId,$M1641)="","—",INDEX(LdBId,$M1641)),IF($N1641&lt;&gt;"",IF(INDEX(LdCBank,$N1641)="","—",INDEX(LdCBank,$N1641)),"")))</f>
        <v/>
      </c>
      <c r="E1641" s="16">
        <f>IF($L1641&lt;&gt;"",IF(INDEX(LdAAmt,$L1641)=0,"",INDEX(LdAAmt,$L1641)),IF($M1641&lt;&gt;"",IF(INDEX(LdBAmt,$M1641)=0,"",INDEX(LdBAmt,$M1641)),IF($N1641&lt;&gt;"",IF(INDEX(LdCDep,$N1641)=0,"",INDEX(LdCDep,$N1641)),"")))</f>
        <v/>
      </c>
      <c r="F1641" s="16">
        <f>IF(AND($L1641="",$M1641="",$N1641=""),"",IF($N1641="","",IF(INDEX(LdCWit,$N1641)=0,"",INDEX(LdCWit,$N1641))))</f>
        <v/>
      </c>
      <c r="G1641" s="29">
        <f>IF($B1641="","",IF($G1640="",0,$G1640)+IF($E1641="",0,$E1641)-IF($F1641="",0,$F1641))</f>
        <v/>
      </c>
      <c r="H1641" s="30">
        <f>IF(AND($L1641="",$M1641="",$N1641=""),"",IF($L1641&lt;&gt;"",IF(INDEX(LdANote,$L1641)="","—",INDEX(LdANote,$L1641)),IF($M1641&lt;&gt;"",IF(INDEX(LdBNote,$M1641)="","—",INDEX(LdBNote,$M1641)),IF($N1641&lt;&gt;"",IF(INDEX(LdCNote,$N1641)="","—",INDEX(LdCNote,$N1641)),""))))</f>
        <v/>
      </c>
      <c r="L1641">
        <f>IFERROR(MATCH($C$5&amp;"|"&amp;RIGHT("000000"&amp;1625,6),LdAKeyM,0),"")</f>
        <v/>
      </c>
      <c r="M1641">
        <f>IFERROR(MATCH($C$5&amp;"|"&amp;RIGHT("000000"&amp;1625,6),LdBKeyM,0),"")</f>
        <v/>
      </c>
      <c r="N1641">
        <f>IFERROR(MATCH($C$5&amp;"|"&amp;RIGHT("000000"&amp;1625,6),LdCKeyM,0),"")</f>
        <v/>
      </c>
    </row>
    <row r="1642">
      <c r="A1642" s="19" t="n">
        <v>1626</v>
      </c>
      <c r="B1642" s="20">
        <f>IF(AND($L1642="",$M1642="",$N1642=""),"",IF($L1642&lt;&gt;"",INDEX(LdADate,$L1642),IF($M1642&lt;&gt;"",INDEX(LdBDate,$M1642),INDEX(LdCDate,$N1642))))</f>
        <v/>
      </c>
      <c r="C1642" s="20">
        <f>IF($L1642&lt;&gt;"","دستمزد (فردی)",IF($M1642&lt;&gt;"","سهم از گروه "&amp;IFERROR(VLOOKUP(INDEX(LdBGroup,$M1642),WGTbl,2,0),INDEX(LdBGroup,$M1642)),IF($N1642&lt;&gt;"",IF(N(INDEX(LdCDep,$N1642))&gt;0,"بازگشت بانکی","پرداخت بانکی"),"")))</f>
        <v/>
      </c>
      <c r="D1642" s="20">
        <f>IF($L1642&lt;&gt;"",IF(INDEX(LdAId,$L1642)="","—",INDEX(LdAId,$L1642)),IF($M1642&lt;&gt;"",IF(INDEX(LdBId,$M1642)="","—",INDEX(LdBId,$M1642)),IF($N1642&lt;&gt;"",IF(INDEX(LdCBank,$N1642)="","—",INDEX(LdCBank,$N1642)),"")))</f>
        <v/>
      </c>
      <c r="E1642" s="21">
        <f>IF($L1642&lt;&gt;"",IF(INDEX(LdAAmt,$L1642)=0,"",INDEX(LdAAmt,$L1642)),IF($M1642&lt;&gt;"",IF(INDEX(LdBAmt,$M1642)=0,"",INDEX(LdBAmt,$M1642)),IF($N1642&lt;&gt;"",IF(INDEX(LdCDep,$N1642)=0,"",INDEX(LdCDep,$N1642)),"")))</f>
        <v/>
      </c>
      <c r="F1642" s="21">
        <f>IF(AND($L1642="",$M1642="",$N1642=""),"",IF($N1642="","",IF(INDEX(LdCWit,$N1642)=0,"",INDEX(LdCWit,$N1642))))</f>
        <v/>
      </c>
      <c r="G1642" s="31">
        <f>IF($B1642="","",IF($G1641="",0,$G1641)+IF($E1642="",0,$E1642)-IF($F1642="",0,$F1642))</f>
        <v/>
      </c>
      <c r="H1642" s="32">
        <f>IF(AND($L1642="",$M1642="",$N1642=""),"",IF($L1642&lt;&gt;"",IF(INDEX(LdANote,$L1642)="","—",INDEX(LdANote,$L1642)),IF($M1642&lt;&gt;"",IF(INDEX(LdBNote,$M1642)="","—",INDEX(LdBNote,$M1642)),IF($N1642&lt;&gt;"",IF(INDEX(LdCNote,$N1642)="","—",INDEX(LdCNote,$N1642)),""))))</f>
        <v/>
      </c>
      <c r="L1642">
        <f>IFERROR(MATCH($C$5&amp;"|"&amp;RIGHT("000000"&amp;1626,6),LdAKeyM,0),"")</f>
        <v/>
      </c>
      <c r="M1642">
        <f>IFERROR(MATCH($C$5&amp;"|"&amp;RIGHT("000000"&amp;1626,6),LdBKeyM,0),"")</f>
        <v/>
      </c>
      <c r="N1642">
        <f>IFERROR(MATCH($C$5&amp;"|"&amp;RIGHT("000000"&amp;1626,6),LdCKeyM,0),"")</f>
        <v/>
      </c>
    </row>
    <row r="1643">
      <c r="A1643" s="10" t="n">
        <v>1627</v>
      </c>
      <c r="B1643" s="14">
        <f>IF(AND($L1643="",$M1643="",$N1643=""),"",IF($L1643&lt;&gt;"",INDEX(LdADate,$L1643),IF($M1643&lt;&gt;"",INDEX(LdBDate,$M1643),INDEX(LdCDate,$N1643))))</f>
        <v/>
      </c>
      <c r="C1643" s="14">
        <f>IF($L1643&lt;&gt;"","دستمزد (فردی)",IF($M1643&lt;&gt;"","سهم از گروه "&amp;IFERROR(VLOOKUP(INDEX(LdBGroup,$M1643),WGTbl,2,0),INDEX(LdBGroup,$M1643)),IF($N1643&lt;&gt;"",IF(N(INDEX(LdCDep,$N1643))&gt;0,"بازگشت بانکی","پرداخت بانکی"),"")))</f>
        <v/>
      </c>
      <c r="D1643" s="14">
        <f>IF($L1643&lt;&gt;"",IF(INDEX(LdAId,$L1643)="","—",INDEX(LdAId,$L1643)),IF($M1643&lt;&gt;"",IF(INDEX(LdBId,$M1643)="","—",INDEX(LdBId,$M1643)),IF($N1643&lt;&gt;"",IF(INDEX(LdCBank,$N1643)="","—",INDEX(LdCBank,$N1643)),"")))</f>
        <v/>
      </c>
      <c r="E1643" s="16">
        <f>IF($L1643&lt;&gt;"",IF(INDEX(LdAAmt,$L1643)=0,"",INDEX(LdAAmt,$L1643)),IF($M1643&lt;&gt;"",IF(INDEX(LdBAmt,$M1643)=0,"",INDEX(LdBAmt,$M1643)),IF($N1643&lt;&gt;"",IF(INDEX(LdCDep,$N1643)=0,"",INDEX(LdCDep,$N1643)),"")))</f>
        <v/>
      </c>
      <c r="F1643" s="16">
        <f>IF(AND($L1643="",$M1643="",$N1643=""),"",IF($N1643="","",IF(INDEX(LdCWit,$N1643)=0,"",INDEX(LdCWit,$N1643))))</f>
        <v/>
      </c>
      <c r="G1643" s="29">
        <f>IF($B1643="","",IF($G1642="",0,$G1642)+IF($E1643="",0,$E1643)-IF($F1643="",0,$F1643))</f>
        <v/>
      </c>
      <c r="H1643" s="30">
        <f>IF(AND($L1643="",$M1643="",$N1643=""),"",IF($L1643&lt;&gt;"",IF(INDEX(LdANote,$L1643)="","—",INDEX(LdANote,$L1643)),IF($M1643&lt;&gt;"",IF(INDEX(LdBNote,$M1643)="","—",INDEX(LdBNote,$M1643)),IF($N1643&lt;&gt;"",IF(INDEX(LdCNote,$N1643)="","—",INDEX(LdCNote,$N1643)),""))))</f>
        <v/>
      </c>
      <c r="L1643">
        <f>IFERROR(MATCH($C$5&amp;"|"&amp;RIGHT("000000"&amp;1627,6),LdAKeyM,0),"")</f>
        <v/>
      </c>
      <c r="M1643">
        <f>IFERROR(MATCH($C$5&amp;"|"&amp;RIGHT("000000"&amp;1627,6),LdBKeyM,0),"")</f>
        <v/>
      </c>
      <c r="N1643">
        <f>IFERROR(MATCH($C$5&amp;"|"&amp;RIGHT("000000"&amp;1627,6),LdCKeyM,0),"")</f>
        <v/>
      </c>
    </row>
    <row r="1644">
      <c r="A1644" s="19" t="n">
        <v>1628</v>
      </c>
      <c r="B1644" s="20">
        <f>IF(AND($L1644="",$M1644="",$N1644=""),"",IF($L1644&lt;&gt;"",INDEX(LdADate,$L1644),IF($M1644&lt;&gt;"",INDEX(LdBDate,$M1644),INDEX(LdCDate,$N1644))))</f>
        <v/>
      </c>
      <c r="C1644" s="20">
        <f>IF($L1644&lt;&gt;"","دستمزد (فردی)",IF($M1644&lt;&gt;"","سهم از گروه "&amp;IFERROR(VLOOKUP(INDEX(LdBGroup,$M1644),WGTbl,2,0),INDEX(LdBGroup,$M1644)),IF($N1644&lt;&gt;"",IF(N(INDEX(LdCDep,$N1644))&gt;0,"بازگشت بانکی","پرداخت بانکی"),"")))</f>
        <v/>
      </c>
      <c r="D1644" s="20">
        <f>IF($L1644&lt;&gt;"",IF(INDEX(LdAId,$L1644)="","—",INDEX(LdAId,$L1644)),IF($M1644&lt;&gt;"",IF(INDEX(LdBId,$M1644)="","—",INDEX(LdBId,$M1644)),IF($N1644&lt;&gt;"",IF(INDEX(LdCBank,$N1644)="","—",INDEX(LdCBank,$N1644)),"")))</f>
        <v/>
      </c>
      <c r="E1644" s="21">
        <f>IF($L1644&lt;&gt;"",IF(INDEX(LdAAmt,$L1644)=0,"",INDEX(LdAAmt,$L1644)),IF($M1644&lt;&gt;"",IF(INDEX(LdBAmt,$M1644)=0,"",INDEX(LdBAmt,$M1644)),IF($N1644&lt;&gt;"",IF(INDEX(LdCDep,$N1644)=0,"",INDEX(LdCDep,$N1644)),"")))</f>
        <v/>
      </c>
      <c r="F1644" s="21">
        <f>IF(AND($L1644="",$M1644="",$N1644=""),"",IF($N1644="","",IF(INDEX(LdCWit,$N1644)=0,"",INDEX(LdCWit,$N1644))))</f>
        <v/>
      </c>
      <c r="G1644" s="31">
        <f>IF($B1644="","",IF($G1643="",0,$G1643)+IF($E1644="",0,$E1644)-IF($F1644="",0,$F1644))</f>
        <v/>
      </c>
      <c r="H1644" s="32">
        <f>IF(AND($L1644="",$M1644="",$N1644=""),"",IF($L1644&lt;&gt;"",IF(INDEX(LdANote,$L1644)="","—",INDEX(LdANote,$L1644)),IF($M1644&lt;&gt;"",IF(INDEX(LdBNote,$M1644)="","—",INDEX(LdBNote,$M1644)),IF($N1644&lt;&gt;"",IF(INDEX(LdCNote,$N1644)="","—",INDEX(LdCNote,$N1644)),""))))</f>
        <v/>
      </c>
      <c r="L1644">
        <f>IFERROR(MATCH($C$5&amp;"|"&amp;RIGHT("000000"&amp;1628,6),LdAKeyM,0),"")</f>
        <v/>
      </c>
      <c r="M1644">
        <f>IFERROR(MATCH($C$5&amp;"|"&amp;RIGHT("000000"&amp;1628,6),LdBKeyM,0),"")</f>
        <v/>
      </c>
      <c r="N1644">
        <f>IFERROR(MATCH($C$5&amp;"|"&amp;RIGHT("000000"&amp;1628,6),LdCKeyM,0),"")</f>
        <v/>
      </c>
    </row>
    <row r="1645">
      <c r="A1645" s="10" t="n">
        <v>1629</v>
      </c>
      <c r="B1645" s="14">
        <f>IF(AND($L1645="",$M1645="",$N1645=""),"",IF($L1645&lt;&gt;"",INDEX(LdADate,$L1645),IF($M1645&lt;&gt;"",INDEX(LdBDate,$M1645),INDEX(LdCDate,$N1645))))</f>
        <v/>
      </c>
      <c r="C1645" s="14">
        <f>IF($L1645&lt;&gt;"","دستمزد (فردی)",IF($M1645&lt;&gt;"","سهم از گروه "&amp;IFERROR(VLOOKUP(INDEX(LdBGroup,$M1645),WGTbl,2,0),INDEX(LdBGroup,$M1645)),IF($N1645&lt;&gt;"",IF(N(INDEX(LdCDep,$N1645))&gt;0,"بازگشت بانکی","پرداخت بانکی"),"")))</f>
        <v/>
      </c>
      <c r="D1645" s="14">
        <f>IF($L1645&lt;&gt;"",IF(INDEX(LdAId,$L1645)="","—",INDEX(LdAId,$L1645)),IF($M1645&lt;&gt;"",IF(INDEX(LdBId,$M1645)="","—",INDEX(LdBId,$M1645)),IF($N1645&lt;&gt;"",IF(INDEX(LdCBank,$N1645)="","—",INDEX(LdCBank,$N1645)),"")))</f>
        <v/>
      </c>
      <c r="E1645" s="16">
        <f>IF($L1645&lt;&gt;"",IF(INDEX(LdAAmt,$L1645)=0,"",INDEX(LdAAmt,$L1645)),IF($M1645&lt;&gt;"",IF(INDEX(LdBAmt,$M1645)=0,"",INDEX(LdBAmt,$M1645)),IF($N1645&lt;&gt;"",IF(INDEX(LdCDep,$N1645)=0,"",INDEX(LdCDep,$N1645)),"")))</f>
        <v/>
      </c>
      <c r="F1645" s="16">
        <f>IF(AND($L1645="",$M1645="",$N1645=""),"",IF($N1645="","",IF(INDEX(LdCWit,$N1645)=0,"",INDEX(LdCWit,$N1645))))</f>
        <v/>
      </c>
      <c r="G1645" s="29">
        <f>IF($B1645="","",IF($G1644="",0,$G1644)+IF($E1645="",0,$E1645)-IF($F1645="",0,$F1645))</f>
        <v/>
      </c>
      <c r="H1645" s="30">
        <f>IF(AND($L1645="",$M1645="",$N1645=""),"",IF($L1645&lt;&gt;"",IF(INDEX(LdANote,$L1645)="","—",INDEX(LdANote,$L1645)),IF($M1645&lt;&gt;"",IF(INDEX(LdBNote,$M1645)="","—",INDEX(LdBNote,$M1645)),IF($N1645&lt;&gt;"",IF(INDEX(LdCNote,$N1645)="","—",INDEX(LdCNote,$N1645)),""))))</f>
        <v/>
      </c>
      <c r="L1645">
        <f>IFERROR(MATCH($C$5&amp;"|"&amp;RIGHT("000000"&amp;1629,6),LdAKeyM,0),"")</f>
        <v/>
      </c>
      <c r="M1645">
        <f>IFERROR(MATCH($C$5&amp;"|"&amp;RIGHT("000000"&amp;1629,6),LdBKeyM,0),"")</f>
        <v/>
      </c>
      <c r="N1645">
        <f>IFERROR(MATCH($C$5&amp;"|"&amp;RIGHT("000000"&amp;1629,6),LdCKeyM,0),"")</f>
        <v/>
      </c>
    </row>
    <row r="1646">
      <c r="A1646" s="19" t="n">
        <v>1630</v>
      </c>
      <c r="B1646" s="20">
        <f>IF(AND($L1646="",$M1646="",$N1646=""),"",IF($L1646&lt;&gt;"",INDEX(LdADate,$L1646),IF($M1646&lt;&gt;"",INDEX(LdBDate,$M1646),INDEX(LdCDate,$N1646))))</f>
        <v/>
      </c>
      <c r="C1646" s="20">
        <f>IF($L1646&lt;&gt;"","دستمزد (فردی)",IF($M1646&lt;&gt;"","سهم از گروه "&amp;IFERROR(VLOOKUP(INDEX(LdBGroup,$M1646),WGTbl,2,0),INDEX(LdBGroup,$M1646)),IF($N1646&lt;&gt;"",IF(N(INDEX(LdCDep,$N1646))&gt;0,"بازگشت بانکی","پرداخت بانکی"),"")))</f>
        <v/>
      </c>
      <c r="D1646" s="20">
        <f>IF($L1646&lt;&gt;"",IF(INDEX(LdAId,$L1646)="","—",INDEX(LdAId,$L1646)),IF($M1646&lt;&gt;"",IF(INDEX(LdBId,$M1646)="","—",INDEX(LdBId,$M1646)),IF($N1646&lt;&gt;"",IF(INDEX(LdCBank,$N1646)="","—",INDEX(LdCBank,$N1646)),"")))</f>
        <v/>
      </c>
      <c r="E1646" s="21">
        <f>IF($L1646&lt;&gt;"",IF(INDEX(LdAAmt,$L1646)=0,"",INDEX(LdAAmt,$L1646)),IF($M1646&lt;&gt;"",IF(INDEX(LdBAmt,$M1646)=0,"",INDEX(LdBAmt,$M1646)),IF($N1646&lt;&gt;"",IF(INDEX(LdCDep,$N1646)=0,"",INDEX(LdCDep,$N1646)),"")))</f>
        <v/>
      </c>
      <c r="F1646" s="21">
        <f>IF(AND($L1646="",$M1646="",$N1646=""),"",IF($N1646="","",IF(INDEX(LdCWit,$N1646)=0,"",INDEX(LdCWit,$N1646))))</f>
        <v/>
      </c>
      <c r="G1646" s="31">
        <f>IF($B1646="","",IF($G1645="",0,$G1645)+IF($E1646="",0,$E1646)-IF($F1646="",0,$F1646))</f>
        <v/>
      </c>
      <c r="H1646" s="32">
        <f>IF(AND($L1646="",$M1646="",$N1646=""),"",IF($L1646&lt;&gt;"",IF(INDEX(LdANote,$L1646)="","—",INDEX(LdANote,$L1646)),IF($M1646&lt;&gt;"",IF(INDEX(LdBNote,$M1646)="","—",INDEX(LdBNote,$M1646)),IF($N1646&lt;&gt;"",IF(INDEX(LdCNote,$N1646)="","—",INDEX(LdCNote,$N1646)),""))))</f>
        <v/>
      </c>
      <c r="L1646">
        <f>IFERROR(MATCH($C$5&amp;"|"&amp;RIGHT("000000"&amp;1630,6),LdAKeyM,0),"")</f>
        <v/>
      </c>
      <c r="M1646">
        <f>IFERROR(MATCH($C$5&amp;"|"&amp;RIGHT("000000"&amp;1630,6),LdBKeyM,0),"")</f>
        <v/>
      </c>
      <c r="N1646">
        <f>IFERROR(MATCH($C$5&amp;"|"&amp;RIGHT("000000"&amp;1630,6),LdCKeyM,0),"")</f>
        <v/>
      </c>
    </row>
    <row r="1647">
      <c r="A1647" s="10" t="n">
        <v>1631</v>
      </c>
      <c r="B1647" s="14">
        <f>IF(AND($L1647="",$M1647="",$N1647=""),"",IF($L1647&lt;&gt;"",INDEX(LdADate,$L1647),IF($M1647&lt;&gt;"",INDEX(LdBDate,$M1647),INDEX(LdCDate,$N1647))))</f>
        <v/>
      </c>
      <c r="C1647" s="14">
        <f>IF($L1647&lt;&gt;"","دستمزد (فردی)",IF($M1647&lt;&gt;"","سهم از گروه "&amp;IFERROR(VLOOKUP(INDEX(LdBGroup,$M1647),WGTbl,2,0),INDEX(LdBGroup,$M1647)),IF($N1647&lt;&gt;"",IF(N(INDEX(LdCDep,$N1647))&gt;0,"بازگشت بانکی","پرداخت بانکی"),"")))</f>
        <v/>
      </c>
      <c r="D1647" s="14">
        <f>IF($L1647&lt;&gt;"",IF(INDEX(LdAId,$L1647)="","—",INDEX(LdAId,$L1647)),IF($M1647&lt;&gt;"",IF(INDEX(LdBId,$M1647)="","—",INDEX(LdBId,$M1647)),IF($N1647&lt;&gt;"",IF(INDEX(LdCBank,$N1647)="","—",INDEX(LdCBank,$N1647)),"")))</f>
        <v/>
      </c>
      <c r="E1647" s="16">
        <f>IF($L1647&lt;&gt;"",IF(INDEX(LdAAmt,$L1647)=0,"",INDEX(LdAAmt,$L1647)),IF($M1647&lt;&gt;"",IF(INDEX(LdBAmt,$M1647)=0,"",INDEX(LdBAmt,$M1647)),IF($N1647&lt;&gt;"",IF(INDEX(LdCDep,$N1647)=0,"",INDEX(LdCDep,$N1647)),"")))</f>
        <v/>
      </c>
      <c r="F1647" s="16">
        <f>IF(AND($L1647="",$M1647="",$N1647=""),"",IF($N1647="","",IF(INDEX(LdCWit,$N1647)=0,"",INDEX(LdCWit,$N1647))))</f>
        <v/>
      </c>
      <c r="G1647" s="29">
        <f>IF($B1647="","",IF($G1646="",0,$G1646)+IF($E1647="",0,$E1647)-IF($F1647="",0,$F1647))</f>
        <v/>
      </c>
      <c r="H1647" s="30">
        <f>IF(AND($L1647="",$M1647="",$N1647=""),"",IF($L1647&lt;&gt;"",IF(INDEX(LdANote,$L1647)="","—",INDEX(LdANote,$L1647)),IF($M1647&lt;&gt;"",IF(INDEX(LdBNote,$M1647)="","—",INDEX(LdBNote,$M1647)),IF($N1647&lt;&gt;"",IF(INDEX(LdCNote,$N1647)="","—",INDEX(LdCNote,$N1647)),""))))</f>
        <v/>
      </c>
      <c r="L1647">
        <f>IFERROR(MATCH($C$5&amp;"|"&amp;RIGHT("000000"&amp;1631,6),LdAKeyM,0),"")</f>
        <v/>
      </c>
      <c r="M1647">
        <f>IFERROR(MATCH($C$5&amp;"|"&amp;RIGHT("000000"&amp;1631,6),LdBKeyM,0),"")</f>
        <v/>
      </c>
      <c r="N1647">
        <f>IFERROR(MATCH($C$5&amp;"|"&amp;RIGHT("000000"&amp;1631,6),LdCKeyM,0),"")</f>
        <v/>
      </c>
    </row>
    <row r="1648">
      <c r="A1648" s="19" t="n">
        <v>1632</v>
      </c>
      <c r="B1648" s="20">
        <f>IF(AND($L1648="",$M1648="",$N1648=""),"",IF($L1648&lt;&gt;"",INDEX(LdADate,$L1648),IF($M1648&lt;&gt;"",INDEX(LdBDate,$M1648),INDEX(LdCDate,$N1648))))</f>
        <v/>
      </c>
      <c r="C1648" s="20">
        <f>IF($L1648&lt;&gt;"","دستمزد (فردی)",IF($M1648&lt;&gt;"","سهم از گروه "&amp;IFERROR(VLOOKUP(INDEX(LdBGroup,$M1648),WGTbl,2,0),INDEX(LdBGroup,$M1648)),IF($N1648&lt;&gt;"",IF(N(INDEX(LdCDep,$N1648))&gt;0,"بازگشت بانکی","پرداخت بانکی"),"")))</f>
        <v/>
      </c>
      <c r="D1648" s="20">
        <f>IF($L1648&lt;&gt;"",IF(INDEX(LdAId,$L1648)="","—",INDEX(LdAId,$L1648)),IF($M1648&lt;&gt;"",IF(INDEX(LdBId,$M1648)="","—",INDEX(LdBId,$M1648)),IF($N1648&lt;&gt;"",IF(INDEX(LdCBank,$N1648)="","—",INDEX(LdCBank,$N1648)),"")))</f>
        <v/>
      </c>
      <c r="E1648" s="21">
        <f>IF($L1648&lt;&gt;"",IF(INDEX(LdAAmt,$L1648)=0,"",INDEX(LdAAmt,$L1648)),IF($M1648&lt;&gt;"",IF(INDEX(LdBAmt,$M1648)=0,"",INDEX(LdBAmt,$M1648)),IF($N1648&lt;&gt;"",IF(INDEX(LdCDep,$N1648)=0,"",INDEX(LdCDep,$N1648)),"")))</f>
        <v/>
      </c>
      <c r="F1648" s="21">
        <f>IF(AND($L1648="",$M1648="",$N1648=""),"",IF($N1648="","",IF(INDEX(LdCWit,$N1648)=0,"",INDEX(LdCWit,$N1648))))</f>
        <v/>
      </c>
      <c r="G1648" s="31">
        <f>IF($B1648="","",IF($G1647="",0,$G1647)+IF($E1648="",0,$E1648)-IF($F1648="",0,$F1648))</f>
        <v/>
      </c>
      <c r="H1648" s="32">
        <f>IF(AND($L1648="",$M1648="",$N1648=""),"",IF($L1648&lt;&gt;"",IF(INDEX(LdANote,$L1648)="","—",INDEX(LdANote,$L1648)),IF($M1648&lt;&gt;"",IF(INDEX(LdBNote,$M1648)="","—",INDEX(LdBNote,$M1648)),IF($N1648&lt;&gt;"",IF(INDEX(LdCNote,$N1648)="","—",INDEX(LdCNote,$N1648)),""))))</f>
        <v/>
      </c>
      <c r="L1648">
        <f>IFERROR(MATCH($C$5&amp;"|"&amp;RIGHT("000000"&amp;1632,6),LdAKeyM,0),"")</f>
        <v/>
      </c>
      <c r="M1648">
        <f>IFERROR(MATCH($C$5&amp;"|"&amp;RIGHT("000000"&amp;1632,6),LdBKeyM,0),"")</f>
        <v/>
      </c>
      <c r="N1648">
        <f>IFERROR(MATCH($C$5&amp;"|"&amp;RIGHT("000000"&amp;1632,6),LdCKeyM,0),"")</f>
        <v/>
      </c>
    </row>
    <row r="1649">
      <c r="A1649" s="10" t="n">
        <v>1633</v>
      </c>
      <c r="B1649" s="14">
        <f>IF(AND($L1649="",$M1649="",$N1649=""),"",IF($L1649&lt;&gt;"",INDEX(LdADate,$L1649),IF($M1649&lt;&gt;"",INDEX(LdBDate,$M1649),INDEX(LdCDate,$N1649))))</f>
        <v/>
      </c>
      <c r="C1649" s="14">
        <f>IF($L1649&lt;&gt;"","دستمزد (فردی)",IF($M1649&lt;&gt;"","سهم از گروه "&amp;IFERROR(VLOOKUP(INDEX(LdBGroup,$M1649),WGTbl,2,0),INDEX(LdBGroup,$M1649)),IF($N1649&lt;&gt;"",IF(N(INDEX(LdCDep,$N1649))&gt;0,"بازگشت بانکی","پرداخت بانکی"),"")))</f>
        <v/>
      </c>
      <c r="D1649" s="14">
        <f>IF($L1649&lt;&gt;"",IF(INDEX(LdAId,$L1649)="","—",INDEX(LdAId,$L1649)),IF($M1649&lt;&gt;"",IF(INDEX(LdBId,$M1649)="","—",INDEX(LdBId,$M1649)),IF($N1649&lt;&gt;"",IF(INDEX(LdCBank,$N1649)="","—",INDEX(LdCBank,$N1649)),"")))</f>
        <v/>
      </c>
      <c r="E1649" s="16">
        <f>IF($L1649&lt;&gt;"",IF(INDEX(LdAAmt,$L1649)=0,"",INDEX(LdAAmt,$L1649)),IF($M1649&lt;&gt;"",IF(INDEX(LdBAmt,$M1649)=0,"",INDEX(LdBAmt,$M1649)),IF($N1649&lt;&gt;"",IF(INDEX(LdCDep,$N1649)=0,"",INDEX(LdCDep,$N1649)),"")))</f>
        <v/>
      </c>
      <c r="F1649" s="16">
        <f>IF(AND($L1649="",$M1649="",$N1649=""),"",IF($N1649="","",IF(INDEX(LdCWit,$N1649)=0,"",INDEX(LdCWit,$N1649))))</f>
        <v/>
      </c>
      <c r="G1649" s="29">
        <f>IF($B1649="","",IF($G1648="",0,$G1648)+IF($E1649="",0,$E1649)-IF($F1649="",0,$F1649))</f>
        <v/>
      </c>
      <c r="H1649" s="30">
        <f>IF(AND($L1649="",$M1649="",$N1649=""),"",IF($L1649&lt;&gt;"",IF(INDEX(LdANote,$L1649)="","—",INDEX(LdANote,$L1649)),IF($M1649&lt;&gt;"",IF(INDEX(LdBNote,$M1649)="","—",INDEX(LdBNote,$M1649)),IF($N1649&lt;&gt;"",IF(INDEX(LdCNote,$N1649)="","—",INDEX(LdCNote,$N1649)),""))))</f>
        <v/>
      </c>
      <c r="L1649">
        <f>IFERROR(MATCH($C$5&amp;"|"&amp;RIGHT("000000"&amp;1633,6),LdAKeyM,0),"")</f>
        <v/>
      </c>
      <c r="M1649">
        <f>IFERROR(MATCH($C$5&amp;"|"&amp;RIGHT("000000"&amp;1633,6),LdBKeyM,0),"")</f>
        <v/>
      </c>
      <c r="N1649">
        <f>IFERROR(MATCH($C$5&amp;"|"&amp;RIGHT("000000"&amp;1633,6),LdCKeyM,0),"")</f>
        <v/>
      </c>
    </row>
    <row r="1650">
      <c r="A1650" s="19" t="n">
        <v>1634</v>
      </c>
      <c r="B1650" s="20">
        <f>IF(AND($L1650="",$M1650="",$N1650=""),"",IF($L1650&lt;&gt;"",INDEX(LdADate,$L1650),IF($M1650&lt;&gt;"",INDEX(LdBDate,$M1650),INDEX(LdCDate,$N1650))))</f>
        <v/>
      </c>
      <c r="C1650" s="20">
        <f>IF($L1650&lt;&gt;"","دستمزد (فردی)",IF($M1650&lt;&gt;"","سهم از گروه "&amp;IFERROR(VLOOKUP(INDEX(LdBGroup,$M1650),WGTbl,2,0),INDEX(LdBGroup,$M1650)),IF($N1650&lt;&gt;"",IF(N(INDEX(LdCDep,$N1650))&gt;0,"بازگشت بانکی","پرداخت بانکی"),"")))</f>
        <v/>
      </c>
      <c r="D1650" s="20">
        <f>IF($L1650&lt;&gt;"",IF(INDEX(LdAId,$L1650)="","—",INDEX(LdAId,$L1650)),IF($M1650&lt;&gt;"",IF(INDEX(LdBId,$M1650)="","—",INDEX(LdBId,$M1650)),IF($N1650&lt;&gt;"",IF(INDEX(LdCBank,$N1650)="","—",INDEX(LdCBank,$N1650)),"")))</f>
        <v/>
      </c>
      <c r="E1650" s="21">
        <f>IF($L1650&lt;&gt;"",IF(INDEX(LdAAmt,$L1650)=0,"",INDEX(LdAAmt,$L1650)),IF($M1650&lt;&gt;"",IF(INDEX(LdBAmt,$M1650)=0,"",INDEX(LdBAmt,$M1650)),IF($N1650&lt;&gt;"",IF(INDEX(LdCDep,$N1650)=0,"",INDEX(LdCDep,$N1650)),"")))</f>
        <v/>
      </c>
      <c r="F1650" s="21">
        <f>IF(AND($L1650="",$M1650="",$N1650=""),"",IF($N1650="","",IF(INDEX(LdCWit,$N1650)=0,"",INDEX(LdCWit,$N1650))))</f>
        <v/>
      </c>
      <c r="G1650" s="31">
        <f>IF($B1650="","",IF($G1649="",0,$G1649)+IF($E1650="",0,$E1650)-IF($F1650="",0,$F1650))</f>
        <v/>
      </c>
      <c r="H1650" s="32">
        <f>IF(AND($L1650="",$M1650="",$N1650=""),"",IF($L1650&lt;&gt;"",IF(INDEX(LdANote,$L1650)="","—",INDEX(LdANote,$L1650)),IF($M1650&lt;&gt;"",IF(INDEX(LdBNote,$M1650)="","—",INDEX(LdBNote,$M1650)),IF($N1650&lt;&gt;"",IF(INDEX(LdCNote,$N1650)="","—",INDEX(LdCNote,$N1650)),""))))</f>
        <v/>
      </c>
      <c r="L1650">
        <f>IFERROR(MATCH($C$5&amp;"|"&amp;RIGHT("000000"&amp;1634,6),LdAKeyM,0),"")</f>
        <v/>
      </c>
      <c r="M1650">
        <f>IFERROR(MATCH($C$5&amp;"|"&amp;RIGHT("000000"&amp;1634,6),LdBKeyM,0),"")</f>
        <v/>
      </c>
      <c r="N1650">
        <f>IFERROR(MATCH($C$5&amp;"|"&amp;RIGHT("000000"&amp;1634,6),LdCKeyM,0),"")</f>
        <v/>
      </c>
    </row>
    <row r="1651">
      <c r="A1651" s="10" t="n">
        <v>1635</v>
      </c>
      <c r="B1651" s="14">
        <f>IF(AND($L1651="",$M1651="",$N1651=""),"",IF($L1651&lt;&gt;"",INDEX(LdADate,$L1651),IF($M1651&lt;&gt;"",INDEX(LdBDate,$M1651),INDEX(LdCDate,$N1651))))</f>
        <v/>
      </c>
      <c r="C1651" s="14">
        <f>IF($L1651&lt;&gt;"","دستمزد (فردی)",IF($M1651&lt;&gt;"","سهم از گروه "&amp;IFERROR(VLOOKUP(INDEX(LdBGroup,$M1651),WGTbl,2,0),INDEX(LdBGroup,$M1651)),IF($N1651&lt;&gt;"",IF(N(INDEX(LdCDep,$N1651))&gt;0,"بازگشت بانکی","پرداخت بانکی"),"")))</f>
        <v/>
      </c>
      <c r="D1651" s="14">
        <f>IF($L1651&lt;&gt;"",IF(INDEX(LdAId,$L1651)="","—",INDEX(LdAId,$L1651)),IF($M1651&lt;&gt;"",IF(INDEX(LdBId,$M1651)="","—",INDEX(LdBId,$M1651)),IF($N1651&lt;&gt;"",IF(INDEX(LdCBank,$N1651)="","—",INDEX(LdCBank,$N1651)),"")))</f>
        <v/>
      </c>
      <c r="E1651" s="16">
        <f>IF($L1651&lt;&gt;"",IF(INDEX(LdAAmt,$L1651)=0,"",INDEX(LdAAmt,$L1651)),IF($M1651&lt;&gt;"",IF(INDEX(LdBAmt,$M1651)=0,"",INDEX(LdBAmt,$M1651)),IF($N1651&lt;&gt;"",IF(INDEX(LdCDep,$N1651)=0,"",INDEX(LdCDep,$N1651)),"")))</f>
        <v/>
      </c>
      <c r="F1651" s="16">
        <f>IF(AND($L1651="",$M1651="",$N1651=""),"",IF($N1651="","",IF(INDEX(LdCWit,$N1651)=0,"",INDEX(LdCWit,$N1651))))</f>
        <v/>
      </c>
      <c r="G1651" s="29">
        <f>IF($B1651="","",IF($G1650="",0,$G1650)+IF($E1651="",0,$E1651)-IF($F1651="",0,$F1651))</f>
        <v/>
      </c>
      <c r="H1651" s="30">
        <f>IF(AND($L1651="",$M1651="",$N1651=""),"",IF($L1651&lt;&gt;"",IF(INDEX(LdANote,$L1651)="","—",INDEX(LdANote,$L1651)),IF($M1651&lt;&gt;"",IF(INDEX(LdBNote,$M1651)="","—",INDEX(LdBNote,$M1651)),IF($N1651&lt;&gt;"",IF(INDEX(LdCNote,$N1651)="","—",INDEX(LdCNote,$N1651)),""))))</f>
        <v/>
      </c>
      <c r="L1651">
        <f>IFERROR(MATCH($C$5&amp;"|"&amp;RIGHT("000000"&amp;1635,6),LdAKeyM,0),"")</f>
        <v/>
      </c>
      <c r="M1651">
        <f>IFERROR(MATCH($C$5&amp;"|"&amp;RIGHT("000000"&amp;1635,6),LdBKeyM,0),"")</f>
        <v/>
      </c>
      <c r="N1651">
        <f>IFERROR(MATCH($C$5&amp;"|"&amp;RIGHT("000000"&amp;1635,6),LdCKeyM,0),"")</f>
        <v/>
      </c>
    </row>
    <row r="1652">
      <c r="A1652" s="19" t="n">
        <v>1636</v>
      </c>
      <c r="B1652" s="20">
        <f>IF(AND($L1652="",$M1652="",$N1652=""),"",IF($L1652&lt;&gt;"",INDEX(LdADate,$L1652),IF($M1652&lt;&gt;"",INDEX(LdBDate,$M1652),INDEX(LdCDate,$N1652))))</f>
        <v/>
      </c>
      <c r="C1652" s="20">
        <f>IF($L1652&lt;&gt;"","دستمزد (فردی)",IF($M1652&lt;&gt;"","سهم از گروه "&amp;IFERROR(VLOOKUP(INDEX(LdBGroup,$M1652),WGTbl,2,0),INDEX(LdBGroup,$M1652)),IF($N1652&lt;&gt;"",IF(N(INDEX(LdCDep,$N1652))&gt;0,"بازگشت بانکی","پرداخت بانکی"),"")))</f>
        <v/>
      </c>
      <c r="D1652" s="20">
        <f>IF($L1652&lt;&gt;"",IF(INDEX(LdAId,$L1652)="","—",INDEX(LdAId,$L1652)),IF($M1652&lt;&gt;"",IF(INDEX(LdBId,$M1652)="","—",INDEX(LdBId,$M1652)),IF($N1652&lt;&gt;"",IF(INDEX(LdCBank,$N1652)="","—",INDEX(LdCBank,$N1652)),"")))</f>
        <v/>
      </c>
      <c r="E1652" s="21">
        <f>IF($L1652&lt;&gt;"",IF(INDEX(LdAAmt,$L1652)=0,"",INDEX(LdAAmt,$L1652)),IF($M1652&lt;&gt;"",IF(INDEX(LdBAmt,$M1652)=0,"",INDEX(LdBAmt,$M1652)),IF($N1652&lt;&gt;"",IF(INDEX(LdCDep,$N1652)=0,"",INDEX(LdCDep,$N1652)),"")))</f>
        <v/>
      </c>
      <c r="F1652" s="21">
        <f>IF(AND($L1652="",$M1652="",$N1652=""),"",IF($N1652="","",IF(INDEX(LdCWit,$N1652)=0,"",INDEX(LdCWit,$N1652))))</f>
        <v/>
      </c>
      <c r="G1652" s="31">
        <f>IF($B1652="","",IF($G1651="",0,$G1651)+IF($E1652="",0,$E1652)-IF($F1652="",0,$F1652))</f>
        <v/>
      </c>
      <c r="H1652" s="32">
        <f>IF(AND($L1652="",$M1652="",$N1652=""),"",IF($L1652&lt;&gt;"",IF(INDEX(LdANote,$L1652)="","—",INDEX(LdANote,$L1652)),IF($M1652&lt;&gt;"",IF(INDEX(LdBNote,$M1652)="","—",INDEX(LdBNote,$M1652)),IF($N1652&lt;&gt;"",IF(INDEX(LdCNote,$N1652)="","—",INDEX(LdCNote,$N1652)),""))))</f>
        <v/>
      </c>
      <c r="L1652">
        <f>IFERROR(MATCH($C$5&amp;"|"&amp;RIGHT("000000"&amp;1636,6),LdAKeyM,0),"")</f>
        <v/>
      </c>
      <c r="M1652">
        <f>IFERROR(MATCH($C$5&amp;"|"&amp;RIGHT("000000"&amp;1636,6),LdBKeyM,0),"")</f>
        <v/>
      </c>
      <c r="N1652">
        <f>IFERROR(MATCH($C$5&amp;"|"&amp;RIGHT("000000"&amp;1636,6),LdCKeyM,0),"")</f>
        <v/>
      </c>
    </row>
    <row r="1653">
      <c r="A1653" s="10" t="n">
        <v>1637</v>
      </c>
      <c r="B1653" s="14">
        <f>IF(AND($L1653="",$M1653="",$N1653=""),"",IF($L1653&lt;&gt;"",INDEX(LdADate,$L1653),IF($M1653&lt;&gt;"",INDEX(LdBDate,$M1653),INDEX(LdCDate,$N1653))))</f>
        <v/>
      </c>
      <c r="C1653" s="14">
        <f>IF($L1653&lt;&gt;"","دستمزد (فردی)",IF($M1653&lt;&gt;"","سهم از گروه "&amp;IFERROR(VLOOKUP(INDEX(LdBGroup,$M1653),WGTbl,2,0),INDEX(LdBGroup,$M1653)),IF($N1653&lt;&gt;"",IF(N(INDEX(LdCDep,$N1653))&gt;0,"بازگشت بانکی","پرداخت بانکی"),"")))</f>
        <v/>
      </c>
      <c r="D1653" s="14">
        <f>IF($L1653&lt;&gt;"",IF(INDEX(LdAId,$L1653)="","—",INDEX(LdAId,$L1653)),IF($M1653&lt;&gt;"",IF(INDEX(LdBId,$M1653)="","—",INDEX(LdBId,$M1653)),IF($N1653&lt;&gt;"",IF(INDEX(LdCBank,$N1653)="","—",INDEX(LdCBank,$N1653)),"")))</f>
        <v/>
      </c>
      <c r="E1653" s="16">
        <f>IF($L1653&lt;&gt;"",IF(INDEX(LdAAmt,$L1653)=0,"",INDEX(LdAAmt,$L1653)),IF($M1653&lt;&gt;"",IF(INDEX(LdBAmt,$M1653)=0,"",INDEX(LdBAmt,$M1653)),IF($N1653&lt;&gt;"",IF(INDEX(LdCDep,$N1653)=0,"",INDEX(LdCDep,$N1653)),"")))</f>
        <v/>
      </c>
      <c r="F1653" s="16">
        <f>IF(AND($L1653="",$M1653="",$N1653=""),"",IF($N1653="","",IF(INDEX(LdCWit,$N1653)=0,"",INDEX(LdCWit,$N1653))))</f>
        <v/>
      </c>
      <c r="G1653" s="29">
        <f>IF($B1653="","",IF($G1652="",0,$G1652)+IF($E1653="",0,$E1653)-IF($F1653="",0,$F1653))</f>
        <v/>
      </c>
      <c r="H1653" s="30">
        <f>IF(AND($L1653="",$M1653="",$N1653=""),"",IF($L1653&lt;&gt;"",IF(INDEX(LdANote,$L1653)="","—",INDEX(LdANote,$L1653)),IF($M1653&lt;&gt;"",IF(INDEX(LdBNote,$M1653)="","—",INDEX(LdBNote,$M1653)),IF($N1653&lt;&gt;"",IF(INDEX(LdCNote,$N1653)="","—",INDEX(LdCNote,$N1653)),""))))</f>
        <v/>
      </c>
      <c r="L1653">
        <f>IFERROR(MATCH($C$5&amp;"|"&amp;RIGHT("000000"&amp;1637,6),LdAKeyM,0),"")</f>
        <v/>
      </c>
      <c r="M1653">
        <f>IFERROR(MATCH($C$5&amp;"|"&amp;RIGHT("000000"&amp;1637,6),LdBKeyM,0),"")</f>
        <v/>
      </c>
      <c r="N1653">
        <f>IFERROR(MATCH($C$5&amp;"|"&amp;RIGHT("000000"&amp;1637,6),LdCKeyM,0),"")</f>
        <v/>
      </c>
    </row>
    <row r="1654">
      <c r="A1654" s="19" t="n">
        <v>1638</v>
      </c>
      <c r="B1654" s="20">
        <f>IF(AND($L1654="",$M1654="",$N1654=""),"",IF($L1654&lt;&gt;"",INDEX(LdADate,$L1654),IF($M1654&lt;&gt;"",INDEX(LdBDate,$M1654),INDEX(LdCDate,$N1654))))</f>
        <v/>
      </c>
      <c r="C1654" s="20">
        <f>IF($L1654&lt;&gt;"","دستمزد (فردی)",IF($M1654&lt;&gt;"","سهم از گروه "&amp;IFERROR(VLOOKUP(INDEX(LdBGroup,$M1654),WGTbl,2,0),INDEX(LdBGroup,$M1654)),IF($N1654&lt;&gt;"",IF(N(INDEX(LdCDep,$N1654))&gt;0,"بازگشت بانکی","پرداخت بانکی"),"")))</f>
        <v/>
      </c>
      <c r="D1654" s="20">
        <f>IF($L1654&lt;&gt;"",IF(INDEX(LdAId,$L1654)="","—",INDEX(LdAId,$L1654)),IF($M1654&lt;&gt;"",IF(INDEX(LdBId,$M1654)="","—",INDEX(LdBId,$M1654)),IF($N1654&lt;&gt;"",IF(INDEX(LdCBank,$N1654)="","—",INDEX(LdCBank,$N1654)),"")))</f>
        <v/>
      </c>
      <c r="E1654" s="21">
        <f>IF($L1654&lt;&gt;"",IF(INDEX(LdAAmt,$L1654)=0,"",INDEX(LdAAmt,$L1654)),IF($M1654&lt;&gt;"",IF(INDEX(LdBAmt,$M1654)=0,"",INDEX(LdBAmt,$M1654)),IF($N1654&lt;&gt;"",IF(INDEX(LdCDep,$N1654)=0,"",INDEX(LdCDep,$N1654)),"")))</f>
        <v/>
      </c>
      <c r="F1654" s="21">
        <f>IF(AND($L1654="",$M1654="",$N1654=""),"",IF($N1654="","",IF(INDEX(LdCWit,$N1654)=0,"",INDEX(LdCWit,$N1654))))</f>
        <v/>
      </c>
      <c r="G1654" s="31">
        <f>IF($B1654="","",IF($G1653="",0,$G1653)+IF($E1654="",0,$E1654)-IF($F1654="",0,$F1654))</f>
        <v/>
      </c>
      <c r="H1654" s="32">
        <f>IF(AND($L1654="",$M1654="",$N1654=""),"",IF($L1654&lt;&gt;"",IF(INDEX(LdANote,$L1654)="","—",INDEX(LdANote,$L1654)),IF($M1654&lt;&gt;"",IF(INDEX(LdBNote,$M1654)="","—",INDEX(LdBNote,$M1654)),IF($N1654&lt;&gt;"",IF(INDEX(LdCNote,$N1654)="","—",INDEX(LdCNote,$N1654)),""))))</f>
        <v/>
      </c>
      <c r="L1654">
        <f>IFERROR(MATCH($C$5&amp;"|"&amp;RIGHT("000000"&amp;1638,6),LdAKeyM,0),"")</f>
        <v/>
      </c>
      <c r="M1654">
        <f>IFERROR(MATCH($C$5&amp;"|"&amp;RIGHT("000000"&amp;1638,6),LdBKeyM,0),"")</f>
        <v/>
      </c>
      <c r="N1654">
        <f>IFERROR(MATCH($C$5&amp;"|"&amp;RIGHT("000000"&amp;1638,6),LdCKeyM,0),"")</f>
        <v/>
      </c>
    </row>
    <row r="1655">
      <c r="A1655" s="10" t="n">
        <v>1639</v>
      </c>
      <c r="B1655" s="14">
        <f>IF(AND($L1655="",$M1655="",$N1655=""),"",IF($L1655&lt;&gt;"",INDEX(LdADate,$L1655),IF($M1655&lt;&gt;"",INDEX(LdBDate,$M1655),INDEX(LdCDate,$N1655))))</f>
        <v/>
      </c>
      <c r="C1655" s="14">
        <f>IF($L1655&lt;&gt;"","دستمزد (فردی)",IF($M1655&lt;&gt;"","سهم از گروه "&amp;IFERROR(VLOOKUP(INDEX(LdBGroup,$M1655),WGTbl,2,0),INDEX(LdBGroup,$M1655)),IF($N1655&lt;&gt;"",IF(N(INDEX(LdCDep,$N1655))&gt;0,"بازگشت بانکی","پرداخت بانکی"),"")))</f>
        <v/>
      </c>
      <c r="D1655" s="14">
        <f>IF($L1655&lt;&gt;"",IF(INDEX(LdAId,$L1655)="","—",INDEX(LdAId,$L1655)),IF($M1655&lt;&gt;"",IF(INDEX(LdBId,$M1655)="","—",INDEX(LdBId,$M1655)),IF($N1655&lt;&gt;"",IF(INDEX(LdCBank,$N1655)="","—",INDEX(LdCBank,$N1655)),"")))</f>
        <v/>
      </c>
      <c r="E1655" s="16">
        <f>IF($L1655&lt;&gt;"",IF(INDEX(LdAAmt,$L1655)=0,"",INDEX(LdAAmt,$L1655)),IF($M1655&lt;&gt;"",IF(INDEX(LdBAmt,$M1655)=0,"",INDEX(LdBAmt,$M1655)),IF($N1655&lt;&gt;"",IF(INDEX(LdCDep,$N1655)=0,"",INDEX(LdCDep,$N1655)),"")))</f>
        <v/>
      </c>
      <c r="F1655" s="16">
        <f>IF(AND($L1655="",$M1655="",$N1655=""),"",IF($N1655="","",IF(INDEX(LdCWit,$N1655)=0,"",INDEX(LdCWit,$N1655))))</f>
        <v/>
      </c>
      <c r="G1655" s="29">
        <f>IF($B1655="","",IF($G1654="",0,$G1654)+IF($E1655="",0,$E1655)-IF($F1655="",0,$F1655))</f>
        <v/>
      </c>
      <c r="H1655" s="30">
        <f>IF(AND($L1655="",$M1655="",$N1655=""),"",IF($L1655&lt;&gt;"",IF(INDEX(LdANote,$L1655)="","—",INDEX(LdANote,$L1655)),IF($M1655&lt;&gt;"",IF(INDEX(LdBNote,$M1655)="","—",INDEX(LdBNote,$M1655)),IF($N1655&lt;&gt;"",IF(INDEX(LdCNote,$N1655)="","—",INDEX(LdCNote,$N1655)),""))))</f>
        <v/>
      </c>
      <c r="L1655">
        <f>IFERROR(MATCH($C$5&amp;"|"&amp;RIGHT("000000"&amp;1639,6),LdAKeyM,0),"")</f>
        <v/>
      </c>
      <c r="M1655">
        <f>IFERROR(MATCH($C$5&amp;"|"&amp;RIGHT("000000"&amp;1639,6),LdBKeyM,0),"")</f>
        <v/>
      </c>
      <c r="N1655">
        <f>IFERROR(MATCH($C$5&amp;"|"&amp;RIGHT("000000"&amp;1639,6),LdCKeyM,0),"")</f>
        <v/>
      </c>
    </row>
    <row r="1656">
      <c r="A1656" s="19" t="n">
        <v>1640</v>
      </c>
      <c r="B1656" s="20">
        <f>IF(AND($L1656="",$M1656="",$N1656=""),"",IF($L1656&lt;&gt;"",INDEX(LdADate,$L1656),IF($M1656&lt;&gt;"",INDEX(LdBDate,$M1656),INDEX(LdCDate,$N1656))))</f>
        <v/>
      </c>
      <c r="C1656" s="20">
        <f>IF($L1656&lt;&gt;"","دستمزد (فردی)",IF($M1656&lt;&gt;"","سهم از گروه "&amp;IFERROR(VLOOKUP(INDEX(LdBGroup,$M1656),WGTbl,2,0),INDEX(LdBGroup,$M1656)),IF($N1656&lt;&gt;"",IF(N(INDEX(LdCDep,$N1656))&gt;0,"بازگشت بانکی","پرداخت بانکی"),"")))</f>
        <v/>
      </c>
      <c r="D1656" s="20">
        <f>IF($L1656&lt;&gt;"",IF(INDEX(LdAId,$L1656)="","—",INDEX(LdAId,$L1656)),IF($M1656&lt;&gt;"",IF(INDEX(LdBId,$M1656)="","—",INDEX(LdBId,$M1656)),IF($N1656&lt;&gt;"",IF(INDEX(LdCBank,$N1656)="","—",INDEX(LdCBank,$N1656)),"")))</f>
        <v/>
      </c>
      <c r="E1656" s="21">
        <f>IF($L1656&lt;&gt;"",IF(INDEX(LdAAmt,$L1656)=0,"",INDEX(LdAAmt,$L1656)),IF($M1656&lt;&gt;"",IF(INDEX(LdBAmt,$M1656)=0,"",INDEX(LdBAmt,$M1656)),IF($N1656&lt;&gt;"",IF(INDEX(LdCDep,$N1656)=0,"",INDEX(LdCDep,$N1656)),"")))</f>
        <v/>
      </c>
      <c r="F1656" s="21">
        <f>IF(AND($L1656="",$M1656="",$N1656=""),"",IF($N1656="","",IF(INDEX(LdCWit,$N1656)=0,"",INDEX(LdCWit,$N1656))))</f>
        <v/>
      </c>
      <c r="G1656" s="31">
        <f>IF($B1656="","",IF($G1655="",0,$G1655)+IF($E1656="",0,$E1656)-IF($F1656="",0,$F1656))</f>
        <v/>
      </c>
      <c r="H1656" s="32">
        <f>IF(AND($L1656="",$M1656="",$N1656=""),"",IF($L1656&lt;&gt;"",IF(INDEX(LdANote,$L1656)="","—",INDEX(LdANote,$L1656)),IF($M1656&lt;&gt;"",IF(INDEX(LdBNote,$M1656)="","—",INDEX(LdBNote,$M1656)),IF($N1656&lt;&gt;"",IF(INDEX(LdCNote,$N1656)="","—",INDEX(LdCNote,$N1656)),""))))</f>
        <v/>
      </c>
      <c r="L1656">
        <f>IFERROR(MATCH($C$5&amp;"|"&amp;RIGHT("000000"&amp;1640,6),LdAKeyM,0),"")</f>
        <v/>
      </c>
      <c r="M1656">
        <f>IFERROR(MATCH($C$5&amp;"|"&amp;RIGHT("000000"&amp;1640,6),LdBKeyM,0),"")</f>
        <v/>
      </c>
      <c r="N1656">
        <f>IFERROR(MATCH($C$5&amp;"|"&amp;RIGHT("000000"&amp;1640,6),LdCKeyM,0),"")</f>
        <v/>
      </c>
    </row>
    <row r="1657">
      <c r="A1657" s="10" t="n">
        <v>1641</v>
      </c>
      <c r="B1657" s="14">
        <f>IF(AND($L1657="",$M1657="",$N1657=""),"",IF($L1657&lt;&gt;"",INDEX(LdADate,$L1657),IF($M1657&lt;&gt;"",INDEX(LdBDate,$M1657),INDEX(LdCDate,$N1657))))</f>
        <v/>
      </c>
      <c r="C1657" s="14">
        <f>IF($L1657&lt;&gt;"","دستمزد (فردی)",IF($M1657&lt;&gt;"","سهم از گروه "&amp;IFERROR(VLOOKUP(INDEX(LdBGroup,$M1657),WGTbl,2,0),INDEX(LdBGroup,$M1657)),IF($N1657&lt;&gt;"",IF(N(INDEX(LdCDep,$N1657))&gt;0,"بازگشت بانکی","پرداخت بانکی"),"")))</f>
        <v/>
      </c>
      <c r="D1657" s="14">
        <f>IF($L1657&lt;&gt;"",IF(INDEX(LdAId,$L1657)="","—",INDEX(LdAId,$L1657)),IF($M1657&lt;&gt;"",IF(INDEX(LdBId,$M1657)="","—",INDEX(LdBId,$M1657)),IF($N1657&lt;&gt;"",IF(INDEX(LdCBank,$N1657)="","—",INDEX(LdCBank,$N1657)),"")))</f>
        <v/>
      </c>
      <c r="E1657" s="16">
        <f>IF($L1657&lt;&gt;"",IF(INDEX(LdAAmt,$L1657)=0,"",INDEX(LdAAmt,$L1657)),IF($M1657&lt;&gt;"",IF(INDEX(LdBAmt,$M1657)=0,"",INDEX(LdBAmt,$M1657)),IF($N1657&lt;&gt;"",IF(INDEX(LdCDep,$N1657)=0,"",INDEX(LdCDep,$N1657)),"")))</f>
        <v/>
      </c>
      <c r="F1657" s="16">
        <f>IF(AND($L1657="",$M1657="",$N1657=""),"",IF($N1657="","",IF(INDEX(LdCWit,$N1657)=0,"",INDEX(LdCWit,$N1657))))</f>
        <v/>
      </c>
      <c r="G1657" s="29">
        <f>IF($B1657="","",IF($G1656="",0,$G1656)+IF($E1657="",0,$E1657)-IF($F1657="",0,$F1657))</f>
        <v/>
      </c>
      <c r="H1657" s="30">
        <f>IF(AND($L1657="",$M1657="",$N1657=""),"",IF($L1657&lt;&gt;"",IF(INDEX(LdANote,$L1657)="","—",INDEX(LdANote,$L1657)),IF($M1657&lt;&gt;"",IF(INDEX(LdBNote,$M1657)="","—",INDEX(LdBNote,$M1657)),IF($N1657&lt;&gt;"",IF(INDEX(LdCNote,$N1657)="","—",INDEX(LdCNote,$N1657)),""))))</f>
        <v/>
      </c>
      <c r="L1657">
        <f>IFERROR(MATCH($C$5&amp;"|"&amp;RIGHT("000000"&amp;1641,6),LdAKeyM,0),"")</f>
        <v/>
      </c>
      <c r="M1657">
        <f>IFERROR(MATCH($C$5&amp;"|"&amp;RIGHT("000000"&amp;1641,6),LdBKeyM,0),"")</f>
        <v/>
      </c>
      <c r="N1657">
        <f>IFERROR(MATCH($C$5&amp;"|"&amp;RIGHT("000000"&amp;1641,6),LdCKeyM,0),"")</f>
        <v/>
      </c>
    </row>
    <row r="1658">
      <c r="A1658" s="19" t="n">
        <v>1642</v>
      </c>
      <c r="B1658" s="20">
        <f>IF(AND($L1658="",$M1658="",$N1658=""),"",IF($L1658&lt;&gt;"",INDEX(LdADate,$L1658),IF($M1658&lt;&gt;"",INDEX(LdBDate,$M1658),INDEX(LdCDate,$N1658))))</f>
        <v/>
      </c>
      <c r="C1658" s="20">
        <f>IF($L1658&lt;&gt;"","دستمزد (فردی)",IF($M1658&lt;&gt;"","سهم از گروه "&amp;IFERROR(VLOOKUP(INDEX(LdBGroup,$M1658),WGTbl,2,0),INDEX(LdBGroup,$M1658)),IF($N1658&lt;&gt;"",IF(N(INDEX(LdCDep,$N1658))&gt;0,"بازگشت بانکی","پرداخت بانکی"),"")))</f>
        <v/>
      </c>
      <c r="D1658" s="20">
        <f>IF($L1658&lt;&gt;"",IF(INDEX(LdAId,$L1658)="","—",INDEX(LdAId,$L1658)),IF($M1658&lt;&gt;"",IF(INDEX(LdBId,$M1658)="","—",INDEX(LdBId,$M1658)),IF($N1658&lt;&gt;"",IF(INDEX(LdCBank,$N1658)="","—",INDEX(LdCBank,$N1658)),"")))</f>
        <v/>
      </c>
      <c r="E1658" s="21">
        <f>IF($L1658&lt;&gt;"",IF(INDEX(LdAAmt,$L1658)=0,"",INDEX(LdAAmt,$L1658)),IF($M1658&lt;&gt;"",IF(INDEX(LdBAmt,$M1658)=0,"",INDEX(LdBAmt,$M1658)),IF($N1658&lt;&gt;"",IF(INDEX(LdCDep,$N1658)=0,"",INDEX(LdCDep,$N1658)),"")))</f>
        <v/>
      </c>
      <c r="F1658" s="21">
        <f>IF(AND($L1658="",$M1658="",$N1658=""),"",IF($N1658="","",IF(INDEX(LdCWit,$N1658)=0,"",INDEX(LdCWit,$N1658))))</f>
        <v/>
      </c>
      <c r="G1658" s="31">
        <f>IF($B1658="","",IF($G1657="",0,$G1657)+IF($E1658="",0,$E1658)-IF($F1658="",0,$F1658))</f>
        <v/>
      </c>
      <c r="H1658" s="32">
        <f>IF(AND($L1658="",$M1658="",$N1658=""),"",IF($L1658&lt;&gt;"",IF(INDEX(LdANote,$L1658)="","—",INDEX(LdANote,$L1658)),IF($M1658&lt;&gt;"",IF(INDEX(LdBNote,$M1658)="","—",INDEX(LdBNote,$M1658)),IF($N1658&lt;&gt;"",IF(INDEX(LdCNote,$N1658)="","—",INDEX(LdCNote,$N1658)),""))))</f>
        <v/>
      </c>
      <c r="L1658">
        <f>IFERROR(MATCH($C$5&amp;"|"&amp;RIGHT("000000"&amp;1642,6),LdAKeyM,0),"")</f>
        <v/>
      </c>
      <c r="M1658">
        <f>IFERROR(MATCH($C$5&amp;"|"&amp;RIGHT("000000"&amp;1642,6),LdBKeyM,0),"")</f>
        <v/>
      </c>
      <c r="N1658">
        <f>IFERROR(MATCH($C$5&amp;"|"&amp;RIGHT("000000"&amp;1642,6),LdCKeyM,0),"")</f>
        <v/>
      </c>
    </row>
    <row r="1659">
      <c r="A1659" s="10" t="n">
        <v>1643</v>
      </c>
      <c r="B1659" s="14">
        <f>IF(AND($L1659="",$M1659="",$N1659=""),"",IF($L1659&lt;&gt;"",INDEX(LdADate,$L1659),IF($M1659&lt;&gt;"",INDEX(LdBDate,$M1659),INDEX(LdCDate,$N1659))))</f>
        <v/>
      </c>
      <c r="C1659" s="14">
        <f>IF($L1659&lt;&gt;"","دستمزد (فردی)",IF($M1659&lt;&gt;"","سهم از گروه "&amp;IFERROR(VLOOKUP(INDEX(LdBGroup,$M1659),WGTbl,2,0),INDEX(LdBGroup,$M1659)),IF($N1659&lt;&gt;"",IF(N(INDEX(LdCDep,$N1659))&gt;0,"بازگشت بانکی","پرداخت بانکی"),"")))</f>
        <v/>
      </c>
      <c r="D1659" s="14">
        <f>IF($L1659&lt;&gt;"",IF(INDEX(LdAId,$L1659)="","—",INDEX(LdAId,$L1659)),IF($M1659&lt;&gt;"",IF(INDEX(LdBId,$M1659)="","—",INDEX(LdBId,$M1659)),IF($N1659&lt;&gt;"",IF(INDEX(LdCBank,$N1659)="","—",INDEX(LdCBank,$N1659)),"")))</f>
        <v/>
      </c>
      <c r="E1659" s="16">
        <f>IF($L1659&lt;&gt;"",IF(INDEX(LdAAmt,$L1659)=0,"",INDEX(LdAAmt,$L1659)),IF($M1659&lt;&gt;"",IF(INDEX(LdBAmt,$M1659)=0,"",INDEX(LdBAmt,$M1659)),IF($N1659&lt;&gt;"",IF(INDEX(LdCDep,$N1659)=0,"",INDEX(LdCDep,$N1659)),"")))</f>
        <v/>
      </c>
      <c r="F1659" s="16">
        <f>IF(AND($L1659="",$M1659="",$N1659=""),"",IF($N1659="","",IF(INDEX(LdCWit,$N1659)=0,"",INDEX(LdCWit,$N1659))))</f>
        <v/>
      </c>
      <c r="G1659" s="29">
        <f>IF($B1659="","",IF($G1658="",0,$G1658)+IF($E1659="",0,$E1659)-IF($F1659="",0,$F1659))</f>
        <v/>
      </c>
      <c r="H1659" s="30">
        <f>IF(AND($L1659="",$M1659="",$N1659=""),"",IF($L1659&lt;&gt;"",IF(INDEX(LdANote,$L1659)="","—",INDEX(LdANote,$L1659)),IF($M1659&lt;&gt;"",IF(INDEX(LdBNote,$M1659)="","—",INDEX(LdBNote,$M1659)),IF($N1659&lt;&gt;"",IF(INDEX(LdCNote,$N1659)="","—",INDEX(LdCNote,$N1659)),""))))</f>
        <v/>
      </c>
      <c r="L1659">
        <f>IFERROR(MATCH($C$5&amp;"|"&amp;RIGHT("000000"&amp;1643,6),LdAKeyM,0),"")</f>
        <v/>
      </c>
      <c r="M1659">
        <f>IFERROR(MATCH($C$5&amp;"|"&amp;RIGHT("000000"&amp;1643,6),LdBKeyM,0),"")</f>
        <v/>
      </c>
      <c r="N1659">
        <f>IFERROR(MATCH($C$5&amp;"|"&amp;RIGHT("000000"&amp;1643,6),LdCKeyM,0),"")</f>
        <v/>
      </c>
    </row>
    <row r="1660">
      <c r="A1660" s="19" t="n">
        <v>1644</v>
      </c>
      <c r="B1660" s="20">
        <f>IF(AND($L1660="",$M1660="",$N1660=""),"",IF($L1660&lt;&gt;"",INDEX(LdADate,$L1660),IF($M1660&lt;&gt;"",INDEX(LdBDate,$M1660),INDEX(LdCDate,$N1660))))</f>
        <v/>
      </c>
      <c r="C1660" s="20">
        <f>IF($L1660&lt;&gt;"","دستمزد (فردی)",IF($M1660&lt;&gt;"","سهم از گروه "&amp;IFERROR(VLOOKUP(INDEX(LdBGroup,$M1660),WGTbl,2,0),INDEX(LdBGroup,$M1660)),IF($N1660&lt;&gt;"",IF(N(INDEX(LdCDep,$N1660))&gt;0,"بازگشت بانکی","پرداخت بانکی"),"")))</f>
        <v/>
      </c>
      <c r="D1660" s="20">
        <f>IF($L1660&lt;&gt;"",IF(INDEX(LdAId,$L1660)="","—",INDEX(LdAId,$L1660)),IF($M1660&lt;&gt;"",IF(INDEX(LdBId,$M1660)="","—",INDEX(LdBId,$M1660)),IF($N1660&lt;&gt;"",IF(INDEX(LdCBank,$N1660)="","—",INDEX(LdCBank,$N1660)),"")))</f>
        <v/>
      </c>
      <c r="E1660" s="21">
        <f>IF($L1660&lt;&gt;"",IF(INDEX(LdAAmt,$L1660)=0,"",INDEX(LdAAmt,$L1660)),IF($M1660&lt;&gt;"",IF(INDEX(LdBAmt,$M1660)=0,"",INDEX(LdBAmt,$M1660)),IF($N1660&lt;&gt;"",IF(INDEX(LdCDep,$N1660)=0,"",INDEX(LdCDep,$N1660)),"")))</f>
        <v/>
      </c>
      <c r="F1660" s="21">
        <f>IF(AND($L1660="",$M1660="",$N1660=""),"",IF($N1660="","",IF(INDEX(LdCWit,$N1660)=0,"",INDEX(LdCWit,$N1660))))</f>
        <v/>
      </c>
      <c r="G1660" s="31">
        <f>IF($B1660="","",IF($G1659="",0,$G1659)+IF($E1660="",0,$E1660)-IF($F1660="",0,$F1660))</f>
        <v/>
      </c>
      <c r="H1660" s="32">
        <f>IF(AND($L1660="",$M1660="",$N1660=""),"",IF($L1660&lt;&gt;"",IF(INDEX(LdANote,$L1660)="","—",INDEX(LdANote,$L1660)),IF($M1660&lt;&gt;"",IF(INDEX(LdBNote,$M1660)="","—",INDEX(LdBNote,$M1660)),IF($N1660&lt;&gt;"",IF(INDEX(LdCNote,$N1660)="","—",INDEX(LdCNote,$N1660)),""))))</f>
        <v/>
      </c>
      <c r="L1660">
        <f>IFERROR(MATCH($C$5&amp;"|"&amp;RIGHT("000000"&amp;1644,6),LdAKeyM,0),"")</f>
        <v/>
      </c>
      <c r="M1660">
        <f>IFERROR(MATCH($C$5&amp;"|"&amp;RIGHT("000000"&amp;1644,6),LdBKeyM,0),"")</f>
        <v/>
      </c>
      <c r="N1660">
        <f>IFERROR(MATCH($C$5&amp;"|"&amp;RIGHT("000000"&amp;1644,6),LdCKeyM,0),"")</f>
        <v/>
      </c>
    </row>
    <row r="1661">
      <c r="A1661" s="10" t="n">
        <v>1645</v>
      </c>
      <c r="B1661" s="14">
        <f>IF(AND($L1661="",$M1661="",$N1661=""),"",IF($L1661&lt;&gt;"",INDEX(LdADate,$L1661),IF($M1661&lt;&gt;"",INDEX(LdBDate,$M1661),INDEX(LdCDate,$N1661))))</f>
        <v/>
      </c>
      <c r="C1661" s="14">
        <f>IF($L1661&lt;&gt;"","دستمزد (فردی)",IF($M1661&lt;&gt;"","سهم از گروه "&amp;IFERROR(VLOOKUP(INDEX(LdBGroup,$M1661),WGTbl,2,0),INDEX(LdBGroup,$M1661)),IF($N1661&lt;&gt;"",IF(N(INDEX(LdCDep,$N1661))&gt;0,"بازگشت بانکی","پرداخت بانکی"),"")))</f>
        <v/>
      </c>
      <c r="D1661" s="14">
        <f>IF($L1661&lt;&gt;"",IF(INDEX(LdAId,$L1661)="","—",INDEX(LdAId,$L1661)),IF($M1661&lt;&gt;"",IF(INDEX(LdBId,$M1661)="","—",INDEX(LdBId,$M1661)),IF($N1661&lt;&gt;"",IF(INDEX(LdCBank,$N1661)="","—",INDEX(LdCBank,$N1661)),"")))</f>
        <v/>
      </c>
      <c r="E1661" s="16">
        <f>IF($L1661&lt;&gt;"",IF(INDEX(LdAAmt,$L1661)=0,"",INDEX(LdAAmt,$L1661)),IF($M1661&lt;&gt;"",IF(INDEX(LdBAmt,$M1661)=0,"",INDEX(LdBAmt,$M1661)),IF($N1661&lt;&gt;"",IF(INDEX(LdCDep,$N1661)=0,"",INDEX(LdCDep,$N1661)),"")))</f>
        <v/>
      </c>
      <c r="F1661" s="16">
        <f>IF(AND($L1661="",$M1661="",$N1661=""),"",IF($N1661="","",IF(INDEX(LdCWit,$N1661)=0,"",INDEX(LdCWit,$N1661))))</f>
        <v/>
      </c>
      <c r="G1661" s="29">
        <f>IF($B1661="","",IF($G1660="",0,$G1660)+IF($E1661="",0,$E1661)-IF($F1661="",0,$F1661))</f>
        <v/>
      </c>
      <c r="H1661" s="30">
        <f>IF(AND($L1661="",$M1661="",$N1661=""),"",IF($L1661&lt;&gt;"",IF(INDEX(LdANote,$L1661)="","—",INDEX(LdANote,$L1661)),IF($M1661&lt;&gt;"",IF(INDEX(LdBNote,$M1661)="","—",INDEX(LdBNote,$M1661)),IF($N1661&lt;&gt;"",IF(INDEX(LdCNote,$N1661)="","—",INDEX(LdCNote,$N1661)),""))))</f>
        <v/>
      </c>
      <c r="L1661">
        <f>IFERROR(MATCH($C$5&amp;"|"&amp;RIGHT("000000"&amp;1645,6),LdAKeyM,0),"")</f>
        <v/>
      </c>
      <c r="M1661">
        <f>IFERROR(MATCH($C$5&amp;"|"&amp;RIGHT("000000"&amp;1645,6),LdBKeyM,0),"")</f>
        <v/>
      </c>
      <c r="N1661">
        <f>IFERROR(MATCH($C$5&amp;"|"&amp;RIGHT("000000"&amp;1645,6),LdCKeyM,0),"")</f>
        <v/>
      </c>
    </row>
    <row r="1662">
      <c r="A1662" s="19" t="n">
        <v>1646</v>
      </c>
      <c r="B1662" s="20">
        <f>IF(AND($L1662="",$M1662="",$N1662=""),"",IF($L1662&lt;&gt;"",INDEX(LdADate,$L1662),IF($M1662&lt;&gt;"",INDEX(LdBDate,$M1662),INDEX(LdCDate,$N1662))))</f>
        <v/>
      </c>
      <c r="C1662" s="20">
        <f>IF($L1662&lt;&gt;"","دستمزد (فردی)",IF($M1662&lt;&gt;"","سهم از گروه "&amp;IFERROR(VLOOKUP(INDEX(LdBGroup,$M1662),WGTbl,2,0),INDEX(LdBGroup,$M1662)),IF($N1662&lt;&gt;"",IF(N(INDEX(LdCDep,$N1662))&gt;0,"بازگشت بانکی","پرداخت بانکی"),"")))</f>
        <v/>
      </c>
      <c r="D1662" s="20">
        <f>IF($L1662&lt;&gt;"",IF(INDEX(LdAId,$L1662)="","—",INDEX(LdAId,$L1662)),IF($M1662&lt;&gt;"",IF(INDEX(LdBId,$M1662)="","—",INDEX(LdBId,$M1662)),IF($N1662&lt;&gt;"",IF(INDEX(LdCBank,$N1662)="","—",INDEX(LdCBank,$N1662)),"")))</f>
        <v/>
      </c>
      <c r="E1662" s="21">
        <f>IF($L1662&lt;&gt;"",IF(INDEX(LdAAmt,$L1662)=0,"",INDEX(LdAAmt,$L1662)),IF($M1662&lt;&gt;"",IF(INDEX(LdBAmt,$M1662)=0,"",INDEX(LdBAmt,$M1662)),IF($N1662&lt;&gt;"",IF(INDEX(LdCDep,$N1662)=0,"",INDEX(LdCDep,$N1662)),"")))</f>
        <v/>
      </c>
      <c r="F1662" s="21">
        <f>IF(AND($L1662="",$M1662="",$N1662=""),"",IF($N1662="","",IF(INDEX(LdCWit,$N1662)=0,"",INDEX(LdCWit,$N1662))))</f>
        <v/>
      </c>
      <c r="G1662" s="31">
        <f>IF($B1662="","",IF($G1661="",0,$G1661)+IF($E1662="",0,$E1662)-IF($F1662="",0,$F1662))</f>
        <v/>
      </c>
      <c r="H1662" s="32">
        <f>IF(AND($L1662="",$M1662="",$N1662=""),"",IF($L1662&lt;&gt;"",IF(INDEX(LdANote,$L1662)="","—",INDEX(LdANote,$L1662)),IF($M1662&lt;&gt;"",IF(INDEX(LdBNote,$M1662)="","—",INDEX(LdBNote,$M1662)),IF($N1662&lt;&gt;"",IF(INDEX(LdCNote,$N1662)="","—",INDEX(LdCNote,$N1662)),""))))</f>
        <v/>
      </c>
      <c r="L1662">
        <f>IFERROR(MATCH($C$5&amp;"|"&amp;RIGHT("000000"&amp;1646,6),LdAKeyM,0),"")</f>
        <v/>
      </c>
      <c r="M1662">
        <f>IFERROR(MATCH($C$5&amp;"|"&amp;RIGHT("000000"&amp;1646,6),LdBKeyM,0),"")</f>
        <v/>
      </c>
      <c r="N1662">
        <f>IFERROR(MATCH($C$5&amp;"|"&amp;RIGHT("000000"&amp;1646,6),LdCKeyM,0),"")</f>
        <v/>
      </c>
    </row>
    <row r="1663">
      <c r="A1663" s="10" t="n">
        <v>1647</v>
      </c>
      <c r="B1663" s="14">
        <f>IF(AND($L1663="",$M1663="",$N1663=""),"",IF($L1663&lt;&gt;"",INDEX(LdADate,$L1663),IF($M1663&lt;&gt;"",INDEX(LdBDate,$M1663),INDEX(LdCDate,$N1663))))</f>
        <v/>
      </c>
      <c r="C1663" s="14">
        <f>IF($L1663&lt;&gt;"","دستمزد (فردی)",IF($M1663&lt;&gt;"","سهم از گروه "&amp;IFERROR(VLOOKUP(INDEX(LdBGroup,$M1663),WGTbl,2,0),INDEX(LdBGroup,$M1663)),IF($N1663&lt;&gt;"",IF(N(INDEX(LdCDep,$N1663))&gt;0,"بازگشت بانکی","پرداخت بانکی"),"")))</f>
        <v/>
      </c>
      <c r="D1663" s="14">
        <f>IF($L1663&lt;&gt;"",IF(INDEX(LdAId,$L1663)="","—",INDEX(LdAId,$L1663)),IF($M1663&lt;&gt;"",IF(INDEX(LdBId,$M1663)="","—",INDEX(LdBId,$M1663)),IF($N1663&lt;&gt;"",IF(INDEX(LdCBank,$N1663)="","—",INDEX(LdCBank,$N1663)),"")))</f>
        <v/>
      </c>
      <c r="E1663" s="16">
        <f>IF($L1663&lt;&gt;"",IF(INDEX(LdAAmt,$L1663)=0,"",INDEX(LdAAmt,$L1663)),IF($M1663&lt;&gt;"",IF(INDEX(LdBAmt,$M1663)=0,"",INDEX(LdBAmt,$M1663)),IF($N1663&lt;&gt;"",IF(INDEX(LdCDep,$N1663)=0,"",INDEX(LdCDep,$N1663)),"")))</f>
        <v/>
      </c>
      <c r="F1663" s="16">
        <f>IF(AND($L1663="",$M1663="",$N1663=""),"",IF($N1663="","",IF(INDEX(LdCWit,$N1663)=0,"",INDEX(LdCWit,$N1663))))</f>
        <v/>
      </c>
      <c r="G1663" s="29">
        <f>IF($B1663="","",IF($G1662="",0,$G1662)+IF($E1663="",0,$E1663)-IF($F1663="",0,$F1663))</f>
        <v/>
      </c>
      <c r="H1663" s="30">
        <f>IF(AND($L1663="",$M1663="",$N1663=""),"",IF($L1663&lt;&gt;"",IF(INDEX(LdANote,$L1663)="","—",INDEX(LdANote,$L1663)),IF($M1663&lt;&gt;"",IF(INDEX(LdBNote,$M1663)="","—",INDEX(LdBNote,$M1663)),IF($N1663&lt;&gt;"",IF(INDEX(LdCNote,$N1663)="","—",INDEX(LdCNote,$N1663)),""))))</f>
        <v/>
      </c>
      <c r="L1663">
        <f>IFERROR(MATCH($C$5&amp;"|"&amp;RIGHT("000000"&amp;1647,6),LdAKeyM,0),"")</f>
        <v/>
      </c>
      <c r="M1663">
        <f>IFERROR(MATCH($C$5&amp;"|"&amp;RIGHT("000000"&amp;1647,6),LdBKeyM,0),"")</f>
        <v/>
      </c>
      <c r="N1663">
        <f>IFERROR(MATCH($C$5&amp;"|"&amp;RIGHT("000000"&amp;1647,6),LdCKeyM,0),"")</f>
        <v/>
      </c>
    </row>
    <row r="1664">
      <c r="A1664" s="19" t="n">
        <v>1648</v>
      </c>
      <c r="B1664" s="20">
        <f>IF(AND($L1664="",$M1664="",$N1664=""),"",IF($L1664&lt;&gt;"",INDEX(LdADate,$L1664),IF($M1664&lt;&gt;"",INDEX(LdBDate,$M1664),INDEX(LdCDate,$N1664))))</f>
        <v/>
      </c>
      <c r="C1664" s="20">
        <f>IF($L1664&lt;&gt;"","دستمزد (فردی)",IF($M1664&lt;&gt;"","سهم از گروه "&amp;IFERROR(VLOOKUP(INDEX(LdBGroup,$M1664),WGTbl,2,0),INDEX(LdBGroup,$M1664)),IF($N1664&lt;&gt;"",IF(N(INDEX(LdCDep,$N1664))&gt;0,"بازگشت بانکی","پرداخت بانکی"),"")))</f>
        <v/>
      </c>
      <c r="D1664" s="20">
        <f>IF($L1664&lt;&gt;"",IF(INDEX(LdAId,$L1664)="","—",INDEX(LdAId,$L1664)),IF($M1664&lt;&gt;"",IF(INDEX(LdBId,$M1664)="","—",INDEX(LdBId,$M1664)),IF($N1664&lt;&gt;"",IF(INDEX(LdCBank,$N1664)="","—",INDEX(LdCBank,$N1664)),"")))</f>
        <v/>
      </c>
      <c r="E1664" s="21">
        <f>IF($L1664&lt;&gt;"",IF(INDEX(LdAAmt,$L1664)=0,"",INDEX(LdAAmt,$L1664)),IF($M1664&lt;&gt;"",IF(INDEX(LdBAmt,$M1664)=0,"",INDEX(LdBAmt,$M1664)),IF($N1664&lt;&gt;"",IF(INDEX(LdCDep,$N1664)=0,"",INDEX(LdCDep,$N1664)),"")))</f>
        <v/>
      </c>
      <c r="F1664" s="21">
        <f>IF(AND($L1664="",$M1664="",$N1664=""),"",IF($N1664="","",IF(INDEX(LdCWit,$N1664)=0,"",INDEX(LdCWit,$N1664))))</f>
        <v/>
      </c>
      <c r="G1664" s="31">
        <f>IF($B1664="","",IF($G1663="",0,$G1663)+IF($E1664="",0,$E1664)-IF($F1664="",0,$F1664))</f>
        <v/>
      </c>
      <c r="H1664" s="32">
        <f>IF(AND($L1664="",$M1664="",$N1664=""),"",IF($L1664&lt;&gt;"",IF(INDEX(LdANote,$L1664)="","—",INDEX(LdANote,$L1664)),IF($M1664&lt;&gt;"",IF(INDEX(LdBNote,$M1664)="","—",INDEX(LdBNote,$M1664)),IF($N1664&lt;&gt;"",IF(INDEX(LdCNote,$N1664)="","—",INDEX(LdCNote,$N1664)),""))))</f>
        <v/>
      </c>
      <c r="L1664">
        <f>IFERROR(MATCH($C$5&amp;"|"&amp;RIGHT("000000"&amp;1648,6),LdAKeyM,0),"")</f>
        <v/>
      </c>
      <c r="M1664">
        <f>IFERROR(MATCH($C$5&amp;"|"&amp;RIGHT("000000"&amp;1648,6),LdBKeyM,0),"")</f>
        <v/>
      </c>
      <c r="N1664">
        <f>IFERROR(MATCH($C$5&amp;"|"&amp;RIGHT("000000"&amp;1648,6),LdCKeyM,0),"")</f>
        <v/>
      </c>
    </row>
    <row r="1665">
      <c r="A1665" s="10" t="n">
        <v>1649</v>
      </c>
      <c r="B1665" s="14">
        <f>IF(AND($L1665="",$M1665="",$N1665=""),"",IF($L1665&lt;&gt;"",INDEX(LdADate,$L1665),IF($M1665&lt;&gt;"",INDEX(LdBDate,$M1665),INDEX(LdCDate,$N1665))))</f>
        <v/>
      </c>
      <c r="C1665" s="14">
        <f>IF($L1665&lt;&gt;"","دستمزد (فردی)",IF($M1665&lt;&gt;"","سهم از گروه "&amp;IFERROR(VLOOKUP(INDEX(LdBGroup,$M1665),WGTbl,2,0),INDEX(LdBGroup,$M1665)),IF($N1665&lt;&gt;"",IF(N(INDEX(LdCDep,$N1665))&gt;0,"بازگشت بانکی","پرداخت بانکی"),"")))</f>
        <v/>
      </c>
      <c r="D1665" s="14">
        <f>IF($L1665&lt;&gt;"",IF(INDEX(LdAId,$L1665)="","—",INDEX(LdAId,$L1665)),IF($M1665&lt;&gt;"",IF(INDEX(LdBId,$M1665)="","—",INDEX(LdBId,$M1665)),IF($N1665&lt;&gt;"",IF(INDEX(LdCBank,$N1665)="","—",INDEX(LdCBank,$N1665)),"")))</f>
        <v/>
      </c>
      <c r="E1665" s="16">
        <f>IF($L1665&lt;&gt;"",IF(INDEX(LdAAmt,$L1665)=0,"",INDEX(LdAAmt,$L1665)),IF($M1665&lt;&gt;"",IF(INDEX(LdBAmt,$M1665)=0,"",INDEX(LdBAmt,$M1665)),IF($N1665&lt;&gt;"",IF(INDEX(LdCDep,$N1665)=0,"",INDEX(LdCDep,$N1665)),"")))</f>
        <v/>
      </c>
      <c r="F1665" s="16">
        <f>IF(AND($L1665="",$M1665="",$N1665=""),"",IF($N1665="","",IF(INDEX(LdCWit,$N1665)=0,"",INDEX(LdCWit,$N1665))))</f>
        <v/>
      </c>
      <c r="G1665" s="29">
        <f>IF($B1665="","",IF($G1664="",0,$G1664)+IF($E1665="",0,$E1665)-IF($F1665="",0,$F1665))</f>
        <v/>
      </c>
      <c r="H1665" s="30">
        <f>IF(AND($L1665="",$M1665="",$N1665=""),"",IF($L1665&lt;&gt;"",IF(INDEX(LdANote,$L1665)="","—",INDEX(LdANote,$L1665)),IF($M1665&lt;&gt;"",IF(INDEX(LdBNote,$M1665)="","—",INDEX(LdBNote,$M1665)),IF($N1665&lt;&gt;"",IF(INDEX(LdCNote,$N1665)="","—",INDEX(LdCNote,$N1665)),""))))</f>
        <v/>
      </c>
      <c r="L1665">
        <f>IFERROR(MATCH($C$5&amp;"|"&amp;RIGHT("000000"&amp;1649,6),LdAKeyM,0),"")</f>
        <v/>
      </c>
      <c r="M1665">
        <f>IFERROR(MATCH($C$5&amp;"|"&amp;RIGHT("000000"&amp;1649,6),LdBKeyM,0),"")</f>
        <v/>
      </c>
      <c r="N1665">
        <f>IFERROR(MATCH($C$5&amp;"|"&amp;RIGHT("000000"&amp;1649,6),LdCKeyM,0),"")</f>
        <v/>
      </c>
    </row>
    <row r="1666">
      <c r="A1666" s="19" t="n">
        <v>1650</v>
      </c>
      <c r="B1666" s="20">
        <f>IF(AND($L1666="",$M1666="",$N1666=""),"",IF($L1666&lt;&gt;"",INDEX(LdADate,$L1666),IF($M1666&lt;&gt;"",INDEX(LdBDate,$M1666),INDEX(LdCDate,$N1666))))</f>
        <v/>
      </c>
      <c r="C1666" s="20">
        <f>IF($L1666&lt;&gt;"","دستمزد (فردی)",IF($M1666&lt;&gt;"","سهم از گروه "&amp;IFERROR(VLOOKUP(INDEX(LdBGroup,$M1666),WGTbl,2,0),INDEX(LdBGroup,$M1666)),IF($N1666&lt;&gt;"",IF(N(INDEX(LdCDep,$N1666))&gt;0,"بازگشت بانکی","پرداخت بانکی"),"")))</f>
        <v/>
      </c>
      <c r="D1666" s="20">
        <f>IF($L1666&lt;&gt;"",IF(INDEX(LdAId,$L1666)="","—",INDEX(LdAId,$L1666)),IF($M1666&lt;&gt;"",IF(INDEX(LdBId,$M1666)="","—",INDEX(LdBId,$M1666)),IF($N1666&lt;&gt;"",IF(INDEX(LdCBank,$N1666)="","—",INDEX(LdCBank,$N1666)),"")))</f>
        <v/>
      </c>
      <c r="E1666" s="21">
        <f>IF($L1666&lt;&gt;"",IF(INDEX(LdAAmt,$L1666)=0,"",INDEX(LdAAmt,$L1666)),IF($M1666&lt;&gt;"",IF(INDEX(LdBAmt,$M1666)=0,"",INDEX(LdBAmt,$M1666)),IF($N1666&lt;&gt;"",IF(INDEX(LdCDep,$N1666)=0,"",INDEX(LdCDep,$N1666)),"")))</f>
        <v/>
      </c>
      <c r="F1666" s="21">
        <f>IF(AND($L1666="",$M1666="",$N1666=""),"",IF($N1666="","",IF(INDEX(LdCWit,$N1666)=0,"",INDEX(LdCWit,$N1666))))</f>
        <v/>
      </c>
      <c r="G1666" s="31">
        <f>IF($B1666="","",IF($G1665="",0,$G1665)+IF($E1666="",0,$E1666)-IF($F1666="",0,$F1666))</f>
        <v/>
      </c>
      <c r="H1666" s="32">
        <f>IF(AND($L1666="",$M1666="",$N1666=""),"",IF($L1666&lt;&gt;"",IF(INDEX(LdANote,$L1666)="","—",INDEX(LdANote,$L1666)),IF($M1666&lt;&gt;"",IF(INDEX(LdBNote,$M1666)="","—",INDEX(LdBNote,$M1666)),IF($N1666&lt;&gt;"",IF(INDEX(LdCNote,$N1666)="","—",INDEX(LdCNote,$N1666)),""))))</f>
        <v/>
      </c>
      <c r="L1666">
        <f>IFERROR(MATCH($C$5&amp;"|"&amp;RIGHT("000000"&amp;1650,6),LdAKeyM,0),"")</f>
        <v/>
      </c>
      <c r="M1666">
        <f>IFERROR(MATCH($C$5&amp;"|"&amp;RIGHT("000000"&amp;1650,6),LdBKeyM,0),"")</f>
        <v/>
      </c>
      <c r="N1666">
        <f>IFERROR(MATCH($C$5&amp;"|"&amp;RIGHT("000000"&amp;1650,6),LdCKeyM,0),"")</f>
        <v/>
      </c>
    </row>
    <row r="1667">
      <c r="A1667" s="10" t="n">
        <v>1651</v>
      </c>
      <c r="B1667" s="14">
        <f>IF(AND($L1667="",$M1667="",$N1667=""),"",IF($L1667&lt;&gt;"",INDEX(LdADate,$L1667),IF($M1667&lt;&gt;"",INDEX(LdBDate,$M1667),INDEX(LdCDate,$N1667))))</f>
        <v/>
      </c>
      <c r="C1667" s="14">
        <f>IF($L1667&lt;&gt;"","دستمزد (فردی)",IF($M1667&lt;&gt;"","سهم از گروه "&amp;IFERROR(VLOOKUP(INDEX(LdBGroup,$M1667),WGTbl,2,0),INDEX(LdBGroup,$M1667)),IF($N1667&lt;&gt;"",IF(N(INDEX(LdCDep,$N1667))&gt;0,"بازگشت بانکی","پرداخت بانکی"),"")))</f>
        <v/>
      </c>
      <c r="D1667" s="14">
        <f>IF($L1667&lt;&gt;"",IF(INDEX(LdAId,$L1667)="","—",INDEX(LdAId,$L1667)),IF($M1667&lt;&gt;"",IF(INDEX(LdBId,$M1667)="","—",INDEX(LdBId,$M1667)),IF($N1667&lt;&gt;"",IF(INDEX(LdCBank,$N1667)="","—",INDEX(LdCBank,$N1667)),"")))</f>
        <v/>
      </c>
      <c r="E1667" s="16">
        <f>IF($L1667&lt;&gt;"",IF(INDEX(LdAAmt,$L1667)=0,"",INDEX(LdAAmt,$L1667)),IF($M1667&lt;&gt;"",IF(INDEX(LdBAmt,$M1667)=0,"",INDEX(LdBAmt,$M1667)),IF($N1667&lt;&gt;"",IF(INDEX(LdCDep,$N1667)=0,"",INDEX(LdCDep,$N1667)),"")))</f>
        <v/>
      </c>
      <c r="F1667" s="16">
        <f>IF(AND($L1667="",$M1667="",$N1667=""),"",IF($N1667="","",IF(INDEX(LdCWit,$N1667)=0,"",INDEX(LdCWit,$N1667))))</f>
        <v/>
      </c>
      <c r="G1667" s="29">
        <f>IF($B1667="","",IF($G1666="",0,$G1666)+IF($E1667="",0,$E1667)-IF($F1667="",0,$F1667))</f>
        <v/>
      </c>
      <c r="H1667" s="30">
        <f>IF(AND($L1667="",$M1667="",$N1667=""),"",IF($L1667&lt;&gt;"",IF(INDEX(LdANote,$L1667)="","—",INDEX(LdANote,$L1667)),IF($M1667&lt;&gt;"",IF(INDEX(LdBNote,$M1667)="","—",INDEX(LdBNote,$M1667)),IF($N1667&lt;&gt;"",IF(INDEX(LdCNote,$N1667)="","—",INDEX(LdCNote,$N1667)),""))))</f>
        <v/>
      </c>
      <c r="L1667">
        <f>IFERROR(MATCH($C$5&amp;"|"&amp;RIGHT("000000"&amp;1651,6),LdAKeyM,0),"")</f>
        <v/>
      </c>
      <c r="M1667">
        <f>IFERROR(MATCH($C$5&amp;"|"&amp;RIGHT("000000"&amp;1651,6),LdBKeyM,0),"")</f>
        <v/>
      </c>
      <c r="N1667">
        <f>IFERROR(MATCH($C$5&amp;"|"&amp;RIGHT("000000"&amp;1651,6),LdCKeyM,0),"")</f>
        <v/>
      </c>
    </row>
    <row r="1668">
      <c r="A1668" s="19" t="n">
        <v>1652</v>
      </c>
      <c r="B1668" s="20">
        <f>IF(AND($L1668="",$M1668="",$N1668=""),"",IF($L1668&lt;&gt;"",INDEX(LdADate,$L1668),IF($M1668&lt;&gt;"",INDEX(LdBDate,$M1668),INDEX(LdCDate,$N1668))))</f>
        <v/>
      </c>
      <c r="C1668" s="20">
        <f>IF($L1668&lt;&gt;"","دستمزد (فردی)",IF($M1668&lt;&gt;"","سهم از گروه "&amp;IFERROR(VLOOKUP(INDEX(LdBGroup,$M1668),WGTbl,2,0),INDEX(LdBGroup,$M1668)),IF($N1668&lt;&gt;"",IF(N(INDEX(LdCDep,$N1668))&gt;0,"بازگشت بانکی","پرداخت بانکی"),"")))</f>
        <v/>
      </c>
      <c r="D1668" s="20">
        <f>IF($L1668&lt;&gt;"",IF(INDEX(LdAId,$L1668)="","—",INDEX(LdAId,$L1668)),IF($M1668&lt;&gt;"",IF(INDEX(LdBId,$M1668)="","—",INDEX(LdBId,$M1668)),IF($N1668&lt;&gt;"",IF(INDEX(LdCBank,$N1668)="","—",INDEX(LdCBank,$N1668)),"")))</f>
        <v/>
      </c>
      <c r="E1668" s="21">
        <f>IF($L1668&lt;&gt;"",IF(INDEX(LdAAmt,$L1668)=0,"",INDEX(LdAAmt,$L1668)),IF($M1668&lt;&gt;"",IF(INDEX(LdBAmt,$M1668)=0,"",INDEX(LdBAmt,$M1668)),IF($N1668&lt;&gt;"",IF(INDEX(LdCDep,$N1668)=0,"",INDEX(LdCDep,$N1668)),"")))</f>
        <v/>
      </c>
      <c r="F1668" s="21">
        <f>IF(AND($L1668="",$M1668="",$N1668=""),"",IF($N1668="","",IF(INDEX(LdCWit,$N1668)=0,"",INDEX(LdCWit,$N1668))))</f>
        <v/>
      </c>
      <c r="G1668" s="31">
        <f>IF($B1668="","",IF($G1667="",0,$G1667)+IF($E1668="",0,$E1668)-IF($F1668="",0,$F1668))</f>
        <v/>
      </c>
      <c r="H1668" s="32">
        <f>IF(AND($L1668="",$M1668="",$N1668=""),"",IF($L1668&lt;&gt;"",IF(INDEX(LdANote,$L1668)="","—",INDEX(LdANote,$L1668)),IF($M1668&lt;&gt;"",IF(INDEX(LdBNote,$M1668)="","—",INDEX(LdBNote,$M1668)),IF($N1668&lt;&gt;"",IF(INDEX(LdCNote,$N1668)="","—",INDEX(LdCNote,$N1668)),""))))</f>
        <v/>
      </c>
      <c r="L1668">
        <f>IFERROR(MATCH($C$5&amp;"|"&amp;RIGHT("000000"&amp;1652,6),LdAKeyM,0),"")</f>
        <v/>
      </c>
      <c r="M1668">
        <f>IFERROR(MATCH($C$5&amp;"|"&amp;RIGHT("000000"&amp;1652,6),LdBKeyM,0),"")</f>
        <v/>
      </c>
      <c r="N1668">
        <f>IFERROR(MATCH($C$5&amp;"|"&amp;RIGHT("000000"&amp;1652,6),LdCKeyM,0),"")</f>
        <v/>
      </c>
    </row>
    <row r="1669">
      <c r="A1669" s="10" t="n">
        <v>1653</v>
      </c>
      <c r="B1669" s="14">
        <f>IF(AND($L1669="",$M1669="",$N1669=""),"",IF($L1669&lt;&gt;"",INDEX(LdADate,$L1669),IF($M1669&lt;&gt;"",INDEX(LdBDate,$M1669),INDEX(LdCDate,$N1669))))</f>
        <v/>
      </c>
      <c r="C1669" s="14">
        <f>IF($L1669&lt;&gt;"","دستمزد (فردی)",IF($M1669&lt;&gt;"","سهم از گروه "&amp;IFERROR(VLOOKUP(INDEX(LdBGroup,$M1669),WGTbl,2,0),INDEX(LdBGroup,$M1669)),IF($N1669&lt;&gt;"",IF(N(INDEX(LdCDep,$N1669))&gt;0,"بازگشت بانکی","پرداخت بانکی"),"")))</f>
        <v/>
      </c>
      <c r="D1669" s="14">
        <f>IF($L1669&lt;&gt;"",IF(INDEX(LdAId,$L1669)="","—",INDEX(LdAId,$L1669)),IF($M1669&lt;&gt;"",IF(INDEX(LdBId,$M1669)="","—",INDEX(LdBId,$M1669)),IF($N1669&lt;&gt;"",IF(INDEX(LdCBank,$N1669)="","—",INDEX(LdCBank,$N1669)),"")))</f>
        <v/>
      </c>
      <c r="E1669" s="16">
        <f>IF($L1669&lt;&gt;"",IF(INDEX(LdAAmt,$L1669)=0,"",INDEX(LdAAmt,$L1669)),IF($M1669&lt;&gt;"",IF(INDEX(LdBAmt,$M1669)=0,"",INDEX(LdBAmt,$M1669)),IF($N1669&lt;&gt;"",IF(INDEX(LdCDep,$N1669)=0,"",INDEX(LdCDep,$N1669)),"")))</f>
        <v/>
      </c>
      <c r="F1669" s="16">
        <f>IF(AND($L1669="",$M1669="",$N1669=""),"",IF($N1669="","",IF(INDEX(LdCWit,$N1669)=0,"",INDEX(LdCWit,$N1669))))</f>
        <v/>
      </c>
      <c r="G1669" s="29">
        <f>IF($B1669="","",IF($G1668="",0,$G1668)+IF($E1669="",0,$E1669)-IF($F1669="",0,$F1669))</f>
        <v/>
      </c>
      <c r="H1669" s="30">
        <f>IF(AND($L1669="",$M1669="",$N1669=""),"",IF($L1669&lt;&gt;"",IF(INDEX(LdANote,$L1669)="","—",INDEX(LdANote,$L1669)),IF($M1669&lt;&gt;"",IF(INDEX(LdBNote,$M1669)="","—",INDEX(LdBNote,$M1669)),IF($N1669&lt;&gt;"",IF(INDEX(LdCNote,$N1669)="","—",INDEX(LdCNote,$N1669)),""))))</f>
        <v/>
      </c>
      <c r="L1669">
        <f>IFERROR(MATCH($C$5&amp;"|"&amp;RIGHT("000000"&amp;1653,6),LdAKeyM,0),"")</f>
        <v/>
      </c>
      <c r="M1669">
        <f>IFERROR(MATCH($C$5&amp;"|"&amp;RIGHT("000000"&amp;1653,6),LdBKeyM,0),"")</f>
        <v/>
      </c>
      <c r="N1669">
        <f>IFERROR(MATCH($C$5&amp;"|"&amp;RIGHT("000000"&amp;1653,6),LdCKeyM,0),"")</f>
        <v/>
      </c>
    </row>
    <row r="1670">
      <c r="A1670" s="19" t="n">
        <v>1654</v>
      </c>
      <c r="B1670" s="20">
        <f>IF(AND($L1670="",$M1670="",$N1670=""),"",IF($L1670&lt;&gt;"",INDEX(LdADate,$L1670),IF($M1670&lt;&gt;"",INDEX(LdBDate,$M1670),INDEX(LdCDate,$N1670))))</f>
        <v/>
      </c>
      <c r="C1670" s="20">
        <f>IF($L1670&lt;&gt;"","دستمزد (فردی)",IF($M1670&lt;&gt;"","سهم از گروه "&amp;IFERROR(VLOOKUP(INDEX(LdBGroup,$M1670),WGTbl,2,0),INDEX(LdBGroup,$M1670)),IF($N1670&lt;&gt;"",IF(N(INDEX(LdCDep,$N1670))&gt;0,"بازگشت بانکی","پرداخت بانکی"),"")))</f>
        <v/>
      </c>
      <c r="D1670" s="20">
        <f>IF($L1670&lt;&gt;"",IF(INDEX(LdAId,$L1670)="","—",INDEX(LdAId,$L1670)),IF($M1670&lt;&gt;"",IF(INDEX(LdBId,$M1670)="","—",INDEX(LdBId,$M1670)),IF($N1670&lt;&gt;"",IF(INDEX(LdCBank,$N1670)="","—",INDEX(LdCBank,$N1670)),"")))</f>
        <v/>
      </c>
      <c r="E1670" s="21">
        <f>IF($L1670&lt;&gt;"",IF(INDEX(LdAAmt,$L1670)=0,"",INDEX(LdAAmt,$L1670)),IF($M1670&lt;&gt;"",IF(INDEX(LdBAmt,$M1670)=0,"",INDEX(LdBAmt,$M1670)),IF($N1670&lt;&gt;"",IF(INDEX(LdCDep,$N1670)=0,"",INDEX(LdCDep,$N1670)),"")))</f>
        <v/>
      </c>
      <c r="F1670" s="21">
        <f>IF(AND($L1670="",$M1670="",$N1670=""),"",IF($N1670="","",IF(INDEX(LdCWit,$N1670)=0,"",INDEX(LdCWit,$N1670))))</f>
        <v/>
      </c>
      <c r="G1670" s="31">
        <f>IF($B1670="","",IF($G1669="",0,$G1669)+IF($E1670="",0,$E1670)-IF($F1670="",0,$F1670))</f>
        <v/>
      </c>
      <c r="H1670" s="32">
        <f>IF(AND($L1670="",$M1670="",$N1670=""),"",IF($L1670&lt;&gt;"",IF(INDEX(LdANote,$L1670)="","—",INDEX(LdANote,$L1670)),IF($M1670&lt;&gt;"",IF(INDEX(LdBNote,$M1670)="","—",INDEX(LdBNote,$M1670)),IF($N1670&lt;&gt;"",IF(INDEX(LdCNote,$N1670)="","—",INDEX(LdCNote,$N1670)),""))))</f>
        <v/>
      </c>
      <c r="L1670">
        <f>IFERROR(MATCH($C$5&amp;"|"&amp;RIGHT("000000"&amp;1654,6),LdAKeyM,0),"")</f>
        <v/>
      </c>
      <c r="M1670">
        <f>IFERROR(MATCH($C$5&amp;"|"&amp;RIGHT("000000"&amp;1654,6),LdBKeyM,0),"")</f>
        <v/>
      </c>
      <c r="N1670">
        <f>IFERROR(MATCH($C$5&amp;"|"&amp;RIGHT("000000"&amp;1654,6),LdCKeyM,0),"")</f>
        <v/>
      </c>
    </row>
    <row r="1671">
      <c r="A1671" s="10" t="n">
        <v>1655</v>
      </c>
      <c r="B1671" s="14">
        <f>IF(AND($L1671="",$M1671="",$N1671=""),"",IF($L1671&lt;&gt;"",INDEX(LdADate,$L1671),IF($M1671&lt;&gt;"",INDEX(LdBDate,$M1671),INDEX(LdCDate,$N1671))))</f>
        <v/>
      </c>
      <c r="C1671" s="14">
        <f>IF($L1671&lt;&gt;"","دستمزد (فردی)",IF($M1671&lt;&gt;"","سهم از گروه "&amp;IFERROR(VLOOKUP(INDEX(LdBGroup,$M1671),WGTbl,2,0),INDEX(LdBGroup,$M1671)),IF($N1671&lt;&gt;"",IF(N(INDEX(LdCDep,$N1671))&gt;0,"بازگشت بانکی","پرداخت بانکی"),"")))</f>
        <v/>
      </c>
      <c r="D1671" s="14">
        <f>IF($L1671&lt;&gt;"",IF(INDEX(LdAId,$L1671)="","—",INDEX(LdAId,$L1671)),IF($M1671&lt;&gt;"",IF(INDEX(LdBId,$M1671)="","—",INDEX(LdBId,$M1671)),IF($N1671&lt;&gt;"",IF(INDEX(LdCBank,$N1671)="","—",INDEX(LdCBank,$N1671)),"")))</f>
        <v/>
      </c>
      <c r="E1671" s="16">
        <f>IF($L1671&lt;&gt;"",IF(INDEX(LdAAmt,$L1671)=0,"",INDEX(LdAAmt,$L1671)),IF($M1671&lt;&gt;"",IF(INDEX(LdBAmt,$M1671)=0,"",INDEX(LdBAmt,$M1671)),IF($N1671&lt;&gt;"",IF(INDEX(LdCDep,$N1671)=0,"",INDEX(LdCDep,$N1671)),"")))</f>
        <v/>
      </c>
      <c r="F1671" s="16">
        <f>IF(AND($L1671="",$M1671="",$N1671=""),"",IF($N1671="","",IF(INDEX(LdCWit,$N1671)=0,"",INDEX(LdCWit,$N1671))))</f>
        <v/>
      </c>
      <c r="G1671" s="29">
        <f>IF($B1671="","",IF($G1670="",0,$G1670)+IF($E1671="",0,$E1671)-IF($F1671="",0,$F1671))</f>
        <v/>
      </c>
      <c r="H1671" s="30">
        <f>IF(AND($L1671="",$M1671="",$N1671=""),"",IF($L1671&lt;&gt;"",IF(INDEX(LdANote,$L1671)="","—",INDEX(LdANote,$L1671)),IF($M1671&lt;&gt;"",IF(INDEX(LdBNote,$M1671)="","—",INDEX(LdBNote,$M1671)),IF($N1671&lt;&gt;"",IF(INDEX(LdCNote,$N1671)="","—",INDEX(LdCNote,$N1671)),""))))</f>
        <v/>
      </c>
      <c r="L1671">
        <f>IFERROR(MATCH($C$5&amp;"|"&amp;RIGHT("000000"&amp;1655,6),LdAKeyM,0),"")</f>
        <v/>
      </c>
      <c r="M1671">
        <f>IFERROR(MATCH($C$5&amp;"|"&amp;RIGHT("000000"&amp;1655,6),LdBKeyM,0),"")</f>
        <v/>
      </c>
      <c r="N1671">
        <f>IFERROR(MATCH($C$5&amp;"|"&amp;RIGHT("000000"&amp;1655,6),LdCKeyM,0),"")</f>
        <v/>
      </c>
    </row>
    <row r="1672">
      <c r="A1672" s="19" t="n">
        <v>1656</v>
      </c>
      <c r="B1672" s="20">
        <f>IF(AND($L1672="",$M1672="",$N1672=""),"",IF($L1672&lt;&gt;"",INDEX(LdADate,$L1672),IF($M1672&lt;&gt;"",INDEX(LdBDate,$M1672),INDEX(LdCDate,$N1672))))</f>
        <v/>
      </c>
      <c r="C1672" s="20">
        <f>IF($L1672&lt;&gt;"","دستمزد (فردی)",IF($M1672&lt;&gt;"","سهم از گروه "&amp;IFERROR(VLOOKUP(INDEX(LdBGroup,$M1672),WGTbl,2,0),INDEX(LdBGroup,$M1672)),IF($N1672&lt;&gt;"",IF(N(INDEX(LdCDep,$N1672))&gt;0,"بازگشت بانکی","پرداخت بانکی"),"")))</f>
        <v/>
      </c>
      <c r="D1672" s="20">
        <f>IF($L1672&lt;&gt;"",IF(INDEX(LdAId,$L1672)="","—",INDEX(LdAId,$L1672)),IF($M1672&lt;&gt;"",IF(INDEX(LdBId,$M1672)="","—",INDEX(LdBId,$M1672)),IF($N1672&lt;&gt;"",IF(INDEX(LdCBank,$N1672)="","—",INDEX(LdCBank,$N1672)),"")))</f>
        <v/>
      </c>
      <c r="E1672" s="21">
        <f>IF($L1672&lt;&gt;"",IF(INDEX(LdAAmt,$L1672)=0,"",INDEX(LdAAmt,$L1672)),IF($M1672&lt;&gt;"",IF(INDEX(LdBAmt,$M1672)=0,"",INDEX(LdBAmt,$M1672)),IF($N1672&lt;&gt;"",IF(INDEX(LdCDep,$N1672)=0,"",INDEX(LdCDep,$N1672)),"")))</f>
        <v/>
      </c>
      <c r="F1672" s="21">
        <f>IF(AND($L1672="",$M1672="",$N1672=""),"",IF($N1672="","",IF(INDEX(LdCWit,$N1672)=0,"",INDEX(LdCWit,$N1672))))</f>
        <v/>
      </c>
      <c r="G1672" s="31">
        <f>IF($B1672="","",IF($G1671="",0,$G1671)+IF($E1672="",0,$E1672)-IF($F1672="",0,$F1672))</f>
        <v/>
      </c>
      <c r="H1672" s="32">
        <f>IF(AND($L1672="",$M1672="",$N1672=""),"",IF($L1672&lt;&gt;"",IF(INDEX(LdANote,$L1672)="","—",INDEX(LdANote,$L1672)),IF($M1672&lt;&gt;"",IF(INDEX(LdBNote,$M1672)="","—",INDEX(LdBNote,$M1672)),IF($N1672&lt;&gt;"",IF(INDEX(LdCNote,$N1672)="","—",INDEX(LdCNote,$N1672)),""))))</f>
        <v/>
      </c>
      <c r="L1672">
        <f>IFERROR(MATCH($C$5&amp;"|"&amp;RIGHT("000000"&amp;1656,6),LdAKeyM,0),"")</f>
        <v/>
      </c>
      <c r="M1672">
        <f>IFERROR(MATCH($C$5&amp;"|"&amp;RIGHT("000000"&amp;1656,6),LdBKeyM,0),"")</f>
        <v/>
      </c>
      <c r="N1672">
        <f>IFERROR(MATCH($C$5&amp;"|"&amp;RIGHT("000000"&amp;1656,6),LdCKeyM,0),"")</f>
        <v/>
      </c>
    </row>
    <row r="1673">
      <c r="A1673" s="10" t="n">
        <v>1657</v>
      </c>
      <c r="B1673" s="14">
        <f>IF(AND($L1673="",$M1673="",$N1673=""),"",IF($L1673&lt;&gt;"",INDEX(LdADate,$L1673),IF($M1673&lt;&gt;"",INDEX(LdBDate,$M1673),INDEX(LdCDate,$N1673))))</f>
        <v/>
      </c>
      <c r="C1673" s="14">
        <f>IF($L1673&lt;&gt;"","دستمزد (فردی)",IF($M1673&lt;&gt;"","سهم از گروه "&amp;IFERROR(VLOOKUP(INDEX(LdBGroup,$M1673),WGTbl,2,0),INDEX(LdBGroup,$M1673)),IF($N1673&lt;&gt;"",IF(N(INDEX(LdCDep,$N1673))&gt;0,"بازگشت بانکی","پرداخت بانکی"),"")))</f>
        <v/>
      </c>
      <c r="D1673" s="14">
        <f>IF($L1673&lt;&gt;"",IF(INDEX(LdAId,$L1673)="","—",INDEX(LdAId,$L1673)),IF($M1673&lt;&gt;"",IF(INDEX(LdBId,$M1673)="","—",INDEX(LdBId,$M1673)),IF($N1673&lt;&gt;"",IF(INDEX(LdCBank,$N1673)="","—",INDEX(LdCBank,$N1673)),"")))</f>
        <v/>
      </c>
      <c r="E1673" s="16">
        <f>IF($L1673&lt;&gt;"",IF(INDEX(LdAAmt,$L1673)=0,"",INDEX(LdAAmt,$L1673)),IF($M1673&lt;&gt;"",IF(INDEX(LdBAmt,$M1673)=0,"",INDEX(LdBAmt,$M1673)),IF($N1673&lt;&gt;"",IF(INDEX(LdCDep,$N1673)=0,"",INDEX(LdCDep,$N1673)),"")))</f>
        <v/>
      </c>
      <c r="F1673" s="16">
        <f>IF(AND($L1673="",$M1673="",$N1673=""),"",IF($N1673="","",IF(INDEX(LdCWit,$N1673)=0,"",INDEX(LdCWit,$N1673))))</f>
        <v/>
      </c>
      <c r="G1673" s="29">
        <f>IF($B1673="","",IF($G1672="",0,$G1672)+IF($E1673="",0,$E1673)-IF($F1673="",0,$F1673))</f>
        <v/>
      </c>
      <c r="H1673" s="30">
        <f>IF(AND($L1673="",$M1673="",$N1673=""),"",IF($L1673&lt;&gt;"",IF(INDEX(LdANote,$L1673)="","—",INDEX(LdANote,$L1673)),IF($M1673&lt;&gt;"",IF(INDEX(LdBNote,$M1673)="","—",INDEX(LdBNote,$M1673)),IF($N1673&lt;&gt;"",IF(INDEX(LdCNote,$N1673)="","—",INDEX(LdCNote,$N1673)),""))))</f>
        <v/>
      </c>
      <c r="L1673">
        <f>IFERROR(MATCH($C$5&amp;"|"&amp;RIGHT("000000"&amp;1657,6),LdAKeyM,0),"")</f>
        <v/>
      </c>
      <c r="M1673">
        <f>IFERROR(MATCH($C$5&amp;"|"&amp;RIGHT("000000"&amp;1657,6),LdBKeyM,0),"")</f>
        <v/>
      </c>
      <c r="N1673">
        <f>IFERROR(MATCH($C$5&amp;"|"&amp;RIGHT("000000"&amp;1657,6),LdCKeyM,0),"")</f>
        <v/>
      </c>
    </row>
    <row r="1674">
      <c r="A1674" s="19" t="n">
        <v>1658</v>
      </c>
      <c r="B1674" s="20">
        <f>IF(AND($L1674="",$M1674="",$N1674=""),"",IF($L1674&lt;&gt;"",INDEX(LdADate,$L1674),IF($M1674&lt;&gt;"",INDEX(LdBDate,$M1674),INDEX(LdCDate,$N1674))))</f>
        <v/>
      </c>
      <c r="C1674" s="20">
        <f>IF($L1674&lt;&gt;"","دستمزد (فردی)",IF($M1674&lt;&gt;"","سهم از گروه "&amp;IFERROR(VLOOKUP(INDEX(LdBGroup,$M1674),WGTbl,2,0),INDEX(LdBGroup,$M1674)),IF($N1674&lt;&gt;"",IF(N(INDEX(LdCDep,$N1674))&gt;0,"بازگشت بانکی","پرداخت بانکی"),"")))</f>
        <v/>
      </c>
      <c r="D1674" s="20">
        <f>IF($L1674&lt;&gt;"",IF(INDEX(LdAId,$L1674)="","—",INDEX(LdAId,$L1674)),IF($M1674&lt;&gt;"",IF(INDEX(LdBId,$M1674)="","—",INDEX(LdBId,$M1674)),IF($N1674&lt;&gt;"",IF(INDEX(LdCBank,$N1674)="","—",INDEX(LdCBank,$N1674)),"")))</f>
        <v/>
      </c>
      <c r="E1674" s="21">
        <f>IF($L1674&lt;&gt;"",IF(INDEX(LdAAmt,$L1674)=0,"",INDEX(LdAAmt,$L1674)),IF($M1674&lt;&gt;"",IF(INDEX(LdBAmt,$M1674)=0,"",INDEX(LdBAmt,$M1674)),IF($N1674&lt;&gt;"",IF(INDEX(LdCDep,$N1674)=0,"",INDEX(LdCDep,$N1674)),"")))</f>
        <v/>
      </c>
      <c r="F1674" s="21">
        <f>IF(AND($L1674="",$M1674="",$N1674=""),"",IF($N1674="","",IF(INDEX(LdCWit,$N1674)=0,"",INDEX(LdCWit,$N1674))))</f>
        <v/>
      </c>
      <c r="G1674" s="31">
        <f>IF($B1674="","",IF($G1673="",0,$G1673)+IF($E1674="",0,$E1674)-IF($F1674="",0,$F1674))</f>
        <v/>
      </c>
      <c r="H1674" s="32">
        <f>IF(AND($L1674="",$M1674="",$N1674=""),"",IF($L1674&lt;&gt;"",IF(INDEX(LdANote,$L1674)="","—",INDEX(LdANote,$L1674)),IF($M1674&lt;&gt;"",IF(INDEX(LdBNote,$M1674)="","—",INDEX(LdBNote,$M1674)),IF($N1674&lt;&gt;"",IF(INDEX(LdCNote,$N1674)="","—",INDEX(LdCNote,$N1674)),""))))</f>
        <v/>
      </c>
      <c r="L1674">
        <f>IFERROR(MATCH($C$5&amp;"|"&amp;RIGHT("000000"&amp;1658,6),LdAKeyM,0),"")</f>
        <v/>
      </c>
      <c r="M1674">
        <f>IFERROR(MATCH($C$5&amp;"|"&amp;RIGHT("000000"&amp;1658,6),LdBKeyM,0),"")</f>
        <v/>
      </c>
      <c r="N1674">
        <f>IFERROR(MATCH($C$5&amp;"|"&amp;RIGHT("000000"&amp;1658,6),LdCKeyM,0),"")</f>
        <v/>
      </c>
    </row>
    <row r="1675">
      <c r="A1675" s="10" t="n">
        <v>1659</v>
      </c>
      <c r="B1675" s="14">
        <f>IF(AND($L1675="",$M1675="",$N1675=""),"",IF($L1675&lt;&gt;"",INDEX(LdADate,$L1675),IF($M1675&lt;&gt;"",INDEX(LdBDate,$M1675),INDEX(LdCDate,$N1675))))</f>
        <v/>
      </c>
      <c r="C1675" s="14">
        <f>IF($L1675&lt;&gt;"","دستمزد (فردی)",IF($M1675&lt;&gt;"","سهم از گروه "&amp;IFERROR(VLOOKUP(INDEX(LdBGroup,$M1675),WGTbl,2,0),INDEX(LdBGroup,$M1675)),IF($N1675&lt;&gt;"",IF(N(INDEX(LdCDep,$N1675))&gt;0,"بازگشت بانکی","پرداخت بانکی"),"")))</f>
        <v/>
      </c>
      <c r="D1675" s="14">
        <f>IF($L1675&lt;&gt;"",IF(INDEX(LdAId,$L1675)="","—",INDEX(LdAId,$L1675)),IF($M1675&lt;&gt;"",IF(INDEX(LdBId,$M1675)="","—",INDEX(LdBId,$M1675)),IF($N1675&lt;&gt;"",IF(INDEX(LdCBank,$N1675)="","—",INDEX(LdCBank,$N1675)),"")))</f>
        <v/>
      </c>
      <c r="E1675" s="16">
        <f>IF($L1675&lt;&gt;"",IF(INDEX(LdAAmt,$L1675)=0,"",INDEX(LdAAmt,$L1675)),IF($M1675&lt;&gt;"",IF(INDEX(LdBAmt,$M1675)=0,"",INDEX(LdBAmt,$M1675)),IF($N1675&lt;&gt;"",IF(INDEX(LdCDep,$N1675)=0,"",INDEX(LdCDep,$N1675)),"")))</f>
        <v/>
      </c>
      <c r="F1675" s="16">
        <f>IF(AND($L1675="",$M1675="",$N1675=""),"",IF($N1675="","",IF(INDEX(LdCWit,$N1675)=0,"",INDEX(LdCWit,$N1675))))</f>
        <v/>
      </c>
      <c r="G1675" s="29">
        <f>IF($B1675="","",IF($G1674="",0,$G1674)+IF($E1675="",0,$E1675)-IF($F1675="",0,$F1675))</f>
        <v/>
      </c>
      <c r="H1675" s="30">
        <f>IF(AND($L1675="",$M1675="",$N1675=""),"",IF($L1675&lt;&gt;"",IF(INDEX(LdANote,$L1675)="","—",INDEX(LdANote,$L1675)),IF($M1675&lt;&gt;"",IF(INDEX(LdBNote,$M1675)="","—",INDEX(LdBNote,$M1675)),IF($N1675&lt;&gt;"",IF(INDEX(LdCNote,$N1675)="","—",INDEX(LdCNote,$N1675)),""))))</f>
        <v/>
      </c>
      <c r="L1675">
        <f>IFERROR(MATCH($C$5&amp;"|"&amp;RIGHT("000000"&amp;1659,6),LdAKeyM,0),"")</f>
        <v/>
      </c>
      <c r="M1675">
        <f>IFERROR(MATCH($C$5&amp;"|"&amp;RIGHT("000000"&amp;1659,6),LdBKeyM,0),"")</f>
        <v/>
      </c>
      <c r="N1675">
        <f>IFERROR(MATCH($C$5&amp;"|"&amp;RIGHT("000000"&amp;1659,6),LdCKeyM,0),"")</f>
        <v/>
      </c>
    </row>
    <row r="1676">
      <c r="A1676" s="19" t="n">
        <v>1660</v>
      </c>
      <c r="B1676" s="20">
        <f>IF(AND($L1676="",$M1676="",$N1676=""),"",IF($L1676&lt;&gt;"",INDEX(LdADate,$L1676),IF($M1676&lt;&gt;"",INDEX(LdBDate,$M1676),INDEX(LdCDate,$N1676))))</f>
        <v/>
      </c>
      <c r="C1676" s="20">
        <f>IF($L1676&lt;&gt;"","دستمزد (فردی)",IF($M1676&lt;&gt;"","سهم از گروه "&amp;IFERROR(VLOOKUP(INDEX(LdBGroup,$M1676),WGTbl,2,0),INDEX(LdBGroup,$M1676)),IF($N1676&lt;&gt;"",IF(N(INDEX(LdCDep,$N1676))&gt;0,"بازگشت بانکی","پرداخت بانکی"),"")))</f>
        <v/>
      </c>
      <c r="D1676" s="20">
        <f>IF($L1676&lt;&gt;"",IF(INDEX(LdAId,$L1676)="","—",INDEX(LdAId,$L1676)),IF($M1676&lt;&gt;"",IF(INDEX(LdBId,$M1676)="","—",INDEX(LdBId,$M1676)),IF($N1676&lt;&gt;"",IF(INDEX(LdCBank,$N1676)="","—",INDEX(LdCBank,$N1676)),"")))</f>
        <v/>
      </c>
      <c r="E1676" s="21">
        <f>IF($L1676&lt;&gt;"",IF(INDEX(LdAAmt,$L1676)=0,"",INDEX(LdAAmt,$L1676)),IF($M1676&lt;&gt;"",IF(INDEX(LdBAmt,$M1676)=0,"",INDEX(LdBAmt,$M1676)),IF($N1676&lt;&gt;"",IF(INDEX(LdCDep,$N1676)=0,"",INDEX(LdCDep,$N1676)),"")))</f>
        <v/>
      </c>
      <c r="F1676" s="21">
        <f>IF(AND($L1676="",$M1676="",$N1676=""),"",IF($N1676="","",IF(INDEX(LdCWit,$N1676)=0,"",INDEX(LdCWit,$N1676))))</f>
        <v/>
      </c>
      <c r="G1676" s="31">
        <f>IF($B1676="","",IF($G1675="",0,$G1675)+IF($E1676="",0,$E1676)-IF($F1676="",0,$F1676))</f>
        <v/>
      </c>
      <c r="H1676" s="32">
        <f>IF(AND($L1676="",$M1676="",$N1676=""),"",IF($L1676&lt;&gt;"",IF(INDEX(LdANote,$L1676)="","—",INDEX(LdANote,$L1676)),IF($M1676&lt;&gt;"",IF(INDEX(LdBNote,$M1676)="","—",INDEX(LdBNote,$M1676)),IF($N1676&lt;&gt;"",IF(INDEX(LdCNote,$N1676)="","—",INDEX(LdCNote,$N1676)),""))))</f>
        <v/>
      </c>
      <c r="L1676">
        <f>IFERROR(MATCH($C$5&amp;"|"&amp;RIGHT("000000"&amp;1660,6),LdAKeyM,0),"")</f>
        <v/>
      </c>
      <c r="M1676">
        <f>IFERROR(MATCH($C$5&amp;"|"&amp;RIGHT("000000"&amp;1660,6),LdBKeyM,0),"")</f>
        <v/>
      </c>
      <c r="N1676">
        <f>IFERROR(MATCH($C$5&amp;"|"&amp;RIGHT("000000"&amp;1660,6),LdCKeyM,0),"")</f>
        <v/>
      </c>
    </row>
    <row r="1677">
      <c r="A1677" s="10" t="n">
        <v>1661</v>
      </c>
      <c r="B1677" s="14">
        <f>IF(AND($L1677="",$M1677="",$N1677=""),"",IF($L1677&lt;&gt;"",INDEX(LdADate,$L1677),IF($M1677&lt;&gt;"",INDEX(LdBDate,$M1677),INDEX(LdCDate,$N1677))))</f>
        <v/>
      </c>
      <c r="C1677" s="14">
        <f>IF($L1677&lt;&gt;"","دستمزد (فردی)",IF($M1677&lt;&gt;"","سهم از گروه "&amp;IFERROR(VLOOKUP(INDEX(LdBGroup,$M1677),WGTbl,2,0),INDEX(LdBGroup,$M1677)),IF($N1677&lt;&gt;"",IF(N(INDEX(LdCDep,$N1677))&gt;0,"بازگشت بانکی","پرداخت بانکی"),"")))</f>
        <v/>
      </c>
      <c r="D1677" s="14">
        <f>IF($L1677&lt;&gt;"",IF(INDEX(LdAId,$L1677)="","—",INDEX(LdAId,$L1677)),IF($M1677&lt;&gt;"",IF(INDEX(LdBId,$M1677)="","—",INDEX(LdBId,$M1677)),IF($N1677&lt;&gt;"",IF(INDEX(LdCBank,$N1677)="","—",INDEX(LdCBank,$N1677)),"")))</f>
        <v/>
      </c>
      <c r="E1677" s="16">
        <f>IF($L1677&lt;&gt;"",IF(INDEX(LdAAmt,$L1677)=0,"",INDEX(LdAAmt,$L1677)),IF($M1677&lt;&gt;"",IF(INDEX(LdBAmt,$M1677)=0,"",INDEX(LdBAmt,$M1677)),IF($N1677&lt;&gt;"",IF(INDEX(LdCDep,$N1677)=0,"",INDEX(LdCDep,$N1677)),"")))</f>
        <v/>
      </c>
      <c r="F1677" s="16">
        <f>IF(AND($L1677="",$M1677="",$N1677=""),"",IF($N1677="","",IF(INDEX(LdCWit,$N1677)=0,"",INDEX(LdCWit,$N1677))))</f>
        <v/>
      </c>
      <c r="G1677" s="29">
        <f>IF($B1677="","",IF($G1676="",0,$G1676)+IF($E1677="",0,$E1677)-IF($F1677="",0,$F1677))</f>
        <v/>
      </c>
      <c r="H1677" s="30">
        <f>IF(AND($L1677="",$M1677="",$N1677=""),"",IF($L1677&lt;&gt;"",IF(INDEX(LdANote,$L1677)="","—",INDEX(LdANote,$L1677)),IF($M1677&lt;&gt;"",IF(INDEX(LdBNote,$M1677)="","—",INDEX(LdBNote,$M1677)),IF($N1677&lt;&gt;"",IF(INDEX(LdCNote,$N1677)="","—",INDEX(LdCNote,$N1677)),""))))</f>
        <v/>
      </c>
      <c r="L1677">
        <f>IFERROR(MATCH($C$5&amp;"|"&amp;RIGHT("000000"&amp;1661,6),LdAKeyM,0),"")</f>
        <v/>
      </c>
      <c r="M1677">
        <f>IFERROR(MATCH($C$5&amp;"|"&amp;RIGHT("000000"&amp;1661,6),LdBKeyM,0),"")</f>
        <v/>
      </c>
      <c r="N1677">
        <f>IFERROR(MATCH($C$5&amp;"|"&amp;RIGHT("000000"&amp;1661,6),LdCKeyM,0),"")</f>
        <v/>
      </c>
    </row>
    <row r="1678">
      <c r="A1678" s="19" t="n">
        <v>1662</v>
      </c>
      <c r="B1678" s="20">
        <f>IF(AND($L1678="",$M1678="",$N1678=""),"",IF($L1678&lt;&gt;"",INDEX(LdADate,$L1678),IF($M1678&lt;&gt;"",INDEX(LdBDate,$M1678),INDEX(LdCDate,$N1678))))</f>
        <v/>
      </c>
      <c r="C1678" s="20">
        <f>IF($L1678&lt;&gt;"","دستمزد (فردی)",IF($M1678&lt;&gt;"","سهم از گروه "&amp;IFERROR(VLOOKUP(INDEX(LdBGroup,$M1678),WGTbl,2,0),INDEX(LdBGroup,$M1678)),IF($N1678&lt;&gt;"",IF(N(INDEX(LdCDep,$N1678))&gt;0,"بازگشت بانکی","پرداخت بانکی"),"")))</f>
        <v/>
      </c>
      <c r="D1678" s="20">
        <f>IF($L1678&lt;&gt;"",IF(INDEX(LdAId,$L1678)="","—",INDEX(LdAId,$L1678)),IF($M1678&lt;&gt;"",IF(INDEX(LdBId,$M1678)="","—",INDEX(LdBId,$M1678)),IF($N1678&lt;&gt;"",IF(INDEX(LdCBank,$N1678)="","—",INDEX(LdCBank,$N1678)),"")))</f>
        <v/>
      </c>
      <c r="E1678" s="21">
        <f>IF($L1678&lt;&gt;"",IF(INDEX(LdAAmt,$L1678)=0,"",INDEX(LdAAmt,$L1678)),IF($M1678&lt;&gt;"",IF(INDEX(LdBAmt,$M1678)=0,"",INDEX(LdBAmt,$M1678)),IF($N1678&lt;&gt;"",IF(INDEX(LdCDep,$N1678)=0,"",INDEX(LdCDep,$N1678)),"")))</f>
        <v/>
      </c>
      <c r="F1678" s="21">
        <f>IF(AND($L1678="",$M1678="",$N1678=""),"",IF($N1678="","",IF(INDEX(LdCWit,$N1678)=0,"",INDEX(LdCWit,$N1678))))</f>
        <v/>
      </c>
      <c r="G1678" s="31">
        <f>IF($B1678="","",IF($G1677="",0,$G1677)+IF($E1678="",0,$E1678)-IF($F1678="",0,$F1678))</f>
        <v/>
      </c>
      <c r="H1678" s="32">
        <f>IF(AND($L1678="",$M1678="",$N1678=""),"",IF($L1678&lt;&gt;"",IF(INDEX(LdANote,$L1678)="","—",INDEX(LdANote,$L1678)),IF($M1678&lt;&gt;"",IF(INDEX(LdBNote,$M1678)="","—",INDEX(LdBNote,$M1678)),IF($N1678&lt;&gt;"",IF(INDEX(LdCNote,$N1678)="","—",INDEX(LdCNote,$N1678)),""))))</f>
        <v/>
      </c>
      <c r="L1678">
        <f>IFERROR(MATCH($C$5&amp;"|"&amp;RIGHT("000000"&amp;1662,6),LdAKeyM,0),"")</f>
        <v/>
      </c>
      <c r="M1678">
        <f>IFERROR(MATCH($C$5&amp;"|"&amp;RIGHT("000000"&amp;1662,6),LdBKeyM,0),"")</f>
        <v/>
      </c>
      <c r="N1678">
        <f>IFERROR(MATCH($C$5&amp;"|"&amp;RIGHT("000000"&amp;1662,6),LdCKeyM,0),"")</f>
        <v/>
      </c>
    </row>
    <row r="1679">
      <c r="A1679" s="10" t="n">
        <v>1663</v>
      </c>
      <c r="B1679" s="14">
        <f>IF(AND($L1679="",$M1679="",$N1679=""),"",IF($L1679&lt;&gt;"",INDEX(LdADate,$L1679),IF($M1679&lt;&gt;"",INDEX(LdBDate,$M1679),INDEX(LdCDate,$N1679))))</f>
        <v/>
      </c>
      <c r="C1679" s="14">
        <f>IF($L1679&lt;&gt;"","دستمزد (فردی)",IF($M1679&lt;&gt;"","سهم از گروه "&amp;IFERROR(VLOOKUP(INDEX(LdBGroup,$M1679),WGTbl,2,0),INDEX(LdBGroup,$M1679)),IF($N1679&lt;&gt;"",IF(N(INDEX(LdCDep,$N1679))&gt;0,"بازگشت بانکی","پرداخت بانکی"),"")))</f>
        <v/>
      </c>
      <c r="D1679" s="14">
        <f>IF($L1679&lt;&gt;"",IF(INDEX(LdAId,$L1679)="","—",INDEX(LdAId,$L1679)),IF($M1679&lt;&gt;"",IF(INDEX(LdBId,$M1679)="","—",INDEX(LdBId,$M1679)),IF($N1679&lt;&gt;"",IF(INDEX(LdCBank,$N1679)="","—",INDEX(LdCBank,$N1679)),"")))</f>
        <v/>
      </c>
      <c r="E1679" s="16">
        <f>IF($L1679&lt;&gt;"",IF(INDEX(LdAAmt,$L1679)=0,"",INDEX(LdAAmt,$L1679)),IF($M1679&lt;&gt;"",IF(INDEX(LdBAmt,$M1679)=0,"",INDEX(LdBAmt,$M1679)),IF($N1679&lt;&gt;"",IF(INDEX(LdCDep,$N1679)=0,"",INDEX(LdCDep,$N1679)),"")))</f>
        <v/>
      </c>
      <c r="F1679" s="16">
        <f>IF(AND($L1679="",$M1679="",$N1679=""),"",IF($N1679="","",IF(INDEX(LdCWit,$N1679)=0,"",INDEX(LdCWit,$N1679))))</f>
        <v/>
      </c>
      <c r="G1679" s="29">
        <f>IF($B1679="","",IF($G1678="",0,$G1678)+IF($E1679="",0,$E1679)-IF($F1679="",0,$F1679))</f>
        <v/>
      </c>
      <c r="H1679" s="30">
        <f>IF(AND($L1679="",$M1679="",$N1679=""),"",IF($L1679&lt;&gt;"",IF(INDEX(LdANote,$L1679)="","—",INDEX(LdANote,$L1679)),IF($M1679&lt;&gt;"",IF(INDEX(LdBNote,$M1679)="","—",INDEX(LdBNote,$M1679)),IF($N1679&lt;&gt;"",IF(INDEX(LdCNote,$N1679)="","—",INDEX(LdCNote,$N1679)),""))))</f>
        <v/>
      </c>
      <c r="L1679">
        <f>IFERROR(MATCH($C$5&amp;"|"&amp;RIGHT("000000"&amp;1663,6),LdAKeyM,0),"")</f>
        <v/>
      </c>
      <c r="M1679">
        <f>IFERROR(MATCH($C$5&amp;"|"&amp;RIGHT("000000"&amp;1663,6),LdBKeyM,0),"")</f>
        <v/>
      </c>
      <c r="N1679">
        <f>IFERROR(MATCH($C$5&amp;"|"&amp;RIGHT("000000"&amp;1663,6),LdCKeyM,0),"")</f>
        <v/>
      </c>
    </row>
    <row r="1680">
      <c r="A1680" s="19" t="n">
        <v>1664</v>
      </c>
      <c r="B1680" s="20">
        <f>IF(AND($L1680="",$M1680="",$N1680=""),"",IF($L1680&lt;&gt;"",INDEX(LdADate,$L1680),IF($M1680&lt;&gt;"",INDEX(LdBDate,$M1680),INDEX(LdCDate,$N1680))))</f>
        <v/>
      </c>
      <c r="C1680" s="20">
        <f>IF($L1680&lt;&gt;"","دستمزد (فردی)",IF($M1680&lt;&gt;"","سهم از گروه "&amp;IFERROR(VLOOKUP(INDEX(LdBGroup,$M1680),WGTbl,2,0),INDEX(LdBGroup,$M1680)),IF($N1680&lt;&gt;"",IF(N(INDEX(LdCDep,$N1680))&gt;0,"بازگشت بانکی","پرداخت بانکی"),"")))</f>
        <v/>
      </c>
      <c r="D1680" s="20">
        <f>IF($L1680&lt;&gt;"",IF(INDEX(LdAId,$L1680)="","—",INDEX(LdAId,$L1680)),IF($M1680&lt;&gt;"",IF(INDEX(LdBId,$M1680)="","—",INDEX(LdBId,$M1680)),IF($N1680&lt;&gt;"",IF(INDEX(LdCBank,$N1680)="","—",INDEX(LdCBank,$N1680)),"")))</f>
        <v/>
      </c>
      <c r="E1680" s="21">
        <f>IF($L1680&lt;&gt;"",IF(INDEX(LdAAmt,$L1680)=0,"",INDEX(LdAAmt,$L1680)),IF($M1680&lt;&gt;"",IF(INDEX(LdBAmt,$M1680)=0,"",INDEX(LdBAmt,$M1680)),IF($N1680&lt;&gt;"",IF(INDEX(LdCDep,$N1680)=0,"",INDEX(LdCDep,$N1680)),"")))</f>
        <v/>
      </c>
      <c r="F1680" s="21">
        <f>IF(AND($L1680="",$M1680="",$N1680=""),"",IF($N1680="","",IF(INDEX(LdCWit,$N1680)=0,"",INDEX(LdCWit,$N1680))))</f>
        <v/>
      </c>
      <c r="G1680" s="31">
        <f>IF($B1680="","",IF($G1679="",0,$G1679)+IF($E1680="",0,$E1680)-IF($F1680="",0,$F1680))</f>
        <v/>
      </c>
      <c r="H1680" s="32">
        <f>IF(AND($L1680="",$M1680="",$N1680=""),"",IF($L1680&lt;&gt;"",IF(INDEX(LdANote,$L1680)="","—",INDEX(LdANote,$L1680)),IF($M1680&lt;&gt;"",IF(INDEX(LdBNote,$M1680)="","—",INDEX(LdBNote,$M1680)),IF($N1680&lt;&gt;"",IF(INDEX(LdCNote,$N1680)="","—",INDEX(LdCNote,$N1680)),""))))</f>
        <v/>
      </c>
      <c r="L1680">
        <f>IFERROR(MATCH($C$5&amp;"|"&amp;RIGHT("000000"&amp;1664,6),LdAKeyM,0),"")</f>
        <v/>
      </c>
      <c r="M1680">
        <f>IFERROR(MATCH($C$5&amp;"|"&amp;RIGHT("000000"&amp;1664,6),LdBKeyM,0),"")</f>
        <v/>
      </c>
      <c r="N1680">
        <f>IFERROR(MATCH($C$5&amp;"|"&amp;RIGHT("000000"&amp;1664,6),LdCKeyM,0),"")</f>
        <v/>
      </c>
    </row>
    <row r="1681">
      <c r="A1681" s="10" t="n">
        <v>1665</v>
      </c>
      <c r="B1681" s="14">
        <f>IF(AND($L1681="",$M1681="",$N1681=""),"",IF($L1681&lt;&gt;"",INDEX(LdADate,$L1681),IF($M1681&lt;&gt;"",INDEX(LdBDate,$M1681),INDEX(LdCDate,$N1681))))</f>
        <v/>
      </c>
      <c r="C1681" s="14">
        <f>IF($L1681&lt;&gt;"","دستمزد (فردی)",IF($M1681&lt;&gt;"","سهم از گروه "&amp;IFERROR(VLOOKUP(INDEX(LdBGroup,$M1681),WGTbl,2,0),INDEX(LdBGroup,$M1681)),IF($N1681&lt;&gt;"",IF(N(INDEX(LdCDep,$N1681))&gt;0,"بازگشت بانکی","پرداخت بانکی"),"")))</f>
        <v/>
      </c>
      <c r="D1681" s="14">
        <f>IF($L1681&lt;&gt;"",IF(INDEX(LdAId,$L1681)="","—",INDEX(LdAId,$L1681)),IF($M1681&lt;&gt;"",IF(INDEX(LdBId,$M1681)="","—",INDEX(LdBId,$M1681)),IF($N1681&lt;&gt;"",IF(INDEX(LdCBank,$N1681)="","—",INDEX(LdCBank,$N1681)),"")))</f>
        <v/>
      </c>
      <c r="E1681" s="16">
        <f>IF($L1681&lt;&gt;"",IF(INDEX(LdAAmt,$L1681)=0,"",INDEX(LdAAmt,$L1681)),IF($M1681&lt;&gt;"",IF(INDEX(LdBAmt,$M1681)=0,"",INDEX(LdBAmt,$M1681)),IF($N1681&lt;&gt;"",IF(INDEX(LdCDep,$N1681)=0,"",INDEX(LdCDep,$N1681)),"")))</f>
        <v/>
      </c>
      <c r="F1681" s="16">
        <f>IF(AND($L1681="",$M1681="",$N1681=""),"",IF($N1681="","",IF(INDEX(LdCWit,$N1681)=0,"",INDEX(LdCWit,$N1681))))</f>
        <v/>
      </c>
      <c r="G1681" s="29">
        <f>IF($B1681="","",IF($G1680="",0,$G1680)+IF($E1681="",0,$E1681)-IF($F1681="",0,$F1681))</f>
        <v/>
      </c>
      <c r="H1681" s="30">
        <f>IF(AND($L1681="",$M1681="",$N1681=""),"",IF($L1681&lt;&gt;"",IF(INDEX(LdANote,$L1681)="","—",INDEX(LdANote,$L1681)),IF($M1681&lt;&gt;"",IF(INDEX(LdBNote,$M1681)="","—",INDEX(LdBNote,$M1681)),IF($N1681&lt;&gt;"",IF(INDEX(LdCNote,$N1681)="","—",INDEX(LdCNote,$N1681)),""))))</f>
        <v/>
      </c>
      <c r="L1681">
        <f>IFERROR(MATCH($C$5&amp;"|"&amp;RIGHT("000000"&amp;1665,6),LdAKeyM,0),"")</f>
        <v/>
      </c>
      <c r="M1681">
        <f>IFERROR(MATCH($C$5&amp;"|"&amp;RIGHT("000000"&amp;1665,6),LdBKeyM,0),"")</f>
        <v/>
      </c>
      <c r="N1681">
        <f>IFERROR(MATCH($C$5&amp;"|"&amp;RIGHT("000000"&amp;1665,6),LdCKeyM,0),"")</f>
        <v/>
      </c>
    </row>
    <row r="1682">
      <c r="A1682" s="19" t="n">
        <v>1666</v>
      </c>
      <c r="B1682" s="20">
        <f>IF(AND($L1682="",$M1682="",$N1682=""),"",IF($L1682&lt;&gt;"",INDEX(LdADate,$L1682),IF($M1682&lt;&gt;"",INDEX(LdBDate,$M1682),INDEX(LdCDate,$N1682))))</f>
        <v/>
      </c>
      <c r="C1682" s="20">
        <f>IF($L1682&lt;&gt;"","دستمزد (فردی)",IF($M1682&lt;&gt;"","سهم از گروه "&amp;IFERROR(VLOOKUP(INDEX(LdBGroup,$M1682),WGTbl,2,0),INDEX(LdBGroup,$M1682)),IF($N1682&lt;&gt;"",IF(N(INDEX(LdCDep,$N1682))&gt;0,"بازگشت بانکی","پرداخت بانکی"),"")))</f>
        <v/>
      </c>
      <c r="D1682" s="20">
        <f>IF($L1682&lt;&gt;"",IF(INDEX(LdAId,$L1682)="","—",INDEX(LdAId,$L1682)),IF($M1682&lt;&gt;"",IF(INDEX(LdBId,$M1682)="","—",INDEX(LdBId,$M1682)),IF($N1682&lt;&gt;"",IF(INDEX(LdCBank,$N1682)="","—",INDEX(LdCBank,$N1682)),"")))</f>
        <v/>
      </c>
      <c r="E1682" s="21">
        <f>IF($L1682&lt;&gt;"",IF(INDEX(LdAAmt,$L1682)=0,"",INDEX(LdAAmt,$L1682)),IF($M1682&lt;&gt;"",IF(INDEX(LdBAmt,$M1682)=0,"",INDEX(LdBAmt,$M1682)),IF($N1682&lt;&gt;"",IF(INDEX(LdCDep,$N1682)=0,"",INDEX(LdCDep,$N1682)),"")))</f>
        <v/>
      </c>
      <c r="F1682" s="21">
        <f>IF(AND($L1682="",$M1682="",$N1682=""),"",IF($N1682="","",IF(INDEX(LdCWit,$N1682)=0,"",INDEX(LdCWit,$N1682))))</f>
        <v/>
      </c>
      <c r="G1682" s="31">
        <f>IF($B1682="","",IF($G1681="",0,$G1681)+IF($E1682="",0,$E1682)-IF($F1682="",0,$F1682))</f>
        <v/>
      </c>
      <c r="H1682" s="32">
        <f>IF(AND($L1682="",$M1682="",$N1682=""),"",IF($L1682&lt;&gt;"",IF(INDEX(LdANote,$L1682)="","—",INDEX(LdANote,$L1682)),IF($M1682&lt;&gt;"",IF(INDEX(LdBNote,$M1682)="","—",INDEX(LdBNote,$M1682)),IF($N1682&lt;&gt;"",IF(INDEX(LdCNote,$N1682)="","—",INDEX(LdCNote,$N1682)),""))))</f>
        <v/>
      </c>
      <c r="L1682">
        <f>IFERROR(MATCH($C$5&amp;"|"&amp;RIGHT("000000"&amp;1666,6),LdAKeyM,0),"")</f>
        <v/>
      </c>
      <c r="M1682">
        <f>IFERROR(MATCH($C$5&amp;"|"&amp;RIGHT("000000"&amp;1666,6),LdBKeyM,0),"")</f>
        <v/>
      </c>
      <c r="N1682">
        <f>IFERROR(MATCH($C$5&amp;"|"&amp;RIGHT("000000"&amp;1666,6),LdCKeyM,0),"")</f>
        <v/>
      </c>
    </row>
    <row r="1683">
      <c r="A1683" s="10" t="n">
        <v>1667</v>
      </c>
      <c r="B1683" s="14">
        <f>IF(AND($L1683="",$M1683="",$N1683=""),"",IF($L1683&lt;&gt;"",INDEX(LdADate,$L1683),IF($M1683&lt;&gt;"",INDEX(LdBDate,$M1683),INDEX(LdCDate,$N1683))))</f>
        <v/>
      </c>
      <c r="C1683" s="14">
        <f>IF($L1683&lt;&gt;"","دستمزد (فردی)",IF($M1683&lt;&gt;"","سهم از گروه "&amp;IFERROR(VLOOKUP(INDEX(LdBGroup,$M1683),WGTbl,2,0),INDEX(LdBGroup,$M1683)),IF($N1683&lt;&gt;"",IF(N(INDEX(LdCDep,$N1683))&gt;0,"بازگشت بانکی","پرداخت بانکی"),"")))</f>
        <v/>
      </c>
      <c r="D1683" s="14">
        <f>IF($L1683&lt;&gt;"",IF(INDEX(LdAId,$L1683)="","—",INDEX(LdAId,$L1683)),IF($M1683&lt;&gt;"",IF(INDEX(LdBId,$M1683)="","—",INDEX(LdBId,$M1683)),IF($N1683&lt;&gt;"",IF(INDEX(LdCBank,$N1683)="","—",INDEX(LdCBank,$N1683)),"")))</f>
        <v/>
      </c>
      <c r="E1683" s="16">
        <f>IF($L1683&lt;&gt;"",IF(INDEX(LdAAmt,$L1683)=0,"",INDEX(LdAAmt,$L1683)),IF($M1683&lt;&gt;"",IF(INDEX(LdBAmt,$M1683)=0,"",INDEX(LdBAmt,$M1683)),IF($N1683&lt;&gt;"",IF(INDEX(LdCDep,$N1683)=0,"",INDEX(LdCDep,$N1683)),"")))</f>
        <v/>
      </c>
      <c r="F1683" s="16">
        <f>IF(AND($L1683="",$M1683="",$N1683=""),"",IF($N1683="","",IF(INDEX(LdCWit,$N1683)=0,"",INDEX(LdCWit,$N1683))))</f>
        <v/>
      </c>
      <c r="G1683" s="29">
        <f>IF($B1683="","",IF($G1682="",0,$G1682)+IF($E1683="",0,$E1683)-IF($F1683="",0,$F1683))</f>
        <v/>
      </c>
      <c r="H1683" s="30">
        <f>IF(AND($L1683="",$M1683="",$N1683=""),"",IF($L1683&lt;&gt;"",IF(INDEX(LdANote,$L1683)="","—",INDEX(LdANote,$L1683)),IF($M1683&lt;&gt;"",IF(INDEX(LdBNote,$M1683)="","—",INDEX(LdBNote,$M1683)),IF($N1683&lt;&gt;"",IF(INDEX(LdCNote,$N1683)="","—",INDEX(LdCNote,$N1683)),""))))</f>
        <v/>
      </c>
      <c r="L1683">
        <f>IFERROR(MATCH($C$5&amp;"|"&amp;RIGHT("000000"&amp;1667,6),LdAKeyM,0),"")</f>
        <v/>
      </c>
      <c r="M1683">
        <f>IFERROR(MATCH($C$5&amp;"|"&amp;RIGHT("000000"&amp;1667,6),LdBKeyM,0),"")</f>
        <v/>
      </c>
      <c r="N1683">
        <f>IFERROR(MATCH($C$5&amp;"|"&amp;RIGHT("000000"&amp;1667,6),LdCKeyM,0),"")</f>
        <v/>
      </c>
    </row>
    <row r="1684">
      <c r="A1684" s="19" t="n">
        <v>1668</v>
      </c>
      <c r="B1684" s="20">
        <f>IF(AND($L1684="",$M1684="",$N1684=""),"",IF($L1684&lt;&gt;"",INDEX(LdADate,$L1684),IF($M1684&lt;&gt;"",INDEX(LdBDate,$M1684),INDEX(LdCDate,$N1684))))</f>
        <v/>
      </c>
      <c r="C1684" s="20">
        <f>IF($L1684&lt;&gt;"","دستمزد (فردی)",IF($M1684&lt;&gt;"","سهم از گروه "&amp;IFERROR(VLOOKUP(INDEX(LdBGroup,$M1684),WGTbl,2,0),INDEX(LdBGroup,$M1684)),IF($N1684&lt;&gt;"",IF(N(INDEX(LdCDep,$N1684))&gt;0,"بازگشت بانکی","پرداخت بانکی"),"")))</f>
        <v/>
      </c>
      <c r="D1684" s="20">
        <f>IF($L1684&lt;&gt;"",IF(INDEX(LdAId,$L1684)="","—",INDEX(LdAId,$L1684)),IF($M1684&lt;&gt;"",IF(INDEX(LdBId,$M1684)="","—",INDEX(LdBId,$M1684)),IF($N1684&lt;&gt;"",IF(INDEX(LdCBank,$N1684)="","—",INDEX(LdCBank,$N1684)),"")))</f>
        <v/>
      </c>
      <c r="E1684" s="21">
        <f>IF($L1684&lt;&gt;"",IF(INDEX(LdAAmt,$L1684)=0,"",INDEX(LdAAmt,$L1684)),IF($M1684&lt;&gt;"",IF(INDEX(LdBAmt,$M1684)=0,"",INDEX(LdBAmt,$M1684)),IF($N1684&lt;&gt;"",IF(INDEX(LdCDep,$N1684)=0,"",INDEX(LdCDep,$N1684)),"")))</f>
        <v/>
      </c>
      <c r="F1684" s="21">
        <f>IF(AND($L1684="",$M1684="",$N1684=""),"",IF($N1684="","",IF(INDEX(LdCWit,$N1684)=0,"",INDEX(LdCWit,$N1684))))</f>
        <v/>
      </c>
      <c r="G1684" s="31">
        <f>IF($B1684="","",IF($G1683="",0,$G1683)+IF($E1684="",0,$E1684)-IF($F1684="",0,$F1684))</f>
        <v/>
      </c>
      <c r="H1684" s="32">
        <f>IF(AND($L1684="",$M1684="",$N1684=""),"",IF($L1684&lt;&gt;"",IF(INDEX(LdANote,$L1684)="","—",INDEX(LdANote,$L1684)),IF($M1684&lt;&gt;"",IF(INDEX(LdBNote,$M1684)="","—",INDEX(LdBNote,$M1684)),IF($N1684&lt;&gt;"",IF(INDEX(LdCNote,$N1684)="","—",INDEX(LdCNote,$N1684)),""))))</f>
        <v/>
      </c>
      <c r="L1684">
        <f>IFERROR(MATCH($C$5&amp;"|"&amp;RIGHT("000000"&amp;1668,6),LdAKeyM,0),"")</f>
        <v/>
      </c>
      <c r="M1684">
        <f>IFERROR(MATCH($C$5&amp;"|"&amp;RIGHT("000000"&amp;1668,6),LdBKeyM,0),"")</f>
        <v/>
      </c>
      <c r="N1684">
        <f>IFERROR(MATCH($C$5&amp;"|"&amp;RIGHT("000000"&amp;1668,6),LdCKeyM,0),"")</f>
        <v/>
      </c>
    </row>
    <row r="1685">
      <c r="A1685" s="10" t="n">
        <v>1669</v>
      </c>
      <c r="B1685" s="14">
        <f>IF(AND($L1685="",$M1685="",$N1685=""),"",IF($L1685&lt;&gt;"",INDEX(LdADate,$L1685),IF($M1685&lt;&gt;"",INDEX(LdBDate,$M1685),INDEX(LdCDate,$N1685))))</f>
        <v/>
      </c>
      <c r="C1685" s="14">
        <f>IF($L1685&lt;&gt;"","دستمزد (فردی)",IF($M1685&lt;&gt;"","سهم از گروه "&amp;IFERROR(VLOOKUP(INDEX(LdBGroup,$M1685),WGTbl,2,0),INDEX(LdBGroup,$M1685)),IF($N1685&lt;&gt;"",IF(N(INDEX(LdCDep,$N1685))&gt;0,"بازگشت بانکی","پرداخت بانکی"),"")))</f>
        <v/>
      </c>
      <c r="D1685" s="14">
        <f>IF($L1685&lt;&gt;"",IF(INDEX(LdAId,$L1685)="","—",INDEX(LdAId,$L1685)),IF($M1685&lt;&gt;"",IF(INDEX(LdBId,$M1685)="","—",INDEX(LdBId,$M1685)),IF($N1685&lt;&gt;"",IF(INDEX(LdCBank,$N1685)="","—",INDEX(LdCBank,$N1685)),"")))</f>
        <v/>
      </c>
      <c r="E1685" s="16">
        <f>IF($L1685&lt;&gt;"",IF(INDEX(LdAAmt,$L1685)=0,"",INDEX(LdAAmt,$L1685)),IF($M1685&lt;&gt;"",IF(INDEX(LdBAmt,$M1685)=0,"",INDEX(LdBAmt,$M1685)),IF($N1685&lt;&gt;"",IF(INDEX(LdCDep,$N1685)=0,"",INDEX(LdCDep,$N1685)),"")))</f>
        <v/>
      </c>
      <c r="F1685" s="16">
        <f>IF(AND($L1685="",$M1685="",$N1685=""),"",IF($N1685="","",IF(INDEX(LdCWit,$N1685)=0,"",INDEX(LdCWit,$N1685))))</f>
        <v/>
      </c>
      <c r="G1685" s="29">
        <f>IF($B1685="","",IF($G1684="",0,$G1684)+IF($E1685="",0,$E1685)-IF($F1685="",0,$F1685))</f>
        <v/>
      </c>
      <c r="H1685" s="30">
        <f>IF(AND($L1685="",$M1685="",$N1685=""),"",IF($L1685&lt;&gt;"",IF(INDEX(LdANote,$L1685)="","—",INDEX(LdANote,$L1685)),IF($M1685&lt;&gt;"",IF(INDEX(LdBNote,$M1685)="","—",INDEX(LdBNote,$M1685)),IF($N1685&lt;&gt;"",IF(INDEX(LdCNote,$N1685)="","—",INDEX(LdCNote,$N1685)),""))))</f>
        <v/>
      </c>
      <c r="L1685">
        <f>IFERROR(MATCH($C$5&amp;"|"&amp;RIGHT("000000"&amp;1669,6),LdAKeyM,0),"")</f>
        <v/>
      </c>
      <c r="M1685">
        <f>IFERROR(MATCH($C$5&amp;"|"&amp;RIGHT("000000"&amp;1669,6),LdBKeyM,0),"")</f>
        <v/>
      </c>
      <c r="N1685">
        <f>IFERROR(MATCH($C$5&amp;"|"&amp;RIGHT("000000"&amp;1669,6),LdCKeyM,0),"")</f>
        <v/>
      </c>
    </row>
    <row r="1686">
      <c r="A1686" s="19" t="n">
        <v>1670</v>
      </c>
      <c r="B1686" s="20">
        <f>IF(AND($L1686="",$M1686="",$N1686=""),"",IF($L1686&lt;&gt;"",INDEX(LdADate,$L1686),IF($M1686&lt;&gt;"",INDEX(LdBDate,$M1686),INDEX(LdCDate,$N1686))))</f>
        <v/>
      </c>
      <c r="C1686" s="20">
        <f>IF($L1686&lt;&gt;"","دستمزد (فردی)",IF($M1686&lt;&gt;"","سهم از گروه "&amp;IFERROR(VLOOKUP(INDEX(LdBGroup,$M1686),WGTbl,2,0),INDEX(LdBGroup,$M1686)),IF($N1686&lt;&gt;"",IF(N(INDEX(LdCDep,$N1686))&gt;0,"بازگشت بانکی","پرداخت بانکی"),"")))</f>
        <v/>
      </c>
      <c r="D1686" s="20">
        <f>IF($L1686&lt;&gt;"",IF(INDEX(LdAId,$L1686)="","—",INDEX(LdAId,$L1686)),IF($M1686&lt;&gt;"",IF(INDEX(LdBId,$M1686)="","—",INDEX(LdBId,$M1686)),IF($N1686&lt;&gt;"",IF(INDEX(LdCBank,$N1686)="","—",INDEX(LdCBank,$N1686)),"")))</f>
        <v/>
      </c>
      <c r="E1686" s="21">
        <f>IF($L1686&lt;&gt;"",IF(INDEX(LdAAmt,$L1686)=0,"",INDEX(LdAAmt,$L1686)),IF($M1686&lt;&gt;"",IF(INDEX(LdBAmt,$M1686)=0,"",INDEX(LdBAmt,$M1686)),IF($N1686&lt;&gt;"",IF(INDEX(LdCDep,$N1686)=0,"",INDEX(LdCDep,$N1686)),"")))</f>
        <v/>
      </c>
      <c r="F1686" s="21">
        <f>IF(AND($L1686="",$M1686="",$N1686=""),"",IF($N1686="","",IF(INDEX(LdCWit,$N1686)=0,"",INDEX(LdCWit,$N1686))))</f>
        <v/>
      </c>
      <c r="G1686" s="31">
        <f>IF($B1686="","",IF($G1685="",0,$G1685)+IF($E1686="",0,$E1686)-IF($F1686="",0,$F1686))</f>
        <v/>
      </c>
      <c r="H1686" s="32">
        <f>IF(AND($L1686="",$M1686="",$N1686=""),"",IF($L1686&lt;&gt;"",IF(INDEX(LdANote,$L1686)="","—",INDEX(LdANote,$L1686)),IF($M1686&lt;&gt;"",IF(INDEX(LdBNote,$M1686)="","—",INDEX(LdBNote,$M1686)),IF($N1686&lt;&gt;"",IF(INDEX(LdCNote,$N1686)="","—",INDEX(LdCNote,$N1686)),""))))</f>
        <v/>
      </c>
      <c r="L1686">
        <f>IFERROR(MATCH($C$5&amp;"|"&amp;RIGHT("000000"&amp;1670,6),LdAKeyM,0),"")</f>
        <v/>
      </c>
      <c r="M1686">
        <f>IFERROR(MATCH($C$5&amp;"|"&amp;RIGHT("000000"&amp;1670,6),LdBKeyM,0),"")</f>
        <v/>
      </c>
      <c r="N1686">
        <f>IFERROR(MATCH($C$5&amp;"|"&amp;RIGHT("000000"&amp;1670,6),LdCKeyM,0),"")</f>
        <v/>
      </c>
    </row>
    <row r="1687">
      <c r="A1687" s="10" t="n">
        <v>1671</v>
      </c>
      <c r="B1687" s="14">
        <f>IF(AND($L1687="",$M1687="",$N1687=""),"",IF($L1687&lt;&gt;"",INDEX(LdADate,$L1687),IF($M1687&lt;&gt;"",INDEX(LdBDate,$M1687),INDEX(LdCDate,$N1687))))</f>
        <v/>
      </c>
      <c r="C1687" s="14">
        <f>IF($L1687&lt;&gt;"","دستمزد (فردی)",IF($M1687&lt;&gt;"","سهم از گروه "&amp;IFERROR(VLOOKUP(INDEX(LdBGroup,$M1687),WGTbl,2,0),INDEX(LdBGroup,$M1687)),IF($N1687&lt;&gt;"",IF(N(INDEX(LdCDep,$N1687))&gt;0,"بازگشت بانکی","پرداخت بانکی"),"")))</f>
        <v/>
      </c>
      <c r="D1687" s="14">
        <f>IF($L1687&lt;&gt;"",IF(INDEX(LdAId,$L1687)="","—",INDEX(LdAId,$L1687)),IF($M1687&lt;&gt;"",IF(INDEX(LdBId,$M1687)="","—",INDEX(LdBId,$M1687)),IF($N1687&lt;&gt;"",IF(INDEX(LdCBank,$N1687)="","—",INDEX(LdCBank,$N1687)),"")))</f>
        <v/>
      </c>
      <c r="E1687" s="16">
        <f>IF($L1687&lt;&gt;"",IF(INDEX(LdAAmt,$L1687)=0,"",INDEX(LdAAmt,$L1687)),IF($M1687&lt;&gt;"",IF(INDEX(LdBAmt,$M1687)=0,"",INDEX(LdBAmt,$M1687)),IF($N1687&lt;&gt;"",IF(INDEX(LdCDep,$N1687)=0,"",INDEX(LdCDep,$N1687)),"")))</f>
        <v/>
      </c>
      <c r="F1687" s="16">
        <f>IF(AND($L1687="",$M1687="",$N1687=""),"",IF($N1687="","",IF(INDEX(LdCWit,$N1687)=0,"",INDEX(LdCWit,$N1687))))</f>
        <v/>
      </c>
      <c r="G1687" s="29">
        <f>IF($B1687="","",IF($G1686="",0,$G1686)+IF($E1687="",0,$E1687)-IF($F1687="",0,$F1687))</f>
        <v/>
      </c>
      <c r="H1687" s="30">
        <f>IF(AND($L1687="",$M1687="",$N1687=""),"",IF($L1687&lt;&gt;"",IF(INDEX(LdANote,$L1687)="","—",INDEX(LdANote,$L1687)),IF($M1687&lt;&gt;"",IF(INDEX(LdBNote,$M1687)="","—",INDEX(LdBNote,$M1687)),IF($N1687&lt;&gt;"",IF(INDEX(LdCNote,$N1687)="","—",INDEX(LdCNote,$N1687)),""))))</f>
        <v/>
      </c>
      <c r="L1687">
        <f>IFERROR(MATCH($C$5&amp;"|"&amp;RIGHT("000000"&amp;1671,6),LdAKeyM,0),"")</f>
        <v/>
      </c>
      <c r="M1687">
        <f>IFERROR(MATCH($C$5&amp;"|"&amp;RIGHT("000000"&amp;1671,6),LdBKeyM,0),"")</f>
        <v/>
      </c>
      <c r="N1687">
        <f>IFERROR(MATCH($C$5&amp;"|"&amp;RIGHT("000000"&amp;1671,6),LdCKeyM,0),"")</f>
        <v/>
      </c>
    </row>
    <row r="1688">
      <c r="A1688" s="19" t="n">
        <v>1672</v>
      </c>
      <c r="B1688" s="20">
        <f>IF(AND($L1688="",$M1688="",$N1688=""),"",IF($L1688&lt;&gt;"",INDEX(LdADate,$L1688),IF($M1688&lt;&gt;"",INDEX(LdBDate,$M1688),INDEX(LdCDate,$N1688))))</f>
        <v/>
      </c>
      <c r="C1688" s="20">
        <f>IF($L1688&lt;&gt;"","دستمزد (فردی)",IF($M1688&lt;&gt;"","سهم از گروه "&amp;IFERROR(VLOOKUP(INDEX(LdBGroup,$M1688),WGTbl,2,0),INDEX(LdBGroup,$M1688)),IF($N1688&lt;&gt;"",IF(N(INDEX(LdCDep,$N1688))&gt;0,"بازگشت بانکی","پرداخت بانکی"),"")))</f>
        <v/>
      </c>
      <c r="D1688" s="20">
        <f>IF($L1688&lt;&gt;"",IF(INDEX(LdAId,$L1688)="","—",INDEX(LdAId,$L1688)),IF($M1688&lt;&gt;"",IF(INDEX(LdBId,$M1688)="","—",INDEX(LdBId,$M1688)),IF($N1688&lt;&gt;"",IF(INDEX(LdCBank,$N1688)="","—",INDEX(LdCBank,$N1688)),"")))</f>
        <v/>
      </c>
      <c r="E1688" s="21">
        <f>IF($L1688&lt;&gt;"",IF(INDEX(LdAAmt,$L1688)=0,"",INDEX(LdAAmt,$L1688)),IF($M1688&lt;&gt;"",IF(INDEX(LdBAmt,$M1688)=0,"",INDEX(LdBAmt,$M1688)),IF($N1688&lt;&gt;"",IF(INDEX(LdCDep,$N1688)=0,"",INDEX(LdCDep,$N1688)),"")))</f>
        <v/>
      </c>
      <c r="F1688" s="21">
        <f>IF(AND($L1688="",$M1688="",$N1688=""),"",IF($N1688="","",IF(INDEX(LdCWit,$N1688)=0,"",INDEX(LdCWit,$N1688))))</f>
        <v/>
      </c>
      <c r="G1688" s="31">
        <f>IF($B1688="","",IF($G1687="",0,$G1687)+IF($E1688="",0,$E1688)-IF($F1688="",0,$F1688))</f>
        <v/>
      </c>
      <c r="H1688" s="32">
        <f>IF(AND($L1688="",$M1688="",$N1688=""),"",IF($L1688&lt;&gt;"",IF(INDEX(LdANote,$L1688)="","—",INDEX(LdANote,$L1688)),IF($M1688&lt;&gt;"",IF(INDEX(LdBNote,$M1688)="","—",INDEX(LdBNote,$M1688)),IF($N1688&lt;&gt;"",IF(INDEX(LdCNote,$N1688)="","—",INDEX(LdCNote,$N1688)),""))))</f>
        <v/>
      </c>
      <c r="L1688">
        <f>IFERROR(MATCH($C$5&amp;"|"&amp;RIGHT("000000"&amp;1672,6),LdAKeyM,0),"")</f>
        <v/>
      </c>
      <c r="M1688">
        <f>IFERROR(MATCH($C$5&amp;"|"&amp;RIGHT("000000"&amp;1672,6),LdBKeyM,0),"")</f>
        <v/>
      </c>
      <c r="N1688">
        <f>IFERROR(MATCH($C$5&amp;"|"&amp;RIGHT("000000"&amp;1672,6),LdCKeyM,0),"")</f>
        <v/>
      </c>
    </row>
    <row r="1689">
      <c r="A1689" s="10" t="n">
        <v>1673</v>
      </c>
      <c r="B1689" s="14">
        <f>IF(AND($L1689="",$M1689="",$N1689=""),"",IF($L1689&lt;&gt;"",INDEX(LdADate,$L1689),IF($M1689&lt;&gt;"",INDEX(LdBDate,$M1689),INDEX(LdCDate,$N1689))))</f>
        <v/>
      </c>
      <c r="C1689" s="14">
        <f>IF($L1689&lt;&gt;"","دستمزد (فردی)",IF($M1689&lt;&gt;"","سهم از گروه "&amp;IFERROR(VLOOKUP(INDEX(LdBGroup,$M1689),WGTbl,2,0),INDEX(LdBGroup,$M1689)),IF($N1689&lt;&gt;"",IF(N(INDEX(LdCDep,$N1689))&gt;0,"بازگشت بانکی","پرداخت بانکی"),"")))</f>
        <v/>
      </c>
      <c r="D1689" s="14">
        <f>IF($L1689&lt;&gt;"",IF(INDEX(LdAId,$L1689)="","—",INDEX(LdAId,$L1689)),IF($M1689&lt;&gt;"",IF(INDEX(LdBId,$M1689)="","—",INDEX(LdBId,$M1689)),IF($N1689&lt;&gt;"",IF(INDEX(LdCBank,$N1689)="","—",INDEX(LdCBank,$N1689)),"")))</f>
        <v/>
      </c>
      <c r="E1689" s="16">
        <f>IF($L1689&lt;&gt;"",IF(INDEX(LdAAmt,$L1689)=0,"",INDEX(LdAAmt,$L1689)),IF($M1689&lt;&gt;"",IF(INDEX(LdBAmt,$M1689)=0,"",INDEX(LdBAmt,$M1689)),IF($N1689&lt;&gt;"",IF(INDEX(LdCDep,$N1689)=0,"",INDEX(LdCDep,$N1689)),"")))</f>
        <v/>
      </c>
      <c r="F1689" s="16">
        <f>IF(AND($L1689="",$M1689="",$N1689=""),"",IF($N1689="","",IF(INDEX(LdCWit,$N1689)=0,"",INDEX(LdCWit,$N1689))))</f>
        <v/>
      </c>
      <c r="G1689" s="29">
        <f>IF($B1689="","",IF($G1688="",0,$G1688)+IF($E1689="",0,$E1689)-IF($F1689="",0,$F1689))</f>
        <v/>
      </c>
      <c r="H1689" s="30">
        <f>IF(AND($L1689="",$M1689="",$N1689=""),"",IF($L1689&lt;&gt;"",IF(INDEX(LdANote,$L1689)="","—",INDEX(LdANote,$L1689)),IF($M1689&lt;&gt;"",IF(INDEX(LdBNote,$M1689)="","—",INDEX(LdBNote,$M1689)),IF($N1689&lt;&gt;"",IF(INDEX(LdCNote,$N1689)="","—",INDEX(LdCNote,$N1689)),""))))</f>
        <v/>
      </c>
      <c r="L1689">
        <f>IFERROR(MATCH($C$5&amp;"|"&amp;RIGHT("000000"&amp;1673,6),LdAKeyM,0),"")</f>
        <v/>
      </c>
      <c r="M1689">
        <f>IFERROR(MATCH($C$5&amp;"|"&amp;RIGHT("000000"&amp;1673,6),LdBKeyM,0),"")</f>
        <v/>
      </c>
      <c r="N1689">
        <f>IFERROR(MATCH($C$5&amp;"|"&amp;RIGHT("000000"&amp;1673,6),LdCKeyM,0),"")</f>
        <v/>
      </c>
    </row>
    <row r="1690">
      <c r="A1690" s="19" t="n">
        <v>1674</v>
      </c>
      <c r="B1690" s="20">
        <f>IF(AND($L1690="",$M1690="",$N1690=""),"",IF($L1690&lt;&gt;"",INDEX(LdADate,$L1690),IF($M1690&lt;&gt;"",INDEX(LdBDate,$M1690),INDEX(LdCDate,$N1690))))</f>
        <v/>
      </c>
      <c r="C1690" s="20">
        <f>IF($L1690&lt;&gt;"","دستمزد (فردی)",IF($M1690&lt;&gt;"","سهم از گروه "&amp;IFERROR(VLOOKUP(INDEX(LdBGroup,$M1690),WGTbl,2,0),INDEX(LdBGroup,$M1690)),IF($N1690&lt;&gt;"",IF(N(INDEX(LdCDep,$N1690))&gt;0,"بازگشت بانکی","پرداخت بانکی"),"")))</f>
        <v/>
      </c>
      <c r="D1690" s="20">
        <f>IF($L1690&lt;&gt;"",IF(INDEX(LdAId,$L1690)="","—",INDEX(LdAId,$L1690)),IF($M1690&lt;&gt;"",IF(INDEX(LdBId,$M1690)="","—",INDEX(LdBId,$M1690)),IF($N1690&lt;&gt;"",IF(INDEX(LdCBank,$N1690)="","—",INDEX(LdCBank,$N1690)),"")))</f>
        <v/>
      </c>
      <c r="E1690" s="21">
        <f>IF($L1690&lt;&gt;"",IF(INDEX(LdAAmt,$L1690)=0,"",INDEX(LdAAmt,$L1690)),IF($M1690&lt;&gt;"",IF(INDEX(LdBAmt,$M1690)=0,"",INDEX(LdBAmt,$M1690)),IF($N1690&lt;&gt;"",IF(INDEX(LdCDep,$N1690)=0,"",INDEX(LdCDep,$N1690)),"")))</f>
        <v/>
      </c>
      <c r="F1690" s="21">
        <f>IF(AND($L1690="",$M1690="",$N1690=""),"",IF($N1690="","",IF(INDEX(LdCWit,$N1690)=0,"",INDEX(LdCWit,$N1690))))</f>
        <v/>
      </c>
      <c r="G1690" s="31">
        <f>IF($B1690="","",IF($G1689="",0,$G1689)+IF($E1690="",0,$E1690)-IF($F1690="",0,$F1690))</f>
        <v/>
      </c>
      <c r="H1690" s="32">
        <f>IF(AND($L1690="",$M1690="",$N1690=""),"",IF($L1690&lt;&gt;"",IF(INDEX(LdANote,$L1690)="","—",INDEX(LdANote,$L1690)),IF($M1690&lt;&gt;"",IF(INDEX(LdBNote,$M1690)="","—",INDEX(LdBNote,$M1690)),IF($N1690&lt;&gt;"",IF(INDEX(LdCNote,$N1690)="","—",INDEX(LdCNote,$N1690)),""))))</f>
        <v/>
      </c>
      <c r="L1690">
        <f>IFERROR(MATCH($C$5&amp;"|"&amp;RIGHT("000000"&amp;1674,6),LdAKeyM,0),"")</f>
        <v/>
      </c>
      <c r="M1690">
        <f>IFERROR(MATCH($C$5&amp;"|"&amp;RIGHT("000000"&amp;1674,6),LdBKeyM,0),"")</f>
        <v/>
      </c>
      <c r="N1690">
        <f>IFERROR(MATCH($C$5&amp;"|"&amp;RIGHT("000000"&amp;1674,6),LdCKeyM,0),"")</f>
        <v/>
      </c>
    </row>
    <row r="1691">
      <c r="A1691" s="10" t="n">
        <v>1675</v>
      </c>
      <c r="B1691" s="14">
        <f>IF(AND($L1691="",$M1691="",$N1691=""),"",IF($L1691&lt;&gt;"",INDEX(LdADate,$L1691),IF($M1691&lt;&gt;"",INDEX(LdBDate,$M1691),INDEX(LdCDate,$N1691))))</f>
        <v/>
      </c>
      <c r="C1691" s="14">
        <f>IF($L1691&lt;&gt;"","دستمزد (فردی)",IF($M1691&lt;&gt;"","سهم از گروه "&amp;IFERROR(VLOOKUP(INDEX(LdBGroup,$M1691),WGTbl,2,0),INDEX(LdBGroup,$M1691)),IF($N1691&lt;&gt;"",IF(N(INDEX(LdCDep,$N1691))&gt;0,"بازگشت بانکی","پرداخت بانکی"),"")))</f>
        <v/>
      </c>
      <c r="D1691" s="14">
        <f>IF($L1691&lt;&gt;"",IF(INDEX(LdAId,$L1691)="","—",INDEX(LdAId,$L1691)),IF($M1691&lt;&gt;"",IF(INDEX(LdBId,$M1691)="","—",INDEX(LdBId,$M1691)),IF($N1691&lt;&gt;"",IF(INDEX(LdCBank,$N1691)="","—",INDEX(LdCBank,$N1691)),"")))</f>
        <v/>
      </c>
      <c r="E1691" s="16">
        <f>IF($L1691&lt;&gt;"",IF(INDEX(LdAAmt,$L1691)=0,"",INDEX(LdAAmt,$L1691)),IF($M1691&lt;&gt;"",IF(INDEX(LdBAmt,$M1691)=0,"",INDEX(LdBAmt,$M1691)),IF($N1691&lt;&gt;"",IF(INDEX(LdCDep,$N1691)=0,"",INDEX(LdCDep,$N1691)),"")))</f>
        <v/>
      </c>
      <c r="F1691" s="16">
        <f>IF(AND($L1691="",$M1691="",$N1691=""),"",IF($N1691="","",IF(INDEX(LdCWit,$N1691)=0,"",INDEX(LdCWit,$N1691))))</f>
        <v/>
      </c>
      <c r="G1691" s="29">
        <f>IF($B1691="","",IF($G1690="",0,$G1690)+IF($E1691="",0,$E1691)-IF($F1691="",0,$F1691))</f>
        <v/>
      </c>
      <c r="H1691" s="30">
        <f>IF(AND($L1691="",$M1691="",$N1691=""),"",IF($L1691&lt;&gt;"",IF(INDEX(LdANote,$L1691)="","—",INDEX(LdANote,$L1691)),IF($M1691&lt;&gt;"",IF(INDEX(LdBNote,$M1691)="","—",INDEX(LdBNote,$M1691)),IF($N1691&lt;&gt;"",IF(INDEX(LdCNote,$N1691)="","—",INDEX(LdCNote,$N1691)),""))))</f>
        <v/>
      </c>
      <c r="L1691">
        <f>IFERROR(MATCH($C$5&amp;"|"&amp;RIGHT("000000"&amp;1675,6),LdAKeyM,0),"")</f>
        <v/>
      </c>
      <c r="M1691">
        <f>IFERROR(MATCH($C$5&amp;"|"&amp;RIGHT("000000"&amp;1675,6),LdBKeyM,0),"")</f>
        <v/>
      </c>
      <c r="N1691">
        <f>IFERROR(MATCH($C$5&amp;"|"&amp;RIGHT("000000"&amp;1675,6),LdCKeyM,0),"")</f>
        <v/>
      </c>
    </row>
    <row r="1692">
      <c r="A1692" s="19" t="n">
        <v>1676</v>
      </c>
      <c r="B1692" s="20">
        <f>IF(AND($L1692="",$M1692="",$N1692=""),"",IF($L1692&lt;&gt;"",INDEX(LdADate,$L1692),IF($M1692&lt;&gt;"",INDEX(LdBDate,$M1692),INDEX(LdCDate,$N1692))))</f>
        <v/>
      </c>
      <c r="C1692" s="20">
        <f>IF($L1692&lt;&gt;"","دستمزد (فردی)",IF($M1692&lt;&gt;"","سهم از گروه "&amp;IFERROR(VLOOKUP(INDEX(LdBGroup,$M1692),WGTbl,2,0),INDEX(LdBGroup,$M1692)),IF($N1692&lt;&gt;"",IF(N(INDEX(LdCDep,$N1692))&gt;0,"بازگشت بانکی","پرداخت بانکی"),"")))</f>
        <v/>
      </c>
      <c r="D1692" s="20">
        <f>IF($L1692&lt;&gt;"",IF(INDEX(LdAId,$L1692)="","—",INDEX(LdAId,$L1692)),IF($M1692&lt;&gt;"",IF(INDEX(LdBId,$M1692)="","—",INDEX(LdBId,$M1692)),IF($N1692&lt;&gt;"",IF(INDEX(LdCBank,$N1692)="","—",INDEX(LdCBank,$N1692)),"")))</f>
        <v/>
      </c>
      <c r="E1692" s="21">
        <f>IF($L1692&lt;&gt;"",IF(INDEX(LdAAmt,$L1692)=0,"",INDEX(LdAAmt,$L1692)),IF($M1692&lt;&gt;"",IF(INDEX(LdBAmt,$M1692)=0,"",INDEX(LdBAmt,$M1692)),IF($N1692&lt;&gt;"",IF(INDEX(LdCDep,$N1692)=0,"",INDEX(LdCDep,$N1692)),"")))</f>
        <v/>
      </c>
      <c r="F1692" s="21">
        <f>IF(AND($L1692="",$M1692="",$N1692=""),"",IF($N1692="","",IF(INDEX(LdCWit,$N1692)=0,"",INDEX(LdCWit,$N1692))))</f>
        <v/>
      </c>
      <c r="G1692" s="31">
        <f>IF($B1692="","",IF($G1691="",0,$G1691)+IF($E1692="",0,$E1692)-IF($F1692="",0,$F1692))</f>
        <v/>
      </c>
      <c r="H1692" s="32">
        <f>IF(AND($L1692="",$M1692="",$N1692=""),"",IF($L1692&lt;&gt;"",IF(INDEX(LdANote,$L1692)="","—",INDEX(LdANote,$L1692)),IF($M1692&lt;&gt;"",IF(INDEX(LdBNote,$M1692)="","—",INDEX(LdBNote,$M1692)),IF($N1692&lt;&gt;"",IF(INDEX(LdCNote,$N1692)="","—",INDEX(LdCNote,$N1692)),""))))</f>
        <v/>
      </c>
      <c r="L1692">
        <f>IFERROR(MATCH($C$5&amp;"|"&amp;RIGHT("000000"&amp;1676,6),LdAKeyM,0),"")</f>
        <v/>
      </c>
      <c r="M1692">
        <f>IFERROR(MATCH($C$5&amp;"|"&amp;RIGHT("000000"&amp;1676,6),LdBKeyM,0),"")</f>
        <v/>
      </c>
      <c r="N1692">
        <f>IFERROR(MATCH($C$5&amp;"|"&amp;RIGHT("000000"&amp;1676,6),LdCKeyM,0),"")</f>
        <v/>
      </c>
    </row>
    <row r="1693">
      <c r="A1693" s="10" t="n">
        <v>1677</v>
      </c>
      <c r="B1693" s="14">
        <f>IF(AND($L1693="",$M1693="",$N1693=""),"",IF($L1693&lt;&gt;"",INDEX(LdADate,$L1693),IF($M1693&lt;&gt;"",INDEX(LdBDate,$M1693),INDEX(LdCDate,$N1693))))</f>
        <v/>
      </c>
      <c r="C1693" s="14">
        <f>IF($L1693&lt;&gt;"","دستمزد (فردی)",IF($M1693&lt;&gt;"","سهم از گروه "&amp;IFERROR(VLOOKUP(INDEX(LdBGroup,$M1693),WGTbl,2,0),INDEX(LdBGroup,$M1693)),IF($N1693&lt;&gt;"",IF(N(INDEX(LdCDep,$N1693))&gt;0,"بازگشت بانکی","پرداخت بانکی"),"")))</f>
        <v/>
      </c>
      <c r="D1693" s="14">
        <f>IF($L1693&lt;&gt;"",IF(INDEX(LdAId,$L1693)="","—",INDEX(LdAId,$L1693)),IF($M1693&lt;&gt;"",IF(INDEX(LdBId,$M1693)="","—",INDEX(LdBId,$M1693)),IF($N1693&lt;&gt;"",IF(INDEX(LdCBank,$N1693)="","—",INDEX(LdCBank,$N1693)),"")))</f>
        <v/>
      </c>
      <c r="E1693" s="16">
        <f>IF($L1693&lt;&gt;"",IF(INDEX(LdAAmt,$L1693)=0,"",INDEX(LdAAmt,$L1693)),IF($M1693&lt;&gt;"",IF(INDEX(LdBAmt,$M1693)=0,"",INDEX(LdBAmt,$M1693)),IF($N1693&lt;&gt;"",IF(INDEX(LdCDep,$N1693)=0,"",INDEX(LdCDep,$N1693)),"")))</f>
        <v/>
      </c>
      <c r="F1693" s="16">
        <f>IF(AND($L1693="",$M1693="",$N1693=""),"",IF($N1693="","",IF(INDEX(LdCWit,$N1693)=0,"",INDEX(LdCWit,$N1693))))</f>
        <v/>
      </c>
      <c r="G1693" s="29">
        <f>IF($B1693="","",IF($G1692="",0,$G1692)+IF($E1693="",0,$E1693)-IF($F1693="",0,$F1693))</f>
        <v/>
      </c>
      <c r="H1693" s="30">
        <f>IF(AND($L1693="",$M1693="",$N1693=""),"",IF($L1693&lt;&gt;"",IF(INDEX(LdANote,$L1693)="","—",INDEX(LdANote,$L1693)),IF($M1693&lt;&gt;"",IF(INDEX(LdBNote,$M1693)="","—",INDEX(LdBNote,$M1693)),IF($N1693&lt;&gt;"",IF(INDEX(LdCNote,$N1693)="","—",INDEX(LdCNote,$N1693)),""))))</f>
        <v/>
      </c>
      <c r="L1693">
        <f>IFERROR(MATCH($C$5&amp;"|"&amp;RIGHT("000000"&amp;1677,6),LdAKeyM,0),"")</f>
        <v/>
      </c>
      <c r="M1693">
        <f>IFERROR(MATCH($C$5&amp;"|"&amp;RIGHT("000000"&amp;1677,6),LdBKeyM,0),"")</f>
        <v/>
      </c>
      <c r="N1693">
        <f>IFERROR(MATCH($C$5&amp;"|"&amp;RIGHT("000000"&amp;1677,6),LdCKeyM,0),"")</f>
        <v/>
      </c>
    </row>
    <row r="1694">
      <c r="A1694" s="19" t="n">
        <v>1678</v>
      </c>
      <c r="B1694" s="20">
        <f>IF(AND($L1694="",$M1694="",$N1694=""),"",IF($L1694&lt;&gt;"",INDEX(LdADate,$L1694),IF($M1694&lt;&gt;"",INDEX(LdBDate,$M1694),INDEX(LdCDate,$N1694))))</f>
        <v/>
      </c>
      <c r="C1694" s="20">
        <f>IF($L1694&lt;&gt;"","دستمزد (فردی)",IF($M1694&lt;&gt;"","سهم از گروه "&amp;IFERROR(VLOOKUP(INDEX(LdBGroup,$M1694),WGTbl,2,0),INDEX(LdBGroup,$M1694)),IF($N1694&lt;&gt;"",IF(N(INDEX(LdCDep,$N1694))&gt;0,"بازگشت بانکی","پرداخت بانکی"),"")))</f>
        <v/>
      </c>
      <c r="D1694" s="20">
        <f>IF($L1694&lt;&gt;"",IF(INDEX(LdAId,$L1694)="","—",INDEX(LdAId,$L1694)),IF($M1694&lt;&gt;"",IF(INDEX(LdBId,$M1694)="","—",INDEX(LdBId,$M1694)),IF($N1694&lt;&gt;"",IF(INDEX(LdCBank,$N1694)="","—",INDEX(LdCBank,$N1694)),"")))</f>
        <v/>
      </c>
      <c r="E1694" s="21">
        <f>IF($L1694&lt;&gt;"",IF(INDEX(LdAAmt,$L1694)=0,"",INDEX(LdAAmt,$L1694)),IF($M1694&lt;&gt;"",IF(INDEX(LdBAmt,$M1694)=0,"",INDEX(LdBAmt,$M1694)),IF($N1694&lt;&gt;"",IF(INDEX(LdCDep,$N1694)=0,"",INDEX(LdCDep,$N1694)),"")))</f>
        <v/>
      </c>
      <c r="F1694" s="21">
        <f>IF(AND($L1694="",$M1694="",$N1694=""),"",IF($N1694="","",IF(INDEX(LdCWit,$N1694)=0,"",INDEX(LdCWit,$N1694))))</f>
        <v/>
      </c>
      <c r="G1694" s="31">
        <f>IF($B1694="","",IF($G1693="",0,$G1693)+IF($E1694="",0,$E1694)-IF($F1694="",0,$F1694))</f>
        <v/>
      </c>
      <c r="H1694" s="32">
        <f>IF(AND($L1694="",$M1694="",$N1694=""),"",IF($L1694&lt;&gt;"",IF(INDEX(LdANote,$L1694)="","—",INDEX(LdANote,$L1694)),IF($M1694&lt;&gt;"",IF(INDEX(LdBNote,$M1694)="","—",INDEX(LdBNote,$M1694)),IF($N1694&lt;&gt;"",IF(INDEX(LdCNote,$N1694)="","—",INDEX(LdCNote,$N1694)),""))))</f>
        <v/>
      </c>
      <c r="L1694">
        <f>IFERROR(MATCH($C$5&amp;"|"&amp;RIGHT("000000"&amp;1678,6),LdAKeyM,0),"")</f>
        <v/>
      </c>
      <c r="M1694">
        <f>IFERROR(MATCH($C$5&amp;"|"&amp;RIGHT("000000"&amp;1678,6),LdBKeyM,0),"")</f>
        <v/>
      </c>
      <c r="N1694">
        <f>IFERROR(MATCH($C$5&amp;"|"&amp;RIGHT("000000"&amp;1678,6),LdCKeyM,0),"")</f>
        <v/>
      </c>
    </row>
    <row r="1695">
      <c r="A1695" s="10" t="n">
        <v>1679</v>
      </c>
      <c r="B1695" s="14">
        <f>IF(AND($L1695="",$M1695="",$N1695=""),"",IF($L1695&lt;&gt;"",INDEX(LdADate,$L1695),IF($M1695&lt;&gt;"",INDEX(LdBDate,$M1695),INDEX(LdCDate,$N1695))))</f>
        <v/>
      </c>
      <c r="C1695" s="14">
        <f>IF($L1695&lt;&gt;"","دستمزد (فردی)",IF($M1695&lt;&gt;"","سهم از گروه "&amp;IFERROR(VLOOKUP(INDEX(LdBGroup,$M1695),WGTbl,2,0),INDEX(LdBGroup,$M1695)),IF($N1695&lt;&gt;"",IF(N(INDEX(LdCDep,$N1695))&gt;0,"بازگشت بانکی","پرداخت بانکی"),"")))</f>
        <v/>
      </c>
      <c r="D1695" s="14">
        <f>IF($L1695&lt;&gt;"",IF(INDEX(LdAId,$L1695)="","—",INDEX(LdAId,$L1695)),IF($M1695&lt;&gt;"",IF(INDEX(LdBId,$M1695)="","—",INDEX(LdBId,$M1695)),IF($N1695&lt;&gt;"",IF(INDEX(LdCBank,$N1695)="","—",INDEX(LdCBank,$N1695)),"")))</f>
        <v/>
      </c>
      <c r="E1695" s="16">
        <f>IF($L1695&lt;&gt;"",IF(INDEX(LdAAmt,$L1695)=0,"",INDEX(LdAAmt,$L1695)),IF($M1695&lt;&gt;"",IF(INDEX(LdBAmt,$M1695)=0,"",INDEX(LdBAmt,$M1695)),IF($N1695&lt;&gt;"",IF(INDEX(LdCDep,$N1695)=0,"",INDEX(LdCDep,$N1695)),"")))</f>
        <v/>
      </c>
      <c r="F1695" s="16">
        <f>IF(AND($L1695="",$M1695="",$N1695=""),"",IF($N1695="","",IF(INDEX(LdCWit,$N1695)=0,"",INDEX(LdCWit,$N1695))))</f>
        <v/>
      </c>
      <c r="G1695" s="29">
        <f>IF($B1695="","",IF($G1694="",0,$G1694)+IF($E1695="",0,$E1695)-IF($F1695="",0,$F1695))</f>
        <v/>
      </c>
      <c r="H1695" s="30">
        <f>IF(AND($L1695="",$M1695="",$N1695=""),"",IF($L1695&lt;&gt;"",IF(INDEX(LdANote,$L1695)="","—",INDEX(LdANote,$L1695)),IF($M1695&lt;&gt;"",IF(INDEX(LdBNote,$M1695)="","—",INDEX(LdBNote,$M1695)),IF($N1695&lt;&gt;"",IF(INDEX(LdCNote,$N1695)="","—",INDEX(LdCNote,$N1695)),""))))</f>
        <v/>
      </c>
      <c r="L1695">
        <f>IFERROR(MATCH($C$5&amp;"|"&amp;RIGHT("000000"&amp;1679,6),LdAKeyM,0),"")</f>
        <v/>
      </c>
      <c r="M1695">
        <f>IFERROR(MATCH($C$5&amp;"|"&amp;RIGHT("000000"&amp;1679,6),LdBKeyM,0),"")</f>
        <v/>
      </c>
      <c r="N1695">
        <f>IFERROR(MATCH($C$5&amp;"|"&amp;RIGHT("000000"&amp;1679,6),LdCKeyM,0),"")</f>
        <v/>
      </c>
    </row>
    <row r="1696">
      <c r="A1696" s="19" t="n">
        <v>1680</v>
      </c>
      <c r="B1696" s="20">
        <f>IF(AND($L1696="",$M1696="",$N1696=""),"",IF($L1696&lt;&gt;"",INDEX(LdADate,$L1696),IF($M1696&lt;&gt;"",INDEX(LdBDate,$M1696),INDEX(LdCDate,$N1696))))</f>
        <v/>
      </c>
      <c r="C1696" s="20">
        <f>IF($L1696&lt;&gt;"","دستمزد (فردی)",IF($M1696&lt;&gt;"","سهم از گروه "&amp;IFERROR(VLOOKUP(INDEX(LdBGroup,$M1696),WGTbl,2,0),INDEX(LdBGroup,$M1696)),IF($N1696&lt;&gt;"",IF(N(INDEX(LdCDep,$N1696))&gt;0,"بازگشت بانکی","پرداخت بانکی"),"")))</f>
        <v/>
      </c>
      <c r="D1696" s="20">
        <f>IF($L1696&lt;&gt;"",IF(INDEX(LdAId,$L1696)="","—",INDEX(LdAId,$L1696)),IF($M1696&lt;&gt;"",IF(INDEX(LdBId,$M1696)="","—",INDEX(LdBId,$M1696)),IF($N1696&lt;&gt;"",IF(INDEX(LdCBank,$N1696)="","—",INDEX(LdCBank,$N1696)),"")))</f>
        <v/>
      </c>
      <c r="E1696" s="21">
        <f>IF($L1696&lt;&gt;"",IF(INDEX(LdAAmt,$L1696)=0,"",INDEX(LdAAmt,$L1696)),IF($M1696&lt;&gt;"",IF(INDEX(LdBAmt,$M1696)=0,"",INDEX(LdBAmt,$M1696)),IF($N1696&lt;&gt;"",IF(INDEX(LdCDep,$N1696)=0,"",INDEX(LdCDep,$N1696)),"")))</f>
        <v/>
      </c>
      <c r="F1696" s="21">
        <f>IF(AND($L1696="",$M1696="",$N1696=""),"",IF($N1696="","",IF(INDEX(LdCWit,$N1696)=0,"",INDEX(LdCWit,$N1696))))</f>
        <v/>
      </c>
      <c r="G1696" s="31">
        <f>IF($B1696="","",IF($G1695="",0,$G1695)+IF($E1696="",0,$E1696)-IF($F1696="",0,$F1696))</f>
        <v/>
      </c>
      <c r="H1696" s="32">
        <f>IF(AND($L1696="",$M1696="",$N1696=""),"",IF($L1696&lt;&gt;"",IF(INDEX(LdANote,$L1696)="","—",INDEX(LdANote,$L1696)),IF($M1696&lt;&gt;"",IF(INDEX(LdBNote,$M1696)="","—",INDEX(LdBNote,$M1696)),IF($N1696&lt;&gt;"",IF(INDEX(LdCNote,$N1696)="","—",INDEX(LdCNote,$N1696)),""))))</f>
        <v/>
      </c>
      <c r="L1696">
        <f>IFERROR(MATCH($C$5&amp;"|"&amp;RIGHT("000000"&amp;1680,6),LdAKeyM,0),"")</f>
        <v/>
      </c>
      <c r="M1696">
        <f>IFERROR(MATCH($C$5&amp;"|"&amp;RIGHT("000000"&amp;1680,6),LdBKeyM,0),"")</f>
        <v/>
      </c>
      <c r="N1696">
        <f>IFERROR(MATCH($C$5&amp;"|"&amp;RIGHT("000000"&amp;1680,6),LdCKeyM,0),"")</f>
        <v/>
      </c>
    </row>
    <row r="1697">
      <c r="A1697" s="10" t="n">
        <v>1681</v>
      </c>
      <c r="B1697" s="14">
        <f>IF(AND($L1697="",$M1697="",$N1697=""),"",IF($L1697&lt;&gt;"",INDEX(LdADate,$L1697),IF($M1697&lt;&gt;"",INDEX(LdBDate,$M1697),INDEX(LdCDate,$N1697))))</f>
        <v/>
      </c>
      <c r="C1697" s="14">
        <f>IF($L1697&lt;&gt;"","دستمزد (فردی)",IF($M1697&lt;&gt;"","سهم از گروه "&amp;IFERROR(VLOOKUP(INDEX(LdBGroup,$M1697),WGTbl,2,0),INDEX(LdBGroup,$M1697)),IF($N1697&lt;&gt;"",IF(N(INDEX(LdCDep,$N1697))&gt;0,"بازگشت بانکی","پرداخت بانکی"),"")))</f>
        <v/>
      </c>
      <c r="D1697" s="14">
        <f>IF($L1697&lt;&gt;"",IF(INDEX(LdAId,$L1697)="","—",INDEX(LdAId,$L1697)),IF($M1697&lt;&gt;"",IF(INDEX(LdBId,$M1697)="","—",INDEX(LdBId,$M1697)),IF($N1697&lt;&gt;"",IF(INDEX(LdCBank,$N1697)="","—",INDEX(LdCBank,$N1697)),"")))</f>
        <v/>
      </c>
      <c r="E1697" s="16">
        <f>IF($L1697&lt;&gt;"",IF(INDEX(LdAAmt,$L1697)=0,"",INDEX(LdAAmt,$L1697)),IF($M1697&lt;&gt;"",IF(INDEX(LdBAmt,$M1697)=0,"",INDEX(LdBAmt,$M1697)),IF($N1697&lt;&gt;"",IF(INDEX(LdCDep,$N1697)=0,"",INDEX(LdCDep,$N1697)),"")))</f>
        <v/>
      </c>
      <c r="F1697" s="16">
        <f>IF(AND($L1697="",$M1697="",$N1697=""),"",IF($N1697="","",IF(INDEX(LdCWit,$N1697)=0,"",INDEX(LdCWit,$N1697))))</f>
        <v/>
      </c>
      <c r="G1697" s="29">
        <f>IF($B1697="","",IF($G1696="",0,$G1696)+IF($E1697="",0,$E1697)-IF($F1697="",0,$F1697))</f>
        <v/>
      </c>
      <c r="H1697" s="30">
        <f>IF(AND($L1697="",$M1697="",$N1697=""),"",IF($L1697&lt;&gt;"",IF(INDEX(LdANote,$L1697)="","—",INDEX(LdANote,$L1697)),IF($M1697&lt;&gt;"",IF(INDEX(LdBNote,$M1697)="","—",INDEX(LdBNote,$M1697)),IF($N1697&lt;&gt;"",IF(INDEX(LdCNote,$N1697)="","—",INDEX(LdCNote,$N1697)),""))))</f>
        <v/>
      </c>
      <c r="L1697">
        <f>IFERROR(MATCH($C$5&amp;"|"&amp;RIGHT("000000"&amp;1681,6),LdAKeyM,0),"")</f>
        <v/>
      </c>
      <c r="M1697">
        <f>IFERROR(MATCH($C$5&amp;"|"&amp;RIGHT("000000"&amp;1681,6),LdBKeyM,0),"")</f>
        <v/>
      </c>
      <c r="N1697">
        <f>IFERROR(MATCH($C$5&amp;"|"&amp;RIGHT("000000"&amp;1681,6),LdCKeyM,0),"")</f>
        <v/>
      </c>
    </row>
    <row r="1698">
      <c r="A1698" s="19" t="n">
        <v>1682</v>
      </c>
      <c r="B1698" s="20">
        <f>IF(AND($L1698="",$M1698="",$N1698=""),"",IF($L1698&lt;&gt;"",INDEX(LdADate,$L1698),IF($M1698&lt;&gt;"",INDEX(LdBDate,$M1698),INDEX(LdCDate,$N1698))))</f>
        <v/>
      </c>
      <c r="C1698" s="20">
        <f>IF($L1698&lt;&gt;"","دستمزد (فردی)",IF($M1698&lt;&gt;"","سهم از گروه "&amp;IFERROR(VLOOKUP(INDEX(LdBGroup,$M1698),WGTbl,2,0),INDEX(LdBGroup,$M1698)),IF($N1698&lt;&gt;"",IF(N(INDEX(LdCDep,$N1698))&gt;0,"بازگشت بانکی","پرداخت بانکی"),"")))</f>
        <v/>
      </c>
      <c r="D1698" s="20">
        <f>IF($L1698&lt;&gt;"",IF(INDEX(LdAId,$L1698)="","—",INDEX(LdAId,$L1698)),IF($M1698&lt;&gt;"",IF(INDEX(LdBId,$M1698)="","—",INDEX(LdBId,$M1698)),IF($N1698&lt;&gt;"",IF(INDEX(LdCBank,$N1698)="","—",INDEX(LdCBank,$N1698)),"")))</f>
        <v/>
      </c>
      <c r="E1698" s="21">
        <f>IF($L1698&lt;&gt;"",IF(INDEX(LdAAmt,$L1698)=0,"",INDEX(LdAAmt,$L1698)),IF($M1698&lt;&gt;"",IF(INDEX(LdBAmt,$M1698)=0,"",INDEX(LdBAmt,$M1698)),IF($N1698&lt;&gt;"",IF(INDEX(LdCDep,$N1698)=0,"",INDEX(LdCDep,$N1698)),"")))</f>
        <v/>
      </c>
      <c r="F1698" s="21">
        <f>IF(AND($L1698="",$M1698="",$N1698=""),"",IF($N1698="","",IF(INDEX(LdCWit,$N1698)=0,"",INDEX(LdCWit,$N1698))))</f>
        <v/>
      </c>
      <c r="G1698" s="31">
        <f>IF($B1698="","",IF($G1697="",0,$G1697)+IF($E1698="",0,$E1698)-IF($F1698="",0,$F1698))</f>
        <v/>
      </c>
      <c r="H1698" s="32">
        <f>IF(AND($L1698="",$M1698="",$N1698=""),"",IF($L1698&lt;&gt;"",IF(INDEX(LdANote,$L1698)="","—",INDEX(LdANote,$L1698)),IF($M1698&lt;&gt;"",IF(INDEX(LdBNote,$M1698)="","—",INDEX(LdBNote,$M1698)),IF($N1698&lt;&gt;"",IF(INDEX(LdCNote,$N1698)="","—",INDEX(LdCNote,$N1698)),""))))</f>
        <v/>
      </c>
      <c r="L1698">
        <f>IFERROR(MATCH($C$5&amp;"|"&amp;RIGHT("000000"&amp;1682,6),LdAKeyM,0),"")</f>
        <v/>
      </c>
      <c r="M1698">
        <f>IFERROR(MATCH($C$5&amp;"|"&amp;RIGHT("000000"&amp;1682,6),LdBKeyM,0),"")</f>
        <v/>
      </c>
      <c r="N1698">
        <f>IFERROR(MATCH($C$5&amp;"|"&amp;RIGHT("000000"&amp;1682,6),LdCKeyM,0),"")</f>
        <v/>
      </c>
    </row>
    <row r="1699">
      <c r="A1699" s="10" t="n">
        <v>1683</v>
      </c>
      <c r="B1699" s="14">
        <f>IF(AND($L1699="",$M1699="",$N1699=""),"",IF($L1699&lt;&gt;"",INDEX(LdADate,$L1699),IF($M1699&lt;&gt;"",INDEX(LdBDate,$M1699),INDEX(LdCDate,$N1699))))</f>
        <v/>
      </c>
      <c r="C1699" s="14">
        <f>IF($L1699&lt;&gt;"","دستمزد (فردی)",IF($M1699&lt;&gt;"","سهم از گروه "&amp;IFERROR(VLOOKUP(INDEX(LdBGroup,$M1699),WGTbl,2,0),INDEX(LdBGroup,$M1699)),IF($N1699&lt;&gt;"",IF(N(INDEX(LdCDep,$N1699))&gt;0,"بازگشت بانکی","پرداخت بانکی"),"")))</f>
        <v/>
      </c>
      <c r="D1699" s="14">
        <f>IF($L1699&lt;&gt;"",IF(INDEX(LdAId,$L1699)="","—",INDEX(LdAId,$L1699)),IF($M1699&lt;&gt;"",IF(INDEX(LdBId,$M1699)="","—",INDEX(LdBId,$M1699)),IF($N1699&lt;&gt;"",IF(INDEX(LdCBank,$N1699)="","—",INDEX(LdCBank,$N1699)),"")))</f>
        <v/>
      </c>
      <c r="E1699" s="16">
        <f>IF($L1699&lt;&gt;"",IF(INDEX(LdAAmt,$L1699)=0,"",INDEX(LdAAmt,$L1699)),IF($M1699&lt;&gt;"",IF(INDEX(LdBAmt,$M1699)=0,"",INDEX(LdBAmt,$M1699)),IF($N1699&lt;&gt;"",IF(INDEX(LdCDep,$N1699)=0,"",INDEX(LdCDep,$N1699)),"")))</f>
        <v/>
      </c>
      <c r="F1699" s="16">
        <f>IF(AND($L1699="",$M1699="",$N1699=""),"",IF($N1699="","",IF(INDEX(LdCWit,$N1699)=0,"",INDEX(LdCWit,$N1699))))</f>
        <v/>
      </c>
      <c r="G1699" s="29">
        <f>IF($B1699="","",IF($G1698="",0,$G1698)+IF($E1699="",0,$E1699)-IF($F1699="",0,$F1699))</f>
        <v/>
      </c>
      <c r="H1699" s="30">
        <f>IF(AND($L1699="",$M1699="",$N1699=""),"",IF($L1699&lt;&gt;"",IF(INDEX(LdANote,$L1699)="","—",INDEX(LdANote,$L1699)),IF($M1699&lt;&gt;"",IF(INDEX(LdBNote,$M1699)="","—",INDEX(LdBNote,$M1699)),IF($N1699&lt;&gt;"",IF(INDEX(LdCNote,$N1699)="","—",INDEX(LdCNote,$N1699)),""))))</f>
        <v/>
      </c>
      <c r="L1699">
        <f>IFERROR(MATCH($C$5&amp;"|"&amp;RIGHT("000000"&amp;1683,6),LdAKeyM,0),"")</f>
        <v/>
      </c>
      <c r="M1699">
        <f>IFERROR(MATCH($C$5&amp;"|"&amp;RIGHT("000000"&amp;1683,6),LdBKeyM,0),"")</f>
        <v/>
      </c>
      <c r="N1699">
        <f>IFERROR(MATCH($C$5&amp;"|"&amp;RIGHT("000000"&amp;1683,6),LdCKeyM,0),"")</f>
        <v/>
      </c>
    </row>
    <row r="1700">
      <c r="A1700" s="19" t="n">
        <v>1684</v>
      </c>
      <c r="B1700" s="20">
        <f>IF(AND($L1700="",$M1700="",$N1700=""),"",IF($L1700&lt;&gt;"",INDEX(LdADate,$L1700),IF($M1700&lt;&gt;"",INDEX(LdBDate,$M1700),INDEX(LdCDate,$N1700))))</f>
        <v/>
      </c>
      <c r="C1700" s="20">
        <f>IF($L1700&lt;&gt;"","دستمزد (فردی)",IF($M1700&lt;&gt;"","سهم از گروه "&amp;IFERROR(VLOOKUP(INDEX(LdBGroup,$M1700),WGTbl,2,0),INDEX(LdBGroup,$M1700)),IF($N1700&lt;&gt;"",IF(N(INDEX(LdCDep,$N1700))&gt;0,"بازگشت بانکی","پرداخت بانکی"),"")))</f>
        <v/>
      </c>
      <c r="D1700" s="20">
        <f>IF($L1700&lt;&gt;"",IF(INDEX(LdAId,$L1700)="","—",INDEX(LdAId,$L1700)),IF($M1700&lt;&gt;"",IF(INDEX(LdBId,$M1700)="","—",INDEX(LdBId,$M1700)),IF($N1700&lt;&gt;"",IF(INDEX(LdCBank,$N1700)="","—",INDEX(LdCBank,$N1700)),"")))</f>
        <v/>
      </c>
      <c r="E1700" s="21">
        <f>IF($L1700&lt;&gt;"",IF(INDEX(LdAAmt,$L1700)=0,"",INDEX(LdAAmt,$L1700)),IF($M1700&lt;&gt;"",IF(INDEX(LdBAmt,$M1700)=0,"",INDEX(LdBAmt,$M1700)),IF($N1700&lt;&gt;"",IF(INDEX(LdCDep,$N1700)=0,"",INDEX(LdCDep,$N1700)),"")))</f>
        <v/>
      </c>
      <c r="F1700" s="21">
        <f>IF(AND($L1700="",$M1700="",$N1700=""),"",IF($N1700="","",IF(INDEX(LdCWit,$N1700)=0,"",INDEX(LdCWit,$N1700))))</f>
        <v/>
      </c>
      <c r="G1700" s="31">
        <f>IF($B1700="","",IF($G1699="",0,$G1699)+IF($E1700="",0,$E1700)-IF($F1700="",0,$F1700))</f>
        <v/>
      </c>
      <c r="H1700" s="32">
        <f>IF(AND($L1700="",$M1700="",$N1700=""),"",IF($L1700&lt;&gt;"",IF(INDEX(LdANote,$L1700)="","—",INDEX(LdANote,$L1700)),IF($M1700&lt;&gt;"",IF(INDEX(LdBNote,$M1700)="","—",INDEX(LdBNote,$M1700)),IF($N1700&lt;&gt;"",IF(INDEX(LdCNote,$N1700)="","—",INDEX(LdCNote,$N1700)),""))))</f>
        <v/>
      </c>
      <c r="L1700">
        <f>IFERROR(MATCH($C$5&amp;"|"&amp;RIGHT("000000"&amp;1684,6),LdAKeyM,0),"")</f>
        <v/>
      </c>
      <c r="M1700">
        <f>IFERROR(MATCH($C$5&amp;"|"&amp;RIGHT("000000"&amp;1684,6),LdBKeyM,0),"")</f>
        <v/>
      </c>
      <c r="N1700">
        <f>IFERROR(MATCH($C$5&amp;"|"&amp;RIGHT("000000"&amp;1684,6),LdCKeyM,0),"")</f>
        <v/>
      </c>
    </row>
    <row r="1701">
      <c r="A1701" s="10" t="n">
        <v>1685</v>
      </c>
      <c r="B1701" s="14">
        <f>IF(AND($L1701="",$M1701="",$N1701=""),"",IF($L1701&lt;&gt;"",INDEX(LdADate,$L1701),IF($M1701&lt;&gt;"",INDEX(LdBDate,$M1701),INDEX(LdCDate,$N1701))))</f>
        <v/>
      </c>
      <c r="C1701" s="14">
        <f>IF($L1701&lt;&gt;"","دستمزد (فردی)",IF($M1701&lt;&gt;"","سهم از گروه "&amp;IFERROR(VLOOKUP(INDEX(LdBGroup,$M1701),WGTbl,2,0),INDEX(LdBGroup,$M1701)),IF($N1701&lt;&gt;"",IF(N(INDEX(LdCDep,$N1701))&gt;0,"بازگشت بانکی","پرداخت بانکی"),"")))</f>
        <v/>
      </c>
      <c r="D1701" s="14">
        <f>IF($L1701&lt;&gt;"",IF(INDEX(LdAId,$L1701)="","—",INDEX(LdAId,$L1701)),IF($M1701&lt;&gt;"",IF(INDEX(LdBId,$M1701)="","—",INDEX(LdBId,$M1701)),IF($N1701&lt;&gt;"",IF(INDEX(LdCBank,$N1701)="","—",INDEX(LdCBank,$N1701)),"")))</f>
        <v/>
      </c>
      <c r="E1701" s="16">
        <f>IF($L1701&lt;&gt;"",IF(INDEX(LdAAmt,$L1701)=0,"",INDEX(LdAAmt,$L1701)),IF($M1701&lt;&gt;"",IF(INDEX(LdBAmt,$M1701)=0,"",INDEX(LdBAmt,$M1701)),IF($N1701&lt;&gt;"",IF(INDEX(LdCDep,$N1701)=0,"",INDEX(LdCDep,$N1701)),"")))</f>
        <v/>
      </c>
      <c r="F1701" s="16">
        <f>IF(AND($L1701="",$M1701="",$N1701=""),"",IF($N1701="","",IF(INDEX(LdCWit,$N1701)=0,"",INDEX(LdCWit,$N1701))))</f>
        <v/>
      </c>
      <c r="G1701" s="29">
        <f>IF($B1701="","",IF($G1700="",0,$G1700)+IF($E1701="",0,$E1701)-IF($F1701="",0,$F1701))</f>
        <v/>
      </c>
      <c r="H1701" s="30">
        <f>IF(AND($L1701="",$M1701="",$N1701=""),"",IF($L1701&lt;&gt;"",IF(INDEX(LdANote,$L1701)="","—",INDEX(LdANote,$L1701)),IF($M1701&lt;&gt;"",IF(INDEX(LdBNote,$M1701)="","—",INDEX(LdBNote,$M1701)),IF($N1701&lt;&gt;"",IF(INDEX(LdCNote,$N1701)="","—",INDEX(LdCNote,$N1701)),""))))</f>
        <v/>
      </c>
      <c r="L1701">
        <f>IFERROR(MATCH($C$5&amp;"|"&amp;RIGHT("000000"&amp;1685,6),LdAKeyM,0),"")</f>
        <v/>
      </c>
      <c r="M1701">
        <f>IFERROR(MATCH($C$5&amp;"|"&amp;RIGHT("000000"&amp;1685,6),LdBKeyM,0),"")</f>
        <v/>
      </c>
      <c r="N1701">
        <f>IFERROR(MATCH($C$5&amp;"|"&amp;RIGHT("000000"&amp;1685,6),LdCKeyM,0),"")</f>
        <v/>
      </c>
    </row>
    <row r="1702">
      <c r="A1702" s="19" t="n">
        <v>1686</v>
      </c>
      <c r="B1702" s="20">
        <f>IF(AND($L1702="",$M1702="",$N1702=""),"",IF($L1702&lt;&gt;"",INDEX(LdADate,$L1702),IF($M1702&lt;&gt;"",INDEX(LdBDate,$M1702),INDEX(LdCDate,$N1702))))</f>
        <v/>
      </c>
      <c r="C1702" s="20">
        <f>IF($L1702&lt;&gt;"","دستمزد (فردی)",IF($M1702&lt;&gt;"","سهم از گروه "&amp;IFERROR(VLOOKUP(INDEX(LdBGroup,$M1702),WGTbl,2,0),INDEX(LdBGroup,$M1702)),IF($N1702&lt;&gt;"",IF(N(INDEX(LdCDep,$N1702))&gt;0,"بازگشت بانکی","پرداخت بانکی"),"")))</f>
        <v/>
      </c>
      <c r="D1702" s="20">
        <f>IF($L1702&lt;&gt;"",IF(INDEX(LdAId,$L1702)="","—",INDEX(LdAId,$L1702)),IF($M1702&lt;&gt;"",IF(INDEX(LdBId,$M1702)="","—",INDEX(LdBId,$M1702)),IF($N1702&lt;&gt;"",IF(INDEX(LdCBank,$N1702)="","—",INDEX(LdCBank,$N1702)),"")))</f>
        <v/>
      </c>
      <c r="E1702" s="21">
        <f>IF($L1702&lt;&gt;"",IF(INDEX(LdAAmt,$L1702)=0,"",INDEX(LdAAmt,$L1702)),IF($M1702&lt;&gt;"",IF(INDEX(LdBAmt,$M1702)=0,"",INDEX(LdBAmt,$M1702)),IF($N1702&lt;&gt;"",IF(INDEX(LdCDep,$N1702)=0,"",INDEX(LdCDep,$N1702)),"")))</f>
        <v/>
      </c>
      <c r="F1702" s="21">
        <f>IF(AND($L1702="",$M1702="",$N1702=""),"",IF($N1702="","",IF(INDEX(LdCWit,$N1702)=0,"",INDEX(LdCWit,$N1702))))</f>
        <v/>
      </c>
      <c r="G1702" s="31">
        <f>IF($B1702="","",IF($G1701="",0,$G1701)+IF($E1702="",0,$E1702)-IF($F1702="",0,$F1702))</f>
        <v/>
      </c>
      <c r="H1702" s="32">
        <f>IF(AND($L1702="",$M1702="",$N1702=""),"",IF($L1702&lt;&gt;"",IF(INDEX(LdANote,$L1702)="","—",INDEX(LdANote,$L1702)),IF($M1702&lt;&gt;"",IF(INDEX(LdBNote,$M1702)="","—",INDEX(LdBNote,$M1702)),IF($N1702&lt;&gt;"",IF(INDEX(LdCNote,$N1702)="","—",INDEX(LdCNote,$N1702)),""))))</f>
        <v/>
      </c>
      <c r="L1702">
        <f>IFERROR(MATCH($C$5&amp;"|"&amp;RIGHT("000000"&amp;1686,6),LdAKeyM,0),"")</f>
        <v/>
      </c>
      <c r="M1702">
        <f>IFERROR(MATCH($C$5&amp;"|"&amp;RIGHT("000000"&amp;1686,6),LdBKeyM,0),"")</f>
        <v/>
      </c>
      <c r="N1702">
        <f>IFERROR(MATCH($C$5&amp;"|"&amp;RIGHT("000000"&amp;1686,6),LdCKeyM,0),"")</f>
        <v/>
      </c>
    </row>
    <row r="1703">
      <c r="A1703" s="10" t="n">
        <v>1687</v>
      </c>
      <c r="B1703" s="14">
        <f>IF(AND($L1703="",$M1703="",$N1703=""),"",IF($L1703&lt;&gt;"",INDEX(LdADate,$L1703),IF($M1703&lt;&gt;"",INDEX(LdBDate,$M1703),INDEX(LdCDate,$N1703))))</f>
        <v/>
      </c>
      <c r="C1703" s="14">
        <f>IF($L1703&lt;&gt;"","دستمزد (فردی)",IF($M1703&lt;&gt;"","سهم از گروه "&amp;IFERROR(VLOOKUP(INDEX(LdBGroup,$M1703),WGTbl,2,0),INDEX(LdBGroup,$M1703)),IF($N1703&lt;&gt;"",IF(N(INDEX(LdCDep,$N1703))&gt;0,"بازگشت بانکی","پرداخت بانکی"),"")))</f>
        <v/>
      </c>
      <c r="D1703" s="14">
        <f>IF($L1703&lt;&gt;"",IF(INDEX(LdAId,$L1703)="","—",INDEX(LdAId,$L1703)),IF($M1703&lt;&gt;"",IF(INDEX(LdBId,$M1703)="","—",INDEX(LdBId,$M1703)),IF($N1703&lt;&gt;"",IF(INDEX(LdCBank,$N1703)="","—",INDEX(LdCBank,$N1703)),"")))</f>
        <v/>
      </c>
      <c r="E1703" s="16">
        <f>IF($L1703&lt;&gt;"",IF(INDEX(LdAAmt,$L1703)=0,"",INDEX(LdAAmt,$L1703)),IF($M1703&lt;&gt;"",IF(INDEX(LdBAmt,$M1703)=0,"",INDEX(LdBAmt,$M1703)),IF($N1703&lt;&gt;"",IF(INDEX(LdCDep,$N1703)=0,"",INDEX(LdCDep,$N1703)),"")))</f>
        <v/>
      </c>
      <c r="F1703" s="16">
        <f>IF(AND($L1703="",$M1703="",$N1703=""),"",IF($N1703="","",IF(INDEX(LdCWit,$N1703)=0,"",INDEX(LdCWit,$N1703))))</f>
        <v/>
      </c>
      <c r="G1703" s="29">
        <f>IF($B1703="","",IF($G1702="",0,$G1702)+IF($E1703="",0,$E1703)-IF($F1703="",0,$F1703))</f>
        <v/>
      </c>
      <c r="H1703" s="30">
        <f>IF(AND($L1703="",$M1703="",$N1703=""),"",IF($L1703&lt;&gt;"",IF(INDEX(LdANote,$L1703)="","—",INDEX(LdANote,$L1703)),IF($M1703&lt;&gt;"",IF(INDEX(LdBNote,$M1703)="","—",INDEX(LdBNote,$M1703)),IF($N1703&lt;&gt;"",IF(INDEX(LdCNote,$N1703)="","—",INDEX(LdCNote,$N1703)),""))))</f>
        <v/>
      </c>
      <c r="L1703">
        <f>IFERROR(MATCH($C$5&amp;"|"&amp;RIGHT("000000"&amp;1687,6),LdAKeyM,0),"")</f>
        <v/>
      </c>
      <c r="M1703">
        <f>IFERROR(MATCH($C$5&amp;"|"&amp;RIGHT("000000"&amp;1687,6),LdBKeyM,0),"")</f>
        <v/>
      </c>
      <c r="N1703">
        <f>IFERROR(MATCH($C$5&amp;"|"&amp;RIGHT("000000"&amp;1687,6),LdCKeyM,0),"")</f>
        <v/>
      </c>
    </row>
    <row r="1704">
      <c r="A1704" s="19" t="n">
        <v>1688</v>
      </c>
      <c r="B1704" s="20">
        <f>IF(AND($L1704="",$M1704="",$N1704=""),"",IF($L1704&lt;&gt;"",INDEX(LdADate,$L1704),IF($M1704&lt;&gt;"",INDEX(LdBDate,$M1704),INDEX(LdCDate,$N1704))))</f>
        <v/>
      </c>
      <c r="C1704" s="20">
        <f>IF($L1704&lt;&gt;"","دستمزد (فردی)",IF($M1704&lt;&gt;"","سهم از گروه "&amp;IFERROR(VLOOKUP(INDEX(LdBGroup,$M1704),WGTbl,2,0),INDEX(LdBGroup,$M1704)),IF($N1704&lt;&gt;"",IF(N(INDEX(LdCDep,$N1704))&gt;0,"بازگشت بانکی","پرداخت بانکی"),"")))</f>
        <v/>
      </c>
      <c r="D1704" s="20">
        <f>IF($L1704&lt;&gt;"",IF(INDEX(LdAId,$L1704)="","—",INDEX(LdAId,$L1704)),IF($M1704&lt;&gt;"",IF(INDEX(LdBId,$M1704)="","—",INDEX(LdBId,$M1704)),IF($N1704&lt;&gt;"",IF(INDEX(LdCBank,$N1704)="","—",INDEX(LdCBank,$N1704)),"")))</f>
        <v/>
      </c>
      <c r="E1704" s="21">
        <f>IF($L1704&lt;&gt;"",IF(INDEX(LdAAmt,$L1704)=0,"",INDEX(LdAAmt,$L1704)),IF($M1704&lt;&gt;"",IF(INDEX(LdBAmt,$M1704)=0,"",INDEX(LdBAmt,$M1704)),IF($N1704&lt;&gt;"",IF(INDEX(LdCDep,$N1704)=0,"",INDEX(LdCDep,$N1704)),"")))</f>
        <v/>
      </c>
      <c r="F1704" s="21">
        <f>IF(AND($L1704="",$M1704="",$N1704=""),"",IF($N1704="","",IF(INDEX(LdCWit,$N1704)=0,"",INDEX(LdCWit,$N1704))))</f>
        <v/>
      </c>
      <c r="G1704" s="31">
        <f>IF($B1704="","",IF($G1703="",0,$G1703)+IF($E1704="",0,$E1704)-IF($F1704="",0,$F1704))</f>
        <v/>
      </c>
      <c r="H1704" s="32">
        <f>IF(AND($L1704="",$M1704="",$N1704=""),"",IF($L1704&lt;&gt;"",IF(INDEX(LdANote,$L1704)="","—",INDEX(LdANote,$L1704)),IF($M1704&lt;&gt;"",IF(INDEX(LdBNote,$M1704)="","—",INDEX(LdBNote,$M1704)),IF($N1704&lt;&gt;"",IF(INDEX(LdCNote,$N1704)="","—",INDEX(LdCNote,$N1704)),""))))</f>
        <v/>
      </c>
      <c r="L1704">
        <f>IFERROR(MATCH($C$5&amp;"|"&amp;RIGHT("000000"&amp;1688,6),LdAKeyM,0),"")</f>
        <v/>
      </c>
      <c r="M1704">
        <f>IFERROR(MATCH($C$5&amp;"|"&amp;RIGHT("000000"&amp;1688,6),LdBKeyM,0),"")</f>
        <v/>
      </c>
      <c r="N1704">
        <f>IFERROR(MATCH($C$5&amp;"|"&amp;RIGHT("000000"&amp;1688,6),LdCKeyM,0),"")</f>
        <v/>
      </c>
    </row>
    <row r="1705">
      <c r="A1705" s="10" t="n">
        <v>1689</v>
      </c>
      <c r="B1705" s="14">
        <f>IF(AND($L1705="",$M1705="",$N1705=""),"",IF($L1705&lt;&gt;"",INDEX(LdADate,$L1705),IF($M1705&lt;&gt;"",INDEX(LdBDate,$M1705),INDEX(LdCDate,$N1705))))</f>
        <v/>
      </c>
      <c r="C1705" s="14">
        <f>IF($L1705&lt;&gt;"","دستمزد (فردی)",IF($M1705&lt;&gt;"","سهم از گروه "&amp;IFERROR(VLOOKUP(INDEX(LdBGroup,$M1705),WGTbl,2,0),INDEX(LdBGroup,$M1705)),IF($N1705&lt;&gt;"",IF(N(INDEX(LdCDep,$N1705))&gt;0,"بازگشت بانکی","پرداخت بانکی"),"")))</f>
        <v/>
      </c>
      <c r="D1705" s="14">
        <f>IF($L1705&lt;&gt;"",IF(INDEX(LdAId,$L1705)="","—",INDEX(LdAId,$L1705)),IF($M1705&lt;&gt;"",IF(INDEX(LdBId,$M1705)="","—",INDEX(LdBId,$M1705)),IF($N1705&lt;&gt;"",IF(INDEX(LdCBank,$N1705)="","—",INDEX(LdCBank,$N1705)),"")))</f>
        <v/>
      </c>
      <c r="E1705" s="16">
        <f>IF($L1705&lt;&gt;"",IF(INDEX(LdAAmt,$L1705)=0,"",INDEX(LdAAmt,$L1705)),IF($M1705&lt;&gt;"",IF(INDEX(LdBAmt,$M1705)=0,"",INDEX(LdBAmt,$M1705)),IF($N1705&lt;&gt;"",IF(INDEX(LdCDep,$N1705)=0,"",INDEX(LdCDep,$N1705)),"")))</f>
        <v/>
      </c>
      <c r="F1705" s="16">
        <f>IF(AND($L1705="",$M1705="",$N1705=""),"",IF($N1705="","",IF(INDEX(LdCWit,$N1705)=0,"",INDEX(LdCWit,$N1705))))</f>
        <v/>
      </c>
      <c r="G1705" s="29">
        <f>IF($B1705="","",IF($G1704="",0,$G1704)+IF($E1705="",0,$E1705)-IF($F1705="",0,$F1705))</f>
        <v/>
      </c>
      <c r="H1705" s="30">
        <f>IF(AND($L1705="",$M1705="",$N1705=""),"",IF($L1705&lt;&gt;"",IF(INDEX(LdANote,$L1705)="","—",INDEX(LdANote,$L1705)),IF($M1705&lt;&gt;"",IF(INDEX(LdBNote,$M1705)="","—",INDEX(LdBNote,$M1705)),IF($N1705&lt;&gt;"",IF(INDEX(LdCNote,$N1705)="","—",INDEX(LdCNote,$N1705)),""))))</f>
        <v/>
      </c>
      <c r="L1705">
        <f>IFERROR(MATCH($C$5&amp;"|"&amp;RIGHT("000000"&amp;1689,6),LdAKeyM,0),"")</f>
        <v/>
      </c>
      <c r="M1705">
        <f>IFERROR(MATCH($C$5&amp;"|"&amp;RIGHT("000000"&amp;1689,6),LdBKeyM,0),"")</f>
        <v/>
      </c>
      <c r="N1705">
        <f>IFERROR(MATCH($C$5&amp;"|"&amp;RIGHT("000000"&amp;1689,6),LdCKeyM,0),"")</f>
        <v/>
      </c>
    </row>
    <row r="1706">
      <c r="A1706" s="19" t="n">
        <v>1690</v>
      </c>
      <c r="B1706" s="20">
        <f>IF(AND($L1706="",$M1706="",$N1706=""),"",IF($L1706&lt;&gt;"",INDEX(LdADate,$L1706),IF($M1706&lt;&gt;"",INDEX(LdBDate,$M1706),INDEX(LdCDate,$N1706))))</f>
        <v/>
      </c>
      <c r="C1706" s="20">
        <f>IF($L1706&lt;&gt;"","دستمزد (فردی)",IF($M1706&lt;&gt;"","سهم از گروه "&amp;IFERROR(VLOOKUP(INDEX(LdBGroup,$M1706),WGTbl,2,0),INDEX(LdBGroup,$M1706)),IF($N1706&lt;&gt;"",IF(N(INDEX(LdCDep,$N1706))&gt;0,"بازگشت بانکی","پرداخت بانکی"),"")))</f>
        <v/>
      </c>
      <c r="D1706" s="20">
        <f>IF($L1706&lt;&gt;"",IF(INDEX(LdAId,$L1706)="","—",INDEX(LdAId,$L1706)),IF($M1706&lt;&gt;"",IF(INDEX(LdBId,$M1706)="","—",INDEX(LdBId,$M1706)),IF($N1706&lt;&gt;"",IF(INDEX(LdCBank,$N1706)="","—",INDEX(LdCBank,$N1706)),"")))</f>
        <v/>
      </c>
      <c r="E1706" s="21">
        <f>IF($L1706&lt;&gt;"",IF(INDEX(LdAAmt,$L1706)=0,"",INDEX(LdAAmt,$L1706)),IF($M1706&lt;&gt;"",IF(INDEX(LdBAmt,$M1706)=0,"",INDEX(LdBAmt,$M1706)),IF($N1706&lt;&gt;"",IF(INDEX(LdCDep,$N1706)=0,"",INDEX(LdCDep,$N1706)),"")))</f>
        <v/>
      </c>
      <c r="F1706" s="21">
        <f>IF(AND($L1706="",$M1706="",$N1706=""),"",IF($N1706="","",IF(INDEX(LdCWit,$N1706)=0,"",INDEX(LdCWit,$N1706))))</f>
        <v/>
      </c>
      <c r="G1706" s="31">
        <f>IF($B1706="","",IF($G1705="",0,$G1705)+IF($E1706="",0,$E1706)-IF($F1706="",0,$F1706))</f>
        <v/>
      </c>
      <c r="H1706" s="32">
        <f>IF(AND($L1706="",$M1706="",$N1706=""),"",IF($L1706&lt;&gt;"",IF(INDEX(LdANote,$L1706)="","—",INDEX(LdANote,$L1706)),IF($M1706&lt;&gt;"",IF(INDEX(LdBNote,$M1706)="","—",INDEX(LdBNote,$M1706)),IF($N1706&lt;&gt;"",IF(INDEX(LdCNote,$N1706)="","—",INDEX(LdCNote,$N1706)),""))))</f>
        <v/>
      </c>
      <c r="L1706">
        <f>IFERROR(MATCH($C$5&amp;"|"&amp;RIGHT("000000"&amp;1690,6),LdAKeyM,0),"")</f>
        <v/>
      </c>
      <c r="M1706">
        <f>IFERROR(MATCH($C$5&amp;"|"&amp;RIGHT("000000"&amp;1690,6),LdBKeyM,0),"")</f>
        <v/>
      </c>
      <c r="N1706">
        <f>IFERROR(MATCH($C$5&amp;"|"&amp;RIGHT("000000"&amp;1690,6),LdCKeyM,0),"")</f>
        <v/>
      </c>
    </row>
    <row r="1707">
      <c r="A1707" s="10" t="n">
        <v>1691</v>
      </c>
      <c r="B1707" s="14">
        <f>IF(AND($L1707="",$M1707="",$N1707=""),"",IF($L1707&lt;&gt;"",INDEX(LdADate,$L1707),IF($M1707&lt;&gt;"",INDEX(LdBDate,$M1707),INDEX(LdCDate,$N1707))))</f>
        <v/>
      </c>
      <c r="C1707" s="14">
        <f>IF($L1707&lt;&gt;"","دستمزد (فردی)",IF($M1707&lt;&gt;"","سهم از گروه "&amp;IFERROR(VLOOKUP(INDEX(LdBGroup,$M1707),WGTbl,2,0),INDEX(LdBGroup,$M1707)),IF($N1707&lt;&gt;"",IF(N(INDEX(LdCDep,$N1707))&gt;0,"بازگشت بانکی","پرداخت بانکی"),"")))</f>
        <v/>
      </c>
      <c r="D1707" s="14">
        <f>IF($L1707&lt;&gt;"",IF(INDEX(LdAId,$L1707)="","—",INDEX(LdAId,$L1707)),IF($M1707&lt;&gt;"",IF(INDEX(LdBId,$M1707)="","—",INDEX(LdBId,$M1707)),IF($N1707&lt;&gt;"",IF(INDEX(LdCBank,$N1707)="","—",INDEX(LdCBank,$N1707)),"")))</f>
        <v/>
      </c>
      <c r="E1707" s="16">
        <f>IF($L1707&lt;&gt;"",IF(INDEX(LdAAmt,$L1707)=0,"",INDEX(LdAAmt,$L1707)),IF($M1707&lt;&gt;"",IF(INDEX(LdBAmt,$M1707)=0,"",INDEX(LdBAmt,$M1707)),IF($N1707&lt;&gt;"",IF(INDEX(LdCDep,$N1707)=0,"",INDEX(LdCDep,$N1707)),"")))</f>
        <v/>
      </c>
      <c r="F1707" s="16">
        <f>IF(AND($L1707="",$M1707="",$N1707=""),"",IF($N1707="","",IF(INDEX(LdCWit,$N1707)=0,"",INDEX(LdCWit,$N1707))))</f>
        <v/>
      </c>
      <c r="G1707" s="29">
        <f>IF($B1707="","",IF($G1706="",0,$G1706)+IF($E1707="",0,$E1707)-IF($F1707="",0,$F1707))</f>
        <v/>
      </c>
      <c r="H1707" s="30">
        <f>IF(AND($L1707="",$M1707="",$N1707=""),"",IF($L1707&lt;&gt;"",IF(INDEX(LdANote,$L1707)="","—",INDEX(LdANote,$L1707)),IF($M1707&lt;&gt;"",IF(INDEX(LdBNote,$M1707)="","—",INDEX(LdBNote,$M1707)),IF($N1707&lt;&gt;"",IF(INDEX(LdCNote,$N1707)="","—",INDEX(LdCNote,$N1707)),""))))</f>
        <v/>
      </c>
      <c r="L1707">
        <f>IFERROR(MATCH($C$5&amp;"|"&amp;RIGHT("000000"&amp;1691,6),LdAKeyM,0),"")</f>
        <v/>
      </c>
      <c r="M1707">
        <f>IFERROR(MATCH($C$5&amp;"|"&amp;RIGHT("000000"&amp;1691,6),LdBKeyM,0),"")</f>
        <v/>
      </c>
      <c r="N1707">
        <f>IFERROR(MATCH($C$5&amp;"|"&amp;RIGHT("000000"&amp;1691,6),LdCKeyM,0),"")</f>
        <v/>
      </c>
    </row>
    <row r="1708">
      <c r="A1708" s="19" t="n">
        <v>1692</v>
      </c>
      <c r="B1708" s="20">
        <f>IF(AND($L1708="",$M1708="",$N1708=""),"",IF($L1708&lt;&gt;"",INDEX(LdADate,$L1708),IF($M1708&lt;&gt;"",INDEX(LdBDate,$M1708),INDEX(LdCDate,$N1708))))</f>
        <v/>
      </c>
      <c r="C1708" s="20">
        <f>IF($L1708&lt;&gt;"","دستمزد (فردی)",IF($M1708&lt;&gt;"","سهم از گروه "&amp;IFERROR(VLOOKUP(INDEX(LdBGroup,$M1708),WGTbl,2,0),INDEX(LdBGroup,$M1708)),IF($N1708&lt;&gt;"",IF(N(INDEX(LdCDep,$N1708))&gt;0,"بازگشت بانکی","پرداخت بانکی"),"")))</f>
        <v/>
      </c>
      <c r="D1708" s="20">
        <f>IF($L1708&lt;&gt;"",IF(INDEX(LdAId,$L1708)="","—",INDEX(LdAId,$L1708)),IF($M1708&lt;&gt;"",IF(INDEX(LdBId,$M1708)="","—",INDEX(LdBId,$M1708)),IF($N1708&lt;&gt;"",IF(INDEX(LdCBank,$N1708)="","—",INDEX(LdCBank,$N1708)),"")))</f>
        <v/>
      </c>
      <c r="E1708" s="21">
        <f>IF($L1708&lt;&gt;"",IF(INDEX(LdAAmt,$L1708)=0,"",INDEX(LdAAmt,$L1708)),IF($M1708&lt;&gt;"",IF(INDEX(LdBAmt,$M1708)=0,"",INDEX(LdBAmt,$M1708)),IF($N1708&lt;&gt;"",IF(INDEX(LdCDep,$N1708)=0,"",INDEX(LdCDep,$N1708)),"")))</f>
        <v/>
      </c>
      <c r="F1708" s="21">
        <f>IF(AND($L1708="",$M1708="",$N1708=""),"",IF($N1708="","",IF(INDEX(LdCWit,$N1708)=0,"",INDEX(LdCWit,$N1708))))</f>
        <v/>
      </c>
      <c r="G1708" s="31">
        <f>IF($B1708="","",IF($G1707="",0,$G1707)+IF($E1708="",0,$E1708)-IF($F1708="",0,$F1708))</f>
        <v/>
      </c>
      <c r="H1708" s="32">
        <f>IF(AND($L1708="",$M1708="",$N1708=""),"",IF($L1708&lt;&gt;"",IF(INDEX(LdANote,$L1708)="","—",INDEX(LdANote,$L1708)),IF($M1708&lt;&gt;"",IF(INDEX(LdBNote,$M1708)="","—",INDEX(LdBNote,$M1708)),IF($N1708&lt;&gt;"",IF(INDEX(LdCNote,$N1708)="","—",INDEX(LdCNote,$N1708)),""))))</f>
        <v/>
      </c>
      <c r="L1708">
        <f>IFERROR(MATCH($C$5&amp;"|"&amp;RIGHT("000000"&amp;1692,6),LdAKeyM,0),"")</f>
        <v/>
      </c>
      <c r="M1708">
        <f>IFERROR(MATCH($C$5&amp;"|"&amp;RIGHT("000000"&amp;1692,6),LdBKeyM,0),"")</f>
        <v/>
      </c>
      <c r="N1708">
        <f>IFERROR(MATCH($C$5&amp;"|"&amp;RIGHT("000000"&amp;1692,6),LdCKeyM,0),"")</f>
        <v/>
      </c>
    </row>
    <row r="1709">
      <c r="A1709" s="10" t="n">
        <v>1693</v>
      </c>
      <c r="B1709" s="14">
        <f>IF(AND($L1709="",$M1709="",$N1709=""),"",IF($L1709&lt;&gt;"",INDEX(LdADate,$L1709),IF($M1709&lt;&gt;"",INDEX(LdBDate,$M1709),INDEX(LdCDate,$N1709))))</f>
        <v/>
      </c>
      <c r="C1709" s="14">
        <f>IF($L1709&lt;&gt;"","دستمزد (فردی)",IF($M1709&lt;&gt;"","سهم از گروه "&amp;IFERROR(VLOOKUP(INDEX(LdBGroup,$M1709),WGTbl,2,0),INDEX(LdBGroup,$M1709)),IF($N1709&lt;&gt;"",IF(N(INDEX(LdCDep,$N1709))&gt;0,"بازگشت بانکی","پرداخت بانکی"),"")))</f>
        <v/>
      </c>
      <c r="D1709" s="14">
        <f>IF($L1709&lt;&gt;"",IF(INDEX(LdAId,$L1709)="","—",INDEX(LdAId,$L1709)),IF($M1709&lt;&gt;"",IF(INDEX(LdBId,$M1709)="","—",INDEX(LdBId,$M1709)),IF($N1709&lt;&gt;"",IF(INDEX(LdCBank,$N1709)="","—",INDEX(LdCBank,$N1709)),"")))</f>
        <v/>
      </c>
      <c r="E1709" s="16">
        <f>IF($L1709&lt;&gt;"",IF(INDEX(LdAAmt,$L1709)=0,"",INDEX(LdAAmt,$L1709)),IF($M1709&lt;&gt;"",IF(INDEX(LdBAmt,$M1709)=0,"",INDEX(LdBAmt,$M1709)),IF($N1709&lt;&gt;"",IF(INDEX(LdCDep,$N1709)=0,"",INDEX(LdCDep,$N1709)),"")))</f>
        <v/>
      </c>
      <c r="F1709" s="16">
        <f>IF(AND($L1709="",$M1709="",$N1709=""),"",IF($N1709="","",IF(INDEX(LdCWit,$N1709)=0,"",INDEX(LdCWit,$N1709))))</f>
        <v/>
      </c>
      <c r="G1709" s="29">
        <f>IF($B1709="","",IF($G1708="",0,$G1708)+IF($E1709="",0,$E1709)-IF($F1709="",0,$F1709))</f>
        <v/>
      </c>
      <c r="H1709" s="30">
        <f>IF(AND($L1709="",$M1709="",$N1709=""),"",IF($L1709&lt;&gt;"",IF(INDEX(LdANote,$L1709)="","—",INDEX(LdANote,$L1709)),IF($M1709&lt;&gt;"",IF(INDEX(LdBNote,$M1709)="","—",INDEX(LdBNote,$M1709)),IF($N1709&lt;&gt;"",IF(INDEX(LdCNote,$N1709)="","—",INDEX(LdCNote,$N1709)),""))))</f>
        <v/>
      </c>
      <c r="L1709">
        <f>IFERROR(MATCH($C$5&amp;"|"&amp;RIGHT("000000"&amp;1693,6),LdAKeyM,0),"")</f>
        <v/>
      </c>
      <c r="M1709">
        <f>IFERROR(MATCH($C$5&amp;"|"&amp;RIGHT("000000"&amp;1693,6),LdBKeyM,0),"")</f>
        <v/>
      </c>
      <c r="N1709">
        <f>IFERROR(MATCH($C$5&amp;"|"&amp;RIGHT("000000"&amp;1693,6),LdCKeyM,0),"")</f>
        <v/>
      </c>
    </row>
    <row r="1710">
      <c r="A1710" s="19" t="n">
        <v>1694</v>
      </c>
      <c r="B1710" s="20">
        <f>IF(AND($L1710="",$M1710="",$N1710=""),"",IF($L1710&lt;&gt;"",INDEX(LdADate,$L1710),IF($M1710&lt;&gt;"",INDEX(LdBDate,$M1710),INDEX(LdCDate,$N1710))))</f>
        <v/>
      </c>
      <c r="C1710" s="20">
        <f>IF($L1710&lt;&gt;"","دستمزد (فردی)",IF($M1710&lt;&gt;"","سهم از گروه "&amp;IFERROR(VLOOKUP(INDEX(LdBGroup,$M1710),WGTbl,2,0),INDEX(LdBGroup,$M1710)),IF($N1710&lt;&gt;"",IF(N(INDEX(LdCDep,$N1710))&gt;0,"بازگشت بانکی","پرداخت بانکی"),"")))</f>
        <v/>
      </c>
      <c r="D1710" s="20">
        <f>IF($L1710&lt;&gt;"",IF(INDEX(LdAId,$L1710)="","—",INDEX(LdAId,$L1710)),IF($M1710&lt;&gt;"",IF(INDEX(LdBId,$M1710)="","—",INDEX(LdBId,$M1710)),IF($N1710&lt;&gt;"",IF(INDEX(LdCBank,$N1710)="","—",INDEX(LdCBank,$N1710)),"")))</f>
        <v/>
      </c>
      <c r="E1710" s="21">
        <f>IF($L1710&lt;&gt;"",IF(INDEX(LdAAmt,$L1710)=0,"",INDEX(LdAAmt,$L1710)),IF($M1710&lt;&gt;"",IF(INDEX(LdBAmt,$M1710)=0,"",INDEX(LdBAmt,$M1710)),IF($N1710&lt;&gt;"",IF(INDEX(LdCDep,$N1710)=0,"",INDEX(LdCDep,$N1710)),"")))</f>
        <v/>
      </c>
      <c r="F1710" s="21">
        <f>IF(AND($L1710="",$M1710="",$N1710=""),"",IF($N1710="","",IF(INDEX(LdCWit,$N1710)=0,"",INDEX(LdCWit,$N1710))))</f>
        <v/>
      </c>
      <c r="G1710" s="31">
        <f>IF($B1710="","",IF($G1709="",0,$G1709)+IF($E1710="",0,$E1710)-IF($F1710="",0,$F1710))</f>
        <v/>
      </c>
      <c r="H1710" s="32">
        <f>IF(AND($L1710="",$M1710="",$N1710=""),"",IF($L1710&lt;&gt;"",IF(INDEX(LdANote,$L1710)="","—",INDEX(LdANote,$L1710)),IF($M1710&lt;&gt;"",IF(INDEX(LdBNote,$M1710)="","—",INDEX(LdBNote,$M1710)),IF($N1710&lt;&gt;"",IF(INDEX(LdCNote,$N1710)="","—",INDEX(LdCNote,$N1710)),""))))</f>
        <v/>
      </c>
      <c r="L1710">
        <f>IFERROR(MATCH($C$5&amp;"|"&amp;RIGHT("000000"&amp;1694,6),LdAKeyM,0),"")</f>
        <v/>
      </c>
      <c r="M1710">
        <f>IFERROR(MATCH($C$5&amp;"|"&amp;RIGHT("000000"&amp;1694,6),LdBKeyM,0),"")</f>
        <v/>
      </c>
      <c r="N1710">
        <f>IFERROR(MATCH($C$5&amp;"|"&amp;RIGHT("000000"&amp;1694,6),LdCKeyM,0),"")</f>
        <v/>
      </c>
    </row>
    <row r="1711">
      <c r="A1711" s="10" t="n">
        <v>1695</v>
      </c>
      <c r="B1711" s="14">
        <f>IF(AND($L1711="",$M1711="",$N1711=""),"",IF($L1711&lt;&gt;"",INDEX(LdADate,$L1711),IF($M1711&lt;&gt;"",INDEX(LdBDate,$M1711),INDEX(LdCDate,$N1711))))</f>
        <v/>
      </c>
      <c r="C1711" s="14">
        <f>IF($L1711&lt;&gt;"","دستمزد (فردی)",IF($M1711&lt;&gt;"","سهم از گروه "&amp;IFERROR(VLOOKUP(INDEX(LdBGroup,$M1711),WGTbl,2,0),INDEX(LdBGroup,$M1711)),IF($N1711&lt;&gt;"",IF(N(INDEX(LdCDep,$N1711))&gt;0,"بازگشت بانکی","پرداخت بانکی"),"")))</f>
        <v/>
      </c>
      <c r="D1711" s="14">
        <f>IF($L1711&lt;&gt;"",IF(INDEX(LdAId,$L1711)="","—",INDEX(LdAId,$L1711)),IF($M1711&lt;&gt;"",IF(INDEX(LdBId,$M1711)="","—",INDEX(LdBId,$M1711)),IF($N1711&lt;&gt;"",IF(INDEX(LdCBank,$N1711)="","—",INDEX(LdCBank,$N1711)),"")))</f>
        <v/>
      </c>
      <c r="E1711" s="16">
        <f>IF($L1711&lt;&gt;"",IF(INDEX(LdAAmt,$L1711)=0,"",INDEX(LdAAmt,$L1711)),IF($M1711&lt;&gt;"",IF(INDEX(LdBAmt,$M1711)=0,"",INDEX(LdBAmt,$M1711)),IF($N1711&lt;&gt;"",IF(INDEX(LdCDep,$N1711)=0,"",INDEX(LdCDep,$N1711)),"")))</f>
        <v/>
      </c>
      <c r="F1711" s="16">
        <f>IF(AND($L1711="",$M1711="",$N1711=""),"",IF($N1711="","",IF(INDEX(LdCWit,$N1711)=0,"",INDEX(LdCWit,$N1711))))</f>
        <v/>
      </c>
      <c r="G1711" s="29">
        <f>IF($B1711="","",IF($G1710="",0,$G1710)+IF($E1711="",0,$E1711)-IF($F1711="",0,$F1711))</f>
        <v/>
      </c>
      <c r="H1711" s="30">
        <f>IF(AND($L1711="",$M1711="",$N1711=""),"",IF($L1711&lt;&gt;"",IF(INDEX(LdANote,$L1711)="","—",INDEX(LdANote,$L1711)),IF($M1711&lt;&gt;"",IF(INDEX(LdBNote,$M1711)="","—",INDEX(LdBNote,$M1711)),IF($N1711&lt;&gt;"",IF(INDEX(LdCNote,$N1711)="","—",INDEX(LdCNote,$N1711)),""))))</f>
        <v/>
      </c>
      <c r="L1711">
        <f>IFERROR(MATCH($C$5&amp;"|"&amp;RIGHT("000000"&amp;1695,6),LdAKeyM,0),"")</f>
        <v/>
      </c>
      <c r="M1711">
        <f>IFERROR(MATCH($C$5&amp;"|"&amp;RIGHT("000000"&amp;1695,6),LdBKeyM,0),"")</f>
        <v/>
      </c>
      <c r="N1711">
        <f>IFERROR(MATCH($C$5&amp;"|"&amp;RIGHT("000000"&amp;1695,6),LdCKeyM,0),"")</f>
        <v/>
      </c>
    </row>
    <row r="1712">
      <c r="A1712" s="19" t="n">
        <v>1696</v>
      </c>
      <c r="B1712" s="20">
        <f>IF(AND($L1712="",$M1712="",$N1712=""),"",IF($L1712&lt;&gt;"",INDEX(LdADate,$L1712),IF($M1712&lt;&gt;"",INDEX(LdBDate,$M1712),INDEX(LdCDate,$N1712))))</f>
        <v/>
      </c>
      <c r="C1712" s="20">
        <f>IF($L1712&lt;&gt;"","دستمزد (فردی)",IF($M1712&lt;&gt;"","سهم از گروه "&amp;IFERROR(VLOOKUP(INDEX(LdBGroup,$M1712),WGTbl,2,0),INDEX(LdBGroup,$M1712)),IF($N1712&lt;&gt;"",IF(N(INDEX(LdCDep,$N1712))&gt;0,"بازگشت بانکی","پرداخت بانکی"),"")))</f>
        <v/>
      </c>
      <c r="D1712" s="20">
        <f>IF($L1712&lt;&gt;"",IF(INDEX(LdAId,$L1712)="","—",INDEX(LdAId,$L1712)),IF($M1712&lt;&gt;"",IF(INDEX(LdBId,$M1712)="","—",INDEX(LdBId,$M1712)),IF($N1712&lt;&gt;"",IF(INDEX(LdCBank,$N1712)="","—",INDEX(LdCBank,$N1712)),"")))</f>
        <v/>
      </c>
      <c r="E1712" s="21">
        <f>IF($L1712&lt;&gt;"",IF(INDEX(LdAAmt,$L1712)=0,"",INDEX(LdAAmt,$L1712)),IF($M1712&lt;&gt;"",IF(INDEX(LdBAmt,$M1712)=0,"",INDEX(LdBAmt,$M1712)),IF($N1712&lt;&gt;"",IF(INDEX(LdCDep,$N1712)=0,"",INDEX(LdCDep,$N1712)),"")))</f>
        <v/>
      </c>
      <c r="F1712" s="21">
        <f>IF(AND($L1712="",$M1712="",$N1712=""),"",IF($N1712="","",IF(INDEX(LdCWit,$N1712)=0,"",INDEX(LdCWit,$N1712))))</f>
        <v/>
      </c>
      <c r="G1712" s="31">
        <f>IF($B1712="","",IF($G1711="",0,$G1711)+IF($E1712="",0,$E1712)-IF($F1712="",0,$F1712))</f>
        <v/>
      </c>
      <c r="H1712" s="32">
        <f>IF(AND($L1712="",$M1712="",$N1712=""),"",IF($L1712&lt;&gt;"",IF(INDEX(LdANote,$L1712)="","—",INDEX(LdANote,$L1712)),IF($M1712&lt;&gt;"",IF(INDEX(LdBNote,$M1712)="","—",INDEX(LdBNote,$M1712)),IF($N1712&lt;&gt;"",IF(INDEX(LdCNote,$N1712)="","—",INDEX(LdCNote,$N1712)),""))))</f>
        <v/>
      </c>
      <c r="L1712">
        <f>IFERROR(MATCH($C$5&amp;"|"&amp;RIGHT("000000"&amp;1696,6),LdAKeyM,0),"")</f>
        <v/>
      </c>
      <c r="M1712">
        <f>IFERROR(MATCH($C$5&amp;"|"&amp;RIGHT("000000"&amp;1696,6),LdBKeyM,0),"")</f>
        <v/>
      </c>
      <c r="N1712">
        <f>IFERROR(MATCH($C$5&amp;"|"&amp;RIGHT("000000"&amp;1696,6),LdCKeyM,0),"")</f>
        <v/>
      </c>
    </row>
    <row r="1713">
      <c r="A1713" s="10" t="n">
        <v>1697</v>
      </c>
      <c r="B1713" s="14">
        <f>IF(AND($L1713="",$M1713="",$N1713=""),"",IF($L1713&lt;&gt;"",INDEX(LdADate,$L1713),IF($M1713&lt;&gt;"",INDEX(LdBDate,$M1713),INDEX(LdCDate,$N1713))))</f>
        <v/>
      </c>
      <c r="C1713" s="14">
        <f>IF($L1713&lt;&gt;"","دستمزد (فردی)",IF($M1713&lt;&gt;"","سهم از گروه "&amp;IFERROR(VLOOKUP(INDEX(LdBGroup,$M1713),WGTbl,2,0),INDEX(LdBGroup,$M1713)),IF($N1713&lt;&gt;"",IF(N(INDEX(LdCDep,$N1713))&gt;0,"بازگشت بانکی","پرداخت بانکی"),"")))</f>
        <v/>
      </c>
      <c r="D1713" s="14">
        <f>IF($L1713&lt;&gt;"",IF(INDEX(LdAId,$L1713)="","—",INDEX(LdAId,$L1713)),IF($M1713&lt;&gt;"",IF(INDEX(LdBId,$M1713)="","—",INDEX(LdBId,$M1713)),IF($N1713&lt;&gt;"",IF(INDEX(LdCBank,$N1713)="","—",INDEX(LdCBank,$N1713)),"")))</f>
        <v/>
      </c>
      <c r="E1713" s="16">
        <f>IF($L1713&lt;&gt;"",IF(INDEX(LdAAmt,$L1713)=0,"",INDEX(LdAAmt,$L1713)),IF($M1713&lt;&gt;"",IF(INDEX(LdBAmt,$M1713)=0,"",INDEX(LdBAmt,$M1713)),IF($N1713&lt;&gt;"",IF(INDEX(LdCDep,$N1713)=0,"",INDEX(LdCDep,$N1713)),"")))</f>
        <v/>
      </c>
      <c r="F1713" s="16">
        <f>IF(AND($L1713="",$M1713="",$N1713=""),"",IF($N1713="","",IF(INDEX(LdCWit,$N1713)=0,"",INDEX(LdCWit,$N1713))))</f>
        <v/>
      </c>
      <c r="G1713" s="29">
        <f>IF($B1713="","",IF($G1712="",0,$G1712)+IF($E1713="",0,$E1713)-IF($F1713="",0,$F1713))</f>
        <v/>
      </c>
      <c r="H1713" s="30">
        <f>IF(AND($L1713="",$M1713="",$N1713=""),"",IF($L1713&lt;&gt;"",IF(INDEX(LdANote,$L1713)="","—",INDEX(LdANote,$L1713)),IF($M1713&lt;&gt;"",IF(INDEX(LdBNote,$M1713)="","—",INDEX(LdBNote,$M1713)),IF($N1713&lt;&gt;"",IF(INDEX(LdCNote,$N1713)="","—",INDEX(LdCNote,$N1713)),""))))</f>
        <v/>
      </c>
      <c r="L1713">
        <f>IFERROR(MATCH($C$5&amp;"|"&amp;RIGHT("000000"&amp;1697,6),LdAKeyM,0),"")</f>
        <v/>
      </c>
      <c r="M1713">
        <f>IFERROR(MATCH($C$5&amp;"|"&amp;RIGHT("000000"&amp;1697,6),LdBKeyM,0),"")</f>
        <v/>
      </c>
      <c r="N1713">
        <f>IFERROR(MATCH($C$5&amp;"|"&amp;RIGHT("000000"&amp;1697,6),LdCKeyM,0),"")</f>
        <v/>
      </c>
    </row>
    <row r="1714">
      <c r="A1714" s="19" t="n">
        <v>1698</v>
      </c>
      <c r="B1714" s="20">
        <f>IF(AND($L1714="",$M1714="",$N1714=""),"",IF($L1714&lt;&gt;"",INDEX(LdADate,$L1714),IF($M1714&lt;&gt;"",INDEX(LdBDate,$M1714),INDEX(LdCDate,$N1714))))</f>
        <v/>
      </c>
      <c r="C1714" s="20">
        <f>IF($L1714&lt;&gt;"","دستمزد (فردی)",IF($M1714&lt;&gt;"","سهم از گروه "&amp;IFERROR(VLOOKUP(INDEX(LdBGroup,$M1714),WGTbl,2,0),INDEX(LdBGroup,$M1714)),IF($N1714&lt;&gt;"",IF(N(INDEX(LdCDep,$N1714))&gt;0,"بازگشت بانکی","پرداخت بانکی"),"")))</f>
        <v/>
      </c>
      <c r="D1714" s="20">
        <f>IF($L1714&lt;&gt;"",IF(INDEX(LdAId,$L1714)="","—",INDEX(LdAId,$L1714)),IF($M1714&lt;&gt;"",IF(INDEX(LdBId,$M1714)="","—",INDEX(LdBId,$M1714)),IF($N1714&lt;&gt;"",IF(INDEX(LdCBank,$N1714)="","—",INDEX(LdCBank,$N1714)),"")))</f>
        <v/>
      </c>
      <c r="E1714" s="21">
        <f>IF($L1714&lt;&gt;"",IF(INDEX(LdAAmt,$L1714)=0,"",INDEX(LdAAmt,$L1714)),IF($M1714&lt;&gt;"",IF(INDEX(LdBAmt,$M1714)=0,"",INDEX(LdBAmt,$M1714)),IF($N1714&lt;&gt;"",IF(INDEX(LdCDep,$N1714)=0,"",INDEX(LdCDep,$N1714)),"")))</f>
        <v/>
      </c>
      <c r="F1714" s="21">
        <f>IF(AND($L1714="",$M1714="",$N1714=""),"",IF($N1714="","",IF(INDEX(LdCWit,$N1714)=0,"",INDEX(LdCWit,$N1714))))</f>
        <v/>
      </c>
      <c r="G1714" s="31">
        <f>IF($B1714="","",IF($G1713="",0,$G1713)+IF($E1714="",0,$E1714)-IF($F1714="",0,$F1714))</f>
        <v/>
      </c>
      <c r="H1714" s="32">
        <f>IF(AND($L1714="",$M1714="",$N1714=""),"",IF($L1714&lt;&gt;"",IF(INDEX(LdANote,$L1714)="","—",INDEX(LdANote,$L1714)),IF($M1714&lt;&gt;"",IF(INDEX(LdBNote,$M1714)="","—",INDEX(LdBNote,$M1714)),IF($N1714&lt;&gt;"",IF(INDEX(LdCNote,$N1714)="","—",INDEX(LdCNote,$N1714)),""))))</f>
        <v/>
      </c>
      <c r="L1714">
        <f>IFERROR(MATCH($C$5&amp;"|"&amp;RIGHT("000000"&amp;1698,6),LdAKeyM,0),"")</f>
        <v/>
      </c>
      <c r="M1714">
        <f>IFERROR(MATCH($C$5&amp;"|"&amp;RIGHT("000000"&amp;1698,6),LdBKeyM,0),"")</f>
        <v/>
      </c>
      <c r="N1714">
        <f>IFERROR(MATCH($C$5&amp;"|"&amp;RIGHT("000000"&amp;1698,6),LdCKeyM,0),"")</f>
        <v/>
      </c>
    </row>
    <row r="1715">
      <c r="A1715" s="10" t="n">
        <v>1699</v>
      </c>
      <c r="B1715" s="14">
        <f>IF(AND($L1715="",$M1715="",$N1715=""),"",IF($L1715&lt;&gt;"",INDEX(LdADate,$L1715),IF($M1715&lt;&gt;"",INDEX(LdBDate,$M1715),INDEX(LdCDate,$N1715))))</f>
        <v/>
      </c>
      <c r="C1715" s="14">
        <f>IF($L1715&lt;&gt;"","دستمزد (فردی)",IF($M1715&lt;&gt;"","سهم از گروه "&amp;IFERROR(VLOOKUP(INDEX(LdBGroup,$M1715),WGTbl,2,0),INDEX(LdBGroup,$M1715)),IF($N1715&lt;&gt;"",IF(N(INDEX(LdCDep,$N1715))&gt;0,"بازگشت بانکی","پرداخت بانکی"),"")))</f>
        <v/>
      </c>
      <c r="D1715" s="14">
        <f>IF($L1715&lt;&gt;"",IF(INDEX(LdAId,$L1715)="","—",INDEX(LdAId,$L1715)),IF($M1715&lt;&gt;"",IF(INDEX(LdBId,$M1715)="","—",INDEX(LdBId,$M1715)),IF($N1715&lt;&gt;"",IF(INDEX(LdCBank,$N1715)="","—",INDEX(LdCBank,$N1715)),"")))</f>
        <v/>
      </c>
      <c r="E1715" s="16">
        <f>IF($L1715&lt;&gt;"",IF(INDEX(LdAAmt,$L1715)=0,"",INDEX(LdAAmt,$L1715)),IF($M1715&lt;&gt;"",IF(INDEX(LdBAmt,$M1715)=0,"",INDEX(LdBAmt,$M1715)),IF($N1715&lt;&gt;"",IF(INDEX(LdCDep,$N1715)=0,"",INDEX(LdCDep,$N1715)),"")))</f>
        <v/>
      </c>
      <c r="F1715" s="16">
        <f>IF(AND($L1715="",$M1715="",$N1715=""),"",IF($N1715="","",IF(INDEX(LdCWit,$N1715)=0,"",INDEX(LdCWit,$N1715))))</f>
        <v/>
      </c>
      <c r="G1715" s="29">
        <f>IF($B1715="","",IF($G1714="",0,$G1714)+IF($E1715="",0,$E1715)-IF($F1715="",0,$F1715))</f>
        <v/>
      </c>
      <c r="H1715" s="30">
        <f>IF(AND($L1715="",$M1715="",$N1715=""),"",IF($L1715&lt;&gt;"",IF(INDEX(LdANote,$L1715)="","—",INDEX(LdANote,$L1715)),IF($M1715&lt;&gt;"",IF(INDEX(LdBNote,$M1715)="","—",INDEX(LdBNote,$M1715)),IF($N1715&lt;&gt;"",IF(INDEX(LdCNote,$N1715)="","—",INDEX(LdCNote,$N1715)),""))))</f>
        <v/>
      </c>
      <c r="L1715">
        <f>IFERROR(MATCH($C$5&amp;"|"&amp;RIGHT("000000"&amp;1699,6),LdAKeyM,0),"")</f>
        <v/>
      </c>
      <c r="M1715">
        <f>IFERROR(MATCH($C$5&amp;"|"&amp;RIGHT("000000"&amp;1699,6),LdBKeyM,0),"")</f>
        <v/>
      </c>
      <c r="N1715">
        <f>IFERROR(MATCH($C$5&amp;"|"&amp;RIGHT("000000"&amp;1699,6),LdCKeyM,0),"")</f>
        <v/>
      </c>
    </row>
    <row r="1716">
      <c r="A1716" s="19" t="n">
        <v>1700</v>
      </c>
      <c r="B1716" s="20">
        <f>IF(AND($L1716="",$M1716="",$N1716=""),"",IF($L1716&lt;&gt;"",INDEX(LdADate,$L1716),IF($M1716&lt;&gt;"",INDEX(LdBDate,$M1716),INDEX(LdCDate,$N1716))))</f>
        <v/>
      </c>
      <c r="C1716" s="20">
        <f>IF($L1716&lt;&gt;"","دستمزد (فردی)",IF($M1716&lt;&gt;"","سهم از گروه "&amp;IFERROR(VLOOKUP(INDEX(LdBGroup,$M1716),WGTbl,2,0),INDEX(LdBGroup,$M1716)),IF($N1716&lt;&gt;"",IF(N(INDEX(LdCDep,$N1716))&gt;0,"بازگشت بانکی","پرداخت بانکی"),"")))</f>
        <v/>
      </c>
      <c r="D1716" s="20">
        <f>IF($L1716&lt;&gt;"",IF(INDEX(LdAId,$L1716)="","—",INDEX(LdAId,$L1716)),IF($M1716&lt;&gt;"",IF(INDEX(LdBId,$M1716)="","—",INDEX(LdBId,$M1716)),IF($N1716&lt;&gt;"",IF(INDEX(LdCBank,$N1716)="","—",INDEX(LdCBank,$N1716)),"")))</f>
        <v/>
      </c>
      <c r="E1716" s="21">
        <f>IF($L1716&lt;&gt;"",IF(INDEX(LdAAmt,$L1716)=0,"",INDEX(LdAAmt,$L1716)),IF($M1716&lt;&gt;"",IF(INDEX(LdBAmt,$M1716)=0,"",INDEX(LdBAmt,$M1716)),IF($N1716&lt;&gt;"",IF(INDEX(LdCDep,$N1716)=0,"",INDEX(LdCDep,$N1716)),"")))</f>
        <v/>
      </c>
      <c r="F1716" s="21">
        <f>IF(AND($L1716="",$M1716="",$N1716=""),"",IF($N1716="","",IF(INDEX(LdCWit,$N1716)=0,"",INDEX(LdCWit,$N1716))))</f>
        <v/>
      </c>
      <c r="G1716" s="31">
        <f>IF($B1716="","",IF($G1715="",0,$G1715)+IF($E1716="",0,$E1716)-IF($F1716="",0,$F1716))</f>
        <v/>
      </c>
      <c r="H1716" s="32">
        <f>IF(AND($L1716="",$M1716="",$N1716=""),"",IF($L1716&lt;&gt;"",IF(INDEX(LdANote,$L1716)="","—",INDEX(LdANote,$L1716)),IF($M1716&lt;&gt;"",IF(INDEX(LdBNote,$M1716)="","—",INDEX(LdBNote,$M1716)),IF($N1716&lt;&gt;"",IF(INDEX(LdCNote,$N1716)="","—",INDEX(LdCNote,$N1716)),""))))</f>
        <v/>
      </c>
      <c r="L1716">
        <f>IFERROR(MATCH($C$5&amp;"|"&amp;RIGHT("000000"&amp;1700,6),LdAKeyM,0),"")</f>
        <v/>
      </c>
      <c r="M1716">
        <f>IFERROR(MATCH($C$5&amp;"|"&amp;RIGHT("000000"&amp;1700,6),LdBKeyM,0),"")</f>
        <v/>
      </c>
      <c r="N1716">
        <f>IFERROR(MATCH($C$5&amp;"|"&amp;RIGHT("000000"&amp;1700,6),LdCKeyM,0),"")</f>
        <v/>
      </c>
    </row>
    <row r="1717">
      <c r="A1717" s="10" t="n">
        <v>1701</v>
      </c>
      <c r="B1717" s="14">
        <f>IF(AND($L1717="",$M1717="",$N1717=""),"",IF($L1717&lt;&gt;"",INDEX(LdADate,$L1717),IF($M1717&lt;&gt;"",INDEX(LdBDate,$M1717),INDEX(LdCDate,$N1717))))</f>
        <v/>
      </c>
      <c r="C1717" s="14">
        <f>IF($L1717&lt;&gt;"","دستمزد (فردی)",IF($M1717&lt;&gt;"","سهم از گروه "&amp;IFERROR(VLOOKUP(INDEX(LdBGroup,$M1717),WGTbl,2,0),INDEX(LdBGroup,$M1717)),IF($N1717&lt;&gt;"",IF(N(INDEX(LdCDep,$N1717))&gt;0,"بازگشت بانکی","پرداخت بانکی"),"")))</f>
        <v/>
      </c>
      <c r="D1717" s="14">
        <f>IF($L1717&lt;&gt;"",IF(INDEX(LdAId,$L1717)="","—",INDEX(LdAId,$L1717)),IF($M1717&lt;&gt;"",IF(INDEX(LdBId,$M1717)="","—",INDEX(LdBId,$M1717)),IF($N1717&lt;&gt;"",IF(INDEX(LdCBank,$N1717)="","—",INDEX(LdCBank,$N1717)),"")))</f>
        <v/>
      </c>
      <c r="E1717" s="16">
        <f>IF($L1717&lt;&gt;"",IF(INDEX(LdAAmt,$L1717)=0,"",INDEX(LdAAmt,$L1717)),IF($M1717&lt;&gt;"",IF(INDEX(LdBAmt,$M1717)=0,"",INDEX(LdBAmt,$M1717)),IF($N1717&lt;&gt;"",IF(INDEX(LdCDep,$N1717)=0,"",INDEX(LdCDep,$N1717)),"")))</f>
        <v/>
      </c>
      <c r="F1717" s="16">
        <f>IF(AND($L1717="",$M1717="",$N1717=""),"",IF($N1717="","",IF(INDEX(LdCWit,$N1717)=0,"",INDEX(LdCWit,$N1717))))</f>
        <v/>
      </c>
      <c r="G1717" s="29">
        <f>IF($B1717="","",IF($G1716="",0,$G1716)+IF($E1717="",0,$E1717)-IF($F1717="",0,$F1717))</f>
        <v/>
      </c>
      <c r="H1717" s="30">
        <f>IF(AND($L1717="",$M1717="",$N1717=""),"",IF($L1717&lt;&gt;"",IF(INDEX(LdANote,$L1717)="","—",INDEX(LdANote,$L1717)),IF($M1717&lt;&gt;"",IF(INDEX(LdBNote,$M1717)="","—",INDEX(LdBNote,$M1717)),IF($N1717&lt;&gt;"",IF(INDEX(LdCNote,$N1717)="","—",INDEX(LdCNote,$N1717)),""))))</f>
        <v/>
      </c>
      <c r="L1717">
        <f>IFERROR(MATCH($C$5&amp;"|"&amp;RIGHT("000000"&amp;1701,6),LdAKeyM,0),"")</f>
        <v/>
      </c>
      <c r="M1717">
        <f>IFERROR(MATCH($C$5&amp;"|"&amp;RIGHT("000000"&amp;1701,6),LdBKeyM,0),"")</f>
        <v/>
      </c>
      <c r="N1717">
        <f>IFERROR(MATCH($C$5&amp;"|"&amp;RIGHT("000000"&amp;1701,6),LdCKeyM,0),"")</f>
        <v/>
      </c>
    </row>
    <row r="1718">
      <c r="A1718" s="19" t="n">
        <v>1702</v>
      </c>
      <c r="B1718" s="20">
        <f>IF(AND($L1718="",$M1718="",$N1718=""),"",IF($L1718&lt;&gt;"",INDEX(LdADate,$L1718),IF($M1718&lt;&gt;"",INDEX(LdBDate,$M1718),INDEX(LdCDate,$N1718))))</f>
        <v/>
      </c>
      <c r="C1718" s="20">
        <f>IF($L1718&lt;&gt;"","دستمزد (فردی)",IF($M1718&lt;&gt;"","سهم از گروه "&amp;IFERROR(VLOOKUP(INDEX(LdBGroup,$M1718),WGTbl,2,0),INDEX(LdBGroup,$M1718)),IF($N1718&lt;&gt;"",IF(N(INDEX(LdCDep,$N1718))&gt;0,"بازگشت بانکی","پرداخت بانکی"),"")))</f>
        <v/>
      </c>
      <c r="D1718" s="20">
        <f>IF($L1718&lt;&gt;"",IF(INDEX(LdAId,$L1718)="","—",INDEX(LdAId,$L1718)),IF($M1718&lt;&gt;"",IF(INDEX(LdBId,$M1718)="","—",INDEX(LdBId,$M1718)),IF($N1718&lt;&gt;"",IF(INDEX(LdCBank,$N1718)="","—",INDEX(LdCBank,$N1718)),"")))</f>
        <v/>
      </c>
      <c r="E1718" s="21">
        <f>IF($L1718&lt;&gt;"",IF(INDEX(LdAAmt,$L1718)=0,"",INDEX(LdAAmt,$L1718)),IF($M1718&lt;&gt;"",IF(INDEX(LdBAmt,$M1718)=0,"",INDEX(LdBAmt,$M1718)),IF($N1718&lt;&gt;"",IF(INDEX(LdCDep,$N1718)=0,"",INDEX(LdCDep,$N1718)),"")))</f>
        <v/>
      </c>
      <c r="F1718" s="21">
        <f>IF(AND($L1718="",$M1718="",$N1718=""),"",IF($N1718="","",IF(INDEX(LdCWit,$N1718)=0,"",INDEX(LdCWit,$N1718))))</f>
        <v/>
      </c>
      <c r="G1718" s="31">
        <f>IF($B1718="","",IF($G1717="",0,$G1717)+IF($E1718="",0,$E1718)-IF($F1718="",0,$F1718))</f>
        <v/>
      </c>
      <c r="H1718" s="32">
        <f>IF(AND($L1718="",$M1718="",$N1718=""),"",IF($L1718&lt;&gt;"",IF(INDEX(LdANote,$L1718)="","—",INDEX(LdANote,$L1718)),IF($M1718&lt;&gt;"",IF(INDEX(LdBNote,$M1718)="","—",INDEX(LdBNote,$M1718)),IF($N1718&lt;&gt;"",IF(INDEX(LdCNote,$N1718)="","—",INDEX(LdCNote,$N1718)),""))))</f>
        <v/>
      </c>
      <c r="L1718">
        <f>IFERROR(MATCH($C$5&amp;"|"&amp;RIGHT("000000"&amp;1702,6),LdAKeyM,0),"")</f>
        <v/>
      </c>
      <c r="M1718">
        <f>IFERROR(MATCH($C$5&amp;"|"&amp;RIGHT("000000"&amp;1702,6),LdBKeyM,0),"")</f>
        <v/>
      </c>
      <c r="N1718">
        <f>IFERROR(MATCH($C$5&amp;"|"&amp;RIGHT("000000"&amp;1702,6),LdCKeyM,0),"")</f>
        <v/>
      </c>
    </row>
    <row r="1719">
      <c r="A1719" s="10" t="n">
        <v>1703</v>
      </c>
      <c r="B1719" s="14">
        <f>IF(AND($L1719="",$M1719="",$N1719=""),"",IF($L1719&lt;&gt;"",INDEX(LdADate,$L1719),IF($M1719&lt;&gt;"",INDEX(LdBDate,$M1719),INDEX(LdCDate,$N1719))))</f>
        <v/>
      </c>
      <c r="C1719" s="14">
        <f>IF($L1719&lt;&gt;"","دستمزد (فردی)",IF($M1719&lt;&gt;"","سهم از گروه "&amp;IFERROR(VLOOKUP(INDEX(LdBGroup,$M1719),WGTbl,2,0),INDEX(LdBGroup,$M1719)),IF($N1719&lt;&gt;"",IF(N(INDEX(LdCDep,$N1719))&gt;0,"بازگشت بانکی","پرداخت بانکی"),"")))</f>
        <v/>
      </c>
      <c r="D1719" s="14">
        <f>IF($L1719&lt;&gt;"",IF(INDEX(LdAId,$L1719)="","—",INDEX(LdAId,$L1719)),IF($M1719&lt;&gt;"",IF(INDEX(LdBId,$M1719)="","—",INDEX(LdBId,$M1719)),IF($N1719&lt;&gt;"",IF(INDEX(LdCBank,$N1719)="","—",INDEX(LdCBank,$N1719)),"")))</f>
        <v/>
      </c>
      <c r="E1719" s="16">
        <f>IF($L1719&lt;&gt;"",IF(INDEX(LdAAmt,$L1719)=0,"",INDEX(LdAAmt,$L1719)),IF($M1719&lt;&gt;"",IF(INDEX(LdBAmt,$M1719)=0,"",INDEX(LdBAmt,$M1719)),IF($N1719&lt;&gt;"",IF(INDEX(LdCDep,$N1719)=0,"",INDEX(LdCDep,$N1719)),"")))</f>
        <v/>
      </c>
      <c r="F1719" s="16">
        <f>IF(AND($L1719="",$M1719="",$N1719=""),"",IF($N1719="","",IF(INDEX(LdCWit,$N1719)=0,"",INDEX(LdCWit,$N1719))))</f>
        <v/>
      </c>
      <c r="G1719" s="29">
        <f>IF($B1719="","",IF($G1718="",0,$G1718)+IF($E1719="",0,$E1719)-IF($F1719="",0,$F1719))</f>
        <v/>
      </c>
      <c r="H1719" s="30">
        <f>IF(AND($L1719="",$M1719="",$N1719=""),"",IF($L1719&lt;&gt;"",IF(INDEX(LdANote,$L1719)="","—",INDEX(LdANote,$L1719)),IF($M1719&lt;&gt;"",IF(INDEX(LdBNote,$M1719)="","—",INDEX(LdBNote,$M1719)),IF($N1719&lt;&gt;"",IF(INDEX(LdCNote,$N1719)="","—",INDEX(LdCNote,$N1719)),""))))</f>
        <v/>
      </c>
      <c r="L1719">
        <f>IFERROR(MATCH($C$5&amp;"|"&amp;RIGHT("000000"&amp;1703,6),LdAKeyM,0),"")</f>
        <v/>
      </c>
      <c r="M1719">
        <f>IFERROR(MATCH($C$5&amp;"|"&amp;RIGHT("000000"&amp;1703,6),LdBKeyM,0),"")</f>
        <v/>
      </c>
      <c r="N1719">
        <f>IFERROR(MATCH($C$5&amp;"|"&amp;RIGHT("000000"&amp;1703,6),LdCKeyM,0),"")</f>
        <v/>
      </c>
    </row>
    <row r="1720">
      <c r="A1720" s="19" t="n">
        <v>1704</v>
      </c>
      <c r="B1720" s="20">
        <f>IF(AND($L1720="",$M1720="",$N1720=""),"",IF($L1720&lt;&gt;"",INDEX(LdADate,$L1720),IF($M1720&lt;&gt;"",INDEX(LdBDate,$M1720),INDEX(LdCDate,$N1720))))</f>
        <v/>
      </c>
      <c r="C1720" s="20">
        <f>IF($L1720&lt;&gt;"","دستمزد (فردی)",IF($M1720&lt;&gt;"","سهم از گروه "&amp;IFERROR(VLOOKUP(INDEX(LdBGroup,$M1720),WGTbl,2,0),INDEX(LdBGroup,$M1720)),IF($N1720&lt;&gt;"",IF(N(INDEX(LdCDep,$N1720))&gt;0,"بازگشت بانکی","پرداخت بانکی"),"")))</f>
        <v/>
      </c>
      <c r="D1720" s="20">
        <f>IF($L1720&lt;&gt;"",IF(INDEX(LdAId,$L1720)="","—",INDEX(LdAId,$L1720)),IF($M1720&lt;&gt;"",IF(INDEX(LdBId,$M1720)="","—",INDEX(LdBId,$M1720)),IF($N1720&lt;&gt;"",IF(INDEX(LdCBank,$N1720)="","—",INDEX(LdCBank,$N1720)),"")))</f>
        <v/>
      </c>
      <c r="E1720" s="21">
        <f>IF($L1720&lt;&gt;"",IF(INDEX(LdAAmt,$L1720)=0,"",INDEX(LdAAmt,$L1720)),IF($M1720&lt;&gt;"",IF(INDEX(LdBAmt,$M1720)=0,"",INDEX(LdBAmt,$M1720)),IF($N1720&lt;&gt;"",IF(INDEX(LdCDep,$N1720)=0,"",INDEX(LdCDep,$N1720)),"")))</f>
        <v/>
      </c>
      <c r="F1720" s="21">
        <f>IF(AND($L1720="",$M1720="",$N1720=""),"",IF($N1720="","",IF(INDEX(LdCWit,$N1720)=0,"",INDEX(LdCWit,$N1720))))</f>
        <v/>
      </c>
      <c r="G1720" s="31">
        <f>IF($B1720="","",IF($G1719="",0,$G1719)+IF($E1720="",0,$E1720)-IF($F1720="",0,$F1720))</f>
        <v/>
      </c>
      <c r="H1720" s="32">
        <f>IF(AND($L1720="",$M1720="",$N1720=""),"",IF($L1720&lt;&gt;"",IF(INDEX(LdANote,$L1720)="","—",INDEX(LdANote,$L1720)),IF($M1720&lt;&gt;"",IF(INDEX(LdBNote,$M1720)="","—",INDEX(LdBNote,$M1720)),IF($N1720&lt;&gt;"",IF(INDEX(LdCNote,$N1720)="","—",INDEX(LdCNote,$N1720)),""))))</f>
        <v/>
      </c>
      <c r="L1720">
        <f>IFERROR(MATCH($C$5&amp;"|"&amp;RIGHT("000000"&amp;1704,6),LdAKeyM,0),"")</f>
        <v/>
      </c>
      <c r="M1720">
        <f>IFERROR(MATCH($C$5&amp;"|"&amp;RIGHT("000000"&amp;1704,6),LdBKeyM,0),"")</f>
        <v/>
      </c>
      <c r="N1720">
        <f>IFERROR(MATCH($C$5&amp;"|"&amp;RIGHT("000000"&amp;1704,6),LdCKeyM,0),"")</f>
        <v/>
      </c>
    </row>
    <row r="1721">
      <c r="A1721" s="10" t="n">
        <v>1705</v>
      </c>
      <c r="B1721" s="14">
        <f>IF(AND($L1721="",$M1721="",$N1721=""),"",IF($L1721&lt;&gt;"",INDEX(LdADate,$L1721),IF($M1721&lt;&gt;"",INDEX(LdBDate,$M1721),INDEX(LdCDate,$N1721))))</f>
        <v/>
      </c>
      <c r="C1721" s="14">
        <f>IF($L1721&lt;&gt;"","دستمزد (فردی)",IF($M1721&lt;&gt;"","سهم از گروه "&amp;IFERROR(VLOOKUP(INDEX(LdBGroup,$M1721),WGTbl,2,0),INDEX(LdBGroup,$M1721)),IF($N1721&lt;&gt;"",IF(N(INDEX(LdCDep,$N1721))&gt;0,"بازگشت بانکی","پرداخت بانکی"),"")))</f>
        <v/>
      </c>
      <c r="D1721" s="14">
        <f>IF($L1721&lt;&gt;"",IF(INDEX(LdAId,$L1721)="","—",INDEX(LdAId,$L1721)),IF($M1721&lt;&gt;"",IF(INDEX(LdBId,$M1721)="","—",INDEX(LdBId,$M1721)),IF($N1721&lt;&gt;"",IF(INDEX(LdCBank,$N1721)="","—",INDEX(LdCBank,$N1721)),"")))</f>
        <v/>
      </c>
      <c r="E1721" s="16">
        <f>IF($L1721&lt;&gt;"",IF(INDEX(LdAAmt,$L1721)=0,"",INDEX(LdAAmt,$L1721)),IF($M1721&lt;&gt;"",IF(INDEX(LdBAmt,$M1721)=0,"",INDEX(LdBAmt,$M1721)),IF($N1721&lt;&gt;"",IF(INDEX(LdCDep,$N1721)=0,"",INDEX(LdCDep,$N1721)),"")))</f>
        <v/>
      </c>
      <c r="F1721" s="16">
        <f>IF(AND($L1721="",$M1721="",$N1721=""),"",IF($N1721="","",IF(INDEX(LdCWit,$N1721)=0,"",INDEX(LdCWit,$N1721))))</f>
        <v/>
      </c>
      <c r="G1721" s="29">
        <f>IF($B1721="","",IF($G1720="",0,$G1720)+IF($E1721="",0,$E1721)-IF($F1721="",0,$F1721))</f>
        <v/>
      </c>
      <c r="H1721" s="30">
        <f>IF(AND($L1721="",$M1721="",$N1721=""),"",IF($L1721&lt;&gt;"",IF(INDEX(LdANote,$L1721)="","—",INDEX(LdANote,$L1721)),IF($M1721&lt;&gt;"",IF(INDEX(LdBNote,$M1721)="","—",INDEX(LdBNote,$M1721)),IF($N1721&lt;&gt;"",IF(INDEX(LdCNote,$N1721)="","—",INDEX(LdCNote,$N1721)),""))))</f>
        <v/>
      </c>
      <c r="L1721">
        <f>IFERROR(MATCH($C$5&amp;"|"&amp;RIGHT("000000"&amp;1705,6),LdAKeyM,0),"")</f>
        <v/>
      </c>
      <c r="M1721">
        <f>IFERROR(MATCH($C$5&amp;"|"&amp;RIGHT("000000"&amp;1705,6),LdBKeyM,0),"")</f>
        <v/>
      </c>
      <c r="N1721">
        <f>IFERROR(MATCH($C$5&amp;"|"&amp;RIGHT("000000"&amp;1705,6),LdCKeyM,0),"")</f>
        <v/>
      </c>
    </row>
    <row r="1722">
      <c r="A1722" s="19" t="n">
        <v>1706</v>
      </c>
      <c r="B1722" s="20">
        <f>IF(AND($L1722="",$M1722="",$N1722=""),"",IF($L1722&lt;&gt;"",INDEX(LdADate,$L1722),IF($M1722&lt;&gt;"",INDEX(LdBDate,$M1722),INDEX(LdCDate,$N1722))))</f>
        <v/>
      </c>
      <c r="C1722" s="20">
        <f>IF($L1722&lt;&gt;"","دستمزد (فردی)",IF($M1722&lt;&gt;"","سهم از گروه "&amp;IFERROR(VLOOKUP(INDEX(LdBGroup,$M1722),WGTbl,2,0),INDEX(LdBGroup,$M1722)),IF($N1722&lt;&gt;"",IF(N(INDEX(LdCDep,$N1722))&gt;0,"بازگشت بانکی","پرداخت بانکی"),"")))</f>
        <v/>
      </c>
      <c r="D1722" s="20">
        <f>IF($L1722&lt;&gt;"",IF(INDEX(LdAId,$L1722)="","—",INDEX(LdAId,$L1722)),IF($M1722&lt;&gt;"",IF(INDEX(LdBId,$M1722)="","—",INDEX(LdBId,$M1722)),IF($N1722&lt;&gt;"",IF(INDEX(LdCBank,$N1722)="","—",INDEX(LdCBank,$N1722)),"")))</f>
        <v/>
      </c>
      <c r="E1722" s="21">
        <f>IF($L1722&lt;&gt;"",IF(INDEX(LdAAmt,$L1722)=0,"",INDEX(LdAAmt,$L1722)),IF($M1722&lt;&gt;"",IF(INDEX(LdBAmt,$M1722)=0,"",INDEX(LdBAmt,$M1722)),IF($N1722&lt;&gt;"",IF(INDEX(LdCDep,$N1722)=0,"",INDEX(LdCDep,$N1722)),"")))</f>
        <v/>
      </c>
      <c r="F1722" s="21">
        <f>IF(AND($L1722="",$M1722="",$N1722=""),"",IF($N1722="","",IF(INDEX(LdCWit,$N1722)=0,"",INDEX(LdCWit,$N1722))))</f>
        <v/>
      </c>
      <c r="G1722" s="31">
        <f>IF($B1722="","",IF($G1721="",0,$G1721)+IF($E1722="",0,$E1722)-IF($F1722="",0,$F1722))</f>
        <v/>
      </c>
      <c r="H1722" s="32">
        <f>IF(AND($L1722="",$M1722="",$N1722=""),"",IF($L1722&lt;&gt;"",IF(INDEX(LdANote,$L1722)="","—",INDEX(LdANote,$L1722)),IF($M1722&lt;&gt;"",IF(INDEX(LdBNote,$M1722)="","—",INDEX(LdBNote,$M1722)),IF($N1722&lt;&gt;"",IF(INDEX(LdCNote,$N1722)="","—",INDEX(LdCNote,$N1722)),""))))</f>
        <v/>
      </c>
      <c r="L1722">
        <f>IFERROR(MATCH($C$5&amp;"|"&amp;RIGHT("000000"&amp;1706,6),LdAKeyM,0),"")</f>
        <v/>
      </c>
      <c r="M1722">
        <f>IFERROR(MATCH($C$5&amp;"|"&amp;RIGHT("000000"&amp;1706,6),LdBKeyM,0),"")</f>
        <v/>
      </c>
      <c r="N1722">
        <f>IFERROR(MATCH($C$5&amp;"|"&amp;RIGHT("000000"&amp;1706,6),LdCKeyM,0),"")</f>
        <v/>
      </c>
    </row>
    <row r="1723">
      <c r="A1723" s="10" t="n">
        <v>1707</v>
      </c>
      <c r="B1723" s="14">
        <f>IF(AND($L1723="",$M1723="",$N1723=""),"",IF($L1723&lt;&gt;"",INDEX(LdADate,$L1723),IF($M1723&lt;&gt;"",INDEX(LdBDate,$M1723),INDEX(LdCDate,$N1723))))</f>
        <v/>
      </c>
      <c r="C1723" s="14">
        <f>IF($L1723&lt;&gt;"","دستمزد (فردی)",IF($M1723&lt;&gt;"","سهم از گروه "&amp;IFERROR(VLOOKUP(INDEX(LdBGroup,$M1723),WGTbl,2,0),INDEX(LdBGroup,$M1723)),IF($N1723&lt;&gt;"",IF(N(INDEX(LdCDep,$N1723))&gt;0,"بازگشت بانکی","پرداخت بانکی"),"")))</f>
        <v/>
      </c>
      <c r="D1723" s="14">
        <f>IF($L1723&lt;&gt;"",IF(INDEX(LdAId,$L1723)="","—",INDEX(LdAId,$L1723)),IF($M1723&lt;&gt;"",IF(INDEX(LdBId,$M1723)="","—",INDEX(LdBId,$M1723)),IF($N1723&lt;&gt;"",IF(INDEX(LdCBank,$N1723)="","—",INDEX(LdCBank,$N1723)),"")))</f>
        <v/>
      </c>
      <c r="E1723" s="16">
        <f>IF($L1723&lt;&gt;"",IF(INDEX(LdAAmt,$L1723)=0,"",INDEX(LdAAmt,$L1723)),IF($M1723&lt;&gt;"",IF(INDEX(LdBAmt,$M1723)=0,"",INDEX(LdBAmt,$M1723)),IF($N1723&lt;&gt;"",IF(INDEX(LdCDep,$N1723)=0,"",INDEX(LdCDep,$N1723)),"")))</f>
        <v/>
      </c>
      <c r="F1723" s="16">
        <f>IF(AND($L1723="",$M1723="",$N1723=""),"",IF($N1723="","",IF(INDEX(LdCWit,$N1723)=0,"",INDEX(LdCWit,$N1723))))</f>
        <v/>
      </c>
      <c r="G1723" s="29">
        <f>IF($B1723="","",IF($G1722="",0,$G1722)+IF($E1723="",0,$E1723)-IF($F1723="",0,$F1723))</f>
        <v/>
      </c>
      <c r="H1723" s="30">
        <f>IF(AND($L1723="",$M1723="",$N1723=""),"",IF($L1723&lt;&gt;"",IF(INDEX(LdANote,$L1723)="","—",INDEX(LdANote,$L1723)),IF($M1723&lt;&gt;"",IF(INDEX(LdBNote,$M1723)="","—",INDEX(LdBNote,$M1723)),IF($N1723&lt;&gt;"",IF(INDEX(LdCNote,$N1723)="","—",INDEX(LdCNote,$N1723)),""))))</f>
        <v/>
      </c>
      <c r="L1723">
        <f>IFERROR(MATCH($C$5&amp;"|"&amp;RIGHT("000000"&amp;1707,6),LdAKeyM,0),"")</f>
        <v/>
      </c>
      <c r="M1723">
        <f>IFERROR(MATCH($C$5&amp;"|"&amp;RIGHT("000000"&amp;1707,6),LdBKeyM,0),"")</f>
        <v/>
      </c>
      <c r="N1723">
        <f>IFERROR(MATCH($C$5&amp;"|"&amp;RIGHT("000000"&amp;1707,6),LdCKeyM,0),"")</f>
        <v/>
      </c>
    </row>
    <row r="1724">
      <c r="A1724" s="19" t="n">
        <v>1708</v>
      </c>
      <c r="B1724" s="20">
        <f>IF(AND($L1724="",$M1724="",$N1724=""),"",IF($L1724&lt;&gt;"",INDEX(LdADate,$L1724),IF($M1724&lt;&gt;"",INDEX(LdBDate,$M1724),INDEX(LdCDate,$N1724))))</f>
        <v/>
      </c>
      <c r="C1724" s="20">
        <f>IF($L1724&lt;&gt;"","دستمزد (فردی)",IF($M1724&lt;&gt;"","سهم از گروه "&amp;IFERROR(VLOOKUP(INDEX(LdBGroup,$M1724),WGTbl,2,0),INDEX(LdBGroup,$M1724)),IF($N1724&lt;&gt;"",IF(N(INDEX(LdCDep,$N1724))&gt;0,"بازگشت بانکی","پرداخت بانکی"),"")))</f>
        <v/>
      </c>
      <c r="D1724" s="20">
        <f>IF($L1724&lt;&gt;"",IF(INDEX(LdAId,$L1724)="","—",INDEX(LdAId,$L1724)),IF($M1724&lt;&gt;"",IF(INDEX(LdBId,$M1724)="","—",INDEX(LdBId,$M1724)),IF($N1724&lt;&gt;"",IF(INDEX(LdCBank,$N1724)="","—",INDEX(LdCBank,$N1724)),"")))</f>
        <v/>
      </c>
      <c r="E1724" s="21">
        <f>IF($L1724&lt;&gt;"",IF(INDEX(LdAAmt,$L1724)=0,"",INDEX(LdAAmt,$L1724)),IF($M1724&lt;&gt;"",IF(INDEX(LdBAmt,$M1724)=0,"",INDEX(LdBAmt,$M1724)),IF($N1724&lt;&gt;"",IF(INDEX(LdCDep,$N1724)=0,"",INDEX(LdCDep,$N1724)),"")))</f>
        <v/>
      </c>
      <c r="F1724" s="21">
        <f>IF(AND($L1724="",$M1724="",$N1724=""),"",IF($N1724="","",IF(INDEX(LdCWit,$N1724)=0,"",INDEX(LdCWit,$N1724))))</f>
        <v/>
      </c>
      <c r="G1724" s="31">
        <f>IF($B1724="","",IF($G1723="",0,$G1723)+IF($E1724="",0,$E1724)-IF($F1724="",0,$F1724))</f>
        <v/>
      </c>
      <c r="H1724" s="32">
        <f>IF(AND($L1724="",$M1724="",$N1724=""),"",IF($L1724&lt;&gt;"",IF(INDEX(LdANote,$L1724)="","—",INDEX(LdANote,$L1724)),IF($M1724&lt;&gt;"",IF(INDEX(LdBNote,$M1724)="","—",INDEX(LdBNote,$M1724)),IF($N1724&lt;&gt;"",IF(INDEX(LdCNote,$N1724)="","—",INDEX(LdCNote,$N1724)),""))))</f>
        <v/>
      </c>
      <c r="L1724">
        <f>IFERROR(MATCH($C$5&amp;"|"&amp;RIGHT("000000"&amp;1708,6),LdAKeyM,0),"")</f>
        <v/>
      </c>
      <c r="M1724">
        <f>IFERROR(MATCH($C$5&amp;"|"&amp;RIGHT("000000"&amp;1708,6),LdBKeyM,0),"")</f>
        <v/>
      </c>
      <c r="N1724">
        <f>IFERROR(MATCH($C$5&amp;"|"&amp;RIGHT("000000"&amp;1708,6),LdCKeyM,0),"")</f>
        <v/>
      </c>
    </row>
    <row r="1725">
      <c r="A1725" s="10" t="n">
        <v>1709</v>
      </c>
      <c r="B1725" s="14">
        <f>IF(AND($L1725="",$M1725="",$N1725=""),"",IF($L1725&lt;&gt;"",INDEX(LdADate,$L1725),IF($M1725&lt;&gt;"",INDEX(LdBDate,$M1725),INDEX(LdCDate,$N1725))))</f>
        <v/>
      </c>
      <c r="C1725" s="14">
        <f>IF($L1725&lt;&gt;"","دستمزد (فردی)",IF($M1725&lt;&gt;"","سهم از گروه "&amp;IFERROR(VLOOKUP(INDEX(LdBGroup,$M1725),WGTbl,2,0),INDEX(LdBGroup,$M1725)),IF($N1725&lt;&gt;"",IF(N(INDEX(LdCDep,$N1725))&gt;0,"بازگشت بانکی","پرداخت بانکی"),"")))</f>
        <v/>
      </c>
      <c r="D1725" s="14">
        <f>IF($L1725&lt;&gt;"",IF(INDEX(LdAId,$L1725)="","—",INDEX(LdAId,$L1725)),IF($M1725&lt;&gt;"",IF(INDEX(LdBId,$M1725)="","—",INDEX(LdBId,$M1725)),IF($N1725&lt;&gt;"",IF(INDEX(LdCBank,$N1725)="","—",INDEX(LdCBank,$N1725)),"")))</f>
        <v/>
      </c>
      <c r="E1725" s="16">
        <f>IF($L1725&lt;&gt;"",IF(INDEX(LdAAmt,$L1725)=0,"",INDEX(LdAAmt,$L1725)),IF($M1725&lt;&gt;"",IF(INDEX(LdBAmt,$M1725)=0,"",INDEX(LdBAmt,$M1725)),IF($N1725&lt;&gt;"",IF(INDEX(LdCDep,$N1725)=0,"",INDEX(LdCDep,$N1725)),"")))</f>
        <v/>
      </c>
      <c r="F1725" s="16">
        <f>IF(AND($L1725="",$M1725="",$N1725=""),"",IF($N1725="","",IF(INDEX(LdCWit,$N1725)=0,"",INDEX(LdCWit,$N1725))))</f>
        <v/>
      </c>
      <c r="G1725" s="29">
        <f>IF($B1725="","",IF($G1724="",0,$G1724)+IF($E1725="",0,$E1725)-IF($F1725="",0,$F1725))</f>
        <v/>
      </c>
      <c r="H1725" s="30">
        <f>IF(AND($L1725="",$M1725="",$N1725=""),"",IF($L1725&lt;&gt;"",IF(INDEX(LdANote,$L1725)="","—",INDEX(LdANote,$L1725)),IF($M1725&lt;&gt;"",IF(INDEX(LdBNote,$M1725)="","—",INDEX(LdBNote,$M1725)),IF($N1725&lt;&gt;"",IF(INDEX(LdCNote,$N1725)="","—",INDEX(LdCNote,$N1725)),""))))</f>
        <v/>
      </c>
      <c r="L1725">
        <f>IFERROR(MATCH($C$5&amp;"|"&amp;RIGHT("000000"&amp;1709,6),LdAKeyM,0),"")</f>
        <v/>
      </c>
      <c r="M1725">
        <f>IFERROR(MATCH($C$5&amp;"|"&amp;RIGHT("000000"&amp;1709,6),LdBKeyM,0),"")</f>
        <v/>
      </c>
      <c r="N1725">
        <f>IFERROR(MATCH($C$5&amp;"|"&amp;RIGHT("000000"&amp;1709,6),LdCKeyM,0),"")</f>
        <v/>
      </c>
    </row>
    <row r="1726">
      <c r="A1726" s="19" t="n">
        <v>1710</v>
      </c>
      <c r="B1726" s="20">
        <f>IF(AND($L1726="",$M1726="",$N1726=""),"",IF($L1726&lt;&gt;"",INDEX(LdADate,$L1726),IF($M1726&lt;&gt;"",INDEX(LdBDate,$M1726),INDEX(LdCDate,$N1726))))</f>
        <v/>
      </c>
      <c r="C1726" s="20">
        <f>IF($L1726&lt;&gt;"","دستمزد (فردی)",IF($M1726&lt;&gt;"","سهم از گروه "&amp;IFERROR(VLOOKUP(INDEX(LdBGroup,$M1726),WGTbl,2,0),INDEX(LdBGroup,$M1726)),IF($N1726&lt;&gt;"",IF(N(INDEX(LdCDep,$N1726))&gt;0,"بازگشت بانکی","پرداخت بانکی"),"")))</f>
        <v/>
      </c>
      <c r="D1726" s="20">
        <f>IF($L1726&lt;&gt;"",IF(INDEX(LdAId,$L1726)="","—",INDEX(LdAId,$L1726)),IF($M1726&lt;&gt;"",IF(INDEX(LdBId,$M1726)="","—",INDEX(LdBId,$M1726)),IF($N1726&lt;&gt;"",IF(INDEX(LdCBank,$N1726)="","—",INDEX(LdCBank,$N1726)),"")))</f>
        <v/>
      </c>
      <c r="E1726" s="21">
        <f>IF($L1726&lt;&gt;"",IF(INDEX(LdAAmt,$L1726)=0,"",INDEX(LdAAmt,$L1726)),IF($M1726&lt;&gt;"",IF(INDEX(LdBAmt,$M1726)=0,"",INDEX(LdBAmt,$M1726)),IF($N1726&lt;&gt;"",IF(INDEX(LdCDep,$N1726)=0,"",INDEX(LdCDep,$N1726)),"")))</f>
        <v/>
      </c>
      <c r="F1726" s="21">
        <f>IF(AND($L1726="",$M1726="",$N1726=""),"",IF($N1726="","",IF(INDEX(LdCWit,$N1726)=0,"",INDEX(LdCWit,$N1726))))</f>
        <v/>
      </c>
      <c r="G1726" s="31">
        <f>IF($B1726="","",IF($G1725="",0,$G1725)+IF($E1726="",0,$E1726)-IF($F1726="",0,$F1726))</f>
        <v/>
      </c>
      <c r="H1726" s="32">
        <f>IF(AND($L1726="",$M1726="",$N1726=""),"",IF($L1726&lt;&gt;"",IF(INDEX(LdANote,$L1726)="","—",INDEX(LdANote,$L1726)),IF($M1726&lt;&gt;"",IF(INDEX(LdBNote,$M1726)="","—",INDEX(LdBNote,$M1726)),IF($N1726&lt;&gt;"",IF(INDEX(LdCNote,$N1726)="","—",INDEX(LdCNote,$N1726)),""))))</f>
        <v/>
      </c>
      <c r="L1726">
        <f>IFERROR(MATCH($C$5&amp;"|"&amp;RIGHT("000000"&amp;1710,6),LdAKeyM,0),"")</f>
        <v/>
      </c>
      <c r="M1726">
        <f>IFERROR(MATCH($C$5&amp;"|"&amp;RIGHT("000000"&amp;1710,6),LdBKeyM,0),"")</f>
        <v/>
      </c>
      <c r="N1726">
        <f>IFERROR(MATCH($C$5&amp;"|"&amp;RIGHT("000000"&amp;1710,6),LdCKeyM,0),"")</f>
        <v/>
      </c>
    </row>
    <row r="1727">
      <c r="A1727" s="10" t="n">
        <v>1711</v>
      </c>
      <c r="B1727" s="14">
        <f>IF(AND($L1727="",$M1727="",$N1727=""),"",IF($L1727&lt;&gt;"",INDEX(LdADate,$L1727),IF($M1727&lt;&gt;"",INDEX(LdBDate,$M1727),INDEX(LdCDate,$N1727))))</f>
        <v/>
      </c>
      <c r="C1727" s="14">
        <f>IF($L1727&lt;&gt;"","دستمزد (فردی)",IF($M1727&lt;&gt;"","سهم از گروه "&amp;IFERROR(VLOOKUP(INDEX(LdBGroup,$M1727),WGTbl,2,0),INDEX(LdBGroup,$M1727)),IF($N1727&lt;&gt;"",IF(N(INDEX(LdCDep,$N1727))&gt;0,"بازگشت بانکی","پرداخت بانکی"),"")))</f>
        <v/>
      </c>
      <c r="D1727" s="14">
        <f>IF($L1727&lt;&gt;"",IF(INDEX(LdAId,$L1727)="","—",INDEX(LdAId,$L1727)),IF($M1727&lt;&gt;"",IF(INDEX(LdBId,$M1727)="","—",INDEX(LdBId,$M1727)),IF($N1727&lt;&gt;"",IF(INDEX(LdCBank,$N1727)="","—",INDEX(LdCBank,$N1727)),"")))</f>
        <v/>
      </c>
      <c r="E1727" s="16">
        <f>IF($L1727&lt;&gt;"",IF(INDEX(LdAAmt,$L1727)=0,"",INDEX(LdAAmt,$L1727)),IF($M1727&lt;&gt;"",IF(INDEX(LdBAmt,$M1727)=0,"",INDEX(LdBAmt,$M1727)),IF($N1727&lt;&gt;"",IF(INDEX(LdCDep,$N1727)=0,"",INDEX(LdCDep,$N1727)),"")))</f>
        <v/>
      </c>
      <c r="F1727" s="16">
        <f>IF(AND($L1727="",$M1727="",$N1727=""),"",IF($N1727="","",IF(INDEX(LdCWit,$N1727)=0,"",INDEX(LdCWit,$N1727))))</f>
        <v/>
      </c>
      <c r="G1727" s="29">
        <f>IF($B1727="","",IF($G1726="",0,$G1726)+IF($E1727="",0,$E1727)-IF($F1727="",0,$F1727))</f>
        <v/>
      </c>
      <c r="H1727" s="30">
        <f>IF(AND($L1727="",$M1727="",$N1727=""),"",IF($L1727&lt;&gt;"",IF(INDEX(LdANote,$L1727)="","—",INDEX(LdANote,$L1727)),IF($M1727&lt;&gt;"",IF(INDEX(LdBNote,$M1727)="","—",INDEX(LdBNote,$M1727)),IF($N1727&lt;&gt;"",IF(INDEX(LdCNote,$N1727)="","—",INDEX(LdCNote,$N1727)),""))))</f>
        <v/>
      </c>
      <c r="L1727">
        <f>IFERROR(MATCH($C$5&amp;"|"&amp;RIGHT("000000"&amp;1711,6),LdAKeyM,0),"")</f>
        <v/>
      </c>
      <c r="M1727">
        <f>IFERROR(MATCH($C$5&amp;"|"&amp;RIGHT("000000"&amp;1711,6),LdBKeyM,0),"")</f>
        <v/>
      </c>
      <c r="N1727">
        <f>IFERROR(MATCH($C$5&amp;"|"&amp;RIGHT("000000"&amp;1711,6),LdCKeyM,0),"")</f>
        <v/>
      </c>
    </row>
    <row r="1728">
      <c r="A1728" s="19" t="n">
        <v>1712</v>
      </c>
      <c r="B1728" s="20">
        <f>IF(AND($L1728="",$M1728="",$N1728=""),"",IF($L1728&lt;&gt;"",INDEX(LdADate,$L1728),IF($M1728&lt;&gt;"",INDEX(LdBDate,$M1728),INDEX(LdCDate,$N1728))))</f>
        <v/>
      </c>
      <c r="C1728" s="20">
        <f>IF($L1728&lt;&gt;"","دستمزد (فردی)",IF($M1728&lt;&gt;"","سهم از گروه "&amp;IFERROR(VLOOKUP(INDEX(LdBGroup,$M1728),WGTbl,2,0),INDEX(LdBGroup,$M1728)),IF($N1728&lt;&gt;"",IF(N(INDEX(LdCDep,$N1728))&gt;0,"بازگشت بانکی","پرداخت بانکی"),"")))</f>
        <v/>
      </c>
      <c r="D1728" s="20">
        <f>IF($L1728&lt;&gt;"",IF(INDEX(LdAId,$L1728)="","—",INDEX(LdAId,$L1728)),IF($M1728&lt;&gt;"",IF(INDEX(LdBId,$M1728)="","—",INDEX(LdBId,$M1728)),IF($N1728&lt;&gt;"",IF(INDEX(LdCBank,$N1728)="","—",INDEX(LdCBank,$N1728)),"")))</f>
        <v/>
      </c>
      <c r="E1728" s="21">
        <f>IF($L1728&lt;&gt;"",IF(INDEX(LdAAmt,$L1728)=0,"",INDEX(LdAAmt,$L1728)),IF($M1728&lt;&gt;"",IF(INDEX(LdBAmt,$M1728)=0,"",INDEX(LdBAmt,$M1728)),IF($N1728&lt;&gt;"",IF(INDEX(LdCDep,$N1728)=0,"",INDEX(LdCDep,$N1728)),"")))</f>
        <v/>
      </c>
      <c r="F1728" s="21">
        <f>IF(AND($L1728="",$M1728="",$N1728=""),"",IF($N1728="","",IF(INDEX(LdCWit,$N1728)=0,"",INDEX(LdCWit,$N1728))))</f>
        <v/>
      </c>
      <c r="G1728" s="31">
        <f>IF($B1728="","",IF($G1727="",0,$G1727)+IF($E1728="",0,$E1728)-IF($F1728="",0,$F1728))</f>
        <v/>
      </c>
      <c r="H1728" s="32">
        <f>IF(AND($L1728="",$M1728="",$N1728=""),"",IF($L1728&lt;&gt;"",IF(INDEX(LdANote,$L1728)="","—",INDEX(LdANote,$L1728)),IF($M1728&lt;&gt;"",IF(INDEX(LdBNote,$M1728)="","—",INDEX(LdBNote,$M1728)),IF($N1728&lt;&gt;"",IF(INDEX(LdCNote,$N1728)="","—",INDEX(LdCNote,$N1728)),""))))</f>
        <v/>
      </c>
      <c r="L1728">
        <f>IFERROR(MATCH($C$5&amp;"|"&amp;RIGHT("000000"&amp;1712,6),LdAKeyM,0),"")</f>
        <v/>
      </c>
      <c r="M1728">
        <f>IFERROR(MATCH($C$5&amp;"|"&amp;RIGHT("000000"&amp;1712,6),LdBKeyM,0),"")</f>
        <v/>
      </c>
      <c r="N1728">
        <f>IFERROR(MATCH($C$5&amp;"|"&amp;RIGHT("000000"&amp;1712,6),LdCKeyM,0),"")</f>
        <v/>
      </c>
    </row>
    <row r="1729">
      <c r="A1729" s="10" t="n">
        <v>1713</v>
      </c>
      <c r="B1729" s="14">
        <f>IF(AND($L1729="",$M1729="",$N1729=""),"",IF($L1729&lt;&gt;"",INDEX(LdADate,$L1729),IF($M1729&lt;&gt;"",INDEX(LdBDate,$M1729),INDEX(LdCDate,$N1729))))</f>
        <v/>
      </c>
      <c r="C1729" s="14">
        <f>IF($L1729&lt;&gt;"","دستمزد (فردی)",IF($M1729&lt;&gt;"","سهم از گروه "&amp;IFERROR(VLOOKUP(INDEX(LdBGroup,$M1729),WGTbl,2,0),INDEX(LdBGroup,$M1729)),IF($N1729&lt;&gt;"",IF(N(INDEX(LdCDep,$N1729))&gt;0,"بازگشت بانکی","پرداخت بانکی"),"")))</f>
        <v/>
      </c>
      <c r="D1729" s="14">
        <f>IF($L1729&lt;&gt;"",IF(INDEX(LdAId,$L1729)="","—",INDEX(LdAId,$L1729)),IF($M1729&lt;&gt;"",IF(INDEX(LdBId,$M1729)="","—",INDEX(LdBId,$M1729)),IF($N1729&lt;&gt;"",IF(INDEX(LdCBank,$N1729)="","—",INDEX(LdCBank,$N1729)),"")))</f>
        <v/>
      </c>
      <c r="E1729" s="16">
        <f>IF($L1729&lt;&gt;"",IF(INDEX(LdAAmt,$L1729)=0,"",INDEX(LdAAmt,$L1729)),IF($M1729&lt;&gt;"",IF(INDEX(LdBAmt,$M1729)=0,"",INDEX(LdBAmt,$M1729)),IF($N1729&lt;&gt;"",IF(INDEX(LdCDep,$N1729)=0,"",INDEX(LdCDep,$N1729)),"")))</f>
        <v/>
      </c>
      <c r="F1729" s="16">
        <f>IF(AND($L1729="",$M1729="",$N1729=""),"",IF($N1729="","",IF(INDEX(LdCWit,$N1729)=0,"",INDEX(LdCWit,$N1729))))</f>
        <v/>
      </c>
      <c r="G1729" s="29">
        <f>IF($B1729="","",IF($G1728="",0,$G1728)+IF($E1729="",0,$E1729)-IF($F1729="",0,$F1729))</f>
        <v/>
      </c>
      <c r="H1729" s="30">
        <f>IF(AND($L1729="",$M1729="",$N1729=""),"",IF($L1729&lt;&gt;"",IF(INDEX(LdANote,$L1729)="","—",INDEX(LdANote,$L1729)),IF($M1729&lt;&gt;"",IF(INDEX(LdBNote,$M1729)="","—",INDEX(LdBNote,$M1729)),IF($N1729&lt;&gt;"",IF(INDEX(LdCNote,$N1729)="","—",INDEX(LdCNote,$N1729)),""))))</f>
        <v/>
      </c>
      <c r="L1729">
        <f>IFERROR(MATCH($C$5&amp;"|"&amp;RIGHT("000000"&amp;1713,6),LdAKeyM,0),"")</f>
        <v/>
      </c>
      <c r="M1729">
        <f>IFERROR(MATCH($C$5&amp;"|"&amp;RIGHT("000000"&amp;1713,6),LdBKeyM,0),"")</f>
        <v/>
      </c>
      <c r="N1729">
        <f>IFERROR(MATCH($C$5&amp;"|"&amp;RIGHT("000000"&amp;1713,6),LdCKeyM,0),"")</f>
        <v/>
      </c>
    </row>
    <row r="1730">
      <c r="A1730" s="19" t="n">
        <v>1714</v>
      </c>
      <c r="B1730" s="20">
        <f>IF(AND($L1730="",$M1730="",$N1730=""),"",IF($L1730&lt;&gt;"",INDEX(LdADate,$L1730),IF($M1730&lt;&gt;"",INDEX(LdBDate,$M1730),INDEX(LdCDate,$N1730))))</f>
        <v/>
      </c>
      <c r="C1730" s="20">
        <f>IF($L1730&lt;&gt;"","دستمزد (فردی)",IF($M1730&lt;&gt;"","سهم از گروه "&amp;IFERROR(VLOOKUP(INDEX(LdBGroup,$M1730),WGTbl,2,0),INDEX(LdBGroup,$M1730)),IF($N1730&lt;&gt;"",IF(N(INDEX(LdCDep,$N1730))&gt;0,"بازگشت بانکی","پرداخت بانکی"),"")))</f>
        <v/>
      </c>
      <c r="D1730" s="20">
        <f>IF($L1730&lt;&gt;"",IF(INDEX(LdAId,$L1730)="","—",INDEX(LdAId,$L1730)),IF($M1730&lt;&gt;"",IF(INDEX(LdBId,$M1730)="","—",INDEX(LdBId,$M1730)),IF($N1730&lt;&gt;"",IF(INDEX(LdCBank,$N1730)="","—",INDEX(LdCBank,$N1730)),"")))</f>
        <v/>
      </c>
      <c r="E1730" s="21">
        <f>IF($L1730&lt;&gt;"",IF(INDEX(LdAAmt,$L1730)=0,"",INDEX(LdAAmt,$L1730)),IF($M1730&lt;&gt;"",IF(INDEX(LdBAmt,$M1730)=0,"",INDEX(LdBAmt,$M1730)),IF($N1730&lt;&gt;"",IF(INDEX(LdCDep,$N1730)=0,"",INDEX(LdCDep,$N1730)),"")))</f>
        <v/>
      </c>
      <c r="F1730" s="21">
        <f>IF(AND($L1730="",$M1730="",$N1730=""),"",IF($N1730="","",IF(INDEX(LdCWit,$N1730)=0,"",INDEX(LdCWit,$N1730))))</f>
        <v/>
      </c>
      <c r="G1730" s="31">
        <f>IF($B1730="","",IF($G1729="",0,$G1729)+IF($E1730="",0,$E1730)-IF($F1730="",0,$F1730))</f>
        <v/>
      </c>
      <c r="H1730" s="32">
        <f>IF(AND($L1730="",$M1730="",$N1730=""),"",IF($L1730&lt;&gt;"",IF(INDEX(LdANote,$L1730)="","—",INDEX(LdANote,$L1730)),IF($M1730&lt;&gt;"",IF(INDEX(LdBNote,$M1730)="","—",INDEX(LdBNote,$M1730)),IF($N1730&lt;&gt;"",IF(INDEX(LdCNote,$N1730)="","—",INDEX(LdCNote,$N1730)),""))))</f>
        <v/>
      </c>
      <c r="L1730">
        <f>IFERROR(MATCH($C$5&amp;"|"&amp;RIGHT("000000"&amp;1714,6),LdAKeyM,0),"")</f>
        <v/>
      </c>
      <c r="M1730">
        <f>IFERROR(MATCH($C$5&amp;"|"&amp;RIGHT("000000"&amp;1714,6),LdBKeyM,0),"")</f>
        <v/>
      </c>
      <c r="N1730">
        <f>IFERROR(MATCH($C$5&amp;"|"&amp;RIGHT("000000"&amp;1714,6),LdCKeyM,0),"")</f>
        <v/>
      </c>
    </row>
    <row r="1731">
      <c r="A1731" s="10" t="n">
        <v>1715</v>
      </c>
      <c r="B1731" s="14">
        <f>IF(AND($L1731="",$M1731="",$N1731=""),"",IF($L1731&lt;&gt;"",INDEX(LdADate,$L1731),IF($M1731&lt;&gt;"",INDEX(LdBDate,$M1731),INDEX(LdCDate,$N1731))))</f>
        <v/>
      </c>
      <c r="C1731" s="14">
        <f>IF($L1731&lt;&gt;"","دستمزد (فردی)",IF($M1731&lt;&gt;"","سهم از گروه "&amp;IFERROR(VLOOKUP(INDEX(LdBGroup,$M1731),WGTbl,2,0),INDEX(LdBGroup,$M1731)),IF($N1731&lt;&gt;"",IF(N(INDEX(LdCDep,$N1731))&gt;0,"بازگشت بانکی","پرداخت بانکی"),"")))</f>
        <v/>
      </c>
      <c r="D1731" s="14">
        <f>IF($L1731&lt;&gt;"",IF(INDEX(LdAId,$L1731)="","—",INDEX(LdAId,$L1731)),IF($M1731&lt;&gt;"",IF(INDEX(LdBId,$M1731)="","—",INDEX(LdBId,$M1731)),IF($N1731&lt;&gt;"",IF(INDEX(LdCBank,$N1731)="","—",INDEX(LdCBank,$N1731)),"")))</f>
        <v/>
      </c>
      <c r="E1731" s="16">
        <f>IF($L1731&lt;&gt;"",IF(INDEX(LdAAmt,$L1731)=0,"",INDEX(LdAAmt,$L1731)),IF($M1731&lt;&gt;"",IF(INDEX(LdBAmt,$M1731)=0,"",INDEX(LdBAmt,$M1731)),IF($N1731&lt;&gt;"",IF(INDEX(LdCDep,$N1731)=0,"",INDEX(LdCDep,$N1731)),"")))</f>
        <v/>
      </c>
      <c r="F1731" s="16">
        <f>IF(AND($L1731="",$M1731="",$N1731=""),"",IF($N1731="","",IF(INDEX(LdCWit,$N1731)=0,"",INDEX(LdCWit,$N1731))))</f>
        <v/>
      </c>
      <c r="G1731" s="29">
        <f>IF($B1731="","",IF($G1730="",0,$G1730)+IF($E1731="",0,$E1731)-IF($F1731="",0,$F1731))</f>
        <v/>
      </c>
      <c r="H1731" s="30">
        <f>IF(AND($L1731="",$M1731="",$N1731=""),"",IF($L1731&lt;&gt;"",IF(INDEX(LdANote,$L1731)="","—",INDEX(LdANote,$L1731)),IF($M1731&lt;&gt;"",IF(INDEX(LdBNote,$M1731)="","—",INDEX(LdBNote,$M1731)),IF($N1731&lt;&gt;"",IF(INDEX(LdCNote,$N1731)="","—",INDEX(LdCNote,$N1731)),""))))</f>
        <v/>
      </c>
      <c r="L1731">
        <f>IFERROR(MATCH($C$5&amp;"|"&amp;RIGHT("000000"&amp;1715,6),LdAKeyM,0),"")</f>
        <v/>
      </c>
      <c r="M1731">
        <f>IFERROR(MATCH($C$5&amp;"|"&amp;RIGHT("000000"&amp;1715,6),LdBKeyM,0),"")</f>
        <v/>
      </c>
      <c r="N1731">
        <f>IFERROR(MATCH($C$5&amp;"|"&amp;RIGHT("000000"&amp;1715,6),LdCKeyM,0),"")</f>
        <v/>
      </c>
    </row>
    <row r="1732">
      <c r="A1732" s="19" t="n">
        <v>1716</v>
      </c>
      <c r="B1732" s="20">
        <f>IF(AND($L1732="",$M1732="",$N1732=""),"",IF($L1732&lt;&gt;"",INDEX(LdADate,$L1732),IF($M1732&lt;&gt;"",INDEX(LdBDate,$M1732),INDEX(LdCDate,$N1732))))</f>
        <v/>
      </c>
      <c r="C1732" s="20">
        <f>IF($L1732&lt;&gt;"","دستمزد (فردی)",IF($M1732&lt;&gt;"","سهم از گروه "&amp;IFERROR(VLOOKUP(INDEX(LdBGroup,$M1732),WGTbl,2,0),INDEX(LdBGroup,$M1732)),IF($N1732&lt;&gt;"",IF(N(INDEX(LdCDep,$N1732))&gt;0,"بازگشت بانکی","پرداخت بانکی"),"")))</f>
        <v/>
      </c>
      <c r="D1732" s="20">
        <f>IF($L1732&lt;&gt;"",IF(INDEX(LdAId,$L1732)="","—",INDEX(LdAId,$L1732)),IF($M1732&lt;&gt;"",IF(INDEX(LdBId,$M1732)="","—",INDEX(LdBId,$M1732)),IF($N1732&lt;&gt;"",IF(INDEX(LdCBank,$N1732)="","—",INDEX(LdCBank,$N1732)),"")))</f>
        <v/>
      </c>
      <c r="E1732" s="21">
        <f>IF($L1732&lt;&gt;"",IF(INDEX(LdAAmt,$L1732)=0,"",INDEX(LdAAmt,$L1732)),IF($M1732&lt;&gt;"",IF(INDEX(LdBAmt,$M1732)=0,"",INDEX(LdBAmt,$M1732)),IF($N1732&lt;&gt;"",IF(INDEX(LdCDep,$N1732)=0,"",INDEX(LdCDep,$N1732)),"")))</f>
        <v/>
      </c>
      <c r="F1732" s="21">
        <f>IF(AND($L1732="",$M1732="",$N1732=""),"",IF($N1732="","",IF(INDEX(LdCWit,$N1732)=0,"",INDEX(LdCWit,$N1732))))</f>
        <v/>
      </c>
      <c r="G1732" s="31">
        <f>IF($B1732="","",IF($G1731="",0,$G1731)+IF($E1732="",0,$E1732)-IF($F1732="",0,$F1732))</f>
        <v/>
      </c>
      <c r="H1732" s="32">
        <f>IF(AND($L1732="",$M1732="",$N1732=""),"",IF($L1732&lt;&gt;"",IF(INDEX(LdANote,$L1732)="","—",INDEX(LdANote,$L1732)),IF($M1732&lt;&gt;"",IF(INDEX(LdBNote,$M1732)="","—",INDEX(LdBNote,$M1732)),IF($N1732&lt;&gt;"",IF(INDEX(LdCNote,$N1732)="","—",INDEX(LdCNote,$N1732)),""))))</f>
        <v/>
      </c>
      <c r="L1732">
        <f>IFERROR(MATCH($C$5&amp;"|"&amp;RIGHT("000000"&amp;1716,6),LdAKeyM,0),"")</f>
        <v/>
      </c>
      <c r="M1732">
        <f>IFERROR(MATCH($C$5&amp;"|"&amp;RIGHT("000000"&amp;1716,6),LdBKeyM,0),"")</f>
        <v/>
      </c>
      <c r="N1732">
        <f>IFERROR(MATCH($C$5&amp;"|"&amp;RIGHT("000000"&amp;1716,6),LdCKeyM,0),"")</f>
        <v/>
      </c>
    </row>
    <row r="1733">
      <c r="A1733" s="10" t="n">
        <v>1717</v>
      </c>
      <c r="B1733" s="14">
        <f>IF(AND($L1733="",$M1733="",$N1733=""),"",IF($L1733&lt;&gt;"",INDEX(LdADate,$L1733),IF($M1733&lt;&gt;"",INDEX(LdBDate,$M1733),INDEX(LdCDate,$N1733))))</f>
        <v/>
      </c>
      <c r="C1733" s="14">
        <f>IF($L1733&lt;&gt;"","دستمزد (فردی)",IF($M1733&lt;&gt;"","سهم از گروه "&amp;IFERROR(VLOOKUP(INDEX(LdBGroup,$M1733),WGTbl,2,0),INDEX(LdBGroup,$M1733)),IF($N1733&lt;&gt;"",IF(N(INDEX(LdCDep,$N1733))&gt;0,"بازگشت بانکی","پرداخت بانکی"),"")))</f>
        <v/>
      </c>
      <c r="D1733" s="14">
        <f>IF($L1733&lt;&gt;"",IF(INDEX(LdAId,$L1733)="","—",INDEX(LdAId,$L1733)),IF($M1733&lt;&gt;"",IF(INDEX(LdBId,$M1733)="","—",INDEX(LdBId,$M1733)),IF($N1733&lt;&gt;"",IF(INDEX(LdCBank,$N1733)="","—",INDEX(LdCBank,$N1733)),"")))</f>
        <v/>
      </c>
      <c r="E1733" s="16">
        <f>IF($L1733&lt;&gt;"",IF(INDEX(LdAAmt,$L1733)=0,"",INDEX(LdAAmt,$L1733)),IF($M1733&lt;&gt;"",IF(INDEX(LdBAmt,$M1733)=0,"",INDEX(LdBAmt,$M1733)),IF($N1733&lt;&gt;"",IF(INDEX(LdCDep,$N1733)=0,"",INDEX(LdCDep,$N1733)),"")))</f>
        <v/>
      </c>
      <c r="F1733" s="16">
        <f>IF(AND($L1733="",$M1733="",$N1733=""),"",IF($N1733="","",IF(INDEX(LdCWit,$N1733)=0,"",INDEX(LdCWit,$N1733))))</f>
        <v/>
      </c>
      <c r="G1733" s="29">
        <f>IF($B1733="","",IF($G1732="",0,$G1732)+IF($E1733="",0,$E1733)-IF($F1733="",0,$F1733))</f>
        <v/>
      </c>
      <c r="H1733" s="30">
        <f>IF(AND($L1733="",$M1733="",$N1733=""),"",IF($L1733&lt;&gt;"",IF(INDEX(LdANote,$L1733)="","—",INDEX(LdANote,$L1733)),IF($M1733&lt;&gt;"",IF(INDEX(LdBNote,$M1733)="","—",INDEX(LdBNote,$M1733)),IF($N1733&lt;&gt;"",IF(INDEX(LdCNote,$N1733)="","—",INDEX(LdCNote,$N1733)),""))))</f>
        <v/>
      </c>
      <c r="L1733">
        <f>IFERROR(MATCH($C$5&amp;"|"&amp;RIGHT("000000"&amp;1717,6),LdAKeyM,0),"")</f>
        <v/>
      </c>
      <c r="M1733">
        <f>IFERROR(MATCH($C$5&amp;"|"&amp;RIGHT("000000"&amp;1717,6),LdBKeyM,0),"")</f>
        <v/>
      </c>
      <c r="N1733">
        <f>IFERROR(MATCH($C$5&amp;"|"&amp;RIGHT("000000"&amp;1717,6),LdCKeyM,0),"")</f>
        <v/>
      </c>
    </row>
    <row r="1734">
      <c r="A1734" s="19" t="n">
        <v>1718</v>
      </c>
      <c r="B1734" s="20">
        <f>IF(AND($L1734="",$M1734="",$N1734=""),"",IF($L1734&lt;&gt;"",INDEX(LdADate,$L1734),IF($M1734&lt;&gt;"",INDEX(LdBDate,$M1734),INDEX(LdCDate,$N1734))))</f>
        <v/>
      </c>
      <c r="C1734" s="20">
        <f>IF($L1734&lt;&gt;"","دستمزد (فردی)",IF($M1734&lt;&gt;"","سهم از گروه "&amp;IFERROR(VLOOKUP(INDEX(LdBGroup,$M1734),WGTbl,2,0),INDEX(LdBGroup,$M1734)),IF($N1734&lt;&gt;"",IF(N(INDEX(LdCDep,$N1734))&gt;0,"بازگشت بانکی","پرداخت بانکی"),"")))</f>
        <v/>
      </c>
      <c r="D1734" s="20">
        <f>IF($L1734&lt;&gt;"",IF(INDEX(LdAId,$L1734)="","—",INDEX(LdAId,$L1734)),IF($M1734&lt;&gt;"",IF(INDEX(LdBId,$M1734)="","—",INDEX(LdBId,$M1734)),IF($N1734&lt;&gt;"",IF(INDEX(LdCBank,$N1734)="","—",INDEX(LdCBank,$N1734)),"")))</f>
        <v/>
      </c>
      <c r="E1734" s="21">
        <f>IF($L1734&lt;&gt;"",IF(INDEX(LdAAmt,$L1734)=0,"",INDEX(LdAAmt,$L1734)),IF($M1734&lt;&gt;"",IF(INDEX(LdBAmt,$M1734)=0,"",INDEX(LdBAmt,$M1734)),IF($N1734&lt;&gt;"",IF(INDEX(LdCDep,$N1734)=0,"",INDEX(LdCDep,$N1734)),"")))</f>
        <v/>
      </c>
      <c r="F1734" s="21">
        <f>IF(AND($L1734="",$M1734="",$N1734=""),"",IF($N1734="","",IF(INDEX(LdCWit,$N1734)=0,"",INDEX(LdCWit,$N1734))))</f>
        <v/>
      </c>
      <c r="G1734" s="31">
        <f>IF($B1734="","",IF($G1733="",0,$G1733)+IF($E1734="",0,$E1734)-IF($F1734="",0,$F1734))</f>
        <v/>
      </c>
      <c r="H1734" s="32">
        <f>IF(AND($L1734="",$M1734="",$N1734=""),"",IF($L1734&lt;&gt;"",IF(INDEX(LdANote,$L1734)="","—",INDEX(LdANote,$L1734)),IF($M1734&lt;&gt;"",IF(INDEX(LdBNote,$M1734)="","—",INDEX(LdBNote,$M1734)),IF($N1734&lt;&gt;"",IF(INDEX(LdCNote,$N1734)="","—",INDEX(LdCNote,$N1734)),""))))</f>
        <v/>
      </c>
      <c r="L1734">
        <f>IFERROR(MATCH($C$5&amp;"|"&amp;RIGHT("000000"&amp;1718,6),LdAKeyM,0),"")</f>
        <v/>
      </c>
      <c r="M1734">
        <f>IFERROR(MATCH($C$5&amp;"|"&amp;RIGHT("000000"&amp;1718,6),LdBKeyM,0),"")</f>
        <v/>
      </c>
      <c r="N1734">
        <f>IFERROR(MATCH($C$5&amp;"|"&amp;RIGHT("000000"&amp;1718,6),LdCKeyM,0),"")</f>
        <v/>
      </c>
    </row>
    <row r="1735">
      <c r="A1735" s="10" t="n">
        <v>1719</v>
      </c>
      <c r="B1735" s="14">
        <f>IF(AND($L1735="",$M1735="",$N1735=""),"",IF($L1735&lt;&gt;"",INDEX(LdADate,$L1735),IF($M1735&lt;&gt;"",INDEX(LdBDate,$M1735),INDEX(LdCDate,$N1735))))</f>
        <v/>
      </c>
      <c r="C1735" s="14">
        <f>IF($L1735&lt;&gt;"","دستمزد (فردی)",IF($M1735&lt;&gt;"","سهم از گروه "&amp;IFERROR(VLOOKUP(INDEX(LdBGroup,$M1735),WGTbl,2,0),INDEX(LdBGroup,$M1735)),IF($N1735&lt;&gt;"",IF(N(INDEX(LdCDep,$N1735))&gt;0,"بازگشت بانکی","پرداخت بانکی"),"")))</f>
        <v/>
      </c>
      <c r="D1735" s="14">
        <f>IF($L1735&lt;&gt;"",IF(INDEX(LdAId,$L1735)="","—",INDEX(LdAId,$L1735)),IF($M1735&lt;&gt;"",IF(INDEX(LdBId,$M1735)="","—",INDEX(LdBId,$M1735)),IF($N1735&lt;&gt;"",IF(INDEX(LdCBank,$N1735)="","—",INDEX(LdCBank,$N1735)),"")))</f>
        <v/>
      </c>
      <c r="E1735" s="16">
        <f>IF($L1735&lt;&gt;"",IF(INDEX(LdAAmt,$L1735)=0,"",INDEX(LdAAmt,$L1735)),IF($M1735&lt;&gt;"",IF(INDEX(LdBAmt,$M1735)=0,"",INDEX(LdBAmt,$M1735)),IF($N1735&lt;&gt;"",IF(INDEX(LdCDep,$N1735)=0,"",INDEX(LdCDep,$N1735)),"")))</f>
        <v/>
      </c>
      <c r="F1735" s="16">
        <f>IF(AND($L1735="",$M1735="",$N1735=""),"",IF($N1735="","",IF(INDEX(LdCWit,$N1735)=0,"",INDEX(LdCWit,$N1735))))</f>
        <v/>
      </c>
      <c r="G1735" s="29">
        <f>IF($B1735="","",IF($G1734="",0,$G1734)+IF($E1735="",0,$E1735)-IF($F1735="",0,$F1735))</f>
        <v/>
      </c>
      <c r="H1735" s="30">
        <f>IF(AND($L1735="",$M1735="",$N1735=""),"",IF($L1735&lt;&gt;"",IF(INDEX(LdANote,$L1735)="","—",INDEX(LdANote,$L1735)),IF($M1735&lt;&gt;"",IF(INDEX(LdBNote,$M1735)="","—",INDEX(LdBNote,$M1735)),IF($N1735&lt;&gt;"",IF(INDEX(LdCNote,$N1735)="","—",INDEX(LdCNote,$N1735)),""))))</f>
        <v/>
      </c>
      <c r="L1735">
        <f>IFERROR(MATCH($C$5&amp;"|"&amp;RIGHT("000000"&amp;1719,6),LdAKeyM,0),"")</f>
        <v/>
      </c>
      <c r="M1735">
        <f>IFERROR(MATCH($C$5&amp;"|"&amp;RIGHT("000000"&amp;1719,6),LdBKeyM,0),"")</f>
        <v/>
      </c>
      <c r="N1735">
        <f>IFERROR(MATCH($C$5&amp;"|"&amp;RIGHT("000000"&amp;1719,6),LdCKeyM,0),"")</f>
        <v/>
      </c>
    </row>
    <row r="1736">
      <c r="A1736" s="19" t="n">
        <v>1720</v>
      </c>
      <c r="B1736" s="20">
        <f>IF(AND($L1736="",$M1736="",$N1736=""),"",IF($L1736&lt;&gt;"",INDEX(LdADate,$L1736),IF($M1736&lt;&gt;"",INDEX(LdBDate,$M1736),INDEX(LdCDate,$N1736))))</f>
        <v/>
      </c>
      <c r="C1736" s="20">
        <f>IF($L1736&lt;&gt;"","دستمزد (فردی)",IF($M1736&lt;&gt;"","سهم از گروه "&amp;IFERROR(VLOOKUP(INDEX(LdBGroup,$M1736),WGTbl,2,0),INDEX(LdBGroup,$M1736)),IF($N1736&lt;&gt;"",IF(N(INDEX(LdCDep,$N1736))&gt;0,"بازگشت بانکی","پرداخت بانکی"),"")))</f>
        <v/>
      </c>
      <c r="D1736" s="20">
        <f>IF($L1736&lt;&gt;"",IF(INDEX(LdAId,$L1736)="","—",INDEX(LdAId,$L1736)),IF($M1736&lt;&gt;"",IF(INDEX(LdBId,$M1736)="","—",INDEX(LdBId,$M1736)),IF($N1736&lt;&gt;"",IF(INDEX(LdCBank,$N1736)="","—",INDEX(LdCBank,$N1736)),"")))</f>
        <v/>
      </c>
      <c r="E1736" s="21">
        <f>IF($L1736&lt;&gt;"",IF(INDEX(LdAAmt,$L1736)=0,"",INDEX(LdAAmt,$L1736)),IF($M1736&lt;&gt;"",IF(INDEX(LdBAmt,$M1736)=0,"",INDEX(LdBAmt,$M1736)),IF($N1736&lt;&gt;"",IF(INDEX(LdCDep,$N1736)=0,"",INDEX(LdCDep,$N1736)),"")))</f>
        <v/>
      </c>
      <c r="F1736" s="21">
        <f>IF(AND($L1736="",$M1736="",$N1736=""),"",IF($N1736="","",IF(INDEX(LdCWit,$N1736)=0,"",INDEX(LdCWit,$N1736))))</f>
        <v/>
      </c>
      <c r="G1736" s="31">
        <f>IF($B1736="","",IF($G1735="",0,$G1735)+IF($E1736="",0,$E1736)-IF($F1736="",0,$F1736))</f>
        <v/>
      </c>
      <c r="H1736" s="32">
        <f>IF(AND($L1736="",$M1736="",$N1736=""),"",IF($L1736&lt;&gt;"",IF(INDEX(LdANote,$L1736)="","—",INDEX(LdANote,$L1736)),IF($M1736&lt;&gt;"",IF(INDEX(LdBNote,$M1736)="","—",INDEX(LdBNote,$M1736)),IF($N1736&lt;&gt;"",IF(INDEX(LdCNote,$N1736)="","—",INDEX(LdCNote,$N1736)),""))))</f>
        <v/>
      </c>
      <c r="L1736">
        <f>IFERROR(MATCH($C$5&amp;"|"&amp;RIGHT("000000"&amp;1720,6),LdAKeyM,0),"")</f>
        <v/>
      </c>
      <c r="M1736">
        <f>IFERROR(MATCH($C$5&amp;"|"&amp;RIGHT("000000"&amp;1720,6),LdBKeyM,0),"")</f>
        <v/>
      </c>
      <c r="N1736">
        <f>IFERROR(MATCH($C$5&amp;"|"&amp;RIGHT("000000"&amp;1720,6),LdCKeyM,0),"")</f>
        <v/>
      </c>
    </row>
    <row r="1737">
      <c r="A1737" s="10" t="n">
        <v>1721</v>
      </c>
      <c r="B1737" s="14">
        <f>IF(AND($L1737="",$M1737="",$N1737=""),"",IF($L1737&lt;&gt;"",INDEX(LdADate,$L1737),IF($M1737&lt;&gt;"",INDEX(LdBDate,$M1737),INDEX(LdCDate,$N1737))))</f>
        <v/>
      </c>
      <c r="C1737" s="14">
        <f>IF($L1737&lt;&gt;"","دستمزد (فردی)",IF($M1737&lt;&gt;"","سهم از گروه "&amp;IFERROR(VLOOKUP(INDEX(LdBGroup,$M1737),WGTbl,2,0),INDEX(LdBGroup,$M1737)),IF($N1737&lt;&gt;"",IF(N(INDEX(LdCDep,$N1737))&gt;0,"بازگشت بانکی","پرداخت بانکی"),"")))</f>
        <v/>
      </c>
      <c r="D1737" s="14">
        <f>IF($L1737&lt;&gt;"",IF(INDEX(LdAId,$L1737)="","—",INDEX(LdAId,$L1737)),IF($M1737&lt;&gt;"",IF(INDEX(LdBId,$M1737)="","—",INDEX(LdBId,$M1737)),IF($N1737&lt;&gt;"",IF(INDEX(LdCBank,$N1737)="","—",INDEX(LdCBank,$N1737)),"")))</f>
        <v/>
      </c>
      <c r="E1737" s="16">
        <f>IF($L1737&lt;&gt;"",IF(INDEX(LdAAmt,$L1737)=0,"",INDEX(LdAAmt,$L1737)),IF($M1737&lt;&gt;"",IF(INDEX(LdBAmt,$M1737)=0,"",INDEX(LdBAmt,$M1737)),IF($N1737&lt;&gt;"",IF(INDEX(LdCDep,$N1737)=0,"",INDEX(LdCDep,$N1737)),"")))</f>
        <v/>
      </c>
      <c r="F1737" s="16">
        <f>IF(AND($L1737="",$M1737="",$N1737=""),"",IF($N1737="","",IF(INDEX(LdCWit,$N1737)=0,"",INDEX(LdCWit,$N1737))))</f>
        <v/>
      </c>
      <c r="G1737" s="29">
        <f>IF($B1737="","",IF($G1736="",0,$G1736)+IF($E1737="",0,$E1737)-IF($F1737="",0,$F1737))</f>
        <v/>
      </c>
      <c r="H1737" s="30">
        <f>IF(AND($L1737="",$M1737="",$N1737=""),"",IF($L1737&lt;&gt;"",IF(INDEX(LdANote,$L1737)="","—",INDEX(LdANote,$L1737)),IF($M1737&lt;&gt;"",IF(INDEX(LdBNote,$M1737)="","—",INDEX(LdBNote,$M1737)),IF($N1737&lt;&gt;"",IF(INDEX(LdCNote,$N1737)="","—",INDEX(LdCNote,$N1737)),""))))</f>
        <v/>
      </c>
      <c r="L1737">
        <f>IFERROR(MATCH($C$5&amp;"|"&amp;RIGHT("000000"&amp;1721,6),LdAKeyM,0),"")</f>
        <v/>
      </c>
      <c r="M1737">
        <f>IFERROR(MATCH($C$5&amp;"|"&amp;RIGHT("000000"&amp;1721,6),LdBKeyM,0),"")</f>
        <v/>
      </c>
      <c r="N1737">
        <f>IFERROR(MATCH($C$5&amp;"|"&amp;RIGHT("000000"&amp;1721,6),LdCKeyM,0),"")</f>
        <v/>
      </c>
    </row>
    <row r="1738">
      <c r="A1738" s="19" t="n">
        <v>1722</v>
      </c>
      <c r="B1738" s="20">
        <f>IF(AND($L1738="",$M1738="",$N1738=""),"",IF($L1738&lt;&gt;"",INDEX(LdADate,$L1738),IF($M1738&lt;&gt;"",INDEX(LdBDate,$M1738),INDEX(LdCDate,$N1738))))</f>
        <v/>
      </c>
      <c r="C1738" s="20">
        <f>IF($L1738&lt;&gt;"","دستمزد (فردی)",IF($M1738&lt;&gt;"","سهم از گروه "&amp;IFERROR(VLOOKUP(INDEX(LdBGroup,$M1738),WGTbl,2,0),INDEX(LdBGroup,$M1738)),IF($N1738&lt;&gt;"",IF(N(INDEX(LdCDep,$N1738))&gt;0,"بازگشت بانکی","پرداخت بانکی"),"")))</f>
        <v/>
      </c>
      <c r="D1738" s="20">
        <f>IF($L1738&lt;&gt;"",IF(INDEX(LdAId,$L1738)="","—",INDEX(LdAId,$L1738)),IF($M1738&lt;&gt;"",IF(INDEX(LdBId,$M1738)="","—",INDEX(LdBId,$M1738)),IF($N1738&lt;&gt;"",IF(INDEX(LdCBank,$N1738)="","—",INDEX(LdCBank,$N1738)),"")))</f>
        <v/>
      </c>
      <c r="E1738" s="21">
        <f>IF($L1738&lt;&gt;"",IF(INDEX(LdAAmt,$L1738)=0,"",INDEX(LdAAmt,$L1738)),IF($M1738&lt;&gt;"",IF(INDEX(LdBAmt,$M1738)=0,"",INDEX(LdBAmt,$M1738)),IF($N1738&lt;&gt;"",IF(INDEX(LdCDep,$N1738)=0,"",INDEX(LdCDep,$N1738)),"")))</f>
        <v/>
      </c>
      <c r="F1738" s="21">
        <f>IF(AND($L1738="",$M1738="",$N1738=""),"",IF($N1738="","",IF(INDEX(LdCWit,$N1738)=0,"",INDEX(LdCWit,$N1738))))</f>
        <v/>
      </c>
      <c r="G1738" s="31">
        <f>IF($B1738="","",IF($G1737="",0,$G1737)+IF($E1738="",0,$E1738)-IF($F1738="",0,$F1738))</f>
        <v/>
      </c>
      <c r="H1738" s="32">
        <f>IF(AND($L1738="",$M1738="",$N1738=""),"",IF($L1738&lt;&gt;"",IF(INDEX(LdANote,$L1738)="","—",INDEX(LdANote,$L1738)),IF($M1738&lt;&gt;"",IF(INDEX(LdBNote,$M1738)="","—",INDEX(LdBNote,$M1738)),IF($N1738&lt;&gt;"",IF(INDEX(LdCNote,$N1738)="","—",INDEX(LdCNote,$N1738)),""))))</f>
        <v/>
      </c>
      <c r="L1738">
        <f>IFERROR(MATCH($C$5&amp;"|"&amp;RIGHT("000000"&amp;1722,6),LdAKeyM,0),"")</f>
        <v/>
      </c>
      <c r="M1738">
        <f>IFERROR(MATCH($C$5&amp;"|"&amp;RIGHT("000000"&amp;1722,6),LdBKeyM,0),"")</f>
        <v/>
      </c>
      <c r="N1738">
        <f>IFERROR(MATCH($C$5&amp;"|"&amp;RIGHT("000000"&amp;1722,6),LdCKeyM,0),"")</f>
        <v/>
      </c>
    </row>
    <row r="1739">
      <c r="A1739" s="10" t="n">
        <v>1723</v>
      </c>
      <c r="B1739" s="14">
        <f>IF(AND($L1739="",$M1739="",$N1739=""),"",IF($L1739&lt;&gt;"",INDEX(LdADate,$L1739),IF($M1739&lt;&gt;"",INDEX(LdBDate,$M1739),INDEX(LdCDate,$N1739))))</f>
        <v/>
      </c>
      <c r="C1739" s="14">
        <f>IF($L1739&lt;&gt;"","دستمزد (فردی)",IF($M1739&lt;&gt;"","سهم از گروه "&amp;IFERROR(VLOOKUP(INDEX(LdBGroup,$M1739),WGTbl,2,0),INDEX(LdBGroup,$M1739)),IF($N1739&lt;&gt;"",IF(N(INDEX(LdCDep,$N1739))&gt;0,"بازگشت بانکی","پرداخت بانکی"),"")))</f>
        <v/>
      </c>
      <c r="D1739" s="14">
        <f>IF($L1739&lt;&gt;"",IF(INDEX(LdAId,$L1739)="","—",INDEX(LdAId,$L1739)),IF($M1739&lt;&gt;"",IF(INDEX(LdBId,$M1739)="","—",INDEX(LdBId,$M1739)),IF($N1739&lt;&gt;"",IF(INDEX(LdCBank,$N1739)="","—",INDEX(LdCBank,$N1739)),"")))</f>
        <v/>
      </c>
      <c r="E1739" s="16">
        <f>IF($L1739&lt;&gt;"",IF(INDEX(LdAAmt,$L1739)=0,"",INDEX(LdAAmt,$L1739)),IF($M1739&lt;&gt;"",IF(INDEX(LdBAmt,$M1739)=0,"",INDEX(LdBAmt,$M1739)),IF($N1739&lt;&gt;"",IF(INDEX(LdCDep,$N1739)=0,"",INDEX(LdCDep,$N1739)),"")))</f>
        <v/>
      </c>
      <c r="F1739" s="16">
        <f>IF(AND($L1739="",$M1739="",$N1739=""),"",IF($N1739="","",IF(INDEX(LdCWit,$N1739)=0,"",INDEX(LdCWit,$N1739))))</f>
        <v/>
      </c>
      <c r="G1739" s="29">
        <f>IF($B1739="","",IF($G1738="",0,$G1738)+IF($E1739="",0,$E1739)-IF($F1739="",0,$F1739))</f>
        <v/>
      </c>
      <c r="H1739" s="30">
        <f>IF(AND($L1739="",$M1739="",$N1739=""),"",IF($L1739&lt;&gt;"",IF(INDEX(LdANote,$L1739)="","—",INDEX(LdANote,$L1739)),IF($M1739&lt;&gt;"",IF(INDEX(LdBNote,$M1739)="","—",INDEX(LdBNote,$M1739)),IF($N1739&lt;&gt;"",IF(INDEX(LdCNote,$N1739)="","—",INDEX(LdCNote,$N1739)),""))))</f>
        <v/>
      </c>
      <c r="L1739">
        <f>IFERROR(MATCH($C$5&amp;"|"&amp;RIGHT("000000"&amp;1723,6),LdAKeyM,0),"")</f>
        <v/>
      </c>
      <c r="M1739">
        <f>IFERROR(MATCH($C$5&amp;"|"&amp;RIGHT("000000"&amp;1723,6),LdBKeyM,0),"")</f>
        <v/>
      </c>
      <c r="N1739">
        <f>IFERROR(MATCH($C$5&amp;"|"&amp;RIGHT("000000"&amp;1723,6),LdCKeyM,0),"")</f>
        <v/>
      </c>
    </row>
    <row r="1740">
      <c r="A1740" s="19" t="n">
        <v>1724</v>
      </c>
      <c r="B1740" s="20">
        <f>IF(AND($L1740="",$M1740="",$N1740=""),"",IF($L1740&lt;&gt;"",INDEX(LdADate,$L1740),IF($M1740&lt;&gt;"",INDEX(LdBDate,$M1740),INDEX(LdCDate,$N1740))))</f>
        <v/>
      </c>
      <c r="C1740" s="20">
        <f>IF($L1740&lt;&gt;"","دستمزد (فردی)",IF($M1740&lt;&gt;"","سهم از گروه "&amp;IFERROR(VLOOKUP(INDEX(LdBGroup,$M1740),WGTbl,2,0),INDEX(LdBGroup,$M1740)),IF($N1740&lt;&gt;"",IF(N(INDEX(LdCDep,$N1740))&gt;0,"بازگشت بانکی","پرداخت بانکی"),"")))</f>
        <v/>
      </c>
      <c r="D1740" s="20">
        <f>IF($L1740&lt;&gt;"",IF(INDEX(LdAId,$L1740)="","—",INDEX(LdAId,$L1740)),IF($M1740&lt;&gt;"",IF(INDEX(LdBId,$M1740)="","—",INDEX(LdBId,$M1740)),IF($N1740&lt;&gt;"",IF(INDEX(LdCBank,$N1740)="","—",INDEX(LdCBank,$N1740)),"")))</f>
        <v/>
      </c>
      <c r="E1740" s="21">
        <f>IF($L1740&lt;&gt;"",IF(INDEX(LdAAmt,$L1740)=0,"",INDEX(LdAAmt,$L1740)),IF($M1740&lt;&gt;"",IF(INDEX(LdBAmt,$M1740)=0,"",INDEX(LdBAmt,$M1740)),IF($N1740&lt;&gt;"",IF(INDEX(LdCDep,$N1740)=0,"",INDEX(LdCDep,$N1740)),"")))</f>
        <v/>
      </c>
      <c r="F1740" s="21">
        <f>IF(AND($L1740="",$M1740="",$N1740=""),"",IF($N1740="","",IF(INDEX(LdCWit,$N1740)=0,"",INDEX(LdCWit,$N1740))))</f>
        <v/>
      </c>
      <c r="G1740" s="31">
        <f>IF($B1740="","",IF($G1739="",0,$G1739)+IF($E1740="",0,$E1740)-IF($F1740="",0,$F1740))</f>
        <v/>
      </c>
      <c r="H1740" s="32">
        <f>IF(AND($L1740="",$M1740="",$N1740=""),"",IF($L1740&lt;&gt;"",IF(INDEX(LdANote,$L1740)="","—",INDEX(LdANote,$L1740)),IF($M1740&lt;&gt;"",IF(INDEX(LdBNote,$M1740)="","—",INDEX(LdBNote,$M1740)),IF($N1740&lt;&gt;"",IF(INDEX(LdCNote,$N1740)="","—",INDEX(LdCNote,$N1740)),""))))</f>
        <v/>
      </c>
      <c r="L1740">
        <f>IFERROR(MATCH($C$5&amp;"|"&amp;RIGHT("000000"&amp;1724,6),LdAKeyM,0),"")</f>
        <v/>
      </c>
      <c r="M1740">
        <f>IFERROR(MATCH($C$5&amp;"|"&amp;RIGHT("000000"&amp;1724,6),LdBKeyM,0),"")</f>
        <v/>
      </c>
      <c r="N1740">
        <f>IFERROR(MATCH($C$5&amp;"|"&amp;RIGHT("000000"&amp;1724,6),LdCKeyM,0),"")</f>
        <v/>
      </c>
    </row>
    <row r="1741">
      <c r="A1741" s="10" t="n">
        <v>1725</v>
      </c>
      <c r="B1741" s="14">
        <f>IF(AND($L1741="",$M1741="",$N1741=""),"",IF($L1741&lt;&gt;"",INDEX(LdADate,$L1741),IF($M1741&lt;&gt;"",INDEX(LdBDate,$M1741),INDEX(LdCDate,$N1741))))</f>
        <v/>
      </c>
      <c r="C1741" s="14">
        <f>IF($L1741&lt;&gt;"","دستمزد (فردی)",IF($M1741&lt;&gt;"","سهم از گروه "&amp;IFERROR(VLOOKUP(INDEX(LdBGroup,$M1741),WGTbl,2,0),INDEX(LdBGroup,$M1741)),IF($N1741&lt;&gt;"",IF(N(INDEX(LdCDep,$N1741))&gt;0,"بازگشت بانکی","پرداخت بانکی"),"")))</f>
        <v/>
      </c>
      <c r="D1741" s="14">
        <f>IF($L1741&lt;&gt;"",IF(INDEX(LdAId,$L1741)="","—",INDEX(LdAId,$L1741)),IF($M1741&lt;&gt;"",IF(INDEX(LdBId,$M1741)="","—",INDEX(LdBId,$M1741)),IF($N1741&lt;&gt;"",IF(INDEX(LdCBank,$N1741)="","—",INDEX(LdCBank,$N1741)),"")))</f>
        <v/>
      </c>
      <c r="E1741" s="16">
        <f>IF($L1741&lt;&gt;"",IF(INDEX(LdAAmt,$L1741)=0,"",INDEX(LdAAmt,$L1741)),IF($M1741&lt;&gt;"",IF(INDEX(LdBAmt,$M1741)=0,"",INDEX(LdBAmt,$M1741)),IF($N1741&lt;&gt;"",IF(INDEX(LdCDep,$N1741)=0,"",INDEX(LdCDep,$N1741)),"")))</f>
        <v/>
      </c>
      <c r="F1741" s="16">
        <f>IF(AND($L1741="",$M1741="",$N1741=""),"",IF($N1741="","",IF(INDEX(LdCWit,$N1741)=0,"",INDEX(LdCWit,$N1741))))</f>
        <v/>
      </c>
      <c r="G1741" s="29">
        <f>IF($B1741="","",IF($G1740="",0,$G1740)+IF($E1741="",0,$E1741)-IF($F1741="",0,$F1741))</f>
        <v/>
      </c>
      <c r="H1741" s="30">
        <f>IF(AND($L1741="",$M1741="",$N1741=""),"",IF($L1741&lt;&gt;"",IF(INDEX(LdANote,$L1741)="","—",INDEX(LdANote,$L1741)),IF($M1741&lt;&gt;"",IF(INDEX(LdBNote,$M1741)="","—",INDEX(LdBNote,$M1741)),IF($N1741&lt;&gt;"",IF(INDEX(LdCNote,$N1741)="","—",INDEX(LdCNote,$N1741)),""))))</f>
        <v/>
      </c>
      <c r="L1741">
        <f>IFERROR(MATCH($C$5&amp;"|"&amp;RIGHT("000000"&amp;1725,6),LdAKeyM,0),"")</f>
        <v/>
      </c>
      <c r="M1741">
        <f>IFERROR(MATCH($C$5&amp;"|"&amp;RIGHT("000000"&amp;1725,6),LdBKeyM,0),"")</f>
        <v/>
      </c>
      <c r="N1741">
        <f>IFERROR(MATCH($C$5&amp;"|"&amp;RIGHT("000000"&amp;1725,6),LdCKeyM,0),"")</f>
        <v/>
      </c>
    </row>
    <row r="1742">
      <c r="A1742" s="19" t="n">
        <v>1726</v>
      </c>
      <c r="B1742" s="20">
        <f>IF(AND($L1742="",$M1742="",$N1742=""),"",IF($L1742&lt;&gt;"",INDEX(LdADate,$L1742),IF($M1742&lt;&gt;"",INDEX(LdBDate,$M1742),INDEX(LdCDate,$N1742))))</f>
        <v/>
      </c>
      <c r="C1742" s="20">
        <f>IF($L1742&lt;&gt;"","دستمزد (فردی)",IF($M1742&lt;&gt;"","سهم از گروه "&amp;IFERROR(VLOOKUP(INDEX(LdBGroup,$M1742),WGTbl,2,0),INDEX(LdBGroup,$M1742)),IF($N1742&lt;&gt;"",IF(N(INDEX(LdCDep,$N1742))&gt;0,"بازگشت بانکی","پرداخت بانکی"),"")))</f>
        <v/>
      </c>
      <c r="D1742" s="20">
        <f>IF($L1742&lt;&gt;"",IF(INDEX(LdAId,$L1742)="","—",INDEX(LdAId,$L1742)),IF($M1742&lt;&gt;"",IF(INDEX(LdBId,$M1742)="","—",INDEX(LdBId,$M1742)),IF($N1742&lt;&gt;"",IF(INDEX(LdCBank,$N1742)="","—",INDEX(LdCBank,$N1742)),"")))</f>
        <v/>
      </c>
      <c r="E1742" s="21">
        <f>IF($L1742&lt;&gt;"",IF(INDEX(LdAAmt,$L1742)=0,"",INDEX(LdAAmt,$L1742)),IF($M1742&lt;&gt;"",IF(INDEX(LdBAmt,$M1742)=0,"",INDEX(LdBAmt,$M1742)),IF($N1742&lt;&gt;"",IF(INDEX(LdCDep,$N1742)=0,"",INDEX(LdCDep,$N1742)),"")))</f>
        <v/>
      </c>
      <c r="F1742" s="21">
        <f>IF(AND($L1742="",$M1742="",$N1742=""),"",IF($N1742="","",IF(INDEX(LdCWit,$N1742)=0,"",INDEX(LdCWit,$N1742))))</f>
        <v/>
      </c>
      <c r="G1742" s="31">
        <f>IF($B1742="","",IF($G1741="",0,$G1741)+IF($E1742="",0,$E1742)-IF($F1742="",0,$F1742))</f>
        <v/>
      </c>
      <c r="H1742" s="32">
        <f>IF(AND($L1742="",$M1742="",$N1742=""),"",IF($L1742&lt;&gt;"",IF(INDEX(LdANote,$L1742)="","—",INDEX(LdANote,$L1742)),IF($M1742&lt;&gt;"",IF(INDEX(LdBNote,$M1742)="","—",INDEX(LdBNote,$M1742)),IF($N1742&lt;&gt;"",IF(INDEX(LdCNote,$N1742)="","—",INDEX(LdCNote,$N1742)),""))))</f>
        <v/>
      </c>
      <c r="L1742">
        <f>IFERROR(MATCH($C$5&amp;"|"&amp;RIGHT("000000"&amp;1726,6),LdAKeyM,0),"")</f>
        <v/>
      </c>
      <c r="M1742">
        <f>IFERROR(MATCH($C$5&amp;"|"&amp;RIGHT("000000"&amp;1726,6),LdBKeyM,0),"")</f>
        <v/>
      </c>
      <c r="N1742">
        <f>IFERROR(MATCH($C$5&amp;"|"&amp;RIGHT("000000"&amp;1726,6),LdCKeyM,0),"")</f>
        <v/>
      </c>
    </row>
    <row r="1743">
      <c r="A1743" s="10" t="n">
        <v>1727</v>
      </c>
      <c r="B1743" s="14">
        <f>IF(AND($L1743="",$M1743="",$N1743=""),"",IF($L1743&lt;&gt;"",INDEX(LdADate,$L1743),IF($M1743&lt;&gt;"",INDEX(LdBDate,$M1743),INDEX(LdCDate,$N1743))))</f>
        <v/>
      </c>
      <c r="C1743" s="14">
        <f>IF($L1743&lt;&gt;"","دستمزد (فردی)",IF($M1743&lt;&gt;"","سهم از گروه "&amp;IFERROR(VLOOKUP(INDEX(LdBGroup,$M1743),WGTbl,2,0),INDEX(LdBGroup,$M1743)),IF($N1743&lt;&gt;"",IF(N(INDEX(LdCDep,$N1743))&gt;0,"بازگشت بانکی","پرداخت بانکی"),"")))</f>
        <v/>
      </c>
      <c r="D1743" s="14">
        <f>IF($L1743&lt;&gt;"",IF(INDEX(LdAId,$L1743)="","—",INDEX(LdAId,$L1743)),IF($M1743&lt;&gt;"",IF(INDEX(LdBId,$M1743)="","—",INDEX(LdBId,$M1743)),IF($N1743&lt;&gt;"",IF(INDEX(LdCBank,$N1743)="","—",INDEX(LdCBank,$N1743)),"")))</f>
        <v/>
      </c>
      <c r="E1743" s="16">
        <f>IF($L1743&lt;&gt;"",IF(INDEX(LdAAmt,$L1743)=0,"",INDEX(LdAAmt,$L1743)),IF($M1743&lt;&gt;"",IF(INDEX(LdBAmt,$M1743)=0,"",INDEX(LdBAmt,$M1743)),IF($N1743&lt;&gt;"",IF(INDEX(LdCDep,$N1743)=0,"",INDEX(LdCDep,$N1743)),"")))</f>
        <v/>
      </c>
      <c r="F1743" s="16">
        <f>IF(AND($L1743="",$M1743="",$N1743=""),"",IF($N1743="","",IF(INDEX(LdCWit,$N1743)=0,"",INDEX(LdCWit,$N1743))))</f>
        <v/>
      </c>
      <c r="G1743" s="29">
        <f>IF($B1743="","",IF($G1742="",0,$G1742)+IF($E1743="",0,$E1743)-IF($F1743="",0,$F1743))</f>
        <v/>
      </c>
      <c r="H1743" s="30">
        <f>IF(AND($L1743="",$M1743="",$N1743=""),"",IF($L1743&lt;&gt;"",IF(INDEX(LdANote,$L1743)="","—",INDEX(LdANote,$L1743)),IF($M1743&lt;&gt;"",IF(INDEX(LdBNote,$M1743)="","—",INDEX(LdBNote,$M1743)),IF($N1743&lt;&gt;"",IF(INDEX(LdCNote,$N1743)="","—",INDEX(LdCNote,$N1743)),""))))</f>
        <v/>
      </c>
      <c r="L1743">
        <f>IFERROR(MATCH($C$5&amp;"|"&amp;RIGHT("000000"&amp;1727,6),LdAKeyM,0),"")</f>
        <v/>
      </c>
      <c r="M1743">
        <f>IFERROR(MATCH($C$5&amp;"|"&amp;RIGHT("000000"&amp;1727,6),LdBKeyM,0),"")</f>
        <v/>
      </c>
      <c r="N1743">
        <f>IFERROR(MATCH($C$5&amp;"|"&amp;RIGHT("000000"&amp;1727,6),LdCKeyM,0),"")</f>
        <v/>
      </c>
    </row>
    <row r="1744">
      <c r="A1744" s="19" t="n">
        <v>1728</v>
      </c>
      <c r="B1744" s="20">
        <f>IF(AND($L1744="",$M1744="",$N1744=""),"",IF($L1744&lt;&gt;"",INDEX(LdADate,$L1744),IF($M1744&lt;&gt;"",INDEX(LdBDate,$M1744),INDEX(LdCDate,$N1744))))</f>
        <v/>
      </c>
      <c r="C1744" s="20">
        <f>IF($L1744&lt;&gt;"","دستمزد (فردی)",IF($M1744&lt;&gt;"","سهم از گروه "&amp;IFERROR(VLOOKUP(INDEX(LdBGroup,$M1744),WGTbl,2,0),INDEX(LdBGroup,$M1744)),IF($N1744&lt;&gt;"",IF(N(INDEX(LdCDep,$N1744))&gt;0,"بازگشت بانکی","پرداخت بانکی"),"")))</f>
        <v/>
      </c>
      <c r="D1744" s="20">
        <f>IF($L1744&lt;&gt;"",IF(INDEX(LdAId,$L1744)="","—",INDEX(LdAId,$L1744)),IF($M1744&lt;&gt;"",IF(INDEX(LdBId,$M1744)="","—",INDEX(LdBId,$M1744)),IF($N1744&lt;&gt;"",IF(INDEX(LdCBank,$N1744)="","—",INDEX(LdCBank,$N1744)),"")))</f>
        <v/>
      </c>
      <c r="E1744" s="21">
        <f>IF($L1744&lt;&gt;"",IF(INDEX(LdAAmt,$L1744)=0,"",INDEX(LdAAmt,$L1744)),IF($M1744&lt;&gt;"",IF(INDEX(LdBAmt,$M1744)=0,"",INDEX(LdBAmt,$M1744)),IF($N1744&lt;&gt;"",IF(INDEX(LdCDep,$N1744)=0,"",INDEX(LdCDep,$N1744)),"")))</f>
        <v/>
      </c>
      <c r="F1744" s="21">
        <f>IF(AND($L1744="",$M1744="",$N1744=""),"",IF($N1744="","",IF(INDEX(LdCWit,$N1744)=0,"",INDEX(LdCWit,$N1744))))</f>
        <v/>
      </c>
      <c r="G1744" s="31">
        <f>IF($B1744="","",IF($G1743="",0,$G1743)+IF($E1744="",0,$E1744)-IF($F1744="",0,$F1744))</f>
        <v/>
      </c>
      <c r="H1744" s="32">
        <f>IF(AND($L1744="",$M1744="",$N1744=""),"",IF($L1744&lt;&gt;"",IF(INDEX(LdANote,$L1744)="","—",INDEX(LdANote,$L1744)),IF($M1744&lt;&gt;"",IF(INDEX(LdBNote,$M1744)="","—",INDEX(LdBNote,$M1744)),IF($N1744&lt;&gt;"",IF(INDEX(LdCNote,$N1744)="","—",INDEX(LdCNote,$N1744)),""))))</f>
        <v/>
      </c>
      <c r="L1744">
        <f>IFERROR(MATCH($C$5&amp;"|"&amp;RIGHT("000000"&amp;1728,6),LdAKeyM,0),"")</f>
        <v/>
      </c>
      <c r="M1744">
        <f>IFERROR(MATCH($C$5&amp;"|"&amp;RIGHT("000000"&amp;1728,6),LdBKeyM,0),"")</f>
        <v/>
      </c>
      <c r="N1744">
        <f>IFERROR(MATCH($C$5&amp;"|"&amp;RIGHT("000000"&amp;1728,6),LdCKeyM,0),"")</f>
        <v/>
      </c>
    </row>
    <row r="1745">
      <c r="A1745" s="10" t="n">
        <v>1729</v>
      </c>
      <c r="B1745" s="14">
        <f>IF(AND($L1745="",$M1745="",$N1745=""),"",IF($L1745&lt;&gt;"",INDEX(LdADate,$L1745),IF($M1745&lt;&gt;"",INDEX(LdBDate,$M1745),INDEX(LdCDate,$N1745))))</f>
        <v/>
      </c>
      <c r="C1745" s="14">
        <f>IF($L1745&lt;&gt;"","دستمزد (فردی)",IF($M1745&lt;&gt;"","سهم از گروه "&amp;IFERROR(VLOOKUP(INDEX(LdBGroup,$M1745),WGTbl,2,0),INDEX(LdBGroup,$M1745)),IF($N1745&lt;&gt;"",IF(N(INDEX(LdCDep,$N1745))&gt;0,"بازگشت بانکی","پرداخت بانکی"),"")))</f>
        <v/>
      </c>
      <c r="D1745" s="14">
        <f>IF($L1745&lt;&gt;"",IF(INDEX(LdAId,$L1745)="","—",INDEX(LdAId,$L1745)),IF($M1745&lt;&gt;"",IF(INDEX(LdBId,$M1745)="","—",INDEX(LdBId,$M1745)),IF($N1745&lt;&gt;"",IF(INDEX(LdCBank,$N1745)="","—",INDEX(LdCBank,$N1745)),"")))</f>
        <v/>
      </c>
      <c r="E1745" s="16">
        <f>IF($L1745&lt;&gt;"",IF(INDEX(LdAAmt,$L1745)=0,"",INDEX(LdAAmt,$L1745)),IF($M1745&lt;&gt;"",IF(INDEX(LdBAmt,$M1745)=0,"",INDEX(LdBAmt,$M1745)),IF($N1745&lt;&gt;"",IF(INDEX(LdCDep,$N1745)=0,"",INDEX(LdCDep,$N1745)),"")))</f>
        <v/>
      </c>
      <c r="F1745" s="16">
        <f>IF(AND($L1745="",$M1745="",$N1745=""),"",IF($N1745="","",IF(INDEX(LdCWit,$N1745)=0,"",INDEX(LdCWit,$N1745))))</f>
        <v/>
      </c>
      <c r="G1745" s="29">
        <f>IF($B1745="","",IF($G1744="",0,$G1744)+IF($E1745="",0,$E1745)-IF($F1745="",0,$F1745))</f>
        <v/>
      </c>
      <c r="H1745" s="30">
        <f>IF(AND($L1745="",$M1745="",$N1745=""),"",IF($L1745&lt;&gt;"",IF(INDEX(LdANote,$L1745)="","—",INDEX(LdANote,$L1745)),IF($M1745&lt;&gt;"",IF(INDEX(LdBNote,$M1745)="","—",INDEX(LdBNote,$M1745)),IF($N1745&lt;&gt;"",IF(INDEX(LdCNote,$N1745)="","—",INDEX(LdCNote,$N1745)),""))))</f>
        <v/>
      </c>
      <c r="L1745">
        <f>IFERROR(MATCH($C$5&amp;"|"&amp;RIGHT("000000"&amp;1729,6),LdAKeyM,0),"")</f>
        <v/>
      </c>
      <c r="M1745">
        <f>IFERROR(MATCH($C$5&amp;"|"&amp;RIGHT("000000"&amp;1729,6),LdBKeyM,0),"")</f>
        <v/>
      </c>
      <c r="N1745">
        <f>IFERROR(MATCH($C$5&amp;"|"&amp;RIGHT("000000"&amp;1729,6),LdCKeyM,0),"")</f>
        <v/>
      </c>
    </row>
    <row r="1746">
      <c r="A1746" s="19" t="n">
        <v>1730</v>
      </c>
      <c r="B1746" s="20">
        <f>IF(AND($L1746="",$M1746="",$N1746=""),"",IF($L1746&lt;&gt;"",INDEX(LdADate,$L1746),IF($M1746&lt;&gt;"",INDEX(LdBDate,$M1746),INDEX(LdCDate,$N1746))))</f>
        <v/>
      </c>
      <c r="C1746" s="20">
        <f>IF($L1746&lt;&gt;"","دستمزد (فردی)",IF($M1746&lt;&gt;"","سهم از گروه "&amp;IFERROR(VLOOKUP(INDEX(LdBGroup,$M1746),WGTbl,2,0),INDEX(LdBGroup,$M1746)),IF($N1746&lt;&gt;"",IF(N(INDEX(LdCDep,$N1746))&gt;0,"بازگشت بانکی","پرداخت بانکی"),"")))</f>
        <v/>
      </c>
      <c r="D1746" s="20">
        <f>IF($L1746&lt;&gt;"",IF(INDEX(LdAId,$L1746)="","—",INDEX(LdAId,$L1746)),IF($M1746&lt;&gt;"",IF(INDEX(LdBId,$M1746)="","—",INDEX(LdBId,$M1746)),IF($N1746&lt;&gt;"",IF(INDEX(LdCBank,$N1746)="","—",INDEX(LdCBank,$N1746)),"")))</f>
        <v/>
      </c>
      <c r="E1746" s="21">
        <f>IF($L1746&lt;&gt;"",IF(INDEX(LdAAmt,$L1746)=0,"",INDEX(LdAAmt,$L1746)),IF($M1746&lt;&gt;"",IF(INDEX(LdBAmt,$M1746)=0,"",INDEX(LdBAmt,$M1746)),IF($N1746&lt;&gt;"",IF(INDEX(LdCDep,$N1746)=0,"",INDEX(LdCDep,$N1746)),"")))</f>
        <v/>
      </c>
      <c r="F1746" s="21">
        <f>IF(AND($L1746="",$M1746="",$N1746=""),"",IF($N1746="","",IF(INDEX(LdCWit,$N1746)=0,"",INDEX(LdCWit,$N1746))))</f>
        <v/>
      </c>
      <c r="G1746" s="31">
        <f>IF($B1746="","",IF($G1745="",0,$G1745)+IF($E1746="",0,$E1746)-IF($F1746="",0,$F1746))</f>
        <v/>
      </c>
      <c r="H1746" s="32">
        <f>IF(AND($L1746="",$M1746="",$N1746=""),"",IF($L1746&lt;&gt;"",IF(INDEX(LdANote,$L1746)="","—",INDEX(LdANote,$L1746)),IF($M1746&lt;&gt;"",IF(INDEX(LdBNote,$M1746)="","—",INDEX(LdBNote,$M1746)),IF($N1746&lt;&gt;"",IF(INDEX(LdCNote,$N1746)="","—",INDEX(LdCNote,$N1746)),""))))</f>
        <v/>
      </c>
      <c r="L1746">
        <f>IFERROR(MATCH($C$5&amp;"|"&amp;RIGHT("000000"&amp;1730,6),LdAKeyM,0),"")</f>
        <v/>
      </c>
      <c r="M1746">
        <f>IFERROR(MATCH($C$5&amp;"|"&amp;RIGHT("000000"&amp;1730,6),LdBKeyM,0),"")</f>
        <v/>
      </c>
      <c r="N1746">
        <f>IFERROR(MATCH($C$5&amp;"|"&amp;RIGHT("000000"&amp;1730,6),LdCKeyM,0),"")</f>
        <v/>
      </c>
    </row>
    <row r="1747">
      <c r="A1747" s="10" t="n">
        <v>1731</v>
      </c>
      <c r="B1747" s="14">
        <f>IF(AND($L1747="",$M1747="",$N1747=""),"",IF($L1747&lt;&gt;"",INDEX(LdADate,$L1747),IF($M1747&lt;&gt;"",INDEX(LdBDate,$M1747),INDEX(LdCDate,$N1747))))</f>
        <v/>
      </c>
      <c r="C1747" s="14">
        <f>IF($L1747&lt;&gt;"","دستمزد (فردی)",IF($M1747&lt;&gt;"","سهم از گروه "&amp;IFERROR(VLOOKUP(INDEX(LdBGroup,$M1747),WGTbl,2,0),INDEX(LdBGroup,$M1747)),IF($N1747&lt;&gt;"",IF(N(INDEX(LdCDep,$N1747))&gt;0,"بازگشت بانکی","پرداخت بانکی"),"")))</f>
        <v/>
      </c>
      <c r="D1747" s="14">
        <f>IF($L1747&lt;&gt;"",IF(INDEX(LdAId,$L1747)="","—",INDEX(LdAId,$L1747)),IF($M1747&lt;&gt;"",IF(INDEX(LdBId,$M1747)="","—",INDEX(LdBId,$M1747)),IF($N1747&lt;&gt;"",IF(INDEX(LdCBank,$N1747)="","—",INDEX(LdCBank,$N1747)),"")))</f>
        <v/>
      </c>
      <c r="E1747" s="16">
        <f>IF($L1747&lt;&gt;"",IF(INDEX(LdAAmt,$L1747)=0,"",INDEX(LdAAmt,$L1747)),IF($M1747&lt;&gt;"",IF(INDEX(LdBAmt,$M1747)=0,"",INDEX(LdBAmt,$M1747)),IF($N1747&lt;&gt;"",IF(INDEX(LdCDep,$N1747)=0,"",INDEX(LdCDep,$N1747)),"")))</f>
        <v/>
      </c>
      <c r="F1747" s="16">
        <f>IF(AND($L1747="",$M1747="",$N1747=""),"",IF($N1747="","",IF(INDEX(LdCWit,$N1747)=0,"",INDEX(LdCWit,$N1747))))</f>
        <v/>
      </c>
      <c r="G1747" s="29">
        <f>IF($B1747="","",IF($G1746="",0,$G1746)+IF($E1747="",0,$E1747)-IF($F1747="",0,$F1747))</f>
        <v/>
      </c>
      <c r="H1747" s="30">
        <f>IF(AND($L1747="",$M1747="",$N1747=""),"",IF($L1747&lt;&gt;"",IF(INDEX(LdANote,$L1747)="","—",INDEX(LdANote,$L1747)),IF($M1747&lt;&gt;"",IF(INDEX(LdBNote,$M1747)="","—",INDEX(LdBNote,$M1747)),IF($N1747&lt;&gt;"",IF(INDEX(LdCNote,$N1747)="","—",INDEX(LdCNote,$N1747)),""))))</f>
        <v/>
      </c>
      <c r="L1747">
        <f>IFERROR(MATCH($C$5&amp;"|"&amp;RIGHT("000000"&amp;1731,6),LdAKeyM,0),"")</f>
        <v/>
      </c>
      <c r="M1747">
        <f>IFERROR(MATCH($C$5&amp;"|"&amp;RIGHT("000000"&amp;1731,6),LdBKeyM,0),"")</f>
        <v/>
      </c>
      <c r="N1747">
        <f>IFERROR(MATCH($C$5&amp;"|"&amp;RIGHT("000000"&amp;1731,6),LdCKeyM,0),"")</f>
        <v/>
      </c>
    </row>
    <row r="1748">
      <c r="A1748" s="19" t="n">
        <v>1732</v>
      </c>
      <c r="B1748" s="20">
        <f>IF(AND($L1748="",$M1748="",$N1748=""),"",IF($L1748&lt;&gt;"",INDEX(LdADate,$L1748),IF($M1748&lt;&gt;"",INDEX(LdBDate,$M1748),INDEX(LdCDate,$N1748))))</f>
        <v/>
      </c>
      <c r="C1748" s="20">
        <f>IF($L1748&lt;&gt;"","دستمزد (فردی)",IF($M1748&lt;&gt;"","سهم از گروه "&amp;IFERROR(VLOOKUP(INDEX(LdBGroup,$M1748),WGTbl,2,0),INDEX(LdBGroup,$M1748)),IF($N1748&lt;&gt;"",IF(N(INDEX(LdCDep,$N1748))&gt;0,"بازگشت بانکی","پرداخت بانکی"),"")))</f>
        <v/>
      </c>
      <c r="D1748" s="20">
        <f>IF($L1748&lt;&gt;"",IF(INDEX(LdAId,$L1748)="","—",INDEX(LdAId,$L1748)),IF($M1748&lt;&gt;"",IF(INDEX(LdBId,$M1748)="","—",INDEX(LdBId,$M1748)),IF($N1748&lt;&gt;"",IF(INDEX(LdCBank,$N1748)="","—",INDEX(LdCBank,$N1748)),"")))</f>
        <v/>
      </c>
      <c r="E1748" s="21">
        <f>IF($L1748&lt;&gt;"",IF(INDEX(LdAAmt,$L1748)=0,"",INDEX(LdAAmt,$L1748)),IF($M1748&lt;&gt;"",IF(INDEX(LdBAmt,$M1748)=0,"",INDEX(LdBAmt,$M1748)),IF($N1748&lt;&gt;"",IF(INDEX(LdCDep,$N1748)=0,"",INDEX(LdCDep,$N1748)),"")))</f>
        <v/>
      </c>
      <c r="F1748" s="21">
        <f>IF(AND($L1748="",$M1748="",$N1748=""),"",IF($N1748="","",IF(INDEX(LdCWit,$N1748)=0,"",INDEX(LdCWit,$N1748))))</f>
        <v/>
      </c>
      <c r="G1748" s="31">
        <f>IF($B1748="","",IF($G1747="",0,$G1747)+IF($E1748="",0,$E1748)-IF($F1748="",0,$F1748))</f>
        <v/>
      </c>
      <c r="H1748" s="32">
        <f>IF(AND($L1748="",$M1748="",$N1748=""),"",IF($L1748&lt;&gt;"",IF(INDEX(LdANote,$L1748)="","—",INDEX(LdANote,$L1748)),IF($M1748&lt;&gt;"",IF(INDEX(LdBNote,$M1748)="","—",INDEX(LdBNote,$M1748)),IF($N1748&lt;&gt;"",IF(INDEX(LdCNote,$N1748)="","—",INDEX(LdCNote,$N1748)),""))))</f>
        <v/>
      </c>
      <c r="L1748">
        <f>IFERROR(MATCH($C$5&amp;"|"&amp;RIGHT("000000"&amp;1732,6),LdAKeyM,0),"")</f>
        <v/>
      </c>
      <c r="M1748">
        <f>IFERROR(MATCH($C$5&amp;"|"&amp;RIGHT("000000"&amp;1732,6),LdBKeyM,0),"")</f>
        <v/>
      </c>
      <c r="N1748">
        <f>IFERROR(MATCH($C$5&amp;"|"&amp;RIGHT("000000"&amp;1732,6),LdCKeyM,0),"")</f>
        <v/>
      </c>
    </row>
    <row r="1749">
      <c r="A1749" s="10" t="n">
        <v>1733</v>
      </c>
      <c r="B1749" s="14">
        <f>IF(AND($L1749="",$M1749="",$N1749=""),"",IF($L1749&lt;&gt;"",INDEX(LdADate,$L1749),IF($M1749&lt;&gt;"",INDEX(LdBDate,$M1749),INDEX(LdCDate,$N1749))))</f>
        <v/>
      </c>
      <c r="C1749" s="14">
        <f>IF($L1749&lt;&gt;"","دستمزد (فردی)",IF($M1749&lt;&gt;"","سهم از گروه "&amp;IFERROR(VLOOKUP(INDEX(LdBGroup,$M1749),WGTbl,2,0),INDEX(LdBGroup,$M1749)),IF($N1749&lt;&gt;"",IF(N(INDEX(LdCDep,$N1749))&gt;0,"بازگشت بانکی","پرداخت بانکی"),"")))</f>
        <v/>
      </c>
      <c r="D1749" s="14">
        <f>IF($L1749&lt;&gt;"",IF(INDEX(LdAId,$L1749)="","—",INDEX(LdAId,$L1749)),IF($M1749&lt;&gt;"",IF(INDEX(LdBId,$M1749)="","—",INDEX(LdBId,$M1749)),IF($N1749&lt;&gt;"",IF(INDEX(LdCBank,$N1749)="","—",INDEX(LdCBank,$N1749)),"")))</f>
        <v/>
      </c>
      <c r="E1749" s="16">
        <f>IF($L1749&lt;&gt;"",IF(INDEX(LdAAmt,$L1749)=0,"",INDEX(LdAAmt,$L1749)),IF($M1749&lt;&gt;"",IF(INDEX(LdBAmt,$M1749)=0,"",INDEX(LdBAmt,$M1749)),IF($N1749&lt;&gt;"",IF(INDEX(LdCDep,$N1749)=0,"",INDEX(LdCDep,$N1749)),"")))</f>
        <v/>
      </c>
      <c r="F1749" s="16">
        <f>IF(AND($L1749="",$M1749="",$N1749=""),"",IF($N1749="","",IF(INDEX(LdCWit,$N1749)=0,"",INDEX(LdCWit,$N1749))))</f>
        <v/>
      </c>
      <c r="G1749" s="29">
        <f>IF($B1749="","",IF($G1748="",0,$G1748)+IF($E1749="",0,$E1749)-IF($F1749="",0,$F1749))</f>
        <v/>
      </c>
      <c r="H1749" s="30">
        <f>IF(AND($L1749="",$M1749="",$N1749=""),"",IF($L1749&lt;&gt;"",IF(INDEX(LdANote,$L1749)="","—",INDEX(LdANote,$L1749)),IF($M1749&lt;&gt;"",IF(INDEX(LdBNote,$M1749)="","—",INDEX(LdBNote,$M1749)),IF($N1749&lt;&gt;"",IF(INDEX(LdCNote,$N1749)="","—",INDEX(LdCNote,$N1749)),""))))</f>
        <v/>
      </c>
      <c r="L1749">
        <f>IFERROR(MATCH($C$5&amp;"|"&amp;RIGHT("000000"&amp;1733,6),LdAKeyM,0),"")</f>
        <v/>
      </c>
      <c r="M1749">
        <f>IFERROR(MATCH($C$5&amp;"|"&amp;RIGHT("000000"&amp;1733,6),LdBKeyM,0),"")</f>
        <v/>
      </c>
      <c r="N1749">
        <f>IFERROR(MATCH($C$5&amp;"|"&amp;RIGHT("000000"&amp;1733,6),LdCKeyM,0),"")</f>
        <v/>
      </c>
    </row>
    <row r="1750">
      <c r="A1750" s="19" t="n">
        <v>1734</v>
      </c>
      <c r="B1750" s="20">
        <f>IF(AND($L1750="",$M1750="",$N1750=""),"",IF($L1750&lt;&gt;"",INDEX(LdADate,$L1750),IF($M1750&lt;&gt;"",INDEX(LdBDate,$M1750),INDEX(LdCDate,$N1750))))</f>
        <v/>
      </c>
      <c r="C1750" s="20">
        <f>IF($L1750&lt;&gt;"","دستمزد (فردی)",IF($M1750&lt;&gt;"","سهم از گروه "&amp;IFERROR(VLOOKUP(INDEX(LdBGroup,$M1750),WGTbl,2,0),INDEX(LdBGroup,$M1750)),IF($N1750&lt;&gt;"",IF(N(INDEX(LdCDep,$N1750))&gt;0,"بازگشت بانکی","پرداخت بانکی"),"")))</f>
        <v/>
      </c>
      <c r="D1750" s="20">
        <f>IF($L1750&lt;&gt;"",IF(INDEX(LdAId,$L1750)="","—",INDEX(LdAId,$L1750)),IF($M1750&lt;&gt;"",IF(INDEX(LdBId,$M1750)="","—",INDEX(LdBId,$M1750)),IF($N1750&lt;&gt;"",IF(INDEX(LdCBank,$N1750)="","—",INDEX(LdCBank,$N1750)),"")))</f>
        <v/>
      </c>
      <c r="E1750" s="21">
        <f>IF($L1750&lt;&gt;"",IF(INDEX(LdAAmt,$L1750)=0,"",INDEX(LdAAmt,$L1750)),IF($M1750&lt;&gt;"",IF(INDEX(LdBAmt,$M1750)=0,"",INDEX(LdBAmt,$M1750)),IF($N1750&lt;&gt;"",IF(INDEX(LdCDep,$N1750)=0,"",INDEX(LdCDep,$N1750)),"")))</f>
        <v/>
      </c>
      <c r="F1750" s="21">
        <f>IF(AND($L1750="",$M1750="",$N1750=""),"",IF($N1750="","",IF(INDEX(LdCWit,$N1750)=0,"",INDEX(LdCWit,$N1750))))</f>
        <v/>
      </c>
      <c r="G1750" s="31">
        <f>IF($B1750="","",IF($G1749="",0,$G1749)+IF($E1750="",0,$E1750)-IF($F1750="",0,$F1750))</f>
        <v/>
      </c>
      <c r="H1750" s="32">
        <f>IF(AND($L1750="",$M1750="",$N1750=""),"",IF($L1750&lt;&gt;"",IF(INDEX(LdANote,$L1750)="","—",INDEX(LdANote,$L1750)),IF($M1750&lt;&gt;"",IF(INDEX(LdBNote,$M1750)="","—",INDEX(LdBNote,$M1750)),IF($N1750&lt;&gt;"",IF(INDEX(LdCNote,$N1750)="","—",INDEX(LdCNote,$N1750)),""))))</f>
        <v/>
      </c>
      <c r="L1750">
        <f>IFERROR(MATCH($C$5&amp;"|"&amp;RIGHT("000000"&amp;1734,6),LdAKeyM,0),"")</f>
        <v/>
      </c>
      <c r="M1750">
        <f>IFERROR(MATCH($C$5&amp;"|"&amp;RIGHT("000000"&amp;1734,6),LdBKeyM,0),"")</f>
        <v/>
      </c>
      <c r="N1750">
        <f>IFERROR(MATCH($C$5&amp;"|"&amp;RIGHT("000000"&amp;1734,6),LdCKeyM,0),"")</f>
        <v/>
      </c>
    </row>
    <row r="1751">
      <c r="A1751" s="10" t="n">
        <v>1735</v>
      </c>
      <c r="B1751" s="14">
        <f>IF(AND($L1751="",$M1751="",$N1751=""),"",IF($L1751&lt;&gt;"",INDEX(LdADate,$L1751),IF($M1751&lt;&gt;"",INDEX(LdBDate,$M1751),INDEX(LdCDate,$N1751))))</f>
        <v/>
      </c>
      <c r="C1751" s="14">
        <f>IF($L1751&lt;&gt;"","دستمزد (فردی)",IF($M1751&lt;&gt;"","سهم از گروه "&amp;IFERROR(VLOOKUP(INDEX(LdBGroup,$M1751),WGTbl,2,0),INDEX(LdBGroup,$M1751)),IF($N1751&lt;&gt;"",IF(N(INDEX(LdCDep,$N1751))&gt;0,"بازگشت بانکی","پرداخت بانکی"),"")))</f>
        <v/>
      </c>
      <c r="D1751" s="14">
        <f>IF($L1751&lt;&gt;"",IF(INDEX(LdAId,$L1751)="","—",INDEX(LdAId,$L1751)),IF($M1751&lt;&gt;"",IF(INDEX(LdBId,$M1751)="","—",INDEX(LdBId,$M1751)),IF($N1751&lt;&gt;"",IF(INDEX(LdCBank,$N1751)="","—",INDEX(LdCBank,$N1751)),"")))</f>
        <v/>
      </c>
      <c r="E1751" s="16">
        <f>IF($L1751&lt;&gt;"",IF(INDEX(LdAAmt,$L1751)=0,"",INDEX(LdAAmt,$L1751)),IF($M1751&lt;&gt;"",IF(INDEX(LdBAmt,$M1751)=0,"",INDEX(LdBAmt,$M1751)),IF($N1751&lt;&gt;"",IF(INDEX(LdCDep,$N1751)=0,"",INDEX(LdCDep,$N1751)),"")))</f>
        <v/>
      </c>
      <c r="F1751" s="16">
        <f>IF(AND($L1751="",$M1751="",$N1751=""),"",IF($N1751="","",IF(INDEX(LdCWit,$N1751)=0,"",INDEX(LdCWit,$N1751))))</f>
        <v/>
      </c>
      <c r="G1751" s="29">
        <f>IF($B1751="","",IF($G1750="",0,$G1750)+IF($E1751="",0,$E1751)-IF($F1751="",0,$F1751))</f>
        <v/>
      </c>
      <c r="H1751" s="30">
        <f>IF(AND($L1751="",$M1751="",$N1751=""),"",IF($L1751&lt;&gt;"",IF(INDEX(LdANote,$L1751)="","—",INDEX(LdANote,$L1751)),IF($M1751&lt;&gt;"",IF(INDEX(LdBNote,$M1751)="","—",INDEX(LdBNote,$M1751)),IF($N1751&lt;&gt;"",IF(INDEX(LdCNote,$N1751)="","—",INDEX(LdCNote,$N1751)),""))))</f>
        <v/>
      </c>
      <c r="L1751">
        <f>IFERROR(MATCH($C$5&amp;"|"&amp;RIGHT("000000"&amp;1735,6),LdAKeyM,0),"")</f>
        <v/>
      </c>
      <c r="M1751">
        <f>IFERROR(MATCH($C$5&amp;"|"&amp;RIGHT("000000"&amp;1735,6),LdBKeyM,0),"")</f>
        <v/>
      </c>
      <c r="N1751">
        <f>IFERROR(MATCH($C$5&amp;"|"&amp;RIGHT("000000"&amp;1735,6),LdCKeyM,0),"")</f>
        <v/>
      </c>
    </row>
    <row r="1752">
      <c r="A1752" s="19" t="n">
        <v>1736</v>
      </c>
      <c r="B1752" s="20">
        <f>IF(AND($L1752="",$M1752="",$N1752=""),"",IF($L1752&lt;&gt;"",INDEX(LdADate,$L1752),IF($M1752&lt;&gt;"",INDEX(LdBDate,$M1752),INDEX(LdCDate,$N1752))))</f>
        <v/>
      </c>
      <c r="C1752" s="20">
        <f>IF($L1752&lt;&gt;"","دستمزد (فردی)",IF($M1752&lt;&gt;"","سهم از گروه "&amp;IFERROR(VLOOKUP(INDEX(LdBGroup,$M1752),WGTbl,2,0),INDEX(LdBGroup,$M1752)),IF($N1752&lt;&gt;"",IF(N(INDEX(LdCDep,$N1752))&gt;0,"بازگشت بانکی","پرداخت بانکی"),"")))</f>
        <v/>
      </c>
      <c r="D1752" s="20">
        <f>IF($L1752&lt;&gt;"",IF(INDEX(LdAId,$L1752)="","—",INDEX(LdAId,$L1752)),IF($M1752&lt;&gt;"",IF(INDEX(LdBId,$M1752)="","—",INDEX(LdBId,$M1752)),IF($N1752&lt;&gt;"",IF(INDEX(LdCBank,$N1752)="","—",INDEX(LdCBank,$N1752)),"")))</f>
        <v/>
      </c>
      <c r="E1752" s="21">
        <f>IF($L1752&lt;&gt;"",IF(INDEX(LdAAmt,$L1752)=0,"",INDEX(LdAAmt,$L1752)),IF($M1752&lt;&gt;"",IF(INDEX(LdBAmt,$M1752)=0,"",INDEX(LdBAmt,$M1752)),IF($N1752&lt;&gt;"",IF(INDEX(LdCDep,$N1752)=0,"",INDEX(LdCDep,$N1752)),"")))</f>
        <v/>
      </c>
      <c r="F1752" s="21">
        <f>IF(AND($L1752="",$M1752="",$N1752=""),"",IF($N1752="","",IF(INDEX(LdCWit,$N1752)=0,"",INDEX(LdCWit,$N1752))))</f>
        <v/>
      </c>
      <c r="G1752" s="31">
        <f>IF($B1752="","",IF($G1751="",0,$G1751)+IF($E1752="",0,$E1752)-IF($F1752="",0,$F1752))</f>
        <v/>
      </c>
      <c r="H1752" s="32">
        <f>IF(AND($L1752="",$M1752="",$N1752=""),"",IF($L1752&lt;&gt;"",IF(INDEX(LdANote,$L1752)="","—",INDEX(LdANote,$L1752)),IF($M1752&lt;&gt;"",IF(INDEX(LdBNote,$M1752)="","—",INDEX(LdBNote,$M1752)),IF($N1752&lt;&gt;"",IF(INDEX(LdCNote,$N1752)="","—",INDEX(LdCNote,$N1752)),""))))</f>
        <v/>
      </c>
      <c r="L1752">
        <f>IFERROR(MATCH($C$5&amp;"|"&amp;RIGHT("000000"&amp;1736,6),LdAKeyM,0),"")</f>
        <v/>
      </c>
      <c r="M1752">
        <f>IFERROR(MATCH($C$5&amp;"|"&amp;RIGHT("000000"&amp;1736,6),LdBKeyM,0),"")</f>
        <v/>
      </c>
      <c r="N1752">
        <f>IFERROR(MATCH($C$5&amp;"|"&amp;RIGHT("000000"&amp;1736,6),LdCKeyM,0),"")</f>
        <v/>
      </c>
    </row>
    <row r="1753">
      <c r="A1753" s="10" t="n">
        <v>1737</v>
      </c>
      <c r="B1753" s="14">
        <f>IF(AND($L1753="",$M1753="",$N1753=""),"",IF($L1753&lt;&gt;"",INDEX(LdADate,$L1753),IF($M1753&lt;&gt;"",INDEX(LdBDate,$M1753),INDEX(LdCDate,$N1753))))</f>
        <v/>
      </c>
      <c r="C1753" s="14">
        <f>IF($L1753&lt;&gt;"","دستمزد (فردی)",IF($M1753&lt;&gt;"","سهم از گروه "&amp;IFERROR(VLOOKUP(INDEX(LdBGroup,$M1753),WGTbl,2,0),INDEX(LdBGroup,$M1753)),IF($N1753&lt;&gt;"",IF(N(INDEX(LdCDep,$N1753))&gt;0,"بازگشت بانکی","پرداخت بانکی"),"")))</f>
        <v/>
      </c>
      <c r="D1753" s="14">
        <f>IF($L1753&lt;&gt;"",IF(INDEX(LdAId,$L1753)="","—",INDEX(LdAId,$L1753)),IF($M1753&lt;&gt;"",IF(INDEX(LdBId,$M1753)="","—",INDEX(LdBId,$M1753)),IF($N1753&lt;&gt;"",IF(INDEX(LdCBank,$N1753)="","—",INDEX(LdCBank,$N1753)),"")))</f>
        <v/>
      </c>
      <c r="E1753" s="16">
        <f>IF($L1753&lt;&gt;"",IF(INDEX(LdAAmt,$L1753)=0,"",INDEX(LdAAmt,$L1753)),IF($M1753&lt;&gt;"",IF(INDEX(LdBAmt,$M1753)=0,"",INDEX(LdBAmt,$M1753)),IF($N1753&lt;&gt;"",IF(INDEX(LdCDep,$N1753)=0,"",INDEX(LdCDep,$N1753)),"")))</f>
        <v/>
      </c>
      <c r="F1753" s="16">
        <f>IF(AND($L1753="",$M1753="",$N1753=""),"",IF($N1753="","",IF(INDEX(LdCWit,$N1753)=0,"",INDEX(LdCWit,$N1753))))</f>
        <v/>
      </c>
      <c r="G1753" s="29">
        <f>IF($B1753="","",IF($G1752="",0,$G1752)+IF($E1753="",0,$E1753)-IF($F1753="",0,$F1753))</f>
        <v/>
      </c>
      <c r="H1753" s="30">
        <f>IF(AND($L1753="",$M1753="",$N1753=""),"",IF($L1753&lt;&gt;"",IF(INDEX(LdANote,$L1753)="","—",INDEX(LdANote,$L1753)),IF($M1753&lt;&gt;"",IF(INDEX(LdBNote,$M1753)="","—",INDEX(LdBNote,$M1753)),IF($N1753&lt;&gt;"",IF(INDEX(LdCNote,$N1753)="","—",INDEX(LdCNote,$N1753)),""))))</f>
        <v/>
      </c>
      <c r="L1753">
        <f>IFERROR(MATCH($C$5&amp;"|"&amp;RIGHT("000000"&amp;1737,6),LdAKeyM,0),"")</f>
        <v/>
      </c>
      <c r="M1753">
        <f>IFERROR(MATCH($C$5&amp;"|"&amp;RIGHT("000000"&amp;1737,6),LdBKeyM,0),"")</f>
        <v/>
      </c>
      <c r="N1753">
        <f>IFERROR(MATCH($C$5&amp;"|"&amp;RIGHT("000000"&amp;1737,6),LdCKeyM,0),"")</f>
        <v/>
      </c>
    </row>
    <row r="1754">
      <c r="A1754" s="19" t="n">
        <v>1738</v>
      </c>
      <c r="B1754" s="20">
        <f>IF(AND($L1754="",$M1754="",$N1754=""),"",IF($L1754&lt;&gt;"",INDEX(LdADate,$L1754),IF($M1754&lt;&gt;"",INDEX(LdBDate,$M1754),INDEX(LdCDate,$N1754))))</f>
        <v/>
      </c>
      <c r="C1754" s="20">
        <f>IF($L1754&lt;&gt;"","دستمزد (فردی)",IF($M1754&lt;&gt;"","سهم از گروه "&amp;IFERROR(VLOOKUP(INDEX(LdBGroup,$M1754),WGTbl,2,0),INDEX(LdBGroup,$M1754)),IF($N1754&lt;&gt;"",IF(N(INDEX(LdCDep,$N1754))&gt;0,"بازگشت بانکی","پرداخت بانکی"),"")))</f>
        <v/>
      </c>
      <c r="D1754" s="20">
        <f>IF($L1754&lt;&gt;"",IF(INDEX(LdAId,$L1754)="","—",INDEX(LdAId,$L1754)),IF($M1754&lt;&gt;"",IF(INDEX(LdBId,$M1754)="","—",INDEX(LdBId,$M1754)),IF($N1754&lt;&gt;"",IF(INDEX(LdCBank,$N1754)="","—",INDEX(LdCBank,$N1754)),"")))</f>
        <v/>
      </c>
      <c r="E1754" s="21">
        <f>IF($L1754&lt;&gt;"",IF(INDEX(LdAAmt,$L1754)=0,"",INDEX(LdAAmt,$L1754)),IF($M1754&lt;&gt;"",IF(INDEX(LdBAmt,$M1754)=0,"",INDEX(LdBAmt,$M1754)),IF($N1754&lt;&gt;"",IF(INDEX(LdCDep,$N1754)=0,"",INDEX(LdCDep,$N1754)),"")))</f>
        <v/>
      </c>
      <c r="F1754" s="21">
        <f>IF(AND($L1754="",$M1754="",$N1754=""),"",IF($N1754="","",IF(INDEX(LdCWit,$N1754)=0,"",INDEX(LdCWit,$N1754))))</f>
        <v/>
      </c>
      <c r="G1754" s="31">
        <f>IF($B1754="","",IF($G1753="",0,$G1753)+IF($E1754="",0,$E1754)-IF($F1754="",0,$F1754))</f>
        <v/>
      </c>
      <c r="H1754" s="32">
        <f>IF(AND($L1754="",$M1754="",$N1754=""),"",IF($L1754&lt;&gt;"",IF(INDEX(LdANote,$L1754)="","—",INDEX(LdANote,$L1754)),IF($M1754&lt;&gt;"",IF(INDEX(LdBNote,$M1754)="","—",INDEX(LdBNote,$M1754)),IF($N1754&lt;&gt;"",IF(INDEX(LdCNote,$N1754)="","—",INDEX(LdCNote,$N1754)),""))))</f>
        <v/>
      </c>
      <c r="L1754">
        <f>IFERROR(MATCH($C$5&amp;"|"&amp;RIGHT("000000"&amp;1738,6),LdAKeyM,0),"")</f>
        <v/>
      </c>
      <c r="M1754">
        <f>IFERROR(MATCH($C$5&amp;"|"&amp;RIGHT("000000"&amp;1738,6),LdBKeyM,0),"")</f>
        <v/>
      </c>
      <c r="N1754">
        <f>IFERROR(MATCH($C$5&amp;"|"&amp;RIGHT("000000"&amp;1738,6),LdCKeyM,0),"")</f>
        <v/>
      </c>
    </row>
    <row r="1755">
      <c r="A1755" s="10" t="n">
        <v>1739</v>
      </c>
      <c r="B1755" s="14">
        <f>IF(AND($L1755="",$M1755="",$N1755=""),"",IF($L1755&lt;&gt;"",INDEX(LdADate,$L1755),IF($M1755&lt;&gt;"",INDEX(LdBDate,$M1755),INDEX(LdCDate,$N1755))))</f>
        <v/>
      </c>
      <c r="C1755" s="14">
        <f>IF($L1755&lt;&gt;"","دستمزد (فردی)",IF($M1755&lt;&gt;"","سهم از گروه "&amp;IFERROR(VLOOKUP(INDEX(LdBGroup,$M1755),WGTbl,2,0),INDEX(LdBGroup,$M1755)),IF($N1755&lt;&gt;"",IF(N(INDEX(LdCDep,$N1755))&gt;0,"بازگشت بانکی","پرداخت بانکی"),"")))</f>
        <v/>
      </c>
      <c r="D1755" s="14">
        <f>IF($L1755&lt;&gt;"",IF(INDEX(LdAId,$L1755)="","—",INDEX(LdAId,$L1755)),IF($M1755&lt;&gt;"",IF(INDEX(LdBId,$M1755)="","—",INDEX(LdBId,$M1755)),IF($N1755&lt;&gt;"",IF(INDEX(LdCBank,$N1755)="","—",INDEX(LdCBank,$N1755)),"")))</f>
        <v/>
      </c>
      <c r="E1755" s="16">
        <f>IF($L1755&lt;&gt;"",IF(INDEX(LdAAmt,$L1755)=0,"",INDEX(LdAAmt,$L1755)),IF($M1755&lt;&gt;"",IF(INDEX(LdBAmt,$M1755)=0,"",INDEX(LdBAmt,$M1755)),IF($N1755&lt;&gt;"",IF(INDEX(LdCDep,$N1755)=0,"",INDEX(LdCDep,$N1755)),"")))</f>
        <v/>
      </c>
      <c r="F1755" s="16">
        <f>IF(AND($L1755="",$M1755="",$N1755=""),"",IF($N1755="","",IF(INDEX(LdCWit,$N1755)=0,"",INDEX(LdCWit,$N1755))))</f>
        <v/>
      </c>
      <c r="G1755" s="29">
        <f>IF($B1755="","",IF($G1754="",0,$G1754)+IF($E1755="",0,$E1755)-IF($F1755="",0,$F1755))</f>
        <v/>
      </c>
      <c r="H1755" s="30">
        <f>IF(AND($L1755="",$M1755="",$N1755=""),"",IF($L1755&lt;&gt;"",IF(INDEX(LdANote,$L1755)="","—",INDEX(LdANote,$L1755)),IF($M1755&lt;&gt;"",IF(INDEX(LdBNote,$M1755)="","—",INDEX(LdBNote,$M1755)),IF($N1755&lt;&gt;"",IF(INDEX(LdCNote,$N1755)="","—",INDEX(LdCNote,$N1755)),""))))</f>
        <v/>
      </c>
      <c r="L1755">
        <f>IFERROR(MATCH($C$5&amp;"|"&amp;RIGHT("000000"&amp;1739,6),LdAKeyM,0),"")</f>
        <v/>
      </c>
      <c r="M1755">
        <f>IFERROR(MATCH($C$5&amp;"|"&amp;RIGHT("000000"&amp;1739,6),LdBKeyM,0),"")</f>
        <v/>
      </c>
      <c r="N1755">
        <f>IFERROR(MATCH($C$5&amp;"|"&amp;RIGHT("000000"&amp;1739,6),LdCKeyM,0),"")</f>
        <v/>
      </c>
    </row>
    <row r="1756">
      <c r="A1756" s="19" t="n">
        <v>1740</v>
      </c>
      <c r="B1756" s="20">
        <f>IF(AND($L1756="",$M1756="",$N1756=""),"",IF($L1756&lt;&gt;"",INDEX(LdADate,$L1756),IF($M1756&lt;&gt;"",INDEX(LdBDate,$M1756),INDEX(LdCDate,$N1756))))</f>
        <v/>
      </c>
      <c r="C1756" s="20">
        <f>IF($L1756&lt;&gt;"","دستمزد (فردی)",IF($M1756&lt;&gt;"","سهم از گروه "&amp;IFERROR(VLOOKUP(INDEX(LdBGroup,$M1756),WGTbl,2,0),INDEX(LdBGroup,$M1756)),IF($N1756&lt;&gt;"",IF(N(INDEX(LdCDep,$N1756))&gt;0,"بازگشت بانکی","پرداخت بانکی"),"")))</f>
        <v/>
      </c>
      <c r="D1756" s="20">
        <f>IF($L1756&lt;&gt;"",IF(INDEX(LdAId,$L1756)="","—",INDEX(LdAId,$L1756)),IF($M1756&lt;&gt;"",IF(INDEX(LdBId,$M1756)="","—",INDEX(LdBId,$M1756)),IF($N1756&lt;&gt;"",IF(INDEX(LdCBank,$N1756)="","—",INDEX(LdCBank,$N1756)),"")))</f>
        <v/>
      </c>
      <c r="E1756" s="21">
        <f>IF($L1756&lt;&gt;"",IF(INDEX(LdAAmt,$L1756)=0,"",INDEX(LdAAmt,$L1756)),IF($M1756&lt;&gt;"",IF(INDEX(LdBAmt,$M1756)=0,"",INDEX(LdBAmt,$M1756)),IF($N1756&lt;&gt;"",IF(INDEX(LdCDep,$N1756)=0,"",INDEX(LdCDep,$N1756)),"")))</f>
        <v/>
      </c>
      <c r="F1756" s="21">
        <f>IF(AND($L1756="",$M1756="",$N1756=""),"",IF($N1756="","",IF(INDEX(LdCWit,$N1756)=0,"",INDEX(LdCWit,$N1756))))</f>
        <v/>
      </c>
      <c r="G1756" s="31">
        <f>IF($B1756="","",IF($G1755="",0,$G1755)+IF($E1756="",0,$E1756)-IF($F1756="",0,$F1756))</f>
        <v/>
      </c>
      <c r="H1756" s="32">
        <f>IF(AND($L1756="",$M1756="",$N1756=""),"",IF($L1756&lt;&gt;"",IF(INDEX(LdANote,$L1756)="","—",INDEX(LdANote,$L1756)),IF($M1756&lt;&gt;"",IF(INDEX(LdBNote,$M1756)="","—",INDEX(LdBNote,$M1756)),IF($N1756&lt;&gt;"",IF(INDEX(LdCNote,$N1756)="","—",INDEX(LdCNote,$N1756)),""))))</f>
        <v/>
      </c>
      <c r="L1756">
        <f>IFERROR(MATCH($C$5&amp;"|"&amp;RIGHT("000000"&amp;1740,6),LdAKeyM,0),"")</f>
        <v/>
      </c>
      <c r="M1756">
        <f>IFERROR(MATCH($C$5&amp;"|"&amp;RIGHT("000000"&amp;1740,6),LdBKeyM,0),"")</f>
        <v/>
      </c>
      <c r="N1756">
        <f>IFERROR(MATCH($C$5&amp;"|"&amp;RIGHT("000000"&amp;1740,6),LdCKeyM,0),"")</f>
        <v/>
      </c>
    </row>
    <row r="1757">
      <c r="A1757" s="10" t="n">
        <v>1741</v>
      </c>
      <c r="B1757" s="14">
        <f>IF(AND($L1757="",$M1757="",$N1757=""),"",IF($L1757&lt;&gt;"",INDEX(LdADate,$L1757),IF($M1757&lt;&gt;"",INDEX(LdBDate,$M1757),INDEX(LdCDate,$N1757))))</f>
        <v/>
      </c>
      <c r="C1757" s="14">
        <f>IF($L1757&lt;&gt;"","دستمزد (فردی)",IF($M1757&lt;&gt;"","سهم از گروه "&amp;IFERROR(VLOOKUP(INDEX(LdBGroup,$M1757),WGTbl,2,0),INDEX(LdBGroup,$M1757)),IF($N1757&lt;&gt;"",IF(N(INDEX(LdCDep,$N1757))&gt;0,"بازگشت بانکی","پرداخت بانکی"),"")))</f>
        <v/>
      </c>
      <c r="D1757" s="14">
        <f>IF($L1757&lt;&gt;"",IF(INDEX(LdAId,$L1757)="","—",INDEX(LdAId,$L1757)),IF($M1757&lt;&gt;"",IF(INDEX(LdBId,$M1757)="","—",INDEX(LdBId,$M1757)),IF($N1757&lt;&gt;"",IF(INDEX(LdCBank,$N1757)="","—",INDEX(LdCBank,$N1757)),"")))</f>
        <v/>
      </c>
      <c r="E1757" s="16">
        <f>IF($L1757&lt;&gt;"",IF(INDEX(LdAAmt,$L1757)=0,"",INDEX(LdAAmt,$L1757)),IF($M1757&lt;&gt;"",IF(INDEX(LdBAmt,$M1757)=0,"",INDEX(LdBAmt,$M1757)),IF($N1757&lt;&gt;"",IF(INDEX(LdCDep,$N1757)=0,"",INDEX(LdCDep,$N1757)),"")))</f>
        <v/>
      </c>
      <c r="F1757" s="16">
        <f>IF(AND($L1757="",$M1757="",$N1757=""),"",IF($N1757="","",IF(INDEX(LdCWit,$N1757)=0,"",INDEX(LdCWit,$N1757))))</f>
        <v/>
      </c>
      <c r="G1757" s="29">
        <f>IF($B1757="","",IF($G1756="",0,$G1756)+IF($E1757="",0,$E1757)-IF($F1757="",0,$F1757))</f>
        <v/>
      </c>
      <c r="H1757" s="30">
        <f>IF(AND($L1757="",$M1757="",$N1757=""),"",IF($L1757&lt;&gt;"",IF(INDEX(LdANote,$L1757)="","—",INDEX(LdANote,$L1757)),IF($M1757&lt;&gt;"",IF(INDEX(LdBNote,$M1757)="","—",INDEX(LdBNote,$M1757)),IF($N1757&lt;&gt;"",IF(INDEX(LdCNote,$N1757)="","—",INDEX(LdCNote,$N1757)),""))))</f>
        <v/>
      </c>
      <c r="L1757">
        <f>IFERROR(MATCH($C$5&amp;"|"&amp;RIGHT("000000"&amp;1741,6),LdAKeyM,0),"")</f>
        <v/>
      </c>
      <c r="M1757">
        <f>IFERROR(MATCH($C$5&amp;"|"&amp;RIGHT("000000"&amp;1741,6),LdBKeyM,0),"")</f>
        <v/>
      </c>
      <c r="N1757">
        <f>IFERROR(MATCH($C$5&amp;"|"&amp;RIGHT("000000"&amp;1741,6),LdCKeyM,0),"")</f>
        <v/>
      </c>
    </row>
    <row r="1758">
      <c r="A1758" s="19" t="n">
        <v>1742</v>
      </c>
      <c r="B1758" s="20">
        <f>IF(AND($L1758="",$M1758="",$N1758=""),"",IF($L1758&lt;&gt;"",INDEX(LdADate,$L1758),IF($M1758&lt;&gt;"",INDEX(LdBDate,$M1758),INDEX(LdCDate,$N1758))))</f>
        <v/>
      </c>
      <c r="C1758" s="20">
        <f>IF($L1758&lt;&gt;"","دستمزد (فردی)",IF($M1758&lt;&gt;"","سهم از گروه "&amp;IFERROR(VLOOKUP(INDEX(LdBGroup,$M1758),WGTbl,2,0),INDEX(LdBGroup,$M1758)),IF($N1758&lt;&gt;"",IF(N(INDEX(LdCDep,$N1758))&gt;0,"بازگشت بانکی","پرداخت بانکی"),"")))</f>
        <v/>
      </c>
      <c r="D1758" s="20">
        <f>IF($L1758&lt;&gt;"",IF(INDEX(LdAId,$L1758)="","—",INDEX(LdAId,$L1758)),IF($M1758&lt;&gt;"",IF(INDEX(LdBId,$M1758)="","—",INDEX(LdBId,$M1758)),IF($N1758&lt;&gt;"",IF(INDEX(LdCBank,$N1758)="","—",INDEX(LdCBank,$N1758)),"")))</f>
        <v/>
      </c>
      <c r="E1758" s="21">
        <f>IF($L1758&lt;&gt;"",IF(INDEX(LdAAmt,$L1758)=0,"",INDEX(LdAAmt,$L1758)),IF($M1758&lt;&gt;"",IF(INDEX(LdBAmt,$M1758)=0,"",INDEX(LdBAmt,$M1758)),IF($N1758&lt;&gt;"",IF(INDEX(LdCDep,$N1758)=0,"",INDEX(LdCDep,$N1758)),"")))</f>
        <v/>
      </c>
      <c r="F1758" s="21">
        <f>IF(AND($L1758="",$M1758="",$N1758=""),"",IF($N1758="","",IF(INDEX(LdCWit,$N1758)=0,"",INDEX(LdCWit,$N1758))))</f>
        <v/>
      </c>
      <c r="G1758" s="31">
        <f>IF($B1758="","",IF($G1757="",0,$G1757)+IF($E1758="",0,$E1758)-IF($F1758="",0,$F1758))</f>
        <v/>
      </c>
      <c r="H1758" s="32">
        <f>IF(AND($L1758="",$M1758="",$N1758=""),"",IF($L1758&lt;&gt;"",IF(INDEX(LdANote,$L1758)="","—",INDEX(LdANote,$L1758)),IF($M1758&lt;&gt;"",IF(INDEX(LdBNote,$M1758)="","—",INDEX(LdBNote,$M1758)),IF($N1758&lt;&gt;"",IF(INDEX(LdCNote,$N1758)="","—",INDEX(LdCNote,$N1758)),""))))</f>
        <v/>
      </c>
      <c r="L1758">
        <f>IFERROR(MATCH($C$5&amp;"|"&amp;RIGHT("000000"&amp;1742,6),LdAKeyM,0),"")</f>
        <v/>
      </c>
      <c r="M1758">
        <f>IFERROR(MATCH($C$5&amp;"|"&amp;RIGHT("000000"&amp;1742,6),LdBKeyM,0),"")</f>
        <v/>
      </c>
      <c r="N1758">
        <f>IFERROR(MATCH($C$5&amp;"|"&amp;RIGHT("000000"&amp;1742,6),LdCKeyM,0),"")</f>
        <v/>
      </c>
    </row>
    <row r="1759">
      <c r="A1759" s="10" t="n">
        <v>1743</v>
      </c>
      <c r="B1759" s="14">
        <f>IF(AND($L1759="",$M1759="",$N1759=""),"",IF($L1759&lt;&gt;"",INDEX(LdADate,$L1759),IF($M1759&lt;&gt;"",INDEX(LdBDate,$M1759),INDEX(LdCDate,$N1759))))</f>
        <v/>
      </c>
      <c r="C1759" s="14">
        <f>IF($L1759&lt;&gt;"","دستمزد (فردی)",IF($M1759&lt;&gt;"","سهم از گروه "&amp;IFERROR(VLOOKUP(INDEX(LdBGroup,$M1759),WGTbl,2,0),INDEX(LdBGroup,$M1759)),IF($N1759&lt;&gt;"",IF(N(INDEX(LdCDep,$N1759))&gt;0,"بازگشت بانکی","پرداخت بانکی"),"")))</f>
        <v/>
      </c>
      <c r="D1759" s="14">
        <f>IF($L1759&lt;&gt;"",IF(INDEX(LdAId,$L1759)="","—",INDEX(LdAId,$L1759)),IF($M1759&lt;&gt;"",IF(INDEX(LdBId,$M1759)="","—",INDEX(LdBId,$M1759)),IF($N1759&lt;&gt;"",IF(INDEX(LdCBank,$N1759)="","—",INDEX(LdCBank,$N1759)),"")))</f>
        <v/>
      </c>
      <c r="E1759" s="16">
        <f>IF($L1759&lt;&gt;"",IF(INDEX(LdAAmt,$L1759)=0,"",INDEX(LdAAmt,$L1759)),IF($M1759&lt;&gt;"",IF(INDEX(LdBAmt,$M1759)=0,"",INDEX(LdBAmt,$M1759)),IF($N1759&lt;&gt;"",IF(INDEX(LdCDep,$N1759)=0,"",INDEX(LdCDep,$N1759)),"")))</f>
        <v/>
      </c>
      <c r="F1759" s="16">
        <f>IF(AND($L1759="",$M1759="",$N1759=""),"",IF($N1759="","",IF(INDEX(LdCWit,$N1759)=0,"",INDEX(LdCWit,$N1759))))</f>
        <v/>
      </c>
      <c r="G1759" s="29">
        <f>IF($B1759="","",IF($G1758="",0,$G1758)+IF($E1759="",0,$E1759)-IF($F1759="",0,$F1759))</f>
        <v/>
      </c>
      <c r="H1759" s="30">
        <f>IF(AND($L1759="",$M1759="",$N1759=""),"",IF($L1759&lt;&gt;"",IF(INDEX(LdANote,$L1759)="","—",INDEX(LdANote,$L1759)),IF($M1759&lt;&gt;"",IF(INDEX(LdBNote,$M1759)="","—",INDEX(LdBNote,$M1759)),IF($N1759&lt;&gt;"",IF(INDEX(LdCNote,$N1759)="","—",INDEX(LdCNote,$N1759)),""))))</f>
        <v/>
      </c>
      <c r="L1759">
        <f>IFERROR(MATCH($C$5&amp;"|"&amp;RIGHT("000000"&amp;1743,6),LdAKeyM,0),"")</f>
        <v/>
      </c>
      <c r="M1759">
        <f>IFERROR(MATCH($C$5&amp;"|"&amp;RIGHT("000000"&amp;1743,6),LdBKeyM,0),"")</f>
        <v/>
      </c>
      <c r="N1759">
        <f>IFERROR(MATCH($C$5&amp;"|"&amp;RIGHT("000000"&amp;1743,6),LdCKeyM,0),"")</f>
        <v/>
      </c>
    </row>
    <row r="1760">
      <c r="A1760" s="19" t="n">
        <v>1744</v>
      </c>
      <c r="B1760" s="20">
        <f>IF(AND($L1760="",$M1760="",$N1760=""),"",IF($L1760&lt;&gt;"",INDEX(LdADate,$L1760),IF($M1760&lt;&gt;"",INDEX(LdBDate,$M1760),INDEX(LdCDate,$N1760))))</f>
        <v/>
      </c>
      <c r="C1760" s="20">
        <f>IF($L1760&lt;&gt;"","دستمزد (فردی)",IF($M1760&lt;&gt;"","سهم از گروه "&amp;IFERROR(VLOOKUP(INDEX(LdBGroup,$M1760),WGTbl,2,0),INDEX(LdBGroup,$M1760)),IF($N1760&lt;&gt;"",IF(N(INDEX(LdCDep,$N1760))&gt;0,"بازگشت بانکی","پرداخت بانکی"),"")))</f>
        <v/>
      </c>
      <c r="D1760" s="20">
        <f>IF($L1760&lt;&gt;"",IF(INDEX(LdAId,$L1760)="","—",INDEX(LdAId,$L1760)),IF($M1760&lt;&gt;"",IF(INDEX(LdBId,$M1760)="","—",INDEX(LdBId,$M1760)),IF($N1760&lt;&gt;"",IF(INDEX(LdCBank,$N1760)="","—",INDEX(LdCBank,$N1760)),"")))</f>
        <v/>
      </c>
      <c r="E1760" s="21">
        <f>IF($L1760&lt;&gt;"",IF(INDEX(LdAAmt,$L1760)=0,"",INDEX(LdAAmt,$L1760)),IF($M1760&lt;&gt;"",IF(INDEX(LdBAmt,$M1760)=0,"",INDEX(LdBAmt,$M1760)),IF($N1760&lt;&gt;"",IF(INDEX(LdCDep,$N1760)=0,"",INDEX(LdCDep,$N1760)),"")))</f>
        <v/>
      </c>
      <c r="F1760" s="21">
        <f>IF(AND($L1760="",$M1760="",$N1760=""),"",IF($N1760="","",IF(INDEX(LdCWit,$N1760)=0,"",INDEX(LdCWit,$N1760))))</f>
        <v/>
      </c>
      <c r="G1760" s="31">
        <f>IF($B1760="","",IF($G1759="",0,$G1759)+IF($E1760="",0,$E1760)-IF($F1760="",0,$F1760))</f>
        <v/>
      </c>
      <c r="H1760" s="32">
        <f>IF(AND($L1760="",$M1760="",$N1760=""),"",IF($L1760&lt;&gt;"",IF(INDEX(LdANote,$L1760)="","—",INDEX(LdANote,$L1760)),IF($M1760&lt;&gt;"",IF(INDEX(LdBNote,$M1760)="","—",INDEX(LdBNote,$M1760)),IF($N1760&lt;&gt;"",IF(INDEX(LdCNote,$N1760)="","—",INDEX(LdCNote,$N1760)),""))))</f>
        <v/>
      </c>
      <c r="L1760">
        <f>IFERROR(MATCH($C$5&amp;"|"&amp;RIGHT("000000"&amp;1744,6),LdAKeyM,0),"")</f>
        <v/>
      </c>
      <c r="M1760">
        <f>IFERROR(MATCH($C$5&amp;"|"&amp;RIGHT("000000"&amp;1744,6),LdBKeyM,0),"")</f>
        <v/>
      </c>
      <c r="N1760">
        <f>IFERROR(MATCH($C$5&amp;"|"&amp;RIGHT("000000"&amp;1744,6),LdCKeyM,0),"")</f>
        <v/>
      </c>
    </row>
    <row r="1761">
      <c r="A1761" s="10" t="n">
        <v>1745</v>
      </c>
      <c r="B1761" s="14">
        <f>IF(AND($L1761="",$M1761="",$N1761=""),"",IF($L1761&lt;&gt;"",INDEX(LdADate,$L1761),IF($M1761&lt;&gt;"",INDEX(LdBDate,$M1761),INDEX(LdCDate,$N1761))))</f>
        <v/>
      </c>
      <c r="C1761" s="14">
        <f>IF($L1761&lt;&gt;"","دستمزد (فردی)",IF($M1761&lt;&gt;"","سهم از گروه "&amp;IFERROR(VLOOKUP(INDEX(LdBGroup,$M1761),WGTbl,2,0),INDEX(LdBGroup,$M1761)),IF($N1761&lt;&gt;"",IF(N(INDEX(LdCDep,$N1761))&gt;0,"بازگشت بانکی","پرداخت بانکی"),"")))</f>
        <v/>
      </c>
      <c r="D1761" s="14">
        <f>IF($L1761&lt;&gt;"",IF(INDEX(LdAId,$L1761)="","—",INDEX(LdAId,$L1761)),IF($M1761&lt;&gt;"",IF(INDEX(LdBId,$M1761)="","—",INDEX(LdBId,$M1761)),IF($N1761&lt;&gt;"",IF(INDEX(LdCBank,$N1761)="","—",INDEX(LdCBank,$N1761)),"")))</f>
        <v/>
      </c>
      <c r="E1761" s="16">
        <f>IF($L1761&lt;&gt;"",IF(INDEX(LdAAmt,$L1761)=0,"",INDEX(LdAAmt,$L1761)),IF($M1761&lt;&gt;"",IF(INDEX(LdBAmt,$M1761)=0,"",INDEX(LdBAmt,$M1761)),IF($N1761&lt;&gt;"",IF(INDEX(LdCDep,$N1761)=0,"",INDEX(LdCDep,$N1761)),"")))</f>
        <v/>
      </c>
      <c r="F1761" s="16">
        <f>IF(AND($L1761="",$M1761="",$N1761=""),"",IF($N1761="","",IF(INDEX(LdCWit,$N1761)=0,"",INDEX(LdCWit,$N1761))))</f>
        <v/>
      </c>
      <c r="G1761" s="29">
        <f>IF($B1761="","",IF($G1760="",0,$G1760)+IF($E1761="",0,$E1761)-IF($F1761="",0,$F1761))</f>
        <v/>
      </c>
      <c r="H1761" s="30">
        <f>IF(AND($L1761="",$M1761="",$N1761=""),"",IF($L1761&lt;&gt;"",IF(INDEX(LdANote,$L1761)="","—",INDEX(LdANote,$L1761)),IF($M1761&lt;&gt;"",IF(INDEX(LdBNote,$M1761)="","—",INDEX(LdBNote,$M1761)),IF($N1761&lt;&gt;"",IF(INDEX(LdCNote,$N1761)="","—",INDEX(LdCNote,$N1761)),""))))</f>
        <v/>
      </c>
      <c r="L1761">
        <f>IFERROR(MATCH($C$5&amp;"|"&amp;RIGHT("000000"&amp;1745,6),LdAKeyM,0),"")</f>
        <v/>
      </c>
      <c r="M1761">
        <f>IFERROR(MATCH($C$5&amp;"|"&amp;RIGHT("000000"&amp;1745,6),LdBKeyM,0),"")</f>
        <v/>
      </c>
      <c r="N1761">
        <f>IFERROR(MATCH($C$5&amp;"|"&amp;RIGHT("000000"&amp;1745,6),LdCKeyM,0),"")</f>
        <v/>
      </c>
    </row>
    <row r="1762">
      <c r="A1762" s="19" t="n">
        <v>1746</v>
      </c>
      <c r="B1762" s="20">
        <f>IF(AND($L1762="",$M1762="",$N1762=""),"",IF($L1762&lt;&gt;"",INDEX(LdADate,$L1762),IF($M1762&lt;&gt;"",INDEX(LdBDate,$M1762),INDEX(LdCDate,$N1762))))</f>
        <v/>
      </c>
      <c r="C1762" s="20">
        <f>IF($L1762&lt;&gt;"","دستمزد (فردی)",IF($M1762&lt;&gt;"","سهم از گروه "&amp;IFERROR(VLOOKUP(INDEX(LdBGroup,$M1762),WGTbl,2,0),INDEX(LdBGroup,$M1762)),IF($N1762&lt;&gt;"",IF(N(INDEX(LdCDep,$N1762))&gt;0,"بازگشت بانکی","پرداخت بانکی"),"")))</f>
        <v/>
      </c>
      <c r="D1762" s="20">
        <f>IF($L1762&lt;&gt;"",IF(INDEX(LdAId,$L1762)="","—",INDEX(LdAId,$L1762)),IF($M1762&lt;&gt;"",IF(INDEX(LdBId,$M1762)="","—",INDEX(LdBId,$M1762)),IF($N1762&lt;&gt;"",IF(INDEX(LdCBank,$N1762)="","—",INDEX(LdCBank,$N1762)),"")))</f>
        <v/>
      </c>
      <c r="E1762" s="21">
        <f>IF($L1762&lt;&gt;"",IF(INDEX(LdAAmt,$L1762)=0,"",INDEX(LdAAmt,$L1762)),IF($M1762&lt;&gt;"",IF(INDEX(LdBAmt,$M1762)=0,"",INDEX(LdBAmt,$M1762)),IF($N1762&lt;&gt;"",IF(INDEX(LdCDep,$N1762)=0,"",INDEX(LdCDep,$N1762)),"")))</f>
        <v/>
      </c>
      <c r="F1762" s="21">
        <f>IF(AND($L1762="",$M1762="",$N1762=""),"",IF($N1762="","",IF(INDEX(LdCWit,$N1762)=0,"",INDEX(LdCWit,$N1762))))</f>
        <v/>
      </c>
      <c r="G1762" s="31">
        <f>IF($B1762="","",IF($G1761="",0,$G1761)+IF($E1762="",0,$E1762)-IF($F1762="",0,$F1762))</f>
        <v/>
      </c>
      <c r="H1762" s="32">
        <f>IF(AND($L1762="",$M1762="",$N1762=""),"",IF($L1762&lt;&gt;"",IF(INDEX(LdANote,$L1762)="","—",INDEX(LdANote,$L1762)),IF($M1762&lt;&gt;"",IF(INDEX(LdBNote,$M1762)="","—",INDEX(LdBNote,$M1762)),IF($N1762&lt;&gt;"",IF(INDEX(LdCNote,$N1762)="","—",INDEX(LdCNote,$N1762)),""))))</f>
        <v/>
      </c>
      <c r="L1762">
        <f>IFERROR(MATCH($C$5&amp;"|"&amp;RIGHT("000000"&amp;1746,6),LdAKeyM,0),"")</f>
        <v/>
      </c>
      <c r="M1762">
        <f>IFERROR(MATCH($C$5&amp;"|"&amp;RIGHT("000000"&amp;1746,6),LdBKeyM,0),"")</f>
        <v/>
      </c>
      <c r="N1762">
        <f>IFERROR(MATCH($C$5&amp;"|"&amp;RIGHT("000000"&amp;1746,6),LdCKeyM,0),"")</f>
        <v/>
      </c>
    </row>
    <row r="1763">
      <c r="A1763" s="10" t="n">
        <v>1747</v>
      </c>
      <c r="B1763" s="14">
        <f>IF(AND($L1763="",$M1763="",$N1763=""),"",IF($L1763&lt;&gt;"",INDEX(LdADate,$L1763),IF($M1763&lt;&gt;"",INDEX(LdBDate,$M1763),INDEX(LdCDate,$N1763))))</f>
        <v/>
      </c>
      <c r="C1763" s="14">
        <f>IF($L1763&lt;&gt;"","دستمزد (فردی)",IF($M1763&lt;&gt;"","سهم از گروه "&amp;IFERROR(VLOOKUP(INDEX(LdBGroup,$M1763),WGTbl,2,0),INDEX(LdBGroup,$M1763)),IF($N1763&lt;&gt;"",IF(N(INDEX(LdCDep,$N1763))&gt;0,"بازگشت بانکی","پرداخت بانکی"),"")))</f>
        <v/>
      </c>
      <c r="D1763" s="14">
        <f>IF($L1763&lt;&gt;"",IF(INDEX(LdAId,$L1763)="","—",INDEX(LdAId,$L1763)),IF($M1763&lt;&gt;"",IF(INDEX(LdBId,$M1763)="","—",INDEX(LdBId,$M1763)),IF($N1763&lt;&gt;"",IF(INDEX(LdCBank,$N1763)="","—",INDEX(LdCBank,$N1763)),"")))</f>
        <v/>
      </c>
      <c r="E1763" s="16">
        <f>IF($L1763&lt;&gt;"",IF(INDEX(LdAAmt,$L1763)=0,"",INDEX(LdAAmt,$L1763)),IF($M1763&lt;&gt;"",IF(INDEX(LdBAmt,$M1763)=0,"",INDEX(LdBAmt,$M1763)),IF($N1763&lt;&gt;"",IF(INDEX(LdCDep,$N1763)=0,"",INDEX(LdCDep,$N1763)),"")))</f>
        <v/>
      </c>
      <c r="F1763" s="16">
        <f>IF(AND($L1763="",$M1763="",$N1763=""),"",IF($N1763="","",IF(INDEX(LdCWit,$N1763)=0,"",INDEX(LdCWit,$N1763))))</f>
        <v/>
      </c>
      <c r="G1763" s="29">
        <f>IF($B1763="","",IF($G1762="",0,$G1762)+IF($E1763="",0,$E1763)-IF($F1763="",0,$F1763))</f>
        <v/>
      </c>
      <c r="H1763" s="30">
        <f>IF(AND($L1763="",$M1763="",$N1763=""),"",IF($L1763&lt;&gt;"",IF(INDEX(LdANote,$L1763)="","—",INDEX(LdANote,$L1763)),IF($M1763&lt;&gt;"",IF(INDEX(LdBNote,$M1763)="","—",INDEX(LdBNote,$M1763)),IF($N1763&lt;&gt;"",IF(INDEX(LdCNote,$N1763)="","—",INDEX(LdCNote,$N1763)),""))))</f>
        <v/>
      </c>
      <c r="L1763">
        <f>IFERROR(MATCH($C$5&amp;"|"&amp;RIGHT("000000"&amp;1747,6),LdAKeyM,0),"")</f>
        <v/>
      </c>
      <c r="M1763">
        <f>IFERROR(MATCH($C$5&amp;"|"&amp;RIGHT("000000"&amp;1747,6),LdBKeyM,0),"")</f>
        <v/>
      </c>
      <c r="N1763">
        <f>IFERROR(MATCH($C$5&amp;"|"&amp;RIGHT("000000"&amp;1747,6),LdCKeyM,0),"")</f>
        <v/>
      </c>
    </row>
    <row r="1764">
      <c r="A1764" s="19" t="n">
        <v>1748</v>
      </c>
      <c r="B1764" s="20">
        <f>IF(AND($L1764="",$M1764="",$N1764=""),"",IF($L1764&lt;&gt;"",INDEX(LdADate,$L1764),IF($M1764&lt;&gt;"",INDEX(LdBDate,$M1764),INDEX(LdCDate,$N1764))))</f>
        <v/>
      </c>
      <c r="C1764" s="20">
        <f>IF($L1764&lt;&gt;"","دستمزد (فردی)",IF($M1764&lt;&gt;"","سهم از گروه "&amp;IFERROR(VLOOKUP(INDEX(LdBGroup,$M1764),WGTbl,2,0),INDEX(LdBGroup,$M1764)),IF($N1764&lt;&gt;"",IF(N(INDEX(LdCDep,$N1764))&gt;0,"بازگشت بانکی","پرداخت بانکی"),"")))</f>
        <v/>
      </c>
      <c r="D1764" s="20">
        <f>IF($L1764&lt;&gt;"",IF(INDEX(LdAId,$L1764)="","—",INDEX(LdAId,$L1764)),IF($M1764&lt;&gt;"",IF(INDEX(LdBId,$M1764)="","—",INDEX(LdBId,$M1764)),IF($N1764&lt;&gt;"",IF(INDEX(LdCBank,$N1764)="","—",INDEX(LdCBank,$N1764)),"")))</f>
        <v/>
      </c>
      <c r="E1764" s="21">
        <f>IF($L1764&lt;&gt;"",IF(INDEX(LdAAmt,$L1764)=0,"",INDEX(LdAAmt,$L1764)),IF($M1764&lt;&gt;"",IF(INDEX(LdBAmt,$M1764)=0,"",INDEX(LdBAmt,$M1764)),IF($N1764&lt;&gt;"",IF(INDEX(LdCDep,$N1764)=0,"",INDEX(LdCDep,$N1764)),"")))</f>
        <v/>
      </c>
      <c r="F1764" s="21">
        <f>IF(AND($L1764="",$M1764="",$N1764=""),"",IF($N1764="","",IF(INDEX(LdCWit,$N1764)=0,"",INDEX(LdCWit,$N1764))))</f>
        <v/>
      </c>
      <c r="G1764" s="31">
        <f>IF($B1764="","",IF($G1763="",0,$G1763)+IF($E1764="",0,$E1764)-IF($F1764="",0,$F1764))</f>
        <v/>
      </c>
      <c r="H1764" s="32">
        <f>IF(AND($L1764="",$M1764="",$N1764=""),"",IF($L1764&lt;&gt;"",IF(INDEX(LdANote,$L1764)="","—",INDEX(LdANote,$L1764)),IF($M1764&lt;&gt;"",IF(INDEX(LdBNote,$M1764)="","—",INDEX(LdBNote,$M1764)),IF($N1764&lt;&gt;"",IF(INDEX(LdCNote,$N1764)="","—",INDEX(LdCNote,$N1764)),""))))</f>
        <v/>
      </c>
      <c r="L1764">
        <f>IFERROR(MATCH($C$5&amp;"|"&amp;RIGHT("000000"&amp;1748,6),LdAKeyM,0),"")</f>
        <v/>
      </c>
      <c r="M1764">
        <f>IFERROR(MATCH($C$5&amp;"|"&amp;RIGHT("000000"&amp;1748,6),LdBKeyM,0),"")</f>
        <v/>
      </c>
      <c r="N1764">
        <f>IFERROR(MATCH($C$5&amp;"|"&amp;RIGHT("000000"&amp;1748,6),LdCKeyM,0),"")</f>
        <v/>
      </c>
    </row>
    <row r="1765">
      <c r="A1765" s="10" t="n">
        <v>1749</v>
      </c>
      <c r="B1765" s="14">
        <f>IF(AND($L1765="",$M1765="",$N1765=""),"",IF($L1765&lt;&gt;"",INDEX(LdADate,$L1765),IF($M1765&lt;&gt;"",INDEX(LdBDate,$M1765),INDEX(LdCDate,$N1765))))</f>
        <v/>
      </c>
      <c r="C1765" s="14">
        <f>IF($L1765&lt;&gt;"","دستمزد (فردی)",IF($M1765&lt;&gt;"","سهم از گروه "&amp;IFERROR(VLOOKUP(INDEX(LdBGroup,$M1765),WGTbl,2,0),INDEX(LdBGroup,$M1765)),IF($N1765&lt;&gt;"",IF(N(INDEX(LdCDep,$N1765))&gt;0,"بازگشت بانکی","پرداخت بانکی"),"")))</f>
        <v/>
      </c>
      <c r="D1765" s="14">
        <f>IF($L1765&lt;&gt;"",IF(INDEX(LdAId,$L1765)="","—",INDEX(LdAId,$L1765)),IF($M1765&lt;&gt;"",IF(INDEX(LdBId,$M1765)="","—",INDEX(LdBId,$M1765)),IF($N1765&lt;&gt;"",IF(INDEX(LdCBank,$N1765)="","—",INDEX(LdCBank,$N1765)),"")))</f>
        <v/>
      </c>
      <c r="E1765" s="16">
        <f>IF($L1765&lt;&gt;"",IF(INDEX(LdAAmt,$L1765)=0,"",INDEX(LdAAmt,$L1765)),IF($M1765&lt;&gt;"",IF(INDEX(LdBAmt,$M1765)=0,"",INDEX(LdBAmt,$M1765)),IF($N1765&lt;&gt;"",IF(INDEX(LdCDep,$N1765)=0,"",INDEX(LdCDep,$N1765)),"")))</f>
        <v/>
      </c>
      <c r="F1765" s="16">
        <f>IF(AND($L1765="",$M1765="",$N1765=""),"",IF($N1765="","",IF(INDEX(LdCWit,$N1765)=0,"",INDEX(LdCWit,$N1765))))</f>
        <v/>
      </c>
      <c r="G1765" s="29">
        <f>IF($B1765="","",IF($G1764="",0,$G1764)+IF($E1765="",0,$E1765)-IF($F1765="",0,$F1765))</f>
        <v/>
      </c>
      <c r="H1765" s="30">
        <f>IF(AND($L1765="",$M1765="",$N1765=""),"",IF($L1765&lt;&gt;"",IF(INDEX(LdANote,$L1765)="","—",INDEX(LdANote,$L1765)),IF($M1765&lt;&gt;"",IF(INDEX(LdBNote,$M1765)="","—",INDEX(LdBNote,$M1765)),IF($N1765&lt;&gt;"",IF(INDEX(LdCNote,$N1765)="","—",INDEX(LdCNote,$N1765)),""))))</f>
        <v/>
      </c>
      <c r="L1765">
        <f>IFERROR(MATCH($C$5&amp;"|"&amp;RIGHT("000000"&amp;1749,6),LdAKeyM,0),"")</f>
        <v/>
      </c>
      <c r="M1765">
        <f>IFERROR(MATCH($C$5&amp;"|"&amp;RIGHT("000000"&amp;1749,6),LdBKeyM,0),"")</f>
        <v/>
      </c>
      <c r="N1765">
        <f>IFERROR(MATCH($C$5&amp;"|"&amp;RIGHT("000000"&amp;1749,6),LdCKeyM,0),"")</f>
        <v/>
      </c>
    </row>
    <row r="1766">
      <c r="A1766" s="19" t="n">
        <v>1750</v>
      </c>
      <c r="B1766" s="20">
        <f>IF(AND($L1766="",$M1766="",$N1766=""),"",IF($L1766&lt;&gt;"",INDEX(LdADate,$L1766),IF($M1766&lt;&gt;"",INDEX(LdBDate,$M1766),INDEX(LdCDate,$N1766))))</f>
        <v/>
      </c>
      <c r="C1766" s="20">
        <f>IF($L1766&lt;&gt;"","دستمزد (فردی)",IF($M1766&lt;&gt;"","سهم از گروه "&amp;IFERROR(VLOOKUP(INDEX(LdBGroup,$M1766),WGTbl,2,0),INDEX(LdBGroup,$M1766)),IF($N1766&lt;&gt;"",IF(N(INDEX(LdCDep,$N1766))&gt;0,"بازگشت بانکی","پرداخت بانکی"),"")))</f>
        <v/>
      </c>
      <c r="D1766" s="20">
        <f>IF($L1766&lt;&gt;"",IF(INDEX(LdAId,$L1766)="","—",INDEX(LdAId,$L1766)),IF($M1766&lt;&gt;"",IF(INDEX(LdBId,$M1766)="","—",INDEX(LdBId,$M1766)),IF($N1766&lt;&gt;"",IF(INDEX(LdCBank,$N1766)="","—",INDEX(LdCBank,$N1766)),"")))</f>
        <v/>
      </c>
      <c r="E1766" s="21">
        <f>IF($L1766&lt;&gt;"",IF(INDEX(LdAAmt,$L1766)=0,"",INDEX(LdAAmt,$L1766)),IF($M1766&lt;&gt;"",IF(INDEX(LdBAmt,$M1766)=0,"",INDEX(LdBAmt,$M1766)),IF($N1766&lt;&gt;"",IF(INDEX(LdCDep,$N1766)=0,"",INDEX(LdCDep,$N1766)),"")))</f>
        <v/>
      </c>
      <c r="F1766" s="21">
        <f>IF(AND($L1766="",$M1766="",$N1766=""),"",IF($N1766="","",IF(INDEX(LdCWit,$N1766)=0,"",INDEX(LdCWit,$N1766))))</f>
        <v/>
      </c>
      <c r="G1766" s="31">
        <f>IF($B1766="","",IF($G1765="",0,$G1765)+IF($E1766="",0,$E1766)-IF($F1766="",0,$F1766))</f>
        <v/>
      </c>
      <c r="H1766" s="32">
        <f>IF(AND($L1766="",$M1766="",$N1766=""),"",IF($L1766&lt;&gt;"",IF(INDEX(LdANote,$L1766)="","—",INDEX(LdANote,$L1766)),IF($M1766&lt;&gt;"",IF(INDEX(LdBNote,$M1766)="","—",INDEX(LdBNote,$M1766)),IF($N1766&lt;&gt;"",IF(INDEX(LdCNote,$N1766)="","—",INDEX(LdCNote,$N1766)),""))))</f>
        <v/>
      </c>
      <c r="L1766">
        <f>IFERROR(MATCH($C$5&amp;"|"&amp;RIGHT("000000"&amp;1750,6),LdAKeyM,0),"")</f>
        <v/>
      </c>
      <c r="M1766">
        <f>IFERROR(MATCH($C$5&amp;"|"&amp;RIGHT("000000"&amp;1750,6),LdBKeyM,0),"")</f>
        <v/>
      </c>
      <c r="N1766">
        <f>IFERROR(MATCH($C$5&amp;"|"&amp;RIGHT("000000"&amp;1750,6),LdCKeyM,0),"")</f>
        <v/>
      </c>
    </row>
    <row r="1767">
      <c r="A1767" s="10" t="n">
        <v>1751</v>
      </c>
      <c r="B1767" s="14">
        <f>IF(AND($L1767="",$M1767="",$N1767=""),"",IF($L1767&lt;&gt;"",INDEX(LdADate,$L1767),IF($M1767&lt;&gt;"",INDEX(LdBDate,$M1767),INDEX(LdCDate,$N1767))))</f>
        <v/>
      </c>
      <c r="C1767" s="14">
        <f>IF($L1767&lt;&gt;"","دستمزد (فردی)",IF($M1767&lt;&gt;"","سهم از گروه "&amp;IFERROR(VLOOKUP(INDEX(LdBGroup,$M1767),WGTbl,2,0),INDEX(LdBGroup,$M1767)),IF($N1767&lt;&gt;"",IF(N(INDEX(LdCDep,$N1767))&gt;0,"بازگشت بانکی","پرداخت بانکی"),"")))</f>
        <v/>
      </c>
      <c r="D1767" s="14">
        <f>IF($L1767&lt;&gt;"",IF(INDEX(LdAId,$L1767)="","—",INDEX(LdAId,$L1767)),IF($M1767&lt;&gt;"",IF(INDEX(LdBId,$M1767)="","—",INDEX(LdBId,$M1767)),IF($N1767&lt;&gt;"",IF(INDEX(LdCBank,$N1767)="","—",INDEX(LdCBank,$N1767)),"")))</f>
        <v/>
      </c>
      <c r="E1767" s="16">
        <f>IF($L1767&lt;&gt;"",IF(INDEX(LdAAmt,$L1767)=0,"",INDEX(LdAAmt,$L1767)),IF($M1767&lt;&gt;"",IF(INDEX(LdBAmt,$M1767)=0,"",INDEX(LdBAmt,$M1767)),IF($N1767&lt;&gt;"",IF(INDEX(LdCDep,$N1767)=0,"",INDEX(LdCDep,$N1767)),"")))</f>
        <v/>
      </c>
      <c r="F1767" s="16">
        <f>IF(AND($L1767="",$M1767="",$N1767=""),"",IF($N1767="","",IF(INDEX(LdCWit,$N1767)=0,"",INDEX(LdCWit,$N1767))))</f>
        <v/>
      </c>
      <c r="G1767" s="29">
        <f>IF($B1767="","",IF($G1766="",0,$G1766)+IF($E1767="",0,$E1767)-IF($F1767="",0,$F1767))</f>
        <v/>
      </c>
      <c r="H1767" s="30">
        <f>IF(AND($L1767="",$M1767="",$N1767=""),"",IF($L1767&lt;&gt;"",IF(INDEX(LdANote,$L1767)="","—",INDEX(LdANote,$L1767)),IF($M1767&lt;&gt;"",IF(INDEX(LdBNote,$M1767)="","—",INDEX(LdBNote,$M1767)),IF($N1767&lt;&gt;"",IF(INDEX(LdCNote,$N1767)="","—",INDEX(LdCNote,$N1767)),""))))</f>
        <v/>
      </c>
      <c r="L1767">
        <f>IFERROR(MATCH($C$5&amp;"|"&amp;RIGHT("000000"&amp;1751,6),LdAKeyM,0),"")</f>
        <v/>
      </c>
      <c r="M1767">
        <f>IFERROR(MATCH($C$5&amp;"|"&amp;RIGHT("000000"&amp;1751,6),LdBKeyM,0),"")</f>
        <v/>
      </c>
      <c r="N1767">
        <f>IFERROR(MATCH($C$5&amp;"|"&amp;RIGHT("000000"&amp;1751,6),LdCKeyM,0),"")</f>
        <v/>
      </c>
    </row>
    <row r="1768">
      <c r="A1768" s="19" t="n">
        <v>1752</v>
      </c>
      <c r="B1768" s="20">
        <f>IF(AND($L1768="",$M1768="",$N1768=""),"",IF($L1768&lt;&gt;"",INDEX(LdADate,$L1768),IF($M1768&lt;&gt;"",INDEX(LdBDate,$M1768),INDEX(LdCDate,$N1768))))</f>
        <v/>
      </c>
      <c r="C1768" s="20">
        <f>IF($L1768&lt;&gt;"","دستمزد (فردی)",IF($M1768&lt;&gt;"","سهم از گروه "&amp;IFERROR(VLOOKUP(INDEX(LdBGroup,$M1768),WGTbl,2,0),INDEX(LdBGroup,$M1768)),IF($N1768&lt;&gt;"",IF(N(INDEX(LdCDep,$N1768))&gt;0,"بازگشت بانکی","پرداخت بانکی"),"")))</f>
        <v/>
      </c>
      <c r="D1768" s="20">
        <f>IF($L1768&lt;&gt;"",IF(INDEX(LdAId,$L1768)="","—",INDEX(LdAId,$L1768)),IF($M1768&lt;&gt;"",IF(INDEX(LdBId,$M1768)="","—",INDEX(LdBId,$M1768)),IF($N1768&lt;&gt;"",IF(INDEX(LdCBank,$N1768)="","—",INDEX(LdCBank,$N1768)),"")))</f>
        <v/>
      </c>
      <c r="E1768" s="21">
        <f>IF($L1768&lt;&gt;"",IF(INDEX(LdAAmt,$L1768)=0,"",INDEX(LdAAmt,$L1768)),IF($M1768&lt;&gt;"",IF(INDEX(LdBAmt,$M1768)=0,"",INDEX(LdBAmt,$M1768)),IF($N1768&lt;&gt;"",IF(INDEX(LdCDep,$N1768)=0,"",INDEX(LdCDep,$N1768)),"")))</f>
        <v/>
      </c>
      <c r="F1768" s="21">
        <f>IF(AND($L1768="",$M1768="",$N1768=""),"",IF($N1768="","",IF(INDEX(LdCWit,$N1768)=0,"",INDEX(LdCWit,$N1768))))</f>
        <v/>
      </c>
      <c r="G1768" s="31">
        <f>IF($B1768="","",IF($G1767="",0,$G1767)+IF($E1768="",0,$E1768)-IF($F1768="",0,$F1768))</f>
        <v/>
      </c>
      <c r="H1768" s="32">
        <f>IF(AND($L1768="",$M1768="",$N1768=""),"",IF($L1768&lt;&gt;"",IF(INDEX(LdANote,$L1768)="","—",INDEX(LdANote,$L1768)),IF($M1768&lt;&gt;"",IF(INDEX(LdBNote,$M1768)="","—",INDEX(LdBNote,$M1768)),IF($N1768&lt;&gt;"",IF(INDEX(LdCNote,$N1768)="","—",INDEX(LdCNote,$N1768)),""))))</f>
        <v/>
      </c>
      <c r="L1768">
        <f>IFERROR(MATCH($C$5&amp;"|"&amp;RIGHT("000000"&amp;1752,6),LdAKeyM,0),"")</f>
        <v/>
      </c>
      <c r="M1768">
        <f>IFERROR(MATCH($C$5&amp;"|"&amp;RIGHT("000000"&amp;1752,6),LdBKeyM,0),"")</f>
        <v/>
      </c>
      <c r="N1768">
        <f>IFERROR(MATCH($C$5&amp;"|"&amp;RIGHT("000000"&amp;1752,6),LdCKeyM,0),"")</f>
        <v/>
      </c>
    </row>
    <row r="1769">
      <c r="A1769" s="10" t="n">
        <v>1753</v>
      </c>
      <c r="B1769" s="14">
        <f>IF(AND($L1769="",$M1769="",$N1769=""),"",IF($L1769&lt;&gt;"",INDEX(LdADate,$L1769),IF($M1769&lt;&gt;"",INDEX(LdBDate,$M1769),INDEX(LdCDate,$N1769))))</f>
        <v/>
      </c>
      <c r="C1769" s="14">
        <f>IF($L1769&lt;&gt;"","دستمزد (فردی)",IF($M1769&lt;&gt;"","سهم از گروه "&amp;IFERROR(VLOOKUP(INDEX(LdBGroup,$M1769),WGTbl,2,0),INDEX(LdBGroup,$M1769)),IF($N1769&lt;&gt;"",IF(N(INDEX(LdCDep,$N1769))&gt;0,"بازگشت بانکی","پرداخت بانکی"),"")))</f>
        <v/>
      </c>
      <c r="D1769" s="14">
        <f>IF($L1769&lt;&gt;"",IF(INDEX(LdAId,$L1769)="","—",INDEX(LdAId,$L1769)),IF($M1769&lt;&gt;"",IF(INDEX(LdBId,$M1769)="","—",INDEX(LdBId,$M1769)),IF($N1769&lt;&gt;"",IF(INDEX(LdCBank,$N1769)="","—",INDEX(LdCBank,$N1769)),"")))</f>
        <v/>
      </c>
      <c r="E1769" s="16">
        <f>IF($L1769&lt;&gt;"",IF(INDEX(LdAAmt,$L1769)=0,"",INDEX(LdAAmt,$L1769)),IF($M1769&lt;&gt;"",IF(INDEX(LdBAmt,$M1769)=0,"",INDEX(LdBAmt,$M1769)),IF($N1769&lt;&gt;"",IF(INDEX(LdCDep,$N1769)=0,"",INDEX(LdCDep,$N1769)),"")))</f>
        <v/>
      </c>
      <c r="F1769" s="16">
        <f>IF(AND($L1769="",$M1769="",$N1769=""),"",IF($N1769="","",IF(INDEX(LdCWit,$N1769)=0,"",INDEX(LdCWit,$N1769))))</f>
        <v/>
      </c>
      <c r="G1769" s="29">
        <f>IF($B1769="","",IF($G1768="",0,$G1768)+IF($E1769="",0,$E1769)-IF($F1769="",0,$F1769))</f>
        <v/>
      </c>
      <c r="H1769" s="30">
        <f>IF(AND($L1769="",$M1769="",$N1769=""),"",IF($L1769&lt;&gt;"",IF(INDEX(LdANote,$L1769)="","—",INDEX(LdANote,$L1769)),IF($M1769&lt;&gt;"",IF(INDEX(LdBNote,$M1769)="","—",INDEX(LdBNote,$M1769)),IF($N1769&lt;&gt;"",IF(INDEX(LdCNote,$N1769)="","—",INDEX(LdCNote,$N1769)),""))))</f>
        <v/>
      </c>
      <c r="L1769">
        <f>IFERROR(MATCH($C$5&amp;"|"&amp;RIGHT("000000"&amp;1753,6),LdAKeyM,0),"")</f>
        <v/>
      </c>
      <c r="M1769">
        <f>IFERROR(MATCH($C$5&amp;"|"&amp;RIGHT("000000"&amp;1753,6),LdBKeyM,0),"")</f>
        <v/>
      </c>
      <c r="N1769">
        <f>IFERROR(MATCH($C$5&amp;"|"&amp;RIGHT("000000"&amp;1753,6),LdCKeyM,0),"")</f>
        <v/>
      </c>
    </row>
    <row r="1770">
      <c r="A1770" s="19" t="n">
        <v>1754</v>
      </c>
      <c r="B1770" s="20">
        <f>IF(AND($L1770="",$M1770="",$N1770=""),"",IF($L1770&lt;&gt;"",INDEX(LdADate,$L1770),IF($M1770&lt;&gt;"",INDEX(LdBDate,$M1770),INDEX(LdCDate,$N1770))))</f>
        <v/>
      </c>
      <c r="C1770" s="20">
        <f>IF($L1770&lt;&gt;"","دستمزد (فردی)",IF($M1770&lt;&gt;"","سهم از گروه "&amp;IFERROR(VLOOKUP(INDEX(LdBGroup,$M1770),WGTbl,2,0),INDEX(LdBGroup,$M1770)),IF($N1770&lt;&gt;"",IF(N(INDEX(LdCDep,$N1770))&gt;0,"بازگشت بانکی","پرداخت بانکی"),"")))</f>
        <v/>
      </c>
      <c r="D1770" s="20">
        <f>IF($L1770&lt;&gt;"",IF(INDEX(LdAId,$L1770)="","—",INDEX(LdAId,$L1770)),IF($M1770&lt;&gt;"",IF(INDEX(LdBId,$M1770)="","—",INDEX(LdBId,$M1770)),IF($N1770&lt;&gt;"",IF(INDEX(LdCBank,$N1770)="","—",INDEX(LdCBank,$N1770)),"")))</f>
        <v/>
      </c>
      <c r="E1770" s="21">
        <f>IF($L1770&lt;&gt;"",IF(INDEX(LdAAmt,$L1770)=0,"",INDEX(LdAAmt,$L1770)),IF($M1770&lt;&gt;"",IF(INDEX(LdBAmt,$M1770)=0,"",INDEX(LdBAmt,$M1770)),IF($N1770&lt;&gt;"",IF(INDEX(LdCDep,$N1770)=0,"",INDEX(LdCDep,$N1770)),"")))</f>
        <v/>
      </c>
      <c r="F1770" s="21">
        <f>IF(AND($L1770="",$M1770="",$N1770=""),"",IF($N1770="","",IF(INDEX(LdCWit,$N1770)=0,"",INDEX(LdCWit,$N1770))))</f>
        <v/>
      </c>
      <c r="G1770" s="31">
        <f>IF($B1770="","",IF($G1769="",0,$G1769)+IF($E1770="",0,$E1770)-IF($F1770="",0,$F1770))</f>
        <v/>
      </c>
      <c r="H1770" s="32">
        <f>IF(AND($L1770="",$M1770="",$N1770=""),"",IF($L1770&lt;&gt;"",IF(INDEX(LdANote,$L1770)="","—",INDEX(LdANote,$L1770)),IF($M1770&lt;&gt;"",IF(INDEX(LdBNote,$M1770)="","—",INDEX(LdBNote,$M1770)),IF($N1770&lt;&gt;"",IF(INDEX(LdCNote,$N1770)="","—",INDEX(LdCNote,$N1770)),""))))</f>
        <v/>
      </c>
      <c r="L1770">
        <f>IFERROR(MATCH($C$5&amp;"|"&amp;RIGHT("000000"&amp;1754,6),LdAKeyM,0),"")</f>
        <v/>
      </c>
      <c r="M1770">
        <f>IFERROR(MATCH($C$5&amp;"|"&amp;RIGHT("000000"&amp;1754,6),LdBKeyM,0),"")</f>
        <v/>
      </c>
      <c r="N1770">
        <f>IFERROR(MATCH($C$5&amp;"|"&amp;RIGHT("000000"&amp;1754,6),LdCKeyM,0),"")</f>
        <v/>
      </c>
    </row>
    <row r="1771">
      <c r="A1771" s="10" t="n">
        <v>1755</v>
      </c>
      <c r="B1771" s="14">
        <f>IF(AND($L1771="",$M1771="",$N1771=""),"",IF($L1771&lt;&gt;"",INDEX(LdADate,$L1771),IF($M1771&lt;&gt;"",INDEX(LdBDate,$M1771),INDEX(LdCDate,$N1771))))</f>
        <v/>
      </c>
      <c r="C1771" s="14">
        <f>IF($L1771&lt;&gt;"","دستمزد (فردی)",IF($M1771&lt;&gt;"","سهم از گروه "&amp;IFERROR(VLOOKUP(INDEX(LdBGroup,$M1771),WGTbl,2,0),INDEX(LdBGroup,$M1771)),IF($N1771&lt;&gt;"",IF(N(INDEX(LdCDep,$N1771))&gt;0,"بازگشت بانکی","پرداخت بانکی"),"")))</f>
        <v/>
      </c>
      <c r="D1771" s="14">
        <f>IF($L1771&lt;&gt;"",IF(INDEX(LdAId,$L1771)="","—",INDEX(LdAId,$L1771)),IF($M1771&lt;&gt;"",IF(INDEX(LdBId,$M1771)="","—",INDEX(LdBId,$M1771)),IF($N1771&lt;&gt;"",IF(INDEX(LdCBank,$N1771)="","—",INDEX(LdCBank,$N1771)),"")))</f>
        <v/>
      </c>
      <c r="E1771" s="16">
        <f>IF($L1771&lt;&gt;"",IF(INDEX(LdAAmt,$L1771)=0,"",INDEX(LdAAmt,$L1771)),IF($M1771&lt;&gt;"",IF(INDEX(LdBAmt,$M1771)=0,"",INDEX(LdBAmt,$M1771)),IF($N1771&lt;&gt;"",IF(INDEX(LdCDep,$N1771)=0,"",INDEX(LdCDep,$N1771)),"")))</f>
        <v/>
      </c>
      <c r="F1771" s="16">
        <f>IF(AND($L1771="",$M1771="",$N1771=""),"",IF($N1771="","",IF(INDEX(LdCWit,$N1771)=0,"",INDEX(LdCWit,$N1771))))</f>
        <v/>
      </c>
      <c r="G1771" s="29">
        <f>IF($B1771="","",IF($G1770="",0,$G1770)+IF($E1771="",0,$E1771)-IF($F1771="",0,$F1771))</f>
        <v/>
      </c>
      <c r="H1771" s="30">
        <f>IF(AND($L1771="",$M1771="",$N1771=""),"",IF($L1771&lt;&gt;"",IF(INDEX(LdANote,$L1771)="","—",INDEX(LdANote,$L1771)),IF($M1771&lt;&gt;"",IF(INDEX(LdBNote,$M1771)="","—",INDEX(LdBNote,$M1771)),IF($N1771&lt;&gt;"",IF(INDEX(LdCNote,$N1771)="","—",INDEX(LdCNote,$N1771)),""))))</f>
        <v/>
      </c>
      <c r="L1771">
        <f>IFERROR(MATCH($C$5&amp;"|"&amp;RIGHT("000000"&amp;1755,6),LdAKeyM,0),"")</f>
        <v/>
      </c>
      <c r="M1771">
        <f>IFERROR(MATCH($C$5&amp;"|"&amp;RIGHT("000000"&amp;1755,6),LdBKeyM,0),"")</f>
        <v/>
      </c>
      <c r="N1771">
        <f>IFERROR(MATCH($C$5&amp;"|"&amp;RIGHT("000000"&amp;1755,6),LdCKeyM,0),"")</f>
        <v/>
      </c>
    </row>
    <row r="1772">
      <c r="A1772" s="19" t="n">
        <v>1756</v>
      </c>
      <c r="B1772" s="20">
        <f>IF(AND($L1772="",$M1772="",$N1772=""),"",IF($L1772&lt;&gt;"",INDEX(LdADate,$L1772),IF($M1772&lt;&gt;"",INDEX(LdBDate,$M1772),INDEX(LdCDate,$N1772))))</f>
        <v/>
      </c>
      <c r="C1772" s="20">
        <f>IF($L1772&lt;&gt;"","دستمزد (فردی)",IF($M1772&lt;&gt;"","سهم از گروه "&amp;IFERROR(VLOOKUP(INDEX(LdBGroup,$M1772),WGTbl,2,0),INDEX(LdBGroup,$M1772)),IF($N1772&lt;&gt;"",IF(N(INDEX(LdCDep,$N1772))&gt;0,"بازگشت بانکی","پرداخت بانکی"),"")))</f>
        <v/>
      </c>
      <c r="D1772" s="20">
        <f>IF($L1772&lt;&gt;"",IF(INDEX(LdAId,$L1772)="","—",INDEX(LdAId,$L1772)),IF($M1772&lt;&gt;"",IF(INDEX(LdBId,$M1772)="","—",INDEX(LdBId,$M1772)),IF($N1772&lt;&gt;"",IF(INDEX(LdCBank,$N1772)="","—",INDEX(LdCBank,$N1772)),"")))</f>
        <v/>
      </c>
      <c r="E1772" s="21">
        <f>IF($L1772&lt;&gt;"",IF(INDEX(LdAAmt,$L1772)=0,"",INDEX(LdAAmt,$L1772)),IF($M1772&lt;&gt;"",IF(INDEX(LdBAmt,$M1772)=0,"",INDEX(LdBAmt,$M1772)),IF($N1772&lt;&gt;"",IF(INDEX(LdCDep,$N1772)=0,"",INDEX(LdCDep,$N1772)),"")))</f>
        <v/>
      </c>
      <c r="F1772" s="21">
        <f>IF(AND($L1772="",$M1772="",$N1772=""),"",IF($N1772="","",IF(INDEX(LdCWit,$N1772)=0,"",INDEX(LdCWit,$N1772))))</f>
        <v/>
      </c>
      <c r="G1772" s="31">
        <f>IF($B1772="","",IF($G1771="",0,$G1771)+IF($E1772="",0,$E1772)-IF($F1772="",0,$F1772))</f>
        <v/>
      </c>
      <c r="H1772" s="32">
        <f>IF(AND($L1772="",$M1772="",$N1772=""),"",IF($L1772&lt;&gt;"",IF(INDEX(LdANote,$L1772)="","—",INDEX(LdANote,$L1772)),IF($M1772&lt;&gt;"",IF(INDEX(LdBNote,$M1772)="","—",INDEX(LdBNote,$M1772)),IF($N1772&lt;&gt;"",IF(INDEX(LdCNote,$N1772)="","—",INDEX(LdCNote,$N1772)),""))))</f>
        <v/>
      </c>
      <c r="L1772">
        <f>IFERROR(MATCH($C$5&amp;"|"&amp;RIGHT("000000"&amp;1756,6),LdAKeyM,0),"")</f>
        <v/>
      </c>
      <c r="M1772">
        <f>IFERROR(MATCH($C$5&amp;"|"&amp;RIGHT("000000"&amp;1756,6),LdBKeyM,0),"")</f>
        <v/>
      </c>
      <c r="N1772">
        <f>IFERROR(MATCH($C$5&amp;"|"&amp;RIGHT("000000"&amp;1756,6),LdCKeyM,0),"")</f>
        <v/>
      </c>
    </row>
    <row r="1773">
      <c r="A1773" s="10" t="n">
        <v>1757</v>
      </c>
      <c r="B1773" s="14">
        <f>IF(AND($L1773="",$M1773="",$N1773=""),"",IF($L1773&lt;&gt;"",INDEX(LdADate,$L1773),IF($M1773&lt;&gt;"",INDEX(LdBDate,$M1773),INDEX(LdCDate,$N1773))))</f>
        <v/>
      </c>
      <c r="C1773" s="14">
        <f>IF($L1773&lt;&gt;"","دستمزد (فردی)",IF($M1773&lt;&gt;"","سهم از گروه "&amp;IFERROR(VLOOKUP(INDEX(LdBGroup,$M1773),WGTbl,2,0),INDEX(LdBGroup,$M1773)),IF($N1773&lt;&gt;"",IF(N(INDEX(LdCDep,$N1773))&gt;0,"بازگشت بانکی","پرداخت بانکی"),"")))</f>
        <v/>
      </c>
      <c r="D1773" s="14">
        <f>IF($L1773&lt;&gt;"",IF(INDEX(LdAId,$L1773)="","—",INDEX(LdAId,$L1773)),IF($M1773&lt;&gt;"",IF(INDEX(LdBId,$M1773)="","—",INDEX(LdBId,$M1773)),IF($N1773&lt;&gt;"",IF(INDEX(LdCBank,$N1773)="","—",INDEX(LdCBank,$N1773)),"")))</f>
        <v/>
      </c>
      <c r="E1773" s="16">
        <f>IF($L1773&lt;&gt;"",IF(INDEX(LdAAmt,$L1773)=0,"",INDEX(LdAAmt,$L1773)),IF($M1773&lt;&gt;"",IF(INDEX(LdBAmt,$M1773)=0,"",INDEX(LdBAmt,$M1773)),IF($N1773&lt;&gt;"",IF(INDEX(LdCDep,$N1773)=0,"",INDEX(LdCDep,$N1773)),"")))</f>
        <v/>
      </c>
      <c r="F1773" s="16">
        <f>IF(AND($L1773="",$M1773="",$N1773=""),"",IF($N1773="","",IF(INDEX(LdCWit,$N1773)=0,"",INDEX(LdCWit,$N1773))))</f>
        <v/>
      </c>
      <c r="G1773" s="29">
        <f>IF($B1773="","",IF($G1772="",0,$G1772)+IF($E1773="",0,$E1773)-IF($F1773="",0,$F1773))</f>
        <v/>
      </c>
      <c r="H1773" s="30">
        <f>IF(AND($L1773="",$M1773="",$N1773=""),"",IF($L1773&lt;&gt;"",IF(INDEX(LdANote,$L1773)="","—",INDEX(LdANote,$L1773)),IF($M1773&lt;&gt;"",IF(INDEX(LdBNote,$M1773)="","—",INDEX(LdBNote,$M1773)),IF($N1773&lt;&gt;"",IF(INDEX(LdCNote,$N1773)="","—",INDEX(LdCNote,$N1773)),""))))</f>
        <v/>
      </c>
      <c r="L1773">
        <f>IFERROR(MATCH($C$5&amp;"|"&amp;RIGHT("000000"&amp;1757,6),LdAKeyM,0),"")</f>
        <v/>
      </c>
      <c r="M1773">
        <f>IFERROR(MATCH($C$5&amp;"|"&amp;RIGHT("000000"&amp;1757,6),LdBKeyM,0),"")</f>
        <v/>
      </c>
      <c r="N1773">
        <f>IFERROR(MATCH($C$5&amp;"|"&amp;RIGHT("000000"&amp;1757,6),LdCKeyM,0),"")</f>
        <v/>
      </c>
    </row>
    <row r="1774">
      <c r="A1774" s="19" t="n">
        <v>1758</v>
      </c>
      <c r="B1774" s="20">
        <f>IF(AND($L1774="",$M1774="",$N1774=""),"",IF($L1774&lt;&gt;"",INDEX(LdADate,$L1774),IF($M1774&lt;&gt;"",INDEX(LdBDate,$M1774),INDEX(LdCDate,$N1774))))</f>
        <v/>
      </c>
      <c r="C1774" s="20">
        <f>IF($L1774&lt;&gt;"","دستمزد (فردی)",IF($M1774&lt;&gt;"","سهم از گروه "&amp;IFERROR(VLOOKUP(INDEX(LdBGroup,$M1774),WGTbl,2,0),INDEX(LdBGroup,$M1774)),IF($N1774&lt;&gt;"",IF(N(INDEX(LdCDep,$N1774))&gt;0,"بازگشت بانکی","پرداخت بانکی"),"")))</f>
        <v/>
      </c>
      <c r="D1774" s="20">
        <f>IF($L1774&lt;&gt;"",IF(INDEX(LdAId,$L1774)="","—",INDEX(LdAId,$L1774)),IF($M1774&lt;&gt;"",IF(INDEX(LdBId,$M1774)="","—",INDEX(LdBId,$M1774)),IF($N1774&lt;&gt;"",IF(INDEX(LdCBank,$N1774)="","—",INDEX(LdCBank,$N1774)),"")))</f>
        <v/>
      </c>
      <c r="E1774" s="21">
        <f>IF($L1774&lt;&gt;"",IF(INDEX(LdAAmt,$L1774)=0,"",INDEX(LdAAmt,$L1774)),IF($M1774&lt;&gt;"",IF(INDEX(LdBAmt,$M1774)=0,"",INDEX(LdBAmt,$M1774)),IF($N1774&lt;&gt;"",IF(INDEX(LdCDep,$N1774)=0,"",INDEX(LdCDep,$N1774)),"")))</f>
        <v/>
      </c>
      <c r="F1774" s="21">
        <f>IF(AND($L1774="",$M1774="",$N1774=""),"",IF($N1774="","",IF(INDEX(LdCWit,$N1774)=0,"",INDEX(LdCWit,$N1774))))</f>
        <v/>
      </c>
      <c r="G1774" s="31">
        <f>IF($B1774="","",IF($G1773="",0,$G1773)+IF($E1774="",0,$E1774)-IF($F1774="",0,$F1774))</f>
        <v/>
      </c>
      <c r="H1774" s="32">
        <f>IF(AND($L1774="",$M1774="",$N1774=""),"",IF($L1774&lt;&gt;"",IF(INDEX(LdANote,$L1774)="","—",INDEX(LdANote,$L1774)),IF($M1774&lt;&gt;"",IF(INDEX(LdBNote,$M1774)="","—",INDEX(LdBNote,$M1774)),IF($N1774&lt;&gt;"",IF(INDEX(LdCNote,$N1774)="","—",INDEX(LdCNote,$N1774)),""))))</f>
        <v/>
      </c>
      <c r="L1774">
        <f>IFERROR(MATCH($C$5&amp;"|"&amp;RIGHT("000000"&amp;1758,6),LdAKeyM,0),"")</f>
        <v/>
      </c>
      <c r="M1774">
        <f>IFERROR(MATCH($C$5&amp;"|"&amp;RIGHT("000000"&amp;1758,6),LdBKeyM,0),"")</f>
        <v/>
      </c>
      <c r="N1774">
        <f>IFERROR(MATCH($C$5&amp;"|"&amp;RIGHT("000000"&amp;1758,6),LdCKeyM,0),"")</f>
        <v/>
      </c>
    </row>
    <row r="1775">
      <c r="A1775" s="10" t="n">
        <v>1759</v>
      </c>
      <c r="B1775" s="14">
        <f>IF(AND($L1775="",$M1775="",$N1775=""),"",IF($L1775&lt;&gt;"",INDEX(LdADate,$L1775),IF($M1775&lt;&gt;"",INDEX(LdBDate,$M1775),INDEX(LdCDate,$N1775))))</f>
        <v/>
      </c>
      <c r="C1775" s="14">
        <f>IF($L1775&lt;&gt;"","دستمزد (فردی)",IF($M1775&lt;&gt;"","سهم از گروه "&amp;IFERROR(VLOOKUP(INDEX(LdBGroup,$M1775),WGTbl,2,0),INDEX(LdBGroup,$M1775)),IF($N1775&lt;&gt;"",IF(N(INDEX(LdCDep,$N1775))&gt;0,"بازگشت بانکی","پرداخت بانکی"),"")))</f>
        <v/>
      </c>
      <c r="D1775" s="14">
        <f>IF($L1775&lt;&gt;"",IF(INDEX(LdAId,$L1775)="","—",INDEX(LdAId,$L1775)),IF($M1775&lt;&gt;"",IF(INDEX(LdBId,$M1775)="","—",INDEX(LdBId,$M1775)),IF($N1775&lt;&gt;"",IF(INDEX(LdCBank,$N1775)="","—",INDEX(LdCBank,$N1775)),"")))</f>
        <v/>
      </c>
      <c r="E1775" s="16">
        <f>IF($L1775&lt;&gt;"",IF(INDEX(LdAAmt,$L1775)=0,"",INDEX(LdAAmt,$L1775)),IF($M1775&lt;&gt;"",IF(INDEX(LdBAmt,$M1775)=0,"",INDEX(LdBAmt,$M1775)),IF($N1775&lt;&gt;"",IF(INDEX(LdCDep,$N1775)=0,"",INDEX(LdCDep,$N1775)),"")))</f>
        <v/>
      </c>
      <c r="F1775" s="16">
        <f>IF(AND($L1775="",$M1775="",$N1775=""),"",IF($N1775="","",IF(INDEX(LdCWit,$N1775)=0,"",INDEX(LdCWit,$N1775))))</f>
        <v/>
      </c>
      <c r="G1775" s="29">
        <f>IF($B1775="","",IF($G1774="",0,$G1774)+IF($E1775="",0,$E1775)-IF($F1775="",0,$F1775))</f>
        <v/>
      </c>
      <c r="H1775" s="30">
        <f>IF(AND($L1775="",$M1775="",$N1775=""),"",IF($L1775&lt;&gt;"",IF(INDEX(LdANote,$L1775)="","—",INDEX(LdANote,$L1775)),IF($M1775&lt;&gt;"",IF(INDEX(LdBNote,$M1775)="","—",INDEX(LdBNote,$M1775)),IF($N1775&lt;&gt;"",IF(INDEX(LdCNote,$N1775)="","—",INDEX(LdCNote,$N1775)),""))))</f>
        <v/>
      </c>
      <c r="L1775">
        <f>IFERROR(MATCH($C$5&amp;"|"&amp;RIGHT("000000"&amp;1759,6),LdAKeyM,0),"")</f>
        <v/>
      </c>
      <c r="M1775">
        <f>IFERROR(MATCH($C$5&amp;"|"&amp;RIGHT("000000"&amp;1759,6),LdBKeyM,0),"")</f>
        <v/>
      </c>
      <c r="N1775">
        <f>IFERROR(MATCH($C$5&amp;"|"&amp;RIGHT("000000"&amp;1759,6),LdCKeyM,0),"")</f>
        <v/>
      </c>
    </row>
    <row r="1776">
      <c r="A1776" s="19" t="n">
        <v>1760</v>
      </c>
      <c r="B1776" s="20">
        <f>IF(AND($L1776="",$M1776="",$N1776=""),"",IF($L1776&lt;&gt;"",INDEX(LdADate,$L1776),IF($M1776&lt;&gt;"",INDEX(LdBDate,$M1776),INDEX(LdCDate,$N1776))))</f>
        <v/>
      </c>
      <c r="C1776" s="20">
        <f>IF($L1776&lt;&gt;"","دستمزد (فردی)",IF($M1776&lt;&gt;"","سهم از گروه "&amp;IFERROR(VLOOKUP(INDEX(LdBGroup,$M1776),WGTbl,2,0),INDEX(LdBGroup,$M1776)),IF($N1776&lt;&gt;"",IF(N(INDEX(LdCDep,$N1776))&gt;0,"بازگشت بانکی","پرداخت بانکی"),"")))</f>
        <v/>
      </c>
      <c r="D1776" s="20">
        <f>IF($L1776&lt;&gt;"",IF(INDEX(LdAId,$L1776)="","—",INDEX(LdAId,$L1776)),IF($M1776&lt;&gt;"",IF(INDEX(LdBId,$M1776)="","—",INDEX(LdBId,$M1776)),IF($N1776&lt;&gt;"",IF(INDEX(LdCBank,$N1776)="","—",INDEX(LdCBank,$N1776)),"")))</f>
        <v/>
      </c>
      <c r="E1776" s="21">
        <f>IF($L1776&lt;&gt;"",IF(INDEX(LdAAmt,$L1776)=0,"",INDEX(LdAAmt,$L1776)),IF($M1776&lt;&gt;"",IF(INDEX(LdBAmt,$M1776)=0,"",INDEX(LdBAmt,$M1776)),IF($N1776&lt;&gt;"",IF(INDEX(LdCDep,$N1776)=0,"",INDEX(LdCDep,$N1776)),"")))</f>
        <v/>
      </c>
      <c r="F1776" s="21">
        <f>IF(AND($L1776="",$M1776="",$N1776=""),"",IF($N1776="","",IF(INDEX(LdCWit,$N1776)=0,"",INDEX(LdCWit,$N1776))))</f>
        <v/>
      </c>
      <c r="G1776" s="31">
        <f>IF($B1776="","",IF($G1775="",0,$G1775)+IF($E1776="",0,$E1776)-IF($F1776="",0,$F1776))</f>
        <v/>
      </c>
      <c r="H1776" s="32">
        <f>IF(AND($L1776="",$M1776="",$N1776=""),"",IF($L1776&lt;&gt;"",IF(INDEX(LdANote,$L1776)="","—",INDEX(LdANote,$L1776)),IF($M1776&lt;&gt;"",IF(INDEX(LdBNote,$M1776)="","—",INDEX(LdBNote,$M1776)),IF($N1776&lt;&gt;"",IF(INDEX(LdCNote,$N1776)="","—",INDEX(LdCNote,$N1776)),""))))</f>
        <v/>
      </c>
      <c r="L1776">
        <f>IFERROR(MATCH($C$5&amp;"|"&amp;RIGHT("000000"&amp;1760,6),LdAKeyM,0),"")</f>
        <v/>
      </c>
      <c r="M1776">
        <f>IFERROR(MATCH($C$5&amp;"|"&amp;RIGHT("000000"&amp;1760,6),LdBKeyM,0),"")</f>
        <v/>
      </c>
      <c r="N1776">
        <f>IFERROR(MATCH($C$5&amp;"|"&amp;RIGHT("000000"&amp;1760,6),LdCKeyM,0),"")</f>
        <v/>
      </c>
    </row>
    <row r="1777">
      <c r="A1777" s="10" t="n">
        <v>1761</v>
      </c>
      <c r="B1777" s="14">
        <f>IF(AND($L1777="",$M1777="",$N1777=""),"",IF($L1777&lt;&gt;"",INDEX(LdADate,$L1777),IF($M1777&lt;&gt;"",INDEX(LdBDate,$M1777),INDEX(LdCDate,$N1777))))</f>
        <v/>
      </c>
      <c r="C1777" s="14">
        <f>IF($L1777&lt;&gt;"","دستمزد (فردی)",IF($M1777&lt;&gt;"","سهم از گروه "&amp;IFERROR(VLOOKUP(INDEX(LdBGroup,$M1777),WGTbl,2,0),INDEX(LdBGroup,$M1777)),IF($N1777&lt;&gt;"",IF(N(INDEX(LdCDep,$N1777))&gt;0,"بازگشت بانکی","پرداخت بانکی"),"")))</f>
        <v/>
      </c>
      <c r="D1777" s="14">
        <f>IF($L1777&lt;&gt;"",IF(INDEX(LdAId,$L1777)="","—",INDEX(LdAId,$L1777)),IF($M1777&lt;&gt;"",IF(INDEX(LdBId,$M1777)="","—",INDEX(LdBId,$M1777)),IF($N1777&lt;&gt;"",IF(INDEX(LdCBank,$N1777)="","—",INDEX(LdCBank,$N1777)),"")))</f>
        <v/>
      </c>
      <c r="E1777" s="16">
        <f>IF($L1777&lt;&gt;"",IF(INDEX(LdAAmt,$L1777)=0,"",INDEX(LdAAmt,$L1777)),IF($M1777&lt;&gt;"",IF(INDEX(LdBAmt,$M1777)=0,"",INDEX(LdBAmt,$M1777)),IF($N1777&lt;&gt;"",IF(INDEX(LdCDep,$N1777)=0,"",INDEX(LdCDep,$N1777)),"")))</f>
        <v/>
      </c>
      <c r="F1777" s="16">
        <f>IF(AND($L1777="",$M1777="",$N1777=""),"",IF($N1777="","",IF(INDEX(LdCWit,$N1777)=0,"",INDEX(LdCWit,$N1777))))</f>
        <v/>
      </c>
      <c r="G1777" s="29">
        <f>IF($B1777="","",IF($G1776="",0,$G1776)+IF($E1777="",0,$E1777)-IF($F1777="",0,$F1777))</f>
        <v/>
      </c>
      <c r="H1777" s="30">
        <f>IF(AND($L1777="",$M1777="",$N1777=""),"",IF($L1777&lt;&gt;"",IF(INDEX(LdANote,$L1777)="","—",INDEX(LdANote,$L1777)),IF($M1777&lt;&gt;"",IF(INDEX(LdBNote,$M1777)="","—",INDEX(LdBNote,$M1777)),IF($N1777&lt;&gt;"",IF(INDEX(LdCNote,$N1777)="","—",INDEX(LdCNote,$N1777)),""))))</f>
        <v/>
      </c>
      <c r="L1777">
        <f>IFERROR(MATCH($C$5&amp;"|"&amp;RIGHT("000000"&amp;1761,6),LdAKeyM,0),"")</f>
        <v/>
      </c>
      <c r="M1777">
        <f>IFERROR(MATCH($C$5&amp;"|"&amp;RIGHT("000000"&amp;1761,6),LdBKeyM,0),"")</f>
        <v/>
      </c>
      <c r="N1777">
        <f>IFERROR(MATCH($C$5&amp;"|"&amp;RIGHT("000000"&amp;1761,6),LdCKeyM,0),"")</f>
        <v/>
      </c>
    </row>
    <row r="1778">
      <c r="A1778" s="19" t="n">
        <v>1762</v>
      </c>
      <c r="B1778" s="20">
        <f>IF(AND($L1778="",$M1778="",$N1778=""),"",IF($L1778&lt;&gt;"",INDEX(LdADate,$L1778),IF($M1778&lt;&gt;"",INDEX(LdBDate,$M1778),INDEX(LdCDate,$N1778))))</f>
        <v/>
      </c>
      <c r="C1778" s="20">
        <f>IF($L1778&lt;&gt;"","دستمزد (فردی)",IF($M1778&lt;&gt;"","سهم از گروه "&amp;IFERROR(VLOOKUP(INDEX(LdBGroup,$M1778),WGTbl,2,0),INDEX(LdBGroup,$M1778)),IF($N1778&lt;&gt;"",IF(N(INDEX(LdCDep,$N1778))&gt;0,"بازگشت بانکی","پرداخت بانکی"),"")))</f>
        <v/>
      </c>
      <c r="D1778" s="20">
        <f>IF($L1778&lt;&gt;"",IF(INDEX(LdAId,$L1778)="","—",INDEX(LdAId,$L1778)),IF($M1778&lt;&gt;"",IF(INDEX(LdBId,$M1778)="","—",INDEX(LdBId,$M1778)),IF($N1778&lt;&gt;"",IF(INDEX(LdCBank,$N1778)="","—",INDEX(LdCBank,$N1778)),"")))</f>
        <v/>
      </c>
      <c r="E1778" s="21">
        <f>IF($L1778&lt;&gt;"",IF(INDEX(LdAAmt,$L1778)=0,"",INDEX(LdAAmt,$L1778)),IF($M1778&lt;&gt;"",IF(INDEX(LdBAmt,$M1778)=0,"",INDEX(LdBAmt,$M1778)),IF($N1778&lt;&gt;"",IF(INDEX(LdCDep,$N1778)=0,"",INDEX(LdCDep,$N1778)),"")))</f>
        <v/>
      </c>
      <c r="F1778" s="21">
        <f>IF(AND($L1778="",$M1778="",$N1778=""),"",IF($N1778="","",IF(INDEX(LdCWit,$N1778)=0,"",INDEX(LdCWit,$N1778))))</f>
        <v/>
      </c>
      <c r="G1778" s="31">
        <f>IF($B1778="","",IF($G1777="",0,$G1777)+IF($E1778="",0,$E1778)-IF($F1778="",0,$F1778))</f>
        <v/>
      </c>
      <c r="H1778" s="32">
        <f>IF(AND($L1778="",$M1778="",$N1778=""),"",IF($L1778&lt;&gt;"",IF(INDEX(LdANote,$L1778)="","—",INDEX(LdANote,$L1778)),IF($M1778&lt;&gt;"",IF(INDEX(LdBNote,$M1778)="","—",INDEX(LdBNote,$M1778)),IF($N1778&lt;&gt;"",IF(INDEX(LdCNote,$N1778)="","—",INDEX(LdCNote,$N1778)),""))))</f>
        <v/>
      </c>
      <c r="L1778">
        <f>IFERROR(MATCH($C$5&amp;"|"&amp;RIGHT("000000"&amp;1762,6),LdAKeyM,0),"")</f>
        <v/>
      </c>
      <c r="M1778">
        <f>IFERROR(MATCH($C$5&amp;"|"&amp;RIGHT("000000"&amp;1762,6),LdBKeyM,0),"")</f>
        <v/>
      </c>
      <c r="N1778">
        <f>IFERROR(MATCH($C$5&amp;"|"&amp;RIGHT("000000"&amp;1762,6),LdCKeyM,0),"")</f>
        <v/>
      </c>
    </row>
    <row r="1779">
      <c r="A1779" s="10" t="n">
        <v>1763</v>
      </c>
      <c r="B1779" s="14">
        <f>IF(AND($L1779="",$M1779="",$N1779=""),"",IF($L1779&lt;&gt;"",INDEX(LdADate,$L1779),IF($M1779&lt;&gt;"",INDEX(LdBDate,$M1779),INDEX(LdCDate,$N1779))))</f>
        <v/>
      </c>
      <c r="C1779" s="14">
        <f>IF($L1779&lt;&gt;"","دستمزد (فردی)",IF($M1779&lt;&gt;"","سهم از گروه "&amp;IFERROR(VLOOKUP(INDEX(LdBGroup,$M1779),WGTbl,2,0),INDEX(LdBGroup,$M1779)),IF($N1779&lt;&gt;"",IF(N(INDEX(LdCDep,$N1779))&gt;0,"بازگشت بانکی","پرداخت بانکی"),"")))</f>
        <v/>
      </c>
      <c r="D1779" s="14">
        <f>IF($L1779&lt;&gt;"",IF(INDEX(LdAId,$L1779)="","—",INDEX(LdAId,$L1779)),IF($M1779&lt;&gt;"",IF(INDEX(LdBId,$M1779)="","—",INDEX(LdBId,$M1779)),IF($N1779&lt;&gt;"",IF(INDEX(LdCBank,$N1779)="","—",INDEX(LdCBank,$N1779)),"")))</f>
        <v/>
      </c>
      <c r="E1779" s="16">
        <f>IF($L1779&lt;&gt;"",IF(INDEX(LdAAmt,$L1779)=0,"",INDEX(LdAAmt,$L1779)),IF($M1779&lt;&gt;"",IF(INDEX(LdBAmt,$M1779)=0,"",INDEX(LdBAmt,$M1779)),IF($N1779&lt;&gt;"",IF(INDEX(LdCDep,$N1779)=0,"",INDEX(LdCDep,$N1779)),"")))</f>
        <v/>
      </c>
      <c r="F1779" s="16">
        <f>IF(AND($L1779="",$M1779="",$N1779=""),"",IF($N1779="","",IF(INDEX(LdCWit,$N1779)=0,"",INDEX(LdCWit,$N1779))))</f>
        <v/>
      </c>
      <c r="G1779" s="29">
        <f>IF($B1779="","",IF($G1778="",0,$G1778)+IF($E1779="",0,$E1779)-IF($F1779="",0,$F1779))</f>
        <v/>
      </c>
      <c r="H1779" s="30">
        <f>IF(AND($L1779="",$M1779="",$N1779=""),"",IF($L1779&lt;&gt;"",IF(INDEX(LdANote,$L1779)="","—",INDEX(LdANote,$L1779)),IF($M1779&lt;&gt;"",IF(INDEX(LdBNote,$M1779)="","—",INDEX(LdBNote,$M1779)),IF($N1779&lt;&gt;"",IF(INDEX(LdCNote,$N1779)="","—",INDEX(LdCNote,$N1779)),""))))</f>
        <v/>
      </c>
      <c r="L1779">
        <f>IFERROR(MATCH($C$5&amp;"|"&amp;RIGHT("000000"&amp;1763,6),LdAKeyM,0),"")</f>
        <v/>
      </c>
      <c r="M1779">
        <f>IFERROR(MATCH($C$5&amp;"|"&amp;RIGHT("000000"&amp;1763,6),LdBKeyM,0),"")</f>
        <v/>
      </c>
      <c r="N1779">
        <f>IFERROR(MATCH($C$5&amp;"|"&amp;RIGHT("000000"&amp;1763,6),LdCKeyM,0),"")</f>
        <v/>
      </c>
    </row>
    <row r="1780">
      <c r="A1780" s="19" t="n">
        <v>1764</v>
      </c>
      <c r="B1780" s="20">
        <f>IF(AND($L1780="",$M1780="",$N1780=""),"",IF($L1780&lt;&gt;"",INDEX(LdADate,$L1780),IF($M1780&lt;&gt;"",INDEX(LdBDate,$M1780),INDEX(LdCDate,$N1780))))</f>
        <v/>
      </c>
      <c r="C1780" s="20">
        <f>IF($L1780&lt;&gt;"","دستمزد (فردی)",IF($M1780&lt;&gt;"","سهم از گروه "&amp;IFERROR(VLOOKUP(INDEX(LdBGroup,$M1780),WGTbl,2,0),INDEX(LdBGroup,$M1780)),IF($N1780&lt;&gt;"",IF(N(INDEX(LdCDep,$N1780))&gt;0,"بازگشت بانکی","پرداخت بانکی"),"")))</f>
        <v/>
      </c>
      <c r="D1780" s="20">
        <f>IF($L1780&lt;&gt;"",IF(INDEX(LdAId,$L1780)="","—",INDEX(LdAId,$L1780)),IF($M1780&lt;&gt;"",IF(INDEX(LdBId,$M1780)="","—",INDEX(LdBId,$M1780)),IF($N1780&lt;&gt;"",IF(INDEX(LdCBank,$N1780)="","—",INDEX(LdCBank,$N1780)),"")))</f>
        <v/>
      </c>
      <c r="E1780" s="21">
        <f>IF($L1780&lt;&gt;"",IF(INDEX(LdAAmt,$L1780)=0,"",INDEX(LdAAmt,$L1780)),IF($M1780&lt;&gt;"",IF(INDEX(LdBAmt,$M1780)=0,"",INDEX(LdBAmt,$M1780)),IF($N1780&lt;&gt;"",IF(INDEX(LdCDep,$N1780)=0,"",INDEX(LdCDep,$N1780)),"")))</f>
        <v/>
      </c>
      <c r="F1780" s="21">
        <f>IF(AND($L1780="",$M1780="",$N1780=""),"",IF($N1780="","",IF(INDEX(LdCWit,$N1780)=0,"",INDEX(LdCWit,$N1780))))</f>
        <v/>
      </c>
      <c r="G1780" s="31">
        <f>IF($B1780="","",IF($G1779="",0,$G1779)+IF($E1780="",0,$E1780)-IF($F1780="",0,$F1780))</f>
        <v/>
      </c>
      <c r="H1780" s="32">
        <f>IF(AND($L1780="",$M1780="",$N1780=""),"",IF($L1780&lt;&gt;"",IF(INDEX(LdANote,$L1780)="","—",INDEX(LdANote,$L1780)),IF($M1780&lt;&gt;"",IF(INDEX(LdBNote,$M1780)="","—",INDEX(LdBNote,$M1780)),IF($N1780&lt;&gt;"",IF(INDEX(LdCNote,$N1780)="","—",INDEX(LdCNote,$N1780)),""))))</f>
        <v/>
      </c>
      <c r="L1780">
        <f>IFERROR(MATCH($C$5&amp;"|"&amp;RIGHT("000000"&amp;1764,6),LdAKeyM,0),"")</f>
        <v/>
      </c>
      <c r="M1780">
        <f>IFERROR(MATCH($C$5&amp;"|"&amp;RIGHT("000000"&amp;1764,6),LdBKeyM,0),"")</f>
        <v/>
      </c>
      <c r="N1780">
        <f>IFERROR(MATCH($C$5&amp;"|"&amp;RIGHT("000000"&amp;1764,6),LdCKeyM,0),"")</f>
        <v/>
      </c>
    </row>
    <row r="1781">
      <c r="A1781" s="10" t="n">
        <v>1765</v>
      </c>
      <c r="B1781" s="14">
        <f>IF(AND($L1781="",$M1781="",$N1781=""),"",IF($L1781&lt;&gt;"",INDEX(LdADate,$L1781),IF($M1781&lt;&gt;"",INDEX(LdBDate,$M1781),INDEX(LdCDate,$N1781))))</f>
        <v/>
      </c>
      <c r="C1781" s="14">
        <f>IF($L1781&lt;&gt;"","دستمزد (فردی)",IF($M1781&lt;&gt;"","سهم از گروه "&amp;IFERROR(VLOOKUP(INDEX(LdBGroup,$M1781),WGTbl,2,0),INDEX(LdBGroup,$M1781)),IF($N1781&lt;&gt;"",IF(N(INDEX(LdCDep,$N1781))&gt;0,"بازگشت بانکی","پرداخت بانکی"),"")))</f>
        <v/>
      </c>
      <c r="D1781" s="14">
        <f>IF($L1781&lt;&gt;"",IF(INDEX(LdAId,$L1781)="","—",INDEX(LdAId,$L1781)),IF($M1781&lt;&gt;"",IF(INDEX(LdBId,$M1781)="","—",INDEX(LdBId,$M1781)),IF($N1781&lt;&gt;"",IF(INDEX(LdCBank,$N1781)="","—",INDEX(LdCBank,$N1781)),"")))</f>
        <v/>
      </c>
      <c r="E1781" s="16">
        <f>IF($L1781&lt;&gt;"",IF(INDEX(LdAAmt,$L1781)=0,"",INDEX(LdAAmt,$L1781)),IF($M1781&lt;&gt;"",IF(INDEX(LdBAmt,$M1781)=0,"",INDEX(LdBAmt,$M1781)),IF($N1781&lt;&gt;"",IF(INDEX(LdCDep,$N1781)=0,"",INDEX(LdCDep,$N1781)),"")))</f>
        <v/>
      </c>
      <c r="F1781" s="16">
        <f>IF(AND($L1781="",$M1781="",$N1781=""),"",IF($N1781="","",IF(INDEX(LdCWit,$N1781)=0,"",INDEX(LdCWit,$N1781))))</f>
        <v/>
      </c>
      <c r="G1781" s="29">
        <f>IF($B1781="","",IF($G1780="",0,$G1780)+IF($E1781="",0,$E1781)-IF($F1781="",0,$F1781))</f>
        <v/>
      </c>
      <c r="H1781" s="30">
        <f>IF(AND($L1781="",$M1781="",$N1781=""),"",IF($L1781&lt;&gt;"",IF(INDEX(LdANote,$L1781)="","—",INDEX(LdANote,$L1781)),IF($M1781&lt;&gt;"",IF(INDEX(LdBNote,$M1781)="","—",INDEX(LdBNote,$M1781)),IF($N1781&lt;&gt;"",IF(INDEX(LdCNote,$N1781)="","—",INDEX(LdCNote,$N1781)),""))))</f>
        <v/>
      </c>
      <c r="L1781">
        <f>IFERROR(MATCH($C$5&amp;"|"&amp;RIGHT("000000"&amp;1765,6),LdAKeyM,0),"")</f>
        <v/>
      </c>
      <c r="M1781">
        <f>IFERROR(MATCH($C$5&amp;"|"&amp;RIGHT("000000"&amp;1765,6),LdBKeyM,0),"")</f>
        <v/>
      </c>
      <c r="N1781">
        <f>IFERROR(MATCH($C$5&amp;"|"&amp;RIGHT("000000"&amp;1765,6),LdCKeyM,0),"")</f>
        <v/>
      </c>
    </row>
    <row r="1782">
      <c r="A1782" s="19" t="n">
        <v>1766</v>
      </c>
      <c r="B1782" s="20">
        <f>IF(AND($L1782="",$M1782="",$N1782=""),"",IF($L1782&lt;&gt;"",INDEX(LdADate,$L1782),IF($M1782&lt;&gt;"",INDEX(LdBDate,$M1782),INDEX(LdCDate,$N1782))))</f>
        <v/>
      </c>
      <c r="C1782" s="20">
        <f>IF($L1782&lt;&gt;"","دستمزد (فردی)",IF($M1782&lt;&gt;"","سهم از گروه "&amp;IFERROR(VLOOKUP(INDEX(LdBGroup,$M1782),WGTbl,2,0),INDEX(LdBGroup,$M1782)),IF($N1782&lt;&gt;"",IF(N(INDEX(LdCDep,$N1782))&gt;0,"بازگشت بانکی","پرداخت بانکی"),"")))</f>
        <v/>
      </c>
      <c r="D1782" s="20">
        <f>IF($L1782&lt;&gt;"",IF(INDEX(LdAId,$L1782)="","—",INDEX(LdAId,$L1782)),IF($M1782&lt;&gt;"",IF(INDEX(LdBId,$M1782)="","—",INDEX(LdBId,$M1782)),IF($N1782&lt;&gt;"",IF(INDEX(LdCBank,$N1782)="","—",INDEX(LdCBank,$N1782)),"")))</f>
        <v/>
      </c>
      <c r="E1782" s="21">
        <f>IF($L1782&lt;&gt;"",IF(INDEX(LdAAmt,$L1782)=0,"",INDEX(LdAAmt,$L1782)),IF($M1782&lt;&gt;"",IF(INDEX(LdBAmt,$M1782)=0,"",INDEX(LdBAmt,$M1782)),IF($N1782&lt;&gt;"",IF(INDEX(LdCDep,$N1782)=0,"",INDEX(LdCDep,$N1782)),"")))</f>
        <v/>
      </c>
      <c r="F1782" s="21">
        <f>IF(AND($L1782="",$M1782="",$N1782=""),"",IF($N1782="","",IF(INDEX(LdCWit,$N1782)=0,"",INDEX(LdCWit,$N1782))))</f>
        <v/>
      </c>
      <c r="G1782" s="31">
        <f>IF($B1782="","",IF($G1781="",0,$G1781)+IF($E1782="",0,$E1782)-IF($F1782="",0,$F1782))</f>
        <v/>
      </c>
      <c r="H1782" s="32">
        <f>IF(AND($L1782="",$M1782="",$N1782=""),"",IF($L1782&lt;&gt;"",IF(INDEX(LdANote,$L1782)="","—",INDEX(LdANote,$L1782)),IF($M1782&lt;&gt;"",IF(INDEX(LdBNote,$M1782)="","—",INDEX(LdBNote,$M1782)),IF($N1782&lt;&gt;"",IF(INDEX(LdCNote,$N1782)="","—",INDEX(LdCNote,$N1782)),""))))</f>
        <v/>
      </c>
      <c r="L1782">
        <f>IFERROR(MATCH($C$5&amp;"|"&amp;RIGHT("000000"&amp;1766,6),LdAKeyM,0),"")</f>
        <v/>
      </c>
      <c r="M1782">
        <f>IFERROR(MATCH($C$5&amp;"|"&amp;RIGHT("000000"&amp;1766,6),LdBKeyM,0),"")</f>
        <v/>
      </c>
      <c r="N1782">
        <f>IFERROR(MATCH($C$5&amp;"|"&amp;RIGHT("000000"&amp;1766,6),LdCKeyM,0),"")</f>
        <v/>
      </c>
    </row>
    <row r="1783">
      <c r="A1783" s="10" t="n">
        <v>1767</v>
      </c>
      <c r="B1783" s="14">
        <f>IF(AND($L1783="",$M1783="",$N1783=""),"",IF($L1783&lt;&gt;"",INDEX(LdADate,$L1783),IF($M1783&lt;&gt;"",INDEX(LdBDate,$M1783),INDEX(LdCDate,$N1783))))</f>
        <v/>
      </c>
      <c r="C1783" s="14">
        <f>IF($L1783&lt;&gt;"","دستمزد (فردی)",IF($M1783&lt;&gt;"","سهم از گروه "&amp;IFERROR(VLOOKUP(INDEX(LdBGroup,$M1783),WGTbl,2,0),INDEX(LdBGroup,$M1783)),IF($N1783&lt;&gt;"",IF(N(INDEX(LdCDep,$N1783))&gt;0,"بازگشت بانکی","پرداخت بانکی"),"")))</f>
        <v/>
      </c>
      <c r="D1783" s="14">
        <f>IF($L1783&lt;&gt;"",IF(INDEX(LdAId,$L1783)="","—",INDEX(LdAId,$L1783)),IF($M1783&lt;&gt;"",IF(INDEX(LdBId,$M1783)="","—",INDEX(LdBId,$M1783)),IF($N1783&lt;&gt;"",IF(INDEX(LdCBank,$N1783)="","—",INDEX(LdCBank,$N1783)),"")))</f>
        <v/>
      </c>
      <c r="E1783" s="16">
        <f>IF($L1783&lt;&gt;"",IF(INDEX(LdAAmt,$L1783)=0,"",INDEX(LdAAmt,$L1783)),IF($M1783&lt;&gt;"",IF(INDEX(LdBAmt,$M1783)=0,"",INDEX(LdBAmt,$M1783)),IF($N1783&lt;&gt;"",IF(INDEX(LdCDep,$N1783)=0,"",INDEX(LdCDep,$N1783)),"")))</f>
        <v/>
      </c>
      <c r="F1783" s="16">
        <f>IF(AND($L1783="",$M1783="",$N1783=""),"",IF($N1783="","",IF(INDEX(LdCWit,$N1783)=0,"",INDEX(LdCWit,$N1783))))</f>
        <v/>
      </c>
      <c r="G1783" s="29">
        <f>IF($B1783="","",IF($G1782="",0,$G1782)+IF($E1783="",0,$E1783)-IF($F1783="",0,$F1783))</f>
        <v/>
      </c>
      <c r="H1783" s="30">
        <f>IF(AND($L1783="",$M1783="",$N1783=""),"",IF($L1783&lt;&gt;"",IF(INDEX(LdANote,$L1783)="","—",INDEX(LdANote,$L1783)),IF($M1783&lt;&gt;"",IF(INDEX(LdBNote,$M1783)="","—",INDEX(LdBNote,$M1783)),IF($N1783&lt;&gt;"",IF(INDEX(LdCNote,$N1783)="","—",INDEX(LdCNote,$N1783)),""))))</f>
        <v/>
      </c>
      <c r="L1783">
        <f>IFERROR(MATCH($C$5&amp;"|"&amp;RIGHT("000000"&amp;1767,6),LdAKeyM,0),"")</f>
        <v/>
      </c>
      <c r="M1783">
        <f>IFERROR(MATCH($C$5&amp;"|"&amp;RIGHT("000000"&amp;1767,6),LdBKeyM,0),"")</f>
        <v/>
      </c>
      <c r="N1783">
        <f>IFERROR(MATCH($C$5&amp;"|"&amp;RIGHT("000000"&amp;1767,6),LdCKeyM,0),"")</f>
        <v/>
      </c>
    </row>
    <row r="1784">
      <c r="A1784" s="19" t="n">
        <v>1768</v>
      </c>
      <c r="B1784" s="20">
        <f>IF(AND($L1784="",$M1784="",$N1784=""),"",IF($L1784&lt;&gt;"",INDEX(LdADate,$L1784),IF($M1784&lt;&gt;"",INDEX(LdBDate,$M1784),INDEX(LdCDate,$N1784))))</f>
        <v/>
      </c>
      <c r="C1784" s="20">
        <f>IF($L1784&lt;&gt;"","دستمزد (فردی)",IF($M1784&lt;&gt;"","سهم از گروه "&amp;IFERROR(VLOOKUP(INDEX(LdBGroup,$M1784),WGTbl,2,0),INDEX(LdBGroup,$M1784)),IF($N1784&lt;&gt;"",IF(N(INDEX(LdCDep,$N1784))&gt;0,"بازگشت بانکی","پرداخت بانکی"),"")))</f>
        <v/>
      </c>
      <c r="D1784" s="20">
        <f>IF($L1784&lt;&gt;"",IF(INDEX(LdAId,$L1784)="","—",INDEX(LdAId,$L1784)),IF($M1784&lt;&gt;"",IF(INDEX(LdBId,$M1784)="","—",INDEX(LdBId,$M1784)),IF($N1784&lt;&gt;"",IF(INDEX(LdCBank,$N1784)="","—",INDEX(LdCBank,$N1784)),"")))</f>
        <v/>
      </c>
      <c r="E1784" s="21">
        <f>IF($L1784&lt;&gt;"",IF(INDEX(LdAAmt,$L1784)=0,"",INDEX(LdAAmt,$L1784)),IF($M1784&lt;&gt;"",IF(INDEX(LdBAmt,$M1784)=0,"",INDEX(LdBAmt,$M1784)),IF($N1784&lt;&gt;"",IF(INDEX(LdCDep,$N1784)=0,"",INDEX(LdCDep,$N1784)),"")))</f>
        <v/>
      </c>
      <c r="F1784" s="21">
        <f>IF(AND($L1784="",$M1784="",$N1784=""),"",IF($N1784="","",IF(INDEX(LdCWit,$N1784)=0,"",INDEX(LdCWit,$N1784))))</f>
        <v/>
      </c>
      <c r="G1784" s="31">
        <f>IF($B1784="","",IF($G1783="",0,$G1783)+IF($E1784="",0,$E1784)-IF($F1784="",0,$F1784))</f>
        <v/>
      </c>
      <c r="H1784" s="32">
        <f>IF(AND($L1784="",$M1784="",$N1784=""),"",IF($L1784&lt;&gt;"",IF(INDEX(LdANote,$L1784)="","—",INDEX(LdANote,$L1784)),IF($M1784&lt;&gt;"",IF(INDEX(LdBNote,$M1784)="","—",INDEX(LdBNote,$M1784)),IF($N1784&lt;&gt;"",IF(INDEX(LdCNote,$N1784)="","—",INDEX(LdCNote,$N1784)),""))))</f>
        <v/>
      </c>
      <c r="L1784">
        <f>IFERROR(MATCH($C$5&amp;"|"&amp;RIGHT("000000"&amp;1768,6),LdAKeyM,0),"")</f>
        <v/>
      </c>
      <c r="M1784">
        <f>IFERROR(MATCH($C$5&amp;"|"&amp;RIGHT("000000"&amp;1768,6),LdBKeyM,0),"")</f>
        <v/>
      </c>
      <c r="N1784">
        <f>IFERROR(MATCH($C$5&amp;"|"&amp;RIGHT("000000"&amp;1768,6),LdCKeyM,0),"")</f>
        <v/>
      </c>
    </row>
    <row r="1785">
      <c r="A1785" s="10" t="n">
        <v>1769</v>
      </c>
      <c r="B1785" s="14">
        <f>IF(AND($L1785="",$M1785="",$N1785=""),"",IF($L1785&lt;&gt;"",INDEX(LdADate,$L1785),IF($M1785&lt;&gt;"",INDEX(LdBDate,$M1785),INDEX(LdCDate,$N1785))))</f>
        <v/>
      </c>
      <c r="C1785" s="14">
        <f>IF($L1785&lt;&gt;"","دستمزد (فردی)",IF($M1785&lt;&gt;"","سهم از گروه "&amp;IFERROR(VLOOKUP(INDEX(LdBGroup,$M1785),WGTbl,2,0),INDEX(LdBGroup,$M1785)),IF($N1785&lt;&gt;"",IF(N(INDEX(LdCDep,$N1785))&gt;0,"بازگشت بانکی","پرداخت بانکی"),"")))</f>
        <v/>
      </c>
      <c r="D1785" s="14">
        <f>IF($L1785&lt;&gt;"",IF(INDEX(LdAId,$L1785)="","—",INDEX(LdAId,$L1785)),IF($M1785&lt;&gt;"",IF(INDEX(LdBId,$M1785)="","—",INDEX(LdBId,$M1785)),IF($N1785&lt;&gt;"",IF(INDEX(LdCBank,$N1785)="","—",INDEX(LdCBank,$N1785)),"")))</f>
        <v/>
      </c>
      <c r="E1785" s="16">
        <f>IF($L1785&lt;&gt;"",IF(INDEX(LdAAmt,$L1785)=0,"",INDEX(LdAAmt,$L1785)),IF($M1785&lt;&gt;"",IF(INDEX(LdBAmt,$M1785)=0,"",INDEX(LdBAmt,$M1785)),IF($N1785&lt;&gt;"",IF(INDEX(LdCDep,$N1785)=0,"",INDEX(LdCDep,$N1785)),"")))</f>
        <v/>
      </c>
      <c r="F1785" s="16">
        <f>IF(AND($L1785="",$M1785="",$N1785=""),"",IF($N1785="","",IF(INDEX(LdCWit,$N1785)=0,"",INDEX(LdCWit,$N1785))))</f>
        <v/>
      </c>
      <c r="G1785" s="29">
        <f>IF($B1785="","",IF($G1784="",0,$G1784)+IF($E1785="",0,$E1785)-IF($F1785="",0,$F1785))</f>
        <v/>
      </c>
      <c r="H1785" s="30">
        <f>IF(AND($L1785="",$M1785="",$N1785=""),"",IF($L1785&lt;&gt;"",IF(INDEX(LdANote,$L1785)="","—",INDEX(LdANote,$L1785)),IF($M1785&lt;&gt;"",IF(INDEX(LdBNote,$M1785)="","—",INDEX(LdBNote,$M1785)),IF($N1785&lt;&gt;"",IF(INDEX(LdCNote,$N1785)="","—",INDEX(LdCNote,$N1785)),""))))</f>
        <v/>
      </c>
      <c r="L1785">
        <f>IFERROR(MATCH($C$5&amp;"|"&amp;RIGHT("000000"&amp;1769,6),LdAKeyM,0),"")</f>
        <v/>
      </c>
      <c r="M1785">
        <f>IFERROR(MATCH($C$5&amp;"|"&amp;RIGHT("000000"&amp;1769,6),LdBKeyM,0),"")</f>
        <v/>
      </c>
      <c r="N1785">
        <f>IFERROR(MATCH($C$5&amp;"|"&amp;RIGHT("000000"&amp;1769,6),LdCKeyM,0),"")</f>
        <v/>
      </c>
    </row>
    <row r="1786">
      <c r="A1786" s="19" t="n">
        <v>1770</v>
      </c>
      <c r="B1786" s="20">
        <f>IF(AND($L1786="",$M1786="",$N1786=""),"",IF($L1786&lt;&gt;"",INDEX(LdADate,$L1786),IF($M1786&lt;&gt;"",INDEX(LdBDate,$M1786),INDEX(LdCDate,$N1786))))</f>
        <v/>
      </c>
      <c r="C1786" s="20">
        <f>IF($L1786&lt;&gt;"","دستمزد (فردی)",IF($M1786&lt;&gt;"","سهم از گروه "&amp;IFERROR(VLOOKUP(INDEX(LdBGroup,$M1786),WGTbl,2,0),INDEX(LdBGroup,$M1786)),IF($N1786&lt;&gt;"",IF(N(INDEX(LdCDep,$N1786))&gt;0,"بازگشت بانکی","پرداخت بانکی"),"")))</f>
        <v/>
      </c>
      <c r="D1786" s="20">
        <f>IF($L1786&lt;&gt;"",IF(INDEX(LdAId,$L1786)="","—",INDEX(LdAId,$L1786)),IF($M1786&lt;&gt;"",IF(INDEX(LdBId,$M1786)="","—",INDEX(LdBId,$M1786)),IF($N1786&lt;&gt;"",IF(INDEX(LdCBank,$N1786)="","—",INDEX(LdCBank,$N1786)),"")))</f>
        <v/>
      </c>
      <c r="E1786" s="21">
        <f>IF($L1786&lt;&gt;"",IF(INDEX(LdAAmt,$L1786)=0,"",INDEX(LdAAmt,$L1786)),IF($M1786&lt;&gt;"",IF(INDEX(LdBAmt,$M1786)=0,"",INDEX(LdBAmt,$M1786)),IF($N1786&lt;&gt;"",IF(INDEX(LdCDep,$N1786)=0,"",INDEX(LdCDep,$N1786)),"")))</f>
        <v/>
      </c>
      <c r="F1786" s="21">
        <f>IF(AND($L1786="",$M1786="",$N1786=""),"",IF($N1786="","",IF(INDEX(LdCWit,$N1786)=0,"",INDEX(LdCWit,$N1786))))</f>
        <v/>
      </c>
      <c r="G1786" s="31">
        <f>IF($B1786="","",IF($G1785="",0,$G1785)+IF($E1786="",0,$E1786)-IF($F1786="",0,$F1786))</f>
        <v/>
      </c>
      <c r="H1786" s="32">
        <f>IF(AND($L1786="",$M1786="",$N1786=""),"",IF($L1786&lt;&gt;"",IF(INDEX(LdANote,$L1786)="","—",INDEX(LdANote,$L1786)),IF($M1786&lt;&gt;"",IF(INDEX(LdBNote,$M1786)="","—",INDEX(LdBNote,$M1786)),IF($N1786&lt;&gt;"",IF(INDEX(LdCNote,$N1786)="","—",INDEX(LdCNote,$N1786)),""))))</f>
        <v/>
      </c>
      <c r="L1786">
        <f>IFERROR(MATCH($C$5&amp;"|"&amp;RIGHT("000000"&amp;1770,6),LdAKeyM,0),"")</f>
        <v/>
      </c>
      <c r="M1786">
        <f>IFERROR(MATCH($C$5&amp;"|"&amp;RIGHT("000000"&amp;1770,6),LdBKeyM,0),"")</f>
        <v/>
      </c>
      <c r="N1786">
        <f>IFERROR(MATCH($C$5&amp;"|"&amp;RIGHT("000000"&amp;1770,6),LdCKeyM,0),"")</f>
        <v/>
      </c>
    </row>
    <row r="1787">
      <c r="A1787" s="10" t="n">
        <v>1771</v>
      </c>
      <c r="B1787" s="14">
        <f>IF(AND($L1787="",$M1787="",$N1787=""),"",IF($L1787&lt;&gt;"",INDEX(LdADate,$L1787),IF($M1787&lt;&gt;"",INDEX(LdBDate,$M1787),INDEX(LdCDate,$N1787))))</f>
        <v/>
      </c>
      <c r="C1787" s="14">
        <f>IF($L1787&lt;&gt;"","دستمزد (فردی)",IF($M1787&lt;&gt;"","سهم از گروه "&amp;IFERROR(VLOOKUP(INDEX(LdBGroup,$M1787),WGTbl,2,0),INDEX(LdBGroup,$M1787)),IF($N1787&lt;&gt;"",IF(N(INDEX(LdCDep,$N1787))&gt;0,"بازگشت بانکی","پرداخت بانکی"),"")))</f>
        <v/>
      </c>
      <c r="D1787" s="14">
        <f>IF($L1787&lt;&gt;"",IF(INDEX(LdAId,$L1787)="","—",INDEX(LdAId,$L1787)),IF($M1787&lt;&gt;"",IF(INDEX(LdBId,$M1787)="","—",INDEX(LdBId,$M1787)),IF($N1787&lt;&gt;"",IF(INDEX(LdCBank,$N1787)="","—",INDEX(LdCBank,$N1787)),"")))</f>
        <v/>
      </c>
      <c r="E1787" s="16">
        <f>IF($L1787&lt;&gt;"",IF(INDEX(LdAAmt,$L1787)=0,"",INDEX(LdAAmt,$L1787)),IF($M1787&lt;&gt;"",IF(INDEX(LdBAmt,$M1787)=0,"",INDEX(LdBAmt,$M1787)),IF($N1787&lt;&gt;"",IF(INDEX(LdCDep,$N1787)=0,"",INDEX(LdCDep,$N1787)),"")))</f>
        <v/>
      </c>
      <c r="F1787" s="16">
        <f>IF(AND($L1787="",$M1787="",$N1787=""),"",IF($N1787="","",IF(INDEX(LdCWit,$N1787)=0,"",INDEX(LdCWit,$N1787))))</f>
        <v/>
      </c>
      <c r="G1787" s="29">
        <f>IF($B1787="","",IF($G1786="",0,$G1786)+IF($E1787="",0,$E1787)-IF($F1787="",0,$F1787))</f>
        <v/>
      </c>
      <c r="H1787" s="30">
        <f>IF(AND($L1787="",$M1787="",$N1787=""),"",IF($L1787&lt;&gt;"",IF(INDEX(LdANote,$L1787)="","—",INDEX(LdANote,$L1787)),IF($M1787&lt;&gt;"",IF(INDEX(LdBNote,$M1787)="","—",INDEX(LdBNote,$M1787)),IF($N1787&lt;&gt;"",IF(INDEX(LdCNote,$N1787)="","—",INDEX(LdCNote,$N1787)),""))))</f>
        <v/>
      </c>
      <c r="L1787">
        <f>IFERROR(MATCH($C$5&amp;"|"&amp;RIGHT("000000"&amp;1771,6),LdAKeyM,0),"")</f>
        <v/>
      </c>
      <c r="M1787">
        <f>IFERROR(MATCH($C$5&amp;"|"&amp;RIGHT("000000"&amp;1771,6),LdBKeyM,0),"")</f>
        <v/>
      </c>
      <c r="N1787">
        <f>IFERROR(MATCH($C$5&amp;"|"&amp;RIGHT("000000"&amp;1771,6),LdCKeyM,0),"")</f>
        <v/>
      </c>
    </row>
    <row r="1788">
      <c r="A1788" s="19" t="n">
        <v>1772</v>
      </c>
      <c r="B1788" s="20">
        <f>IF(AND($L1788="",$M1788="",$N1788=""),"",IF($L1788&lt;&gt;"",INDEX(LdADate,$L1788),IF($M1788&lt;&gt;"",INDEX(LdBDate,$M1788),INDEX(LdCDate,$N1788))))</f>
        <v/>
      </c>
      <c r="C1788" s="20">
        <f>IF($L1788&lt;&gt;"","دستمزد (فردی)",IF($M1788&lt;&gt;"","سهم از گروه "&amp;IFERROR(VLOOKUP(INDEX(LdBGroup,$M1788),WGTbl,2,0),INDEX(LdBGroup,$M1788)),IF($N1788&lt;&gt;"",IF(N(INDEX(LdCDep,$N1788))&gt;0,"بازگشت بانکی","پرداخت بانکی"),"")))</f>
        <v/>
      </c>
      <c r="D1788" s="20">
        <f>IF($L1788&lt;&gt;"",IF(INDEX(LdAId,$L1788)="","—",INDEX(LdAId,$L1788)),IF($M1788&lt;&gt;"",IF(INDEX(LdBId,$M1788)="","—",INDEX(LdBId,$M1788)),IF($N1788&lt;&gt;"",IF(INDEX(LdCBank,$N1788)="","—",INDEX(LdCBank,$N1788)),"")))</f>
        <v/>
      </c>
      <c r="E1788" s="21">
        <f>IF($L1788&lt;&gt;"",IF(INDEX(LdAAmt,$L1788)=0,"",INDEX(LdAAmt,$L1788)),IF($M1788&lt;&gt;"",IF(INDEX(LdBAmt,$M1788)=0,"",INDEX(LdBAmt,$M1788)),IF($N1788&lt;&gt;"",IF(INDEX(LdCDep,$N1788)=0,"",INDEX(LdCDep,$N1788)),"")))</f>
        <v/>
      </c>
      <c r="F1788" s="21">
        <f>IF(AND($L1788="",$M1788="",$N1788=""),"",IF($N1788="","",IF(INDEX(LdCWit,$N1788)=0,"",INDEX(LdCWit,$N1788))))</f>
        <v/>
      </c>
      <c r="G1788" s="31">
        <f>IF($B1788="","",IF($G1787="",0,$G1787)+IF($E1788="",0,$E1788)-IF($F1788="",0,$F1788))</f>
        <v/>
      </c>
      <c r="H1788" s="32">
        <f>IF(AND($L1788="",$M1788="",$N1788=""),"",IF($L1788&lt;&gt;"",IF(INDEX(LdANote,$L1788)="","—",INDEX(LdANote,$L1788)),IF($M1788&lt;&gt;"",IF(INDEX(LdBNote,$M1788)="","—",INDEX(LdBNote,$M1788)),IF($N1788&lt;&gt;"",IF(INDEX(LdCNote,$N1788)="","—",INDEX(LdCNote,$N1788)),""))))</f>
        <v/>
      </c>
      <c r="L1788">
        <f>IFERROR(MATCH($C$5&amp;"|"&amp;RIGHT("000000"&amp;1772,6),LdAKeyM,0),"")</f>
        <v/>
      </c>
      <c r="M1788">
        <f>IFERROR(MATCH($C$5&amp;"|"&amp;RIGHT("000000"&amp;1772,6),LdBKeyM,0),"")</f>
        <v/>
      </c>
      <c r="N1788">
        <f>IFERROR(MATCH($C$5&amp;"|"&amp;RIGHT("000000"&amp;1772,6),LdCKeyM,0),"")</f>
        <v/>
      </c>
    </row>
    <row r="1789">
      <c r="A1789" s="10" t="n">
        <v>1773</v>
      </c>
      <c r="B1789" s="14">
        <f>IF(AND($L1789="",$M1789="",$N1789=""),"",IF($L1789&lt;&gt;"",INDEX(LdADate,$L1789),IF($M1789&lt;&gt;"",INDEX(LdBDate,$M1789),INDEX(LdCDate,$N1789))))</f>
        <v/>
      </c>
      <c r="C1789" s="14">
        <f>IF($L1789&lt;&gt;"","دستمزد (فردی)",IF($M1789&lt;&gt;"","سهم از گروه "&amp;IFERROR(VLOOKUP(INDEX(LdBGroup,$M1789),WGTbl,2,0),INDEX(LdBGroup,$M1789)),IF($N1789&lt;&gt;"",IF(N(INDEX(LdCDep,$N1789))&gt;0,"بازگشت بانکی","پرداخت بانکی"),"")))</f>
        <v/>
      </c>
      <c r="D1789" s="14">
        <f>IF($L1789&lt;&gt;"",IF(INDEX(LdAId,$L1789)="","—",INDEX(LdAId,$L1789)),IF($M1789&lt;&gt;"",IF(INDEX(LdBId,$M1789)="","—",INDEX(LdBId,$M1789)),IF($N1789&lt;&gt;"",IF(INDEX(LdCBank,$N1789)="","—",INDEX(LdCBank,$N1789)),"")))</f>
        <v/>
      </c>
      <c r="E1789" s="16">
        <f>IF($L1789&lt;&gt;"",IF(INDEX(LdAAmt,$L1789)=0,"",INDEX(LdAAmt,$L1789)),IF($M1789&lt;&gt;"",IF(INDEX(LdBAmt,$M1789)=0,"",INDEX(LdBAmt,$M1789)),IF($N1789&lt;&gt;"",IF(INDEX(LdCDep,$N1789)=0,"",INDEX(LdCDep,$N1789)),"")))</f>
        <v/>
      </c>
      <c r="F1789" s="16">
        <f>IF(AND($L1789="",$M1789="",$N1789=""),"",IF($N1789="","",IF(INDEX(LdCWit,$N1789)=0,"",INDEX(LdCWit,$N1789))))</f>
        <v/>
      </c>
      <c r="G1789" s="29">
        <f>IF($B1789="","",IF($G1788="",0,$G1788)+IF($E1789="",0,$E1789)-IF($F1789="",0,$F1789))</f>
        <v/>
      </c>
      <c r="H1789" s="30">
        <f>IF(AND($L1789="",$M1789="",$N1789=""),"",IF($L1789&lt;&gt;"",IF(INDEX(LdANote,$L1789)="","—",INDEX(LdANote,$L1789)),IF($M1789&lt;&gt;"",IF(INDEX(LdBNote,$M1789)="","—",INDEX(LdBNote,$M1789)),IF($N1789&lt;&gt;"",IF(INDEX(LdCNote,$N1789)="","—",INDEX(LdCNote,$N1789)),""))))</f>
        <v/>
      </c>
      <c r="L1789">
        <f>IFERROR(MATCH($C$5&amp;"|"&amp;RIGHT("000000"&amp;1773,6),LdAKeyM,0),"")</f>
        <v/>
      </c>
      <c r="M1789">
        <f>IFERROR(MATCH($C$5&amp;"|"&amp;RIGHT("000000"&amp;1773,6),LdBKeyM,0),"")</f>
        <v/>
      </c>
      <c r="N1789">
        <f>IFERROR(MATCH($C$5&amp;"|"&amp;RIGHT("000000"&amp;1773,6),LdCKeyM,0),"")</f>
        <v/>
      </c>
    </row>
    <row r="1790">
      <c r="A1790" s="19" t="n">
        <v>1774</v>
      </c>
      <c r="B1790" s="20">
        <f>IF(AND($L1790="",$M1790="",$N1790=""),"",IF($L1790&lt;&gt;"",INDEX(LdADate,$L1790),IF($M1790&lt;&gt;"",INDEX(LdBDate,$M1790),INDEX(LdCDate,$N1790))))</f>
        <v/>
      </c>
      <c r="C1790" s="20">
        <f>IF($L1790&lt;&gt;"","دستمزد (فردی)",IF($M1790&lt;&gt;"","سهم از گروه "&amp;IFERROR(VLOOKUP(INDEX(LdBGroup,$M1790),WGTbl,2,0),INDEX(LdBGroup,$M1790)),IF($N1790&lt;&gt;"",IF(N(INDEX(LdCDep,$N1790))&gt;0,"بازگشت بانکی","پرداخت بانکی"),"")))</f>
        <v/>
      </c>
      <c r="D1790" s="20">
        <f>IF($L1790&lt;&gt;"",IF(INDEX(LdAId,$L1790)="","—",INDEX(LdAId,$L1790)),IF($M1790&lt;&gt;"",IF(INDEX(LdBId,$M1790)="","—",INDEX(LdBId,$M1790)),IF($N1790&lt;&gt;"",IF(INDEX(LdCBank,$N1790)="","—",INDEX(LdCBank,$N1790)),"")))</f>
        <v/>
      </c>
      <c r="E1790" s="21">
        <f>IF($L1790&lt;&gt;"",IF(INDEX(LdAAmt,$L1790)=0,"",INDEX(LdAAmt,$L1790)),IF($M1790&lt;&gt;"",IF(INDEX(LdBAmt,$M1790)=0,"",INDEX(LdBAmt,$M1790)),IF($N1790&lt;&gt;"",IF(INDEX(LdCDep,$N1790)=0,"",INDEX(LdCDep,$N1790)),"")))</f>
        <v/>
      </c>
      <c r="F1790" s="21">
        <f>IF(AND($L1790="",$M1790="",$N1790=""),"",IF($N1790="","",IF(INDEX(LdCWit,$N1790)=0,"",INDEX(LdCWit,$N1790))))</f>
        <v/>
      </c>
      <c r="G1790" s="31">
        <f>IF($B1790="","",IF($G1789="",0,$G1789)+IF($E1790="",0,$E1790)-IF($F1790="",0,$F1790))</f>
        <v/>
      </c>
      <c r="H1790" s="32">
        <f>IF(AND($L1790="",$M1790="",$N1790=""),"",IF($L1790&lt;&gt;"",IF(INDEX(LdANote,$L1790)="","—",INDEX(LdANote,$L1790)),IF($M1790&lt;&gt;"",IF(INDEX(LdBNote,$M1790)="","—",INDEX(LdBNote,$M1790)),IF($N1790&lt;&gt;"",IF(INDEX(LdCNote,$N1790)="","—",INDEX(LdCNote,$N1790)),""))))</f>
        <v/>
      </c>
      <c r="L1790">
        <f>IFERROR(MATCH($C$5&amp;"|"&amp;RIGHT("000000"&amp;1774,6),LdAKeyM,0),"")</f>
        <v/>
      </c>
      <c r="M1790">
        <f>IFERROR(MATCH($C$5&amp;"|"&amp;RIGHT("000000"&amp;1774,6),LdBKeyM,0),"")</f>
        <v/>
      </c>
      <c r="N1790">
        <f>IFERROR(MATCH($C$5&amp;"|"&amp;RIGHT("000000"&amp;1774,6),LdCKeyM,0),"")</f>
        <v/>
      </c>
    </row>
    <row r="1791">
      <c r="A1791" s="10" t="n">
        <v>1775</v>
      </c>
      <c r="B1791" s="14">
        <f>IF(AND($L1791="",$M1791="",$N1791=""),"",IF($L1791&lt;&gt;"",INDEX(LdADate,$L1791),IF($M1791&lt;&gt;"",INDEX(LdBDate,$M1791),INDEX(LdCDate,$N1791))))</f>
        <v/>
      </c>
      <c r="C1791" s="14">
        <f>IF($L1791&lt;&gt;"","دستمزد (فردی)",IF($M1791&lt;&gt;"","سهم از گروه "&amp;IFERROR(VLOOKUP(INDEX(LdBGroup,$M1791),WGTbl,2,0),INDEX(LdBGroup,$M1791)),IF($N1791&lt;&gt;"",IF(N(INDEX(LdCDep,$N1791))&gt;0,"بازگشت بانکی","پرداخت بانکی"),"")))</f>
        <v/>
      </c>
      <c r="D1791" s="14">
        <f>IF($L1791&lt;&gt;"",IF(INDEX(LdAId,$L1791)="","—",INDEX(LdAId,$L1791)),IF($M1791&lt;&gt;"",IF(INDEX(LdBId,$M1791)="","—",INDEX(LdBId,$M1791)),IF($N1791&lt;&gt;"",IF(INDEX(LdCBank,$N1791)="","—",INDEX(LdCBank,$N1791)),"")))</f>
        <v/>
      </c>
      <c r="E1791" s="16">
        <f>IF($L1791&lt;&gt;"",IF(INDEX(LdAAmt,$L1791)=0,"",INDEX(LdAAmt,$L1791)),IF($M1791&lt;&gt;"",IF(INDEX(LdBAmt,$M1791)=0,"",INDEX(LdBAmt,$M1791)),IF($N1791&lt;&gt;"",IF(INDEX(LdCDep,$N1791)=0,"",INDEX(LdCDep,$N1791)),"")))</f>
        <v/>
      </c>
      <c r="F1791" s="16">
        <f>IF(AND($L1791="",$M1791="",$N1791=""),"",IF($N1791="","",IF(INDEX(LdCWit,$N1791)=0,"",INDEX(LdCWit,$N1791))))</f>
        <v/>
      </c>
      <c r="G1791" s="29">
        <f>IF($B1791="","",IF($G1790="",0,$G1790)+IF($E1791="",0,$E1791)-IF($F1791="",0,$F1791))</f>
        <v/>
      </c>
      <c r="H1791" s="30">
        <f>IF(AND($L1791="",$M1791="",$N1791=""),"",IF($L1791&lt;&gt;"",IF(INDEX(LdANote,$L1791)="","—",INDEX(LdANote,$L1791)),IF($M1791&lt;&gt;"",IF(INDEX(LdBNote,$M1791)="","—",INDEX(LdBNote,$M1791)),IF($N1791&lt;&gt;"",IF(INDEX(LdCNote,$N1791)="","—",INDEX(LdCNote,$N1791)),""))))</f>
        <v/>
      </c>
      <c r="L1791">
        <f>IFERROR(MATCH($C$5&amp;"|"&amp;RIGHT("000000"&amp;1775,6),LdAKeyM,0),"")</f>
        <v/>
      </c>
      <c r="M1791">
        <f>IFERROR(MATCH($C$5&amp;"|"&amp;RIGHT("000000"&amp;1775,6),LdBKeyM,0),"")</f>
        <v/>
      </c>
      <c r="N1791">
        <f>IFERROR(MATCH($C$5&amp;"|"&amp;RIGHT("000000"&amp;1775,6),LdCKeyM,0),"")</f>
        <v/>
      </c>
    </row>
    <row r="1792">
      <c r="A1792" s="19" t="n">
        <v>1776</v>
      </c>
      <c r="B1792" s="20">
        <f>IF(AND($L1792="",$M1792="",$N1792=""),"",IF($L1792&lt;&gt;"",INDEX(LdADate,$L1792),IF($M1792&lt;&gt;"",INDEX(LdBDate,$M1792),INDEX(LdCDate,$N1792))))</f>
        <v/>
      </c>
      <c r="C1792" s="20">
        <f>IF($L1792&lt;&gt;"","دستمزد (فردی)",IF($M1792&lt;&gt;"","سهم از گروه "&amp;IFERROR(VLOOKUP(INDEX(LdBGroup,$M1792),WGTbl,2,0),INDEX(LdBGroup,$M1792)),IF($N1792&lt;&gt;"",IF(N(INDEX(LdCDep,$N1792))&gt;0,"بازگشت بانکی","پرداخت بانکی"),"")))</f>
        <v/>
      </c>
      <c r="D1792" s="20">
        <f>IF($L1792&lt;&gt;"",IF(INDEX(LdAId,$L1792)="","—",INDEX(LdAId,$L1792)),IF($M1792&lt;&gt;"",IF(INDEX(LdBId,$M1792)="","—",INDEX(LdBId,$M1792)),IF($N1792&lt;&gt;"",IF(INDEX(LdCBank,$N1792)="","—",INDEX(LdCBank,$N1792)),"")))</f>
        <v/>
      </c>
      <c r="E1792" s="21">
        <f>IF($L1792&lt;&gt;"",IF(INDEX(LdAAmt,$L1792)=0,"",INDEX(LdAAmt,$L1792)),IF($M1792&lt;&gt;"",IF(INDEX(LdBAmt,$M1792)=0,"",INDEX(LdBAmt,$M1792)),IF($N1792&lt;&gt;"",IF(INDEX(LdCDep,$N1792)=0,"",INDEX(LdCDep,$N1792)),"")))</f>
        <v/>
      </c>
      <c r="F1792" s="21">
        <f>IF(AND($L1792="",$M1792="",$N1792=""),"",IF($N1792="","",IF(INDEX(LdCWit,$N1792)=0,"",INDEX(LdCWit,$N1792))))</f>
        <v/>
      </c>
      <c r="G1792" s="31">
        <f>IF($B1792="","",IF($G1791="",0,$G1791)+IF($E1792="",0,$E1792)-IF($F1792="",0,$F1792))</f>
        <v/>
      </c>
      <c r="H1792" s="32">
        <f>IF(AND($L1792="",$M1792="",$N1792=""),"",IF($L1792&lt;&gt;"",IF(INDEX(LdANote,$L1792)="","—",INDEX(LdANote,$L1792)),IF($M1792&lt;&gt;"",IF(INDEX(LdBNote,$M1792)="","—",INDEX(LdBNote,$M1792)),IF($N1792&lt;&gt;"",IF(INDEX(LdCNote,$N1792)="","—",INDEX(LdCNote,$N1792)),""))))</f>
        <v/>
      </c>
      <c r="L1792">
        <f>IFERROR(MATCH($C$5&amp;"|"&amp;RIGHT("000000"&amp;1776,6),LdAKeyM,0),"")</f>
        <v/>
      </c>
      <c r="M1792">
        <f>IFERROR(MATCH($C$5&amp;"|"&amp;RIGHT("000000"&amp;1776,6),LdBKeyM,0),"")</f>
        <v/>
      </c>
      <c r="N1792">
        <f>IFERROR(MATCH($C$5&amp;"|"&amp;RIGHT("000000"&amp;1776,6),LdCKeyM,0),"")</f>
        <v/>
      </c>
    </row>
    <row r="1793">
      <c r="A1793" s="10" t="n">
        <v>1777</v>
      </c>
      <c r="B1793" s="14">
        <f>IF(AND($L1793="",$M1793="",$N1793=""),"",IF($L1793&lt;&gt;"",INDEX(LdADate,$L1793),IF($M1793&lt;&gt;"",INDEX(LdBDate,$M1793),INDEX(LdCDate,$N1793))))</f>
        <v/>
      </c>
      <c r="C1793" s="14">
        <f>IF($L1793&lt;&gt;"","دستمزد (فردی)",IF($M1793&lt;&gt;"","سهم از گروه "&amp;IFERROR(VLOOKUP(INDEX(LdBGroup,$M1793),WGTbl,2,0),INDEX(LdBGroup,$M1793)),IF($N1793&lt;&gt;"",IF(N(INDEX(LdCDep,$N1793))&gt;0,"بازگشت بانکی","پرداخت بانکی"),"")))</f>
        <v/>
      </c>
      <c r="D1793" s="14">
        <f>IF($L1793&lt;&gt;"",IF(INDEX(LdAId,$L1793)="","—",INDEX(LdAId,$L1793)),IF($M1793&lt;&gt;"",IF(INDEX(LdBId,$M1793)="","—",INDEX(LdBId,$M1793)),IF($N1793&lt;&gt;"",IF(INDEX(LdCBank,$N1793)="","—",INDEX(LdCBank,$N1793)),"")))</f>
        <v/>
      </c>
      <c r="E1793" s="16">
        <f>IF($L1793&lt;&gt;"",IF(INDEX(LdAAmt,$L1793)=0,"",INDEX(LdAAmt,$L1793)),IF($M1793&lt;&gt;"",IF(INDEX(LdBAmt,$M1793)=0,"",INDEX(LdBAmt,$M1793)),IF($N1793&lt;&gt;"",IF(INDEX(LdCDep,$N1793)=0,"",INDEX(LdCDep,$N1793)),"")))</f>
        <v/>
      </c>
      <c r="F1793" s="16">
        <f>IF(AND($L1793="",$M1793="",$N1793=""),"",IF($N1793="","",IF(INDEX(LdCWit,$N1793)=0,"",INDEX(LdCWit,$N1793))))</f>
        <v/>
      </c>
      <c r="G1793" s="29">
        <f>IF($B1793="","",IF($G1792="",0,$G1792)+IF($E1793="",0,$E1793)-IF($F1793="",0,$F1793))</f>
        <v/>
      </c>
      <c r="H1793" s="30">
        <f>IF(AND($L1793="",$M1793="",$N1793=""),"",IF($L1793&lt;&gt;"",IF(INDEX(LdANote,$L1793)="","—",INDEX(LdANote,$L1793)),IF($M1793&lt;&gt;"",IF(INDEX(LdBNote,$M1793)="","—",INDEX(LdBNote,$M1793)),IF($N1793&lt;&gt;"",IF(INDEX(LdCNote,$N1793)="","—",INDEX(LdCNote,$N1793)),""))))</f>
        <v/>
      </c>
      <c r="L1793">
        <f>IFERROR(MATCH($C$5&amp;"|"&amp;RIGHT("000000"&amp;1777,6),LdAKeyM,0),"")</f>
        <v/>
      </c>
      <c r="M1793">
        <f>IFERROR(MATCH($C$5&amp;"|"&amp;RIGHT("000000"&amp;1777,6),LdBKeyM,0),"")</f>
        <v/>
      </c>
      <c r="N1793">
        <f>IFERROR(MATCH($C$5&amp;"|"&amp;RIGHT("000000"&amp;1777,6),LdCKeyM,0),"")</f>
        <v/>
      </c>
    </row>
    <row r="1794">
      <c r="A1794" s="19" t="n">
        <v>1778</v>
      </c>
      <c r="B1794" s="20">
        <f>IF(AND($L1794="",$M1794="",$N1794=""),"",IF($L1794&lt;&gt;"",INDEX(LdADate,$L1794),IF($M1794&lt;&gt;"",INDEX(LdBDate,$M1794),INDEX(LdCDate,$N1794))))</f>
        <v/>
      </c>
      <c r="C1794" s="20">
        <f>IF($L1794&lt;&gt;"","دستمزد (فردی)",IF($M1794&lt;&gt;"","سهم از گروه "&amp;IFERROR(VLOOKUP(INDEX(LdBGroup,$M1794),WGTbl,2,0),INDEX(LdBGroup,$M1794)),IF($N1794&lt;&gt;"",IF(N(INDEX(LdCDep,$N1794))&gt;0,"بازگشت بانکی","پرداخت بانکی"),"")))</f>
        <v/>
      </c>
      <c r="D1794" s="20">
        <f>IF($L1794&lt;&gt;"",IF(INDEX(LdAId,$L1794)="","—",INDEX(LdAId,$L1794)),IF($M1794&lt;&gt;"",IF(INDEX(LdBId,$M1794)="","—",INDEX(LdBId,$M1794)),IF($N1794&lt;&gt;"",IF(INDEX(LdCBank,$N1794)="","—",INDEX(LdCBank,$N1794)),"")))</f>
        <v/>
      </c>
      <c r="E1794" s="21">
        <f>IF($L1794&lt;&gt;"",IF(INDEX(LdAAmt,$L1794)=0,"",INDEX(LdAAmt,$L1794)),IF($M1794&lt;&gt;"",IF(INDEX(LdBAmt,$M1794)=0,"",INDEX(LdBAmt,$M1794)),IF($N1794&lt;&gt;"",IF(INDEX(LdCDep,$N1794)=0,"",INDEX(LdCDep,$N1794)),"")))</f>
        <v/>
      </c>
      <c r="F1794" s="21">
        <f>IF(AND($L1794="",$M1794="",$N1794=""),"",IF($N1794="","",IF(INDEX(LdCWit,$N1794)=0,"",INDEX(LdCWit,$N1794))))</f>
        <v/>
      </c>
      <c r="G1794" s="31">
        <f>IF($B1794="","",IF($G1793="",0,$G1793)+IF($E1794="",0,$E1794)-IF($F1794="",0,$F1794))</f>
        <v/>
      </c>
      <c r="H1794" s="32">
        <f>IF(AND($L1794="",$M1794="",$N1794=""),"",IF($L1794&lt;&gt;"",IF(INDEX(LdANote,$L1794)="","—",INDEX(LdANote,$L1794)),IF($M1794&lt;&gt;"",IF(INDEX(LdBNote,$M1794)="","—",INDEX(LdBNote,$M1794)),IF($N1794&lt;&gt;"",IF(INDEX(LdCNote,$N1794)="","—",INDEX(LdCNote,$N1794)),""))))</f>
        <v/>
      </c>
      <c r="L1794">
        <f>IFERROR(MATCH($C$5&amp;"|"&amp;RIGHT("000000"&amp;1778,6),LdAKeyM,0),"")</f>
        <v/>
      </c>
      <c r="M1794">
        <f>IFERROR(MATCH($C$5&amp;"|"&amp;RIGHT("000000"&amp;1778,6),LdBKeyM,0),"")</f>
        <v/>
      </c>
      <c r="N1794">
        <f>IFERROR(MATCH($C$5&amp;"|"&amp;RIGHT("000000"&amp;1778,6),LdCKeyM,0),"")</f>
        <v/>
      </c>
    </row>
    <row r="1795">
      <c r="A1795" s="10" t="n">
        <v>1779</v>
      </c>
      <c r="B1795" s="14">
        <f>IF(AND($L1795="",$M1795="",$N1795=""),"",IF($L1795&lt;&gt;"",INDEX(LdADate,$L1795),IF($M1795&lt;&gt;"",INDEX(LdBDate,$M1795),INDEX(LdCDate,$N1795))))</f>
        <v/>
      </c>
      <c r="C1795" s="14">
        <f>IF($L1795&lt;&gt;"","دستمزد (فردی)",IF($M1795&lt;&gt;"","سهم از گروه "&amp;IFERROR(VLOOKUP(INDEX(LdBGroup,$M1795),WGTbl,2,0),INDEX(LdBGroup,$M1795)),IF($N1795&lt;&gt;"",IF(N(INDEX(LdCDep,$N1795))&gt;0,"بازگشت بانکی","پرداخت بانکی"),"")))</f>
        <v/>
      </c>
      <c r="D1795" s="14">
        <f>IF($L1795&lt;&gt;"",IF(INDEX(LdAId,$L1795)="","—",INDEX(LdAId,$L1795)),IF($M1795&lt;&gt;"",IF(INDEX(LdBId,$M1795)="","—",INDEX(LdBId,$M1795)),IF($N1795&lt;&gt;"",IF(INDEX(LdCBank,$N1795)="","—",INDEX(LdCBank,$N1795)),"")))</f>
        <v/>
      </c>
      <c r="E1795" s="16">
        <f>IF($L1795&lt;&gt;"",IF(INDEX(LdAAmt,$L1795)=0,"",INDEX(LdAAmt,$L1795)),IF($M1795&lt;&gt;"",IF(INDEX(LdBAmt,$M1795)=0,"",INDEX(LdBAmt,$M1795)),IF($N1795&lt;&gt;"",IF(INDEX(LdCDep,$N1795)=0,"",INDEX(LdCDep,$N1795)),"")))</f>
        <v/>
      </c>
      <c r="F1795" s="16">
        <f>IF(AND($L1795="",$M1795="",$N1795=""),"",IF($N1795="","",IF(INDEX(LdCWit,$N1795)=0,"",INDEX(LdCWit,$N1795))))</f>
        <v/>
      </c>
      <c r="G1795" s="29">
        <f>IF($B1795="","",IF($G1794="",0,$G1794)+IF($E1795="",0,$E1795)-IF($F1795="",0,$F1795))</f>
        <v/>
      </c>
      <c r="H1795" s="30">
        <f>IF(AND($L1795="",$M1795="",$N1795=""),"",IF($L1795&lt;&gt;"",IF(INDEX(LdANote,$L1795)="","—",INDEX(LdANote,$L1795)),IF($M1795&lt;&gt;"",IF(INDEX(LdBNote,$M1795)="","—",INDEX(LdBNote,$M1795)),IF($N1795&lt;&gt;"",IF(INDEX(LdCNote,$N1795)="","—",INDEX(LdCNote,$N1795)),""))))</f>
        <v/>
      </c>
      <c r="L1795">
        <f>IFERROR(MATCH($C$5&amp;"|"&amp;RIGHT("000000"&amp;1779,6),LdAKeyM,0),"")</f>
        <v/>
      </c>
      <c r="M1795">
        <f>IFERROR(MATCH($C$5&amp;"|"&amp;RIGHT("000000"&amp;1779,6),LdBKeyM,0),"")</f>
        <v/>
      </c>
      <c r="N1795">
        <f>IFERROR(MATCH($C$5&amp;"|"&amp;RIGHT("000000"&amp;1779,6),LdCKeyM,0),"")</f>
        <v/>
      </c>
    </row>
    <row r="1796">
      <c r="A1796" s="19" t="n">
        <v>1780</v>
      </c>
      <c r="B1796" s="20">
        <f>IF(AND($L1796="",$M1796="",$N1796=""),"",IF($L1796&lt;&gt;"",INDEX(LdADate,$L1796),IF($M1796&lt;&gt;"",INDEX(LdBDate,$M1796),INDEX(LdCDate,$N1796))))</f>
        <v/>
      </c>
      <c r="C1796" s="20">
        <f>IF($L1796&lt;&gt;"","دستمزد (فردی)",IF($M1796&lt;&gt;"","سهم از گروه "&amp;IFERROR(VLOOKUP(INDEX(LdBGroup,$M1796),WGTbl,2,0),INDEX(LdBGroup,$M1796)),IF($N1796&lt;&gt;"",IF(N(INDEX(LdCDep,$N1796))&gt;0,"بازگشت بانکی","پرداخت بانکی"),"")))</f>
        <v/>
      </c>
      <c r="D1796" s="20">
        <f>IF($L1796&lt;&gt;"",IF(INDEX(LdAId,$L1796)="","—",INDEX(LdAId,$L1796)),IF($M1796&lt;&gt;"",IF(INDEX(LdBId,$M1796)="","—",INDEX(LdBId,$M1796)),IF($N1796&lt;&gt;"",IF(INDEX(LdCBank,$N1796)="","—",INDEX(LdCBank,$N1796)),"")))</f>
        <v/>
      </c>
      <c r="E1796" s="21">
        <f>IF($L1796&lt;&gt;"",IF(INDEX(LdAAmt,$L1796)=0,"",INDEX(LdAAmt,$L1796)),IF($M1796&lt;&gt;"",IF(INDEX(LdBAmt,$M1796)=0,"",INDEX(LdBAmt,$M1796)),IF($N1796&lt;&gt;"",IF(INDEX(LdCDep,$N1796)=0,"",INDEX(LdCDep,$N1796)),"")))</f>
        <v/>
      </c>
      <c r="F1796" s="21">
        <f>IF(AND($L1796="",$M1796="",$N1796=""),"",IF($N1796="","",IF(INDEX(LdCWit,$N1796)=0,"",INDEX(LdCWit,$N1796))))</f>
        <v/>
      </c>
      <c r="G1796" s="31">
        <f>IF($B1796="","",IF($G1795="",0,$G1795)+IF($E1796="",0,$E1796)-IF($F1796="",0,$F1796))</f>
        <v/>
      </c>
      <c r="H1796" s="32">
        <f>IF(AND($L1796="",$M1796="",$N1796=""),"",IF($L1796&lt;&gt;"",IF(INDEX(LdANote,$L1796)="","—",INDEX(LdANote,$L1796)),IF($M1796&lt;&gt;"",IF(INDEX(LdBNote,$M1796)="","—",INDEX(LdBNote,$M1796)),IF($N1796&lt;&gt;"",IF(INDEX(LdCNote,$N1796)="","—",INDEX(LdCNote,$N1796)),""))))</f>
        <v/>
      </c>
      <c r="L1796">
        <f>IFERROR(MATCH($C$5&amp;"|"&amp;RIGHT("000000"&amp;1780,6),LdAKeyM,0),"")</f>
        <v/>
      </c>
      <c r="M1796">
        <f>IFERROR(MATCH($C$5&amp;"|"&amp;RIGHT("000000"&amp;1780,6),LdBKeyM,0),"")</f>
        <v/>
      </c>
      <c r="N1796">
        <f>IFERROR(MATCH($C$5&amp;"|"&amp;RIGHT("000000"&amp;1780,6),LdCKeyM,0),"")</f>
        <v/>
      </c>
    </row>
    <row r="1797">
      <c r="A1797" s="10" t="n">
        <v>1781</v>
      </c>
      <c r="B1797" s="14">
        <f>IF(AND($L1797="",$M1797="",$N1797=""),"",IF($L1797&lt;&gt;"",INDEX(LdADate,$L1797),IF($M1797&lt;&gt;"",INDEX(LdBDate,$M1797),INDEX(LdCDate,$N1797))))</f>
        <v/>
      </c>
      <c r="C1797" s="14">
        <f>IF($L1797&lt;&gt;"","دستمزد (فردی)",IF($M1797&lt;&gt;"","سهم از گروه "&amp;IFERROR(VLOOKUP(INDEX(LdBGroup,$M1797),WGTbl,2,0),INDEX(LdBGroup,$M1797)),IF($N1797&lt;&gt;"",IF(N(INDEX(LdCDep,$N1797))&gt;0,"بازگشت بانکی","پرداخت بانکی"),"")))</f>
        <v/>
      </c>
      <c r="D1797" s="14">
        <f>IF($L1797&lt;&gt;"",IF(INDEX(LdAId,$L1797)="","—",INDEX(LdAId,$L1797)),IF($M1797&lt;&gt;"",IF(INDEX(LdBId,$M1797)="","—",INDEX(LdBId,$M1797)),IF($N1797&lt;&gt;"",IF(INDEX(LdCBank,$N1797)="","—",INDEX(LdCBank,$N1797)),"")))</f>
        <v/>
      </c>
      <c r="E1797" s="16">
        <f>IF($L1797&lt;&gt;"",IF(INDEX(LdAAmt,$L1797)=0,"",INDEX(LdAAmt,$L1797)),IF($M1797&lt;&gt;"",IF(INDEX(LdBAmt,$M1797)=0,"",INDEX(LdBAmt,$M1797)),IF($N1797&lt;&gt;"",IF(INDEX(LdCDep,$N1797)=0,"",INDEX(LdCDep,$N1797)),"")))</f>
        <v/>
      </c>
      <c r="F1797" s="16">
        <f>IF(AND($L1797="",$M1797="",$N1797=""),"",IF($N1797="","",IF(INDEX(LdCWit,$N1797)=0,"",INDEX(LdCWit,$N1797))))</f>
        <v/>
      </c>
      <c r="G1797" s="29">
        <f>IF($B1797="","",IF($G1796="",0,$G1796)+IF($E1797="",0,$E1797)-IF($F1797="",0,$F1797))</f>
        <v/>
      </c>
      <c r="H1797" s="30">
        <f>IF(AND($L1797="",$M1797="",$N1797=""),"",IF($L1797&lt;&gt;"",IF(INDEX(LdANote,$L1797)="","—",INDEX(LdANote,$L1797)),IF($M1797&lt;&gt;"",IF(INDEX(LdBNote,$M1797)="","—",INDEX(LdBNote,$M1797)),IF($N1797&lt;&gt;"",IF(INDEX(LdCNote,$N1797)="","—",INDEX(LdCNote,$N1797)),""))))</f>
        <v/>
      </c>
      <c r="L1797">
        <f>IFERROR(MATCH($C$5&amp;"|"&amp;RIGHT("000000"&amp;1781,6),LdAKeyM,0),"")</f>
        <v/>
      </c>
      <c r="M1797">
        <f>IFERROR(MATCH($C$5&amp;"|"&amp;RIGHT("000000"&amp;1781,6),LdBKeyM,0),"")</f>
        <v/>
      </c>
      <c r="N1797">
        <f>IFERROR(MATCH($C$5&amp;"|"&amp;RIGHT("000000"&amp;1781,6),LdCKeyM,0),"")</f>
        <v/>
      </c>
    </row>
    <row r="1798">
      <c r="A1798" s="19" t="n">
        <v>1782</v>
      </c>
      <c r="B1798" s="20">
        <f>IF(AND($L1798="",$M1798="",$N1798=""),"",IF($L1798&lt;&gt;"",INDEX(LdADate,$L1798),IF($M1798&lt;&gt;"",INDEX(LdBDate,$M1798),INDEX(LdCDate,$N1798))))</f>
        <v/>
      </c>
      <c r="C1798" s="20">
        <f>IF($L1798&lt;&gt;"","دستمزد (فردی)",IF($M1798&lt;&gt;"","سهم از گروه "&amp;IFERROR(VLOOKUP(INDEX(LdBGroup,$M1798),WGTbl,2,0),INDEX(LdBGroup,$M1798)),IF($N1798&lt;&gt;"",IF(N(INDEX(LdCDep,$N1798))&gt;0,"بازگشت بانکی","پرداخت بانکی"),"")))</f>
        <v/>
      </c>
      <c r="D1798" s="20">
        <f>IF($L1798&lt;&gt;"",IF(INDEX(LdAId,$L1798)="","—",INDEX(LdAId,$L1798)),IF($M1798&lt;&gt;"",IF(INDEX(LdBId,$M1798)="","—",INDEX(LdBId,$M1798)),IF($N1798&lt;&gt;"",IF(INDEX(LdCBank,$N1798)="","—",INDEX(LdCBank,$N1798)),"")))</f>
        <v/>
      </c>
      <c r="E1798" s="21">
        <f>IF($L1798&lt;&gt;"",IF(INDEX(LdAAmt,$L1798)=0,"",INDEX(LdAAmt,$L1798)),IF($M1798&lt;&gt;"",IF(INDEX(LdBAmt,$M1798)=0,"",INDEX(LdBAmt,$M1798)),IF($N1798&lt;&gt;"",IF(INDEX(LdCDep,$N1798)=0,"",INDEX(LdCDep,$N1798)),"")))</f>
        <v/>
      </c>
      <c r="F1798" s="21">
        <f>IF(AND($L1798="",$M1798="",$N1798=""),"",IF($N1798="","",IF(INDEX(LdCWit,$N1798)=0,"",INDEX(LdCWit,$N1798))))</f>
        <v/>
      </c>
      <c r="G1798" s="31">
        <f>IF($B1798="","",IF($G1797="",0,$G1797)+IF($E1798="",0,$E1798)-IF($F1798="",0,$F1798))</f>
        <v/>
      </c>
      <c r="H1798" s="32">
        <f>IF(AND($L1798="",$M1798="",$N1798=""),"",IF($L1798&lt;&gt;"",IF(INDEX(LdANote,$L1798)="","—",INDEX(LdANote,$L1798)),IF($M1798&lt;&gt;"",IF(INDEX(LdBNote,$M1798)="","—",INDEX(LdBNote,$M1798)),IF($N1798&lt;&gt;"",IF(INDEX(LdCNote,$N1798)="","—",INDEX(LdCNote,$N1798)),""))))</f>
        <v/>
      </c>
      <c r="L1798">
        <f>IFERROR(MATCH($C$5&amp;"|"&amp;RIGHT("000000"&amp;1782,6),LdAKeyM,0),"")</f>
        <v/>
      </c>
      <c r="M1798">
        <f>IFERROR(MATCH($C$5&amp;"|"&amp;RIGHT("000000"&amp;1782,6),LdBKeyM,0),"")</f>
        <v/>
      </c>
      <c r="N1798">
        <f>IFERROR(MATCH($C$5&amp;"|"&amp;RIGHT("000000"&amp;1782,6),LdCKeyM,0),"")</f>
        <v/>
      </c>
    </row>
    <row r="1799">
      <c r="A1799" s="10" t="n">
        <v>1783</v>
      </c>
      <c r="B1799" s="14">
        <f>IF(AND($L1799="",$M1799="",$N1799=""),"",IF($L1799&lt;&gt;"",INDEX(LdADate,$L1799),IF($M1799&lt;&gt;"",INDEX(LdBDate,$M1799),INDEX(LdCDate,$N1799))))</f>
        <v/>
      </c>
      <c r="C1799" s="14">
        <f>IF($L1799&lt;&gt;"","دستمزد (فردی)",IF($M1799&lt;&gt;"","سهم از گروه "&amp;IFERROR(VLOOKUP(INDEX(LdBGroup,$M1799),WGTbl,2,0),INDEX(LdBGroup,$M1799)),IF($N1799&lt;&gt;"",IF(N(INDEX(LdCDep,$N1799))&gt;0,"بازگشت بانکی","پرداخت بانکی"),"")))</f>
        <v/>
      </c>
      <c r="D1799" s="14">
        <f>IF($L1799&lt;&gt;"",IF(INDEX(LdAId,$L1799)="","—",INDEX(LdAId,$L1799)),IF($M1799&lt;&gt;"",IF(INDEX(LdBId,$M1799)="","—",INDEX(LdBId,$M1799)),IF($N1799&lt;&gt;"",IF(INDEX(LdCBank,$N1799)="","—",INDEX(LdCBank,$N1799)),"")))</f>
        <v/>
      </c>
      <c r="E1799" s="16">
        <f>IF($L1799&lt;&gt;"",IF(INDEX(LdAAmt,$L1799)=0,"",INDEX(LdAAmt,$L1799)),IF($M1799&lt;&gt;"",IF(INDEX(LdBAmt,$M1799)=0,"",INDEX(LdBAmt,$M1799)),IF($N1799&lt;&gt;"",IF(INDEX(LdCDep,$N1799)=0,"",INDEX(LdCDep,$N1799)),"")))</f>
        <v/>
      </c>
      <c r="F1799" s="16">
        <f>IF(AND($L1799="",$M1799="",$N1799=""),"",IF($N1799="","",IF(INDEX(LdCWit,$N1799)=0,"",INDEX(LdCWit,$N1799))))</f>
        <v/>
      </c>
      <c r="G1799" s="29">
        <f>IF($B1799="","",IF($G1798="",0,$G1798)+IF($E1799="",0,$E1799)-IF($F1799="",0,$F1799))</f>
        <v/>
      </c>
      <c r="H1799" s="30">
        <f>IF(AND($L1799="",$M1799="",$N1799=""),"",IF($L1799&lt;&gt;"",IF(INDEX(LdANote,$L1799)="","—",INDEX(LdANote,$L1799)),IF($M1799&lt;&gt;"",IF(INDEX(LdBNote,$M1799)="","—",INDEX(LdBNote,$M1799)),IF($N1799&lt;&gt;"",IF(INDEX(LdCNote,$N1799)="","—",INDEX(LdCNote,$N1799)),""))))</f>
        <v/>
      </c>
      <c r="L1799">
        <f>IFERROR(MATCH($C$5&amp;"|"&amp;RIGHT("000000"&amp;1783,6),LdAKeyM,0),"")</f>
        <v/>
      </c>
      <c r="M1799">
        <f>IFERROR(MATCH($C$5&amp;"|"&amp;RIGHT("000000"&amp;1783,6),LdBKeyM,0),"")</f>
        <v/>
      </c>
      <c r="N1799">
        <f>IFERROR(MATCH($C$5&amp;"|"&amp;RIGHT("000000"&amp;1783,6),LdCKeyM,0),"")</f>
        <v/>
      </c>
    </row>
    <row r="1800">
      <c r="A1800" s="19" t="n">
        <v>1784</v>
      </c>
      <c r="B1800" s="20">
        <f>IF(AND($L1800="",$M1800="",$N1800=""),"",IF($L1800&lt;&gt;"",INDEX(LdADate,$L1800),IF($M1800&lt;&gt;"",INDEX(LdBDate,$M1800),INDEX(LdCDate,$N1800))))</f>
        <v/>
      </c>
      <c r="C1800" s="20">
        <f>IF($L1800&lt;&gt;"","دستمزد (فردی)",IF($M1800&lt;&gt;"","سهم از گروه "&amp;IFERROR(VLOOKUP(INDEX(LdBGroup,$M1800),WGTbl,2,0),INDEX(LdBGroup,$M1800)),IF($N1800&lt;&gt;"",IF(N(INDEX(LdCDep,$N1800))&gt;0,"بازگشت بانکی","پرداخت بانکی"),"")))</f>
        <v/>
      </c>
      <c r="D1800" s="20">
        <f>IF($L1800&lt;&gt;"",IF(INDEX(LdAId,$L1800)="","—",INDEX(LdAId,$L1800)),IF($M1800&lt;&gt;"",IF(INDEX(LdBId,$M1800)="","—",INDEX(LdBId,$M1800)),IF($N1800&lt;&gt;"",IF(INDEX(LdCBank,$N1800)="","—",INDEX(LdCBank,$N1800)),"")))</f>
        <v/>
      </c>
      <c r="E1800" s="21">
        <f>IF($L1800&lt;&gt;"",IF(INDEX(LdAAmt,$L1800)=0,"",INDEX(LdAAmt,$L1800)),IF($M1800&lt;&gt;"",IF(INDEX(LdBAmt,$M1800)=0,"",INDEX(LdBAmt,$M1800)),IF($N1800&lt;&gt;"",IF(INDEX(LdCDep,$N1800)=0,"",INDEX(LdCDep,$N1800)),"")))</f>
        <v/>
      </c>
      <c r="F1800" s="21">
        <f>IF(AND($L1800="",$M1800="",$N1800=""),"",IF($N1800="","",IF(INDEX(LdCWit,$N1800)=0,"",INDEX(LdCWit,$N1800))))</f>
        <v/>
      </c>
      <c r="G1800" s="31">
        <f>IF($B1800="","",IF($G1799="",0,$G1799)+IF($E1800="",0,$E1800)-IF($F1800="",0,$F1800))</f>
        <v/>
      </c>
      <c r="H1800" s="32">
        <f>IF(AND($L1800="",$M1800="",$N1800=""),"",IF($L1800&lt;&gt;"",IF(INDEX(LdANote,$L1800)="","—",INDEX(LdANote,$L1800)),IF($M1800&lt;&gt;"",IF(INDEX(LdBNote,$M1800)="","—",INDEX(LdBNote,$M1800)),IF($N1800&lt;&gt;"",IF(INDEX(LdCNote,$N1800)="","—",INDEX(LdCNote,$N1800)),""))))</f>
        <v/>
      </c>
      <c r="L1800">
        <f>IFERROR(MATCH($C$5&amp;"|"&amp;RIGHT("000000"&amp;1784,6),LdAKeyM,0),"")</f>
        <v/>
      </c>
      <c r="M1800">
        <f>IFERROR(MATCH($C$5&amp;"|"&amp;RIGHT("000000"&amp;1784,6),LdBKeyM,0),"")</f>
        <v/>
      </c>
      <c r="N1800">
        <f>IFERROR(MATCH($C$5&amp;"|"&amp;RIGHT("000000"&amp;1784,6),LdCKeyM,0),"")</f>
        <v/>
      </c>
    </row>
    <row r="1801">
      <c r="A1801" s="10" t="n">
        <v>1785</v>
      </c>
      <c r="B1801" s="14">
        <f>IF(AND($L1801="",$M1801="",$N1801=""),"",IF($L1801&lt;&gt;"",INDEX(LdADate,$L1801),IF($M1801&lt;&gt;"",INDEX(LdBDate,$M1801),INDEX(LdCDate,$N1801))))</f>
        <v/>
      </c>
      <c r="C1801" s="14">
        <f>IF($L1801&lt;&gt;"","دستمزد (فردی)",IF($M1801&lt;&gt;"","سهم از گروه "&amp;IFERROR(VLOOKUP(INDEX(LdBGroup,$M1801),WGTbl,2,0),INDEX(LdBGroup,$M1801)),IF($N1801&lt;&gt;"",IF(N(INDEX(LdCDep,$N1801))&gt;0,"بازگشت بانکی","پرداخت بانکی"),"")))</f>
        <v/>
      </c>
      <c r="D1801" s="14">
        <f>IF($L1801&lt;&gt;"",IF(INDEX(LdAId,$L1801)="","—",INDEX(LdAId,$L1801)),IF($M1801&lt;&gt;"",IF(INDEX(LdBId,$M1801)="","—",INDEX(LdBId,$M1801)),IF($N1801&lt;&gt;"",IF(INDEX(LdCBank,$N1801)="","—",INDEX(LdCBank,$N1801)),"")))</f>
        <v/>
      </c>
      <c r="E1801" s="16">
        <f>IF($L1801&lt;&gt;"",IF(INDEX(LdAAmt,$L1801)=0,"",INDEX(LdAAmt,$L1801)),IF($M1801&lt;&gt;"",IF(INDEX(LdBAmt,$M1801)=0,"",INDEX(LdBAmt,$M1801)),IF($N1801&lt;&gt;"",IF(INDEX(LdCDep,$N1801)=0,"",INDEX(LdCDep,$N1801)),"")))</f>
        <v/>
      </c>
      <c r="F1801" s="16">
        <f>IF(AND($L1801="",$M1801="",$N1801=""),"",IF($N1801="","",IF(INDEX(LdCWit,$N1801)=0,"",INDEX(LdCWit,$N1801))))</f>
        <v/>
      </c>
      <c r="G1801" s="29">
        <f>IF($B1801="","",IF($G1800="",0,$G1800)+IF($E1801="",0,$E1801)-IF($F1801="",0,$F1801))</f>
        <v/>
      </c>
      <c r="H1801" s="30">
        <f>IF(AND($L1801="",$M1801="",$N1801=""),"",IF($L1801&lt;&gt;"",IF(INDEX(LdANote,$L1801)="","—",INDEX(LdANote,$L1801)),IF($M1801&lt;&gt;"",IF(INDEX(LdBNote,$M1801)="","—",INDEX(LdBNote,$M1801)),IF($N1801&lt;&gt;"",IF(INDEX(LdCNote,$N1801)="","—",INDEX(LdCNote,$N1801)),""))))</f>
        <v/>
      </c>
      <c r="L1801">
        <f>IFERROR(MATCH($C$5&amp;"|"&amp;RIGHT("000000"&amp;1785,6),LdAKeyM,0),"")</f>
        <v/>
      </c>
      <c r="M1801">
        <f>IFERROR(MATCH($C$5&amp;"|"&amp;RIGHT("000000"&amp;1785,6),LdBKeyM,0),"")</f>
        <v/>
      </c>
      <c r="N1801">
        <f>IFERROR(MATCH($C$5&amp;"|"&amp;RIGHT("000000"&amp;1785,6),LdCKeyM,0),"")</f>
        <v/>
      </c>
    </row>
    <row r="1802">
      <c r="A1802" s="19" t="n">
        <v>1786</v>
      </c>
      <c r="B1802" s="20">
        <f>IF(AND($L1802="",$M1802="",$N1802=""),"",IF($L1802&lt;&gt;"",INDEX(LdADate,$L1802),IF($M1802&lt;&gt;"",INDEX(LdBDate,$M1802),INDEX(LdCDate,$N1802))))</f>
        <v/>
      </c>
      <c r="C1802" s="20">
        <f>IF($L1802&lt;&gt;"","دستمزد (فردی)",IF($M1802&lt;&gt;"","سهم از گروه "&amp;IFERROR(VLOOKUP(INDEX(LdBGroup,$M1802),WGTbl,2,0),INDEX(LdBGroup,$M1802)),IF($N1802&lt;&gt;"",IF(N(INDEX(LdCDep,$N1802))&gt;0,"بازگشت بانکی","پرداخت بانکی"),"")))</f>
        <v/>
      </c>
      <c r="D1802" s="20">
        <f>IF($L1802&lt;&gt;"",IF(INDEX(LdAId,$L1802)="","—",INDEX(LdAId,$L1802)),IF($M1802&lt;&gt;"",IF(INDEX(LdBId,$M1802)="","—",INDEX(LdBId,$M1802)),IF($N1802&lt;&gt;"",IF(INDEX(LdCBank,$N1802)="","—",INDEX(LdCBank,$N1802)),"")))</f>
        <v/>
      </c>
      <c r="E1802" s="21">
        <f>IF($L1802&lt;&gt;"",IF(INDEX(LdAAmt,$L1802)=0,"",INDEX(LdAAmt,$L1802)),IF($M1802&lt;&gt;"",IF(INDEX(LdBAmt,$M1802)=0,"",INDEX(LdBAmt,$M1802)),IF($N1802&lt;&gt;"",IF(INDEX(LdCDep,$N1802)=0,"",INDEX(LdCDep,$N1802)),"")))</f>
        <v/>
      </c>
      <c r="F1802" s="21">
        <f>IF(AND($L1802="",$M1802="",$N1802=""),"",IF($N1802="","",IF(INDEX(LdCWit,$N1802)=0,"",INDEX(LdCWit,$N1802))))</f>
        <v/>
      </c>
      <c r="G1802" s="31">
        <f>IF($B1802="","",IF($G1801="",0,$G1801)+IF($E1802="",0,$E1802)-IF($F1802="",0,$F1802))</f>
        <v/>
      </c>
      <c r="H1802" s="32">
        <f>IF(AND($L1802="",$M1802="",$N1802=""),"",IF($L1802&lt;&gt;"",IF(INDEX(LdANote,$L1802)="","—",INDEX(LdANote,$L1802)),IF($M1802&lt;&gt;"",IF(INDEX(LdBNote,$M1802)="","—",INDEX(LdBNote,$M1802)),IF($N1802&lt;&gt;"",IF(INDEX(LdCNote,$N1802)="","—",INDEX(LdCNote,$N1802)),""))))</f>
        <v/>
      </c>
      <c r="L1802">
        <f>IFERROR(MATCH($C$5&amp;"|"&amp;RIGHT("000000"&amp;1786,6),LdAKeyM,0),"")</f>
        <v/>
      </c>
      <c r="M1802">
        <f>IFERROR(MATCH($C$5&amp;"|"&amp;RIGHT("000000"&amp;1786,6),LdBKeyM,0),"")</f>
        <v/>
      </c>
      <c r="N1802">
        <f>IFERROR(MATCH($C$5&amp;"|"&amp;RIGHT("000000"&amp;1786,6),LdCKeyM,0),"")</f>
        <v/>
      </c>
    </row>
    <row r="1803">
      <c r="A1803" s="10" t="n">
        <v>1787</v>
      </c>
      <c r="B1803" s="14">
        <f>IF(AND($L1803="",$M1803="",$N1803=""),"",IF($L1803&lt;&gt;"",INDEX(LdADate,$L1803),IF($M1803&lt;&gt;"",INDEX(LdBDate,$M1803),INDEX(LdCDate,$N1803))))</f>
        <v/>
      </c>
      <c r="C1803" s="14">
        <f>IF($L1803&lt;&gt;"","دستمزد (فردی)",IF($M1803&lt;&gt;"","سهم از گروه "&amp;IFERROR(VLOOKUP(INDEX(LdBGroup,$M1803),WGTbl,2,0),INDEX(LdBGroup,$M1803)),IF($N1803&lt;&gt;"",IF(N(INDEX(LdCDep,$N1803))&gt;0,"بازگشت بانکی","پرداخت بانکی"),"")))</f>
        <v/>
      </c>
      <c r="D1803" s="14">
        <f>IF($L1803&lt;&gt;"",IF(INDEX(LdAId,$L1803)="","—",INDEX(LdAId,$L1803)),IF($M1803&lt;&gt;"",IF(INDEX(LdBId,$M1803)="","—",INDEX(LdBId,$M1803)),IF($N1803&lt;&gt;"",IF(INDEX(LdCBank,$N1803)="","—",INDEX(LdCBank,$N1803)),"")))</f>
        <v/>
      </c>
      <c r="E1803" s="16">
        <f>IF($L1803&lt;&gt;"",IF(INDEX(LdAAmt,$L1803)=0,"",INDEX(LdAAmt,$L1803)),IF($M1803&lt;&gt;"",IF(INDEX(LdBAmt,$M1803)=0,"",INDEX(LdBAmt,$M1803)),IF($N1803&lt;&gt;"",IF(INDEX(LdCDep,$N1803)=0,"",INDEX(LdCDep,$N1803)),"")))</f>
        <v/>
      </c>
      <c r="F1803" s="16">
        <f>IF(AND($L1803="",$M1803="",$N1803=""),"",IF($N1803="","",IF(INDEX(LdCWit,$N1803)=0,"",INDEX(LdCWit,$N1803))))</f>
        <v/>
      </c>
      <c r="G1803" s="29">
        <f>IF($B1803="","",IF($G1802="",0,$G1802)+IF($E1803="",0,$E1803)-IF($F1803="",0,$F1803))</f>
        <v/>
      </c>
      <c r="H1803" s="30">
        <f>IF(AND($L1803="",$M1803="",$N1803=""),"",IF($L1803&lt;&gt;"",IF(INDEX(LdANote,$L1803)="","—",INDEX(LdANote,$L1803)),IF($M1803&lt;&gt;"",IF(INDEX(LdBNote,$M1803)="","—",INDEX(LdBNote,$M1803)),IF($N1803&lt;&gt;"",IF(INDEX(LdCNote,$N1803)="","—",INDEX(LdCNote,$N1803)),""))))</f>
        <v/>
      </c>
      <c r="L1803">
        <f>IFERROR(MATCH($C$5&amp;"|"&amp;RIGHT("000000"&amp;1787,6),LdAKeyM,0),"")</f>
        <v/>
      </c>
      <c r="M1803">
        <f>IFERROR(MATCH($C$5&amp;"|"&amp;RIGHT("000000"&amp;1787,6),LdBKeyM,0),"")</f>
        <v/>
      </c>
      <c r="N1803">
        <f>IFERROR(MATCH($C$5&amp;"|"&amp;RIGHT("000000"&amp;1787,6),LdCKeyM,0),"")</f>
        <v/>
      </c>
    </row>
    <row r="1804">
      <c r="A1804" s="19" t="n">
        <v>1788</v>
      </c>
      <c r="B1804" s="20">
        <f>IF(AND($L1804="",$M1804="",$N1804=""),"",IF($L1804&lt;&gt;"",INDEX(LdADate,$L1804),IF($M1804&lt;&gt;"",INDEX(LdBDate,$M1804),INDEX(LdCDate,$N1804))))</f>
        <v/>
      </c>
      <c r="C1804" s="20">
        <f>IF($L1804&lt;&gt;"","دستمزد (فردی)",IF($M1804&lt;&gt;"","سهم از گروه "&amp;IFERROR(VLOOKUP(INDEX(LdBGroup,$M1804),WGTbl,2,0),INDEX(LdBGroup,$M1804)),IF($N1804&lt;&gt;"",IF(N(INDEX(LdCDep,$N1804))&gt;0,"بازگشت بانکی","پرداخت بانکی"),"")))</f>
        <v/>
      </c>
      <c r="D1804" s="20">
        <f>IF($L1804&lt;&gt;"",IF(INDEX(LdAId,$L1804)="","—",INDEX(LdAId,$L1804)),IF($M1804&lt;&gt;"",IF(INDEX(LdBId,$M1804)="","—",INDEX(LdBId,$M1804)),IF($N1804&lt;&gt;"",IF(INDEX(LdCBank,$N1804)="","—",INDEX(LdCBank,$N1804)),"")))</f>
        <v/>
      </c>
      <c r="E1804" s="21">
        <f>IF($L1804&lt;&gt;"",IF(INDEX(LdAAmt,$L1804)=0,"",INDEX(LdAAmt,$L1804)),IF($M1804&lt;&gt;"",IF(INDEX(LdBAmt,$M1804)=0,"",INDEX(LdBAmt,$M1804)),IF($N1804&lt;&gt;"",IF(INDEX(LdCDep,$N1804)=0,"",INDEX(LdCDep,$N1804)),"")))</f>
        <v/>
      </c>
      <c r="F1804" s="21">
        <f>IF(AND($L1804="",$M1804="",$N1804=""),"",IF($N1804="","",IF(INDEX(LdCWit,$N1804)=0,"",INDEX(LdCWit,$N1804))))</f>
        <v/>
      </c>
      <c r="G1804" s="31">
        <f>IF($B1804="","",IF($G1803="",0,$G1803)+IF($E1804="",0,$E1804)-IF($F1804="",0,$F1804))</f>
        <v/>
      </c>
      <c r="H1804" s="32">
        <f>IF(AND($L1804="",$M1804="",$N1804=""),"",IF($L1804&lt;&gt;"",IF(INDEX(LdANote,$L1804)="","—",INDEX(LdANote,$L1804)),IF($M1804&lt;&gt;"",IF(INDEX(LdBNote,$M1804)="","—",INDEX(LdBNote,$M1804)),IF($N1804&lt;&gt;"",IF(INDEX(LdCNote,$N1804)="","—",INDEX(LdCNote,$N1804)),""))))</f>
        <v/>
      </c>
      <c r="L1804">
        <f>IFERROR(MATCH($C$5&amp;"|"&amp;RIGHT("000000"&amp;1788,6),LdAKeyM,0),"")</f>
        <v/>
      </c>
      <c r="M1804">
        <f>IFERROR(MATCH($C$5&amp;"|"&amp;RIGHT("000000"&amp;1788,6),LdBKeyM,0),"")</f>
        <v/>
      </c>
      <c r="N1804">
        <f>IFERROR(MATCH($C$5&amp;"|"&amp;RIGHT("000000"&amp;1788,6),LdCKeyM,0),"")</f>
        <v/>
      </c>
    </row>
    <row r="1805">
      <c r="A1805" s="10" t="n">
        <v>1789</v>
      </c>
      <c r="B1805" s="14">
        <f>IF(AND($L1805="",$M1805="",$N1805=""),"",IF($L1805&lt;&gt;"",INDEX(LdADate,$L1805),IF($M1805&lt;&gt;"",INDEX(LdBDate,$M1805),INDEX(LdCDate,$N1805))))</f>
        <v/>
      </c>
      <c r="C1805" s="14">
        <f>IF($L1805&lt;&gt;"","دستمزد (فردی)",IF($M1805&lt;&gt;"","سهم از گروه "&amp;IFERROR(VLOOKUP(INDEX(LdBGroup,$M1805),WGTbl,2,0),INDEX(LdBGroup,$M1805)),IF($N1805&lt;&gt;"",IF(N(INDEX(LdCDep,$N1805))&gt;0,"بازگشت بانکی","پرداخت بانکی"),"")))</f>
        <v/>
      </c>
      <c r="D1805" s="14">
        <f>IF($L1805&lt;&gt;"",IF(INDEX(LdAId,$L1805)="","—",INDEX(LdAId,$L1805)),IF($M1805&lt;&gt;"",IF(INDEX(LdBId,$M1805)="","—",INDEX(LdBId,$M1805)),IF($N1805&lt;&gt;"",IF(INDEX(LdCBank,$N1805)="","—",INDEX(LdCBank,$N1805)),"")))</f>
        <v/>
      </c>
      <c r="E1805" s="16">
        <f>IF($L1805&lt;&gt;"",IF(INDEX(LdAAmt,$L1805)=0,"",INDEX(LdAAmt,$L1805)),IF($M1805&lt;&gt;"",IF(INDEX(LdBAmt,$M1805)=0,"",INDEX(LdBAmt,$M1805)),IF($N1805&lt;&gt;"",IF(INDEX(LdCDep,$N1805)=0,"",INDEX(LdCDep,$N1805)),"")))</f>
        <v/>
      </c>
      <c r="F1805" s="16">
        <f>IF(AND($L1805="",$M1805="",$N1805=""),"",IF($N1805="","",IF(INDEX(LdCWit,$N1805)=0,"",INDEX(LdCWit,$N1805))))</f>
        <v/>
      </c>
      <c r="G1805" s="29">
        <f>IF($B1805="","",IF($G1804="",0,$G1804)+IF($E1805="",0,$E1805)-IF($F1805="",0,$F1805))</f>
        <v/>
      </c>
      <c r="H1805" s="30">
        <f>IF(AND($L1805="",$M1805="",$N1805=""),"",IF($L1805&lt;&gt;"",IF(INDEX(LdANote,$L1805)="","—",INDEX(LdANote,$L1805)),IF($M1805&lt;&gt;"",IF(INDEX(LdBNote,$M1805)="","—",INDEX(LdBNote,$M1805)),IF($N1805&lt;&gt;"",IF(INDEX(LdCNote,$N1805)="","—",INDEX(LdCNote,$N1805)),""))))</f>
        <v/>
      </c>
      <c r="L1805">
        <f>IFERROR(MATCH($C$5&amp;"|"&amp;RIGHT("000000"&amp;1789,6),LdAKeyM,0),"")</f>
        <v/>
      </c>
      <c r="M1805">
        <f>IFERROR(MATCH($C$5&amp;"|"&amp;RIGHT("000000"&amp;1789,6),LdBKeyM,0),"")</f>
        <v/>
      </c>
      <c r="N1805">
        <f>IFERROR(MATCH($C$5&amp;"|"&amp;RIGHT("000000"&amp;1789,6),LdCKeyM,0),"")</f>
        <v/>
      </c>
    </row>
    <row r="1806">
      <c r="A1806" s="19" t="n">
        <v>1790</v>
      </c>
      <c r="B1806" s="20">
        <f>IF(AND($L1806="",$M1806="",$N1806=""),"",IF($L1806&lt;&gt;"",INDEX(LdADate,$L1806),IF($M1806&lt;&gt;"",INDEX(LdBDate,$M1806),INDEX(LdCDate,$N1806))))</f>
        <v/>
      </c>
      <c r="C1806" s="20">
        <f>IF($L1806&lt;&gt;"","دستمزد (فردی)",IF($M1806&lt;&gt;"","سهم از گروه "&amp;IFERROR(VLOOKUP(INDEX(LdBGroup,$M1806),WGTbl,2,0),INDEX(LdBGroup,$M1806)),IF($N1806&lt;&gt;"",IF(N(INDEX(LdCDep,$N1806))&gt;0,"بازگشت بانکی","پرداخت بانکی"),"")))</f>
        <v/>
      </c>
      <c r="D1806" s="20">
        <f>IF($L1806&lt;&gt;"",IF(INDEX(LdAId,$L1806)="","—",INDEX(LdAId,$L1806)),IF($M1806&lt;&gt;"",IF(INDEX(LdBId,$M1806)="","—",INDEX(LdBId,$M1806)),IF($N1806&lt;&gt;"",IF(INDEX(LdCBank,$N1806)="","—",INDEX(LdCBank,$N1806)),"")))</f>
        <v/>
      </c>
      <c r="E1806" s="21">
        <f>IF($L1806&lt;&gt;"",IF(INDEX(LdAAmt,$L1806)=0,"",INDEX(LdAAmt,$L1806)),IF($M1806&lt;&gt;"",IF(INDEX(LdBAmt,$M1806)=0,"",INDEX(LdBAmt,$M1806)),IF($N1806&lt;&gt;"",IF(INDEX(LdCDep,$N1806)=0,"",INDEX(LdCDep,$N1806)),"")))</f>
        <v/>
      </c>
      <c r="F1806" s="21">
        <f>IF(AND($L1806="",$M1806="",$N1806=""),"",IF($N1806="","",IF(INDEX(LdCWit,$N1806)=0,"",INDEX(LdCWit,$N1806))))</f>
        <v/>
      </c>
      <c r="G1806" s="31">
        <f>IF($B1806="","",IF($G1805="",0,$G1805)+IF($E1806="",0,$E1806)-IF($F1806="",0,$F1806))</f>
        <v/>
      </c>
      <c r="H1806" s="32">
        <f>IF(AND($L1806="",$M1806="",$N1806=""),"",IF($L1806&lt;&gt;"",IF(INDEX(LdANote,$L1806)="","—",INDEX(LdANote,$L1806)),IF($M1806&lt;&gt;"",IF(INDEX(LdBNote,$M1806)="","—",INDEX(LdBNote,$M1806)),IF($N1806&lt;&gt;"",IF(INDEX(LdCNote,$N1806)="","—",INDEX(LdCNote,$N1806)),""))))</f>
        <v/>
      </c>
      <c r="L1806">
        <f>IFERROR(MATCH($C$5&amp;"|"&amp;RIGHT("000000"&amp;1790,6),LdAKeyM,0),"")</f>
        <v/>
      </c>
      <c r="M1806">
        <f>IFERROR(MATCH($C$5&amp;"|"&amp;RIGHT("000000"&amp;1790,6),LdBKeyM,0),"")</f>
        <v/>
      </c>
      <c r="N1806">
        <f>IFERROR(MATCH($C$5&amp;"|"&amp;RIGHT("000000"&amp;1790,6),LdCKeyM,0),"")</f>
        <v/>
      </c>
    </row>
    <row r="1807">
      <c r="A1807" s="10" t="n">
        <v>1791</v>
      </c>
      <c r="B1807" s="14">
        <f>IF(AND($L1807="",$M1807="",$N1807=""),"",IF($L1807&lt;&gt;"",INDEX(LdADate,$L1807),IF($M1807&lt;&gt;"",INDEX(LdBDate,$M1807),INDEX(LdCDate,$N1807))))</f>
        <v/>
      </c>
      <c r="C1807" s="14">
        <f>IF($L1807&lt;&gt;"","دستمزد (فردی)",IF($M1807&lt;&gt;"","سهم از گروه "&amp;IFERROR(VLOOKUP(INDEX(LdBGroup,$M1807),WGTbl,2,0),INDEX(LdBGroup,$M1807)),IF($N1807&lt;&gt;"",IF(N(INDEX(LdCDep,$N1807))&gt;0,"بازگشت بانکی","پرداخت بانکی"),"")))</f>
        <v/>
      </c>
      <c r="D1807" s="14">
        <f>IF($L1807&lt;&gt;"",IF(INDEX(LdAId,$L1807)="","—",INDEX(LdAId,$L1807)),IF($M1807&lt;&gt;"",IF(INDEX(LdBId,$M1807)="","—",INDEX(LdBId,$M1807)),IF($N1807&lt;&gt;"",IF(INDEX(LdCBank,$N1807)="","—",INDEX(LdCBank,$N1807)),"")))</f>
        <v/>
      </c>
      <c r="E1807" s="16">
        <f>IF($L1807&lt;&gt;"",IF(INDEX(LdAAmt,$L1807)=0,"",INDEX(LdAAmt,$L1807)),IF($M1807&lt;&gt;"",IF(INDEX(LdBAmt,$M1807)=0,"",INDEX(LdBAmt,$M1807)),IF($N1807&lt;&gt;"",IF(INDEX(LdCDep,$N1807)=0,"",INDEX(LdCDep,$N1807)),"")))</f>
        <v/>
      </c>
      <c r="F1807" s="16">
        <f>IF(AND($L1807="",$M1807="",$N1807=""),"",IF($N1807="","",IF(INDEX(LdCWit,$N1807)=0,"",INDEX(LdCWit,$N1807))))</f>
        <v/>
      </c>
      <c r="G1807" s="29">
        <f>IF($B1807="","",IF($G1806="",0,$G1806)+IF($E1807="",0,$E1807)-IF($F1807="",0,$F1807))</f>
        <v/>
      </c>
      <c r="H1807" s="30">
        <f>IF(AND($L1807="",$M1807="",$N1807=""),"",IF($L1807&lt;&gt;"",IF(INDEX(LdANote,$L1807)="","—",INDEX(LdANote,$L1807)),IF($M1807&lt;&gt;"",IF(INDEX(LdBNote,$M1807)="","—",INDEX(LdBNote,$M1807)),IF($N1807&lt;&gt;"",IF(INDEX(LdCNote,$N1807)="","—",INDEX(LdCNote,$N1807)),""))))</f>
        <v/>
      </c>
      <c r="L1807">
        <f>IFERROR(MATCH($C$5&amp;"|"&amp;RIGHT("000000"&amp;1791,6),LdAKeyM,0),"")</f>
        <v/>
      </c>
      <c r="M1807">
        <f>IFERROR(MATCH($C$5&amp;"|"&amp;RIGHT("000000"&amp;1791,6),LdBKeyM,0),"")</f>
        <v/>
      </c>
      <c r="N1807">
        <f>IFERROR(MATCH($C$5&amp;"|"&amp;RIGHT("000000"&amp;1791,6),LdCKeyM,0),"")</f>
        <v/>
      </c>
    </row>
    <row r="1808">
      <c r="A1808" s="19" t="n">
        <v>1792</v>
      </c>
      <c r="B1808" s="20">
        <f>IF(AND($L1808="",$M1808="",$N1808=""),"",IF($L1808&lt;&gt;"",INDEX(LdADate,$L1808),IF($M1808&lt;&gt;"",INDEX(LdBDate,$M1808),INDEX(LdCDate,$N1808))))</f>
        <v/>
      </c>
      <c r="C1808" s="20">
        <f>IF($L1808&lt;&gt;"","دستمزد (فردی)",IF($M1808&lt;&gt;"","سهم از گروه "&amp;IFERROR(VLOOKUP(INDEX(LdBGroup,$M1808),WGTbl,2,0),INDEX(LdBGroup,$M1808)),IF($N1808&lt;&gt;"",IF(N(INDEX(LdCDep,$N1808))&gt;0,"بازگشت بانکی","پرداخت بانکی"),"")))</f>
        <v/>
      </c>
      <c r="D1808" s="20">
        <f>IF($L1808&lt;&gt;"",IF(INDEX(LdAId,$L1808)="","—",INDEX(LdAId,$L1808)),IF($M1808&lt;&gt;"",IF(INDEX(LdBId,$M1808)="","—",INDEX(LdBId,$M1808)),IF($N1808&lt;&gt;"",IF(INDEX(LdCBank,$N1808)="","—",INDEX(LdCBank,$N1808)),"")))</f>
        <v/>
      </c>
      <c r="E1808" s="21">
        <f>IF($L1808&lt;&gt;"",IF(INDEX(LdAAmt,$L1808)=0,"",INDEX(LdAAmt,$L1808)),IF($M1808&lt;&gt;"",IF(INDEX(LdBAmt,$M1808)=0,"",INDEX(LdBAmt,$M1808)),IF($N1808&lt;&gt;"",IF(INDEX(LdCDep,$N1808)=0,"",INDEX(LdCDep,$N1808)),"")))</f>
        <v/>
      </c>
      <c r="F1808" s="21">
        <f>IF(AND($L1808="",$M1808="",$N1808=""),"",IF($N1808="","",IF(INDEX(LdCWit,$N1808)=0,"",INDEX(LdCWit,$N1808))))</f>
        <v/>
      </c>
      <c r="G1808" s="31">
        <f>IF($B1808="","",IF($G1807="",0,$G1807)+IF($E1808="",0,$E1808)-IF($F1808="",0,$F1808))</f>
        <v/>
      </c>
      <c r="H1808" s="32">
        <f>IF(AND($L1808="",$M1808="",$N1808=""),"",IF($L1808&lt;&gt;"",IF(INDEX(LdANote,$L1808)="","—",INDEX(LdANote,$L1808)),IF($M1808&lt;&gt;"",IF(INDEX(LdBNote,$M1808)="","—",INDEX(LdBNote,$M1808)),IF($N1808&lt;&gt;"",IF(INDEX(LdCNote,$N1808)="","—",INDEX(LdCNote,$N1808)),""))))</f>
        <v/>
      </c>
      <c r="L1808">
        <f>IFERROR(MATCH($C$5&amp;"|"&amp;RIGHT("000000"&amp;1792,6),LdAKeyM,0),"")</f>
        <v/>
      </c>
      <c r="M1808">
        <f>IFERROR(MATCH($C$5&amp;"|"&amp;RIGHT("000000"&amp;1792,6),LdBKeyM,0),"")</f>
        <v/>
      </c>
      <c r="N1808">
        <f>IFERROR(MATCH($C$5&amp;"|"&amp;RIGHT("000000"&amp;1792,6),LdCKeyM,0),"")</f>
        <v/>
      </c>
    </row>
    <row r="1809">
      <c r="A1809" s="10" t="n">
        <v>1793</v>
      </c>
      <c r="B1809" s="14">
        <f>IF(AND($L1809="",$M1809="",$N1809=""),"",IF($L1809&lt;&gt;"",INDEX(LdADate,$L1809),IF($M1809&lt;&gt;"",INDEX(LdBDate,$M1809),INDEX(LdCDate,$N1809))))</f>
        <v/>
      </c>
      <c r="C1809" s="14">
        <f>IF($L1809&lt;&gt;"","دستمزد (فردی)",IF($M1809&lt;&gt;"","سهم از گروه "&amp;IFERROR(VLOOKUP(INDEX(LdBGroup,$M1809),WGTbl,2,0),INDEX(LdBGroup,$M1809)),IF($N1809&lt;&gt;"",IF(N(INDEX(LdCDep,$N1809))&gt;0,"بازگشت بانکی","پرداخت بانکی"),"")))</f>
        <v/>
      </c>
      <c r="D1809" s="14">
        <f>IF($L1809&lt;&gt;"",IF(INDEX(LdAId,$L1809)="","—",INDEX(LdAId,$L1809)),IF($M1809&lt;&gt;"",IF(INDEX(LdBId,$M1809)="","—",INDEX(LdBId,$M1809)),IF($N1809&lt;&gt;"",IF(INDEX(LdCBank,$N1809)="","—",INDEX(LdCBank,$N1809)),"")))</f>
        <v/>
      </c>
      <c r="E1809" s="16">
        <f>IF($L1809&lt;&gt;"",IF(INDEX(LdAAmt,$L1809)=0,"",INDEX(LdAAmt,$L1809)),IF($M1809&lt;&gt;"",IF(INDEX(LdBAmt,$M1809)=0,"",INDEX(LdBAmt,$M1809)),IF($N1809&lt;&gt;"",IF(INDEX(LdCDep,$N1809)=0,"",INDEX(LdCDep,$N1809)),"")))</f>
        <v/>
      </c>
      <c r="F1809" s="16">
        <f>IF(AND($L1809="",$M1809="",$N1809=""),"",IF($N1809="","",IF(INDEX(LdCWit,$N1809)=0,"",INDEX(LdCWit,$N1809))))</f>
        <v/>
      </c>
      <c r="G1809" s="29">
        <f>IF($B1809="","",IF($G1808="",0,$G1808)+IF($E1809="",0,$E1809)-IF($F1809="",0,$F1809))</f>
        <v/>
      </c>
      <c r="H1809" s="30">
        <f>IF(AND($L1809="",$M1809="",$N1809=""),"",IF($L1809&lt;&gt;"",IF(INDEX(LdANote,$L1809)="","—",INDEX(LdANote,$L1809)),IF($M1809&lt;&gt;"",IF(INDEX(LdBNote,$M1809)="","—",INDEX(LdBNote,$M1809)),IF($N1809&lt;&gt;"",IF(INDEX(LdCNote,$N1809)="","—",INDEX(LdCNote,$N1809)),""))))</f>
        <v/>
      </c>
      <c r="L1809">
        <f>IFERROR(MATCH($C$5&amp;"|"&amp;RIGHT("000000"&amp;1793,6),LdAKeyM,0),"")</f>
        <v/>
      </c>
      <c r="M1809">
        <f>IFERROR(MATCH($C$5&amp;"|"&amp;RIGHT("000000"&amp;1793,6),LdBKeyM,0),"")</f>
        <v/>
      </c>
      <c r="N1809">
        <f>IFERROR(MATCH($C$5&amp;"|"&amp;RIGHT("000000"&amp;1793,6),LdCKeyM,0),"")</f>
        <v/>
      </c>
    </row>
    <row r="1810">
      <c r="A1810" s="19" t="n">
        <v>1794</v>
      </c>
      <c r="B1810" s="20">
        <f>IF(AND($L1810="",$M1810="",$N1810=""),"",IF($L1810&lt;&gt;"",INDEX(LdADate,$L1810),IF($M1810&lt;&gt;"",INDEX(LdBDate,$M1810),INDEX(LdCDate,$N1810))))</f>
        <v/>
      </c>
      <c r="C1810" s="20">
        <f>IF($L1810&lt;&gt;"","دستمزد (فردی)",IF($M1810&lt;&gt;"","سهم از گروه "&amp;IFERROR(VLOOKUP(INDEX(LdBGroup,$M1810),WGTbl,2,0),INDEX(LdBGroup,$M1810)),IF($N1810&lt;&gt;"",IF(N(INDEX(LdCDep,$N1810))&gt;0,"بازگشت بانکی","پرداخت بانکی"),"")))</f>
        <v/>
      </c>
      <c r="D1810" s="20">
        <f>IF($L1810&lt;&gt;"",IF(INDEX(LdAId,$L1810)="","—",INDEX(LdAId,$L1810)),IF($M1810&lt;&gt;"",IF(INDEX(LdBId,$M1810)="","—",INDEX(LdBId,$M1810)),IF($N1810&lt;&gt;"",IF(INDEX(LdCBank,$N1810)="","—",INDEX(LdCBank,$N1810)),"")))</f>
        <v/>
      </c>
      <c r="E1810" s="21">
        <f>IF($L1810&lt;&gt;"",IF(INDEX(LdAAmt,$L1810)=0,"",INDEX(LdAAmt,$L1810)),IF($M1810&lt;&gt;"",IF(INDEX(LdBAmt,$M1810)=0,"",INDEX(LdBAmt,$M1810)),IF($N1810&lt;&gt;"",IF(INDEX(LdCDep,$N1810)=0,"",INDEX(LdCDep,$N1810)),"")))</f>
        <v/>
      </c>
      <c r="F1810" s="21">
        <f>IF(AND($L1810="",$M1810="",$N1810=""),"",IF($N1810="","",IF(INDEX(LdCWit,$N1810)=0,"",INDEX(LdCWit,$N1810))))</f>
        <v/>
      </c>
      <c r="G1810" s="31">
        <f>IF($B1810="","",IF($G1809="",0,$G1809)+IF($E1810="",0,$E1810)-IF($F1810="",0,$F1810))</f>
        <v/>
      </c>
      <c r="H1810" s="32">
        <f>IF(AND($L1810="",$M1810="",$N1810=""),"",IF($L1810&lt;&gt;"",IF(INDEX(LdANote,$L1810)="","—",INDEX(LdANote,$L1810)),IF($M1810&lt;&gt;"",IF(INDEX(LdBNote,$M1810)="","—",INDEX(LdBNote,$M1810)),IF($N1810&lt;&gt;"",IF(INDEX(LdCNote,$N1810)="","—",INDEX(LdCNote,$N1810)),""))))</f>
        <v/>
      </c>
      <c r="L1810">
        <f>IFERROR(MATCH($C$5&amp;"|"&amp;RIGHT("000000"&amp;1794,6),LdAKeyM,0),"")</f>
        <v/>
      </c>
      <c r="M1810">
        <f>IFERROR(MATCH($C$5&amp;"|"&amp;RIGHT("000000"&amp;1794,6),LdBKeyM,0),"")</f>
        <v/>
      </c>
      <c r="N1810">
        <f>IFERROR(MATCH($C$5&amp;"|"&amp;RIGHT("000000"&amp;1794,6),LdCKeyM,0),"")</f>
        <v/>
      </c>
    </row>
    <row r="1811">
      <c r="A1811" s="10" t="n">
        <v>1795</v>
      </c>
      <c r="B1811" s="14">
        <f>IF(AND($L1811="",$M1811="",$N1811=""),"",IF($L1811&lt;&gt;"",INDEX(LdADate,$L1811),IF($M1811&lt;&gt;"",INDEX(LdBDate,$M1811),INDEX(LdCDate,$N1811))))</f>
        <v/>
      </c>
      <c r="C1811" s="14">
        <f>IF($L1811&lt;&gt;"","دستمزد (فردی)",IF($M1811&lt;&gt;"","سهم از گروه "&amp;IFERROR(VLOOKUP(INDEX(LdBGroup,$M1811),WGTbl,2,0),INDEX(LdBGroup,$M1811)),IF($N1811&lt;&gt;"",IF(N(INDEX(LdCDep,$N1811))&gt;0,"بازگشت بانکی","پرداخت بانکی"),"")))</f>
        <v/>
      </c>
      <c r="D1811" s="14">
        <f>IF($L1811&lt;&gt;"",IF(INDEX(LdAId,$L1811)="","—",INDEX(LdAId,$L1811)),IF($M1811&lt;&gt;"",IF(INDEX(LdBId,$M1811)="","—",INDEX(LdBId,$M1811)),IF($N1811&lt;&gt;"",IF(INDEX(LdCBank,$N1811)="","—",INDEX(LdCBank,$N1811)),"")))</f>
        <v/>
      </c>
      <c r="E1811" s="16">
        <f>IF($L1811&lt;&gt;"",IF(INDEX(LdAAmt,$L1811)=0,"",INDEX(LdAAmt,$L1811)),IF($M1811&lt;&gt;"",IF(INDEX(LdBAmt,$M1811)=0,"",INDEX(LdBAmt,$M1811)),IF($N1811&lt;&gt;"",IF(INDEX(LdCDep,$N1811)=0,"",INDEX(LdCDep,$N1811)),"")))</f>
        <v/>
      </c>
      <c r="F1811" s="16">
        <f>IF(AND($L1811="",$M1811="",$N1811=""),"",IF($N1811="","",IF(INDEX(LdCWit,$N1811)=0,"",INDEX(LdCWit,$N1811))))</f>
        <v/>
      </c>
      <c r="G1811" s="29">
        <f>IF($B1811="","",IF($G1810="",0,$G1810)+IF($E1811="",0,$E1811)-IF($F1811="",0,$F1811))</f>
        <v/>
      </c>
      <c r="H1811" s="30">
        <f>IF(AND($L1811="",$M1811="",$N1811=""),"",IF($L1811&lt;&gt;"",IF(INDEX(LdANote,$L1811)="","—",INDEX(LdANote,$L1811)),IF($M1811&lt;&gt;"",IF(INDEX(LdBNote,$M1811)="","—",INDEX(LdBNote,$M1811)),IF($N1811&lt;&gt;"",IF(INDEX(LdCNote,$N1811)="","—",INDEX(LdCNote,$N1811)),""))))</f>
        <v/>
      </c>
      <c r="L1811">
        <f>IFERROR(MATCH($C$5&amp;"|"&amp;RIGHT("000000"&amp;1795,6),LdAKeyM,0),"")</f>
        <v/>
      </c>
      <c r="M1811">
        <f>IFERROR(MATCH($C$5&amp;"|"&amp;RIGHT("000000"&amp;1795,6),LdBKeyM,0),"")</f>
        <v/>
      </c>
      <c r="N1811">
        <f>IFERROR(MATCH($C$5&amp;"|"&amp;RIGHT("000000"&amp;1795,6),LdCKeyM,0),"")</f>
        <v/>
      </c>
    </row>
    <row r="1812">
      <c r="A1812" s="19" t="n">
        <v>1796</v>
      </c>
      <c r="B1812" s="20">
        <f>IF(AND($L1812="",$M1812="",$N1812=""),"",IF($L1812&lt;&gt;"",INDEX(LdADate,$L1812),IF($M1812&lt;&gt;"",INDEX(LdBDate,$M1812),INDEX(LdCDate,$N1812))))</f>
        <v/>
      </c>
      <c r="C1812" s="20">
        <f>IF($L1812&lt;&gt;"","دستمزد (فردی)",IF($M1812&lt;&gt;"","سهم از گروه "&amp;IFERROR(VLOOKUP(INDEX(LdBGroup,$M1812),WGTbl,2,0),INDEX(LdBGroup,$M1812)),IF($N1812&lt;&gt;"",IF(N(INDEX(LdCDep,$N1812))&gt;0,"بازگشت بانکی","پرداخت بانکی"),"")))</f>
        <v/>
      </c>
      <c r="D1812" s="20">
        <f>IF($L1812&lt;&gt;"",IF(INDEX(LdAId,$L1812)="","—",INDEX(LdAId,$L1812)),IF($M1812&lt;&gt;"",IF(INDEX(LdBId,$M1812)="","—",INDEX(LdBId,$M1812)),IF($N1812&lt;&gt;"",IF(INDEX(LdCBank,$N1812)="","—",INDEX(LdCBank,$N1812)),"")))</f>
        <v/>
      </c>
      <c r="E1812" s="21">
        <f>IF($L1812&lt;&gt;"",IF(INDEX(LdAAmt,$L1812)=0,"",INDEX(LdAAmt,$L1812)),IF($M1812&lt;&gt;"",IF(INDEX(LdBAmt,$M1812)=0,"",INDEX(LdBAmt,$M1812)),IF($N1812&lt;&gt;"",IF(INDEX(LdCDep,$N1812)=0,"",INDEX(LdCDep,$N1812)),"")))</f>
        <v/>
      </c>
      <c r="F1812" s="21">
        <f>IF(AND($L1812="",$M1812="",$N1812=""),"",IF($N1812="","",IF(INDEX(LdCWit,$N1812)=0,"",INDEX(LdCWit,$N1812))))</f>
        <v/>
      </c>
      <c r="G1812" s="31">
        <f>IF($B1812="","",IF($G1811="",0,$G1811)+IF($E1812="",0,$E1812)-IF($F1812="",0,$F1812))</f>
        <v/>
      </c>
      <c r="H1812" s="32">
        <f>IF(AND($L1812="",$M1812="",$N1812=""),"",IF($L1812&lt;&gt;"",IF(INDEX(LdANote,$L1812)="","—",INDEX(LdANote,$L1812)),IF($M1812&lt;&gt;"",IF(INDEX(LdBNote,$M1812)="","—",INDEX(LdBNote,$M1812)),IF($N1812&lt;&gt;"",IF(INDEX(LdCNote,$N1812)="","—",INDEX(LdCNote,$N1812)),""))))</f>
        <v/>
      </c>
      <c r="L1812">
        <f>IFERROR(MATCH($C$5&amp;"|"&amp;RIGHT("000000"&amp;1796,6),LdAKeyM,0),"")</f>
        <v/>
      </c>
      <c r="M1812">
        <f>IFERROR(MATCH($C$5&amp;"|"&amp;RIGHT("000000"&amp;1796,6),LdBKeyM,0),"")</f>
        <v/>
      </c>
      <c r="N1812">
        <f>IFERROR(MATCH($C$5&amp;"|"&amp;RIGHT("000000"&amp;1796,6),LdCKeyM,0),"")</f>
        <v/>
      </c>
    </row>
    <row r="1813">
      <c r="A1813" s="10" t="n">
        <v>1797</v>
      </c>
      <c r="B1813" s="14">
        <f>IF(AND($L1813="",$M1813="",$N1813=""),"",IF($L1813&lt;&gt;"",INDEX(LdADate,$L1813),IF($M1813&lt;&gt;"",INDEX(LdBDate,$M1813),INDEX(LdCDate,$N1813))))</f>
        <v/>
      </c>
      <c r="C1813" s="14">
        <f>IF($L1813&lt;&gt;"","دستمزد (فردی)",IF($M1813&lt;&gt;"","سهم از گروه "&amp;IFERROR(VLOOKUP(INDEX(LdBGroup,$M1813),WGTbl,2,0),INDEX(LdBGroup,$M1813)),IF($N1813&lt;&gt;"",IF(N(INDEX(LdCDep,$N1813))&gt;0,"بازگشت بانکی","پرداخت بانکی"),"")))</f>
        <v/>
      </c>
      <c r="D1813" s="14">
        <f>IF($L1813&lt;&gt;"",IF(INDEX(LdAId,$L1813)="","—",INDEX(LdAId,$L1813)),IF($M1813&lt;&gt;"",IF(INDEX(LdBId,$M1813)="","—",INDEX(LdBId,$M1813)),IF($N1813&lt;&gt;"",IF(INDEX(LdCBank,$N1813)="","—",INDEX(LdCBank,$N1813)),"")))</f>
        <v/>
      </c>
      <c r="E1813" s="16">
        <f>IF($L1813&lt;&gt;"",IF(INDEX(LdAAmt,$L1813)=0,"",INDEX(LdAAmt,$L1813)),IF($M1813&lt;&gt;"",IF(INDEX(LdBAmt,$M1813)=0,"",INDEX(LdBAmt,$M1813)),IF($N1813&lt;&gt;"",IF(INDEX(LdCDep,$N1813)=0,"",INDEX(LdCDep,$N1813)),"")))</f>
        <v/>
      </c>
      <c r="F1813" s="16">
        <f>IF(AND($L1813="",$M1813="",$N1813=""),"",IF($N1813="","",IF(INDEX(LdCWit,$N1813)=0,"",INDEX(LdCWit,$N1813))))</f>
        <v/>
      </c>
      <c r="G1813" s="29">
        <f>IF($B1813="","",IF($G1812="",0,$G1812)+IF($E1813="",0,$E1813)-IF($F1813="",0,$F1813))</f>
        <v/>
      </c>
      <c r="H1813" s="30">
        <f>IF(AND($L1813="",$M1813="",$N1813=""),"",IF($L1813&lt;&gt;"",IF(INDEX(LdANote,$L1813)="","—",INDEX(LdANote,$L1813)),IF($M1813&lt;&gt;"",IF(INDEX(LdBNote,$M1813)="","—",INDEX(LdBNote,$M1813)),IF($N1813&lt;&gt;"",IF(INDEX(LdCNote,$N1813)="","—",INDEX(LdCNote,$N1813)),""))))</f>
        <v/>
      </c>
      <c r="L1813">
        <f>IFERROR(MATCH($C$5&amp;"|"&amp;RIGHT("000000"&amp;1797,6),LdAKeyM,0),"")</f>
        <v/>
      </c>
      <c r="M1813">
        <f>IFERROR(MATCH($C$5&amp;"|"&amp;RIGHT("000000"&amp;1797,6),LdBKeyM,0),"")</f>
        <v/>
      </c>
      <c r="N1813">
        <f>IFERROR(MATCH($C$5&amp;"|"&amp;RIGHT("000000"&amp;1797,6),LdCKeyM,0),"")</f>
        <v/>
      </c>
    </row>
    <row r="1814">
      <c r="A1814" s="19" t="n">
        <v>1798</v>
      </c>
      <c r="B1814" s="20">
        <f>IF(AND($L1814="",$M1814="",$N1814=""),"",IF($L1814&lt;&gt;"",INDEX(LdADate,$L1814),IF($M1814&lt;&gt;"",INDEX(LdBDate,$M1814),INDEX(LdCDate,$N1814))))</f>
        <v/>
      </c>
      <c r="C1814" s="20">
        <f>IF($L1814&lt;&gt;"","دستمزد (فردی)",IF($M1814&lt;&gt;"","سهم از گروه "&amp;IFERROR(VLOOKUP(INDEX(LdBGroup,$M1814),WGTbl,2,0),INDEX(LdBGroup,$M1814)),IF($N1814&lt;&gt;"",IF(N(INDEX(LdCDep,$N1814))&gt;0,"بازگشت بانکی","پرداخت بانکی"),"")))</f>
        <v/>
      </c>
      <c r="D1814" s="20">
        <f>IF($L1814&lt;&gt;"",IF(INDEX(LdAId,$L1814)="","—",INDEX(LdAId,$L1814)),IF($M1814&lt;&gt;"",IF(INDEX(LdBId,$M1814)="","—",INDEX(LdBId,$M1814)),IF($N1814&lt;&gt;"",IF(INDEX(LdCBank,$N1814)="","—",INDEX(LdCBank,$N1814)),"")))</f>
        <v/>
      </c>
      <c r="E1814" s="21">
        <f>IF($L1814&lt;&gt;"",IF(INDEX(LdAAmt,$L1814)=0,"",INDEX(LdAAmt,$L1814)),IF($M1814&lt;&gt;"",IF(INDEX(LdBAmt,$M1814)=0,"",INDEX(LdBAmt,$M1814)),IF($N1814&lt;&gt;"",IF(INDEX(LdCDep,$N1814)=0,"",INDEX(LdCDep,$N1814)),"")))</f>
        <v/>
      </c>
      <c r="F1814" s="21">
        <f>IF(AND($L1814="",$M1814="",$N1814=""),"",IF($N1814="","",IF(INDEX(LdCWit,$N1814)=0,"",INDEX(LdCWit,$N1814))))</f>
        <v/>
      </c>
      <c r="G1814" s="31">
        <f>IF($B1814="","",IF($G1813="",0,$G1813)+IF($E1814="",0,$E1814)-IF($F1814="",0,$F1814))</f>
        <v/>
      </c>
      <c r="H1814" s="32">
        <f>IF(AND($L1814="",$M1814="",$N1814=""),"",IF($L1814&lt;&gt;"",IF(INDEX(LdANote,$L1814)="","—",INDEX(LdANote,$L1814)),IF($M1814&lt;&gt;"",IF(INDEX(LdBNote,$M1814)="","—",INDEX(LdBNote,$M1814)),IF($N1814&lt;&gt;"",IF(INDEX(LdCNote,$N1814)="","—",INDEX(LdCNote,$N1814)),""))))</f>
        <v/>
      </c>
      <c r="L1814">
        <f>IFERROR(MATCH($C$5&amp;"|"&amp;RIGHT("000000"&amp;1798,6),LdAKeyM,0),"")</f>
        <v/>
      </c>
      <c r="M1814">
        <f>IFERROR(MATCH($C$5&amp;"|"&amp;RIGHT("000000"&amp;1798,6),LdBKeyM,0),"")</f>
        <v/>
      </c>
      <c r="N1814">
        <f>IFERROR(MATCH($C$5&amp;"|"&amp;RIGHT("000000"&amp;1798,6),LdCKeyM,0),"")</f>
        <v/>
      </c>
    </row>
    <row r="1815">
      <c r="A1815" s="10" t="n">
        <v>1799</v>
      </c>
      <c r="B1815" s="14">
        <f>IF(AND($L1815="",$M1815="",$N1815=""),"",IF($L1815&lt;&gt;"",INDEX(LdADate,$L1815),IF($M1815&lt;&gt;"",INDEX(LdBDate,$M1815),INDEX(LdCDate,$N1815))))</f>
        <v/>
      </c>
      <c r="C1815" s="14">
        <f>IF($L1815&lt;&gt;"","دستمزد (فردی)",IF($M1815&lt;&gt;"","سهم از گروه "&amp;IFERROR(VLOOKUP(INDEX(LdBGroup,$M1815),WGTbl,2,0),INDEX(LdBGroup,$M1815)),IF($N1815&lt;&gt;"",IF(N(INDEX(LdCDep,$N1815))&gt;0,"بازگشت بانکی","پرداخت بانکی"),"")))</f>
        <v/>
      </c>
      <c r="D1815" s="14">
        <f>IF($L1815&lt;&gt;"",IF(INDEX(LdAId,$L1815)="","—",INDEX(LdAId,$L1815)),IF($M1815&lt;&gt;"",IF(INDEX(LdBId,$M1815)="","—",INDEX(LdBId,$M1815)),IF($N1815&lt;&gt;"",IF(INDEX(LdCBank,$N1815)="","—",INDEX(LdCBank,$N1815)),"")))</f>
        <v/>
      </c>
      <c r="E1815" s="16">
        <f>IF($L1815&lt;&gt;"",IF(INDEX(LdAAmt,$L1815)=0,"",INDEX(LdAAmt,$L1815)),IF($M1815&lt;&gt;"",IF(INDEX(LdBAmt,$M1815)=0,"",INDEX(LdBAmt,$M1815)),IF($N1815&lt;&gt;"",IF(INDEX(LdCDep,$N1815)=0,"",INDEX(LdCDep,$N1815)),"")))</f>
        <v/>
      </c>
      <c r="F1815" s="16">
        <f>IF(AND($L1815="",$M1815="",$N1815=""),"",IF($N1815="","",IF(INDEX(LdCWit,$N1815)=0,"",INDEX(LdCWit,$N1815))))</f>
        <v/>
      </c>
      <c r="G1815" s="29">
        <f>IF($B1815="","",IF($G1814="",0,$G1814)+IF($E1815="",0,$E1815)-IF($F1815="",0,$F1815))</f>
        <v/>
      </c>
      <c r="H1815" s="30">
        <f>IF(AND($L1815="",$M1815="",$N1815=""),"",IF($L1815&lt;&gt;"",IF(INDEX(LdANote,$L1815)="","—",INDEX(LdANote,$L1815)),IF($M1815&lt;&gt;"",IF(INDEX(LdBNote,$M1815)="","—",INDEX(LdBNote,$M1815)),IF($N1815&lt;&gt;"",IF(INDEX(LdCNote,$N1815)="","—",INDEX(LdCNote,$N1815)),""))))</f>
        <v/>
      </c>
      <c r="L1815">
        <f>IFERROR(MATCH($C$5&amp;"|"&amp;RIGHT("000000"&amp;1799,6),LdAKeyM,0),"")</f>
        <v/>
      </c>
      <c r="M1815">
        <f>IFERROR(MATCH($C$5&amp;"|"&amp;RIGHT("000000"&amp;1799,6),LdBKeyM,0),"")</f>
        <v/>
      </c>
      <c r="N1815">
        <f>IFERROR(MATCH($C$5&amp;"|"&amp;RIGHT("000000"&amp;1799,6),LdCKeyM,0),"")</f>
        <v/>
      </c>
    </row>
    <row r="1816">
      <c r="A1816" s="19" t="n">
        <v>1800</v>
      </c>
      <c r="B1816" s="20">
        <f>IF(AND($L1816="",$M1816="",$N1816=""),"",IF($L1816&lt;&gt;"",INDEX(LdADate,$L1816),IF($M1816&lt;&gt;"",INDEX(LdBDate,$M1816),INDEX(LdCDate,$N1816))))</f>
        <v/>
      </c>
      <c r="C1816" s="20">
        <f>IF($L1816&lt;&gt;"","دستمزد (فردی)",IF($M1816&lt;&gt;"","سهم از گروه "&amp;IFERROR(VLOOKUP(INDEX(LdBGroup,$M1816),WGTbl,2,0),INDEX(LdBGroup,$M1816)),IF($N1816&lt;&gt;"",IF(N(INDEX(LdCDep,$N1816))&gt;0,"بازگشت بانکی","پرداخت بانکی"),"")))</f>
        <v/>
      </c>
      <c r="D1816" s="20">
        <f>IF($L1816&lt;&gt;"",IF(INDEX(LdAId,$L1816)="","—",INDEX(LdAId,$L1816)),IF($M1816&lt;&gt;"",IF(INDEX(LdBId,$M1816)="","—",INDEX(LdBId,$M1816)),IF($N1816&lt;&gt;"",IF(INDEX(LdCBank,$N1816)="","—",INDEX(LdCBank,$N1816)),"")))</f>
        <v/>
      </c>
      <c r="E1816" s="21">
        <f>IF($L1816&lt;&gt;"",IF(INDEX(LdAAmt,$L1816)=0,"",INDEX(LdAAmt,$L1816)),IF($M1816&lt;&gt;"",IF(INDEX(LdBAmt,$M1816)=0,"",INDEX(LdBAmt,$M1816)),IF($N1816&lt;&gt;"",IF(INDEX(LdCDep,$N1816)=0,"",INDEX(LdCDep,$N1816)),"")))</f>
        <v/>
      </c>
      <c r="F1816" s="21">
        <f>IF(AND($L1816="",$M1816="",$N1816=""),"",IF($N1816="","",IF(INDEX(LdCWit,$N1816)=0,"",INDEX(LdCWit,$N1816))))</f>
        <v/>
      </c>
      <c r="G1816" s="31">
        <f>IF($B1816="","",IF($G1815="",0,$G1815)+IF($E1816="",0,$E1816)-IF($F1816="",0,$F1816))</f>
        <v/>
      </c>
      <c r="H1816" s="32">
        <f>IF(AND($L1816="",$M1816="",$N1816=""),"",IF($L1816&lt;&gt;"",IF(INDEX(LdANote,$L1816)="","—",INDEX(LdANote,$L1816)),IF($M1816&lt;&gt;"",IF(INDEX(LdBNote,$M1816)="","—",INDEX(LdBNote,$M1816)),IF($N1816&lt;&gt;"",IF(INDEX(LdCNote,$N1816)="","—",INDEX(LdCNote,$N1816)),""))))</f>
        <v/>
      </c>
      <c r="L1816">
        <f>IFERROR(MATCH($C$5&amp;"|"&amp;RIGHT("000000"&amp;1800,6),LdAKeyM,0),"")</f>
        <v/>
      </c>
      <c r="M1816">
        <f>IFERROR(MATCH($C$5&amp;"|"&amp;RIGHT("000000"&amp;1800,6),LdBKeyM,0),"")</f>
        <v/>
      </c>
      <c r="N1816">
        <f>IFERROR(MATCH($C$5&amp;"|"&amp;RIGHT("000000"&amp;1800,6),LdCKeyM,0),"")</f>
        <v/>
      </c>
    </row>
    <row r="1817">
      <c r="A1817" s="10" t="n">
        <v>1801</v>
      </c>
      <c r="B1817" s="14">
        <f>IF(AND($L1817="",$M1817="",$N1817=""),"",IF($L1817&lt;&gt;"",INDEX(LdADate,$L1817),IF($M1817&lt;&gt;"",INDEX(LdBDate,$M1817),INDEX(LdCDate,$N1817))))</f>
        <v/>
      </c>
      <c r="C1817" s="14">
        <f>IF($L1817&lt;&gt;"","دستمزد (فردی)",IF($M1817&lt;&gt;"","سهم از گروه "&amp;IFERROR(VLOOKUP(INDEX(LdBGroup,$M1817),WGTbl,2,0),INDEX(LdBGroup,$M1817)),IF($N1817&lt;&gt;"",IF(N(INDEX(LdCDep,$N1817))&gt;0,"بازگشت بانکی","پرداخت بانکی"),"")))</f>
        <v/>
      </c>
      <c r="D1817" s="14">
        <f>IF($L1817&lt;&gt;"",IF(INDEX(LdAId,$L1817)="","—",INDEX(LdAId,$L1817)),IF($M1817&lt;&gt;"",IF(INDEX(LdBId,$M1817)="","—",INDEX(LdBId,$M1817)),IF($N1817&lt;&gt;"",IF(INDEX(LdCBank,$N1817)="","—",INDEX(LdCBank,$N1817)),"")))</f>
        <v/>
      </c>
      <c r="E1817" s="16">
        <f>IF($L1817&lt;&gt;"",IF(INDEX(LdAAmt,$L1817)=0,"",INDEX(LdAAmt,$L1817)),IF($M1817&lt;&gt;"",IF(INDEX(LdBAmt,$M1817)=0,"",INDEX(LdBAmt,$M1817)),IF($N1817&lt;&gt;"",IF(INDEX(LdCDep,$N1817)=0,"",INDEX(LdCDep,$N1817)),"")))</f>
        <v/>
      </c>
      <c r="F1817" s="16">
        <f>IF(AND($L1817="",$M1817="",$N1817=""),"",IF($N1817="","",IF(INDEX(LdCWit,$N1817)=0,"",INDEX(LdCWit,$N1817))))</f>
        <v/>
      </c>
      <c r="G1817" s="29">
        <f>IF($B1817="","",IF($G1816="",0,$G1816)+IF($E1817="",0,$E1817)-IF($F1817="",0,$F1817))</f>
        <v/>
      </c>
      <c r="H1817" s="30">
        <f>IF(AND($L1817="",$M1817="",$N1817=""),"",IF($L1817&lt;&gt;"",IF(INDEX(LdANote,$L1817)="","—",INDEX(LdANote,$L1817)),IF($M1817&lt;&gt;"",IF(INDEX(LdBNote,$M1817)="","—",INDEX(LdBNote,$M1817)),IF($N1817&lt;&gt;"",IF(INDEX(LdCNote,$N1817)="","—",INDEX(LdCNote,$N1817)),""))))</f>
        <v/>
      </c>
      <c r="L1817">
        <f>IFERROR(MATCH($C$5&amp;"|"&amp;RIGHT("000000"&amp;1801,6),LdAKeyM,0),"")</f>
        <v/>
      </c>
      <c r="M1817">
        <f>IFERROR(MATCH($C$5&amp;"|"&amp;RIGHT("000000"&amp;1801,6),LdBKeyM,0),"")</f>
        <v/>
      </c>
      <c r="N1817">
        <f>IFERROR(MATCH($C$5&amp;"|"&amp;RIGHT("000000"&amp;1801,6),LdCKeyM,0),"")</f>
        <v/>
      </c>
    </row>
    <row r="1818">
      <c r="A1818" s="19" t="n">
        <v>1802</v>
      </c>
      <c r="B1818" s="20">
        <f>IF(AND($L1818="",$M1818="",$N1818=""),"",IF($L1818&lt;&gt;"",INDEX(LdADate,$L1818),IF($M1818&lt;&gt;"",INDEX(LdBDate,$M1818),INDEX(LdCDate,$N1818))))</f>
        <v/>
      </c>
      <c r="C1818" s="20">
        <f>IF($L1818&lt;&gt;"","دستمزد (فردی)",IF($M1818&lt;&gt;"","سهم از گروه "&amp;IFERROR(VLOOKUP(INDEX(LdBGroup,$M1818),WGTbl,2,0),INDEX(LdBGroup,$M1818)),IF($N1818&lt;&gt;"",IF(N(INDEX(LdCDep,$N1818))&gt;0,"بازگشت بانکی","پرداخت بانکی"),"")))</f>
        <v/>
      </c>
      <c r="D1818" s="20">
        <f>IF($L1818&lt;&gt;"",IF(INDEX(LdAId,$L1818)="","—",INDEX(LdAId,$L1818)),IF($M1818&lt;&gt;"",IF(INDEX(LdBId,$M1818)="","—",INDEX(LdBId,$M1818)),IF($N1818&lt;&gt;"",IF(INDEX(LdCBank,$N1818)="","—",INDEX(LdCBank,$N1818)),"")))</f>
        <v/>
      </c>
      <c r="E1818" s="21">
        <f>IF($L1818&lt;&gt;"",IF(INDEX(LdAAmt,$L1818)=0,"",INDEX(LdAAmt,$L1818)),IF($M1818&lt;&gt;"",IF(INDEX(LdBAmt,$M1818)=0,"",INDEX(LdBAmt,$M1818)),IF($N1818&lt;&gt;"",IF(INDEX(LdCDep,$N1818)=0,"",INDEX(LdCDep,$N1818)),"")))</f>
        <v/>
      </c>
      <c r="F1818" s="21">
        <f>IF(AND($L1818="",$M1818="",$N1818=""),"",IF($N1818="","",IF(INDEX(LdCWit,$N1818)=0,"",INDEX(LdCWit,$N1818))))</f>
        <v/>
      </c>
      <c r="G1818" s="31">
        <f>IF($B1818="","",IF($G1817="",0,$G1817)+IF($E1818="",0,$E1818)-IF($F1818="",0,$F1818))</f>
        <v/>
      </c>
      <c r="H1818" s="32">
        <f>IF(AND($L1818="",$M1818="",$N1818=""),"",IF($L1818&lt;&gt;"",IF(INDEX(LdANote,$L1818)="","—",INDEX(LdANote,$L1818)),IF($M1818&lt;&gt;"",IF(INDEX(LdBNote,$M1818)="","—",INDEX(LdBNote,$M1818)),IF($N1818&lt;&gt;"",IF(INDEX(LdCNote,$N1818)="","—",INDEX(LdCNote,$N1818)),""))))</f>
        <v/>
      </c>
      <c r="L1818">
        <f>IFERROR(MATCH($C$5&amp;"|"&amp;RIGHT("000000"&amp;1802,6),LdAKeyM,0),"")</f>
        <v/>
      </c>
      <c r="M1818">
        <f>IFERROR(MATCH($C$5&amp;"|"&amp;RIGHT("000000"&amp;1802,6),LdBKeyM,0),"")</f>
        <v/>
      </c>
      <c r="N1818">
        <f>IFERROR(MATCH($C$5&amp;"|"&amp;RIGHT("000000"&amp;1802,6),LdCKeyM,0),"")</f>
        <v/>
      </c>
    </row>
    <row r="1819">
      <c r="A1819" s="10" t="n">
        <v>1803</v>
      </c>
      <c r="B1819" s="14">
        <f>IF(AND($L1819="",$M1819="",$N1819=""),"",IF($L1819&lt;&gt;"",INDEX(LdADate,$L1819),IF($M1819&lt;&gt;"",INDEX(LdBDate,$M1819),INDEX(LdCDate,$N1819))))</f>
        <v/>
      </c>
      <c r="C1819" s="14">
        <f>IF($L1819&lt;&gt;"","دستمزد (فردی)",IF($M1819&lt;&gt;"","سهم از گروه "&amp;IFERROR(VLOOKUP(INDEX(LdBGroup,$M1819),WGTbl,2,0),INDEX(LdBGroup,$M1819)),IF($N1819&lt;&gt;"",IF(N(INDEX(LdCDep,$N1819))&gt;0,"بازگشت بانکی","پرداخت بانکی"),"")))</f>
        <v/>
      </c>
      <c r="D1819" s="14">
        <f>IF($L1819&lt;&gt;"",IF(INDEX(LdAId,$L1819)="","—",INDEX(LdAId,$L1819)),IF($M1819&lt;&gt;"",IF(INDEX(LdBId,$M1819)="","—",INDEX(LdBId,$M1819)),IF($N1819&lt;&gt;"",IF(INDEX(LdCBank,$N1819)="","—",INDEX(LdCBank,$N1819)),"")))</f>
        <v/>
      </c>
      <c r="E1819" s="16">
        <f>IF($L1819&lt;&gt;"",IF(INDEX(LdAAmt,$L1819)=0,"",INDEX(LdAAmt,$L1819)),IF($M1819&lt;&gt;"",IF(INDEX(LdBAmt,$M1819)=0,"",INDEX(LdBAmt,$M1819)),IF($N1819&lt;&gt;"",IF(INDEX(LdCDep,$N1819)=0,"",INDEX(LdCDep,$N1819)),"")))</f>
        <v/>
      </c>
      <c r="F1819" s="16">
        <f>IF(AND($L1819="",$M1819="",$N1819=""),"",IF($N1819="","",IF(INDEX(LdCWit,$N1819)=0,"",INDEX(LdCWit,$N1819))))</f>
        <v/>
      </c>
      <c r="G1819" s="29">
        <f>IF($B1819="","",IF($G1818="",0,$G1818)+IF($E1819="",0,$E1819)-IF($F1819="",0,$F1819))</f>
        <v/>
      </c>
      <c r="H1819" s="30">
        <f>IF(AND($L1819="",$M1819="",$N1819=""),"",IF($L1819&lt;&gt;"",IF(INDEX(LdANote,$L1819)="","—",INDEX(LdANote,$L1819)),IF($M1819&lt;&gt;"",IF(INDEX(LdBNote,$M1819)="","—",INDEX(LdBNote,$M1819)),IF($N1819&lt;&gt;"",IF(INDEX(LdCNote,$N1819)="","—",INDEX(LdCNote,$N1819)),""))))</f>
        <v/>
      </c>
      <c r="L1819">
        <f>IFERROR(MATCH($C$5&amp;"|"&amp;RIGHT("000000"&amp;1803,6),LdAKeyM,0),"")</f>
        <v/>
      </c>
      <c r="M1819">
        <f>IFERROR(MATCH($C$5&amp;"|"&amp;RIGHT("000000"&amp;1803,6),LdBKeyM,0),"")</f>
        <v/>
      </c>
      <c r="N1819">
        <f>IFERROR(MATCH($C$5&amp;"|"&amp;RIGHT("000000"&amp;1803,6),LdCKeyM,0),"")</f>
        <v/>
      </c>
    </row>
    <row r="1820">
      <c r="A1820" s="19" t="n">
        <v>1804</v>
      </c>
      <c r="B1820" s="20">
        <f>IF(AND($L1820="",$M1820="",$N1820=""),"",IF($L1820&lt;&gt;"",INDEX(LdADate,$L1820),IF($M1820&lt;&gt;"",INDEX(LdBDate,$M1820),INDEX(LdCDate,$N1820))))</f>
        <v/>
      </c>
      <c r="C1820" s="20">
        <f>IF($L1820&lt;&gt;"","دستمزد (فردی)",IF($M1820&lt;&gt;"","سهم از گروه "&amp;IFERROR(VLOOKUP(INDEX(LdBGroup,$M1820),WGTbl,2,0),INDEX(LdBGroup,$M1820)),IF($N1820&lt;&gt;"",IF(N(INDEX(LdCDep,$N1820))&gt;0,"بازگشت بانکی","پرداخت بانکی"),"")))</f>
        <v/>
      </c>
      <c r="D1820" s="20">
        <f>IF($L1820&lt;&gt;"",IF(INDEX(LdAId,$L1820)="","—",INDEX(LdAId,$L1820)),IF($M1820&lt;&gt;"",IF(INDEX(LdBId,$M1820)="","—",INDEX(LdBId,$M1820)),IF($N1820&lt;&gt;"",IF(INDEX(LdCBank,$N1820)="","—",INDEX(LdCBank,$N1820)),"")))</f>
        <v/>
      </c>
      <c r="E1820" s="21">
        <f>IF($L1820&lt;&gt;"",IF(INDEX(LdAAmt,$L1820)=0,"",INDEX(LdAAmt,$L1820)),IF($M1820&lt;&gt;"",IF(INDEX(LdBAmt,$M1820)=0,"",INDEX(LdBAmt,$M1820)),IF($N1820&lt;&gt;"",IF(INDEX(LdCDep,$N1820)=0,"",INDEX(LdCDep,$N1820)),"")))</f>
        <v/>
      </c>
      <c r="F1820" s="21">
        <f>IF(AND($L1820="",$M1820="",$N1820=""),"",IF($N1820="","",IF(INDEX(LdCWit,$N1820)=0,"",INDEX(LdCWit,$N1820))))</f>
        <v/>
      </c>
      <c r="G1820" s="31">
        <f>IF($B1820="","",IF($G1819="",0,$G1819)+IF($E1820="",0,$E1820)-IF($F1820="",0,$F1820))</f>
        <v/>
      </c>
      <c r="H1820" s="32">
        <f>IF(AND($L1820="",$M1820="",$N1820=""),"",IF($L1820&lt;&gt;"",IF(INDEX(LdANote,$L1820)="","—",INDEX(LdANote,$L1820)),IF($M1820&lt;&gt;"",IF(INDEX(LdBNote,$M1820)="","—",INDEX(LdBNote,$M1820)),IF($N1820&lt;&gt;"",IF(INDEX(LdCNote,$N1820)="","—",INDEX(LdCNote,$N1820)),""))))</f>
        <v/>
      </c>
      <c r="L1820">
        <f>IFERROR(MATCH($C$5&amp;"|"&amp;RIGHT("000000"&amp;1804,6),LdAKeyM,0),"")</f>
        <v/>
      </c>
      <c r="M1820">
        <f>IFERROR(MATCH($C$5&amp;"|"&amp;RIGHT("000000"&amp;1804,6),LdBKeyM,0),"")</f>
        <v/>
      </c>
      <c r="N1820">
        <f>IFERROR(MATCH($C$5&amp;"|"&amp;RIGHT("000000"&amp;1804,6),LdCKeyM,0),"")</f>
        <v/>
      </c>
    </row>
    <row r="1821">
      <c r="A1821" s="10" t="n">
        <v>1805</v>
      </c>
      <c r="B1821" s="14">
        <f>IF(AND($L1821="",$M1821="",$N1821=""),"",IF($L1821&lt;&gt;"",INDEX(LdADate,$L1821),IF($M1821&lt;&gt;"",INDEX(LdBDate,$M1821),INDEX(LdCDate,$N1821))))</f>
        <v/>
      </c>
      <c r="C1821" s="14">
        <f>IF($L1821&lt;&gt;"","دستمزد (فردی)",IF($M1821&lt;&gt;"","سهم از گروه "&amp;IFERROR(VLOOKUP(INDEX(LdBGroup,$M1821),WGTbl,2,0),INDEX(LdBGroup,$M1821)),IF($N1821&lt;&gt;"",IF(N(INDEX(LdCDep,$N1821))&gt;0,"بازگشت بانکی","پرداخت بانکی"),"")))</f>
        <v/>
      </c>
      <c r="D1821" s="14">
        <f>IF($L1821&lt;&gt;"",IF(INDEX(LdAId,$L1821)="","—",INDEX(LdAId,$L1821)),IF($M1821&lt;&gt;"",IF(INDEX(LdBId,$M1821)="","—",INDEX(LdBId,$M1821)),IF($N1821&lt;&gt;"",IF(INDEX(LdCBank,$N1821)="","—",INDEX(LdCBank,$N1821)),"")))</f>
        <v/>
      </c>
      <c r="E1821" s="16">
        <f>IF($L1821&lt;&gt;"",IF(INDEX(LdAAmt,$L1821)=0,"",INDEX(LdAAmt,$L1821)),IF($M1821&lt;&gt;"",IF(INDEX(LdBAmt,$M1821)=0,"",INDEX(LdBAmt,$M1821)),IF($N1821&lt;&gt;"",IF(INDEX(LdCDep,$N1821)=0,"",INDEX(LdCDep,$N1821)),"")))</f>
        <v/>
      </c>
      <c r="F1821" s="16">
        <f>IF(AND($L1821="",$M1821="",$N1821=""),"",IF($N1821="","",IF(INDEX(LdCWit,$N1821)=0,"",INDEX(LdCWit,$N1821))))</f>
        <v/>
      </c>
      <c r="G1821" s="29">
        <f>IF($B1821="","",IF($G1820="",0,$G1820)+IF($E1821="",0,$E1821)-IF($F1821="",0,$F1821))</f>
        <v/>
      </c>
      <c r="H1821" s="30">
        <f>IF(AND($L1821="",$M1821="",$N1821=""),"",IF($L1821&lt;&gt;"",IF(INDEX(LdANote,$L1821)="","—",INDEX(LdANote,$L1821)),IF($M1821&lt;&gt;"",IF(INDEX(LdBNote,$M1821)="","—",INDEX(LdBNote,$M1821)),IF($N1821&lt;&gt;"",IF(INDEX(LdCNote,$N1821)="","—",INDEX(LdCNote,$N1821)),""))))</f>
        <v/>
      </c>
      <c r="L1821">
        <f>IFERROR(MATCH($C$5&amp;"|"&amp;RIGHT("000000"&amp;1805,6),LdAKeyM,0),"")</f>
        <v/>
      </c>
      <c r="M1821">
        <f>IFERROR(MATCH($C$5&amp;"|"&amp;RIGHT("000000"&amp;1805,6),LdBKeyM,0),"")</f>
        <v/>
      </c>
      <c r="N1821">
        <f>IFERROR(MATCH($C$5&amp;"|"&amp;RIGHT("000000"&amp;1805,6),LdCKeyM,0),"")</f>
        <v/>
      </c>
    </row>
    <row r="1822">
      <c r="A1822" s="19" t="n">
        <v>1806</v>
      </c>
      <c r="B1822" s="20">
        <f>IF(AND($L1822="",$M1822="",$N1822=""),"",IF($L1822&lt;&gt;"",INDEX(LdADate,$L1822),IF($M1822&lt;&gt;"",INDEX(LdBDate,$M1822),INDEX(LdCDate,$N1822))))</f>
        <v/>
      </c>
      <c r="C1822" s="20">
        <f>IF($L1822&lt;&gt;"","دستمزد (فردی)",IF($M1822&lt;&gt;"","سهم از گروه "&amp;IFERROR(VLOOKUP(INDEX(LdBGroup,$M1822),WGTbl,2,0),INDEX(LdBGroup,$M1822)),IF($N1822&lt;&gt;"",IF(N(INDEX(LdCDep,$N1822))&gt;0,"بازگشت بانکی","پرداخت بانکی"),"")))</f>
        <v/>
      </c>
      <c r="D1822" s="20">
        <f>IF($L1822&lt;&gt;"",IF(INDEX(LdAId,$L1822)="","—",INDEX(LdAId,$L1822)),IF($M1822&lt;&gt;"",IF(INDEX(LdBId,$M1822)="","—",INDEX(LdBId,$M1822)),IF($N1822&lt;&gt;"",IF(INDEX(LdCBank,$N1822)="","—",INDEX(LdCBank,$N1822)),"")))</f>
        <v/>
      </c>
      <c r="E1822" s="21">
        <f>IF($L1822&lt;&gt;"",IF(INDEX(LdAAmt,$L1822)=0,"",INDEX(LdAAmt,$L1822)),IF($M1822&lt;&gt;"",IF(INDEX(LdBAmt,$M1822)=0,"",INDEX(LdBAmt,$M1822)),IF($N1822&lt;&gt;"",IF(INDEX(LdCDep,$N1822)=0,"",INDEX(LdCDep,$N1822)),"")))</f>
        <v/>
      </c>
      <c r="F1822" s="21">
        <f>IF(AND($L1822="",$M1822="",$N1822=""),"",IF($N1822="","",IF(INDEX(LdCWit,$N1822)=0,"",INDEX(LdCWit,$N1822))))</f>
        <v/>
      </c>
      <c r="G1822" s="31">
        <f>IF($B1822="","",IF($G1821="",0,$G1821)+IF($E1822="",0,$E1822)-IF($F1822="",0,$F1822))</f>
        <v/>
      </c>
      <c r="H1822" s="32">
        <f>IF(AND($L1822="",$M1822="",$N1822=""),"",IF($L1822&lt;&gt;"",IF(INDEX(LdANote,$L1822)="","—",INDEX(LdANote,$L1822)),IF($M1822&lt;&gt;"",IF(INDEX(LdBNote,$M1822)="","—",INDEX(LdBNote,$M1822)),IF($N1822&lt;&gt;"",IF(INDEX(LdCNote,$N1822)="","—",INDEX(LdCNote,$N1822)),""))))</f>
        <v/>
      </c>
      <c r="L1822">
        <f>IFERROR(MATCH($C$5&amp;"|"&amp;RIGHT("000000"&amp;1806,6),LdAKeyM,0),"")</f>
        <v/>
      </c>
      <c r="M1822">
        <f>IFERROR(MATCH($C$5&amp;"|"&amp;RIGHT("000000"&amp;1806,6),LdBKeyM,0),"")</f>
        <v/>
      </c>
      <c r="N1822">
        <f>IFERROR(MATCH($C$5&amp;"|"&amp;RIGHT("000000"&amp;1806,6),LdCKeyM,0),"")</f>
        <v/>
      </c>
    </row>
    <row r="1823">
      <c r="A1823" s="10" t="n">
        <v>1807</v>
      </c>
      <c r="B1823" s="14">
        <f>IF(AND($L1823="",$M1823="",$N1823=""),"",IF($L1823&lt;&gt;"",INDEX(LdADate,$L1823),IF($M1823&lt;&gt;"",INDEX(LdBDate,$M1823),INDEX(LdCDate,$N1823))))</f>
        <v/>
      </c>
      <c r="C1823" s="14">
        <f>IF($L1823&lt;&gt;"","دستمزد (فردی)",IF($M1823&lt;&gt;"","سهم از گروه "&amp;IFERROR(VLOOKUP(INDEX(LdBGroup,$M1823),WGTbl,2,0),INDEX(LdBGroup,$M1823)),IF($N1823&lt;&gt;"",IF(N(INDEX(LdCDep,$N1823))&gt;0,"بازگشت بانکی","پرداخت بانکی"),"")))</f>
        <v/>
      </c>
      <c r="D1823" s="14">
        <f>IF($L1823&lt;&gt;"",IF(INDEX(LdAId,$L1823)="","—",INDEX(LdAId,$L1823)),IF($M1823&lt;&gt;"",IF(INDEX(LdBId,$M1823)="","—",INDEX(LdBId,$M1823)),IF($N1823&lt;&gt;"",IF(INDEX(LdCBank,$N1823)="","—",INDEX(LdCBank,$N1823)),"")))</f>
        <v/>
      </c>
      <c r="E1823" s="16">
        <f>IF($L1823&lt;&gt;"",IF(INDEX(LdAAmt,$L1823)=0,"",INDEX(LdAAmt,$L1823)),IF($M1823&lt;&gt;"",IF(INDEX(LdBAmt,$M1823)=0,"",INDEX(LdBAmt,$M1823)),IF($N1823&lt;&gt;"",IF(INDEX(LdCDep,$N1823)=0,"",INDEX(LdCDep,$N1823)),"")))</f>
        <v/>
      </c>
      <c r="F1823" s="16">
        <f>IF(AND($L1823="",$M1823="",$N1823=""),"",IF($N1823="","",IF(INDEX(LdCWit,$N1823)=0,"",INDEX(LdCWit,$N1823))))</f>
        <v/>
      </c>
      <c r="G1823" s="29">
        <f>IF($B1823="","",IF($G1822="",0,$G1822)+IF($E1823="",0,$E1823)-IF($F1823="",0,$F1823))</f>
        <v/>
      </c>
      <c r="H1823" s="30">
        <f>IF(AND($L1823="",$M1823="",$N1823=""),"",IF($L1823&lt;&gt;"",IF(INDEX(LdANote,$L1823)="","—",INDEX(LdANote,$L1823)),IF($M1823&lt;&gt;"",IF(INDEX(LdBNote,$M1823)="","—",INDEX(LdBNote,$M1823)),IF($N1823&lt;&gt;"",IF(INDEX(LdCNote,$N1823)="","—",INDEX(LdCNote,$N1823)),""))))</f>
        <v/>
      </c>
      <c r="L1823">
        <f>IFERROR(MATCH($C$5&amp;"|"&amp;RIGHT("000000"&amp;1807,6),LdAKeyM,0),"")</f>
        <v/>
      </c>
      <c r="M1823">
        <f>IFERROR(MATCH($C$5&amp;"|"&amp;RIGHT("000000"&amp;1807,6),LdBKeyM,0),"")</f>
        <v/>
      </c>
      <c r="N1823">
        <f>IFERROR(MATCH($C$5&amp;"|"&amp;RIGHT("000000"&amp;1807,6),LdCKeyM,0),"")</f>
        <v/>
      </c>
    </row>
    <row r="1824">
      <c r="A1824" s="19" t="n">
        <v>1808</v>
      </c>
      <c r="B1824" s="20">
        <f>IF(AND($L1824="",$M1824="",$N1824=""),"",IF($L1824&lt;&gt;"",INDEX(LdADate,$L1824),IF($M1824&lt;&gt;"",INDEX(LdBDate,$M1824),INDEX(LdCDate,$N1824))))</f>
        <v/>
      </c>
      <c r="C1824" s="20">
        <f>IF($L1824&lt;&gt;"","دستمزد (فردی)",IF($M1824&lt;&gt;"","سهم از گروه "&amp;IFERROR(VLOOKUP(INDEX(LdBGroup,$M1824),WGTbl,2,0),INDEX(LdBGroup,$M1824)),IF($N1824&lt;&gt;"",IF(N(INDEX(LdCDep,$N1824))&gt;0,"بازگشت بانکی","پرداخت بانکی"),"")))</f>
        <v/>
      </c>
      <c r="D1824" s="20">
        <f>IF($L1824&lt;&gt;"",IF(INDEX(LdAId,$L1824)="","—",INDEX(LdAId,$L1824)),IF($M1824&lt;&gt;"",IF(INDEX(LdBId,$M1824)="","—",INDEX(LdBId,$M1824)),IF($N1824&lt;&gt;"",IF(INDEX(LdCBank,$N1824)="","—",INDEX(LdCBank,$N1824)),"")))</f>
        <v/>
      </c>
      <c r="E1824" s="21">
        <f>IF($L1824&lt;&gt;"",IF(INDEX(LdAAmt,$L1824)=0,"",INDEX(LdAAmt,$L1824)),IF($M1824&lt;&gt;"",IF(INDEX(LdBAmt,$M1824)=0,"",INDEX(LdBAmt,$M1824)),IF($N1824&lt;&gt;"",IF(INDEX(LdCDep,$N1824)=0,"",INDEX(LdCDep,$N1824)),"")))</f>
        <v/>
      </c>
      <c r="F1824" s="21">
        <f>IF(AND($L1824="",$M1824="",$N1824=""),"",IF($N1824="","",IF(INDEX(LdCWit,$N1824)=0,"",INDEX(LdCWit,$N1824))))</f>
        <v/>
      </c>
      <c r="G1824" s="31">
        <f>IF($B1824="","",IF($G1823="",0,$G1823)+IF($E1824="",0,$E1824)-IF($F1824="",0,$F1824))</f>
        <v/>
      </c>
      <c r="H1824" s="32">
        <f>IF(AND($L1824="",$M1824="",$N1824=""),"",IF($L1824&lt;&gt;"",IF(INDEX(LdANote,$L1824)="","—",INDEX(LdANote,$L1824)),IF($M1824&lt;&gt;"",IF(INDEX(LdBNote,$M1824)="","—",INDEX(LdBNote,$M1824)),IF($N1824&lt;&gt;"",IF(INDEX(LdCNote,$N1824)="","—",INDEX(LdCNote,$N1824)),""))))</f>
        <v/>
      </c>
      <c r="L1824">
        <f>IFERROR(MATCH($C$5&amp;"|"&amp;RIGHT("000000"&amp;1808,6),LdAKeyM,0),"")</f>
        <v/>
      </c>
      <c r="M1824">
        <f>IFERROR(MATCH($C$5&amp;"|"&amp;RIGHT("000000"&amp;1808,6),LdBKeyM,0),"")</f>
        <v/>
      </c>
      <c r="N1824">
        <f>IFERROR(MATCH($C$5&amp;"|"&amp;RIGHT("000000"&amp;1808,6),LdCKeyM,0),"")</f>
        <v/>
      </c>
    </row>
    <row r="1825">
      <c r="A1825" s="10" t="n">
        <v>1809</v>
      </c>
      <c r="B1825" s="14">
        <f>IF(AND($L1825="",$M1825="",$N1825=""),"",IF($L1825&lt;&gt;"",INDEX(LdADate,$L1825),IF($M1825&lt;&gt;"",INDEX(LdBDate,$M1825),INDEX(LdCDate,$N1825))))</f>
        <v/>
      </c>
      <c r="C1825" s="14">
        <f>IF($L1825&lt;&gt;"","دستمزد (فردی)",IF($M1825&lt;&gt;"","سهم از گروه "&amp;IFERROR(VLOOKUP(INDEX(LdBGroup,$M1825),WGTbl,2,0),INDEX(LdBGroup,$M1825)),IF($N1825&lt;&gt;"",IF(N(INDEX(LdCDep,$N1825))&gt;0,"بازگشت بانکی","پرداخت بانکی"),"")))</f>
        <v/>
      </c>
      <c r="D1825" s="14">
        <f>IF($L1825&lt;&gt;"",IF(INDEX(LdAId,$L1825)="","—",INDEX(LdAId,$L1825)),IF($M1825&lt;&gt;"",IF(INDEX(LdBId,$M1825)="","—",INDEX(LdBId,$M1825)),IF($N1825&lt;&gt;"",IF(INDEX(LdCBank,$N1825)="","—",INDEX(LdCBank,$N1825)),"")))</f>
        <v/>
      </c>
      <c r="E1825" s="16">
        <f>IF($L1825&lt;&gt;"",IF(INDEX(LdAAmt,$L1825)=0,"",INDEX(LdAAmt,$L1825)),IF($M1825&lt;&gt;"",IF(INDEX(LdBAmt,$M1825)=0,"",INDEX(LdBAmt,$M1825)),IF($N1825&lt;&gt;"",IF(INDEX(LdCDep,$N1825)=0,"",INDEX(LdCDep,$N1825)),"")))</f>
        <v/>
      </c>
      <c r="F1825" s="16">
        <f>IF(AND($L1825="",$M1825="",$N1825=""),"",IF($N1825="","",IF(INDEX(LdCWit,$N1825)=0,"",INDEX(LdCWit,$N1825))))</f>
        <v/>
      </c>
      <c r="G1825" s="29">
        <f>IF($B1825="","",IF($G1824="",0,$G1824)+IF($E1825="",0,$E1825)-IF($F1825="",0,$F1825))</f>
        <v/>
      </c>
      <c r="H1825" s="30">
        <f>IF(AND($L1825="",$M1825="",$N1825=""),"",IF($L1825&lt;&gt;"",IF(INDEX(LdANote,$L1825)="","—",INDEX(LdANote,$L1825)),IF($M1825&lt;&gt;"",IF(INDEX(LdBNote,$M1825)="","—",INDEX(LdBNote,$M1825)),IF($N1825&lt;&gt;"",IF(INDEX(LdCNote,$N1825)="","—",INDEX(LdCNote,$N1825)),""))))</f>
        <v/>
      </c>
      <c r="L1825">
        <f>IFERROR(MATCH($C$5&amp;"|"&amp;RIGHT("000000"&amp;1809,6),LdAKeyM,0),"")</f>
        <v/>
      </c>
      <c r="M1825">
        <f>IFERROR(MATCH($C$5&amp;"|"&amp;RIGHT("000000"&amp;1809,6),LdBKeyM,0),"")</f>
        <v/>
      </c>
      <c r="N1825">
        <f>IFERROR(MATCH($C$5&amp;"|"&amp;RIGHT("000000"&amp;1809,6),LdCKeyM,0),"")</f>
        <v/>
      </c>
    </row>
    <row r="1826">
      <c r="A1826" s="19" t="n">
        <v>1810</v>
      </c>
      <c r="B1826" s="20">
        <f>IF(AND($L1826="",$M1826="",$N1826=""),"",IF($L1826&lt;&gt;"",INDEX(LdADate,$L1826),IF($M1826&lt;&gt;"",INDEX(LdBDate,$M1826),INDEX(LdCDate,$N1826))))</f>
        <v/>
      </c>
      <c r="C1826" s="20">
        <f>IF($L1826&lt;&gt;"","دستمزد (فردی)",IF($M1826&lt;&gt;"","سهم از گروه "&amp;IFERROR(VLOOKUP(INDEX(LdBGroup,$M1826),WGTbl,2,0),INDEX(LdBGroup,$M1826)),IF($N1826&lt;&gt;"",IF(N(INDEX(LdCDep,$N1826))&gt;0,"بازگشت بانکی","پرداخت بانکی"),"")))</f>
        <v/>
      </c>
      <c r="D1826" s="20">
        <f>IF($L1826&lt;&gt;"",IF(INDEX(LdAId,$L1826)="","—",INDEX(LdAId,$L1826)),IF($M1826&lt;&gt;"",IF(INDEX(LdBId,$M1826)="","—",INDEX(LdBId,$M1826)),IF($N1826&lt;&gt;"",IF(INDEX(LdCBank,$N1826)="","—",INDEX(LdCBank,$N1826)),"")))</f>
        <v/>
      </c>
      <c r="E1826" s="21">
        <f>IF($L1826&lt;&gt;"",IF(INDEX(LdAAmt,$L1826)=0,"",INDEX(LdAAmt,$L1826)),IF($M1826&lt;&gt;"",IF(INDEX(LdBAmt,$M1826)=0,"",INDEX(LdBAmt,$M1826)),IF($N1826&lt;&gt;"",IF(INDEX(LdCDep,$N1826)=0,"",INDEX(LdCDep,$N1826)),"")))</f>
        <v/>
      </c>
      <c r="F1826" s="21">
        <f>IF(AND($L1826="",$M1826="",$N1826=""),"",IF($N1826="","",IF(INDEX(LdCWit,$N1826)=0,"",INDEX(LdCWit,$N1826))))</f>
        <v/>
      </c>
      <c r="G1826" s="31">
        <f>IF($B1826="","",IF($G1825="",0,$G1825)+IF($E1826="",0,$E1826)-IF($F1826="",0,$F1826))</f>
        <v/>
      </c>
      <c r="H1826" s="32">
        <f>IF(AND($L1826="",$M1826="",$N1826=""),"",IF($L1826&lt;&gt;"",IF(INDEX(LdANote,$L1826)="","—",INDEX(LdANote,$L1826)),IF($M1826&lt;&gt;"",IF(INDEX(LdBNote,$M1826)="","—",INDEX(LdBNote,$M1826)),IF($N1826&lt;&gt;"",IF(INDEX(LdCNote,$N1826)="","—",INDEX(LdCNote,$N1826)),""))))</f>
        <v/>
      </c>
      <c r="L1826">
        <f>IFERROR(MATCH($C$5&amp;"|"&amp;RIGHT("000000"&amp;1810,6),LdAKeyM,0),"")</f>
        <v/>
      </c>
      <c r="M1826">
        <f>IFERROR(MATCH($C$5&amp;"|"&amp;RIGHT("000000"&amp;1810,6),LdBKeyM,0),"")</f>
        <v/>
      </c>
      <c r="N1826">
        <f>IFERROR(MATCH($C$5&amp;"|"&amp;RIGHT("000000"&amp;1810,6),LdCKeyM,0),"")</f>
        <v/>
      </c>
    </row>
    <row r="1827">
      <c r="A1827" s="10" t="n">
        <v>1811</v>
      </c>
      <c r="B1827" s="14">
        <f>IF(AND($L1827="",$M1827="",$N1827=""),"",IF($L1827&lt;&gt;"",INDEX(LdADate,$L1827),IF($M1827&lt;&gt;"",INDEX(LdBDate,$M1827),INDEX(LdCDate,$N1827))))</f>
        <v/>
      </c>
      <c r="C1827" s="14">
        <f>IF($L1827&lt;&gt;"","دستمزد (فردی)",IF($M1827&lt;&gt;"","سهم از گروه "&amp;IFERROR(VLOOKUP(INDEX(LdBGroup,$M1827),WGTbl,2,0),INDEX(LdBGroup,$M1827)),IF($N1827&lt;&gt;"",IF(N(INDEX(LdCDep,$N1827))&gt;0,"بازگشت بانکی","پرداخت بانکی"),"")))</f>
        <v/>
      </c>
      <c r="D1827" s="14">
        <f>IF($L1827&lt;&gt;"",IF(INDEX(LdAId,$L1827)="","—",INDEX(LdAId,$L1827)),IF($M1827&lt;&gt;"",IF(INDEX(LdBId,$M1827)="","—",INDEX(LdBId,$M1827)),IF($N1827&lt;&gt;"",IF(INDEX(LdCBank,$N1827)="","—",INDEX(LdCBank,$N1827)),"")))</f>
        <v/>
      </c>
      <c r="E1827" s="16">
        <f>IF($L1827&lt;&gt;"",IF(INDEX(LdAAmt,$L1827)=0,"",INDEX(LdAAmt,$L1827)),IF($M1827&lt;&gt;"",IF(INDEX(LdBAmt,$M1827)=0,"",INDEX(LdBAmt,$M1827)),IF($N1827&lt;&gt;"",IF(INDEX(LdCDep,$N1827)=0,"",INDEX(LdCDep,$N1827)),"")))</f>
        <v/>
      </c>
      <c r="F1827" s="16">
        <f>IF(AND($L1827="",$M1827="",$N1827=""),"",IF($N1827="","",IF(INDEX(LdCWit,$N1827)=0,"",INDEX(LdCWit,$N1827))))</f>
        <v/>
      </c>
      <c r="G1827" s="29">
        <f>IF($B1827="","",IF($G1826="",0,$G1826)+IF($E1827="",0,$E1827)-IF($F1827="",0,$F1827))</f>
        <v/>
      </c>
      <c r="H1827" s="30">
        <f>IF(AND($L1827="",$M1827="",$N1827=""),"",IF($L1827&lt;&gt;"",IF(INDEX(LdANote,$L1827)="","—",INDEX(LdANote,$L1827)),IF($M1827&lt;&gt;"",IF(INDEX(LdBNote,$M1827)="","—",INDEX(LdBNote,$M1827)),IF($N1827&lt;&gt;"",IF(INDEX(LdCNote,$N1827)="","—",INDEX(LdCNote,$N1827)),""))))</f>
        <v/>
      </c>
      <c r="L1827">
        <f>IFERROR(MATCH($C$5&amp;"|"&amp;RIGHT("000000"&amp;1811,6),LdAKeyM,0),"")</f>
        <v/>
      </c>
      <c r="M1827">
        <f>IFERROR(MATCH($C$5&amp;"|"&amp;RIGHT("000000"&amp;1811,6),LdBKeyM,0),"")</f>
        <v/>
      </c>
      <c r="N1827">
        <f>IFERROR(MATCH($C$5&amp;"|"&amp;RIGHT("000000"&amp;1811,6),LdCKeyM,0),"")</f>
        <v/>
      </c>
    </row>
    <row r="1828">
      <c r="A1828" s="19" t="n">
        <v>1812</v>
      </c>
      <c r="B1828" s="20">
        <f>IF(AND($L1828="",$M1828="",$N1828=""),"",IF($L1828&lt;&gt;"",INDEX(LdADate,$L1828),IF($M1828&lt;&gt;"",INDEX(LdBDate,$M1828),INDEX(LdCDate,$N1828))))</f>
        <v/>
      </c>
      <c r="C1828" s="20">
        <f>IF($L1828&lt;&gt;"","دستمزد (فردی)",IF($M1828&lt;&gt;"","سهم از گروه "&amp;IFERROR(VLOOKUP(INDEX(LdBGroup,$M1828),WGTbl,2,0),INDEX(LdBGroup,$M1828)),IF($N1828&lt;&gt;"",IF(N(INDEX(LdCDep,$N1828))&gt;0,"بازگشت بانکی","پرداخت بانکی"),"")))</f>
        <v/>
      </c>
      <c r="D1828" s="20">
        <f>IF($L1828&lt;&gt;"",IF(INDEX(LdAId,$L1828)="","—",INDEX(LdAId,$L1828)),IF($M1828&lt;&gt;"",IF(INDEX(LdBId,$M1828)="","—",INDEX(LdBId,$M1828)),IF($N1828&lt;&gt;"",IF(INDEX(LdCBank,$N1828)="","—",INDEX(LdCBank,$N1828)),"")))</f>
        <v/>
      </c>
      <c r="E1828" s="21">
        <f>IF($L1828&lt;&gt;"",IF(INDEX(LdAAmt,$L1828)=0,"",INDEX(LdAAmt,$L1828)),IF($M1828&lt;&gt;"",IF(INDEX(LdBAmt,$M1828)=0,"",INDEX(LdBAmt,$M1828)),IF($N1828&lt;&gt;"",IF(INDEX(LdCDep,$N1828)=0,"",INDEX(LdCDep,$N1828)),"")))</f>
        <v/>
      </c>
      <c r="F1828" s="21">
        <f>IF(AND($L1828="",$M1828="",$N1828=""),"",IF($N1828="","",IF(INDEX(LdCWit,$N1828)=0,"",INDEX(LdCWit,$N1828))))</f>
        <v/>
      </c>
      <c r="G1828" s="31">
        <f>IF($B1828="","",IF($G1827="",0,$G1827)+IF($E1828="",0,$E1828)-IF($F1828="",0,$F1828))</f>
        <v/>
      </c>
      <c r="H1828" s="32">
        <f>IF(AND($L1828="",$M1828="",$N1828=""),"",IF($L1828&lt;&gt;"",IF(INDEX(LdANote,$L1828)="","—",INDEX(LdANote,$L1828)),IF($M1828&lt;&gt;"",IF(INDEX(LdBNote,$M1828)="","—",INDEX(LdBNote,$M1828)),IF($N1828&lt;&gt;"",IF(INDEX(LdCNote,$N1828)="","—",INDEX(LdCNote,$N1828)),""))))</f>
        <v/>
      </c>
      <c r="L1828">
        <f>IFERROR(MATCH($C$5&amp;"|"&amp;RIGHT("000000"&amp;1812,6),LdAKeyM,0),"")</f>
        <v/>
      </c>
      <c r="M1828">
        <f>IFERROR(MATCH($C$5&amp;"|"&amp;RIGHT("000000"&amp;1812,6),LdBKeyM,0),"")</f>
        <v/>
      </c>
      <c r="N1828">
        <f>IFERROR(MATCH($C$5&amp;"|"&amp;RIGHT("000000"&amp;1812,6),LdCKeyM,0),"")</f>
        <v/>
      </c>
    </row>
    <row r="1829">
      <c r="A1829" s="10" t="n">
        <v>1813</v>
      </c>
      <c r="B1829" s="14">
        <f>IF(AND($L1829="",$M1829="",$N1829=""),"",IF($L1829&lt;&gt;"",INDEX(LdADate,$L1829),IF($M1829&lt;&gt;"",INDEX(LdBDate,$M1829),INDEX(LdCDate,$N1829))))</f>
        <v/>
      </c>
      <c r="C1829" s="14">
        <f>IF($L1829&lt;&gt;"","دستمزد (فردی)",IF($M1829&lt;&gt;"","سهم از گروه "&amp;IFERROR(VLOOKUP(INDEX(LdBGroup,$M1829),WGTbl,2,0),INDEX(LdBGroup,$M1829)),IF($N1829&lt;&gt;"",IF(N(INDEX(LdCDep,$N1829))&gt;0,"بازگشت بانکی","پرداخت بانکی"),"")))</f>
        <v/>
      </c>
      <c r="D1829" s="14">
        <f>IF($L1829&lt;&gt;"",IF(INDEX(LdAId,$L1829)="","—",INDEX(LdAId,$L1829)),IF($M1829&lt;&gt;"",IF(INDEX(LdBId,$M1829)="","—",INDEX(LdBId,$M1829)),IF($N1829&lt;&gt;"",IF(INDEX(LdCBank,$N1829)="","—",INDEX(LdCBank,$N1829)),"")))</f>
        <v/>
      </c>
      <c r="E1829" s="16">
        <f>IF($L1829&lt;&gt;"",IF(INDEX(LdAAmt,$L1829)=0,"",INDEX(LdAAmt,$L1829)),IF($M1829&lt;&gt;"",IF(INDEX(LdBAmt,$M1829)=0,"",INDEX(LdBAmt,$M1829)),IF($N1829&lt;&gt;"",IF(INDEX(LdCDep,$N1829)=0,"",INDEX(LdCDep,$N1829)),"")))</f>
        <v/>
      </c>
      <c r="F1829" s="16">
        <f>IF(AND($L1829="",$M1829="",$N1829=""),"",IF($N1829="","",IF(INDEX(LdCWit,$N1829)=0,"",INDEX(LdCWit,$N1829))))</f>
        <v/>
      </c>
      <c r="G1829" s="29">
        <f>IF($B1829="","",IF($G1828="",0,$G1828)+IF($E1829="",0,$E1829)-IF($F1829="",0,$F1829))</f>
        <v/>
      </c>
      <c r="H1829" s="30">
        <f>IF(AND($L1829="",$M1829="",$N1829=""),"",IF($L1829&lt;&gt;"",IF(INDEX(LdANote,$L1829)="","—",INDEX(LdANote,$L1829)),IF($M1829&lt;&gt;"",IF(INDEX(LdBNote,$M1829)="","—",INDEX(LdBNote,$M1829)),IF($N1829&lt;&gt;"",IF(INDEX(LdCNote,$N1829)="","—",INDEX(LdCNote,$N1829)),""))))</f>
        <v/>
      </c>
      <c r="L1829">
        <f>IFERROR(MATCH($C$5&amp;"|"&amp;RIGHT("000000"&amp;1813,6),LdAKeyM,0),"")</f>
        <v/>
      </c>
      <c r="M1829">
        <f>IFERROR(MATCH($C$5&amp;"|"&amp;RIGHT("000000"&amp;1813,6),LdBKeyM,0),"")</f>
        <v/>
      </c>
      <c r="N1829">
        <f>IFERROR(MATCH($C$5&amp;"|"&amp;RIGHT("000000"&amp;1813,6),LdCKeyM,0),"")</f>
        <v/>
      </c>
    </row>
    <row r="1830">
      <c r="A1830" s="19" t="n">
        <v>1814</v>
      </c>
      <c r="B1830" s="20">
        <f>IF(AND($L1830="",$M1830="",$N1830=""),"",IF($L1830&lt;&gt;"",INDEX(LdADate,$L1830),IF($M1830&lt;&gt;"",INDEX(LdBDate,$M1830),INDEX(LdCDate,$N1830))))</f>
        <v/>
      </c>
      <c r="C1830" s="20">
        <f>IF($L1830&lt;&gt;"","دستمزد (فردی)",IF($M1830&lt;&gt;"","سهم از گروه "&amp;IFERROR(VLOOKUP(INDEX(LdBGroup,$M1830),WGTbl,2,0),INDEX(LdBGroup,$M1830)),IF($N1830&lt;&gt;"",IF(N(INDEX(LdCDep,$N1830))&gt;0,"بازگشت بانکی","پرداخت بانکی"),"")))</f>
        <v/>
      </c>
      <c r="D1830" s="20">
        <f>IF($L1830&lt;&gt;"",IF(INDEX(LdAId,$L1830)="","—",INDEX(LdAId,$L1830)),IF($M1830&lt;&gt;"",IF(INDEX(LdBId,$M1830)="","—",INDEX(LdBId,$M1830)),IF($N1830&lt;&gt;"",IF(INDEX(LdCBank,$N1830)="","—",INDEX(LdCBank,$N1830)),"")))</f>
        <v/>
      </c>
      <c r="E1830" s="21">
        <f>IF($L1830&lt;&gt;"",IF(INDEX(LdAAmt,$L1830)=0,"",INDEX(LdAAmt,$L1830)),IF($M1830&lt;&gt;"",IF(INDEX(LdBAmt,$M1830)=0,"",INDEX(LdBAmt,$M1830)),IF($N1830&lt;&gt;"",IF(INDEX(LdCDep,$N1830)=0,"",INDEX(LdCDep,$N1830)),"")))</f>
        <v/>
      </c>
      <c r="F1830" s="21">
        <f>IF(AND($L1830="",$M1830="",$N1830=""),"",IF($N1830="","",IF(INDEX(LdCWit,$N1830)=0,"",INDEX(LdCWit,$N1830))))</f>
        <v/>
      </c>
      <c r="G1830" s="31">
        <f>IF($B1830="","",IF($G1829="",0,$G1829)+IF($E1830="",0,$E1830)-IF($F1830="",0,$F1830))</f>
        <v/>
      </c>
      <c r="H1830" s="32">
        <f>IF(AND($L1830="",$M1830="",$N1830=""),"",IF($L1830&lt;&gt;"",IF(INDEX(LdANote,$L1830)="","—",INDEX(LdANote,$L1830)),IF($M1830&lt;&gt;"",IF(INDEX(LdBNote,$M1830)="","—",INDEX(LdBNote,$M1830)),IF($N1830&lt;&gt;"",IF(INDEX(LdCNote,$N1830)="","—",INDEX(LdCNote,$N1830)),""))))</f>
        <v/>
      </c>
      <c r="L1830">
        <f>IFERROR(MATCH($C$5&amp;"|"&amp;RIGHT("000000"&amp;1814,6),LdAKeyM,0),"")</f>
        <v/>
      </c>
      <c r="M1830">
        <f>IFERROR(MATCH($C$5&amp;"|"&amp;RIGHT("000000"&amp;1814,6),LdBKeyM,0),"")</f>
        <v/>
      </c>
      <c r="N1830">
        <f>IFERROR(MATCH($C$5&amp;"|"&amp;RIGHT("000000"&amp;1814,6),LdCKeyM,0),"")</f>
        <v/>
      </c>
    </row>
    <row r="1831">
      <c r="A1831" s="10" t="n">
        <v>1815</v>
      </c>
      <c r="B1831" s="14">
        <f>IF(AND($L1831="",$M1831="",$N1831=""),"",IF($L1831&lt;&gt;"",INDEX(LdADate,$L1831),IF($M1831&lt;&gt;"",INDEX(LdBDate,$M1831),INDEX(LdCDate,$N1831))))</f>
        <v/>
      </c>
      <c r="C1831" s="14">
        <f>IF($L1831&lt;&gt;"","دستمزد (فردی)",IF($M1831&lt;&gt;"","سهم از گروه "&amp;IFERROR(VLOOKUP(INDEX(LdBGroup,$M1831),WGTbl,2,0),INDEX(LdBGroup,$M1831)),IF($N1831&lt;&gt;"",IF(N(INDEX(LdCDep,$N1831))&gt;0,"بازگشت بانکی","پرداخت بانکی"),"")))</f>
        <v/>
      </c>
      <c r="D1831" s="14">
        <f>IF($L1831&lt;&gt;"",IF(INDEX(LdAId,$L1831)="","—",INDEX(LdAId,$L1831)),IF($M1831&lt;&gt;"",IF(INDEX(LdBId,$M1831)="","—",INDEX(LdBId,$M1831)),IF($N1831&lt;&gt;"",IF(INDEX(LdCBank,$N1831)="","—",INDEX(LdCBank,$N1831)),"")))</f>
        <v/>
      </c>
      <c r="E1831" s="16">
        <f>IF($L1831&lt;&gt;"",IF(INDEX(LdAAmt,$L1831)=0,"",INDEX(LdAAmt,$L1831)),IF($M1831&lt;&gt;"",IF(INDEX(LdBAmt,$M1831)=0,"",INDEX(LdBAmt,$M1831)),IF($N1831&lt;&gt;"",IF(INDEX(LdCDep,$N1831)=0,"",INDEX(LdCDep,$N1831)),"")))</f>
        <v/>
      </c>
      <c r="F1831" s="16">
        <f>IF(AND($L1831="",$M1831="",$N1831=""),"",IF($N1831="","",IF(INDEX(LdCWit,$N1831)=0,"",INDEX(LdCWit,$N1831))))</f>
        <v/>
      </c>
      <c r="G1831" s="29">
        <f>IF($B1831="","",IF($G1830="",0,$G1830)+IF($E1831="",0,$E1831)-IF($F1831="",0,$F1831))</f>
        <v/>
      </c>
      <c r="H1831" s="30">
        <f>IF(AND($L1831="",$M1831="",$N1831=""),"",IF($L1831&lt;&gt;"",IF(INDEX(LdANote,$L1831)="","—",INDEX(LdANote,$L1831)),IF($M1831&lt;&gt;"",IF(INDEX(LdBNote,$M1831)="","—",INDEX(LdBNote,$M1831)),IF($N1831&lt;&gt;"",IF(INDEX(LdCNote,$N1831)="","—",INDEX(LdCNote,$N1831)),""))))</f>
        <v/>
      </c>
      <c r="L1831">
        <f>IFERROR(MATCH($C$5&amp;"|"&amp;RIGHT("000000"&amp;1815,6),LdAKeyM,0),"")</f>
        <v/>
      </c>
      <c r="M1831">
        <f>IFERROR(MATCH($C$5&amp;"|"&amp;RIGHT("000000"&amp;1815,6),LdBKeyM,0),"")</f>
        <v/>
      </c>
      <c r="N1831">
        <f>IFERROR(MATCH($C$5&amp;"|"&amp;RIGHT("000000"&amp;1815,6),LdCKeyM,0),"")</f>
        <v/>
      </c>
    </row>
    <row r="1832">
      <c r="A1832" s="19" t="n">
        <v>1816</v>
      </c>
      <c r="B1832" s="20">
        <f>IF(AND($L1832="",$M1832="",$N1832=""),"",IF($L1832&lt;&gt;"",INDEX(LdADate,$L1832),IF($M1832&lt;&gt;"",INDEX(LdBDate,$M1832),INDEX(LdCDate,$N1832))))</f>
        <v/>
      </c>
      <c r="C1832" s="20">
        <f>IF($L1832&lt;&gt;"","دستمزد (فردی)",IF($M1832&lt;&gt;"","سهم از گروه "&amp;IFERROR(VLOOKUP(INDEX(LdBGroup,$M1832),WGTbl,2,0),INDEX(LdBGroup,$M1832)),IF($N1832&lt;&gt;"",IF(N(INDEX(LdCDep,$N1832))&gt;0,"بازگشت بانکی","پرداخت بانکی"),"")))</f>
        <v/>
      </c>
      <c r="D1832" s="20">
        <f>IF($L1832&lt;&gt;"",IF(INDEX(LdAId,$L1832)="","—",INDEX(LdAId,$L1832)),IF($M1832&lt;&gt;"",IF(INDEX(LdBId,$M1832)="","—",INDEX(LdBId,$M1832)),IF($N1832&lt;&gt;"",IF(INDEX(LdCBank,$N1832)="","—",INDEX(LdCBank,$N1832)),"")))</f>
        <v/>
      </c>
      <c r="E1832" s="21">
        <f>IF($L1832&lt;&gt;"",IF(INDEX(LdAAmt,$L1832)=0,"",INDEX(LdAAmt,$L1832)),IF($M1832&lt;&gt;"",IF(INDEX(LdBAmt,$M1832)=0,"",INDEX(LdBAmt,$M1832)),IF($N1832&lt;&gt;"",IF(INDEX(LdCDep,$N1832)=0,"",INDEX(LdCDep,$N1832)),"")))</f>
        <v/>
      </c>
      <c r="F1832" s="21">
        <f>IF(AND($L1832="",$M1832="",$N1832=""),"",IF($N1832="","",IF(INDEX(LdCWit,$N1832)=0,"",INDEX(LdCWit,$N1832))))</f>
        <v/>
      </c>
      <c r="G1832" s="31">
        <f>IF($B1832="","",IF($G1831="",0,$G1831)+IF($E1832="",0,$E1832)-IF($F1832="",0,$F1832))</f>
        <v/>
      </c>
      <c r="H1832" s="32">
        <f>IF(AND($L1832="",$M1832="",$N1832=""),"",IF($L1832&lt;&gt;"",IF(INDEX(LdANote,$L1832)="","—",INDEX(LdANote,$L1832)),IF($M1832&lt;&gt;"",IF(INDEX(LdBNote,$M1832)="","—",INDEX(LdBNote,$M1832)),IF($N1832&lt;&gt;"",IF(INDEX(LdCNote,$N1832)="","—",INDEX(LdCNote,$N1832)),""))))</f>
        <v/>
      </c>
      <c r="L1832">
        <f>IFERROR(MATCH($C$5&amp;"|"&amp;RIGHT("000000"&amp;1816,6),LdAKeyM,0),"")</f>
        <v/>
      </c>
      <c r="M1832">
        <f>IFERROR(MATCH($C$5&amp;"|"&amp;RIGHT("000000"&amp;1816,6),LdBKeyM,0),"")</f>
        <v/>
      </c>
      <c r="N1832">
        <f>IFERROR(MATCH($C$5&amp;"|"&amp;RIGHT("000000"&amp;1816,6),LdCKeyM,0),"")</f>
        <v/>
      </c>
    </row>
    <row r="1833">
      <c r="A1833" s="10" t="n">
        <v>1817</v>
      </c>
      <c r="B1833" s="14">
        <f>IF(AND($L1833="",$M1833="",$N1833=""),"",IF($L1833&lt;&gt;"",INDEX(LdADate,$L1833),IF($M1833&lt;&gt;"",INDEX(LdBDate,$M1833),INDEX(LdCDate,$N1833))))</f>
        <v/>
      </c>
      <c r="C1833" s="14">
        <f>IF($L1833&lt;&gt;"","دستمزد (فردی)",IF($M1833&lt;&gt;"","سهم از گروه "&amp;IFERROR(VLOOKUP(INDEX(LdBGroup,$M1833),WGTbl,2,0),INDEX(LdBGroup,$M1833)),IF($N1833&lt;&gt;"",IF(N(INDEX(LdCDep,$N1833))&gt;0,"بازگشت بانکی","پرداخت بانکی"),"")))</f>
        <v/>
      </c>
      <c r="D1833" s="14">
        <f>IF($L1833&lt;&gt;"",IF(INDEX(LdAId,$L1833)="","—",INDEX(LdAId,$L1833)),IF($M1833&lt;&gt;"",IF(INDEX(LdBId,$M1833)="","—",INDEX(LdBId,$M1833)),IF($N1833&lt;&gt;"",IF(INDEX(LdCBank,$N1833)="","—",INDEX(LdCBank,$N1833)),"")))</f>
        <v/>
      </c>
      <c r="E1833" s="16">
        <f>IF($L1833&lt;&gt;"",IF(INDEX(LdAAmt,$L1833)=0,"",INDEX(LdAAmt,$L1833)),IF($M1833&lt;&gt;"",IF(INDEX(LdBAmt,$M1833)=0,"",INDEX(LdBAmt,$M1833)),IF($N1833&lt;&gt;"",IF(INDEX(LdCDep,$N1833)=0,"",INDEX(LdCDep,$N1833)),"")))</f>
        <v/>
      </c>
      <c r="F1833" s="16">
        <f>IF(AND($L1833="",$M1833="",$N1833=""),"",IF($N1833="","",IF(INDEX(LdCWit,$N1833)=0,"",INDEX(LdCWit,$N1833))))</f>
        <v/>
      </c>
      <c r="G1833" s="29">
        <f>IF($B1833="","",IF($G1832="",0,$G1832)+IF($E1833="",0,$E1833)-IF($F1833="",0,$F1833))</f>
        <v/>
      </c>
      <c r="H1833" s="30">
        <f>IF(AND($L1833="",$M1833="",$N1833=""),"",IF($L1833&lt;&gt;"",IF(INDEX(LdANote,$L1833)="","—",INDEX(LdANote,$L1833)),IF($M1833&lt;&gt;"",IF(INDEX(LdBNote,$M1833)="","—",INDEX(LdBNote,$M1833)),IF($N1833&lt;&gt;"",IF(INDEX(LdCNote,$N1833)="","—",INDEX(LdCNote,$N1833)),""))))</f>
        <v/>
      </c>
      <c r="L1833">
        <f>IFERROR(MATCH($C$5&amp;"|"&amp;RIGHT("000000"&amp;1817,6),LdAKeyM,0),"")</f>
        <v/>
      </c>
      <c r="M1833">
        <f>IFERROR(MATCH($C$5&amp;"|"&amp;RIGHT("000000"&amp;1817,6),LdBKeyM,0),"")</f>
        <v/>
      </c>
      <c r="N1833">
        <f>IFERROR(MATCH($C$5&amp;"|"&amp;RIGHT("000000"&amp;1817,6),LdCKeyM,0),"")</f>
        <v/>
      </c>
    </row>
    <row r="1834">
      <c r="A1834" s="19" t="n">
        <v>1818</v>
      </c>
      <c r="B1834" s="20">
        <f>IF(AND($L1834="",$M1834="",$N1834=""),"",IF($L1834&lt;&gt;"",INDEX(LdADate,$L1834),IF($M1834&lt;&gt;"",INDEX(LdBDate,$M1834),INDEX(LdCDate,$N1834))))</f>
        <v/>
      </c>
      <c r="C1834" s="20">
        <f>IF($L1834&lt;&gt;"","دستمزد (فردی)",IF($M1834&lt;&gt;"","سهم از گروه "&amp;IFERROR(VLOOKUP(INDEX(LdBGroup,$M1834),WGTbl,2,0),INDEX(LdBGroup,$M1834)),IF($N1834&lt;&gt;"",IF(N(INDEX(LdCDep,$N1834))&gt;0,"بازگشت بانکی","پرداخت بانکی"),"")))</f>
        <v/>
      </c>
      <c r="D1834" s="20">
        <f>IF($L1834&lt;&gt;"",IF(INDEX(LdAId,$L1834)="","—",INDEX(LdAId,$L1834)),IF($M1834&lt;&gt;"",IF(INDEX(LdBId,$M1834)="","—",INDEX(LdBId,$M1834)),IF($N1834&lt;&gt;"",IF(INDEX(LdCBank,$N1834)="","—",INDEX(LdCBank,$N1834)),"")))</f>
        <v/>
      </c>
      <c r="E1834" s="21">
        <f>IF($L1834&lt;&gt;"",IF(INDEX(LdAAmt,$L1834)=0,"",INDEX(LdAAmt,$L1834)),IF($M1834&lt;&gt;"",IF(INDEX(LdBAmt,$M1834)=0,"",INDEX(LdBAmt,$M1834)),IF($N1834&lt;&gt;"",IF(INDEX(LdCDep,$N1834)=0,"",INDEX(LdCDep,$N1834)),"")))</f>
        <v/>
      </c>
      <c r="F1834" s="21">
        <f>IF(AND($L1834="",$M1834="",$N1834=""),"",IF($N1834="","",IF(INDEX(LdCWit,$N1834)=0,"",INDEX(LdCWit,$N1834))))</f>
        <v/>
      </c>
      <c r="G1834" s="31">
        <f>IF($B1834="","",IF($G1833="",0,$G1833)+IF($E1834="",0,$E1834)-IF($F1834="",0,$F1834))</f>
        <v/>
      </c>
      <c r="H1834" s="32">
        <f>IF(AND($L1834="",$M1834="",$N1834=""),"",IF($L1834&lt;&gt;"",IF(INDEX(LdANote,$L1834)="","—",INDEX(LdANote,$L1834)),IF($M1834&lt;&gt;"",IF(INDEX(LdBNote,$M1834)="","—",INDEX(LdBNote,$M1834)),IF($N1834&lt;&gt;"",IF(INDEX(LdCNote,$N1834)="","—",INDEX(LdCNote,$N1834)),""))))</f>
        <v/>
      </c>
      <c r="L1834">
        <f>IFERROR(MATCH($C$5&amp;"|"&amp;RIGHT("000000"&amp;1818,6),LdAKeyM,0),"")</f>
        <v/>
      </c>
      <c r="M1834">
        <f>IFERROR(MATCH($C$5&amp;"|"&amp;RIGHT("000000"&amp;1818,6),LdBKeyM,0),"")</f>
        <v/>
      </c>
      <c r="N1834">
        <f>IFERROR(MATCH($C$5&amp;"|"&amp;RIGHT("000000"&amp;1818,6),LdCKeyM,0),"")</f>
        <v/>
      </c>
    </row>
    <row r="1835">
      <c r="A1835" s="10" t="n">
        <v>1819</v>
      </c>
      <c r="B1835" s="14">
        <f>IF(AND($L1835="",$M1835="",$N1835=""),"",IF($L1835&lt;&gt;"",INDEX(LdADate,$L1835),IF($M1835&lt;&gt;"",INDEX(LdBDate,$M1835),INDEX(LdCDate,$N1835))))</f>
        <v/>
      </c>
      <c r="C1835" s="14">
        <f>IF($L1835&lt;&gt;"","دستمزد (فردی)",IF($M1835&lt;&gt;"","سهم از گروه "&amp;IFERROR(VLOOKUP(INDEX(LdBGroup,$M1835),WGTbl,2,0),INDEX(LdBGroup,$M1835)),IF($N1835&lt;&gt;"",IF(N(INDEX(LdCDep,$N1835))&gt;0,"بازگشت بانکی","پرداخت بانکی"),"")))</f>
        <v/>
      </c>
      <c r="D1835" s="14">
        <f>IF($L1835&lt;&gt;"",IF(INDEX(LdAId,$L1835)="","—",INDEX(LdAId,$L1835)),IF($M1835&lt;&gt;"",IF(INDEX(LdBId,$M1835)="","—",INDEX(LdBId,$M1835)),IF($N1835&lt;&gt;"",IF(INDEX(LdCBank,$N1835)="","—",INDEX(LdCBank,$N1835)),"")))</f>
        <v/>
      </c>
      <c r="E1835" s="16">
        <f>IF($L1835&lt;&gt;"",IF(INDEX(LdAAmt,$L1835)=0,"",INDEX(LdAAmt,$L1835)),IF($M1835&lt;&gt;"",IF(INDEX(LdBAmt,$M1835)=0,"",INDEX(LdBAmt,$M1835)),IF($N1835&lt;&gt;"",IF(INDEX(LdCDep,$N1835)=0,"",INDEX(LdCDep,$N1835)),"")))</f>
        <v/>
      </c>
      <c r="F1835" s="16">
        <f>IF(AND($L1835="",$M1835="",$N1835=""),"",IF($N1835="","",IF(INDEX(LdCWit,$N1835)=0,"",INDEX(LdCWit,$N1835))))</f>
        <v/>
      </c>
      <c r="G1835" s="29">
        <f>IF($B1835="","",IF($G1834="",0,$G1834)+IF($E1835="",0,$E1835)-IF($F1835="",0,$F1835))</f>
        <v/>
      </c>
      <c r="H1835" s="30">
        <f>IF(AND($L1835="",$M1835="",$N1835=""),"",IF($L1835&lt;&gt;"",IF(INDEX(LdANote,$L1835)="","—",INDEX(LdANote,$L1835)),IF($M1835&lt;&gt;"",IF(INDEX(LdBNote,$M1835)="","—",INDEX(LdBNote,$M1835)),IF($N1835&lt;&gt;"",IF(INDEX(LdCNote,$N1835)="","—",INDEX(LdCNote,$N1835)),""))))</f>
        <v/>
      </c>
      <c r="L1835">
        <f>IFERROR(MATCH($C$5&amp;"|"&amp;RIGHT("000000"&amp;1819,6),LdAKeyM,0),"")</f>
        <v/>
      </c>
      <c r="M1835">
        <f>IFERROR(MATCH($C$5&amp;"|"&amp;RIGHT("000000"&amp;1819,6),LdBKeyM,0),"")</f>
        <v/>
      </c>
      <c r="N1835">
        <f>IFERROR(MATCH($C$5&amp;"|"&amp;RIGHT("000000"&amp;1819,6),LdCKeyM,0),"")</f>
        <v/>
      </c>
    </row>
    <row r="1836">
      <c r="A1836" s="19" t="n">
        <v>1820</v>
      </c>
      <c r="B1836" s="20">
        <f>IF(AND($L1836="",$M1836="",$N1836=""),"",IF($L1836&lt;&gt;"",INDEX(LdADate,$L1836),IF($M1836&lt;&gt;"",INDEX(LdBDate,$M1836),INDEX(LdCDate,$N1836))))</f>
        <v/>
      </c>
      <c r="C1836" s="20">
        <f>IF($L1836&lt;&gt;"","دستمزد (فردی)",IF($M1836&lt;&gt;"","سهم از گروه "&amp;IFERROR(VLOOKUP(INDEX(LdBGroup,$M1836),WGTbl,2,0),INDEX(LdBGroup,$M1836)),IF($N1836&lt;&gt;"",IF(N(INDEX(LdCDep,$N1836))&gt;0,"بازگشت بانکی","پرداخت بانکی"),"")))</f>
        <v/>
      </c>
      <c r="D1836" s="20">
        <f>IF($L1836&lt;&gt;"",IF(INDEX(LdAId,$L1836)="","—",INDEX(LdAId,$L1836)),IF($M1836&lt;&gt;"",IF(INDEX(LdBId,$M1836)="","—",INDEX(LdBId,$M1836)),IF($N1836&lt;&gt;"",IF(INDEX(LdCBank,$N1836)="","—",INDEX(LdCBank,$N1836)),"")))</f>
        <v/>
      </c>
      <c r="E1836" s="21">
        <f>IF($L1836&lt;&gt;"",IF(INDEX(LdAAmt,$L1836)=0,"",INDEX(LdAAmt,$L1836)),IF($M1836&lt;&gt;"",IF(INDEX(LdBAmt,$M1836)=0,"",INDEX(LdBAmt,$M1836)),IF($N1836&lt;&gt;"",IF(INDEX(LdCDep,$N1836)=0,"",INDEX(LdCDep,$N1836)),"")))</f>
        <v/>
      </c>
      <c r="F1836" s="21">
        <f>IF(AND($L1836="",$M1836="",$N1836=""),"",IF($N1836="","",IF(INDEX(LdCWit,$N1836)=0,"",INDEX(LdCWit,$N1836))))</f>
        <v/>
      </c>
      <c r="G1836" s="31">
        <f>IF($B1836="","",IF($G1835="",0,$G1835)+IF($E1836="",0,$E1836)-IF($F1836="",0,$F1836))</f>
        <v/>
      </c>
      <c r="H1836" s="32">
        <f>IF(AND($L1836="",$M1836="",$N1836=""),"",IF($L1836&lt;&gt;"",IF(INDEX(LdANote,$L1836)="","—",INDEX(LdANote,$L1836)),IF($M1836&lt;&gt;"",IF(INDEX(LdBNote,$M1836)="","—",INDEX(LdBNote,$M1836)),IF($N1836&lt;&gt;"",IF(INDEX(LdCNote,$N1836)="","—",INDEX(LdCNote,$N1836)),""))))</f>
        <v/>
      </c>
      <c r="L1836">
        <f>IFERROR(MATCH($C$5&amp;"|"&amp;RIGHT("000000"&amp;1820,6),LdAKeyM,0),"")</f>
        <v/>
      </c>
      <c r="M1836">
        <f>IFERROR(MATCH($C$5&amp;"|"&amp;RIGHT("000000"&amp;1820,6),LdBKeyM,0),"")</f>
        <v/>
      </c>
      <c r="N1836">
        <f>IFERROR(MATCH($C$5&amp;"|"&amp;RIGHT("000000"&amp;1820,6),LdCKeyM,0),"")</f>
        <v/>
      </c>
    </row>
    <row r="1837">
      <c r="A1837" s="10" t="n">
        <v>1821</v>
      </c>
      <c r="B1837" s="14">
        <f>IF(AND($L1837="",$M1837="",$N1837=""),"",IF($L1837&lt;&gt;"",INDEX(LdADate,$L1837),IF($M1837&lt;&gt;"",INDEX(LdBDate,$M1837),INDEX(LdCDate,$N1837))))</f>
        <v/>
      </c>
      <c r="C1837" s="14">
        <f>IF($L1837&lt;&gt;"","دستمزد (فردی)",IF($M1837&lt;&gt;"","سهم از گروه "&amp;IFERROR(VLOOKUP(INDEX(LdBGroup,$M1837),WGTbl,2,0),INDEX(LdBGroup,$M1837)),IF($N1837&lt;&gt;"",IF(N(INDEX(LdCDep,$N1837))&gt;0,"بازگشت بانکی","پرداخت بانکی"),"")))</f>
        <v/>
      </c>
      <c r="D1837" s="14">
        <f>IF($L1837&lt;&gt;"",IF(INDEX(LdAId,$L1837)="","—",INDEX(LdAId,$L1837)),IF($M1837&lt;&gt;"",IF(INDEX(LdBId,$M1837)="","—",INDEX(LdBId,$M1837)),IF($N1837&lt;&gt;"",IF(INDEX(LdCBank,$N1837)="","—",INDEX(LdCBank,$N1837)),"")))</f>
        <v/>
      </c>
      <c r="E1837" s="16">
        <f>IF($L1837&lt;&gt;"",IF(INDEX(LdAAmt,$L1837)=0,"",INDEX(LdAAmt,$L1837)),IF($M1837&lt;&gt;"",IF(INDEX(LdBAmt,$M1837)=0,"",INDEX(LdBAmt,$M1837)),IF($N1837&lt;&gt;"",IF(INDEX(LdCDep,$N1837)=0,"",INDEX(LdCDep,$N1837)),"")))</f>
        <v/>
      </c>
      <c r="F1837" s="16">
        <f>IF(AND($L1837="",$M1837="",$N1837=""),"",IF($N1837="","",IF(INDEX(LdCWit,$N1837)=0,"",INDEX(LdCWit,$N1837))))</f>
        <v/>
      </c>
      <c r="G1837" s="29">
        <f>IF($B1837="","",IF($G1836="",0,$G1836)+IF($E1837="",0,$E1837)-IF($F1837="",0,$F1837))</f>
        <v/>
      </c>
      <c r="H1837" s="30">
        <f>IF(AND($L1837="",$M1837="",$N1837=""),"",IF($L1837&lt;&gt;"",IF(INDEX(LdANote,$L1837)="","—",INDEX(LdANote,$L1837)),IF($M1837&lt;&gt;"",IF(INDEX(LdBNote,$M1837)="","—",INDEX(LdBNote,$M1837)),IF($N1837&lt;&gt;"",IF(INDEX(LdCNote,$N1837)="","—",INDEX(LdCNote,$N1837)),""))))</f>
        <v/>
      </c>
      <c r="L1837">
        <f>IFERROR(MATCH($C$5&amp;"|"&amp;RIGHT("000000"&amp;1821,6),LdAKeyM,0),"")</f>
        <v/>
      </c>
      <c r="M1837">
        <f>IFERROR(MATCH($C$5&amp;"|"&amp;RIGHT("000000"&amp;1821,6),LdBKeyM,0),"")</f>
        <v/>
      </c>
      <c r="N1837">
        <f>IFERROR(MATCH($C$5&amp;"|"&amp;RIGHT("000000"&amp;1821,6),LdCKeyM,0),"")</f>
        <v/>
      </c>
    </row>
    <row r="1838">
      <c r="A1838" s="19" t="n">
        <v>1822</v>
      </c>
      <c r="B1838" s="20">
        <f>IF(AND($L1838="",$M1838="",$N1838=""),"",IF($L1838&lt;&gt;"",INDEX(LdADate,$L1838),IF($M1838&lt;&gt;"",INDEX(LdBDate,$M1838),INDEX(LdCDate,$N1838))))</f>
        <v/>
      </c>
      <c r="C1838" s="20">
        <f>IF($L1838&lt;&gt;"","دستمزد (فردی)",IF($M1838&lt;&gt;"","سهم از گروه "&amp;IFERROR(VLOOKUP(INDEX(LdBGroup,$M1838),WGTbl,2,0),INDEX(LdBGroup,$M1838)),IF($N1838&lt;&gt;"",IF(N(INDEX(LdCDep,$N1838))&gt;0,"بازگشت بانکی","پرداخت بانکی"),"")))</f>
        <v/>
      </c>
      <c r="D1838" s="20">
        <f>IF($L1838&lt;&gt;"",IF(INDEX(LdAId,$L1838)="","—",INDEX(LdAId,$L1838)),IF($M1838&lt;&gt;"",IF(INDEX(LdBId,$M1838)="","—",INDEX(LdBId,$M1838)),IF($N1838&lt;&gt;"",IF(INDEX(LdCBank,$N1838)="","—",INDEX(LdCBank,$N1838)),"")))</f>
        <v/>
      </c>
      <c r="E1838" s="21">
        <f>IF($L1838&lt;&gt;"",IF(INDEX(LdAAmt,$L1838)=0,"",INDEX(LdAAmt,$L1838)),IF($M1838&lt;&gt;"",IF(INDEX(LdBAmt,$M1838)=0,"",INDEX(LdBAmt,$M1838)),IF($N1838&lt;&gt;"",IF(INDEX(LdCDep,$N1838)=0,"",INDEX(LdCDep,$N1838)),"")))</f>
        <v/>
      </c>
      <c r="F1838" s="21">
        <f>IF(AND($L1838="",$M1838="",$N1838=""),"",IF($N1838="","",IF(INDEX(LdCWit,$N1838)=0,"",INDEX(LdCWit,$N1838))))</f>
        <v/>
      </c>
      <c r="G1838" s="31">
        <f>IF($B1838="","",IF($G1837="",0,$G1837)+IF($E1838="",0,$E1838)-IF($F1838="",0,$F1838))</f>
        <v/>
      </c>
      <c r="H1838" s="32">
        <f>IF(AND($L1838="",$M1838="",$N1838=""),"",IF($L1838&lt;&gt;"",IF(INDEX(LdANote,$L1838)="","—",INDEX(LdANote,$L1838)),IF($M1838&lt;&gt;"",IF(INDEX(LdBNote,$M1838)="","—",INDEX(LdBNote,$M1838)),IF($N1838&lt;&gt;"",IF(INDEX(LdCNote,$N1838)="","—",INDEX(LdCNote,$N1838)),""))))</f>
        <v/>
      </c>
      <c r="L1838">
        <f>IFERROR(MATCH($C$5&amp;"|"&amp;RIGHT("000000"&amp;1822,6),LdAKeyM,0),"")</f>
        <v/>
      </c>
      <c r="M1838">
        <f>IFERROR(MATCH($C$5&amp;"|"&amp;RIGHT("000000"&amp;1822,6),LdBKeyM,0),"")</f>
        <v/>
      </c>
      <c r="N1838">
        <f>IFERROR(MATCH($C$5&amp;"|"&amp;RIGHT("000000"&amp;1822,6),LdCKeyM,0),"")</f>
        <v/>
      </c>
    </row>
    <row r="1839">
      <c r="A1839" s="10" t="n">
        <v>1823</v>
      </c>
      <c r="B1839" s="14">
        <f>IF(AND($L1839="",$M1839="",$N1839=""),"",IF($L1839&lt;&gt;"",INDEX(LdADate,$L1839),IF($M1839&lt;&gt;"",INDEX(LdBDate,$M1839),INDEX(LdCDate,$N1839))))</f>
        <v/>
      </c>
      <c r="C1839" s="14">
        <f>IF($L1839&lt;&gt;"","دستمزد (فردی)",IF($M1839&lt;&gt;"","سهم از گروه "&amp;IFERROR(VLOOKUP(INDEX(LdBGroup,$M1839),WGTbl,2,0),INDEX(LdBGroup,$M1839)),IF($N1839&lt;&gt;"",IF(N(INDEX(LdCDep,$N1839))&gt;0,"بازگشت بانکی","پرداخت بانکی"),"")))</f>
        <v/>
      </c>
      <c r="D1839" s="14">
        <f>IF($L1839&lt;&gt;"",IF(INDEX(LdAId,$L1839)="","—",INDEX(LdAId,$L1839)),IF($M1839&lt;&gt;"",IF(INDEX(LdBId,$M1839)="","—",INDEX(LdBId,$M1839)),IF($N1839&lt;&gt;"",IF(INDEX(LdCBank,$N1839)="","—",INDEX(LdCBank,$N1839)),"")))</f>
        <v/>
      </c>
      <c r="E1839" s="16">
        <f>IF($L1839&lt;&gt;"",IF(INDEX(LdAAmt,$L1839)=0,"",INDEX(LdAAmt,$L1839)),IF($M1839&lt;&gt;"",IF(INDEX(LdBAmt,$M1839)=0,"",INDEX(LdBAmt,$M1839)),IF($N1839&lt;&gt;"",IF(INDEX(LdCDep,$N1839)=0,"",INDEX(LdCDep,$N1839)),"")))</f>
        <v/>
      </c>
      <c r="F1839" s="16">
        <f>IF(AND($L1839="",$M1839="",$N1839=""),"",IF($N1839="","",IF(INDEX(LdCWit,$N1839)=0,"",INDEX(LdCWit,$N1839))))</f>
        <v/>
      </c>
      <c r="G1839" s="29">
        <f>IF($B1839="","",IF($G1838="",0,$G1838)+IF($E1839="",0,$E1839)-IF($F1839="",0,$F1839))</f>
        <v/>
      </c>
      <c r="H1839" s="30">
        <f>IF(AND($L1839="",$M1839="",$N1839=""),"",IF($L1839&lt;&gt;"",IF(INDEX(LdANote,$L1839)="","—",INDEX(LdANote,$L1839)),IF($M1839&lt;&gt;"",IF(INDEX(LdBNote,$M1839)="","—",INDEX(LdBNote,$M1839)),IF($N1839&lt;&gt;"",IF(INDEX(LdCNote,$N1839)="","—",INDEX(LdCNote,$N1839)),""))))</f>
        <v/>
      </c>
      <c r="L1839">
        <f>IFERROR(MATCH($C$5&amp;"|"&amp;RIGHT("000000"&amp;1823,6),LdAKeyM,0),"")</f>
        <v/>
      </c>
      <c r="M1839">
        <f>IFERROR(MATCH($C$5&amp;"|"&amp;RIGHT("000000"&amp;1823,6),LdBKeyM,0),"")</f>
        <v/>
      </c>
      <c r="N1839">
        <f>IFERROR(MATCH($C$5&amp;"|"&amp;RIGHT("000000"&amp;1823,6),LdCKeyM,0),"")</f>
        <v/>
      </c>
    </row>
    <row r="1840">
      <c r="A1840" s="19" t="n">
        <v>1824</v>
      </c>
      <c r="B1840" s="20">
        <f>IF(AND($L1840="",$M1840="",$N1840=""),"",IF($L1840&lt;&gt;"",INDEX(LdADate,$L1840),IF($M1840&lt;&gt;"",INDEX(LdBDate,$M1840),INDEX(LdCDate,$N1840))))</f>
        <v/>
      </c>
      <c r="C1840" s="20">
        <f>IF($L1840&lt;&gt;"","دستمزد (فردی)",IF($M1840&lt;&gt;"","سهم از گروه "&amp;IFERROR(VLOOKUP(INDEX(LdBGroup,$M1840),WGTbl,2,0),INDEX(LdBGroup,$M1840)),IF($N1840&lt;&gt;"",IF(N(INDEX(LdCDep,$N1840))&gt;0,"بازگشت بانکی","پرداخت بانکی"),"")))</f>
        <v/>
      </c>
      <c r="D1840" s="20">
        <f>IF($L1840&lt;&gt;"",IF(INDEX(LdAId,$L1840)="","—",INDEX(LdAId,$L1840)),IF($M1840&lt;&gt;"",IF(INDEX(LdBId,$M1840)="","—",INDEX(LdBId,$M1840)),IF($N1840&lt;&gt;"",IF(INDEX(LdCBank,$N1840)="","—",INDEX(LdCBank,$N1840)),"")))</f>
        <v/>
      </c>
      <c r="E1840" s="21">
        <f>IF($L1840&lt;&gt;"",IF(INDEX(LdAAmt,$L1840)=0,"",INDEX(LdAAmt,$L1840)),IF($M1840&lt;&gt;"",IF(INDEX(LdBAmt,$M1840)=0,"",INDEX(LdBAmt,$M1840)),IF($N1840&lt;&gt;"",IF(INDEX(LdCDep,$N1840)=0,"",INDEX(LdCDep,$N1840)),"")))</f>
        <v/>
      </c>
      <c r="F1840" s="21">
        <f>IF(AND($L1840="",$M1840="",$N1840=""),"",IF($N1840="","",IF(INDEX(LdCWit,$N1840)=0,"",INDEX(LdCWit,$N1840))))</f>
        <v/>
      </c>
      <c r="G1840" s="31">
        <f>IF($B1840="","",IF($G1839="",0,$G1839)+IF($E1840="",0,$E1840)-IF($F1840="",0,$F1840))</f>
        <v/>
      </c>
      <c r="H1840" s="32">
        <f>IF(AND($L1840="",$M1840="",$N1840=""),"",IF($L1840&lt;&gt;"",IF(INDEX(LdANote,$L1840)="","—",INDEX(LdANote,$L1840)),IF($M1840&lt;&gt;"",IF(INDEX(LdBNote,$M1840)="","—",INDEX(LdBNote,$M1840)),IF($N1840&lt;&gt;"",IF(INDEX(LdCNote,$N1840)="","—",INDEX(LdCNote,$N1840)),""))))</f>
        <v/>
      </c>
      <c r="L1840">
        <f>IFERROR(MATCH($C$5&amp;"|"&amp;RIGHT("000000"&amp;1824,6),LdAKeyM,0),"")</f>
        <v/>
      </c>
      <c r="M1840">
        <f>IFERROR(MATCH($C$5&amp;"|"&amp;RIGHT("000000"&amp;1824,6),LdBKeyM,0),"")</f>
        <v/>
      </c>
      <c r="N1840">
        <f>IFERROR(MATCH($C$5&amp;"|"&amp;RIGHT("000000"&amp;1824,6),LdCKeyM,0),"")</f>
        <v/>
      </c>
    </row>
    <row r="1841">
      <c r="A1841" s="10" t="n">
        <v>1825</v>
      </c>
      <c r="B1841" s="14">
        <f>IF(AND($L1841="",$M1841="",$N1841=""),"",IF($L1841&lt;&gt;"",INDEX(LdADate,$L1841),IF($M1841&lt;&gt;"",INDEX(LdBDate,$M1841),INDEX(LdCDate,$N1841))))</f>
        <v/>
      </c>
      <c r="C1841" s="14">
        <f>IF($L1841&lt;&gt;"","دستمزد (فردی)",IF($M1841&lt;&gt;"","سهم از گروه "&amp;IFERROR(VLOOKUP(INDEX(LdBGroup,$M1841),WGTbl,2,0),INDEX(LdBGroup,$M1841)),IF($N1841&lt;&gt;"",IF(N(INDEX(LdCDep,$N1841))&gt;0,"بازگشت بانکی","پرداخت بانکی"),"")))</f>
        <v/>
      </c>
      <c r="D1841" s="14">
        <f>IF($L1841&lt;&gt;"",IF(INDEX(LdAId,$L1841)="","—",INDEX(LdAId,$L1841)),IF($M1841&lt;&gt;"",IF(INDEX(LdBId,$M1841)="","—",INDEX(LdBId,$M1841)),IF($N1841&lt;&gt;"",IF(INDEX(LdCBank,$N1841)="","—",INDEX(LdCBank,$N1841)),"")))</f>
        <v/>
      </c>
      <c r="E1841" s="16">
        <f>IF($L1841&lt;&gt;"",IF(INDEX(LdAAmt,$L1841)=0,"",INDEX(LdAAmt,$L1841)),IF($M1841&lt;&gt;"",IF(INDEX(LdBAmt,$M1841)=0,"",INDEX(LdBAmt,$M1841)),IF($N1841&lt;&gt;"",IF(INDEX(LdCDep,$N1841)=0,"",INDEX(LdCDep,$N1841)),"")))</f>
        <v/>
      </c>
      <c r="F1841" s="16">
        <f>IF(AND($L1841="",$M1841="",$N1841=""),"",IF($N1841="","",IF(INDEX(LdCWit,$N1841)=0,"",INDEX(LdCWit,$N1841))))</f>
        <v/>
      </c>
      <c r="G1841" s="29">
        <f>IF($B1841="","",IF($G1840="",0,$G1840)+IF($E1841="",0,$E1841)-IF($F1841="",0,$F1841))</f>
        <v/>
      </c>
      <c r="H1841" s="30">
        <f>IF(AND($L1841="",$M1841="",$N1841=""),"",IF($L1841&lt;&gt;"",IF(INDEX(LdANote,$L1841)="","—",INDEX(LdANote,$L1841)),IF($M1841&lt;&gt;"",IF(INDEX(LdBNote,$M1841)="","—",INDEX(LdBNote,$M1841)),IF($N1841&lt;&gt;"",IF(INDEX(LdCNote,$N1841)="","—",INDEX(LdCNote,$N1841)),""))))</f>
        <v/>
      </c>
      <c r="L1841">
        <f>IFERROR(MATCH($C$5&amp;"|"&amp;RIGHT("000000"&amp;1825,6),LdAKeyM,0),"")</f>
        <v/>
      </c>
      <c r="M1841">
        <f>IFERROR(MATCH($C$5&amp;"|"&amp;RIGHT("000000"&amp;1825,6),LdBKeyM,0),"")</f>
        <v/>
      </c>
      <c r="N1841">
        <f>IFERROR(MATCH($C$5&amp;"|"&amp;RIGHT("000000"&amp;1825,6),LdCKeyM,0),"")</f>
        <v/>
      </c>
    </row>
    <row r="1842">
      <c r="A1842" s="19" t="n">
        <v>1826</v>
      </c>
      <c r="B1842" s="20">
        <f>IF(AND($L1842="",$M1842="",$N1842=""),"",IF($L1842&lt;&gt;"",INDEX(LdADate,$L1842),IF($M1842&lt;&gt;"",INDEX(LdBDate,$M1842),INDEX(LdCDate,$N1842))))</f>
        <v/>
      </c>
      <c r="C1842" s="20">
        <f>IF($L1842&lt;&gt;"","دستمزد (فردی)",IF($M1842&lt;&gt;"","سهم از گروه "&amp;IFERROR(VLOOKUP(INDEX(LdBGroup,$M1842),WGTbl,2,0),INDEX(LdBGroup,$M1842)),IF($N1842&lt;&gt;"",IF(N(INDEX(LdCDep,$N1842))&gt;0,"بازگشت بانکی","پرداخت بانکی"),"")))</f>
        <v/>
      </c>
      <c r="D1842" s="20">
        <f>IF($L1842&lt;&gt;"",IF(INDEX(LdAId,$L1842)="","—",INDEX(LdAId,$L1842)),IF($M1842&lt;&gt;"",IF(INDEX(LdBId,$M1842)="","—",INDEX(LdBId,$M1842)),IF($N1842&lt;&gt;"",IF(INDEX(LdCBank,$N1842)="","—",INDEX(LdCBank,$N1842)),"")))</f>
        <v/>
      </c>
      <c r="E1842" s="21">
        <f>IF($L1842&lt;&gt;"",IF(INDEX(LdAAmt,$L1842)=0,"",INDEX(LdAAmt,$L1842)),IF($M1842&lt;&gt;"",IF(INDEX(LdBAmt,$M1842)=0,"",INDEX(LdBAmt,$M1842)),IF($N1842&lt;&gt;"",IF(INDEX(LdCDep,$N1842)=0,"",INDEX(LdCDep,$N1842)),"")))</f>
        <v/>
      </c>
      <c r="F1842" s="21">
        <f>IF(AND($L1842="",$M1842="",$N1842=""),"",IF($N1842="","",IF(INDEX(LdCWit,$N1842)=0,"",INDEX(LdCWit,$N1842))))</f>
        <v/>
      </c>
      <c r="G1842" s="31">
        <f>IF($B1842="","",IF($G1841="",0,$G1841)+IF($E1842="",0,$E1842)-IF($F1842="",0,$F1842))</f>
        <v/>
      </c>
      <c r="H1842" s="32">
        <f>IF(AND($L1842="",$M1842="",$N1842=""),"",IF($L1842&lt;&gt;"",IF(INDEX(LdANote,$L1842)="","—",INDEX(LdANote,$L1842)),IF($M1842&lt;&gt;"",IF(INDEX(LdBNote,$M1842)="","—",INDEX(LdBNote,$M1842)),IF($N1842&lt;&gt;"",IF(INDEX(LdCNote,$N1842)="","—",INDEX(LdCNote,$N1842)),""))))</f>
        <v/>
      </c>
      <c r="L1842">
        <f>IFERROR(MATCH($C$5&amp;"|"&amp;RIGHT("000000"&amp;1826,6),LdAKeyM,0),"")</f>
        <v/>
      </c>
      <c r="M1842">
        <f>IFERROR(MATCH($C$5&amp;"|"&amp;RIGHT("000000"&amp;1826,6),LdBKeyM,0),"")</f>
        <v/>
      </c>
      <c r="N1842">
        <f>IFERROR(MATCH($C$5&amp;"|"&amp;RIGHT("000000"&amp;1826,6),LdCKeyM,0),"")</f>
        <v/>
      </c>
    </row>
    <row r="1843">
      <c r="A1843" s="10" t="n">
        <v>1827</v>
      </c>
      <c r="B1843" s="14">
        <f>IF(AND($L1843="",$M1843="",$N1843=""),"",IF($L1843&lt;&gt;"",INDEX(LdADate,$L1843),IF($M1843&lt;&gt;"",INDEX(LdBDate,$M1843),INDEX(LdCDate,$N1843))))</f>
        <v/>
      </c>
      <c r="C1843" s="14">
        <f>IF($L1843&lt;&gt;"","دستمزد (فردی)",IF($M1843&lt;&gt;"","سهم از گروه "&amp;IFERROR(VLOOKUP(INDEX(LdBGroup,$M1843),WGTbl,2,0),INDEX(LdBGroup,$M1843)),IF($N1843&lt;&gt;"",IF(N(INDEX(LdCDep,$N1843))&gt;0,"بازگشت بانکی","پرداخت بانکی"),"")))</f>
        <v/>
      </c>
      <c r="D1843" s="14">
        <f>IF($L1843&lt;&gt;"",IF(INDEX(LdAId,$L1843)="","—",INDEX(LdAId,$L1843)),IF($M1843&lt;&gt;"",IF(INDEX(LdBId,$M1843)="","—",INDEX(LdBId,$M1843)),IF($N1843&lt;&gt;"",IF(INDEX(LdCBank,$N1843)="","—",INDEX(LdCBank,$N1843)),"")))</f>
        <v/>
      </c>
      <c r="E1843" s="16">
        <f>IF($L1843&lt;&gt;"",IF(INDEX(LdAAmt,$L1843)=0,"",INDEX(LdAAmt,$L1843)),IF($M1843&lt;&gt;"",IF(INDEX(LdBAmt,$M1843)=0,"",INDEX(LdBAmt,$M1843)),IF($N1843&lt;&gt;"",IF(INDEX(LdCDep,$N1843)=0,"",INDEX(LdCDep,$N1843)),"")))</f>
        <v/>
      </c>
      <c r="F1843" s="16">
        <f>IF(AND($L1843="",$M1843="",$N1843=""),"",IF($N1843="","",IF(INDEX(LdCWit,$N1843)=0,"",INDEX(LdCWit,$N1843))))</f>
        <v/>
      </c>
      <c r="G1843" s="29">
        <f>IF($B1843="","",IF($G1842="",0,$G1842)+IF($E1843="",0,$E1843)-IF($F1843="",0,$F1843))</f>
        <v/>
      </c>
      <c r="H1843" s="30">
        <f>IF(AND($L1843="",$M1843="",$N1843=""),"",IF($L1843&lt;&gt;"",IF(INDEX(LdANote,$L1843)="","—",INDEX(LdANote,$L1843)),IF($M1843&lt;&gt;"",IF(INDEX(LdBNote,$M1843)="","—",INDEX(LdBNote,$M1843)),IF($N1843&lt;&gt;"",IF(INDEX(LdCNote,$N1843)="","—",INDEX(LdCNote,$N1843)),""))))</f>
        <v/>
      </c>
      <c r="L1843">
        <f>IFERROR(MATCH($C$5&amp;"|"&amp;RIGHT("000000"&amp;1827,6),LdAKeyM,0),"")</f>
        <v/>
      </c>
      <c r="M1843">
        <f>IFERROR(MATCH($C$5&amp;"|"&amp;RIGHT("000000"&amp;1827,6),LdBKeyM,0),"")</f>
        <v/>
      </c>
      <c r="N1843">
        <f>IFERROR(MATCH($C$5&amp;"|"&amp;RIGHT("000000"&amp;1827,6),LdCKeyM,0),"")</f>
        <v/>
      </c>
    </row>
    <row r="1844">
      <c r="A1844" s="19" t="n">
        <v>1828</v>
      </c>
      <c r="B1844" s="20">
        <f>IF(AND($L1844="",$M1844="",$N1844=""),"",IF($L1844&lt;&gt;"",INDEX(LdADate,$L1844),IF($M1844&lt;&gt;"",INDEX(LdBDate,$M1844),INDEX(LdCDate,$N1844))))</f>
        <v/>
      </c>
      <c r="C1844" s="20">
        <f>IF($L1844&lt;&gt;"","دستمزد (فردی)",IF($M1844&lt;&gt;"","سهم از گروه "&amp;IFERROR(VLOOKUP(INDEX(LdBGroup,$M1844),WGTbl,2,0),INDEX(LdBGroup,$M1844)),IF($N1844&lt;&gt;"",IF(N(INDEX(LdCDep,$N1844))&gt;0,"بازگشت بانکی","پرداخت بانکی"),"")))</f>
        <v/>
      </c>
      <c r="D1844" s="20">
        <f>IF($L1844&lt;&gt;"",IF(INDEX(LdAId,$L1844)="","—",INDEX(LdAId,$L1844)),IF($M1844&lt;&gt;"",IF(INDEX(LdBId,$M1844)="","—",INDEX(LdBId,$M1844)),IF($N1844&lt;&gt;"",IF(INDEX(LdCBank,$N1844)="","—",INDEX(LdCBank,$N1844)),"")))</f>
        <v/>
      </c>
      <c r="E1844" s="21">
        <f>IF($L1844&lt;&gt;"",IF(INDEX(LdAAmt,$L1844)=0,"",INDEX(LdAAmt,$L1844)),IF($M1844&lt;&gt;"",IF(INDEX(LdBAmt,$M1844)=0,"",INDEX(LdBAmt,$M1844)),IF($N1844&lt;&gt;"",IF(INDEX(LdCDep,$N1844)=0,"",INDEX(LdCDep,$N1844)),"")))</f>
        <v/>
      </c>
      <c r="F1844" s="21">
        <f>IF(AND($L1844="",$M1844="",$N1844=""),"",IF($N1844="","",IF(INDEX(LdCWit,$N1844)=0,"",INDEX(LdCWit,$N1844))))</f>
        <v/>
      </c>
      <c r="G1844" s="31">
        <f>IF($B1844="","",IF($G1843="",0,$G1843)+IF($E1844="",0,$E1844)-IF($F1844="",0,$F1844))</f>
        <v/>
      </c>
      <c r="H1844" s="32">
        <f>IF(AND($L1844="",$M1844="",$N1844=""),"",IF($L1844&lt;&gt;"",IF(INDEX(LdANote,$L1844)="","—",INDEX(LdANote,$L1844)),IF($M1844&lt;&gt;"",IF(INDEX(LdBNote,$M1844)="","—",INDEX(LdBNote,$M1844)),IF($N1844&lt;&gt;"",IF(INDEX(LdCNote,$N1844)="","—",INDEX(LdCNote,$N1844)),""))))</f>
        <v/>
      </c>
      <c r="L1844">
        <f>IFERROR(MATCH($C$5&amp;"|"&amp;RIGHT("000000"&amp;1828,6),LdAKeyM,0),"")</f>
        <v/>
      </c>
      <c r="M1844">
        <f>IFERROR(MATCH($C$5&amp;"|"&amp;RIGHT("000000"&amp;1828,6),LdBKeyM,0),"")</f>
        <v/>
      </c>
      <c r="N1844">
        <f>IFERROR(MATCH($C$5&amp;"|"&amp;RIGHT("000000"&amp;1828,6),LdCKeyM,0),"")</f>
        <v/>
      </c>
    </row>
    <row r="1845">
      <c r="A1845" s="10" t="n">
        <v>1829</v>
      </c>
      <c r="B1845" s="14">
        <f>IF(AND($L1845="",$M1845="",$N1845=""),"",IF($L1845&lt;&gt;"",INDEX(LdADate,$L1845),IF($M1845&lt;&gt;"",INDEX(LdBDate,$M1845),INDEX(LdCDate,$N1845))))</f>
        <v/>
      </c>
      <c r="C1845" s="14">
        <f>IF($L1845&lt;&gt;"","دستمزد (فردی)",IF($M1845&lt;&gt;"","سهم از گروه "&amp;IFERROR(VLOOKUP(INDEX(LdBGroup,$M1845),WGTbl,2,0),INDEX(LdBGroup,$M1845)),IF($N1845&lt;&gt;"",IF(N(INDEX(LdCDep,$N1845))&gt;0,"بازگشت بانکی","پرداخت بانکی"),"")))</f>
        <v/>
      </c>
      <c r="D1845" s="14">
        <f>IF($L1845&lt;&gt;"",IF(INDEX(LdAId,$L1845)="","—",INDEX(LdAId,$L1845)),IF($M1845&lt;&gt;"",IF(INDEX(LdBId,$M1845)="","—",INDEX(LdBId,$M1845)),IF($N1845&lt;&gt;"",IF(INDEX(LdCBank,$N1845)="","—",INDEX(LdCBank,$N1845)),"")))</f>
        <v/>
      </c>
      <c r="E1845" s="16">
        <f>IF($L1845&lt;&gt;"",IF(INDEX(LdAAmt,$L1845)=0,"",INDEX(LdAAmt,$L1845)),IF($M1845&lt;&gt;"",IF(INDEX(LdBAmt,$M1845)=0,"",INDEX(LdBAmt,$M1845)),IF($N1845&lt;&gt;"",IF(INDEX(LdCDep,$N1845)=0,"",INDEX(LdCDep,$N1845)),"")))</f>
        <v/>
      </c>
      <c r="F1845" s="16">
        <f>IF(AND($L1845="",$M1845="",$N1845=""),"",IF($N1845="","",IF(INDEX(LdCWit,$N1845)=0,"",INDEX(LdCWit,$N1845))))</f>
        <v/>
      </c>
      <c r="G1845" s="29">
        <f>IF($B1845="","",IF($G1844="",0,$G1844)+IF($E1845="",0,$E1845)-IF($F1845="",0,$F1845))</f>
        <v/>
      </c>
      <c r="H1845" s="30">
        <f>IF(AND($L1845="",$M1845="",$N1845=""),"",IF($L1845&lt;&gt;"",IF(INDEX(LdANote,$L1845)="","—",INDEX(LdANote,$L1845)),IF($M1845&lt;&gt;"",IF(INDEX(LdBNote,$M1845)="","—",INDEX(LdBNote,$M1845)),IF($N1845&lt;&gt;"",IF(INDEX(LdCNote,$N1845)="","—",INDEX(LdCNote,$N1845)),""))))</f>
        <v/>
      </c>
      <c r="L1845">
        <f>IFERROR(MATCH($C$5&amp;"|"&amp;RIGHT("000000"&amp;1829,6),LdAKeyM,0),"")</f>
        <v/>
      </c>
      <c r="M1845">
        <f>IFERROR(MATCH($C$5&amp;"|"&amp;RIGHT("000000"&amp;1829,6),LdBKeyM,0),"")</f>
        <v/>
      </c>
      <c r="N1845">
        <f>IFERROR(MATCH($C$5&amp;"|"&amp;RIGHT("000000"&amp;1829,6),LdCKeyM,0),"")</f>
        <v/>
      </c>
    </row>
    <row r="1846">
      <c r="A1846" s="19" t="n">
        <v>1830</v>
      </c>
      <c r="B1846" s="20">
        <f>IF(AND($L1846="",$M1846="",$N1846=""),"",IF($L1846&lt;&gt;"",INDEX(LdADate,$L1846),IF($M1846&lt;&gt;"",INDEX(LdBDate,$M1846),INDEX(LdCDate,$N1846))))</f>
        <v/>
      </c>
      <c r="C1846" s="20">
        <f>IF($L1846&lt;&gt;"","دستمزد (فردی)",IF($M1846&lt;&gt;"","سهم از گروه "&amp;IFERROR(VLOOKUP(INDEX(LdBGroup,$M1846),WGTbl,2,0),INDEX(LdBGroup,$M1846)),IF($N1846&lt;&gt;"",IF(N(INDEX(LdCDep,$N1846))&gt;0,"بازگشت بانکی","پرداخت بانکی"),"")))</f>
        <v/>
      </c>
      <c r="D1846" s="20">
        <f>IF($L1846&lt;&gt;"",IF(INDEX(LdAId,$L1846)="","—",INDEX(LdAId,$L1846)),IF($M1846&lt;&gt;"",IF(INDEX(LdBId,$M1846)="","—",INDEX(LdBId,$M1846)),IF($N1846&lt;&gt;"",IF(INDEX(LdCBank,$N1846)="","—",INDEX(LdCBank,$N1846)),"")))</f>
        <v/>
      </c>
      <c r="E1846" s="21">
        <f>IF($L1846&lt;&gt;"",IF(INDEX(LdAAmt,$L1846)=0,"",INDEX(LdAAmt,$L1846)),IF($M1846&lt;&gt;"",IF(INDEX(LdBAmt,$M1846)=0,"",INDEX(LdBAmt,$M1846)),IF($N1846&lt;&gt;"",IF(INDEX(LdCDep,$N1846)=0,"",INDEX(LdCDep,$N1846)),"")))</f>
        <v/>
      </c>
      <c r="F1846" s="21">
        <f>IF(AND($L1846="",$M1846="",$N1846=""),"",IF($N1846="","",IF(INDEX(LdCWit,$N1846)=0,"",INDEX(LdCWit,$N1846))))</f>
        <v/>
      </c>
      <c r="G1846" s="31">
        <f>IF($B1846="","",IF($G1845="",0,$G1845)+IF($E1846="",0,$E1846)-IF($F1846="",0,$F1846))</f>
        <v/>
      </c>
      <c r="H1846" s="32">
        <f>IF(AND($L1846="",$M1846="",$N1846=""),"",IF($L1846&lt;&gt;"",IF(INDEX(LdANote,$L1846)="","—",INDEX(LdANote,$L1846)),IF($M1846&lt;&gt;"",IF(INDEX(LdBNote,$M1846)="","—",INDEX(LdBNote,$M1846)),IF($N1846&lt;&gt;"",IF(INDEX(LdCNote,$N1846)="","—",INDEX(LdCNote,$N1846)),""))))</f>
        <v/>
      </c>
      <c r="L1846">
        <f>IFERROR(MATCH($C$5&amp;"|"&amp;RIGHT("000000"&amp;1830,6),LdAKeyM,0),"")</f>
        <v/>
      </c>
      <c r="M1846">
        <f>IFERROR(MATCH($C$5&amp;"|"&amp;RIGHT("000000"&amp;1830,6),LdBKeyM,0),"")</f>
        <v/>
      </c>
      <c r="N1846">
        <f>IFERROR(MATCH($C$5&amp;"|"&amp;RIGHT("000000"&amp;1830,6),LdCKeyM,0),"")</f>
        <v/>
      </c>
    </row>
    <row r="1847">
      <c r="A1847" s="10" t="n">
        <v>1831</v>
      </c>
      <c r="B1847" s="14">
        <f>IF(AND($L1847="",$M1847="",$N1847=""),"",IF($L1847&lt;&gt;"",INDEX(LdADate,$L1847),IF($M1847&lt;&gt;"",INDEX(LdBDate,$M1847),INDEX(LdCDate,$N1847))))</f>
        <v/>
      </c>
      <c r="C1847" s="14">
        <f>IF($L1847&lt;&gt;"","دستمزد (فردی)",IF($M1847&lt;&gt;"","سهم از گروه "&amp;IFERROR(VLOOKUP(INDEX(LdBGroup,$M1847),WGTbl,2,0),INDEX(LdBGroup,$M1847)),IF($N1847&lt;&gt;"",IF(N(INDEX(LdCDep,$N1847))&gt;0,"بازگشت بانکی","پرداخت بانکی"),"")))</f>
        <v/>
      </c>
      <c r="D1847" s="14">
        <f>IF($L1847&lt;&gt;"",IF(INDEX(LdAId,$L1847)="","—",INDEX(LdAId,$L1847)),IF($M1847&lt;&gt;"",IF(INDEX(LdBId,$M1847)="","—",INDEX(LdBId,$M1847)),IF($N1847&lt;&gt;"",IF(INDEX(LdCBank,$N1847)="","—",INDEX(LdCBank,$N1847)),"")))</f>
        <v/>
      </c>
      <c r="E1847" s="16">
        <f>IF($L1847&lt;&gt;"",IF(INDEX(LdAAmt,$L1847)=0,"",INDEX(LdAAmt,$L1847)),IF($M1847&lt;&gt;"",IF(INDEX(LdBAmt,$M1847)=0,"",INDEX(LdBAmt,$M1847)),IF($N1847&lt;&gt;"",IF(INDEX(LdCDep,$N1847)=0,"",INDEX(LdCDep,$N1847)),"")))</f>
        <v/>
      </c>
      <c r="F1847" s="16">
        <f>IF(AND($L1847="",$M1847="",$N1847=""),"",IF($N1847="","",IF(INDEX(LdCWit,$N1847)=0,"",INDEX(LdCWit,$N1847))))</f>
        <v/>
      </c>
      <c r="G1847" s="29">
        <f>IF($B1847="","",IF($G1846="",0,$G1846)+IF($E1847="",0,$E1847)-IF($F1847="",0,$F1847))</f>
        <v/>
      </c>
      <c r="H1847" s="30">
        <f>IF(AND($L1847="",$M1847="",$N1847=""),"",IF($L1847&lt;&gt;"",IF(INDEX(LdANote,$L1847)="","—",INDEX(LdANote,$L1847)),IF($M1847&lt;&gt;"",IF(INDEX(LdBNote,$M1847)="","—",INDEX(LdBNote,$M1847)),IF($N1847&lt;&gt;"",IF(INDEX(LdCNote,$N1847)="","—",INDEX(LdCNote,$N1847)),""))))</f>
        <v/>
      </c>
      <c r="L1847">
        <f>IFERROR(MATCH($C$5&amp;"|"&amp;RIGHT("000000"&amp;1831,6),LdAKeyM,0),"")</f>
        <v/>
      </c>
      <c r="M1847">
        <f>IFERROR(MATCH($C$5&amp;"|"&amp;RIGHT("000000"&amp;1831,6),LdBKeyM,0),"")</f>
        <v/>
      </c>
      <c r="N1847">
        <f>IFERROR(MATCH($C$5&amp;"|"&amp;RIGHT("000000"&amp;1831,6),LdCKeyM,0),"")</f>
        <v/>
      </c>
    </row>
    <row r="1848">
      <c r="A1848" s="19" t="n">
        <v>1832</v>
      </c>
      <c r="B1848" s="20">
        <f>IF(AND($L1848="",$M1848="",$N1848=""),"",IF($L1848&lt;&gt;"",INDEX(LdADate,$L1848),IF($M1848&lt;&gt;"",INDEX(LdBDate,$M1848),INDEX(LdCDate,$N1848))))</f>
        <v/>
      </c>
      <c r="C1848" s="20">
        <f>IF($L1848&lt;&gt;"","دستمزد (فردی)",IF($M1848&lt;&gt;"","سهم از گروه "&amp;IFERROR(VLOOKUP(INDEX(LdBGroup,$M1848),WGTbl,2,0),INDEX(LdBGroup,$M1848)),IF($N1848&lt;&gt;"",IF(N(INDEX(LdCDep,$N1848))&gt;0,"بازگشت بانکی","پرداخت بانکی"),"")))</f>
        <v/>
      </c>
      <c r="D1848" s="20">
        <f>IF($L1848&lt;&gt;"",IF(INDEX(LdAId,$L1848)="","—",INDEX(LdAId,$L1848)),IF($M1848&lt;&gt;"",IF(INDEX(LdBId,$M1848)="","—",INDEX(LdBId,$M1848)),IF($N1848&lt;&gt;"",IF(INDEX(LdCBank,$N1848)="","—",INDEX(LdCBank,$N1848)),"")))</f>
        <v/>
      </c>
      <c r="E1848" s="21">
        <f>IF($L1848&lt;&gt;"",IF(INDEX(LdAAmt,$L1848)=0,"",INDEX(LdAAmt,$L1848)),IF($M1848&lt;&gt;"",IF(INDEX(LdBAmt,$M1848)=0,"",INDEX(LdBAmt,$M1848)),IF($N1848&lt;&gt;"",IF(INDEX(LdCDep,$N1848)=0,"",INDEX(LdCDep,$N1848)),"")))</f>
        <v/>
      </c>
      <c r="F1848" s="21">
        <f>IF(AND($L1848="",$M1848="",$N1848=""),"",IF($N1848="","",IF(INDEX(LdCWit,$N1848)=0,"",INDEX(LdCWit,$N1848))))</f>
        <v/>
      </c>
      <c r="G1848" s="31">
        <f>IF($B1848="","",IF($G1847="",0,$G1847)+IF($E1848="",0,$E1848)-IF($F1848="",0,$F1848))</f>
        <v/>
      </c>
      <c r="H1848" s="32">
        <f>IF(AND($L1848="",$M1848="",$N1848=""),"",IF($L1848&lt;&gt;"",IF(INDEX(LdANote,$L1848)="","—",INDEX(LdANote,$L1848)),IF($M1848&lt;&gt;"",IF(INDEX(LdBNote,$M1848)="","—",INDEX(LdBNote,$M1848)),IF($N1848&lt;&gt;"",IF(INDEX(LdCNote,$N1848)="","—",INDEX(LdCNote,$N1848)),""))))</f>
        <v/>
      </c>
      <c r="L1848">
        <f>IFERROR(MATCH($C$5&amp;"|"&amp;RIGHT("000000"&amp;1832,6),LdAKeyM,0),"")</f>
        <v/>
      </c>
      <c r="M1848">
        <f>IFERROR(MATCH($C$5&amp;"|"&amp;RIGHT("000000"&amp;1832,6),LdBKeyM,0),"")</f>
        <v/>
      </c>
      <c r="N1848">
        <f>IFERROR(MATCH($C$5&amp;"|"&amp;RIGHT("000000"&amp;1832,6),LdCKeyM,0),"")</f>
        <v/>
      </c>
    </row>
    <row r="1849">
      <c r="A1849" s="10" t="n">
        <v>1833</v>
      </c>
      <c r="B1849" s="14">
        <f>IF(AND($L1849="",$M1849="",$N1849=""),"",IF($L1849&lt;&gt;"",INDEX(LdADate,$L1849),IF($M1849&lt;&gt;"",INDEX(LdBDate,$M1849),INDEX(LdCDate,$N1849))))</f>
        <v/>
      </c>
      <c r="C1849" s="14">
        <f>IF($L1849&lt;&gt;"","دستمزد (فردی)",IF($M1849&lt;&gt;"","سهم از گروه "&amp;IFERROR(VLOOKUP(INDEX(LdBGroup,$M1849),WGTbl,2,0),INDEX(LdBGroup,$M1849)),IF($N1849&lt;&gt;"",IF(N(INDEX(LdCDep,$N1849))&gt;0,"بازگشت بانکی","پرداخت بانکی"),"")))</f>
        <v/>
      </c>
      <c r="D1849" s="14">
        <f>IF($L1849&lt;&gt;"",IF(INDEX(LdAId,$L1849)="","—",INDEX(LdAId,$L1849)),IF($M1849&lt;&gt;"",IF(INDEX(LdBId,$M1849)="","—",INDEX(LdBId,$M1849)),IF($N1849&lt;&gt;"",IF(INDEX(LdCBank,$N1849)="","—",INDEX(LdCBank,$N1849)),"")))</f>
        <v/>
      </c>
      <c r="E1849" s="16">
        <f>IF($L1849&lt;&gt;"",IF(INDEX(LdAAmt,$L1849)=0,"",INDEX(LdAAmt,$L1849)),IF($M1849&lt;&gt;"",IF(INDEX(LdBAmt,$M1849)=0,"",INDEX(LdBAmt,$M1849)),IF($N1849&lt;&gt;"",IF(INDEX(LdCDep,$N1849)=0,"",INDEX(LdCDep,$N1849)),"")))</f>
        <v/>
      </c>
      <c r="F1849" s="16">
        <f>IF(AND($L1849="",$M1849="",$N1849=""),"",IF($N1849="","",IF(INDEX(LdCWit,$N1849)=0,"",INDEX(LdCWit,$N1849))))</f>
        <v/>
      </c>
      <c r="G1849" s="29">
        <f>IF($B1849="","",IF($G1848="",0,$G1848)+IF($E1849="",0,$E1849)-IF($F1849="",0,$F1849))</f>
        <v/>
      </c>
      <c r="H1849" s="30">
        <f>IF(AND($L1849="",$M1849="",$N1849=""),"",IF($L1849&lt;&gt;"",IF(INDEX(LdANote,$L1849)="","—",INDEX(LdANote,$L1849)),IF($M1849&lt;&gt;"",IF(INDEX(LdBNote,$M1849)="","—",INDEX(LdBNote,$M1849)),IF($N1849&lt;&gt;"",IF(INDEX(LdCNote,$N1849)="","—",INDEX(LdCNote,$N1849)),""))))</f>
        <v/>
      </c>
      <c r="L1849">
        <f>IFERROR(MATCH($C$5&amp;"|"&amp;RIGHT("000000"&amp;1833,6),LdAKeyM,0),"")</f>
        <v/>
      </c>
      <c r="M1849">
        <f>IFERROR(MATCH($C$5&amp;"|"&amp;RIGHT("000000"&amp;1833,6),LdBKeyM,0),"")</f>
        <v/>
      </c>
      <c r="N1849">
        <f>IFERROR(MATCH($C$5&amp;"|"&amp;RIGHT("000000"&amp;1833,6),LdCKeyM,0),"")</f>
        <v/>
      </c>
    </row>
    <row r="1850">
      <c r="A1850" s="19" t="n">
        <v>1834</v>
      </c>
      <c r="B1850" s="20">
        <f>IF(AND($L1850="",$M1850="",$N1850=""),"",IF($L1850&lt;&gt;"",INDEX(LdADate,$L1850),IF($M1850&lt;&gt;"",INDEX(LdBDate,$M1850),INDEX(LdCDate,$N1850))))</f>
        <v/>
      </c>
      <c r="C1850" s="20">
        <f>IF($L1850&lt;&gt;"","دستمزد (فردی)",IF($M1850&lt;&gt;"","سهم از گروه "&amp;IFERROR(VLOOKUP(INDEX(LdBGroup,$M1850),WGTbl,2,0),INDEX(LdBGroup,$M1850)),IF($N1850&lt;&gt;"",IF(N(INDEX(LdCDep,$N1850))&gt;0,"بازگشت بانکی","پرداخت بانکی"),"")))</f>
        <v/>
      </c>
      <c r="D1850" s="20">
        <f>IF($L1850&lt;&gt;"",IF(INDEX(LdAId,$L1850)="","—",INDEX(LdAId,$L1850)),IF($M1850&lt;&gt;"",IF(INDEX(LdBId,$M1850)="","—",INDEX(LdBId,$M1850)),IF($N1850&lt;&gt;"",IF(INDEX(LdCBank,$N1850)="","—",INDEX(LdCBank,$N1850)),"")))</f>
        <v/>
      </c>
      <c r="E1850" s="21">
        <f>IF($L1850&lt;&gt;"",IF(INDEX(LdAAmt,$L1850)=0,"",INDEX(LdAAmt,$L1850)),IF($M1850&lt;&gt;"",IF(INDEX(LdBAmt,$M1850)=0,"",INDEX(LdBAmt,$M1850)),IF($N1850&lt;&gt;"",IF(INDEX(LdCDep,$N1850)=0,"",INDEX(LdCDep,$N1850)),"")))</f>
        <v/>
      </c>
      <c r="F1850" s="21">
        <f>IF(AND($L1850="",$M1850="",$N1850=""),"",IF($N1850="","",IF(INDEX(LdCWit,$N1850)=0,"",INDEX(LdCWit,$N1850))))</f>
        <v/>
      </c>
      <c r="G1850" s="31">
        <f>IF($B1850="","",IF($G1849="",0,$G1849)+IF($E1850="",0,$E1850)-IF($F1850="",0,$F1850))</f>
        <v/>
      </c>
      <c r="H1850" s="32">
        <f>IF(AND($L1850="",$M1850="",$N1850=""),"",IF($L1850&lt;&gt;"",IF(INDEX(LdANote,$L1850)="","—",INDEX(LdANote,$L1850)),IF($M1850&lt;&gt;"",IF(INDEX(LdBNote,$M1850)="","—",INDEX(LdBNote,$M1850)),IF($N1850&lt;&gt;"",IF(INDEX(LdCNote,$N1850)="","—",INDEX(LdCNote,$N1850)),""))))</f>
        <v/>
      </c>
      <c r="L1850">
        <f>IFERROR(MATCH($C$5&amp;"|"&amp;RIGHT("000000"&amp;1834,6),LdAKeyM,0),"")</f>
        <v/>
      </c>
      <c r="M1850">
        <f>IFERROR(MATCH($C$5&amp;"|"&amp;RIGHT("000000"&amp;1834,6),LdBKeyM,0),"")</f>
        <v/>
      </c>
      <c r="N1850">
        <f>IFERROR(MATCH($C$5&amp;"|"&amp;RIGHT("000000"&amp;1834,6),LdCKeyM,0),"")</f>
        <v/>
      </c>
    </row>
    <row r="1851">
      <c r="A1851" s="10" t="n">
        <v>1835</v>
      </c>
      <c r="B1851" s="14">
        <f>IF(AND($L1851="",$M1851="",$N1851=""),"",IF($L1851&lt;&gt;"",INDEX(LdADate,$L1851),IF($M1851&lt;&gt;"",INDEX(LdBDate,$M1851),INDEX(LdCDate,$N1851))))</f>
        <v/>
      </c>
      <c r="C1851" s="14">
        <f>IF($L1851&lt;&gt;"","دستمزد (فردی)",IF($M1851&lt;&gt;"","سهم از گروه "&amp;IFERROR(VLOOKUP(INDEX(LdBGroup,$M1851),WGTbl,2,0),INDEX(LdBGroup,$M1851)),IF($N1851&lt;&gt;"",IF(N(INDEX(LdCDep,$N1851))&gt;0,"بازگشت بانکی","پرداخت بانکی"),"")))</f>
        <v/>
      </c>
      <c r="D1851" s="14">
        <f>IF($L1851&lt;&gt;"",IF(INDEX(LdAId,$L1851)="","—",INDEX(LdAId,$L1851)),IF($M1851&lt;&gt;"",IF(INDEX(LdBId,$M1851)="","—",INDEX(LdBId,$M1851)),IF($N1851&lt;&gt;"",IF(INDEX(LdCBank,$N1851)="","—",INDEX(LdCBank,$N1851)),"")))</f>
        <v/>
      </c>
      <c r="E1851" s="16">
        <f>IF($L1851&lt;&gt;"",IF(INDEX(LdAAmt,$L1851)=0,"",INDEX(LdAAmt,$L1851)),IF($M1851&lt;&gt;"",IF(INDEX(LdBAmt,$M1851)=0,"",INDEX(LdBAmt,$M1851)),IF($N1851&lt;&gt;"",IF(INDEX(LdCDep,$N1851)=0,"",INDEX(LdCDep,$N1851)),"")))</f>
        <v/>
      </c>
      <c r="F1851" s="16">
        <f>IF(AND($L1851="",$M1851="",$N1851=""),"",IF($N1851="","",IF(INDEX(LdCWit,$N1851)=0,"",INDEX(LdCWit,$N1851))))</f>
        <v/>
      </c>
      <c r="G1851" s="29">
        <f>IF($B1851="","",IF($G1850="",0,$G1850)+IF($E1851="",0,$E1851)-IF($F1851="",0,$F1851))</f>
        <v/>
      </c>
      <c r="H1851" s="30">
        <f>IF(AND($L1851="",$M1851="",$N1851=""),"",IF($L1851&lt;&gt;"",IF(INDEX(LdANote,$L1851)="","—",INDEX(LdANote,$L1851)),IF($M1851&lt;&gt;"",IF(INDEX(LdBNote,$M1851)="","—",INDEX(LdBNote,$M1851)),IF($N1851&lt;&gt;"",IF(INDEX(LdCNote,$N1851)="","—",INDEX(LdCNote,$N1851)),""))))</f>
        <v/>
      </c>
      <c r="L1851">
        <f>IFERROR(MATCH($C$5&amp;"|"&amp;RIGHT("000000"&amp;1835,6),LdAKeyM,0),"")</f>
        <v/>
      </c>
      <c r="M1851">
        <f>IFERROR(MATCH($C$5&amp;"|"&amp;RIGHT("000000"&amp;1835,6),LdBKeyM,0),"")</f>
        <v/>
      </c>
      <c r="N1851">
        <f>IFERROR(MATCH($C$5&amp;"|"&amp;RIGHT("000000"&amp;1835,6),LdCKeyM,0),"")</f>
        <v/>
      </c>
    </row>
    <row r="1852">
      <c r="A1852" s="19" t="n">
        <v>1836</v>
      </c>
      <c r="B1852" s="20">
        <f>IF(AND($L1852="",$M1852="",$N1852=""),"",IF($L1852&lt;&gt;"",INDEX(LdADate,$L1852),IF($M1852&lt;&gt;"",INDEX(LdBDate,$M1852),INDEX(LdCDate,$N1852))))</f>
        <v/>
      </c>
      <c r="C1852" s="20">
        <f>IF($L1852&lt;&gt;"","دستمزد (فردی)",IF($M1852&lt;&gt;"","سهم از گروه "&amp;IFERROR(VLOOKUP(INDEX(LdBGroup,$M1852),WGTbl,2,0),INDEX(LdBGroup,$M1852)),IF($N1852&lt;&gt;"",IF(N(INDEX(LdCDep,$N1852))&gt;0,"بازگشت بانکی","پرداخت بانکی"),"")))</f>
        <v/>
      </c>
      <c r="D1852" s="20">
        <f>IF($L1852&lt;&gt;"",IF(INDEX(LdAId,$L1852)="","—",INDEX(LdAId,$L1852)),IF($M1852&lt;&gt;"",IF(INDEX(LdBId,$M1852)="","—",INDEX(LdBId,$M1852)),IF($N1852&lt;&gt;"",IF(INDEX(LdCBank,$N1852)="","—",INDEX(LdCBank,$N1852)),"")))</f>
        <v/>
      </c>
      <c r="E1852" s="21">
        <f>IF($L1852&lt;&gt;"",IF(INDEX(LdAAmt,$L1852)=0,"",INDEX(LdAAmt,$L1852)),IF($M1852&lt;&gt;"",IF(INDEX(LdBAmt,$M1852)=0,"",INDEX(LdBAmt,$M1852)),IF($N1852&lt;&gt;"",IF(INDEX(LdCDep,$N1852)=0,"",INDEX(LdCDep,$N1852)),"")))</f>
        <v/>
      </c>
      <c r="F1852" s="21">
        <f>IF(AND($L1852="",$M1852="",$N1852=""),"",IF($N1852="","",IF(INDEX(LdCWit,$N1852)=0,"",INDEX(LdCWit,$N1852))))</f>
        <v/>
      </c>
      <c r="G1852" s="31">
        <f>IF($B1852="","",IF($G1851="",0,$G1851)+IF($E1852="",0,$E1852)-IF($F1852="",0,$F1852))</f>
        <v/>
      </c>
      <c r="H1852" s="32">
        <f>IF(AND($L1852="",$M1852="",$N1852=""),"",IF($L1852&lt;&gt;"",IF(INDEX(LdANote,$L1852)="","—",INDEX(LdANote,$L1852)),IF($M1852&lt;&gt;"",IF(INDEX(LdBNote,$M1852)="","—",INDEX(LdBNote,$M1852)),IF($N1852&lt;&gt;"",IF(INDEX(LdCNote,$N1852)="","—",INDEX(LdCNote,$N1852)),""))))</f>
        <v/>
      </c>
      <c r="L1852">
        <f>IFERROR(MATCH($C$5&amp;"|"&amp;RIGHT("000000"&amp;1836,6),LdAKeyM,0),"")</f>
        <v/>
      </c>
      <c r="M1852">
        <f>IFERROR(MATCH($C$5&amp;"|"&amp;RIGHT("000000"&amp;1836,6),LdBKeyM,0),"")</f>
        <v/>
      </c>
      <c r="N1852">
        <f>IFERROR(MATCH($C$5&amp;"|"&amp;RIGHT("000000"&amp;1836,6),LdCKeyM,0),"")</f>
        <v/>
      </c>
    </row>
    <row r="1853">
      <c r="A1853" s="10" t="n">
        <v>1837</v>
      </c>
      <c r="B1853" s="14">
        <f>IF(AND($L1853="",$M1853="",$N1853=""),"",IF($L1853&lt;&gt;"",INDEX(LdADate,$L1853),IF($M1853&lt;&gt;"",INDEX(LdBDate,$M1853),INDEX(LdCDate,$N1853))))</f>
        <v/>
      </c>
      <c r="C1853" s="14">
        <f>IF($L1853&lt;&gt;"","دستمزد (فردی)",IF($M1853&lt;&gt;"","سهم از گروه "&amp;IFERROR(VLOOKUP(INDEX(LdBGroup,$M1853),WGTbl,2,0),INDEX(LdBGroup,$M1853)),IF($N1853&lt;&gt;"",IF(N(INDEX(LdCDep,$N1853))&gt;0,"بازگشت بانکی","پرداخت بانکی"),"")))</f>
        <v/>
      </c>
      <c r="D1853" s="14">
        <f>IF($L1853&lt;&gt;"",IF(INDEX(LdAId,$L1853)="","—",INDEX(LdAId,$L1853)),IF($M1853&lt;&gt;"",IF(INDEX(LdBId,$M1853)="","—",INDEX(LdBId,$M1853)),IF($N1853&lt;&gt;"",IF(INDEX(LdCBank,$N1853)="","—",INDEX(LdCBank,$N1853)),"")))</f>
        <v/>
      </c>
      <c r="E1853" s="16">
        <f>IF($L1853&lt;&gt;"",IF(INDEX(LdAAmt,$L1853)=0,"",INDEX(LdAAmt,$L1853)),IF($M1853&lt;&gt;"",IF(INDEX(LdBAmt,$M1853)=0,"",INDEX(LdBAmt,$M1853)),IF($N1853&lt;&gt;"",IF(INDEX(LdCDep,$N1853)=0,"",INDEX(LdCDep,$N1853)),"")))</f>
        <v/>
      </c>
      <c r="F1853" s="16">
        <f>IF(AND($L1853="",$M1853="",$N1853=""),"",IF($N1853="","",IF(INDEX(LdCWit,$N1853)=0,"",INDEX(LdCWit,$N1853))))</f>
        <v/>
      </c>
      <c r="G1853" s="29">
        <f>IF($B1853="","",IF($G1852="",0,$G1852)+IF($E1853="",0,$E1853)-IF($F1853="",0,$F1853))</f>
        <v/>
      </c>
      <c r="H1853" s="30">
        <f>IF(AND($L1853="",$M1853="",$N1853=""),"",IF($L1853&lt;&gt;"",IF(INDEX(LdANote,$L1853)="","—",INDEX(LdANote,$L1853)),IF($M1853&lt;&gt;"",IF(INDEX(LdBNote,$M1853)="","—",INDEX(LdBNote,$M1853)),IF($N1853&lt;&gt;"",IF(INDEX(LdCNote,$N1853)="","—",INDEX(LdCNote,$N1853)),""))))</f>
        <v/>
      </c>
      <c r="L1853">
        <f>IFERROR(MATCH($C$5&amp;"|"&amp;RIGHT("000000"&amp;1837,6),LdAKeyM,0),"")</f>
        <v/>
      </c>
      <c r="M1853">
        <f>IFERROR(MATCH($C$5&amp;"|"&amp;RIGHT("000000"&amp;1837,6),LdBKeyM,0),"")</f>
        <v/>
      </c>
      <c r="N1853">
        <f>IFERROR(MATCH($C$5&amp;"|"&amp;RIGHT("000000"&amp;1837,6),LdCKeyM,0),"")</f>
        <v/>
      </c>
    </row>
    <row r="1854">
      <c r="A1854" s="19" t="n">
        <v>1838</v>
      </c>
      <c r="B1854" s="20">
        <f>IF(AND($L1854="",$M1854="",$N1854=""),"",IF($L1854&lt;&gt;"",INDEX(LdADate,$L1854),IF($M1854&lt;&gt;"",INDEX(LdBDate,$M1854),INDEX(LdCDate,$N1854))))</f>
        <v/>
      </c>
      <c r="C1854" s="20">
        <f>IF($L1854&lt;&gt;"","دستمزد (فردی)",IF($M1854&lt;&gt;"","سهم از گروه "&amp;IFERROR(VLOOKUP(INDEX(LdBGroup,$M1854),WGTbl,2,0),INDEX(LdBGroup,$M1854)),IF($N1854&lt;&gt;"",IF(N(INDEX(LdCDep,$N1854))&gt;0,"بازگشت بانکی","پرداخت بانکی"),"")))</f>
        <v/>
      </c>
      <c r="D1854" s="20">
        <f>IF($L1854&lt;&gt;"",IF(INDEX(LdAId,$L1854)="","—",INDEX(LdAId,$L1854)),IF($M1854&lt;&gt;"",IF(INDEX(LdBId,$M1854)="","—",INDEX(LdBId,$M1854)),IF($N1854&lt;&gt;"",IF(INDEX(LdCBank,$N1854)="","—",INDEX(LdCBank,$N1854)),"")))</f>
        <v/>
      </c>
      <c r="E1854" s="21">
        <f>IF($L1854&lt;&gt;"",IF(INDEX(LdAAmt,$L1854)=0,"",INDEX(LdAAmt,$L1854)),IF($M1854&lt;&gt;"",IF(INDEX(LdBAmt,$M1854)=0,"",INDEX(LdBAmt,$M1854)),IF($N1854&lt;&gt;"",IF(INDEX(LdCDep,$N1854)=0,"",INDEX(LdCDep,$N1854)),"")))</f>
        <v/>
      </c>
      <c r="F1854" s="21">
        <f>IF(AND($L1854="",$M1854="",$N1854=""),"",IF($N1854="","",IF(INDEX(LdCWit,$N1854)=0,"",INDEX(LdCWit,$N1854))))</f>
        <v/>
      </c>
      <c r="G1854" s="31">
        <f>IF($B1854="","",IF($G1853="",0,$G1853)+IF($E1854="",0,$E1854)-IF($F1854="",0,$F1854))</f>
        <v/>
      </c>
      <c r="H1854" s="32">
        <f>IF(AND($L1854="",$M1854="",$N1854=""),"",IF($L1854&lt;&gt;"",IF(INDEX(LdANote,$L1854)="","—",INDEX(LdANote,$L1854)),IF($M1854&lt;&gt;"",IF(INDEX(LdBNote,$M1854)="","—",INDEX(LdBNote,$M1854)),IF($N1854&lt;&gt;"",IF(INDEX(LdCNote,$N1854)="","—",INDEX(LdCNote,$N1854)),""))))</f>
        <v/>
      </c>
      <c r="L1854">
        <f>IFERROR(MATCH($C$5&amp;"|"&amp;RIGHT("000000"&amp;1838,6),LdAKeyM,0),"")</f>
        <v/>
      </c>
      <c r="M1854">
        <f>IFERROR(MATCH($C$5&amp;"|"&amp;RIGHT("000000"&amp;1838,6),LdBKeyM,0),"")</f>
        <v/>
      </c>
      <c r="N1854">
        <f>IFERROR(MATCH($C$5&amp;"|"&amp;RIGHT("000000"&amp;1838,6),LdCKeyM,0),"")</f>
        <v/>
      </c>
    </row>
    <row r="1855">
      <c r="A1855" s="10" t="n">
        <v>1839</v>
      </c>
      <c r="B1855" s="14">
        <f>IF(AND($L1855="",$M1855="",$N1855=""),"",IF($L1855&lt;&gt;"",INDEX(LdADate,$L1855),IF($M1855&lt;&gt;"",INDEX(LdBDate,$M1855),INDEX(LdCDate,$N1855))))</f>
        <v/>
      </c>
      <c r="C1855" s="14">
        <f>IF($L1855&lt;&gt;"","دستمزد (فردی)",IF($M1855&lt;&gt;"","سهم از گروه "&amp;IFERROR(VLOOKUP(INDEX(LdBGroup,$M1855),WGTbl,2,0),INDEX(LdBGroup,$M1855)),IF($N1855&lt;&gt;"",IF(N(INDEX(LdCDep,$N1855))&gt;0,"بازگشت بانکی","پرداخت بانکی"),"")))</f>
        <v/>
      </c>
      <c r="D1855" s="14">
        <f>IF($L1855&lt;&gt;"",IF(INDEX(LdAId,$L1855)="","—",INDEX(LdAId,$L1855)),IF($M1855&lt;&gt;"",IF(INDEX(LdBId,$M1855)="","—",INDEX(LdBId,$M1855)),IF($N1855&lt;&gt;"",IF(INDEX(LdCBank,$N1855)="","—",INDEX(LdCBank,$N1855)),"")))</f>
        <v/>
      </c>
      <c r="E1855" s="16">
        <f>IF($L1855&lt;&gt;"",IF(INDEX(LdAAmt,$L1855)=0,"",INDEX(LdAAmt,$L1855)),IF($M1855&lt;&gt;"",IF(INDEX(LdBAmt,$M1855)=0,"",INDEX(LdBAmt,$M1855)),IF($N1855&lt;&gt;"",IF(INDEX(LdCDep,$N1855)=0,"",INDEX(LdCDep,$N1855)),"")))</f>
        <v/>
      </c>
      <c r="F1855" s="16">
        <f>IF(AND($L1855="",$M1855="",$N1855=""),"",IF($N1855="","",IF(INDEX(LdCWit,$N1855)=0,"",INDEX(LdCWit,$N1855))))</f>
        <v/>
      </c>
      <c r="G1855" s="29">
        <f>IF($B1855="","",IF($G1854="",0,$G1854)+IF($E1855="",0,$E1855)-IF($F1855="",0,$F1855))</f>
        <v/>
      </c>
      <c r="H1855" s="30">
        <f>IF(AND($L1855="",$M1855="",$N1855=""),"",IF($L1855&lt;&gt;"",IF(INDEX(LdANote,$L1855)="","—",INDEX(LdANote,$L1855)),IF($M1855&lt;&gt;"",IF(INDEX(LdBNote,$M1855)="","—",INDEX(LdBNote,$M1855)),IF($N1855&lt;&gt;"",IF(INDEX(LdCNote,$N1855)="","—",INDEX(LdCNote,$N1855)),""))))</f>
        <v/>
      </c>
      <c r="L1855">
        <f>IFERROR(MATCH($C$5&amp;"|"&amp;RIGHT("000000"&amp;1839,6),LdAKeyM,0),"")</f>
        <v/>
      </c>
      <c r="M1855">
        <f>IFERROR(MATCH($C$5&amp;"|"&amp;RIGHT("000000"&amp;1839,6),LdBKeyM,0),"")</f>
        <v/>
      </c>
      <c r="N1855">
        <f>IFERROR(MATCH($C$5&amp;"|"&amp;RIGHT("000000"&amp;1839,6),LdCKeyM,0),"")</f>
        <v/>
      </c>
    </row>
    <row r="1856">
      <c r="A1856" s="19" t="n">
        <v>1840</v>
      </c>
      <c r="B1856" s="20">
        <f>IF(AND($L1856="",$M1856="",$N1856=""),"",IF($L1856&lt;&gt;"",INDEX(LdADate,$L1856),IF($M1856&lt;&gt;"",INDEX(LdBDate,$M1856),INDEX(LdCDate,$N1856))))</f>
        <v/>
      </c>
      <c r="C1856" s="20">
        <f>IF($L1856&lt;&gt;"","دستمزد (فردی)",IF($M1856&lt;&gt;"","سهم از گروه "&amp;IFERROR(VLOOKUP(INDEX(LdBGroup,$M1856),WGTbl,2,0),INDEX(LdBGroup,$M1856)),IF($N1856&lt;&gt;"",IF(N(INDEX(LdCDep,$N1856))&gt;0,"بازگشت بانکی","پرداخت بانکی"),"")))</f>
        <v/>
      </c>
      <c r="D1856" s="20">
        <f>IF($L1856&lt;&gt;"",IF(INDEX(LdAId,$L1856)="","—",INDEX(LdAId,$L1856)),IF($M1856&lt;&gt;"",IF(INDEX(LdBId,$M1856)="","—",INDEX(LdBId,$M1856)),IF($N1856&lt;&gt;"",IF(INDEX(LdCBank,$N1856)="","—",INDEX(LdCBank,$N1856)),"")))</f>
        <v/>
      </c>
      <c r="E1856" s="21">
        <f>IF($L1856&lt;&gt;"",IF(INDEX(LdAAmt,$L1856)=0,"",INDEX(LdAAmt,$L1856)),IF($M1856&lt;&gt;"",IF(INDEX(LdBAmt,$M1856)=0,"",INDEX(LdBAmt,$M1856)),IF($N1856&lt;&gt;"",IF(INDEX(LdCDep,$N1856)=0,"",INDEX(LdCDep,$N1856)),"")))</f>
        <v/>
      </c>
      <c r="F1856" s="21">
        <f>IF(AND($L1856="",$M1856="",$N1856=""),"",IF($N1856="","",IF(INDEX(LdCWit,$N1856)=0,"",INDEX(LdCWit,$N1856))))</f>
        <v/>
      </c>
      <c r="G1856" s="31">
        <f>IF($B1856="","",IF($G1855="",0,$G1855)+IF($E1856="",0,$E1856)-IF($F1856="",0,$F1856))</f>
        <v/>
      </c>
      <c r="H1856" s="32">
        <f>IF(AND($L1856="",$M1856="",$N1856=""),"",IF($L1856&lt;&gt;"",IF(INDEX(LdANote,$L1856)="","—",INDEX(LdANote,$L1856)),IF($M1856&lt;&gt;"",IF(INDEX(LdBNote,$M1856)="","—",INDEX(LdBNote,$M1856)),IF($N1856&lt;&gt;"",IF(INDEX(LdCNote,$N1856)="","—",INDEX(LdCNote,$N1856)),""))))</f>
        <v/>
      </c>
      <c r="L1856">
        <f>IFERROR(MATCH($C$5&amp;"|"&amp;RIGHT("000000"&amp;1840,6),LdAKeyM,0),"")</f>
        <v/>
      </c>
      <c r="M1856">
        <f>IFERROR(MATCH($C$5&amp;"|"&amp;RIGHT("000000"&amp;1840,6),LdBKeyM,0),"")</f>
        <v/>
      </c>
      <c r="N1856">
        <f>IFERROR(MATCH($C$5&amp;"|"&amp;RIGHT("000000"&amp;1840,6),LdCKeyM,0),"")</f>
        <v/>
      </c>
    </row>
    <row r="1857">
      <c r="A1857" s="10" t="n">
        <v>1841</v>
      </c>
      <c r="B1857" s="14">
        <f>IF(AND($L1857="",$M1857="",$N1857=""),"",IF($L1857&lt;&gt;"",INDEX(LdADate,$L1857),IF($M1857&lt;&gt;"",INDEX(LdBDate,$M1857),INDEX(LdCDate,$N1857))))</f>
        <v/>
      </c>
      <c r="C1857" s="14">
        <f>IF($L1857&lt;&gt;"","دستمزد (فردی)",IF($M1857&lt;&gt;"","سهم از گروه "&amp;IFERROR(VLOOKUP(INDEX(LdBGroup,$M1857),WGTbl,2,0),INDEX(LdBGroup,$M1857)),IF($N1857&lt;&gt;"",IF(N(INDEX(LdCDep,$N1857))&gt;0,"بازگشت بانکی","پرداخت بانکی"),"")))</f>
        <v/>
      </c>
      <c r="D1857" s="14">
        <f>IF($L1857&lt;&gt;"",IF(INDEX(LdAId,$L1857)="","—",INDEX(LdAId,$L1857)),IF($M1857&lt;&gt;"",IF(INDEX(LdBId,$M1857)="","—",INDEX(LdBId,$M1857)),IF($N1857&lt;&gt;"",IF(INDEX(LdCBank,$N1857)="","—",INDEX(LdCBank,$N1857)),"")))</f>
        <v/>
      </c>
      <c r="E1857" s="16">
        <f>IF($L1857&lt;&gt;"",IF(INDEX(LdAAmt,$L1857)=0,"",INDEX(LdAAmt,$L1857)),IF($M1857&lt;&gt;"",IF(INDEX(LdBAmt,$M1857)=0,"",INDEX(LdBAmt,$M1857)),IF($N1857&lt;&gt;"",IF(INDEX(LdCDep,$N1857)=0,"",INDEX(LdCDep,$N1857)),"")))</f>
        <v/>
      </c>
      <c r="F1857" s="16">
        <f>IF(AND($L1857="",$M1857="",$N1857=""),"",IF($N1857="","",IF(INDEX(LdCWit,$N1857)=0,"",INDEX(LdCWit,$N1857))))</f>
        <v/>
      </c>
      <c r="G1857" s="29">
        <f>IF($B1857="","",IF($G1856="",0,$G1856)+IF($E1857="",0,$E1857)-IF($F1857="",0,$F1857))</f>
        <v/>
      </c>
      <c r="H1857" s="30">
        <f>IF(AND($L1857="",$M1857="",$N1857=""),"",IF($L1857&lt;&gt;"",IF(INDEX(LdANote,$L1857)="","—",INDEX(LdANote,$L1857)),IF($M1857&lt;&gt;"",IF(INDEX(LdBNote,$M1857)="","—",INDEX(LdBNote,$M1857)),IF($N1857&lt;&gt;"",IF(INDEX(LdCNote,$N1857)="","—",INDEX(LdCNote,$N1857)),""))))</f>
        <v/>
      </c>
      <c r="L1857">
        <f>IFERROR(MATCH($C$5&amp;"|"&amp;RIGHT("000000"&amp;1841,6),LdAKeyM,0),"")</f>
        <v/>
      </c>
      <c r="M1857">
        <f>IFERROR(MATCH($C$5&amp;"|"&amp;RIGHT("000000"&amp;1841,6),LdBKeyM,0),"")</f>
        <v/>
      </c>
      <c r="N1857">
        <f>IFERROR(MATCH($C$5&amp;"|"&amp;RIGHT("000000"&amp;1841,6),LdCKeyM,0),"")</f>
        <v/>
      </c>
    </row>
    <row r="1858">
      <c r="A1858" s="19" t="n">
        <v>1842</v>
      </c>
      <c r="B1858" s="20">
        <f>IF(AND($L1858="",$M1858="",$N1858=""),"",IF($L1858&lt;&gt;"",INDEX(LdADate,$L1858),IF($M1858&lt;&gt;"",INDEX(LdBDate,$M1858),INDEX(LdCDate,$N1858))))</f>
        <v/>
      </c>
      <c r="C1858" s="20">
        <f>IF($L1858&lt;&gt;"","دستمزد (فردی)",IF($M1858&lt;&gt;"","سهم از گروه "&amp;IFERROR(VLOOKUP(INDEX(LdBGroup,$M1858),WGTbl,2,0),INDEX(LdBGroup,$M1858)),IF($N1858&lt;&gt;"",IF(N(INDEX(LdCDep,$N1858))&gt;0,"بازگشت بانکی","پرداخت بانکی"),"")))</f>
        <v/>
      </c>
      <c r="D1858" s="20">
        <f>IF($L1858&lt;&gt;"",IF(INDEX(LdAId,$L1858)="","—",INDEX(LdAId,$L1858)),IF($M1858&lt;&gt;"",IF(INDEX(LdBId,$M1858)="","—",INDEX(LdBId,$M1858)),IF($N1858&lt;&gt;"",IF(INDEX(LdCBank,$N1858)="","—",INDEX(LdCBank,$N1858)),"")))</f>
        <v/>
      </c>
      <c r="E1858" s="21">
        <f>IF($L1858&lt;&gt;"",IF(INDEX(LdAAmt,$L1858)=0,"",INDEX(LdAAmt,$L1858)),IF($M1858&lt;&gt;"",IF(INDEX(LdBAmt,$M1858)=0,"",INDEX(LdBAmt,$M1858)),IF($N1858&lt;&gt;"",IF(INDEX(LdCDep,$N1858)=0,"",INDEX(LdCDep,$N1858)),"")))</f>
        <v/>
      </c>
      <c r="F1858" s="21">
        <f>IF(AND($L1858="",$M1858="",$N1858=""),"",IF($N1858="","",IF(INDEX(LdCWit,$N1858)=0,"",INDEX(LdCWit,$N1858))))</f>
        <v/>
      </c>
      <c r="G1858" s="31">
        <f>IF($B1858="","",IF($G1857="",0,$G1857)+IF($E1858="",0,$E1858)-IF($F1858="",0,$F1858))</f>
        <v/>
      </c>
      <c r="H1858" s="32">
        <f>IF(AND($L1858="",$M1858="",$N1858=""),"",IF($L1858&lt;&gt;"",IF(INDEX(LdANote,$L1858)="","—",INDEX(LdANote,$L1858)),IF($M1858&lt;&gt;"",IF(INDEX(LdBNote,$M1858)="","—",INDEX(LdBNote,$M1858)),IF($N1858&lt;&gt;"",IF(INDEX(LdCNote,$N1858)="","—",INDEX(LdCNote,$N1858)),""))))</f>
        <v/>
      </c>
      <c r="L1858">
        <f>IFERROR(MATCH($C$5&amp;"|"&amp;RIGHT("000000"&amp;1842,6),LdAKeyM,0),"")</f>
        <v/>
      </c>
      <c r="M1858">
        <f>IFERROR(MATCH($C$5&amp;"|"&amp;RIGHT("000000"&amp;1842,6),LdBKeyM,0),"")</f>
        <v/>
      </c>
      <c r="N1858">
        <f>IFERROR(MATCH($C$5&amp;"|"&amp;RIGHT("000000"&amp;1842,6),LdCKeyM,0),"")</f>
        <v/>
      </c>
    </row>
    <row r="1859">
      <c r="A1859" s="10" t="n">
        <v>1843</v>
      </c>
      <c r="B1859" s="14">
        <f>IF(AND($L1859="",$M1859="",$N1859=""),"",IF($L1859&lt;&gt;"",INDEX(LdADate,$L1859),IF($M1859&lt;&gt;"",INDEX(LdBDate,$M1859),INDEX(LdCDate,$N1859))))</f>
        <v/>
      </c>
      <c r="C1859" s="14">
        <f>IF($L1859&lt;&gt;"","دستمزد (فردی)",IF($M1859&lt;&gt;"","سهم از گروه "&amp;IFERROR(VLOOKUP(INDEX(LdBGroup,$M1859),WGTbl,2,0),INDEX(LdBGroup,$M1859)),IF($N1859&lt;&gt;"",IF(N(INDEX(LdCDep,$N1859))&gt;0,"بازگشت بانکی","پرداخت بانکی"),"")))</f>
        <v/>
      </c>
      <c r="D1859" s="14">
        <f>IF($L1859&lt;&gt;"",IF(INDEX(LdAId,$L1859)="","—",INDEX(LdAId,$L1859)),IF($M1859&lt;&gt;"",IF(INDEX(LdBId,$M1859)="","—",INDEX(LdBId,$M1859)),IF($N1859&lt;&gt;"",IF(INDEX(LdCBank,$N1859)="","—",INDEX(LdCBank,$N1859)),"")))</f>
        <v/>
      </c>
      <c r="E1859" s="16">
        <f>IF($L1859&lt;&gt;"",IF(INDEX(LdAAmt,$L1859)=0,"",INDEX(LdAAmt,$L1859)),IF($M1859&lt;&gt;"",IF(INDEX(LdBAmt,$M1859)=0,"",INDEX(LdBAmt,$M1859)),IF($N1859&lt;&gt;"",IF(INDEX(LdCDep,$N1859)=0,"",INDEX(LdCDep,$N1859)),"")))</f>
        <v/>
      </c>
      <c r="F1859" s="16">
        <f>IF(AND($L1859="",$M1859="",$N1859=""),"",IF($N1859="","",IF(INDEX(LdCWit,$N1859)=0,"",INDEX(LdCWit,$N1859))))</f>
        <v/>
      </c>
      <c r="G1859" s="29">
        <f>IF($B1859="","",IF($G1858="",0,$G1858)+IF($E1859="",0,$E1859)-IF($F1859="",0,$F1859))</f>
        <v/>
      </c>
      <c r="H1859" s="30">
        <f>IF(AND($L1859="",$M1859="",$N1859=""),"",IF($L1859&lt;&gt;"",IF(INDEX(LdANote,$L1859)="","—",INDEX(LdANote,$L1859)),IF($M1859&lt;&gt;"",IF(INDEX(LdBNote,$M1859)="","—",INDEX(LdBNote,$M1859)),IF($N1859&lt;&gt;"",IF(INDEX(LdCNote,$N1859)="","—",INDEX(LdCNote,$N1859)),""))))</f>
        <v/>
      </c>
      <c r="L1859">
        <f>IFERROR(MATCH($C$5&amp;"|"&amp;RIGHT("000000"&amp;1843,6),LdAKeyM,0),"")</f>
        <v/>
      </c>
      <c r="M1859">
        <f>IFERROR(MATCH($C$5&amp;"|"&amp;RIGHT("000000"&amp;1843,6),LdBKeyM,0),"")</f>
        <v/>
      </c>
      <c r="N1859">
        <f>IFERROR(MATCH($C$5&amp;"|"&amp;RIGHT("000000"&amp;1843,6),LdCKeyM,0),"")</f>
        <v/>
      </c>
    </row>
    <row r="1860">
      <c r="A1860" s="19" t="n">
        <v>1844</v>
      </c>
      <c r="B1860" s="20">
        <f>IF(AND($L1860="",$M1860="",$N1860=""),"",IF($L1860&lt;&gt;"",INDEX(LdADate,$L1860),IF($M1860&lt;&gt;"",INDEX(LdBDate,$M1860),INDEX(LdCDate,$N1860))))</f>
        <v/>
      </c>
      <c r="C1860" s="20">
        <f>IF($L1860&lt;&gt;"","دستمزد (فردی)",IF($M1860&lt;&gt;"","سهم از گروه "&amp;IFERROR(VLOOKUP(INDEX(LdBGroup,$M1860),WGTbl,2,0),INDEX(LdBGroup,$M1860)),IF($N1860&lt;&gt;"",IF(N(INDEX(LdCDep,$N1860))&gt;0,"بازگشت بانکی","پرداخت بانکی"),"")))</f>
        <v/>
      </c>
      <c r="D1860" s="20">
        <f>IF($L1860&lt;&gt;"",IF(INDEX(LdAId,$L1860)="","—",INDEX(LdAId,$L1860)),IF($M1860&lt;&gt;"",IF(INDEX(LdBId,$M1860)="","—",INDEX(LdBId,$M1860)),IF($N1860&lt;&gt;"",IF(INDEX(LdCBank,$N1860)="","—",INDEX(LdCBank,$N1860)),"")))</f>
        <v/>
      </c>
      <c r="E1860" s="21">
        <f>IF($L1860&lt;&gt;"",IF(INDEX(LdAAmt,$L1860)=0,"",INDEX(LdAAmt,$L1860)),IF($M1860&lt;&gt;"",IF(INDEX(LdBAmt,$M1860)=0,"",INDEX(LdBAmt,$M1860)),IF($N1860&lt;&gt;"",IF(INDEX(LdCDep,$N1860)=0,"",INDEX(LdCDep,$N1860)),"")))</f>
        <v/>
      </c>
      <c r="F1860" s="21">
        <f>IF(AND($L1860="",$M1860="",$N1860=""),"",IF($N1860="","",IF(INDEX(LdCWit,$N1860)=0,"",INDEX(LdCWit,$N1860))))</f>
        <v/>
      </c>
      <c r="G1860" s="31">
        <f>IF($B1860="","",IF($G1859="",0,$G1859)+IF($E1860="",0,$E1860)-IF($F1860="",0,$F1860))</f>
        <v/>
      </c>
      <c r="H1860" s="32">
        <f>IF(AND($L1860="",$M1860="",$N1860=""),"",IF($L1860&lt;&gt;"",IF(INDEX(LdANote,$L1860)="","—",INDEX(LdANote,$L1860)),IF($M1860&lt;&gt;"",IF(INDEX(LdBNote,$M1860)="","—",INDEX(LdBNote,$M1860)),IF($N1860&lt;&gt;"",IF(INDEX(LdCNote,$N1860)="","—",INDEX(LdCNote,$N1860)),""))))</f>
        <v/>
      </c>
      <c r="L1860">
        <f>IFERROR(MATCH($C$5&amp;"|"&amp;RIGHT("000000"&amp;1844,6),LdAKeyM,0),"")</f>
        <v/>
      </c>
      <c r="M1860">
        <f>IFERROR(MATCH($C$5&amp;"|"&amp;RIGHT("000000"&amp;1844,6),LdBKeyM,0),"")</f>
        <v/>
      </c>
      <c r="N1860">
        <f>IFERROR(MATCH($C$5&amp;"|"&amp;RIGHT("000000"&amp;1844,6),LdCKeyM,0),"")</f>
        <v/>
      </c>
    </row>
    <row r="1861">
      <c r="A1861" s="10" t="n">
        <v>1845</v>
      </c>
      <c r="B1861" s="14">
        <f>IF(AND($L1861="",$M1861="",$N1861=""),"",IF($L1861&lt;&gt;"",INDEX(LdADate,$L1861),IF($M1861&lt;&gt;"",INDEX(LdBDate,$M1861),INDEX(LdCDate,$N1861))))</f>
        <v/>
      </c>
      <c r="C1861" s="14">
        <f>IF($L1861&lt;&gt;"","دستمزد (فردی)",IF($M1861&lt;&gt;"","سهم از گروه "&amp;IFERROR(VLOOKUP(INDEX(LdBGroup,$M1861),WGTbl,2,0),INDEX(LdBGroup,$M1861)),IF($N1861&lt;&gt;"",IF(N(INDEX(LdCDep,$N1861))&gt;0,"بازگشت بانکی","پرداخت بانکی"),"")))</f>
        <v/>
      </c>
      <c r="D1861" s="14">
        <f>IF($L1861&lt;&gt;"",IF(INDEX(LdAId,$L1861)="","—",INDEX(LdAId,$L1861)),IF($M1861&lt;&gt;"",IF(INDEX(LdBId,$M1861)="","—",INDEX(LdBId,$M1861)),IF($N1861&lt;&gt;"",IF(INDEX(LdCBank,$N1861)="","—",INDEX(LdCBank,$N1861)),"")))</f>
        <v/>
      </c>
      <c r="E1861" s="16">
        <f>IF($L1861&lt;&gt;"",IF(INDEX(LdAAmt,$L1861)=0,"",INDEX(LdAAmt,$L1861)),IF($M1861&lt;&gt;"",IF(INDEX(LdBAmt,$M1861)=0,"",INDEX(LdBAmt,$M1861)),IF($N1861&lt;&gt;"",IF(INDEX(LdCDep,$N1861)=0,"",INDEX(LdCDep,$N1861)),"")))</f>
        <v/>
      </c>
      <c r="F1861" s="16">
        <f>IF(AND($L1861="",$M1861="",$N1861=""),"",IF($N1861="","",IF(INDEX(LdCWit,$N1861)=0,"",INDEX(LdCWit,$N1861))))</f>
        <v/>
      </c>
      <c r="G1861" s="29">
        <f>IF($B1861="","",IF($G1860="",0,$G1860)+IF($E1861="",0,$E1861)-IF($F1861="",0,$F1861))</f>
        <v/>
      </c>
      <c r="H1861" s="30">
        <f>IF(AND($L1861="",$M1861="",$N1861=""),"",IF($L1861&lt;&gt;"",IF(INDEX(LdANote,$L1861)="","—",INDEX(LdANote,$L1861)),IF($M1861&lt;&gt;"",IF(INDEX(LdBNote,$M1861)="","—",INDEX(LdBNote,$M1861)),IF($N1861&lt;&gt;"",IF(INDEX(LdCNote,$N1861)="","—",INDEX(LdCNote,$N1861)),""))))</f>
        <v/>
      </c>
      <c r="L1861">
        <f>IFERROR(MATCH($C$5&amp;"|"&amp;RIGHT("000000"&amp;1845,6),LdAKeyM,0),"")</f>
        <v/>
      </c>
      <c r="M1861">
        <f>IFERROR(MATCH($C$5&amp;"|"&amp;RIGHT("000000"&amp;1845,6),LdBKeyM,0),"")</f>
        <v/>
      </c>
      <c r="N1861">
        <f>IFERROR(MATCH($C$5&amp;"|"&amp;RIGHT("000000"&amp;1845,6),LdCKeyM,0),"")</f>
        <v/>
      </c>
    </row>
    <row r="1862">
      <c r="A1862" s="19" t="n">
        <v>1846</v>
      </c>
      <c r="B1862" s="20">
        <f>IF(AND($L1862="",$M1862="",$N1862=""),"",IF($L1862&lt;&gt;"",INDEX(LdADate,$L1862),IF($M1862&lt;&gt;"",INDEX(LdBDate,$M1862),INDEX(LdCDate,$N1862))))</f>
        <v/>
      </c>
      <c r="C1862" s="20">
        <f>IF($L1862&lt;&gt;"","دستمزد (فردی)",IF($M1862&lt;&gt;"","سهم از گروه "&amp;IFERROR(VLOOKUP(INDEX(LdBGroup,$M1862),WGTbl,2,0),INDEX(LdBGroup,$M1862)),IF($N1862&lt;&gt;"",IF(N(INDEX(LdCDep,$N1862))&gt;0,"بازگشت بانکی","پرداخت بانکی"),"")))</f>
        <v/>
      </c>
      <c r="D1862" s="20">
        <f>IF($L1862&lt;&gt;"",IF(INDEX(LdAId,$L1862)="","—",INDEX(LdAId,$L1862)),IF($M1862&lt;&gt;"",IF(INDEX(LdBId,$M1862)="","—",INDEX(LdBId,$M1862)),IF($N1862&lt;&gt;"",IF(INDEX(LdCBank,$N1862)="","—",INDEX(LdCBank,$N1862)),"")))</f>
        <v/>
      </c>
      <c r="E1862" s="21">
        <f>IF($L1862&lt;&gt;"",IF(INDEX(LdAAmt,$L1862)=0,"",INDEX(LdAAmt,$L1862)),IF($M1862&lt;&gt;"",IF(INDEX(LdBAmt,$M1862)=0,"",INDEX(LdBAmt,$M1862)),IF($N1862&lt;&gt;"",IF(INDEX(LdCDep,$N1862)=0,"",INDEX(LdCDep,$N1862)),"")))</f>
        <v/>
      </c>
      <c r="F1862" s="21">
        <f>IF(AND($L1862="",$M1862="",$N1862=""),"",IF($N1862="","",IF(INDEX(LdCWit,$N1862)=0,"",INDEX(LdCWit,$N1862))))</f>
        <v/>
      </c>
      <c r="G1862" s="31">
        <f>IF($B1862="","",IF($G1861="",0,$G1861)+IF($E1862="",0,$E1862)-IF($F1862="",0,$F1862))</f>
        <v/>
      </c>
      <c r="H1862" s="32">
        <f>IF(AND($L1862="",$M1862="",$N1862=""),"",IF($L1862&lt;&gt;"",IF(INDEX(LdANote,$L1862)="","—",INDEX(LdANote,$L1862)),IF($M1862&lt;&gt;"",IF(INDEX(LdBNote,$M1862)="","—",INDEX(LdBNote,$M1862)),IF($N1862&lt;&gt;"",IF(INDEX(LdCNote,$N1862)="","—",INDEX(LdCNote,$N1862)),""))))</f>
        <v/>
      </c>
      <c r="L1862">
        <f>IFERROR(MATCH($C$5&amp;"|"&amp;RIGHT("000000"&amp;1846,6),LdAKeyM,0),"")</f>
        <v/>
      </c>
      <c r="M1862">
        <f>IFERROR(MATCH($C$5&amp;"|"&amp;RIGHT("000000"&amp;1846,6),LdBKeyM,0),"")</f>
        <v/>
      </c>
      <c r="N1862">
        <f>IFERROR(MATCH($C$5&amp;"|"&amp;RIGHT("000000"&amp;1846,6),LdCKeyM,0),"")</f>
        <v/>
      </c>
    </row>
    <row r="1863">
      <c r="A1863" s="10" t="n">
        <v>1847</v>
      </c>
      <c r="B1863" s="14">
        <f>IF(AND($L1863="",$M1863="",$N1863=""),"",IF($L1863&lt;&gt;"",INDEX(LdADate,$L1863),IF($M1863&lt;&gt;"",INDEX(LdBDate,$M1863),INDEX(LdCDate,$N1863))))</f>
        <v/>
      </c>
      <c r="C1863" s="14">
        <f>IF($L1863&lt;&gt;"","دستمزد (فردی)",IF($M1863&lt;&gt;"","سهم از گروه "&amp;IFERROR(VLOOKUP(INDEX(LdBGroup,$M1863),WGTbl,2,0),INDEX(LdBGroup,$M1863)),IF($N1863&lt;&gt;"",IF(N(INDEX(LdCDep,$N1863))&gt;0,"بازگشت بانکی","پرداخت بانکی"),"")))</f>
        <v/>
      </c>
      <c r="D1863" s="14">
        <f>IF($L1863&lt;&gt;"",IF(INDEX(LdAId,$L1863)="","—",INDEX(LdAId,$L1863)),IF($M1863&lt;&gt;"",IF(INDEX(LdBId,$M1863)="","—",INDEX(LdBId,$M1863)),IF($N1863&lt;&gt;"",IF(INDEX(LdCBank,$N1863)="","—",INDEX(LdCBank,$N1863)),"")))</f>
        <v/>
      </c>
      <c r="E1863" s="16">
        <f>IF($L1863&lt;&gt;"",IF(INDEX(LdAAmt,$L1863)=0,"",INDEX(LdAAmt,$L1863)),IF($M1863&lt;&gt;"",IF(INDEX(LdBAmt,$M1863)=0,"",INDEX(LdBAmt,$M1863)),IF($N1863&lt;&gt;"",IF(INDEX(LdCDep,$N1863)=0,"",INDEX(LdCDep,$N1863)),"")))</f>
        <v/>
      </c>
      <c r="F1863" s="16">
        <f>IF(AND($L1863="",$M1863="",$N1863=""),"",IF($N1863="","",IF(INDEX(LdCWit,$N1863)=0,"",INDEX(LdCWit,$N1863))))</f>
        <v/>
      </c>
      <c r="G1863" s="29">
        <f>IF($B1863="","",IF($G1862="",0,$G1862)+IF($E1863="",0,$E1863)-IF($F1863="",0,$F1863))</f>
        <v/>
      </c>
      <c r="H1863" s="30">
        <f>IF(AND($L1863="",$M1863="",$N1863=""),"",IF($L1863&lt;&gt;"",IF(INDEX(LdANote,$L1863)="","—",INDEX(LdANote,$L1863)),IF($M1863&lt;&gt;"",IF(INDEX(LdBNote,$M1863)="","—",INDEX(LdBNote,$M1863)),IF($N1863&lt;&gt;"",IF(INDEX(LdCNote,$N1863)="","—",INDEX(LdCNote,$N1863)),""))))</f>
        <v/>
      </c>
      <c r="L1863">
        <f>IFERROR(MATCH($C$5&amp;"|"&amp;RIGHT("000000"&amp;1847,6),LdAKeyM,0),"")</f>
        <v/>
      </c>
      <c r="M1863">
        <f>IFERROR(MATCH($C$5&amp;"|"&amp;RIGHT("000000"&amp;1847,6),LdBKeyM,0),"")</f>
        <v/>
      </c>
      <c r="N1863">
        <f>IFERROR(MATCH($C$5&amp;"|"&amp;RIGHT("000000"&amp;1847,6),LdCKeyM,0),"")</f>
        <v/>
      </c>
    </row>
    <row r="1864">
      <c r="A1864" s="19" t="n">
        <v>1848</v>
      </c>
      <c r="B1864" s="20">
        <f>IF(AND($L1864="",$M1864="",$N1864=""),"",IF($L1864&lt;&gt;"",INDEX(LdADate,$L1864),IF($M1864&lt;&gt;"",INDEX(LdBDate,$M1864),INDEX(LdCDate,$N1864))))</f>
        <v/>
      </c>
      <c r="C1864" s="20">
        <f>IF($L1864&lt;&gt;"","دستمزد (فردی)",IF($M1864&lt;&gt;"","سهم از گروه "&amp;IFERROR(VLOOKUP(INDEX(LdBGroup,$M1864),WGTbl,2,0),INDEX(LdBGroup,$M1864)),IF($N1864&lt;&gt;"",IF(N(INDEX(LdCDep,$N1864))&gt;0,"بازگشت بانکی","پرداخت بانکی"),"")))</f>
        <v/>
      </c>
      <c r="D1864" s="20">
        <f>IF($L1864&lt;&gt;"",IF(INDEX(LdAId,$L1864)="","—",INDEX(LdAId,$L1864)),IF($M1864&lt;&gt;"",IF(INDEX(LdBId,$M1864)="","—",INDEX(LdBId,$M1864)),IF($N1864&lt;&gt;"",IF(INDEX(LdCBank,$N1864)="","—",INDEX(LdCBank,$N1864)),"")))</f>
        <v/>
      </c>
      <c r="E1864" s="21">
        <f>IF($L1864&lt;&gt;"",IF(INDEX(LdAAmt,$L1864)=0,"",INDEX(LdAAmt,$L1864)),IF($M1864&lt;&gt;"",IF(INDEX(LdBAmt,$M1864)=0,"",INDEX(LdBAmt,$M1864)),IF($N1864&lt;&gt;"",IF(INDEX(LdCDep,$N1864)=0,"",INDEX(LdCDep,$N1864)),"")))</f>
        <v/>
      </c>
      <c r="F1864" s="21">
        <f>IF(AND($L1864="",$M1864="",$N1864=""),"",IF($N1864="","",IF(INDEX(LdCWit,$N1864)=0,"",INDEX(LdCWit,$N1864))))</f>
        <v/>
      </c>
      <c r="G1864" s="31">
        <f>IF($B1864="","",IF($G1863="",0,$G1863)+IF($E1864="",0,$E1864)-IF($F1864="",0,$F1864))</f>
        <v/>
      </c>
      <c r="H1864" s="32">
        <f>IF(AND($L1864="",$M1864="",$N1864=""),"",IF($L1864&lt;&gt;"",IF(INDEX(LdANote,$L1864)="","—",INDEX(LdANote,$L1864)),IF($M1864&lt;&gt;"",IF(INDEX(LdBNote,$M1864)="","—",INDEX(LdBNote,$M1864)),IF($N1864&lt;&gt;"",IF(INDEX(LdCNote,$N1864)="","—",INDEX(LdCNote,$N1864)),""))))</f>
        <v/>
      </c>
      <c r="L1864">
        <f>IFERROR(MATCH($C$5&amp;"|"&amp;RIGHT("000000"&amp;1848,6),LdAKeyM,0),"")</f>
        <v/>
      </c>
      <c r="M1864">
        <f>IFERROR(MATCH($C$5&amp;"|"&amp;RIGHT("000000"&amp;1848,6),LdBKeyM,0),"")</f>
        <v/>
      </c>
      <c r="N1864">
        <f>IFERROR(MATCH($C$5&amp;"|"&amp;RIGHT("000000"&amp;1848,6),LdCKeyM,0),"")</f>
        <v/>
      </c>
    </row>
    <row r="1865">
      <c r="A1865" s="10" t="n">
        <v>1849</v>
      </c>
      <c r="B1865" s="14">
        <f>IF(AND($L1865="",$M1865="",$N1865=""),"",IF($L1865&lt;&gt;"",INDEX(LdADate,$L1865),IF($M1865&lt;&gt;"",INDEX(LdBDate,$M1865),INDEX(LdCDate,$N1865))))</f>
        <v/>
      </c>
      <c r="C1865" s="14">
        <f>IF($L1865&lt;&gt;"","دستمزد (فردی)",IF($M1865&lt;&gt;"","سهم از گروه "&amp;IFERROR(VLOOKUP(INDEX(LdBGroup,$M1865),WGTbl,2,0),INDEX(LdBGroup,$M1865)),IF($N1865&lt;&gt;"",IF(N(INDEX(LdCDep,$N1865))&gt;0,"بازگشت بانکی","پرداخت بانکی"),"")))</f>
        <v/>
      </c>
      <c r="D1865" s="14">
        <f>IF($L1865&lt;&gt;"",IF(INDEX(LdAId,$L1865)="","—",INDEX(LdAId,$L1865)),IF($M1865&lt;&gt;"",IF(INDEX(LdBId,$M1865)="","—",INDEX(LdBId,$M1865)),IF($N1865&lt;&gt;"",IF(INDEX(LdCBank,$N1865)="","—",INDEX(LdCBank,$N1865)),"")))</f>
        <v/>
      </c>
      <c r="E1865" s="16">
        <f>IF($L1865&lt;&gt;"",IF(INDEX(LdAAmt,$L1865)=0,"",INDEX(LdAAmt,$L1865)),IF($M1865&lt;&gt;"",IF(INDEX(LdBAmt,$M1865)=0,"",INDEX(LdBAmt,$M1865)),IF($N1865&lt;&gt;"",IF(INDEX(LdCDep,$N1865)=0,"",INDEX(LdCDep,$N1865)),"")))</f>
        <v/>
      </c>
      <c r="F1865" s="16">
        <f>IF(AND($L1865="",$M1865="",$N1865=""),"",IF($N1865="","",IF(INDEX(LdCWit,$N1865)=0,"",INDEX(LdCWit,$N1865))))</f>
        <v/>
      </c>
      <c r="G1865" s="29">
        <f>IF($B1865="","",IF($G1864="",0,$G1864)+IF($E1865="",0,$E1865)-IF($F1865="",0,$F1865))</f>
        <v/>
      </c>
      <c r="H1865" s="30">
        <f>IF(AND($L1865="",$M1865="",$N1865=""),"",IF($L1865&lt;&gt;"",IF(INDEX(LdANote,$L1865)="","—",INDEX(LdANote,$L1865)),IF($M1865&lt;&gt;"",IF(INDEX(LdBNote,$M1865)="","—",INDEX(LdBNote,$M1865)),IF($N1865&lt;&gt;"",IF(INDEX(LdCNote,$N1865)="","—",INDEX(LdCNote,$N1865)),""))))</f>
        <v/>
      </c>
      <c r="L1865">
        <f>IFERROR(MATCH($C$5&amp;"|"&amp;RIGHT("000000"&amp;1849,6),LdAKeyM,0),"")</f>
        <v/>
      </c>
      <c r="M1865">
        <f>IFERROR(MATCH($C$5&amp;"|"&amp;RIGHT("000000"&amp;1849,6),LdBKeyM,0),"")</f>
        <v/>
      </c>
      <c r="N1865">
        <f>IFERROR(MATCH($C$5&amp;"|"&amp;RIGHT("000000"&amp;1849,6),LdCKeyM,0),"")</f>
        <v/>
      </c>
    </row>
    <row r="1866">
      <c r="A1866" s="19" t="n">
        <v>1850</v>
      </c>
      <c r="B1866" s="20">
        <f>IF(AND($L1866="",$M1866="",$N1866=""),"",IF($L1866&lt;&gt;"",INDEX(LdADate,$L1866),IF($M1866&lt;&gt;"",INDEX(LdBDate,$M1866),INDEX(LdCDate,$N1866))))</f>
        <v/>
      </c>
      <c r="C1866" s="20">
        <f>IF($L1866&lt;&gt;"","دستمزد (فردی)",IF($M1866&lt;&gt;"","سهم از گروه "&amp;IFERROR(VLOOKUP(INDEX(LdBGroup,$M1866),WGTbl,2,0),INDEX(LdBGroup,$M1866)),IF($N1866&lt;&gt;"",IF(N(INDEX(LdCDep,$N1866))&gt;0,"بازگشت بانکی","پرداخت بانکی"),"")))</f>
        <v/>
      </c>
      <c r="D1866" s="20">
        <f>IF($L1866&lt;&gt;"",IF(INDEX(LdAId,$L1866)="","—",INDEX(LdAId,$L1866)),IF($M1866&lt;&gt;"",IF(INDEX(LdBId,$M1866)="","—",INDEX(LdBId,$M1866)),IF($N1866&lt;&gt;"",IF(INDEX(LdCBank,$N1866)="","—",INDEX(LdCBank,$N1866)),"")))</f>
        <v/>
      </c>
      <c r="E1866" s="21">
        <f>IF($L1866&lt;&gt;"",IF(INDEX(LdAAmt,$L1866)=0,"",INDEX(LdAAmt,$L1866)),IF($M1866&lt;&gt;"",IF(INDEX(LdBAmt,$M1866)=0,"",INDEX(LdBAmt,$M1866)),IF($N1866&lt;&gt;"",IF(INDEX(LdCDep,$N1866)=0,"",INDEX(LdCDep,$N1866)),"")))</f>
        <v/>
      </c>
      <c r="F1866" s="21">
        <f>IF(AND($L1866="",$M1866="",$N1866=""),"",IF($N1866="","",IF(INDEX(LdCWit,$N1866)=0,"",INDEX(LdCWit,$N1866))))</f>
        <v/>
      </c>
      <c r="G1866" s="31">
        <f>IF($B1866="","",IF($G1865="",0,$G1865)+IF($E1866="",0,$E1866)-IF($F1866="",0,$F1866))</f>
        <v/>
      </c>
      <c r="H1866" s="32">
        <f>IF(AND($L1866="",$M1866="",$N1866=""),"",IF($L1866&lt;&gt;"",IF(INDEX(LdANote,$L1866)="","—",INDEX(LdANote,$L1866)),IF($M1866&lt;&gt;"",IF(INDEX(LdBNote,$M1866)="","—",INDEX(LdBNote,$M1866)),IF($N1866&lt;&gt;"",IF(INDEX(LdCNote,$N1866)="","—",INDEX(LdCNote,$N1866)),""))))</f>
        <v/>
      </c>
      <c r="L1866">
        <f>IFERROR(MATCH($C$5&amp;"|"&amp;RIGHT("000000"&amp;1850,6),LdAKeyM,0),"")</f>
        <v/>
      </c>
      <c r="M1866">
        <f>IFERROR(MATCH($C$5&amp;"|"&amp;RIGHT("000000"&amp;1850,6),LdBKeyM,0),"")</f>
        <v/>
      </c>
      <c r="N1866">
        <f>IFERROR(MATCH($C$5&amp;"|"&amp;RIGHT("000000"&amp;1850,6),LdCKeyM,0),"")</f>
        <v/>
      </c>
    </row>
    <row r="1867">
      <c r="A1867" s="10" t="n">
        <v>1851</v>
      </c>
      <c r="B1867" s="14">
        <f>IF(AND($L1867="",$M1867="",$N1867=""),"",IF($L1867&lt;&gt;"",INDEX(LdADate,$L1867),IF($M1867&lt;&gt;"",INDEX(LdBDate,$M1867),INDEX(LdCDate,$N1867))))</f>
        <v/>
      </c>
      <c r="C1867" s="14">
        <f>IF($L1867&lt;&gt;"","دستمزد (فردی)",IF($M1867&lt;&gt;"","سهم از گروه "&amp;IFERROR(VLOOKUP(INDEX(LdBGroup,$M1867),WGTbl,2,0),INDEX(LdBGroup,$M1867)),IF($N1867&lt;&gt;"",IF(N(INDEX(LdCDep,$N1867))&gt;0,"بازگشت بانکی","پرداخت بانکی"),"")))</f>
        <v/>
      </c>
      <c r="D1867" s="14">
        <f>IF($L1867&lt;&gt;"",IF(INDEX(LdAId,$L1867)="","—",INDEX(LdAId,$L1867)),IF($M1867&lt;&gt;"",IF(INDEX(LdBId,$M1867)="","—",INDEX(LdBId,$M1867)),IF($N1867&lt;&gt;"",IF(INDEX(LdCBank,$N1867)="","—",INDEX(LdCBank,$N1867)),"")))</f>
        <v/>
      </c>
      <c r="E1867" s="16">
        <f>IF($L1867&lt;&gt;"",IF(INDEX(LdAAmt,$L1867)=0,"",INDEX(LdAAmt,$L1867)),IF($M1867&lt;&gt;"",IF(INDEX(LdBAmt,$M1867)=0,"",INDEX(LdBAmt,$M1867)),IF($N1867&lt;&gt;"",IF(INDEX(LdCDep,$N1867)=0,"",INDEX(LdCDep,$N1867)),"")))</f>
        <v/>
      </c>
      <c r="F1867" s="16">
        <f>IF(AND($L1867="",$M1867="",$N1867=""),"",IF($N1867="","",IF(INDEX(LdCWit,$N1867)=0,"",INDEX(LdCWit,$N1867))))</f>
        <v/>
      </c>
      <c r="G1867" s="29">
        <f>IF($B1867="","",IF($G1866="",0,$G1866)+IF($E1867="",0,$E1867)-IF($F1867="",0,$F1867))</f>
        <v/>
      </c>
      <c r="H1867" s="30">
        <f>IF(AND($L1867="",$M1867="",$N1867=""),"",IF($L1867&lt;&gt;"",IF(INDEX(LdANote,$L1867)="","—",INDEX(LdANote,$L1867)),IF($M1867&lt;&gt;"",IF(INDEX(LdBNote,$M1867)="","—",INDEX(LdBNote,$M1867)),IF($N1867&lt;&gt;"",IF(INDEX(LdCNote,$N1867)="","—",INDEX(LdCNote,$N1867)),""))))</f>
        <v/>
      </c>
      <c r="L1867">
        <f>IFERROR(MATCH($C$5&amp;"|"&amp;RIGHT("000000"&amp;1851,6),LdAKeyM,0),"")</f>
        <v/>
      </c>
      <c r="M1867">
        <f>IFERROR(MATCH($C$5&amp;"|"&amp;RIGHT("000000"&amp;1851,6),LdBKeyM,0),"")</f>
        <v/>
      </c>
      <c r="N1867">
        <f>IFERROR(MATCH($C$5&amp;"|"&amp;RIGHT("000000"&amp;1851,6),LdCKeyM,0),"")</f>
        <v/>
      </c>
    </row>
    <row r="1868">
      <c r="A1868" s="19" t="n">
        <v>1852</v>
      </c>
      <c r="B1868" s="20">
        <f>IF(AND($L1868="",$M1868="",$N1868=""),"",IF($L1868&lt;&gt;"",INDEX(LdADate,$L1868),IF($M1868&lt;&gt;"",INDEX(LdBDate,$M1868),INDEX(LdCDate,$N1868))))</f>
        <v/>
      </c>
      <c r="C1868" s="20">
        <f>IF($L1868&lt;&gt;"","دستمزد (فردی)",IF($M1868&lt;&gt;"","سهم از گروه "&amp;IFERROR(VLOOKUP(INDEX(LdBGroup,$M1868),WGTbl,2,0),INDEX(LdBGroup,$M1868)),IF($N1868&lt;&gt;"",IF(N(INDEX(LdCDep,$N1868))&gt;0,"بازگشت بانکی","پرداخت بانکی"),"")))</f>
        <v/>
      </c>
      <c r="D1868" s="20">
        <f>IF($L1868&lt;&gt;"",IF(INDEX(LdAId,$L1868)="","—",INDEX(LdAId,$L1868)),IF($M1868&lt;&gt;"",IF(INDEX(LdBId,$M1868)="","—",INDEX(LdBId,$M1868)),IF($N1868&lt;&gt;"",IF(INDEX(LdCBank,$N1868)="","—",INDEX(LdCBank,$N1868)),"")))</f>
        <v/>
      </c>
      <c r="E1868" s="21">
        <f>IF($L1868&lt;&gt;"",IF(INDEX(LdAAmt,$L1868)=0,"",INDEX(LdAAmt,$L1868)),IF($M1868&lt;&gt;"",IF(INDEX(LdBAmt,$M1868)=0,"",INDEX(LdBAmt,$M1868)),IF($N1868&lt;&gt;"",IF(INDEX(LdCDep,$N1868)=0,"",INDEX(LdCDep,$N1868)),"")))</f>
        <v/>
      </c>
      <c r="F1868" s="21">
        <f>IF(AND($L1868="",$M1868="",$N1868=""),"",IF($N1868="","",IF(INDEX(LdCWit,$N1868)=0,"",INDEX(LdCWit,$N1868))))</f>
        <v/>
      </c>
      <c r="G1868" s="31">
        <f>IF($B1868="","",IF($G1867="",0,$G1867)+IF($E1868="",0,$E1868)-IF($F1868="",0,$F1868))</f>
        <v/>
      </c>
      <c r="H1868" s="32">
        <f>IF(AND($L1868="",$M1868="",$N1868=""),"",IF($L1868&lt;&gt;"",IF(INDEX(LdANote,$L1868)="","—",INDEX(LdANote,$L1868)),IF($M1868&lt;&gt;"",IF(INDEX(LdBNote,$M1868)="","—",INDEX(LdBNote,$M1868)),IF($N1868&lt;&gt;"",IF(INDEX(LdCNote,$N1868)="","—",INDEX(LdCNote,$N1868)),""))))</f>
        <v/>
      </c>
      <c r="L1868">
        <f>IFERROR(MATCH($C$5&amp;"|"&amp;RIGHT("000000"&amp;1852,6),LdAKeyM,0),"")</f>
        <v/>
      </c>
      <c r="M1868">
        <f>IFERROR(MATCH($C$5&amp;"|"&amp;RIGHT("000000"&amp;1852,6),LdBKeyM,0),"")</f>
        <v/>
      </c>
      <c r="N1868">
        <f>IFERROR(MATCH($C$5&amp;"|"&amp;RIGHT("000000"&amp;1852,6),LdCKeyM,0),"")</f>
        <v/>
      </c>
    </row>
    <row r="1869">
      <c r="A1869" s="10" t="n">
        <v>1853</v>
      </c>
      <c r="B1869" s="14">
        <f>IF(AND($L1869="",$M1869="",$N1869=""),"",IF($L1869&lt;&gt;"",INDEX(LdADate,$L1869),IF($M1869&lt;&gt;"",INDEX(LdBDate,$M1869),INDEX(LdCDate,$N1869))))</f>
        <v/>
      </c>
      <c r="C1869" s="14">
        <f>IF($L1869&lt;&gt;"","دستمزد (فردی)",IF($M1869&lt;&gt;"","سهم از گروه "&amp;IFERROR(VLOOKUP(INDEX(LdBGroup,$M1869),WGTbl,2,0),INDEX(LdBGroup,$M1869)),IF($N1869&lt;&gt;"",IF(N(INDEX(LdCDep,$N1869))&gt;0,"بازگشت بانکی","پرداخت بانکی"),"")))</f>
        <v/>
      </c>
      <c r="D1869" s="14">
        <f>IF($L1869&lt;&gt;"",IF(INDEX(LdAId,$L1869)="","—",INDEX(LdAId,$L1869)),IF($M1869&lt;&gt;"",IF(INDEX(LdBId,$M1869)="","—",INDEX(LdBId,$M1869)),IF($N1869&lt;&gt;"",IF(INDEX(LdCBank,$N1869)="","—",INDEX(LdCBank,$N1869)),"")))</f>
        <v/>
      </c>
      <c r="E1869" s="16">
        <f>IF($L1869&lt;&gt;"",IF(INDEX(LdAAmt,$L1869)=0,"",INDEX(LdAAmt,$L1869)),IF($M1869&lt;&gt;"",IF(INDEX(LdBAmt,$M1869)=0,"",INDEX(LdBAmt,$M1869)),IF($N1869&lt;&gt;"",IF(INDEX(LdCDep,$N1869)=0,"",INDEX(LdCDep,$N1869)),"")))</f>
        <v/>
      </c>
      <c r="F1869" s="16">
        <f>IF(AND($L1869="",$M1869="",$N1869=""),"",IF($N1869="","",IF(INDEX(LdCWit,$N1869)=0,"",INDEX(LdCWit,$N1869))))</f>
        <v/>
      </c>
      <c r="G1869" s="29">
        <f>IF($B1869="","",IF($G1868="",0,$G1868)+IF($E1869="",0,$E1869)-IF($F1869="",0,$F1869))</f>
        <v/>
      </c>
      <c r="H1869" s="30">
        <f>IF(AND($L1869="",$M1869="",$N1869=""),"",IF($L1869&lt;&gt;"",IF(INDEX(LdANote,$L1869)="","—",INDEX(LdANote,$L1869)),IF($M1869&lt;&gt;"",IF(INDEX(LdBNote,$M1869)="","—",INDEX(LdBNote,$M1869)),IF($N1869&lt;&gt;"",IF(INDEX(LdCNote,$N1869)="","—",INDEX(LdCNote,$N1869)),""))))</f>
        <v/>
      </c>
      <c r="L1869">
        <f>IFERROR(MATCH($C$5&amp;"|"&amp;RIGHT("000000"&amp;1853,6),LdAKeyM,0),"")</f>
        <v/>
      </c>
      <c r="M1869">
        <f>IFERROR(MATCH($C$5&amp;"|"&amp;RIGHT("000000"&amp;1853,6),LdBKeyM,0),"")</f>
        <v/>
      </c>
      <c r="N1869">
        <f>IFERROR(MATCH($C$5&amp;"|"&amp;RIGHT("000000"&amp;1853,6),LdCKeyM,0),"")</f>
        <v/>
      </c>
    </row>
    <row r="1870">
      <c r="A1870" s="19" t="n">
        <v>1854</v>
      </c>
      <c r="B1870" s="20">
        <f>IF(AND($L1870="",$M1870="",$N1870=""),"",IF($L1870&lt;&gt;"",INDEX(LdADate,$L1870),IF($M1870&lt;&gt;"",INDEX(LdBDate,$M1870),INDEX(LdCDate,$N1870))))</f>
        <v/>
      </c>
      <c r="C1870" s="20">
        <f>IF($L1870&lt;&gt;"","دستمزد (فردی)",IF($M1870&lt;&gt;"","سهم از گروه "&amp;IFERROR(VLOOKUP(INDEX(LdBGroup,$M1870),WGTbl,2,0),INDEX(LdBGroup,$M1870)),IF($N1870&lt;&gt;"",IF(N(INDEX(LdCDep,$N1870))&gt;0,"بازگشت بانکی","پرداخت بانکی"),"")))</f>
        <v/>
      </c>
      <c r="D1870" s="20">
        <f>IF($L1870&lt;&gt;"",IF(INDEX(LdAId,$L1870)="","—",INDEX(LdAId,$L1870)),IF($M1870&lt;&gt;"",IF(INDEX(LdBId,$M1870)="","—",INDEX(LdBId,$M1870)),IF($N1870&lt;&gt;"",IF(INDEX(LdCBank,$N1870)="","—",INDEX(LdCBank,$N1870)),"")))</f>
        <v/>
      </c>
      <c r="E1870" s="21">
        <f>IF($L1870&lt;&gt;"",IF(INDEX(LdAAmt,$L1870)=0,"",INDEX(LdAAmt,$L1870)),IF($M1870&lt;&gt;"",IF(INDEX(LdBAmt,$M1870)=0,"",INDEX(LdBAmt,$M1870)),IF($N1870&lt;&gt;"",IF(INDEX(LdCDep,$N1870)=0,"",INDEX(LdCDep,$N1870)),"")))</f>
        <v/>
      </c>
      <c r="F1870" s="21">
        <f>IF(AND($L1870="",$M1870="",$N1870=""),"",IF($N1870="","",IF(INDEX(LdCWit,$N1870)=0,"",INDEX(LdCWit,$N1870))))</f>
        <v/>
      </c>
      <c r="G1870" s="31">
        <f>IF($B1870="","",IF($G1869="",0,$G1869)+IF($E1870="",0,$E1870)-IF($F1870="",0,$F1870))</f>
        <v/>
      </c>
      <c r="H1870" s="32">
        <f>IF(AND($L1870="",$M1870="",$N1870=""),"",IF($L1870&lt;&gt;"",IF(INDEX(LdANote,$L1870)="","—",INDEX(LdANote,$L1870)),IF($M1870&lt;&gt;"",IF(INDEX(LdBNote,$M1870)="","—",INDEX(LdBNote,$M1870)),IF($N1870&lt;&gt;"",IF(INDEX(LdCNote,$N1870)="","—",INDEX(LdCNote,$N1870)),""))))</f>
        <v/>
      </c>
      <c r="L1870">
        <f>IFERROR(MATCH($C$5&amp;"|"&amp;RIGHT("000000"&amp;1854,6),LdAKeyM,0),"")</f>
        <v/>
      </c>
      <c r="M1870">
        <f>IFERROR(MATCH($C$5&amp;"|"&amp;RIGHT("000000"&amp;1854,6),LdBKeyM,0),"")</f>
        <v/>
      </c>
      <c r="N1870">
        <f>IFERROR(MATCH($C$5&amp;"|"&amp;RIGHT("000000"&amp;1854,6),LdCKeyM,0),"")</f>
        <v/>
      </c>
    </row>
    <row r="1871">
      <c r="A1871" s="10" t="n">
        <v>1855</v>
      </c>
      <c r="B1871" s="14">
        <f>IF(AND($L1871="",$M1871="",$N1871=""),"",IF($L1871&lt;&gt;"",INDEX(LdADate,$L1871),IF($M1871&lt;&gt;"",INDEX(LdBDate,$M1871),INDEX(LdCDate,$N1871))))</f>
        <v/>
      </c>
      <c r="C1871" s="14">
        <f>IF($L1871&lt;&gt;"","دستمزد (فردی)",IF($M1871&lt;&gt;"","سهم از گروه "&amp;IFERROR(VLOOKUP(INDEX(LdBGroup,$M1871),WGTbl,2,0),INDEX(LdBGroup,$M1871)),IF($N1871&lt;&gt;"",IF(N(INDEX(LdCDep,$N1871))&gt;0,"بازگشت بانکی","پرداخت بانکی"),"")))</f>
        <v/>
      </c>
      <c r="D1871" s="14">
        <f>IF($L1871&lt;&gt;"",IF(INDEX(LdAId,$L1871)="","—",INDEX(LdAId,$L1871)),IF($M1871&lt;&gt;"",IF(INDEX(LdBId,$M1871)="","—",INDEX(LdBId,$M1871)),IF($N1871&lt;&gt;"",IF(INDEX(LdCBank,$N1871)="","—",INDEX(LdCBank,$N1871)),"")))</f>
        <v/>
      </c>
      <c r="E1871" s="16">
        <f>IF($L1871&lt;&gt;"",IF(INDEX(LdAAmt,$L1871)=0,"",INDEX(LdAAmt,$L1871)),IF($M1871&lt;&gt;"",IF(INDEX(LdBAmt,$M1871)=0,"",INDEX(LdBAmt,$M1871)),IF($N1871&lt;&gt;"",IF(INDEX(LdCDep,$N1871)=0,"",INDEX(LdCDep,$N1871)),"")))</f>
        <v/>
      </c>
      <c r="F1871" s="16">
        <f>IF(AND($L1871="",$M1871="",$N1871=""),"",IF($N1871="","",IF(INDEX(LdCWit,$N1871)=0,"",INDEX(LdCWit,$N1871))))</f>
        <v/>
      </c>
      <c r="G1871" s="29">
        <f>IF($B1871="","",IF($G1870="",0,$G1870)+IF($E1871="",0,$E1871)-IF($F1871="",0,$F1871))</f>
        <v/>
      </c>
      <c r="H1871" s="30">
        <f>IF(AND($L1871="",$M1871="",$N1871=""),"",IF($L1871&lt;&gt;"",IF(INDEX(LdANote,$L1871)="","—",INDEX(LdANote,$L1871)),IF($M1871&lt;&gt;"",IF(INDEX(LdBNote,$M1871)="","—",INDEX(LdBNote,$M1871)),IF($N1871&lt;&gt;"",IF(INDEX(LdCNote,$N1871)="","—",INDEX(LdCNote,$N1871)),""))))</f>
        <v/>
      </c>
      <c r="L1871">
        <f>IFERROR(MATCH($C$5&amp;"|"&amp;RIGHT("000000"&amp;1855,6),LdAKeyM,0),"")</f>
        <v/>
      </c>
      <c r="M1871">
        <f>IFERROR(MATCH($C$5&amp;"|"&amp;RIGHT("000000"&amp;1855,6),LdBKeyM,0),"")</f>
        <v/>
      </c>
      <c r="N1871">
        <f>IFERROR(MATCH($C$5&amp;"|"&amp;RIGHT("000000"&amp;1855,6),LdCKeyM,0),"")</f>
        <v/>
      </c>
    </row>
    <row r="1872">
      <c r="A1872" s="19" t="n">
        <v>1856</v>
      </c>
      <c r="B1872" s="20">
        <f>IF(AND($L1872="",$M1872="",$N1872=""),"",IF($L1872&lt;&gt;"",INDEX(LdADate,$L1872),IF($M1872&lt;&gt;"",INDEX(LdBDate,$M1872),INDEX(LdCDate,$N1872))))</f>
        <v/>
      </c>
      <c r="C1872" s="20">
        <f>IF($L1872&lt;&gt;"","دستمزد (فردی)",IF($M1872&lt;&gt;"","سهم از گروه "&amp;IFERROR(VLOOKUP(INDEX(LdBGroup,$M1872),WGTbl,2,0),INDEX(LdBGroup,$M1872)),IF($N1872&lt;&gt;"",IF(N(INDEX(LdCDep,$N1872))&gt;0,"بازگشت بانکی","پرداخت بانکی"),"")))</f>
        <v/>
      </c>
      <c r="D1872" s="20">
        <f>IF($L1872&lt;&gt;"",IF(INDEX(LdAId,$L1872)="","—",INDEX(LdAId,$L1872)),IF($M1872&lt;&gt;"",IF(INDEX(LdBId,$M1872)="","—",INDEX(LdBId,$M1872)),IF($N1872&lt;&gt;"",IF(INDEX(LdCBank,$N1872)="","—",INDEX(LdCBank,$N1872)),"")))</f>
        <v/>
      </c>
      <c r="E1872" s="21">
        <f>IF($L1872&lt;&gt;"",IF(INDEX(LdAAmt,$L1872)=0,"",INDEX(LdAAmt,$L1872)),IF($M1872&lt;&gt;"",IF(INDEX(LdBAmt,$M1872)=0,"",INDEX(LdBAmt,$M1872)),IF($N1872&lt;&gt;"",IF(INDEX(LdCDep,$N1872)=0,"",INDEX(LdCDep,$N1872)),"")))</f>
        <v/>
      </c>
      <c r="F1872" s="21">
        <f>IF(AND($L1872="",$M1872="",$N1872=""),"",IF($N1872="","",IF(INDEX(LdCWit,$N1872)=0,"",INDEX(LdCWit,$N1872))))</f>
        <v/>
      </c>
      <c r="G1872" s="31">
        <f>IF($B1872="","",IF($G1871="",0,$G1871)+IF($E1872="",0,$E1872)-IF($F1872="",0,$F1872))</f>
        <v/>
      </c>
      <c r="H1872" s="32">
        <f>IF(AND($L1872="",$M1872="",$N1872=""),"",IF($L1872&lt;&gt;"",IF(INDEX(LdANote,$L1872)="","—",INDEX(LdANote,$L1872)),IF($M1872&lt;&gt;"",IF(INDEX(LdBNote,$M1872)="","—",INDEX(LdBNote,$M1872)),IF($N1872&lt;&gt;"",IF(INDEX(LdCNote,$N1872)="","—",INDEX(LdCNote,$N1872)),""))))</f>
        <v/>
      </c>
      <c r="L1872">
        <f>IFERROR(MATCH($C$5&amp;"|"&amp;RIGHT("000000"&amp;1856,6),LdAKeyM,0),"")</f>
        <v/>
      </c>
      <c r="M1872">
        <f>IFERROR(MATCH($C$5&amp;"|"&amp;RIGHT("000000"&amp;1856,6),LdBKeyM,0),"")</f>
        <v/>
      </c>
      <c r="N1872">
        <f>IFERROR(MATCH($C$5&amp;"|"&amp;RIGHT("000000"&amp;1856,6),LdCKeyM,0),"")</f>
        <v/>
      </c>
    </row>
    <row r="1873">
      <c r="A1873" s="10" t="n">
        <v>1857</v>
      </c>
      <c r="B1873" s="14">
        <f>IF(AND($L1873="",$M1873="",$N1873=""),"",IF($L1873&lt;&gt;"",INDEX(LdADate,$L1873),IF($M1873&lt;&gt;"",INDEX(LdBDate,$M1873),INDEX(LdCDate,$N1873))))</f>
        <v/>
      </c>
      <c r="C1873" s="14">
        <f>IF($L1873&lt;&gt;"","دستمزد (فردی)",IF($M1873&lt;&gt;"","سهم از گروه "&amp;IFERROR(VLOOKUP(INDEX(LdBGroup,$M1873),WGTbl,2,0),INDEX(LdBGroup,$M1873)),IF($N1873&lt;&gt;"",IF(N(INDEX(LdCDep,$N1873))&gt;0,"بازگشت بانکی","پرداخت بانکی"),"")))</f>
        <v/>
      </c>
      <c r="D1873" s="14">
        <f>IF($L1873&lt;&gt;"",IF(INDEX(LdAId,$L1873)="","—",INDEX(LdAId,$L1873)),IF($M1873&lt;&gt;"",IF(INDEX(LdBId,$M1873)="","—",INDEX(LdBId,$M1873)),IF($N1873&lt;&gt;"",IF(INDEX(LdCBank,$N1873)="","—",INDEX(LdCBank,$N1873)),"")))</f>
        <v/>
      </c>
      <c r="E1873" s="16">
        <f>IF($L1873&lt;&gt;"",IF(INDEX(LdAAmt,$L1873)=0,"",INDEX(LdAAmt,$L1873)),IF($M1873&lt;&gt;"",IF(INDEX(LdBAmt,$M1873)=0,"",INDEX(LdBAmt,$M1873)),IF($N1873&lt;&gt;"",IF(INDEX(LdCDep,$N1873)=0,"",INDEX(LdCDep,$N1873)),"")))</f>
        <v/>
      </c>
      <c r="F1873" s="16">
        <f>IF(AND($L1873="",$M1873="",$N1873=""),"",IF($N1873="","",IF(INDEX(LdCWit,$N1873)=0,"",INDEX(LdCWit,$N1873))))</f>
        <v/>
      </c>
      <c r="G1873" s="29">
        <f>IF($B1873="","",IF($G1872="",0,$G1872)+IF($E1873="",0,$E1873)-IF($F1873="",0,$F1873))</f>
        <v/>
      </c>
      <c r="H1873" s="30">
        <f>IF(AND($L1873="",$M1873="",$N1873=""),"",IF($L1873&lt;&gt;"",IF(INDEX(LdANote,$L1873)="","—",INDEX(LdANote,$L1873)),IF($M1873&lt;&gt;"",IF(INDEX(LdBNote,$M1873)="","—",INDEX(LdBNote,$M1873)),IF($N1873&lt;&gt;"",IF(INDEX(LdCNote,$N1873)="","—",INDEX(LdCNote,$N1873)),""))))</f>
        <v/>
      </c>
      <c r="L1873">
        <f>IFERROR(MATCH($C$5&amp;"|"&amp;RIGHT("000000"&amp;1857,6),LdAKeyM,0),"")</f>
        <v/>
      </c>
      <c r="M1873">
        <f>IFERROR(MATCH($C$5&amp;"|"&amp;RIGHT("000000"&amp;1857,6),LdBKeyM,0),"")</f>
        <v/>
      </c>
      <c r="N1873">
        <f>IFERROR(MATCH($C$5&amp;"|"&amp;RIGHT("000000"&amp;1857,6),LdCKeyM,0),"")</f>
        <v/>
      </c>
    </row>
    <row r="1874">
      <c r="A1874" s="19" t="n">
        <v>1858</v>
      </c>
      <c r="B1874" s="20">
        <f>IF(AND($L1874="",$M1874="",$N1874=""),"",IF($L1874&lt;&gt;"",INDEX(LdADate,$L1874),IF($M1874&lt;&gt;"",INDEX(LdBDate,$M1874),INDEX(LdCDate,$N1874))))</f>
        <v/>
      </c>
      <c r="C1874" s="20">
        <f>IF($L1874&lt;&gt;"","دستمزد (فردی)",IF($M1874&lt;&gt;"","سهم از گروه "&amp;IFERROR(VLOOKUP(INDEX(LdBGroup,$M1874),WGTbl,2,0),INDEX(LdBGroup,$M1874)),IF($N1874&lt;&gt;"",IF(N(INDEX(LdCDep,$N1874))&gt;0,"بازگشت بانکی","پرداخت بانکی"),"")))</f>
        <v/>
      </c>
      <c r="D1874" s="20">
        <f>IF($L1874&lt;&gt;"",IF(INDEX(LdAId,$L1874)="","—",INDEX(LdAId,$L1874)),IF($M1874&lt;&gt;"",IF(INDEX(LdBId,$M1874)="","—",INDEX(LdBId,$M1874)),IF($N1874&lt;&gt;"",IF(INDEX(LdCBank,$N1874)="","—",INDEX(LdCBank,$N1874)),"")))</f>
        <v/>
      </c>
      <c r="E1874" s="21">
        <f>IF($L1874&lt;&gt;"",IF(INDEX(LdAAmt,$L1874)=0,"",INDEX(LdAAmt,$L1874)),IF($M1874&lt;&gt;"",IF(INDEX(LdBAmt,$M1874)=0,"",INDEX(LdBAmt,$M1874)),IF($N1874&lt;&gt;"",IF(INDEX(LdCDep,$N1874)=0,"",INDEX(LdCDep,$N1874)),"")))</f>
        <v/>
      </c>
      <c r="F1874" s="21">
        <f>IF(AND($L1874="",$M1874="",$N1874=""),"",IF($N1874="","",IF(INDEX(LdCWit,$N1874)=0,"",INDEX(LdCWit,$N1874))))</f>
        <v/>
      </c>
      <c r="G1874" s="31">
        <f>IF($B1874="","",IF($G1873="",0,$G1873)+IF($E1874="",0,$E1874)-IF($F1874="",0,$F1874))</f>
        <v/>
      </c>
      <c r="H1874" s="32">
        <f>IF(AND($L1874="",$M1874="",$N1874=""),"",IF($L1874&lt;&gt;"",IF(INDEX(LdANote,$L1874)="","—",INDEX(LdANote,$L1874)),IF($M1874&lt;&gt;"",IF(INDEX(LdBNote,$M1874)="","—",INDEX(LdBNote,$M1874)),IF($N1874&lt;&gt;"",IF(INDEX(LdCNote,$N1874)="","—",INDEX(LdCNote,$N1874)),""))))</f>
        <v/>
      </c>
      <c r="L1874">
        <f>IFERROR(MATCH($C$5&amp;"|"&amp;RIGHT("000000"&amp;1858,6),LdAKeyM,0),"")</f>
        <v/>
      </c>
      <c r="M1874">
        <f>IFERROR(MATCH($C$5&amp;"|"&amp;RIGHT("000000"&amp;1858,6),LdBKeyM,0),"")</f>
        <v/>
      </c>
      <c r="N1874">
        <f>IFERROR(MATCH($C$5&amp;"|"&amp;RIGHT("000000"&amp;1858,6),LdCKeyM,0),"")</f>
        <v/>
      </c>
    </row>
    <row r="1875">
      <c r="A1875" s="10" t="n">
        <v>1859</v>
      </c>
      <c r="B1875" s="14">
        <f>IF(AND($L1875="",$M1875="",$N1875=""),"",IF($L1875&lt;&gt;"",INDEX(LdADate,$L1875),IF($M1875&lt;&gt;"",INDEX(LdBDate,$M1875),INDEX(LdCDate,$N1875))))</f>
        <v/>
      </c>
      <c r="C1875" s="14">
        <f>IF($L1875&lt;&gt;"","دستمزد (فردی)",IF($M1875&lt;&gt;"","سهم از گروه "&amp;IFERROR(VLOOKUP(INDEX(LdBGroup,$M1875),WGTbl,2,0),INDEX(LdBGroup,$M1875)),IF($N1875&lt;&gt;"",IF(N(INDEX(LdCDep,$N1875))&gt;0,"بازگشت بانکی","پرداخت بانکی"),"")))</f>
        <v/>
      </c>
      <c r="D1875" s="14">
        <f>IF($L1875&lt;&gt;"",IF(INDEX(LdAId,$L1875)="","—",INDEX(LdAId,$L1875)),IF($M1875&lt;&gt;"",IF(INDEX(LdBId,$M1875)="","—",INDEX(LdBId,$M1875)),IF($N1875&lt;&gt;"",IF(INDEX(LdCBank,$N1875)="","—",INDEX(LdCBank,$N1875)),"")))</f>
        <v/>
      </c>
      <c r="E1875" s="16">
        <f>IF($L1875&lt;&gt;"",IF(INDEX(LdAAmt,$L1875)=0,"",INDEX(LdAAmt,$L1875)),IF($M1875&lt;&gt;"",IF(INDEX(LdBAmt,$M1875)=0,"",INDEX(LdBAmt,$M1875)),IF($N1875&lt;&gt;"",IF(INDEX(LdCDep,$N1875)=0,"",INDEX(LdCDep,$N1875)),"")))</f>
        <v/>
      </c>
      <c r="F1875" s="16">
        <f>IF(AND($L1875="",$M1875="",$N1875=""),"",IF($N1875="","",IF(INDEX(LdCWit,$N1875)=0,"",INDEX(LdCWit,$N1875))))</f>
        <v/>
      </c>
      <c r="G1875" s="29">
        <f>IF($B1875="","",IF($G1874="",0,$G1874)+IF($E1875="",0,$E1875)-IF($F1875="",0,$F1875))</f>
        <v/>
      </c>
      <c r="H1875" s="30">
        <f>IF(AND($L1875="",$M1875="",$N1875=""),"",IF($L1875&lt;&gt;"",IF(INDEX(LdANote,$L1875)="","—",INDEX(LdANote,$L1875)),IF($M1875&lt;&gt;"",IF(INDEX(LdBNote,$M1875)="","—",INDEX(LdBNote,$M1875)),IF($N1875&lt;&gt;"",IF(INDEX(LdCNote,$N1875)="","—",INDEX(LdCNote,$N1875)),""))))</f>
        <v/>
      </c>
      <c r="L1875">
        <f>IFERROR(MATCH($C$5&amp;"|"&amp;RIGHT("000000"&amp;1859,6),LdAKeyM,0),"")</f>
        <v/>
      </c>
      <c r="M1875">
        <f>IFERROR(MATCH($C$5&amp;"|"&amp;RIGHT("000000"&amp;1859,6),LdBKeyM,0),"")</f>
        <v/>
      </c>
      <c r="N1875">
        <f>IFERROR(MATCH($C$5&amp;"|"&amp;RIGHT("000000"&amp;1859,6),LdCKeyM,0),"")</f>
        <v/>
      </c>
    </row>
    <row r="1876">
      <c r="A1876" s="19" t="n">
        <v>1860</v>
      </c>
      <c r="B1876" s="20">
        <f>IF(AND($L1876="",$M1876="",$N1876=""),"",IF($L1876&lt;&gt;"",INDEX(LdADate,$L1876),IF($M1876&lt;&gt;"",INDEX(LdBDate,$M1876),INDEX(LdCDate,$N1876))))</f>
        <v/>
      </c>
      <c r="C1876" s="20">
        <f>IF($L1876&lt;&gt;"","دستمزد (فردی)",IF($M1876&lt;&gt;"","سهم از گروه "&amp;IFERROR(VLOOKUP(INDEX(LdBGroup,$M1876),WGTbl,2,0),INDEX(LdBGroup,$M1876)),IF($N1876&lt;&gt;"",IF(N(INDEX(LdCDep,$N1876))&gt;0,"بازگشت بانکی","پرداخت بانکی"),"")))</f>
        <v/>
      </c>
      <c r="D1876" s="20">
        <f>IF($L1876&lt;&gt;"",IF(INDEX(LdAId,$L1876)="","—",INDEX(LdAId,$L1876)),IF($M1876&lt;&gt;"",IF(INDEX(LdBId,$M1876)="","—",INDEX(LdBId,$M1876)),IF($N1876&lt;&gt;"",IF(INDEX(LdCBank,$N1876)="","—",INDEX(LdCBank,$N1876)),"")))</f>
        <v/>
      </c>
      <c r="E1876" s="21">
        <f>IF($L1876&lt;&gt;"",IF(INDEX(LdAAmt,$L1876)=0,"",INDEX(LdAAmt,$L1876)),IF($M1876&lt;&gt;"",IF(INDEX(LdBAmt,$M1876)=0,"",INDEX(LdBAmt,$M1876)),IF($N1876&lt;&gt;"",IF(INDEX(LdCDep,$N1876)=0,"",INDEX(LdCDep,$N1876)),"")))</f>
        <v/>
      </c>
      <c r="F1876" s="21">
        <f>IF(AND($L1876="",$M1876="",$N1876=""),"",IF($N1876="","",IF(INDEX(LdCWit,$N1876)=0,"",INDEX(LdCWit,$N1876))))</f>
        <v/>
      </c>
      <c r="G1876" s="31">
        <f>IF($B1876="","",IF($G1875="",0,$G1875)+IF($E1876="",0,$E1876)-IF($F1876="",0,$F1876))</f>
        <v/>
      </c>
      <c r="H1876" s="32">
        <f>IF(AND($L1876="",$M1876="",$N1876=""),"",IF($L1876&lt;&gt;"",IF(INDEX(LdANote,$L1876)="","—",INDEX(LdANote,$L1876)),IF($M1876&lt;&gt;"",IF(INDEX(LdBNote,$M1876)="","—",INDEX(LdBNote,$M1876)),IF($N1876&lt;&gt;"",IF(INDEX(LdCNote,$N1876)="","—",INDEX(LdCNote,$N1876)),""))))</f>
        <v/>
      </c>
      <c r="L1876">
        <f>IFERROR(MATCH($C$5&amp;"|"&amp;RIGHT("000000"&amp;1860,6),LdAKeyM,0),"")</f>
        <v/>
      </c>
      <c r="M1876">
        <f>IFERROR(MATCH($C$5&amp;"|"&amp;RIGHT("000000"&amp;1860,6),LdBKeyM,0),"")</f>
        <v/>
      </c>
      <c r="N1876">
        <f>IFERROR(MATCH($C$5&amp;"|"&amp;RIGHT("000000"&amp;1860,6),LdCKeyM,0),"")</f>
        <v/>
      </c>
    </row>
    <row r="1877">
      <c r="A1877" s="10" t="n">
        <v>1861</v>
      </c>
      <c r="B1877" s="14">
        <f>IF(AND($L1877="",$M1877="",$N1877=""),"",IF($L1877&lt;&gt;"",INDEX(LdADate,$L1877),IF($M1877&lt;&gt;"",INDEX(LdBDate,$M1877),INDEX(LdCDate,$N1877))))</f>
        <v/>
      </c>
      <c r="C1877" s="14">
        <f>IF($L1877&lt;&gt;"","دستمزد (فردی)",IF($M1877&lt;&gt;"","سهم از گروه "&amp;IFERROR(VLOOKUP(INDEX(LdBGroup,$M1877),WGTbl,2,0),INDEX(LdBGroup,$M1877)),IF($N1877&lt;&gt;"",IF(N(INDEX(LdCDep,$N1877))&gt;0,"بازگشت بانکی","پرداخت بانکی"),"")))</f>
        <v/>
      </c>
      <c r="D1877" s="14">
        <f>IF($L1877&lt;&gt;"",IF(INDEX(LdAId,$L1877)="","—",INDEX(LdAId,$L1877)),IF($M1877&lt;&gt;"",IF(INDEX(LdBId,$M1877)="","—",INDEX(LdBId,$M1877)),IF($N1877&lt;&gt;"",IF(INDEX(LdCBank,$N1877)="","—",INDEX(LdCBank,$N1877)),"")))</f>
        <v/>
      </c>
      <c r="E1877" s="16">
        <f>IF($L1877&lt;&gt;"",IF(INDEX(LdAAmt,$L1877)=0,"",INDEX(LdAAmt,$L1877)),IF($M1877&lt;&gt;"",IF(INDEX(LdBAmt,$M1877)=0,"",INDEX(LdBAmt,$M1877)),IF($N1877&lt;&gt;"",IF(INDEX(LdCDep,$N1877)=0,"",INDEX(LdCDep,$N1877)),"")))</f>
        <v/>
      </c>
      <c r="F1877" s="16">
        <f>IF(AND($L1877="",$M1877="",$N1877=""),"",IF($N1877="","",IF(INDEX(LdCWit,$N1877)=0,"",INDEX(LdCWit,$N1877))))</f>
        <v/>
      </c>
      <c r="G1877" s="29">
        <f>IF($B1877="","",IF($G1876="",0,$G1876)+IF($E1877="",0,$E1877)-IF($F1877="",0,$F1877))</f>
        <v/>
      </c>
      <c r="H1877" s="30">
        <f>IF(AND($L1877="",$M1877="",$N1877=""),"",IF($L1877&lt;&gt;"",IF(INDEX(LdANote,$L1877)="","—",INDEX(LdANote,$L1877)),IF($M1877&lt;&gt;"",IF(INDEX(LdBNote,$M1877)="","—",INDEX(LdBNote,$M1877)),IF($N1877&lt;&gt;"",IF(INDEX(LdCNote,$N1877)="","—",INDEX(LdCNote,$N1877)),""))))</f>
        <v/>
      </c>
      <c r="L1877">
        <f>IFERROR(MATCH($C$5&amp;"|"&amp;RIGHT("000000"&amp;1861,6),LdAKeyM,0),"")</f>
        <v/>
      </c>
      <c r="M1877">
        <f>IFERROR(MATCH($C$5&amp;"|"&amp;RIGHT("000000"&amp;1861,6),LdBKeyM,0),"")</f>
        <v/>
      </c>
      <c r="N1877">
        <f>IFERROR(MATCH($C$5&amp;"|"&amp;RIGHT("000000"&amp;1861,6),LdCKeyM,0),"")</f>
        <v/>
      </c>
    </row>
    <row r="1878">
      <c r="A1878" s="19" t="n">
        <v>1862</v>
      </c>
      <c r="B1878" s="20">
        <f>IF(AND($L1878="",$M1878="",$N1878=""),"",IF($L1878&lt;&gt;"",INDEX(LdADate,$L1878),IF($M1878&lt;&gt;"",INDEX(LdBDate,$M1878),INDEX(LdCDate,$N1878))))</f>
        <v/>
      </c>
      <c r="C1878" s="20">
        <f>IF($L1878&lt;&gt;"","دستمزد (فردی)",IF($M1878&lt;&gt;"","سهم از گروه "&amp;IFERROR(VLOOKUP(INDEX(LdBGroup,$M1878),WGTbl,2,0),INDEX(LdBGroup,$M1878)),IF($N1878&lt;&gt;"",IF(N(INDEX(LdCDep,$N1878))&gt;0,"بازگشت بانکی","پرداخت بانکی"),"")))</f>
        <v/>
      </c>
      <c r="D1878" s="20">
        <f>IF($L1878&lt;&gt;"",IF(INDEX(LdAId,$L1878)="","—",INDEX(LdAId,$L1878)),IF($M1878&lt;&gt;"",IF(INDEX(LdBId,$M1878)="","—",INDEX(LdBId,$M1878)),IF($N1878&lt;&gt;"",IF(INDEX(LdCBank,$N1878)="","—",INDEX(LdCBank,$N1878)),"")))</f>
        <v/>
      </c>
      <c r="E1878" s="21">
        <f>IF($L1878&lt;&gt;"",IF(INDEX(LdAAmt,$L1878)=0,"",INDEX(LdAAmt,$L1878)),IF($M1878&lt;&gt;"",IF(INDEX(LdBAmt,$M1878)=0,"",INDEX(LdBAmt,$M1878)),IF($N1878&lt;&gt;"",IF(INDEX(LdCDep,$N1878)=0,"",INDEX(LdCDep,$N1878)),"")))</f>
        <v/>
      </c>
      <c r="F1878" s="21">
        <f>IF(AND($L1878="",$M1878="",$N1878=""),"",IF($N1878="","",IF(INDEX(LdCWit,$N1878)=0,"",INDEX(LdCWit,$N1878))))</f>
        <v/>
      </c>
      <c r="G1878" s="31">
        <f>IF($B1878="","",IF($G1877="",0,$G1877)+IF($E1878="",0,$E1878)-IF($F1878="",0,$F1878))</f>
        <v/>
      </c>
      <c r="H1878" s="32">
        <f>IF(AND($L1878="",$M1878="",$N1878=""),"",IF($L1878&lt;&gt;"",IF(INDEX(LdANote,$L1878)="","—",INDEX(LdANote,$L1878)),IF($M1878&lt;&gt;"",IF(INDEX(LdBNote,$M1878)="","—",INDEX(LdBNote,$M1878)),IF($N1878&lt;&gt;"",IF(INDEX(LdCNote,$N1878)="","—",INDEX(LdCNote,$N1878)),""))))</f>
        <v/>
      </c>
      <c r="L1878">
        <f>IFERROR(MATCH($C$5&amp;"|"&amp;RIGHT("000000"&amp;1862,6),LdAKeyM,0),"")</f>
        <v/>
      </c>
      <c r="M1878">
        <f>IFERROR(MATCH($C$5&amp;"|"&amp;RIGHT("000000"&amp;1862,6),LdBKeyM,0),"")</f>
        <v/>
      </c>
      <c r="N1878">
        <f>IFERROR(MATCH($C$5&amp;"|"&amp;RIGHT("000000"&amp;1862,6),LdCKeyM,0),"")</f>
        <v/>
      </c>
    </row>
    <row r="1879">
      <c r="A1879" s="10" t="n">
        <v>1863</v>
      </c>
      <c r="B1879" s="14">
        <f>IF(AND($L1879="",$M1879="",$N1879=""),"",IF($L1879&lt;&gt;"",INDEX(LdADate,$L1879),IF($M1879&lt;&gt;"",INDEX(LdBDate,$M1879),INDEX(LdCDate,$N1879))))</f>
        <v/>
      </c>
      <c r="C1879" s="14">
        <f>IF($L1879&lt;&gt;"","دستمزد (فردی)",IF($M1879&lt;&gt;"","سهم از گروه "&amp;IFERROR(VLOOKUP(INDEX(LdBGroup,$M1879),WGTbl,2,0),INDEX(LdBGroup,$M1879)),IF($N1879&lt;&gt;"",IF(N(INDEX(LdCDep,$N1879))&gt;0,"بازگشت بانکی","پرداخت بانکی"),"")))</f>
        <v/>
      </c>
      <c r="D1879" s="14">
        <f>IF($L1879&lt;&gt;"",IF(INDEX(LdAId,$L1879)="","—",INDEX(LdAId,$L1879)),IF($M1879&lt;&gt;"",IF(INDEX(LdBId,$M1879)="","—",INDEX(LdBId,$M1879)),IF($N1879&lt;&gt;"",IF(INDEX(LdCBank,$N1879)="","—",INDEX(LdCBank,$N1879)),"")))</f>
        <v/>
      </c>
      <c r="E1879" s="16">
        <f>IF($L1879&lt;&gt;"",IF(INDEX(LdAAmt,$L1879)=0,"",INDEX(LdAAmt,$L1879)),IF($M1879&lt;&gt;"",IF(INDEX(LdBAmt,$M1879)=0,"",INDEX(LdBAmt,$M1879)),IF($N1879&lt;&gt;"",IF(INDEX(LdCDep,$N1879)=0,"",INDEX(LdCDep,$N1879)),"")))</f>
        <v/>
      </c>
      <c r="F1879" s="16">
        <f>IF(AND($L1879="",$M1879="",$N1879=""),"",IF($N1879="","",IF(INDEX(LdCWit,$N1879)=0,"",INDEX(LdCWit,$N1879))))</f>
        <v/>
      </c>
      <c r="G1879" s="29">
        <f>IF($B1879="","",IF($G1878="",0,$G1878)+IF($E1879="",0,$E1879)-IF($F1879="",0,$F1879))</f>
        <v/>
      </c>
      <c r="H1879" s="30">
        <f>IF(AND($L1879="",$M1879="",$N1879=""),"",IF($L1879&lt;&gt;"",IF(INDEX(LdANote,$L1879)="","—",INDEX(LdANote,$L1879)),IF($M1879&lt;&gt;"",IF(INDEX(LdBNote,$M1879)="","—",INDEX(LdBNote,$M1879)),IF($N1879&lt;&gt;"",IF(INDEX(LdCNote,$N1879)="","—",INDEX(LdCNote,$N1879)),""))))</f>
        <v/>
      </c>
      <c r="L1879">
        <f>IFERROR(MATCH($C$5&amp;"|"&amp;RIGHT("000000"&amp;1863,6),LdAKeyM,0),"")</f>
        <v/>
      </c>
      <c r="M1879">
        <f>IFERROR(MATCH($C$5&amp;"|"&amp;RIGHT("000000"&amp;1863,6),LdBKeyM,0),"")</f>
        <v/>
      </c>
      <c r="N1879">
        <f>IFERROR(MATCH($C$5&amp;"|"&amp;RIGHT("000000"&amp;1863,6),LdCKeyM,0),"")</f>
        <v/>
      </c>
    </row>
    <row r="1880">
      <c r="A1880" s="19" t="n">
        <v>1864</v>
      </c>
      <c r="B1880" s="20">
        <f>IF(AND($L1880="",$M1880="",$N1880=""),"",IF($L1880&lt;&gt;"",INDEX(LdADate,$L1880),IF($M1880&lt;&gt;"",INDEX(LdBDate,$M1880),INDEX(LdCDate,$N1880))))</f>
        <v/>
      </c>
      <c r="C1880" s="20">
        <f>IF($L1880&lt;&gt;"","دستمزد (فردی)",IF($M1880&lt;&gt;"","سهم از گروه "&amp;IFERROR(VLOOKUP(INDEX(LdBGroup,$M1880),WGTbl,2,0),INDEX(LdBGroup,$M1880)),IF($N1880&lt;&gt;"",IF(N(INDEX(LdCDep,$N1880))&gt;0,"بازگشت بانکی","پرداخت بانکی"),"")))</f>
        <v/>
      </c>
      <c r="D1880" s="20">
        <f>IF($L1880&lt;&gt;"",IF(INDEX(LdAId,$L1880)="","—",INDEX(LdAId,$L1880)),IF($M1880&lt;&gt;"",IF(INDEX(LdBId,$M1880)="","—",INDEX(LdBId,$M1880)),IF($N1880&lt;&gt;"",IF(INDEX(LdCBank,$N1880)="","—",INDEX(LdCBank,$N1880)),"")))</f>
        <v/>
      </c>
      <c r="E1880" s="21">
        <f>IF($L1880&lt;&gt;"",IF(INDEX(LdAAmt,$L1880)=0,"",INDEX(LdAAmt,$L1880)),IF($M1880&lt;&gt;"",IF(INDEX(LdBAmt,$M1880)=0,"",INDEX(LdBAmt,$M1880)),IF($N1880&lt;&gt;"",IF(INDEX(LdCDep,$N1880)=0,"",INDEX(LdCDep,$N1880)),"")))</f>
        <v/>
      </c>
      <c r="F1880" s="21">
        <f>IF(AND($L1880="",$M1880="",$N1880=""),"",IF($N1880="","",IF(INDEX(LdCWit,$N1880)=0,"",INDEX(LdCWit,$N1880))))</f>
        <v/>
      </c>
      <c r="G1880" s="31">
        <f>IF($B1880="","",IF($G1879="",0,$G1879)+IF($E1880="",0,$E1880)-IF($F1880="",0,$F1880))</f>
        <v/>
      </c>
      <c r="H1880" s="32">
        <f>IF(AND($L1880="",$M1880="",$N1880=""),"",IF($L1880&lt;&gt;"",IF(INDEX(LdANote,$L1880)="","—",INDEX(LdANote,$L1880)),IF($M1880&lt;&gt;"",IF(INDEX(LdBNote,$M1880)="","—",INDEX(LdBNote,$M1880)),IF($N1880&lt;&gt;"",IF(INDEX(LdCNote,$N1880)="","—",INDEX(LdCNote,$N1880)),""))))</f>
        <v/>
      </c>
      <c r="L1880">
        <f>IFERROR(MATCH($C$5&amp;"|"&amp;RIGHT("000000"&amp;1864,6),LdAKeyM,0),"")</f>
        <v/>
      </c>
      <c r="M1880">
        <f>IFERROR(MATCH($C$5&amp;"|"&amp;RIGHT("000000"&amp;1864,6),LdBKeyM,0),"")</f>
        <v/>
      </c>
      <c r="N1880">
        <f>IFERROR(MATCH($C$5&amp;"|"&amp;RIGHT("000000"&amp;1864,6),LdCKeyM,0),"")</f>
        <v/>
      </c>
    </row>
    <row r="1881">
      <c r="A1881" s="10" t="n">
        <v>1865</v>
      </c>
      <c r="B1881" s="14">
        <f>IF(AND($L1881="",$M1881="",$N1881=""),"",IF($L1881&lt;&gt;"",INDEX(LdADate,$L1881),IF($M1881&lt;&gt;"",INDEX(LdBDate,$M1881),INDEX(LdCDate,$N1881))))</f>
        <v/>
      </c>
      <c r="C1881" s="14">
        <f>IF($L1881&lt;&gt;"","دستمزد (فردی)",IF($M1881&lt;&gt;"","سهم از گروه "&amp;IFERROR(VLOOKUP(INDEX(LdBGroup,$M1881),WGTbl,2,0),INDEX(LdBGroup,$M1881)),IF($N1881&lt;&gt;"",IF(N(INDEX(LdCDep,$N1881))&gt;0,"بازگشت بانکی","پرداخت بانکی"),"")))</f>
        <v/>
      </c>
      <c r="D1881" s="14">
        <f>IF($L1881&lt;&gt;"",IF(INDEX(LdAId,$L1881)="","—",INDEX(LdAId,$L1881)),IF($M1881&lt;&gt;"",IF(INDEX(LdBId,$M1881)="","—",INDEX(LdBId,$M1881)),IF($N1881&lt;&gt;"",IF(INDEX(LdCBank,$N1881)="","—",INDEX(LdCBank,$N1881)),"")))</f>
        <v/>
      </c>
      <c r="E1881" s="16">
        <f>IF($L1881&lt;&gt;"",IF(INDEX(LdAAmt,$L1881)=0,"",INDEX(LdAAmt,$L1881)),IF($M1881&lt;&gt;"",IF(INDEX(LdBAmt,$M1881)=0,"",INDEX(LdBAmt,$M1881)),IF($N1881&lt;&gt;"",IF(INDEX(LdCDep,$N1881)=0,"",INDEX(LdCDep,$N1881)),"")))</f>
        <v/>
      </c>
      <c r="F1881" s="16">
        <f>IF(AND($L1881="",$M1881="",$N1881=""),"",IF($N1881="","",IF(INDEX(LdCWit,$N1881)=0,"",INDEX(LdCWit,$N1881))))</f>
        <v/>
      </c>
      <c r="G1881" s="29">
        <f>IF($B1881="","",IF($G1880="",0,$G1880)+IF($E1881="",0,$E1881)-IF($F1881="",0,$F1881))</f>
        <v/>
      </c>
      <c r="H1881" s="30">
        <f>IF(AND($L1881="",$M1881="",$N1881=""),"",IF($L1881&lt;&gt;"",IF(INDEX(LdANote,$L1881)="","—",INDEX(LdANote,$L1881)),IF($M1881&lt;&gt;"",IF(INDEX(LdBNote,$M1881)="","—",INDEX(LdBNote,$M1881)),IF($N1881&lt;&gt;"",IF(INDEX(LdCNote,$N1881)="","—",INDEX(LdCNote,$N1881)),""))))</f>
        <v/>
      </c>
      <c r="L1881">
        <f>IFERROR(MATCH($C$5&amp;"|"&amp;RIGHT("000000"&amp;1865,6),LdAKeyM,0),"")</f>
        <v/>
      </c>
      <c r="M1881">
        <f>IFERROR(MATCH($C$5&amp;"|"&amp;RIGHT("000000"&amp;1865,6),LdBKeyM,0),"")</f>
        <v/>
      </c>
      <c r="N1881">
        <f>IFERROR(MATCH($C$5&amp;"|"&amp;RIGHT("000000"&amp;1865,6),LdCKeyM,0),"")</f>
        <v/>
      </c>
    </row>
    <row r="1882">
      <c r="A1882" s="19" t="n">
        <v>1866</v>
      </c>
      <c r="B1882" s="20">
        <f>IF(AND($L1882="",$M1882="",$N1882=""),"",IF($L1882&lt;&gt;"",INDEX(LdADate,$L1882),IF($M1882&lt;&gt;"",INDEX(LdBDate,$M1882),INDEX(LdCDate,$N1882))))</f>
        <v/>
      </c>
      <c r="C1882" s="20">
        <f>IF($L1882&lt;&gt;"","دستمزد (فردی)",IF($M1882&lt;&gt;"","سهم از گروه "&amp;IFERROR(VLOOKUP(INDEX(LdBGroup,$M1882),WGTbl,2,0),INDEX(LdBGroup,$M1882)),IF($N1882&lt;&gt;"",IF(N(INDEX(LdCDep,$N1882))&gt;0,"بازگشت بانکی","پرداخت بانکی"),"")))</f>
        <v/>
      </c>
      <c r="D1882" s="20">
        <f>IF($L1882&lt;&gt;"",IF(INDEX(LdAId,$L1882)="","—",INDEX(LdAId,$L1882)),IF($M1882&lt;&gt;"",IF(INDEX(LdBId,$M1882)="","—",INDEX(LdBId,$M1882)),IF($N1882&lt;&gt;"",IF(INDEX(LdCBank,$N1882)="","—",INDEX(LdCBank,$N1882)),"")))</f>
        <v/>
      </c>
      <c r="E1882" s="21">
        <f>IF($L1882&lt;&gt;"",IF(INDEX(LdAAmt,$L1882)=0,"",INDEX(LdAAmt,$L1882)),IF($M1882&lt;&gt;"",IF(INDEX(LdBAmt,$M1882)=0,"",INDEX(LdBAmt,$M1882)),IF($N1882&lt;&gt;"",IF(INDEX(LdCDep,$N1882)=0,"",INDEX(LdCDep,$N1882)),"")))</f>
        <v/>
      </c>
      <c r="F1882" s="21">
        <f>IF(AND($L1882="",$M1882="",$N1882=""),"",IF($N1882="","",IF(INDEX(LdCWit,$N1882)=0,"",INDEX(LdCWit,$N1882))))</f>
        <v/>
      </c>
      <c r="G1882" s="31">
        <f>IF($B1882="","",IF($G1881="",0,$G1881)+IF($E1882="",0,$E1882)-IF($F1882="",0,$F1882))</f>
        <v/>
      </c>
      <c r="H1882" s="32">
        <f>IF(AND($L1882="",$M1882="",$N1882=""),"",IF($L1882&lt;&gt;"",IF(INDEX(LdANote,$L1882)="","—",INDEX(LdANote,$L1882)),IF($M1882&lt;&gt;"",IF(INDEX(LdBNote,$M1882)="","—",INDEX(LdBNote,$M1882)),IF($N1882&lt;&gt;"",IF(INDEX(LdCNote,$N1882)="","—",INDEX(LdCNote,$N1882)),""))))</f>
        <v/>
      </c>
      <c r="L1882">
        <f>IFERROR(MATCH($C$5&amp;"|"&amp;RIGHT("000000"&amp;1866,6),LdAKeyM,0),"")</f>
        <v/>
      </c>
      <c r="M1882">
        <f>IFERROR(MATCH($C$5&amp;"|"&amp;RIGHT("000000"&amp;1866,6),LdBKeyM,0),"")</f>
        <v/>
      </c>
      <c r="N1882">
        <f>IFERROR(MATCH($C$5&amp;"|"&amp;RIGHT("000000"&amp;1866,6),LdCKeyM,0),"")</f>
        <v/>
      </c>
    </row>
    <row r="1883">
      <c r="A1883" s="10" t="n">
        <v>1867</v>
      </c>
      <c r="B1883" s="14">
        <f>IF(AND($L1883="",$M1883="",$N1883=""),"",IF($L1883&lt;&gt;"",INDEX(LdADate,$L1883),IF($M1883&lt;&gt;"",INDEX(LdBDate,$M1883),INDEX(LdCDate,$N1883))))</f>
        <v/>
      </c>
      <c r="C1883" s="14">
        <f>IF($L1883&lt;&gt;"","دستمزد (فردی)",IF($M1883&lt;&gt;"","سهم از گروه "&amp;IFERROR(VLOOKUP(INDEX(LdBGroup,$M1883),WGTbl,2,0),INDEX(LdBGroup,$M1883)),IF($N1883&lt;&gt;"",IF(N(INDEX(LdCDep,$N1883))&gt;0,"بازگشت بانکی","پرداخت بانکی"),"")))</f>
        <v/>
      </c>
      <c r="D1883" s="14">
        <f>IF($L1883&lt;&gt;"",IF(INDEX(LdAId,$L1883)="","—",INDEX(LdAId,$L1883)),IF($M1883&lt;&gt;"",IF(INDEX(LdBId,$M1883)="","—",INDEX(LdBId,$M1883)),IF($N1883&lt;&gt;"",IF(INDEX(LdCBank,$N1883)="","—",INDEX(LdCBank,$N1883)),"")))</f>
        <v/>
      </c>
      <c r="E1883" s="16">
        <f>IF($L1883&lt;&gt;"",IF(INDEX(LdAAmt,$L1883)=0,"",INDEX(LdAAmt,$L1883)),IF($M1883&lt;&gt;"",IF(INDEX(LdBAmt,$M1883)=0,"",INDEX(LdBAmt,$M1883)),IF($N1883&lt;&gt;"",IF(INDEX(LdCDep,$N1883)=0,"",INDEX(LdCDep,$N1883)),"")))</f>
        <v/>
      </c>
      <c r="F1883" s="16">
        <f>IF(AND($L1883="",$M1883="",$N1883=""),"",IF($N1883="","",IF(INDEX(LdCWit,$N1883)=0,"",INDEX(LdCWit,$N1883))))</f>
        <v/>
      </c>
      <c r="G1883" s="29">
        <f>IF($B1883="","",IF($G1882="",0,$G1882)+IF($E1883="",0,$E1883)-IF($F1883="",0,$F1883))</f>
        <v/>
      </c>
      <c r="H1883" s="30">
        <f>IF(AND($L1883="",$M1883="",$N1883=""),"",IF($L1883&lt;&gt;"",IF(INDEX(LdANote,$L1883)="","—",INDEX(LdANote,$L1883)),IF($M1883&lt;&gt;"",IF(INDEX(LdBNote,$M1883)="","—",INDEX(LdBNote,$M1883)),IF($N1883&lt;&gt;"",IF(INDEX(LdCNote,$N1883)="","—",INDEX(LdCNote,$N1883)),""))))</f>
        <v/>
      </c>
      <c r="L1883">
        <f>IFERROR(MATCH($C$5&amp;"|"&amp;RIGHT("000000"&amp;1867,6),LdAKeyM,0),"")</f>
        <v/>
      </c>
      <c r="M1883">
        <f>IFERROR(MATCH($C$5&amp;"|"&amp;RIGHT("000000"&amp;1867,6),LdBKeyM,0),"")</f>
        <v/>
      </c>
      <c r="N1883">
        <f>IFERROR(MATCH($C$5&amp;"|"&amp;RIGHT("000000"&amp;1867,6),LdCKeyM,0),"")</f>
        <v/>
      </c>
    </row>
    <row r="1884">
      <c r="A1884" s="19" t="n">
        <v>1868</v>
      </c>
      <c r="B1884" s="20">
        <f>IF(AND($L1884="",$M1884="",$N1884=""),"",IF($L1884&lt;&gt;"",INDEX(LdADate,$L1884),IF($M1884&lt;&gt;"",INDEX(LdBDate,$M1884),INDEX(LdCDate,$N1884))))</f>
        <v/>
      </c>
      <c r="C1884" s="20">
        <f>IF($L1884&lt;&gt;"","دستمزد (فردی)",IF($M1884&lt;&gt;"","سهم از گروه "&amp;IFERROR(VLOOKUP(INDEX(LdBGroup,$M1884),WGTbl,2,0),INDEX(LdBGroup,$M1884)),IF($N1884&lt;&gt;"",IF(N(INDEX(LdCDep,$N1884))&gt;0,"بازگشت بانکی","پرداخت بانکی"),"")))</f>
        <v/>
      </c>
      <c r="D1884" s="20">
        <f>IF($L1884&lt;&gt;"",IF(INDEX(LdAId,$L1884)="","—",INDEX(LdAId,$L1884)),IF($M1884&lt;&gt;"",IF(INDEX(LdBId,$M1884)="","—",INDEX(LdBId,$M1884)),IF($N1884&lt;&gt;"",IF(INDEX(LdCBank,$N1884)="","—",INDEX(LdCBank,$N1884)),"")))</f>
        <v/>
      </c>
      <c r="E1884" s="21">
        <f>IF($L1884&lt;&gt;"",IF(INDEX(LdAAmt,$L1884)=0,"",INDEX(LdAAmt,$L1884)),IF($M1884&lt;&gt;"",IF(INDEX(LdBAmt,$M1884)=0,"",INDEX(LdBAmt,$M1884)),IF($N1884&lt;&gt;"",IF(INDEX(LdCDep,$N1884)=0,"",INDEX(LdCDep,$N1884)),"")))</f>
        <v/>
      </c>
      <c r="F1884" s="21">
        <f>IF(AND($L1884="",$M1884="",$N1884=""),"",IF($N1884="","",IF(INDEX(LdCWit,$N1884)=0,"",INDEX(LdCWit,$N1884))))</f>
        <v/>
      </c>
      <c r="G1884" s="31">
        <f>IF($B1884="","",IF($G1883="",0,$G1883)+IF($E1884="",0,$E1884)-IF($F1884="",0,$F1884))</f>
        <v/>
      </c>
      <c r="H1884" s="32">
        <f>IF(AND($L1884="",$M1884="",$N1884=""),"",IF($L1884&lt;&gt;"",IF(INDEX(LdANote,$L1884)="","—",INDEX(LdANote,$L1884)),IF($M1884&lt;&gt;"",IF(INDEX(LdBNote,$M1884)="","—",INDEX(LdBNote,$M1884)),IF($N1884&lt;&gt;"",IF(INDEX(LdCNote,$N1884)="","—",INDEX(LdCNote,$N1884)),""))))</f>
        <v/>
      </c>
      <c r="L1884">
        <f>IFERROR(MATCH($C$5&amp;"|"&amp;RIGHT("000000"&amp;1868,6),LdAKeyM,0),"")</f>
        <v/>
      </c>
      <c r="M1884">
        <f>IFERROR(MATCH($C$5&amp;"|"&amp;RIGHT("000000"&amp;1868,6),LdBKeyM,0),"")</f>
        <v/>
      </c>
      <c r="N1884">
        <f>IFERROR(MATCH($C$5&amp;"|"&amp;RIGHT("000000"&amp;1868,6),LdCKeyM,0),"")</f>
        <v/>
      </c>
    </row>
    <row r="1885">
      <c r="A1885" s="10" t="n">
        <v>1869</v>
      </c>
      <c r="B1885" s="14">
        <f>IF(AND($L1885="",$M1885="",$N1885=""),"",IF($L1885&lt;&gt;"",INDEX(LdADate,$L1885),IF($M1885&lt;&gt;"",INDEX(LdBDate,$M1885),INDEX(LdCDate,$N1885))))</f>
        <v/>
      </c>
      <c r="C1885" s="14">
        <f>IF($L1885&lt;&gt;"","دستمزد (فردی)",IF($M1885&lt;&gt;"","سهم از گروه "&amp;IFERROR(VLOOKUP(INDEX(LdBGroup,$M1885),WGTbl,2,0),INDEX(LdBGroup,$M1885)),IF($N1885&lt;&gt;"",IF(N(INDEX(LdCDep,$N1885))&gt;0,"بازگشت بانکی","پرداخت بانکی"),"")))</f>
        <v/>
      </c>
      <c r="D1885" s="14">
        <f>IF($L1885&lt;&gt;"",IF(INDEX(LdAId,$L1885)="","—",INDEX(LdAId,$L1885)),IF($M1885&lt;&gt;"",IF(INDEX(LdBId,$M1885)="","—",INDEX(LdBId,$M1885)),IF($N1885&lt;&gt;"",IF(INDEX(LdCBank,$N1885)="","—",INDEX(LdCBank,$N1885)),"")))</f>
        <v/>
      </c>
      <c r="E1885" s="16">
        <f>IF($L1885&lt;&gt;"",IF(INDEX(LdAAmt,$L1885)=0,"",INDEX(LdAAmt,$L1885)),IF($M1885&lt;&gt;"",IF(INDEX(LdBAmt,$M1885)=0,"",INDEX(LdBAmt,$M1885)),IF($N1885&lt;&gt;"",IF(INDEX(LdCDep,$N1885)=0,"",INDEX(LdCDep,$N1885)),"")))</f>
        <v/>
      </c>
      <c r="F1885" s="16">
        <f>IF(AND($L1885="",$M1885="",$N1885=""),"",IF($N1885="","",IF(INDEX(LdCWit,$N1885)=0,"",INDEX(LdCWit,$N1885))))</f>
        <v/>
      </c>
      <c r="G1885" s="29">
        <f>IF($B1885="","",IF($G1884="",0,$G1884)+IF($E1885="",0,$E1885)-IF($F1885="",0,$F1885))</f>
        <v/>
      </c>
      <c r="H1885" s="30">
        <f>IF(AND($L1885="",$M1885="",$N1885=""),"",IF($L1885&lt;&gt;"",IF(INDEX(LdANote,$L1885)="","—",INDEX(LdANote,$L1885)),IF($M1885&lt;&gt;"",IF(INDEX(LdBNote,$M1885)="","—",INDEX(LdBNote,$M1885)),IF($N1885&lt;&gt;"",IF(INDEX(LdCNote,$N1885)="","—",INDEX(LdCNote,$N1885)),""))))</f>
        <v/>
      </c>
      <c r="L1885">
        <f>IFERROR(MATCH($C$5&amp;"|"&amp;RIGHT("000000"&amp;1869,6),LdAKeyM,0),"")</f>
        <v/>
      </c>
      <c r="M1885">
        <f>IFERROR(MATCH($C$5&amp;"|"&amp;RIGHT("000000"&amp;1869,6),LdBKeyM,0),"")</f>
        <v/>
      </c>
      <c r="N1885">
        <f>IFERROR(MATCH($C$5&amp;"|"&amp;RIGHT("000000"&amp;1869,6),LdCKeyM,0),"")</f>
        <v/>
      </c>
    </row>
    <row r="1886">
      <c r="A1886" s="19" t="n">
        <v>1870</v>
      </c>
      <c r="B1886" s="20">
        <f>IF(AND($L1886="",$M1886="",$N1886=""),"",IF($L1886&lt;&gt;"",INDEX(LdADate,$L1886),IF($M1886&lt;&gt;"",INDEX(LdBDate,$M1886),INDEX(LdCDate,$N1886))))</f>
        <v/>
      </c>
      <c r="C1886" s="20">
        <f>IF($L1886&lt;&gt;"","دستمزد (فردی)",IF($M1886&lt;&gt;"","سهم از گروه "&amp;IFERROR(VLOOKUP(INDEX(LdBGroup,$M1886),WGTbl,2,0),INDEX(LdBGroup,$M1886)),IF($N1886&lt;&gt;"",IF(N(INDEX(LdCDep,$N1886))&gt;0,"بازگشت بانکی","پرداخت بانکی"),"")))</f>
        <v/>
      </c>
      <c r="D1886" s="20">
        <f>IF($L1886&lt;&gt;"",IF(INDEX(LdAId,$L1886)="","—",INDEX(LdAId,$L1886)),IF($M1886&lt;&gt;"",IF(INDEX(LdBId,$M1886)="","—",INDEX(LdBId,$M1886)),IF($N1886&lt;&gt;"",IF(INDEX(LdCBank,$N1886)="","—",INDEX(LdCBank,$N1886)),"")))</f>
        <v/>
      </c>
      <c r="E1886" s="21">
        <f>IF($L1886&lt;&gt;"",IF(INDEX(LdAAmt,$L1886)=0,"",INDEX(LdAAmt,$L1886)),IF($M1886&lt;&gt;"",IF(INDEX(LdBAmt,$M1886)=0,"",INDEX(LdBAmt,$M1886)),IF($N1886&lt;&gt;"",IF(INDEX(LdCDep,$N1886)=0,"",INDEX(LdCDep,$N1886)),"")))</f>
        <v/>
      </c>
      <c r="F1886" s="21">
        <f>IF(AND($L1886="",$M1886="",$N1886=""),"",IF($N1886="","",IF(INDEX(LdCWit,$N1886)=0,"",INDEX(LdCWit,$N1886))))</f>
        <v/>
      </c>
      <c r="G1886" s="31">
        <f>IF($B1886="","",IF($G1885="",0,$G1885)+IF($E1886="",0,$E1886)-IF($F1886="",0,$F1886))</f>
        <v/>
      </c>
      <c r="H1886" s="32">
        <f>IF(AND($L1886="",$M1886="",$N1886=""),"",IF($L1886&lt;&gt;"",IF(INDEX(LdANote,$L1886)="","—",INDEX(LdANote,$L1886)),IF($M1886&lt;&gt;"",IF(INDEX(LdBNote,$M1886)="","—",INDEX(LdBNote,$M1886)),IF($N1886&lt;&gt;"",IF(INDEX(LdCNote,$N1886)="","—",INDEX(LdCNote,$N1886)),""))))</f>
        <v/>
      </c>
      <c r="L1886">
        <f>IFERROR(MATCH($C$5&amp;"|"&amp;RIGHT("000000"&amp;1870,6),LdAKeyM,0),"")</f>
        <v/>
      </c>
      <c r="M1886">
        <f>IFERROR(MATCH($C$5&amp;"|"&amp;RIGHT("000000"&amp;1870,6),LdBKeyM,0),"")</f>
        <v/>
      </c>
      <c r="N1886">
        <f>IFERROR(MATCH($C$5&amp;"|"&amp;RIGHT("000000"&amp;1870,6),LdCKeyM,0),"")</f>
        <v/>
      </c>
    </row>
    <row r="1887">
      <c r="A1887" s="10" t="n">
        <v>1871</v>
      </c>
      <c r="B1887" s="14">
        <f>IF(AND($L1887="",$M1887="",$N1887=""),"",IF($L1887&lt;&gt;"",INDEX(LdADate,$L1887),IF($M1887&lt;&gt;"",INDEX(LdBDate,$M1887),INDEX(LdCDate,$N1887))))</f>
        <v/>
      </c>
      <c r="C1887" s="14">
        <f>IF($L1887&lt;&gt;"","دستمزد (فردی)",IF($M1887&lt;&gt;"","سهم از گروه "&amp;IFERROR(VLOOKUP(INDEX(LdBGroup,$M1887),WGTbl,2,0),INDEX(LdBGroup,$M1887)),IF($N1887&lt;&gt;"",IF(N(INDEX(LdCDep,$N1887))&gt;0,"بازگشت بانکی","پرداخت بانکی"),"")))</f>
        <v/>
      </c>
      <c r="D1887" s="14">
        <f>IF($L1887&lt;&gt;"",IF(INDEX(LdAId,$L1887)="","—",INDEX(LdAId,$L1887)),IF($M1887&lt;&gt;"",IF(INDEX(LdBId,$M1887)="","—",INDEX(LdBId,$M1887)),IF($N1887&lt;&gt;"",IF(INDEX(LdCBank,$N1887)="","—",INDEX(LdCBank,$N1887)),"")))</f>
        <v/>
      </c>
      <c r="E1887" s="16">
        <f>IF($L1887&lt;&gt;"",IF(INDEX(LdAAmt,$L1887)=0,"",INDEX(LdAAmt,$L1887)),IF($M1887&lt;&gt;"",IF(INDEX(LdBAmt,$M1887)=0,"",INDEX(LdBAmt,$M1887)),IF($N1887&lt;&gt;"",IF(INDEX(LdCDep,$N1887)=0,"",INDEX(LdCDep,$N1887)),"")))</f>
        <v/>
      </c>
      <c r="F1887" s="16">
        <f>IF(AND($L1887="",$M1887="",$N1887=""),"",IF($N1887="","",IF(INDEX(LdCWit,$N1887)=0,"",INDEX(LdCWit,$N1887))))</f>
        <v/>
      </c>
      <c r="G1887" s="29">
        <f>IF($B1887="","",IF($G1886="",0,$G1886)+IF($E1887="",0,$E1887)-IF($F1887="",0,$F1887))</f>
        <v/>
      </c>
      <c r="H1887" s="30">
        <f>IF(AND($L1887="",$M1887="",$N1887=""),"",IF($L1887&lt;&gt;"",IF(INDEX(LdANote,$L1887)="","—",INDEX(LdANote,$L1887)),IF($M1887&lt;&gt;"",IF(INDEX(LdBNote,$M1887)="","—",INDEX(LdBNote,$M1887)),IF($N1887&lt;&gt;"",IF(INDEX(LdCNote,$N1887)="","—",INDEX(LdCNote,$N1887)),""))))</f>
        <v/>
      </c>
      <c r="L1887">
        <f>IFERROR(MATCH($C$5&amp;"|"&amp;RIGHT("000000"&amp;1871,6),LdAKeyM,0),"")</f>
        <v/>
      </c>
      <c r="M1887">
        <f>IFERROR(MATCH($C$5&amp;"|"&amp;RIGHT("000000"&amp;1871,6),LdBKeyM,0),"")</f>
        <v/>
      </c>
      <c r="N1887">
        <f>IFERROR(MATCH($C$5&amp;"|"&amp;RIGHT("000000"&amp;1871,6),LdCKeyM,0),"")</f>
        <v/>
      </c>
    </row>
    <row r="1888">
      <c r="A1888" s="19" t="n">
        <v>1872</v>
      </c>
      <c r="B1888" s="20">
        <f>IF(AND($L1888="",$M1888="",$N1888=""),"",IF($L1888&lt;&gt;"",INDEX(LdADate,$L1888),IF($M1888&lt;&gt;"",INDEX(LdBDate,$M1888),INDEX(LdCDate,$N1888))))</f>
        <v/>
      </c>
      <c r="C1888" s="20">
        <f>IF($L1888&lt;&gt;"","دستمزد (فردی)",IF($M1888&lt;&gt;"","سهم از گروه "&amp;IFERROR(VLOOKUP(INDEX(LdBGroup,$M1888),WGTbl,2,0),INDEX(LdBGroup,$M1888)),IF($N1888&lt;&gt;"",IF(N(INDEX(LdCDep,$N1888))&gt;0,"بازگشت بانکی","پرداخت بانکی"),"")))</f>
        <v/>
      </c>
      <c r="D1888" s="20">
        <f>IF($L1888&lt;&gt;"",IF(INDEX(LdAId,$L1888)="","—",INDEX(LdAId,$L1888)),IF($M1888&lt;&gt;"",IF(INDEX(LdBId,$M1888)="","—",INDEX(LdBId,$M1888)),IF($N1888&lt;&gt;"",IF(INDEX(LdCBank,$N1888)="","—",INDEX(LdCBank,$N1888)),"")))</f>
        <v/>
      </c>
      <c r="E1888" s="21">
        <f>IF($L1888&lt;&gt;"",IF(INDEX(LdAAmt,$L1888)=0,"",INDEX(LdAAmt,$L1888)),IF($M1888&lt;&gt;"",IF(INDEX(LdBAmt,$M1888)=0,"",INDEX(LdBAmt,$M1888)),IF($N1888&lt;&gt;"",IF(INDEX(LdCDep,$N1888)=0,"",INDEX(LdCDep,$N1888)),"")))</f>
        <v/>
      </c>
      <c r="F1888" s="21">
        <f>IF(AND($L1888="",$M1888="",$N1888=""),"",IF($N1888="","",IF(INDEX(LdCWit,$N1888)=0,"",INDEX(LdCWit,$N1888))))</f>
        <v/>
      </c>
      <c r="G1888" s="31">
        <f>IF($B1888="","",IF($G1887="",0,$G1887)+IF($E1888="",0,$E1888)-IF($F1888="",0,$F1888))</f>
        <v/>
      </c>
      <c r="H1888" s="32">
        <f>IF(AND($L1888="",$M1888="",$N1888=""),"",IF($L1888&lt;&gt;"",IF(INDEX(LdANote,$L1888)="","—",INDEX(LdANote,$L1888)),IF($M1888&lt;&gt;"",IF(INDEX(LdBNote,$M1888)="","—",INDEX(LdBNote,$M1888)),IF($N1888&lt;&gt;"",IF(INDEX(LdCNote,$N1888)="","—",INDEX(LdCNote,$N1888)),""))))</f>
        <v/>
      </c>
      <c r="L1888">
        <f>IFERROR(MATCH($C$5&amp;"|"&amp;RIGHT("000000"&amp;1872,6),LdAKeyM,0),"")</f>
        <v/>
      </c>
      <c r="M1888">
        <f>IFERROR(MATCH($C$5&amp;"|"&amp;RIGHT("000000"&amp;1872,6),LdBKeyM,0),"")</f>
        <v/>
      </c>
      <c r="N1888">
        <f>IFERROR(MATCH($C$5&amp;"|"&amp;RIGHT("000000"&amp;1872,6),LdCKeyM,0),"")</f>
        <v/>
      </c>
    </row>
    <row r="1889">
      <c r="A1889" s="10" t="n">
        <v>1873</v>
      </c>
      <c r="B1889" s="14">
        <f>IF(AND($L1889="",$M1889="",$N1889=""),"",IF($L1889&lt;&gt;"",INDEX(LdADate,$L1889),IF($M1889&lt;&gt;"",INDEX(LdBDate,$M1889),INDEX(LdCDate,$N1889))))</f>
        <v/>
      </c>
      <c r="C1889" s="14">
        <f>IF($L1889&lt;&gt;"","دستمزد (فردی)",IF($M1889&lt;&gt;"","سهم از گروه "&amp;IFERROR(VLOOKUP(INDEX(LdBGroup,$M1889),WGTbl,2,0),INDEX(LdBGroup,$M1889)),IF($N1889&lt;&gt;"",IF(N(INDEX(LdCDep,$N1889))&gt;0,"بازگشت بانکی","پرداخت بانکی"),"")))</f>
        <v/>
      </c>
      <c r="D1889" s="14">
        <f>IF($L1889&lt;&gt;"",IF(INDEX(LdAId,$L1889)="","—",INDEX(LdAId,$L1889)),IF($M1889&lt;&gt;"",IF(INDEX(LdBId,$M1889)="","—",INDEX(LdBId,$M1889)),IF($N1889&lt;&gt;"",IF(INDEX(LdCBank,$N1889)="","—",INDEX(LdCBank,$N1889)),"")))</f>
        <v/>
      </c>
      <c r="E1889" s="16">
        <f>IF($L1889&lt;&gt;"",IF(INDEX(LdAAmt,$L1889)=0,"",INDEX(LdAAmt,$L1889)),IF($M1889&lt;&gt;"",IF(INDEX(LdBAmt,$M1889)=0,"",INDEX(LdBAmt,$M1889)),IF($N1889&lt;&gt;"",IF(INDEX(LdCDep,$N1889)=0,"",INDEX(LdCDep,$N1889)),"")))</f>
        <v/>
      </c>
      <c r="F1889" s="16">
        <f>IF(AND($L1889="",$M1889="",$N1889=""),"",IF($N1889="","",IF(INDEX(LdCWit,$N1889)=0,"",INDEX(LdCWit,$N1889))))</f>
        <v/>
      </c>
      <c r="G1889" s="29">
        <f>IF($B1889="","",IF($G1888="",0,$G1888)+IF($E1889="",0,$E1889)-IF($F1889="",0,$F1889))</f>
        <v/>
      </c>
      <c r="H1889" s="30">
        <f>IF(AND($L1889="",$M1889="",$N1889=""),"",IF($L1889&lt;&gt;"",IF(INDEX(LdANote,$L1889)="","—",INDEX(LdANote,$L1889)),IF($M1889&lt;&gt;"",IF(INDEX(LdBNote,$M1889)="","—",INDEX(LdBNote,$M1889)),IF($N1889&lt;&gt;"",IF(INDEX(LdCNote,$N1889)="","—",INDEX(LdCNote,$N1889)),""))))</f>
        <v/>
      </c>
      <c r="L1889">
        <f>IFERROR(MATCH($C$5&amp;"|"&amp;RIGHT("000000"&amp;1873,6),LdAKeyM,0),"")</f>
        <v/>
      </c>
      <c r="M1889">
        <f>IFERROR(MATCH($C$5&amp;"|"&amp;RIGHT("000000"&amp;1873,6),LdBKeyM,0),"")</f>
        <v/>
      </c>
      <c r="N1889">
        <f>IFERROR(MATCH($C$5&amp;"|"&amp;RIGHT("000000"&amp;1873,6),LdCKeyM,0),"")</f>
        <v/>
      </c>
    </row>
    <row r="1890">
      <c r="A1890" s="19" t="n">
        <v>1874</v>
      </c>
      <c r="B1890" s="20">
        <f>IF(AND($L1890="",$M1890="",$N1890=""),"",IF($L1890&lt;&gt;"",INDEX(LdADate,$L1890),IF($M1890&lt;&gt;"",INDEX(LdBDate,$M1890),INDEX(LdCDate,$N1890))))</f>
        <v/>
      </c>
      <c r="C1890" s="20">
        <f>IF($L1890&lt;&gt;"","دستمزد (فردی)",IF($M1890&lt;&gt;"","سهم از گروه "&amp;IFERROR(VLOOKUP(INDEX(LdBGroup,$M1890),WGTbl,2,0),INDEX(LdBGroup,$M1890)),IF($N1890&lt;&gt;"",IF(N(INDEX(LdCDep,$N1890))&gt;0,"بازگشت بانکی","پرداخت بانکی"),"")))</f>
        <v/>
      </c>
      <c r="D1890" s="20">
        <f>IF($L1890&lt;&gt;"",IF(INDEX(LdAId,$L1890)="","—",INDEX(LdAId,$L1890)),IF($M1890&lt;&gt;"",IF(INDEX(LdBId,$M1890)="","—",INDEX(LdBId,$M1890)),IF($N1890&lt;&gt;"",IF(INDEX(LdCBank,$N1890)="","—",INDEX(LdCBank,$N1890)),"")))</f>
        <v/>
      </c>
      <c r="E1890" s="21">
        <f>IF($L1890&lt;&gt;"",IF(INDEX(LdAAmt,$L1890)=0,"",INDEX(LdAAmt,$L1890)),IF($M1890&lt;&gt;"",IF(INDEX(LdBAmt,$M1890)=0,"",INDEX(LdBAmt,$M1890)),IF($N1890&lt;&gt;"",IF(INDEX(LdCDep,$N1890)=0,"",INDEX(LdCDep,$N1890)),"")))</f>
        <v/>
      </c>
      <c r="F1890" s="21">
        <f>IF(AND($L1890="",$M1890="",$N1890=""),"",IF($N1890="","",IF(INDEX(LdCWit,$N1890)=0,"",INDEX(LdCWit,$N1890))))</f>
        <v/>
      </c>
      <c r="G1890" s="31">
        <f>IF($B1890="","",IF($G1889="",0,$G1889)+IF($E1890="",0,$E1890)-IF($F1890="",0,$F1890))</f>
        <v/>
      </c>
      <c r="H1890" s="32">
        <f>IF(AND($L1890="",$M1890="",$N1890=""),"",IF($L1890&lt;&gt;"",IF(INDEX(LdANote,$L1890)="","—",INDEX(LdANote,$L1890)),IF($M1890&lt;&gt;"",IF(INDEX(LdBNote,$M1890)="","—",INDEX(LdBNote,$M1890)),IF($N1890&lt;&gt;"",IF(INDEX(LdCNote,$N1890)="","—",INDEX(LdCNote,$N1890)),""))))</f>
        <v/>
      </c>
      <c r="L1890">
        <f>IFERROR(MATCH($C$5&amp;"|"&amp;RIGHT("000000"&amp;1874,6),LdAKeyM,0),"")</f>
        <v/>
      </c>
      <c r="M1890">
        <f>IFERROR(MATCH($C$5&amp;"|"&amp;RIGHT("000000"&amp;1874,6),LdBKeyM,0),"")</f>
        <v/>
      </c>
      <c r="N1890">
        <f>IFERROR(MATCH($C$5&amp;"|"&amp;RIGHT("000000"&amp;1874,6),LdCKeyM,0),"")</f>
        <v/>
      </c>
    </row>
    <row r="1891">
      <c r="A1891" s="10" t="n">
        <v>1875</v>
      </c>
      <c r="B1891" s="14">
        <f>IF(AND($L1891="",$M1891="",$N1891=""),"",IF($L1891&lt;&gt;"",INDEX(LdADate,$L1891),IF($M1891&lt;&gt;"",INDEX(LdBDate,$M1891),INDEX(LdCDate,$N1891))))</f>
        <v/>
      </c>
      <c r="C1891" s="14">
        <f>IF($L1891&lt;&gt;"","دستمزد (فردی)",IF($M1891&lt;&gt;"","سهم از گروه "&amp;IFERROR(VLOOKUP(INDEX(LdBGroup,$M1891),WGTbl,2,0),INDEX(LdBGroup,$M1891)),IF($N1891&lt;&gt;"",IF(N(INDEX(LdCDep,$N1891))&gt;0,"بازگشت بانکی","پرداخت بانکی"),"")))</f>
        <v/>
      </c>
      <c r="D1891" s="14">
        <f>IF($L1891&lt;&gt;"",IF(INDEX(LdAId,$L1891)="","—",INDEX(LdAId,$L1891)),IF($M1891&lt;&gt;"",IF(INDEX(LdBId,$M1891)="","—",INDEX(LdBId,$M1891)),IF($N1891&lt;&gt;"",IF(INDEX(LdCBank,$N1891)="","—",INDEX(LdCBank,$N1891)),"")))</f>
        <v/>
      </c>
      <c r="E1891" s="16">
        <f>IF($L1891&lt;&gt;"",IF(INDEX(LdAAmt,$L1891)=0,"",INDEX(LdAAmt,$L1891)),IF($M1891&lt;&gt;"",IF(INDEX(LdBAmt,$M1891)=0,"",INDEX(LdBAmt,$M1891)),IF($N1891&lt;&gt;"",IF(INDEX(LdCDep,$N1891)=0,"",INDEX(LdCDep,$N1891)),"")))</f>
        <v/>
      </c>
      <c r="F1891" s="16">
        <f>IF(AND($L1891="",$M1891="",$N1891=""),"",IF($N1891="","",IF(INDEX(LdCWit,$N1891)=0,"",INDEX(LdCWit,$N1891))))</f>
        <v/>
      </c>
      <c r="G1891" s="29">
        <f>IF($B1891="","",IF($G1890="",0,$G1890)+IF($E1891="",0,$E1891)-IF($F1891="",0,$F1891))</f>
        <v/>
      </c>
      <c r="H1891" s="30">
        <f>IF(AND($L1891="",$M1891="",$N1891=""),"",IF($L1891&lt;&gt;"",IF(INDEX(LdANote,$L1891)="","—",INDEX(LdANote,$L1891)),IF($M1891&lt;&gt;"",IF(INDEX(LdBNote,$M1891)="","—",INDEX(LdBNote,$M1891)),IF($N1891&lt;&gt;"",IF(INDEX(LdCNote,$N1891)="","—",INDEX(LdCNote,$N1891)),""))))</f>
        <v/>
      </c>
      <c r="L1891">
        <f>IFERROR(MATCH($C$5&amp;"|"&amp;RIGHT("000000"&amp;1875,6),LdAKeyM,0),"")</f>
        <v/>
      </c>
      <c r="M1891">
        <f>IFERROR(MATCH($C$5&amp;"|"&amp;RIGHT("000000"&amp;1875,6),LdBKeyM,0),"")</f>
        <v/>
      </c>
      <c r="N1891">
        <f>IFERROR(MATCH($C$5&amp;"|"&amp;RIGHT("000000"&amp;1875,6),LdCKeyM,0),"")</f>
        <v/>
      </c>
    </row>
    <row r="1892">
      <c r="A1892" s="19" t="n">
        <v>1876</v>
      </c>
      <c r="B1892" s="20">
        <f>IF(AND($L1892="",$M1892="",$N1892=""),"",IF($L1892&lt;&gt;"",INDEX(LdADate,$L1892),IF($M1892&lt;&gt;"",INDEX(LdBDate,$M1892),INDEX(LdCDate,$N1892))))</f>
        <v/>
      </c>
      <c r="C1892" s="20">
        <f>IF($L1892&lt;&gt;"","دستمزد (فردی)",IF($M1892&lt;&gt;"","سهم از گروه "&amp;IFERROR(VLOOKUP(INDEX(LdBGroup,$M1892),WGTbl,2,0),INDEX(LdBGroup,$M1892)),IF($N1892&lt;&gt;"",IF(N(INDEX(LdCDep,$N1892))&gt;0,"بازگشت بانکی","پرداخت بانکی"),"")))</f>
        <v/>
      </c>
      <c r="D1892" s="20">
        <f>IF($L1892&lt;&gt;"",IF(INDEX(LdAId,$L1892)="","—",INDEX(LdAId,$L1892)),IF($M1892&lt;&gt;"",IF(INDEX(LdBId,$M1892)="","—",INDEX(LdBId,$M1892)),IF($N1892&lt;&gt;"",IF(INDEX(LdCBank,$N1892)="","—",INDEX(LdCBank,$N1892)),"")))</f>
        <v/>
      </c>
      <c r="E1892" s="21">
        <f>IF($L1892&lt;&gt;"",IF(INDEX(LdAAmt,$L1892)=0,"",INDEX(LdAAmt,$L1892)),IF($M1892&lt;&gt;"",IF(INDEX(LdBAmt,$M1892)=0,"",INDEX(LdBAmt,$M1892)),IF($N1892&lt;&gt;"",IF(INDEX(LdCDep,$N1892)=0,"",INDEX(LdCDep,$N1892)),"")))</f>
        <v/>
      </c>
      <c r="F1892" s="21">
        <f>IF(AND($L1892="",$M1892="",$N1892=""),"",IF($N1892="","",IF(INDEX(LdCWit,$N1892)=0,"",INDEX(LdCWit,$N1892))))</f>
        <v/>
      </c>
      <c r="G1892" s="31">
        <f>IF($B1892="","",IF($G1891="",0,$G1891)+IF($E1892="",0,$E1892)-IF($F1892="",0,$F1892))</f>
        <v/>
      </c>
      <c r="H1892" s="32">
        <f>IF(AND($L1892="",$M1892="",$N1892=""),"",IF($L1892&lt;&gt;"",IF(INDEX(LdANote,$L1892)="","—",INDEX(LdANote,$L1892)),IF($M1892&lt;&gt;"",IF(INDEX(LdBNote,$M1892)="","—",INDEX(LdBNote,$M1892)),IF($N1892&lt;&gt;"",IF(INDEX(LdCNote,$N1892)="","—",INDEX(LdCNote,$N1892)),""))))</f>
        <v/>
      </c>
      <c r="L1892">
        <f>IFERROR(MATCH($C$5&amp;"|"&amp;RIGHT("000000"&amp;1876,6),LdAKeyM,0),"")</f>
        <v/>
      </c>
      <c r="M1892">
        <f>IFERROR(MATCH($C$5&amp;"|"&amp;RIGHT("000000"&amp;1876,6),LdBKeyM,0),"")</f>
        <v/>
      </c>
      <c r="N1892">
        <f>IFERROR(MATCH($C$5&amp;"|"&amp;RIGHT("000000"&amp;1876,6),LdCKeyM,0),"")</f>
        <v/>
      </c>
    </row>
    <row r="1893">
      <c r="A1893" s="10" t="n">
        <v>1877</v>
      </c>
      <c r="B1893" s="14">
        <f>IF(AND($L1893="",$M1893="",$N1893=""),"",IF($L1893&lt;&gt;"",INDEX(LdADate,$L1893),IF($M1893&lt;&gt;"",INDEX(LdBDate,$M1893),INDEX(LdCDate,$N1893))))</f>
        <v/>
      </c>
      <c r="C1893" s="14">
        <f>IF($L1893&lt;&gt;"","دستمزد (فردی)",IF($M1893&lt;&gt;"","سهم از گروه "&amp;IFERROR(VLOOKUP(INDEX(LdBGroup,$M1893),WGTbl,2,0),INDEX(LdBGroup,$M1893)),IF($N1893&lt;&gt;"",IF(N(INDEX(LdCDep,$N1893))&gt;0,"بازگشت بانکی","پرداخت بانکی"),"")))</f>
        <v/>
      </c>
      <c r="D1893" s="14">
        <f>IF($L1893&lt;&gt;"",IF(INDEX(LdAId,$L1893)="","—",INDEX(LdAId,$L1893)),IF($M1893&lt;&gt;"",IF(INDEX(LdBId,$M1893)="","—",INDEX(LdBId,$M1893)),IF($N1893&lt;&gt;"",IF(INDEX(LdCBank,$N1893)="","—",INDEX(LdCBank,$N1893)),"")))</f>
        <v/>
      </c>
      <c r="E1893" s="16">
        <f>IF($L1893&lt;&gt;"",IF(INDEX(LdAAmt,$L1893)=0,"",INDEX(LdAAmt,$L1893)),IF($M1893&lt;&gt;"",IF(INDEX(LdBAmt,$M1893)=0,"",INDEX(LdBAmt,$M1893)),IF($N1893&lt;&gt;"",IF(INDEX(LdCDep,$N1893)=0,"",INDEX(LdCDep,$N1893)),"")))</f>
        <v/>
      </c>
      <c r="F1893" s="16">
        <f>IF(AND($L1893="",$M1893="",$N1893=""),"",IF($N1893="","",IF(INDEX(LdCWit,$N1893)=0,"",INDEX(LdCWit,$N1893))))</f>
        <v/>
      </c>
      <c r="G1893" s="29">
        <f>IF($B1893="","",IF($G1892="",0,$G1892)+IF($E1893="",0,$E1893)-IF($F1893="",0,$F1893))</f>
        <v/>
      </c>
      <c r="H1893" s="30">
        <f>IF(AND($L1893="",$M1893="",$N1893=""),"",IF($L1893&lt;&gt;"",IF(INDEX(LdANote,$L1893)="","—",INDEX(LdANote,$L1893)),IF($M1893&lt;&gt;"",IF(INDEX(LdBNote,$M1893)="","—",INDEX(LdBNote,$M1893)),IF($N1893&lt;&gt;"",IF(INDEX(LdCNote,$N1893)="","—",INDEX(LdCNote,$N1893)),""))))</f>
        <v/>
      </c>
      <c r="L1893">
        <f>IFERROR(MATCH($C$5&amp;"|"&amp;RIGHT("000000"&amp;1877,6),LdAKeyM,0),"")</f>
        <v/>
      </c>
      <c r="M1893">
        <f>IFERROR(MATCH($C$5&amp;"|"&amp;RIGHT("000000"&amp;1877,6),LdBKeyM,0),"")</f>
        <v/>
      </c>
      <c r="N1893">
        <f>IFERROR(MATCH($C$5&amp;"|"&amp;RIGHT("000000"&amp;1877,6),LdCKeyM,0),"")</f>
        <v/>
      </c>
    </row>
    <row r="1894">
      <c r="A1894" s="19" t="n">
        <v>1878</v>
      </c>
      <c r="B1894" s="20">
        <f>IF(AND($L1894="",$M1894="",$N1894=""),"",IF($L1894&lt;&gt;"",INDEX(LdADate,$L1894),IF($M1894&lt;&gt;"",INDEX(LdBDate,$M1894),INDEX(LdCDate,$N1894))))</f>
        <v/>
      </c>
      <c r="C1894" s="20">
        <f>IF($L1894&lt;&gt;"","دستمزد (فردی)",IF($M1894&lt;&gt;"","سهم از گروه "&amp;IFERROR(VLOOKUP(INDEX(LdBGroup,$M1894),WGTbl,2,0),INDEX(LdBGroup,$M1894)),IF($N1894&lt;&gt;"",IF(N(INDEX(LdCDep,$N1894))&gt;0,"بازگشت بانکی","پرداخت بانکی"),"")))</f>
        <v/>
      </c>
      <c r="D1894" s="20">
        <f>IF($L1894&lt;&gt;"",IF(INDEX(LdAId,$L1894)="","—",INDEX(LdAId,$L1894)),IF($M1894&lt;&gt;"",IF(INDEX(LdBId,$M1894)="","—",INDEX(LdBId,$M1894)),IF($N1894&lt;&gt;"",IF(INDEX(LdCBank,$N1894)="","—",INDEX(LdCBank,$N1894)),"")))</f>
        <v/>
      </c>
      <c r="E1894" s="21">
        <f>IF($L1894&lt;&gt;"",IF(INDEX(LdAAmt,$L1894)=0,"",INDEX(LdAAmt,$L1894)),IF($M1894&lt;&gt;"",IF(INDEX(LdBAmt,$M1894)=0,"",INDEX(LdBAmt,$M1894)),IF($N1894&lt;&gt;"",IF(INDEX(LdCDep,$N1894)=0,"",INDEX(LdCDep,$N1894)),"")))</f>
        <v/>
      </c>
      <c r="F1894" s="21">
        <f>IF(AND($L1894="",$M1894="",$N1894=""),"",IF($N1894="","",IF(INDEX(LdCWit,$N1894)=0,"",INDEX(LdCWit,$N1894))))</f>
        <v/>
      </c>
      <c r="G1894" s="31">
        <f>IF($B1894="","",IF($G1893="",0,$G1893)+IF($E1894="",0,$E1894)-IF($F1894="",0,$F1894))</f>
        <v/>
      </c>
      <c r="H1894" s="32">
        <f>IF(AND($L1894="",$M1894="",$N1894=""),"",IF($L1894&lt;&gt;"",IF(INDEX(LdANote,$L1894)="","—",INDEX(LdANote,$L1894)),IF($M1894&lt;&gt;"",IF(INDEX(LdBNote,$M1894)="","—",INDEX(LdBNote,$M1894)),IF($N1894&lt;&gt;"",IF(INDEX(LdCNote,$N1894)="","—",INDEX(LdCNote,$N1894)),""))))</f>
        <v/>
      </c>
      <c r="L1894">
        <f>IFERROR(MATCH($C$5&amp;"|"&amp;RIGHT("000000"&amp;1878,6),LdAKeyM,0),"")</f>
        <v/>
      </c>
      <c r="M1894">
        <f>IFERROR(MATCH($C$5&amp;"|"&amp;RIGHT("000000"&amp;1878,6),LdBKeyM,0),"")</f>
        <v/>
      </c>
      <c r="N1894">
        <f>IFERROR(MATCH($C$5&amp;"|"&amp;RIGHT("000000"&amp;1878,6),LdCKeyM,0),"")</f>
        <v/>
      </c>
    </row>
    <row r="1895">
      <c r="A1895" s="10" t="n">
        <v>1879</v>
      </c>
      <c r="B1895" s="14">
        <f>IF(AND($L1895="",$M1895="",$N1895=""),"",IF($L1895&lt;&gt;"",INDEX(LdADate,$L1895),IF($M1895&lt;&gt;"",INDEX(LdBDate,$M1895),INDEX(LdCDate,$N1895))))</f>
        <v/>
      </c>
      <c r="C1895" s="14">
        <f>IF($L1895&lt;&gt;"","دستمزد (فردی)",IF($M1895&lt;&gt;"","سهم از گروه "&amp;IFERROR(VLOOKUP(INDEX(LdBGroup,$M1895),WGTbl,2,0),INDEX(LdBGroup,$M1895)),IF($N1895&lt;&gt;"",IF(N(INDEX(LdCDep,$N1895))&gt;0,"بازگشت بانکی","پرداخت بانکی"),"")))</f>
        <v/>
      </c>
      <c r="D1895" s="14">
        <f>IF($L1895&lt;&gt;"",IF(INDEX(LdAId,$L1895)="","—",INDEX(LdAId,$L1895)),IF($M1895&lt;&gt;"",IF(INDEX(LdBId,$M1895)="","—",INDEX(LdBId,$M1895)),IF($N1895&lt;&gt;"",IF(INDEX(LdCBank,$N1895)="","—",INDEX(LdCBank,$N1895)),"")))</f>
        <v/>
      </c>
      <c r="E1895" s="16">
        <f>IF($L1895&lt;&gt;"",IF(INDEX(LdAAmt,$L1895)=0,"",INDEX(LdAAmt,$L1895)),IF($M1895&lt;&gt;"",IF(INDEX(LdBAmt,$M1895)=0,"",INDEX(LdBAmt,$M1895)),IF($N1895&lt;&gt;"",IF(INDEX(LdCDep,$N1895)=0,"",INDEX(LdCDep,$N1895)),"")))</f>
        <v/>
      </c>
      <c r="F1895" s="16">
        <f>IF(AND($L1895="",$M1895="",$N1895=""),"",IF($N1895="","",IF(INDEX(LdCWit,$N1895)=0,"",INDEX(LdCWit,$N1895))))</f>
        <v/>
      </c>
      <c r="G1895" s="29">
        <f>IF($B1895="","",IF($G1894="",0,$G1894)+IF($E1895="",0,$E1895)-IF($F1895="",0,$F1895))</f>
        <v/>
      </c>
      <c r="H1895" s="30">
        <f>IF(AND($L1895="",$M1895="",$N1895=""),"",IF($L1895&lt;&gt;"",IF(INDEX(LdANote,$L1895)="","—",INDEX(LdANote,$L1895)),IF($M1895&lt;&gt;"",IF(INDEX(LdBNote,$M1895)="","—",INDEX(LdBNote,$M1895)),IF($N1895&lt;&gt;"",IF(INDEX(LdCNote,$N1895)="","—",INDEX(LdCNote,$N1895)),""))))</f>
        <v/>
      </c>
      <c r="L1895">
        <f>IFERROR(MATCH($C$5&amp;"|"&amp;RIGHT("000000"&amp;1879,6),LdAKeyM,0),"")</f>
        <v/>
      </c>
      <c r="M1895">
        <f>IFERROR(MATCH($C$5&amp;"|"&amp;RIGHT("000000"&amp;1879,6),LdBKeyM,0),"")</f>
        <v/>
      </c>
      <c r="N1895">
        <f>IFERROR(MATCH($C$5&amp;"|"&amp;RIGHT("000000"&amp;1879,6),LdCKeyM,0),"")</f>
        <v/>
      </c>
    </row>
    <row r="1896">
      <c r="A1896" s="19" t="n">
        <v>1880</v>
      </c>
      <c r="B1896" s="20">
        <f>IF(AND($L1896="",$M1896="",$N1896=""),"",IF($L1896&lt;&gt;"",INDEX(LdADate,$L1896),IF($M1896&lt;&gt;"",INDEX(LdBDate,$M1896),INDEX(LdCDate,$N1896))))</f>
        <v/>
      </c>
      <c r="C1896" s="20">
        <f>IF($L1896&lt;&gt;"","دستمزد (فردی)",IF($M1896&lt;&gt;"","سهم از گروه "&amp;IFERROR(VLOOKUP(INDEX(LdBGroup,$M1896),WGTbl,2,0),INDEX(LdBGroup,$M1896)),IF($N1896&lt;&gt;"",IF(N(INDEX(LdCDep,$N1896))&gt;0,"بازگشت بانکی","پرداخت بانکی"),"")))</f>
        <v/>
      </c>
      <c r="D1896" s="20">
        <f>IF($L1896&lt;&gt;"",IF(INDEX(LdAId,$L1896)="","—",INDEX(LdAId,$L1896)),IF($M1896&lt;&gt;"",IF(INDEX(LdBId,$M1896)="","—",INDEX(LdBId,$M1896)),IF($N1896&lt;&gt;"",IF(INDEX(LdCBank,$N1896)="","—",INDEX(LdCBank,$N1896)),"")))</f>
        <v/>
      </c>
      <c r="E1896" s="21">
        <f>IF($L1896&lt;&gt;"",IF(INDEX(LdAAmt,$L1896)=0,"",INDEX(LdAAmt,$L1896)),IF($M1896&lt;&gt;"",IF(INDEX(LdBAmt,$M1896)=0,"",INDEX(LdBAmt,$M1896)),IF($N1896&lt;&gt;"",IF(INDEX(LdCDep,$N1896)=0,"",INDEX(LdCDep,$N1896)),"")))</f>
        <v/>
      </c>
      <c r="F1896" s="21">
        <f>IF(AND($L1896="",$M1896="",$N1896=""),"",IF($N1896="","",IF(INDEX(LdCWit,$N1896)=0,"",INDEX(LdCWit,$N1896))))</f>
        <v/>
      </c>
      <c r="G1896" s="31">
        <f>IF($B1896="","",IF($G1895="",0,$G1895)+IF($E1896="",0,$E1896)-IF($F1896="",0,$F1896))</f>
        <v/>
      </c>
      <c r="H1896" s="32">
        <f>IF(AND($L1896="",$M1896="",$N1896=""),"",IF($L1896&lt;&gt;"",IF(INDEX(LdANote,$L1896)="","—",INDEX(LdANote,$L1896)),IF($M1896&lt;&gt;"",IF(INDEX(LdBNote,$M1896)="","—",INDEX(LdBNote,$M1896)),IF($N1896&lt;&gt;"",IF(INDEX(LdCNote,$N1896)="","—",INDEX(LdCNote,$N1896)),""))))</f>
        <v/>
      </c>
      <c r="L1896">
        <f>IFERROR(MATCH($C$5&amp;"|"&amp;RIGHT("000000"&amp;1880,6),LdAKeyM,0),"")</f>
        <v/>
      </c>
      <c r="M1896">
        <f>IFERROR(MATCH($C$5&amp;"|"&amp;RIGHT("000000"&amp;1880,6),LdBKeyM,0),"")</f>
        <v/>
      </c>
      <c r="N1896">
        <f>IFERROR(MATCH($C$5&amp;"|"&amp;RIGHT("000000"&amp;1880,6),LdCKeyM,0),"")</f>
        <v/>
      </c>
    </row>
    <row r="1897">
      <c r="A1897" s="10" t="n">
        <v>1881</v>
      </c>
      <c r="B1897" s="14">
        <f>IF(AND($L1897="",$M1897="",$N1897=""),"",IF($L1897&lt;&gt;"",INDEX(LdADate,$L1897),IF($M1897&lt;&gt;"",INDEX(LdBDate,$M1897),INDEX(LdCDate,$N1897))))</f>
        <v/>
      </c>
      <c r="C1897" s="14">
        <f>IF($L1897&lt;&gt;"","دستمزد (فردی)",IF($M1897&lt;&gt;"","سهم از گروه "&amp;IFERROR(VLOOKUP(INDEX(LdBGroup,$M1897),WGTbl,2,0),INDEX(LdBGroup,$M1897)),IF($N1897&lt;&gt;"",IF(N(INDEX(LdCDep,$N1897))&gt;0,"بازگشت بانکی","پرداخت بانکی"),"")))</f>
        <v/>
      </c>
      <c r="D1897" s="14">
        <f>IF($L1897&lt;&gt;"",IF(INDEX(LdAId,$L1897)="","—",INDEX(LdAId,$L1897)),IF($M1897&lt;&gt;"",IF(INDEX(LdBId,$M1897)="","—",INDEX(LdBId,$M1897)),IF($N1897&lt;&gt;"",IF(INDEX(LdCBank,$N1897)="","—",INDEX(LdCBank,$N1897)),"")))</f>
        <v/>
      </c>
      <c r="E1897" s="16">
        <f>IF($L1897&lt;&gt;"",IF(INDEX(LdAAmt,$L1897)=0,"",INDEX(LdAAmt,$L1897)),IF($M1897&lt;&gt;"",IF(INDEX(LdBAmt,$M1897)=0,"",INDEX(LdBAmt,$M1897)),IF($N1897&lt;&gt;"",IF(INDEX(LdCDep,$N1897)=0,"",INDEX(LdCDep,$N1897)),"")))</f>
        <v/>
      </c>
      <c r="F1897" s="16">
        <f>IF(AND($L1897="",$M1897="",$N1897=""),"",IF($N1897="","",IF(INDEX(LdCWit,$N1897)=0,"",INDEX(LdCWit,$N1897))))</f>
        <v/>
      </c>
      <c r="G1897" s="29">
        <f>IF($B1897="","",IF($G1896="",0,$G1896)+IF($E1897="",0,$E1897)-IF($F1897="",0,$F1897))</f>
        <v/>
      </c>
      <c r="H1897" s="30">
        <f>IF(AND($L1897="",$M1897="",$N1897=""),"",IF($L1897&lt;&gt;"",IF(INDEX(LdANote,$L1897)="","—",INDEX(LdANote,$L1897)),IF($M1897&lt;&gt;"",IF(INDEX(LdBNote,$M1897)="","—",INDEX(LdBNote,$M1897)),IF($N1897&lt;&gt;"",IF(INDEX(LdCNote,$N1897)="","—",INDEX(LdCNote,$N1897)),""))))</f>
        <v/>
      </c>
      <c r="L1897">
        <f>IFERROR(MATCH($C$5&amp;"|"&amp;RIGHT("000000"&amp;1881,6),LdAKeyM,0),"")</f>
        <v/>
      </c>
      <c r="M1897">
        <f>IFERROR(MATCH($C$5&amp;"|"&amp;RIGHT("000000"&amp;1881,6),LdBKeyM,0),"")</f>
        <v/>
      </c>
      <c r="N1897">
        <f>IFERROR(MATCH($C$5&amp;"|"&amp;RIGHT("000000"&amp;1881,6),LdCKeyM,0),"")</f>
        <v/>
      </c>
    </row>
    <row r="1898">
      <c r="A1898" s="19" t="n">
        <v>1882</v>
      </c>
      <c r="B1898" s="20">
        <f>IF(AND($L1898="",$M1898="",$N1898=""),"",IF($L1898&lt;&gt;"",INDEX(LdADate,$L1898),IF($M1898&lt;&gt;"",INDEX(LdBDate,$M1898),INDEX(LdCDate,$N1898))))</f>
        <v/>
      </c>
      <c r="C1898" s="20">
        <f>IF($L1898&lt;&gt;"","دستمزد (فردی)",IF($M1898&lt;&gt;"","سهم از گروه "&amp;IFERROR(VLOOKUP(INDEX(LdBGroup,$M1898),WGTbl,2,0),INDEX(LdBGroup,$M1898)),IF($N1898&lt;&gt;"",IF(N(INDEX(LdCDep,$N1898))&gt;0,"بازگشت بانکی","پرداخت بانکی"),"")))</f>
        <v/>
      </c>
      <c r="D1898" s="20">
        <f>IF($L1898&lt;&gt;"",IF(INDEX(LdAId,$L1898)="","—",INDEX(LdAId,$L1898)),IF($M1898&lt;&gt;"",IF(INDEX(LdBId,$M1898)="","—",INDEX(LdBId,$M1898)),IF($N1898&lt;&gt;"",IF(INDEX(LdCBank,$N1898)="","—",INDEX(LdCBank,$N1898)),"")))</f>
        <v/>
      </c>
      <c r="E1898" s="21">
        <f>IF($L1898&lt;&gt;"",IF(INDEX(LdAAmt,$L1898)=0,"",INDEX(LdAAmt,$L1898)),IF($M1898&lt;&gt;"",IF(INDEX(LdBAmt,$M1898)=0,"",INDEX(LdBAmt,$M1898)),IF($N1898&lt;&gt;"",IF(INDEX(LdCDep,$N1898)=0,"",INDEX(LdCDep,$N1898)),"")))</f>
        <v/>
      </c>
      <c r="F1898" s="21">
        <f>IF(AND($L1898="",$M1898="",$N1898=""),"",IF($N1898="","",IF(INDEX(LdCWit,$N1898)=0,"",INDEX(LdCWit,$N1898))))</f>
        <v/>
      </c>
      <c r="G1898" s="31">
        <f>IF($B1898="","",IF($G1897="",0,$G1897)+IF($E1898="",0,$E1898)-IF($F1898="",0,$F1898))</f>
        <v/>
      </c>
      <c r="H1898" s="32">
        <f>IF(AND($L1898="",$M1898="",$N1898=""),"",IF($L1898&lt;&gt;"",IF(INDEX(LdANote,$L1898)="","—",INDEX(LdANote,$L1898)),IF($M1898&lt;&gt;"",IF(INDEX(LdBNote,$M1898)="","—",INDEX(LdBNote,$M1898)),IF($N1898&lt;&gt;"",IF(INDEX(LdCNote,$N1898)="","—",INDEX(LdCNote,$N1898)),""))))</f>
        <v/>
      </c>
      <c r="L1898">
        <f>IFERROR(MATCH($C$5&amp;"|"&amp;RIGHT("000000"&amp;1882,6),LdAKeyM,0),"")</f>
        <v/>
      </c>
      <c r="M1898">
        <f>IFERROR(MATCH($C$5&amp;"|"&amp;RIGHT("000000"&amp;1882,6),LdBKeyM,0),"")</f>
        <v/>
      </c>
      <c r="N1898">
        <f>IFERROR(MATCH($C$5&amp;"|"&amp;RIGHT("000000"&amp;1882,6),LdCKeyM,0),"")</f>
        <v/>
      </c>
    </row>
    <row r="1899">
      <c r="A1899" s="10" t="n">
        <v>1883</v>
      </c>
      <c r="B1899" s="14">
        <f>IF(AND($L1899="",$M1899="",$N1899=""),"",IF($L1899&lt;&gt;"",INDEX(LdADate,$L1899),IF($M1899&lt;&gt;"",INDEX(LdBDate,$M1899),INDEX(LdCDate,$N1899))))</f>
        <v/>
      </c>
      <c r="C1899" s="14">
        <f>IF($L1899&lt;&gt;"","دستمزد (فردی)",IF($M1899&lt;&gt;"","سهم از گروه "&amp;IFERROR(VLOOKUP(INDEX(LdBGroup,$M1899),WGTbl,2,0),INDEX(LdBGroup,$M1899)),IF($N1899&lt;&gt;"",IF(N(INDEX(LdCDep,$N1899))&gt;0,"بازگشت بانکی","پرداخت بانکی"),"")))</f>
        <v/>
      </c>
      <c r="D1899" s="14">
        <f>IF($L1899&lt;&gt;"",IF(INDEX(LdAId,$L1899)="","—",INDEX(LdAId,$L1899)),IF($M1899&lt;&gt;"",IF(INDEX(LdBId,$M1899)="","—",INDEX(LdBId,$M1899)),IF($N1899&lt;&gt;"",IF(INDEX(LdCBank,$N1899)="","—",INDEX(LdCBank,$N1899)),"")))</f>
        <v/>
      </c>
      <c r="E1899" s="16">
        <f>IF($L1899&lt;&gt;"",IF(INDEX(LdAAmt,$L1899)=0,"",INDEX(LdAAmt,$L1899)),IF($M1899&lt;&gt;"",IF(INDEX(LdBAmt,$M1899)=0,"",INDEX(LdBAmt,$M1899)),IF($N1899&lt;&gt;"",IF(INDEX(LdCDep,$N1899)=0,"",INDEX(LdCDep,$N1899)),"")))</f>
        <v/>
      </c>
      <c r="F1899" s="16">
        <f>IF(AND($L1899="",$M1899="",$N1899=""),"",IF($N1899="","",IF(INDEX(LdCWit,$N1899)=0,"",INDEX(LdCWit,$N1899))))</f>
        <v/>
      </c>
      <c r="G1899" s="29">
        <f>IF($B1899="","",IF($G1898="",0,$G1898)+IF($E1899="",0,$E1899)-IF($F1899="",0,$F1899))</f>
        <v/>
      </c>
      <c r="H1899" s="30">
        <f>IF(AND($L1899="",$M1899="",$N1899=""),"",IF($L1899&lt;&gt;"",IF(INDEX(LdANote,$L1899)="","—",INDEX(LdANote,$L1899)),IF($M1899&lt;&gt;"",IF(INDEX(LdBNote,$M1899)="","—",INDEX(LdBNote,$M1899)),IF($N1899&lt;&gt;"",IF(INDEX(LdCNote,$N1899)="","—",INDEX(LdCNote,$N1899)),""))))</f>
        <v/>
      </c>
      <c r="L1899">
        <f>IFERROR(MATCH($C$5&amp;"|"&amp;RIGHT("000000"&amp;1883,6),LdAKeyM,0),"")</f>
        <v/>
      </c>
      <c r="M1899">
        <f>IFERROR(MATCH($C$5&amp;"|"&amp;RIGHT("000000"&amp;1883,6),LdBKeyM,0),"")</f>
        <v/>
      </c>
      <c r="N1899">
        <f>IFERROR(MATCH($C$5&amp;"|"&amp;RIGHT("000000"&amp;1883,6),LdCKeyM,0),"")</f>
        <v/>
      </c>
    </row>
    <row r="1900">
      <c r="A1900" s="19" t="n">
        <v>1884</v>
      </c>
      <c r="B1900" s="20">
        <f>IF(AND($L1900="",$M1900="",$N1900=""),"",IF($L1900&lt;&gt;"",INDEX(LdADate,$L1900),IF($M1900&lt;&gt;"",INDEX(LdBDate,$M1900),INDEX(LdCDate,$N1900))))</f>
        <v/>
      </c>
      <c r="C1900" s="20">
        <f>IF($L1900&lt;&gt;"","دستمزد (فردی)",IF($M1900&lt;&gt;"","سهم از گروه "&amp;IFERROR(VLOOKUP(INDEX(LdBGroup,$M1900),WGTbl,2,0),INDEX(LdBGroup,$M1900)),IF($N1900&lt;&gt;"",IF(N(INDEX(LdCDep,$N1900))&gt;0,"بازگشت بانکی","پرداخت بانکی"),"")))</f>
        <v/>
      </c>
      <c r="D1900" s="20">
        <f>IF($L1900&lt;&gt;"",IF(INDEX(LdAId,$L1900)="","—",INDEX(LdAId,$L1900)),IF($M1900&lt;&gt;"",IF(INDEX(LdBId,$M1900)="","—",INDEX(LdBId,$M1900)),IF($N1900&lt;&gt;"",IF(INDEX(LdCBank,$N1900)="","—",INDEX(LdCBank,$N1900)),"")))</f>
        <v/>
      </c>
      <c r="E1900" s="21">
        <f>IF($L1900&lt;&gt;"",IF(INDEX(LdAAmt,$L1900)=0,"",INDEX(LdAAmt,$L1900)),IF($M1900&lt;&gt;"",IF(INDEX(LdBAmt,$M1900)=0,"",INDEX(LdBAmt,$M1900)),IF($N1900&lt;&gt;"",IF(INDEX(LdCDep,$N1900)=0,"",INDEX(LdCDep,$N1900)),"")))</f>
        <v/>
      </c>
      <c r="F1900" s="21">
        <f>IF(AND($L1900="",$M1900="",$N1900=""),"",IF($N1900="","",IF(INDEX(LdCWit,$N1900)=0,"",INDEX(LdCWit,$N1900))))</f>
        <v/>
      </c>
      <c r="G1900" s="31">
        <f>IF($B1900="","",IF($G1899="",0,$G1899)+IF($E1900="",0,$E1900)-IF($F1900="",0,$F1900))</f>
        <v/>
      </c>
      <c r="H1900" s="32">
        <f>IF(AND($L1900="",$M1900="",$N1900=""),"",IF($L1900&lt;&gt;"",IF(INDEX(LdANote,$L1900)="","—",INDEX(LdANote,$L1900)),IF($M1900&lt;&gt;"",IF(INDEX(LdBNote,$M1900)="","—",INDEX(LdBNote,$M1900)),IF($N1900&lt;&gt;"",IF(INDEX(LdCNote,$N1900)="","—",INDEX(LdCNote,$N1900)),""))))</f>
        <v/>
      </c>
      <c r="L1900">
        <f>IFERROR(MATCH($C$5&amp;"|"&amp;RIGHT("000000"&amp;1884,6),LdAKeyM,0),"")</f>
        <v/>
      </c>
      <c r="M1900">
        <f>IFERROR(MATCH($C$5&amp;"|"&amp;RIGHT("000000"&amp;1884,6),LdBKeyM,0),"")</f>
        <v/>
      </c>
      <c r="N1900">
        <f>IFERROR(MATCH($C$5&amp;"|"&amp;RIGHT("000000"&amp;1884,6),LdCKeyM,0),"")</f>
        <v/>
      </c>
    </row>
    <row r="1901">
      <c r="A1901" s="10" t="n">
        <v>1885</v>
      </c>
      <c r="B1901" s="14">
        <f>IF(AND($L1901="",$M1901="",$N1901=""),"",IF($L1901&lt;&gt;"",INDEX(LdADate,$L1901),IF($M1901&lt;&gt;"",INDEX(LdBDate,$M1901),INDEX(LdCDate,$N1901))))</f>
        <v/>
      </c>
      <c r="C1901" s="14">
        <f>IF($L1901&lt;&gt;"","دستمزد (فردی)",IF($M1901&lt;&gt;"","سهم از گروه "&amp;IFERROR(VLOOKUP(INDEX(LdBGroup,$M1901),WGTbl,2,0),INDEX(LdBGroup,$M1901)),IF($N1901&lt;&gt;"",IF(N(INDEX(LdCDep,$N1901))&gt;0,"بازگشت بانکی","پرداخت بانکی"),"")))</f>
        <v/>
      </c>
      <c r="D1901" s="14">
        <f>IF($L1901&lt;&gt;"",IF(INDEX(LdAId,$L1901)="","—",INDEX(LdAId,$L1901)),IF($M1901&lt;&gt;"",IF(INDEX(LdBId,$M1901)="","—",INDEX(LdBId,$M1901)),IF($N1901&lt;&gt;"",IF(INDEX(LdCBank,$N1901)="","—",INDEX(LdCBank,$N1901)),"")))</f>
        <v/>
      </c>
      <c r="E1901" s="16">
        <f>IF($L1901&lt;&gt;"",IF(INDEX(LdAAmt,$L1901)=0,"",INDEX(LdAAmt,$L1901)),IF($M1901&lt;&gt;"",IF(INDEX(LdBAmt,$M1901)=0,"",INDEX(LdBAmt,$M1901)),IF($N1901&lt;&gt;"",IF(INDEX(LdCDep,$N1901)=0,"",INDEX(LdCDep,$N1901)),"")))</f>
        <v/>
      </c>
      <c r="F1901" s="16">
        <f>IF(AND($L1901="",$M1901="",$N1901=""),"",IF($N1901="","",IF(INDEX(LdCWit,$N1901)=0,"",INDEX(LdCWit,$N1901))))</f>
        <v/>
      </c>
      <c r="G1901" s="29">
        <f>IF($B1901="","",IF($G1900="",0,$G1900)+IF($E1901="",0,$E1901)-IF($F1901="",0,$F1901))</f>
        <v/>
      </c>
      <c r="H1901" s="30">
        <f>IF(AND($L1901="",$M1901="",$N1901=""),"",IF($L1901&lt;&gt;"",IF(INDEX(LdANote,$L1901)="","—",INDEX(LdANote,$L1901)),IF($M1901&lt;&gt;"",IF(INDEX(LdBNote,$M1901)="","—",INDEX(LdBNote,$M1901)),IF($N1901&lt;&gt;"",IF(INDEX(LdCNote,$N1901)="","—",INDEX(LdCNote,$N1901)),""))))</f>
        <v/>
      </c>
      <c r="L1901">
        <f>IFERROR(MATCH($C$5&amp;"|"&amp;RIGHT("000000"&amp;1885,6),LdAKeyM,0),"")</f>
        <v/>
      </c>
      <c r="M1901">
        <f>IFERROR(MATCH($C$5&amp;"|"&amp;RIGHT("000000"&amp;1885,6),LdBKeyM,0),"")</f>
        <v/>
      </c>
      <c r="N1901">
        <f>IFERROR(MATCH($C$5&amp;"|"&amp;RIGHT("000000"&amp;1885,6),LdCKeyM,0),"")</f>
        <v/>
      </c>
    </row>
    <row r="1902">
      <c r="A1902" s="19" t="n">
        <v>1886</v>
      </c>
      <c r="B1902" s="20">
        <f>IF(AND($L1902="",$M1902="",$N1902=""),"",IF($L1902&lt;&gt;"",INDEX(LdADate,$L1902),IF($M1902&lt;&gt;"",INDEX(LdBDate,$M1902),INDEX(LdCDate,$N1902))))</f>
        <v/>
      </c>
      <c r="C1902" s="20">
        <f>IF($L1902&lt;&gt;"","دستمزد (فردی)",IF($M1902&lt;&gt;"","سهم از گروه "&amp;IFERROR(VLOOKUP(INDEX(LdBGroup,$M1902),WGTbl,2,0),INDEX(LdBGroup,$M1902)),IF($N1902&lt;&gt;"",IF(N(INDEX(LdCDep,$N1902))&gt;0,"بازگشت بانکی","پرداخت بانکی"),"")))</f>
        <v/>
      </c>
      <c r="D1902" s="20">
        <f>IF($L1902&lt;&gt;"",IF(INDEX(LdAId,$L1902)="","—",INDEX(LdAId,$L1902)),IF($M1902&lt;&gt;"",IF(INDEX(LdBId,$M1902)="","—",INDEX(LdBId,$M1902)),IF($N1902&lt;&gt;"",IF(INDEX(LdCBank,$N1902)="","—",INDEX(LdCBank,$N1902)),"")))</f>
        <v/>
      </c>
      <c r="E1902" s="21">
        <f>IF($L1902&lt;&gt;"",IF(INDEX(LdAAmt,$L1902)=0,"",INDEX(LdAAmt,$L1902)),IF($M1902&lt;&gt;"",IF(INDEX(LdBAmt,$M1902)=0,"",INDEX(LdBAmt,$M1902)),IF($N1902&lt;&gt;"",IF(INDEX(LdCDep,$N1902)=0,"",INDEX(LdCDep,$N1902)),"")))</f>
        <v/>
      </c>
      <c r="F1902" s="21">
        <f>IF(AND($L1902="",$M1902="",$N1902=""),"",IF($N1902="","",IF(INDEX(LdCWit,$N1902)=0,"",INDEX(LdCWit,$N1902))))</f>
        <v/>
      </c>
      <c r="G1902" s="31">
        <f>IF($B1902="","",IF($G1901="",0,$G1901)+IF($E1902="",0,$E1902)-IF($F1902="",0,$F1902))</f>
        <v/>
      </c>
      <c r="H1902" s="32">
        <f>IF(AND($L1902="",$M1902="",$N1902=""),"",IF($L1902&lt;&gt;"",IF(INDEX(LdANote,$L1902)="","—",INDEX(LdANote,$L1902)),IF($M1902&lt;&gt;"",IF(INDEX(LdBNote,$M1902)="","—",INDEX(LdBNote,$M1902)),IF($N1902&lt;&gt;"",IF(INDEX(LdCNote,$N1902)="","—",INDEX(LdCNote,$N1902)),""))))</f>
        <v/>
      </c>
      <c r="L1902">
        <f>IFERROR(MATCH($C$5&amp;"|"&amp;RIGHT("000000"&amp;1886,6),LdAKeyM,0),"")</f>
        <v/>
      </c>
      <c r="M1902">
        <f>IFERROR(MATCH($C$5&amp;"|"&amp;RIGHT("000000"&amp;1886,6),LdBKeyM,0),"")</f>
        <v/>
      </c>
      <c r="N1902">
        <f>IFERROR(MATCH($C$5&amp;"|"&amp;RIGHT("000000"&amp;1886,6),LdCKeyM,0),"")</f>
        <v/>
      </c>
    </row>
    <row r="1903">
      <c r="A1903" s="10" t="n">
        <v>1887</v>
      </c>
      <c r="B1903" s="14">
        <f>IF(AND($L1903="",$M1903="",$N1903=""),"",IF($L1903&lt;&gt;"",INDEX(LdADate,$L1903),IF($M1903&lt;&gt;"",INDEX(LdBDate,$M1903),INDEX(LdCDate,$N1903))))</f>
        <v/>
      </c>
      <c r="C1903" s="14">
        <f>IF($L1903&lt;&gt;"","دستمزد (فردی)",IF($M1903&lt;&gt;"","سهم از گروه "&amp;IFERROR(VLOOKUP(INDEX(LdBGroup,$M1903),WGTbl,2,0),INDEX(LdBGroup,$M1903)),IF($N1903&lt;&gt;"",IF(N(INDEX(LdCDep,$N1903))&gt;0,"بازگشت بانکی","پرداخت بانکی"),"")))</f>
        <v/>
      </c>
      <c r="D1903" s="14">
        <f>IF($L1903&lt;&gt;"",IF(INDEX(LdAId,$L1903)="","—",INDEX(LdAId,$L1903)),IF($M1903&lt;&gt;"",IF(INDEX(LdBId,$M1903)="","—",INDEX(LdBId,$M1903)),IF($N1903&lt;&gt;"",IF(INDEX(LdCBank,$N1903)="","—",INDEX(LdCBank,$N1903)),"")))</f>
        <v/>
      </c>
      <c r="E1903" s="16">
        <f>IF($L1903&lt;&gt;"",IF(INDEX(LdAAmt,$L1903)=0,"",INDEX(LdAAmt,$L1903)),IF($M1903&lt;&gt;"",IF(INDEX(LdBAmt,$M1903)=0,"",INDEX(LdBAmt,$M1903)),IF($N1903&lt;&gt;"",IF(INDEX(LdCDep,$N1903)=0,"",INDEX(LdCDep,$N1903)),"")))</f>
        <v/>
      </c>
      <c r="F1903" s="16">
        <f>IF(AND($L1903="",$M1903="",$N1903=""),"",IF($N1903="","",IF(INDEX(LdCWit,$N1903)=0,"",INDEX(LdCWit,$N1903))))</f>
        <v/>
      </c>
      <c r="G1903" s="29">
        <f>IF($B1903="","",IF($G1902="",0,$G1902)+IF($E1903="",0,$E1903)-IF($F1903="",0,$F1903))</f>
        <v/>
      </c>
      <c r="H1903" s="30">
        <f>IF(AND($L1903="",$M1903="",$N1903=""),"",IF($L1903&lt;&gt;"",IF(INDEX(LdANote,$L1903)="","—",INDEX(LdANote,$L1903)),IF($M1903&lt;&gt;"",IF(INDEX(LdBNote,$M1903)="","—",INDEX(LdBNote,$M1903)),IF($N1903&lt;&gt;"",IF(INDEX(LdCNote,$N1903)="","—",INDEX(LdCNote,$N1903)),""))))</f>
        <v/>
      </c>
      <c r="L1903">
        <f>IFERROR(MATCH($C$5&amp;"|"&amp;RIGHT("000000"&amp;1887,6),LdAKeyM,0),"")</f>
        <v/>
      </c>
      <c r="M1903">
        <f>IFERROR(MATCH($C$5&amp;"|"&amp;RIGHT("000000"&amp;1887,6),LdBKeyM,0),"")</f>
        <v/>
      </c>
      <c r="N1903">
        <f>IFERROR(MATCH($C$5&amp;"|"&amp;RIGHT("000000"&amp;1887,6),LdCKeyM,0),"")</f>
        <v/>
      </c>
    </row>
    <row r="1904">
      <c r="A1904" s="19" t="n">
        <v>1888</v>
      </c>
      <c r="B1904" s="20">
        <f>IF(AND($L1904="",$M1904="",$N1904=""),"",IF($L1904&lt;&gt;"",INDEX(LdADate,$L1904),IF($M1904&lt;&gt;"",INDEX(LdBDate,$M1904),INDEX(LdCDate,$N1904))))</f>
        <v/>
      </c>
      <c r="C1904" s="20">
        <f>IF($L1904&lt;&gt;"","دستمزد (فردی)",IF($M1904&lt;&gt;"","سهم از گروه "&amp;IFERROR(VLOOKUP(INDEX(LdBGroup,$M1904),WGTbl,2,0),INDEX(LdBGroup,$M1904)),IF($N1904&lt;&gt;"",IF(N(INDEX(LdCDep,$N1904))&gt;0,"بازگشت بانکی","پرداخت بانکی"),"")))</f>
        <v/>
      </c>
      <c r="D1904" s="20">
        <f>IF($L1904&lt;&gt;"",IF(INDEX(LdAId,$L1904)="","—",INDEX(LdAId,$L1904)),IF($M1904&lt;&gt;"",IF(INDEX(LdBId,$M1904)="","—",INDEX(LdBId,$M1904)),IF($N1904&lt;&gt;"",IF(INDEX(LdCBank,$N1904)="","—",INDEX(LdCBank,$N1904)),"")))</f>
        <v/>
      </c>
      <c r="E1904" s="21">
        <f>IF($L1904&lt;&gt;"",IF(INDEX(LdAAmt,$L1904)=0,"",INDEX(LdAAmt,$L1904)),IF($M1904&lt;&gt;"",IF(INDEX(LdBAmt,$M1904)=0,"",INDEX(LdBAmt,$M1904)),IF($N1904&lt;&gt;"",IF(INDEX(LdCDep,$N1904)=0,"",INDEX(LdCDep,$N1904)),"")))</f>
        <v/>
      </c>
      <c r="F1904" s="21">
        <f>IF(AND($L1904="",$M1904="",$N1904=""),"",IF($N1904="","",IF(INDEX(LdCWit,$N1904)=0,"",INDEX(LdCWit,$N1904))))</f>
        <v/>
      </c>
      <c r="G1904" s="31">
        <f>IF($B1904="","",IF($G1903="",0,$G1903)+IF($E1904="",0,$E1904)-IF($F1904="",0,$F1904))</f>
        <v/>
      </c>
      <c r="H1904" s="32">
        <f>IF(AND($L1904="",$M1904="",$N1904=""),"",IF($L1904&lt;&gt;"",IF(INDEX(LdANote,$L1904)="","—",INDEX(LdANote,$L1904)),IF($M1904&lt;&gt;"",IF(INDEX(LdBNote,$M1904)="","—",INDEX(LdBNote,$M1904)),IF($N1904&lt;&gt;"",IF(INDEX(LdCNote,$N1904)="","—",INDEX(LdCNote,$N1904)),""))))</f>
        <v/>
      </c>
      <c r="L1904">
        <f>IFERROR(MATCH($C$5&amp;"|"&amp;RIGHT("000000"&amp;1888,6),LdAKeyM,0),"")</f>
        <v/>
      </c>
      <c r="M1904">
        <f>IFERROR(MATCH($C$5&amp;"|"&amp;RIGHT("000000"&amp;1888,6),LdBKeyM,0),"")</f>
        <v/>
      </c>
      <c r="N1904">
        <f>IFERROR(MATCH($C$5&amp;"|"&amp;RIGHT("000000"&amp;1888,6),LdCKeyM,0),"")</f>
        <v/>
      </c>
    </row>
    <row r="1905">
      <c r="A1905" s="10" t="n">
        <v>1889</v>
      </c>
      <c r="B1905" s="14">
        <f>IF(AND($L1905="",$M1905="",$N1905=""),"",IF($L1905&lt;&gt;"",INDEX(LdADate,$L1905),IF($M1905&lt;&gt;"",INDEX(LdBDate,$M1905),INDEX(LdCDate,$N1905))))</f>
        <v/>
      </c>
      <c r="C1905" s="14">
        <f>IF($L1905&lt;&gt;"","دستمزد (فردی)",IF($M1905&lt;&gt;"","سهم از گروه "&amp;IFERROR(VLOOKUP(INDEX(LdBGroup,$M1905),WGTbl,2,0),INDEX(LdBGroup,$M1905)),IF($N1905&lt;&gt;"",IF(N(INDEX(LdCDep,$N1905))&gt;0,"بازگشت بانکی","پرداخت بانکی"),"")))</f>
        <v/>
      </c>
      <c r="D1905" s="14">
        <f>IF($L1905&lt;&gt;"",IF(INDEX(LdAId,$L1905)="","—",INDEX(LdAId,$L1905)),IF($M1905&lt;&gt;"",IF(INDEX(LdBId,$M1905)="","—",INDEX(LdBId,$M1905)),IF($N1905&lt;&gt;"",IF(INDEX(LdCBank,$N1905)="","—",INDEX(LdCBank,$N1905)),"")))</f>
        <v/>
      </c>
      <c r="E1905" s="16">
        <f>IF($L1905&lt;&gt;"",IF(INDEX(LdAAmt,$L1905)=0,"",INDEX(LdAAmt,$L1905)),IF($M1905&lt;&gt;"",IF(INDEX(LdBAmt,$M1905)=0,"",INDEX(LdBAmt,$M1905)),IF($N1905&lt;&gt;"",IF(INDEX(LdCDep,$N1905)=0,"",INDEX(LdCDep,$N1905)),"")))</f>
        <v/>
      </c>
      <c r="F1905" s="16">
        <f>IF(AND($L1905="",$M1905="",$N1905=""),"",IF($N1905="","",IF(INDEX(LdCWit,$N1905)=0,"",INDEX(LdCWit,$N1905))))</f>
        <v/>
      </c>
      <c r="G1905" s="29">
        <f>IF($B1905="","",IF($G1904="",0,$G1904)+IF($E1905="",0,$E1905)-IF($F1905="",0,$F1905))</f>
        <v/>
      </c>
      <c r="H1905" s="30">
        <f>IF(AND($L1905="",$M1905="",$N1905=""),"",IF($L1905&lt;&gt;"",IF(INDEX(LdANote,$L1905)="","—",INDEX(LdANote,$L1905)),IF($M1905&lt;&gt;"",IF(INDEX(LdBNote,$M1905)="","—",INDEX(LdBNote,$M1905)),IF($N1905&lt;&gt;"",IF(INDEX(LdCNote,$N1905)="","—",INDEX(LdCNote,$N1905)),""))))</f>
        <v/>
      </c>
      <c r="L1905">
        <f>IFERROR(MATCH($C$5&amp;"|"&amp;RIGHT("000000"&amp;1889,6),LdAKeyM,0),"")</f>
        <v/>
      </c>
      <c r="M1905">
        <f>IFERROR(MATCH($C$5&amp;"|"&amp;RIGHT("000000"&amp;1889,6),LdBKeyM,0),"")</f>
        <v/>
      </c>
      <c r="N1905">
        <f>IFERROR(MATCH($C$5&amp;"|"&amp;RIGHT("000000"&amp;1889,6),LdCKeyM,0),"")</f>
        <v/>
      </c>
    </row>
    <row r="1906">
      <c r="A1906" s="19" t="n">
        <v>1890</v>
      </c>
      <c r="B1906" s="20">
        <f>IF(AND($L1906="",$M1906="",$N1906=""),"",IF($L1906&lt;&gt;"",INDEX(LdADate,$L1906),IF($M1906&lt;&gt;"",INDEX(LdBDate,$M1906),INDEX(LdCDate,$N1906))))</f>
        <v/>
      </c>
      <c r="C1906" s="20">
        <f>IF($L1906&lt;&gt;"","دستمزد (فردی)",IF($M1906&lt;&gt;"","سهم از گروه "&amp;IFERROR(VLOOKUP(INDEX(LdBGroup,$M1906),WGTbl,2,0),INDEX(LdBGroup,$M1906)),IF($N1906&lt;&gt;"",IF(N(INDEX(LdCDep,$N1906))&gt;0,"بازگشت بانکی","پرداخت بانکی"),"")))</f>
        <v/>
      </c>
      <c r="D1906" s="20">
        <f>IF($L1906&lt;&gt;"",IF(INDEX(LdAId,$L1906)="","—",INDEX(LdAId,$L1906)),IF($M1906&lt;&gt;"",IF(INDEX(LdBId,$M1906)="","—",INDEX(LdBId,$M1906)),IF($N1906&lt;&gt;"",IF(INDEX(LdCBank,$N1906)="","—",INDEX(LdCBank,$N1906)),"")))</f>
        <v/>
      </c>
      <c r="E1906" s="21">
        <f>IF($L1906&lt;&gt;"",IF(INDEX(LdAAmt,$L1906)=0,"",INDEX(LdAAmt,$L1906)),IF($M1906&lt;&gt;"",IF(INDEX(LdBAmt,$M1906)=0,"",INDEX(LdBAmt,$M1906)),IF($N1906&lt;&gt;"",IF(INDEX(LdCDep,$N1906)=0,"",INDEX(LdCDep,$N1906)),"")))</f>
        <v/>
      </c>
      <c r="F1906" s="21">
        <f>IF(AND($L1906="",$M1906="",$N1906=""),"",IF($N1906="","",IF(INDEX(LdCWit,$N1906)=0,"",INDEX(LdCWit,$N1906))))</f>
        <v/>
      </c>
      <c r="G1906" s="31">
        <f>IF($B1906="","",IF($G1905="",0,$G1905)+IF($E1906="",0,$E1906)-IF($F1906="",0,$F1906))</f>
        <v/>
      </c>
      <c r="H1906" s="32">
        <f>IF(AND($L1906="",$M1906="",$N1906=""),"",IF($L1906&lt;&gt;"",IF(INDEX(LdANote,$L1906)="","—",INDEX(LdANote,$L1906)),IF($M1906&lt;&gt;"",IF(INDEX(LdBNote,$M1906)="","—",INDEX(LdBNote,$M1906)),IF($N1906&lt;&gt;"",IF(INDEX(LdCNote,$N1906)="","—",INDEX(LdCNote,$N1906)),""))))</f>
        <v/>
      </c>
      <c r="L1906">
        <f>IFERROR(MATCH($C$5&amp;"|"&amp;RIGHT("000000"&amp;1890,6),LdAKeyM,0),"")</f>
        <v/>
      </c>
      <c r="M1906">
        <f>IFERROR(MATCH($C$5&amp;"|"&amp;RIGHT("000000"&amp;1890,6),LdBKeyM,0),"")</f>
        <v/>
      </c>
      <c r="N1906">
        <f>IFERROR(MATCH($C$5&amp;"|"&amp;RIGHT("000000"&amp;1890,6),LdCKeyM,0),"")</f>
        <v/>
      </c>
    </row>
    <row r="1907">
      <c r="A1907" s="10" t="n">
        <v>1891</v>
      </c>
      <c r="B1907" s="14">
        <f>IF(AND($L1907="",$M1907="",$N1907=""),"",IF($L1907&lt;&gt;"",INDEX(LdADate,$L1907),IF($M1907&lt;&gt;"",INDEX(LdBDate,$M1907),INDEX(LdCDate,$N1907))))</f>
        <v/>
      </c>
      <c r="C1907" s="14">
        <f>IF($L1907&lt;&gt;"","دستمزد (فردی)",IF($M1907&lt;&gt;"","سهم از گروه "&amp;IFERROR(VLOOKUP(INDEX(LdBGroup,$M1907),WGTbl,2,0),INDEX(LdBGroup,$M1907)),IF($N1907&lt;&gt;"",IF(N(INDEX(LdCDep,$N1907))&gt;0,"بازگشت بانکی","پرداخت بانکی"),"")))</f>
        <v/>
      </c>
      <c r="D1907" s="14">
        <f>IF($L1907&lt;&gt;"",IF(INDEX(LdAId,$L1907)="","—",INDEX(LdAId,$L1907)),IF($M1907&lt;&gt;"",IF(INDEX(LdBId,$M1907)="","—",INDEX(LdBId,$M1907)),IF($N1907&lt;&gt;"",IF(INDEX(LdCBank,$N1907)="","—",INDEX(LdCBank,$N1907)),"")))</f>
        <v/>
      </c>
      <c r="E1907" s="16">
        <f>IF($L1907&lt;&gt;"",IF(INDEX(LdAAmt,$L1907)=0,"",INDEX(LdAAmt,$L1907)),IF($M1907&lt;&gt;"",IF(INDEX(LdBAmt,$M1907)=0,"",INDEX(LdBAmt,$M1907)),IF($N1907&lt;&gt;"",IF(INDEX(LdCDep,$N1907)=0,"",INDEX(LdCDep,$N1907)),"")))</f>
        <v/>
      </c>
      <c r="F1907" s="16">
        <f>IF(AND($L1907="",$M1907="",$N1907=""),"",IF($N1907="","",IF(INDEX(LdCWit,$N1907)=0,"",INDEX(LdCWit,$N1907))))</f>
        <v/>
      </c>
      <c r="G1907" s="29">
        <f>IF($B1907="","",IF($G1906="",0,$G1906)+IF($E1907="",0,$E1907)-IF($F1907="",0,$F1907))</f>
        <v/>
      </c>
      <c r="H1907" s="30">
        <f>IF(AND($L1907="",$M1907="",$N1907=""),"",IF($L1907&lt;&gt;"",IF(INDEX(LdANote,$L1907)="","—",INDEX(LdANote,$L1907)),IF($M1907&lt;&gt;"",IF(INDEX(LdBNote,$M1907)="","—",INDEX(LdBNote,$M1907)),IF($N1907&lt;&gt;"",IF(INDEX(LdCNote,$N1907)="","—",INDEX(LdCNote,$N1907)),""))))</f>
        <v/>
      </c>
      <c r="L1907">
        <f>IFERROR(MATCH($C$5&amp;"|"&amp;RIGHT("000000"&amp;1891,6),LdAKeyM,0),"")</f>
        <v/>
      </c>
      <c r="M1907">
        <f>IFERROR(MATCH($C$5&amp;"|"&amp;RIGHT("000000"&amp;1891,6),LdBKeyM,0),"")</f>
        <v/>
      </c>
      <c r="N1907">
        <f>IFERROR(MATCH($C$5&amp;"|"&amp;RIGHT("000000"&amp;1891,6),LdCKeyM,0),"")</f>
        <v/>
      </c>
    </row>
    <row r="1908">
      <c r="A1908" s="19" t="n">
        <v>1892</v>
      </c>
      <c r="B1908" s="20">
        <f>IF(AND($L1908="",$M1908="",$N1908=""),"",IF($L1908&lt;&gt;"",INDEX(LdADate,$L1908),IF($M1908&lt;&gt;"",INDEX(LdBDate,$M1908),INDEX(LdCDate,$N1908))))</f>
        <v/>
      </c>
      <c r="C1908" s="20">
        <f>IF($L1908&lt;&gt;"","دستمزد (فردی)",IF($M1908&lt;&gt;"","سهم از گروه "&amp;IFERROR(VLOOKUP(INDEX(LdBGroup,$M1908),WGTbl,2,0),INDEX(LdBGroup,$M1908)),IF($N1908&lt;&gt;"",IF(N(INDEX(LdCDep,$N1908))&gt;0,"بازگشت بانکی","پرداخت بانکی"),"")))</f>
        <v/>
      </c>
      <c r="D1908" s="20">
        <f>IF($L1908&lt;&gt;"",IF(INDEX(LdAId,$L1908)="","—",INDEX(LdAId,$L1908)),IF($M1908&lt;&gt;"",IF(INDEX(LdBId,$M1908)="","—",INDEX(LdBId,$M1908)),IF($N1908&lt;&gt;"",IF(INDEX(LdCBank,$N1908)="","—",INDEX(LdCBank,$N1908)),"")))</f>
        <v/>
      </c>
      <c r="E1908" s="21">
        <f>IF($L1908&lt;&gt;"",IF(INDEX(LdAAmt,$L1908)=0,"",INDEX(LdAAmt,$L1908)),IF($M1908&lt;&gt;"",IF(INDEX(LdBAmt,$M1908)=0,"",INDEX(LdBAmt,$M1908)),IF($N1908&lt;&gt;"",IF(INDEX(LdCDep,$N1908)=0,"",INDEX(LdCDep,$N1908)),"")))</f>
        <v/>
      </c>
      <c r="F1908" s="21">
        <f>IF(AND($L1908="",$M1908="",$N1908=""),"",IF($N1908="","",IF(INDEX(LdCWit,$N1908)=0,"",INDEX(LdCWit,$N1908))))</f>
        <v/>
      </c>
      <c r="G1908" s="31">
        <f>IF($B1908="","",IF($G1907="",0,$G1907)+IF($E1908="",0,$E1908)-IF($F1908="",0,$F1908))</f>
        <v/>
      </c>
      <c r="H1908" s="32">
        <f>IF(AND($L1908="",$M1908="",$N1908=""),"",IF($L1908&lt;&gt;"",IF(INDEX(LdANote,$L1908)="","—",INDEX(LdANote,$L1908)),IF($M1908&lt;&gt;"",IF(INDEX(LdBNote,$M1908)="","—",INDEX(LdBNote,$M1908)),IF($N1908&lt;&gt;"",IF(INDEX(LdCNote,$N1908)="","—",INDEX(LdCNote,$N1908)),""))))</f>
        <v/>
      </c>
      <c r="L1908">
        <f>IFERROR(MATCH($C$5&amp;"|"&amp;RIGHT("000000"&amp;1892,6),LdAKeyM,0),"")</f>
        <v/>
      </c>
      <c r="M1908">
        <f>IFERROR(MATCH($C$5&amp;"|"&amp;RIGHT("000000"&amp;1892,6),LdBKeyM,0),"")</f>
        <v/>
      </c>
      <c r="N1908">
        <f>IFERROR(MATCH($C$5&amp;"|"&amp;RIGHT("000000"&amp;1892,6),LdCKeyM,0),"")</f>
        <v/>
      </c>
    </row>
    <row r="1909">
      <c r="A1909" s="10" t="n">
        <v>1893</v>
      </c>
      <c r="B1909" s="14">
        <f>IF(AND($L1909="",$M1909="",$N1909=""),"",IF($L1909&lt;&gt;"",INDEX(LdADate,$L1909),IF($M1909&lt;&gt;"",INDEX(LdBDate,$M1909),INDEX(LdCDate,$N1909))))</f>
        <v/>
      </c>
      <c r="C1909" s="14">
        <f>IF($L1909&lt;&gt;"","دستمزد (فردی)",IF($M1909&lt;&gt;"","سهم از گروه "&amp;IFERROR(VLOOKUP(INDEX(LdBGroup,$M1909),WGTbl,2,0),INDEX(LdBGroup,$M1909)),IF($N1909&lt;&gt;"",IF(N(INDEX(LdCDep,$N1909))&gt;0,"بازگشت بانکی","پرداخت بانکی"),"")))</f>
        <v/>
      </c>
      <c r="D1909" s="14">
        <f>IF($L1909&lt;&gt;"",IF(INDEX(LdAId,$L1909)="","—",INDEX(LdAId,$L1909)),IF($M1909&lt;&gt;"",IF(INDEX(LdBId,$M1909)="","—",INDEX(LdBId,$M1909)),IF($N1909&lt;&gt;"",IF(INDEX(LdCBank,$N1909)="","—",INDEX(LdCBank,$N1909)),"")))</f>
        <v/>
      </c>
      <c r="E1909" s="16">
        <f>IF($L1909&lt;&gt;"",IF(INDEX(LdAAmt,$L1909)=0,"",INDEX(LdAAmt,$L1909)),IF($M1909&lt;&gt;"",IF(INDEX(LdBAmt,$M1909)=0,"",INDEX(LdBAmt,$M1909)),IF($N1909&lt;&gt;"",IF(INDEX(LdCDep,$N1909)=0,"",INDEX(LdCDep,$N1909)),"")))</f>
        <v/>
      </c>
      <c r="F1909" s="16">
        <f>IF(AND($L1909="",$M1909="",$N1909=""),"",IF($N1909="","",IF(INDEX(LdCWit,$N1909)=0,"",INDEX(LdCWit,$N1909))))</f>
        <v/>
      </c>
      <c r="G1909" s="29">
        <f>IF($B1909="","",IF($G1908="",0,$G1908)+IF($E1909="",0,$E1909)-IF($F1909="",0,$F1909))</f>
        <v/>
      </c>
      <c r="H1909" s="30">
        <f>IF(AND($L1909="",$M1909="",$N1909=""),"",IF($L1909&lt;&gt;"",IF(INDEX(LdANote,$L1909)="","—",INDEX(LdANote,$L1909)),IF($M1909&lt;&gt;"",IF(INDEX(LdBNote,$M1909)="","—",INDEX(LdBNote,$M1909)),IF($N1909&lt;&gt;"",IF(INDEX(LdCNote,$N1909)="","—",INDEX(LdCNote,$N1909)),""))))</f>
        <v/>
      </c>
      <c r="L1909">
        <f>IFERROR(MATCH($C$5&amp;"|"&amp;RIGHT("000000"&amp;1893,6),LdAKeyM,0),"")</f>
        <v/>
      </c>
      <c r="M1909">
        <f>IFERROR(MATCH($C$5&amp;"|"&amp;RIGHT("000000"&amp;1893,6),LdBKeyM,0),"")</f>
        <v/>
      </c>
      <c r="N1909">
        <f>IFERROR(MATCH($C$5&amp;"|"&amp;RIGHT("000000"&amp;1893,6),LdCKeyM,0),"")</f>
        <v/>
      </c>
    </row>
    <row r="1910">
      <c r="A1910" s="19" t="n">
        <v>1894</v>
      </c>
      <c r="B1910" s="20">
        <f>IF(AND($L1910="",$M1910="",$N1910=""),"",IF($L1910&lt;&gt;"",INDEX(LdADate,$L1910),IF($M1910&lt;&gt;"",INDEX(LdBDate,$M1910),INDEX(LdCDate,$N1910))))</f>
        <v/>
      </c>
      <c r="C1910" s="20">
        <f>IF($L1910&lt;&gt;"","دستمزد (فردی)",IF($M1910&lt;&gt;"","سهم از گروه "&amp;IFERROR(VLOOKUP(INDEX(LdBGroup,$M1910),WGTbl,2,0),INDEX(LdBGroup,$M1910)),IF($N1910&lt;&gt;"",IF(N(INDEX(LdCDep,$N1910))&gt;0,"بازگشت بانکی","پرداخت بانکی"),"")))</f>
        <v/>
      </c>
      <c r="D1910" s="20">
        <f>IF($L1910&lt;&gt;"",IF(INDEX(LdAId,$L1910)="","—",INDEX(LdAId,$L1910)),IF($M1910&lt;&gt;"",IF(INDEX(LdBId,$M1910)="","—",INDEX(LdBId,$M1910)),IF($N1910&lt;&gt;"",IF(INDEX(LdCBank,$N1910)="","—",INDEX(LdCBank,$N1910)),"")))</f>
        <v/>
      </c>
      <c r="E1910" s="21">
        <f>IF($L1910&lt;&gt;"",IF(INDEX(LdAAmt,$L1910)=0,"",INDEX(LdAAmt,$L1910)),IF($M1910&lt;&gt;"",IF(INDEX(LdBAmt,$M1910)=0,"",INDEX(LdBAmt,$M1910)),IF($N1910&lt;&gt;"",IF(INDEX(LdCDep,$N1910)=0,"",INDEX(LdCDep,$N1910)),"")))</f>
        <v/>
      </c>
      <c r="F1910" s="21">
        <f>IF(AND($L1910="",$M1910="",$N1910=""),"",IF($N1910="","",IF(INDEX(LdCWit,$N1910)=0,"",INDEX(LdCWit,$N1910))))</f>
        <v/>
      </c>
      <c r="G1910" s="31">
        <f>IF($B1910="","",IF($G1909="",0,$G1909)+IF($E1910="",0,$E1910)-IF($F1910="",0,$F1910))</f>
        <v/>
      </c>
      <c r="H1910" s="32">
        <f>IF(AND($L1910="",$M1910="",$N1910=""),"",IF($L1910&lt;&gt;"",IF(INDEX(LdANote,$L1910)="","—",INDEX(LdANote,$L1910)),IF($M1910&lt;&gt;"",IF(INDEX(LdBNote,$M1910)="","—",INDEX(LdBNote,$M1910)),IF($N1910&lt;&gt;"",IF(INDEX(LdCNote,$N1910)="","—",INDEX(LdCNote,$N1910)),""))))</f>
        <v/>
      </c>
      <c r="L1910">
        <f>IFERROR(MATCH($C$5&amp;"|"&amp;RIGHT("000000"&amp;1894,6),LdAKeyM,0),"")</f>
        <v/>
      </c>
      <c r="M1910">
        <f>IFERROR(MATCH($C$5&amp;"|"&amp;RIGHT("000000"&amp;1894,6),LdBKeyM,0),"")</f>
        <v/>
      </c>
      <c r="N1910">
        <f>IFERROR(MATCH($C$5&amp;"|"&amp;RIGHT("000000"&amp;1894,6),LdCKeyM,0),"")</f>
        <v/>
      </c>
    </row>
    <row r="1911">
      <c r="A1911" s="10" t="n">
        <v>1895</v>
      </c>
      <c r="B1911" s="14">
        <f>IF(AND($L1911="",$M1911="",$N1911=""),"",IF($L1911&lt;&gt;"",INDEX(LdADate,$L1911),IF($M1911&lt;&gt;"",INDEX(LdBDate,$M1911),INDEX(LdCDate,$N1911))))</f>
        <v/>
      </c>
      <c r="C1911" s="14">
        <f>IF($L1911&lt;&gt;"","دستمزد (فردی)",IF($M1911&lt;&gt;"","سهم از گروه "&amp;IFERROR(VLOOKUP(INDEX(LdBGroup,$M1911),WGTbl,2,0),INDEX(LdBGroup,$M1911)),IF($N1911&lt;&gt;"",IF(N(INDEX(LdCDep,$N1911))&gt;0,"بازگشت بانکی","پرداخت بانکی"),"")))</f>
        <v/>
      </c>
      <c r="D1911" s="14">
        <f>IF($L1911&lt;&gt;"",IF(INDEX(LdAId,$L1911)="","—",INDEX(LdAId,$L1911)),IF($M1911&lt;&gt;"",IF(INDEX(LdBId,$M1911)="","—",INDEX(LdBId,$M1911)),IF($N1911&lt;&gt;"",IF(INDEX(LdCBank,$N1911)="","—",INDEX(LdCBank,$N1911)),"")))</f>
        <v/>
      </c>
      <c r="E1911" s="16">
        <f>IF($L1911&lt;&gt;"",IF(INDEX(LdAAmt,$L1911)=0,"",INDEX(LdAAmt,$L1911)),IF($M1911&lt;&gt;"",IF(INDEX(LdBAmt,$M1911)=0,"",INDEX(LdBAmt,$M1911)),IF($N1911&lt;&gt;"",IF(INDEX(LdCDep,$N1911)=0,"",INDEX(LdCDep,$N1911)),"")))</f>
        <v/>
      </c>
      <c r="F1911" s="16">
        <f>IF(AND($L1911="",$M1911="",$N1911=""),"",IF($N1911="","",IF(INDEX(LdCWit,$N1911)=0,"",INDEX(LdCWit,$N1911))))</f>
        <v/>
      </c>
      <c r="G1911" s="29">
        <f>IF($B1911="","",IF($G1910="",0,$G1910)+IF($E1911="",0,$E1911)-IF($F1911="",0,$F1911))</f>
        <v/>
      </c>
      <c r="H1911" s="30">
        <f>IF(AND($L1911="",$M1911="",$N1911=""),"",IF($L1911&lt;&gt;"",IF(INDEX(LdANote,$L1911)="","—",INDEX(LdANote,$L1911)),IF($M1911&lt;&gt;"",IF(INDEX(LdBNote,$M1911)="","—",INDEX(LdBNote,$M1911)),IF($N1911&lt;&gt;"",IF(INDEX(LdCNote,$N1911)="","—",INDEX(LdCNote,$N1911)),""))))</f>
        <v/>
      </c>
      <c r="L1911">
        <f>IFERROR(MATCH($C$5&amp;"|"&amp;RIGHT("000000"&amp;1895,6),LdAKeyM,0),"")</f>
        <v/>
      </c>
      <c r="M1911">
        <f>IFERROR(MATCH($C$5&amp;"|"&amp;RIGHT("000000"&amp;1895,6),LdBKeyM,0),"")</f>
        <v/>
      </c>
      <c r="N1911">
        <f>IFERROR(MATCH($C$5&amp;"|"&amp;RIGHT("000000"&amp;1895,6),LdCKeyM,0),"")</f>
        <v/>
      </c>
    </row>
    <row r="1912">
      <c r="A1912" s="19" t="n">
        <v>1896</v>
      </c>
      <c r="B1912" s="20">
        <f>IF(AND($L1912="",$M1912="",$N1912=""),"",IF($L1912&lt;&gt;"",INDEX(LdADate,$L1912),IF($M1912&lt;&gt;"",INDEX(LdBDate,$M1912),INDEX(LdCDate,$N1912))))</f>
        <v/>
      </c>
      <c r="C1912" s="20">
        <f>IF($L1912&lt;&gt;"","دستمزد (فردی)",IF($M1912&lt;&gt;"","سهم از گروه "&amp;IFERROR(VLOOKUP(INDEX(LdBGroup,$M1912),WGTbl,2,0),INDEX(LdBGroup,$M1912)),IF($N1912&lt;&gt;"",IF(N(INDEX(LdCDep,$N1912))&gt;0,"بازگشت بانکی","پرداخت بانکی"),"")))</f>
        <v/>
      </c>
      <c r="D1912" s="20">
        <f>IF($L1912&lt;&gt;"",IF(INDEX(LdAId,$L1912)="","—",INDEX(LdAId,$L1912)),IF($M1912&lt;&gt;"",IF(INDEX(LdBId,$M1912)="","—",INDEX(LdBId,$M1912)),IF($N1912&lt;&gt;"",IF(INDEX(LdCBank,$N1912)="","—",INDEX(LdCBank,$N1912)),"")))</f>
        <v/>
      </c>
      <c r="E1912" s="21">
        <f>IF($L1912&lt;&gt;"",IF(INDEX(LdAAmt,$L1912)=0,"",INDEX(LdAAmt,$L1912)),IF($M1912&lt;&gt;"",IF(INDEX(LdBAmt,$M1912)=0,"",INDEX(LdBAmt,$M1912)),IF($N1912&lt;&gt;"",IF(INDEX(LdCDep,$N1912)=0,"",INDEX(LdCDep,$N1912)),"")))</f>
        <v/>
      </c>
      <c r="F1912" s="21">
        <f>IF(AND($L1912="",$M1912="",$N1912=""),"",IF($N1912="","",IF(INDEX(LdCWit,$N1912)=0,"",INDEX(LdCWit,$N1912))))</f>
        <v/>
      </c>
      <c r="G1912" s="31">
        <f>IF($B1912="","",IF($G1911="",0,$G1911)+IF($E1912="",0,$E1912)-IF($F1912="",0,$F1912))</f>
        <v/>
      </c>
      <c r="H1912" s="32">
        <f>IF(AND($L1912="",$M1912="",$N1912=""),"",IF($L1912&lt;&gt;"",IF(INDEX(LdANote,$L1912)="","—",INDEX(LdANote,$L1912)),IF($M1912&lt;&gt;"",IF(INDEX(LdBNote,$M1912)="","—",INDEX(LdBNote,$M1912)),IF($N1912&lt;&gt;"",IF(INDEX(LdCNote,$N1912)="","—",INDEX(LdCNote,$N1912)),""))))</f>
        <v/>
      </c>
      <c r="L1912">
        <f>IFERROR(MATCH($C$5&amp;"|"&amp;RIGHT("000000"&amp;1896,6),LdAKeyM,0),"")</f>
        <v/>
      </c>
      <c r="M1912">
        <f>IFERROR(MATCH($C$5&amp;"|"&amp;RIGHT("000000"&amp;1896,6),LdBKeyM,0),"")</f>
        <v/>
      </c>
      <c r="N1912">
        <f>IFERROR(MATCH($C$5&amp;"|"&amp;RIGHT("000000"&amp;1896,6),LdCKeyM,0),"")</f>
        <v/>
      </c>
    </row>
    <row r="1913">
      <c r="A1913" s="10" t="n">
        <v>1897</v>
      </c>
      <c r="B1913" s="14">
        <f>IF(AND($L1913="",$M1913="",$N1913=""),"",IF($L1913&lt;&gt;"",INDEX(LdADate,$L1913),IF($M1913&lt;&gt;"",INDEX(LdBDate,$M1913),INDEX(LdCDate,$N1913))))</f>
        <v/>
      </c>
      <c r="C1913" s="14">
        <f>IF($L1913&lt;&gt;"","دستمزد (فردی)",IF($M1913&lt;&gt;"","سهم از گروه "&amp;IFERROR(VLOOKUP(INDEX(LdBGroup,$M1913),WGTbl,2,0),INDEX(LdBGroup,$M1913)),IF($N1913&lt;&gt;"",IF(N(INDEX(LdCDep,$N1913))&gt;0,"بازگشت بانکی","پرداخت بانکی"),"")))</f>
        <v/>
      </c>
      <c r="D1913" s="14">
        <f>IF($L1913&lt;&gt;"",IF(INDEX(LdAId,$L1913)="","—",INDEX(LdAId,$L1913)),IF($M1913&lt;&gt;"",IF(INDEX(LdBId,$M1913)="","—",INDEX(LdBId,$M1913)),IF($N1913&lt;&gt;"",IF(INDEX(LdCBank,$N1913)="","—",INDEX(LdCBank,$N1913)),"")))</f>
        <v/>
      </c>
      <c r="E1913" s="16">
        <f>IF($L1913&lt;&gt;"",IF(INDEX(LdAAmt,$L1913)=0,"",INDEX(LdAAmt,$L1913)),IF($M1913&lt;&gt;"",IF(INDEX(LdBAmt,$M1913)=0,"",INDEX(LdBAmt,$M1913)),IF($N1913&lt;&gt;"",IF(INDEX(LdCDep,$N1913)=0,"",INDEX(LdCDep,$N1913)),"")))</f>
        <v/>
      </c>
      <c r="F1913" s="16">
        <f>IF(AND($L1913="",$M1913="",$N1913=""),"",IF($N1913="","",IF(INDEX(LdCWit,$N1913)=0,"",INDEX(LdCWit,$N1913))))</f>
        <v/>
      </c>
      <c r="G1913" s="29">
        <f>IF($B1913="","",IF($G1912="",0,$G1912)+IF($E1913="",0,$E1913)-IF($F1913="",0,$F1913))</f>
        <v/>
      </c>
      <c r="H1913" s="30">
        <f>IF(AND($L1913="",$M1913="",$N1913=""),"",IF($L1913&lt;&gt;"",IF(INDEX(LdANote,$L1913)="","—",INDEX(LdANote,$L1913)),IF($M1913&lt;&gt;"",IF(INDEX(LdBNote,$M1913)="","—",INDEX(LdBNote,$M1913)),IF($N1913&lt;&gt;"",IF(INDEX(LdCNote,$N1913)="","—",INDEX(LdCNote,$N1913)),""))))</f>
        <v/>
      </c>
      <c r="L1913">
        <f>IFERROR(MATCH($C$5&amp;"|"&amp;RIGHT("000000"&amp;1897,6),LdAKeyM,0),"")</f>
        <v/>
      </c>
      <c r="M1913">
        <f>IFERROR(MATCH($C$5&amp;"|"&amp;RIGHT("000000"&amp;1897,6),LdBKeyM,0),"")</f>
        <v/>
      </c>
      <c r="N1913">
        <f>IFERROR(MATCH($C$5&amp;"|"&amp;RIGHT("000000"&amp;1897,6),LdCKeyM,0),"")</f>
        <v/>
      </c>
    </row>
    <row r="1914">
      <c r="A1914" s="19" t="n">
        <v>1898</v>
      </c>
      <c r="B1914" s="20">
        <f>IF(AND($L1914="",$M1914="",$N1914=""),"",IF($L1914&lt;&gt;"",INDEX(LdADate,$L1914),IF($M1914&lt;&gt;"",INDEX(LdBDate,$M1914),INDEX(LdCDate,$N1914))))</f>
        <v/>
      </c>
      <c r="C1914" s="20">
        <f>IF($L1914&lt;&gt;"","دستمزد (فردی)",IF($M1914&lt;&gt;"","سهم از گروه "&amp;IFERROR(VLOOKUP(INDEX(LdBGroup,$M1914),WGTbl,2,0),INDEX(LdBGroup,$M1914)),IF($N1914&lt;&gt;"",IF(N(INDEX(LdCDep,$N1914))&gt;0,"بازگشت بانکی","پرداخت بانکی"),"")))</f>
        <v/>
      </c>
      <c r="D1914" s="20">
        <f>IF($L1914&lt;&gt;"",IF(INDEX(LdAId,$L1914)="","—",INDEX(LdAId,$L1914)),IF($M1914&lt;&gt;"",IF(INDEX(LdBId,$M1914)="","—",INDEX(LdBId,$M1914)),IF($N1914&lt;&gt;"",IF(INDEX(LdCBank,$N1914)="","—",INDEX(LdCBank,$N1914)),"")))</f>
        <v/>
      </c>
      <c r="E1914" s="21">
        <f>IF($L1914&lt;&gt;"",IF(INDEX(LdAAmt,$L1914)=0,"",INDEX(LdAAmt,$L1914)),IF($M1914&lt;&gt;"",IF(INDEX(LdBAmt,$M1914)=0,"",INDEX(LdBAmt,$M1914)),IF($N1914&lt;&gt;"",IF(INDEX(LdCDep,$N1914)=0,"",INDEX(LdCDep,$N1914)),"")))</f>
        <v/>
      </c>
      <c r="F1914" s="21">
        <f>IF(AND($L1914="",$M1914="",$N1914=""),"",IF($N1914="","",IF(INDEX(LdCWit,$N1914)=0,"",INDEX(LdCWit,$N1914))))</f>
        <v/>
      </c>
      <c r="G1914" s="31">
        <f>IF($B1914="","",IF($G1913="",0,$G1913)+IF($E1914="",0,$E1914)-IF($F1914="",0,$F1914))</f>
        <v/>
      </c>
      <c r="H1914" s="32">
        <f>IF(AND($L1914="",$M1914="",$N1914=""),"",IF($L1914&lt;&gt;"",IF(INDEX(LdANote,$L1914)="","—",INDEX(LdANote,$L1914)),IF($M1914&lt;&gt;"",IF(INDEX(LdBNote,$M1914)="","—",INDEX(LdBNote,$M1914)),IF($N1914&lt;&gt;"",IF(INDEX(LdCNote,$N1914)="","—",INDEX(LdCNote,$N1914)),""))))</f>
        <v/>
      </c>
      <c r="L1914">
        <f>IFERROR(MATCH($C$5&amp;"|"&amp;RIGHT("000000"&amp;1898,6),LdAKeyM,0),"")</f>
        <v/>
      </c>
      <c r="M1914">
        <f>IFERROR(MATCH($C$5&amp;"|"&amp;RIGHT("000000"&amp;1898,6),LdBKeyM,0),"")</f>
        <v/>
      </c>
      <c r="N1914">
        <f>IFERROR(MATCH($C$5&amp;"|"&amp;RIGHT("000000"&amp;1898,6),LdCKeyM,0),"")</f>
        <v/>
      </c>
    </row>
    <row r="1915">
      <c r="A1915" s="10" t="n">
        <v>1899</v>
      </c>
      <c r="B1915" s="14">
        <f>IF(AND($L1915="",$M1915="",$N1915=""),"",IF($L1915&lt;&gt;"",INDEX(LdADate,$L1915),IF($M1915&lt;&gt;"",INDEX(LdBDate,$M1915),INDEX(LdCDate,$N1915))))</f>
        <v/>
      </c>
      <c r="C1915" s="14">
        <f>IF($L1915&lt;&gt;"","دستمزد (فردی)",IF($M1915&lt;&gt;"","سهم از گروه "&amp;IFERROR(VLOOKUP(INDEX(LdBGroup,$M1915),WGTbl,2,0),INDEX(LdBGroup,$M1915)),IF($N1915&lt;&gt;"",IF(N(INDEX(LdCDep,$N1915))&gt;0,"بازگشت بانکی","پرداخت بانکی"),"")))</f>
        <v/>
      </c>
      <c r="D1915" s="14">
        <f>IF($L1915&lt;&gt;"",IF(INDEX(LdAId,$L1915)="","—",INDEX(LdAId,$L1915)),IF($M1915&lt;&gt;"",IF(INDEX(LdBId,$M1915)="","—",INDEX(LdBId,$M1915)),IF($N1915&lt;&gt;"",IF(INDEX(LdCBank,$N1915)="","—",INDEX(LdCBank,$N1915)),"")))</f>
        <v/>
      </c>
      <c r="E1915" s="16">
        <f>IF($L1915&lt;&gt;"",IF(INDEX(LdAAmt,$L1915)=0,"",INDEX(LdAAmt,$L1915)),IF($M1915&lt;&gt;"",IF(INDEX(LdBAmt,$M1915)=0,"",INDEX(LdBAmt,$M1915)),IF($N1915&lt;&gt;"",IF(INDEX(LdCDep,$N1915)=0,"",INDEX(LdCDep,$N1915)),"")))</f>
        <v/>
      </c>
      <c r="F1915" s="16">
        <f>IF(AND($L1915="",$M1915="",$N1915=""),"",IF($N1915="","",IF(INDEX(LdCWit,$N1915)=0,"",INDEX(LdCWit,$N1915))))</f>
        <v/>
      </c>
      <c r="G1915" s="29">
        <f>IF($B1915="","",IF($G1914="",0,$G1914)+IF($E1915="",0,$E1915)-IF($F1915="",0,$F1915))</f>
        <v/>
      </c>
      <c r="H1915" s="30">
        <f>IF(AND($L1915="",$M1915="",$N1915=""),"",IF($L1915&lt;&gt;"",IF(INDEX(LdANote,$L1915)="","—",INDEX(LdANote,$L1915)),IF($M1915&lt;&gt;"",IF(INDEX(LdBNote,$M1915)="","—",INDEX(LdBNote,$M1915)),IF($N1915&lt;&gt;"",IF(INDEX(LdCNote,$N1915)="","—",INDEX(LdCNote,$N1915)),""))))</f>
        <v/>
      </c>
      <c r="L1915">
        <f>IFERROR(MATCH($C$5&amp;"|"&amp;RIGHT("000000"&amp;1899,6),LdAKeyM,0),"")</f>
        <v/>
      </c>
      <c r="M1915">
        <f>IFERROR(MATCH($C$5&amp;"|"&amp;RIGHT("000000"&amp;1899,6),LdBKeyM,0),"")</f>
        <v/>
      </c>
      <c r="N1915">
        <f>IFERROR(MATCH($C$5&amp;"|"&amp;RIGHT("000000"&amp;1899,6),LdCKeyM,0),"")</f>
        <v/>
      </c>
    </row>
    <row r="1916">
      <c r="A1916" s="19" t="n">
        <v>1900</v>
      </c>
      <c r="B1916" s="20">
        <f>IF(AND($L1916="",$M1916="",$N1916=""),"",IF($L1916&lt;&gt;"",INDEX(LdADate,$L1916),IF($M1916&lt;&gt;"",INDEX(LdBDate,$M1916),INDEX(LdCDate,$N1916))))</f>
        <v/>
      </c>
      <c r="C1916" s="20">
        <f>IF($L1916&lt;&gt;"","دستمزد (فردی)",IF($M1916&lt;&gt;"","سهم از گروه "&amp;IFERROR(VLOOKUP(INDEX(LdBGroup,$M1916),WGTbl,2,0),INDEX(LdBGroup,$M1916)),IF($N1916&lt;&gt;"",IF(N(INDEX(LdCDep,$N1916))&gt;0,"بازگشت بانکی","پرداخت بانکی"),"")))</f>
        <v/>
      </c>
      <c r="D1916" s="20">
        <f>IF($L1916&lt;&gt;"",IF(INDEX(LdAId,$L1916)="","—",INDEX(LdAId,$L1916)),IF($M1916&lt;&gt;"",IF(INDEX(LdBId,$M1916)="","—",INDEX(LdBId,$M1916)),IF($N1916&lt;&gt;"",IF(INDEX(LdCBank,$N1916)="","—",INDEX(LdCBank,$N1916)),"")))</f>
        <v/>
      </c>
      <c r="E1916" s="21">
        <f>IF($L1916&lt;&gt;"",IF(INDEX(LdAAmt,$L1916)=0,"",INDEX(LdAAmt,$L1916)),IF($M1916&lt;&gt;"",IF(INDEX(LdBAmt,$M1916)=0,"",INDEX(LdBAmt,$M1916)),IF($N1916&lt;&gt;"",IF(INDEX(LdCDep,$N1916)=0,"",INDEX(LdCDep,$N1916)),"")))</f>
        <v/>
      </c>
      <c r="F1916" s="21">
        <f>IF(AND($L1916="",$M1916="",$N1916=""),"",IF($N1916="","",IF(INDEX(LdCWit,$N1916)=0,"",INDEX(LdCWit,$N1916))))</f>
        <v/>
      </c>
      <c r="G1916" s="31">
        <f>IF($B1916="","",IF($G1915="",0,$G1915)+IF($E1916="",0,$E1916)-IF($F1916="",0,$F1916))</f>
        <v/>
      </c>
      <c r="H1916" s="32">
        <f>IF(AND($L1916="",$M1916="",$N1916=""),"",IF($L1916&lt;&gt;"",IF(INDEX(LdANote,$L1916)="","—",INDEX(LdANote,$L1916)),IF($M1916&lt;&gt;"",IF(INDEX(LdBNote,$M1916)="","—",INDEX(LdBNote,$M1916)),IF($N1916&lt;&gt;"",IF(INDEX(LdCNote,$N1916)="","—",INDEX(LdCNote,$N1916)),""))))</f>
        <v/>
      </c>
      <c r="L1916">
        <f>IFERROR(MATCH($C$5&amp;"|"&amp;RIGHT("000000"&amp;1900,6),LdAKeyM,0),"")</f>
        <v/>
      </c>
      <c r="M1916">
        <f>IFERROR(MATCH($C$5&amp;"|"&amp;RIGHT("000000"&amp;1900,6),LdBKeyM,0),"")</f>
        <v/>
      </c>
      <c r="N1916">
        <f>IFERROR(MATCH($C$5&amp;"|"&amp;RIGHT("000000"&amp;1900,6),LdCKeyM,0),"")</f>
        <v/>
      </c>
    </row>
    <row r="1917">
      <c r="A1917" s="10" t="n">
        <v>1901</v>
      </c>
      <c r="B1917" s="14">
        <f>IF(AND($L1917="",$M1917="",$N1917=""),"",IF($L1917&lt;&gt;"",INDEX(LdADate,$L1917),IF($M1917&lt;&gt;"",INDEX(LdBDate,$M1917),INDEX(LdCDate,$N1917))))</f>
        <v/>
      </c>
      <c r="C1917" s="14">
        <f>IF($L1917&lt;&gt;"","دستمزد (فردی)",IF($M1917&lt;&gt;"","سهم از گروه "&amp;IFERROR(VLOOKUP(INDEX(LdBGroup,$M1917),WGTbl,2,0),INDEX(LdBGroup,$M1917)),IF($N1917&lt;&gt;"",IF(N(INDEX(LdCDep,$N1917))&gt;0,"بازگشت بانکی","پرداخت بانکی"),"")))</f>
        <v/>
      </c>
      <c r="D1917" s="14">
        <f>IF($L1917&lt;&gt;"",IF(INDEX(LdAId,$L1917)="","—",INDEX(LdAId,$L1917)),IF($M1917&lt;&gt;"",IF(INDEX(LdBId,$M1917)="","—",INDEX(LdBId,$M1917)),IF($N1917&lt;&gt;"",IF(INDEX(LdCBank,$N1917)="","—",INDEX(LdCBank,$N1917)),"")))</f>
        <v/>
      </c>
      <c r="E1917" s="16">
        <f>IF($L1917&lt;&gt;"",IF(INDEX(LdAAmt,$L1917)=0,"",INDEX(LdAAmt,$L1917)),IF($M1917&lt;&gt;"",IF(INDEX(LdBAmt,$M1917)=0,"",INDEX(LdBAmt,$M1917)),IF($N1917&lt;&gt;"",IF(INDEX(LdCDep,$N1917)=0,"",INDEX(LdCDep,$N1917)),"")))</f>
        <v/>
      </c>
      <c r="F1917" s="16">
        <f>IF(AND($L1917="",$M1917="",$N1917=""),"",IF($N1917="","",IF(INDEX(LdCWit,$N1917)=0,"",INDEX(LdCWit,$N1917))))</f>
        <v/>
      </c>
      <c r="G1917" s="29">
        <f>IF($B1917="","",IF($G1916="",0,$G1916)+IF($E1917="",0,$E1917)-IF($F1917="",0,$F1917))</f>
        <v/>
      </c>
      <c r="H1917" s="30">
        <f>IF(AND($L1917="",$M1917="",$N1917=""),"",IF($L1917&lt;&gt;"",IF(INDEX(LdANote,$L1917)="","—",INDEX(LdANote,$L1917)),IF($M1917&lt;&gt;"",IF(INDEX(LdBNote,$M1917)="","—",INDEX(LdBNote,$M1917)),IF($N1917&lt;&gt;"",IF(INDEX(LdCNote,$N1917)="","—",INDEX(LdCNote,$N1917)),""))))</f>
        <v/>
      </c>
      <c r="L1917">
        <f>IFERROR(MATCH($C$5&amp;"|"&amp;RIGHT("000000"&amp;1901,6),LdAKeyM,0),"")</f>
        <v/>
      </c>
      <c r="M1917">
        <f>IFERROR(MATCH($C$5&amp;"|"&amp;RIGHT("000000"&amp;1901,6),LdBKeyM,0),"")</f>
        <v/>
      </c>
      <c r="N1917">
        <f>IFERROR(MATCH($C$5&amp;"|"&amp;RIGHT("000000"&amp;1901,6),LdCKeyM,0),"")</f>
        <v/>
      </c>
    </row>
    <row r="1918">
      <c r="A1918" s="19" t="n">
        <v>1902</v>
      </c>
      <c r="B1918" s="20">
        <f>IF(AND($L1918="",$M1918="",$N1918=""),"",IF($L1918&lt;&gt;"",INDEX(LdADate,$L1918),IF($M1918&lt;&gt;"",INDEX(LdBDate,$M1918),INDEX(LdCDate,$N1918))))</f>
        <v/>
      </c>
      <c r="C1918" s="20">
        <f>IF($L1918&lt;&gt;"","دستمزد (فردی)",IF($M1918&lt;&gt;"","سهم از گروه "&amp;IFERROR(VLOOKUP(INDEX(LdBGroup,$M1918),WGTbl,2,0),INDEX(LdBGroup,$M1918)),IF($N1918&lt;&gt;"",IF(N(INDEX(LdCDep,$N1918))&gt;0,"بازگشت بانکی","پرداخت بانکی"),"")))</f>
        <v/>
      </c>
      <c r="D1918" s="20">
        <f>IF($L1918&lt;&gt;"",IF(INDEX(LdAId,$L1918)="","—",INDEX(LdAId,$L1918)),IF($M1918&lt;&gt;"",IF(INDEX(LdBId,$M1918)="","—",INDEX(LdBId,$M1918)),IF($N1918&lt;&gt;"",IF(INDEX(LdCBank,$N1918)="","—",INDEX(LdCBank,$N1918)),"")))</f>
        <v/>
      </c>
      <c r="E1918" s="21">
        <f>IF($L1918&lt;&gt;"",IF(INDEX(LdAAmt,$L1918)=0,"",INDEX(LdAAmt,$L1918)),IF($M1918&lt;&gt;"",IF(INDEX(LdBAmt,$M1918)=0,"",INDEX(LdBAmt,$M1918)),IF($N1918&lt;&gt;"",IF(INDEX(LdCDep,$N1918)=0,"",INDEX(LdCDep,$N1918)),"")))</f>
        <v/>
      </c>
      <c r="F1918" s="21">
        <f>IF(AND($L1918="",$M1918="",$N1918=""),"",IF($N1918="","",IF(INDEX(LdCWit,$N1918)=0,"",INDEX(LdCWit,$N1918))))</f>
        <v/>
      </c>
      <c r="G1918" s="31">
        <f>IF($B1918="","",IF($G1917="",0,$G1917)+IF($E1918="",0,$E1918)-IF($F1918="",0,$F1918))</f>
        <v/>
      </c>
      <c r="H1918" s="32">
        <f>IF(AND($L1918="",$M1918="",$N1918=""),"",IF($L1918&lt;&gt;"",IF(INDEX(LdANote,$L1918)="","—",INDEX(LdANote,$L1918)),IF($M1918&lt;&gt;"",IF(INDEX(LdBNote,$M1918)="","—",INDEX(LdBNote,$M1918)),IF($N1918&lt;&gt;"",IF(INDEX(LdCNote,$N1918)="","—",INDEX(LdCNote,$N1918)),""))))</f>
        <v/>
      </c>
      <c r="L1918">
        <f>IFERROR(MATCH($C$5&amp;"|"&amp;RIGHT("000000"&amp;1902,6),LdAKeyM,0),"")</f>
        <v/>
      </c>
      <c r="M1918">
        <f>IFERROR(MATCH($C$5&amp;"|"&amp;RIGHT("000000"&amp;1902,6),LdBKeyM,0),"")</f>
        <v/>
      </c>
      <c r="N1918">
        <f>IFERROR(MATCH($C$5&amp;"|"&amp;RIGHT("000000"&amp;1902,6),LdCKeyM,0),"")</f>
        <v/>
      </c>
    </row>
    <row r="1919">
      <c r="A1919" s="10" t="n">
        <v>1903</v>
      </c>
      <c r="B1919" s="14">
        <f>IF(AND($L1919="",$M1919="",$N1919=""),"",IF($L1919&lt;&gt;"",INDEX(LdADate,$L1919),IF($M1919&lt;&gt;"",INDEX(LdBDate,$M1919),INDEX(LdCDate,$N1919))))</f>
        <v/>
      </c>
      <c r="C1919" s="14">
        <f>IF($L1919&lt;&gt;"","دستمزد (فردی)",IF($M1919&lt;&gt;"","سهم از گروه "&amp;IFERROR(VLOOKUP(INDEX(LdBGroup,$M1919),WGTbl,2,0),INDEX(LdBGroup,$M1919)),IF($N1919&lt;&gt;"",IF(N(INDEX(LdCDep,$N1919))&gt;0,"بازگشت بانکی","پرداخت بانکی"),"")))</f>
        <v/>
      </c>
      <c r="D1919" s="14">
        <f>IF($L1919&lt;&gt;"",IF(INDEX(LdAId,$L1919)="","—",INDEX(LdAId,$L1919)),IF($M1919&lt;&gt;"",IF(INDEX(LdBId,$M1919)="","—",INDEX(LdBId,$M1919)),IF($N1919&lt;&gt;"",IF(INDEX(LdCBank,$N1919)="","—",INDEX(LdCBank,$N1919)),"")))</f>
        <v/>
      </c>
      <c r="E1919" s="16">
        <f>IF($L1919&lt;&gt;"",IF(INDEX(LdAAmt,$L1919)=0,"",INDEX(LdAAmt,$L1919)),IF($M1919&lt;&gt;"",IF(INDEX(LdBAmt,$M1919)=0,"",INDEX(LdBAmt,$M1919)),IF($N1919&lt;&gt;"",IF(INDEX(LdCDep,$N1919)=0,"",INDEX(LdCDep,$N1919)),"")))</f>
        <v/>
      </c>
      <c r="F1919" s="16">
        <f>IF(AND($L1919="",$M1919="",$N1919=""),"",IF($N1919="","",IF(INDEX(LdCWit,$N1919)=0,"",INDEX(LdCWit,$N1919))))</f>
        <v/>
      </c>
      <c r="G1919" s="29">
        <f>IF($B1919="","",IF($G1918="",0,$G1918)+IF($E1919="",0,$E1919)-IF($F1919="",0,$F1919))</f>
        <v/>
      </c>
      <c r="H1919" s="30">
        <f>IF(AND($L1919="",$M1919="",$N1919=""),"",IF($L1919&lt;&gt;"",IF(INDEX(LdANote,$L1919)="","—",INDEX(LdANote,$L1919)),IF($M1919&lt;&gt;"",IF(INDEX(LdBNote,$M1919)="","—",INDEX(LdBNote,$M1919)),IF($N1919&lt;&gt;"",IF(INDEX(LdCNote,$N1919)="","—",INDEX(LdCNote,$N1919)),""))))</f>
        <v/>
      </c>
      <c r="L1919">
        <f>IFERROR(MATCH($C$5&amp;"|"&amp;RIGHT("000000"&amp;1903,6),LdAKeyM,0),"")</f>
        <v/>
      </c>
      <c r="M1919">
        <f>IFERROR(MATCH($C$5&amp;"|"&amp;RIGHT("000000"&amp;1903,6),LdBKeyM,0),"")</f>
        <v/>
      </c>
      <c r="N1919">
        <f>IFERROR(MATCH($C$5&amp;"|"&amp;RIGHT("000000"&amp;1903,6),LdCKeyM,0),"")</f>
        <v/>
      </c>
    </row>
    <row r="1920">
      <c r="A1920" s="19" t="n">
        <v>1904</v>
      </c>
      <c r="B1920" s="20">
        <f>IF(AND($L1920="",$M1920="",$N1920=""),"",IF($L1920&lt;&gt;"",INDEX(LdADate,$L1920),IF($M1920&lt;&gt;"",INDEX(LdBDate,$M1920),INDEX(LdCDate,$N1920))))</f>
        <v/>
      </c>
      <c r="C1920" s="20">
        <f>IF($L1920&lt;&gt;"","دستمزد (فردی)",IF($M1920&lt;&gt;"","سهم از گروه "&amp;IFERROR(VLOOKUP(INDEX(LdBGroup,$M1920),WGTbl,2,0),INDEX(LdBGroup,$M1920)),IF($N1920&lt;&gt;"",IF(N(INDEX(LdCDep,$N1920))&gt;0,"بازگشت بانکی","پرداخت بانکی"),"")))</f>
        <v/>
      </c>
      <c r="D1920" s="20">
        <f>IF($L1920&lt;&gt;"",IF(INDEX(LdAId,$L1920)="","—",INDEX(LdAId,$L1920)),IF($M1920&lt;&gt;"",IF(INDEX(LdBId,$M1920)="","—",INDEX(LdBId,$M1920)),IF($N1920&lt;&gt;"",IF(INDEX(LdCBank,$N1920)="","—",INDEX(LdCBank,$N1920)),"")))</f>
        <v/>
      </c>
      <c r="E1920" s="21">
        <f>IF($L1920&lt;&gt;"",IF(INDEX(LdAAmt,$L1920)=0,"",INDEX(LdAAmt,$L1920)),IF($M1920&lt;&gt;"",IF(INDEX(LdBAmt,$M1920)=0,"",INDEX(LdBAmt,$M1920)),IF($N1920&lt;&gt;"",IF(INDEX(LdCDep,$N1920)=0,"",INDEX(LdCDep,$N1920)),"")))</f>
        <v/>
      </c>
      <c r="F1920" s="21">
        <f>IF(AND($L1920="",$M1920="",$N1920=""),"",IF($N1920="","",IF(INDEX(LdCWit,$N1920)=0,"",INDEX(LdCWit,$N1920))))</f>
        <v/>
      </c>
      <c r="G1920" s="31">
        <f>IF($B1920="","",IF($G1919="",0,$G1919)+IF($E1920="",0,$E1920)-IF($F1920="",0,$F1920))</f>
        <v/>
      </c>
      <c r="H1920" s="32">
        <f>IF(AND($L1920="",$M1920="",$N1920=""),"",IF($L1920&lt;&gt;"",IF(INDEX(LdANote,$L1920)="","—",INDEX(LdANote,$L1920)),IF($M1920&lt;&gt;"",IF(INDEX(LdBNote,$M1920)="","—",INDEX(LdBNote,$M1920)),IF($N1920&lt;&gt;"",IF(INDEX(LdCNote,$N1920)="","—",INDEX(LdCNote,$N1920)),""))))</f>
        <v/>
      </c>
      <c r="L1920">
        <f>IFERROR(MATCH($C$5&amp;"|"&amp;RIGHT("000000"&amp;1904,6),LdAKeyM,0),"")</f>
        <v/>
      </c>
      <c r="M1920">
        <f>IFERROR(MATCH($C$5&amp;"|"&amp;RIGHT("000000"&amp;1904,6),LdBKeyM,0),"")</f>
        <v/>
      </c>
      <c r="N1920">
        <f>IFERROR(MATCH($C$5&amp;"|"&amp;RIGHT("000000"&amp;1904,6),LdCKeyM,0),"")</f>
        <v/>
      </c>
    </row>
    <row r="1921">
      <c r="A1921" s="10" t="n">
        <v>1905</v>
      </c>
      <c r="B1921" s="14">
        <f>IF(AND($L1921="",$M1921="",$N1921=""),"",IF($L1921&lt;&gt;"",INDEX(LdADate,$L1921),IF($M1921&lt;&gt;"",INDEX(LdBDate,$M1921),INDEX(LdCDate,$N1921))))</f>
        <v/>
      </c>
      <c r="C1921" s="14">
        <f>IF($L1921&lt;&gt;"","دستمزد (فردی)",IF($M1921&lt;&gt;"","سهم از گروه "&amp;IFERROR(VLOOKUP(INDEX(LdBGroup,$M1921),WGTbl,2,0),INDEX(LdBGroup,$M1921)),IF($N1921&lt;&gt;"",IF(N(INDEX(LdCDep,$N1921))&gt;0,"بازگشت بانکی","پرداخت بانکی"),"")))</f>
        <v/>
      </c>
      <c r="D1921" s="14">
        <f>IF($L1921&lt;&gt;"",IF(INDEX(LdAId,$L1921)="","—",INDEX(LdAId,$L1921)),IF($M1921&lt;&gt;"",IF(INDEX(LdBId,$M1921)="","—",INDEX(LdBId,$M1921)),IF($N1921&lt;&gt;"",IF(INDEX(LdCBank,$N1921)="","—",INDEX(LdCBank,$N1921)),"")))</f>
        <v/>
      </c>
      <c r="E1921" s="16">
        <f>IF($L1921&lt;&gt;"",IF(INDEX(LdAAmt,$L1921)=0,"",INDEX(LdAAmt,$L1921)),IF($M1921&lt;&gt;"",IF(INDEX(LdBAmt,$M1921)=0,"",INDEX(LdBAmt,$M1921)),IF($N1921&lt;&gt;"",IF(INDEX(LdCDep,$N1921)=0,"",INDEX(LdCDep,$N1921)),"")))</f>
        <v/>
      </c>
      <c r="F1921" s="16">
        <f>IF(AND($L1921="",$M1921="",$N1921=""),"",IF($N1921="","",IF(INDEX(LdCWit,$N1921)=0,"",INDEX(LdCWit,$N1921))))</f>
        <v/>
      </c>
      <c r="G1921" s="29">
        <f>IF($B1921="","",IF($G1920="",0,$G1920)+IF($E1921="",0,$E1921)-IF($F1921="",0,$F1921))</f>
        <v/>
      </c>
      <c r="H1921" s="30">
        <f>IF(AND($L1921="",$M1921="",$N1921=""),"",IF($L1921&lt;&gt;"",IF(INDEX(LdANote,$L1921)="","—",INDEX(LdANote,$L1921)),IF($M1921&lt;&gt;"",IF(INDEX(LdBNote,$M1921)="","—",INDEX(LdBNote,$M1921)),IF($N1921&lt;&gt;"",IF(INDEX(LdCNote,$N1921)="","—",INDEX(LdCNote,$N1921)),""))))</f>
        <v/>
      </c>
      <c r="L1921">
        <f>IFERROR(MATCH($C$5&amp;"|"&amp;RIGHT("000000"&amp;1905,6),LdAKeyM,0),"")</f>
        <v/>
      </c>
      <c r="M1921">
        <f>IFERROR(MATCH($C$5&amp;"|"&amp;RIGHT("000000"&amp;1905,6),LdBKeyM,0),"")</f>
        <v/>
      </c>
      <c r="N1921">
        <f>IFERROR(MATCH($C$5&amp;"|"&amp;RIGHT("000000"&amp;1905,6),LdCKeyM,0),"")</f>
        <v/>
      </c>
    </row>
    <row r="1922">
      <c r="A1922" s="19" t="n">
        <v>1906</v>
      </c>
      <c r="B1922" s="20">
        <f>IF(AND($L1922="",$M1922="",$N1922=""),"",IF($L1922&lt;&gt;"",INDEX(LdADate,$L1922),IF($M1922&lt;&gt;"",INDEX(LdBDate,$M1922),INDEX(LdCDate,$N1922))))</f>
        <v/>
      </c>
      <c r="C1922" s="20">
        <f>IF($L1922&lt;&gt;"","دستمزد (فردی)",IF($M1922&lt;&gt;"","سهم از گروه "&amp;IFERROR(VLOOKUP(INDEX(LdBGroup,$M1922),WGTbl,2,0),INDEX(LdBGroup,$M1922)),IF($N1922&lt;&gt;"",IF(N(INDEX(LdCDep,$N1922))&gt;0,"بازگشت بانکی","پرداخت بانکی"),"")))</f>
        <v/>
      </c>
      <c r="D1922" s="20">
        <f>IF($L1922&lt;&gt;"",IF(INDEX(LdAId,$L1922)="","—",INDEX(LdAId,$L1922)),IF($M1922&lt;&gt;"",IF(INDEX(LdBId,$M1922)="","—",INDEX(LdBId,$M1922)),IF($N1922&lt;&gt;"",IF(INDEX(LdCBank,$N1922)="","—",INDEX(LdCBank,$N1922)),"")))</f>
        <v/>
      </c>
      <c r="E1922" s="21">
        <f>IF($L1922&lt;&gt;"",IF(INDEX(LdAAmt,$L1922)=0,"",INDEX(LdAAmt,$L1922)),IF($M1922&lt;&gt;"",IF(INDEX(LdBAmt,$M1922)=0,"",INDEX(LdBAmt,$M1922)),IF($N1922&lt;&gt;"",IF(INDEX(LdCDep,$N1922)=0,"",INDEX(LdCDep,$N1922)),"")))</f>
        <v/>
      </c>
      <c r="F1922" s="21">
        <f>IF(AND($L1922="",$M1922="",$N1922=""),"",IF($N1922="","",IF(INDEX(LdCWit,$N1922)=0,"",INDEX(LdCWit,$N1922))))</f>
        <v/>
      </c>
      <c r="G1922" s="31">
        <f>IF($B1922="","",IF($G1921="",0,$G1921)+IF($E1922="",0,$E1922)-IF($F1922="",0,$F1922))</f>
        <v/>
      </c>
      <c r="H1922" s="32">
        <f>IF(AND($L1922="",$M1922="",$N1922=""),"",IF($L1922&lt;&gt;"",IF(INDEX(LdANote,$L1922)="","—",INDEX(LdANote,$L1922)),IF($M1922&lt;&gt;"",IF(INDEX(LdBNote,$M1922)="","—",INDEX(LdBNote,$M1922)),IF($N1922&lt;&gt;"",IF(INDEX(LdCNote,$N1922)="","—",INDEX(LdCNote,$N1922)),""))))</f>
        <v/>
      </c>
      <c r="L1922">
        <f>IFERROR(MATCH($C$5&amp;"|"&amp;RIGHT("000000"&amp;1906,6),LdAKeyM,0),"")</f>
        <v/>
      </c>
      <c r="M1922">
        <f>IFERROR(MATCH($C$5&amp;"|"&amp;RIGHT("000000"&amp;1906,6),LdBKeyM,0),"")</f>
        <v/>
      </c>
      <c r="N1922">
        <f>IFERROR(MATCH($C$5&amp;"|"&amp;RIGHT("000000"&amp;1906,6),LdCKeyM,0),"")</f>
        <v/>
      </c>
    </row>
    <row r="1923">
      <c r="A1923" s="10" t="n">
        <v>1907</v>
      </c>
      <c r="B1923" s="14">
        <f>IF(AND($L1923="",$M1923="",$N1923=""),"",IF($L1923&lt;&gt;"",INDEX(LdADate,$L1923),IF($M1923&lt;&gt;"",INDEX(LdBDate,$M1923),INDEX(LdCDate,$N1923))))</f>
        <v/>
      </c>
      <c r="C1923" s="14">
        <f>IF($L1923&lt;&gt;"","دستمزد (فردی)",IF($M1923&lt;&gt;"","سهم از گروه "&amp;IFERROR(VLOOKUP(INDEX(LdBGroup,$M1923),WGTbl,2,0),INDEX(LdBGroup,$M1923)),IF($N1923&lt;&gt;"",IF(N(INDEX(LdCDep,$N1923))&gt;0,"بازگشت بانکی","پرداخت بانکی"),"")))</f>
        <v/>
      </c>
      <c r="D1923" s="14">
        <f>IF($L1923&lt;&gt;"",IF(INDEX(LdAId,$L1923)="","—",INDEX(LdAId,$L1923)),IF($M1923&lt;&gt;"",IF(INDEX(LdBId,$M1923)="","—",INDEX(LdBId,$M1923)),IF($N1923&lt;&gt;"",IF(INDEX(LdCBank,$N1923)="","—",INDEX(LdCBank,$N1923)),"")))</f>
        <v/>
      </c>
      <c r="E1923" s="16">
        <f>IF($L1923&lt;&gt;"",IF(INDEX(LdAAmt,$L1923)=0,"",INDEX(LdAAmt,$L1923)),IF($M1923&lt;&gt;"",IF(INDEX(LdBAmt,$M1923)=0,"",INDEX(LdBAmt,$M1923)),IF($N1923&lt;&gt;"",IF(INDEX(LdCDep,$N1923)=0,"",INDEX(LdCDep,$N1923)),"")))</f>
        <v/>
      </c>
      <c r="F1923" s="16">
        <f>IF(AND($L1923="",$M1923="",$N1923=""),"",IF($N1923="","",IF(INDEX(LdCWit,$N1923)=0,"",INDEX(LdCWit,$N1923))))</f>
        <v/>
      </c>
      <c r="G1923" s="29">
        <f>IF($B1923="","",IF($G1922="",0,$G1922)+IF($E1923="",0,$E1923)-IF($F1923="",0,$F1923))</f>
        <v/>
      </c>
      <c r="H1923" s="30">
        <f>IF(AND($L1923="",$M1923="",$N1923=""),"",IF($L1923&lt;&gt;"",IF(INDEX(LdANote,$L1923)="","—",INDEX(LdANote,$L1923)),IF($M1923&lt;&gt;"",IF(INDEX(LdBNote,$M1923)="","—",INDEX(LdBNote,$M1923)),IF($N1923&lt;&gt;"",IF(INDEX(LdCNote,$N1923)="","—",INDEX(LdCNote,$N1923)),""))))</f>
        <v/>
      </c>
      <c r="L1923">
        <f>IFERROR(MATCH($C$5&amp;"|"&amp;RIGHT("000000"&amp;1907,6),LdAKeyM,0),"")</f>
        <v/>
      </c>
      <c r="M1923">
        <f>IFERROR(MATCH($C$5&amp;"|"&amp;RIGHT("000000"&amp;1907,6),LdBKeyM,0),"")</f>
        <v/>
      </c>
      <c r="N1923">
        <f>IFERROR(MATCH($C$5&amp;"|"&amp;RIGHT("000000"&amp;1907,6),LdCKeyM,0),"")</f>
        <v/>
      </c>
    </row>
    <row r="1924">
      <c r="A1924" s="19" t="n">
        <v>1908</v>
      </c>
      <c r="B1924" s="20">
        <f>IF(AND($L1924="",$M1924="",$N1924=""),"",IF($L1924&lt;&gt;"",INDEX(LdADate,$L1924),IF($M1924&lt;&gt;"",INDEX(LdBDate,$M1924),INDEX(LdCDate,$N1924))))</f>
        <v/>
      </c>
      <c r="C1924" s="20">
        <f>IF($L1924&lt;&gt;"","دستمزد (فردی)",IF($M1924&lt;&gt;"","سهم از گروه "&amp;IFERROR(VLOOKUP(INDEX(LdBGroup,$M1924),WGTbl,2,0),INDEX(LdBGroup,$M1924)),IF($N1924&lt;&gt;"",IF(N(INDEX(LdCDep,$N1924))&gt;0,"بازگشت بانکی","پرداخت بانکی"),"")))</f>
        <v/>
      </c>
      <c r="D1924" s="20">
        <f>IF($L1924&lt;&gt;"",IF(INDEX(LdAId,$L1924)="","—",INDEX(LdAId,$L1924)),IF($M1924&lt;&gt;"",IF(INDEX(LdBId,$M1924)="","—",INDEX(LdBId,$M1924)),IF($N1924&lt;&gt;"",IF(INDEX(LdCBank,$N1924)="","—",INDEX(LdCBank,$N1924)),"")))</f>
        <v/>
      </c>
      <c r="E1924" s="21">
        <f>IF($L1924&lt;&gt;"",IF(INDEX(LdAAmt,$L1924)=0,"",INDEX(LdAAmt,$L1924)),IF($M1924&lt;&gt;"",IF(INDEX(LdBAmt,$M1924)=0,"",INDEX(LdBAmt,$M1924)),IF($N1924&lt;&gt;"",IF(INDEX(LdCDep,$N1924)=0,"",INDEX(LdCDep,$N1924)),"")))</f>
        <v/>
      </c>
      <c r="F1924" s="21">
        <f>IF(AND($L1924="",$M1924="",$N1924=""),"",IF($N1924="","",IF(INDEX(LdCWit,$N1924)=0,"",INDEX(LdCWit,$N1924))))</f>
        <v/>
      </c>
      <c r="G1924" s="31">
        <f>IF($B1924="","",IF($G1923="",0,$G1923)+IF($E1924="",0,$E1924)-IF($F1924="",0,$F1924))</f>
        <v/>
      </c>
      <c r="H1924" s="32">
        <f>IF(AND($L1924="",$M1924="",$N1924=""),"",IF($L1924&lt;&gt;"",IF(INDEX(LdANote,$L1924)="","—",INDEX(LdANote,$L1924)),IF($M1924&lt;&gt;"",IF(INDEX(LdBNote,$M1924)="","—",INDEX(LdBNote,$M1924)),IF($N1924&lt;&gt;"",IF(INDEX(LdCNote,$N1924)="","—",INDEX(LdCNote,$N1924)),""))))</f>
        <v/>
      </c>
      <c r="L1924">
        <f>IFERROR(MATCH($C$5&amp;"|"&amp;RIGHT("000000"&amp;1908,6),LdAKeyM,0),"")</f>
        <v/>
      </c>
      <c r="M1924">
        <f>IFERROR(MATCH($C$5&amp;"|"&amp;RIGHT("000000"&amp;1908,6),LdBKeyM,0),"")</f>
        <v/>
      </c>
      <c r="N1924">
        <f>IFERROR(MATCH($C$5&amp;"|"&amp;RIGHT("000000"&amp;1908,6),LdCKeyM,0),"")</f>
        <v/>
      </c>
    </row>
    <row r="1925">
      <c r="A1925" s="10" t="n">
        <v>1909</v>
      </c>
      <c r="B1925" s="14">
        <f>IF(AND($L1925="",$M1925="",$N1925=""),"",IF($L1925&lt;&gt;"",INDEX(LdADate,$L1925),IF($M1925&lt;&gt;"",INDEX(LdBDate,$M1925),INDEX(LdCDate,$N1925))))</f>
        <v/>
      </c>
      <c r="C1925" s="14">
        <f>IF($L1925&lt;&gt;"","دستمزد (فردی)",IF($M1925&lt;&gt;"","سهم از گروه "&amp;IFERROR(VLOOKUP(INDEX(LdBGroup,$M1925),WGTbl,2,0),INDEX(LdBGroup,$M1925)),IF($N1925&lt;&gt;"",IF(N(INDEX(LdCDep,$N1925))&gt;0,"بازگشت بانکی","پرداخت بانکی"),"")))</f>
        <v/>
      </c>
      <c r="D1925" s="14">
        <f>IF($L1925&lt;&gt;"",IF(INDEX(LdAId,$L1925)="","—",INDEX(LdAId,$L1925)),IF($M1925&lt;&gt;"",IF(INDEX(LdBId,$M1925)="","—",INDEX(LdBId,$M1925)),IF($N1925&lt;&gt;"",IF(INDEX(LdCBank,$N1925)="","—",INDEX(LdCBank,$N1925)),"")))</f>
        <v/>
      </c>
      <c r="E1925" s="16">
        <f>IF($L1925&lt;&gt;"",IF(INDEX(LdAAmt,$L1925)=0,"",INDEX(LdAAmt,$L1925)),IF($M1925&lt;&gt;"",IF(INDEX(LdBAmt,$M1925)=0,"",INDEX(LdBAmt,$M1925)),IF($N1925&lt;&gt;"",IF(INDEX(LdCDep,$N1925)=0,"",INDEX(LdCDep,$N1925)),"")))</f>
        <v/>
      </c>
      <c r="F1925" s="16">
        <f>IF(AND($L1925="",$M1925="",$N1925=""),"",IF($N1925="","",IF(INDEX(LdCWit,$N1925)=0,"",INDEX(LdCWit,$N1925))))</f>
        <v/>
      </c>
      <c r="G1925" s="29">
        <f>IF($B1925="","",IF($G1924="",0,$G1924)+IF($E1925="",0,$E1925)-IF($F1925="",0,$F1925))</f>
        <v/>
      </c>
      <c r="H1925" s="30">
        <f>IF(AND($L1925="",$M1925="",$N1925=""),"",IF($L1925&lt;&gt;"",IF(INDEX(LdANote,$L1925)="","—",INDEX(LdANote,$L1925)),IF($M1925&lt;&gt;"",IF(INDEX(LdBNote,$M1925)="","—",INDEX(LdBNote,$M1925)),IF($N1925&lt;&gt;"",IF(INDEX(LdCNote,$N1925)="","—",INDEX(LdCNote,$N1925)),""))))</f>
        <v/>
      </c>
      <c r="L1925">
        <f>IFERROR(MATCH($C$5&amp;"|"&amp;RIGHT("000000"&amp;1909,6),LdAKeyM,0),"")</f>
        <v/>
      </c>
      <c r="M1925">
        <f>IFERROR(MATCH($C$5&amp;"|"&amp;RIGHT("000000"&amp;1909,6),LdBKeyM,0),"")</f>
        <v/>
      </c>
      <c r="N1925">
        <f>IFERROR(MATCH($C$5&amp;"|"&amp;RIGHT("000000"&amp;1909,6),LdCKeyM,0),"")</f>
        <v/>
      </c>
    </row>
    <row r="1926">
      <c r="A1926" s="19" t="n">
        <v>1910</v>
      </c>
      <c r="B1926" s="20">
        <f>IF(AND($L1926="",$M1926="",$N1926=""),"",IF($L1926&lt;&gt;"",INDEX(LdADate,$L1926),IF($M1926&lt;&gt;"",INDEX(LdBDate,$M1926),INDEX(LdCDate,$N1926))))</f>
        <v/>
      </c>
      <c r="C1926" s="20">
        <f>IF($L1926&lt;&gt;"","دستمزد (فردی)",IF($M1926&lt;&gt;"","سهم از گروه "&amp;IFERROR(VLOOKUP(INDEX(LdBGroup,$M1926),WGTbl,2,0),INDEX(LdBGroup,$M1926)),IF($N1926&lt;&gt;"",IF(N(INDEX(LdCDep,$N1926))&gt;0,"بازگشت بانکی","پرداخت بانکی"),"")))</f>
        <v/>
      </c>
      <c r="D1926" s="20">
        <f>IF($L1926&lt;&gt;"",IF(INDEX(LdAId,$L1926)="","—",INDEX(LdAId,$L1926)),IF($M1926&lt;&gt;"",IF(INDEX(LdBId,$M1926)="","—",INDEX(LdBId,$M1926)),IF($N1926&lt;&gt;"",IF(INDEX(LdCBank,$N1926)="","—",INDEX(LdCBank,$N1926)),"")))</f>
        <v/>
      </c>
      <c r="E1926" s="21">
        <f>IF($L1926&lt;&gt;"",IF(INDEX(LdAAmt,$L1926)=0,"",INDEX(LdAAmt,$L1926)),IF($M1926&lt;&gt;"",IF(INDEX(LdBAmt,$M1926)=0,"",INDEX(LdBAmt,$M1926)),IF($N1926&lt;&gt;"",IF(INDEX(LdCDep,$N1926)=0,"",INDEX(LdCDep,$N1926)),"")))</f>
        <v/>
      </c>
      <c r="F1926" s="21">
        <f>IF(AND($L1926="",$M1926="",$N1926=""),"",IF($N1926="","",IF(INDEX(LdCWit,$N1926)=0,"",INDEX(LdCWit,$N1926))))</f>
        <v/>
      </c>
      <c r="G1926" s="31">
        <f>IF($B1926="","",IF($G1925="",0,$G1925)+IF($E1926="",0,$E1926)-IF($F1926="",0,$F1926))</f>
        <v/>
      </c>
      <c r="H1926" s="32">
        <f>IF(AND($L1926="",$M1926="",$N1926=""),"",IF($L1926&lt;&gt;"",IF(INDEX(LdANote,$L1926)="","—",INDEX(LdANote,$L1926)),IF($M1926&lt;&gt;"",IF(INDEX(LdBNote,$M1926)="","—",INDEX(LdBNote,$M1926)),IF($N1926&lt;&gt;"",IF(INDEX(LdCNote,$N1926)="","—",INDEX(LdCNote,$N1926)),""))))</f>
        <v/>
      </c>
      <c r="L1926">
        <f>IFERROR(MATCH($C$5&amp;"|"&amp;RIGHT("000000"&amp;1910,6),LdAKeyM,0),"")</f>
        <v/>
      </c>
      <c r="M1926">
        <f>IFERROR(MATCH($C$5&amp;"|"&amp;RIGHT("000000"&amp;1910,6),LdBKeyM,0),"")</f>
        <v/>
      </c>
      <c r="N1926">
        <f>IFERROR(MATCH($C$5&amp;"|"&amp;RIGHT("000000"&amp;1910,6),LdCKeyM,0),"")</f>
        <v/>
      </c>
    </row>
    <row r="1927">
      <c r="A1927" s="10" t="n">
        <v>1911</v>
      </c>
      <c r="B1927" s="14">
        <f>IF(AND($L1927="",$M1927="",$N1927=""),"",IF($L1927&lt;&gt;"",INDEX(LdADate,$L1927),IF($M1927&lt;&gt;"",INDEX(LdBDate,$M1927),INDEX(LdCDate,$N1927))))</f>
        <v/>
      </c>
      <c r="C1927" s="14">
        <f>IF($L1927&lt;&gt;"","دستمزد (فردی)",IF($M1927&lt;&gt;"","سهم از گروه "&amp;IFERROR(VLOOKUP(INDEX(LdBGroup,$M1927),WGTbl,2,0),INDEX(LdBGroup,$M1927)),IF($N1927&lt;&gt;"",IF(N(INDEX(LdCDep,$N1927))&gt;0,"بازگشت بانکی","پرداخت بانکی"),"")))</f>
        <v/>
      </c>
      <c r="D1927" s="14">
        <f>IF($L1927&lt;&gt;"",IF(INDEX(LdAId,$L1927)="","—",INDEX(LdAId,$L1927)),IF($M1927&lt;&gt;"",IF(INDEX(LdBId,$M1927)="","—",INDEX(LdBId,$M1927)),IF($N1927&lt;&gt;"",IF(INDEX(LdCBank,$N1927)="","—",INDEX(LdCBank,$N1927)),"")))</f>
        <v/>
      </c>
      <c r="E1927" s="16">
        <f>IF($L1927&lt;&gt;"",IF(INDEX(LdAAmt,$L1927)=0,"",INDEX(LdAAmt,$L1927)),IF($M1927&lt;&gt;"",IF(INDEX(LdBAmt,$M1927)=0,"",INDEX(LdBAmt,$M1927)),IF($N1927&lt;&gt;"",IF(INDEX(LdCDep,$N1927)=0,"",INDEX(LdCDep,$N1927)),"")))</f>
        <v/>
      </c>
      <c r="F1927" s="16">
        <f>IF(AND($L1927="",$M1927="",$N1927=""),"",IF($N1927="","",IF(INDEX(LdCWit,$N1927)=0,"",INDEX(LdCWit,$N1927))))</f>
        <v/>
      </c>
      <c r="G1927" s="29">
        <f>IF($B1927="","",IF($G1926="",0,$G1926)+IF($E1927="",0,$E1927)-IF($F1927="",0,$F1927))</f>
        <v/>
      </c>
      <c r="H1927" s="30">
        <f>IF(AND($L1927="",$M1927="",$N1927=""),"",IF($L1927&lt;&gt;"",IF(INDEX(LdANote,$L1927)="","—",INDEX(LdANote,$L1927)),IF($M1927&lt;&gt;"",IF(INDEX(LdBNote,$M1927)="","—",INDEX(LdBNote,$M1927)),IF($N1927&lt;&gt;"",IF(INDEX(LdCNote,$N1927)="","—",INDEX(LdCNote,$N1927)),""))))</f>
        <v/>
      </c>
      <c r="L1927">
        <f>IFERROR(MATCH($C$5&amp;"|"&amp;RIGHT("000000"&amp;1911,6),LdAKeyM,0),"")</f>
        <v/>
      </c>
      <c r="M1927">
        <f>IFERROR(MATCH($C$5&amp;"|"&amp;RIGHT("000000"&amp;1911,6),LdBKeyM,0),"")</f>
        <v/>
      </c>
      <c r="N1927">
        <f>IFERROR(MATCH($C$5&amp;"|"&amp;RIGHT("000000"&amp;1911,6),LdCKeyM,0),"")</f>
        <v/>
      </c>
    </row>
    <row r="1928">
      <c r="A1928" s="19" t="n">
        <v>1912</v>
      </c>
      <c r="B1928" s="20">
        <f>IF(AND($L1928="",$M1928="",$N1928=""),"",IF($L1928&lt;&gt;"",INDEX(LdADate,$L1928),IF($M1928&lt;&gt;"",INDEX(LdBDate,$M1928),INDEX(LdCDate,$N1928))))</f>
        <v/>
      </c>
      <c r="C1928" s="20">
        <f>IF($L1928&lt;&gt;"","دستمزد (فردی)",IF($M1928&lt;&gt;"","سهم از گروه "&amp;IFERROR(VLOOKUP(INDEX(LdBGroup,$M1928),WGTbl,2,0),INDEX(LdBGroup,$M1928)),IF($N1928&lt;&gt;"",IF(N(INDEX(LdCDep,$N1928))&gt;0,"بازگشت بانکی","پرداخت بانکی"),"")))</f>
        <v/>
      </c>
      <c r="D1928" s="20">
        <f>IF($L1928&lt;&gt;"",IF(INDEX(LdAId,$L1928)="","—",INDEX(LdAId,$L1928)),IF($M1928&lt;&gt;"",IF(INDEX(LdBId,$M1928)="","—",INDEX(LdBId,$M1928)),IF($N1928&lt;&gt;"",IF(INDEX(LdCBank,$N1928)="","—",INDEX(LdCBank,$N1928)),"")))</f>
        <v/>
      </c>
      <c r="E1928" s="21">
        <f>IF($L1928&lt;&gt;"",IF(INDEX(LdAAmt,$L1928)=0,"",INDEX(LdAAmt,$L1928)),IF($M1928&lt;&gt;"",IF(INDEX(LdBAmt,$M1928)=0,"",INDEX(LdBAmt,$M1928)),IF($N1928&lt;&gt;"",IF(INDEX(LdCDep,$N1928)=0,"",INDEX(LdCDep,$N1928)),"")))</f>
        <v/>
      </c>
      <c r="F1928" s="21">
        <f>IF(AND($L1928="",$M1928="",$N1928=""),"",IF($N1928="","",IF(INDEX(LdCWit,$N1928)=0,"",INDEX(LdCWit,$N1928))))</f>
        <v/>
      </c>
      <c r="G1928" s="31">
        <f>IF($B1928="","",IF($G1927="",0,$G1927)+IF($E1928="",0,$E1928)-IF($F1928="",0,$F1928))</f>
        <v/>
      </c>
      <c r="H1928" s="32">
        <f>IF(AND($L1928="",$M1928="",$N1928=""),"",IF($L1928&lt;&gt;"",IF(INDEX(LdANote,$L1928)="","—",INDEX(LdANote,$L1928)),IF($M1928&lt;&gt;"",IF(INDEX(LdBNote,$M1928)="","—",INDEX(LdBNote,$M1928)),IF($N1928&lt;&gt;"",IF(INDEX(LdCNote,$N1928)="","—",INDEX(LdCNote,$N1928)),""))))</f>
        <v/>
      </c>
      <c r="L1928">
        <f>IFERROR(MATCH($C$5&amp;"|"&amp;RIGHT("000000"&amp;1912,6),LdAKeyM,0),"")</f>
        <v/>
      </c>
      <c r="M1928">
        <f>IFERROR(MATCH($C$5&amp;"|"&amp;RIGHT("000000"&amp;1912,6),LdBKeyM,0),"")</f>
        <v/>
      </c>
      <c r="N1928">
        <f>IFERROR(MATCH($C$5&amp;"|"&amp;RIGHT("000000"&amp;1912,6),LdCKeyM,0),"")</f>
        <v/>
      </c>
    </row>
    <row r="1929">
      <c r="A1929" s="10" t="n">
        <v>1913</v>
      </c>
      <c r="B1929" s="14">
        <f>IF(AND($L1929="",$M1929="",$N1929=""),"",IF($L1929&lt;&gt;"",INDEX(LdADate,$L1929),IF($M1929&lt;&gt;"",INDEX(LdBDate,$M1929),INDEX(LdCDate,$N1929))))</f>
        <v/>
      </c>
      <c r="C1929" s="14">
        <f>IF($L1929&lt;&gt;"","دستمزد (فردی)",IF($M1929&lt;&gt;"","سهم از گروه "&amp;IFERROR(VLOOKUP(INDEX(LdBGroup,$M1929),WGTbl,2,0),INDEX(LdBGroup,$M1929)),IF($N1929&lt;&gt;"",IF(N(INDEX(LdCDep,$N1929))&gt;0,"بازگشت بانکی","پرداخت بانکی"),"")))</f>
        <v/>
      </c>
      <c r="D1929" s="14">
        <f>IF($L1929&lt;&gt;"",IF(INDEX(LdAId,$L1929)="","—",INDEX(LdAId,$L1929)),IF($M1929&lt;&gt;"",IF(INDEX(LdBId,$M1929)="","—",INDEX(LdBId,$M1929)),IF($N1929&lt;&gt;"",IF(INDEX(LdCBank,$N1929)="","—",INDEX(LdCBank,$N1929)),"")))</f>
        <v/>
      </c>
      <c r="E1929" s="16">
        <f>IF($L1929&lt;&gt;"",IF(INDEX(LdAAmt,$L1929)=0,"",INDEX(LdAAmt,$L1929)),IF($M1929&lt;&gt;"",IF(INDEX(LdBAmt,$M1929)=0,"",INDEX(LdBAmt,$M1929)),IF($N1929&lt;&gt;"",IF(INDEX(LdCDep,$N1929)=0,"",INDEX(LdCDep,$N1929)),"")))</f>
        <v/>
      </c>
      <c r="F1929" s="16">
        <f>IF(AND($L1929="",$M1929="",$N1929=""),"",IF($N1929="","",IF(INDEX(LdCWit,$N1929)=0,"",INDEX(LdCWit,$N1929))))</f>
        <v/>
      </c>
      <c r="G1929" s="29">
        <f>IF($B1929="","",IF($G1928="",0,$G1928)+IF($E1929="",0,$E1929)-IF($F1929="",0,$F1929))</f>
        <v/>
      </c>
      <c r="H1929" s="30">
        <f>IF(AND($L1929="",$M1929="",$N1929=""),"",IF($L1929&lt;&gt;"",IF(INDEX(LdANote,$L1929)="","—",INDEX(LdANote,$L1929)),IF($M1929&lt;&gt;"",IF(INDEX(LdBNote,$M1929)="","—",INDEX(LdBNote,$M1929)),IF($N1929&lt;&gt;"",IF(INDEX(LdCNote,$N1929)="","—",INDEX(LdCNote,$N1929)),""))))</f>
        <v/>
      </c>
      <c r="L1929">
        <f>IFERROR(MATCH($C$5&amp;"|"&amp;RIGHT("000000"&amp;1913,6),LdAKeyM,0),"")</f>
        <v/>
      </c>
      <c r="M1929">
        <f>IFERROR(MATCH($C$5&amp;"|"&amp;RIGHT("000000"&amp;1913,6),LdBKeyM,0),"")</f>
        <v/>
      </c>
      <c r="N1929">
        <f>IFERROR(MATCH($C$5&amp;"|"&amp;RIGHT("000000"&amp;1913,6),LdCKeyM,0),"")</f>
        <v/>
      </c>
    </row>
    <row r="1930">
      <c r="A1930" s="19" t="n">
        <v>1914</v>
      </c>
      <c r="B1930" s="20">
        <f>IF(AND($L1930="",$M1930="",$N1930=""),"",IF($L1930&lt;&gt;"",INDEX(LdADate,$L1930),IF($M1930&lt;&gt;"",INDEX(LdBDate,$M1930),INDEX(LdCDate,$N1930))))</f>
        <v/>
      </c>
      <c r="C1930" s="20">
        <f>IF($L1930&lt;&gt;"","دستمزد (فردی)",IF($M1930&lt;&gt;"","سهم از گروه "&amp;IFERROR(VLOOKUP(INDEX(LdBGroup,$M1930),WGTbl,2,0),INDEX(LdBGroup,$M1930)),IF($N1930&lt;&gt;"",IF(N(INDEX(LdCDep,$N1930))&gt;0,"بازگشت بانکی","پرداخت بانکی"),"")))</f>
        <v/>
      </c>
      <c r="D1930" s="20">
        <f>IF($L1930&lt;&gt;"",IF(INDEX(LdAId,$L1930)="","—",INDEX(LdAId,$L1930)),IF($M1930&lt;&gt;"",IF(INDEX(LdBId,$M1930)="","—",INDEX(LdBId,$M1930)),IF($N1930&lt;&gt;"",IF(INDEX(LdCBank,$N1930)="","—",INDEX(LdCBank,$N1930)),"")))</f>
        <v/>
      </c>
      <c r="E1930" s="21">
        <f>IF($L1930&lt;&gt;"",IF(INDEX(LdAAmt,$L1930)=0,"",INDEX(LdAAmt,$L1930)),IF($M1930&lt;&gt;"",IF(INDEX(LdBAmt,$M1930)=0,"",INDEX(LdBAmt,$M1930)),IF($N1930&lt;&gt;"",IF(INDEX(LdCDep,$N1930)=0,"",INDEX(LdCDep,$N1930)),"")))</f>
        <v/>
      </c>
      <c r="F1930" s="21">
        <f>IF(AND($L1930="",$M1930="",$N1930=""),"",IF($N1930="","",IF(INDEX(LdCWit,$N1930)=0,"",INDEX(LdCWit,$N1930))))</f>
        <v/>
      </c>
      <c r="G1930" s="31">
        <f>IF($B1930="","",IF($G1929="",0,$G1929)+IF($E1930="",0,$E1930)-IF($F1930="",0,$F1930))</f>
        <v/>
      </c>
      <c r="H1930" s="32">
        <f>IF(AND($L1930="",$M1930="",$N1930=""),"",IF($L1930&lt;&gt;"",IF(INDEX(LdANote,$L1930)="","—",INDEX(LdANote,$L1930)),IF($M1930&lt;&gt;"",IF(INDEX(LdBNote,$M1930)="","—",INDEX(LdBNote,$M1930)),IF($N1930&lt;&gt;"",IF(INDEX(LdCNote,$N1930)="","—",INDEX(LdCNote,$N1930)),""))))</f>
        <v/>
      </c>
      <c r="L1930">
        <f>IFERROR(MATCH($C$5&amp;"|"&amp;RIGHT("000000"&amp;1914,6),LdAKeyM,0),"")</f>
        <v/>
      </c>
      <c r="M1930">
        <f>IFERROR(MATCH($C$5&amp;"|"&amp;RIGHT("000000"&amp;1914,6),LdBKeyM,0),"")</f>
        <v/>
      </c>
      <c r="N1930">
        <f>IFERROR(MATCH($C$5&amp;"|"&amp;RIGHT("000000"&amp;1914,6),LdCKeyM,0),"")</f>
        <v/>
      </c>
    </row>
    <row r="1931">
      <c r="A1931" s="10" t="n">
        <v>1915</v>
      </c>
      <c r="B1931" s="14">
        <f>IF(AND($L1931="",$M1931="",$N1931=""),"",IF($L1931&lt;&gt;"",INDEX(LdADate,$L1931),IF($M1931&lt;&gt;"",INDEX(LdBDate,$M1931),INDEX(LdCDate,$N1931))))</f>
        <v/>
      </c>
      <c r="C1931" s="14">
        <f>IF($L1931&lt;&gt;"","دستمزد (فردی)",IF($M1931&lt;&gt;"","سهم از گروه "&amp;IFERROR(VLOOKUP(INDEX(LdBGroup,$M1931),WGTbl,2,0),INDEX(LdBGroup,$M1931)),IF($N1931&lt;&gt;"",IF(N(INDEX(LdCDep,$N1931))&gt;0,"بازگشت بانکی","پرداخت بانکی"),"")))</f>
        <v/>
      </c>
      <c r="D1931" s="14">
        <f>IF($L1931&lt;&gt;"",IF(INDEX(LdAId,$L1931)="","—",INDEX(LdAId,$L1931)),IF($M1931&lt;&gt;"",IF(INDEX(LdBId,$M1931)="","—",INDEX(LdBId,$M1931)),IF($N1931&lt;&gt;"",IF(INDEX(LdCBank,$N1931)="","—",INDEX(LdCBank,$N1931)),"")))</f>
        <v/>
      </c>
      <c r="E1931" s="16">
        <f>IF($L1931&lt;&gt;"",IF(INDEX(LdAAmt,$L1931)=0,"",INDEX(LdAAmt,$L1931)),IF($M1931&lt;&gt;"",IF(INDEX(LdBAmt,$M1931)=0,"",INDEX(LdBAmt,$M1931)),IF($N1931&lt;&gt;"",IF(INDEX(LdCDep,$N1931)=0,"",INDEX(LdCDep,$N1931)),"")))</f>
        <v/>
      </c>
      <c r="F1931" s="16">
        <f>IF(AND($L1931="",$M1931="",$N1931=""),"",IF($N1931="","",IF(INDEX(LdCWit,$N1931)=0,"",INDEX(LdCWit,$N1931))))</f>
        <v/>
      </c>
      <c r="G1931" s="29">
        <f>IF($B1931="","",IF($G1930="",0,$G1930)+IF($E1931="",0,$E1931)-IF($F1931="",0,$F1931))</f>
        <v/>
      </c>
      <c r="H1931" s="30">
        <f>IF(AND($L1931="",$M1931="",$N1931=""),"",IF($L1931&lt;&gt;"",IF(INDEX(LdANote,$L1931)="","—",INDEX(LdANote,$L1931)),IF($M1931&lt;&gt;"",IF(INDEX(LdBNote,$M1931)="","—",INDEX(LdBNote,$M1931)),IF($N1931&lt;&gt;"",IF(INDEX(LdCNote,$N1931)="","—",INDEX(LdCNote,$N1931)),""))))</f>
        <v/>
      </c>
      <c r="L1931">
        <f>IFERROR(MATCH($C$5&amp;"|"&amp;RIGHT("000000"&amp;1915,6),LdAKeyM,0),"")</f>
        <v/>
      </c>
      <c r="M1931">
        <f>IFERROR(MATCH($C$5&amp;"|"&amp;RIGHT("000000"&amp;1915,6),LdBKeyM,0),"")</f>
        <v/>
      </c>
      <c r="N1931">
        <f>IFERROR(MATCH($C$5&amp;"|"&amp;RIGHT("000000"&amp;1915,6),LdCKeyM,0),"")</f>
        <v/>
      </c>
    </row>
    <row r="1932">
      <c r="A1932" s="19" t="n">
        <v>1916</v>
      </c>
      <c r="B1932" s="20">
        <f>IF(AND($L1932="",$M1932="",$N1932=""),"",IF($L1932&lt;&gt;"",INDEX(LdADate,$L1932),IF($M1932&lt;&gt;"",INDEX(LdBDate,$M1932),INDEX(LdCDate,$N1932))))</f>
        <v/>
      </c>
      <c r="C1932" s="20">
        <f>IF($L1932&lt;&gt;"","دستمزد (فردی)",IF($M1932&lt;&gt;"","سهم از گروه "&amp;IFERROR(VLOOKUP(INDEX(LdBGroup,$M1932),WGTbl,2,0),INDEX(LdBGroup,$M1932)),IF($N1932&lt;&gt;"",IF(N(INDEX(LdCDep,$N1932))&gt;0,"بازگشت بانکی","پرداخت بانکی"),"")))</f>
        <v/>
      </c>
      <c r="D1932" s="20">
        <f>IF($L1932&lt;&gt;"",IF(INDEX(LdAId,$L1932)="","—",INDEX(LdAId,$L1932)),IF($M1932&lt;&gt;"",IF(INDEX(LdBId,$M1932)="","—",INDEX(LdBId,$M1932)),IF($N1932&lt;&gt;"",IF(INDEX(LdCBank,$N1932)="","—",INDEX(LdCBank,$N1932)),"")))</f>
        <v/>
      </c>
      <c r="E1932" s="21">
        <f>IF($L1932&lt;&gt;"",IF(INDEX(LdAAmt,$L1932)=0,"",INDEX(LdAAmt,$L1932)),IF($M1932&lt;&gt;"",IF(INDEX(LdBAmt,$M1932)=0,"",INDEX(LdBAmt,$M1932)),IF($N1932&lt;&gt;"",IF(INDEX(LdCDep,$N1932)=0,"",INDEX(LdCDep,$N1932)),"")))</f>
        <v/>
      </c>
      <c r="F1932" s="21">
        <f>IF(AND($L1932="",$M1932="",$N1932=""),"",IF($N1932="","",IF(INDEX(LdCWit,$N1932)=0,"",INDEX(LdCWit,$N1932))))</f>
        <v/>
      </c>
      <c r="G1932" s="31">
        <f>IF($B1932="","",IF($G1931="",0,$G1931)+IF($E1932="",0,$E1932)-IF($F1932="",0,$F1932))</f>
        <v/>
      </c>
      <c r="H1932" s="32">
        <f>IF(AND($L1932="",$M1932="",$N1932=""),"",IF($L1932&lt;&gt;"",IF(INDEX(LdANote,$L1932)="","—",INDEX(LdANote,$L1932)),IF($M1932&lt;&gt;"",IF(INDEX(LdBNote,$M1932)="","—",INDEX(LdBNote,$M1932)),IF($N1932&lt;&gt;"",IF(INDEX(LdCNote,$N1932)="","—",INDEX(LdCNote,$N1932)),""))))</f>
        <v/>
      </c>
      <c r="L1932">
        <f>IFERROR(MATCH($C$5&amp;"|"&amp;RIGHT("000000"&amp;1916,6),LdAKeyM,0),"")</f>
        <v/>
      </c>
      <c r="M1932">
        <f>IFERROR(MATCH($C$5&amp;"|"&amp;RIGHT("000000"&amp;1916,6),LdBKeyM,0),"")</f>
        <v/>
      </c>
      <c r="N1932">
        <f>IFERROR(MATCH($C$5&amp;"|"&amp;RIGHT("000000"&amp;1916,6),LdCKeyM,0),"")</f>
        <v/>
      </c>
    </row>
    <row r="1933">
      <c r="A1933" s="10" t="n">
        <v>1917</v>
      </c>
      <c r="B1933" s="14">
        <f>IF(AND($L1933="",$M1933="",$N1933=""),"",IF($L1933&lt;&gt;"",INDEX(LdADate,$L1933),IF($M1933&lt;&gt;"",INDEX(LdBDate,$M1933),INDEX(LdCDate,$N1933))))</f>
        <v/>
      </c>
      <c r="C1933" s="14">
        <f>IF($L1933&lt;&gt;"","دستمزد (فردی)",IF($M1933&lt;&gt;"","سهم از گروه "&amp;IFERROR(VLOOKUP(INDEX(LdBGroup,$M1933),WGTbl,2,0),INDEX(LdBGroup,$M1933)),IF($N1933&lt;&gt;"",IF(N(INDEX(LdCDep,$N1933))&gt;0,"بازگشت بانکی","پرداخت بانکی"),"")))</f>
        <v/>
      </c>
      <c r="D1933" s="14">
        <f>IF($L1933&lt;&gt;"",IF(INDEX(LdAId,$L1933)="","—",INDEX(LdAId,$L1933)),IF($M1933&lt;&gt;"",IF(INDEX(LdBId,$M1933)="","—",INDEX(LdBId,$M1933)),IF($N1933&lt;&gt;"",IF(INDEX(LdCBank,$N1933)="","—",INDEX(LdCBank,$N1933)),"")))</f>
        <v/>
      </c>
      <c r="E1933" s="16">
        <f>IF($L1933&lt;&gt;"",IF(INDEX(LdAAmt,$L1933)=0,"",INDEX(LdAAmt,$L1933)),IF($M1933&lt;&gt;"",IF(INDEX(LdBAmt,$M1933)=0,"",INDEX(LdBAmt,$M1933)),IF($N1933&lt;&gt;"",IF(INDEX(LdCDep,$N1933)=0,"",INDEX(LdCDep,$N1933)),"")))</f>
        <v/>
      </c>
      <c r="F1933" s="16">
        <f>IF(AND($L1933="",$M1933="",$N1933=""),"",IF($N1933="","",IF(INDEX(LdCWit,$N1933)=0,"",INDEX(LdCWit,$N1933))))</f>
        <v/>
      </c>
      <c r="G1933" s="29">
        <f>IF($B1933="","",IF($G1932="",0,$G1932)+IF($E1933="",0,$E1933)-IF($F1933="",0,$F1933))</f>
        <v/>
      </c>
      <c r="H1933" s="30">
        <f>IF(AND($L1933="",$M1933="",$N1933=""),"",IF($L1933&lt;&gt;"",IF(INDEX(LdANote,$L1933)="","—",INDEX(LdANote,$L1933)),IF($M1933&lt;&gt;"",IF(INDEX(LdBNote,$M1933)="","—",INDEX(LdBNote,$M1933)),IF($N1933&lt;&gt;"",IF(INDEX(LdCNote,$N1933)="","—",INDEX(LdCNote,$N1933)),""))))</f>
        <v/>
      </c>
      <c r="L1933">
        <f>IFERROR(MATCH($C$5&amp;"|"&amp;RIGHT("000000"&amp;1917,6),LdAKeyM,0),"")</f>
        <v/>
      </c>
      <c r="M1933">
        <f>IFERROR(MATCH($C$5&amp;"|"&amp;RIGHT("000000"&amp;1917,6),LdBKeyM,0),"")</f>
        <v/>
      </c>
      <c r="N1933">
        <f>IFERROR(MATCH($C$5&amp;"|"&amp;RIGHT("000000"&amp;1917,6),LdCKeyM,0),"")</f>
        <v/>
      </c>
    </row>
    <row r="1934">
      <c r="A1934" s="19" t="n">
        <v>1918</v>
      </c>
      <c r="B1934" s="20">
        <f>IF(AND($L1934="",$M1934="",$N1934=""),"",IF($L1934&lt;&gt;"",INDEX(LdADate,$L1934),IF($M1934&lt;&gt;"",INDEX(LdBDate,$M1934),INDEX(LdCDate,$N1934))))</f>
        <v/>
      </c>
      <c r="C1934" s="20">
        <f>IF($L1934&lt;&gt;"","دستمزد (فردی)",IF($M1934&lt;&gt;"","سهم از گروه "&amp;IFERROR(VLOOKUP(INDEX(LdBGroup,$M1934),WGTbl,2,0),INDEX(LdBGroup,$M1934)),IF($N1934&lt;&gt;"",IF(N(INDEX(LdCDep,$N1934))&gt;0,"بازگشت بانکی","پرداخت بانکی"),"")))</f>
        <v/>
      </c>
      <c r="D1934" s="20">
        <f>IF($L1934&lt;&gt;"",IF(INDEX(LdAId,$L1934)="","—",INDEX(LdAId,$L1934)),IF($M1934&lt;&gt;"",IF(INDEX(LdBId,$M1934)="","—",INDEX(LdBId,$M1934)),IF($N1934&lt;&gt;"",IF(INDEX(LdCBank,$N1934)="","—",INDEX(LdCBank,$N1934)),"")))</f>
        <v/>
      </c>
      <c r="E1934" s="21">
        <f>IF($L1934&lt;&gt;"",IF(INDEX(LdAAmt,$L1934)=0,"",INDEX(LdAAmt,$L1934)),IF($M1934&lt;&gt;"",IF(INDEX(LdBAmt,$M1934)=0,"",INDEX(LdBAmt,$M1934)),IF($N1934&lt;&gt;"",IF(INDEX(LdCDep,$N1934)=0,"",INDEX(LdCDep,$N1934)),"")))</f>
        <v/>
      </c>
      <c r="F1934" s="21">
        <f>IF(AND($L1934="",$M1934="",$N1934=""),"",IF($N1934="","",IF(INDEX(LdCWit,$N1934)=0,"",INDEX(LdCWit,$N1934))))</f>
        <v/>
      </c>
      <c r="G1934" s="31">
        <f>IF($B1934="","",IF($G1933="",0,$G1933)+IF($E1934="",0,$E1934)-IF($F1934="",0,$F1934))</f>
        <v/>
      </c>
      <c r="H1934" s="32">
        <f>IF(AND($L1934="",$M1934="",$N1934=""),"",IF($L1934&lt;&gt;"",IF(INDEX(LdANote,$L1934)="","—",INDEX(LdANote,$L1934)),IF($M1934&lt;&gt;"",IF(INDEX(LdBNote,$M1934)="","—",INDEX(LdBNote,$M1934)),IF($N1934&lt;&gt;"",IF(INDEX(LdCNote,$N1934)="","—",INDEX(LdCNote,$N1934)),""))))</f>
        <v/>
      </c>
      <c r="L1934">
        <f>IFERROR(MATCH($C$5&amp;"|"&amp;RIGHT("000000"&amp;1918,6),LdAKeyM,0),"")</f>
        <v/>
      </c>
      <c r="M1934">
        <f>IFERROR(MATCH($C$5&amp;"|"&amp;RIGHT("000000"&amp;1918,6),LdBKeyM,0),"")</f>
        <v/>
      </c>
      <c r="N1934">
        <f>IFERROR(MATCH($C$5&amp;"|"&amp;RIGHT("000000"&amp;1918,6),LdCKeyM,0),"")</f>
        <v/>
      </c>
    </row>
    <row r="1935">
      <c r="A1935" s="10" t="n">
        <v>1919</v>
      </c>
      <c r="B1935" s="14">
        <f>IF(AND($L1935="",$M1935="",$N1935=""),"",IF($L1935&lt;&gt;"",INDEX(LdADate,$L1935),IF($M1935&lt;&gt;"",INDEX(LdBDate,$M1935),INDEX(LdCDate,$N1935))))</f>
        <v/>
      </c>
      <c r="C1935" s="14">
        <f>IF($L1935&lt;&gt;"","دستمزد (فردی)",IF($M1935&lt;&gt;"","سهم از گروه "&amp;IFERROR(VLOOKUP(INDEX(LdBGroup,$M1935),WGTbl,2,0),INDEX(LdBGroup,$M1935)),IF($N1935&lt;&gt;"",IF(N(INDEX(LdCDep,$N1935))&gt;0,"بازگشت بانکی","پرداخت بانکی"),"")))</f>
        <v/>
      </c>
      <c r="D1935" s="14">
        <f>IF($L1935&lt;&gt;"",IF(INDEX(LdAId,$L1935)="","—",INDEX(LdAId,$L1935)),IF($M1935&lt;&gt;"",IF(INDEX(LdBId,$M1935)="","—",INDEX(LdBId,$M1935)),IF($N1935&lt;&gt;"",IF(INDEX(LdCBank,$N1935)="","—",INDEX(LdCBank,$N1935)),"")))</f>
        <v/>
      </c>
      <c r="E1935" s="16">
        <f>IF($L1935&lt;&gt;"",IF(INDEX(LdAAmt,$L1935)=0,"",INDEX(LdAAmt,$L1935)),IF($M1935&lt;&gt;"",IF(INDEX(LdBAmt,$M1935)=0,"",INDEX(LdBAmt,$M1935)),IF($N1935&lt;&gt;"",IF(INDEX(LdCDep,$N1935)=0,"",INDEX(LdCDep,$N1935)),"")))</f>
        <v/>
      </c>
      <c r="F1935" s="16">
        <f>IF(AND($L1935="",$M1935="",$N1935=""),"",IF($N1935="","",IF(INDEX(LdCWit,$N1935)=0,"",INDEX(LdCWit,$N1935))))</f>
        <v/>
      </c>
      <c r="G1935" s="29">
        <f>IF($B1935="","",IF($G1934="",0,$G1934)+IF($E1935="",0,$E1935)-IF($F1935="",0,$F1935))</f>
        <v/>
      </c>
      <c r="H1935" s="30">
        <f>IF(AND($L1935="",$M1935="",$N1935=""),"",IF($L1935&lt;&gt;"",IF(INDEX(LdANote,$L1935)="","—",INDEX(LdANote,$L1935)),IF($M1935&lt;&gt;"",IF(INDEX(LdBNote,$M1935)="","—",INDEX(LdBNote,$M1935)),IF($N1935&lt;&gt;"",IF(INDEX(LdCNote,$N1935)="","—",INDEX(LdCNote,$N1935)),""))))</f>
        <v/>
      </c>
      <c r="L1935">
        <f>IFERROR(MATCH($C$5&amp;"|"&amp;RIGHT("000000"&amp;1919,6),LdAKeyM,0),"")</f>
        <v/>
      </c>
      <c r="M1935">
        <f>IFERROR(MATCH($C$5&amp;"|"&amp;RIGHT("000000"&amp;1919,6),LdBKeyM,0),"")</f>
        <v/>
      </c>
      <c r="N1935">
        <f>IFERROR(MATCH($C$5&amp;"|"&amp;RIGHT("000000"&amp;1919,6),LdCKeyM,0),"")</f>
        <v/>
      </c>
    </row>
    <row r="1936">
      <c r="A1936" s="19" t="n">
        <v>1920</v>
      </c>
      <c r="B1936" s="20">
        <f>IF(AND($L1936="",$M1936="",$N1936=""),"",IF($L1936&lt;&gt;"",INDEX(LdADate,$L1936),IF($M1936&lt;&gt;"",INDEX(LdBDate,$M1936),INDEX(LdCDate,$N1936))))</f>
        <v/>
      </c>
      <c r="C1936" s="20">
        <f>IF($L1936&lt;&gt;"","دستمزد (فردی)",IF($M1936&lt;&gt;"","سهم از گروه "&amp;IFERROR(VLOOKUP(INDEX(LdBGroup,$M1936),WGTbl,2,0),INDEX(LdBGroup,$M1936)),IF($N1936&lt;&gt;"",IF(N(INDEX(LdCDep,$N1936))&gt;0,"بازگشت بانکی","پرداخت بانکی"),"")))</f>
        <v/>
      </c>
      <c r="D1936" s="20">
        <f>IF($L1936&lt;&gt;"",IF(INDEX(LdAId,$L1936)="","—",INDEX(LdAId,$L1936)),IF($M1936&lt;&gt;"",IF(INDEX(LdBId,$M1936)="","—",INDEX(LdBId,$M1936)),IF($N1936&lt;&gt;"",IF(INDEX(LdCBank,$N1936)="","—",INDEX(LdCBank,$N1936)),"")))</f>
        <v/>
      </c>
      <c r="E1936" s="21">
        <f>IF($L1936&lt;&gt;"",IF(INDEX(LdAAmt,$L1936)=0,"",INDEX(LdAAmt,$L1936)),IF($M1936&lt;&gt;"",IF(INDEX(LdBAmt,$M1936)=0,"",INDEX(LdBAmt,$M1936)),IF($N1936&lt;&gt;"",IF(INDEX(LdCDep,$N1936)=0,"",INDEX(LdCDep,$N1936)),"")))</f>
        <v/>
      </c>
      <c r="F1936" s="21">
        <f>IF(AND($L1936="",$M1936="",$N1936=""),"",IF($N1936="","",IF(INDEX(LdCWit,$N1936)=0,"",INDEX(LdCWit,$N1936))))</f>
        <v/>
      </c>
      <c r="G1936" s="31">
        <f>IF($B1936="","",IF($G1935="",0,$G1935)+IF($E1936="",0,$E1936)-IF($F1936="",0,$F1936))</f>
        <v/>
      </c>
      <c r="H1936" s="32">
        <f>IF(AND($L1936="",$M1936="",$N1936=""),"",IF($L1936&lt;&gt;"",IF(INDEX(LdANote,$L1936)="","—",INDEX(LdANote,$L1936)),IF($M1936&lt;&gt;"",IF(INDEX(LdBNote,$M1936)="","—",INDEX(LdBNote,$M1936)),IF($N1936&lt;&gt;"",IF(INDEX(LdCNote,$N1936)="","—",INDEX(LdCNote,$N1936)),""))))</f>
        <v/>
      </c>
      <c r="L1936">
        <f>IFERROR(MATCH($C$5&amp;"|"&amp;RIGHT("000000"&amp;1920,6),LdAKeyM,0),"")</f>
        <v/>
      </c>
      <c r="M1936">
        <f>IFERROR(MATCH($C$5&amp;"|"&amp;RIGHT("000000"&amp;1920,6),LdBKeyM,0),"")</f>
        <v/>
      </c>
      <c r="N1936">
        <f>IFERROR(MATCH($C$5&amp;"|"&amp;RIGHT("000000"&amp;1920,6),LdCKeyM,0),"")</f>
        <v/>
      </c>
    </row>
    <row r="1937">
      <c r="A1937" s="10" t="n">
        <v>1921</v>
      </c>
      <c r="B1937" s="14">
        <f>IF(AND($L1937="",$M1937="",$N1937=""),"",IF($L1937&lt;&gt;"",INDEX(LdADate,$L1937),IF($M1937&lt;&gt;"",INDEX(LdBDate,$M1937),INDEX(LdCDate,$N1937))))</f>
        <v/>
      </c>
      <c r="C1937" s="14">
        <f>IF($L1937&lt;&gt;"","دستمزد (فردی)",IF($M1937&lt;&gt;"","سهم از گروه "&amp;IFERROR(VLOOKUP(INDEX(LdBGroup,$M1937),WGTbl,2,0),INDEX(LdBGroup,$M1937)),IF($N1937&lt;&gt;"",IF(N(INDEX(LdCDep,$N1937))&gt;0,"بازگشت بانکی","پرداخت بانکی"),"")))</f>
        <v/>
      </c>
      <c r="D1937" s="14">
        <f>IF($L1937&lt;&gt;"",IF(INDEX(LdAId,$L1937)="","—",INDEX(LdAId,$L1937)),IF($M1937&lt;&gt;"",IF(INDEX(LdBId,$M1937)="","—",INDEX(LdBId,$M1937)),IF($N1937&lt;&gt;"",IF(INDEX(LdCBank,$N1937)="","—",INDEX(LdCBank,$N1937)),"")))</f>
        <v/>
      </c>
      <c r="E1937" s="16">
        <f>IF($L1937&lt;&gt;"",IF(INDEX(LdAAmt,$L1937)=0,"",INDEX(LdAAmt,$L1937)),IF($M1937&lt;&gt;"",IF(INDEX(LdBAmt,$M1937)=0,"",INDEX(LdBAmt,$M1937)),IF($N1937&lt;&gt;"",IF(INDEX(LdCDep,$N1937)=0,"",INDEX(LdCDep,$N1937)),"")))</f>
        <v/>
      </c>
      <c r="F1937" s="16">
        <f>IF(AND($L1937="",$M1937="",$N1937=""),"",IF($N1937="","",IF(INDEX(LdCWit,$N1937)=0,"",INDEX(LdCWit,$N1937))))</f>
        <v/>
      </c>
      <c r="G1937" s="29">
        <f>IF($B1937="","",IF($G1936="",0,$G1936)+IF($E1937="",0,$E1937)-IF($F1937="",0,$F1937))</f>
        <v/>
      </c>
      <c r="H1937" s="30">
        <f>IF(AND($L1937="",$M1937="",$N1937=""),"",IF($L1937&lt;&gt;"",IF(INDEX(LdANote,$L1937)="","—",INDEX(LdANote,$L1937)),IF($M1937&lt;&gt;"",IF(INDEX(LdBNote,$M1937)="","—",INDEX(LdBNote,$M1937)),IF($N1937&lt;&gt;"",IF(INDEX(LdCNote,$N1937)="","—",INDEX(LdCNote,$N1937)),""))))</f>
        <v/>
      </c>
      <c r="L1937">
        <f>IFERROR(MATCH($C$5&amp;"|"&amp;RIGHT("000000"&amp;1921,6),LdAKeyM,0),"")</f>
        <v/>
      </c>
      <c r="M1937">
        <f>IFERROR(MATCH($C$5&amp;"|"&amp;RIGHT("000000"&amp;1921,6),LdBKeyM,0),"")</f>
        <v/>
      </c>
      <c r="N1937">
        <f>IFERROR(MATCH($C$5&amp;"|"&amp;RIGHT("000000"&amp;1921,6),LdCKeyM,0),"")</f>
        <v/>
      </c>
    </row>
    <row r="1938">
      <c r="A1938" s="19" t="n">
        <v>1922</v>
      </c>
      <c r="B1938" s="20">
        <f>IF(AND($L1938="",$M1938="",$N1938=""),"",IF($L1938&lt;&gt;"",INDEX(LdADate,$L1938),IF($M1938&lt;&gt;"",INDEX(LdBDate,$M1938),INDEX(LdCDate,$N1938))))</f>
        <v/>
      </c>
      <c r="C1938" s="20">
        <f>IF($L1938&lt;&gt;"","دستمزد (فردی)",IF($M1938&lt;&gt;"","سهم از گروه "&amp;IFERROR(VLOOKUP(INDEX(LdBGroup,$M1938),WGTbl,2,0),INDEX(LdBGroup,$M1938)),IF($N1938&lt;&gt;"",IF(N(INDEX(LdCDep,$N1938))&gt;0,"بازگشت بانکی","پرداخت بانکی"),"")))</f>
        <v/>
      </c>
      <c r="D1938" s="20">
        <f>IF($L1938&lt;&gt;"",IF(INDEX(LdAId,$L1938)="","—",INDEX(LdAId,$L1938)),IF($M1938&lt;&gt;"",IF(INDEX(LdBId,$M1938)="","—",INDEX(LdBId,$M1938)),IF($N1938&lt;&gt;"",IF(INDEX(LdCBank,$N1938)="","—",INDEX(LdCBank,$N1938)),"")))</f>
        <v/>
      </c>
      <c r="E1938" s="21">
        <f>IF($L1938&lt;&gt;"",IF(INDEX(LdAAmt,$L1938)=0,"",INDEX(LdAAmt,$L1938)),IF($M1938&lt;&gt;"",IF(INDEX(LdBAmt,$M1938)=0,"",INDEX(LdBAmt,$M1938)),IF($N1938&lt;&gt;"",IF(INDEX(LdCDep,$N1938)=0,"",INDEX(LdCDep,$N1938)),"")))</f>
        <v/>
      </c>
      <c r="F1938" s="21">
        <f>IF(AND($L1938="",$M1938="",$N1938=""),"",IF($N1938="","",IF(INDEX(LdCWit,$N1938)=0,"",INDEX(LdCWit,$N1938))))</f>
        <v/>
      </c>
      <c r="G1938" s="31">
        <f>IF($B1938="","",IF($G1937="",0,$G1937)+IF($E1938="",0,$E1938)-IF($F1938="",0,$F1938))</f>
        <v/>
      </c>
      <c r="H1938" s="32">
        <f>IF(AND($L1938="",$M1938="",$N1938=""),"",IF($L1938&lt;&gt;"",IF(INDEX(LdANote,$L1938)="","—",INDEX(LdANote,$L1938)),IF($M1938&lt;&gt;"",IF(INDEX(LdBNote,$M1938)="","—",INDEX(LdBNote,$M1938)),IF($N1938&lt;&gt;"",IF(INDEX(LdCNote,$N1938)="","—",INDEX(LdCNote,$N1938)),""))))</f>
        <v/>
      </c>
      <c r="L1938">
        <f>IFERROR(MATCH($C$5&amp;"|"&amp;RIGHT("000000"&amp;1922,6),LdAKeyM,0),"")</f>
        <v/>
      </c>
      <c r="M1938">
        <f>IFERROR(MATCH($C$5&amp;"|"&amp;RIGHT("000000"&amp;1922,6),LdBKeyM,0),"")</f>
        <v/>
      </c>
      <c r="N1938">
        <f>IFERROR(MATCH($C$5&amp;"|"&amp;RIGHT("000000"&amp;1922,6),LdCKeyM,0),"")</f>
        <v/>
      </c>
    </row>
    <row r="1939">
      <c r="A1939" s="10" t="n">
        <v>1923</v>
      </c>
      <c r="B1939" s="14">
        <f>IF(AND($L1939="",$M1939="",$N1939=""),"",IF($L1939&lt;&gt;"",INDEX(LdADate,$L1939),IF($M1939&lt;&gt;"",INDEX(LdBDate,$M1939),INDEX(LdCDate,$N1939))))</f>
        <v/>
      </c>
      <c r="C1939" s="14">
        <f>IF($L1939&lt;&gt;"","دستمزد (فردی)",IF($M1939&lt;&gt;"","سهم از گروه "&amp;IFERROR(VLOOKUP(INDEX(LdBGroup,$M1939),WGTbl,2,0),INDEX(LdBGroup,$M1939)),IF($N1939&lt;&gt;"",IF(N(INDEX(LdCDep,$N1939))&gt;0,"بازگشت بانکی","پرداخت بانکی"),"")))</f>
        <v/>
      </c>
      <c r="D1939" s="14">
        <f>IF($L1939&lt;&gt;"",IF(INDEX(LdAId,$L1939)="","—",INDEX(LdAId,$L1939)),IF($M1939&lt;&gt;"",IF(INDEX(LdBId,$M1939)="","—",INDEX(LdBId,$M1939)),IF($N1939&lt;&gt;"",IF(INDEX(LdCBank,$N1939)="","—",INDEX(LdCBank,$N1939)),"")))</f>
        <v/>
      </c>
      <c r="E1939" s="16">
        <f>IF($L1939&lt;&gt;"",IF(INDEX(LdAAmt,$L1939)=0,"",INDEX(LdAAmt,$L1939)),IF($M1939&lt;&gt;"",IF(INDEX(LdBAmt,$M1939)=0,"",INDEX(LdBAmt,$M1939)),IF($N1939&lt;&gt;"",IF(INDEX(LdCDep,$N1939)=0,"",INDEX(LdCDep,$N1939)),"")))</f>
        <v/>
      </c>
      <c r="F1939" s="16">
        <f>IF(AND($L1939="",$M1939="",$N1939=""),"",IF($N1939="","",IF(INDEX(LdCWit,$N1939)=0,"",INDEX(LdCWit,$N1939))))</f>
        <v/>
      </c>
      <c r="G1939" s="29">
        <f>IF($B1939="","",IF($G1938="",0,$G1938)+IF($E1939="",0,$E1939)-IF($F1939="",0,$F1939))</f>
        <v/>
      </c>
      <c r="H1939" s="30">
        <f>IF(AND($L1939="",$M1939="",$N1939=""),"",IF($L1939&lt;&gt;"",IF(INDEX(LdANote,$L1939)="","—",INDEX(LdANote,$L1939)),IF($M1939&lt;&gt;"",IF(INDEX(LdBNote,$M1939)="","—",INDEX(LdBNote,$M1939)),IF($N1939&lt;&gt;"",IF(INDEX(LdCNote,$N1939)="","—",INDEX(LdCNote,$N1939)),""))))</f>
        <v/>
      </c>
      <c r="L1939">
        <f>IFERROR(MATCH($C$5&amp;"|"&amp;RIGHT("000000"&amp;1923,6),LdAKeyM,0),"")</f>
        <v/>
      </c>
      <c r="M1939">
        <f>IFERROR(MATCH($C$5&amp;"|"&amp;RIGHT("000000"&amp;1923,6),LdBKeyM,0),"")</f>
        <v/>
      </c>
      <c r="N1939">
        <f>IFERROR(MATCH($C$5&amp;"|"&amp;RIGHT("000000"&amp;1923,6),LdCKeyM,0),"")</f>
        <v/>
      </c>
    </row>
    <row r="1940">
      <c r="A1940" s="19" t="n">
        <v>1924</v>
      </c>
      <c r="B1940" s="20">
        <f>IF(AND($L1940="",$M1940="",$N1940=""),"",IF($L1940&lt;&gt;"",INDEX(LdADate,$L1940),IF($M1940&lt;&gt;"",INDEX(LdBDate,$M1940),INDEX(LdCDate,$N1940))))</f>
        <v/>
      </c>
      <c r="C1940" s="20">
        <f>IF($L1940&lt;&gt;"","دستمزد (فردی)",IF($M1940&lt;&gt;"","سهم از گروه "&amp;IFERROR(VLOOKUP(INDEX(LdBGroup,$M1940),WGTbl,2,0),INDEX(LdBGroup,$M1940)),IF($N1940&lt;&gt;"",IF(N(INDEX(LdCDep,$N1940))&gt;0,"بازگشت بانکی","پرداخت بانکی"),"")))</f>
        <v/>
      </c>
      <c r="D1940" s="20">
        <f>IF($L1940&lt;&gt;"",IF(INDEX(LdAId,$L1940)="","—",INDEX(LdAId,$L1940)),IF($M1940&lt;&gt;"",IF(INDEX(LdBId,$M1940)="","—",INDEX(LdBId,$M1940)),IF($N1940&lt;&gt;"",IF(INDEX(LdCBank,$N1940)="","—",INDEX(LdCBank,$N1940)),"")))</f>
        <v/>
      </c>
      <c r="E1940" s="21">
        <f>IF($L1940&lt;&gt;"",IF(INDEX(LdAAmt,$L1940)=0,"",INDEX(LdAAmt,$L1940)),IF($M1940&lt;&gt;"",IF(INDEX(LdBAmt,$M1940)=0,"",INDEX(LdBAmt,$M1940)),IF($N1940&lt;&gt;"",IF(INDEX(LdCDep,$N1940)=0,"",INDEX(LdCDep,$N1940)),"")))</f>
        <v/>
      </c>
      <c r="F1940" s="21">
        <f>IF(AND($L1940="",$M1940="",$N1940=""),"",IF($N1940="","",IF(INDEX(LdCWit,$N1940)=0,"",INDEX(LdCWit,$N1940))))</f>
        <v/>
      </c>
      <c r="G1940" s="31">
        <f>IF($B1940="","",IF($G1939="",0,$G1939)+IF($E1940="",0,$E1940)-IF($F1940="",0,$F1940))</f>
        <v/>
      </c>
      <c r="H1940" s="32">
        <f>IF(AND($L1940="",$M1940="",$N1940=""),"",IF($L1940&lt;&gt;"",IF(INDEX(LdANote,$L1940)="","—",INDEX(LdANote,$L1940)),IF($M1940&lt;&gt;"",IF(INDEX(LdBNote,$M1940)="","—",INDEX(LdBNote,$M1940)),IF($N1940&lt;&gt;"",IF(INDEX(LdCNote,$N1940)="","—",INDEX(LdCNote,$N1940)),""))))</f>
        <v/>
      </c>
      <c r="L1940">
        <f>IFERROR(MATCH($C$5&amp;"|"&amp;RIGHT("000000"&amp;1924,6),LdAKeyM,0),"")</f>
        <v/>
      </c>
      <c r="M1940">
        <f>IFERROR(MATCH($C$5&amp;"|"&amp;RIGHT("000000"&amp;1924,6),LdBKeyM,0),"")</f>
        <v/>
      </c>
      <c r="N1940">
        <f>IFERROR(MATCH($C$5&amp;"|"&amp;RIGHT("000000"&amp;1924,6),LdCKeyM,0),"")</f>
        <v/>
      </c>
    </row>
    <row r="1941">
      <c r="A1941" s="10" t="n">
        <v>1925</v>
      </c>
      <c r="B1941" s="14">
        <f>IF(AND($L1941="",$M1941="",$N1941=""),"",IF($L1941&lt;&gt;"",INDEX(LdADate,$L1941),IF($M1941&lt;&gt;"",INDEX(LdBDate,$M1941),INDEX(LdCDate,$N1941))))</f>
        <v/>
      </c>
      <c r="C1941" s="14">
        <f>IF($L1941&lt;&gt;"","دستمزد (فردی)",IF($M1941&lt;&gt;"","سهم از گروه "&amp;IFERROR(VLOOKUP(INDEX(LdBGroup,$M1941),WGTbl,2,0),INDEX(LdBGroup,$M1941)),IF($N1941&lt;&gt;"",IF(N(INDEX(LdCDep,$N1941))&gt;0,"بازگشت بانکی","پرداخت بانکی"),"")))</f>
        <v/>
      </c>
      <c r="D1941" s="14">
        <f>IF($L1941&lt;&gt;"",IF(INDEX(LdAId,$L1941)="","—",INDEX(LdAId,$L1941)),IF($M1941&lt;&gt;"",IF(INDEX(LdBId,$M1941)="","—",INDEX(LdBId,$M1941)),IF($N1941&lt;&gt;"",IF(INDEX(LdCBank,$N1941)="","—",INDEX(LdCBank,$N1941)),"")))</f>
        <v/>
      </c>
      <c r="E1941" s="16">
        <f>IF($L1941&lt;&gt;"",IF(INDEX(LdAAmt,$L1941)=0,"",INDEX(LdAAmt,$L1941)),IF($M1941&lt;&gt;"",IF(INDEX(LdBAmt,$M1941)=0,"",INDEX(LdBAmt,$M1941)),IF($N1941&lt;&gt;"",IF(INDEX(LdCDep,$N1941)=0,"",INDEX(LdCDep,$N1941)),"")))</f>
        <v/>
      </c>
      <c r="F1941" s="16">
        <f>IF(AND($L1941="",$M1941="",$N1941=""),"",IF($N1941="","",IF(INDEX(LdCWit,$N1941)=0,"",INDEX(LdCWit,$N1941))))</f>
        <v/>
      </c>
      <c r="G1941" s="29">
        <f>IF($B1941="","",IF($G1940="",0,$G1940)+IF($E1941="",0,$E1941)-IF($F1941="",0,$F1941))</f>
        <v/>
      </c>
      <c r="H1941" s="30">
        <f>IF(AND($L1941="",$M1941="",$N1941=""),"",IF($L1941&lt;&gt;"",IF(INDEX(LdANote,$L1941)="","—",INDEX(LdANote,$L1941)),IF($M1941&lt;&gt;"",IF(INDEX(LdBNote,$M1941)="","—",INDEX(LdBNote,$M1941)),IF($N1941&lt;&gt;"",IF(INDEX(LdCNote,$N1941)="","—",INDEX(LdCNote,$N1941)),""))))</f>
        <v/>
      </c>
      <c r="L1941">
        <f>IFERROR(MATCH($C$5&amp;"|"&amp;RIGHT("000000"&amp;1925,6),LdAKeyM,0),"")</f>
        <v/>
      </c>
      <c r="M1941">
        <f>IFERROR(MATCH($C$5&amp;"|"&amp;RIGHT("000000"&amp;1925,6),LdBKeyM,0),"")</f>
        <v/>
      </c>
      <c r="N1941">
        <f>IFERROR(MATCH($C$5&amp;"|"&amp;RIGHT("000000"&amp;1925,6),LdCKeyM,0),"")</f>
        <v/>
      </c>
    </row>
    <row r="1942">
      <c r="A1942" s="19" t="n">
        <v>1926</v>
      </c>
      <c r="B1942" s="20">
        <f>IF(AND($L1942="",$M1942="",$N1942=""),"",IF($L1942&lt;&gt;"",INDEX(LdADate,$L1942),IF($M1942&lt;&gt;"",INDEX(LdBDate,$M1942),INDEX(LdCDate,$N1942))))</f>
        <v/>
      </c>
      <c r="C1942" s="20">
        <f>IF($L1942&lt;&gt;"","دستمزد (فردی)",IF($M1942&lt;&gt;"","سهم از گروه "&amp;IFERROR(VLOOKUP(INDEX(LdBGroup,$M1942),WGTbl,2,0),INDEX(LdBGroup,$M1942)),IF($N1942&lt;&gt;"",IF(N(INDEX(LdCDep,$N1942))&gt;0,"بازگشت بانکی","پرداخت بانکی"),"")))</f>
        <v/>
      </c>
      <c r="D1942" s="20">
        <f>IF($L1942&lt;&gt;"",IF(INDEX(LdAId,$L1942)="","—",INDEX(LdAId,$L1942)),IF($M1942&lt;&gt;"",IF(INDEX(LdBId,$M1942)="","—",INDEX(LdBId,$M1942)),IF($N1942&lt;&gt;"",IF(INDEX(LdCBank,$N1942)="","—",INDEX(LdCBank,$N1942)),"")))</f>
        <v/>
      </c>
      <c r="E1942" s="21">
        <f>IF($L1942&lt;&gt;"",IF(INDEX(LdAAmt,$L1942)=0,"",INDEX(LdAAmt,$L1942)),IF($M1942&lt;&gt;"",IF(INDEX(LdBAmt,$M1942)=0,"",INDEX(LdBAmt,$M1942)),IF($N1942&lt;&gt;"",IF(INDEX(LdCDep,$N1942)=0,"",INDEX(LdCDep,$N1942)),"")))</f>
        <v/>
      </c>
      <c r="F1942" s="21">
        <f>IF(AND($L1942="",$M1942="",$N1942=""),"",IF($N1942="","",IF(INDEX(LdCWit,$N1942)=0,"",INDEX(LdCWit,$N1942))))</f>
        <v/>
      </c>
      <c r="G1942" s="31">
        <f>IF($B1942="","",IF($G1941="",0,$G1941)+IF($E1942="",0,$E1942)-IF($F1942="",0,$F1942))</f>
        <v/>
      </c>
      <c r="H1942" s="32">
        <f>IF(AND($L1942="",$M1942="",$N1942=""),"",IF($L1942&lt;&gt;"",IF(INDEX(LdANote,$L1942)="","—",INDEX(LdANote,$L1942)),IF($M1942&lt;&gt;"",IF(INDEX(LdBNote,$M1942)="","—",INDEX(LdBNote,$M1942)),IF($N1942&lt;&gt;"",IF(INDEX(LdCNote,$N1942)="","—",INDEX(LdCNote,$N1942)),""))))</f>
        <v/>
      </c>
      <c r="L1942">
        <f>IFERROR(MATCH($C$5&amp;"|"&amp;RIGHT("000000"&amp;1926,6),LdAKeyM,0),"")</f>
        <v/>
      </c>
      <c r="M1942">
        <f>IFERROR(MATCH($C$5&amp;"|"&amp;RIGHT("000000"&amp;1926,6),LdBKeyM,0),"")</f>
        <v/>
      </c>
      <c r="N1942">
        <f>IFERROR(MATCH($C$5&amp;"|"&amp;RIGHT("000000"&amp;1926,6),LdCKeyM,0),"")</f>
        <v/>
      </c>
    </row>
    <row r="1943">
      <c r="A1943" s="10" t="n">
        <v>1927</v>
      </c>
      <c r="B1943" s="14">
        <f>IF(AND($L1943="",$M1943="",$N1943=""),"",IF($L1943&lt;&gt;"",INDEX(LdADate,$L1943),IF($M1943&lt;&gt;"",INDEX(LdBDate,$M1943),INDEX(LdCDate,$N1943))))</f>
        <v/>
      </c>
      <c r="C1943" s="14">
        <f>IF($L1943&lt;&gt;"","دستمزد (فردی)",IF($M1943&lt;&gt;"","سهم از گروه "&amp;IFERROR(VLOOKUP(INDEX(LdBGroup,$M1943),WGTbl,2,0),INDEX(LdBGroup,$M1943)),IF($N1943&lt;&gt;"",IF(N(INDEX(LdCDep,$N1943))&gt;0,"بازگشت بانکی","پرداخت بانکی"),"")))</f>
        <v/>
      </c>
      <c r="D1943" s="14">
        <f>IF($L1943&lt;&gt;"",IF(INDEX(LdAId,$L1943)="","—",INDEX(LdAId,$L1943)),IF($M1943&lt;&gt;"",IF(INDEX(LdBId,$M1943)="","—",INDEX(LdBId,$M1943)),IF($N1943&lt;&gt;"",IF(INDEX(LdCBank,$N1943)="","—",INDEX(LdCBank,$N1943)),"")))</f>
        <v/>
      </c>
      <c r="E1943" s="16">
        <f>IF($L1943&lt;&gt;"",IF(INDEX(LdAAmt,$L1943)=0,"",INDEX(LdAAmt,$L1943)),IF($M1943&lt;&gt;"",IF(INDEX(LdBAmt,$M1943)=0,"",INDEX(LdBAmt,$M1943)),IF($N1943&lt;&gt;"",IF(INDEX(LdCDep,$N1943)=0,"",INDEX(LdCDep,$N1943)),"")))</f>
        <v/>
      </c>
      <c r="F1943" s="16">
        <f>IF(AND($L1943="",$M1943="",$N1943=""),"",IF($N1943="","",IF(INDEX(LdCWit,$N1943)=0,"",INDEX(LdCWit,$N1943))))</f>
        <v/>
      </c>
      <c r="G1943" s="29">
        <f>IF($B1943="","",IF($G1942="",0,$G1942)+IF($E1943="",0,$E1943)-IF($F1943="",0,$F1943))</f>
        <v/>
      </c>
      <c r="H1943" s="30">
        <f>IF(AND($L1943="",$M1943="",$N1943=""),"",IF($L1943&lt;&gt;"",IF(INDEX(LdANote,$L1943)="","—",INDEX(LdANote,$L1943)),IF($M1943&lt;&gt;"",IF(INDEX(LdBNote,$M1943)="","—",INDEX(LdBNote,$M1943)),IF($N1943&lt;&gt;"",IF(INDEX(LdCNote,$N1943)="","—",INDEX(LdCNote,$N1943)),""))))</f>
        <v/>
      </c>
      <c r="L1943">
        <f>IFERROR(MATCH($C$5&amp;"|"&amp;RIGHT("000000"&amp;1927,6),LdAKeyM,0),"")</f>
        <v/>
      </c>
      <c r="M1943">
        <f>IFERROR(MATCH($C$5&amp;"|"&amp;RIGHT("000000"&amp;1927,6),LdBKeyM,0),"")</f>
        <v/>
      </c>
      <c r="N1943">
        <f>IFERROR(MATCH($C$5&amp;"|"&amp;RIGHT("000000"&amp;1927,6),LdCKeyM,0),"")</f>
        <v/>
      </c>
    </row>
    <row r="1944">
      <c r="A1944" s="19" t="n">
        <v>1928</v>
      </c>
      <c r="B1944" s="20">
        <f>IF(AND($L1944="",$M1944="",$N1944=""),"",IF($L1944&lt;&gt;"",INDEX(LdADate,$L1944),IF($M1944&lt;&gt;"",INDEX(LdBDate,$M1944),INDEX(LdCDate,$N1944))))</f>
        <v/>
      </c>
      <c r="C1944" s="20">
        <f>IF($L1944&lt;&gt;"","دستمزد (فردی)",IF($M1944&lt;&gt;"","سهم از گروه "&amp;IFERROR(VLOOKUP(INDEX(LdBGroup,$M1944),WGTbl,2,0),INDEX(LdBGroup,$M1944)),IF($N1944&lt;&gt;"",IF(N(INDEX(LdCDep,$N1944))&gt;0,"بازگشت بانکی","پرداخت بانکی"),"")))</f>
        <v/>
      </c>
      <c r="D1944" s="20">
        <f>IF($L1944&lt;&gt;"",IF(INDEX(LdAId,$L1944)="","—",INDEX(LdAId,$L1944)),IF($M1944&lt;&gt;"",IF(INDEX(LdBId,$M1944)="","—",INDEX(LdBId,$M1944)),IF($N1944&lt;&gt;"",IF(INDEX(LdCBank,$N1944)="","—",INDEX(LdCBank,$N1944)),"")))</f>
        <v/>
      </c>
      <c r="E1944" s="21">
        <f>IF($L1944&lt;&gt;"",IF(INDEX(LdAAmt,$L1944)=0,"",INDEX(LdAAmt,$L1944)),IF($M1944&lt;&gt;"",IF(INDEX(LdBAmt,$M1944)=0,"",INDEX(LdBAmt,$M1944)),IF($N1944&lt;&gt;"",IF(INDEX(LdCDep,$N1944)=0,"",INDEX(LdCDep,$N1944)),"")))</f>
        <v/>
      </c>
      <c r="F1944" s="21">
        <f>IF(AND($L1944="",$M1944="",$N1944=""),"",IF($N1944="","",IF(INDEX(LdCWit,$N1944)=0,"",INDEX(LdCWit,$N1944))))</f>
        <v/>
      </c>
      <c r="G1944" s="31">
        <f>IF($B1944="","",IF($G1943="",0,$G1943)+IF($E1944="",0,$E1944)-IF($F1944="",0,$F1944))</f>
        <v/>
      </c>
      <c r="H1944" s="32">
        <f>IF(AND($L1944="",$M1944="",$N1944=""),"",IF($L1944&lt;&gt;"",IF(INDEX(LdANote,$L1944)="","—",INDEX(LdANote,$L1944)),IF($M1944&lt;&gt;"",IF(INDEX(LdBNote,$M1944)="","—",INDEX(LdBNote,$M1944)),IF($N1944&lt;&gt;"",IF(INDEX(LdCNote,$N1944)="","—",INDEX(LdCNote,$N1944)),""))))</f>
        <v/>
      </c>
      <c r="L1944">
        <f>IFERROR(MATCH($C$5&amp;"|"&amp;RIGHT("000000"&amp;1928,6),LdAKeyM,0),"")</f>
        <v/>
      </c>
      <c r="M1944">
        <f>IFERROR(MATCH($C$5&amp;"|"&amp;RIGHT("000000"&amp;1928,6),LdBKeyM,0),"")</f>
        <v/>
      </c>
      <c r="N1944">
        <f>IFERROR(MATCH($C$5&amp;"|"&amp;RIGHT("000000"&amp;1928,6),LdCKeyM,0),"")</f>
        <v/>
      </c>
    </row>
    <row r="1945">
      <c r="A1945" s="10" t="n">
        <v>1929</v>
      </c>
      <c r="B1945" s="14">
        <f>IF(AND($L1945="",$M1945="",$N1945=""),"",IF($L1945&lt;&gt;"",INDEX(LdADate,$L1945),IF($M1945&lt;&gt;"",INDEX(LdBDate,$M1945),INDEX(LdCDate,$N1945))))</f>
        <v/>
      </c>
      <c r="C1945" s="14">
        <f>IF($L1945&lt;&gt;"","دستمزد (فردی)",IF($M1945&lt;&gt;"","سهم از گروه "&amp;IFERROR(VLOOKUP(INDEX(LdBGroup,$M1945),WGTbl,2,0),INDEX(LdBGroup,$M1945)),IF($N1945&lt;&gt;"",IF(N(INDEX(LdCDep,$N1945))&gt;0,"بازگشت بانکی","پرداخت بانکی"),"")))</f>
        <v/>
      </c>
      <c r="D1945" s="14">
        <f>IF($L1945&lt;&gt;"",IF(INDEX(LdAId,$L1945)="","—",INDEX(LdAId,$L1945)),IF($M1945&lt;&gt;"",IF(INDEX(LdBId,$M1945)="","—",INDEX(LdBId,$M1945)),IF($N1945&lt;&gt;"",IF(INDEX(LdCBank,$N1945)="","—",INDEX(LdCBank,$N1945)),"")))</f>
        <v/>
      </c>
      <c r="E1945" s="16">
        <f>IF($L1945&lt;&gt;"",IF(INDEX(LdAAmt,$L1945)=0,"",INDEX(LdAAmt,$L1945)),IF($M1945&lt;&gt;"",IF(INDEX(LdBAmt,$M1945)=0,"",INDEX(LdBAmt,$M1945)),IF($N1945&lt;&gt;"",IF(INDEX(LdCDep,$N1945)=0,"",INDEX(LdCDep,$N1945)),"")))</f>
        <v/>
      </c>
      <c r="F1945" s="16">
        <f>IF(AND($L1945="",$M1945="",$N1945=""),"",IF($N1945="","",IF(INDEX(LdCWit,$N1945)=0,"",INDEX(LdCWit,$N1945))))</f>
        <v/>
      </c>
      <c r="G1945" s="29">
        <f>IF($B1945="","",IF($G1944="",0,$G1944)+IF($E1945="",0,$E1945)-IF($F1945="",0,$F1945))</f>
        <v/>
      </c>
      <c r="H1945" s="30">
        <f>IF(AND($L1945="",$M1945="",$N1945=""),"",IF($L1945&lt;&gt;"",IF(INDEX(LdANote,$L1945)="","—",INDEX(LdANote,$L1945)),IF($M1945&lt;&gt;"",IF(INDEX(LdBNote,$M1945)="","—",INDEX(LdBNote,$M1945)),IF($N1945&lt;&gt;"",IF(INDEX(LdCNote,$N1945)="","—",INDEX(LdCNote,$N1945)),""))))</f>
        <v/>
      </c>
      <c r="L1945">
        <f>IFERROR(MATCH($C$5&amp;"|"&amp;RIGHT("000000"&amp;1929,6),LdAKeyM,0),"")</f>
        <v/>
      </c>
      <c r="M1945">
        <f>IFERROR(MATCH($C$5&amp;"|"&amp;RIGHT("000000"&amp;1929,6),LdBKeyM,0),"")</f>
        <v/>
      </c>
      <c r="N1945">
        <f>IFERROR(MATCH($C$5&amp;"|"&amp;RIGHT("000000"&amp;1929,6),LdCKeyM,0),"")</f>
        <v/>
      </c>
    </row>
    <row r="1946">
      <c r="A1946" s="19" t="n">
        <v>1930</v>
      </c>
      <c r="B1946" s="20">
        <f>IF(AND($L1946="",$M1946="",$N1946=""),"",IF($L1946&lt;&gt;"",INDEX(LdADate,$L1946),IF($M1946&lt;&gt;"",INDEX(LdBDate,$M1946),INDEX(LdCDate,$N1946))))</f>
        <v/>
      </c>
      <c r="C1946" s="20">
        <f>IF($L1946&lt;&gt;"","دستمزد (فردی)",IF($M1946&lt;&gt;"","سهم از گروه "&amp;IFERROR(VLOOKUP(INDEX(LdBGroup,$M1946),WGTbl,2,0),INDEX(LdBGroup,$M1946)),IF($N1946&lt;&gt;"",IF(N(INDEX(LdCDep,$N1946))&gt;0,"بازگشت بانکی","پرداخت بانکی"),"")))</f>
        <v/>
      </c>
      <c r="D1946" s="20">
        <f>IF($L1946&lt;&gt;"",IF(INDEX(LdAId,$L1946)="","—",INDEX(LdAId,$L1946)),IF($M1946&lt;&gt;"",IF(INDEX(LdBId,$M1946)="","—",INDEX(LdBId,$M1946)),IF($N1946&lt;&gt;"",IF(INDEX(LdCBank,$N1946)="","—",INDEX(LdCBank,$N1946)),"")))</f>
        <v/>
      </c>
      <c r="E1946" s="21">
        <f>IF($L1946&lt;&gt;"",IF(INDEX(LdAAmt,$L1946)=0,"",INDEX(LdAAmt,$L1946)),IF($M1946&lt;&gt;"",IF(INDEX(LdBAmt,$M1946)=0,"",INDEX(LdBAmt,$M1946)),IF($N1946&lt;&gt;"",IF(INDEX(LdCDep,$N1946)=0,"",INDEX(LdCDep,$N1946)),"")))</f>
        <v/>
      </c>
      <c r="F1946" s="21">
        <f>IF(AND($L1946="",$M1946="",$N1946=""),"",IF($N1946="","",IF(INDEX(LdCWit,$N1946)=0,"",INDEX(LdCWit,$N1946))))</f>
        <v/>
      </c>
      <c r="G1946" s="31">
        <f>IF($B1946="","",IF($G1945="",0,$G1945)+IF($E1946="",0,$E1946)-IF($F1946="",0,$F1946))</f>
        <v/>
      </c>
      <c r="H1946" s="32">
        <f>IF(AND($L1946="",$M1946="",$N1946=""),"",IF($L1946&lt;&gt;"",IF(INDEX(LdANote,$L1946)="","—",INDEX(LdANote,$L1946)),IF($M1946&lt;&gt;"",IF(INDEX(LdBNote,$M1946)="","—",INDEX(LdBNote,$M1946)),IF($N1946&lt;&gt;"",IF(INDEX(LdCNote,$N1946)="","—",INDEX(LdCNote,$N1946)),""))))</f>
        <v/>
      </c>
      <c r="L1946">
        <f>IFERROR(MATCH($C$5&amp;"|"&amp;RIGHT("000000"&amp;1930,6),LdAKeyM,0),"")</f>
        <v/>
      </c>
      <c r="M1946">
        <f>IFERROR(MATCH($C$5&amp;"|"&amp;RIGHT("000000"&amp;1930,6),LdBKeyM,0),"")</f>
        <v/>
      </c>
      <c r="N1946">
        <f>IFERROR(MATCH($C$5&amp;"|"&amp;RIGHT("000000"&amp;1930,6),LdCKeyM,0),"")</f>
        <v/>
      </c>
    </row>
    <row r="1947">
      <c r="A1947" s="10" t="n">
        <v>1931</v>
      </c>
      <c r="B1947" s="14">
        <f>IF(AND($L1947="",$M1947="",$N1947=""),"",IF($L1947&lt;&gt;"",INDEX(LdADate,$L1947),IF($M1947&lt;&gt;"",INDEX(LdBDate,$M1947),INDEX(LdCDate,$N1947))))</f>
        <v/>
      </c>
      <c r="C1947" s="14">
        <f>IF($L1947&lt;&gt;"","دستمزد (فردی)",IF($M1947&lt;&gt;"","سهم از گروه "&amp;IFERROR(VLOOKUP(INDEX(LdBGroup,$M1947),WGTbl,2,0),INDEX(LdBGroup,$M1947)),IF($N1947&lt;&gt;"",IF(N(INDEX(LdCDep,$N1947))&gt;0,"بازگشت بانکی","پرداخت بانکی"),"")))</f>
        <v/>
      </c>
      <c r="D1947" s="14">
        <f>IF($L1947&lt;&gt;"",IF(INDEX(LdAId,$L1947)="","—",INDEX(LdAId,$L1947)),IF($M1947&lt;&gt;"",IF(INDEX(LdBId,$M1947)="","—",INDEX(LdBId,$M1947)),IF($N1947&lt;&gt;"",IF(INDEX(LdCBank,$N1947)="","—",INDEX(LdCBank,$N1947)),"")))</f>
        <v/>
      </c>
      <c r="E1947" s="16">
        <f>IF($L1947&lt;&gt;"",IF(INDEX(LdAAmt,$L1947)=0,"",INDEX(LdAAmt,$L1947)),IF($M1947&lt;&gt;"",IF(INDEX(LdBAmt,$M1947)=0,"",INDEX(LdBAmt,$M1947)),IF($N1947&lt;&gt;"",IF(INDEX(LdCDep,$N1947)=0,"",INDEX(LdCDep,$N1947)),"")))</f>
        <v/>
      </c>
      <c r="F1947" s="16">
        <f>IF(AND($L1947="",$M1947="",$N1947=""),"",IF($N1947="","",IF(INDEX(LdCWit,$N1947)=0,"",INDEX(LdCWit,$N1947))))</f>
        <v/>
      </c>
      <c r="G1947" s="29">
        <f>IF($B1947="","",IF($G1946="",0,$G1946)+IF($E1947="",0,$E1947)-IF($F1947="",0,$F1947))</f>
        <v/>
      </c>
      <c r="H1947" s="30">
        <f>IF(AND($L1947="",$M1947="",$N1947=""),"",IF($L1947&lt;&gt;"",IF(INDEX(LdANote,$L1947)="","—",INDEX(LdANote,$L1947)),IF($M1947&lt;&gt;"",IF(INDEX(LdBNote,$M1947)="","—",INDEX(LdBNote,$M1947)),IF($N1947&lt;&gt;"",IF(INDEX(LdCNote,$N1947)="","—",INDEX(LdCNote,$N1947)),""))))</f>
        <v/>
      </c>
      <c r="L1947">
        <f>IFERROR(MATCH($C$5&amp;"|"&amp;RIGHT("000000"&amp;1931,6),LdAKeyM,0),"")</f>
        <v/>
      </c>
      <c r="M1947">
        <f>IFERROR(MATCH($C$5&amp;"|"&amp;RIGHT("000000"&amp;1931,6),LdBKeyM,0),"")</f>
        <v/>
      </c>
      <c r="N1947">
        <f>IFERROR(MATCH($C$5&amp;"|"&amp;RIGHT("000000"&amp;1931,6),LdCKeyM,0),"")</f>
        <v/>
      </c>
    </row>
    <row r="1948">
      <c r="A1948" s="19" t="n">
        <v>1932</v>
      </c>
      <c r="B1948" s="20">
        <f>IF(AND($L1948="",$M1948="",$N1948=""),"",IF($L1948&lt;&gt;"",INDEX(LdADate,$L1948),IF($M1948&lt;&gt;"",INDEX(LdBDate,$M1948),INDEX(LdCDate,$N1948))))</f>
        <v/>
      </c>
      <c r="C1948" s="20">
        <f>IF($L1948&lt;&gt;"","دستمزد (فردی)",IF($M1948&lt;&gt;"","سهم از گروه "&amp;IFERROR(VLOOKUP(INDEX(LdBGroup,$M1948),WGTbl,2,0),INDEX(LdBGroup,$M1948)),IF($N1948&lt;&gt;"",IF(N(INDEX(LdCDep,$N1948))&gt;0,"بازگشت بانکی","پرداخت بانکی"),"")))</f>
        <v/>
      </c>
      <c r="D1948" s="20">
        <f>IF($L1948&lt;&gt;"",IF(INDEX(LdAId,$L1948)="","—",INDEX(LdAId,$L1948)),IF($M1948&lt;&gt;"",IF(INDEX(LdBId,$M1948)="","—",INDEX(LdBId,$M1948)),IF($N1948&lt;&gt;"",IF(INDEX(LdCBank,$N1948)="","—",INDEX(LdCBank,$N1948)),"")))</f>
        <v/>
      </c>
      <c r="E1948" s="21">
        <f>IF($L1948&lt;&gt;"",IF(INDEX(LdAAmt,$L1948)=0,"",INDEX(LdAAmt,$L1948)),IF($M1948&lt;&gt;"",IF(INDEX(LdBAmt,$M1948)=0,"",INDEX(LdBAmt,$M1948)),IF($N1948&lt;&gt;"",IF(INDEX(LdCDep,$N1948)=0,"",INDEX(LdCDep,$N1948)),"")))</f>
        <v/>
      </c>
      <c r="F1948" s="21">
        <f>IF(AND($L1948="",$M1948="",$N1948=""),"",IF($N1948="","",IF(INDEX(LdCWit,$N1948)=0,"",INDEX(LdCWit,$N1948))))</f>
        <v/>
      </c>
      <c r="G1948" s="31">
        <f>IF($B1948="","",IF($G1947="",0,$G1947)+IF($E1948="",0,$E1948)-IF($F1948="",0,$F1948))</f>
        <v/>
      </c>
      <c r="H1948" s="32">
        <f>IF(AND($L1948="",$M1948="",$N1948=""),"",IF($L1948&lt;&gt;"",IF(INDEX(LdANote,$L1948)="","—",INDEX(LdANote,$L1948)),IF($M1948&lt;&gt;"",IF(INDEX(LdBNote,$M1948)="","—",INDEX(LdBNote,$M1948)),IF($N1948&lt;&gt;"",IF(INDEX(LdCNote,$N1948)="","—",INDEX(LdCNote,$N1948)),""))))</f>
        <v/>
      </c>
      <c r="L1948">
        <f>IFERROR(MATCH($C$5&amp;"|"&amp;RIGHT("000000"&amp;1932,6),LdAKeyM,0),"")</f>
        <v/>
      </c>
      <c r="M1948">
        <f>IFERROR(MATCH($C$5&amp;"|"&amp;RIGHT("000000"&amp;1932,6),LdBKeyM,0),"")</f>
        <v/>
      </c>
      <c r="N1948">
        <f>IFERROR(MATCH($C$5&amp;"|"&amp;RIGHT("000000"&amp;1932,6),LdCKeyM,0),"")</f>
        <v/>
      </c>
    </row>
    <row r="1949">
      <c r="A1949" s="10" t="n">
        <v>1933</v>
      </c>
      <c r="B1949" s="14">
        <f>IF(AND($L1949="",$M1949="",$N1949=""),"",IF($L1949&lt;&gt;"",INDEX(LdADate,$L1949),IF($M1949&lt;&gt;"",INDEX(LdBDate,$M1949),INDEX(LdCDate,$N1949))))</f>
        <v/>
      </c>
      <c r="C1949" s="14">
        <f>IF($L1949&lt;&gt;"","دستمزد (فردی)",IF($M1949&lt;&gt;"","سهم از گروه "&amp;IFERROR(VLOOKUP(INDEX(LdBGroup,$M1949),WGTbl,2,0),INDEX(LdBGroup,$M1949)),IF($N1949&lt;&gt;"",IF(N(INDEX(LdCDep,$N1949))&gt;0,"بازگشت بانکی","پرداخت بانکی"),"")))</f>
        <v/>
      </c>
      <c r="D1949" s="14">
        <f>IF($L1949&lt;&gt;"",IF(INDEX(LdAId,$L1949)="","—",INDEX(LdAId,$L1949)),IF($M1949&lt;&gt;"",IF(INDEX(LdBId,$M1949)="","—",INDEX(LdBId,$M1949)),IF($N1949&lt;&gt;"",IF(INDEX(LdCBank,$N1949)="","—",INDEX(LdCBank,$N1949)),"")))</f>
        <v/>
      </c>
      <c r="E1949" s="16">
        <f>IF($L1949&lt;&gt;"",IF(INDEX(LdAAmt,$L1949)=0,"",INDEX(LdAAmt,$L1949)),IF($M1949&lt;&gt;"",IF(INDEX(LdBAmt,$M1949)=0,"",INDEX(LdBAmt,$M1949)),IF($N1949&lt;&gt;"",IF(INDEX(LdCDep,$N1949)=0,"",INDEX(LdCDep,$N1949)),"")))</f>
        <v/>
      </c>
      <c r="F1949" s="16">
        <f>IF(AND($L1949="",$M1949="",$N1949=""),"",IF($N1949="","",IF(INDEX(LdCWit,$N1949)=0,"",INDEX(LdCWit,$N1949))))</f>
        <v/>
      </c>
      <c r="G1949" s="29">
        <f>IF($B1949="","",IF($G1948="",0,$G1948)+IF($E1949="",0,$E1949)-IF($F1949="",0,$F1949))</f>
        <v/>
      </c>
      <c r="H1949" s="30">
        <f>IF(AND($L1949="",$M1949="",$N1949=""),"",IF($L1949&lt;&gt;"",IF(INDEX(LdANote,$L1949)="","—",INDEX(LdANote,$L1949)),IF($M1949&lt;&gt;"",IF(INDEX(LdBNote,$M1949)="","—",INDEX(LdBNote,$M1949)),IF($N1949&lt;&gt;"",IF(INDEX(LdCNote,$N1949)="","—",INDEX(LdCNote,$N1949)),""))))</f>
        <v/>
      </c>
      <c r="L1949">
        <f>IFERROR(MATCH($C$5&amp;"|"&amp;RIGHT("000000"&amp;1933,6),LdAKeyM,0),"")</f>
        <v/>
      </c>
      <c r="M1949">
        <f>IFERROR(MATCH($C$5&amp;"|"&amp;RIGHT("000000"&amp;1933,6),LdBKeyM,0),"")</f>
        <v/>
      </c>
      <c r="N1949">
        <f>IFERROR(MATCH($C$5&amp;"|"&amp;RIGHT("000000"&amp;1933,6),LdCKeyM,0),"")</f>
        <v/>
      </c>
    </row>
    <row r="1950">
      <c r="A1950" s="19" t="n">
        <v>1934</v>
      </c>
      <c r="B1950" s="20">
        <f>IF(AND($L1950="",$M1950="",$N1950=""),"",IF($L1950&lt;&gt;"",INDEX(LdADate,$L1950),IF($M1950&lt;&gt;"",INDEX(LdBDate,$M1950),INDEX(LdCDate,$N1950))))</f>
        <v/>
      </c>
      <c r="C1950" s="20">
        <f>IF($L1950&lt;&gt;"","دستمزد (فردی)",IF($M1950&lt;&gt;"","سهم از گروه "&amp;IFERROR(VLOOKUP(INDEX(LdBGroup,$M1950),WGTbl,2,0),INDEX(LdBGroup,$M1950)),IF($N1950&lt;&gt;"",IF(N(INDEX(LdCDep,$N1950))&gt;0,"بازگشت بانکی","پرداخت بانکی"),"")))</f>
        <v/>
      </c>
      <c r="D1950" s="20">
        <f>IF($L1950&lt;&gt;"",IF(INDEX(LdAId,$L1950)="","—",INDEX(LdAId,$L1950)),IF($M1950&lt;&gt;"",IF(INDEX(LdBId,$M1950)="","—",INDEX(LdBId,$M1950)),IF($N1950&lt;&gt;"",IF(INDEX(LdCBank,$N1950)="","—",INDEX(LdCBank,$N1950)),"")))</f>
        <v/>
      </c>
      <c r="E1950" s="21">
        <f>IF($L1950&lt;&gt;"",IF(INDEX(LdAAmt,$L1950)=0,"",INDEX(LdAAmt,$L1950)),IF($M1950&lt;&gt;"",IF(INDEX(LdBAmt,$M1950)=0,"",INDEX(LdBAmt,$M1950)),IF($N1950&lt;&gt;"",IF(INDEX(LdCDep,$N1950)=0,"",INDEX(LdCDep,$N1950)),"")))</f>
        <v/>
      </c>
      <c r="F1950" s="21">
        <f>IF(AND($L1950="",$M1950="",$N1950=""),"",IF($N1950="","",IF(INDEX(LdCWit,$N1950)=0,"",INDEX(LdCWit,$N1950))))</f>
        <v/>
      </c>
      <c r="G1950" s="31">
        <f>IF($B1950="","",IF($G1949="",0,$G1949)+IF($E1950="",0,$E1950)-IF($F1950="",0,$F1950))</f>
        <v/>
      </c>
      <c r="H1950" s="32">
        <f>IF(AND($L1950="",$M1950="",$N1950=""),"",IF($L1950&lt;&gt;"",IF(INDEX(LdANote,$L1950)="","—",INDEX(LdANote,$L1950)),IF($M1950&lt;&gt;"",IF(INDEX(LdBNote,$M1950)="","—",INDEX(LdBNote,$M1950)),IF($N1950&lt;&gt;"",IF(INDEX(LdCNote,$N1950)="","—",INDEX(LdCNote,$N1950)),""))))</f>
        <v/>
      </c>
      <c r="L1950">
        <f>IFERROR(MATCH($C$5&amp;"|"&amp;RIGHT("000000"&amp;1934,6),LdAKeyM,0),"")</f>
        <v/>
      </c>
      <c r="M1950">
        <f>IFERROR(MATCH($C$5&amp;"|"&amp;RIGHT("000000"&amp;1934,6),LdBKeyM,0),"")</f>
        <v/>
      </c>
      <c r="N1950">
        <f>IFERROR(MATCH($C$5&amp;"|"&amp;RIGHT("000000"&amp;1934,6),LdCKeyM,0),"")</f>
        <v/>
      </c>
    </row>
    <row r="1951">
      <c r="A1951" s="10" t="n">
        <v>1935</v>
      </c>
      <c r="B1951" s="14">
        <f>IF(AND($L1951="",$M1951="",$N1951=""),"",IF($L1951&lt;&gt;"",INDEX(LdADate,$L1951),IF($M1951&lt;&gt;"",INDEX(LdBDate,$M1951),INDEX(LdCDate,$N1951))))</f>
        <v/>
      </c>
      <c r="C1951" s="14">
        <f>IF($L1951&lt;&gt;"","دستمزد (فردی)",IF($M1951&lt;&gt;"","سهم از گروه "&amp;IFERROR(VLOOKUP(INDEX(LdBGroup,$M1951),WGTbl,2,0),INDEX(LdBGroup,$M1951)),IF($N1951&lt;&gt;"",IF(N(INDEX(LdCDep,$N1951))&gt;0,"بازگشت بانکی","پرداخت بانکی"),"")))</f>
        <v/>
      </c>
      <c r="D1951" s="14">
        <f>IF($L1951&lt;&gt;"",IF(INDEX(LdAId,$L1951)="","—",INDEX(LdAId,$L1951)),IF($M1951&lt;&gt;"",IF(INDEX(LdBId,$M1951)="","—",INDEX(LdBId,$M1951)),IF($N1951&lt;&gt;"",IF(INDEX(LdCBank,$N1951)="","—",INDEX(LdCBank,$N1951)),"")))</f>
        <v/>
      </c>
      <c r="E1951" s="16">
        <f>IF($L1951&lt;&gt;"",IF(INDEX(LdAAmt,$L1951)=0,"",INDEX(LdAAmt,$L1951)),IF($M1951&lt;&gt;"",IF(INDEX(LdBAmt,$M1951)=0,"",INDEX(LdBAmt,$M1951)),IF($N1951&lt;&gt;"",IF(INDEX(LdCDep,$N1951)=0,"",INDEX(LdCDep,$N1951)),"")))</f>
        <v/>
      </c>
      <c r="F1951" s="16">
        <f>IF(AND($L1951="",$M1951="",$N1951=""),"",IF($N1951="","",IF(INDEX(LdCWit,$N1951)=0,"",INDEX(LdCWit,$N1951))))</f>
        <v/>
      </c>
      <c r="G1951" s="29">
        <f>IF($B1951="","",IF($G1950="",0,$G1950)+IF($E1951="",0,$E1951)-IF($F1951="",0,$F1951))</f>
        <v/>
      </c>
      <c r="H1951" s="30">
        <f>IF(AND($L1951="",$M1951="",$N1951=""),"",IF($L1951&lt;&gt;"",IF(INDEX(LdANote,$L1951)="","—",INDEX(LdANote,$L1951)),IF($M1951&lt;&gt;"",IF(INDEX(LdBNote,$M1951)="","—",INDEX(LdBNote,$M1951)),IF($N1951&lt;&gt;"",IF(INDEX(LdCNote,$N1951)="","—",INDEX(LdCNote,$N1951)),""))))</f>
        <v/>
      </c>
      <c r="L1951">
        <f>IFERROR(MATCH($C$5&amp;"|"&amp;RIGHT("000000"&amp;1935,6),LdAKeyM,0),"")</f>
        <v/>
      </c>
      <c r="M1951">
        <f>IFERROR(MATCH($C$5&amp;"|"&amp;RIGHT("000000"&amp;1935,6),LdBKeyM,0),"")</f>
        <v/>
      </c>
      <c r="N1951">
        <f>IFERROR(MATCH($C$5&amp;"|"&amp;RIGHT("000000"&amp;1935,6),LdCKeyM,0),"")</f>
        <v/>
      </c>
    </row>
    <row r="1952">
      <c r="A1952" s="19" t="n">
        <v>1936</v>
      </c>
      <c r="B1952" s="20">
        <f>IF(AND($L1952="",$M1952="",$N1952=""),"",IF($L1952&lt;&gt;"",INDEX(LdADate,$L1952),IF($M1952&lt;&gt;"",INDEX(LdBDate,$M1952),INDEX(LdCDate,$N1952))))</f>
        <v/>
      </c>
      <c r="C1952" s="20">
        <f>IF($L1952&lt;&gt;"","دستمزد (فردی)",IF($M1952&lt;&gt;"","سهم از گروه "&amp;IFERROR(VLOOKUP(INDEX(LdBGroup,$M1952),WGTbl,2,0),INDEX(LdBGroup,$M1952)),IF($N1952&lt;&gt;"",IF(N(INDEX(LdCDep,$N1952))&gt;0,"بازگشت بانکی","پرداخت بانکی"),"")))</f>
        <v/>
      </c>
      <c r="D1952" s="20">
        <f>IF($L1952&lt;&gt;"",IF(INDEX(LdAId,$L1952)="","—",INDEX(LdAId,$L1952)),IF($M1952&lt;&gt;"",IF(INDEX(LdBId,$M1952)="","—",INDEX(LdBId,$M1952)),IF($N1952&lt;&gt;"",IF(INDEX(LdCBank,$N1952)="","—",INDEX(LdCBank,$N1952)),"")))</f>
        <v/>
      </c>
      <c r="E1952" s="21">
        <f>IF($L1952&lt;&gt;"",IF(INDEX(LdAAmt,$L1952)=0,"",INDEX(LdAAmt,$L1952)),IF($M1952&lt;&gt;"",IF(INDEX(LdBAmt,$M1952)=0,"",INDEX(LdBAmt,$M1952)),IF($N1952&lt;&gt;"",IF(INDEX(LdCDep,$N1952)=0,"",INDEX(LdCDep,$N1952)),"")))</f>
        <v/>
      </c>
      <c r="F1952" s="21">
        <f>IF(AND($L1952="",$M1952="",$N1952=""),"",IF($N1952="","",IF(INDEX(LdCWit,$N1952)=0,"",INDEX(LdCWit,$N1952))))</f>
        <v/>
      </c>
      <c r="G1952" s="31">
        <f>IF($B1952="","",IF($G1951="",0,$G1951)+IF($E1952="",0,$E1952)-IF($F1952="",0,$F1952))</f>
        <v/>
      </c>
      <c r="H1952" s="32">
        <f>IF(AND($L1952="",$M1952="",$N1952=""),"",IF($L1952&lt;&gt;"",IF(INDEX(LdANote,$L1952)="","—",INDEX(LdANote,$L1952)),IF($M1952&lt;&gt;"",IF(INDEX(LdBNote,$M1952)="","—",INDEX(LdBNote,$M1952)),IF($N1952&lt;&gt;"",IF(INDEX(LdCNote,$N1952)="","—",INDEX(LdCNote,$N1952)),""))))</f>
        <v/>
      </c>
      <c r="L1952">
        <f>IFERROR(MATCH($C$5&amp;"|"&amp;RIGHT("000000"&amp;1936,6),LdAKeyM,0),"")</f>
        <v/>
      </c>
      <c r="M1952">
        <f>IFERROR(MATCH($C$5&amp;"|"&amp;RIGHT("000000"&amp;1936,6),LdBKeyM,0),"")</f>
        <v/>
      </c>
      <c r="N1952">
        <f>IFERROR(MATCH($C$5&amp;"|"&amp;RIGHT("000000"&amp;1936,6),LdCKeyM,0),"")</f>
        <v/>
      </c>
    </row>
    <row r="1953">
      <c r="A1953" s="10" t="n">
        <v>1937</v>
      </c>
      <c r="B1953" s="14">
        <f>IF(AND($L1953="",$M1953="",$N1953=""),"",IF($L1953&lt;&gt;"",INDEX(LdADate,$L1953),IF($M1953&lt;&gt;"",INDEX(LdBDate,$M1953),INDEX(LdCDate,$N1953))))</f>
        <v/>
      </c>
      <c r="C1953" s="14">
        <f>IF($L1953&lt;&gt;"","دستمزد (فردی)",IF($M1953&lt;&gt;"","سهم از گروه "&amp;IFERROR(VLOOKUP(INDEX(LdBGroup,$M1953),WGTbl,2,0),INDEX(LdBGroup,$M1953)),IF($N1953&lt;&gt;"",IF(N(INDEX(LdCDep,$N1953))&gt;0,"بازگشت بانکی","پرداخت بانکی"),"")))</f>
        <v/>
      </c>
      <c r="D1953" s="14">
        <f>IF($L1953&lt;&gt;"",IF(INDEX(LdAId,$L1953)="","—",INDEX(LdAId,$L1953)),IF($M1953&lt;&gt;"",IF(INDEX(LdBId,$M1953)="","—",INDEX(LdBId,$M1953)),IF($N1953&lt;&gt;"",IF(INDEX(LdCBank,$N1953)="","—",INDEX(LdCBank,$N1953)),"")))</f>
        <v/>
      </c>
      <c r="E1953" s="16">
        <f>IF($L1953&lt;&gt;"",IF(INDEX(LdAAmt,$L1953)=0,"",INDEX(LdAAmt,$L1953)),IF($M1953&lt;&gt;"",IF(INDEX(LdBAmt,$M1953)=0,"",INDEX(LdBAmt,$M1953)),IF($N1953&lt;&gt;"",IF(INDEX(LdCDep,$N1953)=0,"",INDEX(LdCDep,$N1953)),"")))</f>
        <v/>
      </c>
      <c r="F1953" s="16">
        <f>IF(AND($L1953="",$M1953="",$N1953=""),"",IF($N1953="","",IF(INDEX(LdCWit,$N1953)=0,"",INDEX(LdCWit,$N1953))))</f>
        <v/>
      </c>
      <c r="G1953" s="29">
        <f>IF($B1953="","",IF($G1952="",0,$G1952)+IF($E1953="",0,$E1953)-IF($F1953="",0,$F1953))</f>
        <v/>
      </c>
      <c r="H1953" s="30">
        <f>IF(AND($L1953="",$M1953="",$N1953=""),"",IF($L1953&lt;&gt;"",IF(INDEX(LdANote,$L1953)="","—",INDEX(LdANote,$L1953)),IF($M1953&lt;&gt;"",IF(INDEX(LdBNote,$M1953)="","—",INDEX(LdBNote,$M1953)),IF($N1953&lt;&gt;"",IF(INDEX(LdCNote,$N1953)="","—",INDEX(LdCNote,$N1953)),""))))</f>
        <v/>
      </c>
      <c r="L1953">
        <f>IFERROR(MATCH($C$5&amp;"|"&amp;RIGHT("000000"&amp;1937,6),LdAKeyM,0),"")</f>
        <v/>
      </c>
      <c r="M1953">
        <f>IFERROR(MATCH($C$5&amp;"|"&amp;RIGHT("000000"&amp;1937,6),LdBKeyM,0),"")</f>
        <v/>
      </c>
      <c r="N1953">
        <f>IFERROR(MATCH($C$5&amp;"|"&amp;RIGHT("000000"&amp;1937,6),LdCKeyM,0),"")</f>
        <v/>
      </c>
    </row>
    <row r="1954">
      <c r="A1954" s="19" t="n">
        <v>1938</v>
      </c>
      <c r="B1954" s="20">
        <f>IF(AND($L1954="",$M1954="",$N1954=""),"",IF($L1954&lt;&gt;"",INDEX(LdADate,$L1954),IF($M1954&lt;&gt;"",INDEX(LdBDate,$M1954),INDEX(LdCDate,$N1954))))</f>
        <v/>
      </c>
      <c r="C1954" s="20">
        <f>IF($L1954&lt;&gt;"","دستمزد (فردی)",IF($M1954&lt;&gt;"","سهم از گروه "&amp;IFERROR(VLOOKUP(INDEX(LdBGroup,$M1954),WGTbl,2,0),INDEX(LdBGroup,$M1954)),IF($N1954&lt;&gt;"",IF(N(INDEX(LdCDep,$N1954))&gt;0,"بازگشت بانکی","پرداخت بانکی"),"")))</f>
        <v/>
      </c>
      <c r="D1954" s="20">
        <f>IF($L1954&lt;&gt;"",IF(INDEX(LdAId,$L1954)="","—",INDEX(LdAId,$L1954)),IF($M1954&lt;&gt;"",IF(INDEX(LdBId,$M1954)="","—",INDEX(LdBId,$M1954)),IF($N1954&lt;&gt;"",IF(INDEX(LdCBank,$N1954)="","—",INDEX(LdCBank,$N1954)),"")))</f>
        <v/>
      </c>
      <c r="E1954" s="21">
        <f>IF($L1954&lt;&gt;"",IF(INDEX(LdAAmt,$L1954)=0,"",INDEX(LdAAmt,$L1954)),IF($M1954&lt;&gt;"",IF(INDEX(LdBAmt,$M1954)=0,"",INDEX(LdBAmt,$M1954)),IF($N1954&lt;&gt;"",IF(INDEX(LdCDep,$N1954)=0,"",INDEX(LdCDep,$N1954)),"")))</f>
        <v/>
      </c>
      <c r="F1954" s="21">
        <f>IF(AND($L1954="",$M1954="",$N1954=""),"",IF($N1954="","",IF(INDEX(LdCWit,$N1954)=0,"",INDEX(LdCWit,$N1954))))</f>
        <v/>
      </c>
      <c r="G1954" s="31">
        <f>IF($B1954="","",IF($G1953="",0,$G1953)+IF($E1954="",0,$E1954)-IF($F1954="",0,$F1954))</f>
        <v/>
      </c>
      <c r="H1954" s="32">
        <f>IF(AND($L1954="",$M1954="",$N1954=""),"",IF($L1954&lt;&gt;"",IF(INDEX(LdANote,$L1954)="","—",INDEX(LdANote,$L1954)),IF($M1954&lt;&gt;"",IF(INDEX(LdBNote,$M1954)="","—",INDEX(LdBNote,$M1954)),IF($N1954&lt;&gt;"",IF(INDEX(LdCNote,$N1954)="","—",INDEX(LdCNote,$N1954)),""))))</f>
        <v/>
      </c>
      <c r="L1954">
        <f>IFERROR(MATCH($C$5&amp;"|"&amp;RIGHT("000000"&amp;1938,6),LdAKeyM,0),"")</f>
        <v/>
      </c>
      <c r="M1954">
        <f>IFERROR(MATCH($C$5&amp;"|"&amp;RIGHT("000000"&amp;1938,6),LdBKeyM,0),"")</f>
        <v/>
      </c>
      <c r="N1954">
        <f>IFERROR(MATCH($C$5&amp;"|"&amp;RIGHT("000000"&amp;1938,6),LdCKeyM,0),"")</f>
        <v/>
      </c>
    </row>
    <row r="1955">
      <c r="A1955" s="10" t="n">
        <v>1939</v>
      </c>
      <c r="B1955" s="14">
        <f>IF(AND($L1955="",$M1955="",$N1955=""),"",IF($L1955&lt;&gt;"",INDEX(LdADate,$L1955),IF($M1955&lt;&gt;"",INDEX(LdBDate,$M1955),INDEX(LdCDate,$N1955))))</f>
        <v/>
      </c>
      <c r="C1955" s="14">
        <f>IF($L1955&lt;&gt;"","دستمزد (فردی)",IF($M1955&lt;&gt;"","سهم از گروه "&amp;IFERROR(VLOOKUP(INDEX(LdBGroup,$M1955),WGTbl,2,0),INDEX(LdBGroup,$M1955)),IF($N1955&lt;&gt;"",IF(N(INDEX(LdCDep,$N1955))&gt;0,"بازگشت بانکی","پرداخت بانکی"),"")))</f>
        <v/>
      </c>
      <c r="D1955" s="14">
        <f>IF($L1955&lt;&gt;"",IF(INDEX(LdAId,$L1955)="","—",INDEX(LdAId,$L1955)),IF($M1955&lt;&gt;"",IF(INDEX(LdBId,$M1955)="","—",INDEX(LdBId,$M1955)),IF($N1955&lt;&gt;"",IF(INDEX(LdCBank,$N1955)="","—",INDEX(LdCBank,$N1955)),"")))</f>
        <v/>
      </c>
      <c r="E1955" s="16">
        <f>IF($L1955&lt;&gt;"",IF(INDEX(LdAAmt,$L1955)=0,"",INDEX(LdAAmt,$L1955)),IF($M1955&lt;&gt;"",IF(INDEX(LdBAmt,$M1955)=0,"",INDEX(LdBAmt,$M1955)),IF($N1955&lt;&gt;"",IF(INDEX(LdCDep,$N1955)=0,"",INDEX(LdCDep,$N1955)),"")))</f>
        <v/>
      </c>
      <c r="F1955" s="16">
        <f>IF(AND($L1955="",$M1955="",$N1955=""),"",IF($N1955="","",IF(INDEX(LdCWit,$N1955)=0,"",INDEX(LdCWit,$N1955))))</f>
        <v/>
      </c>
      <c r="G1955" s="29">
        <f>IF($B1955="","",IF($G1954="",0,$G1954)+IF($E1955="",0,$E1955)-IF($F1955="",0,$F1955))</f>
        <v/>
      </c>
      <c r="H1955" s="30">
        <f>IF(AND($L1955="",$M1955="",$N1955=""),"",IF($L1955&lt;&gt;"",IF(INDEX(LdANote,$L1955)="","—",INDEX(LdANote,$L1955)),IF($M1955&lt;&gt;"",IF(INDEX(LdBNote,$M1955)="","—",INDEX(LdBNote,$M1955)),IF($N1955&lt;&gt;"",IF(INDEX(LdCNote,$N1955)="","—",INDEX(LdCNote,$N1955)),""))))</f>
        <v/>
      </c>
      <c r="L1955">
        <f>IFERROR(MATCH($C$5&amp;"|"&amp;RIGHT("000000"&amp;1939,6),LdAKeyM,0),"")</f>
        <v/>
      </c>
      <c r="M1955">
        <f>IFERROR(MATCH($C$5&amp;"|"&amp;RIGHT("000000"&amp;1939,6),LdBKeyM,0),"")</f>
        <v/>
      </c>
      <c r="N1955">
        <f>IFERROR(MATCH($C$5&amp;"|"&amp;RIGHT("000000"&amp;1939,6),LdCKeyM,0),"")</f>
        <v/>
      </c>
    </row>
    <row r="1956">
      <c r="A1956" s="19" t="n">
        <v>1940</v>
      </c>
      <c r="B1956" s="20">
        <f>IF(AND($L1956="",$M1956="",$N1956=""),"",IF($L1956&lt;&gt;"",INDEX(LdADate,$L1956),IF($M1956&lt;&gt;"",INDEX(LdBDate,$M1956),INDEX(LdCDate,$N1956))))</f>
        <v/>
      </c>
      <c r="C1956" s="20">
        <f>IF($L1956&lt;&gt;"","دستمزد (فردی)",IF($M1956&lt;&gt;"","سهم از گروه "&amp;IFERROR(VLOOKUP(INDEX(LdBGroup,$M1956),WGTbl,2,0),INDEX(LdBGroup,$M1956)),IF($N1956&lt;&gt;"",IF(N(INDEX(LdCDep,$N1956))&gt;0,"بازگشت بانکی","پرداخت بانکی"),"")))</f>
        <v/>
      </c>
      <c r="D1956" s="20">
        <f>IF($L1956&lt;&gt;"",IF(INDEX(LdAId,$L1956)="","—",INDEX(LdAId,$L1956)),IF($M1956&lt;&gt;"",IF(INDEX(LdBId,$M1956)="","—",INDEX(LdBId,$M1956)),IF($N1956&lt;&gt;"",IF(INDEX(LdCBank,$N1956)="","—",INDEX(LdCBank,$N1956)),"")))</f>
        <v/>
      </c>
      <c r="E1956" s="21">
        <f>IF($L1956&lt;&gt;"",IF(INDEX(LdAAmt,$L1956)=0,"",INDEX(LdAAmt,$L1956)),IF($M1956&lt;&gt;"",IF(INDEX(LdBAmt,$M1956)=0,"",INDEX(LdBAmt,$M1956)),IF($N1956&lt;&gt;"",IF(INDEX(LdCDep,$N1956)=0,"",INDEX(LdCDep,$N1956)),"")))</f>
        <v/>
      </c>
      <c r="F1956" s="21">
        <f>IF(AND($L1956="",$M1956="",$N1956=""),"",IF($N1956="","",IF(INDEX(LdCWit,$N1956)=0,"",INDEX(LdCWit,$N1956))))</f>
        <v/>
      </c>
      <c r="G1956" s="31">
        <f>IF($B1956="","",IF($G1955="",0,$G1955)+IF($E1956="",0,$E1956)-IF($F1956="",0,$F1956))</f>
        <v/>
      </c>
      <c r="H1956" s="32">
        <f>IF(AND($L1956="",$M1956="",$N1956=""),"",IF($L1956&lt;&gt;"",IF(INDEX(LdANote,$L1956)="","—",INDEX(LdANote,$L1956)),IF($M1956&lt;&gt;"",IF(INDEX(LdBNote,$M1956)="","—",INDEX(LdBNote,$M1956)),IF($N1956&lt;&gt;"",IF(INDEX(LdCNote,$N1956)="","—",INDEX(LdCNote,$N1956)),""))))</f>
        <v/>
      </c>
      <c r="L1956">
        <f>IFERROR(MATCH($C$5&amp;"|"&amp;RIGHT("000000"&amp;1940,6),LdAKeyM,0),"")</f>
        <v/>
      </c>
      <c r="M1956">
        <f>IFERROR(MATCH($C$5&amp;"|"&amp;RIGHT("000000"&amp;1940,6),LdBKeyM,0),"")</f>
        <v/>
      </c>
      <c r="N1956">
        <f>IFERROR(MATCH($C$5&amp;"|"&amp;RIGHT("000000"&amp;1940,6),LdCKeyM,0),"")</f>
        <v/>
      </c>
    </row>
    <row r="1957">
      <c r="A1957" s="10" t="n">
        <v>1941</v>
      </c>
      <c r="B1957" s="14">
        <f>IF(AND($L1957="",$M1957="",$N1957=""),"",IF($L1957&lt;&gt;"",INDEX(LdADate,$L1957),IF($M1957&lt;&gt;"",INDEX(LdBDate,$M1957),INDEX(LdCDate,$N1957))))</f>
        <v/>
      </c>
      <c r="C1957" s="14">
        <f>IF($L1957&lt;&gt;"","دستمزد (فردی)",IF($M1957&lt;&gt;"","سهم از گروه "&amp;IFERROR(VLOOKUP(INDEX(LdBGroup,$M1957),WGTbl,2,0),INDEX(LdBGroup,$M1957)),IF($N1957&lt;&gt;"",IF(N(INDEX(LdCDep,$N1957))&gt;0,"بازگشت بانکی","پرداخت بانکی"),"")))</f>
        <v/>
      </c>
      <c r="D1957" s="14">
        <f>IF($L1957&lt;&gt;"",IF(INDEX(LdAId,$L1957)="","—",INDEX(LdAId,$L1957)),IF($M1957&lt;&gt;"",IF(INDEX(LdBId,$M1957)="","—",INDEX(LdBId,$M1957)),IF($N1957&lt;&gt;"",IF(INDEX(LdCBank,$N1957)="","—",INDEX(LdCBank,$N1957)),"")))</f>
        <v/>
      </c>
      <c r="E1957" s="16">
        <f>IF($L1957&lt;&gt;"",IF(INDEX(LdAAmt,$L1957)=0,"",INDEX(LdAAmt,$L1957)),IF($M1957&lt;&gt;"",IF(INDEX(LdBAmt,$M1957)=0,"",INDEX(LdBAmt,$M1957)),IF($N1957&lt;&gt;"",IF(INDEX(LdCDep,$N1957)=0,"",INDEX(LdCDep,$N1957)),"")))</f>
        <v/>
      </c>
      <c r="F1957" s="16">
        <f>IF(AND($L1957="",$M1957="",$N1957=""),"",IF($N1957="","",IF(INDEX(LdCWit,$N1957)=0,"",INDEX(LdCWit,$N1957))))</f>
        <v/>
      </c>
      <c r="G1957" s="29">
        <f>IF($B1957="","",IF($G1956="",0,$G1956)+IF($E1957="",0,$E1957)-IF($F1957="",0,$F1957))</f>
        <v/>
      </c>
      <c r="H1957" s="30">
        <f>IF(AND($L1957="",$M1957="",$N1957=""),"",IF($L1957&lt;&gt;"",IF(INDEX(LdANote,$L1957)="","—",INDEX(LdANote,$L1957)),IF($M1957&lt;&gt;"",IF(INDEX(LdBNote,$M1957)="","—",INDEX(LdBNote,$M1957)),IF($N1957&lt;&gt;"",IF(INDEX(LdCNote,$N1957)="","—",INDEX(LdCNote,$N1957)),""))))</f>
        <v/>
      </c>
      <c r="L1957">
        <f>IFERROR(MATCH($C$5&amp;"|"&amp;RIGHT("000000"&amp;1941,6),LdAKeyM,0),"")</f>
        <v/>
      </c>
      <c r="M1957">
        <f>IFERROR(MATCH($C$5&amp;"|"&amp;RIGHT("000000"&amp;1941,6),LdBKeyM,0),"")</f>
        <v/>
      </c>
      <c r="N1957">
        <f>IFERROR(MATCH($C$5&amp;"|"&amp;RIGHT("000000"&amp;1941,6),LdCKeyM,0),"")</f>
        <v/>
      </c>
    </row>
    <row r="1958">
      <c r="A1958" s="19" t="n">
        <v>1942</v>
      </c>
      <c r="B1958" s="20">
        <f>IF(AND($L1958="",$M1958="",$N1958=""),"",IF($L1958&lt;&gt;"",INDEX(LdADate,$L1958),IF($M1958&lt;&gt;"",INDEX(LdBDate,$M1958),INDEX(LdCDate,$N1958))))</f>
        <v/>
      </c>
      <c r="C1958" s="20">
        <f>IF($L1958&lt;&gt;"","دستمزد (فردی)",IF($M1958&lt;&gt;"","سهم از گروه "&amp;IFERROR(VLOOKUP(INDEX(LdBGroup,$M1958),WGTbl,2,0),INDEX(LdBGroup,$M1958)),IF($N1958&lt;&gt;"",IF(N(INDEX(LdCDep,$N1958))&gt;0,"بازگشت بانکی","پرداخت بانکی"),"")))</f>
        <v/>
      </c>
      <c r="D1958" s="20">
        <f>IF($L1958&lt;&gt;"",IF(INDEX(LdAId,$L1958)="","—",INDEX(LdAId,$L1958)),IF($M1958&lt;&gt;"",IF(INDEX(LdBId,$M1958)="","—",INDEX(LdBId,$M1958)),IF($N1958&lt;&gt;"",IF(INDEX(LdCBank,$N1958)="","—",INDEX(LdCBank,$N1958)),"")))</f>
        <v/>
      </c>
      <c r="E1958" s="21">
        <f>IF($L1958&lt;&gt;"",IF(INDEX(LdAAmt,$L1958)=0,"",INDEX(LdAAmt,$L1958)),IF($M1958&lt;&gt;"",IF(INDEX(LdBAmt,$M1958)=0,"",INDEX(LdBAmt,$M1958)),IF($N1958&lt;&gt;"",IF(INDEX(LdCDep,$N1958)=0,"",INDEX(LdCDep,$N1958)),"")))</f>
        <v/>
      </c>
      <c r="F1958" s="21">
        <f>IF(AND($L1958="",$M1958="",$N1958=""),"",IF($N1958="","",IF(INDEX(LdCWit,$N1958)=0,"",INDEX(LdCWit,$N1958))))</f>
        <v/>
      </c>
      <c r="G1958" s="31">
        <f>IF($B1958="","",IF($G1957="",0,$G1957)+IF($E1958="",0,$E1958)-IF($F1958="",0,$F1958))</f>
        <v/>
      </c>
      <c r="H1958" s="32">
        <f>IF(AND($L1958="",$M1958="",$N1958=""),"",IF($L1958&lt;&gt;"",IF(INDEX(LdANote,$L1958)="","—",INDEX(LdANote,$L1958)),IF($M1958&lt;&gt;"",IF(INDEX(LdBNote,$M1958)="","—",INDEX(LdBNote,$M1958)),IF($N1958&lt;&gt;"",IF(INDEX(LdCNote,$N1958)="","—",INDEX(LdCNote,$N1958)),""))))</f>
        <v/>
      </c>
      <c r="L1958">
        <f>IFERROR(MATCH($C$5&amp;"|"&amp;RIGHT("000000"&amp;1942,6),LdAKeyM,0),"")</f>
        <v/>
      </c>
      <c r="M1958">
        <f>IFERROR(MATCH($C$5&amp;"|"&amp;RIGHT("000000"&amp;1942,6),LdBKeyM,0),"")</f>
        <v/>
      </c>
      <c r="N1958">
        <f>IFERROR(MATCH($C$5&amp;"|"&amp;RIGHT("000000"&amp;1942,6),LdCKeyM,0),"")</f>
        <v/>
      </c>
    </row>
    <row r="1959">
      <c r="A1959" s="10" t="n">
        <v>1943</v>
      </c>
      <c r="B1959" s="14">
        <f>IF(AND($L1959="",$M1959="",$N1959=""),"",IF($L1959&lt;&gt;"",INDEX(LdADate,$L1959),IF($M1959&lt;&gt;"",INDEX(LdBDate,$M1959),INDEX(LdCDate,$N1959))))</f>
        <v/>
      </c>
      <c r="C1959" s="14">
        <f>IF($L1959&lt;&gt;"","دستمزد (فردی)",IF($M1959&lt;&gt;"","سهم از گروه "&amp;IFERROR(VLOOKUP(INDEX(LdBGroup,$M1959),WGTbl,2,0),INDEX(LdBGroup,$M1959)),IF($N1959&lt;&gt;"",IF(N(INDEX(LdCDep,$N1959))&gt;0,"بازگشت بانکی","پرداخت بانکی"),"")))</f>
        <v/>
      </c>
      <c r="D1959" s="14">
        <f>IF($L1959&lt;&gt;"",IF(INDEX(LdAId,$L1959)="","—",INDEX(LdAId,$L1959)),IF($M1959&lt;&gt;"",IF(INDEX(LdBId,$M1959)="","—",INDEX(LdBId,$M1959)),IF($N1959&lt;&gt;"",IF(INDEX(LdCBank,$N1959)="","—",INDEX(LdCBank,$N1959)),"")))</f>
        <v/>
      </c>
      <c r="E1959" s="16">
        <f>IF($L1959&lt;&gt;"",IF(INDEX(LdAAmt,$L1959)=0,"",INDEX(LdAAmt,$L1959)),IF($M1959&lt;&gt;"",IF(INDEX(LdBAmt,$M1959)=0,"",INDEX(LdBAmt,$M1959)),IF($N1959&lt;&gt;"",IF(INDEX(LdCDep,$N1959)=0,"",INDEX(LdCDep,$N1959)),"")))</f>
        <v/>
      </c>
      <c r="F1959" s="16">
        <f>IF(AND($L1959="",$M1959="",$N1959=""),"",IF($N1959="","",IF(INDEX(LdCWit,$N1959)=0,"",INDEX(LdCWit,$N1959))))</f>
        <v/>
      </c>
      <c r="G1959" s="29">
        <f>IF($B1959="","",IF($G1958="",0,$G1958)+IF($E1959="",0,$E1959)-IF($F1959="",0,$F1959))</f>
        <v/>
      </c>
      <c r="H1959" s="30">
        <f>IF(AND($L1959="",$M1959="",$N1959=""),"",IF($L1959&lt;&gt;"",IF(INDEX(LdANote,$L1959)="","—",INDEX(LdANote,$L1959)),IF($M1959&lt;&gt;"",IF(INDEX(LdBNote,$M1959)="","—",INDEX(LdBNote,$M1959)),IF($N1959&lt;&gt;"",IF(INDEX(LdCNote,$N1959)="","—",INDEX(LdCNote,$N1959)),""))))</f>
        <v/>
      </c>
      <c r="L1959">
        <f>IFERROR(MATCH($C$5&amp;"|"&amp;RIGHT("000000"&amp;1943,6),LdAKeyM,0),"")</f>
        <v/>
      </c>
      <c r="M1959">
        <f>IFERROR(MATCH($C$5&amp;"|"&amp;RIGHT("000000"&amp;1943,6),LdBKeyM,0),"")</f>
        <v/>
      </c>
      <c r="N1959">
        <f>IFERROR(MATCH($C$5&amp;"|"&amp;RIGHT("000000"&amp;1943,6),LdCKeyM,0),"")</f>
        <v/>
      </c>
    </row>
    <row r="1960">
      <c r="A1960" s="19" t="n">
        <v>1944</v>
      </c>
      <c r="B1960" s="20">
        <f>IF(AND($L1960="",$M1960="",$N1960=""),"",IF($L1960&lt;&gt;"",INDEX(LdADate,$L1960),IF($M1960&lt;&gt;"",INDEX(LdBDate,$M1960),INDEX(LdCDate,$N1960))))</f>
        <v/>
      </c>
      <c r="C1960" s="20">
        <f>IF($L1960&lt;&gt;"","دستمزد (فردی)",IF($M1960&lt;&gt;"","سهم از گروه "&amp;IFERROR(VLOOKUP(INDEX(LdBGroup,$M1960),WGTbl,2,0),INDEX(LdBGroup,$M1960)),IF($N1960&lt;&gt;"",IF(N(INDEX(LdCDep,$N1960))&gt;0,"بازگشت بانکی","پرداخت بانکی"),"")))</f>
        <v/>
      </c>
      <c r="D1960" s="20">
        <f>IF($L1960&lt;&gt;"",IF(INDEX(LdAId,$L1960)="","—",INDEX(LdAId,$L1960)),IF($M1960&lt;&gt;"",IF(INDEX(LdBId,$M1960)="","—",INDEX(LdBId,$M1960)),IF($N1960&lt;&gt;"",IF(INDEX(LdCBank,$N1960)="","—",INDEX(LdCBank,$N1960)),"")))</f>
        <v/>
      </c>
      <c r="E1960" s="21">
        <f>IF($L1960&lt;&gt;"",IF(INDEX(LdAAmt,$L1960)=0,"",INDEX(LdAAmt,$L1960)),IF($M1960&lt;&gt;"",IF(INDEX(LdBAmt,$M1960)=0,"",INDEX(LdBAmt,$M1960)),IF($N1960&lt;&gt;"",IF(INDEX(LdCDep,$N1960)=0,"",INDEX(LdCDep,$N1960)),"")))</f>
        <v/>
      </c>
      <c r="F1960" s="21">
        <f>IF(AND($L1960="",$M1960="",$N1960=""),"",IF($N1960="","",IF(INDEX(LdCWit,$N1960)=0,"",INDEX(LdCWit,$N1960))))</f>
        <v/>
      </c>
      <c r="G1960" s="31">
        <f>IF($B1960="","",IF($G1959="",0,$G1959)+IF($E1960="",0,$E1960)-IF($F1960="",0,$F1960))</f>
        <v/>
      </c>
      <c r="H1960" s="32">
        <f>IF(AND($L1960="",$M1960="",$N1960=""),"",IF($L1960&lt;&gt;"",IF(INDEX(LdANote,$L1960)="","—",INDEX(LdANote,$L1960)),IF($M1960&lt;&gt;"",IF(INDEX(LdBNote,$M1960)="","—",INDEX(LdBNote,$M1960)),IF($N1960&lt;&gt;"",IF(INDEX(LdCNote,$N1960)="","—",INDEX(LdCNote,$N1960)),""))))</f>
        <v/>
      </c>
      <c r="L1960">
        <f>IFERROR(MATCH($C$5&amp;"|"&amp;RIGHT("000000"&amp;1944,6),LdAKeyM,0),"")</f>
        <v/>
      </c>
      <c r="M1960">
        <f>IFERROR(MATCH($C$5&amp;"|"&amp;RIGHT("000000"&amp;1944,6),LdBKeyM,0),"")</f>
        <v/>
      </c>
      <c r="N1960">
        <f>IFERROR(MATCH($C$5&amp;"|"&amp;RIGHT("000000"&amp;1944,6),LdCKeyM,0),"")</f>
        <v/>
      </c>
    </row>
    <row r="1961">
      <c r="A1961" s="10" t="n">
        <v>1945</v>
      </c>
      <c r="B1961" s="14">
        <f>IF(AND($L1961="",$M1961="",$N1961=""),"",IF($L1961&lt;&gt;"",INDEX(LdADate,$L1961),IF($M1961&lt;&gt;"",INDEX(LdBDate,$M1961),INDEX(LdCDate,$N1961))))</f>
        <v/>
      </c>
      <c r="C1961" s="14">
        <f>IF($L1961&lt;&gt;"","دستمزد (فردی)",IF($M1961&lt;&gt;"","سهم از گروه "&amp;IFERROR(VLOOKUP(INDEX(LdBGroup,$M1961),WGTbl,2,0),INDEX(LdBGroup,$M1961)),IF($N1961&lt;&gt;"",IF(N(INDEX(LdCDep,$N1961))&gt;0,"بازگشت بانکی","پرداخت بانکی"),"")))</f>
        <v/>
      </c>
      <c r="D1961" s="14">
        <f>IF($L1961&lt;&gt;"",IF(INDEX(LdAId,$L1961)="","—",INDEX(LdAId,$L1961)),IF($M1961&lt;&gt;"",IF(INDEX(LdBId,$M1961)="","—",INDEX(LdBId,$M1961)),IF($N1961&lt;&gt;"",IF(INDEX(LdCBank,$N1961)="","—",INDEX(LdCBank,$N1961)),"")))</f>
        <v/>
      </c>
      <c r="E1961" s="16">
        <f>IF($L1961&lt;&gt;"",IF(INDEX(LdAAmt,$L1961)=0,"",INDEX(LdAAmt,$L1961)),IF($M1961&lt;&gt;"",IF(INDEX(LdBAmt,$M1961)=0,"",INDEX(LdBAmt,$M1961)),IF($N1961&lt;&gt;"",IF(INDEX(LdCDep,$N1961)=0,"",INDEX(LdCDep,$N1961)),"")))</f>
        <v/>
      </c>
      <c r="F1961" s="16">
        <f>IF(AND($L1961="",$M1961="",$N1961=""),"",IF($N1961="","",IF(INDEX(LdCWit,$N1961)=0,"",INDEX(LdCWit,$N1961))))</f>
        <v/>
      </c>
      <c r="G1961" s="29">
        <f>IF($B1961="","",IF($G1960="",0,$G1960)+IF($E1961="",0,$E1961)-IF($F1961="",0,$F1961))</f>
        <v/>
      </c>
      <c r="H1961" s="30">
        <f>IF(AND($L1961="",$M1961="",$N1961=""),"",IF($L1961&lt;&gt;"",IF(INDEX(LdANote,$L1961)="","—",INDEX(LdANote,$L1961)),IF($M1961&lt;&gt;"",IF(INDEX(LdBNote,$M1961)="","—",INDEX(LdBNote,$M1961)),IF($N1961&lt;&gt;"",IF(INDEX(LdCNote,$N1961)="","—",INDEX(LdCNote,$N1961)),""))))</f>
        <v/>
      </c>
      <c r="L1961">
        <f>IFERROR(MATCH($C$5&amp;"|"&amp;RIGHT("000000"&amp;1945,6),LdAKeyM,0),"")</f>
        <v/>
      </c>
      <c r="M1961">
        <f>IFERROR(MATCH($C$5&amp;"|"&amp;RIGHT("000000"&amp;1945,6),LdBKeyM,0),"")</f>
        <v/>
      </c>
      <c r="N1961">
        <f>IFERROR(MATCH($C$5&amp;"|"&amp;RIGHT("000000"&amp;1945,6),LdCKeyM,0),"")</f>
        <v/>
      </c>
    </row>
    <row r="1962">
      <c r="A1962" s="19" t="n">
        <v>1946</v>
      </c>
      <c r="B1962" s="20">
        <f>IF(AND($L1962="",$M1962="",$N1962=""),"",IF($L1962&lt;&gt;"",INDEX(LdADate,$L1962),IF($M1962&lt;&gt;"",INDEX(LdBDate,$M1962),INDEX(LdCDate,$N1962))))</f>
        <v/>
      </c>
      <c r="C1962" s="20">
        <f>IF($L1962&lt;&gt;"","دستمزد (فردی)",IF($M1962&lt;&gt;"","سهم از گروه "&amp;IFERROR(VLOOKUP(INDEX(LdBGroup,$M1962),WGTbl,2,0),INDEX(LdBGroup,$M1962)),IF($N1962&lt;&gt;"",IF(N(INDEX(LdCDep,$N1962))&gt;0,"بازگشت بانکی","پرداخت بانکی"),"")))</f>
        <v/>
      </c>
      <c r="D1962" s="20">
        <f>IF($L1962&lt;&gt;"",IF(INDEX(LdAId,$L1962)="","—",INDEX(LdAId,$L1962)),IF($M1962&lt;&gt;"",IF(INDEX(LdBId,$M1962)="","—",INDEX(LdBId,$M1962)),IF($N1962&lt;&gt;"",IF(INDEX(LdCBank,$N1962)="","—",INDEX(LdCBank,$N1962)),"")))</f>
        <v/>
      </c>
      <c r="E1962" s="21">
        <f>IF($L1962&lt;&gt;"",IF(INDEX(LdAAmt,$L1962)=0,"",INDEX(LdAAmt,$L1962)),IF($M1962&lt;&gt;"",IF(INDEX(LdBAmt,$M1962)=0,"",INDEX(LdBAmt,$M1962)),IF($N1962&lt;&gt;"",IF(INDEX(LdCDep,$N1962)=0,"",INDEX(LdCDep,$N1962)),"")))</f>
        <v/>
      </c>
      <c r="F1962" s="21">
        <f>IF(AND($L1962="",$M1962="",$N1962=""),"",IF($N1962="","",IF(INDEX(LdCWit,$N1962)=0,"",INDEX(LdCWit,$N1962))))</f>
        <v/>
      </c>
      <c r="G1962" s="31">
        <f>IF($B1962="","",IF($G1961="",0,$G1961)+IF($E1962="",0,$E1962)-IF($F1962="",0,$F1962))</f>
        <v/>
      </c>
      <c r="H1962" s="32">
        <f>IF(AND($L1962="",$M1962="",$N1962=""),"",IF($L1962&lt;&gt;"",IF(INDEX(LdANote,$L1962)="","—",INDEX(LdANote,$L1962)),IF($M1962&lt;&gt;"",IF(INDEX(LdBNote,$M1962)="","—",INDEX(LdBNote,$M1962)),IF($N1962&lt;&gt;"",IF(INDEX(LdCNote,$N1962)="","—",INDEX(LdCNote,$N1962)),""))))</f>
        <v/>
      </c>
      <c r="L1962">
        <f>IFERROR(MATCH($C$5&amp;"|"&amp;RIGHT("000000"&amp;1946,6),LdAKeyM,0),"")</f>
        <v/>
      </c>
      <c r="M1962">
        <f>IFERROR(MATCH($C$5&amp;"|"&amp;RIGHT("000000"&amp;1946,6),LdBKeyM,0),"")</f>
        <v/>
      </c>
      <c r="N1962">
        <f>IFERROR(MATCH($C$5&amp;"|"&amp;RIGHT("000000"&amp;1946,6),LdCKeyM,0),"")</f>
        <v/>
      </c>
    </row>
    <row r="1963">
      <c r="A1963" s="10" t="n">
        <v>1947</v>
      </c>
      <c r="B1963" s="14">
        <f>IF(AND($L1963="",$M1963="",$N1963=""),"",IF($L1963&lt;&gt;"",INDEX(LdADate,$L1963),IF($M1963&lt;&gt;"",INDEX(LdBDate,$M1963),INDEX(LdCDate,$N1963))))</f>
        <v/>
      </c>
      <c r="C1963" s="14">
        <f>IF($L1963&lt;&gt;"","دستمزد (فردی)",IF($M1963&lt;&gt;"","سهم از گروه "&amp;IFERROR(VLOOKUP(INDEX(LdBGroup,$M1963),WGTbl,2,0),INDEX(LdBGroup,$M1963)),IF($N1963&lt;&gt;"",IF(N(INDEX(LdCDep,$N1963))&gt;0,"بازگشت بانکی","پرداخت بانکی"),"")))</f>
        <v/>
      </c>
      <c r="D1963" s="14">
        <f>IF($L1963&lt;&gt;"",IF(INDEX(LdAId,$L1963)="","—",INDEX(LdAId,$L1963)),IF($M1963&lt;&gt;"",IF(INDEX(LdBId,$M1963)="","—",INDEX(LdBId,$M1963)),IF($N1963&lt;&gt;"",IF(INDEX(LdCBank,$N1963)="","—",INDEX(LdCBank,$N1963)),"")))</f>
        <v/>
      </c>
      <c r="E1963" s="16">
        <f>IF($L1963&lt;&gt;"",IF(INDEX(LdAAmt,$L1963)=0,"",INDEX(LdAAmt,$L1963)),IF($M1963&lt;&gt;"",IF(INDEX(LdBAmt,$M1963)=0,"",INDEX(LdBAmt,$M1963)),IF($N1963&lt;&gt;"",IF(INDEX(LdCDep,$N1963)=0,"",INDEX(LdCDep,$N1963)),"")))</f>
        <v/>
      </c>
      <c r="F1963" s="16">
        <f>IF(AND($L1963="",$M1963="",$N1963=""),"",IF($N1963="","",IF(INDEX(LdCWit,$N1963)=0,"",INDEX(LdCWit,$N1963))))</f>
        <v/>
      </c>
      <c r="G1963" s="29">
        <f>IF($B1963="","",IF($G1962="",0,$G1962)+IF($E1963="",0,$E1963)-IF($F1963="",0,$F1963))</f>
        <v/>
      </c>
      <c r="H1963" s="30">
        <f>IF(AND($L1963="",$M1963="",$N1963=""),"",IF($L1963&lt;&gt;"",IF(INDEX(LdANote,$L1963)="","—",INDEX(LdANote,$L1963)),IF($M1963&lt;&gt;"",IF(INDEX(LdBNote,$M1963)="","—",INDEX(LdBNote,$M1963)),IF($N1963&lt;&gt;"",IF(INDEX(LdCNote,$N1963)="","—",INDEX(LdCNote,$N1963)),""))))</f>
        <v/>
      </c>
      <c r="L1963">
        <f>IFERROR(MATCH($C$5&amp;"|"&amp;RIGHT("000000"&amp;1947,6),LdAKeyM,0),"")</f>
        <v/>
      </c>
      <c r="M1963">
        <f>IFERROR(MATCH($C$5&amp;"|"&amp;RIGHT("000000"&amp;1947,6),LdBKeyM,0),"")</f>
        <v/>
      </c>
      <c r="N1963">
        <f>IFERROR(MATCH($C$5&amp;"|"&amp;RIGHT("000000"&amp;1947,6),LdCKeyM,0),"")</f>
        <v/>
      </c>
    </row>
    <row r="1964">
      <c r="A1964" s="19" t="n">
        <v>1948</v>
      </c>
      <c r="B1964" s="20">
        <f>IF(AND($L1964="",$M1964="",$N1964=""),"",IF($L1964&lt;&gt;"",INDEX(LdADate,$L1964),IF($M1964&lt;&gt;"",INDEX(LdBDate,$M1964),INDEX(LdCDate,$N1964))))</f>
        <v/>
      </c>
      <c r="C1964" s="20">
        <f>IF($L1964&lt;&gt;"","دستمزد (فردی)",IF($M1964&lt;&gt;"","سهم از گروه "&amp;IFERROR(VLOOKUP(INDEX(LdBGroup,$M1964),WGTbl,2,0),INDEX(LdBGroup,$M1964)),IF($N1964&lt;&gt;"",IF(N(INDEX(LdCDep,$N1964))&gt;0,"بازگشت بانکی","پرداخت بانکی"),"")))</f>
        <v/>
      </c>
      <c r="D1964" s="20">
        <f>IF($L1964&lt;&gt;"",IF(INDEX(LdAId,$L1964)="","—",INDEX(LdAId,$L1964)),IF($M1964&lt;&gt;"",IF(INDEX(LdBId,$M1964)="","—",INDEX(LdBId,$M1964)),IF($N1964&lt;&gt;"",IF(INDEX(LdCBank,$N1964)="","—",INDEX(LdCBank,$N1964)),"")))</f>
        <v/>
      </c>
      <c r="E1964" s="21">
        <f>IF($L1964&lt;&gt;"",IF(INDEX(LdAAmt,$L1964)=0,"",INDEX(LdAAmt,$L1964)),IF($M1964&lt;&gt;"",IF(INDEX(LdBAmt,$M1964)=0,"",INDEX(LdBAmt,$M1964)),IF($N1964&lt;&gt;"",IF(INDEX(LdCDep,$N1964)=0,"",INDEX(LdCDep,$N1964)),"")))</f>
        <v/>
      </c>
      <c r="F1964" s="21">
        <f>IF(AND($L1964="",$M1964="",$N1964=""),"",IF($N1964="","",IF(INDEX(LdCWit,$N1964)=0,"",INDEX(LdCWit,$N1964))))</f>
        <v/>
      </c>
      <c r="G1964" s="31">
        <f>IF($B1964="","",IF($G1963="",0,$G1963)+IF($E1964="",0,$E1964)-IF($F1964="",0,$F1964))</f>
        <v/>
      </c>
      <c r="H1964" s="32">
        <f>IF(AND($L1964="",$M1964="",$N1964=""),"",IF($L1964&lt;&gt;"",IF(INDEX(LdANote,$L1964)="","—",INDEX(LdANote,$L1964)),IF($M1964&lt;&gt;"",IF(INDEX(LdBNote,$M1964)="","—",INDEX(LdBNote,$M1964)),IF($N1964&lt;&gt;"",IF(INDEX(LdCNote,$N1964)="","—",INDEX(LdCNote,$N1964)),""))))</f>
        <v/>
      </c>
      <c r="L1964">
        <f>IFERROR(MATCH($C$5&amp;"|"&amp;RIGHT("000000"&amp;1948,6),LdAKeyM,0),"")</f>
        <v/>
      </c>
      <c r="M1964">
        <f>IFERROR(MATCH($C$5&amp;"|"&amp;RIGHT("000000"&amp;1948,6),LdBKeyM,0),"")</f>
        <v/>
      </c>
      <c r="N1964">
        <f>IFERROR(MATCH($C$5&amp;"|"&amp;RIGHT("000000"&amp;1948,6),LdCKeyM,0),"")</f>
        <v/>
      </c>
    </row>
    <row r="1965">
      <c r="A1965" s="10" t="n">
        <v>1949</v>
      </c>
      <c r="B1965" s="14">
        <f>IF(AND($L1965="",$M1965="",$N1965=""),"",IF($L1965&lt;&gt;"",INDEX(LdADate,$L1965),IF($M1965&lt;&gt;"",INDEX(LdBDate,$M1965),INDEX(LdCDate,$N1965))))</f>
        <v/>
      </c>
      <c r="C1965" s="14">
        <f>IF($L1965&lt;&gt;"","دستمزد (فردی)",IF($M1965&lt;&gt;"","سهم از گروه "&amp;IFERROR(VLOOKUP(INDEX(LdBGroup,$M1965),WGTbl,2,0),INDEX(LdBGroup,$M1965)),IF($N1965&lt;&gt;"",IF(N(INDEX(LdCDep,$N1965))&gt;0,"بازگشت بانکی","پرداخت بانکی"),"")))</f>
        <v/>
      </c>
      <c r="D1965" s="14">
        <f>IF($L1965&lt;&gt;"",IF(INDEX(LdAId,$L1965)="","—",INDEX(LdAId,$L1965)),IF($M1965&lt;&gt;"",IF(INDEX(LdBId,$M1965)="","—",INDEX(LdBId,$M1965)),IF($N1965&lt;&gt;"",IF(INDEX(LdCBank,$N1965)="","—",INDEX(LdCBank,$N1965)),"")))</f>
        <v/>
      </c>
      <c r="E1965" s="16">
        <f>IF($L1965&lt;&gt;"",IF(INDEX(LdAAmt,$L1965)=0,"",INDEX(LdAAmt,$L1965)),IF($M1965&lt;&gt;"",IF(INDEX(LdBAmt,$M1965)=0,"",INDEX(LdBAmt,$M1965)),IF($N1965&lt;&gt;"",IF(INDEX(LdCDep,$N1965)=0,"",INDEX(LdCDep,$N1965)),"")))</f>
        <v/>
      </c>
      <c r="F1965" s="16">
        <f>IF(AND($L1965="",$M1965="",$N1965=""),"",IF($N1965="","",IF(INDEX(LdCWit,$N1965)=0,"",INDEX(LdCWit,$N1965))))</f>
        <v/>
      </c>
      <c r="G1965" s="29">
        <f>IF($B1965="","",IF($G1964="",0,$G1964)+IF($E1965="",0,$E1965)-IF($F1965="",0,$F1965))</f>
        <v/>
      </c>
      <c r="H1965" s="30">
        <f>IF(AND($L1965="",$M1965="",$N1965=""),"",IF($L1965&lt;&gt;"",IF(INDEX(LdANote,$L1965)="","—",INDEX(LdANote,$L1965)),IF($M1965&lt;&gt;"",IF(INDEX(LdBNote,$M1965)="","—",INDEX(LdBNote,$M1965)),IF($N1965&lt;&gt;"",IF(INDEX(LdCNote,$N1965)="","—",INDEX(LdCNote,$N1965)),""))))</f>
        <v/>
      </c>
      <c r="L1965">
        <f>IFERROR(MATCH($C$5&amp;"|"&amp;RIGHT("000000"&amp;1949,6),LdAKeyM,0),"")</f>
        <v/>
      </c>
      <c r="M1965">
        <f>IFERROR(MATCH($C$5&amp;"|"&amp;RIGHT("000000"&amp;1949,6),LdBKeyM,0),"")</f>
        <v/>
      </c>
      <c r="N1965">
        <f>IFERROR(MATCH($C$5&amp;"|"&amp;RIGHT("000000"&amp;1949,6),LdCKeyM,0),"")</f>
        <v/>
      </c>
    </row>
    <row r="1966">
      <c r="A1966" s="19" t="n">
        <v>1950</v>
      </c>
      <c r="B1966" s="20">
        <f>IF(AND($L1966="",$M1966="",$N1966=""),"",IF($L1966&lt;&gt;"",INDEX(LdADate,$L1966),IF($M1966&lt;&gt;"",INDEX(LdBDate,$M1966),INDEX(LdCDate,$N1966))))</f>
        <v/>
      </c>
      <c r="C1966" s="20">
        <f>IF($L1966&lt;&gt;"","دستمزد (فردی)",IF($M1966&lt;&gt;"","سهم از گروه "&amp;IFERROR(VLOOKUP(INDEX(LdBGroup,$M1966),WGTbl,2,0),INDEX(LdBGroup,$M1966)),IF($N1966&lt;&gt;"",IF(N(INDEX(LdCDep,$N1966))&gt;0,"بازگشت بانکی","پرداخت بانکی"),"")))</f>
        <v/>
      </c>
      <c r="D1966" s="20">
        <f>IF($L1966&lt;&gt;"",IF(INDEX(LdAId,$L1966)="","—",INDEX(LdAId,$L1966)),IF($M1966&lt;&gt;"",IF(INDEX(LdBId,$M1966)="","—",INDEX(LdBId,$M1966)),IF($N1966&lt;&gt;"",IF(INDEX(LdCBank,$N1966)="","—",INDEX(LdCBank,$N1966)),"")))</f>
        <v/>
      </c>
      <c r="E1966" s="21">
        <f>IF($L1966&lt;&gt;"",IF(INDEX(LdAAmt,$L1966)=0,"",INDEX(LdAAmt,$L1966)),IF($M1966&lt;&gt;"",IF(INDEX(LdBAmt,$M1966)=0,"",INDEX(LdBAmt,$M1966)),IF($N1966&lt;&gt;"",IF(INDEX(LdCDep,$N1966)=0,"",INDEX(LdCDep,$N1966)),"")))</f>
        <v/>
      </c>
      <c r="F1966" s="21">
        <f>IF(AND($L1966="",$M1966="",$N1966=""),"",IF($N1966="","",IF(INDEX(LdCWit,$N1966)=0,"",INDEX(LdCWit,$N1966))))</f>
        <v/>
      </c>
      <c r="G1966" s="31">
        <f>IF($B1966="","",IF($G1965="",0,$G1965)+IF($E1966="",0,$E1966)-IF($F1966="",0,$F1966))</f>
        <v/>
      </c>
      <c r="H1966" s="32">
        <f>IF(AND($L1966="",$M1966="",$N1966=""),"",IF($L1966&lt;&gt;"",IF(INDEX(LdANote,$L1966)="","—",INDEX(LdANote,$L1966)),IF($M1966&lt;&gt;"",IF(INDEX(LdBNote,$M1966)="","—",INDEX(LdBNote,$M1966)),IF($N1966&lt;&gt;"",IF(INDEX(LdCNote,$N1966)="","—",INDEX(LdCNote,$N1966)),""))))</f>
        <v/>
      </c>
      <c r="L1966">
        <f>IFERROR(MATCH($C$5&amp;"|"&amp;RIGHT("000000"&amp;1950,6),LdAKeyM,0),"")</f>
        <v/>
      </c>
      <c r="M1966">
        <f>IFERROR(MATCH($C$5&amp;"|"&amp;RIGHT("000000"&amp;1950,6),LdBKeyM,0),"")</f>
        <v/>
      </c>
      <c r="N1966">
        <f>IFERROR(MATCH($C$5&amp;"|"&amp;RIGHT("000000"&amp;1950,6),LdCKeyM,0),"")</f>
        <v/>
      </c>
    </row>
    <row r="1967">
      <c r="A1967" s="10" t="n">
        <v>1951</v>
      </c>
      <c r="B1967" s="14">
        <f>IF(AND($L1967="",$M1967="",$N1967=""),"",IF($L1967&lt;&gt;"",INDEX(LdADate,$L1967),IF($M1967&lt;&gt;"",INDEX(LdBDate,$M1967),INDEX(LdCDate,$N1967))))</f>
        <v/>
      </c>
      <c r="C1967" s="14">
        <f>IF($L1967&lt;&gt;"","دستمزد (فردی)",IF($M1967&lt;&gt;"","سهم از گروه "&amp;IFERROR(VLOOKUP(INDEX(LdBGroup,$M1967),WGTbl,2,0),INDEX(LdBGroup,$M1967)),IF($N1967&lt;&gt;"",IF(N(INDEX(LdCDep,$N1967))&gt;0,"بازگشت بانکی","پرداخت بانکی"),"")))</f>
        <v/>
      </c>
      <c r="D1967" s="14">
        <f>IF($L1967&lt;&gt;"",IF(INDEX(LdAId,$L1967)="","—",INDEX(LdAId,$L1967)),IF($M1967&lt;&gt;"",IF(INDEX(LdBId,$M1967)="","—",INDEX(LdBId,$M1967)),IF($N1967&lt;&gt;"",IF(INDEX(LdCBank,$N1967)="","—",INDEX(LdCBank,$N1967)),"")))</f>
        <v/>
      </c>
      <c r="E1967" s="16">
        <f>IF($L1967&lt;&gt;"",IF(INDEX(LdAAmt,$L1967)=0,"",INDEX(LdAAmt,$L1967)),IF($M1967&lt;&gt;"",IF(INDEX(LdBAmt,$M1967)=0,"",INDEX(LdBAmt,$M1967)),IF($N1967&lt;&gt;"",IF(INDEX(LdCDep,$N1967)=0,"",INDEX(LdCDep,$N1967)),"")))</f>
        <v/>
      </c>
      <c r="F1967" s="16">
        <f>IF(AND($L1967="",$M1967="",$N1967=""),"",IF($N1967="","",IF(INDEX(LdCWit,$N1967)=0,"",INDEX(LdCWit,$N1967))))</f>
        <v/>
      </c>
      <c r="G1967" s="29">
        <f>IF($B1967="","",IF($G1966="",0,$G1966)+IF($E1967="",0,$E1967)-IF($F1967="",0,$F1967))</f>
        <v/>
      </c>
      <c r="H1967" s="30">
        <f>IF(AND($L1967="",$M1967="",$N1967=""),"",IF($L1967&lt;&gt;"",IF(INDEX(LdANote,$L1967)="","—",INDEX(LdANote,$L1967)),IF($M1967&lt;&gt;"",IF(INDEX(LdBNote,$M1967)="","—",INDEX(LdBNote,$M1967)),IF($N1967&lt;&gt;"",IF(INDEX(LdCNote,$N1967)="","—",INDEX(LdCNote,$N1967)),""))))</f>
        <v/>
      </c>
      <c r="L1967">
        <f>IFERROR(MATCH($C$5&amp;"|"&amp;RIGHT("000000"&amp;1951,6),LdAKeyM,0),"")</f>
        <v/>
      </c>
      <c r="M1967">
        <f>IFERROR(MATCH($C$5&amp;"|"&amp;RIGHT("000000"&amp;1951,6),LdBKeyM,0),"")</f>
        <v/>
      </c>
      <c r="N1967">
        <f>IFERROR(MATCH($C$5&amp;"|"&amp;RIGHT("000000"&amp;1951,6),LdCKeyM,0),"")</f>
        <v/>
      </c>
    </row>
    <row r="1968">
      <c r="A1968" s="19" t="n">
        <v>1952</v>
      </c>
      <c r="B1968" s="20">
        <f>IF(AND($L1968="",$M1968="",$N1968=""),"",IF($L1968&lt;&gt;"",INDEX(LdADate,$L1968),IF($M1968&lt;&gt;"",INDEX(LdBDate,$M1968),INDEX(LdCDate,$N1968))))</f>
        <v/>
      </c>
      <c r="C1968" s="20">
        <f>IF($L1968&lt;&gt;"","دستمزد (فردی)",IF($M1968&lt;&gt;"","سهم از گروه "&amp;IFERROR(VLOOKUP(INDEX(LdBGroup,$M1968),WGTbl,2,0),INDEX(LdBGroup,$M1968)),IF($N1968&lt;&gt;"",IF(N(INDEX(LdCDep,$N1968))&gt;0,"بازگشت بانکی","پرداخت بانکی"),"")))</f>
        <v/>
      </c>
      <c r="D1968" s="20">
        <f>IF($L1968&lt;&gt;"",IF(INDEX(LdAId,$L1968)="","—",INDEX(LdAId,$L1968)),IF($M1968&lt;&gt;"",IF(INDEX(LdBId,$M1968)="","—",INDEX(LdBId,$M1968)),IF($N1968&lt;&gt;"",IF(INDEX(LdCBank,$N1968)="","—",INDEX(LdCBank,$N1968)),"")))</f>
        <v/>
      </c>
      <c r="E1968" s="21">
        <f>IF($L1968&lt;&gt;"",IF(INDEX(LdAAmt,$L1968)=0,"",INDEX(LdAAmt,$L1968)),IF($M1968&lt;&gt;"",IF(INDEX(LdBAmt,$M1968)=0,"",INDEX(LdBAmt,$M1968)),IF($N1968&lt;&gt;"",IF(INDEX(LdCDep,$N1968)=0,"",INDEX(LdCDep,$N1968)),"")))</f>
        <v/>
      </c>
      <c r="F1968" s="21">
        <f>IF(AND($L1968="",$M1968="",$N1968=""),"",IF($N1968="","",IF(INDEX(LdCWit,$N1968)=0,"",INDEX(LdCWit,$N1968))))</f>
        <v/>
      </c>
      <c r="G1968" s="31">
        <f>IF($B1968="","",IF($G1967="",0,$G1967)+IF($E1968="",0,$E1968)-IF($F1968="",0,$F1968))</f>
        <v/>
      </c>
      <c r="H1968" s="32">
        <f>IF(AND($L1968="",$M1968="",$N1968=""),"",IF($L1968&lt;&gt;"",IF(INDEX(LdANote,$L1968)="","—",INDEX(LdANote,$L1968)),IF($M1968&lt;&gt;"",IF(INDEX(LdBNote,$M1968)="","—",INDEX(LdBNote,$M1968)),IF($N1968&lt;&gt;"",IF(INDEX(LdCNote,$N1968)="","—",INDEX(LdCNote,$N1968)),""))))</f>
        <v/>
      </c>
      <c r="L1968">
        <f>IFERROR(MATCH($C$5&amp;"|"&amp;RIGHT("000000"&amp;1952,6),LdAKeyM,0),"")</f>
        <v/>
      </c>
      <c r="M1968">
        <f>IFERROR(MATCH($C$5&amp;"|"&amp;RIGHT("000000"&amp;1952,6),LdBKeyM,0),"")</f>
        <v/>
      </c>
      <c r="N1968">
        <f>IFERROR(MATCH($C$5&amp;"|"&amp;RIGHT("000000"&amp;1952,6),LdCKeyM,0),"")</f>
        <v/>
      </c>
    </row>
    <row r="1969">
      <c r="A1969" s="10" t="n">
        <v>1953</v>
      </c>
      <c r="B1969" s="14">
        <f>IF(AND($L1969="",$M1969="",$N1969=""),"",IF($L1969&lt;&gt;"",INDEX(LdADate,$L1969),IF($M1969&lt;&gt;"",INDEX(LdBDate,$M1969),INDEX(LdCDate,$N1969))))</f>
        <v/>
      </c>
      <c r="C1969" s="14">
        <f>IF($L1969&lt;&gt;"","دستمزد (فردی)",IF($M1969&lt;&gt;"","سهم از گروه "&amp;IFERROR(VLOOKUP(INDEX(LdBGroup,$M1969),WGTbl,2,0),INDEX(LdBGroup,$M1969)),IF($N1969&lt;&gt;"",IF(N(INDEX(LdCDep,$N1969))&gt;0,"بازگشت بانکی","پرداخت بانکی"),"")))</f>
        <v/>
      </c>
      <c r="D1969" s="14">
        <f>IF($L1969&lt;&gt;"",IF(INDEX(LdAId,$L1969)="","—",INDEX(LdAId,$L1969)),IF($M1969&lt;&gt;"",IF(INDEX(LdBId,$M1969)="","—",INDEX(LdBId,$M1969)),IF($N1969&lt;&gt;"",IF(INDEX(LdCBank,$N1969)="","—",INDEX(LdCBank,$N1969)),"")))</f>
        <v/>
      </c>
      <c r="E1969" s="16">
        <f>IF($L1969&lt;&gt;"",IF(INDEX(LdAAmt,$L1969)=0,"",INDEX(LdAAmt,$L1969)),IF($M1969&lt;&gt;"",IF(INDEX(LdBAmt,$M1969)=0,"",INDEX(LdBAmt,$M1969)),IF($N1969&lt;&gt;"",IF(INDEX(LdCDep,$N1969)=0,"",INDEX(LdCDep,$N1969)),"")))</f>
        <v/>
      </c>
      <c r="F1969" s="16">
        <f>IF(AND($L1969="",$M1969="",$N1969=""),"",IF($N1969="","",IF(INDEX(LdCWit,$N1969)=0,"",INDEX(LdCWit,$N1969))))</f>
        <v/>
      </c>
      <c r="G1969" s="29">
        <f>IF($B1969="","",IF($G1968="",0,$G1968)+IF($E1969="",0,$E1969)-IF($F1969="",0,$F1969))</f>
        <v/>
      </c>
      <c r="H1969" s="30">
        <f>IF(AND($L1969="",$M1969="",$N1969=""),"",IF($L1969&lt;&gt;"",IF(INDEX(LdANote,$L1969)="","—",INDEX(LdANote,$L1969)),IF($M1969&lt;&gt;"",IF(INDEX(LdBNote,$M1969)="","—",INDEX(LdBNote,$M1969)),IF($N1969&lt;&gt;"",IF(INDEX(LdCNote,$N1969)="","—",INDEX(LdCNote,$N1969)),""))))</f>
        <v/>
      </c>
      <c r="L1969">
        <f>IFERROR(MATCH($C$5&amp;"|"&amp;RIGHT("000000"&amp;1953,6),LdAKeyM,0),"")</f>
        <v/>
      </c>
      <c r="M1969">
        <f>IFERROR(MATCH($C$5&amp;"|"&amp;RIGHT("000000"&amp;1953,6),LdBKeyM,0),"")</f>
        <v/>
      </c>
      <c r="N1969">
        <f>IFERROR(MATCH($C$5&amp;"|"&amp;RIGHT("000000"&amp;1953,6),LdCKeyM,0),"")</f>
        <v/>
      </c>
    </row>
    <row r="1970">
      <c r="A1970" s="19" t="n">
        <v>1954</v>
      </c>
      <c r="B1970" s="20">
        <f>IF(AND($L1970="",$M1970="",$N1970=""),"",IF($L1970&lt;&gt;"",INDEX(LdADate,$L1970),IF($M1970&lt;&gt;"",INDEX(LdBDate,$M1970),INDEX(LdCDate,$N1970))))</f>
        <v/>
      </c>
      <c r="C1970" s="20">
        <f>IF($L1970&lt;&gt;"","دستمزد (فردی)",IF($M1970&lt;&gt;"","سهم از گروه "&amp;IFERROR(VLOOKUP(INDEX(LdBGroup,$M1970),WGTbl,2,0),INDEX(LdBGroup,$M1970)),IF($N1970&lt;&gt;"",IF(N(INDEX(LdCDep,$N1970))&gt;0,"بازگشت بانکی","پرداخت بانکی"),"")))</f>
        <v/>
      </c>
      <c r="D1970" s="20">
        <f>IF($L1970&lt;&gt;"",IF(INDEX(LdAId,$L1970)="","—",INDEX(LdAId,$L1970)),IF($M1970&lt;&gt;"",IF(INDEX(LdBId,$M1970)="","—",INDEX(LdBId,$M1970)),IF($N1970&lt;&gt;"",IF(INDEX(LdCBank,$N1970)="","—",INDEX(LdCBank,$N1970)),"")))</f>
        <v/>
      </c>
      <c r="E1970" s="21">
        <f>IF($L1970&lt;&gt;"",IF(INDEX(LdAAmt,$L1970)=0,"",INDEX(LdAAmt,$L1970)),IF($M1970&lt;&gt;"",IF(INDEX(LdBAmt,$M1970)=0,"",INDEX(LdBAmt,$M1970)),IF($N1970&lt;&gt;"",IF(INDEX(LdCDep,$N1970)=0,"",INDEX(LdCDep,$N1970)),"")))</f>
        <v/>
      </c>
      <c r="F1970" s="21">
        <f>IF(AND($L1970="",$M1970="",$N1970=""),"",IF($N1970="","",IF(INDEX(LdCWit,$N1970)=0,"",INDEX(LdCWit,$N1970))))</f>
        <v/>
      </c>
      <c r="G1970" s="31">
        <f>IF($B1970="","",IF($G1969="",0,$G1969)+IF($E1970="",0,$E1970)-IF($F1970="",0,$F1970))</f>
        <v/>
      </c>
      <c r="H1970" s="32">
        <f>IF(AND($L1970="",$M1970="",$N1970=""),"",IF($L1970&lt;&gt;"",IF(INDEX(LdANote,$L1970)="","—",INDEX(LdANote,$L1970)),IF($M1970&lt;&gt;"",IF(INDEX(LdBNote,$M1970)="","—",INDEX(LdBNote,$M1970)),IF($N1970&lt;&gt;"",IF(INDEX(LdCNote,$N1970)="","—",INDEX(LdCNote,$N1970)),""))))</f>
        <v/>
      </c>
      <c r="L1970">
        <f>IFERROR(MATCH($C$5&amp;"|"&amp;RIGHT("000000"&amp;1954,6),LdAKeyM,0),"")</f>
        <v/>
      </c>
      <c r="M1970">
        <f>IFERROR(MATCH($C$5&amp;"|"&amp;RIGHT("000000"&amp;1954,6),LdBKeyM,0),"")</f>
        <v/>
      </c>
      <c r="N1970">
        <f>IFERROR(MATCH($C$5&amp;"|"&amp;RIGHT("000000"&amp;1954,6),LdCKeyM,0),"")</f>
        <v/>
      </c>
    </row>
    <row r="1971">
      <c r="A1971" s="10" t="n">
        <v>1955</v>
      </c>
      <c r="B1971" s="14">
        <f>IF(AND($L1971="",$M1971="",$N1971=""),"",IF($L1971&lt;&gt;"",INDEX(LdADate,$L1971),IF($M1971&lt;&gt;"",INDEX(LdBDate,$M1971),INDEX(LdCDate,$N1971))))</f>
        <v/>
      </c>
      <c r="C1971" s="14">
        <f>IF($L1971&lt;&gt;"","دستمزد (فردی)",IF($M1971&lt;&gt;"","سهم از گروه "&amp;IFERROR(VLOOKUP(INDEX(LdBGroup,$M1971),WGTbl,2,0),INDEX(LdBGroup,$M1971)),IF($N1971&lt;&gt;"",IF(N(INDEX(LdCDep,$N1971))&gt;0,"بازگشت بانکی","پرداخت بانکی"),"")))</f>
        <v/>
      </c>
      <c r="D1971" s="14">
        <f>IF($L1971&lt;&gt;"",IF(INDEX(LdAId,$L1971)="","—",INDEX(LdAId,$L1971)),IF($M1971&lt;&gt;"",IF(INDEX(LdBId,$M1971)="","—",INDEX(LdBId,$M1971)),IF($N1971&lt;&gt;"",IF(INDEX(LdCBank,$N1971)="","—",INDEX(LdCBank,$N1971)),"")))</f>
        <v/>
      </c>
      <c r="E1971" s="16">
        <f>IF($L1971&lt;&gt;"",IF(INDEX(LdAAmt,$L1971)=0,"",INDEX(LdAAmt,$L1971)),IF($M1971&lt;&gt;"",IF(INDEX(LdBAmt,$M1971)=0,"",INDEX(LdBAmt,$M1971)),IF($N1971&lt;&gt;"",IF(INDEX(LdCDep,$N1971)=0,"",INDEX(LdCDep,$N1971)),"")))</f>
        <v/>
      </c>
      <c r="F1971" s="16">
        <f>IF(AND($L1971="",$M1971="",$N1971=""),"",IF($N1971="","",IF(INDEX(LdCWit,$N1971)=0,"",INDEX(LdCWit,$N1971))))</f>
        <v/>
      </c>
      <c r="G1971" s="29">
        <f>IF($B1971="","",IF($G1970="",0,$G1970)+IF($E1971="",0,$E1971)-IF($F1971="",0,$F1971))</f>
        <v/>
      </c>
      <c r="H1971" s="30">
        <f>IF(AND($L1971="",$M1971="",$N1971=""),"",IF($L1971&lt;&gt;"",IF(INDEX(LdANote,$L1971)="","—",INDEX(LdANote,$L1971)),IF($M1971&lt;&gt;"",IF(INDEX(LdBNote,$M1971)="","—",INDEX(LdBNote,$M1971)),IF($N1971&lt;&gt;"",IF(INDEX(LdCNote,$N1971)="","—",INDEX(LdCNote,$N1971)),""))))</f>
        <v/>
      </c>
      <c r="L1971">
        <f>IFERROR(MATCH($C$5&amp;"|"&amp;RIGHT("000000"&amp;1955,6),LdAKeyM,0),"")</f>
        <v/>
      </c>
      <c r="M1971">
        <f>IFERROR(MATCH($C$5&amp;"|"&amp;RIGHT("000000"&amp;1955,6),LdBKeyM,0),"")</f>
        <v/>
      </c>
      <c r="N1971">
        <f>IFERROR(MATCH($C$5&amp;"|"&amp;RIGHT("000000"&amp;1955,6),LdCKeyM,0),"")</f>
        <v/>
      </c>
    </row>
    <row r="1972">
      <c r="A1972" s="19" t="n">
        <v>1956</v>
      </c>
      <c r="B1972" s="20">
        <f>IF(AND($L1972="",$M1972="",$N1972=""),"",IF($L1972&lt;&gt;"",INDEX(LdADate,$L1972),IF($M1972&lt;&gt;"",INDEX(LdBDate,$M1972),INDEX(LdCDate,$N1972))))</f>
        <v/>
      </c>
      <c r="C1972" s="20">
        <f>IF($L1972&lt;&gt;"","دستمزد (فردی)",IF($M1972&lt;&gt;"","سهم از گروه "&amp;IFERROR(VLOOKUP(INDEX(LdBGroup,$M1972),WGTbl,2,0),INDEX(LdBGroup,$M1972)),IF($N1972&lt;&gt;"",IF(N(INDEX(LdCDep,$N1972))&gt;0,"بازگشت بانکی","پرداخت بانکی"),"")))</f>
        <v/>
      </c>
      <c r="D1972" s="20">
        <f>IF($L1972&lt;&gt;"",IF(INDEX(LdAId,$L1972)="","—",INDEX(LdAId,$L1972)),IF($M1972&lt;&gt;"",IF(INDEX(LdBId,$M1972)="","—",INDEX(LdBId,$M1972)),IF($N1972&lt;&gt;"",IF(INDEX(LdCBank,$N1972)="","—",INDEX(LdCBank,$N1972)),"")))</f>
        <v/>
      </c>
      <c r="E1972" s="21">
        <f>IF($L1972&lt;&gt;"",IF(INDEX(LdAAmt,$L1972)=0,"",INDEX(LdAAmt,$L1972)),IF($M1972&lt;&gt;"",IF(INDEX(LdBAmt,$M1972)=0,"",INDEX(LdBAmt,$M1972)),IF($N1972&lt;&gt;"",IF(INDEX(LdCDep,$N1972)=0,"",INDEX(LdCDep,$N1972)),"")))</f>
        <v/>
      </c>
      <c r="F1972" s="21">
        <f>IF(AND($L1972="",$M1972="",$N1972=""),"",IF($N1972="","",IF(INDEX(LdCWit,$N1972)=0,"",INDEX(LdCWit,$N1972))))</f>
        <v/>
      </c>
      <c r="G1972" s="31">
        <f>IF($B1972="","",IF($G1971="",0,$G1971)+IF($E1972="",0,$E1972)-IF($F1972="",0,$F1972))</f>
        <v/>
      </c>
      <c r="H1972" s="32">
        <f>IF(AND($L1972="",$M1972="",$N1972=""),"",IF($L1972&lt;&gt;"",IF(INDEX(LdANote,$L1972)="","—",INDEX(LdANote,$L1972)),IF($M1972&lt;&gt;"",IF(INDEX(LdBNote,$M1972)="","—",INDEX(LdBNote,$M1972)),IF($N1972&lt;&gt;"",IF(INDEX(LdCNote,$N1972)="","—",INDEX(LdCNote,$N1972)),""))))</f>
        <v/>
      </c>
      <c r="L1972">
        <f>IFERROR(MATCH($C$5&amp;"|"&amp;RIGHT("000000"&amp;1956,6),LdAKeyM,0),"")</f>
        <v/>
      </c>
      <c r="M1972">
        <f>IFERROR(MATCH($C$5&amp;"|"&amp;RIGHT("000000"&amp;1956,6),LdBKeyM,0),"")</f>
        <v/>
      </c>
      <c r="N1972">
        <f>IFERROR(MATCH($C$5&amp;"|"&amp;RIGHT("000000"&amp;1956,6),LdCKeyM,0),"")</f>
        <v/>
      </c>
    </row>
    <row r="1973">
      <c r="A1973" s="10" t="n">
        <v>1957</v>
      </c>
      <c r="B1973" s="14">
        <f>IF(AND($L1973="",$M1973="",$N1973=""),"",IF($L1973&lt;&gt;"",INDEX(LdADate,$L1973),IF($M1973&lt;&gt;"",INDEX(LdBDate,$M1973),INDEX(LdCDate,$N1973))))</f>
        <v/>
      </c>
      <c r="C1973" s="14">
        <f>IF($L1973&lt;&gt;"","دستمزد (فردی)",IF($M1973&lt;&gt;"","سهم از گروه "&amp;IFERROR(VLOOKUP(INDEX(LdBGroup,$M1973),WGTbl,2,0),INDEX(LdBGroup,$M1973)),IF($N1973&lt;&gt;"",IF(N(INDEX(LdCDep,$N1973))&gt;0,"بازگشت بانکی","پرداخت بانکی"),"")))</f>
        <v/>
      </c>
      <c r="D1973" s="14">
        <f>IF($L1973&lt;&gt;"",IF(INDEX(LdAId,$L1973)="","—",INDEX(LdAId,$L1973)),IF($M1973&lt;&gt;"",IF(INDEX(LdBId,$M1973)="","—",INDEX(LdBId,$M1973)),IF($N1973&lt;&gt;"",IF(INDEX(LdCBank,$N1973)="","—",INDEX(LdCBank,$N1973)),"")))</f>
        <v/>
      </c>
      <c r="E1973" s="16">
        <f>IF($L1973&lt;&gt;"",IF(INDEX(LdAAmt,$L1973)=0,"",INDEX(LdAAmt,$L1973)),IF($M1973&lt;&gt;"",IF(INDEX(LdBAmt,$M1973)=0,"",INDEX(LdBAmt,$M1973)),IF($N1973&lt;&gt;"",IF(INDEX(LdCDep,$N1973)=0,"",INDEX(LdCDep,$N1973)),"")))</f>
        <v/>
      </c>
      <c r="F1973" s="16">
        <f>IF(AND($L1973="",$M1973="",$N1973=""),"",IF($N1973="","",IF(INDEX(LdCWit,$N1973)=0,"",INDEX(LdCWit,$N1973))))</f>
        <v/>
      </c>
      <c r="G1973" s="29">
        <f>IF($B1973="","",IF($G1972="",0,$G1972)+IF($E1973="",0,$E1973)-IF($F1973="",0,$F1973))</f>
        <v/>
      </c>
      <c r="H1973" s="30">
        <f>IF(AND($L1973="",$M1973="",$N1973=""),"",IF($L1973&lt;&gt;"",IF(INDEX(LdANote,$L1973)="","—",INDEX(LdANote,$L1973)),IF($M1973&lt;&gt;"",IF(INDEX(LdBNote,$M1973)="","—",INDEX(LdBNote,$M1973)),IF($N1973&lt;&gt;"",IF(INDEX(LdCNote,$N1973)="","—",INDEX(LdCNote,$N1973)),""))))</f>
        <v/>
      </c>
      <c r="L1973">
        <f>IFERROR(MATCH($C$5&amp;"|"&amp;RIGHT("000000"&amp;1957,6),LdAKeyM,0),"")</f>
        <v/>
      </c>
      <c r="M1973">
        <f>IFERROR(MATCH($C$5&amp;"|"&amp;RIGHT("000000"&amp;1957,6),LdBKeyM,0),"")</f>
        <v/>
      </c>
      <c r="N1973">
        <f>IFERROR(MATCH($C$5&amp;"|"&amp;RIGHT("000000"&amp;1957,6),LdCKeyM,0),"")</f>
        <v/>
      </c>
    </row>
    <row r="1974">
      <c r="A1974" s="19" t="n">
        <v>1958</v>
      </c>
      <c r="B1974" s="20">
        <f>IF(AND($L1974="",$M1974="",$N1974=""),"",IF($L1974&lt;&gt;"",INDEX(LdADate,$L1974),IF($M1974&lt;&gt;"",INDEX(LdBDate,$M1974),INDEX(LdCDate,$N1974))))</f>
        <v/>
      </c>
      <c r="C1974" s="20">
        <f>IF($L1974&lt;&gt;"","دستمزد (فردی)",IF($M1974&lt;&gt;"","سهم از گروه "&amp;IFERROR(VLOOKUP(INDEX(LdBGroup,$M1974),WGTbl,2,0),INDEX(LdBGroup,$M1974)),IF($N1974&lt;&gt;"",IF(N(INDEX(LdCDep,$N1974))&gt;0,"بازگشت بانکی","پرداخت بانکی"),"")))</f>
        <v/>
      </c>
      <c r="D1974" s="20">
        <f>IF($L1974&lt;&gt;"",IF(INDEX(LdAId,$L1974)="","—",INDEX(LdAId,$L1974)),IF($M1974&lt;&gt;"",IF(INDEX(LdBId,$M1974)="","—",INDEX(LdBId,$M1974)),IF($N1974&lt;&gt;"",IF(INDEX(LdCBank,$N1974)="","—",INDEX(LdCBank,$N1974)),"")))</f>
        <v/>
      </c>
      <c r="E1974" s="21">
        <f>IF($L1974&lt;&gt;"",IF(INDEX(LdAAmt,$L1974)=0,"",INDEX(LdAAmt,$L1974)),IF($M1974&lt;&gt;"",IF(INDEX(LdBAmt,$M1974)=0,"",INDEX(LdBAmt,$M1974)),IF($N1974&lt;&gt;"",IF(INDEX(LdCDep,$N1974)=0,"",INDEX(LdCDep,$N1974)),"")))</f>
        <v/>
      </c>
      <c r="F1974" s="21">
        <f>IF(AND($L1974="",$M1974="",$N1974=""),"",IF($N1974="","",IF(INDEX(LdCWit,$N1974)=0,"",INDEX(LdCWit,$N1974))))</f>
        <v/>
      </c>
      <c r="G1974" s="31">
        <f>IF($B1974="","",IF($G1973="",0,$G1973)+IF($E1974="",0,$E1974)-IF($F1974="",0,$F1974))</f>
        <v/>
      </c>
      <c r="H1974" s="32">
        <f>IF(AND($L1974="",$M1974="",$N1974=""),"",IF($L1974&lt;&gt;"",IF(INDEX(LdANote,$L1974)="","—",INDEX(LdANote,$L1974)),IF($M1974&lt;&gt;"",IF(INDEX(LdBNote,$M1974)="","—",INDEX(LdBNote,$M1974)),IF($N1974&lt;&gt;"",IF(INDEX(LdCNote,$N1974)="","—",INDEX(LdCNote,$N1974)),""))))</f>
        <v/>
      </c>
      <c r="L1974">
        <f>IFERROR(MATCH($C$5&amp;"|"&amp;RIGHT("000000"&amp;1958,6),LdAKeyM,0),"")</f>
        <v/>
      </c>
      <c r="M1974">
        <f>IFERROR(MATCH($C$5&amp;"|"&amp;RIGHT("000000"&amp;1958,6),LdBKeyM,0),"")</f>
        <v/>
      </c>
      <c r="N1974">
        <f>IFERROR(MATCH($C$5&amp;"|"&amp;RIGHT("000000"&amp;1958,6),LdCKeyM,0),"")</f>
        <v/>
      </c>
    </row>
    <row r="1975">
      <c r="A1975" s="10" t="n">
        <v>1959</v>
      </c>
      <c r="B1975" s="14">
        <f>IF(AND($L1975="",$M1975="",$N1975=""),"",IF($L1975&lt;&gt;"",INDEX(LdADate,$L1975),IF($M1975&lt;&gt;"",INDEX(LdBDate,$M1975),INDEX(LdCDate,$N1975))))</f>
        <v/>
      </c>
      <c r="C1975" s="14">
        <f>IF($L1975&lt;&gt;"","دستمزد (فردی)",IF($M1975&lt;&gt;"","سهم از گروه "&amp;IFERROR(VLOOKUP(INDEX(LdBGroup,$M1975),WGTbl,2,0),INDEX(LdBGroup,$M1975)),IF($N1975&lt;&gt;"",IF(N(INDEX(LdCDep,$N1975))&gt;0,"بازگشت بانکی","پرداخت بانکی"),"")))</f>
        <v/>
      </c>
      <c r="D1975" s="14">
        <f>IF($L1975&lt;&gt;"",IF(INDEX(LdAId,$L1975)="","—",INDEX(LdAId,$L1975)),IF($M1975&lt;&gt;"",IF(INDEX(LdBId,$M1975)="","—",INDEX(LdBId,$M1975)),IF($N1975&lt;&gt;"",IF(INDEX(LdCBank,$N1975)="","—",INDEX(LdCBank,$N1975)),"")))</f>
        <v/>
      </c>
      <c r="E1975" s="16">
        <f>IF($L1975&lt;&gt;"",IF(INDEX(LdAAmt,$L1975)=0,"",INDEX(LdAAmt,$L1975)),IF($M1975&lt;&gt;"",IF(INDEX(LdBAmt,$M1975)=0,"",INDEX(LdBAmt,$M1975)),IF($N1975&lt;&gt;"",IF(INDEX(LdCDep,$N1975)=0,"",INDEX(LdCDep,$N1975)),"")))</f>
        <v/>
      </c>
      <c r="F1975" s="16">
        <f>IF(AND($L1975="",$M1975="",$N1975=""),"",IF($N1975="","",IF(INDEX(LdCWit,$N1975)=0,"",INDEX(LdCWit,$N1975))))</f>
        <v/>
      </c>
      <c r="G1975" s="29">
        <f>IF($B1975="","",IF($G1974="",0,$G1974)+IF($E1975="",0,$E1975)-IF($F1975="",0,$F1975))</f>
        <v/>
      </c>
      <c r="H1975" s="30">
        <f>IF(AND($L1975="",$M1975="",$N1975=""),"",IF($L1975&lt;&gt;"",IF(INDEX(LdANote,$L1975)="","—",INDEX(LdANote,$L1975)),IF($M1975&lt;&gt;"",IF(INDEX(LdBNote,$M1975)="","—",INDEX(LdBNote,$M1975)),IF($N1975&lt;&gt;"",IF(INDEX(LdCNote,$N1975)="","—",INDEX(LdCNote,$N1975)),""))))</f>
        <v/>
      </c>
      <c r="L1975">
        <f>IFERROR(MATCH($C$5&amp;"|"&amp;RIGHT("000000"&amp;1959,6),LdAKeyM,0),"")</f>
        <v/>
      </c>
      <c r="M1975">
        <f>IFERROR(MATCH($C$5&amp;"|"&amp;RIGHT("000000"&amp;1959,6),LdBKeyM,0),"")</f>
        <v/>
      </c>
      <c r="N1975">
        <f>IFERROR(MATCH($C$5&amp;"|"&amp;RIGHT("000000"&amp;1959,6),LdCKeyM,0),"")</f>
        <v/>
      </c>
    </row>
    <row r="1976">
      <c r="A1976" s="19" t="n">
        <v>1960</v>
      </c>
      <c r="B1976" s="20">
        <f>IF(AND($L1976="",$M1976="",$N1976=""),"",IF($L1976&lt;&gt;"",INDEX(LdADate,$L1976),IF($M1976&lt;&gt;"",INDEX(LdBDate,$M1976),INDEX(LdCDate,$N1976))))</f>
        <v/>
      </c>
      <c r="C1976" s="20">
        <f>IF($L1976&lt;&gt;"","دستمزد (فردی)",IF($M1976&lt;&gt;"","سهم از گروه "&amp;IFERROR(VLOOKUP(INDEX(LdBGroup,$M1976),WGTbl,2,0),INDEX(LdBGroup,$M1976)),IF($N1976&lt;&gt;"",IF(N(INDEX(LdCDep,$N1976))&gt;0,"بازگشت بانکی","پرداخت بانکی"),"")))</f>
        <v/>
      </c>
      <c r="D1976" s="20">
        <f>IF($L1976&lt;&gt;"",IF(INDEX(LdAId,$L1976)="","—",INDEX(LdAId,$L1976)),IF($M1976&lt;&gt;"",IF(INDEX(LdBId,$M1976)="","—",INDEX(LdBId,$M1976)),IF($N1976&lt;&gt;"",IF(INDEX(LdCBank,$N1976)="","—",INDEX(LdCBank,$N1976)),"")))</f>
        <v/>
      </c>
      <c r="E1976" s="21">
        <f>IF($L1976&lt;&gt;"",IF(INDEX(LdAAmt,$L1976)=0,"",INDEX(LdAAmt,$L1976)),IF($M1976&lt;&gt;"",IF(INDEX(LdBAmt,$M1976)=0,"",INDEX(LdBAmt,$M1976)),IF($N1976&lt;&gt;"",IF(INDEX(LdCDep,$N1976)=0,"",INDEX(LdCDep,$N1976)),"")))</f>
        <v/>
      </c>
      <c r="F1976" s="21">
        <f>IF(AND($L1976="",$M1976="",$N1976=""),"",IF($N1976="","",IF(INDEX(LdCWit,$N1976)=0,"",INDEX(LdCWit,$N1976))))</f>
        <v/>
      </c>
      <c r="G1976" s="31">
        <f>IF($B1976="","",IF($G1975="",0,$G1975)+IF($E1976="",0,$E1976)-IF($F1976="",0,$F1976))</f>
        <v/>
      </c>
      <c r="H1976" s="32">
        <f>IF(AND($L1976="",$M1976="",$N1976=""),"",IF($L1976&lt;&gt;"",IF(INDEX(LdANote,$L1976)="","—",INDEX(LdANote,$L1976)),IF($M1976&lt;&gt;"",IF(INDEX(LdBNote,$M1976)="","—",INDEX(LdBNote,$M1976)),IF($N1976&lt;&gt;"",IF(INDEX(LdCNote,$N1976)="","—",INDEX(LdCNote,$N1976)),""))))</f>
        <v/>
      </c>
      <c r="L1976">
        <f>IFERROR(MATCH($C$5&amp;"|"&amp;RIGHT("000000"&amp;1960,6),LdAKeyM,0),"")</f>
        <v/>
      </c>
      <c r="M1976">
        <f>IFERROR(MATCH($C$5&amp;"|"&amp;RIGHT("000000"&amp;1960,6),LdBKeyM,0),"")</f>
        <v/>
      </c>
      <c r="N1976">
        <f>IFERROR(MATCH($C$5&amp;"|"&amp;RIGHT("000000"&amp;1960,6),LdCKeyM,0),"")</f>
        <v/>
      </c>
    </row>
    <row r="1977">
      <c r="A1977" s="10" t="n">
        <v>1961</v>
      </c>
      <c r="B1977" s="14">
        <f>IF(AND($L1977="",$M1977="",$N1977=""),"",IF($L1977&lt;&gt;"",INDEX(LdADate,$L1977),IF($M1977&lt;&gt;"",INDEX(LdBDate,$M1977),INDEX(LdCDate,$N1977))))</f>
        <v/>
      </c>
      <c r="C1977" s="14">
        <f>IF($L1977&lt;&gt;"","دستمزد (فردی)",IF($M1977&lt;&gt;"","سهم از گروه "&amp;IFERROR(VLOOKUP(INDEX(LdBGroup,$M1977),WGTbl,2,0),INDEX(LdBGroup,$M1977)),IF($N1977&lt;&gt;"",IF(N(INDEX(LdCDep,$N1977))&gt;0,"بازگشت بانکی","پرداخت بانکی"),"")))</f>
        <v/>
      </c>
      <c r="D1977" s="14">
        <f>IF($L1977&lt;&gt;"",IF(INDEX(LdAId,$L1977)="","—",INDEX(LdAId,$L1977)),IF($M1977&lt;&gt;"",IF(INDEX(LdBId,$M1977)="","—",INDEX(LdBId,$M1977)),IF($N1977&lt;&gt;"",IF(INDEX(LdCBank,$N1977)="","—",INDEX(LdCBank,$N1977)),"")))</f>
        <v/>
      </c>
      <c r="E1977" s="16">
        <f>IF($L1977&lt;&gt;"",IF(INDEX(LdAAmt,$L1977)=0,"",INDEX(LdAAmt,$L1977)),IF($M1977&lt;&gt;"",IF(INDEX(LdBAmt,$M1977)=0,"",INDEX(LdBAmt,$M1977)),IF($N1977&lt;&gt;"",IF(INDEX(LdCDep,$N1977)=0,"",INDEX(LdCDep,$N1977)),"")))</f>
        <v/>
      </c>
      <c r="F1977" s="16">
        <f>IF(AND($L1977="",$M1977="",$N1977=""),"",IF($N1977="","",IF(INDEX(LdCWit,$N1977)=0,"",INDEX(LdCWit,$N1977))))</f>
        <v/>
      </c>
      <c r="G1977" s="29">
        <f>IF($B1977="","",IF($G1976="",0,$G1976)+IF($E1977="",0,$E1977)-IF($F1977="",0,$F1977))</f>
        <v/>
      </c>
      <c r="H1977" s="30">
        <f>IF(AND($L1977="",$M1977="",$N1977=""),"",IF($L1977&lt;&gt;"",IF(INDEX(LdANote,$L1977)="","—",INDEX(LdANote,$L1977)),IF($M1977&lt;&gt;"",IF(INDEX(LdBNote,$M1977)="","—",INDEX(LdBNote,$M1977)),IF($N1977&lt;&gt;"",IF(INDEX(LdCNote,$N1977)="","—",INDEX(LdCNote,$N1977)),""))))</f>
        <v/>
      </c>
      <c r="L1977">
        <f>IFERROR(MATCH($C$5&amp;"|"&amp;RIGHT("000000"&amp;1961,6),LdAKeyM,0),"")</f>
        <v/>
      </c>
      <c r="M1977">
        <f>IFERROR(MATCH($C$5&amp;"|"&amp;RIGHT("000000"&amp;1961,6),LdBKeyM,0),"")</f>
        <v/>
      </c>
      <c r="N1977">
        <f>IFERROR(MATCH($C$5&amp;"|"&amp;RIGHT("000000"&amp;1961,6),LdCKeyM,0),"")</f>
        <v/>
      </c>
    </row>
    <row r="1978">
      <c r="A1978" s="19" t="n">
        <v>1962</v>
      </c>
      <c r="B1978" s="20">
        <f>IF(AND($L1978="",$M1978="",$N1978=""),"",IF($L1978&lt;&gt;"",INDEX(LdADate,$L1978),IF($M1978&lt;&gt;"",INDEX(LdBDate,$M1978),INDEX(LdCDate,$N1978))))</f>
        <v/>
      </c>
      <c r="C1978" s="20">
        <f>IF($L1978&lt;&gt;"","دستمزد (فردی)",IF($M1978&lt;&gt;"","سهم از گروه "&amp;IFERROR(VLOOKUP(INDEX(LdBGroup,$M1978),WGTbl,2,0),INDEX(LdBGroup,$M1978)),IF($N1978&lt;&gt;"",IF(N(INDEX(LdCDep,$N1978))&gt;0,"بازگشت بانکی","پرداخت بانکی"),"")))</f>
        <v/>
      </c>
      <c r="D1978" s="20">
        <f>IF($L1978&lt;&gt;"",IF(INDEX(LdAId,$L1978)="","—",INDEX(LdAId,$L1978)),IF($M1978&lt;&gt;"",IF(INDEX(LdBId,$M1978)="","—",INDEX(LdBId,$M1978)),IF($N1978&lt;&gt;"",IF(INDEX(LdCBank,$N1978)="","—",INDEX(LdCBank,$N1978)),"")))</f>
        <v/>
      </c>
      <c r="E1978" s="21">
        <f>IF($L1978&lt;&gt;"",IF(INDEX(LdAAmt,$L1978)=0,"",INDEX(LdAAmt,$L1978)),IF($M1978&lt;&gt;"",IF(INDEX(LdBAmt,$M1978)=0,"",INDEX(LdBAmt,$M1978)),IF($N1978&lt;&gt;"",IF(INDEX(LdCDep,$N1978)=0,"",INDEX(LdCDep,$N1978)),"")))</f>
        <v/>
      </c>
      <c r="F1978" s="21">
        <f>IF(AND($L1978="",$M1978="",$N1978=""),"",IF($N1978="","",IF(INDEX(LdCWit,$N1978)=0,"",INDEX(LdCWit,$N1978))))</f>
        <v/>
      </c>
      <c r="G1978" s="31">
        <f>IF($B1978="","",IF($G1977="",0,$G1977)+IF($E1978="",0,$E1978)-IF($F1978="",0,$F1978))</f>
        <v/>
      </c>
      <c r="H1978" s="32">
        <f>IF(AND($L1978="",$M1978="",$N1978=""),"",IF($L1978&lt;&gt;"",IF(INDEX(LdANote,$L1978)="","—",INDEX(LdANote,$L1978)),IF($M1978&lt;&gt;"",IF(INDEX(LdBNote,$M1978)="","—",INDEX(LdBNote,$M1978)),IF($N1978&lt;&gt;"",IF(INDEX(LdCNote,$N1978)="","—",INDEX(LdCNote,$N1978)),""))))</f>
        <v/>
      </c>
      <c r="L1978">
        <f>IFERROR(MATCH($C$5&amp;"|"&amp;RIGHT("000000"&amp;1962,6),LdAKeyM,0),"")</f>
        <v/>
      </c>
      <c r="M1978">
        <f>IFERROR(MATCH($C$5&amp;"|"&amp;RIGHT("000000"&amp;1962,6),LdBKeyM,0),"")</f>
        <v/>
      </c>
      <c r="N1978">
        <f>IFERROR(MATCH($C$5&amp;"|"&amp;RIGHT("000000"&amp;1962,6),LdCKeyM,0),"")</f>
        <v/>
      </c>
    </row>
    <row r="1979">
      <c r="A1979" s="10" t="n">
        <v>1963</v>
      </c>
      <c r="B1979" s="14">
        <f>IF(AND($L1979="",$M1979="",$N1979=""),"",IF($L1979&lt;&gt;"",INDEX(LdADate,$L1979),IF($M1979&lt;&gt;"",INDEX(LdBDate,$M1979),INDEX(LdCDate,$N1979))))</f>
        <v/>
      </c>
      <c r="C1979" s="14">
        <f>IF($L1979&lt;&gt;"","دستمزد (فردی)",IF($M1979&lt;&gt;"","سهم از گروه "&amp;IFERROR(VLOOKUP(INDEX(LdBGroup,$M1979),WGTbl,2,0),INDEX(LdBGroup,$M1979)),IF($N1979&lt;&gt;"",IF(N(INDEX(LdCDep,$N1979))&gt;0,"بازگشت بانکی","پرداخت بانکی"),"")))</f>
        <v/>
      </c>
      <c r="D1979" s="14">
        <f>IF($L1979&lt;&gt;"",IF(INDEX(LdAId,$L1979)="","—",INDEX(LdAId,$L1979)),IF($M1979&lt;&gt;"",IF(INDEX(LdBId,$M1979)="","—",INDEX(LdBId,$M1979)),IF($N1979&lt;&gt;"",IF(INDEX(LdCBank,$N1979)="","—",INDEX(LdCBank,$N1979)),"")))</f>
        <v/>
      </c>
      <c r="E1979" s="16">
        <f>IF($L1979&lt;&gt;"",IF(INDEX(LdAAmt,$L1979)=0,"",INDEX(LdAAmt,$L1979)),IF($M1979&lt;&gt;"",IF(INDEX(LdBAmt,$M1979)=0,"",INDEX(LdBAmt,$M1979)),IF($N1979&lt;&gt;"",IF(INDEX(LdCDep,$N1979)=0,"",INDEX(LdCDep,$N1979)),"")))</f>
        <v/>
      </c>
      <c r="F1979" s="16">
        <f>IF(AND($L1979="",$M1979="",$N1979=""),"",IF($N1979="","",IF(INDEX(LdCWit,$N1979)=0,"",INDEX(LdCWit,$N1979))))</f>
        <v/>
      </c>
      <c r="G1979" s="29">
        <f>IF($B1979="","",IF($G1978="",0,$G1978)+IF($E1979="",0,$E1979)-IF($F1979="",0,$F1979))</f>
        <v/>
      </c>
      <c r="H1979" s="30">
        <f>IF(AND($L1979="",$M1979="",$N1979=""),"",IF($L1979&lt;&gt;"",IF(INDEX(LdANote,$L1979)="","—",INDEX(LdANote,$L1979)),IF($M1979&lt;&gt;"",IF(INDEX(LdBNote,$M1979)="","—",INDEX(LdBNote,$M1979)),IF($N1979&lt;&gt;"",IF(INDEX(LdCNote,$N1979)="","—",INDEX(LdCNote,$N1979)),""))))</f>
        <v/>
      </c>
      <c r="L1979">
        <f>IFERROR(MATCH($C$5&amp;"|"&amp;RIGHT("000000"&amp;1963,6),LdAKeyM,0),"")</f>
        <v/>
      </c>
      <c r="M1979">
        <f>IFERROR(MATCH($C$5&amp;"|"&amp;RIGHT("000000"&amp;1963,6),LdBKeyM,0),"")</f>
        <v/>
      </c>
      <c r="N1979">
        <f>IFERROR(MATCH($C$5&amp;"|"&amp;RIGHT("000000"&amp;1963,6),LdCKeyM,0),"")</f>
        <v/>
      </c>
    </row>
    <row r="1980">
      <c r="A1980" s="19" t="n">
        <v>1964</v>
      </c>
      <c r="B1980" s="20">
        <f>IF(AND($L1980="",$M1980="",$N1980=""),"",IF($L1980&lt;&gt;"",INDEX(LdADate,$L1980),IF($M1980&lt;&gt;"",INDEX(LdBDate,$M1980),INDEX(LdCDate,$N1980))))</f>
        <v/>
      </c>
      <c r="C1980" s="20">
        <f>IF($L1980&lt;&gt;"","دستمزد (فردی)",IF($M1980&lt;&gt;"","سهم از گروه "&amp;IFERROR(VLOOKUP(INDEX(LdBGroup,$M1980),WGTbl,2,0),INDEX(LdBGroup,$M1980)),IF($N1980&lt;&gt;"",IF(N(INDEX(LdCDep,$N1980))&gt;0,"بازگشت بانکی","پرداخت بانکی"),"")))</f>
        <v/>
      </c>
      <c r="D1980" s="20">
        <f>IF($L1980&lt;&gt;"",IF(INDEX(LdAId,$L1980)="","—",INDEX(LdAId,$L1980)),IF($M1980&lt;&gt;"",IF(INDEX(LdBId,$M1980)="","—",INDEX(LdBId,$M1980)),IF($N1980&lt;&gt;"",IF(INDEX(LdCBank,$N1980)="","—",INDEX(LdCBank,$N1980)),"")))</f>
        <v/>
      </c>
      <c r="E1980" s="21">
        <f>IF($L1980&lt;&gt;"",IF(INDEX(LdAAmt,$L1980)=0,"",INDEX(LdAAmt,$L1980)),IF($M1980&lt;&gt;"",IF(INDEX(LdBAmt,$M1980)=0,"",INDEX(LdBAmt,$M1980)),IF($N1980&lt;&gt;"",IF(INDEX(LdCDep,$N1980)=0,"",INDEX(LdCDep,$N1980)),"")))</f>
        <v/>
      </c>
      <c r="F1980" s="21">
        <f>IF(AND($L1980="",$M1980="",$N1980=""),"",IF($N1980="","",IF(INDEX(LdCWit,$N1980)=0,"",INDEX(LdCWit,$N1980))))</f>
        <v/>
      </c>
      <c r="G1980" s="31">
        <f>IF($B1980="","",IF($G1979="",0,$G1979)+IF($E1980="",0,$E1980)-IF($F1980="",0,$F1980))</f>
        <v/>
      </c>
      <c r="H1980" s="32">
        <f>IF(AND($L1980="",$M1980="",$N1980=""),"",IF($L1980&lt;&gt;"",IF(INDEX(LdANote,$L1980)="","—",INDEX(LdANote,$L1980)),IF($M1980&lt;&gt;"",IF(INDEX(LdBNote,$M1980)="","—",INDEX(LdBNote,$M1980)),IF($N1980&lt;&gt;"",IF(INDEX(LdCNote,$N1980)="","—",INDEX(LdCNote,$N1980)),""))))</f>
        <v/>
      </c>
      <c r="L1980">
        <f>IFERROR(MATCH($C$5&amp;"|"&amp;RIGHT("000000"&amp;1964,6),LdAKeyM,0),"")</f>
        <v/>
      </c>
      <c r="M1980">
        <f>IFERROR(MATCH($C$5&amp;"|"&amp;RIGHT("000000"&amp;1964,6),LdBKeyM,0),"")</f>
        <v/>
      </c>
      <c r="N1980">
        <f>IFERROR(MATCH($C$5&amp;"|"&amp;RIGHT("000000"&amp;1964,6),LdCKeyM,0),"")</f>
        <v/>
      </c>
    </row>
    <row r="1981">
      <c r="A1981" s="10" t="n">
        <v>1965</v>
      </c>
      <c r="B1981" s="14">
        <f>IF(AND($L1981="",$M1981="",$N1981=""),"",IF($L1981&lt;&gt;"",INDEX(LdADate,$L1981),IF($M1981&lt;&gt;"",INDEX(LdBDate,$M1981),INDEX(LdCDate,$N1981))))</f>
        <v/>
      </c>
      <c r="C1981" s="14">
        <f>IF($L1981&lt;&gt;"","دستمزد (فردی)",IF($M1981&lt;&gt;"","سهم از گروه "&amp;IFERROR(VLOOKUP(INDEX(LdBGroup,$M1981),WGTbl,2,0),INDEX(LdBGroup,$M1981)),IF($N1981&lt;&gt;"",IF(N(INDEX(LdCDep,$N1981))&gt;0,"بازگشت بانکی","پرداخت بانکی"),"")))</f>
        <v/>
      </c>
      <c r="D1981" s="14">
        <f>IF($L1981&lt;&gt;"",IF(INDEX(LdAId,$L1981)="","—",INDEX(LdAId,$L1981)),IF($M1981&lt;&gt;"",IF(INDEX(LdBId,$M1981)="","—",INDEX(LdBId,$M1981)),IF($N1981&lt;&gt;"",IF(INDEX(LdCBank,$N1981)="","—",INDEX(LdCBank,$N1981)),"")))</f>
        <v/>
      </c>
      <c r="E1981" s="16">
        <f>IF($L1981&lt;&gt;"",IF(INDEX(LdAAmt,$L1981)=0,"",INDEX(LdAAmt,$L1981)),IF($M1981&lt;&gt;"",IF(INDEX(LdBAmt,$M1981)=0,"",INDEX(LdBAmt,$M1981)),IF($N1981&lt;&gt;"",IF(INDEX(LdCDep,$N1981)=0,"",INDEX(LdCDep,$N1981)),"")))</f>
        <v/>
      </c>
      <c r="F1981" s="16">
        <f>IF(AND($L1981="",$M1981="",$N1981=""),"",IF($N1981="","",IF(INDEX(LdCWit,$N1981)=0,"",INDEX(LdCWit,$N1981))))</f>
        <v/>
      </c>
      <c r="G1981" s="29">
        <f>IF($B1981="","",IF($G1980="",0,$G1980)+IF($E1981="",0,$E1981)-IF($F1981="",0,$F1981))</f>
        <v/>
      </c>
      <c r="H1981" s="30">
        <f>IF(AND($L1981="",$M1981="",$N1981=""),"",IF($L1981&lt;&gt;"",IF(INDEX(LdANote,$L1981)="","—",INDEX(LdANote,$L1981)),IF($M1981&lt;&gt;"",IF(INDEX(LdBNote,$M1981)="","—",INDEX(LdBNote,$M1981)),IF($N1981&lt;&gt;"",IF(INDEX(LdCNote,$N1981)="","—",INDEX(LdCNote,$N1981)),""))))</f>
        <v/>
      </c>
      <c r="L1981">
        <f>IFERROR(MATCH($C$5&amp;"|"&amp;RIGHT("000000"&amp;1965,6),LdAKeyM,0),"")</f>
        <v/>
      </c>
      <c r="M1981">
        <f>IFERROR(MATCH($C$5&amp;"|"&amp;RIGHT("000000"&amp;1965,6),LdBKeyM,0),"")</f>
        <v/>
      </c>
      <c r="N1981">
        <f>IFERROR(MATCH($C$5&amp;"|"&amp;RIGHT("000000"&amp;1965,6),LdCKeyM,0),"")</f>
        <v/>
      </c>
    </row>
    <row r="1982">
      <c r="A1982" s="19" t="n">
        <v>1966</v>
      </c>
      <c r="B1982" s="20">
        <f>IF(AND($L1982="",$M1982="",$N1982=""),"",IF($L1982&lt;&gt;"",INDEX(LdADate,$L1982),IF($M1982&lt;&gt;"",INDEX(LdBDate,$M1982),INDEX(LdCDate,$N1982))))</f>
        <v/>
      </c>
      <c r="C1982" s="20">
        <f>IF($L1982&lt;&gt;"","دستمزد (فردی)",IF($M1982&lt;&gt;"","سهم از گروه "&amp;IFERROR(VLOOKUP(INDEX(LdBGroup,$M1982),WGTbl,2,0),INDEX(LdBGroup,$M1982)),IF($N1982&lt;&gt;"",IF(N(INDEX(LdCDep,$N1982))&gt;0,"بازگشت بانکی","پرداخت بانکی"),"")))</f>
        <v/>
      </c>
      <c r="D1982" s="20">
        <f>IF($L1982&lt;&gt;"",IF(INDEX(LdAId,$L1982)="","—",INDEX(LdAId,$L1982)),IF($M1982&lt;&gt;"",IF(INDEX(LdBId,$M1982)="","—",INDEX(LdBId,$M1982)),IF($N1982&lt;&gt;"",IF(INDEX(LdCBank,$N1982)="","—",INDEX(LdCBank,$N1982)),"")))</f>
        <v/>
      </c>
      <c r="E1982" s="21">
        <f>IF($L1982&lt;&gt;"",IF(INDEX(LdAAmt,$L1982)=0,"",INDEX(LdAAmt,$L1982)),IF($M1982&lt;&gt;"",IF(INDEX(LdBAmt,$M1982)=0,"",INDEX(LdBAmt,$M1982)),IF($N1982&lt;&gt;"",IF(INDEX(LdCDep,$N1982)=0,"",INDEX(LdCDep,$N1982)),"")))</f>
        <v/>
      </c>
      <c r="F1982" s="21">
        <f>IF(AND($L1982="",$M1982="",$N1982=""),"",IF($N1982="","",IF(INDEX(LdCWit,$N1982)=0,"",INDEX(LdCWit,$N1982))))</f>
        <v/>
      </c>
      <c r="G1982" s="31">
        <f>IF($B1982="","",IF($G1981="",0,$G1981)+IF($E1982="",0,$E1982)-IF($F1982="",0,$F1982))</f>
        <v/>
      </c>
      <c r="H1982" s="32">
        <f>IF(AND($L1982="",$M1982="",$N1982=""),"",IF($L1982&lt;&gt;"",IF(INDEX(LdANote,$L1982)="","—",INDEX(LdANote,$L1982)),IF($M1982&lt;&gt;"",IF(INDEX(LdBNote,$M1982)="","—",INDEX(LdBNote,$M1982)),IF($N1982&lt;&gt;"",IF(INDEX(LdCNote,$N1982)="","—",INDEX(LdCNote,$N1982)),""))))</f>
        <v/>
      </c>
      <c r="L1982">
        <f>IFERROR(MATCH($C$5&amp;"|"&amp;RIGHT("000000"&amp;1966,6),LdAKeyM,0),"")</f>
        <v/>
      </c>
      <c r="M1982">
        <f>IFERROR(MATCH($C$5&amp;"|"&amp;RIGHT("000000"&amp;1966,6),LdBKeyM,0),"")</f>
        <v/>
      </c>
      <c r="N1982">
        <f>IFERROR(MATCH($C$5&amp;"|"&amp;RIGHT("000000"&amp;1966,6),LdCKeyM,0),"")</f>
        <v/>
      </c>
    </row>
    <row r="1983">
      <c r="A1983" s="10" t="n">
        <v>1967</v>
      </c>
      <c r="B1983" s="14">
        <f>IF(AND($L1983="",$M1983="",$N1983=""),"",IF($L1983&lt;&gt;"",INDEX(LdADate,$L1983),IF($M1983&lt;&gt;"",INDEX(LdBDate,$M1983),INDEX(LdCDate,$N1983))))</f>
        <v/>
      </c>
      <c r="C1983" s="14">
        <f>IF($L1983&lt;&gt;"","دستمزد (فردی)",IF($M1983&lt;&gt;"","سهم از گروه "&amp;IFERROR(VLOOKUP(INDEX(LdBGroup,$M1983),WGTbl,2,0),INDEX(LdBGroup,$M1983)),IF($N1983&lt;&gt;"",IF(N(INDEX(LdCDep,$N1983))&gt;0,"بازگشت بانکی","پرداخت بانکی"),"")))</f>
        <v/>
      </c>
      <c r="D1983" s="14">
        <f>IF($L1983&lt;&gt;"",IF(INDEX(LdAId,$L1983)="","—",INDEX(LdAId,$L1983)),IF($M1983&lt;&gt;"",IF(INDEX(LdBId,$M1983)="","—",INDEX(LdBId,$M1983)),IF($N1983&lt;&gt;"",IF(INDEX(LdCBank,$N1983)="","—",INDEX(LdCBank,$N1983)),"")))</f>
        <v/>
      </c>
      <c r="E1983" s="16">
        <f>IF($L1983&lt;&gt;"",IF(INDEX(LdAAmt,$L1983)=0,"",INDEX(LdAAmt,$L1983)),IF($M1983&lt;&gt;"",IF(INDEX(LdBAmt,$M1983)=0,"",INDEX(LdBAmt,$M1983)),IF($N1983&lt;&gt;"",IF(INDEX(LdCDep,$N1983)=0,"",INDEX(LdCDep,$N1983)),"")))</f>
        <v/>
      </c>
      <c r="F1983" s="16">
        <f>IF(AND($L1983="",$M1983="",$N1983=""),"",IF($N1983="","",IF(INDEX(LdCWit,$N1983)=0,"",INDEX(LdCWit,$N1983))))</f>
        <v/>
      </c>
      <c r="G1983" s="29">
        <f>IF($B1983="","",IF($G1982="",0,$G1982)+IF($E1983="",0,$E1983)-IF($F1983="",0,$F1983))</f>
        <v/>
      </c>
      <c r="H1983" s="30">
        <f>IF(AND($L1983="",$M1983="",$N1983=""),"",IF($L1983&lt;&gt;"",IF(INDEX(LdANote,$L1983)="","—",INDEX(LdANote,$L1983)),IF($M1983&lt;&gt;"",IF(INDEX(LdBNote,$M1983)="","—",INDEX(LdBNote,$M1983)),IF($N1983&lt;&gt;"",IF(INDEX(LdCNote,$N1983)="","—",INDEX(LdCNote,$N1983)),""))))</f>
        <v/>
      </c>
      <c r="L1983">
        <f>IFERROR(MATCH($C$5&amp;"|"&amp;RIGHT("000000"&amp;1967,6),LdAKeyM,0),"")</f>
        <v/>
      </c>
      <c r="M1983">
        <f>IFERROR(MATCH($C$5&amp;"|"&amp;RIGHT("000000"&amp;1967,6),LdBKeyM,0),"")</f>
        <v/>
      </c>
      <c r="N1983">
        <f>IFERROR(MATCH($C$5&amp;"|"&amp;RIGHT("000000"&amp;1967,6),LdCKeyM,0),"")</f>
        <v/>
      </c>
    </row>
    <row r="1984">
      <c r="A1984" s="19" t="n">
        <v>1968</v>
      </c>
      <c r="B1984" s="20">
        <f>IF(AND($L1984="",$M1984="",$N1984=""),"",IF($L1984&lt;&gt;"",INDEX(LdADate,$L1984),IF($M1984&lt;&gt;"",INDEX(LdBDate,$M1984),INDEX(LdCDate,$N1984))))</f>
        <v/>
      </c>
      <c r="C1984" s="20">
        <f>IF($L1984&lt;&gt;"","دستمزد (فردی)",IF($M1984&lt;&gt;"","سهم از گروه "&amp;IFERROR(VLOOKUP(INDEX(LdBGroup,$M1984),WGTbl,2,0),INDEX(LdBGroup,$M1984)),IF($N1984&lt;&gt;"",IF(N(INDEX(LdCDep,$N1984))&gt;0,"بازگشت بانکی","پرداخت بانکی"),"")))</f>
        <v/>
      </c>
      <c r="D1984" s="20">
        <f>IF($L1984&lt;&gt;"",IF(INDEX(LdAId,$L1984)="","—",INDEX(LdAId,$L1984)),IF($M1984&lt;&gt;"",IF(INDEX(LdBId,$M1984)="","—",INDEX(LdBId,$M1984)),IF($N1984&lt;&gt;"",IF(INDEX(LdCBank,$N1984)="","—",INDEX(LdCBank,$N1984)),"")))</f>
        <v/>
      </c>
      <c r="E1984" s="21">
        <f>IF($L1984&lt;&gt;"",IF(INDEX(LdAAmt,$L1984)=0,"",INDEX(LdAAmt,$L1984)),IF($M1984&lt;&gt;"",IF(INDEX(LdBAmt,$M1984)=0,"",INDEX(LdBAmt,$M1984)),IF($N1984&lt;&gt;"",IF(INDEX(LdCDep,$N1984)=0,"",INDEX(LdCDep,$N1984)),"")))</f>
        <v/>
      </c>
      <c r="F1984" s="21">
        <f>IF(AND($L1984="",$M1984="",$N1984=""),"",IF($N1984="","",IF(INDEX(LdCWit,$N1984)=0,"",INDEX(LdCWit,$N1984))))</f>
        <v/>
      </c>
      <c r="G1984" s="31">
        <f>IF($B1984="","",IF($G1983="",0,$G1983)+IF($E1984="",0,$E1984)-IF($F1984="",0,$F1984))</f>
        <v/>
      </c>
      <c r="H1984" s="32">
        <f>IF(AND($L1984="",$M1984="",$N1984=""),"",IF($L1984&lt;&gt;"",IF(INDEX(LdANote,$L1984)="","—",INDEX(LdANote,$L1984)),IF($M1984&lt;&gt;"",IF(INDEX(LdBNote,$M1984)="","—",INDEX(LdBNote,$M1984)),IF($N1984&lt;&gt;"",IF(INDEX(LdCNote,$N1984)="","—",INDEX(LdCNote,$N1984)),""))))</f>
        <v/>
      </c>
      <c r="L1984">
        <f>IFERROR(MATCH($C$5&amp;"|"&amp;RIGHT("000000"&amp;1968,6),LdAKeyM,0),"")</f>
        <v/>
      </c>
      <c r="M1984">
        <f>IFERROR(MATCH($C$5&amp;"|"&amp;RIGHT("000000"&amp;1968,6),LdBKeyM,0),"")</f>
        <v/>
      </c>
      <c r="N1984">
        <f>IFERROR(MATCH($C$5&amp;"|"&amp;RIGHT("000000"&amp;1968,6),LdCKeyM,0),"")</f>
        <v/>
      </c>
    </row>
    <row r="1985">
      <c r="A1985" s="10" t="n">
        <v>1969</v>
      </c>
      <c r="B1985" s="14">
        <f>IF(AND($L1985="",$M1985="",$N1985=""),"",IF($L1985&lt;&gt;"",INDEX(LdADate,$L1985),IF($M1985&lt;&gt;"",INDEX(LdBDate,$M1985),INDEX(LdCDate,$N1985))))</f>
        <v/>
      </c>
      <c r="C1985" s="14">
        <f>IF($L1985&lt;&gt;"","دستمزد (فردی)",IF($M1985&lt;&gt;"","سهم از گروه "&amp;IFERROR(VLOOKUP(INDEX(LdBGroup,$M1985),WGTbl,2,0),INDEX(LdBGroup,$M1985)),IF($N1985&lt;&gt;"",IF(N(INDEX(LdCDep,$N1985))&gt;0,"بازگشت بانکی","پرداخت بانکی"),"")))</f>
        <v/>
      </c>
      <c r="D1985" s="14">
        <f>IF($L1985&lt;&gt;"",IF(INDEX(LdAId,$L1985)="","—",INDEX(LdAId,$L1985)),IF($M1985&lt;&gt;"",IF(INDEX(LdBId,$M1985)="","—",INDEX(LdBId,$M1985)),IF($N1985&lt;&gt;"",IF(INDEX(LdCBank,$N1985)="","—",INDEX(LdCBank,$N1985)),"")))</f>
        <v/>
      </c>
      <c r="E1985" s="16">
        <f>IF($L1985&lt;&gt;"",IF(INDEX(LdAAmt,$L1985)=0,"",INDEX(LdAAmt,$L1985)),IF($M1985&lt;&gt;"",IF(INDEX(LdBAmt,$M1985)=0,"",INDEX(LdBAmt,$M1985)),IF($N1985&lt;&gt;"",IF(INDEX(LdCDep,$N1985)=0,"",INDEX(LdCDep,$N1985)),"")))</f>
        <v/>
      </c>
      <c r="F1985" s="16">
        <f>IF(AND($L1985="",$M1985="",$N1985=""),"",IF($N1985="","",IF(INDEX(LdCWit,$N1985)=0,"",INDEX(LdCWit,$N1985))))</f>
        <v/>
      </c>
      <c r="G1985" s="29">
        <f>IF($B1985="","",IF($G1984="",0,$G1984)+IF($E1985="",0,$E1985)-IF($F1985="",0,$F1985))</f>
        <v/>
      </c>
      <c r="H1985" s="30">
        <f>IF(AND($L1985="",$M1985="",$N1985=""),"",IF($L1985&lt;&gt;"",IF(INDEX(LdANote,$L1985)="","—",INDEX(LdANote,$L1985)),IF($M1985&lt;&gt;"",IF(INDEX(LdBNote,$M1985)="","—",INDEX(LdBNote,$M1985)),IF($N1985&lt;&gt;"",IF(INDEX(LdCNote,$N1985)="","—",INDEX(LdCNote,$N1985)),""))))</f>
        <v/>
      </c>
      <c r="L1985">
        <f>IFERROR(MATCH($C$5&amp;"|"&amp;RIGHT("000000"&amp;1969,6),LdAKeyM,0),"")</f>
        <v/>
      </c>
      <c r="M1985">
        <f>IFERROR(MATCH($C$5&amp;"|"&amp;RIGHT("000000"&amp;1969,6),LdBKeyM,0),"")</f>
        <v/>
      </c>
      <c r="N1985">
        <f>IFERROR(MATCH($C$5&amp;"|"&amp;RIGHT("000000"&amp;1969,6),LdCKeyM,0),"")</f>
        <v/>
      </c>
    </row>
    <row r="1986">
      <c r="A1986" s="19" t="n">
        <v>1970</v>
      </c>
      <c r="B1986" s="20">
        <f>IF(AND($L1986="",$M1986="",$N1986=""),"",IF($L1986&lt;&gt;"",INDEX(LdADate,$L1986),IF($M1986&lt;&gt;"",INDEX(LdBDate,$M1986),INDEX(LdCDate,$N1986))))</f>
        <v/>
      </c>
      <c r="C1986" s="20">
        <f>IF($L1986&lt;&gt;"","دستمزد (فردی)",IF($M1986&lt;&gt;"","سهم از گروه "&amp;IFERROR(VLOOKUP(INDEX(LdBGroup,$M1986),WGTbl,2,0),INDEX(LdBGroup,$M1986)),IF($N1986&lt;&gt;"",IF(N(INDEX(LdCDep,$N1986))&gt;0,"بازگشت بانکی","پرداخت بانکی"),"")))</f>
        <v/>
      </c>
      <c r="D1986" s="20">
        <f>IF($L1986&lt;&gt;"",IF(INDEX(LdAId,$L1986)="","—",INDEX(LdAId,$L1986)),IF($M1986&lt;&gt;"",IF(INDEX(LdBId,$M1986)="","—",INDEX(LdBId,$M1986)),IF($N1986&lt;&gt;"",IF(INDEX(LdCBank,$N1986)="","—",INDEX(LdCBank,$N1986)),"")))</f>
        <v/>
      </c>
      <c r="E1986" s="21">
        <f>IF($L1986&lt;&gt;"",IF(INDEX(LdAAmt,$L1986)=0,"",INDEX(LdAAmt,$L1986)),IF($M1986&lt;&gt;"",IF(INDEX(LdBAmt,$M1986)=0,"",INDEX(LdBAmt,$M1986)),IF($N1986&lt;&gt;"",IF(INDEX(LdCDep,$N1986)=0,"",INDEX(LdCDep,$N1986)),"")))</f>
        <v/>
      </c>
      <c r="F1986" s="21">
        <f>IF(AND($L1986="",$M1986="",$N1986=""),"",IF($N1986="","",IF(INDEX(LdCWit,$N1986)=0,"",INDEX(LdCWit,$N1986))))</f>
        <v/>
      </c>
      <c r="G1986" s="31">
        <f>IF($B1986="","",IF($G1985="",0,$G1985)+IF($E1986="",0,$E1986)-IF($F1986="",0,$F1986))</f>
        <v/>
      </c>
      <c r="H1986" s="32">
        <f>IF(AND($L1986="",$M1986="",$N1986=""),"",IF($L1986&lt;&gt;"",IF(INDEX(LdANote,$L1986)="","—",INDEX(LdANote,$L1986)),IF($M1986&lt;&gt;"",IF(INDEX(LdBNote,$M1986)="","—",INDEX(LdBNote,$M1986)),IF($N1986&lt;&gt;"",IF(INDEX(LdCNote,$N1986)="","—",INDEX(LdCNote,$N1986)),""))))</f>
        <v/>
      </c>
      <c r="L1986">
        <f>IFERROR(MATCH($C$5&amp;"|"&amp;RIGHT("000000"&amp;1970,6),LdAKeyM,0),"")</f>
        <v/>
      </c>
      <c r="M1986">
        <f>IFERROR(MATCH($C$5&amp;"|"&amp;RIGHT("000000"&amp;1970,6),LdBKeyM,0),"")</f>
        <v/>
      </c>
      <c r="N1986">
        <f>IFERROR(MATCH($C$5&amp;"|"&amp;RIGHT("000000"&amp;1970,6),LdCKeyM,0),"")</f>
        <v/>
      </c>
    </row>
    <row r="1987">
      <c r="A1987" s="10" t="n">
        <v>1971</v>
      </c>
      <c r="B1987" s="14">
        <f>IF(AND($L1987="",$M1987="",$N1987=""),"",IF($L1987&lt;&gt;"",INDEX(LdADate,$L1987),IF($M1987&lt;&gt;"",INDEX(LdBDate,$M1987),INDEX(LdCDate,$N1987))))</f>
        <v/>
      </c>
      <c r="C1987" s="14">
        <f>IF($L1987&lt;&gt;"","دستمزد (فردی)",IF($M1987&lt;&gt;"","سهم از گروه "&amp;IFERROR(VLOOKUP(INDEX(LdBGroup,$M1987),WGTbl,2,0),INDEX(LdBGroup,$M1987)),IF($N1987&lt;&gt;"",IF(N(INDEX(LdCDep,$N1987))&gt;0,"بازگشت بانکی","پرداخت بانکی"),"")))</f>
        <v/>
      </c>
      <c r="D1987" s="14">
        <f>IF($L1987&lt;&gt;"",IF(INDEX(LdAId,$L1987)="","—",INDEX(LdAId,$L1987)),IF($M1987&lt;&gt;"",IF(INDEX(LdBId,$M1987)="","—",INDEX(LdBId,$M1987)),IF($N1987&lt;&gt;"",IF(INDEX(LdCBank,$N1987)="","—",INDEX(LdCBank,$N1987)),"")))</f>
        <v/>
      </c>
      <c r="E1987" s="16">
        <f>IF($L1987&lt;&gt;"",IF(INDEX(LdAAmt,$L1987)=0,"",INDEX(LdAAmt,$L1987)),IF($M1987&lt;&gt;"",IF(INDEX(LdBAmt,$M1987)=0,"",INDEX(LdBAmt,$M1987)),IF($N1987&lt;&gt;"",IF(INDEX(LdCDep,$N1987)=0,"",INDEX(LdCDep,$N1987)),"")))</f>
        <v/>
      </c>
      <c r="F1987" s="16">
        <f>IF(AND($L1987="",$M1987="",$N1987=""),"",IF($N1987="","",IF(INDEX(LdCWit,$N1987)=0,"",INDEX(LdCWit,$N1987))))</f>
        <v/>
      </c>
      <c r="G1987" s="29">
        <f>IF($B1987="","",IF($G1986="",0,$G1986)+IF($E1987="",0,$E1987)-IF($F1987="",0,$F1987))</f>
        <v/>
      </c>
      <c r="H1987" s="30">
        <f>IF(AND($L1987="",$M1987="",$N1987=""),"",IF($L1987&lt;&gt;"",IF(INDEX(LdANote,$L1987)="","—",INDEX(LdANote,$L1987)),IF($M1987&lt;&gt;"",IF(INDEX(LdBNote,$M1987)="","—",INDEX(LdBNote,$M1987)),IF($N1987&lt;&gt;"",IF(INDEX(LdCNote,$N1987)="","—",INDEX(LdCNote,$N1987)),""))))</f>
        <v/>
      </c>
      <c r="L1987">
        <f>IFERROR(MATCH($C$5&amp;"|"&amp;RIGHT("000000"&amp;1971,6),LdAKeyM,0),"")</f>
        <v/>
      </c>
      <c r="M1987">
        <f>IFERROR(MATCH($C$5&amp;"|"&amp;RIGHT("000000"&amp;1971,6),LdBKeyM,0),"")</f>
        <v/>
      </c>
      <c r="N1987">
        <f>IFERROR(MATCH($C$5&amp;"|"&amp;RIGHT("000000"&amp;1971,6),LdCKeyM,0),"")</f>
        <v/>
      </c>
    </row>
    <row r="1988">
      <c r="A1988" s="19" t="n">
        <v>1972</v>
      </c>
      <c r="B1988" s="20">
        <f>IF(AND($L1988="",$M1988="",$N1988=""),"",IF($L1988&lt;&gt;"",INDEX(LdADate,$L1988),IF($M1988&lt;&gt;"",INDEX(LdBDate,$M1988),INDEX(LdCDate,$N1988))))</f>
        <v/>
      </c>
      <c r="C1988" s="20">
        <f>IF($L1988&lt;&gt;"","دستمزد (فردی)",IF($M1988&lt;&gt;"","سهم از گروه "&amp;IFERROR(VLOOKUP(INDEX(LdBGroup,$M1988),WGTbl,2,0),INDEX(LdBGroup,$M1988)),IF($N1988&lt;&gt;"",IF(N(INDEX(LdCDep,$N1988))&gt;0,"بازگشت بانکی","پرداخت بانکی"),"")))</f>
        <v/>
      </c>
      <c r="D1988" s="20">
        <f>IF($L1988&lt;&gt;"",IF(INDEX(LdAId,$L1988)="","—",INDEX(LdAId,$L1988)),IF($M1988&lt;&gt;"",IF(INDEX(LdBId,$M1988)="","—",INDEX(LdBId,$M1988)),IF($N1988&lt;&gt;"",IF(INDEX(LdCBank,$N1988)="","—",INDEX(LdCBank,$N1988)),"")))</f>
        <v/>
      </c>
      <c r="E1988" s="21">
        <f>IF($L1988&lt;&gt;"",IF(INDEX(LdAAmt,$L1988)=0,"",INDEX(LdAAmt,$L1988)),IF($M1988&lt;&gt;"",IF(INDEX(LdBAmt,$M1988)=0,"",INDEX(LdBAmt,$M1988)),IF($N1988&lt;&gt;"",IF(INDEX(LdCDep,$N1988)=0,"",INDEX(LdCDep,$N1988)),"")))</f>
        <v/>
      </c>
      <c r="F1988" s="21">
        <f>IF(AND($L1988="",$M1988="",$N1988=""),"",IF($N1988="","",IF(INDEX(LdCWit,$N1988)=0,"",INDEX(LdCWit,$N1988))))</f>
        <v/>
      </c>
      <c r="G1988" s="31">
        <f>IF($B1988="","",IF($G1987="",0,$G1987)+IF($E1988="",0,$E1988)-IF($F1988="",0,$F1988))</f>
        <v/>
      </c>
      <c r="H1988" s="32">
        <f>IF(AND($L1988="",$M1988="",$N1988=""),"",IF($L1988&lt;&gt;"",IF(INDEX(LdANote,$L1988)="","—",INDEX(LdANote,$L1988)),IF($M1988&lt;&gt;"",IF(INDEX(LdBNote,$M1988)="","—",INDEX(LdBNote,$M1988)),IF($N1988&lt;&gt;"",IF(INDEX(LdCNote,$N1988)="","—",INDEX(LdCNote,$N1988)),""))))</f>
        <v/>
      </c>
      <c r="L1988">
        <f>IFERROR(MATCH($C$5&amp;"|"&amp;RIGHT("000000"&amp;1972,6),LdAKeyM,0),"")</f>
        <v/>
      </c>
      <c r="M1988">
        <f>IFERROR(MATCH($C$5&amp;"|"&amp;RIGHT("000000"&amp;1972,6),LdBKeyM,0),"")</f>
        <v/>
      </c>
      <c r="N1988">
        <f>IFERROR(MATCH($C$5&amp;"|"&amp;RIGHT("000000"&amp;1972,6),LdCKeyM,0),"")</f>
        <v/>
      </c>
    </row>
    <row r="1989">
      <c r="A1989" s="10" t="n">
        <v>1973</v>
      </c>
      <c r="B1989" s="14">
        <f>IF(AND($L1989="",$M1989="",$N1989=""),"",IF($L1989&lt;&gt;"",INDEX(LdADate,$L1989),IF($M1989&lt;&gt;"",INDEX(LdBDate,$M1989),INDEX(LdCDate,$N1989))))</f>
        <v/>
      </c>
      <c r="C1989" s="14">
        <f>IF($L1989&lt;&gt;"","دستمزد (فردی)",IF($M1989&lt;&gt;"","سهم از گروه "&amp;IFERROR(VLOOKUP(INDEX(LdBGroup,$M1989),WGTbl,2,0),INDEX(LdBGroup,$M1989)),IF($N1989&lt;&gt;"",IF(N(INDEX(LdCDep,$N1989))&gt;0,"بازگشت بانکی","پرداخت بانکی"),"")))</f>
        <v/>
      </c>
      <c r="D1989" s="14">
        <f>IF($L1989&lt;&gt;"",IF(INDEX(LdAId,$L1989)="","—",INDEX(LdAId,$L1989)),IF($M1989&lt;&gt;"",IF(INDEX(LdBId,$M1989)="","—",INDEX(LdBId,$M1989)),IF($N1989&lt;&gt;"",IF(INDEX(LdCBank,$N1989)="","—",INDEX(LdCBank,$N1989)),"")))</f>
        <v/>
      </c>
      <c r="E1989" s="16">
        <f>IF($L1989&lt;&gt;"",IF(INDEX(LdAAmt,$L1989)=0,"",INDEX(LdAAmt,$L1989)),IF($M1989&lt;&gt;"",IF(INDEX(LdBAmt,$M1989)=0,"",INDEX(LdBAmt,$M1989)),IF($N1989&lt;&gt;"",IF(INDEX(LdCDep,$N1989)=0,"",INDEX(LdCDep,$N1989)),"")))</f>
        <v/>
      </c>
      <c r="F1989" s="16">
        <f>IF(AND($L1989="",$M1989="",$N1989=""),"",IF($N1989="","",IF(INDEX(LdCWit,$N1989)=0,"",INDEX(LdCWit,$N1989))))</f>
        <v/>
      </c>
      <c r="G1989" s="29">
        <f>IF($B1989="","",IF($G1988="",0,$G1988)+IF($E1989="",0,$E1989)-IF($F1989="",0,$F1989))</f>
        <v/>
      </c>
      <c r="H1989" s="30">
        <f>IF(AND($L1989="",$M1989="",$N1989=""),"",IF($L1989&lt;&gt;"",IF(INDEX(LdANote,$L1989)="","—",INDEX(LdANote,$L1989)),IF($M1989&lt;&gt;"",IF(INDEX(LdBNote,$M1989)="","—",INDEX(LdBNote,$M1989)),IF($N1989&lt;&gt;"",IF(INDEX(LdCNote,$N1989)="","—",INDEX(LdCNote,$N1989)),""))))</f>
        <v/>
      </c>
      <c r="L1989">
        <f>IFERROR(MATCH($C$5&amp;"|"&amp;RIGHT("000000"&amp;1973,6),LdAKeyM,0),"")</f>
        <v/>
      </c>
      <c r="M1989">
        <f>IFERROR(MATCH($C$5&amp;"|"&amp;RIGHT("000000"&amp;1973,6),LdBKeyM,0),"")</f>
        <v/>
      </c>
      <c r="N1989">
        <f>IFERROR(MATCH($C$5&amp;"|"&amp;RIGHT("000000"&amp;1973,6),LdCKeyM,0),"")</f>
        <v/>
      </c>
    </row>
    <row r="1990">
      <c r="A1990" s="19" t="n">
        <v>1974</v>
      </c>
      <c r="B1990" s="20">
        <f>IF(AND($L1990="",$M1990="",$N1990=""),"",IF($L1990&lt;&gt;"",INDEX(LdADate,$L1990),IF($M1990&lt;&gt;"",INDEX(LdBDate,$M1990),INDEX(LdCDate,$N1990))))</f>
        <v/>
      </c>
      <c r="C1990" s="20">
        <f>IF($L1990&lt;&gt;"","دستمزد (فردی)",IF($M1990&lt;&gt;"","سهم از گروه "&amp;IFERROR(VLOOKUP(INDEX(LdBGroup,$M1990),WGTbl,2,0),INDEX(LdBGroup,$M1990)),IF($N1990&lt;&gt;"",IF(N(INDEX(LdCDep,$N1990))&gt;0,"بازگشت بانکی","پرداخت بانکی"),"")))</f>
        <v/>
      </c>
      <c r="D1990" s="20">
        <f>IF($L1990&lt;&gt;"",IF(INDEX(LdAId,$L1990)="","—",INDEX(LdAId,$L1990)),IF($M1990&lt;&gt;"",IF(INDEX(LdBId,$M1990)="","—",INDEX(LdBId,$M1990)),IF($N1990&lt;&gt;"",IF(INDEX(LdCBank,$N1990)="","—",INDEX(LdCBank,$N1990)),"")))</f>
        <v/>
      </c>
      <c r="E1990" s="21">
        <f>IF($L1990&lt;&gt;"",IF(INDEX(LdAAmt,$L1990)=0,"",INDEX(LdAAmt,$L1990)),IF($M1990&lt;&gt;"",IF(INDEX(LdBAmt,$M1990)=0,"",INDEX(LdBAmt,$M1990)),IF($N1990&lt;&gt;"",IF(INDEX(LdCDep,$N1990)=0,"",INDEX(LdCDep,$N1990)),"")))</f>
        <v/>
      </c>
      <c r="F1990" s="21">
        <f>IF(AND($L1990="",$M1990="",$N1990=""),"",IF($N1990="","",IF(INDEX(LdCWit,$N1990)=0,"",INDEX(LdCWit,$N1990))))</f>
        <v/>
      </c>
      <c r="G1990" s="31">
        <f>IF($B1990="","",IF($G1989="",0,$G1989)+IF($E1990="",0,$E1990)-IF($F1990="",0,$F1990))</f>
        <v/>
      </c>
      <c r="H1990" s="32">
        <f>IF(AND($L1990="",$M1990="",$N1990=""),"",IF($L1990&lt;&gt;"",IF(INDEX(LdANote,$L1990)="","—",INDEX(LdANote,$L1990)),IF($M1990&lt;&gt;"",IF(INDEX(LdBNote,$M1990)="","—",INDEX(LdBNote,$M1990)),IF($N1990&lt;&gt;"",IF(INDEX(LdCNote,$N1990)="","—",INDEX(LdCNote,$N1990)),""))))</f>
        <v/>
      </c>
      <c r="L1990">
        <f>IFERROR(MATCH($C$5&amp;"|"&amp;RIGHT("000000"&amp;1974,6),LdAKeyM,0),"")</f>
        <v/>
      </c>
      <c r="M1990">
        <f>IFERROR(MATCH($C$5&amp;"|"&amp;RIGHT("000000"&amp;1974,6),LdBKeyM,0),"")</f>
        <v/>
      </c>
      <c r="N1990">
        <f>IFERROR(MATCH($C$5&amp;"|"&amp;RIGHT("000000"&amp;1974,6),LdCKeyM,0),"")</f>
        <v/>
      </c>
    </row>
    <row r="1991">
      <c r="A1991" s="10" t="n">
        <v>1975</v>
      </c>
      <c r="B1991" s="14">
        <f>IF(AND($L1991="",$M1991="",$N1991=""),"",IF($L1991&lt;&gt;"",INDEX(LdADate,$L1991),IF($M1991&lt;&gt;"",INDEX(LdBDate,$M1991),INDEX(LdCDate,$N1991))))</f>
        <v/>
      </c>
      <c r="C1991" s="14">
        <f>IF($L1991&lt;&gt;"","دستمزد (فردی)",IF($M1991&lt;&gt;"","سهم از گروه "&amp;IFERROR(VLOOKUP(INDEX(LdBGroup,$M1991),WGTbl,2,0),INDEX(LdBGroup,$M1991)),IF($N1991&lt;&gt;"",IF(N(INDEX(LdCDep,$N1991))&gt;0,"بازگشت بانکی","پرداخت بانکی"),"")))</f>
        <v/>
      </c>
      <c r="D1991" s="14">
        <f>IF($L1991&lt;&gt;"",IF(INDEX(LdAId,$L1991)="","—",INDEX(LdAId,$L1991)),IF($M1991&lt;&gt;"",IF(INDEX(LdBId,$M1991)="","—",INDEX(LdBId,$M1991)),IF($N1991&lt;&gt;"",IF(INDEX(LdCBank,$N1991)="","—",INDEX(LdCBank,$N1991)),"")))</f>
        <v/>
      </c>
      <c r="E1991" s="16">
        <f>IF($L1991&lt;&gt;"",IF(INDEX(LdAAmt,$L1991)=0,"",INDEX(LdAAmt,$L1991)),IF($M1991&lt;&gt;"",IF(INDEX(LdBAmt,$M1991)=0,"",INDEX(LdBAmt,$M1991)),IF($N1991&lt;&gt;"",IF(INDEX(LdCDep,$N1991)=0,"",INDEX(LdCDep,$N1991)),"")))</f>
        <v/>
      </c>
      <c r="F1991" s="16">
        <f>IF(AND($L1991="",$M1991="",$N1991=""),"",IF($N1991="","",IF(INDEX(LdCWit,$N1991)=0,"",INDEX(LdCWit,$N1991))))</f>
        <v/>
      </c>
      <c r="G1991" s="29">
        <f>IF($B1991="","",IF($G1990="",0,$G1990)+IF($E1991="",0,$E1991)-IF($F1991="",0,$F1991))</f>
        <v/>
      </c>
      <c r="H1991" s="30">
        <f>IF(AND($L1991="",$M1991="",$N1991=""),"",IF($L1991&lt;&gt;"",IF(INDEX(LdANote,$L1991)="","—",INDEX(LdANote,$L1991)),IF($M1991&lt;&gt;"",IF(INDEX(LdBNote,$M1991)="","—",INDEX(LdBNote,$M1991)),IF($N1991&lt;&gt;"",IF(INDEX(LdCNote,$N1991)="","—",INDEX(LdCNote,$N1991)),""))))</f>
        <v/>
      </c>
      <c r="L1991">
        <f>IFERROR(MATCH($C$5&amp;"|"&amp;RIGHT("000000"&amp;1975,6),LdAKeyM,0),"")</f>
        <v/>
      </c>
      <c r="M1991">
        <f>IFERROR(MATCH($C$5&amp;"|"&amp;RIGHT("000000"&amp;1975,6),LdBKeyM,0),"")</f>
        <v/>
      </c>
      <c r="N1991">
        <f>IFERROR(MATCH($C$5&amp;"|"&amp;RIGHT("000000"&amp;1975,6),LdCKeyM,0),"")</f>
        <v/>
      </c>
    </row>
    <row r="1992">
      <c r="A1992" s="19" t="n">
        <v>1976</v>
      </c>
      <c r="B1992" s="20">
        <f>IF(AND($L1992="",$M1992="",$N1992=""),"",IF($L1992&lt;&gt;"",INDEX(LdADate,$L1992),IF($M1992&lt;&gt;"",INDEX(LdBDate,$M1992),INDEX(LdCDate,$N1992))))</f>
        <v/>
      </c>
      <c r="C1992" s="20">
        <f>IF($L1992&lt;&gt;"","دستمزد (فردی)",IF($M1992&lt;&gt;"","سهم از گروه "&amp;IFERROR(VLOOKUP(INDEX(LdBGroup,$M1992),WGTbl,2,0),INDEX(LdBGroup,$M1992)),IF($N1992&lt;&gt;"",IF(N(INDEX(LdCDep,$N1992))&gt;0,"بازگشت بانکی","پرداخت بانکی"),"")))</f>
        <v/>
      </c>
      <c r="D1992" s="20">
        <f>IF($L1992&lt;&gt;"",IF(INDEX(LdAId,$L1992)="","—",INDEX(LdAId,$L1992)),IF($M1992&lt;&gt;"",IF(INDEX(LdBId,$M1992)="","—",INDEX(LdBId,$M1992)),IF($N1992&lt;&gt;"",IF(INDEX(LdCBank,$N1992)="","—",INDEX(LdCBank,$N1992)),"")))</f>
        <v/>
      </c>
      <c r="E1992" s="21">
        <f>IF($L1992&lt;&gt;"",IF(INDEX(LdAAmt,$L1992)=0,"",INDEX(LdAAmt,$L1992)),IF($M1992&lt;&gt;"",IF(INDEX(LdBAmt,$M1992)=0,"",INDEX(LdBAmt,$M1992)),IF($N1992&lt;&gt;"",IF(INDEX(LdCDep,$N1992)=0,"",INDEX(LdCDep,$N1992)),"")))</f>
        <v/>
      </c>
      <c r="F1992" s="21">
        <f>IF(AND($L1992="",$M1992="",$N1992=""),"",IF($N1992="","",IF(INDEX(LdCWit,$N1992)=0,"",INDEX(LdCWit,$N1992))))</f>
        <v/>
      </c>
      <c r="G1992" s="31">
        <f>IF($B1992="","",IF($G1991="",0,$G1991)+IF($E1992="",0,$E1992)-IF($F1992="",0,$F1992))</f>
        <v/>
      </c>
      <c r="H1992" s="32">
        <f>IF(AND($L1992="",$M1992="",$N1992=""),"",IF($L1992&lt;&gt;"",IF(INDEX(LdANote,$L1992)="","—",INDEX(LdANote,$L1992)),IF($M1992&lt;&gt;"",IF(INDEX(LdBNote,$M1992)="","—",INDEX(LdBNote,$M1992)),IF($N1992&lt;&gt;"",IF(INDEX(LdCNote,$N1992)="","—",INDEX(LdCNote,$N1992)),""))))</f>
        <v/>
      </c>
      <c r="L1992">
        <f>IFERROR(MATCH($C$5&amp;"|"&amp;RIGHT("000000"&amp;1976,6),LdAKeyM,0),"")</f>
        <v/>
      </c>
      <c r="M1992">
        <f>IFERROR(MATCH($C$5&amp;"|"&amp;RIGHT("000000"&amp;1976,6),LdBKeyM,0),"")</f>
        <v/>
      </c>
      <c r="N1992">
        <f>IFERROR(MATCH($C$5&amp;"|"&amp;RIGHT("000000"&amp;1976,6),LdCKeyM,0),"")</f>
        <v/>
      </c>
    </row>
    <row r="1993">
      <c r="A1993" s="10" t="n">
        <v>1977</v>
      </c>
      <c r="B1993" s="14">
        <f>IF(AND($L1993="",$M1993="",$N1993=""),"",IF($L1993&lt;&gt;"",INDEX(LdADate,$L1993),IF($M1993&lt;&gt;"",INDEX(LdBDate,$M1993),INDEX(LdCDate,$N1993))))</f>
        <v/>
      </c>
      <c r="C1993" s="14">
        <f>IF($L1993&lt;&gt;"","دستمزد (فردی)",IF($M1993&lt;&gt;"","سهم از گروه "&amp;IFERROR(VLOOKUP(INDEX(LdBGroup,$M1993),WGTbl,2,0),INDEX(LdBGroup,$M1993)),IF($N1993&lt;&gt;"",IF(N(INDEX(LdCDep,$N1993))&gt;0,"بازگشت بانکی","پرداخت بانکی"),"")))</f>
        <v/>
      </c>
      <c r="D1993" s="14">
        <f>IF($L1993&lt;&gt;"",IF(INDEX(LdAId,$L1993)="","—",INDEX(LdAId,$L1993)),IF($M1993&lt;&gt;"",IF(INDEX(LdBId,$M1993)="","—",INDEX(LdBId,$M1993)),IF($N1993&lt;&gt;"",IF(INDEX(LdCBank,$N1993)="","—",INDEX(LdCBank,$N1993)),"")))</f>
        <v/>
      </c>
      <c r="E1993" s="16">
        <f>IF($L1993&lt;&gt;"",IF(INDEX(LdAAmt,$L1993)=0,"",INDEX(LdAAmt,$L1993)),IF($M1993&lt;&gt;"",IF(INDEX(LdBAmt,$M1993)=0,"",INDEX(LdBAmt,$M1993)),IF($N1993&lt;&gt;"",IF(INDEX(LdCDep,$N1993)=0,"",INDEX(LdCDep,$N1993)),"")))</f>
        <v/>
      </c>
      <c r="F1993" s="16">
        <f>IF(AND($L1993="",$M1993="",$N1993=""),"",IF($N1993="","",IF(INDEX(LdCWit,$N1993)=0,"",INDEX(LdCWit,$N1993))))</f>
        <v/>
      </c>
      <c r="G1993" s="29">
        <f>IF($B1993="","",IF($G1992="",0,$G1992)+IF($E1993="",0,$E1993)-IF($F1993="",0,$F1993))</f>
        <v/>
      </c>
      <c r="H1993" s="30">
        <f>IF(AND($L1993="",$M1993="",$N1993=""),"",IF($L1993&lt;&gt;"",IF(INDEX(LdANote,$L1993)="","—",INDEX(LdANote,$L1993)),IF($M1993&lt;&gt;"",IF(INDEX(LdBNote,$M1993)="","—",INDEX(LdBNote,$M1993)),IF($N1993&lt;&gt;"",IF(INDEX(LdCNote,$N1993)="","—",INDEX(LdCNote,$N1993)),""))))</f>
        <v/>
      </c>
      <c r="L1993">
        <f>IFERROR(MATCH($C$5&amp;"|"&amp;RIGHT("000000"&amp;1977,6),LdAKeyM,0),"")</f>
        <v/>
      </c>
      <c r="M1993">
        <f>IFERROR(MATCH($C$5&amp;"|"&amp;RIGHT("000000"&amp;1977,6),LdBKeyM,0),"")</f>
        <v/>
      </c>
      <c r="N1993">
        <f>IFERROR(MATCH($C$5&amp;"|"&amp;RIGHT("000000"&amp;1977,6),LdCKeyM,0),"")</f>
        <v/>
      </c>
    </row>
    <row r="1994">
      <c r="A1994" s="19" t="n">
        <v>1978</v>
      </c>
      <c r="B1994" s="20">
        <f>IF(AND($L1994="",$M1994="",$N1994=""),"",IF($L1994&lt;&gt;"",INDEX(LdADate,$L1994),IF($M1994&lt;&gt;"",INDEX(LdBDate,$M1994),INDEX(LdCDate,$N1994))))</f>
        <v/>
      </c>
      <c r="C1994" s="20">
        <f>IF($L1994&lt;&gt;"","دستمزد (فردی)",IF($M1994&lt;&gt;"","سهم از گروه "&amp;IFERROR(VLOOKUP(INDEX(LdBGroup,$M1994),WGTbl,2,0),INDEX(LdBGroup,$M1994)),IF($N1994&lt;&gt;"",IF(N(INDEX(LdCDep,$N1994))&gt;0,"بازگشت بانکی","پرداخت بانکی"),"")))</f>
        <v/>
      </c>
      <c r="D1994" s="20">
        <f>IF($L1994&lt;&gt;"",IF(INDEX(LdAId,$L1994)="","—",INDEX(LdAId,$L1994)),IF($M1994&lt;&gt;"",IF(INDEX(LdBId,$M1994)="","—",INDEX(LdBId,$M1994)),IF($N1994&lt;&gt;"",IF(INDEX(LdCBank,$N1994)="","—",INDEX(LdCBank,$N1994)),"")))</f>
        <v/>
      </c>
      <c r="E1994" s="21">
        <f>IF($L1994&lt;&gt;"",IF(INDEX(LdAAmt,$L1994)=0,"",INDEX(LdAAmt,$L1994)),IF($M1994&lt;&gt;"",IF(INDEX(LdBAmt,$M1994)=0,"",INDEX(LdBAmt,$M1994)),IF($N1994&lt;&gt;"",IF(INDEX(LdCDep,$N1994)=0,"",INDEX(LdCDep,$N1994)),"")))</f>
        <v/>
      </c>
      <c r="F1994" s="21">
        <f>IF(AND($L1994="",$M1994="",$N1994=""),"",IF($N1994="","",IF(INDEX(LdCWit,$N1994)=0,"",INDEX(LdCWit,$N1994))))</f>
        <v/>
      </c>
      <c r="G1994" s="31">
        <f>IF($B1994="","",IF($G1993="",0,$G1993)+IF($E1994="",0,$E1994)-IF($F1994="",0,$F1994))</f>
        <v/>
      </c>
      <c r="H1994" s="32">
        <f>IF(AND($L1994="",$M1994="",$N1994=""),"",IF($L1994&lt;&gt;"",IF(INDEX(LdANote,$L1994)="","—",INDEX(LdANote,$L1994)),IF($M1994&lt;&gt;"",IF(INDEX(LdBNote,$M1994)="","—",INDEX(LdBNote,$M1994)),IF($N1994&lt;&gt;"",IF(INDEX(LdCNote,$N1994)="","—",INDEX(LdCNote,$N1994)),""))))</f>
        <v/>
      </c>
      <c r="L1994">
        <f>IFERROR(MATCH($C$5&amp;"|"&amp;RIGHT("000000"&amp;1978,6),LdAKeyM,0),"")</f>
        <v/>
      </c>
      <c r="M1994">
        <f>IFERROR(MATCH($C$5&amp;"|"&amp;RIGHT("000000"&amp;1978,6),LdBKeyM,0),"")</f>
        <v/>
      </c>
      <c r="N1994">
        <f>IFERROR(MATCH($C$5&amp;"|"&amp;RIGHT("000000"&amp;1978,6),LdCKeyM,0),"")</f>
        <v/>
      </c>
    </row>
    <row r="1995">
      <c r="A1995" s="10" t="n">
        <v>1979</v>
      </c>
      <c r="B1995" s="14">
        <f>IF(AND($L1995="",$M1995="",$N1995=""),"",IF($L1995&lt;&gt;"",INDEX(LdADate,$L1995),IF($M1995&lt;&gt;"",INDEX(LdBDate,$M1995),INDEX(LdCDate,$N1995))))</f>
        <v/>
      </c>
      <c r="C1995" s="14">
        <f>IF($L1995&lt;&gt;"","دستمزد (فردی)",IF($M1995&lt;&gt;"","سهم از گروه "&amp;IFERROR(VLOOKUP(INDEX(LdBGroup,$M1995),WGTbl,2,0),INDEX(LdBGroup,$M1995)),IF($N1995&lt;&gt;"",IF(N(INDEX(LdCDep,$N1995))&gt;0,"بازگشت بانکی","پرداخت بانکی"),"")))</f>
        <v/>
      </c>
      <c r="D1995" s="14">
        <f>IF($L1995&lt;&gt;"",IF(INDEX(LdAId,$L1995)="","—",INDEX(LdAId,$L1995)),IF($M1995&lt;&gt;"",IF(INDEX(LdBId,$M1995)="","—",INDEX(LdBId,$M1995)),IF($N1995&lt;&gt;"",IF(INDEX(LdCBank,$N1995)="","—",INDEX(LdCBank,$N1995)),"")))</f>
        <v/>
      </c>
      <c r="E1995" s="16">
        <f>IF($L1995&lt;&gt;"",IF(INDEX(LdAAmt,$L1995)=0,"",INDEX(LdAAmt,$L1995)),IF($M1995&lt;&gt;"",IF(INDEX(LdBAmt,$M1995)=0,"",INDEX(LdBAmt,$M1995)),IF($N1995&lt;&gt;"",IF(INDEX(LdCDep,$N1995)=0,"",INDEX(LdCDep,$N1995)),"")))</f>
        <v/>
      </c>
      <c r="F1995" s="16">
        <f>IF(AND($L1995="",$M1995="",$N1995=""),"",IF($N1995="","",IF(INDEX(LdCWit,$N1995)=0,"",INDEX(LdCWit,$N1995))))</f>
        <v/>
      </c>
      <c r="G1995" s="29">
        <f>IF($B1995="","",IF($G1994="",0,$G1994)+IF($E1995="",0,$E1995)-IF($F1995="",0,$F1995))</f>
        <v/>
      </c>
      <c r="H1995" s="30">
        <f>IF(AND($L1995="",$M1995="",$N1995=""),"",IF($L1995&lt;&gt;"",IF(INDEX(LdANote,$L1995)="","—",INDEX(LdANote,$L1995)),IF($M1995&lt;&gt;"",IF(INDEX(LdBNote,$M1995)="","—",INDEX(LdBNote,$M1995)),IF($N1995&lt;&gt;"",IF(INDEX(LdCNote,$N1995)="","—",INDEX(LdCNote,$N1995)),""))))</f>
        <v/>
      </c>
      <c r="L1995">
        <f>IFERROR(MATCH($C$5&amp;"|"&amp;RIGHT("000000"&amp;1979,6),LdAKeyM,0),"")</f>
        <v/>
      </c>
      <c r="M1995">
        <f>IFERROR(MATCH($C$5&amp;"|"&amp;RIGHT("000000"&amp;1979,6),LdBKeyM,0),"")</f>
        <v/>
      </c>
      <c r="N1995">
        <f>IFERROR(MATCH($C$5&amp;"|"&amp;RIGHT("000000"&amp;1979,6),LdCKeyM,0),"")</f>
        <v/>
      </c>
    </row>
    <row r="1996">
      <c r="A1996" s="19" t="n">
        <v>1980</v>
      </c>
      <c r="B1996" s="20">
        <f>IF(AND($L1996="",$M1996="",$N1996=""),"",IF($L1996&lt;&gt;"",INDEX(LdADate,$L1996),IF($M1996&lt;&gt;"",INDEX(LdBDate,$M1996),INDEX(LdCDate,$N1996))))</f>
        <v/>
      </c>
      <c r="C1996" s="20">
        <f>IF($L1996&lt;&gt;"","دستمزد (فردی)",IF($M1996&lt;&gt;"","سهم از گروه "&amp;IFERROR(VLOOKUP(INDEX(LdBGroup,$M1996),WGTbl,2,0),INDEX(LdBGroup,$M1996)),IF($N1996&lt;&gt;"",IF(N(INDEX(LdCDep,$N1996))&gt;0,"بازگشت بانکی","پرداخت بانکی"),"")))</f>
        <v/>
      </c>
      <c r="D1996" s="20">
        <f>IF($L1996&lt;&gt;"",IF(INDEX(LdAId,$L1996)="","—",INDEX(LdAId,$L1996)),IF($M1996&lt;&gt;"",IF(INDEX(LdBId,$M1996)="","—",INDEX(LdBId,$M1996)),IF($N1996&lt;&gt;"",IF(INDEX(LdCBank,$N1996)="","—",INDEX(LdCBank,$N1996)),"")))</f>
        <v/>
      </c>
      <c r="E1996" s="21">
        <f>IF($L1996&lt;&gt;"",IF(INDEX(LdAAmt,$L1996)=0,"",INDEX(LdAAmt,$L1996)),IF($M1996&lt;&gt;"",IF(INDEX(LdBAmt,$M1996)=0,"",INDEX(LdBAmt,$M1996)),IF($N1996&lt;&gt;"",IF(INDEX(LdCDep,$N1996)=0,"",INDEX(LdCDep,$N1996)),"")))</f>
        <v/>
      </c>
      <c r="F1996" s="21">
        <f>IF(AND($L1996="",$M1996="",$N1996=""),"",IF($N1996="","",IF(INDEX(LdCWit,$N1996)=0,"",INDEX(LdCWit,$N1996))))</f>
        <v/>
      </c>
      <c r="G1996" s="31">
        <f>IF($B1996="","",IF($G1995="",0,$G1995)+IF($E1996="",0,$E1996)-IF($F1996="",0,$F1996))</f>
        <v/>
      </c>
      <c r="H1996" s="32">
        <f>IF(AND($L1996="",$M1996="",$N1996=""),"",IF($L1996&lt;&gt;"",IF(INDEX(LdANote,$L1996)="","—",INDEX(LdANote,$L1996)),IF($M1996&lt;&gt;"",IF(INDEX(LdBNote,$M1996)="","—",INDEX(LdBNote,$M1996)),IF($N1996&lt;&gt;"",IF(INDEX(LdCNote,$N1996)="","—",INDEX(LdCNote,$N1996)),""))))</f>
        <v/>
      </c>
      <c r="L1996">
        <f>IFERROR(MATCH($C$5&amp;"|"&amp;RIGHT("000000"&amp;1980,6),LdAKeyM,0),"")</f>
        <v/>
      </c>
      <c r="M1996">
        <f>IFERROR(MATCH($C$5&amp;"|"&amp;RIGHT("000000"&amp;1980,6),LdBKeyM,0),"")</f>
        <v/>
      </c>
      <c r="N1996">
        <f>IFERROR(MATCH($C$5&amp;"|"&amp;RIGHT("000000"&amp;1980,6),LdCKeyM,0),"")</f>
        <v/>
      </c>
    </row>
    <row r="1997">
      <c r="A1997" s="10" t="n">
        <v>1981</v>
      </c>
      <c r="B1997" s="14">
        <f>IF(AND($L1997="",$M1997="",$N1997=""),"",IF($L1997&lt;&gt;"",INDEX(LdADate,$L1997),IF($M1997&lt;&gt;"",INDEX(LdBDate,$M1997),INDEX(LdCDate,$N1997))))</f>
        <v/>
      </c>
      <c r="C1997" s="14">
        <f>IF($L1997&lt;&gt;"","دستمزد (فردی)",IF($M1997&lt;&gt;"","سهم از گروه "&amp;IFERROR(VLOOKUP(INDEX(LdBGroup,$M1997),WGTbl,2,0),INDEX(LdBGroup,$M1997)),IF($N1997&lt;&gt;"",IF(N(INDEX(LdCDep,$N1997))&gt;0,"بازگشت بانکی","پرداخت بانکی"),"")))</f>
        <v/>
      </c>
      <c r="D1997" s="14">
        <f>IF($L1997&lt;&gt;"",IF(INDEX(LdAId,$L1997)="","—",INDEX(LdAId,$L1997)),IF($M1997&lt;&gt;"",IF(INDEX(LdBId,$M1997)="","—",INDEX(LdBId,$M1997)),IF($N1997&lt;&gt;"",IF(INDEX(LdCBank,$N1997)="","—",INDEX(LdCBank,$N1997)),"")))</f>
        <v/>
      </c>
      <c r="E1997" s="16">
        <f>IF($L1997&lt;&gt;"",IF(INDEX(LdAAmt,$L1997)=0,"",INDEX(LdAAmt,$L1997)),IF($M1997&lt;&gt;"",IF(INDEX(LdBAmt,$M1997)=0,"",INDEX(LdBAmt,$M1997)),IF($N1997&lt;&gt;"",IF(INDEX(LdCDep,$N1997)=0,"",INDEX(LdCDep,$N1997)),"")))</f>
        <v/>
      </c>
      <c r="F1997" s="16">
        <f>IF(AND($L1997="",$M1997="",$N1997=""),"",IF($N1997="","",IF(INDEX(LdCWit,$N1997)=0,"",INDEX(LdCWit,$N1997))))</f>
        <v/>
      </c>
      <c r="G1997" s="29">
        <f>IF($B1997="","",IF($G1996="",0,$G1996)+IF($E1997="",0,$E1997)-IF($F1997="",0,$F1997))</f>
        <v/>
      </c>
      <c r="H1997" s="30">
        <f>IF(AND($L1997="",$M1997="",$N1997=""),"",IF($L1997&lt;&gt;"",IF(INDEX(LdANote,$L1997)="","—",INDEX(LdANote,$L1997)),IF($M1997&lt;&gt;"",IF(INDEX(LdBNote,$M1997)="","—",INDEX(LdBNote,$M1997)),IF($N1997&lt;&gt;"",IF(INDEX(LdCNote,$N1997)="","—",INDEX(LdCNote,$N1997)),""))))</f>
        <v/>
      </c>
      <c r="L1997">
        <f>IFERROR(MATCH($C$5&amp;"|"&amp;RIGHT("000000"&amp;1981,6),LdAKeyM,0),"")</f>
        <v/>
      </c>
      <c r="M1997">
        <f>IFERROR(MATCH($C$5&amp;"|"&amp;RIGHT("000000"&amp;1981,6),LdBKeyM,0),"")</f>
        <v/>
      </c>
      <c r="N1997">
        <f>IFERROR(MATCH($C$5&amp;"|"&amp;RIGHT("000000"&amp;1981,6),LdCKeyM,0),"")</f>
        <v/>
      </c>
    </row>
    <row r="1998">
      <c r="A1998" s="19" t="n">
        <v>1982</v>
      </c>
      <c r="B1998" s="20">
        <f>IF(AND($L1998="",$M1998="",$N1998=""),"",IF($L1998&lt;&gt;"",INDEX(LdADate,$L1998),IF($M1998&lt;&gt;"",INDEX(LdBDate,$M1998),INDEX(LdCDate,$N1998))))</f>
        <v/>
      </c>
      <c r="C1998" s="20">
        <f>IF($L1998&lt;&gt;"","دستمزد (فردی)",IF($M1998&lt;&gt;"","سهم از گروه "&amp;IFERROR(VLOOKUP(INDEX(LdBGroup,$M1998),WGTbl,2,0),INDEX(LdBGroup,$M1998)),IF($N1998&lt;&gt;"",IF(N(INDEX(LdCDep,$N1998))&gt;0,"بازگشت بانکی","پرداخت بانکی"),"")))</f>
        <v/>
      </c>
      <c r="D1998" s="20">
        <f>IF($L1998&lt;&gt;"",IF(INDEX(LdAId,$L1998)="","—",INDEX(LdAId,$L1998)),IF($M1998&lt;&gt;"",IF(INDEX(LdBId,$M1998)="","—",INDEX(LdBId,$M1998)),IF($N1998&lt;&gt;"",IF(INDEX(LdCBank,$N1998)="","—",INDEX(LdCBank,$N1998)),"")))</f>
        <v/>
      </c>
      <c r="E1998" s="21">
        <f>IF($L1998&lt;&gt;"",IF(INDEX(LdAAmt,$L1998)=0,"",INDEX(LdAAmt,$L1998)),IF($M1998&lt;&gt;"",IF(INDEX(LdBAmt,$M1998)=0,"",INDEX(LdBAmt,$M1998)),IF($N1998&lt;&gt;"",IF(INDEX(LdCDep,$N1998)=0,"",INDEX(LdCDep,$N1998)),"")))</f>
        <v/>
      </c>
      <c r="F1998" s="21">
        <f>IF(AND($L1998="",$M1998="",$N1998=""),"",IF($N1998="","",IF(INDEX(LdCWit,$N1998)=0,"",INDEX(LdCWit,$N1998))))</f>
        <v/>
      </c>
      <c r="G1998" s="31">
        <f>IF($B1998="","",IF($G1997="",0,$G1997)+IF($E1998="",0,$E1998)-IF($F1998="",0,$F1998))</f>
        <v/>
      </c>
      <c r="H1998" s="32">
        <f>IF(AND($L1998="",$M1998="",$N1998=""),"",IF($L1998&lt;&gt;"",IF(INDEX(LdANote,$L1998)="","—",INDEX(LdANote,$L1998)),IF($M1998&lt;&gt;"",IF(INDEX(LdBNote,$M1998)="","—",INDEX(LdBNote,$M1998)),IF($N1998&lt;&gt;"",IF(INDEX(LdCNote,$N1998)="","—",INDEX(LdCNote,$N1998)),""))))</f>
        <v/>
      </c>
      <c r="L1998">
        <f>IFERROR(MATCH($C$5&amp;"|"&amp;RIGHT("000000"&amp;1982,6),LdAKeyM,0),"")</f>
        <v/>
      </c>
      <c r="M1998">
        <f>IFERROR(MATCH($C$5&amp;"|"&amp;RIGHT("000000"&amp;1982,6),LdBKeyM,0),"")</f>
        <v/>
      </c>
      <c r="N1998">
        <f>IFERROR(MATCH($C$5&amp;"|"&amp;RIGHT("000000"&amp;1982,6),LdCKeyM,0),"")</f>
        <v/>
      </c>
    </row>
    <row r="1999">
      <c r="A1999" s="10" t="n">
        <v>1983</v>
      </c>
      <c r="B1999" s="14">
        <f>IF(AND($L1999="",$M1999="",$N1999=""),"",IF($L1999&lt;&gt;"",INDEX(LdADate,$L1999),IF($M1999&lt;&gt;"",INDEX(LdBDate,$M1999),INDEX(LdCDate,$N1999))))</f>
        <v/>
      </c>
      <c r="C1999" s="14">
        <f>IF($L1999&lt;&gt;"","دستمزد (فردی)",IF($M1999&lt;&gt;"","سهم از گروه "&amp;IFERROR(VLOOKUP(INDEX(LdBGroup,$M1999),WGTbl,2,0),INDEX(LdBGroup,$M1999)),IF($N1999&lt;&gt;"",IF(N(INDEX(LdCDep,$N1999))&gt;0,"بازگشت بانکی","پرداخت بانکی"),"")))</f>
        <v/>
      </c>
      <c r="D1999" s="14">
        <f>IF($L1999&lt;&gt;"",IF(INDEX(LdAId,$L1999)="","—",INDEX(LdAId,$L1999)),IF($M1999&lt;&gt;"",IF(INDEX(LdBId,$M1999)="","—",INDEX(LdBId,$M1999)),IF($N1999&lt;&gt;"",IF(INDEX(LdCBank,$N1999)="","—",INDEX(LdCBank,$N1999)),"")))</f>
        <v/>
      </c>
      <c r="E1999" s="16">
        <f>IF($L1999&lt;&gt;"",IF(INDEX(LdAAmt,$L1999)=0,"",INDEX(LdAAmt,$L1999)),IF($M1999&lt;&gt;"",IF(INDEX(LdBAmt,$M1999)=0,"",INDEX(LdBAmt,$M1999)),IF($N1999&lt;&gt;"",IF(INDEX(LdCDep,$N1999)=0,"",INDEX(LdCDep,$N1999)),"")))</f>
        <v/>
      </c>
      <c r="F1999" s="16">
        <f>IF(AND($L1999="",$M1999="",$N1999=""),"",IF($N1999="","",IF(INDEX(LdCWit,$N1999)=0,"",INDEX(LdCWit,$N1999))))</f>
        <v/>
      </c>
      <c r="G1999" s="29">
        <f>IF($B1999="","",IF($G1998="",0,$G1998)+IF($E1999="",0,$E1999)-IF($F1999="",0,$F1999))</f>
        <v/>
      </c>
      <c r="H1999" s="30">
        <f>IF(AND($L1999="",$M1999="",$N1999=""),"",IF($L1999&lt;&gt;"",IF(INDEX(LdANote,$L1999)="","—",INDEX(LdANote,$L1999)),IF($M1999&lt;&gt;"",IF(INDEX(LdBNote,$M1999)="","—",INDEX(LdBNote,$M1999)),IF($N1999&lt;&gt;"",IF(INDEX(LdCNote,$N1999)="","—",INDEX(LdCNote,$N1999)),""))))</f>
        <v/>
      </c>
      <c r="L1999">
        <f>IFERROR(MATCH($C$5&amp;"|"&amp;RIGHT("000000"&amp;1983,6),LdAKeyM,0),"")</f>
        <v/>
      </c>
      <c r="M1999">
        <f>IFERROR(MATCH($C$5&amp;"|"&amp;RIGHT("000000"&amp;1983,6),LdBKeyM,0),"")</f>
        <v/>
      </c>
      <c r="N1999">
        <f>IFERROR(MATCH($C$5&amp;"|"&amp;RIGHT("000000"&amp;1983,6),LdCKeyM,0),"")</f>
        <v/>
      </c>
    </row>
    <row r="2000">
      <c r="A2000" s="19" t="n">
        <v>1984</v>
      </c>
      <c r="B2000" s="20">
        <f>IF(AND($L2000="",$M2000="",$N2000=""),"",IF($L2000&lt;&gt;"",INDEX(LdADate,$L2000),IF($M2000&lt;&gt;"",INDEX(LdBDate,$M2000),INDEX(LdCDate,$N2000))))</f>
        <v/>
      </c>
      <c r="C2000" s="20">
        <f>IF($L2000&lt;&gt;"","دستمزد (فردی)",IF($M2000&lt;&gt;"","سهم از گروه "&amp;IFERROR(VLOOKUP(INDEX(LdBGroup,$M2000),WGTbl,2,0),INDEX(LdBGroup,$M2000)),IF($N2000&lt;&gt;"",IF(N(INDEX(LdCDep,$N2000))&gt;0,"بازگشت بانکی","پرداخت بانکی"),"")))</f>
        <v/>
      </c>
      <c r="D2000" s="20">
        <f>IF($L2000&lt;&gt;"",IF(INDEX(LdAId,$L2000)="","—",INDEX(LdAId,$L2000)),IF($M2000&lt;&gt;"",IF(INDEX(LdBId,$M2000)="","—",INDEX(LdBId,$M2000)),IF($N2000&lt;&gt;"",IF(INDEX(LdCBank,$N2000)="","—",INDEX(LdCBank,$N2000)),"")))</f>
        <v/>
      </c>
      <c r="E2000" s="21">
        <f>IF($L2000&lt;&gt;"",IF(INDEX(LdAAmt,$L2000)=0,"",INDEX(LdAAmt,$L2000)),IF($M2000&lt;&gt;"",IF(INDEX(LdBAmt,$M2000)=0,"",INDEX(LdBAmt,$M2000)),IF($N2000&lt;&gt;"",IF(INDEX(LdCDep,$N2000)=0,"",INDEX(LdCDep,$N2000)),"")))</f>
        <v/>
      </c>
      <c r="F2000" s="21">
        <f>IF(AND($L2000="",$M2000="",$N2000=""),"",IF($N2000="","",IF(INDEX(LdCWit,$N2000)=0,"",INDEX(LdCWit,$N2000))))</f>
        <v/>
      </c>
      <c r="G2000" s="31">
        <f>IF($B2000="","",IF($G1999="",0,$G1999)+IF($E2000="",0,$E2000)-IF($F2000="",0,$F2000))</f>
        <v/>
      </c>
      <c r="H2000" s="32">
        <f>IF(AND($L2000="",$M2000="",$N2000=""),"",IF($L2000&lt;&gt;"",IF(INDEX(LdANote,$L2000)="","—",INDEX(LdANote,$L2000)),IF($M2000&lt;&gt;"",IF(INDEX(LdBNote,$M2000)="","—",INDEX(LdBNote,$M2000)),IF($N2000&lt;&gt;"",IF(INDEX(LdCNote,$N2000)="","—",INDEX(LdCNote,$N2000)),""))))</f>
        <v/>
      </c>
      <c r="L2000">
        <f>IFERROR(MATCH($C$5&amp;"|"&amp;RIGHT("000000"&amp;1984,6),LdAKeyM,0),"")</f>
        <v/>
      </c>
      <c r="M2000">
        <f>IFERROR(MATCH($C$5&amp;"|"&amp;RIGHT("000000"&amp;1984,6),LdBKeyM,0),"")</f>
        <v/>
      </c>
      <c r="N2000">
        <f>IFERROR(MATCH($C$5&amp;"|"&amp;RIGHT("000000"&amp;1984,6),LdCKeyM,0),"")</f>
        <v/>
      </c>
    </row>
    <row r="2001">
      <c r="A2001" s="10" t="n">
        <v>1985</v>
      </c>
      <c r="B2001" s="14">
        <f>IF(AND($L2001="",$M2001="",$N2001=""),"",IF($L2001&lt;&gt;"",INDEX(LdADate,$L2001),IF($M2001&lt;&gt;"",INDEX(LdBDate,$M2001),INDEX(LdCDate,$N2001))))</f>
        <v/>
      </c>
      <c r="C2001" s="14">
        <f>IF($L2001&lt;&gt;"","دستمزد (فردی)",IF($M2001&lt;&gt;"","سهم از گروه "&amp;IFERROR(VLOOKUP(INDEX(LdBGroup,$M2001),WGTbl,2,0),INDEX(LdBGroup,$M2001)),IF($N2001&lt;&gt;"",IF(N(INDEX(LdCDep,$N2001))&gt;0,"بازگشت بانکی","پرداخت بانکی"),"")))</f>
        <v/>
      </c>
      <c r="D2001" s="14">
        <f>IF($L2001&lt;&gt;"",IF(INDEX(LdAId,$L2001)="","—",INDEX(LdAId,$L2001)),IF($M2001&lt;&gt;"",IF(INDEX(LdBId,$M2001)="","—",INDEX(LdBId,$M2001)),IF($N2001&lt;&gt;"",IF(INDEX(LdCBank,$N2001)="","—",INDEX(LdCBank,$N2001)),"")))</f>
        <v/>
      </c>
      <c r="E2001" s="16">
        <f>IF($L2001&lt;&gt;"",IF(INDEX(LdAAmt,$L2001)=0,"",INDEX(LdAAmt,$L2001)),IF($M2001&lt;&gt;"",IF(INDEX(LdBAmt,$M2001)=0,"",INDEX(LdBAmt,$M2001)),IF($N2001&lt;&gt;"",IF(INDEX(LdCDep,$N2001)=0,"",INDEX(LdCDep,$N2001)),"")))</f>
        <v/>
      </c>
      <c r="F2001" s="16">
        <f>IF(AND($L2001="",$M2001="",$N2001=""),"",IF($N2001="","",IF(INDEX(LdCWit,$N2001)=0,"",INDEX(LdCWit,$N2001))))</f>
        <v/>
      </c>
      <c r="G2001" s="29">
        <f>IF($B2001="","",IF($G2000="",0,$G2000)+IF($E2001="",0,$E2001)-IF($F2001="",0,$F2001))</f>
        <v/>
      </c>
      <c r="H2001" s="30">
        <f>IF(AND($L2001="",$M2001="",$N2001=""),"",IF($L2001&lt;&gt;"",IF(INDEX(LdANote,$L2001)="","—",INDEX(LdANote,$L2001)),IF($M2001&lt;&gt;"",IF(INDEX(LdBNote,$M2001)="","—",INDEX(LdBNote,$M2001)),IF($N2001&lt;&gt;"",IF(INDEX(LdCNote,$N2001)="","—",INDEX(LdCNote,$N2001)),""))))</f>
        <v/>
      </c>
      <c r="L2001">
        <f>IFERROR(MATCH($C$5&amp;"|"&amp;RIGHT("000000"&amp;1985,6),LdAKeyM,0),"")</f>
        <v/>
      </c>
      <c r="M2001">
        <f>IFERROR(MATCH($C$5&amp;"|"&amp;RIGHT("000000"&amp;1985,6),LdBKeyM,0),"")</f>
        <v/>
      </c>
      <c r="N2001">
        <f>IFERROR(MATCH($C$5&amp;"|"&amp;RIGHT("000000"&amp;1985,6),LdCKeyM,0),"")</f>
        <v/>
      </c>
    </row>
    <row r="2002">
      <c r="A2002" s="19" t="n">
        <v>1986</v>
      </c>
      <c r="B2002" s="20">
        <f>IF(AND($L2002="",$M2002="",$N2002=""),"",IF($L2002&lt;&gt;"",INDEX(LdADate,$L2002),IF($M2002&lt;&gt;"",INDEX(LdBDate,$M2002),INDEX(LdCDate,$N2002))))</f>
        <v/>
      </c>
      <c r="C2002" s="20">
        <f>IF($L2002&lt;&gt;"","دستمزد (فردی)",IF($M2002&lt;&gt;"","سهم از گروه "&amp;IFERROR(VLOOKUP(INDEX(LdBGroup,$M2002),WGTbl,2,0),INDEX(LdBGroup,$M2002)),IF($N2002&lt;&gt;"",IF(N(INDEX(LdCDep,$N2002))&gt;0,"بازگشت بانکی","پرداخت بانکی"),"")))</f>
        <v/>
      </c>
      <c r="D2002" s="20">
        <f>IF($L2002&lt;&gt;"",IF(INDEX(LdAId,$L2002)="","—",INDEX(LdAId,$L2002)),IF($M2002&lt;&gt;"",IF(INDEX(LdBId,$M2002)="","—",INDEX(LdBId,$M2002)),IF($N2002&lt;&gt;"",IF(INDEX(LdCBank,$N2002)="","—",INDEX(LdCBank,$N2002)),"")))</f>
        <v/>
      </c>
      <c r="E2002" s="21">
        <f>IF($L2002&lt;&gt;"",IF(INDEX(LdAAmt,$L2002)=0,"",INDEX(LdAAmt,$L2002)),IF($M2002&lt;&gt;"",IF(INDEX(LdBAmt,$M2002)=0,"",INDEX(LdBAmt,$M2002)),IF($N2002&lt;&gt;"",IF(INDEX(LdCDep,$N2002)=0,"",INDEX(LdCDep,$N2002)),"")))</f>
        <v/>
      </c>
      <c r="F2002" s="21">
        <f>IF(AND($L2002="",$M2002="",$N2002=""),"",IF($N2002="","",IF(INDEX(LdCWit,$N2002)=0,"",INDEX(LdCWit,$N2002))))</f>
        <v/>
      </c>
      <c r="G2002" s="31">
        <f>IF($B2002="","",IF($G2001="",0,$G2001)+IF($E2002="",0,$E2002)-IF($F2002="",0,$F2002))</f>
        <v/>
      </c>
      <c r="H2002" s="32">
        <f>IF(AND($L2002="",$M2002="",$N2002=""),"",IF($L2002&lt;&gt;"",IF(INDEX(LdANote,$L2002)="","—",INDEX(LdANote,$L2002)),IF($M2002&lt;&gt;"",IF(INDEX(LdBNote,$M2002)="","—",INDEX(LdBNote,$M2002)),IF($N2002&lt;&gt;"",IF(INDEX(LdCNote,$N2002)="","—",INDEX(LdCNote,$N2002)),""))))</f>
        <v/>
      </c>
      <c r="L2002">
        <f>IFERROR(MATCH($C$5&amp;"|"&amp;RIGHT("000000"&amp;1986,6),LdAKeyM,0),"")</f>
        <v/>
      </c>
      <c r="M2002">
        <f>IFERROR(MATCH($C$5&amp;"|"&amp;RIGHT("000000"&amp;1986,6),LdBKeyM,0),"")</f>
        <v/>
      </c>
      <c r="N2002">
        <f>IFERROR(MATCH($C$5&amp;"|"&amp;RIGHT("000000"&amp;1986,6),LdCKeyM,0),"")</f>
        <v/>
      </c>
    </row>
    <row r="2003">
      <c r="A2003" s="10" t="n">
        <v>1987</v>
      </c>
      <c r="B2003" s="14">
        <f>IF(AND($L2003="",$M2003="",$N2003=""),"",IF($L2003&lt;&gt;"",INDEX(LdADate,$L2003),IF($M2003&lt;&gt;"",INDEX(LdBDate,$M2003),INDEX(LdCDate,$N2003))))</f>
        <v/>
      </c>
      <c r="C2003" s="14">
        <f>IF($L2003&lt;&gt;"","دستمزد (فردی)",IF($M2003&lt;&gt;"","سهم از گروه "&amp;IFERROR(VLOOKUP(INDEX(LdBGroup,$M2003),WGTbl,2,0),INDEX(LdBGroup,$M2003)),IF($N2003&lt;&gt;"",IF(N(INDEX(LdCDep,$N2003))&gt;0,"بازگشت بانکی","پرداخت بانکی"),"")))</f>
        <v/>
      </c>
      <c r="D2003" s="14">
        <f>IF($L2003&lt;&gt;"",IF(INDEX(LdAId,$L2003)="","—",INDEX(LdAId,$L2003)),IF($M2003&lt;&gt;"",IF(INDEX(LdBId,$M2003)="","—",INDEX(LdBId,$M2003)),IF($N2003&lt;&gt;"",IF(INDEX(LdCBank,$N2003)="","—",INDEX(LdCBank,$N2003)),"")))</f>
        <v/>
      </c>
      <c r="E2003" s="16">
        <f>IF($L2003&lt;&gt;"",IF(INDEX(LdAAmt,$L2003)=0,"",INDEX(LdAAmt,$L2003)),IF($M2003&lt;&gt;"",IF(INDEX(LdBAmt,$M2003)=0,"",INDEX(LdBAmt,$M2003)),IF($N2003&lt;&gt;"",IF(INDEX(LdCDep,$N2003)=0,"",INDEX(LdCDep,$N2003)),"")))</f>
        <v/>
      </c>
      <c r="F2003" s="16">
        <f>IF(AND($L2003="",$M2003="",$N2003=""),"",IF($N2003="","",IF(INDEX(LdCWit,$N2003)=0,"",INDEX(LdCWit,$N2003))))</f>
        <v/>
      </c>
      <c r="G2003" s="29">
        <f>IF($B2003="","",IF($G2002="",0,$G2002)+IF($E2003="",0,$E2003)-IF($F2003="",0,$F2003))</f>
        <v/>
      </c>
      <c r="H2003" s="30">
        <f>IF(AND($L2003="",$M2003="",$N2003=""),"",IF($L2003&lt;&gt;"",IF(INDEX(LdANote,$L2003)="","—",INDEX(LdANote,$L2003)),IF($M2003&lt;&gt;"",IF(INDEX(LdBNote,$M2003)="","—",INDEX(LdBNote,$M2003)),IF($N2003&lt;&gt;"",IF(INDEX(LdCNote,$N2003)="","—",INDEX(LdCNote,$N2003)),""))))</f>
        <v/>
      </c>
      <c r="L2003">
        <f>IFERROR(MATCH($C$5&amp;"|"&amp;RIGHT("000000"&amp;1987,6),LdAKeyM,0),"")</f>
        <v/>
      </c>
      <c r="M2003">
        <f>IFERROR(MATCH($C$5&amp;"|"&amp;RIGHT("000000"&amp;1987,6),LdBKeyM,0),"")</f>
        <v/>
      </c>
      <c r="N2003">
        <f>IFERROR(MATCH($C$5&amp;"|"&amp;RIGHT("000000"&amp;1987,6),LdCKeyM,0),"")</f>
        <v/>
      </c>
    </row>
    <row r="2004">
      <c r="A2004" s="19" t="n">
        <v>1988</v>
      </c>
      <c r="B2004" s="20">
        <f>IF(AND($L2004="",$M2004="",$N2004=""),"",IF($L2004&lt;&gt;"",INDEX(LdADate,$L2004),IF($M2004&lt;&gt;"",INDEX(LdBDate,$M2004),INDEX(LdCDate,$N2004))))</f>
        <v/>
      </c>
      <c r="C2004" s="20">
        <f>IF($L2004&lt;&gt;"","دستمزد (فردی)",IF($M2004&lt;&gt;"","سهم از گروه "&amp;IFERROR(VLOOKUP(INDEX(LdBGroup,$M2004),WGTbl,2,0),INDEX(LdBGroup,$M2004)),IF($N2004&lt;&gt;"",IF(N(INDEX(LdCDep,$N2004))&gt;0,"بازگشت بانکی","پرداخت بانکی"),"")))</f>
        <v/>
      </c>
      <c r="D2004" s="20">
        <f>IF($L2004&lt;&gt;"",IF(INDEX(LdAId,$L2004)="","—",INDEX(LdAId,$L2004)),IF($M2004&lt;&gt;"",IF(INDEX(LdBId,$M2004)="","—",INDEX(LdBId,$M2004)),IF($N2004&lt;&gt;"",IF(INDEX(LdCBank,$N2004)="","—",INDEX(LdCBank,$N2004)),"")))</f>
        <v/>
      </c>
      <c r="E2004" s="21">
        <f>IF($L2004&lt;&gt;"",IF(INDEX(LdAAmt,$L2004)=0,"",INDEX(LdAAmt,$L2004)),IF($M2004&lt;&gt;"",IF(INDEX(LdBAmt,$M2004)=0,"",INDEX(LdBAmt,$M2004)),IF($N2004&lt;&gt;"",IF(INDEX(LdCDep,$N2004)=0,"",INDEX(LdCDep,$N2004)),"")))</f>
        <v/>
      </c>
      <c r="F2004" s="21">
        <f>IF(AND($L2004="",$M2004="",$N2004=""),"",IF($N2004="","",IF(INDEX(LdCWit,$N2004)=0,"",INDEX(LdCWit,$N2004))))</f>
        <v/>
      </c>
      <c r="G2004" s="31">
        <f>IF($B2004="","",IF($G2003="",0,$G2003)+IF($E2004="",0,$E2004)-IF($F2004="",0,$F2004))</f>
        <v/>
      </c>
      <c r="H2004" s="32">
        <f>IF(AND($L2004="",$M2004="",$N2004=""),"",IF($L2004&lt;&gt;"",IF(INDEX(LdANote,$L2004)="","—",INDEX(LdANote,$L2004)),IF($M2004&lt;&gt;"",IF(INDEX(LdBNote,$M2004)="","—",INDEX(LdBNote,$M2004)),IF($N2004&lt;&gt;"",IF(INDEX(LdCNote,$N2004)="","—",INDEX(LdCNote,$N2004)),""))))</f>
        <v/>
      </c>
      <c r="L2004">
        <f>IFERROR(MATCH($C$5&amp;"|"&amp;RIGHT("000000"&amp;1988,6),LdAKeyM,0),"")</f>
        <v/>
      </c>
      <c r="M2004">
        <f>IFERROR(MATCH($C$5&amp;"|"&amp;RIGHT("000000"&amp;1988,6),LdBKeyM,0),"")</f>
        <v/>
      </c>
      <c r="N2004">
        <f>IFERROR(MATCH($C$5&amp;"|"&amp;RIGHT("000000"&amp;1988,6),LdCKeyM,0),"")</f>
        <v/>
      </c>
    </row>
    <row r="2005">
      <c r="A2005" s="10" t="n">
        <v>1989</v>
      </c>
      <c r="B2005" s="14">
        <f>IF(AND($L2005="",$M2005="",$N2005=""),"",IF($L2005&lt;&gt;"",INDEX(LdADate,$L2005),IF($M2005&lt;&gt;"",INDEX(LdBDate,$M2005),INDEX(LdCDate,$N2005))))</f>
        <v/>
      </c>
      <c r="C2005" s="14">
        <f>IF($L2005&lt;&gt;"","دستمزد (فردی)",IF($M2005&lt;&gt;"","سهم از گروه "&amp;IFERROR(VLOOKUP(INDEX(LdBGroup,$M2005),WGTbl,2,0),INDEX(LdBGroup,$M2005)),IF($N2005&lt;&gt;"",IF(N(INDEX(LdCDep,$N2005))&gt;0,"بازگشت بانکی","پرداخت بانکی"),"")))</f>
        <v/>
      </c>
      <c r="D2005" s="14">
        <f>IF($L2005&lt;&gt;"",IF(INDEX(LdAId,$L2005)="","—",INDEX(LdAId,$L2005)),IF($M2005&lt;&gt;"",IF(INDEX(LdBId,$M2005)="","—",INDEX(LdBId,$M2005)),IF($N2005&lt;&gt;"",IF(INDEX(LdCBank,$N2005)="","—",INDEX(LdCBank,$N2005)),"")))</f>
        <v/>
      </c>
      <c r="E2005" s="16">
        <f>IF($L2005&lt;&gt;"",IF(INDEX(LdAAmt,$L2005)=0,"",INDEX(LdAAmt,$L2005)),IF($M2005&lt;&gt;"",IF(INDEX(LdBAmt,$M2005)=0,"",INDEX(LdBAmt,$M2005)),IF($N2005&lt;&gt;"",IF(INDEX(LdCDep,$N2005)=0,"",INDEX(LdCDep,$N2005)),"")))</f>
        <v/>
      </c>
      <c r="F2005" s="16">
        <f>IF(AND($L2005="",$M2005="",$N2005=""),"",IF($N2005="","",IF(INDEX(LdCWit,$N2005)=0,"",INDEX(LdCWit,$N2005))))</f>
        <v/>
      </c>
      <c r="G2005" s="29">
        <f>IF($B2005="","",IF($G2004="",0,$G2004)+IF($E2005="",0,$E2005)-IF($F2005="",0,$F2005))</f>
        <v/>
      </c>
      <c r="H2005" s="30">
        <f>IF(AND($L2005="",$M2005="",$N2005=""),"",IF($L2005&lt;&gt;"",IF(INDEX(LdANote,$L2005)="","—",INDEX(LdANote,$L2005)),IF($M2005&lt;&gt;"",IF(INDEX(LdBNote,$M2005)="","—",INDEX(LdBNote,$M2005)),IF($N2005&lt;&gt;"",IF(INDEX(LdCNote,$N2005)="","—",INDEX(LdCNote,$N2005)),""))))</f>
        <v/>
      </c>
      <c r="L2005">
        <f>IFERROR(MATCH($C$5&amp;"|"&amp;RIGHT("000000"&amp;1989,6),LdAKeyM,0),"")</f>
        <v/>
      </c>
      <c r="M2005">
        <f>IFERROR(MATCH($C$5&amp;"|"&amp;RIGHT("000000"&amp;1989,6),LdBKeyM,0),"")</f>
        <v/>
      </c>
      <c r="N2005">
        <f>IFERROR(MATCH($C$5&amp;"|"&amp;RIGHT("000000"&amp;1989,6),LdCKeyM,0),"")</f>
        <v/>
      </c>
    </row>
    <row r="2006">
      <c r="A2006" s="19" t="n">
        <v>1990</v>
      </c>
      <c r="B2006" s="20">
        <f>IF(AND($L2006="",$M2006="",$N2006=""),"",IF($L2006&lt;&gt;"",INDEX(LdADate,$L2006),IF($M2006&lt;&gt;"",INDEX(LdBDate,$M2006),INDEX(LdCDate,$N2006))))</f>
        <v/>
      </c>
      <c r="C2006" s="20">
        <f>IF($L2006&lt;&gt;"","دستمزد (فردی)",IF($M2006&lt;&gt;"","سهم از گروه "&amp;IFERROR(VLOOKUP(INDEX(LdBGroup,$M2006),WGTbl,2,0),INDEX(LdBGroup,$M2006)),IF($N2006&lt;&gt;"",IF(N(INDEX(LdCDep,$N2006))&gt;0,"بازگشت بانکی","پرداخت بانکی"),"")))</f>
        <v/>
      </c>
      <c r="D2006" s="20">
        <f>IF($L2006&lt;&gt;"",IF(INDEX(LdAId,$L2006)="","—",INDEX(LdAId,$L2006)),IF($M2006&lt;&gt;"",IF(INDEX(LdBId,$M2006)="","—",INDEX(LdBId,$M2006)),IF($N2006&lt;&gt;"",IF(INDEX(LdCBank,$N2006)="","—",INDEX(LdCBank,$N2006)),"")))</f>
        <v/>
      </c>
      <c r="E2006" s="21">
        <f>IF($L2006&lt;&gt;"",IF(INDEX(LdAAmt,$L2006)=0,"",INDEX(LdAAmt,$L2006)),IF($M2006&lt;&gt;"",IF(INDEX(LdBAmt,$M2006)=0,"",INDEX(LdBAmt,$M2006)),IF($N2006&lt;&gt;"",IF(INDEX(LdCDep,$N2006)=0,"",INDEX(LdCDep,$N2006)),"")))</f>
        <v/>
      </c>
      <c r="F2006" s="21">
        <f>IF(AND($L2006="",$M2006="",$N2006=""),"",IF($N2006="","",IF(INDEX(LdCWit,$N2006)=0,"",INDEX(LdCWit,$N2006))))</f>
        <v/>
      </c>
      <c r="G2006" s="31">
        <f>IF($B2006="","",IF($G2005="",0,$G2005)+IF($E2006="",0,$E2006)-IF($F2006="",0,$F2006))</f>
        <v/>
      </c>
      <c r="H2006" s="32">
        <f>IF(AND($L2006="",$M2006="",$N2006=""),"",IF($L2006&lt;&gt;"",IF(INDEX(LdANote,$L2006)="","—",INDEX(LdANote,$L2006)),IF($M2006&lt;&gt;"",IF(INDEX(LdBNote,$M2006)="","—",INDEX(LdBNote,$M2006)),IF($N2006&lt;&gt;"",IF(INDEX(LdCNote,$N2006)="","—",INDEX(LdCNote,$N2006)),""))))</f>
        <v/>
      </c>
      <c r="L2006">
        <f>IFERROR(MATCH($C$5&amp;"|"&amp;RIGHT("000000"&amp;1990,6),LdAKeyM,0),"")</f>
        <v/>
      </c>
      <c r="M2006">
        <f>IFERROR(MATCH($C$5&amp;"|"&amp;RIGHT("000000"&amp;1990,6),LdBKeyM,0),"")</f>
        <v/>
      </c>
      <c r="N2006">
        <f>IFERROR(MATCH($C$5&amp;"|"&amp;RIGHT("000000"&amp;1990,6),LdCKeyM,0),"")</f>
        <v/>
      </c>
    </row>
    <row r="2007">
      <c r="A2007" s="10" t="n">
        <v>1991</v>
      </c>
      <c r="B2007" s="14">
        <f>IF(AND($L2007="",$M2007="",$N2007=""),"",IF($L2007&lt;&gt;"",INDEX(LdADate,$L2007),IF($M2007&lt;&gt;"",INDEX(LdBDate,$M2007),INDEX(LdCDate,$N2007))))</f>
        <v/>
      </c>
      <c r="C2007" s="14">
        <f>IF($L2007&lt;&gt;"","دستمزد (فردی)",IF($M2007&lt;&gt;"","سهم از گروه "&amp;IFERROR(VLOOKUP(INDEX(LdBGroup,$M2007),WGTbl,2,0),INDEX(LdBGroup,$M2007)),IF($N2007&lt;&gt;"",IF(N(INDEX(LdCDep,$N2007))&gt;0,"بازگشت بانکی","پرداخت بانکی"),"")))</f>
        <v/>
      </c>
      <c r="D2007" s="14">
        <f>IF($L2007&lt;&gt;"",IF(INDEX(LdAId,$L2007)="","—",INDEX(LdAId,$L2007)),IF($M2007&lt;&gt;"",IF(INDEX(LdBId,$M2007)="","—",INDEX(LdBId,$M2007)),IF($N2007&lt;&gt;"",IF(INDEX(LdCBank,$N2007)="","—",INDEX(LdCBank,$N2007)),"")))</f>
        <v/>
      </c>
      <c r="E2007" s="16">
        <f>IF($L2007&lt;&gt;"",IF(INDEX(LdAAmt,$L2007)=0,"",INDEX(LdAAmt,$L2007)),IF($M2007&lt;&gt;"",IF(INDEX(LdBAmt,$M2007)=0,"",INDEX(LdBAmt,$M2007)),IF($N2007&lt;&gt;"",IF(INDEX(LdCDep,$N2007)=0,"",INDEX(LdCDep,$N2007)),"")))</f>
        <v/>
      </c>
      <c r="F2007" s="16">
        <f>IF(AND($L2007="",$M2007="",$N2007=""),"",IF($N2007="","",IF(INDEX(LdCWit,$N2007)=0,"",INDEX(LdCWit,$N2007))))</f>
        <v/>
      </c>
      <c r="G2007" s="29">
        <f>IF($B2007="","",IF($G2006="",0,$G2006)+IF($E2007="",0,$E2007)-IF($F2007="",0,$F2007))</f>
        <v/>
      </c>
      <c r="H2007" s="30">
        <f>IF(AND($L2007="",$M2007="",$N2007=""),"",IF($L2007&lt;&gt;"",IF(INDEX(LdANote,$L2007)="","—",INDEX(LdANote,$L2007)),IF($M2007&lt;&gt;"",IF(INDEX(LdBNote,$M2007)="","—",INDEX(LdBNote,$M2007)),IF($N2007&lt;&gt;"",IF(INDEX(LdCNote,$N2007)="","—",INDEX(LdCNote,$N2007)),""))))</f>
        <v/>
      </c>
      <c r="L2007">
        <f>IFERROR(MATCH($C$5&amp;"|"&amp;RIGHT("000000"&amp;1991,6),LdAKeyM,0),"")</f>
        <v/>
      </c>
      <c r="M2007">
        <f>IFERROR(MATCH($C$5&amp;"|"&amp;RIGHT("000000"&amp;1991,6),LdBKeyM,0),"")</f>
        <v/>
      </c>
      <c r="N2007">
        <f>IFERROR(MATCH($C$5&amp;"|"&amp;RIGHT("000000"&amp;1991,6),LdCKeyM,0),"")</f>
        <v/>
      </c>
    </row>
    <row r="2008">
      <c r="A2008" s="19" t="n">
        <v>1992</v>
      </c>
      <c r="B2008" s="20">
        <f>IF(AND($L2008="",$M2008="",$N2008=""),"",IF($L2008&lt;&gt;"",INDEX(LdADate,$L2008),IF($M2008&lt;&gt;"",INDEX(LdBDate,$M2008),INDEX(LdCDate,$N2008))))</f>
        <v/>
      </c>
      <c r="C2008" s="20">
        <f>IF($L2008&lt;&gt;"","دستمزد (فردی)",IF($M2008&lt;&gt;"","سهم از گروه "&amp;IFERROR(VLOOKUP(INDEX(LdBGroup,$M2008),WGTbl,2,0),INDEX(LdBGroup,$M2008)),IF($N2008&lt;&gt;"",IF(N(INDEX(LdCDep,$N2008))&gt;0,"بازگشت بانکی","پرداخت بانکی"),"")))</f>
        <v/>
      </c>
      <c r="D2008" s="20">
        <f>IF($L2008&lt;&gt;"",IF(INDEX(LdAId,$L2008)="","—",INDEX(LdAId,$L2008)),IF($M2008&lt;&gt;"",IF(INDEX(LdBId,$M2008)="","—",INDEX(LdBId,$M2008)),IF($N2008&lt;&gt;"",IF(INDEX(LdCBank,$N2008)="","—",INDEX(LdCBank,$N2008)),"")))</f>
        <v/>
      </c>
      <c r="E2008" s="21">
        <f>IF($L2008&lt;&gt;"",IF(INDEX(LdAAmt,$L2008)=0,"",INDEX(LdAAmt,$L2008)),IF($M2008&lt;&gt;"",IF(INDEX(LdBAmt,$M2008)=0,"",INDEX(LdBAmt,$M2008)),IF($N2008&lt;&gt;"",IF(INDEX(LdCDep,$N2008)=0,"",INDEX(LdCDep,$N2008)),"")))</f>
        <v/>
      </c>
      <c r="F2008" s="21">
        <f>IF(AND($L2008="",$M2008="",$N2008=""),"",IF($N2008="","",IF(INDEX(LdCWit,$N2008)=0,"",INDEX(LdCWit,$N2008))))</f>
        <v/>
      </c>
      <c r="G2008" s="31">
        <f>IF($B2008="","",IF($G2007="",0,$G2007)+IF($E2008="",0,$E2008)-IF($F2008="",0,$F2008))</f>
        <v/>
      </c>
      <c r="H2008" s="32">
        <f>IF(AND($L2008="",$M2008="",$N2008=""),"",IF($L2008&lt;&gt;"",IF(INDEX(LdANote,$L2008)="","—",INDEX(LdANote,$L2008)),IF($M2008&lt;&gt;"",IF(INDEX(LdBNote,$M2008)="","—",INDEX(LdBNote,$M2008)),IF($N2008&lt;&gt;"",IF(INDEX(LdCNote,$N2008)="","—",INDEX(LdCNote,$N2008)),""))))</f>
        <v/>
      </c>
      <c r="L2008">
        <f>IFERROR(MATCH($C$5&amp;"|"&amp;RIGHT("000000"&amp;1992,6),LdAKeyM,0),"")</f>
        <v/>
      </c>
      <c r="M2008">
        <f>IFERROR(MATCH($C$5&amp;"|"&amp;RIGHT("000000"&amp;1992,6),LdBKeyM,0),"")</f>
        <v/>
      </c>
      <c r="N2008">
        <f>IFERROR(MATCH($C$5&amp;"|"&amp;RIGHT("000000"&amp;1992,6),LdCKeyM,0),"")</f>
        <v/>
      </c>
    </row>
    <row r="2009">
      <c r="A2009" s="10" t="n">
        <v>1993</v>
      </c>
      <c r="B2009" s="14">
        <f>IF(AND($L2009="",$M2009="",$N2009=""),"",IF($L2009&lt;&gt;"",INDEX(LdADate,$L2009),IF($M2009&lt;&gt;"",INDEX(LdBDate,$M2009),INDEX(LdCDate,$N2009))))</f>
        <v/>
      </c>
      <c r="C2009" s="14">
        <f>IF($L2009&lt;&gt;"","دستمزد (فردی)",IF($M2009&lt;&gt;"","سهم از گروه "&amp;IFERROR(VLOOKUP(INDEX(LdBGroup,$M2009),WGTbl,2,0),INDEX(LdBGroup,$M2009)),IF($N2009&lt;&gt;"",IF(N(INDEX(LdCDep,$N2009))&gt;0,"بازگشت بانکی","پرداخت بانکی"),"")))</f>
        <v/>
      </c>
      <c r="D2009" s="14">
        <f>IF($L2009&lt;&gt;"",IF(INDEX(LdAId,$L2009)="","—",INDEX(LdAId,$L2009)),IF($M2009&lt;&gt;"",IF(INDEX(LdBId,$M2009)="","—",INDEX(LdBId,$M2009)),IF($N2009&lt;&gt;"",IF(INDEX(LdCBank,$N2009)="","—",INDEX(LdCBank,$N2009)),"")))</f>
        <v/>
      </c>
      <c r="E2009" s="16">
        <f>IF($L2009&lt;&gt;"",IF(INDEX(LdAAmt,$L2009)=0,"",INDEX(LdAAmt,$L2009)),IF($M2009&lt;&gt;"",IF(INDEX(LdBAmt,$M2009)=0,"",INDEX(LdBAmt,$M2009)),IF($N2009&lt;&gt;"",IF(INDEX(LdCDep,$N2009)=0,"",INDEX(LdCDep,$N2009)),"")))</f>
        <v/>
      </c>
      <c r="F2009" s="16">
        <f>IF(AND($L2009="",$M2009="",$N2009=""),"",IF($N2009="","",IF(INDEX(LdCWit,$N2009)=0,"",INDEX(LdCWit,$N2009))))</f>
        <v/>
      </c>
      <c r="G2009" s="29">
        <f>IF($B2009="","",IF($G2008="",0,$G2008)+IF($E2009="",0,$E2009)-IF($F2009="",0,$F2009))</f>
        <v/>
      </c>
      <c r="H2009" s="30">
        <f>IF(AND($L2009="",$M2009="",$N2009=""),"",IF($L2009&lt;&gt;"",IF(INDEX(LdANote,$L2009)="","—",INDEX(LdANote,$L2009)),IF($M2009&lt;&gt;"",IF(INDEX(LdBNote,$M2009)="","—",INDEX(LdBNote,$M2009)),IF($N2009&lt;&gt;"",IF(INDEX(LdCNote,$N2009)="","—",INDEX(LdCNote,$N2009)),""))))</f>
        <v/>
      </c>
      <c r="L2009">
        <f>IFERROR(MATCH($C$5&amp;"|"&amp;RIGHT("000000"&amp;1993,6),LdAKeyM,0),"")</f>
        <v/>
      </c>
      <c r="M2009">
        <f>IFERROR(MATCH($C$5&amp;"|"&amp;RIGHT("000000"&amp;1993,6),LdBKeyM,0),"")</f>
        <v/>
      </c>
      <c r="N2009">
        <f>IFERROR(MATCH($C$5&amp;"|"&amp;RIGHT("000000"&amp;1993,6),LdCKeyM,0),"")</f>
        <v/>
      </c>
    </row>
    <row r="2010">
      <c r="A2010" s="19" t="n">
        <v>1994</v>
      </c>
      <c r="B2010" s="20">
        <f>IF(AND($L2010="",$M2010="",$N2010=""),"",IF($L2010&lt;&gt;"",INDEX(LdADate,$L2010),IF($M2010&lt;&gt;"",INDEX(LdBDate,$M2010),INDEX(LdCDate,$N2010))))</f>
        <v/>
      </c>
      <c r="C2010" s="20">
        <f>IF($L2010&lt;&gt;"","دستمزد (فردی)",IF($M2010&lt;&gt;"","سهم از گروه "&amp;IFERROR(VLOOKUP(INDEX(LdBGroup,$M2010),WGTbl,2,0),INDEX(LdBGroup,$M2010)),IF($N2010&lt;&gt;"",IF(N(INDEX(LdCDep,$N2010))&gt;0,"بازگشت بانکی","پرداخت بانکی"),"")))</f>
        <v/>
      </c>
      <c r="D2010" s="20">
        <f>IF($L2010&lt;&gt;"",IF(INDEX(LdAId,$L2010)="","—",INDEX(LdAId,$L2010)),IF($M2010&lt;&gt;"",IF(INDEX(LdBId,$M2010)="","—",INDEX(LdBId,$M2010)),IF($N2010&lt;&gt;"",IF(INDEX(LdCBank,$N2010)="","—",INDEX(LdCBank,$N2010)),"")))</f>
        <v/>
      </c>
      <c r="E2010" s="21">
        <f>IF($L2010&lt;&gt;"",IF(INDEX(LdAAmt,$L2010)=0,"",INDEX(LdAAmt,$L2010)),IF($M2010&lt;&gt;"",IF(INDEX(LdBAmt,$M2010)=0,"",INDEX(LdBAmt,$M2010)),IF($N2010&lt;&gt;"",IF(INDEX(LdCDep,$N2010)=0,"",INDEX(LdCDep,$N2010)),"")))</f>
        <v/>
      </c>
      <c r="F2010" s="21">
        <f>IF(AND($L2010="",$M2010="",$N2010=""),"",IF($N2010="","",IF(INDEX(LdCWit,$N2010)=0,"",INDEX(LdCWit,$N2010))))</f>
        <v/>
      </c>
      <c r="G2010" s="31">
        <f>IF($B2010="","",IF($G2009="",0,$G2009)+IF($E2010="",0,$E2010)-IF($F2010="",0,$F2010))</f>
        <v/>
      </c>
      <c r="H2010" s="32">
        <f>IF(AND($L2010="",$M2010="",$N2010=""),"",IF($L2010&lt;&gt;"",IF(INDEX(LdANote,$L2010)="","—",INDEX(LdANote,$L2010)),IF($M2010&lt;&gt;"",IF(INDEX(LdBNote,$M2010)="","—",INDEX(LdBNote,$M2010)),IF($N2010&lt;&gt;"",IF(INDEX(LdCNote,$N2010)="","—",INDEX(LdCNote,$N2010)),""))))</f>
        <v/>
      </c>
      <c r="L2010">
        <f>IFERROR(MATCH($C$5&amp;"|"&amp;RIGHT("000000"&amp;1994,6),LdAKeyM,0),"")</f>
        <v/>
      </c>
      <c r="M2010">
        <f>IFERROR(MATCH($C$5&amp;"|"&amp;RIGHT("000000"&amp;1994,6),LdBKeyM,0),"")</f>
        <v/>
      </c>
      <c r="N2010">
        <f>IFERROR(MATCH($C$5&amp;"|"&amp;RIGHT("000000"&amp;1994,6),LdCKeyM,0),"")</f>
        <v/>
      </c>
    </row>
    <row r="2011">
      <c r="A2011" s="10" t="n">
        <v>1995</v>
      </c>
      <c r="B2011" s="14">
        <f>IF(AND($L2011="",$M2011="",$N2011=""),"",IF($L2011&lt;&gt;"",INDEX(LdADate,$L2011),IF($M2011&lt;&gt;"",INDEX(LdBDate,$M2011),INDEX(LdCDate,$N2011))))</f>
        <v/>
      </c>
      <c r="C2011" s="14">
        <f>IF($L2011&lt;&gt;"","دستمزد (فردی)",IF($M2011&lt;&gt;"","سهم از گروه "&amp;IFERROR(VLOOKUP(INDEX(LdBGroup,$M2011),WGTbl,2,0),INDEX(LdBGroup,$M2011)),IF($N2011&lt;&gt;"",IF(N(INDEX(LdCDep,$N2011))&gt;0,"بازگشت بانکی","پرداخت بانکی"),"")))</f>
        <v/>
      </c>
      <c r="D2011" s="14">
        <f>IF($L2011&lt;&gt;"",IF(INDEX(LdAId,$L2011)="","—",INDEX(LdAId,$L2011)),IF($M2011&lt;&gt;"",IF(INDEX(LdBId,$M2011)="","—",INDEX(LdBId,$M2011)),IF($N2011&lt;&gt;"",IF(INDEX(LdCBank,$N2011)="","—",INDEX(LdCBank,$N2011)),"")))</f>
        <v/>
      </c>
      <c r="E2011" s="16">
        <f>IF($L2011&lt;&gt;"",IF(INDEX(LdAAmt,$L2011)=0,"",INDEX(LdAAmt,$L2011)),IF($M2011&lt;&gt;"",IF(INDEX(LdBAmt,$M2011)=0,"",INDEX(LdBAmt,$M2011)),IF($N2011&lt;&gt;"",IF(INDEX(LdCDep,$N2011)=0,"",INDEX(LdCDep,$N2011)),"")))</f>
        <v/>
      </c>
      <c r="F2011" s="16">
        <f>IF(AND($L2011="",$M2011="",$N2011=""),"",IF($N2011="","",IF(INDEX(LdCWit,$N2011)=0,"",INDEX(LdCWit,$N2011))))</f>
        <v/>
      </c>
      <c r="G2011" s="29">
        <f>IF($B2011="","",IF($G2010="",0,$G2010)+IF($E2011="",0,$E2011)-IF($F2011="",0,$F2011))</f>
        <v/>
      </c>
      <c r="H2011" s="30">
        <f>IF(AND($L2011="",$M2011="",$N2011=""),"",IF($L2011&lt;&gt;"",IF(INDEX(LdANote,$L2011)="","—",INDEX(LdANote,$L2011)),IF($M2011&lt;&gt;"",IF(INDEX(LdBNote,$M2011)="","—",INDEX(LdBNote,$M2011)),IF($N2011&lt;&gt;"",IF(INDEX(LdCNote,$N2011)="","—",INDEX(LdCNote,$N2011)),""))))</f>
        <v/>
      </c>
      <c r="L2011">
        <f>IFERROR(MATCH($C$5&amp;"|"&amp;RIGHT("000000"&amp;1995,6),LdAKeyM,0),"")</f>
        <v/>
      </c>
      <c r="M2011">
        <f>IFERROR(MATCH($C$5&amp;"|"&amp;RIGHT("000000"&amp;1995,6),LdBKeyM,0),"")</f>
        <v/>
      </c>
      <c r="N2011">
        <f>IFERROR(MATCH($C$5&amp;"|"&amp;RIGHT("000000"&amp;1995,6),LdCKeyM,0),"")</f>
        <v/>
      </c>
    </row>
    <row r="2012">
      <c r="A2012" s="19" t="n">
        <v>1996</v>
      </c>
      <c r="B2012" s="20">
        <f>IF(AND($L2012="",$M2012="",$N2012=""),"",IF($L2012&lt;&gt;"",INDEX(LdADate,$L2012),IF($M2012&lt;&gt;"",INDEX(LdBDate,$M2012),INDEX(LdCDate,$N2012))))</f>
        <v/>
      </c>
      <c r="C2012" s="20">
        <f>IF($L2012&lt;&gt;"","دستمزد (فردی)",IF($M2012&lt;&gt;"","سهم از گروه "&amp;IFERROR(VLOOKUP(INDEX(LdBGroup,$M2012),WGTbl,2,0),INDEX(LdBGroup,$M2012)),IF($N2012&lt;&gt;"",IF(N(INDEX(LdCDep,$N2012))&gt;0,"بازگشت بانکی","پرداخت بانکی"),"")))</f>
        <v/>
      </c>
      <c r="D2012" s="20">
        <f>IF($L2012&lt;&gt;"",IF(INDEX(LdAId,$L2012)="","—",INDEX(LdAId,$L2012)),IF($M2012&lt;&gt;"",IF(INDEX(LdBId,$M2012)="","—",INDEX(LdBId,$M2012)),IF($N2012&lt;&gt;"",IF(INDEX(LdCBank,$N2012)="","—",INDEX(LdCBank,$N2012)),"")))</f>
        <v/>
      </c>
      <c r="E2012" s="21">
        <f>IF($L2012&lt;&gt;"",IF(INDEX(LdAAmt,$L2012)=0,"",INDEX(LdAAmt,$L2012)),IF($M2012&lt;&gt;"",IF(INDEX(LdBAmt,$M2012)=0,"",INDEX(LdBAmt,$M2012)),IF($N2012&lt;&gt;"",IF(INDEX(LdCDep,$N2012)=0,"",INDEX(LdCDep,$N2012)),"")))</f>
        <v/>
      </c>
      <c r="F2012" s="21">
        <f>IF(AND($L2012="",$M2012="",$N2012=""),"",IF($N2012="","",IF(INDEX(LdCWit,$N2012)=0,"",INDEX(LdCWit,$N2012))))</f>
        <v/>
      </c>
      <c r="G2012" s="31">
        <f>IF($B2012="","",IF($G2011="",0,$G2011)+IF($E2012="",0,$E2012)-IF($F2012="",0,$F2012))</f>
        <v/>
      </c>
      <c r="H2012" s="32">
        <f>IF(AND($L2012="",$M2012="",$N2012=""),"",IF($L2012&lt;&gt;"",IF(INDEX(LdANote,$L2012)="","—",INDEX(LdANote,$L2012)),IF($M2012&lt;&gt;"",IF(INDEX(LdBNote,$M2012)="","—",INDEX(LdBNote,$M2012)),IF($N2012&lt;&gt;"",IF(INDEX(LdCNote,$N2012)="","—",INDEX(LdCNote,$N2012)),""))))</f>
        <v/>
      </c>
      <c r="L2012">
        <f>IFERROR(MATCH($C$5&amp;"|"&amp;RIGHT("000000"&amp;1996,6),LdAKeyM,0),"")</f>
        <v/>
      </c>
      <c r="M2012">
        <f>IFERROR(MATCH($C$5&amp;"|"&amp;RIGHT("000000"&amp;1996,6),LdBKeyM,0),"")</f>
        <v/>
      </c>
      <c r="N2012">
        <f>IFERROR(MATCH($C$5&amp;"|"&amp;RIGHT("000000"&amp;1996,6),LdCKeyM,0),"")</f>
        <v/>
      </c>
    </row>
    <row r="2013">
      <c r="A2013" s="10" t="n">
        <v>1997</v>
      </c>
      <c r="B2013" s="14">
        <f>IF(AND($L2013="",$M2013="",$N2013=""),"",IF($L2013&lt;&gt;"",INDEX(LdADate,$L2013),IF($M2013&lt;&gt;"",INDEX(LdBDate,$M2013),INDEX(LdCDate,$N2013))))</f>
        <v/>
      </c>
      <c r="C2013" s="14">
        <f>IF($L2013&lt;&gt;"","دستمزد (فردی)",IF($M2013&lt;&gt;"","سهم از گروه "&amp;IFERROR(VLOOKUP(INDEX(LdBGroup,$M2013),WGTbl,2,0),INDEX(LdBGroup,$M2013)),IF($N2013&lt;&gt;"",IF(N(INDEX(LdCDep,$N2013))&gt;0,"بازگشت بانکی","پرداخت بانکی"),"")))</f>
        <v/>
      </c>
      <c r="D2013" s="14">
        <f>IF($L2013&lt;&gt;"",IF(INDEX(LdAId,$L2013)="","—",INDEX(LdAId,$L2013)),IF($M2013&lt;&gt;"",IF(INDEX(LdBId,$M2013)="","—",INDEX(LdBId,$M2013)),IF($N2013&lt;&gt;"",IF(INDEX(LdCBank,$N2013)="","—",INDEX(LdCBank,$N2013)),"")))</f>
        <v/>
      </c>
      <c r="E2013" s="16">
        <f>IF($L2013&lt;&gt;"",IF(INDEX(LdAAmt,$L2013)=0,"",INDEX(LdAAmt,$L2013)),IF($M2013&lt;&gt;"",IF(INDEX(LdBAmt,$M2013)=0,"",INDEX(LdBAmt,$M2013)),IF($N2013&lt;&gt;"",IF(INDEX(LdCDep,$N2013)=0,"",INDEX(LdCDep,$N2013)),"")))</f>
        <v/>
      </c>
      <c r="F2013" s="16">
        <f>IF(AND($L2013="",$M2013="",$N2013=""),"",IF($N2013="","",IF(INDEX(LdCWit,$N2013)=0,"",INDEX(LdCWit,$N2013))))</f>
        <v/>
      </c>
      <c r="G2013" s="29">
        <f>IF($B2013="","",IF($G2012="",0,$G2012)+IF($E2013="",0,$E2013)-IF($F2013="",0,$F2013))</f>
        <v/>
      </c>
      <c r="H2013" s="30">
        <f>IF(AND($L2013="",$M2013="",$N2013=""),"",IF($L2013&lt;&gt;"",IF(INDEX(LdANote,$L2013)="","—",INDEX(LdANote,$L2013)),IF($M2013&lt;&gt;"",IF(INDEX(LdBNote,$M2013)="","—",INDEX(LdBNote,$M2013)),IF($N2013&lt;&gt;"",IF(INDEX(LdCNote,$N2013)="","—",INDEX(LdCNote,$N2013)),""))))</f>
        <v/>
      </c>
      <c r="L2013">
        <f>IFERROR(MATCH($C$5&amp;"|"&amp;RIGHT("000000"&amp;1997,6),LdAKeyM,0),"")</f>
        <v/>
      </c>
      <c r="M2013">
        <f>IFERROR(MATCH($C$5&amp;"|"&amp;RIGHT("000000"&amp;1997,6),LdBKeyM,0),"")</f>
        <v/>
      </c>
      <c r="N2013">
        <f>IFERROR(MATCH($C$5&amp;"|"&amp;RIGHT("000000"&amp;1997,6),LdCKeyM,0),"")</f>
        <v/>
      </c>
    </row>
    <row r="2014">
      <c r="A2014" s="19" t="n">
        <v>1998</v>
      </c>
      <c r="B2014" s="20">
        <f>IF(AND($L2014="",$M2014="",$N2014=""),"",IF($L2014&lt;&gt;"",INDEX(LdADate,$L2014),IF($M2014&lt;&gt;"",INDEX(LdBDate,$M2014),INDEX(LdCDate,$N2014))))</f>
        <v/>
      </c>
      <c r="C2014" s="20">
        <f>IF($L2014&lt;&gt;"","دستمزد (فردی)",IF($M2014&lt;&gt;"","سهم از گروه "&amp;IFERROR(VLOOKUP(INDEX(LdBGroup,$M2014),WGTbl,2,0),INDEX(LdBGroup,$M2014)),IF($N2014&lt;&gt;"",IF(N(INDEX(LdCDep,$N2014))&gt;0,"بازگشت بانکی","پرداخت بانکی"),"")))</f>
        <v/>
      </c>
      <c r="D2014" s="20">
        <f>IF($L2014&lt;&gt;"",IF(INDEX(LdAId,$L2014)="","—",INDEX(LdAId,$L2014)),IF($M2014&lt;&gt;"",IF(INDEX(LdBId,$M2014)="","—",INDEX(LdBId,$M2014)),IF($N2014&lt;&gt;"",IF(INDEX(LdCBank,$N2014)="","—",INDEX(LdCBank,$N2014)),"")))</f>
        <v/>
      </c>
      <c r="E2014" s="21">
        <f>IF($L2014&lt;&gt;"",IF(INDEX(LdAAmt,$L2014)=0,"",INDEX(LdAAmt,$L2014)),IF($M2014&lt;&gt;"",IF(INDEX(LdBAmt,$M2014)=0,"",INDEX(LdBAmt,$M2014)),IF($N2014&lt;&gt;"",IF(INDEX(LdCDep,$N2014)=0,"",INDEX(LdCDep,$N2014)),"")))</f>
        <v/>
      </c>
      <c r="F2014" s="21">
        <f>IF(AND($L2014="",$M2014="",$N2014=""),"",IF($N2014="","",IF(INDEX(LdCWit,$N2014)=0,"",INDEX(LdCWit,$N2014))))</f>
        <v/>
      </c>
      <c r="G2014" s="31">
        <f>IF($B2014="","",IF($G2013="",0,$G2013)+IF($E2014="",0,$E2014)-IF($F2014="",0,$F2014))</f>
        <v/>
      </c>
      <c r="H2014" s="32">
        <f>IF(AND($L2014="",$M2014="",$N2014=""),"",IF($L2014&lt;&gt;"",IF(INDEX(LdANote,$L2014)="","—",INDEX(LdANote,$L2014)),IF($M2014&lt;&gt;"",IF(INDEX(LdBNote,$M2014)="","—",INDEX(LdBNote,$M2014)),IF($N2014&lt;&gt;"",IF(INDEX(LdCNote,$N2014)="","—",INDEX(LdCNote,$N2014)),""))))</f>
        <v/>
      </c>
      <c r="L2014">
        <f>IFERROR(MATCH($C$5&amp;"|"&amp;RIGHT("000000"&amp;1998,6),LdAKeyM,0),"")</f>
        <v/>
      </c>
      <c r="M2014">
        <f>IFERROR(MATCH($C$5&amp;"|"&amp;RIGHT("000000"&amp;1998,6),LdBKeyM,0),"")</f>
        <v/>
      </c>
      <c r="N2014">
        <f>IFERROR(MATCH($C$5&amp;"|"&amp;RIGHT("000000"&amp;1998,6),LdCKeyM,0),"")</f>
        <v/>
      </c>
    </row>
    <row r="2015">
      <c r="A2015" s="10" t="n">
        <v>1999</v>
      </c>
      <c r="B2015" s="14">
        <f>IF(AND($L2015="",$M2015="",$N2015=""),"",IF($L2015&lt;&gt;"",INDEX(LdADate,$L2015),IF($M2015&lt;&gt;"",INDEX(LdBDate,$M2015),INDEX(LdCDate,$N2015))))</f>
        <v/>
      </c>
      <c r="C2015" s="14">
        <f>IF($L2015&lt;&gt;"","دستمزد (فردی)",IF($M2015&lt;&gt;"","سهم از گروه "&amp;IFERROR(VLOOKUP(INDEX(LdBGroup,$M2015),WGTbl,2,0),INDEX(LdBGroup,$M2015)),IF($N2015&lt;&gt;"",IF(N(INDEX(LdCDep,$N2015))&gt;0,"بازگشت بانکی","پرداخت بانکی"),"")))</f>
        <v/>
      </c>
      <c r="D2015" s="14">
        <f>IF($L2015&lt;&gt;"",IF(INDEX(LdAId,$L2015)="","—",INDEX(LdAId,$L2015)),IF($M2015&lt;&gt;"",IF(INDEX(LdBId,$M2015)="","—",INDEX(LdBId,$M2015)),IF($N2015&lt;&gt;"",IF(INDEX(LdCBank,$N2015)="","—",INDEX(LdCBank,$N2015)),"")))</f>
        <v/>
      </c>
      <c r="E2015" s="16">
        <f>IF($L2015&lt;&gt;"",IF(INDEX(LdAAmt,$L2015)=0,"",INDEX(LdAAmt,$L2015)),IF($M2015&lt;&gt;"",IF(INDEX(LdBAmt,$M2015)=0,"",INDEX(LdBAmt,$M2015)),IF($N2015&lt;&gt;"",IF(INDEX(LdCDep,$N2015)=0,"",INDEX(LdCDep,$N2015)),"")))</f>
        <v/>
      </c>
      <c r="F2015" s="16">
        <f>IF(AND($L2015="",$M2015="",$N2015=""),"",IF($N2015="","",IF(INDEX(LdCWit,$N2015)=0,"",INDEX(LdCWit,$N2015))))</f>
        <v/>
      </c>
      <c r="G2015" s="29">
        <f>IF($B2015="","",IF($G2014="",0,$G2014)+IF($E2015="",0,$E2015)-IF($F2015="",0,$F2015))</f>
        <v/>
      </c>
      <c r="H2015" s="30">
        <f>IF(AND($L2015="",$M2015="",$N2015=""),"",IF($L2015&lt;&gt;"",IF(INDEX(LdANote,$L2015)="","—",INDEX(LdANote,$L2015)),IF($M2015&lt;&gt;"",IF(INDEX(LdBNote,$M2015)="","—",INDEX(LdBNote,$M2015)),IF($N2015&lt;&gt;"",IF(INDEX(LdCNote,$N2015)="","—",INDEX(LdCNote,$N2015)),""))))</f>
        <v/>
      </c>
      <c r="L2015">
        <f>IFERROR(MATCH($C$5&amp;"|"&amp;RIGHT("000000"&amp;1999,6),LdAKeyM,0),"")</f>
        <v/>
      </c>
      <c r="M2015">
        <f>IFERROR(MATCH($C$5&amp;"|"&amp;RIGHT("000000"&amp;1999,6),LdBKeyM,0),"")</f>
        <v/>
      </c>
      <c r="N2015">
        <f>IFERROR(MATCH($C$5&amp;"|"&amp;RIGHT("000000"&amp;1999,6),LdCKeyM,0),"")</f>
        <v/>
      </c>
    </row>
    <row r="2016">
      <c r="A2016" s="19" t="n">
        <v>2000</v>
      </c>
      <c r="B2016" s="20">
        <f>IF(AND($L2016="",$M2016="",$N2016=""),"",IF($L2016&lt;&gt;"",INDEX(LdADate,$L2016),IF($M2016&lt;&gt;"",INDEX(LdBDate,$M2016),INDEX(LdCDate,$N2016))))</f>
        <v/>
      </c>
      <c r="C2016" s="20">
        <f>IF($L2016&lt;&gt;"","دستمزد (فردی)",IF($M2016&lt;&gt;"","سهم از گروه "&amp;IFERROR(VLOOKUP(INDEX(LdBGroup,$M2016),WGTbl,2,0),INDEX(LdBGroup,$M2016)),IF($N2016&lt;&gt;"",IF(N(INDEX(LdCDep,$N2016))&gt;0,"بازگشت بانکی","پرداخت بانکی"),"")))</f>
        <v/>
      </c>
      <c r="D2016" s="20">
        <f>IF($L2016&lt;&gt;"",IF(INDEX(LdAId,$L2016)="","—",INDEX(LdAId,$L2016)),IF($M2016&lt;&gt;"",IF(INDEX(LdBId,$M2016)="","—",INDEX(LdBId,$M2016)),IF($N2016&lt;&gt;"",IF(INDEX(LdCBank,$N2016)="","—",INDEX(LdCBank,$N2016)),"")))</f>
        <v/>
      </c>
      <c r="E2016" s="21">
        <f>IF($L2016&lt;&gt;"",IF(INDEX(LdAAmt,$L2016)=0,"",INDEX(LdAAmt,$L2016)),IF($M2016&lt;&gt;"",IF(INDEX(LdBAmt,$M2016)=0,"",INDEX(LdBAmt,$M2016)),IF($N2016&lt;&gt;"",IF(INDEX(LdCDep,$N2016)=0,"",INDEX(LdCDep,$N2016)),"")))</f>
        <v/>
      </c>
      <c r="F2016" s="21">
        <f>IF(AND($L2016="",$M2016="",$N2016=""),"",IF($N2016="","",IF(INDEX(LdCWit,$N2016)=0,"",INDEX(LdCWit,$N2016))))</f>
        <v/>
      </c>
      <c r="G2016" s="31">
        <f>IF($B2016="","",IF($G2015="",0,$G2015)+IF($E2016="",0,$E2016)-IF($F2016="",0,$F2016))</f>
        <v/>
      </c>
      <c r="H2016" s="32">
        <f>IF(AND($L2016="",$M2016="",$N2016=""),"",IF($L2016&lt;&gt;"",IF(INDEX(LdANote,$L2016)="","—",INDEX(LdANote,$L2016)),IF($M2016&lt;&gt;"",IF(INDEX(LdBNote,$M2016)="","—",INDEX(LdBNote,$M2016)),IF($N2016&lt;&gt;"",IF(INDEX(LdCNote,$N2016)="","—",INDEX(LdCNote,$N2016)),""))))</f>
        <v/>
      </c>
      <c r="L2016">
        <f>IFERROR(MATCH($C$5&amp;"|"&amp;RIGHT("000000"&amp;2000,6),LdAKeyM,0),"")</f>
        <v/>
      </c>
      <c r="M2016">
        <f>IFERROR(MATCH($C$5&amp;"|"&amp;RIGHT("000000"&amp;2000,6),LdBKeyM,0),"")</f>
        <v/>
      </c>
      <c r="N2016">
        <f>IFERROR(MATCH($C$5&amp;"|"&amp;RIGHT("000000"&amp;2000,6),LdCKeyM,0),"")</f>
        <v/>
      </c>
    </row>
  </sheetData>
  <mergeCells count="31">
    <mergeCell ref="E12:F12"/>
    <mergeCell ref="G12:H12"/>
    <mergeCell ref="A11:B11"/>
    <mergeCell ref="C9:H9"/>
    <mergeCell ref="C5:D5"/>
    <mergeCell ref="G11:H11"/>
    <mergeCell ref="C14:D14"/>
    <mergeCell ref="E14:F14"/>
    <mergeCell ref="A1:H1"/>
    <mergeCell ref="A6:B6"/>
    <mergeCell ref="A7:B7"/>
    <mergeCell ref="C8:H8"/>
    <mergeCell ref="E13:F13"/>
    <mergeCell ref="G13:H13"/>
    <mergeCell ref="C7:H7"/>
    <mergeCell ref="E5:H5"/>
    <mergeCell ref="A12:B12"/>
    <mergeCell ref="C12:D12"/>
    <mergeCell ref="A3:H3"/>
    <mergeCell ref="C11:D11"/>
    <mergeCell ref="A2:H2"/>
    <mergeCell ref="E11:F11"/>
    <mergeCell ref="A5:B5"/>
    <mergeCell ref="A14:B14"/>
    <mergeCell ref="G14:H14"/>
    <mergeCell ref="A8:B8"/>
    <mergeCell ref="C6:H6"/>
    <mergeCell ref="A10:H10"/>
    <mergeCell ref="A13:B13"/>
    <mergeCell ref="C13:D13"/>
    <mergeCell ref="A9:B9"/>
  </mergeCells>
  <conditionalFormatting sqref="C17:C2016">
    <cfRule type="cellIs" priority="1" operator="equal" dxfId="0">
      <formula>"پرداخت بانکی"</formula>
    </cfRule>
    <cfRule type="cellIs" priority="2" operator="beginsWith" dxfId="2">
      <formula>"سهم از گروه"</formula>
    </cfRule>
  </conditionalFormatting>
  <conditionalFormatting sqref="G17:G2016">
    <cfRule type="cellIs" priority="3" operator="lessThan" dxfId="3">
      <formula>0</formula>
    </cfRule>
  </conditionalFormatting>
  <dataValidations count="1">
    <dataValidation sqref="C5" showDropDown="0" showInputMessage="1" showErrorMessage="0" allowBlank="1" errorTitle="کد کارمند" error="کد از INFO — حساب‌های E… با نام ثبت‌شده" promptTitle="کد کارمند" prompt="کد را وارد کنید؛ کل گزارش خودکار به‌روز می‌شود. برای نفر دیگر، شیت را کپی کنید و این کد را عوض کنید." type="list" errorStyle="warning">
      <formula1>ListStaffEmp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دستمزد کارمند — فایل کارکنان&amp;R&amp;"Tahoma"&amp;8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N4020"/>
  <sheetViews>
    <sheetView showGridLines="0" rightToLeft="1" zoomScale="9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1" customWidth="1" min="3" max="3"/>
    <col width="10" customWidth="1" min="4" max="4"/>
    <col width="22" customWidth="1" min="5" max="5"/>
    <col width="15" customWidth="1" min="6" max="6"/>
    <col width="15" customWidth="1" min="7" max="7"/>
    <col width="6" customWidth="1" min="14" max="14"/>
  </cols>
  <sheetData>
    <row r="1" ht="26" customHeight="1">
      <c r="A1" s="1">
        <f>IF(Sync!$AI$6="","مازندشت",Sync!$AI$6)&amp;" — "&amp;IF(Sync!$AI$9="","سورتینگ و بسته‌بندی مرکبات",Sync!$AI$9)</f>
        <v/>
      </c>
      <c r="B1" s="1" t="n"/>
      <c r="C1" s="1" t="n"/>
      <c r="D1" s="1" t="n"/>
      <c r="E1" s="1" t="n"/>
      <c r="F1" s="1" t="n"/>
      <c r="G1" s="1" t="n"/>
    </row>
    <row r="2" ht="14" customHeight="1">
      <c r="A2" s="2">
        <f>IF(Sync!$AI$7="","باغدشت، بخش مرکزی، شهرستان قائم‌شهر، استان مازندران، ایران",Sync!$AI$7)&amp;"     |     MAZANDASHT · CITRUS SORTING &amp; PACKING"</f>
        <v/>
      </c>
      <c r="B2" s="2" t="n"/>
      <c r="C2" s="2" t="n"/>
      <c r="D2" s="2" t="n"/>
      <c r="E2" s="2" t="n"/>
      <c r="F2" s="2" t="n"/>
      <c r="G2" s="2" t="n"/>
    </row>
    <row r="3" ht="24" customHeight="1">
      <c r="A3" s="3">
        <f>"گزارش گروه کاری — "&amp;IFERROR(IF(VLOOKUP($C$5,WGTbl,2,0)="","(بدون عنوان)",VLOOKUP($C$5,WGTbl,2,0)),"کد گروه را وارد کنید")</f>
        <v/>
      </c>
      <c r="B3" s="3" t="n"/>
      <c r="C3" s="3" t="n"/>
      <c r="D3" s="3" t="n"/>
      <c r="E3" s="3" t="n"/>
      <c r="F3" s="3" t="n"/>
      <c r="G3" s="3" t="n"/>
    </row>
    <row r="5">
      <c r="A5" s="23" t="inlineStr">
        <is>
          <t>کد گروه کاری (ورود دستی):</t>
        </is>
      </c>
      <c r="B5" s="23" t="n"/>
      <c r="C5" s="24" t="inlineStr">
        <is>
          <t>WG01</t>
        </is>
      </c>
      <c r="D5" s="24" t="n"/>
      <c r="E5" s="25" t="inlineStr">
        <is>
          <t>کد را از INFO (شیت WorkGroups) وارد کنید. برای گروه دیگر، همین شیت را کپی و کد را عوض کنید.</t>
        </is>
      </c>
      <c r="F5" s="25" t="n"/>
      <c r="G5" s="25" t="n"/>
    </row>
    <row r="6" ht="17" customHeight="1">
      <c r="A6" s="26" t="inlineStr">
        <is>
          <t>عنوان گروه:</t>
        </is>
      </c>
      <c r="B6" s="26" t="n"/>
      <c r="C6" s="27">
        <f>IFERROR(IF(VLOOKUP($C$5,WGTbl,2,0)="","(بدون عنوان)",VLOOKUP($C$5,WGTbl,2,0)),"—")</f>
        <v/>
      </c>
      <c r="D6" s="27" t="n"/>
      <c r="E6" s="27" t="n"/>
      <c r="F6" s="27" t="n"/>
      <c r="G6" s="27" t="n"/>
    </row>
    <row r="7" ht="17" customHeight="1">
      <c r="A7" s="26" t="inlineStr">
        <is>
          <t>توضیح:</t>
        </is>
      </c>
      <c r="B7" s="26" t="n"/>
      <c r="C7" s="27">
        <f>IFERROR(IF(VLOOKUP($C$5,WGTbl,3,0)="","—",VLOOKUP($C$5,WGTbl,3,0)),"—")</f>
        <v/>
      </c>
      <c r="D7" s="27" t="n"/>
      <c r="E7" s="27" t="n"/>
      <c r="F7" s="27" t="n"/>
      <c r="G7" s="27" t="n"/>
    </row>
    <row r="8" ht="17" customHeight="1">
      <c r="A8" s="26" t="inlineStr">
        <is>
          <t>اعضای گروه (INFO ← Staff):</t>
        </is>
      </c>
      <c r="B8" s="26" t="n"/>
      <c r="C8" s="27">
        <f>IF($C$5="","—",COUNTIF(StaffGrpE,$C$5)&amp;" نفر" &amp;IF(COUNTIF(StaffGrpE,$C$5)=0," (هیچ عضوی تعیین نشده)"," (صرفاً اطلاعاتی — ریز سهم‌ها دستی وارد می‌شوند)"))</f>
        <v/>
      </c>
      <c r="D8" s="27" t="n"/>
      <c r="E8" s="27" t="n"/>
      <c r="F8" s="27" t="n"/>
      <c r="G8" s="27" t="n"/>
    </row>
    <row r="9">
      <c r="A9" s="25" t="inlineStr">
        <is>
          <t>بخش ۱: رویدادهای دستمزد گروهی این گروه با کنترل تطابق مبلغ کل با جمع ریز | بخش ۲: ریز سهم هر عضو به ترتیب تاریخ.</t>
        </is>
      </c>
      <c r="B9" s="25" t="n"/>
      <c r="C9" s="25" t="n"/>
      <c r="D9" s="25" t="n"/>
      <c r="E9" s="25" t="n"/>
      <c r="F9" s="25" t="n"/>
      <c r="G9" s="25" t="n"/>
    </row>
    <row r="11" ht="13" customHeight="1">
      <c r="A11" s="5" t="inlineStr">
        <is>
          <t>جمع مبالغ رویدادها (ریال)</t>
        </is>
      </c>
      <c r="B11" s="5" t="n"/>
      <c r="C11" s="5" t="inlineStr">
        <is>
          <t>جمع ریز توزیع‌شده (ریال)</t>
        </is>
      </c>
      <c r="D11" s="5" t="n"/>
      <c r="E11" s="5" t="inlineStr">
        <is>
          <t>مغایرت (ریال)</t>
        </is>
      </c>
      <c r="F11" s="5" t="n"/>
      <c r="G11" s="5" t="inlineStr">
        <is>
          <t>وضعیت</t>
        </is>
      </c>
    </row>
    <row r="12" ht="22" customHeight="1">
      <c r="A12" s="7">
        <f>SUM($D$17:$D$2016)</f>
        <v/>
      </c>
      <c r="B12" s="7" t="n"/>
      <c r="C12" s="7">
        <f>SUM($F$2021:$F$4020)</f>
        <v/>
      </c>
      <c r="D12" s="7" t="n"/>
      <c r="E12" s="7">
        <f>$A$12-$C$12</f>
        <v/>
      </c>
      <c r="F12" s="7" t="n"/>
      <c r="G12" s="28">
        <f>IF(ROUND($A$12-$C$12,0)=0,"√","▲")</f>
        <v/>
      </c>
    </row>
    <row r="13" ht="13" customHeight="1">
      <c r="A13" s="5" t="inlineStr">
        <is>
          <t>تعداد رویداد گروهی</t>
        </is>
      </c>
      <c r="B13" s="5" t="n"/>
      <c r="C13" s="5" t="inlineStr">
        <is>
          <t>تعداد ردیف ریز</t>
        </is>
      </c>
      <c r="D13" s="5" t="n"/>
      <c r="E13" s="5" t="inlineStr">
        <is>
          <t>آخرین رویداد</t>
        </is>
      </c>
      <c r="F13" s="5" t="n"/>
      <c r="G13" s="5" t="inlineStr">
        <is>
          <t>اعضا</t>
        </is>
      </c>
    </row>
    <row r="14" ht="22" customHeight="1">
      <c r="A14" s="6">
        <f>COUNT($D$17:$D$2016)</f>
        <v/>
      </c>
      <c r="B14" s="6" t="n"/>
      <c r="C14" s="6">
        <f>COUNT($F$2021:$F$4020)</f>
        <v/>
      </c>
      <c r="D14" s="6" t="n"/>
      <c r="E14" s="28">
        <f>IF(COUNT($D$17:$D$2016)=0,"—",INDEX($B$17:$B$2016,COUNT($D$17:$D$2016)))</f>
        <v/>
      </c>
      <c r="F14" s="28" t="n"/>
      <c r="G14" s="6">
        <f>IF($C$5="","—",COUNTIF(StaffGrpE,$C$5))</f>
        <v/>
      </c>
    </row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شناسه</t>
        </is>
      </c>
      <c r="D15" s="8" t="inlineStr">
        <is>
          <t>مبلغ کل (ریال)</t>
        </is>
      </c>
      <c r="E15" s="8" t="inlineStr">
        <is>
          <t>جمع ریز (ریال)</t>
        </is>
      </c>
      <c r="F15" s="8" t="inlineStr">
        <is>
          <t>تعداد سهم</t>
        </is>
      </c>
      <c r="G15" s="8" t="inlineStr">
        <is>
          <t>وضعیت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Doc ID</t>
        </is>
      </c>
      <c r="D16" s="9" t="inlineStr">
        <is>
          <t>Total</t>
        </is>
      </c>
      <c r="E16" s="9" t="inlineStr">
        <is>
          <t>Shares Sum</t>
        </is>
      </c>
      <c r="F16" s="9" t="inlineStr">
        <is>
          <t>Shares</t>
        </is>
      </c>
      <c r="G16" s="9" t="inlineStr">
        <is>
          <t>Status</t>
        </is>
      </c>
    </row>
    <row r="17">
      <c r="A17" s="10" t="n">
        <v>1</v>
      </c>
      <c r="B17" s="14">
        <f>IF($N17="","",INDEX(LdADate,$N17))</f>
        <v/>
      </c>
      <c r="C17" s="14">
        <f>IF($N17="","",IF(INDEX(LdAId,$N17)="","—",INDEX(LdAId,$N17)))</f>
        <v/>
      </c>
      <c r="D17" s="16">
        <f>IF($N17="","",IF(INDEX(LdAAmt,$N17)=0,"",INDEX(LdAAmt,$N17)))</f>
        <v/>
      </c>
      <c r="E17" s="16">
        <f>IF($N17="","",SUMIFS(ShareAmt,ShareLink,$C17))</f>
        <v/>
      </c>
      <c r="F17" s="33">
        <f>IF($N17="","",COUNTIF(ShareLink,$C17))</f>
        <v/>
      </c>
      <c r="G17" s="17">
        <f>IF($N17="","",IF(ROUND($E17-$D17,0)=0,"√","▲ "&amp;TEXT($D17-$E17,"#,##0")))</f>
        <v/>
      </c>
      <c r="N17">
        <f>IFERROR(MATCH($C$5&amp;"|"&amp;RIGHT("000000"&amp;1,6),LdAKeyG,0),"")</f>
        <v/>
      </c>
    </row>
    <row r="18">
      <c r="A18" s="19" t="n">
        <v>2</v>
      </c>
      <c r="B18" s="20">
        <f>IF($N18="","",INDEX(LdADate,$N18))</f>
        <v/>
      </c>
      <c r="C18" s="20">
        <f>IF($N18="","",IF(INDEX(LdAId,$N18)="","—",INDEX(LdAId,$N18)))</f>
        <v/>
      </c>
      <c r="D18" s="21">
        <f>IF($N18="","",IF(INDEX(LdAAmt,$N18)=0,"",INDEX(LdAAmt,$N18)))</f>
        <v/>
      </c>
      <c r="E18" s="21">
        <f>IF($N18="","",SUMIFS(ShareAmt,ShareLink,$C18))</f>
        <v/>
      </c>
      <c r="F18" s="34">
        <f>IF($N18="","",COUNTIF(ShareLink,$C18))</f>
        <v/>
      </c>
      <c r="G18" s="22">
        <f>IF($N18="","",IF(ROUND($E18-$D18,0)=0,"√","▲ "&amp;TEXT($D18-$E18,"#,##0")))</f>
        <v/>
      </c>
      <c r="N18">
        <f>IFERROR(MATCH($C$5&amp;"|"&amp;RIGHT("000000"&amp;2,6),LdAKeyG,0),"")</f>
        <v/>
      </c>
    </row>
    <row r="19">
      <c r="A19" s="10" t="n">
        <v>3</v>
      </c>
      <c r="B19" s="14">
        <f>IF($N19="","",INDEX(LdADate,$N19))</f>
        <v/>
      </c>
      <c r="C19" s="14">
        <f>IF($N19="","",IF(INDEX(LdAId,$N19)="","—",INDEX(LdAId,$N19)))</f>
        <v/>
      </c>
      <c r="D19" s="16">
        <f>IF($N19="","",IF(INDEX(LdAAmt,$N19)=0,"",INDEX(LdAAmt,$N19)))</f>
        <v/>
      </c>
      <c r="E19" s="16">
        <f>IF($N19="","",SUMIFS(ShareAmt,ShareLink,$C19))</f>
        <v/>
      </c>
      <c r="F19" s="33">
        <f>IF($N19="","",COUNTIF(ShareLink,$C19))</f>
        <v/>
      </c>
      <c r="G19" s="17">
        <f>IF($N19="","",IF(ROUND($E19-$D19,0)=0,"√","▲ "&amp;TEXT($D19-$E19,"#,##0")))</f>
        <v/>
      </c>
      <c r="N19">
        <f>IFERROR(MATCH($C$5&amp;"|"&amp;RIGHT("000000"&amp;3,6),LdAKeyG,0),"")</f>
        <v/>
      </c>
    </row>
    <row r="20">
      <c r="A20" s="19" t="n">
        <v>4</v>
      </c>
      <c r="B20" s="20">
        <f>IF($N20="","",INDEX(LdADate,$N20))</f>
        <v/>
      </c>
      <c r="C20" s="20">
        <f>IF($N20="","",IF(INDEX(LdAId,$N20)="","—",INDEX(LdAId,$N20)))</f>
        <v/>
      </c>
      <c r="D20" s="21">
        <f>IF($N20="","",IF(INDEX(LdAAmt,$N20)=0,"",INDEX(LdAAmt,$N20)))</f>
        <v/>
      </c>
      <c r="E20" s="21">
        <f>IF($N20="","",SUMIFS(ShareAmt,ShareLink,$C20))</f>
        <v/>
      </c>
      <c r="F20" s="34">
        <f>IF($N20="","",COUNTIF(ShareLink,$C20))</f>
        <v/>
      </c>
      <c r="G20" s="22">
        <f>IF($N20="","",IF(ROUND($E20-$D20,0)=0,"√","▲ "&amp;TEXT($D20-$E20,"#,##0")))</f>
        <v/>
      </c>
      <c r="N20">
        <f>IFERROR(MATCH($C$5&amp;"|"&amp;RIGHT("000000"&amp;4,6),LdAKeyG,0),"")</f>
        <v/>
      </c>
    </row>
    <row r="21">
      <c r="A21" s="10" t="n">
        <v>5</v>
      </c>
      <c r="B21" s="14">
        <f>IF($N21="","",INDEX(LdADate,$N21))</f>
        <v/>
      </c>
      <c r="C21" s="14">
        <f>IF($N21="","",IF(INDEX(LdAId,$N21)="","—",INDEX(LdAId,$N21)))</f>
        <v/>
      </c>
      <c r="D21" s="16">
        <f>IF($N21="","",IF(INDEX(LdAAmt,$N21)=0,"",INDEX(LdAAmt,$N21)))</f>
        <v/>
      </c>
      <c r="E21" s="16">
        <f>IF($N21="","",SUMIFS(ShareAmt,ShareLink,$C21))</f>
        <v/>
      </c>
      <c r="F21" s="33">
        <f>IF($N21="","",COUNTIF(ShareLink,$C21))</f>
        <v/>
      </c>
      <c r="G21" s="17">
        <f>IF($N21="","",IF(ROUND($E21-$D21,0)=0,"√","▲ "&amp;TEXT($D21-$E21,"#,##0")))</f>
        <v/>
      </c>
      <c r="N21">
        <f>IFERROR(MATCH($C$5&amp;"|"&amp;RIGHT("000000"&amp;5,6),LdAKeyG,0),"")</f>
        <v/>
      </c>
    </row>
    <row r="22">
      <c r="A22" s="19" t="n">
        <v>6</v>
      </c>
      <c r="B22" s="20">
        <f>IF($N22="","",INDEX(LdADate,$N22))</f>
        <v/>
      </c>
      <c r="C22" s="20">
        <f>IF($N22="","",IF(INDEX(LdAId,$N22)="","—",INDEX(LdAId,$N22)))</f>
        <v/>
      </c>
      <c r="D22" s="21">
        <f>IF($N22="","",IF(INDEX(LdAAmt,$N22)=0,"",INDEX(LdAAmt,$N22)))</f>
        <v/>
      </c>
      <c r="E22" s="21">
        <f>IF($N22="","",SUMIFS(ShareAmt,ShareLink,$C22))</f>
        <v/>
      </c>
      <c r="F22" s="34">
        <f>IF($N22="","",COUNTIF(ShareLink,$C22))</f>
        <v/>
      </c>
      <c r="G22" s="22">
        <f>IF($N22="","",IF(ROUND($E22-$D22,0)=0,"√","▲ "&amp;TEXT($D22-$E22,"#,##0")))</f>
        <v/>
      </c>
      <c r="N22">
        <f>IFERROR(MATCH($C$5&amp;"|"&amp;RIGHT("000000"&amp;6,6),LdAKeyG,0),"")</f>
        <v/>
      </c>
    </row>
    <row r="23">
      <c r="A23" s="10" t="n">
        <v>7</v>
      </c>
      <c r="B23" s="14">
        <f>IF($N23="","",INDEX(LdADate,$N23))</f>
        <v/>
      </c>
      <c r="C23" s="14">
        <f>IF($N23="","",IF(INDEX(LdAId,$N23)="","—",INDEX(LdAId,$N23)))</f>
        <v/>
      </c>
      <c r="D23" s="16">
        <f>IF($N23="","",IF(INDEX(LdAAmt,$N23)=0,"",INDEX(LdAAmt,$N23)))</f>
        <v/>
      </c>
      <c r="E23" s="16">
        <f>IF($N23="","",SUMIFS(ShareAmt,ShareLink,$C23))</f>
        <v/>
      </c>
      <c r="F23" s="33">
        <f>IF($N23="","",COUNTIF(ShareLink,$C23))</f>
        <v/>
      </c>
      <c r="G23" s="17">
        <f>IF($N23="","",IF(ROUND($E23-$D23,0)=0,"√","▲ "&amp;TEXT($D23-$E23,"#,##0")))</f>
        <v/>
      </c>
      <c r="N23">
        <f>IFERROR(MATCH($C$5&amp;"|"&amp;RIGHT("000000"&amp;7,6),LdAKeyG,0),"")</f>
        <v/>
      </c>
    </row>
    <row r="24">
      <c r="A24" s="19" t="n">
        <v>8</v>
      </c>
      <c r="B24" s="20">
        <f>IF($N24="","",INDEX(LdADate,$N24))</f>
        <v/>
      </c>
      <c r="C24" s="20">
        <f>IF($N24="","",IF(INDEX(LdAId,$N24)="","—",INDEX(LdAId,$N24)))</f>
        <v/>
      </c>
      <c r="D24" s="21">
        <f>IF($N24="","",IF(INDEX(LdAAmt,$N24)=0,"",INDEX(LdAAmt,$N24)))</f>
        <v/>
      </c>
      <c r="E24" s="21">
        <f>IF($N24="","",SUMIFS(ShareAmt,ShareLink,$C24))</f>
        <v/>
      </c>
      <c r="F24" s="34">
        <f>IF($N24="","",COUNTIF(ShareLink,$C24))</f>
        <v/>
      </c>
      <c r="G24" s="22">
        <f>IF($N24="","",IF(ROUND($E24-$D24,0)=0,"√","▲ "&amp;TEXT($D24-$E24,"#,##0")))</f>
        <v/>
      </c>
      <c r="N24">
        <f>IFERROR(MATCH($C$5&amp;"|"&amp;RIGHT("000000"&amp;8,6),LdAKeyG,0),"")</f>
        <v/>
      </c>
    </row>
    <row r="25">
      <c r="A25" s="10" t="n">
        <v>9</v>
      </c>
      <c r="B25" s="14">
        <f>IF($N25="","",INDEX(LdADate,$N25))</f>
        <v/>
      </c>
      <c r="C25" s="14">
        <f>IF($N25="","",IF(INDEX(LdAId,$N25)="","—",INDEX(LdAId,$N25)))</f>
        <v/>
      </c>
      <c r="D25" s="16">
        <f>IF($N25="","",IF(INDEX(LdAAmt,$N25)=0,"",INDEX(LdAAmt,$N25)))</f>
        <v/>
      </c>
      <c r="E25" s="16">
        <f>IF($N25="","",SUMIFS(ShareAmt,ShareLink,$C25))</f>
        <v/>
      </c>
      <c r="F25" s="33">
        <f>IF($N25="","",COUNTIF(ShareLink,$C25))</f>
        <v/>
      </c>
      <c r="G25" s="17">
        <f>IF($N25="","",IF(ROUND($E25-$D25,0)=0,"√","▲ "&amp;TEXT($D25-$E25,"#,##0")))</f>
        <v/>
      </c>
      <c r="N25">
        <f>IFERROR(MATCH($C$5&amp;"|"&amp;RIGHT("000000"&amp;9,6),LdAKeyG,0),"")</f>
        <v/>
      </c>
    </row>
    <row r="26">
      <c r="A26" s="19" t="n">
        <v>10</v>
      </c>
      <c r="B26" s="20">
        <f>IF($N26="","",INDEX(LdADate,$N26))</f>
        <v/>
      </c>
      <c r="C26" s="20">
        <f>IF($N26="","",IF(INDEX(LdAId,$N26)="","—",INDEX(LdAId,$N26)))</f>
        <v/>
      </c>
      <c r="D26" s="21">
        <f>IF($N26="","",IF(INDEX(LdAAmt,$N26)=0,"",INDEX(LdAAmt,$N26)))</f>
        <v/>
      </c>
      <c r="E26" s="21">
        <f>IF($N26="","",SUMIFS(ShareAmt,ShareLink,$C26))</f>
        <v/>
      </c>
      <c r="F26" s="34">
        <f>IF($N26="","",COUNTIF(ShareLink,$C26))</f>
        <v/>
      </c>
      <c r="G26" s="22">
        <f>IF($N26="","",IF(ROUND($E26-$D26,0)=0,"√","▲ "&amp;TEXT($D26-$E26,"#,##0")))</f>
        <v/>
      </c>
      <c r="N26">
        <f>IFERROR(MATCH($C$5&amp;"|"&amp;RIGHT("000000"&amp;10,6),LdAKeyG,0),"")</f>
        <v/>
      </c>
    </row>
    <row r="27">
      <c r="A27" s="10" t="n">
        <v>11</v>
      </c>
      <c r="B27" s="14">
        <f>IF($N27="","",INDEX(LdADate,$N27))</f>
        <v/>
      </c>
      <c r="C27" s="14">
        <f>IF($N27="","",IF(INDEX(LdAId,$N27)="","—",INDEX(LdAId,$N27)))</f>
        <v/>
      </c>
      <c r="D27" s="16">
        <f>IF($N27="","",IF(INDEX(LdAAmt,$N27)=0,"",INDEX(LdAAmt,$N27)))</f>
        <v/>
      </c>
      <c r="E27" s="16">
        <f>IF($N27="","",SUMIFS(ShareAmt,ShareLink,$C27))</f>
        <v/>
      </c>
      <c r="F27" s="33">
        <f>IF($N27="","",COUNTIF(ShareLink,$C27))</f>
        <v/>
      </c>
      <c r="G27" s="17">
        <f>IF($N27="","",IF(ROUND($E27-$D27,0)=0,"√","▲ "&amp;TEXT($D27-$E27,"#,##0")))</f>
        <v/>
      </c>
      <c r="N27">
        <f>IFERROR(MATCH($C$5&amp;"|"&amp;RIGHT("000000"&amp;11,6),LdAKeyG,0),"")</f>
        <v/>
      </c>
    </row>
    <row r="28">
      <c r="A28" s="19" t="n">
        <v>12</v>
      </c>
      <c r="B28" s="20">
        <f>IF($N28="","",INDEX(LdADate,$N28))</f>
        <v/>
      </c>
      <c r="C28" s="20">
        <f>IF($N28="","",IF(INDEX(LdAId,$N28)="","—",INDEX(LdAId,$N28)))</f>
        <v/>
      </c>
      <c r="D28" s="21">
        <f>IF($N28="","",IF(INDEX(LdAAmt,$N28)=0,"",INDEX(LdAAmt,$N28)))</f>
        <v/>
      </c>
      <c r="E28" s="21">
        <f>IF($N28="","",SUMIFS(ShareAmt,ShareLink,$C28))</f>
        <v/>
      </c>
      <c r="F28" s="34">
        <f>IF($N28="","",COUNTIF(ShareLink,$C28))</f>
        <v/>
      </c>
      <c r="G28" s="22">
        <f>IF($N28="","",IF(ROUND($E28-$D28,0)=0,"√","▲ "&amp;TEXT($D28-$E28,"#,##0")))</f>
        <v/>
      </c>
      <c r="N28">
        <f>IFERROR(MATCH($C$5&amp;"|"&amp;RIGHT("000000"&amp;12,6),LdAKeyG,0),"")</f>
        <v/>
      </c>
    </row>
    <row r="29">
      <c r="A29" s="10" t="n">
        <v>13</v>
      </c>
      <c r="B29" s="14">
        <f>IF($N29="","",INDEX(LdADate,$N29))</f>
        <v/>
      </c>
      <c r="C29" s="14">
        <f>IF($N29="","",IF(INDEX(LdAId,$N29)="","—",INDEX(LdAId,$N29)))</f>
        <v/>
      </c>
      <c r="D29" s="16">
        <f>IF($N29="","",IF(INDEX(LdAAmt,$N29)=0,"",INDEX(LdAAmt,$N29)))</f>
        <v/>
      </c>
      <c r="E29" s="16">
        <f>IF($N29="","",SUMIFS(ShareAmt,ShareLink,$C29))</f>
        <v/>
      </c>
      <c r="F29" s="33">
        <f>IF($N29="","",COUNTIF(ShareLink,$C29))</f>
        <v/>
      </c>
      <c r="G29" s="17">
        <f>IF($N29="","",IF(ROUND($E29-$D29,0)=0,"√","▲ "&amp;TEXT($D29-$E29,"#,##0")))</f>
        <v/>
      </c>
      <c r="N29">
        <f>IFERROR(MATCH($C$5&amp;"|"&amp;RIGHT("000000"&amp;13,6),LdAKeyG,0),"")</f>
        <v/>
      </c>
    </row>
    <row r="30">
      <c r="A30" s="19" t="n">
        <v>14</v>
      </c>
      <c r="B30" s="20">
        <f>IF($N30="","",INDEX(LdADate,$N30))</f>
        <v/>
      </c>
      <c r="C30" s="20">
        <f>IF($N30="","",IF(INDEX(LdAId,$N30)="","—",INDEX(LdAId,$N30)))</f>
        <v/>
      </c>
      <c r="D30" s="21">
        <f>IF($N30="","",IF(INDEX(LdAAmt,$N30)=0,"",INDEX(LdAAmt,$N30)))</f>
        <v/>
      </c>
      <c r="E30" s="21">
        <f>IF($N30="","",SUMIFS(ShareAmt,ShareLink,$C30))</f>
        <v/>
      </c>
      <c r="F30" s="34">
        <f>IF($N30="","",COUNTIF(ShareLink,$C30))</f>
        <v/>
      </c>
      <c r="G30" s="22">
        <f>IF($N30="","",IF(ROUND($E30-$D30,0)=0,"√","▲ "&amp;TEXT($D30-$E30,"#,##0")))</f>
        <v/>
      </c>
      <c r="N30">
        <f>IFERROR(MATCH($C$5&amp;"|"&amp;RIGHT("000000"&amp;14,6),LdAKeyG,0),"")</f>
        <v/>
      </c>
    </row>
    <row r="31">
      <c r="A31" s="10" t="n">
        <v>15</v>
      </c>
      <c r="B31" s="14">
        <f>IF($N31="","",INDEX(LdADate,$N31))</f>
        <v/>
      </c>
      <c r="C31" s="14">
        <f>IF($N31="","",IF(INDEX(LdAId,$N31)="","—",INDEX(LdAId,$N31)))</f>
        <v/>
      </c>
      <c r="D31" s="16">
        <f>IF($N31="","",IF(INDEX(LdAAmt,$N31)=0,"",INDEX(LdAAmt,$N31)))</f>
        <v/>
      </c>
      <c r="E31" s="16">
        <f>IF($N31="","",SUMIFS(ShareAmt,ShareLink,$C31))</f>
        <v/>
      </c>
      <c r="F31" s="33">
        <f>IF($N31="","",COUNTIF(ShareLink,$C31))</f>
        <v/>
      </c>
      <c r="G31" s="17">
        <f>IF($N31="","",IF(ROUND($E31-$D31,0)=0,"√","▲ "&amp;TEXT($D31-$E31,"#,##0")))</f>
        <v/>
      </c>
      <c r="N31">
        <f>IFERROR(MATCH($C$5&amp;"|"&amp;RIGHT("000000"&amp;15,6),LdAKeyG,0),"")</f>
        <v/>
      </c>
    </row>
    <row r="32">
      <c r="A32" s="19" t="n">
        <v>16</v>
      </c>
      <c r="B32" s="20">
        <f>IF($N32="","",INDEX(LdADate,$N32))</f>
        <v/>
      </c>
      <c r="C32" s="20">
        <f>IF($N32="","",IF(INDEX(LdAId,$N32)="","—",INDEX(LdAId,$N32)))</f>
        <v/>
      </c>
      <c r="D32" s="21">
        <f>IF($N32="","",IF(INDEX(LdAAmt,$N32)=0,"",INDEX(LdAAmt,$N32)))</f>
        <v/>
      </c>
      <c r="E32" s="21">
        <f>IF($N32="","",SUMIFS(ShareAmt,ShareLink,$C32))</f>
        <v/>
      </c>
      <c r="F32" s="34">
        <f>IF($N32="","",COUNTIF(ShareLink,$C32))</f>
        <v/>
      </c>
      <c r="G32" s="22">
        <f>IF($N32="","",IF(ROUND($E32-$D32,0)=0,"√","▲ "&amp;TEXT($D32-$E32,"#,##0")))</f>
        <v/>
      </c>
      <c r="N32">
        <f>IFERROR(MATCH($C$5&amp;"|"&amp;RIGHT("000000"&amp;16,6),LdAKeyG,0),"")</f>
        <v/>
      </c>
    </row>
    <row r="33">
      <c r="A33" s="10" t="n">
        <v>17</v>
      </c>
      <c r="B33" s="14">
        <f>IF($N33="","",INDEX(LdADate,$N33))</f>
        <v/>
      </c>
      <c r="C33" s="14">
        <f>IF($N33="","",IF(INDEX(LdAId,$N33)="","—",INDEX(LdAId,$N33)))</f>
        <v/>
      </c>
      <c r="D33" s="16">
        <f>IF($N33="","",IF(INDEX(LdAAmt,$N33)=0,"",INDEX(LdAAmt,$N33)))</f>
        <v/>
      </c>
      <c r="E33" s="16">
        <f>IF($N33="","",SUMIFS(ShareAmt,ShareLink,$C33))</f>
        <v/>
      </c>
      <c r="F33" s="33">
        <f>IF($N33="","",COUNTIF(ShareLink,$C33))</f>
        <v/>
      </c>
      <c r="G33" s="17">
        <f>IF($N33="","",IF(ROUND($E33-$D33,0)=0,"√","▲ "&amp;TEXT($D33-$E33,"#,##0")))</f>
        <v/>
      </c>
      <c r="N33">
        <f>IFERROR(MATCH($C$5&amp;"|"&amp;RIGHT("000000"&amp;17,6),LdAKeyG,0),"")</f>
        <v/>
      </c>
    </row>
    <row r="34">
      <c r="A34" s="19" t="n">
        <v>18</v>
      </c>
      <c r="B34" s="20">
        <f>IF($N34="","",INDEX(LdADate,$N34))</f>
        <v/>
      </c>
      <c r="C34" s="20">
        <f>IF($N34="","",IF(INDEX(LdAId,$N34)="","—",INDEX(LdAId,$N34)))</f>
        <v/>
      </c>
      <c r="D34" s="21">
        <f>IF($N34="","",IF(INDEX(LdAAmt,$N34)=0,"",INDEX(LdAAmt,$N34)))</f>
        <v/>
      </c>
      <c r="E34" s="21">
        <f>IF($N34="","",SUMIFS(ShareAmt,ShareLink,$C34))</f>
        <v/>
      </c>
      <c r="F34" s="34">
        <f>IF($N34="","",COUNTIF(ShareLink,$C34))</f>
        <v/>
      </c>
      <c r="G34" s="22">
        <f>IF($N34="","",IF(ROUND($E34-$D34,0)=0,"√","▲ "&amp;TEXT($D34-$E34,"#,##0")))</f>
        <v/>
      </c>
      <c r="N34">
        <f>IFERROR(MATCH($C$5&amp;"|"&amp;RIGHT("000000"&amp;18,6),LdAKeyG,0),"")</f>
        <v/>
      </c>
    </row>
    <row r="35">
      <c r="A35" s="10" t="n">
        <v>19</v>
      </c>
      <c r="B35" s="14">
        <f>IF($N35="","",INDEX(LdADate,$N35))</f>
        <v/>
      </c>
      <c r="C35" s="14">
        <f>IF($N35="","",IF(INDEX(LdAId,$N35)="","—",INDEX(LdAId,$N35)))</f>
        <v/>
      </c>
      <c r="D35" s="16">
        <f>IF($N35="","",IF(INDEX(LdAAmt,$N35)=0,"",INDEX(LdAAmt,$N35)))</f>
        <v/>
      </c>
      <c r="E35" s="16">
        <f>IF($N35="","",SUMIFS(ShareAmt,ShareLink,$C35))</f>
        <v/>
      </c>
      <c r="F35" s="33">
        <f>IF($N35="","",COUNTIF(ShareLink,$C35))</f>
        <v/>
      </c>
      <c r="G35" s="17">
        <f>IF($N35="","",IF(ROUND($E35-$D35,0)=0,"√","▲ "&amp;TEXT($D35-$E35,"#,##0")))</f>
        <v/>
      </c>
      <c r="N35">
        <f>IFERROR(MATCH($C$5&amp;"|"&amp;RIGHT("000000"&amp;19,6),LdAKeyG,0),"")</f>
        <v/>
      </c>
    </row>
    <row r="36">
      <c r="A36" s="19" t="n">
        <v>20</v>
      </c>
      <c r="B36" s="20">
        <f>IF($N36="","",INDEX(LdADate,$N36))</f>
        <v/>
      </c>
      <c r="C36" s="20">
        <f>IF($N36="","",IF(INDEX(LdAId,$N36)="","—",INDEX(LdAId,$N36)))</f>
        <v/>
      </c>
      <c r="D36" s="21">
        <f>IF($N36="","",IF(INDEX(LdAAmt,$N36)=0,"",INDEX(LdAAmt,$N36)))</f>
        <v/>
      </c>
      <c r="E36" s="21">
        <f>IF($N36="","",SUMIFS(ShareAmt,ShareLink,$C36))</f>
        <v/>
      </c>
      <c r="F36" s="34">
        <f>IF($N36="","",COUNTIF(ShareLink,$C36))</f>
        <v/>
      </c>
      <c r="G36" s="22">
        <f>IF($N36="","",IF(ROUND($E36-$D36,0)=0,"√","▲ "&amp;TEXT($D36-$E36,"#,##0")))</f>
        <v/>
      </c>
      <c r="N36">
        <f>IFERROR(MATCH($C$5&amp;"|"&amp;RIGHT("000000"&amp;20,6),LdAKeyG,0),"")</f>
        <v/>
      </c>
    </row>
    <row r="37">
      <c r="A37" s="10" t="n">
        <v>21</v>
      </c>
      <c r="B37" s="14">
        <f>IF($N37="","",INDEX(LdADate,$N37))</f>
        <v/>
      </c>
      <c r="C37" s="14">
        <f>IF($N37="","",IF(INDEX(LdAId,$N37)="","—",INDEX(LdAId,$N37)))</f>
        <v/>
      </c>
      <c r="D37" s="16">
        <f>IF($N37="","",IF(INDEX(LdAAmt,$N37)=0,"",INDEX(LdAAmt,$N37)))</f>
        <v/>
      </c>
      <c r="E37" s="16">
        <f>IF($N37="","",SUMIFS(ShareAmt,ShareLink,$C37))</f>
        <v/>
      </c>
      <c r="F37" s="33">
        <f>IF($N37="","",COUNTIF(ShareLink,$C37))</f>
        <v/>
      </c>
      <c r="G37" s="17">
        <f>IF($N37="","",IF(ROUND($E37-$D37,0)=0,"√","▲ "&amp;TEXT($D37-$E37,"#,##0")))</f>
        <v/>
      </c>
      <c r="N37">
        <f>IFERROR(MATCH($C$5&amp;"|"&amp;RIGHT("000000"&amp;21,6),LdAKeyG,0),"")</f>
        <v/>
      </c>
    </row>
    <row r="38">
      <c r="A38" s="19" t="n">
        <v>22</v>
      </c>
      <c r="B38" s="20">
        <f>IF($N38="","",INDEX(LdADate,$N38))</f>
        <v/>
      </c>
      <c r="C38" s="20">
        <f>IF($N38="","",IF(INDEX(LdAId,$N38)="","—",INDEX(LdAId,$N38)))</f>
        <v/>
      </c>
      <c r="D38" s="21">
        <f>IF($N38="","",IF(INDEX(LdAAmt,$N38)=0,"",INDEX(LdAAmt,$N38)))</f>
        <v/>
      </c>
      <c r="E38" s="21">
        <f>IF($N38="","",SUMIFS(ShareAmt,ShareLink,$C38))</f>
        <v/>
      </c>
      <c r="F38" s="34">
        <f>IF($N38="","",COUNTIF(ShareLink,$C38))</f>
        <v/>
      </c>
      <c r="G38" s="22">
        <f>IF($N38="","",IF(ROUND($E38-$D38,0)=0,"√","▲ "&amp;TEXT($D38-$E38,"#,##0")))</f>
        <v/>
      </c>
      <c r="N38">
        <f>IFERROR(MATCH($C$5&amp;"|"&amp;RIGHT("000000"&amp;22,6),LdAKeyG,0),"")</f>
        <v/>
      </c>
    </row>
    <row r="39">
      <c r="A39" s="10" t="n">
        <v>23</v>
      </c>
      <c r="B39" s="14">
        <f>IF($N39="","",INDEX(LdADate,$N39))</f>
        <v/>
      </c>
      <c r="C39" s="14">
        <f>IF($N39="","",IF(INDEX(LdAId,$N39)="","—",INDEX(LdAId,$N39)))</f>
        <v/>
      </c>
      <c r="D39" s="16">
        <f>IF($N39="","",IF(INDEX(LdAAmt,$N39)=0,"",INDEX(LdAAmt,$N39)))</f>
        <v/>
      </c>
      <c r="E39" s="16">
        <f>IF($N39="","",SUMIFS(ShareAmt,ShareLink,$C39))</f>
        <v/>
      </c>
      <c r="F39" s="33">
        <f>IF($N39="","",COUNTIF(ShareLink,$C39))</f>
        <v/>
      </c>
      <c r="G39" s="17">
        <f>IF($N39="","",IF(ROUND($E39-$D39,0)=0,"√","▲ "&amp;TEXT($D39-$E39,"#,##0")))</f>
        <v/>
      </c>
      <c r="N39">
        <f>IFERROR(MATCH($C$5&amp;"|"&amp;RIGHT("000000"&amp;23,6),LdAKeyG,0),"")</f>
        <v/>
      </c>
    </row>
    <row r="40">
      <c r="A40" s="19" t="n">
        <v>24</v>
      </c>
      <c r="B40" s="20">
        <f>IF($N40="","",INDEX(LdADate,$N40))</f>
        <v/>
      </c>
      <c r="C40" s="20">
        <f>IF($N40="","",IF(INDEX(LdAId,$N40)="","—",INDEX(LdAId,$N40)))</f>
        <v/>
      </c>
      <c r="D40" s="21">
        <f>IF($N40="","",IF(INDEX(LdAAmt,$N40)=0,"",INDEX(LdAAmt,$N40)))</f>
        <v/>
      </c>
      <c r="E40" s="21">
        <f>IF($N40="","",SUMIFS(ShareAmt,ShareLink,$C40))</f>
        <v/>
      </c>
      <c r="F40" s="34">
        <f>IF($N40="","",COUNTIF(ShareLink,$C40))</f>
        <v/>
      </c>
      <c r="G40" s="22">
        <f>IF($N40="","",IF(ROUND($E40-$D40,0)=0,"√","▲ "&amp;TEXT($D40-$E40,"#,##0")))</f>
        <v/>
      </c>
      <c r="N40">
        <f>IFERROR(MATCH($C$5&amp;"|"&amp;RIGHT("000000"&amp;24,6),LdAKeyG,0),"")</f>
        <v/>
      </c>
    </row>
    <row r="41">
      <c r="A41" s="10" t="n">
        <v>25</v>
      </c>
      <c r="B41" s="14">
        <f>IF($N41="","",INDEX(LdADate,$N41))</f>
        <v/>
      </c>
      <c r="C41" s="14">
        <f>IF($N41="","",IF(INDEX(LdAId,$N41)="","—",INDEX(LdAId,$N41)))</f>
        <v/>
      </c>
      <c r="D41" s="16">
        <f>IF($N41="","",IF(INDEX(LdAAmt,$N41)=0,"",INDEX(LdAAmt,$N41)))</f>
        <v/>
      </c>
      <c r="E41" s="16">
        <f>IF($N41="","",SUMIFS(ShareAmt,ShareLink,$C41))</f>
        <v/>
      </c>
      <c r="F41" s="33">
        <f>IF($N41="","",COUNTIF(ShareLink,$C41))</f>
        <v/>
      </c>
      <c r="G41" s="17">
        <f>IF($N41="","",IF(ROUND($E41-$D41,0)=0,"√","▲ "&amp;TEXT($D41-$E41,"#,##0")))</f>
        <v/>
      </c>
      <c r="N41">
        <f>IFERROR(MATCH($C$5&amp;"|"&amp;RIGHT("000000"&amp;25,6),LdAKeyG,0),"")</f>
        <v/>
      </c>
    </row>
    <row r="42">
      <c r="A42" s="19" t="n">
        <v>26</v>
      </c>
      <c r="B42" s="20">
        <f>IF($N42="","",INDEX(LdADate,$N42))</f>
        <v/>
      </c>
      <c r="C42" s="20">
        <f>IF($N42="","",IF(INDEX(LdAId,$N42)="","—",INDEX(LdAId,$N42)))</f>
        <v/>
      </c>
      <c r="D42" s="21">
        <f>IF($N42="","",IF(INDEX(LdAAmt,$N42)=0,"",INDEX(LdAAmt,$N42)))</f>
        <v/>
      </c>
      <c r="E42" s="21">
        <f>IF($N42="","",SUMIFS(ShareAmt,ShareLink,$C42))</f>
        <v/>
      </c>
      <c r="F42" s="34">
        <f>IF($N42="","",COUNTIF(ShareLink,$C42))</f>
        <v/>
      </c>
      <c r="G42" s="22">
        <f>IF($N42="","",IF(ROUND($E42-$D42,0)=0,"√","▲ "&amp;TEXT($D42-$E42,"#,##0")))</f>
        <v/>
      </c>
      <c r="N42">
        <f>IFERROR(MATCH($C$5&amp;"|"&amp;RIGHT("000000"&amp;26,6),LdAKeyG,0),"")</f>
        <v/>
      </c>
    </row>
    <row r="43">
      <c r="A43" s="10" t="n">
        <v>27</v>
      </c>
      <c r="B43" s="14">
        <f>IF($N43="","",INDEX(LdADate,$N43))</f>
        <v/>
      </c>
      <c r="C43" s="14">
        <f>IF($N43="","",IF(INDEX(LdAId,$N43)="","—",INDEX(LdAId,$N43)))</f>
        <v/>
      </c>
      <c r="D43" s="16">
        <f>IF($N43="","",IF(INDEX(LdAAmt,$N43)=0,"",INDEX(LdAAmt,$N43)))</f>
        <v/>
      </c>
      <c r="E43" s="16">
        <f>IF($N43="","",SUMIFS(ShareAmt,ShareLink,$C43))</f>
        <v/>
      </c>
      <c r="F43" s="33">
        <f>IF($N43="","",COUNTIF(ShareLink,$C43))</f>
        <v/>
      </c>
      <c r="G43" s="17">
        <f>IF($N43="","",IF(ROUND($E43-$D43,0)=0,"√","▲ "&amp;TEXT($D43-$E43,"#,##0")))</f>
        <v/>
      </c>
      <c r="N43">
        <f>IFERROR(MATCH($C$5&amp;"|"&amp;RIGHT("000000"&amp;27,6),LdAKeyG,0),"")</f>
        <v/>
      </c>
    </row>
    <row r="44">
      <c r="A44" s="19" t="n">
        <v>28</v>
      </c>
      <c r="B44" s="20">
        <f>IF($N44="","",INDEX(LdADate,$N44))</f>
        <v/>
      </c>
      <c r="C44" s="20">
        <f>IF($N44="","",IF(INDEX(LdAId,$N44)="","—",INDEX(LdAId,$N44)))</f>
        <v/>
      </c>
      <c r="D44" s="21">
        <f>IF($N44="","",IF(INDEX(LdAAmt,$N44)=0,"",INDEX(LdAAmt,$N44)))</f>
        <v/>
      </c>
      <c r="E44" s="21">
        <f>IF($N44="","",SUMIFS(ShareAmt,ShareLink,$C44))</f>
        <v/>
      </c>
      <c r="F44" s="34">
        <f>IF($N44="","",COUNTIF(ShareLink,$C44))</f>
        <v/>
      </c>
      <c r="G44" s="22">
        <f>IF($N44="","",IF(ROUND($E44-$D44,0)=0,"√","▲ "&amp;TEXT($D44-$E44,"#,##0")))</f>
        <v/>
      </c>
      <c r="N44">
        <f>IFERROR(MATCH($C$5&amp;"|"&amp;RIGHT("000000"&amp;28,6),LdAKeyG,0),"")</f>
        <v/>
      </c>
    </row>
    <row r="45">
      <c r="A45" s="10" t="n">
        <v>29</v>
      </c>
      <c r="B45" s="14">
        <f>IF($N45="","",INDEX(LdADate,$N45))</f>
        <v/>
      </c>
      <c r="C45" s="14">
        <f>IF($N45="","",IF(INDEX(LdAId,$N45)="","—",INDEX(LdAId,$N45)))</f>
        <v/>
      </c>
      <c r="D45" s="16">
        <f>IF($N45="","",IF(INDEX(LdAAmt,$N45)=0,"",INDEX(LdAAmt,$N45)))</f>
        <v/>
      </c>
      <c r="E45" s="16">
        <f>IF($N45="","",SUMIFS(ShareAmt,ShareLink,$C45))</f>
        <v/>
      </c>
      <c r="F45" s="33">
        <f>IF($N45="","",COUNTIF(ShareLink,$C45))</f>
        <v/>
      </c>
      <c r="G45" s="17">
        <f>IF($N45="","",IF(ROUND($E45-$D45,0)=0,"√","▲ "&amp;TEXT($D45-$E45,"#,##0")))</f>
        <v/>
      </c>
      <c r="N45">
        <f>IFERROR(MATCH($C$5&amp;"|"&amp;RIGHT("000000"&amp;29,6),LdAKeyG,0),"")</f>
        <v/>
      </c>
    </row>
    <row r="46">
      <c r="A46" s="19" t="n">
        <v>30</v>
      </c>
      <c r="B46" s="20">
        <f>IF($N46="","",INDEX(LdADate,$N46))</f>
        <v/>
      </c>
      <c r="C46" s="20">
        <f>IF($N46="","",IF(INDEX(LdAId,$N46)="","—",INDEX(LdAId,$N46)))</f>
        <v/>
      </c>
      <c r="D46" s="21">
        <f>IF($N46="","",IF(INDEX(LdAAmt,$N46)=0,"",INDEX(LdAAmt,$N46)))</f>
        <v/>
      </c>
      <c r="E46" s="21">
        <f>IF($N46="","",SUMIFS(ShareAmt,ShareLink,$C46))</f>
        <v/>
      </c>
      <c r="F46" s="34">
        <f>IF($N46="","",COUNTIF(ShareLink,$C46))</f>
        <v/>
      </c>
      <c r="G46" s="22">
        <f>IF($N46="","",IF(ROUND($E46-$D46,0)=0,"√","▲ "&amp;TEXT($D46-$E46,"#,##0")))</f>
        <v/>
      </c>
      <c r="N46">
        <f>IFERROR(MATCH($C$5&amp;"|"&amp;RIGHT("000000"&amp;30,6),LdAKeyG,0),"")</f>
        <v/>
      </c>
    </row>
    <row r="47">
      <c r="A47" s="10" t="n">
        <v>31</v>
      </c>
      <c r="B47" s="14">
        <f>IF($N47="","",INDEX(LdADate,$N47))</f>
        <v/>
      </c>
      <c r="C47" s="14">
        <f>IF($N47="","",IF(INDEX(LdAId,$N47)="","—",INDEX(LdAId,$N47)))</f>
        <v/>
      </c>
      <c r="D47" s="16">
        <f>IF($N47="","",IF(INDEX(LdAAmt,$N47)=0,"",INDEX(LdAAmt,$N47)))</f>
        <v/>
      </c>
      <c r="E47" s="16">
        <f>IF($N47="","",SUMIFS(ShareAmt,ShareLink,$C47))</f>
        <v/>
      </c>
      <c r="F47" s="33">
        <f>IF($N47="","",COUNTIF(ShareLink,$C47))</f>
        <v/>
      </c>
      <c r="G47" s="17">
        <f>IF($N47="","",IF(ROUND($E47-$D47,0)=0,"√","▲ "&amp;TEXT($D47-$E47,"#,##0")))</f>
        <v/>
      </c>
      <c r="N47">
        <f>IFERROR(MATCH($C$5&amp;"|"&amp;RIGHT("000000"&amp;31,6),LdAKeyG,0),"")</f>
        <v/>
      </c>
    </row>
    <row r="48">
      <c r="A48" s="19" t="n">
        <v>32</v>
      </c>
      <c r="B48" s="20">
        <f>IF($N48="","",INDEX(LdADate,$N48))</f>
        <v/>
      </c>
      <c r="C48" s="20">
        <f>IF($N48="","",IF(INDEX(LdAId,$N48)="","—",INDEX(LdAId,$N48)))</f>
        <v/>
      </c>
      <c r="D48" s="21">
        <f>IF($N48="","",IF(INDEX(LdAAmt,$N48)=0,"",INDEX(LdAAmt,$N48)))</f>
        <v/>
      </c>
      <c r="E48" s="21">
        <f>IF($N48="","",SUMIFS(ShareAmt,ShareLink,$C48))</f>
        <v/>
      </c>
      <c r="F48" s="34">
        <f>IF($N48="","",COUNTIF(ShareLink,$C48))</f>
        <v/>
      </c>
      <c r="G48" s="22">
        <f>IF($N48="","",IF(ROUND($E48-$D48,0)=0,"√","▲ "&amp;TEXT($D48-$E48,"#,##0")))</f>
        <v/>
      </c>
      <c r="N48">
        <f>IFERROR(MATCH($C$5&amp;"|"&amp;RIGHT("000000"&amp;32,6),LdAKeyG,0),"")</f>
        <v/>
      </c>
    </row>
    <row r="49">
      <c r="A49" s="10" t="n">
        <v>33</v>
      </c>
      <c r="B49" s="14">
        <f>IF($N49="","",INDEX(LdADate,$N49))</f>
        <v/>
      </c>
      <c r="C49" s="14">
        <f>IF($N49="","",IF(INDEX(LdAId,$N49)="","—",INDEX(LdAId,$N49)))</f>
        <v/>
      </c>
      <c r="D49" s="16">
        <f>IF($N49="","",IF(INDEX(LdAAmt,$N49)=0,"",INDEX(LdAAmt,$N49)))</f>
        <v/>
      </c>
      <c r="E49" s="16">
        <f>IF($N49="","",SUMIFS(ShareAmt,ShareLink,$C49))</f>
        <v/>
      </c>
      <c r="F49" s="33">
        <f>IF($N49="","",COUNTIF(ShareLink,$C49))</f>
        <v/>
      </c>
      <c r="G49" s="17">
        <f>IF($N49="","",IF(ROUND($E49-$D49,0)=0,"√","▲ "&amp;TEXT($D49-$E49,"#,##0")))</f>
        <v/>
      </c>
      <c r="N49">
        <f>IFERROR(MATCH($C$5&amp;"|"&amp;RIGHT("000000"&amp;33,6),LdAKeyG,0),"")</f>
        <v/>
      </c>
    </row>
    <row r="50">
      <c r="A50" s="19" t="n">
        <v>34</v>
      </c>
      <c r="B50" s="20">
        <f>IF($N50="","",INDEX(LdADate,$N50))</f>
        <v/>
      </c>
      <c r="C50" s="20">
        <f>IF($N50="","",IF(INDEX(LdAId,$N50)="","—",INDEX(LdAId,$N50)))</f>
        <v/>
      </c>
      <c r="D50" s="21">
        <f>IF($N50="","",IF(INDEX(LdAAmt,$N50)=0,"",INDEX(LdAAmt,$N50)))</f>
        <v/>
      </c>
      <c r="E50" s="21">
        <f>IF($N50="","",SUMIFS(ShareAmt,ShareLink,$C50))</f>
        <v/>
      </c>
      <c r="F50" s="34">
        <f>IF($N50="","",COUNTIF(ShareLink,$C50))</f>
        <v/>
      </c>
      <c r="G50" s="22">
        <f>IF($N50="","",IF(ROUND($E50-$D50,0)=0,"√","▲ "&amp;TEXT($D50-$E50,"#,##0")))</f>
        <v/>
      </c>
      <c r="N50">
        <f>IFERROR(MATCH($C$5&amp;"|"&amp;RIGHT("000000"&amp;34,6),LdAKeyG,0),"")</f>
        <v/>
      </c>
    </row>
    <row r="51">
      <c r="A51" s="10" t="n">
        <v>35</v>
      </c>
      <c r="B51" s="14">
        <f>IF($N51="","",INDEX(LdADate,$N51))</f>
        <v/>
      </c>
      <c r="C51" s="14">
        <f>IF($N51="","",IF(INDEX(LdAId,$N51)="","—",INDEX(LdAId,$N51)))</f>
        <v/>
      </c>
      <c r="D51" s="16">
        <f>IF($N51="","",IF(INDEX(LdAAmt,$N51)=0,"",INDEX(LdAAmt,$N51)))</f>
        <v/>
      </c>
      <c r="E51" s="16">
        <f>IF($N51="","",SUMIFS(ShareAmt,ShareLink,$C51))</f>
        <v/>
      </c>
      <c r="F51" s="33">
        <f>IF($N51="","",COUNTIF(ShareLink,$C51))</f>
        <v/>
      </c>
      <c r="G51" s="17">
        <f>IF($N51="","",IF(ROUND($E51-$D51,0)=0,"√","▲ "&amp;TEXT($D51-$E51,"#,##0")))</f>
        <v/>
      </c>
      <c r="N51">
        <f>IFERROR(MATCH($C$5&amp;"|"&amp;RIGHT("000000"&amp;35,6),LdAKeyG,0),"")</f>
        <v/>
      </c>
    </row>
    <row r="52">
      <c r="A52" s="19" t="n">
        <v>36</v>
      </c>
      <c r="B52" s="20">
        <f>IF($N52="","",INDEX(LdADate,$N52))</f>
        <v/>
      </c>
      <c r="C52" s="20">
        <f>IF($N52="","",IF(INDEX(LdAId,$N52)="","—",INDEX(LdAId,$N52)))</f>
        <v/>
      </c>
      <c r="D52" s="21">
        <f>IF($N52="","",IF(INDEX(LdAAmt,$N52)=0,"",INDEX(LdAAmt,$N52)))</f>
        <v/>
      </c>
      <c r="E52" s="21">
        <f>IF($N52="","",SUMIFS(ShareAmt,ShareLink,$C52))</f>
        <v/>
      </c>
      <c r="F52" s="34">
        <f>IF($N52="","",COUNTIF(ShareLink,$C52))</f>
        <v/>
      </c>
      <c r="G52" s="22">
        <f>IF($N52="","",IF(ROUND($E52-$D52,0)=0,"√","▲ "&amp;TEXT($D52-$E52,"#,##0")))</f>
        <v/>
      </c>
      <c r="N52">
        <f>IFERROR(MATCH($C$5&amp;"|"&amp;RIGHT("000000"&amp;36,6),LdAKeyG,0),"")</f>
        <v/>
      </c>
    </row>
    <row r="53">
      <c r="A53" s="10" t="n">
        <v>37</v>
      </c>
      <c r="B53" s="14">
        <f>IF($N53="","",INDEX(LdADate,$N53))</f>
        <v/>
      </c>
      <c r="C53" s="14">
        <f>IF($N53="","",IF(INDEX(LdAId,$N53)="","—",INDEX(LdAId,$N53)))</f>
        <v/>
      </c>
      <c r="D53" s="16">
        <f>IF($N53="","",IF(INDEX(LdAAmt,$N53)=0,"",INDEX(LdAAmt,$N53)))</f>
        <v/>
      </c>
      <c r="E53" s="16">
        <f>IF($N53="","",SUMIFS(ShareAmt,ShareLink,$C53))</f>
        <v/>
      </c>
      <c r="F53" s="33">
        <f>IF($N53="","",COUNTIF(ShareLink,$C53))</f>
        <v/>
      </c>
      <c r="G53" s="17">
        <f>IF($N53="","",IF(ROUND($E53-$D53,0)=0,"√","▲ "&amp;TEXT($D53-$E53,"#,##0")))</f>
        <v/>
      </c>
      <c r="N53">
        <f>IFERROR(MATCH($C$5&amp;"|"&amp;RIGHT("000000"&amp;37,6),LdAKeyG,0),"")</f>
        <v/>
      </c>
    </row>
    <row r="54">
      <c r="A54" s="19" t="n">
        <v>38</v>
      </c>
      <c r="B54" s="20">
        <f>IF($N54="","",INDEX(LdADate,$N54))</f>
        <v/>
      </c>
      <c r="C54" s="20">
        <f>IF($N54="","",IF(INDEX(LdAId,$N54)="","—",INDEX(LdAId,$N54)))</f>
        <v/>
      </c>
      <c r="D54" s="21">
        <f>IF($N54="","",IF(INDEX(LdAAmt,$N54)=0,"",INDEX(LdAAmt,$N54)))</f>
        <v/>
      </c>
      <c r="E54" s="21">
        <f>IF($N54="","",SUMIFS(ShareAmt,ShareLink,$C54))</f>
        <v/>
      </c>
      <c r="F54" s="34">
        <f>IF($N54="","",COUNTIF(ShareLink,$C54))</f>
        <v/>
      </c>
      <c r="G54" s="22">
        <f>IF($N54="","",IF(ROUND($E54-$D54,0)=0,"√","▲ "&amp;TEXT($D54-$E54,"#,##0")))</f>
        <v/>
      </c>
      <c r="N54">
        <f>IFERROR(MATCH($C$5&amp;"|"&amp;RIGHT("000000"&amp;38,6),LdAKeyG,0),"")</f>
        <v/>
      </c>
    </row>
    <row r="55">
      <c r="A55" s="10" t="n">
        <v>39</v>
      </c>
      <c r="B55" s="14">
        <f>IF($N55="","",INDEX(LdADate,$N55))</f>
        <v/>
      </c>
      <c r="C55" s="14">
        <f>IF($N55="","",IF(INDEX(LdAId,$N55)="","—",INDEX(LdAId,$N55)))</f>
        <v/>
      </c>
      <c r="D55" s="16">
        <f>IF($N55="","",IF(INDEX(LdAAmt,$N55)=0,"",INDEX(LdAAmt,$N55)))</f>
        <v/>
      </c>
      <c r="E55" s="16">
        <f>IF($N55="","",SUMIFS(ShareAmt,ShareLink,$C55))</f>
        <v/>
      </c>
      <c r="F55" s="33">
        <f>IF($N55="","",COUNTIF(ShareLink,$C55))</f>
        <v/>
      </c>
      <c r="G55" s="17">
        <f>IF($N55="","",IF(ROUND($E55-$D55,0)=0,"√","▲ "&amp;TEXT($D55-$E55,"#,##0")))</f>
        <v/>
      </c>
      <c r="N55">
        <f>IFERROR(MATCH($C$5&amp;"|"&amp;RIGHT("000000"&amp;39,6),LdAKeyG,0),"")</f>
        <v/>
      </c>
    </row>
    <row r="56">
      <c r="A56" s="19" t="n">
        <v>40</v>
      </c>
      <c r="B56" s="20">
        <f>IF($N56="","",INDEX(LdADate,$N56))</f>
        <v/>
      </c>
      <c r="C56" s="20">
        <f>IF($N56="","",IF(INDEX(LdAId,$N56)="","—",INDEX(LdAId,$N56)))</f>
        <v/>
      </c>
      <c r="D56" s="21">
        <f>IF($N56="","",IF(INDEX(LdAAmt,$N56)=0,"",INDEX(LdAAmt,$N56)))</f>
        <v/>
      </c>
      <c r="E56" s="21">
        <f>IF($N56="","",SUMIFS(ShareAmt,ShareLink,$C56))</f>
        <v/>
      </c>
      <c r="F56" s="34">
        <f>IF($N56="","",COUNTIF(ShareLink,$C56))</f>
        <v/>
      </c>
      <c r="G56" s="22">
        <f>IF($N56="","",IF(ROUND($E56-$D56,0)=0,"√","▲ "&amp;TEXT($D56-$E56,"#,##0")))</f>
        <v/>
      </c>
      <c r="N56">
        <f>IFERROR(MATCH($C$5&amp;"|"&amp;RIGHT("000000"&amp;40,6),LdAKeyG,0),"")</f>
        <v/>
      </c>
    </row>
    <row r="57">
      <c r="A57" s="10" t="n">
        <v>41</v>
      </c>
      <c r="B57" s="14">
        <f>IF($N57="","",INDEX(LdADate,$N57))</f>
        <v/>
      </c>
      <c r="C57" s="14">
        <f>IF($N57="","",IF(INDEX(LdAId,$N57)="","—",INDEX(LdAId,$N57)))</f>
        <v/>
      </c>
      <c r="D57" s="16">
        <f>IF($N57="","",IF(INDEX(LdAAmt,$N57)=0,"",INDEX(LdAAmt,$N57)))</f>
        <v/>
      </c>
      <c r="E57" s="16">
        <f>IF($N57="","",SUMIFS(ShareAmt,ShareLink,$C57))</f>
        <v/>
      </c>
      <c r="F57" s="33">
        <f>IF($N57="","",COUNTIF(ShareLink,$C57))</f>
        <v/>
      </c>
      <c r="G57" s="17">
        <f>IF($N57="","",IF(ROUND($E57-$D57,0)=0,"√","▲ "&amp;TEXT($D57-$E57,"#,##0")))</f>
        <v/>
      </c>
      <c r="N57">
        <f>IFERROR(MATCH($C$5&amp;"|"&amp;RIGHT("000000"&amp;41,6),LdAKeyG,0),"")</f>
        <v/>
      </c>
    </row>
    <row r="58">
      <c r="A58" s="19" t="n">
        <v>42</v>
      </c>
      <c r="B58" s="20">
        <f>IF($N58="","",INDEX(LdADate,$N58))</f>
        <v/>
      </c>
      <c r="C58" s="20">
        <f>IF($N58="","",IF(INDEX(LdAId,$N58)="","—",INDEX(LdAId,$N58)))</f>
        <v/>
      </c>
      <c r="D58" s="21">
        <f>IF($N58="","",IF(INDEX(LdAAmt,$N58)=0,"",INDEX(LdAAmt,$N58)))</f>
        <v/>
      </c>
      <c r="E58" s="21">
        <f>IF($N58="","",SUMIFS(ShareAmt,ShareLink,$C58))</f>
        <v/>
      </c>
      <c r="F58" s="34">
        <f>IF($N58="","",COUNTIF(ShareLink,$C58))</f>
        <v/>
      </c>
      <c r="G58" s="22">
        <f>IF($N58="","",IF(ROUND($E58-$D58,0)=0,"√","▲ "&amp;TEXT($D58-$E58,"#,##0")))</f>
        <v/>
      </c>
      <c r="N58">
        <f>IFERROR(MATCH($C$5&amp;"|"&amp;RIGHT("000000"&amp;42,6),LdAKeyG,0),"")</f>
        <v/>
      </c>
    </row>
    <row r="59">
      <c r="A59" s="10" t="n">
        <v>43</v>
      </c>
      <c r="B59" s="14">
        <f>IF($N59="","",INDEX(LdADate,$N59))</f>
        <v/>
      </c>
      <c r="C59" s="14">
        <f>IF($N59="","",IF(INDEX(LdAId,$N59)="","—",INDEX(LdAId,$N59)))</f>
        <v/>
      </c>
      <c r="D59" s="16">
        <f>IF($N59="","",IF(INDEX(LdAAmt,$N59)=0,"",INDEX(LdAAmt,$N59)))</f>
        <v/>
      </c>
      <c r="E59" s="16">
        <f>IF($N59="","",SUMIFS(ShareAmt,ShareLink,$C59))</f>
        <v/>
      </c>
      <c r="F59" s="33">
        <f>IF($N59="","",COUNTIF(ShareLink,$C59))</f>
        <v/>
      </c>
      <c r="G59" s="17">
        <f>IF($N59="","",IF(ROUND($E59-$D59,0)=0,"√","▲ "&amp;TEXT($D59-$E59,"#,##0")))</f>
        <v/>
      </c>
      <c r="N59">
        <f>IFERROR(MATCH($C$5&amp;"|"&amp;RIGHT("000000"&amp;43,6),LdAKeyG,0),"")</f>
        <v/>
      </c>
    </row>
    <row r="60">
      <c r="A60" s="19" t="n">
        <v>44</v>
      </c>
      <c r="B60" s="20">
        <f>IF($N60="","",INDEX(LdADate,$N60))</f>
        <v/>
      </c>
      <c r="C60" s="20">
        <f>IF($N60="","",IF(INDEX(LdAId,$N60)="","—",INDEX(LdAId,$N60)))</f>
        <v/>
      </c>
      <c r="D60" s="21">
        <f>IF($N60="","",IF(INDEX(LdAAmt,$N60)=0,"",INDEX(LdAAmt,$N60)))</f>
        <v/>
      </c>
      <c r="E60" s="21">
        <f>IF($N60="","",SUMIFS(ShareAmt,ShareLink,$C60))</f>
        <v/>
      </c>
      <c r="F60" s="34">
        <f>IF($N60="","",COUNTIF(ShareLink,$C60))</f>
        <v/>
      </c>
      <c r="G60" s="22">
        <f>IF($N60="","",IF(ROUND($E60-$D60,0)=0,"√","▲ "&amp;TEXT($D60-$E60,"#,##0")))</f>
        <v/>
      </c>
      <c r="N60">
        <f>IFERROR(MATCH($C$5&amp;"|"&amp;RIGHT("000000"&amp;44,6),LdAKeyG,0),"")</f>
        <v/>
      </c>
    </row>
    <row r="61">
      <c r="A61" s="10" t="n">
        <v>45</v>
      </c>
      <c r="B61" s="14">
        <f>IF($N61="","",INDEX(LdADate,$N61))</f>
        <v/>
      </c>
      <c r="C61" s="14">
        <f>IF($N61="","",IF(INDEX(LdAId,$N61)="","—",INDEX(LdAId,$N61)))</f>
        <v/>
      </c>
      <c r="D61" s="16">
        <f>IF($N61="","",IF(INDEX(LdAAmt,$N61)=0,"",INDEX(LdAAmt,$N61)))</f>
        <v/>
      </c>
      <c r="E61" s="16">
        <f>IF($N61="","",SUMIFS(ShareAmt,ShareLink,$C61))</f>
        <v/>
      </c>
      <c r="F61" s="33">
        <f>IF($N61="","",COUNTIF(ShareLink,$C61))</f>
        <v/>
      </c>
      <c r="G61" s="17">
        <f>IF($N61="","",IF(ROUND($E61-$D61,0)=0,"√","▲ "&amp;TEXT($D61-$E61,"#,##0")))</f>
        <v/>
      </c>
      <c r="N61">
        <f>IFERROR(MATCH($C$5&amp;"|"&amp;RIGHT("000000"&amp;45,6),LdAKeyG,0),"")</f>
        <v/>
      </c>
    </row>
    <row r="62">
      <c r="A62" s="19" t="n">
        <v>46</v>
      </c>
      <c r="B62" s="20">
        <f>IF($N62="","",INDEX(LdADate,$N62))</f>
        <v/>
      </c>
      <c r="C62" s="20">
        <f>IF($N62="","",IF(INDEX(LdAId,$N62)="","—",INDEX(LdAId,$N62)))</f>
        <v/>
      </c>
      <c r="D62" s="21">
        <f>IF($N62="","",IF(INDEX(LdAAmt,$N62)=0,"",INDEX(LdAAmt,$N62)))</f>
        <v/>
      </c>
      <c r="E62" s="21">
        <f>IF($N62="","",SUMIFS(ShareAmt,ShareLink,$C62))</f>
        <v/>
      </c>
      <c r="F62" s="34">
        <f>IF($N62="","",COUNTIF(ShareLink,$C62))</f>
        <v/>
      </c>
      <c r="G62" s="22">
        <f>IF($N62="","",IF(ROUND($E62-$D62,0)=0,"√","▲ "&amp;TEXT($D62-$E62,"#,##0")))</f>
        <v/>
      </c>
      <c r="N62">
        <f>IFERROR(MATCH($C$5&amp;"|"&amp;RIGHT("000000"&amp;46,6),LdAKeyG,0),"")</f>
        <v/>
      </c>
    </row>
    <row r="63">
      <c r="A63" s="10" t="n">
        <v>47</v>
      </c>
      <c r="B63" s="14">
        <f>IF($N63="","",INDEX(LdADate,$N63))</f>
        <v/>
      </c>
      <c r="C63" s="14">
        <f>IF($N63="","",IF(INDEX(LdAId,$N63)="","—",INDEX(LdAId,$N63)))</f>
        <v/>
      </c>
      <c r="D63" s="16">
        <f>IF($N63="","",IF(INDEX(LdAAmt,$N63)=0,"",INDEX(LdAAmt,$N63)))</f>
        <v/>
      </c>
      <c r="E63" s="16">
        <f>IF($N63="","",SUMIFS(ShareAmt,ShareLink,$C63))</f>
        <v/>
      </c>
      <c r="F63" s="33">
        <f>IF($N63="","",COUNTIF(ShareLink,$C63))</f>
        <v/>
      </c>
      <c r="G63" s="17">
        <f>IF($N63="","",IF(ROUND($E63-$D63,0)=0,"√","▲ "&amp;TEXT($D63-$E63,"#,##0")))</f>
        <v/>
      </c>
      <c r="N63">
        <f>IFERROR(MATCH($C$5&amp;"|"&amp;RIGHT("000000"&amp;47,6),LdAKeyG,0),"")</f>
        <v/>
      </c>
    </row>
    <row r="64">
      <c r="A64" s="19" t="n">
        <v>48</v>
      </c>
      <c r="B64" s="20">
        <f>IF($N64="","",INDEX(LdADate,$N64))</f>
        <v/>
      </c>
      <c r="C64" s="20">
        <f>IF($N64="","",IF(INDEX(LdAId,$N64)="","—",INDEX(LdAId,$N64)))</f>
        <v/>
      </c>
      <c r="D64" s="21">
        <f>IF($N64="","",IF(INDEX(LdAAmt,$N64)=0,"",INDEX(LdAAmt,$N64)))</f>
        <v/>
      </c>
      <c r="E64" s="21">
        <f>IF($N64="","",SUMIFS(ShareAmt,ShareLink,$C64))</f>
        <v/>
      </c>
      <c r="F64" s="34">
        <f>IF($N64="","",COUNTIF(ShareLink,$C64))</f>
        <v/>
      </c>
      <c r="G64" s="22">
        <f>IF($N64="","",IF(ROUND($E64-$D64,0)=0,"√","▲ "&amp;TEXT($D64-$E64,"#,##0")))</f>
        <v/>
      </c>
      <c r="N64">
        <f>IFERROR(MATCH($C$5&amp;"|"&amp;RIGHT("000000"&amp;48,6),LdAKeyG,0),"")</f>
        <v/>
      </c>
    </row>
    <row r="65">
      <c r="A65" s="10" t="n">
        <v>49</v>
      </c>
      <c r="B65" s="14">
        <f>IF($N65="","",INDEX(LdADate,$N65))</f>
        <v/>
      </c>
      <c r="C65" s="14">
        <f>IF($N65="","",IF(INDEX(LdAId,$N65)="","—",INDEX(LdAId,$N65)))</f>
        <v/>
      </c>
      <c r="D65" s="16">
        <f>IF($N65="","",IF(INDEX(LdAAmt,$N65)=0,"",INDEX(LdAAmt,$N65)))</f>
        <v/>
      </c>
      <c r="E65" s="16">
        <f>IF($N65="","",SUMIFS(ShareAmt,ShareLink,$C65))</f>
        <v/>
      </c>
      <c r="F65" s="33">
        <f>IF($N65="","",COUNTIF(ShareLink,$C65))</f>
        <v/>
      </c>
      <c r="G65" s="17">
        <f>IF($N65="","",IF(ROUND($E65-$D65,0)=0,"√","▲ "&amp;TEXT($D65-$E65,"#,##0")))</f>
        <v/>
      </c>
      <c r="N65">
        <f>IFERROR(MATCH($C$5&amp;"|"&amp;RIGHT("000000"&amp;49,6),LdAKeyG,0),"")</f>
        <v/>
      </c>
    </row>
    <row r="66">
      <c r="A66" s="19" t="n">
        <v>50</v>
      </c>
      <c r="B66" s="20">
        <f>IF($N66="","",INDEX(LdADate,$N66))</f>
        <v/>
      </c>
      <c r="C66" s="20">
        <f>IF($N66="","",IF(INDEX(LdAId,$N66)="","—",INDEX(LdAId,$N66)))</f>
        <v/>
      </c>
      <c r="D66" s="21">
        <f>IF($N66="","",IF(INDEX(LdAAmt,$N66)=0,"",INDEX(LdAAmt,$N66)))</f>
        <v/>
      </c>
      <c r="E66" s="21">
        <f>IF($N66="","",SUMIFS(ShareAmt,ShareLink,$C66))</f>
        <v/>
      </c>
      <c r="F66" s="34">
        <f>IF($N66="","",COUNTIF(ShareLink,$C66))</f>
        <v/>
      </c>
      <c r="G66" s="22">
        <f>IF($N66="","",IF(ROUND($E66-$D66,0)=0,"√","▲ "&amp;TEXT($D66-$E66,"#,##0")))</f>
        <v/>
      </c>
      <c r="N66">
        <f>IFERROR(MATCH($C$5&amp;"|"&amp;RIGHT("000000"&amp;50,6),LdAKeyG,0),"")</f>
        <v/>
      </c>
    </row>
    <row r="67">
      <c r="A67" s="10" t="n">
        <v>51</v>
      </c>
      <c r="B67" s="14">
        <f>IF($N67="","",INDEX(LdADate,$N67))</f>
        <v/>
      </c>
      <c r="C67" s="14">
        <f>IF($N67="","",IF(INDEX(LdAId,$N67)="","—",INDEX(LdAId,$N67)))</f>
        <v/>
      </c>
      <c r="D67" s="16">
        <f>IF($N67="","",IF(INDEX(LdAAmt,$N67)=0,"",INDEX(LdAAmt,$N67)))</f>
        <v/>
      </c>
      <c r="E67" s="16">
        <f>IF($N67="","",SUMIFS(ShareAmt,ShareLink,$C67))</f>
        <v/>
      </c>
      <c r="F67" s="33">
        <f>IF($N67="","",COUNTIF(ShareLink,$C67))</f>
        <v/>
      </c>
      <c r="G67" s="17">
        <f>IF($N67="","",IF(ROUND($E67-$D67,0)=0,"√","▲ "&amp;TEXT($D67-$E67,"#,##0")))</f>
        <v/>
      </c>
      <c r="N67">
        <f>IFERROR(MATCH($C$5&amp;"|"&amp;RIGHT("000000"&amp;51,6),LdAKeyG,0),"")</f>
        <v/>
      </c>
    </row>
    <row r="68">
      <c r="A68" s="19" t="n">
        <v>52</v>
      </c>
      <c r="B68" s="20">
        <f>IF($N68="","",INDEX(LdADate,$N68))</f>
        <v/>
      </c>
      <c r="C68" s="20">
        <f>IF($N68="","",IF(INDEX(LdAId,$N68)="","—",INDEX(LdAId,$N68)))</f>
        <v/>
      </c>
      <c r="D68" s="21">
        <f>IF($N68="","",IF(INDEX(LdAAmt,$N68)=0,"",INDEX(LdAAmt,$N68)))</f>
        <v/>
      </c>
      <c r="E68" s="21">
        <f>IF($N68="","",SUMIFS(ShareAmt,ShareLink,$C68))</f>
        <v/>
      </c>
      <c r="F68" s="34">
        <f>IF($N68="","",COUNTIF(ShareLink,$C68))</f>
        <v/>
      </c>
      <c r="G68" s="22">
        <f>IF($N68="","",IF(ROUND($E68-$D68,0)=0,"√","▲ "&amp;TEXT($D68-$E68,"#,##0")))</f>
        <v/>
      </c>
      <c r="N68">
        <f>IFERROR(MATCH($C$5&amp;"|"&amp;RIGHT("000000"&amp;52,6),LdAKeyG,0),"")</f>
        <v/>
      </c>
    </row>
    <row r="69">
      <c r="A69" s="10" t="n">
        <v>53</v>
      </c>
      <c r="B69" s="14">
        <f>IF($N69="","",INDEX(LdADate,$N69))</f>
        <v/>
      </c>
      <c r="C69" s="14">
        <f>IF($N69="","",IF(INDEX(LdAId,$N69)="","—",INDEX(LdAId,$N69)))</f>
        <v/>
      </c>
      <c r="D69" s="16">
        <f>IF($N69="","",IF(INDEX(LdAAmt,$N69)=0,"",INDEX(LdAAmt,$N69)))</f>
        <v/>
      </c>
      <c r="E69" s="16">
        <f>IF($N69="","",SUMIFS(ShareAmt,ShareLink,$C69))</f>
        <v/>
      </c>
      <c r="F69" s="33">
        <f>IF($N69="","",COUNTIF(ShareLink,$C69))</f>
        <v/>
      </c>
      <c r="G69" s="17">
        <f>IF($N69="","",IF(ROUND($E69-$D69,0)=0,"√","▲ "&amp;TEXT($D69-$E69,"#,##0")))</f>
        <v/>
      </c>
      <c r="N69">
        <f>IFERROR(MATCH($C$5&amp;"|"&amp;RIGHT("000000"&amp;53,6),LdAKeyG,0),"")</f>
        <v/>
      </c>
    </row>
    <row r="70">
      <c r="A70" s="19" t="n">
        <v>54</v>
      </c>
      <c r="B70" s="20">
        <f>IF($N70="","",INDEX(LdADate,$N70))</f>
        <v/>
      </c>
      <c r="C70" s="20">
        <f>IF($N70="","",IF(INDEX(LdAId,$N70)="","—",INDEX(LdAId,$N70)))</f>
        <v/>
      </c>
      <c r="D70" s="21">
        <f>IF($N70="","",IF(INDEX(LdAAmt,$N70)=0,"",INDEX(LdAAmt,$N70)))</f>
        <v/>
      </c>
      <c r="E70" s="21">
        <f>IF($N70="","",SUMIFS(ShareAmt,ShareLink,$C70))</f>
        <v/>
      </c>
      <c r="F70" s="34">
        <f>IF($N70="","",COUNTIF(ShareLink,$C70))</f>
        <v/>
      </c>
      <c r="G70" s="22">
        <f>IF($N70="","",IF(ROUND($E70-$D70,0)=0,"√","▲ "&amp;TEXT($D70-$E70,"#,##0")))</f>
        <v/>
      </c>
      <c r="N70">
        <f>IFERROR(MATCH($C$5&amp;"|"&amp;RIGHT("000000"&amp;54,6),LdAKeyG,0),"")</f>
        <v/>
      </c>
    </row>
    <row r="71">
      <c r="A71" s="10" t="n">
        <v>55</v>
      </c>
      <c r="B71" s="14">
        <f>IF($N71="","",INDEX(LdADate,$N71))</f>
        <v/>
      </c>
      <c r="C71" s="14">
        <f>IF($N71="","",IF(INDEX(LdAId,$N71)="","—",INDEX(LdAId,$N71)))</f>
        <v/>
      </c>
      <c r="D71" s="16">
        <f>IF($N71="","",IF(INDEX(LdAAmt,$N71)=0,"",INDEX(LdAAmt,$N71)))</f>
        <v/>
      </c>
      <c r="E71" s="16">
        <f>IF($N71="","",SUMIFS(ShareAmt,ShareLink,$C71))</f>
        <v/>
      </c>
      <c r="F71" s="33">
        <f>IF($N71="","",COUNTIF(ShareLink,$C71))</f>
        <v/>
      </c>
      <c r="G71" s="17">
        <f>IF($N71="","",IF(ROUND($E71-$D71,0)=0,"√","▲ "&amp;TEXT($D71-$E71,"#,##0")))</f>
        <v/>
      </c>
      <c r="N71">
        <f>IFERROR(MATCH($C$5&amp;"|"&amp;RIGHT("000000"&amp;55,6),LdAKeyG,0),"")</f>
        <v/>
      </c>
    </row>
    <row r="72">
      <c r="A72" s="19" t="n">
        <v>56</v>
      </c>
      <c r="B72" s="20">
        <f>IF($N72="","",INDEX(LdADate,$N72))</f>
        <v/>
      </c>
      <c r="C72" s="20">
        <f>IF($N72="","",IF(INDEX(LdAId,$N72)="","—",INDEX(LdAId,$N72)))</f>
        <v/>
      </c>
      <c r="D72" s="21">
        <f>IF($N72="","",IF(INDEX(LdAAmt,$N72)=0,"",INDEX(LdAAmt,$N72)))</f>
        <v/>
      </c>
      <c r="E72" s="21">
        <f>IF($N72="","",SUMIFS(ShareAmt,ShareLink,$C72))</f>
        <v/>
      </c>
      <c r="F72" s="34">
        <f>IF($N72="","",COUNTIF(ShareLink,$C72))</f>
        <v/>
      </c>
      <c r="G72" s="22">
        <f>IF($N72="","",IF(ROUND($E72-$D72,0)=0,"√","▲ "&amp;TEXT($D72-$E72,"#,##0")))</f>
        <v/>
      </c>
      <c r="N72">
        <f>IFERROR(MATCH($C$5&amp;"|"&amp;RIGHT("000000"&amp;56,6),LdAKeyG,0),"")</f>
        <v/>
      </c>
    </row>
    <row r="73">
      <c r="A73" s="10" t="n">
        <v>57</v>
      </c>
      <c r="B73" s="14">
        <f>IF($N73="","",INDEX(LdADate,$N73))</f>
        <v/>
      </c>
      <c r="C73" s="14">
        <f>IF($N73="","",IF(INDEX(LdAId,$N73)="","—",INDEX(LdAId,$N73)))</f>
        <v/>
      </c>
      <c r="D73" s="16">
        <f>IF($N73="","",IF(INDEX(LdAAmt,$N73)=0,"",INDEX(LdAAmt,$N73)))</f>
        <v/>
      </c>
      <c r="E73" s="16">
        <f>IF($N73="","",SUMIFS(ShareAmt,ShareLink,$C73))</f>
        <v/>
      </c>
      <c r="F73" s="33">
        <f>IF($N73="","",COUNTIF(ShareLink,$C73))</f>
        <v/>
      </c>
      <c r="G73" s="17">
        <f>IF($N73="","",IF(ROUND($E73-$D73,0)=0,"√","▲ "&amp;TEXT($D73-$E73,"#,##0")))</f>
        <v/>
      </c>
      <c r="N73">
        <f>IFERROR(MATCH($C$5&amp;"|"&amp;RIGHT("000000"&amp;57,6),LdAKeyG,0),"")</f>
        <v/>
      </c>
    </row>
    <row r="74">
      <c r="A74" s="19" t="n">
        <v>58</v>
      </c>
      <c r="B74" s="20">
        <f>IF($N74="","",INDEX(LdADate,$N74))</f>
        <v/>
      </c>
      <c r="C74" s="20">
        <f>IF($N74="","",IF(INDEX(LdAId,$N74)="","—",INDEX(LdAId,$N74)))</f>
        <v/>
      </c>
      <c r="D74" s="21">
        <f>IF($N74="","",IF(INDEX(LdAAmt,$N74)=0,"",INDEX(LdAAmt,$N74)))</f>
        <v/>
      </c>
      <c r="E74" s="21">
        <f>IF($N74="","",SUMIFS(ShareAmt,ShareLink,$C74))</f>
        <v/>
      </c>
      <c r="F74" s="34">
        <f>IF($N74="","",COUNTIF(ShareLink,$C74))</f>
        <v/>
      </c>
      <c r="G74" s="22">
        <f>IF($N74="","",IF(ROUND($E74-$D74,0)=0,"√","▲ "&amp;TEXT($D74-$E74,"#,##0")))</f>
        <v/>
      </c>
      <c r="N74">
        <f>IFERROR(MATCH($C$5&amp;"|"&amp;RIGHT("000000"&amp;58,6),LdAKeyG,0),"")</f>
        <v/>
      </c>
    </row>
    <row r="75">
      <c r="A75" s="10" t="n">
        <v>59</v>
      </c>
      <c r="B75" s="14">
        <f>IF($N75="","",INDEX(LdADate,$N75))</f>
        <v/>
      </c>
      <c r="C75" s="14">
        <f>IF($N75="","",IF(INDEX(LdAId,$N75)="","—",INDEX(LdAId,$N75)))</f>
        <v/>
      </c>
      <c r="D75" s="16">
        <f>IF($N75="","",IF(INDEX(LdAAmt,$N75)=0,"",INDEX(LdAAmt,$N75)))</f>
        <v/>
      </c>
      <c r="E75" s="16">
        <f>IF($N75="","",SUMIFS(ShareAmt,ShareLink,$C75))</f>
        <v/>
      </c>
      <c r="F75" s="33">
        <f>IF($N75="","",COUNTIF(ShareLink,$C75))</f>
        <v/>
      </c>
      <c r="G75" s="17">
        <f>IF($N75="","",IF(ROUND($E75-$D75,0)=0,"√","▲ "&amp;TEXT($D75-$E75,"#,##0")))</f>
        <v/>
      </c>
      <c r="N75">
        <f>IFERROR(MATCH($C$5&amp;"|"&amp;RIGHT("000000"&amp;59,6),LdAKeyG,0),"")</f>
        <v/>
      </c>
    </row>
    <row r="76">
      <c r="A76" s="19" t="n">
        <v>60</v>
      </c>
      <c r="B76" s="20">
        <f>IF($N76="","",INDEX(LdADate,$N76))</f>
        <v/>
      </c>
      <c r="C76" s="20">
        <f>IF($N76="","",IF(INDEX(LdAId,$N76)="","—",INDEX(LdAId,$N76)))</f>
        <v/>
      </c>
      <c r="D76" s="21">
        <f>IF($N76="","",IF(INDEX(LdAAmt,$N76)=0,"",INDEX(LdAAmt,$N76)))</f>
        <v/>
      </c>
      <c r="E76" s="21">
        <f>IF($N76="","",SUMIFS(ShareAmt,ShareLink,$C76))</f>
        <v/>
      </c>
      <c r="F76" s="34">
        <f>IF($N76="","",COUNTIF(ShareLink,$C76))</f>
        <v/>
      </c>
      <c r="G76" s="22">
        <f>IF($N76="","",IF(ROUND($E76-$D76,0)=0,"√","▲ "&amp;TEXT($D76-$E76,"#,##0")))</f>
        <v/>
      </c>
      <c r="N76">
        <f>IFERROR(MATCH($C$5&amp;"|"&amp;RIGHT("000000"&amp;60,6),LdAKeyG,0),"")</f>
        <v/>
      </c>
    </row>
    <row r="77">
      <c r="A77" s="10" t="n">
        <v>61</v>
      </c>
      <c r="B77" s="14">
        <f>IF($N77="","",INDEX(LdADate,$N77))</f>
        <v/>
      </c>
      <c r="C77" s="14">
        <f>IF($N77="","",IF(INDEX(LdAId,$N77)="","—",INDEX(LdAId,$N77)))</f>
        <v/>
      </c>
      <c r="D77" s="16">
        <f>IF($N77="","",IF(INDEX(LdAAmt,$N77)=0,"",INDEX(LdAAmt,$N77)))</f>
        <v/>
      </c>
      <c r="E77" s="16">
        <f>IF($N77="","",SUMIFS(ShareAmt,ShareLink,$C77))</f>
        <v/>
      </c>
      <c r="F77" s="33">
        <f>IF($N77="","",COUNTIF(ShareLink,$C77))</f>
        <v/>
      </c>
      <c r="G77" s="17">
        <f>IF($N77="","",IF(ROUND($E77-$D77,0)=0,"√","▲ "&amp;TEXT($D77-$E77,"#,##0")))</f>
        <v/>
      </c>
      <c r="N77">
        <f>IFERROR(MATCH($C$5&amp;"|"&amp;RIGHT("000000"&amp;61,6),LdAKeyG,0),"")</f>
        <v/>
      </c>
    </row>
    <row r="78">
      <c r="A78" s="19" t="n">
        <v>62</v>
      </c>
      <c r="B78" s="20">
        <f>IF($N78="","",INDEX(LdADate,$N78))</f>
        <v/>
      </c>
      <c r="C78" s="20">
        <f>IF($N78="","",IF(INDEX(LdAId,$N78)="","—",INDEX(LdAId,$N78)))</f>
        <v/>
      </c>
      <c r="D78" s="21">
        <f>IF($N78="","",IF(INDEX(LdAAmt,$N78)=0,"",INDEX(LdAAmt,$N78)))</f>
        <v/>
      </c>
      <c r="E78" s="21">
        <f>IF($N78="","",SUMIFS(ShareAmt,ShareLink,$C78))</f>
        <v/>
      </c>
      <c r="F78" s="34">
        <f>IF($N78="","",COUNTIF(ShareLink,$C78))</f>
        <v/>
      </c>
      <c r="G78" s="22">
        <f>IF($N78="","",IF(ROUND($E78-$D78,0)=0,"√","▲ "&amp;TEXT($D78-$E78,"#,##0")))</f>
        <v/>
      </c>
      <c r="N78">
        <f>IFERROR(MATCH($C$5&amp;"|"&amp;RIGHT("000000"&amp;62,6),LdAKeyG,0),"")</f>
        <v/>
      </c>
    </row>
    <row r="79">
      <c r="A79" s="10" t="n">
        <v>63</v>
      </c>
      <c r="B79" s="14">
        <f>IF($N79="","",INDEX(LdADate,$N79))</f>
        <v/>
      </c>
      <c r="C79" s="14">
        <f>IF($N79="","",IF(INDEX(LdAId,$N79)="","—",INDEX(LdAId,$N79)))</f>
        <v/>
      </c>
      <c r="D79" s="16">
        <f>IF($N79="","",IF(INDEX(LdAAmt,$N79)=0,"",INDEX(LdAAmt,$N79)))</f>
        <v/>
      </c>
      <c r="E79" s="16">
        <f>IF($N79="","",SUMIFS(ShareAmt,ShareLink,$C79))</f>
        <v/>
      </c>
      <c r="F79" s="33">
        <f>IF($N79="","",COUNTIF(ShareLink,$C79))</f>
        <v/>
      </c>
      <c r="G79" s="17">
        <f>IF($N79="","",IF(ROUND($E79-$D79,0)=0,"√","▲ "&amp;TEXT($D79-$E79,"#,##0")))</f>
        <v/>
      </c>
      <c r="N79">
        <f>IFERROR(MATCH($C$5&amp;"|"&amp;RIGHT("000000"&amp;63,6),LdAKeyG,0),"")</f>
        <v/>
      </c>
    </row>
    <row r="80">
      <c r="A80" s="19" t="n">
        <v>64</v>
      </c>
      <c r="B80" s="20">
        <f>IF($N80="","",INDEX(LdADate,$N80))</f>
        <v/>
      </c>
      <c r="C80" s="20">
        <f>IF($N80="","",IF(INDEX(LdAId,$N80)="","—",INDEX(LdAId,$N80)))</f>
        <v/>
      </c>
      <c r="D80" s="21">
        <f>IF($N80="","",IF(INDEX(LdAAmt,$N80)=0,"",INDEX(LdAAmt,$N80)))</f>
        <v/>
      </c>
      <c r="E80" s="21">
        <f>IF($N80="","",SUMIFS(ShareAmt,ShareLink,$C80))</f>
        <v/>
      </c>
      <c r="F80" s="34">
        <f>IF($N80="","",COUNTIF(ShareLink,$C80))</f>
        <v/>
      </c>
      <c r="G80" s="22">
        <f>IF($N80="","",IF(ROUND($E80-$D80,0)=0,"√","▲ "&amp;TEXT($D80-$E80,"#,##0")))</f>
        <v/>
      </c>
      <c r="N80">
        <f>IFERROR(MATCH($C$5&amp;"|"&amp;RIGHT("000000"&amp;64,6),LdAKeyG,0),"")</f>
        <v/>
      </c>
    </row>
    <row r="81">
      <c r="A81" s="10" t="n">
        <v>65</v>
      </c>
      <c r="B81" s="14">
        <f>IF($N81="","",INDEX(LdADate,$N81))</f>
        <v/>
      </c>
      <c r="C81" s="14">
        <f>IF($N81="","",IF(INDEX(LdAId,$N81)="","—",INDEX(LdAId,$N81)))</f>
        <v/>
      </c>
      <c r="D81" s="16">
        <f>IF($N81="","",IF(INDEX(LdAAmt,$N81)=0,"",INDEX(LdAAmt,$N81)))</f>
        <v/>
      </c>
      <c r="E81" s="16">
        <f>IF($N81="","",SUMIFS(ShareAmt,ShareLink,$C81))</f>
        <v/>
      </c>
      <c r="F81" s="33">
        <f>IF($N81="","",COUNTIF(ShareLink,$C81))</f>
        <v/>
      </c>
      <c r="G81" s="17">
        <f>IF($N81="","",IF(ROUND($E81-$D81,0)=0,"√","▲ "&amp;TEXT($D81-$E81,"#,##0")))</f>
        <v/>
      </c>
      <c r="N81">
        <f>IFERROR(MATCH($C$5&amp;"|"&amp;RIGHT("000000"&amp;65,6),LdAKeyG,0),"")</f>
        <v/>
      </c>
    </row>
    <row r="82">
      <c r="A82" s="19" t="n">
        <v>66</v>
      </c>
      <c r="B82" s="20">
        <f>IF($N82="","",INDEX(LdADate,$N82))</f>
        <v/>
      </c>
      <c r="C82" s="20">
        <f>IF($N82="","",IF(INDEX(LdAId,$N82)="","—",INDEX(LdAId,$N82)))</f>
        <v/>
      </c>
      <c r="D82" s="21">
        <f>IF($N82="","",IF(INDEX(LdAAmt,$N82)=0,"",INDEX(LdAAmt,$N82)))</f>
        <v/>
      </c>
      <c r="E82" s="21">
        <f>IF($N82="","",SUMIFS(ShareAmt,ShareLink,$C82))</f>
        <v/>
      </c>
      <c r="F82" s="34">
        <f>IF($N82="","",COUNTIF(ShareLink,$C82))</f>
        <v/>
      </c>
      <c r="G82" s="22">
        <f>IF($N82="","",IF(ROUND($E82-$D82,0)=0,"√","▲ "&amp;TEXT($D82-$E82,"#,##0")))</f>
        <v/>
      </c>
      <c r="N82">
        <f>IFERROR(MATCH($C$5&amp;"|"&amp;RIGHT("000000"&amp;66,6),LdAKeyG,0),"")</f>
        <v/>
      </c>
    </row>
    <row r="83">
      <c r="A83" s="10" t="n">
        <v>67</v>
      </c>
      <c r="B83" s="14">
        <f>IF($N83="","",INDEX(LdADate,$N83))</f>
        <v/>
      </c>
      <c r="C83" s="14">
        <f>IF($N83="","",IF(INDEX(LdAId,$N83)="","—",INDEX(LdAId,$N83)))</f>
        <v/>
      </c>
      <c r="D83" s="16">
        <f>IF($N83="","",IF(INDEX(LdAAmt,$N83)=0,"",INDEX(LdAAmt,$N83)))</f>
        <v/>
      </c>
      <c r="E83" s="16">
        <f>IF($N83="","",SUMIFS(ShareAmt,ShareLink,$C83))</f>
        <v/>
      </c>
      <c r="F83" s="33">
        <f>IF($N83="","",COUNTIF(ShareLink,$C83))</f>
        <v/>
      </c>
      <c r="G83" s="17">
        <f>IF($N83="","",IF(ROUND($E83-$D83,0)=0,"√","▲ "&amp;TEXT($D83-$E83,"#,##0")))</f>
        <v/>
      </c>
      <c r="N83">
        <f>IFERROR(MATCH($C$5&amp;"|"&amp;RIGHT("000000"&amp;67,6),LdAKeyG,0),"")</f>
        <v/>
      </c>
    </row>
    <row r="84">
      <c r="A84" s="19" t="n">
        <v>68</v>
      </c>
      <c r="B84" s="20">
        <f>IF($N84="","",INDEX(LdADate,$N84))</f>
        <v/>
      </c>
      <c r="C84" s="20">
        <f>IF($N84="","",IF(INDEX(LdAId,$N84)="","—",INDEX(LdAId,$N84)))</f>
        <v/>
      </c>
      <c r="D84" s="21">
        <f>IF($N84="","",IF(INDEX(LdAAmt,$N84)=0,"",INDEX(LdAAmt,$N84)))</f>
        <v/>
      </c>
      <c r="E84" s="21">
        <f>IF($N84="","",SUMIFS(ShareAmt,ShareLink,$C84))</f>
        <v/>
      </c>
      <c r="F84" s="34">
        <f>IF($N84="","",COUNTIF(ShareLink,$C84))</f>
        <v/>
      </c>
      <c r="G84" s="22">
        <f>IF($N84="","",IF(ROUND($E84-$D84,0)=0,"√","▲ "&amp;TEXT($D84-$E84,"#,##0")))</f>
        <v/>
      </c>
      <c r="N84">
        <f>IFERROR(MATCH($C$5&amp;"|"&amp;RIGHT("000000"&amp;68,6),LdAKeyG,0),"")</f>
        <v/>
      </c>
    </row>
    <row r="85">
      <c r="A85" s="10" t="n">
        <v>69</v>
      </c>
      <c r="B85" s="14">
        <f>IF($N85="","",INDEX(LdADate,$N85))</f>
        <v/>
      </c>
      <c r="C85" s="14">
        <f>IF($N85="","",IF(INDEX(LdAId,$N85)="","—",INDEX(LdAId,$N85)))</f>
        <v/>
      </c>
      <c r="D85" s="16">
        <f>IF($N85="","",IF(INDEX(LdAAmt,$N85)=0,"",INDEX(LdAAmt,$N85)))</f>
        <v/>
      </c>
      <c r="E85" s="16">
        <f>IF($N85="","",SUMIFS(ShareAmt,ShareLink,$C85))</f>
        <v/>
      </c>
      <c r="F85" s="33">
        <f>IF($N85="","",COUNTIF(ShareLink,$C85))</f>
        <v/>
      </c>
      <c r="G85" s="17">
        <f>IF($N85="","",IF(ROUND($E85-$D85,0)=0,"√","▲ "&amp;TEXT($D85-$E85,"#,##0")))</f>
        <v/>
      </c>
      <c r="N85">
        <f>IFERROR(MATCH($C$5&amp;"|"&amp;RIGHT("000000"&amp;69,6),LdAKeyG,0),"")</f>
        <v/>
      </c>
    </row>
    <row r="86">
      <c r="A86" s="19" t="n">
        <v>70</v>
      </c>
      <c r="B86" s="20">
        <f>IF($N86="","",INDEX(LdADate,$N86))</f>
        <v/>
      </c>
      <c r="C86" s="20">
        <f>IF($N86="","",IF(INDEX(LdAId,$N86)="","—",INDEX(LdAId,$N86)))</f>
        <v/>
      </c>
      <c r="D86" s="21">
        <f>IF($N86="","",IF(INDEX(LdAAmt,$N86)=0,"",INDEX(LdAAmt,$N86)))</f>
        <v/>
      </c>
      <c r="E86" s="21">
        <f>IF($N86="","",SUMIFS(ShareAmt,ShareLink,$C86))</f>
        <v/>
      </c>
      <c r="F86" s="34">
        <f>IF($N86="","",COUNTIF(ShareLink,$C86))</f>
        <v/>
      </c>
      <c r="G86" s="22">
        <f>IF($N86="","",IF(ROUND($E86-$D86,0)=0,"√","▲ "&amp;TEXT($D86-$E86,"#,##0")))</f>
        <v/>
      </c>
      <c r="N86">
        <f>IFERROR(MATCH($C$5&amp;"|"&amp;RIGHT("000000"&amp;70,6),LdAKeyG,0),"")</f>
        <v/>
      </c>
    </row>
    <row r="87">
      <c r="A87" s="10" t="n">
        <v>71</v>
      </c>
      <c r="B87" s="14">
        <f>IF($N87="","",INDEX(LdADate,$N87))</f>
        <v/>
      </c>
      <c r="C87" s="14">
        <f>IF($N87="","",IF(INDEX(LdAId,$N87)="","—",INDEX(LdAId,$N87)))</f>
        <v/>
      </c>
      <c r="D87" s="16">
        <f>IF($N87="","",IF(INDEX(LdAAmt,$N87)=0,"",INDEX(LdAAmt,$N87)))</f>
        <v/>
      </c>
      <c r="E87" s="16">
        <f>IF($N87="","",SUMIFS(ShareAmt,ShareLink,$C87))</f>
        <v/>
      </c>
      <c r="F87" s="33">
        <f>IF($N87="","",COUNTIF(ShareLink,$C87))</f>
        <v/>
      </c>
      <c r="G87" s="17">
        <f>IF($N87="","",IF(ROUND($E87-$D87,0)=0,"√","▲ "&amp;TEXT($D87-$E87,"#,##0")))</f>
        <v/>
      </c>
      <c r="N87">
        <f>IFERROR(MATCH($C$5&amp;"|"&amp;RIGHT("000000"&amp;71,6),LdAKeyG,0),"")</f>
        <v/>
      </c>
    </row>
    <row r="88">
      <c r="A88" s="19" t="n">
        <v>72</v>
      </c>
      <c r="B88" s="20">
        <f>IF($N88="","",INDEX(LdADate,$N88))</f>
        <v/>
      </c>
      <c r="C88" s="20">
        <f>IF($N88="","",IF(INDEX(LdAId,$N88)="","—",INDEX(LdAId,$N88)))</f>
        <v/>
      </c>
      <c r="D88" s="21">
        <f>IF($N88="","",IF(INDEX(LdAAmt,$N88)=0,"",INDEX(LdAAmt,$N88)))</f>
        <v/>
      </c>
      <c r="E88" s="21">
        <f>IF($N88="","",SUMIFS(ShareAmt,ShareLink,$C88))</f>
        <v/>
      </c>
      <c r="F88" s="34">
        <f>IF($N88="","",COUNTIF(ShareLink,$C88))</f>
        <v/>
      </c>
      <c r="G88" s="22">
        <f>IF($N88="","",IF(ROUND($E88-$D88,0)=0,"√","▲ "&amp;TEXT($D88-$E88,"#,##0")))</f>
        <v/>
      </c>
      <c r="N88">
        <f>IFERROR(MATCH($C$5&amp;"|"&amp;RIGHT("000000"&amp;72,6),LdAKeyG,0),"")</f>
        <v/>
      </c>
    </row>
    <row r="89">
      <c r="A89" s="10" t="n">
        <v>73</v>
      </c>
      <c r="B89" s="14">
        <f>IF($N89="","",INDEX(LdADate,$N89))</f>
        <v/>
      </c>
      <c r="C89" s="14">
        <f>IF($N89="","",IF(INDEX(LdAId,$N89)="","—",INDEX(LdAId,$N89)))</f>
        <v/>
      </c>
      <c r="D89" s="16">
        <f>IF($N89="","",IF(INDEX(LdAAmt,$N89)=0,"",INDEX(LdAAmt,$N89)))</f>
        <v/>
      </c>
      <c r="E89" s="16">
        <f>IF($N89="","",SUMIFS(ShareAmt,ShareLink,$C89))</f>
        <v/>
      </c>
      <c r="F89" s="33">
        <f>IF($N89="","",COUNTIF(ShareLink,$C89))</f>
        <v/>
      </c>
      <c r="G89" s="17">
        <f>IF($N89="","",IF(ROUND($E89-$D89,0)=0,"√","▲ "&amp;TEXT($D89-$E89,"#,##0")))</f>
        <v/>
      </c>
      <c r="N89">
        <f>IFERROR(MATCH($C$5&amp;"|"&amp;RIGHT("000000"&amp;73,6),LdAKeyG,0),"")</f>
        <v/>
      </c>
    </row>
    <row r="90">
      <c r="A90" s="19" t="n">
        <v>74</v>
      </c>
      <c r="B90" s="20">
        <f>IF($N90="","",INDEX(LdADate,$N90))</f>
        <v/>
      </c>
      <c r="C90" s="20">
        <f>IF($N90="","",IF(INDEX(LdAId,$N90)="","—",INDEX(LdAId,$N90)))</f>
        <v/>
      </c>
      <c r="D90" s="21">
        <f>IF($N90="","",IF(INDEX(LdAAmt,$N90)=0,"",INDEX(LdAAmt,$N90)))</f>
        <v/>
      </c>
      <c r="E90" s="21">
        <f>IF($N90="","",SUMIFS(ShareAmt,ShareLink,$C90))</f>
        <v/>
      </c>
      <c r="F90" s="34">
        <f>IF($N90="","",COUNTIF(ShareLink,$C90))</f>
        <v/>
      </c>
      <c r="G90" s="22">
        <f>IF($N90="","",IF(ROUND($E90-$D90,0)=0,"√","▲ "&amp;TEXT($D90-$E90,"#,##0")))</f>
        <v/>
      </c>
      <c r="N90">
        <f>IFERROR(MATCH($C$5&amp;"|"&amp;RIGHT("000000"&amp;74,6),LdAKeyG,0),"")</f>
        <v/>
      </c>
    </row>
    <row r="91">
      <c r="A91" s="10" t="n">
        <v>75</v>
      </c>
      <c r="B91" s="14">
        <f>IF($N91="","",INDEX(LdADate,$N91))</f>
        <v/>
      </c>
      <c r="C91" s="14">
        <f>IF($N91="","",IF(INDEX(LdAId,$N91)="","—",INDEX(LdAId,$N91)))</f>
        <v/>
      </c>
      <c r="D91" s="16">
        <f>IF($N91="","",IF(INDEX(LdAAmt,$N91)=0,"",INDEX(LdAAmt,$N91)))</f>
        <v/>
      </c>
      <c r="E91" s="16">
        <f>IF($N91="","",SUMIFS(ShareAmt,ShareLink,$C91))</f>
        <v/>
      </c>
      <c r="F91" s="33">
        <f>IF($N91="","",COUNTIF(ShareLink,$C91))</f>
        <v/>
      </c>
      <c r="G91" s="17">
        <f>IF($N91="","",IF(ROUND($E91-$D91,0)=0,"√","▲ "&amp;TEXT($D91-$E91,"#,##0")))</f>
        <v/>
      </c>
      <c r="N91">
        <f>IFERROR(MATCH($C$5&amp;"|"&amp;RIGHT("000000"&amp;75,6),LdAKeyG,0),"")</f>
        <v/>
      </c>
    </row>
    <row r="92">
      <c r="A92" s="19" t="n">
        <v>76</v>
      </c>
      <c r="B92" s="20">
        <f>IF($N92="","",INDEX(LdADate,$N92))</f>
        <v/>
      </c>
      <c r="C92" s="20">
        <f>IF($N92="","",IF(INDEX(LdAId,$N92)="","—",INDEX(LdAId,$N92)))</f>
        <v/>
      </c>
      <c r="D92" s="21">
        <f>IF($N92="","",IF(INDEX(LdAAmt,$N92)=0,"",INDEX(LdAAmt,$N92)))</f>
        <v/>
      </c>
      <c r="E92" s="21">
        <f>IF($N92="","",SUMIFS(ShareAmt,ShareLink,$C92))</f>
        <v/>
      </c>
      <c r="F92" s="34">
        <f>IF($N92="","",COUNTIF(ShareLink,$C92))</f>
        <v/>
      </c>
      <c r="G92" s="22">
        <f>IF($N92="","",IF(ROUND($E92-$D92,0)=0,"√","▲ "&amp;TEXT($D92-$E92,"#,##0")))</f>
        <v/>
      </c>
      <c r="N92">
        <f>IFERROR(MATCH($C$5&amp;"|"&amp;RIGHT("000000"&amp;76,6),LdAKeyG,0),"")</f>
        <v/>
      </c>
    </row>
    <row r="93">
      <c r="A93" s="10" t="n">
        <v>77</v>
      </c>
      <c r="B93" s="14">
        <f>IF($N93="","",INDEX(LdADate,$N93))</f>
        <v/>
      </c>
      <c r="C93" s="14">
        <f>IF($N93="","",IF(INDEX(LdAId,$N93)="","—",INDEX(LdAId,$N93)))</f>
        <v/>
      </c>
      <c r="D93" s="16">
        <f>IF($N93="","",IF(INDEX(LdAAmt,$N93)=0,"",INDEX(LdAAmt,$N93)))</f>
        <v/>
      </c>
      <c r="E93" s="16">
        <f>IF($N93="","",SUMIFS(ShareAmt,ShareLink,$C93))</f>
        <v/>
      </c>
      <c r="F93" s="33">
        <f>IF($N93="","",COUNTIF(ShareLink,$C93))</f>
        <v/>
      </c>
      <c r="G93" s="17">
        <f>IF($N93="","",IF(ROUND($E93-$D93,0)=0,"√","▲ "&amp;TEXT($D93-$E93,"#,##0")))</f>
        <v/>
      </c>
      <c r="N93">
        <f>IFERROR(MATCH($C$5&amp;"|"&amp;RIGHT("000000"&amp;77,6),LdAKeyG,0),"")</f>
        <v/>
      </c>
    </row>
    <row r="94">
      <c r="A94" s="19" t="n">
        <v>78</v>
      </c>
      <c r="B94" s="20">
        <f>IF($N94="","",INDEX(LdADate,$N94))</f>
        <v/>
      </c>
      <c r="C94" s="20">
        <f>IF($N94="","",IF(INDEX(LdAId,$N94)="","—",INDEX(LdAId,$N94)))</f>
        <v/>
      </c>
      <c r="D94" s="21">
        <f>IF($N94="","",IF(INDEX(LdAAmt,$N94)=0,"",INDEX(LdAAmt,$N94)))</f>
        <v/>
      </c>
      <c r="E94" s="21">
        <f>IF($N94="","",SUMIFS(ShareAmt,ShareLink,$C94))</f>
        <v/>
      </c>
      <c r="F94" s="34">
        <f>IF($N94="","",COUNTIF(ShareLink,$C94))</f>
        <v/>
      </c>
      <c r="G94" s="22">
        <f>IF($N94="","",IF(ROUND($E94-$D94,0)=0,"√","▲ "&amp;TEXT($D94-$E94,"#,##0")))</f>
        <v/>
      </c>
      <c r="N94">
        <f>IFERROR(MATCH($C$5&amp;"|"&amp;RIGHT("000000"&amp;78,6),LdAKeyG,0),"")</f>
        <v/>
      </c>
    </row>
    <row r="95">
      <c r="A95" s="10" t="n">
        <v>79</v>
      </c>
      <c r="B95" s="14">
        <f>IF($N95="","",INDEX(LdADate,$N95))</f>
        <v/>
      </c>
      <c r="C95" s="14">
        <f>IF($N95="","",IF(INDEX(LdAId,$N95)="","—",INDEX(LdAId,$N95)))</f>
        <v/>
      </c>
      <c r="D95" s="16">
        <f>IF($N95="","",IF(INDEX(LdAAmt,$N95)=0,"",INDEX(LdAAmt,$N95)))</f>
        <v/>
      </c>
      <c r="E95" s="16">
        <f>IF($N95="","",SUMIFS(ShareAmt,ShareLink,$C95))</f>
        <v/>
      </c>
      <c r="F95" s="33">
        <f>IF($N95="","",COUNTIF(ShareLink,$C95))</f>
        <v/>
      </c>
      <c r="G95" s="17">
        <f>IF($N95="","",IF(ROUND($E95-$D95,0)=0,"√","▲ "&amp;TEXT($D95-$E95,"#,##0")))</f>
        <v/>
      </c>
      <c r="N95">
        <f>IFERROR(MATCH($C$5&amp;"|"&amp;RIGHT("000000"&amp;79,6),LdAKeyG,0),"")</f>
        <v/>
      </c>
    </row>
    <row r="96">
      <c r="A96" s="19" t="n">
        <v>80</v>
      </c>
      <c r="B96" s="20">
        <f>IF($N96="","",INDEX(LdADate,$N96))</f>
        <v/>
      </c>
      <c r="C96" s="20">
        <f>IF($N96="","",IF(INDEX(LdAId,$N96)="","—",INDEX(LdAId,$N96)))</f>
        <v/>
      </c>
      <c r="D96" s="21">
        <f>IF($N96="","",IF(INDEX(LdAAmt,$N96)=0,"",INDEX(LdAAmt,$N96)))</f>
        <v/>
      </c>
      <c r="E96" s="21">
        <f>IF($N96="","",SUMIFS(ShareAmt,ShareLink,$C96))</f>
        <v/>
      </c>
      <c r="F96" s="34">
        <f>IF($N96="","",COUNTIF(ShareLink,$C96))</f>
        <v/>
      </c>
      <c r="G96" s="22">
        <f>IF($N96="","",IF(ROUND($E96-$D96,0)=0,"√","▲ "&amp;TEXT($D96-$E96,"#,##0")))</f>
        <v/>
      </c>
      <c r="N96">
        <f>IFERROR(MATCH($C$5&amp;"|"&amp;RIGHT("000000"&amp;80,6),LdAKeyG,0),"")</f>
        <v/>
      </c>
    </row>
    <row r="97">
      <c r="A97" s="10" t="n">
        <v>81</v>
      </c>
      <c r="B97" s="14">
        <f>IF($N97="","",INDEX(LdADate,$N97))</f>
        <v/>
      </c>
      <c r="C97" s="14">
        <f>IF($N97="","",IF(INDEX(LdAId,$N97)="","—",INDEX(LdAId,$N97)))</f>
        <v/>
      </c>
      <c r="D97" s="16">
        <f>IF($N97="","",IF(INDEX(LdAAmt,$N97)=0,"",INDEX(LdAAmt,$N97)))</f>
        <v/>
      </c>
      <c r="E97" s="16">
        <f>IF($N97="","",SUMIFS(ShareAmt,ShareLink,$C97))</f>
        <v/>
      </c>
      <c r="F97" s="33">
        <f>IF($N97="","",COUNTIF(ShareLink,$C97))</f>
        <v/>
      </c>
      <c r="G97" s="17">
        <f>IF($N97="","",IF(ROUND($E97-$D97,0)=0,"√","▲ "&amp;TEXT($D97-$E97,"#,##0")))</f>
        <v/>
      </c>
      <c r="N97">
        <f>IFERROR(MATCH($C$5&amp;"|"&amp;RIGHT("000000"&amp;81,6),LdAKeyG,0),"")</f>
        <v/>
      </c>
    </row>
    <row r="98">
      <c r="A98" s="19" t="n">
        <v>82</v>
      </c>
      <c r="B98" s="20">
        <f>IF($N98="","",INDEX(LdADate,$N98))</f>
        <v/>
      </c>
      <c r="C98" s="20">
        <f>IF($N98="","",IF(INDEX(LdAId,$N98)="","—",INDEX(LdAId,$N98)))</f>
        <v/>
      </c>
      <c r="D98" s="21">
        <f>IF($N98="","",IF(INDEX(LdAAmt,$N98)=0,"",INDEX(LdAAmt,$N98)))</f>
        <v/>
      </c>
      <c r="E98" s="21">
        <f>IF($N98="","",SUMIFS(ShareAmt,ShareLink,$C98))</f>
        <v/>
      </c>
      <c r="F98" s="34">
        <f>IF($N98="","",COUNTIF(ShareLink,$C98))</f>
        <v/>
      </c>
      <c r="G98" s="22">
        <f>IF($N98="","",IF(ROUND($E98-$D98,0)=0,"√","▲ "&amp;TEXT($D98-$E98,"#,##0")))</f>
        <v/>
      </c>
      <c r="N98">
        <f>IFERROR(MATCH($C$5&amp;"|"&amp;RIGHT("000000"&amp;82,6),LdAKeyG,0),"")</f>
        <v/>
      </c>
    </row>
    <row r="99">
      <c r="A99" s="10" t="n">
        <v>83</v>
      </c>
      <c r="B99" s="14">
        <f>IF($N99="","",INDEX(LdADate,$N99))</f>
        <v/>
      </c>
      <c r="C99" s="14">
        <f>IF($N99="","",IF(INDEX(LdAId,$N99)="","—",INDEX(LdAId,$N99)))</f>
        <v/>
      </c>
      <c r="D99" s="16">
        <f>IF($N99="","",IF(INDEX(LdAAmt,$N99)=0,"",INDEX(LdAAmt,$N99)))</f>
        <v/>
      </c>
      <c r="E99" s="16">
        <f>IF($N99="","",SUMIFS(ShareAmt,ShareLink,$C99))</f>
        <v/>
      </c>
      <c r="F99" s="33">
        <f>IF($N99="","",COUNTIF(ShareLink,$C99))</f>
        <v/>
      </c>
      <c r="G99" s="17">
        <f>IF($N99="","",IF(ROUND($E99-$D99,0)=0,"√","▲ "&amp;TEXT($D99-$E99,"#,##0")))</f>
        <v/>
      </c>
      <c r="N99">
        <f>IFERROR(MATCH($C$5&amp;"|"&amp;RIGHT("000000"&amp;83,6),LdAKeyG,0),"")</f>
        <v/>
      </c>
    </row>
    <row r="100">
      <c r="A100" s="19" t="n">
        <v>84</v>
      </c>
      <c r="B100" s="20">
        <f>IF($N100="","",INDEX(LdADate,$N100))</f>
        <v/>
      </c>
      <c r="C100" s="20">
        <f>IF($N100="","",IF(INDEX(LdAId,$N100)="","—",INDEX(LdAId,$N100)))</f>
        <v/>
      </c>
      <c r="D100" s="21">
        <f>IF($N100="","",IF(INDEX(LdAAmt,$N100)=0,"",INDEX(LdAAmt,$N100)))</f>
        <v/>
      </c>
      <c r="E100" s="21">
        <f>IF($N100="","",SUMIFS(ShareAmt,ShareLink,$C100))</f>
        <v/>
      </c>
      <c r="F100" s="34">
        <f>IF($N100="","",COUNTIF(ShareLink,$C100))</f>
        <v/>
      </c>
      <c r="G100" s="22">
        <f>IF($N100="","",IF(ROUND($E100-$D100,0)=0,"√","▲ "&amp;TEXT($D100-$E100,"#,##0")))</f>
        <v/>
      </c>
      <c r="N100">
        <f>IFERROR(MATCH($C$5&amp;"|"&amp;RIGHT("000000"&amp;84,6),LdAKeyG,0),"")</f>
        <v/>
      </c>
    </row>
    <row r="101">
      <c r="A101" s="10" t="n">
        <v>85</v>
      </c>
      <c r="B101" s="14">
        <f>IF($N101="","",INDEX(LdADate,$N101))</f>
        <v/>
      </c>
      <c r="C101" s="14">
        <f>IF($N101="","",IF(INDEX(LdAId,$N101)="","—",INDEX(LdAId,$N101)))</f>
        <v/>
      </c>
      <c r="D101" s="16">
        <f>IF($N101="","",IF(INDEX(LdAAmt,$N101)=0,"",INDEX(LdAAmt,$N101)))</f>
        <v/>
      </c>
      <c r="E101" s="16">
        <f>IF($N101="","",SUMIFS(ShareAmt,ShareLink,$C101))</f>
        <v/>
      </c>
      <c r="F101" s="33">
        <f>IF($N101="","",COUNTIF(ShareLink,$C101))</f>
        <v/>
      </c>
      <c r="G101" s="17">
        <f>IF($N101="","",IF(ROUND($E101-$D101,0)=0,"√","▲ "&amp;TEXT($D101-$E101,"#,##0")))</f>
        <v/>
      </c>
      <c r="N101">
        <f>IFERROR(MATCH($C$5&amp;"|"&amp;RIGHT("000000"&amp;85,6),LdAKeyG,0),"")</f>
        <v/>
      </c>
    </row>
    <row r="102">
      <c r="A102" s="19" t="n">
        <v>86</v>
      </c>
      <c r="B102" s="20">
        <f>IF($N102="","",INDEX(LdADate,$N102))</f>
        <v/>
      </c>
      <c r="C102" s="20">
        <f>IF($N102="","",IF(INDEX(LdAId,$N102)="","—",INDEX(LdAId,$N102)))</f>
        <v/>
      </c>
      <c r="D102" s="21">
        <f>IF($N102="","",IF(INDEX(LdAAmt,$N102)=0,"",INDEX(LdAAmt,$N102)))</f>
        <v/>
      </c>
      <c r="E102" s="21">
        <f>IF($N102="","",SUMIFS(ShareAmt,ShareLink,$C102))</f>
        <v/>
      </c>
      <c r="F102" s="34">
        <f>IF($N102="","",COUNTIF(ShareLink,$C102))</f>
        <v/>
      </c>
      <c r="G102" s="22">
        <f>IF($N102="","",IF(ROUND($E102-$D102,0)=0,"√","▲ "&amp;TEXT($D102-$E102,"#,##0")))</f>
        <v/>
      </c>
      <c r="N102">
        <f>IFERROR(MATCH($C$5&amp;"|"&amp;RIGHT("000000"&amp;86,6),LdAKeyG,0),"")</f>
        <v/>
      </c>
    </row>
    <row r="103">
      <c r="A103" s="10" t="n">
        <v>87</v>
      </c>
      <c r="B103" s="14">
        <f>IF($N103="","",INDEX(LdADate,$N103))</f>
        <v/>
      </c>
      <c r="C103" s="14">
        <f>IF($N103="","",IF(INDEX(LdAId,$N103)="","—",INDEX(LdAId,$N103)))</f>
        <v/>
      </c>
      <c r="D103" s="16">
        <f>IF($N103="","",IF(INDEX(LdAAmt,$N103)=0,"",INDEX(LdAAmt,$N103)))</f>
        <v/>
      </c>
      <c r="E103" s="16">
        <f>IF($N103="","",SUMIFS(ShareAmt,ShareLink,$C103))</f>
        <v/>
      </c>
      <c r="F103" s="33">
        <f>IF($N103="","",COUNTIF(ShareLink,$C103))</f>
        <v/>
      </c>
      <c r="G103" s="17">
        <f>IF($N103="","",IF(ROUND($E103-$D103,0)=0,"√","▲ "&amp;TEXT($D103-$E103,"#,##0")))</f>
        <v/>
      </c>
      <c r="N103">
        <f>IFERROR(MATCH($C$5&amp;"|"&amp;RIGHT("000000"&amp;87,6),LdAKeyG,0),"")</f>
        <v/>
      </c>
    </row>
    <row r="104">
      <c r="A104" s="19" t="n">
        <v>88</v>
      </c>
      <c r="B104" s="20">
        <f>IF($N104="","",INDEX(LdADate,$N104))</f>
        <v/>
      </c>
      <c r="C104" s="20">
        <f>IF($N104="","",IF(INDEX(LdAId,$N104)="","—",INDEX(LdAId,$N104)))</f>
        <v/>
      </c>
      <c r="D104" s="21">
        <f>IF($N104="","",IF(INDEX(LdAAmt,$N104)=0,"",INDEX(LdAAmt,$N104)))</f>
        <v/>
      </c>
      <c r="E104" s="21">
        <f>IF($N104="","",SUMIFS(ShareAmt,ShareLink,$C104))</f>
        <v/>
      </c>
      <c r="F104" s="34">
        <f>IF($N104="","",COUNTIF(ShareLink,$C104))</f>
        <v/>
      </c>
      <c r="G104" s="22">
        <f>IF($N104="","",IF(ROUND($E104-$D104,0)=0,"√","▲ "&amp;TEXT($D104-$E104,"#,##0")))</f>
        <v/>
      </c>
      <c r="N104">
        <f>IFERROR(MATCH($C$5&amp;"|"&amp;RIGHT("000000"&amp;88,6),LdAKeyG,0),"")</f>
        <v/>
      </c>
    </row>
    <row r="105">
      <c r="A105" s="10" t="n">
        <v>89</v>
      </c>
      <c r="B105" s="14">
        <f>IF($N105="","",INDEX(LdADate,$N105))</f>
        <v/>
      </c>
      <c r="C105" s="14">
        <f>IF($N105="","",IF(INDEX(LdAId,$N105)="","—",INDEX(LdAId,$N105)))</f>
        <v/>
      </c>
      <c r="D105" s="16">
        <f>IF($N105="","",IF(INDEX(LdAAmt,$N105)=0,"",INDEX(LdAAmt,$N105)))</f>
        <v/>
      </c>
      <c r="E105" s="16">
        <f>IF($N105="","",SUMIFS(ShareAmt,ShareLink,$C105))</f>
        <v/>
      </c>
      <c r="F105" s="33">
        <f>IF($N105="","",COUNTIF(ShareLink,$C105))</f>
        <v/>
      </c>
      <c r="G105" s="17">
        <f>IF($N105="","",IF(ROUND($E105-$D105,0)=0,"√","▲ "&amp;TEXT($D105-$E105,"#,##0")))</f>
        <v/>
      </c>
      <c r="N105">
        <f>IFERROR(MATCH($C$5&amp;"|"&amp;RIGHT("000000"&amp;89,6),LdAKeyG,0),"")</f>
        <v/>
      </c>
    </row>
    <row r="106">
      <c r="A106" s="19" t="n">
        <v>90</v>
      </c>
      <c r="B106" s="20">
        <f>IF($N106="","",INDEX(LdADate,$N106))</f>
        <v/>
      </c>
      <c r="C106" s="20">
        <f>IF($N106="","",IF(INDEX(LdAId,$N106)="","—",INDEX(LdAId,$N106)))</f>
        <v/>
      </c>
      <c r="D106" s="21">
        <f>IF($N106="","",IF(INDEX(LdAAmt,$N106)=0,"",INDEX(LdAAmt,$N106)))</f>
        <v/>
      </c>
      <c r="E106" s="21">
        <f>IF($N106="","",SUMIFS(ShareAmt,ShareLink,$C106))</f>
        <v/>
      </c>
      <c r="F106" s="34">
        <f>IF($N106="","",COUNTIF(ShareLink,$C106))</f>
        <v/>
      </c>
      <c r="G106" s="22">
        <f>IF($N106="","",IF(ROUND($E106-$D106,0)=0,"√","▲ "&amp;TEXT($D106-$E106,"#,##0")))</f>
        <v/>
      </c>
      <c r="N106">
        <f>IFERROR(MATCH($C$5&amp;"|"&amp;RIGHT("000000"&amp;90,6),LdAKeyG,0),"")</f>
        <v/>
      </c>
    </row>
    <row r="107">
      <c r="A107" s="10" t="n">
        <v>91</v>
      </c>
      <c r="B107" s="14">
        <f>IF($N107="","",INDEX(LdADate,$N107))</f>
        <v/>
      </c>
      <c r="C107" s="14">
        <f>IF($N107="","",IF(INDEX(LdAId,$N107)="","—",INDEX(LdAId,$N107)))</f>
        <v/>
      </c>
      <c r="D107" s="16">
        <f>IF($N107="","",IF(INDEX(LdAAmt,$N107)=0,"",INDEX(LdAAmt,$N107)))</f>
        <v/>
      </c>
      <c r="E107" s="16">
        <f>IF($N107="","",SUMIFS(ShareAmt,ShareLink,$C107))</f>
        <v/>
      </c>
      <c r="F107" s="33">
        <f>IF($N107="","",COUNTIF(ShareLink,$C107))</f>
        <v/>
      </c>
      <c r="G107" s="17">
        <f>IF($N107="","",IF(ROUND($E107-$D107,0)=0,"√","▲ "&amp;TEXT($D107-$E107,"#,##0")))</f>
        <v/>
      </c>
      <c r="N107">
        <f>IFERROR(MATCH($C$5&amp;"|"&amp;RIGHT("000000"&amp;91,6),LdAKeyG,0),"")</f>
        <v/>
      </c>
    </row>
    <row r="108">
      <c r="A108" s="19" t="n">
        <v>92</v>
      </c>
      <c r="B108" s="20">
        <f>IF($N108="","",INDEX(LdADate,$N108))</f>
        <v/>
      </c>
      <c r="C108" s="20">
        <f>IF($N108="","",IF(INDEX(LdAId,$N108)="","—",INDEX(LdAId,$N108)))</f>
        <v/>
      </c>
      <c r="D108" s="21">
        <f>IF($N108="","",IF(INDEX(LdAAmt,$N108)=0,"",INDEX(LdAAmt,$N108)))</f>
        <v/>
      </c>
      <c r="E108" s="21">
        <f>IF($N108="","",SUMIFS(ShareAmt,ShareLink,$C108))</f>
        <v/>
      </c>
      <c r="F108" s="34">
        <f>IF($N108="","",COUNTIF(ShareLink,$C108))</f>
        <v/>
      </c>
      <c r="G108" s="22">
        <f>IF($N108="","",IF(ROUND($E108-$D108,0)=0,"√","▲ "&amp;TEXT($D108-$E108,"#,##0")))</f>
        <v/>
      </c>
      <c r="N108">
        <f>IFERROR(MATCH($C$5&amp;"|"&amp;RIGHT("000000"&amp;92,6),LdAKeyG,0),"")</f>
        <v/>
      </c>
    </row>
    <row r="109">
      <c r="A109" s="10" t="n">
        <v>93</v>
      </c>
      <c r="B109" s="14">
        <f>IF($N109="","",INDEX(LdADate,$N109))</f>
        <v/>
      </c>
      <c r="C109" s="14">
        <f>IF($N109="","",IF(INDEX(LdAId,$N109)="","—",INDEX(LdAId,$N109)))</f>
        <v/>
      </c>
      <c r="D109" s="16">
        <f>IF($N109="","",IF(INDEX(LdAAmt,$N109)=0,"",INDEX(LdAAmt,$N109)))</f>
        <v/>
      </c>
      <c r="E109" s="16">
        <f>IF($N109="","",SUMIFS(ShareAmt,ShareLink,$C109))</f>
        <v/>
      </c>
      <c r="F109" s="33">
        <f>IF($N109="","",COUNTIF(ShareLink,$C109))</f>
        <v/>
      </c>
      <c r="G109" s="17">
        <f>IF($N109="","",IF(ROUND($E109-$D109,0)=0,"√","▲ "&amp;TEXT($D109-$E109,"#,##0")))</f>
        <v/>
      </c>
      <c r="N109">
        <f>IFERROR(MATCH($C$5&amp;"|"&amp;RIGHT("000000"&amp;93,6),LdAKeyG,0),"")</f>
        <v/>
      </c>
    </row>
    <row r="110">
      <c r="A110" s="19" t="n">
        <v>94</v>
      </c>
      <c r="B110" s="20">
        <f>IF($N110="","",INDEX(LdADate,$N110))</f>
        <v/>
      </c>
      <c r="C110" s="20">
        <f>IF($N110="","",IF(INDEX(LdAId,$N110)="","—",INDEX(LdAId,$N110)))</f>
        <v/>
      </c>
      <c r="D110" s="21">
        <f>IF($N110="","",IF(INDEX(LdAAmt,$N110)=0,"",INDEX(LdAAmt,$N110)))</f>
        <v/>
      </c>
      <c r="E110" s="21">
        <f>IF($N110="","",SUMIFS(ShareAmt,ShareLink,$C110))</f>
        <v/>
      </c>
      <c r="F110" s="34">
        <f>IF($N110="","",COUNTIF(ShareLink,$C110))</f>
        <v/>
      </c>
      <c r="G110" s="22">
        <f>IF($N110="","",IF(ROUND($E110-$D110,0)=0,"√","▲ "&amp;TEXT($D110-$E110,"#,##0")))</f>
        <v/>
      </c>
      <c r="N110">
        <f>IFERROR(MATCH($C$5&amp;"|"&amp;RIGHT("000000"&amp;94,6),LdAKeyG,0),"")</f>
        <v/>
      </c>
    </row>
    <row r="111">
      <c r="A111" s="10" t="n">
        <v>95</v>
      </c>
      <c r="B111" s="14">
        <f>IF($N111="","",INDEX(LdADate,$N111))</f>
        <v/>
      </c>
      <c r="C111" s="14">
        <f>IF($N111="","",IF(INDEX(LdAId,$N111)="","—",INDEX(LdAId,$N111)))</f>
        <v/>
      </c>
      <c r="D111" s="16">
        <f>IF($N111="","",IF(INDEX(LdAAmt,$N111)=0,"",INDEX(LdAAmt,$N111)))</f>
        <v/>
      </c>
      <c r="E111" s="16">
        <f>IF($N111="","",SUMIFS(ShareAmt,ShareLink,$C111))</f>
        <v/>
      </c>
      <c r="F111" s="33">
        <f>IF($N111="","",COUNTIF(ShareLink,$C111))</f>
        <v/>
      </c>
      <c r="G111" s="17">
        <f>IF($N111="","",IF(ROUND($E111-$D111,0)=0,"√","▲ "&amp;TEXT($D111-$E111,"#,##0")))</f>
        <v/>
      </c>
      <c r="N111">
        <f>IFERROR(MATCH($C$5&amp;"|"&amp;RIGHT("000000"&amp;95,6),LdAKeyG,0),"")</f>
        <v/>
      </c>
    </row>
    <row r="112">
      <c r="A112" s="19" t="n">
        <v>96</v>
      </c>
      <c r="B112" s="20">
        <f>IF($N112="","",INDEX(LdADate,$N112))</f>
        <v/>
      </c>
      <c r="C112" s="20">
        <f>IF($N112="","",IF(INDEX(LdAId,$N112)="","—",INDEX(LdAId,$N112)))</f>
        <v/>
      </c>
      <c r="D112" s="21">
        <f>IF($N112="","",IF(INDEX(LdAAmt,$N112)=0,"",INDEX(LdAAmt,$N112)))</f>
        <v/>
      </c>
      <c r="E112" s="21">
        <f>IF($N112="","",SUMIFS(ShareAmt,ShareLink,$C112))</f>
        <v/>
      </c>
      <c r="F112" s="34">
        <f>IF($N112="","",COUNTIF(ShareLink,$C112))</f>
        <v/>
      </c>
      <c r="G112" s="22">
        <f>IF($N112="","",IF(ROUND($E112-$D112,0)=0,"√","▲ "&amp;TEXT($D112-$E112,"#,##0")))</f>
        <v/>
      </c>
      <c r="N112">
        <f>IFERROR(MATCH($C$5&amp;"|"&amp;RIGHT("000000"&amp;96,6),LdAKeyG,0),"")</f>
        <v/>
      </c>
    </row>
    <row r="113">
      <c r="A113" s="10" t="n">
        <v>97</v>
      </c>
      <c r="B113" s="14">
        <f>IF($N113="","",INDEX(LdADate,$N113))</f>
        <v/>
      </c>
      <c r="C113" s="14">
        <f>IF($N113="","",IF(INDEX(LdAId,$N113)="","—",INDEX(LdAId,$N113)))</f>
        <v/>
      </c>
      <c r="D113" s="16">
        <f>IF($N113="","",IF(INDEX(LdAAmt,$N113)=0,"",INDEX(LdAAmt,$N113)))</f>
        <v/>
      </c>
      <c r="E113" s="16">
        <f>IF($N113="","",SUMIFS(ShareAmt,ShareLink,$C113))</f>
        <v/>
      </c>
      <c r="F113" s="33">
        <f>IF($N113="","",COUNTIF(ShareLink,$C113))</f>
        <v/>
      </c>
      <c r="G113" s="17">
        <f>IF($N113="","",IF(ROUND($E113-$D113,0)=0,"√","▲ "&amp;TEXT($D113-$E113,"#,##0")))</f>
        <v/>
      </c>
      <c r="N113">
        <f>IFERROR(MATCH($C$5&amp;"|"&amp;RIGHT("000000"&amp;97,6),LdAKeyG,0),"")</f>
        <v/>
      </c>
    </row>
    <row r="114">
      <c r="A114" s="19" t="n">
        <v>98</v>
      </c>
      <c r="B114" s="20">
        <f>IF($N114="","",INDEX(LdADate,$N114))</f>
        <v/>
      </c>
      <c r="C114" s="20">
        <f>IF($N114="","",IF(INDEX(LdAId,$N114)="","—",INDEX(LdAId,$N114)))</f>
        <v/>
      </c>
      <c r="D114" s="21">
        <f>IF($N114="","",IF(INDEX(LdAAmt,$N114)=0,"",INDEX(LdAAmt,$N114)))</f>
        <v/>
      </c>
      <c r="E114" s="21">
        <f>IF($N114="","",SUMIFS(ShareAmt,ShareLink,$C114))</f>
        <v/>
      </c>
      <c r="F114" s="34">
        <f>IF($N114="","",COUNTIF(ShareLink,$C114))</f>
        <v/>
      </c>
      <c r="G114" s="22">
        <f>IF($N114="","",IF(ROUND($E114-$D114,0)=0,"√","▲ "&amp;TEXT($D114-$E114,"#,##0")))</f>
        <v/>
      </c>
      <c r="N114">
        <f>IFERROR(MATCH($C$5&amp;"|"&amp;RIGHT("000000"&amp;98,6),LdAKeyG,0),"")</f>
        <v/>
      </c>
    </row>
    <row r="115">
      <c r="A115" s="10" t="n">
        <v>99</v>
      </c>
      <c r="B115" s="14">
        <f>IF($N115="","",INDEX(LdADate,$N115))</f>
        <v/>
      </c>
      <c r="C115" s="14">
        <f>IF($N115="","",IF(INDEX(LdAId,$N115)="","—",INDEX(LdAId,$N115)))</f>
        <v/>
      </c>
      <c r="D115" s="16">
        <f>IF($N115="","",IF(INDEX(LdAAmt,$N115)=0,"",INDEX(LdAAmt,$N115)))</f>
        <v/>
      </c>
      <c r="E115" s="16">
        <f>IF($N115="","",SUMIFS(ShareAmt,ShareLink,$C115))</f>
        <v/>
      </c>
      <c r="F115" s="33">
        <f>IF($N115="","",COUNTIF(ShareLink,$C115))</f>
        <v/>
      </c>
      <c r="G115" s="17">
        <f>IF($N115="","",IF(ROUND($E115-$D115,0)=0,"√","▲ "&amp;TEXT($D115-$E115,"#,##0")))</f>
        <v/>
      </c>
      <c r="N115">
        <f>IFERROR(MATCH($C$5&amp;"|"&amp;RIGHT("000000"&amp;99,6),LdAKeyG,0),"")</f>
        <v/>
      </c>
    </row>
    <row r="116">
      <c r="A116" s="19" t="n">
        <v>100</v>
      </c>
      <c r="B116" s="20">
        <f>IF($N116="","",INDEX(LdADate,$N116))</f>
        <v/>
      </c>
      <c r="C116" s="20">
        <f>IF($N116="","",IF(INDEX(LdAId,$N116)="","—",INDEX(LdAId,$N116)))</f>
        <v/>
      </c>
      <c r="D116" s="21">
        <f>IF($N116="","",IF(INDEX(LdAAmt,$N116)=0,"",INDEX(LdAAmt,$N116)))</f>
        <v/>
      </c>
      <c r="E116" s="21">
        <f>IF($N116="","",SUMIFS(ShareAmt,ShareLink,$C116))</f>
        <v/>
      </c>
      <c r="F116" s="34">
        <f>IF($N116="","",COUNTIF(ShareLink,$C116))</f>
        <v/>
      </c>
      <c r="G116" s="22">
        <f>IF($N116="","",IF(ROUND($E116-$D116,0)=0,"√","▲ "&amp;TEXT($D116-$E116,"#,##0")))</f>
        <v/>
      </c>
      <c r="N116">
        <f>IFERROR(MATCH($C$5&amp;"|"&amp;RIGHT("000000"&amp;100,6),LdAKeyG,0),"")</f>
        <v/>
      </c>
    </row>
    <row r="117">
      <c r="A117" s="10" t="n">
        <v>101</v>
      </c>
      <c r="B117" s="14">
        <f>IF($N117="","",INDEX(LdADate,$N117))</f>
        <v/>
      </c>
      <c r="C117" s="14">
        <f>IF($N117="","",IF(INDEX(LdAId,$N117)="","—",INDEX(LdAId,$N117)))</f>
        <v/>
      </c>
      <c r="D117" s="16">
        <f>IF($N117="","",IF(INDEX(LdAAmt,$N117)=0,"",INDEX(LdAAmt,$N117)))</f>
        <v/>
      </c>
      <c r="E117" s="16">
        <f>IF($N117="","",SUMIFS(ShareAmt,ShareLink,$C117))</f>
        <v/>
      </c>
      <c r="F117" s="33">
        <f>IF($N117="","",COUNTIF(ShareLink,$C117))</f>
        <v/>
      </c>
      <c r="G117" s="17">
        <f>IF($N117="","",IF(ROUND($E117-$D117,0)=0,"√","▲ "&amp;TEXT($D117-$E117,"#,##0")))</f>
        <v/>
      </c>
      <c r="N117">
        <f>IFERROR(MATCH($C$5&amp;"|"&amp;RIGHT("000000"&amp;101,6),LdAKeyG,0),"")</f>
        <v/>
      </c>
    </row>
    <row r="118">
      <c r="A118" s="19" t="n">
        <v>102</v>
      </c>
      <c r="B118" s="20">
        <f>IF($N118="","",INDEX(LdADate,$N118))</f>
        <v/>
      </c>
      <c r="C118" s="20">
        <f>IF($N118="","",IF(INDEX(LdAId,$N118)="","—",INDEX(LdAId,$N118)))</f>
        <v/>
      </c>
      <c r="D118" s="21">
        <f>IF($N118="","",IF(INDEX(LdAAmt,$N118)=0,"",INDEX(LdAAmt,$N118)))</f>
        <v/>
      </c>
      <c r="E118" s="21">
        <f>IF($N118="","",SUMIFS(ShareAmt,ShareLink,$C118))</f>
        <v/>
      </c>
      <c r="F118" s="34">
        <f>IF($N118="","",COUNTIF(ShareLink,$C118))</f>
        <v/>
      </c>
      <c r="G118" s="22">
        <f>IF($N118="","",IF(ROUND($E118-$D118,0)=0,"√","▲ "&amp;TEXT($D118-$E118,"#,##0")))</f>
        <v/>
      </c>
      <c r="N118">
        <f>IFERROR(MATCH($C$5&amp;"|"&amp;RIGHT("000000"&amp;102,6),LdAKeyG,0),"")</f>
        <v/>
      </c>
    </row>
    <row r="119">
      <c r="A119" s="10" t="n">
        <v>103</v>
      </c>
      <c r="B119" s="14">
        <f>IF($N119="","",INDEX(LdADate,$N119))</f>
        <v/>
      </c>
      <c r="C119" s="14">
        <f>IF($N119="","",IF(INDEX(LdAId,$N119)="","—",INDEX(LdAId,$N119)))</f>
        <v/>
      </c>
      <c r="D119" s="16">
        <f>IF($N119="","",IF(INDEX(LdAAmt,$N119)=0,"",INDEX(LdAAmt,$N119)))</f>
        <v/>
      </c>
      <c r="E119" s="16">
        <f>IF($N119="","",SUMIFS(ShareAmt,ShareLink,$C119))</f>
        <v/>
      </c>
      <c r="F119" s="33">
        <f>IF($N119="","",COUNTIF(ShareLink,$C119))</f>
        <v/>
      </c>
      <c r="G119" s="17">
        <f>IF($N119="","",IF(ROUND($E119-$D119,0)=0,"√","▲ "&amp;TEXT($D119-$E119,"#,##0")))</f>
        <v/>
      </c>
      <c r="N119">
        <f>IFERROR(MATCH($C$5&amp;"|"&amp;RIGHT("000000"&amp;103,6),LdAKeyG,0),"")</f>
        <v/>
      </c>
    </row>
    <row r="120">
      <c r="A120" s="19" t="n">
        <v>104</v>
      </c>
      <c r="B120" s="20">
        <f>IF($N120="","",INDEX(LdADate,$N120))</f>
        <v/>
      </c>
      <c r="C120" s="20">
        <f>IF($N120="","",IF(INDEX(LdAId,$N120)="","—",INDEX(LdAId,$N120)))</f>
        <v/>
      </c>
      <c r="D120" s="21">
        <f>IF($N120="","",IF(INDEX(LdAAmt,$N120)=0,"",INDEX(LdAAmt,$N120)))</f>
        <v/>
      </c>
      <c r="E120" s="21">
        <f>IF($N120="","",SUMIFS(ShareAmt,ShareLink,$C120))</f>
        <v/>
      </c>
      <c r="F120" s="34">
        <f>IF($N120="","",COUNTIF(ShareLink,$C120))</f>
        <v/>
      </c>
      <c r="G120" s="22">
        <f>IF($N120="","",IF(ROUND($E120-$D120,0)=0,"√","▲ "&amp;TEXT($D120-$E120,"#,##0")))</f>
        <v/>
      </c>
      <c r="N120">
        <f>IFERROR(MATCH($C$5&amp;"|"&amp;RIGHT("000000"&amp;104,6),LdAKeyG,0),"")</f>
        <v/>
      </c>
    </row>
    <row r="121">
      <c r="A121" s="10" t="n">
        <v>105</v>
      </c>
      <c r="B121" s="14">
        <f>IF($N121="","",INDEX(LdADate,$N121))</f>
        <v/>
      </c>
      <c r="C121" s="14">
        <f>IF($N121="","",IF(INDEX(LdAId,$N121)="","—",INDEX(LdAId,$N121)))</f>
        <v/>
      </c>
      <c r="D121" s="16">
        <f>IF($N121="","",IF(INDEX(LdAAmt,$N121)=0,"",INDEX(LdAAmt,$N121)))</f>
        <v/>
      </c>
      <c r="E121" s="16">
        <f>IF($N121="","",SUMIFS(ShareAmt,ShareLink,$C121))</f>
        <v/>
      </c>
      <c r="F121" s="33">
        <f>IF($N121="","",COUNTIF(ShareLink,$C121))</f>
        <v/>
      </c>
      <c r="G121" s="17">
        <f>IF($N121="","",IF(ROUND($E121-$D121,0)=0,"√","▲ "&amp;TEXT($D121-$E121,"#,##0")))</f>
        <v/>
      </c>
      <c r="N121">
        <f>IFERROR(MATCH($C$5&amp;"|"&amp;RIGHT("000000"&amp;105,6),LdAKeyG,0),"")</f>
        <v/>
      </c>
    </row>
    <row r="122">
      <c r="A122" s="19" t="n">
        <v>106</v>
      </c>
      <c r="B122" s="20">
        <f>IF($N122="","",INDEX(LdADate,$N122))</f>
        <v/>
      </c>
      <c r="C122" s="20">
        <f>IF($N122="","",IF(INDEX(LdAId,$N122)="","—",INDEX(LdAId,$N122)))</f>
        <v/>
      </c>
      <c r="D122" s="21">
        <f>IF($N122="","",IF(INDEX(LdAAmt,$N122)=0,"",INDEX(LdAAmt,$N122)))</f>
        <v/>
      </c>
      <c r="E122" s="21">
        <f>IF($N122="","",SUMIFS(ShareAmt,ShareLink,$C122))</f>
        <v/>
      </c>
      <c r="F122" s="34">
        <f>IF($N122="","",COUNTIF(ShareLink,$C122))</f>
        <v/>
      </c>
      <c r="G122" s="22">
        <f>IF($N122="","",IF(ROUND($E122-$D122,0)=0,"√","▲ "&amp;TEXT($D122-$E122,"#,##0")))</f>
        <v/>
      </c>
      <c r="N122">
        <f>IFERROR(MATCH($C$5&amp;"|"&amp;RIGHT("000000"&amp;106,6),LdAKeyG,0),"")</f>
        <v/>
      </c>
    </row>
    <row r="123">
      <c r="A123" s="10" t="n">
        <v>107</v>
      </c>
      <c r="B123" s="14">
        <f>IF($N123="","",INDEX(LdADate,$N123))</f>
        <v/>
      </c>
      <c r="C123" s="14">
        <f>IF($N123="","",IF(INDEX(LdAId,$N123)="","—",INDEX(LdAId,$N123)))</f>
        <v/>
      </c>
      <c r="D123" s="16">
        <f>IF($N123="","",IF(INDEX(LdAAmt,$N123)=0,"",INDEX(LdAAmt,$N123)))</f>
        <v/>
      </c>
      <c r="E123" s="16">
        <f>IF($N123="","",SUMIFS(ShareAmt,ShareLink,$C123))</f>
        <v/>
      </c>
      <c r="F123" s="33">
        <f>IF($N123="","",COUNTIF(ShareLink,$C123))</f>
        <v/>
      </c>
      <c r="G123" s="17">
        <f>IF($N123="","",IF(ROUND($E123-$D123,0)=0,"√","▲ "&amp;TEXT($D123-$E123,"#,##0")))</f>
        <v/>
      </c>
      <c r="N123">
        <f>IFERROR(MATCH($C$5&amp;"|"&amp;RIGHT("000000"&amp;107,6),LdAKeyG,0),"")</f>
        <v/>
      </c>
    </row>
    <row r="124">
      <c r="A124" s="19" t="n">
        <v>108</v>
      </c>
      <c r="B124" s="20">
        <f>IF($N124="","",INDEX(LdADate,$N124))</f>
        <v/>
      </c>
      <c r="C124" s="20">
        <f>IF($N124="","",IF(INDEX(LdAId,$N124)="","—",INDEX(LdAId,$N124)))</f>
        <v/>
      </c>
      <c r="D124" s="21">
        <f>IF($N124="","",IF(INDEX(LdAAmt,$N124)=0,"",INDEX(LdAAmt,$N124)))</f>
        <v/>
      </c>
      <c r="E124" s="21">
        <f>IF($N124="","",SUMIFS(ShareAmt,ShareLink,$C124))</f>
        <v/>
      </c>
      <c r="F124" s="34">
        <f>IF($N124="","",COUNTIF(ShareLink,$C124))</f>
        <v/>
      </c>
      <c r="G124" s="22">
        <f>IF($N124="","",IF(ROUND($E124-$D124,0)=0,"√","▲ "&amp;TEXT($D124-$E124,"#,##0")))</f>
        <v/>
      </c>
      <c r="N124">
        <f>IFERROR(MATCH($C$5&amp;"|"&amp;RIGHT("000000"&amp;108,6),LdAKeyG,0),"")</f>
        <v/>
      </c>
    </row>
    <row r="125">
      <c r="A125" s="10" t="n">
        <v>109</v>
      </c>
      <c r="B125" s="14">
        <f>IF($N125="","",INDEX(LdADate,$N125))</f>
        <v/>
      </c>
      <c r="C125" s="14">
        <f>IF($N125="","",IF(INDEX(LdAId,$N125)="","—",INDEX(LdAId,$N125)))</f>
        <v/>
      </c>
      <c r="D125" s="16">
        <f>IF($N125="","",IF(INDEX(LdAAmt,$N125)=0,"",INDEX(LdAAmt,$N125)))</f>
        <v/>
      </c>
      <c r="E125" s="16">
        <f>IF($N125="","",SUMIFS(ShareAmt,ShareLink,$C125))</f>
        <v/>
      </c>
      <c r="F125" s="33">
        <f>IF($N125="","",COUNTIF(ShareLink,$C125))</f>
        <v/>
      </c>
      <c r="G125" s="17">
        <f>IF($N125="","",IF(ROUND($E125-$D125,0)=0,"√","▲ "&amp;TEXT($D125-$E125,"#,##0")))</f>
        <v/>
      </c>
      <c r="N125">
        <f>IFERROR(MATCH($C$5&amp;"|"&amp;RIGHT("000000"&amp;109,6),LdAKeyG,0),"")</f>
        <v/>
      </c>
    </row>
    <row r="126">
      <c r="A126" s="19" t="n">
        <v>110</v>
      </c>
      <c r="B126" s="20">
        <f>IF($N126="","",INDEX(LdADate,$N126))</f>
        <v/>
      </c>
      <c r="C126" s="20">
        <f>IF($N126="","",IF(INDEX(LdAId,$N126)="","—",INDEX(LdAId,$N126)))</f>
        <v/>
      </c>
      <c r="D126" s="21">
        <f>IF($N126="","",IF(INDEX(LdAAmt,$N126)=0,"",INDEX(LdAAmt,$N126)))</f>
        <v/>
      </c>
      <c r="E126" s="21">
        <f>IF($N126="","",SUMIFS(ShareAmt,ShareLink,$C126))</f>
        <v/>
      </c>
      <c r="F126" s="34">
        <f>IF($N126="","",COUNTIF(ShareLink,$C126))</f>
        <v/>
      </c>
      <c r="G126" s="22">
        <f>IF($N126="","",IF(ROUND($E126-$D126,0)=0,"√","▲ "&amp;TEXT($D126-$E126,"#,##0")))</f>
        <v/>
      </c>
      <c r="N126">
        <f>IFERROR(MATCH($C$5&amp;"|"&amp;RIGHT("000000"&amp;110,6),LdAKeyG,0),"")</f>
        <v/>
      </c>
    </row>
    <row r="127">
      <c r="A127" s="10" t="n">
        <v>111</v>
      </c>
      <c r="B127" s="14">
        <f>IF($N127="","",INDEX(LdADate,$N127))</f>
        <v/>
      </c>
      <c r="C127" s="14">
        <f>IF($N127="","",IF(INDEX(LdAId,$N127)="","—",INDEX(LdAId,$N127)))</f>
        <v/>
      </c>
      <c r="D127" s="16">
        <f>IF($N127="","",IF(INDEX(LdAAmt,$N127)=0,"",INDEX(LdAAmt,$N127)))</f>
        <v/>
      </c>
      <c r="E127" s="16">
        <f>IF($N127="","",SUMIFS(ShareAmt,ShareLink,$C127))</f>
        <v/>
      </c>
      <c r="F127" s="33">
        <f>IF($N127="","",COUNTIF(ShareLink,$C127))</f>
        <v/>
      </c>
      <c r="G127" s="17">
        <f>IF($N127="","",IF(ROUND($E127-$D127,0)=0,"√","▲ "&amp;TEXT($D127-$E127,"#,##0")))</f>
        <v/>
      </c>
      <c r="N127">
        <f>IFERROR(MATCH($C$5&amp;"|"&amp;RIGHT("000000"&amp;111,6),LdAKeyG,0),"")</f>
        <v/>
      </c>
    </row>
    <row r="128">
      <c r="A128" s="19" t="n">
        <v>112</v>
      </c>
      <c r="B128" s="20">
        <f>IF($N128="","",INDEX(LdADate,$N128))</f>
        <v/>
      </c>
      <c r="C128" s="20">
        <f>IF($N128="","",IF(INDEX(LdAId,$N128)="","—",INDEX(LdAId,$N128)))</f>
        <v/>
      </c>
      <c r="D128" s="21">
        <f>IF($N128="","",IF(INDEX(LdAAmt,$N128)=0,"",INDEX(LdAAmt,$N128)))</f>
        <v/>
      </c>
      <c r="E128" s="21">
        <f>IF($N128="","",SUMIFS(ShareAmt,ShareLink,$C128))</f>
        <v/>
      </c>
      <c r="F128" s="34">
        <f>IF($N128="","",COUNTIF(ShareLink,$C128))</f>
        <v/>
      </c>
      <c r="G128" s="22">
        <f>IF($N128="","",IF(ROUND($E128-$D128,0)=0,"√","▲ "&amp;TEXT($D128-$E128,"#,##0")))</f>
        <v/>
      </c>
      <c r="N128">
        <f>IFERROR(MATCH($C$5&amp;"|"&amp;RIGHT("000000"&amp;112,6),LdAKeyG,0),"")</f>
        <v/>
      </c>
    </row>
    <row r="129">
      <c r="A129" s="10" t="n">
        <v>113</v>
      </c>
      <c r="B129" s="14">
        <f>IF($N129="","",INDEX(LdADate,$N129))</f>
        <v/>
      </c>
      <c r="C129" s="14">
        <f>IF($N129="","",IF(INDEX(LdAId,$N129)="","—",INDEX(LdAId,$N129)))</f>
        <v/>
      </c>
      <c r="D129" s="16">
        <f>IF($N129="","",IF(INDEX(LdAAmt,$N129)=0,"",INDEX(LdAAmt,$N129)))</f>
        <v/>
      </c>
      <c r="E129" s="16">
        <f>IF($N129="","",SUMIFS(ShareAmt,ShareLink,$C129))</f>
        <v/>
      </c>
      <c r="F129" s="33">
        <f>IF($N129="","",COUNTIF(ShareLink,$C129))</f>
        <v/>
      </c>
      <c r="G129" s="17">
        <f>IF($N129="","",IF(ROUND($E129-$D129,0)=0,"√","▲ "&amp;TEXT($D129-$E129,"#,##0")))</f>
        <v/>
      </c>
      <c r="N129">
        <f>IFERROR(MATCH($C$5&amp;"|"&amp;RIGHT("000000"&amp;113,6),LdAKeyG,0),"")</f>
        <v/>
      </c>
    </row>
    <row r="130">
      <c r="A130" s="19" t="n">
        <v>114</v>
      </c>
      <c r="B130" s="20">
        <f>IF($N130="","",INDEX(LdADate,$N130))</f>
        <v/>
      </c>
      <c r="C130" s="20">
        <f>IF($N130="","",IF(INDEX(LdAId,$N130)="","—",INDEX(LdAId,$N130)))</f>
        <v/>
      </c>
      <c r="D130" s="21">
        <f>IF($N130="","",IF(INDEX(LdAAmt,$N130)=0,"",INDEX(LdAAmt,$N130)))</f>
        <v/>
      </c>
      <c r="E130" s="21">
        <f>IF($N130="","",SUMIFS(ShareAmt,ShareLink,$C130))</f>
        <v/>
      </c>
      <c r="F130" s="34">
        <f>IF($N130="","",COUNTIF(ShareLink,$C130))</f>
        <v/>
      </c>
      <c r="G130" s="22">
        <f>IF($N130="","",IF(ROUND($E130-$D130,0)=0,"√","▲ "&amp;TEXT($D130-$E130,"#,##0")))</f>
        <v/>
      </c>
      <c r="N130">
        <f>IFERROR(MATCH($C$5&amp;"|"&amp;RIGHT("000000"&amp;114,6),LdAKeyG,0),"")</f>
        <v/>
      </c>
    </row>
    <row r="131">
      <c r="A131" s="10" t="n">
        <v>115</v>
      </c>
      <c r="B131" s="14">
        <f>IF($N131="","",INDEX(LdADate,$N131))</f>
        <v/>
      </c>
      <c r="C131" s="14">
        <f>IF($N131="","",IF(INDEX(LdAId,$N131)="","—",INDEX(LdAId,$N131)))</f>
        <v/>
      </c>
      <c r="D131" s="16">
        <f>IF($N131="","",IF(INDEX(LdAAmt,$N131)=0,"",INDEX(LdAAmt,$N131)))</f>
        <v/>
      </c>
      <c r="E131" s="16">
        <f>IF($N131="","",SUMIFS(ShareAmt,ShareLink,$C131))</f>
        <v/>
      </c>
      <c r="F131" s="33">
        <f>IF($N131="","",COUNTIF(ShareLink,$C131))</f>
        <v/>
      </c>
      <c r="G131" s="17">
        <f>IF($N131="","",IF(ROUND($E131-$D131,0)=0,"√","▲ "&amp;TEXT($D131-$E131,"#,##0")))</f>
        <v/>
      </c>
      <c r="N131">
        <f>IFERROR(MATCH($C$5&amp;"|"&amp;RIGHT("000000"&amp;115,6),LdAKeyG,0),"")</f>
        <v/>
      </c>
    </row>
    <row r="132">
      <c r="A132" s="19" t="n">
        <v>116</v>
      </c>
      <c r="B132" s="20">
        <f>IF($N132="","",INDEX(LdADate,$N132))</f>
        <v/>
      </c>
      <c r="C132" s="20">
        <f>IF($N132="","",IF(INDEX(LdAId,$N132)="","—",INDEX(LdAId,$N132)))</f>
        <v/>
      </c>
      <c r="D132" s="21">
        <f>IF($N132="","",IF(INDEX(LdAAmt,$N132)=0,"",INDEX(LdAAmt,$N132)))</f>
        <v/>
      </c>
      <c r="E132" s="21">
        <f>IF($N132="","",SUMIFS(ShareAmt,ShareLink,$C132))</f>
        <v/>
      </c>
      <c r="F132" s="34">
        <f>IF($N132="","",COUNTIF(ShareLink,$C132))</f>
        <v/>
      </c>
      <c r="G132" s="22">
        <f>IF($N132="","",IF(ROUND($E132-$D132,0)=0,"√","▲ "&amp;TEXT($D132-$E132,"#,##0")))</f>
        <v/>
      </c>
      <c r="N132">
        <f>IFERROR(MATCH($C$5&amp;"|"&amp;RIGHT("000000"&amp;116,6),LdAKeyG,0),"")</f>
        <v/>
      </c>
    </row>
    <row r="133">
      <c r="A133" s="10" t="n">
        <v>117</v>
      </c>
      <c r="B133" s="14">
        <f>IF($N133="","",INDEX(LdADate,$N133))</f>
        <v/>
      </c>
      <c r="C133" s="14">
        <f>IF($N133="","",IF(INDEX(LdAId,$N133)="","—",INDEX(LdAId,$N133)))</f>
        <v/>
      </c>
      <c r="D133" s="16">
        <f>IF($N133="","",IF(INDEX(LdAAmt,$N133)=0,"",INDEX(LdAAmt,$N133)))</f>
        <v/>
      </c>
      <c r="E133" s="16">
        <f>IF($N133="","",SUMIFS(ShareAmt,ShareLink,$C133))</f>
        <v/>
      </c>
      <c r="F133" s="33">
        <f>IF($N133="","",COUNTIF(ShareLink,$C133))</f>
        <v/>
      </c>
      <c r="G133" s="17">
        <f>IF($N133="","",IF(ROUND($E133-$D133,0)=0,"√","▲ "&amp;TEXT($D133-$E133,"#,##0")))</f>
        <v/>
      </c>
      <c r="N133">
        <f>IFERROR(MATCH($C$5&amp;"|"&amp;RIGHT("000000"&amp;117,6),LdAKeyG,0),"")</f>
        <v/>
      </c>
    </row>
    <row r="134">
      <c r="A134" s="19" t="n">
        <v>118</v>
      </c>
      <c r="B134" s="20">
        <f>IF($N134="","",INDEX(LdADate,$N134))</f>
        <v/>
      </c>
      <c r="C134" s="20">
        <f>IF($N134="","",IF(INDEX(LdAId,$N134)="","—",INDEX(LdAId,$N134)))</f>
        <v/>
      </c>
      <c r="D134" s="21">
        <f>IF($N134="","",IF(INDEX(LdAAmt,$N134)=0,"",INDEX(LdAAmt,$N134)))</f>
        <v/>
      </c>
      <c r="E134" s="21">
        <f>IF($N134="","",SUMIFS(ShareAmt,ShareLink,$C134))</f>
        <v/>
      </c>
      <c r="F134" s="34">
        <f>IF($N134="","",COUNTIF(ShareLink,$C134))</f>
        <v/>
      </c>
      <c r="G134" s="22">
        <f>IF($N134="","",IF(ROUND($E134-$D134,0)=0,"√","▲ "&amp;TEXT($D134-$E134,"#,##0")))</f>
        <v/>
      </c>
      <c r="N134">
        <f>IFERROR(MATCH($C$5&amp;"|"&amp;RIGHT("000000"&amp;118,6),LdAKeyG,0),"")</f>
        <v/>
      </c>
    </row>
    <row r="135">
      <c r="A135" s="10" t="n">
        <v>119</v>
      </c>
      <c r="B135" s="14">
        <f>IF($N135="","",INDEX(LdADate,$N135))</f>
        <v/>
      </c>
      <c r="C135" s="14">
        <f>IF($N135="","",IF(INDEX(LdAId,$N135)="","—",INDEX(LdAId,$N135)))</f>
        <v/>
      </c>
      <c r="D135" s="16">
        <f>IF($N135="","",IF(INDEX(LdAAmt,$N135)=0,"",INDEX(LdAAmt,$N135)))</f>
        <v/>
      </c>
      <c r="E135" s="16">
        <f>IF($N135="","",SUMIFS(ShareAmt,ShareLink,$C135))</f>
        <v/>
      </c>
      <c r="F135" s="33">
        <f>IF($N135="","",COUNTIF(ShareLink,$C135))</f>
        <v/>
      </c>
      <c r="G135" s="17">
        <f>IF($N135="","",IF(ROUND($E135-$D135,0)=0,"√","▲ "&amp;TEXT($D135-$E135,"#,##0")))</f>
        <v/>
      </c>
      <c r="N135">
        <f>IFERROR(MATCH($C$5&amp;"|"&amp;RIGHT("000000"&amp;119,6),LdAKeyG,0),"")</f>
        <v/>
      </c>
    </row>
    <row r="136">
      <c r="A136" s="19" t="n">
        <v>120</v>
      </c>
      <c r="B136" s="20">
        <f>IF($N136="","",INDEX(LdADate,$N136))</f>
        <v/>
      </c>
      <c r="C136" s="20">
        <f>IF($N136="","",IF(INDEX(LdAId,$N136)="","—",INDEX(LdAId,$N136)))</f>
        <v/>
      </c>
      <c r="D136" s="21">
        <f>IF($N136="","",IF(INDEX(LdAAmt,$N136)=0,"",INDEX(LdAAmt,$N136)))</f>
        <v/>
      </c>
      <c r="E136" s="21">
        <f>IF($N136="","",SUMIFS(ShareAmt,ShareLink,$C136))</f>
        <v/>
      </c>
      <c r="F136" s="34">
        <f>IF($N136="","",COUNTIF(ShareLink,$C136))</f>
        <v/>
      </c>
      <c r="G136" s="22">
        <f>IF($N136="","",IF(ROUND($E136-$D136,0)=0,"√","▲ "&amp;TEXT($D136-$E136,"#,##0")))</f>
        <v/>
      </c>
      <c r="N136">
        <f>IFERROR(MATCH($C$5&amp;"|"&amp;RIGHT("000000"&amp;120,6),LdAKeyG,0),"")</f>
        <v/>
      </c>
    </row>
    <row r="137">
      <c r="A137" s="10" t="n">
        <v>121</v>
      </c>
      <c r="B137" s="14">
        <f>IF($N137="","",INDEX(LdADate,$N137))</f>
        <v/>
      </c>
      <c r="C137" s="14">
        <f>IF($N137="","",IF(INDEX(LdAId,$N137)="","—",INDEX(LdAId,$N137)))</f>
        <v/>
      </c>
      <c r="D137" s="16">
        <f>IF($N137="","",IF(INDEX(LdAAmt,$N137)=0,"",INDEX(LdAAmt,$N137)))</f>
        <v/>
      </c>
      <c r="E137" s="16">
        <f>IF($N137="","",SUMIFS(ShareAmt,ShareLink,$C137))</f>
        <v/>
      </c>
      <c r="F137" s="33">
        <f>IF($N137="","",COUNTIF(ShareLink,$C137))</f>
        <v/>
      </c>
      <c r="G137" s="17">
        <f>IF($N137="","",IF(ROUND($E137-$D137,0)=0,"√","▲ "&amp;TEXT($D137-$E137,"#,##0")))</f>
        <v/>
      </c>
      <c r="N137">
        <f>IFERROR(MATCH($C$5&amp;"|"&amp;RIGHT("000000"&amp;121,6),LdAKeyG,0),"")</f>
        <v/>
      </c>
    </row>
    <row r="138">
      <c r="A138" s="19" t="n">
        <v>122</v>
      </c>
      <c r="B138" s="20">
        <f>IF($N138="","",INDEX(LdADate,$N138))</f>
        <v/>
      </c>
      <c r="C138" s="20">
        <f>IF($N138="","",IF(INDEX(LdAId,$N138)="","—",INDEX(LdAId,$N138)))</f>
        <v/>
      </c>
      <c r="D138" s="21">
        <f>IF($N138="","",IF(INDEX(LdAAmt,$N138)=0,"",INDEX(LdAAmt,$N138)))</f>
        <v/>
      </c>
      <c r="E138" s="21">
        <f>IF($N138="","",SUMIFS(ShareAmt,ShareLink,$C138))</f>
        <v/>
      </c>
      <c r="F138" s="34">
        <f>IF($N138="","",COUNTIF(ShareLink,$C138))</f>
        <v/>
      </c>
      <c r="G138" s="22">
        <f>IF($N138="","",IF(ROUND($E138-$D138,0)=0,"√","▲ "&amp;TEXT($D138-$E138,"#,##0")))</f>
        <v/>
      </c>
      <c r="N138">
        <f>IFERROR(MATCH($C$5&amp;"|"&amp;RIGHT("000000"&amp;122,6),LdAKeyG,0),"")</f>
        <v/>
      </c>
    </row>
    <row r="139">
      <c r="A139" s="10" t="n">
        <v>123</v>
      </c>
      <c r="B139" s="14">
        <f>IF($N139="","",INDEX(LdADate,$N139))</f>
        <v/>
      </c>
      <c r="C139" s="14">
        <f>IF($N139="","",IF(INDEX(LdAId,$N139)="","—",INDEX(LdAId,$N139)))</f>
        <v/>
      </c>
      <c r="D139" s="16">
        <f>IF($N139="","",IF(INDEX(LdAAmt,$N139)=0,"",INDEX(LdAAmt,$N139)))</f>
        <v/>
      </c>
      <c r="E139" s="16">
        <f>IF($N139="","",SUMIFS(ShareAmt,ShareLink,$C139))</f>
        <v/>
      </c>
      <c r="F139" s="33">
        <f>IF($N139="","",COUNTIF(ShareLink,$C139))</f>
        <v/>
      </c>
      <c r="G139" s="17">
        <f>IF($N139="","",IF(ROUND($E139-$D139,0)=0,"√","▲ "&amp;TEXT($D139-$E139,"#,##0")))</f>
        <v/>
      </c>
      <c r="N139">
        <f>IFERROR(MATCH($C$5&amp;"|"&amp;RIGHT("000000"&amp;123,6),LdAKeyG,0),"")</f>
        <v/>
      </c>
    </row>
    <row r="140">
      <c r="A140" s="19" t="n">
        <v>124</v>
      </c>
      <c r="B140" s="20">
        <f>IF($N140="","",INDEX(LdADate,$N140))</f>
        <v/>
      </c>
      <c r="C140" s="20">
        <f>IF($N140="","",IF(INDEX(LdAId,$N140)="","—",INDEX(LdAId,$N140)))</f>
        <v/>
      </c>
      <c r="D140" s="21">
        <f>IF($N140="","",IF(INDEX(LdAAmt,$N140)=0,"",INDEX(LdAAmt,$N140)))</f>
        <v/>
      </c>
      <c r="E140" s="21">
        <f>IF($N140="","",SUMIFS(ShareAmt,ShareLink,$C140))</f>
        <v/>
      </c>
      <c r="F140" s="34">
        <f>IF($N140="","",COUNTIF(ShareLink,$C140))</f>
        <v/>
      </c>
      <c r="G140" s="22">
        <f>IF($N140="","",IF(ROUND($E140-$D140,0)=0,"√","▲ "&amp;TEXT($D140-$E140,"#,##0")))</f>
        <v/>
      </c>
      <c r="N140">
        <f>IFERROR(MATCH($C$5&amp;"|"&amp;RIGHT("000000"&amp;124,6),LdAKeyG,0),"")</f>
        <v/>
      </c>
    </row>
    <row r="141">
      <c r="A141" s="10" t="n">
        <v>125</v>
      </c>
      <c r="B141" s="14">
        <f>IF($N141="","",INDEX(LdADate,$N141))</f>
        <v/>
      </c>
      <c r="C141" s="14">
        <f>IF($N141="","",IF(INDEX(LdAId,$N141)="","—",INDEX(LdAId,$N141)))</f>
        <v/>
      </c>
      <c r="D141" s="16">
        <f>IF($N141="","",IF(INDEX(LdAAmt,$N141)=0,"",INDEX(LdAAmt,$N141)))</f>
        <v/>
      </c>
      <c r="E141" s="16">
        <f>IF($N141="","",SUMIFS(ShareAmt,ShareLink,$C141))</f>
        <v/>
      </c>
      <c r="F141" s="33">
        <f>IF($N141="","",COUNTIF(ShareLink,$C141))</f>
        <v/>
      </c>
      <c r="G141" s="17">
        <f>IF($N141="","",IF(ROUND($E141-$D141,0)=0,"√","▲ "&amp;TEXT($D141-$E141,"#,##0")))</f>
        <v/>
      </c>
      <c r="N141">
        <f>IFERROR(MATCH($C$5&amp;"|"&amp;RIGHT("000000"&amp;125,6),LdAKeyG,0),"")</f>
        <v/>
      </c>
    </row>
    <row r="142">
      <c r="A142" s="19" t="n">
        <v>126</v>
      </c>
      <c r="B142" s="20">
        <f>IF($N142="","",INDEX(LdADate,$N142))</f>
        <v/>
      </c>
      <c r="C142" s="20">
        <f>IF($N142="","",IF(INDEX(LdAId,$N142)="","—",INDEX(LdAId,$N142)))</f>
        <v/>
      </c>
      <c r="D142" s="21">
        <f>IF($N142="","",IF(INDEX(LdAAmt,$N142)=0,"",INDEX(LdAAmt,$N142)))</f>
        <v/>
      </c>
      <c r="E142" s="21">
        <f>IF($N142="","",SUMIFS(ShareAmt,ShareLink,$C142))</f>
        <v/>
      </c>
      <c r="F142" s="34">
        <f>IF($N142="","",COUNTIF(ShareLink,$C142))</f>
        <v/>
      </c>
      <c r="G142" s="22">
        <f>IF($N142="","",IF(ROUND($E142-$D142,0)=0,"√","▲ "&amp;TEXT($D142-$E142,"#,##0")))</f>
        <v/>
      </c>
      <c r="N142">
        <f>IFERROR(MATCH($C$5&amp;"|"&amp;RIGHT("000000"&amp;126,6),LdAKeyG,0),"")</f>
        <v/>
      </c>
    </row>
    <row r="143">
      <c r="A143" s="10" t="n">
        <v>127</v>
      </c>
      <c r="B143" s="14">
        <f>IF($N143="","",INDEX(LdADate,$N143))</f>
        <v/>
      </c>
      <c r="C143" s="14">
        <f>IF($N143="","",IF(INDEX(LdAId,$N143)="","—",INDEX(LdAId,$N143)))</f>
        <v/>
      </c>
      <c r="D143" s="16">
        <f>IF($N143="","",IF(INDEX(LdAAmt,$N143)=0,"",INDEX(LdAAmt,$N143)))</f>
        <v/>
      </c>
      <c r="E143" s="16">
        <f>IF($N143="","",SUMIFS(ShareAmt,ShareLink,$C143))</f>
        <v/>
      </c>
      <c r="F143" s="33">
        <f>IF($N143="","",COUNTIF(ShareLink,$C143))</f>
        <v/>
      </c>
      <c r="G143" s="17">
        <f>IF($N143="","",IF(ROUND($E143-$D143,0)=0,"√","▲ "&amp;TEXT($D143-$E143,"#,##0")))</f>
        <v/>
      </c>
      <c r="N143">
        <f>IFERROR(MATCH($C$5&amp;"|"&amp;RIGHT("000000"&amp;127,6),LdAKeyG,0),"")</f>
        <v/>
      </c>
    </row>
    <row r="144">
      <c r="A144" s="19" t="n">
        <v>128</v>
      </c>
      <c r="B144" s="20">
        <f>IF($N144="","",INDEX(LdADate,$N144))</f>
        <v/>
      </c>
      <c r="C144" s="20">
        <f>IF($N144="","",IF(INDEX(LdAId,$N144)="","—",INDEX(LdAId,$N144)))</f>
        <v/>
      </c>
      <c r="D144" s="21">
        <f>IF($N144="","",IF(INDEX(LdAAmt,$N144)=0,"",INDEX(LdAAmt,$N144)))</f>
        <v/>
      </c>
      <c r="E144" s="21">
        <f>IF($N144="","",SUMIFS(ShareAmt,ShareLink,$C144))</f>
        <v/>
      </c>
      <c r="F144" s="34">
        <f>IF($N144="","",COUNTIF(ShareLink,$C144))</f>
        <v/>
      </c>
      <c r="G144" s="22">
        <f>IF($N144="","",IF(ROUND($E144-$D144,0)=0,"√","▲ "&amp;TEXT($D144-$E144,"#,##0")))</f>
        <v/>
      </c>
      <c r="N144">
        <f>IFERROR(MATCH($C$5&amp;"|"&amp;RIGHT("000000"&amp;128,6),LdAKeyG,0),"")</f>
        <v/>
      </c>
    </row>
    <row r="145">
      <c r="A145" s="10" t="n">
        <v>129</v>
      </c>
      <c r="B145" s="14">
        <f>IF($N145="","",INDEX(LdADate,$N145))</f>
        <v/>
      </c>
      <c r="C145" s="14">
        <f>IF($N145="","",IF(INDEX(LdAId,$N145)="","—",INDEX(LdAId,$N145)))</f>
        <v/>
      </c>
      <c r="D145" s="16">
        <f>IF($N145="","",IF(INDEX(LdAAmt,$N145)=0,"",INDEX(LdAAmt,$N145)))</f>
        <v/>
      </c>
      <c r="E145" s="16">
        <f>IF($N145="","",SUMIFS(ShareAmt,ShareLink,$C145))</f>
        <v/>
      </c>
      <c r="F145" s="33">
        <f>IF($N145="","",COUNTIF(ShareLink,$C145))</f>
        <v/>
      </c>
      <c r="G145" s="17">
        <f>IF($N145="","",IF(ROUND($E145-$D145,0)=0,"√","▲ "&amp;TEXT($D145-$E145,"#,##0")))</f>
        <v/>
      </c>
      <c r="N145">
        <f>IFERROR(MATCH($C$5&amp;"|"&amp;RIGHT("000000"&amp;129,6),LdAKeyG,0),"")</f>
        <v/>
      </c>
    </row>
    <row r="146">
      <c r="A146" s="19" t="n">
        <v>130</v>
      </c>
      <c r="B146" s="20">
        <f>IF($N146="","",INDEX(LdADate,$N146))</f>
        <v/>
      </c>
      <c r="C146" s="20">
        <f>IF($N146="","",IF(INDEX(LdAId,$N146)="","—",INDEX(LdAId,$N146)))</f>
        <v/>
      </c>
      <c r="D146" s="21">
        <f>IF($N146="","",IF(INDEX(LdAAmt,$N146)=0,"",INDEX(LdAAmt,$N146)))</f>
        <v/>
      </c>
      <c r="E146" s="21">
        <f>IF($N146="","",SUMIFS(ShareAmt,ShareLink,$C146))</f>
        <v/>
      </c>
      <c r="F146" s="34">
        <f>IF($N146="","",COUNTIF(ShareLink,$C146))</f>
        <v/>
      </c>
      <c r="G146" s="22">
        <f>IF($N146="","",IF(ROUND($E146-$D146,0)=0,"√","▲ "&amp;TEXT($D146-$E146,"#,##0")))</f>
        <v/>
      </c>
      <c r="N146">
        <f>IFERROR(MATCH($C$5&amp;"|"&amp;RIGHT("000000"&amp;130,6),LdAKeyG,0),"")</f>
        <v/>
      </c>
    </row>
    <row r="147">
      <c r="A147" s="10" t="n">
        <v>131</v>
      </c>
      <c r="B147" s="14">
        <f>IF($N147="","",INDEX(LdADate,$N147))</f>
        <v/>
      </c>
      <c r="C147" s="14">
        <f>IF($N147="","",IF(INDEX(LdAId,$N147)="","—",INDEX(LdAId,$N147)))</f>
        <v/>
      </c>
      <c r="D147" s="16">
        <f>IF($N147="","",IF(INDEX(LdAAmt,$N147)=0,"",INDEX(LdAAmt,$N147)))</f>
        <v/>
      </c>
      <c r="E147" s="16">
        <f>IF($N147="","",SUMIFS(ShareAmt,ShareLink,$C147))</f>
        <v/>
      </c>
      <c r="F147" s="33">
        <f>IF($N147="","",COUNTIF(ShareLink,$C147))</f>
        <v/>
      </c>
      <c r="G147" s="17">
        <f>IF($N147="","",IF(ROUND($E147-$D147,0)=0,"√","▲ "&amp;TEXT($D147-$E147,"#,##0")))</f>
        <v/>
      </c>
      <c r="N147">
        <f>IFERROR(MATCH($C$5&amp;"|"&amp;RIGHT("000000"&amp;131,6),LdAKeyG,0),"")</f>
        <v/>
      </c>
    </row>
    <row r="148">
      <c r="A148" s="19" t="n">
        <v>132</v>
      </c>
      <c r="B148" s="20">
        <f>IF($N148="","",INDEX(LdADate,$N148))</f>
        <v/>
      </c>
      <c r="C148" s="20">
        <f>IF($N148="","",IF(INDEX(LdAId,$N148)="","—",INDEX(LdAId,$N148)))</f>
        <v/>
      </c>
      <c r="D148" s="21">
        <f>IF($N148="","",IF(INDEX(LdAAmt,$N148)=0,"",INDEX(LdAAmt,$N148)))</f>
        <v/>
      </c>
      <c r="E148" s="21">
        <f>IF($N148="","",SUMIFS(ShareAmt,ShareLink,$C148))</f>
        <v/>
      </c>
      <c r="F148" s="34">
        <f>IF($N148="","",COUNTIF(ShareLink,$C148))</f>
        <v/>
      </c>
      <c r="G148" s="22">
        <f>IF($N148="","",IF(ROUND($E148-$D148,0)=0,"√","▲ "&amp;TEXT($D148-$E148,"#,##0")))</f>
        <v/>
      </c>
      <c r="N148">
        <f>IFERROR(MATCH($C$5&amp;"|"&amp;RIGHT("000000"&amp;132,6),LdAKeyG,0),"")</f>
        <v/>
      </c>
    </row>
    <row r="149">
      <c r="A149" s="10" t="n">
        <v>133</v>
      </c>
      <c r="B149" s="14">
        <f>IF($N149="","",INDEX(LdADate,$N149))</f>
        <v/>
      </c>
      <c r="C149" s="14">
        <f>IF($N149="","",IF(INDEX(LdAId,$N149)="","—",INDEX(LdAId,$N149)))</f>
        <v/>
      </c>
      <c r="D149" s="16">
        <f>IF($N149="","",IF(INDEX(LdAAmt,$N149)=0,"",INDEX(LdAAmt,$N149)))</f>
        <v/>
      </c>
      <c r="E149" s="16">
        <f>IF($N149="","",SUMIFS(ShareAmt,ShareLink,$C149))</f>
        <v/>
      </c>
      <c r="F149" s="33">
        <f>IF($N149="","",COUNTIF(ShareLink,$C149))</f>
        <v/>
      </c>
      <c r="G149" s="17">
        <f>IF($N149="","",IF(ROUND($E149-$D149,0)=0,"√","▲ "&amp;TEXT($D149-$E149,"#,##0")))</f>
        <v/>
      </c>
      <c r="N149">
        <f>IFERROR(MATCH($C$5&amp;"|"&amp;RIGHT("000000"&amp;133,6),LdAKeyG,0),"")</f>
        <v/>
      </c>
    </row>
    <row r="150">
      <c r="A150" s="19" t="n">
        <v>134</v>
      </c>
      <c r="B150" s="20">
        <f>IF($N150="","",INDEX(LdADate,$N150))</f>
        <v/>
      </c>
      <c r="C150" s="20">
        <f>IF($N150="","",IF(INDEX(LdAId,$N150)="","—",INDEX(LdAId,$N150)))</f>
        <v/>
      </c>
      <c r="D150" s="21">
        <f>IF($N150="","",IF(INDEX(LdAAmt,$N150)=0,"",INDEX(LdAAmt,$N150)))</f>
        <v/>
      </c>
      <c r="E150" s="21">
        <f>IF($N150="","",SUMIFS(ShareAmt,ShareLink,$C150))</f>
        <v/>
      </c>
      <c r="F150" s="34">
        <f>IF($N150="","",COUNTIF(ShareLink,$C150))</f>
        <v/>
      </c>
      <c r="G150" s="22">
        <f>IF($N150="","",IF(ROUND($E150-$D150,0)=0,"√","▲ "&amp;TEXT($D150-$E150,"#,##0")))</f>
        <v/>
      </c>
      <c r="N150">
        <f>IFERROR(MATCH($C$5&amp;"|"&amp;RIGHT("000000"&amp;134,6),LdAKeyG,0),"")</f>
        <v/>
      </c>
    </row>
    <row r="151">
      <c r="A151" s="10" t="n">
        <v>135</v>
      </c>
      <c r="B151" s="14">
        <f>IF($N151="","",INDEX(LdADate,$N151))</f>
        <v/>
      </c>
      <c r="C151" s="14">
        <f>IF($N151="","",IF(INDEX(LdAId,$N151)="","—",INDEX(LdAId,$N151)))</f>
        <v/>
      </c>
      <c r="D151" s="16">
        <f>IF($N151="","",IF(INDEX(LdAAmt,$N151)=0,"",INDEX(LdAAmt,$N151)))</f>
        <v/>
      </c>
      <c r="E151" s="16">
        <f>IF($N151="","",SUMIFS(ShareAmt,ShareLink,$C151))</f>
        <v/>
      </c>
      <c r="F151" s="33">
        <f>IF($N151="","",COUNTIF(ShareLink,$C151))</f>
        <v/>
      </c>
      <c r="G151" s="17">
        <f>IF($N151="","",IF(ROUND($E151-$D151,0)=0,"√","▲ "&amp;TEXT($D151-$E151,"#,##0")))</f>
        <v/>
      </c>
      <c r="N151">
        <f>IFERROR(MATCH($C$5&amp;"|"&amp;RIGHT("000000"&amp;135,6),LdAKeyG,0),"")</f>
        <v/>
      </c>
    </row>
    <row r="152">
      <c r="A152" s="19" t="n">
        <v>136</v>
      </c>
      <c r="B152" s="20">
        <f>IF($N152="","",INDEX(LdADate,$N152))</f>
        <v/>
      </c>
      <c r="C152" s="20">
        <f>IF($N152="","",IF(INDEX(LdAId,$N152)="","—",INDEX(LdAId,$N152)))</f>
        <v/>
      </c>
      <c r="D152" s="21">
        <f>IF($N152="","",IF(INDEX(LdAAmt,$N152)=0,"",INDEX(LdAAmt,$N152)))</f>
        <v/>
      </c>
      <c r="E152" s="21">
        <f>IF($N152="","",SUMIFS(ShareAmt,ShareLink,$C152))</f>
        <v/>
      </c>
      <c r="F152" s="34">
        <f>IF($N152="","",COUNTIF(ShareLink,$C152))</f>
        <v/>
      </c>
      <c r="G152" s="22">
        <f>IF($N152="","",IF(ROUND($E152-$D152,0)=0,"√","▲ "&amp;TEXT($D152-$E152,"#,##0")))</f>
        <v/>
      </c>
      <c r="N152">
        <f>IFERROR(MATCH($C$5&amp;"|"&amp;RIGHT("000000"&amp;136,6),LdAKeyG,0),"")</f>
        <v/>
      </c>
    </row>
    <row r="153">
      <c r="A153" s="10" t="n">
        <v>137</v>
      </c>
      <c r="B153" s="14">
        <f>IF($N153="","",INDEX(LdADate,$N153))</f>
        <v/>
      </c>
      <c r="C153" s="14">
        <f>IF($N153="","",IF(INDEX(LdAId,$N153)="","—",INDEX(LdAId,$N153)))</f>
        <v/>
      </c>
      <c r="D153" s="16">
        <f>IF($N153="","",IF(INDEX(LdAAmt,$N153)=0,"",INDEX(LdAAmt,$N153)))</f>
        <v/>
      </c>
      <c r="E153" s="16">
        <f>IF($N153="","",SUMIFS(ShareAmt,ShareLink,$C153))</f>
        <v/>
      </c>
      <c r="F153" s="33">
        <f>IF($N153="","",COUNTIF(ShareLink,$C153))</f>
        <v/>
      </c>
      <c r="G153" s="17">
        <f>IF($N153="","",IF(ROUND($E153-$D153,0)=0,"√","▲ "&amp;TEXT($D153-$E153,"#,##0")))</f>
        <v/>
      </c>
      <c r="N153">
        <f>IFERROR(MATCH($C$5&amp;"|"&amp;RIGHT("000000"&amp;137,6),LdAKeyG,0),"")</f>
        <v/>
      </c>
    </row>
    <row r="154">
      <c r="A154" s="19" t="n">
        <v>138</v>
      </c>
      <c r="B154" s="20">
        <f>IF($N154="","",INDEX(LdADate,$N154))</f>
        <v/>
      </c>
      <c r="C154" s="20">
        <f>IF($N154="","",IF(INDEX(LdAId,$N154)="","—",INDEX(LdAId,$N154)))</f>
        <v/>
      </c>
      <c r="D154" s="21">
        <f>IF($N154="","",IF(INDEX(LdAAmt,$N154)=0,"",INDEX(LdAAmt,$N154)))</f>
        <v/>
      </c>
      <c r="E154" s="21">
        <f>IF($N154="","",SUMIFS(ShareAmt,ShareLink,$C154))</f>
        <v/>
      </c>
      <c r="F154" s="34">
        <f>IF($N154="","",COUNTIF(ShareLink,$C154))</f>
        <v/>
      </c>
      <c r="G154" s="22">
        <f>IF($N154="","",IF(ROUND($E154-$D154,0)=0,"√","▲ "&amp;TEXT($D154-$E154,"#,##0")))</f>
        <v/>
      </c>
      <c r="N154">
        <f>IFERROR(MATCH($C$5&amp;"|"&amp;RIGHT("000000"&amp;138,6),LdAKeyG,0),"")</f>
        <v/>
      </c>
    </row>
    <row r="155">
      <c r="A155" s="10" t="n">
        <v>139</v>
      </c>
      <c r="B155" s="14">
        <f>IF($N155="","",INDEX(LdADate,$N155))</f>
        <v/>
      </c>
      <c r="C155" s="14">
        <f>IF($N155="","",IF(INDEX(LdAId,$N155)="","—",INDEX(LdAId,$N155)))</f>
        <v/>
      </c>
      <c r="D155" s="16">
        <f>IF($N155="","",IF(INDEX(LdAAmt,$N155)=0,"",INDEX(LdAAmt,$N155)))</f>
        <v/>
      </c>
      <c r="E155" s="16">
        <f>IF($N155="","",SUMIFS(ShareAmt,ShareLink,$C155))</f>
        <v/>
      </c>
      <c r="F155" s="33">
        <f>IF($N155="","",COUNTIF(ShareLink,$C155))</f>
        <v/>
      </c>
      <c r="G155" s="17">
        <f>IF($N155="","",IF(ROUND($E155-$D155,0)=0,"√","▲ "&amp;TEXT($D155-$E155,"#,##0")))</f>
        <v/>
      </c>
      <c r="N155">
        <f>IFERROR(MATCH($C$5&amp;"|"&amp;RIGHT("000000"&amp;139,6),LdAKeyG,0),"")</f>
        <v/>
      </c>
    </row>
    <row r="156">
      <c r="A156" s="19" t="n">
        <v>140</v>
      </c>
      <c r="B156" s="20">
        <f>IF($N156="","",INDEX(LdADate,$N156))</f>
        <v/>
      </c>
      <c r="C156" s="20">
        <f>IF($N156="","",IF(INDEX(LdAId,$N156)="","—",INDEX(LdAId,$N156)))</f>
        <v/>
      </c>
      <c r="D156" s="21">
        <f>IF($N156="","",IF(INDEX(LdAAmt,$N156)=0,"",INDEX(LdAAmt,$N156)))</f>
        <v/>
      </c>
      <c r="E156" s="21">
        <f>IF($N156="","",SUMIFS(ShareAmt,ShareLink,$C156))</f>
        <v/>
      </c>
      <c r="F156" s="34">
        <f>IF($N156="","",COUNTIF(ShareLink,$C156))</f>
        <v/>
      </c>
      <c r="G156" s="22">
        <f>IF($N156="","",IF(ROUND($E156-$D156,0)=0,"√","▲ "&amp;TEXT($D156-$E156,"#,##0")))</f>
        <v/>
      </c>
      <c r="N156">
        <f>IFERROR(MATCH($C$5&amp;"|"&amp;RIGHT("000000"&amp;140,6),LdAKeyG,0),"")</f>
        <v/>
      </c>
    </row>
    <row r="157">
      <c r="A157" s="10" t="n">
        <v>141</v>
      </c>
      <c r="B157" s="14">
        <f>IF($N157="","",INDEX(LdADate,$N157))</f>
        <v/>
      </c>
      <c r="C157" s="14">
        <f>IF($N157="","",IF(INDEX(LdAId,$N157)="","—",INDEX(LdAId,$N157)))</f>
        <v/>
      </c>
      <c r="D157" s="16">
        <f>IF($N157="","",IF(INDEX(LdAAmt,$N157)=0,"",INDEX(LdAAmt,$N157)))</f>
        <v/>
      </c>
      <c r="E157" s="16">
        <f>IF($N157="","",SUMIFS(ShareAmt,ShareLink,$C157))</f>
        <v/>
      </c>
      <c r="F157" s="33">
        <f>IF($N157="","",COUNTIF(ShareLink,$C157))</f>
        <v/>
      </c>
      <c r="G157" s="17">
        <f>IF($N157="","",IF(ROUND($E157-$D157,0)=0,"√","▲ "&amp;TEXT($D157-$E157,"#,##0")))</f>
        <v/>
      </c>
      <c r="N157">
        <f>IFERROR(MATCH($C$5&amp;"|"&amp;RIGHT("000000"&amp;141,6),LdAKeyG,0),"")</f>
        <v/>
      </c>
    </row>
    <row r="158">
      <c r="A158" s="19" t="n">
        <v>142</v>
      </c>
      <c r="B158" s="20">
        <f>IF($N158="","",INDEX(LdADate,$N158))</f>
        <v/>
      </c>
      <c r="C158" s="20">
        <f>IF($N158="","",IF(INDEX(LdAId,$N158)="","—",INDEX(LdAId,$N158)))</f>
        <v/>
      </c>
      <c r="D158" s="21">
        <f>IF($N158="","",IF(INDEX(LdAAmt,$N158)=0,"",INDEX(LdAAmt,$N158)))</f>
        <v/>
      </c>
      <c r="E158" s="21">
        <f>IF($N158="","",SUMIFS(ShareAmt,ShareLink,$C158))</f>
        <v/>
      </c>
      <c r="F158" s="34">
        <f>IF($N158="","",COUNTIF(ShareLink,$C158))</f>
        <v/>
      </c>
      <c r="G158" s="22">
        <f>IF($N158="","",IF(ROUND($E158-$D158,0)=0,"√","▲ "&amp;TEXT($D158-$E158,"#,##0")))</f>
        <v/>
      </c>
      <c r="N158">
        <f>IFERROR(MATCH($C$5&amp;"|"&amp;RIGHT("000000"&amp;142,6),LdAKeyG,0),"")</f>
        <v/>
      </c>
    </row>
    <row r="159">
      <c r="A159" s="10" t="n">
        <v>143</v>
      </c>
      <c r="B159" s="14">
        <f>IF($N159="","",INDEX(LdADate,$N159))</f>
        <v/>
      </c>
      <c r="C159" s="14">
        <f>IF($N159="","",IF(INDEX(LdAId,$N159)="","—",INDEX(LdAId,$N159)))</f>
        <v/>
      </c>
      <c r="D159" s="16">
        <f>IF($N159="","",IF(INDEX(LdAAmt,$N159)=0,"",INDEX(LdAAmt,$N159)))</f>
        <v/>
      </c>
      <c r="E159" s="16">
        <f>IF($N159="","",SUMIFS(ShareAmt,ShareLink,$C159))</f>
        <v/>
      </c>
      <c r="F159" s="33">
        <f>IF($N159="","",COUNTIF(ShareLink,$C159))</f>
        <v/>
      </c>
      <c r="G159" s="17">
        <f>IF($N159="","",IF(ROUND($E159-$D159,0)=0,"√","▲ "&amp;TEXT($D159-$E159,"#,##0")))</f>
        <v/>
      </c>
      <c r="N159">
        <f>IFERROR(MATCH($C$5&amp;"|"&amp;RIGHT("000000"&amp;143,6),LdAKeyG,0),"")</f>
        <v/>
      </c>
    </row>
    <row r="160">
      <c r="A160" s="19" t="n">
        <v>144</v>
      </c>
      <c r="B160" s="20">
        <f>IF($N160="","",INDEX(LdADate,$N160))</f>
        <v/>
      </c>
      <c r="C160" s="20">
        <f>IF($N160="","",IF(INDEX(LdAId,$N160)="","—",INDEX(LdAId,$N160)))</f>
        <v/>
      </c>
      <c r="D160" s="21">
        <f>IF($N160="","",IF(INDEX(LdAAmt,$N160)=0,"",INDEX(LdAAmt,$N160)))</f>
        <v/>
      </c>
      <c r="E160" s="21">
        <f>IF($N160="","",SUMIFS(ShareAmt,ShareLink,$C160))</f>
        <v/>
      </c>
      <c r="F160" s="34">
        <f>IF($N160="","",COUNTIF(ShareLink,$C160))</f>
        <v/>
      </c>
      <c r="G160" s="22">
        <f>IF($N160="","",IF(ROUND($E160-$D160,0)=0,"√","▲ "&amp;TEXT($D160-$E160,"#,##0")))</f>
        <v/>
      </c>
      <c r="N160">
        <f>IFERROR(MATCH($C$5&amp;"|"&amp;RIGHT("000000"&amp;144,6),LdAKeyG,0),"")</f>
        <v/>
      </c>
    </row>
    <row r="161">
      <c r="A161" s="10" t="n">
        <v>145</v>
      </c>
      <c r="B161" s="14">
        <f>IF($N161="","",INDEX(LdADate,$N161))</f>
        <v/>
      </c>
      <c r="C161" s="14">
        <f>IF($N161="","",IF(INDEX(LdAId,$N161)="","—",INDEX(LdAId,$N161)))</f>
        <v/>
      </c>
      <c r="D161" s="16">
        <f>IF($N161="","",IF(INDEX(LdAAmt,$N161)=0,"",INDEX(LdAAmt,$N161)))</f>
        <v/>
      </c>
      <c r="E161" s="16">
        <f>IF($N161="","",SUMIFS(ShareAmt,ShareLink,$C161))</f>
        <v/>
      </c>
      <c r="F161" s="33">
        <f>IF($N161="","",COUNTIF(ShareLink,$C161))</f>
        <v/>
      </c>
      <c r="G161" s="17">
        <f>IF($N161="","",IF(ROUND($E161-$D161,0)=0,"√","▲ "&amp;TEXT($D161-$E161,"#,##0")))</f>
        <v/>
      </c>
      <c r="N161">
        <f>IFERROR(MATCH($C$5&amp;"|"&amp;RIGHT("000000"&amp;145,6),LdAKeyG,0),"")</f>
        <v/>
      </c>
    </row>
    <row r="162">
      <c r="A162" s="19" t="n">
        <v>146</v>
      </c>
      <c r="B162" s="20">
        <f>IF($N162="","",INDEX(LdADate,$N162))</f>
        <v/>
      </c>
      <c r="C162" s="20">
        <f>IF($N162="","",IF(INDEX(LdAId,$N162)="","—",INDEX(LdAId,$N162)))</f>
        <v/>
      </c>
      <c r="D162" s="21">
        <f>IF($N162="","",IF(INDEX(LdAAmt,$N162)=0,"",INDEX(LdAAmt,$N162)))</f>
        <v/>
      </c>
      <c r="E162" s="21">
        <f>IF($N162="","",SUMIFS(ShareAmt,ShareLink,$C162))</f>
        <v/>
      </c>
      <c r="F162" s="34">
        <f>IF($N162="","",COUNTIF(ShareLink,$C162))</f>
        <v/>
      </c>
      <c r="G162" s="22">
        <f>IF($N162="","",IF(ROUND($E162-$D162,0)=0,"√","▲ "&amp;TEXT($D162-$E162,"#,##0")))</f>
        <v/>
      </c>
      <c r="N162">
        <f>IFERROR(MATCH($C$5&amp;"|"&amp;RIGHT("000000"&amp;146,6),LdAKeyG,0),"")</f>
        <v/>
      </c>
    </row>
    <row r="163">
      <c r="A163" s="10" t="n">
        <v>147</v>
      </c>
      <c r="B163" s="14">
        <f>IF($N163="","",INDEX(LdADate,$N163))</f>
        <v/>
      </c>
      <c r="C163" s="14">
        <f>IF($N163="","",IF(INDEX(LdAId,$N163)="","—",INDEX(LdAId,$N163)))</f>
        <v/>
      </c>
      <c r="D163" s="16">
        <f>IF($N163="","",IF(INDEX(LdAAmt,$N163)=0,"",INDEX(LdAAmt,$N163)))</f>
        <v/>
      </c>
      <c r="E163" s="16">
        <f>IF($N163="","",SUMIFS(ShareAmt,ShareLink,$C163))</f>
        <v/>
      </c>
      <c r="F163" s="33">
        <f>IF($N163="","",COUNTIF(ShareLink,$C163))</f>
        <v/>
      </c>
      <c r="G163" s="17">
        <f>IF($N163="","",IF(ROUND($E163-$D163,0)=0,"√","▲ "&amp;TEXT($D163-$E163,"#,##0")))</f>
        <v/>
      </c>
      <c r="N163">
        <f>IFERROR(MATCH($C$5&amp;"|"&amp;RIGHT("000000"&amp;147,6),LdAKeyG,0),"")</f>
        <v/>
      </c>
    </row>
    <row r="164">
      <c r="A164" s="19" t="n">
        <v>148</v>
      </c>
      <c r="B164" s="20">
        <f>IF($N164="","",INDEX(LdADate,$N164))</f>
        <v/>
      </c>
      <c r="C164" s="20">
        <f>IF($N164="","",IF(INDEX(LdAId,$N164)="","—",INDEX(LdAId,$N164)))</f>
        <v/>
      </c>
      <c r="D164" s="21">
        <f>IF($N164="","",IF(INDEX(LdAAmt,$N164)=0,"",INDEX(LdAAmt,$N164)))</f>
        <v/>
      </c>
      <c r="E164" s="21">
        <f>IF($N164="","",SUMIFS(ShareAmt,ShareLink,$C164))</f>
        <v/>
      </c>
      <c r="F164" s="34">
        <f>IF($N164="","",COUNTIF(ShareLink,$C164))</f>
        <v/>
      </c>
      <c r="G164" s="22">
        <f>IF($N164="","",IF(ROUND($E164-$D164,0)=0,"√","▲ "&amp;TEXT($D164-$E164,"#,##0")))</f>
        <v/>
      </c>
      <c r="N164">
        <f>IFERROR(MATCH($C$5&amp;"|"&amp;RIGHT("000000"&amp;148,6),LdAKeyG,0),"")</f>
        <v/>
      </c>
    </row>
    <row r="165">
      <c r="A165" s="10" t="n">
        <v>149</v>
      </c>
      <c r="B165" s="14">
        <f>IF($N165="","",INDEX(LdADate,$N165))</f>
        <v/>
      </c>
      <c r="C165" s="14">
        <f>IF($N165="","",IF(INDEX(LdAId,$N165)="","—",INDEX(LdAId,$N165)))</f>
        <v/>
      </c>
      <c r="D165" s="16">
        <f>IF($N165="","",IF(INDEX(LdAAmt,$N165)=0,"",INDEX(LdAAmt,$N165)))</f>
        <v/>
      </c>
      <c r="E165" s="16">
        <f>IF($N165="","",SUMIFS(ShareAmt,ShareLink,$C165))</f>
        <v/>
      </c>
      <c r="F165" s="33">
        <f>IF($N165="","",COUNTIF(ShareLink,$C165))</f>
        <v/>
      </c>
      <c r="G165" s="17">
        <f>IF($N165="","",IF(ROUND($E165-$D165,0)=0,"√","▲ "&amp;TEXT($D165-$E165,"#,##0")))</f>
        <v/>
      </c>
      <c r="N165">
        <f>IFERROR(MATCH($C$5&amp;"|"&amp;RIGHT("000000"&amp;149,6),LdAKeyG,0),"")</f>
        <v/>
      </c>
    </row>
    <row r="166">
      <c r="A166" s="19" t="n">
        <v>150</v>
      </c>
      <c r="B166" s="20">
        <f>IF($N166="","",INDEX(LdADate,$N166))</f>
        <v/>
      </c>
      <c r="C166" s="20">
        <f>IF($N166="","",IF(INDEX(LdAId,$N166)="","—",INDEX(LdAId,$N166)))</f>
        <v/>
      </c>
      <c r="D166" s="21">
        <f>IF($N166="","",IF(INDEX(LdAAmt,$N166)=0,"",INDEX(LdAAmt,$N166)))</f>
        <v/>
      </c>
      <c r="E166" s="21">
        <f>IF($N166="","",SUMIFS(ShareAmt,ShareLink,$C166))</f>
        <v/>
      </c>
      <c r="F166" s="34">
        <f>IF($N166="","",COUNTIF(ShareLink,$C166))</f>
        <v/>
      </c>
      <c r="G166" s="22">
        <f>IF($N166="","",IF(ROUND($E166-$D166,0)=0,"√","▲ "&amp;TEXT($D166-$E166,"#,##0")))</f>
        <v/>
      </c>
      <c r="N166">
        <f>IFERROR(MATCH($C$5&amp;"|"&amp;RIGHT("000000"&amp;150,6),LdAKeyG,0),"")</f>
        <v/>
      </c>
    </row>
    <row r="167">
      <c r="A167" s="10" t="n">
        <v>151</v>
      </c>
      <c r="B167" s="14">
        <f>IF($N167="","",INDEX(LdADate,$N167))</f>
        <v/>
      </c>
      <c r="C167" s="14">
        <f>IF($N167="","",IF(INDEX(LdAId,$N167)="","—",INDEX(LdAId,$N167)))</f>
        <v/>
      </c>
      <c r="D167" s="16">
        <f>IF($N167="","",IF(INDEX(LdAAmt,$N167)=0,"",INDEX(LdAAmt,$N167)))</f>
        <v/>
      </c>
      <c r="E167" s="16">
        <f>IF($N167="","",SUMIFS(ShareAmt,ShareLink,$C167))</f>
        <v/>
      </c>
      <c r="F167" s="33">
        <f>IF($N167="","",COUNTIF(ShareLink,$C167))</f>
        <v/>
      </c>
      <c r="G167" s="17">
        <f>IF($N167="","",IF(ROUND($E167-$D167,0)=0,"√","▲ "&amp;TEXT($D167-$E167,"#,##0")))</f>
        <v/>
      </c>
      <c r="N167">
        <f>IFERROR(MATCH($C$5&amp;"|"&amp;RIGHT("000000"&amp;151,6),LdAKeyG,0),"")</f>
        <v/>
      </c>
    </row>
    <row r="168">
      <c r="A168" s="19" t="n">
        <v>152</v>
      </c>
      <c r="B168" s="20">
        <f>IF($N168="","",INDEX(LdADate,$N168))</f>
        <v/>
      </c>
      <c r="C168" s="20">
        <f>IF($N168="","",IF(INDEX(LdAId,$N168)="","—",INDEX(LdAId,$N168)))</f>
        <v/>
      </c>
      <c r="D168" s="21">
        <f>IF($N168="","",IF(INDEX(LdAAmt,$N168)=0,"",INDEX(LdAAmt,$N168)))</f>
        <v/>
      </c>
      <c r="E168" s="21">
        <f>IF($N168="","",SUMIFS(ShareAmt,ShareLink,$C168))</f>
        <v/>
      </c>
      <c r="F168" s="34">
        <f>IF($N168="","",COUNTIF(ShareLink,$C168))</f>
        <v/>
      </c>
      <c r="G168" s="22">
        <f>IF($N168="","",IF(ROUND($E168-$D168,0)=0,"√","▲ "&amp;TEXT($D168-$E168,"#,##0")))</f>
        <v/>
      </c>
      <c r="N168">
        <f>IFERROR(MATCH($C$5&amp;"|"&amp;RIGHT("000000"&amp;152,6),LdAKeyG,0),"")</f>
        <v/>
      </c>
    </row>
    <row r="169">
      <c r="A169" s="10" t="n">
        <v>153</v>
      </c>
      <c r="B169" s="14">
        <f>IF($N169="","",INDEX(LdADate,$N169))</f>
        <v/>
      </c>
      <c r="C169" s="14">
        <f>IF($N169="","",IF(INDEX(LdAId,$N169)="","—",INDEX(LdAId,$N169)))</f>
        <v/>
      </c>
      <c r="D169" s="16">
        <f>IF($N169="","",IF(INDEX(LdAAmt,$N169)=0,"",INDEX(LdAAmt,$N169)))</f>
        <v/>
      </c>
      <c r="E169" s="16">
        <f>IF($N169="","",SUMIFS(ShareAmt,ShareLink,$C169))</f>
        <v/>
      </c>
      <c r="F169" s="33">
        <f>IF($N169="","",COUNTIF(ShareLink,$C169))</f>
        <v/>
      </c>
      <c r="G169" s="17">
        <f>IF($N169="","",IF(ROUND($E169-$D169,0)=0,"√","▲ "&amp;TEXT($D169-$E169,"#,##0")))</f>
        <v/>
      </c>
      <c r="N169">
        <f>IFERROR(MATCH($C$5&amp;"|"&amp;RIGHT("000000"&amp;153,6),LdAKeyG,0),"")</f>
        <v/>
      </c>
    </row>
    <row r="170">
      <c r="A170" s="19" t="n">
        <v>154</v>
      </c>
      <c r="B170" s="20">
        <f>IF($N170="","",INDEX(LdADate,$N170))</f>
        <v/>
      </c>
      <c r="C170" s="20">
        <f>IF($N170="","",IF(INDEX(LdAId,$N170)="","—",INDEX(LdAId,$N170)))</f>
        <v/>
      </c>
      <c r="D170" s="21">
        <f>IF($N170="","",IF(INDEX(LdAAmt,$N170)=0,"",INDEX(LdAAmt,$N170)))</f>
        <v/>
      </c>
      <c r="E170" s="21">
        <f>IF($N170="","",SUMIFS(ShareAmt,ShareLink,$C170))</f>
        <v/>
      </c>
      <c r="F170" s="34">
        <f>IF($N170="","",COUNTIF(ShareLink,$C170))</f>
        <v/>
      </c>
      <c r="G170" s="22">
        <f>IF($N170="","",IF(ROUND($E170-$D170,0)=0,"√","▲ "&amp;TEXT($D170-$E170,"#,##0")))</f>
        <v/>
      </c>
      <c r="N170">
        <f>IFERROR(MATCH($C$5&amp;"|"&amp;RIGHT("000000"&amp;154,6),LdAKeyG,0),"")</f>
        <v/>
      </c>
    </row>
    <row r="171">
      <c r="A171" s="10" t="n">
        <v>155</v>
      </c>
      <c r="B171" s="14">
        <f>IF($N171="","",INDEX(LdADate,$N171))</f>
        <v/>
      </c>
      <c r="C171" s="14">
        <f>IF($N171="","",IF(INDEX(LdAId,$N171)="","—",INDEX(LdAId,$N171)))</f>
        <v/>
      </c>
      <c r="D171" s="16">
        <f>IF($N171="","",IF(INDEX(LdAAmt,$N171)=0,"",INDEX(LdAAmt,$N171)))</f>
        <v/>
      </c>
      <c r="E171" s="16">
        <f>IF($N171="","",SUMIFS(ShareAmt,ShareLink,$C171))</f>
        <v/>
      </c>
      <c r="F171" s="33">
        <f>IF($N171="","",COUNTIF(ShareLink,$C171))</f>
        <v/>
      </c>
      <c r="G171" s="17">
        <f>IF($N171="","",IF(ROUND($E171-$D171,0)=0,"√","▲ "&amp;TEXT($D171-$E171,"#,##0")))</f>
        <v/>
      </c>
      <c r="N171">
        <f>IFERROR(MATCH($C$5&amp;"|"&amp;RIGHT("000000"&amp;155,6),LdAKeyG,0),"")</f>
        <v/>
      </c>
    </row>
    <row r="172">
      <c r="A172" s="19" t="n">
        <v>156</v>
      </c>
      <c r="B172" s="20">
        <f>IF($N172="","",INDEX(LdADate,$N172))</f>
        <v/>
      </c>
      <c r="C172" s="20">
        <f>IF($N172="","",IF(INDEX(LdAId,$N172)="","—",INDEX(LdAId,$N172)))</f>
        <v/>
      </c>
      <c r="D172" s="21">
        <f>IF($N172="","",IF(INDEX(LdAAmt,$N172)=0,"",INDEX(LdAAmt,$N172)))</f>
        <v/>
      </c>
      <c r="E172" s="21">
        <f>IF($N172="","",SUMIFS(ShareAmt,ShareLink,$C172))</f>
        <v/>
      </c>
      <c r="F172" s="34">
        <f>IF($N172="","",COUNTIF(ShareLink,$C172))</f>
        <v/>
      </c>
      <c r="G172" s="22">
        <f>IF($N172="","",IF(ROUND($E172-$D172,0)=0,"√","▲ "&amp;TEXT($D172-$E172,"#,##0")))</f>
        <v/>
      </c>
      <c r="N172">
        <f>IFERROR(MATCH($C$5&amp;"|"&amp;RIGHT("000000"&amp;156,6),LdAKeyG,0),"")</f>
        <v/>
      </c>
    </row>
    <row r="173">
      <c r="A173" s="10" t="n">
        <v>157</v>
      </c>
      <c r="B173" s="14">
        <f>IF($N173="","",INDEX(LdADate,$N173))</f>
        <v/>
      </c>
      <c r="C173" s="14">
        <f>IF($N173="","",IF(INDEX(LdAId,$N173)="","—",INDEX(LdAId,$N173)))</f>
        <v/>
      </c>
      <c r="D173" s="16">
        <f>IF($N173="","",IF(INDEX(LdAAmt,$N173)=0,"",INDEX(LdAAmt,$N173)))</f>
        <v/>
      </c>
      <c r="E173" s="16">
        <f>IF($N173="","",SUMIFS(ShareAmt,ShareLink,$C173))</f>
        <v/>
      </c>
      <c r="F173" s="33">
        <f>IF($N173="","",COUNTIF(ShareLink,$C173))</f>
        <v/>
      </c>
      <c r="G173" s="17">
        <f>IF($N173="","",IF(ROUND($E173-$D173,0)=0,"√","▲ "&amp;TEXT($D173-$E173,"#,##0")))</f>
        <v/>
      </c>
      <c r="N173">
        <f>IFERROR(MATCH($C$5&amp;"|"&amp;RIGHT("000000"&amp;157,6),LdAKeyG,0),"")</f>
        <v/>
      </c>
    </row>
    <row r="174">
      <c r="A174" s="19" t="n">
        <v>158</v>
      </c>
      <c r="B174" s="20">
        <f>IF($N174="","",INDEX(LdADate,$N174))</f>
        <v/>
      </c>
      <c r="C174" s="20">
        <f>IF($N174="","",IF(INDEX(LdAId,$N174)="","—",INDEX(LdAId,$N174)))</f>
        <v/>
      </c>
      <c r="D174" s="21">
        <f>IF($N174="","",IF(INDEX(LdAAmt,$N174)=0,"",INDEX(LdAAmt,$N174)))</f>
        <v/>
      </c>
      <c r="E174" s="21">
        <f>IF($N174="","",SUMIFS(ShareAmt,ShareLink,$C174))</f>
        <v/>
      </c>
      <c r="F174" s="34">
        <f>IF($N174="","",COUNTIF(ShareLink,$C174))</f>
        <v/>
      </c>
      <c r="G174" s="22">
        <f>IF($N174="","",IF(ROUND($E174-$D174,0)=0,"√","▲ "&amp;TEXT($D174-$E174,"#,##0")))</f>
        <v/>
      </c>
      <c r="N174">
        <f>IFERROR(MATCH($C$5&amp;"|"&amp;RIGHT("000000"&amp;158,6),LdAKeyG,0),"")</f>
        <v/>
      </c>
    </row>
    <row r="175">
      <c r="A175" s="10" t="n">
        <v>159</v>
      </c>
      <c r="B175" s="14">
        <f>IF($N175="","",INDEX(LdADate,$N175))</f>
        <v/>
      </c>
      <c r="C175" s="14">
        <f>IF($N175="","",IF(INDEX(LdAId,$N175)="","—",INDEX(LdAId,$N175)))</f>
        <v/>
      </c>
      <c r="D175" s="16">
        <f>IF($N175="","",IF(INDEX(LdAAmt,$N175)=0,"",INDEX(LdAAmt,$N175)))</f>
        <v/>
      </c>
      <c r="E175" s="16">
        <f>IF($N175="","",SUMIFS(ShareAmt,ShareLink,$C175))</f>
        <v/>
      </c>
      <c r="F175" s="33">
        <f>IF($N175="","",COUNTIF(ShareLink,$C175))</f>
        <v/>
      </c>
      <c r="G175" s="17">
        <f>IF($N175="","",IF(ROUND($E175-$D175,0)=0,"√","▲ "&amp;TEXT($D175-$E175,"#,##0")))</f>
        <v/>
      </c>
      <c r="N175">
        <f>IFERROR(MATCH($C$5&amp;"|"&amp;RIGHT("000000"&amp;159,6),LdAKeyG,0),"")</f>
        <v/>
      </c>
    </row>
    <row r="176">
      <c r="A176" s="19" t="n">
        <v>160</v>
      </c>
      <c r="B176" s="20">
        <f>IF($N176="","",INDEX(LdADate,$N176))</f>
        <v/>
      </c>
      <c r="C176" s="20">
        <f>IF($N176="","",IF(INDEX(LdAId,$N176)="","—",INDEX(LdAId,$N176)))</f>
        <v/>
      </c>
      <c r="D176" s="21">
        <f>IF($N176="","",IF(INDEX(LdAAmt,$N176)=0,"",INDEX(LdAAmt,$N176)))</f>
        <v/>
      </c>
      <c r="E176" s="21">
        <f>IF($N176="","",SUMIFS(ShareAmt,ShareLink,$C176))</f>
        <v/>
      </c>
      <c r="F176" s="34">
        <f>IF($N176="","",COUNTIF(ShareLink,$C176))</f>
        <v/>
      </c>
      <c r="G176" s="22">
        <f>IF($N176="","",IF(ROUND($E176-$D176,0)=0,"√","▲ "&amp;TEXT($D176-$E176,"#,##0")))</f>
        <v/>
      </c>
      <c r="N176">
        <f>IFERROR(MATCH($C$5&amp;"|"&amp;RIGHT("000000"&amp;160,6),LdAKeyG,0),"")</f>
        <v/>
      </c>
    </row>
    <row r="177">
      <c r="A177" s="10" t="n">
        <v>161</v>
      </c>
      <c r="B177" s="14">
        <f>IF($N177="","",INDEX(LdADate,$N177))</f>
        <v/>
      </c>
      <c r="C177" s="14">
        <f>IF($N177="","",IF(INDEX(LdAId,$N177)="","—",INDEX(LdAId,$N177)))</f>
        <v/>
      </c>
      <c r="D177" s="16">
        <f>IF($N177="","",IF(INDEX(LdAAmt,$N177)=0,"",INDEX(LdAAmt,$N177)))</f>
        <v/>
      </c>
      <c r="E177" s="16">
        <f>IF($N177="","",SUMIFS(ShareAmt,ShareLink,$C177))</f>
        <v/>
      </c>
      <c r="F177" s="33">
        <f>IF($N177="","",COUNTIF(ShareLink,$C177))</f>
        <v/>
      </c>
      <c r="G177" s="17">
        <f>IF($N177="","",IF(ROUND($E177-$D177,0)=0,"√","▲ "&amp;TEXT($D177-$E177,"#,##0")))</f>
        <v/>
      </c>
      <c r="N177">
        <f>IFERROR(MATCH($C$5&amp;"|"&amp;RIGHT("000000"&amp;161,6),LdAKeyG,0),"")</f>
        <v/>
      </c>
    </row>
    <row r="178">
      <c r="A178" s="19" t="n">
        <v>162</v>
      </c>
      <c r="B178" s="20">
        <f>IF($N178="","",INDEX(LdADate,$N178))</f>
        <v/>
      </c>
      <c r="C178" s="20">
        <f>IF($N178="","",IF(INDEX(LdAId,$N178)="","—",INDEX(LdAId,$N178)))</f>
        <v/>
      </c>
      <c r="D178" s="21">
        <f>IF($N178="","",IF(INDEX(LdAAmt,$N178)=0,"",INDEX(LdAAmt,$N178)))</f>
        <v/>
      </c>
      <c r="E178" s="21">
        <f>IF($N178="","",SUMIFS(ShareAmt,ShareLink,$C178))</f>
        <v/>
      </c>
      <c r="F178" s="34">
        <f>IF($N178="","",COUNTIF(ShareLink,$C178))</f>
        <v/>
      </c>
      <c r="G178" s="22">
        <f>IF($N178="","",IF(ROUND($E178-$D178,0)=0,"√","▲ "&amp;TEXT($D178-$E178,"#,##0")))</f>
        <v/>
      </c>
      <c r="N178">
        <f>IFERROR(MATCH($C$5&amp;"|"&amp;RIGHT("000000"&amp;162,6),LdAKeyG,0),"")</f>
        <v/>
      </c>
    </row>
    <row r="179">
      <c r="A179" s="10" t="n">
        <v>163</v>
      </c>
      <c r="B179" s="14">
        <f>IF($N179="","",INDEX(LdADate,$N179))</f>
        <v/>
      </c>
      <c r="C179" s="14">
        <f>IF($N179="","",IF(INDEX(LdAId,$N179)="","—",INDEX(LdAId,$N179)))</f>
        <v/>
      </c>
      <c r="D179" s="16">
        <f>IF($N179="","",IF(INDEX(LdAAmt,$N179)=0,"",INDEX(LdAAmt,$N179)))</f>
        <v/>
      </c>
      <c r="E179" s="16">
        <f>IF($N179="","",SUMIFS(ShareAmt,ShareLink,$C179))</f>
        <v/>
      </c>
      <c r="F179" s="33">
        <f>IF($N179="","",COUNTIF(ShareLink,$C179))</f>
        <v/>
      </c>
      <c r="G179" s="17">
        <f>IF($N179="","",IF(ROUND($E179-$D179,0)=0,"√","▲ "&amp;TEXT($D179-$E179,"#,##0")))</f>
        <v/>
      </c>
      <c r="N179">
        <f>IFERROR(MATCH($C$5&amp;"|"&amp;RIGHT("000000"&amp;163,6),LdAKeyG,0),"")</f>
        <v/>
      </c>
    </row>
    <row r="180">
      <c r="A180" s="19" t="n">
        <v>164</v>
      </c>
      <c r="B180" s="20">
        <f>IF($N180="","",INDEX(LdADate,$N180))</f>
        <v/>
      </c>
      <c r="C180" s="20">
        <f>IF($N180="","",IF(INDEX(LdAId,$N180)="","—",INDEX(LdAId,$N180)))</f>
        <v/>
      </c>
      <c r="D180" s="21">
        <f>IF($N180="","",IF(INDEX(LdAAmt,$N180)=0,"",INDEX(LdAAmt,$N180)))</f>
        <v/>
      </c>
      <c r="E180" s="21">
        <f>IF($N180="","",SUMIFS(ShareAmt,ShareLink,$C180))</f>
        <v/>
      </c>
      <c r="F180" s="34">
        <f>IF($N180="","",COUNTIF(ShareLink,$C180))</f>
        <v/>
      </c>
      <c r="G180" s="22">
        <f>IF($N180="","",IF(ROUND($E180-$D180,0)=0,"√","▲ "&amp;TEXT($D180-$E180,"#,##0")))</f>
        <v/>
      </c>
      <c r="N180">
        <f>IFERROR(MATCH($C$5&amp;"|"&amp;RIGHT("000000"&amp;164,6),LdAKeyG,0),"")</f>
        <v/>
      </c>
    </row>
    <row r="181">
      <c r="A181" s="10" t="n">
        <v>165</v>
      </c>
      <c r="B181" s="14">
        <f>IF($N181="","",INDEX(LdADate,$N181))</f>
        <v/>
      </c>
      <c r="C181" s="14">
        <f>IF($N181="","",IF(INDEX(LdAId,$N181)="","—",INDEX(LdAId,$N181)))</f>
        <v/>
      </c>
      <c r="D181" s="16">
        <f>IF($N181="","",IF(INDEX(LdAAmt,$N181)=0,"",INDEX(LdAAmt,$N181)))</f>
        <v/>
      </c>
      <c r="E181" s="16">
        <f>IF($N181="","",SUMIFS(ShareAmt,ShareLink,$C181))</f>
        <v/>
      </c>
      <c r="F181" s="33">
        <f>IF($N181="","",COUNTIF(ShareLink,$C181))</f>
        <v/>
      </c>
      <c r="G181" s="17">
        <f>IF($N181="","",IF(ROUND($E181-$D181,0)=0,"√","▲ "&amp;TEXT($D181-$E181,"#,##0")))</f>
        <v/>
      </c>
      <c r="N181">
        <f>IFERROR(MATCH($C$5&amp;"|"&amp;RIGHT("000000"&amp;165,6),LdAKeyG,0),"")</f>
        <v/>
      </c>
    </row>
    <row r="182">
      <c r="A182" s="19" t="n">
        <v>166</v>
      </c>
      <c r="B182" s="20">
        <f>IF($N182="","",INDEX(LdADate,$N182))</f>
        <v/>
      </c>
      <c r="C182" s="20">
        <f>IF($N182="","",IF(INDEX(LdAId,$N182)="","—",INDEX(LdAId,$N182)))</f>
        <v/>
      </c>
      <c r="D182" s="21">
        <f>IF($N182="","",IF(INDEX(LdAAmt,$N182)=0,"",INDEX(LdAAmt,$N182)))</f>
        <v/>
      </c>
      <c r="E182" s="21">
        <f>IF($N182="","",SUMIFS(ShareAmt,ShareLink,$C182))</f>
        <v/>
      </c>
      <c r="F182" s="34">
        <f>IF($N182="","",COUNTIF(ShareLink,$C182))</f>
        <v/>
      </c>
      <c r="G182" s="22">
        <f>IF($N182="","",IF(ROUND($E182-$D182,0)=0,"√","▲ "&amp;TEXT($D182-$E182,"#,##0")))</f>
        <v/>
      </c>
      <c r="N182">
        <f>IFERROR(MATCH($C$5&amp;"|"&amp;RIGHT("000000"&amp;166,6),LdAKeyG,0),"")</f>
        <v/>
      </c>
    </row>
    <row r="183">
      <c r="A183" s="10" t="n">
        <v>167</v>
      </c>
      <c r="B183" s="14">
        <f>IF($N183="","",INDEX(LdADate,$N183))</f>
        <v/>
      </c>
      <c r="C183" s="14">
        <f>IF($N183="","",IF(INDEX(LdAId,$N183)="","—",INDEX(LdAId,$N183)))</f>
        <v/>
      </c>
      <c r="D183" s="16">
        <f>IF($N183="","",IF(INDEX(LdAAmt,$N183)=0,"",INDEX(LdAAmt,$N183)))</f>
        <v/>
      </c>
      <c r="E183" s="16">
        <f>IF($N183="","",SUMIFS(ShareAmt,ShareLink,$C183))</f>
        <v/>
      </c>
      <c r="F183" s="33">
        <f>IF($N183="","",COUNTIF(ShareLink,$C183))</f>
        <v/>
      </c>
      <c r="G183" s="17">
        <f>IF($N183="","",IF(ROUND($E183-$D183,0)=0,"√","▲ "&amp;TEXT($D183-$E183,"#,##0")))</f>
        <v/>
      </c>
      <c r="N183">
        <f>IFERROR(MATCH($C$5&amp;"|"&amp;RIGHT("000000"&amp;167,6),LdAKeyG,0),"")</f>
        <v/>
      </c>
    </row>
    <row r="184">
      <c r="A184" s="19" t="n">
        <v>168</v>
      </c>
      <c r="B184" s="20">
        <f>IF($N184="","",INDEX(LdADate,$N184))</f>
        <v/>
      </c>
      <c r="C184" s="20">
        <f>IF($N184="","",IF(INDEX(LdAId,$N184)="","—",INDEX(LdAId,$N184)))</f>
        <v/>
      </c>
      <c r="D184" s="21">
        <f>IF($N184="","",IF(INDEX(LdAAmt,$N184)=0,"",INDEX(LdAAmt,$N184)))</f>
        <v/>
      </c>
      <c r="E184" s="21">
        <f>IF($N184="","",SUMIFS(ShareAmt,ShareLink,$C184))</f>
        <v/>
      </c>
      <c r="F184" s="34">
        <f>IF($N184="","",COUNTIF(ShareLink,$C184))</f>
        <v/>
      </c>
      <c r="G184" s="22">
        <f>IF($N184="","",IF(ROUND($E184-$D184,0)=0,"√","▲ "&amp;TEXT($D184-$E184,"#,##0")))</f>
        <v/>
      </c>
      <c r="N184">
        <f>IFERROR(MATCH($C$5&amp;"|"&amp;RIGHT("000000"&amp;168,6),LdAKeyG,0),"")</f>
        <v/>
      </c>
    </row>
    <row r="185">
      <c r="A185" s="10" t="n">
        <v>169</v>
      </c>
      <c r="B185" s="14">
        <f>IF($N185="","",INDEX(LdADate,$N185))</f>
        <v/>
      </c>
      <c r="C185" s="14">
        <f>IF($N185="","",IF(INDEX(LdAId,$N185)="","—",INDEX(LdAId,$N185)))</f>
        <v/>
      </c>
      <c r="D185" s="16">
        <f>IF($N185="","",IF(INDEX(LdAAmt,$N185)=0,"",INDEX(LdAAmt,$N185)))</f>
        <v/>
      </c>
      <c r="E185" s="16">
        <f>IF($N185="","",SUMIFS(ShareAmt,ShareLink,$C185))</f>
        <v/>
      </c>
      <c r="F185" s="33">
        <f>IF($N185="","",COUNTIF(ShareLink,$C185))</f>
        <v/>
      </c>
      <c r="G185" s="17">
        <f>IF($N185="","",IF(ROUND($E185-$D185,0)=0,"√","▲ "&amp;TEXT($D185-$E185,"#,##0")))</f>
        <v/>
      </c>
      <c r="N185">
        <f>IFERROR(MATCH($C$5&amp;"|"&amp;RIGHT("000000"&amp;169,6),LdAKeyG,0),"")</f>
        <v/>
      </c>
    </row>
    <row r="186">
      <c r="A186" s="19" t="n">
        <v>170</v>
      </c>
      <c r="B186" s="20">
        <f>IF($N186="","",INDEX(LdADate,$N186))</f>
        <v/>
      </c>
      <c r="C186" s="20">
        <f>IF($N186="","",IF(INDEX(LdAId,$N186)="","—",INDEX(LdAId,$N186)))</f>
        <v/>
      </c>
      <c r="D186" s="21">
        <f>IF($N186="","",IF(INDEX(LdAAmt,$N186)=0,"",INDEX(LdAAmt,$N186)))</f>
        <v/>
      </c>
      <c r="E186" s="21">
        <f>IF($N186="","",SUMIFS(ShareAmt,ShareLink,$C186))</f>
        <v/>
      </c>
      <c r="F186" s="34">
        <f>IF($N186="","",COUNTIF(ShareLink,$C186))</f>
        <v/>
      </c>
      <c r="G186" s="22">
        <f>IF($N186="","",IF(ROUND($E186-$D186,0)=0,"√","▲ "&amp;TEXT($D186-$E186,"#,##0")))</f>
        <v/>
      </c>
      <c r="N186">
        <f>IFERROR(MATCH($C$5&amp;"|"&amp;RIGHT("000000"&amp;170,6),LdAKeyG,0),"")</f>
        <v/>
      </c>
    </row>
    <row r="187">
      <c r="A187" s="10" t="n">
        <v>171</v>
      </c>
      <c r="B187" s="14">
        <f>IF($N187="","",INDEX(LdADate,$N187))</f>
        <v/>
      </c>
      <c r="C187" s="14">
        <f>IF($N187="","",IF(INDEX(LdAId,$N187)="","—",INDEX(LdAId,$N187)))</f>
        <v/>
      </c>
      <c r="D187" s="16">
        <f>IF($N187="","",IF(INDEX(LdAAmt,$N187)=0,"",INDEX(LdAAmt,$N187)))</f>
        <v/>
      </c>
      <c r="E187" s="16">
        <f>IF($N187="","",SUMIFS(ShareAmt,ShareLink,$C187))</f>
        <v/>
      </c>
      <c r="F187" s="33">
        <f>IF($N187="","",COUNTIF(ShareLink,$C187))</f>
        <v/>
      </c>
      <c r="G187" s="17">
        <f>IF($N187="","",IF(ROUND($E187-$D187,0)=0,"√","▲ "&amp;TEXT($D187-$E187,"#,##0")))</f>
        <v/>
      </c>
      <c r="N187">
        <f>IFERROR(MATCH($C$5&amp;"|"&amp;RIGHT("000000"&amp;171,6),LdAKeyG,0),"")</f>
        <v/>
      </c>
    </row>
    <row r="188">
      <c r="A188" s="19" t="n">
        <v>172</v>
      </c>
      <c r="B188" s="20">
        <f>IF($N188="","",INDEX(LdADate,$N188))</f>
        <v/>
      </c>
      <c r="C188" s="20">
        <f>IF($N188="","",IF(INDEX(LdAId,$N188)="","—",INDEX(LdAId,$N188)))</f>
        <v/>
      </c>
      <c r="D188" s="21">
        <f>IF($N188="","",IF(INDEX(LdAAmt,$N188)=0,"",INDEX(LdAAmt,$N188)))</f>
        <v/>
      </c>
      <c r="E188" s="21">
        <f>IF($N188="","",SUMIFS(ShareAmt,ShareLink,$C188))</f>
        <v/>
      </c>
      <c r="F188" s="34">
        <f>IF($N188="","",COUNTIF(ShareLink,$C188))</f>
        <v/>
      </c>
      <c r="G188" s="22">
        <f>IF($N188="","",IF(ROUND($E188-$D188,0)=0,"√","▲ "&amp;TEXT($D188-$E188,"#,##0")))</f>
        <v/>
      </c>
      <c r="N188">
        <f>IFERROR(MATCH($C$5&amp;"|"&amp;RIGHT("000000"&amp;172,6),LdAKeyG,0),"")</f>
        <v/>
      </c>
    </row>
    <row r="189">
      <c r="A189" s="10" t="n">
        <v>173</v>
      </c>
      <c r="B189" s="14">
        <f>IF($N189="","",INDEX(LdADate,$N189))</f>
        <v/>
      </c>
      <c r="C189" s="14">
        <f>IF($N189="","",IF(INDEX(LdAId,$N189)="","—",INDEX(LdAId,$N189)))</f>
        <v/>
      </c>
      <c r="D189" s="16">
        <f>IF($N189="","",IF(INDEX(LdAAmt,$N189)=0,"",INDEX(LdAAmt,$N189)))</f>
        <v/>
      </c>
      <c r="E189" s="16">
        <f>IF($N189="","",SUMIFS(ShareAmt,ShareLink,$C189))</f>
        <v/>
      </c>
      <c r="F189" s="33">
        <f>IF($N189="","",COUNTIF(ShareLink,$C189))</f>
        <v/>
      </c>
      <c r="G189" s="17">
        <f>IF($N189="","",IF(ROUND($E189-$D189,0)=0,"√","▲ "&amp;TEXT($D189-$E189,"#,##0")))</f>
        <v/>
      </c>
      <c r="N189">
        <f>IFERROR(MATCH($C$5&amp;"|"&amp;RIGHT("000000"&amp;173,6),LdAKeyG,0),"")</f>
        <v/>
      </c>
    </row>
    <row r="190">
      <c r="A190" s="19" t="n">
        <v>174</v>
      </c>
      <c r="B190" s="20">
        <f>IF($N190="","",INDEX(LdADate,$N190))</f>
        <v/>
      </c>
      <c r="C190" s="20">
        <f>IF($N190="","",IF(INDEX(LdAId,$N190)="","—",INDEX(LdAId,$N190)))</f>
        <v/>
      </c>
      <c r="D190" s="21">
        <f>IF($N190="","",IF(INDEX(LdAAmt,$N190)=0,"",INDEX(LdAAmt,$N190)))</f>
        <v/>
      </c>
      <c r="E190" s="21">
        <f>IF($N190="","",SUMIFS(ShareAmt,ShareLink,$C190))</f>
        <v/>
      </c>
      <c r="F190" s="34">
        <f>IF($N190="","",COUNTIF(ShareLink,$C190))</f>
        <v/>
      </c>
      <c r="G190" s="22">
        <f>IF($N190="","",IF(ROUND($E190-$D190,0)=0,"√","▲ "&amp;TEXT($D190-$E190,"#,##0")))</f>
        <v/>
      </c>
      <c r="N190">
        <f>IFERROR(MATCH($C$5&amp;"|"&amp;RIGHT("000000"&amp;174,6),LdAKeyG,0),"")</f>
        <v/>
      </c>
    </row>
    <row r="191">
      <c r="A191" s="10" t="n">
        <v>175</v>
      </c>
      <c r="B191" s="14">
        <f>IF($N191="","",INDEX(LdADate,$N191))</f>
        <v/>
      </c>
      <c r="C191" s="14">
        <f>IF($N191="","",IF(INDEX(LdAId,$N191)="","—",INDEX(LdAId,$N191)))</f>
        <v/>
      </c>
      <c r="D191" s="16">
        <f>IF($N191="","",IF(INDEX(LdAAmt,$N191)=0,"",INDEX(LdAAmt,$N191)))</f>
        <v/>
      </c>
      <c r="E191" s="16">
        <f>IF($N191="","",SUMIFS(ShareAmt,ShareLink,$C191))</f>
        <v/>
      </c>
      <c r="F191" s="33">
        <f>IF($N191="","",COUNTIF(ShareLink,$C191))</f>
        <v/>
      </c>
      <c r="G191" s="17">
        <f>IF($N191="","",IF(ROUND($E191-$D191,0)=0,"√","▲ "&amp;TEXT($D191-$E191,"#,##0")))</f>
        <v/>
      </c>
      <c r="N191">
        <f>IFERROR(MATCH($C$5&amp;"|"&amp;RIGHT("000000"&amp;175,6),LdAKeyG,0),"")</f>
        <v/>
      </c>
    </row>
    <row r="192">
      <c r="A192" s="19" t="n">
        <v>176</v>
      </c>
      <c r="B192" s="20">
        <f>IF($N192="","",INDEX(LdADate,$N192))</f>
        <v/>
      </c>
      <c r="C192" s="20">
        <f>IF($N192="","",IF(INDEX(LdAId,$N192)="","—",INDEX(LdAId,$N192)))</f>
        <v/>
      </c>
      <c r="D192" s="21">
        <f>IF($N192="","",IF(INDEX(LdAAmt,$N192)=0,"",INDEX(LdAAmt,$N192)))</f>
        <v/>
      </c>
      <c r="E192" s="21">
        <f>IF($N192="","",SUMIFS(ShareAmt,ShareLink,$C192))</f>
        <v/>
      </c>
      <c r="F192" s="34">
        <f>IF($N192="","",COUNTIF(ShareLink,$C192))</f>
        <v/>
      </c>
      <c r="G192" s="22">
        <f>IF($N192="","",IF(ROUND($E192-$D192,0)=0,"√","▲ "&amp;TEXT($D192-$E192,"#,##0")))</f>
        <v/>
      </c>
      <c r="N192">
        <f>IFERROR(MATCH($C$5&amp;"|"&amp;RIGHT("000000"&amp;176,6),LdAKeyG,0),"")</f>
        <v/>
      </c>
    </row>
    <row r="193">
      <c r="A193" s="10" t="n">
        <v>177</v>
      </c>
      <c r="B193" s="14">
        <f>IF($N193="","",INDEX(LdADate,$N193))</f>
        <v/>
      </c>
      <c r="C193" s="14">
        <f>IF($N193="","",IF(INDEX(LdAId,$N193)="","—",INDEX(LdAId,$N193)))</f>
        <v/>
      </c>
      <c r="D193" s="16">
        <f>IF($N193="","",IF(INDEX(LdAAmt,$N193)=0,"",INDEX(LdAAmt,$N193)))</f>
        <v/>
      </c>
      <c r="E193" s="16">
        <f>IF($N193="","",SUMIFS(ShareAmt,ShareLink,$C193))</f>
        <v/>
      </c>
      <c r="F193" s="33">
        <f>IF($N193="","",COUNTIF(ShareLink,$C193))</f>
        <v/>
      </c>
      <c r="G193" s="17">
        <f>IF($N193="","",IF(ROUND($E193-$D193,0)=0,"√","▲ "&amp;TEXT($D193-$E193,"#,##0")))</f>
        <v/>
      </c>
      <c r="N193">
        <f>IFERROR(MATCH($C$5&amp;"|"&amp;RIGHT("000000"&amp;177,6),LdAKeyG,0),"")</f>
        <v/>
      </c>
    </row>
    <row r="194">
      <c r="A194" s="19" t="n">
        <v>178</v>
      </c>
      <c r="B194" s="20">
        <f>IF($N194="","",INDEX(LdADate,$N194))</f>
        <v/>
      </c>
      <c r="C194" s="20">
        <f>IF($N194="","",IF(INDEX(LdAId,$N194)="","—",INDEX(LdAId,$N194)))</f>
        <v/>
      </c>
      <c r="D194" s="21">
        <f>IF($N194="","",IF(INDEX(LdAAmt,$N194)=0,"",INDEX(LdAAmt,$N194)))</f>
        <v/>
      </c>
      <c r="E194" s="21">
        <f>IF($N194="","",SUMIFS(ShareAmt,ShareLink,$C194))</f>
        <v/>
      </c>
      <c r="F194" s="34">
        <f>IF($N194="","",COUNTIF(ShareLink,$C194))</f>
        <v/>
      </c>
      <c r="G194" s="22">
        <f>IF($N194="","",IF(ROUND($E194-$D194,0)=0,"√","▲ "&amp;TEXT($D194-$E194,"#,##0")))</f>
        <v/>
      </c>
      <c r="N194">
        <f>IFERROR(MATCH($C$5&amp;"|"&amp;RIGHT("000000"&amp;178,6),LdAKeyG,0),"")</f>
        <v/>
      </c>
    </row>
    <row r="195">
      <c r="A195" s="10" t="n">
        <v>179</v>
      </c>
      <c r="B195" s="14">
        <f>IF($N195="","",INDEX(LdADate,$N195))</f>
        <v/>
      </c>
      <c r="C195" s="14">
        <f>IF($N195="","",IF(INDEX(LdAId,$N195)="","—",INDEX(LdAId,$N195)))</f>
        <v/>
      </c>
      <c r="D195" s="16">
        <f>IF($N195="","",IF(INDEX(LdAAmt,$N195)=0,"",INDEX(LdAAmt,$N195)))</f>
        <v/>
      </c>
      <c r="E195" s="16">
        <f>IF($N195="","",SUMIFS(ShareAmt,ShareLink,$C195))</f>
        <v/>
      </c>
      <c r="F195" s="33">
        <f>IF($N195="","",COUNTIF(ShareLink,$C195))</f>
        <v/>
      </c>
      <c r="G195" s="17">
        <f>IF($N195="","",IF(ROUND($E195-$D195,0)=0,"√","▲ "&amp;TEXT($D195-$E195,"#,##0")))</f>
        <v/>
      </c>
      <c r="N195">
        <f>IFERROR(MATCH($C$5&amp;"|"&amp;RIGHT("000000"&amp;179,6),LdAKeyG,0),"")</f>
        <v/>
      </c>
    </row>
    <row r="196">
      <c r="A196" s="19" t="n">
        <v>180</v>
      </c>
      <c r="B196" s="20">
        <f>IF($N196="","",INDEX(LdADate,$N196))</f>
        <v/>
      </c>
      <c r="C196" s="20">
        <f>IF($N196="","",IF(INDEX(LdAId,$N196)="","—",INDEX(LdAId,$N196)))</f>
        <v/>
      </c>
      <c r="D196" s="21">
        <f>IF($N196="","",IF(INDEX(LdAAmt,$N196)=0,"",INDEX(LdAAmt,$N196)))</f>
        <v/>
      </c>
      <c r="E196" s="21">
        <f>IF($N196="","",SUMIFS(ShareAmt,ShareLink,$C196))</f>
        <v/>
      </c>
      <c r="F196" s="34">
        <f>IF($N196="","",COUNTIF(ShareLink,$C196))</f>
        <v/>
      </c>
      <c r="G196" s="22">
        <f>IF($N196="","",IF(ROUND($E196-$D196,0)=0,"√","▲ "&amp;TEXT($D196-$E196,"#,##0")))</f>
        <v/>
      </c>
      <c r="N196">
        <f>IFERROR(MATCH($C$5&amp;"|"&amp;RIGHT("000000"&amp;180,6),LdAKeyG,0),"")</f>
        <v/>
      </c>
    </row>
    <row r="197">
      <c r="A197" s="10" t="n">
        <v>181</v>
      </c>
      <c r="B197" s="14">
        <f>IF($N197="","",INDEX(LdADate,$N197))</f>
        <v/>
      </c>
      <c r="C197" s="14">
        <f>IF($N197="","",IF(INDEX(LdAId,$N197)="","—",INDEX(LdAId,$N197)))</f>
        <v/>
      </c>
      <c r="D197" s="16">
        <f>IF($N197="","",IF(INDEX(LdAAmt,$N197)=0,"",INDEX(LdAAmt,$N197)))</f>
        <v/>
      </c>
      <c r="E197" s="16">
        <f>IF($N197="","",SUMIFS(ShareAmt,ShareLink,$C197))</f>
        <v/>
      </c>
      <c r="F197" s="33">
        <f>IF($N197="","",COUNTIF(ShareLink,$C197))</f>
        <v/>
      </c>
      <c r="G197" s="17">
        <f>IF($N197="","",IF(ROUND($E197-$D197,0)=0,"√","▲ "&amp;TEXT($D197-$E197,"#,##0")))</f>
        <v/>
      </c>
      <c r="N197">
        <f>IFERROR(MATCH($C$5&amp;"|"&amp;RIGHT("000000"&amp;181,6),LdAKeyG,0),"")</f>
        <v/>
      </c>
    </row>
    <row r="198">
      <c r="A198" s="19" t="n">
        <v>182</v>
      </c>
      <c r="B198" s="20">
        <f>IF($N198="","",INDEX(LdADate,$N198))</f>
        <v/>
      </c>
      <c r="C198" s="20">
        <f>IF($N198="","",IF(INDEX(LdAId,$N198)="","—",INDEX(LdAId,$N198)))</f>
        <v/>
      </c>
      <c r="D198" s="21">
        <f>IF($N198="","",IF(INDEX(LdAAmt,$N198)=0,"",INDEX(LdAAmt,$N198)))</f>
        <v/>
      </c>
      <c r="E198" s="21">
        <f>IF($N198="","",SUMIFS(ShareAmt,ShareLink,$C198))</f>
        <v/>
      </c>
      <c r="F198" s="34">
        <f>IF($N198="","",COUNTIF(ShareLink,$C198))</f>
        <v/>
      </c>
      <c r="G198" s="22">
        <f>IF($N198="","",IF(ROUND($E198-$D198,0)=0,"√","▲ "&amp;TEXT($D198-$E198,"#,##0")))</f>
        <v/>
      </c>
      <c r="N198">
        <f>IFERROR(MATCH($C$5&amp;"|"&amp;RIGHT("000000"&amp;182,6),LdAKeyG,0),"")</f>
        <v/>
      </c>
    </row>
    <row r="199">
      <c r="A199" s="10" t="n">
        <v>183</v>
      </c>
      <c r="B199" s="14">
        <f>IF($N199="","",INDEX(LdADate,$N199))</f>
        <v/>
      </c>
      <c r="C199" s="14">
        <f>IF($N199="","",IF(INDEX(LdAId,$N199)="","—",INDEX(LdAId,$N199)))</f>
        <v/>
      </c>
      <c r="D199" s="16">
        <f>IF($N199="","",IF(INDEX(LdAAmt,$N199)=0,"",INDEX(LdAAmt,$N199)))</f>
        <v/>
      </c>
      <c r="E199" s="16">
        <f>IF($N199="","",SUMIFS(ShareAmt,ShareLink,$C199))</f>
        <v/>
      </c>
      <c r="F199" s="33">
        <f>IF($N199="","",COUNTIF(ShareLink,$C199))</f>
        <v/>
      </c>
      <c r="G199" s="17">
        <f>IF($N199="","",IF(ROUND($E199-$D199,0)=0,"√","▲ "&amp;TEXT($D199-$E199,"#,##0")))</f>
        <v/>
      </c>
      <c r="N199">
        <f>IFERROR(MATCH($C$5&amp;"|"&amp;RIGHT("000000"&amp;183,6),LdAKeyG,0),"")</f>
        <v/>
      </c>
    </row>
    <row r="200">
      <c r="A200" s="19" t="n">
        <v>184</v>
      </c>
      <c r="B200" s="20">
        <f>IF($N200="","",INDEX(LdADate,$N200))</f>
        <v/>
      </c>
      <c r="C200" s="20">
        <f>IF($N200="","",IF(INDEX(LdAId,$N200)="","—",INDEX(LdAId,$N200)))</f>
        <v/>
      </c>
      <c r="D200" s="21">
        <f>IF($N200="","",IF(INDEX(LdAAmt,$N200)=0,"",INDEX(LdAAmt,$N200)))</f>
        <v/>
      </c>
      <c r="E200" s="21">
        <f>IF($N200="","",SUMIFS(ShareAmt,ShareLink,$C200))</f>
        <v/>
      </c>
      <c r="F200" s="34">
        <f>IF($N200="","",COUNTIF(ShareLink,$C200))</f>
        <v/>
      </c>
      <c r="G200" s="22">
        <f>IF($N200="","",IF(ROUND($E200-$D200,0)=0,"√","▲ "&amp;TEXT($D200-$E200,"#,##0")))</f>
        <v/>
      </c>
      <c r="N200">
        <f>IFERROR(MATCH($C$5&amp;"|"&amp;RIGHT("000000"&amp;184,6),LdAKeyG,0),"")</f>
        <v/>
      </c>
    </row>
    <row r="201">
      <c r="A201" s="10" t="n">
        <v>185</v>
      </c>
      <c r="B201" s="14">
        <f>IF($N201="","",INDEX(LdADate,$N201))</f>
        <v/>
      </c>
      <c r="C201" s="14">
        <f>IF($N201="","",IF(INDEX(LdAId,$N201)="","—",INDEX(LdAId,$N201)))</f>
        <v/>
      </c>
      <c r="D201" s="16">
        <f>IF($N201="","",IF(INDEX(LdAAmt,$N201)=0,"",INDEX(LdAAmt,$N201)))</f>
        <v/>
      </c>
      <c r="E201" s="16">
        <f>IF($N201="","",SUMIFS(ShareAmt,ShareLink,$C201))</f>
        <v/>
      </c>
      <c r="F201" s="33">
        <f>IF($N201="","",COUNTIF(ShareLink,$C201))</f>
        <v/>
      </c>
      <c r="G201" s="17">
        <f>IF($N201="","",IF(ROUND($E201-$D201,0)=0,"√","▲ "&amp;TEXT($D201-$E201,"#,##0")))</f>
        <v/>
      </c>
      <c r="N201">
        <f>IFERROR(MATCH($C$5&amp;"|"&amp;RIGHT("000000"&amp;185,6),LdAKeyG,0),"")</f>
        <v/>
      </c>
    </row>
    <row r="202">
      <c r="A202" s="19" t="n">
        <v>186</v>
      </c>
      <c r="B202" s="20">
        <f>IF($N202="","",INDEX(LdADate,$N202))</f>
        <v/>
      </c>
      <c r="C202" s="20">
        <f>IF($N202="","",IF(INDEX(LdAId,$N202)="","—",INDEX(LdAId,$N202)))</f>
        <v/>
      </c>
      <c r="D202" s="21">
        <f>IF($N202="","",IF(INDEX(LdAAmt,$N202)=0,"",INDEX(LdAAmt,$N202)))</f>
        <v/>
      </c>
      <c r="E202" s="21">
        <f>IF($N202="","",SUMIFS(ShareAmt,ShareLink,$C202))</f>
        <v/>
      </c>
      <c r="F202" s="34">
        <f>IF($N202="","",COUNTIF(ShareLink,$C202))</f>
        <v/>
      </c>
      <c r="G202" s="22">
        <f>IF($N202="","",IF(ROUND($E202-$D202,0)=0,"√","▲ "&amp;TEXT($D202-$E202,"#,##0")))</f>
        <v/>
      </c>
      <c r="N202">
        <f>IFERROR(MATCH($C$5&amp;"|"&amp;RIGHT("000000"&amp;186,6),LdAKeyG,0),"")</f>
        <v/>
      </c>
    </row>
    <row r="203">
      <c r="A203" s="10" t="n">
        <v>187</v>
      </c>
      <c r="B203" s="14">
        <f>IF($N203="","",INDEX(LdADate,$N203))</f>
        <v/>
      </c>
      <c r="C203" s="14">
        <f>IF($N203="","",IF(INDEX(LdAId,$N203)="","—",INDEX(LdAId,$N203)))</f>
        <v/>
      </c>
      <c r="D203" s="16">
        <f>IF($N203="","",IF(INDEX(LdAAmt,$N203)=0,"",INDEX(LdAAmt,$N203)))</f>
        <v/>
      </c>
      <c r="E203" s="16">
        <f>IF($N203="","",SUMIFS(ShareAmt,ShareLink,$C203))</f>
        <v/>
      </c>
      <c r="F203" s="33">
        <f>IF($N203="","",COUNTIF(ShareLink,$C203))</f>
        <v/>
      </c>
      <c r="G203" s="17">
        <f>IF($N203="","",IF(ROUND($E203-$D203,0)=0,"√","▲ "&amp;TEXT($D203-$E203,"#,##0")))</f>
        <v/>
      </c>
      <c r="N203">
        <f>IFERROR(MATCH($C$5&amp;"|"&amp;RIGHT("000000"&amp;187,6),LdAKeyG,0),"")</f>
        <v/>
      </c>
    </row>
    <row r="204">
      <c r="A204" s="19" t="n">
        <v>188</v>
      </c>
      <c r="B204" s="20">
        <f>IF($N204="","",INDEX(LdADate,$N204))</f>
        <v/>
      </c>
      <c r="C204" s="20">
        <f>IF($N204="","",IF(INDEX(LdAId,$N204)="","—",INDEX(LdAId,$N204)))</f>
        <v/>
      </c>
      <c r="D204" s="21">
        <f>IF($N204="","",IF(INDEX(LdAAmt,$N204)=0,"",INDEX(LdAAmt,$N204)))</f>
        <v/>
      </c>
      <c r="E204" s="21">
        <f>IF($N204="","",SUMIFS(ShareAmt,ShareLink,$C204))</f>
        <v/>
      </c>
      <c r="F204" s="34">
        <f>IF($N204="","",COUNTIF(ShareLink,$C204))</f>
        <v/>
      </c>
      <c r="G204" s="22">
        <f>IF($N204="","",IF(ROUND($E204-$D204,0)=0,"√","▲ "&amp;TEXT($D204-$E204,"#,##0")))</f>
        <v/>
      </c>
      <c r="N204">
        <f>IFERROR(MATCH($C$5&amp;"|"&amp;RIGHT("000000"&amp;188,6),LdAKeyG,0),"")</f>
        <v/>
      </c>
    </row>
    <row r="205">
      <c r="A205" s="10" t="n">
        <v>189</v>
      </c>
      <c r="B205" s="14">
        <f>IF($N205="","",INDEX(LdADate,$N205))</f>
        <v/>
      </c>
      <c r="C205" s="14">
        <f>IF($N205="","",IF(INDEX(LdAId,$N205)="","—",INDEX(LdAId,$N205)))</f>
        <v/>
      </c>
      <c r="D205" s="16">
        <f>IF($N205="","",IF(INDEX(LdAAmt,$N205)=0,"",INDEX(LdAAmt,$N205)))</f>
        <v/>
      </c>
      <c r="E205" s="16">
        <f>IF($N205="","",SUMIFS(ShareAmt,ShareLink,$C205))</f>
        <v/>
      </c>
      <c r="F205" s="33">
        <f>IF($N205="","",COUNTIF(ShareLink,$C205))</f>
        <v/>
      </c>
      <c r="G205" s="17">
        <f>IF($N205="","",IF(ROUND($E205-$D205,0)=0,"√","▲ "&amp;TEXT($D205-$E205,"#,##0")))</f>
        <v/>
      </c>
      <c r="N205">
        <f>IFERROR(MATCH($C$5&amp;"|"&amp;RIGHT("000000"&amp;189,6),LdAKeyG,0),"")</f>
        <v/>
      </c>
    </row>
    <row r="206">
      <c r="A206" s="19" t="n">
        <v>190</v>
      </c>
      <c r="B206" s="20">
        <f>IF($N206="","",INDEX(LdADate,$N206))</f>
        <v/>
      </c>
      <c r="C206" s="20">
        <f>IF($N206="","",IF(INDEX(LdAId,$N206)="","—",INDEX(LdAId,$N206)))</f>
        <v/>
      </c>
      <c r="D206" s="21">
        <f>IF($N206="","",IF(INDEX(LdAAmt,$N206)=0,"",INDEX(LdAAmt,$N206)))</f>
        <v/>
      </c>
      <c r="E206" s="21">
        <f>IF($N206="","",SUMIFS(ShareAmt,ShareLink,$C206))</f>
        <v/>
      </c>
      <c r="F206" s="34">
        <f>IF($N206="","",COUNTIF(ShareLink,$C206))</f>
        <v/>
      </c>
      <c r="G206" s="22">
        <f>IF($N206="","",IF(ROUND($E206-$D206,0)=0,"√","▲ "&amp;TEXT($D206-$E206,"#,##0")))</f>
        <v/>
      </c>
      <c r="N206">
        <f>IFERROR(MATCH($C$5&amp;"|"&amp;RIGHT("000000"&amp;190,6),LdAKeyG,0),"")</f>
        <v/>
      </c>
    </row>
    <row r="207">
      <c r="A207" s="10" t="n">
        <v>191</v>
      </c>
      <c r="B207" s="14">
        <f>IF($N207="","",INDEX(LdADate,$N207))</f>
        <v/>
      </c>
      <c r="C207" s="14">
        <f>IF($N207="","",IF(INDEX(LdAId,$N207)="","—",INDEX(LdAId,$N207)))</f>
        <v/>
      </c>
      <c r="D207" s="16">
        <f>IF($N207="","",IF(INDEX(LdAAmt,$N207)=0,"",INDEX(LdAAmt,$N207)))</f>
        <v/>
      </c>
      <c r="E207" s="16">
        <f>IF($N207="","",SUMIFS(ShareAmt,ShareLink,$C207))</f>
        <v/>
      </c>
      <c r="F207" s="33">
        <f>IF($N207="","",COUNTIF(ShareLink,$C207))</f>
        <v/>
      </c>
      <c r="G207" s="17">
        <f>IF($N207="","",IF(ROUND($E207-$D207,0)=0,"√","▲ "&amp;TEXT($D207-$E207,"#,##0")))</f>
        <v/>
      </c>
      <c r="N207">
        <f>IFERROR(MATCH($C$5&amp;"|"&amp;RIGHT("000000"&amp;191,6),LdAKeyG,0),"")</f>
        <v/>
      </c>
    </row>
    <row r="208">
      <c r="A208" s="19" t="n">
        <v>192</v>
      </c>
      <c r="B208" s="20">
        <f>IF($N208="","",INDEX(LdADate,$N208))</f>
        <v/>
      </c>
      <c r="C208" s="20">
        <f>IF($N208="","",IF(INDEX(LdAId,$N208)="","—",INDEX(LdAId,$N208)))</f>
        <v/>
      </c>
      <c r="D208" s="21">
        <f>IF($N208="","",IF(INDEX(LdAAmt,$N208)=0,"",INDEX(LdAAmt,$N208)))</f>
        <v/>
      </c>
      <c r="E208" s="21">
        <f>IF($N208="","",SUMIFS(ShareAmt,ShareLink,$C208))</f>
        <v/>
      </c>
      <c r="F208" s="34">
        <f>IF($N208="","",COUNTIF(ShareLink,$C208))</f>
        <v/>
      </c>
      <c r="G208" s="22">
        <f>IF($N208="","",IF(ROUND($E208-$D208,0)=0,"√","▲ "&amp;TEXT($D208-$E208,"#,##0")))</f>
        <v/>
      </c>
      <c r="N208">
        <f>IFERROR(MATCH($C$5&amp;"|"&amp;RIGHT("000000"&amp;192,6),LdAKeyG,0),"")</f>
        <v/>
      </c>
    </row>
    <row r="209">
      <c r="A209" s="10" t="n">
        <v>193</v>
      </c>
      <c r="B209" s="14">
        <f>IF($N209="","",INDEX(LdADate,$N209))</f>
        <v/>
      </c>
      <c r="C209" s="14">
        <f>IF($N209="","",IF(INDEX(LdAId,$N209)="","—",INDEX(LdAId,$N209)))</f>
        <v/>
      </c>
      <c r="D209" s="16">
        <f>IF($N209="","",IF(INDEX(LdAAmt,$N209)=0,"",INDEX(LdAAmt,$N209)))</f>
        <v/>
      </c>
      <c r="E209" s="16">
        <f>IF($N209="","",SUMIFS(ShareAmt,ShareLink,$C209))</f>
        <v/>
      </c>
      <c r="F209" s="33">
        <f>IF($N209="","",COUNTIF(ShareLink,$C209))</f>
        <v/>
      </c>
      <c r="G209" s="17">
        <f>IF($N209="","",IF(ROUND($E209-$D209,0)=0,"√","▲ "&amp;TEXT($D209-$E209,"#,##0")))</f>
        <v/>
      </c>
      <c r="N209">
        <f>IFERROR(MATCH($C$5&amp;"|"&amp;RIGHT("000000"&amp;193,6),LdAKeyG,0),"")</f>
        <v/>
      </c>
    </row>
    <row r="210">
      <c r="A210" s="19" t="n">
        <v>194</v>
      </c>
      <c r="B210" s="20">
        <f>IF($N210="","",INDEX(LdADate,$N210))</f>
        <v/>
      </c>
      <c r="C210" s="20">
        <f>IF($N210="","",IF(INDEX(LdAId,$N210)="","—",INDEX(LdAId,$N210)))</f>
        <v/>
      </c>
      <c r="D210" s="21">
        <f>IF($N210="","",IF(INDEX(LdAAmt,$N210)=0,"",INDEX(LdAAmt,$N210)))</f>
        <v/>
      </c>
      <c r="E210" s="21">
        <f>IF($N210="","",SUMIFS(ShareAmt,ShareLink,$C210))</f>
        <v/>
      </c>
      <c r="F210" s="34">
        <f>IF($N210="","",COUNTIF(ShareLink,$C210))</f>
        <v/>
      </c>
      <c r="G210" s="22">
        <f>IF($N210="","",IF(ROUND($E210-$D210,0)=0,"√","▲ "&amp;TEXT($D210-$E210,"#,##0")))</f>
        <v/>
      </c>
      <c r="N210">
        <f>IFERROR(MATCH($C$5&amp;"|"&amp;RIGHT("000000"&amp;194,6),LdAKeyG,0),"")</f>
        <v/>
      </c>
    </row>
    <row r="211">
      <c r="A211" s="10" t="n">
        <v>195</v>
      </c>
      <c r="B211" s="14">
        <f>IF($N211="","",INDEX(LdADate,$N211))</f>
        <v/>
      </c>
      <c r="C211" s="14">
        <f>IF($N211="","",IF(INDEX(LdAId,$N211)="","—",INDEX(LdAId,$N211)))</f>
        <v/>
      </c>
      <c r="D211" s="16">
        <f>IF($N211="","",IF(INDEX(LdAAmt,$N211)=0,"",INDEX(LdAAmt,$N211)))</f>
        <v/>
      </c>
      <c r="E211" s="16">
        <f>IF($N211="","",SUMIFS(ShareAmt,ShareLink,$C211))</f>
        <v/>
      </c>
      <c r="F211" s="33">
        <f>IF($N211="","",COUNTIF(ShareLink,$C211))</f>
        <v/>
      </c>
      <c r="G211" s="17">
        <f>IF($N211="","",IF(ROUND($E211-$D211,0)=0,"√","▲ "&amp;TEXT($D211-$E211,"#,##0")))</f>
        <v/>
      </c>
      <c r="N211">
        <f>IFERROR(MATCH($C$5&amp;"|"&amp;RIGHT("000000"&amp;195,6),LdAKeyG,0),"")</f>
        <v/>
      </c>
    </row>
    <row r="212">
      <c r="A212" s="19" t="n">
        <v>196</v>
      </c>
      <c r="B212" s="20">
        <f>IF($N212="","",INDEX(LdADate,$N212))</f>
        <v/>
      </c>
      <c r="C212" s="20">
        <f>IF($N212="","",IF(INDEX(LdAId,$N212)="","—",INDEX(LdAId,$N212)))</f>
        <v/>
      </c>
      <c r="D212" s="21">
        <f>IF($N212="","",IF(INDEX(LdAAmt,$N212)=0,"",INDEX(LdAAmt,$N212)))</f>
        <v/>
      </c>
      <c r="E212" s="21">
        <f>IF($N212="","",SUMIFS(ShareAmt,ShareLink,$C212))</f>
        <v/>
      </c>
      <c r="F212" s="34">
        <f>IF($N212="","",COUNTIF(ShareLink,$C212))</f>
        <v/>
      </c>
      <c r="G212" s="22">
        <f>IF($N212="","",IF(ROUND($E212-$D212,0)=0,"√","▲ "&amp;TEXT($D212-$E212,"#,##0")))</f>
        <v/>
      </c>
      <c r="N212">
        <f>IFERROR(MATCH($C$5&amp;"|"&amp;RIGHT("000000"&amp;196,6),LdAKeyG,0),"")</f>
        <v/>
      </c>
    </row>
    <row r="213">
      <c r="A213" s="10" t="n">
        <v>197</v>
      </c>
      <c r="B213" s="14">
        <f>IF($N213="","",INDEX(LdADate,$N213))</f>
        <v/>
      </c>
      <c r="C213" s="14">
        <f>IF($N213="","",IF(INDEX(LdAId,$N213)="","—",INDEX(LdAId,$N213)))</f>
        <v/>
      </c>
      <c r="D213" s="16">
        <f>IF($N213="","",IF(INDEX(LdAAmt,$N213)=0,"",INDEX(LdAAmt,$N213)))</f>
        <v/>
      </c>
      <c r="E213" s="16">
        <f>IF($N213="","",SUMIFS(ShareAmt,ShareLink,$C213))</f>
        <v/>
      </c>
      <c r="F213" s="33">
        <f>IF($N213="","",COUNTIF(ShareLink,$C213))</f>
        <v/>
      </c>
      <c r="G213" s="17">
        <f>IF($N213="","",IF(ROUND($E213-$D213,0)=0,"√","▲ "&amp;TEXT($D213-$E213,"#,##0")))</f>
        <v/>
      </c>
      <c r="N213">
        <f>IFERROR(MATCH($C$5&amp;"|"&amp;RIGHT("000000"&amp;197,6),LdAKeyG,0),"")</f>
        <v/>
      </c>
    </row>
    <row r="214">
      <c r="A214" s="19" t="n">
        <v>198</v>
      </c>
      <c r="B214" s="20">
        <f>IF($N214="","",INDEX(LdADate,$N214))</f>
        <v/>
      </c>
      <c r="C214" s="20">
        <f>IF($N214="","",IF(INDEX(LdAId,$N214)="","—",INDEX(LdAId,$N214)))</f>
        <v/>
      </c>
      <c r="D214" s="21">
        <f>IF($N214="","",IF(INDEX(LdAAmt,$N214)=0,"",INDEX(LdAAmt,$N214)))</f>
        <v/>
      </c>
      <c r="E214" s="21">
        <f>IF($N214="","",SUMIFS(ShareAmt,ShareLink,$C214))</f>
        <v/>
      </c>
      <c r="F214" s="34">
        <f>IF($N214="","",COUNTIF(ShareLink,$C214))</f>
        <v/>
      </c>
      <c r="G214" s="22">
        <f>IF($N214="","",IF(ROUND($E214-$D214,0)=0,"√","▲ "&amp;TEXT($D214-$E214,"#,##0")))</f>
        <v/>
      </c>
      <c r="N214">
        <f>IFERROR(MATCH($C$5&amp;"|"&amp;RIGHT("000000"&amp;198,6),LdAKeyG,0),"")</f>
        <v/>
      </c>
    </row>
    <row r="215">
      <c r="A215" s="10" t="n">
        <v>199</v>
      </c>
      <c r="B215" s="14">
        <f>IF($N215="","",INDEX(LdADate,$N215))</f>
        <v/>
      </c>
      <c r="C215" s="14">
        <f>IF($N215="","",IF(INDEX(LdAId,$N215)="","—",INDEX(LdAId,$N215)))</f>
        <v/>
      </c>
      <c r="D215" s="16">
        <f>IF($N215="","",IF(INDEX(LdAAmt,$N215)=0,"",INDEX(LdAAmt,$N215)))</f>
        <v/>
      </c>
      <c r="E215" s="16">
        <f>IF($N215="","",SUMIFS(ShareAmt,ShareLink,$C215))</f>
        <v/>
      </c>
      <c r="F215" s="33">
        <f>IF($N215="","",COUNTIF(ShareLink,$C215))</f>
        <v/>
      </c>
      <c r="G215" s="17">
        <f>IF($N215="","",IF(ROUND($E215-$D215,0)=0,"√","▲ "&amp;TEXT($D215-$E215,"#,##0")))</f>
        <v/>
      </c>
      <c r="N215">
        <f>IFERROR(MATCH($C$5&amp;"|"&amp;RIGHT("000000"&amp;199,6),LdAKeyG,0),"")</f>
        <v/>
      </c>
    </row>
    <row r="216">
      <c r="A216" s="19" t="n">
        <v>200</v>
      </c>
      <c r="B216" s="20">
        <f>IF($N216="","",INDEX(LdADate,$N216))</f>
        <v/>
      </c>
      <c r="C216" s="20">
        <f>IF($N216="","",IF(INDEX(LdAId,$N216)="","—",INDEX(LdAId,$N216)))</f>
        <v/>
      </c>
      <c r="D216" s="21">
        <f>IF($N216="","",IF(INDEX(LdAAmt,$N216)=0,"",INDEX(LdAAmt,$N216)))</f>
        <v/>
      </c>
      <c r="E216" s="21">
        <f>IF($N216="","",SUMIFS(ShareAmt,ShareLink,$C216))</f>
        <v/>
      </c>
      <c r="F216" s="34">
        <f>IF($N216="","",COUNTIF(ShareLink,$C216))</f>
        <v/>
      </c>
      <c r="G216" s="22">
        <f>IF($N216="","",IF(ROUND($E216-$D216,0)=0,"√","▲ "&amp;TEXT($D216-$E216,"#,##0")))</f>
        <v/>
      </c>
      <c r="N216">
        <f>IFERROR(MATCH($C$5&amp;"|"&amp;RIGHT("000000"&amp;200,6),LdAKeyG,0),"")</f>
        <v/>
      </c>
    </row>
    <row r="217">
      <c r="A217" s="10" t="n">
        <v>201</v>
      </c>
      <c r="B217" s="14">
        <f>IF($N217="","",INDEX(LdADate,$N217))</f>
        <v/>
      </c>
      <c r="C217" s="14">
        <f>IF($N217="","",IF(INDEX(LdAId,$N217)="","—",INDEX(LdAId,$N217)))</f>
        <v/>
      </c>
      <c r="D217" s="16">
        <f>IF($N217="","",IF(INDEX(LdAAmt,$N217)=0,"",INDEX(LdAAmt,$N217)))</f>
        <v/>
      </c>
      <c r="E217" s="16">
        <f>IF($N217="","",SUMIFS(ShareAmt,ShareLink,$C217))</f>
        <v/>
      </c>
      <c r="F217" s="33">
        <f>IF($N217="","",COUNTIF(ShareLink,$C217))</f>
        <v/>
      </c>
      <c r="G217" s="17">
        <f>IF($N217="","",IF(ROUND($E217-$D217,0)=0,"√","▲ "&amp;TEXT($D217-$E217,"#,##0")))</f>
        <v/>
      </c>
      <c r="N217">
        <f>IFERROR(MATCH($C$5&amp;"|"&amp;RIGHT("000000"&amp;201,6),LdAKeyG,0),"")</f>
        <v/>
      </c>
    </row>
    <row r="218">
      <c r="A218" s="19" t="n">
        <v>202</v>
      </c>
      <c r="B218" s="20">
        <f>IF($N218="","",INDEX(LdADate,$N218))</f>
        <v/>
      </c>
      <c r="C218" s="20">
        <f>IF($N218="","",IF(INDEX(LdAId,$N218)="","—",INDEX(LdAId,$N218)))</f>
        <v/>
      </c>
      <c r="D218" s="21">
        <f>IF($N218="","",IF(INDEX(LdAAmt,$N218)=0,"",INDEX(LdAAmt,$N218)))</f>
        <v/>
      </c>
      <c r="E218" s="21">
        <f>IF($N218="","",SUMIFS(ShareAmt,ShareLink,$C218))</f>
        <v/>
      </c>
      <c r="F218" s="34">
        <f>IF($N218="","",COUNTIF(ShareLink,$C218))</f>
        <v/>
      </c>
      <c r="G218" s="22">
        <f>IF($N218="","",IF(ROUND($E218-$D218,0)=0,"√","▲ "&amp;TEXT($D218-$E218,"#,##0")))</f>
        <v/>
      </c>
      <c r="N218">
        <f>IFERROR(MATCH($C$5&amp;"|"&amp;RIGHT("000000"&amp;202,6),LdAKeyG,0),"")</f>
        <v/>
      </c>
    </row>
    <row r="219">
      <c r="A219" s="10" t="n">
        <v>203</v>
      </c>
      <c r="B219" s="14">
        <f>IF($N219="","",INDEX(LdADate,$N219))</f>
        <v/>
      </c>
      <c r="C219" s="14">
        <f>IF($N219="","",IF(INDEX(LdAId,$N219)="","—",INDEX(LdAId,$N219)))</f>
        <v/>
      </c>
      <c r="D219" s="16">
        <f>IF($N219="","",IF(INDEX(LdAAmt,$N219)=0,"",INDEX(LdAAmt,$N219)))</f>
        <v/>
      </c>
      <c r="E219" s="16">
        <f>IF($N219="","",SUMIFS(ShareAmt,ShareLink,$C219))</f>
        <v/>
      </c>
      <c r="F219" s="33">
        <f>IF($N219="","",COUNTIF(ShareLink,$C219))</f>
        <v/>
      </c>
      <c r="G219" s="17">
        <f>IF($N219="","",IF(ROUND($E219-$D219,0)=0,"√","▲ "&amp;TEXT($D219-$E219,"#,##0")))</f>
        <v/>
      </c>
      <c r="N219">
        <f>IFERROR(MATCH($C$5&amp;"|"&amp;RIGHT("000000"&amp;203,6),LdAKeyG,0),"")</f>
        <v/>
      </c>
    </row>
    <row r="220">
      <c r="A220" s="19" t="n">
        <v>204</v>
      </c>
      <c r="B220" s="20">
        <f>IF($N220="","",INDEX(LdADate,$N220))</f>
        <v/>
      </c>
      <c r="C220" s="20">
        <f>IF($N220="","",IF(INDEX(LdAId,$N220)="","—",INDEX(LdAId,$N220)))</f>
        <v/>
      </c>
      <c r="D220" s="21">
        <f>IF($N220="","",IF(INDEX(LdAAmt,$N220)=0,"",INDEX(LdAAmt,$N220)))</f>
        <v/>
      </c>
      <c r="E220" s="21">
        <f>IF($N220="","",SUMIFS(ShareAmt,ShareLink,$C220))</f>
        <v/>
      </c>
      <c r="F220" s="34">
        <f>IF($N220="","",COUNTIF(ShareLink,$C220))</f>
        <v/>
      </c>
      <c r="G220" s="22">
        <f>IF($N220="","",IF(ROUND($E220-$D220,0)=0,"√","▲ "&amp;TEXT($D220-$E220,"#,##0")))</f>
        <v/>
      </c>
      <c r="N220">
        <f>IFERROR(MATCH($C$5&amp;"|"&amp;RIGHT("000000"&amp;204,6),LdAKeyG,0),"")</f>
        <v/>
      </c>
    </row>
    <row r="221">
      <c r="A221" s="10" t="n">
        <v>205</v>
      </c>
      <c r="B221" s="14">
        <f>IF($N221="","",INDEX(LdADate,$N221))</f>
        <v/>
      </c>
      <c r="C221" s="14">
        <f>IF($N221="","",IF(INDEX(LdAId,$N221)="","—",INDEX(LdAId,$N221)))</f>
        <v/>
      </c>
      <c r="D221" s="16">
        <f>IF($N221="","",IF(INDEX(LdAAmt,$N221)=0,"",INDEX(LdAAmt,$N221)))</f>
        <v/>
      </c>
      <c r="E221" s="16">
        <f>IF($N221="","",SUMIFS(ShareAmt,ShareLink,$C221))</f>
        <v/>
      </c>
      <c r="F221" s="33">
        <f>IF($N221="","",COUNTIF(ShareLink,$C221))</f>
        <v/>
      </c>
      <c r="G221" s="17">
        <f>IF($N221="","",IF(ROUND($E221-$D221,0)=0,"√","▲ "&amp;TEXT($D221-$E221,"#,##0")))</f>
        <v/>
      </c>
      <c r="N221">
        <f>IFERROR(MATCH($C$5&amp;"|"&amp;RIGHT("000000"&amp;205,6),LdAKeyG,0),"")</f>
        <v/>
      </c>
    </row>
    <row r="222">
      <c r="A222" s="19" t="n">
        <v>206</v>
      </c>
      <c r="B222" s="20">
        <f>IF($N222="","",INDEX(LdADate,$N222))</f>
        <v/>
      </c>
      <c r="C222" s="20">
        <f>IF($N222="","",IF(INDEX(LdAId,$N222)="","—",INDEX(LdAId,$N222)))</f>
        <v/>
      </c>
      <c r="D222" s="21">
        <f>IF($N222="","",IF(INDEX(LdAAmt,$N222)=0,"",INDEX(LdAAmt,$N222)))</f>
        <v/>
      </c>
      <c r="E222" s="21">
        <f>IF($N222="","",SUMIFS(ShareAmt,ShareLink,$C222))</f>
        <v/>
      </c>
      <c r="F222" s="34">
        <f>IF($N222="","",COUNTIF(ShareLink,$C222))</f>
        <v/>
      </c>
      <c r="G222" s="22">
        <f>IF($N222="","",IF(ROUND($E222-$D222,0)=0,"√","▲ "&amp;TEXT($D222-$E222,"#,##0")))</f>
        <v/>
      </c>
      <c r="N222">
        <f>IFERROR(MATCH($C$5&amp;"|"&amp;RIGHT("000000"&amp;206,6),LdAKeyG,0),"")</f>
        <v/>
      </c>
    </row>
    <row r="223">
      <c r="A223" s="10" t="n">
        <v>207</v>
      </c>
      <c r="B223" s="14">
        <f>IF($N223="","",INDEX(LdADate,$N223))</f>
        <v/>
      </c>
      <c r="C223" s="14">
        <f>IF($N223="","",IF(INDEX(LdAId,$N223)="","—",INDEX(LdAId,$N223)))</f>
        <v/>
      </c>
      <c r="D223" s="16">
        <f>IF($N223="","",IF(INDEX(LdAAmt,$N223)=0,"",INDEX(LdAAmt,$N223)))</f>
        <v/>
      </c>
      <c r="E223" s="16">
        <f>IF($N223="","",SUMIFS(ShareAmt,ShareLink,$C223))</f>
        <v/>
      </c>
      <c r="F223" s="33">
        <f>IF($N223="","",COUNTIF(ShareLink,$C223))</f>
        <v/>
      </c>
      <c r="G223" s="17">
        <f>IF($N223="","",IF(ROUND($E223-$D223,0)=0,"√","▲ "&amp;TEXT($D223-$E223,"#,##0")))</f>
        <v/>
      </c>
      <c r="N223">
        <f>IFERROR(MATCH($C$5&amp;"|"&amp;RIGHT("000000"&amp;207,6),LdAKeyG,0),"")</f>
        <v/>
      </c>
    </row>
    <row r="224">
      <c r="A224" s="19" t="n">
        <v>208</v>
      </c>
      <c r="B224" s="20">
        <f>IF($N224="","",INDEX(LdADate,$N224))</f>
        <v/>
      </c>
      <c r="C224" s="20">
        <f>IF($N224="","",IF(INDEX(LdAId,$N224)="","—",INDEX(LdAId,$N224)))</f>
        <v/>
      </c>
      <c r="D224" s="21">
        <f>IF($N224="","",IF(INDEX(LdAAmt,$N224)=0,"",INDEX(LdAAmt,$N224)))</f>
        <v/>
      </c>
      <c r="E224" s="21">
        <f>IF($N224="","",SUMIFS(ShareAmt,ShareLink,$C224))</f>
        <v/>
      </c>
      <c r="F224" s="34">
        <f>IF($N224="","",COUNTIF(ShareLink,$C224))</f>
        <v/>
      </c>
      <c r="G224" s="22">
        <f>IF($N224="","",IF(ROUND($E224-$D224,0)=0,"√","▲ "&amp;TEXT($D224-$E224,"#,##0")))</f>
        <v/>
      </c>
      <c r="N224">
        <f>IFERROR(MATCH($C$5&amp;"|"&amp;RIGHT("000000"&amp;208,6),LdAKeyG,0),"")</f>
        <v/>
      </c>
    </row>
    <row r="225">
      <c r="A225" s="10" t="n">
        <v>209</v>
      </c>
      <c r="B225" s="14">
        <f>IF($N225="","",INDEX(LdADate,$N225))</f>
        <v/>
      </c>
      <c r="C225" s="14">
        <f>IF($N225="","",IF(INDEX(LdAId,$N225)="","—",INDEX(LdAId,$N225)))</f>
        <v/>
      </c>
      <c r="D225" s="16">
        <f>IF($N225="","",IF(INDEX(LdAAmt,$N225)=0,"",INDEX(LdAAmt,$N225)))</f>
        <v/>
      </c>
      <c r="E225" s="16">
        <f>IF($N225="","",SUMIFS(ShareAmt,ShareLink,$C225))</f>
        <v/>
      </c>
      <c r="F225" s="33">
        <f>IF($N225="","",COUNTIF(ShareLink,$C225))</f>
        <v/>
      </c>
      <c r="G225" s="17">
        <f>IF($N225="","",IF(ROUND($E225-$D225,0)=0,"√","▲ "&amp;TEXT($D225-$E225,"#,##0")))</f>
        <v/>
      </c>
      <c r="N225">
        <f>IFERROR(MATCH($C$5&amp;"|"&amp;RIGHT("000000"&amp;209,6),LdAKeyG,0),"")</f>
        <v/>
      </c>
    </row>
    <row r="226">
      <c r="A226" s="19" t="n">
        <v>210</v>
      </c>
      <c r="B226" s="20">
        <f>IF($N226="","",INDEX(LdADate,$N226))</f>
        <v/>
      </c>
      <c r="C226" s="20">
        <f>IF($N226="","",IF(INDEX(LdAId,$N226)="","—",INDEX(LdAId,$N226)))</f>
        <v/>
      </c>
      <c r="D226" s="21">
        <f>IF($N226="","",IF(INDEX(LdAAmt,$N226)=0,"",INDEX(LdAAmt,$N226)))</f>
        <v/>
      </c>
      <c r="E226" s="21">
        <f>IF($N226="","",SUMIFS(ShareAmt,ShareLink,$C226))</f>
        <v/>
      </c>
      <c r="F226" s="34">
        <f>IF($N226="","",COUNTIF(ShareLink,$C226))</f>
        <v/>
      </c>
      <c r="G226" s="22">
        <f>IF($N226="","",IF(ROUND($E226-$D226,0)=0,"√","▲ "&amp;TEXT($D226-$E226,"#,##0")))</f>
        <v/>
      </c>
      <c r="N226">
        <f>IFERROR(MATCH($C$5&amp;"|"&amp;RIGHT("000000"&amp;210,6),LdAKeyG,0),"")</f>
        <v/>
      </c>
    </row>
    <row r="227">
      <c r="A227" s="10" t="n">
        <v>211</v>
      </c>
      <c r="B227" s="14">
        <f>IF($N227="","",INDEX(LdADate,$N227))</f>
        <v/>
      </c>
      <c r="C227" s="14">
        <f>IF($N227="","",IF(INDEX(LdAId,$N227)="","—",INDEX(LdAId,$N227)))</f>
        <v/>
      </c>
      <c r="D227" s="16">
        <f>IF($N227="","",IF(INDEX(LdAAmt,$N227)=0,"",INDEX(LdAAmt,$N227)))</f>
        <v/>
      </c>
      <c r="E227" s="16">
        <f>IF($N227="","",SUMIFS(ShareAmt,ShareLink,$C227))</f>
        <v/>
      </c>
      <c r="F227" s="33">
        <f>IF($N227="","",COUNTIF(ShareLink,$C227))</f>
        <v/>
      </c>
      <c r="G227" s="17">
        <f>IF($N227="","",IF(ROUND($E227-$D227,0)=0,"√","▲ "&amp;TEXT($D227-$E227,"#,##0")))</f>
        <v/>
      </c>
      <c r="N227">
        <f>IFERROR(MATCH($C$5&amp;"|"&amp;RIGHT("000000"&amp;211,6),LdAKeyG,0),"")</f>
        <v/>
      </c>
    </row>
    <row r="228">
      <c r="A228" s="19" t="n">
        <v>212</v>
      </c>
      <c r="B228" s="20">
        <f>IF($N228="","",INDEX(LdADate,$N228))</f>
        <v/>
      </c>
      <c r="C228" s="20">
        <f>IF($N228="","",IF(INDEX(LdAId,$N228)="","—",INDEX(LdAId,$N228)))</f>
        <v/>
      </c>
      <c r="D228" s="21">
        <f>IF($N228="","",IF(INDEX(LdAAmt,$N228)=0,"",INDEX(LdAAmt,$N228)))</f>
        <v/>
      </c>
      <c r="E228" s="21">
        <f>IF($N228="","",SUMIFS(ShareAmt,ShareLink,$C228))</f>
        <v/>
      </c>
      <c r="F228" s="34">
        <f>IF($N228="","",COUNTIF(ShareLink,$C228))</f>
        <v/>
      </c>
      <c r="G228" s="22">
        <f>IF($N228="","",IF(ROUND($E228-$D228,0)=0,"√","▲ "&amp;TEXT($D228-$E228,"#,##0")))</f>
        <v/>
      </c>
      <c r="N228">
        <f>IFERROR(MATCH($C$5&amp;"|"&amp;RIGHT("000000"&amp;212,6),LdAKeyG,0),"")</f>
        <v/>
      </c>
    </row>
    <row r="229">
      <c r="A229" s="10" t="n">
        <v>213</v>
      </c>
      <c r="B229" s="14">
        <f>IF($N229="","",INDEX(LdADate,$N229))</f>
        <v/>
      </c>
      <c r="C229" s="14">
        <f>IF($N229="","",IF(INDEX(LdAId,$N229)="","—",INDEX(LdAId,$N229)))</f>
        <v/>
      </c>
      <c r="D229" s="16">
        <f>IF($N229="","",IF(INDEX(LdAAmt,$N229)=0,"",INDEX(LdAAmt,$N229)))</f>
        <v/>
      </c>
      <c r="E229" s="16">
        <f>IF($N229="","",SUMIFS(ShareAmt,ShareLink,$C229))</f>
        <v/>
      </c>
      <c r="F229" s="33">
        <f>IF($N229="","",COUNTIF(ShareLink,$C229))</f>
        <v/>
      </c>
      <c r="G229" s="17">
        <f>IF($N229="","",IF(ROUND($E229-$D229,0)=0,"√","▲ "&amp;TEXT($D229-$E229,"#,##0")))</f>
        <v/>
      </c>
      <c r="N229">
        <f>IFERROR(MATCH($C$5&amp;"|"&amp;RIGHT("000000"&amp;213,6),LdAKeyG,0),"")</f>
        <v/>
      </c>
    </row>
    <row r="230">
      <c r="A230" s="19" t="n">
        <v>214</v>
      </c>
      <c r="B230" s="20">
        <f>IF($N230="","",INDEX(LdADate,$N230))</f>
        <v/>
      </c>
      <c r="C230" s="20">
        <f>IF($N230="","",IF(INDEX(LdAId,$N230)="","—",INDEX(LdAId,$N230)))</f>
        <v/>
      </c>
      <c r="D230" s="21">
        <f>IF($N230="","",IF(INDEX(LdAAmt,$N230)=0,"",INDEX(LdAAmt,$N230)))</f>
        <v/>
      </c>
      <c r="E230" s="21">
        <f>IF($N230="","",SUMIFS(ShareAmt,ShareLink,$C230))</f>
        <v/>
      </c>
      <c r="F230" s="34">
        <f>IF($N230="","",COUNTIF(ShareLink,$C230))</f>
        <v/>
      </c>
      <c r="G230" s="22">
        <f>IF($N230="","",IF(ROUND($E230-$D230,0)=0,"√","▲ "&amp;TEXT($D230-$E230,"#,##0")))</f>
        <v/>
      </c>
      <c r="N230">
        <f>IFERROR(MATCH($C$5&amp;"|"&amp;RIGHT("000000"&amp;214,6),LdAKeyG,0),"")</f>
        <v/>
      </c>
    </row>
    <row r="231">
      <c r="A231" s="10" t="n">
        <v>215</v>
      </c>
      <c r="B231" s="14">
        <f>IF($N231="","",INDEX(LdADate,$N231))</f>
        <v/>
      </c>
      <c r="C231" s="14">
        <f>IF($N231="","",IF(INDEX(LdAId,$N231)="","—",INDEX(LdAId,$N231)))</f>
        <v/>
      </c>
      <c r="D231" s="16">
        <f>IF($N231="","",IF(INDEX(LdAAmt,$N231)=0,"",INDEX(LdAAmt,$N231)))</f>
        <v/>
      </c>
      <c r="E231" s="16">
        <f>IF($N231="","",SUMIFS(ShareAmt,ShareLink,$C231))</f>
        <v/>
      </c>
      <c r="F231" s="33">
        <f>IF($N231="","",COUNTIF(ShareLink,$C231))</f>
        <v/>
      </c>
      <c r="G231" s="17">
        <f>IF($N231="","",IF(ROUND($E231-$D231,0)=0,"√","▲ "&amp;TEXT($D231-$E231,"#,##0")))</f>
        <v/>
      </c>
      <c r="N231">
        <f>IFERROR(MATCH($C$5&amp;"|"&amp;RIGHT("000000"&amp;215,6),LdAKeyG,0),"")</f>
        <v/>
      </c>
    </row>
    <row r="232">
      <c r="A232" s="19" t="n">
        <v>216</v>
      </c>
      <c r="B232" s="20">
        <f>IF($N232="","",INDEX(LdADate,$N232))</f>
        <v/>
      </c>
      <c r="C232" s="20">
        <f>IF($N232="","",IF(INDEX(LdAId,$N232)="","—",INDEX(LdAId,$N232)))</f>
        <v/>
      </c>
      <c r="D232" s="21">
        <f>IF($N232="","",IF(INDEX(LdAAmt,$N232)=0,"",INDEX(LdAAmt,$N232)))</f>
        <v/>
      </c>
      <c r="E232" s="21">
        <f>IF($N232="","",SUMIFS(ShareAmt,ShareLink,$C232))</f>
        <v/>
      </c>
      <c r="F232" s="34">
        <f>IF($N232="","",COUNTIF(ShareLink,$C232))</f>
        <v/>
      </c>
      <c r="G232" s="22">
        <f>IF($N232="","",IF(ROUND($E232-$D232,0)=0,"√","▲ "&amp;TEXT($D232-$E232,"#,##0")))</f>
        <v/>
      </c>
      <c r="N232">
        <f>IFERROR(MATCH($C$5&amp;"|"&amp;RIGHT("000000"&amp;216,6),LdAKeyG,0),"")</f>
        <v/>
      </c>
    </row>
    <row r="233">
      <c r="A233" s="10" t="n">
        <v>217</v>
      </c>
      <c r="B233" s="14">
        <f>IF($N233="","",INDEX(LdADate,$N233))</f>
        <v/>
      </c>
      <c r="C233" s="14">
        <f>IF($N233="","",IF(INDEX(LdAId,$N233)="","—",INDEX(LdAId,$N233)))</f>
        <v/>
      </c>
      <c r="D233" s="16">
        <f>IF($N233="","",IF(INDEX(LdAAmt,$N233)=0,"",INDEX(LdAAmt,$N233)))</f>
        <v/>
      </c>
      <c r="E233" s="16">
        <f>IF($N233="","",SUMIFS(ShareAmt,ShareLink,$C233))</f>
        <v/>
      </c>
      <c r="F233" s="33">
        <f>IF($N233="","",COUNTIF(ShareLink,$C233))</f>
        <v/>
      </c>
      <c r="G233" s="17">
        <f>IF($N233="","",IF(ROUND($E233-$D233,0)=0,"√","▲ "&amp;TEXT($D233-$E233,"#,##0")))</f>
        <v/>
      </c>
      <c r="N233">
        <f>IFERROR(MATCH($C$5&amp;"|"&amp;RIGHT("000000"&amp;217,6),LdAKeyG,0),"")</f>
        <v/>
      </c>
    </row>
    <row r="234">
      <c r="A234" s="19" t="n">
        <v>218</v>
      </c>
      <c r="B234" s="20">
        <f>IF($N234="","",INDEX(LdADate,$N234))</f>
        <v/>
      </c>
      <c r="C234" s="20">
        <f>IF($N234="","",IF(INDEX(LdAId,$N234)="","—",INDEX(LdAId,$N234)))</f>
        <v/>
      </c>
      <c r="D234" s="21">
        <f>IF($N234="","",IF(INDEX(LdAAmt,$N234)=0,"",INDEX(LdAAmt,$N234)))</f>
        <v/>
      </c>
      <c r="E234" s="21">
        <f>IF($N234="","",SUMIFS(ShareAmt,ShareLink,$C234))</f>
        <v/>
      </c>
      <c r="F234" s="34">
        <f>IF($N234="","",COUNTIF(ShareLink,$C234))</f>
        <v/>
      </c>
      <c r="G234" s="22">
        <f>IF($N234="","",IF(ROUND($E234-$D234,0)=0,"√","▲ "&amp;TEXT($D234-$E234,"#,##0")))</f>
        <v/>
      </c>
      <c r="N234">
        <f>IFERROR(MATCH($C$5&amp;"|"&amp;RIGHT("000000"&amp;218,6),LdAKeyG,0),"")</f>
        <v/>
      </c>
    </row>
    <row r="235">
      <c r="A235" s="10" t="n">
        <v>219</v>
      </c>
      <c r="B235" s="14">
        <f>IF($N235="","",INDEX(LdADate,$N235))</f>
        <v/>
      </c>
      <c r="C235" s="14">
        <f>IF($N235="","",IF(INDEX(LdAId,$N235)="","—",INDEX(LdAId,$N235)))</f>
        <v/>
      </c>
      <c r="D235" s="16">
        <f>IF($N235="","",IF(INDEX(LdAAmt,$N235)=0,"",INDEX(LdAAmt,$N235)))</f>
        <v/>
      </c>
      <c r="E235" s="16">
        <f>IF($N235="","",SUMIFS(ShareAmt,ShareLink,$C235))</f>
        <v/>
      </c>
      <c r="F235" s="33">
        <f>IF($N235="","",COUNTIF(ShareLink,$C235))</f>
        <v/>
      </c>
      <c r="G235" s="17">
        <f>IF($N235="","",IF(ROUND($E235-$D235,0)=0,"√","▲ "&amp;TEXT($D235-$E235,"#,##0")))</f>
        <v/>
      </c>
      <c r="N235">
        <f>IFERROR(MATCH($C$5&amp;"|"&amp;RIGHT("000000"&amp;219,6),LdAKeyG,0),"")</f>
        <v/>
      </c>
    </row>
    <row r="236">
      <c r="A236" s="19" t="n">
        <v>220</v>
      </c>
      <c r="B236" s="20">
        <f>IF($N236="","",INDEX(LdADate,$N236))</f>
        <v/>
      </c>
      <c r="C236" s="20">
        <f>IF($N236="","",IF(INDEX(LdAId,$N236)="","—",INDEX(LdAId,$N236)))</f>
        <v/>
      </c>
      <c r="D236" s="21">
        <f>IF($N236="","",IF(INDEX(LdAAmt,$N236)=0,"",INDEX(LdAAmt,$N236)))</f>
        <v/>
      </c>
      <c r="E236" s="21">
        <f>IF($N236="","",SUMIFS(ShareAmt,ShareLink,$C236))</f>
        <v/>
      </c>
      <c r="F236" s="34">
        <f>IF($N236="","",COUNTIF(ShareLink,$C236))</f>
        <v/>
      </c>
      <c r="G236" s="22">
        <f>IF($N236="","",IF(ROUND($E236-$D236,0)=0,"√","▲ "&amp;TEXT($D236-$E236,"#,##0")))</f>
        <v/>
      </c>
      <c r="N236">
        <f>IFERROR(MATCH($C$5&amp;"|"&amp;RIGHT("000000"&amp;220,6),LdAKeyG,0),"")</f>
        <v/>
      </c>
    </row>
    <row r="237">
      <c r="A237" s="10" t="n">
        <v>221</v>
      </c>
      <c r="B237" s="14">
        <f>IF($N237="","",INDEX(LdADate,$N237))</f>
        <v/>
      </c>
      <c r="C237" s="14">
        <f>IF($N237="","",IF(INDEX(LdAId,$N237)="","—",INDEX(LdAId,$N237)))</f>
        <v/>
      </c>
      <c r="D237" s="16">
        <f>IF($N237="","",IF(INDEX(LdAAmt,$N237)=0,"",INDEX(LdAAmt,$N237)))</f>
        <v/>
      </c>
      <c r="E237" s="16">
        <f>IF($N237="","",SUMIFS(ShareAmt,ShareLink,$C237))</f>
        <v/>
      </c>
      <c r="F237" s="33">
        <f>IF($N237="","",COUNTIF(ShareLink,$C237))</f>
        <v/>
      </c>
      <c r="G237" s="17">
        <f>IF($N237="","",IF(ROUND($E237-$D237,0)=0,"√","▲ "&amp;TEXT($D237-$E237,"#,##0")))</f>
        <v/>
      </c>
      <c r="N237">
        <f>IFERROR(MATCH($C$5&amp;"|"&amp;RIGHT("000000"&amp;221,6),LdAKeyG,0),"")</f>
        <v/>
      </c>
    </row>
    <row r="238">
      <c r="A238" s="19" t="n">
        <v>222</v>
      </c>
      <c r="B238" s="20">
        <f>IF($N238="","",INDEX(LdADate,$N238))</f>
        <v/>
      </c>
      <c r="C238" s="20">
        <f>IF($N238="","",IF(INDEX(LdAId,$N238)="","—",INDEX(LdAId,$N238)))</f>
        <v/>
      </c>
      <c r="D238" s="21">
        <f>IF($N238="","",IF(INDEX(LdAAmt,$N238)=0,"",INDEX(LdAAmt,$N238)))</f>
        <v/>
      </c>
      <c r="E238" s="21">
        <f>IF($N238="","",SUMIFS(ShareAmt,ShareLink,$C238))</f>
        <v/>
      </c>
      <c r="F238" s="34">
        <f>IF($N238="","",COUNTIF(ShareLink,$C238))</f>
        <v/>
      </c>
      <c r="G238" s="22">
        <f>IF($N238="","",IF(ROUND($E238-$D238,0)=0,"√","▲ "&amp;TEXT($D238-$E238,"#,##0")))</f>
        <v/>
      </c>
      <c r="N238">
        <f>IFERROR(MATCH($C$5&amp;"|"&amp;RIGHT("000000"&amp;222,6),LdAKeyG,0),"")</f>
        <v/>
      </c>
    </row>
    <row r="239">
      <c r="A239" s="10" t="n">
        <v>223</v>
      </c>
      <c r="B239" s="14">
        <f>IF($N239="","",INDEX(LdADate,$N239))</f>
        <v/>
      </c>
      <c r="C239" s="14">
        <f>IF($N239="","",IF(INDEX(LdAId,$N239)="","—",INDEX(LdAId,$N239)))</f>
        <v/>
      </c>
      <c r="D239" s="16">
        <f>IF($N239="","",IF(INDEX(LdAAmt,$N239)=0,"",INDEX(LdAAmt,$N239)))</f>
        <v/>
      </c>
      <c r="E239" s="16">
        <f>IF($N239="","",SUMIFS(ShareAmt,ShareLink,$C239))</f>
        <v/>
      </c>
      <c r="F239" s="33">
        <f>IF($N239="","",COUNTIF(ShareLink,$C239))</f>
        <v/>
      </c>
      <c r="G239" s="17">
        <f>IF($N239="","",IF(ROUND($E239-$D239,0)=0,"√","▲ "&amp;TEXT($D239-$E239,"#,##0")))</f>
        <v/>
      </c>
      <c r="N239">
        <f>IFERROR(MATCH($C$5&amp;"|"&amp;RIGHT("000000"&amp;223,6),LdAKeyG,0),"")</f>
        <v/>
      </c>
    </row>
    <row r="240">
      <c r="A240" s="19" t="n">
        <v>224</v>
      </c>
      <c r="B240" s="20">
        <f>IF($N240="","",INDEX(LdADate,$N240))</f>
        <v/>
      </c>
      <c r="C240" s="20">
        <f>IF($N240="","",IF(INDEX(LdAId,$N240)="","—",INDEX(LdAId,$N240)))</f>
        <v/>
      </c>
      <c r="D240" s="21">
        <f>IF($N240="","",IF(INDEX(LdAAmt,$N240)=0,"",INDEX(LdAAmt,$N240)))</f>
        <v/>
      </c>
      <c r="E240" s="21">
        <f>IF($N240="","",SUMIFS(ShareAmt,ShareLink,$C240))</f>
        <v/>
      </c>
      <c r="F240" s="34">
        <f>IF($N240="","",COUNTIF(ShareLink,$C240))</f>
        <v/>
      </c>
      <c r="G240" s="22">
        <f>IF($N240="","",IF(ROUND($E240-$D240,0)=0,"√","▲ "&amp;TEXT($D240-$E240,"#,##0")))</f>
        <v/>
      </c>
      <c r="N240">
        <f>IFERROR(MATCH($C$5&amp;"|"&amp;RIGHT("000000"&amp;224,6),LdAKeyG,0),"")</f>
        <v/>
      </c>
    </row>
    <row r="241">
      <c r="A241" s="10" t="n">
        <v>225</v>
      </c>
      <c r="B241" s="14">
        <f>IF($N241="","",INDEX(LdADate,$N241))</f>
        <v/>
      </c>
      <c r="C241" s="14">
        <f>IF($N241="","",IF(INDEX(LdAId,$N241)="","—",INDEX(LdAId,$N241)))</f>
        <v/>
      </c>
      <c r="D241" s="16">
        <f>IF($N241="","",IF(INDEX(LdAAmt,$N241)=0,"",INDEX(LdAAmt,$N241)))</f>
        <v/>
      </c>
      <c r="E241" s="16">
        <f>IF($N241="","",SUMIFS(ShareAmt,ShareLink,$C241))</f>
        <v/>
      </c>
      <c r="F241" s="33">
        <f>IF($N241="","",COUNTIF(ShareLink,$C241))</f>
        <v/>
      </c>
      <c r="G241" s="17">
        <f>IF($N241="","",IF(ROUND($E241-$D241,0)=0,"√","▲ "&amp;TEXT($D241-$E241,"#,##0")))</f>
        <v/>
      </c>
      <c r="N241">
        <f>IFERROR(MATCH($C$5&amp;"|"&amp;RIGHT("000000"&amp;225,6),LdAKeyG,0),"")</f>
        <v/>
      </c>
    </row>
    <row r="242">
      <c r="A242" s="19" t="n">
        <v>226</v>
      </c>
      <c r="B242" s="20">
        <f>IF($N242="","",INDEX(LdADate,$N242))</f>
        <v/>
      </c>
      <c r="C242" s="20">
        <f>IF($N242="","",IF(INDEX(LdAId,$N242)="","—",INDEX(LdAId,$N242)))</f>
        <v/>
      </c>
      <c r="D242" s="21">
        <f>IF($N242="","",IF(INDEX(LdAAmt,$N242)=0,"",INDEX(LdAAmt,$N242)))</f>
        <v/>
      </c>
      <c r="E242" s="21">
        <f>IF($N242="","",SUMIFS(ShareAmt,ShareLink,$C242))</f>
        <v/>
      </c>
      <c r="F242" s="34">
        <f>IF($N242="","",COUNTIF(ShareLink,$C242))</f>
        <v/>
      </c>
      <c r="G242" s="22">
        <f>IF($N242="","",IF(ROUND($E242-$D242,0)=0,"√","▲ "&amp;TEXT($D242-$E242,"#,##0")))</f>
        <v/>
      </c>
      <c r="N242">
        <f>IFERROR(MATCH($C$5&amp;"|"&amp;RIGHT("000000"&amp;226,6),LdAKeyG,0),"")</f>
        <v/>
      </c>
    </row>
    <row r="243">
      <c r="A243" s="10" t="n">
        <v>227</v>
      </c>
      <c r="B243" s="14">
        <f>IF($N243="","",INDEX(LdADate,$N243))</f>
        <v/>
      </c>
      <c r="C243" s="14">
        <f>IF($N243="","",IF(INDEX(LdAId,$N243)="","—",INDEX(LdAId,$N243)))</f>
        <v/>
      </c>
      <c r="D243" s="16">
        <f>IF($N243="","",IF(INDEX(LdAAmt,$N243)=0,"",INDEX(LdAAmt,$N243)))</f>
        <v/>
      </c>
      <c r="E243" s="16">
        <f>IF($N243="","",SUMIFS(ShareAmt,ShareLink,$C243))</f>
        <v/>
      </c>
      <c r="F243" s="33">
        <f>IF($N243="","",COUNTIF(ShareLink,$C243))</f>
        <v/>
      </c>
      <c r="G243" s="17">
        <f>IF($N243="","",IF(ROUND($E243-$D243,0)=0,"√","▲ "&amp;TEXT($D243-$E243,"#,##0")))</f>
        <v/>
      </c>
      <c r="N243">
        <f>IFERROR(MATCH($C$5&amp;"|"&amp;RIGHT("000000"&amp;227,6),LdAKeyG,0),"")</f>
        <v/>
      </c>
    </row>
    <row r="244">
      <c r="A244" s="19" t="n">
        <v>228</v>
      </c>
      <c r="B244" s="20">
        <f>IF($N244="","",INDEX(LdADate,$N244))</f>
        <v/>
      </c>
      <c r="C244" s="20">
        <f>IF($N244="","",IF(INDEX(LdAId,$N244)="","—",INDEX(LdAId,$N244)))</f>
        <v/>
      </c>
      <c r="D244" s="21">
        <f>IF($N244="","",IF(INDEX(LdAAmt,$N244)=0,"",INDEX(LdAAmt,$N244)))</f>
        <v/>
      </c>
      <c r="E244" s="21">
        <f>IF($N244="","",SUMIFS(ShareAmt,ShareLink,$C244))</f>
        <v/>
      </c>
      <c r="F244" s="34">
        <f>IF($N244="","",COUNTIF(ShareLink,$C244))</f>
        <v/>
      </c>
      <c r="G244" s="22">
        <f>IF($N244="","",IF(ROUND($E244-$D244,0)=0,"√","▲ "&amp;TEXT($D244-$E244,"#,##0")))</f>
        <v/>
      </c>
      <c r="N244">
        <f>IFERROR(MATCH($C$5&amp;"|"&amp;RIGHT("000000"&amp;228,6),LdAKeyG,0),"")</f>
        <v/>
      </c>
    </row>
    <row r="245">
      <c r="A245" s="10" t="n">
        <v>229</v>
      </c>
      <c r="B245" s="14">
        <f>IF($N245="","",INDEX(LdADate,$N245))</f>
        <v/>
      </c>
      <c r="C245" s="14">
        <f>IF($N245="","",IF(INDEX(LdAId,$N245)="","—",INDEX(LdAId,$N245)))</f>
        <v/>
      </c>
      <c r="D245" s="16">
        <f>IF($N245="","",IF(INDEX(LdAAmt,$N245)=0,"",INDEX(LdAAmt,$N245)))</f>
        <v/>
      </c>
      <c r="E245" s="16">
        <f>IF($N245="","",SUMIFS(ShareAmt,ShareLink,$C245))</f>
        <v/>
      </c>
      <c r="F245" s="33">
        <f>IF($N245="","",COUNTIF(ShareLink,$C245))</f>
        <v/>
      </c>
      <c r="G245" s="17">
        <f>IF($N245="","",IF(ROUND($E245-$D245,0)=0,"√","▲ "&amp;TEXT($D245-$E245,"#,##0")))</f>
        <v/>
      </c>
      <c r="N245">
        <f>IFERROR(MATCH($C$5&amp;"|"&amp;RIGHT("000000"&amp;229,6),LdAKeyG,0),"")</f>
        <v/>
      </c>
    </row>
    <row r="246">
      <c r="A246" s="19" t="n">
        <v>230</v>
      </c>
      <c r="B246" s="20">
        <f>IF($N246="","",INDEX(LdADate,$N246))</f>
        <v/>
      </c>
      <c r="C246" s="20">
        <f>IF($N246="","",IF(INDEX(LdAId,$N246)="","—",INDEX(LdAId,$N246)))</f>
        <v/>
      </c>
      <c r="D246" s="21">
        <f>IF($N246="","",IF(INDEX(LdAAmt,$N246)=0,"",INDEX(LdAAmt,$N246)))</f>
        <v/>
      </c>
      <c r="E246" s="21">
        <f>IF($N246="","",SUMIFS(ShareAmt,ShareLink,$C246))</f>
        <v/>
      </c>
      <c r="F246" s="34">
        <f>IF($N246="","",COUNTIF(ShareLink,$C246))</f>
        <v/>
      </c>
      <c r="G246" s="22">
        <f>IF($N246="","",IF(ROUND($E246-$D246,0)=0,"√","▲ "&amp;TEXT($D246-$E246,"#,##0")))</f>
        <v/>
      </c>
      <c r="N246">
        <f>IFERROR(MATCH($C$5&amp;"|"&amp;RIGHT("000000"&amp;230,6),LdAKeyG,0),"")</f>
        <v/>
      </c>
    </row>
    <row r="247">
      <c r="A247" s="10" t="n">
        <v>231</v>
      </c>
      <c r="B247" s="14">
        <f>IF($N247="","",INDEX(LdADate,$N247))</f>
        <v/>
      </c>
      <c r="C247" s="14">
        <f>IF($N247="","",IF(INDEX(LdAId,$N247)="","—",INDEX(LdAId,$N247)))</f>
        <v/>
      </c>
      <c r="D247" s="16">
        <f>IF($N247="","",IF(INDEX(LdAAmt,$N247)=0,"",INDEX(LdAAmt,$N247)))</f>
        <v/>
      </c>
      <c r="E247" s="16">
        <f>IF($N247="","",SUMIFS(ShareAmt,ShareLink,$C247))</f>
        <v/>
      </c>
      <c r="F247" s="33">
        <f>IF($N247="","",COUNTIF(ShareLink,$C247))</f>
        <v/>
      </c>
      <c r="G247" s="17">
        <f>IF($N247="","",IF(ROUND($E247-$D247,0)=0,"√","▲ "&amp;TEXT($D247-$E247,"#,##0")))</f>
        <v/>
      </c>
      <c r="N247">
        <f>IFERROR(MATCH($C$5&amp;"|"&amp;RIGHT("000000"&amp;231,6),LdAKeyG,0),"")</f>
        <v/>
      </c>
    </row>
    <row r="248">
      <c r="A248" s="19" t="n">
        <v>232</v>
      </c>
      <c r="B248" s="20">
        <f>IF($N248="","",INDEX(LdADate,$N248))</f>
        <v/>
      </c>
      <c r="C248" s="20">
        <f>IF($N248="","",IF(INDEX(LdAId,$N248)="","—",INDEX(LdAId,$N248)))</f>
        <v/>
      </c>
      <c r="D248" s="21">
        <f>IF($N248="","",IF(INDEX(LdAAmt,$N248)=0,"",INDEX(LdAAmt,$N248)))</f>
        <v/>
      </c>
      <c r="E248" s="21">
        <f>IF($N248="","",SUMIFS(ShareAmt,ShareLink,$C248))</f>
        <v/>
      </c>
      <c r="F248" s="34">
        <f>IF($N248="","",COUNTIF(ShareLink,$C248))</f>
        <v/>
      </c>
      <c r="G248" s="22">
        <f>IF($N248="","",IF(ROUND($E248-$D248,0)=0,"√","▲ "&amp;TEXT($D248-$E248,"#,##0")))</f>
        <v/>
      </c>
      <c r="N248">
        <f>IFERROR(MATCH($C$5&amp;"|"&amp;RIGHT("000000"&amp;232,6),LdAKeyG,0),"")</f>
        <v/>
      </c>
    </row>
    <row r="249">
      <c r="A249" s="10" t="n">
        <v>233</v>
      </c>
      <c r="B249" s="14">
        <f>IF($N249="","",INDEX(LdADate,$N249))</f>
        <v/>
      </c>
      <c r="C249" s="14">
        <f>IF($N249="","",IF(INDEX(LdAId,$N249)="","—",INDEX(LdAId,$N249)))</f>
        <v/>
      </c>
      <c r="D249" s="16">
        <f>IF($N249="","",IF(INDEX(LdAAmt,$N249)=0,"",INDEX(LdAAmt,$N249)))</f>
        <v/>
      </c>
      <c r="E249" s="16">
        <f>IF($N249="","",SUMIFS(ShareAmt,ShareLink,$C249))</f>
        <v/>
      </c>
      <c r="F249" s="33">
        <f>IF($N249="","",COUNTIF(ShareLink,$C249))</f>
        <v/>
      </c>
      <c r="G249" s="17">
        <f>IF($N249="","",IF(ROUND($E249-$D249,0)=0,"√","▲ "&amp;TEXT($D249-$E249,"#,##0")))</f>
        <v/>
      </c>
      <c r="N249">
        <f>IFERROR(MATCH($C$5&amp;"|"&amp;RIGHT("000000"&amp;233,6),LdAKeyG,0),"")</f>
        <v/>
      </c>
    </row>
    <row r="250">
      <c r="A250" s="19" t="n">
        <v>234</v>
      </c>
      <c r="B250" s="20">
        <f>IF($N250="","",INDEX(LdADate,$N250))</f>
        <v/>
      </c>
      <c r="C250" s="20">
        <f>IF($N250="","",IF(INDEX(LdAId,$N250)="","—",INDEX(LdAId,$N250)))</f>
        <v/>
      </c>
      <c r="D250" s="21">
        <f>IF($N250="","",IF(INDEX(LdAAmt,$N250)=0,"",INDEX(LdAAmt,$N250)))</f>
        <v/>
      </c>
      <c r="E250" s="21">
        <f>IF($N250="","",SUMIFS(ShareAmt,ShareLink,$C250))</f>
        <v/>
      </c>
      <c r="F250" s="34">
        <f>IF($N250="","",COUNTIF(ShareLink,$C250))</f>
        <v/>
      </c>
      <c r="G250" s="22">
        <f>IF($N250="","",IF(ROUND($E250-$D250,0)=0,"√","▲ "&amp;TEXT($D250-$E250,"#,##0")))</f>
        <v/>
      </c>
      <c r="N250">
        <f>IFERROR(MATCH($C$5&amp;"|"&amp;RIGHT("000000"&amp;234,6),LdAKeyG,0),"")</f>
        <v/>
      </c>
    </row>
    <row r="251">
      <c r="A251" s="10" t="n">
        <v>235</v>
      </c>
      <c r="B251" s="14">
        <f>IF($N251="","",INDEX(LdADate,$N251))</f>
        <v/>
      </c>
      <c r="C251" s="14">
        <f>IF($N251="","",IF(INDEX(LdAId,$N251)="","—",INDEX(LdAId,$N251)))</f>
        <v/>
      </c>
      <c r="D251" s="16">
        <f>IF($N251="","",IF(INDEX(LdAAmt,$N251)=0,"",INDEX(LdAAmt,$N251)))</f>
        <v/>
      </c>
      <c r="E251" s="16">
        <f>IF($N251="","",SUMIFS(ShareAmt,ShareLink,$C251))</f>
        <v/>
      </c>
      <c r="F251" s="33">
        <f>IF($N251="","",COUNTIF(ShareLink,$C251))</f>
        <v/>
      </c>
      <c r="G251" s="17">
        <f>IF($N251="","",IF(ROUND($E251-$D251,0)=0,"√","▲ "&amp;TEXT($D251-$E251,"#,##0")))</f>
        <v/>
      </c>
      <c r="N251">
        <f>IFERROR(MATCH($C$5&amp;"|"&amp;RIGHT("000000"&amp;235,6),LdAKeyG,0),"")</f>
        <v/>
      </c>
    </row>
    <row r="252">
      <c r="A252" s="19" t="n">
        <v>236</v>
      </c>
      <c r="B252" s="20">
        <f>IF($N252="","",INDEX(LdADate,$N252))</f>
        <v/>
      </c>
      <c r="C252" s="20">
        <f>IF($N252="","",IF(INDEX(LdAId,$N252)="","—",INDEX(LdAId,$N252)))</f>
        <v/>
      </c>
      <c r="D252" s="21">
        <f>IF($N252="","",IF(INDEX(LdAAmt,$N252)=0,"",INDEX(LdAAmt,$N252)))</f>
        <v/>
      </c>
      <c r="E252" s="21">
        <f>IF($N252="","",SUMIFS(ShareAmt,ShareLink,$C252))</f>
        <v/>
      </c>
      <c r="F252" s="34">
        <f>IF($N252="","",COUNTIF(ShareLink,$C252))</f>
        <v/>
      </c>
      <c r="G252" s="22">
        <f>IF($N252="","",IF(ROUND($E252-$D252,0)=0,"√","▲ "&amp;TEXT($D252-$E252,"#,##0")))</f>
        <v/>
      </c>
      <c r="N252">
        <f>IFERROR(MATCH($C$5&amp;"|"&amp;RIGHT("000000"&amp;236,6),LdAKeyG,0),"")</f>
        <v/>
      </c>
    </row>
    <row r="253">
      <c r="A253" s="10" t="n">
        <v>237</v>
      </c>
      <c r="B253" s="14">
        <f>IF($N253="","",INDEX(LdADate,$N253))</f>
        <v/>
      </c>
      <c r="C253" s="14">
        <f>IF($N253="","",IF(INDEX(LdAId,$N253)="","—",INDEX(LdAId,$N253)))</f>
        <v/>
      </c>
      <c r="D253" s="16">
        <f>IF($N253="","",IF(INDEX(LdAAmt,$N253)=0,"",INDEX(LdAAmt,$N253)))</f>
        <v/>
      </c>
      <c r="E253" s="16">
        <f>IF($N253="","",SUMIFS(ShareAmt,ShareLink,$C253))</f>
        <v/>
      </c>
      <c r="F253" s="33">
        <f>IF($N253="","",COUNTIF(ShareLink,$C253))</f>
        <v/>
      </c>
      <c r="G253" s="17">
        <f>IF($N253="","",IF(ROUND($E253-$D253,0)=0,"√","▲ "&amp;TEXT($D253-$E253,"#,##0")))</f>
        <v/>
      </c>
      <c r="N253">
        <f>IFERROR(MATCH($C$5&amp;"|"&amp;RIGHT("000000"&amp;237,6),LdAKeyG,0),"")</f>
        <v/>
      </c>
    </row>
    <row r="254">
      <c r="A254" s="19" t="n">
        <v>238</v>
      </c>
      <c r="B254" s="20">
        <f>IF($N254="","",INDEX(LdADate,$N254))</f>
        <v/>
      </c>
      <c r="C254" s="20">
        <f>IF($N254="","",IF(INDEX(LdAId,$N254)="","—",INDEX(LdAId,$N254)))</f>
        <v/>
      </c>
      <c r="D254" s="21">
        <f>IF($N254="","",IF(INDEX(LdAAmt,$N254)=0,"",INDEX(LdAAmt,$N254)))</f>
        <v/>
      </c>
      <c r="E254" s="21">
        <f>IF($N254="","",SUMIFS(ShareAmt,ShareLink,$C254))</f>
        <v/>
      </c>
      <c r="F254" s="34">
        <f>IF($N254="","",COUNTIF(ShareLink,$C254))</f>
        <v/>
      </c>
      <c r="G254" s="22">
        <f>IF($N254="","",IF(ROUND($E254-$D254,0)=0,"√","▲ "&amp;TEXT($D254-$E254,"#,##0")))</f>
        <v/>
      </c>
      <c r="N254">
        <f>IFERROR(MATCH($C$5&amp;"|"&amp;RIGHT("000000"&amp;238,6),LdAKeyG,0),"")</f>
        <v/>
      </c>
    </row>
    <row r="255">
      <c r="A255" s="10" t="n">
        <v>239</v>
      </c>
      <c r="B255" s="14">
        <f>IF($N255="","",INDEX(LdADate,$N255))</f>
        <v/>
      </c>
      <c r="C255" s="14">
        <f>IF($N255="","",IF(INDEX(LdAId,$N255)="","—",INDEX(LdAId,$N255)))</f>
        <v/>
      </c>
      <c r="D255" s="16">
        <f>IF($N255="","",IF(INDEX(LdAAmt,$N255)=0,"",INDEX(LdAAmt,$N255)))</f>
        <v/>
      </c>
      <c r="E255" s="16">
        <f>IF($N255="","",SUMIFS(ShareAmt,ShareLink,$C255))</f>
        <v/>
      </c>
      <c r="F255" s="33">
        <f>IF($N255="","",COUNTIF(ShareLink,$C255))</f>
        <v/>
      </c>
      <c r="G255" s="17">
        <f>IF($N255="","",IF(ROUND($E255-$D255,0)=0,"√","▲ "&amp;TEXT($D255-$E255,"#,##0")))</f>
        <v/>
      </c>
      <c r="N255">
        <f>IFERROR(MATCH($C$5&amp;"|"&amp;RIGHT("000000"&amp;239,6),LdAKeyG,0),"")</f>
        <v/>
      </c>
    </row>
    <row r="256">
      <c r="A256" s="19" t="n">
        <v>240</v>
      </c>
      <c r="B256" s="20">
        <f>IF($N256="","",INDEX(LdADate,$N256))</f>
        <v/>
      </c>
      <c r="C256" s="20">
        <f>IF($N256="","",IF(INDEX(LdAId,$N256)="","—",INDEX(LdAId,$N256)))</f>
        <v/>
      </c>
      <c r="D256" s="21">
        <f>IF($N256="","",IF(INDEX(LdAAmt,$N256)=0,"",INDEX(LdAAmt,$N256)))</f>
        <v/>
      </c>
      <c r="E256" s="21">
        <f>IF($N256="","",SUMIFS(ShareAmt,ShareLink,$C256))</f>
        <v/>
      </c>
      <c r="F256" s="34">
        <f>IF($N256="","",COUNTIF(ShareLink,$C256))</f>
        <v/>
      </c>
      <c r="G256" s="22">
        <f>IF($N256="","",IF(ROUND($E256-$D256,0)=0,"√","▲ "&amp;TEXT($D256-$E256,"#,##0")))</f>
        <v/>
      </c>
      <c r="N256">
        <f>IFERROR(MATCH($C$5&amp;"|"&amp;RIGHT("000000"&amp;240,6),LdAKeyG,0),"")</f>
        <v/>
      </c>
    </row>
    <row r="257">
      <c r="A257" s="10" t="n">
        <v>241</v>
      </c>
      <c r="B257" s="14">
        <f>IF($N257="","",INDEX(LdADate,$N257))</f>
        <v/>
      </c>
      <c r="C257" s="14">
        <f>IF($N257="","",IF(INDEX(LdAId,$N257)="","—",INDEX(LdAId,$N257)))</f>
        <v/>
      </c>
      <c r="D257" s="16">
        <f>IF($N257="","",IF(INDEX(LdAAmt,$N257)=0,"",INDEX(LdAAmt,$N257)))</f>
        <v/>
      </c>
      <c r="E257" s="16">
        <f>IF($N257="","",SUMIFS(ShareAmt,ShareLink,$C257))</f>
        <v/>
      </c>
      <c r="F257" s="33">
        <f>IF($N257="","",COUNTIF(ShareLink,$C257))</f>
        <v/>
      </c>
      <c r="G257" s="17">
        <f>IF($N257="","",IF(ROUND($E257-$D257,0)=0,"√","▲ "&amp;TEXT($D257-$E257,"#,##0")))</f>
        <v/>
      </c>
      <c r="N257">
        <f>IFERROR(MATCH($C$5&amp;"|"&amp;RIGHT("000000"&amp;241,6),LdAKeyG,0),"")</f>
        <v/>
      </c>
    </row>
    <row r="258">
      <c r="A258" s="19" t="n">
        <v>242</v>
      </c>
      <c r="B258" s="20">
        <f>IF($N258="","",INDEX(LdADate,$N258))</f>
        <v/>
      </c>
      <c r="C258" s="20">
        <f>IF($N258="","",IF(INDEX(LdAId,$N258)="","—",INDEX(LdAId,$N258)))</f>
        <v/>
      </c>
      <c r="D258" s="21">
        <f>IF($N258="","",IF(INDEX(LdAAmt,$N258)=0,"",INDEX(LdAAmt,$N258)))</f>
        <v/>
      </c>
      <c r="E258" s="21">
        <f>IF($N258="","",SUMIFS(ShareAmt,ShareLink,$C258))</f>
        <v/>
      </c>
      <c r="F258" s="34">
        <f>IF($N258="","",COUNTIF(ShareLink,$C258))</f>
        <v/>
      </c>
      <c r="G258" s="22">
        <f>IF($N258="","",IF(ROUND($E258-$D258,0)=0,"√","▲ "&amp;TEXT($D258-$E258,"#,##0")))</f>
        <v/>
      </c>
      <c r="N258">
        <f>IFERROR(MATCH($C$5&amp;"|"&amp;RIGHT("000000"&amp;242,6),LdAKeyG,0),"")</f>
        <v/>
      </c>
    </row>
    <row r="259">
      <c r="A259" s="10" t="n">
        <v>243</v>
      </c>
      <c r="B259" s="14">
        <f>IF($N259="","",INDEX(LdADate,$N259))</f>
        <v/>
      </c>
      <c r="C259" s="14">
        <f>IF($N259="","",IF(INDEX(LdAId,$N259)="","—",INDEX(LdAId,$N259)))</f>
        <v/>
      </c>
      <c r="D259" s="16">
        <f>IF($N259="","",IF(INDEX(LdAAmt,$N259)=0,"",INDEX(LdAAmt,$N259)))</f>
        <v/>
      </c>
      <c r="E259" s="16">
        <f>IF($N259="","",SUMIFS(ShareAmt,ShareLink,$C259))</f>
        <v/>
      </c>
      <c r="F259" s="33">
        <f>IF($N259="","",COUNTIF(ShareLink,$C259))</f>
        <v/>
      </c>
      <c r="G259" s="17">
        <f>IF($N259="","",IF(ROUND($E259-$D259,0)=0,"√","▲ "&amp;TEXT($D259-$E259,"#,##0")))</f>
        <v/>
      </c>
      <c r="N259">
        <f>IFERROR(MATCH($C$5&amp;"|"&amp;RIGHT("000000"&amp;243,6),LdAKeyG,0),"")</f>
        <v/>
      </c>
    </row>
    <row r="260">
      <c r="A260" s="19" t="n">
        <v>244</v>
      </c>
      <c r="B260" s="20">
        <f>IF($N260="","",INDEX(LdADate,$N260))</f>
        <v/>
      </c>
      <c r="C260" s="20">
        <f>IF($N260="","",IF(INDEX(LdAId,$N260)="","—",INDEX(LdAId,$N260)))</f>
        <v/>
      </c>
      <c r="D260" s="21">
        <f>IF($N260="","",IF(INDEX(LdAAmt,$N260)=0,"",INDEX(LdAAmt,$N260)))</f>
        <v/>
      </c>
      <c r="E260" s="21">
        <f>IF($N260="","",SUMIFS(ShareAmt,ShareLink,$C260))</f>
        <v/>
      </c>
      <c r="F260" s="34">
        <f>IF($N260="","",COUNTIF(ShareLink,$C260))</f>
        <v/>
      </c>
      <c r="G260" s="22">
        <f>IF($N260="","",IF(ROUND($E260-$D260,0)=0,"√","▲ "&amp;TEXT($D260-$E260,"#,##0")))</f>
        <v/>
      </c>
      <c r="N260">
        <f>IFERROR(MATCH($C$5&amp;"|"&amp;RIGHT("000000"&amp;244,6),LdAKeyG,0),"")</f>
        <v/>
      </c>
    </row>
    <row r="261">
      <c r="A261" s="10" t="n">
        <v>245</v>
      </c>
      <c r="B261" s="14">
        <f>IF($N261="","",INDEX(LdADate,$N261))</f>
        <v/>
      </c>
      <c r="C261" s="14">
        <f>IF($N261="","",IF(INDEX(LdAId,$N261)="","—",INDEX(LdAId,$N261)))</f>
        <v/>
      </c>
      <c r="D261" s="16">
        <f>IF($N261="","",IF(INDEX(LdAAmt,$N261)=0,"",INDEX(LdAAmt,$N261)))</f>
        <v/>
      </c>
      <c r="E261" s="16">
        <f>IF($N261="","",SUMIFS(ShareAmt,ShareLink,$C261))</f>
        <v/>
      </c>
      <c r="F261" s="33">
        <f>IF($N261="","",COUNTIF(ShareLink,$C261))</f>
        <v/>
      </c>
      <c r="G261" s="17">
        <f>IF($N261="","",IF(ROUND($E261-$D261,0)=0,"√","▲ "&amp;TEXT($D261-$E261,"#,##0")))</f>
        <v/>
      </c>
      <c r="N261">
        <f>IFERROR(MATCH($C$5&amp;"|"&amp;RIGHT("000000"&amp;245,6),LdAKeyG,0),"")</f>
        <v/>
      </c>
    </row>
    <row r="262">
      <c r="A262" s="19" t="n">
        <v>246</v>
      </c>
      <c r="B262" s="20">
        <f>IF($N262="","",INDEX(LdADate,$N262))</f>
        <v/>
      </c>
      <c r="C262" s="20">
        <f>IF($N262="","",IF(INDEX(LdAId,$N262)="","—",INDEX(LdAId,$N262)))</f>
        <v/>
      </c>
      <c r="D262" s="21">
        <f>IF($N262="","",IF(INDEX(LdAAmt,$N262)=0,"",INDEX(LdAAmt,$N262)))</f>
        <v/>
      </c>
      <c r="E262" s="21">
        <f>IF($N262="","",SUMIFS(ShareAmt,ShareLink,$C262))</f>
        <v/>
      </c>
      <c r="F262" s="34">
        <f>IF($N262="","",COUNTIF(ShareLink,$C262))</f>
        <v/>
      </c>
      <c r="G262" s="22">
        <f>IF($N262="","",IF(ROUND($E262-$D262,0)=0,"√","▲ "&amp;TEXT($D262-$E262,"#,##0")))</f>
        <v/>
      </c>
      <c r="N262">
        <f>IFERROR(MATCH($C$5&amp;"|"&amp;RIGHT("000000"&amp;246,6),LdAKeyG,0),"")</f>
        <v/>
      </c>
    </row>
    <row r="263">
      <c r="A263" s="10" t="n">
        <v>247</v>
      </c>
      <c r="B263" s="14">
        <f>IF($N263="","",INDEX(LdADate,$N263))</f>
        <v/>
      </c>
      <c r="C263" s="14">
        <f>IF($N263="","",IF(INDEX(LdAId,$N263)="","—",INDEX(LdAId,$N263)))</f>
        <v/>
      </c>
      <c r="D263" s="16">
        <f>IF($N263="","",IF(INDEX(LdAAmt,$N263)=0,"",INDEX(LdAAmt,$N263)))</f>
        <v/>
      </c>
      <c r="E263" s="16">
        <f>IF($N263="","",SUMIFS(ShareAmt,ShareLink,$C263))</f>
        <v/>
      </c>
      <c r="F263" s="33">
        <f>IF($N263="","",COUNTIF(ShareLink,$C263))</f>
        <v/>
      </c>
      <c r="G263" s="17">
        <f>IF($N263="","",IF(ROUND($E263-$D263,0)=0,"√","▲ "&amp;TEXT($D263-$E263,"#,##0")))</f>
        <v/>
      </c>
      <c r="N263">
        <f>IFERROR(MATCH($C$5&amp;"|"&amp;RIGHT("000000"&amp;247,6),LdAKeyG,0),"")</f>
        <v/>
      </c>
    </row>
    <row r="264">
      <c r="A264" s="19" t="n">
        <v>248</v>
      </c>
      <c r="B264" s="20">
        <f>IF($N264="","",INDEX(LdADate,$N264))</f>
        <v/>
      </c>
      <c r="C264" s="20">
        <f>IF($N264="","",IF(INDEX(LdAId,$N264)="","—",INDEX(LdAId,$N264)))</f>
        <v/>
      </c>
      <c r="D264" s="21">
        <f>IF($N264="","",IF(INDEX(LdAAmt,$N264)=0,"",INDEX(LdAAmt,$N264)))</f>
        <v/>
      </c>
      <c r="E264" s="21">
        <f>IF($N264="","",SUMIFS(ShareAmt,ShareLink,$C264))</f>
        <v/>
      </c>
      <c r="F264" s="34">
        <f>IF($N264="","",COUNTIF(ShareLink,$C264))</f>
        <v/>
      </c>
      <c r="G264" s="22">
        <f>IF($N264="","",IF(ROUND($E264-$D264,0)=0,"√","▲ "&amp;TEXT($D264-$E264,"#,##0")))</f>
        <v/>
      </c>
      <c r="N264">
        <f>IFERROR(MATCH($C$5&amp;"|"&amp;RIGHT("000000"&amp;248,6),LdAKeyG,0),"")</f>
        <v/>
      </c>
    </row>
    <row r="265">
      <c r="A265" s="10" t="n">
        <v>249</v>
      </c>
      <c r="B265" s="14">
        <f>IF($N265="","",INDEX(LdADate,$N265))</f>
        <v/>
      </c>
      <c r="C265" s="14">
        <f>IF($N265="","",IF(INDEX(LdAId,$N265)="","—",INDEX(LdAId,$N265)))</f>
        <v/>
      </c>
      <c r="D265" s="16">
        <f>IF($N265="","",IF(INDEX(LdAAmt,$N265)=0,"",INDEX(LdAAmt,$N265)))</f>
        <v/>
      </c>
      <c r="E265" s="16">
        <f>IF($N265="","",SUMIFS(ShareAmt,ShareLink,$C265))</f>
        <v/>
      </c>
      <c r="F265" s="33">
        <f>IF($N265="","",COUNTIF(ShareLink,$C265))</f>
        <v/>
      </c>
      <c r="G265" s="17">
        <f>IF($N265="","",IF(ROUND($E265-$D265,0)=0,"√","▲ "&amp;TEXT($D265-$E265,"#,##0")))</f>
        <v/>
      </c>
      <c r="N265">
        <f>IFERROR(MATCH($C$5&amp;"|"&amp;RIGHT("000000"&amp;249,6),LdAKeyG,0),"")</f>
        <v/>
      </c>
    </row>
    <row r="266">
      <c r="A266" s="19" t="n">
        <v>250</v>
      </c>
      <c r="B266" s="20">
        <f>IF($N266="","",INDEX(LdADate,$N266))</f>
        <v/>
      </c>
      <c r="C266" s="20">
        <f>IF($N266="","",IF(INDEX(LdAId,$N266)="","—",INDEX(LdAId,$N266)))</f>
        <v/>
      </c>
      <c r="D266" s="21">
        <f>IF($N266="","",IF(INDEX(LdAAmt,$N266)=0,"",INDEX(LdAAmt,$N266)))</f>
        <v/>
      </c>
      <c r="E266" s="21">
        <f>IF($N266="","",SUMIFS(ShareAmt,ShareLink,$C266))</f>
        <v/>
      </c>
      <c r="F266" s="34">
        <f>IF($N266="","",COUNTIF(ShareLink,$C266))</f>
        <v/>
      </c>
      <c r="G266" s="22">
        <f>IF($N266="","",IF(ROUND($E266-$D266,0)=0,"√","▲ "&amp;TEXT($D266-$E266,"#,##0")))</f>
        <v/>
      </c>
      <c r="N266">
        <f>IFERROR(MATCH($C$5&amp;"|"&amp;RIGHT("000000"&amp;250,6),LdAKeyG,0),"")</f>
        <v/>
      </c>
    </row>
    <row r="267">
      <c r="A267" s="10" t="n">
        <v>251</v>
      </c>
      <c r="B267" s="14">
        <f>IF($N267="","",INDEX(LdADate,$N267))</f>
        <v/>
      </c>
      <c r="C267" s="14">
        <f>IF($N267="","",IF(INDEX(LdAId,$N267)="","—",INDEX(LdAId,$N267)))</f>
        <v/>
      </c>
      <c r="D267" s="16">
        <f>IF($N267="","",IF(INDEX(LdAAmt,$N267)=0,"",INDEX(LdAAmt,$N267)))</f>
        <v/>
      </c>
      <c r="E267" s="16">
        <f>IF($N267="","",SUMIFS(ShareAmt,ShareLink,$C267))</f>
        <v/>
      </c>
      <c r="F267" s="33">
        <f>IF($N267="","",COUNTIF(ShareLink,$C267))</f>
        <v/>
      </c>
      <c r="G267" s="17">
        <f>IF($N267="","",IF(ROUND($E267-$D267,0)=0,"√","▲ "&amp;TEXT($D267-$E267,"#,##0")))</f>
        <v/>
      </c>
      <c r="N267">
        <f>IFERROR(MATCH($C$5&amp;"|"&amp;RIGHT("000000"&amp;251,6),LdAKeyG,0),"")</f>
        <v/>
      </c>
    </row>
    <row r="268">
      <c r="A268" s="19" t="n">
        <v>252</v>
      </c>
      <c r="B268" s="20">
        <f>IF($N268="","",INDEX(LdADate,$N268))</f>
        <v/>
      </c>
      <c r="C268" s="20">
        <f>IF($N268="","",IF(INDEX(LdAId,$N268)="","—",INDEX(LdAId,$N268)))</f>
        <v/>
      </c>
      <c r="D268" s="21">
        <f>IF($N268="","",IF(INDEX(LdAAmt,$N268)=0,"",INDEX(LdAAmt,$N268)))</f>
        <v/>
      </c>
      <c r="E268" s="21">
        <f>IF($N268="","",SUMIFS(ShareAmt,ShareLink,$C268))</f>
        <v/>
      </c>
      <c r="F268" s="34">
        <f>IF($N268="","",COUNTIF(ShareLink,$C268))</f>
        <v/>
      </c>
      <c r="G268" s="22">
        <f>IF($N268="","",IF(ROUND($E268-$D268,0)=0,"√","▲ "&amp;TEXT($D268-$E268,"#,##0")))</f>
        <v/>
      </c>
      <c r="N268">
        <f>IFERROR(MATCH($C$5&amp;"|"&amp;RIGHT("000000"&amp;252,6),LdAKeyG,0),"")</f>
        <v/>
      </c>
    </row>
    <row r="269">
      <c r="A269" s="10" t="n">
        <v>253</v>
      </c>
      <c r="B269" s="14">
        <f>IF($N269="","",INDEX(LdADate,$N269))</f>
        <v/>
      </c>
      <c r="C269" s="14">
        <f>IF($N269="","",IF(INDEX(LdAId,$N269)="","—",INDEX(LdAId,$N269)))</f>
        <v/>
      </c>
      <c r="D269" s="16">
        <f>IF($N269="","",IF(INDEX(LdAAmt,$N269)=0,"",INDEX(LdAAmt,$N269)))</f>
        <v/>
      </c>
      <c r="E269" s="16">
        <f>IF($N269="","",SUMIFS(ShareAmt,ShareLink,$C269))</f>
        <v/>
      </c>
      <c r="F269" s="33">
        <f>IF($N269="","",COUNTIF(ShareLink,$C269))</f>
        <v/>
      </c>
      <c r="G269" s="17">
        <f>IF($N269="","",IF(ROUND($E269-$D269,0)=0,"√","▲ "&amp;TEXT($D269-$E269,"#,##0")))</f>
        <v/>
      </c>
      <c r="N269">
        <f>IFERROR(MATCH($C$5&amp;"|"&amp;RIGHT("000000"&amp;253,6),LdAKeyG,0),"")</f>
        <v/>
      </c>
    </row>
    <row r="270">
      <c r="A270" s="19" t="n">
        <v>254</v>
      </c>
      <c r="B270" s="20">
        <f>IF($N270="","",INDEX(LdADate,$N270))</f>
        <v/>
      </c>
      <c r="C270" s="20">
        <f>IF($N270="","",IF(INDEX(LdAId,$N270)="","—",INDEX(LdAId,$N270)))</f>
        <v/>
      </c>
      <c r="D270" s="21">
        <f>IF($N270="","",IF(INDEX(LdAAmt,$N270)=0,"",INDEX(LdAAmt,$N270)))</f>
        <v/>
      </c>
      <c r="E270" s="21">
        <f>IF($N270="","",SUMIFS(ShareAmt,ShareLink,$C270))</f>
        <v/>
      </c>
      <c r="F270" s="34">
        <f>IF($N270="","",COUNTIF(ShareLink,$C270))</f>
        <v/>
      </c>
      <c r="G270" s="22">
        <f>IF($N270="","",IF(ROUND($E270-$D270,0)=0,"√","▲ "&amp;TEXT($D270-$E270,"#,##0")))</f>
        <v/>
      </c>
      <c r="N270">
        <f>IFERROR(MATCH($C$5&amp;"|"&amp;RIGHT("000000"&amp;254,6),LdAKeyG,0),"")</f>
        <v/>
      </c>
    </row>
    <row r="271">
      <c r="A271" s="10" t="n">
        <v>255</v>
      </c>
      <c r="B271" s="14">
        <f>IF($N271="","",INDEX(LdADate,$N271))</f>
        <v/>
      </c>
      <c r="C271" s="14">
        <f>IF($N271="","",IF(INDEX(LdAId,$N271)="","—",INDEX(LdAId,$N271)))</f>
        <v/>
      </c>
      <c r="D271" s="16">
        <f>IF($N271="","",IF(INDEX(LdAAmt,$N271)=0,"",INDEX(LdAAmt,$N271)))</f>
        <v/>
      </c>
      <c r="E271" s="16">
        <f>IF($N271="","",SUMIFS(ShareAmt,ShareLink,$C271))</f>
        <v/>
      </c>
      <c r="F271" s="33">
        <f>IF($N271="","",COUNTIF(ShareLink,$C271))</f>
        <v/>
      </c>
      <c r="G271" s="17">
        <f>IF($N271="","",IF(ROUND($E271-$D271,0)=0,"√","▲ "&amp;TEXT($D271-$E271,"#,##0")))</f>
        <v/>
      </c>
      <c r="N271">
        <f>IFERROR(MATCH($C$5&amp;"|"&amp;RIGHT("000000"&amp;255,6),LdAKeyG,0),"")</f>
        <v/>
      </c>
    </row>
    <row r="272">
      <c r="A272" s="19" t="n">
        <v>256</v>
      </c>
      <c r="B272" s="20">
        <f>IF($N272="","",INDEX(LdADate,$N272))</f>
        <v/>
      </c>
      <c r="C272" s="20">
        <f>IF($N272="","",IF(INDEX(LdAId,$N272)="","—",INDEX(LdAId,$N272)))</f>
        <v/>
      </c>
      <c r="D272" s="21">
        <f>IF($N272="","",IF(INDEX(LdAAmt,$N272)=0,"",INDEX(LdAAmt,$N272)))</f>
        <v/>
      </c>
      <c r="E272" s="21">
        <f>IF($N272="","",SUMIFS(ShareAmt,ShareLink,$C272))</f>
        <v/>
      </c>
      <c r="F272" s="34">
        <f>IF($N272="","",COUNTIF(ShareLink,$C272))</f>
        <v/>
      </c>
      <c r="G272" s="22">
        <f>IF($N272="","",IF(ROUND($E272-$D272,0)=0,"√","▲ "&amp;TEXT($D272-$E272,"#,##0")))</f>
        <v/>
      </c>
      <c r="N272">
        <f>IFERROR(MATCH($C$5&amp;"|"&amp;RIGHT("000000"&amp;256,6),LdAKeyG,0),"")</f>
        <v/>
      </c>
    </row>
    <row r="273">
      <c r="A273" s="10" t="n">
        <v>257</v>
      </c>
      <c r="B273" s="14">
        <f>IF($N273="","",INDEX(LdADate,$N273))</f>
        <v/>
      </c>
      <c r="C273" s="14">
        <f>IF($N273="","",IF(INDEX(LdAId,$N273)="","—",INDEX(LdAId,$N273)))</f>
        <v/>
      </c>
      <c r="D273" s="16">
        <f>IF($N273="","",IF(INDEX(LdAAmt,$N273)=0,"",INDEX(LdAAmt,$N273)))</f>
        <v/>
      </c>
      <c r="E273" s="16">
        <f>IF($N273="","",SUMIFS(ShareAmt,ShareLink,$C273))</f>
        <v/>
      </c>
      <c r="F273" s="33">
        <f>IF($N273="","",COUNTIF(ShareLink,$C273))</f>
        <v/>
      </c>
      <c r="G273" s="17">
        <f>IF($N273="","",IF(ROUND($E273-$D273,0)=0,"√","▲ "&amp;TEXT($D273-$E273,"#,##0")))</f>
        <v/>
      </c>
      <c r="N273">
        <f>IFERROR(MATCH($C$5&amp;"|"&amp;RIGHT("000000"&amp;257,6),LdAKeyG,0),"")</f>
        <v/>
      </c>
    </row>
    <row r="274">
      <c r="A274" s="19" t="n">
        <v>258</v>
      </c>
      <c r="B274" s="20">
        <f>IF($N274="","",INDEX(LdADate,$N274))</f>
        <v/>
      </c>
      <c r="C274" s="20">
        <f>IF($N274="","",IF(INDEX(LdAId,$N274)="","—",INDEX(LdAId,$N274)))</f>
        <v/>
      </c>
      <c r="D274" s="21">
        <f>IF($N274="","",IF(INDEX(LdAAmt,$N274)=0,"",INDEX(LdAAmt,$N274)))</f>
        <v/>
      </c>
      <c r="E274" s="21">
        <f>IF($N274="","",SUMIFS(ShareAmt,ShareLink,$C274))</f>
        <v/>
      </c>
      <c r="F274" s="34">
        <f>IF($N274="","",COUNTIF(ShareLink,$C274))</f>
        <v/>
      </c>
      <c r="G274" s="22">
        <f>IF($N274="","",IF(ROUND($E274-$D274,0)=0,"√","▲ "&amp;TEXT($D274-$E274,"#,##0")))</f>
        <v/>
      </c>
      <c r="N274">
        <f>IFERROR(MATCH($C$5&amp;"|"&amp;RIGHT("000000"&amp;258,6),LdAKeyG,0),"")</f>
        <v/>
      </c>
    </row>
    <row r="275">
      <c r="A275" s="10" t="n">
        <v>259</v>
      </c>
      <c r="B275" s="14">
        <f>IF($N275="","",INDEX(LdADate,$N275))</f>
        <v/>
      </c>
      <c r="C275" s="14">
        <f>IF($N275="","",IF(INDEX(LdAId,$N275)="","—",INDEX(LdAId,$N275)))</f>
        <v/>
      </c>
      <c r="D275" s="16">
        <f>IF($N275="","",IF(INDEX(LdAAmt,$N275)=0,"",INDEX(LdAAmt,$N275)))</f>
        <v/>
      </c>
      <c r="E275" s="16">
        <f>IF($N275="","",SUMIFS(ShareAmt,ShareLink,$C275))</f>
        <v/>
      </c>
      <c r="F275" s="33">
        <f>IF($N275="","",COUNTIF(ShareLink,$C275))</f>
        <v/>
      </c>
      <c r="G275" s="17">
        <f>IF($N275="","",IF(ROUND($E275-$D275,0)=0,"√","▲ "&amp;TEXT($D275-$E275,"#,##0")))</f>
        <v/>
      </c>
      <c r="N275">
        <f>IFERROR(MATCH($C$5&amp;"|"&amp;RIGHT("000000"&amp;259,6),LdAKeyG,0),"")</f>
        <v/>
      </c>
    </row>
    <row r="276">
      <c r="A276" s="19" t="n">
        <v>260</v>
      </c>
      <c r="B276" s="20">
        <f>IF($N276="","",INDEX(LdADate,$N276))</f>
        <v/>
      </c>
      <c r="C276" s="20">
        <f>IF($N276="","",IF(INDEX(LdAId,$N276)="","—",INDEX(LdAId,$N276)))</f>
        <v/>
      </c>
      <c r="D276" s="21">
        <f>IF($N276="","",IF(INDEX(LdAAmt,$N276)=0,"",INDEX(LdAAmt,$N276)))</f>
        <v/>
      </c>
      <c r="E276" s="21">
        <f>IF($N276="","",SUMIFS(ShareAmt,ShareLink,$C276))</f>
        <v/>
      </c>
      <c r="F276" s="34">
        <f>IF($N276="","",COUNTIF(ShareLink,$C276))</f>
        <v/>
      </c>
      <c r="G276" s="22">
        <f>IF($N276="","",IF(ROUND($E276-$D276,0)=0,"√","▲ "&amp;TEXT($D276-$E276,"#,##0")))</f>
        <v/>
      </c>
      <c r="N276">
        <f>IFERROR(MATCH($C$5&amp;"|"&amp;RIGHT("000000"&amp;260,6),LdAKeyG,0),"")</f>
        <v/>
      </c>
    </row>
    <row r="277">
      <c r="A277" s="10" t="n">
        <v>261</v>
      </c>
      <c r="B277" s="14">
        <f>IF($N277="","",INDEX(LdADate,$N277))</f>
        <v/>
      </c>
      <c r="C277" s="14">
        <f>IF($N277="","",IF(INDEX(LdAId,$N277)="","—",INDEX(LdAId,$N277)))</f>
        <v/>
      </c>
      <c r="D277" s="16">
        <f>IF($N277="","",IF(INDEX(LdAAmt,$N277)=0,"",INDEX(LdAAmt,$N277)))</f>
        <v/>
      </c>
      <c r="E277" s="16">
        <f>IF($N277="","",SUMIFS(ShareAmt,ShareLink,$C277))</f>
        <v/>
      </c>
      <c r="F277" s="33">
        <f>IF($N277="","",COUNTIF(ShareLink,$C277))</f>
        <v/>
      </c>
      <c r="G277" s="17">
        <f>IF($N277="","",IF(ROUND($E277-$D277,0)=0,"√","▲ "&amp;TEXT($D277-$E277,"#,##0")))</f>
        <v/>
      </c>
      <c r="N277">
        <f>IFERROR(MATCH($C$5&amp;"|"&amp;RIGHT("000000"&amp;261,6),LdAKeyG,0),"")</f>
        <v/>
      </c>
    </row>
    <row r="278">
      <c r="A278" s="19" t="n">
        <v>262</v>
      </c>
      <c r="B278" s="20">
        <f>IF($N278="","",INDEX(LdADate,$N278))</f>
        <v/>
      </c>
      <c r="C278" s="20">
        <f>IF($N278="","",IF(INDEX(LdAId,$N278)="","—",INDEX(LdAId,$N278)))</f>
        <v/>
      </c>
      <c r="D278" s="21">
        <f>IF($N278="","",IF(INDEX(LdAAmt,$N278)=0,"",INDEX(LdAAmt,$N278)))</f>
        <v/>
      </c>
      <c r="E278" s="21">
        <f>IF($N278="","",SUMIFS(ShareAmt,ShareLink,$C278))</f>
        <v/>
      </c>
      <c r="F278" s="34">
        <f>IF($N278="","",COUNTIF(ShareLink,$C278))</f>
        <v/>
      </c>
      <c r="G278" s="22">
        <f>IF($N278="","",IF(ROUND($E278-$D278,0)=0,"√","▲ "&amp;TEXT($D278-$E278,"#,##0")))</f>
        <v/>
      </c>
      <c r="N278">
        <f>IFERROR(MATCH($C$5&amp;"|"&amp;RIGHT("000000"&amp;262,6),LdAKeyG,0),"")</f>
        <v/>
      </c>
    </row>
    <row r="279">
      <c r="A279" s="10" t="n">
        <v>263</v>
      </c>
      <c r="B279" s="14">
        <f>IF($N279="","",INDEX(LdADate,$N279))</f>
        <v/>
      </c>
      <c r="C279" s="14">
        <f>IF($N279="","",IF(INDEX(LdAId,$N279)="","—",INDEX(LdAId,$N279)))</f>
        <v/>
      </c>
      <c r="D279" s="16">
        <f>IF($N279="","",IF(INDEX(LdAAmt,$N279)=0,"",INDEX(LdAAmt,$N279)))</f>
        <v/>
      </c>
      <c r="E279" s="16">
        <f>IF($N279="","",SUMIFS(ShareAmt,ShareLink,$C279))</f>
        <v/>
      </c>
      <c r="F279" s="33">
        <f>IF($N279="","",COUNTIF(ShareLink,$C279))</f>
        <v/>
      </c>
      <c r="G279" s="17">
        <f>IF($N279="","",IF(ROUND($E279-$D279,0)=0,"√","▲ "&amp;TEXT($D279-$E279,"#,##0")))</f>
        <v/>
      </c>
      <c r="N279">
        <f>IFERROR(MATCH($C$5&amp;"|"&amp;RIGHT("000000"&amp;263,6),LdAKeyG,0),"")</f>
        <v/>
      </c>
    </row>
    <row r="280">
      <c r="A280" s="19" t="n">
        <v>264</v>
      </c>
      <c r="B280" s="20">
        <f>IF($N280="","",INDEX(LdADate,$N280))</f>
        <v/>
      </c>
      <c r="C280" s="20">
        <f>IF($N280="","",IF(INDEX(LdAId,$N280)="","—",INDEX(LdAId,$N280)))</f>
        <v/>
      </c>
      <c r="D280" s="21">
        <f>IF($N280="","",IF(INDEX(LdAAmt,$N280)=0,"",INDEX(LdAAmt,$N280)))</f>
        <v/>
      </c>
      <c r="E280" s="21">
        <f>IF($N280="","",SUMIFS(ShareAmt,ShareLink,$C280))</f>
        <v/>
      </c>
      <c r="F280" s="34">
        <f>IF($N280="","",COUNTIF(ShareLink,$C280))</f>
        <v/>
      </c>
      <c r="G280" s="22">
        <f>IF($N280="","",IF(ROUND($E280-$D280,0)=0,"√","▲ "&amp;TEXT($D280-$E280,"#,##0")))</f>
        <v/>
      </c>
      <c r="N280">
        <f>IFERROR(MATCH($C$5&amp;"|"&amp;RIGHT("000000"&amp;264,6),LdAKeyG,0),"")</f>
        <v/>
      </c>
    </row>
    <row r="281">
      <c r="A281" s="10" t="n">
        <v>265</v>
      </c>
      <c r="B281" s="14">
        <f>IF($N281="","",INDEX(LdADate,$N281))</f>
        <v/>
      </c>
      <c r="C281" s="14">
        <f>IF($N281="","",IF(INDEX(LdAId,$N281)="","—",INDEX(LdAId,$N281)))</f>
        <v/>
      </c>
      <c r="D281" s="16">
        <f>IF($N281="","",IF(INDEX(LdAAmt,$N281)=0,"",INDEX(LdAAmt,$N281)))</f>
        <v/>
      </c>
      <c r="E281" s="16">
        <f>IF($N281="","",SUMIFS(ShareAmt,ShareLink,$C281))</f>
        <v/>
      </c>
      <c r="F281" s="33">
        <f>IF($N281="","",COUNTIF(ShareLink,$C281))</f>
        <v/>
      </c>
      <c r="G281" s="17">
        <f>IF($N281="","",IF(ROUND($E281-$D281,0)=0,"√","▲ "&amp;TEXT($D281-$E281,"#,##0")))</f>
        <v/>
      </c>
      <c r="N281">
        <f>IFERROR(MATCH($C$5&amp;"|"&amp;RIGHT("000000"&amp;265,6),LdAKeyG,0),"")</f>
        <v/>
      </c>
    </row>
    <row r="282">
      <c r="A282" s="19" t="n">
        <v>266</v>
      </c>
      <c r="B282" s="20">
        <f>IF($N282="","",INDEX(LdADate,$N282))</f>
        <v/>
      </c>
      <c r="C282" s="20">
        <f>IF($N282="","",IF(INDEX(LdAId,$N282)="","—",INDEX(LdAId,$N282)))</f>
        <v/>
      </c>
      <c r="D282" s="21">
        <f>IF($N282="","",IF(INDEX(LdAAmt,$N282)=0,"",INDEX(LdAAmt,$N282)))</f>
        <v/>
      </c>
      <c r="E282" s="21">
        <f>IF($N282="","",SUMIFS(ShareAmt,ShareLink,$C282))</f>
        <v/>
      </c>
      <c r="F282" s="34">
        <f>IF($N282="","",COUNTIF(ShareLink,$C282))</f>
        <v/>
      </c>
      <c r="G282" s="22">
        <f>IF($N282="","",IF(ROUND($E282-$D282,0)=0,"√","▲ "&amp;TEXT($D282-$E282,"#,##0")))</f>
        <v/>
      </c>
      <c r="N282">
        <f>IFERROR(MATCH($C$5&amp;"|"&amp;RIGHT("000000"&amp;266,6),LdAKeyG,0),"")</f>
        <v/>
      </c>
    </row>
    <row r="283">
      <c r="A283" s="10" t="n">
        <v>267</v>
      </c>
      <c r="B283" s="14">
        <f>IF($N283="","",INDEX(LdADate,$N283))</f>
        <v/>
      </c>
      <c r="C283" s="14">
        <f>IF($N283="","",IF(INDEX(LdAId,$N283)="","—",INDEX(LdAId,$N283)))</f>
        <v/>
      </c>
      <c r="D283" s="16">
        <f>IF($N283="","",IF(INDEX(LdAAmt,$N283)=0,"",INDEX(LdAAmt,$N283)))</f>
        <v/>
      </c>
      <c r="E283" s="16">
        <f>IF($N283="","",SUMIFS(ShareAmt,ShareLink,$C283))</f>
        <v/>
      </c>
      <c r="F283" s="33">
        <f>IF($N283="","",COUNTIF(ShareLink,$C283))</f>
        <v/>
      </c>
      <c r="G283" s="17">
        <f>IF($N283="","",IF(ROUND($E283-$D283,0)=0,"√","▲ "&amp;TEXT($D283-$E283,"#,##0")))</f>
        <v/>
      </c>
      <c r="N283">
        <f>IFERROR(MATCH($C$5&amp;"|"&amp;RIGHT("000000"&amp;267,6),LdAKeyG,0),"")</f>
        <v/>
      </c>
    </row>
    <row r="284">
      <c r="A284" s="19" t="n">
        <v>268</v>
      </c>
      <c r="B284" s="20">
        <f>IF($N284="","",INDEX(LdADate,$N284))</f>
        <v/>
      </c>
      <c r="C284" s="20">
        <f>IF($N284="","",IF(INDEX(LdAId,$N284)="","—",INDEX(LdAId,$N284)))</f>
        <v/>
      </c>
      <c r="D284" s="21">
        <f>IF($N284="","",IF(INDEX(LdAAmt,$N284)=0,"",INDEX(LdAAmt,$N284)))</f>
        <v/>
      </c>
      <c r="E284" s="21">
        <f>IF($N284="","",SUMIFS(ShareAmt,ShareLink,$C284))</f>
        <v/>
      </c>
      <c r="F284" s="34">
        <f>IF($N284="","",COUNTIF(ShareLink,$C284))</f>
        <v/>
      </c>
      <c r="G284" s="22">
        <f>IF($N284="","",IF(ROUND($E284-$D284,0)=0,"√","▲ "&amp;TEXT($D284-$E284,"#,##0")))</f>
        <v/>
      </c>
      <c r="N284">
        <f>IFERROR(MATCH($C$5&amp;"|"&amp;RIGHT("000000"&amp;268,6),LdAKeyG,0),"")</f>
        <v/>
      </c>
    </row>
    <row r="285">
      <c r="A285" s="10" t="n">
        <v>269</v>
      </c>
      <c r="B285" s="14">
        <f>IF($N285="","",INDEX(LdADate,$N285))</f>
        <v/>
      </c>
      <c r="C285" s="14">
        <f>IF($N285="","",IF(INDEX(LdAId,$N285)="","—",INDEX(LdAId,$N285)))</f>
        <v/>
      </c>
      <c r="D285" s="16">
        <f>IF($N285="","",IF(INDEX(LdAAmt,$N285)=0,"",INDEX(LdAAmt,$N285)))</f>
        <v/>
      </c>
      <c r="E285" s="16">
        <f>IF($N285="","",SUMIFS(ShareAmt,ShareLink,$C285))</f>
        <v/>
      </c>
      <c r="F285" s="33">
        <f>IF($N285="","",COUNTIF(ShareLink,$C285))</f>
        <v/>
      </c>
      <c r="G285" s="17">
        <f>IF($N285="","",IF(ROUND($E285-$D285,0)=0,"√","▲ "&amp;TEXT($D285-$E285,"#,##0")))</f>
        <v/>
      </c>
      <c r="N285">
        <f>IFERROR(MATCH($C$5&amp;"|"&amp;RIGHT("000000"&amp;269,6),LdAKeyG,0),"")</f>
        <v/>
      </c>
    </row>
    <row r="286">
      <c r="A286" s="19" t="n">
        <v>270</v>
      </c>
      <c r="B286" s="20">
        <f>IF($N286="","",INDEX(LdADate,$N286))</f>
        <v/>
      </c>
      <c r="C286" s="20">
        <f>IF($N286="","",IF(INDEX(LdAId,$N286)="","—",INDEX(LdAId,$N286)))</f>
        <v/>
      </c>
      <c r="D286" s="21">
        <f>IF($N286="","",IF(INDEX(LdAAmt,$N286)=0,"",INDEX(LdAAmt,$N286)))</f>
        <v/>
      </c>
      <c r="E286" s="21">
        <f>IF($N286="","",SUMIFS(ShareAmt,ShareLink,$C286))</f>
        <v/>
      </c>
      <c r="F286" s="34">
        <f>IF($N286="","",COUNTIF(ShareLink,$C286))</f>
        <v/>
      </c>
      <c r="G286" s="22">
        <f>IF($N286="","",IF(ROUND($E286-$D286,0)=0,"√","▲ "&amp;TEXT($D286-$E286,"#,##0")))</f>
        <v/>
      </c>
      <c r="N286">
        <f>IFERROR(MATCH($C$5&amp;"|"&amp;RIGHT("000000"&amp;270,6),LdAKeyG,0),"")</f>
        <v/>
      </c>
    </row>
    <row r="287">
      <c r="A287" s="10" t="n">
        <v>271</v>
      </c>
      <c r="B287" s="14">
        <f>IF($N287="","",INDEX(LdADate,$N287))</f>
        <v/>
      </c>
      <c r="C287" s="14">
        <f>IF($N287="","",IF(INDEX(LdAId,$N287)="","—",INDEX(LdAId,$N287)))</f>
        <v/>
      </c>
      <c r="D287" s="16">
        <f>IF($N287="","",IF(INDEX(LdAAmt,$N287)=0,"",INDEX(LdAAmt,$N287)))</f>
        <v/>
      </c>
      <c r="E287" s="16">
        <f>IF($N287="","",SUMIFS(ShareAmt,ShareLink,$C287))</f>
        <v/>
      </c>
      <c r="F287" s="33">
        <f>IF($N287="","",COUNTIF(ShareLink,$C287))</f>
        <v/>
      </c>
      <c r="G287" s="17">
        <f>IF($N287="","",IF(ROUND($E287-$D287,0)=0,"√","▲ "&amp;TEXT($D287-$E287,"#,##0")))</f>
        <v/>
      </c>
      <c r="N287">
        <f>IFERROR(MATCH($C$5&amp;"|"&amp;RIGHT("000000"&amp;271,6),LdAKeyG,0),"")</f>
        <v/>
      </c>
    </row>
    <row r="288">
      <c r="A288" s="19" t="n">
        <v>272</v>
      </c>
      <c r="B288" s="20">
        <f>IF($N288="","",INDEX(LdADate,$N288))</f>
        <v/>
      </c>
      <c r="C288" s="20">
        <f>IF($N288="","",IF(INDEX(LdAId,$N288)="","—",INDEX(LdAId,$N288)))</f>
        <v/>
      </c>
      <c r="D288" s="21">
        <f>IF($N288="","",IF(INDEX(LdAAmt,$N288)=0,"",INDEX(LdAAmt,$N288)))</f>
        <v/>
      </c>
      <c r="E288" s="21">
        <f>IF($N288="","",SUMIFS(ShareAmt,ShareLink,$C288))</f>
        <v/>
      </c>
      <c r="F288" s="34">
        <f>IF($N288="","",COUNTIF(ShareLink,$C288))</f>
        <v/>
      </c>
      <c r="G288" s="22">
        <f>IF($N288="","",IF(ROUND($E288-$D288,0)=0,"√","▲ "&amp;TEXT($D288-$E288,"#,##0")))</f>
        <v/>
      </c>
      <c r="N288">
        <f>IFERROR(MATCH($C$5&amp;"|"&amp;RIGHT("000000"&amp;272,6),LdAKeyG,0),"")</f>
        <v/>
      </c>
    </row>
    <row r="289">
      <c r="A289" s="10" t="n">
        <v>273</v>
      </c>
      <c r="B289" s="14">
        <f>IF($N289="","",INDEX(LdADate,$N289))</f>
        <v/>
      </c>
      <c r="C289" s="14">
        <f>IF($N289="","",IF(INDEX(LdAId,$N289)="","—",INDEX(LdAId,$N289)))</f>
        <v/>
      </c>
      <c r="D289" s="16">
        <f>IF($N289="","",IF(INDEX(LdAAmt,$N289)=0,"",INDEX(LdAAmt,$N289)))</f>
        <v/>
      </c>
      <c r="E289" s="16">
        <f>IF($N289="","",SUMIFS(ShareAmt,ShareLink,$C289))</f>
        <v/>
      </c>
      <c r="F289" s="33">
        <f>IF($N289="","",COUNTIF(ShareLink,$C289))</f>
        <v/>
      </c>
      <c r="G289" s="17">
        <f>IF($N289="","",IF(ROUND($E289-$D289,0)=0,"√","▲ "&amp;TEXT($D289-$E289,"#,##0")))</f>
        <v/>
      </c>
      <c r="N289">
        <f>IFERROR(MATCH($C$5&amp;"|"&amp;RIGHT("000000"&amp;273,6),LdAKeyG,0),"")</f>
        <v/>
      </c>
    </row>
    <row r="290">
      <c r="A290" s="19" t="n">
        <v>274</v>
      </c>
      <c r="B290" s="20">
        <f>IF($N290="","",INDEX(LdADate,$N290))</f>
        <v/>
      </c>
      <c r="C290" s="20">
        <f>IF($N290="","",IF(INDEX(LdAId,$N290)="","—",INDEX(LdAId,$N290)))</f>
        <v/>
      </c>
      <c r="D290" s="21">
        <f>IF($N290="","",IF(INDEX(LdAAmt,$N290)=0,"",INDEX(LdAAmt,$N290)))</f>
        <v/>
      </c>
      <c r="E290" s="21">
        <f>IF($N290="","",SUMIFS(ShareAmt,ShareLink,$C290))</f>
        <v/>
      </c>
      <c r="F290" s="34">
        <f>IF($N290="","",COUNTIF(ShareLink,$C290))</f>
        <v/>
      </c>
      <c r="G290" s="22">
        <f>IF($N290="","",IF(ROUND($E290-$D290,0)=0,"√","▲ "&amp;TEXT($D290-$E290,"#,##0")))</f>
        <v/>
      </c>
      <c r="N290">
        <f>IFERROR(MATCH($C$5&amp;"|"&amp;RIGHT("000000"&amp;274,6),LdAKeyG,0),"")</f>
        <v/>
      </c>
    </row>
    <row r="291">
      <c r="A291" s="10" t="n">
        <v>275</v>
      </c>
      <c r="B291" s="14">
        <f>IF($N291="","",INDEX(LdADate,$N291))</f>
        <v/>
      </c>
      <c r="C291" s="14">
        <f>IF($N291="","",IF(INDEX(LdAId,$N291)="","—",INDEX(LdAId,$N291)))</f>
        <v/>
      </c>
      <c r="D291" s="16">
        <f>IF($N291="","",IF(INDEX(LdAAmt,$N291)=0,"",INDEX(LdAAmt,$N291)))</f>
        <v/>
      </c>
      <c r="E291" s="16">
        <f>IF($N291="","",SUMIFS(ShareAmt,ShareLink,$C291))</f>
        <v/>
      </c>
      <c r="F291" s="33">
        <f>IF($N291="","",COUNTIF(ShareLink,$C291))</f>
        <v/>
      </c>
      <c r="G291" s="17">
        <f>IF($N291="","",IF(ROUND($E291-$D291,0)=0,"√","▲ "&amp;TEXT($D291-$E291,"#,##0")))</f>
        <v/>
      </c>
      <c r="N291">
        <f>IFERROR(MATCH($C$5&amp;"|"&amp;RIGHT("000000"&amp;275,6),LdAKeyG,0),"")</f>
        <v/>
      </c>
    </row>
    <row r="292">
      <c r="A292" s="19" t="n">
        <v>276</v>
      </c>
      <c r="B292" s="20">
        <f>IF($N292="","",INDEX(LdADate,$N292))</f>
        <v/>
      </c>
      <c r="C292" s="20">
        <f>IF($N292="","",IF(INDEX(LdAId,$N292)="","—",INDEX(LdAId,$N292)))</f>
        <v/>
      </c>
      <c r="D292" s="21">
        <f>IF($N292="","",IF(INDEX(LdAAmt,$N292)=0,"",INDEX(LdAAmt,$N292)))</f>
        <v/>
      </c>
      <c r="E292" s="21">
        <f>IF($N292="","",SUMIFS(ShareAmt,ShareLink,$C292))</f>
        <v/>
      </c>
      <c r="F292" s="34">
        <f>IF($N292="","",COUNTIF(ShareLink,$C292))</f>
        <v/>
      </c>
      <c r="G292" s="22">
        <f>IF($N292="","",IF(ROUND($E292-$D292,0)=0,"√","▲ "&amp;TEXT($D292-$E292,"#,##0")))</f>
        <v/>
      </c>
      <c r="N292">
        <f>IFERROR(MATCH($C$5&amp;"|"&amp;RIGHT("000000"&amp;276,6),LdAKeyG,0),"")</f>
        <v/>
      </c>
    </row>
    <row r="293">
      <c r="A293" s="10" t="n">
        <v>277</v>
      </c>
      <c r="B293" s="14">
        <f>IF($N293="","",INDEX(LdADate,$N293))</f>
        <v/>
      </c>
      <c r="C293" s="14">
        <f>IF($N293="","",IF(INDEX(LdAId,$N293)="","—",INDEX(LdAId,$N293)))</f>
        <v/>
      </c>
      <c r="D293" s="16">
        <f>IF($N293="","",IF(INDEX(LdAAmt,$N293)=0,"",INDEX(LdAAmt,$N293)))</f>
        <v/>
      </c>
      <c r="E293" s="16">
        <f>IF($N293="","",SUMIFS(ShareAmt,ShareLink,$C293))</f>
        <v/>
      </c>
      <c r="F293" s="33">
        <f>IF($N293="","",COUNTIF(ShareLink,$C293))</f>
        <v/>
      </c>
      <c r="G293" s="17">
        <f>IF($N293="","",IF(ROUND($E293-$D293,0)=0,"√","▲ "&amp;TEXT($D293-$E293,"#,##0")))</f>
        <v/>
      </c>
      <c r="N293">
        <f>IFERROR(MATCH($C$5&amp;"|"&amp;RIGHT("000000"&amp;277,6),LdAKeyG,0),"")</f>
        <v/>
      </c>
    </row>
    <row r="294">
      <c r="A294" s="19" t="n">
        <v>278</v>
      </c>
      <c r="B294" s="20">
        <f>IF($N294="","",INDEX(LdADate,$N294))</f>
        <v/>
      </c>
      <c r="C294" s="20">
        <f>IF($N294="","",IF(INDEX(LdAId,$N294)="","—",INDEX(LdAId,$N294)))</f>
        <v/>
      </c>
      <c r="D294" s="21">
        <f>IF($N294="","",IF(INDEX(LdAAmt,$N294)=0,"",INDEX(LdAAmt,$N294)))</f>
        <v/>
      </c>
      <c r="E294" s="21">
        <f>IF($N294="","",SUMIFS(ShareAmt,ShareLink,$C294))</f>
        <v/>
      </c>
      <c r="F294" s="34">
        <f>IF($N294="","",COUNTIF(ShareLink,$C294))</f>
        <v/>
      </c>
      <c r="G294" s="22">
        <f>IF($N294="","",IF(ROUND($E294-$D294,0)=0,"√","▲ "&amp;TEXT($D294-$E294,"#,##0")))</f>
        <v/>
      </c>
      <c r="N294">
        <f>IFERROR(MATCH($C$5&amp;"|"&amp;RIGHT("000000"&amp;278,6),LdAKeyG,0),"")</f>
        <v/>
      </c>
    </row>
    <row r="295">
      <c r="A295" s="10" t="n">
        <v>279</v>
      </c>
      <c r="B295" s="14">
        <f>IF($N295="","",INDEX(LdADate,$N295))</f>
        <v/>
      </c>
      <c r="C295" s="14">
        <f>IF($N295="","",IF(INDEX(LdAId,$N295)="","—",INDEX(LdAId,$N295)))</f>
        <v/>
      </c>
      <c r="D295" s="16">
        <f>IF($N295="","",IF(INDEX(LdAAmt,$N295)=0,"",INDEX(LdAAmt,$N295)))</f>
        <v/>
      </c>
      <c r="E295" s="16">
        <f>IF($N295="","",SUMIFS(ShareAmt,ShareLink,$C295))</f>
        <v/>
      </c>
      <c r="F295" s="33">
        <f>IF($N295="","",COUNTIF(ShareLink,$C295))</f>
        <v/>
      </c>
      <c r="G295" s="17">
        <f>IF($N295="","",IF(ROUND($E295-$D295,0)=0,"√","▲ "&amp;TEXT($D295-$E295,"#,##0")))</f>
        <v/>
      </c>
      <c r="N295">
        <f>IFERROR(MATCH($C$5&amp;"|"&amp;RIGHT("000000"&amp;279,6),LdAKeyG,0),"")</f>
        <v/>
      </c>
    </row>
    <row r="296">
      <c r="A296" s="19" t="n">
        <v>280</v>
      </c>
      <c r="B296" s="20">
        <f>IF($N296="","",INDEX(LdADate,$N296))</f>
        <v/>
      </c>
      <c r="C296" s="20">
        <f>IF($N296="","",IF(INDEX(LdAId,$N296)="","—",INDEX(LdAId,$N296)))</f>
        <v/>
      </c>
      <c r="D296" s="21">
        <f>IF($N296="","",IF(INDEX(LdAAmt,$N296)=0,"",INDEX(LdAAmt,$N296)))</f>
        <v/>
      </c>
      <c r="E296" s="21">
        <f>IF($N296="","",SUMIFS(ShareAmt,ShareLink,$C296))</f>
        <v/>
      </c>
      <c r="F296" s="34">
        <f>IF($N296="","",COUNTIF(ShareLink,$C296))</f>
        <v/>
      </c>
      <c r="G296" s="22">
        <f>IF($N296="","",IF(ROUND($E296-$D296,0)=0,"√","▲ "&amp;TEXT($D296-$E296,"#,##0")))</f>
        <v/>
      </c>
      <c r="N296">
        <f>IFERROR(MATCH($C$5&amp;"|"&amp;RIGHT("000000"&amp;280,6),LdAKeyG,0),"")</f>
        <v/>
      </c>
    </row>
    <row r="297">
      <c r="A297" s="10" t="n">
        <v>281</v>
      </c>
      <c r="B297" s="14">
        <f>IF($N297="","",INDEX(LdADate,$N297))</f>
        <v/>
      </c>
      <c r="C297" s="14">
        <f>IF($N297="","",IF(INDEX(LdAId,$N297)="","—",INDEX(LdAId,$N297)))</f>
        <v/>
      </c>
      <c r="D297" s="16">
        <f>IF($N297="","",IF(INDEX(LdAAmt,$N297)=0,"",INDEX(LdAAmt,$N297)))</f>
        <v/>
      </c>
      <c r="E297" s="16">
        <f>IF($N297="","",SUMIFS(ShareAmt,ShareLink,$C297))</f>
        <v/>
      </c>
      <c r="F297" s="33">
        <f>IF($N297="","",COUNTIF(ShareLink,$C297))</f>
        <v/>
      </c>
      <c r="G297" s="17">
        <f>IF($N297="","",IF(ROUND($E297-$D297,0)=0,"√","▲ "&amp;TEXT($D297-$E297,"#,##0")))</f>
        <v/>
      </c>
      <c r="N297">
        <f>IFERROR(MATCH($C$5&amp;"|"&amp;RIGHT("000000"&amp;281,6),LdAKeyG,0),"")</f>
        <v/>
      </c>
    </row>
    <row r="298">
      <c r="A298" s="19" t="n">
        <v>282</v>
      </c>
      <c r="B298" s="20">
        <f>IF($N298="","",INDEX(LdADate,$N298))</f>
        <v/>
      </c>
      <c r="C298" s="20">
        <f>IF($N298="","",IF(INDEX(LdAId,$N298)="","—",INDEX(LdAId,$N298)))</f>
        <v/>
      </c>
      <c r="D298" s="21">
        <f>IF($N298="","",IF(INDEX(LdAAmt,$N298)=0,"",INDEX(LdAAmt,$N298)))</f>
        <v/>
      </c>
      <c r="E298" s="21">
        <f>IF($N298="","",SUMIFS(ShareAmt,ShareLink,$C298))</f>
        <v/>
      </c>
      <c r="F298" s="34">
        <f>IF($N298="","",COUNTIF(ShareLink,$C298))</f>
        <v/>
      </c>
      <c r="G298" s="22">
        <f>IF($N298="","",IF(ROUND($E298-$D298,0)=0,"√","▲ "&amp;TEXT($D298-$E298,"#,##0")))</f>
        <v/>
      </c>
      <c r="N298">
        <f>IFERROR(MATCH($C$5&amp;"|"&amp;RIGHT("000000"&amp;282,6),LdAKeyG,0),"")</f>
        <v/>
      </c>
    </row>
    <row r="299">
      <c r="A299" s="10" t="n">
        <v>283</v>
      </c>
      <c r="B299" s="14">
        <f>IF($N299="","",INDEX(LdADate,$N299))</f>
        <v/>
      </c>
      <c r="C299" s="14">
        <f>IF($N299="","",IF(INDEX(LdAId,$N299)="","—",INDEX(LdAId,$N299)))</f>
        <v/>
      </c>
      <c r="D299" s="16">
        <f>IF($N299="","",IF(INDEX(LdAAmt,$N299)=0,"",INDEX(LdAAmt,$N299)))</f>
        <v/>
      </c>
      <c r="E299" s="16">
        <f>IF($N299="","",SUMIFS(ShareAmt,ShareLink,$C299))</f>
        <v/>
      </c>
      <c r="F299" s="33">
        <f>IF($N299="","",COUNTIF(ShareLink,$C299))</f>
        <v/>
      </c>
      <c r="G299" s="17">
        <f>IF($N299="","",IF(ROUND($E299-$D299,0)=0,"√","▲ "&amp;TEXT($D299-$E299,"#,##0")))</f>
        <v/>
      </c>
      <c r="N299">
        <f>IFERROR(MATCH($C$5&amp;"|"&amp;RIGHT("000000"&amp;283,6),LdAKeyG,0),"")</f>
        <v/>
      </c>
    </row>
    <row r="300">
      <c r="A300" s="19" t="n">
        <v>284</v>
      </c>
      <c r="B300" s="20">
        <f>IF($N300="","",INDEX(LdADate,$N300))</f>
        <v/>
      </c>
      <c r="C300" s="20">
        <f>IF($N300="","",IF(INDEX(LdAId,$N300)="","—",INDEX(LdAId,$N300)))</f>
        <v/>
      </c>
      <c r="D300" s="21">
        <f>IF($N300="","",IF(INDEX(LdAAmt,$N300)=0,"",INDEX(LdAAmt,$N300)))</f>
        <v/>
      </c>
      <c r="E300" s="21">
        <f>IF($N300="","",SUMIFS(ShareAmt,ShareLink,$C300))</f>
        <v/>
      </c>
      <c r="F300" s="34">
        <f>IF($N300="","",COUNTIF(ShareLink,$C300))</f>
        <v/>
      </c>
      <c r="G300" s="22">
        <f>IF($N300="","",IF(ROUND($E300-$D300,0)=0,"√","▲ "&amp;TEXT($D300-$E300,"#,##0")))</f>
        <v/>
      </c>
      <c r="N300">
        <f>IFERROR(MATCH($C$5&amp;"|"&amp;RIGHT("000000"&amp;284,6),LdAKeyG,0),"")</f>
        <v/>
      </c>
    </row>
    <row r="301">
      <c r="A301" s="10" t="n">
        <v>285</v>
      </c>
      <c r="B301" s="14">
        <f>IF($N301="","",INDEX(LdADate,$N301))</f>
        <v/>
      </c>
      <c r="C301" s="14">
        <f>IF($N301="","",IF(INDEX(LdAId,$N301)="","—",INDEX(LdAId,$N301)))</f>
        <v/>
      </c>
      <c r="D301" s="16">
        <f>IF($N301="","",IF(INDEX(LdAAmt,$N301)=0,"",INDEX(LdAAmt,$N301)))</f>
        <v/>
      </c>
      <c r="E301" s="16">
        <f>IF($N301="","",SUMIFS(ShareAmt,ShareLink,$C301))</f>
        <v/>
      </c>
      <c r="F301" s="33">
        <f>IF($N301="","",COUNTIF(ShareLink,$C301))</f>
        <v/>
      </c>
      <c r="G301" s="17">
        <f>IF($N301="","",IF(ROUND($E301-$D301,0)=0,"√","▲ "&amp;TEXT($D301-$E301,"#,##0")))</f>
        <v/>
      </c>
      <c r="N301">
        <f>IFERROR(MATCH($C$5&amp;"|"&amp;RIGHT("000000"&amp;285,6),LdAKeyG,0),"")</f>
        <v/>
      </c>
    </row>
    <row r="302">
      <c r="A302" s="19" t="n">
        <v>286</v>
      </c>
      <c r="B302" s="20">
        <f>IF($N302="","",INDEX(LdADate,$N302))</f>
        <v/>
      </c>
      <c r="C302" s="20">
        <f>IF($N302="","",IF(INDEX(LdAId,$N302)="","—",INDEX(LdAId,$N302)))</f>
        <v/>
      </c>
      <c r="D302" s="21">
        <f>IF($N302="","",IF(INDEX(LdAAmt,$N302)=0,"",INDEX(LdAAmt,$N302)))</f>
        <v/>
      </c>
      <c r="E302" s="21">
        <f>IF($N302="","",SUMIFS(ShareAmt,ShareLink,$C302))</f>
        <v/>
      </c>
      <c r="F302" s="34">
        <f>IF($N302="","",COUNTIF(ShareLink,$C302))</f>
        <v/>
      </c>
      <c r="G302" s="22">
        <f>IF($N302="","",IF(ROUND($E302-$D302,0)=0,"√","▲ "&amp;TEXT($D302-$E302,"#,##0")))</f>
        <v/>
      </c>
      <c r="N302">
        <f>IFERROR(MATCH($C$5&amp;"|"&amp;RIGHT("000000"&amp;286,6),LdAKeyG,0),"")</f>
        <v/>
      </c>
    </row>
    <row r="303">
      <c r="A303" s="10" t="n">
        <v>287</v>
      </c>
      <c r="B303" s="14">
        <f>IF($N303="","",INDEX(LdADate,$N303))</f>
        <v/>
      </c>
      <c r="C303" s="14">
        <f>IF($N303="","",IF(INDEX(LdAId,$N303)="","—",INDEX(LdAId,$N303)))</f>
        <v/>
      </c>
      <c r="D303" s="16">
        <f>IF($N303="","",IF(INDEX(LdAAmt,$N303)=0,"",INDEX(LdAAmt,$N303)))</f>
        <v/>
      </c>
      <c r="E303" s="16">
        <f>IF($N303="","",SUMIFS(ShareAmt,ShareLink,$C303))</f>
        <v/>
      </c>
      <c r="F303" s="33">
        <f>IF($N303="","",COUNTIF(ShareLink,$C303))</f>
        <v/>
      </c>
      <c r="G303" s="17">
        <f>IF($N303="","",IF(ROUND($E303-$D303,0)=0,"√","▲ "&amp;TEXT($D303-$E303,"#,##0")))</f>
        <v/>
      </c>
      <c r="N303">
        <f>IFERROR(MATCH($C$5&amp;"|"&amp;RIGHT("000000"&amp;287,6),LdAKeyG,0),"")</f>
        <v/>
      </c>
    </row>
    <row r="304">
      <c r="A304" s="19" t="n">
        <v>288</v>
      </c>
      <c r="B304" s="20">
        <f>IF($N304="","",INDEX(LdADate,$N304))</f>
        <v/>
      </c>
      <c r="C304" s="20">
        <f>IF($N304="","",IF(INDEX(LdAId,$N304)="","—",INDEX(LdAId,$N304)))</f>
        <v/>
      </c>
      <c r="D304" s="21">
        <f>IF($N304="","",IF(INDEX(LdAAmt,$N304)=0,"",INDEX(LdAAmt,$N304)))</f>
        <v/>
      </c>
      <c r="E304" s="21">
        <f>IF($N304="","",SUMIFS(ShareAmt,ShareLink,$C304))</f>
        <v/>
      </c>
      <c r="F304" s="34">
        <f>IF($N304="","",COUNTIF(ShareLink,$C304))</f>
        <v/>
      </c>
      <c r="G304" s="22">
        <f>IF($N304="","",IF(ROUND($E304-$D304,0)=0,"√","▲ "&amp;TEXT($D304-$E304,"#,##0")))</f>
        <v/>
      </c>
      <c r="N304">
        <f>IFERROR(MATCH($C$5&amp;"|"&amp;RIGHT("000000"&amp;288,6),LdAKeyG,0),"")</f>
        <v/>
      </c>
    </row>
    <row r="305">
      <c r="A305" s="10" t="n">
        <v>289</v>
      </c>
      <c r="B305" s="14">
        <f>IF($N305="","",INDEX(LdADate,$N305))</f>
        <v/>
      </c>
      <c r="C305" s="14">
        <f>IF($N305="","",IF(INDEX(LdAId,$N305)="","—",INDEX(LdAId,$N305)))</f>
        <v/>
      </c>
      <c r="D305" s="16">
        <f>IF($N305="","",IF(INDEX(LdAAmt,$N305)=0,"",INDEX(LdAAmt,$N305)))</f>
        <v/>
      </c>
      <c r="E305" s="16">
        <f>IF($N305="","",SUMIFS(ShareAmt,ShareLink,$C305))</f>
        <v/>
      </c>
      <c r="F305" s="33">
        <f>IF($N305="","",COUNTIF(ShareLink,$C305))</f>
        <v/>
      </c>
      <c r="G305" s="17">
        <f>IF($N305="","",IF(ROUND($E305-$D305,0)=0,"√","▲ "&amp;TEXT($D305-$E305,"#,##0")))</f>
        <v/>
      </c>
      <c r="N305">
        <f>IFERROR(MATCH($C$5&amp;"|"&amp;RIGHT("000000"&amp;289,6),LdAKeyG,0),"")</f>
        <v/>
      </c>
    </row>
    <row r="306">
      <c r="A306" s="19" t="n">
        <v>290</v>
      </c>
      <c r="B306" s="20">
        <f>IF($N306="","",INDEX(LdADate,$N306))</f>
        <v/>
      </c>
      <c r="C306" s="20">
        <f>IF($N306="","",IF(INDEX(LdAId,$N306)="","—",INDEX(LdAId,$N306)))</f>
        <v/>
      </c>
      <c r="D306" s="21">
        <f>IF($N306="","",IF(INDEX(LdAAmt,$N306)=0,"",INDEX(LdAAmt,$N306)))</f>
        <v/>
      </c>
      <c r="E306" s="21">
        <f>IF($N306="","",SUMIFS(ShareAmt,ShareLink,$C306))</f>
        <v/>
      </c>
      <c r="F306" s="34">
        <f>IF($N306="","",COUNTIF(ShareLink,$C306))</f>
        <v/>
      </c>
      <c r="G306" s="22">
        <f>IF($N306="","",IF(ROUND($E306-$D306,0)=0,"√","▲ "&amp;TEXT($D306-$E306,"#,##0")))</f>
        <v/>
      </c>
      <c r="N306">
        <f>IFERROR(MATCH($C$5&amp;"|"&amp;RIGHT("000000"&amp;290,6),LdAKeyG,0),"")</f>
        <v/>
      </c>
    </row>
    <row r="307">
      <c r="A307" s="10" t="n">
        <v>291</v>
      </c>
      <c r="B307" s="14">
        <f>IF($N307="","",INDEX(LdADate,$N307))</f>
        <v/>
      </c>
      <c r="C307" s="14">
        <f>IF($N307="","",IF(INDEX(LdAId,$N307)="","—",INDEX(LdAId,$N307)))</f>
        <v/>
      </c>
      <c r="D307" s="16">
        <f>IF($N307="","",IF(INDEX(LdAAmt,$N307)=0,"",INDEX(LdAAmt,$N307)))</f>
        <v/>
      </c>
      <c r="E307" s="16">
        <f>IF($N307="","",SUMIFS(ShareAmt,ShareLink,$C307))</f>
        <v/>
      </c>
      <c r="F307" s="33">
        <f>IF($N307="","",COUNTIF(ShareLink,$C307))</f>
        <v/>
      </c>
      <c r="G307" s="17">
        <f>IF($N307="","",IF(ROUND($E307-$D307,0)=0,"√","▲ "&amp;TEXT($D307-$E307,"#,##0")))</f>
        <v/>
      </c>
      <c r="N307">
        <f>IFERROR(MATCH($C$5&amp;"|"&amp;RIGHT("000000"&amp;291,6),LdAKeyG,0),"")</f>
        <v/>
      </c>
    </row>
    <row r="308">
      <c r="A308" s="19" t="n">
        <v>292</v>
      </c>
      <c r="B308" s="20">
        <f>IF($N308="","",INDEX(LdADate,$N308))</f>
        <v/>
      </c>
      <c r="C308" s="20">
        <f>IF($N308="","",IF(INDEX(LdAId,$N308)="","—",INDEX(LdAId,$N308)))</f>
        <v/>
      </c>
      <c r="D308" s="21">
        <f>IF($N308="","",IF(INDEX(LdAAmt,$N308)=0,"",INDEX(LdAAmt,$N308)))</f>
        <v/>
      </c>
      <c r="E308" s="21">
        <f>IF($N308="","",SUMIFS(ShareAmt,ShareLink,$C308))</f>
        <v/>
      </c>
      <c r="F308" s="34">
        <f>IF($N308="","",COUNTIF(ShareLink,$C308))</f>
        <v/>
      </c>
      <c r="G308" s="22">
        <f>IF($N308="","",IF(ROUND($E308-$D308,0)=0,"√","▲ "&amp;TEXT($D308-$E308,"#,##0")))</f>
        <v/>
      </c>
      <c r="N308">
        <f>IFERROR(MATCH($C$5&amp;"|"&amp;RIGHT("000000"&amp;292,6),LdAKeyG,0),"")</f>
        <v/>
      </c>
    </row>
    <row r="309">
      <c r="A309" s="10" t="n">
        <v>293</v>
      </c>
      <c r="B309" s="14">
        <f>IF($N309="","",INDEX(LdADate,$N309))</f>
        <v/>
      </c>
      <c r="C309" s="14">
        <f>IF($N309="","",IF(INDEX(LdAId,$N309)="","—",INDEX(LdAId,$N309)))</f>
        <v/>
      </c>
      <c r="D309" s="16">
        <f>IF($N309="","",IF(INDEX(LdAAmt,$N309)=0,"",INDEX(LdAAmt,$N309)))</f>
        <v/>
      </c>
      <c r="E309" s="16">
        <f>IF($N309="","",SUMIFS(ShareAmt,ShareLink,$C309))</f>
        <v/>
      </c>
      <c r="F309" s="33">
        <f>IF($N309="","",COUNTIF(ShareLink,$C309))</f>
        <v/>
      </c>
      <c r="G309" s="17">
        <f>IF($N309="","",IF(ROUND($E309-$D309,0)=0,"√","▲ "&amp;TEXT($D309-$E309,"#,##0")))</f>
        <v/>
      </c>
      <c r="N309">
        <f>IFERROR(MATCH($C$5&amp;"|"&amp;RIGHT("000000"&amp;293,6),LdAKeyG,0),"")</f>
        <v/>
      </c>
    </row>
    <row r="310">
      <c r="A310" s="19" t="n">
        <v>294</v>
      </c>
      <c r="B310" s="20">
        <f>IF($N310="","",INDEX(LdADate,$N310))</f>
        <v/>
      </c>
      <c r="C310" s="20">
        <f>IF($N310="","",IF(INDEX(LdAId,$N310)="","—",INDEX(LdAId,$N310)))</f>
        <v/>
      </c>
      <c r="D310" s="21">
        <f>IF($N310="","",IF(INDEX(LdAAmt,$N310)=0,"",INDEX(LdAAmt,$N310)))</f>
        <v/>
      </c>
      <c r="E310" s="21">
        <f>IF($N310="","",SUMIFS(ShareAmt,ShareLink,$C310))</f>
        <v/>
      </c>
      <c r="F310" s="34">
        <f>IF($N310="","",COUNTIF(ShareLink,$C310))</f>
        <v/>
      </c>
      <c r="G310" s="22">
        <f>IF($N310="","",IF(ROUND($E310-$D310,0)=0,"√","▲ "&amp;TEXT($D310-$E310,"#,##0")))</f>
        <v/>
      </c>
      <c r="N310">
        <f>IFERROR(MATCH($C$5&amp;"|"&amp;RIGHT("000000"&amp;294,6),LdAKeyG,0),"")</f>
        <v/>
      </c>
    </row>
    <row r="311">
      <c r="A311" s="10" t="n">
        <v>295</v>
      </c>
      <c r="B311" s="14">
        <f>IF($N311="","",INDEX(LdADate,$N311))</f>
        <v/>
      </c>
      <c r="C311" s="14">
        <f>IF($N311="","",IF(INDEX(LdAId,$N311)="","—",INDEX(LdAId,$N311)))</f>
        <v/>
      </c>
      <c r="D311" s="16">
        <f>IF($N311="","",IF(INDEX(LdAAmt,$N311)=0,"",INDEX(LdAAmt,$N311)))</f>
        <v/>
      </c>
      <c r="E311" s="16">
        <f>IF($N311="","",SUMIFS(ShareAmt,ShareLink,$C311))</f>
        <v/>
      </c>
      <c r="F311" s="33">
        <f>IF($N311="","",COUNTIF(ShareLink,$C311))</f>
        <v/>
      </c>
      <c r="G311" s="17">
        <f>IF($N311="","",IF(ROUND($E311-$D311,0)=0,"√","▲ "&amp;TEXT($D311-$E311,"#,##0")))</f>
        <v/>
      </c>
      <c r="N311">
        <f>IFERROR(MATCH($C$5&amp;"|"&amp;RIGHT("000000"&amp;295,6),LdAKeyG,0),"")</f>
        <v/>
      </c>
    </row>
    <row r="312">
      <c r="A312" s="19" t="n">
        <v>296</v>
      </c>
      <c r="B312" s="20">
        <f>IF($N312="","",INDEX(LdADate,$N312))</f>
        <v/>
      </c>
      <c r="C312" s="20">
        <f>IF($N312="","",IF(INDEX(LdAId,$N312)="","—",INDEX(LdAId,$N312)))</f>
        <v/>
      </c>
      <c r="D312" s="21">
        <f>IF($N312="","",IF(INDEX(LdAAmt,$N312)=0,"",INDEX(LdAAmt,$N312)))</f>
        <v/>
      </c>
      <c r="E312" s="21">
        <f>IF($N312="","",SUMIFS(ShareAmt,ShareLink,$C312))</f>
        <v/>
      </c>
      <c r="F312" s="34">
        <f>IF($N312="","",COUNTIF(ShareLink,$C312))</f>
        <v/>
      </c>
      <c r="G312" s="22">
        <f>IF($N312="","",IF(ROUND($E312-$D312,0)=0,"√","▲ "&amp;TEXT($D312-$E312,"#,##0")))</f>
        <v/>
      </c>
      <c r="N312">
        <f>IFERROR(MATCH($C$5&amp;"|"&amp;RIGHT("000000"&amp;296,6),LdAKeyG,0),"")</f>
        <v/>
      </c>
    </row>
    <row r="313">
      <c r="A313" s="10" t="n">
        <v>297</v>
      </c>
      <c r="B313" s="14">
        <f>IF($N313="","",INDEX(LdADate,$N313))</f>
        <v/>
      </c>
      <c r="C313" s="14">
        <f>IF($N313="","",IF(INDEX(LdAId,$N313)="","—",INDEX(LdAId,$N313)))</f>
        <v/>
      </c>
      <c r="D313" s="16">
        <f>IF($N313="","",IF(INDEX(LdAAmt,$N313)=0,"",INDEX(LdAAmt,$N313)))</f>
        <v/>
      </c>
      <c r="E313" s="16">
        <f>IF($N313="","",SUMIFS(ShareAmt,ShareLink,$C313))</f>
        <v/>
      </c>
      <c r="F313" s="33">
        <f>IF($N313="","",COUNTIF(ShareLink,$C313))</f>
        <v/>
      </c>
      <c r="G313" s="17">
        <f>IF($N313="","",IF(ROUND($E313-$D313,0)=0,"√","▲ "&amp;TEXT($D313-$E313,"#,##0")))</f>
        <v/>
      </c>
      <c r="N313">
        <f>IFERROR(MATCH($C$5&amp;"|"&amp;RIGHT("000000"&amp;297,6),LdAKeyG,0),"")</f>
        <v/>
      </c>
    </row>
    <row r="314">
      <c r="A314" s="19" t="n">
        <v>298</v>
      </c>
      <c r="B314" s="20">
        <f>IF($N314="","",INDEX(LdADate,$N314))</f>
        <v/>
      </c>
      <c r="C314" s="20">
        <f>IF($N314="","",IF(INDEX(LdAId,$N314)="","—",INDEX(LdAId,$N314)))</f>
        <v/>
      </c>
      <c r="D314" s="21">
        <f>IF($N314="","",IF(INDEX(LdAAmt,$N314)=0,"",INDEX(LdAAmt,$N314)))</f>
        <v/>
      </c>
      <c r="E314" s="21">
        <f>IF($N314="","",SUMIFS(ShareAmt,ShareLink,$C314))</f>
        <v/>
      </c>
      <c r="F314" s="34">
        <f>IF($N314="","",COUNTIF(ShareLink,$C314))</f>
        <v/>
      </c>
      <c r="G314" s="22">
        <f>IF($N314="","",IF(ROUND($E314-$D314,0)=0,"√","▲ "&amp;TEXT($D314-$E314,"#,##0")))</f>
        <v/>
      </c>
      <c r="N314">
        <f>IFERROR(MATCH($C$5&amp;"|"&amp;RIGHT("000000"&amp;298,6),LdAKeyG,0),"")</f>
        <v/>
      </c>
    </row>
    <row r="315">
      <c r="A315" s="10" t="n">
        <v>299</v>
      </c>
      <c r="B315" s="14">
        <f>IF($N315="","",INDEX(LdADate,$N315))</f>
        <v/>
      </c>
      <c r="C315" s="14">
        <f>IF($N315="","",IF(INDEX(LdAId,$N315)="","—",INDEX(LdAId,$N315)))</f>
        <v/>
      </c>
      <c r="D315" s="16">
        <f>IF($N315="","",IF(INDEX(LdAAmt,$N315)=0,"",INDEX(LdAAmt,$N315)))</f>
        <v/>
      </c>
      <c r="E315" s="16">
        <f>IF($N315="","",SUMIFS(ShareAmt,ShareLink,$C315))</f>
        <v/>
      </c>
      <c r="F315" s="33">
        <f>IF($N315="","",COUNTIF(ShareLink,$C315))</f>
        <v/>
      </c>
      <c r="G315" s="17">
        <f>IF($N315="","",IF(ROUND($E315-$D315,0)=0,"√","▲ "&amp;TEXT($D315-$E315,"#,##0")))</f>
        <v/>
      </c>
      <c r="N315">
        <f>IFERROR(MATCH($C$5&amp;"|"&amp;RIGHT("000000"&amp;299,6),LdAKeyG,0),"")</f>
        <v/>
      </c>
    </row>
    <row r="316">
      <c r="A316" s="19" t="n">
        <v>300</v>
      </c>
      <c r="B316" s="20">
        <f>IF($N316="","",INDEX(LdADate,$N316))</f>
        <v/>
      </c>
      <c r="C316" s="20">
        <f>IF($N316="","",IF(INDEX(LdAId,$N316)="","—",INDEX(LdAId,$N316)))</f>
        <v/>
      </c>
      <c r="D316" s="21">
        <f>IF($N316="","",IF(INDEX(LdAAmt,$N316)=0,"",INDEX(LdAAmt,$N316)))</f>
        <v/>
      </c>
      <c r="E316" s="21">
        <f>IF($N316="","",SUMIFS(ShareAmt,ShareLink,$C316))</f>
        <v/>
      </c>
      <c r="F316" s="34">
        <f>IF($N316="","",COUNTIF(ShareLink,$C316))</f>
        <v/>
      </c>
      <c r="G316" s="22">
        <f>IF($N316="","",IF(ROUND($E316-$D316,0)=0,"√","▲ "&amp;TEXT($D316-$E316,"#,##0")))</f>
        <v/>
      </c>
      <c r="N316">
        <f>IFERROR(MATCH($C$5&amp;"|"&amp;RIGHT("000000"&amp;300,6),LdAKeyG,0),"")</f>
        <v/>
      </c>
    </row>
    <row r="317">
      <c r="A317" s="10" t="n">
        <v>301</v>
      </c>
      <c r="B317" s="14">
        <f>IF($N317="","",INDEX(LdADate,$N317))</f>
        <v/>
      </c>
      <c r="C317" s="14">
        <f>IF($N317="","",IF(INDEX(LdAId,$N317)="","—",INDEX(LdAId,$N317)))</f>
        <v/>
      </c>
      <c r="D317" s="16">
        <f>IF($N317="","",IF(INDEX(LdAAmt,$N317)=0,"",INDEX(LdAAmt,$N317)))</f>
        <v/>
      </c>
      <c r="E317" s="16">
        <f>IF($N317="","",SUMIFS(ShareAmt,ShareLink,$C317))</f>
        <v/>
      </c>
      <c r="F317" s="33">
        <f>IF($N317="","",COUNTIF(ShareLink,$C317))</f>
        <v/>
      </c>
      <c r="G317" s="17">
        <f>IF($N317="","",IF(ROUND($E317-$D317,0)=0,"√","▲ "&amp;TEXT($D317-$E317,"#,##0")))</f>
        <v/>
      </c>
      <c r="N317">
        <f>IFERROR(MATCH($C$5&amp;"|"&amp;RIGHT("000000"&amp;301,6),LdAKeyG,0),"")</f>
        <v/>
      </c>
    </row>
    <row r="318">
      <c r="A318" s="19" t="n">
        <v>302</v>
      </c>
      <c r="B318" s="20">
        <f>IF($N318="","",INDEX(LdADate,$N318))</f>
        <v/>
      </c>
      <c r="C318" s="20">
        <f>IF($N318="","",IF(INDEX(LdAId,$N318)="","—",INDEX(LdAId,$N318)))</f>
        <v/>
      </c>
      <c r="D318" s="21">
        <f>IF($N318="","",IF(INDEX(LdAAmt,$N318)=0,"",INDEX(LdAAmt,$N318)))</f>
        <v/>
      </c>
      <c r="E318" s="21">
        <f>IF($N318="","",SUMIFS(ShareAmt,ShareLink,$C318))</f>
        <v/>
      </c>
      <c r="F318" s="34">
        <f>IF($N318="","",COUNTIF(ShareLink,$C318))</f>
        <v/>
      </c>
      <c r="G318" s="22">
        <f>IF($N318="","",IF(ROUND($E318-$D318,0)=0,"√","▲ "&amp;TEXT($D318-$E318,"#,##0")))</f>
        <v/>
      </c>
      <c r="N318">
        <f>IFERROR(MATCH($C$5&amp;"|"&amp;RIGHT("000000"&amp;302,6),LdAKeyG,0),"")</f>
        <v/>
      </c>
    </row>
    <row r="319">
      <c r="A319" s="10" t="n">
        <v>303</v>
      </c>
      <c r="B319" s="14">
        <f>IF($N319="","",INDEX(LdADate,$N319))</f>
        <v/>
      </c>
      <c r="C319" s="14">
        <f>IF($N319="","",IF(INDEX(LdAId,$N319)="","—",INDEX(LdAId,$N319)))</f>
        <v/>
      </c>
      <c r="D319" s="16">
        <f>IF($N319="","",IF(INDEX(LdAAmt,$N319)=0,"",INDEX(LdAAmt,$N319)))</f>
        <v/>
      </c>
      <c r="E319" s="16">
        <f>IF($N319="","",SUMIFS(ShareAmt,ShareLink,$C319))</f>
        <v/>
      </c>
      <c r="F319" s="33">
        <f>IF($N319="","",COUNTIF(ShareLink,$C319))</f>
        <v/>
      </c>
      <c r="G319" s="17">
        <f>IF($N319="","",IF(ROUND($E319-$D319,0)=0,"√","▲ "&amp;TEXT($D319-$E319,"#,##0")))</f>
        <v/>
      </c>
      <c r="N319">
        <f>IFERROR(MATCH($C$5&amp;"|"&amp;RIGHT("000000"&amp;303,6),LdAKeyG,0),"")</f>
        <v/>
      </c>
    </row>
    <row r="320">
      <c r="A320" s="19" t="n">
        <v>304</v>
      </c>
      <c r="B320" s="20">
        <f>IF($N320="","",INDEX(LdADate,$N320))</f>
        <v/>
      </c>
      <c r="C320" s="20">
        <f>IF($N320="","",IF(INDEX(LdAId,$N320)="","—",INDEX(LdAId,$N320)))</f>
        <v/>
      </c>
      <c r="D320" s="21">
        <f>IF($N320="","",IF(INDEX(LdAAmt,$N320)=0,"",INDEX(LdAAmt,$N320)))</f>
        <v/>
      </c>
      <c r="E320" s="21">
        <f>IF($N320="","",SUMIFS(ShareAmt,ShareLink,$C320))</f>
        <v/>
      </c>
      <c r="F320" s="34">
        <f>IF($N320="","",COUNTIF(ShareLink,$C320))</f>
        <v/>
      </c>
      <c r="G320" s="22">
        <f>IF($N320="","",IF(ROUND($E320-$D320,0)=0,"√","▲ "&amp;TEXT($D320-$E320,"#,##0")))</f>
        <v/>
      </c>
      <c r="N320">
        <f>IFERROR(MATCH($C$5&amp;"|"&amp;RIGHT("000000"&amp;304,6),LdAKeyG,0),"")</f>
        <v/>
      </c>
    </row>
    <row r="321">
      <c r="A321" s="10" t="n">
        <v>305</v>
      </c>
      <c r="B321" s="14">
        <f>IF($N321="","",INDEX(LdADate,$N321))</f>
        <v/>
      </c>
      <c r="C321" s="14">
        <f>IF($N321="","",IF(INDEX(LdAId,$N321)="","—",INDEX(LdAId,$N321)))</f>
        <v/>
      </c>
      <c r="D321" s="16">
        <f>IF($N321="","",IF(INDEX(LdAAmt,$N321)=0,"",INDEX(LdAAmt,$N321)))</f>
        <v/>
      </c>
      <c r="E321" s="16">
        <f>IF($N321="","",SUMIFS(ShareAmt,ShareLink,$C321))</f>
        <v/>
      </c>
      <c r="F321" s="33">
        <f>IF($N321="","",COUNTIF(ShareLink,$C321))</f>
        <v/>
      </c>
      <c r="G321" s="17">
        <f>IF($N321="","",IF(ROUND($E321-$D321,0)=0,"√","▲ "&amp;TEXT($D321-$E321,"#,##0")))</f>
        <v/>
      </c>
      <c r="N321">
        <f>IFERROR(MATCH($C$5&amp;"|"&amp;RIGHT("000000"&amp;305,6),LdAKeyG,0),"")</f>
        <v/>
      </c>
    </row>
    <row r="322">
      <c r="A322" s="19" t="n">
        <v>306</v>
      </c>
      <c r="B322" s="20">
        <f>IF($N322="","",INDEX(LdADate,$N322))</f>
        <v/>
      </c>
      <c r="C322" s="20">
        <f>IF($N322="","",IF(INDEX(LdAId,$N322)="","—",INDEX(LdAId,$N322)))</f>
        <v/>
      </c>
      <c r="D322" s="21">
        <f>IF($N322="","",IF(INDEX(LdAAmt,$N322)=0,"",INDEX(LdAAmt,$N322)))</f>
        <v/>
      </c>
      <c r="E322" s="21">
        <f>IF($N322="","",SUMIFS(ShareAmt,ShareLink,$C322))</f>
        <v/>
      </c>
      <c r="F322" s="34">
        <f>IF($N322="","",COUNTIF(ShareLink,$C322))</f>
        <v/>
      </c>
      <c r="G322" s="22">
        <f>IF($N322="","",IF(ROUND($E322-$D322,0)=0,"√","▲ "&amp;TEXT($D322-$E322,"#,##0")))</f>
        <v/>
      </c>
      <c r="N322">
        <f>IFERROR(MATCH($C$5&amp;"|"&amp;RIGHT("000000"&amp;306,6),LdAKeyG,0),"")</f>
        <v/>
      </c>
    </row>
    <row r="323">
      <c r="A323" s="10" t="n">
        <v>307</v>
      </c>
      <c r="B323" s="14">
        <f>IF($N323="","",INDEX(LdADate,$N323))</f>
        <v/>
      </c>
      <c r="C323" s="14">
        <f>IF($N323="","",IF(INDEX(LdAId,$N323)="","—",INDEX(LdAId,$N323)))</f>
        <v/>
      </c>
      <c r="D323" s="16">
        <f>IF($N323="","",IF(INDEX(LdAAmt,$N323)=0,"",INDEX(LdAAmt,$N323)))</f>
        <v/>
      </c>
      <c r="E323" s="16">
        <f>IF($N323="","",SUMIFS(ShareAmt,ShareLink,$C323))</f>
        <v/>
      </c>
      <c r="F323" s="33">
        <f>IF($N323="","",COUNTIF(ShareLink,$C323))</f>
        <v/>
      </c>
      <c r="G323" s="17">
        <f>IF($N323="","",IF(ROUND($E323-$D323,0)=0,"√","▲ "&amp;TEXT($D323-$E323,"#,##0")))</f>
        <v/>
      </c>
      <c r="N323">
        <f>IFERROR(MATCH($C$5&amp;"|"&amp;RIGHT("000000"&amp;307,6),LdAKeyG,0),"")</f>
        <v/>
      </c>
    </row>
    <row r="324">
      <c r="A324" s="19" t="n">
        <v>308</v>
      </c>
      <c r="B324" s="20">
        <f>IF($N324="","",INDEX(LdADate,$N324))</f>
        <v/>
      </c>
      <c r="C324" s="20">
        <f>IF($N324="","",IF(INDEX(LdAId,$N324)="","—",INDEX(LdAId,$N324)))</f>
        <v/>
      </c>
      <c r="D324" s="21">
        <f>IF($N324="","",IF(INDEX(LdAAmt,$N324)=0,"",INDEX(LdAAmt,$N324)))</f>
        <v/>
      </c>
      <c r="E324" s="21">
        <f>IF($N324="","",SUMIFS(ShareAmt,ShareLink,$C324))</f>
        <v/>
      </c>
      <c r="F324" s="34">
        <f>IF($N324="","",COUNTIF(ShareLink,$C324))</f>
        <v/>
      </c>
      <c r="G324" s="22">
        <f>IF($N324="","",IF(ROUND($E324-$D324,0)=0,"√","▲ "&amp;TEXT($D324-$E324,"#,##0")))</f>
        <v/>
      </c>
      <c r="N324">
        <f>IFERROR(MATCH($C$5&amp;"|"&amp;RIGHT("000000"&amp;308,6),LdAKeyG,0),"")</f>
        <v/>
      </c>
    </row>
    <row r="325">
      <c r="A325" s="10" t="n">
        <v>309</v>
      </c>
      <c r="B325" s="14">
        <f>IF($N325="","",INDEX(LdADate,$N325))</f>
        <v/>
      </c>
      <c r="C325" s="14">
        <f>IF($N325="","",IF(INDEX(LdAId,$N325)="","—",INDEX(LdAId,$N325)))</f>
        <v/>
      </c>
      <c r="D325" s="16">
        <f>IF($N325="","",IF(INDEX(LdAAmt,$N325)=0,"",INDEX(LdAAmt,$N325)))</f>
        <v/>
      </c>
      <c r="E325" s="16">
        <f>IF($N325="","",SUMIFS(ShareAmt,ShareLink,$C325))</f>
        <v/>
      </c>
      <c r="F325" s="33">
        <f>IF($N325="","",COUNTIF(ShareLink,$C325))</f>
        <v/>
      </c>
      <c r="G325" s="17">
        <f>IF($N325="","",IF(ROUND($E325-$D325,0)=0,"√","▲ "&amp;TEXT($D325-$E325,"#,##0")))</f>
        <v/>
      </c>
      <c r="N325">
        <f>IFERROR(MATCH($C$5&amp;"|"&amp;RIGHT("000000"&amp;309,6),LdAKeyG,0),"")</f>
        <v/>
      </c>
    </row>
    <row r="326">
      <c r="A326" s="19" t="n">
        <v>310</v>
      </c>
      <c r="B326" s="20">
        <f>IF($N326="","",INDEX(LdADate,$N326))</f>
        <v/>
      </c>
      <c r="C326" s="20">
        <f>IF($N326="","",IF(INDEX(LdAId,$N326)="","—",INDEX(LdAId,$N326)))</f>
        <v/>
      </c>
      <c r="D326" s="21">
        <f>IF($N326="","",IF(INDEX(LdAAmt,$N326)=0,"",INDEX(LdAAmt,$N326)))</f>
        <v/>
      </c>
      <c r="E326" s="21">
        <f>IF($N326="","",SUMIFS(ShareAmt,ShareLink,$C326))</f>
        <v/>
      </c>
      <c r="F326" s="34">
        <f>IF($N326="","",COUNTIF(ShareLink,$C326))</f>
        <v/>
      </c>
      <c r="G326" s="22">
        <f>IF($N326="","",IF(ROUND($E326-$D326,0)=0,"√","▲ "&amp;TEXT($D326-$E326,"#,##0")))</f>
        <v/>
      </c>
      <c r="N326">
        <f>IFERROR(MATCH($C$5&amp;"|"&amp;RIGHT("000000"&amp;310,6),LdAKeyG,0),"")</f>
        <v/>
      </c>
    </row>
    <row r="327">
      <c r="A327" s="10" t="n">
        <v>311</v>
      </c>
      <c r="B327" s="14">
        <f>IF($N327="","",INDEX(LdADate,$N327))</f>
        <v/>
      </c>
      <c r="C327" s="14">
        <f>IF($N327="","",IF(INDEX(LdAId,$N327)="","—",INDEX(LdAId,$N327)))</f>
        <v/>
      </c>
      <c r="D327" s="16">
        <f>IF($N327="","",IF(INDEX(LdAAmt,$N327)=0,"",INDEX(LdAAmt,$N327)))</f>
        <v/>
      </c>
      <c r="E327" s="16">
        <f>IF($N327="","",SUMIFS(ShareAmt,ShareLink,$C327))</f>
        <v/>
      </c>
      <c r="F327" s="33">
        <f>IF($N327="","",COUNTIF(ShareLink,$C327))</f>
        <v/>
      </c>
      <c r="G327" s="17">
        <f>IF($N327="","",IF(ROUND($E327-$D327,0)=0,"√","▲ "&amp;TEXT($D327-$E327,"#,##0")))</f>
        <v/>
      </c>
      <c r="N327">
        <f>IFERROR(MATCH($C$5&amp;"|"&amp;RIGHT("000000"&amp;311,6),LdAKeyG,0),"")</f>
        <v/>
      </c>
    </row>
    <row r="328">
      <c r="A328" s="19" t="n">
        <v>312</v>
      </c>
      <c r="B328" s="20">
        <f>IF($N328="","",INDEX(LdADate,$N328))</f>
        <v/>
      </c>
      <c r="C328" s="20">
        <f>IF($N328="","",IF(INDEX(LdAId,$N328)="","—",INDEX(LdAId,$N328)))</f>
        <v/>
      </c>
      <c r="D328" s="21">
        <f>IF($N328="","",IF(INDEX(LdAAmt,$N328)=0,"",INDEX(LdAAmt,$N328)))</f>
        <v/>
      </c>
      <c r="E328" s="21">
        <f>IF($N328="","",SUMIFS(ShareAmt,ShareLink,$C328))</f>
        <v/>
      </c>
      <c r="F328" s="34">
        <f>IF($N328="","",COUNTIF(ShareLink,$C328))</f>
        <v/>
      </c>
      <c r="G328" s="22">
        <f>IF($N328="","",IF(ROUND($E328-$D328,0)=0,"√","▲ "&amp;TEXT($D328-$E328,"#,##0")))</f>
        <v/>
      </c>
      <c r="N328">
        <f>IFERROR(MATCH($C$5&amp;"|"&amp;RIGHT("000000"&amp;312,6),LdAKeyG,0),"")</f>
        <v/>
      </c>
    </row>
    <row r="329">
      <c r="A329" s="10" t="n">
        <v>313</v>
      </c>
      <c r="B329" s="14">
        <f>IF($N329="","",INDEX(LdADate,$N329))</f>
        <v/>
      </c>
      <c r="C329" s="14">
        <f>IF($N329="","",IF(INDEX(LdAId,$N329)="","—",INDEX(LdAId,$N329)))</f>
        <v/>
      </c>
      <c r="D329" s="16">
        <f>IF($N329="","",IF(INDEX(LdAAmt,$N329)=0,"",INDEX(LdAAmt,$N329)))</f>
        <v/>
      </c>
      <c r="E329" s="16">
        <f>IF($N329="","",SUMIFS(ShareAmt,ShareLink,$C329))</f>
        <v/>
      </c>
      <c r="F329" s="33">
        <f>IF($N329="","",COUNTIF(ShareLink,$C329))</f>
        <v/>
      </c>
      <c r="G329" s="17">
        <f>IF($N329="","",IF(ROUND($E329-$D329,0)=0,"√","▲ "&amp;TEXT($D329-$E329,"#,##0")))</f>
        <v/>
      </c>
      <c r="N329">
        <f>IFERROR(MATCH($C$5&amp;"|"&amp;RIGHT("000000"&amp;313,6),LdAKeyG,0),"")</f>
        <v/>
      </c>
    </row>
    <row r="330">
      <c r="A330" s="19" t="n">
        <v>314</v>
      </c>
      <c r="B330" s="20">
        <f>IF($N330="","",INDEX(LdADate,$N330))</f>
        <v/>
      </c>
      <c r="C330" s="20">
        <f>IF($N330="","",IF(INDEX(LdAId,$N330)="","—",INDEX(LdAId,$N330)))</f>
        <v/>
      </c>
      <c r="D330" s="21">
        <f>IF($N330="","",IF(INDEX(LdAAmt,$N330)=0,"",INDEX(LdAAmt,$N330)))</f>
        <v/>
      </c>
      <c r="E330" s="21">
        <f>IF($N330="","",SUMIFS(ShareAmt,ShareLink,$C330))</f>
        <v/>
      </c>
      <c r="F330" s="34">
        <f>IF($N330="","",COUNTIF(ShareLink,$C330))</f>
        <v/>
      </c>
      <c r="G330" s="22">
        <f>IF($N330="","",IF(ROUND($E330-$D330,0)=0,"√","▲ "&amp;TEXT($D330-$E330,"#,##0")))</f>
        <v/>
      </c>
      <c r="N330">
        <f>IFERROR(MATCH($C$5&amp;"|"&amp;RIGHT("000000"&amp;314,6),LdAKeyG,0),"")</f>
        <v/>
      </c>
    </row>
    <row r="331">
      <c r="A331" s="10" t="n">
        <v>315</v>
      </c>
      <c r="B331" s="14">
        <f>IF($N331="","",INDEX(LdADate,$N331))</f>
        <v/>
      </c>
      <c r="C331" s="14">
        <f>IF($N331="","",IF(INDEX(LdAId,$N331)="","—",INDEX(LdAId,$N331)))</f>
        <v/>
      </c>
      <c r="D331" s="16">
        <f>IF($N331="","",IF(INDEX(LdAAmt,$N331)=0,"",INDEX(LdAAmt,$N331)))</f>
        <v/>
      </c>
      <c r="E331" s="16">
        <f>IF($N331="","",SUMIFS(ShareAmt,ShareLink,$C331))</f>
        <v/>
      </c>
      <c r="F331" s="33">
        <f>IF($N331="","",COUNTIF(ShareLink,$C331))</f>
        <v/>
      </c>
      <c r="G331" s="17">
        <f>IF($N331="","",IF(ROUND($E331-$D331,0)=0,"√","▲ "&amp;TEXT($D331-$E331,"#,##0")))</f>
        <v/>
      </c>
      <c r="N331">
        <f>IFERROR(MATCH($C$5&amp;"|"&amp;RIGHT("000000"&amp;315,6),LdAKeyG,0),"")</f>
        <v/>
      </c>
    </row>
    <row r="332">
      <c r="A332" s="19" t="n">
        <v>316</v>
      </c>
      <c r="B332" s="20">
        <f>IF($N332="","",INDEX(LdADate,$N332))</f>
        <v/>
      </c>
      <c r="C332" s="20">
        <f>IF($N332="","",IF(INDEX(LdAId,$N332)="","—",INDEX(LdAId,$N332)))</f>
        <v/>
      </c>
      <c r="D332" s="21">
        <f>IF($N332="","",IF(INDEX(LdAAmt,$N332)=0,"",INDEX(LdAAmt,$N332)))</f>
        <v/>
      </c>
      <c r="E332" s="21">
        <f>IF($N332="","",SUMIFS(ShareAmt,ShareLink,$C332))</f>
        <v/>
      </c>
      <c r="F332" s="34">
        <f>IF($N332="","",COUNTIF(ShareLink,$C332))</f>
        <v/>
      </c>
      <c r="G332" s="22">
        <f>IF($N332="","",IF(ROUND($E332-$D332,0)=0,"√","▲ "&amp;TEXT($D332-$E332,"#,##0")))</f>
        <v/>
      </c>
      <c r="N332">
        <f>IFERROR(MATCH($C$5&amp;"|"&amp;RIGHT("000000"&amp;316,6),LdAKeyG,0),"")</f>
        <v/>
      </c>
    </row>
    <row r="333">
      <c r="A333" s="10" t="n">
        <v>317</v>
      </c>
      <c r="B333" s="14">
        <f>IF($N333="","",INDEX(LdADate,$N333))</f>
        <v/>
      </c>
      <c r="C333" s="14">
        <f>IF($N333="","",IF(INDEX(LdAId,$N333)="","—",INDEX(LdAId,$N333)))</f>
        <v/>
      </c>
      <c r="D333" s="16">
        <f>IF($N333="","",IF(INDEX(LdAAmt,$N333)=0,"",INDEX(LdAAmt,$N333)))</f>
        <v/>
      </c>
      <c r="E333" s="16">
        <f>IF($N333="","",SUMIFS(ShareAmt,ShareLink,$C333))</f>
        <v/>
      </c>
      <c r="F333" s="33">
        <f>IF($N333="","",COUNTIF(ShareLink,$C333))</f>
        <v/>
      </c>
      <c r="G333" s="17">
        <f>IF($N333="","",IF(ROUND($E333-$D333,0)=0,"√","▲ "&amp;TEXT($D333-$E333,"#,##0")))</f>
        <v/>
      </c>
      <c r="N333">
        <f>IFERROR(MATCH($C$5&amp;"|"&amp;RIGHT("000000"&amp;317,6),LdAKeyG,0),"")</f>
        <v/>
      </c>
    </row>
    <row r="334">
      <c r="A334" s="19" t="n">
        <v>318</v>
      </c>
      <c r="B334" s="20">
        <f>IF($N334="","",INDEX(LdADate,$N334))</f>
        <v/>
      </c>
      <c r="C334" s="20">
        <f>IF($N334="","",IF(INDEX(LdAId,$N334)="","—",INDEX(LdAId,$N334)))</f>
        <v/>
      </c>
      <c r="D334" s="21">
        <f>IF($N334="","",IF(INDEX(LdAAmt,$N334)=0,"",INDEX(LdAAmt,$N334)))</f>
        <v/>
      </c>
      <c r="E334" s="21">
        <f>IF($N334="","",SUMIFS(ShareAmt,ShareLink,$C334))</f>
        <v/>
      </c>
      <c r="F334" s="34">
        <f>IF($N334="","",COUNTIF(ShareLink,$C334))</f>
        <v/>
      </c>
      <c r="G334" s="22">
        <f>IF($N334="","",IF(ROUND($E334-$D334,0)=0,"√","▲ "&amp;TEXT($D334-$E334,"#,##0")))</f>
        <v/>
      </c>
      <c r="N334">
        <f>IFERROR(MATCH($C$5&amp;"|"&amp;RIGHT("000000"&amp;318,6),LdAKeyG,0),"")</f>
        <v/>
      </c>
    </row>
    <row r="335">
      <c r="A335" s="10" t="n">
        <v>319</v>
      </c>
      <c r="B335" s="14">
        <f>IF($N335="","",INDEX(LdADate,$N335))</f>
        <v/>
      </c>
      <c r="C335" s="14">
        <f>IF($N335="","",IF(INDEX(LdAId,$N335)="","—",INDEX(LdAId,$N335)))</f>
        <v/>
      </c>
      <c r="D335" s="16">
        <f>IF($N335="","",IF(INDEX(LdAAmt,$N335)=0,"",INDEX(LdAAmt,$N335)))</f>
        <v/>
      </c>
      <c r="E335" s="16">
        <f>IF($N335="","",SUMIFS(ShareAmt,ShareLink,$C335))</f>
        <v/>
      </c>
      <c r="F335" s="33">
        <f>IF($N335="","",COUNTIF(ShareLink,$C335))</f>
        <v/>
      </c>
      <c r="G335" s="17">
        <f>IF($N335="","",IF(ROUND($E335-$D335,0)=0,"√","▲ "&amp;TEXT($D335-$E335,"#,##0")))</f>
        <v/>
      </c>
      <c r="N335">
        <f>IFERROR(MATCH($C$5&amp;"|"&amp;RIGHT("000000"&amp;319,6),LdAKeyG,0),"")</f>
        <v/>
      </c>
    </row>
    <row r="336">
      <c r="A336" s="19" t="n">
        <v>320</v>
      </c>
      <c r="B336" s="20">
        <f>IF($N336="","",INDEX(LdADate,$N336))</f>
        <v/>
      </c>
      <c r="C336" s="20">
        <f>IF($N336="","",IF(INDEX(LdAId,$N336)="","—",INDEX(LdAId,$N336)))</f>
        <v/>
      </c>
      <c r="D336" s="21">
        <f>IF($N336="","",IF(INDEX(LdAAmt,$N336)=0,"",INDEX(LdAAmt,$N336)))</f>
        <v/>
      </c>
      <c r="E336" s="21">
        <f>IF($N336="","",SUMIFS(ShareAmt,ShareLink,$C336))</f>
        <v/>
      </c>
      <c r="F336" s="34">
        <f>IF($N336="","",COUNTIF(ShareLink,$C336))</f>
        <v/>
      </c>
      <c r="G336" s="22">
        <f>IF($N336="","",IF(ROUND($E336-$D336,0)=0,"√","▲ "&amp;TEXT($D336-$E336,"#,##0")))</f>
        <v/>
      </c>
      <c r="N336">
        <f>IFERROR(MATCH($C$5&amp;"|"&amp;RIGHT("000000"&amp;320,6),LdAKeyG,0),"")</f>
        <v/>
      </c>
    </row>
    <row r="337">
      <c r="A337" s="10" t="n">
        <v>321</v>
      </c>
      <c r="B337" s="14">
        <f>IF($N337="","",INDEX(LdADate,$N337))</f>
        <v/>
      </c>
      <c r="C337" s="14">
        <f>IF($N337="","",IF(INDEX(LdAId,$N337)="","—",INDEX(LdAId,$N337)))</f>
        <v/>
      </c>
      <c r="D337" s="16">
        <f>IF($N337="","",IF(INDEX(LdAAmt,$N337)=0,"",INDEX(LdAAmt,$N337)))</f>
        <v/>
      </c>
      <c r="E337" s="16">
        <f>IF($N337="","",SUMIFS(ShareAmt,ShareLink,$C337))</f>
        <v/>
      </c>
      <c r="F337" s="33">
        <f>IF($N337="","",COUNTIF(ShareLink,$C337))</f>
        <v/>
      </c>
      <c r="G337" s="17">
        <f>IF($N337="","",IF(ROUND($E337-$D337,0)=0,"√","▲ "&amp;TEXT($D337-$E337,"#,##0")))</f>
        <v/>
      </c>
      <c r="N337">
        <f>IFERROR(MATCH($C$5&amp;"|"&amp;RIGHT("000000"&amp;321,6),LdAKeyG,0),"")</f>
        <v/>
      </c>
    </row>
    <row r="338">
      <c r="A338" s="19" t="n">
        <v>322</v>
      </c>
      <c r="B338" s="20">
        <f>IF($N338="","",INDEX(LdADate,$N338))</f>
        <v/>
      </c>
      <c r="C338" s="20">
        <f>IF($N338="","",IF(INDEX(LdAId,$N338)="","—",INDEX(LdAId,$N338)))</f>
        <v/>
      </c>
      <c r="D338" s="21">
        <f>IF($N338="","",IF(INDEX(LdAAmt,$N338)=0,"",INDEX(LdAAmt,$N338)))</f>
        <v/>
      </c>
      <c r="E338" s="21">
        <f>IF($N338="","",SUMIFS(ShareAmt,ShareLink,$C338))</f>
        <v/>
      </c>
      <c r="F338" s="34">
        <f>IF($N338="","",COUNTIF(ShareLink,$C338))</f>
        <v/>
      </c>
      <c r="G338" s="22">
        <f>IF($N338="","",IF(ROUND($E338-$D338,0)=0,"√","▲ "&amp;TEXT($D338-$E338,"#,##0")))</f>
        <v/>
      </c>
      <c r="N338">
        <f>IFERROR(MATCH($C$5&amp;"|"&amp;RIGHT("000000"&amp;322,6),LdAKeyG,0),"")</f>
        <v/>
      </c>
    </row>
    <row r="339">
      <c r="A339" s="10" t="n">
        <v>323</v>
      </c>
      <c r="B339" s="14">
        <f>IF($N339="","",INDEX(LdADate,$N339))</f>
        <v/>
      </c>
      <c r="C339" s="14">
        <f>IF($N339="","",IF(INDEX(LdAId,$N339)="","—",INDEX(LdAId,$N339)))</f>
        <v/>
      </c>
      <c r="D339" s="16">
        <f>IF($N339="","",IF(INDEX(LdAAmt,$N339)=0,"",INDEX(LdAAmt,$N339)))</f>
        <v/>
      </c>
      <c r="E339" s="16">
        <f>IF($N339="","",SUMIFS(ShareAmt,ShareLink,$C339))</f>
        <v/>
      </c>
      <c r="F339" s="33">
        <f>IF($N339="","",COUNTIF(ShareLink,$C339))</f>
        <v/>
      </c>
      <c r="G339" s="17">
        <f>IF($N339="","",IF(ROUND($E339-$D339,0)=0,"√","▲ "&amp;TEXT($D339-$E339,"#,##0")))</f>
        <v/>
      </c>
      <c r="N339">
        <f>IFERROR(MATCH($C$5&amp;"|"&amp;RIGHT("000000"&amp;323,6),LdAKeyG,0),"")</f>
        <v/>
      </c>
    </row>
    <row r="340">
      <c r="A340" s="19" t="n">
        <v>324</v>
      </c>
      <c r="B340" s="20">
        <f>IF($N340="","",INDEX(LdADate,$N340))</f>
        <v/>
      </c>
      <c r="C340" s="20">
        <f>IF($N340="","",IF(INDEX(LdAId,$N340)="","—",INDEX(LdAId,$N340)))</f>
        <v/>
      </c>
      <c r="D340" s="21">
        <f>IF($N340="","",IF(INDEX(LdAAmt,$N340)=0,"",INDEX(LdAAmt,$N340)))</f>
        <v/>
      </c>
      <c r="E340" s="21">
        <f>IF($N340="","",SUMIFS(ShareAmt,ShareLink,$C340))</f>
        <v/>
      </c>
      <c r="F340" s="34">
        <f>IF($N340="","",COUNTIF(ShareLink,$C340))</f>
        <v/>
      </c>
      <c r="G340" s="22">
        <f>IF($N340="","",IF(ROUND($E340-$D340,0)=0,"√","▲ "&amp;TEXT($D340-$E340,"#,##0")))</f>
        <v/>
      </c>
      <c r="N340">
        <f>IFERROR(MATCH($C$5&amp;"|"&amp;RIGHT("000000"&amp;324,6),LdAKeyG,0),"")</f>
        <v/>
      </c>
    </row>
    <row r="341">
      <c r="A341" s="10" t="n">
        <v>325</v>
      </c>
      <c r="B341" s="14">
        <f>IF($N341="","",INDEX(LdADate,$N341))</f>
        <v/>
      </c>
      <c r="C341" s="14">
        <f>IF($N341="","",IF(INDEX(LdAId,$N341)="","—",INDEX(LdAId,$N341)))</f>
        <v/>
      </c>
      <c r="D341" s="16">
        <f>IF($N341="","",IF(INDEX(LdAAmt,$N341)=0,"",INDEX(LdAAmt,$N341)))</f>
        <v/>
      </c>
      <c r="E341" s="16">
        <f>IF($N341="","",SUMIFS(ShareAmt,ShareLink,$C341))</f>
        <v/>
      </c>
      <c r="F341" s="33">
        <f>IF($N341="","",COUNTIF(ShareLink,$C341))</f>
        <v/>
      </c>
      <c r="G341" s="17">
        <f>IF($N341="","",IF(ROUND($E341-$D341,0)=0,"√","▲ "&amp;TEXT($D341-$E341,"#,##0")))</f>
        <v/>
      </c>
      <c r="N341">
        <f>IFERROR(MATCH($C$5&amp;"|"&amp;RIGHT("000000"&amp;325,6),LdAKeyG,0),"")</f>
        <v/>
      </c>
    </row>
    <row r="342">
      <c r="A342" s="19" t="n">
        <v>326</v>
      </c>
      <c r="B342" s="20">
        <f>IF($N342="","",INDEX(LdADate,$N342))</f>
        <v/>
      </c>
      <c r="C342" s="20">
        <f>IF($N342="","",IF(INDEX(LdAId,$N342)="","—",INDEX(LdAId,$N342)))</f>
        <v/>
      </c>
      <c r="D342" s="21">
        <f>IF($N342="","",IF(INDEX(LdAAmt,$N342)=0,"",INDEX(LdAAmt,$N342)))</f>
        <v/>
      </c>
      <c r="E342" s="21">
        <f>IF($N342="","",SUMIFS(ShareAmt,ShareLink,$C342))</f>
        <v/>
      </c>
      <c r="F342" s="34">
        <f>IF($N342="","",COUNTIF(ShareLink,$C342))</f>
        <v/>
      </c>
      <c r="G342" s="22">
        <f>IF($N342="","",IF(ROUND($E342-$D342,0)=0,"√","▲ "&amp;TEXT($D342-$E342,"#,##0")))</f>
        <v/>
      </c>
      <c r="N342">
        <f>IFERROR(MATCH($C$5&amp;"|"&amp;RIGHT("000000"&amp;326,6),LdAKeyG,0),"")</f>
        <v/>
      </c>
    </row>
    <row r="343">
      <c r="A343" s="10" t="n">
        <v>327</v>
      </c>
      <c r="B343" s="14">
        <f>IF($N343="","",INDEX(LdADate,$N343))</f>
        <v/>
      </c>
      <c r="C343" s="14">
        <f>IF($N343="","",IF(INDEX(LdAId,$N343)="","—",INDEX(LdAId,$N343)))</f>
        <v/>
      </c>
      <c r="D343" s="16">
        <f>IF($N343="","",IF(INDEX(LdAAmt,$N343)=0,"",INDEX(LdAAmt,$N343)))</f>
        <v/>
      </c>
      <c r="E343" s="16">
        <f>IF($N343="","",SUMIFS(ShareAmt,ShareLink,$C343))</f>
        <v/>
      </c>
      <c r="F343" s="33">
        <f>IF($N343="","",COUNTIF(ShareLink,$C343))</f>
        <v/>
      </c>
      <c r="G343" s="17">
        <f>IF($N343="","",IF(ROUND($E343-$D343,0)=0,"√","▲ "&amp;TEXT($D343-$E343,"#,##0")))</f>
        <v/>
      </c>
      <c r="N343">
        <f>IFERROR(MATCH($C$5&amp;"|"&amp;RIGHT("000000"&amp;327,6),LdAKeyG,0),"")</f>
        <v/>
      </c>
    </row>
    <row r="344">
      <c r="A344" s="19" t="n">
        <v>328</v>
      </c>
      <c r="B344" s="20">
        <f>IF($N344="","",INDEX(LdADate,$N344))</f>
        <v/>
      </c>
      <c r="C344" s="20">
        <f>IF($N344="","",IF(INDEX(LdAId,$N344)="","—",INDEX(LdAId,$N344)))</f>
        <v/>
      </c>
      <c r="D344" s="21">
        <f>IF($N344="","",IF(INDEX(LdAAmt,$N344)=0,"",INDEX(LdAAmt,$N344)))</f>
        <v/>
      </c>
      <c r="E344" s="21">
        <f>IF($N344="","",SUMIFS(ShareAmt,ShareLink,$C344))</f>
        <v/>
      </c>
      <c r="F344" s="34">
        <f>IF($N344="","",COUNTIF(ShareLink,$C344))</f>
        <v/>
      </c>
      <c r="G344" s="22">
        <f>IF($N344="","",IF(ROUND($E344-$D344,0)=0,"√","▲ "&amp;TEXT($D344-$E344,"#,##0")))</f>
        <v/>
      </c>
      <c r="N344">
        <f>IFERROR(MATCH($C$5&amp;"|"&amp;RIGHT("000000"&amp;328,6),LdAKeyG,0),"")</f>
        <v/>
      </c>
    </row>
    <row r="345">
      <c r="A345" s="10" t="n">
        <v>329</v>
      </c>
      <c r="B345" s="14">
        <f>IF($N345="","",INDEX(LdADate,$N345))</f>
        <v/>
      </c>
      <c r="C345" s="14">
        <f>IF($N345="","",IF(INDEX(LdAId,$N345)="","—",INDEX(LdAId,$N345)))</f>
        <v/>
      </c>
      <c r="D345" s="16">
        <f>IF($N345="","",IF(INDEX(LdAAmt,$N345)=0,"",INDEX(LdAAmt,$N345)))</f>
        <v/>
      </c>
      <c r="E345" s="16">
        <f>IF($N345="","",SUMIFS(ShareAmt,ShareLink,$C345))</f>
        <v/>
      </c>
      <c r="F345" s="33">
        <f>IF($N345="","",COUNTIF(ShareLink,$C345))</f>
        <v/>
      </c>
      <c r="G345" s="17">
        <f>IF($N345="","",IF(ROUND($E345-$D345,0)=0,"√","▲ "&amp;TEXT($D345-$E345,"#,##0")))</f>
        <v/>
      </c>
      <c r="N345">
        <f>IFERROR(MATCH($C$5&amp;"|"&amp;RIGHT("000000"&amp;329,6),LdAKeyG,0),"")</f>
        <v/>
      </c>
    </row>
    <row r="346">
      <c r="A346" s="19" t="n">
        <v>330</v>
      </c>
      <c r="B346" s="20">
        <f>IF($N346="","",INDEX(LdADate,$N346))</f>
        <v/>
      </c>
      <c r="C346" s="20">
        <f>IF($N346="","",IF(INDEX(LdAId,$N346)="","—",INDEX(LdAId,$N346)))</f>
        <v/>
      </c>
      <c r="D346" s="21">
        <f>IF($N346="","",IF(INDEX(LdAAmt,$N346)=0,"",INDEX(LdAAmt,$N346)))</f>
        <v/>
      </c>
      <c r="E346" s="21">
        <f>IF($N346="","",SUMIFS(ShareAmt,ShareLink,$C346))</f>
        <v/>
      </c>
      <c r="F346" s="34">
        <f>IF($N346="","",COUNTIF(ShareLink,$C346))</f>
        <v/>
      </c>
      <c r="G346" s="22">
        <f>IF($N346="","",IF(ROUND($E346-$D346,0)=0,"√","▲ "&amp;TEXT($D346-$E346,"#,##0")))</f>
        <v/>
      </c>
      <c r="N346">
        <f>IFERROR(MATCH($C$5&amp;"|"&amp;RIGHT("000000"&amp;330,6),LdAKeyG,0),"")</f>
        <v/>
      </c>
    </row>
    <row r="347">
      <c r="A347" s="10" t="n">
        <v>331</v>
      </c>
      <c r="B347" s="14">
        <f>IF($N347="","",INDEX(LdADate,$N347))</f>
        <v/>
      </c>
      <c r="C347" s="14">
        <f>IF($N347="","",IF(INDEX(LdAId,$N347)="","—",INDEX(LdAId,$N347)))</f>
        <v/>
      </c>
      <c r="D347" s="16">
        <f>IF($N347="","",IF(INDEX(LdAAmt,$N347)=0,"",INDEX(LdAAmt,$N347)))</f>
        <v/>
      </c>
      <c r="E347" s="16">
        <f>IF($N347="","",SUMIFS(ShareAmt,ShareLink,$C347))</f>
        <v/>
      </c>
      <c r="F347" s="33">
        <f>IF($N347="","",COUNTIF(ShareLink,$C347))</f>
        <v/>
      </c>
      <c r="G347" s="17">
        <f>IF($N347="","",IF(ROUND($E347-$D347,0)=0,"√","▲ "&amp;TEXT($D347-$E347,"#,##0")))</f>
        <v/>
      </c>
      <c r="N347">
        <f>IFERROR(MATCH($C$5&amp;"|"&amp;RIGHT("000000"&amp;331,6),LdAKeyG,0),"")</f>
        <v/>
      </c>
    </row>
    <row r="348">
      <c r="A348" s="19" t="n">
        <v>332</v>
      </c>
      <c r="B348" s="20">
        <f>IF($N348="","",INDEX(LdADate,$N348))</f>
        <v/>
      </c>
      <c r="C348" s="20">
        <f>IF($N348="","",IF(INDEX(LdAId,$N348)="","—",INDEX(LdAId,$N348)))</f>
        <v/>
      </c>
      <c r="D348" s="21">
        <f>IF($N348="","",IF(INDEX(LdAAmt,$N348)=0,"",INDEX(LdAAmt,$N348)))</f>
        <v/>
      </c>
      <c r="E348" s="21">
        <f>IF($N348="","",SUMIFS(ShareAmt,ShareLink,$C348))</f>
        <v/>
      </c>
      <c r="F348" s="34">
        <f>IF($N348="","",COUNTIF(ShareLink,$C348))</f>
        <v/>
      </c>
      <c r="G348" s="22">
        <f>IF($N348="","",IF(ROUND($E348-$D348,0)=0,"√","▲ "&amp;TEXT($D348-$E348,"#,##0")))</f>
        <v/>
      </c>
      <c r="N348">
        <f>IFERROR(MATCH($C$5&amp;"|"&amp;RIGHT("000000"&amp;332,6),LdAKeyG,0),"")</f>
        <v/>
      </c>
    </row>
    <row r="349">
      <c r="A349" s="10" t="n">
        <v>333</v>
      </c>
      <c r="B349" s="14">
        <f>IF($N349="","",INDEX(LdADate,$N349))</f>
        <v/>
      </c>
      <c r="C349" s="14">
        <f>IF($N349="","",IF(INDEX(LdAId,$N349)="","—",INDEX(LdAId,$N349)))</f>
        <v/>
      </c>
      <c r="D349" s="16">
        <f>IF($N349="","",IF(INDEX(LdAAmt,$N349)=0,"",INDEX(LdAAmt,$N349)))</f>
        <v/>
      </c>
      <c r="E349" s="16">
        <f>IF($N349="","",SUMIFS(ShareAmt,ShareLink,$C349))</f>
        <v/>
      </c>
      <c r="F349" s="33">
        <f>IF($N349="","",COUNTIF(ShareLink,$C349))</f>
        <v/>
      </c>
      <c r="G349" s="17">
        <f>IF($N349="","",IF(ROUND($E349-$D349,0)=0,"√","▲ "&amp;TEXT($D349-$E349,"#,##0")))</f>
        <v/>
      </c>
      <c r="N349">
        <f>IFERROR(MATCH($C$5&amp;"|"&amp;RIGHT("000000"&amp;333,6),LdAKeyG,0),"")</f>
        <v/>
      </c>
    </row>
    <row r="350">
      <c r="A350" s="19" t="n">
        <v>334</v>
      </c>
      <c r="B350" s="20">
        <f>IF($N350="","",INDEX(LdADate,$N350))</f>
        <v/>
      </c>
      <c r="C350" s="20">
        <f>IF($N350="","",IF(INDEX(LdAId,$N350)="","—",INDEX(LdAId,$N350)))</f>
        <v/>
      </c>
      <c r="D350" s="21">
        <f>IF($N350="","",IF(INDEX(LdAAmt,$N350)=0,"",INDEX(LdAAmt,$N350)))</f>
        <v/>
      </c>
      <c r="E350" s="21">
        <f>IF($N350="","",SUMIFS(ShareAmt,ShareLink,$C350))</f>
        <v/>
      </c>
      <c r="F350" s="34">
        <f>IF($N350="","",COUNTIF(ShareLink,$C350))</f>
        <v/>
      </c>
      <c r="G350" s="22">
        <f>IF($N350="","",IF(ROUND($E350-$D350,0)=0,"√","▲ "&amp;TEXT($D350-$E350,"#,##0")))</f>
        <v/>
      </c>
      <c r="N350">
        <f>IFERROR(MATCH($C$5&amp;"|"&amp;RIGHT("000000"&amp;334,6),LdAKeyG,0),"")</f>
        <v/>
      </c>
    </row>
    <row r="351">
      <c r="A351" s="10" t="n">
        <v>335</v>
      </c>
      <c r="B351" s="14">
        <f>IF($N351="","",INDEX(LdADate,$N351))</f>
        <v/>
      </c>
      <c r="C351" s="14">
        <f>IF($N351="","",IF(INDEX(LdAId,$N351)="","—",INDEX(LdAId,$N351)))</f>
        <v/>
      </c>
      <c r="D351" s="16">
        <f>IF($N351="","",IF(INDEX(LdAAmt,$N351)=0,"",INDEX(LdAAmt,$N351)))</f>
        <v/>
      </c>
      <c r="E351" s="16">
        <f>IF($N351="","",SUMIFS(ShareAmt,ShareLink,$C351))</f>
        <v/>
      </c>
      <c r="F351" s="33">
        <f>IF($N351="","",COUNTIF(ShareLink,$C351))</f>
        <v/>
      </c>
      <c r="G351" s="17">
        <f>IF($N351="","",IF(ROUND($E351-$D351,0)=0,"√","▲ "&amp;TEXT($D351-$E351,"#,##0")))</f>
        <v/>
      </c>
      <c r="N351">
        <f>IFERROR(MATCH($C$5&amp;"|"&amp;RIGHT("000000"&amp;335,6),LdAKeyG,0),"")</f>
        <v/>
      </c>
    </row>
    <row r="352">
      <c r="A352" s="19" t="n">
        <v>336</v>
      </c>
      <c r="B352" s="20">
        <f>IF($N352="","",INDEX(LdADate,$N352))</f>
        <v/>
      </c>
      <c r="C352" s="20">
        <f>IF($N352="","",IF(INDEX(LdAId,$N352)="","—",INDEX(LdAId,$N352)))</f>
        <v/>
      </c>
      <c r="D352" s="21">
        <f>IF($N352="","",IF(INDEX(LdAAmt,$N352)=0,"",INDEX(LdAAmt,$N352)))</f>
        <v/>
      </c>
      <c r="E352" s="21">
        <f>IF($N352="","",SUMIFS(ShareAmt,ShareLink,$C352))</f>
        <v/>
      </c>
      <c r="F352" s="34">
        <f>IF($N352="","",COUNTIF(ShareLink,$C352))</f>
        <v/>
      </c>
      <c r="G352" s="22">
        <f>IF($N352="","",IF(ROUND($E352-$D352,0)=0,"√","▲ "&amp;TEXT($D352-$E352,"#,##0")))</f>
        <v/>
      </c>
      <c r="N352">
        <f>IFERROR(MATCH($C$5&amp;"|"&amp;RIGHT("000000"&amp;336,6),LdAKeyG,0),"")</f>
        <v/>
      </c>
    </row>
    <row r="353">
      <c r="A353" s="10" t="n">
        <v>337</v>
      </c>
      <c r="B353" s="14">
        <f>IF($N353="","",INDEX(LdADate,$N353))</f>
        <v/>
      </c>
      <c r="C353" s="14">
        <f>IF($N353="","",IF(INDEX(LdAId,$N353)="","—",INDEX(LdAId,$N353)))</f>
        <v/>
      </c>
      <c r="D353" s="16">
        <f>IF($N353="","",IF(INDEX(LdAAmt,$N353)=0,"",INDEX(LdAAmt,$N353)))</f>
        <v/>
      </c>
      <c r="E353" s="16">
        <f>IF($N353="","",SUMIFS(ShareAmt,ShareLink,$C353))</f>
        <v/>
      </c>
      <c r="F353" s="33">
        <f>IF($N353="","",COUNTIF(ShareLink,$C353))</f>
        <v/>
      </c>
      <c r="G353" s="17">
        <f>IF($N353="","",IF(ROUND($E353-$D353,0)=0,"√","▲ "&amp;TEXT($D353-$E353,"#,##0")))</f>
        <v/>
      </c>
      <c r="N353">
        <f>IFERROR(MATCH($C$5&amp;"|"&amp;RIGHT("000000"&amp;337,6),LdAKeyG,0),"")</f>
        <v/>
      </c>
    </row>
    <row r="354">
      <c r="A354" s="19" t="n">
        <v>338</v>
      </c>
      <c r="B354" s="20">
        <f>IF($N354="","",INDEX(LdADate,$N354))</f>
        <v/>
      </c>
      <c r="C354" s="20">
        <f>IF($N354="","",IF(INDEX(LdAId,$N354)="","—",INDEX(LdAId,$N354)))</f>
        <v/>
      </c>
      <c r="D354" s="21">
        <f>IF($N354="","",IF(INDEX(LdAAmt,$N354)=0,"",INDEX(LdAAmt,$N354)))</f>
        <v/>
      </c>
      <c r="E354" s="21">
        <f>IF($N354="","",SUMIFS(ShareAmt,ShareLink,$C354))</f>
        <v/>
      </c>
      <c r="F354" s="34">
        <f>IF($N354="","",COUNTIF(ShareLink,$C354))</f>
        <v/>
      </c>
      <c r="G354" s="22">
        <f>IF($N354="","",IF(ROUND($E354-$D354,0)=0,"√","▲ "&amp;TEXT($D354-$E354,"#,##0")))</f>
        <v/>
      </c>
      <c r="N354">
        <f>IFERROR(MATCH($C$5&amp;"|"&amp;RIGHT("000000"&amp;338,6),LdAKeyG,0),"")</f>
        <v/>
      </c>
    </row>
    <row r="355">
      <c r="A355" s="10" t="n">
        <v>339</v>
      </c>
      <c r="B355" s="14">
        <f>IF($N355="","",INDEX(LdADate,$N355))</f>
        <v/>
      </c>
      <c r="C355" s="14">
        <f>IF($N355="","",IF(INDEX(LdAId,$N355)="","—",INDEX(LdAId,$N355)))</f>
        <v/>
      </c>
      <c r="D355" s="16">
        <f>IF($N355="","",IF(INDEX(LdAAmt,$N355)=0,"",INDEX(LdAAmt,$N355)))</f>
        <v/>
      </c>
      <c r="E355" s="16">
        <f>IF($N355="","",SUMIFS(ShareAmt,ShareLink,$C355))</f>
        <v/>
      </c>
      <c r="F355" s="33">
        <f>IF($N355="","",COUNTIF(ShareLink,$C355))</f>
        <v/>
      </c>
      <c r="G355" s="17">
        <f>IF($N355="","",IF(ROUND($E355-$D355,0)=0,"√","▲ "&amp;TEXT($D355-$E355,"#,##0")))</f>
        <v/>
      </c>
      <c r="N355">
        <f>IFERROR(MATCH($C$5&amp;"|"&amp;RIGHT("000000"&amp;339,6),LdAKeyG,0),"")</f>
        <v/>
      </c>
    </row>
    <row r="356">
      <c r="A356" s="19" t="n">
        <v>340</v>
      </c>
      <c r="B356" s="20">
        <f>IF($N356="","",INDEX(LdADate,$N356))</f>
        <v/>
      </c>
      <c r="C356" s="20">
        <f>IF($N356="","",IF(INDEX(LdAId,$N356)="","—",INDEX(LdAId,$N356)))</f>
        <v/>
      </c>
      <c r="D356" s="21">
        <f>IF($N356="","",IF(INDEX(LdAAmt,$N356)=0,"",INDEX(LdAAmt,$N356)))</f>
        <v/>
      </c>
      <c r="E356" s="21">
        <f>IF($N356="","",SUMIFS(ShareAmt,ShareLink,$C356))</f>
        <v/>
      </c>
      <c r="F356" s="34">
        <f>IF($N356="","",COUNTIF(ShareLink,$C356))</f>
        <v/>
      </c>
      <c r="G356" s="22">
        <f>IF($N356="","",IF(ROUND($E356-$D356,0)=0,"√","▲ "&amp;TEXT($D356-$E356,"#,##0")))</f>
        <v/>
      </c>
      <c r="N356">
        <f>IFERROR(MATCH($C$5&amp;"|"&amp;RIGHT("000000"&amp;340,6),LdAKeyG,0),"")</f>
        <v/>
      </c>
    </row>
    <row r="357">
      <c r="A357" s="10" t="n">
        <v>341</v>
      </c>
      <c r="B357" s="14">
        <f>IF($N357="","",INDEX(LdADate,$N357))</f>
        <v/>
      </c>
      <c r="C357" s="14">
        <f>IF($N357="","",IF(INDEX(LdAId,$N357)="","—",INDEX(LdAId,$N357)))</f>
        <v/>
      </c>
      <c r="D357" s="16">
        <f>IF($N357="","",IF(INDEX(LdAAmt,$N357)=0,"",INDEX(LdAAmt,$N357)))</f>
        <v/>
      </c>
      <c r="E357" s="16">
        <f>IF($N357="","",SUMIFS(ShareAmt,ShareLink,$C357))</f>
        <v/>
      </c>
      <c r="F357" s="33">
        <f>IF($N357="","",COUNTIF(ShareLink,$C357))</f>
        <v/>
      </c>
      <c r="G357" s="17">
        <f>IF($N357="","",IF(ROUND($E357-$D357,0)=0,"√","▲ "&amp;TEXT($D357-$E357,"#,##0")))</f>
        <v/>
      </c>
      <c r="N357">
        <f>IFERROR(MATCH($C$5&amp;"|"&amp;RIGHT("000000"&amp;341,6),LdAKeyG,0),"")</f>
        <v/>
      </c>
    </row>
    <row r="358">
      <c r="A358" s="19" t="n">
        <v>342</v>
      </c>
      <c r="B358" s="20">
        <f>IF($N358="","",INDEX(LdADate,$N358))</f>
        <v/>
      </c>
      <c r="C358" s="20">
        <f>IF($N358="","",IF(INDEX(LdAId,$N358)="","—",INDEX(LdAId,$N358)))</f>
        <v/>
      </c>
      <c r="D358" s="21">
        <f>IF($N358="","",IF(INDEX(LdAAmt,$N358)=0,"",INDEX(LdAAmt,$N358)))</f>
        <v/>
      </c>
      <c r="E358" s="21">
        <f>IF($N358="","",SUMIFS(ShareAmt,ShareLink,$C358))</f>
        <v/>
      </c>
      <c r="F358" s="34">
        <f>IF($N358="","",COUNTIF(ShareLink,$C358))</f>
        <v/>
      </c>
      <c r="G358" s="22">
        <f>IF($N358="","",IF(ROUND($E358-$D358,0)=0,"√","▲ "&amp;TEXT($D358-$E358,"#,##0")))</f>
        <v/>
      </c>
      <c r="N358">
        <f>IFERROR(MATCH($C$5&amp;"|"&amp;RIGHT("000000"&amp;342,6),LdAKeyG,0),"")</f>
        <v/>
      </c>
    </row>
    <row r="359">
      <c r="A359" s="10" t="n">
        <v>343</v>
      </c>
      <c r="B359" s="14">
        <f>IF($N359="","",INDEX(LdADate,$N359))</f>
        <v/>
      </c>
      <c r="C359" s="14">
        <f>IF($N359="","",IF(INDEX(LdAId,$N359)="","—",INDEX(LdAId,$N359)))</f>
        <v/>
      </c>
      <c r="D359" s="16">
        <f>IF($N359="","",IF(INDEX(LdAAmt,$N359)=0,"",INDEX(LdAAmt,$N359)))</f>
        <v/>
      </c>
      <c r="E359" s="16">
        <f>IF($N359="","",SUMIFS(ShareAmt,ShareLink,$C359))</f>
        <v/>
      </c>
      <c r="F359" s="33">
        <f>IF($N359="","",COUNTIF(ShareLink,$C359))</f>
        <v/>
      </c>
      <c r="G359" s="17">
        <f>IF($N359="","",IF(ROUND($E359-$D359,0)=0,"√","▲ "&amp;TEXT($D359-$E359,"#,##0")))</f>
        <v/>
      </c>
      <c r="N359">
        <f>IFERROR(MATCH($C$5&amp;"|"&amp;RIGHT("000000"&amp;343,6),LdAKeyG,0),"")</f>
        <v/>
      </c>
    </row>
    <row r="360">
      <c r="A360" s="19" t="n">
        <v>344</v>
      </c>
      <c r="B360" s="20">
        <f>IF($N360="","",INDEX(LdADate,$N360))</f>
        <v/>
      </c>
      <c r="C360" s="20">
        <f>IF($N360="","",IF(INDEX(LdAId,$N360)="","—",INDEX(LdAId,$N360)))</f>
        <v/>
      </c>
      <c r="D360" s="21">
        <f>IF($N360="","",IF(INDEX(LdAAmt,$N360)=0,"",INDEX(LdAAmt,$N360)))</f>
        <v/>
      </c>
      <c r="E360" s="21">
        <f>IF($N360="","",SUMIFS(ShareAmt,ShareLink,$C360))</f>
        <v/>
      </c>
      <c r="F360" s="34">
        <f>IF($N360="","",COUNTIF(ShareLink,$C360))</f>
        <v/>
      </c>
      <c r="G360" s="22">
        <f>IF($N360="","",IF(ROUND($E360-$D360,0)=0,"√","▲ "&amp;TEXT($D360-$E360,"#,##0")))</f>
        <v/>
      </c>
      <c r="N360">
        <f>IFERROR(MATCH($C$5&amp;"|"&amp;RIGHT("000000"&amp;344,6),LdAKeyG,0),"")</f>
        <v/>
      </c>
    </row>
    <row r="361">
      <c r="A361" s="10" t="n">
        <v>345</v>
      </c>
      <c r="B361" s="14">
        <f>IF($N361="","",INDEX(LdADate,$N361))</f>
        <v/>
      </c>
      <c r="C361" s="14">
        <f>IF($N361="","",IF(INDEX(LdAId,$N361)="","—",INDEX(LdAId,$N361)))</f>
        <v/>
      </c>
      <c r="D361" s="16">
        <f>IF($N361="","",IF(INDEX(LdAAmt,$N361)=0,"",INDEX(LdAAmt,$N361)))</f>
        <v/>
      </c>
      <c r="E361" s="16">
        <f>IF($N361="","",SUMIFS(ShareAmt,ShareLink,$C361))</f>
        <v/>
      </c>
      <c r="F361" s="33">
        <f>IF($N361="","",COUNTIF(ShareLink,$C361))</f>
        <v/>
      </c>
      <c r="G361" s="17">
        <f>IF($N361="","",IF(ROUND($E361-$D361,0)=0,"√","▲ "&amp;TEXT($D361-$E361,"#,##0")))</f>
        <v/>
      </c>
      <c r="N361">
        <f>IFERROR(MATCH($C$5&amp;"|"&amp;RIGHT("000000"&amp;345,6),LdAKeyG,0),"")</f>
        <v/>
      </c>
    </row>
    <row r="362">
      <c r="A362" s="19" t="n">
        <v>346</v>
      </c>
      <c r="B362" s="20">
        <f>IF($N362="","",INDEX(LdADate,$N362))</f>
        <v/>
      </c>
      <c r="C362" s="20">
        <f>IF($N362="","",IF(INDEX(LdAId,$N362)="","—",INDEX(LdAId,$N362)))</f>
        <v/>
      </c>
      <c r="D362" s="21">
        <f>IF($N362="","",IF(INDEX(LdAAmt,$N362)=0,"",INDEX(LdAAmt,$N362)))</f>
        <v/>
      </c>
      <c r="E362" s="21">
        <f>IF($N362="","",SUMIFS(ShareAmt,ShareLink,$C362))</f>
        <v/>
      </c>
      <c r="F362" s="34">
        <f>IF($N362="","",COUNTIF(ShareLink,$C362))</f>
        <v/>
      </c>
      <c r="G362" s="22">
        <f>IF($N362="","",IF(ROUND($E362-$D362,0)=0,"√","▲ "&amp;TEXT($D362-$E362,"#,##0")))</f>
        <v/>
      </c>
      <c r="N362">
        <f>IFERROR(MATCH($C$5&amp;"|"&amp;RIGHT("000000"&amp;346,6),LdAKeyG,0),"")</f>
        <v/>
      </c>
    </row>
    <row r="363">
      <c r="A363" s="10" t="n">
        <v>347</v>
      </c>
      <c r="B363" s="14">
        <f>IF($N363="","",INDEX(LdADate,$N363))</f>
        <v/>
      </c>
      <c r="C363" s="14">
        <f>IF($N363="","",IF(INDEX(LdAId,$N363)="","—",INDEX(LdAId,$N363)))</f>
        <v/>
      </c>
      <c r="D363" s="16">
        <f>IF($N363="","",IF(INDEX(LdAAmt,$N363)=0,"",INDEX(LdAAmt,$N363)))</f>
        <v/>
      </c>
      <c r="E363" s="16">
        <f>IF($N363="","",SUMIFS(ShareAmt,ShareLink,$C363))</f>
        <v/>
      </c>
      <c r="F363" s="33">
        <f>IF($N363="","",COUNTIF(ShareLink,$C363))</f>
        <v/>
      </c>
      <c r="G363" s="17">
        <f>IF($N363="","",IF(ROUND($E363-$D363,0)=0,"√","▲ "&amp;TEXT($D363-$E363,"#,##0")))</f>
        <v/>
      </c>
      <c r="N363">
        <f>IFERROR(MATCH($C$5&amp;"|"&amp;RIGHT("000000"&amp;347,6),LdAKeyG,0),"")</f>
        <v/>
      </c>
    </row>
    <row r="364">
      <c r="A364" s="19" t="n">
        <v>348</v>
      </c>
      <c r="B364" s="20">
        <f>IF($N364="","",INDEX(LdADate,$N364))</f>
        <v/>
      </c>
      <c r="C364" s="20">
        <f>IF($N364="","",IF(INDEX(LdAId,$N364)="","—",INDEX(LdAId,$N364)))</f>
        <v/>
      </c>
      <c r="D364" s="21">
        <f>IF($N364="","",IF(INDEX(LdAAmt,$N364)=0,"",INDEX(LdAAmt,$N364)))</f>
        <v/>
      </c>
      <c r="E364" s="21">
        <f>IF($N364="","",SUMIFS(ShareAmt,ShareLink,$C364))</f>
        <v/>
      </c>
      <c r="F364" s="34">
        <f>IF($N364="","",COUNTIF(ShareLink,$C364))</f>
        <v/>
      </c>
      <c r="G364" s="22">
        <f>IF($N364="","",IF(ROUND($E364-$D364,0)=0,"√","▲ "&amp;TEXT($D364-$E364,"#,##0")))</f>
        <v/>
      </c>
      <c r="N364">
        <f>IFERROR(MATCH($C$5&amp;"|"&amp;RIGHT("000000"&amp;348,6),LdAKeyG,0),"")</f>
        <v/>
      </c>
    </row>
    <row r="365">
      <c r="A365" s="10" t="n">
        <v>349</v>
      </c>
      <c r="B365" s="14">
        <f>IF($N365="","",INDEX(LdADate,$N365))</f>
        <v/>
      </c>
      <c r="C365" s="14">
        <f>IF($N365="","",IF(INDEX(LdAId,$N365)="","—",INDEX(LdAId,$N365)))</f>
        <v/>
      </c>
      <c r="D365" s="16">
        <f>IF($N365="","",IF(INDEX(LdAAmt,$N365)=0,"",INDEX(LdAAmt,$N365)))</f>
        <v/>
      </c>
      <c r="E365" s="16">
        <f>IF($N365="","",SUMIFS(ShareAmt,ShareLink,$C365))</f>
        <v/>
      </c>
      <c r="F365" s="33">
        <f>IF($N365="","",COUNTIF(ShareLink,$C365))</f>
        <v/>
      </c>
      <c r="G365" s="17">
        <f>IF($N365="","",IF(ROUND($E365-$D365,0)=0,"√","▲ "&amp;TEXT($D365-$E365,"#,##0")))</f>
        <v/>
      </c>
      <c r="N365">
        <f>IFERROR(MATCH($C$5&amp;"|"&amp;RIGHT("000000"&amp;349,6),LdAKeyG,0),"")</f>
        <v/>
      </c>
    </row>
    <row r="366">
      <c r="A366" s="19" t="n">
        <v>350</v>
      </c>
      <c r="B366" s="20">
        <f>IF($N366="","",INDEX(LdADate,$N366))</f>
        <v/>
      </c>
      <c r="C366" s="20">
        <f>IF($N366="","",IF(INDEX(LdAId,$N366)="","—",INDEX(LdAId,$N366)))</f>
        <v/>
      </c>
      <c r="D366" s="21">
        <f>IF($N366="","",IF(INDEX(LdAAmt,$N366)=0,"",INDEX(LdAAmt,$N366)))</f>
        <v/>
      </c>
      <c r="E366" s="21">
        <f>IF($N366="","",SUMIFS(ShareAmt,ShareLink,$C366))</f>
        <v/>
      </c>
      <c r="F366" s="34">
        <f>IF($N366="","",COUNTIF(ShareLink,$C366))</f>
        <v/>
      </c>
      <c r="G366" s="22">
        <f>IF($N366="","",IF(ROUND($E366-$D366,0)=0,"√","▲ "&amp;TEXT($D366-$E366,"#,##0")))</f>
        <v/>
      </c>
      <c r="N366">
        <f>IFERROR(MATCH($C$5&amp;"|"&amp;RIGHT("000000"&amp;350,6),LdAKeyG,0),"")</f>
        <v/>
      </c>
    </row>
    <row r="367">
      <c r="A367" s="10" t="n">
        <v>351</v>
      </c>
      <c r="B367" s="14">
        <f>IF($N367="","",INDEX(LdADate,$N367))</f>
        <v/>
      </c>
      <c r="C367" s="14">
        <f>IF($N367="","",IF(INDEX(LdAId,$N367)="","—",INDEX(LdAId,$N367)))</f>
        <v/>
      </c>
      <c r="D367" s="16">
        <f>IF($N367="","",IF(INDEX(LdAAmt,$N367)=0,"",INDEX(LdAAmt,$N367)))</f>
        <v/>
      </c>
      <c r="E367" s="16">
        <f>IF($N367="","",SUMIFS(ShareAmt,ShareLink,$C367))</f>
        <v/>
      </c>
      <c r="F367" s="33">
        <f>IF($N367="","",COUNTIF(ShareLink,$C367))</f>
        <v/>
      </c>
      <c r="G367" s="17">
        <f>IF($N367="","",IF(ROUND($E367-$D367,0)=0,"√","▲ "&amp;TEXT($D367-$E367,"#,##0")))</f>
        <v/>
      </c>
      <c r="N367">
        <f>IFERROR(MATCH($C$5&amp;"|"&amp;RIGHT("000000"&amp;351,6),LdAKeyG,0),"")</f>
        <v/>
      </c>
    </row>
    <row r="368">
      <c r="A368" s="19" t="n">
        <v>352</v>
      </c>
      <c r="B368" s="20">
        <f>IF($N368="","",INDEX(LdADate,$N368))</f>
        <v/>
      </c>
      <c r="C368" s="20">
        <f>IF($N368="","",IF(INDEX(LdAId,$N368)="","—",INDEX(LdAId,$N368)))</f>
        <v/>
      </c>
      <c r="D368" s="21">
        <f>IF($N368="","",IF(INDEX(LdAAmt,$N368)=0,"",INDEX(LdAAmt,$N368)))</f>
        <v/>
      </c>
      <c r="E368" s="21">
        <f>IF($N368="","",SUMIFS(ShareAmt,ShareLink,$C368))</f>
        <v/>
      </c>
      <c r="F368" s="34">
        <f>IF($N368="","",COUNTIF(ShareLink,$C368))</f>
        <v/>
      </c>
      <c r="G368" s="22">
        <f>IF($N368="","",IF(ROUND($E368-$D368,0)=0,"√","▲ "&amp;TEXT($D368-$E368,"#,##0")))</f>
        <v/>
      </c>
      <c r="N368">
        <f>IFERROR(MATCH($C$5&amp;"|"&amp;RIGHT("000000"&amp;352,6),LdAKeyG,0),"")</f>
        <v/>
      </c>
    </row>
    <row r="369">
      <c r="A369" s="10" t="n">
        <v>353</v>
      </c>
      <c r="B369" s="14">
        <f>IF($N369="","",INDEX(LdADate,$N369))</f>
        <v/>
      </c>
      <c r="C369" s="14">
        <f>IF($N369="","",IF(INDEX(LdAId,$N369)="","—",INDEX(LdAId,$N369)))</f>
        <v/>
      </c>
      <c r="D369" s="16">
        <f>IF($N369="","",IF(INDEX(LdAAmt,$N369)=0,"",INDEX(LdAAmt,$N369)))</f>
        <v/>
      </c>
      <c r="E369" s="16">
        <f>IF($N369="","",SUMIFS(ShareAmt,ShareLink,$C369))</f>
        <v/>
      </c>
      <c r="F369" s="33">
        <f>IF($N369="","",COUNTIF(ShareLink,$C369))</f>
        <v/>
      </c>
      <c r="G369" s="17">
        <f>IF($N369="","",IF(ROUND($E369-$D369,0)=0,"√","▲ "&amp;TEXT($D369-$E369,"#,##0")))</f>
        <v/>
      </c>
      <c r="N369">
        <f>IFERROR(MATCH($C$5&amp;"|"&amp;RIGHT("000000"&amp;353,6),LdAKeyG,0),"")</f>
        <v/>
      </c>
    </row>
    <row r="370">
      <c r="A370" s="19" t="n">
        <v>354</v>
      </c>
      <c r="B370" s="20">
        <f>IF($N370="","",INDEX(LdADate,$N370))</f>
        <v/>
      </c>
      <c r="C370" s="20">
        <f>IF($N370="","",IF(INDEX(LdAId,$N370)="","—",INDEX(LdAId,$N370)))</f>
        <v/>
      </c>
      <c r="D370" s="21">
        <f>IF($N370="","",IF(INDEX(LdAAmt,$N370)=0,"",INDEX(LdAAmt,$N370)))</f>
        <v/>
      </c>
      <c r="E370" s="21">
        <f>IF($N370="","",SUMIFS(ShareAmt,ShareLink,$C370))</f>
        <v/>
      </c>
      <c r="F370" s="34">
        <f>IF($N370="","",COUNTIF(ShareLink,$C370))</f>
        <v/>
      </c>
      <c r="G370" s="22">
        <f>IF($N370="","",IF(ROUND($E370-$D370,0)=0,"√","▲ "&amp;TEXT($D370-$E370,"#,##0")))</f>
        <v/>
      </c>
      <c r="N370">
        <f>IFERROR(MATCH($C$5&amp;"|"&amp;RIGHT("000000"&amp;354,6),LdAKeyG,0),"")</f>
        <v/>
      </c>
    </row>
    <row r="371">
      <c r="A371" s="10" t="n">
        <v>355</v>
      </c>
      <c r="B371" s="14">
        <f>IF($N371="","",INDEX(LdADate,$N371))</f>
        <v/>
      </c>
      <c r="C371" s="14">
        <f>IF($N371="","",IF(INDEX(LdAId,$N371)="","—",INDEX(LdAId,$N371)))</f>
        <v/>
      </c>
      <c r="D371" s="16">
        <f>IF($N371="","",IF(INDEX(LdAAmt,$N371)=0,"",INDEX(LdAAmt,$N371)))</f>
        <v/>
      </c>
      <c r="E371" s="16">
        <f>IF($N371="","",SUMIFS(ShareAmt,ShareLink,$C371))</f>
        <v/>
      </c>
      <c r="F371" s="33">
        <f>IF($N371="","",COUNTIF(ShareLink,$C371))</f>
        <v/>
      </c>
      <c r="G371" s="17">
        <f>IF($N371="","",IF(ROUND($E371-$D371,0)=0,"√","▲ "&amp;TEXT($D371-$E371,"#,##0")))</f>
        <v/>
      </c>
      <c r="N371">
        <f>IFERROR(MATCH($C$5&amp;"|"&amp;RIGHT("000000"&amp;355,6),LdAKeyG,0),"")</f>
        <v/>
      </c>
    </row>
    <row r="372">
      <c r="A372" s="19" t="n">
        <v>356</v>
      </c>
      <c r="B372" s="20">
        <f>IF($N372="","",INDEX(LdADate,$N372))</f>
        <v/>
      </c>
      <c r="C372" s="20">
        <f>IF($N372="","",IF(INDEX(LdAId,$N372)="","—",INDEX(LdAId,$N372)))</f>
        <v/>
      </c>
      <c r="D372" s="21">
        <f>IF($N372="","",IF(INDEX(LdAAmt,$N372)=0,"",INDEX(LdAAmt,$N372)))</f>
        <v/>
      </c>
      <c r="E372" s="21">
        <f>IF($N372="","",SUMIFS(ShareAmt,ShareLink,$C372))</f>
        <v/>
      </c>
      <c r="F372" s="34">
        <f>IF($N372="","",COUNTIF(ShareLink,$C372))</f>
        <v/>
      </c>
      <c r="G372" s="22">
        <f>IF($N372="","",IF(ROUND($E372-$D372,0)=0,"√","▲ "&amp;TEXT($D372-$E372,"#,##0")))</f>
        <v/>
      </c>
      <c r="N372">
        <f>IFERROR(MATCH($C$5&amp;"|"&amp;RIGHT("000000"&amp;356,6),LdAKeyG,0),"")</f>
        <v/>
      </c>
    </row>
    <row r="373">
      <c r="A373" s="10" t="n">
        <v>357</v>
      </c>
      <c r="B373" s="14">
        <f>IF($N373="","",INDEX(LdADate,$N373))</f>
        <v/>
      </c>
      <c r="C373" s="14">
        <f>IF($N373="","",IF(INDEX(LdAId,$N373)="","—",INDEX(LdAId,$N373)))</f>
        <v/>
      </c>
      <c r="D373" s="16">
        <f>IF($N373="","",IF(INDEX(LdAAmt,$N373)=0,"",INDEX(LdAAmt,$N373)))</f>
        <v/>
      </c>
      <c r="E373" s="16">
        <f>IF($N373="","",SUMIFS(ShareAmt,ShareLink,$C373))</f>
        <v/>
      </c>
      <c r="F373" s="33">
        <f>IF($N373="","",COUNTIF(ShareLink,$C373))</f>
        <v/>
      </c>
      <c r="G373" s="17">
        <f>IF($N373="","",IF(ROUND($E373-$D373,0)=0,"√","▲ "&amp;TEXT($D373-$E373,"#,##0")))</f>
        <v/>
      </c>
      <c r="N373">
        <f>IFERROR(MATCH($C$5&amp;"|"&amp;RIGHT("000000"&amp;357,6),LdAKeyG,0),"")</f>
        <v/>
      </c>
    </row>
    <row r="374">
      <c r="A374" s="19" t="n">
        <v>358</v>
      </c>
      <c r="B374" s="20">
        <f>IF($N374="","",INDEX(LdADate,$N374))</f>
        <v/>
      </c>
      <c r="C374" s="20">
        <f>IF($N374="","",IF(INDEX(LdAId,$N374)="","—",INDEX(LdAId,$N374)))</f>
        <v/>
      </c>
      <c r="D374" s="21">
        <f>IF($N374="","",IF(INDEX(LdAAmt,$N374)=0,"",INDEX(LdAAmt,$N374)))</f>
        <v/>
      </c>
      <c r="E374" s="21">
        <f>IF($N374="","",SUMIFS(ShareAmt,ShareLink,$C374))</f>
        <v/>
      </c>
      <c r="F374" s="34">
        <f>IF($N374="","",COUNTIF(ShareLink,$C374))</f>
        <v/>
      </c>
      <c r="G374" s="22">
        <f>IF($N374="","",IF(ROUND($E374-$D374,0)=0,"√","▲ "&amp;TEXT($D374-$E374,"#,##0")))</f>
        <v/>
      </c>
      <c r="N374">
        <f>IFERROR(MATCH($C$5&amp;"|"&amp;RIGHT("000000"&amp;358,6),LdAKeyG,0),"")</f>
        <v/>
      </c>
    </row>
    <row r="375">
      <c r="A375" s="10" t="n">
        <v>359</v>
      </c>
      <c r="B375" s="14">
        <f>IF($N375="","",INDEX(LdADate,$N375))</f>
        <v/>
      </c>
      <c r="C375" s="14">
        <f>IF($N375="","",IF(INDEX(LdAId,$N375)="","—",INDEX(LdAId,$N375)))</f>
        <v/>
      </c>
      <c r="D375" s="16">
        <f>IF($N375="","",IF(INDEX(LdAAmt,$N375)=0,"",INDEX(LdAAmt,$N375)))</f>
        <v/>
      </c>
      <c r="E375" s="16">
        <f>IF($N375="","",SUMIFS(ShareAmt,ShareLink,$C375))</f>
        <v/>
      </c>
      <c r="F375" s="33">
        <f>IF($N375="","",COUNTIF(ShareLink,$C375))</f>
        <v/>
      </c>
      <c r="G375" s="17">
        <f>IF($N375="","",IF(ROUND($E375-$D375,0)=0,"√","▲ "&amp;TEXT($D375-$E375,"#,##0")))</f>
        <v/>
      </c>
      <c r="N375">
        <f>IFERROR(MATCH($C$5&amp;"|"&amp;RIGHT("000000"&amp;359,6),LdAKeyG,0),"")</f>
        <v/>
      </c>
    </row>
    <row r="376">
      <c r="A376" s="19" t="n">
        <v>360</v>
      </c>
      <c r="B376" s="20">
        <f>IF($N376="","",INDEX(LdADate,$N376))</f>
        <v/>
      </c>
      <c r="C376" s="20">
        <f>IF($N376="","",IF(INDEX(LdAId,$N376)="","—",INDEX(LdAId,$N376)))</f>
        <v/>
      </c>
      <c r="D376" s="21">
        <f>IF($N376="","",IF(INDEX(LdAAmt,$N376)=0,"",INDEX(LdAAmt,$N376)))</f>
        <v/>
      </c>
      <c r="E376" s="21">
        <f>IF($N376="","",SUMIFS(ShareAmt,ShareLink,$C376))</f>
        <v/>
      </c>
      <c r="F376" s="34">
        <f>IF($N376="","",COUNTIF(ShareLink,$C376))</f>
        <v/>
      </c>
      <c r="G376" s="22">
        <f>IF($N376="","",IF(ROUND($E376-$D376,0)=0,"√","▲ "&amp;TEXT($D376-$E376,"#,##0")))</f>
        <v/>
      </c>
      <c r="N376">
        <f>IFERROR(MATCH($C$5&amp;"|"&amp;RIGHT("000000"&amp;360,6),LdAKeyG,0),"")</f>
        <v/>
      </c>
    </row>
    <row r="377">
      <c r="A377" s="10" t="n">
        <v>361</v>
      </c>
      <c r="B377" s="14">
        <f>IF($N377="","",INDEX(LdADate,$N377))</f>
        <v/>
      </c>
      <c r="C377" s="14">
        <f>IF($N377="","",IF(INDEX(LdAId,$N377)="","—",INDEX(LdAId,$N377)))</f>
        <v/>
      </c>
      <c r="D377" s="16">
        <f>IF($N377="","",IF(INDEX(LdAAmt,$N377)=0,"",INDEX(LdAAmt,$N377)))</f>
        <v/>
      </c>
      <c r="E377" s="16">
        <f>IF($N377="","",SUMIFS(ShareAmt,ShareLink,$C377))</f>
        <v/>
      </c>
      <c r="F377" s="33">
        <f>IF($N377="","",COUNTIF(ShareLink,$C377))</f>
        <v/>
      </c>
      <c r="G377" s="17">
        <f>IF($N377="","",IF(ROUND($E377-$D377,0)=0,"√","▲ "&amp;TEXT($D377-$E377,"#,##0")))</f>
        <v/>
      </c>
      <c r="N377">
        <f>IFERROR(MATCH($C$5&amp;"|"&amp;RIGHT("000000"&amp;361,6),LdAKeyG,0),"")</f>
        <v/>
      </c>
    </row>
    <row r="378">
      <c r="A378" s="19" t="n">
        <v>362</v>
      </c>
      <c r="B378" s="20">
        <f>IF($N378="","",INDEX(LdADate,$N378))</f>
        <v/>
      </c>
      <c r="C378" s="20">
        <f>IF($N378="","",IF(INDEX(LdAId,$N378)="","—",INDEX(LdAId,$N378)))</f>
        <v/>
      </c>
      <c r="D378" s="21">
        <f>IF($N378="","",IF(INDEX(LdAAmt,$N378)=0,"",INDEX(LdAAmt,$N378)))</f>
        <v/>
      </c>
      <c r="E378" s="21">
        <f>IF($N378="","",SUMIFS(ShareAmt,ShareLink,$C378))</f>
        <v/>
      </c>
      <c r="F378" s="34">
        <f>IF($N378="","",COUNTIF(ShareLink,$C378))</f>
        <v/>
      </c>
      <c r="G378" s="22">
        <f>IF($N378="","",IF(ROUND($E378-$D378,0)=0,"√","▲ "&amp;TEXT($D378-$E378,"#,##0")))</f>
        <v/>
      </c>
      <c r="N378">
        <f>IFERROR(MATCH($C$5&amp;"|"&amp;RIGHT("000000"&amp;362,6),LdAKeyG,0),"")</f>
        <v/>
      </c>
    </row>
    <row r="379">
      <c r="A379" s="10" t="n">
        <v>363</v>
      </c>
      <c r="B379" s="14">
        <f>IF($N379="","",INDEX(LdADate,$N379))</f>
        <v/>
      </c>
      <c r="C379" s="14">
        <f>IF($N379="","",IF(INDEX(LdAId,$N379)="","—",INDEX(LdAId,$N379)))</f>
        <v/>
      </c>
      <c r="D379" s="16">
        <f>IF($N379="","",IF(INDEX(LdAAmt,$N379)=0,"",INDEX(LdAAmt,$N379)))</f>
        <v/>
      </c>
      <c r="E379" s="16">
        <f>IF($N379="","",SUMIFS(ShareAmt,ShareLink,$C379))</f>
        <v/>
      </c>
      <c r="F379" s="33">
        <f>IF($N379="","",COUNTIF(ShareLink,$C379))</f>
        <v/>
      </c>
      <c r="G379" s="17">
        <f>IF($N379="","",IF(ROUND($E379-$D379,0)=0,"√","▲ "&amp;TEXT($D379-$E379,"#,##0")))</f>
        <v/>
      </c>
      <c r="N379">
        <f>IFERROR(MATCH($C$5&amp;"|"&amp;RIGHT("000000"&amp;363,6),LdAKeyG,0),"")</f>
        <v/>
      </c>
    </row>
    <row r="380">
      <c r="A380" s="19" t="n">
        <v>364</v>
      </c>
      <c r="B380" s="20">
        <f>IF($N380="","",INDEX(LdADate,$N380))</f>
        <v/>
      </c>
      <c r="C380" s="20">
        <f>IF($N380="","",IF(INDEX(LdAId,$N380)="","—",INDEX(LdAId,$N380)))</f>
        <v/>
      </c>
      <c r="D380" s="21">
        <f>IF($N380="","",IF(INDEX(LdAAmt,$N380)=0,"",INDEX(LdAAmt,$N380)))</f>
        <v/>
      </c>
      <c r="E380" s="21">
        <f>IF($N380="","",SUMIFS(ShareAmt,ShareLink,$C380))</f>
        <v/>
      </c>
      <c r="F380" s="34">
        <f>IF($N380="","",COUNTIF(ShareLink,$C380))</f>
        <v/>
      </c>
      <c r="G380" s="22">
        <f>IF($N380="","",IF(ROUND($E380-$D380,0)=0,"√","▲ "&amp;TEXT($D380-$E380,"#,##0")))</f>
        <v/>
      </c>
      <c r="N380">
        <f>IFERROR(MATCH($C$5&amp;"|"&amp;RIGHT("000000"&amp;364,6),LdAKeyG,0),"")</f>
        <v/>
      </c>
    </row>
    <row r="381">
      <c r="A381" s="10" t="n">
        <v>365</v>
      </c>
      <c r="B381" s="14">
        <f>IF($N381="","",INDEX(LdADate,$N381))</f>
        <v/>
      </c>
      <c r="C381" s="14">
        <f>IF($N381="","",IF(INDEX(LdAId,$N381)="","—",INDEX(LdAId,$N381)))</f>
        <v/>
      </c>
      <c r="D381" s="16">
        <f>IF($N381="","",IF(INDEX(LdAAmt,$N381)=0,"",INDEX(LdAAmt,$N381)))</f>
        <v/>
      </c>
      <c r="E381" s="16">
        <f>IF($N381="","",SUMIFS(ShareAmt,ShareLink,$C381))</f>
        <v/>
      </c>
      <c r="F381" s="33">
        <f>IF($N381="","",COUNTIF(ShareLink,$C381))</f>
        <v/>
      </c>
      <c r="G381" s="17">
        <f>IF($N381="","",IF(ROUND($E381-$D381,0)=0,"√","▲ "&amp;TEXT($D381-$E381,"#,##0")))</f>
        <v/>
      </c>
      <c r="N381">
        <f>IFERROR(MATCH($C$5&amp;"|"&amp;RIGHT("000000"&amp;365,6),LdAKeyG,0),"")</f>
        <v/>
      </c>
    </row>
    <row r="382">
      <c r="A382" s="19" t="n">
        <v>366</v>
      </c>
      <c r="B382" s="20">
        <f>IF($N382="","",INDEX(LdADate,$N382))</f>
        <v/>
      </c>
      <c r="C382" s="20">
        <f>IF($N382="","",IF(INDEX(LdAId,$N382)="","—",INDEX(LdAId,$N382)))</f>
        <v/>
      </c>
      <c r="D382" s="21">
        <f>IF($N382="","",IF(INDEX(LdAAmt,$N382)=0,"",INDEX(LdAAmt,$N382)))</f>
        <v/>
      </c>
      <c r="E382" s="21">
        <f>IF($N382="","",SUMIFS(ShareAmt,ShareLink,$C382))</f>
        <v/>
      </c>
      <c r="F382" s="34">
        <f>IF($N382="","",COUNTIF(ShareLink,$C382))</f>
        <v/>
      </c>
      <c r="G382" s="22">
        <f>IF($N382="","",IF(ROUND($E382-$D382,0)=0,"√","▲ "&amp;TEXT($D382-$E382,"#,##0")))</f>
        <v/>
      </c>
      <c r="N382">
        <f>IFERROR(MATCH($C$5&amp;"|"&amp;RIGHT("000000"&amp;366,6),LdAKeyG,0),"")</f>
        <v/>
      </c>
    </row>
    <row r="383">
      <c r="A383" s="10" t="n">
        <v>367</v>
      </c>
      <c r="B383" s="14">
        <f>IF($N383="","",INDEX(LdADate,$N383))</f>
        <v/>
      </c>
      <c r="C383" s="14">
        <f>IF($N383="","",IF(INDEX(LdAId,$N383)="","—",INDEX(LdAId,$N383)))</f>
        <v/>
      </c>
      <c r="D383" s="16">
        <f>IF($N383="","",IF(INDEX(LdAAmt,$N383)=0,"",INDEX(LdAAmt,$N383)))</f>
        <v/>
      </c>
      <c r="E383" s="16">
        <f>IF($N383="","",SUMIFS(ShareAmt,ShareLink,$C383))</f>
        <v/>
      </c>
      <c r="F383" s="33">
        <f>IF($N383="","",COUNTIF(ShareLink,$C383))</f>
        <v/>
      </c>
      <c r="G383" s="17">
        <f>IF($N383="","",IF(ROUND($E383-$D383,0)=0,"√","▲ "&amp;TEXT($D383-$E383,"#,##0")))</f>
        <v/>
      </c>
      <c r="N383">
        <f>IFERROR(MATCH($C$5&amp;"|"&amp;RIGHT("000000"&amp;367,6),LdAKeyG,0),"")</f>
        <v/>
      </c>
    </row>
    <row r="384">
      <c r="A384" s="19" t="n">
        <v>368</v>
      </c>
      <c r="B384" s="20">
        <f>IF($N384="","",INDEX(LdADate,$N384))</f>
        <v/>
      </c>
      <c r="C384" s="20">
        <f>IF($N384="","",IF(INDEX(LdAId,$N384)="","—",INDEX(LdAId,$N384)))</f>
        <v/>
      </c>
      <c r="D384" s="21">
        <f>IF($N384="","",IF(INDEX(LdAAmt,$N384)=0,"",INDEX(LdAAmt,$N384)))</f>
        <v/>
      </c>
      <c r="E384" s="21">
        <f>IF($N384="","",SUMIFS(ShareAmt,ShareLink,$C384))</f>
        <v/>
      </c>
      <c r="F384" s="34">
        <f>IF($N384="","",COUNTIF(ShareLink,$C384))</f>
        <v/>
      </c>
      <c r="G384" s="22">
        <f>IF($N384="","",IF(ROUND($E384-$D384,0)=0,"√","▲ "&amp;TEXT($D384-$E384,"#,##0")))</f>
        <v/>
      </c>
      <c r="N384">
        <f>IFERROR(MATCH($C$5&amp;"|"&amp;RIGHT("000000"&amp;368,6),LdAKeyG,0),"")</f>
        <v/>
      </c>
    </row>
    <row r="385">
      <c r="A385" s="10" t="n">
        <v>369</v>
      </c>
      <c r="B385" s="14">
        <f>IF($N385="","",INDEX(LdADate,$N385))</f>
        <v/>
      </c>
      <c r="C385" s="14">
        <f>IF($N385="","",IF(INDEX(LdAId,$N385)="","—",INDEX(LdAId,$N385)))</f>
        <v/>
      </c>
      <c r="D385" s="16">
        <f>IF($N385="","",IF(INDEX(LdAAmt,$N385)=0,"",INDEX(LdAAmt,$N385)))</f>
        <v/>
      </c>
      <c r="E385" s="16">
        <f>IF($N385="","",SUMIFS(ShareAmt,ShareLink,$C385))</f>
        <v/>
      </c>
      <c r="F385" s="33">
        <f>IF($N385="","",COUNTIF(ShareLink,$C385))</f>
        <v/>
      </c>
      <c r="G385" s="17">
        <f>IF($N385="","",IF(ROUND($E385-$D385,0)=0,"√","▲ "&amp;TEXT($D385-$E385,"#,##0")))</f>
        <v/>
      </c>
      <c r="N385">
        <f>IFERROR(MATCH($C$5&amp;"|"&amp;RIGHT("000000"&amp;369,6),LdAKeyG,0),"")</f>
        <v/>
      </c>
    </row>
    <row r="386">
      <c r="A386" s="19" t="n">
        <v>370</v>
      </c>
      <c r="B386" s="20">
        <f>IF($N386="","",INDEX(LdADate,$N386))</f>
        <v/>
      </c>
      <c r="C386" s="20">
        <f>IF($N386="","",IF(INDEX(LdAId,$N386)="","—",INDEX(LdAId,$N386)))</f>
        <v/>
      </c>
      <c r="D386" s="21">
        <f>IF($N386="","",IF(INDEX(LdAAmt,$N386)=0,"",INDEX(LdAAmt,$N386)))</f>
        <v/>
      </c>
      <c r="E386" s="21">
        <f>IF($N386="","",SUMIFS(ShareAmt,ShareLink,$C386))</f>
        <v/>
      </c>
      <c r="F386" s="34">
        <f>IF($N386="","",COUNTIF(ShareLink,$C386))</f>
        <v/>
      </c>
      <c r="G386" s="22">
        <f>IF($N386="","",IF(ROUND($E386-$D386,0)=0,"√","▲ "&amp;TEXT($D386-$E386,"#,##0")))</f>
        <v/>
      </c>
      <c r="N386">
        <f>IFERROR(MATCH($C$5&amp;"|"&amp;RIGHT("000000"&amp;370,6),LdAKeyG,0),"")</f>
        <v/>
      </c>
    </row>
    <row r="387">
      <c r="A387" s="10" t="n">
        <v>371</v>
      </c>
      <c r="B387" s="14">
        <f>IF($N387="","",INDEX(LdADate,$N387))</f>
        <v/>
      </c>
      <c r="C387" s="14">
        <f>IF($N387="","",IF(INDEX(LdAId,$N387)="","—",INDEX(LdAId,$N387)))</f>
        <v/>
      </c>
      <c r="D387" s="16">
        <f>IF($N387="","",IF(INDEX(LdAAmt,$N387)=0,"",INDEX(LdAAmt,$N387)))</f>
        <v/>
      </c>
      <c r="E387" s="16">
        <f>IF($N387="","",SUMIFS(ShareAmt,ShareLink,$C387))</f>
        <v/>
      </c>
      <c r="F387" s="33">
        <f>IF($N387="","",COUNTIF(ShareLink,$C387))</f>
        <v/>
      </c>
      <c r="G387" s="17">
        <f>IF($N387="","",IF(ROUND($E387-$D387,0)=0,"√","▲ "&amp;TEXT($D387-$E387,"#,##0")))</f>
        <v/>
      </c>
      <c r="N387">
        <f>IFERROR(MATCH($C$5&amp;"|"&amp;RIGHT("000000"&amp;371,6),LdAKeyG,0),"")</f>
        <v/>
      </c>
    </row>
    <row r="388">
      <c r="A388" s="19" t="n">
        <v>372</v>
      </c>
      <c r="B388" s="20">
        <f>IF($N388="","",INDEX(LdADate,$N388))</f>
        <v/>
      </c>
      <c r="C388" s="20">
        <f>IF($N388="","",IF(INDEX(LdAId,$N388)="","—",INDEX(LdAId,$N388)))</f>
        <v/>
      </c>
      <c r="D388" s="21">
        <f>IF($N388="","",IF(INDEX(LdAAmt,$N388)=0,"",INDEX(LdAAmt,$N388)))</f>
        <v/>
      </c>
      <c r="E388" s="21">
        <f>IF($N388="","",SUMIFS(ShareAmt,ShareLink,$C388))</f>
        <v/>
      </c>
      <c r="F388" s="34">
        <f>IF($N388="","",COUNTIF(ShareLink,$C388))</f>
        <v/>
      </c>
      <c r="G388" s="22">
        <f>IF($N388="","",IF(ROUND($E388-$D388,0)=0,"√","▲ "&amp;TEXT($D388-$E388,"#,##0")))</f>
        <v/>
      </c>
      <c r="N388">
        <f>IFERROR(MATCH($C$5&amp;"|"&amp;RIGHT("000000"&amp;372,6),LdAKeyG,0),"")</f>
        <v/>
      </c>
    </row>
    <row r="389">
      <c r="A389" s="10" t="n">
        <v>373</v>
      </c>
      <c r="B389" s="14">
        <f>IF($N389="","",INDEX(LdADate,$N389))</f>
        <v/>
      </c>
      <c r="C389" s="14">
        <f>IF($N389="","",IF(INDEX(LdAId,$N389)="","—",INDEX(LdAId,$N389)))</f>
        <v/>
      </c>
      <c r="D389" s="16">
        <f>IF($N389="","",IF(INDEX(LdAAmt,$N389)=0,"",INDEX(LdAAmt,$N389)))</f>
        <v/>
      </c>
      <c r="E389" s="16">
        <f>IF($N389="","",SUMIFS(ShareAmt,ShareLink,$C389))</f>
        <v/>
      </c>
      <c r="F389" s="33">
        <f>IF($N389="","",COUNTIF(ShareLink,$C389))</f>
        <v/>
      </c>
      <c r="G389" s="17">
        <f>IF($N389="","",IF(ROUND($E389-$D389,0)=0,"√","▲ "&amp;TEXT($D389-$E389,"#,##0")))</f>
        <v/>
      </c>
      <c r="N389">
        <f>IFERROR(MATCH($C$5&amp;"|"&amp;RIGHT("000000"&amp;373,6),LdAKeyG,0),"")</f>
        <v/>
      </c>
    </row>
    <row r="390">
      <c r="A390" s="19" t="n">
        <v>374</v>
      </c>
      <c r="B390" s="20">
        <f>IF($N390="","",INDEX(LdADate,$N390))</f>
        <v/>
      </c>
      <c r="C390" s="20">
        <f>IF($N390="","",IF(INDEX(LdAId,$N390)="","—",INDEX(LdAId,$N390)))</f>
        <v/>
      </c>
      <c r="D390" s="21">
        <f>IF($N390="","",IF(INDEX(LdAAmt,$N390)=0,"",INDEX(LdAAmt,$N390)))</f>
        <v/>
      </c>
      <c r="E390" s="21">
        <f>IF($N390="","",SUMIFS(ShareAmt,ShareLink,$C390))</f>
        <v/>
      </c>
      <c r="F390" s="34">
        <f>IF($N390="","",COUNTIF(ShareLink,$C390))</f>
        <v/>
      </c>
      <c r="G390" s="22">
        <f>IF($N390="","",IF(ROUND($E390-$D390,0)=0,"√","▲ "&amp;TEXT($D390-$E390,"#,##0")))</f>
        <v/>
      </c>
      <c r="N390">
        <f>IFERROR(MATCH($C$5&amp;"|"&amp;RIGHT("000000"&amp;374,6),LdAKeyG,0),"")</f>
        <v/>
      </c>
    </row>
    <row r="391">
      <c r="A391" s="10" t="n">
        <v>375</v>
      </c>
      <c r="B391" s="14">
        <f>IF($N391="","",INDEX(LdADate,$N391))</f>
        <v/>
      </c>
      <c r="C391" s="14">
        <f>IF($N391="","",IF(INDEX(LdAId,$N391)="","—",INDEX(LdAId,$N391)))</f>
        <v/>
      </c>
      <c r="D391" s="16">
        <f>IF($N391="","",IF(INDEX(LdAAmt,$N391)=0,"",INDEX(LdAAmt,$N391)))</f>
        <v/>
      </c>
      <c r="E391" s="16">
        <f>IF($N391="","",SUMIFS(ShareAmt,ShareLink,$C391))</f>
        <v/>
      </c>
      <c r="F391" s="33">
        <f>IF($N391="","",COUNTIF(ShareLink,$C391))</f>
        <v/>
      </c>
      <c r="G391" s="17">
        <f>IF($N391="","",IF(ROUND($E391-$D391,0)=0,"√","▲ "&amp;TEXT($D391-$E391,"#,##0")))</f>
        <v/>
      </c>
      <c r="N391">
        <f>IFERROR(MATCH($C$5&amp;"|"&amp;RIGHT("000000"&amp;375,6),LdAKeyG,0),"")</f>
        <v/>
      </c>
    </row>
    <row r="392">
      <c r="A392" s="19" t="n">
        <v>376</v>
      </c>
      <c r="B392" s="20">
        <f>IF($N392="","",INDEX(LdADate,$N392))</f>
        <v/>
      </c>
      <c r="C392" s="20">
        <f>IF($N392="","",IF(INDEX(LdAId,$N392)="","—",INDEX(LdAId,$N392)))</f>
        <v/>
      </c>
      <c r="D392" s="21">
        <f>IF($N392="","",IF(INDEX(LdAAmt,$N392)=0,"",INDEX(LdAAmt,$N392)))</f>
        <v/>
      </c>
      <c r="E392" s="21">
        <f>IF($N392="","",SUMIFS(ShareAmt,ShareLink,$C392))</f>
        <v/>
      </c>
      <c r="F392" s="34">
        <f>IF($N392="","",COUNTIF(ShareLink,$C392))</f>
        <v/>
      </c>
      <c r="G392" s="22">
        <f>IF($N392="","",IF(ROUND($E392-$D392,0)=0,"√","▲ "&amp;TEXT($D392-$E392,"#,##0")))</f>
        <v/>
      </c>
      <c r="N392">
        <f>IFERROR(MATCH($C$5&amp;"|"&amp;RIGHT("000000"&amp;376,6),LdAKeyG,0),"")</f>
        <v/>
      </c>
    </row>
    <row r="393">
      <c r="A393" s="10" t="n">
        <v>377</v>
      </c>
      <c r="B393" s="14">
        <f>IF($N393="","",INDEX(LdADate,$N393))</f>
        <v/>
      </c>
      <c r="C393" s="14">
        <f>IF($N393="","",IF(INDEX(LdAId,$N393)="","—",INDEX(LdAId,$N393)))</f>
        <v/>
      </c>
      <c r="D393" s="16">
        <f>IF($N393="","",IF(INDEX(LdAAmt,$N393)=0,"",INDEX(LdAAmt,$N393)))</f>
        <v/>
      </c>
      <c r="E393" s="16">
        <f>IF($N393="","",SUMIFS(ShareAmt,ShareLink,$C393))</f>
        <v/>
      </c>
      <c r="F393" s="33">
        <f>IF($N393="","",COUNTIF(ShareLink,$C393))</f>
        <v/>
      </c>
      <c r="G393" s="17">
        <f>IF($N393="","",IF(ROUND($E393-$D393,0)=0,"√","▲ "&amp;TEXT($D393-$E393,"#,##0")))</f>
        <v/>
      </c>
      <c r="N393">
        <f>IFERROR(MATCH($C$5&amp;"|"&amp;RIGHT("000000"&amp;377,6),LdAKeyG,0),"")</f>
        <v/>
      </c>
    </row>
    <row r="394">
      <c r="A394" s="19" t="n">
        <v>378</v>
      </c>
      <c r="B394" s="20">
        <f>IF($N394="","",INDEX(LdADate,$N394))</f>
        <v/>
      </c>
      <c r="C394" s="20">
        <f>IF($N394="","",IF(INDEX(LdAId,$N394)="","—",INDEX(LdAId,$N394)))</f>
        <v/>
      </c>
      <c r="D394" s="21">
        <f>IF($N394="","",IF(INDEX(LdAAmt,$N394)=0,"",INDEX(LdAAmt,$N394)))</f>
        <v/>
      </c>
      <c r="E394" s="21">
        <f>IF($N394="","",SUMIFS(ShareAmt,ShareLink,$C394))</f>
        <v/>
      </c>
      <c r="F394" s="34">
        <f>IF($N394="","",COUNTIF(ShareLink,$C394))</f>
        <v/>
      </c>
      <c r="G394" s="22">
        <f>IF($N394="","",IF(ROUND($E394-$D394,0)=0,"√","▲ "&amp;TEXT($D394-$E394,"#,##0")))</f>
        <v/>
      </c>
      <c r="N394">
        <f>IFERROR(MATCH($C$5&amp;"|"&amp;RIGHT("000000"&amp;378,6),LdAKeyG,0),"")</f>
        <v/>
      </c>
    </row>
    <row r="395">
      <c r="A395" s="10" t="n">
        <v>379</v>
      </c>
      <c r="B395" s="14">
        <f>IF($N395="","",INDEX(LdADate,$N395))</f>
        <v/>
      </c>
      <c r="C395" s="14">
        <f>IF($N395="","",IF(INDEX(LdAId,$N395)="","—",INDEX(LdAId,$N395)))</f>
        <v/>
      </c>
      <c r="D395" s="16">
        <f>IF($N395="","",IF(INDEX(LdAAmt,$N395)=0,"",INDEX(LdAAmt,$N395)))</f>
        <v/>
      </c>
      <c r="E395" s="16">
        <f>IF($N395="","",SUMIFS(ShareAmt,ShareLink,$C395))</f>
        <v/>
      </c>
      <c r="F395" s="33">
        <f>IF($N395="","",COUNTIF(ShareLink,$C395))</f>
        <v/>
      </c>
      <c r="G395" s="17">
        <f>IF($N395="","",IF(ROUND($E395-$D395,0)=0,"√","▲ "&amp;TEXT($D395-$E395,"#,##0")))</f>
        <v/>
      </c>
      <c r="N395">
        <f>IFERROR(MATCH($C$5&amp;"|"&amp;RIGHT("000000"&amp;379,6),LdAKeyG,0),"")</f>
        <v/>
      </c>
    </row>
    <row r="396">
      <c r="A396" s="19" t="n">
        <v>380</v>
      </c>
      <c r="B396" s="20">
        <f>IF($N396="","",INDEX(LdADate,$N396))</f>
        <v/>
      </c>
      <c r="C396" s="20">
        <f>IF($N396="","",IF(INDEX(LdAId,$N396)="","—",INDEX(LdAId,$N396)))</f>
        <v/>
      </c>
      <c r="D396" s="21">
        <f>IF($N396="","",IF(INDEX(LdAAmt,$N396)=0,"",INDEX(LdAAmt,$N396)))</f>
        <v/>
      </c>
      <c r="E396" s="21">
        <f>IF($N396="","",SUMIFS(ShareAmt,ShareLink,$C396))</f>
        <v/>
      </c>
      <c r="F396" s="34">
        <f>IF($N396="","",COUNTIF(ShareLink,$C396))</f>
        <v/>
      </c>
      <c r="G396" s="22">
        <f>IF($N396="","",IF(ROUND($E396-$D396,0)=0,"√","▲ "&amp;TEXT($D396-$E396,"#,##0")))</f>
        <v/>
      </c>
      <c r="N396">
        <f>IFERROR(MATCH($C$5&amp;"|"&amp;RIGHT("000000"&amp;380,6),LdAKeyG,0),"")</f>
        <v/>
      </c>
    </row>
    <row r="397">
      <c r="A397" s="10" t="n">
        <v>381</v>
      </c>
      <c r="B397" s="14">
        <f>IF($N397="","",INDEX(LdADate,$N397))</f>
        <v/>
      </c>
      <c r="C397" s="14">
        <f>IF($N397="","",IF(INDEX(LdAId,$N397)="","—",INDEX(LdAId,$N397)))</f>
        <v/>
      </c>
      <c r="D397" s="16">
        <f>IF($N397="","",IF(INDEX(LdAAmt,$N397)=0,"",INDEX(LdAAmt,$N397)))</f>
        <v/>
      </c>
      <c r="E397" s="16">
        <f>IF($N397="","",SUMIFS(ShareAmt,ShareLink,$C397))</f>
        <v/>
      </c>
      <c r="F397" s="33">
        <f>IF($N397="","",COUNTIF(ShareLink,$C397))</f>
        <v/>
      </c>
      <c r="G397" s="17">
        <f>IF($N397="","",IF(ROUND($E397-$D397,0)=0,"√","▲ "&amp;TEXT($D397-$E397,"#,##0")))</f>
        <v/>
      </c>
      <c r="N397">
        <f>IFERROR(MATCH($C$5&amp;"|"&amp;RIGHT("000000"&amp;381,6),LdAKeyG,0),"")</f>
        <v/>
      </c>
    </row>
    <row r="398">
      <c r="A398" s="19" t="n">
        <v>382</v>
      </c>
      <c r="B398" s="20">
        <f>IF($N398="","",INDEX(LdADate,$N398))</f>
        <v/>
      </c>
      <c r="C398" s="20">
        <f>IF($N398="","",IF(INDEX(LdAId,$N398)="","—",INDEX(LdAId,$N398)))</f>
        <v/>
      </c>
      <c r="D398" s="21">
        <f>IF($N398="","",IF(INDEX(LdAAmt,$N398)=0,"",INDEX(LdAAmt,$N398)))</f>
        <v/>
      </c>
      <c r="E398" s="21">
        <f>IF($N398="","",SUMIFS(ShareAmt,ShareLink,$C398))</f>
        <v/>
      </c>
      <c r="F398" s="34">
        <f>IF($N398="","",COUNTIF(ShareLink,$C398))</f>
        <v/>
      </c>
      <c r="G398" s="22">
        <f>IF($N398="","",IF(ROUND($E398-$D398,0)=0,"√","▲ "&amp;TEXT($D398-$E398,"#,##0")))</f>
        <v/>
      </c>
      <c r="N398">
        <f>IFERROR(MATCH($C$5&amp;"|"&amp;RIGHT("000000"&amp;382,6),LdAKeyG,0),"")</f>
        <v/>
      </c>
    </row>
    <row r="399">
      <c r="A399" s="10" t="n">
        <v>383</v>
      </c>
      <c r="B399" s="14">
        <f>IF($N399="","",INDEX(LdADate,$N399))</f>
        <v/>
      </c>
      <c r="C399" s="14">
        <f>IF($N399="","",IF(INDEX(LdAId,$N399)="","—",INDEX(LdAId,$N399)))</f>
        <v/>
      </c>
      <c r="D399" s="16">
        <f>IF($N399="","",IF(INDEX(LdAAmt,$N399)=0,"",INDEX(LdAAmt,$N399)))</f>
        <v/>
      </c>
      <c r="E399" s="16">
        <f>IF($N399="","",SUMIFS(ShareAmt,ShareLink,$C399))</f>
        <v/>
      </c>
      <c r="F399" s="33">
        <f>IF($N399="","",COUNTIF(ShareLink,$C399))</f>
        <v/>
      </c>
      <c r="G399" s="17">
        <f>IF($N399="","",IF(ROUND($E399-$D399,0)=0,"√","▲ "&amp;TEXT($D399-$E399,"#,##0")))</f>
        <v/>
      </c>
      <c r="N399">
        <f>IFERROR(MATCH($C$5&amp;"|"&amp;RIGHT("000000"&amp;383,6),LdAKeyG,0),"")</f>
        <v/>
      </c>
    </row>
    <row r="400">
      <c r="A400" s="19" t="n">
        <v>384</v>
      </c>
      <c r="B400" s="20">
        <f>IF($N400="","",INDEX(LdADate,$N400))</f>
        <v/>
      </c>
      <c r="C400" s="20">
        <f>IF($N400="","",IF(INDEX(LdAId,$N400)="","—",INDEX(LdAId,$N400)))</f>
        <v/>
      </c>
      <c r="D400" s="21">
        <f>IF($N400="","",IF(INDEX(LdAAmt,$N400)=0,"",INDEX(LdAAmt,$N400)))</f>
        <v/>
      </c>
      <c r="E400" s="21">
        <f>IF($N400="","",SUMIFS(ShareAmt,ShareLink,$C400))</f>
        <v/>
      </c>
      <c r="F400" s="34">
        <f>IF($N400="","",COUNTIF(ShareLink,$C400))</f>
        <v/>
      </c>
      <c r="G400" s="22">
        <f>IF($N400="","",IF(ROUND($E400-$D400,0)=0,"√","▲ "&amp;TEXT($D400-$E400,"#,##0")))</f>
        <v/>
      </c>
      <c r="N400">
        <f>IFERROR(MATCH($C$5&amp;"|"&amp;RIGHT("000000"&amp;384,6),LdAKeyG,0),"")</f>
        <v/>
      </c>
    </row>
    <row r="401">
      <c r="A401" s="10" t="n">
        <v>385</v>
      </c>
      <c r="B401" s="14">
        <f>IF($N401="","",INDEX(LdADate,$N401))</f>
        <v/>
      </c>
      <c r="C401" s="14">
        <f>IF($N401="","",IF(INDEX(LdAId,$N401)="","—",INDEX(LdAId,$N401)))</f>
        <v/>
      </c>
      <c r="D401" s="16">
        <f>IF($N401="","",IF(INDEX(LdAAmt,$N401)=0,"",INDEX(LdAAmt,$N401)))</f>
        <v/>
      </c>
      <c r="E401" s="16">
        <f>IF($N401="","",SUMIFS(ShareAmt,ShareLink,$C401))</f>
        <v/>
      </c>
      <c r="F401" s="33">
        <f>IF($N401="","",COUNTIF(ShareLink,$C401))</f>
        <v/>
      </c>
      <c r="G401" s="17">
        <f>IF($N401="","",IF(ROUND($E401-$D401,0)=0,"√","▲ "&amp;TEXT($D401-$E401,"#,##0")))</f>
        <v/>
      </c>
      <c r="N401">
        <f>IFERROR(MATCH($C$5&amp;"|"&amp;RIGHT("000000"&amp;385,6),LdAKeyG,0),"")</f>
        <v/>
      </c>
    </row>
    <row r="402">
      <c r="A402" s="19" t="n">
        <v>386</v>
      </c>
      <c r="B402" s="20">
        <f>IF($N402="","",INDEX(LdADate,$N402))</f>
        <v/>
      </c>
      <c r="C402" s="20">
        <f>IF($N402="","",IF(INDEX(LdAId,$N402)="","—",INDEX(LdAId,$N402)))</f>
        <v/>
      </c>
      <c r="D402" s="21">
        <f>IF($N402="","",IF(INDEX(LdAAmt,$N402)=0,"",INDEX(LdAAmt,$N402)))</f>
        <v/>
      </c>
      <c r="E402" s="21">
        <f>IF($N402="","",SUMIFS(ShareAmt,ShareLink,$C402))</f>
        <v/>
      </c>
      <c r="F402" s="34">
        <f>IF($N402="","",COUNTIF(ShareLink,$C402))</f>
        <v/>
      </c>
      <c r="G402" s="22">
        <f>IF($N402="","",IF(ROUND($E402-$D402,0)=0,"√","▲ "&amp;TEXT($D402-$E402,"#,##0")))</f>
        <v/>
      </c>
      <c r="N402">
        <f>IFERROR(MATCH($C$5&amp;"|"&amp;RIGHT("000000"&amp;386,6),LdAKeyG,0),"")</f>
        <v/>
      </c>
    </row>
    <row r="403">
      <c r="A403" s="10" t="n">
        <v>387</v>
      </c>
      <c r="B403" s="14">
        <f>IF($N403="","",INDEX(LdADate,$N403))</f>
        <v/>
      </c>
      <c r="C403" s="14">
        <f>IF($N403="","",IF(INDEX(LdAId,$N403)="","—",INDEX(LdAId,$N403)))</f>
        <v/>
      </c>
      <c r="D403" s="16">
        <f>IF($N403="","",IF(INDEX(LdAAmt,$N403)=0,"",INDEX(LdAAmt,$N403)))</f>
        <v/>
      </c>
      <c r="E403" s="16">
        <f>IF($N403="","",SUMIFS(ShareAmt,ShareLink,$C403))</f>
        <v/>
      </c>
      <c r="F403" s="33">
        <f>IF($N403="","",COUNTIF(ShareLink,$C403))</f>
        <v/>
      </c>
      <c r="G403" s="17">
        <f>IF($N403="","",IF(ROUND($E403-$D403,0)=0,"√","▲ "&amp;TEXT($D403-$E403,"#,##0")))</f>
        <v/>
      </c>
      <c r="N403">
        <f>IFERROR(MATCH($C$5&amp;"|"&amp;RIGHT("000000"&amp;387,6),LdAKeyG,0),"")</f>
        <v/>
      </c>
    </row>
    <row r="404">
      <c r="A404" s="19" t="n">
        <v>388</v>
      </c>
      <c r="B404" s="20">
        <f>IF($N404="","",INDEX(LdADate,$N404))</f>
        <v/>
      </c>
      <c r="C404" s="20">
        <f>IF($N404="","",IF(INDEX(LdAId,$N404)="","—",INDEX(LdAId,$N404)))</f>
        <v/>
      </c>
      <c r="D404" s="21">
        <f>IF($N404="","",IF(INDEX(LdAAmt,$N404)=0,"",INDEX(LdAAmt,$N404)))</f>
        <v/>
      </c>
      <c r="E404" s="21">
        <f>IF($N404="","",SUMIFS(ShareAmt,ShareLink,$C404))</f>
        <v/>
      </c>
      <c r="F404" s="34">
        <f>IF($N404="","",COUNTIF(ShareLink,$C404))</f>
        <v/>
      </c>
      <c r="G404" s="22">
        <f>IF($N404="","",IF(ROUND($E404-$D404,0)=0,"√","▲ "&amp;TEXT($D404-$E404,"#,##0")))</f>
        <v/>
      </c>
      <c r="N404">
        <f>IFERROR(MATCH($C$5&amp;"|"&amp;RIGHT("000000"&amp;388,6),LdAKeyG,0),"")</f>
        <v/>
      </c>
    </row>
    <row r="405">
      <c r="A405" s="10" t="n">
        <v>389</v>
      </c>
      <c r="B405" s="14">
        <f>IF($N405="","",INDEX(LdADate,$N405))</f>
        <v/>
      </c>
      <c r="C405" s="14">
        <f>IF($N405="","",IF(INDEX(LdAId,$N405)="","—",INDEX(LdAId,$N405)))</f>
        <v/>
      </c>
      <c r="D405" s="16">
        <f>IF($N405="","",IF(INDEX(LdAAmt,$N405)=0,"",INDEX(LdAAmt,$N405)))</f>
        <v/>
      </c>
      <c r="E405" s="16">
        <f>IF($N405="","",SUMIFS(ShareAmt,ShareLink,$C405))</f>
        <v/>
      </c>
      <c r="F405" s="33">
        <f>IF($N405="","",COUNTIF(ShareLink,$C405))</f>
        <v/>
      </c>
      <c r="G405" s="17">
        <f>IF($N405="","",IF(ROUND($E405-$D405,0)=0,"√","▲ "&amp;TEXT($D405-$E405,"#,##0")))</f>
        <v/>
      </c>
      <c r="N405">
        <f>IFERROR(MATCH($C$5&amp;"|"&amp;RIGHT("000000"&amp;389,6),LdAKeyG,0),"")</f>
        <v/>
      </c>
    </row>
    <row r="406">
      <c r="A406" s="19" t="n">
        <v>390</v>
      </c>
      <c r="B406" s="20">
        <f>IF($N406="","",INDEX(LdADate,$N406))</f>
        <v/>
      </c>
      <c r="C406" s="20">
        <f>IF($N406="","",IF(INDEX(LdAId,$N406)="","—",INDEX(LdAId,$N406)))</f>
        <v/>
      </c>
      <c r="D406" s="21">
        <f>IF($N406="","",IF(INDEX(LdAAmt,$N406)=0,"",INDEX(LdAAmt,$N406)))</f>
        <v/>
      </c>
      <c r="E406" s="21">
        <f>IF($N406="","",SUMIFS(ShareAmt,ShareLink,$C406))</f>
        <v/>
      </c>
      <c r="F406" s="34">
        <f>IF($N406="","",COUNTIF(ShareLink,$C406))</f>
        <v/>
      </c>
      <c r="G406" s="22">
        <f>IF($N406="","",IF(ROUND($E406-$D406,0)=0,"√","▲ "&amp;TEXT($D406-$E406,"#,##0")))</f>
        <v/>
      </c>
      <c r="N406">
        <f>IFERROR(MATCH($C$5&amp;"|"&amp;RIGHT("000000"&amp;390,6),LdAKeyG,0),"")</f>
        <v/>
      </c>
    </row>
    <row r="407">
      <c r="A407" s="10" t="n">
        <v>391</v>
      </c>
      <c r="B407" s="14">
        <f>IF($N407="","",INDEX(LdADate,$N407))</f>
        <v/>
      </c>
      <c r="C407" s="14">
        <f>IF($N407="","",IF(INDEX(LdAId,$N407)="","—",INDEX(LdAId,$N407)))</f>
        <v/>
      </c>
      <c r="D407" s="16">
        <f>IF($N407="","",IF(INDEX(LdAAmt,$N407)=0,"",INDEX(LdAAmt,$N407)))</f>
        <v/>
      </c>
      <c r="E407" s="16">
        <f>IF($N407="","",SUMIFS(ShareAmt,ShareLink,$C407))</f>
        <v/>
      </c>
      <c r="F407" s="33">
        <f>IF($N407="","",COUNTIF(ShareLink,$C407))</f>
        <v/>
      </c>
      <c r="G407" s="17">
        <f>IF($N407="","",IF(ROUND($E407-$D407,0)=0,"√","▲ "&amp;TEXT($D407-$E407,"#,##0")))</f>
        <v/>
      </c>
      <c r="N407">
        <f>IFERROR(MATCH($C$5&amp;"|"&amp;RIGHT("000000"&amp;391,6),LdAKeyG,0),"")</f>
        <v/>
      </c>
    </row>
    <row r="408">
      <c r="A408" s="19" t="n">
        <v>392</v>
      </c>
      <c r="B408" s="20">
        <f>IF($N408="","",INDEX(LdADate,$N408))</f>
        <v/>
      </c>
      <c r="C408" s="20">
        <f>IF($N408="","",IF(INDEX(LdAId,$N408)="","—",INDEX(LdAId,$N408)))</f>
        <v/>
      </c>
      <c r="D408" s="21">
        <f>IF($N408="","",IF(INDEX(LdAAmt,$N408)=0,"",INDEX(LdAAmt,$N408)))</f>
        <v/>
      </c>
      <c r="E408" s="21">
        <f>IF($N408="","",SUMIFS(ShareAmt,ShareLink,$C408))</f>
        <v/>
      </c>
      <c r="F408" s="34">
        <f>IF($N408="","",COUNTIF(ShareLink,$C408))</f>
        <v/>
      </c>
      <c r="G408" s="22">
        <f>IF($N408="","",IF(ROUND($E408-$D408,0)=0,"√","▲ "&amp;TEXT($D408-$E408,"#,##0")))</f>
        <v/>
      </c>
      <c r="N408">
        <f>IFERROR(MATCH($C$5&amp;"|"&amp;RIGHT("000000"&amp;392,6),LdAKeyG,0),"")</f>
        <v/>
      </c>
    </row>
    <row r="409">
      <c r="A409" s="10" t="n">
        <v>393</v>
      </c>
      <c r="B409" s="14">
        <f>IF($N409="","",INDEX(LdADate,$N409))</f>
        <v/>
      </c>
      <c r="C409" s="14">
        <f>IF($N409="","",IF(INDEX(LdAId,$N409)="","—",INDEX(LdAId,$N409)))</f>
        <v/>
      </c>
      <c r="D409" s="16">
        <f>IF($N409="","",IF(INDEX(LdAAmt,$N409)=0,"",INDEX(LdAAmt,$N409)))</f>
        <v/>
      </c>
      <c r="E409" s="16">
        <f>IF($N409="","",SUMIFS(ShareAmt,ShareLink,$C409))</f>
        <v/>
      </c>
      <c r="F409" s="33">
        <f>IF($N409="","",COUNTIF(ShareLink,$C409))</f>
        <v/>
      </c>
      <c r="G409" s="17">
        <f>IF($N409="","",IF(ROUND($E409-$D409,0)=0,"√","▲ "&amp;TEXT($D409-$E409,"#,##0")))</f>
        <v/>
      </c>
      <c r="N409">
        <f>IFERROR(MATCH($C$5&amp;"|"&amp;RIGHT("000000"&amp;393,6),LdAKeyG,0),"")</f>
        <v/>
      </c>
    </row>
    <row r="410">
      <c r="A410" s="19" t="n">
        <v>394</v>
      </c>
      <c r="B410" s="20">
        <f>IF($N410="","",INDEX(LdADate,$N410))</f>
        <v/>
      </c>
      <c r="C410" s="20">
        <f>IF($N410="","",IF(INDEX(LdAId,$N410)="","—",INDEX(LdAId,$N410)))</f>
        <v/>
      </c>
      <c r="D410" s="21">
        <f>IF($N410="","",IF(INDEX(LdAAmt,$N410)=0,"",INDEX(LdAAmt,$N410)))</f>
        <v/>
      </c>
      <c r="E410" s="21">
        <f>IF($N410="","",SUMIFS(ShareAmt,ShareLink,$C410))</f>
        <v/>
      </c>
      <c r="F410" s="34">
        <f>IF($N410="","",COUNTIF(ShareLink,$C410))</f>
        <v/>
      </c>
      <c r="G410" s="22">
        <f>IF($N410="","",IF(ROUND($E410-$D410,0)=0,"√","▲ "&amp;TEXT($D410-$E410,"#,##0")))</f>
        <v/>
      </c>
      <c r="N410">
        <f>IFERROR(MATCH($C$5&amp;"|"&amp;RIGHT("000000"&amp;394,6),LdAKeyG,0),"")</f>
        <v/>
      </c>
    </row>
    <row r="411">
      <c r="A411" s="10" t="n">
        <v>395</v>
      </c>
      <c r="B411" s="14">
        <f>IF($N411="","",INDEX(LdADate,$N411))</f>
        <v/>
      </c>
      <c r="C411" s="14">
        <f>IF($N411="","",IF(INDEX(LdAId,$N411)="","—",INDEX(LdAId,$N411)))</f>
        <v/>
      </c>
      <c r="D411" s="16">
        <f>IF($N411="","",IF(INDEX(LdAAmt,$N411)=0,"",INDEX(LdAAmt,$N411)))</f>
        <v/>
      </c>
      <c r="E411" s="16">
        <f>IF($N411="","",SUMIFS(ShareAmt,ShareLink,$C411))</f>
        <v/>
      </c>
      <c r="F411" s="33">
        <f>IF($N411="","",COUNTIF(ShareLink,$C411))</f>
        <v/>
      </c>
      <c r="G411" s="17">
        <f>IF($N411="","",IF(ROUND($E411-$D411,0)=0,"√","▲ "&amp;TEXT($D411-$E411,"#,##0")))</f>
        <v/>
      </c>
      <c r="N411">
        <f>IFERROR(MATCH($C$5&amp;"|"&amp;RIGHT("000000"&amp;395,6),LdAKeyG,0),"")</f>
        <v/>
      </c>
    </row>
    <row r="412">
      <c r="A412" s="19" t="n">
        <v>396</v>
      </c>
      <c r="B412" s="20">
        <f>IF($N412="","",INDEX(LdADate,$N412))</f>
        <v/>
      </c>
      <c r="C412" s="20">
        <f>IF($N412="","",IF(INDEX(LdAId,$N412)="","—",INDEX(LdAId,$N412)))</f>
        <v/>
      </c>
      <c r="D412" s="21">
        <f>IF($N412="","",IF(INDEX(LdAAmt,$N412)=0,"",INDEX(LdAAmt,$N412)))</f>
        <v/>
      </c>
      <c r="E412" s="21">
        <f>IF($N412="","",SUMIFS(ShareAmt,ShareLink,$C412))</f>
        <v/>
      </c>
      <c r="F412" s="34">
        <f>IF($N412="","",COUNTIF(ShareLink,$C412))</f>
        <v/>
      </c>
      <c r="G412" s="22">
        <f>IF($N412="","",IF(ROUND($E412-$D412,0)=0,"√","▲ "&amp;TEXT($D412-$E412,"#,##0")))</f>
        <v/>
      </c>
      <c r="N412">
        <f>IFERROR(MATCH($C$5&amp;"|"&amp;RIGHT("000000"&amp;396,6),LdAKeyG,0),"")</f>
        <v/>
      </c>
    </row>
    <row r="413">
      <c r="A413" s="10" t="n">
        <v>397</v>
      </c>
      <c r="B413" s="14">
        <f>IF($N413="","",INDEX(LdADate,$N413))</f>
        <v/>
      </c>
      <c r="C413" s="14">
        <f>IF($N413="","",IF(INDEX(LdAId,$N413)="","—",INDEX(LdAId,$N413)))</f>
        <v/>
      </c>
      <c r="D413" s="16">
        <f>IF($N413="","",IF(INDEX(LdAAmt,$N413)=0,"",INDEX(LdAAmt,$N413)))</f>
        <v/>
      </c>
      <c r="E413" s="16">
        <f>IF($N413="","",SUMIFS(ShareAmt,ShareLink,$C413))</f>
        <v/>
      </c>
      <c r="F413" s="33">
        <f>IF($N413="","",COUNTIF(ShareLink,$C413))</f>
        <v/>
      </c>
      <c r="G413" s="17">
        <f>IF($N413="","",IF(ROUND($E413-$D413,0)=0,"√","▲ "&amp;TEXT($D413-$E413,"#,##0")))</f>
        <v/>
      </c>
      <c r="N413">
        <f>IFERROR(MATCH($C$5&amp;"|"&amp;RIGHT("000000"&amp;397,6),LdAKeyG,0),"")</f>
        <v/>
      </c>
    </row>
    <row r="414">
      <c r="A414" s="19" t="n">
        <v>398</v>
      </c>
      <c r="B414" s="20">
        <f>IF($N414="","",INDEX(LdADate,$N414))</f>
        <v/>
      </c>
      <c r="C414" s="20">
        <f>IF($N414="","",IF(INDEX(LdAId,$N414)="","—",INDEX(LdAId,$N414)))</f>
        <v/>
      </c>
      <c r="D414" s="21">
        <f>IF($N414="","",IF(INDEX(LdAAmt,$N414)=0,"",INDEX(LdAAmt,$N414)))</f>
        <v/>
      </c>
      <c r="E414" s="21">
        <f>IF($N414="","",SUMIFS(ShareAmt,ShareLink,$C414))</f>
        <v/>
      </c>
      <c r="F414" s="34">
        <f>IF($N414="","",COUNTIF(ShareLink,$C414))</f>
        <v/>
      </c>
      <c r="G414" s="22">
        <f>IF($N414="","",IF(ROUND($E414-$D414,0)=0,"√","▲ "&amp;TEXT($D414-$E414,"#,##0")))</f>
        <v/>
      </c>
      <c r="N414">
        <f>IFERROR(MATCH($C$5&amp;"|"&amp;RIGHT("000000"&amp;398,6),LdAKeyG,0),"")</f>
        <v/>
      </c>
    </row>
    <row r="415">
      <c r="A415" s="10" t="n">
        <v>399</v>
      </c>
      <c r="B415" s="14">
        <f>IF($N415="","",INDEX(LdADate,$N415))</f>
        <v/>
      </c>
      <c r="C415" s="14">
        <f>IF($N415="","",IF(INDEX(LdAId,$N415)="","—",INDEX(LdAId,$N415)))</f>
        <v/>
      </c>
      <c r="D415" s="16">
        <f>IF($N415="","",IF(INDEX(LdAAmt,$N415)=0,"",INDEX(LdAAmt,$N415)))</f>
        <v/>
      </c>
      <c r="E415" s="16">
        <f>IF($N415="","",SUMIFS(ShareAmt,ShareLink,$C415))</f>
        <v/>
      </c>
      <c r="F415" s="33">
        <f>IF($N415="","",COUNTIF(ShareLink,$C415))</f>
        <v/>
      </c>
      <c r="G415" s="17">
        <f>IF($N415="","",IF(ROUND($E415-$D415,0)=0,"√","▲ "&amp;TEXT($D415-$E415,"#,##0")))</f>
        <v/>
      </c>
      <c r="N415">
        <f>IFERROR(MATCH($C$5&amp;"|"&amp;RIGHT("000000"&amp;399,6),LdAKeyG,0),"")</f>
        <v/>
      </c>
    </row>
    <row r="416">
      <c r="A416" s="19" t="n">
        <v>400</v>
      </c>
      <c r="B416" s="20">
        <f>IF($N416="","",INDEX(LdADate,$N416))</f>
        <v/>
      </c>
      <c r="C416" s="20">
        <f>IF($N416="","",IF(INDEX(LdAId,$N416)="","—",INDEX(LdAId,$N416)))</f>
        <v/>
      </c>
      <c r="D416" s="21">
        <f>IF($N416="","",IF(INDEX(LdAAmt,$N416)=0,"",INDEX(LdAAmt,$N416)))</f>
        <v/>
      </c>
      <c r="E416" s="21">
        <f>IF($N416="","",SUMIFS(ShareAmt,ShareLink,$C416))</f>
        <v/>
      </c>
      <c r="F416" s="34">
        <f>IF($N416="","",COUNTIF(ShareLink,$C416))</f>
        <v/>
      </c>
      <c r="G416" s="22">
        <f>IF($N416="","",IF(ROUND($E416-$D416,0)=0,"√","▲ "&amp;TEXT($D416-$E416,"#,##0")))</f>
        <v/>
      </c>
      <c r="N416">
        <f>IFERROR(MATCH($C$5&amp;"|"&amp;RIGHT("000000"&amp;400,6),LdAKeyG,0),"")</f>
        <v/>
      </c>
    </row>
    <row r="417">
      <c r="A417" s="10" t="n">
        <v>401</v>
      </c>
      <c r="B417" s="14">
        <f>IF($N417="","",INDEX(LdADate,$N417))</f>
        <v/>
      </c>
      <c r="C417" s="14">
        <f>IF($N417="","",IF(INDEX(LdAId,$N417)="","—",INDEX(LdAId,$N417)))</f>
        <v/>
      </c>
      <c r="D417" s="16">
        <f>IF($N417="","",IF(INDEX(LdAAmt,$N417)=0,"",INDEX(LdAAmt,$N417)))</f>
        <v/>
      </c>
      <c r="E417" s="16">
        <f>IF($N417="","",SUMIFS(ShareAmt,ShareLink,$C417))</f>
        <v/>
      </c>
      <c r="F417" s="33">
        <f>IF($N417="","",COUNTIF(ShareLink,$C417))</f>
        <v/>
      </c>
      <c r="G417" s="17">
        <f>IF($N417="","",IF(ROUND($E417-$D417,0)=0,"√","▲ "&amp;TEXT($D417-$E417,"#,##0")))</f>
        <v/>
      </c>
      <c r="N417">
        <f>IFERROR(MATCH($C$5&amp;"|"&amp;RIGHT("000000"&amp;401,6),LdAKeyG,0),"")</f>
        <v/>
      </c>
    </row>
    <row r="418">
      <c r="A418" s="19" t="n">
        <v>402</v>
      </c>
      <c r="B418" s="20">
        <f>IF($N418="","",INDEX(LdADate,$N418))</f>
        <v/>
      </c>
      <c r="C418" s="20">
        <f>IF($N418="","",IF(INDEX(LdAId,$N418)="","—",INDEX(LdAId,$N418)))</f>
        <v/>
      </c>
      <c r="D418" s="21">
        <f>IF($N418="","",IF(INDEX(LdAAmt,$N418)=0,"",INDEX(LdAAmt,$N418)))</f>
        <v/>
      </c>
      <c r="E418" s="21">
        <f>IF($N418="","",SUMIFS(ShareAmt,ShareLink,$C418))</f>
        <v/>
      </c>
      <c r="F418" s="34">
        <f>IF($N418="","",COUNTIF(ShareLink,$C418))</f>
        <v/>
      </c>
      <c r="G418" s="22">
        <f>IF($N418="","",IF(ROUND($E418-$D418,0)=0,"√","▲ "&amp;TEXT($D418-$E418,"#,##0")))</f>
        <v/>
      </c>
      <c r="N418">
        <f>IFERROR(MATCH($C$5&amp;"|"&amp;RIGHT("000000"&amp;402,6),LdAKeyG,0),"")</f>
        <v/>
      </c>
    </row>
    <row r="419">
      <c r="A419" s="10" t="n">
        <v>403</v>
      </c>
      <c r="B419" s="14">
        <f>IF($N419="","",INDEX(LdADate,$N419))</f>
        <v/>
      </c>
      <c r="C419" s="14">
        <f>IF($N419="","",IF(INDEX(LdAId,$N419)="","—",INDEX(LdAId,$N419)))</f>
        <v/>
      </c>
      <c r="D419" s="16">
        <f>IF($N419="","",IF(INDEX(LdAAmt,$N419)=0,"",INDEX(LdAAmt,$N419)))</f>
        <v/>
      </c>
      <c r="E419" s="16">
        <f>IF($N419="","",SUMIFS(ShareAmt,ShareLink,$C419))</f>
        <v/>
      </c>
      <c r="F419" s="33">
        <f>IF($N419="","",COUNTIF(ShareLink,$C419))</f>
        <v/>
      </c>
      <c r="G419" s="17">
        <f>IF($N419="","",IF(ROUND($E419-$D419,0)=0,"√","▲ "&amp;TEXT($D419-$E419,"#,##0")))</f>
        <v/>
      </c>
      <c r="N419">
        <f>IFERROR(MATCH($C$5&amp;"|"&amp;RIGHT("000000"&amp;403,6),LdAKeyG,0),"")</f>
        <v/>
      </c>
    </row>
    <row r="420">
      <c r="A420" s="19" t="n">
        <v>404</v>
      </c>
      <c r="B420" s="20">
        <f>IF($N420="","",INDEX(LdADate,$N420))</f>
        <v/>
      </c>
      <c r="C420" s="20">
        <f>IF($N420="","",IF(INDEX(LdAId,$N420)="","—",INDEX(LdAId,$N420)))</f>
        <v/>
      </c>
      <c r="D420" s="21">
        <f>IF($N420="","",IF(INDEX(LdAAmt,$N420)=0,"",INDEX(LdAAmt,$N420)))</f>
        <v/>
      </c>
      <c r="E420" s="21">
        <f>IF($N420="","",SUMIFS(ShareAmt,ShareLink,$C420))</f>
        <v/>
      </c>
      <c r="F420" s="34">
        <f>IF($N420="","",COUNTIF(ShareLink,$C420))</f>
        <v/>
      </c>
      <c r="G420" s="22">
        <f>IF($N420="","",IF(ROUND($E420-$D420,0)=0,"√","▲ "&amp;TEXT($D420-$E420,"#,##0")))</f>
        <v/>
      </c>
      <c r="N420">
        <f>IFERROR(MATCH($C$5&amp;"|"&amp;RIGHT("000000"&amp;404,6),LdAKeyG,0),"")</f>
        <v/>
      </c>
    </row>
    <row r="421">
      <c r="A421" s="10" t="n">
        <v>405</v>
      </c>
      <c r="B421" s="14">
        <f>IF($N421="","",INDEX(LdADate,$N421))</f>
        <v/>
      </c>
      <c r="C421" s="14">
        <f>IF($N421="","",IF(INDEX(LdAId,$N421)="","—",INDEX(LdAId,$N421)))</f>
        <v/>
      </c>
      <c r="D421" s="16">
        <f>IF($N421="","",IF(INDEX(LdAAmt,$N421)=0,"",INDEX(LdAAmt,$N421)))</f>
        <v/>
      </c>
      <c r="E421" s="16">
        <f>IF($N421="","",SUMIFS(ShareAmt,ShareLink,$C421))</f>
        <v/>
      </c>
      <c r="F421" s="33">
        <f>IF($N421="","",COUNTIF(ShareLink,$C421))</f>
        <v/>
      </c>
      <c r="G421" s="17">
        <f>IF($N421="","",IF(ROUND($E421-$D421,0)=0,"√","▲ "&amp;TEXT($D421-$E421,"#,##0")))</f>
        <v/>
      </c>
      <c r="N421">
        <f>IFERROR(MATCH($C$5&amp;"|"&amp;RIGHT("000000"&amp;405,6),LdAKeyG,0),"")</f>
        <v/>
      </c>
    </row>
    <row r="422">
      <c r="A422" s="19" t="n">
        <v>406</v>
      </c>
      <c r="B422" s="20">
        <f>IF($N422="","",INDEX(LdADate,$N422))</f>
        <v/>
      </c>
      <c r="C422" s="20">
        <f>IF($N422="","",IF(INDEX(LdAId,$N422)="","—",INDEX(LdAId,$N422)))</f>
        <v/>
      </c>
      <c r="D422" s="21">
        <f>IF($N422="","",IF(INDEX(LdAAmt,$N422)=0,"",INDEX(LdAAmt,$N422)))</f>
        <v/>
      </c>
      <c r="E422" s="21">
        <f>IF($N422="","",SUMIFS(ShareAmt,ShareLink,$C422))</f>
        <v/>
      </c>
      <c r="F422" s="34">
        <f>IF($N422="","",COUNTIF(ShareLink,$C422))</f>
        <v/>
      </c>
      <c r="G422" s="22">
        <f>IF($N422="","",IF(ROUND($E422-$D422,0)=0,"√","▲ "&amp;TEXT($D422-$E422,"#,##0")))</f>
        <v/>
      </c>
      <c r="N422">
        <f>IFERROR(MATCH($C$5&amp;"|"&amp;RIGHT("000000"&amp;406,6),LdAKeyG,0),"")</f>
        <v/>
      </c>
    </row>
    <row r="423">
      <c r="A423" s="10" t="n">
        <v>407</v>
      </c>
      <c r="B423" s="14">
        <f>IF($N423="","",INDEX(LdADate,$N423))</f>
        <v/>
      </c>
      <c r="C423" s="14">
        <f>IF($N423="","",IF(INDEX(LdAId,$N423)="","—",INDEX(LdAId,$N423)))</f>
        <v/>
      </c>
      <c r="D423" s="16">
        <f>IF($N423="","",IF(INDEX(LdAAmt,$N423)=0,"",INDEX(LdAAmt,$N423)))</f>
        <v/>
      </c>
      <c r="E423" s="16">
        <f>IF($N423="","",SUMIFS(ShareAmt,ShareLink,$C423))</f>
        <v/>
      </c>
      <c r="F423" s="33">
        <f>IF($N423="","",COUNTIF(ShareLink,$C423))</f>
        <v/>
      </c>
      <c r="G423" s="17">
        <f>IF($N423="","",IF(ROUND($E423-$D423,0)=0,"√","▲ "&amp;TEXT($D423-$E423,"#,##0")))</f>
        <v/>
      </c>
      <c r="N423">
        <f>IFERROR(MATCH($C$5&amp;"|"&amp;RIGHT("000000"&amp;407,6),LdAKeyG,0),"")</f>
        <v/>
      </c>
    </row>
    <row r="424">
      <c r="A424" s="19" t="n">
        <v>408</v>
      </c>
      <c r="B424" s="20">
        <f>IF($N424="","",INDEX(LdADate,$N424))</f>
        <v/>
      </c>
      <c r="C424" s="20">
        <f>IF($N424="","",IF(INDEX(LdAId,$N424)="","—",INDEX(LdAId,$N424)))</f>
        <v/>
      </c>
      <c r="D424" s="21">
        <f>IF($N424="","",IF(INDEX(LdAAmt,$N424)=0,"",INDEX(LdAAmt,$N424)))</f>
        <v/>
      </c>
      <c r="E424" s="21">
        <f>IF($N424="","",SUMIFS(ShareAmt,ShareLink,$C424))</f>
        <v/>
      </c>
      <c r="F424" s="34">
        <f>IF($N424="","",COUNTIF(ShareLink,$C424))</f>
        <v/>
      </c>
      <c r="G424" s="22">
        <f>IF($N424="","",IF(ROUND($E424-$D424,0)=0,"√","▲ "&amp;TEXT($D424-$E424,"#,##0")))</f>
        <v/>
      </c>
      <c r="N424">
        <f>IFERROR(MATCH($C$5&amp;"|"&amp;RIGHT("000000"&amp;408,6),LdAKeyG,0),"")</f>
        <v/>
      </c>
    </row>
    <row r="425">
      <c r="A425" s="10" t="n">
        <v>409</v>
      </c>
      <c r="B425" s="14">
        <f>IF($N425="","",INDEX(LdADate,$N425))</f>
        <v/>
      </c>
      <c r="C425" s="14">
        <f>IF($N425="","",IF(INDEX(LdAId,$N425)="","—",INDEX(LdAId,$N425)))</f>
        <v/>
      </c>
      <c r="D425" s="16">
        <f>IF($N425="","",IF(INDEX(LdAAmt,$N425)=0,"",INDEX(LdAAmt,$N425)))</f>
        <v/>
      </c>
      <c r="E425" s="16">
        <f>IF($N425="","",SUMIFS(ShareAmt,ShareLink,$C425))</f>
        <v/>
      </c>
      <c r="F425" s="33">
        <f>IF($N425="","",COUNTIF(ShareLink,$C425))</f>
        <v/>
      </c>
      <c r="G425" s="17">
        <f>IF($N425="","",IF(ROUND($E425-$D425,0)=0,"√","▲ "&amp;TEXT($D425-$E425,"#,##0")))</f>
        <v/>
      </c>
      <c r="N425">
        <f>IFERROR(MATCH($C$5&amp;"|"&amp;RIGHT("000000"&amp;409,6),LdAKeyG,0),"")</f>
        <v/>
      </c>
    </row>
    <row r="426">
      <c r="A426" s="19" t="n">
        <v>410</v>
      </c>
      <c r="B426" s="20">
        <f>IF($N426="","",INDEX(LdADate,$N426))</f>
        <v/>
      </c>
      <c r="C426" s="20">
        <f>IF($N426="","",IF(INDEX(LdAId,$N426)="","—",INDEX(LdAId,$N426)))</f>
        <v/>
      </c>
      <c r="D426" s="21">
        <f>IF($N426="","",IF(INDEX(LdAAmt,$N426)=0,"",INDEX(LdAAmt,$N426)))</f>
        <v/>
      </c>
      <c r="E426" s="21">
        <f>IF($N426="","",SUMIFS(ShareAmt,ShareLink,$C426))</f>
        <v/>
      </c>
      <c r="F426" s="34">
        <f>IF($N426="","",COUNTIF(ShareLink,$C426))</f>
        <v/>
      </c>
      <c r="G426" s="22">
        <f>IF($N426="","",IF(ROUND($E426-$D426,0)=0,"√","▲ "&amp;TEXT($D426-$E426,"#,##0")))</f>
        <v/>
      </c>
      <c r="N426">
        <f>IFERROR(MATCH($C$5&amp;"|"&amp;RIGHT("000000"&amp;410,6),LdAKeyG,0),"")</f>
        <v/>
      </c>
    </row>
    <row r="427">
      <c r="A427" s="10" t="n">
        <v>411</v>
      </c>
      <c r="B427" s="14">
        <f>IF($N427="","",INDEX(LdADate,$N427))</f>
        <v/>
      </c>
      <c r="C427" s="14">
        <f>IF($N427="","",IF(INDEX(LdAId,$N427)="","—",INDEX(LdAId,$N427)))</f>
        <v/>
      </c>
      <c r="D427" s="16">
        <f>IF($N427="","",IF(INDEX(LdAAmt,$N427)=0,"",INDEX(LdAAmt,$N427)))</f>
        <v/>
      </c>
      <c r="E427" s="16">
        <f>IF($N427="","",SUMIFS(ShareAmt,ShareLink,$C427))</f>
        <v/>
      </c>
      <c r="F427" s="33">
        <f>IF($N427="","",COUNTIF(ShareLink,$C427))</f>
        <v/>
      </c>
      <c r="G427" s="17">
        <f>IF($N427="","",IF(ROUND($E427-$D427,0)=0,"√","▲ "&amp;TEXT($D427-$E427,"#,##0")))</f>
        <v/>
      </c>
      <c r="N427">
        <f>IFERROR(MATCH($C$5&amp;"|"&amp;RIGHT("000000"&amp;411,6),LdAKeyG,0),"")</f>
        <v/>
      </c>
    </row>
    <row r="428">
      <c r="A428" s="19" t="n">
        <v>412</v>
      </c>
      <c r="B428" s="20">
        <f>IF($N428="","",INDEX(LdADate,$N428))</f>
        <v/>
      </c>
      <c r="C428" s="20">
        <f>IF($N428="","",IF(INDEX(LdAId,$N428)="","—",INDEX(LdAId,$N428)))</f>
        <v/>
      </c>
      <c r="D428" s="21">
        <f>IF($N428="","",IF(INDEX(LdAAmt,$N428)=0,"",INDEX(LdAAmt,$N428)))</f>
        <v/>
      </c>
      <c r="E428" s="21">
        <f>IF($N428="","",SUMIFS(ShareAmt,ShareLink,$C428))</f>
        <v/>
      </c>
      <c r="F428" s="34">
        <f>IF($N428="","",COUNTIF(ShareLink,$C428))</f>
        <v/>
      </c>
      <c r="G428" s="22">
        <f>IF($N428="","",IF(ROUND($E428-$D428,0)=0,"√","▲ "&amp;TEXT($D428-$E428,"#,##0")))</f>
        <v/>
      </c>
      <c r="N428">
        <f>IFERROR(MATCH($C$5&amp;"|"&amp;RIGHT("000000"&amp;412,6),LdAKeyG,0),"")</f>
        <v/>
      </c>
    </row>
    <row r="429">
      <c r="A429" s="10" t="n">
        <v>413</v>
      </c>
      <c r="B429" s="14">
        <f>IF($N429="","",INDEX(LdADate,$N429))</f>
        <v/>
      </c>
      <c r="C429" s="14">
        <f>IF($N429="","",IF(INDEX(LdAId,$N429)="","—",INDEX(LdAId,$N429)))</f>
        <v/>
      </c>
      <c r="D429" s="16">
        <f>IF($N429="","",IF(INDEX(LdAAmt,$N429)=0,"",INDEX(LdAAmt,$N429)))</f>
        <v/>
      </c>
      <c r="E429" s="16">
        <f>IF($N429="","",SUMIFS(ShareAmt,ShareLink,$C429))</f>
        <v/>
      </c>
      <c r="F429" s="33">
        <f>IF($N429="","",COUNTIF(ShareLink,$C429))</f>
        <v/>
      </c>
      <c r="G429" s="17">
        <f>IF($N429="","",IF(ROUND($E429-$D429,0)=0,"√","▲ "&amp;TEXT($D429-$E429,"#,##0")))</f>
        <v/>
      </c>
      <c r="N429">
        <f>IFERROR(MATCH($C$5&amp;"|"&amp;RIGHT("000000"&amp;413,6),LdAKeyG,0),"")</f>
        <v/>
      </c>
    </row>
    <row r="430">
      <c r="A430" s="19" t="n">
        <v>414</v>
      </c>
      <c r="B430" s="20">
        <f>IF($N430="","",INDEX(LdADate,$N430))</f>
        <v/>
      </c>
      <c r="C430" s="20">
        <f>IF($N430="","",IF(INDEX(LdAId,$N430)="","—",INDEX(LdAId,$N430)))</f>
        <v/>
      </c>
      <c r="D430" s="21">
        <f>IF($N430="","",IF(INDEX(LdAAmt,$N430)=0,"",INDEX(LdAAmt,$N430)))</f>
        <v/>
      </c>
      <c r="E430" s="21">
        <f>IF($N430="","",SUMIFS(ShareAmt,ShareLink,$C430))</f>
        <v/>
      </c>
      <c r="F430" s="34">
        <f>IF($N430="","",COUNTIF(ShareLink,$C430))</f>
        <v/>
      </c>
      <c r="G430" s="22">
        <f>IF($N430="","",IF(ROUND($E430-$D430,0)=0,"√","▲ "&amp;TEXT($D430-$E430,"#,##0")))</f>
        <v/>
      </c>
      <c r="N430">
        <f>IFERROR(MATCH($C$5&amp;"|"&amp;RIGHT("000000"&amp;414,6),LdAKeyG,0),"")</f>
        <v/>
      </c>
    </row>
    <row r="431">
      <c r="A431" s="10" t="n">
        <v>415</v>
      </c>
      <c r="B431" s="14">
        <f>IF($N431="","",INDEX(LdADate,$N431))</f>
        <v/>
      </c>
      <c r="C431" s="14">
        <f>IF($N431="","",IF(INDEX(LdAId,$N431)="","—",INDEX(LdAId,$N431)))</f>
        <v/>
      </c>
      <c r="D431" s="16">
        <f>IF($N431="","",IF(INDEX(LdAAmt,$N431)=0,"",INDEX(LdAAmt,$N431)))</f>
        <v/>
      </c>
      <c r="E431" s="16">
        <f>IF($N431="","",SUMIFS(ShareAmt,ShareLink,$C431))</f>
        <v/>
      </c>
      <c r="F431" s="33">
        <f>IF($N431="","",COUNTIF(ShareLink,$C431))</f>
        <v/>
      </c>
      <c r="G431" s="17">
        <f>IF($N431="","",IF(ROUND($E431-$D431,0)=0,"√","▲ "&amp;TEXT($D431-$E431,"#,##0")))</f>
        <v/>
      </c>
      <c r="N431">
        <f>IFERROR(MATCH($C$5&amp;"|"&amp;RIGHT("000000"&amp;415,6),LdAKeyG,0),"")</f>
        <v/>
      </c>
    </row>
    <row r="432">
      <c r="A432" s="19" t="n">
        <v>416</v>
      </c>
      <c r="B432" s="20">
        <f>IF($N432="","",INDEX(LdADate,$N432))</f>
        <v/>
      </c>
      <c r="C432" s="20">
        <f>IF($N432="","",IF(INDEX(LdAId,$N432)="","—",INDEX(LdAId,$N432)))</f>
        <v/>
      </c>
      <c r="D432" s="21">
        <f>IF($N432="","",IF(INDEX(LdAAmt,$N432)=0,"",INDEX(LdAAmt,$N432)))</f>
        <v/>
      </c>
      <c r="E432" s="21">
        <f>IF($N432="","",SUMIFS(ShareAmt,ShareLink,$C432))</f>
        <v/>
      </c>
      <c r="F432" s="34">
        <f>IF($N432="","",COUNTIF(ShareLink,$C432))</f>
        <v/>
      </c>
      <c r="G432" s="22">
        <f>IF($N432="","",IF(ROUND($E432-$D432,0)=0,"√","▲ "&amp;TEXT($D432-$E432,"#,##0")))</f>
        <v/>
      </c>
      <c r="N432">
        <f>IFERROR(MATCH($C$5&amp;"|"&amp;RIGHT("000000"&amp;416,6),LdAKeyG,0),"")</f>
        <v/>
      </c>
    </row>
    <row r="433">
      <c r="A433" s="10" t="n">
        <v>417</v>
      </c>
      <c r="B433" s="14">
        <f>IF($N433="","",INDEX(LdADate,$N433))</f>
        <v/>
      </c>
      <c r="C433" s="14">
        <f>IF($N433="","",IF(INDEX(LdAId,$N433)="","—",INDEX(LdAId,$N433)))</f>
        <v/>
      </c>
      <c r="D433" s="16">
        <f>IF($N433="","",IF(INDEX(LdAAmt,$N433)=0,"",INDEX(LdAAmt,$N433)))</f>
        <v/>
      </c>
      <c r="E433" s="16">
        <f>IF($N433="","",SUMIFS(ShareAmt,ShareLink,$C433))</f>
        <v/>
      </c>
      <c r="F433" s="33">
        <f>IF($N433="","",COUNTIF(ShareLink,$C433))</f>
        <v/>
      </c>
      <c r="G433" s="17">
        <f>IF($N433="","",IF(ROUND($E433-$D433,0)=0,"√","▲ "&amp;TEXT($D433-$E433,"#,##0")))</f>
        <v/>
      </c>
      <c r="N433">
        <f>IFERROR(MATCH($C$5&amp;"|"&amp;RIGHT("000000"&amp;417,6),LdAKeyG,0),"")</f>
        <v/>
      </c>
    </row>
    <row r="434">
      <c r="A434" s="19" t="n">
        <v>418</v>
      </c>
      <c r="B434" s="20">
        <f>IF($N434="","",INDEX(LdADate,$N434))</f>
        <v/>
      </c>
      <c r="C434" s="20">
        <f>IF($N434="","",IF(INDEX(LdAId,$N434)="","—",INDEX(LdAId,$N434)))</f>
        <v/>
      </c>
      <c r="D434" s="21">
        <f>IF($N434="","",IF(INDEX(LdAAmt,$N434)=0,"",INDEX(LdAAmt,$N434)))</f>
        <v/>
      </c>
      <c r="E434" s="21">
        <f>IF($N434="","",SUMIFS(ShareAmt,ShareLink,$C434))</f>
        <v/>
      </c>
      <c r="F434" s="34">
        <f>IF($N434="","",COUNTIF(ShareLink,$C434))</f>
        <v/>
      </c>
      <c r="G434" s="22">
        <f>IF($N434="","",IF(ROUND($E434-$D434,0)=0,"√","▲ "&amp;TEXT($D434-$E434,"#,##0")))</f>
        <v/>
      </c>
      <c r="N434">
        <f>IFERROR(MATCH($C$5&amp;"|"&amp;RIGHT("000000"&amp;418,6),LdAKeyG,0),"")</f>
        <v/>
      </c>
    </row>
    <row r="435">
      <c r="A435" s="10" t="n">
        <v>419</v>
      </c>
      <c r="B435" s="14">
        <f>IF($N435="","",INDEX(LdADate,$N435))</f>
        <v/>
      </c>
      <c r="C435" s="14">
        <f>IF($N435="","",IF(INDEX(LdAId,$N435)="","—",INDEX(LdAId,$N435)))</f>
        <v/>
      </c>
      <c r="D435" s="16">
        <f>IF($N435="","",IF(INDEX(LdAAmt,$N435)=0,"",INDEX(LdAAmt,$N435)))</f>
        <v/>
      </c>
      <c r="E435" s="16">
        <f>IF($N435="","",SUMIFS(ShareAmt,ShareLink,$C435))</f>
        <v/>
      </c>
      <c r="F435" s="33">
        <f>IF($N435="","",COUNTIF(ShareLink,$C435))</f>
        <v/>
      </c>
      <c r="G435" s="17">
        <f>IF($N435="","",IF(ROUND($E435-$D435,0)=0,"√","▲ "&amp;TEXT($D435-$E435,"#,##0")))</f>
        <v/>
      </c>
      <c r="N435">
        <f>IFERROR(MATCH($C$5&amp;"|"&amp;RIGHT("000000"&amp;419,6),LdAKeyG,0),"")</f>
        <v/>
      </c>
    </row>
    <row r="436">
      <c r="A436" s="19" t="n">
        <v>420</v>
      </c>
      <c r="B436" s="20">
        <f>IF($N436="","",INDEX(LdADate,$N436))</f>
        <v/>
      </c>
      <c r="C436" s="20">
        <f>IF($N436="","",IF(INDEX(LdAId,$N436)="","—",INDEX(LdAId,$N436)))</f>
        <v/>
      </c>
      <c r="D436" s="21">
        <f>IF($N436="","",IF(INDEX(LdAAmt,$N436)=0,"",INDEX(LdAAmt,$N436)))</f>
        <v/>
      </c>
      <c r="E436" s="21">
        <f>IF($N436="","",SUMIFS(ShareAmt,ShareLink,$C436))</f>
        <v/>
      </c>
      <c r="F436" s="34">
        <f>IF($N436="","",COUNTIF(ShareLink,$C436))</f>
        <v/>
      </c>
      <c r="G436" s="22">
        <f>IF($N436="","",IF(ROUND($E436-$D436,0)=0,"√","▲ "&amp;TEXT($D436-$E436,"#,##0")))</f>
        <v/>
      </c>
      <c r="N436">
        <f>IFERROR(MATCH($C$5&amp;"|"&amp;RIGHT("000000"&amp;420,6),LdAKeyG,0),"")</f>
        <v/>
      </c>
    </row>
    <row r="437">
      <c r="A437" s="10" t="n">
        <v>421</v>
      </c>
      <c r="B437" s="14">
        <f>IF($N437="","",INDEX(LdADate,$N437))</f>
        <v/>
      </c>
      <c r="C437" s="14">
        <f>IF($N437="","",IF(INDEX(LdAId,$N437)="","—",INDEX(LdAId,$N437)))</f>
        <v/>
      </c>
      <c r="D437" s="16">
        <f>IF($N437="","",IF(INDEX(LdAAmt,$N437)=0,"",INDEX(LdAAmt,$N437)))</f>
        <v/>
      </c>
      <c r="E437" s="16">
        <f>IF($N437="","",SUMIFS(ShareAmt,ShareLink,$C437))</f>
        <v/>
      </c>
      <c r="F437" s="33">
        <f>IF($N437="","",COUNTIF(ShareLink,$C437))</f>
        <v/>
      </c>
      <c r="G437" s="17">
        <f>IF($N437="","",IF(ROUND($E437-$D437,0)=0,"√","▲ "&amp;TEXT($D437-$E437,"#,##0")))</f>
        <v/>
      </c>
      <c r="N437">
        <f>IFERROR(MATCH($C$5&amp;"|"&amp;RIGHT("000000"&amp;421,6),LdAKeyG,0),"")</f>
        <v/>
      </c>
    </row>
    <row r="438">
      <c r="A438" s="19" t="n">
        <v>422</v>
      </c>
      <c r="B438" s="20">
        <f>IF($N438="","",INDEX(LdADate,$N438))</f>
        <v/>
      </c>
      <c r="C438" s="20">
        <f>IF($N438="","",IF(INDEX(LdAId,$N438)="","—",INDEX(LdAId,$N438)))</f>
        <v/>
      </c>
      <c r="D438" s="21">
        <f>IF($N438="","",IF(INDEX(LdAAmt,$N438)=0,"",INDEX(LdAAmt,$N438)))</f>
        <v/>
      </c>
      <c r="E438" s="21">
        <f>IF($N438="","",SUMIFS(ShareAmt,ShareLink,$C438))</f>
        <v/>
      </c>
      <c r="F438" s="34">
        <f>IF($N438="","",COUNTIF(ShareLink,$C438))</f>
        <v/>
      </c>
      <c r="G438" s="22">
        <f>IF($N438="","",IF(ROUND($E438-$D438,0)=0,"√","▲ "&amp;TEXT($D438-$E438,"#,##0")))</f>
        <v/>
      </c>
      <c r="N438">
        <f>IFERROR(MATCH($C$5&amp;"|"&amp;RIGHT("000000"&amp;422,6),LdAKeyG,0),"")</f>
        <v/>
      </c>
    </row>
    <row r="439">
      <c r="A439" s="10" t="n">
        <v>423</v>
      </c>
      <c r="B439" s="14">
        <f>IF($N439="","",INDEX(LdADate,$N439))</f>
        <v/>
      </c>
      <c r="C439" s="14">
        <f>IF($N439="","",IF(INDEX(LdAId,$N439)="","—",INDEX(LdAId,$N439)))</f>
        <v/>
      </c>
      <c r="D439" s="16">
        <f>IF($N439="","",IF(INDEX(LdAAmt,$N439)=0,"",INDEX(LdAAmt,$N439)))</f>
        <v/>
      </c>
      <c r="E439" s="16">
        <f>IF($N439="","",SUMIFS(ShareAmt,ShareLink,$C439))</f>
        <v/>
      </c>
      <c r="F439" s="33">
        <f>IF($N439="","",COUNTIF(ShareLink,$C439))</f>
        <v/>
      </c>
      <c r="G439" s="17">
        <f>IF($N439="","",IF(ROUND($E439-$D439,0)=0,"√","▲ "&amp;TEXT($D439-$E439,"#,##0")))</f>
        <v/>
      </c>
      <c r="N439">
        <f>IFERROR(MATCH($C$5&amp;"|"&amp;RIGHT("000000"&amp;423,6),LdAKeyG,0),"")</f>
        <v/>
      </c>
    </row>
    <row r="440">
      <c r="A440" s="19" t="n">
        <v>424</v>
      </c>
      <c r="B440" s="20">
        <f>IF($N440="","",INDEX(LdADate,$N440))</f>
        <v/>
      </c>
      <c r="C440" s="20">
        <f>IF($N440="","",IF(INDEX(LdAId,$N440)="","—",INDEX(LdAId,$N440)))</f>
        <v/>
      </c>
      <c r="D440" s="21">
        <f>IF($N440="","",IF(INDEX(LdAAmt,$N440)=0,"",INDEX(LdAAmt,$N440)))</f>
        <v/>
      </c>
      <c r="E440" s="21">
        <f>IF($N440="","",SUMIFS(ShareAmt,ShareLink,$C440))</f>
        <v/>
      </c>
      <c r="F440" s="34">
        <f>IF($N440="","",COUNTIF(ShareLink,$C440))</f>
        <v/>
      </c>
      <c r="G440" s="22">
        <f>IF($N440="","",IF(ROUND($E440-$D440,0)=0,"√","▲ "&amp;TEXT($D440-$E440,"#,##0")))</f>
        <v/>
      </c>
      <c r="N440">
        <f>IFERROR(MATCH($C$5&amp;"|"&amp;RIGHT("000000"&amp;424,6),LdAKeyG,0),"")</f>
        <v/>
      </c>
    </row>
    <row r="441">
      <c r="A441" s="10" t="n">
        <v>425</v>
      </c>
      <c r="B441" s="14">
        <f>IF($N441="","",INDEX(LdADate,$N441))</f>
        <v/>
      </c>
      <c r="C441" s="14">
        <f>IF($N441="","",IF(INDEX(LdAId,$N441)="","—",INDEX(LdAId,$N441)))</f>
        <v/>
      </c>
      <c r="D441" s="16">
        <f>IF($N441="","",IF(INDEX(LdAAmt,$N441)=0,"",INDEX(LdAAmt,$N441)))</f>
        <v/>
      </c>
      <c r="E441" s="16">
        <f>IF($N441="","",SUMIFS(ShareAmt,ShareLink,$C441))</f>
        <v/>
      </c>
      <c r="F441" s="33">
        <f>IF($N441="","",COUNTIF(ShareLink,$C441))</f>
        <v/>
      </c>
      <c r="G441" s="17">
        <f>IF($N441="","",IF(ROUND($E441-$D441,0)=0,"√","▲ "&amp;TEXT($D441-$E441,"#,##0")))</f>
        <v/>
      </c>
      <c r="N441">
        <f>IFERROR(MATCH($C$5&amp;"|"&amp;RIGHT("000000"&amp;425,6),LdAKeyG,0),"")</f>
        <v/>
      </c>
    </row>
    <row r="442">
      <c r="A442" s="19" t="n">
        <v>426</v>
      </c>
      <c r="B442" s="20">
        <f>IF($N442="","",INDEX(LdADate,$N442))</f>
        <v/>
      </c>
      <c r="C442" s="20">
        <f>IF($N442="","",IF(INDEX(LdAId,$N442)="","—",INDEX(LdAId,$N442)))</f>
        <v/>
      </c>
      <c r="D442" s="21">
        <f>IF($N442="","",IF(INDEX(LdAAmt,$N442)=0,"",INDEX(LdAAmt,$N442)))</f>
        <v/>
      </c>
      <c r="E442" s="21">
        <f>IF($N442="","",SUMIFS(ShareAmt,ShareLink,$C442))</f>
        <v/>
      </c>
      <c r="F442" s="34">
        <f>IF($N442="","",COUNTIF(ShareLink,$C442))</f>
        <v/>
      </c>
      <c r="G442" s="22">
        <f>IF($N442="","",IF(ROUND($E442-$D442,0)=0,"√","▲ "&amp;TEXT($D442-$E442,"#,##0")))</f>
        <v/>
      </c>
      <c r="N442">
        <f>IFERROR(MATCH($C$5&amp;"|"&amp;RIGHT("000000"&amp;426,6),LdAKeyG,0),"")</f>
        <v/>
      </c>
    </row>
    <row r="443">
      <c r="A443" s="10" t="n">
        <v>427</v>
      </c>
      <c r="B443" s="14">
        <f>IF($N443="","",INDEX(LdADate,$N443))</f>
        <v/>
      </c>
      <c r="C443" s="14">
        <f>IF($N443="","",IF(INDEX(LdAId,$N443)="","—",INDEX(LdAId,$N443)))</f>
        <v/>
      </c>
      <c r="D443" s="16">
        <f>IF($N443="","",IF(INDEX(LdAAmt,$N443)=0,"",INDEX(LdAAmt,$N443)))</f>
        <v/>
      </c>
      <c r="E443" s="16">
        <f>IF($N443="","",SUMIFS(ShareAmt,ShareLink,$C443))</f>
        <v/>
      </c>
      <c r="F443" s="33">
        <f>IF($N443="","",COUNTIF(ShareLink,$C443))</f>
        <v/>
      </c>
      <c r="G443" s="17">
        <f>IF($N443="","",IF(ROUND($E443-$D443,0)=0,"√","▲ "&amp;TEXT($D443-$E443,"#,##0")))</f>
        <v/>
      </c>
      <c r="N443">
        <f>IFERROR(MATCH($C$5&amp;"|"&amp;RIGHT("000000"&amp;427,6),LdAKeyG,0),"")</f>
        <v/>
      </c>
    </row>
    <row r="444">
      <c r="A444" s="19" t="n">
        <v>428</v>
      </c>
      <c r="B444" s="20">
        <f>IF($N444="","",INDEX(LdADate,$N444))</f>
        <v/>
      </c>
      <c r="C444" s="20">
        <f>IF($N444="","",IF(INDEX(LdAId,$N444)="","—",INDEX(LdAId,$N444)))</f>
        <v/>
      </c>
      <c r="D444" s="21">
        <f>IF($N444="","",IF(INDEX(LdAAmt,$N444)=0,"",INDEX(LdAAmt,$N444)))</f>
        <v/>
      </c>
      <c r="E444" s="21">
        <f>IF($N444="","",SUMIFS(ShareAmt,ShareLink,$C444))</f>
        <v/>
      </c>
      <c r="F444" s="34">
        <f>IF($N444="","",COUNTIF(ShareLink,$C444))</f>
        <v/>
      </c>
      <c r="G444" s="22">
        <f>IF($N444="","",IF(ROUND($E444-$D444,0)=0,"√","▲ "&amp;TEXT($D444-$E444,"#,##0")))</f>
        <v/>
      </c>
      <c r="N444">
        <f>IFERROR(MATCH($C$5&amp;"|"&amp;RIGHT("000000"&amp;428,6),LdAKeyG,0),"")</f>
        <v/>
      </c>
    </row>
    <row r="445">
      <c r="A445" s="10" t="n">
        <v>429</v>
      </c>
      <c r="B445" s="14">
        <f>IF($N445="","",INDEX(LdADate,$N445))</f>
        <v/>
      </c>
      <c r="C445" s="14">
        <f>IF($N445="","",IF(INDEX(LdAId,$N445)="","—",INDEX(LdAId,$N445)))</f>
        <v/>
      </c>
      <c r="D445" s="16">
        <f>IF($N445="","",IF(INDEX(LdAAmt,$N445)=0,"",INDEX(LdAAmt,$N445)))</f>
        <v/>
      </c>
      <c r="E445" s="16">
        <f>IF($N445="","",SUMIFS(ShareAmt,ShareLink,$C445))</f>
        <v/>
      </c>
      <c r="F445" s="33">
        <f>IF($N445="","",COUNTIF(ShareLink,$C445))</f>
        <v/>
      </c>
      <c r="G445" s="17">
        <f>IF($N445="","",IF(ROUND($E445-$D445,0)=0,"√","▲ "&amp;TEXT($D445-$E445,"#,##0")))</f>
        <v/>
      </c>
      <c r="N445">
        <f>IFERROR(MATCH($C$5&amp;"|"&amp;RIGHT("000000"&amp;429,6),LdAKeyG,0),"")</f>
        <v/>
      </c>
    </row>
    <row r="446">
      <c r="A446" s="19" t="n">
        <v>430</v>
      </c>
      <c r="B446" s="20">
        <f>IF($N446="","",INDEX(LdADate,$N446))</f>
        <v/>
      </c>
      <c r="C446" s="20">
        <f>IF($N446="","",IF(INDEX(LdAId,$N446)="","—",INDEX(LdAId,$N446)))</f>
        <v/>
      </c>
      <c r="D446" s="21">
        <f>IF($N446="","",IF(INDEX(LdAAmt,$N446)=0,"",INDEX(LdAAmt,$N446)))</f>
        <v/>
      </c>
      <c r="E446" s="21">
        <f>IF($N446="","",SUMIFS(ShareAmt,ShareLink,$C446))</f>
        <v/>
      </c>
      <c r="F446" s="34">
        <f>IF($N446="","",COUNTIF(ShareLink,$C446))</f>
        <v/>
      </c>
      <c r="G446" s="22">
        <f>IF($N446="","",IF(ROUND($E446-$D446,0)=0,"√","▲ "&amp;TEXT($D446-$E446,"#,##0")))</f>
        <v/>
      </c>
      <c r="N446">
        <f>IFERROR(MATCH($C$5&amp;"|"&amp;RIGHT("000000"&amp;430,6),LdAKeyG,0),"")</f>
        <v/>
      </c>
    </row>
    <row r="447">
      <c r="A447" s="10" t="n">
        <v>431</v>
      </c>
      <c r="B447" s="14">
        <f>IF($N447="","",INDEX(LdADate,$N447))</f>
        <v/>
      </c>
      <c r="C447" s="14">
        <f>IF($N447="","",IF(INDEX(LdAId,$N447)="","—",INDEX(LdAId,$N447)))</f>
        <v/>
      </c>
      <c r="D447" s="16">
        <f>IF($N447="","",IF(INDEX(LdAAmt,$N447)=0,"",INDEX(LdAAmt,$N447)))</f>
        <v/>
      </c>
      <c r="E447" s="16">
        <f>IF($N447="","",SUMIFS(ShareAmt,ShareLink,$C447))</f>
        <v/>
      </c>
      <c r="F447" s="33">
        <f>IF($N447="","",COUNTIF(ShareLink,$C447))</f>
        <v/>
      </c>
      <c r="G447" s="17">
        <f>IF($N447="","",IF(ROUND($E447-$D447,0)=0,"√","▲ "&amp;TEXT($D447-$E447,"#,##0")))</f>
        <v/>
      </c>
      <c r="N447">
        <f>IFERROR(MATCH($C$5&amp;"|"&amp;RIGHT("000000"&amp;431,6),LdAKeyG,0),"")</f>
        <v/>
      </c>
    </row>
    <row r="448">
      <c r="A448" s="19" t="n">
        <v>432</v>
      </c>
      <c r="B448" s="20">
        <f>IF($N448="","",INDEX(LdADate,$N448))</f>
        <v/>
      </c>
      <c r="C448" s="20">
        <f>IF($N448="","",IF(INDEX(LdAId,$N448)="","—",INDEX(LdAId,$N448)))</f>
        <v/>
      </c>
      <c r="D448" s="21">
        <f>IF($N448="","",IF(INDEX(LdAAmt,$N448)=0,"",INDEX(LdAAmt,$N448)))</f>
        <v/>
      </c>
      <c r="E448" s="21">
        <f>IF($N448="","",SUMIFS(ShareAmt,ShareLink,$C448))</f>
        <v/>
      </c>
      <c r="F448" s="34">
        <f>IF($N448="","",COUNTIF(ShareLink,$C448))</f>
        <v/>
      </c>
      <c r="G448" s="22">
        <f>IF($N448="","",IF(ROUND($E448-$D448,0)=0,"√","▲ "&amp;TEXT($D448-$E448,"#,##0")))</f>
        <v/>
      </c>
      <c r="N448">
        <f>IFERROR(MATCH($C$5&amp;"|"&amp;RIGHT("000000"&amp;432,6),LdAKeyG,0),"")</f>
        <v/>
      </c>
    </row>
    <row r="449">
      <c r="A449" s="10" t="n">
        <v>433</v>
      </c>
      <c r="B449" s="14">
        <f>IF($N449="","",INDEX(LdADate,$N449))</f>
        <v/>
      </c>
      <c r="C449" s="14">
        <f>IF($N449="","",IF(INDEX(LdAId,$N449)="","—",INDEX(LdAId,$N449)))</f>
        <v/>
      </c>
      <c r="D449" s="16">
        <f>IF($N449="","",IF(INDEX(LdAAmt,$N449)=0,"",INDEX(LdAAmt,$N449)))</f>
        <v/>
      </c>
      <c r="E449" s="16">
        <f>IF($N449="","",SUMIFS(ShareAmt,ShareLink,$C449))</f>
        <v/>
      </c>
      <c r="F449" s="33">
        <f>IF($N449="","",COUNTIF(ShareLink,$C449))</f>
        <v/>
      </c>
      <c r="G449" s="17">
        <f>IF($N449="","",IF(ROUND($E449-$D449,0)=0,"√","▲ "&amp;TEXT($D449-$E449,"#,##0")))</f>
        <v/>
      </c>
      <c r="N449">
        <f>IFERROR(MATCH($C$5&amp;"|"&amp;RIGHT("000000"&amp;433,6),LdAKeyG,0),"")</f>
        <v/>
      </c>
    </row>
    <row r="450">
      <c r="A450" s="19" t="n">
        <v>434</v>
      </c>
      <c r="B450" s="20">
        <f>IF($N450="","",INDEX(LdADate,$N450))</f>
        <v/>
      </c>
      <c r="C450" s="20">
        <f>IF($N450="","",IF(INDEX(LdAId,$N450)="","—",INDEX(LdAId,$N450)))</f>
        <v/>
      </c>
      <c r="D450" s="21">
        <f>IF($N450="","",IF(INDEX(LdAAmt,$N450)=0,"",INDEX(LdAAmt,$N450)))</f>
        <v/>
      </c>
      <c r="E450" s="21">
        <f>IF($N450="","",SUMIFS(ShareAmt,ShareLink,$C450))</f>
        <v/>
      </c>
      <c r="F450" s="34">
        <f>IF($N450="","",COUNTIF(ShareLink,$C450))</f>
        <v/>
      </c>
      <c r="G450" s="22">
        <f>IF($N450="","",IF(ROUND($E450-$D450,0)=0,"√","▲ "&amp;TEXT($D450-$E450,"#,##0")))</f>
        <v/>
      </c>
      <c r="N450">
        <f>IFERROR(MATCH($C$5&amp;"|"&amp;RIGHT("000000"&amp;434,6),LdAKeyG,0),"")</f>
        <v/>
      </c>
    </row>
    <row r="451">
      <c r="A451" s="10" t="n">
        <v>435</v>
      </c>
      <c r="B451" s="14">
        <f>IF($N451="","",INDEX(LdADate,$N451))</f>
        <v/>
      </c>
      <c r="C451" s="14">
        <f>IF($N451="","",IF(INDEX(LdAId,$N451)="","—",INDEX(LdAId,$N451)))</f>
        <v/>
      </c>
      <c r="D451" s="16">
        <f>IF($N451="","",IF(INDEX(LdAAmt,$N451)=0,"",INDEX(LdAAmt,$N451)))</f>
        <v/>
      </c>
      <c r="E451" s="16">
        <f>IF($N451="","",SUMIFS(ShareAmt,ShareLink,$C451))</f>
        <v/>
      </c>
      <c r="F451" s="33">
        <f>IF($N451="","",COUNTIF(ShareLink,$C451))</f>
        <v/>
      </c>
      <c r="G451" s="17">
        <f>IF($N451="","",IF(ROUND($E451-$D451,0)=0,"√","▲ "&amp;TEXT($D451-$E451,"#,##0")))</f>
        <v/>
      </c>
      <c r="N451">
        <f>IFERROR(MATCH($C$5&amp;"|"&amp;RIGHT("000000"&amp;435,6),LdAKeyG,0),"")</f>
        <v/>
      </c>
    </row>
    <row r="452">
      <c r="A452" s="19" t="n">
        <v>436</v>
      </c>
      <c r="B452" s="20">
        <f>IF($N452="","",INDEX(LdADate,$N452))</f>
        <v/>
      </c>
      <c r="C452" s="20">
        <f>IF($N452="","",IF(INDEX(LdAId,$N452)="","—",INDEX(LdAId,$N452)))</f>
        <v/>
      </c>
      <c r="D452" s="21">
        <f>IF($N452="","",IF(INDEX(LdAAmt,$N452)=0,"",INDEX(LdAAmt,$N452)))</f>
        <v/>
      </c>
      <c r="E452" s="21">
        <f>IF($N452="","",SUMIFS(ShareAmt,ShareLink,$C452))</f>
        <v/>
      </c>
      <c r="F452" s="34">
        <f>IF($N452="","",COUNTIF(ShareLink,$C452))</f>
        <v/>
      </c>
      <c r="G452" s="22">
        <f>IF($N452="","",IF(ROUND($E452-$D452,0)=0,"√","▲ "&amp;TEXT($D452-$E452,"#,##0")))</f>
        <v/>
      </c>
      <c r="N452">
        <f>IFERROR(MATCH($C$5&amp;"|"&amp;RIGHT("000000"&amp;436,6),LdAKeyG,0),"")</f>
        <v/>
      </c>
    </row>
    <row r="453">
      <c r="A453" s="10" t="n">
        <v>437</v>
      </c>
      <c r="B453" s="14">
        <f>IF($N453="","",INDEX(LdADate,$N453))</f>
        <v/>
      </c>
      <c r="C453" s="14">
        <f>IF($N453="","",IF(INDEX(LdAId,$N453)="","—",INDEX(LdAId,$N453)))</f>
        <v/>
      </c>
      <c r="D453" s="16">
        <f>IF($N453="","",IF(INDEX(LdAAmt,$N453)=0,"",INDEX(LdAAmt,$N453)))</f>
        <v/>
      </c>
      <c r="E453" s="16">
        <f>IF($N453="","",SUMIFS(ShareAmt,ShareLink,$C453))</f>
        <v/>
      </c>
      <c r="F453" s="33">
        <f>IF($N453="","",COUNTIF(ShareLink,$C453))</f>
        <v/>
      </c>
      <c r="G453" s="17">
        <f>IF($N453="","",IF(ROUND($E453-$D453,0)=0,"√","▲ "&amp;TEXT($D453-$E453,"#,##0")))</f>
        <v/>
      </c>
      <c r="N453">
        <f>IFERROR(MATCH($C$5&amp;"|"&amp;RIGHT("000000"&amp;437,6),LdAKeyG,0),"")</f>
        <v/>
      </c>
    </row>
    <row r="454">
      <c r="A454" s="19" t="n">
        <v>438</v>
      </c>
      <c r="B454" s="20">
        <f>IF($N454="","",INDEX(LdADate,$N454))</f>
        <v/>
      </c>
      <c r="C454" s="20">
        <f>IF($N454="","",IF(INDEX(LdAId,$N454)="","—",INDEX(LdAId,$N454)))</f>
        <v/>
      </c>
      <c r="D454" s="21">
        <f>IF($N454="","",IF(INDEX(LdAAmt,$N454)=0,"",INDEX(LdAAmt,$N454)))</f>
        <v/>
      </c>
      <c r="E454" s="21">
        <f>IF($N454="","",SUMIFS(ShareAmt,ShareLink,$C454))</f>
        <v/>
      </c>
      <c r="F454" s="34">
        <f>IF($N454="","",COUNTIF(ShareLink,$C454))</f>
        <v/>
      </c>
      <c r="G454" s="22">
        <f>IF($N454="","",IF(ROUND($E454-$D454,0)=0,"√","▲ "&amp;TEXT($D454-$E454,"#,##0")))</f>
        <v/>
      </c>
      <c r="N454">
        <f>IFERROR(MATCH($C$5&amp;"|"&amp;RIGHT("000000"&amp;438,6),LdAKeyG,0),"")</f>
        <v/>
      </c>
    </row>
    <row r="455">
      <c r="A455" s="10" t="n">
        <v>439</v>
      </c>
      <c r="B455" s="14">
        <f>IF($N455="","",INDEX(LdADate,$N455))</f>
        <v/>
      </c>
      <c r="C455" s="14">
        <f>IF($N455="","",IF(INDEX(LdAId,$N455)="","—",INDEX(LdAId,$N455)))</f>
        <v/>
      </c>
      <c r="D455" s="16">
        <f>IF($N455="","",IF(INDEX(LdAAmt,$N455)=0,"",INDEX(LdAAmt,$N455)))</f>
        <v/>
      </c>
      <c r="E455" s="16">
        <f>IF($N455="","",SUMIFS(ShareAmt,ShareLink,$C455))</f>
        <v/>
      </c>
      <c r="F455" s="33">
        <f>IF($N455="","",COUNTIF(ShareLink,$C455))</f>
        <v/>
      </c>
      <c r="G455" s="17">
        <f>IF($N455="","",IF(ROUND($E455-$D455,0)=0,"√","▲ "&amp;TEXT($D455-$E455,"#,##0")))</f>
        <v/>
      </c>
      <c r="N455">
        <f>IFERROR(MATCH($C$5&amp;"|"&amp;RIGHT("000000"&amp;439,6),LdAKeyG,0),"")</f>
        <v/>
      </c>
    </row>
    <row r="456">
      <c r="A456" s="19" t="n">
        <v>440</v>
      </c>
      <c r="B456" s="20">
        <f>IF($N456="","",INDEX(LdADate,$N456))</f>
        <v/>
      </c>
      <c r="C456" s="20">
        <f>IF($N456="","",IF(INDEX(LdAId,$N456)="","—",INDEX(LdAId,$N456)))</f>
        <v/>
      </c>
      <c r="D456" s="21">
        <f>IF($N456="","",IF(INDEX(LdAAmt,$N456)=0,"",INDEX(LdAAmt,$N456)))</f>
        <v/>
      </c>
      <c r="E456" s="21">
        <f>IF($N456="","",SUMIFS(ShareAmt,ShareLink,$C456))</f>
        <v/>
      </c>
      <c r="F456" s="34">
        <f>IF($N456="","",COUNTIF(ShareLink,$C456))</f>
        <v/>
      </c>
      <c r="G456" s="22">
        <f>IF($N456="","",IF(ROUND($E456-$D456,0)=0,"√","▲ "&amp;TEXT($D456-$E456,"#,##0")))</f>
        <v/>
      </c>
      <c r="N456">
        <f>IFERROR(MATCH($C$5&amp;"|"&amp;RIGHT("000000"&amp;440,6),LdAKeyG,0),"")</f>
        <v/>
      </c>
    </row>
    <row r="457">
      <c r="A457" s="10" t="n">
        <v>441</v>
      </c>
      <c r="B457" s="14">
        <f>IF($N457="","",INDEX(LdADate,$N457))</f>
        <v/>
      </c>
      <c r="C457" s="14">
        <f>IF($N457="","",IF(INDEX(LdAId,$N457)="","—",INDEX(LdAId,$N457)))</f>
        <v/>
      </c>
      <c r="D457" s="16">
        <f>IF($N457="","",IF(INDEX(LdAAmt,$N457)=0,"",INDEX(LdAAmt,$N457)))</f>
        <v/>
      </c>
      <c r="E457" s="16">
        <f>IF($N457="","",SUMIFS(ShareAmt,ShareLink,$C457))</f>
        <v/>
      </c>
      <c r="F457" s="33">
        <f>IF($N457="","",COUNTIF(ShareLink,$C457))</f>
        <v/>
      </c>
      <c r="G457" s="17">
        <f>IF($N457="","",IF(ROUND($E457-$D457,0)=0,"√","▲ "&amp;TEXT($D457-$E457,"#,##0")))</f>
        <v/>
      </c>
      <c r="N457">
        <f>IFERROR(MATCH($C$5&amp;"|"&amp;RIGHT("000000"&amp;441,6),LdAKeyG,0),"")</f>
        <v/>
      </c>
    </row>
    <row r="458">
      <c r="A458" s="19" t="n">
        <v>442</v>
      </c>
      <c r="B458" s="20">
        <f>IF($N458="","",INDEX(LdADate,$N458))</f>
        <v/>
      </c>
      <c r="C458" s="20">
        <f>IF($N458="","",IF(INDEX(LdAId,$N458)="","—",INDEX(LdAId,$N458)))</f>
        <v/>
      </c>
      <c r="D458" s="21">
        <f>IF($N458="","",IF(INDEX(LdAAmt,$N458)=0,"",INDEX(LdAAmt,$N458)))</f>
        <v/>
      </c>
      <c r="E458" s="21">
        <f>IF($N458="","",SUMIFS(ShareAmt,ShareLink,$C458))</f>
        <v/>
      </c>
      <c r="F458" s="34">
        <f>IF($N458="","",COUNTIF(ShareLink,$C458))</f>
        <v/>
      </c>
      <c r="G458" s="22">
        <f>IF($N458="","",IF(ROUND($E458-$D458,0)=0,"√","▲ "&amp;TEXT($D458-$E458,"#,##0")))</f>
        <v/>
      </c>
      <c r="N458">
        <f>IFERROR(MATCH($C$5&amp;"|"&amp;RIGHT("000000"&amp;442,6),LdAKeyG,0),"")</f>
        <v/>
      </c>
    </row>
    <row r="459">
      <c r="A459" s="10" t="n">
        <v>443</v>
      </c>
      <c r="B459" s="14">
        <f>IF($N459="","",INDEX(LdADate,$N459))</f>
        <v/>
      </c>
      <c r="C459" s="14">
        <f>IF($N459="","",IF(INDEX(LdAId,$N459)="","—",INDEX(LdAId,$N459)))</f>
        <v/>
      </c>
      <c r="D459" s="16">
        <f>IF($N459="","",IF(INDEX(LdAAmt,$N459)=0,"",INDEX(LdAAmt,$N459)))</f>
        <v/>
      </c>
      <c r="E459" s="16">
        <f>IF($N459="","",SUMIFS(ShareAmt,ShareLink,$C459))</f>
        <v/>
      </c>
      <c r="F459" s="33">
        <f>IF($N459="","",COUNTIF(ShareLink,$C459))</f>
        <v/>
      </c>
      <c r="G459" s="17">
        <f>IF($N459="","",IF(ROUND($E459-$D459,0)=0,"√","▲ "&amp;TEXT($D459-$E459,"#,##0")))</f>
        <v/>
      </c>
      <c r="N459">
        <f>IFERROR(MATCH($C$5&amp;"|"&amp;RIGHT("000000"&amp;443,6),LdAKeyG,0),"")</f>
        <v/>
      </c>
    </row>
    <row r="460">
      <c r="A460" s="19" t="n">
        <v>444</v>
      </c>
      <c r="B460" s="20">
        <f>IF($N460="","",INDEX(LdADate,$N460))</f>
        <v/>
      </c>
      <c r="C460" s="20">
        <f>IF($N460="","",IF(INDEX(LdAId,$N460)="","—",INDEX(LdAId,$N460)))</f>
        <v/>
      </c>
      <c r="D460" s="21">
        <f>IF($N460="","",IF(INDEX(LdAAmt,$N460)=0,"",INDEX(LdAAmt,$N460)))</f>
        <v/>
      </c>
      <c r="E460" s="21">
        <f>IF($N460="","",SUMIFS(ShareAmt,ShareLink,$C460))</f>
        <v/>
      </c>
      <c r="F460" s="34">
        <f>IF($N460="","",COUNTIF(ShareLink,$C460))</f>
        <v/>
      </c>
      <c r="G460" s="22">
        <f>IF($N460="","",IF(ROUND($E460-$D460,0)=0,"√","▲ "&amp;TEXT($D460-$E460,"#,##0")))</f>
        <v/>
      </c>
      <c r="N460">
        <f>IFERROR(MATCH($C$5&amp;"|"&amp;RIGHT("000000"&amp;444,6),LdAKeyG,0),"")</f>
        <v/>
      </c>
    </row>
    <row r="461">
      <c r="A461" s="10" t="n">
        <v>445</v>
      </c>
      <c r="B461" s="14">
        <f>IF($N461="","",INDEX(LdADate,$N461))</f>
        <v/>
      </c>
      <c r="C461" s="14">
        <f>IF($N461="","",IF(INDEX(LdAId,$N461)="","—",INDEX(LdAId,$N461)))</f>
        <v/>
      </c>
      <c r="D461" s="16">
        <f>IF($N461="","",IF(INDEX(LdAAmt,$N461)=0,"",INDEX(LdAAmt,$N461)))</f>
        <v/>
      </c>
      <c r="E461" s="16">
        <f>IF($N461="","",SUMIFS(ShareAmt,ShareLink,$C461))</f>
        <v/>
      </c>
      <c r="F461" s="33">
        <f>IF($N461="","",COUNTIF(ShareLink,$C461))</f>
        <v/>
      </c>
      <c r="G461" s="17">
        <f>IF($N461="","",IF(ROUND($E461-$D461,0)=0,"√","▲ "&amp;TEXT($D461-$E461,"#,##0")))</f>
        <v/>
      </c>
      <c r="N461">
        <f>IFERROR(MATCH($C$5&amp;"|"&amp;RIGHT("000000"&amp;445,6),LdAKeyG,0),"")</f>
        <v/>
      </c>
    </row>
    <row r="462">
      <c r="A462" s="19" t="n">
        <v>446</v>
      </c>
      <c r="B462" s="20">
        <f>IF($N462="","",INDEX(LdADate,$N462))</f>
        <v/>
      </c>
      <c r="C462" s="20">
        <f>IF($N462="","",IF(INDEX(LdAId,$N462)="","—",INDEX(LdAId,$N462)))</f>
        <v/>
      </c>
      <c r="D462" s="21">
        <f>IF($N462="","",IF(INDEX(LdAAmt,$N462)=0,"",INDEX(LdAAmt,$N462)))</f>
        <v/>
      </c>
      <c r="E462" s="21">
        <f>IF($N462="","",SUMIFS(ShareAmt,ShareLink,$C462))</f>
        <v/>
      </c>
      <c r="F462" s="34">
        <f>IF($N462="","",COUNTIF(ShareLink,$C462))</f>
        <v/>
      </c>
      <c r="G462" s="22">
        <f>IF($N462="","",IF(ROUND($E462-$D462,0)=0,"√","▲ "&amp;TEXT($D462-$E462,"#,##0")))</f>
        <v/>
      </c>
      <c r="N462">
        <f>IFERROR(MATCH($C$5&amp;"|"&amp;RIGHT("000000"&amp;446,6),LdAKeyG,0),"")</f>
        <v/>
      </c>
    </row>
    <row r="463">
      <c r="A463" s="10" t="n">
        <v>447</v>
      </c>
      <c r="B463" s="14">
        <f>IF($N463="","",INDEX(LdADate,$N463))</f>
        <v/>
      </c>
      <c r="C463" s="14">
        <f>IF($N463="","",IF(INDEX(LdAId,$N463)="","—",INDEX(LdAId,$N463)))</f>
        <v/>
      </c>
      <c r="D463" s="16">
        <f>IF($N463="","",IF(INDEX(LdAAmt,$N463)=0,"",INDEX(LdAAmt,$N463)))</f>
        <v/>
      </c>
      <c r="E463" s="16">
        <f>IF($N463="","",SUMIFS(ShareAmt,ShareLink,$C463))</f>
        <v/>
      </c>
      <c r="F463" s="33">
        <f>IF($N463="","",COUNTIF(ShareLink,$C463))</f>
        <v/>
      </c>
      <c r="G463" s="17">
        <f>IF($N463="","",IF(ROUND($E463-$D463,0)=0,"√","▲ "&amp;TEXT($D463-$E463,"#,##0")))</f>
        <v/>
      </c>
      <c r="N463">
        <f>IFERROR(MATCH($C$5&amp;"|"&amp;RIGHT("000000"&amp;447,6),LdAKeyG,0),"")</f>
        <v/>
      </c>
    </row>
    <row r="464">
      <c r="A464" s="19" t="n">
        <v>448</v>
      </c>
      <c r="B464" s="20">
        <f>IF($N464="","",INDEX(LdADate,$N464))</f>
        <v/>
      </c>
      <c r="C464" s="20">
        <f>IF($N464="","",IF(INDEX(LdAId,$N464)="","—",INDEX(LdAId,$N464)))</f>
        <v/>
      </c>
      <c r="D464" s="21">
        <f>IF($N464="","",IF(INDEX(LdAAmt,$N464)=0,"",INDEX(LdAAmt,$N464)))</f>
        <v/>
      </c>
      <c r="E464" s="21">
        <f>IF($N464="","",SUMIFS(ShareAmt,ShareLink,$C464))</f>
        <v/>
      </c>
      <c r="F464" s="34">
        <f>IF($N464="","",COUNTIF(ShareLink,$C464))</f>
        <v/>
      </c>
      <c r="G464" s="22">
        <f>IF($N464="","",IF(ROUND($E464-$D464,0)=0,"√","▲ "&amp;TEXT($D464-$E464,"#,##0")))</f>
        <v/>
      </c>
      <c r="N464">
        <f>IFERROR(MATCH($C$5&amp;"|"&amp;RIGHT("000000"&amp;448,6),LdAKeyG,0),"")</f>
        <v/>
      </c>
    </row>
    <row r="465">
      <c r="A465" s="10" t="n">
        <v>449</v>
      </c>
      <c r="B465" s="14">
        <f>IF($N465="","",INDEX(LdADate,$N465))</f>
        <v/>
      </c>
      <c r="C465" s="14">
        <f>IF($N465="","",IF(INDEX(LdAId,$N465)="","—",INDEX(LdAId,$N465)))</f>
        <v/>
      </c>
      <c r="D465" s="16">
        <f>IF($N465="","",IF(INDEX(LdAAmt,$N465)=0,"",INDEX(LdAAmt,$N465)))</f>
        <v/>
      </c>
      <c r="E465" s="16">
        <f>IF($N465="","",SUMIFS(ShareAmt,ShareLink,$C465))</f>
        <v/>
      </c>
      <c r="F465" s="33">
        <f>IF($N465="","",COUNTIF(ShareLink,$C465))</f>
        <v/>
      </c>
      <c r="G465" s="17">
        <f>IF($N465="","",IF(ROUND($E465-$D465,0)=0,"√","▲ "&amp;TEXT($D465-$E465,"#,##0")))</f>
        <v/>
      </c>
      <c r="N465">
        <f>IFERROR(MATCH($C$5&amp;"|"&amp;RIGHT("000000"&amp;449,6),LdAKeyG,0),"")</f>
        <v/>
      </c>
    </row>
    <row r="466">
      <c r="A466" s="19" t="n">
        <v>450</v>
      </c>
      <c r="B466" s="20">
        <f>IF($N466="","",INDEX(LdADate,$N466))</f>
        <v/>
      </c>
      <c r="C466" s="20">
        <f>IF($N466="","",IF(INDEX(LdAId,$N466)="","—",INDEX(LdAId,$N466)))</f>
        <v/>
      </c>
      <c r="D466" s="21">
        <f>IF($N466="","",IF(INDEX(LdAAmt,$N466)=0,"",INDEX(LdAAmt,$N466)))</f>
        <v/>
      </c>
      <c r="E466" s="21">
        <f>IF($N466="","",SUMIFS(ShareAmt,ShareLink,$C466))</f>
        <v/>
      </c>
      <c r="F466" s="34">
        <f>IF($N466="","",COUNTIF(ShareLink,$C466))</f>
        <v/>
      </c>
      <c r="G466" s="22">
        <f>IF($N466="","",IF(ROUND($E466-$D466,0)=0,"√","▲ "&amp;TEXT($D466-$E466,"#,##0")))</f>
        <v/>
      </c>
      <c r="N466">
        <f>IFERROR(MATCH($C$5&amp;"|"&amp;RIGHT("000000"&amp;450,6),LdAKeyG,0),"")</f>
        <v/>
      </c>
    </row>
    <row r="467">
      <c r="A467" s="10" t="n">
        <v>451</v>
      </c>
      <c r="B467" s="14">
        <f>IF($N467="","",INDEX(LdADate,$N467))</f>
        <v/>
      </c>
      <c r="C467" s="14">
        <f>IF($N467="","",IF(INDEX(LdAId,$N467)="","—",INDEX(LdAId,$N467)))</f>
        <v/>
      </c>
      <c r="D467" s="16">
        <f>IF($N467="","",IF(INDEX(LdAAmt,$N467)=0,"",INDEX(LdAAmt,$N467)))</f>
        <v/>
      </c>
      <c r="E467" s="16">
        <f>IF($N467="","",SUMIFS(ShareAmt,ShareLink,$C467))</f>
        <v/>
      </c>
      <c r="F467" s="33">
        <f>IF($N467="","",COUNTIF(ShareLink,$C467))</f>
        <v/>
      </c>
      <c r="G467" s="17">
        <f>IF($N467="","",IF(ROUND($E467-$D467,0)=0,"√","▲ "&amp;TEXT($D467-$E467,"#,##0")))</f>
        <v/>
      </c>
      <c r="N467">
        <f>IFERROR(MATCH($C$5&amp;"|"&amp;RIGHT("000000"&amp;451,6),LdAKeyG,0),"")</f>
        <v/>
      </c>
    </row>
    <row r="468">
      <c r="A468" s="19" t="n">
        <v>452</v>
      </c>
      <c r="B468" s="20">
        <f>IF($N468="","",INDEX(LdADate,$N468))</f>
        <v/>
      </c>
      <c r="C468" s="20">
        <f>IF($N468="","",IF(INDEX(LdAId,$N468)="","—",INDEX(LdAId,$N468)))</f>
        <v/>
      </c>
      <c r="D468" s="21">
        <f>IF($N468="","",IF(INDEX(LdAAmt,$N468)=0,"",INDEX(LdAAmt,$N468)))</f>
        <v/>
      </c>
      <c r="E468" s="21">
        <f>IF($N468="","",SUMIFS(ShareAmt,ShareLink,$C468))</f>
        <v/>
      </c>
      <c r="F468" s="34">
        <f>IF($N468="","",COUNTIF(ShareLink,$C468))</f>
        <v/>
      </c>
      <c r="G468" s="22">
        <f>IF($N468="","",IF(ROUND($E468-$D468,0)=0,"√","▲ "&amp;TEXT($D468-$E468,"#,##0")))</f>
        <v/>
      </c>
      <c r="N468">
        <f>IFERROR(MATCH($C$5&amp;"|"&amp;RIGHT("000000"&amp;452,6),LdAKeyG,0),"")</f>
        <v/>
      </c>
    </row>
    <row r="469">
      <c r="A469" s="10" t="n">
        <v>453</v>
      </c>
      <c r="B469" s="14">
        <f>IF($N469="","",INDEX(LdADate,$N469))</f>
        <v/>
      </c>
      <c r="C469" s="14">
        <f>IF($N469="","",IF(INDEX(LdAId,$N469)="","—",INDEX(LdAId,$N469)))</f>
        <v/>
      </c>
      <c r="D469" s="16">
        <f>IF($N469="","",IF(INDEX(LdAAmt,$N469)=0,"",INDEX(LdAAmt,$N469)))</f>
        <v/>
      </c>
      <c r="E469" s="16">
        <f>IF($N469="","",SUMIFS(ShareAmt,ShareLink,$C469))</f>
        <v/>
      </c>
      <c r="F469" s="33">
        <f>IF($N469="","",COUNTIF(ShareLink,$C469))</f>
        <v/>
      </c>
      <c r="G469" s="17">
        <f>IF($N469="","",IF(ROUND($E469-$D469,0)=0,"√","▲ "&amp;TEXT($D469-$E469,"#,##0")))</f>
        <v/>
      </c>
      <c r="N469">
        <f>IFERROR(MATCH($C$5&amp;"|"&amp;RIGHT("000000"&amp;453,6),LdAKeyG,0),"")</f>
        <v/>
      </c>
    </row>
    <row r="470">
      <c r="A470" s="19" t="n">
        <v>454</v>
      </c>
      <c r="B470" s="20">
        <f>IF($N470="","",INDEX(LdADate,$N470))</f>
        <v/>
      </c>
      <c r="C470" s="20">
        <f>IF($N470="","",IF(INDEX(LdAId,$N470)="","—",INDEX(LdAId,$N470)))</f>
        <v/>
      </c>
      <c r="D470" s="21">
        <f>IF($N470="","",IF(INDEX(LdAAmt,$N470)=0,"",INDEX(LdAAmt,$N470)))</f>
        <v/>
      </c>
      <c r="E470" s="21">
        <f>IF($N470="","",SUMIFS(ShareAmt,ShareLink,$C470))</f>
        <v/>
      </c>
      <c r="F470" s="34">
        <f>IF($N470="","",COUNTIF(ShareLink,$C470))</f>
        <v/>
      </c>
      <c r="G470" s="22">
        <f>IF($N470="","",IF(ROUND($E470-$D470,0)=0,"√","▲ "&amp;TEXT($D470-$E470,"#,##0")))</f>
        <v/>
      </c>
      <c r="N470">
        <f>IFERROR(MATCH($C$5&amp;"|"&amp;RIGHT("000000"&amp;454,6),LdAKeyG,0),"")</f>
        <v/>
      </c>
    </row>
    <row r="471">
      <c r="A471" s="10" t="n">
        <v>455</v>
      </c>
      <c r="B471" s="14">
        <f>IF($N471="","",INDEX(LdADate,$N471))</f>
        <v/>
      </c>
      <c r="C471" s="14">
        <f>IF($N471="","",IF(INDEX(LdAId,$N471)="","—",INDEX(LdAId,$N471)))</f>
        <v/>
      </c>
      <c r="D471" s="16">
        <f>IF($N471="","",IF(INDEX(LdAAmt,$N471)=0,"",INDEX(LdAAmt,$N471)))</f>
        <v/>
      </c>
      <c r="E471" s="16">
        <f>IF($N471="","",SUMIFS(ShareAmt,ShareLink,$C471))</f>
        <v/>
      </c>
      <c r="F471" s="33">
        <f>IF($N471="","",COUNTIF(ShareLink,$C471))</f>
        <v/>
      </c>
      <c r="G471" s="17">
        <f>IF($N471="","",IF(ROUND($E471-$D471,0)=0,"√","▲ "&amp;TEXT($D471-$E471,"#,##0")))</f>
        <v/>
      </c>
      <c r="N471">
        <f>IFERROR(MATCH($C$5&amp;"|"&amp;RIGHT("000000"&amp;455,6),LdAKeyG,0),"")</f>
        <v/>
      </c>
    </row>
    <row r="472">
      <c r="A472" s="19" t="n">
        <v>456</v>
      </c>
      <c r="B472" s="20">
        <f>IF($N472="","",INDEX(LdADate,$N472))</f>
        <v/>
      </c>
      <c r="C472" s="20">
        <f>IF($N472="","",IF(INDEX(LdAId,$N472)="","—",INDEX(LdAId,$N472)))</f>
        <v/>
      </c>
      <c r="D472" s="21">
        <f>IF($N472="","",IF(INDEX(LdAAmt,$N472)=0,"",INDEX(LdAAmt,$N472)))</f>
        <v/>
      </c>
      <c r="E472" s="21">
        <f>IF($N472="","",SUMIFS(ShareAmt,ShareLink,$C472))</f>
        <v/>
      </c>
      <c r="F472" s="34">
        <f>IF($N472="","",COUNTIF(ShareLink,$C472))</f>
        <v/>
      </c>
      <c r="G472" s="22">
        <f>IF($N472="","",IF(ROUND($E472-$D472,0)=0,"√","▲ "&amp;TEXT($D472-$E472,"#,##0")))</f>
        <v/>
      </c>
      <c r="N472">
        <f>IFERROR(MATCH($C$5&amp;"|"&amp;RIGHT("000000"&amp;456,6),LdAKeyG,0),"")</f>
        <v/>
      </c>
    </row>
    <row r="473">
      <c r="A473" s="10" t="n">
        <v>457</v>
      </c>
      <c r="B473" s="14">
        <f>IF($N473="","",INDEX(LdADate,$N473))</f>
        <v/>
      </c>
      <c r="C473" s="14">
        <f>IF($N473="","",IF(INDEX(LdAId,$N473)="","—",INDEX(LdAId,$N473)))</f>
        <v/>
      </c>
      <c r="D473" s="16">
        <f>IF($N473="","",IF(INDEX(LdAAmt,$N473)=0,"",INDEX(LdAAmt,$N473)))</f>
        <v/>
      </c>
      <c r="E473" s="16">
        <f>IF($N473="","",SUMIFS(ShareAmt,ShareLink,$C473))</f>
        <v/>
      </c>
      <c r="F473" s="33">
        <f>IF($N473="","",COUNTIF(ShareLink,$C473))</f>
        <v/>
      </c>
      <c r="G473" s="17">
        <f>IF($N473="","",IF(ROUND($E473-$D473,0)=0,"√","▲ "&amp;TEXT($D473-$E473,"#,##0")))</f>
        <v/>
      </c>
      <c r="N473">
        <f>IFERROR(MATCH($C$5&amp;"|"&amp;RIGHT("000000"&amp;457,6),LdAKeyG,0),"")</f>
        <v/>
      </c>
    </row>
    <row r="474">
      <c r="A474" s="19" t="n">
        <v>458</v>
      </c>
      <c r="B474" s="20">
        <f>IF($N474="","",INDEX(LdADate,$N474))</f>
        <v/>
      </c>
      <c r="C474" s="20">
        <f>IF($N474="","",IF(INDEX(LdAId,$N474)="","—",INDEX(LdAId,$N474)))</f>
        <v/>
      </c>
      <c r="D474" s="21">
        <f>IF($N474="","",IF(INDEX(LdAAmt,$N474)=0,"",INDEX(LdAAmt,$N474)))</f>
        <v/>
      </c>
      <c r="E474" s="21">
        <f>IF($N474="","",SUMIFS(ShareAmt,ShareLink,$C474))</f>
        <v/>
      </c>
      <c r="F474" s="34">
        <f>IF($N474="","",COUNTIF(ShareLink,$C474))</f>
        <v/>
      </c>
      <c r="G474" s="22">
        <f>IF($N474="","",IF(ROUND($E474-$D474,0)=0,"√","▲ "&amp;TEXT($D474-$E474,"#,##0")))</f>
        <v/>
      </c>
      <c r="N474">
        <f>IFERROR(MATCH($C$5&amp;"|"&amp;RIGHT("000000"&amp;458,6),LdAKeyG,0),"")</f>
        <v/>
      </c>
    </row>
    <row r="475">
      <c r="A475" s="10" t="n">
        <v>459</v>
      </c>
      <c r="B475" s="14">
        <f>IF($N475="","",INDEX(LdADate,$N475))</f>
        <v/>
      </c>
      <c r="C475" s="14">
        <f>IF($N475="","",IF(INDEX(LdAId,$N475)="","—",INDEX(LdAId,$N475)))</f>
        <v/>
      </c>
      <c r="D475" s="16">
        <f>IF($N475="","",IF(INDEX(LdAAmt,$N475)=0,"",INDEX(LdAAmt,$N475)))</f>
        <v/>
      </c>
      <c r="E475" s="16">
        <f>IF($N475="","",SUMIFS(ShareAmt,ShareLink,$C475))</f>
        <v/>
      </c>
      <c r="F475" s="33">
        <f>IF($N475="","",COUNTIF(ShareLink,$C475))</f>
        <v/>
      </c>
      <c r="G475" s="17">
        <f>IF($N475="","",IF(ROUND($E475-$D475,0)=0,"√","▲ "&amp;TEXT($D475-$E475,"#,##0")))</f>
        <v/>
      </c>
      <c r="N475">
        <f>IFERROR(MATCH($C$5&amp;"|"&amp;RIGHT("000000"&amp;459,6),LdAKeyG,0),"")</f>
        <v/>
      </c>
    </row>
    <row r="476">
      <c r="A476" s="19" t="n">
        <v>460</v>
      </c>
      <c r="B476" s="20">
        <f>IF($N476="","",INDEX(LdADate,$N476))</f>
        <v/>
      </c>
      <c r="C476" s="20">
        <f>IF($N476="","",IF(INDEX(LdAId,$N476)="","—",INDEX(LdAId,$N476)))</f>
        <v/>
      </c>
      <c r="D476" s="21">
        <f>IF($N476="","",IF(INDEX(LdAAmt,$N476)=0,"",INDEX(LdAAmt,$N476)))</f>
        <v/>
      </c>
      <c r="E476" s="21">
        <f>IF($N476="","",SUMIFS(ShareAmt,ShareLink,$C476))</f>
        <v/>
      </c>
      <c r="F476" s="34">
        <f>IF($N476="","",COUNTIF(ShareLink,$C476))</f>
        <v/>
      </c>
      <c r="G476" s="22">
        <f>IF($N476="","",IF(ROUND($E476-$D476,0)=0,"√","▲ "&amp;TEXT($D476-$E476,"#,##0")))</f>
        <v/>
      </c>
      <c r="N476">
        <f>IFERROR(MATCH($C$5&amp;"|"&amp;RIGHT("000000"&amp;460,6),LdAKeyG,0),"")</f>
        <v/>
      </c>
    </row>
    <row r="477">
      <c r="A477" s="10" t="n">
        <v>461</v>
      </c>
      <c r="B477" s="14">
        <f>IF($N477="","",INDEX(LdADate,$N477))</f>
        <v/>
      </c>
      <c r="C477" s="14">
        <f>IF($N477="","",IF(INDEX(LdAId,$N477)="","—",INDEX(LdAId,$N477)))</f>
        <v/>
      </c>
      <c r="D477" s="16">
        <f>IF($N477="","",IF(INDEX(LdAAmt,$N477)=0,"",INDEX(LdAAmt,$N477)))</f>
        <v/>
      </c>
      <c r="E477" s="16">
        <f>IF($N477="","",SUMIFS(ShareAmt,ShareLink,$C477))</f>
        <v/>
      </c>
      <c r="F477" s="33">
        <f>IF($N477="","",COUNTIF(ShareLink,$C477))</f>
        <v/>
      </c>
      <c r="G477" s="17">
        <f>IF($N477="","",IF(ROUND($E477-$D477,0)=0,"√","▲ "&amp;TEXT($D477-$E477,"#,##0")))</f>
        <v/>
      </c>
      <c r="N477">
        <f>IFERROR(MATCH($C$5&amp;"|"&amp;RIGHT("000000"&amp;461,6),LdAKeyG,0),"")</f>
        <v/>
      </c>
    </row>
    <row r="478">
      <c r="A478" s="19" t="n">
        <v>462</v>
      </c>
      <c r="B478" s="20">
        <f>IF($N478="","",INDEX(LdADate,$N478))</f>
        <v/>
      </c>
      <c r="C478" s="20">
        <f>IF($N478="","",IF(INDEX(LdAId,$N478)="","—",INDEX(LdAId,$N478)))</f>
        <v/>
      </c>
      <c r="D478" s="21">
        <f>IF($N478="","",IF(INDEX(LdAAmt,$N478)=0,"",INDEX(LdAAmt,$N478)))</f>
        <v/>
      </c>
      <c r="E478" s="21">
        <f>IF($N478="","",SUMIFS(ShareAmt,ShareLink,$C478))</f>
        <v/>
      </c>
      <c r="F478" s="34">
        <f>IF($N478="","",COUNTIF(ShareLink,$C478))</f>
        <v/>
      </c>
      <c r="G478" s="22">
        <f>IF($N478="","",IF(ROUND($E478-$D478,0)=0,"√","▲ "&amp;TEXT($D478-$E478,"#,##0")))</f>
        <v/>
      </c>
      <c r="N478">
        <f>IFERROR(MATCH($C$5&amp;"|"&amp;RIGHT("000000"&amp;462,6),LdAKeyG,0),"")</f>
        <v/>
      </c>
    </row>
    <row r="479">
      <c r="A479" s="10" t="n">
        <v>463</v>
      </c>
      <c r="B479" s="14">
        <f>IF($N479="","",INDEX(LdADate,$N479))</f>
        <v/>
      </c>
      <c r="C479" s="14">
        <f>IF($N479="","",IF(INDEX(LdAId,$N479)="","—",INDEX(LdAId,$N479)))</f>
        <v/>
      </c>
      <c r="D479" s="16">
        <f>IF($N479="","",IF(INDEX(LdAAmt,$N479)=0,"",INDEX(LdAAmt,$N479)))</f>
        <v/>
      </c>
      <c r="E479" s="16">
        <f>IF($N479="","",SUMIFS(ShareAmt,ShareLink,$C479))</f>
        <v/>
      </c>
      <c r="F479" s="33">
        <f>IF($N479="","",COUNTIF(ShareLink,$C479))</f>
        <v/>
      </c>
      <c r="G479" s="17">
        <f>IF($N479="","",IF(ROUND($E479-$D479,0)=0,"√","▲ "&amp;TEXT($D479-$E479,"#,##0")))</f>
        <v/>
      </c>
      <c r="N479">
        <f>IFERROR(MATCH($C$5&amp;"|"&amp;RIGHT("000000"&amp;463,6),LdAKeyG,0),"")</f>
        <v/>
      </c>
    </row>
    <row r="480">
      <c r="A480" s="19" t="n">
        <v>464</v>
      </c>
      <c r="B480" s="20">
        <f>IF($N480="","",INDEX(LdADate,$N480))</f>
        <v/>
      </c>
      <c r="C480" s="20">
        <f>IF($N480="","",IF(INDEX(LdAId,$N480)="","—",INDEX(LdAId,$N480)))</f>
        <v/>
      </c>
      <c r="D480" s="21">
        <f>IF($N480="","",IF(INDEX(LdAAmt,$N480)=0,"",INDEX(LdAAmt,$N480)))</f>
        <v/>
      </c>
      <c r="E480" s="21">
        <f>IF($N480="","",SUMIFS(ShareAmt,ShareLink,$C480))</f>
        <v/>
      </c>
      <c r="F480" s="34">
        <f>IF($N480="","",COUNTIF(ShareLink,$C480))</f>
        <v/>
      </c>
      <c r="G480" s="22">
        <f>IF($N480="","",IF(ROUND($E480-$D480,0)=0,"√","▲ "&amp;TEXT($D480-$E480,"#,##0")))</f>
        <v/>
      </c>
      <c r="N480">
        <f>IFERROR(MATCH($C$5&amp;"|"&amp;RIGHT("000000"&amp;464,6),LdAKeyG,0),"")</f>
        <v/>
      </c>
    </row>
    <row r="481">
      <c r="A481" s="10" t="n">
        <v>465</v>
      </c>
      <c r="B481" s="14">
        <f>IF($N481="","",INDEX(LdADate,$N481))</f>
        <v/>
      </c>
      <c r="C481" s="14">
        <f>IF($N481="","",IF(INDEX(LdAId,$N481)="","—",INDEX(LdAId,$N481)))</f>
        <v/>
      </c>
      <c r="D481" s="16">
        <f>IF($N481="","",IF(INDEX(LdAAmt,$N481)=0,"",INDEX(LdAAmt,$N481)))</f>
        <v/>
      </c>
      <c r="E481" s="16">
        <f>IF($N481="","",SUMIFS(ShareAmt,ShareLink,$C481))</f>
        <v/>
      </c>
      <c r="F481" s="33">
        <f>IF($N481="","",COUNTIF(ShareLink,$C481))</f>
        <v/>
      </c>
      <c r="G481" s="17">
        <f>IF($N481="","",IF(ROUND($E481-$D481,0)=0,"√","▲ "&amp;TEXT($D481-$E481,"#,##0")))</f>
        <v/>
      </c>
      <c r="N481">
        <f>IFERROR(MATCH($C$5&amp;"|"&amp;RIGHT("000000"&amp;465,6),LdAKeyG,0),"")</f>
        <v/>
      </c>
    </row>
    <row r="482">
      <c r="A482" s="19" t="n">
        <v>466</v>
      </c>
      <c r="B482" s="20">
        <f>IF($N482="","",INDEX(LdADate,$N482))</f>
        <v/>
      </c>
      <c r="C482" s="20">
        <f>IF($N482="","",IF(INDEX(LdAId,$N482)="","—",INDEX(LdAId,$N482)))</f>
        <v/>
      </c>
      <c r="D482" s="21">
        <f>IF($N482="","",IF(INDEX(LdAAmt,$N482)=0,"",INDEX(LdAAmt,$N482)))</f>
        <v/>
      </c>
      <c r="E482" s="21">
        <f>IF($N482="","",SUMIFS(ShareAmt,ShareLink,$C482))</f>
        <v/>
      </c>
      <c r="F482" s="34">
        <f>IF($N482="","",COUNTIF(ShareLink,$C482))</f>
        <v/>
      </c>
      <c r="G482" s="22">
        <f>IF($N482="","",IF(ROUND($E482-$D482,0)=0,"√","▲ "&amp;TEXT($D482-$E482,"#,##0")))</f>
        <v/>
      </c>
      <c r="N482">
        <f>IFERROR(MATCH($C$5&amp;"|"&amp;RIGHT("000000"&amp;466,6),LdAKeyG,0),"")</f>
        <v/>
      </c>
    </row>
    <row r="483">
      <c r="A483" s="10" t="n">
        <v>467</v>
      </c>
      <c r="B483" s="14">
        <f>IF($N483="","",INDEX(LdADate,$N483))</f>
        <v/>
      </c>
      <c r="C483" s="14">
        <f>IF($N483="","",IF(INDEX(LdAId,$N483)="","—",INDEX(LdAId,$N483)))</f>
        <v/>
      </c>
      <c r="D483" s="16">
        <f>IF($N483="","",IF(INDEX(LdAAmt,$N483)=0,"",INDEX(LdAAmt,$N483)))</f>
        <v/>
      </c>
      <c r="E483" s="16">
        <f>IF($N483="","",SUMIFS(ShareAmt,ShareLink,$C483))</f>
        <v/>
      </c>
      <c r="F483" s="33">
        <f>IF($N483="","",COUNTIF(ShareLink,$C483))</f>
        <v/>
      </c>
      <c r="G483" s="17">
        <f>IF($N483="","",IF(ROUND($E483-$D483,0)=0,"√","▲ "&amp;TEXT($D483-$E483,"#,##0")))</f>
        <v/>
      </c>
      <c r="N483">
        <f>IFERROR(MATCH($C$5&amp;"|"&amp;RIGHT("000000"&amp;467,6),LdAKeyG,0),"")</f>
        <v/>
      </c>
    </row>
    <row r="484">
      <c r="A484" s="19" t="n">
        <v>468</v>
      </c>
      <c r="B484" s="20">
        <f>IF($N484="","",INDEX(LdADate,$N484))</f>
        <v/>
      </c>
      <c r="C484" s="20">
        <f>IF($N484="","",IF(INDEX(LdAId,$N484)="","—",INDEX(LdAId,$N484)))</f>
        <v/>
      </c>
      <c r="D484" s="21">
        <f>IF($N484="","",IF(INDEX(LdAAmt,$N484)=0,"",INDEX(LdAAmt,$N484)))</f>
        <v/>
      </c>
      <c r="E484" s="21">
        <f>IF($N484="","",SUMIFS(ShareAmt,ShareLink,$C484))</f>
        <v/>
      </c>
      <c r="F484" s="34">
        <f>IF($N484="","",COUNTIF(ShareLink,$C484))</f>
        <v/>
      </c>
      <c r="G484" s="22">
        <f>IF($N484="","",IF(ROUND($E484-$D484,0)=0,"√","▲ "&amp;TEXT($D484-$E484,"#,##0")))</f>
        <v/>
      </c>
      <c r="N484">
        <f>IFERROR(MATCH($C$5&amp;"|"&amp;RIGHT("000000"&amp;468,6),LdAKeyG,0),"")</f>
        <v/>
      </c>
    </row>
    <row r="485">
      <c r="A485" s="10" t="n">
        <v>469</v>
      </c>
      <c r="B485" s="14">
        <f>IF($N485="","",INDEX(LdADate,$N485))</f>
        <v/>
      </c>
      <c r="C485" s="14">
        <f>IF($N485="","",IF(INDEX(LdAId,$N485)="","—",INDEX(LdAId,$N485)))</f>
        <v/>
      </c>
      <c r="D485" s="16">
        <f>IF($N485="","",IF(INDEX(LdAAmt,$N485)=0,"",INDEX(LdAAmt,$N485)))</f>
        <v/>
      </c>
      <c r="E485" s="16">
        <f>IF($N485="","",SUMIFS(ShareAmt,ShareLink,$C485))</f>
        <v/>
      </c>
      <c r="F485" s="33">
        <f>IF($N485="","",COUNTIF(ShareLink,$C485))</f>
        <v/>
      </c>
      <c r="G485" s="17">
        <f>IF($N485="","",IF(ROUND($E485-$D485,0)=0,"√","▲ "&amp;TEXT($D485-$E485,"#,##0")))</f>
        <v/>
      </c>
      <c r="N485">
        <f>IFERROR(MATCH($C$5&amp;"|"&amp;RIGHT("000000"&amp;469,6),LdAKeyG,0),"")</f>
        <v/>
      </c>
    </row>
    <row r="486">
      <c r="A486" s="19" t="n">
        <v>470</v>
      </c>
      <c r="B486" s="20">
        <f>IF($N486="","",INDEX(LdADate,$N486))</f>
        <v/>
      </c>
      <c r="C486" s="20">
        <f>IF($N486="","",IF(INDEX(LdAId,$N486)="","—",INDEX(LdAId,$N486)))</f>
        <v/>
      </c>
      <c r="D486" s="21">
        <f>IF($N486="","",IF(INDEX(LdAAmt,$N486)=0,"",INDEX(LdAAmt,$N486)))</f>
        <v/>
      </c>
      <c r="E486" s="21">
        <f>IF($N486="","",SUMIFS(ShareAmt,ShareLink,$C486))</f>
        <v/>
      </c>
      <c r="F486" s="34">
        <f>IF($N486="","",COUNTIF(ShareLink,$C486))</f>
        <v/>
      </c>
      <c r="G486" s="22">
        <f>IF($N486="","",IF(ROUND($E486-$D486,0)=0,"√","▲ "&amp;TEXT($D486-$E486,"#,##0")))</f>
        <v/>
      </c>
      <c r="N486">
        <f>IFERROR(MATCH($C$5&amp;"|"&amp;RIGHT("000000"&amp;470,6),LdAKeyG,0),"")</f>
        <v/>
      </c>
    </row>
    <row r="487">
      <c r="A487" s="10" t="n">
        <v>471</v>
      </c>
      <c r="B487" s="14">
        <f>IF($N487="","",INDEX(LdADate,$N487))</f>
        <v/>
      </c>
      <c r="C487" s="14">
        <f>IF($N487="","",IF(INDEX(LdAId,$N487)="","—",INDEX(LdAId,$N487)))</f>
        <v/>
      </c>
      <c r="D487" s="16">
        <f>IF($N487="","",IF(INDEX(LdAAmt,$N487)=0,"",INDEX(LdAAmt,$N487)))</f>
        <v/>
      </c>
      <c r="E487" s="16">
        <f>IF($N487="","",SUMIFS(ShareAmt,ShareLink,$C487))</f>
        <v/>
      </c>
      <c r="F487" s="33">
        <f>IF($N487="","",COUNTIF(ShareLink,$C487))</f>
        <v/>
      </c>
      <c r="G487" s="17">
        <f>IF($N487="","",IF(ROUND($E487-$D487,0)=0,"√","▲ "&amp;TEXT($D487-$E487,"#,##0")))</f>
        <v/>
      </c>
      <c r="N487">
        <f>IFERROR(MATCH($C$5&amp;"|"&amp;RIGHT("000000"&amp;471,6),LdAKeyG,0),"")</f>
        <v/>
      </c>
    </row>
    <row r="488">
      <c r="A488" s="19" t="n">
        <v>472</v>
      </c>
      <c r="B488" s="20">
        <f>IF($N488="","",INDEX(LdADate,$N488))</f>
        <v/>
      </c>
      <c r="C488" s="20">
        <f>IF($N488="","",IF(INDEX(LdAId,$N488)="","—",INDEX(LdAId,$N488)))</f>
        <v/>
      </c>
      <c r="D488" s="21">
        <f>IF($N488="","",IF(INDEX(LdAAmt,$N488)=0,"",INDEX(LdAAmt,$N488)))</f>
        <v/>
      </c>
      <c r="E488" s="21">
        <f>IF($N488="","",SUMIFS(ShareAmt,ShareLink,$C488))</f>
        <v/>
      </c>
      <c r="F488" s="34">
        <f>IF($N488="","",COUNTIF(ShareLink,$C488))</f>
        <v/>
      </c>
      <c r="G488" s="22">
        <f>IF($N488="","",IF(ROUND($E488-$D488,0)=0,"√","▲ "&amp;TEXT($D488-$E488,"#,##0")))</f>
        <v/>
      </c>
      <c r="N488">
        <f>IFERROR(MATCH($C$5&amp;"|"&amp;RIGHT("000000"&amp;472,6),LdAKeyG,0),"")</f>
        <v/>
      </c>
    </row>
    <row r="489">
      <c r="A489" s="10" t="n">
        <v>473</v>
      </c>
      <c r="B489" s="14">
        <f>IF($N489="","",INDEX(LdADate,$N489))</f>
        <v/>
      </c>
      <c r="C489" s="14">
        <f>IF($N489="","",IF(INDEX(LdAId,$N489)="","—",INDEX(LdAId,$N489)))</f>
        <v/>
      </c>
      <c r="D489" s="16">
        <f>IF($N489="","",IF(INDEX(LdAAmt,$N489)=0,"",INDEX(LdAAmt,$N489)))</f>
        <v/>
      </c>
      <c r="E489" s="16">
        <f>IF($N489="","",SUMIFS(ShareAmt,ShareLink,$C489))</f>
        <v/>
      </c>
      <c r="F489" s="33">
        <f>IF($N489="","",COUNTIF(ShareLink,$C489))</f>
        <v/>
      </c>
      <c r="G489" s="17">
        <f>IF($N489="","",IF(ROUND($E489-$D489,0)=0,"√","▲ "&amp;TEXT($D489-$E489,"#,##0")))</f>
        <v/>
      </c>
      <c r="N489">
        <f>IFERROR(MATCH($C$5&amp;"|"&amp;RIGHT("000000"&amp;473,6),LdAKeyG,0),"")</f>
        <v/>
      </c>
    </row>
    <row r="490">
      <c r="A490" s="19" t="n">
        <v>474</v>
      </c>
      <c r="B490" s="20">
        <f>IF($N490="","",INDEX(LdADate,$N490))</f>
        <v/>
      </c>
      <c r="C490" s="20">
        <f>IF($N490="","",IF(INDEX(LdAId,$N490)="","—",INDEX(LdAId,$N490)))</f>
        <v/>
      </c>
      <c r="D490" s="21">
        <f>IF($N490="","",IF(INDEX(LdAAmt,$N490)=0,"",INDEX(LdAAmt,$N490)))</f>
        <v/>
      </c>
      <c r="E490" s="21">
        <f>IF($N490="","",SUMIFS(ShareAmt,ShareLink,$C490))</f>
        <v/>
      </c>
      <c r="F490" s="34">
        <f>IF($N490="","",COUNTIF(ShareLink,$C490))</f>
        <v/>
      </c>
      <c r="G490" s="22">
        <f>IF($N490="","",IF(ROUND($E490-$D490,0)=0,"√","▲ "&amp;TEXT($D490-$E490,"#,##0")))</f>
        <v/>
      </c>
      <c r="N490">
        <f>IFERROR(MATCH($C$5&amp;"|"&amp;RIGHT("000000"&amp;474,6),LdAKeyG,0),"")</f>
        <v/>
      </c>
    </row>
    <row r="491">
      <c r="A491" s="10" t="n">
        <v>475</v>
      </c>
      <c r="B491" s="14">
        <f>IF($N491="","",INDEX(LdADate,$N491))</f>
        <v/>
      </c>
      <c r="C491" s="14">
        <f>IF($N491="","",IF(INDEX(LdAId,$N491)="","—",INDEX(LdAId,$N491)))</f>
        <v/>
      </c>
      <c r="D491" s="16">
        <f>IF($N491="","",IF(INDEX(LdAAmt,$N491)=0,"",INDEX(LdAAmt,$N491)))</f>
        <v/>
      </c>
      <c r="E491" s="16">
        <f>IF($N491="","",SUMIFS(ShareAmt,ShareLink,$C491))</f>
        <v/>
      </c>
      <c r="F491" s="33">
        <f>IF($N491="","",COUNTIF(ShareLink,$C491))</f>
        <v/>
      </c>
      <c r="G491" s="17">
        <f>IF($N491="","",IF(ROUND($E491-$D491,0)=0,"√","▲ "&amp;TEXT($D491-$E491,"#,##0")))</f>
        <v/>
      </c>
      <c r="N491">
        <f>IFERROR(MATCH($C$5&amp;"|"&amp;RIGHT("000000"&amp;475,6),LdAKeyG,0),"")</f>
        <v/>
      </c>
    </row>
    <row r="492">
      <c r="A492" s="19" t="n">
        <v>476</v>
      </c>
      <c r="B492" s="20">
        <f>IF($N492="","",INDEX(LdADate,$N492))</f>
        <v/>
      </c>
      <c r="C492" s="20">
        <f>IF($N492="","",IF(INDEX(LdAId,$N492)="","—",INDEX(LdAId,$N492)))</f>
        <v/>
      </c>
      <c r="D492" s="21">
        <f>IF($N492="","",IF(INDEX(LdAAmt,$N492)=0,"",INDEX(LdAAmt,$N492)))</f>
        <v/>
      </c>
      <c r="E492" s="21">
        <f>IF($N492="","",SUMIFS(ShareAmt,ShareLink,$C492))</f>
        <v/>
      </c>
      <c r="F492" s="34">
        <f>IF($N492="","",COUNTIF(ShareLink,$C492))</f>
        <v/>
      </c>
      <c r="G492" s="22">
        <f>IF($N492="","",IF(ROUND($E492-$D492,0)=0,"√","▲ "&amp;TEXT($D492-$E492,"#,##0")))</f>
        <v/>
      </c>
      <c r="N492">
        <f>IFERROR(MATCH($C$5&amp;"|"&amp;RIGHT("000000"&amp;476,6),LdAKeyG,0),"")</f>
        <v/>
      </c>
    </row>
    <row r="493">
      <c r="A493" s="10" t="n">
        <v>477</v>
      </c>
      <c r="B493" s="14">
        <f>IF($N493="","",INDEX(LdADate,$N493))</f>
        <v/>
      </c>
      <c r="C493" s="14">
        <f>IF($N493="","",IF(INDEX(LdAId,$N493)="","—",INDEX(LdAId,$N493)))</f>
        <v/>
      </c>
      <c r="D493" s="16">
        <f>IF($N493="","",IF(INDEX(LdAAmt,$N493)=0,"",INDEX(LdAAmt,$N493)))</f>
        <v/>
      </c>
      <c r="E493" s="16">
        <f>IF($N493="","",SUMIFS(ShareAmt,ShareLink,$C493))</f>
        <v/>
      </c>
      <c r="F493" s="33">
        <f>IF($N493="","",COUNTIF(ShareLink,$C493))</f>
        <v/>
      </c>
      <c r="G493" s="17">
        <f>IF($N493="","",IF(ROUND($E493-$D493,0)=0,"√","▲ "&amp;TEXT($D493-$E493,"#,##0")))</f>
        <v/>
      </c>
      <c r="N493">
        <f>IFERROR(MATCH($C$5&amp;"|"&amp;RIGHT("000000"&amp;477,6),LdAKeyG,0),"")</f>
        <v/>
      </c>
    </row>
    <row r="494">
      <c r="A494" s="19" t="n">
        <v>478</v>
      </c>
      <c r="B494" s="20">
        <f>IF($N494="","",INDEX(LdADate,$N494))</f>
        <v/>
      </c>
      <c r="C494" s="20">
        <f>IF($N494="","",IF(INDEX(LdAId,$N494)="","—",INDEX(LdAId,$N494)))</f>
        <v/>
      </c>
      <c r="D494" s="21">
        <f>IF($N494="","",IF(INDEX(LdAAmt,$N494)=0,"",INDEX(LdAAmt,$N494)))</f>
        <v/>
      </c>
      <c r="E494" s="21">
        <f>IF($N494="","",SUMIFS(ShareAmt,ShareLink,$C494))</f>
        <v/>
      </c>
      <c r="F494" s="34">
        <f>IF($N494="","",COUNTIF(ShareLink,$C494))</f>
        <v/>
      </c>
      <c r="G494" s="22">
        <f>IF($N494="","",IF(ROUND($E494-$D494,0)=0,"√","▲ "&amp;TEXT($D494-$E494,"#,##0")))</f>
        <v/>
      </c>
      <c r="N494">
        <f>IFERROR(MATCH($C$5&amp;"|"&amp;RIGHT("000000"&amp;478,6),LdAKeyG,0),"")</f>
        <v/>
      </c>
    </row>
    <row r="495">
      <c r="A495" s="10" t="n">
        <v>479</v>
      </c>
      <c r="B495" s="14">
        <f>IF($N495="","",INDEX(LdADate,$N495))</f>
        <v/>
      </c>
      <c r="C495" s="14">
        <f>IF($N495="","",IF(INDEX(LdAId,$N495)="","—",INDEX(LdAId,$N495)))</f>
        <v/>
      </c>
      <c r="D495" s="16">
        <f>IF($N495="","",IF(INDEX(LdAAmt,$N495)=0,"",INDEX(LdAAmt,$N495)))</f>
        <v/>
      </c>
      <c r="E495" s="16">
        <f>IF($N495="","",SUMIFS(ShareAmt,ShareLink,$C495))</f>
        <v/>
      </c>
      <c r="F495" s="33">
        <f>IF($N495="","",COUNTIF(ShareLink,$C495))</f>
        <v/>
      </c>
      <c r="G495" s="17">
        <f>IF($N495="","",IF(ROUND($E495-$D495,0)=0,"√","▲ "&amp;TEXT($D495-$E495,"#,##0")))</f>
        <v/>
      </c>
      <c r="N495">
        <f>IFERROR(MATCH($C$5&amp;"|"&amp;RIGHT("000000"&amp;479,6),LdAKeyG,0),"")</f>
        <v/>
      </c>
    </row>
    <row r="496">
      <c r="A496" s="19" t="n">
        <v>480</v>
      </c>
      <c r="B496" s="20">
        <f>IF($N496="","",INDEX(LdADate,$N496))</f>
        <v/>
      </c>
      <c r="C496" s="20">
        <f>IF($N496="","",IF(INDEX(LdAId,$N496)="","—",INDEX(LdAId,$N496)))</f>
        <v/>
      </c>
      <c r="D496" s="21">
        <f>IF($N496="","",IF(INDEX(LdAAmt,$N496)=0,"",INDEX(LdAAmt,$N496)))</f>
        <v/>
      </c>
      <c r="E496" s="21">
        <f>IF($N496="","",SUMIFS(ShareAmt,ShareLink,$C496))</f>
        <v/>
      </c>
      <c r="F496" s="34">
        <f>IF($N496="","",COUNTIF(ShareLink,$C496))</f>
        <v/>
      </c>
      <c r="G496" s="22">
        <f>IF($N496="","",IF(ROUND($E496-$D496,0)=0,"√","▲ "&amp;TEXT($D496-$E496,"#,##0")))</f>
        <v/>
      </c>
      <c r="N496">
        <f>IFERROR(MATCH($C$5&amp;"|"&amp;RIGHT("000000"&amp;480,6),LdAKeyG,0),"")</f>
        <v/>
      </c>
    </row>
    <row r="497">
      <c r="A497" s="10" t="n">
        <v>481</v>
      </c>
      <c r="B497" s="14">
        <f>IF($N497="","",INDEX(LdADate,$N497))</f>
        <v/>
      </c>
      <c r="C497" s="14">
        <f>IF($N497="","",IF(INDEX(LdAId,$N497)="","—",INDEX(LdAId,$N497)))</f>
        <v/>
      </c>
      <c r="D497" s="16">
        <f>IF($N497="","",IF(INDEX(LdAAmt,$N497)=0,"",INDEX(LdAAmt,$N497)))</f>
        <v/>
      </c>
      <c r="E497" s="16">
        <f>IF($N497="","",SUMIFS(ShareAmt,ShareLink,$C497))</f>
        <v/>
      </c>
      <c r="F497" s="33">
        <f>IF($N497="","",COUNTIF(ShareLink,$C497))</f>
        <v/>
      </c>
      <c r="G497" s="17">
        <f>IF($N497="","",IF(ROUND($E497-$D497,0)=0,"√","▲ "&amp;TEXT($D497-$E497,"#,##0")))</f>
        <v/>
      </c>
      <c r="N497">
        <f>IFERROR(MATCH($C$5&amp;"|"&amp;RIGHT("000000"&amp;481,6),LdAKeyG,0),"")</f>
        <v/>
      </c>
    </row>
    <row r="498">
      <c r="A498" s="19" t="n">
        <v>482</v>
      </c>
      <c r="B498" s="20">
        <f>IF($N498="","",INDEX(LdADate,$N498))</f>
        <v/>
      </c>
      <c r="C498" s="20">
        <f>IF($N498="","",IF(INDEX(LdAId,$N498)="","—",INDEX(LdAId,$N498)))</f>
        <v/>
      </c>
      <c r="D498" s="21">
        <f>IF($N498="","",IF(INDEX(LdAAmt,$N498)=0,"",INDEX(LdAAmt,$N498)))</f>
        <v/>
      </c>
      <c r="E498" s="21">
        <f>IF($N498="","",SUMIFS(ShareAmt,ShareLink,$C498))</f>
        <v/>
      </c>
      <c r="F498" s="34">
        <f>IF($N498="","",COUNTIF(ShareLink,$C498))</f>
        <v/>
      </c>
      <c r="G498" s="22">
        <f>IF($N498="","",IF(ROUND($E498-$D498,0)=0,"√","▲ "&amp;TEXT($D498-$E498,"#,##0")))</f>
        <v/>
      </c>
      <c r="N498">
        <f>IFERROR(MATCH($C$5&amp;"|"&amp;RIGHT("000000"&amp;482,6),LdAKeyG,0),"")</f>
        <v/>
      </c>
    </row>
    <row r="499">
      <c r="A499" s="10" t="n">
        <v>483</v>
      </c>
      <c r="B499" s="14">
        <f>IF($N499="","",INDEX(LdADate,$N499))</f>
        <v/>
      </c>
      <c r="C499" s="14">
        <f>IF($N499="","",IF(INDEX(LdAId,$N499)="","—",INDEX(LdAId,$N499)))</f>
        <v/>
      </c>
      <c r="D499" s="16">
        <f>IF($N499="","",IF(INDEX(LdAAmt,$N499)=0,"",INDEX(LdAAmt,$N499)))</f>
        <v/>
      </c>
      <c r="E499" s="16">
        <f>IF($N499="","",SUMIFS(ShareAmt,ShareLink,$C499))</f>
        <v/>
      </c>
      <c r="F499" s="33">
        <f>IF($N499="","",COUNTIF(ShareLink,$C499))</f>
        <v/>
      </c>
      <c r="G499" s="17">
        <f>IF($N499="","",IF(ROUND($E499-$D499,0)=0,"√","▲ "&amp;TEXT($D499-$E499,"#,##0")))</f>
        <v/>
      </c>
      <c r="N499">
        <f>IFERROR(MATCH($C$5&amp;"|"&amp;RIGHT("000000"&amp;483,6),LdAKeyG,0),"")</f>
        <v/>
      </c>
    </row>
    <row r="500">
      <c r="A500" s="19" t="n">
        <v>484</v>
      </c>
      <c r="B500" s="20">
        <f>IF($N500="","",INDEX(LdADate,$N500))</f>
        <v/>
      </c>
      <c r="C500" s="20">
        <f>IF($N500="","",IF(INDEX(LdAId,$N500)="","—",INDEX(LdAId,$N500)))</f>
        <v/>
      </c>
      <c r="D500" s="21">
        <f>IF($N500="","",IF(INDEX(LdAAmt,$N500)=0,"",INDEX(LdAAmt,$N500)))</f>
        <v/>
      </c>
      <c r="E500" s="21">
        <f>IF($N500="","",SUMIFS(ShareAmt,ShareLink,$C500))</f>
        <v/>
      </c>
      <c r="F500" s="34">
        <f>IF($N500="","",COUNTIF(ShareLink,$C500))</f>
        <v/>
      </c>
      <c r="G500" s="22">
        <f>IF($N500="","",IF(ROUND($E500-$D500,0)=0,"√","▲ "&amp;TEXT($D500-$E500,"#,##0")))</f>
        <v/>
      </c>
      <c r="N500">
        <f>IFERROR(MATCH($C$5&amp;"|"&amp;RIGHT("000000"&amp;484,6),LdAKeyG,0),"")</f>
        <v/>
      </c>
    </row>
    <row r="501">
      <c r="A501" s="10" t="n">
        <v>485</v>
      </c>
      <c r="B501" s="14">
        <f>IF($N501="","",INDEX(LdADate,$N501))</f>
        <v/>
      </c>
      <c r="C501" s="14">
        <f>IF($N501="","",IF(INDEX(LdAId,$N501)="","—",INDEX(LdAId,$N501)))</f>
        <v/>
      </c>
      <c r="D501" s="16">
        <f>IF($N501="","",IF(INDEX(LdAAmt,$N501)=0,"",INDEX(LdAAmt,$N501)))</f>
        <v/>
      </c>
      <c r="E501" s="16">
        <f>IF($N501="","",SUMIFS(ShareAmt,ShareLink,$C501))</f>
        <v/>
      </c>
      <c r="F501" s="33">
        <f>IF($N501="","",COUNTIF(ShareLink,$C501))</f>
        <v/>
      </c>
      <c r="G501" s="17">
        <f>IF($N501="","",IF(ROUND($E501-$D501,0)=0,"√","▲ "&amp;TEXT($D501-$E501,"#,##0")))</f>
        <v/>
      </c>
      <c r="N501">
        <f>IFERROR(MATCH($C$5&amp;"|"&amp;RIGHT("000000"&amp;485,6),LdAKeyG,0),"")</f>
        <v/>
      </c>
    </row>
    <row r="502">
      <c r="A502" s="19" t="n">
        <v>486</v>
      </c>
      <c r="B502" s="20">
        <f>IF($N502="","",INDEX(LdADate,$N502))</f>
        <v/>
      </c>
      <c r="C502" s="20">
        <f>IF($N502="","",IF(INDEX(LdAId,$N502)="","—",INDEX(LdAId,$N502)))</f>
        <v/>
      </c>
      <c r="D502" s="21">
        <f>IF($N502="","",IF(INDEX(LdAAmt,$N502)=0,"",INDEX(LdAAmt,$N502)))</f>
        <v/>
      </c>
      <c r="E502" s="21">
        <f>IF($N502="","",SUMIFS(ShareAmt,ShareLink,$C502))</f>
        <v/>
      </c>
      <c r="F502" s="34">
        <f>IF($N502="","",COUNTIF(ShareLink,$C502))</f>
        <v/>
      </c>
      <c r="G502" s="22">
        <f>IF($N502="","",IF(ROUND($E502-$D502,0)=0,"√","▲ "&amp;TEXT($D502-$E502,"#,##0")))</f>
        <v/>
      </c>
      <c r="N502">
        <f>IFERROR(MATCH($C$5&amp;"|"&amp;RIGHT("000000"&amp;486,6),LdAKeyG,0),"")</f>
        <v/>
      </c>
    </row>
    <row r="503">
      <c r="A503" s="10" t="n">
        <v>487</v>
      </c>
      <c r="B503" s="14">
        <f>IF($N503="","",INDEX(LdADate,$N503))</f>
        <v/>
      </c>
      <c r="C503" s="14">
        <f>IF($N503="","",IF(INDEX(LdAId,$N503)="","—",INDEX(LdAId,$N503)))</f>
        <v/>
      </c>
      <c r="D503" s="16">
        <f>IF($N503="","",IF(INDEX(LdAAmt,$N503)=0,"",INDEX(LdAAmt,$N503)))</f>
        <v/>
      </c>
      <c r="E503" s="16">
        <f>IF($N503="","",SUMIFS(ShareAmt,ShareLink,$C503))</f>
        <v/>
      </c>
      <c r="F503" s="33">
        <f>IF($N503="","",COUNTIF(ShareLink,$C503))</f>
        <v/>
      </c>
      <c r="G503" s="17">
        <f>IF($N503="","",IF(ROUND($E503-$D503,0)=0,"√","▲ "&amp;TEXT($D503-$E503,"#,##0")))</f>
        <v/>
      </c>
      <c r="N503">
        <f>IFERROR(MATCH($C$5&amp;"|"&amp;RIGHT("000000"&amp;487,6),LdAKeyG,0),"")</f>
        <v/>
      </c>
    </row>
    <row r="504">
      <c r="A504" s="19" t="n">
        <v>488</v>
      </c>
      <c r="B504" s="20">
        <f>IF($N504="","",INDEX(LdADate,$N504))</f>
        <v/>
      </c>
      <c r="C504" s="20">
        <f>IF($N504="","",IF(INDEX(LdAId,$N504)="","—",INDEX(LdAId,$N504)))</f>
        <v/>
      </c>
      <c r="D504" s="21">
        <f>IF($N504="","",IF(INDEX(LdAAmt,$N504)=0,"",INDEX(LdAAmt,$N504)))</f>
        <v/>
      </c>
      <c r="E504" s="21">
        <f>IF($N504="","",SUMIFS(ShareAmt,ShareLink,$C504))</f>
        <v/>
      </c>
      <c r="F504" s="34">
        <f>IF($N504="","",COUNTIF(ShareLink,$C504))</f>
        <v/>
      </c>
      <c r="G504" s="22">
        <f>IF($N504="","",IF(ROUND($E504-$D504,0)=0,"√","▲ "&amp;TEXT($D504-$E504,"#,##0")))</f>
        <v/>
      </c>
      <c r="N504">
        <f>IFERROR(MATCH($C$5&amp;"|"&amp;RIGHT("000000"&amp;488,6),LdAKeyG,0),"")</f>
        <v/>
      </c>
    </row>
    <row r="505">
      <c r="A505" s="10" t="n">
        <v>489</v>
      </c>
      <c r="B505" s="14">
        <f>IF($N505="","",INDEX(LdADate,$N505))</f>
        <v/>
      </c>
      <c r="C505" s="14">
        <f>IF($N505="","",IF(INDEX(LdAId,$N505)="","—",INDEX(LdAId,$N505)))</f>
        <v/>
      </c>
      <c r="D505" s="16">
        <f>IF($N505="","",IF(INDEX(LdAAmt,$N505)=0,"",INDEX(LdAAmt,$N505)))</f>
        <v/>
      </c>
      <c r="E505" s="16">
        <f>IF($N505="","",SUMIFS(ShareAmt,ShareLink,$C505))</f>
        <v/>
      </c>
      <c r="F505" s="33">
        <f>IF($N505="","",COUNTIF(ShareLink,$C505))</f>
        <v/>
      </c>
      <c r="G505" s="17">
        <f>IF($N505="","",IF(ROUND($E505-$D505,0)=0,"√","▲ "&amp;TEXT($D505-$E505,"#,##0")))</f>
        <v/>
      </c>
      <c r="N505">
        <f>IFERROR(MATCH($C$5&amp;"|"&amp;RIGHT("000000"&amp;489,6),LdAKeyG,0),"")</f>
        <v/>
      </c>
    </row>
    <row r="506">
      <c r="A506" s="19" t="n">
        <v>490</v>
      </c>
      <c r="B506" s="20">
        <f>IF($N506="","",INDEX(LdADate,$N506))</f>
        <v/>
      </c>
      <c r="C506" s="20">
        <f>IF($N506="","",IF(INDEX(LdAId,$N506)="","—",INDEX(LdAId,$N506)))</f>
        <v/>
      </c>
      <c r="D506" s="21">
        <f>IF($N506="","",IF(INDEX(LdAAmt,$N506)=0,"",INDEX(LdAAmt,$N506)))</f>
        <v/>
      </c>
      <c r="E506" s="21">
        <f>IF($N506="","",SUMIFS(ShareAmt,ShareLink,$C506))</f>
        <v/>
      </c>
      <c r="F506" s="34">
        <f>IF($N506="","",COUNTIF(ShareLink,$C506))</f>
        <v/>
      </c>
      <c r="G506" s="22">
        <f>IF($N506="","",IF(ROUND($E506-$D506,0)=0,"√","▲ "&amp;TEXT($D506-$E506,"#,##0")))</f>
        <v/>
      </c>
      <c r="N506">
        <f>IFERROR(MATCH($C$5&amp;"|"&amp;RIGHT("000000"&amp;490,6),LdAKeyG,0),"")</f>
        <v/>
      </c>
    </row>
    <row r="507">
      <c r="A507" s="10" t="n">
        <v>491</v>
      </c>
      <c r="B507" s="14">
        <f>IF($N507="","",INDEX(LdADate,$N507))</f>
        <v/>
      </c>
      <c r="C507" s="14">
        <f>IF($N507="","",IF(INDEX(LdAId,$N507)="","—",INDEX(LdAId,$N507)))</f>
        <v/>
      </c>
      <c r="D507" s="16">
        <f>IF($N507="","",IF(INDEX(LdAAmt,$N507)=0,"",INDEX(LdAAmt,$N507)))</f>
        <v/>
      </c>
      <c r="E507" s="16">
        <f>IF($N507="","",SUMIFS(ShareAmt,ShareLink,$C507))</f>
        <v/>
      </c>
      <c r="F507" s="33">
        <f>IF($N507="","",COUNTIF(ShareLink,$C507))</f>
        <v/>
      </c>
      <c r="G507" s="17">
        <f>IF($N507="","",IF(ROUND($E507-$D507,0)=0,"√","▲ "&amp;TEXT($D507-$E507,"#,##0")))</f>
        <v/>
      </c>
      <c r="N507">
        <f>IFERROR(MATCH($C$5&amp;"|"&amp;RIGHT("000000"&amp;491,6),LdAKeyG,0),"")</f>
        <v/>
      </c>
    </row>
    <row r="508">
      <c r="A508" s="19" t="n">
        <v>492</v>
      </c>
      <c r="B508" s="20">
        <f>IF($N508="","",INDEX(LdADate,$N508))</f>
        <v/>
      </c>
      <c r="C508" s="20">
        <f>IF($N508="","",IF(INDEX(LdAId,$N508)="","—",INDEX(LdAId,$N508)))</f>
        <v/>
      </c>
      <c r="D508" s="21">
        <f>IF($N508="","",IF(INDEX(LdAAmt,$N508)=0,"",INDEX(LdAAmt,$N508)))</f>
        <v/>
      </c>
      <c r="E508" s="21">
        <f>IF($N508="","",SUMIFS(ShareAmt,ShareLink,$C508))</f>
        <v/>
      </c>
      <c r="F508" s="34">
        <f>IF($N508="","",COUNTIF(ShareLink,$C508))</f>
        <v/>
      </c>
      <c r="G508" s="22">
        <f>IF($N508="","",IF(ROUND($E508-$D508,0)=0,"√","▲ "&amp;TEXT($D508-$E508,"#,##0")))</f>
        <v/>
      </c>
      <c r="N508">
        <f>IFERROR(MATCH($C$5&amp;"|"&amp;RIGHT("000000"&amp;492,6),LdAKeyG,0),"")</f>
        <v/>
      </c>
    </row>
    <row r="509">
      <c r="A509" s="10" t="n">
        <v>493</v>
      </c>
      <c r="B509" s="14">
        <f>IF($N509="","",INDEX(LdADate,$N509))</f>
        <v/>
      </c>
      <c r="C509" s="14">
        <f>IF($N509="","",IF(INDEX(LdAId,$N509)="","—",INDEX(LdAId,$N509)))</f>
        <v/>
      </c>
      <c r="D509" s="16">
        <f>IF($N509="","",IF(INDEX(LdAAmt,$N509)=0,"",INDEX(LdAAmt,$N509)))</f>
        <v/>
      </c>
      <c r="E509" s="16">
        <f>IF($N509="","",SUMIFS(ShareAmt,ShareLink,$C509))</f>
        <v/>
      </c>
      <c r="F509" s="33">
        <f>IF($N509="","",COUNTIF(ShareLink,$C509))</f>
        <v/>
      </c>
      <c r="G509" s="17">
        <f>IF($N509="","",IF(ROUND($E509-$D509,0)=0,"√","▲ "&amp;TEXT($D509-$E509,"#,##0")))</f>
        <v/>
      </c>
      <c r="N509">
        <f>IFERROR(MATCH($C$5&amp;"|"&amp;RIGHT("000000"&amp;493,6),LdAKeyG,0),"")</f>
        <v/>
      </c>
    </row>
    <row r="510">
      <c r="A510" s="19" t="n">
        <v>494</v>
      </c>
      <c r="B510" s="20">
        <f>IF($N510="","",INDEX(LdADate,$N510))</f>
        <v/>
      </c>
      <c r="C510" s="20">
        <f>IF($N510="","",IF(INDEX(LdAId,$N510)="","—",INDEX(LdAId,$N510)))</f>
        <v/>
      </c>
      <c r="D510" s="21">
        <f>IF($N510="","",IF(INDEX(LdAAmt,$N510)=0,"",INDEX(LdAAmt,$N510)))</f>
        <v/>
      </c>
      <c r="E510" s="21">
        <f>IF($N510="","",SUMIFS(ShareAmt,ShareLink,$C510))</f>
        <v/>
      </c>
      <c r="F510" s="34">
        <f>IF($N510="","",COUNTIF(ShareLink,$C510))</f>
        <v/>
      </c>
      <c r="G510" s="22">
        <f>IF($N510="","",IF(ROUND($E510-$D510,0)=0,"√","▲ "&amp;TEXT($D510-$E510,"#,##0")))</f>
        <v/>
      </c>
      <c r="N510">
        <f>IFERROR(MATCH($C$5&amp;"|"&amp;RIGHT("000000"&amp;494,6),LdAKeyG,0),"")</f>
        <v/>
      </c>
    </row>
    <row r="511">
      <c r="A511" s="10" t="n">
        <v>495</v>
      </c>
      <c r="B511" s="14">
        <f>IF($N511="","",INDEX(LdADate,$N511))</f>
        <v/>
      </c>
      <c r="C511" s="14">
        <f>IF($N511="","",IF(INDEX(LdAId,$N511)="","—",INDEX(LdAId,$N511)))</f>
        <v/>
      </c>
      <c r="D511" s="16">
        <f>IF($N511="","",IF(INDEX(LdAAmt,$N511)=0,"",INDEX(LdAAmt,$N511)))</f>
        <v/>
      </c>
      <c r="E511" s="16">
        <f>IF($N511="","",SUMIFS(ShareAmt,ShareLink,$C511))</f>
        <v/>
      </c>
      <c r="F511" s="33">
        <f>IF($N511="","",COUNTIF(ShareLink,$C511))</f>
        <v/>
      </c>
      <c r="G511" s="17">
        <f>IF($N511="","",IF(ROUND($E511-$D511,0)=0,"√","▲ "&amp;TEXT($D511-$E511,"#,##0")))</f>
        <v/>
      </c>
      <c r="N511">
        <f>IFERROR(MATCH($C$5&amp;"|"&amp;RIGHT("000000"&amp;495,6),LdAKeyG,0),"")</f>
        <v/>
      </c>
    </row>
    <row r="512">
      <c r="A512" s="19" t="n">
        <v>496</v>
      </c>
      <c r="B512" s="20">
        <f>IF($N512="","",INDEX(LdADate,$N512))</f>
        <v/>
      </c>
      <c r="C512" s="20">
        <f>IF($N512="","",IF(INDEX(LdAId,$N512)="","—",INDEX(LdAId,$N512)))</f>
        <v/>
      </c>
      <c r="D512" s="21">
        <f>IF($N512="","",IF(INDEX(LdAAmt,$N512)=0,"",INDEX(LdAAmt,$N512)))</f>
        <v/>
      </c>
      <c r="E512" s="21">
        <f>IF($N512="","",SUMIFS(ShareAmt,ShareLink,$C512))</f>
        <v/>
      </c>
      <c r="F512" s="34">
        <f>IF($N512="","",COUNTIF(ShareLink,$C512))</f>
        <v/>
      </c>
      <c r="G512" s="22">
        <f>IF($N512="","",IF(ROUND($E512-$D512,0)=0,"√","▲ "&amp;TEXT($D512-$E512,"#,##0")))</f>
        <v/>
      </c>
      <c r="N512">
        <f>IFERROR(MATCH($C$5&amp;"|"&amp;RIGHT("000000"&amp;496,6),LdAKeyG,0),"")</f>
        <v/>
      </c>
    </row>
    <row r="513">
      <c r="A513" s="10" t="n">
        <v>497</v>
      </c>
      <c r="B513" s="14">
        <f>IF($N513="","",INDEX(LdADate,$N513))</f>
        <v/>
      </c>
      <c r="C513" s="14">
        <f>IF($N513="","",IF(INDEX(LdAId,$N513)="","—",INDEX(LdAId,$N513)))</f>
        <v/>
      </c>
      <c r="D513" s="16">
        <f>IF($N513="","",IF(INDEX(LdAAmt,$N513)=0,"",INDEX(LdAAmt,$N513)))</f>
        <v/>
      </c>
      <c r="E513" s="16">
        <f>IF($N513="","",SUMIFS(ShareAmt,ShareLink,$C513))</f>
        <v/>
      </c>
      <c r="F513" s="33">
        <f>IF($N513="","",COUNTIF(ShareLink,$C513))</f>
        <v/>
      </c>
      <c r="G513" s="17">
        <f>IF($N513="","",IF(ROUND($E513-$D513,0)=0,"√","▲ "&amp;TEXT($D513-$E513,"#,##0")))</f>
        <v/>
      </c>
      <c r="N513">
        <f>IFERROR(MATCH($C$5&amp;"|"&amp;RIGHT("000000"&amp;497,6),LdAKeyG,0),"")</f>
        <v/>
      </c>
    </row>
    <row r="514">
      <c r="A514" s="19" t="n">
        <v>498</v>
      </c>
      <c r="B514" s="20">
        <f>IF($N514="","",INDEX(LdADate,$N514))</f>
        <v/>
      </c>
      <c r="C514" s="20">
        <f>IF($N514="","",IF(INDEX(LdAId,$N514)="","—",INDEX(LdAId,$N514)))</f>
        <v/>
      </c>
      <c r="D514" s="21">
        <f>IF($N514="","",IF(INDEX(LdAAmt,$N514)=0,"",INDEX(LdAAmt,$N514)))</f>
        <v/>
      </c>
      <c r="E514" s="21">
        <f>IF($N514="","",SUMIFS(ShareAmt,ShareLink,$C514))</f>
        <v/>
      </c>
      <c r="F514" s="34">
        <f>IF($N514="","",COUNTIF(ShareLink,$C514))</f>
        <v/>
      </c>
      <c r="G514" s="22">
        <f>IF($N514="","",IF(ROUND($E514-$D514,0)=0,"√","▲ "&amp;TEXT($D514-$E514,"#,##0")))</f>
        <v/>
      </c>
      <c r="N514">
        <f>IFERROR(MATCH($C$5&amp;"|"&amp;RIGHT("000000"&amp;498,6),LdAKeyG,0),"")</f>
        <v/>
      </c>
    </row>
    <row r="515">
      <c r="A515" s="10" t="n">
        <v>499</v>
      </c>
      <c r="B515" s="14">
        <f>IF($N515="","",INDEX(LdADate,$N515))</f>
        <v/>
      </c>
      <c r="C515" s="14">
        <f>IF($N515="","",IF(INDEX(LdAId,$N515)="","—",INDEX(LdAId,$N515)))</f>
        <v/>
      </c>
      <c r="D515" s="16">
        <f>IF($N515="","",IF(INDEX(LdAAmt,$N515)=0,"",INDEX(LdAAmt,$N515)))</f>
        <v/>
      </c>
      <c r="E515" s="16">
        <f>IF($N515="","",SUMIFS(ShareAmt,ShareLink,$C515))</f>
        <v/>
      </c>
      <c r="F515" s="33">
        <f>IF($N515="","",COUNTIF(ShareLink,$C515))</f>
        <v/>
      </c>
      <c r="G515" s="17">
        <f>IF($N515="","",IF(ROUND($E515-$D515,0)=0,"√","▲ "&amp;TEXT($D515-$E515,"#,##0")))</f>
        <v/>
      </c>
      <c r="N515">
        <f>IFERROR(MATCH($C$5&amp;"|"&amp;RIGHT("000000"&amp;499,6),LdAKeyG,0),"")</f>
        <v/>
      </c>
    </row>
    <row r="516">
      <c r="A516" s="19" t="n">
        <v>500</v>
      </c>
      <c r="B516" s="20">
        <f>IF($N516="","",INDEX(LdADate,$N516))</f>
        <v/>
      </c>
      <c r="C516" s="20">
        <f>IF($N516="","",IF(INDEX(LdAId,$N516)="","—",INDEX(LdAId,$N516)))</f>
        <v/>
      </c>
      <c r="D516" s="21">
        <f>IF($N516="","",IF(INDEX(LdAAmt,$N516)=0,"",INDEX(LdAAmt,$N516)))</f>
        <v/>
      </c>
      <c r="E516" s="21">
        <f>IF($N516="","",SUMIFS(ShareAmt,ShareLink,$C516))</f>
        <v/>
      </c>
      <c r="F516" s="34">
        <f>IF($N516="","",COUNTIF(ShareLink,$C516))</f>
        <v/>
      </c>
      <c r="G516" s="22">
        <f>IF($N516="","",IF(ROUND($E516-$D516,0)=0,"√","▲ "&amp;TEXT($D516-$E516,"#,##0")))</f>
        <v/>
      </c>
      <c r="N516">
        <f>IFERROR(MATCH($C$5&amp;"|"&amp;RIGHT("000000"&amp;500,6),LdAKeyG,0),"")</f>
        <v/>
      </c>
    </row>
    <row r="517">
      <c r="A517" s="10" t="n">
        <v>501</v>
      </c>
      <c r="B517" s="14">
        <f>IF($N517="","",INDEX(LdADate,$N517))</f>
        <v/>
      </c>
      <c r="C517" s="14">
        <f>IF($N517="","",IF(INDEX(LdAId,$N517)="","—",INDEX(LdAId,$N517)))</f>
        <v/>
      </c>
      <c r="D517" s="16">
        <f>IF($N517="","",IF(INDEX(LdAAmt,$N517)=0,"",INDEX(LdAAmt,$N517)))</f>
        <v/>
      </c>
      <c r="E517" s="16">
        <f>IF($N517="","",SUMIFS(ShareAmt,ShareLink,$C517))</f>
        <v/>
      </c>
      <c r="F517" s="33">
        <f>IF($N517="","",COUNTIF(ShareLink,$C517))</f>
        <v/>
      </c>
      <c r="G517" s="17">
        <f>IF($N517="","",IF(ROUND($E517-$D517,0)=0,"√","▲ "&amp;TEXT($D517-$E517,"#,##0")))</f>
        <v/>
      </c>
      <c r="N517">
        <f>IFERROR(MATCH($C$5&amp;"|"&amp;RIGHT("000000"&amp;501,6),LdAKeyG,0),"")</f>
        <v/>
      </c>
    </row>
    <row r="518">
      <c r="A518" s="19" t="n">
        <v>502</v>
      </c>
      <c r="B518" s="20">
        <f>IF($N518="","",INDEX(LdADate,$N518))</f>
        <v/>
      </c>
      <c r="C518" s="20">
        <f>IF($N518="","",IF(INDEX(LdAId,$N518)="","—",INDEX(LdAId,$N518)))</f>
        <v/>
      </c>
      <c r="D518" s="21">
        <f>IF($N518="","",IF(INDEX(LdAAmt,$N518)=0,"",INDEX(LdAAmt,$N518)))</f>
        <v/>
      </c>
      <c r="E518" s="21">
        <f>IF($N518="","",SUMIFS(ShareAmt,ShareLink,$C518))</f>
        <v/>
      </c>
      <c r="F518" s="34">
        <f>IF($N518="","",COUNTIF(ShareLink,$C518))</f>
        <v/>
      </c>
      <c r="G518" s="22">
        <f>IF($N518="","",IF(ROUND($E518-$D518,0)=0,"√","▲ "&amp;TEXT($D518-$E518,"#,##0")))</f>
        <v/>
      </c>
      <c r="N518">
        <f>IFERROR(MATCH($C$5&amp;"|"&amp;RIGHT("000000"&amp;502,6),LdAKeyG,0),"")</f>
        <v/>
      </c>
    </row>
    <row r="519">
      <c r="A519" s="10" t="n">
        <v>503</v>
      </c>
      <c r="B519" s="14">
        <f>IF($N519="","",INDEX(LdADate,$N519))</f>
        <v/>
      </c>
      <c r="C519" s="14">
        <f>IF($N519="","",IF(INDEX(LdAId,$N519)="","—",INDEX(LdAId,$N519)))</f>
        <v/>
      </c>
      <c r="D519" s="16">
        <f>IF($N519="","",IF(INDEX(LdAAmt,$N519)=0,"",INDEX(LdAAmt,$N519)))</f>
        <v/>
      </c>
      <c r="E519" s="16">
        <f>IF($N519="","",SUMIFS(ShareAmt,ShareLink,$C519))</f>
        <v/>
      </c>
      <c r="F519" s="33">
        <f>IF($N519="","",COUNTIF(ShareLink,$C519))</f>
        <v/>
      </c>
      <c r="G519" s="17">
        <f>IF($N519="","",IF(ROUND($E519-$D519,0)=0,"√","▲ "&amp;TEXT($D519-$E519,"#,##0")))</f>
        <v/>
      </c>
      <c r="N519">
        <f>IFERROR(MATCH($C$5&amp;"|"&amp;RIGHT("000000"&amp;503,6),LdAKeyG,0),"")</f>
        <v/>
      </c>
    </row>
    <row r="520">
      <c r="A520" s="19" t="n">
        <v>504</v>
      </c>
      <c r="B520" s="20">
        <f>IF($N520="","",INDEX(LdADate,$N520))</f>
        <v/>
      </c>
      <c r="C520" s="20">
        <f>IF($N520="","",IF(INDEX(LdAId,$N520)="","—",INDEX(LdAId,$N520)))</f>
        <v/>
      </c>
      <c r="D520" s="21">
        <f>IF($N520="","",IF(INDEX(LdAAmt,$N520)=0,"",INDEX(LdAAmt,$N520)))</f>
        <v/>
      </c>
      <c r="E520" s="21">
        <f>IF($N520="","",SUMIFS(ShareAmt,ShareLink,$C520))</f>
        <v/>
      </c>
      <c r="F520" s="34">
        <f>IF($N520="","",COUNTIF(ShareLink,$C520))</f>
        <v/>
      </c>
      <c r="G520" s="22">
        <f>IF($N520="","",IF(ROUND($E520-$D520,0)=0,"√","▲ "&amp;TEXT($D520-$E520,"#,##0")))</f>
        <v/>
      </c>
      <c r="N520">
        <f>IFERROR(MATCH($C$5&amp;"|"&amp;RIGHT("000000"&amp;504,6),LdAKeyG,0),"")</f>
        <v/>
      </c>
    </row>
    <row r="521">
      <c r="A521" s="10" t="n">
        <v>505</v>
      </c>
      <c r="B521" s="14">
        <f>IF($N521="","",INDEX(LdADate,$N521))</f>
        <v/>
      </c>
      <c r="C521" s="14">
        <f>IF($N521="","",IF(INDEX(LdAId,$N521)="","—",INDEX(LdAId,$N521)))</f>
        <v/>
      </c>
      <c r="D521" s="16">
        <f>IF($N521="","",IF(INDEX(LdAAmt,$N521)=0,"",INDEX(LdAAmt,$N521)))</f>
        <v/>
      </c>
      <c r="E521" s="16">
        <f>IF($N521="","",SUMIFS(ShareAmt,ShareLink,$C521))</f>
        <v/>
      </c>
      <c r="F521" s="33">
        <f>IF($N521="","",COUNTIF(ShareLink,$C521))</f>
        <v/>
      </c>
      <c r="G521" s="17">
        <f>IF($N521="","",IF(ROUND($E521-$D521,0)=0,"√","▲ "&amp;TEXT($D521-$E521,"#,##0")))</f>
        <v/>
      </c>
      <c r="N521">
        <f>IFERROR(MATCH($C$5&amp;"|"&amp;RIGHT("000000"&amp;505,6),LdAKeyG,0),"")</f>
        <v/>
      </c>
    </row>
    <row r="522">
      <c r="A522" s="19" t="n">
        <v>506</v>
      </c>
      <c r="B522" s="20">
        <f>IF($N522="","",INDEX(LdADate,$N522))</f>
        <v/>
      </c>
      <c r="C522" s="20">
        <f>IF($N522="","",IF(INDEX(LdAId,$N522)="","—",INDEX(LdAId,$N522)))</f>
        <v/>
      </c>
      <c r="D522" s="21">
        <f>IF($N522="","",IF(INDEX(LdAAmt,$N522)=0,"",INDEX(LdAAmt,$N522)))</f>
        <v/>
      </c>
      <c r="E522" s="21">
        <f>IF($N522="","",SUMIFS(ShareAmt,ShareLink,$C522))</f>
        <v/>
      </c>
      <c r="F522" s="34">
        <f>IF($N522="","",COUNTIF(ShareLink,$C522))</f>
        <v/>
      </c>
      <c r="G522" s="22">
        <f>IF($N522="","",IF(ROUND($E522-$D522,0)=0,"√","▲ "&amp;TEXT($D522-$E522,"#,##0")))</f>
        <v/>
      </c>
      <c r="N522">
        <f>IFERROR(MATCH($C$5&amp;"|"&amp;RIGHT("000000"&amp;506,6),LdAKeyG,0),"")</f>
        <v/>
      </c>
    </row>
    <row r="523">
      <c r="A523" s="10" t="n">
        <v>507</v>
      </c>
      <c r="B523" s="14">
        <f>IF($N523="","",INDEX(LdADate,$N523))</f>
        <v/>
      </c>
      <c r="C523" s="14">
        <f>IF($N523="","",IF(INDEX(LdAId,$N523)="","—",INDEX(LdAId,$N523)))</f>
        <v/>
      </c>
      <c r="D523" s="16">
        <f>IF($N523="","",IF(INDEX(LdAAmt,$N523)=0,"",INDEX(LdAAmt,$N523)))</f>
        <v/>
      </c>
      <c r="E523" s="16">
        <f>IF($N523="","",SUMIFS(ShareAmt,ShareLink,$C523))</f>
        <v/>
      </c>
      <c r="F523" s="33">
        <f>IF($N523="","",COUNTIF(ShareLink,$C523))</f>
        <v/>
      </c>
      <c r="G523" s="17">
        <f>IF($N523="","",IF(ROUND($E523-$D523,0)=0,"√","▲ "&amp;TEXT($D523-$E523,"#,##0")))</f>
        <v/>
      </c>
      <c r="N523">
        <f>IFERROR(MATCH($C$5&amp;"|"&amp;RIGHT("000000"&amp;507,6),LdAKeyG,0),"")</f>
        <v/>
      </c>
    </row>
    <row r="524">
      <c r="A524" s="19" t="n">
        <v>508</v>
      </c>
      <c r="B524" s="20">
        <f>IF($N524="","",INDEX(LdADate,$N524))</f>
        <v/>
      </c>
      <c r="C524" s="20">
        <f>IF($N524="","",IF(INDEX(LdAId,$N524)="","—",INDEX(LdAId,$N524)))</f>
        <v/>
      </c>
      <c r="D524" s="21">
        <f>IF($N524="","",IF(INDEX(LdAAmt,$N524)=0,"",INDEX(LdAAmt,$N524)))</f>
        <v/>
      </c>
      <c r="E524" s="21">
        <f>IF($N524="","",SUMIFS(ShareAmt,ShareLink,$C524))</f>
        <v/>
      </c>
      <c r="F524" s="34">
        <f>IF($N524="","",COUNTIF(ShareLink,$C524))</f>
        <v/>
      </c>
      <c r="G524" s="22">
        <f>IF($N524="","",IF(ROUND($E524-$D524,0)=0,"√","▲ "&amp;TEXT($D524-$E524,"#,##0")))</f>
        <v/>
      </c>
      <c r="N524">
        <f>IFERROR(MATCH($C$5&amp;"|"&amp;RIGHT("000000"&amp;508,6),LdAKeyG,0),"")</f>
        <v/>
      </c>
    </row>
    <row r="525">
      <c r="A525" s="10" t="n">
        <v>509</v>
      </c>
      <c r="B525" s="14">
        <f>IF($N525="","",INDEX(LdADate,$N525))</f>
        <v/>
      </c>
      <c r="C525" s="14">
        <f>IF($N525="","",IF(INDEX(LdAId,$N525)="","—",INDEX(LdAId,$N525)))</f>
        <v/>
      </c>
      <c r="D525" s="16">
        <f>IF($N525="","",IF(INDEX(LdAAmt,$N525)=0,"",INDEX(LdAAmt,$N525)))</f>
        <v/>
      </c>
      <c r="E525" s="16">
        <f>IF($N525="","",SUMIFS(ShareAmt,ShareLink,$C525))</f>
        <v/>
      </c>
      <c r="F525" s="33">
        <f>IF($N525="","",COUNTIF(ShareLink,$C525))</f>
        <v/>
      </c>
      <c r="G525" s="17">
        <f>IF($N525="","",IF(ROUND($E525-$D525,0)=0,"√","▲ "&amp;TEXT($D525-$E525,"#,##0")))</f>
        <v/>
      </c>
      <c r="N525">
        <f>IFERROR(MATCH($C$5&amp;"|"&amp;RIGHT("000000"&amp;509,6),LdAKeyG,0),"")</f>
        <v/>
      </c>
    </row>
    <row r="526">
      <c r="A526" s="19" t="n">
        <v>510</v>
      </c>
      <c r="B526" s="20">
        <f>IF($N526="","",INDEX(LdADate,$N526))</f>
        <v/>
      </c>
      <c r="C526" s="20">
        <f>IF($N526="","",IF(INDEX(LdAId,$N526)="","—",INDEX(LdAId,$N526)))</f>
        <v/>
      </c>
      <c r="D526" s="21">
        <f>IF($N526="","",IF(INDEX(LdAAmt,$N526)=0,"",INDEX(LdAAmt,$N526)))</f>
        <v/>
      </c>
      <c r="E526" s="21">
        <f>IF($N526="","",SUMIFS(ShareAmt,ShareLink,$C526))</f>
        <v/>
      </c>
      <c r="F526" s="34">
        <f>IF($N526="","",COUNTIF(ShareLink,$C526))</f>
        <v/>
      </c>
      <c r="G526" s="22">
        <f>IF($N526="","",IF(ROUND($E526-$D526,0)=0,"√","▲ "&amp;TEXT($D526-$E526,"#,##0")))</f>
        <v/>
      </c>
      <c r="N526">
        <f>IFERROR(MATCH($C$5&amp;"|"&amp;RIGHT("000000"&amp;510,6),LdAKeyG,0),"")</f>
        <v/>
      </c>
    </row>
    <row r="527">
      <c r="A527" s="10" t="n">
        <v>511</v>
      </c>
      <c r="B527" s="14">
        <f>IF($N527="","",INDEX(LdADate,$N527))</f>
        <v/>
      </c>
      <c r="C527" s="14">
        <f>IF($N527="","",IF(INDEX(LdAId,$N527)="","—",INDEX(LdAId,$N527)))</f>
        <v/>
      </c>
      <c r="D527" s="16">
        <f>IF($N527="","",IF(INDEX(LdAAmt,$N527)=0,"",INDEX(LdAAmt,$N527)))</f>
        <v/>
      </c>
      <c r="E527" s="16">
        <f>IF($N527="","",SUMIFS(ShareAmt,ShareLink,$C527))</f>
        <v/>
      </c>
      <c r="F527" s="33">
        <f>IF($N527="","",COUNTIF(ShareLink,$C527))</f>
        <v/>
      </c>
      <c r="G527" s="17">
        <f>IF($N527="","",IF(ROUND($E527-$D527,0)=0,"√","▲ "&amp;TEXT($D527-$E527,"#,##0")))</f>
        <v/>
      </c>
      <c r="N527">
        <f>IFERROR(MATCH($C$5&amp;"|"&amp;RIGHT("000000"&amp;511,6),LdAKeyG,0),"")</f>
        <v/>
      </c>
    </row>
    <row r="528">
      <c r="A528" s="19" t="n">
        <v>512</v>
      </c>
      <c r="B528" s="20">
        <f>IF($N528="","",INDEX(LdADate,$N528))</f>
        <v/>
      </c>
      <c r="C528" s="20">
        <f>IF($N528="","",IF(INDEX(LdAId,$N528)="","—",INDEX(LdAId,$N528)))</f>
        <v/>
      </c>
      <c r="D528" s="21">
        <f>IF($N528="","",IF(INDEX(LdAAmt,$N528)=0,"",INDEX(LdAAmt,$N528)))</f>
        <v/>
      </c>
      <c r="E528" s="21">
        <f>IF($N528="","",SUMIFS(ShareAmt,ShareLink,$C528))</f>
        <v/>
      </c>
      <c r="F528" s="34">
        <f>IF($N528="","",COUNTIF(ShareLink,$C528))</f>
        <v/>
      </c>
      <c r="G528" s="22">
        <f>IF($N528="","",IF(ROUND($E528-$D528,0)=0,"√","▲ "&amp;TEXT($D528-$E528,"#,##0")))</f>
        <v/>
      </c>
      <c r="N528">
        <f>IFERROR(MATCH($C$5&amp;"|"&amp;RIGHT("000000"&amp;512,6),LdAKeyG,0),"")</f>
        <v/>
      </c>
    </row>
    <row r="529">
      <c r="A529" s="10" t="n">
        <v>513</v>
      </c>
      <c r="B529" s="14">
        <f>IF($N529="","",INDEX(LdADate,$N529))</f>
        <v/>
      </c>
      <c r="C529" s="14">
        <f>IF($N529="","",IF(INDEX(LdAId,$N529)="","—",INDEX(LdAId,$N529)))</f>
        <v/>
      </c>
      <c r="D529" s="16">
        <f>IF($N529="","",IF(INDEX(LdAAmt,$N529)=0,"",INDEX(LdAAmt,$N529)))</f>
        <v/>
      </c>
      <c r="E529" s="16">
        <f>IF($N529="","",SUMIFS(ShareAmt,ShareLink,$C529))</f>
        <v/>
      </c>
      <c r="F529" s="33">
        <f>IF($N529="","",COUNTIF(ShareLink,$C529))</f>
        <v/>
      </c>
      <c r="G529" s="17">
        <f>IF($N529="","",IF(ROUND($E529-$D529,0)=0,"√","▲ "&amp;TEXT($D529-$E529,"#,##0")))</f>
        <v/>
      </c>
      <c r="N529">
        <f>IFERROR(MATCH($C$5&amp;"|"&amp;RIGHT("000000"&amp;513,6),LdAKeyG,0),"")</f>
        <v/>
      </c>
    </row>
    <row r="530">
      <c r="A530" s="19" t="n">
        <v>514</v>
      </c>
      <c r="B530" s="20">
        <f>IF($N530="","",INDEX(LdADate,$N530))</f>
        <v/>
      </c>
      <c r="C530" s="20">
        <f>IF($N530="","",IF(INDEX(LdAId,$N530)="","—",INDEX(LdAId,$N530)))</f>
        <v/>
      </c>
      <c r="D530" s="21">
        <f>IF($N530="","",IF(INDEX(LdAAmt,$N530)=0,"",INDEX(LdAAmt,$N530)))</f>
        <v/>
      </c>
      <c r="E530" s="21">
        <f>IF($N530="","",SUMIFS(ShareAmt,ShareLink,$C530))</f>
        <v/>
      </c>
      <c r="F530" s="34">
        <f>IF($N530="","",COUNTIF(ShareLink,$C530))</f>
        <v/>
      </c>
      <c r="G530" s="22">
        <f>IF($N530="","",IF(ROUND($E530-$D530,0)=0,"√","▲ "&amp;TEXT($D530-$E530,"#,##0")))</f>
        <v/>
      </c>
      <c r="N530">
        <f>IFERROR(MATCH($C$5&amp;"|"&amp;RIGHT("000000"&amp;514,6),LdAKeyG,0),"")</f>
        <v/>
      </c>
    </row>
    <row r="531">
      <c r="A531" s="10" t="n">
        <v>515</v>
      </c>
      <c r="B531" s="14">
        <f>IF($N531="","",INDEX(LdADate,$N531))</f>
        <v/>
      </c>
      <c r="C531" s="14">
        <f>IF($N531="","",IF(INDEX(LdAId,$N531)="","—",INDEX(LdAId,$N531)))</f>
        <v/>
      </c>
      <c r="D531" s="16">
        <f>IF($N531="","",IF(INDEX(LdAAmt,$N531)=0,"",INDEX(LdAAmt,$N531)))</f>
        <v/>
      </c>
      <c r="E531" s="16">
        <f>IF($N531="","",SUMIFS(ShareAmt,ShareLink,$C531))</f>
        <v/>
      </c>
      <c r="F531" s="33">
        <f>IF($N531="","",COUNTIF(ShareLink,$C531))</f>
        <v/>
      </c>
      <c r="G531" s="17">
        <f>IF($N531="","",IF(ROUND($E531-$D531,0)=0,"√","▲ "&amp;TEXT($D531-$E531,"#,##0")))</f>
        <v/>
      </c>
      <c r="N531">
        <f>IFERROR(MATCH($C$5&amp;"|"&amp;RIGHT("000000"&amp;515,6),LdAKeyG,0),"")</f>
        <v/>
      </c>
    </row>
    <row r="532">
      <c r="A532" s="19" t="n">
        <v>516</v>
      </c>
      <c r="B532" s="20">
        <f>IF($N532="","",INDEX(LdADate,$N532))</f>
        <v/>
      </c>
      <c r="C532" s="20">
        <f>IF($N532="","",IF(INDEX(LdAId,$N532)="","—",INDEX(LdAId,$N532)))</f>
        <v/>
      </c>
      <c r="D532" s="21">
        <f>IF($N532="","",IF(INDEX(LdAAmt,$N532)=0,"",INDEX(LdAAmt,$N532)))</f>
        <v/>
      </c>
      <c r="E532" s="21">
        <f>IF($N532="","",SUMIFS(ShareAmt,ShareLink,$C532))</f>
        <v/>
      </c>
      <c r="F532" s="34">
        <f>IF($N532="","",COUNTIF(ShareLink,$C532))</f>
        <v/>
      </c>
      <c r="G532" s="22">
        <f>IF($N532="","",IF(ROUND($E532-$D532,0)=0,"√","▲ "&amp;TEXT($D532-$E532,"#,##0")))</f>
        <v/>
      </c>
      <c r="N532">
        <f>IFERROR(MATCH($C$5&amp;"|"&amp;RIGHT("000000"&amp;516,6),LdAKeyG,0),"")</f>
        <v/>
      </c>
    </row>
    <row r="533">
      <c r="A533" s="10" t="n">
        <v>517</v>
      </c>
      <c r="B533" s="14">
        <f>IF($N533="","",INDEX(LdADate,$N533))</f>
        <v/>
      </c>
      <c r="C533" s="14">
        <f>IF($N533="","",IF(INDEX(LdAId,$N533)="","—",INDEX(LdAId,$N533)))</f>
        <v/>
      </c>
      <c r="D533" s="16">
        <f>IF($N533="","",IF(INDEX(LdAAmt,$N533)=0,"",INDEX(LdAAmt,$N533)))</f>
        <v/>
      </c>
      <c r="E533" s="16">
        <f>IF($N533="","",SUMIFS(ShareAmt,ShareLink,$C533))</f>
        <v/>
      </c>
      <c r="F533" s="33">
        <f>IF($N533="","",COUNTIF(ShareLink,$C533))</f>
        <v/>
      </c>
      <c r="G533" s="17">
        <f>IF($N533="","",IF(ROUND($E533-$D533,0)=0,"√","▲ "&amp;TEXT($D533-$E533,"#,##0")))</f>
        <v/>
      </c>
      <c r="N533">
        <f>IFERROR(MATCH($C$5&amp;"|"&amp;RIGHT("000000"&amp;517,6),LdAKeyG,0),"")</f>
        <v/>
      </c>
    </row>
    <row r="534">
      <c r="A534" s="19" t="n">
        <v>518</v>
      </c>
      <c r="B534" s="20">
        <f>IF($N534="","",INDEX(LdADate,$N534))</f>
        <v/>
      </c>
      <c r="C534" s="20">
        <f>IF($N534="","",IF(INDEX(LdAId,$N534)="","—",INDEX(LdAId,$N534)))</f>
        <v/>
      </c>
      <c r="D534" s="21">
        <f>IF($N534="","",IF(INDEX(LdAAmt,$N534)=0,"",INDEX(LdAAmt,$N534)))</f>
        <v/>
      </c>
      <c r="E534" s="21">
        <f>IF($N534="","",SUMIFS(ShareAmt,ShareLink,$C534))</f>
        <v/>
      </c>
      <c r="F534" s="34">
        <f>IF($N534="","",COUNTIF(ShareLink,$C534))</f>
        <v/>
      </c>
      <c r="G534" s="22">
        <f>IF($N534="","",IF(ROUND($E534-$D534,0)=0,"√","▲ "&amp;TEXT($D534-$E534,"#,##0")))</f>
        <v/>
      </c>
      <c r="N534">
        <f>IFERROR(MATCH($C$5&amp;"|"&amp;RIGHT("000000"&amp;518,6),LdAKeyG,0),"")</f>
        <v/>
      </c>
    </row>
    <row r="535">
      <c r="A535" s="10" t="n">
        <v>519</v>
      </c>
      <c r="B535" s="14">
        <f>IF($N535="","",INDEX(LdADate,$N535))</f>
        <v/>
      </c>
      <c r="C535" s="14">
        <f>IF($N535="","",IF(INDEX(LdAId,$N535)="","—",INDEX(LdAId,$N535)))</f>
        <v/>
      </c>
      <c r="D535" s="16">
        <f>IF($N535="","",IF(INDEX(LdAAmt,$N535)=0,"",INDEX(LdAAmt,$N535)))</f>
        <v/>
      </c>
      <c r="E535" s="16">
        <f>IF($N535="","",SUMIFS(ShareAmt,ShareLink,$C535))</f>
        <v/>
      </c>
      <c r="F535" s="33">
        <f>IF($N535="","",COUNTIF(ShareLink,$C535))</f>
        <v/>
      </c>
      <c r="G535" s="17">
        <f>IF($N535="","",IF(ROUND($E535-$D535,0)=0,"√","▲ "&amp;TEXT($D535-$E535,"#,##0")))</f>
        <v/>
      </c>
      <c r="N535">
        <f>IFERROR(MATCH($C$5&amp;"|"&amp;RIGHT("000000"&amp;519,6),LdAKeyG,0),"")</f>
        <v/>
      </c>
    </row>
    <row r="536">
      <c r="A536" s="19" t="n">
        <v>520</v>
      </c>
      <c r="B536" s="20">
        <f>IF($N536="","",INDEX(LdADate,$N536))</f>
        <v/>
      </c>
      <c r="C536" s="20">
        <f>IF($N536="","",IF(INDEX(LdAId,$N536)="","—",INDEX(LdAId,$N536)))</f>
        <v/>
      </c>
      <c r="D536" s="21">
        <f>IF($N536="","",IF(INDEX(LdAAmt,$N536)=0,"",INDEX(LdAAmt,$N536)))</f>
        <v/>
      </c>
      <c r="E536" s="21">
        <f>IF($N536="","",SUMIFS(ShareAmt,ShareLink,$C536))</f>
        <v/>
      </c>
      <c r="F536" s="34">
        <f>IF($N536="","",COUNTIF(ShareLink,$C536))</f>
        <v/>
      </c>
      <c r="G536" s="22">
        <f>IF($N536="","",IF(ROUND($E536-$D536,0)=0,"√","▲ "&amp;TEXT($D536-$E536,"#,##0")))</f>
        <v/>
      </c>
      <c r="N536">
        <f>IFERROR(MATCH($C$5&amp;"|"&amp;RIGHT("000000"&amp;520,6),LdAKeyG,0),"")</f>
        <v/>
      </c>
    </row>
    <row r="537">
      <c r="A537" s="10" t="n">
        <v>521</v>
      </c>
      <c r="B537" s="14">
        <f>IF($N537="","",INDEX(LdADate,$N537))</f>
        <v/>
      </c>
      <c r="C537" s="14">
        <f>IF($N537="","",IF(INDEX(LdAId,$N537)="","—",INDEX(LdAId,$N537)))</f>
        <v/>
      </c>
      <c r="D537" s="16">
        <f>IF($N537="","",IF(INDEX(LdAAmt,$N537)=0,"",INDEX(LdAAmt,$N537)))</f>
        <v/>
      </c>
      <c r="E537" s="16">
        <f>IF($N537="","",SUMIFS(ShareAmt,ShareLink,$C537))</f>
        <v/>
      </c>
      <c r="F537" s="33">
        <f>IF($N537="","",COUNTIF(ShareLink,$C537))</f>
        <v/>
      </c>
      <c r="G537" s="17">
        <f>IF($N537="","",IF(ROUND($E537-$D537,0)=0,"√","▲ "&amp;TEXT($D537-$E537,"#,##0")))</f>
        <v/>
      </c>
      <c r="N537">
        <f>IFERROR(MATCH($C$5&amp;"|"&amp;RIGHT("000000"&amp;521,6),LdAKeyG,0),"")</f>
        <v/>
      </c>
    </row>
    <row r="538">
      <c r="A538" s="19" t="n">
        <v>522</v>
      </c>
      <c r="B538" s="20">
        <f>IF($N538="","",INDEX(LdADate,$N538))</f>
        <v/>
      </c>
      <c r="C538" s="20">
        <f>IF($N538="","",IF(INDEX(LdAId,$N538)="","—",INDEX(LdAId,$N538)))</f>
        <v/>
      </c>
      <c r="D538" s="21">
        <f>IF($N538="","",IF(INDEX(LdAAmt,$N538)=0,"",INDEX(LdAAmt,$N538)))</f>
        <v/>
      </c>
      <c r="E538" s="21">
        <f>IF($N538="","",SUMIFS(ShareAmt,ShareLink,$C538))</f>
        <v/>
      </c>
      <c r="F538" s="34">
        <f>IF($N538="","",COUNTIF(ShareLink,$C538))</f>
        <v/>
      </c>
      <c r="G538" s="22">
        <f>IF($N538="","",IF(ROUND($E538-$D538,0)=0,"√","▲ "&amp;TEXT($D538-$E538,"#,##0")))</f>
        <v/>
      </c>
      <c r="N538">
        <f>IFERROR(MATCH($C$5&amp;"|"&amp;RIGHT("000000"&amp;522,6),LdAKeyG,0),"")</f>
        <v/>
      </c>
    </row>
    <row r="539">
      <c r="A539" s="10" t="n">
        <v>523</v>
      </c>
      <c r="B539" s="14">
        <f>IF($N539="","",INDEX(LdADate,$N539))</f>
        <v/>
      </c>
      <c r="C539" s="14">
        <f>IF($N539="","",IF(INDEX(LdAId,$N539)="","—",INDEX(LdAId,$N539)))</f>
        <v/>
      </c>
      <c r="D539" s="16">
        <f>IF($N539="","",IF(INDEX(LdAAmt,$N539)=0,"",INDEX(LdAAmt,$N539)))</f>
        <v/>
      </c>
      <c r="E539" s="16">
        <f>IF($N539="","",SUMIFS(ShareAmt,ShareLink,$C539))</f>
        <v/>
      </c>
      <c r="F539" s="33">
        <f>IF($N539="","",COUNTIF(ShareLink,$C539))</f>
        <v/>
      </c>
      <c r="G539" s="17">
        <f>IF($N539="","",IF(ROUND($E539-$D539,0)=0,"√","▲ "&amp;TEXT($D539-$E539,"#,##0")))</f>
        <v/>
      </c>
      <c r="N539">
        <f>IFERROR(MATCH($C$5&amp;"|"&amp;RIGHT("000000"&amp;523,6),LdAKeyG,0),"")</f>
        <v/>
      </c>
    </row>
    <row r="540">
      <c r="A540" s="19" t="n">
        <v>524</v>
      </c>
      <c r="B540" s="20">
        <f>IF($N540="","",INDEX(LdADate,$N540))</f>
        <v/>
      </c>
      <c r="C540" s="20">
        <f>IF($N540="","",IF(INDEX(LdAId,$N540)="","—",INDEX(LdAId,$N540)))</f>
        <v/>
      </c>
      <c r="D540" s="21">
        <f>IF($N540="","",IF(INDEX(LdAAmt,$N540)=0,"",INDEX(LdAAmt,$N540)))</f>
        <v/>
      </c>
      <c r="E540" s="21">
        <f>IF($N540="","",SUMIFS(ShareAmt,ShareLink,$C540))</f>
        <v/>
      </c>
      <c r="F540" s="34">
        <f>IF($N540="","",COUNTIF(ShareLink,$C540))</f>
        <v/>
      </c>
      <c r="G540" s="22">
        <f>IF($N540="","",IF(ROUND($E540-$D540,0)=0,"√","▲ "&amp;TEXT($D540-$E540,"#,##0")))</f>
        <v/>
      </c>
      <c r="N540">
        <f>IFERROR(MATCH($C$5&amp;"|"&amp;RIGHT("000000"&amp;524,6),LdAKeyG,0),"")</f>
        <v/>
      </c>
    </row>
    <row r="541">
      <c r="A541" s="10" t="n">
        <v>525</v>
      </c>
      <c r="B541" s="14">
        <f>IF($N541="","",INDEX(LdADate,$N541))</f>
        <v/>
      </c>
      <c r="C541" s="14">
        <f>IF($N541="","",IF(INDEX(LdAId,$N541)="","—",INDEX(LdAId,$N541)))</f>
        <v/>
      </c>
      <c r="D541" s="16">
        <f>IF($N541="","",IF(INDEX(LdAAmt,$N541)=0,"",INDEX(LdAAmt,$N541)))</f>
        <v/>
      </c>
      <c r="E541" s="16">
        <f>IF($N541="","",SUMIFS(ShareAmt,ShareLink,$C541))</f>
        <v/>
      </c>
      <c r="F541" s="33">
        <f>IF($N541="","",COUNTIF(ShareLink,$C541))</f>
        <v/>
      </c>
      <c r="G541" s="17">
        <f>IF($N541="","",IF(ROUND($E541-$D541,0)=0,"√","▲ "&amp;TEXT($D541-$E541,"#,##0")))</f>
        <v/>
      </c>
      <c r="N541">
        <f>IFERROR(MATCH($C$5&amp;"|"&amp;RIGHT("000000"&amp;525,6),LdAKeyG,0),"")</f>
        <v/>
      </c>
    </row>
    <row r="542">
      <c r="A542" s="19" t="n">
        <v>526</v>
      </c>
      <c r="B542" s="20">
        <f>IF($N542="","",INDEX(LdADate,$N542))</f>
        <v/>
      </c>
      <c r="C542" s="20">
        <f>IF($N542="","",IF(INDEX(LdAId,$N542)="","—",INDEX(LdAId,$N542)))</f>
        <v/>
      </c>
      <c r="D542" s="21">
        <f>IF($N542="","",IF(INDEX(LdAAmt,$N542)=0,"",INDEX(LdAAmt,$N542)))</f>
        <v/>
      </c>
      <c r="E542" s="21">
        <f>IF($N542="","",SUMIFS(ShareAmt,ShareLink,$C542))</f>
        <v/>
      </c>
      <c r="F542" s="34">
        <f>IF($N542="","",COUNTIF(ShareLink,$C542))</f>
        <v/>
      </c>
      <c r="G542" s="22">
        <f>IF($N542="","",IF(ROUND($E542-$D542,0)=0,"√","▲ "&amp;TEXT($D542-$E542,"#,##0")))</f>
        <v/>
      </c>
      <c r="N542">
        <f>IFERROR(MATCH($C$5&amp;"|"&amp;RIGHT("000000"&amp;526,6),LdAKeyG,0),"")</f>
        <v/>
      </c>
    </row>
    <row r="543">
      <c r="A543" s="10" t="n">
        <v>527</v>
      </c>
      <c r="B543" s="14">
        <f>IF($N543="","",INDEX(LdADate,$N543))</f>
        <v/>
      </c>
      <c r="C543" s="14">
        <f>IF($N543="","",IF(INDEX(LdAId,$N543)="","—",INDEX(LdAId,$N543)))</f>
        <v/>
      </c>
      <c r="D543" s="16">
        <f>IF($N543="","",IF(INDEX(LdAAmt,$N543)=0,"",INDEX(LdAAmt,$N543)))</f>
        <v/>
      </c>
      <c r="E543" s="16">
        <f>IF($N543="","",SUMIFS(ShareAmt,ShareLink,$C543))</f>
        <v/>
      </c>
      <c r="F543" s="33">
        <f>IF($N543="","",COUNTIF(ShareLink,$C543))</f>
        <v/>
      </c>
      <c r="G543" s="17">
        <f>IF($N543="","",IF(ROUND($E543-$D543,0)=0,"√","▲ "&amp;TEXT($D543-$E543,"#,##0")))</f>
        <v/>
      </c>
      <c r="N543">
        <f>IFERROR(MATCH($C$5&amp;"|"&amp;RIGHT("000000"&amp;527,6),LdAKeyG,0),"")</f>
        <v/>
      </c>
    </row>
    <row r="544">
      <c r="A544" s="19" t="n">
        <v>528</v>
      </c>
      <c r="B544" s="20">
        <f>IF($N544="","",INDEX(LdADate,$N544))</f>
        <v/>
      </c>
      <c r="C544" s="20">
        <f>IF($N544="","",IF(INDEX(LdAId,$N544)="","—",INDEX(LdAId,$N544)))</f>
        <v/>
      </c>
      <c r="D544" s="21">
        <f>IF($N544="","",IF(INDEX(LdAAmt,$N544)=0,"",INDEX(LdAAmt,$N544)))</f>
        <v/>
      </c>
      <c r="E544" s="21">
        <f>IF($N544="","",SUMIFS(ShareAmt,ShareLink,$C544))</f>
        <v/>
      </c>
      <c r="F544" s="34">
        <f>IF($N544="","",COUNTIF(ShareLink,$C544))</f>
        <v/>
      </c>
      <c r="G544" s="22">
        <f>IF($N544="","",IF(ROUND($E544-$D544,0)=0,"√","▲ "&amp;TEXT($D544-$E544,"#,##0")))</f>
        <v/>
      </c>
      <c r="N544">
        <f>IFERROR(MATCH($C$5&amp;"|"&amp;RIGHT("000000"&amp;528,6),LdAKeyG,0),"")</f>
        <v/>
      </c>
    </row>
    <row r="545">
      <c r="A545" s="10" t="n">
        <v>529</v>
      </c>
      <c r="B545" s="14">
        <f>IF($N545="","",INDEX(LdADate,$N545))</f>
        <v/>
      </c>
      <c r="C545" s="14">
        <f>IF($N545="","",IF(INDEX(LdAId,$N545)="","—",INDEX(LdAId,$N545)))</f>
        <v/>
      </c>
      <c r="D545" s="16">
        <f>IF($N545="","",IF(INDEX(LdAAmt,$N545)=0,"",INDEX(LdAAmt,$N545)))</f>
        <v/>
      </c>
      <c r="E545" s="16">
        <f>IF($N545="","",SUMIFS(ShareAmt,ShareLink,$C545))</f>
        <v/>
      </c>
      <c r="F545" s="33">
        <f>IF($N545="","",COUNTIF(ShareLink,$C545))</f>
        <v/>
      </c>
      <c r="G545" s="17">
        <f>IF($N545="","",IF(ROUND($E545-$D545,0)=0,"√","▲ "&amp;TEXT($D545-$E545,"#,##0")))</f>
        <v/>
      </c>
      <c r="N545">
        <f>IFERROR(MATCH($C$5&amp;"|"&amp;RIGHT("000000"&amp;529,6),LdAKeyG,0),"")</f>
        <v/>
      </c>
    </row>
    <row r="546">
      <c r="A546" s="19" t="n">
        <v>530</v>
      </c>
      <c r="B546" s="20">
        <f>IF($N546="","",INDEX(LdADate,$N546))</f>
        <v/>
      </c>
      <c r="C546" s="20">
        <f>IF($N546="","",IF(INDEX(LdAId,$N546)="","—",INDEX(LdAId,$N546)))</f>
        <v/>
      </c>
      <c r="D546" s="21">
        <f>IF($N546="","",IF(INDEX(LdAAmt,$N546)=0,"",INDEX(LdAAmt,$N546)))</f>
        <v/>
      </c>
      <c r="E546" s="21">
        <f>IF($N546="","",SUMIFS(ShareAmt,ShareLink,$C546))</f>
        <v/>
      </c>
      <c r="F546" s="34">
        <f>IF($N546="","",COUNTIF(ShareLink,$C546))</f>
        <v/>
      </c>
      <c r="G546" s="22">
        <f>IF($N546="","",IF(ROUND($E546-$D546,0)=0,"√","▲ "&amp;TEXT($D546-$E546,"#,##0")))</f>
        <v/>
      </c>
      <c r="N546">
        <f>IFERROR(MATCH($C$5&amp;"|"&amp;RIGHT("000000"&amp;530,6),LdAKeyG,0),"")</f>
        <v/>
      </c>
    </row>
    <row r="547">
      <c r="A547" s="10" t="n">
        <v>531</v>
      </c>
      <c r="B547" s="14">
        <f>IF($N547="","",INDEX(LdADate,$N547))</f>
        <v/>
      </c>
      <c r="C547" s="14">
        <f>IF($N547="","",IF(INDEX(LdAId,$N547)="","—",INDEX(LdAId,$N547)))</f>
        <v/>
      </c>
      <c r="D547" s="16">
        <f>IF($N547="","",IF(INDEX(LdAAmt,$N547)=0,"",INDEX(LdAAmt,$N547)))</f>
        <v/>
      </c>
      <c r="E547" s="16">
        <f>IF($N547="","",SUMIFS(ShareAmt,ShareLink,$C547))</f>
        <v/>
      </c>
      <c r="F547" s="33">
        <f>IF($N547="","",COUNTIF(ShareLink,$C547))</f>
        <v/>
      </c>
      <c r="G547" s="17">
        <f>IF($N547="","",IF(ROUND($E547-$D547,0)=0,"√","▲ "&amp;TEXT($D547-$E547,"#,##0")))</f>
        <v/>
      </c>
      <c r="N547">
        <f>IFERROR(MATCH($C$5&amp;"|"&amp;RIGHT("000000"&amp;531,6),LdAKeyG,0),"")</f>
        <v/>
      </c>
    </row>
    <row r="548">
      <c r="A548" s="19" t="n">
        <v>532</v>
      </c>
      <c r="B548" s="20">
        <f>IF($N548="","",INDEX(LdADate,$N548))</f>
        <v/>
      </c>
      <c r="C548" s="20">
        <f>IF($N548="","",IF(INDEX(LdAId,$N548)="","—",INDEX(LdAId,$N548)))</f>
        <v/>
      </c>
      <c r="D548" s="21">
        <f>IF($N548="","",IF(INDEX(LdAAmt,$N548)=0,"",INDEX(LdAAmt,$N548)))</f>
        <v/>
      </c>
      <c r="E548" s="21">
        <f>IF($N548="","",SUMIFS(ShareAmt,ShareLink,$C548))</f>
        <v/>
      </c>
      <c r="F548" s="34">
        <f>IF($N548="","",COUNTIF(ShareLink,$C548))</f>
        <v/>
      </c>
      <c r="G548" s="22">
        <f>IF($N548="","",IF(ROUND($E548-$D548,0)=0,"√","▲ "&amp;TEXT($D548-$E548,"#,##0")))</f>
        <v/>
      </c>
      <c r="N548">
        <f>IFERROR(MATCH($C$5&amp;"|"&amp;RIGHT("000000"&amp;532,6),LdAKeyG,0),"")</f>
        <v/>
      </c>
    </row>
    <row r="549">
      <c r="A549" s="10" t="n">
        <v>533</v>
      </c>
      <c r="B549" s="14">
        <f>IF($N549="","",INDEX(LdADate,$N549))</f>
        <v/>
      </c>
      <c r="C549" s="14">
        <f>IF($N549="","",IF(INDEX(LdAId,$N549)="","—",INDEX(LdAId,$N549)))</f>
        <v/>
      </c>
      <c r="D549" s="16">
        <f>IF($N549="","",IF(INDEX(LdAAmt,$N549)=0,"",INDEX(LdAAmt,$N549)))</f>
        <v/>
      </c>
      <c r="E549" s="16">
        <f>IF($N549="","",SUMIFS(ShareAmt,ShareLink,$C549))</f>
        <v/>
      </c>
      <c r="F549" s="33">
        <f>IF($N549="","",COUNTIF(ShareLink,$C549))</f>
        <v/>
      </c>
      <c r="G549" s="17">
        <f>IF($N549="","",IF(ROUND($E549-$D549,0)=0,"√","▲ "&amp;TEXT($D549-$E549,"#,##0")))</f>
        <v/>
      </c>
      <c r="N549">
        <f>IFERROR(MATCH($C$5&amp;"|"&amp;RIGHT("000000"&amp;533,6),LdAKeyG,0),"")</f>
        <v/>
      </c>
    </row>
    <row r="550">
      <c r="A550" s="19" t="n">
        <v>534</v>
      </c>
      <c r="B550" s="20">
        <f>IF($N550="","",INDEX(LdADate,$N550))</f>
        <v/>
      </c>
      <c r="C550" s="20">
        <f>IF($N550="","",IF(INDEX(LdAId,$N550)="","—",INDEX(LdAId,$N550)))</f>
        <v/>
      </c>
      <c r="D550" s="21">
        <f>IF($N550="","",IF(INDEX(LdAAmt,$N550)=0,"",INDEX(LdAAmt,$N550)))</f>
        <v/>
      </c>
      <c r="E550" s="21">
        <f>IF($N550="","",SUMIFS(ShareAmt,ShareLink,$C550))</f>
        <v/>
      </c>
      <c r="F550" s="34">
        <f>IF($N550="","",COUNTIF(ShareLink,$C550))</f>
        <v/>
      </c>
      <c r="G550" s="22">
        <f>IF($N550="","",IF(ROUND($E550-$D550,0)=0,"√","▲ "&amp;TEXT($D550-$E550,"#,##0")))</f>
        <v/>
      </c>
      <c r="N550">
        <f>IFERROR(MATCH($C$5&amp;"|"&amp;RIGHT("000000"&amp;534,6),LdAKeyG,0),"")</f>
        <v/>
      </c>
    </row>
    <row r="551">
      <c r="A551" s="10" t="n">
        <v>535</v>
      </c>
      <c r="B551" s="14">
        <f>IF($N551="","",INDEX(LdADate,$N551))</f>
        <v/>
      </c>
      <c r="C551" s="14">
        <f>IF($N551="","",IF(INDEX(LdAId,$N551)="","—",INDEX(LdAId,$N551)))</f>
        <v/>
      </c>
      <c r="D551" s="16">
        <f>IF($N551="","",IF(INDEX(LdAAmt,$N551)=0,"",INDEX(LdAAmt,$N551)))</f>
        <v/>
      </c>
      <c r="E551" s="16">
        <f>IF($N551="","",SUMIFS(ShareAmt,ShareLink,$C551))</f>
        <v/>
      </c>
      <c r="F551" s="33">
        <f>IF($N551="","",COUNTIF(ShareLink,$C551))</f>
        <v/>
      </c>
      <c r="G551" s="17">
        <f>IF($N551="","",IF(ROUND($E551-$D551,0)=0,"√","▲ "&amp;TEXT($D551-$E551,"#,##0")))</f>
        <v/>
      </c>
      <c r="N551">
        <f>IFERROR(MATCH($C$5&amp;"|"&amp;RIGHT("000000"&amp;535,6),LdAKeyG,0),"")</f>
        <v/>
      </c>
    </row>
    <row r="552">
      <c r="A552" s="19" t="n">
        <v>536</v>
      </c>
      <c r="B552" s="20">
        <f>IF($N552="","",INDEX(LdADate,$N552))</f>
        <v/>
      </c>
      <c r="C552" s="20">
        <f>IF($N552="","",IF(INDEX(LdAId,$N552)="","—",INDEX(LdAId,$N552)))</f>
        <v/>
      </c>
      <c r="D552" s="21">
        <f>IF($N552="","",IF(INDEX(LdAAmt,$N552)=0,"",INDEX(LdAAmt,$N552)))</f>
        <v/>
      </c>
      <c r="E552" s="21">
        <f>IF($N552="","",SUMIFS(ShareAmt,ShareLink,$C552))</f>
        <v/>
      </c>
      <c r="F552" s="34">
        <f>IF($N552="","",COUNTIF(ShareLink,$C552))</f>
        <v/>
      </c>
      <c r="G552" s="22">
        <f>IF($N552="","",IF(ROUND($E552-$D552,0)=0,"√","▲ "&amp;TEXT($D552-$E552,"#,##0")))</f>
        <v/>
      </c>
      <c r="N552">
        <f>IFERROR(MATCH($C$5&amp;"|"&amp;RIGHT("000000"&amp;536,6),LdAKeyG,0),"")</f>
        <v/>
      </c>
    </row>
    <row r="553">
      <c r="A553" s="10" t="n">
        <v>537</v>
      </c>
      <c r="B553" s="14">
        <f>IF($N553="","",INDEX(LdADate,$N553))</f>
        <v/>
      </c>
      <c r="C553" s="14">
        <f>IF($N553="","",IF(INDEX(LdAId,$N553)="","—",INDEX(LdAId,$N553)))</f>
        <v/>
      </c>
      <c r="D553" s="16">
        <f>IF($N553="","",IF(INDEX(LdAAmt,$N553)=0,"",INDEX(LdAAmt,$N553)))</f>
        <v/>
      </c>
      <c r="E553" s="16">
        <f>IF($N553="","",SUMIFS(ShareAmt,ShareLink,$C553))</f>
        <v/>
      </c>
      <c r="F553" s="33">
        <f>IF($N553="","",COUNTIF(ShareLink,$C553))</f>
        <v/>
      </c>
      <c r="G553" s="17">
        <f>IF($N553="","",IF(ROUND($E553-$D553,0)=0,"√","▲ "&amp;TEXT($D553-$E553,"#,##0")))</f>
        <v/>
      </c>
      <c r="N553">
        <f>IFERROR(MATCH($C$5&amp;"|"&amp;RIGHT("000000"&amp;537,6),LdAKeyG,0),"")</f>
        <v/>
      </c>
    </row>
    <row r="554">
      <c r="A554" s="19" t="n">
        <v>538</v>
      </c>
      <c r="B554" s="20">
        <f>IF($N554="","",INDEX(LdADate,$N554))</f>
        <v/>
      </c>
      <c r="C554" s="20">
        <f>IF($N554="","",IF(INDEX(LdAId,$N554)="","—",INDEX(LdAId,$N554)))</f>
        <v/>
      </c>
      <c r="D554" s="21">
        <f>IF($N554="","",IF(INDEX(LdAAmt,$N554)=0,"",INDEX(LdAAmt,$N554)))</f>
        <v/>
      </c>
      <c r="E554" s="21">
        <f>IF($N554="","",SUMIFS(ShareAmt,ShareLink,$C554))</f>
        <v/>
      </c>
      <c r="F554" s="34">
        <f>IF($N554="","",COUNTIF(ShareLink,$C554))</f>
        <v/>
      </c>
      <c r="G554" s="22">
        <f>IF($N554="","",IF(ROUND($E554-$D554,0)=0,"√","▲ "&amp;TEXT($D554-$E554,"#,##0")))</f>
        <v/>
      </c>
      <c r="N554">
        <f>IFERROR(MATCH($C$5&amp;"|"&amp;RIGHT("000000"&amp;538,6),LdAKeyG,0),"")</f>
        <v/>
      </c>
    </row>
    <row r="555">
      <c r="A555" s="10" t="n">
        <v>539</v>
      </c>
      <c r="B555" s="14">
        <f>IF($N555="","",INDEX(LdADate,$N555))</f>
        <v/>
      </c>
      <c r="C555" s="14">
        <f>IF($N555="","",IF(INDEX(LdAId,$N555)="","—",INDEX(LdAId,$N555)))</f>
        <v/>
      </c>
      <c r="D555" s="16">
        <f>IF($N555="","",IF(INDEX(LdAAmt,$N555)=0,"",INDEX(LdAAmt,$N555)))</f>
        <v/>
      </c>
      <c r="E555" s="16">
        <f>IF($N555="","",SUMIFS(ShareAmt,ShareLink,$C555))</f>
        <v/>
      </c>
      <c r="F555" s="33">
        <f>IF($N555="","",COUNTIF(ShareLink,$C555))</f>
        <v/>
      </c>
      <c r="G555" s="17">
        <f>IF($N555="","",IF(ROUND($E555-$D555,0)=0,"√","▲ "&amp;TEXT($D555-$E555,"#,##0")))</f>
        <v/>
      </c>
      <c r="N555">
        <f>IFERROR(MATCH($C$5&amp;"|"&amp;RIGHT("000000"&amp;539,6),LdAKeyG,0),"")</f>
        <v/>
      </c>
    </row>
    <row r="556">
      <c r="A556" s="19" t="n">
        <v>540</v>
      </c>
      <c r="B556" s="20">
        <f>IF($N556="","",INDEX(LdADate,$N556))</f>
        <v/>
      </c>
      <c r="C556" s="20">
        <f>IF($N556="","",IF(INDEX(LdAId,$N556)="","—",INDEX(LdAId,$N556)))</f>
        <v/>
      </c>
      <c r="D556" s="21">
        <f>IF($N556="","",IF(INDEX(LdAAmt,$N556)=0,"",INDEX(LdAAmt,$N556)))</f>
        <v/>
      </c>
      <c r="E556" s="21">
        <f>IF($N556="","",SUMIFS(ShareAmt,ShareLink,$C556))</f>
        <v/>
      </c>
      <c r="F556" s="34">
        <f>IF($N556="","",COUNTIF(ShareLink,$C556))</f>
        <v/>
      </c>
      <c r="G556" s="22">
        <f>IF($N556="","",IF(ROUND($E556-$D556,0)=0,"√","▲ "&amp;TEXT($D556-$E556,"#,##0")))</f>
        <v/>
      </c>
      <c r="N556">
        <f>IFERROR(MATCH($C$5&amp;"|"&amp;RIGHT("000000"&amp;540,6),LdAKeyG,0),"")</f>
        <v/>
      </c>
    </row>
    <row r="557">
      <c r="A557" s="10" t="n">
        <v>541</v>
      </c>
      <c r="B557" s="14">
        <f>IF($N557="","",INDEX(LdADate,$N557))</f>
        <v/>
      </c>
      <c r="C557" s="14">
        <f>IF($N557="","",IF(INDEX(LdAId,$N557)="","—",INDEX(LdAId,$N557)))</f>
        <v/>
      </c>
      <c r="D557" s="16">
        <f>IF($N557="","",IF(INDEX(LdAAmt,$N557)=0,"",INDEX(LdAAmt,$N557)))</f>
        <v/>
      </c>
      <c r="E557" s="16">
        <f>IF($N557="","",SUMIFS(ShareAmt,ShareLink,$C557))</f>
        <v/>
      </c>
      <c r="F557" s="33">
        <f>IF($N557="","",COUNTIF(ShareLink,$C557))</f>
        <v/>
      </c>
      <c r="G557" s="17">
        <f>IF($N557="","",IF(ROUND($E557-$D557,0)=0,"√","▲ "&amp;TEXT($D557-$E557,"#,##0")))</f>
        <v/>
      </c>
      <c r="N557">
        <f>IFERROR(MATCH($C$5&amp;"|"&amp;RIGHT("000000"&amp;541,6),LdAKeyG,0),"")</f>
        <v/>
      </c>
    </row>
    <row r="558">
      <c r="A558" s="19" t="n">
        <v>542</v>
      </c>
      <c r="B558" s="20">
        <f>IF($N558="","",INDEX(LdADate,$N558))</f>
        <v/>
      </c>
      <c r="C558" s="20">
        <f>IF($N558="","",IF(INDEX(LdAId,$N558)="","—",INDEX(LdAId,$N558)))</f>
        <v/>
      </c>
      <c r="D558" s="21">
        <f>IF($N558="","",IF(INDEX(LdAAmt,$N558)=0,"",INDEX(LdAAmt,$N558)))</f>
        <v/>
      </c>
      <c r="E558" s="21">
        <f>IF($N558="","",SUMIFS(ShareAmt,ShareLink,$C558))</f>
        <v/>
      </c>
      <c r="F558" s="34">
        <f>IF($N558="","",COUNTIF(ShareLink,$C558))</f>
        <v/>
      </c>
      <c r="G558" s="22">
        <f>IF($N558="","",IF(ROUND($E558-$D558,0)=0,"√","▲ "&amp;TEXT($D558-$E558,"#,##0")))</f>
        <v/>
      </c>
      <c r="N558">
        <f>IFERROR(MATCH($C$5&amp;"|"&amp;RIGHT("000000"&amp;542,6),LdAKeyG,0),"")</f>
        <v/>
      </c>
    </row>
    <row r="559">
      <c r="A559" s="10" t="n">
        <v>543</v>
      </c>
      <c r="B559" s="14">
        <f>IF($N559="","",INDEX(LdADate,$N559))</f>
        <v/>
      </c>
      <c r="C559" s="14">
        <f>IF($N559="","",IF(INDEX(LdAId,$N559)="","—",INDEX(LdAId,$N559)))</f>
        <v/>
      </c>
      <c r="D559" s="16">
        <f>IF($N559="","",IF(INDEX(LdAAmt,$N559)=0,"",INDEX(LdAAmt,$N559)))</f>
        <v/>
      </c>
      <c r="E559" s="16">
        <f>IF($N559="","",SUMIFS(ShareAmt,ShareLink,$C559))</f>
        <v/>
      </c>
      <c r="F559" s="33">
        <f>IF($N559="","",COUNTIF(ShareLink,$C559))</f>
        <v/>
      </c>
      <c r="G559" s="17">
        <f>IF($N559="","",IF(ROUND($E559-$D559,0)=0,"√","▲ "&amp;TEXT($D559-$E559,"#,##0")))</f>
        <v/>
      </c>
      <c r="N559">
        <f>IFERROR(MATCH($C$5&amp;"|"&amp;RIGHT("000000"&amp;543,6),LdAKeyG,0),"")</f>
        <v/>
      </c>
    </row>
    <row r="560">
      <c r="A560" s="19" t="n">
        <v>544</v>
      </c>
      <c r="B560" s="20">
        <f>IF($N560="","",INDEX(LdADate,$N560))</f>
        <v/>
      </c>
      <c r="C560" s="20">
        <f>IF($N560="","",IF(INDEX(LdAId,$N560)="","—",INDEX(LdAId,$N560)))</f>
        <v/>
      </c>
      <c r="D560" s="21">
        <f>IF($N560="","",IF(INDEX(LdAAmt,$N560)=0,"",INDEX(LdAAmt,$N560)))</f>
        <v/>
      </c>
      <c r="E560" s="21">
        <f>IF($N560="","",SUMIFS(ShareAmt,ShareLink,$C560))</f>
        <v/>
      </c>
      <c r="F560" s="34">
        <f>IF($N560="","",COUNTIF(ShareLink,$C560))</f>
        <v/>
      </c>
      <c r="G560" s="22">
        <f>IF($N560="","",IF(ROUND($E560-$D560,0)=0,"√","▲ "&amp;TEXT($D560-$E560,"#,##0")))</f>
        <v/>
      </c>
      <c r="N560">
        <f>IFERROR(MATCH($C$5&amp;"|"&amp;RIGHT("000000"&amp;544,6),LdAKeyG,0),"")</f>
        <v/>
      </c>
    </row>
    <row r="561">
      <c r="A561" s="10" t="n">
        <v>545</v>
      </c>
      <c r="B561" s="14">
        <f>IF($N561="","",INDEX(LdADate,$N561))</f>
        <v/>
      </c>
      <c r="C561" s="14">
        <f>IF($N561="","",IF(INDEX(LdAId,$N561)="","—",INDEX(LdAId,$N561)))</f>
        <v/>
      </c>
      <c r="D561" s="16">
        <f>IF($N561="","",IF(INDEX(LdAAmt,$N561)=0,"",INDEX(LdAAmt,$N561)))</f>
        <v/>
      </c>
      <c r="E561" s="16">
        <f>IF($N561="","",SUMIFS(ShareAmt,ShareLink,$C561))</f>
        <v/>
      </c>
      <c r="F561" s="33">
        <f>IF($N561="","",COUNTIF(ShareLink,$C561))</f>
        <v/>
      </c>
      <c r="G561" s="17">
        <f>IF($N561="","",IF(ROUND($E561-$D561,0)=0,"√","▲ "&amp;TEXT($D561-$E561,"#,##0")))</f>
        <v/>
      </c>
      <c r="N561">
        <f>IFERROR(MATCH($C$5&amp;"|"&amp;RIGHT("000000"&amp;545,6),LdAKeyG,0),"")</f>
        <v/>
      </c>
    </row>
    <row r="562">
      <c r="A562" s="19" t="n">
        <v>546</v>
      </c>
      <c r="B562" s="20">
        <f>IF($N562="","",INDEX(LdADate,$N562))</f>
        <v/>
      </c>
      <c r="C562" s="20">
        <f>IF($N562="","",IF(INDEX(LdAId,$N562)="","—",INDEX(LdAId,$N562)))</f>
        <v/>
      </c>
      <c r="D562" s="21">
        <f>IF($N562="","",IF(INDEX(LdAAmt,$N562)=0,"",INDEX(LdAAmt,$N562)))</f>
        <v/>
      </c>
      <c r="E562" s="21">
        <f>IF($N562="","",SUMIFS(ShareAmt,ShareLink,$C562))</f>
        <v/>
      </c>
      <c r="F562" s="34">
        <f>IF($N562="","",COUNTIF(ShareLink,$C562))</f>
        <v/>
      </c>
      <c r="G562" s="22">
        <f>IF($N562="","",IF(ROUND($E562-$D562,0)=0,"√","▲ "&amp;TEXT($D562-$E562,"#,##0")))</f>
        <v/>
      </c>
      <c r="N562">
        <f>IFERROR(MATCH($C$5&amp;"|"&amp;RIGHT("000000"&amp;546,6),LdAKeyG,0),"")</f>
        <v/>
      </c>
    </row>
    <row r="563">
      <c r="A563" s="10" t="n">
        <v>547</v>
      </c>
      <c r="B563" s="14">
        <f>IF($N563="","",INDEX(LdADate,$N563))</f>
        <v/>
      </c>
      <c r="C563" s="14">
        <f>IF($N563="","",IF(INDEX(LdAId,$N563)="","—",INDEX(LdAId,$N563)))</f>
        <v/>
      </c>
      <c r="D563" s="16">
        <f>IF($N563="","",IF(INDEX(LdAAmt,$N563)=0,"",INDEX(LdAAmt,$N563)))</f>
        <v/>
      </c>
      <c r="E563" s="16">
        <f>IF($N563="","",SUMIFS(ShareAmt,ShareLink,$C563))</f>
        <v/>
      </c>
      <c r="F563" s="33">
        <f>IF($N563="","",COUNTIF(ShareLink,$C563))</f>
        <v/>
      </c>
      <c r="G563" s="17">
        <f>IF($N563="","",IF(ROUND($E563-$D563,0)=0,"√","▲ "&amp;TEXT($D563-$E563,"#,##0")))</f>
        <v/>
      </c>
      <c r="N563">
        <f>IFERROR(MATCH($C$5&amp;"|"&amp;RIGHT("000000"&amp;547,6),LdAKeyG,0),"")</f>
        <v/>
      </c>
    </row>
    <row r="564">
      <c r="A564" s="19" t="n">
        <v>548</v>
      </c>
      <c r="B564" s="20">
        <f>IF($N564="","",INDEX(LdADate,$N564))</f>
        <v/>
      </c>
      <c r="C564" s="20">
        <f>IF($N564="","",IF(INDEX(LdAId,$N564)="","—",INDEX(LdAId,$N564)))</f>
        <v/>
      </c>
      <c r="D564" s="21">
        <f>IF($N564="","",IF(INDEX(LdAAmt,$N564)=0,"",INDEX(LdAAmt,$N564)))</f>
        <v/>
      </c>
      <c r="E564" s="21">
        <f>IF($N564="","",SUMIFS(ShareAmt,ShareLink,$C564))</f>
        <v/>
      </c>
      <c r="F564" s="34">
        <f>IF($N564="","",COUNTIF(ShareLink,$C564))</f>
        <v/>
      </c>
      <c r="G564" s="22">
        <f>IF($N564="","",IF(ROUND($E564-$D564,0)=0,"√","▲ "&amp;TEXT($D564-$E564,"#,##0")))</f>
        <v/>
      </c>
      <c r="N564">
        <f>IFERROR(MATCH($C$5&amp;"|"&amp;RIGHT("000000"&amp;548,6),LdAKeyG,0),"")</f>
        <v/>
      </c>
    </row>
    <row r="565">
      <c r="A565" s="10" t="n">
        <v>549</v>
      </c>
      <c r="B565" s="14">
        <f>IF($N565="","",INDEX(LdADate,$N565))</f>
        <v/>
      </c>
      <c r="C565" s="14">
        <f>IF($N565="","",IF(INDEX(LdAId,$N565)="","—",INDEX(LdAId,$N565)))</f>
        <v/>
      </c>
      <c r="D565" s="16">
        <f>IF($N565="","",IF(INDEX(LdAAmt,$N565)=0,"",INDEX(LdAAmt,$N565)))</f>
        <v/>
      </c>
      <c r="E565" s="16">
        <f>IF($N565="","",SUMIFS(ShareAmt,ShareLink,$C565))</f>
        <v/>
      </c>
      <c r="F565" s="33">
        <f>IF($N565="","",COUNTIF(ShareLink,$C565))</f>
        <v/>
      </c>
      <c r="G565" s="17">
        <f>IF($N565="","",IF(ROUND($E565-$D565,0)=0,"√","▲ "&amp;TEXT($D565-$E565,"#,##0")))</f>
        <v/>
      </c>
      <c r="N565">
        <f>IFERROR(MATCH($C$5&amp;"|"&amp;RIGHT("000000"&amp;549,6),LdAKeyG,0),"")</f>
        <v/>
      </c>
    </row>
    <row r="566">
      <c r="A566" s="19" t="n">
        <v>550</v>
      </c>
      <c r="B566" s="20">
        <f>IF($N566="","",INDEX(LdADate,$N566))</f>
        <v/>
      </c>
      <c r="C566" s="20">
        <f>IF($N566="","",IF(INDEX(LdAId,$N566)="","—",INDEX(LdAId,$N566)))</f>
        <v/>
      </c>
      <c r="D566" s="21">
        <f>IF($N566="","",IF(INDEX(LdAAmt,$N566)=0,"",INDEX(LdAAmt,$N566)))</f>
        <v/>
      </c>
      <c r="E566" s="21">
        <f>IF($N566="","",SUMIFS(ShareAmt,ShareLink,$C566))</f>
        <v/>
      </c>
      <c r="F566" s="34">
        <f>IF($N566="","",COUNTIF(ShareLink,$C566))</f>
        <v/>
      </c>
      <c r="G566" s="22">
        <f>IF($N566="","",IF(ROUND($E566-$D566,0)=0,"√","▲ "&amp;TEXT($D566-$E566,"#,##0")))</f>
        <v/>
      </c>
      <c r="N566">
        <f>IFERROR(MATCH($C$5&amp;"|"&amp;RIGHT("000000"&amp;550,6),LdAKeyG,0),"")</f>
        <v/>
      </c>
    </row>
    <row r="567">
      <c r="A567" s="10" t="n">
        <v>551</v>
      </c>
      <c r="B567" s="14">
        <f>IF($N567="","",INDEX(LdADate,$N567))</f>
        <v/>
      </c>
      <c r="C567" s="14">
        <f>IF($N567="","",IF(INDEX(LdAId,$N567)="","—",INDEX(LdAId,$N567)))</f>
        <v/>
      </c>
      <c r="D567" s="16">
        <f>IF($N567="","",IF(INDEX(LdAAmt,$N567)=0,"",INDEX(LdAAmt,$N567)))</f>
        <v/>
      </c>
      <c r="E567" s="16">
        <f>IF($N567="","",SUMIFS(ShareAmt,ShareLink,$C567))</f>
        <v/>
      </c>
      <c r="F567" s="33">
        <f>IF($N567="","",COUNTIF(ShareLink,$C567))</f>
        <v/>
      </c>
      <c r="G567" s="17">
        <f>IF($N567="","",IF(ROUND($E567-$D567,0)=0,"√","▲ "&amp;TEXT($D567-$E567,"#,##0")))</f>
        <v/>
      </c>
      <c r="N567">
        <f>IFERROR(MATCH($C$5&amp;"|"&amp;RIGHT("000000"&amp;551,6),LdAKeyG,0),"")</f>
        <v/>
      </c>
    </row>
    <row r="568">
      <c r="A568" s="19" t="n">
        <v>552</v>
      </c>
      <c r="B568" s="20">
        <f>IF($N568="","",INDEX(LdADate,$N568))</f>
        <v/>
      </c>
      <c r="C568" s="20">
        <f>IF($N568="","",IF(INDEX(LdAId,$N568)="","—",INDEX(LdAId,$N568)))</f>
        <v/>
      </c>
      <c r="D568" s="21">
        <f>IF($N568="","",IF(INDEX(LdAAmt,$N568)=0,"",INDEX(LdAAmt,$N568)))</f>
        <v/>
      </c>
      <c r="E568" s="21">
        <f>IF($N568="","",SUMIFS(ShareAmt,ShareLink,$C568))</f>
        <v/>
      </c>
      <c r="F568" s="34">
        <f>IF($N568="","",COUNTIF(ShareLink,$C568))</f>
        <v/>
      </c>
      <c r="G568" s="22">
        <f>IF($N568="","",IF(ROUND($E568-$D568,0)=0,"√","▲ "&amp;TEXT($D568-$E568,"#,##0")))</f>
        <v/>
      </c>
      <c r="N568">
        <f>IFERROR(MATCH($C$5&amp;"|"&amp;RIGHT("000000"&amp;552,6),LdAKeyG,0),"")</f>
        <v/>
      </c>
    </row>
    <row r="569">
      <c r="A569" s="10" t="n">
        <v>553</v>
      </c>
      <c r="B569" s="14">
        <f>IF($N569="","",INDEX(LdADate,$N569))</f>
        <v/>
      </c>
      <c r="C569" s="14">
        <f>IF($N569="","",IF(INDEX(LdAId,$N569)="","—",INDEX(LdAId,$N569)))</f>
        <v/>
      </c>
      <c r="D569" s="16">
        <f>IF($N569="","",IF(INDEX(LdAAmt,$N569)=0,"",INDEX(LdAAmt,$N569)))</f>
        <v/>
      </c>
      <c r="E569" s="16">
        <f>IF($N569="","",SUMIFS(ShareAmt,ShareLink,$C569))</f>
        <v/>
      </c>
      <c r="F569" s="33">
        <f>IF($N569="","",COUNTIF(ShareLink,$C569))</f>
        <v/>
      </c>
      <c r="G569" s="17">
        <f>IF($N569="","",IF(ROUND($E569-$D569,0)=0,"√","▲ "&amp;TEXT($D569-$E569,"#,##0")))</f>
        <v/>
      </c>
      <c r="N569">
        <f>IFERROR(MATCH($C$5&amp;"|"&amp;RIGHT("000000"&amp;553,6),LdAKeyG,0),"")</f>
        <v/>
      </c>
    </row>
    <row r="570">
      <c r="A570" s="19" t="n">
        <v>554</v>
      </c>
      <c r="B570" s="20">
        <f>IF($N570="","",INDEX(LdADate,$N570))</f>
        <v/>
      </c>
      <c r="C570" s="20">
        <f>IF($N570="","",IF(INDEX(LdAId,$N570)="","—",INDEX(LdAId,$N570)))</f>
        <v/>
      </c>
      <c r="D570" s="21">
        <f>IF($N570="","",IF(INDEX(LdAAmt,$N570)=0,"",INDEX(LdAAmt,$N570)))</f>
        <v/>
      </c>
      <c r="E570" s="21">
        <f>IF($N570="","",SUMIFS(ShareAmt,ShareLink,$C570))</f>
        <v/>
      </c>
      <c r="F570" s="34">
        <f>IF($N570="","",COUNTIF(ShareLink,$C570))</f>
        <v/>
      </c>
      <c r="G570" s="22">
        <f>IF($N570="","",IF(ROUND($E570-$D570,0)=0,"√","▲ "&amp;TEXT($D570-$E570,"#,##0")))</f>
        <v/>
      </c>
      <c r="N570">
        <f>IFERROR(MATCH($C$5&amp;"|"&amp;RIGHT("000000"&amp;554,6),LdAKeyG,0),"")</f>
        <v/>
      </c>
    </row>
    <row r="571">
      <c r="A571" s="10" t="n">
        <v>555</v>
      </c>
      <c r="B571" s="14">
        <f>IF($N571="","",INDEX(LdADate,$N571))</f>
        <v/>
      </c>
      <c r="C571" s="14">
        <f>IF($N571="","",IF(INDEX(LdAId,$N571)="","—",INDEX(LdAId,$N571)))</f>
        <v/>
      </c>
      <c r="D571" s="16">
        <f>IF($N571="","",IF(INDEX(LdAAmt,$N571)=0,"",INDEX(LdAAmt,$N571)))</f>
        <v/>
      </c>
      <c r="E571" s="16">
        <f>IF($N571="","",SUMIFS(ShareAmt,ShareLink,$C571))</f>
        <v/>
      </c>
      <c r="F571" s="33">
        <f>IF($N571="","",COUNTIF(ShareLink,$C571))</f>
        <v/>
      </c>
      <c r="G571" s="17">
        <f>IF($N571="","",IF(ROUND($E571-$D571,0)=0,"√","▲ "&amp;TEXT($D571-$E571,"#,##0")))</f>
        <v/>
      </c>
      <c r="N571">
        <f>IFERROR(MATCH($C$5&amp;"|"&amp;RIGHT("000000"&amp;555,6),LdAKeyG,0),"")</f>
        <v/>
      </c>
    </row>
    <row r="572">
      <c r="A572" s="19" t="n">
        <v>556</v>
      </c>
      <c r="B572" s="20">
        <f>IF($N572="","",INDEX(LdADate,$N572))</f>
        <v/>
      </c>
      <c r="C572" s="20">
        <f>IF($N572="","",IF(INDEX(LdAId,$N572)="","—",INDEX(LdAId,$N572)))</f>
        <v/>
      </c>
      <c r="D572" s="21">
        <f>IF($N572="","",IF(INDEX(LdAAmt,$N572)=0,"",INDEX(LdAAmt,$N572)))</f>
        <v/>
      </c>
      <c r="E572" s="21">
        <f>IF($N572="","",SUMIFS(ShareAmt,ShareLink,$C572))</f>
        <v/>
      </c>
      <c r="F572" s="34">
        <f>IF($N572="","",COUNTIF(ShareLink,$C572))</f>
        <v/>
      </c>
      <c r="G572" s="22">
        <f>IF($N572="","",IF(ROUND($E572-$D572,0)=0,"√","▲ "&amp;TEXT($D572-$E572,"#,##0")))</f>
        <v/>
      </c>
      <c r="N572">
        <f>IFERROR(MATCH($C$5&amp;"|"&amp;RIGHT("000000"&amp;556,6),LdAKeyG,0),"")</f>
        <v/>
      </c>
    </row>
    <row r="573">
      <c r="A573" s="10" t="n">
        <v>557</v>
      </c>
      <c r="B573" s="14">
        <f>IF($N573="","",INDEX(LdADate,$N573))</f>
        <v/>
      </c>
      <c r="C573" s="14">
        <f>IF($N573="","",IF(INDEX(LdAId,$N573)="","—",INDEX(LdAId,$N573)))</f>
        <v/>
      </c>
      <c r="D573" s="16">
        <f>IF($N573="","",IF(INDEX(LdAAmt,$N573)=0,"",INDEX(LdAAmt,$N573)))</f>
        <v/>
      </c>
      <c r="E573" s="16">
        <f>IF($N573="","",SUMIFS(ShareAmt,ShareLink,$C573))</f>
        <v/>
      </c>
      <c r="F573" s="33">
        <f>IF($N573="","",COUNTIF(ShareLink,$C573))</f>
        <v/>
      </c>
      <c r="G573" s="17">
        <f>IF($N573="","",IF(ROUND($E573-$D573,0)=0,"√","▲ "&amp;TEXT($D573-$E573,"#,##0")))</f>
        <v/>
      </c>
      <c r="N573">
        <f>IFERROR(MATCH($C$5&amp;"|"&amp;RIGHT("000000"&amp;557,6),LdAKeyG,0),"")</f>
        <v/>
      </c>
    </row>
    <row r="574">
      <c r="A574" s="19" t="n">
        <v>558</v>
      </c>
      <c r="B574" s="20">
        <f>IF($N574="","",INDEX(LdADate,$N574))</f>
        <v/>
      </c>
      <c r="C574" s="20">
        <f>IF($N574="","",IF(INDEX(LdAId,$N574)="","—",INDEX(LdAId,$N574)))</f>
        <v/>
      </c>
      <c r="D574" s="21">
        <f>IF($N574="","",IF(INDEX(LdAAmt,$N574)=0,"",INDEX(LdAAmt,$N574)))</f>
        <v/>
      </c>
      <c r="E574" s="21">
        <f>IF($N574="","",SUMIFS(ShareAmt,ShareLink,$C574))</f>
        <v/>
      </c>
      <c r="F574" s="34">
        <f>IF($N574="","",COUNTIF(ShareLink,$C574))</f>
        <v/>
      </c>
      <c r="G574" s="22">
        <f>IF($N574="","",IF(ROUND($E574-$D574,0)=0,"√","▲ "&amp;TEXT($D574-$E574,"#,##0")))</f>
        <v/>
      </c>
      <c r="N574">
        <f>IFERROR(MATCH($C$5&amp;"|"&amp;RIGHT("000000"&amp;558,6),LdAKeyG,0),"")</f>
        <v/>
      </c>
    </row>
    <row r="575">
      <c r="A575" s="10" t="n">
        <v>559</v>
      </c>
      <c r="B575" s="14">
        <f>IF($N575="","",INDEX(LdADate,$N575))</f>
        <v/>
      </c>
      <c r="C575" s="14">
        <f>IF($N575="","",IF(INDEX(LdAId,$N575)="","—",INDEX(LdAId,$N575)))</f>
        <v/>
      </c>
      <c r="D575" s="16">
        <f>IF($N575="","",IF(INDEX(LdAAmt,$N575)=0,"",INDEX(LdAAmt,$N575)))</f>
        <v/>
      </c>
      <c r="E575" s="16">
        <f>IF($N575="","",SUMIFS(ShareAmt,ShareLink,$C575))</f>
        <v/>
      </c>
      <c r="F575" s="33">
        <f>IF($N575="","",COUNTIF(ShareLink,$C575))</f>
        <v/>
      </c>
      <c r="G575" s="17">
        <f>IF($N575="","",IF(ROUND($E575-$D575,0)=0,"√","▲ "&amp;TEXT($D575-$E575,"#,##0")))</f>
        <v/>
      </c>
      <c r="N575">
        <f>IFERROR(MATCH($C$5&amp;"|"&amp;RIGHT("000000"&amp;559,6),LdAKeyG,0),"")</f>
        <v/>
      </c>
    </row>
    <row r="576">
      <c r="A576" s="19" t="n">
        <v>560</v>
      </c>
      <c r="B576" s="20">
        <f>IF($N576="","",INDEX(LdADate,$N576))</f>
        <v/>
      </c>
      <c r="C576" s="20">
        <f>IF($N576="","",IF(INDEX(LdAId,$N576)="","—",INDEX(LdAId,$N576)))</f>
        <v/>
      </c>
      <c r="D576" s="21">
        <f>IF($N576="","",IF(INDEX(LdAAmt,$N576)=0,"",INDEX(LdAAmt,$N576)))</f>
        <v/>
      </c>
      <c r="E576" s="21">
        <f>IF($N576="","",SUMIFS(ShareAmt,ShareLink,$C576))</f>
        <v/>
      </c>
      <c r="F576" s="34">
        <f>IF($N576="","",COUNTIF(ShareLink,$C576))</f>
        <v/>
      </c>
      <c r="G576" s="22">
        <f>IF($N576="","",IF(ROUND($E576-$D576,0)=0,"√","▲ "&amp;TEXT($D576-$E576,"#,##0")))</f>
        <v/>
      </c>
      <c r="N576">
        <f>IFERROR(MATCH($C$5&amp;"|"&amp;RIGHT("000000"&amp;560,6),LdAKeyG,0),"")</f>
        <v/>
      </c>
    </row>
    <row r="577">
      <c r="A577" s="10" t="n">
        <v>561</v>
      </c>
      <c r="B577" s="14">
        <f>IF($N577="","",INDEX(LdADate,$N577))</f>
        <v/>
      </c>
      <c r="C577" s="14">
        <f>IF($N577="","",IF(INDEX(LdAId,$N577)="","—",INDEX(LdAId,$N577)))</f>
        <v/>
      </c>
      <c r="D577" s="16">
        <f>IF($N577="","",IF(INDEX(LdAAmt,$N577)=0,"",INDEX(LdAAmt,$N577)))</f>
        <v/>
      </c>
      <c r="E577" s="16">
        <f>IF($N577="","",SUMIFS(ShareAmt,ShareLink,$C577))</f>
        <v/>
      </c>
      <c r="F577" s="33">
        <f>IF($N577="","",COUNTIF(ShareLink,$C577))</f>
        <v/>
      </c>
      <c r="G577" s="17">
        <f>IF($N577="","",IF(ROUND($E577-$D577,0)=0,"√","▲ "&amp;TEXT($D577-$E577,"#,##0")))</f>
        <v/>
      </c>
      <c r="N577">
        <f>IFERROR(MATCH($C$5&amp;"|"&amp;RIGHT("000000"&amp;561,6),LdAKeyG,0),"")</f>
        <v/>
      </c>
    </row>
    <row r="578">
      <c r="A578" s="19" t="n">
        <v>562</v>
      </c>
      <c r="B578" s="20">
        <f>IF($N578="","",INDEX(LdADate,$N578))</f>
        <v/>
      </c>
      <c r="C578" s="20">
        <f>IF($N578="","",IF(INDEX(LdAId,$N578)="","—",INDEX(LdAId,$N578)))</f>
        <v/>
      </c>
      <c r="D578" s="21">
        <f>IF($N578="","",IF(INDEX(LdAAmt,$N578)=0,"",INDEX(LdAAmt,$N578)))</f>
        <v/>
      </c>
      <c r="E578" s="21">
        <f>IF($N578="","",SUMIFS(ShareAmt,ShareLink,$C578))</f>
        <v/>
      </c>
      <c r="F578" s="34">
        <f>IF($N578="","",COUNTIF(ShareLink,$C578))</f>
        <v/>
      </c>
      <c r="G578" s="22">
        <f>IF($N578="","",IF(ROUND($E578-$D578,0)=0,"√","▲ "&amp;TEXT($D578-$E578,"#,##0")))</f>
        <v/>
      </c>
      <c r="N578">
        <f>IFERROR(MATCH($C$5&amp;"|"&amp;RIGHT("000000"&amp;562,6),LdAKeyG,0),"")</f>
        <v/>
      </c>
    </row>
    <row r="579">
      <c r="A579" s="10" t="n">
        <v>563</v>
      </c>
      <c r="B579" s="14">
        <f>IF($N579="","",INDEX(LdADate,$N579))</f>
        <v/>
      </c>
      <c r="C579" s="14">
        <f>IF($N579="","",IF(INDEX(LdAId,$N579)="","—",INDEX(LdAId,$N579)))</f>
        <v/>
      </c>
      <c r="D579" s="16">
        <f>IF($N579="","",IF(INDEX(LdAAmt,$N579)=0,"",INDEX(LdAAmt,$N579)))</f>
        <v/>
      </c>
      <c r="E579" s="16">
        <f>IF($N579="","",SUMIFS(ShareAmt,ShareLink,$C579))</f>
        <v/>
      </c>
      <c r="F579" s="33">
        <f>IF($N579="","",COUNTIF(ShareLink,$C579))</f>
        <v/>
      </c>
      <c r="G579" s="17">
        <f>IF($N579="","",IF(ROUND($E579-$D579,0)=0,"√","▲ "&amp;TEXT($D579-$E579,"#,##0")))</f>
        <v/>
      </c>
      <c r="N579">
        <f>IFERROR(MATCH($C$5&amp;"|"&amp;RIGHT("000000"&amp;563,6),LdAKeyG,0),"")</f>
        <v/>
      </c>
    </row>
    <row r="580">
      <c r="A580" s="19" t="n">
        <v>564</v>
      </c>
      <c r="B580" s="20">
        <f>IF($N580="","",INDEX(LdADate,$N580))</f>
        <v/>
      </c>
      <c r="C580" s="20">
        <f>IF($N580="","",IF(INDEX(LdAId,$N580)="","—",INDEX(LdAId,$N580)))</f>
        <v/>
      </c>
      <c r="D580" s="21">
        <f>IF($N580="","",IF(INDEX(LdAAmt,$N580)=0,"",INDEX(LdAAmt,$N580)))</f>
        <v/>
      </c>
      <c r="E580" s="21">
        <f>IF($N580="","",SUMIFS(ShareAmt,ShareLink,$C580))</f>
        <v/>
      </c>
      <c r="F580" s="34">
        <f>IF($N580="","",COUNTIF(ShareLink,$C580))</f>
        <v/>
      </c>
      <c r="G580" s="22">
        <f>IF($N580="","",IF(ROUND($E580-$D580,0)=0,"√","▲ "&amp;TEXT($D580-$E580,"#,##0")))</f>
        <v/>
      </c>
      <c r="N580">
        <f>IFERROR(MATCH($C$5&amp;"|"&amp;RIGHT("000000"&amp;564,6),LdAKeyG,0),"")</f>
        <v/>
      </c>
    </row>
    <row r="581">
      <c r="A581" s="10" t="n">
        <v>565</v>
      </c>
      <c r="B581" s="14">
        <f>IF($N581="","",INDEX(LdADate,$N581))</f>
        <v/>
      </c>
      <c r="C581" s="14">
        <f>IF($N581="","",IF(INDEX(LdAId,$N581)="","—",INDEX(LdAId,$N581)))</f>
        <v/>
      </c>
      <c r="D581" s="16">
        <f>IF($N581="","",IF(INDEX(LdAAmt,$N581)=0,"",INDEX(LdAAmt,$N581)))</f>
        <v/>
      </c>
      <c r="E581" s="16">
        <f>IF($N581="","",SUMIFS(ShareAmt,ShareLink,$C581))</f>
        <v/>
      </c>
      <c r="F581" s="33">
        <f>IF($N581="","",COUNTIF(ShareLink,$C581))</f>
        <v/>
      </c>
      <c r="G581" s="17">
        <f>IF($N581="","",IF(ROUND($E581-$D581,0)=0,"√","▲ "&amp;TEXT($D581-$E581,"#,##0")))</f>
        <v/>
      </c>
      <c r="N581">
        <f>IFERROR(MATCH($C$5&amp;"|"&amp;RIGHT("000000"&amp;565,6),LdAKeyG,0),"")</f>
        <v/>
      </c>
    </row>
    <row r="582">
      <c r="A582" s="19" t="n">
        <v>566</v>
      </c>
      <c r="B582" s="20">
        <f>IF($N582="","",INDEX(LdADate,$N582))</f>
        <v/>
      </c>
      <c r="C582" s="20">
        <f>IF($N582="","",IF(INDEX(LdAId,$N582)="","—",INDEX(LdAId,$N582)))</f>
        <v/>
      </c>
      <c r="D582" s="21">
        <f>IF($N582="","",IF(INDEX(LdAAmt,$N582)=0,"",INDEX(LdAAmt,$N582)))</f>
        <v/>
      </c>
      <c r="E582" s="21">
        <f>IF($N582="","",SUMIFS(ShareAmt,ShareLink,$C582))</f>
        <v/>
      </c>
      <c r="F582" s="34">
        <f>IF($N582="","",COUNTIF(ShareLink,$C582))</f>
        <v/>
      </c>
      <c r="G582" s="22">
        <f>IF($N582="","",IF(ROUND($E582-$D582,0)=0,"√","▲ "&amp;TEXT($D582-$E582,"#,##0")))</f>
        <v/>
      </c>
      <c r="N582">
        <f>IFERROR(MATCH($C$5&amp;"|"&amp;RIGHT("000000"&amp;566,6),LdAKeyG,0),"")</f>
        <v/>
      </c>
    </row>
    <row r="583">
      <c r="A583" s="10" t="n">
        <v>567</v>
      </c>
      <c r="B583" s="14">
        <f>IF($N583="","",INDEX(LdADate,$N583))</f>
        <v/>
      </c>
      <c r="C583" s="14">
        <f>IF($N583="","",IF(INDEX(LdAId,$N583)="","—",INDEX(LdAId,$N583)))</f>
        <v/>
      </c>
      <c r="D583" s="16">
        <f>IF($N583="","",IF(INDEX(LdAAmt,$N583)=0,"",INDEX(LdAAmt,$N583)))</f>
        <v/>
      </c>
      <c r="E583" s="16">
        <f>IF($N583="","",SUMIFS(ShareAmt,ShareLink,$C583))</f>
        <v/>
      </c>
      <c r="F583" s="33">
        <f>IF($N583="","",COUNTIF(ShareLink,$C583))</f>
        <v/>
      </c>
      <c r="G583" s="17">
        <f>IF($N583="","",IF(ROUND($E583-$D583,0)=0,"√","▲ "&amp;TEXT($D583-$E583,"#,##0")))</f>
        <v/>
      </c>
      <c r="N583">
        <f>IFERROR(MATCH($C$5&amp;"|"&amp;RIGHT("000000"&amp;567,6),LdAKeyG,0),"")</f>
        <v/>
      </c>
    </row>
    <row r="584">
      <c r="A584" s="19" t="n">
        <v>568</v>
      </c>
      <c r="B584" s="20">
        <f>IF($N584="","",INDEX(LdADate,$N584))</f>
        <v/>
      </c>
      <c r="C584" s="20">
        <f>IF($N584="","",IF(INDEX(LdAId,$N584)="","—",INDEX(LdAId,$N584)))</f>
        <v/>
      </c>
      <c r="D584" s="21">
        <f>IF($N584="","",IF(INDEX(LdAAmt,$N584)=0,"",INDEX(LdAAmt,$N584)))</f>
        <v/>
      </c>
      <c r="E584" s="21">
        <f>IF($N584="","",SUMIFS(ShareAmt,ShareLink,$C584))</f>
        <v/>
      </c>
      <c r="F584" s="34">
        <f>IF($N584="","",COUNTIF(ShareLink,$C584))</f>
        <v/>
      </c>
      <c r="G584" s="22">
        <f>IF($N584="","",IF(ROUND($E584-$D584,0)=0,"√","▲ "&amp;TEXT($D584-$E584,"#,##0")))</f>
        <v/>
      </c>
      <c r="N584">
        <f>IFERROR(MATCH($C$5&amp;"|"&amp;RIGHT("000000"&amp;568,6),LdAKeyG,0),"")</f>
        <v/>
      </c>
    </row>
    <row r="585">
      <c r="A585" s="10" t="n">
        <v>569</v>
      </c>
      <c r="B585" s="14">
        <f>IF($N585="","",INDEX(LdADate,$N585))</f>
        <v/>
      </c>
      <c r="C585" s="14">
        <f>IF($N585="","",IF(INDEX(LdAId,$N585)="","—",INDEX(LdAId,$N585)))</f>
        <v/>
      </c>
      <c r="D585" s="16">
        <f>IF($N585="","",IF(INDEX(LdAAmt,$N585)=0,"",INDEX(LdAAmt,$N585)))</f>
        <v/>
      </c>
      <c r="E585" s="16">
        <f>IF($N585="","",SUMIFS(ShareAmt,ShareLink,$C585))</f>
        <v/>
      </c>
      <c r="F585" s="33">
        <f>IF($N585="","",COUNTIF(ShareLink,$C585))</f>
        <v/>
      </c>
      <c r="G585" s="17">
        <f>IF($N585="","",IF(ROUND($E585-$D585,0)=0,"√","▲ "&amp;TEXT($D585-$E585,"#,##0")))</f>
        <v/>
      </c>
      <c r="N585">
        <f>IFERROR(MATCH($C$5&amp;"|"&amp;RIGHT("000000"&amp;569,6),LdAKeyG,0),"")</f>
        <v/>
      </c>
    </row>
    <row r="586">
      <c r="A586" s="19" t="n">
        <v>570</v>
      </c>
      <c r="B586" s="20">
        <f>IF($N586="","",INDEX(LdADate,$N586))</f>
        <v/>
      </c>
      <c r="C586" s="20">
        <f>IF($N586="","",IF(INDEX(LdAId,$N586)="","—",INDEX(LdAId,$N586)))</f>
        <v/>
      </c>
      <c r="D586" s="21">
        <f>IF($N586="","",IF(INDEX(LdAAmt,$N586)=0,"",INDEX(LdAAmt,$N586)))</f>
        <v/>
      </c>
      <c r="E586" s="21">
        <f>IF($N586="","",SUMIFS(ShareAmt,ShareLink,$C586))</f>
        <v/>
      </c>
      <c r="F586" s="34">
        <f>IF($N586="","",COUNTIF(ShareLink,$C586))</f>
        <v/>
      </c>
      <c r="G586" s="22">
        <f>IF($N586="","",IF(ROUND($E586-$D586,0)=0,"√","▲ "&amp;TEXT($D586-$E586,"#,##0")))</f>
        <v/>
      </c>
      <c r="N586">
        <f>IFERROR(MATCH($C$5&amp;"|"&amp;RIGHT("000000"&amp;570,6),LdAKeyG,0),"")</f>
        <v/>
      </c>
    </row>
    <row r="587">
      <c r="A587" s="10" t="n">
        <v>571</v>
      </c>
      <c r="B587" s="14">
        <f>IF($N587="","",INDEX(LdADate,$N587))</f>
        <v/>
      </c>
      <c r="C587" s="14">
        <f>IF($N587="","",IF(INDEX(LdAId,$N587)="","—",INDEX(LdAId,$N587)))</f>
        <v/>
      </c>
      <c r="D587" s="16">
        <f>IF($N587="","",IF(INDEX(LdAAmt,$N587)=0,"",INDEX(LdAAmt,$N587)))</f>
        <v/>
      </c>
      <c r="E587" s="16">
        <f>IF($N587="","",SUMIFS(ShareAmt,ShareLink,$C587))</f>
        <v/>
      </c>
      <c r="F587" s="33">
        <f>IF($N587="","",COUNTIF(ShareLink,$C587))</f>
        <v/>
      </c>
      <c r="G587" s="17">
        <f>IF($N587="","",IF(ROUND($E587-$D587,0)=0,"√","▲ "&amp;TEXT($D587-$E587,"#,##0")))</f>
        <v/>
      </c>
      <c r="N587">
        <f>IFERROR(MATCH($C$5&amp;"|"&amp;RIGHT("000000"&amp;571,6),LdAKeyG,0),"")</f>
        <v/>
      </c>
    </row>
    <row r="588">
      <c r="A588" s="19" t="n">
        <v>572</v>
      </c>
      <c r="B588" s="20">
        <f>IF($N588="","",INDEX(LdADate,$N588))</f>
        <v/>
      </c>
      <c r="C588" s="20">
        <f>IF($N588="","",IF(INDEX(LdAId,$N588)="","—",INDEX(LdAId,$N588)))</f>
        <v/>
      </c>
      <c r="D588" s="21">
        <f>IF($N588="","",IF(INDEX(LdAAmt,$N588)=0,"",INDEX(LdAAmt,$N588)))</f>
        <v/>
      </c>
      <c r="E588" s="21">
        <f>IF($N588="","",SUMIFS(ShareAmt,ShareLink,$C588))</f>
        <v/>
      </c>
      <c r="F588" s="34">
        <f>IF($N588="","",COUNTIF(ShareLink,$C588))</f>
        <v/>
      </c>
      <c r="G588" s="22">
        <f>IF($N588="","",IF(ROUND($E588-$D588,0)=0,"√","▲ "&amp;TEXT($D588-$E588,"#,##0")))</f>
        <v/>
      </c>
      <c r="N588">
        <f>IFERROR(MATCH($C$5&amp;"|"&amp;RIGHT("000000"&amp;572,6),LdAKeyG,0),"")</f>
        <v/>
      </c>
    </row>
    <row r="589">
      <c r="A589" s="10" t="n">
        <v>573</v>
      </c>
      <c r="B589" s="14">
        <f>IF($N589="","",INDEX(LdADate,$N589))</f>
        <v/>
      </c>
      <c r="C589" s="14">
        <f>IF($N589="","",IF(INDEX(LdAId,$N589)="","—",INDEX(LdAId,$N589)))</f>
        <v/>
      </c>
      <c r="D589" s="16">
        <f>IF($N589="","",IF(INDEX(LdAAmt,$N589)=0,"",INDEX(LdAAmt,$N589)))</f>
        <v/>
      </c>
      <c r="E589" s="16">
        <f>IF($N589="","",SUMIFS(ShareAmt,ShareLink,$C589))</f>
        <v/>
      </c>
      <c r="F589" s="33">
        <f>IF($N589="","",COUNTIF(ShareLink,$C589))</f>
        <v/>
      </c>
      <c r="G589" s="17">
        <f>IF($N589="","",IF(ROUND($E589-$D589,0)=0,"√","▲ "&amp;TEXT($D589-$E589,"#,##0")))</f>
        <v/>
      </c>
      <c r="N589">
        <f>IFERROR(MATCH($C$5&amp;"|"&amp;RIGHT("000000"&amp;573,6),LdAKeyG,0),"")</f>
        <v/>
      </c>
    </row>
    <row r="590">
      <c r="A590" s="19" t="n">
        <v>574</v>
      </c>
      <c r="B590" s="20">
        <f>IF($N590="","",INDEX(LdADate,$N590))</f>
        <v/>
      </c>
      <c r="C590" s="20">
        <f>IF($N590="","",IF(INDEX(LdAId,$N590)="","—",INDEX(LdAId,$N590)))</f>
        <v/>
      </c>
      <c r="D590" s="21">
        <f>IF($N590="","",IF(INDEX(LdAAmt,$N590)=0,"",INDEX(LdAAmt,$N590)))</f>
        <v/>
      </c>
      <c r="E590" s="21">
        <f>IF($N590="","",SUMIFS(ShareAmt,ShareLink,$C590))</f>
        <v/>
      </c>
      <c r="F590" s="34">
        <f>IF($N590="","",COUNTIF(ShareLink,$C590))</f>
        <v/>
      </c>
      <c r="G590" s="22">
        <f>IF($N590="","",IF(ROUND($E590-$D590,0)=0,"√","▲ "&amp;TEXT($D590-$E590,"#,##0")))</f>
        <v/>
      </c>
      <c r="N590">
        <f>IFERROR(MATCH($C$5&amp;"|"&amp;RIGHT("000000"&amp;574,6),LdAKeyG,0),"")</f>
        <v/>
      </c>
    </row>
    <row r="591">
      <c r="A591" s="10" t="n">
        <v>575</v>
      </c>
      <c r="B591" s="14">
        <f>IF($N591="","",INDEX(LdADate,$N591))</f>
        <v/>
      </c>
      <c r="C591" s="14">
        <f>IF($N591="","",IF(INDEX(LdAId,$N591)="","—",INDEX(LdAId,$N591)))</f>
        <v/>
      </c>
      <c r="D591" s="16">
        <f>IF($N591="","",IF(INDEX(LdAAmt,$N591)=0,"",INDEX(LdAAmt,$N591)))</f>
        <v/>
      </c>
      <c r="E591" s="16">
        <f>IF($N591="","",SUMIFS(ShareAmt,ShareLink,$C591))</f>
        <v/>
      </c>
      <c r="F591" s="33">
        <f>IF($N591="","",COUNTIF(ShareLink,$C591))</f>
        <v/>
      </c>
      <c r="G591" s="17">
        <f>IF($N591="","",IF(ROUND($E591-$D591,0)=0,"√","▲ "&amp;TEXT($D591-$E591,"#,##0")))</f>
        <v/>
      </c>
      <c r="N591">
        <f>IFERROR(MATCH($C$5&amp;"|"&amp;RIGHT("000000"&amp;575,6),LdAKeyG,0),"")</f>
        <v/>
      </c>
    </row>
    <row r="592">
      <c r="A592" s="19" t="n">
        <v>576</v>
      </c>
      <c r="B592" s="20">
        <f>IF($N592="","",INDEX(LdADate,$N592))</f>
        <v/>
      </c>
      <c r="C592" s="20">
        <f>IF($N592="","",IF(INDEX(LdAId,$N592)="","—",INDEX(LdAId,$N592)))</f>
        <v/>
      </c>
      <c r="D592" s="21">
        <f>IF($N592="","",IF(INDEX(LdAAmt,$N592)=0,"",INDEX(LdAAmt,$N592)))</f>
        <v/>
      </c>
      <c r="E592" s="21">
        <f>IF($N592="","",SUMIFS(ShareAmt,ShareLink,$C592))</f>
        <v/>
      </c>
      <c r="F592" s="34">
        <f>IF($N592="","",COUNTIF(ShareLink,$C592))</f>
        <v/>
      </c>
      <c r="G592" s="22">
        <f>IF($N592="","",IF(ROUND($E592-$D592,0)=0,"√","▲ "&amp;TEXT($D592-$E592,"#,##0")))</f>
        <v/>
      </c>
      <c r="N592">
        <f>IFERROR(MATCH($C$5&amp;"|"&amp;RIGHT("000000"&amp;576,6),LdAKeyG,0),"")</f>
        <v/>
      </c>
    </row>
    <row r="593">
      <c r="A593" s="10" t="n">
        <v>577</v>
      </c>
      <c r="B593" s="14">
        <f>IF($N593="","",INDEX(LdADate,$N593))</f>
        <v/>
      </c>
      <c r="C593" s="14">
        <f>IF($N593="","",IF(INDEX(LdAId,$N593)="","—",INDEX(LdAId,$N593)))</f>
        <v/>
      </c>
      <c r="D593" s="16">
        <f>IF($N593="","",IF(INDEX(LdAAmt,$N593)=0,"",INDEX(LdAAmt,$N593)))</f>
        <v/>
      </c>
      <c r="E593" s="16">
        <f>IF($N593="","",SUMIFS(ShareAmt,ShareLink,$C593))</f>
        <v/>
      </c>
      <c r="F593" s="33">
        <f>IF($N593="","",COUNTIF(ShareLink,$C593))</f>
        <v/>
      </c>
      <c r="G593" s="17">
        <f>IF($N593="","",IF(ROUND($E593-$D593,0)=0,"√","▲ "&amp;TEXT($D593-$E593,"#,##0")))</f>
        <v/>
      </c>
      <c r="N593">
        <f>IFERROR(MATCH($C$5&amp;"|"&amp;RIGHT("000000"&amp;577,6),LdAKeyG,0),"")</f>
        <v/>
      </c>
    </row>
    <row r="594">
      <c r="A594" s="19" t="n">
        <v>578</v>
      </c>
      <c r="B594" s="20">
        <f>IF($N594="","",INDEX(LdADate,$N594))</f>
        <v/>
      </c>
      <c r="C594" s="20">
        <f>IF($N594="","",IF(INDEX(LdAId,$N594)="","—",INDEX(LdAId,$N594)))</f>
        <v/>
      </c>
      <c r="D594" s="21">
        <f>IF($N594="","",IF(INDEX(LdAAmt,$N594)=0,"",INDEX(LdAAmt,$N594)))</f>
        <v/>
      </c>
      <c r="E594" s="21">
        <f>IF($N594="","",SUMIFS(ShareAmt,ShareLink,$C594))</f>
        <v/>
      </c>
      <c r="F594" s="34">
        <f>IF($N594="","",COUNTIF(ShareLink,$C594))</f>
        <v/>
      </c>
      <c r="G594" s="22">
        <f>IF($N594="","",IF(ROUND($E594-$D594,0)=0,"√","▲ "&amp;TEXT($D594-$E594,"#,##0")))</f>
        <v/>
      </c>
      <c r="N594">
        <f>IFERROR(MATCH($C$5&amp;"|"&amp;RIGHT("000000"&amp;578,6),LdAKeyG,0),"")</f>
        <v/>
      </c>
    </row>
    <row r="595">
      <c r="A595" s="10" t="n">
        <v>579</v>
      </c>
      <c r="B595" s="14">
        <f>IF($N595="","",INDEX(LdADate,$N595))</f>
        <v/>
      </c>
      <c r="C595" s="14">
        <f>IF($N595="","",IF(INDEX(LdAId,$N595)="","—",INDEX(LdAId,$N595)))</f>
        <v/>
      </c>
      <c r="D595" s="16">
        <f>IF($N595="","",IF(INDEX(LdAAmt,$N595)=0,"",INDEX(LdAAmt,$N595)))</f>
        <v/>
      </c>
      <c r="E595" s="16">
        <f>IF($N595="","",SUMIFS(ShareAmt,ShareLink,$C595))</f>
        <v/>
      </c>
      <c r="F595" s="33">
        <f>IF($N595="","",COUNTIF(ShareLink,$C595))</f>
        <v/>
      </c>
      <c r="G595" s="17">
        <f>IF($N595="","",IF(ROUND($E595-$D595,0)=0,"√","▲ "&amp;TEXT($D595-$E595,"#,##0")))</f>
        <v/>
      </c>
      <c r="N595">
        <f>IFERROR(MATCH($C$5&amp;"|"&amp;RIGHT("000000"&amp;579,6),LdAKeyG,0),"")</f>
        <v/>
      </c>
    </row>
    <row r="596">
      <c r="A596" s="19" t="n">
        <v>580</v>
      </c>
      <c r="B596" s="20">
        <f>IF($N596="","",INDEX(LdADate,$N596))</f>
        <v/>
      </c>
      <c r="C596" s="20">
        <f>IF($N596="","",IF(INDEX(LdAId,$N596)="","—",INDEX(LdAId,$N596)))</f>
        <v/>
      </c>
      <c r="D596" s="21">
        <f>IF($N596="","",IF(INDEX(LdAAmt,$N596)=0,"",INDEX(LdAAmt,$N596)))</f>
        <v/>
      </c>
      <c r="E596" s="21">
        <f>IF($N596="","",SUMIFS(ShareAmt,ShareLink,$C596))</f>
        <v/>
      </c>
      <c r="F596" s="34">
        <f>IF($N596="","",COUNTIF(ShareLink,$C596))</f>
        <v/>
      </c>
      <c r="G596" s="22">
        <f>IF($N596="","",IF(ROUND($E596-$D596,0)=0,"√","▲ "&amp;TEXT($D596-$E596,"#,##0")))</f>
        <v/>
      </c>
      <c r="N596">
        <f>IFERROR(MATCH($C$5&amp;"|"&amp;RIGHT("000000"&amp;580,6),LdAKeyG,0),"")</f>
        <v/>
      </c>
    </row>
    <row r="597">
      <c r="A597" s="10" t="n">
        <v>581</v>
      </c>
      <c r="B597" s="14">
        <f>IF($N597="","",INDEX(LdADate,$N597))</f>
        <v/>
      </c>
      <c r="C597" s="14">
        <f>IF($N597="","",IF(INDEX(LdAId,$N597)="","—",INDEX(LdAId,$N597)))</f>
        <v/>
      </c>
      <c r="D597" s="16">
        <f>IF($N597="","",IF(INDEX(LdAAmt,$N597)=0,"",INDEX(LdAAmt,$N597)))</f>
        <v/>
      </c>
      <c r="E597" s="16">
        <f>IF($N597="","",SUMIFS(ShareAmt,ShareLink,$C597))</f>
        <v/>
      </c>
      <c r="F597" s="33">
        <f>IF($N597="","",COUNTIF(ShareLink,$C597))</f>
        <v/>
      </c>
      <c r="G597" s="17">
        <f>IF($N597="","",IF(ROUND($E597-$D597,0)=0,"√","▲ "&amp;TEXT($D597-$E597,"#,##0")))</f>
        <v/>
      </c>
      <c r="N597">
        <f>IFERROR(MATCH($C$5&amp;"|"&amp;RIGHT("000000"&amp;581,6),LdAKeyG,0),"")</f>
        <v/>
      </c>
    </row>
    <row r="598">
      <c r="A598" s="19" t="n">
        <v>582</v>
      </c>
      <c r="B598" s="20">
        <f>IF($N598="","",INDEX(LdADate,$N598))</f>
        <v/>
      </c>
      <c r="C598" s="20">
        <f>IF($N598="","",IF(INDEX(LdAId,$N598)="","—",INDEX(LdAId,$N598)))</f>
        <v/>
      </c>
      <c r="D598" s="21">
        <f>IF($N598="","",IF(INDEX(LdAAmt,$N598)=0,"",INDEX(LdAAmt,$N598)))</f>
        <v/>
      </c>
      <c r="E598" s="21">
        <f>IF($N598="","",SUMIFS(ShareAmt,ShareLink,$C598))</f>
        <v/>
      </c>
      <c r="F598" s="34">
        <f>IF($N598="","",COUNTIF(ShareLink,$C598))</f>
        <v/>
      </c>
      <c r="G598" s="22">
        <f>IF($N598="","",IF(ROUND($E598-$D598,0)=0,"√","▲ "&amp;TEXT($D598-$E598,"#,##0")))</f>
        <v/>
      </c>
      <c r="N598">
        <f>IFERROR(MATCH($C$5&amp;"|"&amp;RIGHT("000000"&amp;582,6),LdAKeyG,0),"")</f>
        <v/>
      </c>
    </row>
    <row r="599">
      <c r="A599" s="10" t="n">
        <v>583</v>
      </c>
      <c r="B599" s="14">
        <f>IF($N599="","",INDEX(LdADate,$N599))</f>
        <v/>
      </c>
      <c r="C599" s="14">
        <f>IF($N599="","",IF(INDEX(LdAId,$N599)="","—",INDEX(LdAId,$N599)))</f>
        <v/>
      </c>
      <c r="D599" s="16">
        <f>IF($N599="","",IF(INDEX(LdAAmt,$N599)=0,"",INDEX(LdAAmt,$N599)))</f>
        <v/>
      </c>
      <c r="E599" s="16">
        <f>IF($N599="","",SUMIFS(ShareAmt,ShareLink,$C599))</f>
        <v/>
      </c>
      <c r="F599" s="33">
        <f>IF($N599="","",COUNTIF(ShareLink,$C599))</f>
        <v/>
      </c>
      <c r="G599" s="17">
        <f>IF($N599="","",IF(ROUND($E599-$D599,0)=0,"√","▲ "&amp;TEXT($D599-$E599,"#,##0")))</f>
        <v/>
      </c>
      <c r="N599">
        <f>IFERROR(MATCH($C$5&amp;"|"&amp;RIGHT("000000"&amp;583,6),LdAKeyG,0),"")</f>
        <v/>
      </c>
    </row>
    <row r="600">
      <c r="A600" s="19" t="n">
        <v>584</v>
      </c>
      <c r="B600" s="20">
        <f>IF($N600="","",INDEX(LdADate,$N600))</f>
        <v/>
      </c>
      <c r="C600" s="20">
        <f>IF($N600="","",IF(INDEX(LdAId,$N600)="","—",INDEX(LdAId,$N600)))</f>
        <v/>
      </c>
      <c r="D600" s="21">
        <f>IF($N600="","",IF(INDEX(LdAAmt,$N600)=0,"",INDEX(LdAAmt,$N600)))</f>
        <v/>
      </c>
      <c r="E600" s="21">
        <f>IF($N600="","",SUMIFS(ShareAmt,ShareLink,$C600))</f>
        <v/>
      </c>
      <c r="F600" s="34">
        <f>IF($N600="","",COUNTIF(ShareLink,$C600))</f>
        <v/>
      </c>
      <c r="G600" s="22">
        <f>IF($N600="","",IF(ROUND($E600-$D600,0)=0,"√","▲ "&amp;TEXT($D600-$E600,"#,##0")))</f>
        <v/>
      </c>
      <c r="N600">
        <f>IFERROR(MATCH($C$5&amp;"|"&amp;RIGHT("000000"&amp;584,6),LdAKeyG,0),"")</f>
        <v/>
      </c>
    </row>
    <row r="601">
      <c r="A601" s="10" t="n">
        <v>585</v>
      </c>
      <c r="B601" s="14">
        <f>IF($N601="","",INDEX(LdADate,$N601))</f>
        <v/>
      </c>
      <c r="C601" s="14">
        <f>IF($N601="","",IF(INDEX(LdAId,$N601)="","—",INDEX(LdAId,$N601)))</f>
        <v/>
      </c>
      <c r="D601" s="16">
        <f>IF($N601="","",IF(INDEX(LdAAmt,$N601)=0,"",INDEX(LdAAmt,$N601)))</f>
        <v/>
      </c>
      <c r="E601" s="16">
        <f>IF($N601="","",SUMIFS(ShareAmt,ShareLink,$C601))</f>
        <v/>
      </c>
      <c r="F601" s="33">
        <f>IF($N601="","",COUNTIF(ShareLink,$C601))</f>
        <v/>
      </c>
      <c r="G601" s="17">
        <f>IF($N601="","",IF(ROUND($E601-$D601,0)=0,"√","▲ "&amp;TEXT($D601-$E601,"#,##0")))</f>
        <v/>
      </c>
      <c r="N601">
        <f>IFERROR(MATCH($C$5&amp;"|"&amp;RIGHT("000000"&amp;585,6),LdAKeyG,0),"")</f>
        <v/>
      </c>
    </row>
    <row r="602">
      <c r="A602" s="19" t="n">
        <v>586</v>
      </c>
      <c r="B602" s="20">
        <f>IF($N602="","",INDEX(LdADate,$N602))</f>
        <v/>
      </c>
      <c r="C602" s="20">
        <f>IF($N602="","",IF(INDEX(LdAId,$N602)="","—",INDEX(LdAId,$N602)))</f>
        <v/>
      </c>
      <c r="D602" s="21">
        <f>IF($N602="","",IF(INDEX(LdAAmt,$N602)=0,"",INDEX(LdAAmt,$N602)))</f>
        <v/>
      </c>
      <c r="E602" s="21">
        <f>IF($N602="","",SUMIFS(ShareAmt,ShareLink,$C602))</f>
        <v/>
      </c>
      <c r="F602" s="34">
        <f>IF($N602="","",COUNTIF(ShareLink,$C602))</f>
        <v/>
      </c>
      <c r="G602" s="22">
        <f>IF($N602="","",IF(ROUND($E602-$D602,0)=0,"√","▲ "&amp;TEXT($D602-$E602,"#,##0")))</f>
        <v/>
      </c>
      <c r="N602">
        <f>IFERROR(MATCH($C$5&amp;"|"&amp;RIGHT("000000"&amp;586,6),LdAKeyG,0),"")</f>
        <v/>
      </c>
    </row>
    <row r="603">
      <c r="A603" s="10" t="n">
        <v>587</v>
      </c>
      <c r="B603" s="14">
        <f>IF($N603="","",INDEX(LdADate,$N603))</f>
        <v/>
      </c>
      <c r="C603" s="14">
        <f>IF($N603="","",IF(INDEX(LdAId,$N603)="","—",INDEX(LdAId,$N603)))</f>
        <v/>
      </c>
      <c r="D603" s="16">
        <f>IF($N603="","",IF(INDEX(LdAAmt,$N603)=0,"",INDEX(LdAAmt,$N603)))</f>
        <v/>
      </c>
      <c r="E603" s="16">
        <f>IF($N603="","",SUMIFS(ShareAmt,ShareLink,$C603))</f>
        <v/>
      </c>
      <c r="F603" s="33">
        <f>IF($N603="","",COUNTIF(ShareLink,$C603))</f>
        <v/>
      </c>
      <c r="G603" s="17">
        <f>IF($N603="","",IF(ROUND($E603-$D603,0)=0,"√","▲ "&amp;TEXT($D603-$E603,"#,##0")))</f>
        <v/>
      </c>
      <c r="N603">
        <f>IFERROR(MATCH($C$5&amp;"|"&amp;RIGHT("000000"&amp;587,6),LdAKeyG,0),"")</f>
        <v/>
      </c>
    </row>
    <row r="604">
      <c r="A604" s="19" t="n">
        <v>588</v>
      </c>
      <c r="B604" s="20">
        <f>IF($N604="","",INDEX(LdADate,$N604))</f>
        <v/>
      </c>
      <c r="C604" s="20">
        <f>IF($N604="","",IF(INDEX(LdAId,$N604)="","—",INDEX(LdAId,$N604)))</f>
        <v/>
      </c>
      <c r="D604" s="21">
        <f>IF($N604="","",IF(INDEX(LdAAmt,$N604)=0,"",INDEX(LdAAmt,$N604)))</f>
        <v/>
      </c>
      <c r="E604" s="21">
        <f>IF($N604="","",SUMIFS(ShareAmt,ShareLink,$C604))</f>
        <v/>
      </c>
      <c r="F604" s="34">
        <f>IF($N604="","",COUNTIF(ShareLink,$C604))</f>
        <v/>
      </c>
      <c r="G604" s="22">
        <f>IF($N604="","",IF(ROUND($E604-$D604,0)=0,"√","▲ "&amp;TEXT($D604-$E604,"#,##0")))</f>
        <v/>
      </c>
      <c r="N604">
        <f>IFERROR(MATCH($C$5&amp;"|"&amp;RIGHT("000000"&amp;588,6),LdAKeyG,0),"")</f>
        <v/>
      </c>
    </row>
    <row r="605">
      <c r="A605" s="10" t="n">
        <v>589</v>
      </c>
      <c r="B605" s="14">
        <f>IF($N605="","",INDEX(LdADate,$N605))</f>
        <v/>
      </c>
      <c r="C605" s="14">
        <f>IF($N605="","",IF(INDEX(LdAId,$N605)="","—",INDEX(LdAId,$N605)))</f>
        <v/>
      </c>
      <c r="D605" s="16">
        <f>IF($N605="","",IF(INDEX(LdAAmt,$N605)=0,"",INDEX(LdAAmt,$N605)))</f>
        <v/>
      </c>
      <c r="E605" s="16">
        <f>IF($N605="","",SUMIFS(ShareAmt,ShareLink,$C605))</f>
        <v/>
      </c>
      <c r="F605" s="33">
        <f>IF($N605="","",COUNTIF(ShareLink,$C605))</f>
        <v/>
      </c>
      <c r="G605" s="17">
        <f>IF($N605="","",IF(ROUND($E605-$D605,0)=0,"√","▲ "&amp;TEXT($D605-$E605,"#,##0")))</f>
        <v/>
      </c>
      <c r="N605">
        <f>IFERROR(MATCH($C$5&amp;"|"&amp;RIGHT("000000"&amp;589,6),LdAKeyG,0),"")</f>
        <v/>
      </c>
    </row>
    <row r="606">
      <c r="A606" s="19" t="n">
        <v>590</v>
      </c>
      <c r="B606" s="20">
        <f>IF($N606="","",INDEX(LdADate,$N606))</f>
        <v/>
      </c>
      <c r="C606" s="20">
        <f>IF($N606="","",IF(INDEX(LdAId,$N606)="","—",INDEX(LdAId,$N606)))</f>
        <v/>
      </c>
      <c r="D606" s="21">
        <f>IF($N606="","",IF(INDEX(LdAAmt,$N606)=0,"",INDEX(LdAAmt,$N606)))</f>
        <v/>
      </c>
      <c r="E606" s="21">
        <f>IF($N606="","",SUMIFS(ShareAmt,ShareLink,$C606))</f>
        <v/>
      </c>
      <c r="F606" s="34">
        <f>IF($N606="","",COUNTIF(ShareLink,$C606))</f>
        <v/>
      </c>
      <c r="G606" s="22">
        <f>IF($N606="","",IF(ROUND($E606-$D606,0)=0,"√","▲ "&amp;TEXT($D606-$E606,"#,##0")))</f>
        <v/>
      </c>
      <c r="N606">
        <f>IFERROR(MATCH($C$5&amp;"|"&amp;RIGHT("000000"&amp;590,6),LdAKeyG,0),"")</f>
        <v/>
      </c>
    </row>
    <row r="607">
      <c r="A607" s="10" t="n">
        <v>591</v>
      </c>
      <c r="B607" s="14">
        <f>IF($N607="","",INDEX(LdADate,$N607))</f>
        <v/>
      </c>
      <c r="C607" s="14">
        <f>IF($N607="","",IF(INDEX(LdAId,$N607)="","—",INDEX(LdAId,$N607)))</f>
        <v/>
      </c>
      <c r="D607" s="16">
        <f>IF($N607="","",IF(INDEX(LdAAmt,$N607)=0,"",INDEX(LdAAmt,$N607)))</f>
        <v/>
      </c>
      <c r="E607" s="16">
        <f>IF($N607="","",SUMIFS(ShareAmt,ShareLink,$C607))</f>
        <v/>
      </c>
      <c r="F607" s="33">
        <f>IF($N607="","",COUNTIF(ShareLink,$C607))</f>
        <v/>
      </c>
      <c r="G607" s="17">
        <f>IF($N607="","",IF(ROUND($E607-$D607,0)=0,"√","▲ "&amp;TEXT($D607-$E607,"#,##0")))</f>
        <v/>
      </c>
      <c r="N607">
        <f>IFERROR(MATCH($C$5&amp;"|"&amp;RIGHT("000000"&amp;591,6),LdAKeyG,0),"")</f>
        <v/>
      </c>
    </row>
    <row r="608">
      <c r="A608" s="19" t="n">
        <v>592</v>
      </c>
      <c r="B608" s="20">
        <f>IF($N608="","",INDEX(LdADate,$N608))</f>
        <v/>
      </c>
      <c r="C608" s="20">
        <f>IF($N608="","",IF(INDEX(LdAId,$N608)="","—",INDEX(LdAId,$N608)))</f>
        <v/>
      </c>
      <c r="D608" s="21">
        <f>IF($N608="","",IF(INDEX(LdAAmt,$N608)=0,"",INDEX(LdAAmt,$N608)))</f>
        <v/>
      </c>
      <c r="E608" s="21">
        <f>IF($N608="","",SUMIFS(ShareAmt,ShareLink,$C608))</f>
        <v/>
      </c>
      <c r="F608" s="34">
        <f>IF($N608="","",COUNTIF(ShareLink,$C608))</f>
        <v/>
      </c>
      <c r="G608" s="22">
        <f>IF($N608="","",IF(ROUND($E608-$D608,0)=0,"√","▲ "&amp;TEXT($D608-$E608,"#,##0")))</f>
        <v/>
      </c>
      <c r="N608">
        <f>IFERROR(MATCH($C$5&amp;"|"&amp;RIGHT("000000"&amp;592,6),LdAKeyG,0),"")</f>
        <v/>
      </c>
    </row>
    <row r="609">
      <c r="A609" s="10" t="n">
        <v>593</v>
      </c>
      <c r="B609" s="14">
        <f>IF($N609="","",INDEX(LdADate,$N609))</f>
        <v/>
      </c>
      <c r="C609" s="14">
        <f>IF($N609="","",IF(INDEX(LdAId,$N609)="","—",INDEX(LdAId,$N609)))</f>
        <v/>
      </c>
      <c r="D609" s="16">
        <f>IF($N609="","",IF(INDEX(LdAAmt,$N609)=0,"",INDEX(LdAAmt,$N609)))</f>
        <v/>
      </c>
      <c r="E609" s="16">
        <f>IF($N609="","",SUMIFS(ShareAmt,ShareLink,$C609))</f>
        <v/>
      </c>
      <c r="F609" s="33">
        <f>IF($N609="","",COUNTIF(ShareLink,$C609))</f>
        <v/>
      </c>
      <c r="G609" s="17">
        <f>IF($N609="","",IF(ROUND($E609-$D609,0)=0,"√","▲ "&amp;TEXT($D609-$E609,"#,##0")))</f>
        <v/>
      </c>
      <c r="N609">
        <f>IFERROR(MATCH($C$5&amp;"|"&amp;RIGHT("000000"&amp;593,6),LdAKeyG,0),"")</f>
        <v/>
      </c>
    </row>
    <row r="610">
      <c r="A610" s="19" t="n">
        <v>594</v>
      </c>
      <c r="B610" s="20">
        <f>IF($N610="","",INDEX(LdADate,$N610))</f>
        <v/>
      </c>
      <c r="C610" s="20">
        <f>IF($N610="","",IF(INDEX(LdAId,$N610)="","—",INDEX(LdAId,$N610)))</f>
        <v/>
      </c>
      <c r="D610" s="21">
        <f>IF($N610="","",IF(INDEX(LdAAmt,$N610)=0,"",INDEX(LdAAmt,$N610)))</f>
        <v/>
      </c>
      <c r="E610" s="21">
        <f>IF($N610="","",SUMIFS(ShareAmt,ShareLink,$C610))</f>
        <v/>
      </c>
      <c r="F610" s="34">
        <f>IF($N610="","",COUNTIF(ShareLink,$C610))</f>
        <v/>
      </c>
      <c r="G610" s="22">
        <f>IF($N610="","",IF(ROUND($E610-$D610,0)=0,"√","▲ "&amp;TEXT($D610-$E610,"#,##0")))</f>
        <v/>
      </c>
      <c r="N610">
        <f>IFERROR(MATCH($C$5&amp;"|"&amp;RIGHT("000000"&amp;594,6),LdAKeyG,0),"")</f>
        <v/>
      </c>
    </row>
    <row r="611">
      <c r="A611" s="10" t="n">
        <v>595</v>
      </c>
      <c r="B611" s="14">
        <f>IF($N611="","",INDEX(LdADate,$N611))</f>
        <v/>
      </c>
      <c r="C611" s="14">
        <f>IF($N611="","",IF(INDEX(LdAId,$N611)="","—",INDEX(LdAId,$N611)))</f>
        <v/>
      </c>
      <c r="D611" s="16">
        <f>IF($N611="","",IF(INDEX(LdAAmt,$N611)=0,"",INDEX(LdAAmt,$N611)))</f>
        <v/>
      </c>
      <c r="E611" s="16">
        <f>IF($N611="","",SUMIFS(ShareAmt,ShareLink,$C611))</f>
        <v/>
      </c>
      <c r="F611" s="33">
        <f>IF($N611="","",COUNTIF(ShareLink,$C611))</f>
        <v/>
      </c>
      <c r="G611" s="17">
        <f>IF($N611="","",IF(ROUND($E611-$D611,0)=0,"√","▲ "&amp;TEXT($D611-$E611,"#,##0")))</f>
        <v/>
      </c>
      <c r="N611">
        <f>IFERROR(MATCH($C$5&amp;"|"&amp;RIGHT("000000"&amp;595,6),LdAKeyG,0),"")</f>
        <v/>
      </c>
    </row>
    <row r="612">
      <c r="A612" s="19" t="n">
        <v>596</v>
      </c>
      <c r="B612" s="20">
        <f>IF($N612="","",INDEX(LdADate,$N612))</f>
        <v/>
      </c>
      <c r="C612" s="20">
        <f>IF($N612="","",IF(INDEX(LdAId,$N612)="","—",INDEX(LdAId,$N612)))</f>
        <v/>
      </c>
      <c r="D612" s="21">
        <f>IF($N612="","",IF(INDEX(LdAAmt,$N612)=0,"",INDEX(LdAAmt,$N612)))</f>
        <v/>
      </c>
      <c r="E612" s="21">
        <f>IF($N612="","",SUMIFS(ShareAmt,ShareLink,$C612))</f>
        <v/>
      </c>
      <c r="F612" s="34">
        <f>IF($N612="","",COUNTIF(ShareLink,$C612))</f>
        <v/>
      </c>
      <c r="G612" s="22">
        <f>IF($N612="","",IF(ROUND($E612-$D612,0)=0,"√","▲ "&amp;TEXT($D612-$E612,"#,##0")))</f>
        <v/>
      </c>
      <c r="N612">
        <f>IFERROR(MATCH($C$5&amp;"|"&amp;RIGHT("000000"&amp;596,6),LdAKeyG,0),"")</f>
        <v/>
      </c>
    </row>
    <row r="613">
      <c r="A613" s="10" t="n">
        <v>597</v>
      </c>
      <c r="B613" s="14">
        <f>IF($N613="","",INDEX(LdADate,$N613))</f>
        <v/>
      </c>
      <c r="C613" s="14">
        <f>IF($N613="","",IF(INDEX(LdAId,$N613)="","—",INDEX(LdAId,$N613)))</f>
        <v/>
      </c>
      <c r="D613" s="16">
        <f>IF($N613="","",IF(INDEX(LdAAmt,$N613)=0,"",INDEX(LdAAmt,$N613)))</f>
        <v/>
      </c>
      <c r="E613" s="16">
        <f>IF($N613="","",SUMIFS(ShareAmt,ShareLink,$C613))</f>
        <v/>
      </c>
      <c r="F613" s="33">
        <f>IF($N613="","",COUNTIF(ShareLink,$C613))</f>
        <v/>
      </c>
      <c r="G613" s="17">
        <f>IF($N613="","",IF(ROUND($E613-$D613,0)=0,"√","▲ "&amp;TEXT($D613-$E613,"#,##0")))</f>
        <v/>
      </c>
      <c r="N613">
        <f>IFERROR(MATCH($C$5&amp;"|"&amp;RIGHT("000000"&amp;597,6),LdAKeyG,0),"")</f>
        <v/>
      </c>
    </row>
    <row r="614">
      <c r="A614" s="19" t="n">
        <v>598</v>
      </c>
      <c r="B614" s="20">
        <f>IF($N614="","",INDEX(LdADate,$N614))</f>
        <v/>
      </c>
      <c r="C614" s="20">
        <f>IF($N614="","",IF(INDEX(LdAId,$N614)="","—",INDEX(LdAId,$N614)))</f>
        <v/>
      </c>
      <c r="D614" s="21">
        <f>IF($N614="","",IF(INDEX(LdAAmt,$N614)=0,"",INDEX(LdAAmt,$N614)))</f>
        <v/>
      </c>
      <c r="E614" s="21">
        <f>IF($N614="","",SUMIFS(ShareAmt,ShareLink,$C614))</f>
        <v/>
      </c>
      <c r="F614" s="34">
        <f>IF($N614="","",COUNTIF(ShareLink,$C614))</f>
        <v/>
      </c>
      <c r="G614" s="22">
        <f>IF($N614="","",IF(ROUND($E614-$D614,0)=0,"√","▲ "&amp;TEXT($D614-$E614,"#,##0")))</f>
        <v/>
      </c>
      <c r="N614">
        <f>IFERROR(MATCH($C$5&amp;"|"&amp;RIGHT("000000"&amp;598,6),LdAKeyG,0),"")</f>
        <v/>
      </c>
    </row>
    <row r="615">
      <c r="A615" s="10" t="n">
        <v>599</v>
      </c>
      <c r="B615" s="14">
        <f>IF($N615="","",INDEX(LdADate,$N615))</f>
        <v/>
      </c>
      <c r="C615" s="14">
        <f>IF($N615="","",IF(INDEX(LdAId,$N615)="","—",INDEX(LdAId,$N615)))</f>
        <v/>
      </c>
      <c r="D615" s="16">
        <f>IF($N615="","",IF(INDEX(LdAAmt,$N615)=0,"",INDEX(LdAAmt,$N615)))</f>
        <v/>
      </c>
      <c r="E615" s="16">
        <f>IF($N615="","",SUMIFS(ShareAmt,ShareLink,$C615))</f>
        <v/>
      </c>
      <c r="F615" s="33">
        <f>IF($N615="","",COUNTIF(ShareLink,$C615))</f>
        <v/>
      </c>
      <c r="G615" s="17">
        <f>IF($N615="","",IF(ROUND($E615-$D615,0)=0,"√","▲ "&amp;TEXT($D615-$E615,"#,##0")))</f>
        <v/>
      </c>
      <c r="N615">
        <f>IFERROR(MATCH($C$5&amp;"|"&amp;RIGHT("000000"&amp;599,6),LdAKeyG,0),"")</f>
        <v/>
      </c>
    </row>
    <row r="616">
      <c r="A616" s="19" t="n">
        <v>600</v>
      </c>
      <c r="B616" s="20">
        <f>IF($N616="","",INDEX(LdADate,$N616))</f>
        <v/>
      </c>
      <c r="C616" s="20">
        <f>IF($N616="","",IF(INDEX(LdAId,$N616)="","—",INDEX(LdAId,$N616)))</f>
        <v/>
      </c>
      <c r="D616" s="21">
        <f>IF($N616="","",IF(INDEX(LdAAmt,$N616)=0,"",INDEX(LdAAmt,$N616)))</f>
        <v/>
      </c>
      <c r="E616" s="21">
        <f>IF($N616="","",SUMIFS(ShareAmt,ShareLink,$C616))</f>
        <v/>
      </c>
      <c r="F616" s="34">
        <f>IF($N616="","",COUNTIF(ShareLink,$C616))</f>
        <v/>
      </c>
      <c r="G616" s="22">
        <f>IF($N616="","",IF(ROUND($E616-$D616,0)=0,"√","▲ "&amp;TEXT($D616-$E616,"#,##0")))</f>
        <v/>
      </c>
      <c r="N616">
        <f>IFERROR(MATCH($C$5&amp;"|"&amp;RIGHT("000000"&amp;600,6),LdAKeyG,0),"")</f>
        <v/>
      </c>
    </row>
    <row r="617">
      <c r="A617" s="10" t="n">
        <v>601</v>
      </c>
      <c r="B617" s="14">
        <f>IF($N617="","",INDEX(LdADate,$N617))</f>
        <v/>
      </c>
      <c r="C617" s="14">
        <f>IF($N617="","",IF(INDEX(LdAId,$N617)="","—",INDEX(LdAId,$N617)))</f>
        <v/>
      </c>
      <c r="D617" s="16">
        <f>IF($N617="","",IF(INDEX(LdAAmt,$N617)=0,"",INDEX(LdAAmt,$N617)))</f>
        <v/>
      </c>
      <c r="E617" s="16">
        <f>IF($N617="","",SUMIFS(ShareAmt,ShareLink,$C617))</f>
        <v/>
      </c>
      <c r="F617" s="33">
        <f>IF($N617="","",COUNTIF(ShareLink,$C617))</f>
        <v/>
      </c>
      <c r="G617" s="17">
        <f>IF($N617="","",IF(ROUND($E617-$D617,0)=0,"√","▲ "&amp;TEXT($D617-$E617,"#,##0")))</f>
        <v/>
      </c>
      <c r="N617">
        <f>IFERROR(MATCH($C$5&amp;"|"&amp;RIGHT("000000"&amp;601,6),LdAKeyG,0),"")</f>
        <v/>
      </c>
    </row>
    <row r="618">
      <c r="A618" s="19" t="n">
        <v>602</v>
      </c>
      <c r="B618" s="20">
        <f>IF($N618="","",INDEX(LdADate,$N618))</f>
        <v/>
      </c>
      <c r="C618" s="20">
        <f>IF($N618="","",IF(INDEX(LdAId,$N618)="","—",INDEX(LdAId,$N618)))</f>
        <v/>
      </c>
      <c r="D618" s="21">
        <f>IF($N618="","",IF(INDEX(LdAAmt,$N618)=0,"",INDEX(LdAAmt,$N618)))</f>
        <v/>
      </c>
      <c r="E618" s="21">
        <f>IF($N618="","",SUMIFS(ShareAmt,ShareLink,$C618))</f>
        <v/>
      </c>
      <c r="F618" s="34">
        <f>IF($N618="","",COUNTIF(ShareLink,$C618))</f>
        <v/>
      </c>
      <c r="G618" s="22">
        <f>IF($N618="","",IF(ROUND($E618-$D618,0)=0,"√","▲ "&amp;TEXT($D618-$E618,"#,##0")))</f>
        <v/>
      </c>
      <c r="N618">
        <f>IFERROR(MATCH($C$5&amp;"|"&amp;RIGHT("000000"&amp;602,6),LdAKeyG,0),"")</f>
        <v/>
      </c>
    </row>
    <row r="619">
      <c r="A619" s="10" t="n">
        <v>603</v>
      </c>
      <c r="B619" s="14">
        <f>IF($N619="","",INDEX(LdADate,$N619))</f>
        <v/>
      </c>
      <c r="C619" s="14">
        <f>IF($N619="","",IF(INDEX(LdAId,$N619)="","—",INDEX(LdAId,$N619)))</f>
        <v/>
      </c>
      <c r="D619" s="16">
        <f>IF($N619="","",IF(INDEX(LdAAmt,$N619)=0,"",INDEX(LdAAmt,$N619)))</f>
        <v/>
      </c>
      <c r="E619" s="16">
        <f>IF($N619="","",SUMIFS(ShareAmt,ShareLink,$C619))</f>
        <v/>
      </c>
      <c r="F619" s="33">
        <f>IF($N619="","",COUNTIF(ShareLink,$C619))</f>
        <v/>
      </c>
      <c r="G619" s="17">
        <f>IF($N619="","",IF(ROUND($E619-$D619,0)=0,"√","▲ "&amp;TEXT($D619-$E619,"#,##0")))</f>
        <v/>
      </c>
      <c r="N619">
        <f>IFERROR(MATCH($C$5&amp;"|"&amp;RIGHT("000000"&amp;603,6),LdAKeyG,0),"")</f>
        <v/>
      </c>
    </row>
    <row r="620">
      <c r="A620" s="19" t="n">
        <v>604</v>
      </c>
      <c r="B620" s="20">
        <f>IF($N620="","",INDEX(LdADate,$N620))</f>
        <v/>
      </c>
      <c r="C620" s="20">
        <f>IF($N620="","",IF(INDEX(LdAId,$N620)="","—",INDEX(LdAId,$N620)))</f>
        <v/>
      </c>
      <c r="D620" s="21">
        <f>IF($N620="","",IF(INDEX(LdAAmt,$N620)=0,"",INDEX(LdAAmt,$N620)))</f>
        <v/>
      </c>
      <c r="E620" s="21">
        <f>IF($N620="","",SUMIFS(ShareAmt,ShareLink,$C620))</f>
        <v/>
      </c>
      <c r="F620" s="34">
        <f>IF($N620="","",COUNTIF(ShareLink,$C620))</f>
        <v/>
      </c>
      <c r="G620" s="22">
        <f>IF($N620="","",IF(ROUND($E620-$D620,0)=0,"√","▲ "&amp;TEXT($D620-$E620,"#,##0")))</f>
        <v/>
      </c>
      <c r="N620">
        <f>IFERROR(MATCH($C$5&amp;"|"&amp;RIGHT("000000"&amp;604,6),LdAKeyG,0),"")</f>
        <v/>
      </c>
    </row>
    <row r="621">
      <c r="A621" s="10" t="n">
        <v>605</v>
      </c>
      <c r="B621" s="14">
        <f>IF($N621="","",INDEX(LdADate,$N621))</f>
        <v/>
      </c>
      <c r="C621" s="14">
        <f>IF($N621="","",IF(INDEX(LdAId,$N621)="","—",INDEX(LdAId,$N621)))</f>
        <v/>
      </c>
      <c r="D621" s="16">
        <f>IF($N621="","",IF(INDEX(LdAAmt,$N621)=0,"",INDEX(LdAAmt,$N621)))</f>
        <v/>
      </c>
      <c r="E621" s="16">
        <f>IF($N621="","",SUMIFS(ShareAmt,ShareLink,$C621))</f>
        <v/>
      </c>
      <c r="F621" s="33">
        <f>IF($N621="","",COUNTIF(ShareLink,$C621))</f>
        <v/>
      </c>
      <c r="G621" s="17">
        <f>IF($N621="","",IF(ROUND($E621-$D621,0)=0,"√","▲ "&amp;TEXT($D621-$E621,"#,##0")))</f>
        <v/>
      </c>
      <c r="N621">
        <f>IFERROR(MATCH($C$5&amp;"|"&amp;RIGHT("000000"&amp;605,6),LdAKeyG,0),"")</f>
        <v/>
      </c>
    </row>
    <row r="622">
      <c r="A622" s="19" t="n">
        <v>606</v>
      </c>
      <c r="B622" s="20">
        <f>IF($N622="","",INDEX(LdADate,$N622))</f>
        <v/>
      </c>
      <c r="C622" s="20">
        <f>IF($N622="","",IF(INDEX(LdAId,$N622)="","—",INDEX(LdAId,$N622)))</f>
        <v/>
      </c>
      <c r="D622" s="21">
        <f>IF($N622="","",IF(INDEX(LdAAmt,$N622)=0,"",INDEX(LdAAmt,$N622)))</f>
        <v/>
      </c>
      <c r="E622" s="21">
        <f>IF($N622="","",SUMIFS(ShareAmt,ShareLink,$C622))</f>
        <v/>
      </c>
      <c r="F622" s="34">
        <f>IF($N622="","",COUNTIF(ShareLink,$C622))</f>
        <v/>
      </c>
      <c r="G622" s="22">
        <f>IF($N622="","",IF(ROUND($E622-$D622,0)=0,"√","▲ "&amp;TEXT($D622-$E622,"#,##0")))</f>
        <v/>
      </c>
      <c r="N622">
        <f>IFERROR(MATCH($C$5&amp;"|"&amp;RIGHT("000000"&amp;606,6),LdAKeyG,0),"")</f>
        <v/>
      </c>
    </row>
    <row r="623">
      <c r="A623" s="10" t="n">
        <v>607</v>
      </c>
      <c r="B623" s="14">
        <f>IF($N623="","",INDEX(LdADate,$N623))</f>
        <v/>
      </c>
      <c r="C623" s="14">
        <f>IF($N623="","",IF(INDEX(LdAId,$N623)="","—",INDEX(LdAId,$N623)))</f>
        <v/>
      </c>
      <c r="D623" s="16">
        <f>IF($N623="","",IF(INDEX(LdAAmt,$N623)=0,"",INDEX(LdAAmt,$N623)))</f>
        <v/>
      </c>
      <c r="E623" s="16">
        <f>IF($N623="","",SUMIFS(ShareAmt,ShareLink,$C623))</f>
        <v/>
      </c>
      <c r="F623" s="33">
        <f>IF($N623="","",COUNTIF(ShareLink,$C623))</f>
        <v/>
      </c>
      <c r="G623" s="17">
        <f>IF($N623="","",IF(ROUND($E623-$D623,0)=0,"√","▲ "&amp;TEXT($D623-$E623,"#,##0")))</f>
        <v/>
      </c>
      <c r="N623">
        <f>IFERROR(MATCH($C$5&amp;"|"&amp;RIGHT("000000"&amp;607,6),LdAKeyG,0),"")</f>
        <v/>
      </c>
    </row>
    <row r="624">
      <c r="A624" s="19" t="n">
        <v>608</v>
      </c>
      <c r="B624" s="20">
        <f>IF($N624="","",INDEX(LdADate,$N624))</f>
        <v/>
      </c>
      <c r="C624" s="20">
        <f>IF($N624="","",IF(INDEX(LdAId,$N624)="","—",INDEX(LdAId,$N624)))</f>
        <v/>
      </c>
      <c r="D624" s="21">
        <f>IF($N624="","",IF(INDEX(LdAAmt,$N624)=0,"",INDEX(LdAAmt,$N624)))</f>
        <v/>
      </c>
      <c r="E624" s="21">
        <f>IF($N624="","",SUMIFS(ShareAmt,ShareLink,$C624))</f>
        <v/>
      </c>
      <c r="F624" s="34">
        <f>IF($N624="","",COUNTIF(ShareLink,$C624))</f>
        <v/>
      </c>
      <c r="G624" s="22">
        <f>IF($N624="","",IF(ROUND($E624-$D624,0)=0,"√","▲ "&amp;TEXT($D624-$E624,"#,##0")))</f>
        <v/>
      </c>
      <c r="N624">
        <f>IFERROR(MATCH($C$5&amp;"|"&amp;RIGHT("000000"&amp;608,6),LdAKeyG,0),"")</f>
        <v/>
      </c>
    </row>
    <row r="625">
      <c r="A625" s="10" t="n">
        <v>609</v>
      </c>
      <c r="B625" s="14">
        <f>IF($N625="","",INDEX(LdADate,$N625))</f>
        <v/>
      </c>
      <c r="C625" s="14">
        <f>IF($N625="","",IF(INDEX(LdAId,$N625)="","—",INDEX(LdAId,$N625)))</f>
        <v/>
      </c>
      <c r="D625" s="16">
        <f>IF($N625="","",IF(INDEX(LdAAmt,$N625)=0,"",INDEX(LdAAmt,$N625)))</f>
        <v/>
      </c>
      <c r="E625" s="16">
        <f>IF($N625="","",SUMIFS(ShareAmt,ShareLink,$C625))</f>
        <v/>
      </c>
      <c r="F625" s="33">
        <f>IF($N625="","",COUNTIF(ShareLink,$C625))</f>
        <v/>
      </c>
      <c r="G625" s="17">
        <f>IF($N625="","",IF(ROUND($E625-$D625,0)=0,"√","▲ "&amp;TEXT($D625-$E625,"#,##0")))</f>
        <v/>
      </c>
      <c r="N625">
        <f>IFERROR(MATCH($C$5&amp;"|"&amp;RIGHT("000000"&amp;609,6),LdAKeyG,0),"")</f>
        <v/>
      </c>
    </row>
    <row r="626">
      <c r="A626" s="19" t="n">
        <v>610</v>
      </c>
      <c r="B626" s="20">
        <f>IF($N626="","",INDEX(LdADate,$N626))</f>
        <v/>
      </c>
      <c r="C626" s="20">
        <f>IF($N626="","",IF(INDEX(LdAId,$N626)="","—",INDEX(LdAId,$N626)))</f>
        <v/>
      </c>
      <c r="D626" s="21">
        <f>IF($N626="","",IF(INDEX(LdAAmt,$N626)=0,"",INDEX(LdAAmt,$N626)))</f>
        <v/>
      </c>
      <c r="E626" s="21">
        <f>IF($N626="","",SUMIFS(ShareAmt,ShareLink,$C626))</f>
        <v/>
      </c>
      <c r="F626" s="34">
        <f>IF($N626="","",COUNTIF(ShareLink,$C626))</f>
        <v/>
      </c>
      <c r="G626" s="22">
        <f>IF($N626="","",IF(ROUND($E626-$D626,0)=0,"√","▲ "&amp;TEXT($D626-$E626,"#,##0")))</f>
        <v/>
      </c>
      <c r="N626">
        <f>IFERROR(MATCH($C$5&amp;"|"&amp;RIGHT("000000"&amp;610,6),LdAKeyG,0),"")</f>
        <v/>
      </c>
    </row>
    <row r="627">
      <c r="A627" s="10" t="n">
        <v>611</v>
      </c>
      <c r="B627" s="14">
        <f>IF($N627="","",INDEX(LdADate,$N627))</f>
        <v/>
      </c>
      <c r="C627" s="14">
        <f>IF($N627="","",IF(INDEX(LdAId,$N627)="","—",INDEX(LdAId,$N627)))</f>
        <v/>
      </c>
      <c r="D627" s="16">
        <f>IF($N627="","",IF(INDEX(LdAAmt,$N627)=0,"",INDEX(LdAAmt,$N627)))</f>
        <v/>
      </c>
      <c r="E627" s="16">
        <f>IF($N627="","",SUMIFS(ShareAmt,ShareLink,$C627))</f>
        <v/>
      </c>
      <c r="F627" s="33">
        <f>IF($N627="","",COUNTIF(ShareLink,$C627))</f>
        <v/>
      </c>
      <c r="G627" s="17">
        <f>IF($N627="","",IF(ROUND($E627-$D627,0)=0,"√","▲ "&amp;TEXT($D627-$E627,"#,##0")))</f>
        <v/>
      </c>
      <c r="N627">
        <f>IFERROR(MATCH($C$5&amp;"|"&amp;RIGHT("000000"&amp;611,6),LdAKeyG,0),"")</f>
        <v/>
      </c>
    </row>
    <row r="628">
      <c r="A628" s="19" t="n">
        <v>612</v>
      </c>
      <c r="B628" s="20">
        <f>IF($N628="","",INDEX(LdADate,$N628))</f>
        <v/>
      </c>
      <c r="C628" s="20">
        <f>IF($N628="","",IF(INDEX(LdAId,$N628)="","—",INDEX(LdAId,$N628)))</f>
        <v/>
      </c>
      <c r="D628" s="21">
        <f>IF($N628="","",IF(INDEX(LdAAmt,$N628)=0,"",INDEX(LdAAmt,$N628)))</f>
        <v/>
      </c>
      <c r="E628" s="21">
        <f>IF($N628="","",SUMIFS(ShareAmt,ShareLink,$C628))</f>
        <v/>
      </c>
      <c r="F628" s="34">
        <f>IF($N628="","",COUNTIF(ShareLink,$C628))</f>
        <v/>
      </c>
      <c r="G628" s="22">
        <f>IF($N628="","",IF(ROUND($E628-$D628,0)=0,"√","▲ "&amp;TEXT($D628-$E628,"#,##0")))</f>
        <v/>
      </c>
      <c r="N628">
        <f>IFERROR(MATCH($C$5&amp;"|"&amp;RIGHT("000000"&amp;612,6),LdAKeyG,0),"")</f>
        <v/>
      </c>
    </row>
    <row r="629">
      <c r="A629" s="10" t="n">
        <v>613</v>
      </c>
      <c r="B629" s="14">
        <f>IF($N629="","",INDEX(LdADate,$N629))</f>
        <v/>
      </c>
      <c r="C629" s="14">
        <f>IF($N629="","",IF(INDEX(LdAId,$N629)="","—",INDEX(LdAId,$N629)))</f>
        <v/>
      </c>
      <c r="D629" s="16">
        <f>IF($N629="","",IF(INDEX(LdAAmt,$N629)=0,"",INDEX(LdAAmt,$N629)))</f>
        <v/>
      </c>
      <c r="E629" s="16">
        <f>IF($N629="","",SUMIFS(ShareAmt,ShareLink,$C629))</f>
        <v/>
      </c>
      <c r="F629" s="33">
        <f>IF($N629="","",COUNTIF(ShareLink,$C629))</f>
        <v/>
      </c>
      <c r="G629" s="17">
        <f>IF($N629="","",IF(ROUND($E629-$D629,0)=0,"√","▲ "&amp;TEXT($D629-$E629,"#,##0")))</f>
        <v/>
      </c>
      <c r="N629">
        <f>IFERROR(MATCH($C$5&amp;"|"&amp;RIGHT("000000"&amp;613,6),LdAKeyG,0),"")</f>
        <v/>
      </c>
    </row>
    <row r="630">
      <c r="A630" s="19" t="n">
        <v>614</v>
      </c>
      <c r="B630" s="20">
        <f>IF($N630="","",INDEX(LdADate,$N630))</f>
        <v/>
      </c>
      <c r="C630" s="20">
        <f>IF($N630="","",IF(INDEX(LdAId,$N630)="","—",INDEX(LdAId,$N630)))</f>
        <v/>
      </c>
      <c r="D630" s="21">
        <f>IF($N630="","",IF(INDEX(LdAAmt,$N630)=0,"",INDEX(LdAAmt,$N630)))</f>
        <v/>
      </c>
      <c r="E630" s="21">
        <f>IF($N630="","",SUMIFS(ShareAmt,ShareLink,$C630))</f>
        <v/>
      </c>
      <c r="F630" s="34">
        <f>IF($N630="","",COUNTIF(ShareLink,$C630))</f>
        <v/>
      </c>
      <c r="G630" s="22">
        <f>IF($N630="","",IF(ROUND($E630-$D630,0)=0,"√","▲ "&amp;TEXT($D630-$E630,"#,##0")))</f>
        <v/>
      </c>
      <c r="N630">
        <f>IFERROR(MATCH($C$5&amp;"|"&amp;RIGHT("000000"&amp;614,6),LdAKeyG,0),"")</f>
        <v/>
      </c>
    </row>
    <row r="631">
      <c r="A631" s="10" t="n">
        <v>615</v>
      </c>
      <c r="B631" s="14">
        <f>IF($N631="","",INDEX(LdADate,$N631))</f>
        <v/>
      </c>
      <c r="C631" s="14">
        <f>IF($N631="","",IF(INDEX(LdAId,$N631)="","—",INDEX(LdAId,$N631)))</f>
        <v/>
      </c>
      <c r="D631" s="16">
        <f>IF($N631="","",IF(INDEX(LdAAmt,$N631)=0,"",INDEX(LdAAmt,$N631)))</f>
        <v/>
      </c>
      <c r="E631" s="16">
        <f>IF($N631="","",SUMIFS(ShareAmt,ShareLink,$C631))</f>
        <v/>
      </c>
      <c r="F631" s="33">
        <f>IF($N631="","",COUNTIF(ShareLink,$C631))</f>
        <v/>
      </c>
      <c r="G631" s="17">
        <f>IF($N631="","",IF(ROUND($E631-$D631,0)=0,"√","▲ "&amp;TEXT($D631-$E631,"#,##0")))</f>
        <v/>
      </c>
      <c r="N631">
        <f>IFERROR(MATCH($C$5&amp;"|"&amp;RIGHT("000000"&amp;615,6),LdAKeyG,0),"")</f>
        <v/>
      </c>
    </row>
    <row r="632">
      <c r="A632" s="19" t="n">
        <v>616</v>
      </c>
      <c r="B632" s="20">
        <f>IF($N632="","",INDEX(LdADate,$N632))</f>
        <v/>
      </c>
      <c r="C632" s="20">
        <f>IF($N632="","",IF(INDEX(LdAId,$N632)="","—",INDEX(LdAId,$N632)))</f>
        <v/>
      </c>
      <c r="D632" s="21">
        <f>IF($N632="","",IF(INDEX(LdAAmt,$N632)=0,"",INDEX(LdAAmt,$N632)))</f>
        <v/>
      </c>
      <c r="E632" s="21">
        <f>IF($N632="","",SUMIFS(ShareAmt,ShareLink,$C632))</f>
        <v/>
      </c>
      <c r="F632" s="34">
        <f>IF($N632="","",COUNTIF(ShareLink,$C632))</f>
        <v/>
      </c>
      <c r="G632" s="22">
        <f>IF($N632="","",IF(ROUND($E632-$D632,0)=0,"√","▲ "&amp;TEXT($D632-$E632,"#,##0")))</f>
        <v/>
      </c>
      <c r="N632">
        <f>IFERROR(MATCH($C$5&amp;"|"&amp;RIGHT("000000"&amp;616,6),LdAKeyG,0),"")</f>
        <v/>
      </c>
    </row>
    <row r="633">
      <c r="A633" s="10" t="n">
        <v>617</v>
      </c>
      <c r="B633" s="14">
        <f>IF($N633="","",INDEX(LdADate,$N633))</f>
        <v/>
      </c>
      <c r="C633" s="14">
        <f>IF($N633="","",IF(INDEX(LdAId,$N633)="","—",INDEX(LdAId,$N633)))</f>
        <v/>
      </c>
      <c r="D633" s="16">
        <f>IF($N633="","",IF(INDEX(LdAAmt,$N633)=0,"",INDEX(LdAAmt,$N633)))</f>
        <v/>
      </c>
      <c r="E633" s="16">
        <f>IF($N633="","",SUMIFS(ShareAmt,ShareLink,$C633))</f>
        <v/>
      </c>
      <c r="F633" s="33">
        <f>IF($N633="","",COUNTIF(ShareLink,$C633))</f>
        <v/>
      </c>
      <c r="G633" s="17">
        <f>IF($N633="","",IF(ROUND($E633-$D633,0)=0,"√","▲ "&amp;TEXT($D633-$E633,"#,##0")))</f>
        <v/>
      </c>
      <c r="N633">
        <f>IFERROR(MATCH($C$5&amp;"|"&amp;RIGHT("000000"&amp;617,6),LdAKeyG,0),"")</f>
        <v/>
      </c>
    </row>
    <row r="634">
      <c r="A634" s="19" t="n">
        <v>618</v>
      </c>
      <c r="B634" s="20">
        <f>IF($N634="","",INDEX(LdADate,$N634))</f>
        <v/>
      </c>
      <c r="C634" s="20">
        <f>IF($N634="","",IF(INDEX(LdAId,$N634)="","—",INDEX(LdAId,$N634)))</f>
        <v/>
      </c>
      <c r="D634" s="21">
        <f>IF($N634="","",IF(INDEX(LdAAmt,$N634)=0,"",INDEX(LdAAmt,$N634)))</f>
        <v/>
      </c>
      <c r="E634" s="21">
        <f>IF($N634="","",SUMIFS(ShareAmt,ShareLink,$C634))</f>
        <v/>
      </c>
      <c r="F634" s="34">
        <f>IF($N634="","",COUNTIF(ShareLink,$C634))</f>
        <v/>
      </c>
      <c r="G634" s="22">
        <f>IF($N634="","",IF(ROUND($E634-$D634,0)=0,"√","▲ "&amp;TEXT($D634-$E634,"#,##0")))</f>
        <v/>
      </c>
      <c r="N634">
        <f>IFERROR(MATCH($C$5&amp;"|"&amp;RIGHT("000000"&amp;618,6),LdAKeyG,0),"")</f>
        <v/>
      </c>
    </row>
    <row r="635">
      <c r="A635" s="10" t="n">
        <v>619</v>
      </c>
      <c r="B635" s="14">
        <f>IF($N635="","",INDEX(LdADate,$N635))</f>
        <v/>
      </c>
      <c r="C635" s="14">
        <f>IF($N635="","",IF(INDEX(LdAId,$N635)="","—",INDEX(LdAId,$N635)))</f>
        <v/>
      </c>
      <c r="D635" s="16">
        <f>IF($N635="","",IF(INDEX(LdAAmt,$N635)=0,"",INDEX(LdAAmt,$N635)))</f>
        <v/>
      </c>
      <c r="E635" s="16">
        <f>IF($N635="","",SUMIFS(ShareAmt,ShareLink,$C635))</f>
        <v/>
      </c>
      <c r="F635" s="33">
        <f>IF($N635="","",COUNTIF(ShareLink,$C635))</f>
        <v/>
      </c>
      <c r="G635" s="17">
        <f>IF($N635="","",IF(ROUND($E635-$D635,0)=0,"√","▲ "&amp;TEXT($D635-$E635,"#,##0")))</f>
        <v/>
      </c>
      <c r="N635">
        <f>IFERROR(MATCH($C$5&amp;"|"&amp;RIGHT("000000"&amp;619,6),LdAKeyG,0),"")</f>
        <v/>
      </c>
    </row>
    <row r="636">
      <c r="A636" s="19" t="n">
        <v>620</v>
      </c>
      <c r="B636" s="20">
        <f>IF($N636="","",INDEX(LdADate,$N636))</f>
        <v/>
      </c>
      <c r="C636" s="20">
        <f>IF($N636="","",IF(INDEX(LdAId,$N636)="","—",INDEX(LdAId,$N636)))</f>
        <v/>
      </c>
      <c r="D636" s="21">
        <f>IF($N636="","",IF(INDEX(LdAAmt,$N636)=0,"",INDEX(LdAAmt,$N636)))</f>
        <v/>
      </c>
      <c r="E636" s="21">
        <f>IF($N636="","",SUMIFS(ShareAmt,ShareLink,$C636))</f>
        <v/>
      </c>
      <c r="F636" s="34">
        <f>IF($N636="","",COUNTIF(ShareLink,$C636))</f>
        <v/>
      </c>
      <c r="G636" s="22">
        <f>IF($N636="","",IF(ROUND($E636-$D636,0)=0,"√","▲ "&amp;TEXT($D636-$E636,"#,##0")))</f>
        <v/>
      </c>
      <c r="N636">
        <f>IFERROR(MATCH($C$5&amp;"|"&amp;RIGHT("000000"&amp;620,6),LdAKeyG,0),"")</f>
        <v/>
      </c>
    </row>
    <row r="637">
      <c r="A637" s="10" t="n">
        <v>621</v>
      </c>
      <c r="B637" s="14">
        <f>IF($N637="","",INDEX(LdADate,$N637))</f>
        <v/>
      </c>
      <c r="C637" s="14">
        <f>IF($N637="","",IF(INDEX(LdAId,$N637)="","—",INDEX(LdAId,$N637)))</f>
        <v/>
      </c>
      <c r="D637" s="16">
        <f>IF($N637="","",IF(INDEX(LdAAmt,$N637)=0,"",INDEX(LdAAmt,$N637)))</f>
        <v/>
      </c>
      <c r="E637" s="16">
        <f>IF($N637="","",SUMIFS(ShareAmt,ShareLink,$C637))</f>
        <v/>
      </c>
      <c r="F637" s="33">
        <f>IF($N637="","",COUNTIF(ShareLink,$C637))</f>
        <v/>
      </c>
      <c r="G637" s="17">
        <f>IF($N637="","",IF(ROUND($E637-$D637,0)=0,"√","▲ "&amp;TEXT($D637-$E637,"#,##0")))</f>
        <v/>
      </c>
      <c r="N637">
        <f>IFERROR(MATCH($C$5&amp;"|"&amp;RIGHT("000000"&amp;621,6),LdAKeyG,0),"")</f>
        <v/>
      </c>
    </row>
    <row r="638">
      <c r="A638" s="19" t="n">
        <v>622</v>
      </c>
      <c r="B638" s="20">
        <f>IF($N638="","",INDEX(LdADate,$N638))</f>
        <v/>
      </c>
      <c r="C638" s="20">
        <f>IF($N638="","",IF(INDEX(LdAId,$N638)="","—",INDEX(LdAId,$N638)))</f>
        <v/>
      </c>
      <c r="D638" s="21">
        <f>IF($N638="","",IF(INDEX(LdAAmt,$N638)=0,"",INDEX(LdAAmt,$N638)))</f>
        <v/>
      </c>
      <c r="E638" s="21">
        <f>IF($N638="","",SUMIFS(ShareAmt,ShareLink,$C638))</f>
        <v/>
      </c>
      <c r="F638" s="34">
        <f>IF($N638="","",COUNTIF(ShareLink,$C638))</f>
        <v/>
      </c>
      <c r="G638" s="22">
        <f>IF($N638="","",IF(ROUND($E638-$D638,0)=0,"√","▲ "&amp;TEXT($D638-$E638,"#,##0")))</f>
        <v/>
      </c>
      <c r="N638">
        <f>IFERROR(MATCH($C$5&amp;"|"&amp;RIGHT("000000"&amp;622,6),LdAKeyG,0),"")</f>
        <v/>
      </c>
    </row>
    <row r="639">
      <c r="A639" s="10" t="n">
        <v>623</v>
      </c>
      <c r="B639" s="14">
        <f>IF($N639="","",INDEX(LdADate,$N639))</f>
        <v/>
      </c>
      <c r="C639" s="14">
        <f>IF($N639="","",IF(INDEX(LdAId,$N639)="","—",INDEX(LdAId,$N639)))</f>
        <v/>
      </c>
      <c r="D639" s="16">
        <f>IF($N639="","",IF(INDEX(LdAAmt,$N639)=0,"",INDEX(LdAAmt,$N639)))</f>
        <v/>
      </c>
      <c r="E639" s="16">
        <f>IF($N639="","",SUMIFS(ShareAmt,ShareLink,$C639))</f>
        <v/>
      </c>
      <c r="F639" s="33">
        <f>IF($N639="","",COUNTIF(ShareLink,$C639))</f>
        <v/>
      </c>
      <c r="G639" s="17">
        <f>IF($N639="","",IF(ROUND($E639-$D639,0)=0,"√","▲ "&amp;TEXT($D639-$E639,"#,##0")))</f>
        <v/>
      </c>
      <c r="N639">
        <f>IFERROR(MATCH($C$5&amp;"|"&amp;RIGHT("000000"&amp;623,6),LdAKeyG,0),"")</f>
        <v/>
      </c>
    </row>
    <row r="640">
      <c r="A640" s="19" t="n">
        <v>624</v>
      </c>
      <c r="B640" s="20">
        <f>IF($N640="","",INDEX(LdADate,$N640))</f>
        <v/>
      </c>
      <c r="C640" s="20">
        <f>IF($N640="","",IF(INDEX(LdAId,$N640)="","—",INDEX(LdAId,$N640)))</f>
        <v/>
      </c>
      <c r="D640" s="21">
        <f>IF($N640="","",IF(INDEX(LdAAmt,$N640)=0,"",INDEX(LdAAmt,$N640)))</f>
        <v/>
      </c>
      <c r="E640" s="21">
        <f>IF($N640="","",SUMIFS(ShareAmt,ShareLink,$C640))</f>
        <v/>
      </c>
      <c r="F640" s="34">
        <f>IF($N640="","",COUNTIF(ShareLink,$C640))</f>
        <v/>
      </c>
      <c r="G640" s="22">
        <f>IF($N640="","",IF(ROUND($E640-$D640,0)=0,"√","▲ "&amp;TEXT($D640-$E640,"#,##0")))</f>
        <v/>
      </c>
      <c r="N640">
        <f>IFERROR(MATCH($C$5&amp;"|"&amp;RIGHT("000000"&amp;624,6),LdAKeyG,0),"")</f>
        <v/>
      </c>
    </row>
    <row r="641">
      <c r="A641" s="10" t="n">
        <v>625</v>
      </c>
      <c r="B641" s="14">
        <f>IF($N641="","",INDEX(LdADate,$N641))</f>
        <v/>
      </c>
      <c r="C641" s="14">
        <f>IF($N641="","",IF(INDEX(LdAId,$N641)="","—",INDEX(LdAId,$N641)))</f>
        <v/>
      </c>
      <c r="D641" s="16">
        <f>IF($N641="","",IF(INDEX(LdAAmt,$N641)=0,"",INDEX(LdAAmt,$N641)))</f>
        <v/>
      </c>
      <c r="E641" s="16">
        <f>IF($N641="","",SUMIFS(ShareAmt,ShareLink,$C641))</f>
        <v/>
      </c>
      <c r="F641" s="33">
        <f>IF($N641="","",COUNTIF(ShareLink,$C641))</f>
        <v/>
      </c>
      <c r="G641" s="17">
        <f>IF($N641="","",IF(ROUND($E641-$D641,0)=0,"√","▲ "&amp;TEXT($D641-$E641,"#,##0")))</f>
        <v/>
      </c>
      <c r="N641">
        <f>IFERROR(MATCH($C$5&amp;"|"&amp;RIGHT("000000"&amp;625,6),LdAKeyG,0),"")</f>
        <v/>
      </c>
    </row>
    <row r="642">
      <c r="A642" s="19" t="n">
        <v>626</v>
      </c>
      <c r="B642" s="20">
        <f>IF($N642="","",INDEX(LdADate,$N642))</f>
        <v/>
      </c>
      <c r="C642" s="20">
        <f>IF($N642="","",IF(INDEX(LdAId,$N642)="","—",INDEX(LdAId,$N642)))</f>
        <v/>
      </c>
      <c r="D642" s="21">
        <f>IF($N642="","",IF(INDEX(LdAAmt,$N642)=0,"",INDEX(LdAAmt,$N642)))</f>
        <v/>
      </c>
      <c r="E642" s="21">
        <f>IF($N642="","",SUMIFS(ShareAmt,ShareLink,$C642))</f>
        <v/>
      </c>
      <c r="F642" s="34">
        <f>IF($N642="","",COUNTIF(ShareLink,$C642))</f>
        <v/>
      </c>
      <c r="G642" s="22">
        <f>IF($N642="","",IF(ROUND($E642-$D642,0)=0,"√","▲ "&amp;TEXT($D642-$E642,"#,##0")))</f>
        <v/>
      </c>
      <c r="N642">
        <f>IFERROR(MATCH($C$5&amp;"|"&amp;RIGHT("000000"&amp;626,6),LdAKeyG,0),"")</f>
        <v/>
      </c>
    </row>
    <row r="643">
      <c r="A643" s="10" t="n">
        <v>627</v>
      </c>
      <c r="B643" s="14">
        <f>IF($N643="","",INDEX(LdADate,$N643))</f>
        <v/>
      </c>
      <c r="C643" s="14">
        <f>IF($N643="","",IF(INDEX(LdAId,$N643)="","—",INDEX(LdAId,$N643)))</f>
        <v/>
      </c>
      <c r="D643" s="16">
        <f>IF($N643="","",IF(INDEX(LdAAmt,$N643)=0,"",INDEX(LdAAmt,$N643)))</f>
        <v/>
      </c>
      <c r="E643" s="16">
        <f>IF($N643="","",SUMIFS(ShareAmt,ShareLink,$C643))</f>
        <v/>
      </c>
      <c r="F643" s="33">
        <f>IF($N643="","",COUNTIF(ShareLink,$C643))</f>
        <v/>
      </c>
      <c r="G643" s="17">
        <f>IF($N643="","",IF(ROUND($E643-$D643,0)=0,"√","▲ "&amp;TEXT($D643-$E643,"#,##0")))</f>
        <v/>
      </c>
      <c r="N643">
        <f>IFERROR(MATCH($C$5&amp;"|"&amp;RIGHT("000000"&amp;627,6),LdAKeyG,0),"")</f>
        <v/>
      </c>
    </row>
    <row r="644">
      <c r="A644" s="19" t="n">
        <v>628</v>
      </c>
      <c r="B644" s="20">
        <f>IF($N644="","",INDEX(LdADate,$N644))</f>
        <v/>
      </c>
      <c r="C644" s="20">
        <f>IF($N644="","",IF(INDEX(LdAId,$N644)="","—",INDEX(LdAId,$N644)))</f>
        <v/>
      </c>
      <c r="D644" s="21">
        <f>IF($N644="","",IF(INDEX(LdAAmt,$N644)=0,"",INDEX(LdAAmt,$N644)))</f>
        <v/>
      </c>
      <c r="E644" s="21">
        <f>IF($N644="","",SUMIFS(ShareAmt,ShareLink,$C644))</f>
        <v/>
      </c>
      <c r="F644" s="34">
        <f>IF($N644="","",COUNTIF(ShareLink,$C644))</f>
        <v/>
      </c>
      <c r="G644" s="22">
        <f>IF($N644="","",IF(ROUND($E644-$D644,0)=0,"√","▲ "&amp;TEXT($D644-$E644,"#,##0")))</f>
        <v/>
      </c>
      <c r="N644">
        <f>IFERROR(MATCH($C$5&amp;"|"&amp;RIGHT("000000"&amp;628,6),LdAKeyG,0),"")</f>
        <v/>
      </c>
    </row>
    <row r="645">
      <c r="A645" s="10" t="n">
        <v>629</v>
      </c>
      <c r="B645" s="14">
        <f>IF($N645="","",INDEX(LdADate,$N645))</f>
        <v/>
      </c>
      <c r="C645" s="14">
        <f>IF($N645="","",IF(INDEX(LdAId,$N645)="","—",INDEX(LdAId,$N645)))</f>
        <v/>
      </c>
      <c r="D645" s="16">
        <f>IF($N645="","",IF(INDEX(LdAAmt,$N645)=0,"",INDEX(LdAAmt,$N645)))</f>
        <v/>
      </c>
      <c r="E645" s="16">
        <f>IF($N645="","",SUMIFS(ShareAmt,ShareLink,$C645))</f>
        <v/>
      </c>
      <c r="F645" s="33">
        <f>IF($N645="","",COUNTIF(ShareLink,$C645))</f>
        <v/>
      </c>
      <c r="G645" s="17">
        <f>IF($N645="","",IF(ROUND($E645-$D645,0)=0,"√","▲ "&amp;TEXT($D645-$E645,"#,##0")))</f>
        <v/>
      </c>
      <c r="N645">
        <f>IFERROR(MATCH($C$5&amp;"|"&amp;RIGHT("000000"&amp;629,6),LdAKeyG,0),"")</f>
        <v/>
      </c>
    </row>
    <row r="646">
      <c r="A646" s="19" t="n">
        <v>630</v>
      </c>
      <c r="B646" s="20">
        <f>IF($N646="","",INDEX(LdADate,$N646))</f>
        <v/>
      </c>
      <c r="C646" s="20">
        <f>IF($N646="","",IF(INDEX(LdAId,$N646)="","—",INDEX(LdAId,$N646)))</f>
        <v/>
      </c>
      <c r="D646" s="21">
        <f>IF($N646="","",IF(INDEX(LdAAmt,$N646)=0,"",INDEX(LdAAmt,$N646)))</f>
        <v/>
      </c>
      <c r="E646" s="21">
        <f>IF($N646="","",SUMIFS(ShareAmt,ShareLink,$C646))</f>
        <v/>
      </c>
      <c r="F646" s="34">
        <f>IF($N646="","",COUNTIF(ShareLink,$C646))</f>
        <v/>
      </c>
      <c r="G646" s="22">
        <f>IF($N646="","",IF(ROUND($E646-$D646,0)=0,"√","▲ "&amp;TEXT($D646-$E646,"#,##0")))</f>
        <v/>
      </c>
      <c r="N646">
        <f>IFERROR(MATCH($C$5&amp;"|"&amp;RIGHT("000000"&amp;630,6),LdAKeyG,0),"")</f>
        <v/>
      </c>
    </row>
    <row r="647">
      <c r="A647" s="10" t="n">
        <v>631</v>
      </c>
      <c r="B647" s="14">
        <f>IF($N647="","",INDEX(LdADate,$N647))</f>
        <v/>
      </c>
      <c r="C647" s="14">
        <f>IF($N647="","",IF(INDEX(LdAId,$N647)="","—",INDEX(LdAId,$N647)))</f>
        <v/>
      </c>
      <c r="D647" s="16">
        <f>IF($N647="","",IF(INDEX(LdAAmt,$N647)=0,"",INDEX(LdAAmt,$N647)))</f>
        <v/>
      </c>
      <c r="E647" s="16">
        <f>IF($N647="","",SUMIFS(ShareAmt,ShareLink,$C647))</f>
        <v/>
      </c>
      <c r="F647" s="33">
        <f>IF($N647="","",COUNTIF(ShareLink,$C647))</f>
        <v/>
      </c>
      <c r="G647" s="17">
        <f>IF($N647="","",IF(ROUND($E647-$D647,0)=0,"√","▲ "&amp;TEXT($D647-$E647,"#,##0")))</f>
        <v/>
      </c>
      <c r="N647">
        <f>IFERROR(MATCH($C$5&amp;"|"&amp;RIGHT("000000"&amp;631,6),LdAKeyG,0),"")</f>
        <v/>
      </c>
    </row>
    <row r="648">
      <c r="A648" s="19" t="n">
        <v>632</v>
      </c>
      <c r="B648" s="20">
        <f>IF($N648="","",INDEX(LdADate,$N648))</f>
        <v/>
      </c>
      <c r="C648" s="20">
        <f>IF($N648="","",IF(INDEX(LdAId,$N648)="","—",INDEX(LdAId,$N648)))</f>
        <v/>
      </c>
      <c r="D648" s="21">
        <f>IF($N648="","",IF(INDEX(LdAAmt,$N648)=0,"",INDEX(LdAAmt,$N648)))</f>
        <v/>
      </c>
      <c r="E648" s="21">
        <f>IF($N648="","",SUMIFS(ShareAmt,ShareLink,$C648))</f>
        <v/>
      </c>
      <c r="F648" s="34">
        <f>IF($N648="","",COUNTIF(ShareLink,$C648))</f>
        <v/>
      </c>
      <c r="G648" s="22">
        <f>IF($N648="","",IF(ROUND($E648-$D648,0)=0,"√","▲ "&amp;TEXT($D648-$E648,"#,##0")))</f>
        <v/>
      </c>
      <c r="N648">
        <f>IFERROR(MATCH($C$5&amp;"|"&amp;RIGHT("000000"&amp;632,6),LdAKeyG,0),"")</f>
        <v/>
      </c>
    </row>
    <row r="649">
      <c r="A649" s="10" t="n">
        <v>633</v>
      </c>
      <c r="B649" s="14">
        <f>IF($N649="","",INDEX(LdADate,$N649))</f>
        <v/>
      </c>
      <c r="C649" s="14">
        <f>IF($N649="","",IF(INDEX(LdAId,$N649)="","—",INDEX(LdAId,$N649)))</f>
        <v/>
      </c>
      <c r="D649" s="16">
        <f>IF($N649="","",IF(INDEX(LdAAmt,$N649)=0,"",INDEX(LdAAmt,$N649)))</f>
        <v/>
      </c>
      <c r="E649" s="16">
        <f>IF($N649="","",SUMIFS(ShareAmt,ShareLink,$C649))</f>
        <v/>
      </c>
      <c r="F649" s="33">
        <f>IF($N649="","",COUNTIF(ShareLink,$C649))</f>
        <v/>
      </c>
      <c r="G649" s="17">
        <f>IF($N649="","",IF(ROUND($E649-$D649,0)=0,"√","▲ "&amp;TEXT($D649-$E649,"#,##0")))</f>
        <v/>
      </c>
      <c r="N649">
        <f>IFERROR(MATCH($C$5&amp;"|"&amp;RIGHT("000000"&amp;633,6),LdAKeyG,0),"")</f>
        <v/>
      </c>
    </row>
    <row r="650">
      <c r="A650" s="19" t="n">
        <v>634</v>
      </c>
      <c r="B650" s="20">
        <f>IF($N650="","",INDEX(LdADate,$N650))</f>
        <v/>
      </c>
      <c r="C650" s="20">
        <f>IF($N650="","",IF(INDEX(LdAId,$N650)="","—",INDEX(LdAId,$N650)))</f>
        <v/>
      </c>
      <c r="D650" s="21">
        <f>IF($N650="","",IF(INDEX(LdAAmt,$N650)=0,"",INDEX(LdAAmt,$N650)))</f>
        <v/>
      </c>
      <c r="E650" s="21">
        <f>IF($N650="","",SUMIFS(ShareAmt,ShareLink,$C650))</f>
        <v/>
      </c>
      <c r="F650" s="34">
        <f>IF($N650="","",COUNTIF(ShareLink,$C650))</f>
        <v/>
      </c>
      <c r="G650" s="22">
        <f>IF($N650="","",IF(ROUND($E650-$D650,0)=0,"√","▲ "&amp;TEXT($D650-$E650,"#,##0")))</f>
        <v/>
      </c>
      <c r="N650">
        <f>IFERROR(MATCH($C$5&amp;"|"&amp;RIGHT("000000"&amp;634,6),LdAKeyG,0),"")</f>
        <v/>
      </c>
    </row>
    <row r="651">
      <c r="A651" s="10" t="n">
        <v>635</v>
      </c>
      <c r="B651" s="14">
        <f>IF($N651="","",INDEX(LdADate,$N651))</f>
        <v/>
      </c>
      <c r="C651" s="14">
        <f>IF($N651="","",IF(INDEX(LdAId,$N651)="","—",INDEX(LdAId,$N651)))</f>
        <v/>
      </c>
      <c r="D651" s="16">
        <f>IF($N651="","",IF(INDEX(LdAAmt,$N651)=0,"",INDEX(LdAAmt,$N651)))</f>
        <v/>
      </c>
      <c r="E651" s="16">
        <f>IF($N651="","",SUMIFS(ShareAmt,ShareLink,$C651))</f>
        <v/>
      </c>
      <c r="F651" s="33">
        <f>IF($N651="","",COUNTIF(ShareLink,$C651))</f>
        <v/>
      </c>
      <c r="G651" s="17">
        <f>IF($N651="","",IF(ROUND($E651-$D651,0)=0,"√","▲ "&amp;TEXT($D651-$E651,"#,##0")))</f>
        <v/>
      </c>
      <c r="N651">
        <f>IFERROR(MATCH($C$5&amp;"|"&amp;RIGHT("000000"&amp;635,6),LdAKeyG,0),"")</f>
        <v/>
      </c>
    </row>
    <row r="652">
      <c r="A652" s="19" t="n">
        <v>636</v>
      </c>
      <c r="B652" s="20">
        <f>IF($N652="","",INDEX(LdADate,$N652))</f>
        <v/>
      </c>
      <c r="C652" s="20">
        <f>IF($N652="","",IF(INDEX(LdAId,$N652)="","—",INDEX(LdAId,$N652)))</f>
        <v/>
      </c>
      <c r="D652" s="21">
        <f>IF($N652="","",IF(INDEX(LdAAmt,$N652)=0,"",INDEX(LdAAmt,$N652)))</f>
        <v/>
      </c>
      <c r="E652" s="21">
        <f>IF($N652="","",SUMIFS(ShareAmt,ShareLink,$C652))</f>
        <v/>
      </c>
      <c r="F652" s="34">
        <f>IF($N652="","",COUNTIF(ShareLink,$C652))</f>
        <v/>
      </c>
      <c r="G652" s="22">
        <f>IF($N652="","",IF(ROUND($E652-$D652,0)=0,"√","▲ "&amp;TEXT($D652-$E652,"#,##0")))</f>
        <v/>
      </c>
      <c r="N652">
        <f>IFERROR(MATCH($C$5&amp;"|"&amp;RIGHT("000000"&amp;636,6),LdAKeyG,0),"")</f>
        <v/>
      </c>
    </row>
    <row r="653">
      <c r="A653" s="10" t="n">
        <v>637</v>
      </c>
      <c r="B653" s="14">
        <f>IF($N653="","",INDEX(LdADate,$N653))</f>
        <v/>
      </c>
      <c r="C653" s="14">
        <f>IF($N653="","",IF(INDEX(LdAId,$N653)="","—",INDEX(LdAId,$N653)))</f>
        <v/>
      </c>
      <c r="D653" s="16">
        <f>IF($N653="","",IF(INDEX(LdAAmt,$N653)=0,"",INDEX(LdAAmt,$N653)))</f>
        <v/>
      </c>
      <c r="E653" s="16">
        <f>IF($N653="","",SUMIFS(ShareAmt,ShareLink,$C653))</f>
        <v/>
      </c>
      <c r="F653" s="33">
        <f>IF($N653="","",COUNTIF(ShareLink,$C653))</f>
        <v/>
      </c>
      <c r="G653" s="17">
        <f>IF($N653="","",IF(ROUND($E653-$D653,0)=0,"√","▲ "&amp;TEXT($D653-$E653,"#,##0")))</f>
        <v/>
      </c>
      <c r="N653">
        <f>IFERROR(MATCH($C$5&amp;"|"&amp;RIGHT("000000"&amp;637,6),LdAKeyG,0),"")</f>
        <v/>
      </c>
    </row>
    <row r="654">
      <c r="A654" s="19" t="n">
        <v>638</v>
      </c>
      <c r="B654" s="20">
        <f>IF($N654="","",INDEX(LdADate,$N654))</f>
        <v/>
      </c>
      <c r="C654" s="20">
        <f>IF($N654="","",IF(INDEX(LdAId,$N654)="","—",INDEX(LdAId,$N654)))</f>
        <v/>
      </c>
      <c r="D654" s="21">
        <f>IF($N654="","",IF(INDEX(LdAAmt,$N654)=0,"",INDEX(LdAAmt,$N654)))</f>
        <v/>
      </c>
      <c r="E654" s="21">
        <f>IF($N654="","",SUMIFS(ShareAmt,ShareLink,$C654))</f>
        <v/>
      </c>
      <c r="F654" s="34">
        <f>IF($N654="","",COUNTIF(ShareLink,$C654))</f>
        <v/>
      </c>
      <c r="G654" s="22">
        <f>IF($N654="","",IF(ROUND($E654-$D654,0)=0,"√","▲ "&amp;TEXT($D654-$E654,"#,##0")))</f>
        <v/>
      </c>
      <c r="N654">
        <f>IFERROR(MATCH($C$5&amp;"|"&amp;RIGHT("000000"&amp;638,6),LdAKeyG,0),"")</f>
        <v/>
      </c>
    </row>
    <row r="655">
      <c r="A655" s="10" t="n">
        <v>639</v>
      </c>
      <c r="B655" s="14">
        <f>IF($N655="","",INDEX(LdADate,$N655))</f>
        <v/>
      </c>
      <c r="C655" s="14">
        <f>IF($N655="","",IF(INDEX(LdAId,$N655)="","—",INDEX(LdAId,$N655)))</f>
        <v/>
      </c>
      <c r="D655" s="16">
        <f>IF($N655="","",IF(INDEX(LdAAmt,$N655)=0,"",INDEX(LdAAmt,$N655)))</f>
        <v/>
      </c>
      <c r="E655" s="16">
        <f>IF($N655="","",SUMIFS(ShareAmt,ShareLink,$C655))</f>
        <v/>
      </c>
      <c r="F655" s="33">
        <f>IF($N655="","",COUNTIF(ShareLink,$C655))</f>
        <v/>
      </c>
      <c r="G655" s="17">
        <f>IF($N655="","",IF(ROUND($E655-$D655,0)=0,"√","▲ "&amp;TEXT($D655-$E655,"#,##0")))</f>
        <v/>
      </c>
      <c r="N655">
        <f>IFERROR(MATCH($C$5&amp;"|"&amp;RIGHT("000000"&amp;639,6),LdAKeyG,0),"")</f>
        <v/>
      </c>
    </row>
    <row r="656">
      <c r="A656" s="19" t="n">
        <v>640</v>
      </c>
      <c r="B656" s="20">
        <f>IF($N656="","",INDEX(LdADate,$N656))</f>
        <v/>
      </c>
      <c r="C656" s="20">
        <f>IF($N656="","",IF(INDEX(LdAId,$N656)="","—",INDEX(LdAId,$N656)))</f>
        <v/>
      </c>
      <c r="D656" s="21">
        <f>IF($N656="","",IF(INDEX(LdAAmt,$N656)=0,"",INDEX(LdAAmt,$N656)))</f>
        <v/>
      </c>
      <c r="E656" s="21">
        <f>IF($N656="","",SUMIFS(ShareAmt,ShareLink,$C656))</f>
        <v/>
      </c>
      <c r="F656" s="34">
        <f>IF($N656="","",COUNTIF(ShareLink,$C656))</f>
        <v/>
      </c>
      <c r="G656" s="22">
        <f>IF($N656="","",IF(ROUND($E656-$D656,0)=0,"√","▲ "&amp;TEXT($D656-$E656,"#,##0")))</f>
        <v/>
      </c>
      <c r="N656">
        <f>IFERROR(MATCH($C$5&amp;"|"&amp;RIGHT("000000"&amp;640,6),LdAKeyG,0),"")</f>
        <v/>
      </c>
    </row>
    <row r="657">
      <c r="A657" s="10" t="n">
        <v>641</v>
      </c>
      <c r="B657" s="14">
        <f>IF($N657="","",INDEX(LdADate,$N657))</f>
        <v/>
      </c>
      <c r="C657" s="14">
        <f>IF($N657="","",IF(INDEX(LdAId,$N657)="","—",INDEX(LdAId,$N657)))</f>
        <v/>
      </c>
      <c r="D657" s="16">
        <f>IF($N657="","",IF(INDEX(LdAAmt,$N657)=0,"",INDEX(LdAAmt,$N657)))</f>
        <v/>
      </c>
      <c r="E657" s="16">
        <f>IF($N657="","",SUMIFS(ShareAmt,ShareLink,$C657))</f>
        <v/>
      </c>
      <c r="F657" s="33">
        <f>IF($N657="","",COUNTIF(ShareLink,$C657))</f>
        <v/>
      </c>
      <c r="G657" s="17">
        <f>IF($N657="","",IF(ROUND($E657-$D657,0)=0,"√","▲ "&amp;TEXT($D657-$E657,"#,##0")))</f>
        <v/>
      </c>
      <c r="N657">
        <f>IFERROR(MATCH($C$5&amp;"|"&amp;RIGHT("000000"&amp;641,6),LdAKeyG,0),"")</f>
        <v/>
      </c>
    </row>
    <row r="658">
      <c r="A658" s="19" t="n">
        <v>642</v>
      </c>
      <c r="B658" s="20">
        <f>IF($N658="","",INDEX(LdADate,$N658))</f>
        <v/>
      </c>
      <c r="C658" s="20">
        <f>IF($N658="","",IF(INDEX(LdAId,$N658)="","—",INDEX(LdAId,$N658)))</f>
        <v/>
      </c>
      <c r="D658" s="21">
        <f>IF($N658="","",IF(INDEX(LdAAmt,$N658)=0,"",INDEX(LdAAmt,$N658)))</f>
        <v/>
      </c>
      <c r="E658" s="21">
        <f>IF($N658="","",SUMIFS(ShareAmt,ShareLink,$C658))</f>
        <v/>
      </c>
      <c r="F658" s="34">
        <f>IF($N658="","",COUNTIF(ShareLink,$C658))</f>
        <v/>
      </c>
      <c r="G658" s="22">
        <f>IF($N658="","",IF(ROUND($E658-$D658,0)=0,"√","▲ "&amp;TEXT($D658-$E658,"#,##0")))</f>
        <v/>
      </c>
      <c r="N658">
        <f>IFERROR(MATCH($C$5&amp;"|"&amp;RIGHT("000000"&amp;642,6),LdAKeyG,0),"")</f>
        <v/>
      </c>
    </row>
    <row r="659">
      <c r="A659" s="10" t="n">
        <v>643</v>
      </c>
      <c r="B659" s="14">
        <f>IF($N659="","",INDEX(LdADate,$N659))</f>
        <v/>
      </c>
      <c r="C659" s="14">
        <f>IF($N659="","",IF(INDEX(LdAId,$N659)="","—",INDEX(LdAId,$N659)))</f>
        <v/>
      </c>
      <c r="D659" s="16">
        <f>IF($N659="","",IF(INDEX(LdAAmt,$N659)=0,"",INDEX(LdAAmt,$N659)))</f>
        <v/>
      </c>
      <c r="E659" s="16">
        <f>IF($N659="","",SUMIFS(ShareAmt,ShareLink,$C659))</f>
        <v/>
      </c>
      <c r="F659" s="33">
        <f>IF($N659="","",COUNTIF(ShareLink,$C659))</f>
        <v/>
      </c>
      <c r="G659" s="17">
        <f>IF($N659="","",IF(ROUND($E659-$D659,0)=0,"√","▲ "&amp;TEXT($D659-$E659,"#,##0")))</f>
        <v/>
      </c>
      <c r="N659">
        <f>IFERROR(MATCH($C$5&amp;"|"&amp;RIGHT("000000"&amp;643,6),LdAKeyG,0),"")</f>
        <v/>
      </c>
    </row>
    <row r="660">
      <c r="A660" s="19" t="n">
        <v>644</v>
      </c>
      <c r="B660" s="20">
        <f>IF($N660="","",INDEX(LdADate,$N660))</f>
        <v/>
      </c>
      <c r="C660" s="20">
        <f>IF($N660="","",IF(INDEX(LdAId,$N660)="","—",INDEX(LdAId,$N660)))</f>
        <v/>
      </c>
      <c r="D660" s="21">
        <f>IF($N660="","",IF(INDEX(LdAAmt,$N660)=0,"",INDEX(LdAAmt,$N660)))</f>
        <v/>
      </c>
      <c r="E660" s="21">
        <f>IF($N660="","",SUMIFS(ShareAmt,ShareLink,$C660))</f>
        <v/>
      </c>
      <c r="F660" s="34">
        <f>IF($N660="","",COUNTIF(ShareLink,$C660))</f>
        <v/>
      </c>
      <c r="G660" s="22">
        <f>IF($N660="","",IF(ROUND($E660-$D660,0)=0,"√","▲ "&amp;TEXT($D660-$E660,"#,##0")))</f>
        <v/>
      </c>
      <c r="N660">
        <f>IFERROR(MATCH($C$5&amp;"|"&amp;RIGHT("000000"&amp;644,6),LdAKeyG,0),"")</f>
        <v/>
      </c>
    </row>
    <row r="661">
      <c r="A661" s="10" t="n">
        <v>645</v>
      </c>
      <c r="B661" s="14">
        <f>IF($N661="","",INDEX(LdADate,$N661))</f>
        <v/>
      </c>
      <c r="C661" s="14">
        <f>IF($N661="","",IF(INDEX(LdAId,$N661)="","—",INDEX(LdAId,$N661)))</f>
        <v/>
      </c>
      <c r="D661" s="16">
        <f>IF($N661="","",IF(INDEX(LdAAmt,$N661)=0,"",INDEX(LdAAmt,$N661)))</f>
        <v/>
      </c>
      <c r="E661" s="16">
        <f>IF($N661="","",SUMIFS(ShareAmt,ShareLink,$C661))</f>
        <v/>
      </c>
      <c r="F661" s="33">
        <f>IF($N661="","",COUNTIF(ShareLink,$C661))</f>
        <v/>
      </c>
      <c r="G661" s="17">
        <f>IF($N661="","",IF(ROUND($E661-$D661,0)=0,"√","▲ "&amp;TEXT($D661-$E661,"#,##0")))</f>
        <v/>
      </c>
      <c r="N661">
        <f>IFERROR(MATCH($C$5&amp;"|"&amp;RIGHT("000000"&amp;645,6),LdAKeyG,0),"")</f>
        <v/>
      </c>
    </row>
    <row r="662">
      <c r="A662" s="19" t="n">
        <v>646</v>
      </c>
      <c r="B662" s="20">
        <f>IF($N662="","",INDEX(LdADate,$N662))</f>
        <v/>
      </c>
      <c r="C662" s="20">
        <f>IF($N662="","",IF(INDEX(LdAId,$N662)="","—",INDEX(LdAId,$N662)))</f>
        <v/>
      </c>
      <c r="D662" s="21">
        <f>IF($N662="","",IF(INDEX(LdAAmt,$N662)=0,"",INDEX(LdAAmt,$N662)))</f>
        <v/>
      </c>
      <c r="E662" s="21">
        <f>IF($N662="","",SUMIFS(ShareAmt,ShareLink,$C662))</f>
        <v/>
      </c>
      <c r="F662" s="34">
        <f>IF($N662="","",COUNTIF(ShareLink,$C662))</f>
        <v/>
      </c>
      <c r="G662" s="22">
        <f>IF($N662="","",IF(ROUND($E662-$D662,0)=0,"√","▲ "&amp;TEXT($D662-$E662,"#,##0")))</f>
        <v/>
      </c>
      <c r="N662">
        <f>IFERROR(MATCH($C$5&amp;"|"&amp;RIGHT("000000"&amp;646,6),LdAKeyG,0),"")</f>
        <v/>
      </c>
    </row>
    <row r="663">
      <c r="A663" s="10" t="n">
        <v>647</v>
      </c>
      <c r="B663" s="14">
        <f>IF($N663="","",INDEX(LdADate,$N663))</f>
        <v/>
      </c>
      <c r="C663" s="14">
        <f>IF($N663="","",IF(INDEX(LdAId,$N663)="","—",INDEX(LdAId,$N663)))</f>
        <v/>
      </c>
      <c r="D663" s="16">
        <f>IF($N663="","",IF(INDEX(LdAAmt,$N663)=0,"",INDEX(LdAAmt,$N663)))</f>
        <v/>
      </c>
      <c r="E663" s="16">
        <f>IF($N663="","",SUMIFS(ShareAmt,ShareLink,$C663))</f>
        <v/>
      </c>
      <c r="F663" s="33">
        <f>IF($N663="","",COUNTIF(ShareLink,$C663))</f>
        <v/>
      </c>
      <c r="G663" s="17">
        <f>IF($N663="","",IF(ROUND($E663-$D663,0)=0,"√","▲ "&amp;TEXT($D663-$E663,"#,##0")))</f>
        <v/>
      </c>
      <c r="N663">
        <f>IFERROR(MATCH($C$5&amp;"|"&amp;RIGHT("000000"&amp;647,6),LdAKeyG,0),"")</f>
        <v/>
      </c>
    </row>
    <row r="664">
      <c r="A664" s="19" t="n">
        <v>648</v>
      </c>
      <c r="B664" s="20">
        <f>IF($N664="","",INDEX(LdADate,$N664))</f>
        <v/>
      </c>
      <c r="C664" s="20">
        <f>IF($N664="","",IF(INDEX(LdAId,$N664)="","—",INDEX(LdAId,$N664)))</f>
        <v/>
      </c>
      <c r="D664" s="21">
        <f>IF($N664="","",IF(INDEX(LdAAmt,$N664)=0,"",INDEX(LdAAmt,$N664)))</f>
        <v/>
      </c>
      <c r="E664" s="21">
        <f>IF($N664="","",SUMIFS(ShareAmt,ShareLink,$C664))</f>
        <v/>
      </c>
      <c r="F664" s="34">
        <f>IF($N664="","",COUNTIF(ShareLink,$C664))</f>
        <v/>
      </c>
      <c r="G664" s="22">
        <f>IF($N664="","",IF(ROUND($E664-$D664,0)=0,"√","▲ "&amp;TEXT($D664-$E664,"#,##0")))</f>
        <v/>
      </c>
      <c r="N664">
        <f>IFERROR(MATCH($C$5&amp;"|"&amp;RIGHT("000000"&amp;648,6),LdAKeyG,0),"")</f>
        <v/>
      </c>
    </row>
    <row r="665">
      <c r="A665" s="10" t="n">
        <v>649</v>
      </c>
      <c r="B665" s="14">
        <f>IF($N665="","",INDEX(LdADate,$N665))</f>
        <v/>
      </c>
      <c r="C665" s="14">
        <f>IF($N665="","",IF(INDEX(LdAId,$N665)="","—",INDEX(LdAId,$N665)))</f>
        <v/>
      </c>
      <c r="D665" s="16">
        <f>IF($N665="","",IF(INDEX(LdAAmt,$N665)=0,"",INDEX(LdAAmt,$N665)))</f>
        <v/>
      </c>
      <c r="E665" s="16">
        <f>IF($N665="","",SUMIFS(ShareAmt,ShareLink,$C665))</f>
        <v/>
      </c>
      <c r="F665" s="33">
        <f>IF($N665="","",COUNTIF(ShareLink,$C665))</f>
        <v/>
      </c>
      <c r="G665" s="17">
        <f>IF($N665="","",IF(ROUND($E665-$D665,0)=0,"√","▲ "&amp;TEXT($D665-$E665,"#,##0")))</f>
        <v/>
      </c>
      <c r="N665">
        <f>IFERROR(MATCH($C$5&amp;"|"&amp;RIGHT("000000"&amp;649,6),LdAKeyG,0),"")</f>
        <v/>
      </c>
    </row>
    <row r="666">
      <c r="A666" s="19" t="n">
        <v>650</v>
      </c>
      <c r="B666" s="20">
        <f>IF($N666="","",INDEX(LdADate,$N666))</f>
        <v/>
      </c>
      <c r="C666" s="20">
        <f>IF($N666="","",IF(INDEX(LdAId,$N666)="","—",INDEX(LdAId,$N666)))</f>
        <v/>
      </c>
      <c r="D666" s="21">
        <f>IF($N666="","",IF(INDEX(LdAAmt,$N666)=0,"",INDEX(LdAAmt,$N666)))</f>
        <v/>
      </c>
      <c r="E666" s="21">
        <f>IF($N666="","",SUMIFS(ShareAmt,ShareLink,$C666))</f>
        <v/>
      </c>
      <c r="F666" s="34">
        <f>IF($N666="","",COUNTIF(ShareLink,$C666))</f>
        <v/>
      </c>
      <c r="G666" s="22">
        <f>IF($N666="","",IF(ROUND($E666-$D666,0)=0,"√","▲ "&amp;TEXT($D666-$E666,"#,##0")))</f>
        <v/>
      </c>
      <c r="N666">
        <f>IFERROR(MATCH($C$5&amp;"|"&amp;RIGHT("000000"&amp;650,6),LdAKeyG,0),"")</f>
        <v/>
      </c>
    </row>
    <row r="667">
      <c r="A667" s="10" t="n">
        <v>651</v>
      </c>
      <c r="B667" s="14">
        <f>IF($N667="","",INDEX(LdADate,$N667))</f>
        <v/>
      </c>
      <c r="C667" s="14">
        <f>IF($N667="","",IF(INDEX(LdAId,$N667)="","—",INDEX(LdAId,$N667)))</f>
        <v/>
      </c>
      <c r="D667" s="16">
        <f>IF($N667="","",IF(INDEX(LdAAmt,$N667)=0,"",INDEX(LdAAmt,$N667)))</f>
        <v/>
      </c>
      <c r="E667" s="16">
        <f>IF($N667="","",SUMIFS(ShareAmt,ShareLink,$C667))</f>
        <v/>
      </c>
      <c r="F667" s="33">
        <f>IF($N667="","",COUNTIF(ShareLink,$C667))</f>
        <v/>
      </c>
      <c r="G667" s="17">
        <f>IF($N667="","",IF(ROUND($E667-$D667,0)=0,"√","▲ "&amp;TEXT($D667-$E667,"#,##0")))</f>
        <v/>
      </c>
      <c r="N667">
        <f>IFERROR(MATCH($C$5&amp;"|"&amp;RIGHT("000000"&amp;651,6),LdAKeyG,0),"")</f>
        <v/>
      </c>
    </row>
    <row r="668">
      <c r="A668" s="19" t="n">
        <v>652</v>
      </c>
      <c r="B668" s="20">
        <f>IF($N668="","",INDEX(LdADate,$N668))</f>
        <v/>
      </c>
      <c r="C668" s="20">
        <f>IF($N668="","",IF(INDEX(LdAId,$N668)="","—",INDEX(LdAId,$N668)))</f>
        <v/>
      </c>
      <c r="D668" s="21">
        <f>IF($N668="","",IF(INDEX(LdAAmt,$N668)=0,"",INDEX(LdAAmt,$N668)))</f>
        <v/>
      </c>
      <c r="E668" s="21">
        <f>IF($N668="","",SUMIFS(ShareAmt,ShareLink,$C668))</f>
        <v/>
      </c>
      <c r="F668" s="34">
        <f>IF($N668="","",COUNTIF(ShareLink,$C668))</f>
        <v/>
      </c>
      <c r="G668" s="22">
        <f>IF($N668="","",IF(ROUND($E668-$D668,0)=0,"√","▲ "&amp;TEXT($D668-$E668,"#,##0")))</f>
        <v/>
      </c>
      <c r="N668">
        <f>IFERROR(MATCH($C$5&amp;"|"&amp;RIGHT("000000"&amp;652,6),LdAKeyG,0),"")</f>
        <v/>
      </c>
    </row>
    <row r="669">
      <c r="A669" s="10" t="n">
        <v>653</v>
      </c>
      <c r="B669" s="14">
        <f>IF($N669="","",INDEX(LdADate,$N669))</f>
        <v/>
      </c>
      <c r="C669" s="14">
        <f>IF($N669="","",IF(INDEX(LdAId,$N669)="","—",INDEX(LdAId,$N669)))</f>
        <v/>
      </c>
      <c r="D669" s="16">
        <f>IF($N669="","",IF(INDEX(LdAAmt,$N669)=0,"",INDEX(LdAAmt,$N669)))</f>
        <v/>
      </c>
      <c r="E669" s="16">
        <f>IF($N669="","",SUMIFS(ShareAmt,ShareLink,$C669))</f>
        <v/>
      </c>
      <c r="F669" s="33">
        <f>IF($N669="","",COUNTIF(ShareLink,$C669))</f>
        <v/>
      </c>
      <c r="G669" s="17">
        <f>IF($N669="","",IF(ROUND($E669-$D669,0)=0,"√","▲ "&amp;TEXT($D669-$E669,"#,##0")))</f>
        <v/>
      </c>
      <c r="N669">
        <f>IFERROR(MATCH($C$5&amp;"|"&amp;RIGHT("000000"&amp;653,6),LdAKeyG,0),"")</f>
        <v/>
      </c>
    </row>
    <row r="670">
      <c r="A670" s="19" t="n">
        <v>654</v>
      </c>
      <c r="B670" s="20">
        <f>IF($N670="","",INDEX(LdADate,$N670))</f>
        <v/>
      </c>
      <c r="C670" s="20">
        <f>IF($N670="","",IF(INDEX(LdAId,$N670)="","—",INDEX(LdAId,$N670)))</f>
        <v/>
      </c>
      <c r="D670" s="21">
        <f>IF($N670="","",IF(INDEX(LdAAmt,$N670)=0,"",INDEX(LdAAmt,$N670)))</f>
        <v/>
      </c>
      <c r="E670" s="21">
        <f>IF($N670="","",SUMIFS(ShareAmt,ShareLink,$C670))</f>
        <v/>
      </c>
      <c r="F670" s="34">
        <f>IF($N670="","",COUNTIF(ShareLink,$C670))</f>
        <v/>
      </c>
      <c r="G670" s="22">
        <f>IF($N670="","",IF(ROUND($E670-$D670,0)=0,"√","▲ "&amp;TEXT($D670-$E670,"#,##0")))</f>
        <v/>
      </c>
      <c r="N670">
        <f>IFERROR(MATCH($C$5&amp;"|"&amp;RIGHT("000000"&amp;654,6),LdAKeyG,0),"")</f>
        <v/>
      </c>
    </row>
    <row r="671">
      <c r="A671" s="10" t="n">
        <v>655</v>
      </c>
      <c r="B671" s="14">
        <f>IF($N671="","",INDEX(LdADate,$N671))</f>
        <v/>
      </c>
      <c r="C671" s="14">
        <f>IF($N671="","",IF(INDEX(LdAId,$N671)="","—",INDEX(LdAId,$N671)))</f>
        <v/>
      </c>
      <c r="D671" s="16">
        <f>IF($N671="","",IF(INDEX(LdAAmt,$N671)=0,"",INDEX(LdAAmt,$N671)))</f>
        <v/>
      </c>
      <c r="E671" s="16">
        <f>IF($N671="","",SUMIFS(ShareAmt,ShareLink,$C671))</f>
        <v/>
      </c>
      <c r="F671" s="33">
        <f>IF($N671="","",COUNTIF(ShareLink,$C671))</f>
        <v/>
      </c>
      <c r="G671" s="17">
        <f>IF($N671="","",IF(ROUND($E671-$D671,0)=0,"√","▲ "&amp;TEXT($D671-$E671,"#,##0")))</f>
        <v/>
      </c>
      <c r="N671">
        <f>IFERROR(MATCH($C$5&amp;"|"&amp;RIGHT("000000"&amp;655,6),LdAKeyG,0),"")</f>
        <v/>
      </c>
    </row>
    <row r="672">
      <c r="A672" s="19" t="n">
        <v>656</v>
      </c>
      <c r="B672" s="20">
        <f>IF($N672="","",INDEX(LdADate,$N672))</f>
        <v/>
      </c>
      <c r="C672" s="20">
        <f>IF($N672="","",IF(INDEX(LdAId,$N672)="","—",INDEX(LdAId,$N672)))</f>
        <v/>
      </c>
      <c r="D672" s="21">
        <f>IF($N672="","",IF(INDEX(LdAAmt,$N672)=0,"",INDEX(LdAAmt,$N672)))</f>
        <v/>
      </c>
      <c r="E672" s="21">
        <f>IF($N672="","",SUMIFS(ShareAmt,ShareLink,$C672))</f>
        <v/>
      </c>
      <c r="F672" s="34">
        <f>IF($N672="","",COUNTIF(ShareLink,$C672))</f>
        <v/>
      </c>
      <c r="G672" s="22">
        <f>IF($N672="","",IF(ROUND($E672-$D672,0)=0,"√","▲ "&amp;TEXT($D672-$E672,"#,##0")))</f>
        <v/>
      </c>
      <c r="N672">
        <f>IFERROR(MATCH($C$5&amp;"|"&amp;RIGHT("000000"&amp;656,6),LdAKeyG,0),"")</f>
        <v/>
      </c>
    </row>
    <row r="673">
      <c r="A673" s="10" t="n">
        <v>657</v>
      </c>
      <c r="B673" s="14">
        <f>IF($N673="","",INDEX(LdADate,$N673))</f>
        <v/>
      </c>
      <c r="C673" s="14">
        <f>IF($N673="","",IF(INDEX(LdAId,$N673)="","—",INDEX(LdAId,$N673)))</f>
        <v/>
      </c>
      <c r="D673" s="16">
        <f>IF($N673="","",IF(INDEX(LdAAmt,$N673)=0,"",INDEX(LdAAmt,$N673)))</f>
        <v/>
      </c>
      <c r="E673" s="16">
        <f>IF($N673="","",SUMIFS(ShareAmt,ShareLink,$C673))</f>
        <v/>
      </c>
      <c r="F673" s="33">
        <f>IF($N673="","",COUNTIF(ShareLink,$C673))</f>
        <v/>
      </c>
      <c r="G673" s="17">
        <f>IF($N673="","",IF(ROUND($E673-$D673,0)=0,"√","▲ "&amp;TEXT($D673-$E673,"#,##0")))</f>
        <v/>
      </c>
      <c r="N673">
        <f>IFERROR(MATCH($C$5&amp;"|"&amp;RIGHT("000000"&amp;657,6),LdAKeyG,0),"")</f>
        <v/>
      </c>
    </row>
    <row r="674">
      <c r="A674" s="19" t="n">
        <v>658</v>
      </c>
      <c r="B674" s="20">
        <f>IF($N674="","",INDEX(LdADate,$N674))</f>
        <v/>
      </c>
      <c r="C674" s="20">
        <f>IF($N674="","",IF(INDEX(LdAId,$N674)="","—",INDEX(LdAId,$N674)))</f>
        <v/>
      </c>
      <c r="D674" s="21">
        <f>IF($N674="","",IF(INDEX(LdAAmt,$N674)=0,"",INDEX(LdAAmt,$N674)))</f>
        <v/>
      </c>
      <c r="E674" s="21">
        <f>IF($N674="","",SUMIFS(ShareAmt,ShareLink,$C674))</f>
        <v/>
      </c>
      <c r="F674" s="34">
        <f>IF($N674="","",COUNTIF(ShareLink,$C674))</f>
        <v/>
      </c>
      <c r="G674" s="22">
        <f>IF($N674="","",IF(ROUND($E674-$D674,0)=0,"√","▲ "&amp;TEXT($D674-$E674,"#,##0")))</f>
        <v/>
      </c>
      <c r="N674">
        <f>IFERROR(MATCH($C$5&amp;"|"&amp;RIGHT("000000"&amp;658,6),LdAKeyG,0),"")</f>
        <v/>
      </c>
    </row>
    <row r="675">
      <c r="A675" s="10" t="n">
        <v>659</v>
      </c>
      <c r="B675" s="14">
        <f>IF($N675="","",INDEX(LdADate,$N675))</f>
        <v/>
      </c>
      <c r="C675" s="14">
        <f>IF($N675="","",IF(INDEX(LdAId,$N675)="","—",INDEX(LdAId,$N675)))</f>
        <v/>
      </c>
      <c r="D675" s="16">
        <f>IF($N675="","",IF(INDEX(LdAAmt,$N675)=0,"",INDEX(LdAAmt,$N675)))</f>
        <v/>
      </c>
      <c r="E675" s="16">
        <f>IF($N675="","",SUMIFS(ShareAmt,ShareLink,$C675))</f>
        <v/>
      </c>
      <c r="F675" s="33">
        <f>IF($N675="","",COUNTIF(ShareLink,$C675))</f>
        <v/>
      </c>
      <c r="G675" s="17">
        <f>IF($N675="","",IF(ROUND($E675-$D675,0)=0,"√","▲ "&amp;TEXT($D675-$E675,"#,##0")))</f>
        <v/>
      </c>
      <c r="N675">
        <f>IFERROR(MATCH($C$5&amp;"|"&amp;RIGHT("000000"&amp;659,6),LdAKeyG,0),"")</f>
        <v/>
      </c>
    </row>
    <row r="676">
      <c r="A676" s="19" t="n">
        <v>660</v>
      </c>
      <c r="B676" s="20">
        <f>IF($N676="","",INDEX(LdADate,$N676))</f>
        <v/>
      </c>
      <c r="C676" s="20">
        <f>IF($N676="","",IF(INDEX(LdAId,$N676)="","—",INDEX(LdAId,$N676)))</f>
        <v/>
      </c>
      <c r="D676" s="21">
        <f>IF($N676="","",IF(INDEX(LdAAmt,$N676)=0,"",INDEX(LdAAmt,$N676)))</f>
        <v/>
      </c>
      <c r="E676" s="21">
        <f>IF($N676="","",SUMIFS(ShareAmt,ShareLink,$C676))</f>
        <v/>
      </c>
      <c r="F676" s="34">
        <f>IF($N676="","",COUNTIF(ShareLink,$C676))</f>
        <v/>
      </c>
      <c r="G676" s="22">
        <f>IF($N676="","",IF(ROUND($E676-$D676,0)=0,"√","▲ "&amp;TEXT($D676-$E676,"#,##0")))</f>
        <v/>
      </c>
      <c r="N676">
        <f>IFERROR(MATCH($C$5&amp;"|"&amp;RIGHT("000000"&amp;660,6),LdAKeyG,0),"")</f>
        <v/>
      </c>
    </row>
    <row r="677">
      <c r="A677" s="10" t="n">
        <v>661</v>
      </c>
      <c r="B677" s="14">
        <f>IF($N677="","",INDEX(LdADate,$N677))</f>
        <v/>
      </c>
      <c r="C677" s="14">
        <f>IF($N677="","",IF(INDEX(LdAId,$N677)="","—",INDEX(LdAId,$N677)))</f>
        <v/>
      </c>
      <c r="D677" s="16">
        <f>IF($N677="","",IF(INDEX(LdAAmt,$N677)=0,"",INDEX(LdAAmt,$N677)))</f>
        <v/>
      </c>
      <c r="E677" s="16">
        <f>IF($N677="","",SUMIFS(ShareAmt,ShareLink,$C677))</f>
        <v/>
      </c>
      <c r="F677" s="33">
        <f>IF($N677="","",COUNTIF(ShareLink,$C677))</f>
        <v/>
      </c>
      <c r="G677" s="17">
        <f>IF($N677="","",IF(ROUND($E677-$D677,0)=0,"√","▲ "&amp;TEXT($D677-$E677,"#,##0")))</f>
        <v/>
      </c>
      <c r="N677">
        <f>IFERROR(MATCH($C$5&amp;"|"&amp;RIGHT("000000"&amp;661,6),LdAKeyG,0),"")</f>
        <v/>
      </c>
    </row>
    <row r="678">
      <c r="A678" s="19" t="n">
        <v>662</v>
      </c>
      <c r="B678" s="20">
        <f>IF($N678="","",INDEX(LdADate,$N678))</f>
        <v/>
      </c>
      <c r="C678" s="20">
        <f>IF($N678="","",IF(INDEX(LdAId,$N678)="","—",INDEX(LdAId,$N678)))</f>
        <v/>
      </c>
      <c r="D678" s="21">
        <f>IF($N678="","",IF(INDEX(LdAAmt,$N678)=0,"",INDEX(LdAAmt,$N678)))</f>
        <v/>
      </c>
      <c r="E678" s="21">
        <f>IF($N678="","",SUMIFS(ShareAmt,ShareLink,$C678))</f>
        <v/>
      </c>
      <c r="F678" s="34">
        <f>IF($N678="","",COUNTIF(ShareLink,$C678))</f>
        <v/>
      </c>
      <c r="G678" s="22">
        <f>IF($N678="","",IF(ROUND($E678-$D678,0)=0,"√","▲ "&amp;TEXT($D678-$E678,"#,##0")))</f>
        <v/>
      </c>
      <c r="N678">
        <f>IFERROR(MATCH($C$5&amp;"|"&amp;RIGHT("000000"&amp;662,6),LdAKeyG,0),"")</f>
        <v/>
      </c>
    </row>
    <row r="679">
      <c r="A679" s="10" t="n">
        <v>663</v>
      </c>
      <c r="B679" s="14">
        <f>IF($N679="","",INDEX(LdADate,$N679))</f>
        <v/>
      </c>
      <c r="C679" s="14">
        <f>IF($N679="","",IF(INDEX(LdAId,$N679)="","—",INDEX(LdAId,$N679)))</f>
        <v/>
      </c>
      <c r="D679" s="16">
        <f>IF($N679="","",IF(INDEX(LdAAmt,$N679)=0,"",INDEX(LdAAmt,$N679)))</f>
        <v/>
      </c>
      <c r="E679" s="16">
        <f>IF($N679="","",SUMIFS(ShareAmt,ShareLink,$C679))</f>
        <v/>
      </c>
      <c r="F679" s="33">
        <f>IF($N679="","",COUNTIF(ShareLink,$C679))</f>
        <v/>
      </c>
      <c r="G679" s="17">
        <f>IF($N679="","",IF(ROUND($E679-$D679,0)=0,"√","▲ "&amp;TEXT($D679-$E679,"#,##0")))</f>
        <v/>
      </c>
      <c r="N679">
        <f>IFERROR(MATCH($C$5&amp;"|"&amp;RIGHT("000000"&amp;663,6),LdAKeyG,0),"")</f>
        <v/>
      </c>
    </row>
    <row r="680">
      <c r="A680" s="19" t="n">
        <v>664</v>
      </c>
      <c r="B680" s="20">
        <f>IF($N680="","",INDEX(LdADate,$N680))</f>
        <v/>
      </c>
      <c r="C680" s="20">
        <f>IF($N680="","",IF(INDEX(LdAId,$N680)="","—",INDEX(LdAId,$N680)))</f>
        <v/>
      </c>
      <c r="D680" s="21">
        <f>IF($N680="","",IF(INDEX(LdAAmt,$N680)=0,"",INDEX(LdAAmt,$N680)))</f>
        <v/>
      </c>
      <c r="E680" s="21">
        <f>IF($N680="","",SUMIFS(ShareAmt,ShareLink,$C680))</f>
        <v/>
      </c>
      <c r="F680" s="34">
        <f>IF($N680="","",COUNTIF(ShareLink,$C680))</f>
        <v/>
      </c>
      <c r="G680" s="22">
        <f>IF($N680="","",IF(ROUND($E680-$D680,0)=0,"√","▲ "&amp;TEXT($D680-$E680,"#,##0")))</f>
        <v/>
      </c>
      <c r="N680">
        <f>IFERROR(MATCH($C$5&amp;"|"&amp;RIGHT("000000"&amp;664,6),LdAKeyG,0),"")</f>
        <v/>
      </c>
    </row>
    <row r="681">
      <c r="A681" s="10" t="n">
        <v>665</v>
      </c>
      <c r="B681" s="14">
        <f>IF($N681="","",INDEX(LdADate,$N681))</f>
        <v/>
      </c>
      <c r="C681" s="14">
        <f>IF($N681="","",IF(INDEX(LdAId,$N681)="","—",INDEX(LdAId,$N681)))</f>
        <v/>
      </c>
      <c r="D681" s="16">
        <f>IF($N681="","",IF(INDEX(LdAAmt,$N681)=0,"",INDEX(LdAAmt,$N681)))</f>
        <v/>
      </c>
      <c r="E681" s="16">
        <f>IF($N681="","",SUMIFS(ShareAmt,ShareLink,$C681))</f>
        <v/>
      </c>
      <c r="F681" s="33">
        <f>IF($N681="","",COUNTIF(ShareLink,$C681))</f>
        <v/>
      </c>
      <c r="G681" s="17">
        <f>IF($N681="","",IF(ROUND($E681-$D681,0)=0,"√","▲ "&amp;TEXT($D681-$E681,"#,##0")))</f>
        <v/>
      </c>
      <c r="N681">
        <f>IFERROR(MATCH($C$5&amp;"|"&amp;RIGHT("000000"&amp;665,6),LdAKeyG,0),"")</f>
        <v/>
      </c>
    </row>
    <row r="682">
      <c r="A682" s="19" t="n">
        <v>666</v>
      </c>
      <c r="B682" s="20">
        <f>IF($N682="","",INDEX(LdADate,$N682))</f>
        <v/>
      </c>
      <c r="C682" s="20">
        <f>IF($N682="","",IF(INDEX(LdAId,$N682)="","—",INDEX(LdAId,$N682)))</f>
        <v/>
      </c>
      <c r="D682" s="21">
        <f>IF($N682="","",IF(INDEX(LdAAmt,$N682)=0,"",INDEX(LdAAmt,$N682)))</f>
        <v/>
      </c>
      <c r="E682" s="21">
        <f>IF($N682="","",SUMIFS(ShareAmt,ShareLink,$C682))</f>
        <v/>
      </c>
      <c r="F682" s="34">
        <f>IF($N682="","",COUNTIF(ShareLink,$C682))</f>
        <v/>
      </c>
      <c r="G682" s="22">
        <f>IF($N682="","",IF(ROUND($E682-$D682,0)=0,"√","▲ "&amp;TEXT($D682-$E682,"#,##0")))</f>
        <v/>
      </c>
      <c r="N682">
        <f>IFERROR(MATCH($C$5&amp;"|"&amp;RIGHT("000000"&amp;666,6),LdAKeyG,0),"")</f>
        <v/>
      </c>
    </row>
    <row r="683">
      <c r="A683" s="10" t="n">
        <v>667</v>
      </c>
      <c r="B683" s="14">
        <f>IF($N683="","",INDEX(LdADate,$N683))</f>
        <v/>
      </c>
      <c r="C683" s="14">
        <f>IF($N683="","",IF(INDEX(LdAId,$N683)="","—",INDEX(LdAId,$N683)))</f>
        <v/>
      </c>
      <c r="D683" s="16">
        <f>IF($N683="","",IF(INDEX(LdAAmt,$N683)=0,"",INDEX(LdAAmt,$N683)))</f>
        <v/>
      </c>
      <c r="E683" s="16">
        <f>IF($N683="","",SUMIFS(ShareAmt,ShareLink,$C683))</f>
        <v/>
      </c>
      <c r="F683" s="33">
        <f>IF($N683="","",COUNTIF(ShareLink,$C683))</f>
        <v/>
      </c>
      <c r="G683" s="17">
        <f>IF($N683="","",IF(ROUND($E683-$D683,0)=0,"√","▲ "&amp;TEXT($D683-$E683,"#,##0")))</f>
        <v/>
      </c>
      <c r="N683">
        <f>IFERROR(MATCH($C$5&amp;"|"&amp;RIGHT("000000"&amp;667,6),LdAKeyG,0),"")</f>
        <v/>
      </c>
    </row>
    <row r="684">
      <c r="A684" s="19" t="n">
        <v>668</v>
      </c>
      <c r="B684" s="20">
        <f>IF($N684="","",INDEX(LdADate,$N684))</f>
        <v/>
      </c>
      <c r="C684" s="20">
        <f>IF($N684="","",IF(INDEX(LdAId,$N684)="","—",INDEX(LdAId,$N684)))</f>
        <v/>
      </c>
      <c r="D684" s="21">
        <f>IF($N684="","",IF(INDEX(LdAAmt,$N684)=0,"",INDEX(LdAAmt,$N684)))</f>
        <v/>
      </c>
      <c r="E684" s="21">
        <f>IF($N684="","",SUMIFS(ShareAmt,ShareLink,$C684))</f>
        <v/>
      </c>
      <c r="F684" s="34">
        <f>IF($N684="","",COUNTIF(ShareLink,$C684))</f>
        <v/>
      </c>
      <c r="G684" s="22">
        <f>IF($N684="","",IF(ROUND($E684-$D684,0)=0,"√","▲ "&amp;TEXT($D684-$E684,"#,##0")))</f>
        <v/>
      </c>
      <c r="N684">
        <f>IFERROR(MATCH($C$5&amp;"|"&amp;RIGHT("000000"&amp;668,6),LdAKeyG,0),"")</f>
        <v/>
      </c>
    </row>
    <row r="685">
      <c r="A685" s="10" t="n">
        <v>669</v>
      </c>
      <c r="B685" s="14">
        <f>IF($N685="","",INDEX(LdADate,$N685))</f>
        <v/>
      </c>
      <c r="C685" s="14">
        <f>IF($N685="","",IF(INDEX(LdAId,$N685)="","—",INDEX(LdAId,$N685)))</f>
        <v/>
      </c>
      <c r="D685" s="16">
        <f>IF($N685="","",IF(INDEX(LdAAmt,$N685)=0,"",INDEX(LdAAmt,$N685)))</f>
        <v/>
      </c>
      <c r="E685" s="16">
        <f>IF($N685="","",SUMIFS(ShareAmt,ShareLink,$C685))</f>
        <v/>
      </c>
      <c r="F685" s="33">
        <f>IF($N685="","",COUNTIF(ShareLink,$C685))</f>
        <v/>
      </c>
      <c r="G685" s="17">
        <f>IF($N685="","",IF(ROUND($E685-$D685,0)=0,"√","▲ "&amp;TEXT($D685-$E685,"#,##0")))</f>
        <v/>
      </c>
      <c r="N685">
        <f>IFERROR(MATCH($C$5&amp;"|"&amp;RIGHT("000000"&amp;669,6),LdAKeyG,0),"")</f>
        <v/>
      </c>
    </row>
    <row r="686">
      <c r="A686" s="19" t="n">
        <v>670</v>
      </c>
      <c r="B686" s="20">
        <f>IF($N686="","",INDEX(LdADate,$N686))</f>
        <v/>
      </c>
      <c r="C686" s="20">
        <f>IF($N686="","",IF(INDEX(LdAId,$N686)="","—",INDEX(LdAId,$N686)))</f>
        <v/>
      </c>
      <c r="D686" s="21">
        <f>IF($N686="","",IF(INDEX(LdAAmt,$N686)=0,"",INDEX(LdAAmt,$N686)))</f>
        <v/>
      </c>
      <c r="E686" s="21">
        <f>IF($N686="","",SUMIFS(ShareAmt,ShareLink,$C686))</f>
        <v/>
      </c>
      <c r="F686" s="34">
        <f>IF($N686="","",COUNTIF(ShareLink,$C686))</f>
        <v/>
      </c>
      <c r="G686" s="22">
        <f>IF($N686="","",IF(ROUND($E686-$D686,0)=0,"√","▲ "&amp;TEXT($D686-$E686,"#,##0")))</f>
        <v/>
      </c>
      <c r="N686">
        <f>IFERROR(MATCH($C$5&amp;"|"&amp;RIGHT("000000"&amp;670,6),LdAKeyG,0),"")</f>
        <v/>
      </c>
    </row>
    <row r="687">
      <c r="A687" s="10" t="n">
        <v>671</v>
      </c>
      <c r="B687" s="14">
        <f>IF($N687="","",INDEX(LdADate,$N687))</f>
        <v/>
      </c>
      <c r="C687" s="14">
        <f>IF($N687="","",IF(INDEX(LdAId,$N687)="","—",INDEX(LdAId,$N687)))</f>
        <v/>
      </c>
      <c r="D687" s="16">
        <f>IF($N687="","",IF(INDEX(LdAAmt,$N687)=0,"",INDEX(LdAAmt,$N687)))</f>
        <v/>
      </c>
      <c r="E687" s="16">
        <f>IF($N687="","",SUMIFS(ShareAmt,ShareLink,$C687))</f>
        <v/>
      </c>
      <c r="F687" s="33">
        <f>IF($N687="","",COUNTIF(ShareLink,$C687))</f>
        <v/>
      </c>
      <c r="G687" s="17">
        <f>IF($N687="","",IF(ROUND($E687-$D687,0)=0,"√","▲ "&amp;TEXT($D687-$E687,"#,##0")))</f>
        <v/>
      </c>
      <c r="N687">
        <f>IFERROR(MATCH($C$5&amp;"|"&amp;RIGHT("000000"&amp;671,6),LdAKeyG,0),"")</f>
        <v/>
      </c>
    </row>
    <row r="688">
      <c r="A688" s="19" t="n">
        <v>672</v>
      </c>
      <c r="B688" s="20">
        <f>IF($N688="","",INDEX(LdADate,$N688))</f>
        <v/>
      </c>
      <c r="C688" s="20">
        <f>IF($N688="","",IF(INDEX(LdAId,$N688)="","—",INDEX(LdAId,$N688)))</f>
        <v/>
      </c>
      <c r="D688" s="21">
        <f>IF($N688="","",IF(INDEX(LdAAmt,$N688)=0,"",INDEX(LdAAmt,$N688)))</f>
        <v/>
      </c>
      <c r="E688" s="21">
        <f>IF($N688="","",SUMIFS(ShareAmt,ShareLink,$C688))</f>
        <v/>
      </c>
      <c r="F688" s="34">
        <f>IF($N688="","",COUNTIF(ShareLink,$C688))</f>
        <v/>
      </c>
      <c r="G688" s="22">
        <f>IF($N688="","",IF(ROUND($E688-$D688,0)=0,"√","▲ "&amp;TEXT($D688-$E688,"#,##0")))</f>
        <v/>
      </c>
      <c r="N688">
        <f>IFERROR(MATCH($C$5&amp;"|"&amp;RIGHT("000000"&amp;672,6),LdAKeyG,0),"")</f>
        <v/>
      </c>
    </row>
    <row r="689">
      <c r="A689" s="10" t="n">
        <v>673</v>
      </c>
      <c r="B689" s="14">
        <f>IF($N689="","",INDEX(LdADate,$N689))</f>
        <v/>
      </c>
      <c r="C689" s="14">
        <f>IF($N689="","",IF(INDEX(LdAId,$N689)="","—",INDEX(LdAId,$N689)))</f>
        <v/>
      </c>
      <c r="D689" s="16">
        <f>IF($N689="","",IF(INDEX(LdAAmt,$N689)=0,"",INDEX(LdAAmt,$N689)))</f>
        <v/>
      </c>
      <c r="E689" s="16">
        <f>IF($N689="","",SUMIFS(ShareAmt,ShareLink,$C689))</f>
        <v/>
      </c>
      <c r="F689" s="33">
        <f>IF($N689="","",COUNTIF(ShareLink,$C689))</f>
        <v/>
      </c>
      <c r="G689" s="17">
        <f>IF($N689="","",IF(ROUND($E689-$D689,0)=0,"√","▲ "&amp;TEXT($D689-$E689,"#,##0")))</f>
        <v/>
      </c>
      <c r="N689">
        <f>IFERROR(MATCH($C$5&amp;"|"&amp;RIGHT("000000"&amp;673,6),LdAKeyG,0),"")</f>
        <v/>
      </c>
    </row>
    <row r="690">
      <c r="A690" s="19" t="n">
        <v>674</v>
      </c>
      <c r="B690" s="20">
        <f>IF($N690="","",INDEX(LdADate,$N690))</f>
        <v/>
      </c>
      <c r="C690" s="20">
        <f>IF($N690="","",IF(INDEX(LdAId,$N690)="","—",INDEX(LdAId,$N690)))</f>
        <v/>
      </c>
      <c r="D690" s="21">
        <f>IF($N690="","",IF(INDEX(LdAAmt,$N690)=0,"",INDEX(LdAAmt,$N690)))</f>
        <v/>
      </c>
      <c r="E690" s="21">
        <f>IF($N690="","",SUMIFS(ShareAmt,ShareLink,$C690))</f>
        <v/>
      </c>
      <c r="F690" s="34">
        <f>IF($N690="","",COUNTIF(ShareLink,$C690))</f>
        <v/>
      </c>
      <c r="G690" s="22">
        <f>IF($N690="","",IF(ROUND($E690-$D690,0)=0,"√","▲ "&amp;TEXT($D690-$E690,"#,##0")))</f>
        <v/>
      </c>
      <c r="N690">
        <f>IFERROR(MATCH($C$5&amp;"|"&amp;RIGHT("000000"&amp;674,6),LdAKeyG,0),"")</f>
        <v/>
      </c>
    </row>
    <row r="691">
      <c r="A691" s="10" t="n">
        <v>675</v>
      </c>
      <c r="B691" s="14">
        <f>IF($N691="","",INDEX(LdADate,$N691))</f>
        <v/>
      </c>
      <c r="C691" s="14">
        <f>IF($N691="","",IF(INDEX(LdAId,$N691)="","—",INDEX(LdAId,$N691)))</f>
        <v/>
      </c>
      <c r="D691" s="16">
        <f>IF($N691="","",IF(INDEX(LdAAmt,$N691)=0,"",INDEX(LdAAmt,$N691)))</f>
        <v/>
      </c>
      <c r="E691" s="16">
        <f>IF($N691="","",SUMIFS(ShareAmt,ShareLink,$C691))</f>
        <v/>
      </c>
      <c r="F691" s="33">
        <f>IF($N691="","",COUNTIF(ShareLink,$C691))</f>
        <v/>
      </c>
      <c r="G691" s="17">
        <f>IF($N691="","",IF(ROUND($E691-$D691,0)=0,"√","▲ "&amp;TEXT($D691-$E691,"#,##0")))</f>
        <v/>
      </c>
      <c r="N691">
        <f>IFERROR(MATCH($C$5&amp;"|"&amp;RIGHT("000000"&amp;675,6),LdAKeyG,0),"")</f>
        <v/>
      </c>
    </row>
    <row r="692">
      <c r="A692" s="19" t="n">
        <v>676</v>
      </c>
      <c r="B692" s="20">
        <f>IF($N692="","",INDEX(LdADate,$N692))</f>
        <v/>
      </c>
      <c r="C692" s="20">
        <f>IF($N692="","",IF(INDEX(LdAId,$N692)="","—",INDEX(LdAId,$N692)))</f>
        <v/>
      </c>
      <c r="D692" s="21">
        <f>IF($N692="","",IF(INDEX(LdAAmt,$N692)=0,"",INDEX(LdAAmt,$N692)))</f>
        <v/>
      </c>
      <c r="E692" s="21">
        <f>IF($N692="","",SUMIFS(ShareAmt,ShareLink,$C692))</f>
        <v/>
      </c>
      <c r="F692" s="34">
        <f>IF($N692="","",COUNTIF(ShareLink,$C692))</f>
        <v/>
      </c>
      <c r="G692" s="22">
        <f>IF($N692="","",IF(ROUND($E692-$D692,0)=0,"√","▲ "&amp;TEXT($D692-$E692,"#,##0")))</f>
        <v/>
      </c>
      <c r="N692">
        <f>IFERROR(MATCH($C$5&amp;"|"&amp;RIGHT("000000"&amp;676,6),LdAKeyG,0),"")</f>
        <v/>
      </c>
    </row>
    <row r="693">
      <c r="A693" s="10" t="n">
        <v>677</v>
      </c>
      <c r="B693" s="14">
        <f>IF($N693="","",INDEX(LdADate,$N693))</f>
        <v/>
      </c>
      <c r="C693" s="14">
        <f>IF($N693="","",IF(INDEX(LdAId,$N693)="","—",INDEX(LdAId,$N693)))</f>
        <v/>
      </c>
      <c r="D693" s="16">
        <f>IF($N693="","",IF(INDEX(LdAAmt,$N693)=0,"",INDEX(LdAAmt,$N693)))</f>
        <v/>
      </c>
      <c r="E693" s="16">
        <f>IF($N693="","",SUMIFS(ShareAmt,ShareLink,$C693))</f>
        <v/>
      </c>
      <c r="F693" s="33">
        <f>IF($N693="","",COUNTIF(ShareLink,$C693))</f>
        <v/>
      </c>
      <c r="G693" s="17">
        <f>IF($N693="","",IF(ROUND($E693-$D693,0)=0,"√","▲ "&amp;TEXT($D693-$E693,"#,##0")))</f>
        <v/>
      </c>
      <c r="N693">
        <f>IFERROR(MATCH($C$5&amp;"|"&amp;RIGHT("000000"&amp;677,6),LdAKeyG,0),"")</f>
        <v/>
      </c>
    </row>
    <row r="694">
      <c r="A694" s="19" t="n">
        <v>678</v>
      </c>
      <c r="B694" s="20">
        <f>IF($N694="","",INDEX(LdADate,$N694))</f>
        <v/>
      </c>
      <c r="C694" s="20">
        <f>IF($N694="","",IF(INDEX(LdAId,$N694)="","—",INDEX(LdAId,$N694)))</f>
        <v/>
      </c>
      <c r="D694" s="21">
        <f>IF($N694="","",IF(INDEX(LdAAmt,$N694)=0,"",INDEX(LdAAmt,$N694)))</f>
        <v/>
      </c>
      <c r="E694" s="21">
        <f>IF($N694="","",SUMIFS(ShareAmt,ShareLink,$C694))</f>
        <v/>
      </c>
      <c r="F694" s="34">
        <f>IF($N694="","",COUNTIF(ShareLink,$C694))</f>
        <v/>
      </c>
      <c r="G694" s="22">
        <f>IF($N694="","",IF(ROUND($E694-$D694,0)=0,"√","▲ "&amp;TEXT($D694-$E694,"#,##0")))</f>
        <v/>
      </c>
      <c r="N694">
        <f>IFERROR(MATCH($C$5&amp;"|"&amp;RIGHT("000000"&amp;678,6),LdAKeyG,0),"")</f>
        <v/>
      </c>
    </row>
    <row r="695">
      <c r="A695" s="10" t="n">
        <v>679</v>
      </c>
      <c r="B695" s="14">
        <f>IF($N695="","",INDEX(LdADate,$N695))</f>
        <v/>
      </c>
      <c r="C695" s="14">
        <f>IF($N695="","",IF(INDEX(LdAId,$N695)="","—",INDEX(LdAId,$N695)))</f>
        <v/>
      </c>
      <c r="D695" s="16">
        <f>IF($N695="","",IF(INDEX(LdAAmt,$N695)=0,"",INDEX(LdAAmt,$N695)))</f>
        <v/>
      </c>
      <c r="E695" s="16">
        <f>IF($N695="","",SUMIFS(ShareAmt,ShareLink,$C695))</f>
        <v/>
      </c>
      <c r="F695" s="33">
        <f>IF($N695="","",COUNTIF(ShareLink,$C695))</f>
        <v/>
      </c>
      <c r="G695" s="17">
        <f>IF($N695="","",IF(ROUND($E695-$D695,0)=0,"√","▲ "&amp;TEXT($D695-$E695,"#,##0")))</f>
        <v/>
      </c>
      <c r="N695">
        <f>IFERROR(MATCH($C$5&amp;"|"&amp;RIGHT("000000"&amp;679,6),LdAKeyG,0),"")</f>
        <v/>
      </c>
    </row>
    <row r="696">
      <c r="A696" s="19" t="n">
        <v>680</v>
      </c>
      <c r="B696" s="20">
        <f>IF($N696="","",INDEX(LdADate,$N696))</f>
        <v/>
      </c>
      <c r="C696" s="20">
        <f>IF($N696="","",IF(INDEX(LdAId,$N696)="","—",INDEX(LdAId,$N696)))</f>
        <v/>
      </c>
      <c r="D696" s="21">
        <f>IF($N696="","",IF(INDEX(LdAAmt,$N696)=0,"",INDEX(LdAAmt,$N696)))</f>
        <v/>
      </c>
      <c r="E696" s="21">
        <f>IF($N696="","",SUMIFS(ShareAmt,ShareLink,$C696))</f>
        <v/>
      </c>
      <c r="F696" s="34">
        <f>IF($N696="","",COUNTIF(ShareLink,$C696))</f>
        <v/>
      </c>
      <c r="G696" s="22">
        <f>IF($N696="","",IF(ROUND($E696-$D696,0)=0,"√","▲ "&amp;TEXT($D696-$E696,"#,##0")))</f>
        <v/>
      </c>
      <c r="N696">
        <f>IFERROR(MATCH($C$5&amp;"|"&amp;RIGHT("000000"&amp;680,6),LdAKeyG,0),"")</f>
        <v/>
      </c>
    </row>
    <row r="697">
      <c r="A697" s="10" t="n">
        <v>681</v>
      </c>
      <c r="B697" s="14">
        <f>IF($N697="","",INDEX(LdADate,$N697))</f>
        <v/>
      </c>
      <c r="C697" s="14">
        <f>IF($N697="","",IF(INDEX(LdAId,$N697)="","—",INDEX(LdAId,$N697)))</f>
        <v/>
      </c>
      <c r="D697" s="16">
        <f>IF($N697="","",IF(INDEX(LdAAmt,$N697)=0,"",INDEX(LdAAmt,$N697)))</f>
        <v/>
      </c>
      <c r="E697" s="16">
        <f>IF($N697="","",SUMIFS(ShareAmt,ShareLink,$C697))</f>
        <v/>
      </c>
      <c r="F697" s="33">
        <f>IF($N697="","",COUNTIF(ShareLink,$C697))</f>
        <v/>
      </c>
      <c r="G697" s="17">
        <f>IF($N697="","",IF(ROUND($E697-$D697,0)=0,"√","▲ "&amp;TEXT($D697-$E697,"#,##0")))</f>
        <v/>
      </c>
      <c r="N697">
        <f>IFERROR(MATCH($C$5&amp;"|"&amp;RIGHT("000000"&amp;681,6),LdAKeyG,0),"")</f>
        <v/>
      </c>
    </row>
    <row r="698">
      <c r="A698" s="19" t="n">
        <v>682</v>
      </c>
      <c r="B698" s="20">
        <f>IF($N698="","",INDEX(LdADate,$N698))</f>
        <v/>
      </c>
      <c r="C698" s="20">
        <f>IF($N698="","",IF(INDEX(LdAId,$N698)="","—",INDEX(LdAId,$N698)))</f>
        <v/>
      </c>
      <c r="D698" s="21">
        <f>IF($N698="","",IF(INDEX(LdAAmt,$N698)=0,"",INDEX(LdAAmt,$N698)))</f>
        <v/>
      </c>
      <c r="E698" s="21">
        <f>IF($N698="","",SUMIFS(ShareAmt,ShareLink,$C698))</f>
        <v/>
      </c>
      <c r="F698" s="34">
        <f>IF($N698="","",COUNTIF(ShareLink,$C698))</f>
        <v/>
      </c>
      <c r="G698" s="22">
        <f>IF($N698="","",IF(ROUND($E698-$D698,0)=0,"√","▲ "&amp;TEXT($D698-$E698,"#,##0")))</f>
        <v/>
      </c>
      <c r="N698">
        <f>IFERROR(MATCH($C$5&amp;"|"&amp;RIGHT("000000"&amp;682,6),LdAKeyG,0),"")</f>
        <v/>
      </c>
    </row>
    <row r="699">
      <c r="A699" s="10" t="n">
        <v>683</v>
      </c>
      <c r="B699" s="14">
        <f>IF($N699="","",INDEX(LdADate,$N699))</f>
        <v/>
      </c>
      <c r="C699" s="14">
        <f>IF($N699="","",IF(INDEX(LdAId,$N699)="","—",INDEX(LdAId,$N699)))</f>
        <v/>
      </c>
      <c r="D699" s="16">
        <f>IF($N699="","",IF(INDEX(LdAAmt,$N699)=0,"",INDEX(LdAAmt,$N699)))</f>
        <v/>
      </c>
      <c r="E699" s="16">
        <f>IF($N699="","",SUMIFS(ShareAmt,ShareLink,$C699))</f>
        <v/>
      </c>
      <c r="F699" s="33">
        <f>IF($N699="","",COUNTIF(ShareLink,$C699))</f>
        <v/>
      </c>
      <c r="G699" s="17">
        <f>IF($N699="","",IF(ROUND($E699-$D699,0)=0,"√","▲ "&amp;TEXT($D699-$E699,"#,##0")))</f>
        <v/>
      </c>
      <c r="N699">
        <f>IFERROR(MATCH($C$5&amp;"|"&amp;RIGHT("000000"&amp;683,6),LdAKeyG,0),"")</f>
        <v/>
      </c>
    </row>
    <row r="700">
      <c r="A700" s="19" t="n">
        <v>684</v>
      </c>
      <c r="B700" s="20">
        <f>IF($N700="","",INDEX(LdADate,$N700))</f>
        <v/>
      </c>
      <c r="C700" s="20">
        <f>IF($N700="","",IF(INDEX(LdAId,$N700)="","—",INDEX(LdAId,$N700)))</f>
        <v/>
      </c>
      <c r="D700" s="21">
        <f>IF($N700="","",IF(INDEX(LdAAmt,$N700)=0,"",INDEX(LdAAmt,$N700)))</f>
        <v/>
      </c>
      <c r="E700" s="21">
        <f>IF($N700="","",SUMIFS(ShareAmt,ShareLink,$C700))</f>
        <v/>
      </c>
      <c r="F700" s="34">
        <f>IF($N700="","",COUNTIF(ShareLink,$C700))</f>
        <v/>
      </c>
      <c r="G700" s="22">
        <f>IF($N700="","",IF(ROUND($E700-$D700,0)=0,"√","▲ "&amp;TEXT($D700-$E700,"#,##0")))</f>
        <v/>
      </c>
      <c r="N700">
        <f>IFERROR(MATCH($C$5&amp;"|"&amp;RIGHT("000000"&amp;684,6),LdAKeyG,0),"")</f>
        <v/>
      </c>
    </row>
    <row r="701">
      <c r="A701" s="10" t="n">
        <v>685</v>
      </c>
      <c r="B701" s="14">
        <f>IF($N701="","",INDEX(LdADate,$N701))</f>
        <v/>
      </c>
      <c r="C701" s="14">
        <f>IF($N701="","",IF(INDEX(LdAId,$N701)="","—",INDEX(LdAId,$N701)))</f>
        <v/>
      </c>
      <c r="D701" s="16">
        <f>IF($N701="","",IF(INDEX(LdAAmt,$N701)=0,"",INDEX(LdAAmt,$N701)))</f>
        <v/>
      </c>
      <c r="E701" s="16">
        <f>IF($N701="","",SUMIFS(ShareAmt,ShareLink,$C701))</f>
        <v/>
      </c>
      <c r="F701" s="33">
        <f>IF($N701="","",COUNTIF(ShareLink,$C701))</f>
        <v/>
      </c>
      <c r="G701" s="17">
        <f>IF($N701="","",IF(ROUND($E701-$D701,0)=0,"√","▲ "&amp;TEXT($D701-$E701,"#,##0")))</f>
        <v/>
      </c>
      <c r="N701">
        <f>IFERROR(MATCH($C$5&amp;"|"&amp;RIGHT("000000"&amp;685,6),LdAKeyG,0),"")</f>
        <v/>
      </c>
    </row>
    <row r="702">
      <c r="A702" s="19" t="n">
        <v>686</v>
      </c>
      <c r="B702" s="20">
        <f>IF($N702="","",INDEX(LdADate,$N702))</f>
        <v/>
      </c>
      <c r="C702" s="20">
        <f>IF($N702="","",IF(INDEX(LdAId,$N702)="","—",INDEX(LdAId,$N702)))</f>
        <v/>
      </c>
      <c r="D702" s="21">
        <f>IF($N702="","",IF(INDEX(LdAAmt,$N702)=0,"",INDEX(LdAAmt,$N702)))</f>
        <v/>
      </c>
      <c r="E702" s="21">
        <f>IF($N702="","",SUMIFS(ShareAmt,ShareLink,$C702))</f>
        <v/>
      </c>
      <c r="F702" s="34">
        <f>IF($N702="","",COUNTIF(ShareLink,$C702))</f>
        <v/>
      </c>
      <c r="G702" s="22">
        <f>IF($N702="","",IF(ROUND($E702-$D702,0)=0,"√","▲ "&amp;TEXT($D702-$E702,"#,##0")))</f>
        <v/>
      </c>
      <c r="N702">
        <f>IFERROR(MATCH($C$5&amp;"|"&amp;RIGHT("000000"&amp;686,6),LdAKeyG,0),"")</f>
        <v/>
      </c>
    </row>
    <row r="703">
      <c r="A703" s="10" t="n">
        <v>687</v>
      </c>
      <c r="B703" s="14">
        <f>IF($N703="","",INDEX(LdADate,$N703))</f>
        <v/>
      </c>
      <c r="C703" s="14">
        <f>IF($N703="","",IF(INDEX(LdAId,$N703)="","—",INDEX(LdAId,$N703)))</f>
        <v/>
      </c>
      <c r="D703" s="16">
        <f>IF($N703="","",IF(INDEX(LdAAmt,$N703)=0,"",INDEX(LdAAmt,$N703)))</f>
        <v/>
      </c>
      <c r="E703" s="16">
        <f>IF($N703="","",SUMIFS(ShareAmt,ShareLink,$C703))</f>
        <v/>
      </c>
      <c r="F703" s="33">
        <f>IF($N703="","",COUNTIF(ShareLink,$C703))</f>
        <v/>
      </c>
      <c r="G703" s="17">
        <f>IF($N703="","",IF(ROUND($E703-$D703,0)=0,"√","▲ "&amp;TEXT($D703-$E703,"#,##0")))</f>
        <v/>
      </c>
      <c r="N703">
        <f>IFERROR(MATCH($C$5&amp;"|"&amp;RIGHT("000000"&amp;687,6),LdAKeyG,0),"")</f>
        <v/>
      </c>
    </row>
    <row r="704">
      <c r="A704" s="19" t="n">
        <v>688</v>
      </c>
      <c r="B704" s="20">
        <f>IF($N704="","",INDEX(LdADate,$N704))</f>
        <v/>
      </c>
      <c r="C704" s="20">
        <f>IF($N704="","",IF(INDEX(LdAId,$N704)="","—",INDEX(LdAId,$N704)))</f>
        <v/>
      </c>
      <c r="D704" s="21">
        <f>IF($N704="","",IF(INDEX(LdAAmt,$N704)=0,"",INDEX(LdAAmt,$N704)))</f>
        <v/>
      </c>
      <c r="E704" s="21">
        <f>IF($N704="","",SUMIFS(ShareAmt,ShareLink,$C704))</f>
        <v/>
      </c>
      <c r="F704" s="34">
        <f>IF($N704="","",COUNTIF(ShareLink,$C704))</f>
        <v/>
      </c>
      <c r="G704" s="22">
        <f>IF($N704="","",IF(ROUND($E704-$D704,0)=0,"√","▲ "&amp;TEXT($D704-$E704,"#,##0")))</f>
        <v/>
      </c>
      <c r="N704">
        <f>IFERROR(MATCH($C$5&amp;"|"&amp;RIGHT("000000"&amp;688,6),LdAKeyG,0),"")</f>
        <v/>
      </c>
    </row>
    <row r="705">
      <c r="A705" s="10" t="n">
        <v>689</v>
      </c>
      <c r="B705" s="14">
        <f>IF($N705="","",INDEX(LdADate,$N705))</f>
        <v/>
      </c>
      <c r="C705" s="14">
        <f>IF($N705="","",IF(INDEX(LdAId,$N705)="","—",INDEX(LdAId,$N705)))</f>
        <v/>
      </c>
      <c r="D705" s="16">
        <f>IF($N705="","",IF(INDEX(LdAAmt,$N705)=0,"",INDEX(LdAAmt,$N705)))</f>
        <v/>
      </c>
      <c r="E705" s="16">
        <f>IF($N705="","",SUMIFS(ShareAmt,ShareLink,$C705))</f>
        <v/>
      </c>
      <c r="F705" s="33">
        <f>IF($N705="","",COUNTIF(ShareLink,$C705))</f>
        <v/>
      </c>
      <c r="G705" s="17">
        <f>IF($N705="","",IF(ROUND($E705-$D705,0)=0,"√","▲ "&amp;TEXT($D705-$E705,"#,##0")))</f>
        <v/>
      </c>
      <c r="N705">
        <f>IFERROR(MATCH($C$5&amp;"|"&amp;RIGHT("000000"&amp;689,6),LdAKeyG,0),"")</f>
        <v/>
      </c>
    </row>
    <row r="706">
      <c r="A706" s="19" t="n">
        <v>690</v>
      </c>
      <c r="B706" s="20">
        <f>IF($N706="","",INDEX(LdADate,$N706))</f>
        <v/>
      </c>
      <c r="C706" s="20">
        <f>IF($N706="","",IF(INDEX(LdAId,$N706)="","—",INDEX(LdAId,$N706)))</f>
        <v/>
      </c>
      <c r="D706" s="21">
        <f>IF($N706="","",IF(INDEX(LdAAmt,$N706)=0,"",INDEX(LdAAmt,$N706)))</f>
        <v/>
      </c>
      <c r="E706" s="21">
        <f>IF($N706="","",SUMIFS(ShareAmt,ShareLink,$C706))</f>
        <v/>
      </c>
      <c r="F706" s="34">
        <f>IF($N706="","",COUNTIF(ShareLink,$C706))</f>
        <v/>
      </c>
      <c r="G706" s="22">
        <f>IF($N706="","",IF(ROUND($E706-$D706,0)=0,"√","▲ "&amp;TEXT($D706-$E706,"#,##0")))</f>
        <v/>
      </c>
      <c r="N706">
        <f>IFERROR(MATCH($C$5&amp;"|"&amp;RIGHT("000000"&amp;690,6),LdAKeyG,0),"")</f>
        <v/>
      </c>
    </row>
    <row r="707">
      <c r="A707" s="10" t="n">
        <v>691</v>
      </c>
      <c r="B707" s="14">
        <f>IF($N707="","",INDEX(LdADate,$N707))</f>
        <v/>
      </c>
      <c r="C707" s="14">
        <f>IF($N707="","",IF(INDEX(LdAId,$N707)="","—",INDEX(LdAId,$N707)))</f>
        <v/>
      </c>
      <c r="D707" s="16">
        <f>IF($N707="","",IF(INDEX(LdAAmt,$N707)=0,"",INDEX(LdAAmt,$N707)))</f>
        <v/>
      </c>
      <c r="E707" s="16">
        <f>IF($N707="","",SUMIFS(ShareAmt,ShareLink,$C707))</f>
        <v/>
      </c>
      <c r="F707" s="33">
        <f>IF($N707="","",COUNTIF(ShareLink,$C707))</f>
        <v/>
      </c>
      <c r="G707" s="17">
        <f>IF($N707="","",IF(ROUND($E707-$D707,0)=0,"√","▲ "&amp;TEXT($D707-$E707,"#,##0")))</f>
        <v/>
      </c>
      <c r="N707">
        <f>IFERROR(MATCH($C$5&amp;"|"&amp;RIGHT("000000"&amp;691,6),LdAKeyG,0),"")</f>
        <v/>
      </c>
    </row>
    <row r="708">
      <c r="A708" s="19" t="n">
        <v>692</v>
      </c>
      <c r="B708" s="20">
        <f>IF($N708="","",INDEX(LdADate,$N708))</f>
        <v/>
      </c>
      <c r="C708" s="20">
        <f>IF($N708="","",IF(INDEX(LdAId,$N708)="","—",INDEX(LdAId,$N708)))</f>
        <v/>
      </c>
      <c r="D708" s="21">
        <f>IF($N708="","",IF(INDEX(LdAAmt,$N708)=0,"",INDEX(LdAAmt,$N708)))</f>
        <v/>
      </c>
      <c r="E708" s="21">
        <f>IF($N708="","",SUMIFS(ShareAmt,ShareLink,$C708))</f>
        <v/>
      </c>
      <c r="F708" s="34">
        <f>IF($N708="","",COUNTIF(ShareLink,$C708))</f>
        <v/>
      </c>
      <c r="G708" s="22">
        <f>IF($N708="","",IF(ROUND($E708-$D708,0)=0,"√","▲ "&amp;TEXT($D708-$E708,"#,##0")))</f>
        <v/>
      </c>
      <c r="N708">
        <f>IFERROR(MATCH($C$5&amp;"|"&amp;RIGHT("000000"&amp;692,6),LdAKeyG,0),"")</f>
        <v/>
      </c>
    </row>
    <row r="709">
      <c r="A709" s="10" t="n">
        <v>693</v>
      </c>
      <c r="B709" s="14">
        <f>IF($N709="","",INDEX(LdADate,$N709))</f>
        <v/>
      </c>
      <c r="C709" s="14">
        <f>IF($N709="","",IF(INDEX(LdAId,$N709)="","—",INDEX(LdAId,$N709)))</f>
        <v/>
      </c>
      <c r="D709" s="16">
        <f>IF($N709="","",IF(INDEX(LdAAmt,$N709)=0,"",INDEX(LdAAmt,$N709)))</f>
        <v/>
      </c>
      <c r="E709" s="16">
        <f>IF($N709="","",SUMIFS(ShareAmt,ShareLink,$C709))</f>
        <v/>
      </c>
      <c r="F709" s="33">
        <f>IF($N709="","",COUNTIF(ShareLink,$C709))</f>
        <v/>
      </c>
      <c r="G709" s="17">
        <f>IF($N709="","",IF(ROUND($E709-$D709,0)=0,"√","▲ "&amp;TEXT($D709-$E709,"#,##0")))</f>
        <v/>
      </c>
      <c r="N709">
        <f>IFERROR(MATCH($C$5&amp;"|"&amp;RIGHT("000000"&amp;693,6),LdAKeyG,0),"")</f>
        <v/>
      </c>
    </row>
    <row r="710">
      <c r="A710" s="19" t="n">
        <v>694</v>
      </c>
      <c r="B710" s="20">
        <f>IF($N710="","",INDEX(LdADate,$N710))</f>
        <v/>
      </c>
      <c r="C710" s="20">
        <f>IF($N710="","",IF(INDEX(LdAId,$N710)="","—",INDEX(LdAId,$N710)))</f>
        <v/>
      </c>
      <c r="D710" s="21">
        <f>IF($N710="","",IF(INDEX(LdAAmt,$N710)=0,"",INDEX(LdAAmt,$N710)))</f>
        <v/>
      </c>
      <c r="E710" s="21">
        <f>IF($N710="","",SUMIFS(ShareAmt,ShareLink,$C710))</f>
        <v/>
      </c>
      <c r="F710" s="34">
        <f>IF($N710="","",COUNTIF(ShareLink,$C710))</f>
        <v/>
      </c>
      <c r="G710" s="22">
        <f>IF($N710="","",IF(ROUND($E710-$D710,0)=0,"√","▲ "&amp;TEXT($D710-$E710,"#,##0")))</f>
        <v/>
      </c>
      <c r="N710">
        <f>IFERROR(MATCH($C$5&amp;"|"&amp;RIGHT("000000"&amp;694,6),LdAKeyG,0),"")</f>
        <v/>
      </c>
    </row>
    <row r="711">
      <c r="A711" s="10" t="n">
        <v>695</v>
      </c>
      <c r="B711" s="14">
        <f>IF($N711="","",INDEX(LdADate,$N711))</f>
        <v/>
      </c>
      <c r="C711" s="14">
        <f>IF($N711="","",IF(INDEX(LdAId,$N711)="","—",INDEX(LdAId,$N711)))</f>
        <v/>
      </c>
      <c r="D711" s="16">
        <f>IF($N711="","",IF(INDEX(LdAAmt,$N711)=0,"",INDEX(LdAAmt,$N711)))</f>
        <v/>
      </c>
      <c r="E711" s="16">
        <f>IF($N711="","",SUMIFS(ShareAmt,ShareLink,$C711))</f>
        <v/>
      </c>
      <c r="F711" s="33">
        <f>IF($N711="","",COUNTIF(ShareLink,$C711))</f>
        <v/>
      </c>
      <c r="G711" s="17">
        <f>IF($N711="","",IF(ROUND($E711-$D711,0)=0,"√","▲ "&amp;TEXT($D711-$E711,"#,##0")))</f>
        <v/>
      </c>
      <c r="N711">
        <f>IFERROR(MATCH($C$5&amp;"|"&amp;RIGHT("000000"&amp;695,6),LdAKeyG,0),"")</f>
        <v/>
      </c>
    </row>
    <row r="712">
      <c r="A712" s="19" t="n">
        <v>696</v>
      </c>
      <c r="B712" s="20">
        <f>IF($N712="","",INDEX(LdADate,$N712))</f>
        <v/>
      </c>
      <c r="C712" s="20">
        <f>IF($N712="","",IF(INDEX(LdAId,$N712)="","—",INDEX(LdAId,$N712)))</f>
        <v/>
      </c>
      <c r="D712" s="21">
        <f>IF($N712="","",IF(INDEX(LdAAmt,$N712)=0,"",INDEX(LdAAmt,$N712)))</f>
        <v/>
      </c>
      <c r="E712" s="21">
        <f>IF($N712="","",SUMIFS(ShareAmt,ShareLink,$C712))</f>
        <v/>
      </c>
      <c r="F712" s="34">
        <f>IF($N712="","",COUNTIF(ShareLink,$C712))</f>
        <v/>
      </c>
      <c r="G712" s="22">
        <f>IF($N712="","",IF(ROUND($E712-$D712,0)=0,"√","▲ "&amp;TEXT($D712-$E712,"#,##0")))</f>
        <v/>
      </c>
      <c r="N712">
        <f>IFERROR(MATCH($C$5&amp;"|"&amp;RIGHT("000000"&amp;696,6),LdAKeyG,0),"")</f>
        <v/>
      </c>
    </row>
    <row r="713">
      <c r="A713" s="10" t="n">
        <v>697</v>
      </c>
      <c r="B713" s="14">
        <f>IF($N713="","",INDEX(LdADate,$N713))</f>
        <v/>
      </c>
      <c r="C713" s="14">
        <f>IF($N713="","",IF(INDEX(LdAId,$N713)="","—",INDEX(LdAId,$N713)))</f>
        <v/>
      </c>
      <c r="D713" s="16">
        <f>IF($N713="","",IF(INDEX(LdAAmt,$N713)=0,"",INDEX(LdAAmt,$N713)))</f>
        <v/>
      </c>
      <c r="E713" s="16">
        <f>IF($N713="","",SUMIFS(ShareAmt,ShareLink,$C713))</f>
        <v/>
      </c>
      <c r="F713" s="33">
        <f>IF($N713="","",COUNTIF(ShareLink,$C713))</f>
        <v/>
      </c>
      <c r="G713" s="17">
        <f>IF($N713="","",IF(ROUND($E713-$D713,0)=0,"√","▲ "&amp;TEXT($D713-$E713,"#,##0")))</f>
        <v/>
      </c>
      <c r="N713">
        <f>IFERROR(MATCH($C$5&amp;"|"&amp;RIGHT("000000"&amp;697,6),LdAKeyG,0),"")</f>
        <v/>
      </c>
    </row>
    <row r="714">
      <c r="A714" s="19" t="n">
        <v>698</v>
      </c>
      <c r="B714" s="20">
        <f>IF($N714="","",INDEX(LdADate,$N714))</f>
        <v/>
      </c>
      <c r="C714" s="20">
        <f>IF($N714="","",IF(INDEX(LdAId,$N714)="","—",INDEX(LdAId,$N714)))</f>
        <v/>
      </c>
      <c r="D714" s="21">
        <f>IF($N714="","",IF(INDEX(LdAAmt,$N714)=0,"",INDEX(LdAAmt,$N714)))</f>
        <v/>
      </c>
      <c r="E714" s="21">
        <f>IF($N714="","",SUMIFS(ShareAmt,ShareLink,$C714))</f>
        <v/>
      </c>
      <c r="F714" s="34">
        <f>IF($N714="","",COUNTIF(ShareLink,$C714))</f>
        <v/>
      </c>
      <c r="G714" s="22">
        <f>IF($N714="","",IF(ROUND($E714-$D714,0)=0,"√","▲ "&amp;TEXT($D714-$E714,"#,##0")))</f>
        <v/>
      </c>
      <c r="N714">
        <f>IFERROR(MATCH($C$5&amp;"|"&amp;RIGHT("000000"&amp;698,6),LdAKeyG,0),"")</f>
        <v/>
      </c>
    </row>
    <row r="715">
      <c r="A715" s="10" t="n">
        <v>699</v>
      </c>
      <c r="B715" s="14">
        <f>IF($N715="","",INDEX(LdADate,$N715))</f>
        <v/>
      </c>
      <c r="C715" s="14">
        <f>IF($N715="","",IF(INDEX(LdAId,$N715)="","—",INDEX(LdAId,$N715)))</f>
        <v/>
      </c>
      <c r="D715" s="16">
        <f>IF($N715="","",IF(INDEX(LdAAmt,$N715)=0,"",INDEX(LdAAmt,$N715)))</f>
        <v/>
      </c>
      <c r="E715" s="16">
        <f>IF($N715="","",SUMIFS(ShareAmt,ShareLink,$C715))</f>
        <v/>
      </c>
      <c r="F715" s="33">
        <f>IF($N715="","",COUNTIF(ShareLink,$C715))</f>
        <v/>
      </c>
      <c r="G715" s="17">
        <f>IF($N715="","",IF(ROUND($E715-$D715,0)=0,"√","▲ "&amp;TEXT($D715-$E715,"#,##0")))</f>
        <v/>
      </c>
      <c r="N715">
        <f>IFERROR(MATCH($C$5&amp;"|"&amp;RIGHT("000000"&amp;699,6),LdAKeyG,0),"")</f>
        <v/>
      </c>
    </row>
    <row r="716">
      <c r="A716" s="19" t="n">
        <v>700</v>
      </c>
      <c r="B716" s="20">
        <f>IF($N716="","",INDEX(LdADate,$N716))</f>
        <v/>
      </c>
      <c r="C716" s="20">
        <f>IF($N716="","",IF(INDEX(LdAId,$N716)="","—",INDEX(LdAId,$N716)))</f>
        <v/>
      </c>
      <c r="D716" s="21">
        <f>IF($N716="","",IF(INDEX(LdAAmt,$N716)=0,"",INDEX(LdAAmt,$N716)))</f>
        <v/>
      </c>
      <c r="E716" s="21">
        <f>IF($N716="","",SUMIFS(ShareAmt,ShareLink,$C716))</f>
        <v/>
      </c>
      <c r="F716" s="34">
        <f>IF($N716="","",COUNTIF(ShareLink,$C716))</f>
        <v/>
      </c>
      <c r="G716" s="22">
        <f>IF($N716="","",IF(ROUND($E716-$D716,0)=0,"√","▲ "&amp;TEXT($D716-$E716,"#,##0")))</f>
        <v/>
      </c>
      <c r="N716">
        <f>IFERROR(MATCH($C$5&amp;"|"&amp;RIGHT("000000"&amp;700,6),LdAKeyG,0),"")</f>
        <v/>
      </c>
    </row>
    <row r="717">
      <c r="A717" s="10" t="n">
        <v>701</v>
      </c>
      <c r="B717" s="14">
        <f>IF($N717="","",INDEX(LdADate,$N717))</f>
        <v/>
      </c>
      <c r="C717" s="14">
        <f>IF($N717="","",IF(INDEX(LdAId,$N717)="","—",INDEX(LdAId,$N717)))</f>
        <v/>
      </c>
      <c r="D717" s="16">
        <f>IF($N717="","",IF(INDEX(LdAAmt,$N717)=0,"",INDEX(LdAAmt,$N717)))</f>
        <v/>
      </c>
      <c r="E717" s="16">
        <f>IF($N717="","",SUMIFS(ShareAmt,ShareLink,$C717))</f>
        <v/>
      </c>
      <c r="F717" s="33">
        <f>IF($N717="","",COUNTIF(ShareLink,$C717))</f>
        <v/>
      </c>
      <c r="G717" s="17">
        <f>IF($N717="","",IF(ROUND($E717-$D717,0)=0,"√","▲ "&amp;TEXT($D717-$E717,"#,##0")))</f>
        <v/>
      </c>
      <c r="N717">
        <f>IFERROR(MATCH($C$5&amp;"|"&amp;RIGHT("000000"&amp;701,6),LdAKeyG,0),"")</f>
        <v/>
      </c>
    </row>
    <row r="718">
      <c r="A718" s="19" t="n">
        <v>702</v>
      </c>
      <c r="B718" s="20">
        <f>IF($N718="","",INDEX(LdADate,$N718))</f>
        <v/>
      </c>
      <c r="C718" s="20">
        <f>IF($N718="","",IF(INDEX(LdAId,$N718)="","—",INDEX(LdAId,$N718)))</f>
        <v/>
      </c>
      <c r="D718" s="21">
        <f>IF($N718="","",IF(INDEX(LdAAmt,$N718)=0,"",INDEX(LdAAmt,$N718)))</f>
        <v/>
      </c>
      <c r="E718" s="21">
        <f>IF($N718="","",SUMIFS(ShareAmt,ShareLink,$C718))</f>
        <v/>
      </c>
      <c r="F718" s="34">
        <f>IF($N718="","",COUNTIF(ShareLink,$C718))</f>
        <v/>
      </c>
      <c r="G718" s="22">
        <f>IF($N718="","",IF(ROUND($E718-$D718,0)=0,"√","▲ "&amp;TEXT($D718-$E718,"#,##0")))</f>
        <v/>
      </c>
      <c r="N718">
        <f>IFERROR(MATCH($C$5&amp;"|"&amp;RIGHT("000000"&amp;702,6),LdAKeyG,0),"")</f>
        <v/>
      </c>
    </row>
    <row r="719">
      <c r="A719" s="10" t="n">
        <v>703</v>
      </c>
      <c r="B719" s="14">
        <f>IF($N719="","",INDEX(LdADate,$N719))</f>
        <v/>
      </c>
      <c r="C719" s="14">
        <f>IF($N719="","",IF(INDEX(LdAId,$N719)="","—",INDEX(LdAId,$N719)))</f>
        <v/>
      </c>
      <c r="D719" s="16">
        <f>IF($N719="","",IF(INDEX(LdAAmt,$N719)=0,"",INDEX(LdAAmt,$N719)))</f>
        <v/>
      </c>
      <c r="E719" s="16">
        <f>IF($N719="","",SUMIFS(ShareAmt,ShareLink,$C719))</f>
        <v/>
      </c>
      <c r="F719" s="33">
        <f>IF($N719="","",COUNTIF(ShareLink,$C719))</f>
        <v/>
      </c>
      <c r="G719" s="17">
        <f>IF($N719="","",IF(ROUND($E719-$D719,0)=0,"√","▲ "&amp;TEXT($D719-$E719,"#,##0")))</f>
        <v/>
      </c>
      <c r="N719">
        <f>IFERROR(MATCH($C$5&amp;"|"&amp;RIGHT("000000"&amp;703,6),LdAKeyG,0),"")</f>
        <v/>
      </c>
    </row>
    <row r="720">
      <c r="A720" s="19" t="n">
        <v>704</v>
      </c>
      <c r="B720" s="20">
        <f>IF($N720="","",INDEX(LdADate,$N720))</f>
        <v/>
      </c>
      <c r="C720" s="20">
        <f>IF($N720="","",IF(INDEX(LdAId,$N720)="","—",INDEX(LdAId,$N720)))</f>
        <v/>
      </c>
      <c r="D720" s="21">
        <f>IF($N720="","",IF(INDEX(LdAAmt,$N720)=0,"",INDEX(LdAAmt,$N720)))</f>
        <v/>
      </c>
      <c r="E720" s="21">
        <f>IF($N720="","",SUMIFS(ShareAmt,ShareLink,$C720))</f>
        <v/>
      </c>
      <c r="F720" s="34">
        <f>IF($N720="","",COUNTIF(ShareLink,$C720))</f>
        <v/>
      </c>
      <c r="G720" s="22">
        <f>IF($N720="","",IF(ROUND($E720-$D720,0)=0,"√","▲ "&amp;TEXT($D720-$E720,"#,##0")))</f>
        <v/>
      </c>
      <c r="N720">
        <f>IFERROR(MATCH($C$5&amp;"|"&amp;RIGHT("000000"&amp;704,6),LdAKeyG,0),"")</f>
        <v/>
      </c>
    </row>
    <row r="721">
      <c r="A721" s="10" t="n">
        <v>705</v>
      </c>
      <c r="B721" s="14">
        <f>IF($N721="","",INDEX(LdADate,$N721))</f>
        <v/>
      </c>
      <c r="C721" s="14">
        <f>IF($N721="","",IF(INDEX(LdAId,$N721)="","—",INDEX(LdAId,$N721)))</f>
        <v/>
      </c>
      <c r="D721" s="16">
        <f>IF($N721="","",IF(INDEX(LdAAmt,$N721)=0,"",INDEX(LdAAmt,$N721)))</f>
        <v/>
      </c>
      <c r="E721" s="16">
        <f>IF($N721="","",SUMIFS(ShareAmt,ShareLink,$C721))</f>
        <v/>
      </c>
      <c r="F721" s="33">
        <f>IF($N721="","",COUNTIF(ShareLink,$C721))</f>
        <v/>
      </c>
      <c r="G721" s="17">
        <f>IF($N721="","",IF(ROUND($E721-$D721,0)=0,"√","▲ "&amp;TEXT($D721-$E721,"#,##0")))</f>
        <v/>
      </c>
      <c r="N721">
        <f>IFERROR(MATCH($C$5&amp;"|"&amp;RIGHT("000000"&amp;705,6),LdAKeyG,0),"")</f>
        <v/>
      </c>
    </row>
    <row r="722">
      <c r="A722" s="19" t="n">
        <v>706</v>
      </c>
      <c r="B722" s="20">
        <f>IF($N722="","",INDEX(LdADate,$N722))</f>
        <v/>
      </c>
      <c r="C722" s="20">
        <f>IF($N722="","",IF(INDEX(LdAId,$N722)="","—",INDEX(LdAId,$N722)))</f>
        <v/>
      </c>
      <c r="D722" s="21">
        <f>IF($N722="","",IF(INDEX(LdAAmt,$N722)=0,"",INDEX(LdAAmt,$N722)))</f>
        <v/>
      </c>
      <c r="E722" s="21">
        <f>IF($N722="","",SUMIFS(ShareAmt,ShareLink,$C722))</f>
        <v/>
      </c>
      <c r="F722" s="34">
        <f>IF($N722="","",COUNTIF(ShareLink,$C722))</f>
        <v/>
      </c>
      <c r="G722" s="22">
        <f>IF($N722="","",IF(ROUND($E722-$D722,0)=0,"√","▲ "&amp;TEXT($D722-$E722,"#,##0")))</f>
        <v/>
      </c>
      <c r="N722">
        <f>IFERROR(MATCH($C$5&amp;"|"&amp;RIGHT("000000"&amp;706,6),LdAKeyG,0),"")</f>
        <v/>
      </c>
    </row>
    <row r="723">
      <c r="A723" s="10" t="n">
        <v>707</v>
      </c>
      <c r="B723" s="14">
        <f>IF($N723="","",INDEX(LdADate,$N723))</f>
        <v/>
      </c>
      <c r="C723" s="14">
        <f>IF($N723="","",IF(INDEX(LdAId,$N723)="","—",INDEX(LdAId,$N723)))</f>
        <v/>
      </c>
      <c r="D723" s="16">
        <f>IF($N723="","",IF(INDEX(LdAAmt,$N723)=0,"",INDEX(LdAAmt,$N723)))</f>
        <v/>
      </c>
      <c r="E723" s="16">
        <f>IF($N723="","",SUMIFS(ShareAmt,ShareLink,$C723))</f>
        <v/>
      </c>
      <c r="F723" s="33">
        <f>IF($N723="","",COUNTIF(ShareLink,$C723))</f>
        <v/>
      </c>
      <c r="G723" s="17">
        <f>IF($N723="","",IF(ROUND($E723-$D723,0)=0,"√","▲ "&amp;TEXT($D723-$E723,"#,##0")))</f>
        <v/>
      </c>
      <c r="N723">
        <f>IFERROR(MATCH($C$5&amp;"|"&amp;RIGHT("000000"&amp;707,6),LdAKeyG,0),"")</f>
        <v/>
      </c>
    </row>
    <row r="724">
      <c r="A724" s="19" t="n">
        <v>708</v>
      </c>
      <c r="B724" s="20">
        <f>IF($N724="","",INDEX(LdADate,$N724))</f>
        <v/>
      </c>
      <c r="C724" s="20">
        <f>IF($N724="","",IF(INDEX(LdAId,$N724)="","—",INDEX(LdAId,$N724)))</f>
        <v/>
      </c>
      <c r="D724" s="21">
        <f>IF($N724="","",IF(INDEX(LdAAmt,$N724)=0,"",INDEX(LdAAmt,$N724)))</f>
        <v/>
      </c>
      <c r="E724" s="21">
        <f>IF($N724="","",SUMIFS(ShareAmt,ShareLink,$C724))</f>
        <v/>
      </c>
      <c r="F724" s="34">
        <f>IF($N724="","",COUNTIF(ShareLink,$C724))</f>
        <v/>
      </c>
      <c r="G724" s="22">
        <f>IF($N724="","",IF(ROUND($E724-$D724,0)=0,"√","▲ "&amp;TEXT($D724-$E724,"#,##0")))</f>
        <v/>
      </c>
      <c r="N724">
        <f>IFERROR(MATCH($C$5&amp;"|"&amp;RIGHT("000000"&amp;708,6),LdAKeyG,0),"")</f>
        <v/>
      </c>
    </row>
    <row r="725">
      <c r="A725" s="10" t="n">
        <v>709</v>
      </c>
      <c r="B725" s="14">
        <f>IF($N725="","",INDEX(LdADate,$N725))</f>
        <v/>
      </c>
      <c r="C725" s="14">
        <f>IF($N725="","",IF(INDEX(LdAId,$N725)="","—",INDEX(LdAId,$N725)))</f>
        <v/>
      </c>
      <c r="D725" s="16">
        <f>IF($N725="","",IF(INDEX(LdAAmt,$N725)=0,"",INDEX(LdAAmt,$N725)))</f>
        <v/>
      </c>
      <c r="E725" s="16">
        <f>IF($N725="","",SUMIFS(ShareAmt,ShareLink,$C725))</f>
        <v/>
      </c>
      <c r="F725" s="33">
        <f>IF($N725="","",COUNTIF(ShareLink,$C725))</f>
        <v/>
      </c>
      <c r="G725" s="17">
        <f>IF($N725="","",IF(ROUND($E725-$D725,0)=0,"√","▲ "&amp;TEXT($D725-$E725,"#,##0")))</f>
        <v/>
      </c>
      <c r="N725">
        <f>IFERROR(MATCH($C$5&amp;"|"&amp;RIGHT("000000"&amp;709,6),LdAKeyG,0),"")</f>
        <v/>
      </c>
    </row>
    <row r="726">
      <c r="A726" s="19" t="n">
        <v>710</v>
      </c>
      <c r="B726" s="20">
        <f>IF($N726="","",INDEX(LdADate,$N726))</f>
        <v/>
      </c>
      <c r="C726" s="20">
        <f>IF($N726="","",IF(INDEX(LdAId,$N726)="","—",INDEX(LdAId,$N726)))</f>
        <v/>
      </c>
      <c r="D726" s="21">
        <f>IF($N726="","",IF(INDEX(LdAAmt,$N726)=0,"",INDEX(LdAAmt,$N726)))</f>
        <v/>
      </c>
      <c r="E726" s="21">
        <f>IF($N726="","",SUMIFS(ShareAmt,ShareLink,$C726))</f>
        <v/>
      </c>
      <c r="F726" s="34">
        <f>IF($N726="","",COUNTIF(ShareLink,$C726))</f>
        <v/>
      </c>
      <c r="G726" s="22">
        <f>IF($N726="","",IF(ROUND($E726-$D726,0)=0,"√","▲ "&amp;TEXT($D726-$E726,"#,##0")))</f>
        <v/>
      </c>
      <c r="N726">
        <f>IFERROR(MATCH($C$5&amp;"|"&amp;RIGHT("000000"&amp;710,6),LdAKeyG,0),"")</f>
        <v/>
      </c>
    </row>
    <row r="727">
      <c r="A727" s="10" t="n">
        <v>711</v>
      </c>
      <c r="B727" s="14">
        <f>IF($N727="","",INDEX(LdADate,$N727))</f>
        <v/>
      </c>
      <c r="C727" s="14">
        <f>IF($N727="","",IF(INDEX(LdAId,$N727)="","—",INDEX(LdAId,$N727)))</f>
        <v/>
      </c>
      <c r="D727" s="16">
        <f>IF($N727="","",IF(INDEX(LdAAmt,$N727)=0,"",INDEX(LdAAmt,$N727)))</f>
        <v/>
      </c>
      <c r="E727" s="16">
        <f>IF($N727="","",SUMIFS(ShareAmt,ShareLink,$C727))</f>
        <v/>
      </c>
      <c r="F727" s="33">
        <f>IF($N727="","",COUNTIF(ShareLink,$C727))</f>
        <v/>
      </c>
      <c r="G727" s="17">
        <f>IF($N727="","",IF(ROUND($E727-$D727,0)=0,"√","▲ "&amp;TEXT($D727-$E727,"#,##0")))</f>
        <v/>
      </c>
      <c r="N727">
        <f>IFERROR(MATCH($C$5&amp;"|"&amp;RIGHT("000000"&amp;711,6),LdAKeyG,0),"")</f>
        <v/>
      </c>
    </row>
    <row r="728">
      <c r="A728" s="19" t="n">
        <v>712</v>
      </c>
      <c r="B728" s="20">
        <f>IF($N728="","",INDEX(LdADate,$N728))</f>
        <v/>
      </c>
      <c r="C728" s="20">
        <f>IF($N728="","",IF(INDEX(LdAId,$N728)="","—",INDEX(LdAId,$N728)))</f>
        <v/>
      </c>
      <c r="D728" s="21">
        <f>IF($N728="","",IF(INDEX(LdAAmt,$N728)=0,"",INDEX(LdAAmt,$N728)))</f>
        <v/>
      </c>
      <c r="E728" s="21">
        <f>IF($N728="","",SUMIFS(ShareAmt,ShareLink,$C728))</f>
        <v/>
      </c>
      <c r="F728" s="34">
        <f>IF($N728="","",COUNTIF(ShareLink,$C728))</f>
        <v/>
      </c>
      <c r="G728" s="22">
        <f>IF($N728="","",IF(ROUND($E728-$D728,0)=0,"√","▲ "&amp;TEXT($D728-$E728,"#,##0")))</f>
        <v/>
      </c>
      <c r="N728">
        <f>IFERROR(MATCH($C$5&amp;"|"&amp;RIGHT("000000"&amp;712,6),LdAKeyG,0),"")</f>
        <v/>
      </c>
    </row>
    <row r="729">
      <c r="A729" s="10" t="n">
        <v>713</v>
      </c>
      <c r="B729" s="14">
        <f>IF($N729="","",INDEX(LdADate,$N729))</f>
        <v/>
      </c>
      <c r="C729" s="14">
        <f>IF($N729="","",IF(INDEX(LdAId,$N729)="","—",INDEX(LdAId,$N729)))</f>
        <v/>
      </c>
      <c r="D729" s="16">
        <f>IF($N729="","",IF(INDEX(LdAAmt,$N729)=0,"",INDEX(LdAAmt,$N729)))</f>
        <v/>
      </c>
      <c r="E729" s="16">
        <f>IF($N729="","",SUMIFS(ShareAmt,ShareLink,$C729))</f>
        <v/>
      </c>
      <c r="F729" s="33">
        <f>IF($N729="","",COUNTIF(ShareLink,$C729))</f>
        <v/>
      </c>
      <c r="G729" s="17">
        <f>IF($N729="","",IF(ROUND($E729-$D729,0)=0,"√","▲ "&amp;TEXT($D729-$E729,"#,##0")))</f>
        <v/>
      </c>
      <c r="N729">
        <f>IFERROR(MATCH($C$5&amp;"|"&amp;RIGHT("000000"&amp;713,6),LdAKeyG,0),"")</f>
        <v/>
      </c>
    </row>
    <row r="730">
      <c r="A730" s="19" t="n">
        <v>714</v>
      </c>
      <c r="B730" s="20">
        <f>IF($N730="","",INDEX(LdADate,$N730))</f>
        <v/>
      </c>
      <c r="C730" s="20">
        <f>IF($N730="","",IF(INDEX(LdAId,$N730)="","—",INDEX(LdAId,$N730)))</f>
        <v/>
      </c>
      <c r="D730" s="21">
        <f>IF($N730="","",IF(INDEX(LdAAmt,$N730)=0,"",INDEX(LdAAmt,$N730)))</f>
        <v/>
      </c>
      <c r="E730" s="21">
        <f>IF($N730="","",SUMIFS(ShareAmt,ShareLink,$C730))</f>
        <v/>
      </c>
      <c r="F730" s="34">
        <f>IF($N730="","",COUNTIF(ShareLink,$C730))</f>
        <v/>
      </c>
      <c r="G730" s="22">
        <f>IF($N730="","",IF(ROUND($E730-$D730,0)=0,"√","▲ "&amp;TEXT($D730-$E730,"#,##0")))</f>
        <v/>
      </c>
      <c r="N730">
        <f>IFERROR(MATCH($C$5&amp;"|"&amp;RIGHT("000000"&amp;714,6),LdAKeyG,0),"")</f>
        <v/>
      </c>
    </row>
    <row r="731">
      <c r="A731" s="10" t="n">
        <v>715</v>
      </c>
      <c r="B731" s="14">
        <f>IF($N731="","",INDEX(LdADate,$N731))</f>
        <v/>
      </c>
      <c r="C731" s="14">
        <f>IF($N731="","",IF(INDEX(LdAId,$N731)="","—",INDEX(LdAId,$N731)))</f>
        <v/>
      </c>
      <c r="D731" s="16">
        <f>IF($N731="","",IF(INDEX(LdAAmt,$N731)=0,"",INDEX(LdAAmt,$N731)))</f>
        <v/>
      </c>
      <c r="E731" s="16">
        <f>IF($N731="","",SUMIFS(ShareAmt,ShareLink,$C731))</f>
        <v/>
      </c>
      <c r="F731" s="33">
        <f>IF($N731="","",COUNTIF(ShareLink,$C731))</f>
        <v/>
      </c>
      <c r="G731" s="17">
        <f>IF($N731="","",IF(ROUND($E731-$D731,0)=0,"√","▲ "&amp;TEXT($D731-$E731,"#,##0")))</f>
        <v/>
      </c>
      <c r="N731">
        <f>IFERROR(MATCH($C$5&amp;"|"&amp;RIGHT("000000"&amp;715,6),LdAKeyG,0),"")</f>
        <v/>
      </c>
    </row>
    <row r="732">
      <c r="A732" s="19" t="n">
        <v>716</v>
      </c>
      <c r="B732" s="20">
        <f>IF($N732="","",INDEX(LdADate,$N732))</f>
        <v/>
      </c>
      <c r="C732" s="20">
        <f>IF($N732="","",IF(INDEX(LdAId,$N732)="","—",INDEX(LdAId,$N732)))</f>
        <v/>
      </c>
      <c r="D732" s="21">
        <f>IF($N732="","",IF(INDEX(LdAAmt,$N732)=0,"",INDEX(LdAAmt,$N732)))</f>
        <v/>
      </c>
      <c r="E732" s="21">
        <f>IF($N732="","",SUMIFS(ShareAmt,ShareLink,$C732))</f>
        <v/>
      </c>
      <c r="F732" s="34">
        <f>IF($N732="","",COUNTIF(ShareLink,$C732))</f>
        <v/>
      </c>
      <c r="G732" s="22">
        <f>IF($N732="","",IF(ROUND($E732-$D732,0)=0,"√","▲ "&amp;TEXT($D732-$E732,"#,##0")))</f>
        <v/>
      </c>
      <c r="N732">
        <f>IFERROR(MATCH($C$5&amp;"|"&amp;RIGHT("000000"&amp;716,6),LdAKeyG,0),"")</f>
        <v/>
      </c>
    </row>
    <row r="733">
      <c r="A733" s="10" t="n">
        <v>717</v>
      </c>
      <c r="B733" s="14">
        <f>IF($N733="","",INDEX(LdADate,$N733))</f>
        <v/>
      </c>
      <c r="C733" s="14">
        <f>IF($N733="","",IF(INDEX(LdAId,$N733)="","—",INDEX(LdAId,$N733)))</f>
        <v/>
      </c>
      <c r="D733" s="16">
        <f>IF($N733="","",IF(INDEX(LdAAmt,$N733)=0,"",INDEX(LdAAmt,$N733)))</f>
        <v/>
      </c>
      <c r="E733" s="16">
        <f>IF($N733="","",SUMIFS(ShareAmt,ShareLink,$C733))</f>
        <v/>
      </c>
      <c r="F733" s="33">
        <f>IF($N733="","",COUNTIF(ShareLink,$C733))</f>
        <v/>
      </c>
      <c r="G733" s="17">
        <f>IF($N733="","",IF(ROUND($E733-$D733,0)=0,"√","▲ "&amp;TEXT($D733-$E733,"#,##0")))</f>
        <v/>
      </c>
      <c r="N733">
        <f>IFERROR(MATCH($C$5&amp;"|"&amp;RIGHT("000000"&amp;717,6),LdAKeyG,0),"")</f>
        <v/>
      </c>
    </row>
    <row r="734">
      <c r="A734" s="19" t="n">
        <v>718</v>
      </c>
      <c r="B734" s="20">
        <f>IF($N734="","",INDEX(LdADate,$N734))</f>
        <v/>
      </c>
      <c r="C734" s="20">
        <f>IF($N734="","",IF(INDEX(LdAId,$N734)="","—",INDEX(LdAId,$N734)))</f>
        <v/>
      </c>
      <c r="D734" s="21">
        <f>IF($N734="","",IF(INDEX(LdAAmt,$N734)=0,"",INDEX(LdAAmt,$N734)))</f>
        <v/>
      </c>
      <c r="E734" s="21">
        <f>IF($N734="","",SUMIFS(ShareAmt,ShareLink,$C734))</f>
        <v/>
      </c>
      <c r="F734" s="34">
        <f>IF($N734="","",COUNTIF(ShareLink,$C734))</f>
        <v/>
      </c>
      <c r="G734" s="22">
        <f>IF($N734="","",IF(ROUND($E734-$D734,0)=0,"√","▲ "&amp;TEXT($D734-$E734,"#,##0")))</f>
        <v/>
      </c>
      <c r="N734">
        <f>IFERROR(MATCH($C$5&amp;"|"&amp;RIGHT("000000"&amp;718,6),LdAKeyG,0),"")</f>
        <v/>
      </c>
    </row>
    <row r="735">
      <c r="A735" s="10" t="n">
        <v>719</v>
      </c>
      <c r="B735" s="14">
        <f>IF($N735="","",INDEX(LdADate,$N735))</f>
        <v/>
      </c>
      <c r="C735" s="14">
        <f>IF($N735="","",IF(INDEX(LdAId,$N735)="","—",INDEX(LdAId,$N735)))</f>
        <v/>
      </c>
      <c r="D735" s="16">
        <f>IF($N735="","",IF(INDEX(LdAAmt,$N735)=0,"",INDEX(LdAAmt,$N735)))</f>
        <v/>
      </c>
      <c r="E735" s="16">
        <f>IF($N735="","",SUMIFS(ShareAmt,ShareLink,$C735))</f>
        <v/>
      </c>
      <c r="F735" s="33">
        <f>IF($N735="","",COUNTIF(ShareLink,$C735))</f>
        <v/>
      </c>
      <c r="G735" s="17">
        <f>IF($N735="","",IF(ROUND($E735-$D735,0)=0,"√","▲ "&amp;TEXT($D735-$E735,"#,##0")))</f>
        <v/>
      </c>
      <c r="N735">
        <f>IFERROR(MATCH($C$5&amp;"|"&amp;RIGHT("000000"&amp;719,6),LdAKeyG,0),"")</f>
        <v/>
      </c>
    </row>
    <row r="736">
      <c r="A736" s="19" t="n">
        <v>720</v>
      </c>
      <c r="B736" s="20">
        <f>IF($N736="","",INDEX(LdADate,$N736))</f>
        <v/>
      </c>
      <c r="C736" s="20">
        <f>IF($N736="","",IF(INDEX(LdAId,$N736)="","—",INDEX(LdAId,$N736)))</f>
        <v/>
      </c>
      <c r="D736" s="21">
        <f>IF($N736="","",IF(INDEX(LdAAmt,$N736)=0,"",INDEX(LdAAmt,$N736)))</f>
        <v/>
      </c>
      <c r="E736" s="21">
        <f>IF($N736="","",SUMIFS(ShareAmt,ShareLink,$C736))</f>
        <v/>
      </c>
      <c r="F736" s="34">
        <f>IF($N736="","",COUNTIF(ShareLink,$C736))</f>
        <v/>
      </c>
      <c r="G736" s="22">
        <f>IF($N736="","",IF(ROUND($E736-$D736,0)=0,"√","▲ "&amp;TEXT($D736-$E736,"#,##0")))</f>
        <v/>
      </c>
      <c r="N736">
        <f>IFERROR(MATCH($C$5&amp;"|"&amp;RIGHT("000000"&amp;720,6),LdAKeyG,0),"")</f>
        <v/>
      </c>
    </row>
    <row r="737">
      <c r="A737" s="10" t="n">
        <v>721</v>
      </c>
      <c r="B737" s="14">
        <f>IF($N737="","",INDEX(LdADate,$N737))</f>
        <v/>
      </c>
      <c r="C737" s="14">
        <f>IF($N737="","",IF(INDEX(LdAId,$N737)="","—",INDEX(LdAId,$N737)))</f>
        <v/>
      </c>
      <c r="D737" s="16">
        <f>IF($N737="","",IF(INDEX(LdAAmt,$N737)=0,"",INDEX(LdAAmt,$N737)))</f>
        <v/>
      </c>
      <c r="E737" s="16">
        <f>IF($N737="","",SUMIFS(ShareAmt,ShareLink,$C737))</f>
        <v/>
      </c>
      <c r="F737" s="33">
        <f>IF($N737="","",COUNTIF(ShareLink,$C737))</f>
        <v/>
      </c>
      <c r="G737" s="17">
        <f>IF($N737="","",IF(ROUND($E737-$D737,0)=0,"√","▲ "&amp;TEXT($D737-$E737,"#,##0")))</f>
        <v/>
      </c>
      <c r="N737">
        <f>IFERROR(MATCH($C$5&amp;"|"&amp;RIGHT("000000"&amp;721,6),LdAKeyG,0),"")</f>
        <v/>
      </c>
    </row>
    <row r="738">
      <c r="A738" s="19" t="n">
        <v>722</v>
      </c>
      <c r="B738" s="20">
        <f>IF($N738="","",INDEX(LdADate,$N738))</f>
        <v/>
      </c>
      <c r="C738" s="20">
        <f>IF($N738="","",IF(INDEX(LdAId,$N738)="","—",INDEX(LdAId,$N738)))</f>
        <v/>
      </c>
      <c r="D738" s="21">
        <f>IF($N738="","",IF(INDEX(LdAAmt,$N738)=0,"",INDEX(LdAAmt,$N738)))</f>
        <v/>
      </c>
      <c r="E738" s="21">
        <f>IF($N738="","",SUMIFS(ShareAmt,ShareLink,$C738))</f>
        <v/>
      </c>
      <c r="F738" s="34">
        <f>IF($N738="","",COUNTIF(ShareLink,$C738))</f>
        <v/>
      </c>
      <c r="G738" s="22">
        <f>IF($N738="","",IF(ROUND($E738-$D738,0)=0,"√","▲ "&amp;TEXT($D738-$E738,"#,##0")))</f>
        <v/>
      </c>
      <c r="N738">
        <f>IFERROR(MATCH($C$5&amp;"|"&amp;RIGHT("000000"&amp;722,6),LdAKeyG,0),"")</f>
        <v/>
      </c>
    </row>
    <row r="739">
      <c r="A739" s="10" t="n">
        <v>723</v>
      </c>
      <c r="B739" s="14">
        <f>IF($N739="","",INDEX(LdADate,$N739))</f>
        <v/>
      </c>
      <c r="C739" s="14">
        <f>IF($N739="","",IF(INDEX(LdAId,$N739)="","—",INDEX(LdAId,$N739)))</f>
        <v/>
      </c>
      <c r="D739" s="16">
        <f>IF($N739="","",IF(INDEX(LdAAmt,$N739)=0,"",INDEX(LdAAmt,$N739)))</f>
        <v/>
      </c>
      <c r="E739" s="16">
        <f>IF($N739="","",SUMIFS(ShareAmt,ShareLink,$C739))</f>
        <v/>
      </c>
      <c r="F739" s="33">
        <f>IF($N739="","",COUNTIF(ShareLink,$C739))</f>
        <v/>
      </c>
      <c r="G739" s="17">
        <f>IF($N739="","",IF(ROUND($E739-$D739,0)=0,"√","▲ "&amp;TEXT($D739-$E739,"#,##0")))</f>
        <v/>
      </c>
      <c r="N739">
        <f>IFERROR(MATCH($C$5&amp;"|"&amp;RIGHT("000000"&amp;723,6),LdAKeyG,0),"")</f>
        <v/>
      </c>
    </row>
    <row r="740">
      <c r="A740" s="19" t="n">
        <v>724</v>
      </c>
      <c r="B740" s="20">
        <f>IF($N740="","",INDEX(LdADate,$N740))</f>
        <v/>
      </c>
      <c r="C740" s="20">
        <f>IF($N740="","",IF(INDEX(LdAId,$N740)="","—",INDEX(LdAId,$N740)))</f>
        <v/>
      </c>
      <c r="D740" s="21">
        <f>IF($N740="","",IF(INDEX(LdAAmt,$N740)=0,"",INDEX(LdAAmt,$N740)))</f>
        <v/>
      </c>
      <c r="E740" s="21">
        <f>IF($N740="","",SUMIFS(ShareAmt,ShareLink,$C740))</f>
        <v/>
      </c>
      <c r="F740" s="34">
        <f>IF($N740="","",COUNTIF(ShareLink,$C740))</f>
        <v/>
      </c>
      <c r="G740" s="22">
        <f>IF($N740="","",IF(ROUND($E740-$D740,0)=0,"√","▲ "&amp;TEXT($D740-$E740,"#,##0")))</f>
        <v/>
      </c>
      <c r="N740">
        <f>IFERROR(MATCH($C$5&amp;"|"&amp;RIGHT("000000"&amp;724,6),LdAKeyG,0),"")</f>
        <v/>
      </c>
    </row>
    <row r="741">
      <c r="A741" s="10" t="n">
        <v>725</v>
      </c>
      <c r="B741" s="14">
        <f>IF($N741="","",INDEX(LdADate,$N741))</f>
        <v/>
      </c>
      <c r="C741" s="14">
        <f>IF($N741="","",IF(INDEX(LdAId,$N741)="","—",INDEX(LdAId,$N741)))</f>
        <v/>
      </c>
      <c r="D741" s="16">
        <f>IF($N741="","",IF(INDEX(LdAAmt,$N741)=0,"",INDEX(LdAAmt,$N741)))</f>
        <v/>
      </c>
      <c r="E741" s="16">
        <f>IF($N741="","",SUMIFS(ShareAmt,ShareLink,$C741))</f>
        <v/>
      </c>
      <c r="F741" s="33">
        <f>IF($N741="","",COUNTIF(ShareLink,$C741))</f>
        <v/>
      </c>
      <c r="G741" s="17">
        <f>IF($N741="","",IF(ROUND($E741-$D741,0)=0,"√","▲ "&amp;TEXT($D741-$E741,"#,##0")))</f>
        <v/>
      </c>
      <c r="N741">
        <f>IFERROR(MATCH($C$5&amp;"|"&amp;RIGHT("000000"&amp;725,6),LdAKeyG,0),"")</f>
        <v/>
      </c>
    </row>
    <row r="742">
      <c r="A742" s="19" t="n">
        <v>726</v>
      </c>
      <c r="B742" s="20">
        <f>IF($N742="","",INDEX(LdADate,$N742))</f>
        <v/>
      </c>
      <c r="C742" s="20">
        <f>IF($N742="","",IF(INDEX(LdAId,$N742)="","—",INDEX(LdAId,$N742)))</f>
        <v/>
      </c>
      <c r="D742" s="21">
        <f>IF($N742="","",IF(INDEX(LdAAmt,$N742)=0,"",INDEX(LdAAmt,$N742)))</f>
        <v/>
      </c>
      <c r="E742" s="21">
        <f>IF($N742="","",SUMIFS(ShareAmt,ShareLink,$C742))</f>
        <v/>
      </c>
      <c r="F742" s="34">
        <f>IF($N742="","",COUNTIF(ShareLink,$C742))</f>
        <v/>
      </c>
      <c r="G742" s="22">
        <f>IF($N742="","",IF(ROUND($E742-$D742,0)=0,"√","▲ "&amp;TEXT($D742-$E742,"#,##0")))</f>
        <v/>
      </c>
      <c r="N742">
        <f>IFERROR(MATCH($C$5&amp;"|"&amp;RIGHT("000000"&amp;726,6),LdAKeyG,0),"")</f>
        <v/>
      </c>
    </row>
    <row r="743">
      <c r="A743" s="10" t="n">
        <v>727</v>
      </c>
      <c r="B743" s="14">
        <f>IF($N743="","",INDEX(LdADate,$N743))</f>
        <v/>
      </c>
      <c r="C743" s="14">
        <f>IF($N743="","",IF(INDEX(LdAId,$N743)="","—",INDEX(LdAId,$N743)))</f>
        <v/>
      </c>
      <c r="D743" s="16">
        <f>IF($N743="","",IF(INDEX(LdAAmt,$N743)=0,"",INDEX(LdAAmt,$N743)))</f>
        <v/>
      </c>
      <c r="E743" s="16">
        <f>IF($N743="","",SUMIFS(ShareAmt,ShareLink,$C743))</f>
        <v/>
      </c>
      <c r="F743" s="33">
        <f>IF($N743="","",COUNTIF(ShareLink,$C743))</f>
        <v/>
      </c>
      <c r="G743" s="17">
        <f>IF($N743="","",IF(ROUND($E743-$D743,0)=0,"√","▲ "&amp;TEXT($D743-$E743,"#,##0")))</f>
        <v/>
      </c>
      <c r="N743">
        <f>IFERROR(MATCH($C$5&amp;"|"&amp;RIGHT("000000"&amp;727,6),LdAKeyG,0),"")</f>
        <v/>
      </c>
    </row>
    <row r="744">
      <c r="A744" s="19" t="n">
        <v>728</v>
      </c>
      <c r="B744" s="20">
        <f>IF($N744="","",INDEX(LdADate,$N744))</f>
        <v/>
      </c>
      <c r="C744" s="20">
        <f>IF($N744="","",IF(INDEX(LdAId,$N744)="","—",INDEX(LdAId,$N744)))</f>
        <v/>
      </c>
      <c r="D744" s="21">
        <f>IF($N744="","",IF(INDEX(LdAAmt,$N744)=0,"",INDEX(LdAAmt,$N744)))</f>
        <v/>
      </c>
      <c r="E744" s="21">
        <f>IF($N744="","",SUMIFS(ShareAmt,ShareLink,$C744))</f>
        <v/>
      </c>
      <c r="F744" s="34">
        <f>IF($N744="","",COUNTIF(ShareLink,$C744))</f>
        <v/>
      </c>
      <c r="G744" s="22">
        <f>IF($N744="","",IF(ROUND($E744-$D744,0)=0,"√","▲ "&amp;TEXT($D744-$E744,"#,##0")))</f>
        <v/>
      </c>
      <c r="N744">
        <f>IFERROR(MATCH($C$5&amp;"|"&amp;RIGHT("000000"&amp;728,6),LdAKeyG,0),"")</f>
        <v/>
      </c>
    </row>
    <row r="745">
      <c r="A745" s="10" t="n">
        <v>729</v>
      </c>
      <c r="B745" s="14">
        <f>IF($N745="","",INDEX(LdADate,$N745))</f>
        <v/>
      </c>
      <c r="C745" s="14">
        <f>IF($N745="","",IF(INDEX(LdAId,$N745)="","—",INDEX(LdAId,$N745)))</f>
        <v/>
      </c>
      <c r="D745" s="16">
        <f>IF($N745="","",IF(INDEX(LdAAmt,$N745)=0,"",INDEX(LdAAmt,$N745)))</f>
        <v/>
      </c>
      <c r="E745" s="16">
        <f>IF($N745="","",SUMIFS(ShareAmt,ShareLink,$C745))</f>
        <v/>
      </c>
      <c r="F745" s="33">
        <f>IF($N745="","",COUNTIF(ShareLink,$C745))</f>
        <v/>
      </c>
      <c r="G745" s="17">
        <f>IF($N745="","",IF(ROUND($E745-$D745,0)=0,"√","▲ "&amp;TEXT($D745-$E745,"#,##0")))</f>
        <v/>
      </c>
      <c r="N745">
        <f>IFERROR(MATCH($C$5&amp;"|"&amp;RIGHT("000000"&amp;729,6),LdAKeyG,0),"")</f>
        <v/>
      </c>
    </row>
    <row r="746">
      <c r="A746" s="19" t="n">
        <v>730</v>
      </c>
      <c r="B746" s="20">
        <f>IF($N746="","",INDEX(LdADate,$N746))</f>
        <v/>
      </c>
      <c r="C746" s="20">
        <f>IF($N746="","",IF(INDEX(LdAId,$N746)="","—",INDEX(LdAId,$N746)))</f>
        <v/>
      </c>
      <c r="D746" s="21">
        <f>IF($N746="","",IF(INDEX(LdAAmt,$N746)=0,"",INDEX(LdAAmt,$N746)))</f>
        <v/>
      </c>
      <c r="E746" s="21">
        <f>IF($N746="","",SUMIFS(ShareAmt,ShareLink,$C746))</f>
        <v/>
      </c>
      <c r="F746" s="34">
        <f>IF($N746="","",COUNTIF(ShareLink,$C746))</f>
        <v/>
      </c>
      <c r="G746" s="22">
        <f>IF($N746="","",IF(ROUND($E746-$D746,0)=0,"√","▲ "&amp;TEXT($D746-$E746,"#,##0")))</f>
        <v/>
      </c>
      <c r="N746">
        <f>IFERROR(MATCH($C$5&amp;"|"&amp;RIGHT("000000"&amp;730,6),LdAKeyG,0),"")</f>
        <v/>
      </c>
    </row>
    <row r="747">
      <c r="A747" s="10" t="n">
        <v>731</v>
      </c>
      <c r="B747" s="14">
        <f>IF($N747="","",INDEX(LdADate,$N747))</f>
        <v/>
      </c>
      <c r="C747" s="14">
        <f>IF($N747="","",IF(INDEX(LdAId,$N747)="","—",INDEX(LdAId,$N747)))</f>
        <v/>
      </c>
      <c r="D747" s="16">
        <f>IF($N747="","",IF(INDEX(LdAAmt,$N747)=0,"",INDEX(LdAAmt,$N747)))</f>
        <v/>
      </c>
      <c r="E747" s="16">
        <f>IF($N747="","",SUMIFS(ShareAmt,ShareLink,$C747))</f>
        <v/>
      </c>
      <c r="F747" s="33">
        <f>IF($N747="","",COUNTIF(ShareLink,$C747))</f>
        <v/>
      </c>
      <c r="G747" s="17">
        <f>IF($N747="","",IF(ROUND($E747-$D747,0)=0,"√","▲ "&amp;TEXT($D747-$E747,"#,##0")))</f>
        <v/>
      </c>
      <c r="N747">
        <f>IFERROR(MATCH($C$5&amp;"|"&amp;RIGHT("000000"&amp;731,6),LdAKeyG,0),"")</f>
        <v/>
      </c>
    </row>
    <row r="748">
      <c r="A748" s="19" t="n">
        <v>732</v>
      </c>
      <c r="B748" s="20">
        <f>IF($N748="","",INDEX(LdADate,$N748))</f>
        <v/>
      </c>
      <c r="C748" s="20">
        <f>IF($N748="","",IF(INDEX(LdAId,$N748)="","—",INDEX(LdAId,$N748)))</f>
        <v/>
      </c>
      <c r="D748" s="21">
        <f>IF($N748="","",IF(INDEX(LdAAmt,$N748)=0,"",INDEX(LdAAmt,$N748)))</f>
        <v/>
      </c>
      <c r="E748" s="21">
        <f>IF($N748="","",SUMIFS(ShareAmt,ShareLink,$C748))</f>
        <v/>
      </c>
      <c r="F748" s="34">
        <f>IF($N748="","",COUNTIF(ShareLink,$C748))</f>
        <v/>
      </c>
      <c r="G748" s="22">
        <f>IF($N748="","",IF(ROUND($E748-$D748,0)=0,"√","▲ "&amp;TEXT($D748-$E748,"#,##0")))</f>
        <v/>
      </c>
      <c r="N748">
        <f>IFERROR(MATCH($C$5&amp;"|"&amp;RIGHT("000000"&amp;732,6),LdAKeyG,0),"")</f>
        <v/>
      </c>
    </row>
    <row r="749">
      <c r="A749" s="10" t="n">
        <v>733</v>
      </c>
      <c r="B749" s="14">
        <f>IF($N749="","",INDEX(LdADate,$N749))</f>
        <v/>
      </c>
      <c r="C749" s="14">
        <f>IF($N749="","",IF(INDEX(LdAId,$N749)="","—",INDEX(LdAId,$N749)))</f>
        <v/>
      </c>
      <c r="D749" s="16">
        <f>IF($N749="","",IF(INDEX(LdAAmt,$N749)=0,"",INDEX(LdAAmt,$N749)))</f>
        <v/>
      </c>
      <c r="E749" s="16">
        <f>IF($N749="","",SUMIFS(ShareAmt,ShareLink,$C749))</f>
        <v/>
      </c>
      <c r="F749" s="33">
        <f>IF($N749="","",COUNTIF(ShareLink,$C749))</f>
        <v/>
      </c>
      <c r="G749" s="17">
        <f>IF($N749="","",IF(ROUND($E749-$D749,0)=0,"√","▲ "&amp;TEXT($D749-$E749,"#,##0")))</f>
        <v/>
      </c>
      <c r="N749">
        <f>IFERROR(MATCH($C$5&amp;"|"&amp;RIGHT("000000"&amp;733,6),LdAKeyG,0),"")</f>
        <v/>
      </c>
    </row>
    <row r="750">
      <c r="A750" s="19" t="n">
        <v>734</v>
      </c>
      <c r="B750" s="20">
        <f>IF($N750="","",INDEX(LdADate,$N750))</f>
        <v/>
      </c>
      <c r="C750" s="20">
        <f>IF($N750="","",IF(INDEX(LdAId,$N750)="","—",INDEX(LdAId,$N750)))</f>
        <v/>
      </c>
      <c r="D750" s="21">
        <f>IF($N750="","",IF(INDEX(LdAAmt,$N750)=0,"",INDEX(LdAAmt,$N750)))</f>
        <v/>
      </c>
      <c r="E750" s="21">
        <f>IF($N750="","",SUMIFS(ShareAmt,ShareLink,$C750))</f>
        <v/>
      </c>
      <c r="F750" s="34">
        <f>IF($N750="","",COUNTIF(ShareLink,$C750))</f>
        <v/>
      </c>
      <c r="G750" s="22">
        <f>IF($N750="","",IF(ROUND($E750-$D750,0)=0,"√","▲ "&amp;TEXT($D750-$E750,"#,##0")))</f>
        <v/>
      </c>
      <c r="N750">
        <f>IFERROR(MATCH($C$5&amp;"|"&amp;RIGHT("000000"&amp;734,6),LdAKeyG,0),"")</f>
        <v/>
      </c>
    </row>
    <row r="751">
      <c r="A751" s="10" t="n">
        <v>735</v>
      </c>
      <c r="B751" s="14">
        <f>IF($N751="","",INDEX(LdADate,$N751))</f>
        <v/>
      </c>
      <c r="C751" s="14">
        <f>IF($N751="","",IF(INDEX(LdAId,$N751)="","—",INDEX(LdAId,$N751)))</f>
        <v/>
      </c>
      <c r="D751" s="16">
        <f>IF($N751="","",IF(INDEX(LdAAmt,$N751)=0,"",INDEX(LdAAmt,$N751)))</f>
        <v/>
      </c>
      <c r="E751" s="16">
        <f>IF($N751="","",SUMIFS(ShareAmt,ShareLink,$C751))</f>
        <v/>
      </c>
      <c r="F751" s="33">
        <f>IF($N751="","",COUNTIF(ShareLink,$C751))</f>
        <v/>
      </c>
      <c r="G751" s="17">
        <f>IF($N751="","",IF(ROUND($E751-$D751,0)=0,"√","▲ "&amp;TEXT($D751-$E751,"#,##0")))</f>
        <v/>
      </c>
      <c r="N751">
        <f>IFERROR(MATCH($C$5&amp;"|"&amp;RIGHT("000000"&amp;735,6),LdAKeyG,0),"")</f>
        <v/>
      </c>
    </row>
    <row r="752">
      <c r="A752" s="19" t="n">
        <v>736</v>
      </c>
      <c r="B752" s="20">
        <f>IF($N752="","",INDEX(LdADate,$N752))</f>
        <v/>
      </c>
      <c r="C752" s="20">
        <f>IF($N752="","",IF(INDEX(LdAId,$N752)="","—",INDEX(LdAId,$N752)))</f>
        <v/>
      </c>
      <c r="D752" s="21">
        <f>IF($N752="","",IF(INDEX(LdAAmt,$N752)=0,"",INDEX(LdAAmt,$N752)))</f>
        <v/>
      </c>
      <c r="E752" s="21">
        <f>IF($N752="","",SUMIFS(ShareAmt,ShareLink,$C752))</f>
        <v/>
      </c>
      <c r="F752" s="34">
        <f>IF($N752="","",COUNTIF(ShareLink,$C752))</f>
        <v/>
      </c>
      <c r="G752" s="22">
        <f>IF($N752="","",IF(ROUND($E752-$D752,0)=0,"√","▲ "&amp;TEXT($D752-$E752,"#,##0")))</f>
        <v/>
      </c>
      <c r="N752">
        <f>IFERROR(MATCH($C$5&amp;"|"&amp;RIGHT("000000"&amp;736,6),LdAKeyG,0),"")</f>
        <v/>
      </c>
    </row>
    <row r="753">
      <c r="A753" s="10" t="n">
        <v>737</v>
      </c>
      <c r="B753" s="14">
        <f>IF($N753="","",INDEX(LdADate,$N753))</f>
        <v/>
      </c>
      <c r="C753" s="14">
        <f>IF($N753="","",IF(INDEX(LdAId,$N753)="","—",INDEX(LdAId,$N753)))</f>
        <v/>
      </c>
      <c r="D753" s="16">
        <f>IF($N753="","",IF(INDEX(LdAAmt,$N753)=0,"",INDEX(LdAAmt,$N753)))</f>
        <v/>
      </c>
      <c r="E753" s="16">
        <f>IF($N753="","",SUMIFS(ShareAmt,ShareLink,$C753))</f>
        <v/>
      </c>
      <c r="F753" s="33">
        <f>IF($N753="","",COUNTIF(ShareLink,$C753))</f>
        <v/>
      </c>
      <c r="G753" s="17">
        <f>IF($N753="","",IF(ROUND($E753-$D753,0)=0,"√","▲ "&amp;TEXT($D753-$E753,"#,##0")))</f>
        <v/>
      </c>
      <c r="N753">
        <f>IFERROR(MATCH($C$5&amp;"|"&amp;RIGHT("000000"&amp;737,6),LdAKeyG,0),"")</f>
        <v/>
      </c>
    </row>
    <row r="754">
      <c r="A754" s="19" t="n">
        <v>738</v>
      </c>
      <c r="B754" s="20">
        <f>IF($N754="","",INDEX(LdADate,$N754))</f>
        <v/>
      </c>
      <c r="C754" s="20">
        <f>IF($N754="","",IF(INDEX(LdAId,$N754)="","—",INDEX(LdAId,$N754)))</f>
        <v/>
      </c>
      <c r="D754" s="21">
        <f>IF($N754="","",IF(INDEX(LdAAmt,$N754)=0,"",INDEX(LdAAmt,$N754)))</f>
        <v/>
      </c>
      <c r="E754" s="21">
        <f>IF($N754="","",SUMIFS(ShareAmt,ShareLink,$C754))</f>
        <v/>
      </c>
      <c r="F754" s="34">
        <f>IF($N754="","",COUNTIF(ShareLink,$C754))</f>
        <v/>
      </c>
      <c r="G754" s="22">
        <f>IF($N754="","",IF(ROUND($E754-$D754,0)=0,"√","▲ "&amp;TEXT($D754-$E754,"#,##0")))</f>
        <v/>
      </c>
      <c r="N754">
        <f>IFERROR(MATCH($C$5&amp;"|"&amp;RIGHT("000000"&amp;738,6),LdAKeyG,0),"")</f>
        <v/>
      </c>
    </row>
    <row r="755">
      <c r="A755" s="10" t="n">
        <v>739</v>
      </c>
      <c r="B755" s="14">
        <f>IF($N755="","",INDEX(LdADate,$N755))</f>
        <v/>
      </c>
      <c r="C755" s="14">
        <f>IF($N755="","",IF(INDEX(LdAId,$N755)="","—",INDEX(LdAId,$N755)))</f>
        <v/>
      </c>
      <c r="D755" s="16">
        <f>IF($N755="","",IF(INDEX(LdAAmt,$N755)=0,"",INDEX(LdAAmt,$N755)))</f>
        <v/>
      </c>
      <c r="E755" s="16">
        <f>IF($N755="","",SUMIFS(ShareAmt,ShareLink,$C755))</f>
        <v/>
      </c>
      <c r="F755" s="33">
        <f>IF($N755="","",COUNTIF(ShareLink,$C755))</f>
        <v/>
      </c>
      <c r="G755" s="17">
        <f>IF($N755="","",IF(ROUND($E755-$D755,0)=0,"√","▲ "&amp;TEXT($D755-$E755,"#,##0")))</f>
        <v/>
      </c>
      <c r="N755">
        <f>IFERROR(MATCH($C$5&amp;"|"&amp;RIGHT("000000"&amp;739,6),LdAKeyG,0),"")</f>
        <v/>
      </c>
    </row>
    <row r="756">
      <c r="A756" s="19" t="n">
        <v>740</v>
      </c>
      <c r="B756" s="20">
        <f>IF($N756="","",INDEX(LdADate,$N756))</f>
        <v/>
      </c>
      <c r="C756" s="20">
        <f>IF($N756="","",IF(INDEX(LdAId,$N756)="","—",INDEX(LdAId,$N756)))</f>
        <v/>
      </c>
      <c r="D756" s="21">
        <f>IF($N756="","",IF(INDEX(LdAAmt,$N756)=0,"",INDEX(LdAAmt,$N756)))</f>
        <v/>
      </c>
      <c r="E756" s="21">
        <f>IF($N756="","",SUMIFS(ShareAmt,ShareLink,$C756))</f>
        <v/>
      </c>
      <c r="F756" s="34">
        <f>IF($N756="","",COUNTIF(ShareLink,$C756))</f>
        <v/>
      </c>
      <c r="G756" s="22">
        <f>IF($N756="","",IF(ROUND($E756-$D756,0)=0,"√","▲ "&amp;TEXT($D756-$E756,"#,##0")))</f>
        <v/>
      </c>
      <c r="N756">
        <f>IFERROR(MATCH($C$5&amp;"|"&amp;RIGHT("000000"&amp;740,6),LdAKeyG,0),"")</f>
        <v/>
      </c>
    </row>
    <row r="757">
      <c r="A757" s="10" t="n">
        <v>741</v>
      </c>
      <c r="B757" s="14">
        <f>IF($N757="","",INDEX(LdADate,$N757))</f>
        <v/>
      </c>
      <c r="C757" s="14">
        <f>IF($N757="","",IF(INDEX(LdAId,$N757)="","—",INDEX(LdAId,$N757)))</f>
        <v/>
      </c>
      <c r="D757" s="16">
        <f>IF($N757="","",IF(INDEX(LdAAmt,$N757)=0,"",INDEX(LdAAmt,$N757)))</f>
        <v/>
      </c>
      <c r="E757" s="16">
        <f>IF($N757="","",SUMIFS(ShareAmt,ShareLink,$C757))</f>
        <v/>
      </c>
      <c r="F757" s="33">
        <f>IF($N757="","",COUNTIF(ShareLink,$C757))</f>
        <v/>
      </c>
      <c r="G757" s="17">
        <f>IF($N757="","",IF(ROUND($E757-$D757,0)=0,"√","▲ "&amp;TEXT($D757-$E757,"#,##0")))</f>
        <v/>
      </c>
      <c r="N757">
        <f>IFERROR(MATCH($C$5&amp;"|"&amp;RIGHT("000000"&amp;741,6),LdAKeyG,0),"")</f>
        <v/>
      </c>
    </row>
    <row r="758">
      <c r="A758" s="19" t="n">
        <v>742</v>
      </c>
      <c r="B758" s="20">
        <f>IF($N758="","",INDEX(LdADate,$N758))</f>
        <v/>
      </c>
      <c r="C758" s="20">
        <f>IF($N758="","",IF(INDEX(LdAId,$N758)="","—",INDEX(LdAId,$N758)))</f>
        <v/>
      </c>
      <c r="D758" s="21">
        <f>IF($N758="","",IF(INDEX(LdAAmt,$N758)=0,"",INDEX(LdAAmt,$N758)))</f>
        <v/>
      </c>
      <c r="E758" s="21">
        <f>IF($N758="","",SUMIFS(ShareAmt,ShareLink,$C758))</f>
        <v/>
      </c>
      <c r="F758" s="34">
        <f>IF($N758="","",COUNTIF(ShareLink,$C758))</f>
        <v/>
      </c>
      <c r="G758" s="22">
        <f>IF($N758="","",IF(ROUND($E758-$D758,0)=0,"√","▲ "&amp;TEXT($D758-$E758,"#,##0")))</f>
        <v/>
      </c>
      <c r="N758">
        <f>IFERROR(MATCH($C$5&amp;"|"&amp;RIGHT("000000"&amp;742,6),LdAKeyG,0),"")</f>
        <v/>
      </c>
    </row>
    <row r="759">
      <c r="A759" s="10" t="n">
        <v>743</v>
      </c>
      <c r="B759" s="14">
        <f>IF($N759="","",INDEX(LdADate,$N759))</f>
        <v/>
      </c>
      <c r="C759" s="14">
        <f>IF($N759="","",IF(INDEX(LdAId,$N759)="","—",INDEX(LdAId,$N759)))</f>
        <v/>
      </c>
      <c r="D759" s="16">
        <f>IF($N759="","",IF(INDEX(LdAAmt,$N759)=0,"",INDEX(LdAAmt,$N759)))</f>
        <v/>
      </c>
      <c r="E759" s="16">
        <f>IF($N759="","",SUMIFS(ShareAmt,ShareLink,$C759))</f>
        <v/>
      </c>
      <c r="F759" s="33">
        <f>IF($N759="","",COUNTIF(ShareLink,$C759))</f>
        <v/>
      </c>
      <c r="G759" s="17">
        <f>IF($N759="","",IF(ROUND($E759-$D759,0)=0,"√","▲ "&amp;TEXT($D759-$E759,"#,##0")))</f>
        <v/>
      </c>
      <c r="N759">
        <f>IFERROR(MATCH($C$5&amp;"|"&amp;RIGHT("000000"&amp;743,6),LdAKeyG,0),"")</f>
        <v/>
      </c>
    </row>
    <row r="760">
      <c r="A760" s="19" t="n">
        <v>744</v>
      </c>
      <c r="B760" s="20">
        <f>IF($N760="","",INDEX(LdADate,$N760))</f>
        <v/>
      </c>
      <c r="C760" s="20">
        <f>IF($N760="","",IF(INDEX(LdAId,$N760)="","—",INDEX(LdAId,$N760)))</f>
        <v/>
      </c>
      <c r="D760" s="21">
        <f>IF($N760="","",IF(INDEX(LdAAmt,$N760)=0,"",INDEX(LdAAmt,$N760)))</f>
        <v/>
      </c>
      <c r="E760" s="21">
        <f>IF($N760="","",SUMIFS(ShareAmt,ShareLink,$C760))</f>
        <v/>
      </c>
      <c r="F760" s="34">
        <f>IF($N760="","",COUNTIF(ShareLink,$C760))</f>
        <v/>
      </c>
      <c r="G760" s="22">
        <f>IF($N760="","",IF(ROUND($E760-$D760,0)=0,"√","▲ "&amp;TEXT($D760-$E760,"#,##0")))</f>
        <v/>
      </c>
      <c r="N760">
        <f>IFERROR(MATCH($C$5&amp;"|"&amp;RIGHT("000000"&amp;744,6),LdAKeyG,0),"")</f>
        <v/>
      </c>
    </row>
    <row r="761">
      <c r="A761" s="10" t="n">
        <v>745</v>
      </c>
      <c r="B761" s="14">
        <f>IF($N761="","",INDEX(LdADate,$N761))</f>
        <v/>
      </c>
      <c r="C761" s="14">
        <f>IF($N761="","",IF(INDEX(LdAId,$N761)="","—",INDEX(LdAId,$N761)))</f>
        <v/>
      </c>
      <c r="D761" s="16">
        <f>IF($N761="","",IF(INDEX(LdAAmt,$N761)=0,"",INDEX(LdAAmt,$N761)))</f>
        <v/>
      </c>
      <c r="E761" s="16">
        <f>IF($N761="","",SUMIFS(ShareAmt,ShareLink,$C761))</f>
        <v/>
      </c>
      <c r="F761" s="33">
        <f>IF($N761="","",COUNTIF(ShareLink,$C761))</f>
        <v/>
      </c>
      <c r="G761" s="17">
        <f>IF($N761="","",IF(ROUND($E761-$D761,0)=0,"√","▲ "&amp;TEXT($D761-$E761,"#,##0")))</f>
        <v/>
      </c>
      <c r="N761">
        <f>IFERROR(MATCH($C$5&amp;"|"&amp;RIGHT("000000"&amp;745,6),LdAKeyG,0),"")</f>
        <v/>
      </c>
    </row>
    <row r="762">
      <c r="A762" s="19" t="n">
        <v>746</v>
      </c>
      <c r="B762" s="20">
        <f>IF($N762="","",INDEX(LdADate,$N762))</f>
        <v/>
      </c>
      <c r="C762" s="20">
        <f>IF($N762="","",IF(INDEX(LdAId,$N762)="","—",INDEX(LdAId,$N762)))</f>
        <v/>
      </c>
      <c r="D762" s="21">
        <f>IF($N762="","",IF(INDEX(LdAAmt,$N762)=0,"",INDEX(LdAAmt,$N762)))</f>
        <v/>
      </c>
      <c r="E762" s="21">
        <f>IF($N762="","",SUMIFS(ShareAmt,ShareLink,$C762))</f>
        <v/>
      </c>
      <c r="F762" s="34">
        <f>IF($N762="","",COUNTIF(ShareLink,$C762))</f>
        <v/>
      </c>
      <c r="G762" s="22">
        <f>IF($N762="","",IF(ROUND($E762-$D762,0)=0,"√","▲ "&amp;TEXT($D762-$E762,"#,##0")))</f>
        <v/>
      </c>
      <c r="N762">
        <f>IFERROR(MATCH($C$5&amp;"|"&amp;RIGHT("000000"&amp;746,6),LdAKeyG,0),"")</f>
        <v/>
      </c>
    </row>
    <row r="763">
      <c r="A763" s="10" t="n">
        <v>747</v>
      </c>
      <c r="B763" s="14">
        <f>IF($N763="","",INDEX(LdADate,$N763))</f>
        <v/>
      </c>
      <c r="C763" s="14">
        <f>IF($N763="","",IF(INDEX(LdAId,$N763)="","—",INDEX(LdAId,$N763)))</f>
        <v/>
      </c>
      <c r="D763" s="16">
        <f>IF($N763="","",IF(INDEX(LdAAmt,$N763)=0,"",INDEX(LdAAmt,$N763)))</f>
        <v/>
      </c>
      <c r="E763" s="16">
        <f>IF($N763="","",SUMIFS(ShareAmt,ShareLink,$C763))</f>
        <v/>
      </c>
      <c r="F763" s="33">
        <f>IF($N763="","",COUNTIF(ShareLink,$C763))</f>
        <v/>
      </c>
      <c r="G763" s="17">
        <f>IF($N763="","",IF(ROUND($E763-$D763,0)=0,"√","▲ "&amp;TEXT($D763-$E763,"#,##0")))</f>
        <v/>
      </c>
      <c r="N763">
        <f>IFERROR(MATCH($C$5&amp;"|"&amp;RIGHT("000000"&amp;747,6),LdAKeyG,0),"")</f>
        <v/>
      </c>
    </row>
    <row r="764">
      <c r="A764" s="19" t="n">
        <v>748</v>
      </c>
      <c r="B764" s="20">
        <f>IF($N764="","",INDEX(LdADate,$N764))</f>
        <v/>
      </c>
      <c r="C764" s="20">
        <f>IF($N764="","",IF(INDEX(LdAId,$N764)="","—",INDEX(LdAId,$N764)))</f>
        <v/>
      </c>
      <c r="D764" s="21">
        <f>IF($N764="","",IF(INDEX(LdAAmt,$N764)=0,"",INDEX(LdAAmt,$N764)))</f>
        <v/>
      </c>
      <c r="E764" s="21">
        <f>IF($N764="","",SUMIFS(ShareAmt,ShareLink,$C764))</f>
        <v/>
      </c>
      <c r="F764" s="34">
        <f>IF($N764="","",COUNTIF(ShareLink,$C764))</f>
        <v/>
      </c>
      <c r="G764" s="22">
        <f>IF($N764="","",IF(ROUND($E764-$D764,0)=0,"√","▲ "&amp;TEXT($D764-$E764,"#,##0")))</f>
        <v/>
      </c>
      <c r="N764">
        <f>IFERROR(MATCH($C$5&amp;"|"&amp;RIGHT("000000"&amp;748,6),LdAKeyG,0),"")</f>
        <v/>
      </c>
    </row>
    <row r="765">
      <c r="A765" s="10" t="n">
        <v>749</v>
      </c>
      <c r="B765" s="14">
        <f>IF($N765="","",INDEX(LdADate,$N765))</f>
        <v/>
      </c>
      <c r="C765" s="14">
        <f>IF($N765="","",IF(INDEX(LdAId,$N765)="","—",INDEX(LdAId,$N765)))</f>
        <v/>
      </c>
      <c r="D765" s="16">
        <f>IF($N765="","",IF(INDEX(LdAAmt,$N765)=0,"",INDEX(LdAAmt,$N765)))</f>
        <v/>
      </c>
      <c r="E765" s="16">
        <f>IF($N765="","",SUMIFS(ShareAmt,ShareLink,$C765))</f>
        <v/>
      </c>
      <c r="F765" s="33">
        <f>IF($N765="","",COUNTIF(ShareLink,$C765))</f>
        <v/>
      </c>
      <c r="G765" s="17">
        <f>IF($N765="","",IF(ROUND($E765-$D765,0)=0,"√","▲ "&amp;TEXT($D765-$E765,"#,##0")))</f>
        <v/>
      </c>
      <c r="N765">
        <f>IFERROR(MATCH($C$5&amp;"|"&amp;RIGHT("000000"&amp;749,6),LdAKeyG,0),"")</f>
        <v/>
      </c>
    </row>
    <row r="766">
      <c r="A766" s="19" t="n">
        <v>750</v>
      </c>
      <c r="B766" s="20">
        <f>IF($N766="","",INDEX(LdADate,$N766))</f>
        <v/>
      </c>
      <c r="C766" s="20">
        <f>IF($N766="","",IF(INDEX(LdAId,$N766)="","—",INDEX(LdAId,$N766)))</f>
        <v/>
      </c>
      <c r="D766" s="21">
        <f>IF($N766="","",IF(INDEX(LdAAmt,$N766)=0,"",INDEX(LdAAmt,$N766)))</f>
        <v/>
      </c>
      <c r="E766" s="21">
        <f>IF($N766="","",SUMIFS(ShareAmt,ShareLink,$C766))</f>
        <v/>
      </c>
      <c r="F766" s="34">
        <f>IF($N766="","",COUNTIF(ShareLink,$C766))</f>
        <v/>
      </c>
      <c r="G766" s="22">
        <f>IF($N766="","",IF(ROUND($E766-$D766,0)=0,"√","▲ "&amp;TEXT($D766-$E766,"#,##0")))</f>
        <v/>
      </c>
      <c r="N766">
        <f>IFERROR(MATCH($C$5&amp;"|"&amp;RIGHT("000000"&amp;750,6),LdAKeyG,0),"")</f>
        <v/>
      </c>
    </row>
    <row r="767">
      <c r="A767" s="10" t="n">
        <v>751</v>
      </c>
      <c r="B767" s="14">
        <f>IF($N767="","",INDEX(LdADate,$N767))</f>
        <v/>
      </c>
      <c r="C767" s="14">
        <f>IF($N767="","",IF(INDEX(LdAId,$N767)="","—",INDEX(LdAId,$N767)))</f>
        <v/>
      </c>
      <c r="D767" s="16">
        <f>IF($N767="","",IF(INDEX(LdAAmt,$N767)=0,"",INDEX(LdAAmt,$N767)))</f>
        <v/>
      </c>
      <c r="E767" s="16">
        <f>IF($N767="","",SUMIFS(ShareAmt,ShareLink,$C767))</f>
        <v/>
      </c>
      <c r="F767" s="33">
        <f>IF($N767="","",COUNTIF(ShareLink,$C767))</f>
        <v/>
      </c>
      <c r="G767" s="17">
        <f>IF($N767="","",IF(ROUND($E767-$D767,0)=0,"√","▲ "&amp;TEXT($D767-$E767,"#,##0")))</f>
        <v/>
      </c>
      <c r="N767">
        <f>IFERROR(MATCH($C$5&amp;"|"&amp;RIGHT("000000"&amp;751,6),LdAKeyG,0),"")</f>
        <v/>
      </c>
    </row>
    <row r="768">
      <c r="A768" s="19" t="n">
        <v>752</v>
      </c>
      <c r="B768" s="20">
        <f>IF($N768="","",INDEX(LdADate,$N768))</f>
        <v/>
      </c>
      <c r="C768" s="20">
        <f>IF($N768="","",IF(INDEX(LdAId,$N768)="","—",INDEX(LdAId,$N768)))</f>
        <v/>
      </c>
      <c r="D768" s="21">
        <f>IF($N768="","",IF(INDEX(LdAAmt,$N768)=0,"",INDEX(LdAAmt,$N768)))</f>
        <v/>
      </c>
      <c r="E768" s="21">
        <f>IF($N768="","",SUMIFS(ShareAmt,ShareLink,$C768))</f>
        <v/>
      </c>
      <c r="F768" s="34">
        <f>IF($N768="","",COUNTIF(ShareLink,$C768))</f>
        <v/>
      </c>
      <c r="G768" s="22">
        <f>IF($N768="","",IF(ROUND($E768-$D768,0)=0,"√","▲ "&amp;TEXT($D768-$E768,"#,##0")))</f>
        <v/>
      </c>
      <c r="N768">
        <f>IFERROR(MATCH($C$5&amp;"|"&amp;RIGHT("000000"&amp;752,6),LdAKeyG,0),"")</f>
        <v/>
      </c>
    </row>
    <row r="769">
      <c r="A769" s="10" t="n">
        <v>753</v>
      </c>
      <c r="B769" s="14">
        <f>IF($N769="","",INDEX(LdADate,$N769))</f>
        <v/>
      </c>
      <c r="C769" s="14">
        <f>IF($N769="","",IF(INDEX(LdAId,$N769)="","—",INDEX(LdAId,$N769)))</f>
        <v/>
      </c>
      <c r="D769" s="16">
        <f>IF($N769="","",IF(INDEX(LdAAmt,$N769)=0,"",INDEX(LdAAmt,$N769)))</f>
        <v/>
      </c>
      <c r="E769" s="16">
        <f>IF($N769="","",SUMIFS(ShareAmt,ShareLink,$C769))</f>
        <v/>
      </c>
      <c r="F769" s="33">
        <f>IF($N769="","",COUNTIF(ShareLink,$C769))</f>
        <v/>
      </c>
      <c r="G769" s="17">
        <f>IF($N769="","",IF(ROUND($E769-$D769,0)=0,"√","▲ "&amp;TEXT($D769-$E769,"#,##0")))</f>
        <v/>
      </c>
      <c r="N769">
        <f>IFERROR(MATCH($C$5&amp;"|"&amp;RIGHT("000000"&amp;753,6),LdAKeyG,0),"")</f>
        <v/>
      </c>
    </row>
    <row r="770">
      <c r="A770" s="19" t="n">
        <v>754</v>
      </c>
      <c r="B770" s="20">
        <f>IF($N770="","",INDEX(LdADate,$N770))</f>
        <v/>
      </c>
      <c r="C770" s="20">
        <f>IF($N770="","",IF(INDEX(LdAId,$N770)="","—",INDEX(LdAId,$N770)))</f>
        <v/>
      </c>
      <c r="D770" s="21">
        <f>IF($N770="","",IF(INDEX(LdAAmt,$N770)=0,"",INDEX(LdAAmt,$N770)))</f>
        <v/>
      </c>
      <c r="E770" s="21">
        <f>IF($N770="","",SUMIFS(ShareAmt,ShareLink,$C770))</f>
        <v/>
      </c>
      <c r="F770" s="34">
        <f>IF($N770="","",COUNTIF(ShareLink,$C770))</f>
        <v/>
      </c>
      <c r="G770" s="22">
        <f>IF($N770="","",IF(ROUND($E770-$D770,0)=0,"√","▲ "&amp;TEXT($D770-$E770,"#,##0")))</f>
        <v/>
      </c>
      <c r="N770">
        <f>IFERROR(MATCH($C$5&amp;"|"&amp;RIGHT("000000"&amp;754,6),LdAKeyG,0),"")</f>
        <v/>
      </c>
    </row>
    <row r="771">
      <c r="A771" s="10" t="n">
        <v>755</v>
      </c>
      <c r="B771" s="14">
        <f>IF($N771="","",INDEX(LdADate,$N771))</f>
        <v/>
      </c>
      <c r="C771" s="14">
        <f>IF($N771="","",IF(INDEX(LdAId,$N771)="","—",INDEX(LdAId,$N771)))</f>
        <v/>
      </c>
      <c r="D771" s="16">
        <f>IF($N771="","",IF(INDEX(LdAAmt,$N771)=0,"",INDEX(LdAAmt,$N771)))</f>
        <v/>
      </c>
      <c r="E771" s="16">
        <f>IF($N771="","",SUMIFS(ShareAmt,ShareLink,$C771))</f>
        <v/>
      </c>
      <c r="F771" s="33">
        <f>IF($N771="","",COUNTIF(ShareLink,$C771))</f>
        <v/>
      </c>
      <c r="G771" s="17">
        <f>IF($N771="","",IF(ROUND($E771-$D771,0)=0,"√","▲ "&amp;TEXT($D771-$E771,"#,##0")))</f>
        <v/>
      </c>
      <c r="N771">
        <f>IFERROR(MATCH($C$5&amp;"|"&amp;RIGHT("000000"&amp;755,6),LdAKeyG,0),"")</f>
        <v/>
      </c>
    </row>
    <row r="772">
      <c r="A772" s="19" t="n">
        <v>756</v>
      </c>
      <c r="B772" s="20">
        <f>IF($N772="","",INDEX(LdADate,$N772))</f>
        <v/>
      </c>
      <c r="C772" s="20">
        <f>IF($N772="","",IF(INDEX(LdAId,$N772)="","—",INDEX(LdAId,$N772)))</f>
        <v/>
      </c>
      <c r="D772" s="21">
        <f>IF($N772="","",IF(INDEX(LdAAmt,$N772)=0,"",INDEX(LdAAmt,$N772)))</f>
        <v/>
      </c>
      <c r="E772" s="21">
        <f>IF($N772="","",SUMIFS(ShareAmt,ShareLink,$C772))</f>
        <v/>
      </c>
      <c r="F772" s="34">
        <f>IF($N772="","",COUNTIF(ShareLink,$C772))</f>
        <v/>
      </c>
      <c r="G772" s="22">
        <f>IF($N772="","",IF(ROUND($E772-$D772,0)=0,"√","▲ "&amp;TEXT($D772-$E772,"#,##0")))</f>
        <v/>
      </c>
      <c r="N772">
        <f>IFERROR(MATCH($C$5&amp;"|"&amp;RIGHT("000000"&amp;756,6),LdAKeyG,0),"")</f>
        <v/>
      </c>
    </row>
    <row r="773">
      <c r="A773" s="10" t="n">
        <v>757</v>
      </c>
      <c r="B773" s="14">
        <f>IF($N773="","",INDEX(LdADate,$N773))</f>
        <v/>
      </c>
      <c r="C773" s="14">
        <f>IF($N773="","",IF(INDEX(LdAId,$N773)="","—",INDEX(LdAId,$N773)))</f>
        <v/>
      </c>
      <c r="D773" s="16">
        <f>IF($N773="","",IF(INDEX(LdAAmt,$N773)=0,"",INDEX(LdAAmt,$N773)))</f>
        <v/>
      </c>
      <c r="E773" s="16">
        <f>IF($N773="","",SUMIFS(ShareAmt,ShareLink,$C773))</f>
        <v/>
      </c>
      <c r="F773" s="33">
        <f>IF($N773="","",COUNTIF(ShareLink,$C773))</f>
        <v/>
      </c>
      <c r="G773" s="17">
        <f>IF($N773="","",IF(ROUND($E773-$D773,0)=0,"√","▲ "&amp;TEXT($D773-$E773,"#,##0")))</f>
        <v/>
      </c>
      <c r="N773">
        <f>IFERROR(MATCH($C$5&amp;"|"&amp;RIGHT("000000"&amp;757,6),LdAKeyG,0),"")</f>
        <v/>
      </c>
    </row>
    <row r="774">
      <c r="A774" s="19" t="n">
        <v>758</v>
      </c>
      <c r="B774" s="20">
        <f>IF($N774="","",INDEX(LdADate,$N774))</f>
        <v/>
      </c>
      <c r="C774" s="20">
        <f>IF($N774="","",IF(INDEX(LdAId,$N774)="","—",INDEX(LdAId,$N774)))</f>
        <v/>
      </c>
      <c r="D774" s="21">
        <f>IF($N774="","",IF(INDEX(LdAAmt,$N774)=0,"",INDEX(LdAAmt,$N774)))</f>
        <v/>
      </c>
      <c r="E774" s="21">
        <f>IF($N774="","",SUMIFS(ShareAmt,ShareLink,$C774))</f>
        <v/>
      </c>
      <c r="F774" s="34">
        <f>IF($N774="","",COUNTIF(ShareLink,$C774))</f>
        <v/>
      </c>
      <c r="G774" s="22">
        <f>IF($N774="","",IF(ROUND($E774-$D774,0)=0,"√","▲ "&amp;TEXT($D774-$E774,"#,##0")))</f>
        <v/>
      </c>
      <c r="N774">
        <f>IFERROR(MATCH($C$5&amp;"|"&amp;RIGHT("000000"&amp;758,6),LdAKeyG,0),"")</f>
        <v/>
      </c>
    </row>
    <row r="775">
      <c r="A775" s="10" t="n">
        <v>759</v>
      </c>
      <c r="B775" s="14">
        <f>IF($N775="","",INDEX(LdADate,$N775))</f>
        <v/>
      </c>
      <c r="C775" s="14">
        <f>IF($N775="","",IF(INDEX(LdAId,$N775)="","—",INDEX(LdAId,$N775)))</f>
        <v/>
      </c>
      <c r="D775" s="16">
        <f>IF($N775="","",IF(INDEX(LdAAmt,$N775)=0,"",INDEX(LdAAmt,$N775)))</f>
        <v/>
      </c>
      <c r="E775" s="16">
        <f>IF($N775="","",SUMIFS(ShareAmt,ShareLink,$C775))</f>
        <v/>
      </c>
      <c r="F775" s="33">
        <f>IF($N775="","",COUNTIF(ShareLink,$C775))</f>
        <v/>
      </c>
      <c r="G775" s="17">
        <f>IF($N775="","",IF(ROUND($E775-$D775,0)=0,"√","▲ "&amp;TEXT($D775-$E775,"#,##0")))</f>
        <v/>
      </c>
      <c r="N775">
        <f>IFERROR(MATCH($C$5&amp;"|"&amp;RIGHT("000000"&amp;759,6),LdAKeyG,0),"")</f>
        <v/>
      </c>
    </row>
    <row r="776">
      <c r="A776" s="19" t="n">
        <v>760</v>
      </c>
      <c r="B776" s="20">
        <f>IF($N776="","",INDEX(LdADate,$N776))</f>
        <v/>
      </c>
      <c r="C776" s="20">
        <f>IF($N776="","",IF(INDEX(LdAId,$N776)="","—",INDEX(LdAId,$N776)))</f>
        <v/>
      </c>
      <c r="D776" s="21">
        <f>IF($N776="","",IF(INDEX(LdAAmt,$N776)=0,"",INDEX(LdAAmt,$N776)))</f>
        <v/>
      </c>
      <c r="E776" s="21">
        <f>IF($N776="","",SUMIFS(ShareAmt,ShareLink,$C776))</f>
        <v/>
      </c>
      <c r="F776" s="34">
        <f>IF($N776="","",COUNTIF(ShareLink,$C776))</f>
        <v/>
      </c>
      <c r="G776" s="22">
        <f>IF($N776="","",IF(ROUND($E776-$D776,0)=0,"√","▲ "&amp;TEXT($D776-$E776,"#,##0")))</f>
        <v/>
      </c>
      <c r="N776">
        <f>IFERROR(MATCH($C$5&amp;"|"&amp;RIGHT("000000"&amp;760,6),LdAKeyG,0),"")</f>
        <v/>
      </c>
    </row>
    <row r="777">
      <c r="A777" s="10" t="n">
        <v>761</v>
      </c>
      <c r="B777" s="14">
        <f>IF($N777="","",INDEX(LdADate,$N777))</f>
        <v/>
      </c>
      <c r="C777" s="14">
        <f>IF($N777="","",IF(INDEX(LdAId,$N777)="","—",INDEX(LdAId,$N777)))</f>
        <v/>
      </c>
      <c r="D777" s="16">
        <f>IF($N777="","",IF(INDEX(LdAAmt,$N777)=0,"",INDEX(LdAAmt,$N777)))</f>
        <v/>
      </c>
      <c r="E777" s="16">
        <f>IF($N777="","",SUMIFS(ShareAmt,ShareLink,$C777))</f>
        <v/>
      </c>
      <c r="F777" s="33">
        <f>IF($N777="","",COUNTIF(ShareLink,$C777))</f>
        <v/>
      </c>
      <c r="G777" s="17">
        <f>IF($N777="","",IF(ROUND($E777-$D777,0)=0,"√","▲ "&amp;TEXT($D777-$E777,"#,##0")))</f>
        <v/>
      </c>
      <c r="N777">
        <f>IFERROR(MATCH($C$5&amp;"|"&amp;RIGHT("000000"&amp;761,6),LdAKeyG,0),"")</f>
        <v/>
      </c>
    </row>
    <row r="778">
      <c r="A778" s="19" t="n">
        <v>762</v>
      </c>
      <c r="B778" s="20">
        <f>IF($N778="","",INDEX(LdADate,$N778))</f>
        <v/>
      </c>
      <c r="C778" s="20">
        <f>IF($N778="","",IF(INDEX(LdAId,$N778)="","—",INDEX(LdAId,$N778)))</f>
        <v/>
      </c>
      <c r="D778" s="21">
        <f>IF($N778="","",IF(INDEX(LdAAmt,$N778)=0,"",INDEX(LdAAmt,$N778)))</f>
        <v/>
      </c>
      <c r="E778" s="21">
        <f>IF($N778="","",SUMIFS(ShareAmt,ShareLink,$C778))</f>
        <v/>
      </c>
      <c r="F778" s="34">
        <f>IF($N778="","",COUNTIF(ShareLink,$C778))</f>
        <v/>
      </c>
      <c r="G778" s="22">
        <f>IF($N778="","",IF(ROUND($E778-$D778,0)=0,"√","▲ "&amp;TEXT($D778-$E778,"#,##0")))</f>
        <v/>
      </c>
      <c r="N778">
        <f>IFERROR(MATCH($C$5&amp;"|"&amp;RIGHT("000000"&amp;762,6),LdAKeyG,0),"")</f>
        <v/>
      </c>
    </row>
    <row r="779">
      <c r="A779" s="10" t="n">
        <v>763</v>
      </c>
      <c r="B779" s="14">
        <f>IF($N779="","",INDEX(LdADate,$N779))</f>
        <v/>
      </c>
      <c r="C779" s="14">
        <f>IF($N779="","",IF(INDEX(LdAId,$N779)="","—",INDEX(LdAId,$N779)))</f>
        <v/>
      </c>
      <c r="D779" s="16">
        <f>IF($N779="","",IF(INDEX(LdAAmt,$N779)=0,"",INDEX(LdAAmt,$N779)))</f>
        <v/>
      </c>
      <c r="E779" s="16">
        <f>IF($N779="","",SUMIFS(ShareAmt,ShareLink,$C779))</f>
        <v/>
      </c>
      <c r="F779" s="33">
        <f>IF($N779="","",COUNTIF(ShareLink,$C779))</f>
        <v/>
      </c>
      <c r="G779" s="17">
        <f>IF($N779="","",IF(ROUND($E779-$D779,0)=0,"√","▲ "&amp;TEXT($D779-$E779,"#,##0")))</f>
        <v/>
      </c>
      <c r="N779">
        <f>IFERROR(MATCH($C$5&amp;"|"&amp;RIGHT("000000"&amp;763,6),LdAKeyG,0),"")</f>
        <v/>
      </c>
    </row>
    <row r="780">
      <c r="A780" s="19" t="n">
        <v>764</v>
      </c>
      <c r="B780" s="20">
        <f>IF($N780="","",INDEX(LdADate,$N780))</f>
        <v/>
      </c>
      <c r="C780" s="20">
        <f>IF($N780="","",IF(INDEX(LdAId,$N780)="","—",INDEX(LdAId,$N780)))</f>
        <v/>
      </c>
      <c r="D780" s="21">
        <f>IF($N780="","",IF(INDEX(LdAAmt,$N780)=0,"",INDEX(LdAAmt,$N780)))</f>
        <v/>
      </c>
      <c r="E780" s="21">
        <f>IF($N780="","",SUMIFS(ShareAmt,ShareLink,$C780))</f>
        <v/>
      </c>
      <c r="F780" s="34">
        <f>IF($N780="","",COUNTIF(ShareLink,$C780))</f>
        <v/>
      </c>
      <c r="G780" s="22">
        <f>IF($N780="","",IF(ROUND($E780-$D780,0)=0,"√","▲ "&amp;TEXT($D780-$E780,"#,##0")))</f>
        <v/>
      </c>
      <c r="N780">
        <f>IFERROR(MATCH($C$5&amp;"|"&amp;RIGHT("000000"&amp;764,6),LdAKeyG,0),"")</f>
        <v/>
      </c>
    </row>
    <row r="781">
      <c r="A781" s="10" t="n">
        <v>765</v>
      </c>
      <c r="B781" s="14">
        <f>IF($N781="","",INDEX(LdADate,$N781))</f>
        <v/>
      </c>
      <c r="C781" s="14">
        <f>IF($N781="","",IF(INDEX(LdAId,$N781)="","—",INDEX(LdAId,$N781)))</f>
        <v/>
      </c>
      <c r="D781" s="16">
        <f>IF($N781="","",IF(INDEX(LdAAmt,$N781)=0,"",INDEX(LdAAmt,$N781)))</f>
        <v/>
      </c>
      <c r="E781" s="16">
        <f>IF($N781="","",SUMIFS(ShareAmt,ShareLink,$C781))</f>
        <v/>
      </c>
      <c r="F781" s="33">
        <f>IF($N781="","",COUNTIF(ShareLink,$C781))</f>
        <v/>
      </c>
      <c r="G781" s="17">
        <f>IF($N781="","",IF(ROUND($E781-$D781,0)=0,"√","▲ "&amp;TEXT($D781-$E781,"#,##0")))</f>
        <v/>
      </c>
      <c r="N781">
        <f>IFERROR(MATCH($C$5&amp;"|"&amp;RIGHT("000000"&amp;765,6),LdAKeyG,0),"")</f>
        <v/>
      </c>
    </row>
    <row r="782">
      <c r="A782" s="19" t="n">
        <v>766</v>
      </c>
      <c r="B782" s="20">
        <f>IF($N782="","",INDEX(LdADate,$N782))</f>
        <v/>
      </c>
      <c r="C782" s="20">
        <f>IF($N782="","",IF(INDEX(LdAId,$N782)="","—",INDEX(LdAId,$N782)))</f>
        <v/>
      </c>
      <c r="D782" s="21">
        <f>IF($N782="","",IF(INDEX(LdAAmt,$N782)=0,"",INDEX(LdAAmt,$N782)))</f>
        <v/>
      </c>
      <c r="E782" s="21">
        <f>IF($N782="","",SUMIFS(ShareAmt,ShareLink,$C782))</f>
        <v/>
      </c>
      <c r="F782" s="34">
        <f>IF($N782="","",COUNTIF(ShareLink,$C782))</f>
        <v/>
      </c>
      <c r="G782" s="22">
        <f>IF($N782="","",IF(ROUND($E782-$D782,0)=0,"√","▲ "&amp;TEXT($D782-$E782,"#,##0")))</f>
        <v/>
      </c>
      <c r="N782">
        <f>IFERROR(MATCH($C$5&amp;"|"&amp;RIGHT("000000"&amp;766,6),LdAKeyG,0),"")</f>
        <v/>
      </c>
    </row>
    <row r="783">
      <c r="A783" s="10" t="n">
        <v>767</v>
      </c>
      <c r="B783" s="14">
        <f>IF($N783="","",INDEX(LdADate,$N783))</f>
        <v/>
      </c>
      <c r="C783" s="14">
        <f>IF($N783="","",IF(INDEX(LdAId,$N783)="","—",INDEX(LdAId,$N783)))</f>
        <v/>
      </c>
      <c r="D783" s="16">
        <f>IF($N783="","",IF(INDEX(LdAAmt,$N783)=0,"",INDEX(LdAAmt,$N783)))</f>
        <v/>
      </c>
      <c r="E783" s="16">
        <f>IF($N783="","",SUMIFS(ShareAmt,ShareLink,$C783))</f>
        <v/>
      </c>
      <c r="F783" s="33">
        <f>IF($N783="","",COUNTIF(ShareLink,$C783))</f>
        <v/>
      </c>
      <c r="G783" s="17">
        <f>IF($N783="","",IF(ROUND($E783-$D783,0)=0,"√","▲ "&amp;TEXT($D783-$E783,"#,##0")))</f>
        <v/>
      </c>
      <c r="N783">
        <f>IFERROR(MATCH($C$5&amp;"|"&amp;RIGHT("000000"&amp;767,6),LdAKeyG,0),"")</f>
        <v/>
      </c>
    </row>
    <row r="784">
      <c r="A784" s="19" t="n">
        <v>768</v>
      </c>
      <c r="B784" s="20">
        <f>IF($N784="","",INDEX(LdADate,$N784))</f>
        <v/>
      </c>
      <c r="C784" s="20">
        <f>IF($N784="","",IF(INDEX(LdAId,$N784)="","—",INDEX(LdAId,$N784)))</f>
        <v/>
      </c>
      <c r="D784" s="21">
        <f>IF($N784="","",IF(INDEX(LdAAmt,$N784)=0,"",INDEX(LdAAmt,$N784)))</f>
        <v/>
      </c>
      <c r="E784" s="21">
        <f>IF($N784="","",SUMIFS(ShareAmt,ShareLink,$C784))</f>
        <v/>
      </c>
      <c r="F784" s="34">
        <f>IF($N784="","",COUNTIF(ShareLink,$C784))</f>
        <v/>
      </c>
      <c r="G784" s="22">
        <f>IF($N784="","",IF(ROUND($E784-$D784,0)=0,"√","▲ "&amp;TEXT($D784-$E784,"#,##0")))</f>
        <v/>
      </c>
      <c r="N784">
        <f>IFERROR(MATCH($C$5&amp;"|"&amp;RIGHT("000000"&amp;768,6),LdAKeyG,0),"")</f>
        <v/>
      </c>
    </row>
    <row r="785">
      <c r="A785" s="10" t="n">
        <v>769</v>
      </c>
      <c r="B785" s="14">
        <f>IF($N785="","",INDEX(LdADate,$N785))</f>
        <v/>
      </c>
      <c r="C785" s="14">
        <f>IF($N785="","",IF(INDEX(LdAId,$N785)="","—",INDEX(LdAId,$N785)))</f>
        <v/>
      </c>
      <c r="D785" s="16">
        <f>IF($N785="","",IF(INDEX(LdAAmt,$N785)=0,"",INDEX(LdAAmt,$N785)))</f>
        <v/>
      </c>
      <c r="E785" s="16">
        <f>IF($N785="","",SUMIFS(ShareAmt,ShareLink,$C785))</f>
        <v/>
      </c>
      <c r="F785" s="33">
        <f>IF($N785="","",COUNTIF(ShareLink,$C785))</f>
        <v/>
      </c>
      <c r="G785" s="17">
        <f>IF($N785="","",IF(ROUND($E785-$D785,0)=0,"√","▲ "&amp;TEXT($D785-$E785,"#,##0")))</f>
        <v/>
      </c>
      <c r="N785">
        <f>IFERROR(MATCH($C$5&amp;"|"&amp;RIGHT("000000"&amp;769,6),LdAKeyG,0),"")</f>
        <v/>
      </c>
    </row>
    <row r="786">
      <c r="A786" s="19" t="n">
        <v>770</v>
      </c>
      <c r="B786" s="20">
        <f>IF($N786="","",INDEX(LdADate,$N786))</f>
        <v/>
      </c>
      <c r="C786" s="20">
        <f>IF($N786="","",IF(INDEX(LdAId,$N786)="","—",INDEX(LdAId,$N786)))</f>
        <v/>
      </c>
      <c r="D786" s="21">
        <f>IF($N786="","",IF(INDEX(LdAAmt,$N786)=0,"",INDEX(LdAAmt,$N786)))</f>
        <v/>
      </c>
      <c r="E786" s="21">
        <f>IF($N786="","",SUMIFS(ShareAmt,ShareLink,$C786))</f>
        <v/>
      </c>
      <c r="F786" s="34">
        <f>IF($N786="","",COUNTIF(ShareLink,$C786))</f>
        <v/>
      </c>
      <c r="G786" s="22">
        <f>IF($N786="","",IF(ROUND($E786-$D786,0)=0,"√","▲ "&amp;TEXT($D786-$E786,"#,##0")))</f>
        <v/>
      </c>
      <c r="N786">
        <f>IFERROR(MATCH($C$5&amp;"|"&amp;RIGHT("000000"&amp;770,6),LdAKeyG,0),"")</f>
        <v/>
      </c>
    </row>
    <row r="787">
      <c r="A787" s="10" t="n">
        <v>771</v>
      </c>
      <c r="B787" s="14">
        <f>IF($N787="","",INDEX(LdADate,$N787))</f>
        <v/>
      </c>
      <c r="C787" s="14">
        <f>IF($N787="","",IF(INDEX(LdAId,$N787)="","—",INDEX(LdAId,$N787)))</f>
        <v/>
      </c>
      <c r="D787" s="16">
        <f>IF($N787="","",IF(INDEX(LdAAmt,$N787)=0,"",INDEX(LdAAmt,$N787)))</f>
        <v/>
      </c>
      <c r="E787" s="16">
        <f>IF($N787="","",SUMIFS(ShareAmt,ShareLink,$C787))</f>
        <v/>
      </c>
      <c r="F787" s="33">
        <f>IF($N787="","",COUNTIF(ShareLink,$C787))</f>
        <v/>
      </c>
      <c r="G787" s="17">
        <f>IF($N787="","",IF(ROUND($E787-$D787,0)=0,"√","▲ "&amp;TEXT($D787-$E787,"#,##0")))</f>
        <v/>
      </c>
      <c r="N787">
        <f>IFERROR(MATCH($C$5&amp;"|"&amp;RIGHT("000000"&amp;771,6),LdAKeyG,0),"")</f>
        <v/>
      </c>
    </row>
    <row r="788">
      <c r="A788" s="19" t="n">
        <v>772</v>
      </c>
      <c r="B788" s="20">
        <f>IF($N788="","",INDEX(LdADate,$N788))</f>
        <v/>
      </c>
      <c r="C788" s="20">
        <f>IF($N788="","",IF(INDEX(LdAId,$N788)="","—",INDEX(LdAId,$N788)))</f>
        <v/>
      </c>
      <c r="D788" s="21">
        <f>IF($N788="","",IF(INDEX(LdAAmt,$N788)=0,"",INDEX(LdAAmt,$N788)))</f>
        <v/>
      </c>
      <c r="E788" s="21">
        <f>IF($N788="","",SUMIFS(ShareAmt,ShareLink,$C788))</f>
        <v/>
      </c>
      <c r="F788" s="34">
        <f>IF($N788="","",COUNTIF(ShareLink,$C788))</f>
        <v/>
      </c>
      <c r="G788" s="22">
        <f>IF($N788="","",IF(ROUND($E788-$D788,0)=0,"√","▲ "&amp;TEXT($D788-$E788,"#,##0")))</f>
        <v/>
      </c>
      <c r="N788">
        <f>IFERROR(MATCH($C$5&amp;"|"&amp;RIGHT("000000"&amp;772,6),LdAKeyG,0),"")</f>
        <v/>
      </c>
    </row>
    <row r="789">
      <c r="A789" s="10" t="n">
        <v>773</v>
      </c>
      <c r="B789" s="14">
        <f>IF($N789="","",INDEX(LdADate,$N789))</f>
        <v/>
      </c>
      <c r="C789" s="14">
        <f>IF($N789="","",IF(INDEX(LdAId,$N789)="","—",INDEX(LdAId,$N789)))</f>
        <v/>
      </c>
      <c r="D789" s="16">
        <f>IF($N789="","",IF(INDEX(LdAAmt,$N789)=0,"",INDEX(LdAAmt,$N789)))</f>
        <v/>
      </c>
      <c r="E789" s="16">
        <f>IF($N789="","",SUMIFS(ShareAmt,ShareLink,$C789))</f>
        <v/>
      </c>
      <c r="F789" s="33">
        <f>IF($N789="","",COUNTIF(ShareLink,$C789))</f>
        <v/>
      </c>
      <c r="G789" s="17">
        <f>IF($N789="","",IF(ROUND($E789-$D789,0)=0,"√","▲ "&amp;TEXT($D789-$E789,"#,##0")))</f>
        <v/>
      </c>
      <c r="N789">
        <f>IFERROR(MATCH($C$5&amp;"|"&amp;RIGHT("000000"&amp;773,6),LdAKeyG,0),"")</f>
        <v/>
      </c>
    </row>
    <row r="790">
      <c r="A790" s="19" t="n">
        <v>774</v>
      </c>
      <c r="B790" s="20">
        <f>IF($N790="","",INDEX(LdADate,$N790))</f>
        <v/>
      </c>
      <c r="C790" s="20">
        <f>IF($N790="","",IF(INDEX(LdAId,$N790)="","—",INDEX(LdAId,$N790)))</f>
        <v/>
      </c>
      <c r="D790" s="21">
        <f>IF($N790="","",IF(INDEX(LdAAmt,$N790)=0,"",INDEX(LdAAmt,$N790)))</f>
        <v/>
      </c>
      <c r="E790" s="21">
        <f>IF($N790="","",SUMIFS(ShareAmt,ShareLink,$C790))</f>
        <v/>
      </c>
      <c r="F790" s="34">
        <f>IF($N790="","",COUNTIF(ShareLink,$C790))</f>
        <v/>
      </c>
      <c r="G790" s="22">
        <f>IF($N790="","",IF(ROUND($E790-$D790,0)=0,"√","▲ "&amp;TEXT($D790-$E790,"#,##0")))</f>
        <v/>
      </c>
      <c r="N790">
        <f>IFERROR(MATCH($C$5&amp;"|"&amp;RIGHT("000000"&amp;774,6),LdAKeyG,0),"")</f>
        <v/>
      </c>
    </row>
    <row r="791">
      <c r="A791" s="10" t="n">
        <v>775</v>
      </c>
      <c r="B791" s="14">
        <f>IF($N791="","",INDEX(LdADate,$N791))</f>
        <v/>
      </c>
      <c r="C791" s="14">
        <f>IF($N791="","",IF(INDEX(LdAId,$N791)="","—",INDEX(LdAId,$N791)))</f>
        <v/>
      </c>
      <c r="D791" s="16">
        <f>IF($N791="","",IF(INDEX(LdAAmt,$N791)=0,"",INDEX(LdAAmt,$N791)))</f>
        <v/>
      </c>
      <c r="E791" s="16">
        <f>IF($N791="","",SUMIFS(ShareAmt,ShareLink,$C791))</f>
        <v/>
      </c>
      <c r="F791" s="33">
        <f>IF($N791="","",COUNTIF(ShareLink,$C791))</f>
        <v/>
      </c>
      <c r="G791" s="17">
        <f>IF($N791="","",IF(ROUND($E791-$D791,0)=0,"√","▲ "&amp;TEXT($D791-$E791,"#,##0")))</f>
        <v/>
      </c>
      <c r="N791">
        <f>IFERROR(MATCH($C$5&amp;"|"&amp;RIGHT("000000"&amp;775,6),LdAKeyG,0),"")</f>
        <v/>
      </c>
    </row>
    <row r="792">
      <c r="A792" s="19" t="n">
        <v>776</v>
      </c>
      <c r="B792" s="20">
        <f>IF($N792="","",INDEX(LdADate,$N792))</f>
        <v/>
      </c>
      <c r="C792" s="20">
        <f>IF($N792="","",IF(INDEX(LdAId,$N792)="","—",INDEX(LdAId,$N792)))</f>
        <v/>
      </c>
      <c r="D792" s="21">
        <f>IF($N792="","",IF(INDEX(LdAAmt,$N792)=0,"",INDEX(LdAAmt,$N792)))</f>
        <v/>
      </c>
      <c r="E792" s="21">
        <f>IF($N792="","",SUMIFS(ShareAmt,ShareLink,$C792))</f>
        <v/>
      </c>
      <c r="F792" s="34">
        <f>IF($N792="","",COUNTIF(ShareLink,$C792))</f>
        <v/>
      </c>
      <c r="G792" s="22">
        <f>IF($N792="","",IF(ROUND($E792-$D792,0)=0,"√","▲ "&amp;TEXT($D792-$E792,"#,##0")))</f>
        <v/>
      </c>
      <c r="N792">
        <f>IFERROR(MATCH($C$5&amp;"|"&amp;RIGHT("000000"&amp;776,6),LdAKeyG,0),"")</f>
        <v/>
      </c>
    </row>
    <row r="793">
      <c r="A793" s="10" t="n">
        <v>777</v>
      </c>
      <c r="B793" s="14">
        <f>IF($N793="","",INDEX(LdADate,$N793))</f>
        <v/>
      </c>
      <c r="C793" s="14">
        <f>IF($N793="","",IF(INDEX(LdAId,$N793)="","—",INDEX(LdAId,$N793)))</f>
        <v/>
      </c>
      <c r="D793" s="16">
        <f>IF($N793="","",IF(INDEX(LdAAmt,$N793)=0,"",INDEX(LdAAmt,$N793)))</f>
        <v/>
      </c>
      <c r="E793" s="16">
        <f>IF($N793="","",SUMIFS(ShareAmt,ShareLink,$C793))</f>
        <v/>
      </c>
      <c r="F793" s="33">
        <f>IF($N793="","",COUNTIF(ShareLink,$C793))</f>
        <v/>
      </c>
      <c r="G793" s="17">
        <f>IF($N793="","",IF(ROUND($E793-$D793,0)=0,"√","▲ "&amp;TEXT($D793-$E793,"#,##0")))</f>
        <v/>
      </c>
      <c r="N793">
        <f>IFERROR(MATCH($C$5&amp;"|"&amp;RIGHT("000000"&amp;777,6),LdAKeyG,0),"")</f>
        <v/>
      </c>
    </row>
    <row r="794">
      <c r="A794" s="19" t="n">
        <v>778</v>
      </c>
      <c r="B794" s="20">
        <f>IF($N794="","",INDEX(LdADate,$N794))</f>
        <v/>
      </c>
      <c r="C794" s="20">
        <f>IF($N794="","",IF(INDEX(LdAId,$N794)="","—",INDEX(LdAId,$N794)))</f>
        <v/>
      </c>
      <c r="D794" s="21">
        <f>IF($N794="","",IF(INDEX(LdAAmt,$N794)=0,"",INDEX(LdAAmt,$N794)))</f>
        <v/>
      </c>
      <c r="E794" s="21">
        <f>IF($N794="","",SUMIFS(ShareAmt,ShareLink,$C794))</f>
        <v/>
      </c>
      <c r="F794" s="34">
        <f>IF($N794="","",COUNTIF(ShareLink,$C794))</f>
        <v/>
      </c>
      <c r="G794" s="22">
        <f>IF($N794="","",IF(ROUND($E794-$D794,0)=0,"√","▲ "&amp;TEXT($D794-$E794,"#,##0")))</f>
        <v/>
      </c>
      <c r="N794">
        <f>IFERROR(MATCH($C$5&amp;"|"&amp;RIGHT("000000"&amp;778,6),LdAKeyG,0),"")</f>
        <v/>
      </c>
    </row>
    <row r="795">
      <c r="A795" s="10" t="n">
        <v>779</v>
      </c>
      <c r="B795" s="14">
        <f>IF($N795="","",INDEX(LdADate,$N795))</f>
        <v/>
      </c>
      <c r="C795" s="14">
        <f>IF($N795="","",IF(INDEX(LdAId,$N795)="","—",INDEX(LdAId,$N795)))</f>
        <v/>
      </c>
      <c r="D795" s="16">
        <f>IF($N795="","",IF(INDEX(LdAAmt,$N795)=0,"",INDEX(LdAAmt,$N795)))</f>
        <v/>
      </c>
      <c r="E795" s="16">
        <f>IF($N795="","",SUMIFS(ShareAmt,ShareLink,$C795))</f>
        <v/>
      </c>
      <c r="F795" s="33">
        <f>IF($N795="","",COUNTIF(ShareLink,$C795))</f>
        <v/>
      </c>
      <c r="G795" s="17">
        <f>IF($N795="","",IF(ROUND($E795-$D795,0)=0,"√","▲ "&amp;TEXT($D795-$E795,"#,##0")))</f>
        <v/>
      </c>
      <c r="N795">
        <f>IFERROR(MATCH($C$5&amp;"|"&amp;RIGHT("000000"&amp;779,6),LdAKeyG,0),"")</f>
        <v/>
      </c>
    </row>
    <row r="796">
      <c r="A796" s="19" t="n">
        <v>780</v>
      </c>
      <c r="B796" s="20">
        <f>IF($N796="","",INDEX(LdADate,$N796))</f>
        <v/>
      </c>
      <c r="C796" s="20">
        <f>IF($N796="","",IF(INDEX(LdAId,$N796)="","—",INDEX(LdAId,$N796)))</f>
        <v/>
      </c>
      <c r="D796" s="21">
        <f>IF($N796="","",IF(INDEX(LdAAmt,$N796)=0,"",INDEX(LdAAmt,$N796)))</f>
        <v/>
      </c>
      <c r="E796" s="21">
        <f>IF($N796="","",SUMIFS(ShareAmt,ShareLink,$C796))</f>
        <v/>
      </c>
      <c r="F796" s="34">
        <f>IF($N796="","",COUNTIF(ShareLink,$C796))</f>
        <v/>
      </c>
      <c r="G796" s="22">
        <f>IF($N796="","",IF(ROUND($E796-$D796,0)=0,"√","▲ "&amp;TEXT($D796-$E796,"#,##0")))</f>
        <v/>
      </c>
      <c r="N796">
        <f>IFERROR(MATCH($C$5&amp;"|"&amp;RIGHT("000000"&amp;780,6),LdAKeyG,0),"")</f>
        <v/>
      </c>
    </row>
    <row r="797">
      <c r="A797" s="10" t="n">
        <v>781</v>
      </c>
      <c r="B797" s="14">
        <f>IF($N797="","",INDEX(LdADate,$N797))</f>
        <v/>
      </c>
      <c r="C797" s="14">
        <f>IF($N797="","",IF(INDEX(LdAId,$N797)="","—",INDEX(LdAId,$N797)))</f>
        <v/>
      </c>
      <c r="D797" s="16">
        <f>IF($N797="","",IF(INDEX(LdAAmt,$N797)=0,"",INDEX(LdAAmt,$N797)))</f>
        <v/>
      </c>
      <c r="E797" s="16">
        <f>IF($N797="","",SUMIFS(ShareAmt,ShareLink,$C797))</f>
        <v/>
      </c>
      <c r="F797" s="33">
        <f>IF($N797="","",COUNTIF(ShareLink,$C797))</f>
        <v/>
      </c>
      <c r="G797" s="17">
        <f>IF($N797="","",IF(ROUND($E797-$D797,0)=0,"√","▲ "&amp;TEXT($D797-$E797,"#,##0")))</f>
        <v/>
      </c>
      <c r="N797">
        <f>IFERROR(MATCH($C$5&amp;"|"&amp;RIGHT("000000"&amp;781,6),LdAKeyG,0),"")</f>
        <v/>
      </c>
    </row>
    <row r="798">
      <c r="A798" s="19" t="n">
        <v>782</v>
      </c>
      <c r="B798" s="20">
        <f>IF($N798="","",INDEX(LdADate,$N798))</f>
        <v/>
      </c>
      <c r="C798" s="20">
        <f>IF($N798="","",IF(INDEX(LdAId,$N798)="","—",INDEX(LdAId,$N798)))</f>
        <v/>
      </c>
      <c r="D798" s="21">
        <f>IF($N798="","",IF(INDEX(LdAAmt,$N798)=0,"",INDEX(LdAAmt,$N798)))</f>
        <v/>
      </c>
      <c r="E798" s="21">
        <f>IF($N798="","",SUMIFS(ShareAmt,ShareLink,$C798))</f>
        <v/>
      </c>
      <c r="F798" s="34">
        <f>IF($N798="","",COUNTIF(ShareLink,$C798))</f>
        <v/>
      </c>
      <c r="G798" s="22">
        <f>IF($N798="","",IF(ROUND($E798-$D798,0)=0,"√","▲ "&amp;TEXT($D798-$E798,"#,##0")))</f>
        <v/>
      </c>
      <c r="N798">
        <f>IFERROR(MATCH($C$5&amp;"|"&amp;RIGHT("000000"&amp;782,6),LdAKeyG,0),"")</f>
        <v/>
      </c>
    </row>
    <row r="799">
      <c r="A799" s="10" t="n">
        <v>783</v>
      </c>
      <c r="B799" s="14">
        <f>IF($N799="","",INDEX(LdADate,$N799))</f>
        <v/>
      </c>
      <c r="C799" s="14">
        <f>IF($N799="","",IF(INDEX(LdAId,$N799)="","—",INDEX(LdAId,$N799)))</f>
        <v/>
      </c>
      <c r="D799" s="16">
        <f>IF($N799="","",IF(INDEX(LdAAmt,$N799)=0,"",INDEX(LdAAmt,$N799)))</f>
        <v/>
      </c>
      <c r="E799" s="16">
        <f>IF($N799="","",SUMIFS(ShareAmt,ShareLink,$C799))</f>
        <v/>
      </c>
      <c r="F799" s="33">
        <f>IF($N799="","",COUNTIF(ShareLink,$C799))</f>
        <v/>
      </c>
      <c r="G799" s="17">
        <f>IF($N799="","",IF(ROUND($E799-$D799,0)=0,"√","▲ "&amp;TEXT($D799-$E799,"#,##0")))</f>
        <v/>
      </c>
      <c r="N799">
        <f>IFERROR(MATCH($C$5&amp;"|"&amp;RIGHT("000000"&amp;783,6),LdAKeyG,0),"")</f>
        <v/>
      </c>
    </row>
    <row r="800">
      <c r="A800" s="19" t="n">
        <v>784</v>
      </c>
      <c r="B800" s="20">
        <f>IF($N800="","",INDEX(LdADate,$N800))</f>
        <v/>
      </c>
      <c r="C800" s="20">
        <f>IF($N800="","",IF(INDEX(LdAId,$N800)="","—",INDEX(LdAId,$N800)))</f>
        <v/>
      </c>
      <c r="D800" s="21">
        <f>IF($N800="","",IF(INDEX(LdAAmt,$N800)=0,"",INDEX(LdAAmt,$N800)))</f>
        <v/>
      </c>
      <c r="E800" s="21">
        <f>IF($N800="","",SUMIFS(ShareAmt,ShareLink,$C800))</f>
        <v/>
      </c>
      <c r="F800" s="34">
        <f>IF($N800="","",COUNTIF(ShareLink,$C800))</f>
        <v/>
      </c>
      <c r="G800" s="22">
        <f>IF($N800="","",IF(ROUND($E800-$D800,0)=0,"√","▲ "&amp;TEXT($D800-$E800,"#,##0")))</f>
        <v/>
      </c>
      <c r="N800">
        <f>IFERROR(MATCH($C$5&amp;"|"&amp;RIGHT("000000"&amp;784,6),LdAKeyG,0),"")</f>
        <v/>
      </c>
    </row>
    <row r="801">
      <c r="A801" s="10" t="n">
        <v>785</v>
      </c>
      <c r="B801" s="14">
        <f>IF($N801="","",INDEX(LdADate,$N801))</f>
        <v/>
      </c>
      <c r="C801" s="14">
        <f>IF($N801="","",IF(INDEX(LdAId,$N801)="","—",INDEX(LdAId,$N801)))</f>
        <v/>
      </c>
      <c r="D801" s="16">
        <f>IF($N801="","",IF(INDEX(LdAAmt,$N801)=0,"",INDEX(LdAAmt,$N801)))</f>
        <v/>
      </c>
      <c r="E801" s="16">
        <f>IF($N801="","",SUMIFS(ShareAmt,ShareLink,$C801))</f>
        <v/>
      </c>
      <c r="F801" s="33">
        <f>IF($N801="","",COUNTIF(ShareLink,$C801))</f>
        <v/>
      </c>
      <c r="G801" s="17">
        <f>IF($N801="","",IF(ROUND($E801-$D801,0)=0,"√","▲ "&amp;TEXT($D801-$E801,"#,##0")))</f>
        <v/>
      </c>
      <c r="N801">
        <f>IFERROR(MATCH($C$5&amp;"|"&amp;RIGHT("000000"&amp;785,6),LdAKeyG,0),"")</f>
        <v/>
      </c>
    </row>
    <row r="802">
      <c r="A802" s="19" t="n">
        <v>786</v>
      </c>
      <c r="B802" s="20">
        <f>IF($N802="","",INDEX(LdADate,$N802))</f>
        <v/>
      </c>
      <c r="C802" s="20">
        <f>IF($N802="","",IF(INDEX(LdAId,$N802)="","—",INDEX(LdAId,$N802)))</f>
        <v/>
      </c>
      <c r="D802" s="21">
        <f>IF($N802="","",IF(INDEX(LdAAmt,$N802)=0,"",INDEX(LdAAmt,$N802)))</f>
        <v/>
      </c>
      <c r="E802" s="21">
        <f>IF($N802="","",SUMIFS(ShareAmt,ShareLink,$C802))</f>
        <v/>
      </c>
      <c r="F802" s="34">
        <f>IF($N802="","",COUNTIF(ShareLink,$C802))</f>
        <v/>
      </c>
      <c r="G802" s="22">
        <f>IF($N802="","",IF(ROUND($E802-$D802,0)=0,"√","▲ "&amp;TEXT($D802-$E802,"#,##0")))</f>
        <v/>
      </c>
      <c r="N802">
        <f>IFERROR(MATCH($C$5&amp;"|"&amp;RIGHT("000000"&amp;786,6),LdAKeyG,0),"")</f>
        <v/>
      </c>
    </row>
    <row r="803">
      <c r="A803" s="10" t="n">
        <v>787</v>
      </c>
      <c r="B803" s="14">
        <f>IF($N803="","",INDEX(LdADate,$N803))</f>
        <v/>
      </c>
      <c r="C803" s="14">
        <f>IF($N803="","",IF(INDEX(LdAId,$N803)="","—",INDEX(LdAId,$N803)))</f>
        <v/>
      </c>
      <c r="D803" s="16">
        <f>IF($N803="","",IF(INDEX(LdAAmt,$N803)=0,"",INDEX(LdAAmt,$N803)))</f>
        <v/>
      </c>
      <c r="E803" s="16">
        <f>IF($N803="","",SUMIFS(ShareAmt,ShareLink,$C803))</f>
        <v/>
      </c>
      <c r="F803" s="33">
        <f>IF($N803="","",COUNTIF(ShareLink,$C803))</f>
        <v/>
      </c>
      <c r="G803" s="17">
        <f>IF($N803="","",IF(ROUND($E803-$D803,0)=0,"√","▲ "&amp;TEXT($D803-$E803,"#,##0")))</f>
        <v/>
      </c>
      <c r="N803">
        <f>IFERROR(MATCH($C$5&amp;"|"&amp;RIGHT("000000"&amp;787,6),LdAKeyG,0),"")</f>
        <v/>
      </c>
    </row>
    <row r="804">
      <c r="A804" s="19" t="n">
        <v>788</v>
      </c>
      <c r="B804" s="20">
        <f>IF($N804="","",INDEX(LdADate,$N804))</f>
        <v/>
      </c>
      <c r="C804" s="20">
        <f>IF($N804="","",IF(INDEX(LdAId,$N804)="","—",INDEX(LdAId,$N804)))</f>
        <v/>
      </c>
      <c r="D804" s="21">
        <f>IF($N804="","",IF(INDEX(LdAAmt,$N804)=0,"",INDEX(LdAAmt,$N804)))</f>
        <v/>
      </c>
      <c r="E804" s="21">
        <f>IF($N804="","",SUMIFS(ShareAmt,ShareLink,$C804))</f>
        <v/>
      </c>
      <c r="F804" s="34">
        <f>IF($N804="","",COUNTIF(ShareLink,$C804))</f>
        <v/>
      </c>
      <c r="G804" s="22">
        <f>IF($N804="","",IF(ROUND($E804-$D804,0)=0,"√","▲ "&amp;TEXT($D804-$E804,"#,##0")))</f>
        <v/>
      </c>
      <c r="N804">
        <f>IFERROR(MATCH($C$5&amp;"|"&amp;RIGHT("000000"&amp;788,6),LdAKeyG,0),"")</f>
        <v/>
      </c>
    </row>
    <row r="805">
      <c r="A805" s="10" t="n">
        <v>789</v>
      </c>
      <c r="B805" s="14">
        <f>IF($N805="","",INDEX(LdADate,$N805))</f>
        <v/>
      </c>
      <c r="C805" s="14">
        <f>IF($N805="","",IF(INDEX(LdAId,$N805)="","—",INDEX(LdAId,$N805)))</f>
        <v/>
      </c>
      <c r="D805" s="16">
        <f>IF($N805="","",IF(INDEX(LdAAmt,$N805)=0,"",INDEX(LdAAmt,$N805)))</f>
        <v/>
      </c>
      <c r="E805" s="16">
        <f>IF($N805="","",SUMIFS(ShareAmt,ShareLink,$C805))</f>
        <v/>
      </c>
      <c r="F805" s="33">
        <f>IF($N805="","",COUNTIF(ShareLink,$C805))</f>
        <v/>
      </c>
      <c r="G805" s="17">
        <f>IF($N805="","",IF(ROUND($E805-$D805,0)=0,"√","▲ "&amp;TEXT($D805-$E805,"#,##0")))</f>
        <v/>
      </c>
      <c r="N805">
        <f>IFERROR(MATCH($C$5&amp;"|"&amp;RIGHT("000000"&amp;789,6),LdAKeyG,0),"")</f>
        <v/>
      </c>
    </row>
    <row r="806">
      <c r="A806" s="19" t="n">
        <v>790</v>
      </c>
      <c r="B806" s="20">
        <f>IF($N806="","",INDEX(LdADate,$N806))</f>
        <v/>
      </c>
      <c r="C806" s="20">
        <f>IF($N806="","",IF(INDEX(LdAId,$N806)="","—",INDEX(LdAId,$N806)))</f>
        <v/>
      </c>
      <c r="D806" s="21">
        <f>IF($N806="","",IF(INDEX(LdAAmt,$N806)=0,"",INDEX(LdAAmt,$N806)))</f>
        <v/>
      </c>
      <c r="E806" s="21">
        <f>IF($N806="","",SUMIFS(ShareAmt,ShareLink,$C806))</f>
        <v/>
      </c>
      <c r="F806" s="34">
        <f>IF($N806="","",COUNTIF(ShareLink,$C806))</f>
        <v/>
      </c>
      <c r="G806" s="22">
        <f>IF($N806="","",IF(ROUND($E806-$D806,0)=0,"√","▲ "&amp;TEXT($D806-$E806,"#,##0")))</f>
        <v/>
      </c>
      <c r="N806">
        <f>IFERROR(MATCH($C$5&amp;"|"&amp;RIGHT("000000"&amp;790,6),LdAKeyG,0),"")</f>
        <v/>
      </c>
    </row>
    <row r="807">
      <c r="A807" s="10" t="n">
        <v>791</v>
      </c>
      <c r="B807" s="14">
        <f>IF($N807="","",INDEX(LdADate,$N807))</f>
        <v/>
      </c>
      <c r="C807" s="14">
        <f>IF($N807="","",IF(INDEX(LdAId,$N807)="","—",INDEX(LdAId,$N807)))</f>
        <v/>
      </c>
      <c r="D807" s="16">
        <f>IF($N807="","",IF(INDEX(LdAAmt,$N807)=0,"",INDEX(LdAAmt,$N807)))</f>
        <v/>
      </c>
      <c r="E807" s="16">
        <f>IF($N807="","",SUMIFS(ShareAmt,ShareLink,$C807))</f>
        <v/>
      </c>
      <c r="F807" s="33">
        <f>IF($N807="","",COUNTIF(ShareLink,$C807))</f>
        <v/>
      </c>
      <c r="G807" s="17">
        <f>IF($N807="","",IF(ROUND($E807-$D807,0)=0,"√","▲ "&amp;TEXT($D807-$E807,"#,##0")))</f>
        <v/>
      </c>
      <c r="N807">
        <f>IFERROR(MATCH($C$5&amp;"|"&amp;RIGHT("000000"&amp;791,6),LdAKeyG,0),"")</f>
        <v/>
      </c>
    </row>
    <row r="808">
      <c r="A808" s="19" t="n">
        <v>792</v>
      </c>
      <c r="B808" s="20">
        <f>IF($N808="","",INDEX(LdADate,$N808))</f>
        <v/>
      </c>
      <c r="C808" s="20">
        <f>IF($N808="","",IF(INDEX(LdAId,$N808)="","—",INDEX(LdAId,$N808)))</f>
        <v/>
      </c>
      <c r="D808" s="21">
        <f>IF($N808="","",IF(INDEX(LdAAmt,$N808)=0,"",INDEX(LdAAmt,$N808)))</f>
        <v/>
      </c>
      <c r="E808" s="21">
        <f>IF($N808="","",SUMIFS(ShareAmt,ShareLink,$C808))</f>
        <v/>
      </c>
      <c r="F808" s="34">
        <f>IF($N808="","",COUNTIF(ShareLink,$C808))</f>
        <v/>
      </c>
      <c r="G808" s="22">
        <f>IF($N808="","",IF(ROUND($E808-$D808,0)=0,"√","▲ "&amp;TEXT($D808-$E808,"#,##0")))</f>
        <v/>
      </c>
      <c r="N808">
        <f>IFERROR(MATCH($C$5&amp;"|"&amp;RIGHT("000000"&amp;792,6),LdAKeyG,0),"")</f>
        <v/>
      </c>
    </row>
    <row r="809">
      <c r="A809" s="10" t="n">
        <v>793</v>
      </c>
      <c r="B809" s="14">
        <f>IF($N809="","",INDEX(LdADate,$N809))</f>
        <v/>
      </c>
      <c r="C809" s="14">
        <f>IF($N809="","",IF(INDEX(LdAId,$N809)="","—",INDEX(LdAId,$N809)))</f>
        <v/>
      </c>
      <c r="D809" s="16">
        <f>IF($N809="","",IF(INDEX(LdAAmt,$N809)=0,"",INDEX(LdAAmt,$N809)))</f>
        <v/>
      </c>
      <c r="E809" s="16">
        <f>IF($N809="","",SUMIFS(ShareAmt,ShareLink,$C809))</f>
        <v/>
      </c>
      <c r="F809" s="33">
        <f>IF($N809="","",COUNTIF(ShareLink,$C809))</f>
        <v/>
      </c>
      <c r="G809" s="17">
        <f>IF($N809="","",IF(ROUND($E809-$D809,0)=0,"√","▲ "&amp;TEXT($D809-$E809,"#,##0")))</f>
        <v/>
      </c>
      <c r="N809">
        <f>IFERROR(MATCH($C$5&amp;"|"&amp;RIGHT("000000"&amp;793,6),LdAKeyG,0),"")</f>
        <v/>
      </c>
    </row>
    <row r="810">
      <c r="A810" s="19" t="n">
        <v>794</v>
      </c>
      <c r="B810" s="20">
        <f>IF($N810="","",INDEX(LdADate,$N810))</f>
        <v/>
      </c>
      <c r="C810" s="20">
        <f>IF($N810="","",IF(INDEX(LdAId,$N810)="","—",INDEX(LdAId,$N810)))</f>
        <v/>
      </c>
      <c r="D810" s="21">
        <f>IF($N810="","",IF(INDEX(LdAAmt,$N810)=0,"",INDEX(LdAAmt,$N810)))</f>
        <v/>
      </c>
      <c r="E810" s="21">
        <f>IF($N810="","",SUMIFS(ShareAmt,ShareLink,$C810))</f>
        <v/>
      </c>
      <c r="F810" s="34">
        <f>IF($N810="","",COUNTIF(ShareLink,$C810))</f>
        <v/>
      </c>
      <c r="G810" s="22">
        <f>IF($N810="","",IF(ROUND($E810-$D810,0)=0,"√","▲ "&amp;TEXT($D810-$E810,"#,##0")))</f>
        <v/>
      </c>
      <c r="N810">
        <f>IFERROR(MATCH($C$5&amp;"|"&amp;RIGHT("000000"&amp;794,6),LdAKeyG,0),"")</f>
        <v/>
      </c>
    </row>
    <row r="811">
      <c r="A811" s="10" t="n">
        <v>795</v>
      </c>
      <c r="B811" s="14">
        <f>IF($N811="","",INDEX(LdADate,$N811))</f>
        <v/>
      </c>
      <c r="C811" s="14">
        <f>IF($N811="","",IF(INDEX(LdAId,$N811)="","—",INDEX(LdAId,$N811)))</f>
        <v/>
      </c>
      <c r="D811" s="16">
        <f>IF($N811="","",IF(INDEX(LdAAmt,$N811)=0,"",INDEX(LdAAmt,$N811)))</f>
        <v/>
      </c>
      <c r="E811" s="16">
        <f>IF($N811="","",SUMIFS(ShareAmt,ShareLink,$C811))</f>
        <v/>
      </c>
      <c r="F811" s="33">
        <f>IF($N811="","",COUNTIF(ShareLink,$C811))</f>
        <v/>
      </c>
      <c r="G811" s="17">
        <f>IF($N811="","",IF(ROUND($E811-$D811,0)=0,"√","▲ "&amp;TEXT($D811-$E811,"#,##0")))</f>
        <v/>
      </c>
      <c r="N811">
        <f>IFERROR(MATCH($C$5&amp;"|"&amp;RIGHT("000000"&amp;795,6),LdAKeyG,0),"")</f>
        <v/>
      </c>
    </row>
    <row r="812">
      <c r="A812" s="19" t="n">
        <v>796</v>
      </c>
      <c r="B812" s="20">
        <f>IF($N812="","",INDEX(LdADate,$N812))</f>
        <v/>
      </c>
      <c r="C812" s="20">
        <f>IF($N812="","",IF(INDEX(LdAId,$N812)="","—",INDEX(LdAId,$N812)))</f>
        <v/>
      </c>
      <c r="D812" s="21">
        <f>IF($N812="","",IF(INDEX(LdAAmt,$N812)=0,"",INDEX(LdAAmt,$N812)))</f>
        <v/>
      </c>
      <c r="E812" s="21">
        <f>IF($N812="","",SUMIFS(ShareAmt,ShareLink,$C812))</f>
        <v/>
      </c>
      <c r="F812" s="34">
        <f>IF($N812="","",COUNTIF(ShareLink,$C812))</f>
        <v/>
      </c>
      <c r="G812" s="22">
        <f>IF($N812="","",IF(ROUND($E812-$D812,0)=0,"√","▲ "&amp;TEXT($D812-$E812,"#,##0")))</f>
        <v/>
      </c>
      <c r="N812">
        <f>IFERROR(MATCH($C$5&amp;"|"&amp;RIGHT("000000"&amp;796,6),LdAKeyG,0),"")</f>
        <v/>
      </c>
    </row>
    <row r="813">
      <c r="A813" s="10" t="n">
        <v>797</v>
      </c>
      <c r="B813" s="14">
        <f>IF($N813="","",INDEX(LdADate,$N813))</f>
        <v/>
      </c>
      <c r="C813" s="14">
        <f>IF($N813="","",IF(INDEX(LdAId,$N813)="","—",INDEX(LdAId,$N813)))</f>
        <v/>
      </c>
      <c r="D813" s="16">
        <f>IF($N813="","",IF(INDEX(LdAAmt,$N813)=0,"",INDEX(LdAAmt,$N813)))</f>
        <v/>
      </c>
      <c r="E813" s="16">
        <f>IF($N813="","",SUMIFS(ShareAmt,ShareLink,$C813))</f>
        <v/>
      </c>
      <c r="F813" s="33">
        <f>IF($N813="","",COUNTIF(ShareLink,$C813))</f>
        <v/>
      </c>
      <c r="G813" s="17">
        <f>IF($N813="","",IF(ROUND($E813-$D813,0)=0,"√","▲ "&amp;TEXT($D813-$E813,"#,##0")))</f>
        <v/>
      </c>
      <c r="N813">
        <f>IFERROR(MATCH($C$5&amp;"|"&amp;RIGHT("000000"&amp;797,6),LdAKeyG,0),"")</f>
        <v/>
      </c>
    </row>
    <row r="814">
      <c r="A814" s="19" t="n">
        <v>798</v>
      </c>
      <c r="B814" s="20">
        <f>IF($N814="","",INDEX(LdADate,$N814))</f>
        <v/>
      </c>
      <c r="C814" s="20">
        <f>IF($N814="","",IF(INDEX(LdAId,$N814)="","—",INDEX(LdAId,$N814)))</f>
        <v/>
      </c>
      <c r="D814" s="21">
        <f>IF($N814="","",IF(INDEX(LdAAmt,$N814)=0,"",INDEX(LdAAmt,$N814)))</f>
        <v/>
      </c>
      <c r="E814" s="21">
        <f>IF($N814="","",SUMIFS(ShareAmt,ShareLink,$C814))</f>
        <v/>
      </c>
      <c r="F814" s="34">
        <f>IF($N814="","",COUNTIF(ShareLink,$C814))</f>
        <v/>
      </c>
      <c r="G814" s="22">
        <f>IF($N814="","",IF(ROUND($E814-$D814,0)=0,"√","▲ "&amp;TEXT($D814-$E814,"#,##0")))</f>
        <v/>
      </c>
      <c r="N814">
        <f>IFERROR(MATCH($C$5&amp;"|"&amp;RIGHT("000000"&amp;798,6),LdAKeyG,0),"")</f>
        <v/>
      </c>
    </row>
    <row r="815">
      <c r="A815" s="10" t="n">
        <v>799</v>
      </c>
      <c r="B815" s="14">
        <f>IF($N815="","",INDEX(LdADate,$N815))</f>
        <v/>
      </c>
      <c r="C815" s="14">
        <f>IF($N815="","",IF(INDEX(LdAId,$N815)="","—",INDEX(LdAId,$N815)))</f>
        <v/>
      </c>
      <c r="D815" s="16">
        <f>IF($N815="","",IF(INDEX(LdAAmt,$N815)=0,"",INDEX(LdAAmt,$N815)))</f>
        <v/>
      </c>
      <c r="E815" s="16">
        <f>IF($N815="","",SUMIFS(ShareAmt,ShareLink,$C815))</f>
        <v/>
      </c>
      <c r="F815" s="33">
        <f>IF($N815="","",COUNTIF(ShareLink,$C815))</f>
        <v/>
      </c>
      <c r="G815" s="17">
        <f>IF($N815="","",IF(ROUND($E815-$D815,0)=0,"√","▲ "&amp;TEXT($D815-$E815,"#,##0")))</f>
        <v/>
      </c>
      <c r="N815">
        <f>IFERROR(MATCH($C$5&amp;"|"&amp;RIGHT("000000"&amp;799,6),LdAKeyG,0),"")</f>
        <v/>
      </c>
    </row>
    <row r="816">
      <c r="A816" s="19" t="n">
        <v>800</v>
      </c>
      <c r="B816" s="20">
        <f>IF($N816="","",INDEX(LdADate,$N816))</f>
        <v/>
      </c>
      <c r="C816" s="20">
        <f>IF($N816="","",IF(INDEX(LdAId,$N816)="","—",INDEX(LdAId,$N816)))</f>
        <v/>
      </c>
      <c r="D816" s="21">
        <f>IF($N816="","",IF(INDEX(LdAAmt,$N816)=0,"",INDEX(LdAAmt,$N816)))</f>
        <v/>
      </c>
      <c r="E816" s="21">
        <f>IF($N816="","",SUMIFS(ShareAmt,ShareLink,$C816))</f>
        <v/>
      </c>
      <c r="F816" s="34">
        <f>IF($N816="","",COUNTIF(ShareLink,$C816))</f>
        <v/>
      </c>
      <c r="G816" s="22">
        <f>IF($N816="","",IF(ROUND($E816-$D816,0)=0,"√","▲ "&amp;TEXT($D816-$E816,"#,##0")))</f>
        <v/>
      </c>
      <c r="N816">
        <f>IFERROR(MATCH($C$5&amp;"|"&amp;RIGHT("000000"&amp;800,6),LdAKeyG,0),"")</f>
        <v/>
      </c>
    </row>
    <row r="817">
      <c r="A817" s="10" t="n">
        <v>801</v>
      </c>
      <c r="B817" s="14">
        <f>IF($N817="","",INDEX(LdADate,$N817))</f>
        <v/>
      </c>
      <c r="C817" s="14">
        <f>IF($N817="","",IF(INDEX(LdAId,$N817)="","—",INDEX(LdAId,$N817)))</f>
        <v/>
      </c>
      <c r="D817" s="16">
        <f>IF($N817="","",IF(INDEX(LdAAmt,$N817)=0,"",INDEX(LdAAmt,$N817)))</f>
        <v/>
      </c>
      <c r="E817" s="16">
        <f>IF($N817="","",SUMIFS(ShareAmt,ShareLink,$C817))</f>
        <v/>
      </c>
      <c r="F817" s="33">
        <f>IF($N817="","",COUNTIF(ShareLink,$C817))</f>
        <v/>
      </c>
      <c r="G817" s="17">
        <f>IF($N817="","",IF(ROUND($E817-$D817,0)=0,"√","▲ "&amp;TEXT($D817-$E817,"#,##0")))</f>
        <v/>
      </c>
      <c r="N817">
        <f>IFERROR(MATCH($C$5&amp;"|"&amp;RIGHT("000000"&amp;801,6),LdAKeyG,0),"")</f>
        <v/>
      </c>
    </row>
    <row r="818">
      <c r="A818" s="19" t="n">
        <v>802</v>
      </c>
      <c r="B818" s="20">
        <f>IF($N818="","",INDEX(LdADate,$N818))</f>
        <v/>
      </c>
      <c r="C818" s="20">
        <f>IF($N818="","",IF(INDEX(LdAId,$N818)="","—",INDEX(LdAId,$N818)))</f>
        <v/>
      </c>
      <c r="D818" s="21">
        <f>IF($N818="","",IF(INDEX(LdAAmt,$N818)=0,"",INDEX(LdAAmt,$N818)))</f>
        <v/>
      </c>
      <c r="E818" s="21">
        <f>IF($N818="","",SUMIFS(ShareAmt,ShareLink,$C818))</f>
        <v/>
      </c>
      <c r="F818" s="34">
        <f>IF($N818="","",COUNTIF(ShareLink,$C818))</f>
        <v/>
      </c>
      <c r="G818" s="22">
        <f>IF($N818="","",IF(ROUND($E818-$D818,0)=0,"√","▲ "&amp;TEXT($D818-$E818,"#,##0")))</f>
        <v/>
      </c>
      <c r="N818">
        <f>IFERROR(MATCH($C$5&amp;"|"&amp;RIGHT("000000"&amp;802,6),LdAKeyG,0),"")</f>
        <v/>
      </c>
    </row>
    <row r="819">
      <c r="A819" s="10" t="n">
        <v>803</v>
      </c>
      <c r="B819" s="14">
        <f>IF($N819="","",INDEX(LdADate,$N819))</f>
        <v/>
      </c>
      <c r="C819" s="14">
        <f>IF($N819="","",IF(INDEX(LdAId,$N819)="","—",INDEX(LdAId,$N819)))</f>
        <v/>
      </c>
      <c r="D819" s="16">
        <f>IF($N819="","",IF(INDEX(LdAAmt,$N819)=0,"",INDEX(LdAAmt,$N819)))</f>
        <v/>
      </c>
      <c r="E819" s="16">
        <f>IF($N819="","",SUMIFS(ShareAmt,ShareLink,$C819))</f>
        <v/>
      </c>
      <c r="F819" s="33">
        <f>IF($N819="","",COUNTIF(ShareLink,$C819))</f>
        <v/>
      </c>
      <c r="G819" s="17">
        <f>IF($N819="","",IF(ROUND($E819-$D819,0)=0,"√","▲ "&amp;TEXT($D819-$E819,"#,##0")))</f>
        <v/>
      </c>
      <c r="N819">
        <f>IFERROR(MATCH($C$5&amp;"|"&amp;RIGHT("000000"&amp;803,6),LdAKeyG,0),"")</f>
        <v/>
      </c>
    </row>
    <row r="820">
      <c r="A820" s="19" t="n">
        <v>804</v>
      </c>
      <c r="B820" s="20">
        <f>IF($N820="","",INDEX(LdADate,$N820))</f>
        <v/>
      </c>
      <c r="C820" s="20">
        <f>IF($N820="","",IF(INDEX(LdAId,$N820)="","—",INDEX(LdAId,$N820)))</f>
        <v/>
      </c>
      <c r="D820" s="21">
        <f>IF($N820="","",IF(INDEX(LdAAmt,$N820)=0,"",INDEX(LdAAmt,$N820)))</f>
        <v/>
      </c>
      <c r="E820" s="21">
        <f>IF($N820="","",SUMIFS(ShareAmt,ShareLink,$C820))</f>
        <v/>
      </c>
      <c r="F820" s="34">
        <f>IF($N820="","",COUNTIF(ShareLink,$C820))</f>
        <v/>
      </c>
      <c r="G820" s="22">
        <f>IF($N820="","",IF(ROUND($E820-$D820,0)=0,"√","▲ "&amp;TEXT($D820-$E820,"#,##0")))</f>
        <v/>
      </c>
      <c r="N820">
        <f>IFERROR(MATCH($C$5&amp;"|"&amp;RIGHT("000000"&amp;804,6),LdAKeyG,0),"")</f>
        <v/>
      </c>
    </row>
    <row r="821">
      <c r="A821" s="10" t="n">
        <v>805</v>
      </c>
      <c r="B821" s="14">
        <f>IF($N821="","",INDEX(LdADate,$N821))</f>
        <v/>
      </c>
      <c r="C821" s="14">
        <f>IF($N821="","",IF(INDEX(LdAId,$N821)="","—",INDEX(LdAId,$N821)))</f>
        <v/>
      </c>
      <c r="D821" s="16">
        <f>IF($N821="","",IF(INDEX(LdAAmt,$N821)=0,"",INDEX(LdAAmt,$N821)))</f>
        <v/>
      </c>
      <c r="E821" s="16">
        <f>IF($N821="","",SUMIFS(ShareAmt,ShareLink,$C821))</f>
        <v/>
      </c>
      <c r="F821" s="33">
        <f>IF($N821="","",COUNTIF(ShareLink,$C821))</f>
        <v/>
      </c>
      <c r="G821" s="17">
        <f>IF($N821="","",IF(ROUND($E821-$D821,0)=0,"√","▲ "&amp;TEXT($D821-$E821,"#,##0")))</f>
        <v/>
      </c>
      <c r="N821">
        <f>IFERROR(MATCH($C$5&amp;"|"&amp;RIGHT("000000"&amp;805,6),LdAKeyG,0),"")</f>
        <v/>
      </c>
    </row>
    <row r="822">
      <c r="A822" s="19" t="n">
        <v>806</v>
      </c>
      <c r="B822" s="20">
        <f>IF($N822="","",INDEX(LdADate,$N822))</f>
        <v/>
      </c>
      <c r="C822" s="20">
        <f>IF($N822="","",IF(INDEX(LdAId,$N822)="","—",INDEX(LdAId,$N822)))</f>
        <v/>
      </c>
      <c r="D822" s="21">
        <f>IF($N822="","",IF(INDEX(LdAAmt,$N822)=0,"",INDEX(LdAAmt,$N822)))</f>
        <v/>
      </c>
      <c r="E822" s="21">
        <f>IF($N822="","",SUMIFS(ShareAmt,ShareLink,$C822))</f>
        <v/>
      </c>
      <c r="F822" s="34">
        <f>IF($N822="","",COUNTIF(ShareLink,$C822))</f>
        <v/>
      </c>
      <c r="G822" s="22">
        <f>IF($N822="","",IF(ROUND($E822-$D822,0)=0,"√","▲ "&amp;TEXT($D822-$E822,"#,##0")))</f>
        <v/>
      </c>
      <c r="N822">
        <f>IFERROR(MATCH($C$5&amp;"|"&amp;RIGHT("000000"&amp;806,6),LdAKeyG,0),"")</f>
        <v/>
      </c>
    </row>
    <row r="823">
      <c r="A823" s="10" t="n">
        <v>807</v>
      </c>
      <c r="B823" s="14">
        <f>IF($N823="","",INDEX(LdADate,$N823))</f>
        <v/>
      </c>
      <c r="C823" s="14">
        <f>IF($N823="","",IF(INDEX(LdAId,$N823)="","—",INDEX(LdAId,$N823)))</f>
        <v/>
      </c>
      <c r="D823" s="16">
        <f>IF($N823="","",IF(INDEX(LdAAmt,$N823)=0,"",INDEX(LdAAmt,$N823)))</f>
        <v/>
      </c>
      <c r="E823" s="16">
        <f>IF($N823="","",SUMIFS(ShareAmt,ShareLink,$C823))</f>
        <v/>
      </c>
      <c r="F823" s="33">
        <f>IF($N823="","",COUNTIF(ShareLink,$C823))</f>
        <v/>
      </c>
      <c r="G823" s="17">
        <f>IF($N823="","",IF(ROUND($E823-$D823,0)=0,"√","▲ "&amp;TEXT($D823-$E823,"#,##0")))</f>
        <v/>
      </c>
      <c r="N823">
        <f>IFERROR(MATCH($C$5&amp;"|"&amp;RIGHT("000000"&amp;807,6),LdAKeyG,0),"")</f>
        <v/>
      </c>
    </row>
    <row r="824">
      <c r="A824" s="19" t="n">
        <v>808</v>
      </c>
      <c r="B824" s="20">
        <f>IF($N824="","",INDEX(LdADate,$N824))</f>
        <v/>
      </c>
      <c r="C824" s="20">
        <f>IF($N824="","",IF(INDEX(LdAId,$N824)="","—",INDEX(LdAId,$N824)))</f>
        <v/>
      </c>
      <c r="D824" s="21">
        <f>IF($N824="","",IF(INDEX(LdAAmt,$N824)=0,"",INDEX(LdAAmt,$N824)))</f>
        <v/>
      </c>
      <c r="E824" s="21">
        <f>IF($N824="","",SUMIFS(ShareAmt,ShareLink,$C824))</f>
        <v/>
      </c>
      <c r="F824" s="34">
        <f>IF($N824="","",COUNTIF(ShareLink,$C824))</f>
        <v/>
      </c>
      <c r="G824" s="22">
        <f>IF($N824="","",IF(ROUND($E824-$D824,0)=0,"√","▲ "&amp;TEXT($D824-$E824,"#,##0")))</f>
        <v/>
      </c>
      <c r="N824">
        <f>IFERROR(MATCH($C$5&amp;"|"&amp;RIGHT("000000"&amp;808,6),LdAKeyG,0),"")</f>
        <v/>
      </c>
    </row>
    <row r="825">
      <c r="A825" s="10" t="n">
        <v>809</v>
      </c>
      <c r="B825" s="14">
        <f>IF($N825="","",INDEX(LdADate,$N825))</f>
        <v/>
      </c>
      <c r="C825" s="14">
        <f>IF($N825="","",IF(INDEX(LdAId,$N825)="","—",INDEX(LdAId,$N825)))</f>
        <v/>
      </c>
      <c r="D825" s="16">
        <f>IF($N825="","",IF(INDEX(LdAAmt,$N825)=0,"",INDEX(LdAAmt,$N825)))</f>
        <v/>
      </c>
      <c r="E825" s="16">
        <f>IF($N825="","",SUMIFS(ShareAmt,ShareLink,$C825))</f>
        <v/>
      </c>
      <c r="F825" s="33">
        <f>IF($N825="","",COUNTIF(ShareLink,$C825))</f>
        <v/>
      </c>
      <c r="G825" s="17">
        <f>IF($N825="","",IF(ROUND($E825-$D825,0)=0,"√","▲ "&amp;TEXT($D825-$E825,"#,##0")))</f>
        <v/>
      </c>
      <c r="N825">
        <f>IFERROR(MATCH($C$5&amp;"|"&amp;RIGHT("000000"&amp;809,6),LdAKeyG,0),"")</f>
        <v/>
      </c>
    </row>
    <row r="826">
      <c r="A826" s="19" t="n">
        <v>810</v>
      </c>
      <c r="B826" s="20">
        <f>IF($N826="","",INDEX(LdADate,$N826))</f>
        <v/>
      </c>
      <c r="C826" s="20">
        <f>IF($N826="","",IF(INDEX(LdAId,$N826)="","—",INDEX(LdAId,$N826)))</f>
        <v/>
      </c>
      <c r="D826" s="21">
        <f>IF($N826="","",IF(INDEX(LdAAmt,$N826)=0,"",INDEX(LdAAmt,$N826)))</f>
        <v/>
      </c>
      <c r="E826" s="21">
        <f>IF($N826="","",SUMIFS(ShareAmt,ShareLink,$C826))</f>
        <v/>
      </c>
      <c r="F826" s="34">
        <f>IF($N826="","",COUNTIF(ShareLink,$C826))</f>
        <v/>
      </c>
      <c r="G826" s="22">
        <f>IF($N826="","",IF(ROUND($E826-$D826,0)=0,"√","▲ "&amp;TEXT($D826-$E826,"#,##0")))</f>
        <v/>
      </c>
      <c r="N826">
        <f>IFERROR(MATCH($C$5&amp;"|"&amp;RIGHT("000000"&amp;810,6),LdAKeyG,0),"")</f>
        <v/>
      </c>
    </row>
    <row r="827">
      <c r="A827" s="10" t="n">
        <v>811</v>
      </c>
      <c r="B827" s="14">
        <f>IF($N827="","",INDEX(LdADate,$N827))</f>
        <v/>
      </c>
      <c r="C827" s="14">
        <f>IF($N827="","",IF(INDEX(LdAId,$N827)="","—",INDEX(LdAId,$N827)))</f>
        <v/>
      </c>
      <c r="D827" s="16">
        <f>IF($N827="","",IF(INDEX(LdAAmt,$N827)=0,"",INDEX(LdAAmt,$N827)))</f>
        <v/>
      </c>
      <c r="E827" s="16">
        <f>IF($N827="","",SUMIFS(ShareAmt,ShareLink,$C827))</f>
        <v/>
      </c>
      <c r="F827" s="33">
        <f>IF($N827="","",COUNTIF(ShareLink,$C827))</f>
        <v/>
      </c>
      <c r="G827" s="17">
        <f>IF($N827="","",IF(ROUND($E827-$D827,0)=0,"√","▲ "&amp;TEXT($D827-$E827,"#,##0")))</f>
        <v/>
      </c>
      <c r="N827">
        <f>IFERROR(MATCH($C$5&amp;"|"&amp;RIGHT("000000"&amp;811,6),LdAKeyG,0),"")</f>
        <v/>
      </c>
    </row>
    <row r="828">
      <c r="A828" s="19" t="n">
        <v>812</v>
      </c>
      <c r="B828" s="20">
        <f>IF($N828="","",INDEX(LdADate,$N828))</f>
        <v/>
      </c>
      <c r="C828" s="20">
        <f>IF($N828="","",IF(INDEX(LdAId,$N828)="","—",INDEX(LdAId,$N828)))</f>
        <v/>
      </c>
      <c r="D828" s="21">
        <f>IF($N828="","",IF(INDEX(LdAAmt,$N828)=0,"",INDEX(LdAAmt,$N828)))</f>
        <v/>
      </c>
      <c r="E828" s="21">
        <f>IF($N828="","",SUMIFS(ShareAmt,ShareLink,$C828))</f>
        <v/>
      </c>
      <c r="F828" s="34">
        <f>IF($N828="","",COUNTIF(ShareLink,$C828))</f>
        <v/>
      </c>
      <c r="G828" s="22">
        <f>IF($N828="","",IF(ROUND($E828-$D828,0)=0,"√","▲ "&amp;TEXT($D828-$E828,"#,##0")))</f>
        <v/>
      </c>
      <c r="N828">
        <f>IFERROR(MATCH($C$5&amp;"|"&amp;RIGHT("000000"&amp;812,6),LdAKeyG,0),"")</f>
        <v/>
      </c>
    </row>
    <row r="829">
      <c r="A829" s="10" t="n">
        <v>813</v>
      </c>
      <c r="B829" s="14">
        <f>IF($N829="","",INDEX(LdADate,$N829))</f>
        <v/>
      </c>
      <c r="C829" s="14">
        <f>IF($N829="","",IF(INDEX(LdAId,$N829)="","—",INDEX(LdAId,$N829)))</f>
        <v/>
      </c>
      <c r="D829" s="16">
        <f>IF($N829="","",IF(INDEX(LdAAmt,$N829)=0,"",INDEX(LdAAmt,$N829)))</f>
        <v/>
      </c>
      <c r="E829" s="16">
        <f>IF($N829="","",SUMIFS(ShareAmt,ShareLink,$C829))</f>
        <v/>
      </c>
      <c r="F829" s="33">
        <f>IF($N829="","",COUNTIF(ShareLink,$C829))</f>
        <v/>
      </c>
      <c r="G829" s="17">
        <f>IF($N829="","",IF(ROUND($E829-$D829,0)=0,"√","▲ "&amp;TEXT($D829-$E829,"#,##0")))</f>
        <v/>
      </c>
      <c r="N829">
        <f>IFERROR(MATCH($C$5&amp;"|"&amp;RIGHT("000000"&amp;813,6),LdAKeyG,0),"")</f>
        <v/>
      </c>
    </row>
    <row r="830">
      <c r="A830" s="19" t="n">
        <v>814</v>
      </c>
      <c r="B830" s="20">
        <f>IF($N830="","",INDEX(LdADate,$N830))</f>
        <v/>
      </c>
      <c r="C830" s="20">
        <f>IF($N830="","",IF(INDEX(LdAId,$N830)="","—",INDEX(LdAId,$N830)))</f>
        <v/>
      </c>
      <c r="D830" s="21">
        <f>IF($N830="","",IF(INDEX(LdAAmt,$N830)=0,"",INDEX(LdAAmt,$N830)))</f>
        <v/>
      </c>
      <c r="E830" s="21">
        <f>IF($N830="","",SUMIFS(ShareAmt,ShareLink,$C830))</f>
        <v/>
      </c>
      <c r="F830" s="34">
        <f>IF($N830="","",COUNTIF(ShareLink,$C830))</f>
        <v/>
      </c>
      <c r="G830" s="22">
        <f>IF($N830="","",IF(ROUND($E830-$D830,0)=0,"√","▲ "&amp;TEXT($D830-$E830,"#,##0")))</f>
        <v/>
      </c>
      <c r="N830">
        <f>IFERROR(MATCH($C$5&amp;"|"&amp;RIGHT("000000"&amp;814,6),LdAKeyG,0),"")</f>
        <v/>
      </c>
    </row>
    <row r="831">
      <c r="A831" s="10" t="n">
        <v>815</v>
      </c>
      <c r="B831" s="14">
        <f>IF($N831="","",INDEX(LdADate,$N831))</f>
        <v/>
      </c>
      <c r="C831" s="14">
        <f>IF($N831="","",IF(INDEX(LdAId,$N831)="","—",INDEX(LdAId,$N831)))</f>
        <v/>
      </c>
      <c r="D831" s="16">
        <f>IF($N831="","",IF(INDEX(LdAAmt,$N831)=0,"",INDEX(LdAAmt,$N831)))</f>
        <v/>
      </c>
      <c r="E831" s="16">
        <f>IF($N831="","",SUMIFS(ShareAmt,ShareLink,$C831))</f>
        <v/>
      </c>
      <c r="F831" s="33">
        <f>IF($N831="","",COUNTIF(ShareLink,$C831))</f>
        <v/>
      </c>
      <c r="G831" s="17">
        <f>IF($N831="","",IF(ROUND($E831-$D831,0)=0,"√","▲ "&amp;TEXT($D831-$E831,"#,##0")))</f>
        <v/>
      </c>
      <c r="N831">
        <f>IFERROR(MATCH($C$5&amp;"|"&amp;RIGHT("000000"&amp;815,6),LdAKeyG,0),"")</f>
        <v/>
      </c>
    </row>
    <row r="832">
      <c r="A832" s="19" t="n">
        <v>816</v>
      </c>
      <c r="B832" s="20">
        <f>IF($N832="","",INDEX(LdADate,$N832))</f>
        <v/>
      </c>
      <c r="C832" s="20">
        <f>IF($N832="","",IF(INDEX(LdAId,$N832)="","—",INDEX(LdAId,$N832)))</f>
        <v/>
      </c>
      <c r="D832" s="21">
        <f>IF($N832="","",IF(INDEX(LdAAmt,$N832)=0,"",INDEX(LdAAmt,$N832)))</f>
        <v/>
      </c>
      <c r="E832" s="21">
        <f>IF($N832="","",SUMIFS(ShareAmt,ShareLink,$C832))</f>
        <v/>
      </c>
      <c r="F832" s="34">
        <f>IF($N832="","",COUNTIF(ShareLink,$C832))</f>
        <v/>
      </c>
      <c r="G832" s="22">
        <f>IF($N832="","",IF(ROUND($E832-$D832,0)=0,"√","▲ "&amp;TEXT($D832-$E832,"#,##0")))</f>
        <v/>
      </c>
      <c r="N832">
        <f>IFERROR(MATCH($C$5&amp;"|"&amp;RIGHT("000000"&amp;816,6),LdAKeyG,0),"")</f>
        <v/>
      </c>
    </row>
    <row r="833">
      <c r="A833" s="10" t="n">
        <v>817</v>
      </c>
      <c r="B833" s="14">
        <f>IF($N833="","",INDEX(LdADate,$N833))</f>
        <v/>
      </c>
      <c r="C833" s="14">
        <f>IF($N833="","",IF(INDEX(LdAId,$N833)="","—",INDEX(LdAId,$N833)))</f>
        <v/>
      </c>
      <c r="D833" s="16">
        <f>IF($N833="","",IF(INDEX(LdAAmt,$N833)=0,"",INDEX(LdAAmt,$N833)))</f>
        <v/>
      </c>
      <c r="E833" s="16">
        <f>IF($N833="","",SUMIFS(ShareAmt,ShareLink,$C833))</f>
        <v/>
      </c>
      <c r="F833" s="33">
        <f>IF($N833="","",COUNTIF(ShareLink,$C833))</f>
        <v/>
      </c>
      <c r="G833" s="17">
        <f>IF($N833="","",IF(ROUND($E833-$D833,0)=0,"√","▲ "&amp;TEXT($D833-$E833,"#,##0")))</f>
        <v/>
      </c>
      <c r="N833">
        <f>IFERROR(MATCH($C$5&amp;"|"&amp;RIGHT("000000"&amp;817,6),LdAKeyG,0),"")</f>
        <v/>
      </c>
    </row>
    <row r="834">
      <c r="A834" s="19" t="n">
        <v>818</v>
      </c>
      <c r="B834" s="20">
        <f>IF($N834="","",INDEX(LdADate,$N834))</f>
        <v/>
      </c>
      <c r="C834" s="20">
        <f>IF($N834="","",IF(INDEX(LdAId,$N834)="","—",INDEX(LdAId,$N834)))</f>
        <v/>
      </c>
      <c r="D834" s="21">
        <f>IF($N834="","",IF(INDEX(LdAAmt,$N834)=0,"",INDEX(LdAAmt,$N834)))</f>
        <v/>
      </c>
      <c r="E834" s="21">
        <f>IF($N834="","",SUMIFS(ShareAmt,ShareLink,$C834))</f>
        <v/>
      </c>
      <c r="F834" s="34">
        <f>IF($N834="","",COUNTIF(ShareLink,$C834))</f>
        <v/>
      </c>
      <c r="G834" s="22">
        <f>IF($N834="","",IF(ROUND($E834-$D834,0)=0,"√","▲ "&amp;TEXT($D834-$E834,"#,##0")))</f>
        <v/>
      </c>
      <c r="N834">
        <f>IFERROR(MATCH($C$5&amp;"|"&amp;RIGHT("000000"&amp;818,6),LdAKeyG,0),"")</f>
        <v/>
      </c>
    </row>
    <row r="835">
      <c r="A835" s="10" t="n">
        <v>819</v>
      </c>
      <c r="B835" s="14">
        <f>IF($N835="","",INDEX(LdADate,$N835))</f>
        <v/>
      </c>
      <c r="C835" s="14">
        <f>IF($N835="","",IF(INDEX(LdAId,$N835)="","—",INDEX(LdAId,$N835)))</f>
        <v/>
      </c>
      <c r="D835" s="16">
        <f>IF($N835="","",IF(INDEX(LdAAmt,$N835)=0,"",INDEX(LdAAmt,$N835)))</f>
        <v/>
      </c>
      <c r="E835" s="16">
        <f>IF($N835="","",SUMIFS(ShareAmt,ShareLink,$C835))</f>
        <v/>
      </c>
      <c r="F835" s="33">
        <f>IF($N835="","",COUNTIF(ShareLink,$C835))</f>
        <v/>
      </c>
      <c r="G835" s="17">
        <f>IF($N835="","",IF(ROUND($E835-$D835,0)=0,"√","▲ "&amp;TEXT($D835-$E835,"#,##0")))</f>
        <v/>
      </c>
      <c r="N835">
        <f>IFERROR(MATCH($C$5&amp;"|"&amp;RIGHT("000000"&amp;819,6),LdAKeyG,0),"")</f>
        <v/>
      </c>
    </row>
    <row r="836">
      <c r="A836" s="19" t="n">
        <v>820</v>
      </c>
      <c r="B836" s="20">
        <f>IF($N836="","",INDEX(LdADate,$N836))</f>
        <v/>
      </c>
      <c r="C836" s="20">
        <f>IF($N836="","",IF(INDEX(LdAId,$N836)="","—",INDEX(LdAId,$N836)))</f>
        <v/>
      </c>
      <c r="D836" s="21">
        <f>IF($N836="","",IF(INDEX(LdAAmt,$N836)=0,"",INDEX(LdAAmt,$N836)))</f>
        <v/>
      </c>
      <c r="E836" s="21">
        <f>IF($N836="","",SUMIFS(ShareAmt,ShareLink,$C836))</f>
        <v/>
      </c>
      <c r="F836" s="34">
        <f>IF($N836="","",COUNTIF(ShareLink,$C836))</f>
        <v/>
      </c>
      <c r="G836" s="22">
        <f>IF($N836="","",IF(ROUND($E836-$D836,0)=0,"√","▲ "&amp;TEXT($D836-$E836,"#,##0")))</f>
        <v/>
      </c>
      <c r="N836">
        <f>IFERROR(MATCH($C$5&amp;"|"&amp;RIGHT("000000"&amp;820,6),LdAKeyG,0),"")</f>
        <v/>
      </c>
    </row>
    <row r="837">
      <c r="A837" s="10" t="n">
        <v>821</v>
      </c>
      <c r="B837" s="14">
        <f>IF($N837="","",INDEX(LdADate,$N837))</f>
        <v/>
      </c>
      <c r="C837" s="14">
        <f>IF($N837="","",IF(INDEX(LdAId,$N837)="","—",INDEX(LdAId,$N837)))</f>
        <v/>
      </c>
      <c r="D837" s="16">
        <f>IF($N837="","",IF(INDEX(LdAAmt,$N837)=0,"",INDEX(LdAAmt,$N837)))</f>
        <v/>
      </c>
      <c r="E837" s="16">
        <f>IF($N837="","",SUMIFS(ShareAmt,ShareLink,$C837))</f>
        <v/>
      </c>
      <c r="F837" s="33">
        <f>IF($N837="","",COUNTIF(ShareLink,$C837))</f>
        <v/>
      </c>
      <c r="G837" s="17">
        <f>IF($N837="","",IF(ROUND($E837-$D837,0)=0,"√","▲ "&amp;TEXT($D837-$E837,"#,##0")))</f>
        <v/>
      </c>
      <c r="N837">
        <f>IFERROR(MATCH($C$5&amp;"|"&amp;RIGHT("000000"&amp;821,6),LdAKeyG,0),"")</f>
        <v/>
      </c>
    </row>
    <row r="838">
      <c r="A838" s="19" t="n">
        <v>822</v>
      </c>
      <c r="B838" s="20">
        <f>IF($N838="","",INDEX(LdADate,$N838))</f>
        <v/>
      </c>
      <c r="C838" s="20">
        <f>IF($N838="","",IF(INDEX(LdAId,$N838)="","—",INDEX(LdAId,$N838)))</f>
        <v/>
      </c>
      <c r="D838" s="21">
        <f>IF($N838="","",IF(INDEX(LdAAmt,$N838)=0,"",INDEX(LdAAmt,$N838)))</f>
        <v/>
      </c>
      <c r="E838" s="21">
        <f>IF($N838="","",SUMIFS(ShareAmt,ShareLink,$C838))</f>
        <v/>
      </c>
      <c r="F838" s="34">
        <f>IF($N838="","",COUNTIF(ShareLink,$C838))</f>
        <v/>
      </c>
      <c r="G838" s="22">
        <f>IF($N838="","",IF(ROUND($E838-$D838,0)=0,"√","▲ "&amp;TEXT($D838-$E838,"#,##0")))</f>
        <v/>
      </c>
      <c r="N838">
        <f>IFERROR(MATCH($C$5&amp;"|"&amp;RIGHT("000000"&amp;822,6),LdAKeyG,0),"")</f>
        <v/>
      </c>
    </row>
    <row r="839">
      <c r="A839" s="10" t="n">
        <v>823</v>
      </c>
      <c r="B839" s="14">
        <f>IF($N839="","",INDEX(LdADate,$N839))</f>
        <v/>
      </c>
      <c r="C839" s="14">
        <f>IF($N839="","",IF(INDEX(LdAId,$N839)="","—",INDEX(LdAId,$N839)))</f>
        <v/>
      </c>
      <c r="D839" s="16">
        <f>IF($N839="","",IF(INDEX(LdAAmt,$N839)=0,"",INDEX(LdAAmt,$N839)))</f>
        <v/>
      </c>
      <c r="E839" s="16">
        <f>IF($N839="","",SUMIFS(ShareAmt,ShareLink,$C839))</f>
        <v/>
      </c>
      <c r="F839" s="33">
        <f>IF($N839="","",COUNTIF(ShareLink,$C839))</f>
        <v/>
      </c>
      <c r="G839" s="17">
        <f>IF($N839="","",IF(ROUND($E839-$D839,0)=0,"√","▲ "&amp;TEXT($D839-$E839,"#,##0")))</f>
        <v/>
      </c>
      <c r="N839">
        <f>IFERROR(MATCH($C$5&amp;"|"&amp;RIGHT("000000"&amp;823,6),LdAKeyG,0),"")</f>
        <v/>
      </c>
    </row>
    <row r="840">
      <c r="A840" s="19" t="n">
        <v>824</v>
      </c>
      <c r="B840" s="20">
        <f>IF($N840="","",INDEX(LdADate,$N840))</f>
        <v/>
      </c>
      <c r="C840" s="20">
        <f>IF($N840="","",IF(INDEX(LdAId,$N840)="","—",INDEX(LdAId,$N840)))</f>
        <v/>
      </c>
      <c r="D840" s="21">
        <f>IF($N840="","",IF(INDEX(LdAAmt,$N840)=0,"",INDEX(LdAAmt,$N840)))</f>
        <v/>
      </c>
      <c r="E840" s="21">
        <f>IF($N840="","",SUMIFS(ShareAmt,ShareLink,$C840))</f>
        <v/>
      </c>
      <c r="F840" s="34">
        <f>IF($N840="","",COUNTIF(ShareLink,$C840))</f>
        <v/>
      </c>
      <c r="G840" s="22">
        <f>IF($N840="","",IF(ROUND($E840-$D840,0)=0,"√","▲ "&amp;TEXT($D840-$E840,"#,##0")))</f>
        <v/>
      </c>
      <c r="N840">
        <f>IFERROR(MATCH($C$5&amp;"|"&amp;RIGHT("000000"&amp;824,6),LdAKeyG,0),"")</f>
        <v/>
      </c>
    </row>
    <row r="841">
      <c r="A841" s="10" t="n">
        <v>825</v>
      </c>
      <c r="B841" s="14">
        <f>IF($N841="","",INDEX(LdADate,$N841))</f>
        <v/>
      </c>
      <c r="C841" s="14">
        <f>IF($N841="","",IF(INDEX(LdAId,$N841)="","—",INDEX(LdAId,$N841)))</f>
        <v/>
      </c>
      <c r="D841" s="16">
        <f>IF($N841="","",IF(INDEX(LdAAmt,$N841)=0,"",INDEX(LdAAmt,$N841)))</f>
        <v/>
      </c>
      <c r="E841" s="16">
        <f>IF($N841="","",SUMIFS(ShareAmt,ShareLink,$C841))</f>
        <v/>
      </c>
      <c r="F841" s="33">
        <f>IF($N841="","",COUNTIF(ShareLink,$C841))</f>
        <v/>
      </c>
      <c r="G841" s="17">
        <f>IF($N841="","",IF(ROUND($E841-$D841,0)=0,"√","▲ "&amp;TEXT($D841-$E841,"#,##0")))</f>
        <v/>
      </c>
      <c r="N841">
        <f>IFERROR(MATCH($C$5&amp;"|"&amp;RIGHT("000000"&amp;825,6),LdAKeyG,0),"")</f>
        <v/>
      </c>
    </row>
    <row r="842">
      <c r="A842" s="19" t="n">
        <v>826</v>
      </c>
      <c r="B842" s="20">
        <f>IF($N842="","",INDEX(LdADate,$N842))</f>
        <v/>
      </c>
      <c r="C842" s="20">
        <f>IF($N842="","",IF(INDEX(LdAId,$N842)="","—",INDEX(LdAId,$N842)))</f>
        <v/>
      </c>
      <c r="D842" s="21">
        <f>IF($N842="","",IF(INDEX(LdAAmt,$N842)=0,"",INDEX(LdAAmt,$N842)))</f>
        <v/>
      </c>
      <c r="E842" s="21">
        <f>IF($N842="","",SUMIFS(ShareAmt,ShareLink,$C842))</f>
        <v/>
      </c>
      <c r="F842" s="34">
        <f>IF($N842="","",COUNTIF(ShareLink,$C842))</f>
        <v/>
      </c>
      <c r="G842" s="22">
        <f>IF($N842="","",IF(ROUND($E842-$D842,0)=0,"√","▲ "&amp;TEXT($D842-$E842,"#,##0")))</f>
        <v/>
      </c>
      <c r="N842">
        <f>IFERROR(MATCH($C$5&amp;"|"&amp;RIGHT("000000"&amp;826,6),LdAKeyG,0),"")</f>
        <v/>
      </c>
    </row>
    <row r="843">
      <c r="A843" s="10" t="n">
        <v>827</v>
      </c>
      <c r="B843" s="14">
        <f>IF($N843="","",INDEX(LdADate,$N843))</f>
        <v/>
      </c>
      <c r="C843" s="14">
        <f>IF($N843="","",IF(INDEX(LdAId,$N843)="","—",INDEX(LdAId,$N843)))</f>
        <v/>
      </c>
      <c r="D843" s="16">
        <f>IF($N843="","",IF(INDEX(LdAAmt,$N843)=0,"",INDEX(LdAAmt,$N843)))</f>
        <v/>
      </c>
      <c r="E843" s="16">
        <f>IF($N843="","",SUMIFS(ShareAmt,ShareLink,$C843))</f>
        <v/>
      </c>
      <c r="F843" s="33">
        <f>IF($N843="","",COUNTIF(ShareLink,$C843))</f>
        <v/>
      </c>
      <c r="G843" s="17">
        <f>IF($N843="","",IF(ROUND($E843-$D843,0)=0,"√","▲ "&amp;TEXT($D843-$E843,"#,##0")))</f>
        <v/>
      </c>
      <c r="N843">
        <f>IFERROR(MATCH($C$5&amp;"|"&amp;RIGHT("000000"&amp;827,6),LdAKeyG,0),"")</f>
        <v/>
      </c>
    </row>
    <row r="844">
      <c r="A844" s="19" t="n">
        <v>828</v>
      </c>
      <c r="B844" s="20">
        <f>IF($N844="","",INDEX(LdADate,$N844))</f>
        <v/>
      </c>
      <c r="C844" s="20">
        <f>IF($N844="","",IF(INDEX(LdAId,$N844)="","—",INDEX(LdAId,$N844)))</f>
        <v/>
      </c>
      <c r="D844" s="21">
        <f>IF($N844="","",IF(INDEX(LdAAmt,$N844)=0,"",INDEX(LdAAmt,$N844)))</f>
        <v/>
      </c>
      <c r="E844" s="21">
        <f>IF($N844="","",SUMIFS(ShareAmt,ShareLink,$C844))</f>
        <v/>
      </c>
      <c r="F844" s="34">
        <f>IF($N844="","",COUNTIF(ShareLink,$C844))</f>
        <v/>
      </c>
      <c r="G844" s="22">
        <f>IF($N844="","",IF(ROUND($E844-$D844,0)=0,"√","▲ "&amp;TEXT($D844-$E844,"#,##0")))</f>
        <v/>
      </c>
      <c r="N844">
        <f>IFERROR(MATCH($C$5&amp;"|"&amp;RIGHT("000000"&amp;828,6),LdAKeyG,0),"")</f>
        <v/>
      </c>
    </row>
    <row r="845">
      <c r="A845" s="10" t="n">
        <v>829</v>
      </c>
      <c r="B845" s="14">
        <f>IF($N845="","",INDEX(LdADate,$N845))</f>
        <v/>
      </c>
      <c r="C845" s="14">
        <f>IF($N845="","",IF(INDEX(LdAId,$N845)="","—",INDEX(LdAId,$N845)))</f>
        <v/>
      </c>
      <c r="D845" s="16">
        <f>IF($N845="","",IF(INDEX(LdAAmt,$N845)=0,"",INDEX(LdAAmt,$N845)))</f>
        <v/>
      </c>
      <c r="E845" s="16">
        <f>IF($N845="","",SUMIFS(ShareAmt,ShareLink,$C845))</f>
        <v/>
      </c>
      <c r="F845" s="33">
        <f>IF($N845="","",COUNTIF(ShareLink,$C845))</f>
        <v/>
      </c>
      <c r="G845" s="17">
        <f>IF($N845="","",IF(ROUND($E845-$D845,0)=0,"√","▲ "&amp;TEXT($D845-$E845,"#,##0")))</f>
        <v/>
      </c>
      <c r="N845">
        <f>IFERROR(MATCH($C$5&amp;"|"&amp;RIGHT("000000"&amp;829,6),LdAKeyG,0),"")</f>
        <v/>
      </c>
    </row>
    <row r="846">
      <c r="A846" s="19" t="n">
        <v>830</v>
      </c>
      <c r="B846" s="20">
        <f>IF($N846="","",INDEX(LdADate,$N846))</f>
        <v/>
      </c>
      <c r="C846" s="20">
        <f>IF($N846="","",IF(INDEX(LdAId,$N846)="","—",INDEX(LdAId,$N846)))</f>
        <v/>
      </c>
      <c r="D846" s="21">
        <f>IF($N846="","",IF(INDEX(LdAAmt,$N846)=0,"",INDEX(LdAAmt,$N846)))</f>
        <v/>
      </c>
      <c r="E846" s="21">
        <f>IF($N846="","",SUMIFS(ShareAmt,ShareLink,$C846))</f>
        <v/>
      </c>
      <c r="F846" s="34">
        <f>IF($N846="","",COUNTIF(ShareLink,$C846))</f>
        <v/>
      </c>
      <c r="G846" s="22">
        <f>IF($N846="","",IF(ROUND($E846-$D846,0)=0,"√","▲ "&amp;TEXT($D846-$E846,"#,##0")))</f>
        <v/>
      </c>
      <c r="N846">
        <f>IFERROR(MATCH($C$5&amp;"|"&amp;RIGHT("000000"&amp;830,6),LdAKeyG,0),"")</f>
        <v/>
      </c>
    </row>
    <row r="847">
      <c r="A847" s="10" t="n">
        <v>831</v>
      </c>
      <c r="B847" s="14">
        <f>IF($N847="","",INDEX(LdADate,$N847))</f>
        <v/>
      </c>
      <c r="C847" s="14">
        <f>IF($N847="","",IF(INDEX(LdAId,$N847)="","—",INDEX(LdAId,$N847)))</f>
        <v/>
      </c>
      <c r="D847" s="16">
        <f>IF($N847="","",IF(INDEX(LdAAmt,$N847)=0,"",INDEX(LdAAmt,$N847)))</f>
        <v/>
      </c>
      <c r="E847" s="16">
        <f>IF($N847="","",SUMIFS(ShareAmt,ShareLink,$C847))</f>
        <v/>
      </c>
      <c r="F847" s="33">
        <f>IF($N847="","",COUNTIF(ShareLink,$C847))</f>
        <v/>
      </c>
      <c r="G847" s="17">
        <f>IF($N847="","",IF(ROUND($E847-$D847,0)=0,"√","▲ "&amp;TEXT($D847-$E847,"#,##0")))</f>
        <v/>
      </c>
      <c r="N847">
        <f>IFERROR(MATCH($C$5&amp;"|"&amp;RIGHT("000000"&amp;831,6),LdAKeyG,0),"")</f>
        <v/>
      </c>
    </row>
    <row r="848">
      <c r="A848" s="19" t="n">
        <v>832</v>
      </c>
      <c r="B848" s="20">
        <f>IF($N848="","",INDEX(LdADate,$N848))</f>
        <v/>
      </c>
      <c r="C848" s="20">
        <f>IF($N848="","",IF(INDEX(LdAId,$N848)="","—",INDEX(LdAId,$N848)))</f>
        <v/>
      </c>
      <c r="D848" s="21">
        <f>IF($N848="","",IF(INDEX(LdAAmt,$N848)=0,"",INDEX(LdAAmt,$N848)))</f>
        <v/>
      </c>
      <c r="E848" s="21">
        <f>IF($N848="","",SUMIFS(ShareAmt,ShareLink,$C848))</f>
        <v/>
      </c>
      <c r="F848" s="34">
        <f>IF($N848="","",COUNTIF(ShareLink,$C848))</f>
        <v/>
      </c>
      <c r="G848" s="22">
        <f>IF($N848="","",IF(ROUND($E848-$D848,0)=0,"√","▲ "&amp;TEXT($D848-$E848,"#,##0")))</f>
        <v/>
      </c>
      <c r="N848">
        <f>IFERROR(MATCH($C$5&amp;"|"&amp;RIGHT("000000"&amp;832,6),LdAKeyG,0),"")</f>
        <v/>
      </c>
    </row>
    <row r="849">
      <c r="A849" s="10" t="n">
        <v>833</v>
      </c>
      <c r="B849" s="14">
        <f>IF($N849="","",INDEX(LdADate,$N849))</f>
        <v/>
      </c>
      <c r="C849" s="14">
        <f>IF($N849="","",IF(INDEX(LdAId,$N849)="","—",INDEX(LdAId,$N849)))</f>
        <v/>
      </c>
      <c r="D849" s="16">
        <f>IF($N849="","",IF(INDEX(LdAAmt,$N849)=0,"",INDEX(LdAAmt,$N849)))</f>
        <v/>
      </c>
      <c r="E849" s="16">
        <f>IF($N849="","",SUMIFS(ShareAmt,ShareLink,$C849))</f>
        <v/>
      </c>
      <c r="F849" s="33">
        <f>IF($N849="","",COUNTIF(ShareLink,$C849))</f>
        <v/>
      </c>
      <c r="G849" s="17">
        <f>IF($N849="","",IF(ROUND($E849-$D849,0)=0,"√","▲ "&amp;TEXT($D849-$E849,"#,##0")))</f>
        <v/>
      </c>
      <c r="N849">
        <f>IFERROR(MATCH($C$5&amp;"|"&amp;RIGHT("000000"&amp;833,6),LdAKeyG,0),"")</f>
        <v/>
      </c>
    </row>
    <row r="850">
      <c r="A850" s="19" t="n">
        <v>834</v>
      </c>
      <c r="B850" s="20">
        <f>IF($N850="","",INDEX(LdADate,$N850))</f>
        <v/>
      </c>
      <c r="C850" s="20">
        <f>IF($N850="","",IF(INDEX(LdAId,$N850)="","—",INDEX(LdAId,$N850)))</f>
        <v/>
      </c>
      <c r="D850" s="21">
        <f>IF($N850="","",IF(INDEX(LdAAmt,$N850)=0,"",INDEX(LdAAmt,$N850)))</f>
        <v/>
      </c>
      <c r="E850" s="21">
        <f>IF($N850="","",SUMIFS(ShareAmt,ShareLink,$C850))</f>
        <v/>
      </c>
      <c r="F850" s="34">
        <f>IF($N850="","",COUNTIF(ShareLink,$C850))</f>
        <v/>
      </c>
      <c r="G850" s="22">
        <f>IF($N850="","",IF(ROUND($E850-$D850,0)=0,"√","▲ "&amp;TEXT($D850-$E850,"#,##0")))</f>
        <v/>
      </c>
      <c r="N850">
        <f>IFERROR(MATCH($C$5&amp;"|"&amp;RIGHT("000000"&amp;834,6),LdAKeyG,0),"")</f>
        <v/>
      </c>
    </row>
    <row r="851">
      <c r="A851" s="10" t="n">
        <v>835</v>
      </c>
      <c r="B851" s="14">
        <f>IF($N851="","",INDEX(LdADate,$N851))</f>
        <v/>
      </c>
      <c r="C851" s="14">
        <f>IF($N851="","",IF(INDEX(LdAId,$N851)="","—",INDEX(LdAId,$N851)))</f>
        <v/>
      </c>
      <c r="D851" s="16">
        <f>IF($N851="","",IF(INDEX(LdAAmt,$N851)=0,"",INDEX(LdAAmt,$N851)))</f>
        <v/>
      </c>
      <c r="E851" s="16">
        <f>IF($N851="","",SUMIFS(ShareAmt,ShareLink,$C851))</f>
        <v/>
      </c>
      <c r="F851" s="33">
        <f>IF($N851="","",COUNTIF(ShareLink,$C851))</f>
        <v/>
      </c>
      <c r="G851" s="17">
        <f>IF($N851="","",IF(ROUND($E851-$D851,0)=0,"√","▲ "&amp;TEXT($D851-$E851,"#,##0")))</f>
        <v/>
      </c>
      <c r="N851">
        <f>IFERROR(MATCH($C$5&amp;"|"&amp;RIGHT("000000"&amp;835,6),LdAKeyG,0),"")</f>
        <v/>
      </c>
    </row>
    <row r="852">
      <c r="A852" s="19" t="n">
        <v>836</v>
      </c>
      <c r="B852" s="20">
        <f>IF($N852="","",INDEX(LdADate,$N852))</f>
        <v/>
      </c>
      <c r="C852" s="20">
        <f>IF($N852="","",IF(INDEX(LdAId,$N852)="","—",INDEX(LdAId,$N852)))</f>
        <v/>
      </c>
      <c r="D852" s="21">
        <f>IF($N852="","",IF(INDEX(LdAAmt,$N852)=0,"",INDEX(LdAAmt,$N852)))</f>
        <v/>
      </c>
      <c r="E852" s="21">
        <f>IF($N852="","",SUMIFS(ShareAmt,ShareLink,$C852))</f>
        <v/>
      </c>
      <c r="F852" s="34">
        <f>IF($N852="","",COUNTIF(ShareLink,$C852))</f>
        <v/>
      </c>
      <c r="G852" s="22">
        <f>IF($N852="","",IF(ROUND($E852-$D852,0)=0,"√","▲ "&amp;TEXT($D852-$E852,"#,##0")))</f>
        <v/>
      </c>
      <c r="N852">
        <f>IFERROR(MATCH($C$5&amp;"|"&amp;RIGHT("000000"&amp;836,6),LdAKeyG,0),"")</f>
        <v/>
      </c>
    </row>
    <row r="853">
      <c r="A853" s="10" t="n">
        <v>837</v>
      </c>
      <c r="B853" s="14">
        <f>IF($N853="","",INDEX(LdADate,$N853))</f>
        <v/>
      </c>
      <c r="C853" s="14">
        <f>IF($N853="","",IF(INDEX(LdAId,$N853)="","—",INDEX(LdAId,$N853)))</f>
        <v/>
      </c>
      <c r="D853" s="16">
        <f>IF($N853="","",IF(INDEX(LdAAmt,$N853)=0,"",INDEX(LdAAmt,$N853)))</f>
        <v/>
      </c>
      <c r="E853" s="16">
        <f>IF($N853="","",SUMIFS(ShareAmt,ShareLink,$C853))</f>
        <v/>
      </c>
      <c r="F853" s="33">
        <f>IF($N853="","",COUNTIF(ShareLink,$C853))</f>
        <v/>
      </c>
      <c r="G853" s="17">
        <f>IF($N853="","",IF(ROUND($E853-$D853,0)=0,"√","▲ "&amp;TEXT($D853-$E853,"#,##0")))</f>
        <v/>
      </c>
      <c r="N853">
        <f>IFERROR(MATCH($C$5&amp;"|"&amp;RIGHT("000000"&amp;837,6),LdAKeyG,0),"")</f>
        <v/>
      </c>
    </row>
    <row r="854">
      <c r="A854" s="19" t="n">
        <v>838</v>
      </c>
      <c r="B854" s="20">
        <f>IF($N854="","",INDEX(LdADate,$N854))</f>
        <v/>
      </c>
      <c r="C854" s="20">
        <f>IF($N854="","",IF(INDEX(LdAId,$N854)="","—",INDEX(LdAId,$N854)))</f>
        <v/>
      </c>
      <c r="D854" s="21">
        <f>IF($N854="","",IF(INDEX(LdAAmt,$N854)=0,"",INDEX(LdAAmt,$N854)))</f>
        <v/>
      </c>
      <c r="E854" s="21">
        <f>IF($N854="","",SUMIFS(ShareAmt,ShareLink,$C854))</f>
        <v/>
      </c>
      <c r="F854" s="34">
        <f>IF($N854="","",COUNTIF(ShareLink,$C854))</f>
        <v/>
      </c>
      <c r="G854" s="22">
        <f>IF($N854="","",IF(ROUND($E854-$D854,0)=0,"√","▲ "&amp;TEXT($D854-$E854,"#,##0")))</f>
        <v/>
      </c>
      <c r="N854">
        <f>IFERROR(MATCH($C$5&amp;"|"&amp;RIGHT("000000"&amp;838,6),LdAKeyG,0),"")</f>
        <v/>
      </c>
    </row>
    <row r="855">
      <c r="A855" s="10" t="n">
        <v>839</v>
      </c>
      <c r="B855" s="14">
        <f>IF($N855="","",INDEX(LdADate,$N855))</f>
        <v/>
      </c>
      <c r="C855" s="14">
        <f>IF($N855="","",IF(INDEX(LdAId,$N855)="","—",INDEX(LdAId,$N855)))</f>
        <v/>
      </c>
      <c r="D855" s="16">
        <f>IF($N855="","",IF(INDEX(LdAAmt,$N855)=0,"",INDEX(LdAAmt,$N855)))</f>
        <v/>
      </c>
      <c r="E855" s="16">
        <f>IF($N855="","",SUMIFS(ShareAmt,ShareLink,$C855))</f>
        <v/>
      </c>
      <c r="F855" s="33">
        <f>IF($N855="","",COUNTIF(ShareLink,$C855))</f>
        <v/>
      </c>
      <c r="G855" s="17">
        <f>IF($N855="","",IF(ROUND($E855-$D855,0)=0,"√","▲ "&amp;TEXT($D855-$E855,"#,##0")))</f>
        <v/>
      </c>
      <c r="N855">
        <f>IFERROR(MATCH($C$5&amp;"|"&amp;RIGHT("000000"&amp;839,6),LdAKeyG,0),"")</f>
        <v/>
      </c>
    </row>
    <row r="856">
      <c r="A856" s="19" t="n">
        <v>840</v>
      </c>
      <c r="B856" s="20">
        <f>IF($N856="","",INDEX(LdADate,$N856))</f>
        <v/>
      </c>
      <c r="C856" s="20">
        <f>IF($N856="","",IF(INDEX(LdAId,$N856)="","—",INDEX(LdAId,$N856)))</f>
        <v/>
      </c>
      <c r="D856" s="21">
        <f>IF($N856="","",IF(INDEX(LdAAmt,$N856)=0,"",INDEX(LdAAmt,$N856)))</f>
        <v/>
      </c>
      <c r="E856" s="21">
        <f>IF($N856="","",SUMIFS(ShareAmt,ShareLink,$C856))</f>
        <v/>
      </c>
      <c r="F856" s="34">
        <f>IF($N856="","",COUNTIF(ShareLink,$C856))</f>
        <v/>
      </c>
      <c r="G856" s="22">
        <f>IF($N856="","",IF(ROUND($E856-$D856,0)=0,"√","▲ "&amp;TEXT($D856-$E856,"#,##0")))</f>
        <v/>
      </c>
      <c r="N856">
        <f>IFERROR(MATCH($C$5&amp;"|"&amp;RIGHT("000000"&amp;840,6),LdAKeyG,0),"")</f>
        <v/>
      </c>
    </row>
    <row r="857">
      <c r="A857" s="10" t="n">
        <v>841</v>
      </c>
      <c r="B857" s="14">
        <f>IF($N857="","",INDEX(LdADate,$N857))</f>
        <v/>
      </c>
      <c r="C857" s="14">
        <f>IF($N857="","",IF(INDEX(LdAId,$N857)="","—",INDEX(LdAId,$N857)))</f>
        <v/>
      </c>
      <c r="D857" s="16">
        <f>IF($N857="","",IF(INDEX(LdAAmt,$N857)=0,"",INDEX(LdAAmt,$N857)))</f>
        <v/>
      </c>
      <c r="E857" s="16">
        <f>IF($N857="","",SUMIFS(ShareAmt,ShareLink,$C857))</f>
        <v/>
      </c>
      <c r="F857" s="33">
        <f>IF($N857="","",COUNTIF(ShareLink,$C857))</f>
        <v/>
      </c>
      <c r="G857" s="17">
        <f>IF($N857="","",IF(ROUND($E857-$D857,0)=0,"√","▲ "&amp;TEXT($D857-$E857,"#,##0")))</f>
        <v/>
      </c>
      <c r="N857">
        <f>IFERROR(MATCH($C$5&amp;"|"&amp;RIGHT("000000"&amp;841,6),LdAKeyG,0),"")</f>
        <v/>
      </c>
    </row>
    <row r="858">
      <c r="A858" s="19" t="n">
        <v>842</v>
      </c>
      <c r="B858" s="20">
        <f>IF($N858="","",INDEX(LdADate,$N858))</f>
        <v/>
      </c>
      <c r="C858" s="20">
        <f>IF($N858="","",IF(INDEX(LdAId,$N858)="","—",INDEX(LdAId,$N858)))</f>
        <v/>
      </c>
      <c r="D858" s="21">
        <f>IF($N858="","",IF(INDEX(LdAAmt,$N858)=0,"",INDEX(LdAAmt,$N858)))</f>
        <v/>
      </c>
      <c r="E858" s="21">
        <f>IF($N858="","",SUMIFS(ShareAmt,ShareLink,$C858))</f>
        <v/>
      </c>
      <c r="F858" s="34">
        <f>IF($N858="","",COUNTIF(ShareLink,$C858))</f>
        <v/>
      </c>
      <c r="G858" s="22">
        <f>IF($N858="","",IF(ROUND($E858-$D858,0)=0,"√","▲ "&amp;TEXT($D858-$E858,"#,##0")))</f>
        <v/>
      </c>
      <c r="N858">
        <f>IFERROR(MATCH($C$5&amp;"|"&amp;RIGHT("000000"&amp;842,6),LdAKeyG,0),"")</f>
        <v/>
      </c>
    </row>
    <row r="859">
      <c r="A859" s="10" t="n">
        <v>843</v>
      </c>
      <c r="B859" s="14">
        <f>IF($N859="","",INDEX(LdADate,$N859))</f>
        <v/>
      </c>
      <c r="C859" s="14">
        <f>IF($N859="","",IF(INDEX(LdAId,$N859)="","—",INDEX(LdAId,$N859)))</f>
        <v/>
      </c>
      <c r="D859" s="16">
        <f>IF($N859="","",IF(INDEX(LdAAmt,$N859)=0,"",INDEX(LdAAmt,$N859)))</f>
        <v/>
      </c>
      <c r="E859" s="16">
        <f>IF($N859="","",SUMIFS(ShareAmt,ShareLink,$C859))</f>
        <v/>
      </c>
      <c r="F859" s="33">
        <f>IF($N859="","",COUNTIF(ShareLink,$C859))</f>
        <v/>
      </c>
      <c r="G859" s="17">
        <f>IF($N859="","",IF(ROUND($E859-$D859,0)=0,"√","▲ "&amp;TEXT($D859-$E859,"#,##0")))</f>
        <v/>
      </c>
      <c r="N859">
        <f>IFERROR(MATCH($C$5&amp;"|"&amp;RIGHT("000000"&amp;843,6),LdAKeyG,0),"")</f>
        <v/>
      </c>
    </row>
    <row r="860">
      <c r="A860" s="19" t="n">
        <v>844</v>
      </c>
      <c r="B860" s="20">
        <f>IF($N860="","",INDEX(LdADate,$N860))</f>
        <v/>
      </c>
      <c r="C860" s="20">
        <f>IF($N860="","",IF(INDEX(LdAId,$N860)="","—",INDEX(LdAId,$N860)))</f>
        <v/>
      </c>
      <c r="D860" s="21">
        <f>IF($N860="","",IF(INDEX(LdAAmt,$N860)=0,"",INDEX(LdAAmt,$N860)))</f>
        <v/>
      </c>
      <c r="E860" s="21">
        <f>IF($N860="","",SUMIFS(ShareAmt,ShareLink,$C860))</f>
        <v/>
      </c>
      <c r="F860" s="34">
        <f>IF($N860="","",COUNTIF(ShareLink,$C860))</f>
        <v/>
      </c>
      <c r="G860" s="22">
        <f>IF($N860="","",IF(ROUND($E860-$D860,0)=0,"√","▲ "&amp;TEXT($D860-$E860,"#,##0")))</f>
        <v/>
      </c>
      <c r="N860">
        <f>IFERROR(MATCH($C$5&amp;"|"&amp;RIGHT("000000"&amp;844,6),LdAKeyG,0),"")</f>
        <v/>
      </c>
    </row>
    <row r="861">
      <c r="A861" s="10" t="n">
        <v>845</v>
      </c>
      <c r="B861" s="14">
        <f>IF($N861="","",INDEX(LdADate,$N861))</f>
        <v/>
      </c>
      <c r="C861" s="14">
        <f>IF($N861="","",IF(INDEX(LdAId,$N861)="","—",INDEX(LdAId,$N861)))</f>
        <v/>
      </c>
      <c r="D861" s="16">
        <f>IF($N861="","",IF(INDEX(LdAAmt,$N861)=0,"",INDEX(LdAAmt,$N861)))</f>
        <v/>
      </c>
      <c r="E861" s="16">
        <f>IF($N861="","",SUMIFS(ShareAmt,ShareLink,$C861))</f>
        <v/>
      </c>
      <c r="F861" s="33">
        <f>IF($N861="","",COUNTIF(ShareLink,$C861))</f>
        <v/>
      </c>
      <c r="G861" s="17">
        <f>IF($N861="","",IF(ROUND($E861-$D861,0)=0,"√","▲ "&amp;TEXT($D861-$E861,"#,##0")))</f>
        <v/>
      </c>
      <c r="N861">
        <f>IFERROR(MATCH($C$5&amp;"|"&amp;RIGHT("000000"&amp;845,6),LdAKeyG,0),"")</f>
        <v/>
      </c>
    </row>
    <row r="862">
      <c r="A862" s="19" t="n">
        <v>846</v>
      </c>
      <c r="B862" s="20">
        <f>IF($N862="","",INDEX(LdADate,$N862))</f>
        <v/>
      </c>
      <c r="C862" s="20">
        <f>IF($N862="","",IF(INDEX(LdAId,$N862)="","—",INDEX(LdAId,$N862)))</f>
        <v/>
      </c>
      <c r="D862" s="21">
        <f>IF($N862="","",IF(INDEX(LdAAmt,$N862)=0,"",INDEX(LdAAmt,$N862)))</f>
        <v/>
      </c>
      <c r="E862" s="21">
        <f>IF($N862="","",SUMIFS(ShareAmt,ShareLink,$C862))</f>
        <v/>
      </c>
      <c r="F862" s="34">
        <f>IF($N862="","",COUNTIF(ShareLink,$C862))</f>
        <v/>
      </c>
      <c r="G862" s="22">
        <f>IF($N862="","",IF(ROUND($E862-$D862,0)=0,"√","▲ "&amp;TEXT($D862-$E862,"#,##0")))</f>
        <v/>
      </c>
      <c r="N862">
        <f>IFERROR(MATCH($C$5&amp;"|"&amp;RIGHT("000000"&amp;846,6),LdAKeyG,0),"")</f>
        <v/>
      </c>
    </row>
    <row r="863">
      <c r="A863" s="10" t="n">
        <v>847</v>
      </c>
      <c r="B863" s="14">
        <f>IF($N863="","",INDEX(LdADate,$N863))</f>
        <v/>
      </c>
      <c r="C863" s="14">
        <f>IF($N863="","",IF(INDEX(LdAId,$N863)="","—",INDEX(LdAId,$N863)))</f>
        <v/>
      </c>
      <c r="D863" s="16">
        <f>IF($N863="","",IF(INDEX(LdAAmt,$N863)=0,"",INDEX(LdAAmt,$N863)))</f>
        <v/>
      </c>
      <c r="E863" s="16">
        <f>IF($N863="","",SUMIFS(ShareAmt,ShareLink,$C863))</f>
        <v/>
      </c>
      <c r="F863" s="33">
        <f>IF($N863="","",COUNTIF(ShareLink,$C863))</f>
        <v/>
      </c>
      <c r="G863" s="17">
        <f>IF($N863="","",IF(ROUND($E863-$D863,0)=0,"√","▲ "&amp;TEXT($D863-$E863,"#,##0")))</f>
        <v/>
      </c>
      <c r="N863">
        <f>IFERROR(MATCH($C$5&amp;"|"&amp;RIGHT("000000"&amp;847,6),LdAKeyG,0),"")</f>
        <v/>
      </c>
    </row>
    <row r="864">
      <c r="A864" s="19" t="n">
        <v>848</v>
      </c>
      <c r="B864" s="20">
        <f>IF($N864="","",INDEX(LdADate,$N864))</f>
        <v/>
      </c>
      <c r="C864" s="20">
        <f>IF($N864="","",IF(INDEX(LdAId,$N864)="","—",INDEX(LdAId,$N864)))</f>
        <v/>
      </c>
      <c r="D864" s="21">
        <f>IF($N864="","",IF(INDEX(LdAAmt,$N864)=0,"",INDEX(LdAAmt,$N864)))</f>
        <v/>
      </c>
      <c r="E864" s="21">
        <f>IF($N864="","",SUMIFS(ShareAmt,ShareLink,$C864))</f>
        <v/>
      </c>
      <c r="F864" s="34">
        <f>IF($N864="","",COUNTIF(ShareLink,$C864))</f>
        <v/>
      </c>
      <c r="G864" s="22">
        <f>IF($N864="","",IF(ROUND($E864-$D864,0)=0,"√","▲ "&amp;TEXT($D864-$E864,"#,##0")))</f>
        <v/>
      </c>
      <c r="N864">
        <f>IFERROR(MATCH($C$5&amp;"|"&amp;RIGHT("000000"&amp;848,6),LdAKeyG,0),"")</f>
        <v/>
      </c>
    </row>
    <row r="865">
      <c r="A865" s="10" t="n">
        <v>849</v>
      </c>
      <c r="B865" s="14">
        <f>IF($N865="","",INDEX(LdADate,$N865))</f>
        <v/>
      </c>
      <c r="C865" s="14">
        <f>IF($N865="","",IF(INDEX(LdAId,$N865)="","—",INDEX(LdAId,$N865)))</f>
        <v/>
      </c>
      <c r="D865" s="16">
        <f>IF($N865="","",IF(INDEX(LdAAmt,$N865)=0,"",INDEX(LdAAmt,$N865)))</f>
        <v/>
      </c>
      <c r="E865" s="16">
        <f>IF($N865="","",SUMIFS(ShareAmt,ShareLink,$C865))</f>
        <v/>
      </c>
      <c r="F865" s="33">
        <f>IF($N865="","",COUNTIF(ShareLink,$C865))</f>
        <v/>
      </c>
      <c r="G865" s="17">
        <f>IF($N865="","",IF(ROUND($E865-$D865,0)=0,"√","▲ "&amp;TEXT($D865-$E865,"#,##0")))</f>
        <v/>
      </c>
      <c r="N865">
        <f>IFERROR(MATCH($C$5&amp;"|"&amp;RIGHT("000000"&amp;849,6),LdAKeyG,0),"")</f>
        <v/>
      </c>
    </row>
    <row r="866">
      <c r="A866" s="19" t="n">
        <v>850</v>
      </c>
      <c r="B866" s="20">
        <f>IF($N866="","",INDEX(LdADate,$N866))</f>
        <v/>
      </c>
      <c r="C866" s="20">
        <f>IF($N866="","",IF(INDEX(LdAId,$N866)="","—",INDEX(LdAId,$N866)))</f>
        <v/>
      </c>
      <c r="D866" s="21">
        <f>IF($N866="","",IF(INDEX(LdAAmt,$N866)=0,"",INDEX(LdAAmt,$N866)))</f>
        <v/>
      </c>
      <c r="E866" s="21">
        <f>IF($N866="","",SUMIFS(ShareAmt,ShareLink,$C866))</f>
        <v/>
      </c>
      <c r="F866" s="34">
        <f>IF($N866="","",COUNTIF(ShareLink,$C866))</f>
        <v/>
      </c>
      <c r="G866" s="22">
        <f>IF($N866="","",IF(ROUND($E866-$D866,0)=0,"√","▲ "&amp;TEXT($D866-$E866,"#,##0")))</f>
        <v/>
      </c>
      <c r="N866">
        <f>IFERROR(MATCH($C$5&amp;"|"&amp;RIGHT("000000"&amp;850,6),LdAKeyG,0),"")</f>
        <v/>
      </c>
    </row>
    <row r="867">
      <c r="A867" s="10" t="n">
        <v>851</v>
      </c>
      <c r="B867" s="14">
        <f>IF($N867="","",INDEX(LdADate,$N867))</f>
        <v/>
      </c>
      <c r="C867" s="14">
        <f>IF($N867="","",IF(INDEX(LdAId,$N867)="","—",INDEX(LdAId,$N867)))</f>
        <v/>
      </c>
      <c r="D867" s="16">
        <f>IF($N867="","",IF(INDEX(LdAAmt,$N867)=0,"",INDEX(LdAAmt,$N867)))</f>
        <v/>
      </c>
      <c r="E867" s="16">
        <f>IF($N867="","",SUMIFS(ShareAmt,ShareLink,$C867))</f>
        <v/>
      </c>
      <c r="F867" s="33">
        <f>IF($N867="","",COUNTIF(ShareLink,$C867))</f>
        <v/>
      </c>
      <c r="G867" s="17">
        <f>IF($N867="","",IF(ROUND($E867-$D867,0)=0,"√","▲ "&amp;TEXT($D867-$E867,"#,##0")))</f>
        <v/>
      </c>
      <c r="N867">
        <f>IFERROR(MATCH($C$5&amp;"|"&amp;RIGHT("000000"&amp;851,6),LdAKeyG,0),"")</f>
        <v/>
      </c>
    </row>
    <row r="868">
      <c r="A868" s="19" t="n">
        <v>852</v>
      </c>
      <c r="B868" s="20">
        <f>IF($N868="","",INDEX(LdADate,$N868))</f>
        <v/>
      </c>
      <c r="C868" s="20">
        <f>IF($N868="","",IF(INDEX(LdAId,$N868)="","—",INDEX(LdAId,$N868)))</f>
        <v/>
      </c>
      <c r="D868" s="21">
        <f>IF($N868="","",IF(INDEX(LdAAmt,$N868)=0,"",INDEX(LdAAmt,$N868)))</f>
        <v/>
      </c>
      <c r="E868" s="21">
        <f>IF($N868="","",SUMIFS(ShareAmt,ShareLink,$C868))</f>
        <v/>
      </c>
      <c r="F868" s="34">
        <f>IF($N868="","",COUNTIF(ShareLink,$C868))</f>
        <v/>
      </c>
      <c r="G868" s="22">
        <f>IF($N868="","",IF(ROUND($E868-$D868,0)=0,"√","▲ "&amp;TEXT($D868-$E868,"#,##0")))</f>
        <v/>
      </c>
      <c r="N868">
        <f>IFERROR(MATCH($C$5&amp;"|"&amp;RIGHT("000000"&amp;852,6),LdAKeyG,0),"")</f>
        <v/>
      </c>
    </row>
    <row r="869">
      <c r="A869" s="10" t="n">
        <v>853</v>
      </c>
      <c r="B869" s="14">
        <f>IF($N869="","",INDEX(LdADate,$N869))</f>
        <v/>
      </c>
      <c r="C869" s="14">
        <f>IF($N869="","",IF(INDEX(LdAId,$N869)="","—",INDEX(LdAId,$N869)))</f>
        <v/>
      </c>
      <c r="D869" s="16">
        <f>IF($N869="","",IF(INDEX(LdAAmt,$N869)=0,"",INDEX(LdAAmt,$N869)))</f>
        <v/>
      </c>
      <c r="E869" s="16">
        <f>IF($N869="","",SUMIFS(ShareAmt,ShareLink,$C869))</f>
        <v/>
      </c>
      <c r="F869" s="33">
        <f>IF($N869="","",COUNTIF(ShareLink,$C869))</f>
        <v/>
      </c>
      <c r="G869" s="17">
        <f>IF($N869="","",IF(ROUND($E869-$D869,0)=0,"√","▲ "&amp;TEXT($D869-$E869,"#,##0")))</f>
        <v/>
      </c>
      <c r="N869">
        <f>IFERROR(MATCH($C$5&amp;"|"&amp;RIGHT("000000"&amp;853,6),LdAKeyG,0),"")</f>
        <v/>
      </c>
    </row>
    <row r="870">
      <c r="A870" s="19" t="n">
        <v>854</v>
      </c>
      <c r="B870" s="20">
        <f>IF($N870="","",INDEX(LdADate,$N870))</f>
        <v/>
      </c>
      <c r="C870" s="20">
        <f>IF($N870="","",IF(INDEX(LdAId,$N870)="","—",INDEX(LdAId,$N870)))</f>
        <v/>
      </c>
      <c r="D870" s="21">
        <f>IF($N870="","",IF(INDEX(LdAAmt,$N870)=0,"",INDEX(LdAAmt,$N870)))</f>
        <v/>
      </c>
      <c r="E870" s="21">
        <f>IF($N870="","",SUMIFS(ShareAmt,ShareLink,$C870))</f>
        <v/>
      </c>
      <c r="F870" s="34">
        <f>IF($N870="","",COUNTIF(ShareLink,$C870))</f>
        <v/>
      </c>
      <c r="G870" s="22">
        <f>IF($N870="","",IF(ROUND($E870-$D870,0)=0,"√","▲ "&amp;TEXT($D870-$E870,"#,##0")))</f>
        <v/>
      </c>
      <c r="N870">
        <f>IFERROR(MATCH($C$5&amp;"|"&amp;RIGHT("000000"&amp;854,6),LdAKeyG,0),"")</f>
        <v/>
      </c>
    </row>
    <row r="871">
      <c r="A871" s="10" t="n">
        <v>855</v>
      </c>
      <c r="B871" s="14">
        <f>IF($N871="","",INDEX(LdADate,$N871))</f>
        <v/>
      </c>
      <c r="C871" s="14">
        <f>IF($N871="","",IF(INDEX(LdAId,$N871)="","—",INDEX(LdAId,$N871)))</f>
        <v/>
      </c>
      <c r="D871" s="16">
        <f>IF($N871="","",IF(INDEX(LdAAmt,$N871)=0,"",INDEX(LdAAmt,$N871)))</f>
        <v/>
      </c>
      <c r="E871" s="16">
        <f>IF($N871="","",SUMIFS(ShareAmt,ShareLink,$C871))</f>
        <v/>
      </c>
      <c r="F871" s="33">
        <f>IF($N871="","",COUNTIF(ShareLink,$C871))</f>
        <v/>
      </c>
      <c r="G871" s="17">
        <f>IF($N871="","",IF(ROUND($E871-$D871,0)=0,"√","▲ "&amp;TEXT($D871-$E871,"#,##0")))</f>
        <v/>
      </c>
      <c r="N871">
        <f>IFERROR(MATCH($C$5&amp;"|"&amp;RIGHT("000000"&amp;855,6),LdAKeyG,0),"")</f>
        <v/>
      </c>
    </row>
    <row r="872">
      <c r="A872" s="19" t="n">
        <v>856</v>
      </c>
      <c r="B872" s="20">
        <f>IF($N872="","",INDEX(LdADate,$N872))</f>
        <v/>
      </c>
      <c r="C872" s="20">
        <f>IF($N872="","",IF(INDEX(LdAId,$N872)="","—",INDEX(LdAId,$N872)))</f>
        <v/>
      </c>
      <c r="D872" s="21">
        <f>IF($N872="","",IF(INDEX(LdAAmt,$N872)=0,"",INDEX(LdAAmt,$N872)))</f>
        <v/>
      </c>
      <c r="E872" s="21">
        <f>IF($N872="","",SUMIFS(ShareAmt,ShareLink,$C872))</f>
        <v/>
      </c>
      <c r="F872" s="34">
        <f>IF($N872="","",COUNTIF(ShareLink,$C872))</f>
        <v/>
      </c>
      <c r="G872" s="22">
        <f>IF($N872="","",IF(ROUND($E872-$D872,0)=0,"√","▲ "&amp;TEXT($D872-$E872,"#,##0")))</f>
        <v/>
      </c>
      <c r="N872">
        <f>IFERROR(MATCH($C$5&amp;"|"&amp;RIGHT("000000"&amp;856,6),LdAKeyG,0),"")</f>
        <v/>
      </c>
    </row>
    <row r="873">
      <c r="A873" s="10" t="n">
        <v>857</v>
      </c>
      <c r="B873" s="14">
        <f>IF($N873="","",INDEX(LdADate,$N873))</f>
        <v/>
      </c>
      <c r="C873" s="14">
        <f>IF($N873="","",IF(INDEX(LdAId,$N873)="","—",INDEX(LdAId,$N873)))</f>
        <v/>
      </c>
      <c r="D873" s="16">
        <f>IF($N873="","",IF(INDEX(LdAAmt,$N873)=0,"",INDEX(LdAAmt,$N873)))</f>
        <v/>
      </c>
      <c r="E873" s="16">
        <f>IF($N873="","",SUMIFS(ShareAmt,ShareLink,$C873))</f>
        <v/>
      </c>
      <c r="F873" s="33">
        <f>IF($N873="","",COUNTIF(ShareLink,$C873))</f>
        <v/>
      </c>
      <c r="G873" s="17">
        <f>IF($N873="","",IF(ROUND($E873-$D873,0)=0,"√","▲ "&amp;TEXT($D873-$E873,"#,##0")))</f>
        <v/>
      </c>
      <c r="N873">
        <f>IFERROR(MATCH($C$5&amp;"|"&amp;RIGHT("000000"&amp;857,6),LdAKeyG,0),"")</f>
        <v/>
      </c>
    </row>
    <row r="874">
      <c r="A874" s="19" t="n">
        <v>858</v>
      </c>
      <c r="B874" s="20">
        <f>IF($N874="","",INDEX(LdADate,$N874))</f>
        <v/>
      </c>
      <c r="C874" s="20">
        <f>IF($N874="","",IF(INDEX(LdAId,$N874)="","—",INDEX(LdAId,$N874)))</f>
        <v/>
      </c>
      <c r="D874" s="21">
        <f>IF($N874="","",IF(INDEX(LdAAmt,$N874)=0,"",INDEX(LdAAmt,$N874)))</f>
        <v/>
      </c>
      <c r="E874" s="21">
        <f>IF($N874="","",SUMIFS(ShareAmt,ShareLink,$C874))</f>
        <v/>
      </c>
      <c r="F874" s="34">
        <f>IF($N874="","",COUNTIF(ShareLink,$C874))</f>
        <v/>
      </c>
      <c r="G874" s="22">
        <f>IF($N874="","",IF(ROUND($E874-$D874,0)=0,"√","▲ "&amp;TEXT($D874-$E874,"#,##0")))</f>
        <v/>
      </c>
      <c r="N874">
        <f>IFERROR(MATCH($C$5&amp;"|"&amp;RIGHT("000000"&amp;858,6),LdAKeyG,0),"")</f>
        <v/>
      </c>
    </row>
    <row r="875">
      <c r="A875" s="10" t="n">
        <v>859</v>
      </c>
      <c r="B875" s="14">
        <f>IF($N875="","",INDEX(LdADate,$N875))</f>
        <v/>
      </c>
      <c r="C875" s="14">
        <f>IF($N875="","",IF(INDEX(LdAId,$N875)="","—",INDEX(LdAId,$N875)))</f>
        <v/>
      </c>
      <c r="D875" s="16">
        <f>IF($N875="","",IF(INDEX(LdAAmt,$N875)=0,"",INDEX(LdAAmt,$N875)))</f>
        <v/>
      </c>
      <c r="E875" s="16">
        <f>IF($N875="","",SUMIFS(ShareAmt,ShareLink,$C875))</f>
        <v/>
      </c>
      <c r="F875" s="33">
        <f>IF($N875="","",COUNTIF(ShareLink,$C875))</f>
        <v/>
      </c>
      <c r="G875" s="17">
        <f>IF($N875="","",IF(ROUND($E875-$D875,0)=0,"√","▲ "&amp;TEXT($D875-$E875,"#,##0")))</f>
        <v/>
      </c>
      <c r="N875">
        <f>IFERROR(MATCH($C$5&amp;"|"&amp;RIGHT("000000"&amp;859,6),LdAKeyG,0),"")</f>
        <v/>
      </c>
    </row>
    <row r="876">
      <c r="A876" s="19" t="n">
        <v>860</v>
      </c>
      <c r="B876" s="20">
        <f>IF($N876="","",INDEX(LdADate,$N876))</f>
        <v/>
      </c>
      <c r="C876" s="20">
        <f>IF($N876="","",IF(INDEX(LdAId,$N876)="","—",INDEX(LdAId,$N876)))</f>
        <v/>
      </c>
      <c r="D876" s="21">
        <f>IF($N876="","",IF(INDEX(LdAAmt,$N876)=0,"",INDEX(LdAAmt,$N876)))</f>
        <v/>
      </c>
      <c r="E876" s="21">
        <f>IF($N876="","",SUMIFS(ShareAmt,ShareLink,$C876))</f>
        <v/>
      </c>
      <c r="F876" s="34">
        <f>IF($N876="","",COUNTIF(ShareLink,$C876))</f>
        <v/>
      </c>
      <c r="G876" s="22">
        <f>IF($N876="","",IF(ROUND($E876-$D876,0)=0,"√","▲ "&amp;TEXT($D876-$E876,"#,##0")))</f>
        <v/>
      </c>
      <c r="N876">
        <f>IFERROR(MATCH($C$5&amp;"|"&amp;RIGHT("000000"&amp;860,6),LdAKeyG,0),"")</f>
        <v/>
      </c>
    </row>
    <row r="877">
      <c r="A877" s="10" t="n">
        <v>861</v>
      </c>
      <c r="B877" s="14">
        <f>IF($N877="","",INDEX(LdADate,$N877))</f>
        <v/>
      </c>
      <c r="C877" s="14">
        <f>IF($N877="","",IF(INDEX(LdAId,$N877)="","—",INDEX(LdAId,$N877)))</f>
        <v/>
      </c>
      <c r="D877" s="16">
        <f>IF($N877="","",IF(INDEX(LdAAmt,$N877)=0,"",INDEX(LdAAmt,$N877)))</f>
        <v/>
      </c>
      <c r="E877" s="16">
        <f>IF($N877="","",SUMIFS(ShareAmt,ShareLink,$C877))</f>
        <v/>
      </c>
      <c r="F877" s="33">
        <f>IF($N877="","",COUNTIF(ShareLink,$C877))</f>
        <v/>
      </c>
      <c r="G877" s="17">
        <f>IF($N877="","",IF(ROUND($E877-$D877,0)=0,"√","▲ "&amp;TEXT($D877-$E877,"#,##0")))</f>
        <v/>
      </c>
      <c r="N877">
        <f>IFERROR(MATCH($C$5&amp;"|"&amp;RIGHT("000000"&amp;861,6),LdAKeyG,0),"")</f>
        <v/>
      </c>
    </row>
    <row r="878">
      <c r="A878" s="19" t="n">
        <v>862</v>
      </c>
      <c r="B878" s="20">
        <f>IF($N878="","",INDEX(LdADate,$N878))</f>
        <v/>
      </c>
      <c r="C878" s="20">
        <f>IF($N878="","",IF(INDEX(LdAId,$N878)="","—",INDEX(LdAId,$N878)))</f>
        <v/>
      </c>
      <c r="D878" s="21">
        <f>IF($N878="","",IF(INDEX(LdAAmt,$N878)=0,"",INDEX(LdAAmt,$N878)))</f>
        <v/>
      </c>
      <c r="E878" s="21">
        <f>IF($N878="","",SUMIFS(ShareAmt,ShareLink,$C878))</f>
        <v/>
      </c>
      <c r="F878" s="34">
        <f>IF($N878="","",COUNTIF(ShareLink,$C878))</f>
        <v/>
      </c>
      <c r="G878" s="22">
        <f>IF($N878="","",IF(ROUND($E878-$D878,0)=0,"√","▲ "&amp;TEXT($D878-$E878,"#,##0")))</f>
        <v/>
      </c>
      <c r="N878">
        <f>IFERROR(MATCH($C$5&amp;"|"&amp;RIGHT("000000"&amp;862,6),LdAKeyG,0),"")</f>
        <v/>
      </c>
    </row>
    <row r="879">
      <c r="A879" s="10" t="n">
        <v>863</v>
      </c>
      <c r="B879" s="14">
        <f>IF($N879="","",INDEX(LdADate,$N879))</f>
        <v/>
      </c>
      <c r="C879" s="14">
        <f>IF($N879="","",IF(INDEX(LdAId,$N879)="","—",INDEX(LdAId,$N879)))</f>
        <v/>
      </c>
      <c r="D879" s="16">
        <f>IF($N879="","",IF(INDEX(LdAAmt,$N879)=0,"",INDEX(LdAAmt,$N879)))</f>
        <v/>
      </c>
      <c r="E879" s="16">
        <f>IF($N879="","",SUMIFS(ShareAmt,ShareLink,$C879))</f>
        <v/>
      </c>
      <c r="F879" s="33">
        <f>IF($N879="","",COUNTIF(ShareLink,$C879))</f>
        <v/>
      </c>
      <c r="G879" s="17">
        <f>IF($N879="","",IF(ROUND($E879-$D879,0)=0,"√","▲ "&amp;TEXT($D879-$E879,"#,##0")))</f>
        <v/>
      </c>
      <c r="N879">
        <f>IFERROR(MATCH($C$5&amp;"|"&amp;RIGHT("000000"&amp;863,6),LdAKeyG,0),"")</f>
        <v/>
      </c>
    </row>
    <row r="880">
      <c r="A880" s="19" t="n">
        <v>864</v>
      </c>
      <c r="B880" s="20">
        <f>IF($N880="","",INDEX(LdADate,$N880))</f>
        <v/>
      </c>
      <c r="C880" s="20">
        <f>IF($N880="","",IF(INDEX(LdAId,$N880)="","—",INDEX(LdAId,$N880)))</f>
        <v/>
      </c>
      <c r="D880" s="21">
        <f>IF($N880="","",IF(INDEX(LdAAmt,$N880)=0,"",INDEX(LdAAmt,$N880)))</f>
        <v/>
      </c>
      <c r="E880" s="21">
        <f>IF($N880="","",SUMIFS(ShareAmt,ShareLink,$C880))</f>
        <v/>
      </c>
      <c r="F880" s="34">
        <f>IF($N880="","",COUNTIF(ShareLink,$C880))</f>
        <v/>
      </c>
      <c r="G880" s="22">
        <f>IF($N880="","",IF(ROUND($E880-$D880,0)=0,"√","▲ "&amp;TEXT($D880-$E880,"#,##0")))</f>
        <v/>
      </c>
      <c r="N880">
        <f>IFERROR(MATCH($C$5&amp;"|"&amp;RIGHT("000000"&amp;864,6),LdAKeyG,0),"")</f>
        <v/>
      </c>
    </row>
    <row r="881">
      <c r="A881" s="10" t="n">
        <v>865</v>
      </c>
      <c r="B881" s="14">
        <f>IF($N881="","",INDEX(LdADate,$N881))</f>
        <v/>
      </c>
      <c r="C881" s="14">
        <f>IF($N881="","",IF(INDEX(LdAId,$N881)="","—",INDEX(LdAId,$N881)))</f>
        <v/>
      </c>
      <c r="D881" s="16">
        <f>IF($N881="","",IF(INDEX(LdAAmt,$N881)=0,"",INDEX(LdAAmt,$N881)))</f>
        <v/>
      </c>
      <c r="E881" s="16">
        <f>IF($N881="","",SUMIFS(ShareAmt,ShareLink,$C881))</f>
        <v/>
      </c>
      <c r="F881" s="33">
        <f>IF($N881="","",COUNTIF(ShareLink,$C881))</f>
        <v/>
      </c>
      <c r="G881" s="17">
        <f>IF($N881="","",IF(ROUND($E881-$D881,0)=0,"√","▲ "&amp;TEXT($D881-$E881,"#,##0")))</f>
        <v/>
      </c>
      <c r="N881">
        <f>IFERROR(MATCH($C$5&amp;"|"&amp;RIGHT("000000"&amp;865,6),LdAKeyG,0),"")</f>
        <v/>
      </c>
    </row>
    <row r="882">
      <c r="A882" s="19" t="n">
        <v>866</v>
      </c>
      <c r="B882" s="20">
        <f>IF($N882="","",INDEX(LdADate,$N882))</f>
        <v/>
      </c>
      <c r="C882" s="20">
        <f>IF($N882="","",IF(INDEX(LdAId,$N882)="","—",INDEX(LdAId,$N882)))</f>
        <v/>
      </c>
      <c r="D882" s="21">
        <f>IF($N882="","",IF(INDEX(LdAAmt,$N882)=0,"",INDEX(LdAAmt,$N882)))</f>
        <v/>
      </c>
      <c r="E882" s="21">
        <f>IF($N882="","",SUMIFS(ShareAmt,ShareLink,$C882))</f>
        <v/>
      </c>
      <c r="F882" s="34">
        <f>IF($N882="","",COUNTIF(ShareLink,$C882))</f>
        <v/>
      </c>
      <c r="G882" s="22">
        <f>IF($N882="","",IF(ROUND($E882-$D882,0)=0,"√","▲ "&amp;TEXT($D882-$E882,"#,##0")))</f>
        <v/>
      </c>
      <c r="N882">
        <f>IFERROR(MATCH($C$5&amp;"|"&amp;RIGHT("000000"&amp;866,6),LdAKeyG,0),"")</f>
        <v/>
      </c>
    </row>
    <row r="883">
      <c r="A883" s="10" t="n">
        <v>867</v>
      </c>
      <c r="B883" s="14">
        <f>IF($N883="","",INDEX(LdADate,$N883))</f>
        <v/>
      </c>
      <c r="C883" s="14">
        <f>IF($N883="","",IF(INDEX(LdAId,$N883)="","—",INDEX(LdAId,$N883)))</f>
        <v/>
      </c>
      <c r="D883" s="16">
        <f>IF($N883="","",IF(INDEX(LdAAmt,$N883)=0,"",INDEX(LdAAmt,$N883)))</f>
        <v/>
      </c>
      <c r="E883" s="16">
        <f>IF($N883="","",SUMIFS(ShareAmt,ShareLink,$C883))</f>
        <v/>
      </c>
      <c r="F883" s="33">
        <f>IF($N883="","",COUNTIF(ShareLink,$C883))</f>
        <v/>
      </c>
      <c r="G883" s="17">
        <f>IF($N883="","",IF(ROUND($E883-$D883,0)=0,"√","▲ "&amp;TEXT($D883-$E883,"#,##0")))</f>
        <v/>
      </c>
      <c r="N883">
        <f>IFERROR(MATCH($C$5&amp;"|"&amp;RIGHT("000000"&amp;867,6),LdAKeyG,0),"")</f>
        <v/>
      </c>
    </row>
    <row r="884">
      <c r="A884" s="19" t="n">
        <v>868</v>
      </c>
      <c r="B884" s="20">
        <f>IF($N884="","",INDEX(LdADate,$N884))</f>
        <v/>
      </c>
      <c r="C884" s="20">
        <f>IF($N884="","",IF(INDEX(LdAId,$N884)="","—",INDEX(LdAId,$N884)))</f>
        <v/>
      </c>
      <c r="D884" s="21">
        <f>IF($N884="","",IF(INDEX(LdAAmt,$N884)=0,"",INDEX(LdAAmt,$N884)))</f>
        <v/>
      </c>
      <c r="E884" s="21">
        <f>IF($N884="","",SUMIFS(ShareAmt,ShareLink,$C884))</f>
        <v/>
      </c>
      <c r="F884" s="34">
        <f>IF($N884="","",COUNTIF(ShareLink,$C884))</f>
        <v/>
      </c>
      <c r="G884" s="22">
        <f>IF($N884="","",IF(ROUND($E884-$D884,0)=0,"√","▲ "&amp;TEXT($D884-$E884,"#,##0")))</f>
        <v/>
      </c>
      <c r="N884">
        <f>IFERROR(MATCH($C$5&amp;"|"&amp;RIGHT("000000"&amp;868,6),LdAKeyG,0),"")</f>
        <v/>
      </c>
    </row>
    <row r="885">
      <c r="A885" s="10" t="n">
        <v>869</v>
      </c>
      <c r="B885" s="14">
        <f>IF($N885="","",INDEX(LdADate,$N885))</f>
        <v/>
      </c>
      <c r="C885" s="14">
        <f>IF($N885="","",IF(INDEX(LdAId,$N885)="","—",INDEX(LdAId,$N885)))</f>
        <v/>
      </c>
      <c r="D885" s="16">
        <f>IF($N885="","",IF(INDEX(LdAAmt,$N885)=0,"",INDEX(LdAAmt,$N885)))</f>
        <v/>
      </c>
      <c r="E885" s="16">
        <f>IF($N885="","",SUMIFS(ShareAmt,ShareLink,$C885))</f>
        <v/>
      </c>
      <c r="F885" s="33">
        <f>IF($N885="","",COUNTIF(ShareLink,$C885))</f>
        <v/>
      </c>
      <c r="G885" s="17">
        <f>IF($N885="","",IF(ROUND($E885-$D885,0)=0,"√","▲ "&amp;TEXT($D885-$E885,"#,##0")))</f>
        <v/>
      </c>
      <c r="N885">
        <f>IFERROR(MATCH($C$5&amp;"|"&amp;RIGHT("000000"&amp;869,6),LdAKeyG,0),"")</f>
        <v/>
      </c>
    </row>
    <row r="886">
      <c r="A886" s="19" t="n">
        <v>870</v>
      </c>
      <c r="B886" s="20">
        <f>IF($N886="","",INDEX(LdADate,$N886))</f>
        <v/>
      </c>
      <c r="C886" s="20">
        <f>IF($N886="","",IF(INDEX(LdAId,$N886)="","—",INDEX(LdAId,$N886)))</f>
        <v/>
      </c>
      <c r="D886" s="21">
        <f>IF($N886="","",IF(INDEX(LdAAmt,$N886)=0,"",INDEX(LdAAmt,$N886)))</f>
        <v/>
      </c>
      <c r="E886" s="21">
        <f>IF($N886="","",SUMIFS(ShareAmt,ShareLink,$C886))</f>
        <v/>
      </c>
      <c r="F886" s="34">
        <f>IF($N886="","",COUNTIF(ShareLink,$C886))</f>
        <v/>
      </c>
      <c r="G886" s="22">
        <f>IF($N886="","",IF(ROUND($E886-$D886,0)=0,"√","▲ "&amp;TEXT($D886-$E886,"#,##0")))</f>
        <v/>
      </c>
      <c r="N886">
        <f>IFERROR(MATCH($C$5&amp;"|"&amp;RIGHT("000000"&amp;870,6),LdAKeyG,0),"")</f>
        <v/>
      </c>
    </row>
    <row r="887">
      <c r="A887" s="10" t="n">
        <v>871</v>
      </c>
      <c r="B887" s="14">
        <f>IF($N887="","",INDEX(LdADate,$N887))</f>
        <v/>
      </c>
      <c r="C887" s="14">
        <f>IF($N887="","",IF(INDEX(LdAId,$N887)="","—",INDEX(LdAId,$N887)))</f>
        <v/>
      </c>
      <c r="D887" s="16">
        <f>IF($N887="","",IF(INDEX(LdAAmt,$N887)=0,"",INDEX(LdAAmt,$N887)))</f>
        <v/>
      </c>
      <c r="E887" s="16">
        <f>IF($N887="","",SUMIFS(ShareAmt,ShareLink,$C887))</f>
        <v/>
      </c>
      <c r="F887" s="33">
        <f>IF($N887="","",COUNTIF(ShareLink,$C887))</f>
        <v/>
      </c>
      <c r="G887" s="17">
        <f>IF($N887="","",IF(ROUND($E887-$D887,0)=0,"√","▲ "&amp;TEXT($D887-$E887,"#,##0")))</f>
        <v/>
      </c>
      <c r="N887">
        <f>IFERROR(MATCH($C$5&amp;"|"&amp;RIGHT("000000"&amp;871,6),LdAKeyG,0),"")</f>
        <v/>
      </c>
    </row>
    <row r="888">
      <c r="A888" s="19" t="n">
        <v>872</v>
      </c>
      <c r="B888" s="20">
        <f>IF($N888="","",INDEX(LdADate,$N888))</f>
        <v/>
      </c>
      <c r="C888" s="20">
        <f>IF($N888="","",IF(INDEX(LdAId,$N888)="","—",INDEX(LdAId,$N888)))</f>
        <v/>
      </c>
      <c r="D888" s="21">
        <f>IF($N888="","",IF(INDEX(LdAAmt,$N888)=0,"",INDEX(LdAAmt,$N888)))</f>
        <v/>
      </c>
      <c r="E888" s="21">
        <f>IF($N888="","",SUMIFS(ShareAmt,ShareLink,$C888))</f>
        <v/>
      </c>
      <c r="F888" s="34">
        <f>IF($N888="","",COUNTIF(ShareLink,$C888))</f>
        <v/>
      </c>
      <c r="G888" s="22">
        <f>IF($N888="","",IF(ROUND($E888-$D888,0)=0,"√","▲ "&amp;TEXT($D888-$E888,"#,##0")))</f>
        <v/>
      </c>
      <c r="N888">
        <f>IFERROR(MATCH($C$5&amp;"|"&amp;RIGHT("000000"&amp;872,6),LdAKeyG,0),"")</f>
        <v/>
      </c>
    </row>
    <row r="889">
      <c r="A889" s="10" t="n">
        <v>873</v>
      </c>
      <c r="B889" s="14">
        <f>IF($N889="","",INDEX(LdADate,$N889))</f>
        <v/>
      </c>
      <c r="C889" s="14">
        <f>IF($N889="","",IF(INDEX(LdAId,$N889)="","—",INDEX(LdAId,$N889)))</f>
        <v/>
      </c>
      <c r="D889" s="16">
        <f>IF($N889="","",IF(INDEX(LdAAmt,$N889)=0,"",INDEX(LdAAmt,$N889)))</f>
        <v/>
      </c>
      <c r="E889" s="16">
        <f>IF($N889="","",SUMIFS(ShareAmt,ShareLink,$C889))</f>
        <v/>
      </c>
      <c r="F889" s="33">
        <f>IF($N889="","",COUNTIF(ShareLink,$C889))</f>
        <v/>
      </c>
      <c r="G889" s="17">
        <f>IF($N889="","",IF(ROUND($E889-$D889,0)=0,"√","▲ "&amp;TEXT($D889-$E889,"#,##0")))</f>
        <v/>
      </c>
      <c r="N889">
        <f>IFERROR(MATCH($C$5&amp;"|"&amp;RIGHT("000000"&amp;873,6),LdAKeyG,0),"")</f>
        <v/>
      </c>
    </row>
    <row r="890">
      <c r="A890" s="19" t="n">
        <v>874</v>
      </c>
      <c r="B890" s="20">
        <f>IF($N890="","",INDEX(LdADate,$N890))</f>
        <v/>
      </c>
      <c r="C890" s="20">
        <f>IF($N890="","",IF(INDEX(LdAId,$N890)="","—",INDEX(LdAId,$N890)))</f>
        <v/>
      </c>
      <c r="D890" s="21">
        <f>IF($N890="","",IF(INDEX(LdAAmt,$N890)=0,"",INDEX(LdAAmt,$N890)))</f>
        <v/>
      </c>
      <c r="E890" s="21">
        <f>IF($N890="","",SUMIFS(ShareAmt,ShareLink,$C890))</f>
        <v/>
      </c>
      <c r="F890" s="34">
        <f>IF($N890="","",COUNTIF(ShareLink,$C890))</f>
        <v/>
      </c>
      <c r="G890" s="22">
        <f>IF($N890="","",IF(ROUND($E890-$D890,0)=0,"√","▲ "&amp;TEXT($D890-$E890,"#,##0")))</f>
        <v/>
      </c>
      <c r="N890">
        <f>IFERROR(MATCH($C$5&amp;"|"&amp;RIGHT("000000"&amp;874,6),LdAKeyG,0),"")</f>
        <v/>
      </c>
    </row>
    <row r="891">
      <c r="A891" s="10" t="n">
        <v>875</v>
      </c>
      <c r="B891" s="14">
        <f>IF($N891="","",INDEX(LdADate,$N891))</f>
        <v/>
      </c>
      <c r="C891" s="14">
        <f>IF($N891="","",IF(INDEX(LdAId,$N891)="","—",INDEX(LdAId,$N891)))</f>
        <v/>
      </c>
      <c r="D891" s="16">
        <f>IF($N891="","",IF(INDEX(LdAAmt,$N891)=0,"",INDEX(LdAAmt,$N891)))</f>
        <v/>
      </c>
      <c r="E891" s="16">
        <f>IF($N891="","",SUMIFS(ShareAmt,ShareLink,$C891))</f>
        <v/>
      </c>
      <c r="F891" s="33">
        <f>IF($N891="","",COUNTIF(ShareLink,$C891))</f>
        <v/>
      </c>
      <c r="G891" s="17">
        <f>IF($N891="","",IF(ROUND($E891-$D891,0)=0,"√","▲ "&amp;TEXT($D891-$E891,"#,##0")))</f>
        <v/>
      </c>
      <c r="N891">
        <f>IFERROR(MATCH($C$5&amp;"|"&amp;RIGHT("000000"&amp;875,6),LdAKeyG,0),"")</f>
        <v/>
      </c>
    </row>
    <row r="892">
      <c r="A892" s="19" t="n">
        <v>876</v>
      </c>
      <c r="B892" s="20">
        <f>IF($N892="","",INDEX(LdADate,$N892))</f>
        <v/>
      </c>
      <c r="C892" s="20">
        <f>IF($N892="","",IF(INDEX(LdAId,$N892)="","—",INDEX(LdAId,$N892)))</f>
        <v/>
      </c>
      <c r="D892" s="21">
        <f>IF($N892="","",IF(INDEX(LdAAmt,$N892)=0,"",INDEX(LdAAmt,$N892)))</f>
        <v/>
      </c>
      <c r="E892" s="21">
        <f>IF($N892="","",SUMIFS(ShareAmt,ShareLink,$C892))</f>
        <v/>
      </c>
      <c r="F892" s="34">
        <f>IF($N892="","",COUNTIF(ShareLink,$C892))</f>
        <v/>
      </c>
      <c r="G892" s="22">
        <f>IF($N892="","",IF(ROUND($E892-$D892,0)=0,"√","▲ "&amp;TEXT($D892-$E892,"#,##0")))</f>
        <v/>
      </c>
      <c r="N892">
        <f>IFERROR(MATCH($C$5&amp;"|"&amp;RIGHT("000000"&amp;876,6),LdAKeyG,0),"")</f>
        <v/>
      </c>
    </row>
    <row r="893">
      <c r="A893" s="10" t="n">
        <v>877</v>
      </c>
      <c r="B893" s="14">
        <f>IF($N893="","",INDEX(LdADate,$N893))</f>
        <v/>
      </c>
      <c r="C893" s="14">
        <f>IF($N893="","",IF(INDEX(LdAId,$N893)="","—",INDEX(LdAId,$N893)))</f>
        <v/>
      </c>
      <c r="D893" s="16">
        <f>IF($N893="","",IF(INDEX(LdAAmt,$N893)=0,"",INDEX(LdAAmt,$N893)))</f>
        <v/>
      </c>
      <c r="E893" s="16">
        <f>IF($N893="","",SUMIFS(ShareAmt,ShareLink,$C893))</f>
        <v/>
      </c>
      <c r="F893" s="33">
        <f>IF($N893="","",COUNTIF(ShareLink,$C893))</f>
        <v/>
      </c>
      <c r="G893" s="17">
        <f>IF($N893="","",IF(ROUND($E893-$D893,0)=0,"√","▲ "&amp;TEXT($D893-$E893,"#,##0")))</f>
        <v/>
      </c>
      <c r="N893">
        <f>IFERROR(MATCH($C$5&amp;"|"&amp;RIGHT("000000"&amp;877,6),LdAKeyG,0),"")</f>
        <v/>
      </c>
    </row>
    <row r="894">
      <c r="A894" s="19" t="n">
        <v>878</v>
      </c>
      <c r="B894" s="20">
        <f>IF($N894="","",INDEX(LdADate,$N894))</f>
        <v/>
      </c>
      <c r="C894" s="20">
        <f>IF($N894="","",IF(INDEX(LdAId,$N894)="","—",INDEX(LdAId,$N894)))</f>
        <v/>
      </c>
      <c r="D894" s="21">
        <f>IF($N894="","",IF(INDEX(LdAAmt,$N894)=0,"",INDEX(LdAAmt,$N894)))</f>
        <v/>
      </c>
      <c r="E894" s="21">
        <f>IF($N894="","",SUMIFS(ShareAmt,ShareLink,$C894))</f>
        <v/>
      </c>
      <c r="F894" s="34">
        <f>IF($N894="","",COUNTIF(ShareLink,$C894))</f>
        <v/>
      </c>
      <c r="G894" s="22">
        <f>IF($N894="","",IF(ROUND($E894-$D894,0)=0,"√","▲ "&amp;TEXT($D894-$E894,"#,##0")))</f>
        <v/>
      </c>
      <c r="N894">
        <f>IFERROR(MATCH($C$5&amp;"|"&amp;RIGHT("000000"&amp;878,6),LdAKeyG,0),"")</f>
        <v/>
      </c>
    </row>
    <row r="895">
      <c r="A895" s="10" t="n">
        <v>879</v>
      </c>
      <c r="B895" s="14">
        <f>IF($N895="","",INDEX(LdADate,$N895))</f>
        <v/>
      </c>
      <c r="C895" s="14">
        <f>IF($N895="","",IF(INDEX(LdAId,$N895)="","—",INDEX(LdAId,$N895)))</f>
        <v/>
      </c>
      <c r="D895" s="16">
        <f>IF($N895="","",IF(INDEX(LdAAmt,$N895)=0,"",INDEX(LdAAmt,$N895)))</f>
        <v/>
      </c>
      <c r="E895" s="16">
        <f>IF($N895="","",SUMIFS(ShareAmt,ShareLink,$C895))</f>
        <v/>
      </c>
      <c r="F895" s="33">
        <f>IF($N895="","",COUNTIF(ShareLink,$C895))</f>
        <v/>
      </c>
      <c r="G895" s="17">
        <f>IF($N895="","",IF(ROUND($E895-$D895,0)=0,"√","▲ "&amp;TEXT($D895-$E895,"#,##0")))</f>
        <v/>
      </c>
      <c r="N895">
        <f>IFERROR(MATCH($C$5&amp;"|"&amp;RIGHT("000000"&amp;879,6),LdAKeyG,0),"")</f>
        <v/>
      </c>
    </row>
    <row r="896">
      <c r="A896" s="19" t="n">
        <v>880</v>
      </c>
      <c r="B896" s="20">
        <f>IF($N896="","",INDEX(LdADate,$N896))</f>
        <v/>
      </c>
      <c r="C896" s="20">
        <f>IF($N896="","",IF(INDEX(LdAId,$N896)="","—",INDEX(LdAId,$N896)))</f>
        <v/>
      </c>
      <c r="D896" s="21">
        <f>IF($N896="","",IF(INDEX(LdAAmt,$N896)=0,"",INDEX(LdAAmt,$N896)))</f>
        <v/>
      </c>
      <c r="E896" s="21">
        <f>IF($N896="","",SUMIFS(ShareAmt,ShareLink,$C896))</f>
        <v/>
      </c>
      <c r="F896" s="34">
        <f>IF($N896="","",COUNTIF(ShareLink,$C896))</f>
        <v/>
      </c>
      <c r="G896" s="22">
        <f>IF($N896="","",IF(ROUND($E896-$D896,0)=0,"√","▲ "&amp;TEXT($D896-$E896,"#,##0")))</f>
        <v/>
      </c>
      <c r="N896">
        <f>IFERROR(MATCH($C$5&amp;"|"&amp;RIGHT("000000"&amp;880,6),LdAKeyG,0),"")</f>
        <v/>
      </c>
    </row>
    <row r="897">
      <c r="A897" s="10" t="n">
        <v>881</v>
      </c>
      <c r="B897" s="14">
        <f>IF($N897="","",INDEX(LdADate,$N897))</f>
        <v/>
      </c>
      <c r="C897" s="14">
        <f>IF($N897="","",IF(INDEX(LdAId,$N897)="","—",INDEX(LdAId,$N897)))</f>
        <v/>
      </c>
      <c r="D897" s="16">
        <f>IF($N897="","",IF(INDEX(LdAAmt,$N897)=0,"",INDEX(LdAAmt,$N897)))</f>
        <v/>
      </c>
      <c r="E897" s="16">
        <f>IF($N897="","",SUMIFS(ShareAmt,ShareLink,$C897))</f>
        <v/>
      </c>
      <c r="F897" s="33">
        <f>IF($N897="","",COUNTIF(ShareLink,$C897))</f>
        <v/>
      </c>
      <c r="G897" s="17">
        <f>IF($N897="","",IF(ROUND($E897-$D897,0)=0,"√","▲ "&amp;TEXT($D897-$E897,"#,##0")))</f>
        <v/>
      </c>
      <c r="N897">
        <f>IFERROR(MATCH($C$5&amp;"|"&amp;RIGHT("000000"&amp;881,6),LdAKeyG,0),"")</f>
        <v/>
      </c>
    </row>
    <row r="898">
      <c r="A898" s="19" t="n">
        <v>882</v>
      </c>
      <c r="B898" s="20">
        <f>IF($N898="","",INDEX(LdADate,$N898))</f>
        <v/>
      </c>
      <c r="C898" s="20">
        <f>IF($N898="","",IF(INDEX(LdAId,$N898)="","—",INDEX(LdAId,$N898)))</f>
        <v/>
      </c>
      <c r="D898" s="21">
        <f>IF($N898="","",IF(INDEX(LdAAmt,$N898)=0,"",INDEX(LdAAmt,$N898)))</f>
        <v/>
      </c>
      <c r="E898" s="21">
        <f>IF($N898="","",SUMIFS(ShareAmt,ShareLink,$C898))</f>
        <v/>
      </c>
      <c r="F898" s="34">
        <f>IF($N898="","",COUNTIF(ShareLink,$C898))</f>
        <v/>
      </c>
      <c r="G898" s="22">
        <f>IF($N898="","",IF(ROUND($E898-$D898,0)=0,"√","▲ "&amp;TEXT($D898-$E898,"#,##0")))</f>
        <v/>
      </c>
      <c r="N898">
        <f>IFERROR(MATCH($C$5&amp;"|"&amp;RIGHT("000000"&amp;882,6),LdAKeyG,0),"")</f>
        <v/>
      </c>
    </row>
    <row r="899">
      <c r="A899" s="10" t="n">
        <v>883</v>
      </c>
      <c r="B899" s="14">
        <f>IF($N899="","",INDEX(LdADate,$N899))</f>
        <v/>
      </c>
      <c r="C899" s="14">
        <f>IF($N899="","",IF(INDEX(LdAId,$N899)="","—",INDEX(LdAId,$N899)))</f>
        <v/>
      </c>
      <c r="D899" s="16">
        <f>IF($N899="","",IF(INDEX(LdAAmt,$N899)=0,"",INDEX(LdAAmt,$N899)))</f>
        <v/>
      </c>
      <c r="E899" s="16">
        <f>IF($N899="","",SUMIFS(ShareAmt,ShareLink,$C899))</f>
        <v/>
      </c>
      <c r="F899" s="33">
        <f>IF($N899="","",COUNTIF(ShareLink,$C899))</f>
        <v/>
      </c>
      <c r="G899" s="17">
        <f>IF($N899="","",IF(ROUND($E899-$D899,0)=0,"√","▲ "&amp;TEXT($D899-$E899,"#,##0")))</f>
        <v/>
      </c>
      <c r="N899">
        <f>IFERROR(MATCH($C$5&amp;"|"&amp;RIGHT("000000"&amp;883,6),LdAKeyG,0),"")</f>
        <v/>
      </c>
    </row>
    <row r="900">
      <c r="A900" s="19" t="n">
        <v>884</v>
      </c>
      <c r="B900" s="20">
        <f>IF($N900="","",INDEX(LdADate,$N900))</f>
        <v/>
      </c>
      <c r="C900" s="20">
        <f>IF($N900="","",IF(INDEX(LdAId,$N900)="","—",INDEX(LdAId,$N900)))</f>
        <v/>
      </c>
      <c r="D900" s="21">
        <f>IF($N900="","",IF(INDEX(LdAAmt,$N900)=0,"",INDEX(LdAAmt,$N900)))</f>
        <v/>
      </c>
      <c r="E900" s="21">
        <f>IF($N900="","",SUMIFS(ShareAmt,ShareLink,$C900))</f>
        <v/>
      </c>
      <c r="F900" s="34">
        <f>IF($N900="","",COUNTIF(ShareLink,$C900))</f>
        <v/>
      </c>
      <c r="G900" s="22">
        <f>IF($N900="","",IF(ROUND($E900-$D900,0)=0,"√","▲ "&amp;TEXT($D900-$E900,"#,##0")))</f>
        <v/>
      </c>
      <c r="N900">
        <f>IFERROR(MATCH($C$5&amp;"|"&amp;RIGHT("000000"&amp;884,6),LdAKeyG,0),"")</f>
        <v/>
      </c>
    </row>
    <row r="901">
      <c r="A901" s="10" t="n">
        <v>885</v>
      </c>
      <c r="B901" s="14">
        <f>IF($N901="","",INDEX(LdADate,$N901))</f>
        <v/>
      </c>
      <c r="C901" s="14">
        <f>IF($N901="","",IF(INDEX(LdAId,$N901)="","—",INDEX(LdAId,$N901)))</f>
        <v/>
      </c>
      <c r="D901" s="16">
        <f>IF($N901="","",IF(INDEX(LdAAmt,$N901)=0,"",INDEX(LdAAmt,$N901)))</f>
        <v/>
      </c>
      <c r="E901" s="16">
        <f>IF($N901="","",SUMIFS(ShareAmt,ShareLink,$C901))</f>
        <v/>
      </c>
      <c r="F901" s="33">
        <f>IF($N901="","",COUNTIF(ShareLink,$C901))</f>
        <v/>
      </c>
      <c r="G901" s="17">
        <f>IF($N901="","",IF(ROUND($E901-$D901,0)=0,"√","▲ "&amp;TEXT($D901-$E901,"#,##0")))</f>
        <v/>
      </c>
      <c r="N901">
        <f>IFERROR(MATCH($C$5&amp;"|"&amp;RIGHT("000000"&amp;885,6),LdAKeyG,0),"")</f>
        <v/>
      </c>
    </row>
    <row r="902">
      <c r="A902" s="19" t="n">
        <v>886</v>
      </c>
      <c r="B902" s="20">
        <f>IF($N902="","",INDEX(LdADate,$N902))</f>
        <v/>
      </c>
      <c r="C902" s="20">
        <f>IF($N902="","",IF(INDEX(LdAId,$N902)="","—",INDEX(LdAId,$N902)))</f>
        <v/>
      </c>
      <c r="D902" s="21">
        <f>IF($N902="","",IF(INDEX(LdAAmt,$N902)=0,"",INDEX(LdAAmt,$N902)))</f>
        <v/>
      </c>
      <c r="E902" s="21">
        <f>IF($N902="","",SUMIFS(ShareAmt,ShareLink,$C902))</f>
        <v/>
      </c>
      <c r="F902" s="34">
        <f>IF($N902="","",COUNTIF(ShareLink,$C902))</f>
        <v/>
      </c>
      <c r="G902" s="22">
        <f>IF($N902="","",IF(ROUND($E902-$D902,0)=0,"√","▲ "&amp;TEXT($D902-$E902,"#,##0")))</f>
        <v/>
      </c>
      <c r="N902">
        <f>IFERROR(MATCH($C$5&amp;"|"&amp;RIGHT("000000"&amp;886,6),LdAKeyG,0),"")</f>
        <v/>
      </c>
    </row>
    <row r="903">
      <c r="A903" s="10" t="n">
        <v>887</v>
      </c>
      <c r="B903" s="14">
        <f>IF($N903="","",INDEX(LdADate,$N903))</f>
        <v/>
      </c>
      <c r="C903" s="14">
        <f>IF($N903="","",IF(INDEX(LdAId,$N903)="","—",INDEX(LdAId,$N903)))</f>
        <v/>
      </c>
      <c r="D903" s="16">
        <f>IF($N903="","",IF(INDEX(LdAAmt,$N903)=0,"",INDEX(LdAAmt,$N903)))</f>
        <v/>
      </c>
      <c r="E903" s="16">
        <f>IF($N903="","",SUMIFS(ShareAmt,ShareLink,$C903))</f>
        <v/>
      </c>
      <c r="F903" s="33">
        <f>IF($N903="","",COUNTIF(ShareLink,$C903))</f>
        <v/>
      </c>
      <c r="G903" s="17">
        <f>IF($N903="","",IF(ROUND($E903-$D903,0)=0,"√","▲ "&amp;TEXT($D903-$E903,"#,##0")))</f>
        <v/>
      </c>
      <c r="N903">
        <f>IFERROR(MATCH($C$5&amp;"|"&amp;RIGHT("000000"&amp;887,6),LdAKeyG,0),"")</f>
        <v/>
      </c>
    </row>
    <row r="904">
      <c r="A904" s="19" t="n">
        <v>888</v>
      </c>
      <c r="B904" s="20">
        <f>IF($N904="","",INDEX(LdADate,$N904))</f>
        <v/>
      </c>
      <c r="C904" s="20">
        <f>IF($N904="","",IF(INDEX(LdAId,$N904)="","—",INDEX(LdAId,$N904)))</f>
        <v/>
      </c>
      <c r="D904" s="21">
        <f>IF($N904="","",IF(INDEX(LdAAmt,$N904)=0,"",INDEX(LdAAmt,$N904)))</f>
        <v/>
      </c>
      <c r="E904" s="21">
        <f>IF($N904="","",SUMIFS(ShareAmt,ShareLink,$C904))</f>
        <v/>
      </c>
      <c r="F904" s="34">
        <f>IF($N904="","",COUNTIF(ShareLink,$C904))</f>
        <v/>
      </c>
      <c r="G904" s="22">
        <f>IF($N904="","",IF(ROUND($E904-$D904,0)=0,"√","▲ "&amp;TEXT($D904-$E904,"#,##0")))</f>
        <v/>
      </c>
      <c r="N904">
        <f>IFERROR(MATCH($C$5&amp;"|"&amp;RIGHT("000000"&amp;888,6),LdAKeyG,0),"")</f>
        <v/>
      </c>
    </row>
    <row r="905">
      <c r="A905" s="10" t="n">
        <v>889</v>
      </c>
      <c r="B905" s="14">
        <f>IF($N905="","",INDEX(LdADate,$N905))</f>
        <v/>
      </c>
      <c r="C905" s="14">
        <f>IF($N905="","",IF(INDEX(LdAId,$N905)="","—",INDEX(LdAId,$N905)))</f>
        <v/>
      </c>
      <c r="D905" s="16">
        <f>IF($N905="","",IF(INDEX(LdAAmt,$N905)=0,"",INDEX(LdAAmt,$N905)))</f>
        <v/>
      </c>
      <c r="E905" s="16">
        <f>IF($N905="","",SUMIFS(ShareAmt,ShareLink,$C905))</f>
        <v/>
      </c>
      <c r="F905" s="33">
        <f>IF($N905="","",COUNTIF(ShareLink,$C905))</f>
        <v/>
      </c>
      <c r="G905" s="17">
        <f>IF($N905="","",IF(ROUND($E905-$D905,0)=0,"√","▲ "&amp;TEXT($D905-$E905,"#,##0")))</f>
        <v/>
      </c>
      <c r="N905">
        <f>IFERROR(MATCH($C$5&amp;"|"&amp;RIGHT("000000"&amp;889,6),LdAKeyG,0),"")</f>
        <v/>
      </c>
    </row>
    <row r="906">
      <c r="A906" s="19" t="n">
        <v>890</v>
      </c>
      <c r="B906" s="20">
        <f>IF($N906="","",INDEX(LdADate,$N906))</f>
        <v/>
      </c>
      <c r="C906" s="20">
        <f>IF($N906="","",IF(INDEX(LdAId,$N906)="","—",INDEX(LdAId,$N906)))</f>
        <v/>
      </c>
      <c r="D906" s="21">
        <f>IF($N906="","",IF(INDEX(LdAAmt,$N906)=0,"",INDEX(LdAAmt,$N906)))</f>
        <v/>
      </c>
      <c r="E906" s="21">
        <f>IF($N906="","",SUMIFS(ShareAmt,ShareLink,$C906))</f>
        <v/>
      </c>
      <c r="F906" s="34">
        <f>IF($N906="","",COUNTIF(ShareLink,$C906))</f>
        <v/>
      </c>
      <c r="G906" s="22">
        <f>IF($N906="","",IF(ROUND($E906-$D906,0)=0,"√","▲ "&amp;TEXT($D906-$E906,"#,##0")))</f>
        <v/>
      </c>
      <c r="N906">
        <f>IFERROR(MATCH($C$5&amp;"|"&amp;RIGHT("000000"&amp;890,6),LdAKeyG,0),"")</f>
        <v/>
      </c>
    </row>
    <row r="907">
      <c r="A907" s="10" t="n">
        <v>891</v>
      </c>
      <c r="B907" s="14">
        <f>IF($N907="","",INDEX(LdADate,$N907))</f>
        <v/>
      </c>
      <c r="C907" s="14">
        <f>IF($N907="","",IF(INDEX(LdAId,$N907)="","—",INDEX(LdAId,$N907)))</f>
        <v/>
      </c>
      <c r="D907" s="16">
        <f>IF($N907="","",IF(INDEX(LdAAmt,$N907)=0,"",INDEX(LdAAmt,$N907)))</f>
        <v/>
      </c>
      <c r="E907" s="16">
        <f>IF($N907="","",SUMIFS(ShareAmt,ShareLink,$C907))</f>
        <v/>
      </c>
      <c r="F907" s="33">
        <f>IF($N907="","",COUNTIF(ShareLink,$C907))</f>
        <v/>
      </c>
      <c r="G907" s="17">
        <f>IF($N907="","",IF(ROUND($E907-$D907,0)=0,"√","▲ "&amp;TEXT($D907-$E907,"#,##0")))</f>
        <v/>
      </c>
      <c r="N907">
        <f>IFERROR(MATCH($C$5&amp;"|"&amp;RIGHT("000000"&amp;891,6),LdAKeyG,0),"")</f>
        <v/>
      </c>
    </row>
    <row r="908">
      <c r="A908" s="19" t="n">
        <v>892</v>
      </c>
      <c r="B908" s="20">
        <f>IF($N908="","",INDEX(LdADate,$N908))</f>
        <v/>
      </c>
      <c r="C908" s="20">
        <f>IF($N908="","",IF(INDEX(LdAId,$N908)="","—",INDEX(LdAId,$N908)))</f>
        <v/>
      </c>
      <c r="D908" s="21">
        <f>IF($N908="","",IF(INDEX(LdAAmt,$N908)=0,"",INDEX(LdAAmt,$N908)))</f>
        <v/>
      </c>
      <c r="E908" s="21">
        <f>IF($N908="","",SUMIFS(ShareAmt,ShareLink,$C908))</f>
        <v/>
      </c>
      <c r="F908" s="34">
        <f>IF($N908="","",COUNTIF(ShareLink,$C908))</f>
        <v/>
      </c>
      <c r="G908" s="22">
        <f>IF($N908="","",IF(ROUND($E908-$D908,0)=0,"√","▲ "&amp;TEXT($D908-$E908,"#,##0")))</f>
        <v/>
      </c>
      <c r="N908">
        <f>IFERROR(MATCH($C$5&amp;"|"&amp;RIGHT("000000"&amp;892,6),LdAKeyG,0),"")</f>
        <v/>
      </c>
    </row>
    <row r="909">
      <c r="A909" s="10" t="n">
        <v>893</v>
      </c>
      <c r="B909" s="14">
        <f>IF($N909="","",INDEX(LdADate,$N909))</f>
        <v/>
      </c>
      <c r="C909" s="14">
        <f>IF($N909="","",IF(INDEX(LdAId,$N909)="","—",INDEX(LdAId,$N909)))</f>
        <v/>
      </c>
      <c r="D909" s="16">
        <f>IF($N909="","",IF(INDEX(LdAAmt,$N909)=0,"",INDEX(LdAAmt,$N909)))</f>
        <v/>
      </c>
      <c r="E909" s="16">
        <f>IF($N909="","",SUMIFS(ShareAmt,ShareLink,$C909))</f>
        <v/>
      </c>
      <c r="F909" s="33">
        <f>IF($N909="","",COUNTIF(ShareLink,$C909))</f>
        <v/>
      </c>
      <c r="G909" s="17">
        <f>IF($N909="","",IF(ROUND($E909-$D909,0)=0,"√","▲ "&amp;TEXT($D909-$E909,"#,##0")))</f>
        <v/>
      </c>
      <c r="N909">
        <f>IFERROR(MATCH($C$5&amp;"|"&amp;RIGHT("000000"&amp;893,6),LdAKeyG,0),"")</f>
        <v/>
      </c>
    </row>
    <row r="910">
      <c r="A910" s="19" t="n">
        <v>894</v>
      </c>
      <c r="B910" s="20">
        <f>IF($N910="","",INDEX(LdADate,$N910))</f>
        <v/>
      </c>
      <c r="C910" s="20">
        <f>IF($N910="","",IF(INDEX(LdAId,$N910)="","—",INDEX(LdAId,$N910)))</f>
        <v/>
      </c>
      <c r="D910" s="21">
        <f>IF($N910="","",IF(INDEX(LdAAmt,$N910)=0,"",INDEX(LdAAmt,$N910)))</f>
        <v/>
      </c>
      <c r="E910" s="21">
        <f>IF($N910="","",SUMIFS(ShareAmt,ShareLink,$C910))</f>
        <v/>
      </c>
      <c r="F910" s="34">
        <f>IF($N910="","",COUNTIF(ShareLink,$C910))</f>
        <v/>
      </c>
      <c r="G910" s="22">
        <f>IF($N910="","",IF(ROUND($E910-$D910,0)=0,"√","▲ "&amp;TEXT($D910-$E910,"#,##0")))</f>
        <v/>
      </c>
      <c r="N910">
        <f>IFERROR(MATCH($C$5&amp;"|"&amp;RIGHT("000000"&amp;894,6),LdAKeyG,0),"")</f>
        <v/>
      </c>
    </row>
    <row r="911">
      <c r="A911" s="10" t="n">
        <v>895</v>
      </c>
      <c r="B911" s="14">
        <f>IF($N911="","",INDEX(LdADate,$N911))</f>
        <v/>
      </c>
      <c r="C911" s="14">
        <f>IF($N911="","",IF(INDEX(LdAId,$N911)="","—",INDEX(LdAId,$N911)))</f>
        <v/>
      </c>
      <c r="D911" s="16">
        <f>IF($N911="","",IF(INDEX(LdAAmt,$N911)=0,"",INDEX(LdAAmt,$N911)))</f>
        <v/>
      </c>
      <c r="E911" s="16">
        <f>IF($N911="","",SUMIFS(ShareAmt,ShareLink,$C911))</f>
        <v/>
      </c>
      <c r="F911" s="33">
        <f>IF($N911="","",COUNTIF(ShareLink,$C911))</f>
        <v/>
      </c>
      <c r="G911" s="17">
        <f>IF($N911="","",IF(ROUND($E911-$D911,0)=0,"√","▲ "&amp;TEXT($D911-$E911,"#,##0")))</f>
        <v/>
      </c>
      <c r="N911">
        <f>IFERROR(MATCH($C$5&amp;"|"&amp;RIGHT("000000"&amp;895,6),LdAKeyG,0),"")</f>
        <v/>
      </c>
    </row>
    <row r="912">
      <c r="A912" s="19" t="n">
        <v>896</v>
      </c>
      <c r="B912" s="20">
        <f>IF($N912="","",INDEX(LdADate,$N912))</f>
        <v/>
      </c>
      <c r="C912" s="20">
        <f>IF($N912="","",IF(INDEX(LdAId,$N912)="","—",INDEX(LdAId,$N912)))</f>
        <v/>
      </c>
      <c r="D912" s="21">
        <f>IF($N912="","",IF(INDEX(LdAAmt,$N912)=0,"",INDEX(LdAAmt,$N912)))</f>
        <v/>
      </c>
      <c r="E912" s="21">
        <f>IF($N912="","",SUMIFS(ShareAmt,ShareLink,$C912))</f>
        <v/>
      </c>
      <c r="F912" s="34">
        <f>IF($N912="","",COUNTIF(ShareLink,$C912))</f>
        <v/>
      </c>
      <c r="G912" s="22">
        <f>IF($N912="","",IF(ROUND($E912-$D912,0)=0,"√","▲ "&amp;TEXT($D912-$E912,"#,##0")))</f>
        <v/>
      </c>
      <c r="N912">
        <f>IFERROR(MATCH($C$5&amp;"|"&amp;RIGHT("000000"&amp;896,6),LdAKeyG,0),"")</f>
        <v/>
      </c>
    </row>
    <row r="913">
      <c r="A913" s="10" t="n">
        <v>897</v>
      </c>
      <c r="B913" s="14">
        <f>IF($N913="","",INDEX(LdADate,$N913))</f>
        <v/>
      </c>
      <c r="C913" s="14">
        <f>IF($N913="","",IF(INDEX(LdAId,$N913)="","—",INDEX(LdAId,$N913)))</f>
        <v/>
      </c>
      <c r="D913" s="16">
        <f>IF($N913="","",IF(INDEX(LdAAmt,$N913)=0,"",INDEX(LdAAmt,$N913)))</f>
        <v/>
      </c>
      <c r="E913" s="16">
        <f>IF($N913="","",SUMIFS(ShareAmt,ShareLink,$C913))</f>
        <v/>
      </c>
      <c r="F913" s="33">
        <f>IF($N913="","",COUNTIF(ShareLink,$C913))</f>
        <v/>
      </c>
      <c r="G913" s="17">
        <f>IF($N913="","",IF(ROUND($E913-$D913,0)=0,"√","▲ "&amp;TEXT($D913-$E913,"#,##0")))</f>
        <v/>
      </c>
      <c r="N913">
        <f>IFERROR(MATCH($C$5&amp;"|"&amp;RIGHT("000000"&amp;897,6),LdAKeyG,0),"")</f>
        <v/>
      </c>
    </row>
    <row r="914">
      <c r="A914" s="19" t="n">
        <v>898</v>
      </c>
      <c r="B914" s="20">
        <f>IF($N914="","",INDEX(LdADate,$N914))</f>
        <v/>
      </c>
      <c r="C914" s="20">
        <f>IF($N914="","",IF(INDEX(LdAId,$N914)="","—",INDEX(LdAId,$N914)))</f>
        <v/>
      </c>
      <c r="D914" s="21">
        <f>IF($N914="","",IF(INDEX(LdAAmt,$N914)=0,"",INDEX(LdAAmt,$N914)))</f>
        <v/>
      </c>
      <c r="E914" s="21">
        <f>IF($N914="","",SUMIFS(ShareAmt,ShareLink,$C914))</f>
        <v/>
      </c>
      <c r="F914" s="34">
        <f>IF($N914="","",COUNTIF(ShareLink,$C914))</f>
        <v/>
      </c>
      <c r="G914" s="22">
        <f>IF($N914="","",IF(ROUND($E914-$D914,0)=0,"√","▲ "&amp;TEXT($D914-$E914,"#,##0")))</f>
        <v/>
      </c>
      <c r="N914">
        <f>IFERROR(MATCH($C$5&amp;"|"&amp;RIGHT("000000"&amp;898,6),LdAKeyG,0),"")</f>
        <v/>
      </c>
    </row>
    <row r="915">
      <c r="A915" s="10" t="n">
        <v>899</v>
      </c>
      <c r="B915" s="14">
        <f>IF($N915="","",INDEX(LdADate,$N915))</f>
        <v/>
      </c>
      <c r="C915" s="14">
        <f>IF($N915="","",IF(INDEX(LdAId,$N915)="","—",INDEX(LdAId,$N915)))</f>
        <v/>
      </c>
      <c r="D915" s="16">
        <f>IF($N915="","",IF(INDEX(LdAAmt,$N915)=0,"",INDEX(LdAAmt,$N915)))</f>
        <v/>
      </c>
      <c r="E915" s="16">
        <f>IF($N915="","",SUMIFS(ShareAmt,ShareLink,$C915))</f>
        <v/>
      </c>
      <c r="F915" s="33">
        <f>IF($N915="","",COUNTIF(ShareLink,$C915))</f>
        <v/>
      </c>
      <c r="G915" s="17">
        <f>IF($N915="","",IF(ROUND($E915-$D915,0)=0,"√","▲ "&amp;TEXT($D915-$E915,"#,##0")))</f>
        <v/>
      </c>
      <c r="N915">
        <f>IFERROR(MATCH($C$5&amp;"|"&amp;RIGHT("000000"&amp;899,6),LdAKeyG,0),"")</f>
        <v/>
      </c>
    </row>
    <row r="916">
      <c r="A916" s="19" t="n">
        <v>900</v>
      </c>
      <c r="B916" s="20">
        <f>IF($N916="","",INDEX(LdADate,$N916))</f>
        <v/>
      </c>
      <c r="C916" s="20">
        <f>IF($N916="","",IF(INDEX(LdAId,$N916)="","—",INDEX(LdAId,$N916)))</f>
        <v/>
      </c>
      <c r="D916" s="21">
        <f>IF($N916="","",IF(INDEX(LdAAmt,$N916)=0,"",INDEX(LdAAmt,$N916)))</f>
        <v/>
      </c>
      <c r="E916" s="21">
        <f>IF($N916="","",SUMIFS(ShareAmt,ShareLink,$C916))</f>
        <v/>
      </c>
      <c r="F916" s="34">
        <f>IF($N916="","",COUNTIF(ShareLink,$C916))</f>
        <v/>
      </c>
      <c r="G916" s="22">
        <f>IF($N916="","",IF(ROUND($E916-$D916,0)=0,"√","▲ "&amp;TEXT($D916-$E916,"#,##0")))</f>
        <v/>
      </c>
      <c r="N916">
        <f>IFERROR(MATCH($C$5&amp;"|"&amp;RIGHT("000000"&amp;900,6),LdAKeyG,0),"")</f>
        <v/>
      </c>
    </row>
    <row r="917">
      <c r="A917" s="10" t="n">
        <v>901</v>
      </c>
      <c r="B917" s="14">
        <f>IF($N917="","",INDEX(LdADate,$N917))</f>
        <v/>
      </c>
      <c r="C917" s="14">
        <f>IF($N917="","",IF(INDEX(LdAId,$N917)="","—",INDEX(LdAId,$N917)))</f>
        <v/>
      </c>
      <c r="D917" s="16">
        <f>IF($N917="","",IF(INDEX(LdAAmt,$N917)=0,"",INDEX(LdAAmt,$N917)))</f>
        <v/>
      </c>
      <c r="E917" s="16">
        <f>IF($N917="","",SUMIFS(ShareAmt,ShareLink,$C917))</f>
        <v/>
      </c>
      <c r="F917" s="33">
        <f>IF($N917="","",COUNTIF(ShareLink,$C917))</f>
        <v/>
      </c>
      <c r="G917" s="17">
        <f>IF($N917="","",IF(ROUND($E917-$D917,0)=0,"√","▲ "&amp;TEXT($D917-$E917,"#,##0")))</f>
        <v/>
      </c>
      <c r="N917">
        <f>IFERROR(MATCH($C$5&amp;"|"&amp;RIGHT("000000"&amp;901,6),LdAKeyG,0),"")</f>
        <v/>
      </c>
    </row>
    <row r="918">
      <c r="A918" s="19" t="n">
        <v>902</v>
      </c>
      <c r="B918" s="20">
        <f>IF($N918="","",INDEX(LdADate,$N918))</f>
        <v/>
      </c>
      <c r="C918" s="20">
        <f>IF($N918="","",IF(INDEX(LdAId,$N918)="","—",INDEX(LdAId,$N918)))</f>
        <v/>
      </c>
      <c r="D918" s="21">
        <f>IF($N918="","",IF(INDEX(LdAAmt,$N918)=0,"",INDEX(LdAAmt,$N918)))</f>
        <v/>
      </c>
      <c r="E918" s="21">
        <f>IF($N918="","",SUMIFS(ShareAmt,ShareLink,$C918))</f>
        <v/>
      </c>
      <c r="F918" s="34">
        <f>IF($N918="","",COUNTIF(ShareLink,$C918))</f>
        <v/>
      </c>
      <c r="G918" s="22">
        <f>IF($N918="","",IF(ROUND($E918-$D918,0)=0,"√","▲ "&amp;TEXT($D918-$E918,"#,##0")))</f>
        <v/>
      </c>
      <c r="N918">
        <f>IFERROR(MATCH($C$5&amp;"|"&amp;RIGHT("000000"&amp;902,6),LdAKeyG,0),"")</f>
        <v/>
      </c>
    </row>
    <row r="919">
      <c r="A919" s="10" t="n">
        <v>903</v>
      </c>
      <c r="B919" s="14">
        <f>IF($N919="","",INDEX(LdADate,$N919))</f>
        <v/>
      </c>
      <c r="C919" s="14">
        <f>IF($N919="","",IF(INDEX(LdAId,$N919)="","—",INDEX(LdAId,$N919)))</f>
        <v/>
      </c>
      <c r="D919" s="16">
        <f>IF($N919="","",IF(INDEX(LdAAmt,$N919)=0,"",INDEX(LdAAmt,$N919)))</f>
        <v/>
      </c>
      <c r="E919" s="16">
        <f>IF($N919="","",SUMIFS(ShareAmt,ShareLink,$C919))</f>
        <v/>
      </c>
      <c r="F919" s="33">
        <f>IF($N919="","",COUNTIF(ShareLink,$C919))</f>
        <v/>
      </c>
      <c r="G919" s="17">
        <f>IF($N919="","",IF(ROUND($E919-$D919,0)=0,"√","▲ "&amp;TEXT($D919-$E919,"#,##0")))</f>
        <v/>
      </c>
      <c r="N919">
        <f>IFERROR(MATCH($C$5&amp;"|"&amp;RIGHT("000000"&amp;903,6),LdAKeyG,0),"")</f>
        <v/>
      </c>
    </row>
    <row r="920">
      <c r="A920" s="19" t="n">
        <v>904</v>
      </c>
      <c r="B920" s="20">
        <f>IF($N920="","",INDEX(LdADate,$N920))</f>
        <v/>
      </c>
      <c r="C920" s="20">
        <f>IF($N920="","",IF(INDEX(LdAId,$N920)="","—",INDEX(LdAId,$N920)))</f>
        <v/>
      </c>
      <c r="D920" s="21">
        <f>IF($N920="","",IF(INDEX(LdAAmt,$N920)=0,"",INDEX(LdAAmt,$N920)))</f>
        <v/>
      </c>
      <c r="E920" s="21">
        <f>IF($N920="","",SUMIFS(ShareAmt,ShareLink,$C920))</f>
        <v/>
      </c>
      <c r="F920" s="34">
        <f>IF($N920="","",COUNTIF(ShareLink,$C920))</f>
        <v/>
      </c>
      <c r="G920" s="22">
        <f>IF($N920="","",IF(ROUND($E920-$D920,0)=0,"√","▲ "&amp;TEXT($D920-$E920,"#,##0")))</f>
        <v/>
      </c>
      <c r="N920">
        <f>IFERROR(MATCH($C$5&amp;"|"&amp;RIGHT("000000"&amp;904,6),LdAKeyG,0),"")</f>
        <v/>
      </c>
    </row>
    <row r="921">
      <c r="A921" s="10" t="n">
        <v>905</v>
      </c>
      <c r="B921" s="14">
        <f>IF($N921="","",INDEX(LdADate,$N921))</f>
        <v/>
      </c>
      <c r="C921" s="14">
        <f>IF($N921="","",IF(INDEX(LdAId,$N921)="","—",INDEX(LdAId,$N921)))</f>
        <v/>
      </c>
      <c r="D921" s="16">
        <f>IF($N921="","",IF(INDEX(LdAAmt,$N921)=0,"",INDEX(LdAAmt,$N921)))</f>
        <v/>
      </c>
      <c r="E921" s="16">
        <f>IF($N921="","",SUMIFS(ShareAmt,ShareLink,$C921))</f>
        <v/>
      </c>
      <c r="F921" s="33">
        <f>IF($N921="","",COUNTIF(ShareLink,$C921))</f>
        <v/>
      </c>
      <c r="G921" s="17">
        <f>IF($N921="","",IF(ROUND($E921-$D921,0)=0,"√","▲ "&amp;TEXT($D921-$E921,"#,##0")))</f>
        <v/>
      </c>
      <c r="N921">
        <f>IFERROR(MATCH($C$5&amp;"|"&amp;RIGHT("000000"&amp;905,6),LdAKeyG,0),"")</f>
        <v/>
      </c>
    </row>
    <row r="922">
      <c r="A922" s="19" t="n">
        <v>906</v>
      </c>
      <c r="B922" s="20">
        <f>IF($N922="","",INDEX(LdADate,$N922))</f>
        <v/>
      </c>
      <c r="C922" s="20">
        <f>IF($N922="","",IF(INDEX(LdAId,$N922)="","—",INDEX(LdAId,$N922)))</f>
        <v/>
      </c>
      <c r="D922" s="21">
        <f>IF($N922="","",IF(INDEX(LdAAmt,$N922)=0,"",INDEX(LdAAmt,$N922)))</f>
        <v/>
      </c>
      <c r="E922" s="21">
        <f>IF($N922="","",SUMIFS(ShareAmt,ShareLink,$C922))</f>
        <v/>
      </c>
      <c r="F922" s="34">
        <f>IF($N922="","",COUNTIF(ShareLink,$C922))</f>
        <v/>
      </c>
      <c r="G922" s="22">
        <f>IF($N922="","",IF(ROUND($E922-$D922,0)=0,"√","▲ "&amp;TEXT($D922-$E922,"#,##0")))</f>
        <v/>
      </c>
      <c r="N922">
        <f>IFERROR(MATCH($C$5&amp;"|"&amp;RIGHT("000000"&amp;906,6),LdAKeyG,0),"")</f>
        <v/>
      </c>
    </row>
    <row r="923">
      <c r="A923" s="10" t="n">
        <v>907</v>
      </c>
      <c r="B923" s="14">
        <f>IF($N923="","",INDEX(LdADate,$N923))</f>
        <v/>
      </c>
      <c r="C923" s="14">
        <f>IF($N923="","",IF(INDEX(LdAId,$N923)="","—",INDEX(LdAId,$N923)))</f>
        <v/>
      </c>
      <c r="D923" s="16">
        <f>IF($N923="","",IF(INDEX(LdAAmt,$N923)=0,"",INDEX(LdAAmt,$N923)))</f>
        <v/>
      </c>
      <c r="E923" s="16">
        <f>IF($N923="","",SUMIFS(ShareAmt,ShareLink,$C923))</f>
        <v/>
      </c>
      <c r="F923" s="33">
        <f>IF($N923="","",COUNTIF(ShareLink,$C923))</f>
        <v/>
      </c>
      <c r="G923" s="17">
        <f>IF($N923="","",IF(ROUND($E923-$D923,0)=0,"√","▲ "&amp;TEXT($D923-$E923,"#,##0")))</f>
        <v/>
      </c>
      <c r="N923">
        <f>IFERROR(MATCH($C$5&amp;"|"&amp;RIGHT("000000"&amp;907,6),LdAKeyG,0),"")</f>
        <v/>
      </c>
    </row>
    <row r="924">
      <c r="A924" s="19" t="n">
        <v>908</v>
      </c>
      <c r="B924" s="20">
        <f>IF($N924="","",INDEX(LdADate,$N924))</f>
        <v/>
      </c>
      <c r="C924" s="20">
        <f>IF($N924="","",IF(INDEX(LdAId,$N924)="","—",INDEX(LdAId,$N924)))</f>
        <v/>
      </c>
      <c r="D924" s="21">
        <f>IF($N924="","",IF(INDEX(LdAAmt,$N924)=0,"",INDEX(LdAAmt,$N924)))</f>
        <v/>
      </c>
      <c r="E924" s="21">
        <f>IF($N924="","",SUMIFS(ShareAmt,ShareLink,$C924))</f>
        <v/>
      </c>
      <c r="F924" s="34">
        <f>IF($N924="","",COUNTIF(ShareLink,$C924))</f>
        <v/>
      </c>
      <c r="G924" s="22">
        <f>IF($N924="","",IF(ROUND($E924-$D924,0)=0,"√","▲ "&amp;TEXT($D924-$E924,"#,##0")))</f>
        <v/>
      </c>
      <c r="N924">
        <f>IFERROR(MATCH($C$5&amp;"|"&amp;RIGHT("000000"&amp;908,6),LdAKeyG,0),"")</f>
        <v/>
      </c>
    </row>
    <row r="925">
      <c r="A925" s="10" t="n">
        <v>909</v>
      </c>
      <c r="B925" s="14">
        <f>IF($N925="","",INDEX(LdADate,$N925))</f>
        <v/>
      </c>
      <c r="C925" s="14">
        <f>IF($N925="","",IF(INDEX(LdAId,$N925)="","—",INDEX(LdAId,$N925)))</f>
        <v/>
      </c>
      <c r="D925" s="16">
        <f>IF($N925="","",IF(INDEX(LdAAmt,$N925)=0,"",INDEX(LdAAmt,$N925)))</f>
        <v/>
      </c>
      <c r="E925" s="16">
        <f>IF($N925="","",SUMIFS(ShareAmt,ShareLink,$C925))</f>
        <v/>
      </c>
      <c r="F925" s="33">
        <f>IF($N925="","",COUNTIF(ShareLink,$C925))</f>
        <v/>
      </c>
      <c r="G925" s="17">
        <f>IF($N925="","",IF(ROUND($E925-$D925,0)=0,"√","▲ "&amp;TEXT($D925-$E925,"#,##0")))</f>
        <v/>
      </c>
      <c r="N925">
        <f>IFERROR(MATCH($C$5&amp;"|"&amp;RIGHT("000000"&amp;909,6),LdAKeyG,0),"")</f>
        <v/>
      </c>
    </row>
    <row r="926">
      <c r="A926" s="19" t="n">
        <v>910</v>
      </c>
      <c r="B926" s="20">
        <f>IF($N926="","",INDEX(LdADate,$N926))</f>
        <v/>
      </c>
      <c r="C926" s="20">
        <f>IF($N926="","",IF(INDEX(LdAId,$N926)="","—",INDEX(LdAId,$N926)))</f>
        <v/>
      </c>
      <c r="D926" s="21">
        <f>IF($N926="","",IF(INDEX(LdAAmt,$N926)=0,"",INDEX(LdAAmt,$N926)))</f>
        <v/>
      </c>
      <c r="E926" s="21">
        <f>IF($N926="","",SUMIFS(ShareAmt,ShareLink,$C926))</f>
        <v/>
      </c>
      <c r="F926" s="34">
        <f>IF($N926="","",COUNTIF(ShareLink,$C926))</f>
        <v/>
      </c>
      <c r="G926" s="22">
        <f>IF($N926="","",IF(ROUND($E926-$D926,0)=0,"√","▲ "&amp;TEXT($D926-$E926,"#,##0")))</f>
        <v/>
      </c>
      <c r="N926">
        <f>IFERROR(MATCH($C$5&amp;"|"&amp;RIGHT("000000"&amp;910,6),LdAKeyG,0),"")</f>
        <v/>
      </c>
    </row>
    <row r="927">
      <c r="A927" s="10" t="n">
        <v>911</v>
      </c>
      <c r="B927" s="14">
        <f>IF($N927="","",INDEX(LdADate,$N927))</f>
        <v/>
      </c>
      <c r="C927" s="14">
        <f>IF($N927="","",IF(INDEX(LdAId,$N927)="","—",INDEX(LdAId,$N927)))</f>
        <v/>
      </c>
      <c r="D927" s="16">
        <f>IF($N927="","",IF(INDEX(LdAAmt,$N927)=0,"",INDEX(LdAAmt,$N927)))</f>
        <v/>
      </c>
      <c r="E927" s="16">
        <f>IF($N927="","",SUMIFS(ShareAmt,ShareLink,$C927))</f>
        <v/>
      </c>
      <c r="F927" s="33">
        <f>IF($N927="","",COUNTIF(ShareLink,$C927))</f>
        <v/>
      </c>
      <c r="G927" s="17">
        <f>IF($N927="","",IF(ROUND($E927-$D927,0)=0,"√","▲ "&amp;TEXT($D927-$E927,"#,##0")))</f>
        <v/>
      </c>
      <c r="N927">
        <f>IFERROR(MATCH($C$5&amp;"|"&amp;RIGHT("000000"&amp;911,6),LdAKeyG,0),"")</f>
        <v/>
      </c>
    </row>
    <row r="928">
      <c r="A928" s="19" t="n">
        <v>912</v>
      </c>
      <c r="B928" s="20">
        <f>IF($N928="","",INDEX(LdADate,$N928))</f>
        <v/>
      </c>
      <c r="C928" s="20">
        <f>IF($N928="","",IF(INDEX(LdAId,$N928)="","—",INDEX(LdAId,$N928)))</f>
        <v/>
      </c>
      <c r="D928" s="21">
        <f>IF($N928="","",IF(INDEX(LdAAmt,$N928)=0,"",INDEX(LdAAmt,$N928)))</f>
        <v/>
      </c>
      <c r="E928" s="21">
        <f>IF($N928="","",SUMIFS(ShareAmt,ShareLink,$C928))</f>
        <v/>
      </c>
      <c r="F928" s="34">
        <f>IF($N928="","",COUNTIF(ShareLink,$C928))</f>
        <v/>
      </c>
      <c r="G928" s="22">
        <f>IF($N928="","",IF(ROUND($E928-$D928,0)=0,"√","▲ "&amp;TEXT($D928-$E928,"#,##0")))</f>
        <v/>
      </c>
      <c r="N928">
        <f>IFERROR(MATCH($C$5&amp;"|"&amp;RIGHT("000000"&amp;912,6),LdAKeyG,0),"")</f>
        <v/>
      </c>
    </row>
    <row r="929">
      <c r="A929" s="10" t="n">
        <v>913</v>
      </c>
      <c r="B929" s="14">
        <f>IF($N929="","",INDEX(LdADate,$N929))</f>
        <v/>
      </c>
      <c r="C929" s="14">
        <f>IF($N929="","",IF(INDEX(LdAId,$N929)="","—",INDEX(LdAId,$N929)))</f>
        <v/>
      </c>
      <c r="D929" s="16">
        <f>IF($N929="","",IF(INDEX(LdAAmt,$N929)=0,"",INDEX(LdAAmt,$N929)))</f>
        <v/>
      </c>
      <c r="E929" s="16">
        <f>IF($N929="","",SUMIFS(ShareAmt,ShareLink,$C929))</f>
        <v/>
      </c>
      <c r="F929" s="33">
        <f>IF($N929="","",COUNTIF(ShareLink,$C929))</f>
        <v/>
      </c>
      <c r="G929" s="17">
        <f>IF($N929="","",IF(ROUND($E929-$D929,0)=0,"√","▲ "&amp;TEXT($D929-$E929,"#,##0")))</f>
        <v/>
      </c>
      <c r="N929">
        <f>IFERROR(MATCH($C$5&amp;"|"&amp;RIGHT("000000"&amp;913,6),LdAKeyG,0),"")</f>
        <v/>
      </c>
    </row>
    <row r="930">
      <c r="A930" s="19" t="n">
        <v>914</v>
      </c>
      <c r="B930" s="20">
        <f>IF($N930="","",INDEX(LdADate,$N930))</f>
        <v/>
      </c>
      <c r="C930" s="20">
        <f>IF($N930="","",IF(INDEX(LdAId,$N930)="","—",INDEX(LdAId,$N930)))</f>
        <v/>
      </c>
      <c r="D930" s="21">
        <f>IF($N930="","",IF(INDEX(LdAAmt,$N930)=0,"",INDEX(LdAAmt,$N930)))</f>
        <v/>
      </c>
      <c r="E930" s="21">
        <f>IF($N930="","",SUMIFS(ShareAmt,ShareLink,$C930))</f>
        <v/>
      </c>
      <c r="F930" s="34">
        <f>IF($N930="","",COUNTIF(ShareLink,$C930))</f>
        <v/>
      </c>
      <c r="G930" s="22">
        <f>IF($N930="","",IF(ROUND($E930-$D930,0)=0,"√","▲ "&amp;TEXT($D930-$E930,"#,##0")))</f>
        <v/>
      </c>
      <c r="N930">
        <f>IFERROR(MATCH($C$5&amp;"|"&amp;RIGHT("000000"&amp;914,6),LdAKeyG,0),"")</f>
        <v/>
      </c>
    </row>
    <row r="931">
      <c r="A931" s="10" t="n">
        <v>915</v>
      </c>
      <c r="B931" s="14">
        <f>IF($N931="","",INDEX(LdADate,$N931))</f>
        <v/>
      </c>
      <c r="C931" s="14">
        <f>IF($N931="","",IF(INDEX(LdAId,$N931)="","—",INDEX(LdAId,$N931)))</f>
        <v/>
      </c>
      <c r="D931" s="16">
        <f>IF($N931="","",IF(INDEX(LdAAmt,$N931)=0,"",INDEX(LdAAmt,$N931)))</f>
        <v/>
      </c>
      <c r="E931" s="16">
        <f>IF($N931="","",SUMIFS(ShareAmt,ShareLink,$C931))</f>
        <v/>
      </c>
      <c r="F931" s="33">
        <f>IF($N931="","",COUNTIF(ShareLink,$C931))</f>
        <v/>
      </c>
      <c r="G931" s="17">
        <f>IF($N931="","",IF(ROUND($E931-$D931,0)=0,"√","▲ "&amp;TEXT($D931-$E931,"#,##0")))</f>
        <v/>
      </c>
      <c r="N931">
        <f>IFERROR(MATCH($C$5&amp;"|"&amp;RIGHT("000000"&amp;915,6),LdAKeyG,0),"")</f>
        <v/>
      </c>
    </row>
    <row r="932">
      <c r="A932" s="19" t="n">
        <v>916</v>
      </c>
      <c r="B932" s="20">
        <f>IF($N932="","",INDEX(LdADate,$N932))</f>
        <v/>
      </c>
      <c r="C932" s="20">
        <f>IF($N932="","",IF(INDEX(LdAId,$N932)="","—",INDEX(LdAId,$N932)))</f>
        <v/>
      </c>
      <c r="D932" s="21">
        <f>IF($N932="","",IF(INDEX(LdAAmt,$N932)=0,"",INDEX(LdAAmt,$N932)))</f>
        <v/>
      </c>
      <c r="E932" s="21">
        <f>IF($N932="","",SUMIFS(ShareAmt,ShareLink,$C932))</f>
        <v/>
      </c>
      <c r="F932" s="34">
        <f>IF($N932="","",COUNTIF(ShareLink,$C932))</f>
        <v/>
      </c>
      <c r="G932" s="22">
        <f>IF($N932="","",IF(ROUND($E932-$D932,0)=0,"√","▲ "&amp;TEXT($D932-$E932,"#,##0")))</f>
        <v/>
      </c>
      <c r="N932">
        <f>IFERROR(MATCH($C$5&amp;"|"&amp;RIGHT("000000"&amp;916,6),LdAKeyG,0),"")</f>
        <v/>
      </c>
    </row>
    <row r="933">
      <c r="A933" s="10" t="n">
        <v>917</v>
      </c>
      <c r="B933" s="14">
        <f>IF($N933="","",INDEX(LdADate,$N933))</f>
        <v/>
      </c>
      <c r="C933" s="14">
        <f>IF($N933="","",IF(INDEX(LdAId,$N933)="","—",INDEX(LdAId,$N933)))</f>
        <v/>
      </c>
      <c r="D933" s="16">
        <f>IF($N933="","",IF(INDEX(LdAAmt,$N933)=0,"",INDEX(LdAAmt,$N933)))</f>
        <v/>
      </c>
      <c r="E933" s="16">
        <f>IF($N933="","",SUMIFS(ShareAmt,ShareLink,$C933))</f>
        <v/>
      </c>
      <c r="F933" s="33">
        <f>IF($N933="","",COUNTIF(ShareLink,$C933))</f>
        <v/>
      </c>
      <c r="G933" s="17">
        <f>IF($N933="","",IF(ROUND($E933-$D933,0)=0,"√","▲ "&amp;TEXT($D933-$E933,"#,##0")))</f>
        <v/>
      </c>
      <c r="N933">
        <f>IFERROR(MATCH($C$5&amp;"|"&amp;RIGHT("000000"&amp;917,6),LdAKeyG,0),"")</f>
        <v/>
      </c>
    </row>
    <row r="934">
      <c r="A934" s="19" t="n">
        <v>918</v>
      </c>
      <c r="B934" s="20">
        <f>IF($N934="","",INDEX(LdADate,$N934))</f>
        <v/>
      </c>
      <c r="C934" s="20">
        <f>IF($N934="","",IF(INDEX(LdAId,$N934)="","—",INDEX(LdAId,$N934)))</f>
        <v/>
      </c>
      <c r="D934" s="21">
        <f>IF($N934="","",IF(INDEX(LdAAmt,$N934)=0,"",INDEX(LdAAmt,$N934)))</f>
        <v/>
      </c>
      <c r="E934" s="21">
        <f>IF($N934="","",SUMIFS(ShareAmt,ShareLink,$C934))</f>
        <v/>
      </c>
      <c r="F934" s="34">
        <f>IF($N934="","",COUNTIF(ShareLink,$C934))</f>
        <v/>
      </c>
      <c r="G934" s="22">
        <f>IF($N934="","",IF(ROUND($E934-$D934,0)=0,"√","▲ "&amp;TEXT($D934-$E934,"#,##0")))</f>
        <v/>
      </c>
      <c r="N934">
        <f>IFERROR(MATCH($C$5&amp;"|"&amp;RIGHT("000000"&amp;918,6),LdAKeyG,0),"")</f>
        <v/>
      </c>
    </row>
    <row r="935">
      <c r="A935" s="10" t="n">
        <v>919</v>
      </c>
      <c r="B935" s="14">
        <f>IF($N935="","",INDEX(LdADate,$N935))</f>
        <v/>
      </c>
      <c r="C935" s="14">
        <f>IF($N935="","",IF(INDEX(LdAId,$N935)="","—",INDEX(LdAId,$N935)))</f>
        <v/>
      </c>
      <c r="D935" s="16">
        <f>IF($N935="","",IF(INDEX(LdAAmt,$N935)=0,"",INDEX(LdAAmt,$N935)))</f>
        <v/>
      </c>
      <c r="E935" s="16">
        <f>IF($N935="","",SUMIFS(ShareAmt,ShareLink,$C935))</f>
        <v/>
      </c>
      <c r="F935" s="33">
        <f>IF($N935="","",COUNTIF(ShareLink,$C935))</f>
        <v/>
      </c>
      <c r="G935" s="17">
        <f>IF($N935="","",IF(ROUND($E935-$D935,0)=0,"√","▲ "&amp;TEXT($D935-$E935,"#,##0")))</f>
        <v/>
      </c>
      <c r="N935">
        <f>IFERROR(MATCH($C$5&amp;"|"&amp;RIGHT("000000"&amp;919,6),LdAKeyG,0),"")</f>
        <v/>
      </c>
    </row>
    <row r="936">
      <c r="A936" s="19" t="n">
        <v>920</v>
      </c>
      <c r="B936" s="20">
        <f>IF($N936="","",INDEX(LdADate,$N936))</f>
        <v/>
      </c>
      <c r="C936" s="20">
        <f>IF($N936="","",IF(INDEX(LdAId,$N936)="","—",INDEX(LdAId,$N936)))</f>
        <v/>
      </c>
      <c r="D936" s="21">
        <f>IF($N936="","",IF(INDEX(LdAAmt,$N936)=0,"",INDEX(LdAAmt,$N936)))</f>
        <v/>
      </c>
      <c r="E936" s="21">
        <f>IF($N936="","",SUMIFS(ShareAmt,ShareLink,$C936))</f>
        <v/>
      </c>
      <c r="F936" s="34">
        <f>IF($N936="","",COUNTIF(ShareLink,$C936))</f>
        <v/>
      </c>
      <c r="G936" s="22">
        <f>IF($N936="","",IF(ROUND($E936-$D936,0)=0,"√","▲ "&amp;TEXT($D936-$E936,"#,##0")))</f>
        <v/>
      </c>
      <c r="N936">
        <f>IFERROR(MATCH($C$5&amp;"|"&amp;RIGHT("000000"&amp;920,6),LdAKeyG,0),"")</f>
        <v/>
      </c>
    </row>
    <row r="937">
      <c r="A937" s="10" t="n">
        <v>921</v>
      </c>
      <c r="B937" s="14">
        <f>IF($N937="","",INDEX(LdADate,$N937))</f>
        <v/>
      </c>
      <c r="C937" s="14">
        <f>IF($N937="","",IF(INDEX(LdAId,$N937)="","—",INDEX(LdAId,$N937)))</f>
        <v/>
      </c>
      <c r="D937" s="16">
        <f>IF($N937="","",IF(INDEX(LdAAmt,$N937)=0,"",INDEX(LdAAmt,$N937)))</f>
        <v/>
      </c>
      <c r="E937" s="16">
        <f>IF($N937="","",SUMIFS(ShareAmt,ShareLink,$C937))</f>
        <v/>
      </c>
      <c r="F937" s="33">
        <f>IF($N937="","",COUNTIF(ShareLink,$C937))</f>
        <v/>
      </c>
      <c r="G937" s="17">
        <f>IF($N937="","",IF(ROUND($E937-$D937,0)=0,"√","▲ "&amp;TEXT($D937-$E937,"#,##0")))</f>
        <v/>
      </c>
      <c r="N937">
        <f>IFERROR(MATCH($C$5&amp;"|"&amp;RIGHT("000000"&amp;921,6),LdAKeyG,0),"")</f>
        <v/>
      </c>
    </row>
    <row r="938">
      <c r="A938" s="19" t="n">
        <v>922</v>
      </c>
      <c r="B938" s="20">
        <f>IF($N938="","",INDEX(LdADate,$N938))</f>
        <v/>
      </c>
      <c r="C938" s="20">
        <f>IF($N938="","",IF(INDEX(LdAId,$N938)="","—",INDEX(LdAId,$N938)))</f>
        <v/>
      </c>
      <c r="D938" s="21">
        <f>IF($N938="","",IF(INDEX(LdAAmt,$N938)=0,"",INDEX(LdAAmt,$N938)))</f>
        <v/>
      </c>
      <c r="E938" s="21">
        <f>IF($N938="","",SUMIFS(ShareAmt,ShareLink,$C938))</f>
        <v/>
      </c>
      <c r="F938" s="34">
        <f>IF($N938="","",COUNTIF(ShareLink,$C938))</f>
        <v/>
      </c>
      <c r="G938" s="22">
        <f>IF($N938="","",IF(ROUND($E938-$D938,0)=0,"√","▲ "&amp;TEXT($D938-$E938,"#,##0")))</f>
        <v/>
      </c>
      <c r="N938">
        <f>IFERROR(MATCH($C$5&amp;"|"&amp;RIGHT("000000"&amp;922,6),LdAKeyG,0),"")</f>
        <v/>
      </c>
    </row>
    <row r="939">
      <c r="A939" s="10" t="n">
        <v>923</v>
      </c>
      <c r="B939" s="14">
        <f>IF($N939="","",INDEX(LdADate,$N939))</f>
        <v/>
      </c>
      <c r="C939" s="14">
        <f>IF($N939="","",IF(INDEX(LdAId,$N939)="","—",INDEX(LdAId,$N939)))</f>
        <v/>
      </c>
      <c r="D939" s="16">
        <f>IF($N939="","",IF(INDEX(LdAAmt,$N939)=0,"",INDEX(LdAAmt,$N939)))</f>
        <v/>
      </c>
      <c r="E939" s="16">
        <f>IF($N939="","",SUMIFS(ShareAmt,ShareLink,$C939))</f>
        <v/>
      </c>
      <c r="F939" s="33">
        <f>IF($N939="","",COUNTIF(ShareLink,$C939))</f>
        <v/>
      </c>
      <c r="G939" s="17">
        <f>IF($N939="","",IF(ROUND($E939-$D939,0)=0,"√","▲ "&amp;TEXT($D939-$E939,"#,##0")))</f>
        <v/>
      </c>
      <c r="N939">
        <f>IFERROR(MATCH($C$5&amp;"|"&amp;RIGHT("000000"&amp;923,6),LdAKeyG,0),"")</f>
        <v/>
      </c>
    </row>
    <row r="940">
      <c r="A940" s="19" t="n">
        <v>924</v>
      </c>
      <c r="B940" s="20">
        <f>IF($N940="","",INDEX(LdADate,$N940))</f>
        <v/>
      </c>
      <c r="C940" s="20">
        <f>IF($N940="","",IF(INDEX(LdAId,$N940)="","—",INDEX(LdAId,$N940)))</f>
        <v/>
      </c>
      <c r="D940" s="21">
        <f>IF($N940="","",IF(INDEX(LdAAmt,$N940)=0,"",INDEX(LdAAmt,$N940)))</f>
        <v/>
      </c>
      <c r="E940" s="21">
        <f>IF($N940="","",SUMIFS(ShareAmt,ShareLink,$C940))</f>
        <v/>
      </c>
      <c r="F940" s="34">
        <f>IF($N940="","",COUNTIF(ShareLink,$C940))</f>
        <v/>
      </c>
      <c r="G940" s="22">
        <f>IF($N940="","",IF(ROUND($E940-$D940,0)=0,"√","▲ "&amp;TEXT($D940-$E940,"#,##0")))</f>
        <v/>
      </c>
      <c r="N940">
        <f>IFERROR(MATCH($C$5&amp;"|"&amp;RIGHT("000000"&amp;924,6),LdAKeyG,0),"")</f>
        <v/>
      </c>
    </row>
    <row r="941">
      <c r="A941" s="10" t="n">
        <v>925</v>
      </c>
      <c r="B941" s="14">
        <f>IF($N941="","",INDEX(LdADate,$N941))</f>
        <v/>
      </c>
      <c r="C941" s="14">
        <f>IF($N941="","",IF(INDEX(LdAId,$N941)="","—",INDEX(LdAId,$N941)))</f>
        <v/>
      </c>
      <c r="D941" s="16">
        <f>IF($N941="","",IF(INDEX(LdAAmt,$N941)=0,"",INDEX(LdAAmt,$N941)))</f>
        <v/>
      </c>
      <c r="E941" s="16">
        <f>IF($N941="","",SUMIFS(ShareAmt,ShareLink,$C941))</f>
        <v/>
      </c>
      <c r="F941" s="33">
        <f>IF($N941="","",COUNTIF(ShareLink,$C941))</f>
        <v/>
      </c>
      <c r="G941" s="17">
        <f>IF($N941="","",IF(ROUND($E941-$D941,0)=0,"√","▲ "&amp;TEXT($D941-$E941,"#,##0")))</f>
        <v/>
      </c>
      <c r="N941">
        <f>IFERROR(MATCH($C$5&amp;"|"&amp;RIGHT("000000"&amp;925,6),LdAKeyG,0),"")</f>
        <v/>
      </c>
    </row>
    <row r="942">
      <c r="A942" s="19" t="n">
        <v>926</v>
      </c>
      <c r="B942" s="20">
        <f>IF($N942="","",INDEX(LdADate,$N942))</f>
        <v/>
      </c>
      <c r="C942" s="20">
        <f>IF($N942="","",IF(INDEX(LdAId,$N942)="","—",INDEX(LdAId,$N942)))</f>
        <v/>
      </c>
      <c r="D942" s="21">
        <f>IF($N942="","",IF(INDEX(LdAAmt,$N942)=0,"",INDEX(LdAAmt,$N942)))</f>
        <v/>
      </c>
      <c r="E942" s="21">
        <f>IF($N942="","",SUMIFS(ShareAmt,ShareLink,$C942))</f>
        <v/>
      </c>
      <c r="F942" s="34">
        <f>IF($N942="","",COUNTIF(ShareLink,$C942))</f>
        <v/>
      </c>
      <c r="G942" s="22">
        <f>IF($N942="","",IF(ROUND($E942-$D942,0)=0,"√","▲ "&amp;TEXT($D942-$E942,"#,##0")))</f>
        <v/>
      </c>
      <c r="N942">
        <f>IFERROR(MATCH($C$5&amp;"|"&amp;RIGHT("000000"&amp;926,6),LdAKeyG,0),"")</f>
        <v/>
      </c>
    </row>
    <row r="943">
      <c r="A943" s="10" t="n">
        <v>927</v>
      </c>
      <c r="B943" s="14">
        <f>IF($N943="","",INDEX(LdADate,$N943))</f>
        <v/>
      </c>
      <c r="C943" s="14">
        <f>IF($N943="","",IF(INDEX(LdAId,$N943)="","—",INDEX(LdAId,$N943)))</f>
        <v/>
      </c>
      <c r="D943" s="16">
        <f>IF($N943="","",IF(INDEX(LdAAmt,$N943)=0,"",INDEX(LdAAmt,$N943)))</f>
        <v/>
      </c>
      <c r="E943" s="16">
        <f>IF($N943="","",SUMIFS(ShareAmt,ShareLink,$C943))</f>
        <v/>
      </c>
      <c r="F943" s="33">
        <f>IF($N943="","",COUNTIF(ShareLink,$C943))</f>
        <v/>
      </c>
      <c r="G943" s="17">
        <f>IF($N943="","",IF(ROUND($E943-$D943,0)=0,"√","▲ "&amp;TEXT($D943-$E943,"#,##0")))</f>
        <v/>
      </c>
      <c r="N943">
        <f>IFERROR(MATCH($C$5&amp;"|"&amp;RIGHT("000000"&amp;927,6),LdAKeyG,0),"")</f>
        <v/>
      </c>
    </row>
    <row r="944">
      <c r="A944" s="19" t="n">
        <v>928</v>
      </c>
      <c r="B944" s="20">
        <f>IF($N944="","",INDEX(LdADate,$N944))</f>
        <v/>
      </c>
      <c r="C944" s="20">
        <f>IF($N944="","",IF(INDEX(LdAId,$N944)="","—",INDEX(LdAId,$N944)))</f>
        <v/>
      </c>
      <c r="D944" s="21">
        <f>IF($N944="","",IF(INDEX(LdAAmt,$N944)=0,"",INDEX(LdAAmt,$N944)))</f>
        <v/>
      </c>
      <c r="E944" s="21">
        <f>IF($N944="","",SUMIFS(ShareAmt,ShareLink,$C944))</f>
        <v/>
      </c>
      <c r="F944" s="34">
        <f>IF($N944="","",COUNTIF(ShareLink,$C944))</f>
        <v/>
      </c>
      <c r="G944" s="22">
        <f>IF($N944="","",IF(ROUND($E944-$D944,0)=0,"√","▲ "&amp;TEXT($D944-$E944,"#,##0")))</f>
        <v/>
      </c>
      <c r="N944">
        <f>IFERROR(MATCH($C$5&amp;"|"&amp;RIGHT("000000"&amp;928,6),LdAKeyG,0),"")</f>
        <v/>
      </c>
    </row>
    <row r="945">
      <c r="A945" s="10" t="n">
        <v>929</v>
      </c>
      <c r="B945" s="14">
        <f>IF($N945="","",INDEX(LdADate,$N945))</f>
        <v/>
      </c>
      <c r="C945" s="14">
        <f>IF($N945="","",IF(INDEX(LdAId,$N945)="","—",INDEX(LdAId,$N945)))</f>
        <v/>
      </c>
      <c r="D945" s="16">
        <f>IF($N945="","",IF(INDEX(LdAAmt,$N945)=0,"",INDEX(LdAAmt,$N945)))</f>
        <v/>
      </c>
      <c r="E945" s="16">
        <f>IF($N945="","",SUMIFS(ShareAmt,ShareLink,$C945))</f>
        <v/>
      </c>
      <c r="F945" s="33">
        <f>IF($N945="","",COUNTIF(ShareLink,$C945))</f>
        <v/>
      </c>
      <c r="G945" s="17">
        <f>IF($N945="","",IF(ROUND($E945-$D945,0)=0,"√","▲ "&amp;TEXT($D945-$E945,"#,##0")))</f>
        <v/>
      </c>
      <c r="N945">
        <f>IFERROR(MATCH($C$5&amp;"|"&amp;RIGHT("000000"&amp;929,6),LdAKeyG,0),"")</f>
        <v/>
      </c>
    </row>
    <row r="946">
      <c r="A946" s="19" t="n">
        <v>930</v>
      </c>
      <c r="B946" s="20">
        <f>IF($N946="","",INDEX(LdADate,$N946))</f>
        <v/>
      </c>
      <c r="C946" s="20">
        <f>IF($N946="","",IF(INDEX(LdAId,$N946)="","—",INDEX(LdAId,$N946)))</f>
        <v/>
      </c>
      <c r="D946" s="21">
        <f>IF($N946="","",IF(INDEX(LdAAmt,$N946)=0,"",INDEX(LdAAmt,$N946)))</f>
        <v/>
      </c>
      <c r="E946" s="21">
        <f>IF($N946="","",SUMIFS(ShareAmt,ShareLink,$C946))</f>
        <v/>
      </c>
      <c r="F946" s="34">
        <f>IF($N946="","",COUNTIF(ShareLink,$C946))</f>
        <v/>
      </c>
      <c r="G946" s="22">
        <f>IF($N946="","",IF(ROUND($E946-$D946,0)=0,"√","▲ "&amp;TEXT($D946-$E946,"#,##0")))</f>
        <v/>
      </c>
      <c r="N946">
        <f>IFERROR(MATCH($C$5&amp;"|"&amp;RIGHT("000000"&amp;930,6),LdAKeyG,0),"")</f>
        <v/>
      </c>
    </row>
    <row r="947">
      <c r="A947" s="10" t="n">
        <v>931</v>
      </c>
      <c r="B947" s="14">
        <f>IF($N947="","",INDEX(LdADate,$N947))</f>
        <v/>
      </c>
      <c r="C947" s="14">
        <f>IF($N947="","",IF(INDEX(LdAId,$N947)="","—",INDEX(LdAId,$N947)))</f>
        <v/>
      </c>
      <c r="D947" s="16">
        <f>IF($N947="","",IF(INDEX(LdAAmt,$N947)=0,"",INDEX(LdAAmt,$N947)))</f>
        <v/>
      </c>
      <c r="E947" s="16">
        <f>IF($N947="","",SUMIFS(ShareAmt,ShareLink,$C947))</f>
        <v/>
      </c>
      <c r="F947" s="33">
        <f>IF($N947="","",COUNTIF(ShareLink,$C947))</f>
        <v/>
      </c>
      <c r="G947" s="17">
        <f>IF($N947="","",IF(ROUND($E947-$D947,0)=0,"√","▲ "&amp;TEXT($D947-$E947,"#,##0")))</f>
        <v/>
      </c>
      <c r="N947">
        <f>IFERROR(MATCH($C$5&amp;"|"&amp;RIGHT("000000"&amp;931,6),LdAKeyG,0),"")</f>
        <v/>
      </c>
    </row>
    <row r="948">
      <c r="A948" s="19" t="n">
        <v>932</v>
      </c>
      <c r="B948" s="20">
        <f>IF($N948="","",INDEX(LdADate,$N948))</f>
        <v/>
      </c>
      <c r="C948" s="20">
        <f>IF($N948="","",IF(INDEX(LdAId,$N948)="","—",INDEX(LdAId,$N948)))</f>
        <v/>
      </c>
      <c r="D948" s="21">
        <f>IF($N948="","",IF(INDEX(LdAAmt,$N948)=0,"",INDEX(LdAAmt,$N948)))</f>
        <v/>
      </c>
      <c r="E948" s="21">
        <f>IF($N948="","",SUMIFS(ShareAmt,ShareLink,$C948))</f>
        <v/>
      </c>
      <c r="F948" s="34">
        <f>IF($N948="","",COUNTIF(ShareLink,$C948))</f>
        <v/>
      </c>
      <c r="G948" s="22">
        <f>IF($N948="","",IF(ROUND($E948-$D948,0)=0,"√","▲ "&amp;TEXT($D948-$E948,"#,##0")))</f>
        <v/>
      </c>
      <c r="N948">
        <f>IFERROR(MATCH($C$5&amp;"|"&amp;RIGHT("000000"&amp;932,6),LdAKeyG,0),"")</f>
        <v/>
      </c>
    </row>
    <row r="949">
      <c r="A949" s="10" t="n">
        <v>933</v>
      </c>
      <c r="B949" s="14">
        <f>IF($N949="","",INDEX(LdADate,$N949))</f>
        <v/>
      </c>
      <c r="C949" s="14">
        <f>IF($N949="","",IF(INDEX(LdAId,$N949)="","—",INDEX(LdAId,$N949)))</f>
        <v/>
      </c>
      <c r="D949" s="16">
        <f>IF($N949="","",IF(INDEX(LdAAmt,$N949)=0,"",INDEX(LdAAmt,$N949)))</f>
        <v/>
      </c>
      <c r="E949" s="16">
        <f>IF($N949="","",SUMIFS(ShareAmt,ShareLink,$C949))</f>
        <v/>
      </c>
      <c r="F949" s="33">
        <f>IF($N949="","",COUNTIF(ShareLink,$C949))</f>
        <v/>
      </c>
      <c r="G949" s="17">
        <f>IF($N949="","",IF(ROUND($E949-$D949,0)=0,"√","▲ "&amp;TEXT($D949-$E949,"#,##0")))</f>
        <v/>
      </c>
      <c r="N949">
        <f>IFERROR(MATCH($C$5&amp;"|"&amp;RIGHT("000000"&amp;933,6),LdAKeyG,0),"")</f>
        <v/>
      </c>
    </row>
    <row r="950">
      <c r="A950" s="19" t="n">
        <v>934</v>
      </c>
      <c r="B950" s="20">
        <f>IF($N950="","",INDEX(LdADate,$N950))</f>
        <v/>
      </c>
      <c r="C950" s="20">
        <f>IF($N950="","",IF(INDEX(LdAId,$N950)="","—",INDEX(LdAId,$N950)))</f>
        <v/>
      </c>
      <c r="D950" s="21">
        <f>IF($N950="","",IF(INDEX(LdAAmt,$N950)=0,"",INDEX(LdAAmt,$N950)))</f>
        <v/>
      </c>
      <c r="E950" s="21">
        <f>IF($N950="","",SUMIFS(ShareAmt,ShareLink,$C950))</f>
        <v/>
      </c>
      <c r="F950" s="34">
        <f>IF($N950="","",COUNTIF(ShareLink,$C950))</f>
        <v/>
      </c>
      <c r="G950" s="22">
        <f>IF($N950="","",IF(ROUND($E950-$D950,0)=0,"√","▲ "&amp;TEXT($D950-$E950,"#,##0")))</f>
        <v/>
      </c>
      <c r="N950">
        <f>IFERROR(MATCH($C$5&amp;"|"&amp;RIGHT("000000"&amp;934,6),LdAKeyG,0),"")</f>
        <v/>
      </c>
    </row>
    <row r="951">
      <c r="A951" s="10" t="n">
        <v>935</v>
      </c>
      <c r="B951" s="14">
        <f>IF($N951="","",INDEX(LdADate,$N951))</f>
        <v/>
      </c>
      <c r="C951" s="14">
        <f>IF($N951="","",IF(INDEX(LdAId,$N951)="","—",INDEX(LdAId,$N951)))</f>
        <v/>
      </c>
      <c r="D951" s="16">
        <f>IF($N951="","",IF(INDEX(LdAAmt,$N951)=0,"",INDEX(LdAAmt,$N951)))</f>
        <v/>
      </c>
      <c r="E951" s="16">
        <f>IF($N951="","",SUMIFS(ShareAmt,ShareLink,$C951))</f>
        <v/>
      </c>
      <c r="F951" s="33">
        <f>IF($N951="","",COUNTIF(ShareLink,$C951))</f>
        <v/>
      </c>
      <c r="G951" s="17">
        <f>IF($N951="","",IF(ROUND($E951-$D951,0)=0,"√","▲ "&amp;TEXT($D951-$E951,"#,##0")))</f>
        <v/>
      </c>
      <c r="N951">
        <f>IFERROR(MATCH($C$5&amp;"|"&amp;RIGHT("000000"&amp;935,6),LdAKeyG,0),"")</f>
        <v/>
      </c>
    </row>
    <row r="952">
      <c r="A952" s="19" t="n">
        <v>936</v>
      </c>
      <c r="B952" s="20">
        <f>IF($N952="","",INDEX(LdADate,$N952))</f>
        <v/>
      </c>
      <c r="C952" s="20">
        <f>IF($N952="","",IF(INDEX(LdAId,$N952)="","—",INDEX(LdAId,$N952)))</f>
        <v/>
      </c>
      <c r="D952" s="21">
        <f>IF($N952="","",IF(INDEX(LdAAmt,$N952)=0,"",INDEX(LdAAmt,$N952)))</f>
        <v/>
      </c>
      <c r="E952" s="21">
        <f>IF($N952="","",SUMIFS(ShareAmt,ShareLink,$C952))</f>
        <v/>
      </c>
      <c r="F952" s="34">
        <f>IF($N952="","",COUNTIF(ShareLink,$C952))</f>
        <v/>
      </c>
      <c r="G952" s="22">
        <f>IF($N952="","",IF(ROUND($E952-$D952,0)=0,"√","▲ "&amp;TEXT($D952-$E952,"#,##0")))</f>
        <v/>
      </c>
      <c r="N952">
        <f>IFERROR(MATCH($C$5&amp;"|"&amp;RIGHT("000000"&amp;936,6),LdAKeyG,0),"")</f>
        <v/>
      </c>
    </row>
    <row r="953">
      <c r="A953" s="10" t="n">
        <v>937</v>
      </c>
      <c r="B953" s="14">
        <f>IF($N953="","",INDEX(LdADate,$N953))</f>
        <v/>
      </c>
      <c r="C953" s="14">
        <f>IF($N953="","",IF(INDEX(LdAId,$N953)="","—",INDEX(LdAId,$N953)))</f>
        <v/>
      </c>
      <c r="D953" s="16">
        <f>IF($N953="","",IF(INDEX(LdAAmt,$N953)=0,"",INDEX(LdAAmt,$N953)))</f>
        <v/>
      </c>
      <c r="E953" s="16">
        <f>IF($N953="","",SUMIFS(ShareAmt,ShareLink,$C953))</f>
        <v/>
      </c>
      <c r="F953" s="33">
        <f>IF($N953="","",COUNTIF(ShareLink,$C953))</f>
        <v/>
      </c>
      <c r="G953" s="17">
        <f>IF($N953="","",IF(ROUND($E953-$D953,0)=0,"√","▲ "&amp;TEXT($D953-$E953,"#,##0")))</f>
        <v/>
      </c>
      <c r="N953">
        <f>IFERROR(MATCH($C$5&amp;"|"&amp;RIGHT("000000"&amp;937,6),LdAKeyG,0),"")</f>
        <v/>
      </c>
    </row>
    <row r="954">
      <c r="A954" s="19" t="n">
        <v>938</v>
      </c>
      <c r="B954" s="20">
        <f>IF($N954="","",INDEX(LdADate,$N954))</f>
        <v/>
      </c>
      <c r="C954" s="20">
        <f>IF($N954="","",IF(INDEX(LdAId,$N954)="","—",INDEX(LdAId,$N954)))</f>
        <v/>
      </c>
      <c r="D954" s="21">
        <f>IF($N954="","",IF(INDEX(LdAAmt,$N954)=0,"",INDEX(LdAAmt,$N954)))</f>
        <v/>
      </c>
      <c r="E954" s="21">
        <f>IF($N954="","",SUMIFS(ShareAmt,ShareLink,$C954))</f>
        <v/>
      </c>
      <c r="F954" s="34">
        <f>IF($N954="","",COUNTIF(ShareLink,$C954))</f>
        <v/>
      </c>
      <c r="G954" s="22">
        <f>IF($N954="","",IF(ROUND($E954-$D954,0)=0,"√","▲ "&amp;TEXT($D954-$E954,"#,##0")))</f>
        <v/>
      </c>
      <c r="N954">
        <f>IFERROR(MATCH($C$5&amp;"|"&amp;RIGHT("000000"&amp;938,6),LdAKeyG,0),"")</f>
        <v/>
      </c>
    </row>
    <row r="955">
      <c r="A955" s="10" t="n">
        <v>939</v>
      </c>
      <c r="B955" s="14">
        <f>IF($N955="","",INDEX(LdADate,$N955))</f>
        <v/>
      </c>
      <c r="C955" s="14">
        <f>IF($N955="","",IF(INDEX(LdAId,$N955)="","—",INDEX(LdAId,$N955)))</f>
        <v/>
      </c>
      <c r="D955" s="16">
        <f>IF($N955="","",IF(INDEX(LdAAmt,$N955)=0,"",INDEX(LdAAmt,$N955)))</f>
        <v/>
      </c>
      <c r="E955" s="16">
        <f>IF($N955="","",SUMIFS(ShareAmt,ShareLink,$C955))</f>
        <v/>
      </c>
      <c r="F955" s="33">
        <f>IF($N955="","",COUNTIF(ShareLink,$C955))</f>
        <v/>
      </c>
      <c r="G955" s="17">
        <f>IF($N955="","",IF(ROUND($E955-$D955,0)=0,"√","▲ "&amp;TEXT($D955-$E955,"#,##0")))</f>
        <v/>
      </c>
      <c r="N955">
        <f>IFERROR(MATCH($C$5&amp;"|"&amp;RIGHT("000000"&amp;939,6),LdAKeyG,0),"")</f>
        <v/>
      </c>
    </row>
    <row r="956">
      <c r="A956" s="19" t="n">
        <v>940</v>
      </c>
      <c r="B956" s="20">
        <f>IF($N956="","",INDEX(LdADate,$N956))</f>
        <v/>
      </c>
      <c r="C956" s="20">
        <f>IF($N956="","",IF(INDEX(LdAId,$N956)="","—",INDEX(LdAId,$N956)))</f>
        <v/>
      </c>
      <c r="D956" s="21">
        <f>IF($N956="","",IF(INDEX(LdAAmt,$N956)=0,"",INDEX(LdAAmt,$N956)))</f>
        <v/>
      </c>
      <c r="E956" s="21">
        <f>IF($N956="","",SUMIFS(ShareAmt,ShareLink,$C956))</f>
        <v/>
      </c>
      <c r="F956" s="34">
        <f>IF($N956="","",COUNTIF(ShareLink,$C956))</f>
        <v/>
      </c>
      <c r="G956" s="22">
        <f>IF($N956="","",IF(ROUND($E956-$D956,0)=0,"√","▲ "&amp;TEXT($D956-$E956,"#,##0")))</f>
        <v/>
      </c>
      <c r="N956">
        <f>IFERROR(MATCH($C$5&amp;"|"&amp;RIGHT("000000"&amp;940,6),LdAKeyG,0),"")</f>
        <v/>
      </c>
    </row>
    <row r="957">
      <c r="A957" s="10" t="n">
        <v>941</v>
      </c>
      <c r="B957" s="14">
        <f>IF($N957="","",INDEX(LdADate,$N957))</f>
        <v/>
      </c>
      <c r="C957" s="14">
        <f>IF($N957="","",IF(INDEX(LdAId,$N957)="","—",INDEX(LdAId,$N957)))</f>
        <v/>
      </c>
      <c r="D957" s="16">
        <f>IF($N957="","",IF(INDEX(LdAAmt,$N957)=0,"",INDEX(LdAAmt,$N957)))</f>
        <v/>
      </c>
      <c r="E957" s="16">
        <f>IF($N957="","",SUMIFS(ShareAmt,ShareLink,$C957))</f>
        <v/>
      </c>
      <c r="F957" s="33">
        <f>IF($N957="","",COUNTIF(ShareLink,$C957))</f>
        <v/>
      </c>
      <c r="G957" s="17">
        <f>IF($N957="","",IF(ROUND($E957-$D957,0)=0,"√","▲ "&amp;TEXT($D957-$E957,"#,##0")))</f>
        <v/>
      </c>
      <c r="N957">
        <f>IFERROR(MATCH($C$5&amp;"|"&amp;RIGHT("000000"&amp;941,6),LdAKeyG,0),"")</f>
        <v/>
      </c>
    </row>
    <row r="958">
      <c r="A958" s="19" t="n">
        <v>942</v>
      </c>
      <c r="B958" s="20">
        <f>IF($N958="","",INDEX(LdADate,$N958))</f>
        <v/>
      </c>
      <c r="C958" s="20">
        <f>IF($N958="","",IF(INDEX(LdAId,$N958)="","—",INDEX(LdAId,$N958)))</f>
        <v/>
      </c>
      <c r="D958" s="21">
        <f>IF($N958="","",IF(INDEX(LdAAmt,$N958)=0,"",INDEX(LdAAmt,$N958)))</f>
        <v/>
      </c>
      <c r="E958" s="21">
        <f>IF($N958="","",SUMIFS(ShareAmt,ShareLink,$C958))</f>
        <v/>
      </c>
      <c r="F958" s="34">
        <f>IF($N958="","",COUNTIF(ShareLink,$C958))</f>
        <v/>
      </c>
      <c r="G958" s="22">
        <f>IF($N958="","",IF(ROUND($E958-$D958,0)=0,"√","▲ "&amp;TEXT($D958-$E958,"#,##0")))</f>
        <v/>
      </c>
      <c r="N958">
        <f>IFERROR(MATCH($C$5&amp;"|"&amp;RIGHT("000000"&amp;942,6),LdAKeyG,0),"")</f>
        <v/>
      </c>
    </row>
    <row r="959">
      <c r="A959" s="10" t="n">
        <v>943</v>
      </c>
      <c r="B959" s="14">
        <f>IF($N959="","",INDEX(LdADate,$N959))</f>
        <v/>
      </c>
      <c r="C959" s="14">
        <f>IF($N959="","",IF(INDEX(LdAId,$N959)="","—",INDEX(LdAId,$N959)))</f>
        <v/>
      </c>
      <c r="D959" s="16">
        <f>IF($N959="","",IF(INDEX(LdAAmt,$N959)=0,"",INDEX(LdAAmt,$N959)))</f>
        <v/>
      </c>
      <c r="E959" s="16">
        <f>IF($N959="","",SUMIFS(ShareAmt,ShareLink,$C959))</f>
        <v/>
      </c>
      <c r="F959" s="33">
        <f>IF($N959="","",COUNTIF(ShareLink,$C959))</f>
        <v/>
      </c>
      <c r="G959" s="17">
        <f>IF($N959="","",IF(ROUND($E959-$D959,0)=0,"√","▲ "&amp;TEXT($D959-$E959,"#,##0")))</f>
        <v/>
      </c>
      <c r="N959">
        <f>IFERROR(MATCH($C$5&amp;"|"&amp;RIGHT("000000"&amp;943,6),LdAKeyG,0),"")</f>
        <v/>
      </c>
    </row>
    <row r="960">
      <c r="A960" s="19" t="n">
        <v>944</v>
      </c>
      <c r="B960" s="20">
        <f>IF($N960="","",INDEX(LdADate,$N960))</f>
        <v/>
      </c>
      <c r="C960" s="20">
        <f>IF($N960="","",IF(INDEX(LdAId,$N960)="","—",INDEX(LdAId,$N960)))</f>
        <v/>
      </c>
      <c r="D960" s="21">
        <f>IF($N960="","",IF(INDEX(LdAAmt,$N960)=0,"",INDEX(LdAAmt,$N960)))</f>
        <v/>
      </c>
      <c r="E960" s="21">
        <f>IF($N960="","",SUMIFS(ShareAmt,ShareLink,$C960))</f>
        <v/>
      </c>
      <c r="F960" s="34">
        <f>IF($N960="","",COUNTIF(ShareLink,$C960))</f>
        <v/>
      </c>
      <c r="G960" s="22">
        <f>IF($N960="","",IF(ROUND($E960-$D960,0)=0,"√","▲ "&amp;TEXT($D960-$E960,"#,##0")))</f>
        <v/>
      </c>
      <c r="N960">
        <f>IFERROR(MATCH($C$5&amp;"|"&amp;RIGHT("000000"&amp;944,6),LdAKeyG,0),"")</f>
        <v/>
      </c>
    </row>
    <row r="961">
      <c r="A961" s="10" t="n">
        <v>945</v>
      </c>
      <c r="B961" s="14">
        <f>IF($N961="","",INDEX(LdADate,$N961))</f>
        <v/>
      </c>
      <c r="C961" s="14">
        <f>IF($N961="","",IF(INDEX(LdAId,$N961)="","—",INDEX(LdAId,$N961)))</f>
        <v/>
      </c>
      <c r="D961" s="16">
        <f>IF($N961="","",IF(INDEX(LdAAmt,$N961)=0,"",INDEX(LdAAmt,$N961)))</f>
        <v/>
      </c>
      <c r="E961" s="16">
        <f>IF($N961="","",SUMIFS(ShareAmt,ShareLink,$C961))</f>
        <v/>
      </c>
      <c r="F961" s="33">
        <f>IF($N961="","",COUNTIF(ShareLink,$C961))</f>
        <v/>
      </c>
      <c r="G961" s="17">
        <f>IF($N961="","",IF(ROUND($E961-$D961,0)=0,"√","▲ "&amp;TEXT($D961-$E961,"#,##0")))</f>
        <v/>
      </c>
      <c r="N961">
        <f>IFERROR(MATCH($C$5&amp;"|"&amp;RIGHT("000000"&amp;945,6),LdAKeyG,0),"")</f>
        <v/>
      </c>
    </row>
    <row r="962">
      <c r="A962" s="19" t="n">
        <v>946</v>
      </c>
      <c r="B962" s="20">
        <f>IF($N962="","",INDEX(LdADate,$N962))</f>
        <v/>
      </c>
      <c r="C962" s="20">
        <f>IF($N962="","",IF(INDEX(LdAId,$N962)="","—",INDEX(LdAId,$N962)))</f>
        <v/>
      </c>
      <c r="D962" s="21">
        <f>IF($N962="","",IF(INDEX(LdAAmt,$N962)=0,"",INDEX(LdAAmt,$N962)))</f>
        <v/>
      </c>
      <c r="E962" s="21">
        <f>IF($N962="","",SUMIFS(ShareAmt,ShareLink,$C962))</f>
        <v/>
      </c>
      <c r="F962" s="34">
        <f>IF($N962="","",COUNTIF(ShareLink,$C962))</f>
        <v/>
      </c>
      <c r="G962" s="22">
        <f>IF($N962="","",IF(ROUND($E962-$D962,0)=0,"√","▲ "&amp;TEXT($D962-$E962,"#,##0")))</f>
        <v/>
      </c>
      <c r="N962">
        <f>IFERROR(MATCH($C$5&amp;"|"&amp;RIGHT("000000"&amp;946,6),LdAKeyG,0),"")</f>
        <v/>
      </c>
    </row>
    <row r="963">
      <c r="A963" s="10" t="n">
        <v>947</v>
      </c>
      <c r="B963" s="14">
        <f>IF($N963="","",INDEX(LdADate,$N963))</f>
        <v/>
      </c>
      <c r="C963" s="14">
        <f>IF($N963="","",IF(INDEX(LdAId,$N963)="","—",INDEX(LdAId,$N963)))</f>
        <v/>
      </c>
      <c r="D963" s="16">
        <f>IF($N963="","",IF(INDEX(LdAAmt,$N963)=0,"",INDEX(LdAAmt,$N963)))</f>
        <v/>
      </c>
      <c r="E963" s="16">
        <f>IF($N963="","",SUMIFS(ShareAmt,ShareLink,$C963))</f>
        <v/>
      </c>
      <c r="F963" s="33">
        <f>IF($N963="","",COUNTIF(ShareLink,$C963))</f>
        <v/>
      </c>
      <c r="G963" s="17">
        <f>IF($N963="","",IF(ROUND($E963-$D963,0)=0,"√","▲ "&amp;TEXT($D963-$E963,"#,##0")))</f>
        <v/>
      </c>
      <c r="N963">
        <f>IFERROR(MATCH($C$5&amp;"|"&amp;RIGHT("000000"&amp;947,6),LdAKeyG,0),"")</f>
        <v/>
      </c>
    </row>
    <row r="964">
      <c r="A964" s="19" t="n">
        <v>948</v>
      </c>
      <c r="B964" s="20">
        <f>IF($N964="","",INDEX(LdADate,$N964))</f>
        <v/>
      </c>
      <c r="C964" s="20">
        <f>IF($N964="","",IF(INDEX(LdAId,$N964)="","—",INDEX(LdAId,$N964)))</f>
        <v/>
      </c>
      <c r="D964" s="21">
        <f>IF($N964="","",IF(INDEX(LdAAmt,$N964)=0,"",INDEX(LdAAmt,$N964)))</f>
        <v/>
      </c>
      <c r="E964" s="21">
        <f>IF($N964="","",SUMIFS(ShareAmt,ShareLink,$C964))</f>
        <v/>
      </c>
      <c r="F964" s="34">
        <f>IF($N964="","",COUNTIF(ShareLink,$C964))</f>
        <v/>
      </c>
      <c r="G964" s="22">
        <f>IF($N964="","",IF(ROUND($E964-$D964,0)=0,"√","▲ "&amp;TEXT($D964-$E964,"#,##0")))</f>
        <v/>
      </c>
      <c r="N964">
        <f>IFERROR(MATCH($C$5&amp;"|"&amp;RIGHT("000000"&amp;948,6),LdAKeyG,0),"")</f>
        <v/>
      </c>
    </row>
    <row r="965">
      <c r="A965" s="10" t="n">
        <v>949</v>
      </c>
      <c r="B965" s="14">
        <f>IF($N965="","",INDEX(LdADate,$N965))</f>
        <v/>
      </c>
      <c r="C965" s="14">
        <f>IF($N965="","",IF(INDEX(LdAId,$N965)="","—",INDEX(LdAId,$N965)))</f>
        <v/>
      </c>
      <c r="D965" s="16">
        <f>IF($N965="","",IF(INDEX(LdAAmt,$N965)=0,"",INDEX(LdAAmt,$N965)))</f>
        <v/>
      </c>
      <c r="E965" s="16">
        <f>IF($N965="","",SUMIFS(ShareAmt,ShareLink,$C965))</f>
        <v/>
      </c>
      <c r="F965" s="33">
        <f>IF($N965="","",COUNTIF(ShareLink,$C965))</f>
        <v/>
      </c>
      <c r="G965" s="17">
        <f>IF($N965="","",IF(ROUND($E965-$D965,0)=0,"√","▲ "&amp;TEXT($D965-$E965,"#,##0")))</f>
        <v/>
      </c>
      <c r="N965">
        <f>IFERROR(MATCH($C$5&amp;"|"&amp;RIGHT("000000"&amp;949,6),LdAKeyG,0),"")</f>
        <v/>
      </c>
    </row>
    <row r="966">
      <c r="A966" s="19" t="n">
        <v>950</v>
      </c>
      <c r="B966" s="20">
        <f>IF($N966="","",INDEX(LdADate,$N966))</f>
        <v/>
      </c>
      <c r="C966" s="20">
        <f>IF($N966="","",IF(INDEX(LdAId,$N966)="","—",INDEX(LdAId,$N966)))</f>
        <v/>
      </c>
      <c r="D966" s="21">
        <f>IF($N966="","",IF(INDEX(LdAAmt,$N966)=0,"",INDEX(LdAAmt,$N966)))</f>
        <v/>
      </c>
      <c r="E966" s="21">
        <f>IF($N966="","",SUMIFS(ShareAmt,ShareLink,$C966))</f>
        <v/>
      </c>
      <c r="F966" s="34">
        <f>IF($N966="","",COUNTIF(ShareLink,$C966))</f>
        <v/>
      </c>
      <c r="G966" s="22">
        <f>IF($N966="","",IF(ROUND($E966-$D966,0)=0,"√","▲ "&amp;TEXT($D966-$E966,"#,##0")))</f>
        <v/>
      </c>
      <c r="N966">
        <f>IFERROR(MATCH($C$5&amp;"|"&amp;RIGHT("000000"&amp;950,6),LdAKeyG,0),"")</f>
        <v/>
      </c>
    </row>
    <row r="967">
      <c r="A967" s="10" t="n">
        <v>951</v>
      </c>
      <c r="B967" s="14">
        <f>IF($N967="","",INDEX(LdADate,$N967))</f>
        <v/>
      </c>
      <c r="C967" s="14">
        <f>IF($N967="","",IF(INDEX(LdAId,$N967)="","—",INDEX(LdAId,$N967)))</f>
        <v/>
      </c>
      <c r="D967" s="16">
        <f>IF($N967="","",IF(INDEX(LdAAmt,$N967)=0,"",INDEX(LdAAmt,$N967)))</f>
        <v/>
      </c>
      <c r="E967" s="16">
        <f>IF($N967="","",SUMIFS(ShareAmt,ShareLink,$C967))</f>
        <v/>
      </c>
      <c r="F967" s="33">
        <f>IF($N967="","",COUNTIF(ShareLink,$C967))</f>
        <v/>
      </c>
      <c r="G967" s="17">
        <f>IF($N967="","",IF(ROUND($E967-$D967,0)=0,"√","▲ "&amp;TEXT($D967-$E967,"#,##0")))</f>
        <v/>
      </c>
      <c r="N967">
        <f>IFERROR(MATCH($C$5&amp;"|"&amp;RIGHT("000000"&amp;951,6),LdAKeyG,0),"")</f>
        <v/>
      </c>
    </row>
    <row r="968">
      <c r="A968" s="19" t="n">
        <v>952</v>
      </c>
      <c r="B968" s="20">
        <f>IF($N968="","",INDEX(LdADate,$N968))</f>
        <v/>
      </c>
      <c r="C968" s="20">
        <f>IF($N968="","",IF(INDEX(LdAId,$N968)="","—",INDEX(LdAId,$N968)))</f>
        <v/>
      </c>
      <c r="D968" s="21">
        <f>IF($N968="","",IF(INDEX(LdAAmt,$N968)=0,"",INDEX(LdAAmt,$N968)))</f>
        <v/>
      </c>
      <c r="E968" s="21">
        <f>IF($N968="","",SUMIFS(ShareAmt,ShareLink,$C968))</f>
        <v/>
      </c>
      <c r="F968" s="34">
        <f>IF($N968="","",COUNTIF(ShareLink,$C968))</f>
        <v/>
      </c>
      <c r="G968" s="22">
        <f>IF($N968="","",IF(ROUND($E968-$D968,0)=0,"√","▲ "&amp;TEXT($D968-$E968,"#,##0")))</f>
        <v/>
      </c>
      <c r="N968">
        <f>IFERROR(MATCH($C$5&amp;"|"&amp;RIGHT("000000"&amp;952,6),LdAKeyG,0),"")</f>
        <v/>
      </c>
    </row>
    <row r="969">
      <c r="A969" s="10" t="n">
        <v>953</v>
      </c>
      <c r="B969" s="14">
        <f>IF($N969="","",INDEX(LdADate,$N969))</f>
        <v/>
      </c>
      <c r="C969" s="14">
        <f>IF($N969="","",IF(INDEX(LdAId,$N969)="","—",INDEX(LdAId,$N969)))</f>
        <v/>
      </c>
      <c r="D969" s="16">
        <f>IF($N969="","",IF(INDEX(LdAAmt,$N969)=0,"",INDEX(LdAAmt,$N969)))</f>
        <v/>
      </c>
      <c r="E969" s="16">
        <f>IF($N969="","",SUMIFS(ShareAmt,ShareLink,$C969))</f>
        <v/>
      </c>
      <c r="F969" s="33">
        <f>IF($N969="","",COUNTIF(ShareLink,$C969))</f>
        <v/>
      </c>
      <c r="G969" s="17">
        <f>IF($N969="","",IF(ROUND($E969-$D969,0)=0,"√","▲ "&amp;TEXT($D969-$E969,"#,##0")))</f>
        <v/>
      </c>
      <c r="N969">
        <f>IFERROR(MATCH($C$5&amp;"|"&amp;RIGHT("000000"&amp;953,6),LdAKeyG,0),"")</f>
        <v/>
      </c>
    </row>
    <row r="970">
      <c r="A970" s="19" t="n">
        <v>954</v>
      </c>
      <c r="B970" s="20">
        <f>IF($N970="","",INDEX(LdADate,$N970))</f>
        <v/>
      </c>
      <c r="C970" s="20">
        <f>IF($N970="","",IF(INDEX(LdAId,$N970)="","—",INDEX(LdAId,$N970)))</f>
        <v/>
      </c>
      <c r="D970" s="21">
        <f>IF($N970="","",IF(INDEX(LdAAmt,$N970)=0,"",INDEX(LdAAmt,$N970)))</f>
        <v/>
      </c>
      <c r="E970" s="21">
        <f>IF($N970="","",SUMIFS(ShareAmt,ShareLink,$C970))</f>
        <v/>
      </c>
      <c r="F970" s="34">
        <f>IF($N970="","",COUNTIF(ShareLink,$C970))</f>
        <v/>
      </c>
      <c r="G970" s="22">
        <f>IF($N970="","",IF(ROUND($E970-$D970,0)=0,"√","▲ "&amp;TEXT($D970-$E970,"#,##0")))</f>
        <v/>
      </c>
      <c r="N970">
        <f>IFERROR(MATCH($C$5&amp;"|"&amp;RIGHT("000000"&amp;954,6),LdAKeyG,0),"")</f>
        <v/>
      </c>
    </row>
    <row r="971">
      <c r="A971" s="10" t="n">
        <v>955</v>
      </c>
      <c r="B971" s="14">
        <f>IF($N971="","",INDEX(LdADate,$N971))</f>
        <v/>
      </c>
      <c r="C971" s="14">
        <f>IF($N971="","",IF(INDEX(LdAId,$N971)="","—",INDEX(LdAId,$N971)))</f>
        <v/>
      </c>
      <c r="D971" s="16">
        <f>IF($N971="","",IF(INDEX(LdAAmt,$N971)=0,"",INDEX(LdAAmt,$N971)))</f>
        <v/>
      </c>
      <c r="E971" s="16">
        <f>IF($N971="","",SUMIFS(ShareAmt,ShareLink,$C971))</f>
        <v/>
      </c>
      <c r="F971" s="33">
        <f>IF($N971="","",COUNTIF(ShareLink,$C971))</f>
        <v/>
      </c>
      <c r="G971" s="17">
        <f>IF($N971="","",IF(ROUND($E971-$D971,0)=0,"√","▲ "&amp;TEXT($D971-$E971,"#,##0")))</f>
        <v/>
      </c>
      <c r="N971">
        <f>IFERROR(MATCH($C$5&amp;"|"&amp;RIGHT("000000"&amp;955,6),LdAKeyG,0),"")</f>
        <v/>
      </c>
    </row>
    <row r="972">
      <c r="A972" s="19" t="n">
        <v>956</v>
      </c>
      <c r="B972" s="20">
        <f>IF($N972="","",INDEX(LdADate,$N972))</f>
        <v/>
      </c>
      <c r="C972" s="20">
        <f>IF($N972="","",IF(INDEX(LdAId,$N972)="","—",INDEX(LdAId,$N972)))</f>
        <v/>
      </c>
      <c r="D972" s="21">
        <f>IF($N972="","",IF(INDEX(LdAAmt,$N972)=0,"",INDEX(LdAAmt,$N972)))</f>
        <v/>
      </c>
      <c r="E972" s="21">
        <f>IF($N972="","",SUMIFS(ShareAmt,ShareLink,$C972))</f>
        <v/>
      </c>
      <c r="F972" s="34">
        <f>IF($N972="","",COUNTIF(ShareLink,$C972))</f>
        <v/>
      </c>
      <c r="G972" s="22">
        <f>IF($N972="","",IF(ROUND($E972-$D972,0)=0,"√","▲ "&amp;TEXT($D972-$E972,"#,##0")))</f>
        <v/>
      </c>
      <c r="N972">
        <f>IFERROR(MATCH($C$5&amp;"|"&amp;RIGHT("000000"&amp;956,6),LdAKeyG,0),"")</f>
        <v/>
      </c>
    </row>
    <row r="973">
      <c r="A973" s="10" t="n">
        <v>957</v>
      </c>
      <c r="B973" s="14">
        <f>IF($N973="","",INDEX(LdADate,$N973))</f>
        <v/>
      </c>
      <c r="C973" s="14">
        <f>IF($N973="","",IF(INDEX(LdAId,$N973)="","—",INDEX(LdAId,$N973)))</f>
        <v/>
      </c>
      <c r="D973" s="16">
        <f>IF($N973="","",IF(INDEX(LdAAmt,$N973)=0,"",INDEX(LdAAmt,$N973)))</f>
        <v/>
      </c>
      <c r="E973" s="16">
        <f>IF($N973="","",SUMIFS(ShareAmt,ShareLink,$C973))</f>
        <v/>
      </c>
      <c r="F973" s="33">
        <f>IF($N973="","",COUNTIF(ShareLink,$C973))</f>
        <v/>
      </c>
      <c r="G973" s="17">
        <f>IF($N973="","",IF(ROUND($E973-$D973,0)=0,"√","▲ "&amp;TEXT($D973-$E973,"#,##0")))</f>
        <v/>
      </c>
      <c r="N973">
        <f>IFERROR(MATCH($C$5&amp;"|"&amp;RIGHT("000000"&amp;957,6),LdAKeyG,0),"")</f>
        <v/>
      </c>
    </row>
    <row r="974">
      <c r="A974" s="19" t="n">
        <v>958</v>
      </c>
      <c r="B974" s="20">
        <f>IF($N974="","",INDEX(LdADate,$N974))</f>
        <v/>
      </c>
      <c r="C974" s="20">
        <f>IF($N974="","",IF(INDEX(LdAId,$N974)="","—",INDEX(LdAId,$N974)))</f>
        <v/>
      </c>
      <c r="D974" s="21">
        <f>IF($N974="","",IF(INDEX(LdAAmt,$N974)=0,"",INDEX(LdAAmt,$N974)))</f>
        <v/>
      </c>
      <c r="E974" s="21">
        <f>IF($N974="","",SUMIFS(ShareAmt,ShareLink,$C974))</f>
        <v/>
      </c>
      <c r="F974" s="34">
        <f>IF($N974="","",COUNTIF(ShareLink,$C974))</f>
        <v/>
      </c>
      <c r="G974" s="22">
        <f>IF($N974="","",IF(ROUND($E974-$D974,0)=0,"√","▲ "&amp;TEXT($D974-$E974,"#,##0")))</f>
        <v/>
      </c>
      <c r="N974">
        <f>IFERROR(MATCH($C$5&amp;"|"&amp;RIGHT("000000"&amp;958,6),LdAKeyG,0),"")</f>
        <v/>
      </c>
    </row>
    <row r="975">
      <c r="A975" s="10" t="n">
        <v>959</v>
      </c>
      <c r="B975" s="14">
        <f>IF($N975="","",INDEX(LdADate,$N975))</f>
        <v/>
      </c>
      <c r="C975" s="14">
        <f>IF($N975="","",IF(INDEX(LdAId,$N975)="","—",INDEX(LdAId,$N975)))</f>
        <v/>
      </c>
      <c r="D975" s="16">
        <f>IF($N975="","",IF(INDEX(LdAAmt,$N975)=0,"",INDEX(LdAAmt,$N975)))</f>
        <v/>
      </c>
      <c r="E975" s="16">
        <f>IF($N975="","",SUMIFS(ShareAmt,ShareLink,$C975))</f>
        <v/>
      </c>
      <c r="F975" s="33">
        <f>IF($N975="","",COUNTIF(ShareLink,$C975))</f>
        <v/>
      </c>
      <c r="G975" s="17">
        <f>IF($N975="","",IF(ROUND($E975-$D975,0)=0,"√","▲ "&amp;TEXT($D975-$E975,"#,##0")))</f>
        <v/>
      </c>
      <c r="N975">
        <f>IFERROR(MATCH($C$5&amp;"|"&amp;RIGHT("000000"&amp;959,6),LdAKeyG,0),"")</f>
        <v/>
      </c>
    </row>
    <row r="976">
      <c r="A976" s="19" t="n">
        <v>960</v>
      </c>
      <c r="B976" s="20">
        <f>IF($N976="","",INDEX(LdADate,$N976))</f>
        <v/>
      </c>
      <c r="C976" s="20">
        <f>IF($N976="","",IF(INDEX(LdAId,$N976)="","—",INDEX(LdAId,$N976)))</f>
        <v/>
      </c>
      <c r="D976" s="21">
        <f>IF($N976="","",IF(INDEX(LdAAmt,$N976)=0,"",INDEX(LdAAmt,$N976)))</f>
        <v/>
      </c>
      <c r="E976" s="21">
        <f>IF($N976="","",SUMIFS(ShareAmt,ShareLink,$C976))</f>
        <v/>
      </c>
      <c r="F976" s="34">
        <f>IF($N976="","",COUNTIF(ShareLink,$C976))</f>
        <v/>
      </c>
      <c r="G976" s="22">
        <f>IF($N976="","",IF(ROUND($E976-$D976,0)=0,"√","▲ "&amp;TEXT($D976-$E976,"#,##0")))</f>
        <v/>
      </c>
      <c r="N976">
        <f>IFERROR(MATCH($C$5&amp;"|"&amp;RIGHT("000000"&amp;960,6),LdAKeyG,0),"")</f>
        <v/>
      </c>
    </row>
    <row r="977">
      <c r="A977" s="10" t="n">
        <v>961</v>
      </c>
      <c r="B977" s="14">
        <f>IF($N977="","",INDEX(LdADate,$N977))</f>
        <v/>
      </c>
      <c r="C977" s="14">
        <f>IF($N977="","",IF(INDEX(LdAId,$N977)="","—",INDEX(LdAId,$N977)))</f>
        <v/>
      </c>
      <c r="D977" s="16">
        <f>IF($N977="","",IF(INDEX(LdAAmt,$N977)=0,"",INDEX(LdAAmt,$N977)))</f>
        <v/>
      </c>
      <c r="E977" s="16">
        <f>IF($N977="","",SUMIFS(ShareAmt,ShareLink,$C977))</f>
        <v/>
      </c>
      <c r="F977" s="33">
        <f>IF($N977="","",COUNTIF(ShareLink,$C977))</f>
        <v/>
      </c>
      <c r="G977" s="17">
        <f>IF($N977="","",IF(ROUND($E977-$D977,0)=0,"√","▲ "&amp;TEXT($D977-$E977,"#,##0")))</f>
        <v/>
      </c>
      <c r="N977">
        <f>IFERROR(MATCH($C$5&amp;"|"&amp;RIGHT("000000"&amp;961,6),LdAKeyG,0),"")</f>
        <v/>
      </c>
    </row>
    <row r="978">
      <c r="A978" s="19" t="n">
        <v>962</v>
      </c>
      <c r="B978" s="20">
        <f>IF($N978="","",INDEX(LdADate,$N978))</f>
        <v/>
      </c>
      <c r="C978" s="20">
        <f>IF($N978="","",IF(INDEX(LdAId,$N978)="","—",INDEX(LdAId,$N978)))</f>
        <v/>
      </c>
      <c r="D978" s="21">
        <f>IF($N978="","",IF(INDEX(LdAAmt,$N978)=0,"",INDEX(LdAAmt,$N978)))</f>
        <v/>
      </c>
      <c r="E978" s="21">
        <f>IF($N978="","",SUMIFS(ShareAmt,ShareLink,$C978))</f>
        <v/>
      </c>
      <c r="F978" s="34">
        <f>IF($N978="","",COUNTIF(ShareLink,$C978))</f>
        <v/>
      </c>
      <c r="G978" s="22">
        <f>IF($N978="","",IF(ROUND($E978-$D978,0)=0,"√","▲ "&amp;TEXT($D978-$E978,"#,##0")))</f>
        <v/>
      </c>
      <c r="N978">
        <f>IFERROR(MATCH($C$5&amp;"|"&amp;RIGHT("000000"&amp;962,6),LdAKeyG,0),"")</f>
        <v/>
      </c>
    </row>
    <row r="979">
      <c r="A979" s="10" t="n">
        <v>963</v>
      </c>
      <c r="B979" s="14">
        <f>IF($N979="","",INDEX(LdADate,$N979))</f>
        <v/>
      </c>
      <c r="C979" s="14">
        <f>IF($N979="","",IF(INDEX(LdAId,$N979)="","—",INDEX(LdAId,$N979)))</f>
        <v/>
      </c>
      <c r="D979" s="16">
        <f>IF($N979="","",IF(INDEX(LdAAmt,$N979)=0,"",INDEX(LdAAmt,$N979)))</f>
        <v/>
      </c>
      <c r="E979" s="16">
        <f>IF($N979="","",SUMIFS(ShareAmt,ShareLink,$C979))</f>
        <v/>
      </c>
      <c r="F979" s="33">
        <f>IF($N979="","",COUNTIF(ShareLink,$C979))</f>
        <v/>
      </c>
      <c r="G979" s="17">
        <f>IF($N979="","",IF(ROUND($E979-$D979,0)=0,"√","▲ "&amp;TEXT($D979-$E979,"#,##0")))</f>
        <v/>
      </c>
      <c r="N979">
        <f>IFERROR(MATCH($C$5&amp;"|"&amp;RIGHT("000000"&amp;963,6),LdAKeyG,0),"")</f>
        <v/>
      </c>
    </row>
    <row r="980">
      <c r="A980" s="19" t="n">
        <v>964</v>
      </c>
      <c r="B980" s="20">
        <f>IF($N980="","",INDEX(LdADate,$N980))</f>
        <v/>
      </c>
      <c r="C980" s="20">
        <f>IF($N980="","",IF(INDEX(LdAId,$N980)="","—",INDEX(LdAId,$N980)))</f>
        <v/>
      </c>
      <c r="D980" s="21">
        <f>IF($N980="","",IF(INDEX(LdAAmt,$N980)=0,"",INDEX(LdAAmt,$N980)))</f>
        <v/>
      </c>
      <c r="E980" s="21">
        <f>IF($N980="","",SUMIFS(ShareAmt,ShareLink,$C980))</f>
        <v/>
      </c>
      <c r="F980" s="34">
        <f>IF($N980="","",COUNTIF(ShareLink,$C980))</f>
        <v/>
      </c>
      <c r="G980" s="22">
        <f>IF($N980="","",IF(ROUND($E980-$D980,0)=0,"√","▲ "&amp;TEXT($D980-$E980,"#,##0")))</f>
        <v/>
      </c>
      <c r="N980">
        <f>IFERROR(MATCH($C$5&amp;"|"&amp;RIGHT("000000"&amp;964,6),LdAKeyG,0),"")</f>
        <v/>
      </c>
    </row>
    <row r="981">
      <c r="A981" s="10" t="n">
        <v>965</v>
      </c>
      <c r="B981" s="14">
        <f>IF($N981="","",INDEX(LdADate,$N981))</f>
        <v/>
      </c>
      <c r="C981" s="14">
        <f>IF($N981="","",IF(INDEX(LdAId,$N981)="","—",INDEX(LdAId,$N981)))</f>
        <v/>
      </c>
      <c r="D981" s="16">
        <f>IF($N981="","",IF(INDEX(LdAAmt,$N981)=0,"",INDEX(LdAAmt,$N981)))</f>
        <v/>
      </c>
      <c r="E981" s="16">
        <f>IF($N981="","",SUMIFS(ShareAmt,ShareLink,$C981))</f>
        <v/>
      </c>
      <c r="F981" s="33">
        <f>IF($N981="","",COUNTIF(ShareLink,$C981))</f>
        <v/>
      </c>
      <c r="G981" s="17">
        <f>IF($N981="","",IF(ROUND($E981-$D981,0)=0,"√","▲ "&amp;TEXT($D981-$E981,"#,##0")))</f>
        <v/>
      </c>
      <c r="N981">
        <f>IFERROR(MATCH($C$5&amp;"|"&amp;RIGHT("000000"&amp;965,6),LdAKeyG,0),"")</f>
        <v/>
      </c>
    </row>
    <row r="982">
      <c r="A982" s="19" t="n">
        <v>966</v>
      </c>
      <c r="B982" s="20">
        <f>IF($N982="","",INDEX(LdADate,$N982))</f>
        <v/>
      </c>
      <c r="C982" s="20">
        <f>IF($N982="","",IF(INDEX(LdAId,$N982)="","—",INDEX(LdAId,$N982)))</f>
        <v/>
      </c>
      <c r="D982" s="21">
        <f>IF($N982="","",IF(INDEX(LdAAmt,$N982)=0,"",INDEX(LdAAmt,$N982)))</f>
        <v/>
      </c>
      <c r="E982" s="21">
        <f>IF($N982="","",SUMIFS(ShareAmt,ShareLink,$C982))</f>
        <v/>
      </c>
      <c r="F982" s="34">
        <f>IF($N982="","",COUNTIF(ShareLink,$C982))</f>
        <v/>
      </c>
      <c r="G982" s="22">
        <f>IF($N982="","",IF(ROUND($E982-$D982,0)=0,"√","▲ "&amp;TEXT($D982-$E982,"#,##0")))</f>
        <v/>
      </c>
      <c r="N982">
        <f>IFERROR(MATCH($C$5&amp;"|"&amp;RIGHT("000000"&amp;966,6),LdAKeyG,0),"")</f>
        <v/>
      </c>
    </row>
    <row r="983">
      <c r="A983" s="10" t="n">
        <v>967</v>
      </c>
      <c r="B983" s="14">
        <f>IF($N983="","",INDEX(LdADate,$N983))</f>
        <v/>
      </c>
      <c r="C983" s="14">
        <f>IF($N983="","",IF(INDEX(LdAId,$N983)="","—",INDEX(LdAId,$N983)))</f>
        <v/>
      </c>
      <c r="D983" s="16">
        <f>IF($N983="","",IF(INDEX(LdAAmt,$N983)=0,"",INDEX(LdAAmt,$N983)))</f>
        <v/>
      </c>
      <c r="E983" s="16">
        <f>IF($N983="","",SUMIFS(ShareAmt,ShareLink,$C983))</f>
        <v/>
      </c>
      <c r="F983" s="33">
        <f>IF($N983="","",COUNTIF(ShareLink,$C983))</f>
        <v/>
      </c>
      <c r="G983" s="17">
        <f>IF($N983="","",IF(ROUND($E983-$D983,0)=0,"√","▲ "&amp;TEXT($D983-$E983,"#,##0")))</f>
        <v/>
      </c>
      <c r="N983">
        <f>IFERROR(MATCH($C$5&amp;"|"&amp;RIGHT("000000"&amp;967,6),LdAKeyG,0),"")</f>
        <v/>
      </c>
    </row>
    <row r="984">
      <c r="A984" s="19" t="n">
        <v>968</v>
      </c>
      <c r="B984" s="20">
        <f>IF($N984="","",INDEX(LdADate,$N984))</f>
        <v/>
      </c>
      <c r="C984" s="20">
        <f>IF($N984="","",IF(INDEX(LdAId,$N984)="","—",INDEX(LdAId,$N984)))</f>
        <v/>
      </c>
      <c r="D984" s="21">
        <f>IF($N984="","",IF(INDEX(LdAAmt,$N984)=0,"",INDEX(LdAAmt,$N984)))</f>
        <v/>
      </c>
      <c r="E984" s="21">
        <f>IF($N984="","",SUMIFS(ShareAmt,ShareLink,$C984))</f>
        <v/>
      </c>
      <c r="F984" s="34">
        <f>IF($N984="","",COUNTIF(ShareLink,$C984))</f>
        <v/>
      </c>
      <c r="G984" s="22">
        <f>IF($N984="","",IF(ROUND($E984-$D984,0)=0,"√","▲ "&amp;TEXT($D984-$E984,"#,##0")))</f>
        <v/>
      </c>
      <c r="N984">
        <f>IFERROR(MATCH($C$5&amp;"|"&amp;RIGHT("000000"&amp;968,6),LdAKeyG,0),"")</f>
        <v/>
      </c>
    </row>
    <row r="985">
      <c r="A985" s="10" t="n">
        <v>969</v>
      </c>
      <c r="B985" s="14">
        <f>IF($N985="","",INDEX(LdADate,$N985))</f>
        <v/>
      </c>
      <c r="C985" s="14">
        <f>IF($N985="","",IF(INDEX(LdAId,$N985)="","—",INDEX(LdAId,$N985)))</f>
        <v/>
      </c>
      <c r="D985" s="16">
        <f>IF($N985="","",IF(INDEX(LdAAmt,$N985)=0,"",INDEX(LdAAmt,$N985)))</f>
        <v/>
      </c>
      <c r="E985" s="16">
        <f>IF($N985="","",SUMIFS(ShareAmt,ShareLink,$C985))</f>
        <v/>
      </c>
      <c r="F985" s="33">
        <f>IF($N985="","",COUNTIF(ShareLink,$C985))</f>
        <v/>
      </c>
      <c r="G985" s="17">
        <f>IF($N985="","",IF(ROUND($E985-$D985,0)=0,"√","▲ "&amp;TEXT($D985-$E985,"#,##0")))</f>
        <v/>
      </c>
      <c r="N985">
        <f>IFERROR(MATCH($C$5&amp;"|"&amp;RIGHT("000000"&amp;969,6),LdAKeyG,0),"")</f>
        <v/>
      </c>
    </row>
    <row r="986">
      <c r="A986" s="19" t="n">
        <v>970</v>
      </c>
      <c r="B986" s="20">
        <f>IF($N986="","",INDEX(LdADate,$N986))</f>
        <v/>
      </c>
      <c r="C986" s="20">
        <f>IF($N986="","",IF(INDEX(LdAId,$N986)="","—",INDEX(LdAId,$N986)))</f>
        <v/>
      </c>
      <c r="D986" s="21">
        <f>IF($N986="","",IF(INDEX(LdAAmt,$N986)=0,"",INDEX(LdAAmt,$N986)))</f>
        <v/>
      </c>
      <c r="E986" s="21">
        <f>IF($N986="","",SUMIFS(ShareAmt,ShareLink,$C986))</f>
        <v/>
      </c>
      <c r="F986" s="34">
        <f>IF($N986="","",COUNTIF(ShareLink,$C986))</f>
        <v/>
      </c>
      <c r="G986" s="22">
        <f>IF($N986="","",IF(ROUND($E986-$D986,0)=0,"√","▲ "&amp;TEXT($D986-$E986,"#,##0")))</f>
        <v/>
      </c>
      <c r="N986">
        <f>IFERROR(MATCH($C$5&amp;"|"&amp;RIGHT("000000"&amp;970,6),LdAKeyG,0),"")</f>
        <v/>
      </c>
    </row>
    <row r="987">
      <c r="A987" s="10" t="n">
        <v>971</v>
      </c>
      <c r="B987" s="14">
        <f>IF($N987="","",INDEX(LdADate,$N987))</f>
        <v/>
      </c>
      <c r="C987" s="14">
        <f>IF($N987="","",IF(INDEX(LdAId,$N987)="","—",INDEX(LdAId,$N987)))</f>
        <v/>
      </c>
      <c r="D987" s="16">
        <f>IF($N987="","",IF(INDEX(LdAAmt,$N987)=0,"",INDEX(LdAAmt,$N987)))</f>
        <v/>
      </c>
      <c r="E987" s="16">
        <f>IF($N987="","",SUMIFS(ShareAmt,ShareLink,$C987))</f>
        <v/>
      </c>
      <c r="F987" s="33">
        <f>IF($N987="","",COUNTIF(ShareLink,$C987))</f>
        <v/>
      </c>
      <c r="G987" s="17">
        <f>IF($N987="","",IF(ROUND($E987-$D987,0)=0,"√","▲ "&amp;TEXT($D987-$E987,"#,##0")))</f>
        <v/>
      </c>
      <c r="N987">
        <f>IFERROR(MATCH($C$5&amp;"|"&amp;RIGHT("000000"&amp;971,6),LdAKeyG,0),"")</f>
        <v/>
      </c>
    </row>
    <row r="988">
      <c r="A988" s="19" t="n">
        <v>972</v>
      </c>
      <c r="B988" s="20">
        <f>IF($N988="","",INDEX(LdADate,$N988))</f>
        <v/>
      </c>
      <c r="C988" s="20">
        <f>IF($N988="","",IF(INDEX(LdAId,$N988)="","—",INDEX(LdAId,$N988)))</f>
        <v/>
      </c>
      <c r="D988" s="21">
        <f>IF($N988="","",IF(INDEX(LdAAmt,$N988)=0,"",INDEX(LdAAmt,$N988)))</f>
        <v/>
      </c>
      <c r="E988" s="21">
        <f>IF($N988="","",SUMIFS(ShareAmt,ShareLink,$C988))</f>
        <v/>
      </c>
      <c r="F988" s="34">
        <f>IF($N988="","",COUNTIF(ShareLink,$C988))</f>
        <v/>
      </c>
      <c r="G988" s="22">
        <f>IF($N988="","",IF(ROUND($E988-$D988,0)=0,"√","▲ "&amp;TEXT($D988-$E988,"#,##0")))</f>
        <v/>
      </c>
      <c r="N988">
        <f>IFERROR(MATCH($C$5&amp;"|"&amp;RIGHT("000000"&amp;972,6),LdAKeyG,0),"")</f>
        <v/>
      </c>
    </row>
    <row r="989">
      <c r="A989" s="10" t="n">
        <v>973</v>
      </c>
      <c r="B989" s="14">
        <f>IF($N989="","",INDEX(LdADate,$N989))</f>
        <v/>
      </c>
      <c r="C989" s="14">
        <f>IF($N989="","",IF(INDEX(LdAId,$N989)="","—",INDEX(LdAId,$N989)))</f>
        <v/>
      </c>
      <c r="D989" s="16">
        <f>IF($N989="","",IF(INDEX(LdAAmt,$N989)=0,"",INDEX(LdAAmt,$N989)))</f>
        <v/>
      </c>
      <c r="E989" s="16">
        <f>IF($N989="","",SUMIFS(ShareAmt,ShareLink,$C989))</f>
        <v/>
      </c>
      <c r="F989" s="33">
        <f>IF($N989="","",COUNTIF(ShareLink,$C989))</f>
        <v/>
      </c>
      <c r="G989" s="17">
        <f>IF($N989="","",IF(ROUND($E989-$D989,0)=0,"√","▲ "&amp;TEXT($D989-$E989,"#,##0")))</f>
        <v/>
      </c>
      <c r="N989">
        <f>IFERROR(MATCH($C$5&amp;"|"&amp;RIGHT("000000"&amp;973,6),LdAKeyG,0),"")</f>
        <v/>
      </c>
    </row>
    <row r="990">
      <c r="A990" s="19" t="n">
        <v>974</v>
      </c>
      <c r="B990" s="20">
        <f>IF($N990="","",INDEX(LdADate,$N990))</f>
        <v/>
      </c>
      <c r="C990" s="20">
        <f>IF($N990="","",IF(INDEX(LdAId,$N990)="","—",INDEX(LdAId,$N990)))</f>
        <v/>
      </c>
      <c r="D990" s="21">
        <f>IF($N990="","",IF(INDEX(LdAAmt,$N990)=0,"",INDEX(LdAAmt,$N990)))</f>
        <v/>
      </c>
      <c r="E990" s="21">
        <f>IF($N990="","",SUMIFS(ShareAmt,ShareLink,$C990))</f>
        <v/>
      </c>
      <c r="F990" s="34">
        <f>IF($N990="","",COUNTIF(ShareLink,$C990))</f>
        <v/>
      </c>
      <c r="G990" s="22">
        <f>IF($N990="","",IF(ROUND($E990-$D990,0)=0,"√","▲ "&amp;TEXT($D990-$E990,"#,##0")))</f>
        <v/>
      </c>
      <c r="N990">
        <f>IFERROR(MATCH($C$5&amp;"|"&amp;RIGHT("000000"&amp;974,6),LdAKeyG,0),"")</f>
        <v/>
      </c>
    </row>
    <row r="991">
      <c r="A991" s="10" t="n">
        <v>975</v>
      </c>
      <c r="B991" s="14">
        <f>IF($N991="","",INDEX(LdADate,$N991))</f>
        <v/>
      </c>
      <c r="C991" s="14">
        <f>IF($N991="","",IF(INDEX(LdAId,$N991)="","—",INDEX(LdAId,$N991)))</f>
        <v/>
      </c>
      <c r="D991" s="16">
        <f>IF($N991="","",IF(INDEX(LdAAmt,$N991)=0,"",INDEX(LdAAmt,$N991)))</f>
        <v/>
      </c>
      <c r="E991" s="16">
        <f>IF($N991="","",SUMIFS(ShareAmt,ShareLink,$C991))</f>
        <v/>
      </c>
      <c r="F991" s="33">
        <f>IF($N991="","",COUNTIF(ShareLink,$C991))</f>
        <v/>
      </c>
      <c r="G991" s="17">
        <f>IF($N991="","",IF(ROUND($E991-$D991,0)=0,"√","▲ "&amp;TEXT($D991-$E991,"#,##0")))</f>
        <v/>
      </c>
      <c r="N991">
        <f>IFERROR(MATCH($C$5&amp;"|"&amp;RIGHT("000000"&amp;975,6),LdAKeyG,0),"")</f>
        <v/>
      </c>
    </row>
    <row r="992">
      <c r="A992" s="19" t="n">
        <v>976</v>
      </c>
      <c r="B992" s="20">
        <f>IF($N992="","",INDEX(LdADate,$N992))</f>
        <v/>
      </c>
      <c r="C992" s="20">
        <f>IF($N992="","",IF(INDEX(LdAId,$N992)="","—",INDEX(LdAId,$N992)))</f>
        <v/>
      </c>
      <c r="D992" s="21">
        <f>IF($N992="","",IF(INDEX(LdAAmt,$N992)=0,"",INDEX(LdAAmt,$N992)))</f>
        <v/>
      </c>
      <c r="E992" s="21">
        <f>IF($N992="","",SUMIFS(ShareAmt,ShareLink,$C992))</f>
        <v/>
      </c>
      <c r="F992" s="34">
        <f>IF($N992="","",COUNTIF(ShareLink,$C992))</f>
        <v/>
      </c>
      <c r="G992" s="22">
        <f>IF($N992="","",IF(ROUND($E992-$D992,0)=0,"√","▲ "&amp;TEXT($D992-$E992,"#,##0")))</f>
        <v/>
      </c>
      <c r="N992">
        <f>IFERROR(MATCH($C$5&amp;"|"&amp;RIGHT("000000"&amp;976,6),LdAKeyG,0),"")</f>
        <v/>
      </c>
    </row>
    <row r="993">
      <c r="A993" s="10" t="n">
        <v>977</v>
      </c>
      <c r="B993" s="14">
        <f>IF($N993="","",INDEX(LdADate,$N993))</f>
        <v/>
      </c>
      <c r="C993" s="14">
        <f>IF($N993="","",IF(INDEX(LdAId,$N993)="","—",INDEX(LdAId,$N993)))</f>
        <v/>
      </c>
      <c r="D993" s="16">
        <f>IF($N993="","",IF(INDEX(LdAAmt,$N993)=0,"",INDEX(LdAAmt,$N993)))</f>
        <v/>
      </c>
      <c r="E993" s="16">
        <f>IF($N993="","",SUMIFS(ShareAmt,ShareLink,$C993))</f>
        <v/>
      </c>
      <c r="F993" s="33">
        <f>IF($N993="","",COUNTIF(ShareLink,$C993))</f>
        <v/>
      </c>
      <c r="G993" s="17">
        <f>IF($N993="","",IF(ROUND($E993-$D993,0)=0,"√","▲ "&amp;TEXT($D993-$E993,"#,##0")))</f>
        <v/>
      </c>
      <c r="N993">
        <f>IFERROR(MATCH($C$5&amp;"|"&amp;RIGHT("000000"&amp;977,6),LdAKeyG,0),"")</f>
        <v/>
      </c>
    </row>
    <row r="994">
      <c r="A994" s="19" t="n">
        <v>978</v>
      </c>
      <c r="B994" s="20">
        <f>IF($N994="","",INDEX(LdADate,$N994))</f>
        <v/>
      </c>
      <c r="C994" s="20">
        <f>IF($N994="","",IF(INDEX(LdAId,$N994)="","—",INDEX(LdAId,$N994)))</f>
        <v/>
      </c>
      <c r="D994" s="21">
        <f>IF($N994="","",IF(INDEX(LdAAmt,$N994)=0,"",INDEX(LdAAmt,$N994)))</f>
        <v/>
      </c>
      <c r="E994" s="21">
        <f>IF($N994="","",SUMIFS(ShareAmt,ShareLink,$C994))</f>
        <v/>
      </c>
      <c r="F994" s="34">
        <f>IF($N994="","",COUNTIF(ShareLink,$C994))</f>
        <v/>
      </c>
      <c r="G994" s="22">
        <f>IF($N994="","",IF(ROUND($E994-$D994,0)=0,"√","▲ "&amp;TEXT($D994-$E994,"#,##0")))</f>
        <v/>
      </c>
      <c r="N994">
        <f>IFERROR(MATCH($C$5&amp;"|"&amp;RIGHT("000000"&amp;978,6),LdAKeyG,0),"")</f>
        <v/>
      </c>
    </row>
    <row r="995">
      <c r="A995" s="10" t="n">
        <v>979</v>
      </c>
      <c r="B995" s="14">
        <f>IF($N995="","",INDEX(LdADate,$N995))</f>
        <v/>
      </c>
      <c r="C995" s="14">
        <f>IF($N995="","",IF(INDEX(LdAId,$N995)="","—",INDEX(LdAId,$N995)))</f>
        <v/>
      </c>
      <c r="D995" s="16">
        <f>IF($N995="","",IF(INDEX(LdAAmt,$N995)=0,"",INDEX(LdAAmt,$N995)))</f>
        <v/>
      </c>
      <c r="E995" s="16">
        <f>IF($N995="","",SUMIFS(ShareAmt,ShareLink,$C995))</f>
        <v/>
      </c>
      <c r="F995" s="33">
        <f>IF($N995="","",COUNTIF(ShareLink,$C995))</f>
        <v/>
      </c>
      <c r="G995" s="17">
        <f>IF($N995="","",IF(ROUND($E995-$D995,0)=0,"√","▲ "&amp;TEXT($D995-$E995,"#,##0")))</f>
        <v/>
      </c>
      <c r="N995">
        <f>IFERROR(MATCH($C$5&amp;"|"&amp;RIGHT("000000"&amp;979,6),LdAKeyG,0),"")</f>
        <v/>
      </c>
    </row>
    <row r="996">
      <c r="A996" s="19" t="n">
        <v>980</v>
      </c>
      <c r="B996" s="20">
        <f>IF($N996="","",INDEX(LdADate,$N996))</f>
        <v/>
      </c>
      <c r="C996" s="20">
        <f>IF($N996="","",IF(INDEX(LdAId,$N996)="","—",INDEX(LdAId,$N996)))</f>
        <v/>
      </c>
      <c r="D996" s="21">
        <f>IF($N996="","",IF(INDEX(LdAAmt,$N996)=0,"",INDEX(LdAAmt,$N996)))</f>
        <v/>
      </c>
      <c r="E996" s="21">
        <f>IF($N996="","",SUMIFS(ShareAmt,ShareLink,$C996))</f>
        <v/>
      </c>
      <c r="F996" s="34">
        <f>IF($N996="","",COUNTIF(ShareLink,$C996))</f>
        <v/>
      </c>
      <c r="G996" s="22">
        <f>IF($N996="","",IF(ROUND($E996-$D996,0)=0,"√","▲ "&amp;TEXT($D996-$E996,"#,##0")))</f>
        <v/>
      </c>
      <c r="N996">
        <f>IFERROR(MATCH($C$5&amp;"|"&amp;RIGHT("000000"&amp;980,6),LdAKeyG,0),"")</f>
        <v/>
      </c>
    </row>
    <row r="997">
      <c r="A997" s="10" t="n">
        <v>981</v>
      </c>
      <c r="B997" s="14">
        <f>IF($N997="","",INDEX(LdADate,$N997))</f>
        <v/>
      </c>
      <c r="C997" s="14">
        <f>IF($N997="","",IF(INDEX(LdAId,$N997)="","—",INDEX(LdAId,$N997)))</f>
        <v/>
      </c>
      <c r="D997" s="16">
        <f>IF($N997="","",IF(INDEX(LdAAmt,$N997)=0,"",INDEX(LdAAmt,$N997)))</f>
        <v/>
      </c>
      <c r="E997" s="16">
        <f>IF($N997="","",SUMIFS(ShareAmt,ShareLink,$C997))</f>
        <v/>
      </c>
      <c r="F997" s="33">
        <f>IF($N997="","",COUNTIF(ShareLink,$C997))</f>
        <v/>
      </c>
      <c r="G997" s="17">
        <f>IF($N997="","",IF(ROUND($E997-$D997,0)=0,"√","▲ "&amp;TEXT($D997-$E997,"#,##0")))</f>
        <v/>
      </c>
      <c r="N997">
        <f>IFERROR(MATCH($C$5&amp;"|"&amp;RIGHT("000000"&amp;981,6),LdAKeyG,0),"")</f>
        <v/>
      </c>
    </row>
    <row r="998">
      <c r="A998" s="19" t="n">
        <v>982</v>
      </c>
      <c r="B998" s="20">
        <f>IF($N998="","",INDEX(LdADate,$N998))</f>
        <v/>
      </c>
      <c r="C998" s="20">
        <f>IF($N998="","",IF(INDEX(LdAId,$N998)="","—",INDEX(LdAId,$N998)))</f>
        <v/>
      </c>
      <c r="D998" s="21">
        <f>IF($N998="","",IF(INDEX(LdAAmt,$N998)=0,"",INDEX(LdAAmt,$N998)))</f>
        <v/>
      </c>
      <c r="E998" s="21">
        <f>IF($N998="","",SUMIFS(ShareAmt,ShareLink,$C998))</f>
        <v/>
      </c>
      <c r="F998" s="34">
        <f>IF($N998="","",COUNTIF(ShareLink,$C998))</f>
        <v/>
      </c>
      <c r="G998" s="22">
        <f>IF($N998="","",IF(ROUND($E998-$D998,0)=0,"√","▲ "&amp;TEXT($D998-$E998,"#,##0")))</f>
        <v/>
      </c>
      <c r="N998">
        <f>IFERROR(MATCH($C$5&amp;"|"&amp;RIGHT("000000"&amp;982,6),LdAKeyG,0),"")</f>
        <v/>
      </c>
    </row>
    <row r="999">
      <c r="A999" s="10" t="n">
        <v>983</v>
      </c>
      <c r="B999" s="14">
        <f>IF($N999="","",INDEX(LdADate,$N999))</f>
        <v/>
      </c>
      <c r="C999" s="14">
        <f>IF($N999="","",IF(INDEX(LdAId,$N999)="","—",INDEX(LdAId,$N999)))</f>
        <v/>
      </c>
      <c r="D999" s="16">
        <f>IF($N999="","",IF(INDEX(LdAAmt,$N999)=0,"",INDEX(LdAAmt,$N999)))</f>
        <v/>
      </c>
      <c r="E999" s="16">
        <f>IF($N999="","",SUMIFS(ShareAmt,ShareLink,$C999))</f>
        <v/>
      </c>
      <c r="F999" s="33">
        <f>IF($N999="","",COUNTIF(ShareLink,$C999))</f>
        <v/>
      </c>
      <c r="G999" s="17">
        <f>IF($N999="","",IF(ROUND($E999-$D999,0)=0,"√","▲ "&amp;TEXT($D999-$E999,"#,##0")))</f>
        <v/>
      </c>
      <c r="N999">
        <f>IFERROR(MATCH($C$5&amp;"|"&amp;RIGHT("000000"&amp;983,6),LdAKeyG,0),"")</f>
        <v/>
      </c>
    </row>
    <row r="1000">
      <c r="A1000" s="19" t="n">
        <v>984</v>
      </c>
      <c r="B1000" s="20">
        <f>IF($N1000="","",INDEX(LdADate,$N1000))</f>
        <v/>
      </c>
      <c r="C1000" s="20">
        <f>IF($N1000="","",IF(INDEX(LdAId,$N1000)="","—",INDEX(LdAId,$N1000)))</f>
        <v/>
      </c>
      <c r="D1000" s="21">
        <f>IF($N1000="","",IF(INDEX(LdAAmt,$N1000)=0,"",INDEX(LdAAmt,$N1000)))</f>
        <v/>
      </c>
      <c r="E1000" s="21">
        <f>IF($N1000="","",SUMIFS(ShareAmt,ShareLink,$C1000))</f>
        <v/>
      </c>
      <c r="F1000" s="34">
        <f>IF($N1000="","",COUNTIF(ShareLink,$C1000))</f>
        <v/>
      </c>
      <c r="G1000" s="22">
        <f>IF($N1000="","",IF(ROUND($E1000-$D1000,0)=0,"√","▲ "&amp;TEXT($D1000-$E1000,"#,##0")))</f>
        <v/>
      </c>
      <c r="N1000">
        <f>IFERROR(MATCH($C$5&amp;"|"&amp;RIGHT("000000"&amp;984,6),LdAKeyG,0),"")</f>
        <v/>
      </c>
    </row>
    <row r="1001">
      <c r="A1001" s="10" t="n">
        <v>985</v>
      </c>
      <c r="B1001" s="14">
        <f>IF($N1001="","",INDEX(LdADate,$N1001))</f>
        <v/>
      </c>
      <c r="C1001" s="14">
        <f>IF($N1001="","",IF(INDEX(LdAId,$N1001)="","—",INDEX(LdAId,$N1001)))</f>
        <v/>
      </c>
      <c r="D1001" s="16">
        <f>IF($N1001="","",IF(INDEX(LdAAmt,$N1001)=0,"",INDEX(LdAAmt,$N1001)))</f>
        <v/>
      </c>
      <c r="E1001" s="16">
        <f>IF($N1001="","",SUMIFS(ShareAmt,ShareLink,$C1001))</f>
        <v/>
      </c>
      <c r="F1001" s="33">
        <f>IF($N1001="","",COUNTIF(ShareLink,$C1001))</f>
        <v/>
      </c>
      <c r="G1001" s="17">
        <f>IF($N1001="","",IF(ROUND($E1001-$D1001,0)=0,"√","▲ "&amp;TEXT($D1001-$E1001,"#,##0")))</f>
        <v/>
      </c>
      <c r="N1001">
        <f>IFERROR(MATCH($C$5&amp;"|"&amp;RIGHT("000000"&amp;985,6),LdAKeyG,0),"")</f>
        <v/>
      </c>
    </row>
    <row r="1002">
      <c r="A1002" s="19" t="n">
        <v>986</v>
      </c>
      <c r="B1002" s="20">
        <f>IF($N1002="","",INDEX(LdADate,$N1002))</f>
        <v/>
      </c>
      <c r="C1002" s="20">
        <f>IF($N1002="","",IF(INDEX(LdAId,$N1002)="","—",INDEX(LdAId,$N1002)))</f>
        <v/>
      </c>
      <c r="D1002" s="21">
        <f>IF($N1002="","",IF(INDEX(LdAAmt,$N1002)=0,"",INDEX(LdAAmt,$N1002)))</f>
        <v/>
      </c>
      <c r="E1002" s="21">
        <f>IF($N1002="","",SUMIFS(ShareAmt,ShareLink,$C1002))</f>
        <v/>
      </c>
      <c r="F1002" s="34">
        <f>IF($N1002="","",COUNTIF(ShareLink,$C1002))</f>
        <v/>
      </c>
      <c r="G1002" s="22">
        <f>IF($N1002="","",IF(ROUND($E1002-$D1002,0)=0,"√","▲ "&amp;TEXT($D1002-$E1002,"#,##0")))</f>
        <v/>
      </c>
      <c r="N1002">
        <f>IFERROR(MATCH($C$5&amp;"|"&amp;RIGHT("000000"&amp;986,6),LdAKeyG,0),"")</f>
        <v/>
      </c>
    </row>
    <row r="1003">
      <c r="A1003" s="10" t="n">
        <v>987</v>
      </c>
      <c r="B1003" s="14">
        <f>IF($N1003="","",INDEX(LdADate,$N1003))</f>
        <v/>
      </c>
      <c r="C1003" s="14">
        <f>IF($N1003="","",IF(INDEX(LdAId,$N1003)="","—",INDEX(LdAId,$N1003)))</f>
        <v/>
      </c>
      <c r="D1003" s="16">
        <f>IF($N1003="","",IF(INDEX(LdAAmt,$N1003)=0,"",INDEX(LdAAmt,$N1003)))</f>
        <v/>
      </c>
      <c r="E1003" s="16">
        <f>IF($N1003="","",SUMIFS(ShareAmt,ShareLink,$C1003))</f>
        <v/>
      </c>
      <c r="F1003" s="33">
        <f>IF($N1003="","",COUNTIF(ShareLink,$C1003))</f>
        <v/>
      </c>
      <c r="G1003" s="17">
        <f>IF($N1003="","",IF(ROUND($E1003-$D1003,0)=0,"√","▲ "&amp;TEXT($D1003-$E1003,"#,##0")))</f>
        <v/>
      </c>
      <c r="N1003">
        <f>IFERROR(MATCH($C$5&amp;"|"&amp;RIGHT("000000"&amp;987,6),LdAKeyG,0),"")</f>
        <v/>
      </c>
    </row>
    <row r="1004">
      <c r="A1004" s="19" t="n">
        <v>988</v>
      </c>
      <c r="B1004" s="20">
        <f>IF($N1004="","",INDEX(LdADate,$N1004))</f>
        <v/>
      </c>
      <c r="C1004" s="20">
        <f>IF($N1004="","",IF(INDEX(LdAId,$N1004)="","—",INDEX(LdAId,$N1004)))</f>
        <v/>
      </c>
      <c r="D1004" s="21">
        <f>IF($N1004="","",IF(INDEX(LdAAmt,$N1004)=0,"",INDEX(LdAAmt,$N1004)))</f>
        <v/>
      </c>
      <c r="E1004" s="21">
        <f>IF($N1004="","",SUMIFS(ShareAmt,ShareLink,$C1004))</f>
        <v/>
      </c>
      <c r="F1004" s="34">
        <f>IF($N1004="","",COUNTIF(ShareLink,$C1004))</f>
        <v/>
      </c>
      <c r="G1004" s="22">
        <f>IF($N1004="","",IF(ROUND($E1004-$D1004,0)=0,"√","▲ "&amp;TEXT($D1004-$E1004,"#,##0")))</f>
        <v/>
      </c>
      <c r="N1004">
        <f>IFERROR(MATCH($C$5&amp;"|"&amp;RIGHT("000000"&amp;988,6),LdAKeyG,0),"")</f>
        <v/>
      </c>
    </row>
    <row r="1005">
      <c r="A1005" s="10" t="n">
        <v>989</v>
      </c>
      <c r="B1005" s="14">
        <f>IF($N1005="","",INDEX(LdADate,$N1005))</f>
        <v/>
      </c>
      <c r="C1005" s="14">
        <f>IF($N1005="","",IF(INDEX(LdAId,$N1005)="","—",INDEX(LdAId,$N1005)))</f>
        <v/>
      </c>
      <c r="D1005" s="16">
        <f>IF($N1005="","",IF(INDEX(LdAAmt,$N1005)=0,"",INDEX(LdAAmt,$N1005)))</f>
        <v/>
      </c>
      <c r="E1005" s="16">
        <f>IF($N1005="","",SUMIFS(ShareAmt,ShareLink,$C1005))</f>
        <v/>
      </c>
      <c r="F1005" s="33">
        <f>IF($N1005="","",COUNTIF(ShareLink,$C1005))</f>
        <v/>
      </c>
      <c r="G1005" s="17">
        <f>IF($N1005="","",IF(ROUND($E1005-$D1005,0)=0,"√","▲ "&amp;TEXT($D1005-$E1005,"#,##0")))</f>
        <v/>
      </c>
      <c r="N1005">
        <f>IFERROR(MATCH($C$5&amp;"|"&amp;RIGHT("000000"&amp;989,6),LdAKeyG,0),"")</f>
        <v/>
      </c>
    </row>
    <row r="1006">
      <c r="A1006" s="19" t="n">
        <v>990</v>
      </c>
      <c r="B1006" s="20">
        <f>IF($N1006="","",INDEX(LdADate,$N1006))</f>
        <v/>
      </c>
      <c r="C1006" s="20">
        <f>IF($N1006="","",IF(INDEX(LdAId,$N1006)="","—",INDEX(LdAId,$N1006)))</f>
        <v/>
      </c>
      <c r="D1006" s="21">
        <f>IF($N1006="","",IF(INDEX(LdAAmt,$N1006)=0,"",INDEX(LdAAmt,$N1006)))</f>
        <v/>
      </c>
      <c r="E1006" s="21">
        <f>IF($N1006="","",SUMIFS(ShareAmt,ShareLink,$C1006))</f>
        <v/>
      </c>
      <c r="F1006" s="34">
        <f>IF($N1006="","",COUNTIF(ShareLink,$C1006))</f>
        <v/>
      </c>
      <c r="G1006" s="22">
        <f>IF($N1006="","",IF(ROUND($E1006-$D1006,0)=0,"√","▲ "&amp;TEXT($D1006-$E1006,"#,##0")))</f>
        <v/>
      </c>
      <c r="N1006">
        <f>IFERROR(MATCH($C$5&amp;"|"&amp;RIGHT("000000"&amp;990,6),LdAKeyG,0),"")</f>
        <v/>
      </c>
    </row>
    <row r="1007">
      <c r="A1007" s="10" t="n">
        <v>991</v>
      </c>
      <c r="B1007" s="14">
        <f>IF($N1007="","",INDEX(LdADate,$N1007))</f>
        <v/>
      </c>
      <c r="C1007" s="14">
        <f>IF($N1007="","",IF(INDEX(LdAId,$N1007)="","—",INDEX(LdAId,$N1007)))</f>
        <v/>
      </c>
      <c r="D1007" s="16">
        <f>IF($N1007="","",IF(INDEX(LdAAmt,$N1007)=0,"",INDEX(LdAAmt,$N1007)))</f>
        <v/>
      </c>
      <c r="E1007" s="16">
        <f>IF($N1007="","",SUMIFS(ShareAmt,ShareLink,$C1007))</f>
        <v/>
      </c>
      <c r="F1007" s="33">
        <f>IF($N1007="","",COUNTIF(ShareLink,$C1007))</f>
        <v/>
      </c>
      <c r="G1007" s="17">
        <f>IF($N1007="","",IF(ROUND($E1007-$D1007,0)=0,"√","▲ "&amp;TEXT($D1007-$E1007,"#,##0")))</f>
        <v/>
      </c>
      <c r="N1007">
        <f>IFERROR(MATCH($C$5&amp;"|"&amp;RIGHT("000000"&amp;991,6),LdAKeyG,0),"")</f>
        <v/>
      </c>
    </row>
    <row r="1008">
      <c r="A1008" s="19" t="n">
        <v>992</v>
      </c>
      <c r="B1008" s="20">
        <f>IF($N1008="","",INDEX(LdADate,$N1008))</f>
        <v/>
      </c>
      <c r="C1008" s="20">
        <f>IF($N1008="","",IF(INDEX(LdAId,$N1008)="","—",INDEX(LdAId,$N1008)))</f>
        <v/>
      </c>
      <c r="D1008" s="21">
        <f>IF($N1008="","",IF(INDEX(LdAAmt,$N1008)=0,"",INDEX(LdAAmt,$N1008)))</f>
        <v/>
      </c>
      <c r="E1008" s="21">
        <f>IF($N1008="","",SUMIFS(ShareAmt,ShareLink,$C1008))</f>
        <v/>
      </c>
      <c r="F1008" s="34">
        <f>IF($N1008="","",COUNTIF(ShareLink,$C1008))</f>
        <v/>
      </c>
      <c r="G1008" s="22">
        <f>IF($N1008="","",IF(ROUND($E1008-$D1008,0)=0,"√","▲ "&amp;TEXT($D1008-$E1008,"#,##0")))</f>
        <v/>
      </c>
      <c r="N1008">
        <f>IFERROR(MATCH($C$5&amp;"|"&amp;RIGHT("000000"&amp;992,6),LdAKeyG,0),"")</f>
        <v/>
      </c>
    </row>
    <row r="1009">
      <c r="A1009" s="10" t="n">
        <v>993</v>
      </c>
      <c r="B1009" s="14">
        <f>IF($N1009="","",INDEX(LdADate,$N1009))</f>
        <v/>
      </c>
      <c r="C1009" s="14">
        <f>IF($N1009="","",IF(INDEX(LdAId,$N1009)="","—",INDEX(LdAId,$N1009)))</f>
        <v/>
      </c>
      <c r="D1009" s="16">
        <f>IF($N1009="","",IF(INDEX(LdAAmt,$N1009)=0,"",INDEX(LdAAmt,$N1009)))</f>
        <v/>
      </c>
      <c r="E1009" s="16">
        <f>IF($N1009="","",SUMIFS(ShareAmt,ShareLink,$C1009))</f>
        <v/>
      </c>
      <c r="F1009" s="33">
        <f>IF($N1009="","",COUNTIF(ShareLink,$C1009))</f>
        <v/>
      </c>
      <c r="G1009" s="17">
        <f>IF($N1009="","",IF(ROUND($E1009-$D1009,0)=0,"√","▲ "&amp;TEXT($D1009-$E1009,"#,##0")))</f>
        <v/>
      </c>
      <c r="N1009">
        <f>IFERROR(MATCH($C$5&amp;"|"&amp;RIGHT("000000"&amp;993,6),LdAKeyG,0),"")</f>
        <v/>
      </c>
    </row>
    <row r="1010">
      <c r="A1010" s="19" t="n">
        <v>994</v>
      </c>
      <c r="B1010" s="20">
        <f>IF($N1010="","",INDEX(LdADate,$N1010))</f>
        <v/>
      </c>
      <c r="C1010" s="20">
        <f>IF($N1010="","",IF(INDEX(LdAId,$N1010)="","—",INDEX(LdAId,$N1010)))</f>
        <v/>
      </c>
      <c r="D1010" s="21">
        <f>IF($N1010="","",IF(INDEX(LdAAmt,$N1010)=0,"",INDEX(LdAAmt,$N1010)))</f>
        <v/>
      </c>
      <c r="E1010" s="21">
        <f>IF($N1010="","",SUMIFS(ShareAmt,ShareLink,$C1010))</f>
        <v/>
      </c>
      <c r="F1010" s="34">
        <f>IF($N1010="","",COUNTIF(ShareLink,$C1010))</f>
        <v/>
      </c>
      <c r="G1010" s="22">
        <f>IF($N1010="","",IF(ROUND($E1010-$D1010,0)=0,"√","▲ "&amp;TEXT($D1010-$E1010,"#,##0")))</f>
        <v/>
      </c>
      <c r="N1010">
        <f>IFERROR(MATCH($C$5&amp;"|"&amp;RIGHT("000000"&amp;994,6),LdAKeyG,0),"")</f>
        <v/>
      </c>
    </row>
    <row r="1011">
      <c r="A1011" s="10" t="n">
        <v>995</v>
      </c>
      <c r="B1011" s="14">
        <f>IF($N1011="","",INDEX(LdADate,$N1011))</f>
        <v/>
      </c>
      <c r="C1011" s="14">
        <f>IF($N1011="","",IF(INDEX(LdAId,$N1011)="","—",INDEX(LdAId,$N1011)))</f>
        <v/>
      </c>
      <c r="D1011" s="16">
        <f>IF($N1011="","",IF(INDEX(LdAAmt,$N1011)=0,"",INDEX(LdAAmt,$N1011)))</f>
        <v/>
      </c>
      <c r="E1011" s="16">
        <f>IF($N1011="","",SUMIFS(ShareAmt,ShareLink,$C1011))</f>
        <v/>
      </c>
      <c r="F1011" s="33">
        <f>IF($N1011="","",COUNTIF(ShareLink,$C1011))</f>
        <v/>
      </c>
      <c r="G1011" s="17">
        <f>IF($N1011="","",IF(ROUND($E1011-$D1011,0)=0,"√","▲ "&amp;TEXT($D1011-$E1011,"#,##0")))</f>
        <v/>
      </c>
      <c r="N1011">
        <f>IFERROR(MATCH($C$5&amp;"|"&amp;RIGHT("000000"&amp;995,6),LdAKeyG,0),"")</f>
        <v/>
      </c>
    </row>
    <row r="1012">
      <c r="A1012" s="19" t="n">
        <v>996</v>
      </c>
      <c r="B1012" s="20">
        <f>IF($N1012="","",INDEX(LdADate,$N1012))</f>
        <v/>
      </c>
      <c r="C1012" s="20">
        <f>IF($N1012="","",IF(INDEX(LdAId,$N1012)="","—",INDEX(LdAId,$N1012)))</f>
        <v/>
      </c>
      <c r="D1012" s="21">
        <f>IF($N1012="","",IF(INDEX(LdAAmt,$N1012)=0,"",INDEX(LdAAmt,$N1012)))</f>
        <v/>
      </c>
      <c r="E1012" s="21">
        <f>IF($N1012="","",SUMIFS(ShareAmt,ShareLink,$C1012))</f>
        <v/>
      </c>
      <c r="F1012" s="34">
        <f>IF($N1012="","",COUNTIF(ShareLink,$C1012))</f>
        <v/>
      </c>
      <c r="G1012" s="22">
        <f>IF($N1012="","",IF(ROUND($E1012-$D1012,0)=0,"√","▲ "&amp;TEXT($D1012-$E1012,"#,##0")))</f>
        <v/>
      </c>
      <c r="N1012">
        <f>IFERROR(MATCH($C$5&amp;"|"&amp;RIGHT("000000"&amp;996,6),LdAKeyG,0),"")</f>
        <v/>
      </c>
    </row>
    <row r="1013">
      <c r="A1013" s="10" t="n">
        <v>997</v>
      </c>
      <c r="B1013" s="14">
        <f>IF($N1013="","",INDEX(LdADate,$N1013))</f>
        <v/>
      </c>
      <c r="C1013" s="14">
        <f>IF($N1013="","",IF(INDEX(LdAId,$N1013)="","—",INDEX(LdAId,$N1013)))</f>
        <v/>
      </c>
      <c r="D1013" s="16">
        <f>IF($N1013="","",IF(INDEX(LdAAmt,$N1013)=0,"",INDEX(LdAAmt,$N1013)))</f>
        <v/>
      </c>
      <c r="E1013" s="16">
        <f>IF($N1013="","",SUMIFS(ShareAmt,ShareLink,$C1013))</f>
        <v/>
      </c>
      <c r="F1013" s="33">
        <f>IF($N1013="","",COUNTIF(ShareLink,$C1013))</f>
        <v/>
      </c>
      <c r="G1013" s="17">
        <f>IF($N1013="","",IF(ROUND($E1013-$D1013,0)=0,"√","▲ "&amp;TEXT($D1013-$E1013,"#,##0")))</f>
        <v/>
      </c>
      <c r="N1013">
        <f>IFERROR(MATCH($C$5&amp;"|"&amp;RIGHT("000000"&amp;997,6),LdAKeyG,0),"")</f>
        <v/>
      </c>
    </row>
    <row r="1014">
      <c r="A1014" s="19" t="n">
        <v>998</v>
      </c>
      <c r="B1014" s="20">
        <f>IF($N1014="","",INDEX(LdADate,$N1014))</f>
        <v/>
      </c>
      <c r="C1014" s="20">
        <f>IF($N1014="","",IF(INDEX(LdAId,$N1014)="","—",INDEX(LdAId,$N1014)))</f>
        <v/>
      </c>
      <c r="D1014" s="21">
        <f>IF($N1014="","",IF(INDEX(LdAAmt,$N1014)=0,"",INDEX(LdAAmt,$N1014)))</f>
        <v/>
      </c>
      <c r="E1014" s="21">
        <f>IF($N1014="","",SUMIFS(ShareAmt,ShareLink,$C1014))</f>
        <v/>
      </c>
      <c r="F1014" s="34">
        <f>IF($N1014="","",COUNTIF(ShareLink,$C1014))</f>
        <v/>
      </c>
      <c r="G1014" s="22">
        <f>IF($N1014="","",IF(ROUND($E1014-$D1014,0)=0,"√","▲ "&amp;TEXT($D1014-$E1014,"#,##0")))</f>
        <v/>
      </c>
      <c r="N1014">
        <f>IFERROR(MATCH($C$5&amp;"|"&amp;RIGHT("000000"&amp;998,6),LdAKeyG,0),"")</f>
        <v/>
      </c>
    </row>
    <row r="1015">
      <c r="A1015" s="10" t="n">
        <v>999</v>
      </c>
      <c r="B1015" s="14">
        <f>IF($N1015="","",INDEX(LdADate,$N1015))</f>
        <v/>
      </c>
      <c r="C1015" s="14">
        <f>IF($N1015="","",IF(INDEX(LdAId,$N1015)="","—",INDEX(LdAId,$N1015)))</f>
        <v/>
      </c>
      <c r="D1015" s="16">
        <f>IF($N1015="","",IF(INDEX(LdAAmt,$N1015)=0,"",INDEX(LdAAmt,$N1015)))</f>
        <v/>
      </c>
      <c r="E1015" s="16">
        <f>IF($N1015="","",SUMIFS(ShareAmt,ShareLink,$C1015))</f>
        <v/>
      </c>
      <c r="F1015" s="33">
        <f>IF($N1015="","",COUNTIF(ShareLink,$C1015))</f>
        <v/>
      </c>
      <c r="G1015" s="17">
        <f>IF($N1015="","",IF(ROUND($E1015-$D1015,0)=0,"√","▲ "&amp;TEXT($D1015-$E1015,"#,##0")))</f>
        <v/>
      </c>
      <c r="N1015">
        <f>IFERROR(MATCH($C$5&amp;"|"&amp;RIGHT("000000"&amp;999,6),LdAKeyG,0),"")</f>
        <v/>
      </c>
    </row>
    <row r="1016">
      <c r="A1016" s="19" t="n">
        <v>1000</v>
      </c>
      <c r="B1016" s="20">
        <f>IF($N1016="","",INDEX(LdADate,$N1016))</f>
        <v/>
      </c>
      <c r="C1016" s="20">
        <f>IF($N1016="","",IF(INDEX(LdAId,$N1016)="","—",INDEX(LdAId,$N1016)))</f>
        <v/>
      </c>
      <c r="D1016" s="21">
        <f>IF($N1016="","",IF(INDEX(LdAAmt,$N1016)=0,"",INDEX(LdAAmt,$N1016)))</f>
        <v/>
      </c>
      <c r="E1016" s="21">
        <f>IF($N1016="","",SUMIFS(ShareAmt,ShareLink,$C1016))</f>
        <v/>
      </c>
      <c r="F1016" s="34">
        <f>IF($N1016="","",COUNTIF(ShareLink,$C1016))</f>
        <v/>
      </c>
      <c r="G1016" s="22">
        <f>IF($N1016="","",IF(ROUND($E1016-$D1016,0)=0,"√","▲ "&amp;TEXT($D1016-$E1016,"#,##0")))</f>
        <v/>
      </c>
      <c r="N1016">
        <f>IFERROR(MATCH($C$5&amp;"|"&amp;RIGHT("000000"&amp;1000,6),LdAKeyG,0),"")</f>
        <v/>
      </c>
    </row>
    <row r="1017">
      <c r="A1017" s="10" t="n">
        <v>1001</v>
      </c>
      <c r="B1017" s="14">
        <f>IF($N1017="","",INDEX(LdADate,$N1017))</f>
        <v/>
      </c>
      <c r="C1017" s="14">
        <f>IF($N1017="","",IF(INDEX(LdAId,$N1017)="","—",INDEX(LdAId,$N1017)))</f>
        <v/>
      </c>
      <c r="D1017" s="16">
        <f>IF($N1017="","",IF(INDEX(LdAAmt,$N1017)=0,"",INDEX(LdAAmt,$N1017)))</f>
        <v/>
      </c>
      <c r="E1017" s="16">
        <f>IF($N1017="","",SUMIFS(ShareAmt,ShareLink,$C1017))</f>
        <v/>
      </c>
      <c r="F1017" s="33">
        <f>IF($N1017="","",COUNTIF(ShareLink,$C1017))</f>
        <v/>
      </c>
      <c r="G1017" s="17">
        <f>IF($N1017="","",IF(ROUND($E1017-$D1017,0)=0,"√","▲ "&amp;TEXT($D1017-$E1017,"#,##0")))</f>
        <v/>
      </c>
      <c r="N1017">
        <f>IFERROR(MATCH($C$5&amp;"|"&amp;RIGHT("000000"&amp;1001,6),LdAKeyG,0),"")</f>
        <v/>
      </c>
    </row>
    <row r="1018">
      <c r="A1018" s="19" t="n">
        <v>1002</v>
      </c>
      <c r="B1018" s="20">
        <f>IF($N1018="","",INDEX(LdADate,$N1018))</f>
        <v/>
      </c>
      <c r="C1018" s="20">
        <f>IF($N1018="","",IF(INDEX(LdAId,$N1018)="","—",INDEX(LdAId,$N1018)))</f>
        <v/>
      </c>
      <c r="D1018" s="21">
        <f>IF($N1018="","",IF(INDEX(LdAAmt,$N1018)=0,"",INDEX(LdAAmt,$N1018)))</f>
        <v/>
      </c>
      <c r="E1018" s="21">
        <f>IF($N1018="","",SUMIFS(ShareAmt,ShareLink,$C1018))</f>
        <v/>
      </c>
      <c r="F1018" s="34">
        <f>IF($N1018="","",COUNTIF(ShareLink,$C1018))</f>
        <v/>
      </c>
      <c r="G1018" s="22">
        <f>IF($N1018="","",IF(ROUND($E1018-$D1018,0)=0,"√","▲ "&amp;TEXT($D1018-$E1018,"#,##0")))</f>
        <v/>
      </c>
      <c r="N1018">
        <f>IFERROR(MATCH($C$5&amp;"|"&amp;RIGHT("000000"&amp;1002,6),LdAKeyG,0),"")</f>
        <v/>
      </c>
    </row>
    <row r="1019">
      <c r="A1019" s="10" t="n">
        <v>1003</v>
      </c>
      <c r="B1019" s="14">
        <f>IF($N1019="","",INDEX(LdADate,$N1019))</f>
        <v/>
      </c>
      <c r="C1019" s="14">
        <f>IF($N1019="","",IF(INDEX(LdAId,$N1019)="","—",INDEX(LdAId,$N1019)))</f>
        <v/>
      </c>
      <c r="D1019" s="16">
        <f>IF($N1019="","",IF(INDEX(LdAAmt,$N1019)=0,"",INDEX(LdAAmt,$N1019)))</f>
        <v/>
      </c>
      <c r="E1019" s="16">
        <f>IF($N1019="","",SUMIFS(ShareAmt,ShareLink,$C1019))</f>
        <v/>
      </c>
      <c r="F1019" s="33">
        <f>IF($N1019="","",COUNTIF(ShareLink,$C1019))</f>
        <v/>
      </c>
      <c r="G1019" s="17">
        <f>IF($N1019="","",IF(ROUND($E1019-$D1019,0)=0,"√","▲ "&amp;TEXT($D1019-$E1019,"#,##0")))</f>
        <v/>
      </c>
      <c r="N1019">
        <f>IFERROR(MATCH($C$5&amp;"|"&amp;RIGHT("000000"&amp;1003,6),LdAKeyG,0),"")</f>
        <v/>
      </c>
    </row>
    <row r="1020">
      <c r="A1020" s="19" t="n">
        <v>1004</v>
      </c>
      <c r="B1020" s="20">
        <f>IF($N1020="","",INDEX(LdADate,$N1020))</f>
        <v/>
      </c>
      <c r="C1020" s="20">
        <f>IF($N1020="","",IF(INDEX(LdAId,$N1020)="","—",INDEX(LdAId,$N1020)))</f>
        <v/>
      </c>
      <c r="D1020" s="21">
        <f>IF($N1020="","",IF(INDEX(LdAAmt,$N1020)=0,"",INDEX(LdAAmt,$N1020)))</f>
        <v/>
      </c>
      <c r="E1020" s="21">
        <f>IF($N1020="","",SUMIFS(ShareAmt,ShareLink,$C1020))</f>
        <v/>
      </c>
      <c r="F1020" s="34">
        <f>IF($N1020="","",COUNTIF(ShareLink,$C1020))</f>
        <v/>
      </c>
      <c r="G1020" s="22">
        <f>IF($N1020="","",IF(ROUND($E1020-$D1020,0)=0,"√","▲ "&amp;TEXT($D1020-$E1020,"#,##0")))</f>
        <v/>
      </c>
      <c r="N1020">
        <f>IFERROR(MATCH($C$5&amp;"|"&amp;RIGHT("000000"&amp;1004,6),LdAKeyG,0),"")</f>
        <v/>
      </c>
    </row>
    <row r="1021">
      <c r="A1021" s="10" t="n">
        <v>1005</v>
      </c>
      <c r="B1021" s="14">
        <f>IF($N1021="","",INDEX(LdADate,$N1021))</f>
        <v/>
      </c>
      <c r="C1021" s="14">
        <f>IF($N1021="","",IF(INDEX(LdAId,$N1021)="","—",INDEX(LdAId,$N1021)))</f>
        <v/>
      </c>
      <c r="D1021" s="16">
        <f>IF($N1021="","",IF(INDEX(LdAAmt,$N1021)=0,"",INDEX(LdAAmt,$N1021)))</f>
        <v/>
      </c>
      <c r="E1021" s="16">
        <f>IF($N1021="","",SUMIFS(ShareAmt,ShareLink,$C1021))</f>
        <v/>
      </c>
      <c r="F1021" s="33">
        <f>IF($N1021="","",COUNTIF(ShareLink,$C1021))</f>
        <v/>
      </c>
      <c r="G1021" s="17">
        <f>IF($N1021="","",IF(ROUND($E1021-$D1021,0)=0,"√","▲ "&amp;TEXT($D1021-$E1021,"#,##0")))</f>
        <v/>
      </c>
      <c r="N1021">
        <f>IFERROR(MATCH($C$5&amp;"|"&amp;RIGHT("000000"&amp;1005,6),LdAKeyG,0),"")</f>
        <v/>
      </c>
    </row>
    <row r="1022">
      <c r="A1022" s="19" t="n">
        <v>1006</v>
      </c>
      <c r="B1022" s="20">
        <f>IF($N1022="","",INDEX(LdADate,$N1022))</f>
        <v/>
      </c>
      <c r="C1022" s="20">
        <f>IF($N1022="","",IF(INDEX(LdAId,$N1022)="","—",INDEX(LdAId,$N1022)))</f>
        <v/>
      </c>
      <c r="D1022" s="21">
        <f>IF($N1022="","",IF(INDEX(LdAAmt,$N1022)=0,"",INDEX(LdAAmt,$N1022)))</f>
        <v/>
      </c>
      <c r="E1022" s="21">
        <f>IF($N1022="","",SUMIFS(ShareAmt,ShareLink,$C1022))</f>
        <v/>
      </c>
      <c r="F1022" s="34">
        <f>IF($N1022="","",COUNTIF(ShareLink,$C1022))</f>
        <v/>
      </c>
      <c r="G1022" s="22">
        <f>IF($N1022="","",IF(ROUND($E1022-$D1022,0)=0,"√","▲ "&amp;TEXT($D1022-$E1022,"#,##0")))</f>
        <v/>
      </c>
      <c r="N1022">
        <f>IFERROR(MATCH($C$5&amp;"|"&amp;RIGHT("000000"&amp;1006,6),LdAKeyG,0),"")</f>
        <v/>
      </c>
    </row>
    <row r="1023">
      <c r="A1023" s="10" t="n">
        <v>1007</v>
      </c>
      <c r="B1023" s="14">
        <f>IF($N1023="","",INDEX(LdADate,$N1023))</f>
        <v/>
      </c>
      <c r="C1023" s="14">
        <f>IF($N1023="","",IF(INDEX(LdAId,$N1023)="","—",INDEX(LdAId,$N1023)))</f>
        <v/>
      </c>
      <c r="D1023" s="16">
        <f>IF($N1023="","",IF(INDEX(LdAAmt,$N1023)=0,"",INDEX(LdAAmt,$N1023)))</f>
        <v/>
      </c>
      <c r="E1023" s="16">
        <f>IF($N1023="","",SUMIFS(ShareAmt,ShareLink,$C1023))</f>
        <v/>
      </c>
      <c r="F1023" s="33">
        <f>IF($N1023="","",COUNTIF(ShareLink,$C1023))</f>
        <v/>
      </c>
      <c r="G1023" s="17">
        <f>IF($N1023="","",IF(ROUND($E1023-$D1023,0)=0,"√","▲ "&amp;TEXT($D1023-$E1023,"#,##0")))</f>
        <v/>
      </c>
      <c r="N1023">
        <f>IFERROR(MATCH($C$5&amp;"|"&amp;RIGHT("000000"&amp;1007,6),LdAKeyG,0),"")</f>
        <v/>
      </c>
    </row>
    <row r="1024">
      <c r="A1024" s="19" t="n">
        <v>1008</v>
      </c>
      <c r="B1024" s="20">
        <f>IF($N1024="","",INDEX(LdADate,$N1024))</f>
        <v/>
      </c>
      <c r="C1024" s="20">
        <f>IF($N1024="","",IF(INDEX(LdAId,$N1024)="","—",INDEX(LdAId,$N1024)))</f>
        <v/>
      </c>
      <c r="D1024" s="21">
        <f>IF($N1024="","",IF(INDEX(LdAAmt,$N1024)=0,"",INDEX(LdAAmt,$N1024)))</f>
        <v/>
      </c>
      <c r="E1024" s="21">
        <f>IF($N1024="","",SUMIFS(ShareAmt,ShareLink,$C1024))</f>
        <v/>
      </c>
      <c r="F1024" s="34">
        <f>IF($N1024="","",COUNTIF(ShareLink,$C1024))</f>
        <v/>
      </c>
      <c r="G1024" s="22">
        <f>IF($N1024="","",IF(ROUND($E1024-$D1024,0)=0,"√","▲ "&amp;TEXT($D1024-$E1024,"#,##0")))</f>
        <v/>
      </c>
      <c r="N1024">
        <f>IFERROR(MATCH($C$5&amp;"|"&amp;RIGHT("000000"&amp;1008,6),LdAKeyG,0),"")</f>
        <v/>
      </c>
    </row>
    <row r="1025">
      <c r="A1025" s="10" t="n">
        <v>1009</v>
      </c>
      <c r="B1025" s="14">
        <f>IF($N1025="","",INDEX(LdADate,$N1025))</f>
        <v/>
      </c>
      <c r="C1025" s="14">
        <f>IF($N1025="","",IF(INDEX(LdAId,$N1025)="","—",INDEX(LdAId,$N1025)))</f>
        <v/>
      </c>
      <c r="D1025" s="16">
        <f>IF($N1025="","",IF(INDEX(LdAAmt,$N1025)=0,"",INDEX(LdAAmt,$N1025)))</f>
        <v/>
      </c>
      <c r="E1025" s="16">
        <f>IF($N1025="","",SUMIFS(ShareAmt,ShareLink,$C1025))</f>
        <v/>
      </c>
      <c r="F1025" s="33">
        <f>IF($N1025="","",COUNTIF(ShareLink,$C1025))</f>
        <v/>
      </c>
      <c r="G1025" s="17">
        <f>IF($N1025="","",IF(ROUND($E1025-$D1025,0)=0,"√","▲ "&amp;TEXT($D1025-$E1025,"#,##0")))</f>
        <v/>
      </c>
      <c r="N1025">
        <f>IFERROR(MATCH($C$5&amp;"|"&amp;RIGHT("000000"&amp;1009,6),LdAKeyG,0),"")</f>
        <v/>
      </c>
    </row>
    <row r="1026">
      <c r="A1026" s="19" t="n">
        <v>1010</v>
      </c>
      <c r="B1026" s="20">
        <f>IF($N1026="","",INDEX(LdADate,$N1026))</f>
        <v/>
      </c>
      <c r="C1026" s="20">
        <f>IF($N1026="","",IF(INDEX(LdAId,$N1026)="","—",INDEX(LdAId,$N1026)))</f>
        <v/>
      </c>
      <c r="D1026" s="21">
        <f>IF($N1026="","",IF(INDEX(LdAAmt,$N1026)=0,"",INDEX(LdAAmt,$N1026)))</f>
        <v/>
      </c>
      <c r="E1026" s="21">
        <f>IF($N1026="","",SUMIFS(ShareAmt,ShareLink,$C1026))</f>
        <v/>
      </c>
      <c r="F1026" s="34">
        <f>IF($N1026="","",COUNTIF(ShareLink,$C1026))</f>
        <v/>
      </c>
      <c r="G1026" s="22">
        <f>IF($N1026="","",IF(ROUND($E1026-$D1026,0)=0,"√","▲ "&amp;TEXT($D1026-$E1026,"#,##0")))</f>
        <v/>
      </c>
      <c r="N1026">
        <f>IFERROR(MATCH($C$5&amp;"|"&amp;RIGHT("000000"&amp;1010,6),LdAKeyG,0),"")</f>
        <v/>
      </c>
    </row>
    <row r="1027">
      <c r="A1027" s="10" t="n">
        <v>1011</v>
      </c>
      <c r="B1027" s="14">
        <f>IF($N1027="","",INDEX(LdADate,$N1027))</f>
        <v/>
      </c>
      <c r="C1027" s="14">
        <f>IF($N1027="","",IF(INDEX(LdAId,$N1027)="","—",INDEX(LdAId,$N1027)))</f>
        <v/>
      </c>
      <c r="D1027" s="16">
        <f>IF($N1027="","",IF(INDEX(LdAAmt,$N1027)=0,"",INDEX(LdAAmt,$N1027)))</f>
        <v/>
      </c>
      <c r="E1027" s="16">
        <f>IF($N1027="","",SUMIFS(ShareAmt,ShareLink,$C1027))</f>
        <v/>
      </c>
      <c r="F1027" s="33">
        <f>IF($N1027="","",COUNTIF(ShareLink,$C1027))</f>
        <v/>
      </c>
      <c r="G1027" s="17">
        <f>IF($N1027="","",IF(ROUND($E1027-$D1027,0)=0,"√","▲ "&amp;TEXT($D1027-$E1027,"#,##0")))</f>
        <v/>
      </c>
      <c r="N1027">
        <f>IFERROR(MATCH($C$5&amp;"|"&amp;RIGHT("000000"&amp;1011,6),LdAKeyG,0),"")</f>
        <v/>
      </c>
    </row>
    <row r="1028">
      <c r="A1028" s="19" t="n">
        <v>1012</v>
      </c>
      <c r="B1028" s="20">
        <f>IF($N1028="","",INDEX(LdADate,$N1028))</f>
        <v/>
      </c>
      <c r="C1028" s="20">
        <f>IF($N1028="","",IF(INDEX(LdAId,$N1028)="","—",INDEX(LdAId,$N1028)))</f>
        <v/>
      </c>
      <c r="D1028" s="21">
        <f>IF($N1028="","",IF(INDEX(LdAAmt,$N1028)=0,"",INDEX(LdAAmt,$N1028)))</f>
        <v/>
      </c>
      <c r="E1028" s="21">
        <f>IF($N1028="","",SUMIFS(ShareAmt,ShareLink,$C1028))</f>
        <v/>
      </c>
      <c r="F1028" s="34">
        <f>IF($N1028="","",COUNTIF(ShareLink,$C1028))</f>
        <v/>
      </c>
      <c r="G1028" s="22">
        <f>IF($N1028="","",IF(ROUND($E1028-$D1028,0)=0,"√","▲ "&amp;TEXT($D1028-$E1028,"#,##0")))</f>
        <v/>
      </c>
      <c r="N1028">
        <f>IFERROR(MATCH($C$5&amp;"|"&amp;RIGHT("000000"&amp;1012,6),LdAKeyG,0),"")</f>
        <v/>
      </c>
    </row>
    <row r="1029">
      <c r="A1029" s="10" t="n">
        <v>1013</v>
      </c>
      <c r="B1029" s="14">
        <f>IF($N1029="","",INDEX(LdADate,$N1029))</f>
        <v/>
      </c>
      <c r="C1029" s="14">
        <f>IF($N1029="","",IF(INDEX(LdAId,$N1029)="","—",INDEX(LdAId,$N1029)))</f>
        <v/>
      </c>
      <c r="D1029" s="16">
        <f>IF($N1029="","",IF(INDEX(LdAAmt,$N1029)=0,"",INDEX(LdAAmt,$N1029)))</f>
        <v/>
      </c>
      <c r="E1029" s="16">
        <f>IF($N1029="","",SUMIFS(ShareAmt,ShareLink,$C1029))</f>
        <v/>
      </c>
      <c r="F1029" s="33">
        <f>IF($N1029="","",COUNTIF(ShareLink,$C1029))</f>
        <v/>
      </c>
      <c r="G1029" s="17">
        <f>IF($N1029="","",IF(ROUND($E1029-$D1029,0)=0,"√","▲ "&amp;TEXT($D1029-$E1029,"#,##0")))</f>
        <v/>
      </c>
      <c r="N1029">
        <f>IFERROR(MATCH($C$5&amp;"|"&amp;RIGHT("000000"&amp;1013,6),LdAKeyG,0),"")</f>
        <v/>
      </c>
    </row>
    <row r="1030">
      <c r="A1030" s="19" t="n">
        <v>1014</v>
      </c>
      <c r="B1030" s="20">
        <f>IF($N1030="","",INDEX(LdADate,$N1030))</f>
        <v/>
      </c>
      <c r="C1030" s="20">
        <f>IF($N1030="","",IF(INDEX(LdAId,$N1030)="","—",INDEX(LdAId,$N1030)))</f>
        <v/>
      </c>
      <c r="D1030" s="21">
        <f>IF($N1030="","",IF(INDEX(LdAAmt,$N1030)=0,"",INDEX(LdAAmt,$N1030)))</f>
        <v/>
      </c>
      <c r="E1030" s="21">
        <f>IF($N1030="","",SUMIFS(ShareAmt,ShareLink,$C1030))</f>
        <v/>
      </c>
      <c r="F1030" s="34">
        <f>IF($N1030="","",COUNTIF(ShareLink,$C1030))</f>
        <v/>
      </c>
      <c r="G1030" s="22">
        <f>IF($N1030="","",IF(ROUND($E1030-$D1030,0)=0,"√","▲ "&amp;TEXT($D1030-$E1030,"#,##0")))</f>
        <v/>
      </c>
      <c r="N1030">
        <f>IFERROR(MATCH($C$5&amp;"|"&amp;RIGHT("000000"&amp;1014,6),LdAKeyG,0),"")</f>
        <v/>
      </c>
    </row>
    <row r="1031">
      <c r="A1031" s="10" t="n">
        <v>1015</v>
      </c>
      <c r="B1031" s="14">
        <f>IF($N1031="","",INDEX(LdADate,$N1031))</f>
        <v/>
      </c>
      <c r="C1031" s="14">
        <f>IF($N1031="","",IF(INDEX(LdAId,$N1031)="","—",INDEX(LdAId,$N1031)))</f>
        <v/>
      </c>
      <c r="D1031" s="16">
        <f>IF($N1031="","",IF(INDEX(LdAAmt,$N1031)=0,"",INDEX(LdAAmt,$N1031)))</f>
        <v/>
      </c>
      <c r="E1031" s="16">
        <f>IF($N1031="","",SUMIFS(ShareAmt,ShareLink,$C1031))</f>
        <v/>
      </c>
      <c r="F1031" s="33">
        <f>IF($N1031="","",COUNTIF(ShareLink,$C1031))</f>
        <v/>
      </c>
      <c r="G1031" s="17">
        <f>IF($N1031="","",IF(ROUND($E1031-$D1031,0)=0,"√","▲ "&amp;TEXT($D1031-$E1031,"#,##0")))</f>
        <v/>
      </c>
      <c r="N1031">
        <f>IFERROR(MATCH($C$5&amp;"|"&amp;RIGHT("000000"&amp;1015,6),LdAKeyG,0),"")</f>
        <v/>
      </c>
    </row>
    <row r="1032">
      <c r="A1032" s="19" t="n">
        <v>1016</v>
      </c>
      <c r="B1032" s="20">
        <f>IF($N1032="","",INDEX(LdADate,$N1032))</f>
        <v/>
      </c>
      <c r="C1032" s="20">
        <f>IF($N1032="","",IF(INDEX(LdAId,$N1032)="","—",INDEX(LdAId,$N1032)))</f>
        <v/>
      </c>
      <c r="D1032" s="21">
        <f>IF($N1032="","",IF(INDEX(LdAAmt,$N1032)=0,"",INDEX(LdAAmt,$N1032)))</f>
        <v/>
      </c>
      <c r="E1032" s="21">
        <f>IF($N1032="","",SUMIFS(ShareAmt,ShareLink,$C1032))</f>
        <v/>
      </c>
      <c r="F1032" s="34">
        <f>IF($N1032="","",COUNTIF(ShareLink,$C1032))</f>
        <v/>
      </c>
      <c r="G1032" s="22">
        <f>IF($N1032="","",IF(ROUND($E1032-$D1032,0)=0,"√","▲ "&amp;TEXT($D1032-$E1032,"#,##0")))</f>
        <v/>
      </c>
      <c r="N1032">
        <f>IFERROR(MATCH($C$5&amp;"|"&amp;RIGHT("000000"&amp;1016,6),LdAKeyG,0),"")</f>
        <v/>
      </c>
    </row>
    <row r="1033">
      <c r="A1033" s="10" t="n">
        <v>1017</v>
      </c>
      <c r="B1033" s="14">
        <f>IF($N1033="","",INDEX(LdADate,$N1033))</f>
        <v/>
      </c>
      <c r="C1033" s="14">
        <f>IF($N1033="","",IF(INDEX(LdAId,$N1033)="","—",INDEX(LdAId,$N1033)))</f>
        <v/>
      </c>
      <c r="D1033" s="16">
        <f>IF($N1033="","",IF(INDEX(LdAAmt,$N1033)=0,"",INDEX(LdAAmt,$N1033)))</f>
        <v/>
      </c>
      <c r="E1033" s="16">
        <f>IF($N1033="","",SUMIFS(ShareAmt,ShareLink,$C1033))</f>
        <v/>
      </c>
      <c r="F1033" s="33">
        <f>IF($N1033="","",COUNTIF(ShareLink,$C1033))</f>
        <v/>
      </c>
      <c r="G1033" s="17">
        <f>IF($N1033="","",IF(ROUND($E1033-$D1033,0)=0,"√","▲ "&amp;TEXT($D1033-$E1033,"#,##0")))</f>
        <v/>
      </c>
      <c r="N1033">
        <f>IFERROR(MATCH($C$5&amp;"|"&amp;RIGHT("000000"&amp;1017,6),LdAKeyG,0),"")</f>
        <v/>
      </c>
    </row>
    <row r="1034">
      <c r="A1034" s="19" t="n">
        <v>1018</v>
      </c>
      <c r="B1034" s="20">
        <f>IF($N1034="","",INDEX(LdADate,$N1034))</f>
        <v/>
      </c>
      <c r="C1034" s="20">
        <f>IF($N1034="","",IF(INDEX(LdAId,$N1034)="","—",INDEX(LdAId,$N1034)))</f>
        <v/>
      </c>
      <c r="D1034" s="21">
        <f>IF($N1034="","",IF(INDEX(LdAAmt,$N1034)=0,"",INDEX(LdAAmt,$N1034)))</f>
        <v/>
      </c>
      <c r="E1034" s="21">
        <f>IF($N1034="","",SUMIFS(ShareAmt,ShareLink,$C1034))</f>
        <v/>
      </c>
      <c r="F1034" s="34">
        <f>IF($N1034="","",COUNTIF(ShareLink,$C1034))</f>
        <v/>
      </c>
      <c r="G1034" s="22">
        <f>IF($N1034="","",IF(ROUND($E1034-$D1034,0)=0,"√","▲ "&amp;TEXT($D1034-$E1034,"#,##0")))</f>
        <v/>
      </c>
      <c r="N1034">
        <f>IFERROR(MATCH($C$5&amp;"|"&amp;RIGHT("000000"&amp;1018,6),LdAKeyG,0),"")</f>
        <v/>
      </c>
    </row>
    <row r="1035">
      <c r="A1035" s="10" t="n">
        <v>1019</v>
      </c>
      <c r="B1035" s="14">
        <f>IF($N1035="","",INDEX(LdADate,$N1035))</f>
        <v/>
      </c>
      <c r="C1035" s="14">
        <f>IF($N1035="","",IF(INDEX(LdAId,$N1035)="","—",INDEX(LdAId,$N1035)))</f>
        <v/>
      </c>
      <c r="D1035" s="16">
        <f>IF($N1035="","",IF(INDEX(LdAAmt,$N1035)=0,"",INDEX(LdAAmt,$N1035)))</f>
        <v/>
      </c>
      <c r="E1035" s="16">
        <f>IF($N1035="","",SUMIFS(ShareAmt,ShareLink,$C1035))</f>
        <v/>
      </c>
      <c r="F1035" s="33">
        <f>IF($N1035="","",COUNTIF(ShareLink,$C1035))</f>
        <v/>
      </c>
      <c r="G1035" s="17">
        <f>IF($N1035="","",IF(ROUND($E1035-$D1035,0)=0,"√","▲ "&amp;TEXT($D1035-$E1035,"#,##0")))</f>
        <v/>
      </c>
      <c r="N1035">
        <f>IFERROR(MATCH($C$5&amp;"|"&amp;RIGHT("000000"&amp;1019,6),LdAKeyG,0),"")</f>
        <v/>
      </c>
    </row>
    <row r="1036">
      <c r="A1036" s="19" t="n">
        <v>1020</v>
      </c>
      <c r="B1036" s="20">
        <f>IF($N1036="","",INDEX(LdADate,$N1036))</f>
        <v/>
      </c>
      <c r="C1036" s="20">
        <f>IF($N1036="","",IF(INDEX(LdAId,$N1036)="","—",INDEX(LdAId,$N1036)))</f>
        <v/>
      </c>
      <c r="D1036" s="21">
        <f>IF($N1036="","",IF(INDEX(LdAAmt,$N1036)=0,"",INDEX(LdAAmt,$N1036)))</f>
        <v/>
      </c>
      <c r="E1036" s="21">
        <f>IF($N1036="","",SUMIFS(ShareAmt,ShareLink,$C1036))</f>
        <v/>
      </c>
      <c r="F1036" s="34">
        <f>IF($N1036="","",COUNTIF(ShareLink,$C1036))</f>
        <v/>
      </c>
      <c r="G1036" s="22">
        <f>IF($N1036="","",IF(ROUND($E1036-$D1036,0)=0,"√","▲ "&amp;TEXT($D1036-$E1036,"#,##0")))</f>
        <v/>
      </c>
      <c r="N1036">
        <f>IFERROR(MATCH($C$5&amp;"|"&amp;RIGHT("000000"&amp;1020,6),LdAKeyG,0),"")</f>
        <v/>
      </c>
    </row>
    <row r="1037">
      <c r="A1037" s="10" t="n">
        <v>1021</v>
      </c>
      <c r="B1037" s="14">
        <f>IF($N1037="","",INDEX(LdADate,$N1037))</f>
        <v/>
      </c>
      <c r="C1037" s="14">
        <f>IF($N1037="","",IF(INDEX(LdAId,$N1037)="","—",INDEX(LdAId,$N1037)))</f>
        <v/>
      </c>
      <c r="D1037" s="16">
        <f>IF($N1037="","",IF(INDEX(LdAAmt,$N1037)=0,"",INDEX(LdAAmt,$N1037)))</f>
        <v/>
      </c>
      <c r="E1037" s="16">
        <f>IF($N1037="","",SUMIFS(ShareAmt,ShareLink,$C1037))</f>
        <v/>
      </c>
      <c r="F1037" s="33">
        <f>IF($N1037="","",COUNTIF(ShareLink,$C1037))</f>
        <v/>
      </c>
      <c r="G1037" s="17">
        <f>IF($N1037="","",IF(ROUND($E1037-$D1037,0)=0,"√","▲ "&amp;TEXT($D1037-$E1037,"#,##0")))</f>
        <v/>
      </c>
      <c r="N1037">
        <f>IFERROR(MATCH($C$5&amp;"|"&amp;RIGHT("000000"&amp;1021,6),LdAKeyG,0),"")</f>
        <v/>
      </c>
    </row>
    <row r="1038">
      <c r="A1038" s="19" t="n">
        <v>1022</v>
      </c>
      <c r="B1038" s="20">
        <f>IF($N1038="","",INDEX(LdADate,$N1038))</f>
        <v/>
      </c>
      <c r="C1038" s="20">
        <f>IF($N1038="","",IF(INDEX(LdAId,$N1038)="","—",INDEX(LdAId,$N1038)))</f>
        <v/>
      </c>
      <c r="D1038" s="21">
        <f>IF($N1038="","",IF(INDEX(LdAAmt,$N1038)=0,"",INDEX(LdAAmt,$N1038)))</f>
        <v/>
      </c>
      <c r="E1038" s="21">
        <f>IF($N1038="","",SUMIFS(ShareAmt,ShareLink,$C1038))</f>
        <v/>
      </c>
      <c r="F1038" s="34">
        <f>IF($N1038="","",COUNTIF(ShareLink,$C1038))</f>
        <v/>
      </c>
      <c r="G1038" s="22">
        <f>IF($N1038="","",IF(ROUND($E1038-$D1038,0)=0,"√","▲ "&amp;TEXT($D1038-$E1038,"#,##0")))</f>
        <v/>
      </c>
      <c r="N1038">
        <f>IFERROR(MATCH($C$5&amp;"|"&amp;RIGHT("000000"&amp;1022,6),LdAKeyG,0),"")</f>
        <v/>
      </c>
    </row>
    <row r="1039">
      <c r="A1039" s="10" t="n">
        <v>1023</v>
      </c>
      <c r="B1039" s="14">
        <f>IF($N1039="","",INDEX(LdADate,$N1039))</f>
        <v/>
      </c>
      <c r="C1039" s="14">
        <f>IF($N1039="","",IF(INDEX(LdAId,$N1039)="","—",INDEX(LdAId,$N1039)))</f>
        <v/>
      </c>
      <c r="D1039" s="16">
        <f>IF($N1039="","",IF(INDEX(LdAAmt,$N1039)=0,"",INDEX(LdAAmt,$N1039)))</f>
        <v/>
      </c>
      <c r="E1039" s="16">
        <f>IF($N1039="","",SUMIFS(ShareAmt,ShareLink,$C1039))</f>
        <v/>
      </c>
      <c r="F1039" s="33">
        <f>IF($N1039="","",COUNTIF(ShareLink,$C1039))</f>
        <v/>
      </c>
      <c r="G1039" s="17">
        <f>IF($N1039="","",IF(ROUND($E1039-$D1039,0)=0,"√","▲ "&amp;TEXT($D1039-$E1039,"#,##0")))</f>
        <v/>
      </c>
      <c r="N1039">
        <f>IFERROR(MATCH($C$5&amp;"|"&amp;RIGHT("000000"&amp;1023,6),LdAKeyG,0),"")</f>
        <v/>
      </c>
    </row>
    <row r="1040">
      <c r="A1040" s="19" t="n">
        <v>1024</v>
      </c>
      <c r="B1040" s="20">
        <f>IF($N1040="","",INDEX(LdADate,$N1040))</f>
        <v/>
      </c>
      <c r="C1040" s="20">
        <f>IF($N1040="","",IF(INDEX(LdAId,$N1040)="","—",INDEX(LdAId,$N1040)))</f>
        <v/>
      </c>
      <c r="D1040" s="21">
        <f>IF($N1040="","",IF(INDEX(LdAAmt,$N1040)=0,"",INDEX(LdAAmt,$N1040)))</f>
        <v/>
      </c>
      <c r="E1040" s="21">
        <f>IF($N1040="","",SUMIFS(ShareAmt,ShareLink,$C1040))</f>
        <v/>
      </c>
      <c r="F1040" s="34">
        <f>IF($N1040="","",COUNTIF(ShareLink,$C1040))</f>
        <v/>
      </c>
      <c r="G1040" s="22">
        <f>IF($N1040="","",IF(ROUND($E1040-$D1040,0)=0,"√","▲ "&amp;TEXT($D1040-$E1040,"#,##0")))</f>
        <v/>
      </c>
      <c r="N1040">
        <f>IFERROR(MATCH($C$5&amp;"|"&amp;RIGHT("000000"&amp;1024,6),LdAKeyG,0),"")</f>
        <v/>
      </c>
    </row>
    <row r="1041">
      <c r="A1041" s="10" t="n">
        <v>1025</v>
      </c>
      <c r="B1041" s="14">
        <f>IF($N1041="","",INDEX(LdADate,$N1041))</f>
        <v/>
      </c>
      <c r="C1041" s="14">
        <f>IF($N1041="","",IF(INDEX(LdAId,$N1041)="","—",INDEX(LdAId,$N1041)))</f>
        <v/>
      </c>
      <c r="D1041" s="16">
        <f>IF($N1041="","",IF(INDEX(LdAAmt,$N1041)=0,"",INDEX(LdAAmt,$N1041)))</f>
        <v/>
      </c>
      <c r="E1041" s="16">
        <f>IF($N1041="","",SUMIFS(ShareAmt,ShareLink,$C1041))</f>
        <v/>
      </c>
      <c r="F1041" s="33">
        <f>IF($N1041="","",COUNTIF(ShareLink,$C1041))</f>
        <v/>
      </c>
      <c r="G1041" s="17">
        <f>IF($N1041="","",IF(ROUND($E1041-$D1041,0)=0,"√","▲ "&amp;TEXT($D1041-$E1041,"#,##0")))</f>
        <v/>
      </c>
      <c r="N1041">
        <f>IFERROR(MATCH($C$5&amp;"|"&amp;RIGHT("000000"&amp;1025,6),LdAKeyG,0),"")</f>
        <v/>
      </c>
    </row>
    <row r="1042">
      <c r="A1042" s="19" t="n">
        <v>1026</v>
      </c>
      <c r="B1042" s="20">
        <f>IF($N1042="","",INDEX(LdADate,$N1042))</f>
        <v/>
      </c>
      <c r="C1042" s="20">
        <f>IF($N1042="","",IF(INDEX(LdAId,$N1042)="","—",INDEX(LdAId,$N1042)))</f>
        <v/>
      </c>
      <c r="D1042" s="21">
        <f>IF($N1042="","",IF(INDEX(LdAAmt,$N1042)=0,"",INDEX(LdAAmt,$N1042)))</f>
        <v/>
      </c>
      <c r="E1042" s="21">
        <f>IF($N1042="","",SUMIFS(ShareAmt,ShareLink,$C1042))</f>
        <v/>
      </c>
      <c r="F1042" s="34">
        <f>IF($N1042="","",COUNTIF(ShareLink,$C1042))</f>
        <v/>
      </c>
      <c r="G1042" s="22">
        <f>IF($N1042="","",IF(ROUND($E1042-$D1042,0)=0,"√","▲ "&amp;TEXT($D1042-$E1042,"#,##0")))</f>
        <v/>
      </c>
      <c r="N1042">
        <f>IFERROR(MATCH($C$5&amp;"|"&amp;RIGHT("000000"&amp;1026,6),LdAKeyG,0),"")</f>
        <v/>
      </c>
    </row>
    <row r="1043">
      <c r="A1043" s="10" t="n">
        <v>1027</v>
      </c>
      <c r="B1043" s="14">
        <f>IF($N1043="","",INDEX(LdADate,$N1043))</f>
        <v/>
      </c>
      <c r="C1043" s="14">
        <f>IF($N1043="","",IF(INDEX(LdAId,$N1043)="","—",INDEX(LdAId,$N1043)))</f>
        <v/>
      </c>
      <c r="D1043" s="16">
        <f>IF($N1043="","",IF(INDEX(LdAAmt,$N1043)=0,"",INDEX(LdAAmt,$N1043)))</f>
        <v/>
      </c>
      <c r="E1043" s="16">
        <f>IF($N1043="","",SUMIFS(ShareAmt,ShareLink,$C1043))</f>
        <v/>
      </c>
      <c r="F1043" s="33">
        <f>IF($N1043="","",COUNTIF(ShareLink,$C1043))</f>
        <v/>
      </c>
      <c r="G1043" s="17">
        <f>IF($N1043="","",IF(ROUND($E1043-$D1043,0)=0,"√","▲ "&amp;TEXT($D1043-$E1043,"#,##0")))</f>
        <v/>
      </c>
      <c r="N1043">
        <f>IFERROR(MATCH($C$5&amp;"|"&amp;RIGHT("000000"&amp;1027,6),LdAKeyG,0),"")</f>
        <v/>
      </c>
    </row>
    <row r="1044">
      <c r="A1044" s="19" t="n">
        <v>1028</v>
      </c>
      <c r="B1044" s="20">
        <f>IF($N1044="","",INDEX(LdADate,$N1044))</f>
        <v/>
      </c>
      <c r="C1044" s="20">
        <f>IF($N1044="","",IF(INDEX(LdAId,$N1044)="","—",INDEX(LdAId,$N1044)))</f>
        <v/>
      </c>
      <c r="D1044" s="21">
        <f>IF($N1044="","",IF(INDEX(LdAAmt,$N1044)=0,"",INDEX(LdAAmt,$N1044)))</f>
        <v/>
      </c>
      <c r="E1044" s="21">
        <f>IF($N1044="","",SUMIFS(ShareAmt,ShareLink,$C1044))</f>
        <v/>
      </c>
      <c r="F1044" s="34">
        <f>IF($N1044="","",COUNTIF(ShareLink,$C1044))</f>
        <v/>
      </c>
      <c r="G1044" s="22">
        <f>IF($N1044="","",IF(ROUND($E1044-$D1044,0)=0,"√","▲ "&amp;TEXT($D1044-$E1044,"#,##0")))</f>
        <v/>
      </c>
      <c r="N1044">
        <f>IFERROR(MATCH($C$5&amp;"|"&amp;RIGHT("000000"&amp;1028,6),LdAKeyG,0),"")</f>
        <v/>
      </c>
    </row>
    <row r="1045">
      <c r="A1045" s="10" t="n">
        <v>1029</v>
      </c>
      <c r="B1045" s="14">
        <f>IF($N1045="","",INDEX(LdADate,$N1045))</f>
        <v/>
      </c>
      <c r="C1045" s="14">
        <f>IF($N1045="","",IF(INDEX(LdAId,$N1045)="","—",INDEX(LdAId,$N1045)))</f>
        <v/>
      </c>
      <c r="D1045" s="16">
        <f>IF($N1045="","",IF(INDEX(LdAAmt,$N1045)=0,"",INDEX(LdAAmt,$N1045)))</f>
        <v/>
      </c>
      <c r="E1045" s="16">
        <f>IF($N1045="","",SUMIFS(ShareAmt,ShareLink,$C1045))</f>
        <v/>
      </c>
      <c r="F1045" s="33">
        <f>IF($N1045="","",COUNTIF(ShareLink,$C1045))</f>
        <v/>
      </c>
      <c r="G1045" s="17">
        <f>IF($N1045="","",IF(ROUND($E1045-$D1045,0)=0,"√","▲ "&amp;TEXT($D1045-$E1045,"#,##0")))</f>
        <v/>
      </c>
      <c r="N1045">
        <f>IFERROR(MATCH($C$5&amp;"|"&amp;RIGHT("000000"&amp;1029,6),LdAKeyG,0),"")</f>
        <v/>
      </c>
    </row>
    <row r="1046">
      <c r="A1046" s="19" t="n">
        <v>1030</v>
      </c>
      <c r="B1046" s="20">
        <f>IF($N1046="","",INDEX(LdADate,$N1046))</f>
        <v/>
      </c>
      <c r="C1046" s="20">
        <f>IF($N1046="","",IF(INDEX(LdAId,$N1046)="","—",INDEX(LdAId,$N1046)))</f>
        <v/>
      </c>
      <c r="D1046" s="21">
        <f>IF($N1046="","",IF(INDEX(LdAAmt,$N1046)=0,"",INDEX(LdAAmt,$N1046)))</f>
        <v/>
      </c>
      <c r="E1046" s="21">
        <f>IF($N1046="","",SUMIFS(ShareAmt,ShareLink,$C1046))</f>
        <v/>
      </c>
      <c r="F1046" s="34">
        <f>IF($N1046="","",COUNTIF(ShareLink,$C1046))</f>
        <v/>
      </c>
      <c r="G1046" s="22">
        <f>IF($N1046="","",IF(ROUND($E1046-$D1046,0)=0,"√","▲ "&amp;TEXT($D1046-$E1046,"#,##0")))</f>
        <v/>
      </c>
      <c r="N1046">
        <f>IFERROR(MATCH($C$5&amp;"|"&amp;RIGHT("000000"&amp;1030,6),LdAKeyG,0),"")</f>
        <v/>
      </c>
    </row>
    <row r="1047">
      <c r="A1047" s="10" t="n">
        <v>1031</v>
      </c>
      <c r="B1047" s="14">
        <f>IF($N1047="","",INDEX(LdADate,$N1047))</f>
        <v/>
      </c>
      <c r="C1047" s="14">
        <f>IF($N1047="","",IF(INDEX(LdAId,$N1047)="","—",INDEX(LdAId,$N1047)))</f>
        <v/>
      </c>
      <c r="D1047" s="16">
        <f>IF($N1047="","",IF(INDEX(LdAAmt,$N1047)=0,"",INDEX(LdAAmt,$N1047)))</f>
        <v/>
      </c>
      <c r="E1047" s="16">
        <f>IF($N1047="","",SUMIFS(ShareAmt,ShareLink,$C1047))</f>
        <v/>
      </c>
      <c r="F1047" s="33">
        <f>IF($N1047="","",COUNTIF(ShareLink,$C1047))</f>
        <v/>
      </c>
      <c r="G1047" s="17">
        <f>IF($N1047="","",IF(ROUND($E1047-$D1047,0)=0,"√","▲ "&amp;TEXT($D1047-$E1047,"#,##0")))</f>
        <v/>
      </c>
      <c r="N1047">
        <f>IFERROR(MATCH($C$5&amp;"|"&amp;RIGHT("000000"&amp;1031,6),LdAKeyG,0),"")</f>
        <v/>
      </c>
    </row>
    <row r="1048">
      <c r="A1048" s="19" t="n">
        <v>1032</v>
      </c>
      <c r="B1048" s="20">
        <f>IF($N1048="","",INDEX(LdADate,$N1048))</f>
        <v/>
      </c>
      <c r="C1048" s="20">
        <f>IF($N1048="","",IF(INDEX(LdAId,$N1048)="","—",INDEX(LdAId,$N1048)))</f>
        <v/>
      </c>
      <c r="D1048" s="21">
        <f>IF($N1048="","",IF(INDEX(LdAAmt,$N1048)=0,"",INDEX(LdAAmt,$N1048)))</f>
        <v/>
      </c>
      <c r="E1048" s="21">
        <f>IF($N1048="","",SUMIFS(ShareAmt,ShareLink,$C1048))</f>
        <v/>
      </c>
      <c r="F1048" s="34">
        <f>IF($N1048="","",COUNTIF(ShareLink,$C1048))</f>
        <v/>
      </c>
      <c r="G1048" s="22">
        <f>IF($N1048="","",IF(ROUND($E1048-$D1048,0)=0,"√","▲ "&amp;TEXT($D1048-$E1048,"#,##0")))</f>
        <v/>
      </c>
      <c r="N1048">
        <f>IFERROR(MATCH($C$5&amp;"|"&amp;RIGHT("000000"&amp;1032,6),LdAKeyG,0),"")</f>
        <v/>
      </c>
    </row>
    <row r="1049">
      <c r="A1049" s="10" t="n">
        <v>1033</v>
      </c>
      <c r="B1049" s="14">
        <f>IF($N1049="","",INDEX(LdADate,$N1049))</f>
        <v/>
      </c>
      <c r="C1049" s="14">
        <f>IF($N1049="","",IF(INDEX(LdAId,$N1049)="","—",INDEX(LdAId,$N1049)))</f>
        <v/>
      </c>
      <c r="D1049" s="16">
        <f>IF($N1049="","",IF(INDEX(LdAAmt,$N1049)=0,"",INDEX(LdAAmt,$N1049)))</f>
        <v/>
      </c>
      <c r="E1049" s="16">
        <f>IF($N1049="","",SUMIFS(ShareAmt,ShareLink,$C1049))</f>
        <v/>
      </c>
      <c r="F1049" s="33">
        <f>IF($N1049="","",COUNTIF(ShareLink,$C1049))</f>
        <v/>
      </c>
      <c r="G1049" s="17">
        <f>IF($N1049="","",IF(ROUND($E1049-$D1049,0)=0,"√","▲ "&amp;TEXT($D1049-$E1049,"#,##0")))</f>
        <v/>
      </c>
      <c r="N1049">
        <f>IFERROR(MATCH($C$5&amp;"|"&amp;RIGHT("000000"&amp;1033,6),LdAKeyG,0),"")</f>
        <v/>
      </c>
    </row>
    <row r="1050">
      <c r="A1050" s="19" t="n">
        <v>1034</v>
      </c>
      <c r="B1050" s="20">
        <f>IF($N1050="","",INDEX(LdADate,$N1050))</f>
        <v/>
      </c>
      <c r="C1050" s="20">
        <f>IF($N1050="","",IF(INDEX(LdAId,$N1050)="","—",INDEX(LdAId,$N1050)))</f>
        <v/>
      </c>
      <c r="D1050" s="21">
        <f>IF($N1050="","",IF(INDEX(LdAAmt,$N1050)=0,"",INDEX(LdAAmt,$N1050)))</f>
        <v/>
      </c>
      <c r="E1050" s="21">
        <f>IF($N1050="","",SUMIFS(ShareAmt,ShareLink,$C1050))</f>
        <v/>
      </c>
      <c r="F1050" s="34">
        <f>IF($N1050="","",COUNTIF(ShareLink,$C1050))</f>
        <v/>
      </c>
      <c r="G1050" s="22">
        <f>IF($N1050="","",IF(ROUND($E1050-$D1050,0)=0,"√","▲ "&amp;TEXT($D1050-$E1050,"#,##0")))</f>
        <v/>
      </c>
      <c r="N1050">
        <f>IFERROR(MATCH($C$5&amp;"|"&amp;RIGHT("000000"&amp;1034,6),LdAKeyG,0),"")</f>
        <v/>
      </c>
    </row>
    <row r="1051">
      <c r="A1051" s="10" t="n">
        <v>1035</v>
      </c>
      <c r="B1051" s="14">
        <f>IF($N1051="","",INDEX(LdADate,$N1051))</f>
        <v/>
      </c>
      <c r="C1051" s="14">
        <f>IF($N1051="","",IF(INDEX(LdAId,$N1051)="","—",INDEX(LdAId,$N1051)))</f>
        <v/>
      </c>
      <c r="D1051" s="16">
        <f>IF($N1051="","",IF(INDEX(LdAAmt,$N1051)=0,"",INDEX(LdAAmt,$N1051)))</f>
        <v/>
      </c>
      <c r="E1051" s="16">
        <f>IF($N1051="","",SUMIFS(ShareAmt,ShareLink,$C1051))</f>
        <v/>
      </c>
      <c r="F1051" s="33">
        <f>IF($N1051="","",COUNTIF(ShareLink,$C1051))</f>
        <v/>
      </c>
      <c r="G1051" s="17">
        <f>IF($N1051="","",IF(ROUND($E1051-$D1051,0)=0,"√","▲ "&amp;TEXT($D1051-$E1051,"#,##0")))</f>
        <v/>
      </c>
      <c r="N1051">
        <f>IFERROR(MATCH($C$5&amp;"|"&amp;RIGHT("000000"&amp;1035,6),LdAKeyG,0),"")</f>
        <v/>
      </c>
    </row>
    <row r="1052">
      <c r="A1052" s="19" t="n">
        <v>1036</v>
      </c>
      <c r="B1052" s="20">
        <f>IF($N1052="","",INDEX(LdADate,$N1052))</f>
        <v/>
      </c>
      <c r="C1052" s="20">
        <f>IF($N1052="","",IF(INDEX(LdAId,$N1052)="","—",INDEX(LdAId,$N1052)))</f>
        <v/>
      </c>
      <c r="D1052" s="21">
        <f>IF($N1052="","",IF(INDEX(LdAAmt,$N1052)=0,"",INDEX(LdAAmt,$N1052)))</f>
        <v/>
      </c>
      <c r="E1052" s="21">
        <f>IF($N1052="","",SUMIFS(ShareAmt,ShareLink,$C1052))</f>
        <v/>
      </c>
      <c r="F1052" s="34">
        <f>IF($N1052="","",COUNTIF(ShareLink,$C1052))</f>
        <v/>
      </c>
      <c r="G1052" s="22">
        <f>IF($N1052="","",IF(ROUND($E1052-$D1052,0)=0,"√","▲ "&amp;TEXT($D1052-$E1052,"#,##0")))</f>
        <v/>
      </c>
      <c r="N1052">
        <f>IFERROR(MATCH($C$5&amp;"|"&amp;RIGHT("000000"&amp;1036,6),LdAKeyG,0),"")</f>
        <v/>
      </c>
    </row>
    <row r="1053">
      <c r="A1053" s="10" t="n">
        <v>1037</v>
      </c>
      <c r="B1053" s="14">
        <f>IF($N1053="","",INDEX(LdADate,$N1053))</f>
        <v/>
      </c>
      <c r="C1053" s="14">
        <f>IF($N1053="","",IF(INDEX(LdAId,$N1053)="","—",INDEX(LdAId,$N1053)))</f>
        <v/>
      </c>
      <c r="D1053" s="16">
        <f>IF($N1053="","",IF(INDEX(LdAAmt,$N1053)=0,"",INDEX(LdAAmt,$N1053)))</f>
        <v/>
      </c>
      <c r="E1053" s="16">
        <f>IF($N1053="","",SUMIFS(ShareAmt,ShareLink,$C1053))</f>
        <v/>
      </c>
      <c r="F1053" s="33">
        <f>IF($N1053="","",COUNTIF(ShareLink,$C1053))</f>
        <v/>
      </c>
      <c r="G1053" s="17">
        <f>IF($N1053="","",IF(ROUND($E1053-$D1053,0)=0,"√","▲ "&amp;TEXT($D1053-$E1053,"#,##0")))</f>
        <v/>
      </c>
      <c r="N1053">
        <f>IFERROR(MATCH($C$5&amp;"|"&amp;RIGHT("000000"&amp;1037,6),LdAKeyG,0),"")</f>
        <v/>
      </c>
    </row>
    <row r="1054">
      <c r="A1054" s="19" t="n">
        <v>1038</v>
      </c>
      <c r="B1054" s="20">
        <f>IF($N1054="","",INDEX(LdADate,$N1054))</f>
        <v/>
      </c>
      <c r="C1054" s="20">
        <f>IF($N1054="","",IF(INDEX(LdAId,$N1054)="","—",INDEX(LdAId,$N1054)))</f>
        <v/>
      </c>
      <c r="D1054" s="21">
        <f>IF($N1054="","",IF(INDEX(LdAAmt,$N1054)=0,"",INDEX(LdAAmt,$N1054)))</f>
        <v/>
      </c>
      <c r="E1054" s="21">
        <f>IF($N1054="","",SUMIFS(ShareAmt,ShareLink,$C1054))</f>
        <v/>
      </c>
      <c r="F1054" s="34">
        <f>IF($N1054="","",COUNTIF(ShareLink,$C1054))</f>
        <v/>
      </c>
      <c r="G1054" s="22">
        <f>IF($N1054="","",IF(ROUND($E1054-$D1054,0)=0,"√","▲ "&amp;TEXT($D1054-$E1054,"#,##0")))</f>
        <v/>
      </c>
      <c r="N1054">
        <f>IFERROR(MATCH($C$5&amp;"|"&amp;RIGHT("000000"&amp;1038,6),LdAKeyG,0),"")</f>
        <v/>
      </c>
    </row>
    <row r="1055">
      <c r="A1055" s="10" t="n">
        <v>1039</v>
      </c>
      <c r="B1055" s="14">
        <f>IF($N1055="","",INDEX(LdADate,$N1055))</f>
        <v/>
      </c>
      <c r="C1055" s="14">
        <f>IF($N1055="","",IF(INDEX(LdAId,$N1055)="","—",INDEX(LdAId,$N1055)))</f>
        <v/>
      </c>
      <c r="D1055" s="16">
        <f>IF($N1055="","",IF(INDEX(LdAAmt,$N1055)=0,"",INDEX(LdAAmt,$N1055)))</f>
        <v/>
      </c>
      <c r="E1055" s="16">
        <f>IF($N1055="","",SUMIFS(ShareAmt,ShareLink,$C1055))</f>
        <v/>
      </c>
      <c r="F1055" s="33">
        <f>IF($N1055="","",COUNTIF(ShareLink,$C1055))</f>
        <v/>
      </c>
      <c r="G1055" s="17">
        <f>IF($N1055="","",IF(ROUND($E1055-$D1055,0)=0,"√","▲ "&amp;TEXT($D1055-$E1055,"#,##0")))</f>
        <v/>
      </c>
      <c r="N1055">
        <f>IFERROR(MATCH($C$5&amp;"|"&amp;RIGHT("000000"&amp;1039,6),LdAKeyG,0),"")</f>
        <v/>
      </c>
    </row>
    <row r="1056">
      <c r="A1056" s="19" t="n">
        <v>1040</v>
      </c>
      <c r="B1056" s="20">
        <f>IF($N1056="","",INDEX(LdADate,$N1056))</f>
        <v/>
      </c>
      <c r="C1056" s="20">
        <f>IF($N1056="","",IF(INDEX(LdAId,$N1056)="","—",INDEX(LdAId,$N1056)))</f>
        <v/>
      </c>
      <c r="D1056" s="21">
        <f>IF($N1056="","",IF(INDEX(LdAAmt,$N1056)=0,"",INDEX(LdAAmt,$N1056)))</f>
        <v/>
      </c>
      <c r="E1056" s="21">
        <f>IF($N1056="","",SUMIFS(ShareAmt,ShareLink,$C1056))</f>
        <v/>
      </c>
      <c r="F1056" s="34">
        <f>IF($N1056="","",COUNTIF(ShareLink,$C1056))</f>
        <v/>
      </c>
      <c r="G1056" s="22">
        <f>IF($N1056="","",IF(ROUND($E1056-$D1056,0)=0,"√","▲ "&amp;TEXT($D1056-$E1056,"#,##0")))</f>
        <v/>
      </c>
      <c r="N1056">
        <f>IFERROR(MATCH($C$5&amp;"|"&amp;RIGHT("000000"&amp;1040,6),LdAKeyG,0),"")</f>
        <v/>
      </c>
    </row>
    <row r="1057">
      <c r="A1057" s="10" t="n">
        <v>1041</v>
      </c>
      <c r="B1057" s="14">
        <f>IF($N1057="","",INDEX(LdADate,$N1057))</f>
        <v/>
      </c>
      <c r="C1057" s="14">
        <f>IF($N1057="","",IF(INDEX(LdAId,$N1057)="","—",INDEX(LdAId,$N1057)))</f>
        <v/>
      </c>
      <c r="D1057" s="16">
        <f>IF($N1057="","",IF(INDEX(LdAAmt,$N1057)=0,"",INDEX(LdAAmt,$N1057)))</f>
        <v/>
      </c>
      <c r="E1057" s="16">
        <f>IF($N1057="","",SUMIFS(ShareAmt,ShareLink,$C1057))</f>
        <v/>
      </c>
      <c r="F1057" s="33">
        <f>IF($N1057="","",COUNTIF(ShareLink,$C1057))</f>
        <v/>
      </c>
      <c r="G1057" s="17">
        <f>IF($N1057="","",IF(ROUND($E1057-$D1057,0)=0,"√","▲ "&amp;TEXT($D1057-$E1057,"#,##0")))</f>
        <v/>
      </c>
      <c r="N1057">
        <f>IFERROR(MATCH($C$5&amp;"|"&amp;RIGHT("000000"&amp;1041,6),LdAKeyG,0),"")</f>
        <v/>
      </c>
    </row>
    <row r="1058">
      <c r="A1058" s="19" t="n">
        <v>1042</v>
      </c>
      <c r="B1058" s="20">
        <f>IF($N1058="","",INDEX(LdADate,$N1058))</f>
        <v/>
      </c>
      <c r="C1058" s="20">
        <f>IF($N1058="","",IF(INDEX(LdAId,$N1058)="","—",INDEX(LdAId,$N1058)))</f>
        <v/>
      </c>
      <c r="D1058" s="21">
        <f>IF($N1058="","",IF(INDEX(LdAAmt,$N1058)=0,"",INDEX(LdAAmt,$N1058)))</f>
        <v/>
      </c>
      <c r="E1058" s="21">
        <f>IF($N1058="","",SUMIFS(ShareAmt,ShareLink,$C1058))</f>
        <v/>
      </c>
      <c r="F1058" s="34">
        <f>IF($N1058="","",COUNTIF(ShareLink,$C1058))</f>
        <v/>
      </c>
      <c r="G1058" s="22">
        <f>IF($N1058="","",IF(ROUND($E1058-$D1058,0)=0,"√","▲ "&amp;TEXT($D1058-$E1058,"#,##0")))</f>
        <v/>
      </c>
      <c r="N1058">
        <f>IFERROR(MATCH($C$5&amp;"|"&amp;RIGHT("000000"&amp;1042,6),LdAKeyG,0),"")</f>
        <v/>
      </c>
    </row>
    <row r="1059">
      <c r="A1059" s="10" t="n">
        <v>1043</v>
      </c>
      <c r="B1059" s="14">
        <f>IF($N1059="","",INDEX(LdADate,$N1059))</f>
        <v/>
      </c>
      <c r="C1059" s="14">
        <f>IF($N1059="","",IF(INDEX(LdAId,$N1059)="","—",INDEX(LdAId,$N1059)))</f>
        <v/>
      </c>
      <c r="D1059" s="16">
        <f>IF($N1059="","",IF(INDEX(LdAAmt,$N1059)=0,"",INDEX(LdAAmt,$N1059)))</f>
        <v/>
      </c>
      <c r="E1059" s="16">
        <f>IF($N1059="","",SUMIFS(ShareAmt,ShareLink,$C1059))</f>
        <v/>
      </c>
      <c r="F1059" s="33">
        <f>IF($N1059="","",COUNTIF(ShareLink,$C1059))</f>
        <v/>
      </c>
      <c r="G1059" s="17">
        <f>IF($N1059="","",IF(ROUND($E1059-$D1059,0)=0,"√","▲ "&amp;TEXT($D1059-$E1059,"#,##0")))</f>
        <v/>
      </c>
      <c r="N1059">
        <f>IFERROR(MATCH($C$5&amp;"|"&amp;RIGHT("000000"&amp;1043,6),LdAKeyG,0),"")</f>
        <v/>
      </c>
    </row>
    <row r="1060">
      <c r="A1060" s="19" t="n">
        <v>1044</v>
      </c>
      <c r="B1060" s="20">
        <f>IF($N1060="","",INDEX(LdADate,$N1060))</f>
        <v/>
      </c>
      <c r="C1060" s="20">
        <f>IF($N1060="","",IF(INDEX(LdAId,$N1060)="","—",INDEX(LdAId,$N1060)))</f>
        <v/>
      </c>
      <c r="D1060" s="21">
        <f>IF($N1060="","",IF(INDEX(LdAAmt,$N1060)=0,"",INDEX(LdAAmt,$N1060)))</f>
        <v/>
      </c>
      <c r="E1060" s="21">
        <f>IF($N1060="","",SUMIFS(ShareAmt,ShareLink,$C1060))</f>
        <v/>
      </c>
      <c r="F1060" s="34">
        <f>IF($N1060="","",COUNTIF(ShareLink,$C1060))</f>
        <v/>
      </c>
      <c r="G1060" s="22">
        <f>IF($N1060="","",IF(ROUND($E1060-$D1060,0)=0,"√","▲ "&amp;TEXT($D1060-$E1060,"#,##0")))</f>
        <v/>
      </c>
      <c r="N1060">
        <f>IFERROR(MATCH($C$5&amp;"|"&amp;RIGHT("000000"&amp;1044,6),LdAKeyG,0),"")</f>
        <v/>
      </c>
    </row>
    <row r="1061">
      <c r="A1061" s="10" t="n">
        <v>1045</v>
      </c>
      <c r="B1061" s="14">
        <f>IF($N1061="","",INDEX(LdADate,$N1061))</f>
        <v/>
      </c>
      <c r="C1061" s="14">
        <f>IF($N1061="","",IF(INDEX(LdAId,$N1061)="","—",INDEX(LdAId,$N1061)))</f>
        <v/>
      </c>
      <c r="D1061" s="16">
        <f>IF($N1061="","",IF(INDEX(LdAAmt,$N1061)=0,"",INDEX(LdAAmt,$N1061)))</f>
        <v/>
      </c>
      <c r="E1061" s="16">
        <f>IF($N1061="","",SUMIFS(ShareAmt,ShareLink,$C1061))</f>
        <v/>
      </c>
      <c r="F1061" s="33">
        <f>IF($N1061="","",COUNTIF(ShareLink,$C1061))</f>
        <v/>
      </c>
      <c r="G1061" s="17">
        <f>IF($N1061="","",IF(ROUND($E1061-$D1061,0)=0,"√","▲ "&amp;TEXT($D1061-$E1061,"#,##0")))</f>
        <v/>
      </c>
      <c r="N1061">
        <f>IFERROR(MATCH($C$5&amp;"|"&amp;RIGHT("000000"&amp;1045,6),LdAKeyG,0),"")</f>
        <v/>
      </c>
    </row>
    <row r="1062">
      <c r="A1062" s="19" t="n">
        <v>1046</v>
      </c>
      <c r="B1062" s="20">
        <f>IF($N1062="","",INDEX(LdADate,$N1062))</f>
        <v/>
      </c>
      <c r="C1062" s="20">
        <f>IF($N1062="","",IF(INDEX(LdAId,$N1062)="","—",INDEX(LdAId,$N1062)))</f>
        <v/>
      </c>
      <c r="D1062" s="21">
        <f>IF($N1062="","",IF(INDEX(LdAAmt,$N1062)=0,"",INDEX(LdAAmt,$N1062)))</f>
        <v/>
      </c>
      <c r="E1062" s="21">
        <f>IF($N1062="","",SUMIFS(ShareAmt,ShareLink,$C1062))</f>
        <v/>
      </c>
      <c r="F1062" s="34">
        <f>IF($N1062="","",COUNTIF(ShareLink,$C1062))</f>
        <v/>
      </c>
      <c r="G1062" s="22">
        <f>IF($N1062="","",IF(ROUND($E1062-$D1062,0)=0,"√","▲ "&amp;TEXT($D1062-$E1062,"#,##0")))</f>
        <v/>
      </c>
      <c r="N1062">
        <f>IFERROR(MATCH($C$5&amp;"|"&amp;RIGHT("000000"&amp;1046,6),LdAKeyG,0),"")</f>
        <v/>
      </c>
    </row>
    <row r="1063">
      <c r="A1063" s="10" t="n">
        <v>1047</v>
      </c>
      <c r="B1063" s="14">
        <f>IF($N1063="","",INDEX(LdADate,$N1063))</f>
        <v/>
      </c>
      <c r="C1063" s="14">
        <f>IF($N1063="","",IF(INDEX(LdAId,$N1063)="","—",INDEX(LdAId,$N1063)))</f>
        <v/>
      </c>
      <c r="D1063" s="16">
        <f>IF($N1063="","",IF(INDEX(LdAAmt,$N1063)=0,"",INDEX(LdAAmt,$N1063)))</f>
        <v/>
      </c>
      <c r="E1063" s="16">
        <f>IF($N1063="","",SUMIFS(ShareAmt,ShareLink,$C1063))</f>
        <v/>
      </c>
      <c r="F1063" s="33">
        <f>IF($N1063="","",COUNTIF(ShareLink,$C1063))</f>
        <v/>
      </c>
      <c r="G1063" s="17">
        <f>IF($N1063="","",IF(ROUND($E1063-$D1063,0)=0,"√","▲ "&amp;TEXT($D1063-$E1063,"#,##0")))</f>
        <v/>
      </c>
      <c r="N1063">
        <f>IFERROR(MATCH($C$5&amp;"|"&amp;RIGHT("000000"&amp;1047,6),LdAKeyG,0),"")</f>
        <v/>
      </c>
    </row>
    <row r="1064">
      <c r="A1064" s="19" t="n">
        <v>1048</v>
      </c>
      <c r="B1064" s="20">
        <f>IF($N1064="","",INDEX(LdADate,$N1064))</f>
        <v/>
      </c>
      <c r="C1064" s="20">
        <f>IF($N1064="","",IF(INDEX(LdAId,$N1064)="","—",INDEX(LdAId,$N1064)))</f>
        <v/>
      </c>
      <c r="D1064" s="21">
        <f>IF($N1064="","",IF(INDEX(LdAAmt,$N1064)=0,"",INDEX(LdAAmt,$N1064)))</f>
        <v/>
      </c>
      <c r="E1064" s="21">
        <f>IF($N1064="","",SUMIFS(ShareAmt,ShareLink,$C1064))</f>
        <v/>
      </c>
      <c r="F1064" s="34">
        <f>IF($N1064="","",COUNTIF(ShareLink,$C1064))</f>
        <v/>
      </c>
      <c r="G1064" s="22">
        <f>IF($N1064="","",IF(ROUND($E1064-$D1064,0)=0,"√","▲ "&amp;TEXT($D1064-$E1064,"#,##0")))</f>
        <v/>
      </c>
      <c r="N1064">
        <f>IFERROR(MATCH($C$5&amp;"|"&amp;RIGHT("000000"&amp;1048,6),LdAKeyG,0),"")</f>
        <v/>
      </c>
    </row>
    <row r="1065">
      <c r="A1065" s="10" t="n">
        <v>1049</v>
      </c>
      <c r="B1065" s="14">
        <f>IF($N1065="","",INDEX(LdADate,$N1065))</f>
        <v/>
      </c>
      <c r="C1065" s="14">
        <f>IF($N1065="","",IF(INDEX(LdAId,$N1065)="","—",INDEX(LdAId,$N1065)))</f>
        <v/>
      </c>
      <c r="D1065" s="16">
        <f>IF($N1065="","",IF(INDEX(LdAAmt,$N1065)=0,"",INDEX(LdAAmt,$N1065)))</f>
        <v/>
      </c>
      <c r="E1065" s="16">
        <f>IF($N1065="","",SUMIFS(ShareAmt,ShareLink,$C1065))</f>
        <v/>
      </c>
      <c r="F1065" s="33">
        <f>IF($N1065="","",COUNTIF(ShareLink,$C1065))</f>
        <v/>
      </c>
      <c r="G1065" s="17">
        <f>IF($N1065="","",IF(ROUND($E1065-$D1065,0)=0,"√","▲ "&amp;TEXT($D1065-$E1065,"#,##0")))</f>
        <v/>
      </c>
      <c r="N1065">
        <f>IFERROR(MATCH($C$5&amp;"|"&amp;RIGHT("000000"&amp;1049,6),LdAKeyG,0),"")</f>
        <v/>
      </c>
    </row>
    <row r="1066">
      <c r="A1066" s="19" t="n">
        <v>1050</v>
      </c>
      <c r="B1066" s="20">
        <f>IF($N1066="","",INDEX(LdADate,$N1066))</f>
        <v/>
      </c>
      <c r="C1066" s="20">
        <f>IF($N1066="","",IF(INDEX(LdAId,$N1066)="","—",INDEX(LdAId,$N1066)))</f>
        <v/>
      </c>
      <c r="D1066" s="21">
        <f>IF($N1066="","",IF(INDEX(LdAAmt,$N1066)=0,"",INDEX(LdAAmt,$N1066)))</f>
        <v/>
      </c>
      <c r="E1066" s="21">
        <f>IF($N1066="","",SUMIFS(ShareAmt,ShareLink,$C1066))</f>
        <v/>
      </c>
      <c r="F1066" s="34">
        <f>IF($N1066="","",COUNTIF(ShareLink,$C1066))</f>
        <v/>
      </c>
      <c r="G1066" s="22">
        <f>IF($N1066="","",IF(ROUND($E1066-$D1066,0)=0,"√","▲ "&amp;TEXT($D1066-$E1066,"#,##0")))</f>
        <v/>
      </c>
      <c r="N1066">
        <f>IFERROR(MATCH($C$5&amp;"|"&amp;RIGHT("000000"&amp;1050,6),LdAKeyG,0),"")</f>
        <v/>
      </c>
    </row>
    <row r="1067">
      <c r="A1067" s="10" t="n">
        <v>1051</v>
      </c>
      <c r="B1067" s="14">
        <f>IF($N1067="","",INDEX(LdADate,$N1067))</f>
        <v/>
      </c>
      <c r="C1067" s="14">
        <f>IF($N1067="","",IF(INDEX(LdAId,$N1067)="","—",INDEX(LdAId,$N1067)))</f>
        <v/>
      </c>
      <c r="D1067" s="16">
        <f>IF($N1067="","",IF(INDEX(LdAAmt,$N1067)=0,"",INDEX(LdAAmt,$N1067)))</f>
        <v/>
      </c>
      <c r="E1067" s="16">
        <f>IF($N1067="","",SUMIFS(ShareAmt,ShareLink,$C1067))</f>
        <v/>
      </c>
      <c r="F1067" s="33">
        <f>IF($N1067="","",COUNTIF(ShareLink,$C1067))</f>
        <v/>
      </c>
      <c r="G1067" s="17">
        <f>IF($N1067="","",IF(ROUND($E1067-$D1067,0)=0,"√","▲ "&amp;TEXT($D1067-$E1067,"#,##0")))</f>
        <v/>
      </c>
      <c r="N1067">
        <f>IFERROR(MATCH($C$5&amp;"|"&amp;RIGHT("000000"&amp;1051,6),LdAKeyG,0),"")</f>
        <v/>
      </c>
    </row>
    <row r="1068">
      <c r="A1068" s="19" t="n">
        <v>1052</v>
      </c>
      <c r="B1068" s="20">
        <f>IF($N1068="","",INDEX(LdADate,$N1068))</f>
        <v/>
      </c>
      <c r="C1068" s="20">
        <f>IF($N1068="","",IF(INDEX(LdAId,$N1068)="","—",INDEX(LdAId,$N1068)))</f>
        <v/>
      </c>
      <c r="D1068" s="21">
        <f>IF($N1068="","",IF(INDEX(LdAAmt,$N1068)=0,"",INDEX(LdAAmt,$N1068)))</f>
        <v/>
      </c>
      <c r="E1068" s="21">
        <f>IF($N1068="","",SUMIFS(ShareAmt,ShareLink,$C1068))</f>
        <v/>
      </c>
      <c r="F1068" s="34">
        <f>IF($N1068="","",COUNTIF(ShareLink,$C1068))</f>
        <v/>
      </c>
      <c r="G1068" s="22">
        <f>IF($N1068="","",IF(ROUND($E1068-$D1068,0)=0,"√","▲ "&amp;TEXT($D1068-$E1068,"#,##0")))</f>
        <v/>
      </c>
      <c r="N1068">
        <f>IFERROR(MATCH($C$5&amp;"|"&amp;RIGHT("000000"&amp;1052,6),LdAKeyG,0),"")</f>
        <v/>
      </c>
    </row>
    <row r="1069">
      <c r="A1069" s="10" t="n">
        <v>1053</v>
      </c>
      <c r="B1069" s="14">
        <f>IF($N1069="","",INDEX(LdADate,$N1069))</f>
        <v/>
      </c>
      <c r="C1069" s="14">
        <f>IF($N1069="","",IF(INDEX(LdAId,$N1069)="","—",INDEX(LdAId,$N1069)))</f>
        <v/>
      </c>
      <c r="D1069" s="16">
        <f>IF($N1069="","",IF(INDEX(LdAAmt,$N1069)=0,"",INDEX(LdAAmt,$N1069)))</f>
        <v/>
      </c>
      <c r="E1069" s="16">
        <f>IF($N1069="","",SUMIFS(ShareAmt,ShareLink,$C1069))</f>
        <v/>
      </c>
      <c r="F1069" s="33">
        <f>IF($N1069="","",COUNTIF(ShareLink,$C1069))</f>
        <v/>
      </c>
      <c r="G1069" s="17">
        <f>IF($N1069="","",IF(ROUND($E1069-$D1069,0)=0,"√","▲ "&amp;TEXT($D1069-$E1069,"#,##0")))</f>
        <v/>
      </c>
      <c r="N1069">
        <f>IFERROR(MATCH($C$5&amp;"|"&amp;RIGHT("000000"&amp;1053,6),LdAKeyG,0),"")</f>
        <v/>
      </c>
    </row>
    <row r="1070">
      <c r="A1070" s="19" t="n">
        <v>1054</v>
      </c>
      <c r="B1070" s="20">
        <f>IF($N1070="","",INDEX(LdADate,$N1070))</f>
        <v/>
      </c>
      <c r="C1070" s="20">
        <f>IF($N1070="","",IF(INDEX(LdAId,$N1070)="","—",INDEX(LdAId,$N1070)))</f>
        <v/>
      </c>
      <c r="D1070" s="21">
        <f>IF($N1070="","",IF(INDEX(LdAAmt,$N1070)=0,"",INDEX(LdAAmt,$N1070)))</f>
        <v/>
      </c>
      <c r="E1070" s="21">
        <f>IF($N1070="","",SUMIFS(ShareAmt,ShareLink,$C1070))</f>
        <v/>
      </c>
      <c r="F1070" s="34">
        <f>IF($N1070="","",COUNTIF(ShareLink,$C1070))</f>
        <v/>
      </c>
      <c r="G1070" s="22">
        <f>IF($N1070="","",IF(ROUND($E1070-$D1070,0)=0,"√","▲ "&amp;TEXT($D1070-$E1070,"#,##0")))</f>
        <v/>
      </c>
      <c r="N1070">
        <f>IFERROR(MATCH($C$5&amp;"|"&amp;RIGHT("000000"&amp;1054,6),LdAKeyG,0),"")</f>
        <v/>
      </c>
    </row>
    <row r="1071">
      <c r="A1071" s="10" t="n">
        <v>1055</v>
      </c>
      <c r="B1071" s="14">
        <f>IF($N1071="","",INDEX(LdADate,$N1071))</f>
        <v/>
      </c>
      <c r="C1071" s="14">
        <f>IF($N1071="","",IF(INDEX(LdAId,$N1071)="","—",INDEX(LdAId,$N1071)))</f>
        <v/>
      </c>
      <c r="D1071" s="16">
        <f>IF($N1071="","",IF(INDEX(LdAAmt,$N1071)=0,"",INDEX(LdAAmt,$N1071)))</f>
        <v/>
      </c>
      <c r="E1071" s="16">
        <f>IF($N1071="","",SUMIFS(ShareAmt,ShareLink,$C1071))</f>
        <v/>
      </c>
      <c r="F1071" s="33">
        <f>IF($N1071="","",COUNTIF(ShareLink,$C1071))</f>
        <v/>
      </c>
      <c r="G1071" s="17">
        <f>IF($N1071="","",IF(ROUND($E1071-$D1071,0)=0,"√","▲ "&amp;TEXT($D1071-$E1071,"#,##0")))</f>
        <v/>
      </c>
      <c r="N1071">
        <f>IFERROR(MATCH($C$5&amp;"|"&amp;RIGHT("000000"&amp;1055,6),LdAKeyG,0),"")</f>
        <v/>
      </c>
    </row>
    <row r="1072">
      <c r="A1072" s="19" t="n">
        <v>1056</v>
      </c>
      <c r="B1072" s="20">
        <f>IF($N1072="","",INDEX(LdADate,$N1072))</f>
        <v/>
      </c>
      <c r="C1072" s="20">
        <f>IF($N1072="","",IF(INDEX(LdAId,$N1072)="","—",INDEX(LdAId,$N1072)))</f>
        <v/>
      </c>
      <c r="D1072" s="21">
        <f>IF($N1072="","",IF(INDEX(LdAAmt,$N1072)=0,"",INDEX(LdAAmt,$N1072)))</f>
        <v/>
      </c>
      <c r="E1072" s="21">
        <f>IF($N1072="","",SUMIFS(ShareAmt,ShareLink,$C1072))</f>
        <v/>
      </c>
      <c r="F1072" s="34">
        <f>IF($N1072="","",COUNTIF(ShareLink,$C1072))</f>
        <v/>
      </c>
      <c r="G1072" s="22">
        <f>IF($N1072="","",IF(ROUND($E1072-$D1072,0)=0,"√","▲ "&amp;TEXT($D1072-$E1072,"#,##0")))</f>
        <v/>
      </c>
      <c r="N1072">
        <f>IFERROR(MATCH($C$5&amp;"|"&amp;RIGHT("000000"&amp;1056,6),LdAKeyG,0),"")</f>
        <v/>
      </c>
    </row>
    <row r="1073">
      <c r="A1073" s="10" t="n">
        <v>1057</v>
      </c>
      <c r="B1073" s="14">
        <f>IF($N1073="","",INDEX(LdADate,$N1073))</f>
        <v/>
      </c>
      <c r="C1073" s="14">
        <f>IF($N1073="","",IF(INDEX(LdAId,$N1073)="","—",INDEX(LdAId,$N1073)))</f>
        <v/>
      </c>
      <c r="D1073" s="16">
        <f>IF($N1073="","",IF(INDEX(LdAAmt,$N1073)=0,"",INDEX(LdAAmt,$N1073)))</f>
        <v/>
      </c>
      <c r="E1073" s="16">
        <f>IF($N1073="","",SUMIFS(ShareAmt,ShareLink,$C1073))</f>
        <v/>
      </c>
      <c r="F1073" s="33">
        <f>IF($N1073="","",COUNTIF(ShareLink,$C1073))</f>
        <v/>
      </c>
      <c r="G1073" s="17">
        <f>IF($N1073="","",IF(ROUND($E1073-$D1073,0)=0,"√","▲ "&amp;TEXT($D1073-$E1073,"#,##0")))</f>
        <v/>
      </c>
      <c r="N1073">
        <f>IFERROR(MATCH($C$5&amp;"|"&amp;RIGHT("000000"&amp;1057,6),LdAKeyG,0),"")</f>
        <v/>
      </c>
    </row>
    <row r="1074">
      <c r="A1074" s="19" t="n">
        <v>1058</v>
      </c>
      <c r="B1074" s="20">
        <f>IF($N1074="","",INDEX(LdADate,$N1074))</f>
        <v/>
      </c>
      <c r="C1074" s="20">
        <f>IF($N1074="","",IF(INDEX(LdAId,$N1074)="","—",INDEX(LdAId,$N1074)))</f>
        <v/>
      </c>
      <c r="D1074" s="21">
        <f>IF($N1074="","",IF(INDEX(LdAAmt,$N1074)=0,"",INDEX(LdAAmt,$N1074)))</f>
        <v/>
      </c>
      <c r="E1074" s="21">
        <f>IF($N1074="","",SUMIFS(ShareAmt,ShareLink,$C1074))</f>
        <v/>
      </c>
      <c r="F1074" s="34">
        <f>IF($N1074="","",COUNTIF(ShareLink,$C1074))</f>
        <v/>
      </c>
      <c r="G1074" s="22">
        <f>IF($N1074="","",IF(ROUND($E1074-$D1074,0)=0,"√","▲ "&amp;TEXT($D1074-$E1074,"#,##0")))</f>
        <v/>
      </c>
      <c r="N1074">
        <f>IFERROR(MATCH($C$5&amp;"|"&amp;RIGHT("000000"&amp;1058,6),LdAKeyG,0),"")</f>
        <v/>
      </c>
    </row>
    <row r="1075">
      <c r="A1075" s="10" t="n">
        <v>1059</v>
      </c>
      <c r="B1075" s="14">
        <f>IF($N1075="","",INDEX(LdADate,$N1075))</f>
        <v/>
      </c>
      <c r="C1075" s="14">
        <f>IF($N1075="","",IF(INDEX(LdAId,$N1075)="","—",INDEX(LdAId,$N1075)))</f>
        <v/>
      </c>
      <c r="D1075" s="16">
        <f>IF($N1075="","",IF(INDEX(LdAAmt,$N1075)=0,"",INDEX(LdAAmt,$N1075)))</f>
        <v/>
      </c>
      <c r="E1075" s="16">
        <f>IF($N1075="","",SUMIFS(ShareAmt,ShareLink,$C1075))</f>
        <v/>
      </c>
      <c r="F1075" s="33">
        <f>IF($N1075="","",COUNTIF(ShareLink,$C1075))</f>
        <v/>
      </c>
      <c r="G1075" s="17">
        <f>IF($N1075="","",IF(ROUND($E1075-$D1075,0)=0,"√","▲ "&amp;TEXT($D1075-$E1075,"#,##0")))</f>
        <v/>
      </c>
      <c r="N1075">
        <f>IFERROR(MATCH($C$5&amp;"|"&amp;RIGHT("000000"&amp;1059,6),LdAKeyG,0),"")</f>
        <v/>
      </c>
    </row>
    <row r="1076">
      <c r="A1076" s="19" t="n">
        <v>1060</v>
      </c>
      <c r="B1076" s="20">
        <f>IF($N1076="","",INDEX(LdADate,$N1076))</f>
        <v/>
      </c>
      <c r="C1076" s="20">
        <f>IF($N1076="","",IF(INDEX(LdAId,$N1076)="","—",INDEX(LdAId,$N1076)))</f>
        <v/>
      </c>
      <c r="D1076" s="21">
        <f>IF($N1076="","",IF(INDEX(LdAAmt,$N1076)=0,"",INDEX(LdAAmt,$N1076)))</f>
        <v/>
      </c>
      <c r="E1076" s="21">
        <f>IF($N1076="","",SUMIFS(ShareAmt,ShareLink,$C1076))</f>
        <v/>
      </c>
      <c r="F1076" s="34">
        <f>IF($N1076="","",COUNTIF(ShareLink,$C1076))</f>
        <v/>
      </c>
      <c r="G1076" s="22">
        <f>IF($N1076="","",IF(ROUND($E1076-$D1076,0)=0,"√","▲ "&amp;TEXT($D1076-$E1076,"#,##0")))</f>
        <v/>
      </c>
      <c r="N1076">
        <f>IFERROR(MATCH($C$5&amp;"|"&amp;RIGHT("000000"&amp;1060,6),LdAKeyG,0),"")</f>
        <v/>
      </c>
    </row>
    <row r="1077">
      <c r="A1077" s="10" t="n">
        <v>1061</v>
      </c>
      <c r="B1077" s="14">
        <f>IF($N1077="","",INDEX(LdADate,$N1077))</f>
        <v/>
      </c>
      <c r="C1077" s="14">
        <f>IF($N1077="","",IF(INDEX(LdAId,$N1077)="","—",INDEX(LdAId,$N1077)))</f>
        <v/>
      </c>
      <c r="D1077" s="16">
        <f>IF($N1077="","",IF(INDEX(LdAAmt,$N1077)=0,"",INDEX(LdAAmt,$N1077)))</f>
        <v/>
      </c>
      <c r="E1077" s="16">
        <f>IF($N1077="","",SUMIFS(ShareAmt,ShareLink,$C1077))</f>
        <v/>
      </c>
      <c r="F1077" s="33">
        <f>IF($N1077="","",COUNTIF(ShareLink,$C1077))</f>
        <v/>
      </c>
      <c r="G1077" s="17">
        <f>IF($N1077="","",IF(ROUND($E1077-$D1077,0)=0,"√","▲ "&amp;TEXT($D1077-$E1077,"#,##0")))</f>
        <v/>
      </c>
      <c r="N1077">
        <f>IFERROR(MATCH($C$5&amp;"|"&amp;RIGHT("000000"&amp;1061,6),LdAKeyG,0),"")</f>
        <v/>
      </c>
    </row>
    <row r="1078">
      <c r="A1078" s="19" t="n">
        <v>1062</v>
      </c>
      <c r="B1078" s="20">
        <f>IF($N1078="","",INDEX(LdADate,$N1078))</f>
        <v/>
      </c>
      <c r="C1078" s="20">
        <f>IF($N1078="","",IF(INDEX(LdAId,$N1078)="","—",INDEX(LdAId,$N1078)))</f>
        <v/>
      </c>
      <c r="D1078" s="21">
        <f>IF($N1078="","",IF(INDEX(LdAAmt,$N1078)=0,"",INDEX(LdAAmt,$N1078)))</f>
        <v/>
      </c>
      <c r="E1078" s="21">
        <f>IF($N1078="","",SUMIFS(ShareAmt,ShareLink,$C1078))</f>
        <v/>
      </c>
      <c r="F1078" s="34">
        <f>IF($N1078="","",COUNTIF(ShareLink,$C1078))</f>
        <v/>
      </c>
      <c r="G1078" s="22">
        <f>IF($N1078="","",IF(ROUND($E1078-$D1078,0)=0,"√","▲ "&amp;TEXT($D1078-$E1078,"#,##0")))</f>
        <v/>
      </c>
      <c r="N1078">
        <f>IFERROR(MATCH($C$5&amp;"|"&amp;RIGHT("000000"&amp;1062,6),LdAKeyG,0),"")</f>
        <v/>
      </c>
    </row>
    <row r="1079">
      <c r="A1079" s="10" t="n">
        <v>1063</v>
      </c>
      <c r="B1079" s="14">
        <f>IF($N1079="","",INDEX(LdADate,$N1079))</f>
        <v/>
      </c>
      <c r="C1079" s="14">
        <f>IF($N1079="","",IF(INDEX(LdAId,$N1079)="","—",INDEX(LdAId,$N1079)))</f>
        <v/>
      </c>
      <c r="D1079" s="16">
        <f>IF($N1079="","",IF(INDEX(LdAAmt,$N1079)=0,"",INDEX(LdAAmt,$N1079)))</f>
        <v/>
      </c>
      <c r="E1079" s="16">
        <f>IF($N1079="","",SUMIFS(ShareAmt,ShareLink,$C1079))</f>
        <v/>
      </c>
      <c r="F1079" s="33">
        <f>IF($N1079="","",COUNTIF(ShareLink,$C1079))</f>
        <v/>
      </c>
      <c r="G1079" s="17">
        <f>IF($N1079="","",IF(ROUND($E1079-$D1079,0)=0,"√","▲ "&amp;TEXT($D1079-$E1079,"#,##0")))</f>
        <v/>
      </c>
      <c r="N1079">
        <f>IFERROR(MATCH($C$5&amp;"|"&amp;RIGHT("000000"&amp;1063,6),LdAKeyG,0),"")</f>
        <v/>
      </c>
    </row>
    <row r="1080">
      <c r="A1080" s="19" t="n">
        <v>1064</v>
      </c>
      <c r="B1080" s="20">
        <f>IF($N1080="","",INDEX(LdADate,$N1080))</f>
        <v/>
      </c>
      <c r="C1080" s="20">
        <f>IF($N1080="","",IF(INDEX(LdAId,$N1080)="","—",INDEX(LdAId,$N1080)))</f>
        <v/>
      </c>
      <c r="D1080" s="21">
        <f>IF($N1080="","",IF(INDEX(LdAAmt,$N1080)=0,"",INDEX(LdAAmt,$N1080)))</f>
        <v/>
      </c>
      <c r="E1080" s="21">
        <f>IF($N1080="","",SUMIFS(ShareAmt,ShareLink,$C1080))</f>
        <v/>
      </c>
      <c r="F1080" s="34">
        <f>IF($N1080="","",COUNTIF(ShareLink,$C1080))</f>
        <v/>
      </c>
      <c r="G1080" s="22">
        <f>IF($N1080="","",IF(ROUND($E1080-$D1080,0)=0,"√","▲ "&amp;TEXT($D1080-$E1080,"#,##0")))</f>
        <v/>
      </c>
      <c r="N1080">
        <f>IFERROR(MATCH($C$5&amp;"|"&amp;RIGHT("000000"&amp;1064,6),LdAKeyG,0),"")</f>
        <v/>
      </c>
    </row>
    <row r="1081">
      <c r="A1081" s="10" t="n">
        <v>1065</v>
      </c>
      <c r="B1081" s="14">
        <f>IF($N1081="","",INDEX(LdADate,$N1081))</f>
        <v/>
      </c>
      <c r="C1081" s="14">
        <f>IF($N1081="","",IF(INDEX(LdAId,$N1081)="","—",INDEX(LdAId,$N1081)))</f>
        <v/>
      </c>
      <c r="D1081" s="16">
        <f>IF($N1081="","",IF(INDEX(LdAAmt,$N1081)=0,"",INDEX(LdAAmt,$N1081)))</f>
        <v/>
      </c>
      <c r="E1081" s="16">
        <f>IF($N1081="","",SUMIFS(ShareAmt,ShareLink,$C1081))</f>
        <v/>
      </c>
      <c r="F1081" s="33">
        <f>IF($N1081="","",COUNTIF(ShareLink,$C1081))</f>
        <v/>
      </c>
      <c r="G1081" s="17">
        <f>IF($N1081="","",IF(ROUND($E1081-$D1081,0)=0,"√","▲ "&amp;TEXT($D1081-$E1081,"#,##0")))</f>
        <v/>
      </c>
      <c r="N1081">
        <f>IFERROR(MATCH($C$5&amp;"|"&amp;RIGHT("000000"&amp;1065,6),LdAKeyG,0),"")</f>
        <v/>
      </c>
    </row>
    <row r="1082">
      <c r="A1082" s="19" t="n">
        <v>1066</v>
      </c>
      <c r="B1082" s="20">
        <f>IF($N1082="","",INDEX(LdADate,$N1082))</f>
        <v/>
      </c>
      <c r="C1082" s="20">
        <f>IF($N1082="","",IF(INDEX(LdAId,$N1082)="","—",INDEX(LdAId,$N1082)))</f>
        <v/>
      </c>
      <c r="D1082" s="21">
        <f>IF($N1082="","",IF(INDEX(LdAAmt,$N1082)=0,"",INDEX(LdAAmt,$N1082)))</f>
        <v/>
      </c>
      <c r="E1082" s="21">
        <f>IF($N1082="","",SUMIFS(ShareAmt,ShareLink,$C1082))</f>
        <v/>
      </c>
      <c r="F1082" s="34">
        <f>IF($N1082="","",COUNTIF(ShareLink,$C1082))</f>
        <v/>
      </c>
      <c r="G1082" s="22">
        <f>IF($N1082="","",IF(ROUND($E1082-$D1082,0)=0,"√","▲ "&amp;TEXT($D1082-$E1082,"#,##0")))</f>
        <v/>
      </c>
      <c r="N1082">
        <f>IFERROR(MATCH($C$5&amp;"|"&amp;RIGHT("000000"&amp;1066,6),LdAKeyG,0),"")</f>
        <v/>
      </c>
    </row>
    <row r="1083">
      <c r="A1083" s="10" t="n">
        <v>1067</v>
      </c>
      <c r="B1083" s="14">
        <f>IF($N1083="","",INDEX(LdADate,$N1083))</f>
        <v/>
      </c>
      <c r="C1083" s="14">
        <f>IF($N1083="","",IF(INDEX(LdAId,$N1083)="","—",INDEX(LdAId,$N1083)))</f>
        <v/>
      </c>
      <c r="D1083" s="16">
        <f>IF($N1083="","",IF(INDEX(LdAAmt,$N1083)=0,"",INDEX(LdAAmt,$N1083)))</f>
        <v/>
      </c>
      <c r="E1083" s="16">
        <f>IF($N1083="","",SUMIFS(ShareAmt,ShareLink,$C1083))</f>
        <v/>
      </c>
      <c r="F1083" s="33">
        <f>IF($N1083="","",COUNTIF(ShareLink,$C1083))</f>
        <v/>
      </c>
      <c r="G1083" s="17">
        <f>IF($N1083="","",IF(ROUND($E1083-$D1083,0)=0,"√","▲ "&amp;TEXT($D1083-$E1083,"#,##0")))</f>
        <v/>
      </c>
      <c r="N1083">
        <f>IFERROR(MATCH($C$5&amp;"|"&amp;RIGHT("000000"&amp;1067,6),LdAKeyG,0),"")</f>
        <v/>
      </c>
    </row>
    <row r="1084">
      <c r="A1084" s="19" t="n">
        <v>1068</v>
      </c>
      <c r="B1084" s="20">
        <f>IF($N1084="","",INDEX(LdADate,$N1084))</f>
        <v/>
      </c>
      <c r="C1084" s="20">
        <f>IF($N1084="","",IF(INDEX(LdAId,$N1084)="","—",INDEX(LdAId,$N1084)))</f>
        <v/>
      </c>
      <c r="D1084" s="21">
        <f>IF($N1084="","",IF(INDEX(LdAAmt,$N1084)=0,"",INDEX(LdAAmt,$N1084)))</f>
        <v/>
      </c>
      <c r="E1084" s="21">
        <f>IF($N1084="","",SUMIFS(ShareAmt,ShareLink,$C1084))</f>
        <v/>
      </c>
      <c r="F1084" s="34">
        <f>IF($N1084="","",COUNTIF(ShareLink,$C1084))</f>
        <v/>
      </c>
      <c r="G1084" s="22">
        <f>IF($N1084="","",IF(ROUND($E1084-$D1084,0)=0,"√","▲ "&amp;TEXT($D1084-$E1084,"#,##0")))</f>
        <v/>
      </c>
      <c r="N1084">
        <f>IFERROR(MATCH($C$5&amp;"|"&amp;RIGHT("000000"&amp;1068,6),LdAKeyG,0),"")</f>
        <v/>
      </c>
    </row>
    <row r="1085">
      <c r="A1085" s="10" t="n">
        <v>1069</v>
      </c>
      <c r="B1085" s="14">
        <f>IF($N1085="","",INDEX(LdADate,$N1085))</f>
        <v/>
      </c>
      <c r="C1085" s="14">
        <f>IF($N1085="","",IF(INDEX(LdAId,$N1085)="","—",INDEX(LdAId,$N1085)))</f>
        <v/>
      </c>
      <c r="D1085" s="16">
        <f>IF($N1085="","",IF(INDEX(LdAAmt,$N1085)=0,"",INDEX(LdAAmt,$N1085)))</f>
        <v/>
      </c>
      <c r="E1085" s="16">
        <f>IF($N1085="","",SUMIFS(ShareAmt,ShareLink,$C1085))</f>
        <v/>
      </c>
      <c r="F1085" s="33">
        <f>IF($N1085="","",COUNTIF(ShareLink,$C1085))</f>
        <v/>
      </c>
      <c r="G1085" s="17">
        <f>IF($N1085="","",IF(ROUND($E1085-$D1085,0)=0,"√","▲ "&amp;TEXT($D1085-$E1085,"#,##0")))</f>
        <v/>
      </c>
      <c r="N1085">
        <f>IFERROR(MATCH($C$5&amp;"|"&amp;RIGHT("000000"&amp;1069,6),LdAKeyG,0),"")</f>
        <v/>
      </c>
    </row>
    <row r="1086">
      <c r="A1086" s="19" t="n">
        <v>1070</v>
      </c>
      <c r="B1086" s="20">
        <f>IF($N1086="","",INDEX(LdADate,$N1086))</f>
        <v/>
      </c>
      <c r="C1086" s="20">
        <f>IF($N1086="","",IF(INDEX(LdAId,$N1086)="","—",INDEX(LdAId,$N1086)))</f>
        <v/>
      </c>
      <c r="D1086" s="21">
        <f>IF($N1086="","",IF(INDEX(LdAAmt,$N1086)=0,"",INDEX(LdAAmt,$N1086)))</f>
        <v/>
      </c>
      <c r="E1086" s="21">
        <f>IF($N1086="","",SUMIFS(ShareAmt,ShareLink,$C1086))</f>
        <v/>
      </c>
      <c r="F1086" s="34">
        <f>IF($N1086="","",COUNTIF(ShareLink,$C1086))</f>
        <v/>
      </c>
      <c r="G1086" s="22">
        <f>IF($N1086="","",IF(ROUND($E1086-$D1086,0)=0,"√","▲ "&amp;TEXT($D1086-$E1086,"#,##0")))</f>
        <v/>
      </c>
      <c r="N1086">
        <f>IFERROR(MATCH($C$5&amp;"|"&amp;RIGHT("000000"&amp;1070,6),LdAKeyG,0),"")</f>
        <v/>
      </c>
    </row>
    <row r="1087">
      <c r="A1087" s="10" t="n">
        <v>1071</v>
      </c>
      <c r="B1087" s="14">
        <f>IF($N1087="","",INDEX(LdADate,$N1087))</f>
        <v/>
      </c>
      <c r="C1087" s="14">
        <f>IF($N1087="","",IF(INDEX(LdAId,$N1087)="","—",INDEX(LdAId,$N1087)))</f>
        <v/>
      </c>
      <c r="D1087" s="16">
        <f>IF($N1087="","",IF(INDEX(LdAAmt,$N1087)=0,"",INDEX(LdAAmt,$N1087)))</f>
        <v/>
      </c>
      <c r="E1087" s="16">
        <f>IF($N1087="","",SUMIFS(ShareAmt,ShareLink,$C1087))</f>
        <v/>
      </c>
      <c r="F1087" s="33">
        <f>IF($N1087="","",COUNTIF(ShareLink,$C1087))</f>
        <v/>
      </c>
      <c r="G1087" s="17">
        <f>IF($N1087="","",IF(ROUND($E1087-$D1087,0)=0,"√","▲ "&amp;TEXT($D1087-$E1087,"#,##0")))</f>
        <v/>
      </c>
      <c r="N1087">
        <f>IFERROR(MATCH($C$5&amp;"|"&amp;RIGHT("000000"&amp;1071,6),LdAKeyG,0),"")</f>
        <v/>
      </c>
    </row>
    <row r="1088">
      <c r="A1088" s="19" t="n">
        <v>1072</v>
      </c>
      <c r="B1088" s="20">
        <f>IF($N1088="","",INDEX(LdADate,$N1088))</f>
        <v/>
      </c>
      <c r="C1088" s="20">
        <f>IF($N1088="","",IF(INDEX(LdAId,$N1088)="","—",INDEX(LdAId,$N1088)))</f>
        <v/>
      </c>
      <c r="D1088" s="21">
        <f>IF($N1088="","",IF(INDEX(LdAAmt,$N1088)=0,"",INDEX(LdAAmt,$N1088)))</f>
        <v/>
      </c>
      <c r="E1088" s="21">
        <f>IF($N1088="","",SUMIFS(ShareAmt,ShareLink,$C1088))</f>
        <v/>
      </c>
      <c r="F1088" s="34">
        <f>IF($N1088="","",COUNTIF(ShareLink,$C1088))</f>
        <v/>
      </c>
      <c r="G1088" s="22">
        <f>IF($N1088="","",IF(ROUND($E1088-$D1088,0)=0,"√","▲ "&amp;TEXT($D1088-$E1088,"#,##0")))</f>
        <v/>
      </c>
      <c r="N1088">
        <f>IFERROR(MATCH($C$5&amp;"|"&amp;RIGHT("000000"&amp;1072,6),LdAKeyG,0),"")</f>
        <v/>
      </c>
    </row>
    <row r="1089">
      <c r="A1089" s="10" t="n">
        <v>1073</v>
      </c>
      <c r="B1089" s="14">
        <f>IF($N1089="","",INDEX(LdADate,$N1089))</f>
        <v/>
      </c>
      <c r="C1089" s="14">
        <f>IF($N1089="","",IF(INDEX(LdAId,$N1089)="","—",INDEX(LdAId,$N1089)))</f>
        <v/>
      </c>
      <c r="D1089" s="16">
        <f>IF($N1089="","",IF(INDEX(LdAAmt,$N1089)=0,"",INDEX(LdAAmt,$N1089)))</f>
        <v/>
      </c>
      <c r="E1089" s="16">
        <f>IF($N1089="","",SUMIFS(ShareAmt,ShareLink,$C1089))</f>
        <v/>
      </c>
      <c r="F1089" s="33">
        <f>IF($N1089="","",COUNTIF(ShareLink,$C1089))</f>
        <v/>
      </c>
      <c r="G1089" s="17">
        <f>IF($N1089="","",IF(ROUND($E1089-$D1089,0)=0,"√","▲ "&amp;TEXT($D1089-$E1089,"#,##0")))</f>
        <v/>
      </c>
      <c r="N1089">
        <f>IFERROR(MATCH($C$5&amp;"|"&amp;RIGHT("000000"&amp;1073,6),LdAKeyG,0),"")</f>
        <v/>
      </c>
    </row>
    <row r="1090">
      <c r="A1090" s="19" t="n">
        <v>1074</v>
      </c>
      <c r="B1090" s="20">
        <f>IF($N1090="","",INDEX(LdADate,$N1090))</f>
        <v/>
      </c>
      <c r="C1090" s="20">
        <f>IF($N1090="","",IF(INDEX(LdAId,$N1090)="","—",INDEX(LdAId,$N1090)))</f>
        <v/>
      </c>
      <c r="D1090" s="21">
        <f>IF($N1090="","",IF(INDEX(LdAAmt,$N1090)=0,"",INDEX(LdAAmt,$N1090)))</f>
        <v/>
      </c>
      <c r="E1090" s="21">
        <f>IF($N1090="","",SUMIFS(ShareAmt,ShareLink,$C1090))</f>
        <v/>
      </c>
      <c r="F1090" s="34">
        <f>IF($N1090="","",COUNTIF(ShareLink,$C1090))</f>
        <v/>
      </c>
      <c r="G1090" s="22">
        <f>IF($N1090="","",IF(ROUND($E1090-$D1090,0)=0,"√","▲ "&amp;TEXT($D1090-$E1090,"#,##0")))</f>
        <v/>
      </c>
      <c r="N1090">
        <f>IFERROR(MATCH($C$5&amp;"|"&amp;RIGHT("000000"&amp;1074,6),LdAKeyG,0),"")</f>
        <v/>
      </c>
    </row>
    <row r="1091">
      <c r="A1091" s="10" t="n">
        <v>1075</v>
      </c>
      <c r="B1091" s="14">
        <f>IF($N1091="","",INDEX(LdADate,$N1091))</f>
        <v/>
      </c>
      <c r="C1091" s="14">
        <f>IF($N1091="","",IF(INDEX(LdAId,$N1091)="","—",INDEX(LdAId,$N1091)))</f>
        <v/>
      </c>
      <c r="D1091" s="16">
        <f>IF($N1091="","",IF(INDEX(LdAAmt,$N1091)=0,"",INDEX(LdAAmt,$N1091)))</f>
        <v/>
      </c>
      <c r="E1091" s="16">
        <f>IF($N1091="","",SUMIFS(ShareAmt,ShareLink,$C1091))</f>
        <v/>
      </c>
      <c r="F1091" s="33">
        <f>IF($N1091="","",COUNTIF(ShareLink,$C1091))</f>
        <v/>
      </c>
      <c r="G1091" s="17">
        <f>IF($N1091="","",IF(ROUND($E1091-$D1091,0)=0,"√","▲ "&amp;TEXT($D1091-$E1091,"#,##0")))</f>
        <v/>
      </c>
      <c r="N1091">
        <f>IFERROR(MATCH($C$5&amp;"|"&amp;RIGHT("000000"&amp;1075,6),LdAKeyG,0),"")</f>
        <v/>
      </c>
    </row>
    <row r="1092">
      <c r="A1092" s="19" t="n">
        <v>1076</v>
      </c>
      <c r="B1092" s="20">
        <f>IF($N1092="","",INDEX(LdADate,$N1092))</f>
        <v/>
      </c>
      <c r="C1092" s="20">
        <f>IF($N1092="","",IF(INDEX(LdAId,$N1092)="","—",INDEX(LdAId,$N1092)))</f>
        <v/>
      </c>
      <c r="D1092" s="21">
        <f>IF($N1092="","",IF(INDEX(LdAAmt,$N1092)=0,"",INDEX(LdAAmt,$N1092)))</f>
        <v/>
      </c>
      <c r="E1092" s="21">
        <f>IF($N1092="","",SUMIFS(ShareAmt,ShareLink,$C1092))</f>
        <v/>
      </c>
      <c r="F1092" s="34">
        <f>IF($N1092="","",COUNTIF(ShareLink,$C1092))</f>
        <v/>
      </c>
      <c r="G1092" s="22">
        <f>IF($N1092="","",IF(ROUND($E1092-$D1092,0)=0,"√","▲ "&amp;TEXT($D1092-$E1092,"#,##0")))</f>
        <v/>
      </c>
      <c r="N1092">
        <f>IFERROR(MATCH($C$5&amp;"|"&amp;RIGHT("000000"&amp;1076,6),LdAKeyG,0),"")</f>
        <v/>
      </c>
    </row>
    <row r="1093">
      <c r="A1093" s="10" t="n">
        <v>1077</v>
      </c>
      <c r="B1093" s="14">
        <f>IF($N1093="","",INDEX(LdADate,$N1093))</f>
        <v/>
      </c>
      <c r="C1093" s="14">
        <f>IF($N1093="","",IF(INDEX(LdAId,$N1093)="","—",INDEX(LdAId,$N1093)))</f>
        <v/>
      </c>
      <c r="D1093" s="16">
        <f>IF($N1093="","",IF(INDEX(LdAAmt,$N1093)=0,"",INDEX(LdAAmt,$N1093)))</f>
        <v/>
      </c>
      <c r="E1093" s="16">
        <f>IF($N1093="","",SUMIFS(ShareAmt,ShareLink,$C1093))</f>
        <v/>
      </c>
      <c r="F1093" s="33">
        <f>IF($N1093="","",COUNTIF(ShareLink,$C1093))</f>
        <v/>
      </c>
      <c r="G1093" s="17">
        <f>IF($N1093="","",IF(ROUND($E1093-$D1093,0)=0,"√","▲ "&amp;TEXT($D1093-$E1093,"#,##0")))</f>
        <v/>
      </c>
      <c r="N1093">
        <f>IFERROR(MATCH($C$5&amp;"|"&amp;RIGHT("000000"&amp;1077,6),LdAKeyG,0),"")</f>
        <v/>
      </c>
    </row>
    <row r="1094">
      <c r="A1094" s="19" t="n">
        <v>1078</v>
      </c>
      <c r="B1094" s="20">
        <f>IF($N1094="","",INDEX(LdADate,$N1094))</f>
        <v/>
      </c>
      <c r="C1094" s="20">
        <f>IF($N1094="","",IF(INDEX(LdAId,$N1094)="","—",INDEX(LdAId,$N1094)))</f>
        <v/>
      </c>
      <c r="D1094" s="21">
        <f>IF($N1094="","",IF(INDEX(LdAAmt,$N1094)=0,"",INDEX(LdAAmt,$N1094)))</f>
        <v/>
      </c>
      <c r="E1094" s="21">
        <f>IF($N1094="","",SUMIFS(ShareAmt,ShareLink,$C1094))</f>
        <v/>
      </c>
      <c r="F1094" s="34">
        <f>IF($N1094="","",COUNTIF(ShareLink,$C1094))</f>
        <v/>
      </c>
      <c r="G1094" s="22">
        <f>IF($N1094="","",IF(ROUND($E1094-$D1094,0)=0,"√","▲ "&amp;TEXT($D1094-$E1094,"#,##0")))</f>
        <v/>
      </c>
      <c r="N1094">
        <f>IFERROR(MATCH($C$5&amp;"|"&amp;RIGHT("000000"&amp;1078,6),LdAKeyG,0),"")</f>
        <v/>
      </c>
    </row>
    <row r="1095">
      <c r="A1095" s="10" t="n">
        <v>1079</v>
      </c>
      <c r="B1095" s="14">
        <f>IF($N1095="","",INDEX(LdADate,$N1095))</f>
        <v/>
      </c>
      <c r="C1095" s="14">
        <f>IF($N1095="","",IF(INDEX(LdAId,$N1095)="","—",INDEX(LdAId,$N1095)))</f>
        <v/>
      </c>
      <c r="D1095" s="16">
        <f>IF($N1095="","",IF(INDEX(LdAAmt,$N1095)=0,"",INDEX(LdAAmt,$N1095)))</f>
        <v/>
      </c>
      <c r="E1095" s="16">
        <f>IF($N1095="","",SUMIFS(ShareAmt,ShareLink,$C1095))</f>
        <v/>
      </c>
      <c r="F1095" s="33">
        <f>IF($N1095="","",COUNTIF(ShareLink,$C1095))</f>
        <v/>
      </c>
      <c r="G1095" s="17">
        <f>IF($N1095="","",IF(ROUND($E1095-$D1095,0)=0,"√","▲ "&amp;TEXT($D1095-$E1095,"#,##0")))</f>
        <v/>
      </c>
      <c r="N1095">
        <f>IFERROR(MATCH($C$5&amp;"|"&amp;RIGHT("000000"&amp;1079,6),LdAKeyG,0),"")</f>
        <v/>
      </c>
    </row>
    <row r="1096">
      <c r="A1096" s="19" t="n">
        <v>1080</v>
      </c>
      <c r="B1096" s="20">
        <f>IF($N1096="","",INDEX(LdADate,$N1096))</f>
        <v/>
      </c>
      <c r="C1096" s="20">
        <f>IF($N1096="","",IF(INDEX(LdAId,$N1096)="","—",INDEX(LdAId,$N1096)))</f>
        <v/>
      </c>
      <c r="D1096" s="21">
        <f>IF($N1096="","",IF(INDEX(LdAAmt,$N1096)=0,"",INDEX(LdAAmt,$N1096)))</f>
        <v/>
      </c>
      <c r="E1096" s="21">
        <f>IF($N1096="","",SUMIFS(ShareAmt,ShareLink,$C1096))</f>
        <v/>
      </c>
      <c r="F1096" s="34">
        <f>IF($N1096="","",COUNTIF(ShareLink,$C1096))</f>
        <v/>
      </c>
      <c r="G1096" s="22">
        <f>IF($N1096="","",IF(ROUND($E1096-$D1096,0)=0,"√","▲ "&amp;TEXT($D1096-$E1096,"#,##0")))</f>
        <v/>
      </c>
      <c r="N1096">
        <f>IFERROR(MATCH($C$5&amp;"|"&amp;RIGHT("000000"&amp;1080,6),LdAKeyG,0),"")</f>
        <v/>
      </c>
    </row>
    <row r="1097">
      <c r="A1097" s="10" t="n">
        <v>1081</v>
      </c>
      <c r="B1097" s="14">
        <f>IF($N1097="","",INDEX(LdADate,$N1097))</f>
        <v/>
      </c>
      <c r="C1097" s="14">
        <f>IF($N1097="","",IF(INDEX(LdAId,$N1097)="","—",INDEX(LdAId,$N1097)))</f>
        <v/>
      </c>
      <c r="D1097" s="16">
        <f>IF($N1097="","",IF(INDEX(LdAAmt,$N1097)=0,"",INDEX(LdAAmt,$N1097)))</f>
        <v/>
      </c>
      <c r="E1097" s="16">
        <f>IF($N1097="","",SUMIFS(ShareAmt,ShareLink,$C1097))</f>
        <v/>
      </c>
      <c r="F1097" s="33">
        <f>IF($N1097="","",COUNTIF(ShareLink,$C1097))</f>
        <v/>
      </c>
      <c r="G1097" s="17">
        <f>IF($N1097="","",IF(ROUND($E1097-$D1097,0)=0,"√","▲ "&amp;TEXT($D1097-$E1097,"#,##0")))</f>
        <v/>
      </c>
      <c r="N1097">
        <f>IFERROR(MATCH($C$5&amp;"|"&amp;RIGHT("000000"&amp;1081,6),LdAKeyG,0),"")</f>
        <v/>
      </c>
    </row>
    <row r="1098">
      <c r="A1098" s="19" t="n">
        <v>1082</v>
      </c>
      <c r="B1098" s="20">
        <f>IF($N1098="","",INDEX(LdADate,$N1098))</f>
        <v/>
      </c>
      <c r="C1098" s="20">
        <f>IF($N1098="","",IF(INDEX(LdAId,$N1098)="","—",INDEX(LdAId,$N1098)))</f>
        <v/>
      </c>
      <c r="D1098" s="21">
        <f>IF($N1098="","",IF(INDEX(LdAAmt,$N1098)=0,"",INDEX(LdAAmt,$N1098)))</f>
        <v/>
      </c>
      <c r="E1098" s="21">
        <f>IF($N1098="","",SUMIFS(ShareAmt,ShareLink,$C1098))</f>
        <v/>
      </c>
      <c r="F1098" s="34">
        <f>IF($N1098="","",COUNTIF(ShareLink,$C1098))</f>
        <v/>
      </c>
      <c r="G1098" s="22">
        <f>IF($N1098="","",IF(ROUND($E1098-$D1098,0)=0,"√","▲ "&amp;TEXT($D1098-$E1098,"#,##0")))</f>
        <v/>
      </c>
      <c r="N1098">
        <f>IFERROR(MATCH($C$5&amp;"|"&amp;RIGHT("000000"&amp;1082,6),LdAKeyG,0),"")</f>
        <v/>
      </c>
    </row>
    <row r="1099">
      <c r="A1099" s="10" t="n">
        <v>1083</v>
      </c>
      <c r="B1099" s="14">
        <f>IF($N1099="","",INDEX(LdADate,$N1099))</f>
        <v/>
      </c>
      <c r="C1099" s="14">
        <f>IF($N1099="","",IF(INDEX(LdAId,$N1099)="","—",INDEX(LdAId,$N1099)))</f>
        <v/>
      </c>
      <c r="D1099" s="16">
        <f>IF($N1099="","",IF(INDEX(LdAAmt,$N1099)=0,"",INDEX(LdAAmt,$N1099)))</f>
        <v/>
      </c>
      <c r="E1099" s="16">
        <f>IF($N1099="","",SUMIFS(ShareAmt,ShareLink,$C1099))</f>
        <v/>
      </c>
      <c r="F1099" s="33">
        <f>IF($N1099="","",COUNTIF(ShareLink,$C1099))</f>
        <v/>
      </c>
      <c r="G1099" s="17">
        <f>IF($N1099="","",IF(ROUND($E1099-$D1099,0)=0,"√","▲ "&amp;TEXT($D1099-$E1099,"#,##0")))</f>
        <v/>
      </c>
      <c r="N1099">
        <f>IFERROR(MATCH($C$5&amp;"|"&amp;RIGHT("000000"&amp;1083,6),LdAKeyG,0),"")</f>
        <v/>
      </c>
    </row>
    <row r="1100">
      <c r="A1100" s="19" t="n">
        <v>1084</v>
      </c>
      <c r="B1100" s="20">
        <f>IF($N1100="","",INDEX(LdADate,$N1100))</f>
        <v/>
      </c>
      <c r="C1100" s="20">
        <f>IF($N1100="","",IF(INDEX(LdAId,$N1100)="","—",INDEX(LdAId,$N1100)))</f>
        <v/>
      </c>
      <c r="D1100" s="21">
        <f>IF($N1100="","",IF(INDEX(LdAAmt,$N1100)=0,"",INDEX(LdAAmt,$N1100)))</f>
        <v/>
      </c>
      <c r="E1100" s="21">
        <f>IF($N1100="","",SUMIFS(ShareAmt,ShareLink,$C1100))</f>
        <v/>
      </c>
      <c r="F1100" s="34">
        <f>IF($N1100="","",COUNTIF(ShareLink,$C1100))</f>
        <v/>
      </c>
      <c r="G1100" s="22">
        <f>IF($N1100="","",IF(ROUND($E1100-$D1100,0)=0,"√","▲ "&amp;TEXT($D1100-$E1100,"#,##0")))</f>
        <v/>
      </c>
      <c r="N1100">
        <f>IFERROR(MATCH($C$5&amp;"|"&amp;RIGHT("000000"&amp;1084,6),LdAKeyG,0),"")</f>
        <v/>
      </c>
    </row>
    <row r="1101">
      <c r="A1101" s="10" t="n">
        <v>1085</v>
      </c>
      <c r="B1101" s="14">
        <f>IF($N1101="","",INDEX(LdADate,$N1101))</f>
        <v/>
      </c>
      <c r="C1101" s="14">
        <f>IF($N1101="","",IF(INDEX(LdAId,$N1101)="","—",INDEX(LdAId,$N1101)))</f>
        <v/>
      </c>
      <c r="D1101" s="16">
        <f>IF($N1101="","",IF(INDEX(LdAAmt,$N1101)=0,"",INDEX(LdAAmt,$N1101)))</f>
        <v/>
      </c>
      <c r="E1101" s="16">
        <f>IF($N1101="","",SUMIFS(ShareAmt,ShareLink,$C1101))</f>
        <v/>
      </c>
      <c r="F1101" s="33">
        <f>IF($N1101="","",COUNTIF(ShareLink,$C1101))</f>
        <v/>
      </c>
      <c r="G1101" s="17">
        <f>IF($N1101="","",IF(ROUND($E1101-$D1101,0)=0,"√","▲ "&amp;TEXT($D1101-$E1101,"#,##0")))</f>
        <v/>
      </c>
      <c r="N1101">
        <f>IFERROR(MATCH($C$5&amp;"|"&amp;RIGHT("000000"&amp;1085,6),LdAKeyG,0),"")</f>
        <v/>
      </c>
    </row>
    <row r="1102">
      <c r="A1102" s="19" t="n">
        <v>1086</v>
      </c>
      <c r="B1102" s="20">
        <f>IF($N1102="","",INDEX(LdADate,$N1102))</f>
        <v/>
      </c>
      <c r="C1102" s="20">
        <f>IF($N1102="","",IF(INDEX(LdAId,$N1102)="","—",INDEX(LdAId,$N1102)))</f>
        <v/>
      </c>
      <c r="D1102" s="21">
        <f>IF($N1102="","",IF(INDEX(LdAAmt,$N1102)=0,"",INDEX(LdAAmt,$N1102)))</f>
        <v/>
      </c>
      <c r="E1102" s="21">
        <f>IF($N1102="","",SUMIFS(ShareAmt,ShareLink,$C1102))</f>
        <v/>
      </c>
      <c r="F1102" s="34">
        <f>IF($N1102="","",COUNTIF(ShareLink,$C1102))</f>
        <v/>
      </c>
      <c r="G1102" s="22">
        <f>IF($N1102="","",IF(ROUND($E1102-$D1102,0)=0,"√","▲ "&amp;TEXT($D1102-$E1102,"#,##0")))</f>
        <v/>
      </c>
      <c r="N1102">
        <f>IFERROR(MATCH($C$5&amp;"|"&amp;RIGHT("000000"&amp;1086,6),LdAKeyG,0),"")</f>
        <v/>
      </c>
    </row>
    <row r="1103">
      <c r="A1103" s="10" t="n">
        <v>1087</v>
      </c>
      <c r="B1103" s="14">
        <f>IF($N1103="","",INDEX(LdADate,$N1103))</f>
        <v/>
      </c>
      <c r="C1103" s="14">
        <f>IF($N1103="","",IF(INDEX(LdAId,$N1103)="","—",INDEX(LdAId,$N1103)))</f>
        <v/>
      </c>
      <c r="D1103" s="16">
        <f>IF($N1103="","",IF(INDEX(LdAAmt,$N1103)=0,"",INDEX(LdAAmt,$N1103)))</f>
        <v/>
      </c>
      <c r="E1103" s="16">
        <f>IF($N1103="","",SUMIFS(ShareAmt,ShareLink,$C1103))</f>
        <v/>
      </c>
      <c r="F1103" s="33">
        <f>IF($N1103="","",COUNTIF(ShareLink,$C1103))</f>
        <v/>
      </c>
      <c r="G1103" s="17">
        <f>IF($N1103="","",IF(ROUND($E1103-$D1103,0)=0,"√","▲ "&amp;TEXT($D1103-$E1103,"#,##0")))</f>
        <v/>
      </c>
      <c r="N1103">
        <f>IFERROR(MATCH($C$5&amp;"|"&amp;RIGHT("000000"&amp;1087,6),LdAKeyG,0),"")</f>
        <v/>
      </c>
    </row>
    <row r="1104">
      <c r="A1104" s="19" t="n">
        <v>1088</v>
      </c>
      <c r="B1104" s="20">
        <f>IF($N1104="","",INDEX(LdADate,$N1104))</f>
        <v/>
      </c>
      <c r="C1104" s="20">
        <f>IF($N1104="","",IF(INDEX(LdAId,$N1104)="","—",INDEX(LdAId,$N1104)))</f>
        <v/>
      </c>
      <c r="D1104" s="21">
        <f>IF($N1104="","",IF(INDEX(LdAAmt,$N1104)=0,"",INDEX(LdAAmt,$N1104)))</f>
        <v/>
      </c>
      <c r="E1104" s="21">
        <f>IF($N1104="","",SUMIFS(ShareAmt,ShareLink,$C1104))</f>
        <v/>
      </c>
      <c r="F1104" s="34">
        <f>IF($N1104="","",COUNTIF(ShareLink,$C1104))</f>
        <v/>
      </c>
      <c r="G1104" s="22">
        <f>IF($N1104="","",IF(ROUND($E1104-$D1104,0)=0,"√","▲ "&amp;TEXT($D1104-$E1104,"#,##0")))</f>
        <v/>
      </c>
      <c r="N1104">
        <f>IFERROR(MATCH($C$5&amp;"|"&amp;RIGHT("000000"&amp;1088,6),LdAKeyG,0),"")</f>
        <v/>
      </c>
    </row>
    <row r="1105">
      <c r="A1105" s="10" t="n">
        <v>1089</v>
      </c>
      <c r="B1105" s="14">
        <f>IF($N1105="","",INDEX(LdADate,$N1105))</f>
        <v/>
      </c>
      <c r="C1105" s="14">
        <f>IF($N1105="","",IF(INDEX(LdAId,$N1105)="","—",INDEX(LdAId,$N1105)))</f>
        <v/>
      </c>
      <c r="D1105" s="16">
        <f>IF($N1105="","",IF(INDEX(LdAAmt,$N1105)=0,"",INDEX(LdAAmt,$N1105)))</f>
        <v/>
      </c>
      <c r="E1105" s="16">
        <f>IF($N1105="","",SUMIFS(ShareAmt,ShareLink,$C1105))</f>
        <v/>
      </c>
      <c r="F1105" s="33">
        <f>IF($N1105="","",COUNTIF(ShareLink,$C1105))</f>
        <v/>
      </c>
      <c r="G1105" s="17">
        <f>IF($N1105="","",IF(ROUND($E1105-$D1105,0)=0,"√","▲ "&amp;TEXT($D1105-$E1105,"#,##0")))</f>
        <v/>
      </c>
      <c r="N1105">
        <f>IFERROR(MATCH($C$5&amp;"|"&amp;RIGHT("000000"&amp;1089,6),LdAKeyG,0),"")</f>
        <v/>
      </c>
    </row>
    <row r="1106">
      <c r="A1106" s="19" t="n">
        <v>1090</v>
      </c>
      <c r="B1106" s="20">
        <f>IF($N1106="","",INDEX(LdADate,$N1106))</f>
        <v/>
      </c>
      <c r="C1106" s="20">
        <f>IF($N1106="","",IF(INDEX(LdAId,$N1106)="","—",INDEX(LdAId,$N1106)))</f>
        <v/>
      </c>
      <c r="D1106" s="21">
        <f>IF($N1106="","",IF(INDEX(LdAAmt,$N1106)=0,"",INDEX(LdAAmt,$N1106)))</f>
        <v/>
      </c>
      <c r="E1106" s="21">
        <f>IF($N1106="","",SUMIFS(ShareAmt,ShareLink,$C1106))</f>
        <v/>
      </c>
      <c r="F1106" s="34">
        <f>IF($N1106="","",COUNTIF(ShareLink,$C1106))</f>
        <v/>
      </c>
      <c r="G1106" s="22">
        <f>IF($N1106="","",IF(ROUND($E1106-$D1106,0)=0,"√","▲ "&amp;TEXT($D1106-$E1106,"#,##0")))</f>
        <v/>
      </c>
      <c r="N1106">
        <f>IFERROR(MATCH($C$5&amp;"|"&amp;RIGHT("000000"&amp;1090,6),LdAKeyG,0),"")</f>
        <v/>
      </c>
    </row>
    <row r="1107">
      <c r="A1107" s="10" t="n">
        <v>1091</v>
      </c>
      <c r="B1107" s="14">
        <f>IF($N1107="","",INDEX(LdADate,$N1107))</f>
        <v/>
      </c>
      <c r="C1107" s="14">
        <f>IF($N1107="","",IF(INDEX(LdAId,$N1107)="","—",INDEX(LdAId,$N1107)))</f>
        <v/>
      </c>
      <c r="D1107" s="16">
        <f>IF($N1107="","",IF(INDEX(LdAAmt,$N1107)=0,"",INDEX(LdAAmt,$N1107)))</f>
        <v/>
      </c>
      <c r="E1107" s="16">
        <f>IF($N1107="","",SUMIFS(ShareAmt,ShareLink,$C1107))</f>
        <v/>
      </c>
      <c r="F1107" s="33">
        <f>IF($N1107="","",COUNTIF(ShareLink,$C1107))</f>
        <v/>
      </c>
      <c r="G1107" s="17">
        <f>IF($N1107="","",IF(ROUND($E1107-$D1107,0)=0,"√","▲ "&amp;TEXT($D1107-$E1107,"#,##0")))</f>
        <v/>
      </c>
      <c r="N1107">
        <f>IFERROR(MATCH($C$5&amp;"|"&amp;RIGHT("000000"&amp;1091,6),LdAKeyG,0),"")</f>
        <v/>
      </c>
    </row>
    <row r="1108">
      <c r="A1108" s="19" t="n">
        <v>1092</v>
      </c>
      <c r="B1108" s="20">
        <f>IF($N1108="","",INDEX(LdADate,$N1108))</f>
        <v/>
      </c>
      <c r="C1108" s="20">
        <f>IF($N1108="","",IF(INDEX(LdAId,$N1108)="","—",INDEX(LdAId,$N1108)))</f>
        <v/>
      </c>
      <c r="D1108" s="21">
        <f>IF($N1108="","",IF(INDEX(LdAAmt,$N1108)=0,"",INDEX(LdAAmt,$N1108)))</f>
        <v/>
      </c>
      <c r="E1108" s="21">
        <f>IF($N1108="","",SUMIFS(ShareAmt,ShareLink,$C1108))</f>
        <v/>
      </c>
      <c r="F1108" s="34">
        <f>IF($N1108="","",COUNTIF(ShareLink,$C1108))</f>
        <v/>
      </c>
      <c r="G1108" s="22">
        <f>IF($N1108="","",IF(ROUND($E1108-$D1108,0)=0,"√","▲ "&amp;TEXT($D1108-$E1108,"#,##0")))</f>
        <v/>
      </c>
      <c r="N1108">
        <f>IFERROR(MATCH($C$5&amp;"|"&amp;RIGHT("000000"&amp;1092,6),LdAKeyG,0),"")</f>
        <v/>
      </c>
    </row>
    <row r="1109">
      <c r="A1109" s="10" t="n">
        <v>1093</v>
      </c>
      <c r="B1109" s="14">
        <f>IF($N1109="","",INDEX(LdADate,$N1109))</f>
        <v/>
      </c>
      <c r="C1109" s="14">
        <f>IF($N1109="","",IF(INDEX(LdAId,$N1109)="","—",INDEX(LdAId,$N1109)))</f>
        <v/>
      </c>
      <c r="D1109" s="16">
        <f>IF($N1109="","",IF(INDEX(LdAAmt,$N1109)=0,"",INDEX(LdAAmt,$N1109)))</f>
        <v/>
      </c>
      <c r="E1109" s="16">
        <f>IF($N1109="","",SUMIFS(ShareAmt,ShareLink,$C1109))</f>
        <v/>
      </c>
      <c r="F1109" s="33">
        <f>IF($N1109="","",COUNTIF(ShareLink,$C1109))</f>
        <v/>
      </c>
      <c r="G1109" s="17">
        <f>IF($N1109="","",IF(ROUND($E1109-$D1109,0)=0,"√","▲ "&amp;TEXT($D1109-$E1109,"#,##0")))</f>
        <v/>
      </c>
      <c r="N1109">
        <f>IFERROR(MATCH($C$5&amp;"|"&amp;RIGHT("000000"&amp;1093,6),LdAKeyG,0),"")</f>
        <v/>
      </c>
    </row>
    <row r="1110">
      <c r="A1110" s="19" t="n">
        <v>1094</v>
      </c>
      <c r="B1110" s="20">
        <f>IF($N1110="","",INDEX(LdADate,$N1110))</f>
        <v/>
      </c>
      <c r="C1110" s="20">
        <f>IF($N1110="","",IF(INDEX(LdAId,$N1110)="","—",INDEX(LdAId,$N1110)))</f>
        <v/>
      </c>
      <c r="D1110" s="21">
        <f>IF($N1110="","",IF(INDEX(LdAAmt,$N1110)=0,"",INDEX(LdAAmt,$N1110)))</f>
        <v/>
      </c>
      <c r="E1110" s="21">
        <f>IF($N1110="","",SUMIFS(ShareAmt,ShareLink,$C1110))</f>
        <v/>
      </c>
      <c r="F1110" s="34">
        <f>IF($N1110="","",COUNTIF(ShareLink,$C1110))</f>
        <v/>
      </c>
      <c r="G1110" s="22">
        <f>IF($N1110="","",IF(ROUND($E1110-$D1110,0)=0,"√","▲ "&amp;TEXT($D1110-$E1110,"#,##0")))</f>
        <v/>
      </c>
      <c r="N1110">
        <f>IFERROR(MATCH($C$5&amp;"|"&amp;RIGHT("000000"&amp;1094,6),LdAKeyG,0),"")</f>
        <v/>
      </c>
    </row>
    <row r="1111">
      <c r="A1111" s="10" t="n">
        <v>1095</v>
      </c>
      <c r="B1111" s="14">
        <f>IF($N1111="","",INDEX(LdADate,$N1111))</f>
        <v/>
      </c>
      <c r="C1111" s="14">
        <f>IF($N1111="","",IF(INDEX(LdAId,$N1111)="","—",INDEX(LdAId,$N1111)))</f>
        <v/>
      </c>
      <c r="D1111" s="16">
        <f>IF($N1111="","",IF(INDEX(LdAAmt,$N1111)=0,"",INDEX(LdAAmt,$N1111)))</f>
        <v/>
      </c>
      <c r="E1111" s="16">
        <f>IF($N1111="","",SUMIFS(ShareAmt,ShareLink,$C1111))</f>
        <v/>
      </c>
      <c r="F1111" s="33">
        <f>IF($N1111="","",COUNTIF(ShareLink,$C1111))</f>
        <v/>
      </c>
      <c r="G1111" s="17">
        <f>IF($N1111="","",IF(ROUND($E1111-$D1111,0)=0,"√","▲ "&amp;TEXT($D1111-$E1111,"#,##0")))</f>
        <v/>
      </c>
      <c r="N1111">
        <f>IFERROR(MATCH($C$5&amp;"|"&amp;RIGHT("000000"&amp;1095,6),LdAKeyG,0),"")</f>
        <v/>
      </c>
    </row>
    <row r="1112">
      <c r="A1112" s="19" t="n">
        <v>1096</v>
      </c>
      <c r="B1112" s="20">
        <f>IF($N1112="","",INDEX(LdADate,$N1112))</f>
        <v/>
      </c>
      <c r="C1112" s="20">
        <f>IF($N1112="","",IF(INDEX(LdAId,$N1112)="","—",INDEX(LdAId,$N1112)))</f>
        <v/>
      </c>
      <c r="D1112" s="21">
        <f>IF($N1112="","",IF(INDEX(LdAAmt,$N1112)=0,"",INDEX(LdAAmt,$N1112)))</f>
        <v/>
      </c>
      <c r="E1112" s="21">
        <f>IF($N1112="","",SUMIFS(ShareAmt,ShareLink,$C1112))</f>
        <v/>
      </c>
      <c r="F1112" s="34">
        <f>IF($N1112="","",COUNTIF(ShareLink,$C1112))</f>
        <v/>
      </c>
      <c r="G1112" s="22">
        <f>IF($N1112="","",IF(ROUND($E1112-$D1112,0)=0,"√","▲ "&amp;TEXT($D1112-$E1112,"#,##0")))</f>
        <v/>
      </c>
      <c r="N1112">
        <f>IFERROR(MATCH($C$5&amp;"|"&amp;RIGHT("000000"&amp;1096,6),LdAKeyG,0),"")</f>
        <v/>
      </c>
    </row>
    <row r="1113">
      <c r="A1113" s="10" t="n">
        <v>1097</v>
      </c>
      <c r="B1113" s="14">
        <f>IF($N1113="","",INDEX(LdADate,$N1113))</f>
        <v/>
      </c>
      <c r="C1113" s="14">
        <f>IF($N1113="","",IF(INDEX(LdAId,$N1113)="","—",INDEX(LdAId,$N1113)))</f>
        <v/>
      </c>
      <c r="D1113" s="16">
        <f>IF($N1113="","",IF(INDEX(LdAAmt,$N1113)=0,"",INDEX(LdAAmt,$N1113)))</f>
        <v/>
      </c>
      <c r="E1113" s="16">
        <f>IF($N1113="","",SUMIFS(ShareAmt,ShareLink,$C1113))</f>
        <v/>
      </c>
      <c r="F1113" s="33">
        <f>IF($N1113="","",COUNTIF(ShareLink,$C1113))</f>
        <v/>
      </c>
      <c r="G1113" s="17">
        <f>IF($N1113="","",IF(ROUND($E1113-$D1113,0)=0,"√","▲ "&amp;TEXT($D1113-$E1113,"#,##0")))</f>
        <v/>
      </c>
      <c r="N1113">
        <f>IFERROR(MATCH($C$5&amp;"|"&amp;RIGHT("000000"&amp;1097,6),LdAKeyG,0),"")</f>
        <v/>
      </c>
    </row>
    <row r="1114">
      <c r="A1114" s="19" t="n">
        <v>1098</v>
      </c>
      <c r="B1114" s="20">
        <f>IF($N1114="","",INDEX(LdADate,$N1114))</f>
        <v/>
      </c>
      <c r="C1114" s="20">
        <f>IF($N1114="","",IF(INDEX(LdAId,$N1114)="","—",INDEX(LdAId,$N1114)))</f>
        <v/>
      </c>
      <c r="D1114" s="21">
        <f>IF($N1114="","",IF(INDEX(LdAAmt,$N1114)=0,"",INDEX(LdAAmt,$N1114)))</f>
        <v/>
      </c>
      <c r="E1114" s="21">
        <f>IF($N1114="","",SUMIFS(ShareAmt,ShareLink,$C1114))</f>
        <v/>
      </c>
      <c r="F1114" s="34">
        <f>IF($N1114="","",COUNTIF(ShareLink,$C1114))</f>
        <v/>
      </c>
      <c r="G1114" s="22">
        <f>IF($N1114="","",IF(ROUND($E1114-$D1114,0)=0,"√","▲ "&amp;TEXT($D1114-$E1114,"#,##0")))</f>
        <v/>
      </c>
      <c r="N1114">
        <f>IFERROR(MATCH($C$5&amp;"|"&amp;RIGHT("000000"&amp;1098,6),LdAKeyG,0),"")</f>
        <v/>
      </c>
    </row>
    <row r="1115">
      <c r="A1115" s="10" t="n">
        <v>1099</v>
      </c>
      <c r="B1115" s="14">
        <f>IF($N1115="","",INDEX(LdADate,$N1115))</f>
        <v/>
      </c>
      <c r="C1115" s="14">
        <f>IF($N1115="","",IF(INDEX(LdAId,$N1115)="","—",INDEX(LdAId,$N1115)))</f>
        <v/>
      </c>
      <c r="D1115" s="16">
        <f>IF($N1115="","",IF(INDEX(LdAAmt,$N1115)=0,"",INDEX(LdAAmt,$N1115)))</f>
        <v/>
      </c>
      <c r="E1115" s="16">
        <f>IF($N1115="","",SUMIFS(ShareAmt,ShareLink,$C1115))</f>
        <v/>
      </c>
      <c r="F1115" s="33">
        <f>IF($N1115="","",COUNTIF(ShareLink,$C1115))</f>
        <v/>
      </c>
      <c r="G1115" s="17">
        <f>IF($N1115="","",IF(ROUND($E1115-$D1115,0)=0,"√","▲ "&amp;TEXT($D1115-$E1115,"#,##0")))</f>
        <v/>
      </c>
      <c r="N1115">
        <f>IFERROR(MATCH($C$5&amp;"|"&amp;RIGHT("000000"&amp;1099,6),LdAKeyG,0),"")</f>
        <v/>
      </c>
    </row>
    <row r="1116">
      <c r="A1116" s="19" t="n">
        <v>1100</v>
      </c>
      <c r="B1116" s="20">
        <f>IF($N1116="","",INDEX(LdADate,$N1116))</f>
        <v/>
      </c>
      <c r="C1116" s="20">
        <f>IF($N1116="","",IF(INDEX(LdAId,$N1116)="","—",INDEX(LdAId,$N1116)))</f>
        <v/>
      </c>
      <c r="D1116" s="21">
        <f>IF($N1116="","",IF(INDEX(LdAAmt,$N1116)=0,"",INDEX(LdAAmt,$N1116)))</f>
        <v/>
      </c>
      <c r="E1116" s="21">
        <f>IF($N1116="","",SUMIFS(ShareAmt,ShareLink,$C1116))</f>
        <v/>
      </c>
      <c r="F1116" s="34">
        <f>IF($N1116="","",COUNTIF(ShareLink,$C1116))</f>
        <v/>
      </c>
      <c r="G1116" s="22">
        <f>IF($N1116="","",IF(ROUND($E1116-$D1116,0)=0,"√","▲ "&amp;TEXT($D1116-$E1116,"#,##0")))</f>
        <v/>
      </c>
      <c r="N1116">
        <f>IFERROR(MATCH($C$5&amp;"|"&amp;RIGHT("000000"&amp;1100,6),LdAKeyG,0),"")</f>
        <v/>
      </c>
    </row>
    <row r="1117">
      <c r="A1117" s="10" t="n">
        <v>1101</v>
      </c>
      <c r="B1117" s="14">
        <f>IF($N1117="","",INDEX(LdADate,$N1117))</f>
        <v/>
      </c>
      <c r="C1117" s="14">
        <f>IF($N1117="","",IF(INDEX(LdAId,$N1117)="","—",INDEX(LdAId,$N1117)))</f>
        <v/>
      </c>
      <c r="D1117" s="16">
        <f>IF($N1117="","",IF(INDEX(LdAAmt,$N1117)=0,"",INDEX(LdAAmt,$N1117)))</f>
        <v/>
      </c>
      <c r="E1117" s="16">
        <f>IF($N1117="","",SUMIFS(ShareAmt,ShareLink,$C1117))</f>
        <v/>
      </c>
      <c r="F1117" s="33">
        <f>IF($N1117="","",COUNTIF(ShareLink,$C1117))</f>
        <v/>
      </c>
      <c r="G1117" s="17">
        <f>IF($N1117="","",IF(ROUND($E1117-$D1117,0)=0,"√","▲ "&amp;TEXT($D1117-$E1117,"#,##0")))</f>
        <v/>
      </c>
      <c r="N1117">
        <f>IFERROR(MATCH($C$5&amp;"|"&amp;RIGHT("000000"&amp;1101,6),LdAKeyG,0),"")</f>
        <v/>
      </c>
    </row>
    <row r="1118">
      <c r="A1118" s="19" t="n">
        <v>1102</v>
      </c>
      <c r="B1118" s="20">
        <f>IF($N1118="","",INDEX(LdADate,$N1118))</f>
        <v/>
      </c>
      <c r="C1118" s="20">
        <f>IF($N1118="","",IF(INDEX(LdAId,$N1118)="","—",INDEX(LdAId,$N1118)))</f>
        <v/>
      </c>
      <c r="D1118" s="21">
        <f>IF($N1118="","",IF(INDEX(LdAAmt,$N1118)=0,"",INDEX(LdAAmt,$N1118)))</f>
        <v/>
      </c>
      <c r="E1118" s="21">
        <f>IF($N1118="","",SUMIFS(ShareAmt,ShareLink,$C1118))</f>
        <v/>
      </c>
      <c r="F1118" s="34">
        <f>IF($N1118="","",COUNTIF(ShareLink,$C1118))</f>
        <v/>
      </c>
      <c r="G1118" s="22">
        <f>IF($N1118="","",IF(ROUND($E1118-$D1118,0)=0,"√","▲ "&amp;TEXT($D1118-$E1118,"#,##0")))</f>
        <v/>
      </c>
      <c r="N1118">
        <f>IFERROR(MATCH($C$5&amp;"|"&amp;RIGHT("000000"&amp;1102,6),LdAKeyG,0),"")</f>
        <v/>
      </c>
    </row>
    <row r="1119">
      <c r="A1119" s="10" t="n">
        <v>1103</v>
      </c>
      <c r="B1119" s="14">
        <f>IF($N1119="","",INDEX(LdADate,$N1119))</f>
        <v/>
      </c>
      <c r="C1119" s="14">
        <f>IF($N1119="","",IF(INDEX(LdAId,$N1119)="","—",INDEX(LdAId,$N1119)))</f>
        <v/>
      </c>
      <c r="D1119" s="16">
        <f>IF($N1119="","",IF(INDEX(LdAAmt,$N1119)=0,"",INDEX(LdAAmt,$N1119)))</f>
        <v/>
      </c>
      <c r="E1119" s="16">
        <f>IF($N1119="","",SUMIFS(ShareAmt,ShareLink,$C1119))</f>
        <v/>
      </c>
      <c r="F1119" s="33">
        <f>IF($N1119="","",COUNTIF(ShareLink,$C1119))</f>
        <v/>
      </c>
      <c r="G1119" s="17">
        <f>IF($N1119="","",IF(ROUND($E1119-$D1119,0)=0,"√","▲ "&amp;TEXT($D1119-$E1119,"#,##0")))</f>
        <v/>
      </c>
      <c r="N1119">
        <f>IFERROR(MATCH($C$5&amp;"|"&amp;RIGHT("000000"&amp;1103,6),LdAKeyG,0),"")</f>
        <v/>
      </c>
    </row>
    <row r="1120">
      <c r="A1120" s="19" t="n">
        <v>1104</v>
      </c>
      <c r="B1120" s="20">
        <f>IF($N1120="","",INDEX(LdADate,$N1120))</f>
        <v/>
      </c>
      <c r="C1120" s="20">
        <f>IF($N1120="","",IF(INDEX(LdAId,$N1120)="","—",INDEX(LdAId,$N1120)))</f>
        <v/>
      </c>
      <c r="D1120" s="21">
        <f>IF($N1120="","",IF(INDEX(LdAAmt,$N1120)=0,"",INDEX(LdAAmt,$N1120)))</f>
        <v/>
      </c>
      <c r="E1120" s="21">
        <f>IF($N1120="","",SUMIFS(ShareAmt,ShareLink,$C1120))</f>
        <v/>
      </c>
      <c r="F1120" s="34">
        <f>IF($N1120="","",COUNTIF(ShareLink,$C1120))</f>
        <v/>
      </c>
      <c r="G1120" s="22">
        <f>IF($N1120="","",IF(ROUND($E1120-$D1120,0)=0,"√","▲ "&amp;TEXT($D1120-$E1120,"#,##0")))</f>
        <v/>
      </c>
      <c r="N1120">
        <f>IFERROR(MATCH($C$5&amp;"|"&amp;RIGHT("000000"&amp;1104,6),LdAKeyG,0),"")</f>
        <v/>
      </c>
    </row>
    <row r="1121">
      <c r="A1121" s="10" t="n">
        <v>1105</v>
      </c>
      <c r="B1121" s="14">
        <f>IF($N1121="","",INDEX(LdADate,$N1121))</f>
        <v/>
      </c>
      <c r="C1121" s="14">
        <f>IF($N1121="","",IF(INDEX(LdAId,$N1121)="","—",INDEX(LdAId,$N1121)))</f>
        <v/>
      </c>
      <c r="D1121" s="16">
        <f>IF($N1121="","",IF(INDEX(LdAAmt,$N1121)=0,"",INDEX(LdAAmt,$N1121)))</f>
        <v/>
      </c>
      <c r="E1121" s="16">
        <f>IF($N1121="","",SUMIFS(ShareAmt,ShareLink,$C1121))</f>
        <v/>
      </c>
      <c r="F1121" s="33">
        <f>IF($N1121="","",COUNTIF(ShareLink,$C1121))</f>
        <v/>
      </c>
      <c r="G1121" s="17">
        <f>IF($N1121="","",IF(ROUND($E1121-$D1121,0)=0,"√","▲ "&amp;TEXT($D1121-$E1121,"#,##0")))</f>
        <v/>
      </c>
      <c r="N1121">
        <f>IFERROR(MATCH($C$5&amp;"|"&amp;RIGHT("000000"&amp;1105,6),LdAKeyG,0),"")</f>
        <v/>
      </c>
    </row>
    <row r="1122">
      <c r="A1122" s="19" t="n">
        <v>1106</v>
      </c>
      <c r="B1122" s="20">
        <f>IF($N1122="","",INDEX(LdADate,$N1122))</f>
        <v/>
      </c>
      <c r="C1122" s="20">
        <f>IF($N1122="","",IF(INDEX(LdAId,$N1122)="","—",INDEX(LdAId,$N1122)))</f>
        <v/>
      </c>
      <c r="D1122" s="21">
        <f>IF($N1122="","",IF(INDEX(LdAAmt,$N1122)=0,"",INDEX(LdAAmt,$N1122)))</f>
        <v/>
      </c>
      <c r="E1122" s="21">
        <f>IF($N1122="","",SUMIFS(ShareAmt,ShareLink,$C1122))</f>
        <v/>
      </c>
      <c r="F1122" s="34">
        <f>IF($N1122="","",COUNTIF(ShareLink,$C1122))</f>
        <v/>
      </c>
      <c r="G1122" s="22">
        <f>IF($N1122="","",IF(ROUND($E1122-$D1122,0)=0,"√","▲ "&amp;TEXT($D1122-$E1122,"#,##0")))</f>
        <v/>
      </c>
      <c r="N1122">
        <f>IFERROR(MATCH($C$5&amp;"|"&amp;RIGHT("000000"&amp;1106,6),LdAKeyG,0),"")</f>
        <v/>
      </c>
    </row>
    <row r="1123">
      <c r="A1123" s="10" t="n">
        <v>1107</v>
      </c>
      <c r="B1123" s="14">
        <f>IF($N1123="","",INDEX(LdADate,$N1123))</f>
        <v/>
      </c>
      <c r="C1123" s="14">
        <f>IF($N1123="","",IF(INDEX(LdAId,$N1123)="","—",INDEX(LdAId,$N1123)))</f>
        <v/>
      </c>
      <c r="D1123" s="16">
        <f>IF($N1123="","",IF(INDEX(LdAAmt,$N1123)=0,"",INDEX(LdAAmt,$N1123)))</f>
        <v/>
      </c>
      <c r="E1123" s="16">
        <f>IF($N1123="","",SUMIFS(ShareAmt,ShareLink,$C1123))</f>
        <v/>
      </c>
      <c r="F1123" s="33">
        <f>IF($N1123="","",COUNTIF(ShareLink,$C1123))</f>
        <v/>
      </c>
      <c r="G1123" s="17">
        <f>IF($N1123="","",IF(ROUND($E1123-$D1123,0)=0,"√","▲ "&amp;TEXT($D1123-$E1123,"#,##0")))</f>
        <v/>
      </c>
      <c r="N1123">
        <f>IFERROR(MATCH($C$5&amp;"|"&amp;RIGHT("000000"&amp;1107,6),LdAKeyG,0),"")</f>
        <v/>
      </c>
    </row>
    <row r="1124">
      <c r="A1124" s="19" t="n">
        <v>1108</v>
      </c>
      <c r="B1124" s="20">
        <f>IF($N1124="","",INDEX(LdADate,$N1124))</f>
        <v/>
      </c>
      <c r="C1124" s="20">
        <f>IF($N1124="","",IF(INDEX(LdAId,$N1124)="","—",INDEX(LdAId,$N1124)))</f>
        <v/>
      </c>
      <c r="D1124" s="21">
        <f>IF($N1124="","",IF(INDEX(LdAAmt,$N1124)=0,"",INDEX(LdAAmt,$N1124)))</f>
        <v/>
      </c>
      <c r="E1124" s="21">
        <f>IF($N1124="","",SUMIFS(ShareAmt,ShareLink,$C1124))</f>
        <v/>
      </c>
      <c r="F1124" s="34">
        <f>IF($N1124="","",COUNTIF(ShareLink,$C1124))</f>
        <v/>
      </c>
      <c r="G1124" s="22">
        <f>IF($N1124="","",IF(ROUND($E1124-$D1124,0)=0,"√","▲ "&amp;TEXT($D1124-$E1124,"#,##0")))</f>
        <v/>
      </c>
      <c r="N1124">
        <f>IFERROR(MATCH($C$5&amp;"|"&amp;RIGHT("000000"&amp;1108,6),LdAKeyG,0),"")</f>
        <v/>
      </c>
    </row>
    <row r="1125">
      <c r="A1125" s="10" t="n">
        <v>1109</v>
      </c>
      <c r="B1125" s="14">
        <f>IF($N1125="","",INDEX(LdADate,$N1125))</f>
        <v/>
      </c>
      <c r="C1125" s="14">
        <f>IF($N1125="","",IF(INDEX(LdAId,$N1125)="","—",INDEX(LdAId,$N1125)))</f>
        <v/>
      </c>
      <c r="D1125" s="16">
        <f>IF($N1125="","",IF(INDEX(LdAAmt,$N1125)=0,"",INDEX(LdAAmt,$N1125)))</f>
        <v/>
      </c>
      <c r="E1125" s="16">
        <f>IF($N1125="","",SUMIFS(ShareAmt,ShareLink,$C1125))</f>
        <v/>
      </c>
      <c r="F1125" s="33">
        <f>IF($N1125="","",COUNTIF(ShareLink,$C1125))</f>
        <v/>
      </c>
      <c r="G1125" s="17">
        <f>IF($N1125="","",IF(ROUND($E1125-$D1125,0)=0,"√","▲ "&amp;TEXT($D1125-$E1125,"#,##0")))</f>
        <v/>
      </c>
      <c r="N1125">
        <f>IFERROR(MATCH($C$5&amp;"|"&amp;RIGHT("000000"&amp;1109,6),LdAKeyG,0),"")</f>
        <v/>
      </c>
    </row>
    <row r="1126">
      <c r="A1126" s="19" t="n">
        <v>1110</v>
      </c>
      <c r="B1126" s="20">
        <f>IF($N1126="","",INDEX(LdADate,$N1126))</f>
        <v/>
      </c>
      <c r="C1126" s="20">
        <f>IF($N1126="","",IF(INDEX(LdAId,$N1126)="","—",INDEX(LdAId,$N1126)))</f>
        <v/>
      </c>
      <c r="D1126" s="21">
        <f>IF($N1126="","",IF(INDEX(LdAAmt,$N1126)=0,"",INDEX(LdAAmt,$N1126)))</f>
        <v/>
      </c>
      <c r="E1126" s="21">
        <f>IF($N1126="","",SUMIFS(ShareAmt,ShareLink,$C1126))</f>
        <v/>
      </c>
      <c r="F1126" s="34">
        <f>IF($N1126="","",COUNTIF(ShareLink,$C1126))</f>
        <v/>
      </c>
      <c r="G1126" s="22">
        <f>IF($N1126="","",IF(ROUND($E1126-$D1126,0)=0,"√","▲ "&amp;TEXT($D1126-$E1126,"#,##0")))</f>
        <v/>
      </c>
      <c r="N1126">
        <f>IFERROR(MATCH($C$5&amp;"|"&amp;RIGHT("000000"&amp;1110,6),LdAKeyG,0),"")</f>
        <v/>
      </c>
    </row>
    <row r="1127">
      <c r="A1127" s="10" t="n">
        <v>1111</v>
      </c>
      <c r="B1127" s="14">
        <f>IF($N1127="","",INDEX(LdADate,$N1127))</f>
        <v/>
      </c>
      <c r="C1127" s="14">
        <f>IF($N1127="","",IF(INDEX(LdAId,$N1127)="","—",INDEX(LdAId,$N1127)))</f>
        <v/>
      </c>
      <c r="D1127" s="16">
        <f>IF($N1127="","",IF(INDEX(LdAAmt,$N1127)=0,"",INDEX(LdAAmt,$N1127)))</f>
        <v/>
      </c>
      <c r="E1127" s="16">
        <f>IF($N1127="","",SUMIFS(ShareAmt,ShareLink,$C1127))</f>
        <v/>
      </c>
      <c r="F1127" s="33">
        <f>IF($N1127="","",COUNTIF(ShareLink,$C1127))</f>
        <v/>
      </c>
      <c r="G1127" s="17">
        <f>IF($N1127="","",IF(ROUND($E1127-$D1127,0)=0,"√","▲ "&amp;TEXT($D1127-$E1127,"#,##0")))</f>
        <v/>
      </c>
      <c r="N1127">
        <f>IFERROR(MATCH($C$5&amp;"|"&amp;RIGHT("000000"&amp;1111,6),LdAKeyG,0),"")</f>
        <v/>
      </c>
    </row>
    <row r="1128">
      <c r="A1128" s="19" t="n">
        <v>1112</v>
      </c>
      <c r="B1128" s="20">
        <f>IF($N1128="","",INDEX(LdADate,$N1128))</f>
        <v/>
      </c>
      <c r="C1128" s="20">
        <f>IF($N1128="","",IF(INDEX(LdAId,$N1128)="","—",INDEX(LdAId,$N1128)))</f>
        <v/>
      </c>
      <c r="D1128" s="21">
        <f>IF($N1128="","",IF(INDEX(LdAAmt,$N1128)=0,"",INDEX(LdAAmt,$N1128)))</f>
        <v/>
      </c>
      <c r="E1128" s="21">
        <f>IF($N1128="","",SUMIFS(ShareAmt,ShareLink,$C1128))</f>
        <v/>
      </c>
      <c r="F1128" s="34">
        <f>IF($N1128="","",COUNTIF(ShareLink,$C1128))</f>
        <v/>
      </c>
      <c r="G1128" s="22">
        <f>IF($N1128="","",IF(ROUND($E1128-$D1128,0)=0,"√","▲ "&amp;TEXT($D1128-$E1128,"#,##0")))</f>
        <v/>
      </c>
      <c r="N1128">
        <f>IFERROR(MATCH($C$5&amp;"|"&amp;RIGHT("000000"&amp;1112,6),LdAKeyG,0),"")</f>
        <v/>
      </c>
    </row>
    <row r="1129">
      <c r="A1129" s="10" t="n">
        <v>1113</v>
      </c>
      <c r="B1129" s="14">
        <f>IF($N1129="","",INDEX(LdADate,$N1129))</f>
        <v/>
      </c>
      <c r="C1129" s="14">
        <f>IF($N1129="","",IF(INDEX(LdAId,$N1129)="","—",INDEX(LdAId,$N1129)))</f>
        <v/>
      </c>
      <c r="D1129" s="16">
        <f>IF($N1129="","",IF(INDEX(LdAAmt,$N1129)=0,"",INDEX(LdAAmt,$N1129)))</f>
        <v/>
      </c>
      <c r="E1129" s="16">
        <f>IF($N1129="","",SUMIFS(ShareAmt,ShareLink,$C1129))</f>
        <v/>
      </c>
      <c r="F1129" s="33">
        <f>IF($N1129="","",COUNTIF(ShareLink,$C1129))</f>
        <v/>
      </c>
      <c r="G1129" s="17">
        <f>IF($N1129="","",IF(ROUND($E1129-$D1129,0)=0,"√","▲ "&amp;TEXT($D1129-$E1129,"#,##0")))</f>
        <v/>
      </c>
      <c r="N1129">
        <f>IFERROR(MATCH($C$5&amp;"|"&amp;RIGHT("000000"&amp;1113,6),LdAKeyG,0),"")</f>
        <v/>
      </c>
    </row>
    <row r="1130">
      <c r="A1130" s="19" t="n">
        <v>1114</v>
      </c>
      <c r="B1130" s="20">
        <f>IF($N1130="","",INDEX(LdADate,$N1130))</f>
        <v/>
      </c>
      <c r="C1130" s="20">
        <f>IF($N1130="","",IF(INDEX(LdAId,$N1130)="","—",INDEX(LdAId,$N1130)))</f>
        <v/>
      </c>
      <c r="D1130" s="21">
        <f>IF($N1130="","",IF(INDEX(LdAAmt,$N1130)=0,"",INDEX(LdAAmt,$N1130)))</f>
        <v/>
      </c>
      <c r="E1130" s="21">
        <f>IF($N1130="","",SUMIFS(ShareAmt,ShareLink,$C1130))</f>
        <v/>
      </c>
      <c r="F1130" s="34">
        <f>IF($N1130="","",COUNTIF(ShareLink,$C1130))</f>
        <v/>
      </c>
      <c r="G1130" s="22">
        <f>IF($N1130="","",IF(ROUND($E1130-$D1130,0)=0,"√","▲ "&amp;TEXT($D1130-$E1130,"#,##0")))</f>
        <v/>
      </c>
      <c r="N1130">
        <f>IFERROR(MATCH($C$5&amp;"|"&amp;RIGHT("000000"&amp;1114,6),LdAKeyG,0),"")</f>
        <v/>
      </c>
    </row>
    <row r="1131">
      <c r="A1131" s="10" t="n">
        <v>1115</v>
      </c>
      <c r="B1131" s="14">
        <f>IF($N1131="","",INDEX(LdADate,$N1131))</f>
        <v/>
      </c>
      <c r="C1131" s="14">
        <f>IF($N1131="","",IF(INDEX(LdAId,$N1131)="","—",INDEX(LdAId,$N1131)))</f>
        <v/>
      </c>
      <c r="D1131" s="16">
        <f>IF($N1131="","",IF(INDEX(LdAAmt,$N1131)=0,"",INDEX(LdAAmt,$N1131)))</f>
        <v/>
      </c>
      <c r="E1131" s="16">
        <f>IF($N1131="","",SUMIFS(ShareAmt,ShareLink,$C1131))</f>
        <v/>
      </c>
      <c r="F1131" s="33">
        <f>IF($N1131="","",COUNTIF(ShareLink,$C1131))</f>
        <v/>
      </c>
      <c r="G1131" s="17">
        <f>IF($N1131="","",IF(ROUND($E1131-$D1131,0)=0,"√","▲ "&amp;TEXT($D1131-$E1131,"#,##0")))</f>
        <v/>
      </c>
      <c r="N1131">
        <f>IFERROR(MATCH($C$5&amp;"|"&amp;RIGHT("000000"&amp;1115,6),LdAKeyG,0),"")</f>
        <v/>
      </c>
    </row>
    <row r="1132">
      <c r="A1132" s="19" t="n">
        <v>1116</v>
      </c>
      <c r="B1132" s="20">
        <f>IF($N1132="","",INDEX(LdADate,$N1132))</f>
        <v/>
      </c>
      <c r="C1132" s="20">
        <f>IF($N1132="","",IF(INDEX(LdAId,$N1132)="","—",INDEX(LdAId,$N1132)))</f>
        <v/>
      </c>
      <c r="D1132" s="21">
        <f>IF($N1132="","",IF(INDEX(LdAAmt,$N1132)=0,"",INDEX(LdAAmt,$N1132)))</f>
        <v/>
      </c>
      <c r="E1132" s="21">
        <f>IF($N1132="","",SUMIFS(ShareAmt,ShareLink,$C1132))</f>
        <v/>
      </c>
      <c r="F1132" s="34">
        <f>IF($N1132="","",COUNTIF(ShareLink,$C1132))</f>
        <v/>
      </c>
      <c r="G1132" s="22">
        <f>IF($N1132="","",IF(ROUND($E1132-$D1132,0)=0,"√","▲ "&amp;TEXT($D1132-$E1132,"#,##0")))</f>
        <v/>
      </c>
      <c r="N1132">
        <f>IFERROR(MATCH($C$5&amp;"|"&amp;RIGHT("000000"&amp;1116,6),LdAKeyG,0),"")</f>
        <v/>
      </c>
    </row>
    <row r="1133">
      <c r="A1133" s="10" t="n">
        <v>1117</v>
      </c>
      <c r="B1133" s="14">
        <f>IF($N1133="","",INDEX(LdADate,$N1133))</f>
        <v/>
      </c>
      <c r="C1133" s="14">
        <f>IF($N1133="","",IF(INDEX(LdAId,$N1133)="","—",INDEX(LdAId,$N1133)))</f>
        <v/>
      </c>
      <c r="D1133" s="16">
        <f>IF($N1133="","",IF(INDEX(LdAAmt,$N1133)=0,"",INDEX(LdAAmt,$N1133)))</f>
        <v/>
      </c>
      <c r="E1133" s="16">
        <f>IF($N1133="","",SUMIFS(ShareAmt,ShareLink,$C1133))</f>
        <v/>
      </c>
      <c r="F1133" s="33">
        <f>IF($N1133="","",COUNTIF(ShareLink,$C1133))</f>
        <v/>
      </c>
      <c r="G1133" s="17">
        <f>IF($N1133="","",IF(ROUND($E1133-$D1133,0)=0,"√","▲ "&amp;TEXT($D1133-$E1133,"#,##0")))</f>
        <v/>
      </c>
      <c r="N1133">
        <f>IFERROR(MATCH($C$5&amp;"|"&amp;RIGHT("000000"&amp;1117,6),LdAKeyG,0),"")</f>
        <v/>
      </c>
    </row>
    <row r="1134">
      <c r="A1134" s="19" t="n">
        <v>1118</v>
      </c>
      <c r="B1134" s="20">
        <f>IF($N1134="","",INDEX(LdADate,$N1134))</f>
        <v/>
      </c>
      <c r="C1134" s="20">
        <f>IF($N1134="","",IF(INDEX(LdAId,$N1134)="","—",INDEX(LdAId,$N1134)))</f>
        <v/>
      </c>
      <c r="D1134" s="21">
        <f>IF($N1134="","",IF(INDEX(LdAAmt,$N1134)=0,"",INDEX(LdAAmt,$N1134)))</f>
        <v/>
      </c>
      <c r="E1134" s="21">
        <f>IF($N1134="","",SUMIFS(ShareAmt,ShareLink,$C1134))</f>
        <v/>
      </c>
      <c r="F1134" s="34">
        <f>IF($N1134="","",COUNTIF(ShareLink,$C1134))</f>
        <v/>
      </c>
      <c r="G1134" s="22">
        <f>IF($N1134="","",IF(ROUND($E1134-$D1134,0)=0,"√","▲ "&amp;TEXT($D1134-$E1134,"#,##0")))</f>
        <v/>
      </c>
      <c r="N1134">
        <f>IFERROR(MATCH($C$5&amp;"|"&amp;RIGHT("000000"&amp;1118,6),LdAKeyG,0),"")</f>
        <v/>
      </c>
    </row>
    <row r="1135">
      <c r="A1135" s="10" t="n">
        <v>1119</v>
      </c>
      <c r="B1135" s="14">
        <f>IF($N1135="","",INDEX(LdADate,$N1135))</f>
        <v/>
      </c>
      <c r="C1135" s="14">
        <f>IF($N1135="","",IF(INDEX(LdAId,$N1135)="","—",INDEX(LdAId,$N1135)))</f>
        <v/>
      </c>
      <c r="D1135" s="16">
        <f>IF($N1135="","",IF(INDEX(LdAAmt,$N1135)=0,"",INDEX(LdAAmt,$N1135)))</f>
        <v/>
      </c>
      <c r="E1135" s="16">
        <f>IF($N1135="","",SUMIFS(ShareAmt,ShareLink,$C1135))</f>
        <v/>
      </c>
      <c r="F1135" s="33">
        <f>IF($N1135="","",COUNTIF(ShareLink,$C1135))</f>
        <v/>
      </c>
      <c r="G1135" s="17">
        <f>IF($N1135="","",IF(ROUND($E1135-$D1135,0)=0,"√","▲ "&amp;TEXT($D1135-$E1135,"#,##0")))</f>
        <v/>
      </c>
      <c r="N1135">
        <f>IFERROR(MATCH($C$5&amp;"|"&amp;RIGHT("000000"&amp;1119,6),LdAKeyG,0),"")</f>
        <v/>
      </c>
    </row>
    <row r="1136">
      <c r="A1136" s="19" t="n">
        <v>1120</v>
      </c>
      <c r="B1136" s="20">
        <f>IF($N1136="","",INDEX(LdADate,$N1136))</f>
        <v/>
      </c>
      <c r="C1136" s="20">
        <f>IF($N1136="","",IF(INDEX(LdAId,$N1136)="","—",INDEX(LdAId,$N1136)))</f>
        <v/>
      </c>
      <c r="D1136" s="21">
        <f>IF($N1136="","",IF(INDEX(LdAAmt,$N1136)=0,"",INDEX(LdAAmt,$N1136)))</f>
        <v/>
      </c>
      <c r="E1136" s="21">
        <f>IF($N1136="","",SUMIFS(ShareAmt,ShareLink,$C1136))</f>
        <v/>
      </c>
      <c r="F1136" s="34">
        <f>IF($N1136="","",COUNTIF(ShareLink,$C1136))</f>
        <v/>
      </c>
      <c r="G1136" s="22">
        <f>IF($N1136="","",IF(ROUND($E1136-$D1136,0)=0,"√","▲ "&amp;TEXT($D1136-$E1136,"#,##0")))</f>
        <v/>
      </c>
      <c r="N1136">
        <f>IFERROR(MATCH($C$5&amp;"|"&amp;RIGHT("000000"&amp;1120,6),LdAKeyG,0),"")</f>
        <v/>
      </c>
    </row>
    <row r="1137">
      <c r="A1137" s="10" t="n">
        <v>1121</v>
      </c>
      <c r="B1137" s="14">
        <f>IF($N1137="","",INDEX(LdADate,$N1137))</f>
        <v/>
      </c>
      <c r="C1137" s="14">
        <f>IF($N1137="","",IF(INDEX(LdAId,$N1137)="","—",INDEX(LdAId,$N1137)))</f>
        <v/>
      </c>
      <c r="D1137" s="16">
        <f>IF($N1137="","",IF(INDEX(LdAAmt,$N1137)=0,"",INDEX(LdAAmt,$N1137)))</f>
        <v/>
      </c>
      <c r="E1137" s="16">
        <f>IF($N1137="","",SUMIFS(ShareAmt,ShareLink,$C1137))</f>
        <v/>
      </c>
      <c r="F1137" s="33">
        <f>IF($N1137="","",COUNTIF(ShareLink,$C1137))</f>
        <v/>
      </c>
      <c r="G1137" s="17">
        <f>IF($N1137="","",IF(ROUND($E1137-$D1137,0)=0,"√","▲ "&amp;TEXT($D1137-$E1137,"#,##0")))</f>
        <v/>
      </c>
      <c r="N1137">
        <f>IFERROR(MATCH($C$5&amp;"|"&amp;RIGHT("000000"&amp;1121,6),LdAKeyG,0),"")</f>
        <v/>
      </c>
    </row>
    <row r="1138">
      <c r="A1138" s="19" t="n">
        <v>1122</v>
      </c>
      <c r="B1138" s="20">
        <f>IF($N1138="","",INDEX(LdADate,$N1138))</f>
        <v/>
      </c>
      <c r="C1138" s="20">
        <f>IF($N1138="","",IF(INDEX(LdAId,$N1138)="","—",INDEX(LdAId,$N1138)))</f>
        <v/>
      </c>
      <c r="D1138" s="21">
        <f>IF($N1138="","",IF(INDEX(LdAAmt,$N1138)=0,"",INDEX(LdAAmt,$N1138)))</f>
        <v/>
      </c>
      <c r="E1138" s="21">
        <f>IF($N1138="","",SUMIFS(ShareAmt,ShareLink,$C1138))</f>
        <v/>
      </c>
      <c r="F1138" s="34">
        <f>IF($N1138="","",COUNTIF(ShareLink,$C1138))</f>
        <v/>
      </c>
      <c r="G1138" s="22">
        <f>IF($N1138="","",IF(ROUND($E1138-$D1138,0)=0,"√","▲ "&amp;TEXT($D1138-$E1138,"#,##0")))</f>
        <v/>
      </c>
      <c r="N1138">
        <f>IFERROR(MATCH($C$5&amp;"|"&amp;RIGHT("000000"&amp;1122,6),LdAKeyG,0),"")</f>
        <v/>
      </c>
    </row>
    <row r="1139">
      <c r="A1139" s="10" t="n">
        <v>1123</v>
      </c>
      <c r="B1139" s="14">
        <f>IF($N1139="","",INDEX(LdADate,$N1139))</f>
        <v/>
      </c>
      <c r="C1139" s="14">
        <f>IF($N1139="","",IF(INDEX(LdAId,$N1139)="","—",INDEX(LdAId,$N1139)))</f>
        <v/>
      </c>
      <c r="D1139" s="16">
        <f>IF($N1139="","",IF(INDEX(LdAAmt,$N1139)=0,"",INDEX(LdAAmt,$N1139)))</f>
        <v/>
      </c>
      <c r="E1139" s="16">
        <f>IF($N1139="","",SUMIFS(ShareAmt,ShareLink,$C1139))</f>
        <v/>
      </c>
      <c r="F1139" s="33">
        <f>IF($N1139="","",COUNTIF(ShareLink,$C1139))</f>
        <v/>
      </c>
      <c r="G1139" s="17">
        <f>IF($N1139="","",IF(ROUND($E1139-$D1139,0)=0,"√","▲ "&amp;TEXT($D1139-$E1139,"#,##0")))</f>
        <v/>
      </c>
      <c r="N1139">
        <f>IFERROR(MATCH($C$5&amp;"|"&amp;RIGHT("000000"&amp;1123,6),LdAKeyG,0),"")</f>
        <v/>
      </c>
    </row>
    <row r="1140">
      <c r="A1140" s="19" t="n">
        <v>1124</v>
      </c>
      <c r="B1140" s="20">
        <f>IF($N1140="","",INDEX(LdADate,$N1140))</f>
        <v/>
      </c>
      <c r="C1140" s="20">
        <f>IF($N1140="","",IF(INDEX(LdAId,$N1140)="","—",INDEX(LdAId,$N1140)))</f>
        <v/>
      </c>
      <c r="D1140" s="21">
        <f>IF($N1140="","",IF(INDEX(LdAAmt,$N1140)=0,"",INDEX(LdAAmt,$N1140)))</f>
        <v/>
      </c>
      <c r="E1140" s="21">
        <f>IF($N1140="","",SUMIFS(ShareAmt,ShareLink,$C1140))</f>
        <v/>
      </c>
      <c r="F1140" s="34">
        <f>IF($N1140="","",COUNTIF(ShareLink,$C1140))</f>
        <v/>
      </c>
      <c r="G1140" s="22">
        <f>IF($N1140="","",IF(ROUND($E1140-$D1140,0)=0,"√","▲ "&amp;TEXT($D1140-$E1140,"#,##0")))</f>
        <v/>
      </c>
      <c r="N1140">
        <f>IFERROR(MATCH($C$5&amp;"|"&amp;RIGHT("000000"&amp;1124,6),LdAKeyG,0),"")</f>
        <v/>
      </c>
    </row>
    <row r="1141">
      <c r="A1141" s="10" t="n">
        <v>1125</v>
      </c>
      <c r="B1141" s="14">
        <f>IF($N1141="","",INDEX(LdADate,$N1141))</f>
        <v/>
      </c>
      <c r="C1141" s="14">
        <f>IF($N1141="","",IF(INDEX(LdAId,$N1141)="","—",INDEX(LdAId,$N1141)))</f>
        <v/>
      </c>
      <c r="D1141" s="16">
        <f>IF($N1141="","",IF(INDEX(LdAAmt,$N1141)=0,"",INDEX(LdAAmt,$N1141)))</f>
        <v/>
      </c>
      <c r="E1141" s="16">
        <f>IF($N1141="","",SUMIFS(ShareAmt,ShareLink,$C1141))</f>
        <v/>
      </c>
      <c r="F1141" s="33">
        <f>IF($N1141="","",COUNTIF(ShareLink,$C1141))</f>
        <v/>
      </c>
      <c r="G1141" s="17">
        <f>IF($N1141="","",IF(ROUND($E1141-$D1141,0)=0,"√","▲ "&amp;TEXT($D1141-$E1141,"#,##0")))</f>
        <v/>
      </c>
      <c r="N1141">
        <f>IFERROR(MATCH($C$5&amp;"|"&amp;RIGHT("000000"&amp;1125,6),LdAKeyG,0),"")</f>
        <v/>
      </c>
    </row>
    <row r="1142">
      <c r="A1142" s="19" t="n">
        <v>1126</v>
      </c>
      <c r="B1142" s="20">
        <f>IF($N1142="","",INDEX(LdADate,$N1142))</f>
        <v/>
      </c>
      <c r="C1142" s="20">
        <f>IF($N1142="","",IF(INDEX(LdAId,$N1142)="","—",INDEX(LdAId,$N1142)))</f>
        <v/>
      </c>
      <c r="D1142" s="21">
        <f>IF($N1142="","",IF(INDEX(LdAAmt,$N1142)=0,"",INDEX(LdAAmt,$N1142)))</f>
        <v/>
      </c>
      <c r="E1142" s="21">
        <f>IF($N1142="","",SUMIFS(ShareAmt,ShareLink,$C1142))</f>
        <v/>
      </c>
      <c r="F1142" s="34">
        <f>IF($N1142="","",COUNTIF(ShareLink,$C1142))</f>
        <v/>
      </c>
      <c r="G1142" s="22">
        <f>IF($N1142="","",IF(ROUND($E1142-$D1142,0)=0,"√","▲ "&amp;TEXT($D1142-$E1142,"#,##0")))</f>
        <v/>
      </c>
      <c r="N1142">
        <f>IFERROR(MATCH($C$5&amp;"|"&amp;RIGHT("000000"&amp;1126,6),LdAKeyG,0),"")</f>
        <v/>
      </c>
    </row>
    <row r="1143">
      <c r="A1143" s="10" t="n">
        <v>1127</v>
      </c>
      <c r="B1143" s="14">
        <f>IF($N1143="","",INDEX(LdADate,$N1143))</f>
        <v/>
      </c>
      <c r="C1143" s="14">
        <f>IF($N1143="","",IF(INDEX(LdAId,$N1143)="","—",INDEX(LdAId,$N1143)))</f>
        <v/>
      </c>
      <c r="D1143" s="16">
        <f>IF($N1143="","",IF(INDEX(LdAAmt,$N1143)=0,"",INDEX(LdAAmt,$N1143)))</f>
        <v/>
      </c>
      <c r="E1143" s="16">
        <f>IF($N1143="","",SUMIFS(ShareAmt,ShareLink,$C1143))</f>
        <v/>
      </c>
      <c r="F1143" s="33">
        <f>IF($N1143="","",COUNTIF(ShareLink,$C1143))</f>
        <v/>
      </c>
      <c r="G1143" s="17">
        <f>IF($N1143="","",IF(ROUND($E1143-$D1143,0)=0,"√","▲ "&amp;TEXT($D1143-$E1143,"#,##0")))</f>
        <v/>
      </c>
      <c r="N1143">
        <f>IFERROR(MATCH($C$5&amp;"|"&amp;RIGHT("000000"&amp;1127,6),LdAKeyG,0),"")</f>
        <v/>
      </c>
    </row>
    <row r="1144">
      <c r="A1144" s="19" t="n">
        <v>1128</v>
      </c>
      <c r="B1144" s="20">
        <f>IF($N1144="","",INDEX(LdADate,$N1144))</f>
        <v/>
      </c>
      <c r="C1144" s="20">
        <f>IF($N1144="","",IF(INDEX(LdAId,$N1144)="","—",INDEX(LdAId,$N1144)))</f>
        <v/>
      </c>
      <c r="D1144" s="21">
        <f>IF($N1144="","",IF(INDEX(LdAAmt,$N1144)=0,"",INDEX(LdAAmt,$N1144)))</f>
        <v/>
      </c>
      <c r="E1144" s="21">
        <f>IF($N1144="","",SUMIFS(ShareAmt,ShareLink,$C1144))</f>
        <v/>
      </c>
      <c r="F1144" s="34">
        <f>IF($N1144="","",COUNTIF(ShareLink,$C1144))</f>
        <v/>
      </c>
      <c r="G1144" s="22">
        <f>IF($N1144="","",IF(ROUND($E1144-$D1144,0)=0,"√","▲ "&amp;TEXT($D1144-$E1144,"#,##0")))</f>
        <v/>
      </c>
      <c r="N1144">
        <f>IFERROR(MATCH($C$5&amp;"|"&amp;RIGHT("000000"&amp;1128,6),LdAKeyG,0),"")</f>
        <v/>
      </c>
    </row>
    <row r="1145">
      <c r="A1145" s="10" t="n">
        <v>1129</v>
      </c>
      <c r="B1145" s="14">
        <f>IF($N1145="","",INDEX(LdADate,$N1145))</f>
        <v/>
      </c>
      <c r="C1145" s="14">
        <f>IF($N1145="","",IF(INDEX(LdAId,$N1145)="","—",INDEX(LdAId,$N1145)))</f>
        <v/>
      </c>
      <c r="D1145" s="16">
        <f>IF($N1145="","",IF(INDEX(LdAAmt,$N1145)=0,"",INDEX(LdAAmt,$N1145)))</f>
        <v/>
      </c>
      <c r="E1145" s="16">
        <f>IF($N1145="","",SUMIFS(ShareAmt,ShareLink,$C1145))</f>
        <v/>
      </c>
      <c r="F1145" s="33">
        <f>IF($N1145="","",COUNTIF(ShareLink,$C1145))</f>
        <v/>
      </c>
      <c r="G1145" s="17">
        <f>IF($N1145="","",IF(ROUND($E1145-$D1145,0)=0,"√","▲ "&amp;TEXT($D1145-$E1145,"#,##0")))</f>
        <v/>
      </c>
      <c r="N1145">
        <f>IFERROR(MATCH($C$5&amp;"|"&amp;RIGHT("000000"&amp;1129,6),LdAKeyG,0),"")</f>
        <v/>
      </c>
    </row>
    <row r="1146">
      <c r="A1146" s="19" t="n">
        <v>1130</v>
      </c>
      <c r="B1146" s="20">
        <f>IF($N1146="","",INDEX(LdADate,$N1146))</f>
        <v/>
      </c>
      <c r="C1146" s="20">
        <f>IF($N1146="","",IF(INDEX(LdAId,$N1146)="","—",INDEX(LdAId,$N1146)))</f>
        <v/>
      </c>
      <c r="D1146" s="21">
        <f>IF($N1146="","",IF(INDEX(LdAAmt,$N1146)=0,"",INDEX(LdAAmt,$N1146)))</f>
        <v/>
      </c>
      <c r="E1146" s="21">
        <f>IF($N1146="","",SUMIFS(ShareAmt,ShareLink,$C1146))</f>
        <v/>
      </c>
      <c r="F1146" s="34">
        <f>IF($N1146="","",COUNTIF(ShareLink,$C1146))</f>
        <v/>
      </c>
      <c r="G1146" s="22">
        <f>IF($N1146="","",IF(ROUND($E1146-$D1146,0)=0,"√","▲ "&amp;TEXT($D1146-$E1146,"#,##0")))</f>
        <v/>
      </c>
      <c r="N1146">
        <f>IFERROR(MATCH($C$5&amp;"|"&amp;RIGHT("000000"&amp;1130,6),LdAKeyG,0),"")</f>
        <v/>
      </c>
    </row>
    <row r="1147">
      <c r="A1147" s="10" t="n">
        <v>1131</v>
      </c>
      <c r="B1147" s="14">
        <f>IF($N1147="","",INDEX(LdADate,$N1147))</f>
        <v/>
      </c>
      <c r="C1147" s="14">
        <f>IF($N1147="","",IF(INDEX(LdAId,$N1147)="","—",INDEX(LdAId,$N1147)))</f>
        <v/>
      </c>
      <c r="D1147" s="16">
        <f>IF($N1147="","",IF(INDEX(LdAAmt,$N1147)=0,"",INDEX(LdAAmt,$N1147)))</f>
        <v/>
      </c>
      <c r="E1147" s="16">
        <f>IF($N1147="","",SUMIFS(ShareAmt,ShareLink,$C1147))</f>
        <v/>
      </c>
      <c r="F1147" s="33">
        <f>IF($N1147="","",COUNTIF(ShareLink,$C1147))</f>
        <v/>
      </c>
      <c r="G1147" s="17">
        <f>IF($N1147="","",IF(ROUND($E1147-$D1147,0)=0,"√","▲ "&amp;TEXT($D1147-$E1147,"#,##0")))</f>
        <v/>
      </c>
      <c r="N1147">
        <f>IFERROR(MATCH($C$5&amp;"|"&amp;RIGHT("000000"&amp;1131,6),LdAKeyG,0),"")</f>
        <v/>
      </c>
    </row>
    <row r="1148">
      <c r="A1148" s="19" t="n">
        <v>1132</v>
      </c>
      <c r="B1148" s="20">
        <f>IF($N1148="","",INDEX(LdADate,$N1148))</f>
        <v/>
      </c>
      <c r="C1148" s="20">
        <f>IF($N1148="","",IF(INDEX(LdAId,$N1148)="","—",INDEX(LdAId,$N1148)))</f>
        <v/>
      </c>
      <c r="D1148" s="21">
        <f>IF($N1148="","",IF(INDEX(LdAAmt,$N1148)=0,"",INDEX(LdAAmt,$N1148)))</f>
        <v/>
      </c>
      <c r="E1148" s="21">
        <f>IF($N1148="","",SUMIFS(ShareAmt,ShareLink,$C1148))</f>
        <v/>
      </c>
      <c r="F1148" s="34">
        <f>IF($N1148="","",COUNTIF(ShareLink,$C1148))</f>
        <v/>
      </c>
      <c r="G1148" s="22">
        <f>IF($N1148="","",IF(ROUND($E1148-$D1148,0)=0,"√","▲ "&amp;TEXT($D1148-$E1148,"#,##0")))</f>
        <v/>
      </c>
      <c r="N1148">
        <f>IFERROR(MATCH($C$5&amp;"|"&amp;RIGHT("000000"&amp;1132,6),LdAKeyG,0),"")</f>
        <v/>
      </c>
    </row>
    <row r="1149">
      <c r="A1149" s="10" t="n">
        <v>1133</v>
      </c>
      <c r="B1149" s="14">
        <f>IF($N1149="","",INDEX(LdADate,$N1149))</f>
        <v/>
      </c>
      <c r="C1149" s="14">
        <f>IF($N1149="","",IF(INDEX(LdAId,$N1149)="","—",INDEX(LdAId,$N1149)))</f>
        <v/>
      </c>
      <c r="D1149" s="16">
        <f>IF($N1149="","",IF(INDEX(LdAAmt,$N1149)=0,"",INDEX(LdAAmt,$N1149)))</f>
        <v/>
      </c>
      <c r="E1149" s="16">
        <f>IF($N1149="","",SUMIFS(ShareAmt,ShareLink,$C1149))</f>
        <v/>
      </c>
      <c r="F1149" s="33">
        <f>IF($N1149="","",COUNTIF(ShareLink,$C1149))</f>
        <v/>
      </c>
      <c r="G1149" s="17">
        <f>IF($N1149="","",IF(ROUND($E1149-$D1149,0)=0,"√","▲ "&amp;TEXT($D1149-$E1149,"#,##0")))</f>
        <v/>
      </c>
      <c r="N1149">
        <f>IFERROR(MATCH($C$5&amp;"|"&amp;RIGHT("000000"&amp;1133,6),LdAKeyG,0),"")</f>
        <v/>
      </c>
    </row>
    <row r="1150">
      <c r="A1150" s="19" t="n">
        <v>1134</v>
      </c>
      <c r="B1150" s="20">
        <f>IF($N1150="","",INDEX(LdADate,$N1150))</f>
        <v/>
      </c>
      <c r="C1150" s="20">
        <f>IF($N1150="","",IF(INDEX(LdAId,$N1150)="","—",INDEX(LdAId,$N1150)))</f>
        <v/>
      </c>
      <c r="D1150" s="21">
        <f>IF($N1150="","",IF(INDEX(LdAAmt,$N1150)=0,"",INDEX(LdAAmt,$N1150)))</f>
        <v/>
      </c>
      <c r="E1150" s="21">
        <f>IF($N1150="","",SUMIFS(ShareAmt,ShareLink,$C1150))</f>
        <v/>
      </c>
      <c r="F1150" s="34">
        <f>IF($N1150="","",COUNTIF(ShareLink,$C1150))</f>
        <v/>
      </c>
      <c r="G1150" s="22">
        <f>IF($N1150="","",IF(ROUND($E1150-$D1150,0)=0,"√","▲ "&amp;TEXT($D1150-$E1150,"#,##0")))</f>
        <v/>
      </c>
      <c r="N1150">
        <f>IFERROR(MATCH($C$5&amp;"|"&amp;RIGHT("000000"&amp;1134,6),LdAKeyG,0),"")</f>
        <v/>
      </c>
    </row>
    <row r="1151">
      <c r="A1151" s="10" t="n">
        <v>1135</v>
      </c>
      <c r="B1151" s="14">
        <f>IF($N1151="","",INDEX(LdADate,$N1151))</f>
        <v/>
      </c>
      <c r="C1151" s="14">
        <f>IF($N1151="","",IF(INDEX(LdAId,$N1151)="","—",INDEX(LdAId,$N1151)))</f>
        <v/>
      </c>
      <c r="D1151" s="16">
        <f>IF($N1151="","",IF(INDEX(LdAAmt,$N1151)=0,"",INDEX(LdAAmt,$N1151)))</f>
        <v/>
      </c>
      <c r="E1151" s="16">
        <f>IF($N1151="","",SUMIFS(ShareAmt,ShareLink,$C1151))</f>
        <v/>
      </c>
      <c r="F1151" s="33">
        <f>IF($N1151="","",COUNTIF(ShareLink,$C1151))</f>
        <v/>
      </c>
      <c r="G1151" s="17">
        <f>IF($N1151="","",IF(ROUND($E1151-$D1151,0)=0,"√","▲ "&amp;TEXT($D1151-$E1151,"#,##0")))</f>
        <v/>
      </c>
      <c r="N1151">
        <f>IFERROR(MATCH($C$5&amp;"|"&amp;RIGHT("000000"&amp;1135,6),LdAKeyG,0),"")</f>
        <v/>
      </c>
    </row>
    <row r="1152">
      <c r="A1152" s="19" t="n">
        <v>1136</v>
      </c>
      <c r="B1152" s="20">
        <f>IF($N1152="","",INDEX(LdADate,$N1152))</f>
        <v/>
      </c>
      <c r="C1152" s="20">
        <f>IF($N1152="","",IF(INDEX(LdAId,$N1152)="","—",INDEX(LdAId,$N1152)))</f>
        <v/>
      </c>
      <c r="D1152" s="21">
        <f>IF($N1152="","",IF(INDEX(LdAAmt,$N1152)=0,"",INDEX(LdAAmt,$N1152)))</f>
        <v/>
      </c>
      <c r="E1152" s="21">
        <f>IF($N1152="","",SUMIFS(ShareAmt,ShareLink,$C1152))</f>
        <v/>
      </c>
      <c r="F1152" s="34">
        <f>IF($N1152="","",COUNTIF(ShareLink,$C1152))</f>
        <v/>
      </c>
      <c r="G1152" s="22">
        <f>IF($N1152="","",IF(ROUND($E1152-$D1152,0)=0,"√","▲ "&amp;TEXT($D1152-$E1152,"#,##0")))</f>
        <v/>
      </c>
      <c r="N1152">
        <f>IFERROR(MATCH($C$5&amp;"|"&amp;RIGHT("000000"&amp;1136,6),LdAKeyG,0),"")</f>
        <v/>
      </c>
    </row>
    <row r="1153">
      <c r="A1153" s="10" t="n">
        <v>1137</v>
      </c>
      <c r="B1153" s="14">
        <f>IF($N1153="","",INDEX(LdADate,$N1153))</f>
        <v/>
      </c>
      <c r="C1153" s="14">
        <f>IF($N1153="","",IF(INDEX(LdAId,$N1153)="","—",INDEX(LdAId,$N1153)))</f>
        <v/>
      </c>
      <c r="D1153" s="16">
        <f>IF($N1153="","",IF(INDEX(LdAAmt,$N1153)=0,"",INDEX(LdAAmt,$N1153)))</f>
        <v/>
      </c>
      <c r="E1153" s="16">
        <f>IF($N1153="","",SUMIFS(ShareAmt,ShareLink,$C1153))</f>
        <v/>
      </c>
      <c r="F1153" s="33">
        <f>IF($N1153="","",COUNTIF(ShareLink,$C1153))</f>
        <v/>
      </c>
      <c r="G1153" s="17">
        <f>IF($N1153="","",IF(ROUND($E1153-$D1153,0)=0,"√","▲ "&amp;TEXT($D1153-$E1153,"#,##0")))</f>
        <v/>
      </c>
      <c r="N1153">
        <f>IFERROR(MATCH($C$5&amp;"|"&amp;RIGHT("000000"&amp;1137,6),LdAKeyG,0),"")</f>
        <v/>
      </c>
    </row>
    <row r="1154">
      <c r="A1154" s="19" t="n">
        <v>1138</v>
      </c>
      <c r="B1154" s="20">
        <f>IF($N1154="","",INDEX(LdADate,$N1154))</f>
        <v/>
      </c>
      <c r="C1154" s="20">
        <f>IF($N1154="","",IF(INDEX(LdAId,$N1154)="","—",INDEX(LdAId,$N1154)))</f>
        <v/>
      </c>
      <c r="D1154" s="21">
        <f>IF($N1154="","",IF(INDEX(LdAAmt,$N1154)=0,"",INDEX(LdAAmt,$N1154)))</f>
        <v/>
      </c>
      <c r="E1154" s="21">
        <f>IF($N1154="","",SUMIFS(ShareAmt,ShareLink,$C1154))</f>
        <v/>
      </c>
      <c r="F1154" s="34">
        <f>IF($N1154="","",COUNTIF(ShareLink,$C1154))</f>
        <v/>
      </c>
      <c r="G1154" s="22">
        <f>IF($N1154="","",IF(ROUND($E1154-$D1154,0)=0,"√","▲ "&amp;TEXT($D1154-$E1154,"#,##0")))</f>
        <v/>
      </c>
      <c r="N1154">
        <f>IFERROR(MATCH($C$5&amp;"|"&amp;RIGHT("000000"&amp;1138,6),LdAKeyG,0),"")</f>
        <v/>
      </c>
    </row>
    <row r="1155">
      <c r="A1155" s="10" t="n">
        <v>1139</v>
      </c>
      <c r="B1155" s="14">
        <f>IF($N1155="","",INDEX(LdADate,$N1155))</f>
        <v/>
      </c>
      <c r="C1155" s="14">
        <f>IF($N1155="","",IF(INDEX(LdAId,$N1155)="","—",INDEX(LdAId,$N1155)))</f>
        <v/>
      </c>
      <c r="D1155" s="16">
        <f>IF($N1155="","",IF(INDEX(LdAAmt,$N1155)=0,"",INDEX(LdAAmt,$N1155)))</f>
        <v/>
      </c>
      <c r="E1155" s="16">
        <f>IF($N1155="","",SUMIFS(ShareAmt,ShareLink,$C1155))</f>
        <v/>
      </c>
      <c r="F1155" s="33">
        <f>IF($N1155="","",COUNTIF(ShareLink,$C1155))</f>
        <v/>
      </c>
      <c r="G1155" s="17">
        <f>IF($N1155="","",IF(ROUND($E1155-$D1155,0)=0,"√","▲ "&amp;TEXT($D1155-$E1155,"#,##0")))</f>
        <v/>
      </c>
      <c r="N1155">
        <f>IFERROR(MATCH($C$5&amp;"|"&amp;RIGHT("000000"&amp;1139,6),LdAKeyG,0),"")</f>
        <v/>
      </c>
    </row>
    <row r="1156">
      <c r="A1156" s="19" t="n">
        <v>1140</v>
      </c>
      <c r="B1156" s="20">
        <f>IF($N1156="","",INDEX(LdADate,$N1156))</f>
        <v/>
      </c>
      <c r="C1156" s="20">
        <f>IF($N1156="","",IF(INDEX(LdAId,$N1156)="","—",INDEX(LdAId,$N1156)))</f>
        <v/>
      </c>
      <c r="D1156" s="21">
        <f>IF($N1156="","",IF(INDEX(LdAAmt,$N1156)=0,"",INDEX(LdAAmt,$N1156)))</f>
        <v/>
      </c>
      <c r="E1156" s="21">
        <f>IF($N1156="","",SUMIFS(ShareAmt,ShareLink,$C1156))</f>
        <v/>
      </c>
      <c r="F1156" s="34">
        <f>IF($N1156="","",COUNTIF(ShareLink,$C1156))</f>
        <v/>
      </c>
      <c r="G1156" s="22">
        <f>IF($N1156="","",IF(ROUND($E1156-$D1156,0)=0,"√","▲ "&amp;TEXT($D1156-$E1156,"#,##0")))</f>
        <v/>
      </c>
      <c r="N1156">
        <f>IFERROR(MATCH($C$5&amp;"|"&amp;RIGHT("000000"&amp;1140,6),LdAKeyG,0),"")</f>
        <v/>
      </c>
    </row>
    <row r="1157">
      <c r="A1157" s="10" t="n">
        <v>1141</v>
      </c>
      <c r="B1157" s="14">
        <f>IF($N1157="","",INDEX(LdADate,$N1157))</f>
        <v/>
      </c>
      <c r="C1157" s="14">
        <f>IF($N1157="","",IF(INDEX(LdAId,$N1157)="","—",INDEX(LdAId,$N1157)))</f>
        <v/>
      </c>
      <c r="D1157" s="16">
        <f>IF($N1157="","",IF(INDEX(LdAAmt,$N1157)=0,"",INDEX(LdAAmt,$N1157)))</f>
        <v/>
      </c>
      <c r="E1157" s="16">
        <f>IF($N1157="","",SUMIFS(ShareAmt,ShareLink,$C1157))</f>
        <v/>
      </c>
      <c r="F1157" s="33">
        <f>IF($N1157="","",COUNTIF(ShareLink,$C1157))</f>
        <v/>
      </c>
      <c r="G1157" s="17">
        <f>IF($N1157="","",IF(ROUND($E1157-$D1157,0)=0,"√","▲ "&amp;TEXT($D1157-$E1157,"#,##0")))</f>
        <v/>
      </c>
      <c r="N1157">
        <f>IFERROR(MATCH($C$5&amp;"|"&amp;RIGHT("000000"&amp;1141,6),LdAKeyG,0),"")</f>
        <v/>
      </c>
    </row>
    <row r="1158">
      <c r="A1158" s="19" t="n">
        <v>1142</v>
      </c>
      <c r="B1158" s="20">
        <f>IF($N1158="","",INDEX(LdADate,$N1158))</f>
        <v/>
      </c>
      <c r="C1158" s="20">
        <f>IF($N1158="","",IF(INDEX(LdAId,$N1158)="","—",INDEX(LdAId,$N1158)))</f>
        <v/>
      </c>
      <c r="D1158" s="21">
        <f>IF($N1158="","",IF(INDEX(LdAAmt,$N1158)=0,"",INDEX(LdAAmt,$N1158)))</f>
        <v/>
      </c>
      <c r="E1158" s="21">
        <f>IF($N1158="","",SUMIFS(ShareAmt,ShareLink,$C1158))</f>
        <v/>
      </c>
      <c r="F1158" s="34">
        <f>IF($N1158="","",COUNTIF(ShareLink,$C1158))</f>
        <v/>
      </c>
      <c r="G1158" s="22">
        <f>IF($N1158="","",IF(ROUND($E1158-$D1158,0)=0,"√","▲ "&amp;TEXT($D1158-$E1158,"#,##0")))</f>
        <v/>
      </c>
      <c r="N1158">
        <f>IFERROR(MATCH($C$5&amp;"|"&amp;RIGHT("000000"&amp;1142,6),LdAKeyG,0),"")</f>
        <v/>
      </c>
    </row>
    <row r="1159">
      <c r="A1159" s="10" t="n">
        <v>1143</v>
      </c>
      <c r="B1159" s="14">
        <f>IF($N1159="","",INDEX(LdADate,$N1159))</f>
        <v/>
      </c>
      <c r="C1159" s="14">
        <f>IF($N1159="","",IF(INDEX(LdAId,$N1159)="","—",INDEX(LdAId,$N1159)))</f>
        <v/>
      </c>
      <c r="D1159" s="16">
        <f>IF($N1159="","",IF(INDEX(LdAAmt,$N1159)=0,"",INDEX(LdAAmt,$N1159)))</f>
        <v/>
      </c>
      <c r="E1159" s="16">
        <f>IF($N1159="","",SUMIFS(ShareAmt,ShareLink,$C1159))</f>
        <v/>
      </c>
      <c r="F1159" s="33">
        <f>IF($N1159="","",COUNTIF(ShareLink,$C1159))</f>
        <v/>
      </c>
      <c r="G1159" s="17">
        <f>IF($N1159="","",IF(ROUND($E1159-$D1159,0)=0,"√","▲ "&amp;TEXT($D1159-$E1159,"#,##0")))</f>
        <v/>
      </c>
      <c r="N1159">
        <f>IFERROR(MATCH($C$5&amp;"|"&amp;RIGHT("000000"&amp;1143,6),LdAKeyG,0),"")</f>
        <v/>
      </c>
    </row>
    <row r="1160">
      <c r="A1160" s="19" t="n">
        <v>1144</v>
      </c>
      <c r="B1160" s="20">
        <f>IF($N1160="","",INDEX(LdADate,$N1160))</f>
        <v/>
      </c>
      <c r="C1160" s="20">
        <f>IF($N1160="","",IF(INDEX(LdAId,$N1160)="","—",INDEX(LdAId,$N1160)))</f>
        <v/>
      </c>
      <c r="D1160" s="21">
        <f>IF($N1160="","",IF(INDEX(LdAAmt,$N1160)=0,"",INDEX(LdAAmt,$N1160)))</f>
        <v/>
      </c>
      <c r="E1160" s="21">
        <f>IF($N1160="","",SUMIFS(ShareAmt,ShareLink,$C1160))</f>
        <v/>
      </c>
      <c r="F1160" s="34">
        <f>IF($N1160="","",COUNTIF(ShareLink,$C1160))</f>
        <v/>
      </c>
      <c r="G1160" s="22">
        <f>IF($N1160="","",IF(ROUND($E1160-$D1160,0)=0,"√","▲ "&amp;TEXT($D1160-$E1160,"#,##0")))</f>
        <v/>
      </c>
      <c r="N1160">
        <f>IFERROR(MATCH($C$5&amp;"|"&amp;RIGHT("000000"&amp;1144,6),LdAKeyG,0),"")</f>
        <v/>
      </c>
    </row>
    <row r="1161">
      <c r="A1161" s="10" t="n">
        <v>1145</v>
      </c>
      <c r="B1161" s="14">
        <f>IF($N1161="","",INDEX(LdADate,$N1161))</f>
        <v/>
      </c>
      <c r="C1161" s="14">
        <f>IF($N1161="","",IF(INDEX(LdAId,$N1161)="","—",INDEX(LdAId,$N1161)))</f>
        <v/>
      </c>
      <c r="D1161" s="16">
        <f>IF($N1161="","",IF(INDEX(LdAAmt,$N1161)=0,"",INDEX(LdAAmt,$N1161)))</f>
        <v/>
      </c>
      <c r="E1161" s="16">
        <f>IF($N1161="","",SUMIFS(ShareAmt,ShareLink,$C1161))</f>
        <v/>
      </c>
      <c r="F1161" s="33">
        <f>IF($N1161="","",COUNTIF(ShareLink,$C1161))</f>
        <v/>
      </c>
      <c r="G1161" s="17">
        <f>IF($N1161="","",IF(ROUND($E1161-$D1161,0)=0,"√","▲ "&amp;TEXT($D1161-$E1161,"#,##0")))</f>
        <v/>
      </c>
      <c r="N1161">
        <f>IFERROR(MATCH($C$5&amp;"|"&amp;RIGHT("000000"&amp;1145,6),LdAKeyG,0),"")</f>
        <v/>
      </c>
    </row>
    <row r="1162">
      <c r="A1162" s="19" t="n">
        <v>1146</v>
      </c>
      <c r="B1162" s="20">
        <f>IF($N1162="","",INDEX(LdADate,$N1162))</f>
        <v/>
      </c>
      <c r="C1162" s="20">
        <f>IF($N1162="","",IF(INDEX(LdAId,$N1162)="","—",INDEX(LdAId,$N1162)))</f>
        <v/>
      </c>
      <c r="D1162" s="21">
        <f>IF($N1162="","",IF(INDEX(LdAAmt,$N1162)=0,"",INDEX(LdAAmt,$N1162)))</f>
        <v/>
      </c>
      <c r="E1162" s="21">
        <f>IF($N1162="","",SUMIFS(ShareAmt,ShareLink,$C1162))</f>
        <v/>
      </c>
      <c r="F1162" s="34">
        <f>IF($N1162="","",COUNTIF(ShareLink,$C1162))</f>
        <v/>
      </c>
      <c r="G1162" s="22">
        <f>IF($N1162="","",IF(ROUND($E1162-$D1162,0)=0,"√","▲ "&amp;TEXT($D1162-$E1162,"#,##0")))</f>
        <v/>
      </c>
      <c r="N1162">
        <f>IFERROR(MATCH($C$5&amp;"|"&amp;RIGHT("000000"&amp;1146,6),LdAKeyG,0),"")</f>
        <v/>
      </c>
    </row>
    <row r="1163">
      <c r="A1163" s="10" t="n">
        <v>1147</v>
      </c>
      <c r="B1163" s="14">
        <f>IF($N1163="","",INDEX(LdADate,$N1163))</f>
        <v/>
      </c>
      <c r="C1163" s="14">
        <f>IF($N1163="","",IF(INDEX(LdAId,$N1163)="","—",INDEX(LdAId,$N1163)))</f>
        <v/>
      </c>
      <c r="D1163" s="16">
        <f>IF($N1163="","",IF(INDEX(LdAAmt,$N1163)=0,"",INDEX(LdAAmt,$N1163)))</f>
        <v/>
      </c>
      <c r="E1163" s="16">
        <f>IF($N1163="","",SUMIFS(ShareAmt,ShareLink,$C1163))</f>
        <v/>
      </c>
      <c r="F1163" s="33">
        <f>IF($N1163="","",COUNTIF(ShareLink,$C1163))</f>
        <v/>
      </c>
      <c r="G1163" s="17">
        <f>IF($N1163="","",IF(ROUND($E1163-$D1163,0)=0,"√","▲ "&amp;TEXT($D1163-$E1163,"#,##0")))</f>
        <v/>
      </c>
      <c r="N1163">
        <f>IFERROR(MATCH($C$5&amp;"|"&amp;RIGHT("000000"&amp;1147,6),LdAKeyG,0),"")</f>
        <v/>
      </c>
    </row>
    <row r="1164">
      <c r="A1164" s="19" t="n">
        <v>1148</v>
      </c>
      <c r="B1164" s="20">
        <f>IF($N1164="","",INDEX(LdADate,$N1164))</f>
        <v/>
      </c>
      <c r="C1164" s="20">
        <f>IF($N1164="","",IF(INDEX(LdAId,$N1164)="","—",INDEX(LdAId,$N1164)))</f>
        <v/>
      </c>
      <c r="D1164" s="21">
        <f>IF($N1164="","",IF(INDEX(LdAAmt,$N1164)=0,"",INDEX(LdAAmt,$N1164)))</f>
        <v/>
      </c>
      <c r="E1164" s="21">
        <f>IF($N1164="","",SUMIFS(ShareAmt,ShareLink,$C1164))</f>
        <v/>
      </c>
      <c r="F1164" s="34">
        <f>IF($N1164="","",COUNTIF(ShareLink,$C1164))</f>
        <v/>
      </c>
      <c r="G1164" s="22">
        <f>IF($N1164="","",IF(ROUND($E1164-$D1164,0)=0,"√","▲ "&amp;TEXT($D1164-$E1164,"#,##0")))</f>
        <v/>
      </c>
      <c r="N1164">
        <f>IFERROR(MATCH($C$5&amp;"|"&amp;RIGHT("000000"&amp;1148,6),LdAKeyG,0),"")</f>
        <v/>
      </c>
    </row>
    <row r="1165">
      <c r="A1165" s="10" t="n">
        <v>1149</v>
      </c>
      <c r="B1165" s="14">
        <f>IF($N1165="","",INDEX(LdADate,$N1165))</f>
        <v/>
      </c>
      <c r="C1165" s="14">
        <f>IF($N1165="","",IF(INDEX(LdAId,$N1165)="","—",INDEX(LdAId,$N1165)))</f>
        <v/>
      </c>
      <c r="D1165" s="16">
        <f>IF($N1165="","",IF(INDEX(LdAAmt,$N1165)=0,"",INDEX(LdAAmt,$N1165)))</f>
        <v/>
      </c>
      <c r="E1165" s="16">
        <f>IF($N1165="","",SUMIFS(ShareAmt,ShareLink,$C1165))</f>
        <v/>
      </c>
      <c r="F1165" s="33">
        <f>IF($N1165="","",COUNTIF(ShareLink,$C1165))</f>
        <v/>
      </c>
      <c r="G1165" s="17">
        <f>IF($N1165="","",IF(ROUND($E1165-$D1165,0)=0,"√","▲ "&amp;TEXT($D1165-$E1165,"#,##0")))</f>
        <v/>
      </c>
      <c r="N1165">
        <f>IFERROR(MATCH($C$5&amp;"|"&amp;RIGHT("000000"&amp;1149,6),LdAKeyG,0),"")</f>
        <v/>
      </c>
    </row>
    <row r="1166">
      <c r="A1166" s="19" t="n">
        <v>1150</v>
      </c>
      <c r="B1166" s="20">
        <f>IF($N1166="","",INDEX(LdADate,$N1166))</f>
        <v/>
      </c>
      <c r="C1166" s="20">
        <f>IF($N1166="","",IF(INDEX(LdAId,$N1166)="","—",INDEX(LdAId,$N1166)))</f>
        <v/>
      </c>
      <c r="D1166" s="21">
        <f>IF($N1166="","",IF(INDEX(LdAAmt,$N1166)=0,"",INDEX(LdAAmt,$N1166)))</f>
        <v/>
      </c>
      <c r="E1166" s="21">
        <f>IF($N1166="","",SUMIFS(ShareAmt,ShareLink,$C1166))</f>
        <v/>
      </c>
      <c r="F1166" s="34">
        <f>IF($N1166="","",COUNTIF(ShareLink,$C1166))</f>
        <v/>
      </c>
      <c r="G1166" s="22">
        <f>IF($N1166="","",IF(ROUND($E1166-$D1166,0)=0,"√","▲ "&amp;TEXT($D1166-$E1166,"#,##0")))</f>
        <v/>
      </c>
      <c r="N1166">
        <f>IFERROR(MATCH($C$5&amp;"|"&amp;RIGHT("000000"&amp;1150,6),LdAKeyG,0),"")</f>
        <v/>
      </c>
    </row>
    <row r="1167">
      <c r="A1167" s="10" t="n">
        <v>1151</v>
      </c>
      <c r="B1167" s="14">
        <f>IF($N1167="","",INDEX(LdADate,$N1167))</f>
        <v/>
      </c>
      <c r="C1167" s="14">
        <f>IF($N1167="","",IF(INDEX(LdAId,$N1167)="","—",INDEX(LdAId,$N1167)))</f>
        <v/>
      </c>
      <c r="D1167" s="16">
        <f>IF($N1167="","",IF(INDEX(LdAAmt,$N1167)=0,"",INDEX(LdAAmt,$N1167)))</f>
        <v/>
      </c>
      <c r="E1167" s="16">
        <f>IF($N1167="","",SUMIFS(ShareAmt,ShareLink,$C1167))</f>
        <v/>
      </c>
      <c r="F1167" s="33">
        <f>IF($N1167="","",COUNTIF(ShareLink,$C1167))</f>
        <v/>
      </c>
      <c r="G1167" s="17">
        <f>IF($N1167="","",IF(ROUND($E1167-$D1167,0)=0,"√","▲ "&amp;TEXT($D1167-$E1167,"#,##0")))</f>
        <v/>
      </c>
      <c r="N1167">
        <f>IFERROR(MATCH($C$5&amp;"|"&amp;RIGHT("000000"&amp;1151,6),LdAKeyG,0),"")</f>
        <v/>
      </c>
    </row>
    <row r="1168">
      <c r="A1168" s="19" t="n">
        <v>1152</v>
      </c>
      <c r="B1168" s="20">
        <f>IF($N1168="","",INDEX(LdADate,$N1168))</f>
        <v/>
      </c>
      <c r="C1168" s="20">
        <f>IF($N1168="","",IF(INDEX(LdAId,$N1168)="","—",INDEX(LdAId,$N1168)))</f>
        <v/>
      </c>
      <c r="D1168" s="21">
        <f>IF($N1168="","",IF(INDEX(LdAAmt,$N1168)=0,"",INDEX(LdAAmt,$N1168)))</f>
        <v/>
      </c>
      <c r="E1168" s="21">
        <f>IF($N1168="","",SUMIFS(ShareAmt,ShareLink,$C1168))</f>
        <v/>
      </c>
      <c r="F1168" s="34">
        <f>IF($N1168="","",COUNTIF(ShareLink,$C1168))</f>
        <v/>
      </c>
      <c r="G1168" s="22">
        <f>IF($N1168="","",IF(ROUND($E1168-$D1168,0)=0,"√","▲ "&amp;TEXT($D1168-$E1168,"#,##0")))</f>
        <v/>
      </c>
      <c r="N1168">
        <f>IFERROR(MATCH($C$5&amp;"|"&amp;RIGHT("000000"&amp;1152,6),LdAKeyG,0),"")</f>
        <v/>
      </c>
    </row>
    <row r="1169">
      <c r="A1169" s="10" t="n">
        <v>1153</v>
      </c>
      <c r="B1169" s="14">
        <f>IF($N1169="","",INDEX(LdADate,$N1169))</f>
        <v/>
      </c>
      <c r="C1169" s="14">
        <f>IF($N1169="","",IF(INDEX(LdAId,$N1169)="","—",INDEX(LdAId,$N1169)))</f>
        <v/>
      </c>
      <c r="D1169" s="16">
        <f>IF($N1169="","",IF(INDEX(LdAAmt,$N1169)=0,"",INDEX(LdAAmt,$N1169)))</f>
        <v/>
      </c>
      <c r="E1169" s="16">
        <f>IF($N1169="","",SUMIFS(ShareAmt,ShareLink,$C1169))</f>
        <v/>
      </c>
      <c r="F1169" s="33">
        <f>IF($N1169="","",COUNTIF(ShareLink,$C1169))</f>
        <v/>
      </c>
      <c r="G1169" s="17">
        <f>IF($N1169="","",IF(ROUND($E1169-$D1169,0)=0,"√","▲ "&amp;TEXT($D1169-$E1169,"#,##0")))</f>
        <v/>
      </c>
      <c r="N1169">
        <f>IFERROR(MATCH($C$5&amp;"|"&amp;RIGHT("000000"&amp;1153,6),LdAKeyG,0),"")</f>
        <v/>
      </c>
    </row>
    <row r="1170">
      <c r="A1170" s="19" t="n">
        <v>1154</v>
      </c>
      <c r="B1170" s="20">
        <f>IF($N1170="","",INDEX(LdADate,$N1170))</f>
        <v/>
      </c>
      <c r="C1170" s="20">
        <f>IF($N1170="","",IF(INDEX(LdAId,$N1170)="","—",INDEX(LdAId,$N1170)))</f>
        <v/>
      </c>
      <c r="D1170" s="21">
        <f>IF($N1170="","",IF(INDEX(LdAAmt,$N1170)=0,"",INDEX(LdAAmt,$N1170)))</f>
        <v/>
      </c>
      <c r="E1170" s="21">
        <f>IF($N1170="","",SUMIFS(ShareAmt,ShareLink,$C1170))</f>
        <v/>
      </c>
      <c r="F1170" s="34">
        <f>IF($N1170="","",COUNTIF(ShareLink,$C1170))</f>
        <v/>
      </c>
      <c r="G1170" s="22">
        <f>IF($N1170="","",IF(ROUND($E1170-$D1170,0)=0,"√","▲ "&amp;TEXT($D1170-$E1170,"#,##0")))</f>
        <v/>
      </c>
      <c r="N1170">
        <f>IFERROR(MATCH($C$5&amp;"|"&amp;RIGHT("000000"&amp;1154,6),LdAKeyG,0),"")</f>
        <v/>
      </c>
    </row>
    <row r="1171">
      <c r="A1171" s="10" t="n">
        <v>1155</v>
      </c>
      <c r="B1171" s="14">
        <f>IF($N1171="","",INDEX(LdADate,$N1171))</f>
        <v/>
      </c>
      <c r="C1171" s="14">
        <f>IF($N1171="","",IF(INDEX(LdAId,$N1171)="","—",INDEX(LdAId,$N1171)))</f>
        <v/>
      </c>
      <c r="D1171" s="16">
        <f>IF($N1171="","",IF(INDEX(LdAAmt,$N1171)=0,"",INDEX(LdAAmt,$N1171)))</f>
        <v/>
      </c>
      <c r="E1171" s="16">
        <f>IF($N1171="","",SUMIFS(ShareAmt,ShareLink,$C1171))</f>
        <v/>
      </c>
      <c r="F1171" s="33">
        <f>IF($N1171="","",COUNTIF(ShareLink,$C1171))</f>
        <v/>
      </c>
      <c r="G1171" s="17">
        <f>IF($N1171="","",IF(ROUND($E1171-$D1171,0)=0,"√","▲ "&amp;TEXT($D1171-$E1171,"#,##0")))</f>
        <v/>
      </c>
      <c r="N1171">
        <f>IFERROR(MATCH($C$5&amp;"|"&amp;RIGHT("000000"&amp;1155,6),LdAKeyG,0),"")</f>
        <v/>
      </c>
    </row>
    <row r="1172">
      <c r="A1172" s="19" t="n">
        <v>1156</v>
      </c>
      <c r="B1172" s="20">
        <f>IF($N1172="","",INDEX(LdADate,$N1172))</f>
        <v/>
      </c>
      <c r="C1172" s="20">
        <f>IF($N1172="","",IF(INDEX(LdAId,$N1172)="","—",INDEX(LdAId,$N1172)))</f>
        <v/>
      </c>
      <c r="D1172" s="21">
        <f>IF($N1172="","",IF(INDEX(LdAAmt,$N1172)=0,"",INDEX(LdAAmt,$N1172)))</f>
        <v/>
      </c>
      <c r="E1172" s="21">
        <f>IF($N1172="","",SUMIFS(ShareAmt,ShareLink,$C1172))</f>
        <v/>
      </c>
      <c r="F1172" s="34">
        <f>IF($N1172="","",COUNTIF(ShareLink,$C1172))</f>
        <v/>
      </c>
      <c r="G1172" s="22">
        <f>IF($N1172="","",IF(ROUND($E1172-$D1172,0)=0,"√","▲ "&amp;TEXT($D1172-$E1172,"#,##0")))</f>
        <v/>
      </c>
      <c r="N1172">
        <f>IFERROR(MATCH($C$5&amp;"|"&amp;RIGHT("000000"&amp;1156,6),LdAKeyG,0),"")</f>
        <v/>
      </c>
    </row>
    <row r="1173">
      <c r="A1173" s="10" t="n">
        <v>1157</v>
      </c>
      <c r="B1173" s="14">
        <f>IF($N1173="","",INDEX(LdADate,$N1173))</f>
        <v/>
      </c>
      <c r="C1173" s="14">
        <f>IF($N1173="","",IF(INDEX(LdAId,$N1173)="","—",INDEX(LdAId,$N1173)))</f>
        <v/>
      </c>
      <c r="D1173" s="16">
        <f>IF($N1173="","",IF(INDEX(LdAAmt,$N1173)=0,"",INDEX(LdAAmt,$N1173)))</f>
        <v/>
      </c>
      <c r="E1173" s="16">
        <f>IF($N1173="","",SUMIFS(ShareAmt,ShareLink,$C1173))</f>
        <v/>
      </c>
      <c r="F1173" s="33">
        <f>IF($N1173="","",COUNTIF(ShareLink,$C1173))</f>
        <v/>
      </c>
      <c r="G1173" s="17">
        <f>IF($N1173="","",IF(ROUND($E1173-$D1173,0)=0,"√","▲ "&amp;TEXT($D1173-$E1173,"#,##0")))</f>
        <v/>
      </c>
      <c r="N1173">
        <f>IFERROR(MATCH($C$5&amp;"|"&amp;RIGHT("000000"&amp;1157,6),LdAKeyG,0),"")</f>
        <v/>
      </c>
    </row>
    <row r="1174">
      <c r="A1174" s="19" t="n">
        <v>1158</v>
      </c>
      <c r="B1174" s="20">
        <f>IF($N1174="","",INDEX(LdADate,$N1174))</f>
        <v/>
      </c>
      <c r="C1174" s="20">
        <f>IF($N1174="","",IF(INDEX(LdAId,$N1174)="","—",INDEX(LdAId,$N1174)))</f>
        <v/>
      </c>
      <c r="D1174" s="21">
        <f>IF($N1174="","",IF(INDEX(LdAAmt,$N1174)=0,"",INDEX(LdAAmt,$N1174)))</f>
        <v/>
      </c>
      <c r="E1174" s="21">
        <f>IF($N1174="","",SUMIFS(ShareAmt,ShareLink,$C1174))</f>
        <v/>
      </c>
      <c r="F1174" s="34">
        <f>IF($N1174="","",COUNTIF(ShareLink,$C1174))</f>
        <v/>
      </c>
      <c r="G1174" s="22">
        <f>IF($N1174="","",IF(ROUND($E1174-$D1174,0)=0,"√","▲ "&amp;TEXT($D1174-$E1174,"#,##0")))</f>
        <v/>
      </c>
      <c r="N1174">
        <f>IFERROR(MATCH($C$5&amp;"|"&amp;RIGHT("000000"&amp;1158,6),LdAKeyG,0),"")</f>
        <v/>
      </c>
    </row>
    <row r="1175">
      <c r="A1175" s="10" t="n">
        <v>1159</v>
      </c>
      <c r="B1175" s="14">
        <f>IF($N1175="","",INDEX(LdADate,$N1175))</f>
        <v/>
      </c>
      <c r="C1175" s="14">
        <f>IF($N1175="","",IF(INDEX(LdAId,$N1175)="","—",INDEX(LdAId,$N1175)))</f>
        <v/>
      </c>
      <c r="D1175" s="16">
        <f>IF($N1175="","",IF(INDEX(LdAAmt,$N1175)=0,"",INDEX(LdAAmt,$N1175)))</f>
        <v/>
      </c>
      <c r="E1175" s="16">
        <f>IF($N1175="","",SUMIFS(ShareAmt,ShareLink,$C1175))</f>
        <v/>
      </c>
      <c r="F1175" s="33">
        <f>IF($N1175="","",COUNTIF(ShareLink,$C1175))</f>
        <v/>
      </c>
      <c r="G1175" s="17">
        <f>IF($N1175="","",IF(ROUND($E1175-$D1175,0)=0,"√","▲ "&amp;TEXT($D1175-$E1175,"#,##0")))</f>
        <v/>
      </c>
      <c r="N1175">
        <f>IFERROR(MATCH($C$5&amp;"|"&amp;RIGHT("000000"&amp;1159,6),LdAKeyG,0),"")</f>
        <v/>
      </c>
    </row>
    <row r="1176">
      <c r="A1176" s="19" t="n">
        <v>1160</v>
      </c>
      <c r="B1176" s="20">
        <f>IF($N1176="","",INDEX(LdADate,$N1176))</f>
        <v/>
      </c>
      <c r="C1176" s="20">
        <f>IF($N1176="","",IF(INDEX(LdAId,$N1176)="","—",INDEX(LdAId,$N1176)))</f>
        <v/>
      </c>
      <c r="D1176" s="21">
        <f>IF($N1176="","",IF(INDEX(LdAAmt,$N1176)=0,"",INDEX(LdAAmt,$N1176)))</f>
        <v/>
      </c>
      <c r="E1176" s="21">
        <f>IF($N1176="","",SUMIFS(ShareAmt,ShareLink,$C1176))</f>
        <v/>
      </c>
      <c r="F1176" s="34">
        <f>IF($N1176="","",COUNTIF(ShareLink,$C1176))</f>
        <v/>
      </c>
      <c r="G1176" s="22">
        <f>IF($N1176="","",IF(ROUND($E1176-$D1176,0)=0,"√","▲ "&amp;TEXT($D1176-$E1176,"#,##0")))</f>
        <v/>
      </c>
      <c r="N1176">
        <f>IFERROR(MATCH($C$5&amp;"|"&amp;RIGHT("000000"&amp;1160,6),LdAKeyG,0),"")</f>
        <v/>
      </c>
    </row>
    <row r="1177">
      <c r="A1177" s="10" t="n">
        <v>1161</v>
      </c>
      <c r="B1177" s="14">
        <f>IF($N1177="","",INDEX(LdADate,$N1177))</f>
        <v/>
      </c>
      <c r="C1177" s="14">
        <f>IF($N1177="","",IF(INDEX(LdAId,$N1177)="","—",INDEX(LdAId,$N1177)))</f>
        <v/>
      </c>
      <c r="D1177" s="16">
        <f>IF($N1177="","",IF(INDEX(LdAAmt,$N1177)=0,"",INDEX(LdAAmt,$N1177)))</f>
        <v/>
      </c>
      <c r="E1177" s="16">
        <f>IF($N1177="","",SUMIFS(ShareAmt,ShareLink,$C1177))</f>
        <v/>
      </c>
      <c r="F1177" s="33">
        <f>IF($N1177="","",COUNTIF(ShareLink,$C1177))</f>
        <v/>
      </c>
      <c r="G1177" s="17">
        <f>IF($N1177="","",IF(ROUND($E1177-$D1177,0)=0,"√","▲ "&amp;TEXT($D1177-$E1177,"#,##0")))</f>
        <v/>
      </c>
      <c r="N1177">
        <f>IFERROR(MATCH($C$5&amp;"|"&amp;RIGHT("000000"&amp;1161,6),LdAKeyG,0),"")</f>
        <v/>
      </c>
    </row>
    <row r="1178">
      <c r="A1178" s="19" t="n">
        <v>1162</v>
      </c>
      <c r="B1178" s="20">
        <f>IF($N1178="","",INDEX(LdADate,$N1178))</f>
        <v/>
      </c>
      <c r="C1178" s="20">
        <f>IF($N1178="","",IF(INDEX(LdAId,$N1178)="","—",INDEX(LdAId,$N1178)))</f>
        <v/>
      </c>
      <c r="D1178" s="21">
        <f>IF($N1178="","",IF(INDEX(LdAAmt,$N1178)=0,"",INDEX(LdAAmt,$N1178)))</f>
        <v/>
      </c>
      <c r="E1178" s="21">
        <f>IF($N1178="","",SUMIFS(ShareAmt,ShareLink,$C1178))</f>
        <v/>
      </c>
      <c r="F1178" s="34">
        <f>IF($N1178="","",COUNTIF(ShareLink,$C1178))</f>
        <v/>
      </c>
      <c r="G1178" s="22">
        <f>IF($N1178="","",IF(ROUND($E1178-$D1178,0)=0,"√","▲ "&amp;TEXT($D1178-$E1178,"#,##0")))</f>
        <v/>
      </c>
      <c r="N1178">
        <f>IFERROR(MATCH($C$5&amp;"|"&amp;RIGHT("000000"&amp;1162,6),LdAKeyG,0),"")</f>
        <v/>
      </c>
    </row>
    <row r="1179">
      <c r="A1179" s="10" t="n">
        <v>1163</v>
      </c>
      <c r="B1179" s="14">
        <f>IF($N1179="","",INDEX(LdADate,$N1179))</f>
        <v/>
      </c>
      <c r="C1179" s="14">
        <f>IF($N1179="","",IF(INDEX(LdAId,$N1179)="","—",INDEX(LdAId,$N1179)))</f>
        <v/>
      </c>
      <c r="D1179" s="16">
        <f>IF($N1179="","",IF(INDEX(LdAAmt,$N1179)=0,"",INDEX(LdAAmt,$N1179)))</f>
        <v/>
      </c>
      <c r="E1179" s="16">
        <f>IF($N1179="","",SUMIFS(ShareAmt,ShareLink,$C1179))</f>
        <v/>
      </c>
      <c r="F1179" s="33">
        <f>IF($N1179="","",COUNTIF(ShareLink,$C1179))</f>
        <v/>
      </c>
      <c r="G1179" s="17">
        <f>IF($N1179="","",IF(ROUND($E1179-$D1179,0)=0,"√","▲ "&amp;TEXT($D1179-$E1179,"#,##0")))</f>
        <v/>
      </c>
      <c r="N1179">
        <f>IFERROR(MATCH($C$5&amp;"|"&amp;RIGHT("000000"&amp;1163,6),LdAKeyG,0),"")</f>
        <v/>
      </c>
    </row>
    <row r="1180">
      <c r="A1180" s="19" t="n">
        <v>1164</v>
      </c>
      <c r="B1180" s="20">
        <f>IF($N1180="","",INDEX(LdADate,$N1180))</f>
        <v/>
      </c>
      <c r="C1180" s="20">
        <f>IF($N1180="","",IF(INDEX(LdAId,$N1180)="","—",INDEX(LdAId,$N1180)))</f>
        <v/>
      </c>
      <c r="D1180" s="21">
        <f>IF($N1180="","",IF(INDEX(LdAAmt,$N1180)=0,"",INDEX(LdAAmt,$N1180)))</f>
        <v/>
      </c>
      <c r="E1180" s="21">
        <f>IF($N1180="","",SUMIFS(ShareAmt,ShareLink,$C1180))</f>
        <v/>
      </c>
      <c r="F1180" s="34">
        <f>IF($N1180="","",COUNTIF(ShareLink,$C1180))</f>
        <v/>
      </c>
      <c r="G1180" s="22">
        <f>IF($N1180="","",IF(ROUND($E1180-$D1180,0)=0,"√","▲ "&amp;TEXT($D1180-$E1180,"#,##0")))</f>
        <v/>
      </c>
      <c r="N1180">
        <f>IFERROR(MATCH($C$5&amp;"|"&amp;RIGHT("000000"&amp;1164,6),LdAKeyG,0),"")</f>
        <v/>
      </c>
    </row>
    <row r="1181">
      <c r="A1181" s="10" t="n">
        <v>1165</v>
      </c>
      <c r="B1181" s="14">
        <f>IF($N1181="","",INDEX(LdADate,$N1181))</f>
        <v/>
      </c>
      <c r="C1181" s="14">
        <f>IF($N1181="","",IF(INDEX(LdAId,$N1181)="","—",INDEX(LdAId,$N1181)))</f>
        <v/>
      </c>
      <c r="D1181" s="16">
        <f>IF($N1181="","",IF(INDEX(LdAAmt,$N1181)=0,"",INDEX(LdAAmt,$N1181)))</f>
        <v/>
      </c>
      <c r="E1181" s="16">
        <f>IF($N1181="","",SUMIFS(ShareAmt,ShareLink,$C1181))</f>
        <v/>
      </c>
      <c r="F1181" s="33">
        <f>IF($N1181="","",COUNTIF(ShareLink,$C1181))</f>
        <v/>
      </c>
      <c r="G1181" s="17">
        <f>IF($N1181="","",IF(ROUND($E1181-$D1181,0)=0,"√","▲ "&amp;TEXT($D1181-$E1181,"#,##0")))</f>
        <v/>
      </c>
      <c r="N1181">
        <f>IFERROR(MATCH($C$5&amp;"|"&amp;RIGHT("000000"&amp;1165,6),LdAKeyG,0),"")</f>
        <v/>
      </c>
    </row>
    <row r="1182">
      <c r="A1182" s="19" t="n">
        <v>1166</v>
      </c>
      <c r="B1182" s="20">
        <f>IF($N1182="","",INDEX(LdADate,$N1182))</f>
        <v/>
      </c>
      <c r="C1182" s="20">
        <f>IF($N1182="","",IF(INDEX(LdAId,$N1182)="","—",INDEX(LdAId,$N1182)))</f>
        <v/>
      </c>
      <c r="D1182" s="21">
        <f>IF($N1182="","",IF(INDEX(LdAAmt,$N1182)=0,"",INDEX(LdAAmt,$N1182)))</f>
        <v/>
      </c>
      <c r="E1182" s="21">
        <f>IF($N1182="","",SUMIFS(ShareAmt,ShareLink,$C1182))</f>
        <v/>
      </c>
      <c r="F1182" s="34">
        <f>IF($N1182="","",COUNTIF(ShareLink,$C1182))</f>
        <v/>
      </c>
      <c r="G1182" s="22">
        <f>IF($N1182="","",IF(ROUND($E1182-$D1182,0)=0,"√","▲ "&amp;TEXT($D1182-$E1182,"#,##0")))</f>
        <v/>
      </c>
      <c r="N1182">
        <f>IFERROR(MATCH($C$5&amp;"|"&amp;RIGHT("000000"&amp;1166,6),LdAKeyG,0),"")</f>
        <v/>
      </c>
    </row>
    <row r="1183">
      <c r="A1183" s="10" t="n">
        <v>1167</v>
      </c>
      <c r="B1183" s="14">
        <f>IF($N1183="","",INDEX(LdADate,$N1183))</f>
        <v/>
      </c>
      <c r="C1183" s="14">
        <f>IF($N1183="","",IF(INDEX(LdAId,$N1183)="","—",INDEX(LdAId,$N1183)))</f>
        <v/>
      </c>
      <c r="D1183" s="16">
        <f>IF($N1183="","",IF(INDEX(LdAAmt,$N1183)=0,"",INDEX(LdAAmt,$N1183)))</f>
        <v/>
      </c>
      <c r="E1183" s="16">
        <f>IF($N1183="","",SUMIFS(ShareAmt,ShareLink,$C1183))</f>
        <v/>
      </c>
      <c r="F1183" s="33">
        <f>IF($N1183="","",COUNTIF(ShareLink,$C1183))</f>
        <v/>
      </c>
      <c r="G1183" s="17">
        <f>IF($N1183="","",IF(ROUND($E1183-$D1183,0)=0,"√","▲ "&amp;TEXT($D1183-$E1183,"#,##0")))</f>
        <v/>
      </c>
      <c r="N1183">
        <f>IFERROR(MATCH($C$5&amp;"|"&amp;RIGHT("000000"&amp;1167,6),LdAKeyG,0),"")</f>
        <v/>
      </c>
    </row>
    <row r="1184">
      <c r="A1184" s="19" t="n">
        <v>1168</v>
      </c>
      <c r="B1184" s="20">
        <f>IF($N1184="","",INDEX(LdADate,$N1184))</f>
        <v/>
      </c>
      <c r="C1184" s="20">
        <f>IF($N1184="","",IF(INDEX(LdAId,$N1184)="","—",INDEX(LdAId,$N1184)))</f>
        <v/>
      </c>
      <c r="D1184" s="21">
        <f>IF($N1184="","",IF(INDEX(LdAAmt,$N1184)=0,"",INDEX(LdAAmt,$N1184)))</f>
        <v/>
      </c>
      <c r="E1184" s="21">
        <f>IF($N1184="","",SUMIFS(ShareAmt,ShareLink,$C1184))</f>
        <v/>
      </c>
      <c r="F1184" s="34">
        <f>IF($N1184="","",COUNTIF(ShareLink,$C1184))</f>
        <v/>
      </c>
      <c r="G1184" s="22">
        <f>IF($N1184="","",IF(ROUND($E1184-$D1184,0)=0,"√","▲ "&amp;TEXT($D1184-$E1184,"#,##0")))</f>
        <v/>
      </c>
      <c r="N1184">
        <f>IFERROR(MATCH($C$5&amp;"|"&amp;RIGHT("000000"&amp;1168,6),LdAKeyG,0),"")</f>
        <v/>
      </c>
    </row>
    <row r="1185">
      <c r="A1185" s="10" t="n">
        <v>1169</v>
      </c>
      <c r="B1185" s="14">
        <f>IF($N1185="","",INDEX(LdADate,$N1185))</f>
        <v/>
      </c>
      <c r="C1185" s="14">
        <f>IF($N1185="","",IF(INDEX(LdAId,$N1185)="","—",INDEX(LdAId,$N1185)))</f>
        <v/>
      </c>
      <c r="D1185" s="16">
        <f>IF($N1185="","",IF(INDEX(LdAAmt,$N1185)=0,"",INDEX(LdAAmt,$N1185)))</f>
        <v/>
      </c>
      <c r="E1185" s="16">
        <f>IF($N1185="","",SUMIFS(ShareAmt,ShareLink,$C1185))</f>
        <v/>
      </c>
      <c r="F1185" s="33">
        <f>IF($N1185="","",COUNTIF(ShareLink,$C1185))</f>
        <v/>
      </c>
      <c r="G1185" s="17">
        <f>IF($N1185="","",IF(ROUND($E1185-$D1185,0)=0,"√","▲ "&amp;TEXT($D1185-$E1185,"#,##0")))</f>
        <v/>
      </c>
      <c r="N1185">
        <f>IFERROR(MATCH($C$5&amp;"|"&amp;RIGHT("000000"&amp;1169,6),LdAKeyG,0),"")</f>
        <v/>
      </c>
    </row>
    <row r="1186">
      <c r="A1186" s="19" t="n">
        <v>1170</v>
      </c>
      <c r="B1186" s="20">
        <f>IF($N1186="","",INDEX(LdADate,$N1186))</f>
        <v/>
      </c>
      <c r="C1186" s="20">
        <f>IF($N1186="","",IF(INDEX(LdAId,$N1186)="","—",INDEX(LdAId,$N1186)))</f>
        <v/>
      </c>
      <c r="D1186" s="21">
        <f>IF($N1186="","",IF(INDEX(LdAAmt,$N1186)=0,"",INDEX(LdAAmt,$N1186)))</f>
        <v/>
      </c>
      <c r="E1186" s="21">
        <f>IF($N1186="","",SUMIFS(ShareAmt,ShareLink,$C1186))</f>
        <v/>
      </c>
      <c r="F1186" s="34">
        <f>IF($N1186="","",COUNTIF(ShareLink,$C1186))</f>
        <v/>
      </c>
      <c r="G1186" s="22">
        <f>IF($N1186="","",IF(ROUND($E1186-$D1186,0)=0,"√","▲ "&amp;TEXT($D1186-$E1186,"#,##0")))</f>
        <v/>
      </c>
      <c r="N1186">
        <f>IFERROR(MATCH($C$5&amp;"|"&amp;RIGHT("000000"&amp;1170,6),LdAKeyG,0),"")</f>
        <v/>
      </c>
    </row>
    <row r="1187">
      <c r="A1187" s="10" t="n">
        <v>1171</v>
      </c>
      <c r="B1187" s="14">
        <f>IF($N1187="","",INDEX(LdADate,$N1187))</f>
        <v/>
      </c>
      <c r="C1187" s="14">
        <f>IF($N1187="","",IF(INDEX(LdAId,$N1187)="","—",INDEX(LdAId,$N1187)))</f>
        <v/>
      </c>
      <c r="D1187" s="16">
        <f>IF($N1187="","",IF(INDEX(LdAAmt,$N1187)=0,"",INDEX(LdAAmt,$N1187)))</f>
        <v/>
      </c>
      <c r="E1187" s="16">
        <f>IF($N1187="","",SUMIFS(ShareAmt,ShareLink,$C1187))</f>
        <v/>
      </c>
      <c r="F1187" s="33">
        <f>IF($N1187="","",COUNTIF(ShareLink,$C1187))</f>
        <v/>
      </c>
      <c r="G1187" s="17">
        <f>IF($N1187="","",IF(ROUND($E1187-$D1187,0)=0,"√","▲ "&amp;TEXT($D1187-$E1187,"#,##0")))</f>
        <v/>
      </c>
      <c r="N1187">
        <f>IFERROR(MATCH($C$5&amp;"|"&amp;RIGHT("000000"&amp;1171,6),LdAKeyG,0),"")</f>
        <v/>
      </c>
    </row>
    <row r="1188">
      <c r="A1188" s="19" t="n">
        <v>1172</v>
      </c>
      <c r="B1188" s="20">
        <f>IF($N1188="","",INDEX(LdADate,$N1188))</f>
        <v/>
      </c>
      <c r="C1188" s="20">
        <f>IF($N1188="","",IF(INDEX(LdAId,$N1188)="","—",INDEX(LdAId,$N1188)))</f>
        <v/>
      </c>
      <c r="D1188" s="21">
        <f>IF($N1188="","",IF(INDEX(LdAAmt,$N1188)=0,"",INDEX(LdAAmt,$N1188)))</f>
        <v/>
      </c>
      <c r="E1188" s="21">
        <f>IF($N1188="","",SUMIFS(ShareAmt,ShareLink,$C1188))</f>
        <v/>
      </c>
      <c r="F1188" s="34">
        <f>IF($N1188="","",COUNTIF(ShareLink,$C1188))</f>
        <v/>
      </c>
      <c r="G1188" s="22">
        <f>IF($N1188="","",IF(ROUND($E1188-$D1188,0)=0,"√","▲ "&amp;TEXT($D1188-$E1188,"#,##0")))</f>
        <v/>
      </c>
      <c r="N1188">
        <f>IFERROR(MATCH($C$5&amp;"|"&amp;RIGHT("000000"&amp;1172,6),LdAKeyG,0),"")</f>
        <v/>
      </c>
    </row>
    <row r="1189">
      <c r="A1189" s="10" t="n">
        <v>1173</v>
      </c>
      <c r="B1189" s="14">
        <f>IF($N1189="","",INDEX(LdADate,$N1189))</f>
        <v/>
      </c>
      <c r="C1189" s="14">
        <f>IF($N1189="","",IF(INDEX(LdAId,$N1189)="","—",INDEX(LdAId,$N1189)))</f>
        <v/>
      </c>
      <c r="D1189" s="16">
        <f>IF($N1189="","",IF(INDEX(LdAAmt,$N1189)=0,"",INDEX(LdAAmt,$N1189)))</f>
        <v/>
      </c>
      <c r="E1189" s="16">
        <f>IF($N1189="","",SUMIFS(ShareAmt,ShareLink,$C1189))</f>
        <v/>
      </c>
      <c r="F1189" s="33">
        <f>IF($N1189="","",COUNTIF(ShareLink,$C1189))</f>
        <v/>
      </c>
      <c r="G1189" s="17">
        <f>IF($N1189="","",IF(ROUND($E1189-$D1189,0)=0,"√","▲ "&amp;TEXT($D1189-$E1189,"#,##0")))</f>
        <v/>
      </c>
      <c r="N1189">
        <f>IFERROR(MATCH($C$5&amp;"|"&amp;RIGHT("000000"&amp;1173,6),LdAKeyG,0),"")</f>
        <v/>
      </c>
    </row>
    <row r="1190">
      <c r="A1190" s="19" t="n">
        <v>1174</v>
      </c>
      <c r="B1190" s="20">
        <f>IF($N1190="","",INDEX(LdADate,$N1190))</f>
        <v/>
      </c>
      <c r="C1190" s="20">
        <f>IF($N1190="","",IF(INDEX(LdAId,$N1190)="","—",INDEX(LdAId,$N1190)))</f>
        <v/>
      </c>
      <c r="D1190" s="21">
        <f>IF($N1190="","",IF(INDEX(LdAAmt,$N1190)=0,"",INDEX(LdAAmt,$N1190)))</f>
        <v/>
      </c>
      <c r="E1190" s="21">
        <f>IF($N1190="","",SUMIFS(ShareAmt,ShareLink,$C1190))</f>
        <v/>
      </c>
      <c r="F1190" s="34">
        <f>IF($N1190="","",COUNTIF(ShareLink,$C1190))</f>
        <v/>
      </c>
      <c r="G1190" s="22">
        <f>IF($N1190="","",IF(ROUND($E1190-$D1190,0)=0,"√","▲ "&amp;TEXT($D1190-$E1190,"#,##0")))</f>
        <v/>
      </c>
      <c r="N1190">
        <f>IFERROR(MATCH($C$5&amp;"|"&amp;RIGHT("000000"&amp;1174,6),LdAKeyG,0),"")</f>
        <v/>
      </c>
    </row>
    <row r="1191">
      <c r="A1191" s="10" t="n">
        <v>1175</v>
      </c>
      <c r="B1191" s="14">
        <f>IF($N1191="","",INDEX(LdADate,$N1191))</f>
        <v/>
      </c>
      <c r="C1191" s="14">
        <f>IF($N1191="","",IF(INDEX(LdAId,$N1191)="","—",INDEX(LdAId,$N1191)))</f>
        <v/>
      </c>
      <c r="D1191" s="16">
        <f>IF($N1191="","",IF(INDEX(LdAAmt,$N1191)=0,"",INDEX(LdAAmt,$N1191)))</f>
        <v/>
      </c>
      <c r="E1191" s="16">
        <f>IF($N1191="","",SUMIFS(ShareAmt,ShareLink,$C1191))</f>
        <v/>
      </c>
      <c r="F1191" s="33">
        <f>IF($N1191="","",COUNTIF(ShareLink,$C1191))</f>
        <v/>
      </c>
      <c r="G1191" s="17">
        <f>IF($N1191="","",IF(ROUND($E1191-$D1191,0)=0,"√","▲ "&amp;TEXT($D1191-$E1191,"#,##0")))</f>
        <v/>
      </c>
      <c r="N1191">
        <f>IFERROR(MATCH($C$5&amp;"|"&amp;RIGHT("000000"&amp;1175,6),LdAKeyG,0),"")</f>
        <v/>
      </c>
    </row>
    <row r="1192">
      <c r="A1192" s="19" t="n">
        <v>1176</v>
      </c>
      <c r="B1192" s="20">
        <f>IF($N1192="","",INDEX(LdADate,$N1192))</f>
        <v/>
      </c>
      <c r="C1192" s="20">
        <f>IF($N1192="","",IF(INDEX(LdAId,$N1192)="","—",INDEX(LdAId,$N1192)))</f>
        <v/>
      </c>
      <c r="D1192" s="21">
        <f>IF($N1192="","",IF(INDEX(LdAAmt,$N1192)=0,"",INDEX(LdAAmt,$N1192)))</f>
        <v/>
      </c>
      <c r="E1192" s="21">
        <f>IF($N1192="","",SUMIFS(ShareAmt,ShareLink,$C1192))</f>
        <v/>
      </c>
      <c r="F1192" s="34">
        <f>IF($N1192="","",COUNTIF(ShareLink,$C1192))</f>
        <v/>
      </c>
      <c r="G1192" s="22">
        <f>IF($N1192="","",IF(ROUND($E1192-$D1192,0)=0,"√","▲ "&amp;TEXT($D1192-$E1192,"#,##0")))</f>
        <v/>
      </c>
      <c r="N1192">
        <f>IFERROR(MATCH($C$5&amp;"|"&amp;RIGHT("000000"&amp;1176,6),LdAKeyG,0),"")</f>
        <v/>
      </c>
    </row>
    <row r="1193">
      <c r="A1193" s="10" t="n">
        <v>1177</v>
      </c>
      <c r="B1193" s="14">
        <f>IF($N1193="","",INDEX(LdADate,$N1193))</f>
        <v/>
      </c>
      <c r="C1193" s="14">
        <f>IF($N1193="","",IF(INDEX(LdAId,$N1193)="","—",INDEX(LdAId,$N1193)))</f>
        <v/>
      </c>
      <c r="D1193" s="16">
        <f>IF($N1193="","",IF(INDEX(LdAAmt,$N1193)=0,"",INDEX(LdAAmt,$N1193)))</f>
        <v/>
      </c>
      <c r="E1193" s="16">
        <f>IF($N1193="","",SUMIFS(ShareAmt,ShareLink,$C1193))</f>
        <v/>
      </c>
      <c r="F1193" s="33">
        <f>IF($N1193="","",COUNTIF(ShareLink,$C1193))</f>
        <v/>
      </c>
      <c r="G1193" s="17">
        <f>IF($N1193="","",IF(ROUND($E1193-$D1193,0)=0,"√","▲ "&amp;TEXT($D1193-$E1193,"#,##0")))</f>
        <v/>
      </c>
      <c r="N1193">
        <f>IFERROR(MATCH($C$5&amp;"|"&amp;RIGHT("000000"&amp;1177,6),LdAKeyG,0),"")</f>
        <v/>
      </c>
    </row>
    <row r="1194">
      <c r="A1194" s="19" t="n">
        <v>1178</v>
      </c>
      <c r="B1194" s="20">
        <f>IF($N1194="","",INDEX(LdADate,$N1194))</f>
        <v/>
      </c>
      <c r="C1194" s="20">
        <f>IF($N1194="","",IF(INDEX(LdAId,$N1194)="","—",INDEX(LdAId,$N1194)))</f>
        <v/>
      </c>
      <c r="D1194" s="21">
        <f>IF($N1194="","",IF(INDEX(LdAAmt,$N1194)=0,"",INDEX(LdAAmt,$N1194)))</f>
        <v/>
      </c>
      <c r="E1194" s="21">
        <f>IF($N1194="","",SUMIFS(ShareAmt,ShareLink,$C1194))</f>
        <v/>
      </c>
      <c r="F1194" s="34">
        <f>IF($N1194="","",COUNTIF(ShareLink,$C1194))</f>
        <v/>
      </c>
      <c r="G1194" s="22">
        <f>IF($N1194="","",IF(ROUND($E1194-$D1194,0)=0,"√","▲ "&amp;TEXT($D1194-$E1194,"#,##0")))</f>
        <v/>
      </c>
      <c r="N1194">
        <f>IFERROR(MATCH($C$5&amp;"|"&amp;RIGHT("000000"&amp;1178,6),LdAKeyG,0),"")</f>
        <v/>
      </c>
    </row>
    <row r="1195">
      <c r="A1195" s="10" t="n">
        <v>1179</v>
      </c>
      <c r="B1195" s="14">
        <f>IF($N1195="","",INDEX(LdADate,$N1195))</f>
        <v/>
      </c>
      <c r="C1195" s="14">
        <f>IF($N1195="","",IF(INDEX(LdAId,$N1195)="","—",INDEX(LdAId,$N1195)))</f>
        <v/>
      </c>
      <c r="D1195" s="16">
        <f>IF($N1195="","",IF(INDEX(LdAAmt,$N1195)=0,"",INDEX(LdAAmt,$N1195)))</f>
        <v/>
      </c>
      <c r="E1195" s="16">
        <f>IF($N1195="","",SUMIFS(ShareAmt,ShareLink,$C1195))</f>
        <v/>
      </c>
      <c r="F1195" s="33">
        <f>IF($N1195="","",COUNTIF(ShareLink,$C1195))</f>
        <v/>
      </c>
      <c r="G1195" s="17">
        <f>IF($N1195="","",IF(ROUND($E1195-$D1195,0)=0,"√","▲ "&amp;TEXT($D1195-$E1195,"#,##0")))</f>
        <v/>
      </c>
      <c r="N1195">
        <f>IFERROR(MATCH($C$5&amp;"|"&amp;RIGHT("000000"&amp;1179,6),LdAKeyG,0),"")</f>
        <v/>
      </c>
    </row>
    <row r="1196">
      <c r="A1196" s="19" t="n">
        <v>1180</v>
      </c>
      <c r="B1196" s="20">
        <f>IF($N1196="","",INDEX(LdADate,$N1196))</f>
        <v/>
      </c>
      <c r="C1196" s="20">
        <f>IF($N1196="","",IF(INDEX(LdAId,$N1196)="","—",INDEX(LdAId,$N1196)))</f>
        <v/>
      </c>
      <c r="D1196" s="21">
        <f>IF($N1196="","",IF(INDEX(LdAAmt,$N1196)=0,"",INDEX(LdAAmt,$N1196)))</f>
        <v/>
      </c>
      <c r="E1196" s="21">
        <f>IF($N1196="","",SUMIFS(ShareAmt,ShareLink,$C1196))</f>
        <v/>
      </c>
      <c r="F1196" s="34">
        <f>IF($N1196="","",COUNTIF(ShareLink,$C1196))</f>
        <v/>
      </c>
      <c r="G1196" s="22">
        <f>IF($N1196="","",IF(ROUND($E1196-$D1196,0)=0,"√","▲ "&amp;TEXT($D1196-$E1196,"#,##0")))</f>
        <v/>
      </c>
      <c r="N1196">
        <f>IFERROR(MATCH($C$5&amp;"|"&amp;RIGHT("000000"&amp;1180,6),LdAKeyG,0),"")</f>
        <v/>
      </c>
    </row>
    <row r="1197">
      <c r="A1197" s="10" t="n">
        <v>1181</v>
      </c>
      <c r="B1197" s="14">
        <f>IF($N1197="","",INDEX(LdADate,$N1197))</f>
        <v/>
      </c>
      <c r="C1197" s="14">
        <f>IF($N1197="","",IF(INDEX(LdAId,$N1197)="","—",INDEX(LdAId,$N1197)))</f>
        <v/>
      </c>
      <c r="D1197" s="16">
        <f>IF($N1197="","",IF(INDEX(LdAAmt,$N1197)=0,"",INDEX(LdAAmt,$N1197)))</f>
        <v/>
      </c>
      <c r="E1197" s="16">
        <f>IF($N1197="","",SUMIFS(ShareAmt,ShareLink,$C1197))</f>
        <v/>
      </c>
      <c r="F1197" s="33">
        <f>IF($N1197="","",COUNTIF(ShareLink,$C1197))</f>
        <v/>
      </c>
      <c r="G1197" s="17">
        <f>IF($N1197="","",IF(ROUND($E1197-$D1197,0)=0,"√","▲ "&amp;TEXT($D1197-$E1197,"#,##0")))</f>
        <v/>
      </c>
      <c r="N1197">
        <f>IFERROR(MATCH($C$5&amp;"|"&amp;RIGHT("000000"&amp;1181,6),LdAKeyG,0),"")</f>
        <v/>
      </c>
    </row>
    <row r="1198">
      <c r="A1198" s="19" t="n">
        <v>1182</v>
      </c>
      <c r="B1198" s="20">
        <f>IF($N1198="","",INDEX(LdADate,$N1198))</f>
        <v/>
      </c>
      <c r="C1198" s="20">
        <f>IF($N1198="","",IF(INDEX(LdAId,$N1198)="","—",INDEX(LdAId,$N1198)))</f>
        <v/>
      </c>
      <c r="D1198" s="21">
        <f>IF($N1198="","",IF(INDEX(LdAAmt,$N1198)=0,"",INDEX(LdAAmt,$N1198)))</f>
        <v/>
      </c>
      <c r="E1198" s="21">
        <f>IF($N1198="","",SUMIFS(ShareAmt,ShareLink,$C1198))</f>
        <v/>
      </c>
      <c r="F1198" s="34">
        <f>IF($N1198="","",COUNTIF(ShareLink,$C1198))</f>
        <v/>
      </c>
      <c r="G1198" s="22">
        <f>IF($N1198="","",IF(ROUND($E1198-$D1198,0)=0,"√","▲ "&amp;TEXT($D1198-$E1198,"#,##0")))</f>
        <v/>
      </c>
      <c r="N1198">
        <f>IFERROR(MATCH($C$5&amp;"|"&amp;RIGHT("000000"&amp;1182,6),LdAKeyG,0),"")</f>
        <v/>
      </c>
    </row>
    <row r="1199">
      <c r="A1199" s="10" t="n">
        <v>1183</v>
      </c>
      <c r="B1199" s="14">
        <f>IF($N1199="","",INDEX(LdADate,$N1199))</f>
        <v/>
      </c>
      <c r="C1199" s="14">
        <f>IF($N1199="","",IF(INDEX(LdAId,$N1199)="","—",INDEX(LdAId,$N1199)))</f>
        <v/>
      </c>
      <c r="D1199" s="16">
        <f>IF($N1199="","",IF(INDEX(LdAAmt,$N1199)=0,"",INDEX(LdAAmt,$N1199)))</f>
        <v/>
      </c>
      <c r="E1199" s="16">
        <f>IF($N1199="","",SUMIFS(ShareAmt,ShareLink,$C1199))</f>
        <v/>
      </c>
      <c r="F1199" s="33">
        <f>IF($N1199="","",COUNTIF(ShareLink,$C1199))</f>
        <v/>
      </c>
      <c r="G1199" s="17">
        <f>IF($N1199="","",IF(ROUND($E1199-$D1199,0)=0,"√","▲ "&amp;TEXT($D1199-$E1199,"#,##0")))</f>
        <v/>
      </c>
      <c r="N1199">
        <f>IFERROR(MATCH($C$5&amp;"|"&amp;RIGHT("000000"&amp;1183,6),LdAKeyG,0),"")</f>
        <v/>
      </c>
    </row>
    <row r="1200">
      <c r="A1200" s="19" t="n">
        <v>1184</v>
      </c>
      <c r="B1200" s="20">
        <f>IF($N1200="","",INDEX(LdADate,$N1200))</f>
        <v/>
      </c>
      <c r="C1200" s="20">
        <f>IF($N1200="","",IF(INDEX(LdAId,$N1200)="","—",INDEX(LdAId,$N1200)))</f>
        <v/>
      </c>
      <c r="D1200" s="21">
        <f>IF($N1200="","",IF(INDEX(LdAAmt,$N1200)=0,"",INDEX(LdAAmt,$N1200)))</f>
        <v/>
      </c>
      <c r="E1200" s="21">
        <f>IF($N1200="","",SUMIFS(ShareAmt,ShareLink,$C1200))</f>
        <v/>
      </c>
      <c r="F1200" s="34">
        <f>IF($N1200="","",COUNTIF(ShareLink,$C1200))</f>
        <v/>
      </c>
      <c r="G1200" s="22">
        <f>IF($N1200="","",IF(ROUND($E1200-$D1200,0)=0,"√","▲ "&amp;TEXT($D1200-$E1200,"#,##0")))</f>
        <v/>
      </c>
      <c r="N1200">
        <f>IFERROR(MATCH($C$5&amp;"|"&amp;RIGHT("000000"&amp;1184,6),LdAKeyG,0),"")</f>
        <v/>
      </c>
    </row>
    <row r="1201">
      <c r="A1201" s="10" t="n">
        <v>1185</v>
      </c>
      <c r="B1201" s="14">
        <f>IF($N1201="","",INDEX(LdADate,$N1201))</f>
        <v/>
      </c>
      <c r="C1201" s="14">
        <f>IF($N1201="","",IF(INDEX(LdAId,$N1201)="","—",INDEX(LdAId,$N1201)))</f>
        <v/>
      </c>
      <c r="D1201" s="16">
        <f>IF($N1201="","",IF(INDEX(LdAAmt,$N1201)=0,"",INDEX(LdAAmt,$N1201)))</f>
        <v/>
      </c>
      <c r="E1201" s="16">
        <f>IF($N1201="","",SUMIFS(ShareAmt,ShareLink,$C1201))</f>
        <v/>
      </c>
      <c r="F1201" s="33">
        <f>IF($N1201="","",COUNTIF(ShareLink,$C1201))</f>
        <v/>
      </c>
      <c r="G1201" s="17">
        <f>IF($N1201="","",IF(ROUND($E1201-$D1201,0)=0,"√","▲ "&amp;TEXT($D1201-$E1201,"#,##0")))</f>
        <v/>
      </c>
      <c r="N1201">
        <f>IFERROR(MATCH($C$5&amp;"|"&amp;RIGHT("000000"&amp;1185,6),LdAKeyG,0),"")</f>
        <v/>
      </c>
    </row>
    <row r="1202">
      <c r="A1202" s="19" t="n">
        <v>1186</v>
      </c>
      <c r="B1202" s="20">
        <f>IF($N1202="","",INDEX(LdADate,$N1202))</f>
        <v/>
      </c>
      <c r="C1202" s="20">
        <f>IF($N1202="","",IF(INDEX(LdAId,$N1202)="","—",INDEX(LdAId,$N1202)))</f>
        <v/>
      </c>
      <c r="D1202" s="21">
        <f>IF($N1202="","",IF(INDEX(LdAAmt,$N1202)=0,"",INDEX(LdAAmt,$N1202)))</f>
        <v/>
      </c>
      <c r="E1202" s="21">
        <f>IF($N1202="","",SUMIFS(ShareAmt,ShareLink,$C1202))</f>
        <v/>
      </c>
      <c r="F1202" s="34">
        <f>IF($N1202="","",COUNTIF(ShareLink,$C1202))</f>
        <v/>
      </c>
      <c r="G1202" s="22">
        <f>IF($N1202="","",IF(ROUND($E1202-$D1202,0)=0,"√","▲ "&amp;TEXT($D1202-$E1202,"#,##0")))</f>
        <v/>
      </c>
      <c r="N1202">
        <f>IFERROR(MATCH($C$5&amp;"|"&amp;RIGHT("000000"&amp;1186,6),LdAKeyG,0),"")</f>
        <v/>
      </c>
    </row>
    <row r="1203">
      <c r="A1203" s="10" t="n">
        <v>1187</v>
      </c>
      <c r="B1203" s="14">
        <f>IF($N1203="","",INDEX(LdADate,$N1203))</f>
        <v/>
      </c>
      <c r="C1203" s="14">
        <f>IF($N1203="","",IF(INDEX(LdAId,$N1203)="","—",INDEX(LdAId,$N1203)))</f>
        <v/>
      </c>
      <c r="D1203" s="16">
        <f>IF($N1203="","",IF(INDEX(LdAAmt,$N1203)=0,"",INDEX(LdAAmt,$N1203)))</f>
        <v/>
      </c>
      <c r="E1203" s="16">
        <f>IF($N1203="","",SUMIFS(ShareAmt,ShareLink,$C1203))</f>
        <v/>
      </c>
      <c r="F1203" s="33">
        <f>IF($N1203="","",COUNTIF(ShareLink,$C1203))</f>
        <v/>
      </c>
      <c r="G1203" s="17">
        <f>IF($N1203="","",IF(ROUND($E1203-$D1203,0)=0,"√","▲ "&amp;TEXT($D1203-$E1203,"#,##0")))</f>
        <v/>
      </c>
      <c r="N1203">
        <f>IFERROR(MATCH($C$5&amp;"|"&amp;RIGHT("000000"&amp;1187,6),LdAKeyG,0),"")</f>
        <v/>
      </c>
    </row>
    <row r="1204">
      <c r="A1204" s="19" t="n">
        <v>1188</v>
      </c>
      <c r="B1204" s="20">
        <f>IF($N1204="","",INDEX(LdADate,$N1204))</f>
        <v/>
      </c>
      <c r="C1204" s="20">
        <f>IF($N1204="","",IF(INDEX(LdAId,$N1204)="","—",INDEX(LdAId,$N1204)))</f>
        <v/>
      </c>
      <c r="D1204" s="21">
        <f>IF($N1204="","",IF(INDEX(LdAAmt,$N1204)=0,"",INDEX(LdAAmt,$N1204)))</f>
        <v/>
      </c>
      <c r="E1204" s="21">
        <f>IF($N1204="","",SUMIFS(ShareAmt,ShareLink,$C1204))</f>
        <v/>
      </c>
      <c r="F1204" s="34">
        <f>IF($N1204="","",COUNTIF(ShareLink,$C1204))</f>
        <v/>
      </c>
      <c r="G1204" s="22">
        <f>IF($N1204="","",IF(ROUND($E1204-$D1204,0)=0,"√","▲ "&amp;TEXT($D1204-$E1204,"#,##0")))</f>
        <v/>
      </c>
      <c r="N1204">
        <f>IFERROR(MATCH($C$5&amp;"|"&amp;RIGHT("000000"&amp;1188,6),LdAKeyG,0),"")</f>
        <v/>
      </c>
    </row>
    <row r="1205">
      <c r="A1205" s="10" t="n">
        <v>1189</v>
      </c>
      <c r="B1205" s="14">
        <f>IF($N1205="","",INDEX(LdADate,$N1205))</f>
        <v/>
      </c>
      <c r="C1205" s="14">
        <f>IF($N1205="","",IF(INDEX(LdAId,$N1205)="","—",INDEX(LdAId,$N1205)))</f>
        <v/>
      </c>
      <c r="D1205" s="16">
        <f>IF($N1205="","",IF(INDEX(LdAAmt,$N1205)=0,"",INDEX(LdAAmt,$N1205)))</f>
        <v/>
      </c>
      <c r="E1205" s="16">
        <f>IF($N1205="","",SUMIFS(ShareAmt,ShareLink,$C1205))</f>
        <v/>
      </c>
      <c r="F1205" s="33">
        <f>IF($N1205="","",COUNTIF(ShareLink,$C1205))</f>
        <v/>
      </c>
      <c r="G1205" s="17">
        <f>IF($N1205="","",IF(ROUND($E1205-$D1205,0)=0,"√","▲ "&amp;TEXT($D1205-$E1205,"#,##0")))</f>
        <v/>
      </c>
      <c r="N1205">
        <f>IFERROR(MATCH($C$5&amp;"|"&amp;RIGHT("000000"&amp;1189,6),LdAKeyG,0),"")</f>
        <v/>
      </c>
    </row>
    <row r="1206">
      <c r="A1206" s="19" t="n">
        <v>1190</v>
      </c>
      <c r="B1206" s="20">
        <f>IF($N1206="","",INDEX(LdADate,$N1206))</f>
        <v/>
      </c>
      <c r="C1206" s="20">
        <f>IF($N1206="","",IF(INDEX(LdAId,$N1206)="","—",INDEX(LdAId,$N1206)))</f>
        <v/>
      </c>
      <c r="D1206" s="21">
        <f>IF($N1206="","",IF(INDEX(LdAAmt,$N1206)=0,"",INDEX(LdAAmt,$N1206)))</f>
        <v/>
      </c>
      <c r="E1206" s="21">
        <f>IF($N1206="","",SUMIFS(ShareAmt,ShareLink,$C1206))</f>
        <v/>
      </c>
      <c r="F1206" s="34">
        <f>IF($N1206="","",COUNTIF(ShareLink,$C1206))</f>
        <v/>
      </c>
      <c r="G1206" s="22">
        <f>IF($N1206="","",IF(ROUND($E1206-$D1206,0)=0,"√","▲ "&amp;TEXT($D1206-$E1206,"#,##0")))</f>
        <v/>
      </c>
      <c r="N1206">
        <f>IFERROR(MATCH($C$5&amp;"|"&amp;RIGHT("000000"&amp;1190,6),LdAKeyG,0),"")</f>
        <v/>
      </c>
    </row>
    <row r="1207">
      <c r="A1207" s="10" t="n">
        <v>1191</v>
      </c>
      <c r="B1207" s="14">
        <f>IF($N1207="","",INDEX(LdADate,$N1207))</f>
        <v/>
      </c>
      <c r="C1207" s="14">
        <f>IF($N1207="","",IF(INDEX(LdAId,$N1207)="","—",INDEX(LdAId,$N1207)))</f>
        <v/>
      </c>
      <c r="D1207" s="16">
        <f>IF($N1207="","",IF(INDEX(LdAAmt,$N1207)=0,"",INDEX(LdAAmt,$N1207)))</f>
        <v/>
      </c>
      <c r="E1207" s="16">
        <f>IF($N1207="","",SUMIFS(ShareAmt,ShareLink,$C1207))</f>
        <v/>
      </c>
      <c r="F1207" s="33">
        <f>IF($N1207="","",COUNTIF(ShareLink,$C1207))</f>
        <v/>
      </c>
      <c r="G1207" s="17">
        <f>IF($N1207="","",IF(ROUND($E1207-$D1207,0)=0,"√","▲ "&amp;TEXT($D1207-$E1207,"#,##0")))</f>
        <v/>
      </c>
      <c r="N1207">
        <f>IFERROR(MATCH($C$5&amp;"|"&amp;RIGHT("000000"&amp;1191,6),LdAKeyG,0),"")</f>
        <v/>
      </c>
    </row>
    <row r="1208">
      <c r="A1208" s="19" t="n">
        <v>1192</v>
      </c>
      <c r="B1208" s="20">
        <f>IF($N1208="","",INDEX(LdADate,$N1208))</f>
        <v/>
      </c>
      <c r="C1208" s="20">
        <f>IF($N1208="","",IF(INDEX(LdAId,$N1208)="","—",INDEX(LdAId,$N1208)))</f>
        <v/>
      </c>
      <c r="D1208" s="21">
        <f>IF($N1208="","",IF(INDEX(LdAAmt,$N1208)=0,"",INDEX(LdAAmt,$N1208)))</f>
        <v/>
      </c>
      <c r="E1208" s="21">
        <f>IF($N1208="","",SUMIFS(ShareAmt,ShareLink,$C1208))</f>
        <v/>
      </c>
      <c r="F1208" s="34">
        <f>IF($N1208="","",COUNTIF(ShareLink,$C1208))</f>
        <v/>
      </c>
      <c r="G1208" s="22">
        <f>IF($N1208="","",IF(ROUND($E1208-$D1208,0)=0,"√","▲ "&amp;TEXT($D1208-$E1208,"#,##0")))</f>
        <v/>
      </c>
      <c r="N1208">
        <f>IFERROR(MATCH($C$5&amp;"|"&amp;RIGHT("000000"&amp;1192,6),LdAKeyG,0),"")</f>
        <v/>
      </c>
    </row>
    <row r="1209">
      <c r="A1209" s="10" t="n">
        <v>1193</v>
      </c>
      <c r="B1209" s="14">
        <f>IF($N1209="","",INDEX(LdADate,$N1209))</f>
        <v/>
      </c>
      <c r="C1209" s="14">
        <f>IF($N1209="","",IF(INDEX(LdAId,$N1209)="","—",INDEX(LdAId,$N1209)))</f>
        <v/>
      </c>
      <c r="D1209" s="16">
        <f>IF($N1209="","",IF(INDEX(LdAAmt,$N1209)=0,"",INDEX(LdAAmt,$N1209)))</f>
        <v/>
      </c>
      <c r="E1209" s="16">
        <f>IF($N1209="","",SUMIFS(ShareAmt,ShareLink,$C1209))</f>
        <v/>
      </c>
      <c r="F1209" s="33">
        <f>IF($N1209="","",COUNTIF(ShareLink,$C1209))</f>
        <v/>
      </c>
      <c r="G1209" s="17">
        <f>IF($N1209="","",IF(ROUND($E1209-$D1209,0)=0,"√","▲ "&amp;TEXT($D1209-$E1209,"#,##0")))</f>
        <v/>
      </c>
      <c r="N1209">
        <f>IFERROR(MATCH($C$5&amp;"|"&amp;RIGHT("000000"&amp;1193,6),LdAKeyG,0),"")</f>
        <v/>
      </c>
    </row>
    <row r="1210">
      <c r="A1210" s="19" t="n">
        <v>1194</v>
      </c>
      <c r="B1210" s="20">
        <f>IF($N1210="","",INDEX(LdADate,$N1210))</f>
        <v/>
      </c>
      <c r="C1210" s="20">
        <f>IF($N1210="","",IF(INDEX(LdAId,$N1210)="","—",INDEX(LdAId,$N1210)))</f>
        <v/>
      </c>
      <c r="D1210" s="21">
        <f>IF($N1210="","",IF(INDEX(LdAAmt,$N1210)=0,"",INDEX(LdAAmt,$N1210)))</f>
        <v/>
      </c>
      <c r="E1210" s="21">
        <f>IF($N1210="","",SUMIFS(ShareAmt,ShareLink,$C1210))</f>
        <v/>
      </c>
      <c r="F1210" s="34">
        <f>IF($N1210="","",COUNTIF(ShareLink,$C1210))</f>
        <v/>
      </c>
      <c r="G1210" s="22">
        <f>IF($N1210="","",IF(ROUND($E1210-$D1210,0)=0,"√","▲ "&amp;TEXT($D1210-$E1210,"#,##0")))</f>
        <v/>
      </c>
      <c r="N1210">
        <f>IFERROR(MATCH($C$5&amp;"|"&amp;RIGHT("000000"&amp;1194,6),LdAKeyG,0),"")</f>
        <v/>
      </c>
    </row>
    <row r="1211">
      <c r="A1211" s="10" t="n">
        <v>1195</v>
      </c>
      <c r="B1211" s="14">
        <f>IF($N1211="","",INDEX(LdADate,$N1211))</f>
        <v/>
      </c>
      <c r="C1211" s="14">
        <f>IF($N1211="","",IF(INDEX(LdAId,$N1211)="","—",INDEX(LdAId,$N1211)))</f>
        <v/>
      </c>
      <c r="D1211" s="16">
        <f>IF($N1211="","",IF(INDEX(LdAAmt,$N1211)=0,"",INDEX(LdAAmt,$N1211)))</f>
        <v/>
      </c>
      <c r="E1211" s="16">
        <f>IF($N1211="","",SUMIFS(ShareAmt,ShareLink,$C1211))</f>
        <v/>
      </c>
      <c r="F1211" s="33">
        <f>IF($N1211="","",COUNTIF(ShareLink,$C1211))</f>
        <v/>
      </c>
      <c r="G1211" s="17">
        <f>IF($N1211="","",IF(ROUND($E1211-$D1211,0)=0,"√","▲ "&amp;TEXT($D1211-$E1211,"#,##0")))</f>
        <v/>
      </c>
      <c r="N1211">
        <f>IFERROR(MATCH($C$5&amp;"|"&amp;RIGHT("000000"&amp;1195,6),LdAKeyG,0),"")</f>
        <v/>
      </c>
    </row>
    <row r="1212">
      <c r="A1212" s="19" t="n">
        <v>1196</v>
      </c>
      <c r="B1212" s="20">
        <f>IF($N1212="","",INDEX(LdADate,$N1212))</f>
        <v/>
      </c>
      <c r="C1212" s="20">
        <f>IF($N1212="","",IF(INDEX(LdAId,$N1212)="","—",INDEX(LdAId,$N1212)))</f>
        <v/>
      </c>
      <c r="D1212" s="21">
        <f>IF($N1212="","",IF(INDEX(LdAAmt,$N1212)=0,"",INDEX(LdAAmt,$N1212)))</f>
        <v/>
      </c>
      <c r="E1212" s="21">
        <f>IF($N1212="","",SUMIFS(ShareAmt,ShareLink,$C1212))</f>
        <v/>
      </c>
      <c r="F1212" s="34">
        <f>IF($N1212="","",COUNTIF(ShareLink,$C1212))</f>
        <v/>
      </c>
      <c r="G1212" s="22">
        <f>IF($N1212="","",IF(ROUND($E1212-$D1212,0)=0,"√","▲ "&amp;TEXT($D1212-$E1212,"#,##0")))</f>
        <v/>
      </c>
      <c r="N1212">
        <f>IFERROR(MATCH($C$5&amp;"|"&amp;RIGHT("000000"&amp;1196,6),LdAKeyG,0),"")</f>
        <v/>
      </c>
    </row>
    <row r="1213">
      <c r="A1213" s="10" t="n">
        <v>1197</v>
      </c>
      <c r="B1213" s="14">
        <f>IF($N1213="","",INDEX(LdADate,$N1213))</f>
        <v/>
      </c>
      <c r="C1213" s="14">
        <f>IF($N1213="","",IF(INDEX(LdAId,$N1213)="","—",INDEX(LdAId,$N1213)))</f>
        <v/>
      </c>
      <c r="D1213" s="16">
        <f>IF($N1213="","",IF(INDEX(LdAAmt,$N1213)=0,"",INDEX(LdAAmt,$N1213)))</f>
        <v/>
      </c>
      <c r="E1213" s="16">
        <f>IF($N1213="","",SUMIFS(ShareAmt,ShareLink,$C1213))</f>
        <v/>
      </c>
      <c r="F1213" s="33">
        <f>IF($N1213="","",COUNTIF(ShareLink,$C1213))</f>
        <v/>
      </c>
      <c r="G1213" s="17">
        <f>IF($N1213="","",IF(ROUND($E1213-$D1213,0)=0,"√","▲ "&amp;TEXT($D1213-$E1213,"#,##0")))</f>
        <v/>
      </c>
      <c r="N1213">
        <f>IFERROR(MATCH($C$5&amp;"|"&amp;RIGHT("000000"&amp;1197,6),LdAKeyG,0),"")</f>
        <v/>
      </c>
    </row>
    <row r="1214">
      <c r="A1214" s="19" t="n">
        <v>1198</v>
      </c>
      <c r="B1214" s="20">
        <f>IF($N1214="","",INDEX(LdADate,$N1214))</f>
        <v/>
      </c>
      <c r="C1214" s="20">
        <f>IF($N1214="","",IF(INDEX(LdAId,$N1214)="","—",INDEX(LdAId,$N1214)))</f>
        <v/>
      </c>
      <c r="D1214" s="21">
        <f>IF($N1214="","",IF(INDEX(LdAAmt,$N1214)=0,"",INDEX(LdAAmt,$N1214)))</f>
        <v/>
      </c>
      <c r="E1214" s="21">
        <f>IF($N1214="","",SUMIFS(ShareAmt,ShareLink,$C1214))</f>
        <v/>
      </c>
      <c r="F1214" s="34">
        <f>IF($N1214="","",COUNTIF(ShareLink,$C1214))</f>
        <v/>
      </c>
      <c r="G1214" s="22">
        <f>IF($N1214="","",IF(ROUND($E1214-$D1214,0)=0,"√","▲ "&amp;TEXT($D1214-$E1214,"#,##0")))</f>
        <v/>
      </c>
      <c r="N1214">
        <f>IFERROR(MATCH($C$5&amp;"|"&amp;RIGHT("000000"&amp;1198,6),LdAKeyG,0),"")</f>
        <v/>
      </c>
    </row>
    <row r="1215">
      <c r="A1215" s="10" t="n">
        <v>1199</v>
      </c>
      <c r="B1215" s="14">
        <f>IF($N1215="","",INDEX(LdADate,$N1215))</f>
        <v/>
      </c>
      <c r="C1215" s="14">
        <f>IF($N1215="","",IF(INDEX(LdAId,$N1215)="","—",INDEX(LdAId,$N1215)))</f>
        <v/>
      </c>
      <c r="D1215" s="16">
        <f>IF($N1215="","",IF(INDEX(LdAAmt,$N1215)=0,"",INDEX(LdAAmt,$N1215)))</f>
        <v/>
      </c>
      <c r="E1215" s="16">
        <f>IF($N1215="","",SUMIFS(ShareAmt,ShareLink,$C1215))</f>
        <v/>
      </c>
      <c r="F1215" s="33">
        <f>IF($N1215="","",COUNTIF(ShareLink,$C1215))</f>
        <v/>
      </c>
      <c r="G1215" s="17">
        <f>IF($N1215="","",IF(ROUND($E1215-$D1215,0)=0,"√","▲ "&amp;TEXT($D1215-$E1215,"#,##0")))</f>
        <v/>
      </c>
      <c r="N1215">
        <f>IFERROR(MATCH($C$5&amp;"|"&amp;RIGHT("000000"&amp;1199,6),LdAKeyG,0),"")</f>
        <v/>
      </c>
    </row>
    <row r="1216">
      <c r="A1216" s="19" t="n">
        <v>1200</v>
      </c>
      <c r="B1216" s="20">
        <f>IF($N1216="","",INDEX(LdADate,$N1216))</f>
        <v/>
      </c>
      <c r="C1216" s="20">
        <f>IF($N1216="","",IF(INDEX(LdAId,$N1216)="","—",INDEX(LdAId,$N1216)))</f>
        <v/>
      </c>
      <c r="D1216" s="21">
        <f>IF($N1216="","",IF(INDEX(LdAAmt,$N1216)=0,"",INDEX(LdAAmt,$N1216)))</f>
        <v/>
      </c>
      <c r="E1216" s="21">
        <f>IF($N1216="","",SUMIFS(ShareAmt,ShareLink,$C1216))</f>
        <v/>
      </c>
      <c r="F1216" s="34">
        <f>IF($N1216="","",COUNTIF(ShareLink,$C1216))</f>
        <v/>
      </c>
      <c r="G1216" s="22">
        <f>IF($N1216="","",IF(ROUND($E1216-$D1216,0)=0,"√","▲ "&amp;TEXT($D1216-$E1216,"#,##0")))</f>
        <v/>
      </c>
      <c r="N1216">
        <f>IFERROR(MATCH($C$5&amp;"|"&amp;RIGHT("000000"&amp;1200,6),LdAKeyG,0),"")</f>
        <v/>
      </c>
    </row>
    <row r="1217">
      <c r="A1217" s="10" t="n">
        <v>1201</v>
      </c>
      <c r="B1217" s="14">
        <f>IF($N1217="","",INDEX(LdADate,$N1217))</f>
        <v/>
      </c>
      <c r="C1217" s="14">
        <f>IF($N1217="","",IF(INDEX(LdAId,$N1217)="","—",INDEX(LdAId,$N1217)))</f>
        <v/>
      </c>
      <c r="D1217" s="16">
        <f>IF($N1217="","",IF(INDEX(LdAAmt,$N1217)=0,"",INDEX(LdAAmt,$N1217)))</f>
        <v/>
      </c>
      <c r="E1217" s="16">
        <f>IF($N1217="","",SUMIFS(ShareAmt,ShareLink,$C1217))</f>
        <v/>
      </c>
      <c r="F1217" s="33">
        <f>IF($N1217="","",COUNTIF(ShareLink,$C1217))</f>
        <v/>
      </c>
      <c r="G1217" s="17">
        <f>IF($N1217="","",IF(ROUND($E1217-$D1217,0)=0,"√","▲ "&amp;TEXT($D1217-$E1217,"#,##0")))</f>
        <v/>
      </c>
      <c r="N1217">
        <f>IFERROR(MATCH($C$5&amp;"|"&amp;RIGHT("000000"&amp;1201,6),LdAKeyG,0),"")</f>
        <v/>
      </c>
    </row>
    <row r="1218">
      <c r="A1218" s="19" t="n">
        <v>1202</v>
      </c>
      <c r="B1218" s="20">
        <f>IF($N1218="","",INDEX(LdADate,$N1218))</f>
        <v/>
      </c>
      <c r="C1218" s="20">
        <f>IF($N1218="","",IF(INDEX(LdAId,$N1218)="","—",INDEX(LdAId,$N1218)))</f>
        <v/>
      </c>
      <c r="D1218" s="21">
        <f>IF($N1218="","",IF(INDEX(LdAAmt,$N1218)=0,"",INDEX(LdAAmt,$N1218)))</f>
        <v/>
      </c>
      <c r="E1218" s="21">
        <f>IF($N1218="","",SUMIFS(ShareAmt,ShareLink,$C1218))</f>
        <v/>
      </c>
      <c r="F1218" s="34">
        <f>IF($N1218="","",COUNTIF(ShareLink,$C1218))</f>
        <v/>
      </c>
      <c r="G1218" s="22">
        <f>IF($N1218="","",IF(ROUND($E1218-$D1218,0)=0,"√","▲ "&amp;TEXT($D1218-$E1218,"#,##0")))</f>
        <v/>
      </c>
      <c r="N1218">
        <f>IFERROR(MATCH($C$5&amp;"|"&amp;RIGHT("000000"&amp;1202,6),LdAKeyG,0),"")</f>
        <v/>
      </c>
    </row>
    <row r="1219">
      <c r="A1219" s="10" t="n">
        <v>1203</v>
      </c>
      <c r="B1219" s="14">
        <f>IF($N1219="","",INDEX(LdADate,$N1219))</f>
        <v/>
      </c>
      <c r="C1219" s="14">
        <f>IF($N1219="","",IF(INDEX(LdAId,$N1219)="","—",INDEX(LdAId,$N1219)))</f>
        <v/>
      </c>
      <c r="D1219" s="16">
        <f>IF($N1219="","",IF(INDEX(LdAAmt,$N1219)=0,"",INDEX(LdAAmt,$N1219)))</f>
        <v/>
      </c>
      <c r="E1219" s="16">
        <f>IF($N1219="","",SUMIFS(ShareAmt,ShareLink,$C1219))</f>
        <v/>
      </c>
      <c r="F1219" s="33">
        <f>IF($N1219="","",COUNTIF(ShareLink,$C1219))</f>
        <v/>
      </c>
      <c r="G1219" s="17">
        <f>IF($N1219="","",IF(ROUND($E1219-$D1219,0)=0,"√","▲ "&amp;TEXT($D1219-$E1219,"#,##0")))</f>
        <v/>
      </c>
      <c r="N1219">
        <f>IFERROR(MATCH($C$5&amp;"|"&amp;RIGHT("000000"&amp;1203,6),LdAKeyG,0),"")</f>
        <v/>
      </c>
    </row>
    <row r="1220">
      <c r="A1220" s="19" t="n">
        <v>1204</v>
      </c>
      <c r="B1220" s="20">
        <f>IF($N1220="","",INDEX(LdADate,$N1220))</f>
        <v/>
      </c>
      <c r="C1220" s="20">
        <f>IF($N1220="","",IF(INDEX(LdAId,$N1220)="","—",INDEX(LdAId,$N1220)))</f>
        <v/>
      </c>
      <c r="D1220" s="21">
        <f>IF($N1220="","",IF(INDEX(LdAAmt,$N1220)=0,"",INDEX(LdAAmt,$N1220)))</f>
        <v/>
      </c>
      <c r="E1220" s="21">
        <f>IF($N1220="","",SUMIFS(ShareAmt,ShareLink,$C1220))</f>
        <v/>
      </c>
      <c r="F1220" s="34">
        <f>IF($N1220="","",COUNTIF(ShareLink,$C1220))</f>
        <v/>
      </c>
      <c r="G1220" s="22">
        <f>IF($N1220="","",IF(ROUND($E1220-$D1220,0)=0,"√","▲ "&amp;TEXT($D1220-$E1220,"#,##0")))</f>
        <v/>
      </c>
      <c r="N1220">
        <f>IFERROR(MATCH($C$5&amp;"|"&amp;RIGHT("000000"&amp;1204,6),LdAKeyG,0),"")</f>
        <v/>
      </c>
    </row>
    <row r="1221">
      <c r="A1221" s="10" t="n">
        <v>1205</v>
      </c>
      <c r="B1221" s="14">
        <f>IF($N1221="","",INDEX(LdADate,$N1221))</f>
        <v/>
      </c>
      <c r="C1221" s="14">
        <f>IF($N1221="","",IF(INDEX(LdAId,$N1221)="","—",INDEX(LdAId,$N1221)))</f>
        <v/>
      </c>
      <c r="D1221" s="16">
        <f>IF($N1221="","",IF(INDEX(LdAAmt,$N1221)=0,"",INDEX(LdAAmt,$N1221)))</f>
        <v/>
      </c>
      <c r="E1221" s="16">
        <f>IF($N1221="","",SUMIFS(ShareAmt,ShareLink,$C1221))</f>
        <v/>
      </c>
      <c r="F1221" s="33">
        <f>IF($N1221="","",COUNTIF(ShareLink,$C1221))</f>
        <v/>
      </c>
      <c r="G1221" s="17">
        <f>IF($N1221="","",IF(ROUND($E1221-$D1221,0)=0,"√","▲ "&amp;TEXT($D1221-$E1221,"#,##0")))</f>
        <v/>
      </c>
      <c r="N1221">
        <f>IFERROR(MATCH($C$5&amp;"|"&amp;RIGHT("000000"&amp;1205,6),LdAKeyG,0),"")</f>
        <v/>
      </c>
    </row>
    <row r="1222">
      <c r="A1222" s="19" t="n">
        <v>1206</v>
      </c>
      <c r="B1222" s="20">
        <f>IF($N1222="","",INDEX(LdADate,$N1222))</f>
        <v/>
      </c>
      <c r="C1222" s="20">
        <f>IF($N1222="","",IF(INDEX(LdAId,$N1222)="","—",INDEX(LdAId,$N1222)))</f>
        <v/>
      </c>
      <c r="D1222" s="21">
        <f>IF($N1222="","",IF(INDEX(LdAAmt,$N1222)=0,"",INDEX(LdAAmt,$N1222)))</f>
        <v/>
      </c>
      <c r="E1222" s="21">
        <f>IF($N1222="","",SUMIFS(ShareAmt,ShareLink,$C1222))</f>
        <v/>
      </c>
      <c r="F1222" s="34">
        <f>IF($N1222="","",COUNTIF(ShareLink,$C1222))</f>
        <v/>
      </c>
      <c r="G1222" s="22">
        <f>IF($N1222="","",IF(ROUND($E1222-$D1222,0)=0,"√","▲ "&amp;TEXT($D1222-$E1222,"#,##0")))</f>
        <v/>
      </c>
      <c r="N1222">
        <f>IFERROR(MATCH($C$5&amp;"|"&amp;RIGHT("000000"&amp;1206,6),LdAKeyG,0),"")</f>
        <v/>
      </c>
    </row>
    <row r="1223">
      <c r="A1223" s="10" t="n">
        <v>1207</v>
      </c>
      <c r="B1223" s="14">
        <f>IF($N1223="","",INDEX(LdADate,$N1223))</f>
        <v/>
      </c>
      <c r="C1223" s="14">
        <f>IF($N1223="","",IF(INDEX(LdAId,$N1223)="","—",INDEX(LdAId,$N1223)))</f>
        <v/>
      </c>
      <c r="D1223" s="16">
        <f>IF($N1223="","",IF(INDEX(LdAAmt,$N1223)=0,"",INDEX(LdAAmt,$N1223)))</f>
        <v/>
      </c>
      <c r="E1223" s="16">
        <f>IF($N1223="","",SUMIFS(ShareAmt,ShareLink,$C1223))</f>
        <v/>
      </c>
      <c r="F1223" s="33">
        <f>IF($N1223="","",COUNTIF(ShareLink,$C1223))</f>
        <v/>
      </c>
      <c r="G1223" s="17">
        <f>IF($N1223="","",IF(ROUND($E1223-$D1223,0)=0,"√","▲ "&amp;TEXT($D1223-$E1223,"#,##0")))</f>
        <v/>
      </c>
      <c r="N1223">
        <f>IFERROR(MATCH($C$5&amp;"|"&amp;RIGHT("000000"&amp;1207,6),LdAKeyG,0),"")</f>
        <v/>
      </c>
    </row>
    <row r="1224">
      <c r="A1224" s="19" t="n">
        <v>1208</v>
      </c>
      <c r="B1224" s="20">
        <f>IF($N1224="","",INDEX(LdADate,$N1224))</f>
        <v/>
      </c>
      <c r="C1224" s="20">
        <f>IF($N1224="","",IF(INDEX(LdAId,$N1224)="","—",INDEX(LdAId,$N1224)))</f>
        <v/>
      </c>
      <c r="D1224" s="21">
        <f>IF($N1224="","",IF(INDEX(LdAAmt,$N1224)=0,"",INDEX(LdAAmt,$N1224)))</f>
        <v/>
      </c>
      <c r="E1224" s="21">
        <f>IF($N1224="","",SUMIFS(ShareAmt,ShareLink,$C1224))</f>
        <v/>
      </c>
      <c r="F1224" s="34">
        <f>IF($N1224="","",COUNTIF(ShareLink,$C1224))</f>
        <v/>
      </c>
      <c r="G1224" s="22">
        <f>IF($N1224="","",IF(ROUND($E1224-$D1224,0)=0,"√","▲ "&amp;TEXT($D1224-$E1224,"#,##0")))</f>
        <v/>
      </c>
      <c r="N1224">
        <f>IFERROR(MATCH($C$5&amp;"|"&amp;RIGHT("000000"&amp;1208,6),LdAKeyG,0),"")</f>
        <v/>
      </c>
    </row>
    <row r="1225">
      <c r="A1225" s="10" t="n">
        <v>1209</v>
      </c>
      <c r="B1225" s="14">
        <f>IF($N1225="","",INDEX(LdADate,$N1225))</f>
        <v/>
      </c>
      <c r="C1225" s="14">
        <f>IF($N1225="","",IF(INDEX(LdAId,$N1225)="","—",INDEX(LdAId,$N1225)))</f>
        <v/>
      </c>
      <c r="D1225" s="16">
        <f>IF($N1225="","",IF(INDEX(LdAAmt,$N1225)=0,"",INDEX(LdAAmt,$N1225)))</f>
        <v/>
      </c>
      <c r="E1225" s="16">
        <f>IF($N1225="","",SUMIFS(ShareAmt,ShareLink,$C1225))</f>
        <v/>
      </c>
      <c r="F1225" s="33">
        <f>IF($N1225="","",COUNTIF(ShareLink,$C1225))</f>
        <v/>
      </c>
      <c r="G1225" s="17">
        <f>IF($N1225="","",IF(ROUND($E1225-$D1225,0)=0,"√","▲ "&amp;TEXT($D1225-$E1225,"#,##0")))</f>
        <v/>
      </c>
      <c r="N1225">
        <f>IFERROR(MATCH($C$5&amp;"|"&amp;RIGHT("000000"&amp;1209,6),LdAKeyG,0),"")</f>
        <v/>
      </c>
    </row>
    <row r="1226">
      <c r="A1226" s="19" t="n">
        <v>1210</v>
      </c>
      <c r="B1226" s="20">
        <f>IF($N1226="","",INDEX(LdADate,$N1226))</f>
        <v/>
      </c>
      <c r="C1226" s="20">
        <f>IF($N1226="","",IF(INDEX(LdAId,$N1226)="","—",INDEX(LdAId,$N1226)))</f>
        <v/>
      </c>
      <c r="D1226" s="21">
        <f>IF($N1226="","",IF(INDEX(LdAAmt,$N1226)=0,"",INDEX(LdAAmt,$N1226)))</f>
        <v/>
      </c>
      <c r="E1226" s="21">
        <f>IF($N1226="","",SUMIFS(ShareAmt,ShareLink,$C1226))</f>
        <v/>
      </c>
      <c r="F1226" s="34">
        <f>IF($N1226="","",COUNTIF(ShareLink,$C1226))</f>
        <v/>
      </c>
      <c r="G1226" s="22">
        <f>IF($N1226="","",IF(ROUND($E1226-$D1226,0)=0,"√","▲ "&amp;TEXT($D1226-$E1226,"#,##0")))</f>
        <v/>
      </c>
      <c r="N1226">
        <f>IFERROR(MATCH($C$5&amp;"|"&amp;RIGHT("000000"&amp;1210,6),LdAKeyG,0),"")</f>
        <v/>
      </c>
    </row>
    <row r="1227">
      <c r="A1227" s="10" t="n">
        <v>1211</v>
      </c>
      <c r="B1227" s="14">
        <f>IF($N1227="","",INDEX(LdADate,$N1227))</f>
        <v/>
      </c>
      <c r="C1227" s="14">
        <f>IF($N1227="","",IF(INDEX(LdAId,$N1227)="","—",INDEX(LdAId,$N1227)))</f>
        <v/>
      </c>
      <c r="D1227" s="16">
        <f>IF($N1227="","",IF(INDEX(LdAAmt,$N1227)=0,"",INDEX(LdAAmt,$N1227)))</f>
        <v/>
      </c>
      <c r="E1227" s="16">
        <f>IF($N1227="","",SUMIFS(ShareAmt,ShareLink,$C1227))</f>
        <v/>
      </c>
      <c r="F1227" s="33">
        <f>IF($N1227="","",COUNTIF(ShareLink,$C1227))</f>
        <v/>
      </c>
      <c r="G1227" s="17">
        <f>IF($N1227="","",IF(ROUND($E1227-$D1227,0)=0,"√","▲ "&amp;TEXT($D1227-$E1227,"#,##0")))</f>
        <v/>
      </c>
      <c r="N1227">
        <f>IFERROR(MATCH($C$5&amp;"|"&amp;RIGHT("000000"&amp;1211,6),LdAKeyG,0),"")</f>
        <v/>
      </c>
    </row>
    <row r="1228">
      <c r="A1228" s="19" t="n">
        <v>1212</v>
      </c>
      <c r="B1228" s="20">
        <f>IF($N1228="","",INDEX(LdADate,$N1228))</f>
        <v/>
      </c>
      <c r="C1228" s="20">
        <f>IF($N1228="","",IF(INDEX(LdAId,$N1228)="","—",INDEX(LdAId,$N1228)))</f>
        <v/>
      </c>
      <c r="D1228" s="21">
        <f>IF($N1228="","",IF(INDEX(LdAAmt,$N1228)=0,"",INDEX(LdAAmt,$N1228)))</f>
        <v/>
      </c>
      <c r="E1228" s="21">
        <f>IF($N1228="","",SUMIFS(ShareAmt,ShareLink,$C1228))</f>
        <v/>
      </c>
      <c r="F1228" s="34">
        <f>IF($N1228="","",COUNTIF(ShareLink,$C1228))</f>
        <v/>
      </c>
      <c r="G1228" s="22">
        <f>IF($N1228="","",IF(ROUND($E1228-$D1228,0)=0,"√","▲ "&amp;TEXT($D1228-$E1228,"#,##0")))</f>
        <v/>
      </c>
      <c r="N1228">
        <f>IFERROR(MATCH($C$5&amp;"|"&amp;RIGHT("000000"&amp;1212,6),LdAKeyG,0),"")</f>
        <v/>
      </c>
    </row>
    <row r="1229">
      <c r="A1229" s="10" t="n">
        <v>1213</v>
      </c>
      <c r="B1229" s="14">
        <f>IF($N1229="","",INDEX(LdADate,$N1229))</f>
        <v/>
      </c>
      <c r="C1229" s="14">
        <f>IF($N1229="","",IF(INDEX(LdAId,$N1229)="","—",INDEX(LdAId,$N1229)))</f>
        <v/>
      </c>
      <c r="D1229" s="16">
        <f>IF($N1229="","",IF(INDEX(LdAAmt,$N1229)=0,"",INDEX(LdAAmt,$N1229)))</f>
        <v/>
      </c>
      <c r="E1229" s="16">
        <f>IF($N1229="","",SUMIFS(ShareAmt,ShareLink,$C1229))</f>
        <v/>
      </c>
      <c r="F1229" s="33">
        <f>IF($N1229="","",COUNTIF(ShareLink,$C1229))</f>
        <v/>
      </c>
      <c r="G1229" s="17">
        <f>IF($N1229="","",IF(ROUND($E1229-$D1229,0)=0,"√","▲ "&amp;TEXT($D1229-$E1229,"#,##0")))</f>
        <v/>
      </c>
      <c r="N1229">
        <f>IFERROR(MATCH($C$5&amp;"|"&amp;RIGHT("000000"&amp;1213,6),LdAKeyG,0),"")</f>
        <v/>
      </c>
    </row>
    <row r="1230">
      <c r="A1230" s="19" t="n">
        <v>1214</v>
      </c>
      <c r="B1230" s="20">
        <f>IF($N1230="","",INDEX(LdADate,$N1230))</f>
        <v/>
      </c>
      <c r="C1230" s="20">
        <f>IF($N1230="","",IF(INDEX(LdAId,$N1230)="","—",INDEX(LdAId,$N1230)))</f>
        <v/>
      </c>
      <c r="D1230" s="21">
        <f>IF($N1230="","",IF(INDEX(LdAAmt,$N1230)=0,"",INDEX(LdAAmt,$N1230)))</f>
        <v/>
      </c>
      <c r="E1230" s="21">
        <f>IF($N1230="","",SUMIFS(ShareAmt,ShareLink,$C1230))</f>
        <v/>
      </c>
      <c r="F1230" s="34">
        <f>IF($N1230="","",COUNTIF(ShareLink,$C1230))</f>
        <v/>
      </c>
      <c r="G1230" s="22">
        <f>IF($N1230="","",IF(ROUND($E1230-$D1230,0)=0,"√","▲ "&amp;TEXT($D1230-$E1230,"#,##0")))</f>
        <v/>
      </c>
      <c r="N1230">
        <f>IFERROR(MATCH($C$5&amp;"|"&amp;RIGHT("000000"&amp;1214,6),LdAKeyG,0),"")</f>
        <v/>
      </c>
    </row>
    <row r="1231">
      <c r="A1231" s="10" t="n">
        <v>1215</v>
      </c>
      <c r="B1231" s="14">
        <f>IF($N1231="","",INDEX(LdADate,$N1231))</f>
        <v/>
      </c>
      <c r="C1231" s="14">
        <f>IF($N1231="","",IF(INDEX(LdAId,$N1231)="","—",INDEX(LdAId,$N1231)))</f>
        <v/>
      </c>
      <c r="D1231" s="16">
        <f>IF($N1231="","",IF(INDEX(LdAAmt,$N1231)=0,"",INDEX(LdAAmt,$N1231)))</f>
        <v/>
      </c>
      <c r="E1231" s="16">
        <f>IF($N1231="","",SUMIFS(ShareAmt,ShareLink,$C1231))</f>
        <v/>
      </c>
      <c r="F1231" s="33">
        <f>IF($N1231="","",COUNTIF(ShareLink,$C1231))</f>
        <v/>
      </c>
      <c r="G1231" s="17">
        <f>IF($N1231="","",IF(ROUND($E1231-$D1231,0)=0,"√","▲ "&amp;TEXT($D1231-$E1231,"#,##0")))</f>
        <v/>
      </c>
      <c r="N1231">
        <f>IFERROR(MATCH($C$5&amp;"|"&amp;RIGHT("000000"&amp;1215,6),LdAKeyG,0),"")</f>
        <v/>
      </c>
    </row>
    <row r="1232">
      <c r="A1232" s="19" t="n">
        <v>1216</v>
      </c>
      <c r="B1232" s="20">
        <f>IF($N1232="","",INDEX(LdADate,$N1232))</f>
        <v/>
      </c>
      <c r="C1232" s="20">
        <f>IF($N1232="","",IF(INDEX(LdAId,$N1232)="","—",INDEX(LdAId,$N1232)))</f>
        <v/>
      </c>
      <c r="D1232" s="21">
        <f>IF($N1232="","",IF(INDEX(LdAAmt,$N1232)=0,"",INDEX(LdAAmt,$N1232)))</f>
        <v/>
      </c>
      <c r="E1232" s="21">
        <f>IF($N1232="","",SUMIFS(ShareAmt,ShareLink,$C1232))</f>
        <v/>
      </c>
      <c r="F1232" s="34">
        <f>IF($N1232="","",COUNTIF(ShareLink,$C1232))</f>
        <v/>
      </c>
      <c r="G1232" s="22">
        <f>IF($N1232="","",IF(ROUND($E1232-$D1232,0)=0,"√","▲ "&amp;TEXT($D1232-$E1232,"#,##0")))</f>
        <v/>
      </c>
      <c r="N1232">
        <f>IFERROR(MATCH($C$5&amp;"|"&amp;RIGHT("000000"&amp;1216,6),LdAKeyG,0),"")</f>
        <v/>
      </c>
    </row>
    <row r="1233">
      <c r="A1233" s="10" t="n">
        <v>1217</v>
      </c>
      <c r="B1233" s="14">
        <f>IF($N1233="","",INDEX(LdADate,$N1233))</f>
        <v/>
      </c>
      <c r="C1233" s="14">
        <f>IF($N1233="","",IF(INDEX(LdAId,$N1233)="","—",INDEX(LdAId,$N1233)))</f>
        <v/>
      </c>
      <c r="D1233" s="16">
        <f>IF($N1233="","",IF(INDEX(LdAAmt,$N1233)=0,"",INDEX(LdAAmt,$N1233)))</f>
        <v/>
      </c>
      <c r="E1233" s="16">
        <f>IF($N1233="","",SUMIFS(ShareAmt,ShareLink,$C1233))</f>
        <v/>
      </c>
      <c r="F1233" s="33">
        <f>IF($N1233="","",COUNTIF(ShareLink,$C1233))</f>
        <v/>
      </c>
      <c r="G1233" s="17">
        <f>IF($N1233="","",IF(ROUND($E1233-$D1233,0)=0,"√","▲ "&amp;TEXT($D1233-$E1233,"#,##0")))</f>
        <v/>
      </c>
      <c r="N1233">
        <f>IFERROR(MATCH($C$5&amp;"|"&amp;RIGHT("000000"&amp;1217,6),LdAKeyG,0),"")</f>
        <v/>
      </c>
    </row>
    <row r="1234">
      <c r="A1234" s="19" t="n">
        <v>1218</v>
      </c>
      <c r="B1234" s="20">
        <f>IF($N1234="","",INDEX(LdADate,$N1234))</f>
        <v/>
      </c>
      <c r="C1234" s="20">
        <f>IF($N1234="","",IF(INDEX(LdAId,$N1234)="","—",INDEX(LdAId,$N1234)))</f>
        <v/>
      </c>
      <c r="D1234" s="21">
        <f>IF($N1234="","",IF(INDEX(LdAAmt,$N1234)=0,"",INDEX(LdAAmt,$N1234)))</f>
        <v/>
      </c>
      <c r="E1234" s="21">
        <f>IF($N1234="","",SUMIFS(ShareAmt,ShareLink,$C1234))</f>
        <v/>
      </c>
      <c r="F1234" s="34">
        <f>IF($N1234="","",COUNTIF(ShareLink,$C1234))</f>
        <v/>
      </c>
      <c r="G1234" s="22">
        <f>IF($N1234="","",IF(ROUND($E1234-$D1234,0)=0,"√","▲ "&amp;TEXT($D1234-$E1234,"#,##0")))</f>
        <v/>
      </c>
      <c r="N1234">
        <f>IFERROR(MATCH($C$5&amp;"|"&amp;RIGHT("000000"&amp;1218,6),LdAKeyG,0),"")</f>
        <v/>
      </c>
    </row>
    <row r="1235">
      <c r="A1235" s="10" t="n">
        <v>1219</v>
      </c>
      <c r="B1235" s="14">
        <f>IF($N1235="","",INDEX(LdADate,$N1235))</f>
        <v/>
      </c>
      <c r="C1235" s="14">
        <f>IF($N1235="","",IF(INDEX(LdAId,$N1235)="","—",INDEX(LdAId,$N1235)))</f>
        <v/>
      </c>
      <c r="D1235" s="16">
        <f>IF($N1235="","",IF(INDEX(LdAAmt,$N1235)=0,"",INDEX(LdAAmt,$N1235)))</f>
        <v/>
      </c>
      <c r="E1235" s="16">
        <f>IF($N1235="","",SUMIFS(ShareAmt,ShareLink,$C1235))</f>
        <v/>
      </c>
      <c r="F1235" s="33">
        <f>IF($N1235="","",COUNTIF(ShareLink,$C1235))</f>
        <v/>
      </c>
      <c r="G1235" s="17">
        <f>IF($N1235="","",IF(ROUND($E1235-$D1235,0)=0,"√","▲ "&amp;TEXT($D1235-$E1235,"#,##0")))</f>
        <v/>
      </c>
      <c r="N1235">
        <f>IFERROR(MATCH($C$5&amp;"|"&amp;RIGHT("000000"&amp;1219,6),LdAKeyG,0),"")</f>
        <v/>
      </c>
    </row>
    <row r="1236">
      <c r="A1236" s="19" t="n">
        <v>1220</v>
      </c>
      <c r="B1236" s="20">
        <f>IF($N1236="","",INDEX(LdADate,$N1236))</f>
        <v/>
      </c>
      <c r="C1236" s="20">
        <f>IF($N1236="","",IF(INDEX(LdAId,$N1236)="","—",INDEX(LdAId,$N1236)))</f>
        <v/>
      </c>
      <c r="D1236" s="21">
        <f>IF($N1236="","",IF(INDEX(LdAAmt,$N1236)=0,"",INDEX(LdAAmt,$N1236)))</f>
        <v/>
      </c>
      <c r="E1236" s="21">
        <f>IF($N1236="","",SUMIFS(ShareAmt,ShareLink,$C1236))</f>
        <v/>
      </c>
      <c r="F1236" s="34">
        <f>IF($N1236="","",COUNTIF(ShareLink,$C1236))</f>
        <v/>
      </c>
      <c r="G1236" s="22">
        <f>IF($N1236="","",IF(ROUND($E1236-$D1236,0)=0,"√","▲ "&amp;TEXT($D1236-$E1236,"#,##0")))</f>
        <v/>
      </c>
      <c r="N1236">
        <f>IFERROR(MATCH($C$5&amp;"|"&amp;RIGHT("000000"&amp;1220,6),LdAKeyG,0),"")</f>
        <v/>
      </c>
    </row>
    <row r="1237">
      <c r="A1237" s="10" t="n">
        <v>1221</v>
      </c>
      <c r="B1237" s="14">
        <f>IF($N1237="","",INDEX(LdADate,$N1237))</f>
        <v/>
      </c>
      <c r="C1237" s="14">
        <f>IF($N1237="","",IF(INDEX(LdAId,$N1237)="","—",INDEX(LdAId,$N1237)))</f>
        <v/>
      </c>
      <c r="D1237" s="16">
        <f>IF($N1237="","",IF(INDEX(LdAAmt,$N1237)=0,"",INDEX(LdAAmt,$N1237)))</f>
        <v/>
      </c>
      <c r="E1237" s="16">
        <f>IF($N1237="","",SUMIFS(ShareAmt,ShareLink,$C1237))</f>
        <v/>
      </c>
      <c r="F1237" s="33">
        <f>IF($N1237="","",COUNTIF(ShareLink,$C1237))</f>
        <v/>
      </c>
      <c r="G1237" s="17">
        <f>IF($N1237="","",IF(ROUND($E1237-$D1237,0)=0,"√","▲ "&amp;TEXT($D1237-$E1237,"#,##0")))</f>
        <v/>
      </c>
      <c r="N1237">
        <f>IFERROR(MATCH($C$5&amp;"|"&amp;RIGHT("000000"&amp;1221,6),LdAKeyG,0),"")</f>
        <v/>
      </c>
    </row>
    <row r="1238">
      <c r="A1238" s="19" t="n">
        <v>1222</v>
      </c>
      <c r="B1238" s="20">
        <f>IF($N1238="","",INDEX(LdADate,$N1238))</f>
        <v/>
      </c>
      <c r="C1238" s="20">
        <f>IF($N1238="","",IF(INDEX(LdAId,$N1238)="","—",INDEX(LdAId,$N1238)))</f>
        <v/>
      </c>
      <c r="D1238" s="21">
        <f>IF($N1238="","",IF(INDEX(LdAAmt,$N1238)=0,"",INDEX(LdAAmt,$N1238)))</f>
        <v/>
      </c>
      <c r="E1238" s="21">
        <f>IF($N1238="","",SUMIFS(ShareAmt,ShareLink,$C1238))</f>
        <v/>
      </c>
      <c r="F1238" s="34">
        <f>IF($N1238="","",COUNTIF(ShareLink,$C1238))</f>
        <v/>
      </c>
      <c r="G1238" s="22">
        <f>IF($N1238="","",IF(ROUND($E1238-$D1238,0)=0,"√","▲ "&amp;TEXT($D1238-$E1238,"#,##0")))</f>
        <v/>
      </c>
      <c r="N1238">
        <f>IFERROR(MATCH($C$5&amp;"|"&amp;RIGHT("000000"&amp;1222,6),LdAKeyG,0),"")</f>
        <v/>
      </c>
    </row>
    <row r="1239">
      <c r="A1239" s="10" t="n">
        <v>1223</v>
      </c>
      <c r="B1239" s="14">
        <f>IF($N1239="","",INDEX(LdADate,$N1239))</f>
        <v/>
      </c>
      <c r="C1239" s="14">
        <f>IF($N1239="","",IF(INDEX(LdAId,$N1239)="","—",INDEX(LdAId,$N1239)))</f>
        <v/>
      </c>
      <c r="D1239" s="16">
        <f>IF($N1239="","",IF(INDEX(LdAAmt,$N1239)=0,"",INDEX(LdAAmt,$N1239)))</f>
        <v/>
      </c>
      <c r="E1239" s="16">
        <f>IF($N1239="","",SUMIFS(ShareAmt,ShareLink,$C1239))</f>
        <v/>
      </c>
      <c r="F1239" s="33">
        <f>IF($N1239="","",COUNTIF(ShareLink,$C1239))</f>
        <v/>
      </c>
      <c r="G1239" s="17">
        <f>IF($N1239="","",IF(ROUND($E1239-$D1239,0)=0,"√","▲ "&amp;TEXT($D1239-$E1239,"#,##0")))</f>
        <v/>
      </c>
      <c r="N1239">
        <f>IFERROR(MATCH($C$5&amp;"|"&amp;RIGHT("000000"&amp;1223,6),LdAKeyG,0),"")</f>
        <v/>
      </c>
    </row>
    <row r="1240">
      <c r="A1240" s="19" t="n">
        <v>1224</v>
      </c>
      <c r="B1240" s="20">
        <f>IF($N1240="","",INDEX(LdADate,$N1240))</f>
        <v/>
      </c>
      <c r="C1240" s="20">
        <f>IF($N1240="","",IF(INDEX(LdAId,$N1240)="","—",INDEX(LdAId,$N1240)))</f>
        <v/>
      </c>
      <c r="D1240" s="21">
        <f>IF($N1240="","",IF(INDEX(LdAAmt,$N1240)=0,"",INDEX(LdAAmt,$N1240)))</f>
        <v/>
      </c>
      <c r="E1240" s="21">
        <f>IF($N1240="","",SUMIFS(ShareAmt,ShareLink,$C1240))</f>
        <v/>
      </c>
      <c r="F1240" s="34">
        <f>IF($N1240="","",COUNTIF(ShareLink,$C1240))</f>
        <v/>
      </c>
      <c r="G1240" s="22">
        <f>IF($N1240="","",IF(ROUND($E1240-$D1240,0)=0,"√","▲ "&amp;TEXT($D1240-$E1240,"#,##0")))</f>
        <v/>
      </c>
      <c r="N1240">
        <f>IFERROR(MATCH($C$5&amp;"|"&amp;RIGHT("000000"&amp;1224,6),LdAKeyG,0),"")</f>
        <v/>
      </c>
    </row>
    <row r="1241">
      <c r="A1241" s="10" t="n">
        <v>1225</v>
      </c>
      <c r="B1241" s="14">
        <f>IF($N1241="","",INDEX(LdADate,$N1241))</f>
        <v/>
      </c>
      <c r="C1241" s="14">
        <f>IF($N1241="","",IF(INDEX(LdAId,$N1241)="","—",INDEX(LdAId,$N1241)))</f>
        <v/>
      </c>
      <c r="D1241" s="16">
        <f>IF($N1241="","",IF(INDEX(LdAAmt,$N1241)=0,"",INDEX(LdAAmt,$N1241)))</f>
        <v/>
      </c>
      <c r="E1241" s="16">
        <f>IF($N1241="","",SUMIFS(ShareAmt,ShareLink,$C1241))</f>
        <v/>
      </c>
      <c r="F1241" s="33">
        <f>IF($N1241="","",COUNTIF(ShareLink,$C1241))</f>
        <v/>
      </c>
      <c r="G1241" s="17">
        <f>IF($N1241="","",IF(ROUND($E1241-$D1241,0)=0,"√","▲ "&amp;TEXT($D1241-$E1241,"#,##0")))</f>
        <v/>
      </c>
      <c r="N1241">
        <f>IFERROR(MATCH($C$5&amp;"|"&amp;RIGHT("000000"&amp;1225,6),LdAKeyG,0),"")</f>
        <v/>
      </c>
    </row>
    <row r="1242">
      <c r="A1242" s="19" t="n">
        <v>1226</v>
      </c>
      <c r="B1242" s="20">
        <f>IF($N1242="","",INDEX(LdADate,$N1242))</f>
        <v/>
      </c>
      <c r="C1242" s="20">
        <f>IF($N1242="","",IF(INDEX(LdAId,$N1242)="","—",INDEX(LdAId,$N1242)))</f>
        <v/>
      </c>
      <c r="D1242" s="21">
        <f>IF($N1242="","",IF(INDEX(LdAAmt,$N1242)=0,"",INDEX(LdAAmt,$N1242)))</f>
        <v/>
      </c>
      <c r="E1242" s="21">
        <f>IF($N1242="","",SUMIFS(ShareAmt,ShareLink,$C1242))</f>
        <v/>
      </c>
      <c r="F1242" s="34">
        <f>IF($N1242="","",COUNTIF(ShareLink,$C1242))</f>
        <v/>
      </c>
      <c r="G1242" s="22">
        <f>IF($N1242="","",IF(ROUND($E1242-$D1242,0)=0,"√","▲ "&amp;TEXT($D1242-$E1242,"#,##0")))</f>
        <v/>
      </c>
      <c r="N1242">
        <f>IFERROR(MATCH($C$5&amp;"|"&amp;RIGHT("000000"&amp;1226,6),LdAKeyG,0),"")</f>
        <v/>
      </c>
    </row>
    <row r="1243">
      <c r="A1243" s="10" t="n">
        <v>1227</v>
      </c>
      <c r="B1243" s="14">
        <f>IF($N1243="","",INDEX(LdADate,$N1243))</f>
        <v/>
      </c>
      <c r="C1243" s="14">
        <f>IF($N1243="","",IF(INDEX(LdAId,$N1243)="","—",INDEX(LdAId,$N1243)))</f>
        <v/>
      </c>
      <c r="D1243" s="16">
        <f>IF($N1243="","",IF(INDEX(LdAAmt,$N1243)=0,"",INDEX(LdAAmt,$N1243)))</f>
        <v/>
      </c>
      <c r="E1243" s="16">
        <f>IF($N1243="","",SUMIFS(ShareAmt,ShareLink,$C1243))</f>
        <v/>
      </c>
      <c r="F1243" s="33">
        <f>IF($N1243="","",COUNTIF(ShareLink,$C1243))</f>
        <v/>
      </c>
      <c r="G1243" s="17">
        <f>IF($N1243="","",IF(ROUND($E1243-$D1243,0)=0,"√","▲ "&amp;TEXT($D1243-$E1243,"#,##0")))</f>
        <v/>
      </c>
      <c r="N1243">
        <f>IFERROR(MATCH($C$5&amp;"|"&amp;RIGHT("000000"&amp;1227,6),LdAKeyG,0),"")</f>
        <v/>
      </c>
    </row>
    <row r="1244">
      <c r="A1244" s="19" t="n">
        <v>1228</v>
      </c>
      <c r="B1244" s="20">
        <f>IF($N1244="","",INDEX(LdADate,$N1244))</f>
        <v/>
      </c>
      <c r="C1244" s="20">
        <f>IF($N1244="","",IF(INDEX(LdAId,$N1244)="","—",INDEX(LdAId,$N1244)))</f>
        <v/>
      </c>
      <c r="D1244" s="21">
        <f>IF($N1244="","",IF(INDEX(LdAAmt,$N1244)=0,"",INDEX(LdAAmt,$N1244)))</f>
        <v/>
      </c>
      <c r="E1244" s="21">
        <f>IF($N1244="","",SUMIFS(ShareAmt,ShareLink,$C1244))</f>
        <v/>
      </c>
      <c r="F1244" s="34">
        <f>IF($N1244="","",COUNTIF(ShareLink,$C1244))</f>
        <v/>
      </c>
      <c r="G1244" s="22">
        <f>IF($N1244="","",IF(ROUND($E1244-$D1244,0)=0,"√","▲ "&amp;TEXT($D1244-$E1244,"#,##0")))</f>
        <v/>
      </c>
      <c r="N1244">
        <f>IFERROR(MATCH($C$5&amp;"|"&amp;RIGHT("000000"&amp;1228,6),LdAKeyG,0),"")</f>
        <v/>
      </c>
    </row>
    <row r="1245">
      <c r="A1245" s="10" t="n">
        <v>1229</v>
      </c>
      <c r="B1245" s="14">
        <f>IF($N1245="","",INDEX(LdADate,$N1245))</f>
        <v/>
      </c>
      <c r="C1245" s="14">
        <f>IF($N1245="","",IF(INDEX(LdAId,$N1245)="","—",INDEX(LdAId,$N1245)))</f>
        <v/>
      </c>
      <c r="D1245" s="16">
        <f>IF($N1245="","",IF(INDEX(LdAAmt,$N1245)=0,"",INDEX(LdAAmt,$N1245)))</f>
        <v/>
      </c>
      <c r="E1245" s="16">
        <f>IF($N1245="","",SUMIFS(ShareAmt,ShareLink,$C1245))</f>
        <v/>
      </c>
      <c r="F1245" s="33">
        <f>IF($N1245="","",COUNTIF(ShareLink,$C1245))</f>
        <v/>
      </c>
      <c r="G1245" s="17">
        <f>IF($N1245="","",IF(ROUND($E1245-$D1245,0)=0,"√","▲ "&amp;TEXT($D1245-$E1245,"#,##0")))</f>
        <v/>
      </c>
      <c r="N1245">
        <f>IFERROR(MATCH($C$5&amp;"|"&amp;RIGHT("000000"&amp;1229,6),LdAKeyG,0),"")</f>
        <v/>
      </c>
    </row>
    <row r="1246">
      <c r="A1246" s="19" t="n">
        <v>1230</v>
      </c>
      <c r="B1246" s="20">
        <f>IF($N1246="","",INDEX(LdADate,$N1246))</f>
        <v/>
      </c>
      <c r="C1246" s="20">
        <f>IF($N1246="","",IF(INDEX(LdAId,$N1246)="","—",INDEX(LdAId,$N1246)))</f>
        <v/>
      </c>
      <c r="D1246" s="21">
        <f>IF($N1246="","",IF(INDEX(LdAAmt,$N1246)=0,"",INDEX(LdAAmt,$N1246)))</f>
        <v/>
      </c>
      <c r="E1246" s="21">
        <f>IF($N1246="","",SUMIFS(ShareAmt,ShareLink,$C1246))</f>
        <v/>
      </c>
      <c r="F1246" s="34">
        <f>IF($N1246="","",COUNTIF(ShareLink,$C1246))</f>
        <v/>
      </c>
      <c r="G1246" s="22">
        <f>IF($N1246="","",IF(ROUND($E1246-$D1246,0)=0,"√","▲ "&amp;TEXT($D1246-$E1246,"#,##0")))</f>
        <v/>
      </c>
      <c r="N1246">
        <f>IFERROR(MATCH($C$5&amp;"|"&amp;RIGHT("000000"&amp;1230,6),LdAKeyG,0),"")</f>
        <v/>
      </c>
    </row>
    <row r="1247">
      <c r="A1247" s="10" t="n">
        <v>1231</v>
      </c>
      <c r="B1247" s="14">
        <f>IF($N1247="","",INDEX(LdADate,$N1247))</f>
        <v/>
      </c>
      <c r="C1247" s="14">
        <f>IF($N1247="","",IF(INDEX(LdAId,$N1247)="","—",INDEX(LdAId,$N1247)))</f>
        <v/>
      </c>
      <c r="D1247" s="16">
        <f>IF($N1247="","",IF(INDEX(LdAAmt,$N1247)=0,"",INDEX(LdAAmt,$N1247)))</f>
        <v/>
      </c>
      <c r="E1247" s="16">
        <f>IF($N1247="","",SUMIFS(ShareAmt,ShareLink,$C1247))</f>
        <v/>
      </c>
      <c r="F1247" s="33">
        <f>IF($N1247="","",COUNTIF(ShareLink,$C1247))</f>
        <v/>
      </c>
      <c r="G1247" s="17">
        <f>IF($N1247="","",IF(ROUND($E1247-$D1247,0)=0,"√","▲ "&amp;TEXT($D1247-$E1247,"#,##0")))</f>
        <v/>
      </c>
      <c r="N1247">
        <f>IFERROR(MATCH($C$5&amp;"|"&amp;RIGHT("000000"&amp;1231,6),LdAKeyG,0),"")</f>
        <v/>
      </c>
    </row>
    <row r="1248">
      <c r="A1248" s="19" t="n">
        <v>1232</v>
      </c>
      <c r="B1248" s="20">
        <f>IF($N1248="","",INDEX(LdADate,$N1248))</f>
        <v/>
      </c>
      <c r="C1248" s="20">
        <f>IF($N1248="","",IF(INDEX(LdAId,$N1248)="","—",INDEX(LdAId,$N1248)))</f>
        <v/>
      </c>
      <c r="D1248" s="21">
        <f>IF($N1248="","",IF(INDEX(LdAAmt,$N1248)=0,"",INDEX(LdAAmt,$N1248)))</f>
        <v/>
      </c>
      <c r="E1248" s="21">
        <f>IF($N1248="","",SUMIFS(ShareAmt,ShareLink,$C1248))</f>
        <v/>
      </c>
      <c r="F1248" s="34">
        <f>IF($N1248="","",COUNTIF(ShareLink,$C1248))</f>
        <v/>
      </c>
      <c r="G1248" s="22">
        <f>IF($N1248="","",IF(ROUND($E1248-$D1248,0)=0,"√","▲ "&amp;TEXT($D1248-$E1248,"#,##0")))</f>
        <v/>
      </c>
      <c r="N1248">
        <f>IFERROR(MATCH($C$5&amp;"|"&amp;RIGHT("000000"&amp;1232,6),LdAKeyG,0),"")</f>
        <v/>
      </c>
    </row>
    <row r="1249">
      <c r="A1249" s="10" t="n">
        <v>1233</v>
      </c>
      <c r="B1249" s="14">
        <f>IF($N1249="","",INDEX(LdADate,$N1249))</f>
        <v/>
      </c>
      <c r="C1249" s="14">
        <f>IF($N1249="","",IF(INDEX(LdAId,$N1249)="","—",INDEX(LdAId,$N1249)))</f>
        <v/>
      </c>
      <c r="D1249" s="16">
        <f>IF($N1249="","",IF(INDEX(LdAAmt,$N1249)=0,"",INDEX(LdAAmt,$N1249)))</f>
        <v/>
      </c>
      <c r="E1249" s="16">
        <f>IF($N1249="","",SUMIFS(ShareAmt,ShareLink,$C1249))</f>
        <v/>
      </c>
      <c r="F1249" s="33">
        <f>IF($N1249="","",COUNTIF(ShareLink,$C1249))</f>
        <v/>
      </c>
      <c r="G1249" s="17">
        <f>IF($N1249="","",IF(ROUND($E1249-$D1249,0)=0,"√","▲ "&amp;TEXT($D1249-$E1249,"#,##0")))</f>
        <v/>
      </c>
      <c r="N1249">
        <f>IFERROR(MATCH($C$5&amp;"|"&amp;RIGHT("000000"&amp;1233,6),LdAKeyG,0),"")</f>
        <v/>
      </c>
    </row>
    <row r="1250">
      <c r="A1250" s="19" t="n">
        <v>1234</v>
      </c>
      <c r="B1250" s="20">
        <f>IF($N1250="","",INDEX(LdADate,$N1250))</f>
        <v/>
      </c>
      <c r="C1250" s="20">
        <f>IF($N1250="","",IF(INDEX(LdAId,$N1250)="","—",INDEX(LdAId,$N1250)))</f>
        <v/>
      </c>
      <c r="D1250" s="21">
        <f>IF($N1250="","",IF(INDEX(LdAAmt,$N1250)=0,"",INDEX(LdAAmt,$N1250)))</f>
        <v/>
      </c>
      <c r="E1250" s="21">
        <f>IF($N1250="","",SUMIFS(ShareAmt,ShareLink,$C1250))</f>
        <v/>
      </c>
      <c r="F1250" s="34">
        <f>IF($N1250="","",COUNTIF(ShareLink,$C1250))</f>
        <v/>
      </c>
      <c r="G1250" s="22">
        <f>IF($N1250="","",IF(ROUND($E1250-$D1250,0)=0,"√","▲ "&amp;TEXT($D1250-$E1250,"#,##0")))</f>
        <v/>
      </c>
      <c r="N1250">
        <f>IFERROR(MATCH($C$5&amp;"|"&amp;RIGHT("000000"&amp;1234,6),LdAKeyG,0),"")</f>
        <v/>
      </c>
    </row>
    <row r="1251">
      <c r="A1251" s="10" t="n">
        <v>1235</v>
      </c>
      <c r="B1251" s="14">
        <f>IF($N1251="","",INDEX(LdADate,$N1251))</f>
        <v/>
      </c>
      <c r="C1251" s="14">
        <f>IF($N1251="","",IF(INDEX(LdAId,$N1251)="","—",INDEX(LdAId,$N1251)))</f>
        <v/>
      </c>
      <c r="D1251" s="16">
        <f>IF($N1251="","",IF(INDEX(LdAAmt,$N1251)=0,"",INDEX(LdAAmt,$N1251)))</f>
        <v/>
      </c>
      <c r="E1251" s="16">
        <f>IF($N1251="","",SUMIFS(ShareAmt,ShareLink,$C1251))</f>
        <v/>
      </c>
      <c r="F1251" s="33">
        <f>IF($N1251="","",COUNTIF(ShareLink,$C1251))</f>
        <v/>
      </c>
      <c r="G1251" s="17">
        <f>IF($N1251="","",IF(ROUND($E1251-$D1251,0)=0,"√","▲ "&amp;TEXT($D1251-$E1251,"#,##0")))</f>
        <v/>
      </c>
      <c r="N1251">
        <f>IFERROR(MATCH($C$5&amp;"|"&amp;RIGHT("000000"&amp;1235,6),LdAKeyG,0),"")</f>
        <v/>
      </c>
    </row>
    <row r="1252">
      <c r="A1252" s="19" t="n">
        <v>1236</v>
      </c>
      <c r="B1252" s="20">
        <f>IF($N1252="","",INDEX(LdADate,$N1252))</f>
        <v/>
      </c>
      <c r="C1252" s="20">
        <f>IF($N1252="","",IF(INDEX(LdAId,$N1252)="","—",INDEX(LdAId,$N1252)))</f>
        <v/>
      </c>
      <c r="D1252" s="21">
        <f>IF($N1252="","",IF(INDEX(LdAAmt,$N1252)=0,"",INDEX(LdAAmt,$N1252)))</f>
        <v/>
      </c>
      <c r="E1252" s="21">
        <f>IF($N1252="","",SUMIFS(ShareAmt,ShareLink,$C1252))</f>
        <v/>
      </c>
      <c r="F1252" s="34">
        <f>IF($N1252="","",COUNTIF(ShareLink,$C1252))</f>
        <v/>
      </c>
      <c r="G1252" s="22">
        <f>IF($N1252="","",IF(ROUND($E1252-$D1252,0)=0,"√","▲ "&amp;TEXT($D1252-$E1252,"#,##0")))</f>
        <v/>
      </c>
      <c r="N1252">
        <f>IFERROR(MATCH($C$5&amp;"|"&amp;RIGHT("000000"&amp;1236,6),LdAKeyG,0),"")</f>
        <v/>
      </c>
    </row>
    <row r="1253">
      <c r="A1253" s="10" t="n">
        <v>1237</v>
      </c>
      <c r="B1253" s="14">
        <f>IF($N1253="","",INDEX(LdADate,$N1253))</f>
        <v/>
      </c>
      <c r="C1253" s="14">
        <f>IF($N1253="","",IF(INDEX(LdAId,$N1253)="","—",INDEX(LdAId,$N1253)))</f>
        <v/>
      </c>
      <c r="D1253" s="16">
        <f>IF($N1253="","",IF(INDEX(LdAAmt,$N1253)=0,"",INDEX(LdAAmt,$N1253)))</f>
        <v/>
      </c>
      <c r="E1253" s="16">
        <f>IF($N1253="","",SUMIFS(ShareAmt,ShareLink,$C1253))</f>
        <v/>
      </c>
      <c r="F1253" s="33">
        <f>IF($N1253="","",COUNTIF(ShareLink,$C1253))</f>
        <v/>
      </c>
      <c r="G1253" s="17">
        <f>IF($N1253="","",IF(ROUND($E1253-$D1253,0)=0,"√","▲ "&amp;TEXT($D1253-$E1253,"#,##0")))</f>
        <v/>
      </c>
      <c r="N1253">
        <f>IFERROR(MATCH($C$5&amp;"|"&amp;RIGHT("000000"&amp;1237,6),LdAKeyG,0),"")</f>
        <v/>
      </c>
    </row>
    <row r="1254">
      <c r="A1254" s="19" t="n">
        <v>1238</v>
      </c>
      <c r="B1254" s="20">
        <f>IF($N1254="","",INDEX(LdADate,$N1254))</f>
        <v/>
      </c>
      <c r="C1254" s="20">
        <f>IF($N1254="","",IF(INDEX(LdAId,$N1254)="","—",INDEX(LdAId,$N1254)))</f>
        <v/>
      </c>
      <c r="D1254" s="21">
        <f>IF($N1254="","",IF(INDEX(LdAAmt,$N1254)=0,"",INDEX(LdAAmt,$N1254)))</f>
        <v/>
      </c>
      <c r="E1254" s="21">
        <f>IF($N1254="","",SUMIFS(ShareAmt,ShareLink,$C1254))</f>
        <v/>
      </c>
      <c r="F1254" s="34">
        <f>IF($N1254="","",COUNTIF(ShareLink,$C1254))</f>
        <v/>
      </c>
      <c r="G1254" s="22">
        <f>IF($N1254="","",IF(ROUND($E1254-$D1254,0)=0,"√","▲ "&amp;TEXT($D1254-$E1254,"#,##0")))</f>
        <v/>
      </c>
      <c r="N1254">
        <f>IFERROR(MATCH($C$5&amp;"|"&amp;RIGHT("000000"&amp;1238,6),LdAKeyG,0),"")</f>
        <v/>
      </c>
    </row>
    <row r="1255">
      <c r="A1255" s="10" t="n">
        <v>1239</v>
      </c>
      <c r="B1255" s="14">
        <f>IF($N1255="","",INDEX(LdADate,$N1255))</f>
        <v/>
      </c>
      <c r="C1255" s="14">
        <f>IF($N1255="","",IF(INDEX(LdAId,$N1255)="","—",INDEX(LdAId,$N1255)))</f>
        <v/>
      </c>
      <c r="D1255" s="16">
        <f>IF($N1255="","",IF(INDEX(LdAAmt,$N1255)=0,"",INDEX(LdAAmt,$N1255)))</f>
        <v/>
      </c>
      <c r="E1255" s="16">
        <f>IF($N1255="","",SUMIFS(ShareAmt,ShareLink,$C1255))</f>
        <v/>
      </c>
      <c r="F1255" s="33">
        <f>IF($N1255="","",COUNTIF(ShareLink,$C1255))</f>
        <v/>
      </c>
      <c r="G1255" s="17">
        <f>IF($N1255="","",IF(ROUND($E1255-$D1255,0)=0,"√","▲ "&amp;TEXT($D1255-$E1255,"#,##0")))</f>
        <v/>
      </c>
      <c r="N1255">
        <f>IFERROR(MATCH($C$5&amp;"|"&amp;RIGHT("000000"&amp;1239,6),LdAKeyG,0),"")</f>
        <v/>
      </c>
    </row>
    <row r="1256">
      <c r="A1256" s="19" t="n">
        <v>1240</v>
      </c>
      <c r="B1256" s="20">
        <f>IF($N1256="","",INDEX(LdADate,$N1256))</f>
        <v/>
      </c>
      <c r="C1256" s="20">
        <f>IF($N1256="","",IF(INDEX(LdAId,$N1256)="","—",INDEX(LdAId,$N1256)))</f>
        <v/>
      </c>
      <c r="D1256" s="21">
        <f>IF($N1256="","",IF(INDEX(LdAAmt,$N1256)=0,"",INDEX(LdAAmt,$N1256)))</f>
        <v/>
      </c>
      <c r="E1256" s="21">
        <f>IF($N1256="","",SUMIFS(ShareAmt,ShareLink,$C1256))</f>
        <v/>
      </c>
      <c r="F1256" s="34">
        <f>IF($N1256="","",COUNTIF(ShareLink,$C1256))</f>
        <v/>
      </c>
      <c r="G1256" s="22">
        <f>IF($N1256="","",IF(ROUND($E1256-$D1256,0)=0,"√","▲ "&amp;TEXT($D1256-$E1256,"#,##0")))</f>
        <v/>
      </c>
      <c r="N1256">
        <f>IFERROR(MATCH($C$5&amp;"|"&amp;RIGHT("000000"&amp;1240,6),LdAKeyG,0),"")</f>
        <v/>
      </c>
    </row>
    <row r="1257">
      <c r="A1257" s="10" t="n">
        <v>1241</v>
      </c>
      <c r="B1257" s="14">
        <f>IF($N1257="","",INDEX(LdADate,$N1257))</f>
        <v/>
      </c>
      <c r="C1257" s="14">
        <f>IF($N1257="","",IF(INDEX(LdAId,$N1257)="","—",INDEX(LdAId,$N1257)))</f>
        <v/>
      </c>
      <c r="D1257" s="16">
        <f>IF($N1257="","",IF(INDEX(LdAAmt,$N1257)=0,"",INDEX(LdAAmt,$N1257)))</f>
        <v/>
      </c>
      <c r="E1257" s="16">
        <f>IF($N1257="","",SUMIFS(ShareAmt,ShareLink,$C1257))</f>
        <v/>
      </c>
      <c r="F1257" s="33">
        <f>IF($N1257="","",COUNTIF(ShareLink,$C1257))</f>
        <v/>
      </c>
      <c r="G1257" s="17">
        <f>IF($N1257="","",IF(ROUND($E1257-$D1257,0)=0,"√","▲ "&amp;TEXT($D1257-$E1257,"#,##0")))</f>
        <v/>
      </c>
      <c r="N1257">
        <f>IFERROR(MATCH($C$5&amp;"|"&amp;RIGHT("000000"&amp;1241,6),LdAKeyG,0),"")</f>
        <v/>
      </c>
    </row>
    <row r="1258">
      <c r="A1258" s="19" t="n">
        <v>1242</v>
      </c>
      <c r="B1258" s="20">
        <f>IF($N1258="","",INDEX(LdADate,$N1258))</f>
        <v/>
      </c>
      <c r="C1258" s="20">
        <f>IF($N1258="","",IF(INDEX(LdAId,$N1258)="","—",INDEX(LdAId,$N1258)))</f>
        <v/>
      </c>
      <c r="D1258" s="21">
        <f>IF($N1258="","",IF(INDEX(LdAAmt,$N1258)=0,"",INDEX(LdAAmt,$N1258)))</f>
        <v/>
      </c>
      <c r="E1258" s="21">
        <f>IF($N1258="","",SUMIFS(ShareAmt,ShareLink,$C1258))</f>
        <v/>
      </c>
      <c r="F1258" s="34">
        <f>IF($N1258="","",COUNTIF(ShareLink,$C1258))</f>
        <v/>
      </c>
      <c r="G1258" s="22">
        <f>IF($N1258="","",IF(ROUND($E1258-$D1258,0)=0,"√","▲ "&amp;TEXT($D1258-$E1258,"#,##0")))</f>
        <v/>
      </c>
      <c r="N1258">
        <f>IFERROR(MATCH($C$5&amp;"|"&amp;RIGHT("000000"&amp;1242,6),LdAKeyG,0),"")</f>
        <v/>
      </c>
    </row>
    <row r="1259">
      <c r="A1259" s="10" t="n">
        <v>1243</v>
      </c>
      <c r="B1259" s="14">
        <f>IF($N1259="","",INDEX(LdADate,$N1259))</f>
        <v/>
      </c>
      <c r="C1259" s="14">
        <f>IF($N1259="","",IF(INDEX(LdAId,$N1259)="","—",INDEX(LdAId,$N1259)))</f>
        <v/>
      </c>
      <c r="D1259" s="16">
        <f>IF($N1259="","",IF(INDEX(LdAAmt,$N1259)=0,"",INDEX(LdAAmt,$N1259)))</f>
        <v/>
      </c>
      <c r="E1259" s="16">
        <f>IF($N1259="","",SUMIFS(ShareAmt,ShareLink,$C1259))</f>
        <v/>
      </c>
      <c r="F1259" s="33">
        <f>IF($N1259="","",COUNTIF(ShareLink,$C1259))</f>
        <v/>
      </c>
      <c r="G1259" s="17">
        <f>IF($N1259="","",IF(ROUND($E1259-$D1259,0)=0,"√","▲ "&amp;TEXT($D1259-$E1259,"#,##0")))</f>
        <v/>
      </c>
      <c r="N1259">
        <f>IFERROR(MATCH($C$5&amp;"|"&amp;RIGHT("000000"&amp;1243,6),LdAKeyG,0),"")</f>
        <v/>
      </c>
    </row>
    <row r="1260">
      <c r="A1260" s="19" t="n">
        <v>1244</v>
      </c>
      <c r="B1260" s="20">
        <f>IF($N1260="","",INDEX(LdADate,$N1260))</f>
        <v/>
      </c>
      <c r="C1260" s="20">
        <f>IF($N1260="","",IF(INDEX(LdAId,$N1260)="","—",INDEX(LdAId,$N1260)))</f>
        <v/>
      </c>
      <c r="D1260" s="21">
        <f>IF($N1260="","",IF(INDEX(LdAAmt,$N1260)=0,"",INDEX(LdAAmt,$N1260)))</f>
        <v/>
      </c>
      <c r="E1260" s="21">
        <f>IF($N1260="","",SUMIFS(ShareAmt,ShareLink,$C1260))</f>
        <v/>
      </c>
      <c r="F1260" s="34">
        <f>IF($N1260="","",COUNTIF(ShareLink,$C1260))</f>
        <v/>
      </c>
      <c r="G1260" s="22">
        <f>IF($N1260="","",IF(ROUND($E1260-$D1260,0)=0,"√","▲ "&amp;TEXT($D1260-$E1260,"#,##0")))</f>
        <v/>
      </c>
      <c r="N1260">
        <f>IFERROR(MATCH($C$5&amp;"|"&amp;RIGHT("000000"&amp;1244,6),LdAKeyG,0),"")</f>
        <v/>
      </c>
    </row>
    <row r="1261">
      <c r="A1261" s="10" t="n">
        <v>1245</v>
      </c>
      <c r="B1261" s="14">
        <f>IF($N1261="","",INDEX(LdADate,$N1261))</f>
        <v/>
      </c>
      <c r="C1261" s="14">
        <f>IF($N1261="","",IF(INDEX(LdAId,$N1261)="","—",INDEX(LdAId,$N1261)))</f>
        <v/>
      </c>
      <c r="D1261" s="16">
        <f>IF($N1261="","",IF(INDEX(LdAAmt,$N1261)=0,"",INDEX(LdAAmt,$N1261)))</f>
        <v/>
      </c>
      <c r="E1261" s="16">
        <f>IF($N1261="","",SUMIFS(ShareAmt,ShareLink,$C1261))</f>
        <v/>
      </c>
      <c r="F1261" s="33">
        <f>IF($N1261="","",COUNTIF(ShareLink,$C1261))</f>
        <v/>
      </c>
      <c r="G1261" s="17">
        <f>IF($N1261="","",IF(ROUND($E1261-$D1261,0)=0,"√","▲ "&amp;TEXT($D1261-$E1261,"#,##0")))</f>
        <v/>
      </c>
      <c r="N1261">
        <f>IFERROR(MATCH($C$5&amp;"|"&amp;RIGHT("000000"&amp;1245,6),LdAKeyG,0),"")</f>
        <v/>
      </c>
    </row>
    <row r="1262">
      <c r="A1262" s="19" t="n">
        <v>1246</v>
      </c>
      <c r="B1262" s="20">
        <f>IF($N1262="","",INDEX(LdADate,$N1262))</f>
        <v/>
      </c>
      <c r="C1262" s="20">
        <f>IF($N1262="","",IF(INDEX(LdAId,$N1262)="","—",INDEX(LdAId,$N1262)))</f>
        <v/>
      </c>
      <c r="D1262" s="21">
        <f>IF($N1262="","",IF(INDEX(LdAAmt,$N1262)=0,"",INDEX(LdAAmt,$N1262)))</f>
        <v/>
      </c>
      <c r="E1262" s="21">
        <f>IF($N1262="","",SUMIFS(ShareAmt,ShareLink,$C1262))</f>
        <v/>
      </c>
      <c r="F1262" s="34">
        <f>IF($N1262="","",COUNTIF(ShareLink,$C1262))</f>
        <v/>
      </c>
      <c r="G1262" s="22">
        <f>IF($N1262="","",IF(ROUND($E1262-$D1262,0)=0,"√","▲ "&amp;TEXT($D1262-$E1262,"#,##0")))</f>
        <v/>
      </c>
      <c r="N1262">
        <f>IFERROR(MATCH($C$5&amp;"|"&amp;RIGHT("000000"&amp;1246,6),LdAKeyG,0),"")</f>
        <v/>
      </c>
    </row>
    <row r="1263">
      <c r="A1263" s="10" t="n">
        <v>1247</v>
      </c>
      <c r="B1263" s="14">
        <f>IF($N1263="","",INDEX(LdADate,$N1263))</f>
        <v/>
      </c>
      <c r="C1263" s="14">
        <f>IF($N1263="","",IF(INDEX(LdAId,$N1263)="","—",INDEX(LdAId,$N1263)))</f>
        <v/>
      </c>
      <c r="D1263" s="16">
        <f>IF($N1263="","",IF(INDEX(LdAAmt,$N1263)=0,"",INDEX(LdAAmt,$N1263)))</f>
        <v/>
      </c>
      <c r="E1263" s="16">
        <f>IF($N1263="","",SUMIFS(ShareAmt,ShareLink,$C1263))</f>
        <v/>
      </c>
      <c r="F1263" s="33">
        <f>IF($N1263="","",COUNTIF(ShareLink,$C1263))</f>
        <v/>
      </c>
      <c r="G1263" s="17">
        <f>IF($N1263="","",IF(ROUND($E1263-$D1263,0)=0,"√","▲ "&amp;TEXT($D1263-$E1263,"#,##0")))</f>
        <v/>
      </c>
      <c r="N1263">
        <f>IFERROR(MATCH($C$5&amp;"|"&amp;RIGHT("000000"&amp;1247,6),LdAKeyG,0),"")</f>
        <v/>
      </c>
    </row>
    <row r="1264">
      <c r="A1264" s="19" t="n">
        <v>1248</v>
      </c>
      <c r="B1264" s="20">
        <f>IF($N1264="","",INDEX(LdADate,$N1264))</f>
        <v/>
      </c>
      <c r="C1264" s="20">
        <f>IF($N1264="","",IF(INDEX(LdAId,$N1264)="","—",INDEX(LdAId,$N1264)))</f>
        <v/>
      </c>
      <c r="D1264" s="21">
        <f>IF($N1264="","",IF(INDEX(LdAAmt,$N1264)=0,"",INDEX(LdAAmt,$N1264)))</f>
        <v/>
      </c>
      <c r="E1264" s="21">
        <f>IF($N1264="","",SUMIFS(ShareAmt,ShareLink,$C1264))</f>
        <v/>
      </c>
      <c r="F1264" s="34">
        <f>IF($N1264="","",COUNTIF(ShareLink,$C1264))</f>
        <v/>
      </c>
      <c r="G1264" s="22">
        <f>IF($N1264="","",IF(ROUND($E1264-$D1264,0)=0,"√","▲ "&amp;TEXT($D1264-$E1264,"#,##0")))</f>
        <v/>
      </c>
      <c r="N1264">
        <f>IFERROR(MATCH($C$5&amp;"|"&amp;RIGHT("000000"&amp;1248,6),LdAKeyG,0),"")</f>
        <v/>
      </c>
    </row>
    <row r="1265">
      <c r="A1265" s="10" t="n">
        <v>1249</v>
      </c>
      <c r="B1265" s="14">
        <f>IF($N1265="","",INDEX(LdADate,$N1265))</f>
        <v/>
      </c>
      <c r="C1265" s="14">
        <f>IF($N1265="","",IF(INDEX(LdAId,$N1265)="","—",INDEX(LdAId,$N1265)))</f>
        <v/>
      </c>
      <c r="D1265" s="16">
        <f>IF($N1265="","",IF(INDEX(LdAAmt,$N1265)=0,"",INDEX(LdAAmt,$N1265)))</f>
        <v/>
      </c>
      <c r="E1265" s="16">
        <f>IF($N1265="","",SUMIFS(ShareAmt,ShareLink,$C1265))</f>
        <v/>
      </c>
      <c r="F1265" s="33">
        <f>IF($N1265="","",COUNTIF(ShareLink,$C1265))</f>
        <v/>
      </c>
      <c r="G1265" s="17">
        <f>IF($N1265="","",IF(ROUND($E1265-$D1265,0)=0,"√","▲ "&amp;TEXT($D1265-$E1265,"#,##0")))</f>
        <v/>
      </c>
      <c r="N1265">
        <f>IFERROR(MATCH($C$5&amp;"|"&amp;RIGHT("000000"&amp;1249,6),LdAKeyG,0),"")</f>
        <v/>
      </c>
    </row>
    <row r="1266">
      <c r="A1266" s="19" t="n">
        <v>1250</v>
      </c>
      <c r="B1266" s="20">
        <f>IF($N1266="","",INDEX(LdADate,$N1266))</f>
        <v/>
      </c>
      <c r="C1266" s="20">
        <f>IF($N1266="","",IF(INDEX(LdAId,$N1266)="","—",INDEX(LdAId,$N1266)))</f>
        <v/>
      </c>
      <c r="D1266" s="21">
        <f>IF($N1266="","",IF(INDEX(LdAAmt,$N1266)=0,"",INDEX(LdAAmt,$N1266)))</f>
        <v/>
      </c>
      <c r="E1266" s="21">
        <f>IF($N1266="","",SUMIFS(ShareAmt,ShareLink,$C1266))</f>
        <v/>
      </c>
      <c r="F1266" s="34">
        <f>IF($N1266="","",COUNTIF(ShareLink,$C1266))</f>
        <v/>
      </c>
      <c r="G1266" s="22">
        <f>IF($N1266="","",IF(ROUND($E1266-$D1266,0)=0,"√","▲ "&amp;TEXT($D1266-$E1266,"#,##0")))</f>
        <v/>
      </c>
      <c r="N1266">
        <f>IFERROR(MATCH($C$5&amp;"|"&amp;RIGHT("000000"&amp;1250,6),LdAKeyG,0),"")</f>
        <v/>
      </c>
    </row>
    <row r="1267">
      <c r="A1267" s="10" t="n">
        <v>1251</v>
      </c>
      <c r="B1267" s="14">
        <f>IF($N1267="","",INDEX(LdADate,$N1267))</f>
        <v/>
      </c>
      <c r="C1267" s="14">
        <f>IF($N1267="","",IF(INDEX(LdAId,$N1267)="","—",INDEX(LdAId,$N1267)))</f>
        <v/>
      </c>
      <c r="D1267" s="16">
        <f>IF($N1267="","",IF(INDEX(LdAAmt,$N1267)=0,"",INDEX(LdAAmt,$N1267)))</f>
        <v/>
      </c>
      <c r="E1267" s="16">
        <f>IF($N1267="","",SUMIFS(ShareAmt,ShareLink,$C1267))</f>
        <v/>
      </c>
      <c r="F1267" s="33">
        <f>IF($N1267="","",COUNTIF(ShareLink,$C1267))</f>
        <v/>
      </c>
      <c r="G1267" s="17">
        <f>IF($N1267="","",IF(ROUND($E1267-$D1267,0)=0,"√","▲ "&amp;TEXT($D1267-$E1267,"#,##0")))</f>
        <v/>
      </c>
      <c r="N1267">
        <f>IFERROR(MATCH($C$5&amp;"|"&amp;RIGHT("000000"&amp;1251,6),LdAKeyG,0),"")</f>
        <v/>
      </c>
    </row>
    <row r="1268">
      <c r="A1268" s="19" t="n">
        <v>1252</v>
      </c>
      <c r="B1268" s="20">
        <f>IF($N1268="","",INDEX(LdADate,$N1268))</f>
        <v/>
      </c>
      <c r="C1268" s="20">
        <f>IF($N1268="","",IF(INDEX(LdAId,$N1268)="","—",INDEX(LdAId,$N1268)))</f>
        <v/>
      </c>
      <c r="D1268" s="21">
        <f>IF($N1268="","",IF(INDEX(LdAAmt,$N1268)=0,"",INDEX(LdAAmt,$N1268)))</f>
        <v/>
      </c>
      <c r="E1268" s="21">
        <f>IF($N1268="","",SUMIFS(ShareAmt,ShareLink,$C1268))</f>
        <v/>
      </c>
      <c r="F1268" s="34">
        <f>IF($N1268="","",COUNTIF(ShareLink,$C1268))</f>
        <v/>
      </c>
      <c r="G1268" s="22">
        <f>IF($N1268="","",IF(ROUND($E1268-$D1268,0)=0,"√","▲ "&amp;TEXT($D1268-$E1268,"#,##0")))</f>
        <v/>
      </c>
      <c r="N1268">
        <f>IFERROR(MATCH($C$5&amp;"|"&amp;RIGHT("000000"&amp;1252,6),LdAKeyG,0),"")</f>
        <v/>
      </c>
    </row>
    <row r="1269">
      <c r="A1269" s="10" t="n">
        <v>1253</v>
      </c>
      <c r="B1269" s="14">
        <f>IF($N1269="","",INDEX(LdADate,$N1269))</f>
        <v/>
      </c>
      <c r="C1269" s="14">
        <f>IF($N1269="","",IF(INDEX(LdAId,$N1269)="","—",INDEX(LdAId,$N1269)))</f>
        <v/>
      </c>
      <c r="D1269" s="16">
        <f>IF($N1269="","",IF(INDEX(LdAAmt,$N1269)=0,"",INDEX(LdAAmt,$N1269)))</f>
        <v/>
      </c>
      <c r="E1269" s="16">
        <f>IF($N1269="","",SUMIFS(ShareAmt,ShareLink,$C1269))</f>
        <v/>
      </c>
      <c r="F1269" s="33">
        <f>IF($N1269="","",COUNTIF(ShareLink,$C1269))</f>
        <v/>
      </c>
      <c r="G1269" s="17">
        <f>IF($N1269="","",IF(ROUND($E1269-$D1269,0)=0,"√","▲ "&amp;TEXT($D1269-$E1269,"#,##0")))</f>
        <v/>
      </c>
      <c r="N1269">
        <f>IFERROR(MATCH($C$5&amp;"|"&amp;RIGHT("000000"&amp;1253,6),LdAKeyG,0),"")</f>
        <v/>
      </c>
    </row>
    <row r="1270">
      <c r="A1270" s="19" t="n">
        <v>1254</v>
      </c>
      <c r="B1270" s="20">
        <f>IF($N1270="","",INDEX(LdADate,$N1270))</f>
        <v/>
      </c>
      <c r="C1270" s="20">
        <f>IF($N1270="","",IF(INDEX(LdAId,$N1270)="","—",INDEX(LdAId,$N1270)))</f>
        <v/>
      </c>
      <c r="D1270" s="21">
        <f>IF($N1270="","",IF(INDEX(LdAAmt,$N1270)=0,"",INDEX(LdAAmt,$N1270)))</f>
        <v/>
      </c>
      <c r="E1270" s="21">
        <f>IF($N1270="","",SUMIFS(ShareAmt,ShareLink,$C1270))</f>
        <v/>
      </c>
      <c r="F1270" s="34">
        <f>IF($N1270="","",COUNTIF(ShareLink,$C1270))</f>
        <v/>
      </c>
      <c r="G1270" s="22">
        <f>IF($N1270="","",IF(ROUND($E1270-$D1270,0)=0,"√","▲ "&amp;TEXT($D1270-$E1270,"#,##0")))</f>
        <v/>
      </c>
      <c r="N1270">
        <f>IFERROR(MATCH($C$5&amp;"|"&amp;RIGHT("000000"&amp;1254,6),LdAKeyG,0),"")</f>
        <v/>
      </c>
    </row>
    <row r="1271">
      <c r="A1271" s="10" t="n">
        <v>1255</v>
      </c>
      <c r="B1271" s="14">
        <f>IF($N1271="","",INDEX(LdADate,$N1271))</f>
        <v/>
      </c>
      <c r="C1271" s="14">
        <f>IF($N1271="","",IF(INDEX(LdAId,$N1271)="","—",INDEX(LdAId,$N1271)))</f>
        <v/>
      </c>
      <c r="D1271" s="16">
        <f>IF($N1271="","",IF(INDEX(LdAAmt,$N1271)=0,"",INDEX(LdAAmt,$N1271)))</f>
        <v/>
      </c>
      <c r="E1271" s="16">
        <f>IF($N1271="","",SUMIFS(ShareAmt,ShareLink,$C1271))</f>
        <v/>
      </c>
      <c r="F1271" s="33">
        <f>IF($N1271="","",COUNTIF(ShareLink,$C1271))</f>
        <v/>
      </c>
      <c r="G1271" s="17">
        <f>IF($N1271="","",IF(ROUND($E1271-$D1271,0)=0,"√","▲ "&amp;TEXT($D1271-$E1271,"#,##0")))</f>
        <v/>
      </c>
      <c r="N1271">
        <f>IFERROR(MATCH($C$5&amp;"|"&amp;RIGHT("000000"&amp;1255,6),LdAKeyG,0),"")</f>
        <v/>
      </c>
    </row>
    <row r="1272">
      <c r="A1272" s="19" t="n">
        <v>1256</v>
      </c>
      <c r="B1272" s="20">
        <f>IF($N1272="","",INDEX(LdADate,$N1272))</f>
        <v/>
      </c>
      <c r="C1272" s="20">
        <f>IF($N1272="","",IF(INDEX(LdAId,$N1272)="","—",INDEX(LdAId,$N1272)))</f>
        <v/>
      </c>
      <c r="D1272" s="21">
        <f>IF($N1272="","",IF(INDEX(LdAAmt,$N1272)=0,"",INDEX(LdAAmt,$N1272)))</f>
        <v/>
      </c>
      <c r="E1272" s="21">
        <f>IF($N1272="","",SUMIFS(ShareAmt,ShareLink,$C1272))</f>
        <v/>
      </c>
      <c r="F1272" s="34">
        <f>IF($N1272="","",COUNTIF(ShareLink,$C1272))</f>
        <v/>
      </c>
      <c r="G1272" s="22">
        <f>IF($N1272="","",IF(ROUND($E1272-$D1272,0)=0,"√","▲ "&amp;TEXT($D1272-$E1272,"#,##0")))</f>
        <v/>
      </c>
      <c r="N1272">
        <f>IFERROR(MATCH($C$5&amp;"|"&amp;RIGHT("000000"&amp;1256,6),LdAKeyG,0),"")</f>
        <v/>
      </c>
    </row>
    <row r="1273">
      <c r="A1273" s="10" t="n">
        <v>1257</v>
      </c>
      <c r="B1273" s="14">
        <f>IF($N1273="","",INDEX(LdADate,$N1273))</f>
        <v/>
      </c>
      <c r="C1273" s="14">
        <f>IF($N1273="","",IF(INDEX(LdAId,$N1273)="","—",INDEX(LdAId,$N1273)))</f>
        <v/>
      </c>
      <c r="D1273" s="16">
        <f>IF($N1273="","",IF(INDEX(LdAAmt,$N1273)=0,"",INDEX(LdAAmt,$N1273)))</f>
        <v/>
      </c>
      <c r="E1273" s="16">
        <f>IF($N1273="","",SUMIFS(ShareAmt,ShareLink,$C1273))</f>
        <v/>
      </c>
      <c r="F1273" s="33">
        <f>IF($N1273="","",COUNTIF(ShareLink,$C1273))</f>
        <v/>
      </c>
      <c r="G1273" s="17">
        <f>IF($N1273="","",IF(ROUND($E1273-$D1273,0)=0,"√","▲ "&amp;TEXT($D1273-$E1273,"#,##0")))</f>
        <v/>
      </c>
      <c r="N1273">
        <f>IFERROR(MATCH($C$5&amp;"|"&amp;RIGHT("000000"&amp;1257,6),LdAKeyG,0),"")</f>
        <v/>
      </c>
    </row>
    <row r="1274">
      <c r="A1274" s="19" t="n">
        <v>1258</v>
      </c>
      <c r="B1274" s="20">
        <f>IF($N1274="","",INDEX(LdADate,$N1274))</f>
        <v/>
      </c>
      <c r="C1274" s="20">
        <f>IF($N1274="","",IF(INDEX(LdAId,$N1274)="","—",INDEX(LdAId,$N1274)))</f>
        <v/>
      </c>
      <c r="D1274" s="21">
        <f>IF($N1274="","",IF(INDEX(LdAAmt,$N1274)=0,"",INDEX(LdAAmt,$N1274)))</f>
        <v/>
      </c>
      <c r="E1274" s="21">
        <f>IF($N1274="","",SUMIFS(ShareAmt,ShareLink,$C1274))</f>
        <v/>
      </c>
      <c r="F1274" s="34">
        <f>IF($N1274="","",COUNTIF(ShareLink,$C1274))</f>
        <v/>
      </c>
      <c r="G1274" s="22">
        <f>IF($N1274="","",IF(ROUND($E1274-$D1274,0)=0,"√","▲ "&amp;TEXT($D1274-$E1274,"#,##0")))</f>
        <v/>
      </c>
      <c r="N1274">
        <f>IFERROR(MATCH($C$5&amp;"|"&amp;RIGHT("000000"&amp;1258,6),LdAKeyG,0),"")</f>
        <v/>
      </c>
    </row>
    <row r="1275">
      <c r="A1275" s="10" t="n">
        <v>1259</v>
      </c>
      <c r="B1275" s="14">
        <f>IF($N1275="","",INDEX(LdADate,$N1275))</f>
        <v/>
      </c>
      <c r="C1275" s="14">
        <f>IF($N1275="","",IF(INDEX(LdAId,$N1275)="","—",INDEX(LdAId,$N1275)))</f>
        <v/>
      </c>
      <c r="D1275" s="16">
        <f>IF($N1275="","",IF(INDEX(LdAAmt,$N1275)=0,"",INDEX(LdAAmt,$N1275)))</f>
        <v/>
      </c>
      <c r="E1275" s="16">
        <f>IF($N1275="","",SUMIFS(ShareAmt,ShareLink,$C1275))</f>
        <v/>
      </c>
      <c r="F1275" s="33">
        <f>IF($N1275="","",COUNTIF(ShareLink,$C1275))</f>
        <v/>
      </c>
      <c r="G1275" s="17">
        <f>IF($N1275="","",IF(ROUND($E1275-$D1275,0)=0,"√","▲ "&amp;TEXT($D1275-$E1275,"#,##0")))</f>
        <v/>
      </c>
      <c r="N1275">
        <f>IFERROR(MATCH($C$5&amp;"|"&amp;RIGHT("000000"&amp;1259,6),LdAKeyG,0),"")</f>
        <v/>
      </c>
    </row>
    <row r="1276">
      <c r="A1276" s="19" t="n">
        <v>1260</v>
      </c>
      <c r="B1276" s="20">
        <f>IF($N1276="","",INDEX(LdADate,$N1276))</f>
        <v/>
      </c>
      <c r="C1276" s="20">
        <f>IF($N1276="","",IF(INDEX(LdAId,$N1276)="","—",INDEX(LdAId,$N1276)))</f>
        <v/>
      </c>
      <c r="D1276" s="21">
        <f>IF($N1276="","",IF(INDEX(LdAAmt,$N1276)=0,"",INDEX(LdAAmt,$N1276)))</f>
        <v/>
      </c>
      <c r="E1276" s="21">
        <f>IF($N1276="","",SUMIFS(ShareAmt,ShareLink,$C1276))</f>
        <v/>
      </c>
      <c r="F1276" s="34">
        <f>IF($N1276="","",COUNTIF(ShareLink,$C1276))</f>
        <v/>
      </c>
      <c r="G1276" s="22">
        <f>IF($N1276="","",IF(ROUND($E1276-$D1276,0)=0,"√","▲ "&amp;TEXT($D1276-$E1276,"#,##0")))</f>
        <v/>
      </c>
      <c r="N1276">
        <f>IFERROR(MATCH($C$5&amp;"|"&amp;RIGHT("000000"&amp;1260,6),LdAKeyG,0),"")</f>
        <v/>
      </c>
    </row>
    <row r="1277">
      <c r="A1277" s="10" t="n">
        <v>1261</v>
      </c>
      <c r="B1277" s="14">
        <f>IF($N1277="","",INDEX(LdADate,$N1277))</f>
        <v/>
      </c>
      <c r="C1277" s="14">
        <f>IF($N1277="","",IF(INDEX(LdAId,$N1277)="","—",INDEX(LdAId,$N1277)))</f>
        <v/>
      </c>
      <c r="D1277" s="16">
        <f>IF($N1277="","",IF(INDEX(LdAAmt,$N1277)=0,"",INDEX(LdAAmt,$N1277)))</f>
        <v/>
      </c>
      <c r="E1277" s="16">
        <f>IF($N1277="","",SUMIFS(ShareAmt,ShareLink,$C1277))</f>
        <v/>
      </c>
      <c r="F1277" s="33">
        <f>IF($N1277="","",COUNTIF(ShareLink,$C1277))</f>
        <v/>
      </c>
      <c r="G1277" s="17">
        <f>IF($N1277="","",IF(ROUND($E1277-$D1277,0)=0,"√","▲ "&amp;TEXT($D1277-$E1277,"#,##0")))</f>
        <v/>
      </c>
      <c r="N1277">
        <f>IFERROR(MATCH($C$5&amp;"|"&amp;RIGHT("000000"&amp;1261,6),LdAKeyG,0),"")</f>
        <v/>
      </c>
    </row>
    <row r="1278">
      <c r="A1278" s="19" t="n">
        <v>1262</v>
      </c>
      <c r="B1278" s="20">
        <f>IF($N1278="","",INDEX(LdADate,$N1278))</f>
        <v/>
      </c>
      <c r="C1278" s="20">
        <f>IF($N1278="","",IF(INDEX(LdAId,$N1278)="","—",INDEX(LdAId,$N1278)))</f>
        <v/>
      </c>
      <c r="D1278" s="21">
        <f>IF($N1278="","",IF(INDEX(LdAAmt,$N1278)=0,"",INDEX(LdAAmt,$N1278)))</f>
        <v/>
      </c>
      <c r="E1278" s="21">
        <f>IF($N1278="","",SUMIFS(ShareAmt,ShareLink,$C1278))</f>
        <v/>
      </c>
      <c r="F1278" s="34">
        <f>IF($N1278="","",COUNTIF(ShareLink,$C1278))</f>
        <v/>
      </c>
      <c r="G1278" s="22">
        <f>IF($N1278="","",IF(ROUND($E1278-$D1278,0)=0,"√","▲ "&amp;TEXT($D1278-$E1278,"#,##0")))</f>
        <v/>
      </c>
      <c r="N1278">
        <f>IFERROR(MATCH($C$5&amp;"|"&amp;RIGHT("000000"&amp;1262,6),LdAKeyG,0),"")</f>
        <v/>
      </c>
    </row>
    <row r="1279">
      <c r="A1279" s="10" t="n">
        <v>1263</v>
      </c>
      <c r="B1279" s="14">
        <f>IF($N1279="","",INDEX(LdADate,$N1279))</f>
        <v/>
      </c>
      <c r="C1279" s="14">
        <f>IF($N1279="","",IF(INDEX(LdAId,$N1279)="","—",INDEX(LdAId,$N1279)))</f>
        <v/>
      </c>
      <c r="D1279" s="16">
        <f>IF($N1279="","",IF(INDEX(LdAAmt,$N1279)=0,"",INDEX(LdAAmt,$N1279)))</f>
        <v/>
      </c>
      <c r="E1279" s="16">
        <f>IF($N1279="","",SUMIFS(ShareAmt,ShareLink,$C1279))</f>
        <v/>
      </c>
      <c r="F1279" s="33">
        <f>IF($N1279="","",COUNTIF(ShareLink,$C1279))</f>
        <v/>
      </c>
      <c r="G1279" s="17">
        <f>IF($N1279="","",IF(ROUND($E1279-$D1279,0)=0,"√","▲ "&amp;TEXT($D1279-$E1279,"#,##0")))</f>
        <v/>
      </c>
      <c r="N1279">
        <f>IFERROR(MATCH($C$5&amp;"|"&amp;RIGHT("000000"&amp;1263,6),LdAKeyG,0),"")</f>
        <v/>
      </c>
    </row>
    <row r="1280">
      <c r="A1280" s="19" t="n">
        <v>1264</v>
      </c>
      <c r="B1280" s="20">
        <f>IF($N1280="","",INDEX(LdADate,$N1280))</f>
        <v/>
      </c>
      <c r="C1280" s="20">
        <f>IF($N1280="","",IF(INDEX(LdAId,$N1280)="","—",INDEX(LdAId,$N1280)))</f>
        <v/>
      </c>
      <c r="D1280" s="21">
        <f>IF($N1280="","",IF(INDEX(LdAAmt,$N1280)=0,"",INDEX(LdAAmt,$N1280)))</f>
        <v/>
      </c>
      <c r="E1280" s="21">
        <f>IF($N1280="","",SUMIFS(ShareAmt,ShareLink,$C1280))</f>
        <v/>
      </c>
      <c r="F1280" s="34">
        <f>IF($N1280="","",COUNTIF(ShareLink,$C1280))</f>
        <v/>
      </c>
      <c r="G1280" s="22">
        <f>IF($N1280="","",IF(ROUND($E1280-$D1280,0)=0,"√","▲ "&amp;TEXT($D1280-$E1280,"#,##0")))</f>
        <v/>
      </c>
      <c r="N1280">
        <f>IFERROR(MATCH($C$5&amp;"|"&amp;RIGHT("000000"&amp;1264,6),LdAKeyG,0),"")</f>
        <v/>
      </c>
    </row>
    <row r="1281">
      <c r="A1281" s="10" t="n">
        <v>1265</v>
      </c>
      <c r="B1281" s="14">
        <f>IF($N1281="","",INDEX(LdADate,$N1281))</f>
        <v/>
      </c>
      <c r="C1281" s="14">
        <f>IF($N1281="","",IF(INDEX(LdAId,$N1281)="","—",INDEX(LdAId,$N1281)))</f>
        <v/>
      </c>
      <c r="D1281" s="16">
        <f>IF($N1281="","",IF(INDEX(LdAAmt,$N1281)=0,"",INDEX(LdAAmt,$N1281)))</f>
        <v/>
      </c>
      <c r="E1281" s="16">
        <f>IF($N1281="","",SUMIFS(ShareAmt,ShareLink,$C1281))</f>
        <v/>
      </c>
      <c r="F1281" s="33">
        <f>IF($N1281="","",COUNTIF(ShareLink,$C1281))</f>
        <v/>
      </c>
      <c r="G1281" s="17">
        <f>IF($N1281="","",IF(ROUND($E1281-$D1281,0)=0,"√","▲ "&amp;TEXT($D1281-$E1281,"#,##0")))</f>
        <v/>
      </c>
      <c r="N1281">
        <f>IFERROR(MATCH($C$5&amp;"|"&amp;RIGHT("000000"&amp;1265,6),LdAKeyG,0),"")</f>
        <v/>
      </c>
    </row>
    <row r="1282">
      <c r="A1282" s="19" t="n">
        <v>1266</v>
      </c>
      <c r="B1282" s="20">
        <f>IF($N1282="","",INDEX(LdADate,$N1282))</f>
        <v/>
      </c>
      <c r="C1282" s="20">
        <f>IF($N1282="","",IF(INDEX(LdAId,$N1282)="","—",INDEX(LdAId,$N1282)))</f>
        <v/>
      </c>
      <c r="D1282" s="21">
        <f>IF($N1282="","",IF(INDEX(LdAAmt,$N1282)=0,"",INDEX(LdAAmt,$N1282)))</f>
        <v/>
      </c>
      <c r="E1282" s="21">
        <f>IF($N1282="","",SUMIFS(ShareAmt,ShareLink,$C1282))</f>
        <v/>
      </c>
      <c r="F1282" s="34">
        <f>IF($N1282="","",COUNTIF(ShareLink,$C1282))</f>
        <v/>
      </c>
      <c r="G1282" s="22">
        <f>IF($N1282="","",IF(ROUND($E1282-$D1282,0)=0,"√","▲ "&amp;TEXT($D1282-$E1282,"#,##0")))</f>
        <v/>
      </c>
      <c r="N1282">
        <f>IFERROR(MATCH($C$5&amp;"|"&amp;RIGHT("000000"&amp;1266,6),LdAKeyG,0),"")</f>
        <v/>
      </c>
    </row>
    <row r="1283">
      <c r="A1283" s="10" t="n">
        <v>1267</v>
      </c>
      <c r="B1283" s="14">
        <f>IF($N1283="","",INDEX(LdADate,$N1283))</f>
        <v/>
      </c>
      <c r="C1283" s="14">
        <f>IF($N1283="","",IF(INDEX(LdAId,$N1283)="","—",INDEX(LdAId,$N1283)))</f>
        <v/>
      </c>
      <c r="D1283" s="16">
        <f>IF($N1283="","",IF(INDEX(LdAAmt,$N1283)=0,"",INDEX(LdAAmt,$N1283)))</f>
        <v/>
      </c>
      <c r="E1283" s="16">
        <f>IF($N1283="","",SUMIFS(ShareAmt,ShareLink,$C1283))</f>
        <v/>
      </c>
      <c r="F1283" s="33">
        <f>IF($N1283="","",COUNTIF(ShareLink,$C1283))</f>
        <v/>
      </c>
      <c r="G1283" s="17">
        <f>IF($N1283="","",IF(ROUND($E1283-$D1283,0)=0,"√","▲ "&amp;TEXT($D1283-$E1283,"#,##0")))</f>
        <v/>
      </c>
      <c r="N1283">
        <f>IFERROR(MATCH($C$5&amp;"|"&amp;RIGHT("000000"&amp;1267,6),LdAKeyG,0),"")</f>
        <v/>
      </c>
    </row>
    <row r="1284">
      <c r="A1284" s="19" t="n">
        <v>1268</v>
      </c>
      <c r="B1284" s="20">
        <f>IF($N1284="","",INDEX(LdADate,$N1284))</f>
        <v/>
      </c>
      <c r="C1284" s="20">
        <f>IF($N1284="","",IF(INDEX(LdAId,$N1284)="","—",INDEX(LdAId,$N1284)))</f>
        <v/>
      </c>
      <c r="D1284" s="21">
        <f>IF($N1284="","",IF(INDEX(LdAAmt,$N1284)=0,"",INDEX(LdAAmt,$N1284)))</f>
        <v/>
      </c>
      <c r="E1284" s="21">
        <f>IF($N1284="","",SUMIFS(ShareAmt,ShareLink,$C1284))</f>
        <v/>
      </c>
      <c r="F1284" s="34">
        <f>IF($N1284="","",COUNTIF(ShareLink,$C1284))</f>
        <v/>
      </c>
      <c r="G1284" s="22">
        <f>IF($N1284="","",IF(ROUND($E1284-$D1284,0)=0,"√","▲ "&amp;TEXT($D1284-$E1284,"#,##0")))</f>
        <v/>
      </c>
      <c r="N1284">
        <f>IFERROR(MATCH($C$5&amp;"|"&amp;RIGHT("000000"&amp;1268,6),LdAKeyG,0),"")</f>
        <v/>
      </c>
    </row>
    <row r="1285">
      <c r="A1285" s="10" t="n">
        <v>1269</v>
      </c>
      <c r="B1285" s="14">
        <f>IF($N1285="","",INDEX(LdADate,$N1285))</f>
        <v/>
      </c>
      <c r="C1285" s="14">
        <f>IF($N1285="","",IF(INDEX(LdAId,$N1285)="","—",INDEX(LdAId,$N1285)))</f>
        <v/>
      </c>
      <c r="D1285" s="16">
        <f>IF($N1285="","",IF(INDEX(LdAAmt,$N1285)=0,"",INDEX(LdAAmt,$N1285)))</f>
        <v/>
      </c>
      <c r="E1285" s="16">
        <f>IF($N1285="","",SUMIFS(ShareAmt,ShareLink,$C1285))</f>
        <v/>
      </c>
      <c r="F1285" s="33">
        <f>IF($N1285="","",COUNTIF(ShareLink,$C1285))</f>
        <v/>
      </c>
      <c r="G1285" s="17">
        <f>IF($N1285="","",IF(ROUND($E1285-$D1285,0)=0,"√","▲ "&amp;TEXT($D1285-$E1285,"#,##0")))</f>
        <v/>
      </c>
      <c r="N1285">
        <f>IFERROR(MATCH($C$5&amp;"|"&amp;RIGHT("000000"&amp;1269,6),LdAKeyG,0),"")</f>
        <v/>
      </c>
    </row>
    <row r="1286">
      <c r="A1286" s="19" t="n">
        <v>1270</v>
      </c>
      <c r="B1286" s="20">
        <f>IF($N1286="","",INDEX(LdADate,$N1286))</f>
        <v/>
      </c>
      <c r="C1286" s="20">
        <f>IF($N1286="","",IF(INDEX(LdAId,$N1286)="","—",INDEX(LdAId,$N1286)))</f>
        <v/>
      </c>
      <c r="D1286" s="21">
        <f>IF($N1286="","",IF(INDEX(LdAAmt,$N1286)=0,"",INDEX(LdAAmt,$N1286)))</f>
        <v/>
      </c>
      <c r="E1286" s="21">
        <f>IF($N1286="","",SUMIFS(ShareAmt,ShareLink,$C1286))</f>
        <v/>
      </c>
      <c r="F1286" s="34">
        <f>IF($N1286="","",COUNTIF(ShareLink,$C1286))</f>
        <v/>
      </c>
      <c r="G1286" s="22">
        <f>IF($N1286="","",IF(ROUND($E1286-$D1286,0)=0,"√","▲ "&amp;TEXT($D1286-$E1286,"#,##0")))</f>
        <v/>
      </c>
      <c r="N1286">
        <f>IFERROR(MATCH($C$5&amp;"|"&amp;RIGHT("000000"&amp;1270,6),LdAKeyG,0),"")</f>
        <v/>
      </c>
    </row>
    <row r="1287">
      <c r="A1287" s="10" t="n">
        <v>1271</v>
      </c>
      <c r="B1287" s="14">
        <f>IF($N1287="","",INDEX(LdADate,$N1287))</f>
        <v/>
      </c>
      <c r="C1287" s="14">
        <f>IF($N1287="","",IF(INDEX(LdAId,$N1287)="","—",INDEX(LdAId,$N1287)))</f>
        <v/>
      </c>
      <c r="D1287" s="16">
        <f>IF($N1287="","",IF(INDEX(LdAAmt,$N1287)=0,"",INDEX(LdAAmt,$N1287)))</f>
        <v/>
      </c>
      <c r="E1287" s="16">
        <f>IF($N1287="","",SUMIFS(ShareAmt,ShareLink,$C1287))</f>
        <v/>
      </c>
      <c r="F1287" s="33">
        <f>IF($N1287="","",COUNTIF(ShareLink,$C1287))</f>
        <v/>
      </c>
      <c r="G1287" s="17">
        <f>IF($N1287="","",IF(ROUND($E1287-$D1287,0)=0,"√","▲ "&amp;TEXT($D1287-$E1287,"#,##0")))</f>
        <v/>
      </c>
      <c r="N1287">
        <f>IFERROR(MATCH($C$5&amp;"|"&amp;RIGHT("000000"&amp;1271,6),LdAKeyG,0),"")</f>
        <v/>
      </c>
    </row>
    <row r="1288">
      <c r="A1288" s="19" t="n">
        <v>1272</v>
      </c>
      <c r="B1288" s="20">
        <f>IF($N1288="","",INDEX(LdADate,$N1288))</f>
        <v/>
      </c>
      <c r="C1288" s="20">
        <f>IF($N1288="","",IF(INDEX(LdAId,$N1288)="","—",INDEX(LdAId,$N1288)))</f>
        <v/>
      </c>
      <c r="D1288" s="21">
        <f>IF($N1288="","",IF(INDEX(LdAAmt,$N1288)=0,"",INDEX(LdAAmt,$N1288)))</f>
        <v/>
      </c>
      <c r="E1288" s="21">
        <f>IF($N1288="","",SUMIFS(ShareAmt,ShareLink,$C1288))</f>
        <v/>
      </c>
      <c r="F1288" s="34">
        <f>IF($N1288="","",COUNTIF(ShareLink,$C1288))</f>
        <v/>
      </c>
      <c r="G1288" s="22">
        <f>IF($N1288="","",IF(ROUND($E1288-$D1288,0)=0,"√","▲ "&amp;TEXT($D1288-$E1288,"#,##0")))</f>
        <v/>
      </c>
      <c r="N1288">
        <f>IFERROR(MATCH($C$5&amp;"|"&amp;RIGHT("000000"&amp;1272,6),LdAKeyG,0),"")</f>
        <v/>
      </c>
    </row>
    <row r="1289">
      <c r="A1289" s="10" t="n">
        <v>1273</v>
      </c>
      <c r="B1289" s="14">
        <f>IF($N1289="","",INDEX(LdADate,$N1289))</f>
        <v/>
      </c>
      <c r="C1289" s="14">
        <f>IF($N1289="","",IF(INDEX(LdAId,$N1289)="","—",INDEX(LdAId,$N1289)))</f>
        <v/>
      </c>
      <c r="D1289" s="16">
        <f>IF($N1289="","",IF(INDEX(LdAAmt,$N1289)=0,"",INDEX(LdAAmt,$N1289)))</f>
        <v/>
      </c>
      <c r="E1289" s="16">
        <f>IF($N1289="","",SUMIFS(ShareAmt,ShareLink,$C1289))</f>
        <v/>
      </c>
      <c r="F1289" s="33">
        <f>IF($N1289="","",COUNTIF(ShareLink,$C1289))</f>
        <v/>
      </c>
      <c r="G1289" s="17">
        <f>IF($N1289="","",IF(ROUND($E1289-$D1289,0)=0,"√","▲ "&amp;TEXT($D1289-$E1289,"#,##0")))</f>
        <v/>
      </c>
      <c r="N1289">
        <f>IFERROR(MATCH($C$5&amp;"|"&amp;RIGHT("000000"&amp;1273,6),LdAKeyG,0),"")</f>
        <v/>
      </c>
    </row>
    <row r="1290">
      <c r="A1290" s="19" t="n">
        <v>1274</v>
      </c>
      <c r="B1290" s="20">
        <f>IF($N1290="","",INDEX(LdADate,$N1290))</f>
        <v/>
      </c>
      <c r="C1290" s="20">
        <f>IF($N1290="","",IF(INDEX(LdAId,$N1290)="","—",INDEX(LdAId,$N1290)))</f>
        <v/>
      </c>
      <c r="D1290" s="21">
        <f>IF($N1290="","",IF(INDEX(LdAAmt,$N1290)=0,"",INDEX(LdAAmt,$N1290)))</f>
        <v/>
      </c>
      <c r="E1290" s="21">
        <f>IF($N1290="","",SUMIFS(ShareAmt,ShareLink,$C1290))</f>
        <v/>
      </c>
      <c r="F1290" s="34">
        <f>IF($N1290="","",COUNTIF(ShareLink,$C1290))</f>
        <v/>
      </c>
      <c r="G1290" s="22">
        <f>IF($N1290="","",IF(ROUND($E1290-$D1290,0)=0,"√","▲ "&amp;TEXT($D1290-$E1290,"#,##0")))</f>
        <v/>
      </c>
      <c r="N1290">
        <f>IFERROR(MATCH($C$5&amp;"|"&amp;RIGHT("000000"&amp;1274,6),LdAKeyG,0),"")</f>
        <v/>
      </c>
    </row>
    <row r="1291">
      <c r="A1291" s="10" t="n">
        <v>1275</v>
      </c>
      <c r="B1291" s="14">
        <f>IF($N1291="","",INDEX(LdADate,$N1291))</f>
        <v/>
      </c>
      <c r="C1291" s="14">
        <f>IF($N1291="","",IF(INDEX(LdAId,$N1291)="","—",INDEX(LdAId,$N1291)))</f>
        <v/>
      </c>
      <c r="D1291" s="16">
        <f>IF($N1291="","",IF(INDEX(LdAAmt,$N1291)=0,"",INDEX(LdAAmt,$N1291)))</f>
        <v/>
      </c>
      <c r="E1291" s="16">
        <f>IF($N1291="","",SUMIFS(ShareAmt,ShareLink,$C1291))</f>
        <v/>
      </c>
      <c r="F1291" s="33">
        <f>IF($N1291="","",COUNTIF(ShareLink,$C1291))</f>
        <v/>
      </c>
      <c r="G1291" s="17">
        <f>IF($N1291="","",IF(ROUND($E1291-$D1291,0)=0,"√","▲ "&amp;TEXT($D1291-$E1291,"#,##0")))</f>
        <v/>
      </c>
      <c r="N1291">
        <f>IFERROR(MATCH($C$5&amp;"|"&amp;RIGHT("000000"&amp;1275,6),LdAKeyG,0),"")</f>
        <v/>
      </c>
    </row>
    <row r="1292">
      <c r="A1292" s="19" t="n">
        <v>1276</v>
      </c>
      <c r="B1292" s="20">
        <f>IF($N1292="","",INDEX(LdADate,$N1292))</f>
        <v/>
      </c>
      <c r="C1292" s="20">
        <f>IF($N1292="","",IF(INDEX(LdAId,$N1292)="","—",INDEX(LdAId,$N1292)))</f>
        <v/>
      </c>
      <c r="D1292" s="21">
        <f>IF($N1292="","",IF(INDEX(LdAAmt,$N1292)=0,"",INDEX(LdAAmt,$N1292)))</f>
        <v/>
      </c>
      <c r="E1292" s="21">
        <f>IF($N1292="","",SUMIFS(ShareAmt,ShareLink,$C1292))</f>
        <v/>
      </c>
      <c r="F1292" s="34">
        <f>IF($N1292="","",COUNTIF(ShareLink,$C1292))</f>
        <v/>
      </c>
      <c r="G1292" s="22">
        <f>IF($N1292="","",IF(ROUND($E1292-$D1292,0)=0,"√","▲ "&amp;TEXT($D1292-$E1292,"#,##0")))</f>
        <v/>
      </c>
      <c r="N1292">
        <f>IFERROR(MATCH($C$5&amp;"|"&amp;RIGHT("000000"&amp;1276,6),LdAKeyG,0),"")</f>
        <v/>
      </c>
    </row>
    <row r="1293">
      <c r="A1293" s="10" t="n">
        <v>1277</v>
      </c>
      <c r="B1293" s="14">
        <f>IF($N1293="","",INDEX(LdADate,$N1293))</f>
        <v/>
      </c>
      <c r="C1293" s="14">
        <f>IF($N1293="","",IF(INDEX(LdAId,$N1293)="","—",INDEX(LdAId,$N1293)))</f>
        <v/>
      </c>
      <c r="D1293" s="16">
        <f>IF($N1293="","",IF(INDEX(LdAAmt,$N1293)=0,"",INDEX(LdAAmt,$N1293)))</f>
        <v/>
      </c>
      <c r="E1293" s="16">
        <f>IF($N1293="","",SUMIFS(ShareAmt,ShareLink,$C1293))</f>
        <v/>
      </c>
      <c r="F1293" s="33">
        <f>IF($N1293="","",COUNTIF(ShareLink,$C1293))</f>
        <v/>
      </c>
      <c r="G1293" s="17">
        <f>IF($N1293="","",IF(ROUND($E1293-$D1293,0)=0,"√","▲ "&amp;TEXT($D1293-$E1293,"#,##0")))</f>
        <v/>
      </c>
      <c r="N1293">
        <f>IFERROR(MATCH($C$5&amp;"|"&amp;RIGHT("000000"&amp;1277,6),LdAKeyG,0),"")</f>
        <v/>
      </c>
    </row>
    <row r="1294">
      <c r="A1294" s="19" t="n">
        <v>1278</v>
      </c>
      <c r="B1294" s="20">
        <f>IF($N1294="","",INDEX(LdADate,$N1294))</f>
        <v/>
      </c>
      <c r="C1294" s="20">
        <f>IF($N1294="","",IF(INDEX(LdAId,$N1294)="","—",INDEX(LdAId,$N1294)))</f>
        <v/>
      </c>
      <c r="D1294" s="21">
        <f>IF($N1294="","",IF(INDEX(LdAAmt,$N1294)=0,"",INDEX(LdAAmt,$N1294)))</f>
        <v/>
      </c>
      <c r="E1294" s="21">
        <f>IF($N1294="","",SUMIFS(ShareAmt,ShareLink,$C1294))</f>
        <v/>
      </c>
      <c r="F1294" s="34">
        <f>IF($N1294="","",COUNTIF(ShareLink,$C1294))</f>
        <v/>
      </c>
      <c r="G1294" s="22">
        <f>IF($N1294="","",IF(ROUND($E1294-$D1294,0)=0,"√","▲ "&amp;TEXT($D1294-$E1294,"#,##0")))</f>
        <v/>
      </c>
      <c r="N1294">
        <f>IFERROR(MATCH($C$5&amp;"|"&amp;RIGHT("000000"&amp;1278,6),LdAKeyG,0),"")</f>
        <v/>
      </c>
    </row>
    <row r="1295">
      <c r="A1295" s="10" t="n">
        <v>1279</v>
      </c>
      <c r="B1295" s="14">
        <f>IF($N1295="","",INDEX(LdADate,$N1295))</f>
        <v/>
      </c>
      <c r="C1295" s="14">
        <f>IF($N1295="","",IF(INDEX(LdAId,$N1295)="","—",INDEX(LdAId,$N1295)))</f>
        <v/>
      </c>
      <c r="D1295" s="16">
        <f>IF($N1295="","",IF(INDEX(LdAAmt,$N1295)=0,"",INDEX(LdAAmt,$N1295)))</f>
        <v/>
      </c>
      <c r="E1295" s="16">
        <f>IF($N1295="","",SUMIFS(ShareAmt,ShareLink,$C1295))</f>
        <v/>
      </c>
      <c r="F1295" s="33">
        <f>IF($N1295="","",COUNTIF(ShareLink,$C1295))</f>
        <v/>
      </c>
      <c r="G1295" s="17">
        <f>IF($N1295="","",IF(ROUND($E1295-$D1295,0)=0,"√","▲ "&amp;TEXT($D1295-$E1295,"#,##0")))</f>
        <v/>
      </c>
      <c r="N1295">
        <f>IFERROR(MATCH($C$5&amp;"|"&amp;RIGHT("000000"&amp;1279,6),LdAKeyG,0),"")</f>
        <v/>
      </c>
    </row>
    <row r="1296">
      <c r="A1296" s="19" t="n">
        <v>1280</v>
      </c>
      <c r="B1296" s="20">
        <f>IF($N1296="","",INDEX(LdADate,$N1296))</f>
        <v/>
      </c>
      <c r="C1296" s="20">
        <f>IF($N1296="","",IF(INDEX(LdAId,$N1296)="","—",INDEX(LdAId,$N1296)))</f>
        <v/>
      </c>
      <c r="D1296" s="21">
        <f>IF($N1296="","",IF(INDEX(LdAAmt,$N1296)=0,"",INDEX(LdAAmt,$N1296)))</f>
        <v/>
      </c>
      <c r="E1296" s="21">
        <f>IF($N1296="","",SUMIFS(ShareAmt,ShareLink,$C1296))</f>
        <v/>
      </c>
      <c r="F1296" s="34">
        <f>IF($N1296="","",COUNTIF(ShareLink,$C1296))</f>
        <v/>
      </c>
      <c r="G1296" s="22">
        <f>IF($N1296="","",IF(ROUND($E1296-$D1296,0)=0,"√","▲ "&amp;TEXT($D1296-$E1296,"#,##0")))</f>
        <v/>
      </c>
      <c r="N1296">
        <f>IFERROR(MATCH($C$5&amp;"|"&amp;RIGHT("000000"&amp;1280,6),LdAKeyG,0),"")</f>
        <v/>
      </c>
    </row>
    <row r="1297">
      <c r="A1297" s="10" t="n">
        <v>1281</v>
      </c>
      <c r="B1297" s="14">
        <f>IF($N1297="","",INDEX(LdADate,$N1297))</f>
        <v/>
      </c>
      <c r="C1297" s="14">
        <f>IF($N1297="","",IF(INDEX(LdAId,$N1297)="","—",INDEX(LdAId,$N1297)))</f>
        <v/>
      </c>
      <c r="D1297" s="16">
        <f>IF($N1297="","",IF(INDEX(LdAAmt,$N1297)=0,"",INDEX(LdAAmt,$N1297)))</f>
        <v/>
      </c>
      <c r="E1297" s="16">
        <f>IF($N1297="","",SUMIFS(ShareAmt,ShareLink,$C1297))</f>
        <v/>
      </c>
      <c r="F1297" s="33">
        <f>IF($N1297="","",COUNTIF(ShareLink,$C1297))</f>
        <v/>
      </c>
      <c r="G1297" s="17">
        <f>IF($N1297="","",IF(ROUND($E1297-$D1297,0)=0,"√","▲ "&amp;TEXT($D1297-$E1297,"#,##0")))</f>
        <v/>
      </c>
      <c r="N1297">
        <f>IFERROR(MATCH($C$5&amp;"|"&amp;RIGHT("000000"&amp;1281,6),LdAKeyG,0),"")</f>
        <v/>
      </c>
    </row>
    <row r="1298">
      <c r="A1298" s="19" t="n">
        <v>1282</v>
      </c>
      <c r="B1298" s="20">
        <f>IF($N1298="","",INDEX(LdADate,$N1298))</f>
        <v/>
      </c>
      <c r="C1298" s="20">
        <f>IF($N1298="","",IF(INDEX(LdAId,$N1298)="","—",INDEX(LdAId,$N1298)))</f>
        <v/>
      </c>
      <c r="D1298" s="21">
        <f>IF($N1298="","",IF(INDEX(LdAAmt,$N1298)=0,"",INDEX(LdAAmt,$N1298)))</f>
        <v/>
      </c>
      <c r="E1298" s="21">
        <f>IF($N1298="","",SUMIFS(ShareAmt,ShareLink,$C1298))</f>
        <v/>
      </c>
      <c r="F1298" s="34">
        <f>IF($N1298="","",COUNTIF(ShareLink,$C1298))</f>
        <v/>
      </c>
      <c r="G1298" s="22">
        <f>IF($N1298="","",IF(ROUND($E1298-$D1298,0)=0,"√","▲ "&amp;TEXT($D1298-$E1298,"#,##0")))</f>
        <v/>
      </c>
      <c r="N1298">
        <f>IFERROR(MATCH($C$5&amp;"|"&amp;RIGHT("000000"&amp;1282,6),LdAKeyG,0),"")</f>
        <v/>
      </c>
    </row>
    <row r="1299">
      <c r="A1299" s="10" t="n">
        <v>1283</v>
      </c>
      <c r="B1299" s="14">
        <f>IF($N1299="","",INDEX(LdADate,$N1299))</f>
        <v/>
      </c>
      <c r="C1299" s="14">
        <f>IF($N1299="","",IF(INDEX(LdAId,$N1299)="","—",INDEX(LdAId,$N1299)))</f>
        <v/>
      </c>
      <c r="D1299" s="16">
        <f>IF($N1299="","",IF(INDEX(LdAAmt,$N1299)=0,"",INDEX(LdAAmt,$N1299)))</f>
        <v/>
      </c>
      <c r="E1299" s="16">
        <f>IF($N1299="","",SUMIFS(ShareAmt,ShareLink,$C1299))</f>
        <v/>
      </c>
      <c r="F1299" s="33">
        <f>IF($N1299="","",COUNTIF(ShareLink,$C1299))</f>
        <v/>
      </c>
      <c r="G1299" s="17">
        <f>IF($N1299="","",IF(ROUND($E1299-$D1299,0)=0,"√","▲ "&amp;TEXT($D1299-$E1299,"#,##0")))</f>
        <v/>
      </c>
      <c r="N1299">
        <f>IFERROR(MATCH($C$5&amp;"|"&amp;RIGHT("000000"&amp;1283,6),LdAKeyG,0),"")</f>
        <v/>
      </c>
    </row>
    <row r="1300">
      <c r="A1300" s="19" t="n">
        <v>1284</v>
      </c>
      <c r="B1300" s="20">
        <f>IF($N1300="","",INDEX(LdADate,$N1300))</f>
        <v/>
      </c>
      <c r="C1300" s="20">
        <f>IF($N1300="","",IF(INDEX(LdAId,$N1300)="","—",INDEX(LdAId,$N1300)))</f>
        <v/>
      </c>
      <c r="D1300" s="21">
        <f>IF($N1300="","",IF(INDEX(LdAAmt,$N1300)=0,"",INDEX(LdAAmt,$N1300)))</f>
        <v/>
      </c>
      <c r="E1300" s="21">
        <f>IF($N1300="","",SUMIFS(ShareAmt,ShareLink,$C1300))</f>
        <v/>
      </c>
      <c r="F1300" s="34">
        <f>IF($N1300="","",COUNTIF(ShareLink,$C1300))</f>
        <v/>
      </c>
      <c r="G1300" s="22">
        <f>IF($N1300="","",IF(ROUND($E1300-$D1300,0)=0,"√","▲ "&amp;TEXT($D1300-$E1300,"#,##0")))</f>
        <v/>
      </c>
      <c r="N1300">
        <f>IFERROR(MATCH($C$5&amp;"|"&amp;RIGHT("000000"&amp;1284,6),LdAKeyG,0),"")</f>
        <v/>
      </c>
    </row>
    <row r="1301">
      <c r="A1301" s="10" t="n">
        <v>1285</v>
      </c>
      <c r="B1301" s="14">
        <f>IF($N1301="","",INDEX(LdADate,$N1301))</f>
        <v/>
      </c>
      <c r="C1301" s="14">
        <f>IF($N1301="","",IF(INDEX(LdAId,$N1301)="","—",INDEX(LdAId,$N1301)))</f>
        <v/>
      </c>
      <c r="D1301" s="16">
        <f>IF($N1301="","",IF(INDEX(LdAAmt,$N1301)=0,"",INDEX(LdAAmt,$N1301)))</f>
        <v/>
      </c>
      <c r="E1301" s="16">
        <f>IF($N1301="","",SUMIFS(ShareAmt,ShareLink,$C1301))</f>
        <v/>
      </c>
      <c r="F1301" s="33">
        <f>IF($N1301="","",COUNTIF(ShareLink,$C1301))</f>
        <v/>
      </c>
      <c r="G1301" s="17">
        <f>IF($N1301="","",IF(ROUND($E1301-$D1301,0)=0,"√","▲ "&amp;TEXT($D1301-$E1301,"#,##0")))</f>
        <v/>
      </c>
      <c r="N1301">
        <f>IFERROR(MATCH($C$5&amp;"|"&amp;RIGHT("000000"&amp;1285,6),LdAKeyG,0),"")</f>
        <v/>
      </c>
    </row>
    <row r="1302">
      <c r="A1302" s="19" t="n">
        <v>1286</v>
      </c>
      <c r="B1302" s="20">
        <f>IF($N1302="","",INDEX(LdADate,$N1302))</f>
        <v/>
      </c>
      <c r="C1302" s="20">
        <f>IF($N1302="","",IF(INDEX(LdAId,$N1302)="","—",INDEX(LdAId,$N1302)))</f>
        <v/>
      </c>
      <c r="D1302" s="21">
        <f>IF($N1302="","",IF(INDEX(LdAAmt,$N1302)=0,"",INDEX(LdAAmt,$N1302)))</f>
        <v/>
      </c>
      <c r="E1302" s="21">
        <f>IF($N1302="","",SUMIFS(ShareAmt,ShareLink,$C1302))</f>
        <v/>
      </c>
      <c r="F1302" s="34">
        <f>IF($N1302="","",COUNTIF(ShareLink,$C1302))</f>
        <v/>
      </c>
      <c r="G1302" s="22">
        <f>IF($N1302="","",IF(ROUND($E1302-$D1302,0)=0,"√","▲ "&amp;TEXT($D1302-$E1302,"#,##0")))</f>
        <v/>
      </c>
      <c r="N1302">
        <f>IFERROR(MATCH($C$5&amp;"|"&amp;RIGHT("000000"&amp;1286,6),LdAKeyG,0),"")</f>
        <v/>
      </c>
    </row>
    <row r="1303">
      <c r="A1303" s="10" t="n">
        <v>1287</v>
      </c>
      <c r="B1303" s="14">
        <f>IF($N1303="","",INDEX(LdADate,$N1303))</f>
        <v/>
      </c>
      <c r="C1303" s="14">
        <f>IF($N1303="","",IF(INDEX(LdAId,$N1303)="","—",INDEX(LdAId,$N1303)))</f>
        <v/>
      </c>
      <c r="D1303" s="16">
        <f>IF($N1303="","",IF(INDEX(LdAAmt,$N1303)=0,"",INDEX(LdAAmt,$N1303)))</f>
        <v/>
      </c>
      <c r="E1303" s="16">
        <f>IF($N1303="","",SUMIFS(ShareAmt,ShareLink,$C1303))</f>
        <v/>
      </c>
      <c r="F1303" s="33">
        <f>IF($N1303="","",COUNTIF(ShareLink,$C1303))</f>
        <v/>
      </c>
      <c r="G1303" s="17">
        <f>IF($N1303="","",IF(ROUND($E1303-$D1303,0)=0,"√","▲ "&amp;TEXT($D1303-$E1303,"#,##0")))</f>
        <v/>
      </c>
      <c r="N1303">
        <f>IFERROR(MATCH($C$5&amp;"|"&amp;RIGHT("000000"&amp;1287,6),LdAKeyG,0),"")</f>
        <v/>
      </c>
    </row>
    <row r="1304">
      <c r="A1304" s="19" t="n">
        <v>1288</v>
      </c>
      <c r="B1304" s="20">
        <f>IF($N1304="","",INDEX(LdADate,$N1304))</f>
        <v/>
      </c>
      <c r="C1304" s="20">
        <f>IF($N1304="","",IF(INDEX(LdAId,$N1304)="","—",INDEX(LdAId,$N1304)))</f>
        <v/>
      </c>
      <c r="D1304" s="21">
        <f>IF($N1304="","",IF(INDEX(LdAAmt,$N1304)=0,"",INDEX(LdAAmt,$N1304)))</f>
        <v/>
      </c>
      <c r="E1304" s="21">
        <f>IF($N1304="","",SUMIFS(ShareAmt,ShareLink,$C1304))</f>
        <v/>
      </c>
      <c r="F1304" s="34">
        <f>IF($N1304="","",COUNTIF(ShareLink,$C1304))</f>
        <v/>
      </c>
      <c r="G1304" s="22">
        <f>IF($N1304="","",IF(ROUND($E1304-$D1304,0)=0,"√","▲ "&amp;TEXT($D1304-$E1304,"#,##0")))</f>
        <v/>
      </c>
      <c r="N1304">
        <f>IFERROR(MATCH($C$5&amp;"|"&amp;RIGHT("000000"&amp;1288,6),LdAKeyG,0),"")</f>
        <v/>
      </c>
    </row>
    <row r="1305">
      <c r="A1305" s="10" t="n">
        <v>1289</v>
      </c>
      <c r="B1305" s="14">
        <f>IF($N1305="","",INDEX(LdADate,$N1305))</f>
        <v/>
      </c>
      <c r="C1305" s="14">
        <f>IF($N1305="","",IF(INDEX(LdAId,$N1305)="","—",INDEX(LdAId,$N1305)))</f>
        <v/>
      </c>
      <c r="D1305" s="16">
        <f>IF($N1305="","",IF(INDEX(LdAAmt,$N1305)=0,"",INDEX(LdAAmt,$N1305)))</f>
        <v/>
      </c>
      <c r="E1305" s="16">
        <f>IF($N1305="","",SUMIFS(ShareAmt,ShareLink,$C1305))</f>
        <v/>
      </c>
      <c r="F1305" s="33">
        <f>IF($N1305="","",COUNTIF(ShareLink,$C1305))</f>
        <v/>
      </c>
      <c r="G1305" s="17">
        <f>IF($N1305="","",IF(ROUND($E1305-$D1305,0)=0,"√","▲ "&amp;TEXT($D1305-$E1305,"#,##0")))</f>
        <v/>
      </c>
      <c r="N1305">
        <f>IFERROR(MATCH($C$5&amp;"|"&amp;RIGHT("000000"&amp;1289,6),LdAKeyG,0),"")</f>
        <v/>
      </c>
    </row>
    <row r="1306">
      <c r="A1306" s="19" t="n">
        <v>1290</v>
      </c>
      <c r="B1306" s="20">
        <f>IF($N1306="","",INDEX(LdADate,$N1306))</f>
        <v/>
      </c>
      <c r="C1306" s="20">
        <f>IF($N1306="","",IF(INDEX(LdAId,$N1306)="","—",INDEX(LdAId,$N1306)))</f>
        <v/>
      </c>
      <c r="D1306" s="21">
        <f>IF($N1306="","",IF(INDEX(LdAAmt,$N1306)=0,"",INDEX(LdAAmt,$N1306)))</f>
        <v/>
      </c>
      <c r="E1306" s="21">
        <f>IF($N1306="","",SUMIFS(ShareAmt,ShareLink,$C1306))</f>
        <v/>
      </c>
      <c r="F1306" s="34">
        <f>IF($N1306="","",COUNTIF(ShareLink,$C1306))</f>
        <v/>
      </c>
      <c r="G1306" s="22">
        <f>IF($N1306="","",IF(ROUND($E1306-$D1306,0)=0,"√","▲ "&amp;TEXT($D1306-$E1306,"#,##0")))</f>
        <v/>
      </c>
      <c r="N1306">
        <f>IFERROR(MATCH($C$5&amp;"|"&amp;RIGHT("000000"&amp;1290,6),LdAKeyG,0),"")</f>
        <v/>
      </c>
    </row>
    <row r="1307">
      <c r="A1307" s="10" t="n">
        <v>1291</v>
      </c>
      <c r="B1307" s="14">
        <f>IF($N1307="","",INDEX(LdADate,$N1307))</f>
        <v/>
      </c>
      <c r="C1307" s="14">
        <f>IF($N1307="","",IF(INDEX(LdAId,$N1307)="","—",INDEX(LdAId,$N1307)))</f>
        <v/>
      </c>
      <c r="D1307" s="16">
        <f>IF($N1307="","",IF(INDEX(LdAAmt,$N1307)=0,"",INDEX(LdAAmt,$N1307)))</f>
        <v/>
      </c>
      <c r="E1307" s="16">
        <f>IF($N1307="","",SUMIFS(ShareAmt,ShareLink,$C1307))</f>
        <v/>
      </c>
      <c r="F1307" s="33">
        <f>IF($N1307="","",COUNTIF(ShareLink,$C1307))</f>
        <v/>
      </c>
      <c r="G1307" s="17">
        <f>IF($N1307="","",IF(ROUND($E1307-$D1307,0)=0,"√","▲ "&amp;TEXT($D1307-$E1307,"#,##0")))</f>
        <v/>
      </c>
      <c r="N1307">
        <f>IFERROR(MATCH($C$5&amp;"|"&amp;RIGHT("000000"&amp;1291,6),LdAKeyG,0),"")</f>
        <v/>
      </c>
    </row>
    <row r="1308">
      <c r="A1308" s="19" t="n">
        <v>1292</v>
      </c>
      <c r="B1308" s="20">
        <f>IF($N1308="","",INDEX(LdADate,$N1308))</f>
        <v/>
      </c>
      <c r="C1308" s="20">
        <f>IF($N1308="","",IF(INDEX(LdAId,$N1308)="","—",INDEX(LdAId,$N1308)))</f>
        <v/>
      </c>
      <c r="D1308" s="21">
        <f>IF($N1308="","",IF(INDEX(LdAAmt,$N1308)=0,"",INDEX(LdAAmt,$N1308)))</f>
        <v/>
      </c>
      <c r="E1308" s="21">
        <f>IF($N1308="","",SUMIFS(ShareAmt,ShareLink,$C1308))</f>
        <v/>
      </c>
      <c r="F1308" s="34">
        <f>IF($N1308="","",COUNTIF(ShareLink,$C1308))</f>
        <v/>
      </c>
      <c r="G1308" s="22">
        <f>IF($N1308="","",IF(ROUND($E1308-$D1308,0)=0,"√","▲ "&amp;TEXT($D1308-$E1308,"#,##0")))</f>
        <v/>
      </c>
      <c r="N1308">
        <f>IFERROR(MATCH($C$5&amp;"|"&amp;RIGHT("000000"&amp;1292,6),LdAKeyG,0),"")</f>
        <v/>
      </c>
    </row>
    <row r="1309">
      <c r="A1309" s="10" t="n">
        <v>1293</v>
      </c>
      <c r="B1309" s="14">
        <f>IF($N1309="","",INDEX(LdADate,$N1309))</f>
        <v/>
      </c>
      <c r="C1309" s="14">
        <f>IF($N1309="","",IF(INDEX(LdAId,$N1309)="","—",INDEX(LdAId,$N1309)))</f>
        <v/>
      </c>
      <c r="D1309" s="16">
        <f>IF($N1309="","",IF(INDEX(LdAAmt,$N1309)=0,"",INDEX(LdAAmt,$N1309)))</f>
        <v/>
      </c>
      <c r="E1309" s="16">
        <f>IF($N1309="","",SUMIFS(ShareAmt,ShareLink,$C1309))</f>
        <v/>
      </c>
      <c r="F1309" s="33">
        <f>IF($N1309="","",COUNTIF(ShareLink,$C1309))</f>
        <v/>
      </c>
      <c r="G1309" s="17">
        <f>IF($N1309="","",IF(ROUND($E1309-$D1309,0)=0,"√","▲ "&amp;TEXT($D1309-$E1309,"#,##0")))</f>
        <v/>
      </c>
      <c r="N1309">
        <f>IFERROR(MATCH($C$5&amp;"|"&amp;RIGHT("000000"&amp;1293,6),LdAKeyG,0),"")</f>
        <v/>
      </c>
    </row>
    <row r="1310">
      <c r="A1310" s="19" t="n">
        <v>1294</v>
      </c>
      <c r="B1310" s="20">
        <f>IF($N1310="","",INDEX(LdADate,$N1310))</f>
        <v/>
      </c>
      <c r="C1310" s="20">
        <f>IF($N1310="","",IF(INDEX(LdAId,$N1310)="","—",INDEX(LdAId,$N1310)))</f>
        <v/>
      </c>
      <c r="D1310" s="21">
        <f>IF($N1310="","",IF(INDEX(LdAAmt,$N1310)=0,"",INDEX(LdAAmt,$N1310)))</f>
        <v/>
      </c>
      <c r="E1310" s="21">
        <f>IF($N1310="","",SUMIFS(ShareAmt,ShareLink,$C1310))</f>
        <v/>
      </c>
      <c r="F1310" s="34">
        <f>IF($N1310="","",COUNTIF(ShareLink,$C1310))</f>
        <v/>
      </c>
      <c r="G1310" s="22">
        <f>IF($N1310="","",IF(ROUND($E1310-$D1310,0)=0,"√","▲ "&amp;TEXT($D1310-$E1310,"#,##0")))</f>
        <v/>
      </c>
      <c r="N1310">
        <f>IFERROR(MATCH($C$5&amp;"|"&amp;RIGHT("000000"&amp;1294,6),LdAKeyG,0),"")</f>
        <v/>
      </c>
    </row>
    <row r="1311">
      <c r="A1311" s="10" t="n">
        <v>1295</v>
      </c>
      <c r="B1311" s="14">
        <f>IF($N1311="","",INDEX(LdADate,$N1311))</f>
        <v/>
      </c>
      <c r="C1311" s="14">
        <f>IF($N1311="","",IF(INDEX(LdAId,$N1311)="","—",INDEX(LdAId,$N1311)))</f>
        <v/>
      </c>
      <c r="D1311" s="16">
        <f>IF($N1311="","",IF(INDEX(LdAAmt,$N1311)=0,"",INDEX(LdAAmt,$N1311)))</f>
        <v/>
      </c>
      <c r="E1311" s="16">
        <f>IF($N1311="","",SUMIFS(ShareAmt,ShareLink,$C1311))</f>
        <v/>
      </c>
      <c r="F1311" s="33">
        <f>IF($N1311="","",COUNTIF(ShareLink,$C1311))</f>
        <v/>
      </c>
      <c r="G1311" s="17">
        <f>IF($N1311="","",IF(ROUND($E1311-$D1311,0)=0,"√","▲ "&amp;TEXT($D1311-$E1311,"#,##0")))</f>
        <v/>
      </c>
      <c r="N1311">
        <f>IFERROR(MATCH($C$5&amp;"|"&amp;RIGHT("000000"&amp;1295,6),LdAKeyG,0),"")</f>
        <v/>
      </c>
    </row>
    <row r="1312">
      <c r="A1312" s="19" t="n">
        <v>1296</v>
      </c>
      <c r="B1312" s="20">
        <f>IF($N1312="","",INDEX(LdADate,$N1312))</f>
        <v/>
      </c>
      <c r="C1312" s="20">
        <f>IF($N1312="","",IF(INDEX(LdAId,$N1312)="","—",INDEX(LdAId,$N1312)))</f>
        <v/>
      </c>
      <c r="D1312" s="21">
        <f>IF($N1312="","",IF(INDEX(LdAAmt,$N1312)=0,"",INDEX(LdAAmt,$N1312)))</f>
        <v/>
      </c>
      <c r="E1312" s="21">
        <f>IF($N1312="","",SUMIFS(ShareAmt,ShareLink,$C1312))</f>
        <v/>
      </c>
      <c r="F1312" s="34">
        <f>IF($N1312="","",COUNTIF(ShareLink,$C1312))</f>
        <v/>
      </c>
      <c r="G1312" s="22">
        <f>IF($N1312="","",IF(ROUND($E1312-$D1312,0)=0,"√","▲ "&amp;TEXT($D1312-$E1312,"#,##0")))</f>
        <v/>
      </c>
      <c r="N1312">
        <f>IFERROR(MATCH($C$5&amp;"|"&amp;RIGHT("000000"&amp;1296,6),LdAKeyG,0),"")</f>
        <v/>
      </c>
    </row>
    <row r="1313">
      <c r="A1313" s="10" t="n">
        <v>1297</v>
      </c>
      <c r="B1313" s="14">
        <f>IF($N1313="","",INDEX(LdADate,$N1313))</f>
        <v/>
      </c>
      <c r="C1313" s="14">
        <f>IF($N1313="","",IF(INDEX(LdAId,$N1313)="","—",INDEX(LdAId,$N1313)))</f>
        <v/>
      </c>
      <c r="D1313" s="16">
        <f>IF($N1313="","",IF(INDEX(LdAAmt,$N1313)=0,"",INDEX(LdAAmt,$N1313)))</f>
        <v/>
      </c>
      <c r="E1313" s="16">
        <f>IF($N1313="","",SUMIFS(ShareAmt,ShareLink,$C1313))</f>
        <v/>
      </c>
      <c r="F1313" s="33">
        <f>IF($N1313="","",COUNTIF(ShareLink,$C1313))</f>
        <v/>
      </c>
      <c r="G1313" s="17">
        <f>IF($N1313="","",IF(ROUND($E1313-$D1313,0)=0,"√","▲ "&amp;TEXT($D1313-$E1313,"#,##0")))</f>
        <v/>
      </c>
      <c r="N1313">
        <f>IFERROR(MATCH($C$5&amp;"|"&amp;RIGHT("000000"&amp;1297,6),LdAKeyG,0),"")</f>
        <v/>
      </c>
    </row>
    <row r="1314">
      <c r="A1314" s="19" t="n">
        <v>1298</v>
      </c>
      <c r="B1314" s="20">
        <f>IF($N1314="","",INDEX(LdADate,$N1314))</f>
        <v/>
      </c>
      <c r="C1314" s="20">
        <f>IF($N1314="","",IF(INDEX(LdAId,$N1314)="","—",INDEX(LdAId,$N1314)))</f>
        <v/>
      </c>
      <c r="D1314" s="21">
        <f>IF($N1314="","",IF(INDEX(LdAAmt,$N1314)=0,"",INDEX(LdAAmt,$N1314)))</f>
        <v/>
      </c>
      <c r="E1314" s="21">
        <f>IF($N1314="","",SUMIFS(ShareAmt,ShareLink,$C1314))</f>
        <v/>
      </c>
      <c r="F1314" s="34">
        <f>IF($N1314="","",COUNTIF(ShareLink,$C1314))</f>
        <v/>
      </c>
      <c r="G1314" s="22">
        <f>IF($N1314="","",IF(ROUND($E1314-$D1314,0)=0,"√","▲ "&amp;TEXT($D1314-$E1314,"#,##0")))</f>
        <v/>
      </c>
      <c r="N1314">
        <f>IFERROR(MATCH($C$5&amp;"|"&amp;RIGHT("000000"&amp;1298,6),LdAKeyG,0),"")</f>
        <v/>
      </c>
    </row>
    <row r="1315">
      <c r="A1315" s="10" t="n">
        <v>1299</v>
      </c>
      <c r="B1315" s="14">
        <f>IF($N1315="","",INDEX(LdADate,$N1315))</f>
        <v/>
      </c>
      <c r="C1315" s="14">
        <f>IF($N1315="","",IF(INDEX(LdAId,$N1315)="","—",INDEX(LdAId,$N1315)))</f>
        <v/>
      </c>
      <c r="D1315" s="16">
        <f>IF($N1315="","",IF(INDEX(LdAAmt,$N1315)=0,"",INDEX(LdAAmt,$N1315)))</f>
        <v/>
      </c>
      <c r="E1315" s="16">
        <f>IF($N1315="","",SUMIFS(ShareAmt,ShareLink,$C1315))</f>
        <v/>
      </c>
      <c r="F1315" s="33">
        <f>IF($N1315="","",COUNTIF(ShareLink,$C1315))</f>
        <v/>
      </c>
      <c r="G1315" s="17">
        <f>IF($N1315="","",IF(ROUND($E1315-$D1315,0)=0,"√","▲ "&amp;TEXT($D1315-$E1315,"#,##0")))</f>
        <v/>
      </c>
      <c r="N1315">
        <f>IFERROR(MATCH($C$5&amp;"|"&amp;RIGHT("000000"&amp;1299,6),LdAKeyG,0),"")</f>
        <v/>
      </c>
    </row>
    <row r="1316">
      <c r="A1316" s="19" t="n">
        <v>1300</v>
      </c>
      <c r="B1316" s="20">
        <f>IF($N1316="","",INDEX(LdADate,$N1316))</f>
        <v/>
      </c>
      <c r="C1316" s="20">
        <f>IF($N1316="","",IF(INDEX(LdAId,$N1316)="","—",INDEX(LdAId,$N1316)))</f>
        <v/>
      </c>
      <c r="D1316" s="21">
        <f>IF($N1316="","",IF(INDEX(LdAAmt,$N1316)=0,"",INDEX(LdAAmt,$N1316)))</f>
        <v/>
      </c>
      <c r="E1316" s="21">
        <f>IF($N1316="","",SUMIFS(ShareAmt,ShareLink,$C1316))</f>
        <v/>
      </c>
      <c r="F1316" s="34">
        <f>IF($N1316="","",COUNTIF(ShareLink,$C1316))</f>
        <v/>
      </c>
      <c r="G1316" s="22">
        <f>IF($N1316="","",IF(ROUND($E1316-$D1316,0)=0,"√","▲ "&amp;TEXT($D1316-$E1316,"#,##0")))</f>
        <v/>
      </c>
      <c r="N1316">
        <f>IFERROR(MATCH($C$5&amp;"|"&amp;RIGHT("000000"&amp;1300,6),LdAKeyG,0),"")</f>
        <v/>
      </c>
    </row>
    <row r="1317">
      <c r="A1317" s="10" t="n">
        <v>1301</v>
      </c>
      <c r="B1317" s="14">
        <f>IF($N1317="","",INDEX(LdADate,$N1317))</f>
        <v/>
      </c>
      <c r="C1317" s="14">
        <f>IF($N1317="","",IF(INDEX(LdAId,$N1317)="","—",INDEX(LdAId,$N1317)))</f>
        <v/>
      </c>
      <c r="D1317" s="16">
        <f>IF($N1317="","",IF(INDEX(LdAAmt,$N1317)=0,"",INDEX(LdAAmt,$N1317)))</f>
        <v/>
      </c>
      <c r="E1317" s="16">
        <f>IF($N1317="","",SUMIFS(ShareAmt,ShareLink,$C1317))</f>
        <v/>
      </c>
      <c r="F1317" s="33">
        <f>IF($N1317="","",COUNTIF(ShareLink,$C1317))</f>
        <v/>
      </c>
      <c r="G1317" s="17">
        <f>IF($N1317="","",IF(ROUND($E1317-$D1317,0)=0,"√","▲ "&amp;TEXT($D1317-$E1317,"#,##0")))</f>
        <v/>
      </c>
      <c r="N1317">
        <f>IFERROR(MATCH($C$5&amp;"|"&amp;RIGHT("000000"&amp;1301,6),LdAKeyG,0),"")</f>
        <v/>
      </c>
    </row>
    <row r="1318">
      <c r="A1318" s="19" t="n">
        <v>1302</v>
      </c>
      <c r="B1318" s="20">
        <f>IF($N1318="","",INDEX(LdADate,$N1318))</f>
        <v/>
      </c>
      <c r="C1318" s="20">
        <f>IF($N1318="","",IF(INDEX(LdAId,$N1318)="","—",INDEX(LdAId,$N1318)))</f>
        <v/>
      </c>
      <c r="D1318" s="21">
        <f>IF($N1318="","",IF(INDEX(LdAAmt,$N1318)=0,"",INDEX(LdAAmt,$N1318)))</f>
        <v/>
      </c>
      <c r="E1318" s="21">
        <f>IF($N1318="","",SUMIFS(ShareAmt,ShareLink,$C1318))</f>
        <v/>
      </c>
      <c r="F1318" s="34">
        <f>IF($N1318="","",COUNTIF(ShareLink,$C1318))</f>
        <v/>
      </c>
      <c r="G1318" s="22">
        <f>IF($N1318="","",IF(ROUND($E1318-$D1318,0)=0,"√","▲ "&amp;TEXT($D1318-$E1318,"#,##0")))</f>
        <v/>
      </c>
      <c r="N1318">
        <f>IFERROR(MATCH($C$5&amp;"|"&amp;RIGHT("000000"&amp;1302,6),LdAKeyG,0),"")</f>
        <v/>
      </c>
    </row>
    <row r="1319">
      <c r="A1319" s="10" t="n">
        <v>1303</v>
      </c>
      <c r="B1319" s="14">
        <f>IF($N1319="","",INDEX(LdADate,$N1319))</f>
        <v/>
      </c>
      <c r="C1319" s="14">
        <f>IF($N1319="","",IF(INDEX(LdAId,$N1319)="","—",INDEX(LdAId,$N1319)))</f>
        <v/>
      </c>
      <c r="D1319" s="16">
        <f>IF($N1319="","",IF(INDEX(LdAAmt,$N1319)=0,"",INDEX(LdAAmt,$N1319)))</f>
        <v/>
      </c>
      <c r="E1319" s="16">
        <f>IF($N1319="","",SUMIFS(ShareAmt,ShareLink,$C1319))</f>
        <v/>
      </c>
      <c r="F1319" s="33">
        <f>IF($N1319="","",COUNTIF(ShareLink,$C1319))</f>
        <v/>
      </c>
      <c r="G1319" s="17">
        <f>IF($N1319="","",IF(ROUND($E1319-$D1319,0)=0,"√","▲ "&amp;TEXT($D1319-$E1319,"#,##0")))</f>
        <v/>
      </c>
      <c r="N1319">
        <f>IFERROR(MATCH($C$5&amp;"|"&amp;RIGHT("000000"&amp;1303,6),LdAKeyG,0),"")</f>
        <v/>
      </c>
    </row>
    <row r="1320">
      <c r="A1320" s="19" t="n">
        <v>1304</v>
      </c>
      <c r="B1320" s="20">
        <f>IF($N1320="","",INDEX(LdADate,$N1320))</f>
        <v/>
      </c>
      <c r="C1320" s="20">
        <f>IF($N1320="","",IF(INDEX(LdAId,$N1320)="","—",INDEX(LdAId,$N1320)))</f>
        <v/>
      </c>
      <c r="D1320" s="21">
        <f>IF($N1320="","",IF(INDEX(LdAAmt,$N1320)=0,"",INDEX(LdAAmt,$N1320)))</f>
        <v/>
      </c>
      <c r="E1320" s="21">
        <f>IF($N1320="","",SUMIFS(ShareAmt,ShareLink,$C1320))</f>
        <v/>
      </c>
      <c r="F1320" s="34">
        <f>IF($N1320="","",COUNTIF(ShareLink,$C1320))</f>
        <v/>
      </c>
      <c r="G1320" s="22">
        <f>IF($N1320="","",IF(ROUND($E1320-$D1320,0)=0,"√","▲ "&amp;TEXT($D1320-$E1320,"#,##0")))</f>
        <v/>
      </c>
      <c r="N1320">
        <f>IFERROR(MATCH($C$5&amp;"|"&amp;RIGHT("000000"&amp;1304,6),LdAKeyG,0),"")</f>
        <v/>
      </c>
    </row>
    <row r="1321">
      <c r="A1321" s="10" t="n">
        <v>1305</v>
      </c>
      <c r="B1321" s="14">
        <f>IF($N1321="","",INDEX(LdADate,$N1321))</f>
        <v/>
      </c>
      <c r="C1321" s="14">
        <f>IF($N1321="","",IF(INDEX(LdAId,$N1321)="","—",INDEX(LdAId,$N1321)))</f>
        <v/>
      </c>
      <c r="D1321" s="16">
        <f>IF($N1321="","",IF(INDEX(LdAAmt,$N1321)=0,"",INDEX(LdAAmt,$N1321)))</f>
        <v/>
      </c>
      <c r="E1321" s="16">
        <f>IF($N1321="","",SUMIFS(ShareAmt,ShareLink,$C1321))</f>
        <v/>
      </c>
      <c r="F1321" s="33">
        <f>IF($N1321="","",COUNTIF(ShareLink,$C1321))</f>
        <v/>
      </c>
      <c r="G1321" s="17">
        <f>IF($N1321="","",IF(ROUND($E1321-$D1321,0)=0,"√","▲ "&amp;TEXT($D1321-$E1321,"#,##0")))</f>
        <v/>
      </c>
      <c r="N1321">
        <f>IFERROR(MATCH($C$5&amp;"|"&amp;RIGHT("000000"&amp;1305,6),LdAKeyG,0),"")</f>
        <v/>
      </c>
    </row>
    <row r="1322">
      <c r="A1322" s="19" t="n">
        <v>1306</v>
      </c>
      <c r="B1322" s="20">
        <f>IF($N1322="","",INDEX(LdADate,$N1322))</f>
        <v/>
      </c>
      <c r="C1322" s="20">
        <f>IF($N1322="","",IF(INDEX(LdAId,$N1322)="","—",INDEX(LdAId,$N1322)))</f>
        <v/>
      </c>
      <c r="D1322" s="21">
        <f>IF($N1322="","",IF(INDEX(LdAAmt,$N1322)=0,"",INDEX(LdAAmt,$N1322)))</f>
        <v/>
      </c>
      <c r="E1322" s="21">
        <f>IF($N1322="","",SUMIFS(ShareAmt,ShareLink,$C1322))</f>
        <v/>
      </c>
      <c r="F1322" s="34">
        <f>IF($N1322="","",COUNTIF(ShareLink,$C1322))</f>
        <v/>
      </c>
      <c r="G1322" s="22">
        <f>IF($N1322="","",IF(ROUND($E1322-$D1322,0)=0,"√","▲ "&amp;TEXT($D1322-$E1322,"#,##0")))</f>
        <v/>
      </c>
      <c r="N1322">
        <f>IFERROR(MATCH($C$5&amp;"|"&amp;RIGHT("000000"&amp;1306,6),LdAKeyG,0),"")</f>
        <v/>
      </c>
    </row>
    <row r="1323">
      <c r="A1323" s="10" t="n">
        <v>1307</v>
      </c>
      <c r="B1323" s="14">
        <f>IF($N1323="","",INDEX(LdADate,$N1323))</f>
        <v/>
      </c>
      <c r="C1323" s="14">
        <f>IF($N1323="","",IF(INDEX(LdAId,$N1323)="","—",INDEX(LdAId,$N1323)))</f>
        <v/>
      </c>
      <c r="D1323" s="16">
        <f>IF($N1323="","",IF(INDEX(LdAAmt,$N1323)=0,"",INDEX(LdAAmt,$N1323)))</f>
        <v/>
      </c>
      <c r="E1323" s="16">
        <f>IF($N1323="","",SUMIFS(ShareAmt,ShareLink,$C1323))</f>
        <v/>
      </c>
      <c r="F1323" s="33">
        <f>IF($N1323="","",COUNTIF(ShareLink,$C1323))</f>
        <v/>
      </c>
      <c r="G1323" s="17">
        <f>IF($N1323="","",IF(ROUND($E1323-$D1323,0)=0,"√","▲ "&amp;TEXT($D1323-$E1323,"#,##0")))</f>
        <v/>
      </c>
      <c r="N1323">
        <f>IFERROR(MATCH($C$5&amp;"|"&amp;RIGHT("000000"&amp;1307,6),LdAKeyG,0),"")</f>
        <v/>
      </c>
    </row>
    <row r="1324">
      <c r="A1324" s="19" t="n">
        <v>1308</v>
      </c>
      <c r="B1324" s="20">
        <f>IF($N1324="","",INDEX(LdADate,$N1324))</f>
        <v/>
      </c>
      <c r="C1324" s="20">
        <f>IF($N1324="","",IF(INDEX(LdAId,$N1324)="","—",INDEX(LdAId,$N1324)))</f>
        <v/>
      </c>
      <c r="D1324" s="21">
        <f>IF($N1324="","",IF(INDEX(LdAAmt,$N1324)=0,"",INDEX(LdAAmt,$N1324)))</f>
        <v/>
      </c>
      <c r="E1324" s="21">
        <f>IF($N1324="","",SUMIFS(ShareAmt,ShareLink,$C1324))</f>
        <v/>
      </c>
      <c r="F1324" s="34">
        <f>IF($N1324="","",COUNTIF(ShareLink,$C1324))</f>
        <v/>
      </c>
      <c r="G1324" s="22">
        <f>IF($N1324="","",IF(ROUND($E1324-$D1324,0)=0,"√","▲ "&amp;TEXT($D1324-$E1324,"#,##0")))</f>
        <v/>
      </c>
      <c r="N1324">
        <f>IFERROR(MATCH($C$5&amp;"|"&amp;RIGHT("000000"&amp;1308,6),LdAKeyG,0),"")</f>
        <v/>
      </c>
    </row>
    <row r="1325">
      <c r="A1325" s="10" t="n">
        <v>1309</v>
      </c>
      <c r="B1325" s="14">
        <f>IF($N1325="","",INDEX(LdADate,$N1325))</f>
        <v/>
      </c>
      <c r="C1325" s="14">
        <f>IF($N1325="","",IF(INDEX(LdAId,$N1325)="","—",INDEX(LdAId,$N1325)))</f>
        <v/>
      </c>
      <c r="D1325" s="16">
        <f>IF($N1325="","",IF(INDEX(LdAAmt,$N1325)=0,"",INDEX(LdAAmt,$N1325)))</f>
        <v/>
      </c>
      <c r="E1325" s="16">
        <f>IF($N1325="","",SUMIFS(ShareAmt,ShareLink,$C1325))</f>
        <v/>
      </c>
      <c r="F1325" s="33">
        <f>IF($N1325="","",COUNTIF(ShareLink,$C1325))</f>
        <v/>
      </c>
      <c r="G1325" s="17">
        <f>IF($N1325="","",IF(ROUND($E1325-$D1325,0)=0,"√","▲ "&amp;TEXT($D1325-$E1325,"#,##0")))</f>
        <v/>
      </c>
      <c r="N1325">
        <f>IFERROR(MATCH($C$5&amp;"|"&amp;RIGHT("000000"&amp;1309,6),LdAKeyG,0),"")</f>
        <v/>
      </c>
    </row>
    <row r="1326">
      <c r="A1326" s="19" t="n">
        <v>1310</v>
      </c>
      <c r="B1326" s="20">
        <f>IF($N1326="","",INDEX(LdADate,$N1326))</f>
        <v/>
      </c>
      <c r="C1326" s="20">
        <f>IF($N1326="","",IF(INDEX(LdAId,$N1326)="","—",INDEX(LdAId,$N1326)))</f>
        <v/>
      </c>
      <c r="D1326" s="21">
        <f>IF($N1326="","",IF(INDEX(LdAAmt,$N1326)=0,"",INDEX(LdAAmt,$N1326)))</f>
        <v/>
      </c>
      <c r="E1326" s="21">
        <f>IF($N1326="","",SUMIFS(ShareAmt,ShareLink,$C1326))</f>
        <v/>
      </c>
      <c r="F1326" s="34">
        <f>IF($N1326="","",COUNTIF(ShareLink,$C1326))</f>
        <v/>
      </c>
      <c r="G1326" s="22">
        <f>IF($N1326="","",IF(ROUND($E1326-$D1326,0)=0,"√","▲ "&amp;TEXT($D1326-$E1326,"#,##0")))</f>
        <v/>
      </c>
      <c r="N1326">
        <f>IFERROR(MATCH($C$5&amp;"|"&amp;RIGHT("000000"&amp;1310,6),LdAKeyG,0),"")</f>
        <v/>
      </c>
    </row>
    <row r="1327">
      <c r="A1327" s="10" t="n">
        <v>1311</v>
      </c>
      <c r="B1327" s="14">
        <f>IF($N1327="","",INDEX(LdADate,$N1327))</f>
        <v/>
      </c>
      <c r="C1327" s="14">
        <f>IF($N1327="","",IF(INDEX(LdAId,$N1327)="","—",INDEX(LdAId,$N1327)))</f>
        <v/>
      </c>
      <c r="D1327" s="16">
        <f>IF($N1327="","",IF(INDEX(LdAAmt,$N1327)=0,"",INDEX(LdAAmt,$N1327)))</f>
        <v/>
      </c>
      <c r="E1327" s="16">
        <f>IF($N1327="","",SUMIFS(ShareAmt,ShareLink,$C1327))</f>
        <v/>
      </c>
      <c r="F1327" s="33">
        <f>IF($N1327="","",COUNTIF(ShareLink,$C1327))</f>
        <v/>
      </c>
      <c r="G1327" s="17">
        <f>IF($N1327="","",IF(ROUND($E1327-$D1327,0)=0,"√","▲ "&amp;TEXT($D1327-$E1327,"#,##0")))</f>
        <v/>
      </c>
      <c r="N1327">
        <f>IFERROR(MATCH($C$5&amp;"|"&amp;RIGHT("000000"&amp;1311,6),LdAKeyG,0),"")</f>
        <v/>
      </c>
    </row>
    <row r="1328">
      <c r="A1328" s="19" t="n">
        <v>1312</v>
      </c>
      <c r="B1328" s="20">
        <f>IF($N1328="","",INDEX(LdADate,$N1328))</f>
        <v/>
      </c>
      <c r="C1328" s="20">
        <f>IF($N1328="","",IF(INDEX(LdAId,$N1328)="","—",INDEX(LdAId,$N1328)))</f>
        <v/>
      </c>
      <c r="D1328" s="21">
        <f>IF($N1328="","",IF(INDEX(LdAAmt,$N1328)=0,"",INDEX(LdAAmt,$N1328)))</f>
        <v/>
      </c>
      <c r="E1328" s="21">
        <f>IF($N1328="","",SUMIFS(ShareAmt,ShareLink,$C1328))</f>
        <v/>
      </c>
      <c r="F1328" s="34">
        <f>IF($N1328="","",COUNTIF(ShareLink,$C1328))</f>
        <v/>
      </c>
      <c r="G1328" s="22">
        <f>IF($N1328="","",IF(ROUND($E1328-$D1328,0)=0,"√","▲ "&amp;TEXT($D1328-$E1328,"#,##0")))</f>
        <v/>
      </c>
      <c r="N1328">
        <f>IFERROR(MATCH($C$5&amp;"|"&amp;RIGHT("000000"&amp;1312,6),LdAKeyG,0),"")</f>
        <v/>
      </c>
    </row>
    <row r="1329">
      <c r="A1329" s="10" t="n">
        <v>1313</v>
      </c>
      <c r="B1329" s="14">
        <f>IF($N1329="","",INDEX(LdADate,$N1329))</f>
        <v/>
      </c>
      <c r="C1329" s="14">
        <f>IF($N1329="","",IF(INDEX(LdAId,$N1329)="","—",INDEX(LdAId,$N1329)))</f>
        <v/>
      </c>
      <c r="D1329" s="16">
        <f>IF($N1329="","",IF(INDEX(LdAAmt,$N1329)=0,"",INDEX(LdAAmt,$N1329)))</f>
        <v/>
      </c>
      <c r="E1329" s="16">
        <f>IF($N1329="","",SUMIFS(ShareAmt,ShareLink,$C1329))</f>
        <v/>
      </c>
      <c r="F1329" s="33">
        <f>IF($N1329="","",COUNTIF(ShareLink,$C1329))</f>
        <v/>
      </c>
      <c r="G1329" s="17">
        <f>IF($N1329="","",IF(ROUND($E1329-$D1329,0)=0,"√","▲ "&amp;TEXT($D1329-$E1329,"#,##0")))</f>
        <v/>
      </c>
      <c r="N1329">
        <f>IFERROR(MATCH($C$5&amp;"|"&amp;RIGHT("000000"&amp;1313,6),LdAKeyG,0),"")</f>
        <v/>
      </c>
    </row>
    <row r="1330">
      <c r="A1330" s="19" t="n">
        <v>1314</v>
      </c>
      <c r="B1330" s="20">
        <f>IF($N1330="","",INDEX(LdADate,$N1330))</f>
        <v/>
      </c>
      <c r="C1330" s="20">
        <f>IF($N1330="","",IF(INDEX(LdAId,$N1330)="","—",INDEX(LdAId,$N1330)))</f>
        <v/>
      </c>
      <c r="D1330" s="21">
        <f>IF($N1330="","",IF(INDEX(LdAAmt,$N1330)=0,"",INDEX(LdAAmt,$N1330)))</f>
        <v/>
      </c>
      <c r="E1330" s="21">
        <f>IF($N1330="","",SUMIFS(ShareAmt,ShareLink,$C1330))</f>
        <v/>
      </c>
      <c r="F1330" s="34">
        <f>IF($N1330="","",COUNTIF(ShareLink,$C1330))</f>
        <v/>
      </c>
      <c r="G1330" s="22">
        <f>IF($N1330="","",IF(ROUND($E1330-$D1330,0)=0,"√","▲ "&amp;TEXT($D1330-$E1330,"#,##0")))</f>
        <v/>
      </c>
      <c r="N1330">
        <f>IFERROR(MATCH($C$5&amp;"|"&amp;RIGHT("000000"&amp;1314,6),LdAKeyG,0),"")</f>
        <v/>
      </c>
    </row>
    <row r="1331">
      <c r="A1331" s="10" t="n">
        <v>1315</v>
      </c>
      <c r="B1331" s="14">
        <f>IF($N1331="","",INDEX(LdADate,$N1331))</f>
        <v/>
      </c>
      <c r="C1331" s="14">
        <f>IF($N1331="","",IF(INDEX(LdAId,$N1331)="","—",INDEX(LdAId,$N1331)))</f>
        <v/>
      </c>
      <c r="D1331" s="16">
        <f>IF($N1331="","",IF(INDEX(LdAAmt,$N1331)=0,"",INDEX(LdAAmt,$N1331)))</f>
        <v/>
      </c>
      <c r="E1331" s="16">
        <f>IF($N1331="","",SUMIFS(ShareAmt,ShareLink,$C1331))</f>
        <v/>
      </c>
      <c r="F1331" s="33">
        <f>IF($N1331="","",COUNTIF(ShareLink,$C1331))</f>
        <v/>
      </c>
      <c r="G1331" s="17">
        <f>IF($N1331="","",IF(ROUND($E1331-$D1331,0)=0,"√","▲ "&amp;TEXT($D1331-$E1331,"#,##0")))</f>
        <v/>
      </c>
      <c r="N1331">
        <f>IFERROR(MATCH($C$5&amp;"|"&amp;RIGHT("000000"&amp;1315,6),LdAKeyG,0),"")</f>
        <v/>
      </c>
    </row>
    <row r="1332">
      <c r="A1332" s="19" t="n">
        <v>1316</v>
      </c>
      <c r="B1332" s="20">
        <f>IF($N1332="","",INDEX(LdADate,$N1332))</f>
        <v/>
      </c>
      <c r="C1332" s="20">
        <f>IF($N1332="","",IF(INDEX(LdAId,$N1332)="","—",INDEX(LdAId,$N1332)))</f>
        <v/>
      </c>
      <c r="D1332" s="21">
        <f>IF($N1332="","",IF(INDEX(LdAAmt,$N1332)=0,"",INDEX(LdAAmt,$N1332)))</f>
        <v/>
      </c>
      <c r="E1332" s="21">
        <f>IF($N1332="","",SUMIFS(ShareAmt,ShareLink,$C1332))</f>
        <v/>
      </c>
      <c r="F1332" s="34">
        <f>IF($N1332="","",COUNTIF(ShareLink,$C1332))</f>
        <v/>
      </c>
      <c r="G1332" s="22">
        <f>IF($N1332="","",IF(ROUND($E1332-$D1332,0)=0,"√","▲ "&amp;TEXT($D1332-$E1332,"#,##0")))</f>
        <v/>
      </c>
      <c r="N1332">
        <f>IFERROR(MATCH($C$5&amp;"|"&amp;RIGHT("000000"&amp;1316,6),LdAKeyG,0),"")</f>
        <v/>
      </c>
    </row>
    <row r="1333">
      <c r="A1333" s="10" t="n">
        <v>1317</v>
      </c>
      <c r="B1333" s="14">
        <f>IF($N1333="","",INDEX(LdADate,$N1333))</f>
        <v/>
      </c>
      <c r="C1333" s="14">
        <f>IF($N1333="","",IF(INDEX(LdAId,$N1333)="","—",INDEX(LdAId,$N1333)))</f>
        <v/>
      </c>
      <c r="D1333" s="16">
        <f>IF($N1333="","",IF(INDEX(LdAAmt,$N1333)=0,"",INDEX(LdAAmt,$N1333)))</f>
        <v/>
      </c>
      <c r="E1333" s="16">
        <f>IF($N1333="","",SUMIFS(ShareAmt,ShareLink,$C1333))</f>
        <v/>
      </c>
      <c r="F1333" s="33">
        <f>IF($N1333="","",COUNTIF(ShareLink,$C1333))</f>
        <v/>
      </c>
      <c r="G1333" s="17">
        <f>IF($N1333="","",IF(ROUND($E1333-$D1333,0)=0,"√","▲ "&amp;TEXT($D1333-$E1333,"#,##0")))</f>
        <v/>
      </c>
      <c r="N1333">
        <f>IFERROR(MATCH($C$5&amp;"|"&amp;RIGHT("000000"&amp;1317,6),LdAKeyG,0),"")</f>
        <v/>
      </c>
    </row>
    <row r="1334">
      <c r="A1334" s="19" t="n">
        <v>1318</v>
      </c>
      <c r="B1334" s="20">
        <f>IF($N1334="","",INDEX(LdADate,$N1334))</f>
        <v/>
      </c>
      <c r="C1334" s="20">
        <f>IF($N1334="","",IF(INDEX(LdAId,$N1334)="","—",INDEX(LdAId,$N1334)))</f>
        <v/>
      </c>
      <c r="D1334" s="21">
        <f>IF($N1334="","",IF(INDEX(LdAAmt,$N1334)=0,"",INDEX(LdAAmt,$N1334)))</f>
        <v/>
      </c>
      <c r="E1334" s="21">
        <f>IF($N1334="","",SUMIFS(ShareAmt,ShareLink,$C1334))</f>
        <v/>
      </c>
      <c r="F1334" s="34">
        <f>IF($N1334="","",COUNTIF(ShareLink,$C1334))</f>
        <v/>
      </c>
      <c r="G1334" s="22">
        <f>IF($N1334="","",IF(ROUND($E1334-$D1334,0)=0,"√","▲ "&amp;TEXT($D1334-$E1334,"#,##0")))</f>
        <v/>
      </c>
      <c r="N1334">
        <f>IFERROR(MATCH($C$5&amp;"|"&amp;RIGHT("000000"&amp;1318,6),LdAKeyG,0),"")</f>
        <v/>
      </c>
    </row>
    <row r="1335">
      <c r="A1335" s="10" t="n">
        <v>1319</v>
      </c>
      <c r="B1335" s="14">
        <f>IF($N1335="","",INDEX(LdADate,$N1335))</f>
        <v/>
      </c>
      <c r="C1335" s="14">
        <f>IF($N1335="","",IF(INDEX(LdAId,$N1335)="","—",INDEX(LdAId,$N1335)))</f>
        <v/>
      </c>
      <c r="D1335" s="16">
        <f>IF($N1335="","",IF(INDEX(LdAAmt,$N1335)=0,"",INDEX(LdAAmt,$N1335)))</f>
        <v/>
      </c>
      <c r="E1335" s="16">
        <f>IF($N1335="","",SUMIFS(ShareAmt,ShareLink,$C1335))</f>
        <v/>
      </c>
      <c r="F1335" s="33">
        <f>IF($N1335="","",COUNTIF(ShareLink,$C1335))</f>
        <v/>
      </c>
      <c r="G1335" s="17">
        <f>IF($N1335="","",IF(ROUND($E1335-$D1335,0)=0,"√","▲ "&amp;TEXT($D1335-$E1335,"#,##0")))</f>
        <v/>
      </c>
      <c r="N1335">
        <f>IFERROR(MATCH($C$5&amp;"|"&amp;RIGHT("000000"&amp;1319,6),LdAKeyG,0),"")</f>
        <v/>
      </c>
    </row>
    <row r="1336">
      <c r="A1336" s="19" t="n">
        <v>1320</v>
      </c>
      <c r="B1336" s="20">
        <f>IF($N1336="","",INDEX(LdADate,$N1336))</f>
        <v/>
      </c>
      <c r="C1336" s="20">
        <f>IF($N1336="","",IF(INDEX(LdAId,$N1336)="","—",INDEX(LdAId,$N1336)))</f>
        <v/>
      </c>
      <c r="D1336" s="21">
        <f>IF($N1336="","",IF(INDEX(LdAAmt,$N1336)=0,"",INDEX(LdAAmt,$N1336)))</f>
        <v/>
      </c>
      <c r="E1336" s="21">
        <f>IF($N1336="","",SUMIFS(ShareAmt,ShareLink,$C1336))</f>
        <v/>
      </c>
      <c r="F1336" s="34">
        <f>IF($N1336="","",COUNTIF(ShareLink,$C1336))</f>
        <v/>
      </c>
      <c r="G1336" s="22">
        <f>IF($N1336="","",IF(ROUND($E1336-$D1336,0)=0,"√","▲ "&amp;TEXT($D1336-$E1336,"#,##0")))</f>
        <v/>
      </c>
      <c r="N1336">
        <f>IFERROR(MATCH($C$5&amp;"|"&amp;RIGHT("000000"&amp;1320,6),LdAKeyG,0),"")</f>
        <v/>
      </c>
    </row>
    <row r="1337">
      <c r="A1337" s="10" t="n">
        <v>1321</v>
      </c>
      <c r="B1337" s="14">
        <f>IF($N1337="","",INDEX(LdADate,$N1337))</f>
        <v/>
      </c>
      <c r="C1337" s="14">
        <f>IF($N1337="","",IF(INDEX(LdAId,$N1337)="","—",INDEX(LdAId,$N1337)))</f>
        <v/>
      </c>
      <c r="D1337" s="16">
        <f>IF($N1337="","",IF(INDEX(LdAAmt,$N1337)=0,"",INDEX(LdAAmt,$N1337)))</f>
        <v/>
      </c>
      <c r="E1337" s="16">
        <f>IF($N1337="","",SUMIFS(ShareAmt,ShareLink,$C1337))</f>
        <v/>
      </c>
      <c r="F1337" s="33">
        <f>IF($N1337="","",COUNTIF(ShareLink,$C1337))</f>
        <v/>
      </c>
      <c r="G1337" s="17">
        <f>IF($N1337="","",IF(ROUND($E1337-$D1337,0)=0,"√","▲ "&amp;TEXT($D1337-$E1337,"#,##0")))</f>
        <v/>
      </c>
      <c r="N1337">
        <f>IFERROR(MATCH($C$5&amp;"|"&amp;RIGHT("000000"&amp;1321,6),LdAKeyG,0),"")</f>
        <v/>
      </c>
    </row>
    <row r="1338">
      <c r="A1338" s="19" t="n">
        <v>1322</v>
      </c>
      <c r="B1338" s="20">
        <f>IF($N1338="","",INDEX(LdADate,$N1338))</f>
        <v/>
      </c>
      <c r="C1338" s="20">
        <f>IF($N1338="","",IF(INDEX(LdAId,$N1338)="","—",INDEX(LdAId,$N1338)))</f>
        <v/>
      </c>
      <c r="D1338" s="21">
        <f>IF($N1338="","",IF(INDEX(LdAAmt,$N1338)=0,"",INDEX(LdAAmt,$N1338)))</f>
        <v/>
      </c>
      <c r="E1338" s="21">
        <f>IF($N1338="","",SUMIFS(ShareAmt,ShareLink,$C1338))</f>
        <v/>
      </c>
      <c r="F1338" s="34">
        <f>IF($N1338="","",COUNTIF(ShareLink,$C1338))</f>
        <v/>
      </c>
      <c r="G1338" s="22">
        <f>IF($N1338="","",IF(ROUND($E1338-$D1338,0)=0,"√","▲ "&amp;TEXT($D1338-$E1338,"#,##0")))</f>
        <v/>
      </c>
      <c r="N1338">
        <f>IFERROR(MATCH($C$5&amp;"|"&amp;RIGHT("000000"&amp;1322,6),LdAKeyG,0),"")</f>
        <v/>
      </c>
    </row>
    <row r="1339">
      <c r="A1339" s="10" t="n">
        <v>1323</v>
      </c>
      <c r="B1339" s="14">
        <f>IF($N1339="","",INDEX(LdADate,$N1339))</f>
        <v/>
      </c>
      <c r="C1339" s="14">
        <f>IF($N1339="","",IF(INDEX(LdAId,$N1339)="","—",INDEX(LdAId,$N1339)))</f>
        <v/>
      </c>
      <c r="D1339" s="16">
        <f>IF($N1339="","",IF(INDEX(LdAAmt,$N1339)=0,"",INDEX(LdAAmt,$N1339)))</f>
        <v/>
      </c>
      <c r="E1339" s="16">
        <f>IF($N1339="","",SUMIFS(ShareAmt,ShareLink,$C1339))</f>
        <v/>
      </c>
      <c r="F1339" s="33">
        <f>IF($N1339="","",COUNTIF(ShareLink,$C1339))</f>
        <v/>
      </c>
      <c r="G1339" s="17">
        <f>IF($N1339="","",IF(ROUND($E1339-$D1339,0)=0,"√","▲ "&amp;TEXT($D1339-$E1339,"#,##0")))</f>
        <v/>
      </c>
      <c r="N1339">
        <f>IFERROR(MATCH($C$5&amp;"|"&amp;RIGHT("000000"&amp;1323,6),LdAKeyG,0),"")</f>
        <v/>
      </c>
    </row>
    <row r="1340">
      <c r="A1340" s="19" t="n">
        <v>1324</v>
      </c>
      <c r="B1340" s="20">
        <f>IF($N1340="","",INDEX(LdADate,$N1340))</f>
        <v/>
      </c>
      <c r="C1340" s="20">
        <f>IF($N1340="","",IF(INDEX(LdAId,$N1340)="","—",INDEX(LdAId,$N1340)))</f>
        <v/>
      </c>
      <c r="D1340" s="21">
        <f>IF($N1340="","",IF(INDEX(LdAAmt,$N1340)=0,"",INDEX(LdAAmt,$N1340)))</f>
        <v/>
      </c>
      <c r="E1340" s="21">
        <f>IF($N1340="","",SUMIFS(ShareAmt,ShareLink,$C1340))</f>
        <v/>
      </c>
      <c r="F1340" s="34">
        <f>IF($N1340="","",COUNTIF(ShareLink,$C1340))</f>
        <v/>
      </c>
      <c r="G1340" s="22">
        <f>IF($N1340="","",IF(ROUND($E1340-$D1340,0)=0,"√","▲ "&amp;TEXT($D1340-$E1340,"#,##0")))</f>
        <v/>
      </c>
      <c r="N1340">
        <f>IFERROR(MATCH($C$5&amp;"|"&amp;RIGHT("000000"&amp;1324,6),LdAKeyG,0),"")</f>
        <v/>
      </c>
    </row>
    <row r="1341">
      <c r="A1341" s="10" t="n">
        <v>1325</v>
      </c>
      <c r="B1341" s="14">
        <f>IF($N1341="","",INDEX(LdADate,$N1341))</f>
        <v/>
      </c>
      <c r="C1341" s="14">
        <f>IF($N1341="","",IF(INDEX(LdAId,$N1341)="","—",INDEX(LdAId,$N1341)))</f>
        <v/>
      </c>
      <c r="D1341" s="16">
        <f>IF($N1341="","",IF(INDEX(LdAAmt,$N1341)=0,"",INDEX(LdAAmt,$N1341)))</f>
        <v/>
      </c>
      <c r="E1341" s="16">
        <f>IF($N1341="","",SUMIFS(ShareAmt,ShareLink,$C1341))</f>
        <v/>
      </c>
      <c r="F1341" s="33">
        <f>IF($N1341="","",COUNTIF(ShareLink,$C1341))</f>
        <v/>
      </c>
      <c r="G1341" s="17">
        <f>IF($N1341="","",IF(ROUND($E1341-$D1341,0)=0,"√","▲ "&amp;TEXT($D1341-$E1341,"#,##0")))</f>
        <v/>
      </c>
      <c r="N1341">
        <f>IFERROR(MATCH($C$5&amp;"|"&amp;RIGHT("000000"&amp;1325,6),LdAKeyG,0),"")</f>
        <v/>
      </c>
    </row>
    <row r="1342">
      <c r="A1342" s="19" t="n">
        <v>1326</v>
      </c>
      <c r="B1342" s="20">
        <f>IF($N1342="","",INDEX(LdADate,$N1342))</f>
        <v/>
      </c>
      <c r="C1342" s="20">
        <f>IF($N1342="","",IF(INDEX(LdAId,$N1342)="","—",INDEX(LdAId,$N1342)))</f>
        <v/>
      </c>
      <c r="D1342" s="21">
        <f>IF($N1342="","",IF(INDEX(LdAAmt,$N1342)=0,"",INDEX(LdAAmt,$N1342)))</f>
        <v/>
      </c>
      <c r="E1342" s="21">
        <f>IF($N1342="","",SUMIFS(ShareAmt,ShareLink,$C1342))</f>
        <v/>
      </c>
      <c r="F1342" s="34">
        <f>IF($N1342="","",COUNTIF(ShareLink,$C1342))</f>
        <v/>
      </c>
      <c r="G1342" s="22">
        <f>IF($N1342="","",IF(ROUND($E1342-$D1342,0)=0,"√","▲ "&amp;TEXT($D1342-$E1342,"#,##0")))</f>
        <v/>
      </c>
      <c r="N1342">
        <f>IFERROR(MATCH($C$5&amp;"|"&amp;RIGHT("000000"&amp;1326,6),LdAKeyG,0),"")</f>
        <v/>
      </c>
    </row>
    <row r="1343">
      <c r="A1343" s="10" t="n">
        <v>1327</v>
      </c>
      <c r="B1343" s="14">
        <f>IF($N1343="","",INDEX(LdADate,$N1343))</f>
        <v/>
      </c>
      <c r="C1343" s="14">
        <f>IF($N1343="","",IF(INDEX(LdAId,$N1343)="","—",INDEX(LdAId,$N1343)))</f>
        <v/>
      </c>
      <c r="D1343" s="16">
        <f>IF($N1343="","",IF(INDEX(LdAAmt,$N1343)=0,"",INDEX(LdAAmt,$N1343)))</f>
        <v/>
      </c>
      <c r="E1343" s="16">
        <f>IF($N1343="","",SUMIFS(ShareAmt,ShareLink,$C1343))</f>
        <v/>
      </c>
      <c r="F1343" s="33">
        <f>IF($N1343="","",COUNTIF(ShareLink,$C1343))</f>
        <v/>
      </c>
      <c r="G1343" s="17">
        <f>IF($N1343="","",IF(ROUND($E1343-$D1343,0)=0,"√","▲ "&amp;TEXT($D1343-$E1343,"#,##0")))</f>
        <v/>
      </c>
      <c r="N1343">
        <f>IFERROR(MATCH($C$5&amp;"|"&amp;RIGHT("000000"&amp;1327,6),LdAKeyG,0),"")</f>
        <v/>
      </c>
    </row>
    <row r="1344">
      <c r="A1344" s="19" t="n">
        <v>1328</v>
      </c>
      <c r="B1344" s="20">
        <f>IF($N1344="","",INDEX(LdADate,$N1344))</f>
        <v/>
      </c>
      <c r="C1344" s="20">
        <f>IF($N1344="","",IF(INDEX(LdAId,$N1344)="","—",INDEX(LdAId,$N1344)))</f>
        <v/>
      </c>
      <c r="D1344" s="21">
        <f>IF($N1344="","",IF(INDEX(LdAAmt,$N1344)=0,"",INDEX(LdAAmt,$N1344)))</f>
        <v/>
      </c>
      <c r="E1344" s="21">
        <f>IF($N1344="","",SUMIFS(ShareAmt,ShareLink,$C1344))</f>
        <v/>
      </c>
      <c r="F1344" s="34">
        <f>IF($N1344="","",COUNTIF(ShareLink,$C1344))</f>
        <v/>
      </c>
      <c r="G1344" s="22">
        <f>IF($N1344="","",IF(ROUND($E1344-$D1344,0)=0,"√","▲ "&amp;TEXT($D1344-$E1344,"#,##0")))</f>
        <v/>
      </c>
      <c r="N1344">
        <f>IFERROR(MATCH($C$5&amp;"|"&amp;RIGHT("000000"&amp;1328,6),LdAKeyG,0),"")</f>
        <v/>
      </c>
    </row>
    <row r="1345">
      <c r="A1345" s="10" t="n">
        <v>1329</v>
      </c>
      <c r="B1345" s="14">
        <f>IF($N1345="","",INDEX(LdADate,$N1345))</f>
        <v/>
      </c>
      <c r="C1345" s="14">
        <f>IF($N1345="","",IF(INDEX(LdAId,$N1345)="","—",INDEX(LdAId,$N1345)))</f>
        <v/>
      </c>
      <c r="D1345" s="16">
        <f>IF($N1345="","",IF(INDEX(LdAAmt,$N1345)=0,"",INDEX(LdAAmt,$N1345)))</f>
        <v/>
      </c>
      <c r="E1345" s="16">
        <f>IF($N1345="","",SUMIFS(ShareAmt,ShareLink,$C1345))</f>
        <v/>
      </c>
      <c r="F1345" s="33">
        <f>IF($N1345="","",COUNTIF(ShareLink,$C1345))</f>
        <v/>
      </c>
      <c r="G1345" s="17">
        <f>IF($N1345="","",IF(ROUND($E1345-$D1345,0)=0,"√","▲ "&amp;TEXT($D1345-$E1345,"#,##0")))</f>
        <v/>
      </c>
      <c r="N1345">
        <f>IFERROR(MATCH($C$5&amp;"|"&amp;RIGHT("000000"&amp;1329,6),LdAKeyG,0),"")</f>
        <v/>
      </c>
    </row>
    <row r="1346">
      <c r="A1346" s="19" t="n">
        <v>1330</v>
      </c>
      <c r="B1346" s="20">
        <f>IF($N1346="","",INDEX(LdADate,$N1346))</f>
        <v/>
      </c>
      <c r="C1346" s="20">
        <f>IF($N1346="","",IF(INDEX(LdAId,$N1346)="","—",INDEX(LdAId,$N1346)))</f>
        <v/>
      </c>
      <c r="D1346" s="21">
        <f>IF($N1346="","",IF(INDEX(LdAAmt,$N1346)=0,"",INDEX(LdAAmt,$N1346)))</f>
        <v/>
      </c>
      <c r="E1346" s="21">
        <f>IF($N1346="","",SUMIFS(ShareAmt,ShareLink,$C1346))</f>
        <v/>
      </c>
      <c r="F1346" s="34">
        <f>IF($N1346="","",COUNTIF(ShareLink,$C1346))</f>
        <v/>
      </c>
      <c r="G1346" s="22">
        <f>IF($N1346="","",IF(ROUND($E1346-$D1346,0)=0,"√","▲ "&amp;TEXT($D1346-$E1346,"#,##0")))</f>
        <v/>
      </c>
      <c r="N1346">
        <f>IFERROR(MATCH($C$5&amp;"|"&amp;RIGHT("000000"&amp;1330,6),LdAKeyG,0),"")</f>
        <v/>
      </c>
    </row>
    <row r="1347">
      <c r="A1347" s="10" t="n">
        <v>1331</v>
      </c>
      <c r="B1347" s="14">
        <f>IF($N1347="","",INDEX(LdADate,$N1347))</f>
        <v/>
      </c>
      <c r="C1347" s="14">
        <f>IF($N1347="","",IF(INDEX(LdAId,$N1347)="","—",INDEX(LdAId,$N1347)))</f>
        <v/>
      </c>
      <c r="D1347" s="16">
        <f>IF($N1347="","",IF(INDEX(LdAAmt,$N1347)=0,"",INDEX(LdAAmt,$N1347)))</f>
        <v/>
      </c>
      <c r="E1347" s="16">
        <f>IF($N1347="","",SUMIFS(ShareAmt,ShareLink,$C1347))</f>
        <v/>
      </c>
      <c r="F1347" s="33">
        <f>IF($N1347="","",COUNTIF(ShareLink,$C1347))</f>
        <v/>
      </c>
      <c r="G1347" s="17">
        <f>IF($N1347="","",IF(ROUND($E1347-$D1347,0)=0,"√","▲ "&amp;TEXT($D1347-$E1347,"#,##0")))</f>
        <v/>
      </c>
      <c r="N1347">
        <f>IFERROR(MATCH($C$5&amp;"|"&amp;RIGHT("000000"&amp;1331,6),LdAKeyG,0),"")</f>
        <v/>
      </c>
    </row>
    <row r="1348">
      <c r="A1348" s="19" t="n">
        <v>1332</v>
      </c>
      <c r="B1348" s="20">
        <f>IF($N1348="","",INDEX(LdADate,$N1348))</f>
        <v/>
      </c>
      <c r="C1348" s="20">
        <f>IF($N1348="","",IF(INDEX(LdAId,$N1348)="","—",INDEX(LdAId,$N1348)))</f>
        <v/>
      </c>
      <c r="D1348" s="21">
        <f>IF($N1348="","",IF(INDEX(LdAAmt,$N1348)=0,"",INDEX(LdAAmt,$N1348)))</f>
        <v/>
      </c>
      <c r="E1348" s="21">
        <f>IF($N1348="","",SUMIFS(ShareAmt,ShareLink,$C1348))</f>
        <v/>
      </c>
      <c r="F1348" s="34">
        <f>IF($N1348="","",COUNTIF(ShareLink,$C1348))</f>
        <v/>
      </c>
      <c r="G1348" s="22">
        <f>IF($N1348="","",IF(ROUND($E1348-$D1348,0)=0,"√","▲ "&amp;TEXT($D1348-$E1348,"#,##0")))</f>
        <v/>
      </c>
      <c r="N1348">
        <f>IFERROR(MATCH($C$5&amp;"|"&amp;RIGHT("000000"&amp;1332,6),LdAKeyG,0),"")</f>
        <v/>
      </c>
    </row>
    <row r="1349">
      <c r="A1349" s="10" t="n">
        <v>1333</v>
      </c>
      <c r="B1349" s="14">
        <f>IF($N1349="","",INDEX(LdADate,$N1349))</f>
        <v/>
      </c>
      <c r="C1349" s="14">
        <f>IF($N1349="","",IF(INDEX(LdAId,$N1349)="","—",INDEX(LdAId,$N1349)))</f>
        <v/>
      </c>
      <c r="D1349" s="16">
        <f>IF($N1349="","",IF(INDEX(LdAAmt,$N1349)=0,"",INDEX(LdAAmt,$N1349)))</f>
        <v/>
      </c>
      <c r="E1349" s="16">
        <f>IF($N1349="","",SUMIFS(ShareAmt,ShareLink,$C1349))</f>
        <v/>
      </c>
      <c r="F1349" s="33">
        <f>IF($N1349="","",COUNTIF(ShareLink,$C1349))</f>
        <v/>
      </c>
      <c r="G1349" s="17">
        <f>IF($N1349="","",IF(ROUND($E1349-$D1349,0)=0,"√","▲ "&amp;TEXT($D1349-$E1349,"#,##0")))</f>
        <v/>
      </c>
      <c r="N1349">
        <f>IFERROR(MATCH($C$5&amp;"|"&amp;RIGHT("000000"&amp;1333,6),LdAKeyG,0),"")</f>
        <v/>
      </c>
    </row>
    <row r="1350">
      <c r="A1350" s="19" t="n">
        <v>1334</v>
      </c>
      <c r="B1350" s="20">
        <f>IF($N1350="","",INDEX(LdADate,$N1350))</f>
        <v/>
      </c>
      <c r="C1350" s="20">
        <f>IF($N1350="","",IF(INDEX(LdAId,$N1350)="","—",INDEX(LdAId,$N1350)))</f>
        <v/>
      </c>
      <c r="D1350" s="21">
        <f>IF($N1350="","",IF(INDEX(LdAAmt,$N1350)=0,"",INDEX(LdAAmt,$N1350)))</f>
        <v/>
      </c>
      <c r="E1350" s="21">
        <f>IF($N1350="","",SUMIFS(ShareAmt,ShareLink,$C1350))</f>
        <v/>
      </c>
      <c r="F1350" s="34">
        <f>IF($N1350="","",COUNTIF(ShareLink,$C1350))</f>
        <v/>
      </c>
      <c r="G1350" s="22">
        <f>IF($N1350="","",IF(ROUND($E1350-$D1350,0)=0,"√","▲ "&amp;TEXT($D1350-$E1350,"#,##0")))</f>
        <v/>
      </c>
      <c r="N1350">
        <f>IFERROR(MATCH($C$5&amp;"|"&amp;RIGHT("000000"&amp;1334,6),LdAKeyG,0),"")</f>
        <v/>
      </c>
    </row>
    <row r="1351">
      <c r="A1351" s="10" t="n">
        <v>1335</v>
      </c>
      <c r="B1351" s="14">
        <f>IF($N1351="","",INDEX(LdADate,$N1351))</f>
        <v/>
      </c>
      <c r="C1351" s="14">
        <f>IF($N1351="","",IF(INDEX(LdAId,$N1351)="","—",INDEX(LdAId,$N1351)))</f>
        <v/>
      </c>
      <c r="D1351" s="16">
        <f>IF($N1351="","",IF(INDEX(LdAAmt,$N1351)=0,"",INDEX(LdAAmt,$N1351)))</f>
        <v/>
      </c>
      <c r="E1351" s="16">
        <f>IF($N1351="","",SUMIFS(ShareAmt,ShareLink,$C1351))</f>
        <v/>
      </c>
      <c r="F1351" s="33">
        <f>IF($N1351="","",COUNTIF(ShareLink,$C1351))</f>
        <v/>
      </c>
      <c r="G1351" s="17">
        <f>IF($N1351="","",IF(ROUND($E1351-$D1351,0)=0,"√","▲ "&amp;TEXT($D1351-$E1351,"#,##0")))</f>
        <v/>
      </c>
      <c r="N1351">
        <f>IFERROR(MATCH($C$5&amp;"|"&amp;RIGHT("000000"&amp;1335,6),LdAKeyG,0),"")</f>
        <v/>
      </c>
    </row>
    <row r="1352">
      <c r="A1352" s="19" t="n">
        <v>1336</v>
      </c>
      <c r="B1352" s="20">
        <f>IF($N1352="","",INDEX(LdADate,$N1352))</f>
        <v/>
      </c>
      <c r="C1352" s="20">
        <f>IF($N1352="","",IF(INDEX(LdAId,$N1352)="","—",INDEX(LdAId,$N1352)))</f>
        <v/>
      </c>
      <c r="D1352" s="21">
        <f>IF($N1352="","",IF(INDEX(LdAAmt,$N1352)=0,"",INDEX(LdAAmt,$N1352)))</f>
        <v/>
      </c>
      <c r="E1352" s="21">
        <f>IF($N1352="","",SUMIFS(ShareAmt,ShareLink,$C1352))</f>
        <v/>
      </c>
      <c r="F1352" s="34">
        <f>IF($N1352="","",COUNTIF(ShareLink,$C1352))</f>
        <v/>
      </c>
      <c r="G1352" s="22">
        <f>IF($N1352="","",IF(ROUND($E1352-$D1352,0)=0,"√","▲ "&amp;TEXT($D1352-$E1352,"#,##0")))</f>
        <v/>
      </c>
      <c r="N1352">
        <f>IFERROR(MATCH($C$5&amp;"|"&amp;RIGHT("000000"&amp;1336,6),LdAKeyG,0),"")</f>
        <v/>
      </c>
    </row>
    <row r="1353">
      <c r="A1353" s="10" t="n">
        <v>1337</v>
      </c>
      <c r="B1353" s="14">
        <f>IF($N1353="","",INDEX(LdADate,$N1353))</f>
        <v/>
      </c>
      <c r="C1353" s="14">
        <f>IF($N1353="","",IF(INDEX(LdAId,$N1353)="","—",INDEX(LdAId,$N1353)))</f>
        <v/>
      </c>
      <c r="D1353" s="16">
        <f>IF($N1353="","",IF(INDEX(LdAAmt,$N1353)=0,"",INDEX(LdAAmt,$N1353)))</f>
        <v/>
      </c>
      <c r="E1353" s="16">
        <f>IF($N1353="","",SUMIFS(ShareAmt,ShareLink,$C1353))</f>
        <v/>
      </c>
      <c r="F1353" s="33">
        <f>IF($N1353="","",COUNTIF(ShareLink,$C1353))</f>
        <v/>
      </c>
      <c r="G1353" s="17">
        <f>IF($N1353="","",IF(ROUND($E1353-$D1353,0)=0,"√","▲ "&amp;TEXT($D1353-$E1353,"#,##0")))</f>
        <v/>
      </c>
      <c r="N1353">
        <f>IFERROR(MATCH($C$5&amp;"|"&amp;RIGHT("000000"&amp;1337,6),LdAKeyG,0),"")</f>
        <v/>
      </c>
    </row>
    <row r="1354">
      <c r="A1354" s="19" t="n">
        <v>1338</v>
      </c>
      <c r="B1354" s="20">
        <f>IF($N1354="","",INDEX(LdADate,$N1354))</f>
        <v/>
      </c>
      <c r="C1354" s="20">
        <f>IF($N1354="","",IF(INDEX(LdAId,$N1354)="","—",INDEX(LdAId,$N1354)))</f>
        <v/>
      </c>
      <c r="D1354" s="21">
        <f>IF($N1354="","",IF(INDEX(LdAAmt,$N1354)=0,"",INDEX(LdAAmt,$N1354)))</f>
        <v/>
      </c>
      <c r="E1354" s="21">
        <f>IF($N1354="","",SUMIFS(ShareAmt,ShareLink,$C1354))</f>
        <v/>
      </c>
      <c r="F1354" s="34">
        <f>IF($N1354="","",COUNTIF(ShareLink,$C1354))</f>
        <v/>
      </c>
      <c r="G1354" s="22">
        <f>IF($N1354="","",IF(ROUND($E1354-$D1354,0)=0,"√","▲ "&amp;TEXT($D1354-$E1354,"#,##0")))</f>
        <v/>
      </c>
      <c r="N1354">
        <f>IFERROR(MATCH($C$5&amp;"|"&amp;RIGHT("000000"&amp;1338,6),LdAKeyG,0),"")</f>
        <v/>
      </c>
    </row>
    <row r="1355">
      <c r="A1355" s="10" t="n">
        <v>1339</v>
      </c>
      <c r="B1355" s="14">
        <f>IF($N1355="","",INDEX(LdADate,$N1355))</f>
        <v/>
      </c>
      <c r="C1355" s="14">
        <f>IF($N1355="","",IF(INDEX(LdAId,$N1355)="","—",INDEX(LdAId,$N1355)))</f>
        <v/>
      </c>
      <c r="D1355" s="16">
        <f>IF($N1355="","",IF(INDEX(LdAAmt,$N1355)=0,"",INDEX(LdAAmt,$N1355)))</f>
        <v/>
      </c>
      <c r="E1355" s="16">
        <f>IF($N1355="","",SUMIFS(ShareAmt,ShareLink,$C1355))</f>
        <v/>
      </c>
      <c r="F1355" s="33">
        <f>IF($N1355="","",COUNTIF(ShareLink,$C1355))</f>
        <v/>
      </c>
      <c r="G1355" s="17">
        <f>IF($N1355="","",IF(ROUND($E1355-$D1355,0)=0,"√","▲ "&amp;TEXT($D1355-$E1355,"#,##0")))</f>
        <v/>
      </c>
      <c r="N1355">
        <f>IFERROR(MATCH($C$5&amp;"|"&amp;RIGHT("000000"&amp;1339,6),LdAKeyG,0),"")</f>
        <v/>
      </c>
    </row>
    <row r="1356">
      <c r="A1356" s="19" t="n">
        <v>1340</v>
      </c>
      <c r="B1356" s="20">
        <f>IF($N1356="","",INDEX(LdADate,$N1356))</f>
        <v/>
      </c>
      <c r="C1356" s="20">
        <f>IF($N1356="","",IF(INDEX(LdAId,$N1356)="","—",INDEX(LdAId,$N1356)))</f>
        <v/>
      </c>
      <c r="D1356" s="21">
        <f>IF($N1356="","",IF(INDEX(LdAAmt,$N1356)=0,"",INDEX(LdAAmt,$N1356)))</f>
        <v/>
      </c>
      <c r="E1356" s="21">
        <f>IF($N1356="","",SUMIFS(ShareAmt,ShareLink,$C1356))</f>
        <v/>
      </c>
      <c r="F1356" s="34">
        <f>IF($N1356="","",COUNTIF(ShareLink,$C1356))</f>
        <v/>
      </c>
      <c r="G1356" s="22">
        <f>IF($N1356="","",IF(ROUND($E1356-$D1356,0)=0,"√","▲ "&amp;TEXT($D1356-$E1356,"#,##0")))</f>
        <v/>
      </c>
      <c r="N1356">
        <f>IFERROR(MATCH($C$5&amp;"|"&amp;RIGHT("000000"&amp;1340,6),LdAKeyG,0),"")</f>
        <v/>
      </c>
    </row>
    <row r="1357">
      <c r="A1357" s="10" t="n">
        <v>1341</v>
      </c>
      <c r="B1357" s="14">
        <f>IF($N1357="","",INDEX(LdADate,$N1357))</f>
        <v/>
      </c>
      <c r="C1357" s="14">
        <f>IF($N1357="","",IF(INDEX(LdAId,$N1357)="","—",INDEX(LdAId,$N1357)))</f>
        <v/>
      </c>
      <c r="D1357" s="16">
        <f>IF($N1357="","",IF(INDEX(LdAAmt,$N1357)=0,"",INDEX(LdAAmt,$N1357)))</f>
        <v/>
      </c>
      <c r="E1357" s="16">
        <f>IF($N1357="","",SUMIFS(ShareAmt,ShareLink,$C1357))</f>
        <v/>
      </c>
      <c r="F1357" s="33">
        <f>IF($N1357="","",COUNTIF(ShareLink,$C1357))</f>
        <v/>
      </c>
      <c r="G1357" s="17">
        <f>IF($N1357="","",IF(ROUND($E1357-$D1357,0)=0,"√","▲ "&amp;TEXT($D1357-$E1357,"#,##0")))</f>
        <v/>
      </c>
      <c r="N1357">
        <f>IFERROR(MATCH($C$5&amp;"|"&amp;RIGHT("000000"&amp;1341,6),LdAKeyG,0),"")</f>
        <v/>
      </c>
    </row>
    <row r="1358">
      <c r="A1358" s="19" t="n">
        <v>1342</v>
      </c>
      <c r="B1358" s="20">
        <f>IF($N1358="","",INDEX(LdADate,$N1358))</f>
        <v/>
      </c>
      <c r="C1358" s="20">
        <f>IF($N1358="","",IF(INDEX(LdAId,$N1358)="","—",INDEX(LdAId,$N1358)))</f>
        <v/>
      </c>
      <c r="D1358" s="21">
        <f>IF($N1358="","",IF(INDEX(LdAAmt,$N1358)=0,"",INDEX(LdAAmt,$N1358)))</f>
        <v/>
      </c>
      <c r="E1358" s="21">
        <f>IF($N1358="","",SUMIFS(ShareAmt,ShareLink,$C1358))</f>
        <v/>
      </c>
      <c r="F1358" s="34">
        <f>IF($N1358="","",COUNTIF(ShareLink,$C1358))</f>
        <v/>
      </c>
      <c r="G1358" s="22">
        <f>IF($N1358="","",IF(ROUND($E1358-$D1358,0)=0,"√","▲ "&amp;TEXT($D1358-$E1358,"#,##0")))</f>
        <v/>
      </c>
      <c r="N1358">
        <f>IFERROR(MATCH($C$5&amp;"|"&amp;RIGHT("000000"&amp;1342,6),LdAKeyG,0),"")</f>
        <v/>
      </c>
    </row>
    <row r="1359">
      <c r="A1359" s="10" t="n">
        <v>1343</v>
      </c>
      <c r="B1359" s="14">
        <f>IF($N1359="","",INDEX(LdADate,$N1359))</f>
        <v/>
      </c>
      <c r="C1359" s="14">
        <f>IF($N1359="","",IF(INDEX(LdAId,$N1359)="","—",INDEX(LdAId,$N1359)))</f>
        <v/>
      </c>
      <c r="D1359" s="16">
        <f>IF($N1359="","",IF(INDEX(LdAAmt,$N1359)=0,"",INDEX(LdAAmt,$N1359)))</f>
        <v/>
      </c>
      <c r="E1359" s="16">
        <f>IF($N1359="","",SUMIFS(ShareAmt,ShareLink,$C1359))</f>
        <v/>
      </c>
      <c r="F1359" s="33">
        <f>IF($N1359="","",COUNTIF(ShareLink,$C1359))</f>
        <v/>
      </c>
      <c r="G1359" s="17">
        <f>IF($N1359="","",IF(ROUND($E1359-$D1359,0)=0,"√","▲ "&amp;TEXT($D1359-$E1359,"#,##0")))</f>
        <v/>
      </c>
      <c r="N1359">
        <f>IFERROR(MATCH($C$5&amp;"|"&amp;RIGHT("000000"&amp;1343,6),LdAKeyG,0),"")</f>
        <v/>
      </c>
    </row>
    <row r="1360">
      <c r="A1360" s="19" t="n">
        <v>1344</v>
      </c>
      <c r="B1360" s="20">
        <f>IF($N1360="","",INDEX(LdADate,$N1360))</f>
        <v/>
      </c>
      <c r="C1360" s="20">
        <f>IF($N1360="","",IF(INDEX(LdAId,$N1360)="","—",INDEX(LdAId,$N1360)))</f>
        <v/>
      </c>
      <c r="D1360" s="21">
        <f>IF($N1360="","",IF(INDEX(LdAAmt,$N1360)=0,"",INDEX(LdAAmt,$N1360)))</f>
        <v/>
      </c>
      <c r="E1360" s="21">
        <f>IF($N1360="","",SUMIFS(ShareAmt,ShareLink,$C1360))</f>
        <v/>
      </c>
      <c r="F1360" s="34">
        <f>IF($N1360="","",COUNTIF(ShareLink,$C1360))</f>
        <v/>
      </c>
      <c r="G1360" s="22">
        <f>IF($N1360="","",IF(ROUND($E1360-$D1360,0)=0,"√","▲ "&amp;TEXT($D1360-$E1360,"#,##0")))</f>
        <v/>
      </c>
      <c r="N1360">
        <f>IFERROR(MATCH($C$5&amp;"|"&amp;RIGHT("000000"&amp;1344,6),LdAKeyG,0),"")</f>
        <v/>
      </c>
    </row>
    <row r="1361">
      <c r="A1361" s="10" t="n">
        <v>1345</v>
      </c>
      <c r="B1361" s="14">
        <f>IF($N1361="","",INDEX(LdADate,$N1361))</f>
        <v/>
      </c>
      <c r="C1361" s="14">
        <f>IF($N1361="","",IF(INDEX(LdAId,$N1361)="","—",INDEX(LdAId,$N1361)))</f>
        <v/>
      </c>
      <c r="D1361" s="16">
        <f>IF($N1361="","",IF(INDEX(LdAAmt,$N1361)=0,"",INDEX(LdAAmt,$N1361)))</f>
        <v/>
      </c>
      <c r="E1361" s="16">
        <f>IF($N1361="","",SUMIFS(ShareAmt,ShareLink,$C1361))</f>
        <v/>
      </c>
      <c r="F1361" s="33">
        <f>IF($N1361="","",COUNTIF(ShareLink,$C1361))</f>
        <v/>
      </c>
      <c r="G1361" s="17">
        <f>IF($N1361="","",IF(ROUND($E1361-$D1361,0)=0,"√","▲ "&amp;TEXT($D1361-$E1361,"#,##0")))</f>
        <v/>
      </c>
      <c r="N1361">
        <f>IFERROR(MATCH($C$5&amp;"|"&amp;RIGHT("000000"&amp;1345,6),LdAKeyG,0),"")</f>
        <v/>
      </c>
    </row>
    <row r="1362">
      <c r="A1362" s="19" t="n">
        <v>1346</v>
      </c>
      <c r="B1362" s="20">
        <f>IF($N1362="","",INDEX(LdADate,$N1362))</f>
        <v/>
      </c>
      <c r="C1362" s="20">
        <f>IF($N1362="","",IF(INDEX(LdAId,$N1362)="","—",INDEX(LdAId,$N1362)))</f>
        <v/>
      </c>
      <c r="D1362" s="21">
        <f>IF($N1362="","",IF(INDEX(LdAAmt,$N1362)=0,"",INDEX(LdAAmt,$N1362)))</f>
        <v/>
      </c>
      <c r="E1362" s="21">
        <f>IF($N1362="","",SUMIFS(ShareAmt,ShareLink,$C1362))</f>
        <v/>
      </c>
      <c r="F1362" s="34">
        <f>IF($N1362="","",COUNTIF(ShareLink,$C1362))</f>
        <v/>
      </c>
      <c r="G1362" s="22">
        <f>IF($N1362="","",IF(ROUND($E1362-$D1362,0)=0,"√","▲ "&amp;TEXT($D1362-$E1362,"#,##0")))</f>
        <v/>
      </c>
      <c r="N1362">
        <f>IFERROR(MATCH($C$5&amp;"|"&amp;RIGHT("000000"&amp;1346,6),LdAKeyG,0),"")</f>
        <v/>
      </c>
    </row>
    <row r="1363">
      <c r="A1363" s="10" t="n">
        <v>1347</v>
      </c>
      <c r="B1363" s="14">
        <f>IF($N1363="","",INDEX(LdADate,$N1363))</f>
        <v/>
      </c>
      <c r="C1363" s="14">
        <f>IF($N1363="","",IF(INDEX(LdAId,$N1363)="","—",INDEX(LdAId,$N1363)))</f>
        <v/>
      </c>
      <c r="D1363" s="16">
        <f>IF($N1363="","",IF(INDEX(LdAAmt,$N1363)=0,"",INDEX(LdAAmt,$N1363)))</f>
        <v/>
      </c>
      <c r="E1363" s="16">
        <f>IF($N1363="","",SUMIFS(ShareAmt,ShareLink,$C1363))</f>
        <v/>
      </c>
      <c r="F1363" s="33">
        <f>IF($N1363="","",COUNTIF(ShareLink,$C1363))</f>
        <v/>
      </c>
      <c r="G1363" s="17">
        <f>IF($N1363="","",IF(ROUND($E1363-$D1363,0)=0,"√","▲ "&amp;TEXT($D1363-$E1363,"#,##0")))</f>
        <v/>
      </c>
      <c r="N1363">
        <f>IFERROR(MATCH($C$5&amp;"|"&amp;RIGHT("000000"&amp;1347,6),LdAKeyG,0),"")</f>
        <v/>
      </c>
    </row>
    <row r="1364">
      <c r="A1364" s="19" t="n">
        <v>1348</v>
      </c>
      <c r="B1364" s="20">
        <f>IF($N1364="","",INDEX(LdADate,$N1364))</f>
        <v/>
      </c>
      <c r="C1364" s="20">
        <f>IF($N1364="","",IF(INDEX(LdAId,$N1364)="","—",INDEX(LdAId,$N1364)))</f>
        <v/>
      </c>
      <c r="D1364" s="21">
        <f>IF($N1364="","",IF(INDEX(LdAAmt,$N1364)=0,"",INDEX(LdAAmt,$N1364)))</f>
        <v/>
      </c>
      <c r="E1364" s="21">
        <f>IF($N1364="","",SUMIFS(ShareAmt,ShareLink,$C1364))</f>
        <v/>
      </c>
      <c r="F1364" s="34">
        <f>IF($N1364="","",COUNTIF(ShareLink,$C1364))</f>
        <v/>
      </c>
      <c r="G1364" s="22">
        <f>IF($N1364="","",IF(ROUND($E1364-$D1364,0)=0,"√","▲ "&amp;TEXT($D1364-$E1364,"#,##0")))</f>
        <v/>
      </c>
      <c r="N1364">
        <f>IFERROR(MATCH($C$5&amp;"|"&amp;RIGHT("000000"&amp;1348,6),LdAKeyG,0),"")</f>
        <v/>
      </c>
    </row>
    <row r="1365">
      <c r="A1365" s="10" t="n">
        <v>1349</v>
      </c>
      <c r="B1365" s="14">
        <f>IF($N1365="","",INDEX(LdADate,$N1365))</f>
        <v/>
      </c>
      <c r="C1365" s="14">
        <f>IF($N1365="","",IF(INDEX(LdAId,$N1365)="","—",INDEX(LdAId,$N1365)))</f>
        <v/>
      </c>
      <c r="D1365" s="16">
        <f>IF($N1365="","",IF(INDEX(LdAAmt,$N1365)=0,"",INDEX(LdAAmt,$N1365)))</f>
        <v/>
      </c>
      <c r="E1365" s="16">
        <f>IF($N1365="","",SUMIFS(ShareAmt,ShareLink,$C1365))</f>
        <v/>
      </c>
      <c r="F1365" s="33">
        <f>IF($N1365="","",COUNTIF(ShareLink,$C1365))</f>
        <v/>
      </c>
      <c r="G1365" s="17">
        <f>IF($N1365="","",IF(ROUND($E1365-$D1365,0)=0,"√","▲ "&amp;TEXT($D1365-$E1365,"#,##0")))</f>
        <v/>
      </c>
      <c r="N1365">
        <f>IFERROR(MATCH($C$5&amp;"|"&amp;RIGHT("000000"&amp;1349,6),LdAKeyG,0),"")</f>
        <v/>
      </c>
    </row>
    <row r="1366">
      <c r="A1366" s="19" t="n">
        <v>1350</v>
      </c>
      <c r="B1366" s="20">
        <f>IF($N1366="","",INDEX(LdADate,$N1366))</f>
        <v/>
      </c>
      <c r="C1366" s="20">
        <f>IF($N1366="","",IF(INDEX(LdAId,$N1366)="","—",INDEX(LdAId,$N1366)))</f>
        <v/>
      </c>
      <c r="D1366" s="21">
        <f>IF($N1366="","",IF(INDEX(LdAAmt,$N1366)=0,"",INDEX(LdAAmt,$N1366)))</f>
        <v/>
      </c>
      <c r="E1366" s="21">
        <f>IF($N1366="","",SUMIFS(ShareAmt,ShareLink,$C1366))</f>
        <v/>
      </c>
      <c r="F1366" s="34">
        <f>IF($N1366="","",COUNTIF(ShareLink,$C1366))</f>
        <v/>
      </c>
      <c r="G1366" s="22">
        <f>IF($N1366="","",IF(ROUND($E1366-$D1366,0)=0,"√","▲ "&amp;TEXT($D1366-$E1366,"#,##0")))</f>
        <v/>
      </c>
      <c r="N1366">
        <f>IFERROR(MATCH($C$5&amp;"|"&amp;RIGHT("000000"&amp;1350,6),LdAKeyG,0),"")</f>
        <v/>
      </c>
    </row>
    <row r="1367">
      <c r="A1367" s="10" t="n">
        <v>1351</v>
      </c>
      <c r="B1367" s="14">
        <f>IF($N1367="","",INDEX(LdADate,$N1367))</f>
        <v/>
      </c>
      <c r="C1367" s="14">
        <f>IF($N1367="","",IF(INDEX(LdAId,$N1367)="","—",INDEX(LdAId,$N1367)))</f>
        <v/>
      </c>
      <c r="D1367" s="16">
        <f>IF($N1367="","",IF(INDEX(LdAAmt,$N1367)=0,"",INDEX(LdAAmt,$N1367)))</f>
        <v/>
      </c>
      <c r="E1367" s="16">
        <f>IF($N1367="","",SUMIFS(ShareAmt,ShareLink,$C1367))</f>
        <v/>
      </c>
      <c r="F1367" s="33">
        <f>IF($N1367="","",COUNTIF(ShareLink,$C1367))</f>
        <v/>
      </c>
      <c r="G1367" s="17">
        <f>IF($N1367="","",IF(ROUND($E1367-$D1367,0)=0,"√","▲ "&amp;TEXT($D1367-$E1367,"#,##0")))</f>
        <v/>
      </c>
      <c r="N1367">
        <f>IFERROR(MATCH($C$5&amp;"|"&amp;RIGHT("000000"&amp;1351,6),LdAKeyG,0),"")</f>
        <v/>
      </c>
    </row>
    <row r="1368">
      <c r="A1368" s="19" t="n">
        <v>1352</v>
      </c>
      <c r="B1368" s="20">
        <f>IF($N1368="","",INDEX(LdADate,$N1368))</f>
        <v/>
      </c>
      <c r="C1368" s="20">
        <f>IF($N1368="","",IF(INDEX(LdAId,$N1368)="","—",INDEX(LdAId,$N1368)))</f>
        <v/>
      </c>
      <c r="D1368" s="21">
        <f>IF($N1368="","",IF(INDEX(LdAAmt,$N1368)=0,"",INDEX(LdAAmt,$N1368)))</f>
        <v/>
      </c>
      <c r="E1368" s="21">
        <f>IF($N1368="","",SUMIFS(ShareAmt,ShareLink,$C1368))</f>
        <v/>
      </c>
      <c r="F1368" s="34">
        <f>IF($N1368="","",COUNTIF(ShareLink,$C1368))</f>
        <v/>
      </c>
      <c r="G1368" s="22">
        <f>IF($N1368="","",IF(ROUND($E1368-$D1368,0)=0,"√","▲ "&amp;TEXT($D1368-$E1368,"#,##0")))</f>
        <v/>
      </c>
      <c r="N1368">
        <f>IFERROR(MATCH($C$5&amp;"|"&amp;RIGHT("000000"&amp;1352,6),LdAKeyG,0),"")</f>
        <v/>
      </c>
    </row>
    <row r="1369">
      <c r="A1369" s="10" t="n">
        <v>1353</v>
      </c>
      <c r="B1369" s="14">
        <f>IF($N1369="","",INDEX(LdADate,$N1369))</f>
        <v/>
      </c>
      <c r="C1369" s="14">
        <f>IF($N1369="","",IF(INDEX(LdAId,$N1369)="","—",INDEX(LdAId,$N1369)))</f>
        <v/>
      </c>
      <c r="D1369" s="16">
        <f>IF($N1369="","",IF(INDEX(LdAAmt,$N1369)=0,"",INDEX(LdAAmt,$N1369)))</f>
        <v/>
      </c>
      <c r="E1369" s="16">
        <f>IF($N1369="","",SUMIFS(ShareAmt,ShareLink,$C1369))</f>
        <v/>
      </c>
      <c r="F1369" s="33">
        <f>IF($N1369="","",COUNTIF(ShareLink,$C1369))</f>
        <v/>
      </c>
      <c r="G1369" s="17">
        <f>IF($N1369="","",IF(ROUND($E1369-$D1369,0)=0,"√","▲ "&amp;TEXT($D1369-$E1369,"#,##0")))</f>
        <v/>
      </c>
      <c r="N1369">
        <f>IFERROR(MATCH($C$5&amp;"|"&amp;RIGHT("000000"&amp;1353,6),LdAKeyG,0),"")</f>
        <v/>
      </c>
    </row>
    <row r="1370">
      <c r="A1370" s="19" t="n">
        <v>1354</v>
      </c>
      <c r="B1370" s="20">
        <f>IF($N1370="","",INDEX(LdADate,$N1370))</f>
        <v/>
      </c>
      <c r="C1370" s="20">
        <f>IF($N1370="","",IF(INDEX(LdAId,$N1370)="","—",INDEX(LdAId,$N1370)))</f>
        <v/>
      </c>
      <c r="D1370" s="21">
        <f>IF($N1370="","",IF(INDEX(LdAAmt,$N1370)=0,"",INDEX(LdAAmt,$N1370)))</f>
        <v/>
      </c>
      <c r="E1370" s="21">
        <f>IF($N1370="","",SUMIFS(ShareAmt,ShareLink,$C1370))</f>
        <v/>
      </c>
      <c r="F1370" s="34">
        <f>IF($N1370="","",COUNTIF(ShareLink,$C1370))</f>
        <v/>
      </c>
      <c r="G1370" s="22">
        <f>IF($N1370="","",IF(ROUND($E1370-$D1370,0)=0,"√","▲ "&amp;TEXT($D1370-$E1370,"#,##0")))</f>
        <v/>
      </c>
      <c r="N1370">
        <f>IFERROR(MATCH($C$5&amp;"|"&amp;RIGHT("000000"&amp;1354,6),LdAKeyG,0),"")</f>
        <v/>
      </c>
    </row>
    <row r="1371">
      <c r="A1371" s="10" t="n">
        <v>1355</v>
      </c>
      <c r="B1371" s="14">
        <f>IF($N1371="","",INDEX(LdADate,$N1371))</f>
        <v/>
      </c>
      <c r="C1371" s="14">
        <f>IF($N1371="","",IF(INDEX(LdAId,$N1371)="","—",INDEX(LdAId,$N1371)))</f>
        <v/>
      </c>
      <c r="D1371" s="16">
        <f>IF($N1371="","",IF(INDEX(LdAAmt,$N1371)=0,"",INDEX(LdAAmt,$N1371)))</f>
        <v/>
      </c>
      <c r="E1371" s="16">
        <f>IF($N1371="","",SUMIFS(ShareAmt,ShareLink,$C1371))</f>
        <v/>
      </c>
      <c r="F1371" s="33">
        <f>IF($N1371="","",COUNTIF(ShareLink,$C1371))</f>
        <v/>
      </c>
      <c r="G1371" s="17">
        <f>IF($N1371="","",IF(ROUND($E1371-$D1371,0)=0,"√","▲ "&amp;TEXT($D1371-$E1371,"#,##0")))</f>
        <v/>
      </c>
      <c r="N1371">
        <f>IFERROR(MATCH($C$5&amp;"|"&amp;RIGHT("000000"&amp;1355,6),LdAKeyG,0),"")</f>
        <v/>
      </c>
    </row>
    <row r="1372">
      <c r="A1372" s="19" t="n">
        <v>1356</v>
      </c>
      <c r="B1372" s="20">
        <f>IF($N1372="","",INDEX(LdADate,$N1372))</f>
        <v/>
      </c>
      <c r="C1372" s="20">
        <f>IF($N1372="","",IF(INDEX(LdAId,$N1372)="","—",INDEX(LdAId,$N1372)))</f>
        <v/>
      </c>
      <c r="D1372" s="21">
        <f>IF($N1372="","",IF(INDEX(LdAAmt,$N1372)=0,"",INDEX(LdAAmt,$N1372)))</f>
        <v/>
      </c>
      <c r="E1372" s="21">
        <f>IF($N1372="","",SUMIFS(ShareAmt,ShareLink,$C1372))</f>
        <v/>
      </c>
      <c r="F1372" s="34">
        <f>IF($N1372="","",COUNTIF(ShareLink,$C1372))</f>
        <v/>
      </c>
      <c r="G1372" s="22">
        <f>IF($N1372="","",IF(ROUND($E1372-$D1372,0)=0,"√","▲ "&amp;TEXT($D1372-$E1372,"#,##0")))</f>
        <v/>
      </c>
      <c r="N1372">
        <f>IFERROR(MATCH($C$5&amp;"|"&amp;RIGHT("000000"&amp;1356,6),LdAKeyG,0),"")</f>
        <v/>
      </c>
    </row>
    <row r="1373">
      <c r="A1373" s="10" t="n">
        <v>1357</v>
      </c>
      <c r="B1373" s="14">
        <f>IF($N1373="","",INDEX(LdADate,$N1373))</f>
        <v/>
      </c>
      <c r="C1373" s="14">
        <f>IF($N1373="","",IF(INDEX(LdAId,$N1373)="","—",INDEX(LdAId,$N1373)))</f>
        <v/>
      </c>
      <c r="D1373" s="16">
        <f>IF($N1373="","",IF(INDEX(LdAAmt,$N1373)=0,"",INDEX(LdAAmt,$N1373)))</f>
        <v/>
      </c>
      <c r="E1373" s="16">
        <f>IF($N1373="","",SUMIFS(ShareAmt,ShareLink,$C1373))</f>
        <v/>
      </c>
      <c r="F1373" s="33">
        <f>IF($N1373="","",COUNTIF(ShareLink,$C1373))</f>
        <v/>
      </c>
      <c r="G1373" s="17">
        <f>IF($N1373="","",IF(ROUND($E1373-$D1373,0)=0,"√","▲ "&amp;TEXT($D1373-$E1373,"#,##0")))</f>
        <v/>
      </c>
      <c r="N1373">
        <f>IFERROR(MATCH($C$5&amp;"|"&amp;RIGHT("000000"&amp;1357,6),LdAKeyG,0),"")</f>
        <v/>
      </c>
    </row>
    <row r="1374">
      <c r="A1374" s="19" t="n">
        <v>1358</v>
      </c>
      <c r="B1374" s="20">
        <f>IF($N1374="","",INDEX(LdADate,$N1374))</f>
        <v/>
      </c>
      <c r="C1374" s="20">
        <f>IF($N1374="","",IF(INDEX(LdAId,$N1374)="","—",INDEX(LdAId,$N1374)))</f>
        <v/>
      </c>
      <c r="D1374" s="21">
        <f>IF($N1374="","",IF(INDEX(LdAAmt,$N1374)=0,"",INDEX(LdAAmt,$N1374)))</f>
        <v/>
      </c>
      <c r="E1374" s="21">
        <f>IF($N1374="","",SUMIFS(ShareAmt,ShareLink,$C1374))</f>
        <v/>
      </c>
      <c r="F1374" s="34">
        <f>IF($N1374="","",COUNTIF(ShareLink,$C1374))</f>
        <v/>
      </c>
      <c r="G1374" s="22">
        <f>IF($N1374="","",IF(ROUND($E1374-$D1374,0)=0,"√","▲ "&amp;TEXT($D1374-$E1374,"#,##0")))</f>
        <v/>
      </c>
      <c r="N1374">
        <f>IFERROR(MATCH($C$5&amp;"|"&amp;RIGHT("000000"&amp;1358,6),LdAKeyG,0),"")</f>
        <v/>
      </c>
    </row>
    <row r="1375">
      <c r="A1375" s="10" t="n">
        <v>1359</v>
      </c>
      <c r="B1375" s="14">
        <f>IF($N1375="","",INDEX(LdADate,$N1375))</f>
        <v/>
      </c>
      <c r="C1375" s="14">
        <f>IF($N1375="","",IF(INDEX(LdAId,$N1375)="","—",INDEX(LdAId,$N1375)))</f>
        <v/>
      </c>
      <c r="D1375" s="16">
        <f>IF($N1375="","",IF(INDEX(LdAAmt,$N1375)=0,"",INDEX(LdAAmt,$N1375)))</f>
        <v/>
      </c>
      <c r="E1375" s="16">
        <f>IF($N1375="","",SUMIFS(ShareAmt,ShareLink,$C1375))</f>
        <v/>
      </c>
      <c r="F1375" s="33">
        <f>IF($N1375="","",COUNTIF(ShareLink,$C1375))</f>
        <v/>
      </c>
      <c r="G1375" s="17">
        <f>IF($N1375="","",IF(ROUND($E1375-$D1375,0)=0,"√","▲ "&amp;TEXT($D1375-$E1375,"#,##0")))</f>
        <v/>
      </c>
      <c r="N1375">
        <f>IFERROR(MATCH($C$5&amp;"|"&amp;RIGHT("000000"&amp;1359,6),LdAKeyG,0),"")</f>
        <v/>
      </c>
    </row>
    <row r="1376">
      <c r="A1376" s="19" t="n">
        <v>1360</v>
      </c>
      <c r="B1376" s="20">
        <f>IF($N1376="","",INDEX(LdADate,$N1376))</f>
        <v/>
      </c>
      <c r="C1376" s="20">
        <f>IF($N1376="","",IF(INDEX(LdAId,$N1376)="","—",INDEX(LdAId,$N1376)))</f>
        <v/>
      </c>
      <c r="D1376" s="21">
        <f>IF($N1376="","",IF(INDEX(LdAAmt,$N1376)=0,"",INDEX(LdAAmt,$N1376)))</f>
        <v/>
      </c>
      <c r="E1376" s="21">
        <f>IF($N1376="","",SUMIFS(ShareAmt,ShareLink,$C1376))</f>
        <v/>
      </c>
      <c r="F1376" s="34">
        <f>IF($N1376="","",COUNTIF(ShareLink,$C1376))</f>
        <v/>
      </c>
      <c r="G1376" s="22">
        <f>IF($N1376="","",IF(ROUND($E1376-$D1376,0)=0,"√","▲ "&amp;TEXT($D1376-$E1376,"#,##0")))</f>
        <v/>
      </c>
      <c r="N1376">
        <f>IFERROR(MATCH($C$5&amp;"|"&amp;RIGHT("000000"&amp;1360,6),LdAKeyG,0),"")</f>
        <v/>
      </c>
    </row>
    <row r="1377">
      <c r="A1377" s="10" t="n">
        <v>1361</v>
      </c>
      <c r="B1377" s="14">
        <f>IF($N1377="","",INDEX(LdADate,$N1377))</f>
        <v/>
      </c>
      <c r="C1377" s="14">
        <f>IF($N1377="","",IF(INDEX(LdAId,$N1377)="","—",INDEX(LdAId,$N1377)))</f>
        <v/>
      </c>
      <c r="D1377" s="16">
        <f>IF($N1377="","",IF(INDEX(LdAAmt,$N1377)=0,"",INDEX(LdAAmt,$N1377)))</f>
        <v/>
      </c>
      <c r="E1377" s="16">
        <f>IF($N1377="","",SUMIFS(ShareAmt,ShareLink,$C1377))</f>
        <v/>
      </c>
      <c r="F1377" s="33">
        <f>IF($N1377="","",COUNTIF(ShareLink,$C1377))</f>
        <v/>
      </c>
      <c r="G1377" s="17">
        <f>IF($N1377="","",IF(ROUND($E1377-$D1377,0)=0,"√","▲ "&amp;TEXT($D1377-$E1377,"#,##0")))</f>
        <v/>
      </c>
      <c r="N1377">
        <f>IFERROR(MATCH($C$5&amp;"|"&amp;RIGHT("000000"&amp;1361,6),LdAKeyG,0),"")</f>
        <v/>
      </c>
    </row>
    <row r="1378">
      <c r="A1378" s="19" t="n">
        <v>1362</v>
      </c>
      <c r="B1378" s="20">
        <f>IF($N1378="","",INDEX(LdADate,$N1378))</f>
        <v/>
      </c>
      <c r="C1378" s="20">
        <f>IF($N1378="","",IF(INDEX(LdAId,$N1378)="","—",INDEX(LdAId,$N1378)))</f>
        <v/>
      </c>
      <c r="D1378" s="21">
        <f>IF($N1378="","",IF(INDEX(LdAAmt,$N1378)=0,"",INDEX(LdAAmt,$N1378)))</f>
        <v/>
      </c>
      <c r="E1378" s="21">
        <f>IF($N1378="","",SUMIFS(ShareAmt,ShareLink,$C1378))</f>
        <v/>
      </c>
      <c r="F1378" s="34">
        <f>IF($N1378="","",COUNTIF(ShareLink,$C1378))</f>
        <v/>
      </c>
      <c r="G1378" s="22">
        <f>IF($N1378="","",IF(ROUND($E1378-$D1378,0)=0,"√","▲ "&amp;TEXT($D1378-$E1378,"#,##0")))</f>
        <v/>
      </c>
      <c r="N1378">
        <f>IFERROR(MATCH($C$5&amp;"|"&amp;RIGHT("000000"&amp;1362,6),LdAKeyG,0),"")</f>
        <v/>
      </c>
    </row>
    <row r="1379">
      <c r="A1379" s="10" t="n">
        <v>1363</v>
      </c>
      <c r="B1379" s="14">
        <f>IF($N1379="","",INDEX(LdADate,$N1379))</f>
        <v/>
      </c>
      <c r="C1379" s="14">
        <f>IF($N1379="","",IF(INDEX(LdAId,$N1379)="","—",INDEX(LdAId,$N1379)))</f>
        <v/>
      </c>
      <c r="D1379" s="16">
        <f>IF($N1379="","",IF(INDEX(LdAAmt,$N1379)=0,"",INDEX(LdAAmt,$N1379)))</f>
        <v/>
      </c>
      <c r="E1379" s="16">
        <f>IF($N1379="","",SUMIFS(ShareAmt,ShareLink,$C1379))</f>
        <v/>
      </c>
      <c r="F1379" s="33">
        <f>IF($N1379="","",COUNTIF(ShareLink,$C1379))</f>
        <v/>
      </c>
      <c r="G1379" s="17">
        <f>IF($N1379="","",IF(ROUND($E1379-$D1379,0)=0,"√","▲ "&amp;TEXT($D1379-$E1379,"#,##0")))</f>
        <v/>
      </c>
      <c r="N1379">
        <f>IFERROR(MATCH($C$5&amp;"|"&amp;RIGHT("000000"&amp;1363,6),LdAKeyG,0),"")</f>
        <v/>
      </c>
    </row>
    <row r="1380">
      <c r="A1380" s="19" t="n">
        <v>1364</v>
      </c>
      <c r="B1380" s="20">
        <f>IF($N1380="","",INDEX(LdADate,$N1380))</f>
        <v/>
      </c>
      <c r="C1380" s="20">
        <f>IF($N1380="","",IF(INDEX(LdAId,$N1380)="","—",INDEX(LdAId,$N1380)))</f>
        <v/>
      </c>
      <c r="D1380" s="21">
        <f>IF($N1380="","",IF(INDEX(LdAAmt,$N1380)=0,"",INDEX(LdAAmt,$N1380)))</f>
        <v/>
      </c>
      <c r="E1380" s="21">
        <f>IF($N1380="","",SUMIFS(ShareAmt,ShareLink,$C1380))</f>
        <v/>
      </c>
      <c r="F1380" s="34">
        <f>IF($N1380="","",COUNTIF(ShareLink,$C1380))</f>
        <v/>
      </c>
      <c r="G1380" s="22">
        <f>IF($N1380="","",IF(ROUND($E1380-$D1380,0)=0,"√","▲ "&amp;TEXT($D1380-$E1380,"#,##0")))</f>
        <v/>
      </c>
      <c r="N1380">
        <f>IFERROR(MATCH($C$5&amp;"|"&amp;RIGHT("000000"&amp;1364,6),LdAKeyG,0),"")</f>
        <v/>
      </c>
    </row>
    <row r="1381">
      <c r="A1381" s="10" t="n">
        <v>1365</v>
      </c>
      <c r="B1381" s="14">
        <f>IF($N1381="","",INDEX(LdADate,$N1381))</f>
        <v/>
      </c>
      <c r="C1381" s="14">
        <f>IF($N1381="","",IF(INDEX(LdAId,$N1381)="","—",INDEX(LdAId,$N1381)))</f>
        <v/>
      </c>
      <c r="D1381" s="16">
        <f>IF($N1381="","",IF(INDEX(LdAAmt,$N1381)=0,"",INDEX(LdAAmt,$N1381)))</f>
        <v/>
      </c>
      <c r="E1381" s="16">
        <f>IF($N1381="","",SUMIFS(ShareAmt,ShareLink,$C1381))</f>
        <v/>
      </c>
      <c r="F1381" s="33">
        <f>IF($N1381="","",COUNTIF(ShareLink,$C1381))</f>
        <v/>
      </c>
      <c r="G1381" s="17">
        <f>IF($N1381="","",IF(ROUND($E1381-$D1381,0)=0,"√","▲ "&amp;TEXT($D1381-$E1381,"#,##0")))</f>
        <v/>
      </c>
      <c r="N1381">
        <f>IFERROR(MATCH($C$5&amp;"|"&amp;RIGHT("000000"&amp;1365,6),LdAKeyG,0),"")</f>
        <v/>
      </c>
    </row>
    <row r="1382">
      <c r="A1382" s="19" t="n">
        <v>1366</v>
      </c>
      <c r="B1382" s="20">
        <f>IF($N1382="","",INDEX(LdADate,$N1382))</f>
        <v/>
      </c>
      <c r="C1382" s="20">
        <f>IF($N1382="","",IF(INDEX(LdAId,$N1382)="","—",INDEX(LdAId,$N1382)))</f>
        <v/>
      </c>
      <c r="D1382" s="21">
        <f>IF($N1382="","",IF(INDEX(LdAAmt,$N1382)=0,"",INDEX(LdAAmt,$N1382)))</f>
        <v/>
      </c>
      <c r="E1382" s="21">
        <f>IF($N1382="","",SUMIFS(ShareAmt,ShareLink,$C1382))</f>
        <v/>
      </c>
      <c r="F1382" s="34">
        <f>IF($N1382="","",COUNTIF(ShareLink,$C1382))</f>
        <v/>
      </c>
      <c r="G1382" s="22">
        <f>IF($N1382="","",IF(ROUND($E1382-$D1382,0)=0,"√","▲ "&amp;TEXT($D1382-$E1382,"#,##0")))</f>
        <v/>
      </c>
      <c r="N1382">
        <f>IFERROR(MATCH($C$5&amp;"|"&amp;RIGHT("000000"&amp;1366,6),LdAKeyG,0),"")</f>
        <v/>
      </c>
    </row>
    <row r="1383">
      <c r="A1383" s="10" t="n">
        <v>1367</v>
      </c>
      <c r="B1383" s="14">
        <f>IF($N1383="","",INDEX(LdADate,$N1383))</f>
        <v/>
      </c>
      <c r="C1383" s="14">
        <f>IF($N1383="","",IF(INDEX(LdAId,$N1383)="","—",INDEX(LdAId,$N1383)))</f>
        <v/>
      </c>
      <c r="D1383" s="16">
        <f>IF($N1383="","",IF(INDEX(LdAAmt,$N1383)=0,"",INDEX(LdAAmt,$N1383)))</f>
        <v/>
      </c>
      <c r="E1383" s="16">
        <f>IF($N1383="","",SUMIFS(ShareAmt,ShareLink,$C1383))</f>
        <v/>
      </c>
      <c r="F1383" s="33">
        <f>IF($N1383="","",COUNTIF(ShareLink,$C1383))</f>
        <v/>
      </c>
      <c r="G1383" s="17">
        <f>IF($N1383="","",IF(ROUND($E1383-$D1383,0)=0,"√","▲ "&amp;TEXT($D1383-$E1383,"#,##0")))</f>
        <v/>
      </c>
      <c r="N1383">
        <f>IFERROR(MATCH($C$5&amp;"|"&amp;RIGHT("000000"&amp;1367,6),LdAKeyG,0),"")</f>
        <v/>
      </c>
    </row>
    <row r="1384">
      <c r="A1384" s="19" t="n">
        <v>1368</v>
      </c>
      <c r="B1384" s="20">
        <f>IF($N1384="","",INDEX(LdADate,$N1384))</f>
        <v/>
      </c>
      <c r="C1384" s="20">
        <f>IF($N1384="","",IF(INDEX(LdAId,$N1384)="","—",INDEX(LdAId,$N1384)))</f>
        <v/>
      </c>
      <c r="D1384" s="21">
        <f>IF($N1384="","",IF(INDEX(LdAAmt,$N1384)=0,"",INDEX(LdAAmt,$N1384)))</f>
        <v/>
      </c>
      <c r="E1384" s="21">
        <f>IF($N1384="","",SUMIFS(ShareAmt,ShareLink,$C1384))</f>
        <v/>
      </c>
      <c r="F1384" s="34">
        <f>IF($N1384="","",COUNTIF(ShareLink,$C1384))</f>
        <v/>
      </c>
      <c r="G1384" s="22">
        <f>IF($N1384="","",IF(ROUND($E1384-$D1384,0)=0,"√","▲ "&amp;TEXT($D1384-$E1384,"#,##0")))</f>
        <v/>
      </c>
      <c r="N1384">
        <f>IFERROR(MATCH($C$5&amp;"|"&amp;RIGHT("000000"&amp;1368,6),LdAKeyG,0),"")</f>
        <v/>
      </c>
    </row>
    <row r="1385">
      <c r="A1385" s="10" t="n">
        <v>1369</v>
      </c>
      <c r="B1385" s="14">
        <f>IF($N1385="","",INDEX(LdADate,$N1385))</f>
        <v/>
      </c>
      <c r="C1385" s="14">
        <f>IF($N1385="","",IF(INDEX(LdAId,$N1385)="","—",INDEX(LdAId,$N1385)))</f>
        <v/>
      </c>
      <c r="D1385" s="16">
        <f>IF($N1385="","",IF(INDEX(LdAAmt,$N1385)=0,"",INDEX(LdAAmt,$N1385)))</f>
        <v/>
      </c>
      <c r="E1385" s="16">
        <f>IF($N1385="","",SUMIFS(ShareAmt,ShareLink,$C1385))</f>
        <v/>
      </c>
      <c r="F1385" s="33">
        <f>IF($N1385="","",COUNTIF(ShareLink,$C1385))</f>
        <v/>
      </c>
      <c r="G1385" s="17">
        <f>IF($N1385="","",IF(ROUND($E1385-$D1385,0)=0,"√","▲ "&amp;TEXT($D1385-$E1385,"#,##0")))</f>
        <v/>
      </c>
      <c r="N1385">
        <f>IFERROR(MATCH($C$5&amp;"|"&amp;RIGHT("000000"&amp;1369,6),LdAKeyG,0),"")</f>
        <v/>
      </c>
    </row>
    <row r="1386">
      <c r="A1386" s="19" t="n">
        <v>1370</v>
      </c>
      <c r="B1386" s="20">
        <f>IF($N1386="","",INDEX(LdADate,$N1386))</f>
        <v/>
      </c>
      <c r="C1386" s="20">
        <f>IF($N1386="","",IF(INDEX(LdAId,$N1386)="","—",INDEX(LdAId,$N1386)))</f>
        <v/>
      </c>
      <c r="D1386" s="21">
        <f>IF($N1386="","",IF(INDEX(LdAAmt,$N1386)=0,"",INDEX(LdAAmt,$N1386)))</f>
        <v/>
      </c>
      <c r="E1386" s="21">
        <f>IF($N1386="","",SUMIFS(ShareAmt,ShareLink,$C1386))</f>
        <v/>
      </c>
      <c r="F1386" s="34">
        <f>IF($N1386="","",COUNTIF(ShareLink,$C1386))</f>
        <v/>
      </c>
      <c r="G1386" s="22">
        <f>IF($N1386="","",IF(ROUND($E1386-$D1386,0)=0,"√","▲ "&amp;TEXT($D1386-$E1386,"#,##0")))</f>
        <v/>
      </c>
      <c r="N1386">
        <f>IFERROR(MATCH($C$5&amp;"|"&amp;RIGHT("000000"&amp;1370,6),LdAKeyG,0),"")</f>
        <v/>
      </c>
    </row>
    <row r="1387">
      <c r="A1387" s="10" t="n">
        <v>1371</v>
      </c>
      <c r="B1387" s="14">
        <f>IF($N1387="","",INDEX(LdADate,$N1387))</f>
        <v/>
      </c>
      <c r="C1387" s="14">
        <f>IF($N1387="","",IF(INDEX(LdAId,$N1387)="","—",INDEX(LdAId,$N1387)))</f>
        <v/>
      </c>
      <c r="D1387" s="16">
        <f>IF($N1387="","",IF(INDEX(LdAAmt,$N1387)=0,"",INDEX(LdAAmt,$N1387)))</f>
        <v/>
      </c>
      <c r="E1387" s="16">
        <f>IF($N1387="","",SUMIFS(ShareAmt,ShareLink,$C1387))</f>
        <v/>
      </c>
      <c r="F1387" s="33">
        <f>IF($N1387="","",COUNTIF(ShareLink,$C1387))</f>
        <v/>
      </c>
      <c r="G1387" s="17">
        <f>IF($N1387="","",IF(ROUND($E1387-$D1387,0)=0,"√","▲ "&amp;TEXT($D1387-$E1387,"#,##0")))</f>
        <v/>
      </c>
      <c r="N1387">
        <f>IFERROR(MATCH($C$5&amp;"|"&amp;RIGHT("000000"&amp;1371,6),LdAKeyG,0),"")</f>
        <v/>
      </c>
    </row>
    <row r="1388">
      <c r="A1388" s="19" t="n">
        <v>1372</v>
      </c>
      <c r="B1388" s="20">
        <f>IF($N1388="","",INDEX(LdADate,$N1388))</f>
        <v/>
      </c>
      <c r="C1388" s="20">
        <f>IF($N1388="","",IF(INDEX(LdAId,$N1388)="","—",INDEX(LdAId,$N1388)))</f>
        <v/>
      </c>
      <c r="D1388" s="21">
        <f>IF($N1388="","",IF(INDEX(LdAAmt,$N1388)=0,"",INDEX(LdAAmt,$N1388)))</f>
        <v/>
      </c>
      <c r="E1388" s="21">
        <f>IF($N1388="","",SUMIFS(ShareAmt,ShareLink,$C1388))</f>
        <v/>
      </c>
      <c r="F1388" s="34">
        <f>IF($N1388="","",COUNTIF(ShareLink,$C1388))</f>
        <v/>
      </c>
      <c r="G1388" s="22">
        <f>IF($N1388="","",IF(ROUND($E1388-$D1388,0)=0,"√","▲ "&amp;TEXT($D1388-$E1388,"#,##0")))</f>
        <v/>
      </c>
      <c r="N1388">
        <f>IFERROR(MATCH($C$5&amp;"|"&amp;RIGHT("000000"&amp;1372,6),LdAKeyG,0),"")</f>
        <v/>
      </c>
    </row>
    <row r="1389">
      <c r="A1389" s="10" t="n">
        <v>1373</v>
      </c>
      <c r="B1389" s="14">
        <f>IF($N1389="","",INDEX(LdADate,$N1389))</f>
        <v/>
      </c>
      <c r="C1389" s="14">
        <f>IF($N1389="","",IF(INDEX(LdAId,$N1389)="","—",INDEX(LdAId,$N1389)))</f>
        <v/>
      </c>
      <c r="D1389" s="16">
        <f>IF($N1389="","",IF(INDEX(LdAAmt,$N1389)=0,"",INDEX(LdAAmt,$N1389)))</f>
        <v/>
      </c>
      <c r="E1389" s="16">
        <f>IF($N1389="","",SUMIFS(ShareAmt,ShareLink,$C1389))</f>
        <v/>
      </c>
      <c r="F1389" s="33">
        <f>IF($N1389="","",COUNTIF(ShareLink,$C1389))</f>
        <v/>
      </c>
      <c r="G1389" s="17">
        <f>IF($N1389="","",IF(ROUND($E1389-$D1389,0)=0,"√","▲ "&amp;TEXT($D1389-$E1389,"#,##0")))</f>
        <v/>
      </c>
      <c r="N1389">
        <f>IFERROR(MATCH($C$5&amp;"|"&amp;RIGHT("000000"&amp;1373,6),LdAKeyG,0),"")</f>
        <v/>
      </c>
    </row>
    <row r="1390">
      <c r="A1390" s="19" t="n">
        <v>1374</v>
      </c>
      <c r="B1390" s="20">
        <f>IF($N1390="","",INDEX(LdADate,$N1390))</f>
        <v/>
      </c>
      <c r="C1390" s="20">
        <f>IF($N1390="","",IF(INDEX(LdAId,$N1390)="","—",INDEX(LdAId,$N1390)))</f>
        <v/>
      </c>
      <c r="D1390" s="21">
        <f>IF($N1390="","",IF(INDEX(LdAAmt,$N1390)=0,"",INDEX(LdAAmt,$N1390)))</f>
        <v/>
      </c>
      <c r="E1390" s="21">
        <f>IF($N1390="","",SUMIFS(ShareAmt,ShareLink,$C1390))</f>
        <v/>
      </c>
      <c r="F1390" s="34">
        <f>IF($N1390="","",COUNTIF(ShareLink,$C1390))</f>
        <v/>
      </c>
      <c r="G1390" s="22">
        <f>IF($N1390="","",IF(ROUND($E1390-$D1390,0)=0,"√","▲ "&amp;TEXT($D1390-$E1390,"#,##0")))</f>
        <v/>
      </c>
      <c r="N1390">
        <f>IFERROR(MATCH($C$5&amp;"|"&amp;RIGHT("000000"&amp;1374,6),LdAKeyG,0),"")</f>
        <v/>
      </c>
    </row>
    <row r="1391">
      <c r="A1391" s="10" t="n">
        <v>1375</v>
      </c>
      <c r="B1391" s="14">
        <f>IF($N1391="","",INDEX(LdADate,$N1391))</f>
        <v/>
      </c>
      <c r="C1391" s="14">
        <f>IF($N1391="","",IF(INDEX(LdAId,$N1391)="","—",INDEX(LdAId,$N1391)))</f>
        <v/>
      </c>
      <c r="D1391" s="16">
        <f>IF($N1391="","",IF(INDEX(LdAAmt,$N1391)=0,"",INDEX(LdAAmt,$N1391)))</f>
        <v/>
      </c>
      <c r="E1391" s="16">
        <f>IF($N1391="","",SUMIFS(ShareAmt,ShareLink,$C1391))</f>
        <v/>
      </c>
      <c r="F1391" s="33">
        <f>IF($N1391="","",COUNTIF(ShareLink,$C1391))</f>
        <v/>
      </c>
      <c r="G1391" s="17">
        <f>IF($N1391="","",IF(ROUND($E1391-$D1391,0)=0,"√","▲ "&amp;TEXT($D1391-$E1391,"#,##0")))</f>
        <v/>
      </c>
      <c r="N1391">
        <f>IFERROR(MATCH($C$5&amp;"|"&amp;RIGHT("000000"&amp;1375,6),LdAKeyG,0),"")</f>
        <v/>
      </c>
    </row>
    <row r="1392">
      <c r="A1392" s="19" t="n">
        <v>1376</v>
      </c>
      <c r="B1392" s="20">
        <f>IF($N1392="","",INDEX(LdADate,$N1392))</f>
        <v/>
      </c>
      <c r="C1392" s="20">
        <f>IF($N1392="","",IF(INDEX(LdAId,$N1392)="","—",INDEX(LdAId,$N1392)))</f>
        <v/>
      </c>
      <c r="D1392" s="21">
        <f>IF($N1392="","",IF(INDEX(LdAAmt,$N1392)=0,"",INDEX(LdAAmt,$N1392)))</f>
        <v/>
      </c>
      <c r="E1392" s="21">
        <f>IF($N1392="","",SUMIFS(ShareAmt,ShareLink,$C1392))</f>
        <v/>
      </c>
      <c r="F1392" s="34">
        <f>IF($N1392="","",COUNTIF(ShareLink,$C1392))</f>
        <v/>
      </c>
      <c r="G1392" s="22">
        <f>IF($N1392="","",IF(ROUND($E1392-$D1392,0)=0,"√","▲ "&amp;TEXT($D1392-$E1392,"#,##0")))</f>
        <v/>
      </c>
      <c r="N1392">
        <f>IFERROR(MATCH($C$5&amp;"|"&amp;RIGHT("000000"&amp;1376,6),LdAKeyG,0),"")</f>
        <v/>
      </c>
    </row>
    <row r="1393">
      <c r="A1393" s="10" t="n">
        <v>1377</v>
      </c>
      <c r="B1393" s="14">
        <f>IF($N1393="","",INDEX(LdADate,$N1393))</f>
        <v/>
      </c>
      <c r="C1393" s="14">
        <f>IF($N1393="","",IF(INDEX(LdAId,$N1393)="","—",INDEX(LdAId,$N1393)))</f>
        <v/>
      </c>
      <c r="D1393" s="16">
        <f>IF($N1393="","",IF(INDEX(LdAAmt,$N1393)=0,"",INDEX(LdAAmt,$N1393)))</f>
        <v/>
      </c>
      <c r="E1393" s="16">
        <f>IF($N1393="","",SUMIFS(ShareAmt,ShareLink,$C1393))</f>
        <v/>
      </c>
      <c r="F1393" s="33">
        <f>IF($N1393="","",COUNTIF(ShareLink,$C1393))</f>
        <v/>
      </c>
      <c r="G1393" s="17">
        <f>IF($N1393="","",IF(ROUND($E1393-$D1393,0)=0,"√","▲ "&amp;TEXT($D1393-$E1393,"#,##0")))</f>
        <v/>
      </c>
      <c r="N1393">
        <f>IFERROR(MATCH($C$5&amp;"|"&amp;RIGHT("000000"&amp;1377,6),LdAKeyG,0),"")</f>
        <v/>
      </c>
    </row>
    <row r="1394">
      <c r="A1394" s="19" t="n">
        <v>1378</v>
      </c>
      <c r="B1394" s="20">
        <f>IF($N1394="","",INDEX(LdADate,$N1394))</f>
        <v/>
      </c>
      <c r="C1394" s="20">
        <f>IF($N1394="","",IF(INDEX(LdAId,$N1394)="","—",INDEX(LdAId,$N1394)))</f>
        <v/>
      </c>
      <c r="D1394" s="21">
        <f>IF($N1394="","",IF(INDEX(LdAAmt,$N1394)=0,"",INDEX(LdAAmt,$N1394)))</f>
        <v/>
      </c>
      <c r="E1394" s="21">
        <f>IF($N1394="","",SUMIFS(ShareAmt,ShareLink,$C1394))</f>
        <v/>
      </c>
      <c r="F1394" s="34">
        <f>IF($N1394="","",COUNTIF(ShareLink,$C1394))</f>
        <v/>
      </c>
      <c r="G1394" s="22">
        <f>IF($N1394="","",IF(ROUND($E1394-$D1394,0)=0,"√","▲ "&amp;TEXT($D1394-$E1394,"#,##0")))</f>
        <v/>
      </c>
      <c r="N1394">
        <f>IFERROR(MATCH($C$5&amp;"|"&amp;RIGHT("000000"&amp;1378,6),LdAKeyG,0),"")</f>
        <v/>
      </c>
    </row>
    <row r="1395">
      <c r="A1395" s="10" t="n">
        <v>1379</v>
      </c>
      <c r="B1395" s="14">
        <f>IF($N1395="","",INDEX(LdADate,$N1395))</f>
        <v/>
      </c>
      <c r="C1395" s="14">
        <f>IF($N1395="","",IF(INDEX(LdAId,$N1395)="","—",INDEX(LdAId,$N1395)))</f>
        <v/>
      </c>
      <c r="D1395" s="16">
        <f>IF($N1395="","",IF(INDEX(LdAAmt,$N1395)=0,"",INDEX(LdAAmt,$N1395)))</f>
        <v/>
      </c>
      <c r="E1395" s="16">
        <f>IF($N1395="","",SUMIFS(ShareAmt,ShareLink,$C1395))</f>
        <v/>
      </c>
      <c r="F1395" s="33">
        <f>IF($N1395="","",COUNTIF(ShareLink,$C1395))</f>
        <v/>
      </c>
      <c r="G1395" s="17">
        <f>IF($N1395="","",IF(ROUND($E1395-$D1395,0)=0,"√","▲ "&amp;TEXT($D1395-$E1395,"#,##0")))</f>
        <v/>
      </c>
      <c r="N1395">
        <f>IFERROR(MATCH($C$5&amp;"|"&amp;RIGHT("000000"&amp;1379,6),LdAKeyG,0),"")</f>
        <v/>
      </c>
    </row>
    <row r="1396">
      <c r="A1396" s="19" t="n">
        <v>1380</v>
      </c>
      <c r="B1396" s="20">
        <f>IF($N1396="","",INDEX(LdADate,$N1396))</f>
        <v/>
      </c>
      <c r="C1396" s="20">
        <f>IF($N1396="","",IF(INDEX(LdAId,$N1396)="","—",INDEX(LdAId,$N1396)))</f>
        <v/>
      </c>
      <c r="D1396" s="21">
        <f>IF($N1396="","",IF(INDEX(LdAAmt,$N1396)=0,"",INDEX(LdAAmt,$N1396)))</f>
        <v/>
      </c>
      <c r="E1396" s="21">
        <f>IF($N1396="","",SUMIFS(ShareAmt,ShareLink,$C1396))</f>
        <v/>
      </c>
      <c r="F1396" s="34">
        <f>IF($N1396="","",COUNTIF(ShareLink,$C1396))</f>
        <v/>
      </c>
      <c r="G1396" s="22">
        <f>IF($N1396="","",IF(ROUND($E1396-$D1396,0)=0,"√","▲ "&amp;TEXT($D1396-$E1396,"#,##0")))</f>
        <v/>
      </c>
      <c r="N1396">
        <f>IFERROR(MATCH($C$5&amp;"|"&amp;RIGHT("000000"&amp;1380,6),LdAKeyG,0),"")</f>
        <v/>
      </c>
    </row>
    <row r="1397">
      <c r="A1397" s="10" t="n">
        <v>1381</v>
      </c>
      <c r="B1397" s="14">
        <f>IF($N1397="","",INDEX(LdADate,$N1397))</f>
        <v/>
      </c>
      <c r="C1397" s="14">
        <f>IF($N1397="","",IF(INDEX(LdAId,$N1397)="","—",INDEX(LdAId,$N1397)))</f>
        <v/>
      </c>
      <c r="D1397" s="16">
        <f>IF($N1397="","",IF(INDEX(LdAAmt,$N1397)=0,"",INDEX(LdAAmt,$N1397)))</f>
        <v/>
      </c>
      <c r="E1397" s="16">
        <f>IF($N1397="","",SUMIFS(ShareAmt,ShareLink,$C1397))</f>
        <v/>
      </c>
      <c r="F1397" s="33">
        <f>IF($N1397="","",COUNTIF(ShareLink,$C1397))</f>
        <v/>
      </c>
      <c r="G1397" s="17">
        <f>IF($N1397="","",IF(ROUND($E1397-$D1397,0)=0,"√","▲ "&amp;TEXT($D1397-$E1397,"#,##0")))</f>
        <v/>
      </c>
      <c r="N1397">
        <f>IFERROR(MATCH($C$5&amp;"|"&amp;RIGHT("000000"&amp;1381,6),LdAKeyG,0),"")</f>
        <v/>
      </c>
    </row>
    <row r="1398">
      <c r="A1398" s="19" t="n">
        <v>1382</v>
      </c>
      <c r="B1398" s="20">
        <f>IF($N1398="","",INDEX(LdADate,$N1398))</f>
        <v/>
      </c>
      <c r="C1398" s="20">
        <f>IF($N1398="","",IF(INDEX(LdAId,$N1398)="","—",INDEX(LdAId,$N1398)))</f>
        <v/>
      </c>
      <c r="D1398" s="21">
        <f>IF($N1398="","",IF(INDEX(LdAAmt,$N1398)=0,"",INDEX(LdAAmt,$N1398)))</f>
        <v/>
      </c>
      <c r="E1398" s="21">
        <f>IF($N1398="","",SUMIFS(ShareAmt,ShareLink,$C1398))</f>
        <v/>
      </c>
      <c r="F1398" s="34">
        <f>IF($N1398="","",COUNTIF(ShareLink,$C1398))</f>
        <v/>
      </c>
      <c r="G1398" s="22">
        <f>IF($N1398="","",IF(ROUND($E1398-$D1398,0)=0,"√","▲ "&amp;TEXT($D1398-$E1398,"#,##0")))</f>
        <v/>
      </c>
      <c r="N1398">
        <f>IFERROR(MATCH($C$5&amp;"|"&amp;RIGHT("000000"&amp;1382,6),LdAKeyG,0),"")</f>
        <v/>
      </c>
    </row>
    <row r="1399">
      <c r="A1399" s="10" t="n">
        <v>1383</v>
      </c>
      <c r="B1399" s="14">
        <f>IF($N1399="","",INDEX(LdADate,$N1399))</f>
        <v/>
      </c>
      <c r="C1399" s="14">
        <f>IF($N1399="","",IF(INDEX(LdAId,$N1399)="","—",INDEX(LdAId,$N1399)))</f>
        <v/>
      </c>
      <c r="D1399" s="16">
        <f>IF($N1399="","",IF(INDEX(LdAAmt,$N1399)=0,"",INDEX(LdAAmt,$N1399)))</f>
        <v/>
      </c>
      <c r="E1399" s="16">
        <f>IF($N1399="","",SUMIFS(ShareAmt,ShareLink,$C1399))</f>
        <v/>
      </c>
      <c r="F1399" s="33">
        <f>IF($N1399="","",COUNTIF(ShareLink,$C1399))</f>
        <v/>
      </c>
      <c r="G1399" s="17">
        <f>IF($N1399="","",IF(ROUND($E1399-$D1399,0)=0,"√","▲ "&amp;TEXT($D1399-$E1399,"#,##0")))</f>
        <v/>
      </c>
      <c r="N1399">
        <f>IFERROR(MATCH($C$5&amp;"|"&amp;RIGHT("000000"&amp;1383,6),LdAKeyG,0),"")</f>
        <v/>
      </c>
    </row>
    <row r="1400">
      <c r="A1400" s="19" t="n">
        <v>1384</v>
      </c>
      <c r="B1400" s="20">
        <f>IF($N1400="","",INDEX(LdADate,$N1400))</f>
        <v/>
      </c>
      <c r="C1400" s="20">
        <f>IF($N1400="","",IF(INDEX(LdAId,$N1400)="","—",INDEX(LdAId,$N1400)))</f>
        <v/>
      </c>
      <c r="D1400" s="21">
        <f>IF($N1400="","",IF(INDEX(LdAAmt,$N1400)=0,"",INDEX(LdAAmt,$N1400)))</f>
        <v/>
      </c>
      <c r="E1400" s="21">
        <f>IF($N1400="","",SUMIFS(ShareAmt,ShareLink,$C1400))</f>
        <v/>
      </c>
      <c r="F1400" s="34">
        <f>IF($N1400="","",COUNTIF(ShareLink,$C1400))</f>
        <v/>
      </c>
      <c r="G1400" s="22">
        <f>IF($N1400="","",IF(ROUND($E1400-$D1400,0)=0,"√","▲ "&amp;TEXT($D1400-$E1400,"#,##0")))</f>
        <v/>
      </c>
      <c r="N1400">
        <f>IFERROR(MATCH($C$5&amp;"|"&amp;RIGHT("000000"&amp;1384,6),LdAKeyG,0),"")</f>
        <v/>
      </c>
    </row>
    <row r="1401">
      <c r="A1401" s="10" t="n">
        <v>1385</v>
      </c>
      <c r="B1401" s="14">
        <f>IF($N1401="","",INDEX(LdADate,$N1401))</f>
        <v/>
      </c>
      <c r="C1401" s="14">
        <f>IF($N1401="","",IF(INDEX(LdAId,$N1401)="","—",INDEX(LdAId,$N1401)))</f>
        <v/>
      </c>
      <c r="D1401" s="16">
        <f>IF($N1401="","",IF(INDEX(LdAAmt,$N1401)=0,"",INDEX(LdAAmt,$N1401)))</f>
        <v/>
      </c>
      <c r="E1401" s="16">
        <f>IF($N1401="","",SUMIFS(ShareAmt,ShareLink,$C1401))</f>
        <v/>
      </c>
      <c r="F1401" s="33">
        <f>IF($N1401="","",COUNTIF(ShareLink,$C1401))</f>
        <v/>
      </c>
      <c r="G1401" s="17">
        <f>IF($N1401="","",IF(ROUND($E1401-$D1401,0)=0,"√","▲ "&amp;TEXT($D1401-$E1401,"#,##0")))</f>
        <v/>
      </c>
      <c r="N1401">
        <f>IFERROR(MATCH($C$5&amp;"|"&amp;RIGHT("000000"&amp;1385,6),LdAKeyG,0),"")</f>
        <v/>
      </c>
    </row>
    <row r="1402">
      <c r="A1402" s="19" t="n">
        <v>1386</v>
      </c>
      <c r="B1402" s="20">
        <f>IF($N1402="","",INDEX(LdADate,$N1402))</f>
        <v/>
      </c>
      <c r="C1402" s="20">
        <f>IF($N1402="","",IF(INDEX(LdAId,$N1402)="","—",INDEX(LdAId,$N1402)))</f>
        <v/>
      </c>
      <c r="D1402" s="21">
        <f>IF($N1402="","",IF(INDEX(LdAAmt,$N1402)=0,"",INDEX(LdAAmt,$N1402)))</f>
        <v/>
      </c>
      <c r="E1402" s="21">
        <f>IF($N1402="","",SUMIFS(ShareAmt,ShareLink,$C1402))</f>
        <v/>
      </c>
      <c r="F1402" s="34">
        <f>IF($N1402="","",COUNTIF(ShareLink,$C1402))</f>
        <v/>
      </c>
      <c r="G1402" s="22">
        <f>IF($N1402="","",IF(ROUND($E1402-$D1402,0)=0,"√","▲ "&amp;TEXT($D1402-$E1402,"#,##0")))</f>
        <v/>
      </c>
      <c r="N1402">
        <f>IFERROR(MATCH($C$5&amp;"|"&amp;RIGHT("000000"&amp;1386,6),LdAKeyG,0),"")</f>
        <v/>
      </c>
    </row>
    <row r="1403">
      <c r="A1403" s="10" t="n">
        <v>1387</v>
      </c>
      <c r="B1403" s="14">
        <f>IF($N1403="","",INDEX(LdADate,$N1403))</f>
        <v/>
      </c>
      <c r="C1403" s="14">
        <f>IF($N1403="","",IF(INDEX(LdAId,$N1403)="","—",INDEX(LdAId,$N1403)))</f>
        <v/>
      </c>
      <c r="D1403" s="16">
        <f>IF($N1403="","",IF(INDEX(LdAAmt,$N1403)=0,"",INDEX(LdAAmt,$N1403)))</f>
        <v/>
      </c>
      <c r="E1403" s="16">
        <f>IF($N1403="","",SUMIFS(ShareAmt,ShareLink,$C1403))</f>
        <v/>
      </c>
      <c r="F1403" s="33">
        <f>IF($N1403="","",COUNTIF(ShareLink,$C1403))</f>
        <v/>
      </c>
      <c r="G1403" s="17">
        <f>IF($N1403="","",IF(ROUND($E1403-$D1403,0)=0,"√","▲ "&amp;TEXT($D1403-$E1403,"#,##0")))</f>
        <v/>
      </c>
      <c r="N1403">
        <f>IFERROR(MATCH($C$5&amp;"|"&amp;RIGHT("000000"&amp;1387,6),LdAKeyG,0),"")</f>
        <v/>
      </c>
    </row>
    <row r="1404">
      <c r="A1404" s="19" t="n">
        <v>1388</v>
      </c>
      <c r="B1404" s="20">
        <f>IF($N1404="","",INDEX(LdADate,$N1404))</f>
        <v/>
      </c>
      <c r="C1404" s="20">
        <f>IF($N1404="","",IF(INDEX(LdAId,$N1404)="","—",INDEX(LdAId,$N1404)))</f>
        <v/>
      </c>
      <c r="D1404" s="21">
        <f>IF($N1404="","",IF(INDEX(LdAAmt,$N1404)=0,"",INDEX(LdAAmt,$N1404)))</f>
        <v/>
      </c>
      <c r="E1404" s="21">
        <f>IF($N1404="","",SUMIFS(ShareAmt,ShareLink,$C1404))</f>
        <v/>
      </c>
      <c r="F1404" s="34">
        <f>IF($N1404="","",COUNTIF(ShareLink,$C1404))</f>
        <v/>
      </c>
      <c r="G1404" s="22">
        <f>IF($N1404="","",IF(ROUND($E1404-$D1404,0)=0,"√","▲ "&amp;TEXT($D1404-$E1404,"#,##0")))</f>
        <v/>
      </c>
      <c r="N1404">
        <f>IFERROR(MATCH($C$5&amp;"|"&amp;RIGHT("000000"&amp;1388,6),LdAKeyG,0),"")</f>
        <v/>
      </c>
    </row>
    <row r="1405">
      <c r="A1405" s="10" t="n">
        <v>1389</v>
      </c>
      <c r="B1405" s="14">
        <f>IF($N1405="","",INDEX(LdADate,$N1405))</f>
        <v/>
      </c>
      <c r="C1405" s="14">
        <f>IF($N1405="","",IF(INDEX(LdAId,$N1405)="","—",INDEX(LdAId,$N1405)))</f>
        <v/>
      </c>
      <c r="D1405" s="16">
        <f>IF($N1405="","",IF(INDEX(LdAAmt,$N1405)=0,"",INDEX(LdAAmt,$N1405)))</f>
        <v/>
      </c>
      <c r="E1405" s="16">
        <f>IF($N1405="","",SUMIFS(ShareAmt,ShareLink,$C1405))</f>
        <v/>
      </c>
      <c r="F1405" s="33">
        <f>IF($N1405="","",COUNTIF(ShareLink,$C1405))</f>
        <v/>
      </c>
      <c r="G1405" s="17">
        <f>IF($N1405="","",IF(ROUND($E1405-$D1405,0)=0,"√","▲ "&amp;TEXT($D1405-$E1405,"#,##0")))</f>
        <v/>
      </c>
      <c r="N1405">
        <f>IFERROR(MATCH($C$5&amp;"|"&amp;RIGHT("000000"&amp;1389,6),LdAKeyG,0),"")</f>
        <v/>
      </c>
    </row>
    <row r="1406">
      <c r="A1406" s="19" t="n">
        <v>1390</v>
      </c>
      <c r="B1406" s="20">
        <f>IF($N1406="","",INDEX(LdADate,$N1406))</f>
        <v/>
      </c>
      <c r="C1406" s="20">
        <f>IF($N1406="","",IF(INDEX(LdAId,$N1406)="","—",INDEX(LdAId,$N1406)))</f>
        <v/>
      </c>
      <c r="D1406" s="21">
        <f>IF($N1406="","",IF(INDEX(LdAAmt,$N1406)=0,"",INDEX(LdAAmt,$N1406)))</f>
        <v/>
      </c>
      <c r="E1406" s="21">
        <f>IF($N1406="","",SUMIFS(ShareAmt,ShareLink,$C1406))</f>
        <v/>
      </c>
      <c r="F1406" s="34">
        <f>IF($N1406="","",COUNTIF(ShareLink,$C1406))</f>
        <v/>
      </c>
      <c r="G1406" s="22">
        <f>IF($N1406="","",IF(ROUND($E1406-$D1406,0)=0,"√","▲ "&amp;TEXT($D1406-$E1406,"#,##0")))</f>
        <v/>
      </c>
      <c r="N1406">
        <f>IFERROR(MATCH($C$5&amp;"|"&amp;RIGHT("000000"&amp;1390,6),LdAKeyG,0),"")</f>
        <v/>
      </c>
    </row>
    <row r="1407">
      <c r="A1407" s="10" t="n">
        <v>1391</v>
      </c>
      <c r="B1407" s="14">
        <f>IF($N1407="","",INDEX(LdADate,$N1407))</f>
        <v/>
      </c>
      <c r="C1407" s="14">
        <f>IF($N1407="","",IF(INDEX(LdAId,$N1407)="","—",INDEX(LdAId,$N1407)))</f>
        <v/>
      </c>
      <c r="D1407" s="16">
        <f>IF($N1407="","",IF(INDEX(LdAAmt,$N1407)=0,"",INDEX(LdAAmt,$N1407)))</f>
        <v/>
      </c>
      <c r="E1407" s="16">
        <f>IF($N1407="","",SUMIFS(ShareAmt,ShareLink,$C1407))</f>
        <v/>
      </c>
      <c r="F1407" s="33">
        <f>IF($N1407="","",COUNTIF(ShareLink,$C1407))</f>
        <v/>
      </c>
      <c r="G1407" s="17">
        <f>IF($N1407="","",IF(ROUND($E1407-$D1407,0)=0,"√","▲ "&amp;TEXT($D1407-$E1407,"#,##0")))</f>
        <v/>
      </c>
      <c r="N1407">
        <f>IFERROR(MATCH($C$5&amp;"|"&amp;RIGHT("000000"&amp;1391,6),LdAKeyG,0),"")</f>
        <v/>
      </c>
    </row>
    <row r="1408">
      <c r="A1408" s="19" t="n">
        <v>1392</v>
      </c>
      <c r="B1408" s="20">
        <f>IF($N1408="","",INDEX(LdADate,$N1408))</f>
        <v/>
      </c>
      <c r="C1408" s="20">
        <f>IF($N1408="","",IF(INDEX(LdAId,$N1408)="","—",INDEX(LdAId,$N1408)))</f>
        <v/>
      </c>
      <c r="D1408" s="21">
        <f>IF($N1408="","",IF(INDEX(LdAAmt,$N1408)=0,"",INDEX(LdAAmt,$N1408)))</f>
        <v/>
      </c>
      <c r="E1408" s="21">
        <f>IF($N1408="","",SUMIFS(ShareAmt,ShareLink,$C1408))</f>
        <v/>
      </c>
      <c r="F1408" s="34">
        <f>IF($N1408="","",COUNTIF(ShareLink,$C1408))</f>
        <v/>
      </c>
      <c r="G1408" s="22">
        <f>IF($N1408="","",IF(ROUND($E1408-$D1408,0)=0,"√","▲ "&amp;TEXT($D1408-$E1408,"#,##0")))</f>
        <v/>
      </c>
      <c r="N1408">
        <f>IFERROR(MATCH($C$5&amp;"|"&amp;RIGHT("000000"&amp;1392,6),LdAKeyG,0),"")</f>
        <v/>
      </c>
    </row>
    <row r="1409">
      <c r="A1409" s="10" t="n">
        <v>1393</v>
      </c>
      <c r="B1409" s="14">
        <f>IF($N1409="","",INDEX(LdADate,$N1409))</f>
        <v/>
      </c>
      <c r="C1409" s="14">
        <f>IF($N1409="","",IF(INDEX(LdAId,$N1409)="","—",INDEX(LdAId,$N1409)))</f>
        <v/>
      </c>
      <c r="D1409" s="16">
        <f>IF($N1409="","",IF(INDEX(LdAAmt,$N1409)=0,"",INDEX(LdAAmt,$N1409)))</f>
        <v/>
      </c>
      <c r="E1409" s="16">
        <f>IF($N1409="","",SUMIFS(ShareAmt,ShareLink,$C1409))</f>
        <v/>
      </c>
      <c r="F1409" s="33">
        <f>IF($N1409="","",COUNTIF(ShareLink,$C1409))</f>
        <v/>
      </c>
      <c r="G1409" s="17">
        <f>IF($N1409="","",IF(ROUND($E1409-$D1409,0)=0,"√","▲ "&amp;TEXT($D1409-$E1409,"#,##0")))</f>
        <v/>
      </c>
      <c r="N1409">
        <f>IFERROR(MATCH($C$5&amp;"|"&amp;RIGHT("000000"&amp;1393,6),LdAKeyG,0),"")</f>
        <v/>
      </c>
    </row>
    <row r="1410">
      <c r="A1410" s="19" t="n">
        <v>1394</v>
      </c>
      <c r="B1410" s="20">
        <f>IF($N1410="","",INDEX(LdADate,$N1410))</f>
        <v/>
      </c>
      <c r="C1410" s="20">
        <f>IF($N1410="","",IF(INDEX(LdAId,$N1410)="","—",INDEX(LdAId,$N1410)))</f>
        <v/>
      </c>
      <c r="D1410" s="21">
        <f>IF($N1410="","",IF(INDEX(LdAAmt,$N1410)=0,"",INDEX(LdAAmt,$N1410)))</f>
        <v/>
      </c>
      <c r="E1410" s="21">
        <f>IF($N1410="","",SUMIFS(ShareAmt,ShareLink,$C1410))</f>
        <v/>
      </c>
      <c r="F1410" s="34">
        <f>IF($N1410="","",COUNTIF(ShareLink,$C1410))</f>
        <v/>
      </c>
      <c r="G1410" s="22">
        <f>IF($N1410="","",IF(ROUND($E1410-$D1410,0)=0,"√","▲ "&amp;TEXT($D1410-$E1410,"#,##0")))</f>
        <v/>
      </c>
      <c r="N1410">
        <f>IFERROR(MATCH($C$5&amp;"|"&amp;RIGHT("000000"&amp;1394,6),LdAKeyG,0),"")</f>
        <v/>
      </c>
    </row>
    <row r="1411">
      <c r="A1411" s="10" t="n">
        <v>1395</v>
      </c>
      <c r="B1411" s="14">
        <f>IF($N1411="","",INDEX(LdADate,$N1411))</f>
        <v/>
      </c>
      <c r="C1411" s="14">
        <f>IF($N1411="","",IF(INDEX(LdAId,$N1411)="","—",INDEX(LdAId,$N1411)))</f>
        <v/>
      </c>
      <c r="D1411" s="16">
        <f>IF($N1411="","",IF(INDEX(LdAAmt,$N1411)=0,"",INDEX(LdAAmt,$N1411)))</f>
        <v/>
      </c>
      <c r="E1411" s="16">
        <f>IF($N1411="","",SUMIFS(ShareAmt,ShareLink,$C1411))</f>
        <v/>
      </c>
      <c r="F1411" s="33">
        <f>IF($N1411="","",COUNTIF(ShareLink,$C1411))</f>
        <v/>
      </c>
      <c r="G1411" s="17">
        <f>IF($N1411="","",IF(ROUND($E1411-$D1411,0)=0,"√","▲ "&amp;TEXT($D1411-$E1411,"#,##0")))</f>
        <v/>
      </c>
      <c r="N1411">
        <f>IFERROR(MATCH($C$5&amp;"|"&amp;RIGHT("000000"&amp;1395,6),LdAKeyG,0),"")</f>
        <v/>
      </c>
    </row>
    <row r="1412">
      <c r="A1412" s="19" t="n">
        <v>1396</v>
      </c>
      <c r="B1412" s="20">
        <f>IF($N1412="","",INDEX(LdADate,$N1412))</f>
        <v/>
      </c>
      <c r="C1412" s="20">
        <f>IF($N1412="","",IF(INDEX(LdAId,$N1412)="","—",INDEX(LdAId,$N1412)))</f>
        <v/>
      </c>
      <c r="D1412" s="21">
        <f>IF($N1412="","",IF(INDEX(LdAAmt,$N1412)=0,"",INDEX(LdAAmt,$N1412)))</f>
        <v/>
      </c>
      <c r="E1412" s="21">
        <f>IF($N1412="","",SUMIFS(ShareAmt,ShareLink,$C1412))</f>
        <v/>
      </c>
      <c r="F1412" s="34">
        <f>IF($N1412="","",COUNTIF(ShareLink,$C1412))</f>
        <v/>
      </c>
      <c r="G1412" s="22">
        <f>IF($N1412="","",IF(ROUND($E1412-$D1412,0)=0,"√","▲ "&amp;TEXT($D1412-$E1412,"#,##0")))</f>
        <v/>
      </c>
      <c r="N1412">
        <f>IFERROR(MATCH($C$5&amp;"|"&amp;RIGHT("000000"&amp;1396,6),LdAKeyG,0),"")</f>
        <v/>
      </c>
    </row>
    <row r="1413">
      <c r="A1413" s="10" t="n">
        <v>1397</v>
      </c>
      <c r="B1413" s="14">
        <f>IF($N1413="","",INDEX(LdADate,$N1413))</f>
        <v/>
      </c>
      <c r="C1413" s="14">
        <f>IF($N1413="","",IF(INDEX(LdAId,$N1413)="","—",INDEX(LdAId,$N1413)))</f>
        <v/>
      </c>
      <c r="D1413" s="16">
        <f>IF($N1413="","",IF(INDEX(LdAAmt,$N1413)=0,"",INDEX(LdAAmt,$N1413)))</f>
        <v/>
      </c>
      <c r="E1413" s="16">
        <f>IF($N1413="","",SUMIFS(ShareAmt,ShareLink,$C1413))</f>
        <v/>
      </c>
      <c r="F1413" s="33">
        <f>IF($N1413="","",COUNTIF(ShareLink,$C1413))</f>
        <v/>
      </c>
      <c r="G1413" s="17">
        <f>IF($N1413="","",IF(ROUND($E1413-$D1413,0)=0,"√","▲ "&amp;TEXT($D1413-$E1413,"#,##0")))</f>
        <v/>
      </c>
      <c r="N1413">
        <f>IFERROR(MATCH($C$5&amp;"|"&amp;RIGHT("000000"&amp;1397,6),LdAKeyG,0),"")</f>
        <v/>
      </c>
    </row>
    <row r="1414">
      <c r="A1414" s="19" t="n">
        <v>1398</v>
      </c>
      <c r="B1414" s="20">
        <f>IF($N1414="","",INDEX(LdADate,$N1414))</f>
        <v/>
      </c>
      <c r="C1414" s="20">
        <f>IF($N1414="","",IF(INDEX(LdAId,$N1414)="","—",INDEX(LdAId,$N1414)))</f>
        <v/>
      </c>
      <c r="D1414" s="21">
        <f>IF($N1414="","",IF(INDEX(LdAAmt,$N1414)=0,"",INDEX(LdAAmt,$N1414)))</f>
        <v/>
      </c>
      <c r="E1414" s="21">
        <f>IF($N1414="","",SUMIFS(ShareAmt,ShareLink,$C1414))</f>
        <v/>
      </c>
      <c r="F1414" s="34">
        <f>IF($N1414="","",COUNTIF(ShareLink,$C1414))</f>
        <v/>
      </c>
      <c r="G1414" s="22">
        <f>IF($N1414="","",IF(ROUND($E1414-$D1414,0)=0,"√","▲ "&amp;TEXT($D1414-$E1414,"#,##0")))</f>
        <v/>
      </c>
      <c r="N1414">
        <f>IFERROR(MATCH($C$5&amp;"|"&amp;RIGHT("000000"&amp;1398,6),LdAKeyG,0),"")</f>
        <v/>
      </c>
    </row>
    <row r="1415">
      <c r="A1415" s="10" t="n">
        <v>1399</v>
      </c>
      <c r="B1415" s="14">
        <f>IF($N1415="","",INDEX(LdADate,$N1415))</f>
        <v/>
      </c>
      <c r="C1415" s="14">
        <f>IF($N1415="","",IF(INDEX(LdAId,$N1415)="","—",INDEX(LdAId,$N1415)))</f>
        <v/>
      </c>
      <c r="D1415" s="16">
        <f>IF($N1415="","",IF(INDEX(LdAAmt,$N1415)=0,"",INDEX(LdAAmt,$N1415)))</f>
        <v/>
      </c>
      <c r="E1415" s="16">
        <f>IF($N1415="","",SUMIFS(ShareAmt,ShareLink,$C1415))</f>
        <v/>
      </c>
      <c r="F1415" s="33">
        <f>IF($N1415="","",COUNTIF(ShareLink,$C1415))</f>
        <v/>
      </c>
      <c r="G1415" s="17">
        <f>IF($N1415="","",IF(ROUND($E1415-$D1415,0)=0,"√","▲ "&amp;TEXT($D1415-$E1415,"#,##0")))</f>
        <v/>
      </c>
      <c r="N1415">
        <f>IFERROR(MATCH($C$5&amp;"|"&amp;RIGHT("000000"&amp;1399,6),LdAKeyG,0),"")</f>
        <v/>
      </c>
    </row>
    <row r="1416">
      <c r="A1416" s="19" t="n">
        <v>1400</v>
      </c>
      <c r="B1416" s="20">
        <f>IF($N1416="","",INDEX(LdADate,$N1416))</f>
        <v/>
      </c>
      <c r="C1416" s="20">
        <f>IF($N1416="","",IF(INDEX(LdAId,$N1416)="","—",INDEX(LdAId,$N1416)))</f>
        <v/>
      </c>
      <c r="D1416" s="21">
        <f>IF($N1416="","",IF(INDEX(LdAAmt,$N1416)=0,"",INDEX(LdAAmt,$N1416)))</f>
        <v/>
      </c>
      <c r="E1416" s="21">
        <f>IF($N1416="","",SUMIFS(ShareAmt,ShareLink,$C1416))</f>
        <v/>
      </c>
      <c r="F1416" s="34">
        <f>IF($N1416="","",COUNTIF(ShareLink,$C1416))</f>
        <v/>
      </c>
      <c r="G1416" s="22">
        <f>IF($N1416="","",IF(ROUND($E1416-$D1416,0)=0,"√","▲ "&amp;TEXT($D1416-$E1416,"#,##0")))</f>
        <v/>
      </c>
      <c r="N1416">
        <f>IFERROR(MATCH($C$5&amp;"|"&amp;RIGHT("000000"&amp;1400,6),LdAKeyG,0),"")</f>
        <v/>
      </c>
    </row>
    <row r="1417">
      <c r="A1417" s="10" t="n">
        <v>1401</v>
      </c>
      <c r="B1417" s="14">
        <f>IF($N1417="","",INDEX(LdADate,$N1417))</f>
        <v/>
      </c>
      <c r="C1417" s="14">
        <f>IF($N1417="","",IF(INDEX(LdAId,$N1417)="","—",INDEX(LdAId,$N1417)))</f>
        <v/>
      </c>
      <c r="D1417" s="16">
        <f>IF($N1417="","",IF(INDEX(LdAAmt,$N1417)=0,"",INDEX(LdAAmt,$N1417)))</f>
        <v/>
      </c>
      <c r="E1417" s="16">
        <f>IF($N1417="","",SUMIFS(ShareAmt,ShareLink,$C1417))</f>
        <v/>
      </c>
      <c r="F1417" s="33">
        <f>IF($N1417="","",COUNTIF(ShareLink,$C1417))</f>
        <v/>
      </c>
      <c r="G1417" s="17">
        <f>IF($N1417="","",IF(ROUND($E1417-$D1417,0)=0,"√","▲ "&amp;TEXT($D1417-$E1417,"#,##0")))</f>
        <v/>
      </c>
      <c r="N1417">
        <f>IFERROR(MATCH($C$5&amp;"|"&amp;RIGHT("000000"&amp;1401,6),LdAKeyG,0),"")</f>
        <v/>
      </c>
    </row>
    <row r="1418">
      <c r="A1418" s="19" t="n">
        <v>1402</v>
      </c>
      <c r="B1418" s="20">
        <f>IF($N1418="","",INDEX(LdADate,$N1418))</f>
        <v/>
      </c>
      <c r="C1418" s="20">
        <f>IF($N1418="","",IF(INDEX(LdAId,$N1418)="","—",INDEX(LdAId,$N1418)))</f>
        <v/>
      </c>
      <c r="D1418" s="21">
        <f>IF($N1418="","",IF(INDEX(LdAAmt,$N1418)=0,"",INDEX(LdAAmt,$N1418)))</f>
        <v/>
      </c>
      <c r="E1418" s="21">
        <f>IF($N1418="","",SUMIFS(ShareAmt,ShareLink,$C1418))</f>
        <v/>
      </c>
      <c r="F1418" s="34">
        <f>IF($N1418="","",COUNTIF(ShareLink,$C1418))</f>
        <v/>
      </c>
      <c r="G1418" s="22">
        <f>IF($N1418="","",IF(ROUND($E1418-$D1418,0)=0,"√","▲ "&amp;TEXT($D1418-$E1418,"#,##0")))</f>
        <v/>
      </c>
      <c r="N1418">
        <f>IFERROR(MATCH($C$5&amp;"|"&amp;RIGHT("000000"&amp;1402,6),LdAKeyG,0),"")</f>
        <v/>
      </c>
    </row>
    <row r="1419">
      <c r="A1419" s="10" t="n">
        <v>1403</v>
      </c>
      <c r="B1419" s="14">
        <f>IF($N1419="","",INDEX(LdADate,$N1419))</f>
        <v/>
      </c>
      <c r="C1419" s="14">
        <f>IF($N1419="","",IF(INDEX(LdAId,$N1419)="","—",INDEX(LdAId,$N1419)))</f>
        <v/>
      </c>
      <c r="D1419" s="16">
        <f>IF($N1419="","",IF(INDEX(LdAAmt,$N1419)=0,"",INDEX(LdAAmt,$N1419)))</f>
        <v/>
      </c>
      <c r="E1419" s="16">
        <f>IF($N1419="","",SUMIFS(ShareAmt,ShareLink,$C1419))</f>
        <v/>
      </c>
      <c r="F1419" s="33">
        <f>IF($N1419="","",COUNTIF(ShareLink,$C1419))</f>
        <v/>
      </c>
      <c r="G1419" s="17">
        <f>IF($N1419="","",IF(ROUND($E1419-$D1419,0)=0,"√","▲ "&amp;TEXT($D1419-$E1419,"#,##0")))</f>
        <v/>
      </c>
      <c r="N1419">
        <f>IFERROR(MATCH($C$5&amp;"|"&amp;RIGHT("000000"&amp;1403,6),LdAKeyG,0),"")</f>
        <v/>
      </c>
    </row>
    <row r="1420">
      <c r="A1420" s="19" t="n">
        <v>1404</v>
      </c>
      <c r="B1420" s="20">
        <f>IF($N1420="","",INDEX(LdADate,$N1420))</f>
        <v/>
      </c>
      <c r="C1420" s="20">
        <f>IF($N1420="","",IF(INDEX(LdAId,$N1420)="","—",INDEX(LdAId,$N1420)))</f>
        <v/>
      </c>
      <c r="D1420" s="21">
        <f>IF($N1420="","",IF(INDEX(LdAAmt,$N1420)=0,"",INDEX(LdAAmt,$N1420)))</f>
        <v/>
      </c>
      <c r="E1420" s="21">
        <f>IF($N1420="","",SUMIFS(ShareAmt,ShareLink,$C1420))</f>
        <v/>
      </c>
      <c r="F1420" s="34">
        <f>IF($N1420="","",COUNTIF(ShareLink,$C1420))</f>
        <v/>
      </c>
      <c r="G1420" s="22">
        <f>IF($N1420="","",IF(ROUND($E1420-$D1420,0)=0,"√","▲ "&amp;TEXT($D1420-$E1420,"#,##0")))</f>
        <v/>
      </c>
      <c r="N1420">
        <f>IFERROR(MATCH($C$5&amp;"|"&amp;RIGHT("000000"&amp;1404,6),LdAKeyG,0),"")</f>
        <v/>
      </c>
    </row>
    <row r="1421">
      <c r="A1421" s="10" t="n">
        <v>1405</v>
      </c>
      <c r="B1421" s="14">
        <f>IF($N1421="","",INDEX(LdADate,$N1421))</f>
        <v/>
      </c>
      <c r="C1421" s="14">
        <f>IF($N1421="","",IF(INDEX(LdAId,$N1421)="","—",INDEX(LdAId,$N1421)))</f>
        <v/>
      </c>
      <c r="D1421" s="16">
        <f>IF($N1421="","",IF(INDEX(LdAAmt,$N1421)=0,"",INDEX(LdAAmt,$N1421)))</f>
        <v/>
      </c>
      <c r="E1421" s="16">
        <f>IF($N1421="","",SUMIFS(ShareAmt,ShareLink,$C1421))</f>
        <v/>
      </c>
      <c r="F1421" s="33">
        <f>IF($N1421="","",COUNTIF(ShareLink,$C1421))</f>
        <v/>
      </c>
      <c r="G1421" s="17">
        <f>IF($N1421="","",IF(ROUND($E1421-$D1421,0)=0,"√","▲ "&amp;TEXT($D1421-$E1421,"#,##0")))</f>
        <v/>
      </c>
      <c r="N1421">
        <f>IFERROR(MATCH($C$5&amp;"|"&amp;RIGHT("000000"&amp;1405,6),LdAKeyG,0),"")</f>
        <v/>
      </c>
    </row>
    <row r="1422">
      <c r="A1422" s="19" t="n">
        <v>1406</v>
      </c>
      <c r="B1422" s="20">
        <f>IF($N1422="","",INDEX(LdADate,$N1422))</f>
        <v/>
      </c>
      <c r="C1422" s="20">
        <f>IF($N1422="","",IF(INDEX(LdAId,$N1422)="","—",INDEX(LdAId,$N1422)))</f>
        <v/>
      </c>
      <c r="D1422" s="21">
        <f>IF($N1422="","",IF(INDEX(LdAAmt,$N1422)=0,"",INDEX(LdAAmt,$N1422)))</f>
        <v/>
      </c>
      <c r="E1422" s="21">
        <f>IF($N1422="","",SUMIFS(ShareAmt,ShareLink,$C1422))</f>
        <v/>
      </c>
      <c r="F1422" s="34">
        <f>IF($N1422="","",COUNTIF(ShareLink,$C1422))</f>
        <v/>
      </c>
      <c r="G1422" s="22">
        <f>IF($N1422="","",IF(ROUND($E1422-$D1422,0)=0,"√","▲ "&amp;TEXT($D1422-$E1422,"#,##0")))</f>
        <v/>
      </c>
      <c r="N1422">
        <f>IFERROR(MATCH($C$5&amp;"|"&amp;RIGHT("000000"&amp;1406,6),LdAKeyG,0),"")</f>
        <v/>
      </c>
    </row>
    <row r="1423">
      <c r="A1423" s="10" t="n">
        <v>1407</v>
      </c>
      <c r="B1423" s="14">
        <f>IF($N1423="","",INDEX(LdADate,$N1423))</f>
        <v/>
      </c>
      <c r="C1423" s="14">
        <f>IF($N1423="","",IF(INDEX(LdAId,$N1423)="","—",INDEX(LdAId,$N1423)))</f>
        <v/>
      </c>
      <c r="D1423" s="16">
        <f>IF($N1423="","",IF(INDEX(LdAAmt,$N1423)=0,"",INDEX(LdAAmt,$N1423)))</f>
        <v/>
      </c>
      <c r="E1423" s="16">
        <f>IF($N1423="","",SUMIFS(ShareAmt,ShareLink,$C1423))</f>
        <v/>
      </c>
      <c r="F1423" s="33">
        <f>IF($N1423="","",COUNTIF(ShareLink,$C1423))</f>
        <v/>
      </c>
      <c r="G1423" s="17">
        <f>IF($N1423="","",IF(ROUND($E1423-$D1423,0)=0,"√","▲ "&amp;TEXT($D1423-$E1423,"#,##0")))</f>
        <v/>
      </c>
      <c r="N1423">
        <f>IFERROR(MATCH($C$5&amp;"|"&amp;RIGHT("000000"&amp;1407,6),LdAKeyG,0),"")</f>
        <v/>
      </c>
    </row>
    <row r="1424">
      <c r="A1424" s="19" t="n">
        <v>1408</v>
      </c>
      <c r="B1424" s="20">
        <f>IF($N1424="","",INDEX(LdADate,$N1424))</f>
        <v/>
      </c>
      <c r="C1424" s="20">
        <f>IF($N1424="","",IF(INDEX(LdAId,$N1424)="","—",INDEX(LdAId,$N1424)))</f>
        <v/>
      </c>
      <c r="D1424" s="21">
        <f>IF($N1424="","",IF(INDEX(LdAAmt,$N1424)=0,"",INDEX(LdAAmt,$N1424)))</f>
        <v/>
      </c>
      <c r="E1424" s="21">
        <f>IF($N1424="","",SUMIFS(ShareAmt,ShareLink,$C1424))</f>
        <v/>
      </c>
      <c r="F1424" s="34">
        <f>IF($N1424="","",COUNTIF(ShareLink,$C1424))</f>
        <v/>
      </c>
      <c r="G1424" s="22">
        <f>IF($N1424="","",IF(ROUND($E1424-$D1424,0)=0,"√","▲ "&amp;TEXT($D1424-$E1424,"#,##0")))</f>
        <v/>
      </c>
      <c r="N1424">
        <f>IFERROR(MATCH($C$5&amp;"|"&amp;RIGHT("000000"&amp;1408,6),LdAKeyG,0),"")</f>
        <v/>
      </c>
    </row>
    <row r="1425">
      <c r="A1425" s="10" t="n">
        <v>1409</v>
      </c>
      <c r="B1425" s="14">
        <f>IF($N1425="","",INDEX(LdADate,$N1425))</f>
        <v/>
      </c>
      <c r="C1425" s="14">
        <f>IF($N1425="","",IF(INDEX(LdAId,$N1425)="","—",INDEX(LdAId,$N1425)))</f>
        <v/>
      </c>
      <c r="D1425" s="16">
        <f>IF($N1425="","",IF(INDEX(LdAAmt,$N1425)=0,"",INDEX(LdAAmt,$N1425)))</f>
        <v/>
      </c>
      <c r="E1425" s="16">
        <f>IF($N1425="","",SUMIFS(ShareAmt,ShareLink,$C1425))</f>
        <v/>
      </c>
      <c r="F1425" s="33">
        <f>IF($N1425="","",COUNTIF(ShareLink,$C1425))</f>
        <v/>
      </c>
      <c r="G1425" s="17">
        <f>IF($N1425="","",IF(ROUND($E1425-$D1425,0)=0,"√","▲ "&amp;TEXT($D1425-$E1425,"#,##0")))</f>
        <v/>
      </c>
      <c r="N1425">
        <f>IFERROR(MATCH($C$5&amp;"|"&amp;RIGHT("000000"&amp;1409,6),LdAKeyG,0),"")</f>
        <v/>
      </c>
    </row>
    <row r="1426">
      <c r="A1426" s="19" t="n">
        <v>1410</v>
      </c>
      <c r="B1426" s="20">
        <f>IF($N1426="","",INDEX(LdADate,$N1426))</f>
        <v/>
      </c>
      <c r="C1426" s="20">
        <f>IF($N1426="","",IF(INDEX(LdAId,$N1426)="","—",INDEX(LdAId,$N1426)))</f>
        <v/>
      </c>
      <c r="D1426" s="21">
        <f>IF($N1426="","",IF(INDEX(LdAAmt,$N1426)=0,"",INDEX(LdAAmt,$N1426)))</f>
        <v/>
      </c>
      <c r="E1426" s="21">
        <f>IF($N1426="","",SUMIFS(ShareAmt,ShareLink,$C1426))</f>
        <v/>
      </c>
      <c r="F1426" s="34">
        <f>IF($N1426="","",COUNTIF(ShareLink,$C1426))</f>
        <v/>
      </c>
      <c r="G1426" s="22">
        <f>IF($N1426="","",IF(ROUND($E1426-$D1426,0)=0,"√","▲ "&amp;TEXT($D1426-$E1426,"#,##0")))</f>
        <v/>
      </c>
      <c r="N1426">
        <f>IFERROR(MATCH($C$5&amp;"|"&amp;RIGHT("000000"&amp;1410,6),LdAKeyG,0),"")</f>
        <v/>
      </c>
    </row>
    <row r="1427">
      <c r="A1427" s="10" t="n">
        <v>1411</v>
      </c>
      <c r="B1427" s="14">
        <f>IF($N1427="","",INDEX(LdADate,$N1427))</f>
        <v/>
      </c>
      <c r="C1427" s="14">
        <f>IF($N1427="","",IF(INDEX(LdAId,$N1427)="","—",INDEX(LdAId,$N1427)))</f>
        <v/>
      </c>
      <c r="D1427" s="16">
        <f>IF($N1427="","",IF(INDEX(LdAAmt,$N1427)=0,"",INDEX(LdAAmt,$N1427)))</f>
        <v/>
      </c>
      <c r="E1427" s="16">
        <f>IF($N1427="","",SUMIFS(ShareAmt,ShareLink,$C1427))</f>
        <v/>
      </c>
      <c r="F1427" s="33">
        <f>IF($N1427="","",COUNTIF(ShareLink,$C1427))</f>
        <v/>
      </c>
      <c r="G1427" s="17">
        <f>IF($N1427="","",IF(ROUND($E1427-$D1427,0)=0,"√","▲ "&amp;TEXT($D1427-$E1427,"#,##0")))</f>
        <v/>
      </c>
      <c r="N1427">
        <f>IFERROR(MATCH($C$5&amp;"|"&amp;RIGHT("000000"&amp;1411,6),LdAKeyG,0),"")</f>
        <v/>
      </c>
    </row>
    <row r="1428">
      <c r="A1428" s="19" t="n">
        <v>1412</v>
      </c>
      <c r="B1428" s="20">
        <f>IF($N1428="","",INDEX(LdADate,$N1428))</f>
        <v/>
      </c>
      <c r="C1428" s="20">
        <f>IF($N1428="","",IF(INDEX(LdAId,$N1428)="","—",INDEX(LdAId,$N1428)))</f>
        <v/>
      </c>
      <c r="D1428" s="21">
        <f>IF($N1428="","",IF(INDEX(LdAAmt,$N1428)=0,"",INDEX(LdAAmt,$N1428)))</f>
        <v/>
      </c>
      <c r="E1428" s="21">
        <f>IF($N1428="","",SUMIFS(ShareAmt,ShareLink,$C1428))</f>
        <v/>
      </c>
      <c r="F1428" s="34">
        <f>IF($N1428="","",COUNTIF(ShareLink,$C1428))</f>
        <v/>
      </c>
      <c r="G1428" s="22">
        <f>IF($N1428="","",IF(ROUND($E1428-$D1428,0)=0,"√","▲ "&amp;TEXT($D1428-$E1428,"#,##0")))</f>
        <v/>
      </c>
      <c r="N1428">
        <f>IFERROR(MATCH($C$5&amp;"|"&amp;RIGHT("000000"&amp;1412,6),LdAKeyG,0),"")</f>
        <v/>
      </c>
    </row>
    <row r="1429">
      <c r="A1429" s="10" t="n">
        <v>1413</v>
      </c>
      <c r="B1429" s="14">
        <f>IF($N1429="","",INDEX(LdADate,$N1429))</f>
        <v/>
      </c>
      <c r="C1429" s="14">
        <f>IF($N1429="","",IF(INDEX(LdAId,$N1429)="","—",INDEX(LdAId,$N1429)))</f>
        <v/>
      </c>
      <c r="D1429" s="16">
        <f>IF($N1429="","",IF(INDEX(LdAAmt,$N1429)=0,"",INDEX(LdAAmt,$N1429)))</f>
        <v/>
      </c>
      <c r="E1429" s="16">
        <f>IF($N1429="","",SUMIFS(ShareAmt,ShareLink,$C1429))</f>
        <v/>
      </c>
      <c r="F1429" s="33">
        <f>IF($N1429="","",COUNTIF(ShareLink,$C1429))</f>
        <v/>
      </c>
      <c r="G1429" s="17">
        <f>IF($N1429="","",IF(ROUND($E1429-$D1429,0)=0,"√","▲ "&amp;TEXT($D1429-$E1429,"#,##0")))</f>
        <v/>
      </c>
      <c r="N1429">
        <f>IFERROR(MATCH($C$5&amp;"|"&amp;RIGHT("000000"&amp;1413,6),LdAKeyG,0),"")</f>
        <v/>
      </c>
    </row>
    <row r="1430">
      <c r="A1430" s="19" t="n">
        <v>1414</v>
      </c>
      <c r="B1430" s="20">
        <f>IF($N1430="","",INDEX(LdADate,$N1430))</f>
        <v/>
      </c>
      <c r="C1430" s="20">
        <f>IF($N1430="","",IF(INDEX(LdAId,$N1430)="","—",INDEX(LdAId,$N1430)))</f>
        <v/>
      </c>
      <c r="D1430" s="21">
        <f>IF($N1430="","",IF(INDEX(LdAAmt,$N1430)=0,"",INDEX(LdAAmt,$N1430)))</f>
        <v/>
      </c>
      <c r="E1430" s="21">
        <f>IF($N1430="","",SUMIFS(ShareAmt,ShareLink,$C1430))</f>
        <v/>
      </c>
      <c r="F1430" s="34">
        <f>IF($N1430="","",COUNTIF(ShareLink,$C1430))</f>
        <v/>
      </c>
      <c r="G1430" s="22">
        <f>IF($N1430="","",IF(ROUND($E1430-$D1430,0)=0,"√","▲ "&amp;TEXT($D1430-$E1430,"#,##0")))</f>
        <v/>
      </c>
      <c r="N1430">
        <f>IFERROR(MATCH($C$5&amp;"|"&amp;RIGHT("000000"&amp;1414,6),LdAKeyG,0),"")</f>
        <v/>
      </c>
    </row>
    <row r="1431">
      <c r="A1431" s="10" t="n">
        <v>1415</v>
      </c>
      <c r="B1431" s="14">
        <f>IF($N1431="","",INDEX(LdADate,$N1431))</f>
        <v/>
      </c>
      <c r="C1431" s="14">
        <f>IF($N1431="","",IF(INDEX(LdAId,$N1431)="","—",INDEX(LdAId,$N1431)))</f>
        <v/>
      </c>
      <c r="D1431" s="16">
        <f>IF($N1431="","",IF(INDEX(LdAAmt,$N1431)=0,"",INDEX(LdAAmt,$N1431)))</f>
        <v/>
      </c>
      <c r="E1431" s="16">
        <f>IF($N1431="","",SUMIFS(ShareAmt,ShareLink,$C1431))</f>
        <v/>
      </c>
      <c r="F1431" s="33">
        <f>IF($N1431="","",COUNTIF(ShareLink,$C1431))</f>
        <v/>
      </c>
      <c r="G1431" s="17">
        <f>IF($N1431="","",IF(ROUND($E1431-$D1431,0)=0,"√","▲ "&amp;TEXT($D1431-$E1431,"#,##0")))</f>
        <v/>
      </c>
      <c r="N1431">
        <f>IFERROR(MATCH($C$5&amp;"|"&amp;RIGHT("000000"&amp;1415,6),LdAKeyG,0),"")</f>
        <v/>
      </c>
    </row>
    <row r="1432">
      <c r="A1432" s="19" t="n">
        <v>1416</v>
      </c>
      <c r="B1432" s="20">
        <f>IF($N1432="","",INDEX(LdADate,$N1432))</f>
        <v/>
      </c>
      <c r="C1432" s="20">
        <f>IF($N1432="","",IF(INDEX(LdAId,$N1432)="","—",INDEX(LdAId,$N1432)))</f>
        <v/>
      </c>
      <c r="D1432" s="21">
        <f>IF($N1432="","",IF(INDEX(LdAAmt,$N1432)=0,"",INDEX(LdAAmt,$N1432)))</f>
        <v/>
      </c>
      <c r="E1432" s="21">
        <f>IF($N1432="","",SUMIFS(ShareAmt,ShareLink,$C1432))</f>
        <v/>
      </c>
      <c r="F1432" s="34">
        <f>IF($N1432="","",COUNTIF(ShareLink,$C1432))</f>
        <v/>
      </c>
      <c r="G1432" s="22">
        <f>IF($N1432="","",IF(ROUND($E1432-$D1432,0)=0,"√","▲ "&amp;TEXT($D1432-$E1432,"#,##0")))</f>
        <v/>
      </c>
      <c r="N1432">
        <f>IFERROR(MATCH($C$5&amp;"|"&amp;RIGHT("000000"&amp;1416,6),LdAKeyG,0),"")</f>
        <v/>
      </c>
    </row>
    <row r="1433">
      <c r="A1433" s="10" t="n">
        <v>1417</v>
      </c>
      <c r="B1433" s="14">
        <f>IF($N1433="","",INDEX(LdADate,$N1433))</f>
        <v/>
      </c>
      <c r="C1433" s="14">
        <f>IF($N1433="","",IF(INDEX(LdAId,$N1433)="","—",INDEX(LdAId,$N1433)))</f>
        <v/>
      </c>
      <c r="D1433" s="16">
        <f>IF($N1433="","",IF(INDEX(LdAAmt,$N1433)=0,"",INDEX(LdAAmt,$N1433)))</f>
        <v/>
      </c>
      <c r="E1433" s="16">
        <f>IF($N1433="","",SUMIFS(ShareAmt,ShareLink,$C1433))</f>
        <v/>
      </c>
      <c r="F1433" s="33">
        <f>IF($N1433="","",COUNTIF(ShareLink,$C1433))</f>
        <v/>
      </c>
      <c r="G1433" s="17">
        <f>IF($N1433="","",IF(ROUND($E1433-$D1433,0)=0,"√","▲ "&amp;TEXT($D1433-$E1433,"#,##0")))</f>
        <v/>
      </c>
      <c r="N1433">
        <f>IFERROR(MATCH($C$5&amp;"|"&amp;RIGHT("000000"&amp;1417,6),LdAKeyG,0),"")</f>
        <v/>
      </c>
    </row>
    <row r="1434">
      <c r="A1434" s="19" t="n">
        <v>1418</v>
      </c>
      <c r="B1434" s="20">
        <f>IF($N1434="","",INDEX(LdADate,$N1434))</f>
        <v/>
      </c>
      <c r="C1434" s="20">
        <f>IF($N1434="","",IF(INDEX(LdAId,$N1434)="","—",INDEX(LdAId,$N1434)))</f>
        <v/>
      </c>
      <c r="D1434" s="21">
        <f>IF($N1434="","",IF(INDEX(LdAAmt,$N1434)=0,"",INDEX(LdAAmt,$N1434)))</f>
        <v/>
      </c>
      <c r="E1434" s="21">
        <f>IF($N1434="","",SUMIFS(ShareAmt,ShareLink,$C1434))</f>
        <v/>
      </c>
      <c r="F1434" s="34">
        <f>IF($N1434="","",COUNTIF(ShareLink,$C1434))</f>
        <v/>
      </c>
      <c r="G1434" s="22">
        <f>IF($N1434="","",IF(ROUND($E1434-$D1434,0)=0,"√","▲ "&amp;TEXT($D1434-$E1434,"#,##0")))</f>
        <v/>
      </c>
      <c r="N1434">
        <f>IFERROR(MATCH($C$5&amp;"|"&amp;RIGHT("000000"&amp;1418,6),LdAKeyG,0),"")</f>
        <v/>
      </c>
    </row>
    <row r="1435">
      <c r="A1435" s="10" t="n">
        <v>1419</v>
      </c>
      <c r="B1435" s="14">
        <f>IF($N1435="","",INDEX(LdADate,$N1435))</f>
        <v/>
      </c>
      <c r="C1435" s="14">
        <f>IF($N1435="","",IF(INDEX(LdAId,$N1435)="","—",INDEX(LdAId,$N1435)))</f>
        <v/>
      </c>
      <c r="D1435" s="16">
        <f>IF($N1435="","",IF(INDEX(LdAAmt,$N1435)=0,"",INDEX(LdAAmt,$N1435)))</f>
        <v/>
      </c>
      <c r="E1435" s="16">
        <f>IF($N1435="","",SUMIFS(ShareAmt,ShareLink,$C1435))</f>
        <v/>
      </c>
      <c r="F1435" s="33">
        <f>IF($N1435="","",COUNTIF(ShareLink,$C1435))</f>
        <v/>
      </c>
      <c r="G1435" s="17">
        <f>IF($N1435="","",IF(ROUND($E1435-$D1435,0)=0,"√","▲ "&amp;TEXT($D1435-$E1435,"#,##0")))</f>
        <v/>
      </c>
      <c r="N1435">
        <f>IFERROR(MATCH($C$5&amp;"|"&amp;RIGHT("000000"&amp;1419,6),LdAKeyG,0),"")</f>
        <v/>
      </c>
    </row>
    <row r="1436">
      <c r="A1436" s="19" t="n">
        <v>1420</v>
      </c>
      <c r="B1436" s="20">
        <f>IF($N1436="","",INDEX(LdADate,$N1436))</f>
        <v/>
      </c>
      <c r="C1436" s="20">
        <f>IF($N1436="","",IF(INDEX(LdAId,$N1436)="","—",INDEX(LdAId,$N1436)))</f>
        <v/>
      </c>
      <c r="D1436" s="21">
        <f>IF($N1436="","",IF(INDEX(LdAAmt,$N1436)=0,"",INDEX(LdAAmt,$N1436)))</f>
        <v/>
      </c>
      <c r="E1436" s="21">
        <f>IF($N1436="","",SUMIFS(ShareAmt,ShareLink,$C1436))</f>
        <v/>
      </c>
      <c r="F1436" s="34">
        <f>IF($N1436="","",COUNTIF(ShareLink,$C1436))</f>
        <v/>
      </c>
      <c r="G1436" s="22">
        <f>IF($N1436="","",IF(ROUND($E1436-$D1436,0)=0,"√","▲ "&amp;TEXT($D1436-$E1436,"#,##0")))</f>
        <v/>
      </c>
      <c r="N1436">
        <f>IFERROR(MATCH($C$5&amp;"|"&amp;RIGHT("000000"&amp;1420,6),LdAKeyG,0),"")</f>
        <v/>
      </c>
    </row>
    <row r="1437">
      <c r="A1437" s="10" t="n">
        <v>1421</v>
      </c>
      <c r="B1437" s="14">
        <f>IF($N1437="","",INDEX(LdADate,$N1437))</f>
        <v/>
      </c>
      <c r="C1437" s="14">
        <f>IF($N1437="","",IF(INDEX(LdAId,$N1437)="","—",INDEX(LdAId,$N1437)))</f>
        <v/>
      </c>
      <c r="D1437" s="16">
        <f>IF($N1437="","",IF(INDEX(LdAAmt,$N1437)=0,"",INDEX(LdAAmt,$N1437)))</f>
        <v/>
      </c>
      <c r="E1437" s="16">
        <f>IF($N1437="","",SUMIFS(ShareAmt,ShareLink,$C1437))</f>
        <v/>
      </c>
      <c r="F1437" s="33">
        <f>IF($N1437="","",COUNTIF(ShareLink,$C1437))</f>
        <v/>
      </c>
      <c r="G1437" s="17">
        <f>IF($N1437="","",IF(ROUND($E1437-$D1437,0)=0,"√","▲ "&amp;TEXT($D1437-$E1437,"#,##0")))</f>
        <v/>
      </c>
      <c r="N1437">
        <f>IFERROR(MATCH($C$5&amp;"|"&amp;RIGHT("000000"&amp;1421,6),LdAKeyG,0),"")</f>
        <v/>
      </c>
    </row>
    <row r="1438">
      <c r="A1438" s="19" t="n">
        <v>1422</v>
      </c>
      <c r="B1438" s="20">
        <f>IF($N1438="","",INDEX(LdADate,$N1438))</f>
        <v/>
      </c>
      <c r="C1438" s="20">
        <f>IF($N1438="","",IF(INDEX(LdAId,$N1438)="","—",INDEX(LdAId,$N1438)))</f>
        <v/>
      </c>
      <c r="D1438" s="21">
        <f>IF($N1438="","",IF(INDEX(LdAAmt,$N1438)=0,"",INDEX(LdAAmt,$N1438)))</f>
        <v/>
      </c>
      <c r="E1438" s="21">
        <f>IF($N1438="","",SUMIFS(ShareAmt,ShareLink,$C1438))</f>
        <v/>
      </c>
      <c r="F1438" s="34">
        <f>IF($N1438="","",COUNTIF(ShareLink,$C1438))</f>
        <v/>
      </c>
      <c r="G1438" s="22">
        <f>IF($N1438="","",IF(ROUND($E1438-$D1438,0)=0,"√","▲ "&amp;TEXT($D1438-$E1438,"#,##0")))</f>
        <v/>
      </c>
      <c r="N1438">
        <f>IFERROR(MATCH($C$5&amp;"|"&amp;RIGHT("000000"&amp;1422,6),LdAKeyG,0),"")</f>
        <v/>
      </c>
    </row>
    <row r="1439">
      <c r="A1439" s="10" t="n">
        <v>1423</v>
      </c>
      <c r="B1439" s="14">
        <f>IF($N1439="","",INDEX(LdADate,$N1439))</f>
        <v/>
      </c>
      <c r="C1439" s="14">
        <f>IF($N1439="","",IF(INDEX(LdAId,$N1439)="","—",INDEX(LdAId,$N1439)))</f>
        <v/>
      </c>
      <c r="D1439" s="16">
        <f>IF($N1439="","",IF(INDEX(LdAAmt,$N1439)=0,"",INDEX(LdAAmt,$N1439)))</f>
        <v/>
      </c>
      <c r="E1439" s="16">
        <f>IF($N1439="","",SUMIFS(ShareAmt,ShareLink,$C1439))</f>
        <v/>
      </c>
      <c r="F1439" s="33">
        <f>IF($N1439="","",COUNTIF(ShareLink,$C1439))</f>
        <v/>
      </c>
      <c r="G1439" s="17">
        <f>IF($N1439="","",IF(ROUND($E1439-$D1439,0)=0,"√","▲ "&amp;TEXT($D1439-$E1439,"#,##0")))</f>
        <v/>
      </c>
      <c r="N1439">
        <f>IFERROR(MATCH($C$5&amp;"|"&amp;RIGHT("000000"&amp;1423,6),LdAKeyG,0),"")</f>
        <v/>
      </c>
    </row>
    <row r="1440">
      <c r="A1440" s="19" t="n">
        <v>1424</v>
      </c>
      <c r="B1440" s="20">
        <f>IF($N1440="","",INDEX(LdADate,$N1440))</f>
        <v/>
      </c>
      <c r="C1440" s="20">
        <f>IF($N1440="","",IF(INDEX(LdAId,$N1440)="","—",INDEX(LdAId,$N1440)))</f>
        <v/>
      </c>
      <c r="D1440" s="21">
        <f>IF($N1440="","",IF(INDEX(LdAAmt,$N1440)=0,"",INDEX(LdAAmt,$N1440)))</f>
        <v/>
      </c>
      <c r="E1440" s="21">
        <f>IF($N1440="","",SUMIFS(ShareAmt,ShareLink,$C1440))</f>
        <v/>
      </c>
      <c r="F1440" s="34">
        <f>IF($N1440="","",COUNTIF(ShareLink,$C1440))</f>
        <v/>
      </c>
      <c r="G1440" s="22">
        <f>IF($N1440="","",IF(ROUND($E1440-$D1440,0)=0,"√","▲ "&amp;TEXT($D1440-$E1440,"#,##0")))</f>
        <v/>
      </c>
      <c r="N1440">
        <f>IFERROR(MATCH($C$5&amp;"|"&amp;RIGHT("000000"&amp;1424,6),LdAKeyG,0),"")</f>
        <v/>
      </c>
    </row>
    <row r="1441">
      <c r="A1441" s="10" t="n">
        <v>1425</v>
      </c>
      <c r="B1441" s="14">
        <f>IF($N1441="","",INDEX(LdADate,$N1441))</f>
        <v/>
      </c>
      <c r="C1441" s="14">
        <f>IF($N1441="","",IF(INDEX(LdAId,$N1441)="","—",INDEX(LdAId,$N1441)))</f>
        <v/>
      </c>
      <c r="D1441" s="16">
        <f>IF($N1441="","",IF(INDEX(LdAAmt,$N1441)=0,"",INDEX(LdAAmt,$N1441)))</f>
        <v/>
      </c>
      <c r="E1441" s="16">
        <f>IF($N1441="","",SUMIFS(ShareAmt,ShareLink,$C1441))</f>
        <v/>
      </c>
      <c r="F1441" s="33">
        <f>IF($N1441="","",COUNTIF(ShareLink,$C1441))</f>
        <v/>
      </c>
      <c r="G1441" s="17">
        <f>IF($N1441="","",IF(ROUND($E1441-$D1441,0)=0,"√","▲ "&amp;TEXT($D1441-$E1441,"#,##0")))</f>
        <v/>
      </c>
      <c r="N1441">
        <f>IFERROR(MATCH($C$5&amp;"|"&amp;RIGHT("000000"&amp;1425,6),LdAKeyG,0),"")</f>
        <v/>
      </c>
    </row>
    <row r="1442">
      <c r="A1442" s="19" t="n">
        <v>1426</v>
      </c>
      <c r="B1442" s="20">
        <f>IF($N1442="","",INDEX(LdADate,$N1442))</f>
        <v/>
      </c>
      <c r="C1442" s="20">
        <f>IF($N1442="","",IF(INDEX(LdAId,$N1442)="","—",INDEX(LdAId,$N1442)))</f>
        <v/>
      </c>
      <c r="D1442" s="21">
        <f>IF($N1442="","",IF(INDEX(LdAAmt,$N1442)=0,"",INDEX(LdAAmt,$N1442)))</f>
        <v/>
      </c>
      <c r="E1442" s="21">
        <f>IF($N1442="","",SUMIFS(ShareAmt,ShareLink,$C1442))</f>
        <v/>
      </c>
      <c r="F1442" s="34">
        <f>IF($N1442="","",COUNTIF(ShareLink,$C1442))</f>
        <v/>
      </c>
      <c r="G1442" s="22">
        <f>IF($N1442="","",IF(ROUND($E1442-$D1442,0)=0,"√","▲ "&amp;TEXT($D1442-$E1442,"#,##0")))</f>
        <v/>
      </c>
      <c r="N1442">
        <f>IFERROR(MATCH($C$5&amp;"|"&amp;RIGHT("000000"&amp;1426,6),LdAKeyG,0),"")</f>
        <v/>
      </c>
    </row>
    <row r="1443">
      <c r="A1443" s="10" t="n">
        <v>1427</v>
      </c>
      <c r="B1443" s="14">
        <f>IF($N1443="","",INDEX(LdADate,$N1443))</f>
        <v/>
      </c>
      <c r="C1443" s="14">
        <f>IF($N1443="","",IF(INDEX(LdAId,$N1443)="","—",INDEX(LdAId,$N1443)))</f>
        <v/>
      </c>
      <c r="D1443" s="16">
        <f>IF($N1443="","",IF(INDEX(LdAAmt,$N1443)=0,"",INDEX(LdAAmt,$N1443)))</f>
        <v/>
      </c>
      <c r="E1443" s="16">
        <f>IF($N1443="","",SUMIFS(ShareAmt,ShareLink,$C1443))</f>
        <v/>
      </c>
      <c r="F1443" s="33">
        <f>IF($N1443="","",COUNTIF(ShareLink,$C1443))</f>
        <v/>
      </c>
      <c r="G1443" s="17">
        <f>IF($N1443="","",IF(ROUND($E1443-$D1443,0)=0,"√","▲ "&amp;TEXT($D1443-$E1443,"#,##0")))</f>
        <v/>
      </c>
      <c r="N1443">
        <f>IFERROR(MATCH($C$5&amp;"|"&amp;RIGHT("000000"&amp;1427,6),LdAKeyG,0),"")</f>
        <v/>
      </c>
    </row>
    <row r="1444">
      <c r="A1444" s="19" t="n">
        <v>1428</v>
      </c>
      <c r="B1444" s="20">
        <f>IF($N1444="","",INDEX(LdADate,$N1444))</f>
        <v/>
      </c>
      <c r="C1444" s="20">
        <f>IF($N1444="","",IF(INDEX(LdAId,$N1444)="","—",INDEX(LdAId,$N1444)))</f>
        <v/>
      </c>
      <c r="D1444" s="21">
        <f>IF($N1444="","",IF(INDEX(LdAAmt,$N1444)=0,"",INDEX(LdAAmt,$N1444)))</f>
        <v/>
      </c>
      <c r="E1444" s="21">
        <f>IF($N1444="","",SUMIFS(ShareAmt,ShareLink,$C1444))</f>
        <v/>
      </c>
      <c r="F1444" s="34">
        <f>IF($N1444="","",COUNTIF(ShareLink,$C1444))</f>
        <v/>
      </c>
      <c r="G1444" s="22">
        <f>IF($N1444="","",IF(ROUND($E1444-$D1444,0)=0,"√","▲ "&amp;TEXT($D1444-$E1444,"#,##0")))</f>
        <v/>
      </c>
      <c r="N1444">
        <f>IFERROR(MATCH($C$5&amp;"|"&amp;RIGHT("000000"&amp;1428,6),LdAKeyG,0),"")</f>
        <v/>
      </c>
    </row>
    <row r="1445">
      <c r="A1445" s="10" t="n">
        <v>1429</v>
      </c>
      <c r="B1445" s="14">
        <f>IF($N1445="","",INDEX(LdADate,$N1445))</f>
        <v/>
      </c>
      <c r="C1445" s="14">
        <f>IF($N1445="","",IF(INDEX(LdAId,$N1445)="","—",INDEX(LdAId,$N1445)))</f>
        <v/>
      </c>
      <c r="D1445" s="16">
        <f>IF($N1445="","",IF(INDEX(LdAAmt,$N1445)=0,"",INDEX(LdAAmt,$N1445)))</f>
        <v/>
      </c>
      <c r="E1445" s="16">
        <f>IF($N1445="","",SUMIFS(ShareAmt,ShareLink,$C1445))</f>
        <v/>
      </c>
      <c r="F1445" s="33">
        <f>IF($N1445="","",COUNTIF(ShareLink,$C1445))</f>
        <v/>
      </c>
      <c r="G1445" s="17">
        <f>IF($N1445="","",IF(ROUND($E1445-$D1445,0)=0,"√","▲ "&amp;TEXT($D1445-$E1445,"#,##0")))</f>
        <v/>
      </c>
      <c r="N1445">
        <f>IFERROR(MATCH($C$5&amp;"|"&amp;RIGHT("000000"&amp;1429,6),LdAKeyG,0),"")</f>
        <v/>
      </c>
    </row>
    <row r="1446">
      <c r="A1446" s="19" t="n">
        <v>1430</v>
      </c>
      <c r="B1446" s="20">
        <f>IF($N1446="","",INDEX(LdADate,$N1446))</f>
        <v/>
      </c>
      <c r="C1446" s="20">
        <f>IF($N1446="","",IF(INDEX(LdAId,$N1446)="","—",INDEX(LdAId,$N1446)))</f>
        <v/>
      </c>
      <c r="D1446" s="21">
        <f>IF($N1446="","",IF(INDEX(LdAAmt,$N1446)=0,"",INDEX(LdAAmt,$N1446)))</f>
        <v/>
      </c>
      <c r="E1446" s="21">
        <f>IF($N1446="","",SUMIFS(ShareAmt,ShareLink,$C1446))</f>
        <v/>
      </c>
      <c r="F1446" s="34">
        <f>IF($N1446="","",COUNTIF(ShareLink,$C1446))</f>
        <v/>
      </c>
      <c r="G1446" s="22">
        <f>IF($N1446="","",IF(ROUND($E1446-$D1446,0)=0,"√","▲ "&amp;TEXT($D1446-$E1446,"#,##0")))</f>
        <v/>
      </c>
      <c r="N1446">
        <f>IFERROR(MATCH($C$5&amp;"|"&amp;RIGHT("000000"&amp;1430,6),LdAKeyG,0),"")</f>
        <v/>
      </c>
    </row>
    <row r="1447">
      <c r="A1447" s="10" t="n">
        <v>1431</v>
      </c>
      <c r="B1447" s="14">
        <f>IF($N1447="","",INDEX(LdADate,$N1447))</f>
        <v/>
      </c>
      <c r="C1447" s="14">
        <f>IF($N1447="","",IF(INDEX(LdAId,$N1447)="","—",INDEX(LdAId,$N1447)))</f>
        <v/>
      </c>
      <c r="D1447" s="16">
        <f>IF($N1447="","",IF(INDEX(LdAAmt,$N1447)=0,"",INDEX(LdAAmt,$N1447)))</f>
        <v/>
      </c>
      <c r="E1447" s="16">
        <f>IF($N1447="","",SUMIFS(ShareAmt,ShareLink,$C1447))</f>
        <v/>
      </c>
      <c r="F1447" s="33">
        <f>IF($N1447="","",COUNTIF(ShareLink,$C1447))</f>
        <v/>
      </c>
      <c r="G1447" s="17">
        <f>IF($N1447="","",IF(ROUND($E1447-$D1447,0)=0,"√","▲ "&amp;TEXT($D1447-$E1447,"#,##0")))</f>
        <v/>
      </c>
      <c r="N1447">
        <f>IFERROR(MATCH($C$5&amp;"|"&amp;RIGHT("000000"&amp;1431,6),LdAKeyG,0),"")</f>
        <v/>
      </c>
    </row>
    <row r="1448">
      <c r="A1448" s="19" t="n">
        <v>1432</v>
      </c>
      <c r="B1448" s="20">
        <f>IF($N1448="","",INDEX(LdADate,$N1448))</f>
        <v/>
      </c>
      <c r="C1448" s="20">
        <f>IF($N1448="","",IF(INDEX(LdAId,$N1448)="","—",INDEX(LdAId,$N1448)))</f>
        <v/>
      </c>
      <c r="D1448" s="21">
        <f>IF($N1448="","",IF(INDEX(LdAAmt,$N1448)=0,"",INDEX(LdAAmt,$N1448)))</f>
        <v/>
      </c>
      <c r="E1448" s="21">
        <f>IF($N1448="","",SUMIFS(ShareAmt,ShareLink,$C1448))</f>
        <v/>
      </c>
      <c r="F1448" s="34">
        <f>IF($N1448="","",COUNTIF(ShareLink,$C1448))</f>
        <v/>
      </c>
      <c r="G1448" s="22">
        <f>IF($N1448="","",IF(ROUND($E1448-$D1448,0)=0,"√","▲ "&amp;TEXT($D1448-$E1448,"#,##0")))</f>
        <v/>
      </c>
      <c r="N1448">
        <f>IFERROR(MATCH($C$5&amp;"|"&amp;RIGHT("000000"&amp;1432,6),LdAKeyG,0),"")</f>
        <v/>
      </c>
    </row>
    <row r="1449">
      <c r="A1449" s="10" t="n">
        <v>1433</v>
      </c>
      <c r="B1449" s="14">
        <f>IF($N1449="","",INDEX(LdADate,$N1449))</f>
        <v/>
      </c>
      <c r="C1449" s="14">
        <f>IF($N1449="","",IF(INDEX(LdAId,$N1449)="","—",INDEX(LdAId,$N1449)))</f>
        <v/>
      </c>
      <c r="D1449" s="16">
        <f>IF($N1449="","",IF(INDEX(LdAAmt,$N1449)=0,"",INDEX(LdAAmt,$N1449)))</f>
        <v/>
      </c>
      <c r="E1449" s="16">
        <f>IF($N1449="","",SUMIFS(ShareAmt,ShareLink,$C1449))</f>
        <v/>
      </c>
      <c r="F1449" s="33">
        <f>IF($N1449="","",COUNTIF(ShareLink,$C1449))</f>
        <v/>
      </c>
      <c r="G1449" s="17">
        <f>IF($N1449="","",IF(ROUND($E1449-$D1449,0)=0,"√","▲ "&amp;TEXT($D1449-$E1449,"#,##0")))</f>
        <v/>
      </c>
      <c r="N1449">
        <f>IFERROR(MATCH($C$5&amp;"|"&amp;RIGHT("000000"&amp;1433,6),LdAKeyG,0),"")</f>
        <v/>
      </c>
    </row>
    <row r="1450">
      <c r="A1450" s="19" t="n">
        <v>1434</v>
      </c>
      <c r="B1450" s="20">
        <f>IF($N1450="","",INDEX(LdADate,$N1450))</f>
        <v/>
      </c>
      <c r="C1450" s="20">
        <f>IF($N1450="","",IF(INDEX(LdAId,$N1450)="","—",INDEX(LdAId,$N1450)))</f>
        <v/>
      </c>
      <c r="D1450" s="21">
        <f>IF($N1450="","",IF(INDEX(LdAAmt,$N1450)=0,"",INDEX(LdAAmt,$N1450)))</f>
        <v/>
      </c>
      <c r="E1450" s="21">
        <f>IF($N1450="","",SUMIFS(ShareAmt,ShareLink,$C1450))</f>
        <v/>
      </c>
      <c r="F1450" s="34">
        <f>IF($N1450="","",COUNTIF(ShareLink,$C1450))</f>
        <v/>
      </c>
      <c r="G1450" s="22">
        <f>IF($N1450="","",IF(ROUND($E1450-$D1450,0)=0,"√","▲ "&amp;TEXT($D1450-$E1450,"#,##0")))</f>
        <v/>
      </c>
      <c r="N1450">
        <f>IFERROR(MATCH($C$5&amp;"|"&amp;RIGHT("000000"&amp;1434,6),LdAKeyG,0),"")</f>
        <v/>
      </c>
    </row>
    <row r="1451">
      <c r="A1451" s="10" t="n">
        <v>1435</v>
      </c>
      <c r="B1451" s="14">
        <f>IF($N1451="","",INDEX(LdADate,$N1451))</f>
        <v/>
      </c>
      <c r="C1451" s="14">
        <f>IF($N1451="","",IF(INDEX(LdAId,$N1451)="","—",INDEX(LdAId,$N1451)))</f>
        <v/>
      </c>
      <c r="D1451" s="16">
        <f>IF($N1451="","",IF(INDEX(LdAAmt,$N1451)=0,"",INDEX(LdAAmt,$N1451)))</f>
        <v/>
      </c>
      <c r="E1451" s="16">
        <f>IF($N1451="","",SUMIFS(ShareAmt,ShareLink,$C1451))</f>
        <v/>
      </c>
      <c r="F1451" s="33">
        <f>IF($N1451="","",COUNTIF(ShareLink,$C1451))</f>
        <v/>
      </c>
      <c r="G1451" s="17">
        <f>IF($N1451="","",IF(ROUND($E1451-$D1451,0)=0,"√","▲ "&amp;TEXT($D1451-$E1451,"#,##0")))</f>
        <v/>
      </c>
      <c r="N1451">
        <f>IFERROR(MATCH($C$5&amp;"|"&amp;RIGHT("000000"&amp;1435,6),LdAKeyG,0),"")</f>
        <v/>
      </c>
    </row>
    <row r="1452">
      <c r="A1452" s="19" t="n">
        <v>1436</v>
      </c>
      <c r="B1452" s="20">
        <f>IF($N1452="","",INDEX(LdADate,$N1452))</f>
        <v/>
      </c>
      <c r="C1452" s="20">
        <f>IF($N1452="","",IF(INDEX(LdAId,$N1452)="","—",INDEX(LdAId,$N1452)))</f>
        <v/>
      </c>
      <c r="D1452" s="21">
        <f>IF($N1452="","",IF(INDEX(LdAAmt,$N1452)=0,"",INDEX(LdAAmt,$N1452)))</f>
        <v/>
      </c>
      <c r="E1452" s="21">
        <f>IF($N1452="","",SUMIFS(ShareAmt,ShareLink,$C1452))</f>
        <v/>
      </c>
      <c r="F1452" s="34">
        <f>IF($N1452="","",COUNTIF(ShareLink,$C1452))</f>
        <v/>
      </c>
      <c r="G1452" s="22">
        <f>IF($N1452="","",IF(ROUND($E1452-$D1452,0)=0,"√","▲ "&amp;TEXT($D1452-$E1452,"#,##0")))</f>
        <v/>
      </c>
      <c r="N1452">
        <f>IFERROR(MATCH($C$5&amp;"|"&amp;RIGHT("000000"&amp;1436,6),LdAKeyG,0),"")</f>
        <v/>
      </c>
    </row>
    <row r="1453">
      <c r="A1453" s="10" t="n">
        <v>1437</v>
      </c>
      <c r="B1453" s="14">
        <f>IF($N1453="","",INDEX(LdADate,$N1453))</f>
        <v/>
      </c>
      <c r="C1453" s="14">
        <f>IF($N1453="","",IF(INDEX(LdAId,$N1453)="","—",INDEX(LdAId,$N1453)))</f>
        <v/>
      </c>
      <c r="D1453" s="16">
        <f>IF($N1453="","",IF(INDEX(LdAAmt,$N1453)=0,"",INDEX(LdAAmt,$N1453)))</f>
        <v/>
      </c>
      <c r="E1453" s="16">
        <f>IF($N1453="","",SUMIFS(ShareAmt,ShareLink,$C1453))</f>
        <v/>
      </c>
      <c r="F1453" s="33">
        <f>IF($N1453="","",COUNTIF(ShareLink,$C1453))</f>
        <v/>
      </c>
      <c r="G1453" s="17">
        <f>IF($N1453="","",IF(ROUND($E1453-$D1453,0)=0,"√","▲ "&amp;TEXT($D1453-$E1453,"#,##0")))</f>
        <v/>
      </c>
      <c r="N1453">
        <f>IFERROR(MATCH($C$5&amp;"|"&amp;RIGHT("000000"&amp;1437,6),LdAKeyG,0),"")</f>
        <v/>
      </c>
    </row>
    <row r="1454">
      <c r="A1454" s="19" t="n">
        <v>1438</v>
      </c>
      <c r="B1454" s="20">
        <f>IF($N1454="","",INDEX(LdADate,$N1454))</f>
        <v/>
      </c>
      <c r="C1454" s="20">
        <f>IF($N1454="","",IF(INDEX(LdAId,$N1454)="","—",INDEX(LdAId,$N1454)))</f>
        <v/>
      </c>
      <c r="D1454" s="21">
        <f>IF($N1454="","",IF(INDEX(LdAAmt,$N1454)=0,"",INDEX(LdAAmt,$N1454)))</f>
        <v/>
      </c>
      <c r="E1454" s="21">
        <f>IF($N1454="","",SUMIFS(ShareAmt,ShareLink,$C1454))</f>
        <v/>
      </c>
      <c r="F1454" s="34">
        <f>IF($N1454="","",COUNTIF(ShareLink,$C1454))</f>
        <v/>
      </c>
      <c r="G1454" s="22">
        <f>IF($N1454="","",IF(ROUND($E1454-$D1454,0)=0,"√","▲ "&amp;TEXT($D1454-$E1454,"#,##0")))</f>
        <v/>
      </c>
      <c r="N1454">
        <f>IFERROR(MATCH($C$5&amp;"|"&amp;RIGHT("000000"&amp;1438,6),LdAKeyG,0),"")</f>
        <v/>
      </c>
    </row>
    <row r="1455">
      <c r="A1455" s="10" t="n">
        <v>1439</v>
      </c>
      <c r="B1455" s="14">
        <f>IF($N1455="","",INDEX(LdADate,$N1455))</f>
        <v/>
      </c>
      <c r="C1455" s="14">
        <f>IF($N1455="","",IF(INDEX(LdAId,$N1455)="","—",INDEX(LdAId,$N1455)))</f>
        <v/>
      </c>
      <c r="D1455" s="16">
        <f>IF($N1455="","",IF(INDEX(LdAAmt,$N1455)=0,"",INDEX(LdAAmt,$N1455)))</f>
        <v/>
      </c>
      <c r="E1455" s="16">
        <f>IF($N1455="","",SUMIFS(ShareAmt,ShareLink,$C1455))</f>
        <v/>
      </c>
      <c r="F1455" s="33">
        <f>IF($N1455="","",COUNTIF(ShareLink,$C1455))</f>
        <v/>
      </c>
      <c r="G1455" s="17">
        <f>IF($N1455="","",IF(ROUND($E1455-$D1455,0)=0,"√","▲ "&amp;TEXT($D1455-$E1455,"#,##0")))</f>
        <v/>
      </c>
      <c r="N1455">
        <f>IFERROR(MATCH($C$5&amp;"|"&amp;RIGHT("000000"&amp;1439,6),LdAKeyG,0),"")</f>
        <v/>
      </c>
    </row>
    <row r="1456">
      <c r="A1456" s="19" t="n">
        <v>1440</v>
      </c>
      <c r="B1456" s="20">
        <f>IF($N1456="","",INDEX(LdADate,$N1456))</f>
        <v/>
      </c>
      <c r="C1456" s="20">
        <f>IF($N1456="","",IF(INDEX(LdAId,$N1456)="","—",INDEX(LdAId,$N1456)))</f>
        <v/>
      </c>
      <c r="D1456" s="21">
        <f>IF($N1456="","",IF(INDEX(LdAAmt,$N1456)=0,"",INDEX(LdAAmt,$N1456)))</f>
        <v/>
      </c>
      <c r="E1456" s="21">
        <f>IF($N1456="","",SUMIFS(ShareAmt,ShareLink,$C1456))</f>
        <v/>
      </c>
      <c r="F1456" s="34">
        <f>IF($N1456="","",COUNTIF(ShareLink,$C1456))</f>
        <v/>
      </c>
      <c r="G1456" s="22">
        <f>IF($N1456="","",IF(ROUND($E1456-$D1456,0)=0,"√","▲ "&amp;TEXT($D1456-$E1456,"#,##0")))</f>
        <v/>
      </c>
      <c r="N1456">
        <f>IFERROR(MATCH($C$5&amp;"|"&amp;RIGHT("000000"&amp;1440,6),LdAKeyG,0),"")</f>
        <v/>
      </c>
    </row>
    <row r="1457">
      <c r="A1457" s="10" t="n">
        <v>1441</v>
      </c>
      <c r="B1457" s="14">
        <f>IF($N1457="","",INDEX(LdADate,$N1457))</f>
        <v/>
      </c>
      <c r="C1457" s="14">
        <f>IF($N1457="","",IF(INDEX(LdAId,$N1457)="","—",INDEX(LdAId,$N1457)))</f>
        <v/>
      </c>
      <c r="D1457" s="16">
        <f>IF($N1457="","",IF(INDEX(LdAAmt,$N1457)=0,"",INDEX(LdAAmt,$N1457)))</f>
        <v/>
      </c>
      <c r="E1457" s="16">
        <f>IF($N1457="","",SUMIFS(ShareAmt,ShareLink,$C1457))</f>
        <v/>
      </c>
      <c r="F1457" s="33">
        <f>IF($N1457="","",COUNTIF(ShareLink,$C1457))</f>
        <v/>
      </c>
      <c r="G1457" s="17">
        <f>IF($N1457="","",IF(ROUND($E1457-$D1457,0)=0,"√","▲ "&amp;TEXT($D1457-$E1457,"#,##0")))</f>
        <v/>
      </c>
      <c r="N1457">
        <f>IFERROR(MATCH($C$5&amp;"|"&amp;RIGHT("000000"&amp;1441,6),LdAKeyG,0),"")</f>
        <v/>
      </c>
    </row>
    <row r="1458">
      <c r="A1458" s="19" t="n">
        <v>1442</v>
      </c>
      <c r="B1458" s="20">
        <f>IF($N1458="","",INDEX(LdADate,$N1458))</f>
        <v/>
      </c>
      <c r="C1458" s="20">
        <f>IF($N1458="","",IF(INDEX(LdAId,$N1458)="","—",INDEX(LdAId,$N1458)))</f>
        <v/>
      </c>
      <c r="D1458" s="21">
        <f>IF($N1458="","",IF(INDEX(LdAAmt,$N1458)=0,"",INDEX(LdAAmt,$N1458)))</f>
        <v/>
      </c>
      <c r="E1458" s="21">
        <f>IF($N1458="","",SUMIFS(ShareAmt,ShareLink,$C1458))</f>
        <v/>
      </c>
      <c r="F1458" s="34">
        <f>IF($N1458="","",COUNTIF(ShareLink,$C1458))</f>
        <v/>
      </c>
      <c r="G1458" s="22">
        <f>IF($N1458="","",IF(ROUND($E1458-$D1458,0)=0,"√","▲ "&amp;TEXT($D1458-$E1458,"#,##0")))</f>
        <v/>
      </c>
      <c r="N1458">
        <f>IFERROR(MATCH($C$5&amp;"|"&amp;RIGHT("000000"&amp;1442,6),LdAKeyG,0),"")</f>
        <v/>
      </c>
    </row>
    <row r="1459">
      <c r="A1459" s="10" t="n">
        <v>1443</v>
      </c>
      <c r="B1459" s="14">
        <f>IF($N1459="","",INDEX(LdADate,$N1459))</f>
        <v/>
      </c>
      <c r="C1459" s="14">
        <f>IF($N1459="","",IF(INDEX(LdAId,$N1459)="","—",INDEX(LdAId,$N1459)))</f>
        <v/>
      </c>
      <c r="D1459" s="16">
        <f>IF($N1459="","",IF(INDEX(LdAAmt,$N1459)=0,"",INDEX(LdAAmt,$N1459)))</f>
        <v/>
      </c>
      <c r="E1459" s="16">
        <f>IF($N1459="","",SUMIFS(ShareAmt,ShareLink,$C1459))</f>
        <v/>
      </c>
      <c r="F1459" s="33">
        <f>IF($N1459="","",COUNTIF(ShareLink,$C1459))</f>
        <v/>
      </c>
      <c r="G1459" s="17">
        <f>IF($N1459="","",IF(ROUND($E1459-$D1459,0)=0,"√","▲ "&amp;TEXT($D1459-$E1459,"#,##0")))</f>
        <v/>
      </c>
      <c r="N1459">
        <f>IFERROR(MATCH($C$5&amp;"|"&amp;RIGHT("000000"&amp;1443,6),LdAKeyG,0),"")</f>
        <v/>
      </c>
    </row>
    <row r="1460">
      <c r="A1460" s="19" t="n">
        <v>1444</v>
      </c>
      <c r="B1460" s="20">
        <f>IF($N1460="","",INDEX(LdADate,$N1460))</f>
        <v/>
      </c>
      <c r="C1460" s="20">
        <f>IF($N1460="","",IF(INDEX(LdAId,$N1460)="","—",INDEX(LdAId,$N1460)))</f>
        <v/>
      </c>
      <c r="D1460" s="21">
        <f>IF($N1460="","",IF(INDEX(LdAAmt,$N1460)=0,"",INDEX(LdAAmt,$N1460)))</f>
        <v/>
      </c>
      <c r="E1460" s="21">
        <f>IF($N1460="","",SUMIFS(ShareAmt,ShareLink,$C1460))</f>
        <v/>
      </c>
      <c r="F1460" s="34">
        <f>IF($N1460="","",COUNTIF(ShareLink,$C1460))</f>
        <v/>
      </c>
      <c r="G1460" s="22">
        <f>IF($N1460="","",IF(ROUND($E1460-$D1460,0)=0,"√","▲ "&amp;TEXT($D1460-$E1460,"#,##0")))</f>
        <v/>
      </c>
      <c r="N1460">
        <f>IFERROR(MATCH($C$5&amp;"|"&amp;RIGHT("000000"&amp;1444,6),LdAKeyG,0),"")</f>
        <v/>
      </c>
    </row>
    <row r="1461">
      <c r="A1461" s="10" t="n">
        <v>1445</v>
      </c>
      <c r="B1461" s="14">
        <f>IF($N1461="","",INDEX(LdADate,$N1461))</f>
        <v/>
      </c>
      <c r="C1461" s="14">
        <f>IF($N1461="","",IF(INDEX(LdAId,$N1461)="","—",INDEX(LdAId,$N1461)))</f>
        <v/>
      </c>
      <c r="D1461" s="16">
        <f>IF($N1461="","",IF(INDEX(LdAAmt,$N1461)=0,"",INDEX(LdAAmt,$N1461)))</f>
        <v/>
      </c>
      <c r="E1461" s="16">
        <f>IF($N1461="","",SUMIFS(ShareAmt,ShareLink,$C1461))</f>
        <v/>
      </c>
      <c r="F1461" s="33">
        <f>IF($N1461="","",COUNTIF(ShareLink,$C1461))</f>
        <v/>
      </c>
      <c r="G1461" s="17">
        <f>IF($N1461="","",IF(ROUND($E1461-$D1461,0)=0,"√","▲ "&amp;TEXT($D1461-$E1461,"#,##0")))</f>
        <v/>
      </c>
      <c r="N1461">
        <f>IFERROR(MATCH($C$5&amp;"|"&amp;RIGHT("000000"&amp;1445,6),LdAKeyG,0),"")</f>
        <v/>
      </c>
    </row>
    <row r="1462">
      <c r="A1462" s="19" t="n">
        <v>1446</v>
      </c>
      <c r="B1462" s="20">
        <f>IF($N1462="","",INDEX(LdADate,$N1462))</f>
        <v/>
      </c>
      <c r="C1462" s="20">
        <f>IF($N1462="","",IF(INDEX(LdAId,$N1462)="","—",INDEX(LdAId,$N1462)))</f>
        <v/>
      </c>
      <c r="D1462" s="21">
        <f>IF($N1462="","",IF(INDEX(LdAAmt,$N1462)=0,"",INDEX(LdAAmt,$N1462)))</f>
        <v/>
      </c>
      <c r="E1462" s="21">
        <f>IF($N1462="","",SUMIFS(ShareAmt,ShareLink,$C1462))</f>
        <v/>
      </c>
      <c r="F1462" s="34">
        <f>IF($N1462="","",COUNTIF(ShareLink,$C1462))</f>
        <v/>
      </c>
      <c r="G1462" s="22">
        <f>IF($N1462="","",IF(ROUND($E1462-$D1462,0)=0,"√","▲ "&amp;TEXT($D1462-$E1462,"#,##0")))</f>
        <v/>
      </c>
      <c r="N1462">
        <f>IFERROR(MATCH($C$5&amp;"|"&amp;RIGHT("000000"&amp;1446,6),LdAKeyG,0),"")</f>
        <v/>
      </c>
    </row>
    <row r="1463">
      <c r="A1463" s="10" t="n">
        <v>1447</v>
      </c>
      <c r="B1463" s="14">
        <f>IF($N1463="","",INDEX(LdADate,$N1463))</f>
        <v/>
      </c>
      <c r="C1463" s="14">
        <f>IF($N1463="","",IF(INDEX(LdAId,$N1463)="","—",INDEX(LdAId,$N1463)))</f>
        <v/>
      </c>
      <c r="D1463" s="16">
        <f>IF($N1463="","",IF(INDEX(LdAAmt,$N1463)=0,"",INDEX(LdAAmt,$N1463)))</f>
        <v/>
      </c>
      <c r="E1463" s="16">
        <f>IF($N1463="","",SUMIFS(ShareAmt,ShareLink,$C1463))</f>
        <v/>
      </c>
      <c r="F1463" s="33">
        <f>IF($N1463="","",COUNTIF(ShareLink,$C1463))</f>
        <v/>
      </c>
      <c r="G1463" s="17">
        <f>IF($N1463="","",IF(ROUND($E1463-$D1463,0)=0,"√","▲ "&amp;TEXT($D1463-$E1463,"#,##0")))</f>
        <v/>
      </c>
      <c r="N1463">
        <f>IFERROR(MATCH($C$5&amp;"|"&amp;RIGHT("000000"&amp;1447,6),LdAKeyG,0),"")</f>
        <v/>
      </c>
    </row>
    <row r="1464">
      <c r="A1464" s="19" t="n">
        <v>1448</v>
      </c>
      <c r="B1464" s="20">
        <f>IF($N1464="","",INDEX(LdADate,$N1464))</f>
        <v/>
      </c>
      <c r="C1464" s="20">
        <f>IF($N1464="","",IF(INDEX(LdAId,$N1464)="","—",INDEX(LdAId,$N1464)))</f>
        <v/>
      </c>
      <c r="D1464" s="21">
        <f>IF($N1464="","",IF(INDEX(LdAAmt,$N1464)=0,"",INDEX(LdAAmt,$N1464)))</f>
        <v/>
      </c>
      <c r="E1464" s="21">
        <f>IF($N1464="","",SUMIFS(ShareAmt,ShareLink,$C1464))</f>
        <v/>
      </c>
      <c r="F1464" s="34">
        <f>IF($N1464="","",COUNTIF(ShareLink,$C1464))</f>
        <v/>
      </c>
      <c r="G1464" s="22">
        <f>IF($N1464="","",IF(ROUND($E1464-$D1464,0)=0,"√","▲ "&amp;TEXT($D1464-$E1464,"#,##0")))</f>
        <v/>
      </c>
      <c r="N1464">
        <f>IFERROR(MATCH($C$5&amp;"|"&amp;RIGHT("000000"&amp;1448,6),LdAKeyG,0),"")</f>
        <v/>
      </c>
    </row>
    <row r="1465">
      <c r="A1465" s="10" t="n">
        <v>1449</v>
      </c>
      <c r="B1465" s="14">
        <f>IF($N1465="","",INDEX(LdADate,$N1465))</f>
        <v/>
      </c>
      <c r="C1465" s="14">
        <f>IF($N1465="","",IF(INDEX(LdAId,$N1465)="","—",INDEX(LdAId,$N1465)))</f>
        <v/>
      </c>
      <c r="D1465" s="16">
        <f>IF($N1465="","",IF(INDEX(LdAAmt,$N1465)=0,"",INDEX(LdAAmt,$N1465)))</f>
        <v/>
      </c>
      <c r="E1465" s="16">
        <f>IF($N1465="","",SUMIFS(ShareAmt,ShareLink,$C1465))</f>
        <v/>
      </c>
      <c r="F1465" s="33">
        <f>IF($N1465="","",COUNTIF(ShareLink,$C1465))</f>
        <v/>
      </c>
      <c r="G1465" s="17">
        <f>IF($N1465="","",IF(ROUND($E1465-$D1465,0)=0,"√","▲ "&amp;TEXT($D1465-$E1465,"#,##0")))</f>
        <v/>
      </c>
      <c r="N1465">
        <f>IFERROR(MATCH($C$5&amp;"|"&amp;RIGHT("000000"&amp;1449,6),LdAKeyG,0),"")</f>
        <v/>
      </c>
    </row>
    <row r="1466">
      <c r="A1466" s="19" t="n">
        <v>1450</v>
      </c>
      <c r="B1466" s="20">
        <f>IF($N1466="","",INDEX(LdADate,$N1466))</f>
        <v/>
      </c>
      <c r="C1466" s="20">
        <f>IF($N1466="","",IF(INDEX(LdAId,$N1466)="","—",INDEX(LdAId,$N1466)))</f>
        <v/>
      </c>
      <c r="D1466" s="21">
        <f>IF($N1466="","",IF(INDEX(LdAAmt,$N1466)=0,"",INDEX(LdAAmt,$N1466)))</f>
        <v/>
      </c>
      <c r="E1466" s="21">
        <f>IF($N1466="","",SUMIFS(ShareAmt,ShareLink,$C1466))</f>
        <v/>
      </c>
      <c r="F1466" s="34">
        <f>IF($N1466="","",COUNTIF(ShareLink,$C1466))</f>
        <v/>
      </c>
      <c r="G1466" s="22">
        <f>IF($N1466="","",IF(ROUND($E1466-$D1466,0)=0,"√","▲ "&amp;TEXT($D1466-$E1466,"#,##0")))</f>
        <v/>
      </c>
      <c r="N1466">
        <f>IFERROR(MATCH($C$5&amp;"|"&amp;RIGHT("000000"&amp;1450,6),LdAKeyG,0),"")</f>
        <v/>
      </c>
    </row>
    <row r="1467">
      <c r="A1467" s="10" t="n">
        <v>1451</v>
      </c>
      <c r="B1467" s="14">
        <f>IF($N1467="","",INDEX(LdADate,$N1467))</f>
        <v/>
      </c>
      <c r="C1467" s="14">
        <f>IF($N1467="","",IF(INDEX(LdAId,$N1467)="","—",INDEX(LdAId,$N1467)))</f>
        <v/>
      </c>
      <c r="D1467" s="16">
        <f>IF($N1467="","",IF(INDEX(LdAAmt,$N1467)=0,"",INDEX(LdAAmt,$N1467)))</f>
        <v/>
      </c>
      <c r="E1467" s="16">
        <f>IF($N1467="","",SUMIFS(ShareAmt,ShareLink,$C1467))</f>
        <v/>
      </c>
      <c r="F1467" s="33">
        <f>IF($N1467="","",COUNTIF(ShareLink,$C1467))</f>
        <v/>
      </c>
      <c r="G1467" s="17">
        <f>IF($N1467="","",IF(ROUND($E1467-$D1467,0)=0,"√","▲ "&amp;TEXT($D1467-$E1467,"#,##0")))</f>
        <v/>
      </c>
      <c r="N1467">
        <f>IFERROR(MATCH($C$5&amp;"|"&amp;RIGHT("000000"&amp;1451,6),LdAKeyG,0),"")</f>
        <v/>
      </c>
    </row>
    <row r="1468">
      <c r="A1468" s="19" t="n">
        <v>1452</v>
      </c>
      <c r="B1468" s="20">
        <f>IF($N1468="","",INDEX(LdADate,$N1468))</f>
        <v/>
      </c>
      <c r="C1468" s="20">
        <f>IF($N1468="","",IF(INDEX(LdAId,$N1468)="","—",INDEX(LdAId,$N1468)))</f>
        <v/>
      </c>
      <c r="D1468" s="21">
        <f>IF($N1468="","",IF(INDEX(LdAAmt,$N1468)=0,"",INDEX(LdAAmt,$N1468)))</f>
        <v/>
      </c>
      <c r="E1468" s="21">
        <f>IF($N1468="","",SUMIFS(ShareAmt,ShareLink,$C1468))</f>
        <v/>
      </c>
      <c r="F1468" s="34">
        <f>IF($N1468="","",COUNTIF(ShareLink,$C1468))</f>
        <v/>
      </c>
      <c r="G1468" s="22">
        <f>IF($N1468="","",IF(ROUND($E1468-$D1468,0)=0,"√","▲ "&amp;TEXT($D1468-$E1468,"#,##0")))</f>
        <v/>
      </c>
      <c r="N1468">
        <f>IFERROR(MATCH($C$5&amp;"|"&amp;RIGHT("000000"&amp;1452,6),LdAKeyG,0),"")</f>
        <v/>
      </c>
    </row>
    <row r="1469">
      <c r="A1469" s="10" t="n">
        <v>1453</v>
      </c>
      <c r="B1469" s="14">
        <f>IF($N1469="","",INDEX(LdADate,$N1469))</f>
        <v/>
      </c>
      <c r="C1469" s="14">
        <f>IF($N1469="","",IF(INDEX(LdAId,$N1469)="","—",INDEX(LdAId,$N1469)))</f>
        <v/>
      </c>
      <c r="D1469" s="16">
        <f>IF($N1469="","",IF(INDEX(LdAAmt,$N1469)=0,"",INDEX(LdAAmt,$N1469)))</f>
        <v/>
      </c>
      <c r="E1469" s="16">
        <f>IF($N1469="","",SUMIFS(ShareAmt,ShareLink,$C1469))</f>
        <v/>
      </c>
      <c r="F1469" s="33">
        <f>IF($N1469="","",COUNTIF(ShareLink,$C1469))</f>
        <v/>
      </c>
      <c r="G1469" s="17">
        <f>IF($N1469="","",IF(ROUND($E1469-$D1469,0)=0,"√","▲ "&amp;TEXT($D1469-$E1469,"#,##0")))</f>
        <v/>
      </c>
      <c r="N1469">
        <f>IFERROR(MATCH($C$5&amp;"|"&amp;RIGHT("000000"&amp;1453,6),LdAKeyG,0),"")</f>
        <v/>
      </c>
    </row>
    <row r="1470">
      <c r="A1470" s="19" t="n">
        <v>1454</v>
      </c>
      <c r="B1470" s="20">
        <f>IF($N1470="","",INDEX(LdADate,$N1470))</f>
        <v/>
      </c>
      <c r="C1470" s="20">
        <f>IF($N1470="","",IF(INDEX(LdAId,$N1470)="","—",INDEX(LdAId,$N1470)))</f>
        <v/>
      </c>
      <c r="D1470" s="21">
        <f>IF($N1470="","",IF(INDEX(LdAAmt,$N1470)=0,"",INDEX(LdAAmt,$N1470)))</f>
        <v/>
      </c>
      <c r="E1470" s="21">
        <f>IF($N1470="","",SUMIFS(ShareAmt,ShareLink,$C1470))</f>
        <v/>
      </c>
      <c r="F1470" s="34">
        <f>IF($N1470="","",COUNTIF(ShareLink,$C1470))</f>
        <v/>
      </c>
      <c r="G1470" s="22">
        <f>IF($N1470="","",IF(ROUND($E1470-$D1470,0)=0,"√","▲ "&amp;TEXT($D1470-$E1470,"#,##0")))</f>
        <v/>
      </c>
      <c r="N1470">
        <f>IFERROR(MATCH($C$5&amp;"|"&amp;RIGHT("000000"&amp;1454,6),LdAKeyG,0),"")</f>
        <v/>
      </c>
    </row>
    <row r="1471">
      <c r="A1471" s="10" t="n">
        <v>1455</v>
      </c>
      <c r="B1471" s="14">
        <f>IF($N1471="","",INDEX(LdADate,$N1471))</f>
        <v/>
      </c>
      <c r="C1471" s="14">
        <f>IF($N1471="","",IF(INDEX(LdAId,$N1471)="","—",INDEX(LdAId,$N1471)))</f>
        <v/>
      </c>
      <c r="D1471" s="16">
        <f>IF($N1471="","",IF(INDEX(LdAAmt,$N1471)=0,"",INDEX(LdAAmt,$N1471)))</f>
        <v/>
      </c>
      <c r="E1471" s="16">
        <f>IF($N1471="","",SUMIFS(ShareAmt,ShareLink,$C1471))</f>
        <v/>
      </c>
      <c r="F1471" s="33">
        <f>IF($N1471="","",COUNTIF(ShareLink,$C1471))</f>
        <v/>
      </c>
      <c r="G1471" s="17">
        <f>IF($N1471="","",IF(ROUND($E1471-$D1471,0)=0,"√","▲ "&amp;TEXT($D1471-$E1471,"#,##0")))</f>
        <v/>
      </c>
      <c r="N1471">
        <f>IFERROR(MATCH($C$5&amp;"|"&amp;RIGHT("000000"&amp;1455,6),LdAKeyG,0),"")</f>
        <v/>
      </c>
    </row>
    <row r="1472">
      <c r="A1472" s="19" t="n">
        <v>1456</v>
      </c>
      <c r="B1472" s="20">
        <f>IF($N1472="","",INDEX(LdADate,$N1472))</f>
        <v/>
      </c>
      <c r="C1472" s="20">
        <f>IF($N1472="","",IF(INDEX(LdAId,$N1472)="","—",INDEX(LdAId,$N1472)))</f>
        <v/>
      </c>
      <c r="D1472" s="21">
        <f>IF($N1472="","",IF(INDEX(LdAAmt,$N1472)=0,"",INDEX(LdAAmt,$N1472)))</f>
        <v/>
      </c>
      <c r="E1472" s="21">
        <f>IF($N1472="","",SUMIFS(ShareAmt,ShareLink,$C1472))</f>
        <v/>
      </c>
      <c r="F1472" s="34">
        <f>IF($N1472="","",COUNTIF(ShareLink,$C1472))</f>
        <v/>
      </c>
      <c r="G1472" s="22">
        <f>IF($N1472="","",IF(ROUND($E1472-$D1472,0)=0,"√","▲ "&amp;TEXT($D1472-$E1472,"#,##0")))</f>
        <v/>
      </c>
      <c r="N1472">
        <f>IFERROR(MATCH($C$5&amp;"|"&amp;RIGHT("000000"&amp;1456,6),LdAKeyG,0),"")</f>
        <v/>
      </c>
    </row>
    <row r="1473">
      <c r="A1473" s="10" t="n">
        <v>1457</v>
      </c>
      <c r="B1473" s="14">
        <f>IF($N1473="","",INDEX(LdADate,$N1473))</f>
        <v/>
      </c>
      <c r="C1473" s="14">
        <f>IF($N1473="","",IF(INDEX(LdAId,$N1473)="","—",INDEX(LdAId,$N1473)))</f>
        <v/>
      </c>
      <c r="D1473" s="16">
        <f>IF($N1473="","",IF(INDEX(LdAAmt,$N1473)=0,"",INDEX(LdAAmt,$N1473)))</f>
        <v/>
      </c>
      <c r="E1473" s="16">
        <f>IF($N1473="","",SUMIFS(ShareAmt,ShareLink,$C1473))</f>
        <v/>
      </c>
      <c r="F1473" s="33">
        <f>IF($N1473="","",COUNTIF(ShareLink,$C1473))</f>
        <v/>
      </c>
      <c r="G1473" s="17">
        <f>IF($N1473="","",IF(ROUND($E1473-$D1473,0)=0,"√","▲ "&amp;TEXT($D1473-$E1473,"#,##0")))</f>
        <v/>
      </c>
      <c r="N1473">
        <f>IFERROR(MATCH($C$5&amp;"|"&amp;RIGHT("000000"&amp;1457,6),LdAKeyG,0),"")</f>
        <v/>
      </c>
    </row>
    <row r="1474">
      <c r="A1474" s="19" t="n">
        <v>1458</v>
      </c>
      <c r="B1474" s="20">
        <f>IF($N1474="","",INDEX(LdADate,$N1474))</f>
        <v/>
      </c>
      <c r="C1474" s="20">
        <f>IF($N1474="","",IF(INDEX(LdAId,$N1474)="","—",INDEX(LdAId,$N1474)))</f>
        <v/>
      </c>
      <c r="D1474" s="21">
        <f>IF($N1474="","",IF(INDEX(LdAAmt,$N1474)=0,"",INDEX(LdAAmt,$N1474)))</f>
        <v/>
      </c>
      <c r="E1474" s="21">
        <f>IF($N1474="","",SUMIFS(ShareAmt,ShareLink,$C1474))</f>
        <v/>
      </c>
      <c r="F1474" s="34">
        <f>IF($N1474="","",COUNTIF(ShareLink,$C1474))</f>
        <v/>
      </c>
      <c r="G1474" s="22">
        <f>IF($N1474="","",IF(ROUND($E1474-$D1474,0)=0,"√","▲ "&amp;TEXT($D1474-$E1474,"#,##0")))</f>
        <v/>
      </c>
      <c r="N1474">
        <f>IFERROR(MATCH($C$5&amp;"|"&amp;RIGHT("000000"&amp;1458,6),LdAKeyG,0),"")</f>
        <v/>
      </c>
    </row>
    <row r="1475">
      <c r="A1475" s="10" t="n">
        <v>1459</v>
      </c>
      <c r="B1475" s="14">
        <f>IF($N1475="","",INDEX(LdADate,$N1475))</f>
        <v/>
      </c>
      <c r="C1475" s="14">
        <f>IF($N1475="","",IF(INDEX(LdAId,$N1475)="","—",INDEX(LdAId,$N1475)))</f>
        <v/>
      </c>
      <c r="D1475" s="16">
        <f>IF($N1475="","",IF(INDEX(LdAAmt,$N1475)=0,"",INDEX(LdAAmt,$N1475)))</f>
        <v/>
      </c>
      <c r="E1475" s="16">
        <f>IF($N1475="","",SUMIFS(ShareAmt,ShareLink,$C1475))</f>
        <v/>
      </c>
      <c r="F1475" s="33">
        <f>IF($N1475="","",COUNTIF(ShareLink,$C1475))</f>
        <v/>
      </c>
      <c r="G1475" s="17">
        <f>IF($N1475="","",IF(ROUND($E1475-$D1475,0)=0,"√","▲ "&amp;TEXT($D1475-$E1475,"#,##0")))</f>
        <v/>
      </c>
      <c r="N1475">
        <f>IFERROR(MATCH($C$5&amp;"|"&amp;RIGHT("000000"&amp;1459,6),LdAKeyG,0),"")</f>
        <v/>
      </c>
    </row>
    <row r="1476">
      <c r="A1476" s="19" t="n">
        <v>1460</v>
      </c>
      <c r="B1476" s="20">
        <f>IF($N1476="","",INDEX(LdADate,$N1476))</f>
        <v/>
      </c>
      <c r="C1476" s="20">
        <f>IF($N1476="","",IF(INDEX(LdAId,$N1476)="","—",INDEX(LdAId,$N1476)))</f>
        <v/>
      </c>
      <c r="D1476" s="21">
        <f>IF($N1476="","",IF(INDEX(LdAAmt,$N1476)=0,"",INDEX(LdAAmt,$N1476)))</f>
        <v/>
      </c>
      <c r="E1476" s="21">
        <f>IF($N1476="","",SUMIFS(ShareAmt,ShareLink,$C1476))</f>
        <v/>
      </c>
      <c r="F1476" s="34">
        <f>IF($N1476="","",COUNTIF(ShareLink,$C1476))</f>
        <v/>
      </c>
      <c r="G1476" s="22">
        <f>IF($N1476="","",IF(ROUND($E1476-$D1476,0)=0,"√","▲ "&amp;TEXT($D1476-$E1476,"#,##0")))</f>
        <v/>
      </c>
      <c r="N1476">
        <f>IFERROR(MATCH($C$5&amp;"|"&amp;RIGHT("000000"&amp;1460,6),LdAKeyG,0),"")</f>
        <v/>
      </c>
    </row>
    <row r="1477">
      <c r="A1477" s="10" t="n">
        <v>1461</v>
      </c>
      <c r="B1477" s="14">
        <f>IF($N1477="","",INDEX(LdADate,$N1477))</f>
        <v/>
      </c>
      <c r="C1477" s="14">
        <f>IF($N1477="","",IF(INDEX(LdAId,$N1477)="","—",INDEX(LdAId,$N1477)))</f>
        <v/>
      </c>
      <c r="D1477" s="16">
        <f>IF($N1477="","",IF(INDEX(LdAAmt,$N1477)=0,"",INDEX(LdAAmt,$N1477)))</f>
        <v/>
      </c>
      <c r="E1477" s="16">
        <f>IF($N1477="","",SUMIFS(ShareAmt,ShareLink,$C1477))</f>
        <v/>
      </c>
      <c r="F1477" s="33">
        <f>IF($N1477="","",COUNTIF(ShareLink,$C1477))</f>
        <v/>
      </c>
      <c r="G1477" s="17">
        <f>IF($N1477="","",IF(ROUND($E1477-$D1477,0)=0,"√","▲ "&amp;TEXT($D1477-$E1477,"#,##0")))</f>
        <v/>
      </c>
      <c r="N1477">
        <f>IFERROR(MATCH($C$5&amp;"|"&amp;RIGHT("000000"&amp;1461,6),LdAKeyG,0),"")</f>
        <v/>
      </c>
    </row>
    <row r="1478">
      <c r="A1478" s="19" t="n">
        <v>1462</v>
      </c>
      <c r="B1478" s="20">
        <f>IF($N1478="","",INDEX(LdADate,$N1478))</f>
        <v/>
      </c>
      <c r="C1478" s="20">
        <f>IF($N1478="","",IF(INDEX(LdAId,$N1478)="","—",INDEX(LdAId,$N1478)))</f>
        <v/>
      </c>
      <c r="D1478" s="21">
        <f>IF($N1478="","",IF(INDEX(LdAAmt,$N1478)=0,"",INDEX(LdAAmt,$N1478)))</f>
        <v/>
      </c>
      <c r="E1478" s="21">
        <f>IF($N1478="","",SUMIFS(ShareAmt,ShareLink,$C1478))</f>
        <v/>
      </c>
      <c r="F1478" s="34">
        <f>IF($N1478="","",COUNTIF(ShareLink,$C1478))</f>
        <v/>
      </c>
      <c r="G1478" s="22">
        <f>IF($N1478="","",IF(ROUND($E1478-$D1478,0)=0,"√","▲ "&amp;TEXT($D1478-$E1478,"#,##0")))</f>
        <v/>
      </c>
      <c r="N1478">
        <f>IFERROR(MATCH($C$5&amp;"|"&amp;RIGHT("000000"&amp;1462,6),LdAKeyG,0),"")</f>
        <v/>
      </c>
    </row>
    <row r="1479">
      <c r="A1479" s="10" t="n">
        <v>1463</v>
      </c>
      <c r="B1479" s="14">
        <f>IF($N1479="","",INDEX(LdADate,$N1479))</f>
        <v/>
      </c>
      <c r="C1479" s="14">
        <f>IF($N1479="","",IF(INDEX(LdAId,$N1479)="","—",INDEX(LdAId,$N1479)))</f>
        <v/>
      </c>
      <c r="D1479" s="16">
        <f>IF($N1479="","",IF(INDEX(LdAAmt,$N1479)=0,"",INDEX(LdAAmt,$N1479)))</f>
        <v/>
      </c>
      <c r="E1479" s="16">
        <f>IF($N1479="","",SUMIFS(ShareAmt,ShareLink,$C1479))</f>
        <v/>
      </c>
      <c r="F1479" s="33">
        <f>IF($N1479="","",COUNTIF(ShareLink,$C1479))</f>
        <v/>
      </c>
      <c r="G1479" s="17">
        <f>IF($N1479="","",IF(ROUND($E1479-$D1479,0)=0,"√","▲ "&amp;TEXT($D1479-$E1479,"#,##0")))</f>
        <v/>
      </c>
      <c r="N1479">
        <f>IFERROR(MATCH($C$5&amp;"|"&amp;RIGHT("000000"&amp;1463,6),LdAKeyG,0),"")</f>
        <v/>
      </c>
    </row>
    <row r="1480">
      <c r="A1480" s="19" t="n">
        <v>1464</v>
      </c>
      <c r="B1480" s="20">
        <f>IF($N1480="","",INDEX(LdADate,$N1480))</f>
        <v/>
      </c>
      <c r="C1480" s="20">
        <f>IF($N1480="","",IF(INDEX(LdAId,$N1480)="","—",INDEX(LdAId,$N1480)))</f>
        <v/>
      </c>
      <c r="D1480" s="21">
        <f>IF($N1480="","",IF(INDEX(LdAAmt,$N1480)=0,"",INDEX(LdAAmt,$N1480)))</f>
        <v/>
      </c>
      <c r="E1480" s="21">
        <f>IF($N1480="","",SUMIFS(ShareAmt,ShareLink,$C1480))</f>
        <v/>
      </c>
      <c r="F1480" s="34">
        <f>IF($N1480="","",COUNTIF(ShareLink,$C1480))</f>
        <v/>
      </c>
      <c r="G1480" s="22">
        <f>IF($N1480="","",IF(ROUND($E1480-$D1480,0)=0,"√","▲ "&amp;TEXT($D1480-$E1480,"#,##0")))</f>
        <v/>
      </c>
      <c r="N1480">
        <f>IFERROR(MATCH($C$5&amp;"|"&amp;RIGHT("000000"&amp;1464,6),LdAKeyG,0),"")</f>
        <v/>
      </c>
    </row>
    <row r="1481">
      <c r="A1481" s="10" t="n">
        <v>1465</v>
      </c>
      <c r="B1481" s="14">
        <f>IF($N1481="","",INDEX(LdADate,$N1481))</f>
        <v/>
      </c>
      <c r="C1481" s="14">
        <f>IF($N1481="","",IF(INDEX(LdAId,$N1481)="","—",INDEX(LdAId,$N1481)))</f>
        <v/>
      </c>
      <c r="D1481" s="16">
        <f>IF($N1481="","",IF(INDEX(LdAAmt,$N1481)=0,"",INDEX(LdAAmt,$N1481)))</f>
        <v/>
      </c>
      <c r="E1481" s="16">
        <f>IF($N1481="","",SUMIFS(ShareAmt,ShareLink,$C1481))</f>
        <v/>
      </c>
      <c r="F1481" s="33">
        <f>IF($N1481="","",COUNTIF(ShareLink,$C1481))</f>
        <v/>
      </c>
      <c r="G1481" s="17">
        <f>IF($N1481="","",IF(ROUND($E1481-$D1481,0)=0,"√","▲ "&amp;TEXT($D1481-$E1481,"#,##0")))</f>
        <v/>
      </c>
      <c r="N1481">
        <f>IFERROR(MATCH($C$5&amp;"|"&amp;RIGHT("000000"&amp;1465,6),LdAKeyG,0),"")</f>
        <v/>
      </c>
    </row>
    <row r="1482">
      <c r="A1482" s="19" t="n">
        <v>1466</v>
      </c>
      <c r="B1482" s="20">
        <f>IF($N1482="","",INDEX(LdADate,$N1482))</f>
        <v/>
      </c>
      <c r="C1482" s="20">
        <f>IF($N1482="","",IF(INDEX(LdAId,$N1482)="","—",INDEX(LdAId,$N1482)))</f>
        <v/>
      </c>
      <c r="D1482" s="21">
        <f>IF($N1482="","",IF(INDEX(LdAAmt,$N1482)=0,"",INDEX(LdAAmt,$N1482)))</f>
        <v/>
      </c>
      <c r="E1482" s="21">
        <f>IF($N1482="","",SUMIFS(ShareAmt,ShareLink,$C1482))</f>
        <v/>
      </c>
      <c r="F1482" s="34">
        <f>IF($N1482="","",COUNTIF(ShareLink,$C1482))</f>
        <v/>
      </c>
      <c r="G1482" s="22">
        <f>IF($N1482="","",IF(ROUND($E1482-$D1482,0)=0,"√","▲ "&amp;TEXT($D1482-$E1482,"#,##0")))</f>
        <v/>
      </c>
      <c r="N1482">
        <f>IFERROR(MATCH($C$5&amp;"|"&amp;RIGHT("000000"&amp;1466,6),LdAKeyG,0),"")</f>
        <v/>
      </c>
    </row>
    <row r="1483">
      <c r="A1483" s="10" t="n">
        <v>1467</v>
      </c>
      <c r="B1483" s="14">
        <f>IF($N1483="","",INDEX(LdADate,$N1483))</f>
        <v/>
      </c>
      <c r="C1483" s="14">
        <f>IF($N1483="","",IF(INDEX(LdAId,$N1483)="","—",INDEX(LdAId,$N1483)))</f>
        <v/>
      </c>
      <c r="D1483" s="16">
        <f>IF($N1483="","",IF(INDEX(LdAAmt,$N1483)=0,"",INDEX(LdAAmt,$N1483)))</f>
        <v/>
      </c>
      <c r="E1483" s="16">
        <f>IF($N1483="","",SUMIFS(ShareAmt,ShareLink,$C1483))</f>
        <v/>
      </c>
      <c r="F1483" s="33">
        <f>IF($N1483="","",COUNTIF(ShareLink,$C1483))</f>
        <v/>
      </c>
      <c r="G1483" s="17">
        <f>IF($N1483="","",IF(ROUND($E1483-$D1483,0)=0,"√","▲ "&amp;TEXT($D1483-$E1483,"#,##0")))</f>
        <v/>
      </c>
      <c r="N1483">
        <f>IFERROR(MATCH($C$5&amp;"|"&amp;RIGHT("000000"&amp;1467,6),LdAKeyG,0),"")</f>
        <v/>
      </c>
    </row>
    <row r="1484">
      <c r="A1484" s="19" t="n">
        <v>1468</v>
      </c>
      <c r="B1484" s="20">
        <f>IF($N1484="","",INDEX(LdADate,$N1484))</f>
        <v/>
      </c>
      <c r="C1484" s="20">
        <f>IF($N1484="","",IF(INDEX(LdAId,$N1484)="","—",INDEX(LdAId,$N1484)))</f>
        <v/>
      </c>
      <c r="D1484" s="21">
        <f>IF($N1484="","",IF(INDEX(LdAAmt,$N1484)=0,"",INDEX(LdAAmt,$N1484)))</f>
        <v/>
      </c>
      <c r="E1484" s="21">
        <f>IF($N1484="","",SUMIFS(ShareAmt,ShareLink,$C1484))</f>
        <v/>
      </c>
      <c r="F1484" s="34">
        <f>IF($N1484="","",COUNTIF(ShareLink,$C1484))</f>
        <v/>
      </c>
      <c r="G1484" s="22">
        <f>IF($N1484="","",IF(ROUND($E1484-$D1484,0)=0,"√","▲ "&amp;TEXT($D1484-$E1484,"#,##0")))</f>
        <v/>
      </c>
      <c r="N1484">
        <f>IFERROR(MATCH($C$5&amp;"|"&amp;RIGHT("000000"&amp;1468,6),LdAKeyG,0),"")</f>
        <v/>
      </c>
    </row>
    <row r="1485">
      <c r="A1485" s="10" t="n">
        <v>1469</v>
      </c>
      <c r="B1485" s="14">
        <f>IF($N1485="","",INDEX(LdADate,$N1485))</f>
        <v/>
      </c>
      <c r="C1485" s="14">
        <f>IF($N1485="","",IF(INDEX(LdAId,$N1485)="","—",INDEX(LdAId,$N1485)))</f>
        <v/>
      </c>
      <c r="D1485" s="16">
        <f>IF($N1485="","",IF(INDEX(LdAAmt,$N1485)=0,"",INDEX(LdAAmt,$N1485)))</f>
        <v/>
      </c>
      <c r="E1485" s="16">
        <f>IF($N1485="","",SUMIFS(ShareAmt,ShareLink,$C1485))</f>
        <v/>
      </c>
      <c r="F1485" s="33">
        <f>IF($N1485="","",COUNTIF(ShareLink,$C1485))</f>
        <v/>
      </c>
      <c r="G1485" s="17">
        <f>IF($N1485="","",IF(ROUND($E1485-$D1485,0)=0,"√","▲ "&amp;TEXT($D1485-$E1485,"#,##0")))</f>
        <v/>
      </c>
      <c r="N1485">
        <f>IFERROR(MATCH($C$5&amp;"|"&amp;RIGHT("000000"&amp;1469,6),LdAKeyG,0),"")</f>
        <v/>
      </c>
    </row>
    <row r="1486">
      <c r="A1486" s="19" t="n">
        <v>1470</v>
      </c>
      <c r="B1486" s="20">
        <f>IF($N1486="","",INDEX(LdADate,$N1486))</f>
        <v/>
      </c>
      <c r="C1486" s="20">
        <f>IF($N1486="","",IF(INDEX(LdAId,$N1486)="","—",INDEX(LdAId,$N1486)))</f>
        <v/>
      </c>
      <c r="D1486" s="21">
        <f>IF($N1486="","",IF(INDEX(LdAAmt,$N1486)=0,"",INDEX(LdAAmt,$N1486)))</f>
        <v/>
      </c>
      <c r="E1486" s="21">
        <f>IF($N1486="","",SUMIFS(ShareAmt,ShareLink,$C1486))</f>
        <v/>
      </c>
      <c r="F1486" s="34">
        <f>IF($N1486="","",COUNTIF(ShareLink,$C1486))</f>
        <v/>
      </c>
      <c r="G1486" s="22">
        <f>IF($N1486="","",IF(ROUND($E1486-$D1486,0)=0,"√","▲ "&amp;TEXT($D1486-$E1486,"#,##0")))</f>
        <v/>
      </c>
      <c r="N1486">
        <f>IFERROR(MATCH($C$5&amp;"|"&amp;RIGHT("000000"&amp;1470,6),LdAKeyG,0),"")</f>
        <v/>
      </c>
    </row>
    <row r="1487">
      <c r="A1487" s="10" t="n">
        <v>1471</v>
      </c>
      <c r="B1487" s="14">
        <f>IF($N1487="","",INDEX(LdADate,$N1487))</f>
        <v/>
      </c>
      <c r="C1487" s="14">
        <f>IF($N1487="","",IF(INDEX(LdAId,$N1487)="","—",INDEX(LdAId,$N1487)))</f>
        <v/>
      </c>
      <c r="D1487" s="16">
        <f>IF($N1487="","",IF(INDEX(LdAAmt,$N1487)=0,"",INDEX(LdAAmt,$N1487)))</f>
        <v/>
      </c>
      <c r="E1487" s="16">
        <f>IF($N1487="","",SUMIFS(ShareAmt,ShareLink,$C1487))</f>
        <v/>
      </c>
      <c r="F1487" s="33">
        <f>IF($N1487="","",COUNTIF(ShareLink,$C1487))</f>
        <v/>
      </c>
      <c r="G1487" s="17">
        <f>IF($N1487="","",IF(ROUND($E1487-$D1487,0)=0,"√","▲ "&amp;TEXT($D1487-$E1487,"#,##0")))</f>
        <v/>
      </c>
      <c r="N1487">
        <f>IFERROR(MATCH($C$5&amp;"|"&amp;RIGHT("000000"&amp;1471,6),LdAKeyG,0),"")</f>
        <v/>
      </c>
    </row>
    <row r="1488">
      <c r="A1488" s="19" t="n">
        <v>1472</v>
      </c>
      <c r="B1488" s="20">
        <f>IF($N1488="","",INDEX(LdADate,$N1488))</f>
        <v/>
      </c>
      <c r="C1488" s="20">
        <f>IF($N1488="","",IF(INDEX(LdAId,$N1488)="","—",INDEX(LdAId,$N1488)))</f>
        <v/>
      </c>
      <c r="D1488" s="21">
        <f>IF($N1488="","",IF(INDEX(LdAAmt,$N1488)=0,"",INDEX(LdAAmt,$N1488)))</f>
        <v/>
      </c>
      <c r="E1488" s="21">
        <f>IF($N1488="","",SUMIFS(ShareAmt,ShareLink,$C1488))</f>
        <v/>
      </c>
      <c r="F1488" s="34">
        <f>IF($N1488="","",COUNTIF(ShareLink,$C1488))</f>
        <v/>
      </c>
      <c r="G1488" s="22">
        <f>IF($N1488="","",IF(ROUND($E1488-$D1488,0)=0,"√","▲ "&amp;TEXT($D1488-$E1488,"#,##0")))</f>
        <v/>
      </c>
      <c r="N1488">
        <f>IFERROR(MATCH($C$5&amp;"|"&amp;RIGHT("000000"&amp;1472,6),LdAKeyG,0),"")</f>
        <v/>
      </c>
    </row>
    <row r="1489">
      <c r="A1489" s="10" t="n">
        <v>1473</v>
      </c>
      <c r="B1489" s="14">
        <f>IF($N1489="","",INDEX(LdADate,$N1489))</f>
        <v/>
      </c>
      <c r="C1489" s="14">
        <f>IF($N1489="","",IF(INDEX(LdAId,$N1489)="","—",INDEX(LdAId,$N1489)))</f>
        <v/>
      </c>
      <c r="D1489" s="16">
        <f>IF($N1489="","",IF(INDEX(LdAAmt,$N1489)=0,"",INDEX(LdAAmt,$N1489)))</f>
        <v/>
      </c>
      <c r="E1489" s="16">
        <f>IF($N1489="","",SUMIFS(ShareAmt,ShareLink,$C1489))</f>
        <v/>
      </c>
      <c r="F1489" s="33">
        <f>IF($N1489="","",COUNTIF(ShareLink,$C1489))</f>
        <v/>
      </c>
      <c r="G1489" s="17">
        <f>IF($N1489="","",IF(ROUND($E1489-$D1489,0)=0,"√","▲ "&amp;TEXT($D1489-$E1489,"#,##0")))</f>
        <v/>
      </c>
      <c r="N1489">
        <f>IFERROR(MATCH($C$5&amp;"|"&amp;RIGHT("000000"&amp;1473,6),LdAKeyG,0),"")</f>
        <v/>
      </c>
    </row>
    <row r="1490">
      <c r="A1490" s="19" t="n">
        <v>1474</v>
      </c>
      <c r="B1490" s="20">
        <f>IF($N1490="","",INDEX(LdADate,$N1490))</f>
        <v/>
      </c>
      <c r="C1490" s="20">
        <f>IF($N1490="","",IF(INDEX(LdAId,$N1490)="","—",INDEX(LdAId,$N1490)))</f>
        <v/>
      </c>
      <c r="D1490" s="21">
        <f>IF($N1490="","",IF(INDEX(LdAAmt,$N1490)=0,"",INDEX(LdAAmt,$N1490)))</f>
        <v/>
      </c>
      <c r="E1490" s="21">
        <f>IF($N1490="","",SUMIFS(ShareAmt,ShareLink,$C1490))</f>
        <v/>
      </c>
      <c r="F1490" s="34">
        <f>IF($N1490="","",COUNTIF(ShareLink,$C1490))</f>
        <v/>
      </c>
      <c r="G1490" s="22">
        <f>IF($N1490="","",IF(ROUND($E1490-$D1490,0)=0,"√","▲ "&amp;TEXT($D1490-$E1490,"#,##0")))</f>
        <v/>
      </c>
      <c r="N1490">
        <f>IFERROR(MATCH($C$5&amp;"|"&amp;RIGHT("000000"&amp;1474,6),LdAKeyG,0),"")</f>
        <v/>
      </c>
    </row>
    <row r="1491">
      <c r="A1491" s="10" t="n">
        <v>1475</v>
      </c>
      <c r="B1491" s="14">
        <f>IF($N1491="","",INDEX(LdADate,$N1491))</f>
        <v/>
      </c>
      <c r="C1491" s="14">
        <f>IF($N1491="","",IF(INDEX(LdAId,$N1491)="","—",INDEX(LdAId,$N1491)))</f>
        <v/>
      </c>
      <c r="D1491" s="16">
        <f>IF($N1491="","",IF(INDEX(LdAAmt,$N1491)=0,"",INDEX(LdAAmt,$N1491)))</f>
        <v/>
      </c>
      <c r="E1491" s="16">
        <f>IF($N1491="","",SUMIFS(ShareAmt,ShareLink,$C1491))</f>
        <v/>
      </c>
      <c r="F1491" s="33">
        <f>IF($N1491="","",COUNTIF(ShareLink,$C1491))</f>
        <v/>
      </c>
      <c r="G1491" s="17">
        <f>IF($N1491="","",IF(ROUND($E1491-$D1491,0)=0,"√","▲ "&amp;TEXT($D1491-$E1491,"#,##0")))</f>
        <v/>
      </c>
      <c r="N1491">
        <f>IFERROR(MATCH($C$5&amp;"|"&amp;RIGHT("000000"&amp;1475,6),LdAKeyG,0),"")</f>
        <v/>
      </c>
    </row>
    <row r="1492">
      <c r="A1492" s="19" t="n">
        <v>1476</v>
      </c>
      <c r="B1492" s="20">
        <f>IF($N1492="","",INDEX(LdADate,$N1492))</f>
        <v/>
      </c>
      <c r="C1492" s="20">
        <f>IF($N1492="","",IF(INDEX(LdAId,$N1492)="","—",INDEX(LdAId,$N1492)))</f>
        <v/>
      </c>
      <c r="D1492" s="21">
        <f>IF($N1492="","",IF(INDEX(LdAAmt,$N1492)=0,"",INDEX(LdAAmt,$N1492)))</f>
        <v/>
      </c>
      <c r="E1492" s="21">
        <f>IF($N1492="","",SUMIFS(ShareAmt,ShareLink,$C1492))</f>
        <v/>
      </c>
      <c r="F1492" s="34">
        <f>IF($N1492="","",COUNTIF(ShareLink,$C1492))</f>
        <v/>
      </c>
      <c r="G1492" s="22">
        <f>IF($N1492="","",IF(ROUND($E1492-$D1492,0)=0,"√","▲ "&amp;TEXT($D1492-$E1492,"#,##0")))</f>
        <v/>
      </c>
      <c r="N1492">
        <f>IFERROR(MATCH($C$5&amp;"|"&amp;RIGHT("000000"&amp;1476,6),LdAKeyG,0),"")</f>
        <v/>
      </c>
    </row>
    <row r="1493">
      <c r="A1493" s="10" t="n">
        <v>1477</v>
      </c>
      <c r="B1493" s="14">
        <f>IF($N1493="","",INDEX(LdADate,$N1493))</f>
        <v/>
      </c>
      <c r="C1493" s="14">
        <f>IF($N1493="","",IF(INDEX(LdAId,$N1493)="","—",INDEX(LdAId,$N1493)))</f>
        <v/>
      </c>
      <c r="D1493" s="16">
        <f>IF($N1493="","",IF(INDEX(LdAAmt,$N1493)=0,"",INDEX(LdAAmt,$N1493)))</f>
        <v/>
      </c>
      <c r="E1493" s="16">
        <f>IF($N1493="","",SUMIFS(ShareAmt,ShareLink,$C1493))</f>
        <v/>
      </c>
      <c r="F1493" s="33">
        <f>IF($N1493="","",COUNTIF(ShareLink,$C1493))</f>
        <v/>
      </c>
      <c r="G1493" s="17">
        <f>IF($N1493="","",IF(ROUND($E1493-$D1493,0)=0,"√","▲ "&amp;TEXT($D1493-$E1493,"#,##0")))</f>
        <v/>
      </c>
      <c r="N1493">
        <f>IFERROR(MATCH($C$5&amp;"|"&amp;RIGHT("000000"&amp;1477,6),LdAKeyG,0),"")</f>
        <v/>
      </c>
    </row>
    <row r="1494">
      <c r="A1494" s="19" t="n">
        <v>1478</v>
      </c>
      <c r="B1494" s="20">
        <f>IF($N1494="","",INDEX(LdADate,$N1494))</f>
        <v/>
      </c>
      <c r="C1494" s="20">
        <f>IF($N1494="","",IF(INDEX(LdAId,$N1494)="","—",INDEX(LdAId,$N1494)))</f>
        <v/>
      </c>
      <c r="D1494" s="21">
        <f>IF($N1494="","",IF(INDEX(LdAAmt,$N1494)=0,"",INDEX(LdAAmt,$N1494)))</f>
        <v/>
      </c>
      <c r="E1494" s="21">
        <f>IF($N1494="","",SUMIFS(ShareAmt,ShareLink,$C1494))</f>
        <v/>
      </c>
      <c r="F1494" s="34">
        <f>IF($N1494="","",COUNTIF(ShareLink,$C1494))</f>
        <v/>
      </c>
      <c r="G1494" s="22">
        <f>IF($N1494="","",IF(ROUND($E1494-$D1494,0)=0,"√","▲ "&amp;TEXT($D1494-$E1494,"#,##0")))</f>
        <v/>
      </c>
      <c r="N1494">
        <f>IFERROR(MATCH($C$5&amp;"|"&amp;RIGHT("000000"&amp;1478,6),LdAKeyG,0),"")</f>
        <v/>
      </c>
    </row>
    <row r="1495">
      <c r="A1495" s="10" t="n">
        <v>1479</v>
      </c>
      <c r="B1495" s="14">
        <f>IF($N1495="","",INDEX(LdADate,$N1495))</f>
        <v/>
      </c>
      <c r="C1495" s="14">
        <f>IF($N1495="","",IF(INDEX(LdAId,$N1495)="","—",INDEX(LdAId,$N1495)))</f>
        <v/>
      </c>
      <c r="D1495" s="16">
        <f>IF($N1495="","",IF(INDEX(LdAAmt,$N1495)=0,"",INDEX(LdAAmt,$N1495)))</f>
        <v/>
      </c>
      <c r="E1495" s="16">
        <f>IF($N1495="","",SUMIFS(ShareAmt,ShareLink,$C1495))</f>
        <v/>
      </c>
      <c r="F1495" s="33">
        <f>IF($N1495="","",COUNTIF(ShareLink,$C1495))</f>
        <v/>
      </c>
      <c r="G1495" s="17">
        <f>IF($N1495="","",IF(ROUND($E1495-$D1495,0)=0,"√","▲ "&amp;TEXT($D1495-$E1495,"#,##0")))</f>
        <v/>
      </c>
      <c r="N1495">
        <f>IFERROR(MATCH($C$5&amp;"|"&amp;RIGHT("000000"&amp;1479,6),LdAKeyG,0),"")</f>
        <v/>
      </c>
    </row>
    <row r="1496">
      <c r="A1496" s="19" t="n">
        <v>1480</v>
      </c>
      <c r="B1496" s="20">
        <f>IF($N1496="","",INDEX(LdADate,$N1496))</f>
        <v/>
      </c>
      <c r="C1496" s="20">
        <f>IF($N1496="","",IF(INDEX(LdAId,$N1496)="","—",INDEX(LdAId,$N1496)))</f>
        <v/>
      </c>
      <c r="D1496" s="21">
        <f>IF($N1496="","",IF(INDEX(LdAAmt,$N1496)=0,"",INDEX(LdAAmt,$N1496)))</f>
        <v/>
      </c>
      <c r="E1496" s="21">
        <f>IF($N1496="","",SUMIFS(ShareAmt,ShareLink,$C1496))</f>
        <v/>
      </c>
      <c r="F1496" s="34">
        <f>IF($N1496="","",COUNTIF(ShareLink,$C1496))</f>
        <v/>
      </c>
      <c r="G1496" s="22">
        <f>IF($N1496="","",IF(ROUND($E1496-$D1496,0)=0,"√","▲ "&amp;TEXT($D1496-$E1496,"#,##0")))</f>
        <v/>
      </c>
      <c r="N1496">
        <f>IFERROR(MATCH($C$5&amp;"|"&amp;RIGHT("000000"&amp;1480,6),LdAKeyG,0),"")</f>
        <v/>
      </c>
    </row>
    <row r="1497">
      <c r="A1497" s="10" t="n">
        <v>1481</v>
      </c>
      <c r="B1497" s="14">
        <f>IF($N1497="","",INDEX(LdADate,$N1497))</f>
        <v/>
      </c>
      <c r="C1497" s="14">
        <f>IF($N1497="","",IF(INDEX(LdAId,$N1497)="","—",INDEX(LdAId,$N1497)))</f>
        <v/>
      </c>
      <c r="D1497" s="16">
        <f>IF($N1497="","",IF(INDEX(LdAAmt,$N1497)=0,"",INDEX(LdAAmt,$N1497)))</f>
        <v/>
      </c>
      <c r="E1497" s="16">
        <f>IF($N1497="","",SUMIFS(ShareAmt,ShareLink,$C1497))</f>
        <v/>
      </c>
      <c r="F1497" s="33">
        <f>IF($N1497="","",COUNTIF(ShareLink,$C1497))</f>
        <v/>
      </c>
      <c r="G1497" s="17">
        <f>IF($N1497="","",IF(ROUND($E1497-$D1497,0)=0,"√","▲ "&amp;TEXT($D1497-$E1497,"#,##0")))</f>
        <v/>
      </c>
      <c r="N1497">
        <f>IFERROR(MATCH($C$5&amp;"|"&amp;RIGHT("000000"&amp;1481,6),LdAKeyG,0),"")</f>
        <v/>
      </c>
    </row>
    <row r="1498">
      <c r="A1498" s="19" t="n">
        <v>1482</v>
      </c>
      <c r="B1498" s="20">
        <f>IF($N1498="","",INDEX(LdADate,$N1498))</f>
        <v/>
      </c>
      <c r="C1498" s="20">
        <f>IF($N1498="","",IF(INDEX(LdAId,$N1498)="","—",INDEX(LdAId,$N1498)))</f>
        <v/>
      </c>
      <c r="D1498" s="21">
        <f>IF($N1498="","",IF(INDEX(LdAAmt,$N1498)=0,"",INDEX(LdAAmt,$N1498)))</f>
        <v/>
      </c>
      <c r="E1498" s="21">
        <f>IF($N1498="","",SUMIFS(ShareAmt,ShareLink,$C1498))</f>
        <v/>
      </c>
      <c r="F1498" s="34">
        <f>IF($N1498="","",COUNTIF(ShareLink,$C1498))</f>
        <v/>
      </c>
      <c r="G1498" s="22">
        <f>IF($N1498="","",IF(ROUND($E1498-$D1498,0)=0,"√","▲ "&amp;TEXT($D1498-$E1498,"#,##0")))</f>
        <v/>
      </c>
      <c r="N1498">
        <f>IFERROR(MATCH($C$5&amp;"|"&amp;RIGHT("000000"&amp;1482,6),LdAKeyG,0),"")</f>
        <v/>
      </c>
    </row>
    <row r="1499">
      <c r="A1499" s="10" t="n">
        <v>1483</v>
      </c>
      <c r="B1499" s="14">
        <f>IF($N1499="","",INDEX(LdADate,$N1499))</f>
        <v/>
      </c>
      <c r="C1499" s="14">
        <f>IF($N1499="","",IF(INDEX(LdAId,$N1499)="","—",INDEX(LdAId,$N1499)))</f>
        <v/>
      </c>
      <c r="D1499" s="16">
        <f>IF($N1499="","",IF(INDEX(LdAAmt,$N1499)=0,"",INDEX(LdAAmt,$N1499)))</f>
        <v/>
      </c>
      <c r="E1499" s="16">
        <f>IF($N1499="","",SUMIFS(ShareAmt,ShareLink,$C1499))</f>
        <v/>
      </c>
      <c r="F1499" s="33">
        <f>IF($N1499="","",COUNTIF(ShareLink,$C1499))</f>
        <v/>
      </c>
      <c r="G1499" s="17">
        <f>IF($N1499="","",IF(ROUND($E1499-$D1499,0)=0,"√","▲ "&amp;TEXT($D1499-$E1499,"#,##0")))</f>
        <v/>
      </c>
      <c r="N1499">
        <f>IFERROR(MATCH($C$5&amp;"|"&amp;RIGHT("000000"&amp;1483,6),LdAKeyG,0),"")</f>
        <v/>
      </c>
    </row>
    <row r="1500">
      <c r="A1500" s="19" t="n">
        <v>1484</v>
      </c>
      <c r="B1500" s="20">
        <f>IF($N1500="","",INDEX(LdADate,$N1500))</f>
        <v/>
      </c>
      <c r="C1500" s="20">
        <f>IF($N1500="","",IF(INDEX(LdAId,$N1500)="","—",INDEX(LdAId,$N1500)))</f>
        <v/>
      </c>
      <c r="D1500" s="21">
        <f>IF($N1500="","",IF(INDEX(LdAAmt,$N1500)=0,"",INDEX(LdAAmt,$N1500)))</f>
        <v/>
      </c>
      <c r="E1500" s="21">
        <f>IF($N1500="","",SUMIFS(ShareAmt,ShareLink,$C1500))</f>
        <v/>
      </c>
      <c r="F1500" s="34">
        <f>IF($N1500="","",COUNTIF(ShareLink,$C1500))</f>
        <v/>
      </c>
      <c r="G1500" s="22">
        <f>IF($N1500="","",IF(ROUND($E1500-$D1500,0)=0,"√","▲ "&amp;TEXT($D1500-$E1500,"#,##0")))</f>
        <v/>
      </c>
      <c r="N1500">
        <f>IFERROR(MATCH($C$5&amp;"|"&amp;RIGHT("000000"&amp;1484,6),LdAKeyG,0),"")</f>
        <v/>
      </c>
    </row>
    <row r="1501">
      <c r="A1501" s="10" t="n">
        <v>1485</v>
      </c>
      <c r="B1501" s="14">
        <f>IF($N1501="","",INDEX(LdADate,$N1501))</f>
        <v/>
      </c>
      <c r="C1501" s="14">
        <f>IF($N1501="","",IF(INDEX(LdAId,$N1501)="","—",INDEX(LdAId,$N1501)))</f>
        <v/>
      </c>
      <c r="D1501" s="16">
        <f>IF($N1501="","",IF(INDEX(LdAAmt,$N1501)=0,"",INDEX(LdAAmt,$N1501)))</f>
        <v/>
      </c>
      <c r="E1501" s="16">
        <f>IF($N1501="","",SUMIFS(ShareAmt,ShareLink,$C1501))</f>
        <v/>
      </c>
      <c r="F1501" s="33">
        <f>IF($N1501="","",COUNTIF(ShareLink,$C1501))</f>
        <v/>
      </c>
      <c r="G1501" s="17">
        <f>IF($N1501="","",IF(ROUND($E1501-$D1501,0)=0,"√","▲ "&amp;TEXT($D1501-$E1501,"#,##0")))</f>
        <v/>
      </c>
      <c r="N1501">
        <f>IFERROR(MATCH($C$5&amp;"|"&amp;RIGHT("000000"&amp;1485,6),LdAKeyG,0),"")</f>
        <v/>
      </c>
    </row>
    <row r="1502">
      <c r="A1502" s="19" t="n">
        <v>1486</v>
      </c>
      <c r="B1502" s="20">
        <f>IF($N1502="","",INDEX(LdADate,$N1502))</f>
        <v/>
      </c>
      <c r="C1502" s="20">
        <f>IF($N1502="","",IF(INDEX(LdAId,$N1502)="","—",INDEX(LdAId,$N1502)))</f>
        <v/>
      </c>
      <c r="D1502" s="21">
        <f>IF($N1502="","",IF(INDEX(LdAAmt,$N1502)=0,"",INDEX(LdAAmt,$N1502)))</f>
        <v/>
      </c>
      <c r="E1502" s="21">
        <f>IF($N1502="","",SUMIFS(ShareAmt,ShareLink,$C1502))</f>
        <v/>
      </c>
      <c r="F1502" s="34">
        <f>IF($N1502="","",COUNTIF(ShareLink,$C1502))</f>
        <v/>
      </c>
      <c r="G1502" s="22">
        <f>IF($N1502="","",IF(ROUND($E1502-$D1502,0)=0,"√","▲ "&amp;TEXT($D1502-$E1502,"#,##0")))</f>
        <v/>
      </c>
      <c r="N1502">
        <f>IFERROR(MATCH($C$5&amp;"|"&amp;RIGHT("000000"&amp;1486,6),LdAKeyG,0),"")</f>
        <v/>
      </c>
    </row>
    <row r="1503">
      <c r="A1503" s="10" t="n">
        <v>1487</v>
      </c>
      <c r="B1503" s="14">
        <f>IF($N1503="","",INDEX(LdADate,$N1503))</f>
        <v/>
      </c>
      <c r="C1503" s="14">
        <f>IF($N1503="","",IF(INDEX(LdAId,$N1503)="","—",INDEX(LdAId,$N1503)))</f>
        <v/>
      </c>
      <c r="D1503" s="16">
        <f>IF($N1503="","",IF(INDEX(LdAAmt,$N1503)=0,"",INDEX(LdAAmt,$N1503)))</f>
        <v/>
      </c>
      <c r="E1503" s="16">
        <f>IF($N1503="","",SUMIFS(ShareAmt,ShareLink,$C1503))</f>
        <v/>
      </c>
      <c r="F1503" s="33">
        <f>IF($N1503="","",COUNTIF(ShareLink,$C1503))</f>
        <v/>
      </c>
      <c r="G1503" s="17">
        <f>IF($N1503="","",IF(ROUND($E1503-$D1503,0)=0,"√","▲ "&amp;TEXT($D1503-$E1503,"#,##0")))</f>
        <v/>
      </c>
      <c r="N1503">
        <f>IFERROR(MATCH($C$5&amp;"|"&amp;RIGHT("000000"&amp;1487,6),LdAKeyG,0),"")</f>
        <v/>
      </c>
    </row>
    <row r="1504">
      <c r="A1504" s="19" t="n">
        <v>1488</v>
      </c>
      <c r="B1504" s="20">
        <f>IF($N1504="","",INDEX(LdADate,$N1504))</f>
        <v/>
      </c>
      <c r="C1504" s="20">
        <f>IF($N1504="","",IF(INDEX(LdAId,$N1504)="","—",INDEX(LdAId,$N1504)))</f>
        <v/>
      </c>
      <c r="D1504" s="21">
        <f>IF($N1504="","",IF(INDEX(LdAAmt,$N1504)=0,"",INDEX(LdAAmt,$N1504)))</f>
        <v/>
      </c>
      <c r="E1504" s="21">
        <f>IF($N1504="","",SUMIFS(ShareAmt,ShareLink,$C1504))</f>
        <v/>
      </c>
      <c r="F1504" s="34">
        <f>IF($N1504="","",COUNTIF(ShareLink,$C1504))</f>
        <v/>
      </c>
      <c r="G1504" s="22">
        <f>IF($N1504="","",IF(ROUND($E1504-$D1504,0)=0,"√","▲ "&amp;TEXT($D1504-$E1504,"#,##0")))</f>
        <v/>
      </c>
      <c r="N1504">
        <f>IFERROR(MATCH($C$5&amp;"|"&amp;RIGHT("000000"&amp;1488,6),LdAKeyG,0),"")</f>
        <v/>
      </c>
    </row>
    <row r="1505">
      <c r="A1505" s="10" t="n">
        <v>1489</v>
      </c>
      <c r="B1505" s="14">
        <f>IF($N1505="","",INDEX(LdADate,$N1505))</f>
        <v/>
      </c>
      <c r="C1505" s="14">
        <f>IF($N1505="","",IF(INDEX(LdAId,$N1505)="","—",INDEX(LdAId,$N1505)))</f>
        <v/>
      </c>
      <c r="D1505" s="16">
        <f>IF($N1505="","",IF(INDEX(LdAAmt,$N1505)=0,"",INDEX(LdAAmt,$N1505)))</f>
        <v/>
      </c>
      <c r="E1505" s="16">
        <f>IF($N1505="","",SUMIFS(ShareAmt,ShareLink,$C1505))</f>
        <v/>
      </c>
      <c r="F1505" s="33">
        <f>IF($N1505="","",COUNTIF(ShareLink,$C1505))</f>
        <v/>
      </c>
      <c r="G1505" s="17">
        <f>IF($N1505="","",IF(ROUND($E1505-$D1505,0)=0,"√","▲ "&amp;TEXT($D1505-$E1505,"#,##0")))</f>
        <v/>
      </c>
      <c r="N1505">
        <f>IFERROR(MATCH($C$5&amp;"|"&amp;RIGHT("000000"&amp;1489,6),LdAKeyG,0),"")</f>
        <v/>
      </c>
    </row>
    <row r="1506">
      <c r="A1506" s="19" t="n">
        <v>1490</v>
      </c>
      <c r="B1506" s="20">
        <f>IF($N1506="","",INDEX(LdADate,$N1506))</f>
        <v/>
      </c>
      <c r="C1506" s="20">
        <f>IF($N1506="","",IF(INDEX(LdAId,$N1506)="","—",INDEX(LdAId,$N1506)))</f>
        <v/>
      </c>
      <c r="D1506" s="21">
        <f>IF($N1506="","",IF(INDEX(LdAAmt,$N1506)=0,"",INDEX(LdAAmt,$N1506)))</f>
        <v/>
      </c>
      <c r="E1506" s="21">
        <f>IF($N1506="","",SUMIFS(ShareAmt,ShareLink,$C1506))</f>
        <v/>
      </c>
      <c r="F1506" s="34">
        <f>IF($N1506="","",COUNTIF(ShareLink,$C1506))</f>
        <v/>
      </c>
      <c r="G1506" s="22">
        <f>IF($N1506="","",IF(ROUND($E1506-$D1506,0)=0,"√","▲ "&amp;TEXT($D1506-$E1506,"#,##0")))</f>
        <v/>
      </c>
      <c r="N1506">
        <f>IFERROR(MATCH($C$5&amp;"|"&amp;RIGHT("000000"&amp;1490,6),LdAKeyG,0),"")</f>
        <v/>
      </c>
    </row>
    <row r="1507">
      <c r="A1507" s="10" t="n">
        <v>1491</v>
      </c>
      <c r="B1507" s="14">
        <f>IF($N1507="","",INDEX(LdADate,$N1507))</f>
        <v/>
      </c>
      <c r="C1507" s="14">
        <f>IF($N1507="","",IF(INDEX(LdAId,$N1507)="","—",INDEX(LdAId,$N1507)))</f>
        <v/>
      </c>
      <c r="D1507" s="16">
        <f>IF($N1507="","",IF(INDEX(LdAAmt,$N1507)=0,"",INDEX(LdAAmt,$N1507)))</f>
        <v/>
      </c>
      <c r="E1507" s="16">
        <f>IF($N1507="","",SUMIFS(ShareAmt,ShareLink,$C1507))</f>
        <v/>
      </c>
      <c r="F1507" s="33">
        <f>IF($N1507="","",COUNTIF(ShareLink,$C1507))</f>
        <v/>
      </c>
      <c r="G1507" s="17">
        <f>IF($N1507="","",IF(ROUND($E1507-$D1507,0)=0,"√","▲ "&amp;TEXT($D1507-$E1507,"#,##0")))</f>
        <v/>
      </c>
      <c r="N1507">
        <f>IFERROR(MATCH($C$5&amp;"|"&amp;RIGHT("000000"&amp;1491,6),LdAKeyG,0),"")</f>
        <v/>
      </c>
    </row>
    <row r="1508">
      <c r="A1508" s="19" t="n">
        <v>1492</v>
      </c>
      <c r="B1508" s="20">
        <f>IF($N1508="","",INDEX(LdADate,$N1508))</f>
        <v/>
      </c>
      <c r="C1508" s="20">
        <f>IF($N1508="","",IF(INDEX(LdAId,$N1508)="","—",INDEX(LdAId,$N1508)))</f>
        <v/>
      </c>
      <c r="D1508" s="21">
        <f>IF($N1508="","",IF(INDEX(LdAAmt,$N1508)=0,"",INDEX(LdAAmt,$N1508)))</f>
        <v/>
      </c>
      <c r="E1508" s="21">
        <f>IF($N1508="","",SUMIFS(ShareAmt,ShareLink,$C1508))</f>
        <v/>
      </c>
      <c r="F1508" s="34">
        <f>IF($N1508="","",COUNTIF(ShareLink,$C1508))</f>
        <v/>
      </c>
      <c r="G1508" s="22">
        <f>IF($N1508="","",IF(ROUND($E1508-$D1508,0)=0,"√","▲ "&amp;TEXT($D1508-$E1508,"#,##0")))</f>
        <v/>
      </c>
      <c r="N1508">
        <f>IFERROR(MATCH($C$5&amp;"|"&amp;RIGHT("000000"&amp;1492,6),LdAKeyG,0),"")</f>
        <v/>
      </c>
    </row>
    <row r="1509">
      <c r="A1509" s="10" t="n">
        <v>1493</v>
      </c>
      <c r="B1509" s="14">
        <f>IF($N1509="","",INDEX(LdADate,$N1509))</f>
        <v/>
      </c>
      <c r="C1509" s="14">
        <f>IF($N1509="","",IF(INDEX(LdAId,$N1509)="","—",INDEX(LdAId,$N1509)))</f>
        <v/>
      </c>
      <c r="D1509" s="16">
        <f>IF($N1509="","",IF(INDEX(LdAAmt,$N1509)=0,"",INDEX(LdAAmt,$N1509)))</f>
        <v/>
      </c>
      <c r="E1509" s="16">
        <f>IF($N1509="","",SUMIFS(ShareAmt,ShareLink,$C1509))</f>
        <v/>
      </c>
      <c r="F1509" s="33">
        <f>IF($N1509="","",COUNTIF(ShareLink,$C1509))</f>
        <v/>
      </c>
      <c r="G1509" s="17">
        <f>IF($N1509="","",IF(ROUND($E1509-$D1509,0)=0,"√","▲ "&amp;TEXT($D1509-$E1509,"#,##0")))</f>
        <v/>
      </c>
      <c r="N1509">
        <f>IFERROR(MATCH($C$5&amp;"|"&amp;RIGHT("000000"&amp;1493,6),LdAKeyG,0),"")</f>
        <v/>
      </c>
    </row>
    <row r="1510">
      <c r="A1510" s="19" t="n">
        <v>1494</v>
      </c>
      <c r="B1510" s="20">
        <f>IF($N1510="","",INDEX(LdADate,$N1510))</f>
        <v/>
      </c>
      <c r="C1510" s="20">
        <f>IF($N1510="","",IF(INDEX(LdAId,$N1510)="","—",INDEX(LdAId,$N1510)))</f>
        <v/>
      </c>
      <c r="D1510" s="21">
        <f>IF($N1510="","",IF(INDEX(LdAAmt,$N1510)=0,"",INDEX(LdAAmt,$N1510)))</f>
        <v/>
      </c>
      <c r="E1510" s="21">
        <f>IF($N1510="","",SUMIFS(ShareAmt,ShareLink,$C1510))</f>
        <v/>
      </c>
      <c r="F1510" s="34">
        <f>IF($N1510="","",COUNTIF(ShareLink,$C1510))</f>
        <v/>
      </c>
      <c r="G1510" s="22">
        <f>IF($N1510="","",IF(ROUND($E1510-$D1510,0)=0,"√","▲ "&amp;TEXT($D1510-$E1510,"#,##0")))</f>
        <v/>
      </c>
      <c r="N1510">
        <f>IFERROR(MATCH($C$5&amp;"|"&amp;RIGHT("000000"&amp;1494,6),LdAKeyG,0),"")</f>
        <v/>
      </c>
    </row>
    <row r="1511">
      <c r="A1511" s="10" t="n">
        <v>1495</v>
      </c>
      <c r="B1511" s="14">
        <f>IF($N1511="","",INDEX(LdADate,$N1511))</f>
        <v/>
      </c>
      <c r="C1511" s="14">
        <f>IF($N1511="","",IF(INDEX(LdAId,$N1511)="","—",INDEX(LdAId,$N1511)))</f>
        <v/>
      </c>
      <c r="D1511" s="16">
        <f>IF($N1511="","",IF(INDEX(LdAAmt,$N1511)=0,"",INDEX(LdAAmt,$N1511)))</f>
        <v/>
      </c>
      <c r="E1511" s="16">
        <f>IF($N1511="","",SUMIFS(ShareAmt,ShareLink,$C1511))</f>
        <v/>
      </c>
      <c r="F1511" s="33">
        <f>IF($N1511="","",COUNTIF(ShareLink,$C1511))</f>
        <v/>
      </c>
      <c r="G1511" s="17">
        <f>IF($N1511="","",IF(ROUND($E1511-$D1511,0)=0,"√","▲ "&amp;TEXT($D1511-$E1511,"#,##0")))</f>
        <v/>
      </c>
      <c r="N1511">
        <f>IFERROR(MATCH($C$5&amp;"|"&amp;RIGHT("000000"&amp;1495,6),LdAKeyG,0),"")</f>
        <v/>
      </c>
    </row>
    <row r="1512">
      <c r="A1512" s="19" t="n">
        <v>1496</v>
      </c>
      <c r="B1512" s="20">
        <f>IF($N1512="","",INDEX(LdADate,$N1512))</f>
        <v/>
      </c>
      <c r="C1512" s="20">
        <f>IF($N1512="","",IF(INDEX(LdAId,$N1512)="","—",INDEX(LdAId,$N1512)))</f>
        <v/>
      </c>
      <c r="D1512" s="21">
        <f>IF($N1512="","",IF(INDEX(LdAAmt,$N1512)=0,"",INDEX(LdAAmt,$N1512)))</f>
        <v/>
      </c>
      <c r="E1512" s="21">
        <f>IF($N1512="","",SUMIFS(ShareAmt,ShareLink,$C1512))</f>
        <v/>
      </c>
      <c r="F1512" s="34">
        <f>IF($N1512="","",COUNTIF(ShareLink,$C1512))</f>
        <v/>
      </c>
      <c r="G1512" s="22">
        <f>IF($N1512="","",IF(ROUND($E1512-$D1512,0)=0,"√","▲ "&amp;TEXT($D1512-$E1512,"#,##0")))</f>
        <v/>
      </c>
      <c r="N1512">
        <f>IFERROR(MATCH($C$5&amp;"|"&amp;RIGHT("000000"&amp;1496,6),LdAKeyG,0),"")</f>
        <v/>
      </c>
    </row>
    <row r="1513">
      <c r="A1513" s="10" t="n">
        <v>1497</v>
      </c>
      <c r="B1513" s="14">
        <f>IF($N1513="","",INDEX(LdADate,$N1513))</f>
        <v/>
      </c>
      <c r="C1513" s="14">
        <f>IF($N1513="","",IF(INDEX(LdAId,$N1513)="","—",INDEX(LdAId,$N1513)))</f>
        <v/>
      </c>
      <c r="D1513" s="16">
        <f>IF($N1513="","",IF(INDEX(LdAAmt,$N1513)=0,"",INDEX(LdAAmt,$N1513)))</f>
        <v/>
      </c>
      <c r="E1513" s="16">
        <f>IF($N1513="","",SUMIFS(ShareAmt,ShareLink,$C1513))</f>
        <v/>
      </c>
      <c r="F1513" s="33">
        <f>IF($N1513="","",COUNTIF(ShareLink,$C1513))</f>
        <v/>
      </c>
      <c r="G1513" s="17">
        <f>IF($N1513="","",IF(ROUND($E1513-$D1513,0)=0,"√","▲ "&amp;TEXT($D1513-$E1513,"#,##0")))</f>
        <v/>
      </c>
      <c r="N1513">
        <f>IFERROR(MATCH($C$5&amp;"|"&amp;RIGHT("000000"&amp;1497,6),LdAKeyG,0),"")</f>
        <v/>
      </c>
    </row>
    <row r="1514">
      <c r="A1514" s="19" t="n">
        <v>1498</v>
      </c>
      <c r="B1514" s="20">
        <f>IF($N1514="","",INDEX(LdADate,$N1514))</f>
        <v/>
      </c>
      <c r="C1514" s="20">
        <f>IF($N1514="","",IF(INDEX(LdAId,$N1514)="","—",INDEX(LdAId,$N1514)))</f>
        <v/>
      </c>
      <c r="D1514" s="21">
        <f>IF($N1514="","",IF(INDEX(LdAAmt,$N1514)=0,"",INDEX(LdAAmt,$N1514)))</f>
        <v/>
      </c>
      <c r="E1514" s="21">
        <f>IF($N1514="","",SUMIFS(ShareAmt,ShareLink,$C1514))</f>
        <v/>
      </c>
      <c r="F1514" s="34">
        <f>IF($N1514="","",COUNTIF(ShareLink,$C1514))</f>
        <v/>
      </c>
      <c r="G1514" s="22">
        <f>IF($N1514="","",IF(ROUND($E1514-$D1514,0)=0,"√","▲ "&amp;TEXT($D1514-$E1514,"#,##0")))</f>
        <v/>
      </c>
      <c r="N1514">
        <f>IFERROR(MATCH($C$5&amp;"|"&amp;RIGHT("000000"&amp;1498,6),LdAKeyG,0),"")</f>
        <v/>
      </c>
    </row>
    <row r="1515">
      <c r="A1515" s="10" t="n">
        <v>1499</v>
      </c>
      <c r="B1515" s="14">
        <f>IF($N1515="","",INDEX(LdADate,$N1515))</f>
        <v/>
      </c>
      <c r="C1515" s="14">
        <f>IF($N1515="","",IF(INDEX(LdAId,$N1515)="","—",INDEX(LdAId,$N1515)))</f>
        <v/>
      </c>
      <c r="D1515" s="16">
        <f>IF($N1515="","",IF(INDEX(LdAAmt,$N1515)=0,"",INDEX(LdAAmt,$N1515)))</f>
        <v/>
      </c>
      <c r="E1515" s="16">
        <f>IF($N1515="","",SUMIFS(ShareAmt,ShareLink,$C1515))</f>
        <v/>
      </c>
      <c r="F1515" s="33">
        <f>IF($N1515="","",COUNTIF(ShareLink,$C1515))</f>
        <v/>
      </c>
      <c r="G1515" s="17">
        <f>IF($N1515="","",IF(ROUND($E1515-$D1515,0)=0,"√","▲ "&amp;TEXT($D1515-$E1515,"#,##0")))</f>
        <v/>
      </c>
      <c r="N1515">
        <f>IFERROR(MATCH($C$5&amp;"|"&amp;RIGHT("000000"&amp;1499,6),LdAKeyG,0),"")</f>
        <v/>
      </c>
    </row>
    <row r="1516">
      <c r="A1516" s="19" t="n">
        <v>1500</v>
      </c>
      <c r="B1516" s="20">
        <f>IF($N1516="","",INDEX(LdADate,$N1516))</f>
        <v/>
      </c>
      <c r="C1516" s="20">
        <f>IF($N1516="","",IF(INDEX(LdAId,$N1516)="","—",INDEX(LdAId,$N1516)))</f>
        <v/>
      </c>
      <c r="D1516" s="21">
        <f>IF($N1516="","",IF(INDEX(LdAAmt,$N1516)=0,"",INDEX(LdAAmt,$N1516)))</f>
        <v/>
      </c>
      <c r="E1516" s="21">
        <f>IF($N1516="","",SUMIFS(ShareAmt,ShareLink,$C1516))</f>
        <v/>
      </c>
      <c r="F1516" s="34">
        <f>IF($N1516="","",COUNTIF(ShareLink,$C1516))</f>
        <v/>
      </c>
      <c r="G1516" s="22">
        <f>IF($N1516="","",IF(ROUND($E1516-$D1516,0)=0,"√","▲ "&amp;TEXT($D1516-$E1516,"#,##0")))</f>
        <v/>
      </c>
      <c r="N1516">
        <f>IFERROR(MATCH($C$5&amp;"|"&amp;RIGHT("000000"&amp;1500,6),LdAKeyG,0),"")</f>
        <v/>
      </c>
    </row>
    <row r="1517">
      <c r="A1517" s="10" t="n">
        <v>1501</v>
      </c>
      <c r="B1517" s="14">
        <f>IF($N1517="","",INDEX(LdADate,$N1517))</f>
        <v/>
      </c>
      <c r="C1517" s="14">
        <f>IF($N1517="","",IF(INDEX(LdAId,$N1517)="","—",INDEX(LdAId,$N1517)))</f>
        <v/>
      </c>
      <c r="D1517" s="16">
        <f>IF($N1517="","",IF(INDEX(LdAAmt,$N1517)=0,"",INDEX(LdAAmt,$N1517)))</f>
        <v/>
      </c>
      <c r="E1517" s="16">
        <f>IF($N1517="","",SUMIFS(ShareAmt,ShareLink,$C1517))</f>
        <v/>
      </c>
      <c r="F1517" s="33">
        <f>IF($N1517="","",COUNTIF(ShareLink,$C1517))</f>
        <v/>
      </c>
      <c r="G1517" s="17">
        <f>IF($N1517="","",IF(ROUND($E1517-$D1517,0)=0,"√","▲ "&amp;TEXT($D1517-$E1517,"#,##0")))</f>
        <v/>
      </c>
      <c r="N1517">
        <f>IFERROR(MATCH($C$5&amp;"|"&amp;RIGHT("000000"&amp;1501,6),LdAKeyG,0),"")</f>
        <v/>
      </c>
    </row>
    <row r="1518">
      <c r="A1518" s="19" t="n">
        <v>1502</v>
      </c>
      <c r="B1518" s="20">
        <f>IF($N1518="","",INDEX(LdADate,$N1518))</f>
        <v/>
      </c>
      <c r="C1518" s="20">
        <f>IF($N1518="","",IF(INDEX(LdAId,$N1518)="","—",INDEX(LdAId,$N1518)))</f>
        <v/>
      </c>
      <c r="D1518" s="21">
        <f>IF($N1518="","",IF(INDEX(LdAAmt,$N1518)=0,"",INDEX(LdAAmt,$N1518)))</f>
        <v/>
      </c>
      <c r="E1518" s="21">
        <f>IF($N1518="","",SUMIFS(ShareAmt,ShareLink,$C1518))</f>
        <v/>
      </c>
      <c r="F1518" s="34">
        <f>IF($N1518="","",COUNTIF(ShareLink,$C1518))</f>
        <v/>
      </c>
      <c r="G1518" s="22">
        <f>IF($N1518="","",IF(ROUND($E1518-$D1518,0)=0,"√","▲ "&amp;TEXT($D1518-$E1518,"#,##0")))</f>
        <v/>
      </c>
      <c r="N1518">
        <f>IFERROR(MATCH($C$5&amp;"|"&amp;RIGHT("000000"&amp;1502,6),LdAKeyG,0),"")</f>
        <v/>
      </c>
    </row>
    <row r="1519">
      <c r="A1519" s="10" t="n">
        <v>1503</v>
      </c>
      <c r="B1519" s="14">
        <f>IF($N1519="","",INDEX(LdADate,$N1519))</f>
        <v/>
      </c>
      <c r="C1519" s="14">
        <f>IF($N1519="","",IF(INDEX(LdAId,$N1519)="","—",INDEX(LdAId,$N1519)))</f>
        <v/>
      </c>
      <c r="D1519" s="16">
        <f>IF($N1519="","",IF(INDEX(LdAAmt,$N1519)=0,"",INDEX(LdAAmt,$N1519)))</f>
        <v/>
      </c>
      <c r="E1519" s="16">
        <f>IF($N1519="","",SUMIFS(ShareAmt,ShareLink,$C1519))</f>
        <v/>
      </c>
      <c r="F1519" s="33">
        <f>IF($N1519="","",COUNTIF(ShareLink,$C1519))</f>
        <v/>
      </c>
      <c r="G1519" s="17">
        <f>IF($N1519="","",IF(ROUND($E1519-$D1519,0)=0,"√","▲ "&amp;TEXT($D1519-$E1519,"#,##0")))</f>
        <v/>
      </c>
      <c r="N1519">
        <f>IFERROR(MATCH($C$5&amp;"|"&amp;RIGHT("000000"&amp;1503,6),LdAKeyG,0),"")</f>
        <v/>
      </c>
    </row>
    <row r="1520">
      <c r="A1520" s="19" t="n">
        <v>1504</v>
      </c>
      <c r="B1520" s="20">
        <f>IF($N1520="","",INDEX(LdADate,$N1520))</f>
        <v/>
      </c>
      <c r="C1520" s="20">
        <f>IF($N1520="","",IF(INDEX(LdAId,$N1520)="","—",INDEX(LdAId,$N1520)))</f>
        <v/>
      </c>
      <c r="D1520" s="21">
        <f>IF($N1520="","",IF(INDEX(LdAAmt,$N1520)=0,"",INDEX(LdAAmt,$N1520)))</f>
        <v/>
      </c>
      <c r="E1520" s="21">
        <f>IF($N1520="","",SUMIFS(ShareAmt,ShareLink,$C1520))</f>
        <v/>
      </c>
      <c r="F1520" s="34">
        <f>IF($N1520="","",COUNTIF(ShareLink,$C1520))</f>
        <v/>
      </c>
      <c r="G1520" s="22">
        <f>IF($N1520="","",IF(ROUND($E1520-$D1520,0)=0,"√","▲ "&amp;TEXT($D1520-$E1520,"#,##0")))</f>
        <v/>
      </c>
      <c r="N1520">
        <f>IFERROR(MATCH($C$5&amp;"|"&amp;RIGHT("000000"&amp;1504,6),LdAKeyG,0),"")</f>
        <v/>
      </c>
    </row>
    <row r="1521">
      <c r="A1521" s="10" t="n">
        <v>1505</v>
      </c>
      <c r="B1521" s="14">
        <f>IF($N1521="","",INDEX(LdADate,$N1521))</f>
        <v/>
      </c>
      <c r="C1521" s="14">
        <f>IF($N1521="","",IF(INDEX(LdAId,$N1521)="","—",INDEX(LdAId,$N1521)))</f>
        <v/>
      </c>
      <c r="D1521" s="16">
        <f>IF($N1521="","",IF(INDEX(LdAAmt,$N1521)=0,"",INDEX(LdAAmt,$N1521)))</f>
        <v/>
      </c>
      <c r="E1521" s="16">
        <f>IF($N1521="","",SUMIFS(ShareAmt,ShareLink,$C1521))</f>
        <v/>
      </c>
      <c r="F1521" s="33">
        <f>IF($N1521="","",COUNTIF(ShareLink,$C1521))</f>
        <v/>
      </c>
      <c r="G1521" s="17">
        <f>IF($N1521="","",IF(ROUND($E1521-$D1521,0)=0,"√","▲ "&amp;TEXT($D1521-$E1521,"#,##0")))</f>
        <v/>
      </c>
      <c r="N1521">
        <f>IFERROR(MATCH($C$5&amp;"|"&amp;RIGHT("000000"&amp;1505,6),LdAKeyG,0),"")</f>
        <v/>
      </c>
    </row>
    <row r="1522">
      <c r="A1522" s="19" t="n">
        <v>1506</v>
      </c>
      <c r="B1522" s="20">
        <f>IF($N1522="","",INDEX(LdADate,$N1522))</f>
        <v/>
      </c>
      <c r="C1522" s="20">
        <f>IF($N1522="","",IF(INDEX(LdAId,$N1522)="","—",INDEX(LdAId,$N1522)))</f>
        <v/>
      </c>
      <c r="D1522" s="21">
        <f>IF($N1522="","",IF(INDEX(LdAAmt,$N1522)=0,"",INDEX(LdAAmt,$N1522)))</f>
        <v/>
      </c>
      <c r="E1522" s="21">
        <f>IF($N1522="","",SUMIFS(ShareAmt,ShareLink,$C1522))</f>
        <v/>
      </c>
      <c r="F1522" s="34">
        <f>IF($N1522="","",COUNTIF(ShareLink,$C1522))</f>
        <v/>
      </c>
      <c r="G1522" s="22">
        <f>IF($N1522="","",IF(ROUND($E1522-$D1522,0)=0,"√","▲ "&amp;TEXT($D1522-$E1522,"#,##0")))</f>
        <v/>
      </c>
      <c r="N1522">
        <f>IFERROR(MATCH($C$5&amp;"|"&amp;RIGHT("000000"&amp;1506,6),LdAKeyG,0),"")</f>
        <v/>
      </c>
    </row>
    <row r="1523">
      <c r="A1523" s="10" t="n">
        <v>1507</v>
      </c>
      <c r="B1523" s="14">
        <f>IF($N1523="","",INDEX(LdADate,$N1523))</f>
        <v/>
      </c>
      <c r="C1523" s="14">
        <f>IF($N1523="","",IF(INDEX(LdAId,$N1523)="","—",INDEX(LdAId,$N1523)))</f>
        <v/>
      </c>
      <c r="D1523" s="16">
        <f>IF($N1523="","",IF(INDEX(LdAAmt,$N1523)=0,"",INDEX(LdAAmt,$N1523)))</f>
        <v/>
      </c>
      <c r="E1523" s="16">
        <f>IF($N1523="","",SUMIFS(ShareAmt,ShareLink,$C1523))</f>
        <v/>
      </c>
      <c r="F1523" s="33">
        <f>IF($N1523="","",COUNTIF(ShareLink,$C1523))</f>
        <v/>
      </c>
      <c r="G1523" s="17">
        <f>IF($N1523="","",IF(ROUND($E1523-$D1523,0)=0,"√","▲ "&amp;TEXT($D1523-$E1523,"#,##0")))</f>
        <v/>
      </c>
      <c r="N1523">
        <f>IFERROR(MATCH($C$5&amp;"|"&amp;RIGHT("000000"&amp;1507,6),LdAKeyG,0),"")</f>
        <v/>
      </c>
    </row>
    <row r="1524">
      <c r="A1524" s="19" t="n">
        <v>1508</v>
      </c>
      <c r="B1524" s="20">
        <f>IF($N1524="","",INDEX(LdADate,$N1524))</f>
        <v/>
      </c>
      <c r="C1524" s="20">
        <f>IF($N1524="","",IF(INDEX(LdAId,$N1524)="","—",INDEX(LdAId,$N1524)))</f>
        <v/>
      </c>
      <c r="D1524" s="21">
        <f>IF($N1524="","",IF(INDEX(LdAAmt,$N1524)=0,"",INDEX(LdAAmt,$N1524)))</f>
        <v/>
      </c>
      <c r="E1524" s="21">
        <f>IF($N1524="","",SUMIFS(ShareAmt,ShareLink,$C1524))</f>
        <v/>
      </c>
      <c r="F1524" s="34">
        <f>IF($N1524="","",COUNTIF(ShareLink,$C1524))</f>
        <v/>
      </c>
      <c r="G1524" s="22">
        <f>IF($N1524="","",IF(ROUND($E1524-$D1524,0)=0,"√","▲ "&amp;TEXT($D1524-$E1524,"#,##0")))</f>
        <v/>
      </c>
      <c r="N1524">
        <f>IFERROR(MATCH($C$5&amp;"|"&amp;RIGHT("000000"&amp;1508,6),LdAKeyG,0),"")</f>
        <v/>
      </c>
    </row>
    <row r="1525">
      <c r="A1525" s="10" t="n">
        <v>1509</v>
      </c>
      <c r="B1525" s="14">
        <f>IF($N1525="","",INDEX(LdADate,$N1525))</f>
        <v/>
      </c>
      <c r="C1525" s="14">
        <f>IF($N1525="","",IF(INDEX(LdAId,$N1525)="","—",INDEX(LdAId,$N1525)))</f>
        <v/>
      </c>
      <c r="D1525" s="16">
        <f>IF($N1525="","",IF(INDEX(LdAAmt,$N1525)=0,"",INDEX(LdAAmt,$N1525)))</f>
        <v/>
      </c>
      <c r="E1525" s="16">
        <f>IF($N1525="","",SUMIFS(ShareAmt,ShareLink,$C1525))</f>
        <v/>
      </c>
      <c r="F1525" s="33">
        <f>IF($N1525="","",COUNTIF(ShareLink,$C1525))</f>
        <v/>
      </c>
      <c r="G1525" s="17">
        <f>IF($N1525="","",IF(ROUND($E1525-$D1525,0)=0,"√","▲ "&amp;TEXT($D1525-$E1525,"#,##0")))</f>
        <v/>
      </c>
      <c r="N1525">
        <f>IFERROR(MATCH($C$5&amp;"|"&amp;RIGHT("000000"&amp;1509,6),LdAKeyG,0),"")</f>
        <v/>
      </c>
    </row>
    <row r="1526">
      <c r="A1526" s="19" t="n">
        <v>1510</v>
      </c>
      <c r="B1526" s="20">
        <f>IF($N1526="","",INDEX(LdADate,$N1526))</f>
        <v/>
      </c>
      <c r="C1526" s="20">
        <f>IF($N1526="","",IF(INDEX(LdAId,$N1526)="","—",INDEX(LdAId,$N1526)))</f>
        <v/>
      </c>
      <c r="D1526" s="21">
        <f>IF($N1526="","",IF(INDEX(LdAAmt,$N1526)=0,"",INDEX(LdAAmt,$N1526)))</f>
        <v/>
      </c>
      <c r="E1526" s="21">
        <f>IF($N1526="","",SUMIFS(ShareAmt,ShareLink,$C1526))</f>
        <v/>
      </c>
      <c r="F1526" s="34">
        <f>IF($N1526="","",COUNTIF(ShareLink,$C1526))</f>
        <v/>
      </c>
      <c r="G1526" s="22">
        <f>IF($N1526="","",IF(ROUND($E1526-$D1526,0)=0,"√","▲ "&amp;TEXT($D1526-$E1526,"#,##0")))</f>
        <v/>
      </c>
      <c r="N1526">
        <f>IFERROR(MATCH($C$5&amp;"|"&amp;RIGHT("000000"&amp;1510,6),LdAKeyG,0),"")</f>
        <v/>
      </c>
    </row>
    <row r="1527">
      <c r="A1527" s="10" t="n">
        <v>1511</v>
      </c>
      <c r="B1527" s="14">
        <f>IF($N1527="","",INDEX(LdADate,$N1527))</f>
        <v/>
      </c>
      <c r="C1527" s="14">
        <f>IF($N1527="","",IF(INDEX(LdAId,$N1527)="","—",INDEX(LdAId,$N1527)))</f>
        <v/>
      </c>
      <c r="D1527" s="16">
        <f>IF($N1527="","",IF(INDEX(LdAAmt,$N1527)=0,"",INDEX(LdAAmt,$N1527)))</f>
        <v/>
      </c>
      <c r="E1527" s="16">
        <f>IF($N1527="","",SUMIFS(ShareAmt,ShareLink,$C1527))</f>
        <v/>
      </c>
      <c r="F1527" s="33">
        <f>IF($N1527="","",COUNTIF(ShareLink,$C1527))</f>
        <v/>
      </c>
      <c r="G1527" s="17">
        <f>IF($N1527="","",IF(ROUND($E1527-$D1527,0)=0,"√","▲ "&amp;TEXT($D1527-$E1527,"#,##0")))</f>
        <v/>
      </c>
      <c r="N1527">
        <f>IFERROR(MATCH($C$5&amp;"|"&amp;RIGHT("000000"&amp;1511,6),LdAKeyG,0),"")</f>
        <v/>
      </c>
    </row>
    <row r="1528">
      <c r="A1528" s="19" t="n">
        <v>1512</v>
      </c>
      <c r="B1528" s="20">
        <f>IF($N1528="","",INDEX(LdADate,$N1528))</f>
        <v/>
      </c>
      <c r="C1528" s="20">
        <f>IF($N1528="","",IF(INDEX(LdAId,$N1528)="","—",INDEX(LdAId,$N1528)))</f>
        <v/>
      </c>
      <c r="D1528" s="21">
        <f>IF($N1528="","",IF(INDEX(LdAAmt,$N1528)=0,"",INDEX(LdAAmt,$N1528)))</f>
        <v/>
      </c>
      <c r="E1528" s="21">
        <f>IF($N1528="","",SUMIFS(ShareAmt,ShareLink,$C1528))</f>
        <v/>
      </c>
      <c r="F1528" s="34">
        <f>IF($N1528="","",COUNTIF(ShareLink,$C1528))</f>
        <v/>
      </c>
      <c r="G1528" s="22">
        <f>IF($N1528="","",IF(ROUND($E1528-$D1528,0)=0,"√","▲ "&amp;TEXT($D1528-$E1528,"#,##0")))</f>
        <v/>
      </c>
      <c r="N1528">
        <f>IFERROR(MATCH($C$5&amp;"|"&amp;RIGHT("000000"&amp;1512,6),LdAKeyG,0),"")</f>
        <v/>
      </c>
    </row>
    <row r="1529">
      <c r="A1529" s="10" t="n">
        <v>1513</v>
      </c>
      <c r="B1529" s="14">
        <f>IF($N1529="","",INDEX(LdADate,$N1529))</f>
        <v/>
      </c>
      <c r="C1529" s="14">
        <f>IF($N1529="","",IF(INDEX(LdAId,$N1529)="","—",INDEX(LdAId,$N1529)))</f>
        <v/>
      </c>
      <c r="D1529" s="16">
        <f>IF($N1529="","",IF(INDEX(LdAAmt,$N1529)=0,"",INDEX(LdAAmt,$N1529)))</f>
        <v/>
      </c>
      <c r="E1529" s="16">
        <f>IF($N1529="","",SUMIFS(ShareAmt,ShareLink,$C1529))</f>
        <v/>
      </c>
      <c r="F1529" s="33">
        <f>IF($N1529="","",COUNTIF(ShareLink,$C1529))</f>
        <v/>
      </c>
      <c r="G1529" s="17">
        <f>IF($N1529="","",IF(ROUND($E1529-$D1529,0)=0,"√","▲ "&amp;TEXT($D1529-$E1529,"#,##0")))</f>
        <v/>
      </c>
      <c r="N1529">
        <f>IFERROR(MATCH($C$5&amp;"|"&amp;RIGHT("000000"&amp;1513,6),LdAKeyG,0),"")</f>
        <v/>
      </c>
    </row>
    <row r="1530">
      <c r="A1530" s="19" t="n">
        <v>1514</v>
      </c>
      <c r="B1530" s="20">
        <f>IF($N1530="","",INDEX(LdADate,$N1530))</f>
        <v/>
      </c>
      <c r="C1530" s="20">
        <f>IF($N1530="","",IF(INDEX(LdAId,$N1530)="","—",INDEX(LdAId,$N1530)))</f>
        <v/>
      </c>
      <c r="D1530" s="21">
        <f>IF($N1530="","",IF(INDEX(LdAAmt,$N1530)=0,"",INDEX(LdAAmt,$N1530)))</f>
        <v/>
      </c>
      <c r="E1530" s="21">
        <f>IF($N1530="","",SUMIFS(ShareAmt,ShareLink,$C1530))</f>
        <v/>
      </c>
      <c r="F1530" s="34">
        <f>IF($N1530="","",COUNTIF(ShareLink,$C1530))</f>
        <v/>
      </c>
      <c r="G1530" s="22">
        <f>IF($N1530="","",IF(ROUND($E1530-$D1530,0)=0,"√","▲ "&amp;TEXT($D1530-$E1530,"#,##0")))</f>
        <v/>
      </c>
      <c r="N1530">
        <f>IFERROR(MATCH($C$5&amp;"|"&amp;RIGHT("000000"&amp;1514,6),LdAKeyG,0),"")</f>
        <v/>
      </c>
    </row>
    <row r="1531">
      <c r="A1531" s="10" t="n">
        <v>1515</v>
      </c>
      <c r="B1531" s="14">
        <f>IF($N1531="","",INDEX(LdADate,$N1531))</f>
        <v/>
      </c>
      <c r="C1531" s="14">
        <f>IF($N1531="","",IF(INDEX(LdAId,$N1531)="","—",INDEX(LdAId,$N1531)))</f>
        <v/>
      </c>
      <c r="D1531" s="16">
        <f>IF($N1531="","",IF(INDEX(LdAAmt,$N1531)=0,"",INDEX(LdAAmt,$N1531)))</f>
        <v/>
      </c>
      <c r="E1531" s="16">
        <f>IF($N1531="","",SUMIFS(ShareAmt,ShareLink,$C1531))</f>
        <v/>
      </c>
      <c r="F1531" s="33">
        <f>IF($N1531="","",COUNTIF(ShareLink,$C1531))</f>
        <v/>
      </c>
      <c r="G1531" s="17">
        <f>IF($N1531="","",IF(ROUND($E1531-$D1531,0)=0,"√","▲ "&amp;TEXT($D1531-$E1531,"#,##0")))</f>
        <v/>
      </c>
      <c r="N1531">
        <f>IFERROR(MATCH($C$5&amp;"|"&amp;RIGHT("000000"&amp;1515,6),LdAKeyG,0),"")</f>
        <v/>
      </c>
    </row>
    <row r="1532">
      <c r="A1532" s="19" t="n">
        <v>1516</v>
      </c>
      <c r="B1532" s="20">
        <f>IF($N1532="","",INDEX(LdADate,$N1532))</f>
        <v/>
      </c>
      <c r="C1532" s="20">
        <f>IF($N1532="","",IF(INDEX(LdAId,$N1532)="","—",INDEX(LdAId,$N1532)))</f>
        <v/>
      </c>
      <c r="D1532" s="21">
        <f>IF($N1532="","",IF(INDEX(LdAAmt,$N1532)=0,"",INDEX(LdAAmt,$N1532)))</f>
        <v/>
      </c>
      <c r="E1532" s="21">
        <f>IF($N1532="","",SUMIFS(ShareAmt,ShareLink,$C1532))</f>
        <v/>
      </c>
      <c r="F1532" s="34">
        <f>IF($N1532="","",COUNTIF(ShareLink,$C1532))</f>
        <v/>
      </c>
      <c r="G1532" s="22">
        <f>IF($N1532="","",IF(ROUND($E1532-$D1532,0)=0,"√","▲ "&amp;TEXT($D1532-$E1532,"#,##0")))</f>
        <v/>
      </c>
      <c r="N1532">
        <f>IFERROR(MATCH($C$5&amp;"|"&amp;RIGHT("000000"&amp;1516,6),LdAKeyG,0),"")</f>
        <v/>
      </c>
    </row>
    <row r="1533">
      <c r="A1533" s="10" t="n">
        <v>1517</v>
      </c>
      <c r="B1533" s="14">
        <f>IF($N1533="","",INDEX(LdADate,$N1533))</f>
        <v/>
      </c>
      <c r="C1533" s="14">
        <f>IF($N1533="","",IF(INDEX(LdAId,$N1533)="","—",INDEX(LdAId,$N1533)))</f>
        <v/>
      </c>
      <c r="D1533" s="16">
        <f>IF($N1533="","",IF(INDEX(LdAAmt,$N1533)=0,"",INDEX(LdAAmt,$N1533)))</f>
        <v/>
      </c>
      <c r="E1533" s="16">
        <f>IF($N1533="","",SUMIFS(ShareAmt,ShareLink,$C1533))</f>
        <v/>
      </c>
      <c r="F1533" s="33">
        <f>IF($N1533="","",COUNTIF(ShareLink,$C1533))</f>
        <v/>
      </c>
      <c r="G1533" s="17">
        <f>IF($N1533="","",IF(ROUND($E1533-$D1533,0)=0,"√","▲ "&amp;TEXT($D1533-$E1533,"#,##0")))</f>
        <v/>
      </c>
      <c r="N1533">
        <f>IFERROR(MATCH($C$5&amp;"|"&amp;RIGHT("000000"&amp;1517,6),LdAKeyG,0),"")</f>
        <v/>
      </c>
    </row>
    <row r="1534">
      <c r="A1534" s="19" t="n">
        <v>1518</v>
      </c>
      <c r="B1534" s="20">
        <f>IF($N1534="","",INDEX(LdADate,$N1534))</f>
        <v/>
      </c>
      <c r="C1534" s="20">
        <f>IF($N1534="","",IF(INDEX(LdAId,$N1534)="","—",INDEX(LdAId,$N1534)))</f>
        <v/>
      </c>
      <c r="D1534" s="21">
        <f>IF($N1534="","",IF(INDEX(LdAAmt,$N1534)=0,"",INDEX(LdAAmt,$N1534)))</f>
        <v/>
      </c>
      <c r="E1534" s="21">
        <f>IF($N1534="","",SUMIFS(ShareAmt,ShareLink,$C1534))</f>
        <v/>
      </c>
      <c r="F1534" s="34">
        <f>IF($N1534="","",COUNTIF(ShareLink,$C1534))</f>
        <v/>
      </c>
      <c r="G1534" s="22">
        <f>IF($N1534="","",IF(ROUND($E1534-$D1534,0)=0,"√","▲ "&amp;TEXT($D1534-$E1534,"#,##0")))</f>
        <v/>
      </c>
      <c r="N1534">
        <f>IFERROR(MATCH($C$5&amp;"|"&amp;RIGHT("000000"&amp;1518,6),LdAKeyG,0),"")</f>
        <v/>
      </c>
    </row>
    <row r="1535">
      <c r="A1535" s="10" t="n">
        <v>1519</v>
      </c>
      <c r="B1535" s="14">
        <f>IF($N1535="","",INDEX(LdADate,$N1535))</f>
        <v/>
      </c>
      <c r="C1535" s="14">
        <f>IF($N1535="","",IF(INDEX(LdAId,$N1535)="","—",INDEX(LdAId,$N1535)))</f>
        <v/>
      </c>
      <c r="D1535" s="16">
        <f>IF($N1535="","",IF(INDEX(LdAAmt,$N1535)=0,"",INDEX(LdAAmt,$N1535)))</f>
        <v/>
      </c>
      <c r="E1535" s="16">
        <f>IF($N1535="","",SUMIFS(ShareAmt,ShareLink,$C1535))</f>
        <v/>
      </c>
      <c r="F1535" s="33">
        <f>IF($N1535="","",COUNTIF(ShareLink,$C1535))</f>
        <v/>
      </c>
      <c r="G1535" s="17">
        <f>IF($N1535="","",IF(ROUND($E1535-$D1535,0)=0,"√","▲ "&amp;TEXT($D1535-$E1535,"#,##0")))</f>
        <v/>
      </c>
      <c r="N1535">
        <f>IFERROR(MATCH($C$5&amp;"|"&amp;RIGHT("000000"&amp;1519,6),LdAKeyG,0),"")</f>
        <v/>
      </c>
    </row>
    <row r="1536">
      <c r="A1536" s="19" t="n">
        <v>1520</v>
      </c>
      <c r="B1536" s="20">
        <f>IF($N1536="","",INDEX(LdADate,$N1536))</f>
        <v/>
      </c>
      <c r="C1536" s="20">
        <f>IF($N1536="","",IF(INDEX(LdAId,$N1536)="","—",INDEX(LdAId,$N1536)))</f>
        <v/>
      </c>
      <c r="D1536" s="21">
        <f>IF($N1536="","",IF(INDEX(LdAAmt,$N1536)=0,"",INDEX(LdAAmt,$N1536)))</f>
        <v/>
      </c>
      <c r="E1536" s="21">
        <f>IF($N1536="","",SUMIFS(ShareAmt,ShareLink,$C1536))</f>
        <v/>
      </c>
      <c r="F1536" s="34">
        <f>IF($N1536="","",COUNTIF(ShareLink,$C1536))</f>
        <v/>
      </c>
      <c r="G1536" s="22">
        <f>IF($N1536="","",IF(ROUND($E1536-$D1536,0)=0,"√","▲ "&amp;TEXT($D1536-$E1536,"#,##0")))</f>
        <v/>
      </c>
      <c r="N1536">
        <f>IFERROR(MATCH($C$5&amp;"|"&amp;RIGHT("000000"&amp;1520,6),LdAKeyG,0),"")</f>
        <v/>
      </c>
    </row>
    <row r="1537">
      <c r="A1537" s="10" t="n">
        <v>1521</v>
      </c>
      <c r="B1537" s="14">
        <f>IF($N1537="","",INDEX(LdADate,$N1537))</f>
        <v/>
      </c>
      <c r="C1537" s="14">
        <f>IF($N1537="","",IF(INDEX(LdAId,$N1537)="","—",INDEX(LdAId,$N1537)))</f>
        <v/>
      </c>
      <c r="D1537" s="16">
        <f>IF($N1537="","",IF(INDEX(LdAAmt,$N1537)=0,"",INDEX(LdAAmt,$N1537)))</f>
        <v/>
      </c>
      <c r="E1537" s="16">
        <f>IF($N1537="","",SUMIFS(ShareAmt,ShareLink,$C1537))</f>
        <v/>
      </c>
      <c r="F1537" s="33">
        <f>IF($N1537="","",COUNTIF(ShareLink,$C1537))</f>
        <v/>
      </c>
      <c r="G1537" s="17">
        <f>IF($N1537="","",IF(ROUND($E1537-$D1537,0)=0,"√","▲ "&amp;TEXT($D1537-$E1537,"#,##0")))</f>
        <v/>
      </c>
      <c r="N1537">
        <f>IFERROR(MATCH($C$5&amp;"|"&amp;RIGHT("000000"&amp;1521,6),LdAKeyG,0),"")</f>
        <v/>
      </c>
    </row>
    <row r="1538">
      <c r="A1538" s="19" t="n">
        <v>1522</v>
      </c>
      <c r="B1538" s="20">
        <f>IF($N1538="","",INDEX(LdADate,$N1538))</f>
        <v/>
      </c>
      <c r="C1538" s="20">
        <f>IF($N1538="","",IF(INDEX(LdAId,$N1538)="","—",INDEX(LdAId,$N1538)))</f>
        <v/>
      </c>
      <c r="D1538" s="21">
        <f>IF($N1538="","",IF(INDEX(LdAAmt,$N1538)=0,"",INDEX(LdAAmt,$N1538)))</f>
        <v/>
      </c>
      <c r="E1538" s="21">
        <f>IF($N1538="","",SUMIFS(ShareAmt,ShareLink,$C1538))</f>
        <v/>
      </c>
      <c r="F1538" s="34">
        <f>IF($N1538="","",COUNTIF(ShareLink,$C1538))</f>
        <v/>
      </c>
      <c r="G1538" s="22">
        <f>IF($N1538="","",IF(ROUND($E1538-$D1538,0)=0,"√","▲ "&amp;TEXT($D1538-$E1538,"#,##0")))</f>
        <v/>
      </c>
      <c r="N1538">
        <f>IFERROR(MATCH($C$5&amp;"|"&amp;RIGHT("000000"&amp;1522,6),LdAKeyG,0),"")</f>
        <v/>
      </c>
    </row>
    <row r="1539">
      <c r="A1539" s="10" t="n">
        <v>1523</v>
      </c>
      <c r="B1539" s="14">
        <f>IF($N1539="","",INDEX(LdADate,$N1539))</f>
        <v/>
      </c>
      <c r="C1539" s="14">
        <f>IF($N1539="","",IF(INDEX(LdAId,$N1539)="","—",INDEX(LdAId,$N1539)))</f>
        <v/>
      </c>
      <c r="D1539" s="16">
        <f>IF($N1539="","",IF(INDEX(LdAAmt,$N1539)=0,"",INDEX(LdAAmt,$N1539)))</f>
        <v/>
      </c>
      <c r="E1539" s="16">
        <f>IF($N1539="","",SUMIFS(ShareAmt,ShareLink,$C1539))</f>
        <v/>
      </c>
      <c r="F1539" s="33">
        <f>IF($N1539="","",COUNTIF(ShareLink,$C1539))</f>
        <v/>
      </c>
      <c r="G1539" s="17">
        <f>IF($N1539="","",IF(ROUND($E1539-$D1539,0)=0,"√","▲ "&amp;TEXT($D1539-$E1539,"#,##0")))</f>
        <v/>
      </c>
      <c r="N1539">
        <f>IFERROR(MATCH($C$5&amp;"|"&amp;RIGHT("000000"&amp;1523,6),LdAKeyG,0),"")</f>
        <v/>
      </c>
    </row>
    <row r="1540">
      <c r="A1540" s="19" t="n">
        <v>1524</v>
      </c>
      <c r="B1540" s="20">
        <f>IF($N1540="","",INDEX(LdADate,$N1540))</f>
        <v/>
      </c>
      <c r="C1540" s="20">
        <f>IF($N1540="","",IF(INDEX(LdAId,$N1540)="","—",INDEX(LdAId,$N1540)))</f>
        <v/>
      </c>
      <c r="D1540" s="21">
        <f>IF($N1540="","",IF(INDEX(LdAAmt,$N1540)=0,"",INDEX(LdAAmt,$N1540)))</f>
        <v/>
      </c>
      <c r="E1540" s="21">
        <f>IF($N1540="","",SUMIFS(ShareAmt,ShareLink,$C1540))</f>
        <v/>
      </c>
      <c r="F1540" s="34">
        <f>IF($N1540="","",COUNTIF(ShareLink,$C1540))</f>
        <v/>
      </c>
      <c r="G1540" s="22">
        <f>IF($N1540="","",IF(ROUND($E1540-$D1540,0)=0,"√","▲ "&amp;TEXT($D1540-$E1540,"#,##0")))</f>
        <v/>
      </c>
      <c r="N1540">
        <f>IFERROR(MATCH($C$5&amp;"|"&amp;RIGHT("000000"&amp;1524,6),LdAKeyG,0),"")</f>
        <v/>
      </c>
    </row>
    <row r="1541">
      <c r="A1541" s="10" t="n">
        <v>1525</v>
      </c>
      <c r="B1541" s="14">
        <f>IF($N1541="","",INDEX(LdADate,$N1541))</f>
        <v/>
      </c>
      <c r="C1541" s="14">
        <f>IF($N1541="","",IF(INDEX(LdAId,$N1541)="","—",INDEX(LdAId,$N1541)))</f>
        <v/>
      </c>
      <c r="D1541" s="16">
        <f>IF($N1541="","",IF(INDEX(LdAAmt,$N1541)=0,"",INDEX(LdAAmt,$N1541)))</f>
        <v/>
      </c>
      <c r="E1541" s="16">
        <f>IF($N1541="","",SUMIFS(ShareAmt,ShareLink,$C1541))</f>
        <v/>
      </c>
      <c r="F1541" s="33">
        <f>IF($N1541="","",COUNTIF(ShareLink,$C1541))</f>
        <v/>
      </c>
      <c r="G1541" s="17">
        <f>IF($N1541="","",IF(ROUND($E1541-$D1541,0)=0,"√","▲ "&amp;TEXT($D1541-$E1541,"#,##0")))</f>
        <v/>
      </c>
      <c r="N1541">
        <f>IFERROR(MATCH($C$5&amp;"|"&amp;RIGHT("000000"&amp;1525,6),LdAKeyG,0),"")</f>
        <v/>
      </c>
    </row>
    <row r="1542">
      <c r="A1542" s="19" t="n">
        <v>1526</v>
      </c>
      <c r="B1542" s="20">
        <f>IF($N1542="","",INDEX(LdADate,$N1542))</f>
        <v/>
      </c>
      <c r="C1542" s="20">
        <f>IF($N1542="","",IF(INDEX(LdAId,$N1542)="","—",INDEX(LdAId,$N1542)))</f>
        <v/>
      </c>
      <c r="D1542" s="21">
        <f>IF($N1542="","",IF(INDEX(LdAAmt,$N1542)=0,"",INDEX(LdAAmt,$N1542)))</f>
        <v/>
      </c>
      <c r="E1542" s="21">
        <f>IF($N1542="","",SUMIFS(ShareAmt,ShareLink,$C1542))</f>
        <v/>
      </c>
      <c r="F1542" s="34">
        <f>IF($N1542="","",COUNTIF(ShareLink,$C1542))</f>
        <v/>
      </c>
      <c r="G1542" s="22">
        <f>IF($N1542="","",IF(ROUND($E1542-$D1542,0)=0,"√","▲ "&amp;TEXT($D1542-$E1542,"#,##0")))</f>
        <v/>
      </c>
      <c r="N1542">
        <f>IFERROR(MATCH($C$5&amp;"|"&amp;RIGHT("000000"&amp;1526,6),LdAKeyG,0),"")</f>
        <v/>
      </c>
    </row>
    <row r="1543">
      <c r="A1543" s="10" t="n">
        <v>1527</v>
      </c>
      <c r="B1543" s="14">
        <f>IF($N1543="","",INDEX(LdADate,$N1543))</f>
        <v/>
      </c>
      <c r="C1543" s="14">
        <f>IF($N1543="","",IF(INDEX(LdAId,$N1543)="","—",INDEX(LdAId,$N1543)))</f>
        <v/>
      </c>
      <c r="D1543" s="16">
        <f>IF($N1543="","",IF(INDEX(LdAAmt,$N1543)=0,"",INDEX(LdAAmt,$N1543)))</f>
        <v/>
      </c>
      <c r="E1543" s="16">
        <f>IF($N1543="","",SUMIFS(ShareAmt,ShareLink,$C1543))</f>
        <v/>
      </c>
      <c r="F1543" s="33">
        <f>IF($N1543="","",COUNTIF(ShareLink,$C1543))</f>
        <v/>
      </c>
      <c r="G1543" s="17">
        <f>IF($N1543="","",IF(ROUND($E1543-$D1543,0)=0,"√","▲ "&amp;TEXT($D1543-$E1543,"#,##0")))</f>
        <v/>
      </c>
      <c r="N1543">
        <f>IFERROR(MATCH($C$5&amp;"|"&amp;RIGHT("000000"&amp;1527,6),LdAKeyG,0),"")</f>
        <v/>
      </c>
    </row>
    <row r="1544">
      <c r="A1544" s="19" t="n">
        <v>1528</v>
      </c>
      <c r="B1544" s="20">
        <f>IF($N1544="","",INDEX(LdADate,$N1544))</f>
        <v/>
      </c>
      <c r="C1544" s="20">
        <f>IF($N1544="","",IF(INDEX(LdAId,$N1544)="","—",INDEX(LdAId,$N1544)))</f>
        <v/>
      </c>
      <c r="D1544" s="21">
        <f>IF($N1544="","",IF(INDEX(LdAAmt,$N1544)=0,"",INDEX(LdAAmt,$N1544)))</f>
        <v/>
      </c>
      <c r="E1544" s="21">
        <f>IF($N1544="","",SUMIFS(ShareAmt,ShareLink,$C1544))</f>
        <v/>
      </c>
      <c r="F1544" s="34">
        <f>IF($N1544="","",COUNTIF(ShareLink,$C1544))</f>
        <v/>
      </c>
      <c r="G1544" s="22">
        <f>IF($N1544="","",IF(ROUND($E1544-$D1544,0)=0,"√","▲ "&amp;TEXT($D1544-$E1544,"#,##0")))</f>
        <v/>
      </c>
      <c r="N1544">
        <f>IFERROR(MATCH($C$5&amp;"|"&amp;RIGHT("000000"&amp;1528,6),LdAKeyG,0),"")</f>
        <v/>
      </c>
    </row>
    <row r="1545">
      <c r="A1545" s="10" t="n">
        <v>1529</v>
      </c>
      <c r="B1545" s="14">
        <f>IF($N1545="","",INDEX(LdADate,$N1545))</f>
        <v/>
      </c>
      <c r="C1545" s="14">
        <f>IF($N1545="","",IF(INDEX(LdAId,$N1545)="","—",INDEX(LdAId,$N1545)))</f>
        <v/>
      </c>
      <c r="D1545" s="16">
        <f>IF($N1545="","",IF(INDEX(LdAAmt,$N1545)=0,"",INDEX(LdAAmt,$N1545)))</f>
        <v/>
      </c>
      <c r="E1545" s="16">
        <f>IF($N1545="","",SUMIFS(ShareAmt,ShareLink,$C1545))</f>
        <v/>
      </c>
      <c r="F1545" s="33">
        <f>IF($N1545="","",COUNTIF(ShareLink,$C1545))</f>
        <v/>
      </c>
      <c r="G1545" s="17">
        <f>IF($N1545="","",IF(ROUND($E1545-$D1545,0)=0,"√","▲ "&amp;TEXT($D1545-$E1545,"#,##0")))</f>
        <v/>
      </c>
      <c r="N1545">
        <f>IFERROR(MATCH($C$5&amp;"|"&amp;RIGHT("000000"&amp;1529,6),LdAKeyG,0),"")</f>
        <v/>
      </c>
    </row>
    <row r="1546">
      <c r="A1546" s="19" t="n">
        <v>1530</v>
      </c>
      <c r="B1546" s="20">
        <f>IF($N1546="","",INDEX(LdADate,$N1546))</f>
        <v/>
      </c>
      <c r="C1546" s="20">
        <f>IF($N1546="","",IF(INDEX(LdAId,$N1546)="","—",INDEX(LdAId,$N1546)))</f>
        <v/>
      </c>
      <c r="D1546" s="21">
        <f>IF($N1546="","",IF(INDEX(LdAAmt,$N1546)=0,"",INDEX(LdAAmt,$N1546)))</f>
        <v/>
      </c>
      <c r="E1546" s="21">
        <f>IF($N1546="","",SUMIFS(ShareAmt,ShareLink,$C1546))</f>
        <v/>
      </c>
      <c r="F1546" s="34">
        <f>IF($N1546="","",COUNTIF(ShareLink,$C1546))</f>
        <v/>
      </c>
      <c r="G1546" s="22">
        <f>IF($N1546="","",IF(ROUND($E1546-$D1546,0)=0,"√","▲ "&amp;TEXT($D1546-$E1546,"#,##0")))</f>
        <v/>
      </c>
      <c r="N1546">
        <f>IFERROR(MATCH($C$5&amp;"|"&amp;RIGHT("000000"&amp;1530,6),LdAKeyG,0),"")</f>
        <v/>
      </c>
    </row>
    <row r="1547">
      <c r="A1547" s="10" t="n">
        <v>1531</v>
      </c>
      <c r="B1547" s="14">
        <f>IF($N1547="","",INDEX(LdADate,$N1547))</f>
        <v/>
      </c>
      <c r="C1547" s="14">
        <f>IF($N1547="","",IF(INDEX(LdAId,$N1547)="","—",INDEX(LdAId,$N1547)))</f>
        <v/>
      </c>
      <c r="D1547" s="16">
        <f>IF($N1547="","",IF(INDEX(LdAAmt,$N1547)=0,"",INDEX(LdAAmt,$N1547)))</f>
        <v/>
      </c>
      <c r="E1547" s="16">
        <f>IF($N1547="","",SUMIFS(ShareAmt,ShareLink,$C1547))</f>
        <v/>
      </c>
      <c r="F1547" s="33">
        <f>IF($N1547="","",COUNTIF(ShareLink,$C1547))</f>
        <v/>
      </c>
      <c r="G1547" s="17">
        <f>IF($N1547="","",IF(ROUND($E1547-$D1547,0)=0,"√","▲ "&amp;TEXT($D1547-$E1547,"#,##0")))</f>
        <v/>
      </c>
      <c r="N1547">
        <f>IFERROR(MATCH($C$5&amp;"|"&amp;RIGHT("000000"&amp;1531,6),LdAKeyG,0),"")</f>
        <v/>
      </c>
    </row>
    <row r="1548">
      <c r="A1548" s="19" t="n">
        <v>1532</v>
      </c>
      <c r="B1548" s="20">
        <f>IF($N1548="","",INDEX(LdADate,$N1548))</f>
        <v/>
      </c>
      <c r="C1548" s="20">
        <f>IF($N1548="","",IF(INDEX(LdAId,$N1548)="","—",INDEX(LdAId,$N1548)))</f>
        <v/>
      </c>
      <c r="D1548" s="21">
        <f>IF($N1548="","",IF(INDEX(LdAAmt,$N1548)=0,"",INDEX(LdAAmt,$N1548)))</f>
        <v/>
      </c>
      <c r="E1548" s="21">
        <f>IF($N1548="","",SUMIFS(ShareAmt,ShareLink,$C1548))</f>
        <v/>
      </c>
      <c r="F1548" s="34">
        <f>IF($N1548="","",COUNTIF(ShareLink,$C1548))</f>
        <v/>
      </c>
      <c r="G1548" s="22">
        <f>IF($N1548="","",IF(ROUND($E1548-$D1548,0)=0,"√","▲ "&amp;TEXT($D1548-$E1548,"#,##0")))</f>
        <v/>
      </c>
      <c r="N1548">
        <f>IFERROR(MATCH($C$5&amp;"|"&amp;RIGHT("000000"&amp;1532,6),LdAKeyG,0),"")</f>
        <v/>
      </c>
    </row>
    <row r="1549">
      <c r="A1549" s="10" t="n">
        <v>1533</v>
      </c>
      <c r="B1549" s="14">
        <f>IF($N1549="","",INDEX(LdADate,$N1549))</f>
        <v/>
      </c>
      <c r="C1549" s="14">
        <f>IF($N1549="","",IF(INDEX(LdAId,$N1549)="","—",INDEX(LdAId,$N1549)))</f>
        <v/>
      </c>
      <c r="D1549" s="16">
        <f>IF($N1549="","",IF(INDEX(LdAAmt,$N1549)=0,"",INDEX(LdAAmt,$N1549)))</f>
        <v/>
      </c>
      <c r="E1549" s="16">
        <f>IF($N1549="","",SUMIFS(ShareAmt,ShareLink,$C1549))</f>
        <v/>
      </c>
      <c r="F1549" s="33">
        <f>IF($N1549="","",COUNTIF(ShareLink,$C1549))</f>
        <v/>
      </c>
      <c r="G1549" s="17">
        <f>IF($N1549="","",IF(ROUND($E1549-$D1549,0)=0,"√","▲ "&amp;TEXT($D1549-$E1549,"#,##0")))</f>
        <v/>
      </c>
      <c r="N1549">
        <f>IFERROR(MATCH($C$5&amp;"|"&amp;RIGHT("000000"&amp;1533,6),LdAKeyG,0),"")</f>
        <v/>
      </c>
    </row>
    <row r="1550">
      <c r="A1550" s="19" t="n">
        <v>1534</v>
      </c>
      <c r="B1550" s="20">
        <f>IF($N1550="","",INDEX(LdADate,$N1550))</f>
        <v/>
      </c>
      <c r="C1550" s="20">
        <f>IF($N1550="","",IF(INDEX(LdAId,$N1550)="","—",INDEX(LdAId,$N1550)))</f>
        <v/>
      </c>
      <c r="D1550" s="21">
        <f>IF($N1550="","",IF(INDEX(LdAAmt,$N1550)=0,"",INDEX(LdAAmt,$N1550)))</f>
        <v/>
      </c>
      <c r="E1550" s="21">
        <f>IF($N1550="","",SUMIFS(ShareAmt,ShareLink,$C1550))</f>
        <v/>
      </c>
      <c r="F1550" s="34">
        <f>IF($N1550="","",COUNTIF(ShareLink,$C1550))</f>
        <v/>
      </c>
      <c r="G1550" s="22">
        <f>IF($N1550="","",IF(ROUND($E1550-$D1550,0)=0,"√","▲ "&amp;TEXT($D1550-$E1550,"#,##0")))</f>
        <v/>
      </c>
      <c r="N1550">
        <f>IFERROR(MATCH($C$5&amp;"|"&amp;RIGHT("000000"&amp;1534,6),LdAKeyG,0),"")</f>
        <v/>
      </c>
    </row>
    <row r="1551">
      <c r="A1551" s="10" t="n">
        <v>1535</v>
      </c>
      <c r="B1551" s="14">
        <f>IF($N1551="","",INDEX(LdADate,$N1551))</f>
        <v/>
      </c>
      <c r="C1551" s="14">
        <f>IF($N1551="","",IF(INDEX(LdAId,$N1551)="","—",INDEX(LdAId,$N1551)))</f>
        <v/>
      </c>
      <c r="D1551" s="16">
        <f>IF($N1551="","",IF(INDEX(LdAAmt,$N1551)=0,"",INDEX(LdAAmt,$N1551)))</f>
        <v/>
      </c>
      <c r="E1551" s="16">
        <f>IF($N1551="","",SUMIFS(ShareAmt,ShareLink,$C1551))</f>
        <v/>
      </c>
      <c r="F1551" s="33">
        <f>IF($N1551="","",COUNTIF(ShareLink,$C1551))</f>
        <v/>
      </c>
      <c r="G1551" s="17">
        <f>IF($N1551="","",IF(ROUND($E1551-$D1551,0)=0,"√","▲ "&amp;TEXT($D1551-$E1551,"#,##0")))</f>
        <v/>
      </c>
      <c r="N1551">
        <f>IFERROR(MATCH($C$5&amp;"|"&amp;RIGHT("000000"&amp;1535,6),LdAKeyG,0),"")</f>
        <v/>
      </c>
    </row>
    <row r="1552">
      <c r="A1552" s="19" t="n">
        <v>1536</v>
      </c>
      <c r="B1552" s="20">
        <f>IF($N1552="","",INDEX(LdADate,$N1552))</f>
        <v/>
      </c>
      <c r="C1552" s="20">
        <f>IF($N1552="","",IF(INDEX(LdAId,$N1552)="","—",INDEX(LdAId,$N1552)))</f>
        <v/>
      </c>
      <c r="D1552" s="21">
        <f>IF($N1552="","",IF(INDEX(LdAAmt,$N1552)=0,"",INDEX(LdAAmt,$N1552)))</f>
        <v/>
      </c>
      <c r="E1552" s="21">
        <f>IF($N1552="","",SUMIFS(ShareAmt,ShareLink,$C1552))</f>
        <v/>
      </c>
      <c r="F1552" s="34">
        <f>IF($N1552="","",COUNTIF(ShareLink,$C1552))</f>
        <v/>
      </c>
      <c r="G1552" s="22">
        <f>IF($N1552="","",IF(ROUND($E1552-$D1552,0)=0,"√","▲ "&amp;TEXT($D1552-$E1552,"#,##0")))</f>
        <v/>
      </c>
      <c r="N1552">
        <f>IFERROR(MATCH($C$5&amp;"|"&amp;RIGHT("000000"&amp;1536,6),LdAKeyG,0),"")</f>
        <v/>
      </c>
    </row>
    <row r="1553">
      <c r="A1553" s="10" t="n">
        <v>1537</v>
      </c>
      <c r="B1553" s="14">
        <f>IF($N1553="","",INDEX(LdADate,$N1553))</f>
        <v/>
      </c>
      <c r="C1553" s="14">
        <f>IF($N1553="","",IF(INDEX(LdAId,$N1553)="","—",INDEX(LdAId,$N1553)))</f>
        <v/>
      </c>
      <c r="D1553" s="16">
        <f>IF($N1553="","",IF(INDEX(LdAAmt,$N1553)=0,"",INDEX(LdAAmt,$N1553)))</f>
        <v/>
      </c>
      <c r="E1553" s="16">
        <f>IF($N1553="","",SUMIFS(ShareAmt,ShareLink,$C1553))</f>
        <v/>
      </c>
      <c r="F1553" s="33">
        <f>IF($N1553="","",COUNTIF(ShareLink,$C1553))</f>
        <v/>
      </c>
      <c r="G1553" s="17">
        <f>IF($N1553="","",IF(ROUND($E1553-$D1553,0)=0,"√","▲ "&amp;TEXT($D1553-$E1553,"#,##0")))</f>
        <v/>
      </c>
      <c r="N1553">
        <f>IFERROR(MATCH($C$5&amp;"|"&amp;RIGHT("000000"&amp;1537,6),LdAKeyG,0),"")</f>
        <v/>
      </c>
    </row>
    <row r="1554">
      <c r="A1554" s="19" t="n">
        <v>1538</v>
      </c>
      <c r="B1554" s="20">
        <f>IF($N1554="","",INDEX(LdADate,$N1554))</f>
        <v/>
      </c>
      <c r="C1554" s="20">
        <f>IF($N1554="","",IF(INDEX(LdAId,$N1554)="","—",INDEX(LdAId,$N1554)))</f>
        <v/>
      </c>
      <c r="D1554" s="21">
        <f>IF($N1554="","",IF(INDEX(LdAAmt,$N1554)=0,"",INDEX(LdAAmt,$N1554)))</f>
        <v/>
      </c>
      <c r="E1554" s="21">
        <f>IF($N1554="","",SUMIFS(ShareAmt,ShareLink,$C1554))</f>
        <v/>
      </c>
      <c r="F1554" s="34">
        <f>IF($N1554="","",COUNTIF(ShareLink,$C1554))</f>
        <v/>
      </c>
      <c r="G1554" s="22">
        <f>IF($N1554="","",IF(ROUND($E1554-$D1554,0)=0,"√","▲ "&amp;TEXT($D1554-$E1554,"#,##0")))</f>
        <v/>
      </c>
      <c r="N1554">
        <f>IFERROR(MATCH($C$5&amp;"|"&amp;RIGHT("000000"&amp;1538,6),LdAKeyG,0),"")</f>
        <v/>
      </c>
    </row>
    <row r="1555">
      <c r="A1555" s="10" t="n">
        <v>1539</v>
      </c>
      <c r="B1555" s="14">
        <f>IF($N1555="","",INDEX(LdADate,$N1555))</f>
        <v/>
      </c>
      <c r="C1555" s="14">
        <f>IF($N1555="","",IF(INDEX(LdAId,$N1555)="","—",INDEX(LdAId,$N1555)))</f>
        <v/>
      </c>
      <c r="D1555" s="16">
        <f>IF($N1555="","",IF(INDEX(LdAAmt,$N1555)=0,"",INDEX(LdAAmt,$N1555)))</f>
        <v/>
      </c>
      <c r="E1555" s="16">
        <f>IF($N1555="","",SUMIFS(ShareAmt,ShareLink,$C1555))</f>
        <v/>
      </c>
      <c r="F1555" s="33">
        <f>IF($N1555="","",COUNTIF(ShareLink,$C1555))</f>
        <v/>
      </c>
      <c r="G1555" s="17">
        <f>IF($N1555="","",IF(ROUND($E1555-$D1555,0)=0,"√","▲ "&amp;TEXT($D1555-$E1555,"#,##0")))</f>
        <v/>
      </c>
      <c r="N1555">
        <f>IFERROR(MATCH($C$5&amp;"|"&amp;RIGHT("000000"&amp;1539,6),LdAKeyG,0),"")</f>
        <v/>
      </c>
    </row>
    <row r="1556">
      <c r="A1556" s="19" t="n">
        <v>1540</v>
      </c>
      <c r="B1556" s="20">
        <f>IF($N1556="","",INDEX(LdADate,$N1556))</f>
        <v/>
      </c>
      <c r="C1556" s="20">
        <f>IF($N1556="","",IF(INDEX(LdAId,$N1556)="","—",INDEX(LdAId,$N1556)))</f>
        <v/>
      </c>
      <c r="D1556" s="21">
        <f>IF($N1556="","",IF(INDEX(LdAAmt,$N1556)=0,"",INDEX(LdAAmt,$N1556)))</f>
        <v/>
      </c>
      <c r="E1556" s="21">
        <f>IF($N1556="","",SUMIFS(ShareAmt,ShareLink,$C1556))</f>
        <v/>
      </c>
      <c r="F1556" s="34">
        <f>IF($N1556="","",COUNTIF(ShareLink,$C1556))</f>
        <v/>
      </c>
      <c r="G1556" s="22">
        <f>IF($N1556="","",IF(ROUND($E1556-$D1556,0)=0,"√","▲ "&amp;TEXT($D1556-$E1556,"#,##0")))</f>
        <v/>
      </c>
      <c r="N1556">
        <f>IFERROR(MATCH($C$5&amp;"|"&amp;RIGHT("000000"&amp;1540,6),LdAKeyG,0),"")</f>
        <v/>
      </c>
    </row>
    <row r="1557">
      <c r="A1557" s="10" t="n">
        <v>1541</v>
      </c>
      <c r="B1557" s="14">
        <f>IF($N1557="","",INDEX(LdADate,$N1557))</f>
        <v/>
      </c>
      <c r="C1557" s="14">
        <f>IF($N1557="","",IF(INDEX(LdAId,$N1557)="","—",INDEX(LdAId,$N1557)))</f>
        <v/>
      </c>
      <c r="D1557" s="16">
        <f>IF($N1557="","",IF(INDEX(LdAAmt,$N1557)=0,"",INDEX(LdAAmt,$N1557)))</f>
        <v/>
      </c>
      <c r="E1557" s="16">
        <f>IF($N1557="","",SUMIFS(ShareAmt,ShareLink,$C1557))</f>
        <v/>
      </c>
      <c r="F1557" s="33">
        <f>IF($N1557="","",COUNTIF(ShareLink,$C1557))</f>
        <v/>
      </c>
      <c r="G1557" s="17">
        <f>IF($N1557="","",IF(ROUND($E1557-$D1557,0)=0,"√","▲ "&amp;TEXT($D1557-$E1557,"#,##0")))</f>
        <v/>
      </c>
      <c r="N1557">
        <f>IFERROR(MATCH($C$5&amp;"|"&amp;RIGHT("000000"&amp;1541,6),LdAKeyG,0),"")</f>
        <v/>
      </c>
    </row>
    <row r="1558">
      <c r="A1558" s="19" t="n">
        <v>1542</v>
      </c>
      <c r="B1558" s="20">
        <f>IF($N1558="","",INDEX(LdADate,$N1558))</f>
        <v/>
      </c>
      <c r="C1558" s="20">
        <f>IF($N1558="","",IF(INDEX(LdAId,$N1558)="","—",INDEX(LdAId,$N1558)))</f>
        <v/>
      </c>
      <c r="D1558" s="21">
        <f>IF($N1558="","",IF(INDEX(LdAAmt,$N1558)=0,"",INDEX(LdAAmt,$N1558)))</f>
        <v/>
      </c>
      <c r="E1558" s="21">
        <f>IF($N1558="","",SUMIFS(ShareAmt,ShareLink,$C1558))</f>
        <v/>
      </c>
      <c r="F1558" s="34">
        <f>IF($N1558="","",COUNTIF(ShareLink,$C1558))</f>
        <v/>
      </c>
      <c r="G1558" s="22">
        <f>IF($N1558="","",IF(ROUND($E1558-$D1558,0)=0,"√","▲ "&amp;TEXT($D1558-$E1558,"#,##0")))</f>
        <v/>
      </c>
      <c r="N1558">
        <f>IFERROR(MATCH($C$5&amp;"|"&amp;RIGHT("000000"&amp;1542,6),LdAKeyG,0),"")</f>
        <v/>
      </c>
    </row>
    <row r="1559">
      <c r="A1559" s="10" t="n">
        <v>1543</v>
      </c>
      <c r="B1559" s="14">
        <f>IF($N1559="","",INDEX(LdADate,$N1559))</f>
        <v/>
      </c>
      <c r="C1559" s="14">
        <f>IF($N1559="","",IF(INDEX(LdAId,$N1559)="","—",INDEX(LdAId,$N1559)))</f>
        <v/>
      </c>
      <c r="D1559" s="16">
        <f>IF($N1559="","",IF(INDEX(LdAAmt,$N1559)=0,"",INDEX(LdAAmt,$N1559)))</f>
        <v/>
      </c>
      <c r="E1559" s="16">
        <f>IF($N1559="","",SUMIFS(ShareAmt,ShareLink,$C1559))</f>
        <v/>
      </c>
      <c r="F1559" s="33">
        <f>IF($N1559="","",COUNTIF(ShareLink,$C1559))</f>
        <v/>
      </c>
      <c r="G1559" s="17">
        <f>IF($N1559="","",IF(ROUND($E1559-$D1559,0)=0,"√","▲ "&amp;TEXT($D1559-$E1559,"#,##0")))</f>
        <v/>
      </c>
      <c r="N1559">
        <f>IFERROR(MATCH($C$5&amp;"|"&amp;RIGHT("000000"&amp;1543,6),LdAKeyG,0),"")</f>
        <v/>
      </c>
    </row>
    <row r="1560">
      <c r="A1560" s="19" t="n">
        <v>1544</v>
      </c>
      <c r="B1560" s="20">
        <f>IF($N1560="","",INDEX(LdADate,$N1560))</f>
        <v/>
      </c>
      <c r="C1560" s="20">
        <f>IF($N1560="","",IF(INDEX(LdAId,$N1560)="","—",INDEX(LdAId,$N1560)))</f>
        <v/>
      </c>
      <c r="D1560" s="21">
        <f>IF($N1560="","",IF(INDEX(LdAAmt,$N1560)=0,"",INDEX(LdAAmt,$N1560)))</f>
        <v/>
      </c>
      <c r="E1560" s="21">
        <f>IF($N1560="","",SUMIFS(ShareAmt,ShareLink,$C1560))</f>
        <v/>
      </c>
      <c r="F1560" s="34">
        <f>IF($N1560="","",COUNTIF(ShareLink,$C1560))</f>
        <v/>
      </c>
      <c r="G1560" s="22">
        <f>IF($N1560="","",IF(ROUND($E1560-$D1560,0)=0,"√","▲ "&amp;TEXT($D1560-$E1560,"#,##0")))</f>
        <v/>
      </c>
      <c r="N1560">
        <f>IFERROR(MATCH($C$5&amp;"|"&amp;RIGHT("000000"&amp;1544,6),LdAKeyG,0),"")</f>
        <v/>
      </c>
    </row>
    <row r="1561">
      <c r="A1561" s="10" t="n">
        <v>1545</v>
      </c>
      <c r="B1561" s="14">
        <f>IF($N1561="","",INDEX(LdADate,$N1561))</f>
        <v/>
      </c>
      <c r="C1561" s="14">
        <f>IF($N1561="","",IF(INDEX(LdAId,$N1561)="","—",INDEX(LdAId,$N1561)))</f>
        <v/>
      </c>
      <c r="D1561" s="16">
        <f>IF($N1561="","",IF(INDEX(LdAAmt,$N1561)=0,"",INDEX(LdAAmt,$N1561)))</f>
        <v/>
      </c>
      <c r="E1561" s="16">
        <f>IF($N1561="","",SUMIFS(ShareAmt,ShareLink,$C1561))</f>
        <v/>
      </c>
      <c r="F1561" s="33">
        <f>IF($N1561="","",COUNTIF(ShareLink,$C1561))</f>
        <v/>
      </c>
      <c r="G1561" s="17">
        <f>IF($N1561="","",IF(ROUND($E1561-$D1561,0)=0,"√","▲ "&amp;TEXT($D1561-$E1561,"#,##0")))</f>
        <v/>
      </c>
      <c r="N1561">
        <f>IFERROR(MATCH($C$5&amp;"|"&amp;RIGHT("000000"&amp;1545,6),LdAKeyG,0),"")</f>
        <v/>
      </c>
    </row>
    <row r="1562">
      <c r="A1562" s="19" t="n">
        <v>1546</v>
      </c>
      <c r="B1562" s="20">
        <f>IF($N1562="","",INDEX(LdADate,$N1562))</f>
        <v/>
      </c>
      <c r="C1562" s="20">
        <f>IF($N1562="","",IF(INDEX(LdAId,$N1562)="","—",INDEX(LdAId,$N1562)))</f>
        <v/>
      </c>
      <c r="D1562" s="21">
        <f>IF($N1562="","",IF(INDEX(LdAAmt,$N1562)=0,"",INDEX(LdAAmt,$N1562)))</f>
        <v/>
      </c>
      <c r="E1562" s="21">
        <f>IF($N1562="","",SUMIFS(ShareAmt,ShareLink,$C1562))</f>
        <v/>
      </c>
      <c r="F1562" s="34">
        <f>IF($N1562="","",COUNTIF(ShareLink,$C1562))</f>
        <v/>
      </c>
      <c r="G1562" s="22">
        <f>IF($N1562="","",IF(ROUND($E1562-$D1562,0)=0,"√","▲ "&amp;TEXT($D1562-$E1562,"#,##0")))</f>
        <v/>
      </c>
      <c r="N1562">
        <f>IFERROR(MATCH($C$5&amp;"|"&amp;RIGHT("000000"&amp;1546,6),LdAKeyG,0),"")</f>
        <v/>
      </c>
    </row>
    <row r="1563">
      <c r="A1563" s="10" t="n">
        <v>1547</v>
      </c>
      <c r="B1563" s="14">
        <f>IF($N1563="","",INDEX(LdADate,$N1563))</f>
        <v/>
      </c>
      <c r="C1563" s="14">
        <f>IF($N1563="","",IF(INDEX(LdAId,$N1563)="","—",INDEX(LdAId,$N1563)))</f>
        <v/>
      </c>
      <c r="D1563" s="16">
        <f>IF($N1563="","",IF(INDEX(LdAAmt,$N1563)=0,"",INDEX(LdAAmt,$N1563)))</f>
        <v/>
      </c>
      <c r="E1563" s="16">
        <f>IF($N1563="","",SUMIFS(ShareAmt,ShareLink,$C1563))</f>
        <v/>
      </c>
      <c r="F1563" s="33">
        <f>IF($N1563="","",COUNTIF(ShareLink,$C1563))</f>
        <v/>
      </c>
      <c r="G1563" s="17">
        <f>IF($N1563="","",IF(ROUND($E1563-$D1563,0)=0,"√","▲ "&amp;TEXT($D1563-$E1563,"#,##0")))</f>
        <v/>
      </c>
      <c r="N1563">
        <f>IFERROR(MATCH($C$5&amp;"|"&amp;RIGHT("000000"&amp;1547,6),LdAKeyG,0),"")</f>
        <v/>
      </c>
    </row>
    <row r="1564">
      <c r="A1564" s="19" t="n">
        <v>1548</v>
      </c>
      <c r="B1564" s="20">
        <f>IF($N1564="","",INDEX(LdADate,$N1564))</f>
        <v/>
      </c>
      <c r="C1564" s="20">
        <f>IF($N1564="","",IF(INDEX(LdAId,$N1564)="","—",INDEX(LdAId,$N1564)))</f>
        <v/>
      </c>
      <c r="D1564" s="21">
        <f>IF($N1564="","",IF(INDEX(LdAAmt,$N1564)=0,"",INDEX(LdAAmt,$N1564)))</f>
        <v/>
      </c>
      <c r="E1564" s="21">
        <f>IF($N1564="","",SUMIFS(ShareAmt,ShareLink,$C1564))</f>
        <v/>
      </c>
      <c r="F1564" s="34">
        <f>IF($N1564="","",COUNTIF(ShareLink,$C1564))</f>
        <v/>
      </c>
      <c r="G1564" s="22">
        <f>IF($N1564="","",IF(ROUND($E1564-$D1564,0)=0,"√","▲ "&amp;TEXT($D1564-$E1564,"#,##0")))</f>
        <v/>
      </c>
      <c r="N1564">
        <f>IFERROR(MATCH($C$5&amp;"|"&amp;RIGHT("000000"&amp;1548,6),LdAKeyG,0),"")</f>
        <v/>
      </c>
    </row>
    <row r="1565">
      <c r="A1565" s="10" t="n">
        <v>1549</v>
      </c>
      <c r="B1565" s="14">
        <f>IF($N1565="","",INDEX(LdADate,$N1565))</f>
        <v/>
      </c>
      <c r="C1565" s="14">
        <f>IF($N1565="","",IF(INDEX(LdAId,$N1565)="","—",INDEX(LdAId,$N1565)))</f>
        <v/>
      </c>
      <c r="D1565" s="16">
        <f>IF($N1565="","",IF(INDEX(LdAAmt,$N1565)=0,"",INDEX(LdAAmt,$N1565)))</f>
        <v/>
      </c>
      <c r="E1565" s="16">
        <f>IF($N1565="","",SUMIFS(ShareAmt,ShareLink,$C1565))</f>
        <v/>
      </c>
      <c r="F1565" s="33">
        <f>IF($N1565="","",COUNTIF(ShareLink,$C1565))</f>
        <v/>
      </c>
      <c r="G1565" s="17">
        <f>IF($N1565="","",IF(ROUND($E1565-$D1565,0)=0,"√","▲ "&amp;TEXT($D1565-$E1565,"#,##0")))</f>
        <v/>
      </c>
      <c r="N1565">
        <f>IFERROR(MATCH($C$5&amp;"|"&amp;RIGHT("000000"&amp;1549,6),LdAKeyG,0),"")</f>
        <v/>
      </c>
    </row>
    <row r="1566">
      <c r="A1566" s="19" t="n">
        <v>1550</v>
      </c>
      <c r="B1566" s="20">
        <f>IF($N1566="","",INDEX(LdADate,$N1566))</f>
        <v/>
      </c>
      <c r="C1566" s="20">
        <f>IF($N1566="","",IF(INDEX(LdAId,$N1566)="","—",INDEX(LdAId,$N1566)))</f>
        <v/>
      </c>
      <c r="D1566" s="21">
        <f>IF($N1566="","",IF(INDEX(LdAAmt,$N1566)=0,"",INDEX(LdAAmt,$N1566)))</f>
        <v/>
      </c>
      <c r="E1566" s="21">
        <f>IF($N1566="","",SUMIFS(ShareAmt,ShareLink,$C1566))</f>
        <v/>
      </c>
      <c r="F1566" s="34">
        <f>IF($N1566="","",COUNTIF(ShareLink,$C1566))</f>
        <v/>
      </c>
      <c r="G1566" s="22">
        <f>IF($N1566="","",IF(ROUND($E1566-$D1566,0)=0,"√","▲ "&amp;TEXT($D1566-$E1566,"#,##0")))</f>
        <v/>
      </c>
      <c r="N1566">
        <f>IFERROR(MATCH($C$5&amp;"|"&amp;RIGHT("000000"&amp;1550,6),LdAKeyG,0),"")</f>
        <v/>
      </c>
    </row>
    <row r="1567">
      <c r="A1567" s="10" t="n">
        <v>1551</v>
      </c>
      <c r="B1567" s="14">
        <f>IF($N1567="","",INDEX(LdADate,$N1567))</f>
        <v/>
      </c>
      <c r="C1567" s="14">
        <f>IF($N1567="","",IF(INDEX(LdAId,$N1567)="","—",INDEX(LdAId,$N1567)))</f>
        <v/>
      </c>
      <c r="D1567" s="16">
        <f>IF($N1567="","",IF(INDEX(LdAAmt,$N1567)=0,"",INDEX(LdAAmt,$N1567)))</f>
        <v/>
      </c>
      <c r="E1567" s="16">
        <f>IF($N1567="","",SUMIFS(ShareAmt,ShareLink,$C1567))</f>
        <v/>
      </c>
      <c r="F1567" s="33">
        <f>IF($N1567="","",COUNTIF(ShareLink,$C1567))</f>
        <v/>
      </c>
      <c r="G1567" s="17">
        <f>IF($N1567="","",IF(ROUND($E1567-$D1567,0)=0,"√","▲ "&amp;TEXT($D1567-$E1567,"#,##0")))</f>
        <v/>
      </c>
      <c r="N1567">
        <f>IFERROR(MATCH($C$5&amp;"|"&amp;RIGHT("000000"&amp;1551,6),LdAKeyG,0),"")</f>
        <v/>
      </c>
    </row>
    <row r="1568">
      <c r="A1568" s="19" t="n">
        <v>1552</v>
      </c>
      <c r="B1568" s="20">
        <f>IF($N1568="","",INDEX(LdADate,$N1568))</f>
        <v/>
      </c>
      <c r="C1568" s="20">
        <f>IF($N1568="","",IF(INDEX(LdAId,$N1568)="","—",INDEX(LdAId,$N1568)))</f>
        <v/>
      </c>
      <c r="D1568" s="21">
        <f>IF($N1568="","",IF(INDEX(LdAAmt,$N1568)=0,"",INDEX(LdAAmt,$N1568)))</f>
        <v/>
      </c>
      <c r="E1568" s="21">
        <f>IF($N1568="","",SUMIFS(ShareAmt,ShareLink,$C1568))</f>
        <v/>
      </c>
      <c r="F1568" s="34">
        <f>IF($N1568="","",COUNTIF(ShareLink,$C1568))</f>
        <v/>
      </c>
      <c r="G1568" s="22">
        <f>IF($N1568="","",IF(ROUND($E1568-$D1568,0)=0,"√","▲ "&amp;TEXT($D1568-$E1568,"#,##0")))</f>
        <v/>
      </c>
      <c r="N1568">
        <f>IFERROR(MATCH($C$5&amp;"|"&amp;RIGHT("000000"&amp;1552,6),LdAKeyG,0),"")</f>
        <v/>
      </c>
    </row>
    <row r="1569">
      <c r="A1569" s="10" t="n">
        <v>1553</v>
      </c>
      <c r="B1569" s="14">
        <f>IF($N1569="","",INDEX(LdADate,$N1569))</f>
        <v/>
      </c>
      <c r="C1569" s="14">
        <f>IF($N1569="","",IF(INDEX(LdAId,$N1569)="","—",INDEX(LdAId,$N1569)))</f>
        <v/>
      </c>
      <c r="D1569" s="16">
        <f>IF($N1569="","",IF(INDEX(LdAAmt,$N1569)=0,"",INDEX(LdAAmt,$N1569)))</f>
        <v/>
      </c>
      <c r="E1569" s="16">
        <f>IF($N1569="","",SUMIFS(ShareAmt,ShareLink,$C1569))</f>
        <v/>
      </c>
      <c r="F1569" s="33">
        <f>IF($N1569="","",COUNTIF(ShareLink,$C1569))</f>
        <v/>
      </c>
      <c r="G1569" s="17">
        <f>IF($N1569="","",IF(ROUND($E1569-$D1569,0)=0,"√","▲ "&amp;TEXT($D1569-$E1569,"#,##0")))</f>
        <v/>
      </c>
      <c r="N1569">
        <f>IFERROR(MATCH($C$5&amp;"|"&amp;RIGHT("000000"&amp;1553,6),LdAKeyG,0),"")</f>
        <v/>
      </c>
    </row>
    <row r="1570">
      <c r="A1570" s="19" t="n">
        <v>1554</v>
      </c>
      <c r="B1570" s="20">
        <f>IF($N1570="","",INDEX(LdADate,$N1570))</f>
        <v/>
      </c>
      <c r="C1570" s="20">
        <f>IF($N1570="","",IF(INDEX(LdAId,$N1570)="","—",INDEX(LdAId,$N1570)))</f>
        <v/>
      </c>
      <c r="D1570" s="21">
        <f>IF($N1570="","",IF(INDEX(LdAAmt,$N1570)=0,"",INDEX(LdAAmt,$N1570)))</f>
        <v/>
      </c>
      <c r="E1570" s="21">
        <f>IF($N1570="","",SUMIFS(ShareAmt,ShareLink,$C1570))</f>
        <v/>
      </c>
      <c r="F1570" s="34">
        <f>IF($N1570="","",COUNTIF(ShareLink,$C1570))</f>
        <v/>
      </c>
      <c r="G1570" s="22">
        <f>IF($N1570="","",IF(ROUND($E1570-$D1570,0)=0,"√","▲ "&amp;TEXT($D1570-$E1570,"#,##0")))</f>
        <v/>
      </c>
      <c r="N1570">
        <f>IFERROR(MATCH($C$5&amp;"|"&amp;RIGHT("000000"&amp;1554,6),LdAKeyG,0),"")</f>
        <v/>
      </c>
    </row>
    <row r="1571">
      <c r="A1571" s="10" t="n">
        <v>1555</v>
      </c>
      <c r="B1571" s="14">
        <f>IF($N1571="","",INDEX(LdADate,$N1571))</f>
        <v/>
      </c>
      <c r="C1571" s="14">
        <f>IF($N1571="","",IF(INDEX(LdAId,$N1571)="","—",INDEX(LdAId,$N1571)))</f>
        <v/>
      </c>
      <c r="D1571" s="16">
        <f>IF($N1571="","",IF(INDEX(LdAAmt,$N1571)=0,"",INDEX(LdAAmt,$N1571)))</f>
        <v/>
      </c>
      <c r="E1571" s="16">
        <f>IF($N1571="","",SUMIFS(ShareAmt,ShareLink,$C1571))</f>
        <v/>
      </c>
      <c r="F1571" s="33">
        <f>IF($N1571="","",COUNTIF(ShareLink,$C1571))</f>
        <v/>
      </c>
      <c r="G1571" s="17">
        <f>IF($N1571="","",IF(ROUND($E1571-$D1571,0)=0,"√","▲ "&amp;TEXT($D1571-$E1571,"#,##0")))</f>
        <v/>
      </c>
      <c r="N1571">
        <f>IFERROR(MATCH($C$5&amp;"|"&amp;RIGHT("000000"&amp;1555,6),LdAKeyG,0),"")</f>
        <v/>
      </c>
    </row>
    <row r="1572">
      <c r="A1572" s="19" t="n">
        <v>1556</v>
      </c>
      <c r="B1572" s="20">
        <f>IF($N1572="","",INDEX(LdADate,$N1572))</f>
        <v/>
      </c>
      <c r="C1572" s="20">
        <f>IF($N1572="","",IF(INDEX(LdAId,$N1572)="","—",INDEX(LdAId,$N1572)))</f>
        <v/>
      </c>
      <c r="D1572" s="21">
        <f>IF($N1572="","",IF(INDEX(LdAAmt,$N1572)=0,"",INDEX(LdAAmt,$N1572)))</f>
        <v/>
      </c>
      <c r="E1572" s="21">
        <f>IF($N1572="","",SUMIFS(ShareAmt,ShareLink,$C1572))</f>
        <v/>
      </c>
      <c r="F1572" s="34">
        <f>IF($N1572="","",COUNTIF(ShareLink,$C1572))</f>
        <v/>
      </c>
      <c r="G1572" s="22">
        <f>IF($N1572="","",IF(ROUND($E1572-$D1572,0)=0,"√","▲ "&amp;TEXT($D1572-$E1572,"#,##0")))</f>
        <v/>
      </c>
      <c r="N1572">
        <f>IFERROR(MATCH($C$5&amp;"|"&amp;RIGHT("000000"&amp;1556,6),LdAKeyG,0),"")</f>
        <v/>
      </c>
    </row>
    <row r="1573">
      <c r="A1573" s="10" t="n">
        <v>1557</v>
      </c>
      <c r="B1573" s="14">
        <f>IF($N1573="","",INDEX(LdADate,$N1573))</f>
        <v/>
      </c>
      <c r="C1573" s="14">
        <f>IF($N1573="","",IF(INDEX(LdAId,$N1573)="","—",INDEX(LdAId,$N1573)))</f>
        <v/>
      </c>
      <c r="D1573" s="16">
        <f>IF($N1573="","",IF(INDEX(LdAAmt,$N1573)=0,"",INDEX(LdAAmt,$N1573)))</f>
        <v/>
      </c>
      <c r="E1573" s="16">
        <f>IF($N1573="","",SUMIFS(ShareAmt,ShareLink,$C1573))</f>
        <v/>
      </c>
      <c r="F1573" s="33">
        <f>IF($N1573="","",COUNTIF(ShareLink,$C1573))</f>
        <v/>
      </c>
      <c r="G1573" s="17">
        <f>IF($N1573="","",IF(ROUND($E1573-$D1573,0)=0,"√","▲ "&amp;TEXT($D1573-$E1573,"#,##0")))</f>
        <v/>
      </c>
      <c r="N1573">
        <f>IFERROR(MATCH($C$5&amp;"|"&amp;RIGHT("000000"&amp;1557,6),LdAKeyG,0),"")</f>
        <v/>
      </c>
    </row>
    <row r="1574">
      <c r="A1574" s="19" t="n">
        <v>1558</v>
      </c>
      <c r="B1574" s="20">
        <f>IF($N1574="","",INDEX(LdADate,$N1574))</f>
        <v/>
      </c>
      <c r="C1574" s="20">
        <f>IF($N1574="","",IF(INDEX(LdAId,$N1574)="","—",INDEX(LdAId,$N1574)))</f>
        <v/>
      </c>
      <c r="D1574" s="21">
        <f>IF($N1574="","",IF(INDEX(LdAAmt,$N1574)=0,"",INDEX(LdAAmt,$N1574)))</f>
        <v/>
      </c>
      <c r="E1574" s="21">
        <f>IF($N1574="","",SUMIFS(ShareAmt,ShareLink,$C1574))</f>
        <v/>
      </c>
      <c r="F1574" s="34">
        <f>IF($N1574="","",COUNTIF(ShareLink,$C1574))</f>
        <v/>
      </c>
      <c r="G1574" s="22">
        <f>IF($N1574="","",IF(ROUND($E1574-$D1574,0)=0,"√","▲ "&amp;TEXT($D1574-$E1574,"#,##0")))</f>
        <v/>
      </c>
      <c r="N1574">
        <f>IFERROR(MATCH($C$5&amp;"|"&amp;RIGHT("000000"&amp;1558,6),LdAKeyG,0),"")</f>
        <v/>
      </c>
    </row>
    <row r="1575">
      <c r="A1575" s="10" t="n">
        <v>1559</v>
      </c>
      <c r="B1575" s="14">
        <f>IF($N1575="","",INDEX(LdADate,$N1575))</f>
        <v/>
      </c>
      <c r="C1575" s="14">
        <f>IF($N1575="","",IF(INDEX(LdAId,$N1575)="","—",INDEX(LdAId,$N1575)))</f>
        <v/>
      </c>
      <c r="D1575" s="16">
        <f>IF($N1575="","",IF(INDEX(LdAAmt,$N1575)=0,"",INDEX(LdAAmt,$N1575)))</f>
        <v/>
      </c>
      <c r="E1575" s="16">
        <f>IF($N1575="","",SUMIFS(ShareAmt,ShareLink,$C1575))</f>
        <v/>
      </c>
      <c r="F1575" s="33">
        <f>IF($N1575="","",COUNTIF(ShareLink,$C1575))</f>
        <v/>
      </c>
      <c r="G1575" s="17">
        <f>IF($N1575="","",IF(ROUND($E1575-$D1575,0)=0,"√","▲ "&amp;TEXT($D1575-$E1575,"#,##0")))</f>
        <v/>
      </c>
      <c r="N1575">
        <f>IFERROR(MATCH($C$5&amp;"|"&amp;RIGHT("000000"&amp;1559,6),LdAKeyG,0),"")</f>
        <v/>
      </c>
    </row>
    <row r="1576">
      <c r="A1576" s="19" t="n">
        <v>1560</v>
      </c>
      <c r="B1576" s="20">
        <f>IF($N1576="","",INDEX(LdADate,$N1576))</f>
        <v/>
      </c>
      <c r="C1576" s="20">
        <f>IF($N1576="","",IF(INDEX(LdAId,$N1576)="","—",INDEX(LdAId,$N1576)))</f>
        <v/>
      </c>
      <c r="D1576" s="21">
        <f>IF($N1576="","",IF(INDEX(LdAAmt,$N1576)=0,"",INDEX(LdAAmt,$N1576)))</f>
        <v/>
      </c>
      <c r="E1576" s="21">
        <f>IF($N1576="","",SUMIFS(ShareAmt,ShareLink,$C1576))</f>
        <v/>
      </c>
      <c r="F1576" s="34">
        <f>IF($N1576="","",COUNTIF(ShareLink,$C1576))</f>
        <v/>
      </c>
      <c r="G1576" s="22">
        <f>IF($N1576="","",IF(ROUND($E1576-$D1576,0)=0,"√","▲ "&amp;TEXT($D1576-$E1576,"#,##0")))</f>
        <v/>
      </c>
      <c r="N1576">
        <f>IFERROR(MATCH($C$5&amp;"|"&amp;RIGHT("000000"&amp;1560,6),LdAKeyG,0),"")</f>
        <v/>
      </c>
    </row>
    <row r="1577">
      <c r="A1577" s="10" t="n">
        <v>1561</v>
      </c>
      <c r="B1577" s="14">
        <f>IF($N1577="","",INDEX(LdADate,$N1577))</f>
        <v/>
      </c>
      <c r="C1577" s="14">
        <f>IF($N1577="","",IF(INDEX(LdAId,$N1577)="","—",INDEX(LdAId,$N1577)))</f>
        <v/>
      </c>
      <c r="D1577" s="16">
        <f>IF($N1577="","",IF(INDEX(LdAAmt,$N1577)=0,"",INDEX(LdAAmt,$N1577)))</f>
        <v/>
      </c>
      <c r="E1577" s="16">
        <f>IF($N1577="","",SUMIFS(ShareAmt,ShareLink,$C1577))</f>
        <v/>
      </c>
      <c r="F1577" s="33">
        <f>IF($N1577="","",COUNTIF(ShareLink,$C1577))</f>
        <v/>
      </c>
      <c r="G1577" s="17">
        <f>IF($N1577="","",IF(ROUND($E1577-$D1577,0)=0,"√","▲ "&amp;TEXT($D1577-$E1577,"#,##0")))</f>
        <v/>
      </c>
      <c r="N1577">
        <f>IFERROR(MATCH($C$5&amp;"|"&amp;RIGHT("000000"&amp;1561,6),LdAKeyG,0),"")</f>
        <v/>
      </c>
    </row>
    <row r="1578">
      <c r="A1578" s="19" t="n">
        <v>1562</v>
      </c>
      <c r="B1578" s="20">
        <f>IF($N1578="","",INDEX(LdADate,$N1578))</f>
        <v/>
      </c>
      <c r="C1578" s="20">
        <f>IF($N1578="","",IF(INDEX(LdAId,$N1578)="","—",INDEX(LdAId,$N1578)))</f>
        <v/>
      </c>
      <c r="D1578" s="21">
        <f>IF($N1578="","",IF(INDEX(LdAAmt,$N1578)=0,"",INDEX(LdAAmt,$N1578)))</f>
        <v/>
      </c>
      <c r="E1578" s="21">
        <f>IF($N1578="","",SUMIFS(ShareAmt,ShareLink,$C1578))</f>
        <v/>
      </c>
      <c r="F1578" s="34">
        <f>IF($N1578="","",COUNTIF(ShareLink,$C1578))</f>
        <v/>
      </c>
      <c r="G1578" s="22">
        <f>IF($N1578="","",IF(ROUND($E1578-$D1578,0)=0,"√","▲ "&amp;TEXT($D1578-$E1578,"#,##0")))</f>
        <v/>
      </c>
      <c r="N1578">
        <f>IFERROR(MATCH($C$5&amp;"|"&amp;RIGHT("000000"&amp;1562,6),LdAKeyG,0),"")</f>
        <v/>
      </c>
    </row>
    <row r="1579">
      <c r="A1579" s="10" t="n">
        <v>1563</v>
      </c>
      <c r="B1579" s="14">
        <f>IF($N1579="","",INDEX(LdADate,$N1579))</f>
        <v/>
      </c>
      <c r="C1579" s="14">
        <f>IF($N1579="","",IF(INDEX(LdAId,$N1579)="","—",INDEX(LdAId,$N1579)))</f>
        <v/>
      </c>
      <c r="D1579" s="16">
        <f>IF($N1579="","",IF(INDEX(LdAAmt,$N1579)=0,"",INDEX(LdAAmt,$N1579)))</f>
        <v/>
      </c>
      <c r="E1579" s="16">
        <f>IF($N1579="","",SUMIFS(ShareAmt,ShareLink,$C1579))</f>
        <v/>
      </c>
      <c r="F1579" s="33">
        <f>IF($N1579="","",COUNTIF(ShareLink,$C1579))</f>
        <v/>
      </c>
      <c r="G1579" s="17">
        <f>IF($N1579="","",IF(ROUND($E1579-$D1579,0)=0,"√","▲ "&amp;TEXT($D1579-$E1579,"#,##0")))</f>
        <v/>
      </c>
      <c r="N1579">
        <f>IFERROR(MATCH($C$5&amp;"|"&amp;RIGHT("000000"&amp;1563,6),LdAKeyG,0),"")</f>
        <v/>
      </c>
    </row>
    <row r="1580">
      <c r="A1580" s="19" t="n">
        <v>1564</v>
      </c>
      <c r="B1580" s="20">
        <f>IF($N1580="","",INDEX(LdADate,$N1580))</f>
        <v/>
      </c>
      <c r="C1580" s="20">
        <f>IF($N1580="","",IF(INDEX(LdAId,$N1580)="","—",INDEX(LdAId,$N1580)))</f>
        <v/>
      </c>
      <c r="D1580" s="21">
        <f>IF($N1580="","",IF(INDEX(LdAAmt,$N1580)=0,"",INDEX(LdAAmt,$N1580)))</f>
        <v/>
      </c>
      <c r="E1580" s="21">
        <f>IF($N1580="","",SUMIFS(ShareAmt,ShareLink,$C1580))</f>
        <v/>
      </c>
      <c r="F1580" s="34">
        <f>IF($N1580="","",COUNTIF(ShareLink,$C1580))</f>
        <v/>
      </c>
      <c r="G1580" s="22">
        <f>IF($N1580="","",IF(ROUND($E1580-$D1580,0)=0,"√","▲ "&amp;TEXT($D1580-$E1580,"#,##0")))</f>
        <v/>
      </c>
      <c r="N1580">
        <f>IFERROR(MATCH($C$5&amp;"|"&amp;RIGHT("000000"&amp;1564,6),LdAKeyG,0),"")</f>
        <v/>
      </c>
    </row>
    <row r="1581">
      <c r="A1581" s="10" t="n">
        <v>1565</v>
      </c>
      <c r="B1581" s="14">
        <f>IF($N1581="","",INDEX(LdADate,$N1581))</f>
        <v/>
      </c>
      <c r="C1581" s="14">
        <f>IF($N1581="","",IF(INDEX(LdAId,$N1581)="","—",INDEX(LdAId,$N1581)))</f>
        <v/>
      </c>
      <c r="D1581" s="16">
        <f>IF($N1581="","",IF(INDEX(LdAAmt,$N1581)=0,"",INDEX(LdAAmt,$N1581)))</f>
        <v/>
      </c>
      <c r="E1581" s="16">
        <f>IF($N1581="","",SUMIFS(ShareAmt,ShareLink,$C1581))</f>
        <v/>
      </c>
      <c r="F1581" s="33">
        <f>IF($N1581="","",COUNTIF(ShareLink,$C1581))</f>
        <v/>
      </c>
      <c r="G1581" s="17">
        <f>IF($N1581="","",IF(ROUND($E1581-$D1581,0)=0,"√","▲ "&amp;TEXT($D1581-$E1581,"#,##0")))</f>
        <v/>
      </c>
      <c r="N1581">
        <f>IFERROR(MATCH($C$5&amp;"|"&amp;RIGHT("000000"&amp;1565,6),LdAKeyG,0),"")</f>
        <v/>
      </c>
    </row>
    <row r="1582">
      <c r="A1582" s="19" t="n">
        <v>1566</v>
      </c>
      <c r="B1582" s="20">
        <f>IF($N1582="","",INDEX(LdADate,$N1582))</f>
        <v/>
      </c>
      <c r="C1582" s="20">
        <f>IF($N1582="","",IF(INDEX(LdAId,$N1582)="","—",INDEX(LdAId,$N1582)))</f>
        <v/>
      </c>
      <c r="D1582" s="21">
        <f>IF($N1582="","",IF(INDEX(LdAAmt,$N1582)=0,"",INDEX(LdAAmt,$N1582)))</f>
        <v/>
      </c>
      <c r="E1582" s="21">
        <f>IF($N1582="","",SUMIFS(ShareAmt,ShareLink,$C1582))</f>
        <v/>
      </c>
      <c r="F1582" s="34">
        <f>IF($N1582="","",COUNTIF(ShareLink,$C1582))</f>
        <v/>
      </c>
      <c r="G1582" s="22">
        <f>IF($N1582="","",IF(ROUND($E1582-$D1582,0)=0,"√","▲ "&amp;TEXT($D1582-$E1582,"#,##0")))</f>
        <v/>
      </c>
      <c r="N1582">
        <f>IFERROR(MATCH($C$5&amp;"|"&amp;RIGHT("000000"&amp;1566,6),LdAKeyG,0),"")</f>
        <v/>
      </c>
    </row>
    <row r="1583">
      <c r="A1583" s="10" t="n">
        <v>1567</v>
      </c>
      <c r="B1583" s="14">
        <f>IF($N1583="","",INDEX(LdADate,$N1583))</f>
        <v/>
      </c>
      <c r="C1583" s="14">
        <f>IF($N1583="","",IF(INDEX(LdAId,$N1583)="","—",INDEX(LdAId,$N1583)))</f>
        <v/>
      </c>
      <c r="D1583" s="16">
        <f>IF($N1583="","",IF(INDEX(LdAAmt,$N1583)=0,"",INDEX(LdAAmt,$N1583)))</f>
        <v/>
      </c>
      <c r="E1583" s="16">
        <f>IF($N1583="","",SUMIFS(ShareAmt,ShareLink,$C1583))</f>
        <v/>
      </c>
      <c r="F1583" s="33">
        <f>IF($N1583="","",COUNTIF(ShareLink,$C1583))</f>
        <v/>
      </c>
      <c r="G1583" s="17">
        <f>IF($N1583="","",IF(ROUND($E1583-$D1583,0)=0,"√","▲ "&amp;TEXT($D1583-$E1583,"#,##0")))</f>
        <v/>
      </c>
      <c r="N1583">
        <f>IFERROR(MATCH($C$5&amp;"|"&amp;RIGHT("000000"&amp;1567,6),LdAKeyG,0),"")</f>
        <v/>
      </c>
    </row>
    <row r="1584">
      <c r="A1584" s="19" t="n">
        <v>1568</v>
      </c>
      <c r="B1584" s="20">
        <f>IF($N1584="","",INDEX(LdADate,$N1584))</f>
        <v/>
      </c>
      <c r="C1584" s="20">
        <f>IF($N1584="","",IF(INDEX(LdAId,$N1584)="","—",INDEX(LdAId,$N1584)))</f>
        <v/>
      </c>
      <c r="D1584" s="21">
        <f>IF($N1584="","",IF(INDEX(LdAAmt,$N1584)=0,"",INDEX(LdAAmt,$N1584)))</f>
        <v/>
      </c>
      <c r="E1584" s="21">
        <f>IF($N1584="","",SUMIFS(ShareAmt,ShareLink,$C1584))</f>
        <v/>
      </c>
      <c r="F1584" s="34">
        <f>IF($N1584="","",COUNTIF(ShareLink,$C1584))</f>
        <v/>
      </c>
      <c r="G1584" s="22">
        <f>IF($N1584="","",IF(ROUND($E1584-$D1584,0)=0,"√","▲ "&amp;TEXT($D1584-$E1584,"#,##0")))</f>
        <v/>
      </c>
      <c r="N1584">
        <f>IFERROR(MATCH($C$5&amp;"|"&amp;RIGHT("000000"&amp;1568,6),LdAKeyG,0),"")</f>
        <v/>
      </c>
    </row>
    <row r="1585">
      <c r="A1585" s="10" t="n">
        <v>1569</v>
      </c>
      <c r="B1585" s="14">
        <f>IF($N1585="","",INDEX(LdADate,$N1585))</f>
        <v/>
      </c>
      <c r="C1585" s="14">
        <f>IF($N1585="","",IF(INDEX(LdAId,$N1585)="","—",INDEX(LdAId,$N1585)))</f>
        <v/>
      </c>
      <c r="D1585" s="16">
        <f>IF($N1585="","",IF(INDEX(LdAAmt,$N1585)=0,"",INDEX(LdAAmt,$N1585)))</f>
        <v/>
      </c>
      <c r="E1585" s="16">
        <f>IF($N1585="","",SUMIFS(ShareAmt,ShareLink,$C1585))</f>
        <v/>
      </c>
      <c r="F1585" s="33">
        <f>IF($N1585="","",COUNTIF(ShareLink,$C1585))</f>
        <v/>
      </c>
      <c r="G1585" s="17">
        <f>IF($N1585="","",IF(ROUND($E1585-$D1585,0)=0,"√","▲ "&amp;TEXT($D1585-$E1585,"#,##0")))</f>
        <v/>
      </c>
      <c r="N1585">
        <f>IFERROR(MATCH($C$5&amp;"|"&amp;RIGHT("000000"&amp;1569,6),LdAKeyG,0),"")</f>
        <v/>
      </c>
    </row>
    <row r="1586">
      <c r="A1586" s="19" t="n">
        <v>1570</v>
      </c>
      <c r="B1586" s="20">
        <f>IF($N1586="","",INDEX(LdADate,$N1586))</f>
        <v/>
      </c>
      <c r="C1586" s="20">
        <f>IF($N1586="","",IF(INDEX(LdAId,$N1586)="","—",INDEX(LdAId,$N1586)))</f>
        <v/>
      </c>
      <c r="D1586" s="21">
        <f>IF($N1586="","",IF(INDEX(LdAAmt,$N1586)=0,"",INDEX(LdAAmt,$N1586)))</f>
        <v/>
      </c>
      <c r="E1586" s="21">
        <f>IF($N1586="","",SUMIFS(ShareAmt,ShareLink,$C1586))</f>
        <v/>
      </c>
      <c r="F1586" s="34">
        <f>IF($N1586="","",COUNTIF(ShareLink,$C1586))</f>
        <v/>
      </c>
      <c r="G1586" s="22">
        <f>IF($N1586="","",IF(ROUND($E1586-$D1586,0)=0,"√","▲ "&amp;TEXT($D1586-$E1586,"#,##0")))</f>
        <v/>
      </c>
      <c r="N1586">
        <f>IFERROR(MATCH($C$5&amp;"|"&amp;RIGHT("000000"&amp;1570,6),LdAKeyG,0),"")</f>
        <v/>
      </c>
    </row>
    <row r="1587">
      <c r="A1587" s="10" t="n">
        <v>1571</v>
      </c>
      <c r="B1587" s="14">
        <f>IF($N1587="","",INDEX(LdADate,$N1587))</f>
        <v/>
      </c>
      <c r="C1587" s="14">
        <f>IF($N1587="","",IF(INDEX(LdAId,$N1587)="","—",INDEX(LdAId,$N1587)))</f>
        <v/>
      </c>
      <c r="D1587" s="16">
        <f>IF($N1587="","",IF(INDEX(LdAAmt,$N1587)=0,"",INDEX(LdAAmt,$N1587)))</f>
        <v/>
      </c>
      <c r="E1587" s="16">
        <f>IF($N1587="","",SUMIFS(ShareAmt,ShareLink,$C1587))</f>
        <v/>
      </c>
      <c r="F1587" s="33">
        <f>IF($N1587="","",COUNTIF(ShareLink,$C1587))</f>
        <v/>
      </c>
      <c r="G1587" s="17">
        <f>IF($N1587="","",IF(ROUND($E1587-$D1587,0)=0,"√","▲ "&amp;TEXT($D1587-$E1587,"#,##0")))</f>
        <v/>
      </c>
      <c r="N1587">
        <f>IFERROR(MATCH($C$5&amp;"|"&amp;RIGHT("000000"&amp;1571,6),LdAKeyG,0),"")</f>
        <v/>
      </c>
    </row>
    <row r="1588">
      <c r="A1588" s="19" t="n">
        <v>1572</v>
      </c>
      <c r="B1588" s="20">
        <f>IF($N1588="","",INDEX(LdADate,$N1588))</f>
        <v/>
      </c>
      <c r="C1588" s="20">
        <f>IF($N1588="","",IF(INDEX(LdAId,$N1588)="","—",INDEX(LdAId,$N1588)))</f>
        <v/>
      </c>
      <c r="D1588" s="21">
        <f>IF($N1588="","",IF(INDEX(LdAAmt,$N1588)=0,"",INDEX(LdAAmt,$N1588)))</f>
        <v/>
      </c>
      <c r="E1588" s="21">
        <f>IF($N1588="","",SUMIFS(ShareAmt,ShareLink,$C1588))</f>
        <v/>
      </c>
      <c r="F1588" s="34">
        <f>IF($N1588="","",COUNTIF(ShareLink,$C1588))</f>
        <v/>
      </c>
      <c r="G1588" s="22">
        <f>IF($N1588="","",IF(ROUND($E1588-$D1588,0)=0,"√","▲ "&amp;TEXT($D1588-$E1588,"#,##0")))</f>
        <v/>
      </c>
      <c r="N1588">
        <f>IFERROR(MATCH($C$5&amp;"|"&amp;RIGHT("000000"&amp;1572,6),LdAKeyG,0),"")</f>
        <v/>
      </c>
    </row>
    <row r="1589">
      <c r="A1589" s="10" t="n">
        <v>1573</v>
      </c>
      <c r="B1589" s="14">
        <f>IF($N1589="","",INDEX(LdADate,$N1589))</f>
        <v/>
      </c>
      <c r="C1589" s="14">
        <f>IF($N1589="","",IF(INDEX(LdAId,$N1589)="","—",INDEX(LdAId,$N1589)))</f>
        <v/>
      </c>
      <c r="D1589" s="16">
        <f>IF($N1589="","",IF(INDEX(LdAAmt,$N1589)=0,"",INDEX(LdAAmt,$N1589)))</f>
        <v/>
      </c>
      <c r="E1589" s="16">
        <f>IF($N1589="","",SUMIFS(ShareAmt,ShareLink,$C1589))</f>
        <v/>
      </c>
      <c r="F1589" s="33">
        <f>IF($N1589="","",COUNTIF(ShareLink,$C1589))</f>
        <v/>
      </c>
      <c r="G1589" s="17">
        <f>IF($N1589="","",IF(ROUND($E1589-$D1589,0)=0,"√","▲ "&amp;TEXT($D1589-$E1589,"#,##0")))</f>
        <v/>
      </c>
      <c r="N1589">
        <f>IFERROR(MATCH($C$5&amp;"|"&amp;RIGHT("000000"&amp;1573,6),LdAKeyG,0),"")</f>
        <v/>
      </c>
    </row>
    <row r="1590">
      <c r="A1590" s="19" t="n">
        <v>1574</v>
      </c>
      <c r="B1590" s="20">
        <f>IF($N1590="","",INDEX(LdADate,$N1590))</f>
        <v/>
      </c>
      <c r="C1590" s="20">
        <f>IF($N1590="","",IF(INDEX(LdAId,$N1590)="","—",INDEX(LdAId,$N1590)))</f>
        <v/>
      </c>
      <c r="D1590" s="21">
        <f>IF($N1590="","",IF(INDEX(LdAAmt,$N1590)=0,"",INDEX(LdAAmt,$N1590)))</f>
        <v/>
      </c>
      <c r="E1590" s="21">
        <f>IF($N1590="","",SUMIFS(ShareAmt,ShareLink,$C1590))</f>
        <v/>
      </c>
      <c r="F1590" s="34">
        <f>IF($N1590="","",COUNTIF(ShareLink,$C1590))</f>
        <v/>
      </c>
      <c r="G1590" s="22">
        <f>IF($N1590="","",IF(ROUND($E1590-$D1590,0)=0,"√","▲ "&amp;TEXT($D1590-$E1590,"#,##0")))</f>
        <v/>
      </c>
      <c r="N1590">
        <f>IFERROR(MATCH($C$5&amp;"|"&amp;RIGHT("000000"&amp;1574,6),LdAKeyG,0),"")</f>
        <v/>
      </c>
    </row>
    <row r="1591">
      <c r="A1591" s="10" t="n">
        <v>1575</v>
      </c>
      <c r="B1591" s="14">
        <f>IF($N1591="","",INDEX(LdADate,$N1591))</f>
        <v/>
      </c>
      <c r="C1591" s="14">
        <f>IF($N1591="","",IF(INDEX(LdAId,$N1591)="","—",INDEX(LdAId,$N1591)))</f>
        <v/>
      </c>
      <c r="D1591" s="16">
        <f>IF($N1591="","",IF(INDEX(LdAAmt,$N1591)=0,"",INDEX(LdAAmt,$N1591)))</f>
        <v/>
      </c>
      <c r="E1591" s="16">
        <f>IF($N1591="","",SUMIFS(ShareAmt,ShareLink,$C1591))</f>
        <v/>
      </c>
      <c r="F1591" s="33">
        <f>IF($N1591="","",COUNTIF(ShareLink,$C1591))</f>
        <v/>
      </c>
      <c r="G1591" s="17">
        <f>IF($N1591="","",IF(ROUND($E1591-$D1591,0)=0,"√","▲ "&amp;TEXT($D1591-$E1591,"#,##0")))</f>
        <v/>
      </c>
      <c r="N1591">
        <f>IFERROR(MATCH($C$5&amp;"|"&amp;RIGHT("000000"&amp;1575,6),LdAKeyG,0),"")</f>
        <v/>
      </c>
    </row>
    <row r="1592">
      <c r="A1592" s="19" t="n">
        <v>1576</v>
      </c>
      <c r="B1592" s="20">
        <f>IF($N1592="","",INDEX(LdADate,$N1592))</f>
        <v/>
      </c>
      <c r="C1592" s="20">
        <f>IF($N1592="","",IF(INDEX(LdAId,$N1592)="","—",INDEX(LdAId,$N1592)))</f>
        <v/>
      </c>
      <c r="D1592" s="21">
        <f>IF($N1592="","",IF(INDEX(LdAAmt,$N1592)=0,"",INDEX(LdAAmt,$N1592)))</f>
        <v/>
      </c>
      <c r="E1592" s="21">
        <f>IF($N1592="","",SUMIFS(ShareAmt,ShareLink,$C1592))</f>
        <v/>
      </c>
      <c r="F1592" s="34">
        <f>IF($N1592="","",COUNTIF(ShareLink,$C1592))</f>
        <v/>
      </c>
      <c r="G1592" s="22">
        <f>IF($N1592="","",IF(ROUND($E1592-$D1592,0)=0,"√","▲ "&amp;TEXT($D1592-$E1592,"#,##0")))</f>
        <v/>
      </c>
      <c r="N1592">
        <f>IFERROR(MATCH($C$5&amp;"|"&amp;RIGHT("000000"&amp;1576,6),LdAKeyG,0),"")</f>
        <v/>
      </c>
    </row>
    <row r="1593">
      <c r="A1593" s="10" t="n">
        <v>1577</v>
      </c>
      <c r="B1593" s="14">
        <f>IF($N1593="","",INDEX(LdADate,$N1593))</f>
        <v/>
      </c>
      <c r="C1593" s="14">
        <f>IF($N1593="","",IF(INDEX(LdAId,$N1593)="","—",INDEX(LdAId,$N1593)))</f>
        <v/>
      </c>
      <c r="D1593" s="16">
        <f>IF($N1593="","",IF(INDEX(LdAAmt,$N1593)=0,"",INDEX(LdAAmt,$N1593)))</f>
        <v/>
      </c>
      <c r="E1593" s="16">
        <f>IF($N1593="","",SUMIFS(ShareAmt,ShareLink,$C1593))</f>
        <v/>
      </c>
      <c r="F1593" s="33">
        <f>IF($N1593="","",COUNTIF(ShareLink,$C1593))</f>
        <v/>
      </c>
      <c r="G1593" s="17">
        <f>IF($N1593="","",IF(ROUND($E1593-$D1593,0)=0,"√","▲ "&amp;TEXT($D1593-$E1593,"#,##0")))</f>
        <v/>
      </c>
      <c r="N1593">
        <f>IFERROR(MATCH($C$5&amp;"|"&amp;RIGHT("000000"&amp;1577,6),LdAKeyG,0),"")</f>
        <v/>
      </c>
    </row>
    <row r="1594">
      <c r="A1594" s="19" t="n">
        <v>1578</v>
      </c>
      <c r="B1594" s="20">
        <f>IF($N1594="","",INDEX(LdADate,$N1594))</f>
        <v/>
      </c>
      <c r="C1594" s="20">
        <f>IF($N1594="","",IF(INDEX(LdAId,$N1594)="","—",INDEX(LdAId,$N1594)))</f>
        <v/>
      </c>
      <c r="D1594" s="21">
        <f>IF($N1594="","",IF(INDEX(LdAAmt,$N1594)=0,"",INDEX(LdAAmt,$N1594)))</f>
        <v/>
      </c>
      <c r="E1594" s="21">
        <f>IF($N1594="","",SUMIFS(ShareAmt,ShareLink,$C1594))</f>
        <v/>
      </c>
      <c r="F1594" s="34">
        <f>IF($N1594="","",COUNTIF(ShareLink,$C1594))</f>
        <v/>
      </c>
      <c r="G1594" s="22">
        <f>IF($N1594="","",IF(ROUND($E1594-$D1594,0)=0,"√","▲ "&amp;TEXT($D1594-$E1594,"#,##0")))</f>
        <v/>
      </c>
      <c r="N1594">
        <f>IFERROR(MATCH($C$5&amp;"|"&amp;RIGHT("000000"&amp;1578,6),LdAKeyG,0),"")</f>
        <v/>
      </c>
    </row>
    <row r="1595">
      <c r="A1595" s="10" t="n">
        <v>1579</v>
      </c>
      <c r="B1595" s="14">
        <f>IF($N1595="","",INDEX(LdADate,$N1595))</f>
        <v/>
      </c>
      <c r="C1595" s="14">
        <f>IF($N1595="","",IF(INDEX(LdAId,$N1595)="","—",INDEX(LdAId,$N1595)))</f>
        <v/>
      </c>
      <c r="D1595" s="16">
        <f>IF($N1595="","",IF(INDEX(LdAAmt,$N1595)=0,"",INDEX(LdAAmt,$N1595)))</f>
        <v/>
      </c>
      <c r="E1595" s="16">
        <f>IF($N1595="","",SUMIFS(ShareAmt,ShareLink,$C1595))</f>
        <v/>
      </c>
      <c r="F1595" s="33">
        <f>IF($N1595="","",COUNTIF(ShareLink,$C1595))</f>
        <v/>
      </c>
      <c r="G1595" s="17">
        <f>IF($N1595="","",IF(ROUND($E1595-$D1595,0)=0,"√","▲ "&amp;TEXT($D1595-$E1595,"#,##0")))</f>
        <v/>
      </c>
      <c r="N1595">
        <f>IFERROR(MATCH($C$5&amp;"|"&amp;RIGHT("000000"&amp;1579,6),LdAKeyG,0),"")</f>
        <v/>
      </c>
    </row>
    <row r="1596">
      <c r="A1596" s="19" t="n">
        <v>1580</v>
      </c>
      <c r="B1596" s="20">
        <f>IF($N1596="","",INDEX(LdADate,$N1596))</f>
        <v/>
      </c>
      <c r="C1596" s="20">
        <f>IF($N1596="","",IF(INDEX(LdAId,$N1596)="","—",INDEX(LdAId,$N1596)))</f>
        <v/>
      </c>
      <c r="D1596" s="21">
        <f>IF($N1596="","",IF(INDEX(LdAAmt,$N1596)=0,"",INDEX(LdAAmt,$N1596)))</f>
        <v/>
      </c>
      <c r="E1596" s="21">
        <f>IF($N1596="","",SUMIFS(ShareAmt,ShareLink,$C1596))</f>
        <v/>
      </c>
      <c r="F1596" s="34">
        <f>IF($N1596="","",COUNTIF(ShareLink,$C1596))</f>
        <v/>
      </c>
      <c r="G1596" s="22">
        <f>IF($N1596="","",IF(ROUND($E1596-$D1596,0)=0,"√","▲ "&amp;TEXT($D1596-$E1596,"#,##0")))</f>
        <v/>
      </c>
      <c r="N1596">
        <f>IFERROR(MATCH($C$5&amp;"|"&amp;RIGHT("000000"&amp;1580,6),LdAKeyG,0),"")</f>
        <v/>
      </c>
    </row>
    <row r="1597">
      <c r="A1597" s="10" t="n">
        <v>1581</v>
      </c>
      <c r="B1597" s="14">
        <f>IF($N1597="","",INDEX(LdADate,$N1597))</f>
        <v/>
      </c>
      <c r="C1597" s="14">
        <f>IF($N1597="","",IF(INDEX(LdAId,$N1597)="","—",INDEX(LdAId,$N1597)))</f>
        <v/>
      </c>
      <c r="D1597" s="16">
        <f>IF($N1597="","",IF(INDEX(LdAAmt,$N1597)=0,"",INDEX(LdAAmt,$N1597)))</f>
        <v/>
      </c>
      <c r="E1597" s="16">
        <f>IF($N1597="","",SUMIFS(ShareAmt,ShareLink,$C1597))</f>
        <v/>
      </c>
      <c r="F1597" s="33">
        <f>IF($N1597="","",COUNTIF(ShareLink,$C1597))</f>
        <v/>
      </c>
      <c r="G1597" s="17">
        <f>IF($N1597="","",IF(ROUND($E1597-$D1597,0)=0,"√","▲ "&amp;TEXT($D1597-$E1597,"#,##0")))</f>
        <v/>
      </c>
      <c r="N1597">
        <f>IFERROR(MATCH($C$5&amp;"|"&amp;RIGHT("000000"&amp;1581,6),LdAKeyG,0),"")</f>
        <v/>
      </c>
    </row>
    <row r="1598">
      <c r="A1598" s="19" t="n">
        <v>1582</v>
      </c>
      <c r="B1598" s="20">
        <f>IF($N1598="","",INDEX(LdADate,$N1598))</f>
        <v/>
      </c>
      <c r="C1598" s="20">
        <f>IF($N1598="","",IF(INDEX(LdAId,$N1598)="","—",INDEX(LdAId,$N1598)))</f>
        <v/>
      </c>
      <c r="D1598" s="21">
        <f>IF($N1598="","",IF(INDEX(LdAAmt,$N1598)=0,"",INDEX(LdAAmt,$N1598)))</f>
        <v/>
      </c>
      <c r="E1598" s="21">
        <f>IF($N1598="","",SUMIFS(ShareAmt,ShareLink,$C1598))</f>
        <v/>
      </c>
      <c r="F1598" s="34">
        <f>IF($N1598="","",COUNTIF(ShareLink,$C1598))</f>
        <v/>
      </c>
      <c r="G1598" s="22">
        <f>IF($N1598="","",IF(ROUND($E1598-$D1598,0)=0,"√","▲ "&amp;TEXT($D1598-$E1598,"#,##0")))</f>
        <v/>
      </c>
      <c r="N1598">
        <f>IFERROR(MATCH($C$5&amp;"|"&amp;RIGHT("000000"&amp;1582,6),LdAKeyG,0),"")</f>
        <v/>
      </c>
    </row>
    <row r="1599">
      <c r="A1599" s="10" t="n">
        <v>1583</v>
      </c>
      <c r="B1599" s="14">
        <f>IF($N1599="","",INDEX(LdADate,$N1599))</f>
        <v/>
      </c>
      <c r="C1599" s="14">
        <f>IF($N1599="","",IF(INDEX(LdAId,$N1599)="","—",INDEX(LdAId,$N1599)))</f>
        <v/>
      </c>
      <c r="D1599" s="16">
        <f>IF($N1599="","",IF(INDEX(LdAAmt,$N1599)=0,"",INDEX(LdAAmt,$N1599)))</f>
        <v/>
      </c>
      <c r="E1599" s="16">
        <f>IF($N1599="","",SUMIFS(ShareAmt,ShareLink,$C1599))</f>
        <v/>
      </c>
      <c r="F1599" s="33">
        <f>IF($N1599="","",COUNTIF(ShareLink,$C1599))</f>
        <v/>
      </c>
      <c r="G1599" s="17">
        <f>IF($N1599="","",IF(ROUND($E1599-$D1599,0)=0,"√","▲ "&amp;TEXT($D1599-$E1599,"#,##0")))</f>
        <v/>
      </c>
      <c r="N1599">
        <f>IFERROR(MATCH($C$5&amp;"|"&amp;RIGHT("000000"&amp;1583,6),LdAKeyG,0),"")</f>
        <v/>
      </c>
    </row>
    <row r="1600">
      <c r="A1600" s="19" t="n">
        <v>1584</v>
      </c>
      <c r="B1600" s="20">
        <f>IF($N1600="","",INDEX(LdADate,$N1600))</f>
        <v/>
      </c>
      <c r="C1600" s="20">
        <f>IF($N1600="","",IF(INDEX(LdAId,$N1600)="","—",INDEX(LdAId,$N1600)))</f>
        <v/>
      </c>
      <c r="D1600" s="21">
        <f>IF($N1600="","",IF(INDEX(LdAAmt,$N1600)=0,"",INDEX(LdAAmt,$N1600)))</f>
        <v/>
      </c>
      <c r="E1600" s="21">
        <f>IF($N1600="","",SUMIFS(ShareAmt,ShareLink,$C1600))</f>
        <v/>
      </c>
      <c r="F1600" s="34">
        <f>IF($N1600="","",COUNTIF(ShareLink,$C1600))</f>
        <v/>
      </c>
      <c r="G1600" s="22">
        <f>IF($N1600="","",IF(ROUND($E1600-$D1600,0)=0,"√","▲ "&amp;TEXT($D1600-$E1600,"#,##0")))</f>
        <v/>
      </c>
      <c r="N1600">
        <f>IFERROR(MATCH($C$5&amp;"|"&amp;RIGHT("000000"&amp;1584,6),LdAKeyG,0),"")</f>
        <v/>
      </c>
    </row>
    <row r="1601">
      <c r="A1601" s="10" t="n">
        <v>1585</v>
      </c>
      <c r="B1601" s="14">
        <f>IF($N1601="","",INDEX(LdADate,$N1601))</f>
        <v/>
      </c>
      <c r="C1601" s="14">
        <f>IF($N1601="","",IF(INDEX(LdAId,$N1601)="","—",INDEX(LdAId,$N1601)))</f>
        <v/>
      </c>
      <c r="D1601" s="16">
        <f>IF($N1601="","",IF(INDEX(LdAAmt,$N1601)=0,"",INDEX(LdAAmt,$N1601)))</f>
        <v/>
      </c>
      <c r="E1601" s="16">
        <f>IF($N1601="","",SUMIFS(ShareAmt,ShareLink,$C1601))</f>
        <v/>
      </c>
      <c r="F1601" s="33">
        <f>IF($N1601="","",COUNTIF(ShareLink,$C1601))</f>
        <v/>
      </c>
      <c r="G1601" s="17">
        <f>IF($N1601="","",IF(ROUND($E1601-$D1601,0)=0,"√","▲ "&amp;TEXT($D1601-$E1601,"#,##0")))</f>
        <v/>
      </c>
      <c r="N1601">
        <f>IFERROR(MATCH($C$5&amp;"|"&amp;RIGHT("000000"&amp;1585,6),LdAKeyG,0),"")</f>
        <v/>
      </c>
    </row>
    <row r="1602">
      <c r="A1602" s="19" t="n">
        <v>1586</v>
      </c>
      <c r="B1602" s="20">
        <f>IF($N1602="","",INDEX(LdADate,$N1602))</f>
        <v/>
      </c>
      <c r="C1602" s="20">
        <f>IF($N1602="","",IF(INDEX(LdAId,$N1602)="","—",INDEX(LdAId,$N1602)))</f>
        <v/>
      </c>
      <c r="D1602" s="21">
        <f>IF($N1602="","",IF(INDEX(LdAAmt,$N1602)=0,"",INDEX(LdAAmt,$N1602)))</f>
        <v/>
      </c>
      <c r="E1602" s="21">
        <f>IF($N1602="","",SUMIFS(ShareAmt,ShareLink,$C1602))</f>
        <v/>
      </c>
      <c r="F1602" s="34">
        <f>IF($N1602="","",COUNTIF(ShareLink,$C1602))</f>
        <v/>
      </c>
      <c r="G1602" s="22">
        <f>IF($N1602="","",IF(ROUND($E1602-$D1602,0)=0,"√","▲ "&amp;TEXT($D1602-$E1602,"#,##0")))</f>
        <v/>
      </c>
      <c r="N1602">
        <f>IFERROR(MATCH($C$5&amp;"|"&amp;RIGHT("000000"&amp;1586,6),LdAKeyG,0),"")</f>
        <v/>
      </c>
    </row>
    <row r="1603">
      <c r="A1603" s="10" t="n">
        <v>1587</v>
      </c>
      <c r="B1603" s="14">
        <f>IF($N1603="","",INDEX(LdADate,$N1603))</f>
        <v/>
      </c>
      <c r="C1603" s="14">
        <f>IF($N1603="","",IF(INDEX(LdAId,$N1603)="","—",INDEX(LdAId,$N1603)))</f>
        <v/>
      </c>
      <c r="D1603" s="16">
        <f>IF($N1603="","",IF(INDEX(LdAAmt,$N1603)=0,"",INDEX(LdAAmt,$N1603)))</f>
        <v/>
      </c>
      <c r="E1603" s="16">
        <f>IF($N1603="","",SUMIFS(ShareAmt,ShareLink,$C1603))</f>
        <v/>
      </c>
      <c r="F1603" s="33">
        <f>IF($N1603="","",COUNTIF(ShareLink,$C1603))</f>
        <v/>
      </c>
      <c r="G1603" s="17">
        <f>IF($N1603="","",IF(ROUND($E1603-$D1603,0)=0,"√","▲ "&amp;TEXT($D1603-$E1603,"#,##0")))</f>
        <v/>
      </c>
      <c r="N1603">
        <f>IFERROR(MATCH($C$5&amp;"|"&amp;RIGHT("000000"&amp;1587,6),LdAKeyG,0),"")</f>
        <v/>
      </c>
    </row>
    <row r="1604">
      <c r="A1604" s="19" t="n">
        <v>1588</v>
      </c>
      <c r="B1604" s="20">
        <f>IF($N1604="","",INDEX(LdADate,$N1604))</f>
        <v/>
      </c>
      <c r="C1604" s="20">
        <f>IF($N1604="","",IF(INDEX(LdAId,$N1604)="","—",INDEX(LdAId,$N1604)))</f>
        <v/>
      </c>
      <c r="D1604" s="21">
        <f>IF($N1604="","",IF(INDEX(LdAAmt,$N1604)=0,"",INDEX(LdAAmt,$N1604)))</f>
        <v/>
      </c>
      <c r="E1604" s="21">
        <f>IF($N1604="","",SUMIFS(ShareAmt,ShareLink,$C1604))</f>
        <v/>
      </c>
      <c r="F1604" s="34">
        <f>IF($N1604="","",COUNTIF(ShareLink,$C1604))</f>
        <v/>
      </c>
      <c r="G1604" s="22">
        <f>IF($N1604="","",IF(ROUND($E1604-$D1604,0)=0,"√","▲ "&amp;TEXT($D1604-$E1604,"#,##0")))</f>
        <v/>
      </c>
      <c r="N1604">
        <f>IFERROR(MATCH($C$5&amp;"|"&amp;RIGHT("000000"&amp;1588,6),LdAKeyG,0),"")</f>
        <v/>
      </c>
    </row>
    <row r="1605">
      <c r="A1605" s="10" t="n">
        <v>1589</v>
      </c>
      <c r="B1605" s="14">
        <f>IF($N1605="","",INDEX(LdADate,$N1605))</f>
        <v/>
      </c>
      <c r="C1605" s="14">
        <f>IF($N1605="","",IF(INDEX(LdAId,$N1605)="","—",INDEX(LdAId,$N1605)))</f>
        <v/>
      </c>
      <c r="D1605" s="16">
        <f>IF($N1605="","",IF(INDEX(LdAAmt,$N1605)=0,"",INDEX(LdAAmt,$N1605)))</f>
        <v/>
      </c>
      <c r="E1605" s="16">
        <f>IF($N1605="","",SUMIFS(ShareAmt,ShareLink,$C1605))</f>
        <v/>
      </c>
      <c r="F1605" s="33">
        <f>IF($N1605="","",COUNTIF(ShareLink,$C1605))</f>
        <v/>
      </c>
      <c r="G1605" s="17">
        <f>IF($N1605="","",IF(ROUND($E1605-$D1605,0)=0,"√","▲ "&amp;TEXT($D1605-$E1605,"#,##0")))</f>
        <v/>
      </c>
      <c r="N1605">
        <f>IFERROR(MATCH($C$5&amp;"|"&amp;RIGHT("000000"&amp;1589,6),LdAKeyG,0),"")</f>
        <v/>
      </c>
    </row>
    <row r="1606">
      <c r="A1606" s="19" t="n">
        <v>1590</v>
      </c>
      <c r="B1606" s="20">
        <f>IF($N1606="","",INDEX(LdADate,$N1606))</f>
        <v/>
      </c>
      <c r="C1606" s="20">
        <f>IF($N1606="","",IF(INDEX(LdAId,$N1606)="","—",INDEX(LdAId,$N1606)))</f>
        <v/>
      </c>
      <c r="D1606" s="21">
        <f>IF($N1606="","",IF(INDEX(LdAAmt,$N1606)=0,"",INDEX(LdAAmt,$N1606)))</f>
        <v/>
      </c>
      <c r="E1606" s="21">
        <f>IF($N1606="","",SUMIFS(ShareAmt,ShareLink,$C1606))</f>
        <v/>
      </c>
      <c r="F1606" s="34">
        <f>IF($N1606="","",COUNTIF(ShareLink,$C1606))</f>
        <v/>
      </c>
      <c r="G1606" s="22">
        <f>IF($N1606="","",IF(ROUND($E1606-$D1606,0)=0,"√","▲ "&amp;TEXT($D1606-$E1606,"#,##0")))</f>
        <v/>
      </c>
      <c r="N1606">
        <f>IFERROR(MATCH($C$5&amp;"|"&amp;RIGHT("000000"&amp;1590,6),LdAKeyG,0),"")</f>
        <v/>
      </c>
    </row>
    <row r="1607">
      <c r="A1607" s="10" t="n">
        <v>1591</v>
      </c>
      <c r="B1607" s="14">
        <f>IF($N1607="","",INDEX(LdADate,$N1607))</f>
        <v/>
      </c>
      <c r="C1607" s="14">
        <f>IF($N1607="","",IF(INDEX(LdAId,$N1607)="","—",INDEX(LdAId,$N1607)))</f>
        <v/>
      </c>
      <c r="D1607" s="16">
        <f>IF($N1607="","",IF(INDEX(LdAAmt,$N1607)=0,"",INDEX(LdAAmt,$N1607)))</f>
        <v/>
      </c>
      <c r="E1607" s="16">
        <f>IF($N1607="","",SUMIFS(ShareAmt,ShareLink,$C1607))</f>
        <v/>
      </c>
      <c r="F1607" s="33">
        <f>IF($N1607="","",COUNTIF(ShareLink,$C1607))</f>
        <v/>
      </c>
      <c r="G1607" s="17">
        <f>IF($N1607="","",IF(ROUND($E1607-$D1607,0)=0,"√","▲ "&amp;TEXT($D1607-$E1607,"#,##0")))</f>
        <v/>
      </c>
      <c r="N1607">
        <f>IFERROR(MATCH($C$5&amp;"|"&amp;RIGHT("000000"&amp;1591,6),LdAKeyG,0),"")</f>
        <v/>
      </c>
    </row>
    <row r="1608">
      <c r="A1608" s="19" t="n">
        <v>1592</v>
      </c>
      <c r="B1608" s="20">
        <f>IF($N1608="","",INDEX(LdADate,$N1608))</f>
        <v/>
      </c>
      <c r="C1608" s="20">
        <f>IF($N1608="","",IF(INDEX(LdAId,$N1608)="","—",INDEX(LdAId,$N1608)))</f>
        <v/>
      </c>
      <c r="D1608" s="21">
        <f>IF($N1608="","",IF(INDEX(LdAAmt,$N1608)=0,"",INDEX(LdAAmt,$N1608)))</f>
        <v/>
      </c>
      <c r="E1608" s="21">
        <f>IF($N1608="","",SUMIFS(ShareAmt,ShareLink,$C1608))</f>
        <v/>
      </c>
      <c r="F1608" s="34">
        <f>IF($N1608="","",COUNTIF(ShareLink,$C1608))</f>
        <v/>
      </c>
      <c r="G1608" s="22">
        <f>IF($N1608="","",IF(ROUND($E1608-$D1608,0)=0,"√","▲ "&amp;TEXT($D1608-$E1608,"#,##0")))</f>
        <v/>
      </c>
      <c r="N1608">
        <f>IFERROR(MATCH($C$5&amp;"|"&amp;RIGHT("000000"&amp;1592,6),LdAKeyG,0),"")</f>
        <v/>
      </c>
    </row>
    <row r="1609">
      <c r="A1609" s="10" t="n">
        <v>1593</v>
      </c>
      <c r="B1609" s="14">
        <f>IF($N1609="","",INDEX(LdADate,$N1609))</f>
        <v/>
      </c>
      <c r="C1609" s="14">
        <f>IF($N1609="","",IF(INDEX(LdAId,$N1609)="","—",INDEX(LdAId,$N1609)))</f>
        <v/>
      </c>
      <c r="D1609" s="16">
        <f>IF($N1609="","",IF(INDEX(LdAAmt,$N1609)=0,"",INDEX(LdAAmt,$N1609)))</f>
        <v/>
      </c>
      <c r="E1609" s="16">
        <f>IF($N1609="","",SUMIFS(ShareAmt,ShareLink,$C1609))</f>
        <v/>
      </c>
      <c r="F1609" s="33">
        <f>IF($N1609="","",COUNTIF(ShareLink,$C1609))</f>
        <v/>
      </c>
      <c r="G1609" s="17">
        <f>IF($N1609="","",IF(ROUND($E1609-$D1609,0)=0,"√","▲ "&amp;TEXT($D1609-$E1609,"#,##0")))</f>
        <v/>
      </c>
      <c r="N1609">
        <f>IFERROR(MATCH($C$5&amp;"|"&amp;RIGHT("000000"&amp;1593,6),LdAKeyG,0),"")</f>
        <v/>
      </c>
    </row>
    <row r="1610">
      <c r="A1610" s="19" t="n">
        <v>1594</v>
      </c>
      <c r="B1610" s="20">
        <f>IF($N1610="","",INDEX(LdADate,$N1610))</f>
        <v/>
      </c>
      <c r="C1610" s="20">
        <f>IF($N1610="","",IF(INDEX(LdAId,$N1610)="","—",INDEX(LdAId,$N1610)))</f>
        <v/>
      </c>
      <c r="D1610" s="21">
        <f>IF($N1610="","",IF(INDEX(LdAAmt,$N1610)=0,"",INDEX(LdAAmt,$N1610)))</f>
        <v/>
      </c>
      <c r="E1610" s="21">
        <f>IF($N1610="","",SUMIFS(ShareAmt,ShareLink,$C1610))</f>
        <v/>
      </c>
      <c r="F1610" s="34">
        <f>IF($N1610="","",COUNTIF(ShareLink,$C1610))</f>
        <v/>
      </c>
      <c r="G1610" s="22">
        <f>IF($N1610="","",IF(ROUND($E1610-$D1610,0)=0,"√","▲ "&amp;TEXT($D1610-$E1610,"#,##0")))</f>
        <v/>
      </c>
      <c r="N1610">
        <f>IFERROR(MATCH($C$5&amp;"|"&amp;RIGHT("000000"&amp;1594,6),LdAKeyG,0),"")</f>
        <v/>
      </c>
    </row>
    <row r="1611">
      <c r="A1611" s="10" t="n">
        <v>1595</v>
      </c>
      <c r="B1611" s="14">
        <f>IF($N1611="","",INDEX(LdADate,$N1611))</f>
        <v/>
      </c>
      <c r="C1611" s="14">
        <f>IF($N1611="","",IF(INDEX(LdAId,$N1611)="","—",INDEX(LdAId,$N1611)))</f>
        <v/>
      </c>
      <c r="D1611" s="16">
        <f>IF($N1611="","",IF(INDEX(LdAAmt,$N1611)=0,"",INDEX(LdAAmt,$N1611)))</f>
        <v/>
      </c>
      <c r="E1611" s="16">
        <f>IF($N1611="","",SUMIFS(ShareAmt,ShareLink,$C1611))</f>
        <v/>
      </c>
      <c r="F1611" s="33">
        <f>IF($N1611="","",COUNTIF(ShareLink,$C1611))</f>
        <v/>
      </c>
      <c r="G1611" s="17">
        <f>IF($N1611="","",IF(ROUND($E1611-$D1611,0)=0,"√","▲ "&amp;TEXT($D1611-$E1611,"#,##0")))</f>
        <v/>
      </c>
      <c r="N1611">
        <f>IFERROR(MATCH($C$5&amp;"|"&amp;RIGHT("000000"&amp;1595,6),LdAKeyG,0),"")</f>
        <v/>
      </c>
    </row>
    <row r="1612">
      <c r="A1612" s="19" t="n">
        <v>1596</v>
      </c>
      <c r="B1612" s="20">
        <f>IF($N1612="","",INDEX(LdADate,$N1612))</f>
        <v/>
      </c>
      <c r="C1612" s="20">
        <f>IF($N1612="","",IF(INDEX(LdAId,$N1612)="","—",INDEX(LdAId,$N1612)))</f>
        <v/>
      </c>
      <c r="D1612" s="21">
        <f>IF($N1612="","",IF(INDEX(LdAAmt,$N1612)=0,"",INDEX(LdAAmt,$N1612)))</f>
        <v/>
      </c>
      <c r="E1612" s="21">
        <f>IF($N1612="","",SUMIFS(ShareAmt,ShareLink,$C1612))</f>
        <v/>
      </c>
      <c r="F1612" s="34">
        <f>IF($N1612="","",COUNTIF(ShareLink,$C1612))</f>
        <v/>
      </c>
      <c r="G1612" s="22">
        <f>IF($N1612="","",IF(ROUND($E1612-$D1612,0)=0,"√","▲ "&amp;TEXT($D1612-$E1612,"#,##0")))</f>
        <v/>
      </c>
      <c r="N1612">
        <f>IFERROR(MATCH($C$5&amp;"|"&amp;RIGHT("000000"&amp;1596,6),LdAKeyG,0),"")</f>
        <v/>
      </c>
    </row>
    <row r="1613">
      <c r="A1613" s="10" t="n">
        <v>1597</v>
      </c>
      <c r="B1613" s="14">
        <f>IF($N1613="","",INDEX(LdADate,$N1613))</f>
        <v/>
      </c>
      <c r="C1613" s="14">
        <f>IF($N1613="","",IF(INDEX(LdAId,$N1613)="","—",INDEX(LdAId,$N1613)))</f>
        <v/>
      </c>
      <c r="D1613" s="16">
        <f>IF($N1613="","",IF(INDEX(LdAAmt,$N1613)=0,"",INDEX(LdAAmt,$N1613)))</f>
        <v/>
      </c>
      <c r="E1613" s="16">
        <f>IF($N1613="","",SUMIFS(ShareAmt,ShareLink,$C1613))</f>
        <v/>
      </c>
      <c r="F1613" s="33">
        <f>IF($N1613="","",COUNTIF(ShareLink,$C1613))</f>
        <v/>
      </c>
      <c r="G1613" s="17">
        <f>IF($N1613="","",IF(ROUND($E1613-$D1613,0)=0,"√","▲ "&amp;TEXT($D1613-$E1613,"#,##0")))</f>
        <v/>
      </c>
      <c r="N1613">
        <f>IFERROR(MATCH($C$5&amp;"|"&amp;RIGHT("000000"&amp;1597,6),LdAKeyG,0),"")</f>
        <v/>
      </c>
    </row>
    <row r="1614">
      <c r="A1614" s="19" t="n">
        <v>1598</v>
      </c>
      <c r="B1614" s="20">
        <f>IF($N1614="","",INDEX(LdADate,$N1614))</f>
        <v/>
      </c>
      <c r="C1614" s="20">
        <f>IF($N1614="","",IF(INDEX(LdAId,$N1614)="","—",INDEX(LdAId,$N1614)))</f>
        <v/>
      </c>
      <c r="D1614" s="21">
        <f>IF($N1614="","",IF(INDEX(LdAAmt,$N1614)=0,"",INDEX(LdAAmt,$N1614)))</f>
        <v/>
      </c>
      <c r="E1614" s="21">
        <f>IF($N1614="","",SUMIFS(ShareAmt,ShareLink,$C1614))</f>
        <v/>
      </c>
      <c r="F1614" s="34">
        <f>IF($N1614="","",COUNTIF(ShareLink,$C1614))</f>
        <v/>
      </c>
      <c r="G1614" s="22">
        <f>IF($N1614="","",IF(ROUND($E1614-$D1614,0)=0,"√","▲ "&amp;TEXT($D1614-$E1614,"#,##0")))</f>
        <v/>
      </c>
      <c r="N1614">
        <f>IFERROR(MATCH($C$5&amp;"|"&amp;RIGHT("000000"&amp;1598,6),LdAKeyG,0),"")</f>
        <v/>
      </c>
    </row>
    <row r="1615">
      <c r="A1615" s="10" t="n">
        <v>1599</v>
      </c>
      <c r="B1615" s="14">
        <f>IF($N1615="","",INDEX(LdADate,$N1615))</f>
        <v/>
      </c>
      <c r="C1615" s="14">
        <f>IF($N1615="","",IF(INDEX(LdAId,$N1615)="","—",INDEX(LdAId,$N1615)))</f>
        <v/>
      </c>
      <c r="D1615" s="16">
        <f>IF($N1615="","",IF(INDEX(LdAAmt,$N1615)=0,"",INDEX(LdAAmt,$N1615)))</f>
        <v/>
      </c>
      <c r="E1615" s="16">
        <f>IF($N1615="","",SUMIFS(ShareAmt,ShareLink,$C1615))</f>
        <v/>
      </c>
      <c r="F1615" s="33">
        <f>IF($N1615="","",COUNTIF(ShareLink,$C1615))</f>
        <v/>
      </c>
      <c r="G1615" s="17">
        <f>IF($N1615="","",IF(ROUND($E1615-$D1615,0)=0,"√","▲ "&amp;TEXT($D1615-$E1615,"#,##0")))</f>
        <v/>
      </c>
      <c r="N1615">
        <f>IFERROR(MATCH($C$5&amp;"|"&amp;RIGHT("000000"&amp;1599,6),LdAKeyG,0),"")</f>
        <v/>
      </c>
    </row>
    <row r="1616">
      <c r="A1616" s="19" t="n">
        <v>1600</v>
      </c>
      <c r="B1616" s="20">
        <f>IF($N1616="","",INDEX(LdADate,$N1616))</f>
        <v/>
      </c>
      <c r="C1616" s="20">
        <f>IF($N1616="","",IF(INDEX(LdAId,$N1616)="","—",INDEX(LdAId,$N1616)))</f>
        <v/>
      </c>
      <c r="D1616" s="21">
        <f>IF($N1616="","",IF(INDEX(LdAAmt,$N1616)=0,"",INDEX(LdAAmt,$N1616)))</f>
        <v/>
      </c>
      <c r="E1616" s="21">
        <f>IF($N1616="","",SUMIFS(ShareAmt,ShareLink,$C1616))</f>
        <v/>
      </c>
      <c r="F1616" s="34">
        <f>IF($N1616="","",COUNTIF(ShareLink,$C1616))</f>
        <v/>
      </c>
      <c r="G1616" s="22">
        <f>IF($N1616="","",IF(ROUND($E1616-$D1616,0)=0,"√","▲ "&amp;TEXT($D1616-$E1616,"#,##0")))</f>
        <v/>
      </c>
      <c r="N1616">
        <f>IFERROR(MATCH($C$5&amp;"|"&amp;RIGHT("000000"&amp;1600,6),LdAKeyG,0),"")</f>
        <v/>
      </c>
    </row>
    <row r="1617">
      <c r="A1617" s="10" t="n">
        <v>1601</v>
      </c>
      <c r="B1617" s="14">
        <f>IF($N1617="","",INDEX(LdADate,$N1617))</f>
        <v/>
      </c>
      <c r="C1617" s="14">
        <f>IF($N1617="","",IF(INDEX(LdAId,$N1617)="","—",INDEX(LdAId,$N1617)))</f>
        <v/>
      </c>
      <c r="D1617" s="16">
        <f>IF($N1617="","",IF(INDEX(LdAAmt,$N1617)=0,"",INDEX(LdAAmt,$N1617)))</f>
        <v/>
      </c>
      <c r="E1617" s="16">
        <f>IF($N1617="","",SUMIFS(ShareAmt,ShareLink,$C1617))</f>
        <v/>
      </c>
      <c r="F1617" s="33">
        <f>IF($N1617="","",COUNTIF(ShareLink,$C1617))</f>
        <v/>
      </c>
      <c r="G1617" s="17">
        <f>IF($N1617="","",IF(ROUND($E1617-$D1617,0)=0,"√","▲ "&amp;TEXT($D1617-$E1617,"#,##0")))</f>
        <v/>
      </c>
      <c r="N1617">
        <f>IFERROR(MATCH($C$5&amp;"|"&amp;RIGHT("000000"&amp;1601,6),LdAKeyG,0),"")</f>
        <v/>
      </c>
    </row>
    <row r="1618">
      <c r="A1618" s="19" t="n">
        <v>1602</v>
      </c>
      <c r="B1618" s="20">
        <f>IF($N1618="","",INDEX(LdADate,$N1618))</f>
        <v/>
      </c>
      <c r="C1618" s="20">
        <f>IF($N1618="","",IF(INDEX(LdAId,$N1618)="","—",INDEX(LdAId,$N1618)))</f>
        <v/>
      </c>
      <c r="D1618" s="21">
        <f>IF($N1618="","",IF(INDEX(LdAAmt,$N1618)=0,"",INDEX(LdAAmt,$N1618)))</f>
        <v/>
      </c>
      <c r="E1618" s="21">
        <f>IF($N1618="","",SUMIFS(ShareAmt,ShareLink,$C1618))</f>
        <v/>
      </c>
      <c r="F1618" s="34">
        <f>IF($N1618="","",COUNTIF(ShareLink,$C1618))</f>
        <v/>
      </c>
      <c r="G1618" s="22">
        <f>IF($N1618="","",IF(ROUND($E1618-$D1618,0)=0,"√","▲ "&amp;TEXT($D1618-$E1618,"#,##0")))</f>
        <v/>
      </c>
      <c r="N1618">
        <f>IFERROR(MATCH($C$5&amp;"|"&amp;RIGHT("000000"&amp;1602,6),LdAKeyG,0),"")</f>
        <v/>
      </c>
    </row>
    <row r="1619">
      <c r="A1619" s="10" t="n">
        <v>1603</v>
      </c>
      <c r="B1619" s="14">
        <f>IF($N1619="","",INDEX(LdADate,$N1619))</f>
        <v/>
      </c>
      <c r="C1619" s="14">
        <f>IF($N1619="","",IF(INDEX(LdAId,$N1619)="","—",INDEX(LdAId,$N1619)))</f>
        <v/>
      </c>
      <c r="D1619" s="16">
        <f>IF($N1619="","",IF(INDEX(LdAAmt,$N1619)=0,"",INDEX(LdAAmt,$N1619)))</f>
        <v/>
      </c>
      <c r="E1619" s="16">
        <f>IF($N1619="","",SUMIFS(ShareAmt,ShareLink,$C1619))</f>
        <v/>
      </c>
      <c r="F1619" s="33">
        <f>IF($N1619="","",COUNTIF(ShareLink,$C1619))</f>
        <v/>
      </c>
      <c r="G1619" s="17">
        <f>IF($N1619="","",IF(ROUND($E1619-$D1619,0)=0,"√","▲ "&amp;TEXT($D1619-$E1619,"#,##0")))</f>
        <v/>
      </c>
      <c r="N1619">
        <f>IFERROR(MATCH($C$5&amp;"|"&amp;RIGHT("000000"&amp;1603,6),LdAKeyG,0),"")</f>
        <v/>
      </c>
    </row>
    <row r="1620">
      <c r="A1620" s="19" t="n">
        <v>1604</v>
      </c>
      <c r="B1620" s="20">
        <f>IF($N1620="","",INDEX(LdADate,$N1620))</f>
        <v/>
      </c>
      <c r="C1620" s="20">
        <f>IF($N1620="","",IF(INDEX(LdAId,$N1620)="","—",INDEX(LdAId,$N1620)))</f>
        <v/>
      </c>
      <c r="D1620" s="21">
        <f>IF($N1620="","",IF(INDEX(LdAAmt,$N1620)=0,"",INDEX(LdAAmt,$N1620)))</f>
        <v/>
      </c>
      <c r="E1620" s="21">
        <f>IF($N1620="","",SUMIFS(ShareAmt,ShareLink,$C1620))</f>
        <v/>
      </c>
      <c r="F1620" s="34">
        <f>IF($N1620="","",COUNTIF(ShareLink,$C1620))</f>
        <v/>
      </c>
      <c r="G1620" s="22">
        <f>IF($N1620="","",IF(ROUND($E1620-$D1620,0)=0,"√","▲ "&amp;TEXT($D1620-$E1620,"#,##0")))</f>
        <v/>
      </c>
      <c r="N1620">
        <f>IFERROR(MATCH($C$5&amp;"|"&amp;RIGHT("000000"&amp;1604,6),LdAKeyG,0),"")</f>
        <v/>
      </c>
    </row>
    <row r="1621">
      <c r="A1621" s="10" t="n">
        <v>1605</v>
      </c>
      <c r="B1621" s="14">
        <f>IF($N1621="","",INDEX(LdADate,$N1621))</f>
        <v/>
      </c>
      <c r="C1621" s="14">
        <f>IF($N1621="","",IF(INDEX(LdAId,$N1621)="","—",INDEX(LdAId,$N1621)))</f>
        <v/>
      </c>
      <c r="D1621" s="16">
        <f>IF($N1621="","",IF(INDEX(LdAAmt,$N1621)=0,"",INDEX(LdAAmt,$N1621)))</f>
        <v/>
      </c>
      <c r="E1621" s="16">
        <f>IF($N1621="","",SUMIFS(ShareAmt,ShareLink,$C1621))</f>
        <v/>
      </c>
      <c r="F1621" s="33">
        <f>IF($N1621="","",COUNTIF(ShareLink,$C1621))</f>
        <v/>
      </c>
      <c r="G1621" s="17">
        <f>IF($N1621="","",IF(ROUND($E1621-$D1621,0)=0,"√","▲ "&amp;TEXT($D1621-$E1621,"#,##0")))</f>
        <v/>
      </c>
      <c r="N1621">
        <f>IFERROR(MATCH($C$5&amp;"|"&amp;RIGHT("000000"&amp;1605,6),LdAKeyG,0),"")</f>
        <v/>
      </c>
    </row>
    <row r="1622">
      <c r="A1622" s="19" t="n">
        <v>1606</v>
      </c>
      <c r="B1622" s="20">
        <f>IF($N1622="","",INDEX(LdADate,$N1622))</f>
        <v/>
      </c>
      <c r="C1622" s="20">
        <f>IF($N1622="","",IF(INDEX(LdAId,$N1622)="","—",INDEX(LdAId,$N1622)))</f>
        <v/>
      </c>
      <c r="D1622" s="21">
        <f>IF($N1622="","",IF(INDEX(LdAAmt,$N1622)=0,"",INDEX(LdAAmt,$N1622)))</f>
        <v/>
      </c>
      <c r="E1622" s="21">
        <f>IF($N1622="","",SUMIFS(ShareAmt,ShareLink,$C1622))</f>
        <v/>
      </c>
      <c r="F1622" s="34">
        <f>IF($N1622="","",COUNTIF(ShareLink,$C1622))</f>
        <v/>
      </c>
      <c r="G1622" s="22">
        <f>IF($N1622="","",IF(ROUND($E1622-$D1622,0)=0,"√","▲ "&amp;TEXT($D1622-$E1622,"#,##0")))</f>
        <v/>
      </c>
      <c r="N1622">
        <f>IFERROR(MATCH($C$5&amp;"|"&amp;RIGHT("000000"&amp;1606,6),LdAKeyG,0),"")</f>
        <v/>
      </c>
    </row>
    <row r="1623">
      <c r="A1623" s="10" t="n">
        <v>1607</v>
      </c>
      <c r="B1623" s="14">
        <f>IF($N1623="","",INDEX(LdADate,$N1623))</f>
        <v/>
      </c>
      <c r="C1623" s="14">
        <f>IF($N1623="","",IF(INDEX(LdAId,$N1623)="","—",INDEX(LdAId,$N1623)))</f>
        <v/>
      </c>
      <c r="D1623" s="16">
        <f>IF($N1623="","",IF(INDEX(LdAAmt,$N1623)=0,"",INDEX(LdAAmt,$N1623)))</f>
        <v/>
      </c>
      <c r="E1623" s="16">
        <f>IF($N1623="","",SUMIFS(ShareAmt,ShareLink,$C1623))</f>
        <v/>
      </c>
      <c r="F1623" s="33">
        <f>IF($N1623="","",COUNTIF(ShareLink,$C1623))</f>
        <v/>
      </c>
      <c r="G1623" s="17">
        <f>IF($N1623="","",IF(ROUND($E1623-$D1623,0)=0,"√","▲ "&amp;TEXT($D1623-$E1623,"#,##0")))</f>
        <v/>
      </c>
      <c r="N1623">
        <f>IFERROR(MATCH($C$5&amp;"|"&amp;RIGHT("000000"&amp;1607,6),LdAKeyG,0),"")</f>
        <v/>
      </c>
    </row>
    <row r="1624">
      <c r="A1624" s="19" t="n">
        <v>1608</v>
      </c>
      <c r="B1624" s="20">
        <f>IF($N1624="","",INDEX(LdADate,$N1624))</f>
        <v/>
      </c>
      <c r="C1624" s="20">
        <f>IF($N1624="","",IF(INDEX(LdAId,$N1624)="","—",INDEX(LdAId,$N1624)))</f>
        <v/>
      </c>
      <c r="D1624" s="21">
        <f>IF($N1624="","",IF(INDEX(LdAAmt,$N1624)=0,"",INDEX(LdAAmt,$N1624)))</f>
        <v/>
      </c>
      <c r="E1624" s="21">
        <f>IF($N1624="","",SUMIFS(ShareAmt,ShareLink,$C1624))</f>
        <v/>
      </c>
      <c r="F1624" s="34">
        <f>IF($N1624="","",COUNTIF(ShareLink,$C1624))</f>
        <v/>
      </c>
      <c r="G1624" s="22">
        <f>IF($N1624="","",IF(ROUND($E1624-$D1624,0)=0,"√","▲ "&amp;TEXT($D1624-$E1624,"#,##0")))</f>
        <v/>
      </c>
      <c r="N1624">
        <f>IFERROR(MATCH($C$5&amp;"|"&amp;RIGHT("000000"&amp;1608,6),LdAKeyG,0),"")</f>
        <v/>
      </c>
    </row>
    <row r="1625">
      <c r="A1625" s="10" t="n">
        <v>1609</v>
      </c>
      <c r="B1625" s="14">
        <f>IF($N1625="","",INDEX(LdADate,$N1625))</f>
        <v/>
      </c>
      <c r="C1625" s="14">
        <f>IF($N1625="","",IF(INDEX(LdAId,$N1625)="","—",INDEX(LdAId,$N1625)))</f>
        <v/>
      </c>
      <c r="D1625" s="16">
        <f>IF($N1625="","",IF(INDEX(LdAAmt,$N1625)=0,"",INDEX(LdAAmt,$N1625)))</f>
        <v/>
      </c>
      <c r="E1625" s="16">
        <f>IF($N1625="","",SUMIFS(ShareAmt,ShareLink,$C1625))</f>
        <v/>
      </c>
      <c r="F1625" s="33">
        <f>IF($N1625="","",COUNTIF(ShareLink,$C1625))</f>
        <v/>
      </c>
      <c r="G1625" s="17">
        <f>IF($N1625="","",IF(ROUND($E1625-$D1625,0)=0,"√","▲ "&amp;TEXT($D1625-$E1625,"#,##0")))</f>
        <v/>
      </c>
      <c r="N1625">
        <f>IFERROR(MATCH($C$5&amp;"|"&amp;RIGHT("000000"&amp;1609,6),LdAKeyG,0),"")</f>
        <v/>
      </c>
    </row>
    <row r="1626">
      <c r="A1626" s="19" t="n">
        <v>1610</v>
      </c>
      <c r="B1626" s="20">
        <f>IF($N1626="","",INDEX(LdADate,$N1626))</f>
        <v/>
      </c>
      <c r="C1626" s="20">
        <f>IF($N1626="","",IF(INDEX(LdAId,$N1626)="","—",INDEX(LdAId,$N1626)))</f>
        <v/>
      </c>
      <c r="D1626" s="21">
        <f>IF($N1626="","",IF(INDEX(LdAAmt,$N1626)=0,"",INDEX(LdAAmt,$N1626)))</f>
        <v/>
      </c>
      <c r="E1626" s="21">
        <f>IF($N1626="","",SUMIFS(ShareAmt,ShareLink,$C1626))</f>
        <v/>
      </c>
      <c r="F1626" s="34">
        <f>IF($N1626="","",COUNTIF(ShareLink,$C1626))</f>
        <v/>
      </c>
      <c r="G1626" s="22">
        <f>IF($N1626="","",IF(ROUND($E1626-$D1626,0)=0,"√","▲ "&amp;TEXT($D1626-$E1626,"#,##0")))</f>
        <v/>
      </c>
      <c r="N1626">
        <f>IFERROR(MATCH($C$5&amp;"|"&amp;RIGHT("000000"&amp;1610,6),LdAKeyG,0),"")</f>
        <v/>
      </c>
    </row>
    <row r="1627">
      <c r="A1627" s="10" t="n">
        <v>1611</v>
      </c>
      <c r="B1627" s="14">
        <f>IF($N1627="","",INDEX(LdADate,$N1627))</f>
        <v/>
      </c>
      <c r="C1627" s="14">
        <f>IF($N1627="","",IF(INDEX(LdAId,$N1627)="","—",INDEX(LdAId,$N1627)))</f>
        <v/>
      </c>
      <c r="D1627" s="16">
        <f>IF($N1627="","",IF(INDEX(LdAAmt,$N1627)=0,"",INDEX(LdAAmt,$N1627)))</f>
        <v/>
      </c>
      <c r="E1627" s="16">
        <f>IF($N1627="","",SUMIFS(ShareAmt,ShareLink,$C1627))</f>
        <v/>
      </c>
      <c r="F1627" s="33">
        <f>IF($N1627="","",COUNTIF(ShareLink,$C1627))</f>
        <v/>
      </c>
      <c r="G1627" s="17">
        <f>IF($N1627="","",IF(ROUND($E1627-$D1627,0)=0,"√","▲ "&amp;TEXT($D1627-$E1627,"#,##0")))</f>
        <v/>
      </c>
      <c r="N1627">
        <f>IFERROR(MATCH($C$5&amp;"|"&amp;RIGHT("000000"&amp;1611,6),LdAKeyG,0),"")</f>
        <v/>
      </c>
    </row>
    <row r="1628">
      <c r="A1628" s="19" t="n">
        <v>1612</v>
      </c>
      <c r="B1628" s="20">
        <f>IF($N1628="","",INDEX(LdADate,$N1628))</f>
        <v/>
      </c>
      <c r="C1628" s="20">
        <f>IF($N1628="","",IF(INDEX(LdAId,$N1628)="","—",INDEX(LdAId,$N1628)))</f>
        <v/>
      </c>
      <c r="D1628" s="21">
        <f>IF($N1628="","",IF(INDEX(LdAAmt,$N1628)=0,"",INDEX(LdAAmt,$N1628)))</f>
        <v/>
      </c>
      <c r="E1628" s="21">
        <f>IF($N1628="","",SUMIFS(ShareAmt,ShareLink,$C1628))</f>
        <v/>
      </c>
      <c r="F1628" s="34">
        <f>IF($N1628="","",COUNTIF(ShareLink,$C1628))</f>
        <v/>
      </c>
      <c r="G1628" s="22">
        <f>IF($N1628="","",IF(ROUND($E1628-$D1628,0)=0,"√","▲ "&amp;TEXT($D1628-$E1628,"#,##0")))</f>
        <v/>
      </c>
      <c r="N1628">
        <f>IFERROR(MATCH($C$5&amp;"|"&amp;RIGHT("000000"&amp;1612,6),LdAKeyG,0),"")</f>
        <v/>
      </c>
    </row>
    <row r="1629">
      <c r="A1629" s="10" t="n">
        <v>1613</v>
      </c>
      <c r="B1629" s="14">
        <f>IF($N1629="","",INDEX(LdADate,$N1629))</f>
        <v/>
      </c>
      <c r="C1629" s="14">
        <f>IF($N1629="","",IF(INDEX(LdAId,$N1629)="","—",INDEX(LdAId,$N1629)))</f>
        <v/>
      </c>
      <c r="D1629" s="16">
        <f>IF($N1629="","",IF(INDEX(LdAAmt,$N1629)=0,"",INDEX(LdAAmt,$N1629)))</f>
        <v/>
      </c>
      <c r="E1629" s="16">
        <f>IF($N1629="","",SUMIFS(ShareAmt,ShareLink,$C1629))</f>
        <v/>
      </c>
      <c r="F1629" s="33">
        <f>IF($N1629="","",COUNTIF(ShareLink,$C1629))</f>
        <v/>
      </c>
      <c r="G1629" s="17">
        <f>IF($N1629="","",IF(ROUND($E1629-$D1629,0)=0,"√","▲ "&amp;TEXT($D1629-$E1629,"#,##0")))</f>
        <v/>
      </c>
      <c r="N1629">
        <f>IFERROR(MATCH($C$5&amp;"|"&amp;RIGHT("000000"&amp;1613,6),LdAKeyG,0),"")</f>
        <v/>
      </c>
    </row>
    <row r="1630">
      <c r="A1630" s="19" t="n">
        <v>1614</v>
      </c>
      <c r="B1630" s="20">
        <f>IF($N1630="","",INDEX(LdADate,$N1630))</f>
        <v/>
      </c>
      <c r="C1630" s="20">
        <f>IF($N1630="","",IF(INDEX(LdAId,$N1630)="","—",INDEX(LdAId,$N1630)))</f>
        <v/>
      </c>
      <c r="D1630" s="21">
        <f>IF($N1630="","",IF(INDEX(LdAAmt,$N1630)=0,"",INDEX(LdAAmt,$N1630)))</f>
        <v/>
      </c>
      <c r="E1630" s="21">
        <f>IF($N1630="","",SUMIFS(ShareAmt,ShareLink,$C1630))</f>
        <v/>
      </c>
      <c r="F1630" s="34">
        <f>IF($N1630="","",COUNTIF(ShareLink,$C1630))</f>
        <v/>
      </c>
      <c r="G1630" s="22">
        <f>IF($N1630="","",IF(ROUND($E1630-$D1630,0)=0,"√","▲ "&amp;TEXT($D1630-$E1630,"#,##0")))</f>
        <v/>
      </c>
      <c r="N1630">
        <f>IFERROR(MATCH($C$5&amp;"|"&amp;RIGHT("000000"&amp;1614,6),LdAKeyG,0),"")</f>
        <v/>
      </c>
    </row>
    <row r="1631">
      <c r="A1631" s="10" t="n">
        <v>1615</v>
      </c>
      <c r="B1631" s="14">
        <f>IF($N1631="","",INDEX(LdADate,$N1631))</f>
        <v/>
      </c>
      <c r="C1631" s="14">
        <f>IF($N1631="","",IF(INDEX(LdAId,$N1631)="","—",INDEX(LdAId,$N1631)))</f>
        <v/>
      </c>
      <c r="D1631" s="16">
        <f>IF($N1631="","",IF(INDEX(LdAAmt,$N1631)=0,"",INDEX(LdAAmt,$N1631)))</f>
        <v/>
      </c>
      <c r="E1631" s="16">
        <f>IF($N1631="","",SUMIFS(ShareAmt,ShareLink,$C1631))</f>
        <v/>
      </c>
      <c r="F1631" s="33">
        <f>IF($N1631="","",COUNTIF(ShareLink,$C1631))</f>
        <v/>
      </c>
      <c r="G1631" s="17">
        <f>IF($N1631="","",IF(ROUND($E1631-$D1631,0)=0,"√","▲ "&amp;TEXT($D1631-$E1631,"#,##0")))</f>
        <v/>
      </c>
      <c r="N1631">
        <f>IFERROR(MATCH($C$5&amp;"|"&amp;RIGHT("000000"&amp;1615,6),LdAKeyG,0),"")</f>
        <v/>
      </c>
    </row>
    <row r="1632">
      <c r="A1632" s="19" t="n">
        <v>1616</v>
      </c>
      <c r="B1632" s="20">
        <f>IF($N1632="","",INDEX(LdADate,$N1632))</f>
        <v/>
      </c>
      <c r="C1632" s="20">
        <f>IF($N1632="","",IF(INDEX(LdAId,$N1632)="","—",INDEX(LdAId,$N1632)))</f>
        <v/>
      </c>
      <c r="D1632" s="21">
        <f>IF($N1632="","",IF(INDEX(LdAAmt,$N1632)=0,"",INDEX(LdAAmt,$N1632)))</f>
        <v/>
      </c>
      <c r="E1632" s="21">
        <f>IF($N1632="","",SUMIFS(ShareAmt,ShareLink,$C1632))</f>
        <v/>
      </c>
      <c r="F1632" s="34">
        <f>IF($N1632="","",COUNTIF(ShareLink,$C1632))</f>
        <v/>
      </c>
      <c r="G1632" s="22">
        <f>IF($N1632="","",IF(ROUND($E1632-$D1632,0)=0,"√","▲ "&amp;TEXT($D1632-$E1632,"#,##0")))</f>
        <v/>
      </c>
      <c r="N1632">
        <f>IFERROR(MATCH($C$5&amp;"|"&amp;RIGHT("000000"&amp;1616,6),LdAKeyG,0),"")</f>
        <v/>
      </c>
    </row>
    <row r="1633">
      <c r="A1633" s="10" t="n">
        <v>1617</v>
      </c>
      <c r="B1633" s="14">
        <f>IF($N1633="","",INDEX(LdADate,$N1633))</f>
        <v/>
      </c>
      <c r="C1633" s="14">
        <f>IF($N1633="","",IF(INDEX(LdAId,$N1633)="","—",INDEX(LdAId,$N1633)))</f>
        <v/>
      </c>
      <c r="D1633" s="16">
        <f>IF($N1633="","",IF(INDEX(LdAAmt,$N1633)=0,"",INDEX(LdAAmt,$N1633)))</f>
        <v/>
      </c>
      <c r="E1633" s="16">
        <f>IF($N1633="","",SUMIFS(ShareAmt,ShareLink,$C1633))</f>
        <v/>
      </c>
      <c r="F1633" s="33">
        <f>IF($N1633="","",COUNTIF(ShareLink,$C1633))</f>
        <v/>
      </c>
      <c r="G1633" s="17">
        <f>IF($N1633="","",IF(ROUND($E1633-$D1633,0)=0,"√","▲ "&amp;TEXT($D1633-$E1633,"#,##0")))</f>
        <v/>
      </c>
      <c r="N1633">
        <f>IFERROR(MATCH($C$5&amp;"|"&amp;RIGHT("000000"&amp;1617,6),LdAKeyG,0),"")</f>
        <v/>
      </c>
    </row>
    <row r="1634">
      <c r="A1634" s="19" t="n">
        <v>1618</v>
      </c>
      <c r="B1634" s="20">
        <f>IF($N1634="","",INDEX(LdADate,$N1634))</f>
        <v/>
      </c>
      <c r="C1634" s="20">
        <f>IF($N1634="","",IF(INDEX(LdAId,$N1634)="","—",INDEX(LdAId,$N1634)))</f>
        <v/>
      </c>
      <c r="D1634" s="21">
        <f>IF($N1634="","",IF(INDEX(LdAAmt,$N1634)=0,"",INDEX(LdAAmt,$N1634)))</f>
        <v/>
      </c>
      <c r="E1634" s="21">
        <f>IF($N1634="","",SUMIFS(ShareAmt,ShareLink,$C1634))</f>
        <v/>
      </c>
      <c r="F1634" s="34">
        <f>IF($N1634="","",COUNTIF(ShareLink,$C1634))</f>
        <v/>
      </c>
      <c r="G1634" s="22">
        <f>IF($N1634="","",IF(ROUND($E1634-$D1634,0)=0,"√","▲ "&amp;TEXT($D1634-$E1634,"#,##0")))</f>
        <v/>
      </c>
      <c r="N1634">
        <f>IFERROR(MATCH($C$5&amp;"|"&amp;RIGHT("000000"&amp;1618,6),LdAKeyG,0),"")</f>
        <v/>
      </c>
    </row>
    <row r="1635">
      <c r="A1635" s="10" t="n">
        <v>1619</v>
      </c>
      <c r="B1635" s="14">
        <f>IF($N1635="","",INDEX(LdADate,$N1635))</f>
        <v/>
      </c>
      <c r="C1635" s="14">
        <f>IF($N1635="","",IF(INDEX(LdAId,$N1635)="","—",INDEX(LdAId,$N1635)))</f>
        <v/>
      </c>
      <c r="D1635" s="16">
        <f>IF($N1635="","",IF(INDEX(LdAAmt,$N1635)=0,"",INDEX(LdAAmt,$N1635)))</f>
        <v/>
      </c>
      <c r="E1635" s="16">
        <f>IF($N1635="","",SUMIFS(ShareAmt,ShareLink,$C1635))</f>
        <v/>
      </c>
      <c r="F1635" s="33">
        <f>IF($N1635="","",COUNTIF(ShareLink,$C1635))</f>
        <v/>
      </c>
      <c r="G1635" s="17">
        <f>IF($N1635="","",IF(ROUND($E1635-$D1635,0)=0,"√","▲ "&amp;TEXT($D1635-$E1635,"#,##0")))</f>
        <v/>
      </c>
      <c r="N1635">
        <f>IFERROR(MATCH($C$5&amp;"|"&amp;RIGHT("000000"&amp;1619,6),LdAKeyG,0),"")</f>
        <v/>
      </c>
    </row>
    <row r="1636">
      <c r="A1636" s="19" t="n">
        <v>1620</v>
      </c>
      <c r="B1636" s="20">
        <f>IF($N1636="","",INDEX(LdADate,$N1636))</f>
        <v/>
      </c>
      <c r="C1636" s="20">
        <f>IF($N1636="","",IF(INDEX(LdAId,$N1636)="","—",INDEX(LdAId,$N1636)))</f>
        <v/>
      </c>
      <c r="D1636" s="21">
        <f>IF($N1636="","",IF(INDEX(LdAAmt,$N1636)=0,"",INDEX(LdAAmt,$N1636)))</f>
        <v/>
      </c>
      <c r="E1636" s="21">
        <f>IF($N1636="","",SUMIFS(ShareAmt,ShareLink,$C1636))</f>
        <v/>
      </c>
      <c r="F1636" s="34">
        <f>IF($N1636="","",COUNTIF(ShareLink,$C1636))</f>
        <v/>
      </c>
      <c r="G1636" s="22">
        <f>IF($N1636="","",IF(ROUND($E1636-$D1636,0)=0,"√","▲ "&amp;TEXT($D1636-$E1636,"#,##0")))</f>
        <v/>
      </c>
      <c r="N1636">
        <f>IFERROR(MATCH($C$5&amp;"|"&amp;RIGHT("000000"&amp;1620,6),LdAKeyG,0),"")</f>
        <v/>
      </c>
    </row>
    <row r="1637">
      <c r="A1637" s="10" t="n">
        <v>1621</v>
      </c>
      <c r="B1637" s="14">
        <f>IF($N1637="","",INDEX(LdADate,$N1637))</f>
        <v/>
      </c>
      <c r="C1637" s="14">
        <f>IF($N1637="","",IF(INDEX(LdAId,$N1637)="","—",INDEX(LdAId,$N1637)))</f>
        <v/>
      </c>
      <c r="D1637" s="16">
        <f>IF($N1637="","",IF(INDEX(LdAAmt,$N1637)=0,"",INDEX(LdAAmt,$N1637)))</f>
        <v/>
      </c>
      <c r="E1637" s="16">
        <f>IF($N1637="","",SUMIFS(ShareAmt,ShareLink,$C1637))</f>
        <v/>
      </c>
      <c r="F1637" s="33">
        <f>IF($N1637="","",COUNTIF(ShareLink,$C1637))</f>
        <v/>
      </c>
      <c r="G1637" s="17">
        <f>IF($N1637="","",IF(ROUND($E1637-$D1637,0)=0,"√","▲ "&amp;TEXT($D1637-$E1637,"#,##0")))</f>
        <v/>
      </c>
      <c r="N1637">
        <f>IFERROR(MATCH($C$5&amp;"|"&amp;RIGHT("000000"&amp;1621,6),LdAKeyG,0),"")</f>
        <v/>
      </c>
    </row>
    <row r="1638">
      <c r="A1638" s="19" t="n">
        <v>1622</v>
      </c>
      <c r="B1638" s="20">
        <f>IF($N1638="","",INDEX(LdADate,$N1638))</f>
        <v/>
      </c>
      <c r="C1638" s="20">
        <f>IF($N1638="","",IF(INDEX(LdAId,$N1638)="","—",INDEX(LdAId,$N1638)))</f>
        <v/>
      </c>
      <c r="D1638" s="21">
        <f>IF($N1638="","",IF(INDEX(LdAAmt,$N1638)=0,"",INDEX(LdAAmt,$N1638)))</f>
        <v/>
      </c>
      <c r="E1638" s="21">
        <f>IF($N1638="","",SUMIFS(ShareAmt,ShareLink,$C1638))</f>
        <v/>
      </c>
      <c r="F1638" s="34">
        <f>IF($N1638="","",COUNTIF(ShareLink,$C1638))</f>
        <v/>
      </c>
      <c r="G1638" s="22">
        <f>IF($N1638="","",IF(ROUND($E1638-$D1638,0)=0,"√","▲ "&amp;TEXT($D1638-$E1638,"#,##0")))</f>
        <v/>
      </c>
      <c r="N1638">
        <f>IFERROR(MATCH($C$5&amp;"|"&amp;RIGHT("000000"&amp;1622,6),LdAKeyG,0),"")</f>
        <v/>
      </c>
    </row>
    <row r="1639">
      <c r="A1639" s="10" t="n">
        <v>1623</v>
      </c>
      <c r="B1639" s="14">
        <f>IF($N1639="","",INDEX(LdADate,$N1639))</f>
        <v/>
      </c>
      <c r="C1639" s="14">
        <f>IF($N1639="","",IF(INDEX(LdAId,$N1639)="","—",INDEX(LdAId,$N1639)))</f>
        <v/>
      </c>
      <c r="D1639" s="16">
        <f>IF($N1639="","",IF(INDEX(LdAAmt,$N1639)=0,"",INDEX(LdAAmt,$N1639)))</f>
        <v/>
      </c>
      <c r="E1639" s="16">
        <f>IF($N1639="","",SUMIFS(ShareAmt,ShareLink,$C1639))</f>
        <v/>
      </c>
      <c r="F1639" s="33">
        <f>IF($N1639="","",COUNTIF(ShareLink,$C1639))</f>
        <v/>
      </c>
      <c r="G1639" s="17">
        <f>IF($N1639="","",IF(ROUND($E1639-$D1639,0)=0,"√","▲ "&amp;TEXT($D1639-$E1639,"#,##0")))</f>
        <v/>
      </c>
      <c r="N1639">
        <f>IFERROR(MATCH($C$5&amp;"|"&amp;RIGHT("000000"&amp;1623,6),LdAKeyG,0),"")</f>
        <v/>
      </c>
    </row>
    <row r="1640">
      <c r="A1640" s="19" t="n">
        <v>1624</v>
      </c>
      <c r="B1640" s="20">
        <f>IF($N1640="","",INDEX(LdADate,$N1640))</f>
        <v/>
      </c>
      <c r="C1640" s="20">
        <f>IF($N1640="","",IF(INDEX(LdAId,$N1640)="","—",INDEX(LdAId,$N1640)))</f>
        <v/>
      </c>
      <c r="D1640" s="21">
        <f>IF($N1640="","",IF(INDEX(LdAAmt,$N1640)=0,"",INDEX(LdAAmt,$N1640)))</f>
        <v/>
      </c>
      <c r="E1640" s="21">
        <f>IF($N1640="","",SUMIFS(ShareAmt,ShareLink,$C1640))</f>
        <v/>
      </c>
      <c r="F1640" s="34">
        <f>IF($N1640="","",COUNTIF(ShareLink,$C1640))</f>
        <v/>
      </c>
      <c r="G1640" s="22">
        <f>IF($N1640="","",IF(ROUND($E1640-$D1640,0)=0,"√","▲ "&amp;TEXT($D1640-$E1640,"#,##0")))</f>
        <v/>
      </c>
      <c r="N1640">
        <f>IFERROR(MATCH($C$5&amp;"|"&amp;RIGHT("000000"&amp;1624,6),LdAKeyG,0),"")</f>
        <v/>
      </c>
    </row>
    <row r="1641">
      <c r="A1641" s="10" t="n">
        <v>1625</v>
      </c>
      <c r="B1641" s="14">
        <f>IF($N1641="","",INDEX(LdADate,$N1641))</f>
        <v/>
      </c>
      <c r="C1641" s="14">
        <f>IF($N1641="","",IF(INDEX(LdAId,$N1641)="","—",INDEX(LdAId,$N1641)))</f>
        <v/>
      </c>
      <c r="D1641" s="16">
        <f>IF($N1641="","",IF(INDEX(LdAAmt,$N1641)=0,"",INDEX(LdAAmt,$N1641)))</f>
        <v/>
      </c>
      <c r="E1641" s="16">
        <f>IF($N1641="","",SUMIFS(ShareAmt,ShareLink,$C1641))</f>
        <v/>
      </c>
      <c r="F1641" s="33">
        <f>IF($N1641="","",COUNTIF(ShareLink,$C1641))</f>
        <v/>
      </c>
      <c r="G1641" s="17">
        <f>IF($N1641="","",IF(ROUND($E1641-$D1641,0)=0,"√","▲ "&amp;TEXT($D1641-$E1641,"#,##0")))</f>
        <v/>
      </c>
      <c r="N1641">
        <f>IFERROR(MATCH($C$5&amp;"|"&amp;RIGHT("000000"&amp;1625,6),LdAKeyG,0),"")</f>
        <v/>
      </c>
    </row>
    <row r="1642">
      <c r="A1642" s="19" t="n">
        <v>1626</v>
      </c>
      <c r="B1642" s="20">
        <f>IF($N1642="","",INDEX(LdADate,$N1642))</f>
        <v/>
      </c>
      <c r="C1642" s="20">
        <f>IF($N1642="","",IF(INDEX(LdAId,$N1642)="","—",INDEX(LdAId,$N1642)))</f>
        <v/>
      </c>
      <c r="D1642" s="21">
        <f>IF($N1642="","",IF(INDEX(LdAAmt,$N1642)=0,"",INDEX(LdAAmt,$N1642)))</f>
        <v/>
      </c>
      <c r="E1642" s="21">
        <f>IF($N1642="","",SUMIFS(ShareAmt,ShareLink,$C1642))</f>
        <v/>
      </c>
      <c r="F1642" s="34">
        <f>IF($N1642="","",COUNTIF(ShareLink,$C1642))</f>
        <v/>
      </c>
      <c r="G1642" s="22">
        <f>IF($N1642="","",IF(ROUND($E1642-$D1642,0)=0,"√","▲ "&amp;TEXT($D1642-$E1642,"#,##0")))</f>
        <v/>
      </c>
      <c r="N1642">
        <f>IFERROR(MATCH($C$5&amp;"|"&amp;RIGHT("000000"&amp;1626,6),LdAKeyG,0),"")</f>
        <v/>
      </c>
    </row>
    <row r="1643">
      <c r="A1643" s="10" t="n">
        <v>1627</v>
      </c>
      <c r="B1643" s="14">
        <f>IF($N1643="","",INDEX(LdADate,$N1643))</f>
        <v/>
      </c>
      <c r="C1643" s="14">
        <f>IF($N1643="","",IF(INDEX(LdAId,$N1643)="","—",INDEX(LdAId,$N1643)))</f>
        <v/>
      </c>
      <c r="D1643" s="16">
        <f>IF($N1643="","",IF(INDEX(LdAAmt,$N1643)=0,"",INDEX(LdAAmt,$N1643)))</f>
        <v/>
      </c>
      <c r="E1643" s="16">
        <f>IF($N1643="","",SUMIFS(ShareAmt,ShareLink,$C1643))</f>
        <v/>
      </c>
      <c r="F1643" s="33">
        <f>IF($N1643="","",COUNTIF(ShareLink,$C1643))</f>
        <v/>
      </c>
      <c r="G1643" s="17">
        <f>IF($N1643="","",IF(ROUND($E1643-$D1643,0)=0,"√","▲ "&amp;TEXT($D1643-$E1643,"#,##0")))</f>
        <v/>
      </c>
      <c r="N1643">
        <f>IFERROR(MATCH($C$5&amp;"|"&amp;RIGHT("000000"&amp;1627,6),LdAKeyG,0),"")</f>
        <v/>
      </c>
    </row>
    <row r="1644">
      <c r="A1644" s="19" t="n">
        <v>1628</v>
      </c>
      <c r="B1644" s="20">
        <f>IF($N1644="","",INDEX(LdADate,$N1644))</f>
        <v/>
      </c>
      <c r="C1644" s="20">
        <f>IF($N1644="","",IF(INDEX(LdAId,$N1644)="","—",INDEX(LdAId,$N1644)))</f>
        <v/>
      </c>
      <c r="D1644" s="21">
        <f>IF($N1644="","",IF(INDEX(LdAAmt,$N1644)=0,"",INDEX(LdAAmt,$N1644)))</f>
        <v/>
      </c>
      <c r="E1644" s="21">
        <f>IF($N1644="","",SUMIFS(ShareAmt,ShareLink,$C1644))</f>
        <v/>
      </c>
      <c r="F1644" s="34">
        <f>IF($N1644="","",COUNTIF(ShareLink,$C1644))</f>
        <v/>
      </c>
      <c r="G1644" s="22">
        <f>IF($N1644="","",IF(ROUND($E1644-$D1644,0)=0,"√","▲ "&amp;TEXT($D1644-$E1644,"#,##0")))</f>
        <v/>
      </c>
      <c r="N1644">
        <f>IFERROR(MATCH($C$5&amp;"|"&amp;RIGHT("000000"&amp;1628,6),LdAKeyG,0),"")</f>
        <v/>
      </c>
    </row>
    <row r="1645">
      <c r="A1645" s="10" t="n">
        <v>1629</v>
      </c>
      <c r="B1645" s="14">
        <f>IF($N1645="","",INDEX(LdADate,$N1645))</f>
        <v/>
      </c>
      <c r="C1645" s="14">
        <f>IF($N1645="","",IF(INDEX(LdAId,$N1645)="","—",INDEX(LdAId,$N1645)))</f>
        <v/>
      </c>
      <c r="D1645" s="16">
        <f>IF($N1645="","",IF(INDEX(LdAAmt,$N1645)=0,"",INDEX(LdAAmt,$N1645)))</f>
        <v/>
      </c>
      <c r="E1645" s="16">
        <f>IF($N1645="","",SUMIFS(ShareAmt,ShareLink,$C1645))</f>
        <v/>
      </c>
      <c r="F1645" s="33">
        <f>IF($N1645="","",COUNTIF(ShareLink,$C1645))</f>
        <v/>
      </c>
      <c r="G1645" s="17">
        <f>IF($N1645="","",IF(ROUND($E1645-$D1645,0)=0,"√","▲ "&amp;TEXT($D1645-$E1645,"#,##0")))</f>
        <v/>
      </c>
      <c r="N1645">
        <f>IFERROR(MATCH($C$5&amp;"|"&amp;RIGHT("000000"&amp;1629,6),LdAKeyG,0),"")</f>
        <v/>
      </c>
    </row>
    <row r="1646">
      <c r="A1646" s="19" t="n">
        <v>1630</v>
      </c>
      <c r="B1646" s="20">
        <f>IF($N1646="","",INDEX(LdADate,$N1646))</f>
        <v/>
      </c>
      <c r="C1646" s="20">
        <f>IF($N1646="","",IF(INDEX(LdAId,$N1646)="","—",INDEX(LdAId,$N1646)))</f>
        <v/>
      </c>
      <c r="D1646" s="21">
        <f>IF($N1646="","",IF(INDEX(LdAAmt,$N1646)=0,"",INDEX(LdAAmt,$N1646)))</f>
        <v/>
      </c>
      <c r="E1646" s="21">
        <f>IF($N1646="","",SUMIFS(ShareAmt,ShareLink,$C1646))</f>
        <v/>
      </c>
      <c r="F1646" s="34">
        <f>IF($N1646="","",COUNTIF(ShareLink,$C1646))</f>
        <v/>
      </c>
      <c r="G1646" s="22">
        <f>IF($N1646="","",IF(ROUND($E1646-$D1646,0)=0,"√","▲ "&amp;TEXT($D1646-$E1646,"#,##0")))</f>
        <v/>
      </c>
      <c r="N1646">
        <f>IFERROR(MATCH($C$5&amp;"|"&amp;RIGHT("000000"&amp;1630,6),LdAKeyG,0),"")</f>
        <v/>
      </c>
    </row>
    <row r="1647">
      <c r="A1647" s="10" t="n">
        <v>1631</v>
      </c>
      <c r="B1647" s="14">
        <f>IF($N1647="","",INDEX(LdADate,$N1647))</f>
        <v/>
      </c>
      <c r="C1647" s="14">
        <f>IF($N1647="","",IF(INDEX(LdAId,$N1647)="","—",INDEX(LdAId,$N1647)))</f>
        <v/>
      </c>
      <c r="D1647" s="16">
        <f>IF($N1647="","",IF(INDEX(LdAAmt,$N1647)=0,"",INDEX(LdAAmt,$N1647)))</f>
        <v/>
      </c>
      <c r="E1647" s="16">
        <f>IF($N1647="","",SUMIFS(ShareAmt,ShareLink,$C1647))</f>
        <v/>
      </c>
      <c r="F1647" s="33">
        <f>IF($N1647="","",COUNTIF(ShareLink,$C1647))</f>
        <v/>
      </c>
      <c r="G1647" s="17">
        <f>IF($N1647="","",IF(ROUND($E1647-$D1647,0)=0,"√","▲ "&amp;TEXT($D1647-$E1647,"#,##0")))</f>
        <v/>
      </c>
      <c r="N1647">
        <f>IFERROR(MATCH($C$5&amp;"|"&amp;RIGHT("000000"&amp;1631,6),LdAKeyG,0),"")</f>
        <v/>
      </c>
    </row>
    <row r="1648">
      <c r="A1648" s="19" t="n">
        <v>1632</v>
      </c>
      <c r="B1648" s="20">
        <f>IF($N1648="","",INDEX(LdADate,$N1648))</f>
        <v/>
      </c>
      <c r="C1648" s="20">
        <f>IF($N1648="","",IF(INDEX(LdAId,$N1648)="","—",INDEX(LdAId,$N1648)))</f>
        <v/>
      </c>
      <c r="D1648" s="21">
        <f>IF($N1648="","",IF(INDEX(LdAAmt,$N1648)=0,"",INDEX(LdAAmt,$N1648)))</f>
        <v/>
      </c>
      <c r="E1648" s="21">
        <f>IF($N1648="","",SUMIFS(ShareAmt,ShareLink,$C1648))</f>
        <v/>
      </c>
      <c r="F1648" s="34">
        <f>IF($N1648="","",COUNTIF(ShareLink,$C1648))</f>
        <v/>
      </c>
      <c r="G1648" s="22">
        <f>IF($N1648="","",IF(ROUND($E1648-$D1648,0)=0,"√","▲ "&amp;TEXT($D1648-$E1648,"#,##0")))</f>
        <v/>
      </c>
      <c r="N1648">
        <f>IFERROR(MATCH($C$5&amp;"|"&amp;RIGHT("000000"&amp;1632,6),LdAKeyG,0),"")</f>
        <v/>
      </c>
    </row>
    <row r="1649">
      <c r="A1649" s="10" t="n">
        <v>1633</v>
      </c>
      <c r="B1649" s="14">
        <f>IF($N1649="","",INDEX(LdADate,$N1649))</f>
        <v/>
      </c>
      <c r="C1649" s="14">
        <f>IF($N1649="","",IF(INDEX(LdAId,$N1649)="","—",INDEX(LdAId,$N1649)))</f>
        <v/>
      </c>
      <c r="D1649" s="16">
        <f>IF($N1649="","",IF(INDEX(LdAAmt,$N1649)=0,"",INDEX(LdAAmt,$N1649)))</f>
        <v/>
      </c>
      <c r="E1649" s="16">
        <f>IF($N1649="","",SUMIFS(ShareAmt,ShareLink,$C1649))</f>
        <v/>
      </c>
      <c r="F1649" s="33">
        <f>IF($N1649="","",COUNTIF(ShareLink,$C1649))</f>
        <v/>
      </c>
      <c r="G1649" s="17">
        <f>IF($N1649="","",IF(ROUND($E1649-$D1649,0)=0,"√","▲ "&amp;TEXT($D1649-$E1649,"#,##0")))</f>
        <v/>
      </c>
      <c r="N1649">
        <f>IFERROR(MATCH($C$5&amp;"|"&amp;RIGHT("000000"&amp;1633,6),LdAKeyG,0),"")</f>
        <v/>
      </c>
    </row>
    <row r="1650">
      <c r="A1650" s="19" t="n">
        <v>1634</v>
      </c>
      <c r="B1650" s="20">
        <f>IF($N1650="","",INDEX(LdADate,$N1650))</f>
        <v/>
      </c>
      <c r="C1650" s="20">
        <f>IF($N1650="","",IF(INDEX(LdAId,$N1650)="","—",INDEX(LdAId,$N1650)))</f>
        <v/>
      </c>
      <c r="D1650" s="21">
        <f>IF($N1650="","",IF(INDEX(LdAAmt,$N1650)=0,"",INDEX(LdAAmt,$N1650)))</f>
        <v/>
      </c>
      <c r="E1650" s="21">
        <f>IF($N1650="","",SUMIFS(ShareAmt,ShareLink,$C1650))</f>
        <v/>
      </c>
      <c r="F1650" s="34">
        <f>IF($N1650="","",COUNTIF(ShareLink,$C1650))</f>
        <v/>
      </c>
      <c r="G1650" s="22">
        <f>IF($N1650="","",IF(ROUND($E1650-$D1650,0)=0,"√","▲ "&amp;TEXT($D1650-$E1650,"#,##0")))</f>
        <v/>
      </c>
      <c r="N1650">
        <f>IFERROR(MATCH($C$5&amp;"|"&amp;RIGHT("000000"&amp;1634,6),LdAKeyG,0),"")</f>
        <v/>
      </c>
    </row>
    <row r="1651">
      <c r="A1651" s="10" t="n">
        <v>1635</v>
      </c>
      <c r="B1651" s="14">
        <f>IF($N1651="","",INDEX(LdADate,$N1651))</f>
        <v/>
      </c>
      <c r="C1651" s="14">
        <f>IF($N1651="","",IF(INDEX(LdAId,$N1651)="","—",INDEX(LdAId,$N1651)))</f>
        <v/>
      </c>
      <c r="D1651" s="16">
        <f>IF($N1651="","",IF(INDEX(LdAAmt,$N1651)=0,"",INDEX(LdAAmt,$N1651)))</f>
        <v/>
      </c>
      <c r="E1651" s="16">
        <f>IF($N1651="","",SUMIFS(ShareAmt,ShareLink,$C1651))</f>
        <v/>
      </c>
      <c r="F1651" s="33">
        <f>IF($N1651="","",COUNTIF(ShareLink,$C1651))</f>
        <v/>
      </c>
      <c r="G1651" s="17">
        <f>IF($N1651="","",IF(ROUND($E1651-$D1651,0)=0,"√","▲ "&amp;TEXT($D1651-$E1651,"#,##0")))</f>
        <v/>
      </c>
      <c r="N1651">
        <f>IFERROR(MATCH($C$5&amp;"|"&amp;RIGHT("000000"&amp;1635,6),LdAKeyG,0),"")</f>
        <v/>
      </c>
    </row>
    <row r="1652">
      <c r="A1652" s="19" t="n">
        <v>1636</v>
      </c>
      <c r="B1652" s="20">
        <f>IF($N1652="","",INDEX(LdADate,$N1652))</f>
        <v/>
      </c>
      <c r="C1652" s="20">
        <f>IF($N1652="","",IF(INDEX(LdAId,$N1652)="","—",INDEX(LdAId,$N1652)))</f>
        <v/>
      </c>
      <c r="D1652" s="21">
        <f>IF($N1652="","",IF(INDEX(LdAAmt,$N1652)=0,"",INDEX(LdAAmt,$N1652)))</f>
        <v/>
      </c>
      <c r="E1652" s="21">
        <f>IF($N1652="","",SUMIFS(ShareAmt,ShareLink,$C1652))</f>
        <v/>
      </c>
      <c r="F1652" s="34">
        <f>IF($N1652="","",COUNTIF(ShareLink,$C1652))</f>
        <v/>
      </c>
      <c r="G1652" s="22">
        <f>IF($N1652="","",IF(ROUND($E1652-$D1652,0)=0,"√","▲ "&amp;TEXT($D1652-$E1652,"#,##0")))</f>
        <v/>
      </c>
      <c r="N1652">
        <f>IFERROR(MATCH($C$5&amp;"|"&amp;RIGHT("000000"&amp;1636,6),LdAKeyG,0),"")</f>
        <v/>
      </c>
    </row>
    <row r="1653">
      <c r="A1653" s="10" t="n">
        <v>1637</v>
      </c>
      <c r="B1653" s="14">
        <f>IF($N1653="","",INDEX(LdADate,$N1653))</f>
        <v/>
      </c>
      <c r="C1653" s="14">
        <f>IF($N1653="","",IF(INDEX(LdAId,$N1653)="","—",INDEX(LdAId,$N1653)))</f>
        <v/>
      </c>
      <c r="D1653" s="16">
        <f>IF($N1653="","",IF(INDEX(LdAAmt,$N1653)=0,"",INDEX(LdAAmt,$N1653)))</f>
        <v/>
      </c>
      <c r="E1653" s="16">
        <f>IF($N1653="","",SUMIFS(ShareAmt,ShareLink,$C1653))</f>
        <v/>
      </c>
      <c r="F1653" s="33">
        <f>IF($N1653="","",COUNTIF(ShareLink,$C1653))</f>
        <v/>
      </c>
      <c r="G1653" s="17">
        <f>IF($N1653="","",IF(ROUND($E1653-$D1653,0)=0,"√","▲ "&amp;TEXT($D1653-$E1653,"#,##0")))</f>
        <v/>
      </c>
      <c r="N1653">
        <f>IFERROR(MATCH($C$5&amp;"|"&amp;RIGHT("000000"&amp;1637,6),LdAKeyG,0),"")</f>
        <v/>
      </c>
    </row>
    <row r="1654">
      <c r="A1654" s="19" t="n">
        <v>1638</v>
      </c>
      <c r="B1654" s="20">
        <f>IF($N1654="","",INDEX(LdADate,$N1654))</f>
        <v/>
      </c>
      <c r="C1654" s="20">
        <f>IF($N1654="","",IF(INDEX(LdAId,$N1654)="","—",INDEX(LdAId,$N1654)))</f>
        <v/>
      </c>
      <c r="D1654" s="21">
        <f>IF($N1654="","",IF(INDEX(LdAAmt,$N1654)=0,"",INDEX(LdAAmt,$N1654)))</f>
        <v/>
      </c>
      <c r="E1654" s="21">
        <f>IF($N1654="","",SUMIFS(ShareAmt,ShareLink,$C1654))</f>
        <v/>
      </c>
      <c r="F1654" s="34">
        <f>IF($N1654="","",COUNTIF(ShareLink,$C1654))</f>
        <v/>
      </c>
      <c r="G1654" s="22">
        <f>IF($N1654="","",IF(ROUND($E1654-$D1654,0)=0,"√","▲ "&amp;TEXT($D1654-$E1654,"#,##0")))</f>
        <v/>
      </c>
      <c r="N1654">
        <f>IFERROR(MATCH($C$5&amp;"|"&amp;RIGHT("000000"&amp;1638,6),LdAKeyG,0),"")</f>
        <v/>
      </c>
    </row>
    <row r="1655">
      <c r="A1655" s="10" t="n">
        <v>1639</v>
      </c>
      <c r="B1655" s="14">
        <f>IF($N1655="","",INDEX(LdADate,$N1655))</f>
        <v/>
      </c>
      <c r="C1655" s="14">
        <f>IF($N1655="","",IF(INDEX(LdAId,$N1655)="","—",INDEX(LdAId,$N1655)))</f>
        <v/>
      </c>
      <c r="D1655" s="16">
        <f>IF($N1655="","",IF(INDEX(LdAAmt,$N1655)=0,"",INDEX(LdAAmt,$N1655)))</f>
        <v/>
      </c>
      <c r="E1655" s="16">
        <f>IF($N1655="","",SUMIFS(ShareAmt,ShareLink,$C1655))</f>
        <v/>
      </c>
      <c r="F1655" s="33">
        <f>IF($N1655="","",COUNTIF(ShareLink,$C1655))</f>
        <v/>
      </c>
      <c r="G1655" s="17">
        <f>IF($N1655="","",IF(ROUND($E1655-$D1655,0)=0,"√","▲ "&amp;TEXT($D1655-$E1655,"#,##0")))</f>
        <v/>
      </c>
      <c r="N1655">
        <f>IFERROR(MATCH($C$5&amp;"|"&amp;RIGHT("000000"&amp;1639,6),LdAKeyG,0),"")</f>
        <v/>
      </c>
    </row>
    <row r="1656">
      <c r="A1656" s="19" t="n">
        <v>1640</v>
      </c>
      <c r="B1656" s="20">
        <f>IF($N1656="","",INDEX(LdADate,$N1656))</f>
        <v/>
      </c>
      <c r="C1656" s="20">
        <f>IF($N1656="","",IF(INDEX(LdAId,$N1656)="","—",INDEX(LdAId,$N1656)))</f>
        <v/>
      </c>
      <c r="D1656" s="21">
        <f>IF($N1656="","",IF(INDEX(LdAAmt,$N1656)=0,"",INDEX(LdAAmt,$N1656)))</f>
        <v/>
      </c>
      <c r="E1656" s="21">
        <f>IF($N1656="","",SUMIFS(ShareAmt,ShareLink,$C1656))</f>
        <v/>
      </c>
      <c r="F1656" s="34">
        <f>IF($N1656="","",COUNTIF(ShareLink,$C1656))</f>
        <v/>
      </c>
      <c r="G1656" s="22">
        <f>IF($N1656="","",IF(ROUND($E1656-$D1656,0)=0,"√","▲ "&amp;TEXT($D1656-$E1656,"#,##0")))</f>
        <v/>
      </c>
      <c r="N1656">
        <f>IFERROR(MATCH($C$5&amp;"|"&amp;RIGHT("000000"&amp;1640,6),LdAKeyG,0),"")</f>
        <v/>
      </c>
    </row>
    <row r="1657">
      <c r="A1657" s="10" t="n">
        <v>1641</v>
      </c>
      <c r="B1657" s="14">
        <f>IF($N1657="","",INDEX(LdADate,$N1657))</f>
        <v/>
      </c>
      <c r="C1657" s="14">
        <f>IF($N1657="","",IF(INDEX(LdAId,$N1657)="","—",INDEX(LdAId,$N1657)))</f>
        <v/>
      </c>
      <c r="D1657" s="16">
        <f>IF($N1657="","",IF(INDEX(LdAAmt,$N1657)=0,"",INDEX(LdAAmt,$N1657)))</f>
        <v/>
      </c>
      <c r="E1657" s="16">
        <f>IF($N1657="","",SUMIFS(ShareAmt,ShareLink,$C1657))</f>
        <v/>
      </c>
      <c r="F1657" s="33">
        <f>IF($N1657="","",COUNTIF(ShareLink,$C1657))</f>
        <v/>
      </c>
      <c r="G1657" s="17">
        <f>IF($N1657="","",IF(ROUND($E1657-$D1657,0)=0,"√","▲ "&amp;TEXT($D1657-$E1657,"#,##0")))</f>
        <v/>
      </c>
      <c r="N1657">
        <f>IFERROR(MATCH($C$5&amp;"|"&amp;RIGHT("000000"&amp;1641,6),LdAKeyG,0),"")</f>
        <v/>
      </c>
    </row>
    <row r="1658">
      <c r="A1658" s="19" t="n">
        <v>1642</v>
      </c>
      <c r="B1658" s="20">
        <f>IF($N1658="","",INDEX(LdADate,$N1658))</f>
        <v/>
      </c>
      <c r="C1658" s="20">
        <f>IF($N1658="","",IF(INDEX(LdAId,$N1658)="","—",INDEX(LdAId,$N1658)))</f>
        <v/>
      </c>
      <c r="D1658" s="21">
        <f>IF($N1658="","",IF(INDEX(LdAAmt,$N1658)=0,"",INDEX(LdAAmt,$N1658)))</f>
        <v/>
      </c>
      <c r="E1658" s="21">
        <f>IF($N1658="","",SUMIFS(ShareAmt,ShareLink,$C1658))</f>
        <v/>
      </c>
      <c r="F1658" s="34">
        <f>IF($N1658="","",COUNTIF(ShareLink,$C1658))</f>
        <v/>
      </c>
      <c r="G1658" s="22">
        <f>IF($N1658="","",IF(ROUND($E1658-$D1658,0)=0,"√","▲ "&amp;TEXT($D1658-$E1658,"#,##0")))</f>
        <v/>
      </c>
      <c r="N1658">
        <f>IFERROR(MATCH($C$5&amp;"|"&amp;RIGHT("000000"&amp;1642,6),LdAKeyG,0),"")</f>
        <v/>
      </c>
    </row>
    <row r="1659">
      <c r="A1659" s="10" t="n">
        <v>1643</v>
      </c>
      <c r="B1659" s="14">
        <f>IF($N1659="","",INDEX(LdADate,$N1659))</f>
        <v/>
      </c>
      <c r="C1659" s="14">
        <f>IF($N1659="","",IF(INDEX(LdAId,$N1659)="","—",INDEX(LdAId,$N1659)))</f>
        <v/>
      </c>
      <c r="D1659" s="16">
        <f>IF($N1659="","",IF(INDEX(LdAAmt,$N1659)=0,"",INDEX(LdAAmt,$N1659)))</f>
        <v/>
      </c>
      <c r="E1659" s="16">
        <f>IF($N1659="","",SUMIFS(ShareAmt,ShareLink,$C1659))</f>
        <v/>
      </c>
      <c r="F1659" s="33">
        <f>IF($N1659="","",COUNTIF(ShareLink,$C1659))</f>
        <v/>
      </c>
      <c r="G1659" s="17">
        <f>IF($N1659="","",IF(ROUND($E1659-$D1659,0)=0,"√","▲ "&amp;TEXT($D1659-$E1659,"#,##0")))</f>
        <v/>
      </c>
      <c r="N1659">
        <f>IFERROR(MATCH($C$5&amp;"|"&amp;RIGHT("000000"&amp;1643,6),LdAKeyG,0),"")</f>
        <v/>
      </c>
    </row>
    <row r="1660">
      <c r="A1660" s="19" t="n">
        <v>1644</v>
      </c>
      <c r="B1660" s="20">
        <f>IF($N1660="","",INDEX(LdADate,$N1660))</f>
        <v/>
      </c>
      <c r="C1660" s="20">
        <f>IF($N1660="","",IF(INDEX(LdAId,$N1660)="","—",INDEX(LdAId,$N1660)))</f>
        <v/>
      </c>
      <c r="D1660" s="21">
        <f>IF($N1660="","",IF(INDEX(LdAAmt,$N1660)=0,"",INDEX(LdAAmt,$N1660)))</f>
        <v/>
      </c>
      <c r="E1660" s="21">
        <f>IF($N1660="","",SUMIFS(ShareAmt,ShareLink,$C1660))</f>
        <v/>
      </c>
      <c r="F1660" s="34">
        <f>IF($N1660="","",COUNTIF(ShareLink,$C1660))</f>
        <v/>
      </c>
      <c r="G1660" s="22">
        <f>IF($N1660="","",IF(ROUND($E1660-$D1660,0)=0,"√","▲ "&amp;TEXT($D1660-$E1660,"#,##0")))</f>
        <v/>
      </c>
      <c r="N1660">
        <f>IFERROR(MATCH($C$5&amp;"|"&amp;RIGHT("000000"&amp;1644,6),LdAKeyG,0),"")</f>
        <v/>
      </c>
    </row>
    <row r="1661">
      <c r="A1661" s="10" t="n">
        <v>1645</v>
      </c>
      <c r="B1661" s="14">
        <f>IF($N1661="","",INDEX(LdADate,$N1661))</f>
        <v/>
      </c>
      <c r="C1661" s="14">
        <f>IF($N1661="","",IF(INDEX(LdAId,$N1661)="","—",INDEX(LdAId,$N1661)))</f>
        <v/>
      </c>
      <c r="D1661" s="16">
        <f>IF($N1661="","",IF(INDEX(LdAAmt,$N1661)=0,"",INDEX(LdAAmt,$N1661)))</f>
        <v/>
      </c>
      <c r="E1661" s="16">
        <f>IF($N1661="","",SUMIFS(ShareAmt,ShareLink,$C1661))</f>
        <v/>
      </c>
      <c r="F1661" s="33">
        <f>IF($N1661="","",COUNTIF(ShareLink,$C1661))</f>
        <v/>
      </c>
      <c r="G1661" s="17">
        <f>IF($N1661="","",IF(ROUND($E1661-$D1661,0)=0,"√","▲ "&amp;TEXT($D1661-$E1661,"#,##0")))</f>
        <v/>
      </c>
      <c r="N1661">
        <f>IFERROR(MATCH($C$5&amp;"|"&amp;RIGHT("000000"&amp;1645,6),LdAKeyG,0),"")</f>
        <v/>
      </c>
    </row>
    <row r="1662">
      <c r="A1662" s="19" t="n">
        <v>1646</v>
      </c>
      <c r="B1662" s="20">
        <f>IF($N1662="","",INDEX(LdADate,$N1662))</f>
        <v/>
      </c>
      <c r="C1662" s="20">
        <f>IF($N1662="","",IF(INDEX(LdAId,$N1662)="","—",INDEX(LdAId,$N1662)))</f>
        <v/>
      </c>
      <c r="D1662" s="21">
        <f>IF($N1662="","",IF(INDEX(LdAAmt,$N1662)=0,"",INDEX(LdAAmt,$N1662)))</f>
        <v/>
      </c>
      <c r="E1662" s="21">
        <f>IF($N1662="","",SUMIFS(ShareAmt,ShareLink,$C1662))</f>
        <v/>
      </c>
      <c r="F1662" s="34">
        <f>IF($N1662="","",COUNTIF(ShareLink,$C1662))</f>
        <v/>
      </c>
      <c r="G1662" s="22">
        <f>IF($N1662="","",IF(ROUND($E1662-$D1662,0)=0,"√","▲ "&amp;TEXT($D1662-$E1662,"#,##0")))</f>
        <v/>
      </c>
      <c r="N1662">
        <f>IFERROR(MATCH($C$5&amp;"|"&amp;RIGHT("000000"&amp;1646,6),LdAKeyG,0),"")</f>
        <v/>
      </c>
    </row>
    <row r="1663">
      <c r="A1663" s="10" t="n">
        <v>1647</v>
      </c>
      <c r="B1663" s="14">
        <f>IF($N1663="","",INDEX(LdADate,$N1663))</f>
        <v/>
      </c>
      <c r="C1663" s="14">
        <f>IF($N1663="","",IF(INDEX(LdAId,$N1663)="","—",INDEX(LdAId,$N1663)))</f>
        <v/>
      </c>
      <c r="D1663" s="16">
        <f>IF($N1663="","",IF(INDEX(LdAAmt,$N1663)=0,"",INDEX(LdAAmt,$N1663)))</f>
        <v/>
      </c>
      <c r="E1663" s="16">
        <f>IF($N1663="","",SUMIFS(ShareAmt,ShareLink,$C1663))</f>
        <v/>
      </c>
      <c r="F1663" s="33">
        <f>IF($N1663="","",COUNTIF(ShareLink,$C1663))</f>
        <v/>
      </c>
      <c r="G1663" s="17">
        <f>IF($N1663="","",IF(ROUND($E1663-$D1663,0)=0,"√","▲ "&amp;TEXT($D1663-$E1663,"#,##0")))</f>
        <v/>
      </c>
      <c r="N1663">
        <f>IFERROR(MATCH($C$5&amp;"|"&amp;RIGHT("000000"&amp;1647,6),LdAKeyG,0),"")</f>
        <v/>
      </c>
    </row>
    <row r="1664">
      <c r="A1664" s="19" t="n">
        <v>1648</v>
      </c>
      <c r="B1664" s="20">
        <f>IF($N1664="","",INDEX(LdADate,$N1664))</f>
        <v/>
      </c>
      <c r="C1664" s="20">
        <f>IF($N1664="","",IF(INDEX(LdAId,$N1664)="","—",INDEX(LdAId,$N1664)))</f>
        <v/>
      </c>
      <c r="D1664" s="21">
        <f>IF($N1664="","",IF(INDEX(LdAAmt,$N1664)=0,"",INDEX(LdAAmt,$N1664)))</f>
        <v/>
      </c>
      <c r="E1664" s="21">
        <f>IF($N1664="","",SUMIFS(ShareAmt,ShareLink,$C1664))</f>
        <v/>
      </c>
      <c r="F1664" s="34">
        <f>IF($N1664="","",COUNTIF(ShareLink,$C1664))</f>
        <v/>
      </c>
      <c r="G1664" s="22">
        <f>IF($N1664="","",IF(ROUND($E1664-$D1664,0)=0,"√","▲ "&amp;TEXT($D1664-$E1664,"#,##0")))</f>
        <v/>
      </c>
      <c r="N1664">
        <f>IFERROR(MATCH($C$5&amp;"|"&amp;RIGHT("000000"&amp;1648,6),LdAKeyG,0),"")</f>
        <v/>
      </c>
    </row>
    <row r="1665">
      <c r="A1665" s="10" t="n">
        <v>1649</v>
      </c>
      <c r="B1665" s="14">
        <f>IF($N1665="","",INDEX(LdADate,$N1665))</f>
        <v/>
      </c>
      <c r="C1665" s="14">
        <f>IF($N1665="","",IF(INDEX(LdAId,$N1665)="","—",INDEX(LdAId,$N1665)))</f>
        <v/>
      </c>
      <c r="D1665" s="16">
        <f>IF($N1665="","",IF(INDEX(LdAAmt,$N1665)=0,"",INDEX(LdAAmt,$N1665)))</f>
        <v/>
      </c>
      <c r="E1665" s="16">
        <f>IF($N1665="","",SUMIFS(ShareAmt,ShareLink,$C1665))</f>
        <v/>
      </c>
      <c r="F1665" s="33">
        <f>IF($N1665="","",COUNTIF(ShareLink,$C1665))</f>
        <v/>
      </c>
      <c r="G1665" s="17">
        <f>IF($N1665="","",IF(ROUND($E1665-$D1665,0)=0,"√","▲ "&amp;TEXT($D1665-$E1665,"#,##0")))</f>
        <v/>
      </c>
      <c r="N1665">
        <f>IFERROR(MATCH($C$5&amp;"|"&amp;RIGHT("000000"&amp;1649,6),LdAKeyG,0),"")</f>
        <v/>
      </c>
    </row>
    <row r="1666">
      <c r="A1666" s="19" t="n">
        <v>1650</v>
      </c>
      <c r="B1666" s="20">
        <f>IF($N1666="","",INDEX(LdADate,$N1666))</f>
        <v/>
      </c>
      <c r="C1666" s="20">
        <f>IF($N1666="","",IF(INDEX(LdAId,$N1666)="","—",INDEX(LdAId,$N1666)))</f>
        <v/>
      </c>
      <c r="D1666" s="21">
        <f>IF($N1666="","",IF(INDEX(LdAAmt,$N1666)=0,"",INDEX(LdAAmt,$N1666)))</f>
        <v/>
      </c>
      <c r="E1666" s="21">
        <f>IF($N1666="","",SUMIFS(ShareAmt,ShareLink,$C1666))</f>
        <v/>
      </c>
      <c r="F1666" s="34">
        <f>IF($N1666="","",COUNTIF(ShareLink,$C1666))</f>
        <v/>
      </c>
      <c r="G1666" s="22">
        <f>IF($N1666="","",IF(ROUND($E1666-$D1666,0)=0,"√","▲ "&amp;TEXT($D1666-$E1666,"#,##0")))</f>
        <v/>
      </c>
      <c r="N1666">
        <f>IFERROR(MATCH($C$5&amp;"|"&amp;RIGHT("000000"&amp;1650,6),LdAKeyG,0),"")</f>
        <v/>
      </c>
    </row>
    <row r="1667">
      <c r="A1667" s="10" t="n">
        <v>1651</v>
      </c>
      <c r="B1667" s="14">
        <f>IF($N1667="","",INDEX(LdADate,$N1667))</f>
        <v/>
      </c>
      <c r="C1667" s="14">
        <f>IF($N1667="","",IF(INDEX(LdAId,$N1667)="","—",INDEX(LdAId,$N1667)))</f>
        <v/>
      </c>
      <c r="D1667" s="16">
        <f>IF($N1667="","",IF(INDEX(LdAAmt,$N1667)=0,"",INDEX(LdAAmt,$N1667)))</f>
        <v/>
      </c>
      <c r="E1667" s="16">
        <f>IF($N1667="","",SUMIFS(ShareAmt,ShareLink,$C1667))</f>
        <v/>
      </c>
      <c r="F1667" s="33">
        <f>IF($N1667="","",COUNTIF(ShareLink,$C1667))</f>
        <v/>
      </c>
      <c r="G1667" s="17">
        <f>IF($N1667="","",IF(ROUND($E1667-$D1667,0)=0,"√","▲ "&amp;TEXT($D1667-$E1667,"#,##0")))</f>
        <v/>
      </c>
      <c r="N1667">
        <f>IFERROR(MATCH($C$5&amp;"|"&amp;RIGHT("000000"&amp;1651,6),LdAKeyG,0),"")</f>
        <v/>
      </c>
    </row>
    <row r="1668">
      <c r="A1668" s="19" t="n">
        <v>1652</v>
      </c>
      <c r="B1668" s="20">
        <f>IF($N1668="","",INDEX(LdADate,$N1668))</f>
        <v/>
      </c>
      <c r="C1668" s="20">
        <f>IF($N1668="","",IF(INDEX(LdAId,$N1668)="","—",INDEX(LdAId,$N1668)))</f>
        <v/>
      </c>
      <c r="D1668" s="21">
        <f>IF($N1668="","",IF(INDEX(LdAAmt,$N1668)=0,"",INDEX(LdAAmt,$N1668)))</f>
        <v/>
      </c>
      <c r="E1668" s="21">
        <f>IF($N1668="","",SUMIFS(ShareAmt,ShareLink,$C1668))</f>
        <v/>
      </c>
      <c r="F1668" s="34">
        <f>IF($N1668="","",COUNTIF(ShareLink,$C1668))</f>
        <v/>
      </c>
      <c r="G1668" s="22">
        <f>IF($N1668="","",IF(ROUND($E1668-$D1668,0)=0,"√","▲ "&amp;TEXT($D1668-$E1668,"#,##0")))</f>
        <v/>
      </c>
      <c r="N1668">
        <f>IFERROR(MATCH($C$5&amp;"|"&amp;RIGHT("000000"&amp;1652,6),LdAKeyG,0),"")</f>
        <v/>
      </c>
    </row>
    <row r="1669">
      <c r="A1669" s="10" t="n">
        <v>1653</v>
      </c>
      <c r="B1669" s="14">
        <f>IF($N1669="","",INDEX(LdADate,$N1669))</f>
        <v/>
      </c>
      <c r="C1669" s="14">
        <f>IF($N1669="","",IF(INDEX(LdAId,$N1669)="","—",INDEX(LdAId,$N1669)))</f>
        <v/>
      </c>
      <c r="D1669" s="16">
        <f>IF($N1669="","",IF(INDEX(LdAAmt,$N1669)=0,"",INDEX(LdAAmt,$N1669)))</f>
        <v/>
      </c>
      <c r="E1669" s="16">
        <f>IF($N1669="","",SUMIFS(ShareAmt,ShareLink,$C1669))</f>
        <v/>
      </c>
      <c r="F1669" s="33">
        <f>IF($N1669="","",COUNTIF(ShareLink,$C1669))</f>
        <v/>
      </c>
      <c r="G1669" s="17">
        <f>IF($N1669="","",IF(ROUND($E1669-$D1669,0)=0,"√","▲ "&amp;TEXT($D1669-$E1669,"#,##0")))</f>
        <v/>
      </c>
      <c r="N1669">
        <f>IFERROR(MATCH($C$5&amp;"|"&amp;RIGHT("000000"&amp;1653,6),LdAKeyG,0),"")</f>
        <v/>
      </c>
    </row>
    <row r="1670">
      <c r="A1670" s="19" t="n">
        <v>1654</v>
      </c>
      <c r="B1670" s="20">
        <f>IF($N1670="","",INDEX(LdADate,$N1670))</f>
        <v/>
      </c>
      <c r="C1670" s="20">
        <f>IF($N1670="","",IF(INDEX(LdAId,$N1670)="","—",INDEX(LdAId,$N1670)))</f>
        <v/>
      </c>
      <c r="D1670" s="21">
        <f>IF($N1670="","",IF(INDEX(LdAAmt,$N1670)=0,"",INDEX(LdAAmt,$N1670)))</f>
        <v/>
      </c>
      <c r="E1670" s="21">
        <f>IF($N1670="","",SUMIFS(ShareAmt,ShareLink,$C1670))</f>
        <v/>
      </c>
      <c r="F1670" s="34">
        <f>IF($N1670="","",COUNTIF(ShareLink,$C1670))</f>
        <v/>
      </c>
      <c r="G1670" s="22">
        <f>IF($N1670="","",IF(ROUND($E1670-$D1670,0)=0,"√","▲ "&amp;TEXT($D1670-$E1670,"#,##0")))</f>
        <v/>
      </c>
      <c r="N1670">
        <f>IFERROR(MATCH($C$5&amp;"|"&amp;RIGHT("000000"&amp;1654,6),LdAKeyG,0),"")</f>
        <v/>
      </c>
    </row>
    <row r="1671">
      <c r="A1671" s="10" t="n">
        <v>1655</v>
      </c>
      <c r="B1671" s="14">
        <f>IF($N1671="","",INDEX(LdADate,$N1671))</f>
        <v/>
      </c>
      <c r="C1671" s="14">
        <f>IF($N1671="","",IF(INDEX(LdAId,$N1671)="","—",INDEX(LdAId,$N1671)))</f>
        <v/>
      </c>
      <c r="D1671" s="16">
        <f>IF($N1671="","",IF(INDEX(LdAAmt,$N1671)=0,"",INDEX(LdAAmt,$N1671)))</f>
        <v/>
      </c>
      <c r="E1671" s="16">
        <f>IF($N1671="","",SUMIFS(ShareAmt,ShareLink,$C1671))</f>
        <v/>
      </c>
      <c r="F1671" s="33">
        <f>IF($N1671="","",COUNTIF(ShareLink,$C1671))</f>
        <v/>
      </c>
      <c r="G1671" s="17">
        <f>IF($N1671="","",IF(ROUND($E1671-$D1671,0)=0,"√","▲ "&amp;TEXT($D1671-$E1671,"#,##0")))</f>
        <v/>
      </c>
      <c r="N1671">
        <f>IFERROR(MATCH($C$5&amp;"|"&amp;RIGHT("000000"&amp;1655,6),LdAKeyG,0),"")</f>
        <v/>
      </c>
    </row>
    <row r="1672">
      <c r="A1672" s="19" t="n">
        <v>1656</v>
      </c>
      <c r="B1672" s="20">
        <f>IF($N1672="","",INDEX(LdADate,$N1672))</f>
        <v/>
      </c>
      <c r="C1672" s="20">
        <f>IF($N1672="","",IF(INDEX(LdAId,$N1672)="","—",INDEX(LdAId,$N1672)))</f>
        <v/>
      </c>
      <c r="D1672" s="21">
        <f>IF($N1672="","",IF(INDEX(LdAAmt,$N1672)=0,"",INDEX(LdAAmt,$N1672)))</f>
        <v/>
      </c>
      <c r="E1672" s="21">
        <f>IF($N1672="","",SUMIFS(ShareAmt,ShareLink,$C1672))</f>
        <v/>
      </c>
      <c r="F1672" s="34">
        <f>IF($N1672="","",COUNTIF(ShareLink,$C1672))</f>
        <v/>
      </c>
      <c r="G1672" s="22">
        <f>IF($N1672="","",IF(ROUND($E1672-$D1672,0)=0,"√","▲ "&amp;TEXT($D1672-$E1672,"#,##0")))</f>
        <v/>
      </c>
      <c r="N1672">
        <f>IFERROR(MATCH($C$5&amp;"|"&amp;RIGHT("000000"&amp;1656,6),LdAKeyG,0),"")</f>
        <v/>
      </c>
    </row>
    <row r="1673">
      <c r="A1673" s="10" t="n">
        <v>1657</v>
      </c>
      <c r="B1673" s="14">
        <f>IF($N1673="","",INDEX(LdADate,$N1673))</f>
        <v/>
      </c>
      <c r="C1673" s="14">
        <f>IF($N1673="","",IF(INDEX(LdAId,$N1673)="","—",INDEX(LdAId,$N1673)))</f>
        <v/>
      </c>
      <c r="D1673" s="16">
        <f>IF($N1673="","",IF(INDEX(LdAAmt,$N1673)=0,"",INDEX(LdAAmt,$N1673)))</f>
        <v/>
      </c>
      <c r="E1673" s="16">
        <f>IF($N1673="","",SUMIFS(ShareAmt,ShareLink,$C1673))</f>
        <v/>
      </c>
      <c r="F1673" s="33">
        <f>IF($N1673="","",COUNTIF(ShareLink,$C1673))</f>
        <v/>
      </c>
      <c r="G1673" s="17">
        <f>IF($N1673="","",IF(ROUND($E1673-$D1673,0)=0,"√","▲ "&amp;TEXT($D1673-$E1673,"#,##0")))</f>
        <v/>
      </c>
      <c r="N1673">
        <f>IFERROR(MATCH($C$5&amp;"|"&amp;RIGHT("000000"&amp;1657,6),LdAKeyG,0),"")</f>
        <v/>
      </c>
    </row>
    <row r="1674">
      <c r="A1674" s="19" t="n">
        <v>1658</v>
      </c>
      <c r="B1674" s="20">
        <f>IF($N1674="","",INDEX(LdADate,$N1674))</f>
        <v/>
      </c>
      <c r="C1674" s="20">
        <f>IF($N1674="","",IF(INDEX(LdAId,$N1674)="","—",INDEX(LdAId,$N1674)))</f>
        <v/>
      </c>
      <c r="D1674" s="21">
        <f>IF($N1674="","",IF(INDEX(LdAAmt,$N1674)=0,"",INDEX(LdAAmt,$N1674)))</f>
        <v/>
      </c>
      <c r="E1674" s="21">
        <f>IF($N1674="","",SUMIFS(ShareAmt,ShareLink,$C1674))</f>
        <v/>
      </c>
      <c r="F1674" s="34">
        <f>IF($N1674="","",COUNTIF(ShareLink,$C1674))</f>
        <v/>
      </c>
      <c r="G1674" s="22">
        <f>IF($N1674="","",IF(ROUND($E1674-$D1674,0)=0,"√","▲ "&amp;TEXT($D1674-$E1674,"#,##0")))</f>
        <v/>
      </c>
      <c r="N1674">
        <f>IFERROR(MATCH($C$5&amp;"|"&amp;RIGHT("000000"&amp;1658,6),LdAKeyG,0),"")</f>
        <v/>
      </c>
    </row>
    <row r="1675">
      <c r="A1675" s="10" t="n">
        <v>1659</v>
      </c>
      <c r="B1675" s="14">
        <f>IF($N1675="","",INDEX(LdADate,$N1675))</f>
        <v/>
      </c>
      <c r="C1675" s="14">
        <f>IF($N1675="","",IF(INDEX(LdAId,$N1675)="","—",INDEX(LdAId,$N1675)))</f>
        <v/>
      </c>
      <c r="D1675" s="16">
        <f>IF($N1675="","",IF(INDEX(LdAAmt,$N1675)=0,"",INDEX(LdAAmt,$N1675)))</f>
        <v/>
      </c>
      <c r="E1675" s="16">
        <f>IF($N1675="","",SUMIFS(ShareAmt,ShareLink,$C1675))</f>
        <v/>
      </c>
      <c r="F1675" s="33">
        <f>IF($N1675="","",COUNTIF(ShareLink,$C1675))</f>
        <v/>
      </c>
      <c r="G1675" s="17">
        <f>IF($N1675="","",IF(ROUND($E1675-$D1675,0)=0,"√","▲ "&amp;TEXT($D1675-$E1675,"#,##0")))</f>
        <v/>
      </c>
      <c r="N1675">
        <f>IFERROR(MATCH($C$5&amp;"|"&amp;RIGHT("000000"&amp;1659,6),LdAKeyG,0),"")</f>
        <v/>
      </c>
    </row>
    <row r="1676">
      <c r="A1676" s="19" t="n">
        <v>1660</v>
      </c>
      <c r="B1676" s="20">
        <f>IF($N1676="","",INDEX(LdADate,$N1676))</f>
        <v/>
      </c>
      <c r="C1676" s="20">
        <f>IF($N1676="","",IF(INDEX(LdAId,$N1676)="","—",INDEX(LdAId,$N1676)))</f>
        <v/>
      </c>
      <c r="D1676" s="21">
        <f>IF($N1676="","",IF(INDEX(LdAAmt,$N1676)=0,"",INDEX(LdAAmt,$N1676)))</f>
        <v/>
      </c>
      <c r="E1676" s="21">
        <f>IF($N1676="","",SUMIFS(ShareAmt,ShareLink,$C1676))</f>
        <v/>
      </c>
      <c r="F1676" s="34">
        <f>IF($N1676="","",COUNTIF(ShareLink,$C1676))</f>
        <v/>
      </c>
      <c r="G1676" s="22">
        <f>IF($N1676="","",IF(ROUND($E1676-$D1676,0)=0,"√","▲ "&amp;TEXT($D1676-$E1676,"#,##0")))</f>
        <v/>
      </c>
      <c r="N1676">
        <f>IFERROR(MATCH($C$5&amp;"|"&amp;RIGHT("000000"&amp;1660,6),LdAKeyG,0),"")</f>
        <v/>
      </c>
    </row>
    <row r="1677">
      <c r="A1677" s="10" t="n">
        <v>1661</v>
      </c>
      <c r="B1677" s="14">
        <f>IF($N1677="","",INDEX(LdADate,$N1677))</f>
        <v/>
      </c>
      <c r="C1677" s="14">
        <f>IF($N1677="","",IF(INDEX(LdAId,$N1677)="","—",INDEX(LdAId,$N1677)))</f>
        <v/>
      </c>
      <c r="D1677" s="16">
        <f>IF($N1677="","",IF(INDEX(LdAAmt,$N1677)=0,"",INDEX(LdAAmt,$N1677)))</f>
        <v/>
      </c>
      <c r="E1677" s="16">
        <f>IF($N1677="","",SUMIFS(ShareAmt,ShareLink,$C1677))</f>
        <v/>
      </c>
      <c r="F1677" s="33">
        <f>IF($N1677="","",COUNTIF(ShareLink,$C1677))</f>
        <v/>
      </c>
      <c r="G1677" s="17">
        <f>IF($N1677="","",IF(ROUND($E1677-$D1677,0)=0,"√","▲ "&amp;TEXT($D1677-$E1677,"#,##0")))</f>
        <v/>
      </c>
      <c r="N1677">
        <f>IFERROR(MATCH($C$5&amp;"|"&amp;RIGHT("000000"&amp;1661,6),LdAKeyG,0),"")</f>
        <v/>
      </c>
    </row>
    <row r="1678">
      <c r="A1678" s="19" t="n">
        <v>1662</v>
      </c>
      <c r="B1678" s="20">
        <f>IF($N1678="","",INDEX(LdADate,$N1678))</f>
        <v/>
      </c>
      <c r="C1678" s="20">
        <f>IF($N1678="","",IF(INDEX(LdAId,$N1678)="","—",INDEX(LdAId,$N1678)))</f>
        <v/>
      </c>
      <c r="D1678" s="21">
        <f>IF($N1678="","",IF(INDEX(LdAAmt,$N1678)=0,"",INDEX(LdAAmt,$N1678)))</f>
        <v/>
      </c>
      <c r="E1678" s="21">
        <f>IF($N1678="","",SUMIFS(ShareAmt,ShareLink,$C1678))</f>
        <v/>
      </c>
      <c r="F1678" s="34">
        <f>IF($N1678="","",COUNTIF(ShareLink,$C1678))</f>
        <v/>
      </c>
      <c r="G1678" s="22">
        <f>IF($N1678="","",IF(ROUND($E1678-$D1678,0)=0,"√","▲ "&amp;TEXT($D1678-$E1678,"#,##0")))</f>
        <v/>
      </c>
      <c r="N1678">
        <f>IFERROR(MATCH($C$5&amp;"|"&amp;RIGHT("000000"&amp;1662,6),LdAKeyG,0),"")</f>
        <v/>
      </c>
    </row>
    <row r="1679">
      <c r="A1679" s="10" t="n">
        <v>1663</v>
      </c>
      <c r="B1679" s="14">
        <f>IF($N1679="","",INDEX(LdADate,$N1679))</f>
        <v/>
      </c>
      <c r="C1679" s="14">
        <f>IF($N1679="","",IF(INDEX(LdAId,$N1679)="","—",INDEX(LdAId,$N1679)))</f>
        <v/>
      </c>
      <c r="D1679" s="16">
        <f>IF($N1679="","",IF(INDEX(LdAAmt,$N1679)=0,"",INDEX(LdAAmt,$N1679)))</f>
        <v/>
      </c>
      <c r="E1679" s="16">
        <f>IF($N1679="","",SUMIFS(ShareAmt,ShareLink,$C1679))</f>
        <v/>
      </c>
      <c r="F1679" s="33">
        <f>IF($N1679="","",COUNTIF(ShareLink,$C1679))</f>
        <v/>
      </c>
      <c r="G1679" s="17">
        <f>IF($N1679="","",IF(ROUND($E1679-$D1679,0)=0,"√","▲ "&amp;TEXT($D1679-$E1679,"#,##0")))</f>
        <v/>
      </c>
      <c r="N1679">
        <f>IFERROR(MATCH($C$5&amp;"|"&amp;RIGHT("000000"&amp;1663,6),LdAKeyG,0),"")</f>
        <v/>
      </c>
    </row>
    <row r="1680">
      <c r="A1680" s="19" t="n">
        <v>1664</v>
      </c>
      <c r="B1680" s="20">
        <f>IF($N1680="","",INDEX(LdADate,$N1680))</f>
        <v/>
      </c>
      <c r="C1680" s="20">
        <f>IF($N1680="","",IF(INDEX(LdAId,$N1680)="","—",INDEX(LdAId,$N1680)))</f>
        <v/>
      </c>
      <c r="D1680" s="21">
        <f>IF($N1680="","",IF(INDEX(LdAAmt,$N1680)=0,"",INDEX(LdAAmt,$N1680)))</f>
        <v/>
      </c>
      <c r="E1680" s="21">
        <f>IF($N1680="","",SUMIFS(ShareAmt,ShareLink,$C1680))</f>
        <v/>
      </c>
      <c r="F1680" s="34">
        <f>IF($N1680="","",COUNTIF(ShareLink,$C1680))</f>
        <v/>
      </c>
      <c r="G1680" s="22">
        <f>IF($N1680="","",IF(ROUND($E1680-$D1680,0)=0,"√","▲ "&amp;TEXT($D1680-$E1680,"#,##0")))</f>
        <v/>
      </c>
      <c r="N1680">
        <f>IFERROR(MATCH($C$5&amp;"|"&amp;RIGHT("000000"&amp;1664,6),LdAKeyG,0),"")</f>
        <v/>
      </c>
    </row>
    <row r="1681">
      <c r="A1681" s="10" t="n">
        <v>1665</v>
      </c>
      <c r="B1681" s="14">
        <f>IF($N1681="","",INDEX(LdADate,$N1681))</f>
        <v/>
      </c>
      <c r="C1681" s="14">
        <f>IF($N1681="","",IF(INDEX(LdAId,$N1681)="","—",INDEX(LdAId,$N1681)))</f>
        <v/>
      </c>
      <c r="D1681" s="16">
        <f>IF($N1681="","",IF(INDEX(LdAAmt,$N1681)=0,"",INDEX(LdAAmt,$N1681)))</f>
        <v/>
      </c>
      <c r="E1681" s="16">
        <f>IF($N1681="","",SUMIFS(ShareAmt,ShareLink,$C1681))</f>
        <v/>
      </c>
      <c r="F1681" s="33">
        <f>IF($N1681="","",COUNTIF(ShareLink,$C1681))</f>
        <v/>
      </c>
      <c r="G1681" s="17">
        <f>IF($N1681="","",IF(ROUND($E1681-$D1681,0)=0,"√","▲ "&amp;TEXT($D1681-$E1681,"#,##0")))</f>
        <v/>
      </c>
      <c r="N1681">
        <f>IFERROR(MATCH($C$5&amp;"|"&amp;RIGHT("000000"&amp;1665,6),LdAKeyG,0),"")</f>
        <v/>
      </c>
    </row>
    <row r="1682">
      <c r="A1682" s="19" t="n">
        <v>1666</v>
      </c>
      <c r="B1682" s="20">
        <f>IF($N1682="","",INDEX(LdADate,$N1682))</f>
        <v/>
      </c>
      <c r="C1682" s="20">
        <f>IF($N1682="","",IF(INDEX(LdAId,$N1682)="","—",INDEX(LdAId,$N1682)))</f>
        <v/>
      </c>
      <c r="D1682" s="21">
        <f>IF($N1682="","",IF(INDEX(LdAAmt,$N1682)=0,"",INDEX(LdAAmt,$N1682)))</f>
        <v/>
      </c>
      <c r="E1682" s="21">
        <f>IF($N1682="","",SUMIFS(ShareAmt,ShareLink,$C1682))</f>
        <v/>
      </c>
      <c r="F1682" s="34">
        <f>IF($N1682="","",COUNTIF(ShareLink,$C1682))</f>
        <v/>
      </c>
      <c r="G1682" s="22">
        <f>IF($N1682="","",IF(ROUND($E1682-$D1682,0)=0,"√","▲ "&amp;TEXT($D1682-$E1682,"#,##0")))</f>
        <v/>
      </c>
      <c r="N1682">
        <f>IFERROR(MATCH($C$5&amp;"|"&amp;RIGHT("000000"&amp;1666,6),LdAKeyG,0),"")</f>
        <v/>
      </c>
    </row>
    <row r="1683">
      <c r="A1683" s="10" t="n">
        <v>1667</v>
      </c>
      <c r="B1683" s="14">
        <f>IF($N1683="","",INDEX(LdADate,$N1683))</f>
        <v/>
      </c>
      <c r="C1683" s="14">
        <f>IF($N1683="","",IF(INDEX(LdAId,$N1683)="","—",INDEX(LdAId,$N1683)))</f>
        <v/>
      </c>
      <c r="D1683" s="16">
        <f>IF($N1683="","",IF(INDEX(LdAAmt,$N1683)=0,"",INDEX(LdAAmt,$N1683)))</f>
        <v/>
      </c>
      <c r="E1683" s="16">
        <f>IF($N1683="","",SUMIFS(ShareAmt,ShareLink,$C1683))</f>
        <v/>
      </c>
      <c r="F1683" s="33">
        <f>IF($N1683="","",COUNTIF(ShareLink,$C1683))</f>
        <v/>
      </c>
      <c r="G1683" s="17">
        <f>IF($N1683="","",IF(ROUND($E1683-$D1683,0)=0,"√","▲ "&amp;TEXT($D1683-$E1683,"#,##0")))</f>
        <v/>
      </c>
      <c r="N1683">
        <f>IFERROR(MATCH($C$5&amp;"|"&amp;RIGHT("000000"&amp;1667,6),LdAKeyG,0),"")</f>
        <v/>
      </c>
    </row>
    <row r="1684">
      <c r="A1684" s="19" t="n">
        <v>1668</v>
      </c>
      <c r="B1684" s="20">
        <f>IF($N1684="","",INDEX(LdADate,$N1684))</f>
        <v/>
      </c>
      <c r="C1684" s="20">
        <f>IF($N1684="","",IF(INDEX(LdAId,$N1684)="","—",INDEX(LdAId,$N1684)))</f>
        <v/>
      </c>
      <c r="D1684" s="21">
        <f>IF($N1684="","",IF(INDEX(LdAAmt,$N1684)=0,"",INDEX(LdAAmt,$N1684)))</f>
        <v/>
      </c>
      <c r="E1684" s="21">
        <f>IF($N1684="","",SUMIFS(ShareAmt,ShareLink,$C1684))</f>
        <v/>
      </c>
      <c r="F1684" s="34">
        <f>IF($N1684="","",COUNTIF(ShareLink,$C1684))</f>
        <v/>
      </c>
      <c r="G1684" s="22">
        <f>IF($N1684="","",IF(ROUND($E1684-$D1684,0)=0,"√","▲ "&amp;TEXT($D1684-$E1684,"#,##0")))</f>
        <v/>
      </c>
      <c r="N1684">
        <f>IFERROR(MATCH($C$5&amp;"|"&amp;RIGHT("000000"&amp;1668,6),LdAKeyG,0),"")</f>
        <v/>
      </c>
    </row>
    <row r="1685">
      <c r="A1685" s="10" t="n">
        <v>1669</v>
      </c>
      <c r="B1685" s="14">
        <f>IF($N1685="","",INDEX(LdADate,$N1685))</f>
        <v/>
      </c>
      <c r="C1685" s="14">
        <f>IF($N1685="","",IF(INDEX(LdAId,$N1685)="","—",INDEX(LdAId,$N1685)))</f>
        <v/>
      </c>
      <c r="D1685" s="16">
        <f>IF($N1685="","",IF(INDEX(LdAAmt,$N1685)=0,"",INDEX(LdAAmt,$N1685)))</f>
        <v/>
      </c>
      <c r="E1685" s="16">
        <f>IF($N1685="","",SUMIFS(ShareAmt,ShareLink,$C1685))</f>
        <v/>
      </c>
      <c r="F1685" s="33">
        <f>IF($N1685="","",COUNTIF(ShareLink,$C1685))</f>
        <v/>
      </c>
      <c r="G1685" s="17">
        <f>IF($N1685="","",IF(ROUND($E1685-$D1685,0)=0,"√","▲ "&amp;TEXT($D1685-$E1685,"#,##0")))</f>
        <v/>
      </c>
      <c r="N1685">
        <f>IFERROR(MATCH($C$5&amp;"|"&amp;RIGHT("000000"&amp;1669,6),LdAKeyG,0),"")</f>
        <v/>
      </c>
    </row>
    <row r="1686">
      <c r="A1686" s="19" t="n">
        <v>1670</v>
      </c>
      <c r="B1686" s="20">
        <f>IF($N1686="","",INDEX(LdADate,$N1686))</f>
        <v/>
      </c>
      <c r="C1686" s="20">
        <f>IF($N1686="","",IF(INDEX(LdAId,$N1686)="","—",INDEX(LdAId,$N1686)))</f>
        <v/>
      </c>
      <c r="D1686" s="21">
        <f>IF($N1686="","",IF(INDEX(LdAAmt,$N1686)=0,"",INDEX(LdAAmt,$N1686)))</f>
        <v/>
      </c>
      <c r="E1686" s="21">
        <f>IF($N1686="","",SUMIFS(ShareAmt,ShareLink,$C1686))</f>
        <v/>
      </c>
      <c r="F1686" s="34">
        <f>IF($N1686="","",COUNTIF(ShareLink,$C1686))</f>
        <v/>
      </c>
      <c r="G1686" s="22">
        <f>IF($N1686="","",IF(ROUND($E1686-$D1686,0)=0,"√","▲ "&amp;TEXT($D1686-$E1686,"#,##0")))</f>
        <v/>
      </c>
      <c r="N1686">
        <f>IFERROR(MATCH($C$5&amp;"|"&amp;RIGHT("000000"&amp;1670,6),LdAKeyG,0),"")</f>
        <v/>
      </c>
    </row>
    <row r="1687">
      <c r="A1687" s="10" t="n">
        <v>1671</v>
      </c>
      <c r="B1687" s="14">
        <f>IF($N1687="","",INDEX(LdADate,$N1687))</f>
        <v/>
      </c>
      <c r="C1687" s="14">
        <f>IF($N1687="","",IF(INDEX(LdAId,$N1687)="","—",INDEX(LdAId,$N1687)))</f>
        <v/>
      </c>
      <c r="D1687" s="16">
        <f>IF($N1687="","",IF(INDEX(LdAAmt,$N1687)=0,"",INDEX(LdAAmt,$N1687)))</f>
        <v/>
      </c>
      <c r="E1687" s="16">
        <f>IF($N1687="","",SUMIFS(ShareAmt,ShareLink,$C1687))</f>
        <v/>
      </c>
      <c r="F1687" s="33">
        <f>IF($N1687="","",COUNTIF(ShareLink,$C1687))</f>
        <v/>
      </c>
      <c r="G1687" s="17">
        <f>IF($N1687="","",IF(ROUND($E1687-$D1687,0)=0,"√","▲ "&amp;TEXT($D1687-$E1687,"#,##0")))</f>
        <v/>
      </c>
      <c r="N1687">
        <f>IFERROR(MATCH($C$5&amp;"|"&amp;RIGHT("000000"&amp;1671,6),LdAKeyG,0),"")</f>
        <v/>
      </c>
    </row>
    <row r="1688">
      <c r="A1688" s="19" t="n">
        <v>1672</v>
      </c>
      <c r="B1688" s="20">
        <f>IF($N1688="","",INDEX(LdADate,$N1688))</f>
        <v/>
      </c>
      <c r="C1688" s="20">
        <f>IF($N1688="","",IF(INDEX(LdAId,$N1688)="","—",INDEX(LdAId,$N1688)))</f>
        <v/>
      </c>
      <c r="D1688" s="21">
        <f>IF($N1688="","",IF(INDEX(LdAAmt,$N1688)=0,"",INDEX(LdAAmt,$N1688)))</f>
        <v/>
      </c>
      <c r="E1688" s="21">
        <f>IF($N1688="","",SUMIFS(ShareAmt,ShareLink,$C1688))</f>
        <v/>
      </c>
      <c r="F1688" s="34">
        <f>IF($N1688="","",COUNTIF(ShareLink,$C1688))</f>
        <v/>
      </c>
      <c r="G1688" s="22">
        <f>IF($N1688="","",IF(ROUND($E1688-$D1688,0)=0,"√","▲ "&amp;TEXT($D1688-$E1688,"#,##0")))</f>
        <v/>
      </c>
      <c r="N1688">
        <f>IFERROR(MATCH($C$5&amp;"|"&amp;RIGHT("000000"&amp;1672,6),LdAKeyG,0),"")</f>
        <v/>
      </c>
    </row>
    <row r="1689">
      <c r="A1689" s="10" t="n">
        <v>1673</v>
      </c>
      <c r="B1689" s="14">
        <f>IF($N1689="","",INDEX(LdADate,$N1689))</f>
        <v/>
      </c>
      <c r="C1689" s="14">
        <f>IF($N1689="","",IF(INDEX(LdAId,$N1689)="","—",INDEX(LdAId,$N1689)))</f>
        <v/>
      </c>
      <c r="D1689" s="16">
        <f>IF($N1689="","",IF(INDEX(LdAAmt,$N1689)=0,"",INDEX(LdAAmt,$N1689)))</f>
        <v/>
      </c>
      <c r="E1689" s="16">
        <f>IF($N1689="","",SUMIFS(ShareAmt,ShareLink,$C1689))</f>
        <v/>
      </c>
      <c r="F1689" s="33">
        <f>IF($N1689="","",COUNTIF(ShareLink,$C1689))</f>
        <v/>
      </c>
      <c r="G1689" s="17">
        <f>IF($N1689="","",IF(ROUND($E1689-$D1689,0)=0,"√","▲ "&amp;TEXT($D1689-$E1689,"#,##0")))</f>
        <v/>
      </c>
      <c r="N1689">
        <f>IFERROR(MATCH($C$5&amp;"|"&amp;RIGHT("000000"&amp;1673,6),LdAKeyG,0),"")</f>
        <v/>
      </c>
    </row>
    <row r="1690">
      <c r="A1690" s="19" t="n">
        <v>1674</v>
      </c>
      <c r="B1690" s="20">
        <f>IF($N1690="","",INDEX(LdADate,$N1690))</f>
        <v/>
      </c>
      <c r="C1690" s="20">
        <f>IF($N1690="","",IF(INDEX(LdAId,$N1690)="","—",INDEX(LdAId,$N1690)))</f>
        <v/>
      </c>
      <c r="D1690" s="21">
        <f>IF($N1690="","",IF(INDEX(LdAAmt,$N1690)=0,"",INDEX(LdAAmt,$N1690)))</f>
        <v/>
      </c>
      <c r="E1690" s="21">
        <f>IF($N1690="","",SUMIFS(ShareAmt,ShareLink,$C1690))</f>
        <v/>
      </c>
      <c r="F1690" s="34">
        <f>IF($N1690="","",COUNTIF(ShareLink,$C1690))</f>
        <v/>
      </c>
      <c r="G1690" s="22">
        <f>IF($N1690="","",IF(ROUND($E1690-$D1690,0)=0,"√","▲ "&amp;TEXT($D1690-$E1690,"#,##0")))</f>
        <v/>
      </c>
      <c r="N1690">
        <f>IFERROR(MATCH($C$5&amp;"|"&amp;RIGHT("000000"&amp;1674,6),LdAKeyG,0),"")</f>
        <v/>
      </c>
    </row>
    <row r="1691">
      <c r="A1691" s="10" t="n">
        <v>1675</v>
      </c>
      <c r="B1691" s="14">
        <f>IF($N1691="","",INDEX(LdADate,$N1691))</f>
        <v/>
      </c>
      <c r="C1691" s="14">
        <f>IF($N1691="","",IF(INDEX(LdAId,$N1691)="","—",INDEX(LdAId,$N1691)))</f>
        <v/>
      </c>
      <c r="D1691" s="16">
        <f>IF($N1691="","",IF(INDEX(LdAAmt,$N1691)=0,"",INDEX(LdAAmt,$N1691)))</f>
        <v/>
      </c>
      <c r="E1691" s="16">
        <f>IF($N1691="","",SUMIFS(ShareAmt,ShareLink,$C1691))</f>
        <v/>
      </c>
      <c r="F1691" s="33">
        <f>IF($N1691="","",COUNTIF(ShareLink,$C1691))</f>
        <v/>
      </c>
      <c r="G1691" s="17">
        <f>IF($N1691="","",IF(ROUND($E1691-$D1691,0)=0,"√","▲ "&amp;TEXT($D1691-$E1691,"#,##0")))</f>
        <v/>
      </c>
      <c r="N1691">
        <f>IFERROR(MATCH($C$5&amp;"|"&amp;RIGHT("000000"&amp;1675,6),LdAKeyG,0),"")</f>
        <v/>
      </c>
    </row>
    <row r="1692">
      <c r="A1692" s="19" t="n">
        <v>1676</v>
      </c>
      <c r="B1692" s="20">
        <f>IF($N1692="","",INDEX(LdADate,$N1692))</f>
        <v/>
      </c>
      <c r="C1692" s="20">
        <f>IF($N1692="","",IF(INDEX(LdAId,$N1692)="","—",INDEX(LdAId,$N1692)))</f>
        <v/>
      </c>
      <c r="D1692" s="21">
        <f>IF($N1692="","",IF(INDEX(LdAAmt,$N1692)=0,"",INDEX(LdAAmt,$N1692)))</f>
        <v/>
      </c>
      <c r="E1692" s="21">
        <f>IF($N1692="","",SUMIFS(ShareAmt,ShareLink,$C1692))</f>
        <v/>
      </c>
      <c r="F1692" s="34">
        <f>IF($N1692="","",COUNTIF(ShareLink,$C1692))</f>
        <v/>
      </c>
      <c r="G1692" s="22">
        <f>IF($N1692="","",IF(ROUND($E1692-$D1692,0)=0,"√","▲ "&amp;TEXT($D1692-$E1692,"#,##0")))</f>
        <v/>
      </c>
      <c r="N1692">
        <f>IFERROR(MATCH($C$5&amp;"|"&amp;RIGHT("000000"&amp;1676,6),LdAKeyG,0),"")</f>
        <v/>
      </c>
    </row>
    <row r="1693">
      <c r="A1693" s="10" t="n">
        <v>1677</v>
      </c>
      <c r="B1693" s="14">
        <f>IF($N1693="","",INDEX(LdADate,$N1693))</f>
        <v/>
      </c>
      <c r="C1693" s="14">
        <f>IF($N1693="","",IF(INDEX(LdAId,$N1693)="","—",INDEX(LdAId,$N1693)))</f>
        <v/>
      </c>
      <c r="D1693" s="16">
        <f>IF($N1693="","",IF(INDEX(LdAAmt,$N1693)=0,"",INDEX(LdAAmt,$N1693)))</f>
        <v/>
      </c>
      <c r="E1693" s="16">
        <f>IF($N1693="","",SUMIFS(ShareAmt,ShareLink,$C1693))</f>
        <v/>
      </c>
      <c r="F1693" s="33">
        <f>IF($N1693="","",COUNTIF(ShareLink,$C1693))</f>
        <v/>
      </c>
      <c r="G1693" s="17">
        <f>IF($N1693="","",IF(ROUND($E1693-$D1693,0)=0,"√","▲ "&amp;TEXT($D1693-$E1693,"#,##0")))</f>
        <v/>
      </c>
      <c r="N1693">
        <f>IFERROR(MATCH($C$5&amp;"|"&amp;RIGHT("000000"&amp;1677,6),LdAKeyG,0),"")</f>
        <v/>
      </c>
    </row>
    <row r="1694">
      <c r="A1694" s="19" t="n">
        <v>1678</v>
      </c>
      <c r="B1694" s="20">
        <f>IF($N1694="","",INDEX(LdADate,$N1694))</f>
        <v/>
      </c>
      <c r="C1694" s="20">
        <f>IF($N1694="","",IF(INDEX(LdAId,$N1694)="","—",INDEX(LdAId,$N1694)))</f>
        <v/>
      </c>
      <c r="D1694" s="21">
        <f>IF($N1694="","",IF(INDEX(LdAAmt,$N1694)=0,"",INDEX(LdAAmt,$N1694)))</f>
        <v/>
      </c>
      <c r="E1694" s="21">
        <f>IF($N1694="","",SUMIFS(ShareAmt,ShareLink,$C1694))</f>
        <v/>
      </c>
      <c r="F1694" s="34">
        <f>IF($N1694="","",COUNTIF(ShareLink,$C1694))</f>
        <v/>
      </c>
      <c r="G1694" s="22">
        <f>IF($N1694="","",IF(ROUND($E1694-$D1694,0)=0,"√","▲ "&amp;TEXT($D1694-$E1694,"#,##0")))</f>
        <v/>
      </c>
      <c r="N1694">
        <f>IFERROR(MATCH($C$5&amp;"|"&amp;RIGHT("000000"&amp;1678,6),LdAKeyG,0),"")</f>
        <v/>
      </c>
    </row>
    <row r="1695">
      <c r="A1695" s="10" t="n">
        <v>1679</v>
      </c>
      <c r="B1695" s="14">
        <f>IF($N1695="","",INDEX(LdADate,$N1695))</f>
        <v/>
      </c>
      <c r="C1695" s="14">
        <f>IF($N1695="","",IF(INDEX(LdAId,$N1695)="","—",INDEX(LdAId,$N1695)))</f>
        <v/>
      </c>
      <c r="D1695" s="16">
        <f>IF($N1695="","",IF(INDEX(LdAAmt,$N1695)=0,"",INDEX(LdAAmt,$N1695)))</f>
        <v/>
      </c>
      <c r="E1695" s="16">
        <f>IF($N1695="","",SUMIFS(ShareAmt,ShareLink,$C1695))</f>
        <v/>
      </c>
      <c r="F1695" s="33">
        <f>IF($N1695="","",COUNTIF(ShareLink,$C1695))</f>
        <v/>
      </c>
      <c r="G1695" s="17">
        <f>IF($N1695="","",IF(ROUND($E1695-$D1695,0)=0,"√","▲ "&amp;TEXT($D1695-$E1695,"#,##0")))</f>
        <v/>
      </c>
      <c r="N1695">
        <f>IFERROR(MATCH($C$5&amp;"|"&amp;RIGHT("000000"&amp;1679,6),LdAKeyG,0),"")</f>
        <v/>
      </c>
    </row>
    <row r="1696">
      <c r="A1696" s="19" t="n">
        <v>1680</v>
      </c>
      <c r="B1696" s="20">
        <f>IF($N1696="","",INDEX(LdADate,$N1696))</f>
        <v/>
      </c>
      <c r="C1696" s="20">
        <f>IF($N1696="","",IF(INDEX(LdAId,$N1696)="","—",INDEX(LdAId,$N1696)))</f>
        <v/>
      </c>
      <c r="D1696" s="21">
        <f>IF($N1696="","",IF(INDEX(LdAAmt,$N1696)=0,"",INDEX(LdAAmt,$N1696)))</f>
        <v/>
      </c>
      <c r="E1696" s="21">
        <f>IF($N1696="","",SUMIFS(ShareAmt,ShareLink,$C1696))</f>
        <v/>
      </c>
      <c r="F1696" s="34">
        <f>IF($N1696="","",COUNTIF(ShareLink,$C1696))</f>
        <v/>
      </c>
      <c r="G1696" s="22">
        <f>IF($N1696="","",IF(ROUND($E1696-$D1696,0)=0,"√","▲ "&amp;TEXT($D1696-$E1696,"#,##0")))</f>
        <v/>
      </c>
      <c r="N1696">
        <f>IFERROR(MATCH($C$5&amp;"|"&amp;RIGHT("000000"&amp;1680,6),LdAKeyG,0),"")</f>
        <v/>
      </c>
    </row>
    <row r="1697">
      <c r="A1697" s="10" t="n">
        <v>1681</v>
      </c>
      <c r="B1697" s="14">
        <f>IF($N1697="","",INDEX(LdADate,$N1697))</f>
        <v/>
      </c>
      <c r="C1697" s="14">
        <f>IF($N1697="","",IF(INDEX(LdAId,$N1697)="","—",INDEX(LdAId,$N1697)))</f>
        <v/>
      </c>
      <c r="D1697" s="16">
        <f>IF($N1697="","",IF(INDEX(LdAAmt,$N1697)=0,"",INDEX(LdAAmt,$N1697)))</f>
        <v/>
      </c>
      <c r="E1697" s="16">
        <f>IF($N1697="","",SUMIFS(ShareAmt,ShareLink,$C1697))</f>
        <v/>
      </c>
      <c r="F1697" s="33">
        <f>IF($N1697="","",COUNTIF(ShareLink,$C1697))</f>
        <v/>
      </c>
      <c r="G1697" s="17">
        <f>IF($N1697="","",IF(ROUND($E1697-$D1697,0)=0,"√","▲ "&amp;TEXT($D1697-$E1697,"#,##0")))</f>
        <v/>
      </c>
      <c r="N1697">
        <f>IFERROR(MATCH($C$5&amp;"|"&amp;RIGHT("000000"&amp;1681,6),LdAKeyG,0),"")</f>
        <v/>
      </c>
    </row>
    <row r="1698">
      <c r="A1698" s="19" t="n">
        <v>1682</v>
      </c>
      <c r="B1698" s="20">
        <f>IF($N1698="","",INDEX(LdADate,$N1698))</f>
        <v/>
      </c>
      <c r="C1698" s="20">
        <f>IF($N1698="","",IF(INDEX(LdAId,$N1698)="","—",INDEX(LdAId,$N1698)))</f>
        <v/>
      </c>
      <c r="D1698" s="21">
        <f>IF($N1698="","",IF(INDEX(LdAAmt,$N1698)=0,"",INDEX(LdAAmt,$N1698)))</f>
        <v/>
      </c>
      <c r="E1698" s="21">
        <f>IF($N1698="","",SUMIFS(ShareAmt,ShareLink,$C1698))</f>
        <v/>
      </c>
      <c r="F1698" s="34">
        <f>IF($N1698="","",COUNTIF(ShareLink,$C1698))</f>
        <v/>
      </c>
      <c r="G1698" s="22">
        <f>IF($N1698="","",IF(ROUND($E1698-$D1698,0)=0,"√","▲ "&amp;TEXT($D1698-$E1698,"#,##0")))</f>
        <v/>
      </c>
      <c r="N1698">
        <f>IFERROR(MATCH($C$5&amp;"|"&amp;RIGHT("000000"&amp;1682,6),LdAKeyG,0),"")</f>
        <v/>
      </c>
    </row>
    <row r="1699">
      <c r="A1699" s="10" t="n">
        <v>1683</v>
      </c>
      <c r="B1699" s="14">
        <f>IF($N1699="","",INDEX(LdADate,$N1699))</f>
        <v/>
      </c>
      <c r="C1699" s="14">
        <f>IF($N1699="","",IF(INDEX(LdAId,$N1699)="","—",INDEX(LdAId,$N1699)))</f>
        <v/>
      </c>
      <c r="D1699" s="16">
        <f>IF($N1699="","",IF(INDEX(LdAAmt,$N1699)=0,"",INDEX(LdAAmt,$N1699)))</f>
        <v/>
      </c>
      <c r="E1699" s="16">
        <f>IF($N1699="","",SUMIFS(ShareAmt,ShareLink,$C1699))</f>
        <v/>
      </c>
      <c r="F1699" s="33">
        <f>IF($N1699="","",COUNTIF(ShareLink,$C1699))</f>
        <v/>
      </c>
      <c r="G1699" s="17">
        <f>IF($N1699="","",IF(ROUND($E1699-$D1699,0)=0,"√","▲ "&amp;TEXT($D1699-$E1699,"#,##0")))</f>
        <v/>
      </c>
      <c r="N1699">
        <f>IFERROR(MATCH($C$5&amp;"|"&amp;RIGHT("000000"&amp;1683,6),LdAKeyG,0),"")</f>
        <v/>
      </c>
    </row>
    <row r="1700">
      <c r="A1700" s="19" t="n">
        <v>1684</v>
      </c>
      <c r="B1700" s="20">
        <f>IF($N1700="","",INDEX(LdADate,$N1700))</f>
        <v/>
      </c>
      <c r="C1700" s="20">
        <f>IF($N1700="","",IF(INDEX(LdAId,$N1700)="","—",INDEX(LdAId,$N1700)))</f>
        <v/>
      </c>
      <c r="D1700" s="21">
        <f>IF($N1700="","",IF(INDEX(LdAAmt,$N1700)=0,"",INDEX(LdAAmt,$N1700)))</f>
        <v/>
      </c>
      <c r="E1700" s="21">
        <f>IF($N1700="","",SUMIFS(ShareAmt,ShareLink,$C1700))</f>
        <v/>
      </c>
      <c r="F1700" s="34">
        <f>IF($N1700="","",COUNTIF(ShareLink,$C1700))</f>
        <v/>
      </c>
      <c r="G1700" s="22">
        <f>IF($N1700="","",IF(ROUND($E1700-$D1700,0)=0,"√","▲ "&amp;TEXT($D1700-$E1700,"#,##0")))</f>
        <v/>
      </c>
      <c r="N1700">
        <f>IFERROR(MATCH($C$5&amp;"|"&amp;RIGHT("000000"&amp;1684,6),LdAKeyG,0),"")</f>
        <v/>
      </c>
    </row>
    <row r="1701">
      <c r="A1701" s="10" t="n">
        <v>1685</v>
      </c>
      <c r="B1701" s="14">
        <f>IF($N1701="","",INDEX(LdADate,$N1701))</f>
        <v/>
      </c>
      <c r="C1701" s="14">
        <f>IF($N1701="","",IF(INDEX(LdAId,$N1701)="","—",INDEX(LdAId,$N1701)))</f>
        <v/>
      </c>
      <c r="D1701" s="16">
        <f>IF($N1701="","",IF(INDEX(LdAAmt,$N1701)=0,"",INDEX(LdAAmt,$N1701)))</f>
        <v/>
      </c>
      <c r="E1701" s="16">
        <f>IF($N1701="","",SUMIFS(ShareAmt,ShareLink,$C1701))</f>
        <v/>
      </c>
      <c r="F1701" s="33">
        <f>IF($N1701="","",COUNTIF(ShareLink,$C1701))</f>
        <v/>
      </c>
      <c r="G1701" s="17">
        <f>IF($N1701="","",IF(ROUND($E1701-$D1701,0)=0,"√","▲ "&amp;TEXT($D1701-$E1701,"#,##0")))</f>
        <v/>
      </c>
      <c r="N1701">
        <f>IFERROR(MATCH($C$5&amp;"|"&amp;RIGHT("000000"&amp;1685,6),LdAKeyG,0),"")</f>
        <v/>
      </c>
    </row>
    <row r="1702">
      <c r="A1702" s="19" t="n">
        <v>1686</v>
      </c>
      <c r="B1702" s="20">
        <f>IF($N1702="","",INDEX(LdADate,$N1702))</f>
        <v/>
      </c>
      <c r="C1702" s="20">
        <f>IF($N1702="","",IF(INDEX(LdAId,$N1702)="","—",INDEX(LdAId,$N1702)))</f>
        <v/>
      </c>
      <c r="D1702" s="21">
        <f>IF($N1702="","",IF(INDEX(LdAAmt,$N1702)=0,"",INDEX(LdAAmt,$N1702)))</f>
        <v/>
      </c>
      <c r="E1702" s="21">
        <f>IF($N1702="","",SUMIFS(ShareAmt,ShareLink,$C1702))</f>
        <v/>
      </c>
      <c r="F1702" s="34">
        <f>IF($N1702="","",COUNTIF(ShareLink,$C1702))</f>
        <v/>
      </c>
      <c r="G1702" s="22">
        <f>IF($N1702="","",IF(ROUND($E1702-$D1702,0)=0,"√","▲ "&amp;TEXT($D1702-$E1702,"#,##0")))</f>
        <v/>
      </c>
      <c r="N1702">
        <f>IFERROR(MATCH($C$5&amp;"|"&amp;RIGHT("000000"&amp;1686,6),LdAKeyG,0),"")</f>
        <v/>
      </c>
    </row>
    <row r="1703">
      <c r="A1703" s="10" t="n">
        <v>1687</v>
      </c>
      <c r="B1703" s="14">
        <f>IF($N1703="","",INDEX(LdADate,$N1703))</f>
        <v/>
      </c>
      <c r="C1703" s="14">
        <f>IF($N1703="","",IF(INDEX(LdAId,$N1703)="","—",INDEX(LdAId,$N1703)))</f>
        <v/>
      </c>
      <c r="D1703" s="16">
        <f>IF($N1703="","",IF(INDEX(LdAAmt,$N1703)=0,"",INDEX(LdAAmt,$N1703)))</f>
        <v/>
      </c>
      <c r="E1703" s="16">
        <f>IF($N1703="","",SUMIFS(ShareAmt,ShareLink,$C1703))</f>
        <v/>
      </c>
      <c r="F1703" s="33">
        <f>IF($N1703="","",COUNTIF(ShareLink,$C1703))</f>
        <v/>
      </c>
      <c r="G1703" s="17">
        <f>IF($N1703="","",IF(ROUND($E1703-$D1703,0)=0,"√","▲ "&amp;TEXT($D1703-$E1703,"#,##0")))</f>
        <v/>
      </c>
      <c r="N1703">
        <f>IFERROR(MATCH($C$5&amp;"|"&amp;RIGHT("000000"&amp;1687,6),LdAKeyG,0),"")</f>
        <v/>
      </c>
    </row>
    <row r="1704">
      <c r="A1704" s="19" t="n">
        <v>1688</v>
      </c>
      <c r="B1704" s="20">
        <f>IF($N1704="","",INDEX(LdADate,$N1704))</f>
        <v/>
      </c>
      <c r="C1704" s="20">
        <f>IF($N1704="","",IF(INDEX(LdAId,$N1704)="","—",INDEX(LdAId,$N1704)))</f>
        <v/>
      </c>
      <c r="D1704" s="21">
        <f>IF($N1704="","",IF(INDEX(LdAAmt,$N1704)=0,"",INDEX(LdAAmt,$N1704)))</f>
        <v/>
      </c>
      <c r="E1704" s="21">
        <f>IF($N1704="","",SUMIFS(ShareAmt,ShareLink,$C1704))</f>
        <v/>
      </c>
      <c r="F1704" s="34">
        <f>IF($N1704="","",COUNTIF(ShareLink,$C1704))</f>
        <v/>
      </c>
      <c r="G1704" s="22">
        <f>IF($N1704="","",IF(ROUND($E1704-$D1704,0)=0,"√","▲ "&amp;TEXT($D1704-$E1704,"#,##0")))</f>
        <v/>
      </c>
      <c r="N1704">
        <f>IFERROR(MATCH($C$5&amp;"|"&amp;RIGHT("000000"&amp;1688,6),LdAKeyG,0),"")</f>
        <v/>
      </c>
    </row>
    <row r="1705">
      <c r="A1705" s="10" t="n">
        <v>1689</v>
      </c>
      <c r="B1705" s="14">
        <f>IF($N1705="","",INDEX(LdADate,$N1705))</f>
        <v/>
      </c>
      <c r="C1705" s="14">
        <f>IF($N1705="","",IF(INDEX(LdAId,$N1705)="","—",INDEX(LdAId,$N1705)))</f>
        <v/>
      </c>
      <c r="D1705" s="16">
        <f>IF($N1705="","",IF(INDEX(LdAAmt,$N1705)=0,"",INDEX(LdAAmt,$N1705)))</f>
        <v/>
      </c>
      <c r="E1705" s="16">
        <f>IF($N1705="","",SUMIFS(ShareAmt,ShareLink,$C1705))</f>
        <v/>
      </c>
      <c r="F1705" s="33">
        <f>IF($N1705="","",COUNTIF(ShareLink,$C1705))</f>
        <v/>
      </c>
      <c r="G1705" s="17">
        <f>IF($N1705="","",IF(ROUND($E1705-$D1705,0)=0,"√","▲ "&amp;TEXT($D1705-$E1705,"#,##0")))</f>
        <v/>
      </c>
      <c r="N1705">
        <f>IFERROR(MATCH($C$5&amp;"|"&amp;RIGHT("000000"&amp;1689,6),LdAKeyG,0),"")</f>
        <v/>
      </c>
    </row>
    <row r="1706">
      <c r="A1706" s="19" t="n">
        <v>1690</v>
      </c>
      <c r="B1706" s="20">
        <f>IF($N1706="","",INDEX(LdADate,$N1706))</f>
        <v/>
      </c>
      <c r="C1706" s="20">
        <f>IF($N1706="","",IF(INDEX(LdAId,$N1706)="","—",INDEX(LdAId,$N1706)))</f>
        <v/>
      </c>
      <c r="D1706" s="21">
        <f>IF($N1706="","",IF(INDEX(LdAAmt,$N1706)=0,"",INDEX(LdAAmt,$N1706)))</f>
        <v/>
      </c>
      <c r="E1706" s="21">
        <f>IF($N1706="","",SUMIFS(ShareAmt,ShareLink,$C1706))</f>
        <v/>
      </c>
      <c r="F1706" s="34">
        <f>IF($N1706="","",COUNTIF(ShareLink,$C1706))</f>
        <v/>
      </c>
      <c r="G1706" s="22">
        <f>IF($N1706="","",IF(ROUND($E1706-$D1706,0)=0,"√","▲ "&amp;TEXT($D1706-$E1706,"#,##0")))</f>
        <v/>
      </c>
      <c r="N1706">
        <f>IFERROR(MATCH($C$5&amp;"|"&amp;RIGHT("000000"&amp;1690,6),LdAKeyG,0),"")</f>
        <v/>
      </c>
    </row>
    <row r="1707">
      <c r="A1707" s="10" t="n">
        <v>1691</v>
      </c>
      <c r="B1707" s="14">
        <f>IF($N1707="","",INDEX(LdADate,$N1707))</f>
        <v/>
      </c>
      <c r="C1707" s="14">
        <f>IF($N1707="","",IF(INDEX(LdAId,$N1707)="","—",INDEX(LdAId,$N1707)))</f>
        <v/>
      </c>
      <c r="D1707" s="16">
        <f>IF($N1707="","",IF(INDEX(LdAAmt,$N1707)=0,"",INDEX(LdAAmt,$N1707)))</f>
        <v/>
      </c>
      <c r="E1707" s="16">
        <f>IF($N1707="","",SUMIFS(ShareAmt,ShareLink,$C1707))</f>
        <v/>
      </c>
      <c r="F1707" s="33">
        <f>IF($N1707="","",COUNTIF(ShareLink,$C1707))</f>
        <v/>
      </c>
      <c r="G1707" s="17">
        <f>IF($N1707="","",IF(ROUND($E1707-$D1707,0)=0,"√","▲ "&amp;TEXT($D1707-$E1707,"#,##0")))</f>
        <v/>
      </c>
      <c r="N1707">
        <f>IFERROR(MATCH($C$5&amp;"|"&amp;RIGHT("000000"&amp;1691,6),LdAKeyG,0),"")</f>
        <v/>
      </c>
    </row>
    <row r="1708">
      <c r="A1708" s="19" t="n">
        <v>1692</v>
      </c>
      <c r="B1708" s="20">
        <f>IF($N1708="","",INDEX(LdADate,$N1708))</f>
        <v/>
      </c>
      <c r="C1708" s="20">
        <f>IF($N1708="","",IF(INDEX(LdAId,$N1708)="","—",INDEX(LdAId,$N1708)))</f>
        <v/>
      </c>
      <c r="D1708" s="21">
        <f>IF($N1708="","",IF(INDEX(LdAAmt,$N1708)=0,"",INDEX(LdAAmt,$N1708)))</f>
        <v/>
      </c>
      <c r="E1708" s="21">
        <f>IF($N1708="","",SUMIFS(ShareAmt,ShareLink,$C1708))</f>
        <v/>
      </c>
      <c r="F1708" s="34">
        <f>IF($N1708="","",COUNTIF(ShareLink,$C1708))</f>
        <v/>
      </c>
      <c r="G1708" s="22">
        <f>IF($N1708="","",IF(ROUND($E1708-$D1708,0)=0,"√","▲ "&amp;TEXT($D1708-$E1708,"#,##0")))</f>
        <v/>
      </c>
      <c r="N1708">
        <f>IFERROR(MATCH($C$5&amp;"|"&amp;RIGHT("000000"&amp;1692,6),LdAKeyG,0),"")</f>
        <v/>
      </c>
    </row>
    <row r="1709">
      <c r="A1709" s="10" t="n">
        <v>1693</v>
      </c>
      <c r="B1709" s="14">
        <f>IF($N1709="","",INDEX(LdADate,$N1709))</f>
        <v/>
      </c>
      <c r="C1709" s="14">
        <f>IF($N1709="","",IF(INDEX(LdAId,$N1709)="","—",INDEX(LdAId,$N1709)))</f>
        <v/>
      </c>
      <c r="D1709" s="16">
        <f>IF($N1709="","",IF(INDEX(LdAAmt,$N1709)=0,"",INDEX(LdAAmt,$N1709)))</f>
        <v/>
      </c>
      <c r="E1709" s="16">
        <f>IF($N1709="","",SUMIFS(ShareAmt,ShareLink,$C1709))</f>
        <v/>
      </c>
      <c r="F1709" s="33">
        <f>IF($N1709="","",COUNTIF(ShareLink,$C1709))</f>
        <v/>
      </c>
      <c r="G1709" s="17">
        <f>IF($N1709="","",IF(ROUND($E1709-$D1709,0)=0,"√","▲ "&amp;TEXT($D1709-$E1709,"#,##0")))</f>
        <v/>
      </c>
      <c r="N1709">
        <f>IFERROR(MATCH($C$5&amp;"|"&amp;RIGHT("000000"&amp;1693,6),LdAKeyG,0),"")</f>
        <v/>
      </c>
    </row>
    <row r="1710">
      <c r="A1710" s="19" t="n">
        <v>1694</v>
      </c>
      <c r="B1710" s="20">
        <f>IF($N1710="","",INDEX(LdADate,$N1710))</f>
        <v/>
      </c>
      <c r="C1710" s="20">
        <f>IF($N1710="","",IF(INDEX(LdAId,$N1710)="","—",INDEX(LdAId,$N1710)))</f>
        <v/>
      </c>
      <c r="D1710" s="21">
        <f>IF($N1710="","",IF(INDEX(LdAAmt,$N1710)=0,"",INDEX(LdAAmt,$N1710)))</f>
        <v/>
      </c>
      <c r="E1710" s="21">
        <f>IF($N1710="","",SUMIFS(ShareAmt,ShareLink,$C1710))</f>
        <v/>
      </c>
      <c r="F1710" s="34">
        <f>IF($N1710="","",COUNTIF(ShareLink,$C1710))</f>
        <v/>
      </c>
      <c r="G1710" s="22">
        <f>IF($N1710="","",IF(ROUND($E1710-$D1710,0)=0,"√","▲ "&amp;TEXT($D1710-$E1710,"#,##0")))</f>
        <v/>
      </c>
      <c r="N1710">
        <f>IFERROR(MATCH($C$5&amp;"|"&amp;RIGHT("000000"&amp;1694,6),LdAKeyG,0),"")</f>
        <v/>
      </c>
    </row>
    <row r="1711">
      <c r="A1711" s="10" t="n">
        <v>1695</v>
      </c>
      <c r="B1711" s="14">
        <f>IF($N1711="","",INDEX(LdADate,$N1711))</f>
        <v/>
      </c>
      <c r="C1711" s="14">
        <f>IF($N1711="","",IF(INDEX(LdAId,$N1711)="","—",INDEX(LdAId,$N1711)))</f>
        <v/>
      </c>
      <c r="D1711" s="16">
        <f>IF($N1711="","",IF(INDEX(LdAAmt,$N1711)=0,"",INDEX(LdAAmt,$N1711)))</f>
        <v/>
      </c>
      <c r="E1711" s="16">
        <f>IF($N1711="","",SUMIFS(ShareAmt,ShareLink,$C1711))</f>
        <v/>
      </c>
      <c r="F1711" s="33">
        <f>IF($N1711="","",COUNTIF(ShareLink,$C1711))</f>
        <v/>
      </c>
      <c r="G1711" s="17">
        <f>IF($N1711="","",IF(ROUND($E1711-$D1711,0)=0,"√","▲ "&amp;TEXT($D1711-$E1711,"#,##0")))</f>
        <v/>
      </c>
      <c r="N1711">
        <f>IFERROR(MATCH($C$5&amp;"|"&amp;RIGHT("000000"&amp;1695,6),LdAKeyG,0),"")</f>
        <v/>
      </c>
    </row>
    <row r="1712">
      <c r="A1712" s="19" t="n">
        <v>1696</v>
      </c>
      <c r="B1712" s="20">
        <f>IF($N1712="","",INDEX(LdADate,$N1712))</f>
        <v/>
      </c>
      <c r="C1712" s="20">
        <f>IF($N1712="","",IF(INDEX(LdAId,$N1712)="","—",INDEX(LdAId,$N1712)))</f>
        <v/>
      </c>
      <c r="D1712" s="21">
        <f>IF($N1712="","",IF(INDEX(LdAAmt,$N1712)=0,"",INDEX(LdAAmt,$N1712)))</f>
        <v/>
      </c>
      <c r="E1712" s="21">
        <f>IF($N1712="","",SUMIFS(ShareAmt,ShareLink,$C1712))</f>
        <v/>
      </c>
      <c r="F1712" s="34">
        <f>IF($N1712="","",COUNTIF(ShareLink,$C1712))</f>
        <v/>
      </c>
      <c r="G1712" s="22">
        <f>IF($N1712="","",IF(ROUND($E1712-$D1712,0)=0,"√","▲ "&amp;TEXT($D1712-$E1712,"#,##0")))</f>
        <v/>
      </c>
      <c r="N1712">
        <f>IFERROR(MATCH($C$5&amp;"|"&amp;RIGHT("000000"&amp;1696,6),LdAKeyG,0),"")</f>
        <v/>
      </c>
    </row>
    <row r="1713">
      <c r="A1713" s="10" t="n">
        <v>1697</v>
      </c>
      <c r="B1713" s="14">
        <f>IF($N1713="","",INDEX(LdADate,$N1713))</f>
        <v/>
      </c>
      <c r="C1713" s="14">
        <f>IF($N1713="","",IF(INDEX(LdAId,$N1713)="","—",INDEX(LdAId,$N1713)))</f>
        <v/>
      </c>
      <c r="D1713" s="16">
        <f>IF($N1713="","",IF(INDEX(LdAAmt,$N1713)=0,"",INDEX(LdAAmt,$N1713)))</f>
        <v/>
      </c>
      <c r="E1713" s="16">
        <f>IF($N1713="","",SUMIFS(ShareAmt,ShareLink,$C1713))</f>
        <v/>
      </c>
      <c r="F1713" s="33">
        <f>IF($N1713="","",COUNTIF(ShareLink,$C1713))</f>
        <v/>
      </c>
      <c r="G1713" s="17">
        <f>IF($N1713="","",IF(ROUND($E1713-$D1713,0)=0,"√","▲ "&amp;TEXT($D1713-$E1713,"#,##0")))</f>
        <v/>
      </c>
      <c r="N1713">
        <f>IFERROR(MATCH($C$5&amp;"|"&amp;RIGHT("000000"&amp;1697,6),LdAKeyG,0),"")</f>
        <v/>
      </c>
    </row>
    <row r="1714">
      <c r="A1714" s="19" t="n">
        <v>1698</v>
      </c>
      <c r="B1714" s="20">
        <f>IF($N1714="","",INDEX(LdADate,$N1714))</f>
        <v/>
      </c>
      <c r="C1714" s="20">
        <f>IF($N1714="","",IF(INDEX(LdAId,$N1714)="","—",INDEX(LdAId,$N1714)))</f>
        <v/>
      </c>
      <c r="D1714" s="21">
        <f>IF($N1714="","",IF(INDEX(LdAAmt,$N1714)=0,"",INDEX(LdAAmt,$N1714)))</f>
        <v/>
      </c>
      <c r="E1714" s="21">
        <f>IF($N1714="","",SUMIFS(ShareAmt,ShareLink,$C1714))</f>
        <v/>
      </c>
      <c r="F1714" s="34">
        <f>IF($N1714="","",COUNTIF(ShareLink,$C1714))</f>
        <v/>
      </c>
      <c r="G1714" s="22">
        <f>IF($N1714="","",IF(ROUND($E1714-$D1714,0)=0,"√","▲ "&amp;TEXT($D1714-$E1714,"#,##0")))</f>
        <v/>
      </c>
      <c r="N1714">
        <f>IFERROR(MATCH($C$5&amp;"|"&amp;RIGHT("000000"&amp;1698,6),LdAKeyG,0),"")</f>
        <v/>
      </c>
    </row>
    <row r="1715">
      <c r="A1715" s="10" t="n">
        <v>1699</v>
      </c>
      <c r="B1715" s="14">
        <f>IF($N1715="","",INDEX(LdADate,$N1715))</f>
        <v/>
      </c>
      <c r="C1715" s="14">
        <f>IF($N1715="","",IF(INDEX(LdAId,$N1715)="","—",INDEX(LdAId,$N1715)))</f>
        <v/>
      </c>
      <c r="D1715" s="16">
        <f>IF($N1715="","",IF(INDEX(LdAAmt,$N1715)=0,"",INDEX(LdAAmt,$N1715)))</f>
        <v/>
      </c>
      <c r="E1715" s="16">
        <f>IF($N1715="","",SUMIFS(ShareAmt,ShareLink,$C1715))</f>
        <v/>
      </c>
      <c r="F1715" s="33">
        <f>IF($N1715="","",COUNTIF(ShareLink,$C1715))</f>
        <v/>
      </c>
      <c r="G1715" s="17">
        <f>IF($N1715="","",IF(ROUND($E1715-$D1715,0)=0,"√","▲ "&amp;TEXT($D1715-$E1715,"#,##0")))</f>
        <v/>
      </c>
      <c r="N1715">
        <f>IFERROR(MATCH($C$5&amp;"|"&amp;RIGHT("000000"&amp;1699,6),LdAKeyG,0),"")</f>
        <v/>
      </c>
    </row>
    <row r="1716">
      <c r="A1716" s="19" t="n">
        <v>1700</v>
      </c>
      <c r="B1716" s="20">
        <f>IF($N1716="","",INDEX(LdADate,$N1716))</f>
        <v/>
      </c>
      <c r="C1716" s="20">
        <f>IF($N1716="","",IF(INDEX(LdAId,$N1716)="","—",INDEX(LdAId,$N1716)))</f>
        <v/>
      </c>
      <c r="D1716" s="21">
        <f>IF($N1716="","",IF(INDEX(LdAAmt,$N1716)=0,"",INDEX(LdAAmt,$N1716)))</f>
        <v/>
      </c>
      <c r="E1716" s="21">
        <f>IF($N1716="","",SUMIFS(ShareAmt,ShareLink,$C1716))</f>
        <v/>
      </c>
      <c r="F1716" s="34">
        <f>IF($N1716="","",COUNTIF(ShareLink,$C1716))</f>
        <v/>
      </c>
      <c r="G1716" s="22">
        <f>IF($N1716="","",IF(ROUND($E1716-$D1716,0)=0,"√","▲ "&amp;TEXT($D1716-$E1716,"#,##0")))</f>
        <v/>
      </c>
      <c r="N1716">
        <f>IFERROR(MATCH($C$5&amp;"|"&amp;RIGHT("000000"&amp;1700,6),LdAKeyG,0),"")</f>
        <v/>
      </c>
    </row>
    <row r="1717">
      <c r="A1717" s="10" t="n">
        <v>1701</v>
      </c>
      <c r="B1717" s="14">
        <f>IF($N1717="","",INDEX(LdADate,$N1717))</f>
        <v/>
      </c>
      <c r="C1717" s="14">
        <f>IF($N1717="","",IF(INDEX(LdAId,$N1717)="","—",INDEX(LdAId,$N1717)))</f>
        <v/>
      </c>
      <c r="D1717" s="16">
        <f>IF($N1717="","",IF(INDEX(LdAAmt,$N1717)=0,"",INDEX(LdAAmt,$N1717)))</f>
        <v/>
      </c>
      <c r="E1717" s="16">
        <f>IF($N1717="","",SUMIFS(ShareAmt,ShareLink,$C1717))</f>
        <v/>
      </c>
      <c r="F1717" s="33">
        <f>IF($N1717="","",COUNTIF(ShareLink,$C1717))</f>
        <v/>
      </c>
      <c r="G1717" s="17">
        <f>IF($N1717="","",IF(ROUND($E1717-$D1717,0)=0,"√","▲ "&amp;TEXT($D1717-$E1717,"#,##0")))</f>
        <v/>
      </c>
      <c r="N1717">
        <f>IFERROR(MATCH($C$5&amp;"|"&amp;RIGHT("000000"&amp;1701,6),LdAKeyG,0),"")</f>
        <v/>
      </c>
    </row>
    <row r="1718">
      <c r="A1718" s="19" t="n">
        <v>1702</v>
      </c>
      <c r="B1718" s="20">
        <f>IF($N1718="","",INDEX(LdADate,$N1718))</f>
        <v/>
      </c>
      <c r="C1718" s="20">
        <f>IF($N1718="","",IF(INDEX(LdAId,$N1718)="","—",INDEX(LdAId,$N1718)))</f>
        <v/>
      </c>
      <c r="D1718" s="21">
        <f>IF($N1718="","",IF(INDEX(LdAAmt,$N1718)=0,"",INDEX(LdAAmt,$N1718)))</f>
        <v/>
      </c>
      <c r="E1718" s="21">
        <f>IF($N1718="","",SUMIFS(ShareAmt,ShareLink,$C1718))</f>
        <v/>
      </c>
      <c r="F1718" s="34">
        <f>IF($N1718="","",COUNTIF(ShareLink,$C1718))</f>
        <v/>
      </c>
      <c r="G1718" s="22">
        <f>IF($N1718="","",IF(ROUND($E1718-$D1718,0)=0,"√","▲ "&amp;TEXT($D1718-$E1718,"#,##0")))</f>
        <v/>
      </c>
      <c r="N1718">
        <f>IFERROR(MATCH($C$5&amp;"|"&amp;RIGHT("000000"&amp;1702,6),LdAKeyG,0),"")</f>
        <v/>
      </c>
    </row>
    <row r="1719">
      <c r="A1719" s="10" t="n">
        <v>1703</v>
      </c>
      <c r="B1719" s="14">
        <f>IF($N1719="","",INDEX(LdADate,$N1719))</f>
        <v/>
      </c>
      <c r="C1719" s="14">
        <f>IF($N1719="","",IF(INDEX(LdAId,$N1719)="","—",INDEX(LdAId,$N1719)))</f>
        <v/>
      </c>
      <c r="D1719" s="16">
        <f>IF($N1719="","",IF(INDEX(LdAAmt,$N1719)=0,"",INDEX(LdAAmt,$N1719)))</f>
        <v/>
      </c>
      <c r="E1719" s="16">
        <f>IF($N1719="","",SUMIFS(ShareAmt,ShareLink,$C1719))</f>
        <v/>
      </c>
      <c r="F1719" s="33">
        <f>IF($N1719="","",COUNTIF(ShareLink,$C1719))</f>
        <v/>
      </c>
      <c r="G1719" s="17">
        <f>IF($N1719="","",IF(ROUND($E1719-$D1719,0)=0,"√","▲ "&amp;TEXT($D1719-$E1719,"#,##0")))</f>
        <v/>
      </c>
      <c r="N1719">
        <f>IFERROR(MATCH($C$5&amp;"|"&amp;RIGHT("000000"&amp;1703,6),LdAKeyG,0),"")</f>
        <v/>
      </c>
    </row>
    <row r="1720">
      <c r="A1720" s="19" t="n">
        <v>1704</v>
      </c>
      <c r="B1720" s="20">
        <f>IF($N1720="","",INDEX(LdADate,$N1720))</f>
        <v/>
      </c>
      <c r="C1720" s="20">
        <f>IF($N1720="","",IF(INDEX(LdAId,$N1720)="","—",INDEX(LdAId,$N1720)))</f>
        <v/>
      </c>
      <c r="D1720" s="21">
        <f>IF($N1720="","",IF(INDEX(LdAAmt,$N1720)=0,"",INDEX(LdAAmt,$N1720)))</f>
        <v/>
      </c>
      <c r="E1720" s="21">
        <f>IF($N1720="","",SUMIFS(ShareAmt,ShareLink,$C1720))</f>
        <v/>
      </c>
      <c r="F1720" s="34">
        <f>IF($N1720="","",COUNTIF(ShareLink,$C1720))</f>
        <v/>
      </c>
      <c r="G1720" s="22">
        <f>IF($N1720="","",IF(ROUND($E1720-$D1720,0)=0,"√","▲ "&amp;TEXT($D1720-$E1720,"#,##0")))</f>
        <v/>
      </c>
      <c r="N1720">
        <f>IFERROR(MATCH($C$5&amp;"|"&amp;RIGHT("000000"&amp;1704,6),LdAKeyG,0),"")</f>
        <v/>
      </c>
    </row>
    <row r="1721">
      <c r="A1721" s="10" t="n">
        <v>1705</v>
      </c>
      <c r="B1721" s="14">
        <f>IF($N1721="","",INDEX(LdADate,$N1721))</f>
        <v/>
      </c>
      <c r="C1721" s="14">
        <f>IF($N1721="","",IF(INDEX(LdAId,$N1721)="","—",INDEX(LdAId,$N1721)))</f>
        <v/>
      </c>
      <c r="D1721" s="16">
        <f>IF($N1721="","",IF(INDEX(LdAAmt,$N1721)=0,"",INDEX(LdAAmt,$N1721)))</f>
        <v/>
      </c>
      <c r="E1721" s="16">
        <f>IF($N1721="","",SUMIFS(ShareAmt,ShareLink,$C1721))</f>
        <v/>
      </c>
      <c r="F1721" s="33">
        <f>IF($N1721="","",COUNTIF(ShareLink,$C1721))</f>
        <v/>
      </c>
      <c r="G1721" s="17">
        <f>IF($N1721="","",IF(ROUND($E1721-$D1721,0)=0,"√","▲ "&amp;TEXT($D1721-$E1721,"#,##0")))</f>
        <v/>
      </c>
      <c r="N1721">
        <f>IFERROR(MATCH($C$5&amp;"|"&amp;RIGHT("000000"&amp;1705,6),LdAKeyG,0),"")</f>
        <v/>
      </c>
    </row>
    <row r="1722">
      <c r="A1722" s="19" t="n">
        <v>1706</v>
      </c>
      <c r="B1722" s="20">
        <f>IF($N1722="","",INDEX(LdADate,$N1722))</f>
        <v/>
      </c>
      <c r="C1722" s="20">
        <f>IF($N1722="","",IF(INDEX(LdAId,$N1722)="","—",INDEX(LdAId,$N1722)))</f>
        <v/>
      </c>
      <c r="D1722" s="21">
        <f>IF($N1722="","",IF(INDEX(LdAAmt,$N1722)=0,"",INDEX(LdAAmt,$N1722)))</f>
        <v/>
      </c>
      <c r="E1722" s="21">
        <f>IF($N1722="","",SUMIFS(ShareAmt,ShareLink,$C1722))</f>
        <v/>
      </c>
      <c r="F1722" s="34">
        <f>IF($N1722="","",COUNTIF(ShareLink,$C1722))</f>
        <v/>
      </c>
      <c r="G1722" s="22">
        <f>IF($N1722="","",IF(ROUND($E1722-$D1722,0)=0,"√","▲ "&amp;TEXT($D1722-$E1722,"#,##0")))</f>
        <v/>
      </c>
      <c r="N1722">
        <f>IFERROR(MATCH($C$5&amp;"|"&amp;RIGHT("000000"&amp;1706,6),LdAKeyG,0),"")</f>
        <v/>
      </c>
    </row>
    <row r="1723">
      <c r="A1723" s="10" t="n">
        <v>1707</v>
      </c>
      <c r="B1723" s="14">
        <f>IF($N1723="","",INDEX(LdADate,$N1723))</f>
        <v/>
      </c>
      <c r="C1723" s="14">
        <f>IF($N1723="","",IF(INDEX(LdAId,$N1723)="","—",INDEX(LdAId,$N1723)))</f>
        <v/>
      </c>
      <c r="D1723" s="16">
        <f>IF($N1723="","",IF(INDEX(LdAAmt,$N1723)=0,"",INDEX(LdAAmt,$N1723)))</f>
        <v/>
      </c>
      <c r="E1723" s="16">
        <f>IF($N1723="","",SUMIFS(ShareAmt,ShareLink,$C1723))</f>
        <v/>
      </c>
      <c r="F1723" s="33">
        <f>IF($N1723="","",COUNTIF(ShareLink,$C1723))</f>
        <v/>
      </c>
      <c r="G1723" s="17">
        <f>IF($N1723="","",IF(ROUND($E1723-$D1723,0)=0,"√","▲ "&amp;TEXT($D1723-$E1723,"#,##0")))</f>
        <v/>
      </c>
      <c r="N1723">
        <f>IFERROR(MATCH($C$5&amp;"|"&amp;RIGHT("000000"&amp;1707,6),LdAKeyG,0),"")</f>
        <v/>
      </c>
    </row>
    <row r="1724">
      <c r="A1724" s="19" t="n">
        <v>1708</v>
      </c>
      <c r="B1724" s="20">
        <f>IF($N1724="","",INDEX(LdADate,$N1724))</f>
        <v/>
      </c>
      <c r="C1724" s="20">
        <f>IF($N1724="","",IF(INDEX(LdAId,$N1724)="","—",INDEX(LdAId,$N1724)))</f>
        <v/>
      </c>
      <c r="D1724" s="21">
        <f>IF($N1724="","",IF(INDEX(LdAAmt,$N1724)=0,"",INDEX(LdAAmt,$N1724)))</f>
        <v/>
      </c>
      <c r="E1724" s="21">
        <f>IF($N1724="","",SUMIFS(ShareAmt,ShareLink,$C1724))</f>
        <v/>
      </c>
      <c r="F1724" s="34">
        <f>IF($N1724="","",COUNTIF(ShareLink,$C1724))</f>
        <v/>
      </c>
      <c r="G1724" s="22">
        <f>IF($N1724="","",IF(ROUND($E1724-$D1724,0)=0,"√","▲ "&amp;TEXT($D1724-$E1724,"#,##0")))</f>
        <v/>
      </c>
      <c r="N1724">
        <f>IFERROR(MATCH($C$5&amp;"|"&amp;RIGHT("000000"&amp;1708,6),LdAKeyG,0),"")</f>
        <v/>
      </c>
    </row>
    <row r="1725">
      <c r="A1725" s="10" t="n">
        <v>1709</v>
      </c>
      <c r="B1725" s="14">
        <f>IF($N1725="","",INDEX(LdADate,$N1725))</f>
        <v/>
      </c>
      <c r="C1725" s="14">
        <f>IF($N1725="","",IF(INDEX(LdAId,$N1725)="","—",INDEX(LdAId,$N1725)))</f>
        <v/>
      </c>
      <c r="D1725" s="16">
        <f>IF($N1725="","",IF(INDEX(LdAAmt,$N1725)=0,"",INDEX(LdAAmt,$N1725)))</f>
        <v/>
      </c>
      <c r="E1725" s="16">
        <f>IF($N1725="","",SUMIFS(ShareAmt,ShareLink,$C1725))</f>
        <v/>
      </c>
      <c r="F1725" s="33">
        <f>IF($N1725="","",COUNTIF(ShareLink,$C1725))</f>
        <v/>
      </c>
      <c r="G1725" s="17">
        <f>IF($N1725="","",IF(ROUND($E1725-$D1725,0)=0,"√","▲ "&amp;TEXT($D1725-$E1725,"#,##0")))</f>
        <v/>
      </c>
      <c r="N1725">
        <f>IFERROR(MATCH($C$5&amp;"|"&amp;RIGHT("000000"&amp;1709,6),LdAKeyG,0),"")</f>
        <v/>
      </c>
    </row>
    <row r="1726">
      <c r="A1726" s="19" t="n">
        <v>1710</v>
      </c>
      <c r="B1726" s="20">
        <f>IF($N1726="","",INDEX(LdADate,$N1726))</f>
        <v/>
      </c>
      <c r="C1726" s="20">
        <f>IF($N1726="","",IF(INDEX(LdAId,$N1726)="","—",INDEX(LdAId,$N1726)))</f>
        <v/>
      </c>
      <c r="D1726" s="21">
        <f>IF($N1726="","",IF(INDEX(LdAAmt,$N1726)=0,"",INDEX(LdAAmt,$N1726)))</f>
        <v/>
      </c>
      <c r="E1726" s="21">
        <f>IF($N1726="","",SUMIFS(ShareAmt,ShareLink,$C1726))</f>
        <v/>
      </c>
      <c r="F1726" s="34">
        <f>IF($N1726="","",COUNTIF(ShareLink,$C1726))</f>
        <v/>
      </c>
      <c r="G1726" s="22">
        <f>IF($N1726="","",IF(ROUND($E1726-$D1726,0)=0,"√","▲ "&amp;TEXT($D1726-$E1726,"#,##0")))</f>
        <v/>
      </c>
      <c r="N1726">
        <f>IFERROR(MATCH($C$5&amp;"|"&amp;RIGHT("000000"&amp;1710,6),LdAKeyG,0),"")</f>
        <v/>
      </c>
    </row>
    <row r="1727">
      <c r="A1727" s="10" t="n">
        <v>1711</v>
      </c>
      <c r="B1727" s="14">
        <f>IF($N1727="","",INDEX(LdADate,$N1727))</f>
        <v/>
      </c>
      <c r="C1727" s="14">
        <f>IF($N1727="","",IF(INDEX(LdAId,$N1727)="","—",INDEX(LdAId,$N1727)))</f>
        <v/>
      </c>
      <c r="D1727" s="16">
        <f>IF($N1727="","",IF(INDEX(LdAAmt,$N1727)=0,"",INDEX(LdAAmt,$N1727)))</f>
        <v/>
      </c>
      <c r="E1727" s="16">
        <f>IF($N1727="","",SUMIFS(ShareAmt,ShareLink,$C1727))</f>
        <v/>
      </c>
      <c r="F1727" s="33">
        <f>IF($N1727="","",COUNTIF(ShareLink,$C1727))</f>
        <v/>
      </c>
      <c r="G1727" s="17">
        <f>IF($N1727="","",IF(ROUND($E1727-$D1727,0)=0,"√","▲ "&amp;TEXT($D1727-$E1727,"#,##0")))</f>
        <v/>
      </c>
      <c r="N1727">
        <f>IFERROR(MATCH($C$5&amp;"|"&amp;RIGHT("000000"&amp;1711,6),LdAKeyG,0),"")</f>
        <v/>
      </c>
    </row>
    <row r="1728">
      <c r="A1728" s="19" t="n">
        <v>1712</v>
      </c>
      <c r="B1728" s="20">
        <f>IF($N1728="","",INDEX(LdADate,$N1728))</f>
        <v/>
      </c>
      <c r="C1728" s="20">
        <f>IF($N1728="","",IF(INDEX(LdAId,$N1728)="","—",INDEX(LdAId,$N1728)))</f>
        <v/>
      </c>
      <c r="D1728" s="21">
        <f>IF($N1728="","",IF(INDEX(LdAAmt,$N1728)=0,"",INDEX(LdAAmt,$N1728)))</f>
        <v/>
      </c>
      <c r="E1728" s="21">
        <f>IF($N1728="","",SUMIFS(ShareAmt,ShareLink,$C1728))</f>
        <v/>
      </c>
      <c r="F1728" s="34">
        <f>IF($N1728="","",COUNTIF(ShareLink,$C1728))</f>
        <v/>
      </c>
      <c r="G1728" s="22">
        <f>IF($N1728="","",IF(ROUND($E1728-$D1728,0)=0,"√","▲ "&amp;TEXT($D1728-$E1728,"#,##0")))</f>
        <v/>
      </c>
      <c r="N1728">
        <f>IFERROR(MATCH($C$5&amp;"|"&amp;RIGHT("000000"&amp;1712,6),LdAKeyG,0),"")</f>
        <v/>
      </c>
    </row>
    <row r="1729">
      <c r="A1729" s="10" t="n">
        <v>1713</v>
      </c>
      <c r="B1729" s="14">
        <f>IF($N1729="","",INDEX(LdADate,$N1729))</f>
        <v/>
      </c>
      <c r="C1729" s="14">
        <f>IF($N1729="","",IF(INDEX(LdAId,$N1729)="","—",INDEX(LdAId,$N1729)))</f>
        <v/>
      </c>
      <c r="D1729" s="16">
        <f>IF($N1729="","",IF(INDEX(LdAAmt,$N1729)=0,"",INDEX(LdAAmt,$N1729)))</f>
        <v/>
      </c>
      <c r="E1729" s="16">
        <f>IF($N1729="","",SUMIFS(ShareAmt,ShareLink,$C1729))</f>
        <v/>
      </c>
      <c r="F1729" s="33">
        <f>IF($N1729="","",COUNTIF(ShareLink,$C1729))</f>
        <v/>
      </c>
      <c r="G1729" s="17">
        <f>IF($N1729="","",IF(ROUND($E1729-$D1729,0)=0,"√","▲ "&amp;TEXT($D1729-$E1729,"#,##0")))</f>
        <v/>
      </c>
      <c r="N1729">
        <f>IFERROR(MATCH($C$5&amp;"|"&amp;RIGHT("000000"&amp;1713,6),LdAKeyG,0),"")</f>
        <v/>
      </c>
    </row>
    <row r="1730">
      <c r="A1730" s="19" t="n">
        <v>1714</v>
      </c>
      <c r="B1730" s="20">
        <f>IF($N1730="","",INDEX(LdADate,$N1730))</f>
        <v/>
      </c>
      <c r="C1730" s="20">
        <f>IF($N1730="","",IF(INDEX(LdAId,$N1730)="","—",INDEX(LdAId,$N1730)))</f>
        <v/>
      </c>
      <c r="D1730" s="21">
        <f>IF($N1730="","",IF(INDEX(LdAAmt,$N1730)=0,"",INDEX(LdAAmt,$N1730)))</f>
        <v/>
      </c>
      <c r="E1730" s="21">
        <f>IF($N1730="","",SUMIFS(ShareAmt,ShareLink,$C1730))</f>
        <v/>
      </c>
      <c r="F1730" s="34">
        <f>IF($N1730="","",COUNTIF(ShareLink,$C1730))</f>
        <v/>
      </c>
      <c r="G1730" s="22">
        <f>IF($N1730="","",IF(ROUND($E1730-$D1730,0)=0,"√","▲ "&amp;TEXT($D1730-$E1730,"#,##0")))</f>
        <v/>
      </c>
      <c r="N1730">
        <f>IFERROR(MATCH($C$5&amp;"|"&amp;RIGHT("000000"&amp;1714,6),LdAKeyG,0),"")</f>
        <v/>
      </c>
    </row>
    <row r="1731">
      <c r="A1731" s="10" t="n">
        <v>1715</v>
      </c>
      <c r="B1731" s="14">
        <f>IF($N1731="","",INDEX(LdADate,$N1731))</f>
        <v/>
      </c>
      <c r="C1731" s="14">
        <f>IF($N1731="","",IF(INDEX(LdAId,$N1731)="","—",INDEX(LdAId,$N1731)))</f>
        <v/>
      </c>
      <c r="D1731" s="16">
        <f>IF($N1731="","",IF(INDEX(LdAAmt,$N1731)=0,"",INDEX(LdAAmt,$N1731)))</f>
        <v/>
      </c>
      <c r="E1731" s="16">
        <f>IF($N1731="","",SUMIFS(ShareAmt,ShareLink,$C1731))</f>
        <v/>
      </c>
      <c r="F1731" s="33">
        <f>IF($N1731="","",COUNTIF(ShareLink,$C1731))</f>
        <v/>
      </c>
      <c r="G1731" s="17">
        <f>IF($N1731="","",IF(ROUND($E1731-$D1731,0)=0,"√","▲ "&amp;TEXT($D1731-$E1731,"#,##0")))</f>
        <v/>
      </c>
      <c r="N1731">
        <f>IFERROR(MATCH($C$5&amp;"|"&amp;RIGHT("000000"&amp;1715,6),LdAKeyG,0),"")</f>
        <v/>
      </c>
    </row>
    <row r="1732">
      <c r="A1732" s="19" t="n">
        <v>1716</v>
      </c>
      <c r="B1732" s="20">
        <f>IF($N1732="","",INDEX(LdADate,$N1732))</f>
        <v/>
      </c>
      <c r="C1732" s="20">
        <f>IF($N1732="","",IF(INDEX(LdAId,$N1732)="","—",INDEX(LdAId,$N1732)))</f>
        <v/>
      </c>
      <c r="D1732" s="21">
        <f>IF($N1732="","",IF(INDEX(LdAAmt,$N1732)=0,"",INDEX(LdAAmt,$N1732)))</f>
        <v/>
      </c>
      <c r="E1732" s="21">
        <f>IF($N1732="","",SUMIFS(ShareAmt,ShareLink,$C1732))</f>
        <v/>
      </c>
      <c r="F1732" s="34">
        <f>IF($N1732="","",COUNTIF(ShareLink,$C1732))</f>
        <v/>
      </c>
      <c r="G1732" s="22">
        <f>IF($N1732="","",IF(ROUND($E1732-$D1732,0)=0,"√","▲ "&amp;TEXT($D1732-$E1732,"#,##0")))</f>
        <v/>
      </c>
      <c r="N1732">
        <f>IFERROR(MATCH($C$5&amp;"|"&amp;RIGHT("000000"&amp;1716,6),LdAKeyG,0),"")</f>
        <v/>
      </c>
    </row>
    <row r="1733">
      <c r="A1733" s="10" t="n">
        <v>1717</v>
      </c>
      <c r="B1733" s="14">
        <f>IF($N1733="","",INDEX(LdADate,$N1733))</f>
        <v/>
      </c>
      <c r="C1733" s="14">
        <f>IF($N1733="","",IF(INDEX(LdAId,$N1733)="","—",INDEX(LdAId,$N1733)))</f>
        <v/>
      </c>
      <c r="D1733" s="16">
        <f>IF($N1733="","",IF(INDEX(LdAAmt,$N1733)=0,"",INDEX(LdAAmt,$N1733)))</f>
        <v/>
      </c>
      <c r="E1733" s="16">
        <f>IF($N1733="","",SUMIFS(ShareAmt,ShareLink,$C1733))</f>
        <v/>
      </c>
      <c r="F1733" s="33">
        <f>IF($N1733="","",COUNTIF(ShareLink,$C1733))</f>
        <v/>
      </c>
      <c r="G1733" s="17">
        <f>IF($N1733="","",IF(ROUND($E1733-$D1733,0)=0,"√","▲ "&amp;TEXT($D1733-$E1733,"#,##0")))</f>
        <v/>
      </c>
      <c r="N1733">
        <f>IFERROR(MATCH($C$5&amp;"|"&amp;RIGHT("000000"&amp;1717,6),LdAKeyG,0),"")</f>
        <v/>
      </c>
    </row>
    <row r="1734">
      <c r="A1734" s="19" t="n">
        <v>1718</v>
      </c>
      <c r="B1734" s="20">
        <f>IF($N1734="","",INDEX(LdADate,$N1734))</f>
        <v/>
      </c>
      <c r="C1734" s="20">
        <f>IF($N1734="","",IF(INDEX(LdAId,$N1734)="","—",INDEX(LdAId,$N1734)))</f>
        <v/>
      </c>
      <c r="D1734" s="21">
        <f>IF($N1734="","",IF(INDEX(LdAAmt,$N1734)=0,"",INDEX(LdAAmt,$N1734)))</f>
        <v/>
      </c>
      <c r="E1734" s="21">
        <f>IF($N1734="","",SUMIFS(ShareAmt,ShareLink,$C1734))</f>
        <v/>
      </c>
      <c r="F1734" s="34">
        <f>IF($N1734="","",COUNTIF(ShareLink,$C1734))</f>
        <v/>
      </c>
      <c r="G1734" s="22">
        <f>IF($N1734="","",IF(ROUND($E1734-$D1734,0)=0,"√","▲ "&amp;TEXT($D1734-$E1734,"#,##0")))</f>
        <v/>
      </c>
      <c r="N1734">
        <f>IFERROR(MATCH($C$5&amp;"|"&amp;RIGHT("000000"&amp;1718,6),LdAKeyG,0),"")</f>
        <v/>
      </c>
    </row>
    <row r="1735">
      <c r="A1735" s="10" t="n">
        <v>1719</v>
      </c>
      <c r="B1735" s="14">
        <f>IF($N1735="","",INDEX(LdADate,$N1735))</f>
        <v/>
      </c>
      <c r="C1735" s="14">
        <f>IF($N1735="","",IF(INDEX(LdAId,$N1735)="","—",INDEX(LdAId,$N1735)))</f>
        <v/>
      </c>
      <c r="D1735" s="16">
        <f>IF($N1735="","",IF(INDEX(LdAAmt,$N1735)=0,"",INDEX(LdAAmt,$N1735)))</f>
        <v/>
      </c>
      <c r="E1735" s="16">
        <f>IF($N1735="","",SUMIFS(ShareAmt,ShareLink,$C1735))</f>
        <v/>
      </c>
      <c r="F1735" s="33">
        <f>IF($N1735="","",COUNTIF(ShareLink,$C1735))</f>
        <v/>
      </c>
      <c r="G1735" s="17">
        <f>IF($N1735="","",IF(ROUND($E1735-$D1735,0)=0,"√","▲ "&amp;TEXT($D1735-$E1735,"#,##0")))</f>
        <v/>
      </c>
      <c r="N1735">
        <f>IFERROR(MATCH($C$5&amp;"|"&amp;RIGHT("000000"&amp;1719,6),LdAKeyG,0),"")</f>
        <v/>
      </c>
    </row>
    <row r="1736">
      <c r="A1736" s="19" t="n">
        <v>1720</v>
      </c>
      <c r="B1736" s="20">
        <f>IF($N1736="","",INDEX(LdADate,$N1736))</f>
        <v/>
      </c>
      <c r="C1736" s="20">
        <f>IF($N1736="","",IF(INDEX(LdAId,$N1736)="","—",INDEX(LdAId,$N1736)))</f>
        <v/>
      </c>
      <c r="D1736" s="21">
        <f>IF($N1736="","",IF(INDEX(LdAAmt,$N1736)=0,"",INDEX(LdAAmt,$N1736)))</f>
        <v/>
      </c>
      <c r="E1736" s="21">
        <f>IF($N1736="","",SUMIFS(ShareAmt,ShareLink,$C1736))</f>
        <v/>
      </c>
      <c r="F1736" s="34">
        <f>IF($N1736="","",COUNTIF(ShareLink,$C1736))</f>
        <v/>
      </c>
      <c r="G1736" s="22">
        <f>IF($N1736="","",IF(ROUND($E1736-$D1736,0)=0,"√","▲ "&amp;TEXT($D1736-$E1736,"#,##0")))</f>
        <v/>
      </c>
      <c r="N1736">
        <f>IFERROR(MATCH($C$5&amp;"|"&amp;RIGHT("000000"&amp;1720,6),LdAKeyG,0),"")</f>
        <v/>
      </c>
    </row>
    <row r="1737">
      <c r="A1737" s="10" t="n">
        <v>1721</v>
      </c>
      <c r="B1737" s="14">
        <f>IF($N1737="","",INDEX(LdADate,$N1737))</f>
        <v/>
      </c>
      <c r="C1737" s="14">
        <f>IF($N1737="","",IF(INDEX(LdAId,$N1737)="","—",INDEX(LdAId,$N1737)))</f>
        <v/>
      </c>
      <c r="D1737" s="16">
        <f>IF($N1737="","",IF(INDEX(LdAAmt,$N1737)=0,"",INDEX(LdAAmt,$N1737)))</f>
        <v/>
      </c>
      <c r="E1737" s="16">
        <f>IF($N1737="","",SUMIFS(ShareAmt,ShareLink,$C1737))</f>
        <v/>
      </c>
      <c r="F1737" s="33">
        <f>IF($N1737="","",COUNTIF(ShareLink,$C1737))</f>
        <v/>
      </c>
      <c r="G1737" s="17">
        <f>IF($N1737="","",IF(ROUND($E1737-$D1737,0)=0,"√","▲ "&amp;TEXT($D1737-$E1737,"#,##0")))</f>
        <v/>
      </c>
      <c r="N1737">
        <f>IFERROR(MATCH($C$5&amp;"|"&amp;RIGHT("000000"&amp;1721,6),LdAKeyG,0),"")</f>
        <v/>
      </c>
    </row>
    <row r="1738">
      <c r="A1738" s="19" t="n">
        <v>1722</v>
      </c>
      <c r="B1738" s="20">
        <f>IF($N1738="","",INDEX(LdADate,$N1738))</f>
        <v/>
      </c>
      <c r="C1738" s="20">
        <f>IF($N1738="","",IF(INDEX(LdAId,$N1738)="","—",INDEX(LdAId,$N1738)))</f>
        <v/>
      </c>
      <c r="D1738" s="21">
        <f>IF($N1738="","",IF(INDEX(LdAAmt,$N1738)=0,"",INDEX(LdAAmt,$N1738)))</f>
        <v/>
      </c>
      <c r="E1738" s="21">
        <f>IF($N1738="","",SUMIFS(ShareAmt,ShareLink,$C1738))</f>
        <v/>
      </c>
      <c r="F1738" s="34">
        <f>IF($N1738="","",COUNTIF(ShareLink,$C1738))</f>
        <v/>
      </c>
      <c r="G1738" s="22">
        <f>IF($N1738="","",IF(ROUND($E1738-$D1738,0)=0,"√","▲ "&amp;TEXT($D1738-$E1738,"#,##0")))</f>
        <v/>
      </c>
      <c r="N1738">
        <f>IFERROR(MATCH($C$5&amp;"|"&amp;RIGHT("000000"&amp;1722,6),LdAKeyG,0),"")</f>
        <v/>
      </c>
    </row>
    <row r="1739">
      <c r="A1739" s="10" t="n">
        <v>1723</v>
      </c>
      <c r="B1739" s="14">
        <f>IF($N1739="","",INDEX(LdADate,$N1739))</f>
        <v/>
      </c>
      <c r="C1739" s="14">
        <f>IF($N1739="","",IF(INDEX(LdAId,$N1739)="","—",INDEX(LdAId,$N1739)))</f>
        <v/>
      </c>
      <c r="D1739" s="16">
        <f>IF($N1739="","",IF(INDEX(LdAAmt,$N1739)=0,"",INDEX(LdAAmt,$N1739)))</f>
        <v/>
      </c>
      <c r="E1739" s="16">
        <f>IF($N1739="","",SUMIFS(ShareAmt,ShareLink,$C1739))</f>
        <v/>
      </c>
      <c r="F1739" s="33">
        <f>IF($N1739="","",COUNTIF(ShareLink,$C1739))</f>
        <v/>
      </c>
      <c r="G1739" s="17">
        <f>IF($N1739="","",IF(ROUND($E1739-$D1739,0)=0,"√","▲ "&amp;TEXT($D1739-$E1739,"#,##0")))</f>
        <v/>
      </c>
      <c r="N1739">
        <f>IFERROR(MATCH($C$5&amp;"|"&amp;RIGHT("000000"&amp;1723,6),LdAKeyG,0),"")</f>
        <v/>
      </c>
    </row>
    <row r="1740">
      <c r="A1740" s="19" t="n">
        <v>1724</v>
      </c>
      <c r="B1740" s="20">
        <f>IF($N1740="","",INDEX(LdADate,$N1740))</f>
        <v/>
      </c>
      <c r="C1740" s="20">
        <f>IF($N1740="","",IF(INDEX(LdAId,$N1740)="","—",INDEX(LdAId,$N1740)))</f>
        <v/>
      </c>
      <c r="D1740" s="21">
        <f>IF($N1740="","",IF(INDEX(LdAAmt,$N1740)=0,"",INDEX(LdAAmt,$N1740)))</f>
        <v/>
      </c>
      <c r="E1740" s="21">
        <f>IF($N1740="","",SUMIFS(ShareAmt,ShareLink,$C1740))</f>
        <v/>
      </c>
      <c r="F1740" s="34">
        <f>IF($N1740="","",COUNTIF(ShareLink,$C1740))</f>
        <v/>
      </c>
      <c r="G1740" s="22">
        <f>IF($N1740="","",IF(ROUND($E1740-$D1740,0)=0,"√","▲ "&amp;TEXT($D1740-$E1740,"#,##0")))</f>
        <v/>
      </c>
      <c r="N1740">
        <f>IFERROR(MATCH($C$5&amp;"|"&amp;RIGHT("000000"&amp;1724,6),LdAKeyG,0),"")</f>
        <v/>
      </c>
    </row>
    <row r="1741">
      <c r="A1741" s="10" t="n">
        <v>1725</v>
      </c>
      <c r="B1741" s="14">
        <f>IF($N1741="","",INDEX(LdADate,$N1741))</f>
        <v/>
      </c>
      <c r="C1741" s="14">
        <f>IF($N1741="","",IF(INDEX(LdAId,$N1741)="","—",INDEX(LdAId,$N1741)))</f>
        <v/>
      </c>
      <c r="D1741" s="16">
        <f>IF($N1741="","",IF(INDEX(LdAAmt,$N1741)=0,"",INDEX(LdAAmt,$N1741)))</f>
        <v/>
      </c>
      <c r="E1741" s="16">
        <f>IF($N1741="","",SUMIFS(ShareAmt,ShareLink,$C1741))</f>
        <v/>
      </c>
      <c r="F1741" s="33">
        <f>IF($N1741="","",COUNTIF(ShareLink,$C1741))</f>
        <v/>
      </c>
      <c r="G1741" s="17">
        <f>IF($N1741="","",IF(ROUND($E1741-$D1741,0)=0,"√","▲ "&amp;TEXT($D1741-$E1741,"#,##0")))</f>
        <v/>
      </c>
      <c r="N1741">
        <f>IFERROR(MATCH($C$5&amp;"|"&amp;RIGHT("000000"&amp;1725,6),LdAKeyG,0),"")</f>
        <v/>
      </c>
    </row>
    <row r="1742">
      <c r="A1742" s="19" t="n">
        <v>1726</v>
      </c>
      <c r="B1742" s="20">
        <f>IF($N1742="","",INDEX(LdADate,$N1742))</f>
        <v/>
      </c>
      <c r="C1742" s="20">
        <f>IF($N1742="","",IF(INDEX(LdAId,$N1742)="","—",INDEX(LdAId,$N1742)))</f>
        <v/>
      </c>
      <c r="D1742" s="21">
        <f>IF($N1742="","",IF(INDEX(LdAAmt,$N1742)=0,"",INDEX(LdAAmt,$N1742)))</f>
        <v/>
      </c>
      <c r="E1742" s="21">
        <f>IF($N1742="","",SUMIFS(ShareAmt,ShareLink,$C1742))</f>
        <v/>
      </c>
      <c r="F1742" s="34">
        <f>IF($N1742="","",COUNTIF(ShareLink,$C1742))</f>
        <v/>
      </c>
      <c r="G1742" s="22">
        <f>IF($N1742="","",IF(ROUND($E1742-$D1742,0)=0,"√","▲ "&amp;TEXT($D1742-$E1742,"#,##0")))</f>
        <v/>
      </c>
      <c r="N1742">
        <f>IFERROR(MATCH($C$5&amp;"|"&amp;RIGHT("000000"&amp;1726,6),LdAKeyG,0),"")</f>
        <v/>
      </c>
    </row>
    <row r="1743">
      <c r="A1743" s="10" t="n">
        <v>1727</v>
      </c>
      <c r="B1743" s="14">
        <f>IF($N1743="","",INDEX(LdADate,$N1743))</f>
        <v/>
      </c>
      <c r="C1743" s="14">
        <f>IF($N1743="","",IF(INDEX(LdAId,$N1743)="","—",INDEX(LdAId,$N1743)))</f>
        <v/>
      </c>
      <c r="D1743" s="16">
        <f>IF($N1743="","",IF(INDEX(LdAAmt,$N1743)=0,"",INDEX(LdAAmt,$N1743)))</f>
        <v/>
      </c>
      <c r="E1743" s="16">
        <f>IF($N1743="","",SUMIFS(ShareAmt,ShareLink,$C1743))</f>
        <v/>
      </c>
      <c r="F1743" s="33">
        <f>IF($N1743="","",COUNTIF(ShareLink,$C1743))</f>
        <v/>
      </c>
      <c r="G1743" s="17">
        <f>IF($N1743="","",IF(ROUND($E1743-$D1743,0)=0,"√","▲ "&amp;TEXT($D1743-$E1743,"#,##0")))</f>
        <v/>
      </c>
      <c r="N1743">
        <f>IFERROR(MATCH($C$5&amp;"|"&amp;RIGHT("000000"&amp;1727,6),LdAKeyG,0),"")</f>
        <v/>
      </c>
    </row>
    <row r="1744">
      <c r="A1744" s="19" t="n">
        <v>1728</v>
      </c>
      <c r="B1744" s="20">
        <f>IF($N1744="","",INDEX(LdADate,$N1744))</f>
        <v/>
      </c>
      <c r="C1744" s="20">
        <f>IF($N1744="","",IF(INDEX(LdAId,$N1744)="","—",INDEX(LdAId,$N1744)))</f>
        <v/>
      </c>
      <c r="D1744" s="21">
        <f>IF($N1744="","",IF(INDEX(LdAAmt,$N1744)=0,"",INDEX(LdAAmt,$N1744)))</f>
        <v/>
      </c>
      <c r="E1744" s="21">
        <f>IF($N1744="","",SUMIFS(ShareAmt,ShareLink,$C1744))</f>
        <v/>
      </c>
      <c r="F1744" s="34">
        <f>IF($N1744="","",COUNTIF(ShareLink,$C1744))</f>
        <v/>
      </c>
      <c r="G1744" s="22">
        <f>IF($N1744="","",IF(ROUND($E1744-$D1744,0)=0,"√","▲ "&amp;TEXT($D1744-$E1744,"#,##0")))</f>
        <v/>
      </c>
      <c r="N1744">
        <f>IFERROR(MATCH($C$5&amp;"|"&amp;RIGHT("000000"&amp;1728,6),LdAKeyG,0),"")</f>
        <v/>
      </c>
    </row>
    <row r="1745">
      <c r="A1745" s="10" t="n">
        <v>1729</v>
      </c>
      <c r="B1745" s="14">
        <f>IF($N1745="","",INDEX(LdADate,$N1745))</f>
        <v/>
      </c>
      <c r="C1745" s="14">
        <f>IF($N1745="","",IF(INDEX(LdAId,$N1745)="","—",INDEX(LdAId,$N1745)))</f>
        <v/>
      </c>
      <c r="D1745" s="16">
        <f>IF($N1745="","",IF(INDEX(LdAAmt,$N1745)=0,"",INDEX(LdAAmt,$N1745)))</f>
        <v/>
      </c>
      <c r="E1745" s="16">
        <f>IF($N1745="","",SUMIFS(ShareAmt,ShareLink,$C1745))</f>
        <v/>
      </c>
      <c r="F1745" s="33">
        <f>IF($N1745="","",COUNTIF(ShareLink,$C1745))</f>
        <v/>
      </c>
      <c r="G1745" s="17">
        <f>IF($N1745="","",IF(ROUND($E1745-$D1745,0)=0,"√","▲ "&amp;TEXT($D1745-$E1745,"#,##0")))</f>
        <v/>
      </c>
      <c r="N1745">
        <f>IFERROR(MATCH($C$5&amp;"|"&amp;RIGHT("000000"&amp;1729,6),LdAKeyG,0),"")</f>
        <v/>
      </c>
    </row>
    <row r="1746">
      <c r="A1746" s="19" t="n">
        <v>1730</v>
      </c>
      <c r="B1746" s="20">
        <f>IF($N1746="","",INDEX(LdADate,$N1746))</f>
        <v/>
      </c>
      <c r="C1746" s="20">
        <f>IF($N1746="","",IF(INDEX(LdAId,$N1746)="","—",INDEX(LdAId,$N1746)))</f>
        <v/>
      </c>
      <c r="D1746" s="21">
        <f>IF($N1746="","",IF(INDEX(LdAAmt,$N1746)=0,"",INDEX(LdAAmt,$N1746)))</f>
        <v/>
      </c>
      <c r="E1746" s="21">
        <f>IF($N1746="","",SUMIFS(ShareAmt,ShareLink,$C1746))</f>
        <v/>
      </c>
      <c r="F1746" s="34">
        <f>IF($N1746="","",COUNTIF(ShareLink,$C1746))</f>
        <v/>
      </c>
      <c r="G1746" s="22">
        <f>IF($N1746="","",IF(ROUND($E1746-$D1746,0)=0,"√","▲ "&amp;TEXT($D1746-$E1746,"#,##0")))</f>
        <v/>
      </c>
      <c r="N1746">
        <f>IFERROR(MATCH($C$5&amp;"|"&amp;RIGHT("000000"&amp;1730,6),LdAKeyG,0),"")</f>
        <v/>
      </c>
    </row>
    <row r="1747">
      <c r="A1747" s="10" t="n">
        <v>1731</v>
      </c>
      <c r="B1747" s="14">
        <f>IF($N1747="","",INDEX(LdADate,$N1747))</f>
        <v/>
      </c>
      <c r="C1747" s="14">
        <f>IF($N1747="","",IF(INDEX(LdAId,$N1747)="","—",INDEX(LdAId,$N1747)))</f>
        <v/>
      </c>
      <c r="D1747" s="16">
        <f>IF($N1747="","",IF(INDEX(LdAAmt,$N1747)=0,"",INDEX(LdAAmt,$N1747)))</f>
        <v/>
      </c>
      <c r="E1747" s="16">
        <f>IF($N1747="","",SUMIFS(ShareAmt,ShareLink,$C1747))</f>
        <v/>
      </c>
      <c r="F1747" s="33">
        <f>IF($N1747="","",COUNTIF(ShareLink,$C1747))</f>
        <v/>
      </c>
      <c r="G1747" s="17">
        <f>IF($N1747="","",IF(ROUND($E1747-$D1747,0)=0,"√","▲ "&amp;TEXT($D1747-$E1747,"#,##0")))</f>
        <v/>
      </c>
      <c r="N1747">
        <f>IFERROR(MATCH($C$5&amp;"|"&amp;RIGHT("000000"&amp;1731,6),LdAKeyG,0),"")</f>
        <v/>
      </c>
    </row>
    <row r="1748">
      <c r="A1748" s="19" t="n">
        <v>1732</v>
      </c>
      <c r="B1748" s="20">
        <f>IF($N1748="","",INDEX(LdADate,$N1748))</f>
        <v/>
      </c>
      <c r="C1748" s="20">
        <f>IF($N1748="","",IF(INDEX(LdAId,$N1748)="","—",INDEX(LdAId,$N1748)))</f>
        <v/>
      </c>
      <c r="D1748" s="21">
        <f>IF($N1748="","",IF(INDEX(LdAAmt,$N1748)=0,"",INDEX(LdAAmt,$N1748)))</f>
        <v/>
      </c>
      <c r="E1748" s="21">
        <f>IF($N1748="","",SUMIFS(ShareAmt,ShareLink,$C1748))</f>
        <v/>
      </c>
      <c r="F1748" s="34">
        <f>IF($N1748="","",COUNTIF(ShareLink,$C1748))</f>
        <v/>
      </c>
      <c r="G1748" s="22">
        <f>IF($N1748="","",IF(ROUND($E1748-$D1748,0)=0,"√","▲ "&amp;TEXT($D1748-$E1748,"#,##0")))</f>
        <v/>
      </c>
      <c r="N1748">
        <f>IFERROR(MATCH($C$5&amp;"|"&amp;RIGHT("000000"&amp;1732,6),LdAKeyG,0),"")</f>
        <v/>
      </c>
    </row>
    <row r="1749">
      <c r="A1749" s="10" t="n">
        <v>1733</v>
      </c>
      <c r="B1749" s="14">
        <f>IF($N1749="","",INDEX(LdADate,$N1749))</f>
        <v/>
      </c>
      <c r="C1749" s="14">
        <f>IF($N1749="","",IF(INDEX(LdAId,$N1749)="","—",INDEX(LdAId,$N1749)))</f>
        <v/>
      </c>
      <c r="D1749" s="16">
        <f>IF($N1749="","",IF(INDEX(LdAAmt,$N1749)=0,"",INDEX(LdAAmt,$N1749)))</f>
        <v/>
      </c>
      <c r="E1749" s="16">
        <f>IF($N1749="","",SUMIFS(ShareAmt,ShareLink,$C1749))</f>
        <v/>
      </c>
      <c r="F1749" s="33">
        <f>IF($N1749="","",COUNTIF(ShareLink,$C1749))</f>
        <v/>
      </c>
      <c r="G1749" s="17">
        <f>IF($N1749="","",IF(ROUND($E1749-$D1749,0)=0,"√","▲ "&amp;TEXT($D1749-$E1749,"#,##0")))</f>
        <v/>
      </c>
      <c r="N1749">
        <f>IFERROR(MATCH($C$5&amp;"|"&amp;RIGHT("000000"&amp;1733,6),LdAKeyG,0),"")</f>
        <v/>
      </c>
    </row>
    <row r="1750">
      <c r="A1750" s="19" t="n">
        <v>1734</v>
      </c>
      <c r="B1750" s="20">
        <f>IF($N1750="","",INDEX(LdADate,$N1750))</f>
        <v/>
      </c>
      <c r="C1750" s="20">
        <f>IF($N1750="","",IF(INDEX(LdAId,$N1750)="","—",INDEX(LdAId,$N1750)))</f>
        <v/>
      </c>
      <c r="D1750" s="21">
        <f>IF($N1750="","",IF(INDEX(LdAAmt,$N1750)=0,"",INDEX(LdAAmt,$N1750)))</f>
        <v/>
      </c>
      <c r="E1750" s="21">
        <f>IF($N1750="","",SUMIFS(ShareAmt,ShareLink,$C1750))</f>
        <v/>
      </c>
      <c r="F1750" s="34">
        <f>IF($N1750="","",COUNTIF(ShareLink,$C1750))</f>
        <v/>
      </c>
      <c r="G1750" s="22">
        <f>IF($N1750="","",IF(ROUND($E1750-$D1750,0)=0,"√","▲ "&amp;TEXT($D1750-$E1750,"#,##0")))</f>
        <v/>
      </c>
      <c r="N1750">
        <f>IFERROR(MATCH($C$5&amp;"|"&amp;RIGHT("000000"&amp;1734,6),LdAKeyG,0),"")</f>
        <v/>
      </c>
    </row>
    <row r="1751">
      <c r="A1751" s="10" t="n">
        <v>1735</v>
      </c>
      <c r="B1751" s="14">
        <f>IF($N1751="","",INDEX(LdADate,$N1751))</f>
        <v/>
      </c>
      <c r="C1751" s="14">
        <f>IF($N1751="","",IF(INDEX(LdAId,$N1751)="","—",INDEX(LdAId,$N1751)))</f>
        <v/>
      </c>
      <c r="D1751" s="16">
        <f>IF($N1751="","",IF(INDEX(LdAAmt,$N1751)=0,"",INDEX(LdAAmt,$N1751)))</f>
        <v/>
      </c>
      <c r="E1751" s="16">
        <f>IF($N1751="","",SUMIFS(ShareAmt,ShareLink,$C1751))</f>
        <v/>
      </c>
      <c r="F1751" s="33">
        <f>IF($N1751="","",COUNTIF(ShareLink,$C1751))</f>
        <v/>
      </c>
      <c r="G1751" s="17">
        <f>IF($N1751="","",IF(ROUND($E1751-$D1751,0)=0,"√","▲ "&amp;TEXT($D1751-$E1751,"#,##0")))</f>
        <v/>
      </c>
      <c r="N1751">
        <f>IFERROR(MATCH($C$5&amp;"|"&amp;RIGHT("000000"&amp;1735,6),LdAKeyG,0),"")</f>
        <v/>
      </c>
    </row>
    <row r="1752">
      <c r="A1752" s="19" t="n">
        <v>1736</v>
      </c>
      <c r="B1752" s="20">
        <f>IF($N1752="","",INDEX(LdADate,$N1752))</f>
        <v/>
      </c>
      <c r="C1752" s="20">
        <f>IF($N1752="","",IF(INDEX(LdAId,$N1752)="","—",INDEX(LdAId,$N1752)))</f>
        <v/>
      </c>
      <c r="D1752" s="21">
        <f>IF($N1752="","",IF(INDEX(LdAAmt,$N1752)=0,"",INDEX(LdAAmt,$N1752)))</f>
        <v/>
      </c>
      <c r="E1752" s="21">
        <f>IF($N1752="","",SUMIFS(ShareAmt,ShareLink,$C1752))</f>
        <v/>
      </c>
      <c r="F1752" s="34">
        <f>IF($N1752="","",COUNTIF(ShareLink,$C1752))</f>
        <v/>
      </c>
      <c r="G1752" s="22">
        <f>IF($N1752="","",IF(ROUND($E1752-$D1752,0)=0,"√","▲ "&amp;TEXT($D1752-$E1752,"#,##0")))</f>
        <v/>
      </c>
      <c r="N1752">
        <f>IFERROR(MATCH($C$5&amp;"|"&amp;RIGHT("000000"&amp;1736,6),LdAKeyG,0),"")</f>
        <v/>
      </c>
    </row>
    <row r="1753">
      <c r="A1753" s="10" t="n">
        <v>1737</v>
      </c>
      <c r="B1753" s="14">
        <f>IF($N1753="","",INDEX(LdADate,$N1753))</f>
        <v/>
      </c>
      <c r="C1753" s="14">
        <f>IF($N1753="","",IF(INDEX(LdAId,$N1753)="","—",INDEX(LdAId,$N1753)))</f>
        <v/>
      </c>
      <c r="D1753" s="16">
        <f>IF($N1753="","",IF(INDEX(LdAAmt,$N1753)=0,"",INDEX(LdAAmt,$N1753)))</f>
        <v/>
      </c>
      <c r="E1753" s="16">
        <f>IF($N1753="","",SUMIFS(ShareAmt,ShareLink,$C1753))</f>
        <v/>
      </c>
      <c r="F1753" s="33">
        <f>IF($N1753="","",COUNTIF(ShareLink,$C1753))</f>
        <v/>
      </c>
      <c r="G1753" s="17">
        <f>IF($N1753="","",IF(ROUND($E1753-$D1753,0)=0,"√","▲ "&amp;TEXT($D1753-$E1753,"#,##0")))</f>
        <v/>
      </c>
      <c r="N1753">
        <f>IFERROR(MATCH($C$5&amp;"|"&amp;RIGHT("000000"&amp;1737,6),LdAKeyG,0),"")</f>
        <v/>
      </c>
    </row>
    <row r="1754">
      <c r="A1754" s="19" t="n">
        <v>1738</v>
      </c>
      <c r="B1754" s="20">
        <f>IF($N1754="","",INDEX(LdADate,$N1754))</f>
        <v/>
      </c>
      <c r="C1754" s="20">
        <f>IF($N1754="","",IF(INDEX(LdAId,$N1754)="","—",INDEX(LdAId,$N1754)))</f>
        <v/>
      </c>
      <c r="D1754" s="21">
        <f>IF($N1754="","",IF(INDEX(LdAAmt,$N1754)=0,"",INDEX(LdAAmt,$N1754)))</f>
        <v/>
      </c>
      <c r="E1754" s="21">
        <f>IF($N1754="","",SUMIFS(ShareAmt,ShareLink,$C1754))</f>
        <v/>
      </c>
      <c r="F1754" s="34">
        <f>IF($N1754="","",COUNTIF(ShareLink,$C1754))</f>
        <v/>
      </c>
      <c r="G1754" s="22">
        <f>IF($N1754="","",IF(ROUND($E1754-$D1754,0)=0,"√","▲ "&amp;TEXT($D1754-$E1754,"#,##0")))</f>
        <v/>
      </c>
      <c r="N1754">
        <f>IFERROR(MATCH($C$5&amp;"|"&amp;RIGHT("000000"&amp;1738,6),LdAKeyG,0),"")</f>
        <v/>
      </c>
    </row>
    <row r="1755">
      <c r="A1755" s="10" t="n">
        <v>1739</v>
      </c>
      <c r="B1755" s="14">
        <f>IF($N1755="","",INDEX(LdADate,$N1755))</f>
        <v/>
      </c>
      <c r="C1755" s="14">
        <f>IF($N1755="","",IF(INDEX(LdAId,$N1755)="","—",INDEX(LdAId,$N1755)))</f>
        <v/>
      </c>
      <c r="D1755" s="16">
        <f>IF($N1755="","",IF(INDEX(LdAAmt,$N1755)=0,"",INDEX(LdAAmt,$N1755)))</f>
        <v/>
      </c>
      <c r="E1755" s="16">
        <f>IF($N1755="","",SUMIFS(ShareAmt,ShareLink,$C1755))</f>
        <v/>
      </c>
      <c r="F1755" s="33">
        <f>IF($N1755="","",COUNTIF(ShareLink,$C1755))</f>
        <v/>
      </c>
      <c r="G1755" s="17">
        <f>IF($N1755="","",IF(ROUND($E1755-$D1755,0)=0,"√","▲ "&amp;TEXT($D1755-$E1755,"#,##0")))</f>
        <v/>
      </c>
      <c r="N1755">
        <f>IFERROR(MATCH($C$5&amp;"|"&amp;RIGHT("000000"&amp;1739,6),LdAKeyG,0),"")</f>
        <v/>
      </c>
    </row>
    <row r="1756">
      <c r="A1756" s="19" t="n">
        <v>1740</v>
      </c>
      <c r="B1756" s="20">
        <f>IF($N1756="","",INDEX(LdADate,$N1756))</f>
        <v/>
      </c>
      <c r="C1756" s="20">
        <f>IF($N1756="","",IF(INDEX(LdAId,$N1756)="","—",INDEX(LdAId,$N1756)))</f>
        <v/>
      </c>
      <c r="D1756" s="21">
        <f>IF($N1756="","",IF(INDEX(LdAAmt,$N1756)=0,"",INDEX(LdAAmt,$N1756)))</f>
        <v/>
      </c>
      <c r="E1756" s="21">
        <f>IF($N1756="","",SUMIFS(ShareAmt,ShareLink,$C1756))</f>
        <v/>
      </c>
      <c r="F1756" s="34">
        <f>IF($N1756="","",COUNTIF(ShareLink,$C1756))</f>
        <v/>
      </c>
      <c r="G1756" s="22">
        <f>IF($N1756="","",IF(ROUND($E1756-$D1756,0)=0,"√","▲ "&amp;TEXT($D1756-$E1756,"#,##0")))</f>
        <v/>
      </c>
      <c r="N1756">
        <f>IFERROR(MATCH($C$5&amp;"|"&amp;RIGHT("000000"&amp;1740,6),LdAKeyG,0),"")</f>
        <v/>
      </c>
    </row>
    <row r="1757">
      <c r="A1757" s="10" t="n">
        <v>1741</v>
      </c>
      <c r="B1757" s="14">
        <f>IF($N1757="","",INDEX(LdADate,$N1757))</f>
        <v/>
      </c>
      <c r="C1757" s="14">
        <f>IF($N1757="","",IF(INDEX(LdAId,$N1757)="","—",INDEX(LdAId,$N1757)))</f>
        <v/>
      </c>
      <c r="D1757" s="16">
        <f>IF($N1757="","",IF(INDEX(LdAAmt,$N1757)=0,"",INDEX(LdAAmt,$N1757)))</f>
        <v/>
      </c>
      <c r="E1757" s="16">
        <f>IF($N1757="","",SUMIFS(ShareAmt,ShareLink,$C1757))</f>
        <v/>
      </c>
      <c r="F1757" s="33">
        <f>IF($N1757="","",COUNTIF(ShareLink,$C1757))</f>
        <v/>
      </c>
      <c r="G1757" s="17">
        <f>IF($N1757="","",IF(ROUND($E1757-$D1757,0)=0,"√","▲ "&amp;TEXT($D1757-$E1757,"#,##0")))</f>
        <v/>
      </c>
      <c r="N1757">
        <f>IFERROR(MATCH($C$5&amp;"|"&amp;RIGHT("000000"&amp;1741,6),LdAKeyG,0),"")</f>
        <v/>
      </c>
    </row>
    <row r="1758">
      <c r="A1758" s="19" t="n">
        <v>1742</v>
      </c>
      <c r="B1758" s="20">
        <f>IF($N1758="","",INDEX(LdADate,$N1758))</f>
        <v/>
      </c>
      <c r="C1758" s="20">
        <f>IF($N1758="","",IF(INDEX(LdAId,$N1758)="","—",INDEX(LdAId,$N1758)))</f>
        <v/>
      </c>
      <c r="D1758" s="21">
        <f>IF($N1758="","",IF(INDEX(LdAAmt,$N1758)=0,"",INDEX(LdAAmt,$N1758)))</f>
        <v/>
      </c>
      <c r="E1758" s="21">
        <f>IF($N1758="","",SUMIFS(ShareAmt,ShareLink,$C1758))</f>
        <v/>
      </c>
      <c r="F1758" s="34">
        <f>IF($N1758="","",COUNTIF(ShareLink,$C1758))</f>
        <v/>
      </c>
      <c r="G1758" s="22">
        <f>IF($N1758="","",IF(ROUND($E1758-$D1758,0)=0,"√","▲ "&amp;TEXT($D1758-$E1758,"#,##0")))</f>
        <v/>
      </c>
      <c r="N1758">
        <f>IFERROR(MATCH($C$5&amp;"|"&amp;RIGHT("000000"&amp;1742,6),LdAKeyG,0),"")</f>
        <v/>
      </c>
    </row>
    <row r="1759">
      <c r="A1759" s="10" t="n">
        <v>1743</v>
      </c>
      <c r="B1759" s="14">
        <f>IF($N1759="","",INDEX(LdADate,$N1759))</f>
        <v/>
      </c>
      <c r="C1759" s="14">
        <f>IF($N1759="","",IF(INDEX(LdAId,$N1759)="","—",INDEX(LdAId,$N1759)))</f>
        <v/>
      </c>
      <c r="D1759" s="16">
        <f>IF($N1759="","",IF(INDEX(LdAAmt,$N1759)=0,"",INDEX(LdAAmt,$N1759)))</f>
        <v/>
      </c>
      <c r="E1759" s="16">
        <f>IF($N1759="","",SUMIFS(ShareAmt,ShareLink,$C1759))</f>
        <v/>
      </c>
      <c r="F1759" s="33">
        <f>IF($N1759="","",COUNTIF(ShareLink,$C1759))</f>
        <v/>
      </c>
      <c r="G1759" s="17">
        <f>IF($N1759="","",IF(ROUND($E1759-$D1759,0)=0,"√","▲ "&amp;TEXT($D1759-$E1759,"#,##0")))</f>
        <v/>
      </c>
      <c r="N1759">
        <f>IFERROR(MATCH($C$5&amp;"|"&amp;RIGHT("000000"&amp;1743,6),LdAKeyG,0),"")</f>
        <v/>
      </c>
    </row>
    <row r="1760">
      <c r="A1760" s="19" t="n">
        <v>1744</v>
      </c>
      <c r="B1760" s="20">
        <f>IF($N1760="","",INDEX(LdADate,$N1760))</f>
        <v/>
      </c>
      <c r="C1760" s="20">
        <f>IF($N1760="","",IF(INDEX(LdAId,$N1760)="","—",INDEX(LdAId,$N1760)))</f>
        <v/>
      </c>
      <c r="D1760" s="21">
        <f>IF($N1760="","",IF(INDEX(LdAAmt,$N1760)=0,"",INDEX(LdAAmt,$N1760)))</f>
        <v/>
      </c>
      <c r="E1760" s="21">
        <f>IF($N1760="","",SUMIFS(ShareAmt,ShareLink,$C1760))</f>
        <v/>
      </c>
      <c r="F1760" s="34">
        <f>IF($N1760="","",COUNTIF(ShareLink,$C1760))</f>
        <v/>
      </c>
      <c r="G1760" s="22">
        <f>IF($N1760="","",IF(ROUND($E1760-$D1760,0)=0,"√","▲ "&amp;TEXT($D1760-$E1760,"#,##0")))</f>
        <v/>
      </c>
      <c r="N1760">
        <f>IFERROR(MATCH($C$5&amp;"|"&amp;RIGHT("000000"&amp;1744,6),LdAKeyG,0),"")</f>
        <v/>
      </c>
    </row>
    <row r="1761">
      <c r="A1761" s="10" t="n">
        <v>1745</v>
      </c>
      <c r="B1761" s="14">
        <f>IF($N1761="","",INDEX(LdADate,$N1761))</f>
        <v/>
      </c>
      <c r="C1761" s="14">
        <f>IF($N1761="","",IF(INDEX(LdAId,$N1761)="","—",INDEX(LdAId,$N1761)))</f>
        <v/>
      </c>
      <c r="D1761" s="16">
        <f>IF($N1761="","",IF(INDEX(LdAAmt,$N1761)=0,"",INDEX(LdAAmt,$N1761)))</f>
        <v/>
      </c>
      <c r="E1761" s="16">
        <f>IF($N1761="","",SUMIFS(ShareAmt,ShareLink,$C1761))</f>
        <v/>
      </c>
      <c r="F1761" s="33">
        <f>IF($N1761="","",COUNTIF(ShareLink,$C1761))</f>
        <v/>
      </c>
      <c r="G1761" s="17">
        <f>IF($N1761="","",IF(ROUND($E1761-$D1761,0)=0,"√","▲ "&amp;TEXT($D1761-$E1761,"#,##0")))</f>
        <v/>
      </c>
      <c r="N1761">
        <f>IFERROR(MATCH($C$5&amp;"|"&amp;RIGHT("000000"&amp;1745,6),LdAKeyG,0),"")</f>
        <v/>
      </c>
    </row>
    <row r="1762">
      <c r="A1762" s="19" t="n">
        <v>1746</v>
      </c>
      <c r="B1762" s="20">
        <f>IF($N1762="","",INDEX(LdADate,$N1762))</f>
        <v/>
      </c>
      <c r="C1762" s="20">
        <f>IF($N1762="","",IF(INDEX(LdAId,$N1762)="","—",INDEX(LdAId,$N1762)))</f>
        <v/>
      </c>
      <c r="D1762" s="21">
        <f>IF($N1762="","",IF(INDEX(LdAAmt,$N1762)=0,"",INDEX(LdAAmt,$N1762)))</f>
        <v/>
      </c>
      <c r="E1762" s="21">
        <f>IF($N1762="","",SUMIFS(ShareAmt,ShareLink,$C1762))</f>
        <v/>
      </c>
      <c r="F1762" s="34">
        <f>IF($N1762="","",COUNTIF(ShareLink,$C1762))</f>
        <v/>
      </c>
      <c r="G1762" s="22">
        <f>IF($N1762="","",IF(ROUND($E1762-$D1762,0)=0,"√","▲ "&amp;TEXT($D1762-$E1762,"#,##0")))</f>
        <v/>
      </c>
      <c r="N1762">
        <f>IFERROR(MATCH($C$5&amp;"|"&amp;RIGHT("000000"&amp;1746,6),LdAKeyG,0),"")</f>
        <v/>
      </c>
    </row>
    <row r="1763">
      <c r="A1763" s="10" t="n">
        <v>1747</v>
      </c>
      <c r="B1763" s="14">
        <f>IF($N1763="","",INDEX(LdADate,$N1763))</f>
        <v/>
      </c>
      <c r="C1763" s="14">
        <f>IF($N1763="","",IF(INDEX(LdAId,$N1763)="","—",INDEX(LdAId,$N1763)))</f>
        <v/>
      </c>
      <c r="D1763" s="16">
        <f>IF($N1763="","",IF(INDEX(LdAAmt,$N1763)=0,"",INDEX(LdAAmt,$N1763)))</f>
        <v/>
      </c>
      <c r="E1763" s="16">
        <f>IF($N1763="","",SUMIFS(ShareAmt,ShareLink,$C1763))</f>
        <v/>
      </c>
      <c r="F1763" s="33">
        <f>IF($N1763="","",COUNTIF(ShareLink,$C1763))</f>
        <v/>
      </c>
      <c r="G1763" s="17">
        <f>IF($N1763="","",IF(ROUND($E1763-$D1763,0)=0,"√","▲ "&amp;TEXT($D1763-$E1763,"#,##0")))</f>
        <v/>
      </c>
      <c r="N1763">
        <f>IFERROR(MATCH($C$5&amp;"|"&amp;RIGHT("000000"&amp;1747,6),LdAKeyG,0),"")</f>
        <v/>
      </c>
    </row>
    <row r="1764">
      <c r="A1764" s="19" t="n">
        <v>1748</v>
      </c>
      <c r="B1764" s="20">
        <f>IF($N1764="","",INDEX(LdADate,$N1764))</f>
        <v/>
      </c>
      <c r="C1764" s="20">
        <f>IF($N1764="","",IF(INDEX(LdAId,$N1764)="","—",INDEX(LdAId,$N1764)))</f>
        <v/>
      </c>
      <c r="D1764" s="21">
        <f>IF($N1764="","",IF(INDEX(LdAAmt,$N1764)=0,"",INDEX(LdAAmt,$N1764)))</f>
        <v/>
      </c>
      <c r="E1764" s="21">
        <f>IF($N1764="","",SUMIFS(ShareAmt,ShareLink,$C1764))</f>
        <v/>
      </c>
      <c r="F1764" s="34">
        <f>IF($N1764="","",COUNTIF(ShareLink,$C1764))</f>
        <v/>
      </c>
      <c r="G1764" s="22">
        <f>IF($N1764="","",IF(ROUND($E1764-$D1764,0)=0,"√","▲ "&amp;TEXT($D1764-$E1764,"#,##0")))</f>
        <v/>
      </c>
      <c r="N1764">
        <f>IFERROR(MATCH($C$5&amp;"|"&amp;RIGHT("000000"&amp;1748,6),LdAKeyG,0),"")</f>
        <v/>
      </c>
    </row>
    <row r="1765">
      <c r="A1765" s="10" t="n">
        <v>1749</v>
      </c>
      <c r="B1765" s="14">
        <f>IF($N1765="","",INDEX(LdADate,$N1765))</f>
        <v/>
      </c>
      <c r="C1765" s="14">
        <f>IF($N1765="","",IF(INDEX(LdAId,$N1765)="","—",INDEX(LdAId,$N1765)))</f>
        <v/>
      </c>
      <c r="D1765" s="16">
        <f>IF($N1765="","",IF(INDEX(LdAAmt,$N1765)=0,"",INDEX(LdAAmt,$N1765)))</f>
        <v/>
      </c>
      <c r="E1765" s="16">
        <f>IF($N1765="","",SUMIFS(ShareAmt,ShareLink,$C1765))</f>
        <v/>
      </c>
      <c r="F1765" s="33">
        <f>IF($N1765="","",COUNTIF(ShareLink,$C1765))</f>
        <v/>
      </c>
      <c r="G1765" s="17">
        <f>IF($N1765="","",IF(ROUND($E1765-$D1765,0)=0,"√","▲ "&amp;TEXT($D1765-$E1765,"#,##0")))</f>
        <v/>
      </c>
      <c r="N1765">
        <f>IFERROR(MATCH($C$5&amp;"|"&amp;RIGHT("000000"&amp;1749,6),LdAKeyG,0),"")</f>
        <v/>
      </c>
    </row>
    <row r="1766">
      <c r="A1766" s="19" t="n">
        <v>1750</v>
      </c>
      <c r="B1766" s="20">
        <f>IF($N1766="","",INDEX(LdADate,$N1766))</f>
        <v/>
      </c>
      <c r="C1766" s="20">
        <f>IF($N1766="","",IF(INDEX(LdAId,$N1766)="","—",INDEX(LdAId,$N1766)))</f>
        <v/>
      </c>
      <c r="D1766" s="21">
        <f>IF($N1766="","",IF(INDEX(LdAAmt,$N1766)=0,"",INDEX(LdAAmt,$N1766)))</f>
        <v/>
      </c>
      <c r="E1766" s="21">
        <f>IF($N1766="","",SUMIFS(ShareAmt,ShareLink,$C1766))</f>
        <v/>
      </c>
      <c r="F1766" s="34">
        <f>IF($N1766="","",COUNTIF(ShareLink,$C1766))</f>
        <v/>
      </c>
      <c r="G1766" s="22">
        <f>IF($N1766="","",IF(ROUND($E1766-$D1766,0)=0,"√","▲ "&amp;TEXT($D1766-$E1766,"#,##0")))</f>
        <v/>
      </c>
      <c r="N1766">
        <f>IFERROR(MATCH($C$5&amp;"|"&amp;RIGHT("000000"&amp;1750,6),LdAKeyG,0),"")</f>
        <v/>
      </c>
    </row>
    <row r="1767">
      <c r="A1767" s="10" t="n">
        <v>1751</v>
      </c>
      <c r="B1767" s="14">
        <f>IF($N1767="","",INDEX(LdADate,$N1767))</f>
        <v/>
      </c>
      <c r="C1767" s="14">
        <f>IF($N1767="","",IF(INDEX(LdAId,$N1767)="","—",INDEX(LdAId,$N1767)))</f>
        <v/>
      </c>
      <c r="D1767" s="16">
        <f>IF($N1767="","",IF(INDEX(LdAAmt,$N1767)=0,"",INDEX(LdAAmt,$N1767)))</f>
        <v/>
      </c>
      <c r="E1767" s="16">
        <f>IF($N1767="","",SUMIFS(ShareAmt,ShareLink,$C1767))</f>
        <v/>
      </c>
      <c r="F1767" s="33">
        <f>IF($N1767="","",COUNTIF(ShareLink,$C1767))</f>
        <v/>
      </c>
      <c r="G1767" s="17">
        <f>IF($N1767="","",IF(ROUND($E1767-$D1767,0)=0,"√","▲ "&amp;TEXT($D1767-$E1767,"#,##0")))</f>
        <v/>
      </c>
      <c r="N1767">
        <f>IFERROR(MATCH($C$5&amp;"|"&amp;RIGHT("000000"&amp;1751,6),LdAKeyG,0),"")</f>
        <v/>
      </c>
    </row>
    <row r="1768">
      <c r="A1768" s="19" t="n">
        <v>1752</v>
      </c>
      <c r="B1768" s="20">
        <f>IF($N1768="","",INDEX(LdADate,$N1768))</f>
        <v/>
      </c>
      <c r="C1768" s="20">
        <f>IF($N1768="","",IF(INDEX(LdAId,$N1768)="","—",INDEX(LdAId,$N1768)))</f>
        <v/>
      </c>
      <c r="D1768" s="21">
        <f>IF($N1768="","",IF(INDEX(LdAAmt,$N1768)=0,"",INDEX(LdAAmt,$N1768)))</f>
        <v/>
      </c>
      <c r="E1768" s="21">
        <f>IF($N1768="","",SUMIFS(ShareAmt,ShareLink,$C1768))</f>
        <v/>
      </c>
      <c r="F1768" s="34">
        <f>IF($N1768="","",COUNTIF(ShareLink,$C1768))</f>
        <v/>
      </c>
      <c r="G1768" s="22">
        <f>IF($N1768="","",IF(ROUND($E1768-$D1768,0)=0,"√","▲ "&amp;TEXT($D1768-$E1768,"#,##0")))</f>
        <v/>
      </c>
      <c r="N1768">
        <f>IFERROR(MATCH($C$5&amp;"|"&amp;RIGHT("000000"&amp;1752,6),LdAKeyG,0),"")</f>
        <v/>
      </c>
    </row>
    <row r="1769">
      <c r="A1769" s="10" t="n">
        <v>1753</v>
      </c>
      <c r="B1769" s="14">
        <f>IF($N1769="","",INDEX(LdADate,$N1769))</f>
        <v/>
      </c>
      <c r="C1769" s="14">
        <f>IF($N1769="","",IF(INDEX(LdAId,$N1769)="","—",INDEX(LdAId,$N1769)))</f>
        <v/>
      </c>
      <c r="D1769" s="16">
        <f>IF($N1769="","",IF(INDEX(LdAAmt,$N1769)=0,"",INDEX(LdAAmt,$N1769)))</f>
        <v/>
      </c>
      <c r="E1769" s="16">
        <f>IF($N1769="","",SUMIFS(ShareAmt,ShareLink,$C1769))</f>
        <v/>
      </c>
      <c r="F1769" s="33">
        <f>IF($N1769="","",COUNTIF(ShareLink,$C1769))</f>
        <v/>
      </c>
      <c r="G1769" s="17">
        <f>IF($N1769="","",IF(ROUND($E1769-$D1769,0)=0,"√","▲ "&amp;TEXT($D1769-$E1769,"#,##0")))</f>
        <v/>
      </c>
      <c r="N1769">
        <f>IFERROR(MATCH($C$5&amp;"|"&amp;RIGHT("000000"&amp;1753,6),LdAKeyG,0),"")</f>
        <v/>
      </c>
    </row>
    <row r="1770">
      <c r="A1770" s="19" t="n">
        <v>1754</v>
      </c>
      <c r="B1770" s="20">
        <f>IF($N1770="","",INDEX(LdADate,$N1770))</f>
        <v/>
      </c>
      <c r="C1770" s="20">
        <f>IF($N1770="","",IF(INDEX(LdAId,$N1770)="","—",INDEX(LdAId,$N1770)))</f>
        <v/>
      </c>
      <c r="D1770" s="21">
        <f>IF($N1770="","",IF(INDEX(LdAAmt,$N1770)=0,"",INDEX(LdAAmt,$N1770)))</f>
        <v/>
      </c>
      <c r="E1770" s="21">
        <f>IF($N1770="","",SUMIFS(ShareAmt,ShareLink,$C1770))</f>
        <v/>
      </c>
      <c r="F1770" s="34">
        <f>IF($N1770="","",COUNTIF(ShareLink,$C1770))</f>
        <v/>
      </c>
      <c r="G1770" s="22">
        <f>IF($N1770="","",IF(ROUND($E1770-$D1770,0)=0,"√","▲ "&amp;TEXT($D1770-$E1770,"#,##0")))</f>
        <v/>
      </c>
      <c r="N1770">
        <f>IFERROR(MATCH($C$5&amp;"|"&amp;RIGHT("000000"&amp;1754,6),LdAKeyG,0),"")</f>
        <v/>
      </c>
    </row>
    <row r="1771">
      <c r="A1771" s="10" t="n">
        <v>1755</v>
      </c>
      <c r="B1771" s="14">
        <f>IF($N1771="","",INDEX(LdADate,$N1771))</f>
        <v/>
      </c>
      <c r="C1771" s="14">
        <f>IF($N1771="","",IF(INDEX(LdAId,$N1771)="","—",INDEX(LdAId,$N1771)))</f>
        <v/>
      </c>
      <c r="D1771" s="16">
        <f>IF($N1771="","",IF(INDEX(LdAAmt,$N1771)=0,"",INDEX(LdAAmt,$N1771)))</f>
        <v/>
      </c>
      <c r="E1771" s="16">
        <f>IF($N1771="","",SUMIFS(ShareAmt,ShareLink,$C1771))</f>
        <v/>
      </c>
      <c r="F1771" s="33">
        <f>IF($N1771="","",COUNTIF(ShareLink,$C1771))</f>
        <v/>
      </c>
      <c r="G1771" s="17">
        <f>IF($N1771="","",IF(ROUND($E1771-$D1771,0)=0,"√","▲ "&amp;TEXT($D1771-$E1771,"#,##0")))</f>
        <v/>
      </c>
      <c r="N1771">
        <f>IFERROR(MATCH($C$5&amp;"|"&amp;RIGHT("000000"&amp;1755,6),LdAKeyG,0),"")</f>
        <v/>
      </c>
    </row>
    <row r="1772">
      <c r="A1772" s="19" t="n">
        <v>1756</v>
      </c>
      <c r="B1772" s="20">
        <f>IF($N1772="","",INDEX(LdADate,$N1772))</f>
        <v/>
      </c>
      <c r="C1772" s="20">
        <f>IF($N1772="","",IF(INDEX(LdAId,$N1772)="","—",INDEX(LdAId,$N1772)))</f>
        <v/>
      </c>
      <c r="D1772" s="21">
        <f>IF($N1772="","",IF(INDEX(LdAAmt,$N1772)=0,"",INDEX(LdAAmt,$N1772)))</f>
        <v/>
      </c>
      <c r="E1772" s="21">
        <f>IF($N1772="","",SUMIFS(ShareAmt,ShareLink,$C1772))</f>
        <v/>
      </c>
      <c r="F1772" s="34">
        <f>IF($N1772="","",COUNTIF(ShareLink,$C1772))</f>
        <v/>
      </c>
      <c r="G1772" s="22">
        <f>IF($N1772="","",IF(ROUND($E1772-$D1772,0)=0,"√","▲ "&amp;TEXT($D1772-$E1772,"#,##0")))</f>
        <v/>
      </c>
      <c r="N1772">
        <f>IFERROR(MATCH($C$5&amp;"|"&amp;RIGHT("000000"&amp;1756,6),LdAKeyG,0),"")</f>
        <v/>
      </c>
    </row>
    <row r="1773">
      <c r="A1773" s="10" t="n">
        <v>1757</v>
      </c>
      <c r="B1773" s="14">
        <f>IF($N1773="","",INDEX(LdADate,$N1773))</f>
        <v/>
      </c>
      <c r="C1773" s="14">
        <f>IF($N1773="","",IF(INDEX(LdAId,$N1773)="","—",INDEX(LdAId,$N1773)))</f>
        <v/>
      </c>
      <c r="D1773" s="16">
        <f>IF($N1773="","",IF(INDEX(LdAAmt,$N1773)=0,"",INDEX(LdAAmt,$N1773)))</f>
        <v/>
      </c>
      <c r="E1773" s="16">
        <f>IF($N1773="","",SUMIFS(ShareAmt,ShareLink,$C1773))</f>
        <v/>
      </c>
      <c r="F1773" s="33">
        <f>IF($N1773="","",COUNTIF(ShareLink,$C1773))</f>
        <v/>
      </c>
      <c r="G1773" s="17">
        <f>IF($N1773="","",IF(ROUND($E1773-$D1773,0)=0,"√","▲ "&amp;TEXT($D1773-$E1773,"#,##0")))</f>
        <v/>
      </c>
      <c r="N1773">
        <f>IFERROR(MATCH($C$5&amp;"|"&amp;RIGHT("000000"&amp;1757,6),LdAKeyG,0),"")</f>
        <v/>
      </c>
    </row>
    <row r="1774">
      <c r="A1774" s="19" t="n">
        <v>1758</v>
      </c>
      <c r="B1774" s="20">
        <f>IF($N1774="","",INDEX(LdADate,$N1774))</f>
        <v/>
      </c>
      <c r="C1774" s="20">
        <f>IF($N1774="","",IF(INDEX(LdAId,$N1774)="","—",INDEX(LdAId,$N1774)))</f>
        <v/>
      </c>
      <c r="D1774" s="21">
        <f>IF($N1774="","",IF(INDEX(LdAAmt,$N1774)=0,"",INDEX(LdAAmt,$N1774)))</f>
        <v/>
      </c>
      <c r="E1774" s="21">
        <f>IF($N1774="","",SUMIFS(ShareAmt,ShareLink,$C1774))</f>
        <v/>
      </c>
      <c r="F1774" s="34">
        <f>IF($N1774="","",COUNTIF(ShareLink,$C1774))</f>
        <v/>
      </c>
      <c r="G1774" s="22">
        <f>IF($N1774="","",IF(ROUND($E1774-$D1774,0)=0,"√","▲ "&amp;TEXT($D1774-$E1774,"#,##0")))</f>
        <v/>
      </c>
      <c r="N1774">
        <f>IFERROR(MATCH($C$5&amp;"|"&amp;RIGHT("000000"&amp;1758,6),LdAKeyG,0),"")</f>
        <v/>
      </c>
    </row>
    <row r="1775">
      <c r="A1775" s="10" t="n">
        <v>1759</v>
      </c>
      <c r="B1775" s="14">
        <f>IF($N1775="","",INDEX(LdADate,$N1775))</f>
        <v/>
      </c>
      <c r="C1775" s="14">
        <f>IF($N1775="","",IF(INDEX(LdAId,$N1775)="","—",INDEX(LdAId,$N1775)))</f>
        <v/>
      </c>
      <c r="D1775" s="16">
        <f>IF($N1775="","",IF(INDEX(LdAAmt,$N1775)=0,"",INDEX(LdAAmt,$N1775)))</f>
        <v/>
      </c>
      <c r="E1775" s="16">
        <f>IF($N1775="","",SUMIFS(ShareAmt,ShareLink,$C1775))</f>
        <v/>
      </c>
      <c r="F1775" s="33">
        <f>IF($N1775="","",COUNTIF(ShareLink,$C1775))</f>
        <v/>
      </c>
      <c r="G1775" s="17">
        <f>IF($N1775="","",IF(ROUND($E1775-$D1775,0)=0,"√","▲ "&amp;TEXT($D1775-$E1775,"#,##0")))</f>
        <v/>
      </c>
      <c r="N1775">
        <f>IFERROR(MATCH($C$5&amp;"|"&amp;RIGHT("000000"&amp;1759,6),LdAKeyG,0),"")</f>
        <v/>
      </c>
    </row>
    <row r="1776">
      <c r="A1776" s="19" t="n">
        <v>1760</v>
      </c>
      <c r="B1776" s="20">
        <f>IF($N1776="","",INDEX(LdADate,$N1776))</f>
        <v/>
      </c>
      <c r="C1776" s="20">
        <f>IF($N1776="","",IF(INDEX(LdAId,$N1776)="","—",INDEX(LdAId,$N1776)))</f>
        <v/>
      </c>
      <c r="D1776" s="21">
        <f>IF($N1776="","",IF(INDEX(LdAAmt,$N1776)=0,"",INDEX(LdAAmt,$N1776)))</f>
        <v/>
      </c>
      <c r="E1776" s="21">
        <f>IF($N1776="","",SUMIFS(ShareAmt,ShareLink,$C1776))</f>
        <v/>
      </c>
      <c r="F1776" s="34">
        <f>IF($N1776="","",COUNTIF(ShareLink,$C1776))</f>
        <v/>
      </c>
      <c r="G1776" s="22">
        <f>IF($N1776="","",IF(ROUND($E1776-$D1776,0)=0,"√","▲ "&amp;TEXT($D1776-$E1776,"#,##0")))</f>
        <v/>
      </c>
      <c r="N1776">
        <f>IFERROR(MATCH($C$5&amp;"|"&amp;RIGHT("000000"&amp;1760,6),LdAKeyG,0),"")</f>
        <v/>
      </c>
    </row>
    <row r="1777">
      <c r="A1777" s="10" t="n">
        <v>1761</v>
      </c>
      <c r="B1777" s="14">
        <f>IF($N1777="","",INDEX(LdADate,$N1777))</f>
        <v/>
      </c>
      <c r="C1777" s="14">
        <f>IF($N1777="","",IF(INDEX(LdAId,$N1777)="","—",INDEX(LdAId,$N1777)))</f>
        <v/>
      </c>
      <c r="D1777" s="16">
        <f>IF($N1777="","",IF(INDEX(LdAAmt,$N1777)=0,"",INDEX(LdAAmt,$N1777)))</f>
        <v/>
      </c>
      <c r="E1777" s="16">
        <f>IF($N1777="","",SUMIFS(ShareAmt,ShareLink,$C1777))</f>
        <v/>
      </c>
      <c r="F1777" s="33">
        <f>IF($N1777="","",COUNTIF(ShareLink,$C1777))</f>
        <v/>
      </c>
      <c r="G1777" s="17">
        <f>IF($N1777="","",IF(ROUND($E1777-$D1777,0)=0,"√","▲ "&amp;TEXT($D1777-$E1777,"#,##0")))</f>
        <v/>
      </c>
      <c r="N1777">
        <f>IFERROR(MATCH($C$5&amp;"|"&amp;RIGHT("000000"&amp;1761,6),LdAKeyG,0),"")</f>
        <v/>
      </c>
    </row>
    <row r="1778">
      <c r="A1778" s="19" t="n">
        <v>1762</v>
      </c>
      <c r="B1778" s="20">
        <f>IF($N1778="","",INDEX(LdADate,$N1778))</f>
        <v/>
      </c>
      <c r="C1778" s="20">
        <f>IF($N1778="","",IF(INDEX(LdAId,$N1778)="","—",INDEX(LdAId,$N1778)))</f>
        <v/>
      </c>
      <c r="D1778" s="21">
        <f>IF($N1778="","",IF(INDEX(LdAAmt,$N1778)=0,"",INDEX(LdAAmt,$N1778)))</f>
        <v/>
      </c>
      <c r="E1778" s="21">
        <f>IF($N1778="","",SUMIFS(ShareAmt,ShareLink,$C1778))</f>
        <v/>
      </c>
      <c r="F1778" s="34">
        <f>IF($N1778="","",COUNTIF(ShareLink,$C1778))</f>
        <v/>
      </c>
      <c r="G1778" s="22">
        <f>IF($N1778="","",IF(ROUND($E1778-$D1778,0)=0,"√","▲ "&amp;TEXT($D1778-$E1778,"#,##0")))</f>
        <v/>
      </c>
      <c r="N1778">
        <f>IFERROR(MATCH($C$5&amp;"|"&amp;RIGHT("000000"&amp;1762,6),LdAKeyG,0),"")</f>
        <v/>
      </c>
    </row>
    <row r="1779">
      <c r="A1779" s="10" t="n">
        <v>1763</v>
      </c>
      <c r="B1779" s="14">
        <f>IF($N1779="","",INDEX(LdADate,$N1779))</f>
        <v/>
      </c>
      <c r="C1779" s="14">
        <f>IF($N1779="","",IF(INDEX(LdAId,$N1779)="","—",INDEX(LdAId,$N1779)))</f>
        <v/>
      </c>
      <c r="D1779" s="16">
        <f>IF($N1779="","",IF(INDEX(LdAAmt,$N1779)=0,"",INDEX(LdAAmt,$N1779)))</f>
        <v/>
      </c>
      <c r="E1779" s="16">
        <f>IF($N1779="","",SUMIFS(ShareAmt,ShareLink,$C1779))</f>
        <v/>
      </c>
      <c r="F1779" s="33">
        <f>IF($N1779="","",COUNTIF(ShareLink,$C1779))</f>
        <v/>
      </c>
      <c r="G1779" s="17">
        <f>IF($N1779="","",IF(ROUND($E1779-$D1779,0)=0,"√","▲ "&amp;TEXT($D1779-$E1779,"#,##0")))</f>
        <v/>
      </c>
      <c r="N1779">
        <f>IFERROR(MATCH($C$5&amp;"|"&amp;RIGHT("000000"&amp;1763,6),LdAKeyG,0),"")</f>
        <v/>
      </c>
    </row>
    <row r="1780">
      <c r="A1780" s="19" t="n">
        <v>1764</v>
      </c>
      <c r="B1780" s="20">
        <f>IF($N1780="","",INDEX(LdADate,$N1780))</f>
        <v/>
      </c>
      <c r="C1780" s="20">
        <f>IF($N1780="","",IF(INDEX(LdAId,$N1780)="","—",INDEX(LdAId,$N1780)))</f>
        <v/>
      </c>
      <c r="D1780" s="21">
        <f>IF($N1780="","",IF(INDEX(LdAAmt,$N1780)=0,"",INDEX(LdAAmt,$N1780)))</f>
        <v/>
      </c>
      <c r="E1780" s="21">
        <f>IF($N1780="","",SUMIFS(ShareAmt,ShareLink,$C1780))</f>
        <v/>
      </c>
      <c r="F1780" s="34">
        <f>IF($N1780="","",COUNTIF(ShareLink,$C1780))</f>
        <v/>
      </c>
      <c r="G1780" s="22">
        <f>IF($N1780="","",IF(ROUND($E1780-$D1780,0)=0,"√","▲ "&amp;TEXT($D1780-$E1780,"#,##0")))</f>
        <v/>
      </c>
      <c r="N1780">
        <f>IFERROR(MATCH($C$5&amp;"|"&amp;RIGHT("000000"&amp;1764,6),LdAKeyG,0),"")</f>
        <v/>
      </c>
    </row>
    <row r="1781">
      <c r="A1781" s="10" t="n">
        <v>1765</v>
      </c>
      <c r="B1781" s="14">
        <f>IF($N1781="","",INDEX(LdADate,$N1781))</f>
        <v/>
      </c>
      <c r="C1781" s="14">
        <f>IF($N1781="","",IF(INDEX(LdAId,$N1781)="","—",INDEX(LdAId,$N1781)))</f>
        <v/>
      </c>
      <c r="D1781" s="16">
        <f>IF($N1781="","",IF(INDEX(LdAAmt,$N1781)=0,"",INDEX(LdAAmt,$N1781)))</f>
        <v/>
      </c>
      <c r="E1781" s="16">
        <f>IF($N1781="","",SUMIFS(ShareAmt,ShareLink,$C1781))</f>
        <v/>
      </c>
      <c r="F1781" s="33">
        <f>IF($N1781="","",COUNTIF(ShareLink,$C1781))</f>
        <v/>
      </c>
      <c r="G1781" s="17">
        <f>IF($N1781="","",IF(ROUND($E1781-$D1781,0)=0,"√","▲ "&amp;TEXT($D1781-$E1781,"#,##0")))</f>
        <v/>
      </c>
      <c r="N1781">
        <f>IFERROR(MATCH($C$5&amp;"|"&amp;RIGHT("000000"&amp;1765,6),LdAKeyG,0),"")</f>
        <v/>
      </c>
    </row>
    <row r="1782">
      <c r="A1782" s="19" t="n">
        <v>1766</v>
      </c>
      <c r="B1782" s="20">
        <f>IF($N1782="","",INDEX(LdADate,$N1782))</f>
        <v/>
      </c>
      <c r="C1782" s="20">
        <f>IF($N1782="","",IF(INDEX(LdAId,$N1782)="","—",INDEX(LdAId,$N1782)))</f>
        <v/>
      </c>
      <c r="D1782" s="21">
        <f>IF($N1782="","",IF(INDEX(LdAAmt,$N1782)=0,"",INDEX(LdAAmt,$N1782)))</f>
        <v/>
      </c>
      <c r="E1782" s="21">
        <f>IF($N1782="","",SUMIFS(ShareAmt,ShareLink,$C1782))</f>
        <v/>
      </c>
      <c r="F1782" s="34">
        <f>IF($N1782="","",COUNTIF(ShareLink,$C1782))</f>
        <v/>
      </c>
      <c r="G1782" s="22">
        <f>IF($N1782="","",IF(ROUND($E1782-$D1782,0)=0,"√","▲ "&amp;TEXT($D1782-$E1782,"#,##0")))</f>
        <v/>
      </c>
      <c r="N1782">
        <f>IFERROR(MATCH($C$5&amp;"|"&amp;RIGHT("000000"&amp;1766,6),LdAKeyG,0),"")</f>
        <v/>
      </c>
    </row>
    <row r="1783">
      <c r="A1783" s="10" t="n">
        <v>1767</v>
      </c>
      <c r="B1783" s="14">
        <f>IF($N1783="","",INDEX(LdADate,$N1783))</f>
        <v/>
      </c>
      <c r="C1783" s="14">
        <f>IF($N1783="","",IF(INDEX(LdAId,$N1783)="","—",INDEX(LdAId,$N1783)))</f>
        <v/>
      </c>
      <c r="D1783" s="16">
        <f>IF($N1783="","",IF(INDEX(LdAAmt,$N1783)=0,"",INDEX(LdAAmt,$N1783)))</f>
        <v/>
      </c>
      <c r="E1783" s="16">
        <f>IF($N1783="","",SUMIFS(ShareAmt,ShareLink,$C1783))</f>
        <v/>
      </c>
      <c r="F1783" s="33">
        <f>IF($N1783="","",COUNTIF(ShareLink,$C1783))</f>
        <v/>
      </c>
      <c r="G1783" s="17">
        <f>IF($N1783="","",IF(ROUND($E1783-$D1783,0)=0,"√","▲ "&amp;TEXT($D1783-$E1783,"#,##0")))</f>
        <v/>
      </c>
      <c r="N1783">
        <f>IFERROR(MATCH($C$5&amp;"|"&amp;RIGHT("000000"&amp;1767,6),LdAKeyG,0),"")</f>
        <v/>
      </c>
    </row>
    <row r="1784">
      <c r="A1784" s="19" t="n">
        <v>1768</v>
      </c>
      <c r="B1784" s="20">
        <f>IF($N1784="","",INDEX(LdADate,$N1784))</f>
        <v/>
      </c>
      <c r="C1784" s="20">
        <f>IF($N1784="","",IF(INDEX(LdAId,$N1784)="","—",INDEX(LdAId,$N1784)))</f>
        <v/>
      </c>
      <c r="D1784" s="21">
        <f>IF($N1784="","",IF(INDEX(LdAAmt,$N1784)=0,"",INDEX(LdAAmt,$N1784)))</f>
        <v/>
      </c>
      <c r="E1784" s="21">
        <f>IF($N1784="","",SUMIFS(ShareAmt,ShareLink,$C1784))</f>
        <v/>
      </c>
      <c r="F1784" s="34">
        <f>IF($N1784="","",COUNTIF(ShareLink,$C1784))</f>
        <v/>
      </c>
      <c r="G1784" s="22">
        <f>IF($N1784="","",IF(ROUND($E1784-$D1784,0)=0,"√","▲ "&amp;TEXT($D1784-$E1784,"#,##0")))</f>
        <v/>
      </c>
      <c r="N1784">
        <f>IFERROR(MATCH($C$5&amp;"|"&amp;RIGHT("000000"&amp;1768,6),LdAKeyG,0),"")</f>
        <v/>
      </c>
    </row>
    <row r="1785">
      <c r="A1785" s="10" t="n">
        <v>1769</v>
      </c>
      <c r="B1785" s="14">
        <f>IF($N1785="","",INDEX(LdADate,$N1785))</f>
        <v/>
      </c>
      <c r="C1785" s="14">
        <f>IF($N1785="","",IF(INDEX(LdAId,$N1785)="","—",INDEX(LdAId,$N1785)))</f>
        <v/>
      </c>
      <c r="D1785" s="16">
        <f>IF($N1785="","",IF(INDEX(LdAAmt,$N1785)=0,"",INDEX(LdAAmt,$N1785)))</f>
        <v/>
      </c>
      <c r="E1785" s="16">
        <f>IF($N1785="","",SUMIFS(ShareAmt,ShareLink,$C1785))</f>
        <v/>
      </c>
      <c r="F1785" s="33">
        <f>IF($N1785="","",COUNTIF(ShareLink,$C1785))</f>
        <v/>
      </c>
      <c r="G1785" s="17">
        <f>IF($N1785="","",IF(ROUND($E1785-$D1785,0)=0,"√","▲ "&amp;TEXT($D1785-$E1785,"#,##0")))</f>
        <v/>
      </c>
      <c r="N1785">
        <f>IFERROR(MATCH($C$5&amp;"|"&amp;RIGHT("000000"&amp;1769,6),LdAKeyG,0),"")</f>
        <v/>
      </c>
    </row>
    <row r="1786">
      <c r="A1786" s="19" t="n">
        <v>1770</v>
      </c>
      <c r="B1786" s="20">
        <f>IF($N1786="","",INDEX(LdADate,$N1786))</f>
        <v/>
      </c>
      <c r="C1786" s="20">
        <f>IF($N1786="","",IF(INDEX(LdAId,$N1786)="","—",INDEX(LdAId,$N1786)))</f>
        <v/>
      </c>
      <c r="D1786" s="21">
        <f>IF($N1786="","",IF(INDEX(LdAAmt,$N1786)=0,"",INDEX(LdAAmt,$N1786)))</f>
        <v/>
      </c>
      <c r="E1786" s="21">
        <f>IF($N1786="","",SUMIFS(ShareAmt,ShareLink,$C1786))</f>
        <v/>
      </c>
      <c r="F1786" s="34">
        <f>IF($N1786="","",COUNTIF(ShareLink,$C1786))</f>
        <v/>
      </c>
      <c r="G1786" s="22">
        <f>IF($N1786="","",IF(ROUND($E1786-$D1786,0)=0,"√","▲ "&amp;TEXT($D1786-$E1786,"#,##0")))</f>
        <v/>
      </c>
      <c r="N1786">
        <f>IFERROR(MATCH($C$5&amp;"|"&amp;RIGHT("000000"&amp;1770,6),LdAKeyG,0),"")</f>
        <v/>
      </c>
    </row>
    <row r="1787">
      <c r="A1787" s="10" t="n">
        <v>1771</v>
      </c>
      <c r="B1787" s="14">
        <f>IF($N1787="","",INDEX(LdADate,$N1787))</f>
        <v/>
      </c>
      <c r="C1787" s="14">
        <f>IF($N1787="","",IF(INDEX(LdAId,$N1787)="","—",INDEX(LdAId,$N1787)))</f>
        <v/>
      </c>
      <c r="D1787" s="16">
        <f>IF($N1787="","",IF(INDEX(LdAAmt,$N1787)=0,"",INDEX(LdAAmt,$N1787)))</f>
        <v/>
      </c>
      <c r="E1787" s="16">
        <f>IF($N1787="","",SUMIFS(ShareAmt,ShareLink,$C1787))</f>
        <v/>
      </c>
      <c r="F1787" s="33">
        <f>IF($N1787="","",COUNTIF(ShareLink,$C1787))</f>
        <v/>
      </c>
      <c r="G1787" s="17">
        <f>IF($N1787="","",IF(ROUND($E1787-$D1787,0)=0,"√","▲ "&amp;TEXT($D1787-$E1787,"#,##0")))</f>
        <v/>
      </c>
      <c r="N1787">
        <f>IFERROR(MATCH($C$5&amp;"|"&amp;RIGHT("000000"&amp;1771,6),LdAKeyG,0),"")</f>
        <v/>
      </c>
    </row>
    <row r="1788">
      <c r="A1788" s="19" t="n">
        <v>1772</v>
      </c>
      <c r="B1788" s="20">
        <f>IF($N1788="","",INDEX(LdADate,$N1788))</f>
        <v/>
      </c>
      <c r="C1788" s="20">
        <f>IF($N1788="","",IF(INDEX(LdAId,$N1788)="","—",INDEX(LdAId,$N1788)))</f>
        <v/>
      </c>
      <c r="D1788" s="21">
        <f>IF($N1788="","",IF(INDEX(LdAAmt,$N1788)=0,"",INDEX(LdAAmt,$N1788)))</f>
        <v/>
      </c>
      <c r="E1788" s="21">
        <f>IF($N1788="","",SUMIFS(ShareAmt,ShareLink,$C1788))</f>
        <v/>
      </c>
      <c r="F1788" s="34">
        <f>IF($N1788="","",COUNTIF(ShareLink,$C1788))</f>
        <v/>
      </c>
      <c r="G1788" s="22">
        <f>IF($N1788="","",IF(ROUND($E1788-$D1788,0)=0,"√","▲ "&amp;TEXT($D1788-$E1788,"#,##0")))</f>
        <v/>
      </c>
      <c r="N1788">
        <f>IFERROR(MATCH($C$5&amp;"|"&amp;RIGHT("000000"&amp;1772,6),LdAKeyG,0),"")</f>
        <v/>
      </c>
    </row>
    <row r="1789">
      <c r="A1789" s="10" t="n">
        <v>1773</v>
      </c>
      <c r="B1789" s="14">
        <f>IF($N1789="","",INDEX(LdADate,$N1789))</f>
        <v/>
      </c>
      <c r="C1789" s="14">
        <f>IF($N1789="","",IF(INDEX(LdAId,$N1789)="","—",INDEX(LdAId,$N1789)))</f>
        <v/>
      </c>
      <c r="D1789" s="16">
        <f>IF($N1789="","",IF(INDEX(LdAAmt,$N1789)=0,"",INDEX(LdAAmt,$N1789)))</f>
        <v/>
      </c>
      <c r="E1789" s="16">
        <f>IF($N1789="","",SUMIFS(ShareAmt,ShareLink,$C1789))</f>
        <v/>
      </c>
      <c r="F1789" s="33">
        <f>IF($N1789="","",COUNTIF(ShareLink,$C1789))</f>
        <v/>
      </c>
      <c r="G1789" s="17">
        <f>IF($N1789="","",IF(ROUND($E1789-$D1789,0)=0,"√","▲ "&amp;TEXT($D1789-$E1789,"#,##0")))</f>
        <v/>
      </c>
      <c r="N1789">
        <f>IFERROR(MATCH($C$5&amp;"|"&amp;RIGHT("000000"&amp;1773,6),LdAKeyG,0),"")</f>
        <v/>
      </c>
    </row>
    <row r="1790">
      <c r="A1790" s="19" t="n">
        <v>1774</v>
      </c>
      <c r="B1790" s="20">
        <f>IF($N1790="","",INDEX(LdADate,$N1790))</f>
        <v/>
      </c>
      <c r="C1790" s="20">
        <f>IF($N1790="","",IF(INDEX(LdAId,$N1790)="","—",INDEX(LdAId,$N1790)))</f>
        <v/>
      </c>
      <c r="D1790" s="21">
        <f>IF($N1790="","",IF(INDEX(LdAAmt,$N1790)=0,"",INDEX(LdAAmt,$N1790)))</f>
        <v/>
      </c>
      <c r="E1790" s="21">
        <f>IF($N1790="","",SUMIFS(ShareAmt,ShareLink,$C1790))</f>
        <v/>
      </c>
      <c r="F1790" s="34">
        <f>IF($N1790="","",COUNTIF(ShareLink,$C1790))</f>
        <v/>
      </c>
      <c r="G1790" s="22">
        <f>IF($N1790="","",IF(ROUND($E1790-$D1790,0)=0,"√","▲ "&amp;TEXT($D1790-$E1790,"#,##0")))</f>
        <v/>
      </c>
      <c r="N1790">
        <f>IFERROR(MATCH($C$5&amp;"|"&amp;RIGHT("000000"&amp;1774,6),LdAKeyG,0),"")</f>
        <v/>
      </c>
    </row>
    <row r="1791">
      <c r="A1791" s="10" t="n">
        <v>1775</v>
      </c>
      <c r="B1791" s="14">
        <f>IF($N1791="","",INDEX(LdADate,$N1791))</f>
        <v/>
      </c>
      <c r="C1791" s="14">
        <f>IF($N1791="","",IF(INDEX(LdAId,$N1791)="","—",INDEX(LdAId,$N1791)))</f>
        <v/>
      </c>
      <c r="D1791" s="16">
        <f>IF($N1791="","",IF(INDEX(LdAAmt,$N1791)=0,"",INDEX(LdAAmt,$N1791)))</f>
        <v/>
      </c>
      <c r="E1791" s="16">
        <f>IF($N1791="","",SUMIFS(ShareAmt,ShareLink,$C1791))</f>
        <v/>
      </c>
      <c r="F1791" s="33">
        <f>IF($N1791="","",COUNTIF(ShareLink,$C1791))</f>
        <v/>
      </c>
      <c r="G1791" s="17">
        <f>IF($N1791="","",IF(ROUND($E1791-$D1791,0)=0,"√","▲ "&amp;TEXT($D1791-$E1791,"#,##0")))</f>
        <v/>
      </c>
      <c r="N1791">
        <f>IFERROR(MATCH($C$5&amp;"|"&amp;RIGHT("000000"&amp;1775,6),LdAKeyG,0),"")</f>
        <v/>
      </c>
    </row>
    <row r="1792">
      <c r="A1792" s="19" t="n">
        <v>1776</v>
      </c>
      <c r="B1792" s="20">
        <f>IF($N1792="","",INDEX(LdADate,$N1792))</f>
        <v/>
      </c>
      <c r="C1792" s="20">
        <f>IF($N1792="","",IF(INDEX(LdAId,$N1792)="","—",INDEX(LdAId,$N1792)))</f>
        <v/>
      </c>
      <c r="D1792" s="21">
        <f>IF($N1792="","",IF(INDEX(LdAAmt,$N1792)=0,"",INDEX(LdAAmt,$N1792)))</f>
        <v/>
      </c>
      <c r="E1792" s="21">
        <f>IF($N1792="","",SUMIFS(ShareAmt,ShareLink,$C1792))</f>
        <v/>
      </c>
      <c r="F1792" s="34">
        <f>IF($N1792="","",COUNTIF(ShareLink,$C1792))</f>
        <v/>
      </c>
      <c r="G1792" s="22">
        <f>IF($N1792="","",IF(ROUND($E1792-$D1792,0)=0,"√","▲ "&amp;TEXT($D1792-$E1792,"#,##0")))</f>
        <v/>
      </c>
      <c r="N1792">
        <f>IFERROR(MATCH($C$5&amp;"|"&amp;RIGHT("000000"&amp;1776,6),LdAKeyG,0),"")</f>
        <v/>
      </c>
    </row>
    <row r="1793">
      <c r="A1793" s="10" t="n">
        <v>1777</v>
      </c>
      <c r="B1793" s="14">
        <f>IF($N1793="","",INDEX(LdADate,$N1793))</f>
        <v/>
      </c>
      <c r="C1793" s="14">
        <f>IF($N1793="","",IF(INDEX(LdAId,$N1793)="","—",INDEX(LdAId,$N1793)))</f>
        <v/>
      </c>
      <c r="D1793" s="16">
        <f>IF($N1793="","",IF(INDEX(LdAAmt,$N1793)=0,"",INDEX(LdAAmt,$N1793)))</f>
        <v/>
      </c>
      <c r="E1793" s="16">
        <f>IF($N1793="","",SUMIFS(ShareAmt,ShareLink,$C1793))</f>
        <v/>
      </c>
      <c r="F1793" s="33">
        <f>IF($N1793="","",COUNTIF(ShareLink,$C1793))</f>
        <v/>
      </c>
      <c r="G1793" s="17">
        <f>IF($N1793="","",IF(ROUND($E1793-$D1793,0)=0,"√","▲ "&amp;TEXT($D1793-$E1793,"#,##0")))</f>
        <v/>
      </c>
      <c r="N1793">
        <f>IFERROR(MATCH($C$5&amp;"|"&amp;RIGHT("000000"&amp;1777,6),LdAKeyG,0),"")</f>
        <v/>
      </c>
    </row>
    <row r="1794">
      <c r="A1794" s="19" t="n">
        <v>1778</v>
      </c>
      <c r="B1794" s="20">
        <f>IF($N1794="","",INDEX(LdADate,$N1794))</f>
        <v/>
      </c>
      <c r="C1794" s="20">
        <f>IF($N1794="","",IF(INDEX(LdAId,$N1794)="","—",INDEX(LdAId,$N1794)))</f>
        <v/>
      </c>
      <c r="D1794" s="21">
        <f>IF($N1794="","",IF(INDEX(LdAAmt,$N1794)=0,"",INDEX(LdAAmt,$N1794)))</f>
        <v/>
      </c>
      <c r="E1794" s="21">
        <f>IF($N1794="","",SUMIFS(ShareAmt,ShareLink,$C1794))</f>
        <v/>
      </c>
      <c r="F1794" s="34">
        <f>IF($N1794="","",COUNTIF(ShareLink,$C1794))</f>
        <v/>
      </c>
      <c r="G1794" s="22">
        <f>IF($N1794="","",IF(ROUND($E1794-$D1794,0)=0,"√","▲ "&amp;TEXT($D1794-$E1794,"#,##0")))</f>
        <v/>
      </c>
      <c r="N1794">
        <f>IFERROR(MATCH($C$5&amp;"|"&amp;RIGHT("000000"&amp;1778,6),LdAKeyG,0),"")</f>
        <v/>
      </c>
    </row>
    <row r="1795">
      <c r="A1795" s="10" t="n">
        <v>1779</v>
      </c>
      <c r="B1795" s="14">
        <f>IF($N1795="","",INDEX(LdADate,$N1795))</f>
        <v/>
      </c>
      <c r="C1795" s="14">
        <f>IF($N1795="","",IF(INDEX(LdAId,$N1795)="","—",INDEX(LdAId,$N1795)))</f>
        <v/>
      </c>
      <c r="D1795" s="16">
        <f>IF($N1795="","",IF(INDEX(LdAAmt,$N1795)=0,"",INDEX(LdAAmt,$N1795)))</f>
        <v/>
      </c>
      <c r="E1795" s="16">
        <f>IF($N1795="","",SUMIFS(ShareAmt,ShareLink,$C1795))</f>
        <v/>
      </c>
      <c r="F1795" s="33">
        <f>IF($N1795="","",COUNTIF(ShareLink,$C1795))</f>
        <v/>
      </c>
      <c r="G1795" s="17">
        <f>IF($N1795="","",IF(ROUND($E1795-$D1795,0)=0,"√","▲ "&amp;TEXT($D1795-$E1795,"#,##0")))</f>
        <v/>
      </c>
      <c r="N1795">
        <f>IFERROR(MATCH($C$5&amp;"|"&amp;RIGHT("000000"&amp;1779,6),LdAKeyG,0),"")</f>
        <v/>
      </c>
    </row>
    <row r="1796">
      <c r="A1796" s="19" t="n">
        <v>1780</v>
      </c>
      <c r="B1796" s="20">
        <f>IF($N1796="","",INDEX(LdADate,$N1796))</f>
        <v/>
      </c>
      <c r="C1796" s="20">
        <f>IF($N1796="","",IF(INDEX(LdAId,$N1796)="","—",INDEX(LdAId,$N1796)))</f>
        <v/>
      </c>
      <c r="D1796" s="21">
        <f>IF($N1796="","",IF(INDEX(LdAAmt,$N1796)=0,"",INDEX(LdAAmt,$N1796)))</f>
        <v/>
      </c>
      <c r="E1796" s="21">
        <f>IF($N1796="","",SUMIFS(ShareAmt,ShareLink,$C1796))</f>
        <v/>
      </c>
      <c r="F1796" s="34">
        <f>IF($N1796="","",COUNTIF(ShareLink,$C1796))</f>
        <v/>
      </c>
      <c r="G1796" s="22">
        <f>IF($N1796="","",IF(ROUND($E1796-$D1796,0)=0,"√","▲ "&amp;TEXT($D1796-$E1796,"#,##0")))</f>
        <v/>
      </c>
      <c r="N1796">
        <f>IFERROR(MATCH($C$5&amp;"|"&amp;RIGHT("000000"&amp;1780,6),LdAKeyG,0),"")</f>
        <v/>
      </c>
    </row>
    <row r="1797">
      <c r="A1797" s="10" t="n">
        <v>1781</v>
      </c>
      <c r="B1797" s="14">
        <f>IF($N1797="","",INDEX(LdADate,$N1797))</f>
        <v/>
      </c>
      <c r="C1797" s="14">
        <f>IF($N1797="","",IF(INDEX(LdAId,$N1797)="","—",INDEX(LdAId,$N1797)))</f>
        <v/>
      </c>
      <c r="D1797" s="16">
        <f>IF($N1797="","",IF(INDEX(LdAAmt,$N1797)=0,"",INDEX(LdAAmt,$N1797)))</f>
        <v/>
      </c>
      <c r="E1797" s="16">
        <f>IF($N1797="","",SUMIFS(ShareAmt,ShareLink,$C1797))</f>
        <v/>
      </c>
      <c r="F1797" s="33">
        <f>IF($N1797="","",COUNTIF(ShareLink,$C1797))</f>
        <v/>
      </c>
      <c r="G1797" s="17">
        <f>IF($N1797="","",IF(ROUND($E1797-$D1797,0)=0,"√","▲ "&amp;TEXT($D1797-$E1797,"#,##0")))</f>
        <v/>
      </c>
      <c r="N1797">
        <f>IFERROR(MATCH($C$5&amp;"|"&amp;RIGHT("000000"&amp;1781,6),LdAKeyG,0),"")</f>
        <v/>
      </c>
    </row>
    <row r="1798">
      <c r="A1798" s="19" t="n">
        <v>1782</v>
      </c>
      <c r="B1798" s="20">
        <f>IF($N1798="","",INDEX(LdADate,$N1798))</f>
        <v/>
      </c>
      <c r="C1798" s="20">
        <f>IF($N1798="","",IF(INDEX(LdAId,$N1798)="","—",INDEX(LdAId,$N1798)))</f>
        <v/>
      </c>
      <c r="D1798" s="21">
        <f>IF($N1798="","",IF(INDEX(LdAAmt,$N1798)=0,"",INDEX(LdAAmt,$N1798)))</f>
        <v/>
      </c>
      <c r="E1798" s="21">
        <f>IF($N1798="","",SUMIFS(ShareAmt,ShareLink,$C1798))</f>
        <v/>
      </c>
      <c r="F1798" s="34">
        <f>IF($N1798="","",COUNTIF(ShareLink,$C1798))</f>
        <v/>
      </c>
      <c r="G1798" s="22">
        <f>IF($N1798="","",IF(ROUND($E1798-$D1798,0)=0,"√","▲ "&amp;TEXT($D1798-$E1798,"#,##0")))</f>
        <v/>
      </c>
      <c r="N1798">
        <f>IFERROR(MATCH($C$5&amp;"|"&amp;RIGHT("000000"&amp;1782,6),LdAKeyG,0),"")</f>
        <v/>
      </c>
    </row>
    <row r="1799">
      <c r="A1799" s="10" t="n">
        <v>1783</v>
      </c>
      <c r="B1799" s="14">
        <f>IF($N1799="","",INDEX(LdADate,$N1799))</f>
        <v/>
      </c>
      <c r="C1799" s="14">
        <f>IF($N1799="","",IF(INDEX(LdAId,$N1799)="","—",INDEX(LdAId,$N1799)))</f>
        <v/>
      </c>
      <c r="D1799" s="16">
        <f>IF($N1799="","",IF(INDEX(LdAAmt,$N1799)=0,"",INDEX(LdAAmt,$N1799)))</f>
        <v/>
      </c>
      <c r="E1799" s="16">
        <f>IF($N1799="","",SUMIFS(ShareAmt,ShareLink,$C1799))</f>
        <v/>
      </c>
      <c r="F1799" s="33">
        <f>IF($N1799="","",COUNTIF(ShareLink,$C1799))</f>
        <v/>
      </c>
      <c r="G1799" s="17">
        <f>IF($N1799="","",IF(ROUND($E1799-$D1799,0)=0,"√","▲ "&amp;TEXT($D1799-$E1799,"#,##0")))</f>
        <v/>
      </c>
      <c r="N1799">
        <f>IFERROR(MATCH($C$5&amp;"|"&amp;RIGHT("000000"&amp;1783,6),LdAKeyG,0),"")</f>
        <v/>
      </c>
    </row>
    <row r="1800">
      <c r="A1800" s="19" t="n">
        <v>1784</v>
      </c>
      <c r="B1800" s="20">
        <f>IF($N1800="","",INDEX(LdADate,$N1800))</f>
        <v/>
      </c>
      <c r="C1800" s="20">
        <f>IF($N1800="","",IF(INDEX(LdAId,$N1800)="","—",INDEX(LdAId,$N1800)))</f>
        <v/>
      </c>
      <c r="D1800" s="21">
        <f>IF($N1800="","",IF(INDEX(LdAAmt,$N1800)=0,"",INDEX(LdAAmt,$N1800)))</f>
        <v/>
      </c>
      <c r="E1800" s="21">
        <f>IF($N1800="","",SUMIFS(ShareAmt,ShareLink,$C1800))</f>
        <v/>
      </c>
      <c r="F1800" s="34">
        <f>IF($N1800="","",COUNTIF(ShareLink,$C1800))</f>
        <v/>
      </c>
      <c r="G1800" s="22">
        <f>IF($N1800="","",IF(ROUND($E1800-$D1800,0)=0,"√","▲ "&amp;TEXT($D1800-$E1800,"#,##0")))</f>
        <v/>
      </c>
      <c r="N1800">
        <f>IFERROR(MATCH($C$5&amp;"|"&amp;RIGHT("000000"&amp;1784,6),LdAKeyG,0),"")</f>
        <v/>
      </c>
    </row>
    <row r="1801">
      <c r="A1801" s="10" t="n">
        <v>1785</v>
      </c>
      <c r="B1801" s="14">
        <f>IF($N1801="","",INDEX(LdADate,$N1801))</f>
        <v/>
      </c>
      <c r="C1801" s="14">
        <f>IF($N1801="","",IF(INDEX(LdAId,$N1801)="","—",INDEX(LdAId,$N1801)))</f>
        <v/>
      </c>
      <c r="D1801" s="16">
        <f>IF($N1801="","",IF(INDEX(LdAAmt,$N1801)=0,"",INDEX(LdAAmt,$N1801)))</f>
        <v/>
      </c>
      <c r="E1801" s="16">
        <f>IF($N1801="","",SUMIFS(ShareAmt,ShareLink,$C1801))</f>
        <v/>
      </c>
      <c r="F1801" s="33">
        <f>IF($N1801="","",COUNTIF(ShareLink,$C1801))</f>
        <v/>
      </c>
      <c r="G1801" s="17">
        <f>IF($N1801="","",IF(ROUND($E1801-$D1801,0)=0,"√","▲ "&amp;TEXT($D1801-$E1801,"#,##0")))</f>
        <v/>
      </c>
      <c r="N1801">
        <f>IFERROR(MATCH($C$5&amp;"|"&amp;RIGHT("000000"&amp;1785,6),LdAKeyG,0),"")</f>
        <v/>
      </c>
    </row>
    <row r="1802">
      <c r="A1802" s="19" t="n">
        <v>1786</v>
      </c>
      <c r="B1802" s="20">
        <f>IF($N1802="","",INDEX(LdADate,$N1802))</f>
        <v/>
      </c>
      <c r="C1802" s="20">
        <f>IF($N1802="","",IF(INDEX(LdAId,$N1802)="","—",INDEX(LdAId,$N1802)))</f>
        <v/>
      </c>
      <c r="D1802" s="21">
        <f>IF($N1802="","",IF(INDEX(LdAAmt,$N1802)=0,"",INDEX(LdAAmt,$N1802)))</f>
        <v/>
      </c>
      <c r="E1802" s="21">
        <f>IF($N1802="","",SUMIFS(ShareAmt,ShareLink,$C1802))</f>
        <v/>
      </c>
      <c r="F1802" s="34">
        <f>IF($N1802="","",COUNTIF(ShareLink,$C1802))</f>
        <v/>
      </c>
      <c r="G1802" s="22">
        <f>IF($N1802="","",IF(ROUND($E1802-$D1802,0)=0,"√","▲ "&amp;TEXT($D1802-$E1802,"#,##0")))</f>
        <v/>
      </c>
      <c r="N1802">
        <f>IFERROR(MATCH($C$5&amp;"|"&amp;RIGHT("000000"&amp;1786,6),LdAKeyG,0),"")</f>
        <v/>
      </c>
    </row>
    <row r="1803">
      <c r="A1803" s="10" t="n">
        <v>1787</v>
      </c>
      <c r="B1803" s="14">
        <f>IF($N1803="","",INDEX(LdADate,$N1803))</f>
        <v/>
      </c>
      <c r="C1803" s="14">
        <f>IF($N1803="","",IF(INDEX(LdAId,$N1803)="","—",INDEX(LdAId,$N1803)))</f>
        <v/>
      </c>
      <c r="D1803" s="16">
        <f>IF($N1803="","",IF(INDEX(LdAAmt,$N1803)=0,"",INDEX(LdAAmt,$N1803)))</f>
        <v/>
      </c>
      <c r="E1803" s="16">
        <f>IF($N1803="","",SUMIFS(ShareAmt,ShareLink,$C1803))</f>
        <v/>
      </c>
      <c r="F1803" s="33">
        <f>IF($N1803="","",COUNTIF(ShareLink,$C1803))</f>
        <v/>
      </c>
      <c r="G1803" s="17">
        <f>IF($N1803="","",IF(ROUND($E1803-$D1803,0)=0,"√","▲ "&amp;TEXT($D1803-$E1803,"#,##0")))</f>
        <v/>
      </c>
      <c r="N1803">
        <f>IFERROR(MATCH($C$5&amp;"|"&amp;RIGHT("000000"&amp;1787,6),LdAKeyG,0),"")</f>
        <v/>
      </c>
    </row>
    <row r="1804">
      <c r="A1804" s="19" t="n">
        <v>1788</v>
      </c>
      <c r="B1804" s="20">
        <f>IF($N1804="","",INDEX(LdADate,$N1804))</f>
        <v/>
      </c>
      <c r="C1804" s="20">
        <f>IF($N1804="","",IF(INDEX(LdAId,$N1804)="","—",INDEX(LdAId,$N1804)))</f>
        <v/>
      </c>
      <c r="D1804" s="21">
        <f>IF($N1804="","",IF(INDEX(LdAAmt,$N1804)=0,"",INDEX(LdAAmt,$N1804)))</f>
        <v/>
      </c>
      <c r="E1804" s="21">
        <f>IF($N1804="","",SUMIFS(ShareAmt,ShareLink,$C1804))</f>
        <v/>
      </c>
      <c r="F1804" s="34">
        <f>IF($N1804="","",COUNTIF(ShareLink,$C1804))</f>
        <v/>
      </c>
      <c r="G1804" s="22">
        <f>IF($N1804="","",IF(ROUND($E1804-$D1804,0)=0,"√","▲ "&amp;TEXT($D1804-$E1804,"#,##0")))</f>
        <v/>
      </c>
      <c r="N1804">
        <f>IFERROR(MATCH($C$5&amp;"|"&amp;RIGHT("000000"&amp;1788,6),LdAKeyG,0),"")</f>
        <v/>
      </c>
    </row>
    <row r="1805">
      <c r="A1805" s="10" t="n">
        <v>1789</v>
      </c>
      <c r="B1805" s="14">
        <f>IF($N1805="","",INDEX(LdADate,$N1805))</f>
        <v/>
      </c>
      <c r="C1805" s="14">
        <f>IF($N1805="","",IF(INDEX(LdAId,$N1805)="","—",INDEX(LdAId,$N1805)))</f>
        <v/>
      </c>
      <c r="D1805" s="16">
        <f>IF($N1805="","",IF(INDEX(LdAAmt,$N1805)=0,"",INDEX(LdAAmt,$N1805)))</f>
        <v/>
      </c>
      <c r="E1805" s="16">
        <f>IF($N1805="","",SUMIFS(ShareAmt,ShareLink,$C1805))</f>
        <v/>
      </c>
      <c r="F1805" s="33">
        <f>IF($N1805="","",COUNTIF(ShareLink,$C1805))</f>
        <v/>
      </c>
      <c r="G1805" s="17">
        <f>IF($N1805="","",IF(ROUND($E1805-$D1805,0)=0,"√","▲ "&amp;TEXT($D1805-$E1805,"#,##0")))</f>
        <v/>
      </c>
      <c r="N1805">
        <f>IFERROR(MATCH($C$5&amp;"|"&amp;RIGHT("000000"&amp;1789,6),LdAKeyG,0),"")</f>
        <v/>
      </c>
    </row>
    <row r="1806">
      <c r="A1806" s="19" t="n">
        <v>1790</v>
      </c>
      <c r="B1806" s="20">
        <f>IF($N1806="","",INDEX(LdADate,$N1806))</f>
        <v/>
      </c>
      <c r="C1806" s="20">
        <f>IF($N1806="","",IF(INDEX(LdAId,$N1806)="","—",INDEX(LdAId,$N1806)))</f>
        <v/>
      </c>
      <c r="D1806" s="21">
        <f>IF($N1806="","",IF(INDEX(LdAAmt,$N1806)=0,"",INDEX(LdAAmt,$N1806)))</f>
        <v/>
      </c>
      <c r="E1806" s="21">
        <f>IF($N1806="","",SUMIFS(ShareAmt,ShareLink,$C1806))</f>
        <v/>
      </c>
      <c r="F1806" s="34">
        <f>IF($N1806="","",COUNTIF(ShareLink,$C1806))</f>
        <v/>
      </c>
      <c r="G1806" s="22">
        <f>IF($N1806="","",IF(ROUND($E1806-$D1806,0)=0,"√","▲ "&amp;TEXT($D1806-$E1806,"#,##0")))</f>
        <v/>
      </c>
      <c r="N1806">
        <f>IFERROR(MATCH($C$5&amp;"|"&amp;RIGHT("000000"&amp;1790,6),LdAKeyG,0),"")</f>
        <v/>
      </c>
    </row>
    <row r="1807">
      <c r="A1807" s="10" t="n">
        <v>1791</v>
      </c>
      <c r="B1807" s="14">
        <f>IF($N1807="","",INDEX(LdADate,$N1807))</f>
        <v/>
      </c>
      <c r="C1807" s="14">
        <f>IF($N1807="","",IF(INDEX(LdAId,$N1807)="","—",INDEX(LdAId,$N1807)))</f>
        <v/>
      </c>
      <c r="D1807" s="16">
        <f>IF($N1807="","",IF(INDEX(LdAAmt,$N1807)=0,"",INDEX(LdAAmt,$N1807)))</f>
        <v/>
      </c>
      <c r="E1807" s="16">
        <f>IF($N1807="","",SUMIFS(ShareAmt,ShareLink,$C1807))</f>
        <v/>
      </c>
      <c r="F1807" s="33">
        <f>IF($N1807="","",COUNTIF(ShareLink,$C1807))</f>
        <v/>
      </c>
      <c r="G1807" s="17">
        <f>IF($N1807="","",IF(ROUND($E1807-$D1807,0)=0,"√","▲ "&amp;TEXT($D1807-$E1807,"#,##0")))</f>
        <v/>
      </c>
      <c r="N1807">
        <f>IFERROR(MATCH($C$5&amp;"|"&amp;RIGHT("000000"&amp;1791,6),LdAKeyG,0),"")</f>
        <v/>
      </c>
    </row>
    <row r="1808">
      <c r="A1808" s="19" t="n">
        <v>1792</v>
      </c>
      <c r="B1808" s="20">
        <f>IF($N1808="","",INDEX(LdADate,$N1808))</f>
        <v/>
      </c>
      <c r="C1808" s="20">
        <f>IF($N1808="","",IF(INDEX(LdAId,$N1808)="","—",INDEX(LdAId,$N1808)))</f>
        <v/>
      </c>
      <c r="D1808" s="21">
        <f>IF($N1808="","",IF(INDEX(LdAAmt,$N1808)=0,"",INDEX(LdAAmt,$N1808)))</f>
        <v/>
      </c>
      <c r="E1808" s="21">
        <f>IF($N1808="","",SUMIFS(ShareAmt,ShareLink,$C1808))</f>
        <v/>
      </c>
      <c r="F1808" s="34">
        <f>IF($N1808="","",COUNTIF(ShareLink,$C1808))</f>
        <v/>
      </c>
      <c r="G1808" s="22">
        <f>IF($N1808="","",IF(ROUND($E1808-$D1808,0)=0,"√","▲ "&amp;TEXT($D1808-$E1808,"#,##0")))</f>
        <v/>
      </c>
      <c r="N1808">
        <f>IFERROR(MATCH($C$5&amp;"|"&amp;RIGHT("000000"&amp;1792,6),LdAKeyG,0),"")</f>
        <v/>
      </c>
    </row>
    <row r="1809">
      <c r="A1809" s="10" t="n">
        <v>1793</v>
      </c>
      <c r="B1809" s="14">
        <f>IF($N1809="","",INDEX(LdADate,$N1809))</f>
        <v/>
      </c>
      <c r="C1809" s="14">
        <f>IF($N1809="","",IF(INDEX(LdAId,$N1809)="","—",INDEX(LdAId,$N1809)))</f>
        <v/>
      </c>
      <c r="D1809" s="16">
        <f>IF($N1809="","",IF(INDEX(LdAAmt,$N1809)=0,"",INDEX(LdAAmt,$N1809)))</f>
        <v/>
      </c>
      <c r="E1809" s="16">
        <f>IF($N1809="","",SUMIFS(ShareAmt,ShareLink,$C1809))</f>
        <v/>
      </c>
      <c r="F1809" s="33">
        <f>IF($N1809="","",COUNTIF(ShareLink,$C1809))</f>
        <v/>
      </c>
      <c r="G1809" s="17">
        <f>IF($N1809="","",IF(ROUND($E1809-$D1809,0)=0,"√","▲ "&amp;TEXT($D1809-$E1809,"#,##0")))</f>
        <v/>
      </c>
      <c r="N1809">
        <f>IFERROR(MATCH($C$5&amp;"|"&amp;RIGHT("000000"&amp;1793,6),LdAKeyG,0),"")</f>
        <v/>
      </c>
    </row>
    <row r="1810">
      <c r="A1810" s="19" t="n">
        <v>1794</v>
      </c>
      <c r="B1810" s="20">
        <f>IF($N1810="","",INDEX(LdADate,$N1810))</f>
        <v/>
      </c>
      <c r="C1810" s="20">
        <f>IF($N1810="","",IF(INDEX(LdAId,$N1810)="","—",INDEX(LdAId,$N1810)))</f>
        <v/>
      </c>
      <c r="D1810" s="21">
        <f>IF($N1810="","",IF(INDEX(LdAAmt,$N1810)=0,"",INDEX(LdAAmt,$N1810)))</f>
        <v/>
      </c>
      <c r="E1810" s="21">
        <f>IF($N1810="","",SUMIFS(ShareAmt,ShareLink,$C1810))</f>
        <v/>
      </c>
      <c r="F1810" s="34">
        <f>IF($N1810="","",COUNTIF(ShareLink,$C1810))</f>
        <v/>
      </c>
      <c r="G1810" s="22">
        <f>IF($N1810="","",IF(ROUND($E1810-$D1810,0)=0,"√","▲ "&amp;TEXT($D1810-$E1810,"#,##0")))</f>
        <v/>
      </c>
      <c r="N1810">
        <f>IFERROR(MATCH($C$5&amp;"|"&amp;RIGHT("000000"&amp;1794,6),LdAKeyG,0),"")</f>
        <v/>
      </c>
    </row>
    <row r="1811">
      <c r="A1811" s="10" t="n">
        <v>1795</v>
      </c>
      <c r="B1811" s="14">
        <f>IF($N1811="","",INDEX(LdADate,$N1811))</f>
        <v/>
      </c>
      <c r="C1811" s="14">
        <f>IF($N1811="","",IF(INDEX(LdAId,$N1811)="","—",INDEX(LdAId,$N1811)))</f>
        <v/>
      </c>
      <c r="D1811" s="16">
        <f>IF($N1811="","",IF(INDEX(LdAAmt,$N1811)=0,"",INDEX(LdAAmt,$N1811)))</f>
        <v/>
      </c>
      <c r="E1811" s="16">
        <f>IF($N1811="","",SUMIFS(ShareAmt,ShareLink,$C1811))</f>
        <v/>
      </c>
      <c r="F1811" s="33">
        <f>IF($N1811="","",COUNTIF(ShareLink,$C1811))</f>
        <v/>
      </c>
      <c r="G1811" s="17">
        <f>IF($N1811="","",IF(ROUND($E1811-$D1811,0)=0,"√","▲ "&amp;TEXT($D1811-$E1811,"#,##0")))</f>
        <v/>
      </c>
      <c r="N1811">
        <f>IFERROR(MATCH($C$5&amp;"|"&amp;RIGHT("000000"&amp;1795,6),LdAKeyG,0),"")</f>
        <v/>
      </c>
    </row>
    <row r="1812">
      <c r="A1812" s="19" t="n">
        <v>1796</v>
      </c>
      <c r="B1812" s="20">
        <f>IF($N1812="","",INDEX(LdADate,$N1812))</f>
        <v/>
      </c>
      <c r="C1812" s="20">
        <f>IF($N1812="","",IF(INDEX(LdAId,$N1812)="","—",INDEX(LdAId,$N1812)))</f>
        <v/>
      </c>
      <c r="D1812" s="21">
        <f>IF($N1812="","",IF(INDEX(LdAAmt,$N1812)=0,"",INDEX(LdAAmt,$N1812)))</f>
        <v/>
      </c>
      <c r="E1812" s="21">
        <f>IF($N1812="","",SUMIFS(ShareAmt,ShareLink,$C1812))</f>
        <v/>
      </c>
      <c r="F1812" s="34">
        <f>IF($N1812="","",COUNTIF(ShareLink,$C1812))</f>
        <v/>
      </c>
      <c r="G1812" s="22">
        <f>IF($N1812="","",IF(ROUND($E1812-$D1812,0)=0,"√","▲ "&amp;TEXT($D1812-$E1812,"#,##0")))</f>
        <v/>
      </c>
      <c r="N1812">
        <f>IFERROR(MATCH($C$5&amp;"|"&amp;RIGHT("000000"&amp;1796,6),LdAKeyG,0),"")</f>
        <v/>
      </c>
    </row>
    <row r="1813">
      <c r="A1813" s="10" t="n">
        <v>1797</v>
      </c>
      <c r="B1813" s="14">
        <f>IF($N1813="","",INDEX(LdADate,$N1813))</f>
        <v/>
      </c>
      <c r="C1813" s="14">
        <f>IF($N1813="","",IF(INDEX(LdAId,$N1813)="","—",INDEX(LdAId,$N1813)))</f>
        <v/>
      </c>
      <c r="D1813" s="16">
        <f>IF($N1813="","",IF(INDEX(LdAAmt,$N1813)=0,"",INDEX(LdAAmt,$N1813)))</f>
        <v/>
      </c>
      <c r="E1813" s="16">
        <f>IF($N1813="","",SUMIFS(ShareAmt,ShareLink,$C1813))</f>
        <v/>
      </c>
      <c r="F1813" s="33">
        <f>IF($N1813="","",COUNTIF(ShareLink,$C1813))</f>
        <v/>
      </c>
      <c r="G1813" s="17">
        <f>IF($N1813="","",IF(ROUND($E1813-$D1813,0)=0,"√","▲ "&amp;TEXT($D1813-$E1813,"#,##0")))</f>
        <v/>
      </c>
      <c r="N1813">
        <f>IFERROR(MATCH($C$5&amp;"|"&amp;RIGHT("000000"&amp;1797,6),LdAKeyG,0),"")</f>
        <v/>
      </c>
    </row>
    <row r="1814">
      <c r="A1814" s="19" t="n">
        <v>1798</v>
      </c>
      <c r="B1814" s="20">
        <f>IF($N1814="","",INDEX(LdADate,$N1814))</f>
        <v/>
      </c>
      <c r="C1814" s="20">
        <f>IF($N1814="","",IF(INDEX(LdAId,$N1814)="","—",INDEX(LdAId,$N1814)))</f>
        <v/>
      </c>
      <c r="D1814" s="21">
        <f>IF($N1814="","",IF(INDEX(LdAAmt,$N1814)=0,"",INDEX(LdAAmt,$N1814)))</f>
        <v/>
      </c>
      <c r="E1814" s="21">
        <f>IF($N1814="","",SUMIFS(ShareAmt,ShareLink,$C1814))</f>
        <v/>
      </c>
      <c r="F1814" s="34">
        <f>IF($N1814="","",COUNTIF(ShareLink,$C1814))</f>
        <v/>
      </c>
      <c r="G1814" s="22">
        <f>IF($N1814="","",IF(ROUND($E1814-$D1814,0)=0,"√","▲ "&amp;TEXT($D1814-$E1814,"#,##0")))</f>
        <v/>
      </c>
      <c r="N1814">
        <f>IFERROR(MATCH($C$5&amp;"|"&amp;RIGHT("000000"&amp;1798,6),LdAKeyG,0),"")</f>
        <v/>
      </c>
    </row>
    <row r="1815">
      <c r="A1815" s="10" t="n">
        <v>1799</v>
      </c>
      <c r="B1815" s="14">
        <f>IF($N1815="","",INDEX(LdADate,$N1815))</f>
        <v/>
      </c>
      <c r="C1815" s="14">
        <f>IF($N1815="","",IF(INDEX(LdAId,$N1815)="","—",INDEX(LdAId,$N1815)))</f>
        <v/>
      </c>
      <c r="D1815" s="16">
        <f>IF($N1815="","",IF(INDEX(LdAAmt,$N1815)=0,"",INDEX(LdAAmt,$N1815)))</f>
        <v/>
      </c>
      <c r="E1815" s="16">
        <f>IF($N1815="","",SUMIFS(ShareAmt,ShareLink,$C1815))</f>
        <v/>
      </c>
      <c r="F1815" s="33">
        <f>IF($N1815="","",COUNTIF(ShareLink,$C1815))</f>
        <v/>
      </c>
      <c r="G1815" s="17">
        <f>IF($N1815="","",IF(ROUND($E1815-$D1815,0)=0,"√","▲ "&amp;TEXT($D1815-$E1815,"#,##0")))</f>
        <v/>
      </c>
      <c r="N1815">
        <f>IFERROR(MATCH($C$5&amp;"|"&amp;RIGHT("000000"&amp;1799,6),LdAKeyG,0),"")</f>
        <v/>
      </c>
    </row>
    <row r="1816">
      <c r="A1816" s="19" t="n">
        <v>1800</v>
      </c>
      <c r="B1816" s="20">
        <f>IF($N1816="","",INDEX(LdADate,$N1816))</f>
        <v/>
      </c>
      <c r="C1816" s="20">
        <f>IF($N1816="","",IF(INDEX(LdAId,$N1816)="","—",INDEX(LdAId,$N1816)))</f>
        <v/>
      </c>
      <c r="D1816" s="21">
        <f>IF($N1816="","",IF(INDEX(LdAAmt,$N1816)=0,"",INDEX(LdAAmt,$N1816)))</f>
        <v/>
      </c>
      <c r="E1816" s="21">
        <f>IF($N1816="","",SUMIFS(ShareAmt,ShareLink,$C1816))</f>
        <v/>
      </c>
      <c r="F1816" s="34">
        <f>IF($N1816="","",COUNTIF(ShareLink,$C1816))</f>
        <v/>
      </c>
      <c r="G1816" s="22">
        <f>IF($N1816="","",IF(ROUND($E1816-$D1816,0)=0,"√","▲ "&amp;TEXT($D1816-$E1816,"#,##0")))</f>
        <v/>
      </c>
      <c r="N1816">
        <f>IFERROR(MATCH($C$5&amp;"|"&amp;RIGHT("000000"&amp;1800,6),LdAKeyG,0),"")</f>
        <v/>
      </c>
    </row>
    <row r="1817">
      <c r="A1817" s="10" t="n">
        <v>1801</v>
      </c>
      <c r="B1817" s="14">
        <f>IF($N1817="","",INDEX(LdADate,$N1817))</f>
        <v/>
      </c>
      <c r="C1817" s="14">
        <f>IF($N1817="","",IF(INDEX(LdAId,$N1817)="","—",INDEX(LdAId,$N1817)))</f>
        <v/>
      </c>
      <c r="D1817" s="16">
        <f>IF($N1817="","",IF(INDEX(LdAAmt,$N1817)=0,"",INDEX(LdAAmt,$N1817)))</f>
        <v/>
      </c>
      <c r="E1817" s="16">
        <f>IF($N1817="","",SUMIFS(ShareAmt,ShareLink,$C1817))</f>
        <v/>
      </c>
      <c r="F1817" s="33">
        <f>IF($N1817="","",COUNTIF(ShareLink,$C1817))</f>
        <v/>
      </c>
      <c r="G1817" s="17">
        <f>IF($N1817="","",IF(ROUND($E1817-$D1817,0)=0,"√","▲ "&amp;TEXT($D1817-$E1817,"#,##0")))</f>
        <v/>
      </c>
      <c r="N1817">
        <f>IFERROR(MATCH($C$5&amp;"|"&amp;RIGHT("000000"&amp;1801,6),LdAKeyG,0),"")</f>
        <v/>
      </c>
    </row>
    <row r="1818">
      <c r="A1818" s="19" t="n">
        <v>1802</v>
      </c>
      <c r="B1818" s="20">
        <f>IF($N1818="","",INDEX(LdADate,$N1818))</f>
        <v/>
      </c>
      <c r="C1818" s="20">
        <f>IF($N1818="","",IF(INDEX(LdAId,$N1818)="","—",INDEX(LdAId,$N1818)))</f>
        <v/>
      </c>
      <c r="D1818" s="21">
        <f>IF($N1818="","",IF(INDEX(LdAAmt,$N1818)=0,"",INDEX(LdAAmt,$N1818)))</f>
        <v/>
      </c>
      <c r="E1818" s="21">
        <f>IF($N1818="","",SUMIFS(ShareAmt,ShareLink,$C1818))</f>
        <v/>
      </c>
      <c r="F1818" s="34">
        <f>IF($N1818="","",COUNTIF(ShareLink,$C1818))</f>
        <v/>
      </c>
      <c r="G1818" s="22">
        <f>IF($N1818="","",IF(ROUND($E1818-$D1818,0)=0,"√","▲ "&amp;TEXT($D1818-$E1818,"#,##0")))</f>
        <v/>
      </c>
      <c r="N1818">
        <f>IFERROR(MATCH($C$5&amp;"|"&amp;RIGHT("000000"&amp;1802,6),LdAKeyG,0),"")</f>
        <v/>
      </c>
    </row>
    <row r="1819">
      <c r="A1819" s="10" t="n">
        <v>1803</v>
      </c>
      <c r="B1819" s="14">
        <f>IF($N1819="","",INDEX(LdADate,$N1819))</f>
        <v/>
      </c>
      <c r="C1819" s="14">
        <f>IF($N1819="","",IF(INDEX(LdAId,$N1819)="","—",INDEX(LdAId,$N1819)))</f>
        <v/>
      </c>
      <c r="D1819" s="16">
        <f>IF($N1819="","",IF(INDEX(LdAAmt,$N1819)=0,"",INDEX(LdAAmt,$N1819)))</f>
        <v/>
      </c>
      <c r="E1819" s="16">
        <f>IF($N1819="","",SUMIFS(ShareAmt,ShareLink,$C1819))</f>
        <v/>
      </c>
      <c r="F1819" s="33">
        <f>IF($N1819="","",COUNTIF(ShareLink,$C1819))</f>
        <v/>
      </c>
      <c r="G1819" s="17">
        <f>IF($N1819="","",IF(ROUND($E1819-$D1819,0)=0,"√","▲ "&amp;TEXT($D1819-$E1819,"#,##0")))</f>
        <v/>
      </c>
      <c r="N1819">
        <f>IFERROR(MATCH($C$5&amp;"|"&amp;RIGHT("000000"&amp;1803,6),LdAKeyG,0),"")</f>
        <v/>
      </c>
    </row>
    <row r="1820">
      <c r="A1820" s="19" t="n">
        <v>1804</v>
      </c>
      <c r="B1820" s="20">
        <f>IF($N1820="","",INDEX(LdADate,$N1820))</f>
        <v/>
      </c>
      <c r="C1820" s="20">
        <f>IF($N1820="","",IF(INDEX(LdAId,$N1820)="","—",INDEX(LdAId,$N1820)))</f>
        <v/>
      </c>
      <c r="D1820" s="21">
        <f>IF($N1820="","",IF(INDEX(LdAAmt,$N1820)=0,"",INDEX(LdAAmt,$N1820)))</f>
        <v/>
      </c>
      <c r="E1820" s="21">
        <f>IF($N1820="","",SUMIFS(ShareAmt,ShareLink,$C1820))</f>
        <v/>
      </c>
      <c r="F1820" s="34">
        <f>IF($N1820="","",COUNTIF(ShareLink,$C1820))</f>
        <v/>
      </c>
      <c r="G1820" s="22">
        <f>IF($N1820="","",IF(ROUND($E1820-$D1820,0)=0,"√","▲ "&amp;TEXT($D1820-$E1820,"#,##0")))</f>
        <v/>
      </c>
      <c r="N1820">
        <f>IFERROR(MATCH($C$5&amp;"|"&amp;RIGHT("000000"&amp;1804,6),LdAKeyG,0),"")</f>
        <v/>
      </c>
    </row>
    <row r="1821">
      <c r="A1821" s="10" t="n">
        <v>1805</v>
      </c>
      <c r="B1821" s="14">
        <f>IF($N1821="","",INDEX(LdADate,$N1821))</f>
        <v/>
      </c>
      <c r="C1821" s="14">
        <f>IF($N1821="","",IF(INDEX(LdAId,$N1821)="","—",INDEX(LdAId,$N1821)))</f>
        <v/>
      </c>
      <c r="D1821" s="16">
        <f>IF($N1821="","",IF(INDEX(LdAAmt,$N1821)=0,"",INDEX(LdAAmt,$N1821)))</f>
        <v/>
      </c>
      <c r="E1821" s="16">
        <f>IF($N1821="","",SUMIFS(ShareAmt,ShareLink,$C1821))</f>
        <v/>
      </c>
      <c r="F1821" s="33">
        <f>IF($N1821="","",COUNTIF(ShareLink,$C1821))</f>
        <v/>
      </c>
      <c r="G1821" s="17">
        <f>IF($N1821="","",IF(ROUND($E1821-$D1821,0)=0,"√","▲ "&amp;TEXT($D1821-$E1821,"#,##0")))</f>
        <v/>
      </c>
      <c r="N1821">
        <f>IFERROR(MATCH($C$5&amp;"|"&amp;RIGHT("000000"&amp;1805,6),LdAKeyG,0),"")</f>
        <v/>
      </c>
    </row>
    <row r="1822">
      <c r="A1822" s="19" t="n">
        <v>1806</v>
      </c>
      <c r="B1822" s="20">
        <f>IF($N1822="","",INDEX(LdADate,$N1822))</f>
        <v/>
      </c>
      <c r="C1822" s="20">
        <f>IF($N1822="","",IF(INDEX(LdAId,$N1822)="","—",INDEX(LdAId,$N1822)))</f>
        <v/>
      </c>
      <c r="D1822" s="21">
        <f>IF($N1822="","",IF(INDEX(LdAAmt,$N1822)=0,"",INDEX(LdAAmt,$N1822)))</f>
        <v/>
      </c>
      <c r="E1822" s="21">
        <f>IF($N1822="","",SUMIFS(ShareAmt,ShareLink,$C1822))</f>
        <v/>
      </c>
      <c r="F1822" s="34">
        <f>IF($N1822="","",COUNTIF(ShareLink,$C1822))</f>
        <v/>
      </c>
      <c r="G1822" s="22">
        <f>IF($N1822="","",IF(ROUND($E1822-$D1822,0)=0,"√","▲ "&amp;TEXT($D1822-$E1822,"#,##0")))</f>
        <v/>
      </c>
      <c r="N1822">
        <f>IFERROR(MATCH($C$5&amp;"|"&amp;RIGHT("000000"&amp;1806,6),LdAKeyG,0),"")</f>
        <v/>
      </c>
    </row>
    <row r="1823">
      <c r="A1823" s="10" t="n">
        <v>1807</v>
      </c>
      <c r="B1823" s="14">
        <f>IF($N1823="","",INDEX(LdADate,$N1823))</f>
        <v/>
      </c>
      <c r="C1823" s="14">
        <f>IF($N1823="","",IF(INDEX(LdAId,$N1823)="","—",INDEX(LdAId,$N1823)))</f>
        <v/>
      </c>
      <c r="D1823" s="16">
        <f>IF($N1823="","",IF(INDEX(LdAAmt,$N1823)=0,"",INDEX(LdAAmt,$N1823)))</f>
        <v/>
      </c>
      <c r="E1823" s="16">
        <f>IF($N1823="","",SUMIFS(ShareAmt,ShareLink,$C1823))</f>
        <v/>
      </c>
      <c r="F1823" s="33">
        <f>IF($N1823="","",COUNTIF(ShareLink,$C1823))</f>
        <v/>
      </c>
      <c r="G1823" s="17">
        <f>IF($N1823="","",IF(ROUND($E1823-$D1823,0)=0,"√","▲ "&amp;TEXT($D1823-$E1823,"#,##0")))</f>
        <v/>
      </c>
      <c r="N1823">
        <f>IFERROR(MATCH($C$5&amp;"|"&amp;RIGHT("000000"&amp;1807,6),LdAKeyG,0),"")</f>
        <v/>
      </c>
    </row>
    <row r="1824">
      <c r="A1824" s="19" t="n">
        <v>1808</v>
      </c>
      <c r="B1824" s="20">
        <f>IF($N1824="","",INDEX(LdADate,$N1824))</f>
        <v/>
      </c>
      <c r="C1824" s="20">
        <f>IF($N1824="","",IF(INDEX(LdAId,$N1824)="","—",INDEX(LdAId,$N1824)))</f>
        <v/>
      </c>
      <c r="D1824" s="21">
        <f>IF($N1824="","",IF(INDEX(LdAAmt,$N1824)=0,"",INDEX(LdAAmt,$N1824)))</f>
        <v/>
      </c>
      <c r="E1824" s="21">
        <f>IF($N1824="","",SUMIFS(ShareAmt,ShareLink,$C1824))</f>
        <v/>
      </c>
      <c r="F1824" s="34">
        <f>IF($N1824="","",COUNTIF(ShareLink,$C1824))</f>
        <v/>
      </c>
      <c r="G1824" s="22">
        <f>IF($N1824="","",IF(ROUND($E1824-$D1824,0)=0,"√","▲ "&amp;TEXT($D1824-$E1824,"#,##0")))</f>
        <v/>
      </c>
      <c r="N1824">
        <f>IFERROR(MATCH($C$5&amp;"|"&amp;RIGHT("000000"&amp;1808,6),LdAKeyG,0),"")</f>
        <v/>
      </c>
    </row>
    <row r="1825">
      <c r="A1825" s="10" t="n">
        <v>1809</v>
      </c>
      <c r="B1825" s="14">
        <f>IF($N1825="","",INDEX(LdADate,$N1825))</f>
        <v/>
      </c>
      <c r="C1825" s="14">
        <f>IF($N1825="","",IF(INDEX(LdAId,$N1825)="","—",INDEX(LdAId,$N1825)))</f>
        <v/>
      </c>
      <c r="D1825" s="16">
        <f>IF($N1825="","",IF(INDEX(LdAAmt,$N1825)=0,"",INDEX(LdAAmt,$N1825)))</f>
        <v/>
      </c>
      <c r="E1825" s="16">
        <f>IF($N1825="","",SUMIFS(ShareAmt,ShareLink,$C1825))</f>
        <v/>
      </c>
      <c r="F1825" s="33">
        <f>IF($N1825="","",COUNTIF(ShareLink,$C1825))</f>
        <v/>
      </c>
      <c r="G1825" s="17">
        <f>IF($N1825="","",IF(ROUND($E1825-$D1825,0)=0,"√","▲ "&amp;TEXT($D1825-$E1825,"#,##0")))</f>
        <v/>
      </c>
      <c r="N1825">
        <f>IFERROR(MATCH($C$5&amp;"|"&amp;RIGHT("000000"&amp;1809,6),LdAKeyG,0),"")</f>
        <v/>
      </c>
    </row>
    <row r="1826">
      <c r="A1826" s="19" t="n">
        <v>1810</v>
      </c>
      <c r="B1826" s="20">
        <f>IF($N1826="","",INDEX(LdADate,$N1826))</f>
        <v/>
      </c>
      <c r="C1826" s="20">
        <f>IF($N1826="","",IF(INDEX(LdAId,$N1826)="","—",INDEX(LdAId,$N1826)))</f>
        <v/>
      </c>
      <c r="D1826" s="21">
        <f>IF($N1826="","",IF(INDEX(LdAAmt,$N1826)=0,"",INDEX(LdAAmt,$N1826)))</f>
        <v/>
      </c>
      <c r="E1826" s="21">
        <f>IF($N1826="","",SUMIFS(ShareAmt,ShareLink,$C1826))</f>
        <v/>
      </c>
      <c r="F1826" s="34">
        <f>IF($N1826="","",COUNTIF(ShareLink,$C1826))</f>
        <v/>
      </c>
      <c r="G1826" s="22">
        <f>IF($N1826="","",IF(ROUND($E1826-$D1826,0)=0,"√","▲ "&amp;TEXT($D1826-$E1826,"#,##0")))</f>
        <v/>
      </c>
      <c r="N1826">
        <f>IFERROR(MATCH($C$5&amp;"|"&amp;RIGHT("000000"&amp;1810,6),LdAKeyG,0),"")</f>
        <v/>
      </c>
    </row>
    <row r="1827">
      <c r="A1827" s="10" t="n">
        <v>1811</v>
      </c>
      <c r="B1827" s="14">
        <f>IF($N1827="","",INDEX(LdADate,$N1827))</f>
        <v/>
      </c>
      <c r="C1827" s="14">
        <f>IF($N1827="","",IF(INDEX(LdAId,$N1827)="","—",INDEX(LdAId,$N1827)))</f>
        <v/>
      </c>
      <c r="D1827" s="16">
        <f>IF($N1827="","",IF(INDEX(LdAAmt,$N1827)=0,"",INDEX(LdAAmt,$N1827)))</f>
        <v/>
      </c>
      <c r="E1827" s="16">
        <f>IF($N1827="","",SUMIFS(ShareAmt,ShareLink,$C1827))</f>
        <v/>
      </c>
      <c r="F1827" s="33">
        <f>IF($N1827="","",COUNTIF(ShareLink,$C1827))</f>
        <v/>
      </c>
      <c r="G1827" s="17">
        <f>IF($N1827="","",IF(ROUND($E1827-$D1827,0)=0,"√","▲ "&amp;TEXT($D1827-$E1827,"#,##0")))</f>
        <v/>
      </c>
      <c r="N1827">
        <f>IFERROR(MATCH($C$5&amp;"|"&amp;RIGHT("000000"&amp;1811,6),LdAKeyG,0),"")</f>
        <v/>
      </c>
    </row>
    <row r="1828">
      <c r="A1828" s="19" t="n">
        <v>1812</v>
      </c>
      <c r="B1828" s="20">
        <f>IF($N1828="","",INDEX(LdADate,$N1828))</f>
        <v/>
      </c>
      <c r="C1828" s="20">
        <f>IF($N1828="","",IF(INDEX(LdAId,$N1828)="","—",INDEX(LdAId,$N1828)))</f>
        <v/>
      </c>
      <c r="D1828" s="21">
        <f>IF($N1828="","",IF(INDEX(LdAAmt,$N1828)=0,"",INDEX(LdAAmt,$N1828)))</f>
        <v/>
      </c>
      <c r="E1828" s="21">
        <f>IF($N1828="","",SUMIFS(ShareAmt,ShareLink,$C1828))</f>
        <v/>
      </c>
      <c r="F1828" s="34">
        <f>IF($N1828="","",COUNTIF(ShareLink,$C1828))</f>
        <v/>
      </c>
      <c r="G1828" s="22">
        <f>IF($N1828="","",IF(ROUND($E1828-$D1828,0)=0,"√","▲ "&amp;TEXT($D1828-$E1828,"#,##0")))</f>
        <v/>
      </c>
      <c r="N1828">
        <f>IFERROR(MATCH($C$5&amp;"|"&amp;RIGHT("000000"&amp;1812,6),LdAKeyG,0),"")</f>
        <v/>
      </c>
    </row>
    <row r="1829">
      <c r="A1829" s="10" t="n">
        <v>1813</v>
      </c>
      <c r="B1829" s="14">
        <f>IF($N1829="","",INDEX(LdADate,$N1829))</f>
        <v/>
      </c>
      <c r="C1829" s="14">
        <f>IF($N1829="","",IF(INDEX(LdAId,$N1829)="","—",INDEX(LdAId,$N1829)))</f>
        <v/>
      </c>
      <c r="D1829" s="16">
        <f>IF($N1829="","",IF(INDEX(LdAAmt,$N1829)=0,"",INDEX(LdAAmt,$N1829)))</f>
        <v/>
      </c>
      <c r="E1829" s="16">
        <f>IF($N1829="","",SUMIFS(ShareAmt,ShareLink,$C1829))</f>
        <v/>
      </c>
      <c r="F1829" s="33">
        <f>IF($N1829="","",COUNTIF(ShareLink,$C1829))</f>
        <v/>
      </c>
      <c r="G1829" s="17">
        <f>IF($N1829="","",IF(ROUND($E1829-$D1829,0)=0,"√","▲ "&amp;TEXT($D1829-$E1829,"#,##0")))</f>
        <v/>
      </c>
      <c r="N1829">
        <f>IFERROR(MATCH($C$5&amp;"|"&amp;RIGHT("000000"&amp;1813,6),LdAKeyG,0),"")</f>
        <v/>
      </c>
    </row>
    <row r="1830">
      <c r="A1830" s="19" t="n">
        <v>1814</v>
      </c>
      <c r="B1830" s="20">
        <f>IF($N1830="","",INDEX(LdADate,$N1830))</f>
        <v/>
      </c>
      <c r="C1830" s="20">
        <f>IF($N1830="","",IF(INDEX(LdAId,$N1830)="","—",INDEX(LdAId,$N1830)))</f>
        <v/>
      </c>
      <c r="D1830" s="21">
        <f>IF($N1830="","",IF(INDEX(LdAAmt,$N1830)=0,"",INDEX(LdAAmt,$N1830)))</f>
        <v/>
      </c>
      <c r="E1830" s="21">
        <f>IF($N1830="","",SUMIFS(ShareAmt,ShareLink,$C1830))</f>
        <v/>
      </c>
      <c r="F1830" s="34">
        <f>IF($N1830="","",COUNTIF(ShareLink,$C1830))</f>
        <v/>
      </c>
      <c r="G1830" s="22">
        <f>IF($N1830="","",IF(ROUND($E1830-$D1830,0)=0,"√","▲ "&amp;TEXT($D1830-$E1830,"#,##0")))</f>
        <v/>
      </c>
      <c r="N1830">
        <f>IFERROR(MATCH($C$5&amp;"|"&amp;RIGHT("000000"&amp;1814,6),LdAKeyG,0),"")</f>
        <v/>
      </c>
    </row>
    <row r="1831">
      <c r="A1831" s="10" t="n">
        <v>1815</v>
      </c>
      <c r="B1831" s="14">
        <f>IF($N1831="","",INDEX(LdADate,$N1831))</f>
        <v/>
      </c>
      <c r="C1831" s="14">
        <f>IF($N1831="","",IF(INDEX(LdAId,$N1831)="","—",INDEX(LdAId,$N1831)))</f>
        <v/>
      </c>
      <c r="D1831" s="16">
        <f>IF($N1831="","",IF(INDEX(LdAAmt,$N1831)=0,"",INDEX(LdAAmt,$N1831)))</f>
        <v/>
      </c>
      <c r="E1831" s="16">
        <f>IF($N1831="","",SUMIFS(ShareAmt,ShareLink,$C1831))</f>
        <v/>
      </c>
      <c r="F1831" s="33">
        <f>IF($N1831="","",COUNTIF(ShareLink,$C1831))</f>
        <v/>
      </c>
      <c r="G1831" s="17">
        <f>IF($N1831="","",IF(ROUND($E1831-$D1831,0)=0,"√","▲ "&amp;TEXT($D1831-$E1831,"#,##0")))</f>
        <v/>
      </c>
      <c r="N1831">
        <f>IFERROR(MATCH($C$5&amp;"|"&amp;RIGHT("000000"&amp;1815,6),LdAKeyG,0),"")</f>
        <v/>
      </c>
    </row>
    <row r="1832">
      <c r="A1832" s="19" t="n">
        <v>1816</v>
      </c>
      <c r="B1832" s="20">
        <f>IF($N1832="","",INDEX(LdADate,$N1832))</f>
        <v/>
      </c>
      <c r="C1832" s="20">
        <f>IF($N1832="","",IF(INDEX(LdAId,$N1832)="","—",INDEX(LdAId,$N1832)))</f>
        <v/>
      </c>
      <c r="D1832" s="21">
        <f>IF($N1832="","",IF(INDEX(LdAAmt,$N1832)=0,"",INDEX(LdAAmt,$N1832)))</f>
        <v/>
      </c>
      <c r="E1832" s="21">
        <f>IF($N1832="","",SUMIFS(ShareAmt,ShareLink,$C1832))</f>
        <v/>
      </c>
      <c r="F1832" s="34">
        <f>IF($N1832="","",COUNTIF(ShareLink,$C1832))</f>
        <v/>
      </c>
      <c r="G1832" s="22">
        <f>IF($N1832="","",IF(ROUND($E1832-$D1832,0)=0,"√","▲ "&amp;TEXT($D1832-$E1832,"#,##0")))</f>
        <v/>
      </c>
      <c r="N1832">
        <f>IFERROR(MATCH($C$5&amp;"|"&amp;RIGHT("000000"&amp;1816,6),LdAKeyG,0),"")</f>
        <v/>
      </c>
    </row>
    <row r="1833">
      <c r="A1833" s="10" t="n">
        <v>1817</v>
      </c>
      <c r="B1833" s="14">
        <f>IF($N1833="","",INDEX(LdADate,$N1833))</f>
        <v/>
      </c>
      <c r="C1833" s="14">
        <f>IF($N1833="","",IF(INDEX(LdAId,$N1833)="","—",INDEX(LdAId,$N1833)))</f>
        <v/>
      </c>
      <c r="D1833" s="16">
        <f>IF($N1833="","",IF(INDEX(LdAAmt,$N1833)=0,"",INDEX(LdAAmt,$N1833)))</f>
        <v/>
      </c>
      <c r="E1833" s="16">
        <f>IF($N1833="","",SUMIFS(ShareAmt,ShareLink,$C1833))</f>
        <v/>
      </c>
      <c r="F1833" s="33">
        <f>IF($N1833="","",COUNTIF(ShareLink,$C1833))</f>
        <v/>
      </c>
      <c r="G1833" s="17">
        <f>IF($N1833="","",IF(ROUND($E1833-$D1833,0)=0,"√","▲ "&amp;TEXT($D1833-$E1833,"#,##0")))</f>
        <v/>
      </c>
      <c r="N1833">
        <f>IFERROR(MATCH($C$5&amp;"|"&amp;RIGHT("000000"&amp;1817,6),LdAKeyG,0),"")</f>
        <v/>
      </c>
    </row>
    <row r="1834">
      <c r="A1834" s="19" t="n">
        <v>1818</v>
      </c>
      <c r="B1834" s="20">
        <f>IF($N1834="","",INDEX(LdADate,$N1834))</f>
        <v/>
      </c>
      <c r="C1834" s="20">
        <f>IF($N1834="","",IF(INDEX(LdAId,$N1834)="","—",INDEX(LdAId,$N1834)))</f>
        <v/>
      </c>
      <c r="D1834" s="21">
        <f>IF($N1834="","",IF(INDEX(LdAAmt,$N1834)=0,"",INDEX(LdAAmt,$N1834)))</f>
        <v/>
      </c>
      <c r="E1834" s="21">
        <f>IF($N1834="","",SUMIFS(ShareAmt,ShareLink,$C1834))</f>
        <v/>
      </c>
      <c r="F1834" s="34">
        <f>IF($N1834="","",COUNTIF(ShareLink,$C1834))</f>
        <v/>
      </c>
      <c r="G1834" s="22">
        <f>IF($N1834="","",IF(ROUND($E1834-$D1834,0)=0,"√","▲ "&amp;TEXT($D1834-$E1834,"#,##0")))</f>
        <v/>
      </c>
      <c r="N1834">
        <f>IFERROR(MATCH($C$5&amp;"|"&amp;RIGHT("000000"&amp;1818,6),LdAKeyG,0),"")</f>
        <v/>
      </c>
    </row>
    <row r="1835">
      <c r="A1835" s="10" t="n">
        <v>1819</v>
      </c>
      <c r="B1835" s="14">
        <f>IF($N1835="","",INDEX(LdADate,$N1835))</f>
        <v/>
      </c>
      <c r="C1835" s="14">
        <f>IF($N1835="","",IF(INDEX(LdAId,$N1835)="","—",INDEX(LdAId,$N1835)))</f>
        <v/>
      </c>
      <c r="D1835" s="16">
        <f>IF($N1835="","",IF(INDEX(LdAAmt,$N1835)=0,"",INDEX(LdAAmt,$N1835)))</f>
        <v/>
      </c>
      <c r="E1835" s="16">
        <f>IF($N1835="","",SUMIFS(ShareAmt,ShareLink,$C1835))</f>
        <v/>
      </c>
      <c r="F1835" s="33">
        <f>IF($N1835="","",COUNTIF(ShareLink,$C1835))</f>
        <v/>
      </c>
      <c r="G1835" s="17">
        <f>IF($N1835="","",IF(ROUND($E1835-$D1835,0)=0,"√","▲ "&amp;TEXT($D1835-$E1835,"#,##0")))</f>
        <v/>
      </c>
      <c r="N1835">
        <f>IFERROR(MATCH($C$5&amp;"|"&amp;RIGHT("000000"&amp;1819,6),LdAKeyG,0),"")</f>
        <v/>
      </c>
    </row>
    <row r="1836">
      <c r="A1836" s="19" t="n">
        <v>1820</v>
      </c>
      <c r="B1836" s="20">
        <f>IF($N1836="","",INDEX(LdADate,$N1836))</f>
        <v/>
      </c>
      <c r="C1836" s="20">
        <f>IF($N1836="","",IF(INDEX(LdAId,$N1836)="","—",INDEX(LdAId,$N1836)))</f>
        <v/>
      </c>
      <c r="D1836" s="21">
        <f>IF($N1836="","",IF(INDEX(LdAAmt,$N1836)=0,"",INDEX(LdAAmt,$N1836)))</f>
        <v/>
      </c>
      <c r="E1836" s="21">
        <f>IF($N1836="","",SUMIFS(ShareAmt,ShareLink,$C1836))</f>
        <v/>
      </c>
      <c r="F1836" s="34">
        <f>IF($N1836="","",COUNTIF(ShareLink,$C1836))</f>
        <v/>
      </c>
      <c r="G1836" s="22">
        <f>IF($N1836="","",IF(ROUND($E1836-$D1836,0)=0,"√","▲ "&amp;TEXT($D1836-$E1836,"#,##0")))</f>
        <v/>
      </c>
      <c r="N1836">
        <f>IFERROR(MATCH($C$5&amp;"|"&amp;RIGHT("000000"&amp;1820,6),LdAKeyG,0),"")</f>
        <v/>
      </c>
    </row>
    <row r="1837">
      <c r="A1837" s="10" t="n">
        <v>1821</v>
      </c>
      <c r="B1837" s="14">
        <f>IF($N1837="","",INDEX(LdADate,$N1837))</f>
        <v/>
      </c>
      <c r="C1837" s="14">
        <f>IF($N1837="","",IF(INDEX(LdAId,$N1837)="","—",INDEX(LdAId,$N1837)))</f>
        <v/>
      </c>
      <c r="D1837" s="16">
        <f>IF($N1837="","",IF(INDEX(LdAAmt,$N1837)=0,"",INDEX(LdAAmt,$N1837)))</f>
        <v/>
      </c>
      <c r="E1837" s="16">
        <f>IF($N1837="","",SUMIFS(ShareAmt,ShareLink,$C1837))</f>
        <v/>
      </c>
      <c r="F1837" s="33">
        <f>IF($N1837="","",COUNTIF(ShareLink,$C1837))</f>
        <v/>
      </c>
      <c r="G1837" s="17">
        <f>IF($N1837="","",IF(ROUND($E1837-$D1837,0)=0,"√","▲ "&amp;TEXT($D1837-$E1837,"#,##0")))</f>
        <v/>
      </c>
      <c r="N1837">
        <f>IFERROR(MATCH($C$5&amp;"|"&amp;RIGHT("000000"&amp;1821,6),LdAKeyG,0),"")</f>
        <v/>
      </c>
    </row>
    <row r="1838">
      <c r="A1838" s="19" t="n">
        <v>1822</v>
      </c>
      <c r="B1838" s="20">
        <f>IF($N1838="","",INDEX(LdADate,$N1838))</f>
        <v/>
      </c>
      <c r="C1838" s="20">
        <f>IF($N1838="","",IF(INDEX(LdAId,$N1838)="","—",INDEX(LdAId,$N1838)))</f>
        <v/>
      </c>
      <c r="D1838" s="21">
        <f>IF($N1838="","",IF(INDEX(LdAAmt,$N1838)=0,"",INDEX(LdAAmt,$N1838)))</f>
        <v/>
      </c>
      <c r="E1838" s="21">
        <f>IF($N1838="","",SUMIFS(ShareAmt,ShareLink,$C1838))</f>
        <v/>
      </c>
      <c r="F1838" s="34">
        <f>IF($N1838="","",COUNTIF(ShareLink,$C1838))</f>
        <v/>
      </c>
      <c r="G1838" s="22">
        <f>IF($N1838="","",IF(ROUND($E1838-$D1838,0)=0,"√","▲ "&amp;TEXT($D1838-$E1838,"#,##0")))</f>
        <v/>
      </c>
      <c r="N1838">
        <f>IFERROR(MATCH($C$5&amp;"|"&amp;RIGHT("000000"&amp;1822,6),LdAKeyG,0),"")</f>
        <v/>
      </c>
    </row>
    <row r="1839">
      <c r="A1839" s="10" t="n">
        <v>1823</v>
      </c>
      <c r="B1839" s="14">
        <f>IF($N1839="","",INDEX(LdADate,$N1839))</f>
        <v/>
      </c>
      <c r="C1839" s="14">
        <f>IF($N1839="","",IF(INDEX(LdAId,$N1839)="","—",INDEX(LdAId,$N1839)))</f>
        <v/>
      </c>
      <c r="D1839" s="16">
        <f>IF($N1839="","",IF(INDEX(LdAAmt,$N1839)=0,"",INDEX(LdAAmt,$N1839)))</f>
        <v/>
      </c>
      <c r="E1839" s="16">
        <f>IF($N1839="","",SUMIFS(ShareAmt,ShareLink,$C1839))</f>
        <v/>
      </c>
      <c r="F1839" s="33">
        <f>IF($N1839="","",COUNTIF(ShareLink,$C1839))</f>
        <v/>
      </c>
      <c r="G1839" s="17">
        <f>IF($N1839="","",IF(ROUND($E1839-$D1839,0)=0,"√","▲ "&amp;TEXT($D1839-$E1839,"#,##0")))</f>
        <v/>
      </c>
      <c r="N1839">
        <f>IFERROR(MATCH($C$5&amp;"|"&amp;RIGHT("000000"&amp;1823,6),LdAKeyG,0),"")</f>
        <v/>
      </c>
    </row>
    <row r="1840">
      <c r="A1840" s="19" t="n">
        <v>1824</v>
      </c>
      <c r="B1840" s="20">
        <f>IF($N1840="","",INDEX(LdADate,$N1840))</f>
        <v/>
      </c>
      <c r="C1840" s="20">
        <f>IF($N1840="","",IF(INDEX(LdAId,$N1840)="","—",INDEX(LdAId,$N1840)))</f>
        <v/>
      </c>
      <c r="D1840" s="21">
        <f>IF($N1840="","",IF(INDEX(LdAAmt,$N1840)=0,"",INDEX(LdAAmt,$N1840)))</f>
        <v/>
      </c>
      <c r="E1840" s="21">
        <f>IF($N1840="","",SUMIFS(ShareAmt,ShareLink,$C1840))</f>
        <v/>
      </c>
      <c r="F1840" s="34">
        <f>IF($N1840="","",COUNTIF(ShareLink,$C1840))</f>
        <v/>
      </c>
      <c r="G1840" s="22">
        <f>IF($N1840="","",IF(ROUND($E1840-$D1840,0)=0,"√","▲ "&amp;TEXT($D1840-$E1840,"#,##0")))</f>
        <v/>
      </c>
      <c r="N1840">
        <f>IFERROR(MATCH($C$5&amp;"|"&amp;RIGHT("000000"&amp;1824,6),LdAKeyG,0),"")</f>
        <v/>
      </c>
    </row>
    <row r="1841">
      <c r="A1841" s="10" t="n">
        <v>1825</v>
      </c>
      <c r="B1841" s="14">
        <f>IF($N1841="","",INDEX(LdADate,$N1841))</f>
        <v/>
      </c>
      <c r="C1841" s="14">
        <f>IF($N1841="","",IF(INDEX(LdAId,$N1841)="","—",INDEX(LdAId,$N1841)))</f>
        <v/>
      </c>
      <c r="D1841" s="16">
        <f>IF($N1841="","",IF(INDEX(LdAAmt,$N1841)=0,"",INDEX(LdAAmt,$N1841)))</f>
        <v/>
      </c>
      <c r="E1841" s="16">
        <f>IF($N1841="","",SUMIFS(ShareAmt,ShareLink,$C1841))</f>
        <v/>
      </c>
      <c r="F1841" s="33">
        <f>IF($N1841="","",COUNTIF(ShareLink,$C1841))</f>
        <v/>
      </c>
      <c r="G1841" s="17">
        <f>IF($N1841="","",IF(ROUND($E1841-$D1841,0)=0,"√","▲ "&amp;TEXT($D1841-$E1841,"#,##0")))</f>
        <v/>
      </c>
      <c r="N1841">
        <f>IFERROR(MATCH($C$5&amp;"|"&amp;RIGHT("000000"&amp;1825,6),LdAKeyG,0),"")</f>
        <v/>
      </c>
    </row>
    <row r="1842">
      <c r="A1842" s="19" t="n">
        <v>1826</v>
      </c>
      <c r="B1842" s="20">
        <f>IF($N1842="","",INDEX(LdADate,$N1842))</f>
        <v/>
      </c>
      <c r="C1842" s="20">
        <f>IF($N1842="","",IF(INDEX(LdAId,$N1842)="","—",INDEX(LdAId,$N1842)))</f>
        <v/>
      </c>
      <c r="D1842" s="21">
        <f>IF($N1842="","",IF(INDEX(LdAAmt,$N1842)=0,"",INDEX(LdAAmt,$N1842)))</f>
        <v/>
      </c>
      <c r="E1842" s="21">
        <f>IF($N1842="","",SUMIFS(ShareAmt,ShareLink,$C1842))</f>
        <v/>
      </c>
      <c r="F1842" s="34">
        <f>IF($N1842="","",COUNTIF(ShareLink,$C1842))</f>
        <v/>
      </c>
      <c r="G1842" s="22">
        <f>IF($N1842="","",IF(ROUND($E1842-$D1842,0)=0,"√","▲ "&amp;TEXT($D1842-$E1842,"#,##0")))</f>
        <v/>
      </c>
      <c r="N1842">
        <f>IFERROR(MATCH($C$5&amp;"|"&amp;RIGHT("000000"&amp;1826,6),LdAKeyG,0),"")</f>
        <v/>
      </c>
    </row>
    <row r="1843">
      <c r="A1843" s="10" t="n">
        <v>1827</v>
      </c>
      <c r="B1843" s="14">
        <f>IF($N1843="","",INDEX(LdADate,$N1843))</f>
        <v/>
      </c>
      <c r="C1843" s="14">
        <f>IF($N1843="","",IF(INDEX(LdAId,$N1843)="","—",INDEX(LdAId,$N1843)))</f>
        <v/>
      </c>
      <c r="D1843" s="16">
        <f>IF($N1843="","",IF(INDEX(LdAAmt,$N1843)=0,"",INDEX(LdAAmt,$N1843)))</f>
        <v/>
      </c>
      <c r="E1843" s="16">
        <f>IF($N1843="","",SUMIFS(ShareAmt,ShareLink,$C1843))</f>
        <v/>
      </c>
      <c r="F1843" s="33">
        <f>IF($N1843="","",COUNTIF(ShareLink,$C1843))</f>
        <v/>
      </c>
      <c r="G1843" s="17">
        <f>IF($N1843="","",IF(ROUND($E1843-$D1843,0)=0,"√","▲ "&amp;TEXT($D1843-$E1843,"#,##0")))</f>
        <v/>
      </c>
      <c r="N1843">
        <f>IFERROR(MATCH($C$5&amp;"|"&amp;RIGHT("000000"&amp;1827,6),LdAKeyG,0),"")</f>
        <v/>
      </c>
    </row>
    <row r="1844">
      <c r="A1844" s="19" t="n">
        <v>1828</v>
      </c>
      <c r="B1844" s="20">
        <f>IF($N1844="","",INDEX(LdADate,$N1844))</f>
        <v/>
      </c>
      <c r="C1844" s="20">
        <f>IF($N1844="","",IF(INDEX(LdAId,$N1844)="","—",INDEX(LdAId,$N1844)))</f>
        <v/>
      </c>
      <c r="D1844" s="21">
        <f>IF($N1844="","",IF(INDEX(LdAAmt,$N1844)=0,"",INDEX(LdAAmt,$N1844)))</f>
        <v/>
      </c>
      <c r="E1844" s="21">
        <f>IF($N1844="","",SUMIFS(ShareAmt,ShareLink,$C1844))</f>
        <v/>
      </c>
      <c r="F1844" s="34">
        <f>IF($N1844="","",COUNTIF(ShareLink,$C1844))</f>
        <v/>
      </c>
      <c r="G1844" s="22">
        <f>IF($N1844="","",IF(ROUND($E1844-$D1844,0)=0,"√","▲ "&amp;TEXT($D1844-$E1844,"#,##0")))</f>
        <v/>
      </c>
      <c r="N1844">
        <f>IFERROR(MATCH($C$5&amp;"|"&amp;RIGHT("000000"&amp;1828,6),LdAKeyG,0),"")</f>
        <v/>
      </c>
    </row>
    <row r="1845">
      <c r="A1845" s="10" t="n">
        <v>1829</v>
      </c>
      <c r="B1845" s="14">
        <f>IF($N1845="","",INDEX(LdADate,$N1845))</f>
        <v/>
      </c>
      <c r="C1845" s="14">
        <f>IF($N1845="","",IF(INDEX(LdAId,$N1845)="","—",INDEX(LdAId,$N1845)))</f>
        <v/>
      </c>
      <c r="D1845" s="16">
        <f>IF($N1845="","",IF(INDEX(LdAAmt,$N1845)=0,"",INDEX(LdAAmt,$N1845)))</f>
        <v/>
      </c>
      <c r="E1845" s="16">
        <f>IF($N1845="","",SUMIFS(ShareAmt,ShareLink,$C1845))</f>
        <v/>
      </c>
      <c r="F1845" s="33">
        <f>IF($N1845="","",COUNTIF(ShareLink,$C1845))</f>
        <v/>
      </c>
      <c r="G1845" s="17">
        <f>IF($N1845="","",IF(ROUND($E1845-$D1845,0)=0,"√","▲ "&amp;TEXT($D1845-$E1845,"#,##0")))</f>
        <v/>
      </c>
      <c r="N1845">
        <f>IFERROR(MATCH($C$5&amp;"|"&amp;RIGHT("000000"&amp;1829,6),LdAKeyG,0),"")</f>
        <v/>
      </c>
    </row>
    <row r="1846">
      <c r="A1846" s="19" t="n">
        <v>1830</v>
      </c>
      <c r="B1846" s="20">
        <f>IF($N1846="","",INDEX(LdADate,$N1846))</f>
        <v/>
      </c>
      <c r="C1846" s="20">
        <f>IF($N1846="","",IF(INDEX(LdAId,$N1846)="","—",INDEX(LdAId,$N1846)))</f>
        <v/>
      </c>
      <c r="D1846" s="21">
        <f>IF($N1846="","",IF(INDEX(LdAAmt,$N1846)=0,"",INDEX(LdAAmt,$N1846)))</f>
        <v/>
      </c>
      <c r="E1846" s="21">
        <f>IF($N1846="","",SUMIFS(ShareAmt,ShareLink,$C1846))</f>
        <v/>
      </c>
      <c r="F1846" s="34">
        <f>IF($N1846="","",COUNTIF(ShareLink,$C1846))</f>
        <v/>
      </c>
      <c r="G1846" s="22">
        <f>IF($N1846="","",IF(ROUND($E1846-$D1846,0)=0,"√","▲ "&amp;TEXT($D1846-$E1846,"#,##0")))</f>
        <v/>
      </c>
      <c r="N1846">
        <f>IFERROR(MATCH($C$5&amp;"|"&amp;RIGHT("000000"&amp;1830,6),LdAKeyG,0),"")</f>
        <v/>
      </c>
    </row>
    <row r="1847">
      <c r="A1847" s="10" t="n">
        <v>1831</v>
      </c>
      <c r="B1847" s="14">
        <f>IF($N1847="","",INDEX(LdADate,$N1847))</f>
        <v/>
      </c>
      <c r="C1847" s="14">
        <f>IF($N1847="","",IF(INDEX(LdAId,$N1847)="","—",INDEX(LdAId,$N1847)))</f>
        <v/>
      </c>
      <c r="D1847" s="16">
        <f>IF($N1847="","",IF(INDEX(LdAAmt,$N1847)=0,"",INDEX(LdAAmt,$N1847)))</f>
        <v/>
      </c>
      <c r="E1847" s="16">
        <f>IF($N1847="","",SUMIFS(ShareAmt,ShareLink,$C1847))</f>
        <v/>
      </c>
      <c r="F1847" s="33">
        <f>IF($N1847="","",COUNTIF(ShareLink,$C1847))</f>
        <v/>
      </c>
      <c r="G1847" s="17">
        <f>IF($N1847="","",IF(ROUND($E1847-$D1847,0)=0,"√","▲ "&amp;TEXT($D1847-$E1847,"#,##0")))</f>
        <v/>
      </c>
      <c r="N1847">
        <f>IFERROR(MATCH($C$5&amp;"|"&amp;RIGHT("000000"&amp;1831,6),LdAKeyG,0),"")</f>
        <v/>
      </c>
    </row>
    <row r="1848">
      <c r="A1848" s="19" t="n">
        <v>1832</v>
      </c>
      <c r="B1848" s="20">
        <f>IF($N1848="","",INDEX(LdADate,$N1848))</f>
        <v/>
      </c>
      <c r="C1848" s="20">
        <f>IF($N1848="","",IF(INDEX(LdAId,$N1848)="","—",INDEX(LdAId,$N1848)))</f>
        <v/>
      </c>
      <c r="D1848" s="21">
        <f>IF($N1848="","",IF(INDEX(LdAAmt,$N1848)=0,"",INDEX(LdAAmt,$N1848)))</f>
        <v/>
      </c>
      <c r="E1848" s="21">
        <f>IF($N1848="","",SUMIFS(ShareAmt,ShareLink,$C1848))</f>
        <v/>
      </c>
      <c r="F1848" s="34">
        <f>IF($N1848="","",COUNTIF(ShareLink,$C1848))</f>
        <v/>
      </c>
      <c r="G1848" s="22">
        <f>IF($N1848="","",IF(ROUND($E1848-$D1848,0)=0,"√","▲ "&amp;TEXT($D1848-$E1848,"#,##0")))</f>
        <v/>
      </c>
      <c r="N1848">
        <f>IFERROR(MATCH($C$5&amp;"|"&amp;RIGHT("000000"&amp;1832,6),LdAKeyG,0),"")</f>
        <v/>
      </c>
    </row>
    <row r="1849">
      <c r="A1849" s="10" t="n">
        <v>1833</v>
      </c>
      <c r="B1849" s="14">
        <f>IF($N1849="","",INDEX(LdADate,$N1849))</f>
        <v/>
      </c>
      <c r="C1849" s="14">
        <f>IF($N1849="","",IF(INDEX(LdAId,$N1849)="","—",INDEX(LdAId,$N1849)))</f>
        <v/>
      </c>
      <c r="D1849" s="16">
        <f>IF($N1849="","",IF(INDEX(LdAAmt,$N1849)=0,"",INDEX(LdAAmt,$N1849)))</f>
        <v/>
      </c>
      <c r="E1849" s="16">
        <f>IF($N1849="","",SUMIFS(ShareAmt,ShareLink,$C1849))</f>
        <v/>
      </c>
      <c r="F1849" s="33">
        <f>IF($N1849="","",COUNTIF(ShareLink,$C1849))</f>
        <v/>
      </c>
      <c r="G1849" s="17">
        <f>IF($N1849="","",IF(ROUND($E1849-$D1849,0)=0,"√","▲ "&amp;TEXT($D1849-$E1849,"#,##0")))</f>
        <v/>
      </c>
      <c r="N1849">
        <f>IFERROR(MATCH($C$5&amp;"|"&amp;RIGHT("000000"&amp;1833,6),LdAKeyG,0),"")</f>
        <v/>
      </c>
    </row>
    <row r="1850">
      <c r="A1850" s="19" t="n">
        <v>1834</v>
      </c>
      <c r="B1850" s="20">
        <f>IF($N1850="","",INDEX(LdADate,$N1850))</f>
        <v/>
      </c>
      <c r="C1850" s="20">
        <f>IF($N1850="","",IF(INDEX(LdAId,$N1850)="","—",INDEX(LdAId,$N1850)))</f>
        <v/>
      </c>
      <c r="D1850" s="21">
        <f>IF($N1850="","",IF(INDEX(LdAAmt,$N1850)=0,"",INDEX(LdAAmt,$N1850)))</f>
        <v/>
      </c>
      <c r="E1850" s="21">
        <f>IF($N1850="","",SUMIFS(ShareAmt,ShareLink,$C1850))</f>
        <v/>
      </c>
      <c r="F1850" s="34">
        <f>IF($N1850="","",COUNTIF(ShareLink,$C1850))</f>
        <v/>
      </c>
      <c r="G1850" s="22">
        <f>IF($N1850="","",IF(ROUND($E1850-$D1850,0)=0,"√","▲ "&amp;TEXT($D1850-$E1850,"#,##0")))</f>
        <v/>
      </c>
      <c r="N1850">
        <f>IFERROR(MATCH($C$5&amp;"|"&amp;RIGHT("000000"&amp;1834,6),LdAKeyG,0),"")</f>
        <v/>
      </c>
    </row>
    <row r="1851">
      <c r="A1851" s="10" t="n">
        <v>1835</v>
      </c>
      <c r="B1851" s="14">
        <f>IF($N1851="","",INDEX(LdADate,$N1851))</f>
        <v/>
      </c>
      <c r="C1851" s="14">
        <f>IF($N1851="","",IF(INDEX(LdAId,$N1851)="","—",INDEX(LdAId,$N1851)))</f>
        <v/>
      </c>
      <c r="D1851" s="16">
        <f>IF($N1851="","",IF(INDEX(LdAAmt,$N1851)=0,"",INDEX(LdAAmt,$N1851)))</f>
        <v/>
      </c>
      <c r="E1851" s="16">
        <f>IF($N1851="","",SUMIFS(ShareAmt,ShareLink,$C1851))</f>
        <v/>
      </c>
      <c r="F1851" s="33">
        <f>IF($N1851="","",COUNTIF(ShareLink,$C1851))</f>
        <v/>
      </c>
      <c r="G1851" s="17">
        <f>IF($N1851="","",IF(ROUND($E1851-$D1851,0)=0,"√","▲ "&amp;TEXT($D1851-$E1851,"#,##0")))</f>
        <v/>
      </c>
      <c r="N1851">
        <f>IFERROR(MATCH($C$5&amp;"|"&amp;RIGHT("000000"&amp;1835,6),LdAKeyG,0),"")</f>
        <v/>
      </c>
    </row>
    <row r="1852">
      <c r="A1852" s="19" t="n">
        <v>1836</v>
      </c>
      <c r="B1852" s="20">
        <f>IF($N1852="","",INDEX(LdADate,$N1852))</f>
        <v/>
      </c>
      <c r="C1852" s="20">
        <f>IF($N1852="","",IF(INDEX(LdAId,$N1852)="","—",INDEX(LdAId,$N1852)))</f>
        <v/>
      </c>
      <c r="D1852" s="21">
        <f>IF($N1852="","",IF(INDEX(LdAAmt,$N1852)=0,"",INDEX(LdAAmt,$N1852)))</f>
        <v/>
      </c>
      <c r="E1852" s="21">
        <f>IF($N1852="","",SUMIFS(ShareAmt,ShareLink,$C1852))</f>
        <v/>
      </c>
      <c r="F1852" s="34">
        <f>IF($N1852="","",COUNTIF(ShareLink,$C1852))</f>
        <v/>
      </c>
      <c r="G1852" s="22">
        <f>IF($N1852="","",IF(ROUND($E1852-$D1852,0)=0,"√","▲ "&amp;TEXT($D1852-$E1852,"#,##0")))</f>
        <v/>
      </c>
      <c r="N1852">
        <f>IFERROR(MATCH($C$5&amp;"|"&amp;RIGHT("000000"&amp;1836,6),LdAKeyG,0),"")</f>
        <v/>
      </c>
    </row>
    <row r="1853">
      <c r="A1853" s="10" t="n">
        <v>1837</v>
      </c>
      <c r="B1853" s="14">
        <f>IF($N1853="","",INDEX(LdADate,$N1853))</f>
        <v/>
      </c>
      <c r="C1853" s="14">
        <f>IF($N1853="","",IF(INDEX(LdAId,$N1853)="","—",INDEX(LdAId,$N1853)))</f>
        <v/>
      </c>
      <c r="D1853" s="16">
        <f>IF($N1853="","",IF(INDEX(LdAAmt,$N1853)=0,"",INDEX(LdAAmt,$N1853)))</f>
        <v/>
      </c>
      <c r="E1853" s="16">
        <f>IF($N1853="","",SUMIFS(ShareAmt,ShareLink,$C1853))</f>
        <v/>
      </c>
      <c r="F1853" s="33">
        <f>IF($N1853="","",COUNTIF(ShareLink,$C1853))</f>
        <v/>
      </c>
      <c r="G1853" s="17">
        <f>IF($N1853="","",IF(ROUND($E1853-$D1853,0)=0,"√","▲ "&amp;TEXT($D1853-$E1853,"#,##0")))</f>
        <v/>
      </c>
      <c r="N1853">
        <f>IFERROR(MATCH($C$5&amp;"|"&amp;RIGHT("000000"&amp;1837,6),LdAKeyG,0),"")</f>
        <v/>
      </c>
    </row>
    <row r="1854">
      <c r="A1854" s="19" t="n">
        <v>1838</v>
      </c>
      <c r="B1854" s="20">
        <f>IF($N1854="","",INDEX(LdADate,$N1854))</f>
        <v/>
      </c>
      <c r="C1854" s="20">
        <f>IF($N1854="","",IF(INDEX(LdAId,$N1854)="","—",INDEX(LdAId,$N1854)))</f>
        <v/>
      </c>
      <c r="D1854" s="21">
        <f>IF($N1854="","",IF(INDEX(LdAAmt,$N1854)=0,"",INDEX(LdAAmt,$N1854)))</f>
        <v/>
      </c>
      <c r="E1854" s="21">
        <f>IF($N1854="","",SUMIFS(ShareAmt,ShareLink,$C1854))</f>
        <v/>
      </c>
      <c r="F1854" s="34">
        <f>IF($N1854="","",COUNTIF(ShareLink,$C1854))</f>
        <v/>
      </c>
      <c r="G1854" s="22">
        <f>IF($N1854="","",IF(ROUND($E1854-$D1854,0)=0,"√","▲ "&amp;TEXT($D1854-$E1854,"#,##0")))</f>
        <v/>
      </c>
      <c r="N1854">
        <f>IFERROR(MATCH($C$5&amp;"|"&amp;RIGHT("000000"&amp;1838,6),LdAKeyG,0),"")</f>
        <v/>
      </c>
    </row>
    <row r="1855">
      <c r="A1855" s="10" t="n">
        <v>1839</v>
      </c>
      <c r="B1855" s="14">
        <f>IF($N1855="","",INDEX(LdADate,$N1855))</f>
        <v/>
      </c>
      <c r="C1855" s="14">
        <f>IF($N1855="","",IF(INDEX(LdAId,$N1855)="","—",INDEX(LdAId,$N1855)))</f>
        <v/>
      </c>
      <c r="D1855" s="16">
        <f>IF($N1855="","",IF(INDEX(LdAAmt,$N1855)=0,"",INDEX(LdAAmt,$N1855)))</f>
        <v/>
      </c>
      <c r="E1855" s="16">
        <f>IF($N1855="","",SUMIFS(ShareAmt,ShareLink,$C1855))</f>
        <v/>
      </c>
      <c r="F1855" s="33">
        <f>IF($N1855="","",COUNTIF(ShareLink,$C1855))</f>
        <v/>
      </c>
      <c r="G1855" s="17">
        <f>IF($N1855="","",IF(ROUND($E1855-$D1855,0)=0,"√","▲ "&amp;TEXT($D1855-$E1855,"#,##0")))</f>
        <v/>
      </c>
      <c r="N1855">
        <f>IFERROR(MATCH($C$5&amp;"|"&amp;RIGHT("000000"&amp;1839,6),LdAKeyG,0),"")</f>
        <v/>
      </c>
    </row>
    <row r="1856">
      <c r="A1856" s="19" t="n">
        <v>1840</v>
      </c>
      <c r="B1856" s="20">
        <f>IF($N1856="","",INDEX(LdADate,$N1856))</f>
        <v/>
      </c>
      <c r="C1856" s="20">
        <f>IF($N1856="","",IF(INDEX(LdAId,$N1856)="","—",INDEX(LdAId,$N1856)))</f>
        <v/>
      </c>
      <c r="D1856" s="21">
        <f>IF($N1856="","",IF(INDEX(LdAAmt,$N1856)=0,"",INDEX(LdAAmt,$N1856)))</f>
        <v/>
      </c>
      <c r="E1856" s="21">
        <f>IF($N1856="","",SUMIFS(ShareAmt,ShareLink,$C1856))</f>
        <v/>
      </c>
      <c r="F1856" s="34">
        <f>IF($N1856="","",COUNTIF(ShareLink,$C1856))</f>
        <v/>
      </c>
      <c r="G1856" s="22">
        <f>IF($N1856="","",IF(ROUND($E1856-$D1856,0)=0,"√","▲ "&amp;TEXT($D1856-$E1856,"#,##0")))</f>
        <v/>
      </c>
      <c r="N1856">
        <f>IFERROR(MATCH($C$5&amp;"|"&amp;RIGHT("000000"&amp;1840,6),LdAKeyG,0),"")</f>
        <v/>
      </c>
    </row>
    <row r="1857">
      <c r="A1857" s="10" t="n">
        <v>1841</v>
      </c>
      <c r="B1857" s="14">
        <f>IF($N1857="","",INDEX(LdADate,$N1857))</f>
        <v/>
      </c>
      <c r="C1857" s="14">
        <f>IF($N1857="","",IF(INDEX(LdAId,$N1857)="","—",INDEX(LdAId,$N1857)))</f>
        <v/>
      </c>
      <c r="D1857" s="16">
        <f>IF($N1857="","",IF(INDEX(LdAAmt,$N1857)=0,"",INDEX(LdAAmt,$N1857)))</f>
        <v/>
      </c>
      <c r="E1857" s="16">
        <f>IF($N1857="","",SUMIFS(ShareAmt,ShareLink,$C1857))</f>
        <v/>
      </c>
      <c r="F1857" s="33">
        <f>IF($N1857="","",COUNTIF(ShareLink,$C1857))</f>
        <v/>
      </c>
      <c r="G1857" s="17">
        <f>IF($N1857="","",IF(ROUND($E1857-$D1857,0)=0,"√","▲ "&amp;TEXT($D1857-$E1857,"#,##0")))</f>
        <v/>
      </c>
      <c r="N1857">
        <f>IFERROR(MATCH($C$5&amp;"|"&amp;RIGHT("000000"&amp;1841,6),LdAKeyG,0),"")</f>
        <v/>
      </c>
    </row>
    <row r="1858">
      <c r="A1858" s="19" t="n">
        <v>1842</v>
      </c>
      <c r="B1858" s="20">
        <f>IF($N1858="","",INDEX(LdADate,$N1858))</f>
        <v/>
      </c>
      <c r="C1858" s="20">
        <f>IF($N1858="","",IF(INDEX(LdAId,$N1858)="","—",INDEX(LdAId,$N1858)))</f>
        <v/>
      </c>
      <c r="D1858" s="21">
        <f>IF($N1858="","",IF(INDEX(LdAAmt,$N1858)=0,"",INDEX(LdAAmt,$N1858)))</f>
        <v/>
      </c>
      <c r="E1858" s="21">
        <f>IF($N1858="","",SUMIFS(ShareAmt,ShareLink,$C1858))</f>
        <v/>
      </c>
      <c r="F1858" s="34">
        <f>IF($N1858="","",COUNTIF(ShareLink,$C1858))</f>
        <v/>
      </c>
      <c r="G1858" s="22">
        <f>IF($N1858="","",IF(ROUND($E1858-$D1858,0)=0,"√","▲ "&amp;TEXT($D1858-$E1858,"#,##0")))</f>
        <v/>
      </c>
      <c r="N1858">
        <f>IFERROR(MATCH($C$5&amp;"|"&amp;RIGHT("000000"&amp;1842,6),LdAKeyG,0),"")</f>
        <v/>
      </c>
    </row>
    <row r="1859">
      <c r="A1859" s="10" t="n">
        <v>1843</v>
      </c>
      <c r="B1859" s="14">
        <f>IF($N1859="","",INDEX(LdADate,$N1859))</f>
        <v/>
      </c>
      <c r="C1859" s="14">
        <f>IF($N1859="","",IF(INDEX(LdAId,$N1859)="","—",INDEX(LdAId,$N1859)))</f>
        <v/>
      </c>
      <c r="D1859" s="16">
        <f>IF($N1859="","",IF(INDEX(LdAAmt,$N1859)=0,"",INDEX(LdAAmt,$N1859)))</f>
        <v/>
      </c>
      <c r="E1859" s="16">
        <f>IF($N1859="","",SUMIFS(ShareAmt,ShareLink,$C1859))</f>
        <v/>
      </c>
      <c r="F1859" s="33">
        <f>IF($N1859="","",COUNTIF(ShareLink,$C1859))</f>
        <v/>
      </c>
      <c r="G1859" s="17">
        <f>IF($N1859="","",IF(ROUND($E1859-$D1859,0)=0,"√","▲ "&amp;TEXT($D1859-$E1859,"#,##0")))</f>
        <v/>
      </c>
      <c r="N1859">
        <f>IFERROR(MATCH($C$5&amp;"|"&amp;RIGHT("000000"&amp;1843,6),LdAKeyG,0),"")</f>
        <v/>
      </c>
    </row>
    <row r="1860">
      <c r="A1860" s="19" t="n">
        <v>1844</v>
      </c>
      <c r="B1860" s="20">
        <f>IF($N1860="","",INDEX(LdADate,$N1860))</f>
        <v/>
      </c>
      <c r="C1860" s="20">
        <f>IF($N1860="","",IF(INDEX(LdAId,$N1860)="","—",INDEX(LdAId,$N1860)))</f>
        <v/>
      </c>
      <c r="D1860" s="21">
        <f>IF($N1860="","",IF(INDEX(LdAAmt,$N1860)=0,"",INDEX(LdAAmt,$N1860)))</f>
        <v/>
      </c>
      <c r="E1860" s="21">
        <f>IF($N1860="","",SUMIFS(ShareAmt,ShareLink,$C1860))</f>
        <v/>
      </c>
      <c r="F1860" s="34">
        <f>IF($N1860="","",COUNTIF(ShareLink,$C1860))</f>
        <v/>
      </c>
      <c r="G1860" s="22">
        <f>IF($N1860="","",IF(ROUND($E1860-$D1860,0)=0,"√","▲ "&amp;TEXT($D1860-$E1860,"#,##0")))</f>
        <v/>
      </c>
      <c r="N1860">
        <f>IFERROR(MATCH($C$5&amp;"|"&amp;RIGHT("000000"&amp;1844,6),LdAKeyG,0),"")</f>
        <v/>
      </c>
    </row>
    <row r="1861">
      <c r="A1861" s="10" t="n">
        <v>1845</v>
      </c>
      <c r="B1861" s="14">
        <f>IF($N1861="","",INDEX(LdADate,$N1861))</f>
        <v/>
      </c>
      <c r="C1861" s="14">
        <f>IF($N1861="","",IF(INDEX(LdAId,$N1861)="","—",INDEX(LdAId,$N1861)))</f>
        <v/>
      </c>
      <c r="D1861" s="16">
        <f>IF($N1861="","",IF(INDEX(LdAAmt,$N1861)=0,"",INDEX(LdAAmt,$N1861)))</f>
        <v/>
      </c>
      <c r="E1861" s="16">
        <f>IF($N1861="","",SUMIFS(ShareAmt,ShareLink,$C1861))</f>
        <v/>
      </c>
      <c r="F1861" s="33">
        <f>IF($N1861="","",COUNTIF(ShareLink,$C1861))</f>
        <v/>
      </c>
      <c r="G1861" s="17">
        <f>IF($N1861="","",IF(ROUND($E1861-$D1861,0)=0,"√","▲ "&amp;TEXT($D1861-$E1861,"#,##0")))</f>
        <v/>
      </c>
      <c r="N1861">
        <f>IFERROR(MATCH($C$5&amp;"|"&amp;RIGHT("000000"&amp;1845,6),LdAKeyG,0),"")</f>
        <v/>
      </c>
    </row>
    <row r="1862">
      <c r="A1862" s="19" t="n">
        <v>1846</v>
      </c>
      <c r="B1862" s="20">
        <f>IF($N1862="","",INDEX(LdADate,$N1862))</f>
        <v/>
      </c>
      <c r="C1862" s="20">
        <f>IF($N1862="","",IF(INDEX(LdAId,$N1862)="","—",INDEX(LdAId,$N1862)))</f>
        <v/>
      </c>
      <c r="D1862" s="21">
        <f>IF($N1862="","",IF(INDEX(LdAAmt,$N1862)=0,"",INDEX(LdAAmt,$N1862)))</f>
        <v/>
      </c>
      <c r="E1862" s="21">
        <f>IF($N1862="","",SUMIFS(ShareAmt,ShareLink,$C1862))</f>
        <v/>
      </c>
      <c r="F1862" s="34">
        <f>IF($N1862="","",COUNTIF(ShareLink,$C1862))</f>
        <v/>
      </c>
      <c r="G1862" s="22">
        <f>IF($N1862="","",IF(ROUND($E1862-$D1862,0)=0,"√","▲ "&amp;TEXT($D1862-$E1862,"#,##0")))</f>
        <v/>
      </c>
      <c r="N1862">
        <f>IFERROR(MATCH($C$5&amp;"|"&amp;RIGHT("000000"&amp;1846,6),LdAKeyG,0),"")</f>
        <v/>
      </c>
    </row>
    <row r="1863">
      <c r="A1863" s="10" t="n">
        <v>1847</v>
      </c>
      <c r="B1863" s="14">
        <f>IF($N1863="","",INDEX(LdADate,$N1863))</f>
        <v/>
      </c>
      <c r="C1863" s="14">
        <f>IF($N1863="","",IF(INDEX(LdAId,$N1863)="","—",INDEX(LdAId,$N1863)))</f>
        <v/>
      </c>
      <c r="D1863" s="16">
        <f>IF($N1863="","",IF(INDEX(LdAAmt,$N1863)=0,"",INDEX(LdAAmt,$N1863)))</f>
        <v/>
      </c>
      <c r="E1863" s="16">
        <f>IF($N1863="","",SUMIFS(ShareAmt,ShareLink,$C1863))</f>
        <v/>
      </c>
      <c r="F1863" s="33">
        <f>IF($N1863="","",COUNTIF(ShareLink,$C1863))</f>
        <v/>
      </c>
      <c r="G1863" s="17">
        <f>IF($N1863="","",IF(ROUND($E1863-$D1863,0)=0,"√","▲ "&amp;TEXT($D1863-$E1863,"#,##0")))</f>
        <v/>
      </c>
      <c r="N1863">
        <f>IFERROR(MATCH($C$5&amp;"|"&amp;RIGHT("000000"&amp;1847,6),LdAKeyG,0),"")</f>
        <v/>
      </c>
    </row>
    <row r="1864">
      <c r="A1864" s="19" t="n">
        <v>1848</v>
      </c>
      <c r="B1864" s="20">
        <f>IF($N1864="","",INDEX(LdADate,$N1864))</f>
        <v/>
      </c>
      <c r="C1864" s="20">
        <f>IF($N1864="","",IF(INDEX(LdAId,$N1864)="","—",INDEX(LdAId,$N1864)))</f>
        <v/>
      </c>
      <c r="D1864" s="21">
        <f>IF($N1864="","",IF(INDEX(LdAAmt,$N1864)=0,"",INDEX(LdAAmt,$N1864)))</f>
        <v/>
      </c>
      <c r="E1864" s="21">
        <f>IF($N1864="","",SUMIFS(ShareAmt,ShareLink,$C1864))</f>
        <v/>
      </c>
      <c r="F1864" s="34">
        <f>IF($N1864="","",COUNTIF(ShareLink,$C1864))</f>
        <v/>
      </c>
      <c r="G1864" s="22">
        <f>IF($N1864="","",IF(ROUND($E1864-$D1864,0)=0,"√","▲ "&amp;TEXT($D1864-$E1864,"#,##0")))</f>
        <v/>
      </c>
      <c r="N1864">
        <f>IFERROR(MATCH($C$5&amp;"|"&amp;RIGHT("000000"&amp;1848,6),LdAKeyG,0),"")</f>
        <v/>
      </c>
    </row>
    <row r="1865">
      <c r="A1865" s="10" t="n">
        <v>1849</v>
      </c>
      <c r="B1865" s="14">
        <f>IF($N1865="","",INDEX(LdADate,$N1865))</f>
        <v/>
      </c>
      <c r="C1865" s="14">
        <f>IF($N1865="","",IF(INDEX(LdAId,$N1865)="","—",INDEX(LdAId,$N1865)))</f>
        <v/>
      </c>
      <c r="D1865" s="16">
        <f>IF($N1865="","",IF(INDEX(LdAAmt,$N1865)=0,"",INDEX(LdAAmt,$N1865)))</f>
        <v/>
      </c>
      <c r="E1865" s="16">
        <f>IF($N1865="","",SUMIFS(ShareAmt,ShareLink,$C1865))</f>
        <v/>
      </c>
      <c r="F1865" s="33">
        <f>IF($N1865="","",COUNTIF(ShareLink,$C1865))</f>
        <v/>
      </c>
      <c r="G1865" s="17">
        <f>IF($N1865="","",IF(ROUND($E1865-$D1865,0)=0,"√","▲ "&amp;TEXT($D1865-$E1865,"#,##0")))</f>
        <v/>
      </c>
      <c r="N1865">
        <f>IFERROR(MATCH($C$5&amp;"|"&amp;RIGHT("000000"&amp;1849,6),LdAKeyG,0),"")</f>
        <v/>
      </c>
    </row>
    <row r="1866">
      <c r="A1866" s="19" t="n">
        <v>1850</v>
      </c>
      <c r="B1866" s="20">
        <f>IF($N1866="","",INDEX(LdADate,$N1866))</f>
        <v/>
      </c>
      <c r="C1866" s="20">
        <f>IF($N1866="","",IF(INDEX(LdAId,$N1866)="","—",INDEX(LdAId,$N1866)))</f>
        <v/>
      </c>
      <c r="D1866" s="21">
        <f>IF($N1866="","",IF(INDEX(LdAAmt,$N1866)=0,"",INDEX(LdAAmt,$N1866)))</f>
        <v/>
      </c>
      <c r="E1866" s="21">
        <f>IF($N1866="","",SUMIFS(ShareAmt,ShareLink,$C1866))</f>
        <v/>
      </c>
      <c r="F1866" s="34">
        <f>IF($N1866="","",COUNTIF(ShareLink,$C1866))</f>
        <v/>
      </c>
      <c r="G1866" s="22">
        <f>IF($N1866="","",IF(ROUND($E1866-$D1866,0)=0,"√","▲ "&amp;TEXT($D1866-$E1866,"#,##0")))</f>
        <v/>
      </c>
      <c r="N1866">
        <f>IFERROR(MATCH($C$5&amp;"|"&amp;RIGHT("000000"&amp;1850,6),LdAKeyG,0),"")</f>
        <v/>
      </c>
    </row>
    <row r="1867">
      <c r="A1867" s="10" t="n">
        <v>1851</v>
      </c>
      <c r="B1867" s="14">
        <f>IF($N1867="","",INDEX(LdADate,$N1867))</f>
        <v/>
      </c>
      <c r="C1867" s="14">
        <f>IF($N1867="","",IF(INDEX(LdAId,$N1867)="","—",INDEX(LdAId,$N1867)))</f>
        <v/>
      </c>
      <c r="D1867" s="16">
        <f>IF($N1867="","",IF(INDEX(LdAAmt,$N1867)=0,"",INDEX(LdAAmt,$N1867)))</f>
        <v/>
      </c>
      <c r="E1867" s="16">
        <f>IF($N1867="","",SUMIFS(ShareAmt,ShareLink,$C1867))</f>
        <v/>
      </c>
      <c r="F1867" s="33">
        <f>IF($N1867="","",COUNTIF(ShareLink,$C1867))</f>
        <v/>
      </c>
      <c r="G1867" s="17">
        <f>IF($N1867="","",IF(ROUND($E1867-$D1867,0)=0,"√","▲ "&amp;TEXT($D1867-$E1867,"#,##0")))</f>
        <v/>
      </c>
      <c r="N1867">
        <f>IFERROR(MATCH($C$5&amp;"|"&amp;RIGHT("000000"&amp;1851,6),LdAKeyG,0),"")</f>
        <v/>
      </c>
    </row>
    <row r="1868">
      <c r="A1868" s="19" t="n">
        <v>1852</v>
      </c>
      <c r="B1868" s="20">
        <f>IF($N1868="","",INDEX(LdADate,$N1868))</f>
        <v/>
      </c>
      <c r="C1868" s="20">
        <f>IF($N1868="","",IF(INDEX(LdAId,$N1868)="","—",INDEX(LdAId,$N1868)))</f>
        <v/>
      </c>
      <c r="D1868" s="21">
        <f>IF($N1868="","",IF(INDEX(LdAAmt,$N1868)=0,"",INDEX(LdAAmt,$N1868)))</f>
        <v/>
      </c>
      <c r="E1868" s="21">
        <f>IF($N1868="","",SUMIFS(ShareAmt,ShareLink,$C1868))</f>
        <v/>
      </c>
      <c r="F1868" s="34">
        <f>IF($N1868="","",COUNTIF(ShareLink,$C1868))</f>
        <v/>
      </c>
      <c r="G1868" s="22">
        <f>IF($N1868="","",IF(ROUND($E1868-$D1868,0)=0,"√","▲ "&amp;TEXT($D1868-$E1868,"#,##0")))</f>
        <v/>
      </c>
      <c r="N1868">
        <f>IFERROR(MATCH($C$5&amp;"|"&amp;RIGHT("000000"&amp;1852,6),LdAKeyG,0),"")</f>
        <v/>
      </c>
    </row>
    <row r="1869">
      <c r="A1869" s="10" t="n">
        <v>1853</v>
      </c>
      <c r="B1869" s="14">
        <f>IF($N1869="","",INDEX(LdADate,$N1869))</f>
        <v/>
      </c>
      <c r="C1869" s="14">
        <f>IF($N1869="","",IF(INDEX(LdAId,$N1869)="","—",INDEX(LdAId,$N1869)))</f>
        <v/>
      </c>
      <c r="D1869" s="16">
        <f>IF($N1869="","",IF(INDEX(LdAAmt,$N1869)=0,"",INDEX(LdAAmt,$N1869)))</f>
        <v/>
      </c>
      <c r="E1869" s="16">
        <f>IF($N1869="","",SUMIFS(ShareAmt,ShareLink,$C1869))</f>
        <v/>
      </c>
      <c r="F1869" s="33">
        <f>IF($N1869="","",COUNTIF(ShareLink,$C1869))</f>
        <v/>
      </c>
      <c r="G1869" s="17">
        <f>IF($N1869="","",IF(ROUND($E1869-$D1869,0)=0,"√","▲ "&amp;TEXT($D1869-$E1869,"#,##0")))</f>
        <v/>
      </c>
      <c r="N1869">
        <f>IFERROR(MATCH($C$5&amp;"|"&amp;RIGHT("000000"&amp;1853,6),LdAKeyG,0),"")</f>
        <v/>
      </c>
    </row>
    <row r="1870">
      <c r="A1870" s="19" t="n">
        <v>1854</v>
      </c>
      <c r="B1870" s="20">
        <f>IF($N1870="","",INDEX(LdADate,$N1870))</f>
        <v/>
      </c>
      <c r="C1870" s="20">
        <f>IF($N1870="","",IF(INDEX(LdAId,$N1870)="","—",INDEX(LdAId,$N1870)))</f>
        <v/>
      </c>
      <c r="D1870" s="21">
        <f>IF($N1870="","",IF(INDEX(LdAAmt,$N1870)=0,"",INDEX(LdAAmt,$N1870)))</f>
        <v/>
      </c>
      <c r="E1870" s="21">
        <f>IF($N1870="","",SUMIFS(ShareAmt,ShareLink,$C1870))</f>
        <v/>
      </c>
      <c r="F1870" s="34">
        <f>IF($N1870="","",COUNTIF(ShareLink,$C1870))</f>
        <v/>
      </c>
      <c r="G1870" s="22">
        <f>IF($N1870="","",IF(ROUND($E1870-$D1870,0)=0,"√","▲ "&amp;TEXT($D1870-$E1870,"#,##0")))</f>
        <v/>
      </c>
      <c r="N1870">
        <f>IFERROR(MATCH($C$5&amp;"|"&amp;RIGHT("000000"&amp;1854,6),LdAKeyG,0),"")</f>
        <v/>
      </c>
    </row>
    <row r="1871">
      <c r="A1871" s="10" t="n">
        <v>1855</v>
      </c>
      <c r="B1871" s="14">
        <f>IF($N1871="","",INDEX(LdADate,$N1871))</f>
        <v/>
      </c>
      <c r="C1871" s="14">
        <f>IF($N1871="","",IF(INDEX(LdAId,$N1871)="","—",INDEX(LdAId,$N1871)))</f>
        <v/>
      </c>
      <c r="D1871" s="16">
        <f>IF($N1871="","",IF(INDEX(LdAAmt,$N1871)=0,"",INDEX(LdAAmt,$N1871)))</f>
        <v/>
      </c>
      <c r="E1871" s="16">
        <f>IF($N1871="","",SUMIFS(ShareAmt,ShareLink,$C1871))</f>
        <v/>
      </c>
      <c r="F1871" s="33">
        <f>IF($N1871="","",COUNTIF(ShareLink,$C1871))</f>
        <v/>
      </c>
      <c r="G1871" s="17">
        <f>IF($N1871="","",IF(ROUND($E1871-$D1871,0)=0,"√","▲ "&amp;TEXT($D1871-$E1871,"#,##0")))</f>
        <v/>
      </c>
      <c r="N1871">
        <f>IFERROR(MATCH($C$5&amp;"|"&amp;RIGHT("000000"&amp;1855,6),LdAKeyG,0),"")</f>
        <v/>
      </c>
    </row>
    <row r="1872">
      <c r="A1872" s="19" t="n">
        <v>1856</v>
      </c>
      <c r="B1872" s="20">
        <f>IF($N1872="","",INDEX(LdADate,$N1872))</f>
        <v/>
      </c>
      <c r="C1872" s="20">
        <f>IF($N1872="","",IF(INDEX(LdAId,$N1872)="","—",INDEX(LdAId,$N1872)))</f>
        <v/>
      </c>
      <c r="D1872" s="21">
        <f>IF($N1872="","",IF(INDEX(LdAAmt,$N1872)=0,"",INDEX(LdAAmt,$N1872)))</f>
        <v/>
      </c>
      <c r="E1872" s="21">
        <f>IF($N1872="","",SUMIFS(ShareAmt,ShareLink,$C1872))</f>
        <v/>
      </c>
      <c r="F1872" s="34">
        <f>IF($N1872="","",COUNTIF(ShareLink,$C1872))</f>
        <v/>
      </c>
      <c r="G1872" s="22">
        <f>IF($N1872="","",IF(ROUND($E1872-$D1872,0)=0,"√","▲ "&amp;TEXT($D1872-$E1872,"#,##0")))</f>
        <v/>
      </c>
      <c r="N1872">
        <f>IFERROR(MATCH($C$5&amp;"|"&amp;RIGHT("000000"&amp;1856,6),LdAKeyG,0),"")</f>
        <v/>
      </c>
    </row>
    <row r="1873">
      <c r="A1873" s="10" t="n">
        <v>1857</v>
      </c>
      <c r="B1873" s="14">
        <f>IF($N1873="","",INDEX(LdADate,$N1873))</f>
        <v/>
      </c>
      <c r="C1873" s="14">
        <f>IF($N1873="","",IF(INDEX(LdAId,$N1873)="","—",INDEX(LdAId,$N1873)))</f>
        <v/>
      </c>
      <c r="D1873" s="16">
        <f>IF($N1873="","",IF(INDEX(LdAAmt,$N1873)=0,"",INDEX(LdAAmt,$N1873)))</f>
        <v/>
      </c>
      <c r="E1873" s="16">
        <f>IF($N1873="","",SUMIFS(ShareAmt,ShareLink,$C1873))</f>
        <v/>
      </c>
      <c r="F1873" s="33">
        <f>IF($N1873="","",COUNTIF(ShareLink,$C1873))</f>
        <v/>
      </c>
      <c r="G1873" s="17">
        <f>IF($N1873="","",IF(ROUND($E1873-$D1873,0)=0,"√","▲ "&amp;TEXT($D1873-$E1873,"#,##0")))</f>
        <v/>
      </c>
      <c r="N1873">
        <f>IFERROR(MATCH($C$5&amp;"|"&amp;RIGHT("000000"&amp;1857,6),LdAKeyG,0),"")</f>
        <v/>
      </c>
    </row>
    <row r="1874">
      <c r="A1874" s="19" t="n">
        <v>1858</v>
      </c>
      <c r="B1874" s="20">
        <f>IF($N1874="","",INDEX(LdADate,$N1874))</f>
        <v/>
      </c>
      <c r="C1874" s="20">
        <f>IF($N1874="","",IF(INDEX(LdAId,$N1874)="","—",INDEX(LdAId,$N1874)))</f>
        <v/>
      </c>
      <c r="D1874" s="21">
        <f>IF($N1874="","",IF(INDEX(LdAAmt,$N1874)=0,"",INDEX(LdAAmt,$N1874)))</f>
        <v/>
      </c>
      <c r="E1874" s="21">
        <f>IF($N1874="","",SUMIFS(ShareAmt,ShareLink,$C1874))</f>
        <v/>
      </c>
      <c r="F1874" s="34">
        <f>IF($N1874="","",COUNTIF(ShareLink,$C1874))</f>
        <v/>
      </c>
      <c r="G1874" s="22">
        <f>IF($N1874="","",IF(ROUND($E1874-$D1874,0)=0,"√","▲ "&amp;TEXT($D1874-$E1874,"#,##0")))</f>
        <v/>
      </c>
      <c r="N1874">
        <f>IFERROR(MATCH($C$5&amp;"|"&amp;RIGHT("000000"&amp;1858,6),LdAKeyG,0),"")</f>
        <v/>
      </c>
    </row>
    <row r="1875">
      <c r="A1875" s="10" t="n">
        <v>1859</v>
      </c>
      <c r="B1875" s="14">
        <f>IF($N1875="","",INDEX(LdADate,$N1875))</f>
        <v/>
      </c>
      <c r="C1875" s="14">
        <f>IF($N1875="","",IF(INDEX(LdAId,$N1875)="","—",INDEX(LdAId,$N1875)))</f>
        <v/>
      </c>
      <c r="D1875" s="16">
        <f>IF($N1875="","",IF(INDEX(LdAAmt,$N1875)=0,"",INDEX(LdAAmt,$N1875)))</f>
        <v/>
      </c>
      <c r="E1875" s="16">
        <f>IF($N1875="","",SUMIFS(ShareAmt,ShareLink,$C1875))</f>
        <v/>
      </c>
      <c r="F1875" s="33">
        <f>IF($N1875="","",COUNTIF(ShareLink,$C1875))</f>
        <v/>
      </c>
      <c r="G1875" s="17">
        <f>IF($N1875="","",IF(ROUND($E1875-$D1875,0)=0,"√","▲ "&amp;TEXT($D1875-$E1875,"#,##0")))</f>
        <v/>
      </c>
      <c r="N1875">
        <f>IFERROR(MATCH($C$5&amp;"|"&amp;RIGHT("000000"&amp;1859,6),LdAKeyG,0),"")</f>
        <v/>
      </c>
    </row>
    <row r="1876">
      <c r="A1876" s="19" t="n">
        <v>1860</v>
      </c>
      <c r="B1876" s="20">
        <f>IF($N1876="","",INDEX(LdADate,$N1876))</f>
        <v/>
      </c>
      <c r="C1876" s="20">
        <f>IF($N1876="","",IF(INDEX(LdAId,$N1876)="","—",INDEX(LdAId,$N1876)))</f>
        <v/>
      </c>
      <c r="D1876" s="21">
        <f>IF($N1876="","",IF(INDEX(LdAAmt,$N1876)=0,"",INDEX(LdAAmt,$N1876)))</f>
        <v/>
      </c>
      <c r="E1876" s="21">
        <f>IF($N1876="","",SUMIFS(ShareAmt,ShareLink,$C1876))</f>
        <v/>
      </c>
      <c r="F1876" s="34">
        <f>IF($N1876="","",COUNTIF(ShareLink,$C1876))</f>
        <v/>
      </c>
      <c r="G1876" s="22">
        <f>IF($N1876="","",IF(ROUND($E1876-$D1876,0)=0,"√","▲ "&amp;TEXT($D1876-$E1876,"#,##0")))</f>
        <v/>
      </c>
      <c r="N1876">
        <f>IFERROR(MATCH($C$5&amp;"|"&amp;RIGHT("000000"&amp;1860,6),LdAKeyG,0),"")</f>
        <v/>
      </c>
    </row>
    <row r="1877">
      <c r="A1877" s="10" t="n">
        <v>1861</v>
      </c>
      <c r="B1877" s="14">
        <f>IF($N1877="","",INDEX(LdADate,$N1877))</f>
        <v/>
      </c>
      <c r="C1877" s="14">
        <f>IF($N1877="","",IF(INDEX(LdAId,$N1877)="","—",INDEX(LdAId,$N1877)))</f>
        <v/>
      </c>
      <c r="D1877" s="16">
        <f>IF($N1877="","",IF(INDEX(LdAAmt,$N1877)=0,"",INDEX(LdAAmt,$N1877)))</f>
        <v/>
      </c>
      <c r="E1877" s="16">
        <f>IF($N1877="","",SUMIFS(ShareAmt,ShareLink,$C1877))</f>
        <v/>
      </c>
      <c r="F1877" s="33">
        <f>IF($N1877="","",COUNTIF(ShareLink,$C1877))</f>
        <v/>
      </c>
      <c r="G1877" s="17">
        <f>IF($N1877="","",IF(ROUND($E1877-$D1877,0)=0,"√","▲ "&amp;TEXT($D1877-$E1877,"#,##0")))</f>
        <v/>
      </c>
      <c r="N1877">
        <f>IFERROR(MATCH($C$5&amp;"|"&amp;RIGHT("000000"&amp;1861,6),LdAKeyG,0),"")</f>
        <v/>
      </c>
    </row>
    <row r="1878">
      <c r="A1878" s="19" t="n">
        <v>1862</v>
      </c>
      <c r="B1878" s="20">
        <f>IF($N1878="","",INDEX(LdADate,$N1878))</f>
        <v/>
      </c>
      <c r="C1878" s="20">
        <f>IF($N1878="","",IF(INDEX(LdAId,$N1878)="","—",INDEX(LdAId,$N1878)))</f>
        <v/>
      </c>
      <c r="D1878" s="21">
        <f>IF($N1878="","",IF(INDEX(LdAAmt,$N1878)=0,"",INDEX(LdAAmt,$N1878)))</f>
        <v/>
      </c>
      <c r="E1878" s="21">
        <f>IF($N1878="","",SUMIFS(ShareAmt,ShareLink,$C1878))</f>
        <v/>
      </c>
      <c r="F1878" s="34">
        <f>IF($N1878="","",COUNTIF(ShareLink,$C1878))</f>
        <v/>
      </c>
      <c r="G1878" s="22">
        <f>IF($N1878="","",IF(ROUND($E1878-$D1878,0)=0,"√","▲ "&amp;TEXT($D1878-$E1878,"#,##0")))</f>
        <v/>
      </c>
      <c r="N1878">
        <f>IFERROR(MATCH($C$5&amp;"|"&amp;RIGHT("000000"&amp;1862,6),LdAKeyG,0),"")</f>
        <v/>
      </c>
    </row>
    <row r="1879">
      <c r="A1879" s="10" t="n">
        <v>1863</v>
      </c>
      <c r="B1879" s="14">
        <f>IF($N1879="","",INDEX(LdADate,$N1879))</f>
        <v/>
      </c>
      <c r="C1879" s="14">
        <f>IF($N1879="","",IF(INDEX(LdAId,$N1879)="","—",INDEX(LdAId,$N1879)))</f>
        <v/>
      </c>
      <c r="D1879" s="16">
        <f>IF($N1879="","",IF(INDEX(LdAAmt,$N1879)=0,"",INDEX(LdAAmt,$N1879)))</f>
        <v/>
      </c>
      <c r="E1879" s="16">
        <f>IF($N1879="","",SUMIFS(ShareAmt,ShareLink,$C1879))</f>
        <v/>
      </c>
      <c r="F1879" s="33">
        <f>IF($N1879="","",COUNTIF(ShareLink,$C1879))</f>
        <v/>
      </c>
      <c r="G1879" s="17">
        <f>IF($N1879="","",IF(ROUND($E1879-$D1879,0)=0,"√","▲ "&amp;TEXT($D1879-$E1879,"#,##0")))</f>
        <v/>
      </c>
      <c r="N1879">
        <f>IFERROR(MATCH($C$5&amp;"|"&amp;RIGHT("000000"&amp;1863,6),LdAKeyG,0),"")</f>
        <v/>
      </c>
    </row>
    <row r="1880">
      <c r="A1880" s="19" t="n">
        <v>1864</v>
      </c>
      <c r="B1880" s="20">
        <f>IF($N1880="","",INDEX(LdADate,$N1880))</f>
        <v/>
      </c>
      <c r="C1880" s="20">
        <f>IF($N1880="","",IF(INDEX(LdAId,$N1880)="","—",INDEX(LdAId,$N1880)))</f>
        <v/>
      </c>
      <c r="D1880" s="21">
        <f>IF($N1880="","",IF(INDEX(LdAAmt,$N1880)=0,"",INDEX(LdAAmt,$N1880)))</f>
        <v/>
      </c>
      <c r="E1880" s="21">
        <f>IF($N1880="","",SUMIFS(ShareAmt,ShareLink,$C1880))</f>
        <v/>
      </c>
      <c r="F1880" s="34">
        <f>IF($N1880="","",COUNTIF(ShareLink,$C1880))</f>
        <v/>
      </c>
      <c r="G1880" s="22">
        <f>IF($N1880="","",IF(ROUND($E1880-$D1880,0)=0,"√","▲ "&amp;TEXT($D1880-$E1880,"#,##0")))</f>
        <v/>
      </c>
      <c r="N1880">
        <f>IFERROR(MATCH($C$5&amp;"|"&amp;RIGHT("000000"&amp;1864,6),LdAKeyG,0),"")</f>
        <v/>
      </c>
    </row>
    <row r="1881">
      <c r="A1881" s="10" t="n">
        <v>1865</v>
      </c>
      <c r="B1881" s="14">
        <f>IF($N1881="","",INDEX(LdADate,$N1881))</f>
        <v/>
      </c>
      <c r="C1881" s="14">
        <f>IF($N1881="","",IF(INDEX(LdAId,$N1881)="","—",INDEX(LdAId,$N1881)))</f>
        <v/>
      </c>
      <c r="D1881" s="16">
        <f>IF($N1881="","",IF(INDEX(LdAAmt,$N1881)=0,"",INDEX(LdAAmt,$N1881)))</f>
        <v/>
      </c>
      <c r="E1881" s="16">
        <f>IF($N1881="","",SUMIFS(ShareAmt,ShareLink,$C1881))</f>
        <v/>
      </c>
      <c r="F1881" s="33">
        <f>IF($N1881="","",COUNTIF(ShareLink,$C1881))</f>
        <v/>
      </c>
      <c r="G1881" s="17">
        <f>IF($N1881="","",IF(ROUND($E1881-$D1881,0)=0,"√","▲ "&amp;TEXT($D1881-$E1881,"#,##0")))</f>
        <v/>
      </c>
      <c r="N1881">
        <f>IFERROR(MATCH($C$5&amp;"|"&amp;RIGHT("000000"&amp;1865,6),LdAKeyG,0),"")</f>
        <v/>
      </c>
    </row>
    <row r="1882">
      <c r="A1882" s="19" t="n">
        <v>1866</v>
      </c>
      <c r="B1882" s="20">
        <f>IF($N1882="","",INDEX(LdADate,$N1882))</f>
        <v/>
      </c>
      <c r="C1882" s="20">
        <f>IF($N1882="","",IF(INDEX(LdAId,$N1882)="","—",INDEX(LdAId,$N1882)))</f>
        <v/>
      </c>
      <c r="D1882" s="21">
        <f>IF($N1882="","",IF(INDEX(LdAAmt,$N1882)=0,"",INDEX(LdAAmt,$N1882)))</f>
        <v/>
      </c>
      <c r="E1882" s="21">
        <f>IF($N1882="","",SUMIFS(ShareAmt,ShareLink,$C1882))</f>
        <v/>
      </c>
      <c r="F1882" s="34">
        <f>IF($N1882="","",COUNTIF(ShareLink,$C1882))</f>
        <v/>
      </c>
      <c r="G1882" s="22">
        <f>IF($N1882="","",IF(ROUND($E1882-$D1882,0)=0,"√","▲ "&amp;TEXT($D1882-$E1882,"#,##0")))</f>
        <v/>
      </c>
      <c r="N1882">
        <f>IFERROR(MATCH($C$5&amp;"|"&amp;RIGHT("000000"&amp;1866,6),LdAKeyG,0),"")</f>
        <v/>
      </c>
    </row>
    <row r="1883">
      <c r="A1883" s="10" t="n">
        <v>1867</v>
      </c>
      <c r="B1883" s="14">
        <f>IF($N1883="","",INDEX(LdADate,$N1883))</f>
        <v/>
      </c>
      <c r="C1883" s="14">
        <f>IF($N1883="","",IF(INDEX(LdAId,$N1883)="","—",INDEX(LdAId,$N1883)))</f>
        <v/>
      </c>
      <c r="D1883" s="16">
        <f>IF($N1883="","",IF(INDEX(LdAAmt,$N1883)=0,"",INDEX(LdAAmt,$N1883)))</f>
        <v/>
      </c>
      <c r="E1883" s="16">
        <f>IF($N1883="","",SUMIFS(ShareAmt,ShareLink,$C1883))</f>
        <v/>
      </c>
      <c r="F1883" s="33">
        <f>IF($N1883="","",COUNTIF(ShareLink,$C1883))</f>
        <v/>
      </c>
      <c r="G1883" s="17">
        <f>IF($N1883="","",IF(ROUND($E1883-$D1883,0)=0,"√","▲ "&amp;TEXT($D1883-$E1883,"#,##0")))</f>
        <v/>
      </c>
      <c r="N1883">
        <f>IFERROR(MATCH($C$5&amp;"|"&amp;RIGHT("000000"&amp;1867,6),LdAKeyG,0),"")</f>
        <v/>
      </c>
    </row>
    <row r="1884">
      <c r="A1884" s="19" t="n">
        <v>1868</v>
      </c>
      <c r="B1884" s="20">
        <f>IF($N1884="","",INDEX(LdADate,$N1884))</f>
        <v/>
      </c>
      <c r="C1884" s="20">
        <f>IF($N1884="","",IF(INDEX(LdAId,$N1884)="","—",INDEX(LdAId,$N1884)))</f>
        <v/>
      </c>
      <c r="D1884" s="21">
        <f>IF($N1884="","",IF(INDEX(LdAAmt,$N1884)=0,"",INDEX(LdAAmt,$N1884)))</f>
        <v/>
      </c>
      <c r="E1884" s="21">
        <f>IF($N1884="","",SUMIFS(ShareAmt,ShareLink,$C1884))</f>
        <v/>
      </c>
      <c r="F1884" s="34">
        <f>IF($N1884="","",COUNTIF(ShareLink,$C1884))</f>
        <v/>
      </c>
      <c r="G1884" s="22">
        <f>IF($N1884="","",IF(ROUND($E1884-$D1884,0)=0,"√","▲ "&amp;TEXT($D1884-$E1884,"#,##0")))</f>
        <v/>
      </c>
      <c r="N1884">
        <f>IFERROR(MATCH($C$5&amp;"|"&amp;RIGHT("000000"&amp;1868,6),LdAKeyG,0),"")</f>
        <v/>
      </c>
    </row>
    <row r="1885">
      <c r="A1885" s="10" t="n">
        <v>1869</v>
      </c>
      <c r="B1885" s="14">
        <f>IF($N1885="","",INDEX(LdADate,$N1885))</f>
        <v/>
      </c>
      <c r="C1885" s="14">
        <f>IF($N1885="","",IF(INDEX(LdAId,$N1885)="","—",INDEX(LdAId,$N1885)))</f>
        <v/>
      </c>
      <c r="D1885" s="16">
        <f>IF($N1885="","",IF(INDEX(LdAAmt,$N1885)=0,"",INDEX(LdAAmt,$N1885)))</f>
        <v/>
      </c>
      <c r="E1885" s="16">
        <f>IF($N1885="","",SUMIFS(ShareAmt,ShareLink,$C1885))</f>
        <v/>
      </c>
      <c r="F1885" s="33">
        <f>IF($N1885="","",COUNTIF(ShareLink,$C1885))</f>
        <v/>
      </c>
      <c r="G1885" s="17">
        <f>IF($N1885="","",IF(ROUND($E1885-$D1885,0)=0,"√","▲ "&amp;TEXT($D1885-$E1885,"#,##0")))</f>
        <v/>
      </c>
      <c r="N1885">
        <f>IFERROR(MATCH($C$5&amp;"|"&amp;RIGHT("000000"&amp;1869,6),LdAKeyG,0),"")</f>
        <v/>
      </c>
    </row>
    <row r="1886">
      <c r="A1886" s="19" t="n">
        <v>1870</v>
      </c>
      <c r="B1886" s="20">
        <f>IF($N1886="","",INDEX(LdADate,$N1886))</f>
        <v/>
      </c>
      <c r="C1886" s="20">
        <f>IF($N1886="","",IF(INDEX(LdAId,$N1886)="","—",INDEX(LdAId,$N1886)))</f>
        <v/>
      </c>
      <c r="D1886" s="21">
        <f>IF($N1886="","",IF(INDEX(LdAAmt,$N1886)=0,"",INDEX(LdAAmt,$N1886)))</f>
        <v/>
      </c>
      <c r="E1886" s="21">
        <f>IF($N1886="","",SUMIFS(ShareAmt,ShareLink,$C1886))</f>
        <v/>
      </c>
      <c r="F1886" s="34">
        <f>IF($N1886="","",COUNTIF(ShareLink,$C1886))</f>
        <v/>
      </c>
      <c r="G1886" s="22">
        <f>IF($N1886="","",IF(ROUND($E1886-$D1886,0)=0,"√","▲ "&amp;TEXT($D1886-$E1886,"#,##0")))</f>
        <v/>
      </c>
      <c r="N1886">
        <f>IFERROR(MATCH($C$5&amp;"|"&amp;RIGHT("000000"&amp;1870,6),LdAKeyG,0),"")</f>
        <v/>
      </c>
    </row>
    <row r="1887">
      <c r="A1887" s="10" t="n">
        <v>1871</v>
      </c>
      <c r="B1887" s="14">
        <f>IF($N1887="","",INDEX(LdADate,$N1887))</f>
        <v/>
      </c>
      <c r="C1887" s="14">
        <f>IF($N1887="","",IF(INDEX(LdAId,$N1887)="","—",INDEX(LdAId,$N1887)))</f>
        <v/>
      </c>
      <c r="D1887" s="16">
        <f>IF($N1887="","",IF(INDEX(LdAAmt,$N1887)=0,"",INDEX(LdAAmt,$N1887)))</f>
        <v/>
      </c>
      <c r="E1887" s="16">
        <f>IF($N1887="","",SUMIFS(ShareAmt,ShareLink,$C1887))</f>
        <v/>
      </c>
      <c r="F1887" s="33">
        <f>IF($N1887="","",COUNTIF(ShareLink,$C1887))</f>
        <v/>
      </c>
      <c r="G1887" s="17">
        <f>IF($N1887="","",IF(ROUND($E1887-$D1887,0)=0,"√","▲ "&amp;TEXT($D1887-$E1887,"#,##0")))</f>
        <v/>
      </c>
      <c r="N1887">
        <f>IFERROR(MATCH($C$5&amp;"|"&amp;RIGHT("000000"&amp;1871,6),LdAKeyG,0),"")</f>
        <v/>
      </c>
    </row>
    <row r="1888">
      <c r="A1888" s="19" t="n">
        <v>1872</v>
      </c>
      <c r="B1888" s="20">
        <f>IF($N1888="","",INDEX(LdADate,$N1888))</f>
        <v/>
      </c>
      <c r="C1888" s="20">
        <f>IF($N1888="","",IF(INDEX(LdAId,$N1888)="","—",INDEX(LdAId,$N1888)))</f>
        <v/>
      </c>
      <c r="D1888" s="21">
        <f>IF($N1888="","",IF(INDEX(LdAAmt,$N1888)=0,"",INDEX(LdAAmt,$N1888)))</f>
        <v/>
      </c>
      <c r="E1888" s="21">
        <f>IF($N1888="","",SUMIFS(ShareAmt,ShareLink,$C1888))</f>
        <v/>
      </c>
      <c r="F1888" s="34">
        <f>IF($N1888="","",COUNTIF(ShareLink,$C1888))</f>
        <v/>
      </c>
      <c r="G1888" s="22">
        <f>IF($N1888="","",IF(ROUND($E1888-$D1888,0)=0,"√","▲ "&amp;TEXT($D1888-$E1888,"#,##0")))</f>
        <v/>
      </c>
      <c r="N1888">
        <f>IFERROR(MATCH($C$5&amp;"|"&amp;RIGHT("000000"&amp;1872,6),LdAKeyG,0),"")</f>
        <v/>
      </c>
    </row>
    <row r="1889">
      <c r="A1889" s="10" t="n">
        <v>1873</v>
      </c>
      <c r="B1889" s="14">
        <f>IF($N1889="","",INDEX(LdADate,$N1889))</f>
        <v/>
      </c>
      <c r="C1889" s="14">
        <f>IF($N1889="","",IF(INDEX(LdAId,$N1889)="","—",INDEX(LdAId,$N1889)))</f>
        <v/>
      </c>
      <c r="D1889" s="16">
        <f>IF($N1889="","",IF(INDEX(LdAAmt,$N1889)=0,"",INDEX(LdAAmt,$N1889)))</f>
        <v/>
      </c>
      <c r="E1889" s="16">
        <f>IF($N1889="","",SUMIFS(ShareAmt,ShareLink,$C1889))</f>
        <v/>
      </c>
      <c r="F1889" s="33">
        <f>IF($N1889="","",COUNTIF(ShareLink,$C1889))</f>
        <v/>
      </c>
      <c r="G1889" s="17">
        <f>IF($N1889="","",IF(ROUND($E1889-$D1889,0)=0,"√","▲ "&amp;TEXT($D1889-$E1889,"#,##0")))</f>
        <v/>
      </c>
      <c r="N1889">
        <f>IFERROR(MATCH($C$5&amp;"|"&amp;RIGHT("000000"&amp;1873,6),LdAKeyG,0),"")</f>
        <v/>
      </c>
    </row>
    <row r="1890">
      <c r="A1890" s="19" t="n">
        <v>1874</v>
      </c>
      <c r="B1890" s="20">
        <f>IF($N1890="","",INDEX(LdADate,$N1890))</f>
        <v/>
      </c>
      <c r="C1890" s="20">
        <f>IF($N1890="","",IF(INDEX(LdAId,$N1890)="","—",INDEX(LdAId,$N1890)))</f>
        <v/>
      </c>
      <c r="D1890" s="21">
        <f>IF($N1890="","",IF(INDEX(LdAAmt,$N1890)=0,"",INDEX(LdAAmt,$N1890)))</f>
        <v/>
      </c>
      <c r="E1890" s="21">
        <f>IF($N1890="","",SUMIFS(ShareAmt,ShareLink,$C1890))</f>
        <v/>
      </c>
      <c r="F1890" s="34">
        <f>IF($N1890="","",COUNTIF(ShareLink,$C1890))</f>
        <v/>
      </c>
      <c r="G1890" s="22">
        <f>IF($N1890="","",IF(ROUND($E1890-$D1890,0)=0,"√","▲ "&amp;TEXT($D1890-$E1890,"#,##0")))</f>
        <v/>
      </c>
      <c r="N1890">
        <f>IFERROR(MATCH($C$5&amp;"|"&amp;RIGHT("000000"&amp;1874,6),LdAKeyG,0),"")</f>
        <v/>
      </c>
    </row>
    <row r="1891">
      <c r="A1891" s="10" t="n">
        <v>1875</v>
      </c>
      <c r="B1891" s="14">
        <f>IF($N1891="","",INDEX(LdADate,$N1891))</f>
        <v/>
      </c>
      <c r="C1891" s="14">
        <f>IF($N1891="","",IF(INDEX(LdAId,$N1891)="","—",INDEX(LdAId,$N1891)))</f>
        <v/>
      </c>
      <c r="D1891" s="16">
        <f>IF($N1891="","",IF(INDEX(LdAAmt,$N1891)=0,"",INDEX(LdAAmt,$N1891)))</f>
        <v/>
      </c>
      <c r="E1891" s="16">
        <f>IF($N1891="","",SUMIFS(ShareAmt,ShareLink,$C1891))</f>
        <v/>
      </c>
      <c r="F1891" s="33">
        <f>IF($N1891="","",COUNTIF(ShareLink,$C1891))</f>
        <v/>
      </c>
      <c r="G1891" s="17">
        <f>IF($N1891="","",IF(ROUND($E1891-$D1891,0)=0,"√","▲ "&amp;TEXT($D1891-$E1891,"#,##0")))</f>
        <v/>
      </c>
      <c r="N1891">
        <f>IFERROR(MATCH($C$5&amp;"|"&amp;RIGHT("000000"&amp;1875,6),LdAKeyG,0),"")</f>
        <v/>
      </c>
    </row>
    <row r="1892">
      <c r="A1892" s="19" t="n">
        <v>1876</v>
      </c>
      <c r="B1892" s="20">
        <f>IF($N1892="","",INDEX(LdADate,$N1892))</f>
        <v/>
      </c>
      <c r="C1892" s="20">
        <f>IF($N1892="","",IF(INDEX(LdAId,$N1892)="","—",INDEX(LdAId,$N1892)))</f>
        <v/>
      </c>
      <c r="D1892" s="21">
        <f>IF($N1892="","",IF(INDEX(LdAAmt,$N1892)=0,"",INDEX(LdAAmt,$N1892)))</f>
        <v/>
      </c>
      <c r="E1892" s="21">
        <f>IF($N1892="","",SUMIFS(ShareAmt,ShareLink,$C1892))</f>
        <v/>
      </c>
      <c r="F1892" s="34">
        <f>IF($N1892="","",COUNTIF(ShareLink,$C1892))</f>
        <v/>
      </c>
      <c r="G1892" s="22">
        <f>IF($N1892="","",IF(ROUND($E1892-$D1892,0)=0,"√","▲ "&amp;TEXT($D1892-$E1892,"#,##0")))</f>
        <v/>
      </c>
      <c r="N1892">
        <f>IFERROR(MATCH($C$5&amp;"|"&amp;RIGHT("000000"&amp;1876,6),LdAKeyG,0),"")</f>
        <v/>
      </c>
    </row>
    <row r="1893">
      <c r="A1893" s="10" t="n">
        <v>1877</v>
      </c>
      <c r="B1893" s="14">
        <f>IF($N1893="","",INDEX(LdADate,$N1893))</f>
        <v/>
      </c>
      <c r="C1893" s="14">
        <f>IF($N1893="","",IF(INDEX(LdAId,$N1893)="","—",INDEX(LdAId,$N1893)))</f>
        <v/>
      </c>
      <c r="D1893" s="16">
        <f>IF($N1893="","",IF(INDEX(LdAAmt,$N1893)=0,"",INDEX(LdAAmt,$N1893)))</f>
        <v/>
      </c>
      <c r="E1893" s="16">
        <f>IF($N1893="","",SUMIFS(ShareAmt,ShareLink,$C1893))</f>
        <v/>
      </c>
      <c r="F1893" s="33">
        <f>IF($N1893="","",COUNTIF(ShareLink,$C1893))</f>
        <v/>
      </c>
      <c r="G1893" s="17">
        <f>IF($N1893="","",IF(ROUND($E1893-$D1893,0)=0,"√","▲ "&amp;TEXT($D1893-$E1893,"#,##0")))</f>
        <v/>
      </c>
      <c r="N1893">
        <f>IFERROR(MATCH($C$5&amp;"|"&amp;RIGHT("000000"&amp;1877,6),LdAKeyG,0),"")</f>
        <v/>
      </c>
    </row>
    <row r="1894">
      <c r="A1894" s="19" t="n">
        <v>1878</v>
      </c>
      <c r="B1894" s="20">
        <f>IF($N1894="","",INDEX(LdADate,$N1894))</f>
        <v/>
      </c>
      <c r="C1894" s="20">
        <f>IF($N1894="","",IF(INDEX(LdAId,$N1894)="","—",INDEX(LdAId,$N1894)))</f>
        <v/>
      </c>
      <c r="D1894" s="21">
        <f>IF($N1894="","",IF(INDEX(LdAAmt,$N1894)=0,"",INDEX(LdAAmt,$N1894)))</f>
        <v/>
      </c>
      <c r="E1894" s="21">
        <f>IF($N1894="","",SUMIFS(ShareAmt,ShareLink,$C1894))</f>
        <v/>
      </c>
      <c r="F1894" s="34">
        <f>IF($N1894="","",COUNTIF(ShareLink,$C1894))</f>
        <v/>
      </c>
      <c r="G1894" s="22">
        <f>IF($N1894="","",IF(ROUND($E1894-$D1894,0)=0,"√","▲ "&amp;TEXT($D1894-$E1894,"#,##0")))</f>
        <v/>
      </c>
      <c r="N1894">
        <f>IFERROR(MATCH($C$5&amp;"|"&amp;RIGHT("000000"&amp;1878,6),LdAKeyG,0),"")</f>
        <v/>
      </c>
    </row>
    <row r="1895">
      <c r="A1895" s="10" t="n">
        <v>1879</v>
      </c>
      <c r="B1895" s="14">
        <f>IF($N1895="","",INDEX(LdADate,$N1895))</f>
        <v/>
      </c>
      <c r="C1895" s="14">
        <f>IF($N1895="","",IF(INDEX(LdAId,$N1895)="","—",INDEX(LdAId,$N1895)))</f>
        <v/>
      </c>
      <c r="D1895" s="16">
        <f>IF($N1895="","",IF(INDEX(LdAAmt,$N1895)=0,"",INDEX(LdAAmt,$N1895)))</f>
        <v/>
      </c>
      <c r="E1895" s="16">
        <f>IF($N1895="","",SUMIFS(ShareAmt,ShareLink,$C1895))</f>
        <v/>
      </c>
      <c r="F1895" s="33">
        <f>IF($N1895="","",COUNTIF(ShareLink,$C1895))</f>
        <v/>
      </c>
      <c r="G1895" s="17">
        <f>IF($N1895="","",IF(ROUND($E1895-$D1895,0)=0,"√","▲ "&amp;TEXT($D1895-$E1895,"#,##0")))</f>
        <v/>
      </c>
      <c r="N1895">
        <f>IFERROR(MATCH($C$5&amp;"|"&amp;RIGHT("000000"&amp;1879,6),LdAKeyG,0),"")</f>
        <v/>
      </c>
    </row>
    <row r="1896">
      <c r="A1896" s="19" t="n">
        <v>1880</v>
      </c>
      <c r="B1896" s="20">
        <f>IF($N1896="","",INDEX(LdADate,$N1896))</f>
        <v/>
      </c>
      <c r="C1896" s="20">
        <f>IF($N1896="","",IF(INDEX(LdAId,$N1896)="","—",INDEX(LdAId,$N1896)))</f>
        <v/>
      </c>
      <c r="D1896" s="21">
        <f>IF($N1896="","",IF(INDEX(LdAAmt,$N1896)=0,"",INDEX(LdAAmt,$N1896)))</f>
        <v/>
      </c>
      <c r="E1896" s="21">
        <f>IF($N1896="","",SUMIFS(ShareAmt,ShareLink,$C1896))</f>
        <v/>
      </c>
      <c r="F1896" s="34">
        <f>IF($N1896="","",COUNTIF(ShareLink,$C1896))</f>
        <v/>
      </c>
      <c r="G1896" s="22">
        <f>IF($N1896="","",IF(ROUND($E1896-$D1896,0)=0,"√","▲ "&amp;TEXT($D1896-$E1896,"#,##0")))</f>
        <v/>
      </c>
      <c r="N1896">
        <f>IFERROR(MATCH($C$5&amp;"|"&amp;RIGHT("000000"&amp;1880,6),LdAKeyG,0),"")</f>
        <v/>
      </c>
    </row>
    <row r="1897">
      <c r="A1897" s="10" t="n">
        <v>1881</v>
      </c>
      <c r="B1897" s="14">
        <f>IF($N1897="","",INDEX(LdADate,$N1897))</f>
        <v/>
      </c>
      <c r="C1897" s="14">
        <f>IF($N1897="","",IF(INDEX(LdAId,$N1897)="","—",INDEX(LdAId,$N1897)))</f>
        <v/>
      </c>
      <c r="D1897" s="16">
        <f>IF($N1897="","",IF(INDEX(LdAAmt,$N1897)=0,"",INDEX(LdAAmt,$N1897)))</f>
        <v/>
      </c>
      <c r="E1897" s="16">
        <f>IF($N1897="","",SUMIFS(ShareAmt,ShareLink,$C1897))</f>
        <v/>
      </c>
      <c r="F1897" s="33">
        <f>IF($N1897="","",COUNTIF(ShareLink,$C1897))</f>
        <v/>
      </c>
      <c r="G1897" s="17">
        <f>IF($N1897="","",IF(ROUND($E1897-$D1897,0)=0,"√","▲ "&amp;TEXT($D1897-$E1897,"#,##0")))</f>
        <v/>
      </c>
      <c r="N1897">
        <f>IFERROR(MATCH($C$5&amp;"|"&amp;RIGHT("000000"&amp;1881,6),LdAKeyG,0),"")</f>
        <v/>
      </c>
    </row>
    <row r="1898">
      <c r="A1898" s="19" t="n">
        <v>1882</v>
      </c>
      <c r="B1898" s="20">
        <f>IF($N1898="","",INDEX(LdADate,$N1898))</f>
        <v/>
      </c>
      <c r="C1898" s="20">
        <f>IF($N1898="","",IF(INDEX(LdAId,$N1898)="","—",INDEX(LdAId,$N1898)))</f>
        <v/>
      </c>
      <c r="D1898" s="21">
        <f>IF($N1898="","",IF(INDEX(LdAAmt,$N1898)=0,"",INDEX(LdAAmt,$N1898)))</f>
        <v/>
      </c>
      <c r="E1898" s="21">
        <f>IF($N1898="","",SUMIFS(ShareAmt,ShareLink,$C1898))</f>
        <v/>
      </c>
      <c r="F1898" s="34">
        <f>IF($N1898="","",COUNTIF(ShareLink,$C1898))</f>
        <v/>
      </c>
      <c r="G1898" s="22">
        <f>IF($N1898="","",IF(ROUND($E1898-$D1898,0)=0,"√","▲ "&amp;TEXT($D1898-$E1898,"#,##0")))</f>
        <v/>
      </c>
      <c r="N1898">
        <f>IFERROR(MATCH($C$5&amp;"|"&amp;RIGHT("000000"&amp;1882,6),LdAKeyG,0),"")</f>
        <v/>
      </c>
    </row>
    <row r="1899">
      <c r="A1899" s="10" t="n">
        <v>1883</v>
      </c>
      <c r="B1899" s="14">
        <f>IF($N1899="","",INDEX(LdADate,$N1899))</f>
        <v/>
      </c>
      <c r="C1899" s="14">
        <f>IF($N1899="","",IF(INDEX(LdAId,$N1899)="","—",INDEX(LdAId,$N1899)))</f>
        <v/>
      </c>
      <c r="D1899" s="16">
        <f>IF($N1899="","",IF(INDEX(LdAAmt,$N1899)=0,"",INDEX(LdAAmt,$N1899)))</f>
        <v/>
      </c>
      <c r="E1899" s="16">
        <f>IF($N1899="","",SUMIFS(ShareAmt,ShareLink,$C1899))</f>
        <v/>
      </c>
      <c r="F1899" s="33">
        <f>IF($N1899="","",COUNTIF(ShareLink,$C1899))</f>
        <v/>
      </c>
      <c r="G1899" s="17">
        <f>IF($N1899="","",IF(ROUND($E1899-$D1899,0)=0,"√","▲ "&amp;TEXT($D1899-$E1899,"#,##0")))</f>
        <v/>
      </c>
      <c r="N1899">
        <f>IFERROR(MATCH($C$5&amp;"|"&amp;RIGHT("000000"&amp;1883,6),LdAKeyG,0),"")</f>
        <v/>
      </c>
    </row>
    <row r="1900">
      <c r="A1900" s="19" t="n">
        <v>1884</v>
      </c>
      <c r="B1900" s="20">
        <f>IF($N1900="","",INDEX(LdADate,$N1900))</f>
        <v/>
      </c>
      <c r="C1900" s="20">
        <f>IF($N1900="","",IF(INDEX(LdAId,$N1900)="","—",INDEX(LdAId,$N1900)))</f>
        <v/>
      </c>
      <c r="D1900" s="21">
        <f>IF($N1900="","",IF(INDEX(LdAAmt,$N1900)=0,"",INDEX(LdAAmt,$N1900)))</f>
        <v/>
      </c>
      <c r="E1900" s="21">
        <f>IF($N1900="","",SUMIFS(ShareAmt,ShareLink,$C1900))</f>
        <v/>
      </c>
      <c r="F1900" s="34">
        <f>IF($N1900="","",COUNTIF(ShareLink,$C1900))</f>
        <v/>
      </c>
      <c r="G1900" s="22">
        <f>IF($N1900="","",IF(ROUND($E1900-$D1900,0)=0,"√","▲ "&amp;TEXT($D1900-$E1900,"#,##0")))</f>
        <v/>
      </c>
      <c r="N1900">
        <f>IFERROR(MATCH($C$5&amp;"|"&amp;RIGHT("000000"&amp;1884,6),LdAKeyG,0),"")</f>
        <v/>
      </c>
    </row>
    <row r="1901">
      <c r="A1901" s="10" t="n">
        <v>1885</v>
      </c>
      <c r="B1901" s="14">
        <f>IF($N1901="","",INDEX(LdADate,$N1901))</f>
        <v/>
      </c>
      <c r="C1901" s="14">
        <f>IF($N1901="","",IF(INDEX(LdAId,$N1901)="","—",INDEX(LdAId,$N1901)))</f>
        <v/>
      </c>
      <c r="D1901" s="16">
        <f>IF($N1901="","",IF(INDEX(LdAAmt,$N1901)=0,"",INDEX(LdAAmt,$N1901)))</f>
        <v/>
      </c>
      <c r="E1901" s="16">
        <f>IF($N1901="","",SUMIFS(ShareAmt,ShareLink,$C1901))</f>
        <v/>
      </c>
      <c r="F1901" s="33">
        <f>IF($N1901="","",COUNTIF(ShareLink,$C1901))</f>
        <v/>
      </c>
      <c r="G1901" s="17">
        <f>IF($N1901="","",IF(ROUND($E1901-$D1901,0)=0,"√","▲ "&amp;TEXT($D1901-$E1901,"#,##0")))</f>
        <v/>
      </c>
      <c r="N1901">
        <f>IFERROR(MATCH($C$5&amp;"|"&amp;RIGHT("000000"&amp;1885,6),LdAKeyG,0),"")</f>
        <v/>
      </c>
    </row>
    <row r="1902">
      <c r="A1902" s="19" t="n">
        <v>1886</v>
      </c>
      <c r="B1902" s="20">
        <f>IF($N1902="","",INDEX(LdADate,$N1902))</f>
        <v/>
      </c>
      <c r="C1902" s="20">
        <f>IF($N1902="","",IF(INDEX(LdAId,$N1902)="","—",INDEX(LdAId,$N1902)))</f>
        <v/>
      </c>
      <c r="D1902" s="21">
        <f>IF($N1902="","",IF(INDEX(LdAAmt,$N1902)=0,"",INDEX(LdAAmt,$N1902)))</f>
        <v/>
      </c>
      <c r="E1902" s="21">
        <f>IF($N1902="","",SUMIFS(ShareAmt,ShareLink,$C1902))</f>
        <v/>
      </c>
      <c r="F1902" s="34">
        <f>IF($N1902="","",COUNTIF(ShareLink,$C1902))</f>
        <v/>
      </c>
      <c r="G1902" s="22">
        <f>IF($N1902="","",IF(ROUND($E1902-$D1902,0)=0,"√","▲ "&amp;TEXT($D1902-$E1902,"#,##0")))</f>
        <v/>
      </c>
      <c r="N1902">
        <f>IFERROR(MATCH($C$5&amp;"|"&amp;RIGHT("000000"&amp;1886,6),LdAKeyG,0),"")</f>
        <v/>
      </c>
    </row>
    <row r="1903">
      <c r="A1903" s="10" t="n">
        <v>1887</v>
      </c>
      <c r="B1903" s="14">
        <f>IF($N1903="","",INDEX(LdADate,$N1903))</f>
        <v/>
      </c>
      <c r="C1903" s="14">
        <f>IF($N1903="","",IF(INDEX(LdAId,$N1903)="","—",INDEX(LdAId,$N1903)))</f>
        <v/>
      </c>
      <c r="D1903" s="16">
        <f>IF($N1903="","",IF(INDEX(LdAAmt,$N1903)=0,"",INDEX(LdAAmt,$N1903)))</f>
        <v/>
      </c>
      <c r="E1903" s="16">
        <f>IF($N1903="","",SUMIFS(ShareAmt,ShareLink,$C1903))</f>
        <v/>
      </c>
      <c r="F1903" s="33">
        <f>IF($N1903="","",COUNTIF(ShareLink,$C1903))</f>
        <v/>
      </c>
      <c r="G1903" s="17">
        <f>IF($N1903="","",IF(ROUND($E1903-$D1903,0)=0,"√","▲ "&amp;TEXT($D1903-$E1903,"#,##0")))</f>
        <v/>
      </c>
      <c r="N1903">
        <f>IFERROR(MATCH($C$5&amp;"|"&amp;RIGHT("000000"&amp;1887,6),LdAKeyG,0),"")</f>
        <v/>
      </c>
    </row>
    <row r="1904">
      <c r="A1904" s="19" t="n">
        <v>1888</v>
      </c>
      <c r="B1904" s="20">
        <f>IF($N1904="","",INDEX(LdADate,$N1904))</f>
        <v/>
      </c>
      <c r="C1904" s="20">
        <f>IF($N1904="","",IF(INDEX(LdAId,$N1904)="","—",INDEX(LdAId,$N1904)))</f>
        <v/>
      </c>
      <c r="D1904" s="21">
        <f>IF($N1904="","",IF(INDEX(LdAAmt,$N1904)=0,"",INDEX(LdAAmt,$N1904)))</f>
        <v/>
      </c>
      <c r="E1904" s="21">
        <f>IF($N1904="","",SUMIFS(ShareAmt,ShareLink,$C1904))</f>
        <v/>
      </c>
      <c r="F1904" s="34">
        <f>IF($N1904="","",COUNTIF(ShareLink,$C1904))</f>
        <v/>
      </c>
      <c r="G1904" s="22">
        <f>IF($N1904="","",IF(ROUND($E1904-$D1904,0)=0,"√","▲ "&amp;TEXT($D1904-$E1904,"#,##0")))</f>
        <v/>
      </c>
      <c r="N1904">
        <f>IFERROR(MATCH($C$5&amp;"|"&amp;RIGHT("000000"&amp;1888,6),LdAKeyG,0),"")</f>
        <v/>
      </c>
    </row>
    <row r="1905">
      <c r="A1905" s="10" t="n">
        <v>1889</v>
      </c>
      <c r="B1905" s="14">
        <f>IF($N1905="","",INDEX(LdADate,$N1905))</f>
        <v/>
      </c>
      <c r="C1905" s="14">
        <f>IF($N1905="","",IF(INDEX(LdAId,$N1905)="","—",INDEX(LdAId,$N1905)))</f>
        <v/>
      </c>
      <c r="D1905" s="16">
        <f>IF($N1905="","",IF(INDEX(LdAAmt,$N1905)=0,"",INDEX(LdAAmt,$N1905)))</f>
        <v/>
      </c>
      <c r="E1905" s="16">
        <f>IF($N1905="","",SUMIFS(ShareAmt,ShareLink,$C1905))</f>
        <v/>
      </c>
      <c r="F1905" s="33">
        <f>IF($N1905="","",COUNTIF(ShareLink,$C1905))</f>
        <v/>
      </c>
      <c r="G1905" s="17">
        <f>IF($N1905="","",IF(ROUND($E1905-$D1905,0)=0,"√","▲ "&amp;TEXT($D1905-$E1905,"#,##0")))</f>
        <v/>
      </c>
      <c r="N1905">
        <f>IFERROR(MATCH($C$5&amp;"|"&amp;RIGHT("000000"&amp;1889,6),LdAKeyG,0),"")</f>
        <v/>
      </c>
    </row>
    <row r="1906">
      <c r="A1906" s="19" t="n">
        <v>1890</v>
      </c>
      <c r="B1906" s="20">
        <f>IF($N1906="","",INDEX(LdADate,$N1906))</f>
        <v/>
      </c>
      <c r="C1906" s="20">
        <f>IF($N1906="","",IF(INDEX(LdAId,$N1906)="","—",INDEX(LdAId,$N1906)))</f>
        <v/>
      </c>
      <c r="D1906" s="21">
        <f>IF($N1906="","",IF(INDEX(LdAAmt,$N1906)=0,"",INDEX(LdAAmt,$N1906)))</f>
        <v/>
      </c>
      <c r="E1906" s="21">
        <f>IF($N1906="","",SUMIFS(ShareAmt,ShareLink,$C1906))</f>
        <v/>
      </c>
      <c r="F1906" s="34">
        <f>IF($N1906="","",COUNTIF(ShareLink,$C1906))</f>
        <v/>
      </c>
      <c r="G1906" s="22">
        <f>IF($N1906="","",IF(ROUND($E1906-$D1906,0)=0,"√","▲ "&amp;TEXT($D1906-$E1906,"#,##0")))</f>
        <v/>
      </c>
      <c r="N1906">
        <f>IFERROR(MATCH($C$5&amp;"|"&amp;RIGHT("000000"&amp;1890,6),LdAKeyG,0),"")</f>
        <v/>
      </c>
    </row>
    <row r="1907">
      <c r="A1907" s="10" t="n">
        <v>1891</v>
      </c>
      <c r="B1907" s="14">
        <f>IF($N1907="","",INDEX(LdADate,$N1907))</f>
        <v/>
      </c>
      <c r="C1907" s="14">
        <f>IF($N1907="","",IF(INDEX(LdAId,$N1907)="","—",INDEX(LdAId,$N1907)))</f>
        <v/>
      </c>
      <c r="D1907" s="16">
        <f>IF($N1907="","",IF(INDEX(LdAAmt,$N1907)=0,"",INDEX(LdAAmt,$N1907)))</f>
        <v/>
      </c>
      <c r="E1907" s="16">
        <f>IF($N1907="","",SUMIFS(ShareAmt,ShareLink,$C1907))</f>
        <v/>
      </c>
      <c r="F1907" s="33">
        <f>IF($N1907="","",COUNTIF(ShareLink,$C1907))</f>
        <v/>
      </c>
      <c r="G1907" s="17">
        <f>IF($N1907="","",IF(ROUND($E1907-$D1907,0)=0,"√","▲ "&amp;TEXT($D1907-$E1907,"#,##0")))</f>
        <v/>
      </c>
      <c r="N1907">
        <f>IFERROR(MATCH($C$5&amp;"|"&amp;RIGHT("000000"&amp;1891,6),LdAKeyG,0),"")</f>
        <v/>
      </c>
    </row>
    <row r="1908">
      <c r="A1908" s="19" t="n">
        <v>1892</v>
      </c>
      <c r="B1908" s="20">
        <f>IF($N1908="","",INDEX(LdADate,$N1908))</f>
        <v/>
      </c>
      <c r="C1908" s="20">
        <f>IF($N1908="","",IF(INDEX(LdAId,$N1908)="","—",INDEX(LdAId,$N1908)))</f>
        <v/>
      </c>
      <c r="D1908" s="21">
        <f>IF($N1908="","",IF(INDEX(LdAAmt,$N1908)=0,"",INDEX(LdAAmt,$N1908)))</f>
        <v/>
      </c>
      <c r="E1908" s="21">
        <f>IF($N1908="","",SUMIFS(ShareAmt,ShareLink,$C1908))</f>
        <v/>
      </c>
      <c r="F1908" s="34">
        <f>IF($N1908="","",COUNTIF(ShareLink,$C1908))</f>
        <v/>
      </c>
      <c r="G1908" s="22">
        <f>IF($N1908="","",IF(ROUND($E1908-$D1908,0)=0,"√","▲ "&amp;TEXT($D1908-$E1908,"#,##0")))</f>
        <v/>
      </c>
      <c r="N1908">
        <f>IFERROR(MATCH($C$5&amp;"|"&amp;RIGHT("000000"&amp;1892,6),LdAKeyG,0),"")</f>
        <v/>
      </c>
    </row>
    <row r="1909">
      <c r="A1909" s="10" t="n">
        <v>1893</v>
      </c>
      <c r="B1909" s="14">
        <f>IF($N1909="","",INDEX(LdADate,$N1909))</f>
        <v/>
      </c>
      <c r="C1909" s="14">
        <f>IF($N1909="","",IF(INDEX(LdAId,$N1909)="","—",INDEX(LdAId,$N1909)))</f>
        <v/>
      </c>
      <c r="D1909" s="16">
        <f>IF($N1909="","",IF(INDEX(LdAAmt,$N1909)=0,"",INDEX(LdAAmt,$N1909)))</f>
        <v/>
      </c>
      <c r="E1909" s="16">
        <f>IF($N1909="","",SUMIFS(ShareAmt,ShareLink,$C1909))</f>
        <v/>
      </c>
      <c r="F1909" s="33">
        <f>IF($N1909="","",COUNTIF(ShareLink,$C1909))</f>
        <v/>
      </c>
      <c r="G1909" s="17">
        <f>IF($N1909="","",IF(ROUND($E1909-$D1909,0)=0,"√","▲ "&amp;TEXT($D1909-$E1909,"#,##0")))</f>
        <v/>
      </c>
      <c r="N1909">
        <f>IFERROR(MATCH($C$5&amp;"|"&amp;RIGHT("000000"&amp;1893,6),LdAKeyG,0),"")</f>
        <v/>
      </c>
    </row>
    <row r="1910">
      <c r="A1910" s="19" t="n">
        <v>1894</v>
      </c>
      <c r="B1910" s="20">
        <f>IF($N1910="","",INDEX(LdADate,$N1910))</f>
        <v/>
      </c>
      <c r="C1910" s="20">
        <f>IF($N1910="","",IF(INDEX(LdAId,$N1910)="","—",INDEX(LdAId,$N1910)))</f>
        <v/>
      </c>
      <c r="D1910" s="21">
        <f>IF($N1910="","",IF(INDEX(LdAAmt,$N1910)=0,"",INDEX(LdAAmt,$N1910)))</f>
        <v/>
      </c>
      <c r="E1910" s="21">
        <f>IF($N1910="","",SUMIFS(ShareAmt,ShareLink,$C1910))</f>
        <v/>
      </c>
      <c r="F1910" s="34">
        <f>IF($N1910="","",COUNTIF(ShareLink,$C1910))</f>
        <v/>
      </c>
      <c r="G1910" s="22">
        <f>IF($N1910="","",IF(ROUND($E1910-$D1910,0)=0,"√","▲ "&amp;TEXT($D1910-$E1910,"#,##0")))</f>
        <v/>
      </c>
      <c r="N1910">
        <f>IFERROR(MATCH($C$5&amp;"|"&amp;RIGHT("000000"&amp;1894,6),LdAKeyG,0),"")</f>
        <v/>
      </c>
    </row>
    <row r="1911">
      <c r="A1911" s="10" t="n">
        <v>1895</v>
      </c>
      <c r="B1911" s="14">
        <f>IF($N1911="","",INDEX(LdADate,$N1911))</f>
        <v/>
      </c>
      <c r="C1911" s="14">
        <f>IF($N1911="","",IF(INDEX(LdAId,$N1911)="","—",INDEX(LdAId,$N1911)))</f>
        <v/>
      </c>
      <c r="D1911" s="16">
        <f>IF($N1911="","",IF(INDEX(LdAAmt,$N1911)=0,"",INDEX(LdAAmt,$N1911)))</f>
        <v/>
      </c>
      <c r="E1911" s="16">
        <f>IF($N1911="","",SUMIFS(ShareAmt,ShareLink,$C1911))</f>
        <v/>
      </c>
      <c r="F1911" s="33">
        <f>IF($N1911="","",COUNTIF(ShareLink,$C1911))</f>
        <v/>
      </c>
      <c r="G1911" s="17">
        <f>IF($N1911="","",IF(ROUND($E1911-$D1911,0)=0,"√","▲ "&amp;TEXT($D1911-$E1911,"#,##0")))</f>
        <v/>
      </c>
      <c r="N1911">
        <f>IFERROR(MATCH($C$5&amp;"|"&amp;RIGHT("000000"&amp;1895,6),LdAKeyG,0),"")</f>
        <v/>
      </c>
    </row>
    <row r="1912">
      <c r="A1912" s="19" t="n">
        <v>1896</v>
      </c>
      <c r="B1912" s="20">
        <f>IF($N1912="","",INDEX(LdADate,$N1912))</f>
        <v/>
      </c>
      <c r="C1912" s="20">
        <f>IF($N1912="","",IF(INDEX(LdAId,$N1912)="","—",INDEX(LdAId,$N1912)))</f>
        <v/>
      </c>
      <c r="D1912" s="21">
        <f>IF($N1912="","",IF(INDEX(LdAAmt,$N1912)=0,"",INDEX(LdAAmt,$N1912)))</f>
        <v/>
      </c>
      <c r="E1912" s="21">
        <f>IF($N1912="","",SUMIFS(ShareAmt,ShareLink,$C1912))</f>
        <v/>
      </c>
      <c r="F1912" s="34">
        <f>IF($N1912="","",COUNTIF(ShareLink,$C1912))</f>
        <v/>
      </c>
      <c r="G1912" s="22">
        <f>IF($N1912="","",IF(ROUND($E1912-$D1912,0)=0,"√","▲ "&amp;TEXT($D1912-$E1912,"#,##0")))</f>
        <v/>
      </c>
      <c r="N1912">
        <f>IFERROR(MATCH($C$5&amp;"|"&amp;RIGHT("000000"&amp;1896,6),LdAKeyG,0),"")</f>
        <v/>
      </c>
    </row>
    <row r="1913">
      <c r="A1913" s="10" t="n">
        <v>1897</v>
      </c>
      <c r="B1913" s="14">
        <f>IF($N1913="","",INDEX(LdADate,$N1913))</f>
        <v/>
      </c>
      <c r="C1913" s="14">
        <f>IF($N1913="","",IF(INDEX(LdAId,$N1913)="","—",INDEX(LdAId,$N1913)))</f>
        <v/>
      </c>
      <c r="D1913" s="16">
        <f>IF($N1913="","",IF(INDEX(LdAAmt,$N1913)=0,"",INDEX(LdAAmt,$N1913)))</f>
        <v/>
      </c>
      <c r="E1913" s="16">
        <f>IF($N1913="","",SUMIFS(ShareAmt,ShareLink,$C1913))</f>
        <v/>
      </c>
      <c r="F1913" s="33">
        <f>IF($N1913="","",COUNTIF(ShareLink,$C1913))</f>
        <v/>
      </c>
      <c r="G1913" s="17">
        <f>IF($N1913="","",IF(ROUND($E1913-$D1913,0)=0,"√","▲ "&amp;TEXT($D1913-$E1913,"#,##0")))</f>
        <v/>
      </c>
      <c r="N1913">
        <f>IFERROR(MATCH($C$5&amp;"|"&amp;RIGHT("000000"&amp;1897,6),LdAKeyG,0),"")</f>
        <v/>
      </c>
    </row>
    <row r="1914">
      <c r="A1914" s="19" t="n">
        <v>1898</v>
      </c>
      <c r="B1914" s="20">
        <f>IF($N1914="","",INDEX(LdADate,$N1914))</f>
        <v/>
      </c>
      <c r="C1914" s="20">
        <f>IF($N1914="","",IF(INDEX(LdAId,$N1914)="","—",INDEX(LdAId,$N1914)))</f>
        <v/>
      </c>
      <c r="D1914" s="21">
        <f>IF($N1914="","",IF(INDEX(LdAAmt,$N1914)=0,"",INDEX(LdAAmt,$N1914)))</f>
        <v/>
      </c>
      <c r="E1914" s="21">
        <f>IF($N1914="","",SUMIFS(ShareAmt,ShareLink,$C1914))</f>
        <v/>
      </c>
      <c r="F1914" s="34">
        <f>IF($N1914="","",COUNTIF(ShareLink,$C1914))</f>
        <v/>
      </c>
      <c r="G1914" s="22">
        <f>IF($N1914="","",IF(ROUND($E1914-$D1914,0)=0,"√","▲ "&amp;TEXT($D1914-$E1914,"#,##0")))</f>
        <v/>
      </c>
      <c r="N1914">
        <f>IFERROR(MATCH($C$5&amp;"|"&amp;RIGHT("000000"&amp;1898,6),LdAKeyG,0),"")</f>
        <v/>
      </c>
    </row>
    <row r="1915">
      <c r="A1915" s="10" t="n">
        <v>1899</v>
      </c>
      <c r="B1915" s="14">
        <f>IF($N1915="","",INDEX(LdADate,$N1915))</f>
        <v/>
      </c>
      <c r="C1915" s="14">
        <f>IF($N1915="","",IF(INDEX(LdAId,$N1915)="","—",INDEX(LdAId,$N1915)))</f>
        <v/>
      </c>
      <c r="D1915" s="16">
        <f>IF($N1915="","",IF(INDEX(LdAAmt,$N1915)=0,"",INDEX(LdAAmt,$N1915)))</f>
        <v/>
      </c>
      <c r="E1915" s="16">
        <f>IF($N1915="","",SUMIFS(ShareAmt,ShareLink,$C1915))</f>
        <v/>
      </c>
      <c r="F1915" s="33">
        <f>IF($N1915="","",COUNTIF(ShareLink,$C1915))</f>
        <v/>
      </c>
      <c r="G1915" s="17">
        <f>IF($N1915="","",IF(ROUND($E1915-$D1915,0)=0,"√","▲ "&amp;TEXT($D1915-$E1915,"#,##0")))</f>
        <v/>
      </c>
      <c r="N1915">
        <f>IFERROR(MATCH($C$5&amp;"|"&amp;RIGHT("000000"&amp;1899,6),LdAKeyG,0),"")</f>
        <v/>
      </c>
    </row>
    <row r="1916">
      <c r="A1916" s="19" t="n">
        <v>1900</v>
      </c>
      <c r="B1916" s="20">
        <f>IF($N1916="","",INDEX(LdADate,$N1916))</f>
        <v/>
      </c>
      <c r="C1916" s="20">
        <f>IF($N1916="","",IF(INDEX(LdAId,$N1916)="","—",INDEX(LdAId,$N1916)))</f>
        <v/>
      </c>
      <c r="D1916" s="21">
        <f>IF($N1916="","",IF(INDEX(LdAAmt,$N1916)=0,"",INDEX(LdAAmt,$N1916)))</f>
        <v/>
      </c>
      <c r="E1916" s="21">
        <f>IF($N1916="","",SUMIFS(ShareAmt,ShareLink,$C1916))</f>
        <v/>
      </c>
      <c r="F1916" s="34">
        <f>IF($N1916="","",COUNTIF(ShareLink,$C1916))</f>
        <v/>
      </c>
      <c r="G1916" s="22">
        <f>IF($N1916="","",IF(ROUND($E1916-$D1916,0)=0,"√","▲ "&amp;TEXT($D1916-$E1916,"#,##0")))</f>
        <v/>
      </c>
      <c r="N1916">
        <f>IFERROR(MATCH($C$5&amp;"|"&amp;RIGHT("000000"&amp;1900,6),LdAKeyG,0),"")</f>
        <v/>
      </c>
    </row>
    <row r="1917">
      <c r="A1917" s="10" t="n">
        <v>1901</v>
      </c>
      <c r="B1917" s="14">
        <f>IF($N1917="","",INDEX(LdADate,$N1917))</f>
        <v/>
      </c>
      <c r="C1917" s="14">
        <f>IF($N1917="","",IF(INDEX(LdAId,$N1917)="","—",INDEX(LdAId,$N1917)))</f>
        <v/>
      </c>
      <c r="D1917" s="16">
        <f>IF($N1917="","",IF(INDEX(LdAAmt,$N1917)=0,"",INDEX(LdAAmt,$N1917)))</f>
        <v/>
      </c>
      <c r="E1917" s="16">
        <f>IF($N1917="","",SUMIFS(ShareAmt,ShareLink,$C1917))</f>
        <v/>
      </c>
      <c r="F1917" s="33">
        <f>IF($N1917="","",COUNTIF(ShareLink,$C1917))</f>
        <v/>
      </c>
      <c r="G1917" s="17">
        <f>IF($N1917="","",IF(ROUND($E1917-$D1917,0)=0,"√","▲ "&amp;TEXT($D1917-$E1917,"#,##0")))</f>
        <v/>
      </c>
      <c r="N1917">
        <f>IFERROR(MATCH($C$5&amp;"|"&amp;RIGHT("000000"&amp;1901,6),LdAKeyG,0),"")</f>
        <v/>
      </c>
    </row>
    <row r="1918">
      <c r="A1918" s="19" t="n">
        <v>1902</v>
      </c>
      <c r="B1918" s="20">
        <f>IF($N1918="","",INDEX(LdADate,$N1918))</f>
        <v/>
      </c>
      <c r="C1918" s="20">
        <f>IF($N1918="","",IF(INDEX(LdAId,$N1918)="","—",INDEX(LdAId,$N1918)))</f>
        <v/>
      </c>
      <c r="D1918" s="21">
        <f>IF($N1918="","",IF(INDEX(LdAAmt,$N1918)=0,"",INDEX(LdAAmt,$N1918)))</f>
        <v/>
      </c>
      <c r="E1918" s="21">
        <f>IF($N1918="","",SUMIFS(ShareAmt,ShareLink,$C1918))</f>
        <v/>
      </c>
      <c r="F1918" s="34">
        <f>IF($N1918="","",COUNTIF(ShareLink,$C1918))</f>
        <v/>
      </c>
      <c r="G1918" s="22">
        <f>IF($N1918="","",IF(ROUND($E1918-$D1918,0)=0,"√","▲ "&amp;TEXT($D1918-$E1918,"#,##0")))</f>
        <v/>
      </c>
      <c r="N1918">
        <f>IFERROR(MATCH($C$5&amp;"|"&amp;RIGHT("000000"&amp;1902,6),LdAKeyG,0),"")</f>
        <v/>
      </c>
    </row>
    <row r="1919">
      <c r="A1919" s="10" t="n">
        <v>1903</v>
      </c>
      <c r="B1919" s="14">
        <f>IF($N1919="","",INDEX(LdADate,$N1919))</f>
        <v/>
      </c>
      <c r="C1919" s="14">
        <f>IF($N1919="","",IF(INDEX(LdAId,$N1919)="","—",INDEX(LdAId,$N1919)))</f>
        <v/>
      </c>
      <c r="D1919" s="16">
        <f>IF($N1919="","",IF(INDEX(LdAAmt,$N1919)=0,"",INDEX(LdAAmt,$N1919)))</f>
        <v/>
      </c>
      <c r="E1919" s="16">
        <f>IF($N1919="","",SUMIFS(ShareAmt,ShareLink,$C1919))</f>
        <v/>
      </c>
      <c r="F1919" s="33">
        <f>IF($N1919="","",COUNTIF(ShareLink,$C1919))</f>
        <v/>
      </c>
      <c r="G1919" s="17">
        <f>IF($N1919="","",IF(ROUND($E1919-$D1919,0)=0,"√","▲ "&amp;TEXT($D1919-$E1919,"#,##0")))</f>
        <v/>
      </c>
      <c r="N1919">
        <f>IFERROR(MATCH($C$5&amp;"|"&amp;RIGHT("000000"&amp;1903,6),LdAKeyG,0),"")</f>
        <v/>
      </c>
    </row>
    <row r="1920">
      <c r="A1920" s="19" t="n">
        <v>1904</v>
      </c>
      <c r="B1920" s="20">
        <f>IF($N1920="","",INDEX(LdADate,$N1920))</f>
        <v/>
      </c>
      <c r="C1920" s="20">
        <f>IF($N1920="","",IF(INDEX(LdAId,$N1920)="","—",INDEX(LdAId,$N1920)))</f>
        <v/>
      </c>
      <c r="D1920" s="21">
        <f>IF($N1920="","",IF(INDEX(LdAAmt,$N1920)=0,"",INDEX(LdAAmt,$N1920)))</f>
        <v/>
      </c>
      <c r="E1920" s="21">
        <f>IF($N1920="","",SUMIFS(ShareAmt,ShareLink,$C1920))</f>
        <v/>
      </c>
      <c r="F1920" s="34">
        <f>IF($N1920="","",COUNTIF(ShareLink,$C1920))</f>
        <v/>
      </c>
      <c r="G1920" s="22">
        <f>IF($N1920="","",IF(ROUND($E1920-$D1920,0)=0,"√","▲ "&amp;TEXT($D1920-$E1920,"#,##0")))</f>
        <v/>
      </c>
      <c r="N1920">
        <f>IFERROR(MATCH($C$5&amp;"|"&amp;RIGHT("000000"&amp;1904,6),LdAKeyG,0),"")</f>
        <v/>
      </c>
    </row>
    <row r="1921">
      <c r="A1921" s="10" t="n">
        <v>1905</v>
      </c>
      <c r="B1921" s="14">
        <f>IF($N1921="","",INDEX(LdADate,$N1921))</f>
        <v/>
      </c>
      <c r="C1921" s="14">
        <f>IF($N1921="","",IF(INDEX(LdAId,$N1921)="","—",INDEX(LdAId,$N1921)))</f>
        <v/>
      </c>
      <c r="D1921" s="16">
        <f>IF($N1921="","",IF(INDEX(LdAAmt,$N1921)=0,"",INDEX(LdAAmt,$N1921)))</f>
        <v/>
      </c>
      <c r="E1921" s="16">
        <f>IF($N1921="","",SUMIFS(ShareAmt,ShareLink,$C1921))</f>
        <v/>
      </c>
      <c r="F1921" s="33">
        <f>IF($N1921="","",COUNTIF(ShareLink,$C1921))</f>
        <v/>
      </c>
      <c r="G1921" s="17">
        <f>IF($N1921="","",IF(ROUND($E1921-$D1921,0)=0,"√","▲ "&amp;TEXT($D1921-$E1921,"#,##0")))</f>
        <v/>
      </c>
      <c r="N1921">
        <f>IFERROR(MATCH($C$5&amp;"|"&amp;RIGHT("000000"&amp;1905,6),LdAKeyG,0),"")</f>
        <v/>
      </c>
    </row>
    <row r="1922">
      <c r="A1922" s="19" t="n">
        <v>1906</v>
      </c>
      <c r="B1922" s="20">
        <f>IF($N1922="","",INDEX(LdADate,$N1922))</f>
        <v/>
      </c>
      <c r="C1922" s="20">
        <f>IF($N1922="","",IF(INDEX(LdAId,$N1922)="","—",INDEX(LdAId,$N1922)))</f>
        <v/>
      </c>
      <c r="D1922" s="21">
        <f>IF($N1922="","",IF(INDEX(LdAAmt,$N1922)=0,"",INDEX(LdAAmt,$N1922)))</f>
        <v/>
      </c>
      <c r="E1922" s="21">
        <f>IF($N1922="","",SUMIFS(ShareAmt,ShareLink,$C1922))</f>
        <v/>
      </c>
      <c r="F1922" s="34">
        <f>IF($N1922="","",COUNTIF(ShareLink,$C1922))</f>
        <v/>
      </c>
      <c r="G1922" s="22">
        <f>IF($N1922="","",IF(ROUND($E1922-$D1922,0)=0,"√","▲ "&amp;TEXT($D1922-$E1922,"#,##0")))</f>
        <v/>
      </c>
      <c r="N1922">
        <f>IFERROR(MATCH($C$5&amp;"|"&amp;RIGHT("000000"&amp;1906,6),LdAKeyG,0),"")</f>
        <v/>
      </c>
    </row>
    <row r="1923">
      <c r="A1923" s="10" t="n">
        <v>1907</v>
      </c>
      <c r="B1923" s="14">
        <f>IF($N1923="","",INDEX(LdADate,$N1923))</f>
        <v/>
      </c>
      <c r="C1923" s="14">
        <f>IF($N1923="","",IF(INDEX(LdAId,$N1923)="","—",INDEX(LdAId,$N1923)))</f>
        <v/>
      </c>
      <c r="D1923" s="16">
        <f>IF($N1923="","",IF(INDEX(LdAAmt,$N1923)=0,"",INDEX(LdAAmt,$N1923)))</f>
        <v/>
      </c>
      <c r="E1923" s="16">
        <f>IF($N1923="","",SUMIFS(ShareAmt,ShareLink,$C1923))</f>
        <v/>
      </c>
      <c r="F1923" s="33">
        <f>IF($N1923="","",COUNTIF(ShareLink,$C1923))</f>
        <v/>
      </c>
      <c r="G1923" s="17">
        <f>IF($N1923="","",IF(ROUND($E1923-$D1923,0)=0,"√","▲ "&amp;TEXT($D1923-$E1923,"#,##0")))</f>
        <v/>
      </c>
      <c r="N1923">
        <f>IFERROR(MATCH($C$5&amp;"|"&amp;RIGHT("000000"&amp;1907,6),LdAKeyG,0),"")</f>
        <v/>
      </c>
    </row>
    <row r="1924">
      <c r="A1924" s="19" t="n">
        <v>1908</v>
      </c>
      <c r="B1924" s="20">
        <f>IF($N1924="","",INDEX(LdADate,$N1924))</f>
        <v/>
      </c>
      <c r="C1924" s="20">
        <f>IF($N1924="","",IF(INDEX(LdAId,$N1924)="","—",INDEX(LdAId,$N1924)))</f>
        <v/>
      </c>
      <c r="D1924" s="21">
        <f>IF($N1924="","",IF(INDEX(LdAAmt,$N1924)=0,"",INDEX(LdAAmt,$N1924)))</f>
        <v/>
      </c>
      <c r="E1924" s="21">
        <f>IF($N1924="","",SUMIFS(ShareAmt,ShareLink,$C1924))</f>
        <v/>
      </c>
      <c r="F1924" s="34">
        <f>IF($N1924="","",COUNTIF(ShareLink,$C1924))</f>
        <v/>
      </c>
      <c r="G1924" s="22">
        <f>IF($N1924="","",IF(ROUND($E1924-$D1924,0)=0,"√","▲ "&amp;TEXT($D1924-$E1924,"#,##0")))</f>
        <v/>
      </c>
      <c r="N1924">
        <f>IFERROR(MATCH($C$5&amp;"|"&amp;RIGHT("000000"&amp;1908,6),LdAKeyG,0),"")</f>
        <v/>
      </c>
    </row>
    <row r="1925">
      <c r="A1925" s="10" t="n">
        <v>1909</v>
      </c>
      <c r="B1925" s="14">
        <f>IF($N1925="","",INDEX(LdADate,$N1925))</f>
        <v/>
      </c>
      <c r="C1925" s="14">
        <f>IF($N1925="","",IF(INDEX(LdAId,$N1925)="","—",INDEX(LdAId,$N1925)))</f>
        <v/>
      </c>
      <c r="D1925" s="16">
        <f>IF($N1925="","",IF(INDEX(LdAAmt,$N1925)=0,"",INDEX(LdAAmt,$N1925)))</f>
        <v/>
      </c>
      <c r="E1925" s="16">
        <f>IF($N1925="","",SUMIFS(ShareAmt,ShareLink,$C1925))</f>
        <v/>
      </c>
      <c r="F1925" s="33">
        <f>IF($N1925="","",COUNTIF(ShareLink,$C1925))</f>
        <v/>
      </c>
      <c r="G1925" s="17">
        <f>IF($N1925="","",IF(ROUND($E1925-$D1925,0)=0,"√","▲ "&amp;TEXT($D1925-$E1925,"#,##0")))</f>
        <v/>
      </c>
      <c r="N1925">
        <f>IFERROR(MATCH($C$5&amp;"|"&amp;RIGHT("000000"&amp;1909,6),LdAKeyG,0),"")</f>
        <v/>
      </c>
    </row>
    <row r="1926">
      <c r="A1926" s="19" t="n">
        <v>1910</v>
      </c>
      <c r="B1926" s="20">
        <f>IF($N1926="","",INDEX(LdADate,$N1926))</f>
        <v/>
      </c>
      <c r="C1926" s="20">
        <f>IF($N1926="","",IF(INDEX(LdAId,$N1926)="","—",INDEX(LdAId,$N1926)))</f>
        <v/>
      </c>
      <c r="D1926" s="21">
        <f>IF($N1926="","",IF(INDEX(LdAAmt,$N1926)=0,"",INDEX(LdAAmt,$N1926)))</f>
        <v/>
      </c>
      <c r="E1926" s="21">
        <f>IF($N1926="","",SUMIFS(ShareAmt,ShareLink,$C1926))</f>
        <v/>
      </c>
      <c r="F1926" s="34">
        <f>IF($N1926="","",COUNTIF(ShareLink,$C1926))</f>
        <v/>
      </c>
      <c r="G1926" s="22">
        <f>IF($N1926="","",IF(ROUND($E1926-$D1926,0)=0,"√","▲ "&amp;TEXT($D1926-$E1926,"#,##0")))</f>
        <v/>
      </c>
      <c r="N1926">
        <f>IFERROR(MATCH($C$5&amp;"|"&amp;RIGHT("000000"&amp;1910,6),LdAKeyG,0),"")</f>
        <v/>
      </c>
    </row>
    <row r="1927">
      <c r="A1927" s="10" t="n">
        <v>1911</v>
      </c>
      <c r="B1927" s="14">
        <f>IF($N1927="","",INDEX(LdADate,$N1927))</f>
        <v/>
      </c>
      <c r="C1927" s="14">
        <f>IF($N1927="","",IF(INDEX(LdAId,$N1927)="","—",INDEX(LdAId,$N1927)))</f>
        <v/>
      </c>
      <c r="D1927" s="16">
        <f>IF($N1927="","",IF(INDEX(LdAAmt,$N1927)=0,"",INDEX(LdAAmt,$N1927)))</f>
        <v/>
      </c>
      <c r="E1927" s="16">
        <f>IF($N1927="","",SUMIFS(ShareAmt,ShareLink,$C1927))</f>
        <v/>
      </c>
      <c r="F1927" s="33">
        <f>IF($N1927="","",COUNTIF(ShareLink,$C1927))</f>
        <v/>
      </c>
      <c r="G1927" s="17">
        <f>IF($N1927="","",IF(ROUND($E1927-$D1927,0)=0,"√","▲ "&amp;TEXT($D1927-$E1927,"#,##0")))</f>
        <v/>
      </c>
      <c r="N1927">
        <f>IFERROR(MATCH($C$5&amp;"|"&amp;RIGHT("000000"&amp;1911,6),LdAKeyG,0),"")</f>
        <v/>
      </c>
    </row>
    <row r="1928">
      <c r="A1928" s="19" t="n">
        <v>1912</v>
      </c>
      <c r="B1928" s="20">
        <f>IF($N1928="","",INDEX(LdADate,$N1928))</f>
        <v/>
      </c>
      <c r="C1928" s="20">
        <f>IF($N1928="","",IF(INDEX(LdAId,$N1928)="","—",INDEX(LdAId,$N1928)))</f>
        <v/>
      </c>
      <c r="D1928" s="21">
        <f>IF($N1928="","",IF(INDEX(LdAAmt,$N1928)=0,"",INDEX(LdAAmt,$N1928)))</f>
        <v/>
      </c>
      <c r="E1928" s="21">
        <f>IF($N1928="","",SUMIFS(ShareAmt,ShareLink,$C1928))</f>
        <v/>
      </c>
      <c r="F1928" s="34">
        <f>IF($N1928="","",COUNTIF(ShareLink,$C1928))</f>
        <v/>
      </c>
      <c r="G1928" s="22">
        <f>IF($N1928="","",IF(ROUND($E1928-$D1928,0)=0,"√","▲ "&amp;TEXT($D1928-$E1928,"#,##0")))</f>
        <v/>
      </c>
      <c r="N1928">
        <f>IFERROR(MATCH($C$5&amp;"|"&amp;RIGHT("000000"&amp;1912,6),LdAKeyG,0),"")</f>
        <v/>
      </c>
    </row>
    <row r="1929">
      <c r="A1929" s="10" t="n">
        <v>1913</v>
      </c>
      <c r="B1929" s="14">
        <f>IF($N1929="","",INDEX(LdADate,$N1929))</f>
        <v/>
      </c>
      <c r="C1929" s="14">
        <f>IF($N1929="","",IF(INDEX(LdAId,$N1929)="","—",INDEX(LdAId,$N1929)))</f>
        <v/>
      </c>
      <c r="D1929" s="16">
        <f>IF($N1929="","",IF(INDEX(LdAAmt,$N1929)=0,"",INDEX(LdAAmt,$N1929)))</f>
        <v/>
      </c>
      <c r="E1929" s="16">
        <f>IF($N1929="","",SUMIFS(ShareAmt,ShareLink,$C1929))</f>
        <v/>
      </c>
      <c r="F1929" s="33">
        <f>IF($N1929="","",COUNTIF(ShareLink,$C1929))</f>
        <v/>
      </c>
      <c r="G1929" s="17">
        <f>IF($N1929="","",IF(ROUND($E1929-$D1929,0)=0,"√","▲ "&amp;TEXT($D1929-$E1929,"#,##0")))</f>
        <v/>
      </c>
      <c r="N1929">
        <f>IFERROR(MATCH($C$5&amp;"|"&amp;RIGHT("000000"&amp;1913,6),LdAKeyG,0),"")</f>
        <v/>
      </c>
    </row>
    <row r="1930">
      <c r="A1930" s="19" t="n">
        <v>1914</v>
      </c>
      <c r="B1930" s="20">
        <f>IF($N1930="","",INDEX(LdADate,$N1930))</f>
        <v/>
      </c>
      <c r="C1930" s="20">
        <f>IF($N1930="","",IF(INDEX(LdAId,$N1930)="","—",INDEX(LdAId,$N1930)))</f>
        <v/>
      </c>
      <c r="D1930" s="21">
        <f>IF($N1930="","",IF(INDEX(LdAAmt,$N1930)=0,"",INDEX(LdAAmt,$N1930)))</f>
        <v/>
      </c>
      <c r="E1930" s="21">
        <f>IF($N1930="","",SUMIFS(ShareAmt,ShareLink,$C1930))</f>
        <v/>
      </c>
      <c r="F1930" s="34">
        <f>IF($N1930="","",COUNTIF(ShareLink,$C1930))</f>
        <v/>
      </c>
      <c r="G1930" s="22">
        <f>IF($N1930="","",IF(ROUND($E1930-$D1930,0)=0,"√","▲ "&amp;TEXT($D1930-$E1930,"#,##0")))</f>
        <v/>
      </c>
      <c r="N1930">
        <f>IFERROR(MATCH($C$5&amp;"|"&amp;RIGHT("000000"&amp;1914,6),LdAKeyG,0),"")</f>
        <v/>
      </c>
    </row>
    <row r="1931">
      <c r="A1931" s="10" t="n">
        <v>1915</v>
      </c>
      <c r="B1931" s="14">
        <f>IF($N1931="","",INDEX(LdADate,$N1931))</f>
        <v/>
      </c>
      <c r="C1931" s="14">
        <f>IF($N1931="","",IF(INDEX(LdAId,$N1931)="","—",INDEX(LdAId,$N1931)))</f>
        <v/>
      </c>
      <c r="D1931" s="16">
        <f>IF($N1931="","",IF(INDEX(LdAAmt,$N1931)=0,"",INDEX(LdAAmt,$N1931)))</f>
        <v/>
      </c>
      <c r="E1931" s="16">
        <f>IF($N1931="","",SUMIFS(ShareAmt,ShareLink,$C1931))</f>
        <v/>
      </c>
      <c r="F1931" s="33">
        <f>IF($N1931="","",COUNTIF(ShareLink,$C1931))</f>
        <v/>
      </c>
      <c r="G1931" s="17">
        <f>IF($N1931="","",IF(ROUND($E1931-$D1931,0)=0,"√","▲ "&amp;TEXT($D1931-$E1931,"#,##0")))</f>
        <v/>
      </c>
      <c r="N1931">
        <f>IFERROR(MATCH($C$5&amp;"|"&amp;RIGHT("000000"&amp;1915,6),LdAKeyG,0),"")</f>
        <v/>
      </c>
    </row>
    <row r="1932">
      <c r="A1932" s="19" t="n">
        <v>1916</v>
      </c>
      <c r="B1932" s="20">
        <f>IF($N1932="","",INDEX(LdADate,$N1932))</f>
        <v/>
      </c>
      <c r="C1932" s="20">
        <f>IF($N1932="","",IF(INDEX(LdAId,$N1932)="","—",INDEX(LdAId,$N1932)))</f>
        <v/>
      </c>
      <c r="D1932" s="21">
        <f>IF($N1932="","",IF(INDEX(LdAAmt,$N1932)=0,"",INDEX(LdAAmt,$N1932)))</f>
        <v/>
      </c>
      <c r="E1932" s="21">
        <f>IF($N1932="","",SUMIFS(ShareAmt,ShareLink,$C1932))</f>
        <v/>
      </c>
      <c r="F1932" s="34">
        <f>IF($N1932="","",COUNTIF(ShareLink,$C1932))</f>
        <v/>
      </c>
      <c r="G1932" s="22">
        <f>IF($N1932="","",IF(ROUND($E1932-$D1932,0)=0,"√","▲ "&amp;TEXT($D1932-$E1932,"#,##0")))</f>
        <v/>
      </c>
      <c r="N1932">
        <f>IFERROR(MATCH($C$5&amp;"|"&amp;RIGHT("000000"&amp;1916,6),LdAKeyG,0),"")</f>
        <v/>
      </c>
    </row>
    <row r="1933">
      <c r="A1933" s="10" t="n">
        <v>1917</v>
      </c>
      <c r="B1933" s="14">
        <f>IF($N1933="","",INDEX(LdADate,$N1933))</f>
        <v/>
      </c>
      <c r="C1933" s="14">
        <f>IF($N1933="","",IF(INDEX(LdAId,$N1933)="","—",INDEX(LdAId,$N1933)))</f>
        <v/>
      </c>
      <c r="D1933" s="16">
        <f>IF($N1933="","",IF(INDEX(LdAAmt,$N1933)=0,"",INDEX(LdAAmt,$N1933)))</f>
        <v/>
      </c>
      <c r="E1933" s="16">
        <f>IF($N1933="","",SUMIFS(ShareAmt,ShareLink,$C1933))</f>
        <v/>
      </c>
      <c r="F1933" s="33">
        <f>IF($N1933="","",COUNTIF(ShareLink,$C1933))</f>
        <v/>
      </c>
      <c r="G1933" s="17">
        <f>IF($N1933="","",IF(ROUND($E1933-$D1933,0)=0,"√","▲ "&amp;TEXT($D1933-$E1933,"#,##0")))</f>
        <v/>
      </c>
      <c r="N1933">
        <f>IFERROR(MATCH($C$5&amp;"|"&amp;RIGHT("000000"&amp;1917,6),LdAKeyG,0),"")</f>
        <v/>
      </c>
    </row>
    <row r="1934">
      <c r="A1934" s="19" t="n">
        <v>1918</v>
      </c>
      <c r="B1934" s="20">
        <f>IF($N1934="","",INDEX(LdADate,$N1934))</f>
        <v/>
      </c>
      <c r="C1934" s="20">
        <f>IF($N1934="","",IF(INDEX(LdAId,$N1934)="","—",INDEX(LdAId,$N1934)))</f>
        <v/>
      </c>
      <c r="D1934" s="21">
        <f>IF($N1934="","",IF(INDEX(LdAAmt,$N1934)=0,"",INDEX(LdAAmt,$N1934)))</f>
        <v/>
      </c>
      <c r="E1934" s="21">
        <f>IF($N1934="","",SUMIFS(ShareAmt,ShareLink,$C1934))</f>
        <v/>
      </c>
      <c r="F1934" s="34">
        <f>IF($N1934="","",COUNTIF(ShareLink,$C1934))</f>
        <v/>
      </c>
      <c r="G1934" s="22">
        <f>IF($N1934="","",IF(ROUND($E1934-$D1934,0)=0,"√","▲ "&amp;TEXT($D1934-$E1934,"#,##0")))</f>
        <v/>
      </c>
      <c r="N1934">
        <f>IFERROR(MATCH($C$5&amp;"|"&amp;RIGHT("000000"&amp;1918,6),LdAKeyG,0),"")</f>
        <v/>
      </c>
    </row>
    <row r="1935">
      <c r="A1935" s="10" t="n">
        <v>1919</v>
      </c>
      <c r="B1935" s="14">
        <f>IF($N1935="","",INDEX(LdADate,$N1935))</f>
        <v/>
      </c>
      <c r="C1935" s="14">
        <f>IF($N1935="","",IF(INDEX(LdAId,$N1935)="","—",INDEX(LdAId,$N1935)))</f>
        <v/>
      </c>
      <c r="D1935" s="16">
        <f>IF($N1935="","",IF(INDEX(LdAAmt,$N1935)=0,"",INDEX(LdAAmt,$N1935)))</f>
        <v/>
      </c>
      <c r="E1935" s="16">
        <f>IF($N1935="","",SUMIFS(ShareAmt,ShareLink,$C1935))</f>
        <v/>
      </c>
      <c r="F1935" s="33">
        <f>IF($N1935="","",COUNTIF(ShareLink,$C1935))</f>
        <v/>
      </c>
      <c r="G1935" s="17">
        <f>IF($N1935="","",IF(ROUND($E1935-$D1935,0)=0,"√","▲ "&amp;TEXT($D1935-$E1935,"#,##0")))</f>
        <v/>
      </c>
      <c r="N1935">
        <f>IFERROR(MATCH($C$5&amp;"|"&amp;RIGHT("000000"&amp;1919,6),LdAKeyG,0),"")</f>
        <v/>
      </c>
    </row>
    <row r="1936">
      <c r="A1936" s="19" t="n">
        <v>1920</v>
      </c>
      <c r="B1936" s="20">
        <f>IF($N1936="","",INDEX(LdADate,$N1936))</f>
        <v/>
      </c>
      <c r="C1936" s="20">
        <f>IF($N1936="","",IF(INDEX(LdAId,$N1936)="","—",INDEX(LdAId,$N1936)))</f>
        <v/>
      </c>
      <c r="D1936" s="21">
        <f>IF($N1936="","",IF(INDEX(LdAAmt,$N1936)=0,"",INDEX(LdAAmt,$N1936)))</f>
        <v/>
      </c>
      <c r="E1936" s="21">
        <f>IF($N1936="","",SUMIFS(ShareAmt,ShareLink,$C1936))</f>
        <v/>
      </c>
      <c r="F1936" s="34">
        <f>IF($N1936="","",COUNTIF(ShareLink,$C1936))</f>
        <v/>
      </c>
      <c r="G1936" s="22">
        <f>IF($N1936="","",IF(ROUND($E1936-$D1936,0)=0,"√","▲ "&amp;TEXT($D1936-$E1936,"#,##0")))</f>
        <v/>
      </c>
      <c r="N1936">
        <f>IFERROR(MATCH($C$5&amp;"|"&amp;RIGHT("000000"&amp;1920,6),LdAKeyG,0),"")</f>
        <v/>
      </c>
    </row>
    <row r="1937">
      <c r="A1937" s="10" t="n">
        <v>1921</v>
      </c>
      <c r="B1937" s="14">
        <f>IF($N1937="","",INDEX(LdADate,$N1937))</f>
        <v/>
      </c>
      <c r="C1937" s="14">
        <f>IF($N1937="","",IF(INDEX(LdAId,$N1937)="","—",INDEX(LdAId,$N1937)))</f>
        <v/>
      </c>
      <c r="D1937" s="16">
        <f>IF($N1937="","",IF(INDEX(LdAAmt,$N1937)=0,"",INDEX(LdAAmt,$N1937)))</f>
        <v/>
      </c>
      <c r="E1937" s="16">
        <f>IF($N1937="","",SUMIFS(ShareAmt,ShareLink,$C1937))</f>
        <v/>
      </c>
      <c r="F1937" s="33">
        <f>IF($N1937="","",COUNTIF(ShareLink,$C1937))</f>
        <v/>
      </c>
      <c r="G1937" s="17">
        <f>IF($N1937="","",IF(ROUND($E1937-$D1937,0)=0,"√","▲ "&amp;TEXT($D1937-$E1937,"#,##0")))</f>
        <v/>
      </c>
      <c r="N1937">
        <f>IFERROR(MATCH($C$5&amp;"|"&amp;RIGHT("000000"&amp;1921,6),LdAKeyG,0),"")</f>
        <v/>
      </c>
    </row>
    <row r="1938">
      <c r="A1938" s="19" t="n">
        <v>1922</v>
      </c>
      <c r="B1938" s="20">
        <f>IF($N1938="","",INDEX(LdADate,$N1938))</f>
        <v/>
      </c>
      <c r="C1938" s="20">
        <f>IF($N1938="","",IF(INDEX(LdAId,$N1938)="","—",INDEX(LdAId,$N1938)))</f>
        <v/>
      </c>
      <c r="D1938" s="21">
        <f>IF($N1938="","",IF(INDEX(LdAAmt,$N1938)=0,"",INDEX(LdAAmt,$N1938)))</f>
        <v/>
      </c>
      <c r="E1938" s="21">
        <f>IF($N1938="","",SUMIFS(ShareAmt,ShareLink,$C1938))</f>
        <v/>
      </c>
      <c r="F1938" s="34">
        <f>IF($N1938="","",COUNTIF(ShareLink,$C1938))</f>
        <v/>
      </c>
      <c r="G1938" s="22">
        <f>IF($N1938="","",IF(ROUND($E1938-$D1938,0)=0,"√","▲ "&amp;TEXT($D1938-$E1938,"#,##0")))</f>
        <v/>
      </c>
      <c r="N1938">
        <f>IFERROR(MATCH($C$5&amp;"|"&amp;RIGHT("000000"&amp;1922,6),LdAKeyG,0),"")</f>
        <v/>
      </c>
    </row>
    <row r="1939">
      <c r="A1939" s="10" t="n">
        <v>1923</v>
      </c>
      <c r="B1939" s="14">
        <f>IF($N1939="","",INDEX(LdADate,$N1939))</f>
        <v/>
      </c>
      <c r="C1939" s="14">
        <f>IF($N1939="","",IF(INDEX(LdAId,$N1939)="","—",INDEX(LdAId,$N1939)))</f>
        <v/>
      </c>
      <c r="D1939" s="16">
        <f>IF($N1939="","",IF(INDEX(LdAAmt,$N1939)=0,"",INDEX(LdAAmt,$N1939)))</f>
        <v/>
      </c>
      <c r="E1939" s="16">
        <f>IF($N1939="","",SUMIFS(ShareAmt,ShareLink,$C1939))</f>
        <v/>
      </c>
      <c r="F1939" s="33">
        <f>IF($N1939="","",COUNTIF(ShareLink,$C1939))</f>
        <v/>
      </c>
      <c r="G1939" s="17">
        <f>IF($N1939="","",IF(ROUND($E1939-$D1939,0)=0,"√","▲ "&amp;TEXT($D1939-$E1939,"#,##0")))</f>
        <v/>
      </c>
      <c r="N1939">
        <f>IFERROR(MATCH($C$5&amp;"|"&amp;RIGHT("000000"&amp;1923,6),LdAKeyG,0),"")</f>
        <v/>
      </c>
    </row>
    <row r="1940">
      <c r="A1940" s="19" t="n">
        <v>1924</v>
      </c>
      <c r="B1940" s="20">
        <f>IF($N1940="","",INDEX(LdADate,$N1940))</f>
        <v/>
      </c>
      <c r="C1940" s="20">
        <f>IF($N1940="","",IF(INDEX(LdAId,$N1940)="","—",INDEX(LdAId,$N1940)))</f>
        <v/>
      </c>
      <c r="D1940" s="21">
        <f>IF($N1940="","",IF(INDEX(LdAAmt,$N1940)=0,"",INDEX(LdAAmt,$N1940)))</f>
        <v/>
      </c>
      <c r="E1940" s="21">
        <f>IF($N1940="","",SUMIFS(ShareAmt,ShareLink,$C1940))</f>
        <v/>
      </c>
      <c r="F1940" s="34">
        <f>IF($N1940="","",COUNTIF(ShareLink,$C1940))</f>
        <v/>
      </c>
      <c r="G1940" s="22">
        <f>IF($N1940="","",IF(ROUND($E1940-$D1940,0)=0,"√","▲ "&amp;TEXT($D1940-$E1940,"#,##0")))</f>
        <v/>
      </c>
      <c r="N1940">
        <f>IFERROR(MATCH($C$5&amp;"|"&amp;RIGHT("000000"&amp;1924,6),LdAKeyG,0),"")</f>
        <v/>
      </c>
    </row>
    <row r="1941">
      <c r="A1941" s="10" t="n">
        <v>1925</v>
      </c>
      <c r="B1941" s="14">
        <f>IF($N1941="","",INDEX(LdADate,$N1941))</f>
        <v/>
      </c>
      <c r="C1941" s="14">
        <f>IF($N1941="","",IF(INDEX(LdAId,$N1941)="","—",INDEX(LdAId,$N1941)))</f>
        <v/>
      </c>
      <c r="D1941" s="16">
        <f>IF($N1941="","",IF(INDEX(LdAAmt,$N1941)=0,"",INDEX(LdAAmt,$N1941)))</f>
        <v/>
      </c>
      <c r="E1941" s="16">
        <f>IF($N1941="","",SUMIFS(ShareAmt,ShareLink,$C1941))</f>
        <v/>
      </c>
      <c r="F1941" s="33">
        <f>IF($N1941="","",COUNTIF(ShareLink,$C1941))</f>
        <v/>
      </c>
      <c r="G1941" s="17">
        <f>IF($N1941="","",IF(ROUND($E1941-$D1941,0)=0,"√","▲ "&amp;TEXT($D1941-$E1941,"#,##0")))</f>
        <v/>
      </c>
      <c r="N1941">
        <f>IFERROR(MATCH($C$5&amp;"|"&amp;RIGHT("000000"&amp;1925,6),LdAKeyG,0),"")</f>
        <v/>
      </c>
    </row>
    <row r="1942">
      <c r="A1942" s="19" t="n">
        <v>1926</v>
      </c>
      <c r="B1942" s="20">
        <f>IF($N1942="","",INDEX(LdADate,$N1942))</f>
        <v/>
      </c>
      <c r="C1942" s="20">
        <f>IF($N1942="","",IF(INDEX(LdAId,$N1942)="","—",INDEX(LdAId,$N1942)))</f>
        <v/>
      </c>
      <c r="D1942" s="21">
        <f>IF($N1942="","",IF(INDEX(LdAAmt,$N1942)=0,"",INDEX(LdAAmt,$N1942)))</f>
        <v/>
      </c>
      <c r="E1942" s="21">
        <f>IF($N1942="","",SUMIFS(ShareAmt,ShareLink,$C1942))</f>
        <v/>
      </c>
      <c r="F1942" s="34">
        <f>IF($N1942="","",COUNTIF(ShareLink,$C1942))</f>
        <v/>
      </c>
      <c r="G1942" s="22">
        <f>IF($N1942="","",IF(ROUND($E1942-$D1942,0)=0,"√","▲ "&amp;TEXT($D1942-$E1942,"#,##0")))</f>
        <v/>
      </c>
      <c r="N1942">
        <f>IFERROR(MATCH($C$5&amp;"|"&amp;RIGHT("000000"&amp;1926,6),LdAKeyG,0),"")</f>
        <v/>
      </c>
    </row>
    <row r="1943">
      <c r="A1943" s="10" t="n">
        <v>1927</v>
      </c>
      <c r="B1943" s="14">
        <f>IF($N1943="","",INDEX(LdADate,$N1943))</f>
        <v/>
      </c>
      <c r="C1943" s="14">
        <f>IF($N1943="","",IF(INDEX(LdAId,$N1943)="","—",INDEX(LdAId,$N1943)))</f>
        <v/>
      </c>
      <c r="D1943" s="16">
        <f>IF($N1943="","",IF(INDEX(LdAAmt,$N1943)=0,"",INDEX(LdAAmt,$N1943)))</f>
        <v/>
      </c>
      <c r="E1943" s="16">
        <f>IF($N1943="","",SUMIFS(ShareAmt,ShareLink,$C1943))</f>
        <v/>
      </c>
      <c r="F1943" s="33">
        <f>IF($N1943="","",COUNTIF(ShareLink,$C1943))</f>
        <v/>
      </c>
      <c r="G1943" s="17">
        <f>IF($N1943="","",IF(ROUND($E1943-$D1943,0)=0,"√","▲ "&amp;TEXT($D1943-$E1943,"#,##0")))</f>
        <v/>
      </c>
      <c r="N1943">
        <f>IFERROR(MATCH($C$5&amp;"|"&amp;RIGHT("000000"&amp;1927,6),LdAKeyG,0),"")</f>
        <v/>
      </c>
    </row>
    <row r="1944">
      <c r="A1944" s="19" t="n">
        <v>1928</v>
      </c>
      <c r="B1944" s="20">
        <f>IF($N1944="","",INDEX(LdADate,$N1944))</f>
        <v/>
      </c>
      <c r="C1944" s="20">
        <f>IF($N1944="","",IF(INDEX(LdAId,$N1944)="","—",INDEX(LdAId,$N1944)))</f>
        <v/>
      </c>
      <c r="D1944" s="21">
        <f>IF($N1944="","",IF(INDEX(LdAAmt,$N1944)=0,"",INDEX(LdAAmt,$N1944)))</f>
        <v/>
      </c>
      <c r="E1944" s="21">
        <f>IF($N1944="","",SUMIFS(ShareAmt,ShareLink,$C1944))</f>
        <v/>
      </c>
      <c r="F1944" s="34">
        <f>IF($N1944="","",COUNTIF(ShareLink,$C1944))</f>
        <v/>
      </c>
      <c r="G1944" s="22">
        <f>IF($N1944="","",IF(ROUND($E1944-$D1944,0)=0,"√","▲ "&amp;TEXT($D1944-$E1944,"#,##0")))</f>
        <v/>
      </c>
      <c r="N1944">
        <f>IFERROR(MATCH($C$5&amp;"|"&amp;RIGHT("000000"&amp;1928,6),LdAKeyG,0),"")</f>
        <v/>
      </c>
    </row>
    <row r="1945">
      <c r="A1945" s="10" t="n">
        <v>1929</v>
      </c>
      <c r="B1945" s="14">
        <f>IF($N1945="","",INDEX(LdADate,$N1945))</f>
        <v/>
      </c>
      <c r="C1945" s="14">
        <f>IF($N1945="","",IF(INDEX(LdAId,$N1945)="","—",INDEX(LdAId,$N1945)))</f>
        <v/>
      </c>
      <c r="D1945" s="16">
        <f>IF($N1945="","",IF(INDEX(LdAAmt,$N1945)=0,"",INDEX(LdAAmt,$N1945)))</f>
        <v/>
      </c>
      <c r="E1945" s="16">
        <f>IF($N1945="","",SUMIFS(ShareAmt,ShareLink,$C1945))</f>
        <v/>
      </c>
      <c r="F1945" s="33">
        <f>IF($N1945="","",COUNTIF(ShareLink,$C1945))</f>
        <v/>
      </c>
      <c r="G1945" s="17">
        <f>IF($N1945="","",IF(ROUND($E1945-$D1945,0)=0,"√","▲ "&amp;TEXT($D1945-$E1945,"#,##0")))</f>
        <v/>
      </c>
      <c r="N1945">
        <f>IFERROR(MATCH($C$5&amp;"|"&amp;RIGHT("000000"&amp;1929,6),LdAKeyG,0),"")</f>
        <v/>
      </c>
    </row>
    <row r="1946">
      <c r="A1946" s="19" t="n">
        <v>1930</v>
      </c>
      <c r="B1946" s="20">
        <f>IF($N1946="","",INDEX(LdADate,$N1946))</f>
        <v/>
      </c>
      <c r="C1946" s="20">
        <f>IF($N1946="","",IF(INDEX(LdAId,$N1946)="","—",INDEX(LdAId,$N1946)))</f>
        <v/>
      </c>
      <c r="D1946" s="21">
        <f>IF($N1946="","",IF(INDEX(LdAAmt,$N1946)=0,"",INDEX(LdAAmt,$N1946)))</f>
        <v/>
      </c>
      <c r="E1946" s="21">
        <f>IF($N1946="","",SUMIFS(ShareAmt,ShareLink,$C1946))</f>
        <v/>
      </c>
      <c r="F1946" s="34">
        <f>IF($N1946="","",COUNTIF(ShareLink,$C1946))</f>
        <v/>
      </c>
      <c r="G1946" s="22">
        <f>IF($N1946="","",IF(ROUND($E1946-$D1946,0)=0,"√","▲ "&amp;TEXT($D1946-$E1946,"#,##0")))</f>
        <v/>
      </c>
      <c r="N1946">
        <f>IFERROR(MATCH($C$5&amp;"|"&amp;RIGHT("000000"&amp;1930,6),LdAKeyG,0),"")</f>
        <v/>
      </c>
    </row>
    <row r="1947">
      <c r="A1947" s="10" t="n">
        <v>1931</v>
      </c>
      <c r="B1947" s="14">
        <f>IF($N1947="","",INDEX(LdADate,$N1947))</f>
        <v/>
      </c>
      <c r="C1947" s="14">
        <f>IF($N1947="","",IF(INDEX(LdAId,$N1947)="","—",INDEX(LdAId,$N1947)))</f>
        <v/>
      </c>
      <c r="D1947" s="16">
        <f>IF($N1947="","",IF(INDEX(LdAAmt,$N1947)=0,"",INDEX(LdAAmt,$N1947)))</f>
        <v/>
      </c>
      <c r="E1947" s="16">
        <f>IF($N1947="","",SUMIFS(ShareAmt,ShareLink,$C1947))</f>
        <v/>
      </c>
      <c r="F1947" s="33">
        <f>IF($N1947="","",COUNTIF(ShareLink,$C1947))</f>
        <v/>
      </c>
      <c r="G1947" s="17">
        <f>IF($N1947="","",IF(ROUND($E1947-$D1947,0)=0,"√","▲ "&amp;TEXT($D1947-$E1947,"#,##0")))</f>
        <v/>
      </c>
      <c r="N1947">
        <f>IFERROR(MATCH($C$5&amp;"|"&amp;RIGHT("000000"&amp;1931,6),LdAKeyG,0),"")</f>
        <v/>
      </c>
    </row>
    <row r="1948">
      <c r="A1948" s="19" t="n">
        <v>1932</v>
      </c>
      <c r="B1948" s="20">
        <f>IF($N1948="","",INDEX(LdADate,$N1948))</f>
        <v/>
      </c>
      <c r="C1948" s="20">
        <f>IF($N1948="","",IF(INDEX(LdAId,$N1948)="","—",INDEX(LdAId,$N1948)))</f>
        <v/>
      </c>
      <c r="D1948" s="21">
        <f>IF($N1948="","",IF(INDEX(LdAAmt,$N1948)=0,"",INDEX(LdAAmt,$N1948)))</f>
        <v/>
      </c>
      <c r="E1948" s="21">
        <f>IF($N1948="","",SUMIFS(ShareAmt,ShareLink,$C1948))</f>
        <v/>
      </c>
      <c r="F1948" s="34">
        <f>IF($N1948="","",COUNTIF(ShareLink,$C1948))</f>
        <v/>
      </c>
      <c r="G1948" s="22">
        <f>IF($N1948="","",IF(ROUND($E1948-$D1948,0)=0,"√","▲ "&amp;TEXT($D1948-$E1948,"#,##0")))</f>
        <v/>
      </c>
      <c r="N1948">
        <f>IFERROR(MATCH($C$5&amp;"|"&amp;RIGHT("000000"&amp;1932,6),LdAKeyG,0),"")</f>
        <v/>
      </c>
    </row>
    <row r="1949">
      <c r="A1949" s="10" t="n">
        <v>1933</v>
      </c>
      <c r="B1949" s="14">
        <f>IF($N1949="","",INDEX(LdADate,$N1949))</f>
        <v/>
      </c>
      <c r="C1949" s="14">
        <f>IF($N1949="","",IF(INDEX(LdAId,$N1949)="","—",INDEX(LdAId,$N1949)))</f>
        <v/>
      </c>
      <c r="D1949" s="16">
        <f>IF($N1949="","",IF(INDEX(LdAAmt,$N1949)=0,"",INDEX(LdAAmt,$N1949)))</f>
        <v/>
      </c>
      <c r="E1949" s="16">
        <f>IF($N1949="","",SUMIFS(ShareAmt,ShareLink,$C1949))</f>
        <v/>
      </c>
      <c r="F1949" s="33">
        <f>IF($N1949="","",COUNTIF(ShareLink,$C1949))</f>
        <v/>
      </c>
      <c r="G1949" s="17">
        <f>IF($N1949="","",IF(ROUND($E1949-$D1949,0)=0,"√","▲ "&amp;TEXT($D1949-$E1949,"#,##0")))</f>
        <v/>
      </c>
      <c r="N1949">
        <f>IFERROR(MATCH($C$5&amp;"|"&amp;RIGHT("000000"&amp;1933,6),LdAKeyG,0),"")</f>
        <v/>
      </c>
    </row>
    <row r="1950">
      <c r="A1950" s="19" t="n">
        <v>1934</v>
      </c>
      <c r="B1950" s="20">
        <f>IF($N1950="","",INDEX(LdADate,$N1950))</f>
        <v/>
      </c>
      <c r="C1950" s="20">
        <f>IF($N1950="","",IF(INDEX(LdAId,$N1950)="","—",INDEX(LdAId,$N1950)))</f>
        <v/>
      </c>
      <c r="D1950" s="21">
        <f>IF($N1950="","",IF(INDEX(LdAAmt,$N1950)=0,"",INDEX(LdAAmt,$N1950)))</f>
        <v/>
      </c>
      <c r="E1950" s="21">
        <f>IF($N1950="","",SUMIFS(ShareAmt,ShareLink,$C1950))</f>
        <v/>
      </c>
      <c r="F1950" s="34">
        <f>IF($N1950="","",COUNTIF(ShareLink,$C1950))</f>
        <v/>
      </c>
      <c r="G1950" s="22">
        <f>IF($N1950="","",IF(ROUND($E1950-$D1950,0)=0,"√","▲ "&amp;TEXT($D1950-$E1950,"#,##0")))</f>
        <v/>
      </c>
      <c r="N1950">
        <f>IFERROR(MATCH($C$5&amp;"|"&amp;RIGHT("000000"&amp;1934,6),LdAKeyG,0),"")</f>
        <v/>
      </c>
    </row>
    <row r="1951">
      <c r="A1951" s="10" t="n">
        <v>1935</v>
      </c>
      <c r="B1951" s="14">
        <f>IF($N1951="","",INDEX(LdADate,$N1951))</f>
        <v/>
      </c>
      <c r="C1951" s="14">
        <f>IF($N1951="","",IF(INDEX(LdAId,$N1951)="","—",INDEX(LdAId,$N1951)))</f>
        <v/>
      </c>
      <c r="D1951" s="16">
        <f>IF($N1951="","",IF(INDEX(LdAAmt,$N1951)=0,"",INDEX(LdAAmt,$N1951)))</f>
        <v/>
      </c>
      <c r="E1951" s="16">
        <f>IF($N1951="","",SUMIFS(ShareAmt,ShareLink,$C1951))</f>
        <v/>
      </c>
      <c r="F1951" s="33">
        <f>IF($N1951="","",COUNTIF(ShareLink,$C1951))</f>
        <v/>
      </c>
      <c r="G1951" s="17">
        <f>IF($N1951="","",IF(ROUND($E1951-$D1951,0)=0,"√","▲ "&amp;TEXT($D1951-$E1951,"#,##0")))</f>
        <v/>
      </c>
      <c r="N1951">
        <f>IFERROR(MATCH($C$5&amp;"|"&amp;RIGHT("000000"&amp;1935,6),LdAKeyG,0),"")</f>
        <v/>
      </c>
    </row>
    <row r="1952">
      <c r="A1952" s="19" t="n">
        <v>1936</v>
      </c>
      <c r="B1952" s="20">
        <f>IF($N1952="","",INDEX(LdADate,$N1952))</f>
        <v/>
      </c>
      <c r="C1952" s="20">
        <f>IF($N1952="","",IF(INDEX(LdAId,$N1952)="","—",INDEX(LdAId,$N1952)))</f>
        <v/>
      </c>
      <c r="D1952" s="21">
        <f>IF($N1952="","",IF(INDEX(LdAAmt,$N1952)=0,"",INDEX(LdAAmt,$N1952)))</f>
        <v/>
      </c>
      <c r="E1952" s="21">
        <f>IF($N1952="","",SUMIFS(ShareAmt,ShareLink,$C1952))</f>
        <v/>
      </c>
      <c r="F1952" s="34">
        <f>IF($N1952="","",COUNTIF(ShareLink,$C1952))</f>
        <v/>
      </c>
      <c r="G1952" s="22">
        <f>IF($N1952="","",IF(ROUND($E1952-$D1952,0)=0,"√","▲ "&amp;TEXT($D1952-$E1952,"#,##0")))</f>
        <v/>
      </c>
      <c r="N1952">
        <f>IFERROR(MATCH($C$5&amp;"|"&amp;RIGHT("000000"&amp;1936,6),LdAKeyG,0),"")</f>
        <v/>
      </c>
    </row>
    <row r="1953">
      <c r="A1953" s="10" t="n">
        <v>1937</v>
      </c>
      <c r="B1953" s="14">
        <f>IF($N1953="","",INDEX(LdADate,$N1953))</f>
        <v/>
      </c>
      <c r="C1953" s="14">
        <f>IF($N1953="","",IF(INDEX(LdAId,$N1953)="","—",INDEX(LdAId,$N1953)))</f>
        <v/>
      </c>
      <c r="D1953" s="16">
        <f>IF($N1953="","",IF(INDEX(LdAAmt,$N1953)=0,"",INDEX(LdAAmt,$N1953)))</f>
        <v/>
      </c>
      <c r="E1953" s="16">
        <f>IF($N1953="","",SUMIFS(ShareAmt,ShareLink,$C1953))</f>
        <v/>
      </c>
      <c r="F1953" s="33">
        <f>IF($N1953="","",COUNTIF(ShareLink,$C1953))</f>
        <v/>
      </c>
      <c r="G1953" s="17">
        <f>IF($N1953="","",IF(ROUND($E1953-$D1953,0)=0,"√","▲ "&amp;TEXT($D1953-$E1953,"#,##0")))</f>
        <v/>
      </c>
      <c r="N1953">
        <f>IFERROR(MATCH($C$5&amp;"|"&amp;RIGHT("000000"&amp;1937,6),LdAKeyG,0),"")</f>
        <v/>
      </c>
    </row>
    <row r="1954">
      <c r="A1954" s="19" t="n">
        <v>1938</v>
      </c>
      <c r="B1954" s="20">
        <f>IF($N1954="","",INDEX(LdADate,$N1954))</f>
        <v/>
      </c>
      <c r="C1954" s="20">
        <f>IF($N1954="","",IF(INDEX(LdAId,$N1954)="","—",INDEX(LdAId,$N1954)))</f>
        <v/>
      </c>
      <c r="D1954" s="21">
        <f>IF($N1954="","",IF(INDEX(LdAAmt,$N1954)=0,"",INDEX(LdAAmt,$N1954)))</f>
        <v/>
      </c>
      <c r="E1954" s="21">
        <f>IF($N1954="","",SUMIFS(ShareAmt,ShareLink,$C1954))</f>
        <v/>
      </c>
      <c r="F1954" s="34">
        <f>IF($N1954="","",COUNTIF(ShareLink,$C1954))</f>
        <v/>
      </c>
      <c r="G1954" s="22">
        <f>IF($N1954="","",IF(ROUND($E1954-$D1954,0)=0,"√","▲ "&amp;TEXT($D1954-$E1954,"#,##0")))</f>
        <v/>
      </c>
      <c r="N1954">
        <f>IFERROR(MATCH($C$5&amp;"|"&amp;RIGHT("000000"&amp;1938,6),LdAKeyG,0),"")</f>
        <v/>
      </c>
    </row>
    <row r="1955">
      <c r="A1955" s="10" t="n">
        <v>1939</v>
      </c>
      <c r="B1955" s="14">
        <f>IF($N1955="","",INDEX(LdADate,$N1955))</f>
        <v/>
      </c>
      <c r="C1955" s="14">
        <f>IF($N1955="","",IF(INDEX(LdAId,$N1955)="","—",INDEX(LdAId,$N1955)))</f>
        <v/>
      </c>
      <c r="D1955" s="16">
        <f>IF($N1955="","",IF(INDEX(LdAAmt,$N1955)=0,"",INDEX(LdAAmt,$N1955)))</f>
        <v/>
      </c>
      <c r="E1955" s="16">
        <f>IF($N1955="","",SUMIFS(ShareAmt,ShareLink,$C1955))</f>
        <v/>
      </c>
      <c r="F1955" s="33">
        <f>IF($N1955="","",COUNTIF(ShareLink,$C1955))</f>
        <v/>
      </c>
      <c r="G1955" s="17">
        <f>IF($N1955="","",IF(ROUND($E1955-$D1955,0)=0,"√","▲ "&amp;TEXT($D1955-$E1955,"#,##0")))</f>
        <v/>
      </c>
      <c r="N1955">
        <f>IFERROR(MATCH($C$5&amp;"|"&amp;RIGHT("000000"&amp;1939,6),LdAKeyG,0),"")</f>
        <v/>
      </c>
    </row>
    <row r="1956">
      <c r="A1956" s="19" t="n">
        <v>1940</v>
      </c>
      <c r="B1956" s="20">
        <f>IF($N1956="","",INDEX(LdADate,$N1956))</f>
        <v/>
      </c>
      <c r="C1956" s="20">
        <f>IF($N1956="","",IF(INDEX(LdAId,$N1956)="","—",INDEX(LdAId,$N1956)))</f>
        <v/>
      </c>
      <c r="D1956" s="21">
        <f>IF($N1956="","",IF(INDEX(LdAAmt,$N1956)=0,"",INDEX(LdAAmt,$N1956)))</f>
        <v/>
      </c>
      <c r="E1956" s="21">
        <f>IF($N1956="","",SUMIFS(ShareAmt,ShareLink,$C1956))</f>
        <v/>
      </c>
      <c r="F1956" s="34">
        <f>IF($N1956="","",COUNTIF(ShareLink,$C1956))</f>
        <v/>
      </c>
      <c r="G1956" s="22">
        <f>IF($N1956="","",IF(ROUND($E1956-$D1956,0)=0,"√","▲ "&amp;TEXT($D1956-$E1956,"#,##0")))</f>
        <v/>
      </c>
      <c r="N1956">
        <f>IFERROR(MATCH($C$5&amp;"|"&amp;RIGHT("000000"&amp;1940,6),LdAKeyG,0),"")</f>
        <v/>
      </c>
    </row>
    <row r="1957">
      <c r="A1957" s="10" t="n">
        <v>1941</v>
      </c>
      <c r="B1957" s="14">
        <f>IF($N1957="","",INDEX(LdADate,$N1957))</f>
        <v/>
      </c>
      <c r="C1957" s="14">
        <f>IF($N1957="","",IF(INDEX(LdAId,$N1957)="","—",INDEX(LdAId,$N1957)))</f>
        <v/>
      </c>
      <c r="D1957" s="16">
        <f>IF($N1957="","",IF(INDEX(LdAAmt,$N1957)=0,"",INDEX(LdAAmt,$N1957)))</f>
        <v/>
      </c>
      <c r="E1957" s="16">
        <f>IF($N1957="","",SUMIFS(ShareAmt,ShareLink,$C1957))</f>
        <v/>
      </c>
      <c r="F1957" s="33">
        <f>IF($N1957="","",COUNTIF(ShareLink,$C1957))</f>
        <v/>
      </c>
      <c r="G1957" s="17">
        <f>IF($N1957="","",IF(ROUND($E1957-$D1957,0)=0,"√","▲ "&amp;TEXT($D1957-$E1957,"#,##0")))</f>
        <v/>
      </c>
      <c r="N1957">
        <f>IFERROR(MATCH($C$5&amp;"|"&amp;RIGHT("000000"&amp;1941,6),LdAKeyG,0),"")</f>
        <v/>
      </c>
    </row>
    <row r="1958">
      <c r="A1958" s="19" t="n">
        <v>1942</v>
      </c>
      <c r="B1958" s="20">
        <f>IF($N1958="","",INDEX(LdADate,$N1958))</f>
        <v/>
      </c>
      <c r="C1958" s="20">
        <f>IF($N1958="","",IF(INDEX(LdAId,$N1958)="","—",INDEX(LdAId,$N1958)))</f>
        <v/>
      </c>
      <c r="D1958" s="21">
        <f>IF($N1958="","",IF(INDEX(LdAAmt,$N1958)=0,"",INDEX(LdAAmt,$N1958)))</f>
        <v/>
      </c>
      <c r="E1958" s="21">
        <f>IF($N1958="","",SUMIFS(ShareAmt,ShareLink,$C1958))</f>
        <v/>
      </c>
      <c r="F1958" s="34">
        <f>IF($N1958="","",COUNTIF(ShareLink,$C1958))</f>
        <v/>
      </c>
      <c r="G1958" s="22">
        <f>IF($N1958="","",IF(ROUND($E1958-$D1958,0)=0,"√","▲ "&amp;TEXT($D1958-$E1958,"#,##0")))</f>
        <v/>
      </c>
      <c r="N1958">
        <f>IFERROR(MATCH($C$5&amp;"|"&amp;RIGHT("000000"&amp;1942,6),LdAKeyG,0),"")</f>
        <v/>
      </c>
    </row>
    <row r="1959">
      <c r="A1959" s="10" t="n">
        <v>1943</v>
      </c>
      <c r="B1959" s="14">
        <f>IF($N1959="","",INDEX(LdADate,$N1959))</f>
        <v/>
      </c>
      <c r="C1959" s="14">
        <f>IF($N1959="","",IF(INDEX(LdAId,$N1959)="","—",INDEX(LdAId,$N1959)))</f>
        <v/>
      </c>
      <c r="D1959" s="16">
        <f>IF($N1959="","",IF(INDEX(LdAAmt,$N1959)=0,"",INDEX(LdAAmt,$N1959)))</f>
        <v/>
      </c>
      <c r="E1959" s="16">
        <f>IF($N1959="","",SUMIFS(ShareAmt,ShareLink,$C1959))</f>
        <v/>
      </c>
      <c r="F1959" s="33">
        <f>IF($N1959="","",COUNTIF(ShareLink,$C1959))</f>
        <v/>
      </c>
      <c r="G1959" s="17">
        <f>IF($N1959="","",IF(ROUND($E1959-$D1959,0)=0,"√","▲ "&amp;TEXT($D1959-$E1959,"#,##0")))</f>
        <v/>
      </c>
      <c r="N1959">
        <f>IFERROR(MATCH($C$5&amp;"|"&amp;RIGHT("000000"&amp;1943,6),LdAKeyG,0),"")</f>
        <v/>
      </c>
    </row>
    <row r="1960">
      <c r="A1960" s="19" t="n">
        <v>1944</v>
      </c>
      <c r="B1960" s="20">
        <f>IF($N1960="","",INDEX(LdADate,$N1960))</f>
        <v/>
      </c>
      <c r="C1960" s="20">
        <f>IF($N1960="","",IF(INDEX(LdAId,$N1960)="","—",INDEX(LdAId,$N1960)))</f>
        <v/>
      </c>
      <c r="D1960" s="21">
        <f>IF($N1960="","",IF(INDEX(LdAAmt,$N1960)=0,"",INDEX(LdAAmt,$N1960)))</f>
        <v/>
      </c>
      <c r="E1960" s="21">
        <f>IF($N1960="","",SUMIFS(ShareAmt,ShareLink,$C1960))</f>
        <v/>
      </c>
      <c r="F1960" s="34">
        <f>IF($N1960="","",COUNTIF(ShareLink,$C1960))</f>
        <v/>
      </c>
      <c r="G1960" s="22">
        <f>IF($N1960="","",IF(ROUND($E1960-$D1960,0)=0,"√","▲ "&amp;TEXT($D1960-$E1960,"#,##0")))</f>
        <v/>
      </c>
      <c r="N1960">
        <f>IFERROR(MATCH($C$5&amp;"|"&amp;RIGHT("000000"&amp;1944,6),LdAKeyG,0),"")</f>
        <v/>
      </c>
    </row>
    <row r="1961">
      <c r="A1961" s="10" t="n">
        <v>1945</v>
      </c>
      <c r="B1961" s="14">
        <f>IF($N1961="","",INDEX(LdADate,$N1961))</f>
        <v/>
      </c>
      <c r="C1961" s="14">
        <f>IF($N1961="","",IF(INDEX(LdAId,$N1961)="","—",INDEX(LdAId,$N1961)))</f>
        <v/>
      </c>
      <c r="D1961" s="16">
        <f>IF($N1961="","",IF(INDEX(LdAAmt,$N1961)=0,"",INDEX(LdAAmt,$N1961)))</f>
        <v/>
      </c>
      <c r="E1961" s="16">
        <f>IF($N1961="","",SUMIFS(ShareAmt,ShareLink,$C1961))</f>
        <v/>
      </c>
      <c r="F1961" s="33">
        <f>IF($N1961="","",COUNTIF(ShareLink,$C1961))</f>
        <v/>
      </c>
      <c r="G1961" s="17">
        <f>IF($N1961="","",IF(ROUND($E1961-$D1961,0)=0,"√","▲ "&amp;TEXT($D1961-$E1961,"#,##0")))</f>
        <v/>
      </c>
      <c r="N1961">
        <f>IFERROR(MATCH($C$5&amp;"|"&amp;RIGHT("000000"&amp;1945,6),LdAKeyG,0),"")</f>
        <v/>
      </c>
    </row>
    <row r="1962">
      <c r="A1962" s="19" t="n">
        <v>1946</v>
      </c>
      <c r="B1962" s="20">
        <f>IF($N1962="","",INDEX(LdADate,$N1962))</f>
        <v/>
      </c>
      <c r="C1962" s="20">
        <f>IF($N1962="","",IF(INDEX(LdAId,$N1962)="","—",INDEX(LdAId,$N1962)))</f>
        <v/>
      </c>
      <c r="D1962" s="21">
        <f>IF($N1962="","",IF(INDEX(LdAAmt,$N1962)=0,"",INDEX(LdAAmt,$N1962)))</f>
        <v/>
      </c>
      <c r="E1962" s="21">
        <f>IF($N1962="","",SUMIFS(ShareAmt,ShareLink,$C1962))</f>
        <v/>
      </c>
      <c r="F1962" s="34">
        <f>IF($N1962="","",COUNTIF(ShareLink,$C1962))</f>
        <v/>
      </c>
      <c r="G1962" s="22">
        <f>IF($N1962="","",IF(ROUND($E1962-$D1962,0)=0,"√","▲ "&amp;TEXT($D1962-$E1962,"#,##0")))</f>
        <v/>
      </c>
      <c r="N1962">
        <f>IFERROR(MATCH($C$5&amp;"|"&amp;RIGHT("000000"&amp;1946,6),LdAKeyG,0),"")</f>
        <v/>
      </c>
    </row>
    <row r="1963">
      <c r="A1963" s="10" t="n">
        <v>1947</v>
      </c>
      <c r="B1963" s="14">
        <f>IF($N1963="","",INDEX(LdADate,$N1963))</f>
        <v/>
      </c>
      <c r="C1963" s="14">
        <f>IF($N1963="","",IF(INDEX(LdAId,$N1963)="","—",INDEX(LdAId,$N1963)))</f>
        <v/>
      </c>
      <c r="D1963" s="16">
        <f>IF($N1963="","",IF(INDEX(LdAAmt,$N1963)=0,"",INDEX(LdAAmt,$N1963)))</f>
        <v/>
      </c>
      <c r="E1963" s="16">
        <f>IF($N1963="","",SUMIFS(ShareAmt,ShareLink,$C1963))</f>
        <v/>
      </c>
      <c r="F1963" s="33">
        <f>IF($N1963="","",COUNTIF(ShareLink,$C1963))</f>
        <v/>
      </c>
      <c r="G1963" s="17">
        <f>IF($N1963="","",IF(ROUND($E1963-$D1963,0)=0,"√","▲ "&amp;TEXT($D1963-$E1963,"#,##0")))</f>
        <v/>
      </c>
      <c r="N1963">
        <f>IFERROR(MATCH($C$5&amp;"|"&amp;RIGHT("000000"&amp;1947,6),LdAKeyG,0),"")</f>
        <v/>
      </c>
    </row>
    <row r="1964">
      <c r="A1964" s="19" t="n">
        <v>1948</v>
      </c>
      <c r="B1964" s="20">
        <f>IF($N1964="","",INDEX(LdADate,$N1964))</f>
        <v/>
      </c>
      <c r="C1964" s="20">
        <f>IF($N1964="","",IF(INDEX(LdAId,$N1964)="","—",INDEX(LdAId,$N1964)))</f>
        <v/>
      </c>
      <c r="D1964" s="21">
        <f>IF($N1964="","",IF(INDEX(LdAAmt,$N1964)=0,"",INDEX(LdAAmt,$N1964)))</f>
        <v/>
      </c>
      <c r="E1964" s="21">
        <f>IF($N1964="","",SUMIFS(ShareAmt,ShareLink,$C1964))</f>
        <v/>
      </c>
      <c r="F1964" s="34">
        <f>IF($N1964="","",COUNTIF(ShareLink,$C1964))</f>
        <v/>
      </c>
      <c r="G1964" s="22">
        <f>IF($N1964="","",IF(ROUND($E1964-$D1964,0)=0,"√","▲ "&amp;TEXT($D1964-$E1964,"#,##0")))</f>
        <v/>
      </c>
      <c r="N1964">
        <f>IFERROR(MATCH($C$5&amp;"|"&amp;RIGHT("000000"&amp;1948,6),LdAKeyG,0),"")</f>
        <v/>
      </c>
    </row>
    <row r="1965">
      <c r="A1965" s="10" t="n">
        <v>1949</v>
      </c>
      <c r="B1965" s="14">
        <f>IF($N1965="","",INDEX(LdADate,$N1965))</f>
        <v/>
      </c>
      <c r="C1965" s="14">
        <f>IF($N1965="","",IF(INDEX(LdAId,$N1965)="","—",INDEX(LdAId,$N1965)))</f>
        <v/>
      </c>
      <c r="D1965" s="16">
        <f>IF($N1965="","",IF(INDEX(LdAAmt,$N1965)=0,"",INDEX(LdAAmt,$N1965)))</f>
        <v/>
      </c>
      <c r="E1965" s="16">
        <f>IF($N1965="","",SUMIFS(ShareAmt,ShareLink,$C1965))</f>
        <v/>
      </c>
      <c r="F1965" s="33">
        <f>IF($N1965="","",COUNTIF(ShareLink,$C1965))</f>
        <v/>
      </c>
      <c r="G1965" s="17">
        <f>IF($N1965="","",IF(ROUND($E1965-$D1965,0)=0,"√","▲ "&amp;TEXT($D1965-$E1965,"#,##0")))</f>
        <v/>
      </c>
      <c r="N1965">
        <f>IFERROR(MATCH($C$5&amp;"|"&amp;RIGHT("000000"&amp;1949,6),LdAKeyG,0),"")</f>
        <v/>
      </c>
    </row>
    <row r="1966">
      <c r="A1966" s="19" t="n">
        <v>1950</v>
      </c>
      <c r="B1966" s="20">
        <f>IF($N1966="","",INDEX(LdADate,$N1966))</f>
        <v/>
      </c>
      <c r="C1966" s="20">
        <f>IF($N1966="","",IF(INDEX(LdAId,$N1966)="","—",INDEX(LdAId,$N1966)))</f>
        <v/>
      </c>
      <c r="D1966" s="21">
        <f>IF($N1966="","",IF(INDEX(LdAAmt,$N1966)=0,"",INDEX(LdAAmt,$N1966)))</f>
        <v/>
      </c>
      <c r="E1966" s="21">
        <f>IF($N1966="","",SUMIFS(ShareAmt,ShareLink,$C1966))</f>
        <v/>
      </c>
      <c r="F1966" s="34">
        <f>IF($N1966="","",COUNTIF(ShareLink,$C1966))</f>
        <v/>
      </c>
      <c r="G1966" s="22">
        <f>IF($N1966="","",IF(ROUND($E1966-$D1966,0)=0,"√","▲ "&amp;TEXT($D1966-$E1966,"#,##0")))</f>
        <v/>
      </c>
      <c r="N1966">
        <f>IFERROR(MATCH($C$5&amp;"|"&amp;RIGHT("000000"&amp;1950,6),LdAKeyG,0),"")</f>
        <v/>
      </c>
    </row>
    <row r="1967">
      <c r="A1967" s="10" t="n">
        <v>1951</v>
      </c>
      <c r="B1967" s="14">
        <f>IF($N1967="","",INDEX(LdADate,$N1967))</f>
        <v/>
      </c>
      <c r="C1967" s="14">
        <f>IF($N1967="","",IF(INDEX(LdAId,$N1967)="","—",INDEX(LdAId,$N1967)))</f>
        <v/>
      </c>
      <c r="D1967" s="16">
        <f>IF($N1967="","",IF(INDEX(LdAAmt,$N1967)=0,"",INDEX(LdAAmt,$N1967)))</f>
        <v/>
      </c>
      <c r="E1967" s="16">
        <f>IF($N1967="","",SUMIFS(ShareAmt,ShareLink,$C1967))</f>
        <v/>
      </c>
      <c r="F1967" s="33">
        <f>IF($N1967="","",COUNTIF(ShareLink,$C1967))</f>
        <v/>
      </c>
      <c r="G1967" s="17">
        <f>IF($N1967="","",IF(ROUND($E1967-$D1967,0)=0,"√","▲ "&amp;TEXT($D1967-$E1967,"#,##0")))</f>
        <v/>
      </c>
      <c r="N1967">
        <f>IFERROR(MATCH($C$5&amp;"|"&amp;RIGHT("000000"&amp;1951,6),LdAKeyG,0),"")</f>
        <v/>
      </c>
    </row>
    <row r="1968">
      <c r="A1968" s="19" t="n">
        <v>1952</v>
      </c>
      <c r="B1968" s="20">
        <f>IF($N1968="","",INDEX(LdADate,$N1968))</f>
        <v/>
      </c>
      <c r="C1968" s="20">
        <f>IF($N1968="","",IF(INDEX(LdAId,$N1968)="","—",INDEX(LdAId,$N1968)))</f>
        <v/>
      </c>
      <c r="D1968" s="21">
        <f>IF($N1968="","",IF(INDEX(LdAAmt,$N1968)=0,"",INDEX(LdAAmt,$N1968)))</f>
        <v/>
      </c>
      <c r="E1968" s="21">
        <f>IF($N1968="","",SUMIFS(ShareAmt,ShareLink,$C1968))</f>
        <v/>
      </c>
      <c r="F1968" s="34">
        <f>IF($N1968="","",COUNTIF(ShareLink,$C1968))</f>
        <v/>
      </c>
      <c r="G1968" s="22">
        <f>IF($N1968="","",IF(ROUND($E1968-$D1968,0)=0,"√","▲ "&amp;TEXT($D1968-$E1968,"#,##0")))</f>
        <v/>
      </c>
      <c r="N1968">
        <f>IFERROR(MATCH($C$5&amp;"|"&amp;RIGHT("000000"&amp;1952,6),LdAKeyG,0),"")</f>
        <v/>
      </c>
    </row>
    <row r="1969">
      <c r="A1969" s="10" t="n">
        <v>1953</v>
      </c>
      <c r="B1969" s="14">
        <f>IF($N1969="","",INDEX(LdADate,$N1969))</f>
        <v/>
      </c>
      <c r="C1969" s="14">
        <f>IF($N1969="","",IF(INDEX(LdAId,$N1969)="","—",INDEX(LdAId,$N1969)))</f>
        <v/>
      </c>
      <c r="D1969" s="16">
        <f>IF($N1969="","",IF(INDEX(LdAAmt,$N1969)=0,"",INDEX(LdAAmt,$N1969)))</f>
        <v/>
      </c>
      <c r="E1969" s="16">
        <f>IF($N1969="","",SUMIFS(ShareAmt,ShareLink,$C1969))</f>
        <v/>
      </c>
      <c r="F1969" s="33">
        <f>IF($N1969="","",COUNTIF(ShareLink,$C1969))</f>
        <v/>
      </c>
      <c r="G1969" s="17">
        <f>IF($N1969="","",IF(ROUND($E1969-$D1969,0)=0,"√","▲ "&amp;TEXT($D1969-$E1969,"#,##0")))</f>
        <v/>
      </c>
      <c r="N1969">
        <f>IFERROR(MATCH($C$5&amp;"|"&amp;RIGHT("000000"&amp;1953,6),LdAKeyG,0),"")</f>
        <v/>
      </c>
    </row>
    <row r="1970">
      <c r="A1970" s="19" t="n">
        <v>1954</v>
      </c>
      <c r="B1970" s="20">
        <f>IF($N1970="","",INDEX(LdADate,$N1970))</f>
        <v/>
      </c>
      <c r="C1970" s="20">
        <f>IF($N1970="","",IF(INDEX(LdAId,$N1970)="","—",INDEX(LdAId,$N1970)))</f>
        <v/>
      </c>
      <c r="D1970" s="21">
        <f>IF($N1970="","",IF(INDEX(LdAAmt,$N1970)=0,"",INDEX(LdAAmt,$N1970)))</f>
        <v/>
      </c>
      <c r="E1970" s="21">
        <f>IF($N1970="","",SUMIFS(ShareAmt,ShareLink,$C1970))</f>
        <v/>
      </c>
      <c r="F1970" s="34">
        <f>IF($N1970="","",COUNTIF(ShareLink,$C1970))</f>
        <v/>
      </c>
      <c r="G1970" s="22">
        <f>IF($N1970="","",IF(ROUND($E1970-$D1970,0)=0,"√","▲ "&amp;TEXT($D1970-$E1970,"#,##0")))</f>
        <v/>
      </c>
      <c r="N1970">
        <f>IFERROR(MATCH($C$5&amp;"|"&amp;RIGHT("000000"&amp;1954,6),LdAKeyG,0),"")</f>
        <v/>
      </c>
    </row>
    <row r="1971">
      <c r="A1971" s="10" t="n">
        <v>1955</v>
      </c>
      <c r="B1971" s="14">
        <f>IF($N1971="","",INDEX(LdADate,$N1971))</f>
        <v/>
      </c>
      <c r="C1971" s="14">
        <f>IF($N1971="","",IF(INDEX(LdAId,$N1971)="","—",INDEX(LdAId,$N1971)))</f>
        <v/>
      </c>
      <c r="D1971" s="16">
        <f>IF($N1971="","",IF(INDEX(LdAAmt,$N1971)=0,"",INDEX(LdAAmt,$N1971)))</f>
        <v/>
      </c>
      <c r="E1971" s="16">
        <f>IF($N1971="","",SUMIFS(ShareAmt,ShareLink,$C1971))</f>
        <v/>
      </c>
      <c r="F1971" s="33">
        <f>IF($N1971="","",COUNTIF(ShareLink,$C1971))</f>
        <v/>
      </c>
      <c r="G1971" s="17">
        <f>IF($N1971="","",IF(ROUND($E1971-$D1971,0)=0,"√","▲ "&amp;TEXT($D1971-$E1971,"#,##0")))</f>
        <v/>
      </c>
      <c r="N1971">
        <f>IFERROR(MATCH($C$5&amp;"|"&amp;RIGHT("000000"&amp;1955,6),LdAKeyG,0),"")</f>
        <v/>
      </c>
    </row>
    <row r="1972">
      <c r="A1972" s="19" t="n">
        <v>1956</v>
      </c>
      <c r="B1972" s="20">
        <f>IF($N1972="","",INDEX(LdADate,$N1972))</f>
        <v/>
      </c>
      <c r="C1972" s="20">
        <f>IF($N1972="","",IF(INDEX(LdAId,$N1972)="","—",INDEX(LdAId,$N1972)))</f>
        <v/>
      </c>
      <c r="D1972" s="21">
        <f>IF($N1972="","",IF(INDEX(LdAAmt,$N1972)=0,"",INDEX(LdAAmt,$N1972)))</f>
        <v/>
      </c>
      <c r="E1972" s="21">
        <f>IF($N1972="","",SUMIFS(ShareAmt,ShareLink,$C1972))</f>
        <v/>
      </c>
      <c r="F1972" s="34">
        <f>IF($N1972="","",COUNTIF(ShareLink,$C1972))</f>
        <v/>
      </c>
      <c r="G1972" s="22">
        <f>IF($N1972="","",IF(ROUND($E1972-$D1972,0)=0,"√","▲ "&amp;TEXT($D1972-$E1972,"#,##0")))</f>
        <v/>
      </c>
      <c r="N1972">
        <f>IFERROR(MATCH($C$5&amp;"|"&amp;RIGHT("000000"&amp;1956,6),LdAKeyG,0),"")</f>
        <v/>
      </c>
    </row>
    <row r="1973">
      <c r="A1973" s="10" t="n">
        <v>1957</v>
      </c>
      <c r="B1973" s="14">
        <f>IF($N1973="","",INDEX(LdADate,$N1973))</f>
        <v/>
      </c>
      <c r="C1973" s="14">
        <f>IF($N1973="","",IF(INDEX(LdAId,$N1973)="","—",INDEX(LdAId,$N1973)))</f>
        <v/>
      </c>
      <c r="D1973" s="16">
        <f>IF($N1973="","",IF(INDEX(LdAAmt,$N1973)=0,"",INDEX(LdAAmt,$N1973)))</f>
        <v/>
      </c>
      <c r="E1973" s="16">
        <f>IF($N1973="","",SUMIFS(ShareAmt,ShareLink,$C1973))</f>
        <v/>
      </c>
      <c r="F1973" s="33">
        <f>IF($N1973="","",COUNTIF(ShareLink,$C1973))</f>
        <v/>
      </c>
      <c r="G1973" s="17">
        <f>IF($N1973="","",IF(ROUND($E1973-$D1973,0)=0,"√","▲ "&amp;TEXT($D1973-$E1973,"#,##0")))</f>
        <v/>
      </c>
      <c r="N1973">
        <f>IFERROR(MATCH($C$5&amp;"|"&amp;RIGHT("000000"&amp;1957,6),LdAKeyG,0),"")</f>
        <v/>
      </c>
    </row>
    <row r="1974">
      <c r="A1974" s="19" t="n">
        <v>1958</v>
      </c>
      <c r="B1974" s="20">
        <f>IF($N1974="","",INDEX(LdADate,$N1974))</f>
        <v/>
      </c>
      <c r="C1974" s="20">
        <f>IF($N1974="","",IF(INDEX(LdAId,$N1974)="","—",INDEX(LdAId,$N1974)))</f>
        <v/>
      </c>
      <c r="D1974" s="21">
        <f>IF($N1974="","",IF(INDEX(LdAAmt,$N1974)=0,"",INDEX(LdAAmt,$N1974)))</f>
        <v/>
      </c>
      <c r="E1974" s="21">
        <f>IF($N1974="","",SUMIFS(ShareAmt,ShareLink,$C1974))</f>
        <v/>
      </c>
      <c r="F1974" s="34">
        <f>IF($N1974="","",COUNTIF(ShareLink,$C1974))</f>
        <v/>
      </c>
      <c r="G1974" s="22">
        <f>IF($N1974="","",IF(ROUND($E1974-$D1974,0)=0,"√","▲ "&amp;TEXT($D1974-$E1974,"#,##0")))</f>
        <v/>
      </c>
      <c r="N1974">
        <f>IFERROR(MATCH($C$5&amp;"|"&amp;RIGHT("000000"&amp;1958,6),LdAKeyG,0),"")</f>
        <v/>
      </c>
    </row>
    <row r="1975">
      <c r="A1975" s="10" t="n">
        <v>1959</v>
      </c>
      <c r="B1975" s="14">
        <f>IF($N1975="","",INDEX(LdADate,$N1975))</f>
        <v/>
      </c>
      <c r="C1975" s="14">
        <f>IF($N1975="","",IF(INDEX(LdAId,$N1975)="","—",INDEX(LdAId,$N1975)))</f>
        <v/>
      </c>
      <c r="D1975" s="16">
        <f>IF($N1975="","",IF(INDEX(LdAAmt,$N1975)=0,"",INDEX(LdAAmt,$N1975)))</f>
        <v/>
      </c>
      <c r="E1975" s="16">
        <f>IF($N1975="","",SUMIFS(ShareAmt,ShareLink,$C1975))</f>
        <v/>
      </c>
      <c r="F1975" s="33">
        <f>IF($N1975="","",COUNTIF(ShareLink,$C1975))</f>
        <v/>
      </c>
      <c r="G1975" s="17">
        <f>IF($N1975="","",IF(ROUND($E1975-$D1975,0)=0,"√","▲ "&amp;TEXT($D1975-$E1975,"#,##0")))</f>
        <v/>
      </c>
      <c r="N1975">
        <f>IFERROR(MATCH($C$5&amp;"|"&amp;RIGHT("000000"&amp;1959,6),LdAKeyG,0),"")</f>
        <v/>
      </c>
    </row>
    <row r="1976">
      <c r="A1976" s="19" t="n">
        <v>1960</v>
      </c>
      <c r="B1976" s="20">
        <f>IF($N1976="","",INDEX(LdADate,$N1976))</f>
        <v/>
      </c>
      <c r="C1976" s="20">
        <f>IF($N1976="","",IF(INDEX(LdAId,$N1976)="","—",INDEX(LdAId,$N1976)))</f>
        <v/>
      </c>
      <c r="D1976" s="21">
        <f>IF($N1976="","",IF(INDEX(LdAAmt,$N1976)=0,"",INDEX(LdAAmt,$N1976)))</f>
        <v/>
      </c>
      <c r="E1976" s="21">
        <f>IF($N1976="","",SUMIFS(ShareAmt,ShareLink,$C1976))</f>
        <v/>
      </c>
      <c r="F1976" s="34">
        <f>IF($N1976="","",COUNTIF(ShareLink,$C1976))</f>
        <v/>
      </c>
      <c r="G1976" s="22">
        <f>IF($N1976="","",IF(ROUND($E1976-$D1976,0)=0,"√","▲ "&amp;TEXT($D1976-$E1976,"#,##0")))</f>
        <v/>
      </c>
      <c r="N1976">
        <f>IFERROR(MATCH($C$5&amp;"|"&amp;RIGHT("000000"&amp;1960,6),LdAKeyG,0),"")</f>
        <v/>
      </c>
    </row>
    <row r="1977">
      <c r="A1977" s="10" t="n">
        <v>1961</v>
      </c>
      <c r="B1977" s="14">
        <f>IF($N1977="","",INDEX(LdADate,$N1977))</f>
        <v/>
      </c>
      <c r="C1977" s="14">
        <f>IF($N1977="","",IF(INDEX(LdAId,$N1977)="","—",INDEX(LdAId,$N1977)))</f>
        <v/>
      </c>
      <c r="D1977" s="16">
        <f>IF($N1977="","",IF(INDEX(LdAAmt,$N1977)=0,"",INDEX(LdAAmt,$N1977)))</f>
        <v/>
      </c>
      <c r="E1977" s="16">
        <f>IF($N1977="","",SUMIFS(ShareAmt,ShareLink,$C1977))</f>
        <v/>
      </c>
      <c r="F1977" s="33">
        <f>IF($N1977="","",COUNTIF(ShareLink,$C1977))</f>
        <v/>
      </c>
      <c r="G1977" s="17">
        <f>IF($N1977="","",IF(ROUND($E1977-$D1977,0)=0,"√","▲ "&amp;TEXT($D1977-$E1977,"#,##0")))</f>
        <v/>
      </c>
      <c r="N1977">
        <f>IFERROR(MATCH($C$5&amp;"|"&amp;RIGHT("000000"&amp;1961,6),LdAKeyG,0),"")</f>
        <v/>
      </c>
    </row>
    <row r="1978">
      <c r="A1978" s="19" t="n">
        <v>1962</v>
      </c>
      <c r="B1978" s="20">
        <f>IF($N1978="","",INDEX(LdADate,$N1978))</f>
        <v/>
      </c>
      <c r="C1978" s="20">
        <f>IF($N1978="","",IF(INDEX(LdAId,$N1978)="","—",INDEX(LdAId,$N1978)))</f>
        <v/>
      </c>
      <c r="D1978" s="21">
        <f>IF($N1978="","",IF(INDEX(LdAAmt,$N1978)=0,"",INDEX(LdAAmt,$N1978)))</f>
        <v/>
      </c>
      <c r="E1978" s="21">
        <f>IF($N1978="","",SUMIFS(ShareAmt,ShareLink,$C1978))</f>
        <v/>
      </c>
      <c r="F1978" s="34">
        <f>IF($N1978="","",COUNTIF(ShareLink,$C1978))</f>
        <v/>
      </c>
      <c r="G1978" s="22">
        <f>IF($N1978="","",IF(ROUND($E1978-$D1978,0)=0,"√","▲ "&amp;TEXT($D1978-$E1978,"#,##0")))</f>
        <v/>
      </c>
      <c r="N1978">
        <f>IFERROR(MATCH($C$5&amp;"|"&amp;RIGHT("000000"&amp;1962,6),LdAKeyG,0),"")</f>
        <v/>
      </c>
    </row>
    <row r="1979">
      <c r="A1979" s="10" t="n">
        <v>1963</v>
      </c>
      <c r="B1979" s="14">
        <f>IF($N1979="","",INDEX(LdADate,$N1979))</f>
        <v/>
      </c>
      <c r="C1979" s="14">
        <f>IF($N1979="","",IF(INDEX(LdAId,$N1979)="","—",INDEX(LdAId,$N1979)))</f>
        <v/>
      </c>
      <c r="D1979" s="16">
        <f>IF($N1979="","",IF(INDEX(LdAAmt,$N1979)=0,"",INDEX(LdAAmt,$N1979)))</f>
        <v/>
      </c>
      <c r="E1979" s="16">
        <f>IF($N1979="","",SUMIFS(ShareAmt,ShareLink,$C1979))</f>
        <v/>
      </c>
      <c r="F1979" s="33">
        <f>IF($N1979="","",COUNTIF(ShareLink,$C1979))</f>
        <v/>
      </c>
      <c r="G1979" s="17">
        <f>IF($N1979="","",IF(ROUND($E1979-$D1979,0)=0,"√","▲ "&amp;TEXT($D1979-$E1979,"#,##0")))</f>
        <v/>
      </c>
      <c r="N1979">
        <f>IFERROR(MATCH($C$5&amp;"|"&amp;RIGHT("000000"&amp;1963,6),LdAKeyG,0),"")</f>
        <v/>
      </c>
    </row>
    <row r="1980">
      <c r="A1980" s="19" t="n">
        <v>1964</v>
      </c>
      <c r="B1980" s="20">
        <f>IF($N1980="","",INDEX(LdADate,$N1980))</f>
        <v/>
      </c>
      <c r="C1980" s="20">
        <f>IF($N1980="","",IF(INDEX(LdAId,$N1980)="","—",INDEX(LdAId,$N1980)))</f>
        <v/>
      </c>
      <c r="D1980" s="21">
        <f>IF($N1980="","",IF(INDEX(LdAAmt,$N1980)=0,"",INDEX(LdAAmt,$N1980)))</f>
        <v/>
      </c>
      <c r="E1980" s="21">
        <f>IF($N1980="","",SUMIFS(ShareAmt,ShareLink,$C1980))</f>
        <v/>
      </c>
      <c r="F1980" s="34">
        <f>IF($N1980="","",COUNTIF(ShareLink,$C1980))</f>
        <v/>
      </c>
      <c r="G1980" s="22">
        <f>IF($N1980="","",IF(ROUND($E1980-$D1980,0)=0,"√","▲ "&amp;TEXT($D1980-$E1980,"#,##0")))</f>
        <v/>
      </c>
      <c r="N1980">
        <f>IFERROR(MATCH($C$5&amp;"|"&amp;RIGHT("000000"&amp;1964,6),LdAKeyG,0),"")</f>
        <v/>
      </c>
    </row>
    <row r="1981">
      <c r="A1981" s="10" t="n">
        <v>1965</v>
      </c>
      <c r="B1981" s="14">
        <f>IF($N1981="","",INDEX(LdADate,$N1981))</f>
        <v/>
      </c>
      <c r="C1981" s="14">
        <f>IF($N1981="","",IF(INDEX(LdAId,$N1981)="","—",INDEX(LdAId,$N1981)))</f>
        <v/>
      </c>
      <c r="D1981" s="16">
        <f>IF($N1981="","",IF(INDEX(LdAAmt,$N1981)=0,"",INDEX(LdAAmt,$N1981)))</f>
        <v/>
      </c>
      <c r="E1981" s="16">
        <f>IF($N1981="","",SUMIFS(ShareAmt,ShareLink,$C1981))</f>
        <v/>
      </c>
      <c r="F1981" s="33">
        <f>IF($N1981="","",COUNTIF(ShareLink,$C1981))</f>
        <v/>
      </c>
      <c r="G1981" s="17">
        <f>IF($N1981="","",IF(ROUND($E1981-$D1981,0)=0,"√","▲ "&amp;TEXT($D1981-$E1981,"#,##0")))</f>
        <v/>
      </c>
      <c r="N1981">
        <f>IFERROR(MATCH($C$5&amp;"|"&amp;RIGHT("000000"&amp;1965,6),LdAKeyG,0),"")</f>
        <v/>
      </c>
    </row>
    <row r="1982">
      <c r="A1982" s="19" t="n">
        <v>1966</v>
      </c>
      <c r="B1982" s="20">
        <f>IF($N1982="","",INDEX(LdADate,$N1982))</f>
        <v/>
      </c>
      <c r="C1982" s="20">
        <f>IF($N1982="","",IF(INDEX(LdAId,$N1982)="","—",INDEX(LdAId,$N1982)))</f>
        <v/>
      </c>
      <c r="D1982" s="21">
        <f>IF($N1982="","",IF(INDEX(LdAAmt,$N1982)=0,"",INDEX(LdAAmt,$N1982)))</f>
        <v/>
      </c>
      <c r="E1982" s="21">
        <f>IF($N1982="","",SUMIFS(ShareAmt,ShareLink,$C1982))</f>
        <v/>
      </c>
      <c r="F1982" s="34">
        <f>IF($N1982="","",COUNTIF(ShareLink,$C1982))</f>
        <v/>
      </c>
      <c r="G1982" s="22">
        <f>IF($N1982="","",IF(ROUND($E1982-$D1982,0)=0,"√","▲ "&amp;TEXT($D1982-$E1982,"#,##0")))</f>
        <v/>
      </c>
      <c r="N1982">
        <f>IFERROR(MATCH($C$5&amp;"|"&amp;RIGHT("000000"&amp;1966,6),LdAKeyG,0),"")</f>
        <v/>
      </c>
    </row>
    <row r="1983">
      <c r="A1983" s="10" t="n">
        <v>1967</v>
      </c>
      <c r="B1983" s="14">
        <f>IF($N1983="","",INDEX(LdADate,$N1983))</f>
        <v/>
      </c>
      <c r="C1983" s="14">
        <f>IF($N1983="","",IF(INDEX(LdAId,$N1983)="","—",INDEX(LdAId,$N1983)))</f>
        <v/>
      </c>
      <c r="D1983" s="16">
        <f>IF($N1983="","",IF(INDEX(LdAAmt,$N1983)=0,"",INDEX(LdAAmt,$N1983)))</f>
        <v/>
      </c>
      <c r="E1983" s="16">
        <f>IF($N1983="","",SUMIFS(ShareAmt,ShareLink,$C1983))</f>
        <v/>
      </c>
      <c r="F1983" s="33">
        <f>IF($N1983="","",COUNTIF(ShareLink,$C1983))</f>
        <v/>
      </c>
      <c r="G1983" s="17">
        <f>IF($N1983="","",IF(ROUND($E1983-$D1983,0)=0,"√","▲ "&amp;TEXT($D1983-$E1983,"#,##0")))</f>
        <v/>
      </c>
      <c r="N1983">
        <f>IFERROR(MATCH($C$5&amp;"|"&amp;RIGHT("000000"&amp;1967,6),LdAKeyG,0),"")</f>
        <v/>
      </c>
    </row>
    <row r="1984">
      <c r="A1984" s="19" t="n">
        <v>1968</v>
      </c>
      <c r="B1984" s="20">
        <f>IF($N1984="","",INDEX(LdADate,$N1984))</f>
        <v/>
      </c>
      <c r="C1984" s="20">
        <f>IF($N1984="","",IF(INDEX(LdAId,$N1984)="","—",INDEX(LdAId,$N1984)))</f>
        <v/>
      </c>
      <c r="D1984" s="21">
        <f>IF($N1984="","",IF(INDEX(LdAAmt,$N1984)=0,"",INDEX(LdAAmt,$N1984)))</f>
        <v/>
      </c>
      <c r="E1984" s="21">
        <f>IF($N1984="","",SUMIFS(ShareAmt,ShareLink,$C1984))</f>
        <v/>
      </c>
      <c r="F1984" s="34">
        <f>IF($N1984="","",COUNTIF(ShareLink,$C1984))</f>
        <v/>
      </c>
      <c r="G1984" s="22">
        <f>IF($N1984="","",IF(ROUND($E1984-$D1984,0)=0,"√","▲ "&amp;TEXT($D1984-$E1984,"#,##0")))</f>
        <v/>
      </c>
      <c r="N1984">
        <f>IFERROR(MATCH($C$5&amp;"|"&amp;RIGHT("000000"&amp;1968,6),LdAKeyG,0),"")</f>
        <v/>
      </c>
    </row>
    <row r="1985">
      <c r="A1985" s="10" t="n">
        <v>1969</v>
      </c>
      <c r="B1985" s="14">
        <f>IF($N1985="","",INDEX(LdADate,$N1985))</f>
        <v/>
      </c>
      <c r="C1985" s="14">
        <f>IF($N1985="","",IF(INDEX(LdAId,$N1985)="","—",INDEX(LdAId,$N1985)))</f>
        <v/>
      </c>
      <c r="D1985" s="16">
        <f>IF($N1985="","",IF(INDEX(LdAAmt,$N1985)=0,"",INDEX(LdAAmt,$N1985)))</f>
        <v/>
      </c>
      <c r="E1985" s="16">
        <f>IF($N1985="","",SUMIFS(ShareAmt,ShareLink,$C1985))</f>
        <v/>
      </c>
      <c r="F1985" s="33">
        <f>IF($N1985="","",COUNTIF(ShareLink,$C1985))</f>
        <v/>
      </c>
      <c r="G1985" s="17">
        <f>IF($N1985="","",IF(ROUND($E1985-$D1985,0)=0,"√","▲ "&amp;TEXT($D1985-$E1985,"#,##0")))</f>
        <v/>
      </c>
      <c r="N1985">
        <f>IFERROR(MATCH($C$5&amp;"|"&amp;RIGHT("000000"&amp;1969,6),LdAKeyG,0),"")</f>
        <v/>
      </c>
    </row>
    <row r="1986">
      <c r="A1986" s="19" t="n">
        <v>1970</v>
      </c>
      <c r="B1986" s="20">
        <f>IF($N1986="","",INDEX(LdADate,$N1986))</f>
        <v/>
      </c>
      <c r="C1986" s="20">
        <f>IF($N1986="","",IF(INDEX(LdAId,$N1986)="","—",INDEX(LdAId,$N1986)))</f>
        <v/>
      </c>
      <c r="D1986" s="21">
        <f>IF($N1986="","",IF(INDEX(LdAAmt,$N1986)=0,"",INDEX(LdAAmt,$N1986)))</f>
        <v/>
      </c>
      <c r="E1986" s="21">
        <f>IF($N1986="","",SUMIFS(ShareAmt,ShareLink,$C1986))</f>
        <v/>
      </c>
      <c r="F1986" s="34">
        <f>IF($N1986="","",COUNTIF(ShareLink,$C1986))</f>
        <v/>
      </c>
      <c r="G1986" s="22">
        <f>IF($N1986="","",IF(ROUND($E1986-$D1986,0)=0,"√","▲ "&amp;TEXT($D1986-$E1986,"#,##0")))</f>
        <v/>
      </c>
      <c r="N1986">
        <f>IFERROR(MATCH($C$5&amp;"|"&amp;RIGHT("000000"&amp;1970,6),LdAKeyG,0),"")</f>
        <v/>
      </c>
    </row>
    <row r="1987">
      <c r="A1987" s="10" t="n">
        <v>1971</v>
      </c>
      <c r="B1987" s="14">
        <f>IF($N1987="","",INDEX(LdADate,$N1987))</f>
        <v/>
      </c>
      <c r="C1987" s="14">
        <f>IF($N1987="","",IF(INDEX(LdAId,$N1987)="","—",INDEX(LdAId,$N1987)))</f>
        <v/>
      </c>
      <c r="D1987" s="16">
        <f>IF($N1987="","",IF(INDEX(LdAAmt,$N1987)=0,"",INDEX(LdAAmt,$N1987)))</f>
        <v/>
      </c>
      <c r="E1987" s="16">
        <f>IF($N1987="","",SUMIFS(ShareAmt,ShareLink,$C1987))</f>
        <v/>
      </c>
      <c r="F1987" s="33">
        <f>IF($N1987="","",COUNTIF(ShareLink,$C1987))</f>
        <v/>
      </c>
      <c r="G1987" s="17">
        <f>IF($N1987="","",IF(ROUND($E1987-$D1987,0)=0,"√","▲ "&amp;TEXT($D1987-$E1987,"#,##0")))</f>
        <v/>
      </c>
      <c r="N1987">
        <f>IFERROR(MATCH($C$5&amp;"|"&amp;RIGHT("000000"&amp;1971,6),LdAKeyG,0),"")</f>
        <v/>
      </c>
    </row>
    <row r="1988">
      <c r="A1988" s="19" t="n">
        <v>1972</v>
      </c>
      <c r="B1988" s="20">
        <f>IF($N1988="","",INDEX(LdADate,$N1988))</f>
        <v/>
      </c>
      <c r="C1988" s="20">
        <f>IF($N1988="","",IF(INDEX(LdAId,$N1988)="","—",INDEX(LdAId,$N1988)))</f>
        <v/>
      </c>
      <c r="D1988" s="21">
        <f>IF($N1988="","",IF(INDEX(LdAAmt,$N1988)=0,"",INDEX(LdAAmt,$N1988)))</f>
        <v/>
      </c>
      <c r="E1988" s="21">
        <f>IF($N1988="","",SUMIFS(ShareAmt,ShareLink,$C1988))</f>
        <v/>
      </c>
      <c r="F1988" s="34">
        <f>IF($N1988="","",COUNTIF(ShareLink,$C1988))</f>
        <v/>
      </c>
      <c r="G1988" s="22">
        <f>IF($N1988="","",IF(ROUND($E1988-$D1988,0)=0,"√","▲ "&amp;TEXT($D1988-$E1988,"#,##0")))</f>
        <v/>
      </c>
      <c r="N1988">
        <f>IFERROR(MATCH($C$5&amp;"|"&amp;RIGHT("000000"&amp;1972,6),LdAKeyG,0),"")</f>
        <v/>
      </c>
    </row>
    <row r="1989">
      <c r="A1989" s="10" t="n">
        <v>1973</v>
      </c>
      <c r="B1989" s="14">
        <f>IF($N1989="","",INDEX(LdADate,$N1989))</f>
        <v/>
      </c>
      <c r="C1989" s="14">
        <f>IF($N1989="","",IF(INDEX(LdAId,$N1989)="","—",INDEX(LdAId,$N1989)))</f>
        <v/>
      </c>
      <c r="D1989" s="16">
        <f>IF($N1989="","",IF(INDEX(LdAAmt,$N1989)=0,"",INDEX(LdAAmt,$N1989)))</f>
        <v/>
      </c>
      <c r="E1989" s="16">
        <f>IF($N1989="","",SUMIFS(ShareAmt,ShareLink,$C1989))</f>
        <v/>
      </c>
      <c r="F1989" s="33">
        <f>IF($N1989="","",COUNTIF(ShareLink,$C1989))</f>
        <v/>
      </c>
      <c r="G1989" s="17">
        <f>IF($N1989="","",IF(ROUND($E1989-$D1989,0)=0,"√","▲ "&amp;TEXT($D1989-$E1989,"#,##0")))</f>
        <v/>
      </c>
      <c r="N1989">
        <f>IFERROR(MATCH($C$5&amp;"|"&amp;RIGHT("000000"&amp;1973,6),LdAKeyG,0),"")</f>
        <v/>
      </c>
    </row>
    <row r="1990">
      <c r="A1990" s="19" t="n">
        <v>1974</v>
      </c>
      <c r="B1990" s="20">
        <f>IF($N1990="","",INDEX(LdADate,$N1990))</f>
        <v/>
      </c>
      <c r="C1990" s="20">
        <f>IF($N1990="","",IF(INDEX(LdAId,$N1990)="","—",INDEX(LdAId,$N1990)))</f>
        <v/>
      </c>
      <c r="D1990" s="21">
        <f>IF($N1990="","",IF(INDEX(LdAAmt,$N1990)=0,"",INDEX(LdAAmt,$N1990)))</f>
        <v/>
      </c>
      <c r="E1990" s="21">
        <f>IF($N1990="","",SUMIFS(ShareAmt,ShareLink,$C1990))</f>
        <v/>
      </c>
      <c r="F1990" s="34">
        <f>IF($N1990="","",COUNTIF(ShareLink,$C1990))</f>
        <v/>
      </c>
      <c r="G1990" s="22">
        <f>IF($N1990="","",IF(ROUND($E1990-$D1990,0)=0,"√","▲ "&amp;TEXT($D1990-$E1990,"#,##0")))</f>
        <v/>
      </c>
      <c r="N1990">
        <f>IFERROR(MATCH($C$5&amp;"|"&amp;RIGHT("000000"&amp;1974,6),LdAKeyG,0),"")</f>
        <v/>
      </c>
    </row>
    <row r="1991">
      <c r="A1991" s="10" t="n">
        <v>1975</v>
      </c>
      <c r="B1991" s="14">
        <f>IF($N1991="","",INDEX(LdADate,$N1991))</f>
        <v/>
      </c>
      <c r="C1991" s="14">
        <f>IF($N1991="","",IF(INDEX(LdAId,$N1991)="","—",INDEX(LdAId,$N1991)))</f>
        <v/>
      </c>
      <c r="D1991" s="16">
        <f>IF($N1991="","",IF(INDEX(LdAAmt,$N1991)=0,"",INDEX(LdAAmt,$N1991)))</f>
        <v/>
      </c>
      <c r="E1991" s="16">
        <f>IF($N1991="","",SUMIFS(ShareAmt,ShareLink,$C1991))</f>
        <v/>
      </c>
      <c r="F1991" s="33">
        <f>IF($N1991="","",COUNTIF(ShareLink,$C1991))</f>
        <v/>
      </c>
      <c r="G1991" s="17">
        <f>IF($N1991="","",IF(ROUND($E1991-$D1991,0)=0,"√","▲ "&amp;TEXT($D1991-$E1991,"#,##0")))</f>
        <v/>
      </c>
      <c r="N1991">
        <f>IFERROR(MATCH($C$5&amp;"|"&amp;RIGHT("000000"&amp;1975,6),LdAKeyG,0),"")</f>
        <v/>
      </c>
    </row>
    <row r="1992">
      <c r="A1992" s="19" t="n">
        <v>1976</v>
      </c>
      <c r="B1992" s="20">
        <f>IF($N1992="","",INDEX(LdADate,$N1992))</f>
        <v/>
      </c>
      <c r="C1992" s="20">
        <f>IF($N1992="","",IF(INDEX(LdAId,$N1992)="","—",INDEX(LdAId,$N1992)))</f>
        <v/>
      </c>
      <c r="D1992" s="21">
        <f>IF($N1992="","",IF(INDEX(LdAAmt,$N1992)=0,"",INDEX(LdAAmt,$N1992)))</f>
        <v/>
      </c>
      <c r="E1992" s="21">
        <f>IF($N1992="","",SUMIFS(ShareAmt,ShareLink,$C1992))</f>
        <v/>
      </c>
      <c r="F1992" s="34">
        <f>IF($N1992="","",COUNTIF(ShareLink,$C1992))</f>
        <v/>
      </c>
      <c r="G1992" s="22">
        <f>IF($N1992="","",IF(ROUND($E1992-$D1992,0)=0,"√","▲ "&amp;TEXT($D1992-$E1992,"#,##0")))</f>
        <v/>
      </c>
      <c r="N1992">
        <f>IFERROR(MATCH($C$5&amp;"|"&amp;RIGHT("000000"&amp;1976,6),LdAKeyG,0),"")</f>
        <v/>
      </c>
    </row>
    <row r="1993">
      <c r="A1993" s="10" t="n">
        <v>1977</v>
      </c>
      <c r="B1993" s="14">
        <f>IF($N1993="","",INDEX(LdADate,$N1993))</f>
        <v/>
      </c>
      <c r="C1993" s="14">
        <f>IF($N1993="","",IF(INDEX(LdAId,$N1993)="","—",INDEX(LdAId,$N1993)))</f>
        <v/>
      </c>
      <c r="D1993" s="16">
        <f>IF($N1993="","",IF(INDEX(LdAAmt,$N1993)=0,"",INDEX(LdAAmt,$N1993)))</f>
        <v/>
      </c>
      <c r="E1993" s="16">
        <f>IF($N1993="","",SUMIFS(ShareAmt,ShareLink,$C1993))</f>
        <v/>
      </c>
      <c r="F1993" s="33">
        <f>IF($N1993="","",COUNTIF(ShareLink,$C1993))</f>
        <v/>
      </c>
      <c r="G1993" s="17">
        <f>IF($N1993="","",IF(ROUND($E1993-$D1993,0)=0,"√","▲ "&amp;TEXT($D1993-$E1993,"#,##0")))</f>
        <v/>
      </c>
      <c r="N1993">
        <f>IFERROR(MATCH($C$5&amp;"|"&amp;RIGHT("000000"&amp;1977,6),LdAKeyG,0),"")</f>
        <v/>
      </c>
    </row>
    <row r="1994">
      <c r="A1994" s="19" t="n">
        <v>1978</v>
      </c>
      <c r="B1994" s="20">
        <f>IF($N1994="","",INDEX(LdADate,$N1994))</f>
        <v/>
      </c>
      <c r="C1994" s="20">
        <f>IF($N1994="","",IF(INDEX(LdAId,$N1994)="","—",INDEX(LdAId,$N1994)))</f>
        <v/>
      </c>
      <c r="D1994" s="21">
        <f>IF($N1994="","",IF(INDEX(LdAAmt,$N1994)=0,"",INDEX(LdAAmt,$N1994)))</f>
        <v/>
      </c>
      <c r="E1994" s="21">
        <f>IF($N1994="","",SUMIFS(ShareAmt,ShareLink,$C1994))</f>
        <v/>
      </c>
      <c r="F1994" s="34">
        <f>IF($N1994="","",COUNTIF(ShareLink,$C1994))</f>
        <v/>
      </c>
      <c r="G1994" s="22">
        <f>IF($N1994="","",IF(ROUND($E1994-$D1994,0)=0,"√","▲ "&amp;TEXT($D1994-$E1994,"#,##0")))</f>
        <v/>
      </c>
      <c r="N1994">
        <f>IFERROR(MATCH($C$5&amp;"|"&amp;RIGHT("000000"&amp;1978,6),LdAKeyG,0),"")</f>
        <v/>
      </c>
    </row>
    <row r="1995">
      <c r="A1995" s="10" t="n">
        <v>1979</v>
      </c>
      <c r="B1995" s="14">
        <f>IF($N1995="","",INDEX(LdADate,$N1995))</f>
        <v/>
      </c>
      <c r="C1995" s="14">
        <f>IF($N1995="","",IF(INDEX(LdAId,$N1995)="","—",INDEX(LdAId,$N1995)))</f>
        <v/>
      </c>
      <c r="D1995" s="16">
        <f>IF($N1995="","",IF(INDEX(LdAAmt,$N1995)=0,"",INDEX(LdAAmt,$N1995)))</f>
        <v/>
      </c>
      <c r="E1995" s="16">
        <f>IF($N1995="","",SUMIFS(ShareAmt,ShareLink,$C1995))</f>
        <v/>
      </c>
      <c r="F1995" s="33">
        <f>IF($N1995="","",COUNTIF(ShareLink,$C1995))</f>
        <v/>
      </c>
      <c r="G1995" s="17">
        <f>IF($N1995="","",IF(ROUND($E1995-$D1995,0)=0,"√","▲ "&amp;TEXT($D1995-$E1995,"#,##0")))</f>
        <v/>
      </c>
      <c r="N1995">
        <f>IFERROR(MATCH($C$5&amp;"|"&amp;RIGHT("000000"&amp;1979,6),LdAKeyG,0),"")</f>
        <v/>
      </c>
    </row>
    <row r="1996">
      <c r="A1996" s="19" t="n">
        <v>1980</v>
      </c>
      <c r="B1996" s="20">
        <f>IF($N1996="","",INDEX(LdADate,$N1996))</f>
        <v/>
      </c>
      <c r="C1996" s="20">
        <f>IF($N1996="","",IF(INDEX(LdAId,$N1996)="","—",INDEX(LdAId,$N1996)))</f>
        <v/>
      </c>
      <c r="D1996" s="21">
        <f>IF($N1996="","",IF(INDEX(LdAAmt,$N1996)=0,"",INDEX(LdAAmt,$N1996)))</f>
        <v/>
      </c>
      <c r="E1996" s="21">
        <f>IF($N1996="","",SUMIFS(ShareAmt,ShareLink,$C1996))</f>
        <v/>
      </c>
      <c r="F1996" s="34">
        <f>IF($N1996="","",COUNTIF(ShareLink,$C1996))</f>
        <v/>
      </c>
      <c r="G1996" s="22">
        <f>IF($N1996="","",IF(ROUND($E1996-$D1996,0)=0,"√","▲ "&amp;TEXT($D1996-$E1996,"#,##0")))</f>
        <v/>
      </c>
      <c r="N1996">
        <f>IFERROR(MATCH($C$5&amp;"|"&amp;RIGHT("000000"&amp;1980,6),LdAKeyG,0),"")</f>
        <v/>
      </c>
    </row>
    <row r="1997">
      <c r="A1997" s="10" t="n">
        <v>1981</v>
      </c>
      <c r="B1997" s="14">
        <f>IF($N1997="","",INDEX(LdADate,$N1997))</f>
        <v/>
      </c>
      <c r="C1997" s="14">
        <f>IF($N1997="","",IF(INDEX(LdAId,$N1997)="","—",INDEX(LdAId,$N1997)))</f>
        <v/>
      </c>
      <c r="D1997" s="16">
        <f>IF($N1997="","",IF(INDEX(LdAAmt,$N1997)=0,"",INDEX(LdAAmt,$N1997)))</f>
        <v/>
      </c>
      <c r="E1997" s="16">
        <f>IF($N1997="","",SUMIFS(ShareAmt,ShareLink,$C1997))</f>
        <v/>
      </c>
      <c r="F1997" s="33">
        <f>IF($N1997="","",COUNTIF(ShareLink,$C1997))</f>
        <v/>
      </c>
      <c r="G1997" s="17">
        <f>IF($N1997="","",IF(ROUND($E1997-$D1997,0)=0,"√","▲ "&amp;TEXT($D1997-$E1997,"#,##0")))</f>
        <v/>
      </c>
      <c r="N1997">
        <f>IFERROR(MATCH($C$5&amp;"|"&amp;RIGHT("000000"&amp;1981,6),LdAKeyG,0),"")</f>
        <v/>
      </c>
    </row>
    <row r="1998">
      <c r="A1998" s="19" t="n">
        <v>1982</v>
      </c>
      <c r="B1998" s="20">
        <f>IF($N1998="","",INDEX(LdADate,$N1998))</f>
        <v/>
      </c>
      <c r="C1998" s="20">
        <f>IF($N1998="","",IF(INDEX(LdAId,$N1998)="","—",INDEX(LdAId,$N1998)))</f>
        <v/>
      </c>
      <c r="D1998" s="21">
        <f>IF($N1998="","",IF(INDEX(LdAAmt,$N1998)=0,"",INDEX(LdAAmt,$N1998)))</f>
        <v/>
      </c>
      <c r="E1998" s="21">
        <f>IF($N1998="","",SUMIFS(ShareAmt,ShareLink,$C1998))</f>
        <v/>
      </c>
      <c r="F1998" s="34">
        <f>IF($N1998="","",COUNTIF(ShareLink,$C1998))</f>
        <v/>
      </c>
      <c r="G1998" s="22">
        <f>IF($N1998="","",IF(ROUND($E1998-$D1998,0)=0,"√","▲ "&amp;TEXT($D1998-$E1998,"#,##0")))</f>
        <v/>
      </c>
      <c r="N1998">
        <f>IFERROR(MATCH($C$5&amp;"|"&amp;RIGHT("000000"&amp;1982,6),LdAKeyG,0),"")</f>
        <v/>
      </c>
    </row>
    <row r="1999">
      <c r="A1999" s="10" t="n">
        <v>1983</v>
      </c>
      <c r="B1999" s="14">
        <f>IF($N1999="","",INDEX(LdADate,$N1999))</f>
        <v/>
      </c>
      <c r="C1999" s="14">
        <f>IF($N1999="","",IF(INDEX(LdAId,$N1999)="","—",INDEX(LdAId,$N1999)))</f>
        <v/>
      </c>
      <c r="D1999" s="16">
        <f>IF($N1999="","",IF(INDEX(LdAAmt,$N1999)=0,"",INDEX(LdAAmt,$N1999)))</f>
        <v/>
      </c>
      <c r="E1999" s="16">
        <f>IF($N1999="","",SUMIFS(ShareAmt,ShareLink,$C1999))</f>
        <v/>
      </c>
      <c r="F1999" s="33">
        <f>IF($N1999="","",COUNTIF(ShareLink,$C1999))</f>
        <v/>
      </c>
      <c r="G1999" s="17">
        <f>IF($N1999="","",IF(ROUND($E1999-$D1999,0)=0,"√","▲ "&amp;TEXT($D1999-$E1999,"#,##0")))</f>
        <v/>
      </c>
      <c r="N1999">
        <f>IFERROR(MATCH($C$5&amp;"|"&amp;RIGHT("000000"&amp;1983,6),LdAKeyG,0),"")</f>
        <v/>
      </c>
    </row>
    <row r="2000">
      <c r="A2000" s="19" t="n">
        <v>1984</v>
      </c>
      <c r="B2000" s="20">
        <f>IF($N2000="","",INDEX(LdADate,$N2000))</f>
        <v/>
      </c>
      <c r="C2000" s="20">
        <f>IF($N2000="","",IF(INDEX(LdAId,$N2000)="","—",INDEX(LdAId,$N2000)))</f>
        <v/>
      </c>
      <c r="D2000" s="21">
        <f>IF($N2000="","",IF(INDEX(LdAAmt,$N2000)=0,"",INDEX(LdAAmt,$N2000)))</f>
        <v/>
      </c>
      <c r="E2000" s="21">
        <f>IF($N2000="","",SUMIFS(ShareAmt,ShareLink,$C2000))</f>
        <v/>
      </c>
      <c r="F2000" s="34">
        <f>IF($N2000="","",COUNTIF(ShareLink,$C2000))</f>
        <v/>
      </c>
      <c r="G2000" s="22">
        <f>IF($N2000="","",IF(ROUND($E2000-$D2000,0)=0,"√","▲ "&amp;TEXT($D2000-$E2000,"#,##0")))</f>
        <v/>
      </c>
      <c r="N2000">
        <f>IFERROR(MATCH($C$5&amp;"|"&amp;RIGHT("000000"&amp;1984,6),LdAKeyG,0),"")</f>
        <v/>
      </c>
    </row>
    <row r="2001">
      <c r="A2001" s="10" t="n">
        <v>1985</v>
      </c>
      <c r="B2001" s="14">
        <f>IF($N2001="","",INDEX(LdADate,$N2001))</f>
        <v/>
      </c>
      <c r="C2001" s="14">
        <f>IF($N2001="","",IF(INDEX(LdAId,$N2001)="","—",INDEX(LdAId,$N2001)))</f>
        <v/>
      </c>
      <c r="D2001" s="16">
        <f>IF($N2001="","",IF(INDEX(LdAAmt,$N2001)=0,"",INDEX(LdAAmt,$N2001)))</f>
        <v/>
      </c>
      <c r="E2001" s="16">
        <f>IF($N2001="","",SUMIFS(ShareAmt,ShareLink,$C2001))</f>
        <v/>
      </c>
      <c r="F2001" s="33">
        <f>IF($N2001="","",COUNTIF(ShareLink,$C2001))</f>
        <v/>
      </c>
      <c r="G2001" s="17">
        <f>IF($N2001="","",IF(ROUND($E2001-$D2001,0)=0,"√","▲ "&amp;TEXT($D2001-$E2001,"#,##0")))</f>
        <v/>
      </c>
      <c r="N2001">
        <f>IFERROR(MATCH($C$5&amp;"|"&amp;RIGHT("000000"&amp;1985,6),LdAKeyG,0),"")</f>
        <v/>
      </c>
    </row>
    <row r="2002">
      <c r="A2002" s="19" t="n">
        <v>1986</v>
      </c>
      <c r="B2002" s="20">
        <f>IF($N2002="","",INDEX(LdADate,$N2002))</f>
        <v/>
      </c>
      <c r="C2002" s="20">
        <f>IF($N2002="","",IF(INDEX(LdAId,$N2002)="","—",INDEX(LdAId,$N2002)))</f>
        <v/>
      </c>
      <c r="D2002" s="21">
        <f>IF($N2002="","",IF(INDEX(LdAAmt,$N2002)=0,"",INDEX(LdAAmt,$N2002)))</f>
        <v/>
      </c>
      <c r="E2002" s="21">
        <f>IF($N2002="","",SUMIFS(ShareAmt,ShareLink,$C2002))</f>
        <v/>
      </c>
      <c r="F2002" s="34">
        <f>IF($N2002="","",COUNTIF(ShareLink,$C2002))</f>
        <v/>
      </c>
      <c r="G2002" s="22">
        <f>IF($N2002="","",IF(ROUND($E2002-$D2002,0)=0,"√","▲ "&amp;TEXT($D2002-$E2002,"#,##0")))</f>
        <v/>
      </c>
      <c r="N2002">
        <f>IFERROR(MATCH($C$5&amp;"|"&amp;RIGHT("000000"&amp;1986,6),LdAKeyG,0),"")</f>
        <v/>
      </c>
    </row>
    <row r="2003">
      <c r="A2003" s="10" t="n">
        <v>1987</v>
      </c>
      <c r="B2003" s="14">
        <f>IF($N2003="","",INDEX(LdADate,$N2003))</f>
        <v/>
      </c>
      <c r="C2003" s="14">
        <f>IF($N2003="","",IF(INDEX(LdAId,$N2003)="","—",INDEX(LdAId,$N2003)))</f>
        <v/>
      </c>
      <c r="D2003" s="16">
        <f>IF($N2003="","",IF(INDEX(LdAAmt,$N2003)=0,"",INDEX(LdAAmt,$N2003)))</f>
        <v/>
      </c>
      <c r="E2003" s="16">
        <f>IF($N2003="","",SUMIFS(ShareAmt,ShareLink,$C2003))</f>
        <v/>
      </c>
      <c r="F2003" s="33">
        <f>IF($N2003="","",COUNTIF(ShareLink,$C2003))</f>
        <v/>
      </c>
      <c r="G2003" s="17">
        <f>IF($N2003="","",IF(ROUND($E2003-$D2003,0)=0,"√","▲ "&amp;TEXT($D2003-$E2003,"#,##0")))</f>
        <v/>
      </c>
      <c r="N2003">
        <f>IFERROR(MATCH($C$5&amp;"|"&amp;RIGHT("000000"&amp;1987,6),LdAKeyG,0),"")</f>
        <v/>
      </c>
    </row>
    <row r="2004">
      <c r="A2004" s="19" t="n">
        <v>1988</v>
      </c>
      <c r="B2004" s="20">
        <f>IF($N2004="","",INDEX(LdADate,$N2004))</f>
        <v/>
      </c>
      <c r="C2004" s="20">
        <f>IF($N2004="","",IF(INDEX(LdAId,$N2004)="","—",INDEX(LdAId,$N2004)))</f>
        <v/>
      </c>
      <c r="D2004" s="21">
        <f>IF($N2004="","",IF(INDEX(LdAAmt,$N2004)=0,"",INDEX(LdAAmt,$N2004)))</f>
        <v/>
      </c>
      <c r="E2004" s="21">
        <f>IF($N2004="","",SUMIFS(ShareAmt,ShareLink,$C2004))</f>
        <v/>
      </c>
      <c r="F2004" s="34">
        <f>IF($N2004="","",COUNTIF(ShareLink,$C2004))</f>
        <v/>
      </c>
      <c r="G2004" s="22">
        <f>IF($N2004="","",IF(ROUND($E2004-$D2004,0)=0,"√","▲ "&amp;TEXT($D2004-$E2004,"#,##0")))</f>
        <v/>
      </c>
      <c r="N2004">
        <f>IFERROR(MATCH($C$5&amp;"|"&amp;RIGHT("000000"&amp;1988,6),LdAKeyG,0),"")</f>
        <v/>
      </c>
    </row>
    <row r="2005">
      <c r="A2005" s="10" t="n">
        <v>1989</v>
      </c>
      <c r="B2005" s="14">
        <f>IF($N2005="","",INDEX(LdADate,$N2005))</f>
        <v/>
      </c>
      <c r="C2005" s="14">
        <f>IF($N2005="","",IF(INDEX(LdAId,$N2005)="","—",INDEX(LdAId,$N2005)))</f>
        <v/>
      </c>
      <c r="D2005" s="16">
        <f>IF($N2005="","",IF(INDEX(LdAAmt,$N2005)=0,"",INDEX(LdAAmt,$N2005)))</f>
        <v/>
      </c>
      <c r="E2005" s="16">
        <f>IF($N2005="","",SUMIFS(ShareAmt,ShareLink,$C2005))</f>
        <v/>
      </c>
      <c r="F2005" s="33">
        <f>IF($N2005="","",COUNTIF(ShareLink,$C2005))</f>
        <v/>
      </c>
      <c r="G2005" s="17">
        <f>IF($N2005="","",IF(ROUND($E2005-$D2005,0)=0,"√","▲ "&amp;TEXT($D2005-$E2005,"#,##0")))</f>
        <v/>
      </c>
      <c r="N2005">
        <f>IFERROR(MATCH($C$5&amp;"|"&amp;RIGHT("000000"&amp;1989,6),LdAKeyG,0),"")</f>
        <v/>
      </c>
    </row>
    <row r="2006">
      <c r="A2006" s="19" t="n">
        <v>1990</v>
      </c>
      <c r="B2006" s="20">
        <f>IF($N2006="","",INDEX(LdADate,$N2006))</f>
        <v/>
      </c>
      <c r="C2006" s="20">
        <f>IF($N2006="","",IF(INDEX(LdAId,$N2006)="","—",INDEX(LdAId,$N2006)))</f>
        <v/>
      </c>
      <c r="D2006" s="21">
        <f>IF($N2006="","",IF(INDEX(LdAAmt,$N2006)=0,"",INDEX(LdAAmt,$N2006)))</f>
        <v/>
      </c>
      <c r="E2006" s="21">
        <f>IF($N2006="","",SUMIFS(ShareAmt,ShareLink,$C2006))</f>
        <v/>
      </c>
      <c r="F2006" s="34">
        <f>IF($N2006="","",COUNTIF(ShareLink,$C2006))</f>
        <v/>
      </c>
      <c r="G2006" s="22">
        <f>IF($N2006="","",IF(ROUND($E2006-$D2006,0)=0,"√","▲ "&amp;TEXT($D2006-$E2006,"#,##0")))</f>
        <v/>
      </c>
      <c r="N2006">
        <f>IFERROR(MATCH($C$5&amp;"|"&amp;RIGHT("000000"&amp;1990,6),LdAKeyG,0),"")</f>
        <v/>
      </c>
    </row>
    <row r="2007">
      <c r="A2007" s="10" t="n">
        <v>1991</v>
      </c>
      <c r="B2007" s="14">
        <f>IF($N2007="","",INDEX(LdADate,$N2007))</f>
        <v/>
      </c>
      <c r="C2007" s="14">
        <f>IF($N2007="","",IF(INDEX(LdAId,$N2007)="","—",INDEX(LdAId,$N2007)))</f>
        <v/>
      </c>
      <c r="D2007" s="16">
        <f>IF($N2007="","",IF(INDEX(LdAAmt,$N2007)=0,"",INDEX(LdAAmt,$N2007)))</f>
        <v/>
      </c>
      <c r="E2007" s="16">
        <f>IF($N2007="","",SUMIFS(ShareAmt,ShareLink,$C2007))</f>
        <v/>
      </c>
      <c r="F2007" s="33">
        <f>IF($N2007="","",COUNTIF(ShareLink,$C2007))</f>
        <v/>
      </c>
      <c r="G2007" s="17">
        <f>IF($N2007="","",IF(ROUND($E2007-$D2007,0)=0,"√","▲ "&amp;TEXT($D2007-$E2007,"#,##0")))</f>
        <v/>
      </c>
      <c r="N2007">
        <f>IFERROR(MATCH($C$5&amp;"|"&amp;RIGHT("000000"&amp;1991,6),LdAKeyG,0),"")</f>
        <v/>
      </c>
    </row>
    <row r="2008">
      <c r="A2008" s="19" t="n">
        <v>1992</v>
      </c>
      <c r="B2008" s="20">
        <f>IF($N2008="","",INDEX(LdADate,$N2008))</f>
        <v/>
      </c>
      <c r="C2008" s="20">
        <f>IF($N2008="","",IF(INDEX(LdAId,$N2008)="","—",INDEX(LdAId,$N2008)))</f>
        <v/>
      </c>
      <c r="D2008" s="21">
        <f>IF($N2008="","",IF(INDEX(LdAAmt,$N2008)=0,"",INDEX(LdAAmt,$N2008)))</f>
        <v/>
      </c>
      <c r="E2008" s="21">
        <f>IF($N2008="","",SUMIFS(ShareAmt,ShareLink,$C2008))</f>
        <v/>
      </c>
      <c r="F2008" s="34">
        <f>IF($N2008="","",COUNTIF(ShareLink,$C2008))</f>
        <v/>
      </c>
      <c r="G2008" s="22">
        <f>IF($N2008="","",IF(ROUND($E2008-$D2008,0)=0,"√","▲ "&amp;TEXT($D2008-$E2008,"#,##0")))</f>
        <v/>
      </c>
      <c r="N2008">
        <f>IFERROR(MATCH($C$5&amp;"|"&amp;RIGHT("000000"&amp;1992,6),LdAKeyG,0),"")</f>
        <v/>
      </c>
    </row>
    <row r="2009">
      <c r="A2009" s="10" t="n">
        <v>1993</v>
      </c>
      <c r="B2009" s="14">
        <f>IF($N2009="","",INDEX(LdADate,$N2009))</f>
        <v/>
      </c>
      <c r="C2009" s="14">
        <f>IF($N2009="","",IF(INDEX(LdAId,$N2009)="","—",INDEX(LdAId,$N2009)))</f>
        <v/>
      </c>
      <c r="D2009" s="16">
        <f>IF($N2009="","",IF(INDEX(LdAAmt,$N2009)=0,"",INDEX(LdAAmt,$N2009)))</f>
        <v/>
      </c>
      <c r="E2009" s="16">
        <f>IF($N2009="","",SUMIFS(ShareAmt,ShareLink,$C2009))</f>
        <v/>
      </c>
      <c r="F2009" s="33">
        <f>IF($N2009="","",COUNTIF(ShareLink,$C2009))</f>
        <v/>
      </c>
      <c r="G2009" s="17">
        <f>IF($N2009="","",IF(ROUND($E2009-$D2009,0)=0,"√","▲ "&amp;TEXT($D2009-$E2009,"#,##0")))</f>
        <v/>
      </c>
      <c r="N2009">
        <f>IFERROR(MATCH($C$5&amp;"|"&amp;RIGHT("000000"&amp;1993,6),LdAKeyG,0),"")</f>
        <v/>
      </c>
    </row>
    <row r="2010">
      <c r="A2010" s="19" t="n">
        <v>1994</v>
      </c>
      <c r="B2010" s="20">
        <f>IF($N2010="","",INDEX(LdADate,$N2010))</f>
        <v/>
      </c>
      <c r="C2010" s="20">
        <f>IF($N2010="","",IF(INDEX(LdAId,$N2010)="","—",INDEX(LdAId,$N2010)))</f>
        <v/>
      </c>
      <c r="D2010" s="21">
        <f>IF($N2010="","",IF(INDEX(LdAAmt,$N2010)=0,"",INDEX(LdAAmt,$N2010)))</f>
        <v/>
      </c>
      <c r="E2010" s="21">
        <f>IF($N2010="","",SUMIFS(ShareAmt,ShareLink,$C2010))</f>
        <v/>
      </c>
      <c r="F2010" s="34">
        <f>IF($N2010="","",COUNTIF(ShareLink,$C2010))</f>
        <v/>
      </c>
      <c r="G2010" s="22">
        <f>IF($N2010="","",IF(ROUND($E2010-$D2010,0)=0,"√","▲ "&amp;TEXT($D2010-$E2010,"#,##0")))</f>
        <v/>
      </c>
      <c r="N2010">
        <f>IFERROR(MATCH($C$5&amp;"|"&amp;RIGHT("000000"&amp;1994,6),LdAKeyG,0),"")</f>
        <v/>
      </c>
    </row>
    <row r="2011">
      <c r="A2011" s="10" t="n">
        <v>1995</v>
      </c>
      <c r="B2011" s="14">
        <f>IF($N2011="","",INDEX(LdADate,$N2011))</f>
        <v/>
      </c>
      <c r="C2011" s="14">
        <f>IF($N2011="","",IF(INDEX(LdAId,$N2011)="","—",INDEX(LdAId,$N2011)))</f>
        <v/>
      </c>
      <c r="D2011" s="16">
        <f>IF($N2011="","",IF(INDEX(LdAAmt,$N2011)=0,"",INDEX(LdAAmt,$N2011)))</f>
        <v/>
      </c>
      <c r="E2011" s="16">
        <f>IF($N2011="","",SUMIFS(ShareAmt,ShareLink,$C2011))</f>
        <v/>
      </c>
      <c r="F2011" s="33">
        <f>IF($N2011="","",COUNTIF(ShareLink,$C2011))</f>
        <v/>
      </c>
      <c r="G2011" s="17">
        <f>IF($N2011="","",IF(ROUND($E2011-$D2011,0)=0,"√","▲ "&amp;TEXT($D2011-$E2011,"#,##0")))</f>
        <v/>
      </c>
      <c r="N2011">
        <f>IFERROR(MATCH($C$5&amp;"|"&amp;RIGHT("000000"&amp;1995,6),LdAKeyG,0),"")</f>
        <v/>
      </c>
    </row>
    <row r="2012">
      <c r="A2012" s="19" t="n">
        <v>1996</v>
      </c>
      <c r="B2012" s="20">
        <f>IF($N2012="","",INDEX(LdADate,$N2012))</f>
        <v/>
      </c>
      <c r="C2012" s="20">
        <f>IF($N2012="","",IF(INDEX(LdAId,$N2012)="","—",INDEX(LdAId,$N2012)))</f>
        <v/>
      </c>
      <c r="D2012" s="21">
        <f>IF($N2012="","",IF(INDEX(LdAAmt,$N2012)=0,"",INDEX(LdAAmt,$N2012)))</f>
        <v/>
      </c>
      <c r="E2012" s="21">
        <f>IF($N2012="","",SUMIFS(ShareAmt,ShareLink,$C2012))</f>
        <v/>
      </c>
      <c r="F2012" s="34">
        <f>IF($N2012="","",COUNTIF(ShareLink,$C2012))</f>
        <v/>
      </c>
      <c r="G2012" s="22">
        <f>IF($N2012="","",IF(ROUND($E2012-$D2012,0)=0,"√","▲ "&amp;TEXT($D2012-$E2012,"#,##0")))</f>
        <v/>
      </c>
      <c r="N2012">
        <f>IFERROR(MATCH($C$5&amp;"|"&amp;RIGHT("000000"&amp;1996,6),LdAKeyG,0),"")</f>
        <v/>
      </c>
    </row>
    <row r="2013">
      <c r="A2013" s="10" t="n">
        <v>1997</v>
      </c>
      <c r="B2013" s="14">
        <f>IF($N2013="","",INDEX(LdADate,$N2013))</f>
        <v/>
      </c>
      <c r="C2013" s="14">
        <f>IF($N2013="","",IF(INDEX(LdAId,$N2013)="","—",INDEX(LdAId,$N2013)))</f>
        <v/>
      </c>
      <c r="D2013" s="16">
        <f>IF($N2013="","",IF(INDEX(LdAAmt,$N2013)=0,"",INDEX(LdAAmt,$N2013)))</f>
        <v/>
      </c>
      <c r="E2013" s="16">
        <f>IF($N2013="","",SUMIFS(ShareAmt,ShareLink,$C2013))</f>
        <v/>
      </c>
      <c r="F2013" s="33">
        <f>IF($N2013="","",COUNTIF(ShareLink,$C2013))</f>
        <v/>
      </c>
      <c r="G2013" s="17">
        <f>IF($N2013="","",IF(ROUND($E2013-$D2013,0)=0,"√","▲ "&amp;TEXT($D2013-$E2013,"#,##0")))</f>
        <v/>
      </c>
      <c r="N2013">
        <f>IFERROR(MATCH($C$5&amp;"|"&amp;RIGHT("000000"&amp;1997,6),LdAKeyG,0),"")</f>
        <v/>
      </c>
    </row>
    <row r="2014">
      <c r="A2014" s="19" t="n">
        <v>1998</v>
      </c>
      <c r="B2014" s="20">
        <f>IF($N2014="","",INDEX(LdADate,$N2014))</f>
        <v/>
      </c>
      <c r="C2014" s="20">
        <f>IF($N2014="","",IF(INDEX(LdAId,$N2014)="","—",INDEX(LdAId,$N2014)))</f>
        <v/>
      </c>
      <c r="D2014" s="21">
        <f>IF($N2014="","",IF(INDEX(LdAAmt,$N2014)=0,"",INDEX(LdAAmt,$N2014)))</f>
        <v/>
      </c>
      <c r="E2014" s="21">
        <f>IF($N2014="","",SUMIFS(ShareAmt,ShareLink,$C2014))</f>
        <v/>
      </c>
      <c r="F2014" s="34">
        <f>IF($N2014="","",COUNTIF(ShareLink,$C2014))</f>
        <v/>
      </c>
      <c r="G2014" s="22">
        <f>IF($N2014="","",IF(ROUND($E2014-$D2014,0)=0,"√","▲ "&amp;TEXT($D2014-$E2014,"#,##0")))</f>
        <v/>
      </c>
      <c r="N2014">
        <f>IFERROR(MATCH($C$5&amp;"|"&amp;RIGHT("000000"&amp;1998,6),LdAKeyG,0),"")</f>
        <v/>
      </c>
    </row>
    <row r="2015">
      <c r="A2015" s="10" t="n">
        <v>1999</v>
      </c>
      <c r="B2015" s="14">
        <f>IF($N2015="","",INDEX(LdADate,$N2015))</f>
        <v/>
      </c>
      <c r="C2015" s="14">
        <f>IF($N2015="","",IF(INDEX(LdAId,$N2015)="","—",INDEX(LdAId,$N2015)))</f>
        <v/>
      </c>
      <c r="D2015" s="16">
        <f>IF($N2015="","",IF(INDEX(LdAAmt,$N2015)=0,"",INDEX(LdAAmt,$N2015)))</f>
        <v/>
      </c>
      <c r="E2015" s="16">
        <f>IF($N2015="","",SUMIFS(ShareAmt,ShareLink,$C2015))</f>
        <v/>
      </c>
      <c r="F2015" s="33">
        <f>IF($N2015="","",COUNTIF(ShareLink,$C2015))</f>
        <v/>
      </c>
      <c r="G2015" s="17">
        <f>IF($N2015="","",IF(ROUND($E2015-$D2015,0)=0,"√","▲ "&amp;TEXT($D2015-$E2015,"#,##0")))</f>
        <v/>
      </c>
      <c r="N2015">
        <f>IFERROR(MATCH($C$5&amp;"|"&amp;RIGHT("000000"&amp;1999,6),LdAKeyG,0),"")</f>
        <v/>
      </c>
    </row>
    <row r="2016">
      <c r="A2016" s="19" t="n">
        <v>2000</v>
      </c>
      <c r="B2016" s="20">
        <f>IF($N2016="","",INDEX(LdADate,$N2016))</f>
        <v/>
      </c>
      <c r="C2016" s="20">
        <f>IF($N2016="","",IF(INDEX(LdAId,$N2016)="","—",INDEX(LdAId,$N2016)))</f>
        <v/>
      </c>
      <c r="D2016" s="21">
        <f>IF($N2016="","",IF(INDEX(LdAAmt,$N2016)=0,"",INDEX(LdAAmt,$N2016)))</f>
        <v/>
      </c>
      <c r="E2016" s="21">
        <f>IF($N2016="","",SUMIFS(ShareAmt,ShareLink,$C2016))</f>
        <v/>
      </c>
      <c r="F2016" s="34">
        <f>IF($N2016="","",COUNTIF(ShareLink,$C2016))</f>
        <v/>
      </c>
      <c r="G2016" s="22">
        <f>IF($N2016="","",IF(ROUND($E2016-$D2016,0)=0,"√","▲ "&amp;TEXT($D2016-$E2016,"#,##0")))</f>
        <v/>
      </c>
      <c r="N2016">
        <f>IFERROR(MATCH($C$5&amp;"|"&amp;RIGHT("000000"&amp;2000,6),LdAKeyG,0),"")</f>
        <v/>
      </c>
    </row>
    <row r="2018" ht="20" customHeight="1">
      <c r="A2018" s="35">
        <f>"ریز سهم اعضا — "&amp;IFERROR(VLOOKUP($C$5,WGTbl,2,0),"…")&amp;" (به ترتیب تاریخ)"</f>
        <v/>
      </c>
      <c r="B2018" s="35" t="n"/>
      <c r="C2018" s="35" t="n"/>
      <c r="D2018" s="35" t="n"/>
      <c r="E2018" s="35" t="n"/>
      <c r="F2018" s="35" t="n"/>
      <c r="G2018" s="35" t="n"/>
    </row>
    <row r="2019" ht="30" customHeight="1">
      <c r="A2019" s="8" t="inlineStr">
        <is>
          <t>ردیف</t>
        </is>
      </c>
      <c r="B2019" s="8" t="inlineStr">
        <is>
          <t>تاریخ</t>
        </is>
      </c>
      <c r="C2019" s="8" t="inlineStr">
        <is>
          <t>شناسه رویداد</t>
        </is>
      </c>
      <c r="D2019" s="8" t="inlineStr">
        <is>
          <t>کد عضو</t>
        </is>
      </c>
      <c r="E2019" s="8" t="inlineStr">
        <is>
          <t>نام عضو</t>
        </is>
      </c>
      <c r="F2019" s="8" t="inlineStr">
        <is>
          <t>مبلغ سهم (ریال)</t>
        </is>
      </c>
      <c r="G2019" s="8" t="inlineStr">
        <is>
          <t>توضیحات</t>
        </is>
      </c>
    </row>
    <row r="2020" ht="13" customHeight="1">
      <c r="A2020" s="9" t="inlineStr">
        <is>
          <t>No.</t>
        </is>
      </c>
      <c r="B2020" s="9" t="inlineStr">
        <is>
          <t>Date</t>
        </is>
      </c>
      <c r="C2020" s="9" t="inlineStr">
        <is>
          <t>Event ID</t>
        </is>
      </c>
      <c r="D2020" s="9" t="inlineStr">
        <is>
          <t>Member</t>
        </is>
      </c>
      <c r="E2020" s="9" t="inlineStr">
        <is>
          <t>Member Name</t>
        </is>
      </c>
      <c r="F2020" s="9" t="inlineStr">
        <is>
          <t>Share</t>
        </is>
      </c>
      <c r="G2020" s="9" t="inlineStr">
        <is>
          <t>Notes</t>
        </is>
      </c>
    </row>
    <row r="2021">
      <c r="A2021" s="10" t="n">
        <v>1</v>
      </c>
      <c r="B2021" s="14">
        <f>IF($N2021="","",INDEX(LdBDate,$N2021))</f>
        <v/>
      </c>
      <c r="C2021" s="14">
        <f>IF($N2021="","",IF(INDEX(LdBId,$N2021)="","—",INDEX(LdBId,$N2021)))</f>
        <v/>
      </c>
      <c r="D2021" s="14">
        <f>IF($N2021="","",INDEX(LdBMember,$N2021))</f>
        <v/>
      </c>
      <c r="E2021" s="14">
        <f>IF($N2021="","",IFERROR(IF(VLOOKUP(INDEX(LdBMember,$N2021),AcctTblE,4,0)="","(بدون نام)",VLOOKUP(INDEX(LdBMember,$N2021),AcctTblE,4,0)),"—"))</f>
        <v/>
      </c>
      <c r="F2021" s="16">
        <f>IF($N2021="","",IF(INDEX(LdBAmt,$N2021)=0,"",INDEX(LdBAmt,$N2021)))</f>
        <v/>
      </c>
      <c r="G2021" s="30">
        <f>IF($N2021="","",IF(INDEX(LdBNote,$N2021)="","—",INDEX(LdBNote,$N2021)))</f>
        <v/>
      </c>
      <c r="N2021">
        <f>IFERROR(MATCH($C$5&amp;"|"&amp;RIGHT("000000"&amp;1,6),LdBKeyG,0),"")</f>
        <v/>
      </c>
    </row>
    <row r="2022">
      <c r="A2022" s="19" t="n">
        <v>2</v>
      </c>
      <c r="B2022" s="20">
        <f>IF($N2022="","",INDEX(LdBDate,$N2022))</f>
        <v/>
      </c>
      <c r="C2022" s="20">
        <f>IF($N2022="","",IF(INDEX(LdBId,$N2022)="","—",INDEX(LdBId,$N2022)))</f>
        <v/>
      </c>
      <c r="D2022" s="20">
        <f>IF($N2022="","",INDEX(LdBMember,$N2022))</f>
        <v/>
      </c>
      <c r="E2022" s="20">
        <f>IF($N2022="","",IFERROR(IF(VLOOKUP(INDEX(LdBMember,$N2022),AcctTblE,4,0)="","(بدون نام)",VLOOKUP(INDEX(LdBMember,$N2022),AcctTblE,4,0)),"—"))</f>
        <v/>
      </c>
      <c r="F2022" s="21">
        <f>IF($N2022="","",IF(INDEX(LdBAmt,$N2022)=0,"",INDEX(LdBAmt,$N2022)))</f>
        <v/>
      </c>
      <c r="G2022" s="32">
        <f>IF($N2022="","",IF(INDEX(LdBNote,$N2022)="","—",INDEX(LdBNote,$N2022)))</f>
        <v/>
      </c>
      <c r="N2022">
        <f>IFERROR(MATCH($C$5&amp;"|"&amp;RIGHT("000000"&amp;2,6),LdBKeyG,0),"")</f>
        <v/>
      </c>
    </row>
    <row r="2023">
      <c r="A2023" s="10" t="n">
        <v>3</v>
      </c>
      <c r="B2023" s="14">
        <f>IF($N2023="","",INDEX(LdBDate,$N2023))</f>
        <v/>
      </c>
      <c r="C2023" s="14">
        <f>IF($N2023="","",IF(INDEX(LdBId,$N2023)="","—",INDEX(LdBId,$N2023)))</f>
        <v/>
      </c>
      <c r="D2023" s="14">
        <f>IF($N2023="","",INDEX(LdBMember,$N2023))</f>
        <v/>
      </c>
      <c r="E2023" s="14">
        <f>IF($N2023="","",IFERROR(IF(VLOOKUP(INDEX(LdBMember,$N2023),AcctTblE,4,0)="","(بدون نام)",VLOOKUP(INDEX(LdBMember,$N2023),AcctTblE,4,0)),"—"))</f>
        <v/>
      </c>
      <c r="F2023" s="16">
        <f>IF($N2023="","",IF(INDEX(LdBAmt,$N2023)=0,"",INDEX(LdBAmt,$N2023)))</f>
        <v/>
      </c>
      <c r="G2023" s="30">
        <f>IF($N2023="","",IF(INDEX(LdBNote,$N2023)="","—",INDEX(LdBNote,$N2023)))</f>
        <v/>
      </c>
      <c r="N2023">
        <f>IFERROR(MATCH($C$5&amp;"|"&amp;RIGHT("000000"&amp;3,6),LdBKeyG,0),"")</f>
        <v/>
      </c>
    </row>
    <row r="2024">
      <c r="A2024" s="19" t="n">
        <v>4</v>
      </c>
      <c r="B2024" s="20">
        <f>IF($N2024="","",INDEX(LdBDate,$N2024))</f>
        <v/>
      </c>
      <c r="C2024" s="20">
        <f>IF($N2024="","",IF(INDEX(LdBId,$N2024)="","—",INDEX(LdBId,$N2024)))</f>
        <v/>
      </c>
      <c r="D2024" s="20">
        <f>IF($N2024="","",INDEX(LdBMember,$N2024))</f>
        <v/>
      </c>
      <c r="E2024" s="20">
        <f>IF($N2024="","",IFERROR(IF(VLOOKUP(INDEX(LdBMember,$N2024),AcctTblE,4,0)="","(بدون نام)",VLOOKUP(INDEX(LdBMember,$N2024),AcctTblE,4,0)),"—"))</f>
        <v/>
      </c>
      <c r="F2024" s="21">
        <f>IF($N2024="","",IF(INDEX(LdBAmt,$N2024)=0,"",INDEX(LdBAmt,$N2024)))</f>
        <v/>
      </c>
      <c r="G2024" s="32">
        <f>IF($N2024="","",IF(INDEX(LdBNote,$N2024)="","—",INDEX(LdBNote,$N2024)))</f>
        <v/>
      </c>
      <c r="N2024">
        <f>IFERROR(MATCH($C$5&amp;"|"&amp;RIGHT("000000"&amp;4,6),LdBKeyG,0),"")</f>
        <v/>
      </c>
    </row>
    <row r="2025">
      <c r="A2025" s="10" t="n">
        <v>5</v>
      </c>
      <c r="B2025" s="14">
        <f>IF($N2025="","",INDEX(LdBDate,$N2025))</f>
        <v/>
      </c>
      <c r="C2025" s="14">
        <f>IF($N2025="","",IF(INDEX(LdBId,$N2025)="","—",INDEX(LdBId,$N2025)))</f>
        <v/>
      </c>
      <c r="D2025" s="14">
        <f>IF($N2025="","",INDEX(LdBMember,$N2025))</f>
        <v/>
      </c>
      <c r="E2025" s="14">
        <f>IF($N2025="","",IFERROR(IF(VLOOKUP(INDEX(LdBMember,$N2025),AcctTblE,4,0)="","(بدون نام)",VLOOKUP(INDEX(LdBMember,$N2025),AcctTblE,4,0)),"—"))</f>
        <v/>
      </c>
      <c r="F2025" s="16">
        <f>IF($N2025="","",IF(INDEX(LdBAmt,$N2025)=0,"",INDEX(LdBAmt,$N2025)))</f>
        <v/>
      </c>
      <c r="G2025" s="30">
        <f>IF($N2025="","",IF(INDEX(LdBNote,$N2025)="","—",INDEX(LdBNote,$N2025)))</f>
        <v/>
      </c>
      <c r="N2025">
        <f>IFERROR(MATCH($C$5&amp;"|"&amp;RIGHT("000000"&amp;5,6),LdBKeyG,0),"")</f>
        <v/>
      </c>
    </row>
    <row r="2026">
      <c r="A2026" s="19" t="n">
        <v>6</v>
      </c>
      <c r="B2026" s="20">
        <f>IF($N2026="","",INDEX(LdBDate,$N2026))</f>
        <v/>
      </c>
      <c r="C2026" s="20">
        <f>IF($N2026="","",IF(INDEX(LdBId,$N2026)="","—",INDEX(LdBId,$N2026)))</f>
        <v/>
      </c>
      <c r="D2026" s="20">
        <f>IF($N2026="","",INDEX(LdBMember,$N2026))</f>
        <v/>
      </c>
      <c r="E2026" s="20">
        <f>IF($N2026="","",IFERROR(IF(VLOOKUP(INDEX(LdBMember,$N2026),AcctTblE,4,0)="","(بدون نام)",VLOOKUP(INDEX(LdBMember,$N2026),AcctTblE,4,0)),"—"))</f>
        <v/>
      </c>
      <c r="F2026" s="21">
        <f>IF($N2026="","",IF(INDEX(LdBAmt,$N2026)=0,"",INDEX(LdBAmt,$N2026)))</f>
        <v/>
      </c>
      <c r="G2026" s="32">
        <f>IF($N2026="","",IF(INDEX(LdBNote,$N2026)="","—",INDEX(LdBNote,$N2026)))</f>
        <v/>
      </c>
      <c r="N2026">
        <f>IFERROR(MATCH($C$5&amp;"|"&amp;RIGHT("000000"&amp;6,6),LdBKeyG,0),"")</f>
        <v/>
      </c>
    </row>
    <row r="2027">
      <c r="A2027" s="10" t="n">
        <v>7</v>
      </c>
      <c r="B2027" s="14">
        <f>IF($N2027="","",INDEX(LdBDate,$N2027))</f>
        <v/>
      </c>
      <c r="C2027" s="14">
        <f>IF($N2027="","",IF(INDEX(LdBId,$N2027)="","—",INDEX(LdBId,$N2027)))</f>
        <v/>
      </c>
      <c r="D2027" s="14">
        <f>IF($N2027="","",INDEX(LdBMember,$N2027))</f>
        <v/>
      </c>
      <c r="E2027" s="14">
        <f>IF($N2027="","",IFERROR(IF(VLOOKUP(INDEX(LdBMember,$N2027),AcctTblE,4,0)="","(بدون نام)",VLOOKUP(INDEX(LdBMember,$N2027),AcctTblE,4,0)),"—"))</f>
        <v/>
      </c>
      <c r="F2027" s="16">
        <f>IF($N2027="","",IF(INDEX(LdBAmt,$N2027)=0,"",INDEX(LdBAmt,$N2027)))</f>
        <v/>
      </c>
      <c r="G2027" s="30">
        <f>IF($N2027="","",IF(INDEX(LdBNote,$N2027)="","—",INDEX(LdBNote,$N2027)))</f>
        <v/>
      </c>
      <c r="N2027">
        <f>IFERROR(MATCH($C$5&amp;"|"&amp;RIGHT("000000"&amp;7,6),LdBKeyG,0),"")</f>
        <v/>
      </c>
    </row>
    <row r="2028">
      <c r="A2028" s="19" t="n">
        <v>8</v>
      </c>
      <c r="B2028" s="20">
        <f>IF($N2028="","",INDEX(LdBDate,$N2028))</f>
        <v/>
      </c>
      <c r="C2028" s="20">
        <f>IF($N2028="","",IF(INDEX(LdBId,$N2028)="","—",INDEX(LdBId,$N2028)))</f>
        <v/>
      </c>
      <c r="D2028" s="20">
        <f>IF($N2028="","",INDEX(LdBMember,$N2028))</f>
        <v/>
      </c>
      <c r="E2028" s="20">
        <f>IF($N2028="","",IFERROR(IF(VLOOKUP(INDEX(LdBMember,$N2028),AcctTblE,4,0)="","(بدون نام)",VLOOKUP(INDEX(LdBMember,$N2028),AcctTblE,4,0)),"—"))</f>
        <v/>
      </c>
      <c r="F2028" s="21">
        <f>IF($N2028="","",IF(INDEX(LdBAmt,$N2028)=0,"",INDEX(LdBAmt,$N2028)))</f>
        <v/>
      </c>
      <c r="G2028" s="32">
        <f>IF($N2028="","",IF(INDEX(LdBNote,$N2028)="","—",INDEX(LdBNote,$N2028)))</f>
        <v/>
      </c>
      <c r="N2028">
        <f>IFERROR(MATCH($C$5&amp;"|"&amp;RIGHT("000000"&amp;8,6),LdBKeyG,0),"")</f>
        <v/>
      </c>
    </row>
    <row r="2029">
      <c r="A2029" s="10" t="n">
        <v>9</v>
      </c>
      <c r="B2029" s="14">
        <f>IF($N2029="","",INDEX(LdBDate,$N2029))</f>
        <v/>
      </c>
      <c r="C2029" s="14">
        <f>IF($N2029="","",IF(INDEX(LdBId,$N2029)="","—",INDEX(LdBId,$N2029)))</f>
        <v/>
      </c>
      <c r="D2029" s="14">
        <f>IF($N2029="","",INDEX(LdBMember,$N2029))</f>
        <v/>
      </c>
      <c r="E2029" s="14">
        <f>IF($N2029="","",IFERROR(IF(VLOOKUP(INDEX(LdBMember,$N2029),AcctTblE,4,0)="","(بدون نام)",VLOOKUP(INDEX(LdBMember,$N2029),AcctTblE,4,0)),"—"))</f>
        <v/>
      </c>
      <c r="F2029" s="16">
        <f>IF($N2029="","",IF(INDEX(LdBAmt,$N2029)=0,"",INDEX(LdBAmt,$N2029)))</f>
        <v/>
      </c>
      <c r="G2029" s="30">
        <f>IF($N2029="","",IF(INDEX(LdBNote,$N2029)="","—",INDEX(LdBNote,$N2029)))</f>
        <v/>
      </c>
      <c r="N2029">
        <f>IFERROR(MATCH($C$5&amp;"|"&amp;RIGHT("000000"&amp;9,6),LdBKeyG,0),"")</f>
        <v/>
      </c>
    </row>
    <row r="2030">
      <c r="A2030" s="19" t="n">
        <v>10</v>
      </c>
      <c r="B2030" s="20">
        <f>IF($N2030="","",INDEX(LdBDate,$N2030))</f>
        <v/>
      </c>
      <c r="C2030" s="20">
        <f>IF($N2030="","",IF(INDEX(LdBId,$N2030)="","—",INDEX(LdBId,$N2030)))</f>
        <v/>
      </c>
      <c r="D2030" s="20">
        <f>IF($N2030="","",INDEX(LdBMember,$N2030))</f>
        <v/>
      </c>
      <c r="E2030" s="20">
        <f>IF($N2030="","",IFERROR(IF(VLOOKUP(INDEX(LdBMember,$N2030),AcctTblE,4,0)="","(بدون نام)",VLOOKUP(INDEX(LdBMember,$N2030),AcctTblE,4,0)),"—"))</f>
        <v/>
      </c>
      <c r="F2030" s="21">
        <f>IF($N2030="","",IF(INDEX(LdBAmt,$N2030)=0,"",INDEX(LdBAmt,$N2030)))</f>
        <v/>
      </c>
      <c r="G2030" s="32">
        <f>IF($N2030="","",IF(INDEX(LdBNote,$N2030)="","—",INDEX(LdBNote,$N2030)))</f>
        <v/>
      </c>
      <c r="N2030">
        <f>IFERROR(MATCH($C$5&amp;"|"&amp;RIGHT("000000"&amp;10,6),LdBKeyG,0),"")</f>
        <v/>
      </c>
    </row>
    <row r="2031">
      <c r="A2031" s="10" t="n">
        <v>11</v>
      </c>
      <c r="B2031" s="14">
        <f>IF($N2031="","",INDEX(LdBDate,$N2031))</f>
        <v/>
      </c>
      <c r="C2031" s="14">
        <f>IF($N2031="","",IF(INDEX(LdBId,$N2031)="","—",INDEX(LdBId,$N2031)))</f>
        <v/>
      </c>
      <c r="D2031" s="14">
        <f>IF($N2031="","",INDEX(LdBMember,$N2031))</f>
        <v/>
      </c>
      <c r="E2031" s="14">
        <f>IF($N2031="","",IFERROR(IF(VLOOKUP(INDEX(LdBMember,$N2031),AcctTblE,4,0)="","(بدون نام)",VLOOKUP(INDEX(LdBMember,$N2031),AcctTblE,4,0)),"—"))</f>
        <v/>
      </c>
      <c r="F2031" s="16">
        <f>IF($N2031="","",IF(INDEX(LdBAmt,$N2031)=0,"",INDEX(LdBAmt,$N2031)))</f>
        <v/>
      </c>
      <c r="G2031" s="30">
        <f>IF($N2031="","",IF(INDEX(LdBNote,$N2031)="","—",INDEX(LdBNote,$N2031)))</f>
        <v/>
      </c>
      <c r="N2031">
        <f>IFERROR(MATCH($C$5&amp;"|"&amp;RIGHT("000000"&amp;11,6),LdBKeyG,0),"")</f>
        <v/>
      </c>
    </row>
    <row r="2032">
      <c r="A2032" s="19" t="n">
        <v>12</v>
      </c>
      <c r="B2032" s="20">
        <f>IF($N2032="","",INDEX(LdBDate,$N2032))</f>
        <v/>
      </c>
      <c r="C2032" s="20">
        <f>IF($N2032="","",IF(INDEX(LdBId,$N2032)="","—",INDEX(LdBId,$N2032)))</f>
        <v/>
      </c>
      <c r="D2032" s="20">
        <f>IF($N2032="","",INDEX(LdBMember,$N2032))</f>
        <v/>
      </c>
      <c r="E2032" s="20">
        <f>IF($N2032="","",IFERROR(IF(VLOOKUP(INDEX(LdBMember,$N2032),AcctTblE,4,0)="","(بدون نام)",VLOOKUP(INDEX(LdBMember,$N2032),AcctTblE,4,0)),"—"))</f>
        <v/>
      </c>
      <c r="F2032" s="21">
        <f>IF($N2032="","",IF(INDEX(LdBAmt,$N2032)=0,"",INDEX(LdBAmt,$N2032)))</f>
        <v/>
      </c>
      <c r="G2032" s="32">
        <f>IF($N2032="","",IF(INDEX(LdBNote,$N2032)="","—",INDEX(LdBNote,$N2032)))</f>
        <v/>
      </c>
      <c r="N2032">
        <f>IFERROR(MATCH($C$5&amp;"|"&amp;RIGHT("000000"&amp;12,6),LdBKeyG,0),"")</f>
        <v/>
      </c>
    </row>
    <row r="2033">
      <c r="A2033" s="10" t="n">
        <v>13</v>
      </c>
      <c r="B2033" s="14">
        <f>IF($N2033="","",INDEX(LdBDate,$N2033))</f>
        <v/>
      </c>
      <c r="C2033" s="14">
        <f>IF($N2033="","",IF(INDEX(LdBId,$N2033)="","—",INDEX(LdBId,$N2033)))</f>
        <v/>
      </c>
      <c r="D2033" s="14">
        <f>IF($N2033="","",INDEX(LdBMember,$N2033))</f>
        <v/>
      </c>
      <c r="E2033" s="14">
        <f>IF($N2033="","",IFERROR(IF(VLOOKUP(INDEX(LdBMember,$N2033),AcctTblE,4,0)="","(بدون نام)",VLOOKUP(INDEX(LdBMember,$N2033),AcctTblE,4,0)),"—"))</f>
        <v/>
      </c>
      <c r="F2033" s="16">
        <f>IF($N2033="","",IF(INDEX(LdBAmt,$N2033)=0,"",INDEX(LdBAmt,$N2033)))</f>
        <v/>
      </c>
      <c r="G2033" s="30">
        <f>IF($N2033="","",IF(INDEX(LdBNote,$N2033)="","—",INDEX(LdBNote,$N2033)))</f>
        <v/>
      </c>
      <c r="N2033">
        <f>IFERROR(MATCH($C$5&amp;"|"&amp;RIGHT("000000"&amp;13,6),LdBKeyG,0),"")</f>
        <v/>
      </c>
    </row>
    <row r="2034">
      <c r="A2034" s="19" t="n">
        <v>14</v>
      </c>
      <c r="B2034" s="20">
        <f>IF($N2034="","",INDEX(LdBDate,$N2034))</f>
        <v/>
      </c>
      <c r="C2034" s="20">
        <f>IF($N2034="","",IF(INDEX(LdBId,$N2034)="","—",INDEX(LdBId,$N2034)))</f>
        <v/>
      </c>
      <c r="D2034" s="20">
        <f>IF($N2034="","",INDEX(LdBMember,$N2034))</f>
        <v/>
      </c>
      <c r="E2034" s="20">
        <f>IF($N2034="","",IFERROR(IF(VLOOKUP(INDEX(LdBMember,$N2034),AcctTblE,4,0)="","(بدون نام)",VLOOKUP(INDEX(LdBMember,$N2034),AcctTblE,4,0)),"—"))</f>
        <v/>
      </c>
      <c r="F2034" s="21">
        <f>IF($N2034="","",IF(INDEX(LdBAmt,$N2034)=0,"",INDEX(LdBAmt,$N2034)))</f>
        <v/>
      </c>
      <c r="G2034" s="32">
        <f>IF($N2034="","",IF(INDEX(LdBNote,$N2034)="","—",INDEX(LdBNote,$N2034)))</f>
        <v/>
      </c>
      <c r="N2034">
        <f>IFERROR(MATCH($C$5&amp;"|"&amp;RIGHT("000000"&amp;14,6),LdBKeyG,0),"")</f>
        <v/>
      </c>
    </row>
    <row r="2035">
      <c r="A2035" s="10" t="n">
        <v>15</v>
      </c>
      <c r="B2035" s="14">
        <f>IF($N2035="","",INDEX(LdBDate,$N2035))</f>
        <v/>
      </c>
      <c r="C2035" s="14">
        <f>IF($N2035="","",IF(INDEX(LdBId,$N2035)="","—",INDEX(LdBId,$N2035)))</f>
        <v/>
      </c>
      <c r="D2035" s="14">
        <f>IF($N2035="","",INDEX(LdBMember,$N2035))</f>
        <v/>
      </c>
      <c r="E2035" s="14">
        <f>IF($N2035="","",IFERROR(IF(VLOOKUP(INDEX(LdBMember,$N2035),AcctTblE,4,0)="","(بدون نام)",VLOOKUP(INDEX(LdBMember,$N2035),AcctTblE,4,0)),"—"))</f>
        <v/>
      </c>
      <c r="F2035" s="16">
        <f>IF($N2035="","",IF(INDEX(LdBAmt,$N2035)=0,"",INDEX(LdBAmt,$N2035)))</f>
        <v/>
      </c>
      <c r="G2035" s="30">
        <f>IF($N2035="","",IF(INDEX(LdBNote,$N2035)="","—",INDEX(LdBNote,$N2035)))</f>
        <v/>
      </c>
      <c r="N2035">
        <f>IFERROR(MATCH($C$5&amp;"|"&amp;RIGHT("000000"&amp;15,6),LdBKeyG,0),"")</f>
        <v/>
      </c>
    </row>
    <row r="2036">
      <c r="A2036" s="19" t="n">
        <v>16</v>
      </c>
      <c r="B2036" s="20">
        <f>IF($N2036="","",INDEX(LdBDate,$N2036))</f>
        <v/>
      </c>
      <c r="C2036" s="20">
        <f>IF($N2036="","",IF(INDEX(LdBId,$N2036)="","—",INDEX(LdBId,$N2036)))</f>
        <v/>
      </c>
      <c r="D2036" s="20">
        <f>IF($N2036="","",INDEX(LdBMember,$N2036))</f>
        <v/>
      </c>
      <c r="E2036" s="20">
        <f>IF($N2036="","",IFERROR(IF(VLOOKUP(INDEX(LdBMember,$N2036),AcctTblE,4,0)="","(بدون نام)",VLOOKUP(INDEX(LdBMember,$N2036),AcctTblE,4,0)),"—"))</f>
        <v/>
      </c>
      <c r="F2036" s="21">
        <f>IF($N2036="","",IF(INDEX(LdBAmt,$N2036)=0,"",INDEX(LdBAmt,$N2036)))</f>
        <v/>
      </c>
      <c r="G2036" s="32">
        <f>IF($N2036="","",IF(INDEX(LdBNote,$N2036)="","—",INDEX(LdBNote,$N2036)))</f>
        <v/>
      </c>
      <c r="N2036">
        <f>IFERROR(MATCH($C$5&amp;"|"&amp;RIGHT("000000"&amp;16,6),LdBKeyG,0),"")</f>
        <v/>
      </c>
    </row>
    <row r="2037">
      <c r="A2037" s="10" t="n">
        <v>17</v>
      </c>
      <c r="B2037" s="14">
        <f>IF($N2037="","",INDEX(LdBDate,$N2037))</f>
        <v/>
      </c>
      <c r="C2037" s="14">
        <f>IF($N2037="","",IF(INDEX(LdBId,$N2037)="","—",INDEX(LdBId,$N2037)))</f>
        <v/>
      </c>
      <c r="D2037" s="14">
        <f>IF($N2037="","",INDEX(LdBMember,$N2037))</f>
        <v/>
      </c>
      <c r="E2037" s="14">
        <f>IF($N2037="","",IFERROR(IF(VLOOKUP(INDEX(LdBMember,$N2037),AcctTblE,4,0)="","(بدون نام)",VLOOKUP(INDEX(LdBMember,$N2037),AcctTblE,4,0)),"—"))</f>
        <v/>
      </c>
      <c r="F2037" s="16">
        <f>IF($N2037="","",IF(INDEX(LdBAmt,$N2037)=0,"",INDEX(LdBAmt,$N2037)))</f>
        <v/>
      </c>
      <c r="G2037" s="30">
        <f>IF($N2037="","",IF(INDEX(LdBNote,$N2037)="","—",INDEX(LdBNote,$N2037)))</f>
        <v/>
      </c>
      <c r="N2037">
        <f>IFERROR(MATCH($C$5&amp;"|"&amp;RIGHT("000000"&amp;17,6),LdBKeyG,0),"")</f>
        <v/>
      </c>
    </row>
    <row r="2038">
      <c r="A2038" s="19" t="n">
        <v>18</v>
      </c>
      <c r="B2038" s="20">
        <f>IF($N2038="","",INDEX(LdBDate,$N2038))</f>
        <v/>
      </c>
      <c r="C2038" s="20">
        <f>IF($N2038="","",IF(INDEX(LdBId,$N2038)="","—",INDEX(LdBId,$N2038)))</f>
        <v/>
      </c>
      <c r="D2038" s="20">
        <f>IF($N2038="","",INDEX(LdBMember,$N2038))</f>
        <v/>
      </c>
      <c r="E2038" s="20">
        <f>IF($N2038="","",IFERROR(IF(VLOOKUP(INDEX(LdBMember,$N2038),AcctTblE,4,0)="","(بدون نام)",VLOOKUP(INDEX(LdBMember,$N2038),AcctTblE,4,0)),"—"))</f>
        <v/>
      </c>
      <c r="F2038" s="21">
        <f>IF($N2038="","",IF(INDEX(LdBAmt,$N2038)=0,"",INDEX(LdBAmt,$N2038)))</f>
        <v/>
      </c>
      <c r="G2038" s="32">
        <f>IF($N2038="","",IF(INDEX(LdBNote,$N2038)="","—",INDEX(LdBNote,$N2038)))</f>
        <v/>
      </c>
      <c r="N2038">
        <f>IFERROR(MATCH($C$5&amp;"|"&amp;RIGHT("000000"&amp;18,6),LdBKeyG,0),"")</f>
        <v/>
      </c>
    </row>
    <row r="2039">
      <c r="A2039" s="10" t="n">
        <v>19</v>
      </c>
      <c r="B2039" s="14">
        <f>IF($N2039="","",INDEX(LdBDate,$N2039))</f>
        <v/>
      </c>
      <c r="C2039" s="14">
        <f>IF($N2039="","",IF(INDEX(LdBId,$N2039)="","—",INDEX(LdBId,$N2039)))</f>
        <v/>
      </c>
      <c r="D2039" s="14">
        <f>IF($N2039="","",INDEX(LdBMember,$N2039))</f>
        <v/>
      </c>
      <c r="E2039" s="14">
        <f>IF($N2039="","",IFERROR(IF(VLOOKUP(INDEX(LdBMember,$N2039),AcctTblE,4,0)="","(بدون نام)",VLOOKUP(INDEX(LdBMember,$N2039),AcctTblE,4,0)),"—"))</f>
        <v/>
      </c>
      <c r="F2039" s="16">
        <f>IF($N2039="","",IF(INDEX(LdBAmt,$N2039)=0,"",INDEX(LdBAmt,$N2039)))</f>
        <v/>
      </c>
      <c r="G2039" s="30">
        <f>IF($N2039="","",IF(INDEX(LdBNote,$N2039)="","—",INDEX(LdBNote,$N2039)))</f>
        <v/>
      </c>
      <c r="N2039">
        <f>IFERROR(MATCH($C$5&amp;"|"&amp;RIGHT("000000"&amp;19,6),LdBKeyG,0),"")</f>
        <v/>
      </c>
    </row>
    <row r="2040">
      <c r="A2040" s="19" t="n">
        <v>20</v>
      </c>
      <c r="B2040" s="20">
        <f>IF($N2040="","",INDEX(LdBDate,$N2040))</f>
        <v/>
      </c>
      <c r="C2040" s="20">
        <f>IF($N2040="","",IF(INDEX(LdBId,$N2040)="","—",INDEX(LdBId,$N2040)))</f>
        <v/>
      </c>
      <c r="D2040" s="20">
        <f>IF($N2040="","",INDEX(LdBMember,$N2040))</f>
        <v/>
      </c>
      <c r="E2040" s="20">
        <f>IF($N2040="","",IFERROR(IF(VLOOKUP(INDEX(LdBMember,$N2040),AcctTblE,4,0)="","(بدون نام)",VLOOKUP(INDEX(LdBMember,$N2040),AcctTblE,4,0)),"—"))</f>
        <v/>
      </c>
      <c r="F2040" s="21">
        <f>IF($N2040="","",IF(INDEX(LdBAmt,$N2040)=0,"",INDEX(LdBAmt,$N2040)))</f>
        <v/>
      </c>
      <c r="G2040" s="32">
        <f>IF($N2040="","",IF(INDEX(LdBNote,$N2040)="","—",INDEX(LdBNote,$N2040)))</f>
        <v/>
      </c>
      <c r="N2040">
        <f>IFERROR(MATCH($C$5&amp;"|"&amp;RIGHT("000000"&amp;20,6),LdBKeyG,0),"")</f>
        <v/>
      </c>
    </row>
    <row r="2041">
      <c r="A2041" s="10" t="n">
        <v>21</v>
      </c>
      <c r="B2041" s="14">
        <f>IF($N2041="","",INDEX(LdBDate,$N2041))</f>
        <v/>
      </c>
      <c r="C2041" s="14">
        <f>IF($N2041="","",IF(INDEX(LdBId,$N2041)="","—",INDEX(LdBId,$N2041)))</f>
        <v/>
      </c>
      <c r="D2041" s="14">
        <f>IF($N2041="","",INDEX(LdBMember,$N2041))</f>
        <v/>
      </c>
      <c r="E2041" s="14">
        <f>IF($N2041="","",IFERROR(IF(VLOOKUP(INDEX(LdBMember,$N2041),AcctTblE,4,0)="","(بدون نام)",VLOOKUP(INDEX(LdBMember,$N2041),AcctTblE,4,0)),"—"))</f>
        <v/>
      </c>
      <c r="F2041" s="16">
        <f>IF($N2041="","",IF(INDEX(LdBAmt,$N2041)=0,"",INDEX(LdBAmt,$N2041)))</f>
        <v/>
      </c>
      <c r="G2041" s="30">
        <f>IF($N2041="","",IF(INDEX(LdBNote,$N2041)="","—",INDEX(LdBNote,$N2041)))</f>
        <v/>
      </c>
      <c r="N2041">
        <f>IFERROR(MATCH($C$5&amp;"|"&amp;RIGHT("000000"&amp;21,6),LdBKeyG,0),"")</f>
        <v/>
      </c>
    </row>
    <row r="2042">
      <c r="A2042" s="19" t="n">
        <v>22</v>
      </c>
      <c r="B2042" s="20">
        <f>IF($N2042="","",INDEX(LdBDate,$N2042))</f>
        <v/>
      </c>
      <c r="C2042" s="20">
        <f>IF($N2042="","",IF(INDEX(LdBId,$N2042)="","—",INDEX(LdBId,$N2042)))</f>
        <v/>
      </c>
      <c r="D2042" s="20">
        <f>IF($N2042="","",INDEX(LdBMember,$N2042))</f>
        <v/>
      </c>
      <c r="E2042" s="20">
        <f>IF($N2042="","",IFERROR(IF(VLOOKUP(INDEX(LdBMember,$N2042),AcctTblE,4,0)="","(بدون نام)",VLOOKUP(INDEX(LdBMember,$N2042),AcctTblE,4,0)),"—"))</f>
        <v/>
      </c>
      <c r="F2042" s="21">
        <f>IF($N2042="","",IF(INDEX(LdBAmt,$N2042)=0,"",INDEX(LdBAmt,$N2042)))</f>
        <v/>
      </c>
      <c r="G2042" s="32">
        <f>IF($N2042="","",IF(INDEX(LdBNote,$N2042)="","—",INDEX(LdBNote,$N2042)))</f>
        <v/>
      </c>
      <c r="N2042">
        <f>IFERROR(MATCH($C$5&amp;"|"&amp;RIGHT("000000"&amp;22,6),LdBKeyG,0),"")</f>
        <v/>
      </c>
    </row>
    <row r="2043">
      <c r="A2043" s="10" t="n">
        <v>23</v>
      </c>
      <c r="B2043" s="14">
        <f>IF($N2043="","",INDEX(LdBDate,$N2043))</f>
        <v/>
      </c>
      <c r="C2043" s="14">
        <f>IF($N2043="","",IF(INDEX(LdBId,$N2043)="","—",INDEX(LdBId,$N2043)))</f>
        <v/>
      </c>
      <c r="D2043" s="14">
        <f>IF($N2043="","",INDEX(LdBMember,$N2043))</f>
        <v/>
      </c>
      <c r="E2043" s="14">
        <f>IF($N2043="","",IFERROR(IF(VLOOKUP(INDEX(LdBMember,$N2043),AcctTblE,4,0)="","(بدون نام)",VLOOKUP(INDEX(LdBMember,$N2043),AcctTblE,4,0)),"—"))</f>
        <v/>
      </c>
      <c r="F2043" s="16">
        <f>IF($N2043="","",IF(INDEX(LdBAmt,$N2043)=0,"",INDEX(LdBAmt,$N2043)))</f>
        <v/>
      </c>
      <c r="G2043" s="30">
        <f>IF($N2043="","",IF(INDEX(LdBNote,$N2043)="","—",INDEX(LdBNote,$N2043)))</f>
        <v/>
      </c>
      <c r="N2043">
        <f>IFERROR(MATCH($C$5&amp;"|"&amp;RIGHT("000000"&amp;23,6),LdBKeyG,0),"")</f>
        <v/>
      </c>
    </row>
    <row r="2044">
      <c r="A2044" s="19" t="n">
        <v>24</v>
      </c>
      <c r="B2044" s="20">
        <f>IF($N2044="","",INDEX(LdBDate,$N2044))</f>
        <v/>
      </c>
      <c r="C2044" s="20">
        <f>IF($N2044="","",IF(INDEX(LdBId,$N2044)="","—",INDEX(LdBId,$N2044)))</f>
        <v/>
      </c>
      <c r="D2044" s="20">
        <f>IF($N2044="","",INDEX(LdBMember,$N2044))</f>
        <v/>
      </c>
      <c r="E2044" s="20">
        <f>IF($N2044="","",IFERROR(IF(VLOOKUP(INDEX(LdBMember,$N2044),AcctTblE,4,0)="","(بدون نام)",VLOOKUP(INDEX(LdBMember,$N2044),AcctTblE,4,0)),"—"))</f>
        <v/>
      </c>
      <c r="F2044" s="21">
        <f>IF($N2044="","",IF(INDEX(LdBAmt,$N2044)=0,"",INDEX(LdBAmt,$N2044)))</f>
        <v/>
      </c>
      <c r="G2044" s="32">
        <f>IF($N2044="","",IF(INDEX(LdBNote,$N2044)="","—",INDEX(LdBNote,$N2044)))</f>
        <v/>
      </c>
      <c r="N2044">
        <f>IFERROR(MATCH($C$5&amp;"|"&amp;RIGHT("000000"&amp;24,6),LdBKeyG,0),"")</f>
        <v/>
      </c>
    </row>
    <row r="2045">
      <c r="A2045" s="10" t="n">
        <v>25</v>
      </c>
      <c r="B2045" s="14">
        <f>IF($N2045="","",INDEX(LdBDate,$N2045))</f>
        <v/>
      </c>
      <c r="C2045" s="14">
        <f>IF($N2045="","",IF(INDEX(LdBId,$N2045)="","—",INDEX(LdBId,$N2045)))</f>
        <v/>
      </c>
      <c r="D2045" s="14">
        <f>IF($N2045="","",INDEX(LdBMember,$N2045))</f>
        <v/>
      </c>
      <c r="E2045" s="14">
        <f>IF($N2045="","",IFERROR(IF(VLOOKUP(INDEX(LdBMember,$N2045),AcctTblE,4,0)="","(بدون نام)",VLOOKUP(INDEX(LdBMember,$N2045),AcctTblE,4,0)),"—"))</f>
        <v/>
      </c>
      <c r="F2045" s="16">
        <f>IF($N2045="","",IF(INDEX(LdBAmt,$N2045)=0,"",INDEX(LdBAmt,$N2045)))</f>
        <v/>
      </c>
      <c r="G2045" s="30">
        <f>IF($N2045="","",IF(INDEX(LdBNote,$N2045)="","—",INDEX(LdBNote,$N2045)))</f>
        <v/>
      </c>
      <c r="N2045">
        <f>IFERROR(MATCH($C$5&amp;"|"&amp;RIGHT("000000"&amp;25,6),LdBKeyG,0),"")</f>
        <v/>
      </c>
    </row>
    <row r="2046">
      <c r="A2046" s="19" t="n">
        <v>26</v>
      </c>
      <c r="B2046" s="20">
        <f>IF($N2046="","",INDEX(LdBDate,$N2046))</f>
        <v/>
      </c>
      <c r="C2046" s="20">
        <f>IF($N2046="","",IF(INDEX(LdBId,$N2046)="","—",INDEX(LdBId,$N2046)))</f>
        <v/>
      </c>
      <c r="D2046" s="20">
        <f>IF($N2046="","",INDEX(LdBMember,$N2046))</f>
        <v/>
      </c>
      <c r="E2046" s="20">
        <f>IF($N2046="","",IFERROR(IF(VLOOKUP(INDEX(LdBMember,$N2046),AcctTblE,4,0)="","(بدون نام)",VLOOKUP(INDEX(LdBMember,$N2046),AcctTblE,4,0)),"—"))</f>
        <v/>
      </c>
      <c r="F2046" s="21">
        <f>IF($N2046="","",IF(INDEX(LdBAmt,$N2046)=0,"",INDEX(LdBAmt,$N2046)))</f>
        <v/>
      </c>
      <c r="G2046" s="32">
        <f>IF($N2046="","",IF(INDEX(LdBNote,$N2046)="","—",INDEX(LdBNote,$N2046)))</f>
        <v/>
      </c>
      <c r="N2046">
        <f>IFERROR(MATCH($C$5&amp;"|"&amp;RIGHT("000000"&amp;26,6),LdBKeyG,0),"")</f>
        <v/>
      </c>
    </row>
    <row r="2047">
      <c r="A2047" s="10" t="n">
        <v>27</v>
      </c>
      <c r="B2047" s="14">
        <f>IF($N2047="","",INDEX(LdBDate,$N2047))</f>
        <v/>
      </c>
      <c r="C2047" s="14">
        <f>IF($N2047="","",IF(INDEX(LdBId,$N2047)="","—",INDEX(LdBId,$N2047)))</f>
        <v/>
      </c>
      <c r="D2047" s="14">
        <f>IF($N2047="","",INDEX(LdBMember,$N2047))</f>
        <v/>
      </c>
      <c r="E2047" s="14">
        <f>IF($N2047="","",IFERROR(IF(VLOOKUP(INDEX(LdBMember,$N2047),AcctTblE,4,0)="","(بدون نام)",VLOOKUP(INDEX(LdBMember,$N2047),AcctTblE,4,0)),"—"))</f>
        <v/>
      </c>
      <c r="F2047" s="16">
        <f>IF($N2047="","",IF(INDEX(LdBAmt,$N2047)=0,"",INDEX(LdBAmt,$N2047)))</f>
        <v/>
      </c>
      <c r="G2047" s="30">
        <f>IF($N2047="","",IF(INDEX(LdBNote,$N2047)="","—",INDEX(LdBNote,$N2047)))</f>
        <v/>
      </c>
      <c r="N2047">
        <f>IFERROR(MATCH($C$5&amp;"|"&amp;RIGHT("000000"&amp;27,6),LdBKeyG,0),"")</f>
        <v/>
      </c>
    </row>
    <row r="2048">
      <c r="A2048" s="19" t="n">
        <v>28</v>
      </c>
      <c r="B2048" s="20">
        <f>IF($N2048="","",INDEX(LdBDate,$N2048))</f>
        <v/>
      </c>
      <c r="C2048" s="20">
        <f>IF($N2048="","",IF(INDEX(LdBId,$N2048)="","—",INDEX(LdBId,$N2048)))</f>
        <v/>
      </c>
      <c r="D2048" s="20">
        <f>IF($N2048="","",INDEX(LdBMember,$N2048))</f>
        <v/>
      </c>
      <c r="E2048" s="20">
        <f>IF($N2048="","",IFERROR(IF(VLOOKUP(INDEX(LdBMember,$N2048),AcctTblE,4,0)="","(بدون نام)",VLOOKUP(INDEX(LdBMember,$N2048),AcctTblE,4,0)),"—"))</f>
        <v/>
      </c>
      <c r="F2048" s="21">
        <f>IF($N2048="","",IF(INDEX(LdBAmt,$N2048)=0,"",INDEX(LdBAmt,$N2048)))</f>
        <v/>
      </c>
      <c r="G2048" s="32">
        <f>IF($N2048="","",IF(INDEX(LdBNote,$N2048)="","—",INDEX(LdBNote,$N2048)))</f>
        <v/>
      </c>
      <c r="N2048">
        <f>IFERROR(MATCH($C$5&amp;"|"&amp;RIGHT("000000"&amp;28,6),LdBKeyG,0),"")</f>
        <v/>
      </c>
    </row>
    <row r="2049">
      <c r="A2049" s="10" t="n">
        <v>29</v>
      </c>
      <c r="B2049" s="14">
        <f>IF($N2049="","",INDEX(LdBDate,$N2049))</f>
        <v/>
      </c>
      <c r="C2049" s="14">
        <f>IF($N2049="","",IF(INDEX(LdBId,$N2049)="","—",INDEX(LdBId,$N2049)))</f>
        <v/>
      </c>
      <c r="D2049" s="14">
        <f>IF($N2049="","",INDEX(LdBMember,$N2049))</f>
        <v/>
      </c>
      <c r="E2049" s="14">
        <f>IF($N2049="","",IFERROR(IF(VLOOKUP(INDEX(LdBMember,$N2049),AcctTblE,4,0)="","(بدون نام)",VLOOKUP(INDEX(LdBMember,$N2049),AcctTblE,4,0)),"—"))</f>
        <v/>
      </c>
      <c r="F2049" s="16">
        <f>IF($N2049="","",IF(INDEX(LdBAmt,$N2049)=0,"",INDEX(LdBAmt,$N2049)))</f>
        <v/>
      </c>
      <c r="G2049" s="30">
        <f>IF($N2049="","",IF(INDEX(LdBNote,$N2049)="","—",INDEX(LdBNote,$N2049)))</f>
        <v/>
      </c>
      <c r="N2049">
        <f>IFERROR(MATCH($C$5&amp;"|"&amp;RIGHT("000000"&amp;29,6),LdBKeyG,0),"")</f>
        <v/>
      </c>
    </row>
    <row r="2050">
      <c r="A2050" s="19" t="n">
        <v>30</v>
      </c>
      <c r="B2050" s="20">
        <f>IF($N2050="","",INDEX(LdBDate,$N2050))</f>
        <v/>
      </c>
      <c r="C2050" s="20">
        <f>IF($N2050="","",IF(INDEX(LdBId,$N2050)="","—",INDEX(LdBId,$N2050)))</f>
        <v/>
      </c>
      <c r="D2050" s="20">
        <f>IF($N2050="","",INDEX(LdBMember,$N2050))</f>
        <v/>
      </c>
      <c r="E2050" s="20">
        <f>IF($N2050="","",IFERROR(IF(VLOOKUP(INDEX(LdBMember,$N2050),AcctTblE,4,0)="","(بدون نام)",VLOOKUP(INDEX(LdBMember,$N2050),AcctTblE,4,0)),"—"))</f>
        <v/>
      </c>
      <c r="F2050" s="21">
        <f>IF($N2050="","",IF(INDEX(LdBAmt,$N2050)=0,"",INDEX(LdBAmt,$N2050)))</f>
        <v/>
      </c>
      <c r="G2050" s="32">
        <f>IF($N2050="","",IF(INDEX(LdBNote,$N2050)="","—",INDEX(LdBNote,$N2050)))</f>
        <v/>
      </c>
      <c r="N2050">
        <f>IFERROR(MATCH($C$5&amp;"|"&amp;RIGHT("000000"&amp;30,6),LdBKeyG,0),"")</f>
        <v/>
      </c>
    </row>
    <row r="2051">
      <c r="A2051" s="10" t="n">
        <v>31</v>
      </c>
      <c r="B2051" s="14">
        <f>IF($N2051="","",INDEX(LdBDate,$N2051))</f>
        <v/>
      </c>
      <c r="C2051" s="14">
        <f>IF($N2051="","",IF(INDEX(LdBId,$N2051)="","—",INDEX(LdBId,$N2051)))</f>
        <v/>
      </c>
      <c r="D2051" s="14">
        <f>IF($N2051="","",INDEX(LdBMember,$N2051))</f>
        <v/>
      </c>
      <c r="E2051" s="14">
        <f>IF($N2051="","",IFERROR(IF(VLOOKUP(INDEX(LdBMember,$N2051),AcctTblE,4,0)="","(بدون نام)",VLOOKUP(INDEX(LdBMember,$N2051),AcctTblE,4,0)),"—"))</f>
        <v/>
      </c>
      <c r="F2051" s="16">
        <f>IF($N2051="","",IF(INDEX(LdBAmt,$N2051)=0,"",INDEX(LdBAmt,$N2051)))</f>
        <v/>
      </c>
      <c r="G2051" s="30">
        <f>IF($N2051="","",IF(INDEX(LdBNote,$N2051)="","—",INDEX(LdBNote,$N2051)))</f>
        <v/>
      </c>
      <c r="N2051">
        <f>IFERROR(MATCH($C$5&amp;"|"&amp;RIGHT("000000"&amp;31,6),LdBKeyG,0),"")</f>
        <v/>
      </c>
    </row>
    <row r="2052">
      <c r="A2052" s="19" t="n">
        <v>32</v>
      </c>
      <c r="B2052" s="20">
        <f>IF($N2052="","",INDEX(LdBDate,$N2052))</f>
        <v/>
      </c>
      <c r="C2052" s="20">
        <f>IF($N2052="","",IF(INDEX(LdBId,$N2052)="","—",INDEX(LdBId,$N2052)))</f>
        <v/>
      </c>
      <c r="D2052" s="20">
        <f>IF($N2052="","",INDEX(LdBMember,$N2052))</f>
        <v/>
      </c>
      <c r="E2052" s="20">
        <f>IF($N2052="","",IFERROR(IF(VLOOKUP(INDEX(LdBMember,$N2052),AcctTblE,4,0)="","(بدون نام)",VLOOKUP(INDEX(LdBMember,$N2052),AcctTblE,4,0)),"—"))</f>
        <v/>
      </c>
      <c r="F2052" s="21">
        <f>IF($N2052="","",IF(INDEX(LdBAmt,$N2052)=0,"",INDEX(LdBAmt,$N2052)))</f>
        <v/>
      </c>
      <c r="G2052" s="32">
        <f>IF($N2052="","",IF(INDEX(LdBNote,$N2052)="","—",INDEX(LdBNote,$N2052)))</f>
        <v/>
      </c>
      <c r="N2052">
        <f>IFERROR(MATCH($C$5&amp;"|"&amp;RIGHT("000000"&amp;32,6),LdBKeyG,0),"")</f>
        <v/>
      </c>
    </row>
    <row r="2053">
      <c r="A2053" s="10" t="n">
        <v>33</v>
      </c>
      <c r="B2053" s="14">
        <f>IF($N2053="","",INDEX(LdBDate,$N2053))</f>
        <v/>
      </c>
      <c r="C2053" s="14">
        <f>IF($N2053="","",IF(INDEX(LdBId,$N2053)="","—",INDEX(LdBId,$N2053)))</f>
        <v/>
      </c>
      <c r="D2053" s="14">
        <f>IF($N2053="","",INDEX(LdBMember,$N2053))</f>
        <v/>
      </c>
      <c r="E2053" s="14">
        <f>IF($N2053="","",IFERROR(IF(VLOOKUP(INDEX(LdBMember,$N2053),AcctTblE,4,0)="","(بدون نام)",VLOOKUP(INDEX(LdBMember,$N2053),AcctTblE,4,0)),"—"))</f>
        <v/>
      </c>
      <c r="F2053" s="16">
        <f>IF($N2053="","",IF(INDEX(LdBAmt,$N2053)=0,"",INDEX(LdBAmt,$N2053)))</f>
        <v/>
      </c>
      <c r="G2053" s="30">
        <f>IF($N2053="","",IF(INDEX(LdBNote,$N2053)="","—",INDEX(LdBNote,$N2053)))</f>
        <v/>
      </c>
      <c r="N2053">
        <f>IFERROR(MATCH($C$5&amp;"|"&amp;RIGHT("000000"&amp;33,6),LdBKeyG,0),"")</f>
        <v/>
      </c>
    </row>
    <row r="2054">
      <c r="A2054" s="19" t="n">
        <v>34</v>
      </c>
      <c r="B2054" s="20">
        <f>IF($N2054="","",INDEX(LdBDate,$N2054))</f>
        <v/>
      </c>
      <c r="C2054" s="20">
        <f>IF($N2054="","",IF(INDEX(LdBId,$N2054)="","—",INDEX(LdBId,$N2054)))</f>
        <v/>
      </c>
      <c r="D2054" s="20">
        <f>IF($N2054="","",INDEX(LdBMember,$N2054))</f>
        <v/>
      </c>
      <c r="E2054" s="20">
        <f>IF($N2054="","",IFERROR(IF(VLOOKUP(INDEX(LdBMember,$N2054),AcctTblE,4,0)="","(بدون نام)",VLOOKUP(INDEX(LdBMember,$N2054),AcctTblE,4,0)),"—"))</f>
        <v/>
      </c>
      <c r="F2054" s="21">
        <f>IF($N2054="","",IF(INDEX(LdBAmt,$N2054)=0,"",INDEX(LdBAmt,$N2054)))</f>
        <v/>
      </c>
      <c r="G2054" s="32">
        <f>IF($N2054="","",IF(INDEX(LdBNote,$N2054)="","—",INDEX(LdBNote,$N2054)))</f>
        <v/>
      </c>
      <c r="N2054">
        <f>IFERROR(MATCH($C$5&amp;"|"&amp;RIGHT("000000"&amp;34,6),LdBKeyG,0),"")</f>
        <v/>
      </c>
    </row>
    <row r="2055">
      <c r="A2055" s="10" t="n">
        <v>35</v>
      </c>
      <c r="B2055" s="14">
        <f>IF($N2055="","",INDEX(LdBDate,$N2055))</f>
        <v/>
      </c>
      <c r="C2055" s="14">
        <f>IF($N2055="","",IF(INDEX(LdBId,$N2055)="","—",INDEX(LdBId,$N2055)))</f>
        <v/>
      </c>
      <c r="D2055" s="14">
        <f>IF($N2055="","",INDEX(LdBMember,$N2055))</f>
        <v/>
      </c>
      <c r="E2055" s="14">
        <f>IF($N2055="","",IFERROR(IF(VLOOKUP(INDEX(LdBMember,$N2055),AcctTblE,4,0)="","(بدون نام)",VLOOKUP(INDEX(LdBMember,$N2055),AcctTblE,4,0)),"—"))</f>
        <v/>
      </c>
      <c r="F2055" s="16">
        <f>IF($N2055="","",IF(INDEX(LdBAmt,$N2055)=0,"",INDEX(LdBAmt,$N2055)))</f>
        <v/>
      </c>
      <c r="G2055" s="30">
        <f>IF($N2055="","",IF(INDEX(LdBNote,$N2055)="","—",INDEX(LdBNote,$N2055)))</f>
        <v/>
      </c>
      <c r="N2055">
        <f>IFERROR(MATCH($C$5&amp;"|"&amp;RIGHT("000000"&amp;35,6),LdBKeyG,0),"")</f>
        <v/>
      </c>
    </row>
    <row r="2056">
      <c r="A2056" s="19" t="n">
        <v>36</v>
      </c>
      <c r="B2056" s="20">
        <f>IF($N2056="","",INDEX(LdBDate,$N2056))</f>
        <v/>
      </c>
      <c r="C2056" s="20">
        <f>IF($N2056="","",IF(INDEX(LdBId,$N2056)="","—",INDEX(LdBId,$N2056)))</f>
        <v/>
      </c>
      <c r="D2056" s="20">
        <f>IF($N2056="","",INDEX(LdBMember,$N2056))</f>
        <v/>
      </c>
      <c r="E2056" s="20">
        <f>IF($N2056="","",IFERROR(IF(VLOOKUP(INDEX(LdBMember,$N2056),AcctTblE,4,0)="","(بدون نام)",VLOOKUP(INDEX(LdBMember,$N2056),AcctTblE,4,0)),"—"))</f>
        <v/>
      </c>
      <c r="F2056" s="21">
        <f>IF($N2056="","",IF(INDEX(LdBAmt,$N2056)=0,"",INDEX(LdBAmt,$N2056)))</f>
        <v/>
      </c>
      <c r="G2056" s="32">
        <f>IF($N2056="","",IF(INDEX(LdBNote,$N2056)="","—",INDEX(LdBNote,$N2056)))</f>
        <v/>
      </c>
      <c r="N2056">
        <f>IFERROR(MATCH($C$5&amp;"|"&amp;RIGHT("000000"&amp;36,6),LdBKeyG,0),"")</f>
        <v/>
      </c>
    </row>
    <row r="2057">
      <c r="A2057" s="10" t="n">
        <v>37</v>
      </c>
      <c r="B2057" s="14">
        <f>IF($N2057="","",INDEX(LdBDate,$N2057))</f>
        <v/>
      </c>
      <c r="C2057" s="14">
        <f>IF($N2057="","",IF(INDEX(LdBId,$N2057)="","—",INDEX(LdBId,$N2057)))</f>
        <v/>
      </c>
      <c r="D2057" s="14">
        <f>IF($N2057="","",INDEX(LdBMember,$N2057))</f>
        <v/>
      </c>
      <c r="E2057" s="14">
        <f>IF($N2057="","",IFERROR(IF(VLOOKUP(INDEX(LdBMember,$N2057),AcctTblE,4,0)="","(بدون نام)",VLOOKUP(INDEX(LdBMember,$N2057),AcctTblE,4,0)),"—"))</f>
        <v/>
      </c>
      <c r="F2057" s="16">
        <f>IF($N2057="","",IF(INDEX(LdBAmt,$N2057)=0,"",INDEX(LdBAmt,$N2057)))</f>
        <v/>
      </c>
      <c r="G2057" s="30">
        <f>IF($N2057="","",IF(INDEX(LdBNote,$N2057)="","—",INDEX(LdBNote,$N2057)))</f>
        <v/>
      </c>
      <c r="N2057">
        <f>IFERROR(MATCH($C$5&amp;"|"&amp;RIGHT("000000"&amp;37,6),LdBKeyG,0),"")</f>
        <v/>
      </c>
    </row>
    <row r="2058">
      <c r="A2058" s="19" t="n">
        <v>38</v>
      </c>
      <c r="B2058" s="20">
        <f>IF($N2058="","",INDEX(LdBDate,$N2058))</f>
        <v/>
      </c>
      <c r="C2058" s="20">
        <f>IF($N2058="","",IF(INDEX(LdBId,$N2058)="","—",INDEX(LdBId,$N2058)))</f>
        <v/>
      </c>
      <c r="D2058" s="20">
        <f>IF($N2058="","",INDEX(LdBMember,$N2058))</f>
        <v/>
      </c>
      <c r="E2058" s="20">
        <f>IF($N2058="","",IFERROR(IF(VLOOKUP(INDEX(LdBMember,$N2058),AcctTblE,4,0)="","(بدون نام)",VLOOKUP(INDEX(LdBMember,$N2058),AcctTblE,4,0)),"—"))</f>
        <v/>
      </c>
      <c r="F2058" s="21">
        <f>IF($N2058="","",IF(INDEX(LdBAmt,$N2058)=0,"",INDEX(LdBAmt,$N2058)))</f>
        <v/>
      </c>
      <c r="G2058" s="32">
        <f>IF($N2058="","",IF(INDEX(LdBNote,$N2058)="","—",INDEX(LdBNote,$N2058)))</f>
        <v/>
      </c>
      <c r="N2058">
        <f>IFERROR(MATCH($C$5&amp;"|"&amp;RIGHT("000000"&amp;38,6),LdBKeyG,0),"")</f>
        <v/>
      </c>
    </row>
    <row r="2059">
      <c r="A2059" s="10" t="n">
        <v>39</v>
      </c>
      <c r="B2059" s="14">
        <f>IF($N2059="","",INDEX(LdBDate,$N2059))</f>
        <v/>
      </c>
      <c r="C2059" s="14">
        <f>IF($N2059="","",IF(INDEX(LdBId,$N2059)="","—",INDEX(LdBId,$N2059)))</f>
        <v/>
      </c>
      <c r="D2059" s="14">
        <f>IF($N2059="","",INDEX(LdBMember,$N2059))</f>
        <v/>
      </c>
      <c r="E2059" s="14">
        <f>IF($N2059="","",IFERROR(IF(VLOOKUP(INDEX(LdBMember,$N2059),AcctTblE,4,0)="","(بدون نام)",VLOOKUP(INDEX(LdBMember,$N2059),AcctTblE,4,0)),"—"))</f>
        <v/>
      </c>
      <c r="F2059" s="16">
        <f>IF($N2059="","",IF(INDEX(LdBAmt,$N2059)=0,"",INDEX(LdBAmt,$N2059)))</f>
        <v/>
      </c>
      <c r="G2059" s="30">
        <f>IF($N2059="","",IF(INDEX(LdBNote,$N2059)="","—",INDEX(LdBNote,$N2059)))</f>
        <v/>
      </c>
      <c r="N2059">
        <f>IFERROR(MATCH($C$5&amp;"|"&amp;RIGHT("000000"&amp;39,6),LdBKeyG,0),"")</f>
        <v/>
      </c>
    </row>
    <row r="2060">
      <c r="A2060" s="19" t="n">
        <v>40</v>
      </c>
      <c r="B2060" s="20">
        <f>IF($N2060="","",INDEX(LdBDate,$N2060))</f>
        <v/>
      </c>
      <c r="C2060" s="20">
        <f>IF($N2060="","",IF(INDEX(LdBId,$N2060)="","—",INDEX(LdBId,$N2060)))</f>
        <v/>
      </c>
      <c r="D2060" s="20">
        <f>IF($N2060="","",INDEX(LdBMember,$N2060))</f>
        <v/>
      </c>
      <c r="E2060" s="20">
        <f>IF($N2060="","",IFERROR(IF(VLOOKUP(INDEX(LdBMember,$N2060),AcctTblE,4,0)="","(بدون نام)",VLOOKUP(INDEX(LdBMember,$N2060),AcctTblE,4,0)),"—"))</f>
        <v/>
      </c>
      <c r="F2060" s="21">
        <f>IF($N2060="","",IF(INDEX(LdBAmt,$N2060)=0,"",INDEX(LdBAmt,$N2060)))</f>
        <v/>
      </c>
      <c r="G2060" s="32">
        <f>IF($N2060="","",IF(INDEX(LdBNote,$N2060)="","—",INDEX(LdBNote,$N2060)))</f>
        <v/>
      </c>
      <c r="N2060">
        <f>IFERROR(MATCH($C$5&amp;"|"&amp;RIGHT("000000"&amp;40,6),LdBKeyG,0),"")</f>
        <v/>
      </c>
    </row>
    <row r="2061">
      <c r="A2061" s="10" t="n">
        <v>41</v>
      </c>
      <c r="B2061" s="14">
        <f>IF($N2061="","",INDEX(LdBDate,$N2061))</f>
        <v/>
      </c>
      <c r="C2061" s="14">
        <f>IF($N2061="","",IF(INDEX(LdBId,$N2061)="","—",INDEX(LdBId,$N2061)))</f>
        <v/>
      </c>
      <c r="D2061" s="14">
        <f>IF($N2061="","",INDEX(LdBMember,$N2061))</f>
        <v/>
      </c>
      <c r="E2061" s="14">
        <f>IF($N2061="","",IFERROR(IF(VLOOKUP(INDEX(LdBMember,$N2061),AcctTblE,4,0)="","(بدون نام)",VLOOKUP(INDEX(LdBMember,$N2061),AcctTblE,4,0)),"—"))</f>
        <v/>
      </c>
      <c r="F2061" s="16">
        <f>IF($N2061="","",IF(INDEX(LdBAmt,$N2061)=0,"",INDEX(LdBAmt,$N2061)))</f>
        <v/>
      </c>
      <c r="G2061" s="30">
        <f>IF($N2061="","",IF(INDEX(LdBNote,$N2061)="","—",INDEX(LdBNote,$N2061)))</f>
        <v/>
      </c>
      <c r="N2061">
        <f>IFERROR(MATCH($C$5&amp;"|"&amp;RIGHT("000000"&amp;41,6),LdBKeyG,0),"")</f>
        <v/>
      </c>
    </row>
    <row r="2062">
      <c r="A2062" s="19" t="n">
        <v>42</v>
      </c>
      <c r="B2062" s="20">
        <f>IF($N2062="","",INDEX(LdBDate,$N2062))</f>
        <v/>
      </c>
      <c r="C2062" s="20">
        <f>IF($N2062="","",IF(INDEX(LdBId,$N2062)="","—",INDEX(LdBId,$N2062)))</f>
        <v/>
      </c>
      <c r="D2062" s="20">
        <f>IF($N2062="","",INDEX(LdBMember,$N2062))</f>
        <v/>
      </c>
      <c r="E2062" s="20">
        <f>IF($N2062="","",IFERROR(IF(VLOOKUP(INDEX(LdBMember,$N2062),AcctTblE,4,0)="","(بدون نام)",VLOOKUP(INDEX(LdBMember,$N2062),AcctTblE,4,0)),"—"))</f>
        <v/>
      </c>
      <c r="F2062" s="21">
        <f>IF($N2062="","",IF(INDEX(LdBAmt,$N2062)=0,"",INDEX(LdBAmt,$N2062)))</f>
        <v/>
      </c>
      <c r="G2062" s="32">
        <f>IF($N2062="","",IF(INDEX(LdBNote,$N2062)="","—",INDEX(LdBNote,$N2062)))</f>
        <v/>
      </c>
      <c r="N2062">
        <f>IFERROR(MATCH($C$5&amp;"|"&amp;RIGHT("000000"&amp;42,6),LdBKeyG,0),"")</f>
        <v/>
      </c>
    </row>
    <row r="2063">
      <c r="A2063" s="10" t="n">
        <v>43</v>
      </c>
      <c r="B2063" s="14">
        <f>IF($N2063="","",INDEX(LdBDate,$N2063))</f>
        <v/>
      </c>
      <c r="C2063" s="14">
        <f>IF($N2063="","",IF(INDEX(LdBId,$N2063)="","—",INDEX(LdBId,$N2063)))</f>
        <v/>
      </c>
      <c r="D2063" s="14">
        <f>IF($N2063="","",INDEX(LdBMember,$N2063))</f>
        <v/>
      </c>
      <c r="E2063" s="14">
        <f>IF($N2063="","",IFERROR(IF(VLOOKUP(INDEX(LdBMember,$N2063),AcctTblE,4,0)="","(بدون نام)",VLOOKUP(INDEX(LdBMember,$N2063),AcctTblE,4,0)),"—"))</f>
        <v/>
      </c>
      <c r="F2063" s="16">
        <f>IF($N2063="","",IF(INDEX(LdBAmt,$N2063)=0,"",INDEX(LdBAmt,$N2063)))</f>
        <v/>
      </c>
      <c r="G2063" s="30">
        <f>IF($N2063="","",IF(INDEX(LdBNote,$N2063)="","—",INDEX(LdBNote,$N2063)))</f>
        <v/>
      </c>
      <c r="N2063">
        <f>IFERROR(MATCH($C$5&amp;"|"&amp;RIGHT("000000"&amp;43,6),LdBKeyG,0),"")</f>
        <v/>
      </c>
    </row>
    <row r="2064">
      <c r="A2064" s="19" t="n">
        <v>44</v>
      </c>
      <c r="B2064" s="20">
        <f>IF($N2064="","",INDEX(LdBDate,$N2064))</f>
        <v/>
      </c>
      <c r="C2064" s="20">
        <f>IF($N2064="","",IF(INDEX(LdBId,$N2064)="","—",INDEX(LdBId,$N2064)))</f>
        <v/>
      </c>
      <c r="D2064" s="20">
        <f>IF($N2064="","",INDEX(LdBMember,$N2064))</f>
        <v/>
      </c>
      <c r="E2064" s="20">
        <f>IF($N2064="","",IFERROR(IF(VLOOKUP(INDEX(LdBMember,$N2064),AcctTblE,4,0)="","(بدون نام)",VLOOKUP(INDEX(LdBMember,$N2064),AcctTblE,4,0)),"—"))</f>
        <v/>
      </c>
      <c r="F2064" s="21">
        <f>IF($N2064="","",IF(INDEX(LdBAmt,$N2064)=0,"",INDEX(LdBAmt,$N2064)))</f>
        <v/>
      </c>
      <c r="G2064" s="32">
        <f>IF($N2064="","",IF(INDEX(LdBNote,$N2064)="","—",INDEX(LdBNote,$N2064)))</f>
        <v/>
      </c>
      <c r="N2064">
        <f>IFERROR(MATCH($C$5&amp;"|"&amp;RIGHT("000000"&amp;44,6),LdBKeyG,0),"")</f>
        <v/>
      </c>
    </row>
    <row r="2065">
      <c r="A2065" s="10" t="n">
        <v>45</v>
      </c>
      <c r="B2065" s="14">
        <f>IF($N2065="","",INDEX(LdBDate,$N2065))</f>
        <v/>
      </c>
      <c r="C2065" s="14">
        <f>IF($N2065="","",IF(INDEX(LdBId,$N2065)="","—",INDEX(LdBId,$N2065)))</f>
        <v/>
      </c>
      <c r="D2065" s="14">
        <f>IF($N2065="","",INDEX(LdBMember,$N2065))</f>
        <v/>
      </c>
      <c r="E2065" s="14">
        <f>IF($N2065="","",IFERROR(IF(VLOOKUP(INDEX(LdBMember,$N2065),AcctTblE,4,0)="","(بدون نام)",VLOOKUP(INDEX(LdBMember,$N2065),AcctTblE,4,0)),"—"))</f>
        <v/>
      </c>
      <c r="F2065" s="16">
        <f>IF($N2065="","",IF(INDEX(LdBAmt,$N2065)=0,"",INDEX(LdBAmt,$N2065)))</f>
        <v/>
      </c>
      <c r="G2065" s="30">
        <f>IF($N2065="","",IF(INDEX(LdBNote,$N2065)="","—",INDEX(LdBNote,$N2065)))</f>
        <v/>
      </c>
      <c r="N2065">
        <f>IFERROR(MATCH($C$5&amp;"|"&amp;RIGHT("000000"&amp;45,6),LdBKeyG,0),"")</f>
        <v/>
      </c>
    </row>
    <row r="2066">
      <c r="A2066" s="19" t="n">
        <v>46</v>
      </c>
      <c r="B2066" s="20">
        <f>IF($N2066="","",INDEX(LdBDate,$N2066))</f>
        <v/>
      </c>
      <c r="C2066" s="20">
        <f>IF($N2066="","",IF(INDEX(LdBId,$N2066)="","—",INDEX(LdBId,$N2066)))</f>
        <v/>
      </c>
      <c r="D2066" s="20">
        <f>IF($N2066="","",INDEX(LdBMember,$N2066))</f>
        <v/>
      </c>
      <c r="E2066" s="20">
        <f>IF($N2066="","",IFERROR(IF(VLOOKUP(INDEX(LdBMember,$N2066),AcctTblE,4,0)="","(بدون نام)",VLOOKUP(INDEX(LdBMember,$N2066),AcctTblE,4,0)),"—"))</f>
        <v/>
      </c>
      <c r="F2066" s="21">
        <f>IF($N2066="","",IF(INDEX(LdBAmt,$N2066)=0,"",INDEX(LdBAmt,$N2066)))</f>
        <v/>
      </c>
      <c r="G2066" s="32">
        <f>IF($N2066="","",IF(INDEX(LdBNote,$N2066)="","—",INDEX(LdBNote,$N2066)))</f>
        <v/>
      </c>
      <c r="N2066">
        <f>IFERROR(MATCH($C$5&amp;"|"&amp;RIGHT("000000"&amp;46,6),LdBKeyG,0),"")</f>
        <v/>
      </c>
    </row>
    <row r="2067">
      <c r="A2067" s="10" t="n">
        <v>47</v>
      </c>
      <c r="B2067" s="14">
        <f>IF($N2067="","",INDEX(LdBDate,$N2067))</f>
        <v/>
      </c>
      <c r="C2067" s="14">
        <f>IF($N2067="","",IF(INDEX(LdBId,$N2067)="","—",INDEX(LdBId,$N2067)))</f>
        <v/>
      </c>
      <c r="D2067" s="14">
        <f>IF($N2067="","",INDEX(LdBMember,$N2067))</f>
        <v/>
      </c>
      <c r="E2067" s="14">
        <f>IF($N2067="","",IFERROR(IF(VLOOKUP(INDEX(LdBMember,$N2067),AcctTblE,4,0)="","(بدون نام)",VLOOKUP(INDEX(LdBMember,$N2067),AcctTblE,4,0)),"—"))</f>
        <v/>
      </c>
      <c r="F2067" s="16">
        <f>IF($N2067="","",IF(INDEX(LdBAmt,$N2067)=0,"",INDEX(LdBAmt,$N2067)))</f>
        <v/>
      </c>
      <c r="G2067" s="30">
        <f>IF($N2067="","",IF(INDEX(LdBNote,$N2067)="","—",INDEX(LdBNote,$N2067)))</f>
        <v/>
      </c>
      <c r="N2067">
        <f>IFERROR(MATCH($C$5&amp;"|"&amp;RIGHT("000000"&amp;47,6),LdBKeyG,0),"")</f>
        <v/>
      </c>
    </row>
    <row r="2068">
      <c r="A2068" s="19" t="n">
        <v>48</v>
      </c>
      <c r="B2068" s="20">
        <f>IF($N2068="","",INDEX(LdBDate,$N2068))</f>
        <v/>
      </c>
      <c r="C2068" s="20">
        <f>IF($N2068="","",IF(INDEX(LdBId,$N2068)="","—",INDEX(LdBId,$N2068)))</f>
        <v/>
      </c>
      <c r="D2068" s="20">
        <f>IF($N2068="","",INDEX(LdBMember,$N2068))</f>
        <v/>
      </c>
      <c r="E2068" s="20">
        <f>IF($N2068="","",IFERROR(IF(VLOOKUP(INDEX(LdBMember,$N2068),AcctTblE,4,0)="","(بدون نام)",VLOOKUP(INDEX(LdBMember,$N2068),AcctTblE,4,0)),"—"))</f>
        <v/>
      </c>
      <c r="F2068" s="21">
        <f>IF($N2068="","",IF(INDEX(LdBAmt,$N2068)=0,"",INDEX(LdBAmt,$N2068)))</f>
        <v/>
      </c>
      <c r="G2068" s="32">
        <f>IF($N2068="","",IF(INDEX(LdBNote,$N2068)="","—",INDEX(LdBNote,$N2068)))</f>
        <v/>
      </c>
      <c r="N2068">
        <f>IFERROR(MATCH($C$5&amp;"|"&amp;RIGHT("000000"&amp;48,6),LdBKeyG,0),"")</f>
        <v/>
      </c>
    </row>
    <row r="2069">
      <c r="A2069" s="10" t="n">
        <v>49</v>
      </c>
      <c r="B2069" s="14">
        <f>IF($N2069="","",INDEX(LdBDate,$N2069))</f>
        <v/>
      </c>
      <c r="C2069" s="14">
        <f>IF($N2069="","",IF(INDEX(LdBId,$N2069)="","—",INDEX(LdBId,$N2069)))</f>
        <v/>
      </c>
      <c r="D2069" s="14">
        <f>IF($N2069="","",INDEX(LdBMember,$N2069))</f>
        <v/>
      </c>
      <c r="E2069" s="14">
        <f>IF($N2069="","",IFERROR(IF(VLOOKUP(INDEX(LdBMember,$N2069),AcctTblE,4,0)="","(بدون نام)",VLOOKUP(INDEX(LdBMember,$N2069),AcctTblE,4,0)),"—"))</f>
        <v/>
      </c>
      <c r="F2069" s="16">
        <f>IF($N2069="","",IF(INDEX(LdBAmt,$N2069)=0,"",INDEX(LdBAmt,$N2069)))</f>
        <v/>
      </c>
      <c r="G2069" s="30">
        <f>IF($N2069="","",IF(INDEX(LdBNote,$N2069)="","—",INDEX(LdBNote,$N2069)))</f>
        <v/>
      </c>
      <c r="N2069">
        <f>IFERROR(MATCH($C$5&amp;"|"&amp;RIGHT("000000"&amp;49,6),LdBKeyG,0),"")</f>
        <v/>
      </c>
    </row>
    <row r="2070">
      <c r="A2070" s="19" t="n">
        <v>50</v>
      </c>
      <c r="B2070" s="20">
        <f>IF($N2070="","",INDEX(LdBDate,$N2070))</f>
        <v/>
      </c>
      <c r="C2070" s="20">
        <f>IF($N2070="","",IF(INDEX(LdBId,$N2070)="","—",INDEX(LdBId,$N2070)))</f>
        <v/>
      </c>
      <c r="D2070" s="20">
        <f>IF($N2070="","",INDEX(LdBMember,$N2070))</f>
        <v/>
      </c>
      <c r="E2070" s="20">
        <f>IF($N2070="","",IFERROR(IF(VLOOKUP(INDEX(LdBMember,$N2070),AcctTblE,4,0)="","(بدون نام)",VLOOKUP(INDEX(LdBMember,$N2070),AcctTblE,4,0)),"—"))</f>
        <v/>
      </c>
      <c r="F2070" s="21">
        <f>IF($N2070="","",IF(INDEX(LdBAmt,$N2070)=0,"",INDEX(LdBAmt,$N2070)))</f>
        <v/>
      </c>
      <c r="G2070" s="32">
        <f>IF($N2070="","",IF(INDEX(LdBNote,$N2070)="","—",INDEX(LdBNote,$N2070)))</f>
        <v/>
      </c>
      <c r="N2070">
        <f>IFERROR(MATCH($C$5&amp;"|"&amp;RIGHT("000000"&amp;50,6),LdBKeyG,0),"")</f>
        <v/>
      </c>
    </row>
    <row r="2071">
      <c r="A2071" s="10" t="n">
        <v>51</v>
      </c>
      <c r="B2071" s="14">
        <f>IF($N2071="","",INDEX(LdBDate,$N2071))</f>
        <v/>
      </c>
      <c r="C2071" s="14">
        <f>IF($N2071="","",IF(INDEX(LdBId,$N2071)="","—",INDEX(LdBId,$N2071)))</f>
        <v/>
      </c>
      <c r="D2071" s="14">
        <f>IF($N2071="","",INDEX(LdBMember,$N2071))</f>
        <v/>
      </c>
      <c r="E2071" s="14">
        <f>IF($N2071="","",IFERROR(IF(VLOOKUP(INDEX(LdBMember,$N2071),AcctTblE,4,0)="","(بدون نام)",VLOOKUP(INDEX(LdBMember,$N2071),AcctTblE,4,0)),"—"))</f>
        <v/>
      </c>
      <c r="F2071" s="16">
        <f>IF($N2071="","",IF(INDEX(LdBAmt,$N2071)=0,"",INDEX(LdBAmt,$N2071)))</f>
        <v/>
      </c>
      <c r="G2071" s="30">
        <f>IF($N2071="","",IF(INDEX(LdBNote,$N2071)="","—",INDEX(LdBNote,$N2071)))</f>
        <v/>
      </c>
      <c r="N2071">
        <f>IFERROR(MATCH($C$5&amp;"|"&amp;RIGHT("000000"&amp;51,6),LdBKeyG,0),"")</f>
        <v/>
      </c>
    </row>
    <row r="2072">
      <c r="A2072" s="19" t="n">
        <v>52</v>
      </c>
      <c r="B2072" s="20">
        <f>IF($N2072="","",INDEX(LdBDate,$N2072))</f>
        <v/>
      </c>
      <c r="C2072" s="20">
        <f>IF($N2072="","",IF(INDEX(LdBId,$N2072)="","—",INDEX(LdBId,$N2072)))</f>
        <v/>
      </c>
      <c r="D2072" s="20">
        <f>IF($N2072="","",INDEX(LdBMember,$N2072))</f>
        <v/>
      </c>
      <c r="E2072" s="20">
        <f>IF($N2072="","",IFERROR(IF(VLOOKUP(INDEX(LdBMember,$N2072),AcctTblE,4,0)="","(بدون نام)",VLOOKUP(INDEX(LdBMember,$N2072),AcctTblE,4,0)),"—"))</f>
        <v/>
      </c>
      <c r="F2072" s="21">
        <f>IF($N2072="","",IF(INDEX(LdBAmt,$N2072)=0,"",INDEX(LdBAmt,$N2072)))</f>
        <v/>
      </c>
      <c r="G2072" s="32">
        <f>IF($N2072="","",IF(INDEX(LdBNote,$N2072)="","—",INDEX(LdBNote,$N2072)))</f>
        <v/>
      </c>
      <c r="N2072">
        <f>IFERROR(MATCH($C$5&amp;"|"&amp;RIGHT("000000"&amp;52,6),LdBKeyG,0),"")</f>
        <v/>
      </c>
    </row>
    <row r="2073">
      <c r="A2073" s="10" t="n">
        <v>53</v>
      </c>
      <c r="B2073" s="14">
        <f>IF($N2073="","",INDEX(LdBDate,$N2073))</f>
        <v/>
      </c>
      <c r="C2073" s="14">
        <f>IF($N2073="","",IF(INDEX(LdBId,$N2073)="","—",INDEX(LdBId,$N2073)))</f>
        <v/>
      </c>
      <c r="D2073" s="14">
        <f>IF($N2073="","",INDEX(LdBMember,$N2073))</f>
        <v/>
      </c>
      <c r="E2073" s="14">
        <f>IF($N2073="","",IFERROR(IF(VLOOKUP(INDEX(LdBMember,$N2073),AcctTblE,4,0)="","(بدون نام)",VLOOKUP(INDEX(LdBMember,$N2073),AcctTblE,4,0)),"—"))</f>
        <v/>
      </c>
      <c r="F2073" s="16">
        <f>IF($N2073="","",IF(INDEX(LdBAmt,$N2073)=0,"",INDEX(LdBAmt,$N2073)))</f>
        <v/>
      </c>
      <c r="G2073" s="30">
        <f>IF($N2073="","",IF(INDEX(LdBNote,$N2073)="","—",INDEX(LdBNote,$N2073)))</f>
        <v/>
      </c>
      <c r="N2073">
        <f>IFERROR(MATCH($C$5&amp;"|"&amp;RIGHT("000000"&amp;53,6),LdBKeyG,0),"")</f>
        <v/>
      </c>
    </row>
    <row r="2074">
      <c r="A2074" s="19" t="n">
        <v>54</v>
      </c>
      <c r="B2074" s="20">
        <f>IF($N2074="","",INDEX(LdBDate,$N2074))</f>
        <v/>
      </c>
      <c r="C2074" s="20">
        <f>IF($N2074="","",IF(INDEX(LdBId,$N2074)="","—",INDEX(LdBId,$N2074)))</f>
        <v/>
      </c>
      <c r="D2074" s="20">
        <f>IF($N2074="","",INDEX(LdBMember,$N2074))</f>
        <v/>
      </c>
      <c r="E2074" s="20">
        <f>IF($N2074="","",IFERROR(IF(VLOOKUP(INDEX(LdBMember,$N2074),AcctTblE,4,0)="","(بدون نام)",VLOOKUP(INDEX(LdBMember,$N2074),AcctTblE,4,0)),"—"))</f>
        <v/>
      </c>
      <c r="F2074" s="21">
        <f>IF($N2074="","",IF(INDEX(LdBAmt,$N2074)=0,"",INDEX(LdBAmt,$N2074)))</f>
        <v/>
      </c>
      <c r="G2074" s="32">
        <f>IF($N2074="","",IF(INDEX(LdBNote,$N2074)="","—",INDEX(LdBNote,$N2074)))</f>
        <v/>
      </c>
      <c r="N2074">
        <f>IFERROR(MATCH($C$5&amp;"|"&amp;RIGHT("000000"&amp;54,6),LdBKeyG,0),"")</f>
        <v/>
      </c>
    </row>
    <row r="2075">
      <c r="A2075" s="10" t="n">
        <v>55</v>
      </c>
      <c r="B2075" s="14">
        <f>IF($N2075="","",INDEX(LdBDate,$N2075))</f>
        <v/>
      </c>
      <c r="C2075" s="14">
        <f>IF($N2075="","",IF(INDEX(LdBId,$N2075)="","—",INDEX(LdBId,$N2075)))</f>
        <v/>
      </c>
      <c r="D2075" s="14">
        <f>IF($N2075="","",INDEX(LdBMember,$N2075))</f>
        <v/>
      </c>
      <c r="E2075" s="14">
        <f>IF($N2075="","",IFERROR(IF(VLOOKUP(INDEX(LdBMember,$N2075),AcctTblE,4,0)="","(بدون نام)",VLOOKUP(INDEX(LdBMember,$N2075),AcctTblE,4,0)),"—"))</f>
        <v/>
      </c>
      <c r="F2075" s="16">
        <f>IF($N2075="","",IF(INDEX(LdBAmt,$N2075)=0,"",INDEX(LdBAmt,$N2075)))</f>
        <v/>
      </c>
      <c r="G2075" s="30">
        <f>IF($N2075="","",IF(INDEX(LdBNote,$N2075)="","—",INDEX(LdBNote,$N2075)))</f>
        <v/>
      </c>
      <c r="N2075">
        <f>IFERROR(MATCH($C$5&amp;"|"&amp;RIGHT("000000"&amp;55,6),LdBKeyG,0),"")</f>
        <v/>
      </c>
    </row>
    <row r="2076">
      <c r="A2076" s="19" t="n">
        <v>56</v>
      </c>
      <c r="B2076" s="20">
        <f>IF($N2076="","",INDEX(LdBDate,$N2076))</f>
        <v/>
      </c>
      <c r="C2076" s="20">
        <f>IF($N2076="","",IF(INDEX(LdBId,$N2076)="","—",INDEX(LdBId,$N2076)))</f>
        <v/>
      </c>
      <c r="D2076" s="20">
        <f>IF($N2076="","",INDEX(LdBMember,$N2076))</f>
        <v/>
      </c>
      <c r="E2076" s="20">
        <f>IF($N2076="","",IFERROR(IF(VLOOKUP(INDEX(LdBMember,$N2076),AcctTblE,4,0)="","(بدون نام)",VLOOKUP(INDEX(LdBMember,$N2076),AcctTblE,4,0)),"—"))</f>
        <v/>
      </c>
      <c r="F2076" s="21">
        <f>IF($N2076="","",IF(INDEX(LdBAmt,$N2076)=0,"",INDEX(LdBAmt,$N2076)))</f>
        <v/>
      </c>
      <c r="G2076" s="32">
        <f>IF($N2076="","",IF(INDEX(LdBNote,$N2076)="","—",INDEX(LdBNote,$N2076)))</f>
        <v/>
      </c>
      <c r="N2076">
        <f>IFERROR(MATCH($C$5&amp;"|"&amp;RIGHT("000000"&amp;56,6),LdBKeyG,0),"")</f>
        <v/>
      </c>
    </row>
    <row r="2077">
      <c r="A2077" s="10" t="n">
        <v>57</v>
      </c>
      <c r="B2077" s="14">
        <f>IF($N2077="","",INDEX(LdBDate,$N2077))</f>
        <v/>
      </c>
      <c r="C2077" s="14">
        <f>IF($N2077="","",IF(INDEX(LdBId,$N2077)="","—",INDEX(LdBId,$N2077)))</f>
        <v/>
      </c>
      <c r="D2077" s="14">
        <f>IF($N2077="","",INDEX(LdBMember,$N2077))</f>
        <v/>
      </c>
      <c r="E2077" s="14">
        <f>IF($N2077="","",IFERROR(IF(VLOOKUP(INDEX(LdBMember,$N2077),AcctTblE,4,0)="","(بدون نام)",VLOOKUP(INDEX(LdBMember,$N2077),AcctTblE,4,0)),"—"))</f>
        <v/>
      </c>
      <c r="F2077" s="16">
        <f>IF($N2077="","",IF(INDEX(LdBAmt,$N2077)=0,"",INDEX(LdBAmt,$N2077)))</f>
        <v/>
      </c>
      <c r="G2077" s="30">
        <f>IF($N2077="","",IF(INDEX(LdBNote,$N2077)="","—",INDEX(LdBNote,$N2077)))</f>
        <v/>
      </c>
      <c r="N2077">
        <f>IFERROR(MATCH($C$5&amp;"|"&amp;RIGHT("000000"&amp;57,6),LdBKeyG,0),"")</f>
        <v/>
      </c>
    </row>
    <row r="2078">
      <c r="A2078" s="19" t="n">
        <v>58</v>
      </c>
      <c r="B2078" s="20">
        <f>IF($N2078="","",INDEX(LdBDate,$N2078))</f>
        <v/>
      </c>
      <c r="C2078" s="20">
        <f>IF($N2078="","",IF(INDEX(LdBId,$N2078)="","—",INDEX(LdBId,$N2078)))</f>
        <v/>
      </c>
      <c r="D2078" s="20">
        <f>IF($N2078="","",INDEX(LdBMember,$N2078))</f>
        <v/>
      </c>
      <c r="E2078" s="20">
        <f>IF($N2078="","",IFERROR(IF(VLOOKUP(INDEX(LdBMember,$N2078),AcctTblE,4,0)="","(بدون نام)",VLOOKUP(INDEX(LdBMember,$N2078),AcctTblE,4,0)),"—"))</f>
        <v/>
      </c>
      <c r="F2078" s="21">
        <f>IF($N2078="","",IF(INDEX(LdBAmt,$N2078)=0,"",INDEX(LdBAmt,$N2078)))</f>
        <v/>
      </c>
      <c r="G2078" s="32">
        <f>IF($N2078="","",IF(INDEX(LdBNote,$N2078)="","—",INDEX(LdBNote,$N2078)))</f>
        <v/>
      </c>
      <c r="N2078">
        <f>IFERROR(MATCH($C$5&amp;"|"&amp;RIGHT("000000"&amp;58,6),LdBKeyG,0),"")</f>
        <v/>
      </c>
    </row>
    <row r="2079">
      <c r="A2079" s="10" t="n">
        <v>59</v>
      </c>
      <c r="B2079" s="14">
        <f>IF($N2079="","",INDEX(LdBDate,$N2079))</f>
        <v/>
      </c>
      <c r="C2079" s="14">
        <f>IF($N2079="","",IF(INDEX(LdBId,$N2079)="","—",INDEX(LdBId,$N2079)))</f>
        <v/>
      </c>
      <c r="D2079" s="14">
        <f>IF($N2079="","",INDEX(LdBMember,$N2079))</f>
        <v/>
      </c>
      <c r="E2079" s="14">
        <f>IF($N2079="","",IFERROR(IF(VLOOKUP(INDEX(LdBMember,$N2079),AcctTblE,4,0)="","(بدون نام)",VLOOKUP(INDEX(LdBMember,$N2079),AcctTblE,4,0)),"—"))</f>
        <v/>
      </c>
      <c r="F2079" s="16">
        <f>IF($N2079="","",IF(INDEX(LdBAmt,$N2079)=0,"",INDEX(LdBAmt,$N2079)))</f>
        <v/>
      </c>
      <c r="G2079" s="30">
        <f>IF($N2079="","",IF(INDEX(LdBNote,$N2079)="","—",INDEX(LdBNote,$N2079)))</f>
        <v/>
      </c>
      <c r="N2079">
        <f>IFERROR(MATCH($C$5&amp;"|"&amp;RIGHT("000000"&amp;59,6),LdBKeyG,0),"")</f>
        <v/>
      </c>
    </row>
    <row r="2080">
      <c r="A2080" s="19" t="n">
        <v>60</v>
      </c>
      <c r="B2080" s="20">
        <f>IF($N2080="","",INDEX(LdBDate,$N2080))</f>
        <v/>
      </c>
      <c r="C2080" s="20">
        <f>IF($N2080="","",IF(INDEX(LdBId,$N2080)="","—",INDEX(LdBId,$N2080)))</f>
        <v/>
      </c>
      <c r="D2080" s="20">
        <f>IF($N2080="","",INDEX(LdBMember,$N2080))</f>
        <v/>
      </c>
      <c r="E2080" s="20">
        <f>IF($N2080="","",IFERROR(IF(VLOOKUP(INDEX(LdBMember,$N2080),AcctTblE,4,0)="","(بدون نام)",VLOOKUP(INDEX(LdBMember,$N2080),AcctTblE,4,0)),"—"))</f>
        <v/>
      </c>
      <c r="F2080" s="21">
        <f>IF($N2080="","",IF(INDEX(LdBAmt,$N2080)=0,"",INDEX(LdBAmt,$N2080)))</f>
        <v/>
      </c>
      <c r="G2080" s="32">
        <f>IF($N2080="","",IF(INDEX(LdBNote,$N2080)="","—",INDEX(LdBNote,$N2080)))</f>
        <v/>
      </c>
      <c r="N2080">
        <f>IFERROR(MATCH($C$5&amp;"|"&amp;RIGHT("000000"&amp;60,6),LdBKeyG,0),"")</f>
        <v/>
      </c>
    </row>
    <row r="2081">
      <c r="A2081" s="10" t="n">
        <v>61</v>
      </c>
      <c r="B2081" s="14">
        <f>IF($N2081="","",INDEX(LdBDate,$N2081))</f>
        <v/>
      </c>
      <c r="C2081" s="14">
        <f>IF($N2081="","",IF(INDEX(LdBId,$N2081)="","—",INDEX(LdBId,$N2081)))</f>
        <v/>
      </c>
      <c r="D2081" s="14">
        <f>IF($N2081="","",INDEX(LdBMember,$N2081))</f>
        <v/>
      </c>
      <c r="E2081" s="14">
        <f>IF($N2081="","",IFERROR(IF(VLOOKUP(INDEX(LdBMember,$N2081),AcctTblE,4,0)="","(بدون نام)",VLOOKUP(INDEX(LdBMember,$N2081),AcctTblE,4,0)),"—"))</f>
        <v/>
      </c>
      <c r="F2081" s="16">
        <f>IF($N2081="","",IF(INDEX(LdBAmt,$N2081)=0,"",INDEX(LdBAmt,$N2081)))</f>
        <v/>
      </c>
      <c r="G2081" s="30">
        <f>IF($N2081="","",IF(INDEX(LdBNote,$N2081)="","—",INDEX(LdBNote,$N2081)))</f>
        <v/>
      </c>
      <c r="N2081">
        <f>IFERROR(MATCH($C$5&amp;"|"&amp;RIGHT("000000"&amp;61,6),LdBKeyG,0),"")</f>
        <v/>
      </c>
    </row>
    <row r="2082">
      <c r="A2082" s="19" t="n">
        <v>62</v>
      </c>
      <c r="B2082" s="20">
        <f>IF($N2082="","",INDEX(LdBDate,$N2082))</f>
        <v/>
      </c>
      <c r="C2082" s="20">
        <f>IF($N2082="","",IF(INDEX(LdBId,$N2082)="","—",INDEX(LdBId,$N2082)))</f>
        <v/>
      </c>
      <c r="D2082" s="20">
        <f>IF($N2082="","",INDEX(LdBMember,$N2082))</f>
        <v/>
      </c>
      <c r="E2082" s="20">
        <f>IF($N2082="","",IFERROR(IF(VLOOKUP(INDEX(LdBMember,$N2082),AcctTblE,4,0)="","(بدون نام)",VLOOKUP(INDEX(LdBMember,$N2082),AcctTblE,4,0)),"—"))</f>
        <v/>
      </c>
      <c r="F2082" s="21">
        <f>IF($N2082="","",IF(INDEX(LdBAmt,$N2082)=0,"",INDEX(LdBAmt,$N2082)))</f>
        <v/>
      </c>
      <c r="G2082" s="32">
        <f>IF($N2082="","",IF(INDEX(LdBNote,$N2082)="","—",INDEX(LdBNote,$N2082)))</f>
        <v/>
      </c>
      <c r="N2082">
        <f>IFERROR(MATCH($C$5&amp;"|"&amp;RIGHT("000000"&amp;62,6),LdBKeyG,0),"")</f>
        <v/>
      </c>
    </row>
    <row r="2083">
      <c r="A2083" s="10" t="n">
        <v>63</v>
      </c>
      <c r="B2083" s="14">
        <f>IF($N2083="","",INDEX(LdBDate,$N2083))</f>
        <v/>
      </c>
      <c r="C2083" s="14">
        <f>IF($N2083="","",IF(INDEX(LdBId,$N2083)="","—",INDEX(LdBId,$N2083)))</f>
        <v/>
      </c>
      <c r="D2083" s="14">
        <f>IF($N2083="","",INDEX(LdBMember,$N2083))</f>
        <v/>
      </c>
      <c r="E2083" s="14">
        <f>IF($N2083="","",IFERROR(IF(VLOOKUP(INDEX(LdBMember,$N2083),AcctTblE,4,0)="","(بدون نام)",VLOOKUP(INDEX(LdBMember,$N2083),AcctTblE,4,0)),"—"))</f>
        <v/>
      </c>
      <c r="F2083" s="16">
        <f>IF($N2083="","",IF(INDEX(LdBAmt,$N2083)=0,"",INDEX(LdBAmt,$N2083)))</f>
        <v/>
      </c>
      <c r="G2083" s="30">
        <f>IF($N2083="","",IF(INDEX(LdBNote,$N2083)="","—",INDEX(LdBNote,$N2083)))</f>
        <v/>
      </c>
      <c r="N2083">
        <f>IFERROR(MATCH($C$5&amp;"|"&amp;RIGHT("000000"&amp;63,6),LdBKeyG,0),"")</f>
        <v/>
      </c>
    </row>
    <row r="2084">
      <c r="A2084" s="19" t="n">
        <v>64</v>
      </c>
      <c r="B2084" s="20">
        <f>IF($N2084="","",INDEX(LdBDate,$N2084))</f>
        <v/>
      </c>
      <c r="C2084" s="20">
        <f>IF($N2084="","",IF(INDEX(LdBId,$N2084)="","—",INDEX(LdBId,$N2084)))</f>
        <v/>
      </c>
      <c r="D2084" s="20">
        <f>IF($N2084="","",INDEX(LdBMember,$N2084))</f>
        <v/>
      </c>
      <c r="E2084" s="20">
        <f>IF($N2084="","",IFERROR(IF(VLOOKUP(INDEX(LdBMember,$N2084),AcctTblE,4,0)="","(بدون نام)",VLOOKUP(INDEX(LdBMember,$N2084),AcctTblE,4,0)),"—"))</f>
        <v/>
      </c>
      <c r="F2084" s="21">
        <f>IF($N2084="","",IF(INDEX(LdBAmt,$N2084)=0,"",INDEX(LdBAmt,$N2084)))</f>
        <v/>
      </c>
      <c r="G2084" s="32">
        <f>IF($N2084="","",IF(INDEX(LdBNote,$N2084)="","—",INDEX(LdBNote,$N2084)))</f>
        <v/>
      </c>
      <c r="N2084">
        <f>IFERROR(MATCH($C$5&amp;"|"&amp;RIGHT("000000"&amp;64,6),LdBKeyG,0),"")</f>
        <v/>
      </c>
    </row>
    <row r="2085">
      <c r="A2085" s="10" t="n">
        <v>65</v>
      </c>
      <c r="B2085" s="14">
        <f>IF($N2085="","",INDEX(LdBDate,$N2085))</f>
        <v/>
      </c>
      <c r="C2085" s="14">
        <f>IF($N2085="","",IF(INDEX(LdBId,$N2085)="","—",INDEX(LdBId,$N2085)))</f>
        <v/>
      </c>
      <c r="D2085" s="14">
        <f>IF($N2085="","",INDEX(LdBMember,$N2085))</f>
        <v/>
      </c>
      <c r="E2085" s="14">
        <f>IF($N2085="","",IFERROR(IF(VLOOKUP(INDEX(LdBMember,$N2085),AcctTblE,4,0)="","(بدون نام)",VLOOKUP(INDEX(LdBMember,$N2085),AcctTblE,4,0)),"—"))</f>
        <v/>
      </c>
      <c r="F2085" s="16">
        <f>IF($N2085="","",IF(INDEX(LdBAmt,$N2085)=0,"",INDEX(LdBAmt,$N2085)))</f>
        <v/>
      </c>
      <c r="G2085" s="30">
        <f>IF($N2085="","",IF(INDEX(LdBNote,$N2085)="","—",INDEX(LdBNote,$N2085)))</f>
        <v/>
      </c>
      <c r="N2085">
        <f>IFERROR(MATCH($C$5&amp;"|"&amp;RIGHT("000000"&amp;65,6),LdBKeyG,0),"")</f>
        <v/>
      </c>
    </row>
    <row r="2086">
      <c r="A2086" s="19" t="n">
        <v>66</v>
      </c>
      <c r="B2086" s="20">
        <f>IF($N2086="","",INDEX(LdBDate,$N2086))</f>
        <v/>
      </c>
      <c r="C2086" s="20">
        <f>IF($N2086="","",IF(INDEX(LdBId,$N2086)="","—",INDEX(LdBId,$N2086)))</f>
        <v/>
      </c>
      <c r="D2086" s="20">
        <f>IF($N2086="","",INDEX(LdBMember,$N2086))</f>
        <v/>
      </c>
      <c r="E2086" s="20">
        <f>IF($N2086="","",IFERROR(IF(VLOOKUP(INDEX(LdBMember,$N2086),AcctTblE,4,0)="","(بدون نام)",VLOOKUP(INDEX(LdBMember,$N2086),AcctTblE,4,0)),"—"))</f>
        <v/>
      </c>
      <c r="F2086" s="21">
        <f>IF($N2086="","",IF(INDEX(LdBAmt,$N2086)=0,"",INDEX(LdBAmt,$N2086)))</f>
        <v/>
      </c>
      <c r="G2086" s="32">
        <f>IF($N2086="","",IF(INDEX(LdBNote,$N2086)="","—",INDEX(LdBNote,$N2086)))</f>
        <v/>
      </c>
      <c r="N2086">
        <f>IFERROR(MATCH($C$5&amp;"|"&amp;RIGHT("000000"&amp;66,6),LdBKeyG,0),"")</f>
        <v/>
      </c>
    </row>
    <row r="2087">
      <c r="A2087" s="10" t="n">
        <v>67</v>
      </c>
      <c r="B2087" s="14">
        <f>IF($N2087="","",INDEX(LdBDate,$N2087))</f>
        <v/>
      </c>
      <c r="C2087" s="14">
        <f>IF($N2087="","",IF(INDEX(LdBId,$N2087)="","—",INDEX(LdBId,$N2087)))</f>
        <v/>
      </c>
      <c r="D2087" s="14">
        <f>IF($N2087="","",INDEX(LdBMember,$N2087))</f>
        <v/>
      </c>
      <c r="E2087" s="14">
        <f>IF($N2087="","",IFERROR(IF(VLOOKUP(INDEX(LdBMember,$N2087),AcctTblE,4,0)="","(بدون نام)",VLOOKUP(INDEX(LdBMember,$N2087),AcctTblE,4,0)),"—"))</f>
        <v/>
      </c>
      <c r="F2087" s="16">
        <f>IF($N2087="","",IF(INDEX(LdBAmt,$N2087)=0,"",INDEX(LdBAmt,$N2087)))</f>
        <v/>
      </c>
      <c r="G2087" s="30">
        <f>IF($N2087="","",IF(INDEX(LdBNote,$N2087)="","—",INDEX(LdBNote,$N2087)))</f>
        <v/>
      </c>
      <c r="N2087">
        <f>IFERROR(MATCH($C$5&amp;"|"&amp;RIGHT("000000"&amp;67,6),LdBKeyG,0),"")</f>
        <v/>
      </c>
    </row>
    <row r="2088">
      <c r="A2088" s="19" t="n">
        <v>68</v>
      </c>
      <c r="B2088" s="20">
        <f>IF($N2088="","",INDEX(LdBDate,$N2088))</f>
        <v/>
      </c>
      <c r="C2088" s="20">
        <f>IF($N2088="","",IF(INDEX(LdBId,$N2088)="","—",INDEX(LdBId,$N2088)))</f>
        <v/>
      </c>
      <c r="D2088" s="20">
        <f>IF($N2088="","",INDEX(LdBMember,$N2088))</f>
        <v/>
      </c>
      <c r="E2088" s="20">
        <f>IF($N2088="","",IFERROR(IF(VLOOKUP(INDEX(LdBMember,$N2088),AcctTblE,4,0)="","(بدون نام)",VLOOKUP(INDEX(LdBMember,$N2088),AcctTblE,4,0)),"—"))</f>
        <v/>
      </c>
      <c r="F2088" s="21">
        <f>IF($N2088="","",IF(INDEX(LdBAmt,$N2088)=0,"",INDEX(LdBAmt,$N2088)))</f>
        <v/>
      </c>
      <c r="G2088" s="32">
        <f>IF($N2088="","",IF(INDEX(LdBNote,$N2088)="","—",INDEX(LdBNote,$N2088)))</f>
        <v/>
      </c>
      <c r="N2088">
        <f>IFERROR(MATCH($C$5&amp;"|"&amp;RIGHT("000000"&amp;68,6),LdBKeyG,0),"")</f>
        <v/>
      </c>
    </row>
    <row r="2089">
      <c r="A2089" s="10" t="n">
        <v>69</v>
      </c>
      <c r="B2089" s="14">
        <f>IF($N2089="","",INDEX(LdBDate,$N2089))</f>
        <v/>
      </c>
      <c r="C2089" s="14">
        <f>IF($N2089="","",IF(INDEX(LdBId,$N2089)="","—",INDEX(LdBId,$N2089)))</f>
        <v/>
      </c>
      <c r="D2089" s="14">
        <f>IF($N2089="","",INDEX(LdBMember,$N2089))</f>
        <v/>
      </c>
      <c r="E2089" s="14">
        <f>IF($N2089="","",IFERROR(IF(VLOOKUP(INDEX(LdBMember,$N2089),AcctTblE,4,0)="","(بدون نام)",VLOOKUP(INDEX(LdBMember,$N2089),AcctTblE,4,0)),"—"))</f>
        <v/>
      </c>
      <c r="F2089" s="16">
        <f>IF($N2089="","",IF(INDEX(LdBAmt,$N2089)=0,"",INDEX(LdBAmt,$N2089)))</f>
        <v/>
      </c>
      <c r="G2089" s="30">
        <f>IF($N2089="","",IF(INDEX(LdBNote,$N2089)="","—",INDEX(LdBNote,$N2089)))</f>
        <v/>
      </c>
      <c r="N2089">
        <f>IFERROR(MATCH($C$5&amp;"|"&amp;RIGHT("000000"&amp;69,6),LdBKeyG,0),"")</f>
        <v/>
      </c>
    </row>
    <row r="2090">
      <c r="A2090" s="19" t="n">
        <v>70</v>
      </c>
      <c r="B2090" s="20">
        <f>IF($N2090="","",INDEX(LdBDate,$N2090))</f>
        <v/>
      </c>
      <c r="C2090" s="20">
        <f>IF($N2090="","",IF(INDEX(LdBId,$N2090)="","—",INDEX(LdBId,$N2090)))</f>
        <v/>
      </c>
      <c r="D2090" s="20">
        <f>IF($N2090="","",INDEX(LdBMember,$N2090))</f>
        <v/>
      </c>
      <c r="E2090" s="20">
        <f>IF($N2090="","",IFERROR(IF(VLOOKUP(INDEX(LdBMember,$N2090),AcctTblE,4,0)="","(بدون نام)",VLOOKUP(INDEX(LdBMember,$N2090),AcctTblE,4,0)),"—"))</f>
        <v/>
      </c>
      <c r="F2090" s="21">
        <f>IF($N2090="","",IF(INDEX(LdBAmt,$N2090)=0,"",INDEX(LdBAmt,$N2090)))</f>
        <v/>
      </c>
      <c r="G2090" s="32">
        <f>IF($N2090="","",IF(INDEX(LdBNote,$N2090)="","—",INDEX(LdBNote,$N2090)))</f>
        <v/>
      </c>
      <c r="N2090">
        <f>IFERROR(MATCH($C$5&amp;"|"&amp;RIGHT("000000"&amp;70,6),LdBKeyG,0),"")</f>
        <v/>
      </c>
    </row>
    <row r="2091">
      <c r="A2091" s="10" t="n">
        <v>71</v>
      </c>
      <c r="B2091" s="14">
        <f>IF($N2091="","",INDEX(LdBDate,$N2091))</f>
        <v/>
      </c>
      <c r="C2091" s="14">
        <f>IF($N2091="","",IF(INDEX(LdBId,$N2091)="","—",INDEX(LdBId,$N2091)))</f>
        <v/>
      </c>
      <c r="D2091" s="14">
        <f>IF($N2091="","",INDEX(LdBMember,$N2091))</f>
        <v/>
      </c>
      <c r="E2091" s="14">
        <f>IF($N2091="","",IFERROR(IF(VLOOKUP(INDEX(LdBMember,$N2091),AcctTblE,4,0)="","(بدون نام)",VLOOKUP(INDEX(LdBMember,$N2091),AcctTblE,4,0)),"—"))</f>
        <v/>
      </c>
      <c r="F2091" s="16">
        <f>IF($N2091="","",IF(INDEX(LdBAmt,$N2091)=0,"",INDEX(LdBAmt,$N2091)))</f>
        <v/>
      </c>
      <c r="G2091" s="30">
        <f>IF($N2091="","",IF(INDEX(LdBNote,$N2091)="","—",INDEX(LdBNote,$N2091)))</f>
        <v/>
      </c>
      <c r="N2091">
        <f>IFERROR(MATCH($C$5&amp;"|"&amp;RIGHT("000000"&amp;71,6),LdBKeyG,0),"")</f>
        <v/>
      </c>
    </row>
    <row r="2092">
      <c r="A2092" s="19" t="n">
        <v>72</v>
      </c>
      <c r="B2092" s="20">
        <f>IF($N2092="","",INDEX(LdBDate,$N2092))</f>
        <v/>
      </c>
      <c r="C2092" s="20">
        <f>IF($N2092="","",IF(INDEX(LdBId,$N2092)="","—",INDEX(LdBId,$N2092)))</f>
        <v/>
      </c>
      <c r="D2092" s="20">
        <f>IF($N2092="","",INDEX(LdBMember,$N2092))</f>
        <v/>
      </c>
      <c r="E2092" s="20">
        <f>IF($N2092="","",IFERROR(IF(VLOOKUP(INDEX(LdBMember,$N2092),AcctTblE,4,0)="","(بدون نام)",VLOOKUP(INDEX(LdBMember,$N2092),AcctTblE,4,0)),"—"))</f>
        <v/>
      </c>
      <c r="F2092" s="21">
        <f>IF($N2092="","",IF(INDEX(LdBAmt,$N2092)=0,"",INDEX(LdBAmt,$N2092)))</f>
        <v/>
      </c>
      <c r="G2092" s="32">
        <f>IF($N2092="","",IF(INDEX(LdBNote,$N2092)="","—",INDEX(LdBNote,$N2092)))</f>
        <v/>
      </c>
      <c r="N2092">
        <f>IFERROR(MATCH($C$5&amp;"|"&amp;RIGHT("000000"&amp;72,6),LdBKeyG,0),"")</f>
        <v/>
      </c>
    </row>
    <row r="2093">
      <c r="A2093" s="10" t="n">
        <v>73</v>
      </c>
      <c r="B2093" s="14">
        <f>IF($N2093="","",INDEX(LdBDate,$N2093))</f>
        <v/>
      </c>
      <c r="C2093" s="14">
        <f>IF($N2093="","",IF(INDEX(LdBId,$N2093)="","—",INDEX(LdBId,$N2093)))</f>
        <v/>
      </c>
      <c r="D2093" s="14">
        <f>IF($N2093="","",INDEX(LdBMember,$N2093))</f>
        <v/>
      </c>
      <c r="E2093" s="14">
        <f>IF($N2093="","",IFERROR(IF(VLOOKUP(INDEX(LdBMember,$N2093),AcctTblE,4,0)="","(بدون نام)",VLOOKUP(INDEX(LdBMember,$N2093),AcctTblE,4,0)),"—"))</f>
        <v/>
      </c>
      <c r="F2093" s="16">
        <f>IF($N2093="","",IF(INDEX(LdBAmt,$N2093)=0,"",INDEX(LdBAmt,$N2093)))</f>
        <v/>
      </c>
      <c r="G2093" s="30">
        <f>IF($N2093="","",IF(INDEX(LdBNote,$N2093)="","—",INDEX(LdBNote,$N2093)))</f>
        <v/>
      </c>
      <c r="N2093">
        <f>IFERROR(MATCH($C$5&amp;"|"&amp;RIGHT("000000"&amp;73,6),LdBKeyG,0),"")</f>
        <v/>
      </c>
    </row>
    <row r="2094">
      <c r="A2094" s="19" t="n">
        <v>74</v>
      </c>
      <c r="B2094" s="20">
        <f>IF($N2094="","",INDEX(LdBDate,$N2094))</f>
        <v/>
      </c>
      <c r="C2094" s="20">
        <f>IF($N2094="","",IF(INDEX(LdBId,$N2094)="","—",INDEX(LdBId,$N2094)))</f>
        <v/>
      </c>
      <c r="D2094" s="20">
        <f>IF($N2094="","",INDEX(LdBMember,$N2094))</f>
        <v/>
      </c>
      <c r="E2094" s="20">
        <f>IF($N2094="","",IFERROR(IF(VLOOKUP(INDEX(LdBMember,$N2094),AcctTblE,4,0)="","(بدون نام)",VLOOKUP(INDEX(LdBMember,$N2094),AcctTblE,4,0)),"—"))</f>
        <v/>
      </c>
      <c r="F2094" s="21">
        <f>IF($N2094="","",IF(INDEX(LdBAmt,$N2094)=0,"",INDEX(LdBAmt,$N2094)))</f>
        <v/>
      </c>
      <c r="G2094" s="32">
        <f>IF($N2094="","",IF(INDEX(LdBNote,$N2094)="","—",INDEX(LdBNote,$N2094)))</f>
        <v/>
      </c>
      <c r="N2094">
        <f>IFERROR(MATCH($C$5&amp;"|"&amp;RIGHT("000000"&amp;74,6),LdBKeyG,0),"")</f>
        <v/>
      </c>
    </row>
    <row r="2095">
      <c r="A2095" s="10" t="n">
        <v>75</v>
      </c>
      <c r="B2095" s="14">
        <f>IF($N2095="","",INDEX(LdBDate,$N2095))</f>
        <v/>
      </c>
      <c r="C2095" s="14">
        <f>IF($N2095="","",IF(INDEX(LdBId,$N2095)="","—",INDEX(LdBId,$N2095)))</f>
        <v/>
      </c>
      <c r="D2095" s="14">
        <f>IF($N2095="","",INDEX(LdBMember,$N2095))</f>
        <v/>
      </c>
      <c r="E2095" s="14">
        <f>IF($N2095="","",IFERROR(IF(VLOOKUP(INDEX(LdBMember,$N2095),AcctTblE,4,0)="","(بدون نام)",VLOOKUP(INDEX(LdBMember,$N2095),AcctTblE,4,0)),"—"))</f>
        <v/>
      </c>
      <c r="F2095" s="16">
        <f>IF($N2095="","",IF(INDEX(LdBAmt,$N2095)=0,"",INDEX(LdBAmt,$N2095)))</f>
        <v/>
      </c>
      <c r="G2095" s="30">
        <f>IF($N2095="","",IF(INDEX(LdBNote,$N2095)="","—",INDEX(LdBNote,$N2095)))</f>
        <v/>
      </c>
      <c r="N2095">
        <f>IFERROR(MATCH($C$5&amp;"|"&amp;RIGHT("000000"&amp;75,6),LdBKeyG,0),"")</f>
        <v/>
      </c>
    </row>
    <row r="2096">
      <c r="A2096" s="19" t="n">
        <v>76</v>
      </c>
      <c r="B2096" s="20">
        <f>IF($N2096="","",INDEX(LdBDate,$N2096))</f>
        <v/>
      </c>
      <c r="C2096" s="20">
        <f>IF($N2096="","",IF(INDEX(LdBId,$N2096)="","—",INDEX(LdBId,$N2096)))</f>
        <v/>
      </c>
      <c r="D2096" s="20">
        <f>IF($N2096="","",INDEX(LdBMember,$N2096))</f>
        <v/>
      </c>
      <c r="E2096" s="20">
        <f>IF($N2096="","",IFERROR(IF(VLOOKUP(INDEX(LdBMember,$N2096),AcctTblE,4,0)="","(بدون نام)",VLOOKUP(INDEX(LdBMember,$N2096),AcctTblE,4,0)),"—"))</f>
        <v/>
      </c>
      <c r="F2096" s="21">
        <f>IF($N2096="","",IF(INDEX(LdBAmt,$N2096)=0,"",INDEX(LdBAmt,$N2096)))</f>
        <v/>
      </c>
      <c r="G2096" s="32">
        <f>IF($N2096="","",IF(INDEX(LdBNote,$N2096)="","—",INDEX(LdBNote,$N2096)))</f>
        <v/>
      </c>
      <c r="N2096">
        <f>IFERROR(MATCH($C$5&amp;"|"&amp;RIGHT("000000"&amp;76,6),LdBKeyG,0),"")</f>
        <v/>
      </c>
    </row>
    <row r="2097">
      <c r="A2097" s="10" t="n">
        <v>77</v>
      </c>
      <c r="B2097" s="14">
        <f>IF($N2097="","",INDEX(LdBDate,$N2097))</f>
        <v/>
      </c>
      <c r="C2097" s="14">
        <f>IF($N2097="","",IF(INDEX(LdBId,$N2097)="","—",INDEX(LdBId,$N2097)))</f>
        <v/>
      </c>
      <c r="D2097" s="14">
        <f>IF($N2097="","",INDEX(LdBMember,$N2097))</f>
        <v/>
      </c>
      <c r="E2097" s="14">
        <f>IF($N2097="","",IFERROR(IF(VLOOKUP(INDEX(LdBMember,$N2097),AcctTblE,4,0)="","(بدون نام)",VLOOKUP(INDEX(LdBMember,$N2097),AcctTblE,4,0)),"—"))</f>
        <v/>
      </c>
      <c r="F2097" s="16">
        <f>IF($N2097="","",IF(INDEX(LdBAmt,$N2097)=0,"",INDEX(LdBAmt,$N2097)))</f>
        <v/>
      </c>
      <c r="G2097" s="30">
        <f>IF($N2097="","",IF(INDEX(LdBNote,$N2097)="","—",INDEX(LdBNote,$N2097)))</f>
        <v/>
      </c>
      <c r="N2097">
        <f>IFERROR(MATCH($C$5&amp;"|"&amp;RIGHT("000000"&amp;77,6),LdBKeyG,0),"")</f>
        <v/>
      </c>
    </row>
    <row r="2098">
      <c r="A2098" s="19" t="n">
        <v>78</v>
      </c>
      <c r="B2098" s="20">
        <f>IF($N2098="","",INDEX(LdBDate,$N2098))</f>
        <v/>
      </c>
      <c r="C2098" s="20">
        <f>IF($N2098="","",IF(INDEX(LdBId,$N2098)="","—",INDEX(LdBId,$N2098)))</f>
        <v/>
      </c>
      <c r="D2098" s="20">
        <f>IF($N2098="","",INDEX(LdBMember,$N2098))</f>
        <v/>
      </c>
      <c r="E2098" s="20">
        <f>IF($N2098="","",IFERROR(IF(VLOOKUP(INDEX(LdBMember,$N2098),AcctTblE,4,0)="","(بدون نام)",VLOOKUP(INDEX(LdBMember,$N2098),AcctTblE,4,0)),"—"))</f>
        <v/>
      </c>
      <c r="F2098" s="21">
        <f>IF($N2098="","",IF(INDEX(LdBAmt,$N2098)=0,"",INDEX(LdBAmt,$N2098)))</f>
        <v/>
      </c>
      <c r="G2098" s="32">
        <f>IF($N2098="","",IF(INDEX(LdBNote,$N2098)="","—",INDEX(LdBNote,$N2098)))</f>
        <v/>
      </c>
      <c r="N2098">
        <f>IFERROR(MATCH($C$5&amp;"|"&amp;RIGHT("000000"&amp;78,6),LdBKeyG,0),"")</f>
        <v/>
      </c>
    </row>
    <row r="2099">
      <c r="A2099" s="10" t="n">
        <v>79</v>
      </c>
      <c r="B2099" s="14">
        <f>IF($N2099="","",INDEX(LdBDate,$N2099))</f>
        <v/>
      </c>
      <c r="C2099" s="14">
        <f>IF($N2099="","",IF(INDEX(LdBId,$N2099)="","—",INDEX(LdBId,$N2099)))</f>
        <v/>
      </c>
      <c r="D2099" s="14">
        <f>IF($N2099="","",INDEX(LdBMember,$N2099))</f>
        <v/>
      </c>
      <c r="E2099" s="14">
        <f>IF($N2099="","",IFERROR(IF(VLOOKUP(INDEX(LdBMember,$N2099),AcctTblE,4,0)="","(بدون نام)",VLOOKUP(INDEX(LdBMember,$N2099),AcctTblE,4,0)),"—"))</f>
        <v/>
      </c>
      <c r="F2099" s="16">
        <f>IF($N2099="","",IF(INDEX(LdBAmt,$N2099)=0,"",INDEX(LdBAmt,$N2099)))</f>
        <v/>
      </c>
      <c r="G2099" s="30">
        <f>IF($N2099="","",IF(INDEX(LdBNote,$N2099)="","—",INDEX(LdBNote,$N2099)))</f>
        <v/>
      </c>
      <c r="N2099">
        <f>IFERROR(MATCH($C$5&amp;"|"&amp;RIGHT("000000"&amp;79,6),LdBKeyG,0),"")</f>
        <v/>
      </c>
    </row>
    <row r="2100">
      <c r="A2100" s="19" t="n">
        <v>80</v>
      </c>
      <c r="B2100" s="20">
        <f>IF($N2100="","",INDEX(LdBDate,$N2100))</f>
        <v/>
      </c>
      <c r="C2100" s="20">
        <f>IF($N2100="","",IF(INDEX(LdBId,$N2100)="","—",INDEX(LdBId,$N2100)))</f>
        <v/>
      </c>
      <c r="D2100" s="20">
        <f>IF($N2100="","",INDEX(LdBMember,$N2100))</f>
        <v/>
      </c>
      <c r="E2100" s="20">
        <f>IF($N2100="","",IFERROR(IF(VLOOKUP(INDEX(LdBMember,$N2100),AcctTblE,4,0)="","(بدون نام)",VLOOKUP(INDEX(LdBMember,$N2100),AcctTblE,4,0)),"—"))</f>
        <v/>
      </c>
      <c r="F2100" s="21">
        <f>IF($N2100="","",IF(INDEX(LdBAmt,$N2100)=0,"",INDEX(LdBAmt,$N2100)))</f>
        <v/>
      </c>
      <c r="G2100" s="32">
        <f>IF($N2100="","",IF(INDEX(LdBNote,$N2100)="","—",INDEX(LdBNote,$N2100)))</f>
        <v/>
      </c>
      <c r="N2100">
        <f>IFERROR(MATCH($C$5&amp;"|"&amp;RIGHT("000000"&amp;80,6),LdBKeyG,0),"")</f>
        <v/>
      </c>
    </row>
    <row r="2101">
      <c r="A2101" s="10" t="n">
        <v>81</v>
      </c>
      <c r="B2101" s="14">
        <f>IF($N2101="","",INDEX(LdBDate,$N2101))</f>
        <v/>
      </c>
      <c r="C2101" s="14">
        <f>IF($N2101="","",IF(INDEX(LdBId,$N2101)="","—",INDEX(LdBId,$N2101)))</f>
        <v/>
      </c>
      <c r="D2101" s="14">
        <f>IF($N2101="","",INDEX(LdBMember,$N2101))</f>
        <v/>
      </c>
      <c r="E2101" s="14">
        <f>IF($N2101="","",IFERROR(IF(VLOOKUP(INDEX(LdBMember,$N2101),AcctTblE,4,0)="","(بدون نام)",VLOOKUP(INDEX(LdBMember,$N2101),AcctTblE,4,0)),"—"))</f>
        <v/>
      </c>
      <c r="F2101" s="16">
        <f>IF($N2101="","",IF(INDEX(LdBAmt,$N2101)=0,"",INDEX(LdBAmt,$N2101)))</f>
        <v/>
      </c>
      <c r="G2101" s="30">
        <f>IF($N2101="","",IF(INDEX(LdBNote,$N2101)="","—",INDEX(LdBNote,$N2101)))</f>
        <v/>
      </c>
      <c r="N2101">
        <f>IFERROR(MATCH($C$5&amp;"|"&amp;RIGHT("000000"&amp;81,6),LdBKeyG,0),"")</f>
        <v/>
      </c>
    </row>
    <row r="2102">
      <c r="A2102" s="19" t="n">
        <v>82</v>
      </c>
      <c r="B2102" s="20">
        <f>IF($N2102="","",INDEX(LdBDate,$N2102))</f>
        <v/>
      </c>
      <c r="C2102" s="20">
        <f>IF($N2102="","",IF(INDEX(LdBId,$N2102)="","—",INDEX(LdBId,$N2102)))</f>
        <v/>
      </c>
      <c r="D2102" s="20">
        <f>IF($N2102="","",INDEX(LdBMember,$N2102))</f>
        <v/>
      </c>
      <c r="E2102" s="20">
        <f>IF($N2102="","",IFERROR(IF(VLOOKUP(INDEX(LdBMember,$N2102),AcctTblE,4,0)="","(بدون نام)",VLOOKUP(INDEX(LdBMember,$N2102),AcctTblE,4,0)),"—"))</f>
        <v/>
      </c>
      <c r="F2102" s="21">
        <f>IF($N2102="","",IF(INDEX(LdBAmt,$N2102)=0,"",INDEX(LdBAmt,$N2102)))</f>
        <v/>
      </c>
      <c r="G2102" s="32">
        <f>IF($N2102="","",IF(INDEX(LdBNote,$N2102)="","—",INDEX(LdBNote,$N2102)))</f>
        <v/>
      </c>
      <c r="N2102">
        <f>IFERROR(MATCH($C$5&amp;"|"&amp;RIGHT("000000"&amp;82,6),LdBKeyG,0),"")</f>
        <v/>
      </c>
    </row>
    <row r="2103">
      <c r="A2103" s="10" t="n">
        <v>83</v>
      </c>
      <c r="B2103" s="14">
        <f>IF($N2103="","",INDEX(LdBDate,$N2103))</f>
        <v/>
      </c>
      <c r="C2103" s="14">
        <f>IF($N2103="","",IF(INDEX(LdBId,$N2103)="","—",INDEX(LdBId,$N2103)))</f>
        <v/>
      </c>
      <c r="D2103" s="14">
        <f>IF($N2103="","",INDEX(LdBMember,$N2103))</f>
        <v/>
      </c>
      <c r="E2103" s="14">
        <f>IF($N2103="","",IFERROR(IF(VLOOKUP(INDEX(LdBMember,$N2103),AcctTblE,4,0)="","(بدون نام)",VLOOKUP(INDEX(LdBMember,$N2103),AcctTblE,4,0)),"—"))</f>
        <v/>
      </c>
      <c r="F2103" s="16">
        <f>IF($N2103="","",IF(INDEX(LdBAmt,$N2103)=0,"",INDEX(LdBAmt,$N2103)))</f>
        <v/>
      </c>
      <c r="G2103" s="30">
        <f>IF($N2103="","",IF(INDEX(LdBNote,$N2103)="","—",INDEX(LdBNote,$N2103)))</f>
        <v/>
      </c>
      <c r="N2103">
        <f>IFERROR(MATCH($C$5&amp;"|"&amp;RIGHT("000000"&amp;83,6),LdBKeyG,0),"")</f>
        <v/>
      </c>
    </row>
    <row r="2104">
      <c r="A2104" s="19" t="n">
        <v>84</v>
      </c>
      <c r="B2104" s="20">
        <f>IF($N2104="","",INDEX(LdBDate,$N2104))</f>
        <v/>
      </c>
      <c r="C2104" s="20">
        <f>IF($N2104="","",IF(INDEX(LdBId,$N2104)="","—",INDEX(LdBId,$N2104)))</f>
        <v/>
      </c>
      <c r="D2104" s="20">
        <f>IF($N2104="","",INDEX(LdBMember,$N2104))</f>
        <v/>
      </c>
      <c r="E2104" s="20">
        <f>IF($N2104="","",IFERROR(IF(VLOOKUP(INDEX(LdBMember,$N2104),AcctTblE,4,0)="","(بدون نام)",VLOOKUP(INDEX(LdBMember,$N2104),AcctTblE,4,0)),"—"))</f>
        <v/>
      </c>
      <c r="F2104" s="21">
        <f>IF($N2104="","",IF(INDEX(LdBAmt,$N2104)=0,"",INDEX(LdBAmt,$N2104)))</f>
        <v/>
      </c>
      <c r="G2104" s="32">
        <f>IF($N2104="","",IF(INDEX(LdBNote,$N2104)="","—",INDEX(LdBNote,$N2104)))</f>
        <v/>
      </c>
      <c r="N2104">
        <f>IFERROR(MATCH($C$5&amp;"|"&amp;RIGHT("000000"&amp;84,6),LdBKeyG,0),"")</f>
        <v/>
      </c>
    </row>
    <row r="2105">
      <c r="A2105" s="10" t="n">
        <v>85</v>
      </c>
      <c r="B2105" s="14">
        <f>IF($N2105="","",INDEX(LdBDate,$N2105))</f>
        <v/>
      </c>
      <c r="C2105" s="14">
        <f>IF($N2105="","",IF(INDEX(LdBId,$N2105)="","—",INDEX(LdBId,$N2105)))</f>
        <v/>
      </c>
      <c r="D2105" s="14">
        <f>IF($N2105="","",INDEX(LdBMember,$N2105))</f>
        <v/>
      </c>
      <c r="E2105" s="14">
        <f>IF($N2105="","",IFERROR(IF(VLOOKUP(INDEX(LdBMember,$N2105),AcctTblE,4,0)="","(بدون نام)",VLOOKUP(INDEX(LdBMember,$N2105),AcctTblE,4,0)),"—"))</f>
        <v/>
      </c>
      <c r="F2105" s="16">
        <f>IF($N2105="","",IF(INDEX(LdBAmt,$N2105)=0,"",INDEX(LdBAmt,$N2105)))</f>
        <v/>
      </c>
      <c r="G2105" s="30">
        <f>IF($N2105="","",IF(INDEX(LdBNote,$N2105)="","—",INDEX(LdBNote,$N2105)))</f>
        <v/>
      </c>
      <c r="N2105">
        <f>IFERROR(MATCH($C$5&amp;"|"&amp;RIGHT("000000"&amp;85,6),LdBKeyG,0),"")</f>
        <v/>
      </c>
    </row>
    <row r="2106">
      <c r="A2106" s="19" t="n">
        <v>86</v>
      </c>
      <c r="B2106" s="20">
        <f>IF($N2106="","",INDEX(LdBDate,$N2106))</f>
        <v/>
      </c>
      <c r="C2106" s="20">
        <f>IF($N2106="","",IF(INDEX(LdBId,$N2106)="","—",INDEX(LdBId,$N2106)))</f>
        <v/>
      </c>
      <c r="D2106" s="20">
        <f>IF($N2106="","",INDEX(LdBMember,$N2106))</f>
        <v/>
      </c>
      <c r="E2106" s="20">
        <f>IF($N2106="","",IFERROR(IF(VLOOKUP(INDEX(LdBMember,$N2106),AcctTblE,4,0)="","(بدون نام)",VLOOKUP(INDEX(LdBMember,$N2106),AcctTblE,4,0)),"—"))</f>
        <v/>
      </c>
      <c r="F2106" s="21">
        <f>IF($N2106="","",IF(INDEX(LdBAmt,$N2106)=0,"",INDEX(LdBAmt,$N2106)))</f>
        <v/>
      </c>
      <c r="G2106" s="32">
        <f>IF($N2106="","",IF(INDEX(LdBNote,$N2106)="","—",INDEX(LdBNote,$N2106)))</f>
        <v/>
      </c>
      <c r="N2106">
        <f>IFERROR(MATCH($C$5&amp;"|"&amp;RIGHT("000000"&amp;86,6),LdBKeyG,0),"")</f>
        <v/>
      </c>
    </row>
    <row r="2107">
      <c r="A2107" s="10" t="n">
        <v>87</v>
      </c>
      <c r="B2107" s="14">
        <f>IF($N2107="","",INDEX(LdBDate,$N2107))</f>
        <v/>
      </c>
      <c r="C2107" s="14">
        <f>IF($N2107="","",IF(INDEX(LdBId,$N2107)="","—",INDEX(LdBId,$N2107)))</f>
        <v/>
      </c>
      <c r="D2107" s="14">
        <f>IF($N2107="","",INDEX(LdBMember,$N2107))</f>
        <v/>
      </c>
      <c r="E2107" s="14">
        <f>IF($N2107="","",IFERROR(IF(VLOOKUP(INDEX(LdBMember,$N2107),AcctTblE,4,0)="","(بدون نام)",VLOOKUP(INDEX(LdBMember,$N2107),AcctTblE,4,0)),"—"))</f>
        <v/>
      </c>
      <c r="F2107" s="16">
        <f>IF($N2107="","",IF(INDEX(LdBAmt,$N2107)=0,"",INDEX(LdBAmt,$N2107)))</f>
        <v/>
      </c>
      <c r="G2107" s="30">
        <f>IF($N2107="","",IF(INDEX(LdBNote,$N2107)="","—",INDEX(LdBNote,$N2107)))</f>
        <v/>
      </c>
      <c r="N2107">
        <f>IFERROR(MATCH($C$5&amp;"|"&amp;RIGHT("000000"&amp;87,6),LdBKeyG,0),"")</f>
        <v/>
      </c>
    </row>
    <row r="2108">
      <c r="A2108" s="19" t="n">
        <v>88</v>
      </c>
      <c r="B2108" s="20">
        <f>IF($N2108="","",INDEX(LdBDate,$N2108))</f>
        <v/>
      </c>
      <c r="C2108" s="20">
        <f>IF($N2108="","",IF(INDEX(LdBId,$N2108)="","—",INDEX(LdBId,$N2108)))</f>
        <v/>
      </c>
      <c r="D2108" s="20">
        <f>IF($N2108="","",INDEX(LdBMember,$N2108))</f>
        <v/>
      </c>
      <c r="E2108" s="20">
        <f>IF($N2108="","",IFERROR(IF(VLOOKUP(INDEX(LdBMember,$N2108),AcctTblE,4,0)="","(بدون نام)",VLOOKUP(INDEX(LdBMember,$N2108),AcctTblE,4,0)),"—"))</f>
        <v/>
      </c>
      <c r="F2108" s="21">
        <f>IF($N2108="","",IF(INDEX(LdBAmt,$N2108)=0,"",INDEX(LdBAmt,$N2108)))</f>
        <v/>
      </c>
      <c r="G2108" s="32">
        <f>IF($N2108="","",IF(INDEX(LdBNote,$N2108)="","—",INDEX(LdBNote,$N2108)))</f>
        <v/>
      </c>
      <c r="N2108">
        <f>IFERROR(MATCH($C$5&amp;"|"&amp;RIGHT("000000"&amp;88,6),LdBKeyG,0),"")</f>
        <v/>
      </c>
    </row>
    <row r="2109">
      <c r="A2109" s="10" t="n">
        <v>89</v>
      </c>
      <c r="B2109" s="14">
        <f>IF($N2109="","",INDEX(LdBDate,$N2109))</f>
        <v/>
      </c>
      <c r="C2109" s="14">
        <f>IF($N2109="","",IF(INDEX(LdBId,$N2109)="","—",INDEX(LdBId,$N2109)))</f>
        <v/>
      </c>
      <c r="D2109" s="14">
        <f>IF($N2109="","",INDEX(LdBMember,$N2109))</f>
        <v/>
      </c>
      <c r="E2109" s="14">
        <f>IF($N2109="","",IFERROR(IF(VLOOKUP(INDEX(LdBMember,$N2109),AcctTblE,4,0)="","(بدون نام)",VLOOKUP(INDEX(LdBMember,$N2109),AcctTblE,4,0)),"—"))</f>
        <v/>
      </c>
      <c r="F2109" s="16">
        <f>IF($N2109="","",IF(INDEX(LdBAmt,$N2109)=0,"",INDEX(LdBAmt,$N2109)))</f>
        <v/>
      </c>
      <c r="G2109" s="30">
        <f>IF($N2109="","",IF(INDEX(LdBNote,$N2109)="","—",INDEX(LdBNote,$N2109)))</f>
        <v/>
      </c>
      <c r="N2109">
        <f>IFERROR(MATCH($C$5&amp;"|"&amp;RIGHT("000000"&amp;89,6),LdBKeyG,0),"")</f>
        <v/>
      </c>
    </row>
    <row r="2110">
      <c r="A2110" s="19" t="n">
        <v>90</v>
      </c>
      <c r="B2110" s="20">
        <f>IF($N2110="","",INDEX(LdBDate,$N2110))</f>
        <v/>
      </c>
      <c r="C2110" s="20">
        <f>IF($N2110="","",IF(INDEX(LdBId,$N2110)="","—",INDEX(LdBId,$N2110)))</f>
        <v/>
      </c>
      <c r="D2110" s="20">
        <f>IF($N2110="","",INDEX(LdBMember,$N2110))</f>
        <v/>
      </c>
      <c r="E2110" s="20">
        <f>IF($N2110="","",IFERROR(IF(VLOOKUP(INDEX(LdBMember,$N2110),AcctTblE,4,0)="","(بدون نام)",VLOOKUP(INDEX(LdBMember,$N2110),AcctTblE,4,0)),"—"))</f>
        <v/>
      </c>
      <c r="F2110" s="21">
        <f>IF($N2110="","",IF(INDEX(LdBAmt,$N2110)=0,"",INDEX(LdBAmt,$N2110)))</f>
        <v/>
      </c>
      <c r="G2110" s="32">
        <f>IF($N2110="","",IF(INDEX(LdBNote,$N2110)="","—",INDEX(LdBNote,$N2110)))</f>
        <v/>
      </c>
      <c r="N2110">
        <f>IFERROR(MATCH($C$5&amp;"|"&amp;RIGHT("000000"&amp;90,6),LdBKeyG,0),"")</f>
        <v/>
      </c>
    </row>
    <row r="2111">
      <c r="A2111" s="10" t="n">
        <v>91</v>
      </c>
      <c r="B2111" s="14">
        <f>IF($N2111="","",INDEX(LdBDate,$N2111))</f>
        <v/>
      </c>
      <c r="C2111" s="14">
        <f>IF($N2111="","",IF(INDEX(LdBId,$N2111)="","—",INDEX(LdBId,$N2111)))</f>
        <v/>
      </c>
      <c r="D2111" s="14">
        <f>IF($N2111="","",INDEX(LdBMember,$N2111))</f>
        <v/>
      </c>
      <c r="E2111" s="14">
        <f>IF($N2111="","",IFERROR(IF(VLOOKUP(INDEX(LdBMember,$N2111),AcctTblE,4,0)="","(بدون نام)",VLOOKUP(INDEX(LdBMember,$N2111),AcctTblE,4,0)),"—"))</f>
        <v/>
      </c>
      <c r="F2111" s="16">
        <f>IF($N2111="","",IF(INDEX(LdBAmt,$N2111)=0,"",INDEX(LdBAmt,$N2111)))</f>
        <v/>
      </c>
      <c r="G2111" s="30">
        <f>IF($N2111="","",IF(INDEX(LdBNote,$N2111)="","—",INDEX(LdBNote,$N2111)))</f>
        <v/>
      </c>
      <c r="N2111">
        <f>IFERROR(MATCH($C$5&amp;"|"&amp;RIGHT("000000"&amp;91,6),LdBKeyG,0),"")</f>
        <v/>
      </c>
    </row>
    <row r="2112">
      <c r="A2112" s="19" t="n">
        <v>92</v>
      </c>
      <c r="B2112" s="20">
        <f>IF($N2112="","",INDEX(LdBDate,$N2112))</f>
        <v/>
      </c>
      <c r="C2112" s="20">
        <f>IF($N2112="","",IF(INDEX(LdBId,$N2112)="","—",INDEX(LdBId,$N2112)))</f>
        <v/>
      </c>
      <c r="D2112" s="20">
        <f>IF($N2112="","",INDEX(LdBMember,$N2112))</f>
        <v/>
      </c>
      <c r="E2112" s="20">
        <f>IF($N2112="","",IFERROR(IF(VLOOKUP(INDEX(LdBMember,$N2112),AcctTblE,4,0)="","(بدون نام)",VLOOKUP(INDEX(LdBMember,$N2112),AcctTblE,4,0)),"—"))</f>
        <v/>
      </c>
      <c r="F2112" s="21">
        <f>IF($N2112="","",IF(INDEX(LdBAmt,$N2112)=0,"",INDEX(LdBAmt,$N2112)))</f>
        <v/>
      </c>
      <c r="G2112" s="32">
        <f>IF($N2112="","",IF(INDEX(LdBNote,$N2112)="","—",INDEX(LdBNote,$N2112)))</f>
        <v/>
      </c>
      <c r="N2112">
        <f>IFERROR(MATCH($C$5&amp;"|"&amp;RIGHT("000000"&amp;92,6),LdBKeyG,0),"")</f>
        <v/>
      </c>
    </row>
    <row r="2113">
      <c r="A2113" s="10" t="n">
        <v>93</v>
      </c>
      <c r="B2113" s="14">
        <f>IF($N2113="","",INDEX(LdBDate,$N2113))</f>
        <v/>
      </c>
      <c r="C2113" s="14">
        <f>IF($N2113="","",IF(INDEX(LdBId,$N2113)="","—",INDEX(LdBId,$N2113)))</f>
        <v/>
      </c>
      <c r="D2113" s="14">
        <f>IF($N2113="","",INDEX(LdBMember,$N2113))</f>
        <v/>
      </c>
      <c r="E2113" s="14">
        <f>IF($N2113="","",IFERROR(IF(VLOOKUP(INDEX(LdBMember,$N2113),AcctTblE,4,0)="","(بدون نام)",VLOOKUP(INDEX(LdBMember,$N2113),AcctTblE,4,0)),"—"))</f>
        <v/>
      </c>
      <c r="F2113" s="16">
        <f>IF($N2113="","",IF(INDEX(LdBAmt,$N2113)=0,"",INDEX(LdBAmt,$N2113)))</f>
        <v/>
      </c>
      <c r="G2113" s="30">
        <f>IF($N2113="","",IF(INDEX(LdBNote,$N2113)="","—",INDEX(LdBNote,$N2113)))</f>
        <v/>
      </c>
      <c r="N2113">
        <f>IFERROR(MATCH($C$5&amp;"|"&amp;RIGHT("000000"&amp;93,6),LdBKeyG,0),"")</f>
        <v/>
      </c>
    </row>
    <row r="2114">
      <c r="A2114" s="19" t="n">
        <v>94</v>
      </c>
      <c r="B2114" s="20">
        <f>IF($N2114="","",INDEX(LdBDate,$N2114))</f>
        <v/>
      </c>
      <c r="C2114" s="20">
        <f>IF($N2114="","",IF(INDEX(LdBId,$N2114)="","—",INDEX(LdBId,$N2114)))</f>
        <v/>
      </c>
      <c r="D2114" s="20">
        <f>IF($N2114="","",INDEX(LdBMember,$N2114))</f>
        <v/>
      </c>
      <c r="E2114" s="20">
        <f>IF($N2114="","",IFERROR(IF(VLOOKUP(INDEX(LdBMember,$N2114),AcctTblE,4,0)="","(بدون نام)",VLOOKUP(INDEX(LdBMember,$N2114),AcctTblE,4,0)),"—"))</f>
        <v/>
      </c>
      <c r="F2114" s="21">
        <f>IF($N2114="","",IF(INDEX(LdBAmt,$N2114)=0,"",INDEX(LdBAmt,$N2114)))</f>
        <v/>
      </c>
      <c r="G2114" s="32">
        <f>IF($N2114="","",IF(INDEX(LdBNote,$N2114)="","—",INDEX(LdBNote,$N2114)))</f>
        <v/>
      </c>
      <c r="N2114">
        <f>IFERROR(MATCH($C$5&amp;"|"&amp;RIGHT("000000"&amp;94,6),LdBKeyG,0),"")</f>
        <v/>
      </c>
    </row>
    <row r="2115">
      <c r="A2115" s="10" t="n">
        <v>95</v>
      </c>
      <c r="B2115" s="14">
        <f>IF($N2115="","",INDEX(LdBDate,$N2115))</f>
        <v/>
      </c>
      <c r="C2115" s="14">
        <f>IF($N2115="","",IF(INDEX(LdBId,$N2115)="","—",INDEX(LdBId,$N2115)))</f>
        <v/>
      </c>
      <c r="D2115" s="14">
        <f>IF($N2115="","",INDEX(LdBMember,$N2115))</f>
        <v/>
      </c>
      <c r="E2115" s="14">
        <f>IF($N2115="","",IFERROR(IF(VLOOKUP(INDEX(LdBMember,$N2115),AcctTblE,4,0)="","(بدون نام)",VLOOKUP(INDEX(LdBMember,$N2115),AcctTblE,4,0)),"—"))</f>
        <v/>
      </c>
      <c r="F2115" s="16">
        <f>IF($N2115="","",IF(INDEX(LdBAmt,$N2115)=0,"",INDEX(LdBAmt,$N2115)))</f>
        <v/>
      </c>
      <c r="G2115" s="30">
        <f>IF($N2115="","",IF(INDEX(LdBNote,$N2115)="","—",INDEX(LdBNote,$N2115)))</f>
        <v/>
      </c>
      <c r="N2115">
        <f>IFERROR(MATCH($C$5&amp;"|"&amp;RIGHT("000000"&amp;95,6),LdBKeyG,0),"")</f>
        <v/>
      </c>
    </row>
    <row r="2116">
      <c r="A2116" s="19" t="n">
        <v>96</v>
      </c>
      <c r="B2116" s="20">
        <f>IF($N2116="","",INDEX(LdBDate,$N2116))</f>
        <v/>
      </c>
      <c r="C2116" s="20">
        <f>IF($N2116="","",IF(INDEX(LdBId,$N2116)="","—",INDEX(LdBId,$N2116)))</f>
        <v/>
      </c>
      <c r="D2116" s="20">
        <f>IF($N2116="","",INDEX(LdBMember,$N2116))</f>
        <v/>
      </c>
      <c r="E2116" s="20">
        <f>IF($N2116="","",IFERROR(IF(VLOOKUP(INDEX(LdBMember,$N2116),AcctTblE,4,0)="","(بدون نام)",VLOOKUP(INDEX(LdBMember,$N2116),AcctTblE,4,0)),"—"))</f>
        <v/>
      </c>
      <c r="F2116" s="21">
        <f>IF($N2116="","",IF(INDEX(LdBAmt,$N2116)=0,"",INDEX(LdBAmt,$N2116)))</f>
        <v/>
      </c>
      <c r="G2116" s="32">
        <f>IF($N2116="","",IF(INDEX(LdBNote,$N2116)="","—",INDEX(LdBNote,$N2116)))</f>
        <v/>
      </c>
      <c r="N2116">
        <f>IFERROR(MATCH($C$5&amp;"|"&amp;RIGHT("000000"&amp;96,6),LdBKeyG,0),"")</f>
        <v/>
      </c>
    </row>
    <row r="2117">
      <c r="A2117" s="10" t="n">
        <v>97</v>
      </c>
      <c r="B2117" s="14">
        <f>IF($N2117="","",INDEX(LdBDate,$N2117))</f>
        <v/>
      </c>
      <c r="C2117" s="14">
        <f>IF($N2117="","",IF(INDEX(LdBId,$N2117)="","—",INDEX(LdBId,$N2117)))</f>
        <v/>
      </c>
      <c r="D2117" s="14">
        <f>IF($N2117="","",INDEX(LdBMember,$N2117))</f>
        <v/>
      </c>
      <c r="E2117" s="14">
        <f>IF($N2117="","",IFERROR(IF(VLOOKUP(INDEX(LdBMember,$N2117),AcctTblE,4,0)="","(بدون نام)",VLOOKUP(INDEX(LdBMember,$N2117),AcctTblE,4,0)),"—"))</f>
        <v/>
      </c>
      <c r="F2117" s="16">
        <f>IF($N2117="","",IF(INDEX(LdBAmt,$N2117)=0,"",INDEX(LdBAmt,$N2117)))</f>
        <v/>
      </c>
      <c r="G2117" s="30">
        <f>IF($N2117="","",IF(INDEX(LdBNote,$N2117)="","—",INDEX(LdBNote,$N2117)))</f>
        <v/>
      </c>
      <c r="N2117">
        <f>IFERROR(MATCH($C$5&amp;"|"&amp;RIGHT("000000"&amp;97,6),LdBKeyG,0),"")</f>
        <v/>
      </c>
    </row>
    <row r="2118">
      <c r="A2118" s="19" t="n">
        <v>98</v>
      </c>
      <c r="B2118" s="20">
        <f>IF($N2118="","",INDEX(LdBDate,$N2118))</f>
        <v/>
      </c>
      <c r="C2118" s="20">
        <f>IF($N2118="","",IF(INDEX(LdBId,$N2118)="","—",INDEX(LdBId,$N2118)))</f>
        <v/>
      </c>
      <c r="D2118" s="20">
        <f>IF($N2118="","",INDEX(LdBMember,$N2118))</f>
        <v/>
      </c>
      <c r="E2118" s="20">
        <f>IF($N2118="","",IFERROR(IF(VLOOKUP(INDEX(LdBMember,$N2118),AcctTblE,4,0)="","(بدون نام)",VLOOKUP(INDEX(LdBMember,$N2118),AcctTblE,4,0)),"—"))</f>
        <v/>
      </c>
      <c r="F2118" s="21">
        <f>IF($N2118="","",IF(INDEX(LdBAmt,$N2118)=0,"",INDEX(LdBAmt,$N2118)))</f>
        <v/>
      </c>
      <c r="G2118" s="32">
        <f>IF($N2118="","",IF(INDEX(LdBNote,$N2118)="","—",INDEX(LdBNote,$N2118)))</f>
        <v/>
      </c>
      <c r="N2118">
        <f>IFERROR(MATCH($C$5&amp;"|"&amp;RIGHT("000000"&amp;98,6),LdBKeyG,0),"")</f>
        <v/>
      </c>
    </row>
    <row r="2119">
      <c r="A2119" s="10" t="n">
        <v>99</v>
      </c>
      <c r="B2119" s="14">
        <f>IF($N2119="","",INDEX(LdBDate,$N2119))</f>
        <v/>
      </c>
      <c r="C2119" s="14">
        <f>IF($N2119="","",IF(INDEX(LdBId,$N2119)="","—",INDEX(LdBId,$N2119)))</f>
        <v/>
      </c>
      <c r="D2119" s="14">
        <f>IF($N2119="","",INDEX(LdBMember,$N2119))</f>
        <v/>
      </c>
      <c r="E2119" s="14">
        <f>IF($N2119="","",IFERROR(IF(VLOOKUP(INDEX(LdBMember,$N2119),AcctTblE,4,0)="","(بدون نام)",VLOOKUP(INDEX(LdBMember,$N2119),AcctTblE,4,0)),"—"))</f>
        <v/>
      </c>
      <c r="F2119" s="16">
        <f>IF($N2119="","",IF(INDEX(LdBAmt,$N2119)=0,"",INDEX(LdBAmt,$N2119)))</f>
        <v/>
      </c>
      <c r="G2119" s="30">
        <f>IF($N2119="","",IF(INDEX(LdBNote,$N2119)="","—",INDEX(LdBNote,$N2119)))</f>
        <v/>
      </c>
      <c r="N2119">
        <f>IFERROR(MATCH($C$5&amp;"|"&amp;RIGHT("000000"&amp;99,6),LdBKeyG,0),"")</f>
        <v/>
      </c>
    </row>
    <row r="2120">
      <c r="A2120" s="19" t="n">
        <v>100</v>
      </c>
      <c r="B2120" s="20">
        <f>IF($N2120="","",INDEX(LdBDate,$N2120))</f>
        <v/>
      </c>
      <c r="C2120" s="20">
        <f>IF($N2120="","",IF(INDEX(LdBId,$N2120)="","—",INDEX(LdBId,$N2120)))</f>
        <v/>
      </c>
      <c r="D2120" s="20">
        <f>IF($N2120="","",INDEX(LdBMember,$N2120))</f>
        <v/>
      </c>
      <c r="E2120" s="20">
        <f>IF($N2120="","",IFERROR(IF(VLOOKUP(INDEX(LdBMember,$N2120),AcctTblE,4,0)="","(بدون نام)",VLOOKUP(INDEX(LdBMember,$N2120),AcctTblE,4,0)),"—"))</f>
        <v/>
      </c>
      <c r="F2120" s="21">
        <f>IF($N2120="","",IF(INDEX(LdBAmt,$N2120)=0,"",INDEX(LdBAmt,$N2120)))</f>
        <v/>
      </c>
      <c r="G2120" s="32">
        <f>IF($N2120="","",IF(INDEX(LdBNote,$N2120)="","—",INDEX(LdBNote,$N2120)))</f>
        <v/>
      </c>
      <c r="N2120">
        <f>IFERROR(MATCH($C$5&amp;"|"&amp;RIGHT("000000"&amp;100,6),LdBKeyG,0),"")</f>
        <v/>
      </c>
    </row>
    <row r="2121">
      <c r="A2121" s="10" t="n">
        <v>101</v>
      </c>
      <c r="B2121" s="14">
        <f>IF($N2121="","",INDEX(LdBDate,$N2121))</f>
        <v/>
      </c>
      <c r="C2121" s="14">
        <f>IF($N2121="","",IF(INDEX(LdBId,$N2121)="","—",INDEX(LdBId,$N2121)))</f>
        <v/>
      </c>
      <c r="D2121" s="14">
        <f>IF($N2121="","",INDEX(LdBMember,$N2121))</f>
        <v/>
      </c>
      <c r="E2121" s="14">
        <f>IF($N2121="","",IFERROR(IF(VLOOKUP(INDEX(LdBMember,$N2121),AcctTblE,4,0)="","(بدون نام)",VLOOKUP(INDEX(LdBMember,$N2121),AcctTblE,4,0)),"—"))</f>
        <v/>
      </c>
      <c r="F2121" s="16">
        <f>IF($N2121="","",IF(INDEX(LdBAmt,$N2121)=0,"",INDEX(LdBAmt,$N2121)))</f>
        <v/>
      </c>
      <c r="G2121" s="30">
        <f>IF($N2121="","",IF(INDEX(LdBNote,$N2121)="","—",INDEX(LdBNote,$N2121)))</f>
        <v/>
      </c>
      <c r="N2121">
        <f>IFERROR(MATCH($C$5&amp;"|"&amp;RIGHT("000000"&amp;101,6),LdBKeyG,0),"")</f>
        <v/>
      </c>
    </row>
    <row r="2122">
      <c r="A2122" s="19" t="n">
        <v>102</v>
      </c>
      <c r="B2122" s="20">
        <f>IF($N2122="","",INDEX(LdBDate,$N2122))</f>
        <v/>
      </c>
      <c r="C2122" s="20">
        <f>IF($N2122="","",IF(INDEX(LdBId,$N2122)="","—",INDEX(LdBId,$N2122)))</f>
        <v/>
      </c>
      <c r="D2122" s="20">
        <f>IF($N2122="","",INDEX(LdBMember,$N2122))</f>
        <v/>
      </c>
      <c r="E2122" s="20">
        <f>IF($N2122="","",IFERROR(IF(VLOOKUP(INDEX(LdBMember,$N2122),AcctTblE,4,0)="","(بدون نام)",VLOOKUP(INDEX(LdBMember,$N2122),AcctTblE,4,0)),"—"))</f>
        <v/>
      </c>
      <c r="F2122" s="21">
        <f>IF($N2122="","",IF(INDEX(LdBAmt,$N2122)=0,"",INDEX(LdBAmt,$N2122)))</f>
        <v/>
      </c>
      <c r="G2122" s="32">
        <f>IF($N2122="","",IF(INDEX(LdBNote,$N2122)="","—",INDEX(LdBNote,$N2122)))</f>
        <v/>
      </c>
      <c r="N2122">
        <f>IFERROR(MATCH($C$5&amp;"|"&amp;RIGHT("000000"&amp;102,6),LdBKeyG,0),"")</f>
        <v/>
      </c>
    </row>
    <row r="2123">
      <c r="A2123" s="10" t="n">
        <v>103</v>
      </c>
      <c r="B2123" s="14">
        <f>IF($N2123="","",INDEX(LdBDate,$N2123))</f>
        <v/>
      </c>
      <c r="C2123" s="14">
        <f>IF($N2123="","",IF(INDEX(LdBId,$N2123)="","—",INDEX(LdBId,$N2123)))</f>
        <v/>
      </c>
      <c r="D2123" s="14">
        <f>IF($N2123="","",INDEX(LdBMember,$N2123))</f>
        <v/>
      </c>
      <c r="E2123" s="14">
        <f>IF($N2123="","",IFERROR(IF(VLOOKUP(INDEX(LdBMember,$N2123),AcctTblE,4,0)="","(بدون نام)",VLOOKUP(INDEX(LdBMember,$N2123),AcctTblE,4,0)),"—"))</f>
        <v/>
      </c>
      <c r="F2123" s="16">
        <f>IF($N2123="","",IF(INDEX(LdBAmt,$N2123)=0,"",INDEX(LdBAmt,$N2123)))</f>
        <v/>
      </c>
      <c r="G2123" s="30">
        <f>IF($N2123="","",IF(INDEX(LdBNote,$N2123)="","—",INDEX(LdBNote,$N2123)))</f>
        <v/>
      </c>
      <c r="N2123">
        <f>IFERROR(MATCH($C$5&amp;"|"&amp;RIGHT("000000"&amp;103,6),LdBKeyG,0),"")</f>
        <v/>
      </c>
    </row>
    <row r="2124">
      <c r="A2124" s="19" t="n">
        <v>104</v>
      </c>
      <c r="B2124" s="20">
        <f>IF($N2124="","",INDEX(LdBDate,$N2124))</f>
        <v/>
      </c>
      <c r="C2124" s="20">
        <f>IF($N2124="","",IF(INDEX(LdBId,$N2124)="","—",INDEX(LdBId,$N2124)))</f>
        <v/>
      </c>
      <c r="D2124" s="20">
        <f>IF($N2124="","",INDEX(LdBMember,$N2124))</f>
        <v/>
      </c>
      <c r="E2124" s="20">
        <f>IF($N2124="","",IFERROR(IF(VLOOKUP(INDEX(LdBMember,$N2124),AcctTblE,4,0)="","(بدون نام)",VLOOKUP(INDEX(LdBMember,$N2124),AcctTblE,4,0)),"—"))</f>
        <v/>
      </c>
      <c r="F2124" s="21">
        <f>IF($N2124="","",IF(INDEX(LdBAmt,$N2124)=0,"",INDEX(LdBAmt,$N2124)))</f>
        <v/>
      </c>
      <c r="G2124" s="32">
        <f>IF($N2124="","",IF(INDEX(LdBNote,$N2124)="","—",INDEX(LdBNote,$N2124)))</f>
        <v/>
      </c>
      <c r="N2124">
        <f>IFERROR(MATCH($C$5&amp;"|"&amp;RIGHT("000000"&amp;104,6),LdBKeyG,0),"")</f>
        <v/>
      </c>
    </row>
    <row r="2125">
      <c r="A2125" s="10" t="n">
        <v>105</v>
      </c>
      <c r="B2125" s="14">
        <f>IF($N2125="","",INDEX(LdBDate,$N2125))</f>
        <v/>
      </c>
      <c r="C2125" s="14">
        <f>IF($N2125="","",IF(INDEX(LdBId,$N2125)="","—",INDEX(LdBId,$N2125)))</f>
        <v/>
      </c>
      <c r="D2125" s="14">
        <f>IF($N2125="","",INDEX(LdBMember,$N2125))</f>
        <v/>
      </c>
      <c r="E2125" s="14">
        <f>IF($N2125="","",IFERROR(IF(VLOOKUP(INDEX(LdBMember,$N2125),AcctTblE,4,0)="","(بدون نام)",VLOOKUP(INDEX(LdBMember,$N2125),AcctTblE,4,0)),"—"))</f>
        <v/>
      </c>
      <c r="F2125" s="16">
        <f>IF($N2125="","",IF(INDEX(LdBAmt,$N2125)=0,"",INDEX(LdBAmt,$N2125)))</f>
        <v/>
      </c>
      <c r="G2125" s="30">
        <f>IF($N2125="","",IF(INDEX(LdBNote,$N2125)="","—",INDEX(LdBNote,$N2125)))</f>
        <v/>
      </c>
      <c r="N2125">
        <f>IFERROR(MATCH($C$5&amp;"|"&amp;RIGHT("000000"&amp;105,6),LdBKeyG,0),"")</f>
        <v/>
      </c>
    </row>
    <row r="2126">
      <c r="A2126" s="19" t="n">
        <v>106</v>
      </c>
      <c r="B2126" s="20">
        <f>IF($N2126="","",INDEX(LdBDate,$N2126))</f>
        <v/>
      </c>
      <c r="C2126" s="20">
        <f>IF($N2126="","",IF(INDEX(LdBId,$N2126)="","—",INDEX(LdBId,$N2126)))</f>
        <v/>
      </c>
      <c r="D2126" s="20">
        <f>IF($N2126="","",INDEX(LdBMember,$N2126))</f>
        <v/>
      </c>
      <c r="E2126" s="20">
        <f>IF($N2126="","",IFERROR(IF(VLOOKUP(INDEX(LdBMember,$N2126),AcctTblE,4,0)="","(بدون نام)",VLOOKUP(INDEX(LdBMember,$N2126),AcctTblE,4,0)),"—"))</f>
        <v/>
      </c>
      <c r="F2126" s="21">
        <f>IF($N2126="","",IF(INDEX(LdBAmt,$N2126)=0,"",INDEX(LdBAmt,$N2126)))</f>
        <v/>
      </c>
      <c r="G2126" s="32">
        <f>IF($N2126="","",IF(INDEX(LdBNote,$N2126)="","—",INDEX(LdBNote,$N2126)))</f>
        <v/>
      </c>
      <c r="N2126">
        <f>IFERROR(MATCH($C$5&amp;"|"&amp;RIGHT("000000"&amp;106,6),LdBKeyG,0),"")</f>
        <v/>
      </c>
    </row>
    <row r="2127">
      <c r="A2127" s="10" t="n">
        <v>107</v>
      </c>
      <c r="B2127" s="14">
        <f>IF($N2127="","",INDEX(LdBDate,$N2127))</f>
        <v/>
      </c>
      <c r="C2127" s="14">
        <f>IF($N2127="","",IF(INDEX(LdBId,$N2127)="","—",INDEX(LdBId,$N2127)))</f>
        <v/>
      </c>
      <c r="D2127" s="14">
        <f>IF($N2127="","",INDEX(LdBMember,$N2127))</f>
        <v/>
      </c>
      <c r="E2127" s="14">
        <f>IF($N2127="","",IFERROR(IF(VLOOKUP(INDEX(LdBMember,$N2127),AcctTblE,4,0)="","(بدون نام)",VLOOKUP(INDEX(LdBMember,$N2127),AcctTblE,4,0)),"—"))</f>
        <v/>
      </c>
      <c r="F2127" s="16">
        <f>IF($N2127="","",IF(INDEX(LdBAmt,$N2127)=0,"",INDEX(LdBAmt,$N2127)))</f>
        <v/>
      </c>
      <c r="G2127" s="30">
        <f>IF($N2127="","",IF(INDEX(LdBNote,$N2127)="","—",INDEX(LdBNote,$N2127)))</f>
        <v/>
      </c>
      <c r="N2127">
        <f>IFERROR(MATCH($C$5&amp;"|"&amp;RIGHT("000000"&amp;107,6),LdBKeyG,0),"")</f>
        <v/>
      </c>
    </row>
    <row r="2128">
      <c r="A2128" s="19" t="n">
        <v>108</v>
      </c>
      <c r="B2128" s="20">
        <f>IF($N2128="","",INDEX(LdBDate,$N2128))</f>
        <v/>
      </c>
      <c r="C2128" s="20">
        <f>IF($N2128="","",IF(INDEX(LdBId,$N2128)="","—",INDEX(LdBId,$N2128)))</f>
        <v/>
      </c>
      <c r="D2128" s="20">
        <f>IF($N2128="","",INDEX(LdBMember,$N2128))</f>
        <v/>
      </c>
      <c r="E2128" s="20">
        <f>IF($N2128="","",IFERROR(IF(VLOOKUP(INDEX(LdBMember,$N2128),AcctTblE,4,0)="","(بدون نام)",VLOOKUP(INDEX(LdBMember,$N2128),AcctTblE,4,0)),"—"))</f>
        <v/>
      </c>
      <c r="F2128" s="21">
        <f>IF($N2128="","",IF(INDEX(LdBAmt,$N2128)=0,"",INDEX(LdBAmt,$N2128)))</f>
        <v/>
      </c>
      <c r="G2128" s="32">
        <f>IF($N2128="","",IF(INDEX(LdBNote,$N2128)="","—",INDEX(LdBNote,$N2128)))</f>
        <v/>
      </c>
      <c r="N2128">
        <f>IFERROR(MATCH($C$5&amp;"|"&amp;RIGHT("000000"&amp;108,6),LdBKeyG,0),"")</f>
        <v/>
      </c>
    </row>
    <row r="2129">
      <c r="A2129" s="10" t="n">
        <v>109</v>
      </c>
      <c r="B2129" s="14">
        <f>IF($N2129="","",INDEX(LdBDate,$N2129))</f>
        <v/>
      </c>
      <c r="C2129" s="14">
        <f>IF($N2129="","",IF(INDEX(LdBId,$N2129)="","—",INDEX(LdBId,$N2129)))</f>
        <v/>
      </c>
      <c r="D2129" s="14">
        <f>IF($N2129="","",INDEX(LdBMember,$N2129))</f>
        <v/>
      </c>
      <c r="E2129" s="14">
        <f>IF($N2129="","",IFERROR(IF(VLOOKUP(INDEX(LdBMember,$N2129),AcctTblE,4,0)="","(بدون نام)",VLOOKUP(INDEX(LdBMember,$N2129),AcctTblE,4,0)),"—"))</f>
        <v/>
      </c>
      <c r="F2129" s="16">
        <f>IF($N2129="","",IF(INDEX(LdBAmt,$N2129)=0,"",INDEX(LdBAmt,$N2129)))</f>
        <v/>
      </c>
      <c r="G2129" s="30">
        <f>IF($N2129="","",IF(INDEX(LdBNote,$N2129)="","—",INDEX(LdBNote,$N2129)))</f>
        <v/>
      </c>
      <c r="N2129">
        <f>IFERROR(MATCH($C$5&amp;"|"&amp;RIGHT("000000"&amp;109,6),LdBKeyG,0),"")</f>
        <v/>
      </c>
    </row>
    <row r="2130">
      <c r="A2130" s="19" t="n">
        <v>110</v>
      </c>
      <c r="B2130" s="20">
        <f>IF($N2130="","",INDEX(LdBDate,$N2130))</f>
        <v/>
      </c>
      <c r="C2130" s="20">
        <f>IF($N2130="","",IF(INDEX(LdBId,$N2130)="","—",INDEX(LdBId,$N2130)))</f>
        <v/>
      </c>
      <c r="D2130" s="20">
        <f>IF($N2130="","",INDEX(LdBMember,$N2130))</f>
        <v/>
      </c>
      <c r="E2130" s="20">
        <f>IF($N2130="","",IFERROR(IF(VLOOKUP(INDEX(LdBMember,$N2130),AcctTblE,4,0)="","(بدون نام)",VLOOKUP(INDEX(LdBMember,$N2130),AcctTblE,4,0)),"—"))</f>
        <v/>
      </c>
      <c r="F2130" s="21">
        <f>IF($N2130="","",IF(INDEX(LdBAmt,$N2130)=0,"",INDEX(LdBAmt,$N2130)))</f>
        <v/>
      </c>
      <c r="G2130" s="32">
        <f>IF($N2130="","",IF(INDEX(LdBNote,$N2130)="","—",INDEX(LdBNote,$N2130)))</f>
        <v/>
      </c>
      <c r="N2130">
        <f>IFERROR(MATCH($C$5&amp;"|"&amp;RIGHT("000000"&amp;110,6),LdBKeyG,0),"")</f>
        <v/>
      </c>
    </row>
    <row r="2131">
      <c r="A2131" s="10" t="n">
        <v>111</v>
      </c>
      <c r="B2131" s="14">
        <f>IF($N2131="","",INDEX(LdBDate,$N2131))</f>
        <v/>
      </c>
      <c r="C2131" s="14">
        <f>IF($N2131="","",IF(INDEX(LdBId,$N2131)="","—",INDEX(LdBId,$N2131)))</f>
        <v/>
      </c>
      <c r="D2131" s="14">
        <f>IF($N2131="","",INDEX(LdBMember,$N2131))</f>
        <v/>
      </c>
      <c r="E2131" s="14">
        <f>IF($N2131="","",IFERROR(IF(VLOOKUP(INDEX(LdBMember,$N2131),AcctTblE,4,0)="","(بدون نام)",VLOOKUP(INDEX(LdBMember,$N2131),AcctTblE,4,0)),"—"))</f>
        <v/>
      </c>
      <c r="F2131" s="16">
        <f>IF($N2131="","",IF(INDEX(LdBAmt,$N2131)=0,"",INDEX(LdBAmt,$N2131)))</f>
        <v/>
      </c>
      <c r="G2131" s="30">
        <f>IF($N2131="","",IF(INDEX(LdBNote,$N2131)="","—",INDEX(LdBNote,$N2131)))</f>
        <v/>
      </c>
      <c r="N2131">
        <f>IFERROR(MATCH($C$5&amp;"|"&amp;RIGHT("000000"&amp;111,6),LdBKeyG,0),"")</f>
        <v/>
      </c>
    </row>
    <row r="2132">
      <c r="A2132" s="19" t="n">
        <v>112</v>
      </c>
      <c r="B2132" s="20">
        <f>IF($N2132="","",INDEX(LdBDate,$N2132))</f>
        <v/>
      </c>
      <c r="C2132" s="20">
        <f>IF($N2132="","",IF(INDEX(LdBId,$N2132)="","—",INDEX(LdBId,$N2132)))</f>
        <v/>
      </c>
      <c r="D2132" s="20">
        <f>IF($N2132="","",INDEX(LdBMember,$N2132))</f>
        <v/>
      </c>
      <c r="E2132" s="20">
        <f>IF($N2132="","",IFERROR(IF(VLOOKUP(INDEX(LdBMember,$N2132),AcctTblE,4,0)="","(بدون نام)",VLOOKUP(INDEX(LdBMember,$N2132),AcctTblE,4,0)),"—"))</f>
        <v/>
      </c>
      <c r="F2132" s="21">
        <f>IF($N2132="","",IF(INDEX(LdBAmt,$N2132)=0,"",INDEX(LdBAmt,$N2132)))</f>
        <v/>
      </c>
      <c r="G2132" s="32">
        <f>IF($N2132="","",IF(INDEX(LdBNote,$N2132)="","—",INDEX(LdBNote,$N2132)))</f>
        <v/>
      </c>
      <c r="N2132">
        <f>IFERROR(MATCH($C$5&amp;"|"&amp;RIGHT("000000"&amp;112,6),LdBKeyG,0),"")</f>
        <v/>
      </c>
    </row>
    <row r="2133">
      <c r="A2133" s="10" t="n">
        <v>113</v>
      </c>
      <c r="B2133" s="14">
        <f>IF($N2133="","",INDEX(LdBDate,$N2133))</f>
        <v/>
      </c>
      <c r="C2133" s="14">
        <f>IF($N2133="","",IF(INDEX(LdBId,$N2133)="","—",INDEX(LdBId,$N2133)))</f>
        <v/>
      </c>
      <c r="D2133" s="14">
        <f>IF($N2133="","",INDEX(LdBMember,$N2133))</f>
        <v/>
      </c>
      <c r="E2133" s="14">
        <f>IF($N2133="","",IFERROR(IF(VLOOKUP(INDEX(LdBMember,$N2133),AcctTblE,4,0)="","(بدون نام)",VLOOKUP(INDEX(LdBMember,$N2133),AcctTblE,4,0)),"—"))</f>
        <v/>
      </c>
      <c r="F2133" s="16">
        <f>IF($N2133="","",IF(INDEX(LdBAmt,$N2133)=0,"",INDEX(LdBAmt,$N2133)))</f>
        <v/>
      </c>
      <c r="G2133" s="30">
        <f>IF($N2133="","",IF(INDEX(LdBNote,$N2133)="","—",INDEX(LdBNote,$N2133)))</f>
        <v/>
      </c>
      <c r="N2133">
        <f>IFERROR(MATCH($C$5&amp;"|"&amp;RIGHT("000000"&amp;113,6),LdBKeyG,0),"")</f>
        <v/>
      </c>
    </row>
    <row r="2134">
      <c r="A2134" s="19" t="n">
        <v>114</v>
      </c>
      <c r="B2134" s="20">
        <f>IF($N2134="","",INDEX(LdBDate,$N2134))</f>
        <v/>
      </c>
      <c r="C2134" s="20">
        <f>IF($N2134="","",IF(INDEX(LdBId,$N2134)="","—",INDEX(LdBId,$N2134)))</f>
        <v/>
      </c>
      <c r="D2134" s="20">
        <f>IF($N2134="","",INDEX(LdBMember,$N2134))</f>
        <v/>
      </c>
      <c r="E2134" s="20">
        <f>IF($N2134="","",IFERROR(IF(VLOOKUP(INDEX(LdBMember,$N2134),AcctTblE,4,0)="","(بدون نام)",VLOOKUP(INDEX(LdBMember,$N2134),AcctTblE,4,0)),"—"))</f>
        <v/>
      </c>
      <c r="F2134" s="21">
        <f>IF($N2134="","",IF(INDEX(LdBAmt,$N2134)=0,"",INDEX(LdBAmt,$N2134)))</f>
        <v/>
      </c>
      <c r="G2134" s="32">
        <f>IF($N2134="","",IF(INDEX(LdBNote,$N2134)="","—",INDEX(LdBNote,$N2134)))</f>
        <v/>
      </c>
      <c r="N2134">
        <f>IFERROR(MATCH($C$5&amp;"|"&amp;RIGHT("000000"&amp;114,6),LdBKeyG,0),"")</f>
        <v/>
      </c>
    </row>
    <row r="2135">
      <c r="A2135" s="10" t="n">
        <v>115</v>
      </c>
      <c r="B2135" s="14">
        <f>IF($N2135="","",INDEX(LdBDate,$N2135))</f>
        <v/>
      </c>
      <c r="C2135" s="14">
        <f>IF($N2135="","",IF(INDEX(LdBId,$N2135)="","—",INDEX(LdBId,$N2135)))</f>
        <v/>
      </c>
      <c r="D2135" s="14">
        <f>IF($N2135="","",INDEX(LdBMember,$N2135))</f>
        <v/>
      </c>
      <c r="E2135" s="14">
        <f>IF($N2135="","",IFERROR(IF(VLOOKUP(INDEX(LdBMember,$N2135),AcctTblE,4,0)="","(بدون نام)",VLOOKUP(INDEX(LdBMember,$N2135),AcctTblE,4,0)),"—"))</f>
        <v/>
      </c>
      <c r="F2135" s="16">
        <f>IF($N2135="","",IF(INDEX(LdBAmt,$N2135)=0,"",INDEX(LdBAmt,$N2135)))</f>
        <v/>
      </c>
      <c r="G2135" s="30">
        <f>IF($N2135="","",IF(INDEX(LdBNote,$N2135)="","—",INDEX(LdBNote,$N2135)))</f>
        <v/>
      </c>
      <c r="N2135">
        <f>IFERROR(MATCH($C$5&amp;"|"&amp;RIGHT("000000"&amp;115,6),LdBKeyG,0),"")</f>
        <v/>
      </c>
    </row>
    <row r="2136">
      <c r="A2136" s="19" t="n">
        <v>116</v>
      </c>
      <c r="B2136" s="20">
        <f>IF($N2136="","",INDEX(LdBDate,$N2136))</f>
        <v/>
      </c>
      <c r="C2136" s="20">
        <f>IF($N2136="","",IF(INDEX(LdBId,$N2136)="","—",INDEX(LdBId,$N2136)))</f>
        <v/>
      </c>
      <c r="D2136" s="20">
        <f>IF($N2136="","",INDEX(LdBMember,$N2136))</f>
        <v/>
      </c>
      <c r="E2136" s="20">
        <f>IF($N2136="","",IFERROR(IF(VLOOKUP(INDEX(LdBMember,$N2136),AcctTblE,4,0)="","(بدون نام)",VLOOKUP(INDEX(LdBMember,$N2136),AcctTblE,4,0)),"—"))</f>
        <v/>
      </c>
      <c r="F2136" s="21">
        <f>IF($N2136="","",IF(INDEX(LdBAmt,$N2136)=0,"",INDEX(LdBAmt,$N2136)))</f>
        <v/>
      </c>
      <c r="G2136" s="32">
        <f>IF($N2136="","",IF(INDEX(LdBNote,$N2136)="","—",INDEX(LdBNote,$N2136)))</f>
        <v/>
      </c>
      <c r="N2136">
        <f>IFERROR(MATCH($C$5&amp;"|"&amp;RIGHT("000000"&amp;116,6),LdBKeyG,0),"")</f>
        <v/>
      </c>
    </row>
    <row r="2137">
      <c r="A2137" s="10" t="n">
        <v>117</v>
      </c>
      <c r="B2137" s="14">
        <f>IF($N2137="","",INDEX(LdBDate,$N2137))</f>
        <v/>
      </c>
      <c r="C2137" s="14">
        <f>IF($N2137="","",IF(INDEX(LdBId,$N2137)="","—",INDEX(LdBId,$N2137)))</f>
        <v/>
      </c>
      <c r="D2137" s="14">
        <f>IF($N2137="","",INDEX(LdBMember,$N2137))</f>
        <v/>
      </c>
      <c r="E2137" s="14">
        <f>IF($N2137="","",IFERROR(IF(VLOOKUP(INDEX(LdBMember,$N2137),AcctTblE,4,0)="","(بدون نام)",VLOOKUP(INDEX(LdBMember,$N2137),AcctTblE,4,0)),"—"))</f>
        <v/>
      </c>
      <c r="F2137" s="16">
        <f>IF($N2137="","",IF(INDEX(LdBAmt,$N2137)=0,"",INDEX(LdBAmt,$N2137)))</f>
        <v/>
      </c>
      <c r="G2137" s="30">
        <f>IF($N2137="","",IF(INDEX(LdBNote,$N2137)="","—",INDEX(LdBNote,$N2137)))</f>
        <v/>
      </c>
      <c r="N2137">
        <f>IFERROR(MATCH($C$5&amp;"|"&amp;RIGHT("000000"&amp;117,6),LdBKeyG,0),"")</f>
        <v/>
      </c>
    </row>
    <row r="2138">
      <c r="A2138" s="19" t="n">
        <v>118</v>
      </c>
      <c r="B2138" s="20">
        <f>IF($N2138="","",INDEX(LdBDate,$N2138))</f>
        <v/>
      </c>
      <c r="C2138" s="20">
        <f>IF($N2138="","",IF(INDEX(LdBId,$N2138)="","—",INDEX(LdBId,$N2138)))</f>
        <v/>
      </c>
      <c r="D2138" s="20">
        <f>IF($N2138="","",INDEX(LdBMember,$N2138))</f>
        <v/>
      </c>
      <c r="E2138" s="20">
        <f>IF($N2138="","",IFERROR(IF(VLOOKUP(INDEX(LdBMember,$N2138),AcctTblE,4,0)="","(بدون نام)",VLOOKUP(INDEX(LdBMember,$N2138),AcctTblE,4,0)),"—"))</f>
        <v/>
      </c>
      <c r="F2138" s="21">
        <f>IF($N2138="","",IF(INDEX(LdBAmt,$N2138)=0,"",INDEX(LdBAmt,$N2138)))</f>
        <v/>
      </c>
      <c r="G2138" s="32">
        <f>IF($N2138="","",IF(INDEX(LdBNote,$N2138)="","—",INDEX(LdBNote,$N2138)))</f>
        <v/>
      </c>
      <c r="N2138">
        <f>IFERROR(MATCH($C$5&amp;"|"&amp;RIGHT("000000"&amp;118,6),LdBKeyG,0),"")</f>
        <v/>
      </c>
    </row>
    <row r="2139">
      <c r="A2139" s="10" t="n">
        <v>119</v>
      </c>
      <c r="B2139" s="14">
        <f>IF($N2139="","",INDEX(LdBDate,$N2139))</f>
        <v/>
      </c>
      <c r="C2139" s="14">
        <f>IF($N2139="","",IF(INDEX(LdBId,$N2139)="","—",INDEX(LdBId,$N2139)))</f>
        <v/>
      </c>
      <c r="D2139" s="14">
        <f>IF($N2139="","",INDEX(LdBMember,$N2139))</f>
        <v/>
      </c>
      <c r="E2139" s="14">
        <f>IF($N2139="","",IFERROR(IF(VLOOKUP(INDEX(LdBMember,$N2139),AcctTblE,4,0)="","(بدون نام)",VLOOKUP(INDEX(LdBMember,$N2139),AcctTblE,4,0)),"—"))</f>
        <v/>
      </c>
      <c r="F2139" s="16">
        <f>IF($N2139="","",IF(INDEX(LdBAmt,$N2139)=0,"",INDEX(LdBAmt,$N2139)))</f>
        <v/>
      </c>
      <c r="G2139" s="30">
        <f>IF($N2139="","",IF(INDEX(LdBNote,$N2139)="","—",INDEX(LdBNote,$N2139)))</f>
        <v/>
      </c>
      <c r="N2139">
        <f>IFERROR(MATCH($C$5&amp;"|"&amp;RIGHT("000000"&amp;119,6),LdBKeyG,0),"")</f>
        <v/>
      </c>
    </row>
    <row r="2140">
      <c r="A2140" s="19" t="n">
        <v>120</v>
      </c>
      <c r="B2140" s="20">
        <f>IF($N2140="","",INDEX(LdBDate,$N2140))</f>
        <v/>
      </c>
      <c r="C2140" s="20">
        <f>IF($N2140="","",IF(INDEX(LdBId,$N2140)="","—",INDEX(LdBId,$N2140)))</f>
        <v/>
      </c>
      <c r="D2140" s="20">
        <f>IF($N2140="","",INDEX(LdBMember,$N2140))</f>
        <v/>
      </c>
      <c r="E2140" s="20">
        <f>IF($N2140="","",IFERROR(IF(VLOOKUP(INDEX(LdBMember,$N2140),AcctTblE,4,0)="","(بدون نام)",VLOOKUP(INDEX(LdBMember,$N2140),AcctTblE,4,0)),"—"))</f>
        <v/>
      </c>
      <c r="F2140" s="21">
        <f>IF($N2140="","",IF(INDEX(LdBAmt,$N2140)=0,"",INDEX(LdBAmt,$N2140)))</f>
        <v/>
      </c>
      <c r="G2140" s="32">
        <f>IF($N2140="","",IF(INDEX(LdBNote,$N2140)="","—",INDEX(LdBNote,$N2140)))</f>
        <v/>
      </c>
      <c r="N2140">
        <f>IFERROR(MATCH($C$5&amp;"|"&amp;RIGHT("000000"&amp;120,6),LdBKeyG,0),"")</f>
        <v/>
      </c>
    </row>
    <row r="2141">
      <c r="A2141" s="10" t="n">
        <v>121</v>
      </c>
      <c r="B2141" s="14">
        <f>IF($N2141="","",INDEX(LdBDate,$N2141))</f>
        <v/>
      </c>
      <c r="C2141" s="14">
        <f>IF($N2141="","",IF(INDEX(LdBId,$N2141)="","—",INDEX(LdBId,$N2141)))</f>
        <v/>
      </c>
      <c r="D2141" s="14">
        <f>IF($N2141="","",INDEX(LdBMember,$N2141))</f>
        <v/>
      </c>
      <c r="E2141" s="14">
        <f>IF($N2141="","",IFERROR(IF(VLOOKUP(INDEX(LdBMember,$N2141),AcctTblE,4,0)="","(بدون نام)",VLOOKUP(INDEX(LdBMember,$N2141),AcctTblE,4,0)),"—"))</f>
        <v/>
      </c>
      <c r="F2141" s="16">
        <f>IF($N2141="","",IF(INDEX(LdBAmt,$N2141)=0,"",INDEX(LdBAmt,$N2141)))</f>
        <v/>
      </c>
      <c r="G2141" s="30">
        <f>IF($N2141="","",IF(INDEX(LdBNote,$N2141)="","—",INDEX(LdBNote,$N2141)))</f>
        <v/>
      </c>
      <c r="N2141">
        <f>IFERROR(MATCH($C$5&amp;"|"&amp;RIGHT("000000"&amp;121,6),LdBKeyG,0),"")</f>
        <v/>
      </c>
    </row>
    <row r="2142">
      <c r="A2142" s="19" t="n">
        <v>122</v>
      </c>
      <c r="B2142" s="20">
        <f>IF($N2142="","",INDEX(LdBDate,$N2142))</f>
        <v/>
      </c>
      <c r="C2142" s="20">
        <f>IF($N2142="","",IF(INDEX(LdBId,$N2142)="","—",INDEX(LdBId,$N2142)))</f>
        <v/>
      </c>
      <c r="D2142" s="20">
        <f>IF($N2142="","",INDEX(LdBMember,$N2142))</f>
        <v/>
      </c>
      <c r="E2142" s="20">
        <f>IF($N2142="","",IFERROR(IF(VLOOKUP(INDEX(LdBMember,$N2142),AcctTblE,4,0)="","(بدون نام)",VLOOKUP(INDEX(LdBMember,$N2142),AcctTblE,4,0)),"—"))</f>
        <v/>
      </c>
      <c r="F2142" s="21">
        <f>IF($N2142="","",IF(INDEX(LdBAmt,$N2142)=0,"",INDEX(LdBAmt,$N2142)))</f>
        <v/>
      </c>
      <c r="G2142" s="32">
        <f>IF($N2142="","",IF(INDEX(LdBNote,$N2142)="","—",INDEX(LdBNote,$N2142)))</f>
        <v/>
      </c>
      <c r="N2142">
        <f>IFERROR(MATCH($C$5&amp;"|"&amp;RIGHT("000000"&amp;122,6),LdBKeyG,0),"")</f>
        <v/>
      </c>
    </row>
    <row r="2143">
      <c r="A2143" s="10" t="n">
        <v>123</v>
      </c>
      <c r="B2143" s="14">
        <f>IF($N2143="","",INDEX(LdBDate,$N2143))</f>
        <v/>
      </c>
      <c r="C2143" s="14">
        <f>IF($N2143="","",IF(INDEX(LdBId,$N2143)="","—",INDEX(LdBId,$N2143)))</f>
        <v/>
      </c>
      <c r="D2143" s="14">
        <f>IF($N2143="","",INDEX(LdBMember,$N2143))</f>
        <v/>
      </c>
      <c r="E2143" s="14">
        <f>IF($N2143="","",IFERROR(IF(VLOOKUP(INDEX(LdBMember,$N2143),AcctTblE,4,0)="","(بدون نام)",VLOOKUP(INDEX(LdBMember,$N2143),AcctTblE,4,0)),"—"))</f>
        <v/>
      </c>
      <c r="F2143" s="16">
        <f>IF($N2143="","",IF(INDEX(LdBAmt,$N2143)=0,"",INDEX(LdBAmt,$N2143)))</f>
        <v/>
      </c>
      <c r="G2143" s="30">
        <f>IF($N2143="","",IF(INDEX(LdBNote,$N2143)="","—",INDEX(LdBNote,$N2143)))</f>
        <v/>
      </c>
      <c r="N2143">
        <f>IFERROR(MATCH($C$5&amp;"|"&amp;RIGHT("000000"&amp;123,6),LdBKeyG,0),"")</f>
        <v/>
      </c>
    </row>
    <row r="2144">
      <c r="A2144" s="19" t="n">
        <v>124</v>
      </c>
      <c r="B2144" s="20">
        <f>IF($N2144="","",INDEX(LdBDate,$N2144))</f>
        <v/>
      </c>
      <c r="C2144" s="20">
        <f>IF($N2144="","",IF(INDEX(LdBId,$N2144)="","—",INDEX(LdBId,$N2144)))</f>
        <v/>
      </c>
      <c r="D2144" s="20">
        <f>IF($N2144="","",INDEX(LdBMember,$N2144))</f>
        <v/>
      </c>
      <c r="E2144" s="20">
        <f>IF($N2144="","",IFERROR(IF(VLOOKUP(INDEX(LdBMember,$N2144),AcctTblE,4,0)="","(بدون نام)",VLOOKUP(INDEX(LdBMember,$N2144),AcctTblE,4,0)),"—"))</f>
        <v/>
      </c>
      <c r="F2144" s="21">
        <f>IF($N2144="","",IF(INDEX(LdBAmt,$N2144)=0,"",INDEX(LdBAmt,$N2144)))</f>
        <v/>
      </c>
      <c r="G2144" s="32">
        <f>IF($N2144="","",IF(INDEX(LdBNote,$N2144)="","—",INDEX(LdBNote,$N2144)))</f>
        <v/>
      </c>
      <c r="N2144">
        <f>IFERROR(MATCH($C$5&amp;"|"&amp;RIGHT("000000"&amp;124,6),LdBKeyG,0),"")</f>
        <v/>
      </c>
    </row>
    <row r="2145">
      <c r="A2145" s="10" t="n">
        <v>125</v>
      </c>
      <c r="B2145" s="14">
        <f>IF($N2145="","",INDEX(LdBDate,$N2145))</f>
        <v/>
      </c>
      <c r="C2145" s="14">
        <f>IF($N2145="","",IF(INDEX(LdBId,$N2145)="","—",INDEX(LdBId,$N2145)))</f>
        <v/>
      </c>
      <c r="D2145" s="14">
        <f>IF($N2145="","",INDEX(LdBMember,$N2145))</f>
        <v/>
      </c>
      <c r="E2145" s="14">
        <f>IF($N2145="","",IFERROR(IF(VLOOKUP(INDEX(LdBMember,$N2145),AcctTblE,4,0)="","(بدون نام)",VLOOKUP(INDEX(LdBMember,$N2145),AcctTblE,4,0)),"—"))</f>
        <v/>
      </c>
      <c r="F2145" s="16">
        <f>IF($N2145="","",IF(INDEX(LdBAmt,$N2145)=0,"",INDEX(LdBAmt,$N2145)))</f>
        <v/>
      </c>
      <c r="G2145" s="30">
        <f>IF($N2145="","",IF(INDEX(LdBNote,$N2145)="","—",INDEX(LdBNote,$N2145)))</f>
        <v/>
      </c>
      <c r="N2145">
        <f>IFERROR(MATCH($C$5&amp;"|"&amp;RIGHT("000000"&amp;125,6),LdBKeyG,0),"")</f>
        <v/>
      </c>
    </row>
    <row r="2146">
      <c r="A2146" s="19" t="n">
        <v>126</v>
      </c>
      <c r="B2146" s="20">
        <f>IF($N2146="","",INDEX(LdBDate,$N2146))</f>
        <v/>
      </c>
      <c r="C2146" s="20">
        <f>IF($N2146="","",IF(INDEX(LdBId,$N2146)="","—",INDEX(LdBId,$N2146)))</f>
        <v/>
      </c>
      <c r="D2146" s="20">
        <f>IF($N2146="","",INDEX(LdBMember,$N2146))</f>
        <v/>
      </c>
      <c r="E2146" s="20">
        <f>IF($N2146="","",IFERROR(IF(VLOOKUP(INDEX(LdBMember,$N2146),AcctTblE,4,0)="","(بدون نام)",VLOOKUP(INDEX(LdBMember,$N2146),AcctTblE,4,0)),"—"))</f>
        <v/>
      </c>
      <c r="F2146" s="21">
        <f>IF($N2146="","",IF(INDEX(LdBAmt,$N2146)=0,"",INDEX(LdBAmt,$N2146)))</f>
        <v/>
      </c>
      <c r="G2146" s="32">
        <f>IF($N2146="","",IF(INDEX(LdBNote,$N2146)="","—",INDEX(LdBNote,$N2146)))</f>
        <v/>
      </c>
      <c r="N2146">
        <f>IFERROR(MATCH($C$5&amp;"|"&amp;RIGHT("000000"&amp;126,6),LdBKeyG,0),"")</f>
        <v/>
      </c>
    </row>
    <row r="2147">
      <c r="A2147" s="10" t="n">
        <v>127</v>
      </c>
      <c r="B2147" s="14">
        <f>IF($N2147="","",INDEX(LdBDate,$N2147))</f>
        <v/>
      </c>
      <c r="C2147" s="14">
        <f>IF($N2147="","",IF(INDEX(LdBId,$N2147)="","—",INDEX(LdBId,$N2147)))</f>
        <v/>
      </c>
      <c r="D2147" s="14">
        <f>IF($N2147="","",INDEX(LdBMember,$N2147))</f>
        <v/>
      </c>
      <c r="E2147" s="14">
        <f>IF($N2147="","",IFERROR(IF(VLOOKUP(INDEX(LdBMember,$N2147),AcctTblE,4,0)="","(بدون نام)",VLOOKUP(INDEX(LdBMember,$N2147),AcctTblE,4,0)),"—"))</f>
        <v/>
      </c>
      <c r="F2147" s="16">
        <f>IF($N2147="","",IF(INDEX(LdBAmt,$N2147)=0,"",INDEX(LdBAmt,$N2147)))</f>
        <v/>
      </c>
      <c r="G2147" s="30">
        <f>IF($N2147="","",IF(INDEX(LdBNote,$N2147)="","—",INDEX(LdBNote,$N2147)))</f>
        <v/>
      </c>
      <c r="N2147">
        <f>IFERROR(MATCH($C$5&amp;"|"&amp;RIGHT("000000"&amp;127,6),LdBKeyG,0),"")</f>
        <v/>
      </c>
    </row>
    <row r="2148">
      <c r="A2148" s="19" t="n">
        <v>128</v>
      </c>
      <c r="B2148" s="20">
        <f>IF($N2148="","",INDEX(LdBDate,$N2148))</f>
        <v/>
      </c>
      <c r="C2148" s="20">
        <f>IF($N2148="","",IF(INDEX(LdBId,$N2148)="","—",INDEX(LdBId,$N2148)))</f>
        <v/>
      </c>
      <c r="D2148" s="20">
        <f>IF($N2148="","",INDEX(LdBMember,$N2148))</f>
        <v/>
      </c>
      <c r="E2148" s="20">
        <f>IF($N2148="","",IFERROR(IF(VLOOKUP(INDEX(LdBMember,$N2148),AcctTblE,4,0)="","(بدون نام)",VLOOKUP(INDEX(LdBMember,$N2148),AcctTblE,4,0)),"—"))</f>
        <v/>
      </c>
      <c r="F2148" s="21">
        <f>IF($N2148="","",IF(INDEX(LdBAmt,$N2148)=0,"",INDEX(LdBAmt,$N2148)))</f>
        <v/>
      </c>
      <c r="G2148" s="32">
        <f>IF($N2148="","",IF(INDEX(LdBNote,$N2148)="","—",INDEX(LdBNote,$N2148)))</f>
        <v/>
      </c>
      <c r="N2148">
        <f>IFERROR(MATCH($C$5&amp;"|"&amp;RIGHT("000000"&amp;128,6),LdBKeyG,0),"")</f>
        <v/>
      </c>
    </row>
    <row r="2149">
      <c r="A2149" s="10" t="n">
        <v>129</v>
      </c>
      <c r="B2149" s="14">
        <f>IF($N2149="","",INDEX(LdBDate,$N2149))</f>
        <v/>
      </c>
      <c r="C2149" s="14">
        <f>IF($N2149="","",IF(INDEX(LdBId,$N2149)="","—",INDEX(LdBId,$N2149)))</f>
        <v/>
      </c>
      <c r="D2149" s="14">
        <f>IF($N2149="","",INDEX(LdBMember,$N2149))</f>
        <v/>
      </c>
      <c r="E2149" s="14">
        <f>IF($N2149="","",IFERROR(IF(VLOOKUP(INDEX(LdBMember,$N2149),AcctTblE,4,0)="","(بدون نام)",VLOOKUP(INDEX(LdBMember,$N2149),AcctTblE,4,0)),"—"))</f>
        <v/>
      </c>
      <c r="F2149" s="16">
        <f>IF($N2149="","",IF(INDEX(LdBAmt,$N2149)=0,"",INDEX(LdBAmt,$N2149)))</f>
        <v/>
      </c>
      <c r="G2149" s="30">
        <f>IF($N2149="","",IF(INDEX(LdBNote,$N2149)="","—",INDEX(LdBNote,$N2149)))</f>
        <v/>
      </c>
      <c r="N2149">
        <f>IFERROR(MATCH($C$5&amp;"|"&amp;RIGHT("000000"&amp;129,6),LdBKeyG,0),"")</f>
        <v/>
      </c>
    </row>
    <row r="2150">
      <c r="A2150" s="19" t="n">
        <v>130</v>
      </c>
      <c r="B2150" s="20">
        <f>IF($N2150="","",INDEX(LdBDate,$N2150))</f>
        <v/>
      </c>
      <c r="C2150" s="20">
        <f>IF($N2150="","",IF(INDEX(LdBId,$N2150)="","—",INDEX(LdBId,$N2150)))</f>
        <v/>
      </c>
      <c r="D2150" s="20">
        <f>IF($N2150="","",INDEX(LdBMember,$N2150))</f>
        <v/>
      </c>
      <c r="E2150" s="20">
        <f>IF($N2150="","",IFERROR(IF(VLOOKUP(INDEX(LdBMember,$N2150),AcctTblE,4,0)="","(بدون نام)",VLOOKUP(INDEX(LdBMember,$N2150),AcctTblE,4,0)),"—"))</f>
        <v/>
      </c>
      <c r="F2150" s="21">
        <f>IF($N2150="","",IF(INDEX(LdBAmt,$N2150)=0,"",INDEX(LdBAmt,$N2150)))</f>
        <v/>
      </c>
      <c r="G2150" s="32">
        <f>IF($N2150="","",IF(INDEX(LdBNote,$N2150)="","—",INDEX(LdBNote,$N2150)))</f>
        <v/>
      </c>
      <c r="N2150">
        <f>IFERROR(MATCH($C$5&amp;"|"&amp;RIGHT("000000"&amp;130,6),LdBKeyG,0),"")</f>
        <v/>
      </c>
    </row>
    <row r="2151">
      <c r="A2151" s="10" t="n">
        <v>131</v>
      </c>
      <c r="B2151" s="14">
        <f>IF($N2151="","",INDEX(LdBDate,$N2151))</f>
        <v/>
      </c>
      <c r="C2151" s="14">
        <f>IF($N2151="","",IF(INDEX(LdBId,$N2151)="","—",INDEX(LdBId,$N2151)))</f>
        <v/>
      </c>
      <c r="D2151" s="14">
        <f>IF($N2151="","",INDEX(LdBMember,$N2151))</f>
        <v/>
      </c>
      <c r="E2151" s="14">
        <f>IF($N2151="","",IFERROR(IF(VLOOKUP(INDEX(LdBMember,$N2151),AcctTblE,4,0)="","(بدون نام)",VLOOKUP(INDEX(LdBMember,$N2151),AcctTblE,4,0)),"—"))</f>
        <v/>
      </c>
      <c r="F2151" s="16">
        <f>IF($N2151="","",IF(INDEX(LdBAmt,$N2151)=0,"",INDEX(LdBAmt,$N2151)))</f>
        <v/>
      </c>
      <c r="G2151" s="30">
        <f>IF($N2151="","",IF(INDEX(LdBNote,$N2151)="","—",INDEX(LdBNote,$N2151)))</f>
        <v/>
      </c>
      <c r="N2151">
        <f>IFERROR(MATCH($C$5&amp;"|"&amp;RIGHT("000000"&amp;131,6),LdBKeyG,0),"")</f>
        <v/>
      </c>
    </row>
    <row r="2152">
      <c r="A2152" s="19" t="n">
        <v>132</v>
      </c>
      <c r="B2152" s="20">
        <f>IF($N2152="","",INDEX(LdBDate,$N2152))</f>
        <v/>
      </c>
      <c r="C2152" s="20">
        <f>IF($N2152="","",IF(INDEX(LdBId,$N2152)="","—",INDEX(LdBId,$N2152)))</f>
        <v/>
      </c>
      <c r="D2152" s="20">
        <f>IF($N2152="","",INDEX(LdBMember,$N2152))</f>
        <v/>
      </c>
      <c r="E2152" s="20">
        <f>IF($N2152="","",IFERROR(IF(VLOOKUP(INDEX(LdBMember,$N2152),AcctTblE,4,0)="","(بدون نام)",VLOOKUP(INDEX(LdBMember,$N2152),AcctTblE,4,0)),"—"))</f>
        <v/>
      </c>
      <c r="F2152" s="21">
        <f>IF($N2152="","",IF(INDEX(LdBAmt,$N2152)=0,"",INDEX(LdBAmt,$N2152)))</f>
        <v/>
      </c>
      <c r="G2152" s="32">
        <f>IF($N2152="","",IF(INDEX(LdBNote,$N2152)="","—",INDEX(LdBNote,$N2152)))</f>
        <v/>
      </c>
      <c r="N2152">
        <f>IFERROR(MATCH($C$5&amp;"|"&amp;RIGHT("000000"&amp;132,6),LdBKeyG,0),"")</f>
        <v/>
      </c>
    </row>
    <row r="2153">
      <c r="A2153" s="10" t="n">
        <v>133</v>
      </c>
      <c r="B2153" s="14">
        <f>IF($N2153="","",INDEX(LdBDate,$N2153))</f>
        <v/>
      </c>
      <c r="C2153" s="14">
        <f>IF($N2153="","",IF(INDEX(LdBId,$N2153)="","—",INDEX(LdBId,$N2153)))</f>
        <v/>
      </c>
      <c r="D2153" s="14">
        <f>IF($N2153="","",INDEX(LdBMember,$N2153))</f>
        <v/>
      </c>
      <c r="E2153" s="14">
        <f>IF($N2153="","",IFERROR(IF(VLOOKUP(INDEX(LdBMember,$N2153),AcctTblE,4,0)="","(بدون نام)",VLOOKUP(INDEX(LdBMember,$N2153),AcctTblE,4,0)),"—"))</f>
        <v/>
      </c>
      <c r="F2153" s="16">
        <f>IF($N2153="","",IF(INDEX(LdBAmt,$N2153)=0,"",INDEX(LdBAmt,$N2153)))</f>
        <v/>
      </c>
      <c r="G2153" s="30">
        <f>IF($N2153="","",IF(INDEX(LdBNote,$N2153)="","—",INDEX(LdBNote,$N2153)))</f>
        <v/>
      </c>
      <c r="N2153">
        <f>IFERROR(MATCH($C$5&amp;"|"&amp;RIGHT("000000"&amp;133,6),LdBKeyG,0),"")</f>
        <v/>
      </c>
    </row>
    <row r="2154">
      <c r="A2154" s="19" t="n">
        <v>134</v>
      </c>
      <c r="B2154" s="20">
        <f>IF($N2154="","",INDEX(LdBDate,$N2154))</f>
        <v/>
      </c>
      <c r="C2154" s="20">
        <f>IF($N2154="","",IF(INDEX(LdBId,$N2154)="","—",INDEX(LdBId,$N2154)))</f>
        <v/>
      </c>
      <c r="D2154" s="20">
        <f>IF($N2154="","",INDEX(LdBMember,$N2154))</f>
        <v/>
      </c>
      <c r="E2154" s="20">
        <f>IF($N2154="","",IFERROR(IF(VLOOKUP(INDEX(LdBMember,$N2154),AcctTblE,4,0)="","(بدون نام)",VLOOKUP(INDEX(LdBMember,$N2154),AcctTblE,4,0)),"—"))</f>
        <v/>
      </c>
      <c r="F2154" s="21">
        <f>IF($N2154="","",IF(INDEX(LdBAmt,$N2154)=0,"",INDEX(LdBAmt,$N2154)))</f>
        <v/>
      </c>
      <c r="G2154" s="32">
        <f>IF($N2154="","",IF(INDEX(LdBNote,$N2154)="","—",INDEX(LdBNote,$N2154)))</f>
        <v/>
      </c>
      <c r="N2154">
        <f>IFERROR(MATCH($C$5&amp;"|"&amp;RIGHT("000000"&amp;134,6),LdBKeyG,0),"")</f>
        <v/>
      </c>
    </row>
    <row r="2155">
      <c r="A2155" s="10" t="n">
        <v>135</v>
      </c>
      <c r="B2155" s="14">
        <f>IF($N2155="","",INDEX(LdBDate,$N2155))</f>
        <v/>
      </c>
      <c r="C2155" s="14">
        <f>IF($N2155="","",IF(INDEX(LdBId,$N2155)="","—",INDEX(LdBId,$N2155)))</f>
        <v/>
      </c>
      <c r="D2155" s="14">
        <f>IF($N2155="","",INDEX(LdBMember,$N2155))</f>
        <v/>
      </c>
      <c r="E2155" s="14">
        <f>IF($N2155="","",IFERROR(IF(VLOOKUP(INDEX(LdBMember,$N2155),AcctTblE,4,0)="","(بدون نام)",VLOOKUP(INDEX(LdBMember,$N2155),AcctTblE,4,0)),"—"))</f>
        <v/>
      </c>
      <c r="F2155" s="16">
        <f>IF($N2155="","",IF(INDEX(LdBAmt,$N2155)=0,"",INDEX(LdBAmt,$N2155)))</f>
        <v/>
      </c>
      <c r="G2155" s="30">
        <f>IF($N2155="","",IF(INDEX(LdBNote,$N2155)="","—",INDEX(LdBNote,$N2155)))</f>
        <v/>
      </c>
      <c r="N2155">
        <f>IFERROR(MATCH($C$5&amp;"|"&amp;RIGHT("000000"&amp;135,6),LdBKeyG,0),"")</f>
        <v/>
      </c>
    </row>
    <row r="2156">
      <c r="A2156" s="19" t="n">
        <v>136</v>
      </c>
      <c r="B2156" s="20">
        <f>IF($N2156="","",INDEX(LdBDate,$N2156))</f>
        <v/>
      </c>
      <c r="C2156" s="20">
        <f>IF($N2156="","",IF(INDEX(LdBId,$N2156)="","—",INDEX(LdBId,$N2156)))</f>
        <v/>
      </c>
      <c r="D2156" s="20">
        <f>IF($N2156="","",INDEX(LdBMember,$N2156))</f>
        <v/>
      </c>
      <c r="E2156" s="20">
        <f>IF($N2156="","",IFERROR(IF(VLOOKUP(INDEX(LdBMember,$N2156),AcctTblE,4,0)="","(بدون نام)",VLOOKUP(INDEX(LdBMember,$N2156),AcctTblE,4,0)),"—"))</f>
        <v/>
      </c>
      <c r="F2156" s="21">
        <f>IF($N2156="","",IF(INDEX(LdBAmt,$N2156)=0,"",INDEX(LdBAmt,$N2156)))</f>
        <v/>
      </c>
      <c r="G2156" s="32">
        <f>IF($N2156="","",IF(INDEX(LdBNote,$N2156)="","—",INDEX(LdBNote,$N2156)))</f>
        <v/>
      </c>
      <c r="N2156">
        <f>IFERROR(MATCH($C$5&amp;"|"&amp;RIGHT("000000"&amp;136,6),LdBKeyG,0),"")</f>
        <v/>
      </c>
    </row>
    <row r="2157">
      <c r="A2157" s="10" t="n">
        <v>137</v>
      </c>
      <c r="B2157" s="14">
        <f>IF($N2157="","",INDEX(LdBDate,$N2157))</f>
        <v/>
      </c>
      <c r="C2157" s="14">
        <f>IF($N2157="","",IF(INDEX(LdBId,$N2157)="","—",INDEX(LdBId,$N2157)))</f>
        <v/>
      </c>
      <c r="D2157" s="14">
        <f>IF($N2157="","",INDEX(LdBMember,$N2157))</f>
        <v/>
      </c>
      <c r="E2157" s="14">
        <f>IF($N2157="","",IFERROR(IF(VLOOKUP(INDEX(LdBMember,$N2157),AcctTblE,4,0)="","(بدون نام)",VLOOKUP(INDEX(LdBMember,$N2157),AcctTblE,4,0)),"—"))</f>
        <v/>
      </c>
      <c r="F2157" s="16">
        <f>IF($N2157="","",IF(INDEX(LdBAmt,$N2157)=0,"",INDEX(LdBAmt,$N2157)))</f>
        <v/>
      </c>
      <c r="G2157" s="30">
        <f>IF($N2157="","",IF(INDEX(LdBNote,$N2157)="","—",INDEX(LdBNote,$N2157)))</f>
        <v/>
      </c>
      <c r="N2157">
        <f>IFERROR(MATCH($C$5&amp;"|"&amp;RIGHT("000000"&amp;137,6),LdBKeyG,0),"")</f>
        <v/>
      </c>
    </row>
    <row r="2158">
      <c r="A2158" s="19" t="n">
        <v>138</v>
      </c>
      <c r="B2158" s="20">
        <f>IF($N2158="","",INDEX(LdBDate,$N2158))</f>
        <v/>
      </c>
      <c r="C2158" s="20">
        <f>IF($N2158="","",IF(INDEX(LdBId,$N2158)="","—",INDEX(LdBId,$N2158)))</f>
        <v/>
      </c>
      <c r="D2158" s="20">
        <f>IF($N2158="","",INDEX(LdBMember,$N2158))</f>
        <v/>
      </c>
      <c r="E2158" s="20">
        <f>IF($N2158="","",IFERROR(IF(VLOOKUP(INDEX(LdBMember,$N2158),AcctTblE,4,0)="","(بدون نام)",VLOOKUP(INDEX(LdBMember,$N2158),AcctTblE,4,0)),"—"))</f>
        <v/>
      </c>
      <c r="F2158" s="21">
        <f>IF($N2158="","",IF(INDEX(LdBAmt,$N2158)=0,"",INDEX(LdBAmt,$N2158)))</f>
        <v/>
      </c>
      <c r="G2158" s="32">
        <f>IF($N2158="","",IF(INDEX(LdBNote,$N2158)="","—",INDEX(LdBNote,$N2158)))</f>
        <v/>
      </c>
      <c r="N2158">
        <f>IFERROR(MATCH($C$5&amp;"|"&amp;RIGHT("000000"&amp;138,6),LdBKeyG,0),"")</f>
        <v/>
      </c>
    </row>
    <row r="2159">
      <c r="A2159" s="10" t="n">
        <v>139</v>
      </c>
      <c r="B2159" s="14">
        <f>IF($N2159="","",INDEX(LdBDate,$N2159))</f>
        <v/>
      </c>
      <c r="C2159" s="14">
        <f>IF($N2159="","",IF(INDEX(LdBId,$N2159)="","—",INDEX(LdBId,$N2159)))</f>
        <v/>
      </c>
      <c r="D2159" s="14">
        <f>IF($N2159="","",INDEX(LdBMember,$N2159))</f>
        <v/>
      </c>
      <c r="E2159" s="14">
        <f>IF($N2159="","",IFERROR(IF(VLOOKUP(INDEX(LdBMember,$N2159),AcctTblE,4,0)="","(بدون نام)",VLOOKUP(INDEX(LdBMember,$N2159),AcctTblE,4,0)),"—"))</f>
        <v/>
      </c>
      <c r="F2159" s="16">
        <f>IF($N2159="","",IF(INDEX(LdBAmt,$N2159)=0,"",INDEX(LdBAmt,$N2159)))</f>
        <v/>
      </c>
      <c r="G2159" s="30">
        <f>IF($N2159="","",IF(INDEX(LdBNote,$N2159)="","—",INDEX(LdBNote,$N2159)))</f>
        <v/>
      </c>
      <c r="N2159">
        <f>IFERROR(MATCH($C$5&amp;"|"&amp;RIGHT("000000"&amp;139,6),LdBKeyG,0),"")</f>
        <v/>
      </c>
    </row>
    <row r="2160">
      <c r="A2160" s="19" t="n">
        <v>140</v>
      </c>
      <c r="B2160" s="20">
        <f>IF($N2160="","",INDEX(LdBDate,$N2160))</f>
        <v/>
      </c>
      <c r="C2160" s="20">
        <f>IF($N2160="","",IF(INDEX(LdBId,$N2160)="","—",INDEX(LdBId,$N2160)))</f>
        <v/>
      </c>
      <c r="D2160" s="20">
        <f>IF($N2160="","",INDEX(LdBMember,$N2160))</f>
        <v/>
      </c>
      <c r="E2160" s="20">
        <f>IF($N2160="","",IFERROR(IF(VLOOKUP(INDEX(LdBMember,$N2160),AcctTblE,4,0)="","(بدون نام)",VLOOKUP(INDEX(LdBMember,$N2160),AcctTblE,4,0)),"—"))</f>
        <v/>
      </c>
      <c r="F2160" s="21">
        <f>IF($N2160="","",IF(INDEX(LdBAmt,$N2160)=0,"",INDEX(LdBAmt,$N2160)))</f>
        <v/>
      </c>
      <c r="G2160" s="32">
        <f>IF($N2160="","",IF(INDEX(LdBNote,$N2160)="","—",INDEX(LdBNote,$N2160)))</f>
        <v/>
      </c>
      <c r="N2160">
        <f>IFERROR(MATCH($C$5&amp;"|"&amp;RIGHT("000000"&amp;140,6),LdBKeyG,0),"")</f>
        <v/>
      </c>
    </row>
    <row r="2161">
      <c r="A2161" s="10" t="n">
        <v>141</v>
      </c>
      <c r="B2161" s="14">
        <f>IF($N2161="","",INDEX(LdBDate,$N2161))</f>
        <v/>
      </c>
      <c r="C2161" s="14">
        <f>IF($N2161="","",IF(INDEX(LdBId,$N2161)="","—",INDEX(LdBId,$N2161)))</f>
        <v/>
      </c>
      <c r="D2161" s="14">
        <f>IF($N2161="","",INDEX(LdBMember,$N2161))</f>
        <v/>
      </c>
      <c r="E2161" s="14">
        <f>IF($N2161="","",IFERROR(IF(VLOOKUP(INDEX(LdBMember,$N2161),AcctTblE,4,0)="","(بدون نام)",VLOOKUP(INDEX(LdBMember,$N2161),AcctTblE,4,0)),"—"))</f>
        <v/>
      </c>
      <c r="F2161" s="16">
        <f>IF($N2161="","",IF(INDEX(LdBAmt,$N2161)=0,"",INDEX(LdBAmt,$N2161)))</f>
        <v/>
      </c>
      <c r="G2161" s="30">
        <f>IF($N2161="","",IF(INDEX(LdBNote,$N2161)="","—",INDEX(LdBNote,$N2161)))</f>
        <v/>
      </c>
      <c r="N2161">
        <f>IFERROR(MATCH($C$5&amp;"|"&amp;RIGHT("000000"&amp;141,6),LdBKeyG,0),"")</f>
        <v/>
      </c>
    </row>
    <row r="2162">
      <c r="A2162" s="19" t="n">
        <v>142</v>
      </c>
      <c r="B2162" s="20">
        <f>IF($N2162="","",INDEX(LdBDate,$N2162))</f>
        <v/>
      </c>
      <c r="C2162" s="20">
        <f>IF($N2162="","",IF(INDEX(LdBId,$N2162)="","—",INDEX(LdBId,$N2162)))</f>
        <v/>
      </c>
      <c r="D2162" s="20">
        <f>IF($N2162="","",INDEX(LdBMember,$N2162))</f>
        <v/>
      </c>
      <c r="E2162" s="20">
        <f>IF($N2162="","",IFERROR(IF(VLOOKUP(INDEX(LdBMember,$N2162),AcctTblE,4,0)="","(بدون نام)",VLOOKUP(INDEX(LdBMember,$N2162),AcctTblE,4,0)),"—"))</f>
        <v/>
      </c>
      <c r="F2162" s="21">
        <f>IF($N2162="","",IF(INDEX(LdBAmt,$N2162)=0,"",INDEX(LdBAmt,$N2162)))</f>
        <v/>
      </c>
      <c r="G2162" s="32">
        <f>IF($N2162="","",IF(INDEX(LdBNote,$N2162)="","—",INDEX(LdBNote,$N2162)))</f>
        <v/>
      </c>
      <c r="N2162">
        <f>IFERROR(MATCH($C$5&amp;"|"&amp;RIGHT("000000"&amp;142,6),LdBKeyG,0),"")</f>
        <v/>
      </c>
    </row>
    <row r="2163">
      <c r="A2163" s="10" t="n">
        <v>143</v>
      </c>
      <c r="B2163" s="14">
        <f>IF($N2163="","",INDEX(LdBDate,$N2163))</f>
        <v/>
      </c>
      <c r="C2163" s="14">
        <f>IF($N2163="","",IF(INDEX(LdBId,$N2163)="","—",INDEX(LdBId,$N2163)))</f>
        <v/>
      </c>
      <c r="D2163" s="14">
        <f>IF($N2163="","",INDEX(LdBMember,$N2163))</f>
        <v/>
      </c>
      <c r="E2163" s="14">
        <f>IF($N2163="","",IFERROR(IF(VLOOKUP(INDEX(LdBMember,$N2163),AcctTblE,4,0)="","(بدون نام)",VLOOKUP(INDEX(LdBMember,$N2163),AcctTblE,4,0)),"—"))</f>
        <v/>
      </c>
      <c r="F2163" s="16">
        <f>IF($N2163="","",IF(INDEX(LdBAmt,$N2163)=0,"",INDEX(LdBAmt,$N2163)))</f>
        <v/>
      </c>
      <c r="G2163" s="30">
        <f>IF($N2163="","",IF(INDEX(LdBNote,$N2163)="","—",INDEX(LdBNote,$N2163)))</f>
        <v/>
      </c>
      <c r="N2163">
        <f>IFERROR(MATCH($C$5&amp;"|"&amp;RIGHT("000000"&amp;143,6),LdBKeyG,0),"")</f>
        <v/>
      </c>
    </row>
    <row r="2164">
      <c r="A2164" s="19" t="n">
        <v>144</v>
      </c>
      <c r="B2164" s="20">
        <f>IF($N2164="","",INDEX(LdBDate,$N2164))</f>
        <v/>
      </c>
      <c r="C2164" s="20">
        <f>IF($N2164="","",IF(INDEX(LdBId,$N2164)="","—",INDEX(LdBId,$N2164)))</f>
        <v/>
      </c>
      <c r="D2164" s="20">
        <f>IF($N2164="","",INDEX(LdBMember,$N2164))</f>
        <v/>
      </c>
      <c r="E2164" s="20">
        <f>IF($N2164="","",IFERROR(IF(VLOOKUP(INDEX(LdBMember,$N2164),AcctTblE,4,0)="","(بدون نام)",VLOOKUP(INDEX(LdBMember,$N2164),AcctTblE,4,0)),"—"))</f>
        <v/>
      </c>
      <c r="F2164" s="21">
        <f>IF($N2164="","",IF(INDEX(LdBAmt,$N2164)=0,"",INDEX(LdBAmt,$N2164)))</f>
        <v/>
      </c>
      <c r="G2164" s="32">
        <f>IF($N2164="","",IF(INDEX(LdBNote,$N2164)="","—",INDEX(LdBNote,$N2164)))</f>
        <v/>
      </c>
      <c r="N2164">
        <f>IFERROR(MATCH($C$5&amp;"|"&amp;RIGHT("000000"&amp;144,6),LdBKeyG,0),"")</f>
        <v/>
      </c>
    </row>
    <row r="2165">
      <c r="A2165" s="10" t="n">
        <v>145</v>
      </c>
      <c r="B2165" s="14">
        <f>IF($N2165="","",INDEX(LdBDate,$N2165))</f>
        <v/>
      </c>
      <c r="C2165" s="14">
        <f>IF($N2165="","",IF(INDEX(LdBId,$N2165)="","—",INDEX(LdBId,$N2165)))</f>
        <v/>
      </c>
      <c r="D2165" s="14">
        <f>IF($N2165="","",INDEX(LdBMember,$N2165))</f>
        <v/>
      </c>
      <c r="E2165" s="14">
        <f>IF($N2165="","",IFERROR(IF(VLOOKUP(INDEX(LdBMember,$N2165),AcctTblE,4,0)="","(بدون نام)",VLOOKUP(INDEX(LdBMember,$N2165),AcctTblE,4,0)),"—"))</f>
        <v/>
      </c>
      <c r="F2165" s="16">
        <f>IF($N2165="","",IF(INDEX(LdBAmt,$N2165)=0,"",INDEX(LdBAmt,$N2165)))</f>
        <v/>
      </c>
      <c r="G2165" s="30">
        <f>IF($N2165="","",IF(INDEX(LdBNote,$N2165)="","—",INDEX(LdBNote,$N2165)))</f>
        <v/>
      </c>
      <c r="N2165">
        <f>IFERROR(MATCH($C$5&amp;"|"&amp;RIGHT("000000"&amp;145,6),LdBKeyG,0),"")</f>
        <v/>
      </c>
    </row>
    <row r="2166">
      <c r="A2166" s="19" t="n">
        <v>146</v>
      </c>
      <c r="B2166" s="20">
        <f>IF($N2166="","",INDEX(LdBDate,$N2166))</f>
        <v/>
      </c>
      <c r="C2166" s="20">
        <f>IF($N2166="","",IF(INDEX(LdBId,$N2166)="","—",INDEX(LdBId,$N2166)))</f>
        <v/>
      </c>
      <c r="D2166" s="20">
        <f>IF($N2166="","",INDEX(LdBMember,$N2166))</f>
        <v/>
      </c>
      <c r="E2166" s="20">
        <f>IF($N2166="","",IFERROR(IF(VLOOKUP(INDEX(LdBMember,$N2166),AcctTblE,4,0)="","(بدون نام)",VLOOKUP(INDEX(LdBMember,$N2166),AcctTblE,4,0)),"—"))</f>
        <v/>
      </c>
      <c r="F2166" s="21">
        <f>IF($N2166="","",IF(INDEX(LdBAmt,$N2166)=0,"",INDEX(LdBAmt,$N2166)))</f>
        <v/>
      </c>
      <c r="G2166" s="32">
        <f>IF($N2166="","",IF(INDEX(LdBNote,$N2166)="","—",INDEX(LdBNote,$N2166)))</f>
        <v/>
      </c>
      <c r="N2166">
        <f>IFERROR(MATCH($C$5&amp;"|"&amp;RIGHT("000000"&amp;146,6),LdBKeyG,0),"")</f>
        <v/>
      </c>
    </row>
    <row r="2167">
      <c r="A2167" s="10" t="n">
        <v>147</v>
      </c>
      <c r="B2167" s="14">
        <f>IF($N2167="","",INDEX(LdBDate,$N2167))</f>
        <v/>
      </c>
      <c r="C2167" s="14">
        <f>IF($N2167="","",IF(INDEX(LdBId,$N2167)="","—",INDEX(LdBId,$N2167)))</f>
        <v/>
      </c>
      <c r="D2167" s="14">
        <f>IF($N2167="","",INDEX(LdBMember,$N2167))</f>
        <v/>
      </c>
      <c r="E2167" s="14">
        <f>IF($N2167="","",IFERROR(IF(VLOOKUP(INDEX(LdBMember,$N2167),AcctTblE,4,0)="","(بدون نام)",VLOOKUP(INDEX(LdBMember,$N2167),AcctTblE,4,0)),"—"))</f>
        <v/>
      </c>
      <c r="F2167" s="16">
        <f>IF($N2167="","",IF(INDEX(LdBAmt,$N2167)=0,"",INDEX(LdBAmt,$N2167)))</f>
        <v/>
      </c>
      <c r="G2167" s="30">
        <f>IF($N2167="","",IF(INDEX(LdBNote,$N2167)="","—",INDEX(LdBNote,$N2167)))</f>
        <v/>
      </c>
      <c r="N2167">
        <f>IFERROR(MATCH($C$5&amp;"|"&amp;RIGHT("000000"&amp;147,6),LdBKeyG,0),"")</f>
        <v/>
      </c>
    </row>
    <row r="2168">
      <c r="A2168" s="19" t="n">
        <v>148</v>
      </c>
      <c r="B2168" s="20">
        <f>IF($N2168="","",INDEX(LdBDate,$N2168))</f>
        <v/>
      </c>
      <c r="C2168" s="20">
        <f>IF($N2168="","",IF(INDEX(LdBId,$N2168)="","—",INDEX(LdBId,$N2168)))</f>
        <v/>
      </c>
      <c r="D2168" s="20">
        <f>IF($N2168="","",INDEX(LdBMember,$N2168))</f>
        <v/>
      </c>
      <c r="E2168" s="20">
        <f>IF($N2168="","",IFERROR(IF(VLOOKUP(INDEX(LdBMember,$N2168),AcctTblE,4,0)="","(بدون نام)",VLOOKUP(INDEX(LdBMember,$N2168),AcctTblE,4,0)),"—"))</f>
        <v/>
      </c>
      <c r="F2168" s="21">
        <f>IF($N2168="","",IF(INDEX(LdBAmt,$N2168)=0,"",INDEX(LdBAmt,$N2168)))</f>
        <v/>
      </c>
      <c r="G2168" s="32">
        <f>IF($N2168="","",IF(INDEX(LdBNote,$N2168)="","—",INDEX(LdBNote,$N2168)))</f>
        <v/>
      </c>
      <c r="N2168">
        <f>IFERROR(MATCH($C$5&amp;"|"&amp;RIGHT("000000"&amp;148,6),LdBKeyG,0),"")</f>
        <v/>
      </c>
    </row>
    <row r="2169">
      <c r="A2169" s="10" t="n">
        <v>149</v>
      </c>
      <c r="B2169" s="14">
        <f>IF($N2169="","",INDEX(LdBDate,$N2169))</f>
        <v/>
      </c>
      <c r="C2169" s="14">
        <f>IF($N2169="","",IF(INDEX(LdBId,$N2169)="","—",INDEX(LdBId,$N2169)))</f>
        <v/>
      </c>
      <c r="D2169" s="14">
        <f>IF($N2169="","",INDEX(LdBMember,$N2169))</f>
        <v/>
      </c>
      <c r="E2169" s="14">
        <f>IF($N2169="","",IFERROR(IF(VLOOKUP(INDEX(LdBMember,$N2169),AcctTblE,4,0)="","(بدون نام)",VLOOKUP(INDEX(LdBMember,$N2169),AcctTblE,4,0)),"—"))</f>
        <v/>
      </c>
      <c r="F2169" s="16">
        <f>IF($N2169="","",IF(INDEX(LdBAmt,$N2169)=0,"",INDEX(LdBAmt,$N2169)))</f>
        <v/>
      </c>
      <c r="G2169" s="30">
        <f>IF($N2169="","",IF(INDEX(LdBNote,$N2169)="","—",INDEX(LdBNote,$N2169)))</f>
        <v/>
      </c>
      <c r="N2169">
        <f>IFERROR(MATCH($C$5&amp;"|"&amp;RIGHT("000000"&amp;149,6),LdBKeyG,0),"")</f>
        <v/>
      </c>
    </row>
    <row r="2170">
      <c r="A2170" s="19" t="n">
        <v>150</v>
      </c>
      <c r="B2170" s="20">
        <f>IF($N2170="","",INDEX(LdBDate,$N2170))</f>
        <v/>
      </c>
      <c r="C2170" s="20">
        <f>IF($N2170="","",IF(INDEX(LdBId,$N2170)="","—",INDEX(LdBId,$N2170)))</f>
        <v/>
      </c>
      <c r="D2170" s="20">
        <f>IF($N2170="","",INDEX(LdBMember,$N2170))</f>
        <v/>
      </c>
      <c r="E2170" s="20">
        <f>IF($N2170="","",IFERROR(IF(VLOOKUP(INDEX(LdBMember,$N2170),AcctTblE,4,0)="","(بدون نام)",VLOOKUP(INDEX(LdBMember,$N2170),AcctTblE,4,0)),"—"))</f>
        <v/>
      </c>
      <c r="F2170" s="21">
        <f>IF($N2170="","",IF(INDEX(LdBAmt,$N2170)=0,"",INDEX(LdBAmt,$N2170)))</f>
        <v/>
      </c>
      <c r="G2170" s="32">
        <f>IF($N2170="","",IF(INDEX(LdBNote,$N2170)="","—",INDEX(LdBNote,$N2170)))</f>
        <v/>
      </c>
      <c r="N2170">
        <f>IFERROR(MATCH($C$5&amp;"|"&amp;RIGHT("000000"&amp;150,6),LdBKeyG,0),"")</f>
        <v/>
      </c>
    </row>
    <row r="2171">
      <c r="A2171" s="10" t="n">
        <v>151</v>
      </c>
      <c r="B2171" s="14">
        <f>IF($N2171="","",INDEX(LdBDate,$N2171))</f>
        <v/>
      </c>
      <c r="C2171" s="14">
        <f>IF($N2171="","",IF(INDEX(LdBId,$N2171)="","—",INDEX(LdBId,$N2171)))</f>
        <v/>
      </c>
      <c r="D2171" s="14">
        <f>IF($N2171="","",INDEX(LdBMember,$N2171))</f>
        <v/>
      </c>
      <c r="E2171" s="14">
        <f>IF($N2171="","",IFERROR(IF(VLOOKUP(INDEX(LdBMember,$N2171),AcctTblE,4,0)="","(بدون نام)",VLOOKUP(INDEX(LdBMember,$N2171),AcctTblE,4,0)),"—"))</f>
        <v/>
      </c>
      <c r="F2171" s="16">
        <f>IF($N2171="","",IF(INDEX(LdBAmt,$N2171)=0,"",INDEX(LdBAmt,$N2171)))</f>
        <v/>
      </c>
      <c r="G2171" s="30">
        <f>IF($N2171="","",IF(INDEX(LdBNote,$N2171)="","—",INDEX(LdBNote,$N2171)))</f>
        <v/>
      </c>
      <c r="N2171">
        <f>IFERROR(MATCH($C$5&amp;"|"&amp;RIGHT("000000"&amp;151,6),LdBKeyG,0),"")</f>
        <v/>
      </c>
    </row>
    <row r="2172">
      <c r="A2172" s="19" t="n">
        <v>152</v>
      </c>
      <c r="B2172" s="20">
        <f>IF($N2172="","",INDEX(LdBDate,$N2172))</f>
        <v/>
      </c>
      <c r="C2172" s="20">
        <f>IF($N2172="","",IF(INDEX(LdBId,$N2172)="","—",INDEX(LdBId,$N2172)))</f>
        <v/>
      </c>
      <c r="D2172" s="20">
        <f>IF($N2172="","",INDEX(LdBMember,$N2172))</f>
        <v/>
      </c>
      <c r="E2172" s="20">
        <f>IF($N2172="","",IFERROR(IF(VLOOKUP(INDEX(LdBMember,$N2172),AcctTblE,4,0)="","(بدون نام)",VLOOKUP(INDEX(LdBMember,$N2172),AcctTblE,4,0)),"—"))</f>
        <v/>
      </c>
      <c r="F2172" s="21">
        <f>IF($N2172="","",IF(INDEX(LdBAmt,$N2172)=0,"",INDEX(LdBAmt,$N2172)))</f>
        <v/>
      </c>
      <c r="G2172" s="32">
        <f>IF($N2172="","",IF(INDEX(LdBNote,$N2172)="","—",INDEX(LdBNote,$N2172)))</f>
        <v/>
      </c>
      <c r="N2172">
        <f>IFERROR(MATCH($C$5&amp;"|"&amp;RIGHT("000000"&amp;152,6),LdBKeyG,0),"")</f>
        <v/>
      </c>
    </row>
    <row r="2173">
      <c r="A2173" s="10" t="n">
        <v>153</v>
      </c>
      <c r="B2173" s="14">
        <f>IF($N2173="","",INDEX(LdBDate,$N2173))</f>
        <v/>
      </c>
      <c r="C2173" s="14">
        <f>IF($N2173="","",IF(INDEX(LdBId,$N2173)="","—",INDEX(LdBId,$N2173)))</f>
        <v/>
      </c>
      <c r="D2173" s="14">
        <f>IF($N2173="","",INDEX(LdBMember,$N2173))</f>
        <v/>
      </c>
      <c r="E2173" s="14">
        <f>IF($N2173="","",IFERROR(IF(VLOOKUP(INDEX(LdBMember,$N2173),AcctTblE,4,0)="","(بدون نام)",VLOOKUP(INDEX(LdBMember,$N2173),AcctTblE,4,0)),"—"))</f>
        <v/>
      </c>
      <c r="F2173" s="16">
        <f>IF($N2173="","",IF(INDEX(LdBAmt,$N2173)=0,"",INDEX(LdBAmt,$N2173)))</f>
        <v/>
      </c>
      <c r="G2173" s="30">
        <f>IF($N2173="","",IF(INDEX(LdBNote,$N2173)="","—",INDEX(LdBNote,$N2173)))</f>
        <v/>
      </c>
      <c r="N2173">
        <f>IFERROR(MATCH($C$5&amp;"|"&amp;RIGHT("000000"&amp;153,6),LdBKeyG,0),"")</f>
        <v/>
      </c>
    </row>
    <row r="2174">
      <c r="A2174" s="19" t="n">
        <v>154</v>
      </c>
      <c r="B2174" s="20">
        <f>IF($N2174="","",INDEX(LdBDate,$N2174))</f>
        <v/>
      </c>
      <c r="C2174" s="20">
        <f>IF($N2174="","",IF(INDEX(LdBId,$N2174)="","—",INDEX(LdBId,$N2174)))</f>
        <v/>
      </c>
      <c r="D2174" s="20">
        <f>IF($N2174="","",INDEX(LdBMember,$N2174))</f>
        <v/>
      </c>
      <c r="E2174" s="20">
        <f>IF($N2174="","",IFERROR(IF(VLOOKUP(INDEX(LdBMember,$N2174),AcctTblE,4,0)="","(بدون نام)",VLOOKUP(INDEX(LdBMember,$N2174),AcctTblE,4,0)),"—"))</f>
        <v/>
      </c>
      <c r="F2174" s="21">
        <f>IF($N2174="","",IF(INDEX(LdBAmt,$N2174)=0,"",INDEX(LdBAmt,$N2174)))</f>
        <v/>
      </c>
      <c r="G2174" s="32">
        <f>IF($N2174="","",IF(INDEX(LdBNote,$N2174)="","—",INDEX(LdBNote,$N2174)))</f>
        <v/>
      </c>
      <c r="N2174">
        <f>IFERROR(MATCH($C$5&amp;"|"&amp;RIGHT("000000"&amp;154,6),LdBKeyG,0),"")</f>
        <v/>
      </c>
    </row>
    <row r="2175">
      <c r="A2175" s="10" t="n">
        <v>155</v>
      </c>
      <c r="B2175" s="14">
        <f>IF($N2175="","",INDEX(LdBDate,$N2175))</f>
        <v/>
      </c>
      <c r="C2175" s="14">
        <f>IF($N2175="","",IF(INDEX(LdBId,$N2175)="","—",INDEX(LdBId,$N2175)))</f>
        <v/>
      </c>
      <c r="D2175" s="14">
        <f>IF($N2175="","",INDEX(LdBMember,$N2175))</f>
        <v/>
      </c>
      <c r="E2175" s="14">
        <f>IF($N2175="","",IFERROR(IF(VLOOKUP(INDEX(LdBMember,$N2175),AcctTblE,4,0)="","(بدون نام)",VLOOKUP(INDEX(LdBMember,$N2175),AcctTblE,4,0)),"—"))</f>
        <v/>
      </c>
      <c r="F2175" s="16">
        <f>IF($N2175="","",IF(INDEX(LdBAmt,$N2175)=0,"",INDEX(LdBAmt,$N2175)))</f>
        <v/>
      </c>
      <c r="G2175" s="30">
        <f>IF($N2175="","",IF(INDEX(LdBNote,$N2175)="","—",INDEX(LdBNote,$N2175)))</f>
        <v/>
      </c>
      <c r="N2175">
        <f>IFERROR(MATCH($C$5&amp;"|"&amp;RIGHT("000000"&amp;155,6),LdBKeyG,0),"")</f>
        <v/>
      </c>
    </row>
    <row r="2176">
      <c r="A2176" s="19" t="n">
        <v>156</v>
      </c>
      <c r="B2176" s="20">
        <f>IF($N2176="","",INDEX(LdBDate,$N2176))</f>
        <v/>
      </c>
      <c r="C2176" s="20">
        <f>IF($N2176="","",IF(INDEX(LdBId,$N2176)="","—",INDEX(LdBId,$N2176)))</f>
        <v/>
      </c>
      <c r="D2176" s="20">
        <f>IF($N2176="","",INDEX(LdBMember,$N2176))</f>
        <v/>
      </c>
      <c r="E2176" s="20">
        <f>IF($N2176="","",IFERROR(IF(VLOOKUP(INDEX(LdBMember,$N2176),AcctTblE,4,0)="","(بدون نام)",VLOOKUP(INDEX(LdBMember,$N2176),AcctTblE,4,0)),"—"))</f>
        <v/>
      </c>
      <c r="F2176" s="21">
        <f>IF($N2176="","",IF(INDEX(LdBAmt,$N2176)=0,"",INDEX(LdBAmt,$N2176)))</f>
        <v/>
      </c>
      <c r="G2176" s="32">
        <f>IF($N2176="","",IF(INDEX(LdBNote,$N2176)="","—",INDEX(LdBNote,$N2176)))</f>
        <v/>
      </c>
      <c r="N2176">
        <f>IFERROR(MATCH($C$5&amp;"|"&amp;RIGHT("000000"&amp;156,6),LdBKeyG,0),"")</f>
        <v/>
      </c>
    </row>
    <row r="2177">
      <c r="A2177" s="10" t="n">
        <v>157</v>
      </c>
      <c r="B2177" s="14">
        <f>IF($N2177="","",INDEX(LdBDate,$N2177))</f>
        <v/>
      </c>
      <c r="C2177" s="14">
        <f>IF($N2177="","",IF(INDEX(LdBId,$N2177)="","—",INDEX(LdBId,$N2177)))</f>
        <v/>
      </c>
      <c r="D2177" s="14">
        <f>IF($N2177="","",INDEX(LdBMember,$N2177))</f>
        <v/>
      </c>
      <c r="E2177" s="14">
        <f>IF($N2177="","",IFERROR(IF(VLOOKUP(INDEX(LdBMember,$N2177),AcctTblE,4,0)="","(بدون نام)",VLOOKUP(INDEX(LdBMember,$N2177),AcctTblE,4,0)),"—"))</f>
        <v/>
      </c>
      <c r="F2177" s="16">
        <f>IF($N2177="","",IF(INDEX(LdBAmt,$N2177)=0,"",INDEX(LdBAmt,$N2177)))</f>
        <v/>
      </c>
      <c r="G2177" s="30">
        <f>IF($N2177="","",IF(INDEX(LdBNote,$N2177)="","—",INDEX(LdBNote,$N2177)))</f>
        <v/>
      </c>
      <c r="N2177">
        <f>IFERROR(MATCH($C$5&amp;"|"&amp;RIGHT("000000"&amp;157,6),LdBKeyG,0),"")</f>
        <v/>
      </c>
    </row>
    <row r="2178">
      <c r="A2178" s="19" t="n">
        <v>158</v>
      </c>
      <c r="B2178" s="20">
        <f>IF($N2178="","",INDEX(LdBDate,$N2178))</f>
        <v/>
      </c>
      <c r="C2178" s="20">
        <f>IF($N2178="","",IF(INDEX(LdBId,$N2178)="","—",INDEX(LdBId,$N2178)))</f>
        <v/>
      </c>
      <c r="D2178" s="20">
        <f>IF($N2178="","",INDEX(LdBMember,$N2178))</f>
        <v/>
      </c>
      <c r="E2178" s="20">
        <f>IF($N2178="","",IFERROR(IF(VLOOKUP(INDEX(LdBMember,$N2178),AcctTblE,4,0)="","(بدون نام)",VLOOKUP(INDEX(LdBMember,$N2178),AcctTblE,4,0)),"—"))</f>
        <v/>
      </c>
      <c r="F2178" s="21">
        <f>IF($N2178="","",IF(INDEX(LdBAmt,$N2178)=0,"",INDEX(LdBAmt,$N2178)))</f>
        <v/>
      </c>
      <c r="G2178" s="32">
        <f>IF($N2178="","",IF(INDEX(LdBNote,$N2178)="","—",INDEX(LdBNote,$N2178)))</f>
        <v/>
      </c>
      <c r="N2178">
        <f>IFERROR(MATCH($C$5&amp;"|"&amp;RIGHT("000000"&amp;158,6),LdBKeyG,0),"")</f>
        <v/>
      </c>
    </row>
    <row r="2179">
      <c r="A2179" s="10" t="n">
        <v>159</v>
      </c>
      <c r="B2179" s="14">
        <f>IF($N2179="","",INDEX(LdBDate,$N2179))</f>
        <v/>
      </c>
      <c r="C2179" s="14">
        <f>IF($N2179="","",IF(INDEX(LdBId,$N2179)="","—",INDEX(LdBId,$N2179)))</f>
        <v/>
      </c>
      <c r="D2179" s="14">
        <f>IF($N2179="","",INDEX(LdBMember,$N2179))</f>
        <v/>
      </c>
      <c r="E2179" s="14">
        <f>IF($N2179="","",IFERROR(IF(VLOOKUP(INDEX(LdBMember,$N2179),AcctTblE,4,0)="","(بدون نام)",VLOOKUP(INDEX(LdBMember,$N2179),AcctTblE,4,0)),"—"))</f>
        <v/>
      </c>
      <c r="F2179" s="16">
        <f>IF($N2179="","",IF(INDEX(LdBAmt,$N2179)=0,"",INDEX(LdBAmt,$N2179)))</f>
        <v/>
      </c>
      <c r="G2179" s="30">
        <f>IF($N2179="","",IF(INDEX(LdBNote,$N2179)="","—",INDEX(LdBNote,$N2179)))</f>
        <v/>
      </c>
      <c r="N2179">
        <f>IFERROR(MATCH($C$5&amp;"|"&amp;RIGHT("000000"&amp;159,6),LdBKeyG,0),"")</f>
        <v/>
      </c>
    </row>
    <row r="2180">
      <c r="A2180" s="19" t="n">
        <v>160</v>
      </c>
      <c r="B2180" s="20">
        <f>IF($N2180="","",INDEX(LdBDate,$N2180))</f>
        <v/>
      </c>
      <c r="C2180" s="20">
        <f>IF($N2180="","",IF(INDEX(LdBId,$N2180)="","—",INDEX(LdBId,$N2180)))</f>
        <v/>
      </c>
      <c r="D2180" s="20">
        <f>IF($N2180="","",INDEX(LdBMember,$N2180))</f>
        <v/>
      </c>
      <c r="E2180" s="20">
        <f>IF($N2180="","",IFERROR(IF(VLOOKUP(INDEX(LdBMember,$N2180),AcctTblE,4,0)="","(بدون نام)",VLOOKUP(INDEX(LdBMember,$N2180),AcctTblE,4,0)),"—"))</f>
        <v/>
      </c>
      <c r="F2180" s="21">
        <f>IF($N2180="","",IF(INDEX(LdBAmt,$N2180)=0,"",INDEX(LdBAmt,$N2180)))</f>
        <v/>
      </c>
      <c r="G2180" s="32">
        <f>IF($N2180="","",IF(INDEX(LdBNote,$N2180)="","—",INDEX(LdBNote,$N2180)))</f>
        <v/>
      </c>
      <c r="N2180">
        <f>IFERROR(MATCH($C$5&amp;"|"&amp;RIGHT("000000"&amp;160,6),LdBKeyG,0),"")</f>
        <v/>
      </c>
    </row>
    <row r="2181">
      <c r="A2181" s="10" t="n">
        <v>161</v>
      </c>
      <c r="B2181" s="14">
        <f>IF($N2181="","",INDEX(LdBDate,$N2181))</f>
        <v/>
      </c>
      <c r="C2181" s="14">
        <f>IF($N2181="","",IF(INDEX(LdBId,$N2181)="","—",INDEX(LdBId,$N2181)))</f>
        <v/>
      </c>
      <c r="D2181" s="14">
        <f>IF($N2181="","",INDEX(LdBMember,$N2181))</f>
        <v/>
      </c>
      <c r="E2181" s="14">
        <f>IF($N2181="","",IFERROR(IF(VLOOKUP(INDEX(LdBMember,$N2181),AcctTblE,4,0)="","(بدون نام)",VLOOKUP(INDEX(LdBMember,$N2181),AcctTblE,4,0)),"—"))</f>
        <v/>
      </c>
      <c r="F2181" s="16">
        <f>IF($N2181="","",IF(INDEX(LdBAmt,$N2181)=0,"",INDEX(LdBAmt,$N2181)))</f>
        <v/>
      </c>
      <c r="G2181" s="30">
        <f>IF($N2181="","",IF(INDEX(LdBNote,$N2181)="","—",INDEX(LdBNote,$N2181)))</f>
        <v/>
      </c>
      <c r="N2181">
        <f>IFERROR(MATCH($C$5&amp;"|"&amp;RIGHT("000000"&amp;161,6),LdBKeyG,0),"")</f>
        <v/>
      </c>
    </row>
    <row r="2182">
      <c r="A2182" s="19" t="n">
        <v>162</v>
      </c>
      <c r="B2182" s="20">
        <f>IF($N2182="","",INDEX(LdBDate,$N2182))</f>
        <v/>
      </c>
      <c r="C2182" s="20">
        <f>IF($N2182="","",IF(INDEX(LdBId,$N2182)="","—",INDEX(LdBId,$N2182)))</f>
        <v/>
      </c>
      <c r="D2182" s="20">
        <f>IF($N2182="","",INDEX(LdBMember,$N2182))</f>
        <v/>
      </c>
      <c r="E2182" s="20">
        <f>IF($N2182="","",IFERROR(IF(VLOOKUP(INDEX(LdBMember,$N2182),AcctTblE,4,0)="","(بدون نام)",VLOOKUP(INDEX(LdBMember,$N2182),AcctTblE,4,0)),"—"))</f>
        <v/>
      </c>
      <c r="F2182" s="21">
        <f>IF($N2182="","",IF(INDEX(LdBAmt,$N2182)=0,"",INDEX(LdBAmt,$N2182)))</f>
        <v/>
      </c>
      <c r="G2182" s="32">
        <f>IF($N2182="","",IF(INDEX(LdBNote,$N2182)="","—",INDEX(LdBNote,$N2182)))</f>
        <v/>
      </c>
      <c r="N2182">
        <f>IFERROR(MATCH($C$5&amp;"|"&amp;RIGHT("000000"&amp;162,6),LdBKeyG,0),"")</f>
        <v/>
      </c>
    </row>
    <row r="2183">
      <c r="A2183" s="10" t="n">
        <v>163</v>
      </c>
      <c r="B2183" s="14">
        <f>IF($N2183="","",INDEX(LdBDate,$N2183))</f>
        <v/>
      </c>
      <c r="C2183" s="14">
        <f>IF($N2183="","",IF(INDEX(LdBId,$N2183)="","—",INDEX(LdBId,$N2183)))</f>
        <v/>
      </c>
      <c r="D2183" s="14">
        <f>IF($N2183="","",INDEX(LdBMember,$N2183))</f>
        <v/>
      </c>
      <c r="E2183" s="14">
        <f>IF($N2183="","",IFERROR(IF(VLOOKUP(INDEX(LdBMember,$N2183),AcctTblE,4,0)="","(بدون نام)",VLOOKUP(INDEX(LdBMember,$N2183),AcctTblE,4,0)),"—"))</f>
        <v/>
      </c>
      <c r="F2183" s="16">
        <f>IF($N2183="","",IF(INDEX(LdBAmt,$N2183)=0,"",INDEX(LdBAmt,$N2183)))</f>
        <v/>
      </c>
      <c r="G2183" s="30">
        <f>IF($N2183="","",IF(INDEX(LdBNote,$N2183)="","—",INDEX(LdBNote,$N2183)))</f>
        <v/>
      </c>
      <c r="N2183">
        <f>IFERROR(MATCH($C$5&amp;"|"&amp;RIGHT("000000"&amp;163,6),LdBKeyG,0),"")</f>
        <v/>
      </c>
    </row>
    <row r="2184">
      <c r="A2184" s="19" t="n">
        <v>164</v>
      </c>
      <c r="B2184" s="20">
        <f>IF($N2184="","",INDEX(LdBDate,$N2184))</f>
        <v/>
      </c>
      <c r="C2184" s="20">
        <f>IF($N2184="","",IF(INDEX(LdBId,$N2184)="","—",INDEX(LdBId,$N2184)))</f>
        <v/>
      </c>
      <c r="D2184" s="20">
        <f>IF($N2184="","",INDEX(LdBMember,$N2184))</f>
        <v/>
      </c>
      <c r="E2184" s="20">
        <f>IF($N2184="","",IFERROR(IF(VLOOKUP(INDEX(LdBMember,$N2184),AcctTblE,4,0)="","(بدون نام)",VLOOKUP(INDEX(LdBMember,$N2184),AcctTblE,4,0)),"—"))</f>
        <v/>
      </c>
      <c r="F2184" s="21">
        <f>IF($N2184="","",IF(INDEX(LdBAmt,$N2184)=0,"",INDEX(LdBAmt,$N2184)))</f>
        <v/>
      </c>
      <c r="G2184" s="32">
        <f>IF($N2184="","",IF(INDEX(LdBNote,$N2184)="","—",INDEX(LdBNote,$N2184)))</f>
        <v/>
      </c>
      <c r="N2184">
        <f>IFERROR(MATCH($C$5&amp;"|"&amp;RIGHT("000000"&amp;164,6),LdBKeyG,0),"")</f>
        <v/>
      </c>
    </row>
    <row r="2185">
      <c r="A2185" s="10" t="n">
        <v>165</v>
      </c>
      <c r="B2185" s="14">
        <f>IF($N2185="","",INDEX(LdBDate,$N2185))</f>
        <v/>
      </c>
      <c r="C2185" s="14">
        <f>IF($N2185="","",IF(INDEX(LdBId,$N2185)="","—",INDEX(LdBId,$N2185)))</f>
        <v/>
      </c>
      <c r="D2185" s="14">
        <f>IF($N2185="","",INDEX(LdBMember,$N2185))</f>
        <v/>
      </c>
      <c r="E2185" s="14">
        <f>IF($N2185="","",IFERROR(IF(VLOOKUP(INDEX(LdBMember,$N2185),AcctTblE,4,0)="","(بدون نام)",VLOOKUP(INDEX(LdBMember,$N2185),AcctTblE,4,0)),"—"))</f>
        <v/>
      </c>
      <c r="F2185" s="16">
        <f>IF($N2185="","",IF(INDEX(LdBAmt,$N2185)=0,"",INDEX(LdBAmt,$N2185)))</f>
        <v/>
      </c>
      <c r="G2185" s="30">
        <f>IF($N2185="","",IF(INDEX(LdBNote,$N2185)="","—",INDEX(LdBNote,$N2185)))</f>
        <v/>
      </c>
      <c r="N2185">
        <f>IFERROR(MATCH($C$5&amp;"|"&amp;RIGHT("000000"&amp;165,6),LdBKeyG,0),"")</f>
        <v/>
      </c>
    </row>
    <row r="2186">
      <c r="A2186" s="19" t="n">
        <v>166</v>
      </c>
      <c r="B2186" s="20">
        <f>IF($N2186="","",INDEX(LdBDate,$N2186))</f>
        <v/>
      </c>
      <c r="C2186" s="20">
        <f>IF($N2186="","",IF(INDEX(LdBId,$N2186)="","—",INDEX(LdBId,$N2186)))</f>
        <v/>
      </c>
      <c r="D2186" s="20">
        <f>IF($N2186="","",INDEX(LdBMember,$N2186))</f>
        <v/>
      </c>
      <c r="E2186" s="20">
        <f>IF($N2186="","",IFERROR(IF(VLOOKUP(INDEX(LdBMember,$N2186),AcctTblE,4,0)="","(بدون نام)",VLOOKUP(INDEX(LdBMember,$N2186),AcctTblE,4,0)),"—"))</f>
        <v/>
      </c>
      <c r="F2186" s="21">
        <f>IF($N2186="","",IF(INDEX(LdBAmt,$N2186)=0,"",INDEX(LdBAmt,$N2186)))</f>
        <v/>
      </c>
      <c r="G2186" s="32">
        <f>IF($N2186="","",IF(INDEX(LdBNote,$N2186)="","—",INDEX(LdBNote,$N2186)))</f>
        <v/>
      </c>
      <c r="N2186">
        <f>IFERROR(MATCH($C$5&amp;"|"&amp;RIGHT("000000"&amp;166,6),LdBKeyG,0),"")</f>
        <v/>
      </c>
    </row>
    <row r="2187">
      <c r="A2187" s="10" t="n">
        <v>167</v>
      </c>
      <c r="B2187" s="14">
        <f>IF($N2187="","",INDEX(LdBDate,$N2187))</f>
        <v/>
      </c>
      <c r="C2187" s="14">
        <f>IF($N2187="","",IF(INDEX(LdBId,$N2187)="","—",INDEX(LdBId,$N2187)))</f>
        <v/>
      </c>
      <c r="D2187" s="14">
        <f>IF($N2187="","",INDEX(LdBMember,$N2187))</f>
        <v/>
      </c>
      <c r="E2187" s="14">
        <f>IF($N2187="","",IFERROR(IF(VLOOKUP(INDEX(LdBMember,$N2187),AcctTblE,4,0)="","(بدون نام)",VLOOKUP(INDEX(LdBMember,$N2187),AcctTblE,4,0)),"—"))</f>
        <v/>
      </c>
      <c r="F2187" s="16">
        <f>IF($N2187="","",IF(INDEX(LdBAmt,$N2187)=0,"",INDEX(LdBAmt,$N2187)))</f>
        <v/>
      </c>
      <c r="G2187" s="30">
        <f>IF($N2187="","",IF(INDEX(LdBNote,$N2187)="","—",INDEX(LdBNote,$N2187)))</f>
        <v/>
      </c>
      <c r="N2187">
        <f>IFERROR(MATCH($C$5&amp;"|"&amp;RIGHT("000000"&amp;167,6),LdBKeyG,0),"")</f>
        <v/>
      </c>
    </row>
    <row r="2188">
      <c r="A2188" s="19" t="n">
        <v>168</v>
      </c>
      <c r="B2188" s="20">
        <f>IF($N2188="","",INDEX(LdBDate,$N2188))</f>
        <v/>
      </c>
      <c r="C2188" s="20">
        <f>IF($N2188="","",IF(INDEX(LdBId,$N2188)="","—",INDEX(LdBId,$N2188)))</f>
        <v/>
      </c>
      <c r="D2188" s="20">
        <f>IF($N2188="","",INDEX(LdBMember,$N2188))</f>
        <v/>
      </c>
      <c r="E2188" s="20">
        <f>IF($N2188="","",IFERROR(IF(VLOOKUP(INDEX(LdBMember,$N2188),AcctTblE,4,0)="","(بدون نام)",VLOOKUP(INDEX(LdBMember,$N2188),AcctTblE,4,0)),"—"))</f>
        <v/>
      </c>
      <c r="F2188" s="21">
        <f>IF($N2188="","",IF(INDEX(LdBAmt,$N2188)=0,"",INDEX(LdBAmt,$N2188)))</f>
        <v/>
      </c>
      <c r="G2188" s="32">
        <f>IF($N2188="","",IF(INDEX(LdBNote,$N2188)="","—",INDEX(LdBNote,$N2188)))</f>
        <v/>
      </c>
      <c r="N2188">
        <f>IFERROR(MATCH($C$5&amp;"|"&amp;RIGHT("000000"&amp;168,6),LdBKeyG,0),"")</f>
        <v/>
      </c>
    </row>
    <row r="2189">
      <c r="A2189" s="10" t="n">
        <v>169</v>
      </c>
      <c r="B2189" s="14">
        <f>IF($N2189="","",INDEX(LdBDate,$N2189))</f>
        <v/>
      </c>
      <c r="C2189" s="14">
        <f>IF($N2189="","",IF(INDEX(LdBId,$N2189)="","—",INDEX(LdBId,$N2189)))</f>
        <v/>
      </c>
      <c r="D2189" s="14">
        <f>IF($N2189="","",INDEX(LdBMember,$N2189))</f>
        <v/>
      </c>
      <c r="E2189" s="14">
        <f>IF($N2189="","",IFERROR(IF(VLOOKUP(INDEX(LdBMember,$N2189),AcctTblE,4,0)="","(بدون نام)",VLOOKUP(INDEX(LdBMember,$N2189),AcctTblE,4,0)),"—"))</f>
        <v/>
      </c>
      <c r="F2189" s="16">
        <f>IF($N2189="","",IF(INDEX(LdBAmt,$N2189)=0,"",INDEX(LdBAmt,$N2189)))</f>
        <v/>
      </c>
      <c r="G2189" s="30">
        <f>IF($N2189="","",IF(INDEX(LdBNote,$N2189)="","—",INDEX(LdBNote,$N2189)))</f>
        <v/>
      </c>
      <c r="N2189">
        <f>IFERROR(MATCH($C$5&amp;"|"&amp;RIGHT("000000"&amp;169,6),LdBKeyG,0),"")</f>
        <v/>
      </c>
    </row>
    <row r="2190">
      <c r="A2190" s="19" t="n">
        <v>170</v>
      </c>
      <c r="B2190" s="20">
        <f>IF($N2190="","",INDEX(LdBDate,$N2190))</f>
        <v/>
      </c>
      <c r="C2190" s="20">
        <f>IF($N2190="","",IF(INDEX(LdBId,$N2190)="","—",INDEX(LdBId,$N2190)))</f>
        <v/>
      </c>
      <c r="D2190" s="20">
        <f>IF($N2190="","",INDEX(LdBMember,$N2190))</f>
        <v/>
      </c>
      <c r="E2190" s="20">
        <f>IF($N2190="","",IFERROR(IF(VLOOKUP(INDEX(LdBMember,$N2190),AcctTblE,4,0)="","(بدون نام)",VLOOKUP(INDEX(LdBMember,$N2190),AcctTblE,4,0)),"—"))</f>
        <v/>
      </c>
      <c r="F2190" s="21">
        <f>IF($N2190="","",IF(INDEX(LdBAmt,$N2190)=0,"",INDEX(LdBAmt,$N2190)))</f>
        <v/>
      </c>
      <c r="G2190" s="32">
        <f>IF($N2190="","",IF(INDEX(LdBNote,$N2190)="","—",INDEX(LdBNote,$N2190)))</f>
        <v/>
      </c>
      <c r="N2190">
        <f>IFERROR(MATCH($C$5&amp;"|"&amp;RIGHT("000000"&amp;170,6),LdBKeyG,0),"")</f>
        <v/>
      </c>
    </row>
    <row r="2191">
      <c r="A2191" s="10" t="n">
        <v>171</v>
      </c>
      <c r="B2191" s="14">
        <f>IF($N2191="","",INDEX(LdBDate,$N2191))</f>
        <v/>
      </c>
      <c r="C2191" s="14">
        <f>IF($N2191="","",IF(INDEX(LdBId,$N2191)="","—",INDEX(LdBId,$N2191)))</f>
        <v/>
      </c>
      <c r="D2191" s="14">
        <f>IF($N2191="","",INDEX(LdBMember,$N2191))</f>
        <v/>
      </c>
      <c r="E2191" s="14">
        <f>IF($N2191="","",IFERROR(IF(VLOOKUP(INDEX(LdBMember,$N2191),AcctTblE,4,0)="","(بدون نام)",VLOOKUP(INDEX(LdBMember,$N2191),AcctTblE,4,0)),"—"))</f>
        <v/>
      </c>
      <c r="F2191" s="16">
        <f>IF($N2191="","",IF(INDEX(LdBAmt,$N2191)=0,"",INDEX(LdBAmt,$N2191)))</f>
        <v/>
      </c>
      <c r="G2191" s="30">
        <f>IF($N2191="","",IF(INDEX(LdBNote,$N2191)="","—",INDEX(LdBNote,$N2191)))</f>
        <v/>
      </c>
      <c r="N2191">
        <f>IFERROR(MATCH($C$5&amp;"|"&amp;RIGHT("000000"&amp;171,6),LdBKeyG,0),"")</f>
        <v/>
      </c>
    </row>
    <row r="2192">
      <c r="A2192" s="19" t="n">
        <v>172</v>
      </c>
      <c r="B2192" s="20">
        <f>IF($N2192="","",INDEX(LdBDate,$N2192))</f>
        <v/>
      </c>
      <c r="C2192" s="20">
        <f>IF($N2192="","",IF(INDEX(LdBId,$N2192)="","—",INDEX(LdBId,$N2192)))</f>
        <v/>
      </c>
      <c r="D2192" s="20">
        <f>IF($N2192="","",INDEX(LdBMember,$N2192))</f>
        <v/>
      </c>
      <c r="E2192" s="20">
        <f>IF($N2192="","",IFERROR(IF(VLOOKUP(INDEX(LdBMember,$N2192),AcctTblE,4,0)="","(بدون نام)",VLOOKUP(INDEX(LdBMember,$N2192),AcctTblE,4,0)),"—"))</f>
        <v/>
      </c>
      <c r="F2192" s="21">
        <f>IF($N2192="","",IF(INDEX(LdBAmt,$N2192)=0,"",INDEX(LdBAmt,$N2192)))</f>
        <v/>
      </c>
      <c r="G2192" s="32">
        <f>IF($N2192="","",IF(INDEX(LdBNote,$N2192)="","—",INDEX(LdBNote,$N2192)))</f>
        <v/>
      </c>
      <c r="N2192">
        <f>IFERROR(MATCH($C$5&amp;"|"&amp;RIGHT("000000"&amp;172,6),LdBKeyG,0),"")</f>
        <v/>
      </c>
    </row>
    <row r="2193">
      <c r="A2193" s="10" t="n">
        <v>173</v>
      </c>
      <c r="B2193" s="14">
        <f>IF($N2193="","",INDEX(LdBDate,$N2193))</f>
        <v/>
      </c>
      <c r="C2193" s="14">
        <f>IF($N2193="","",IF(INDEX(LdBId,$N2193)="","—",INDEX(LdBId,$N2193)))</f>
        <v/>
      </c>
      <c r="D2193" s="14">
        <f>IF($N2193="","",INDEX(LdBMember,$N2193))</f>
        <v/>
      </c>
      <c r="E2193" s="14">
        <f>IF($N2193="","",IFERROR(IF(VLOOKUP(INDEX(LdBMember,$N2193),AcctTblE,4,0)="","(بدون نام)",VLOOKUP(INDEX(LdBMember,$N2193),AcctTblE,4,0)),"—"))</f>
        <v/>
      </c>
      <c r="F2193" s="16">
        <f>IF($N2193="","",IF(INDEX(LdBAmt,$N2193)=0,"",INDEX(LdBAmt,$N2193)))</f>
        <v/>
      </c>
      <c r="G2193" s="30">
        <f>IF($N2193="","",IF(INDEX(LdBNote,$N2193)="","—",INDEX(LdBNote,$N2193)))</f>
        <v/>
      </c>
      <c r="N2193">
        <f>IFERROR(MATCH($C$5&amp;"|"&amp;RIGHT("000000"&amp;173,6),LdBKeyG,0),"")</f>
        <v/>
      </c>
    </row>
    <row r="2194">
      <c r="A2194" s="19" t="n">
        <v>174</v>
      </c>
      <c r="B2194" s="20">
        <f>IF($N2194="","",INDEX(LdBDate,$N2194))</f>
        <v/>
      </c>
      <c r="C2194" s="20">
        <f>IF($N2194="","",IF(INDEX(LdBId,$N2194)="","—",INDEX(LdBId,$N2194)))</f>
        <v/>
      </c>
      <c r="D2194" s="20">
        <f>IF($N2194="","",INDEX(LdBMember,$N2194))</f>
        <v/>
      </c>
      <c r="E2194" s="20">
        <f>IF($N2194="","",IFERROR(IF(VLOOKUP(INDEX(LdBMember,$N2194),AcctTblE,4,0)="","(بدون نام)",VLOOKUP(INDEX(LdBMember,$N2194),AcctTblE,4,0)),"—"))</f>
        <v/>
      </c>
      <c r="F2194" s="21">
        <f>IF($N2194="","",IF(INDEX(LdBAmt,$N2194)=0,"",INDEX(LdBAmt,$N2194)))</f>
        <v/>
      </c>
      <c r="G2194" s="32">
        <f>IF($N2194="","",IF(INDEX(LdBNote,$N2194)="","—",INDEX(LdBNote,$N2194)))</f>
        <v/>
      </c>
      <c r="N2194">
        <f>IFERROR(MATCH($C$5&amp;"|"&amp;RIGHT("000000"&amp;174,6),LdBKeyG,0),"")</f>
        <v/>
      </c>
    </row>
    <row r="2195">
      <c r="A2195" s="10" t="n">
        <v>175</v>
      </c>
      <c r="B2195" s="14">
        <f>IF($N2195="","",INDEX(LdBDate,$N2195))</f>
        <v/>
      </c>
      <c r="C2195" s="14">
        <f>IF($N2195="","",IF(INDEX(LdBId,$N2195)="","—",INDEX(LdBId,$N2195)))</f>
        <v/>
      </c>
      <c r="D2195" s="14">
        <f>IF($N2195="","",INDEX(LdBMember,$N2195))</f>
        <v/>
      </c>
      <c r="E2195" s="14">
        <f>IF($N2195="","",IFERROR(IF(VLOOKUP(INDEX(LdBMember,$N2195),AcctTblE,4,0)="","(بدون نام)",VLOOKUP(INDEX(LdBMember,$N2195),AcctTblE,4,0)),"—"))</f>
        <v/>
      </c>
      <c r="F2195" s="16">
        <f>IF($N2195="","",IF(INDEX(LdBAmt,$N2195)=0,"",INDEX(LdBAmt,$N2195)))</f>
        <v/>
      </c>
      <c r="G2195" s="30">
        <f>IF($N2195="","",IF(INDEX(LdBNote,$N2195)="","—",INDEX(LdBNote,$N2195)))</f>
        <v/>
      </c>
      <c r="N2195">
        <f>IFERROR(MATCH($C$5&amp;"|"&amp;RIGHT("000000"&amp;175,6),LdBKeyG,0),"")</f>
        <v/>
      </c>
    </row>
    <row r="2196">
      <c r="A2196" s="19" t="n">
        <v>176</v>
      </c>
      <c r="B2196" s="20">
        <f>IF($N2196="","",INDEX(LdBDate,$N2196))</f>
        <v/>
      </c>
      <c r="C2196" s="20">
        <f>IF($N2196="","",IF(INDEX(LdBId,$N2196)="","—",INDEX(LdBId,$N2196)))</f>
        <v/>
      </c>
      <c r="D2196" s="20">
        <f>IF($N2196="","",INDEX(LdBMember,$N2196))</f>
        <v/>
      </c>
      <c r="E2196" s="20">
        <f>IF($N2196="","",IFERROR(IF(VLOOKUP(INDEX(LdBMember,$N2196),AcctTblE,4,0)="","(بدون نام)",VLOOKUP(INDEX(LdBMember,$N2196),AcctTblE,4,0)),"—"))</f>
        <v/>
      </c>
      <c r="F2196" s="21">
        <f>IF($N2196="","",IF(INDEX(LdBAmt,$N2196)=0,"",INDEX(LdBAmt,$N2196)))</f>
        <v/>
      </c>
      <c r="G2196" s="32">
        <f>IF($N2196="","",IF(INDEX(LdBNote,$N2196)="","—",INDEX(LdBNote,$N2196)))</f>
        <v/>
      </c>
      <c r="N2196">
        <f>IFERROR(MATCH($C$5&amp;"|"&amp;RIGHT("000000"&amp;176,6),LdBKeyG,0),"")</f>
        <v/>
      </c>
    </row>
    <row r="2197">
      <c r="A2197" s="10" t="n">
        <v>177</v>
      </c>
      <c r="B2197" s="14">
        <f>IF($N2197="","",INDEX(LdBDate,$N2197))</f>
        <v/>
      </c>
      <c r="C2197" s="14">
        <f>IF($N2197="","",IF(INDEX(LdBId,$N2197)="","—",INDEX(LdBId,$N2197)))</f>
        <v/>
      </c>
      <c r="D2197" s="14">
        <f>IF($N2197="","",INDEX(LdBMember,$N2197))</f>
        <v/>
      </c>
      <c r="E2197" s="14">
        <f>IF($N2197="","",IFERROR(IF(VLOOKUP(INDEX(LdBMember,$N2197),AcctTblE,4,0)="","(بدون نام)",VLOOKUP(INDEX(LdBMember,$N2197),AcctTblE,4,0)),"—"))</f>
        <v/>
      </c>
      <c r="F2197" s="16">
        <f>IF($N2197="","",IF(INDEX(LdBAmt,$N2197)=0,"",INDEX(LdBAmt,$N2197)))</f>
        <v/>
      </c>
      <c r="G2197" s="30">
        <f>IF($N2197="","",IF(INDEX(LdBNote,$N2197)="","—",INDEX(LdBNote,$N2197)))</f>
        <v/>
      </c>
      <c r="N2197">
        <f>IFERROR(MATCH($C$5&amp;"|"&amp;RIGHT("000000"&amp;177,6),LdBKeyG,0),"")</f>
        <v/>
      </c>
    </row>
    <row r="2198">
      <c r="A2198" s="19" t="n">
        <v>178</v>
      </c>
      <c r="B2198" s="20">
        <f>IF($N2198="","",INDEX(LdBDate,$N2198))</f>
        <v/>
      </c>
      <c r="C2198" s="20">
        <f>IF($N2198="","",IF(INDEX(LdBId,$N2198)="","—",INDEX(LdBId,$N2198)))</f>
        <v/>
      </c>
      <c r="D2198" s="20">
        <f>IF($N2198="","",INDEX(LdBMember,$N2198))</f>
        <v/>
      </c>
      <c r="E2198" s="20">
        <f>IF($N2198="","",IFERROR(IF(VLOOKUP(INDEX(LdBMember,$N2198),AcctTblE,4,0)="","(بدون نام)",VLOOKUP(INDEX(LdBMember,$N2198),AcctTblE,4,0)),"—"))</f>
        <v/>
      </c>
      <c r="F2198" s="21">
        <f>IF($N2198="","",IF(INDEX(LdBAmt,$N2198)=0,"",INDEX(LdBAmt,$N2198)))</f>
        <v/>
      </c>
      <c r="G2198" s="32">
        <f>IF($N2198="","",IF(INDEX(LdBNote,$N2198)="","—",INDEX(LdBNote,$N2198)))</f>
        <v/>
      </c>
      <c r="N2198">
        <f>IFERROR(MATCH($C$5&amp;"|"&amp;RIGHT("000000"&amp;178,6),LdBKeyG,0),"")</f>
        <v/>
      </c>
    </row>
    <row r="2199">
      <c r="A2199" s="10" t="n">
        <v>179</v>
      </c>
      <c r="B2199" s="14">
        <f>IF($N2199="","",INDEX(LdBDate,$N2199))</f>
        <v/>
      </c>
      <c r="C2199" s="14">
        <f>IF($N2199="","",IF(INDEX(LdBId,$N2199)="","—",INDEX(LdBId,$N2199)))</f>
        <v/>
      </c>
      <c r="D2199" s="14">
        <f>IF($N2199="","",INDEX(LdBMember,$N2199))</f>
        <v/>
      </c>
      <c r="E2199" s="14">
        <f>IF($N2199="","",IFERROR(IF(VLOOKUP(INDEX(LdBMember,$N2199),AcctTblE,4,0)="","(بدون نام)",VLOOKUP(INDEX(LdBMember,$N2199),AcctTblE,4,0)),"—"))</f>
        <v/>
      </c>
      <c r="F2199" s="16">
        <f>IF($N2199="","",IF(INDEX(LdBAmt,$N2199)=0,"",INDEX(LdBAmt,$N2199)))</f>
        <v/>
      </c>
      <c r="G2199" s="30">
        <f>IF($N2199="","",IF(INDEX(LdBNote,$N2199)="","—",INDEX(LdBNote,$N2199)))</f>
        <v/>
      </c>
      <c r="N2199">
        <f>IFERROR(MATCH($C$5&amp;"|"&amp;RIGHT("000000"&amp;179,6),LdBKeyG,0),"")</f>
        <v/>
      </c>
    </row>
    <row r="2200">
      <c r="A2200" s="19" t="n">
        <v>180</v>
      </c>
      <c r="B2200" s="20">
        <f>IF($N2200="","",INDEX(LdBDate,$N2200))</f>
        <v/>
      </c>
      <c r="C2200" s="20">
        <f>IF($N2200="","",IF(INDEX(LdBId,$N2200)="","—",INDEX(LdBId,$N2200)))</f>
        <v/>
      </c>
      <c r="D2200" s="20">
        <f>IF($N2200="","",INDEX(LdBMember,$N2200))</f>
        <v/>
      </c>
      <c r="E2200" s="20">
        <f>IF($N2200="","",IFERROR(IF(VLOOKUP(INDEX(LdBMember,$N2200),AcctTblE,4,0)="","(بدون نام)",VLOOKUP(INDEX(LdBMember,$N2200),AcctTblE,4,0)),"—"))</f>
        <v/>
      </c>
      <c r="F2200" s="21">
        <f>IF($N2200="","",IF(INDEX(LdBAmt,$N2200)=0,"",INDEX(LdBAmt,$N2200)))</f>
        <v/>
      </c>
      <c r="G2200" s="32">
        <f>IF($N2200="","",IF(INDEX(LdBNote,$N2200)="","—",INDEX(LdBNote,$N2200)))</f>
        <v/>
      </c>
      <c r="N2200">
        <f>IFERROR(MATCH($C$5&amp;"|"&amp;RIGHT("000000"&amp;180,6),LdBKeyG,0),"")</f>
        <v/>
      </c>
    </row>
    <row r="2201">
      <c r="A2201" s="10" t="n">
        <v>181</v>
      </c>
      <c r="B2201" s="14">
        <f>IF($N2201="","",INDEX(LdBDate,$N2201))</f>
        <v/>
      </c>
      <c r="C2201" s="14">
        <f>IF($N2201="","",IF(INDEX(LdBId,$N2201)="","—",INDEX(LdBId,$N2201)))</f>
        <v/>
      </c>
      <c r="D2201" s="14">
        <f>IF($N2201="","",INDEX(LdBMember,$N2201))</f>
        <v/>
      </c>
      <c r="E2201" s="14">
        <f>IF($N2201="","",IFERROR(IF(VLOOKUP(INDEX(LdBMember,$N2201),AcctTblE,4,0)="","(بدون نام)",VLOOKUP(INDEX(LdBMember,$N2201),AcctTblE,4,0)),"—"))</f>
        <v/>
      </c>
      <c r="F2201" s="16">
        <f>IF($N2201="","",IF(INDEX(LdBAmt,$N2201)=0,"",INDEX(LdBAmt,$N2201)))</f>
        <v/>
      </c>
      <c r="G2201" s="30">
        <f>IF($N2201="","",IF(INDEX(LdBNote,$N2201)="","—",INDEX(LdBNote,$N2201)))</f>
        <v/>
      </c>
      <c r="N2201">
        <f>IFERROR(MATCH($C$5&amp;"|"&amp;RIGHT("000000"&amp;181,6),LdBKeyG,0),"")</f>
        <v/>
      </c>
    </row>
    <row r="2202">
      <c r="A2202" s="19" t="n">
        <v>182</v>
      </c>
      <c r="B2202" s="20">
        <f>IF($N2202="","",INDEX(LdBDate,$N2202))</f>
        <v/>
      </c>
      <c r="C2202" s="20">
        <f>IF($N2202="","",IF(INDEX(LdBId,$N2202)="","—",INDEX(LdBId,$N2202)))</f>
        <v/>
      </c>
      <c r="D2202" s="20">
        <f>IF($N2202="","",INDEX(LdBMember,$N2202))</f>
        <v/>
      </c>
      <c r="E2202" s="20">
        <f>IF($N2202="","",IFERROR(IF(VLOOKUP(INDEX(LdBMember,$N2202),AcctTblE,4,0)="","(بدون نام)",VLOOKUP(INDEX(LdBMember,$N2202),AcctTblE,4,0)),"—"))</f>
        <v/>
      </c>
      <c r="F2202" s="21">
        <f>IF($N2202="","",IF(INDEX(LdBAmt,$N2202)=0,"",INDEX(LdBAmt,$N2202)))</f>
        <v/>
      </c>
      <c r="G2202" s="32">
        <f>IF($N2202="","",IF(INDEX(LdBNote,$N2202)="","—",INDEX(LdBNote,$N2202)))</f>
        <v/>
      </c>
      <c r="N2202">
        <f>IFERROR(MATCH($C$5&amp;"|"&amp;RIGHT("000000"&amp;182,6),LdBKeyG,0),"")</f>
        <v/>
      </c>
    </row>
    <row r="2203">
      <c r="A2203" s="10" t="n">
        <v>183</v>
      </c>
      <c r="B2203" s="14">
        <f>IF($N2203="","",INDEX(LdBDate,$N2203))</f>
        <v/>
      </c>
      <c r="C2203" s="14">
        <f>IF($N2203="","",IF(INDEX(LdBId,$N2203)="","—",INDEX(LdBId,$N2203)))</f>
        <v/>
      </c>
      <c r="D2203" s="14">
        <f>IF($N2203="","",INDEX(LdBMember,$N2203))</f>
        <v/>
      </c>
      <c r="E2203" s="14">
        <f>IF($N2203="","",IFERROR(IF(VLOOKUP(INDEX(LdBMember,$N2203),AcctTblE,4,0)="","(بدون نام)",VLOOKUP(INDEX(LdBMember,$N2203),AcctTblE,4,0)),"—"))</f>
        <v/>
      </c>
      <c r="F2203" s="16">
        <f>IF($N2203="","",IF(INDEX(LdBAmt,$N2203)=0,"",INDEX(LdBAmt,$N2203)))</f>
        <v/>
      </c>
      <c r="G2203" s="30">
        <f>IF($N2203="","",IF(INDEX(LdBNote,$N2203)="","—",INDEX(LdBNote,$N2203)))</f>
        <v/>
      </c>
      <c r="N2203">
        <f>IFERROR(MATCH($C$5&amp;"|"&amp;RIGHT("000000"&amp;183,6),LdBKeyG,0),"")</f>
        <v/>
      </c>
    </row>
    <row r="2204">
      <c r="A2204" s="19" t="n">
        <v>184</v>
      </c>
      <c r="B2204" s="20">
        <f>IF($N2204="","",INDEX(LdBDate,$N2204))</f>
        <v/>
      </c>
      <c r="C2204" s="20">
        <f>IF($N2204="","",IF(INDEX(LdBId,$N2204)="","—",INDEX(LdBId,$N2204)))</f>
        <v/>
      </c>
      <c r="D2204" s="20">
        <f>IF($N2204="","",INDEX(LdBMember,$N2204))</f>
        <v/>
      </c>
      <c r="E2204" s="20">
        <f>IF($N2204="","",IFERROR(IF(VLOOKUP(INDEX(LdBMember,$N2204),AcctTblE,4,0)="","(بدون نام)",VLOOKUP(INDEX(LdBMember,$N2204),AcctTblE,4,0)),"—"))</f>
        <v/>
      </c>
      <c r="F2204" s="21">
        <f>IF($N2204="","",IF(INDEX(LdBAmt,$N2204)=0,"",INDEX(LdBAmt,$N2204)))</f>
        <v/>
      </c>
      <c r="G2204" s="32">
        <f>IF($N2204="","",IF(INDEX(LdBNote,$N2204)="","—",INDEX(LdBNote,$N2204)))</f>
        <v/>
      </c>
      <c r="N2204">
        <f>IFERROR(MATCH($C$5&amp;"|"&amp;RIGHT("000000"&amp;184,6),LdBKeyG,0),"")</f>
        <v/>
      </c>
    </row>
    <row r="2205">
      <c r="A2205" s="10" t="n">
        <v>185</v>
      </c>
      <c r="B2205" s="14">
        <f>IF($N2205="","",INDEX(LdBDate,$N2205))</f>
        <v/>
      </c>
      <c r="C2205" s="14">
        <f>IF($N2205="","",IF(INDEX(LdBId,$N2205)="","—",INDEX(LdBId,$N2205)))</f>
        <v/>
      </c>
      <c r="D2205" s="14">
        <f>IF($N2205="","",INDEX(LdBMember,$N2205))</f>
        <v/>
      </c>
      <c r="E2205" s="14">
        <f>IF($N2205="","",IFERROR(IF(VLOOKUP(INDEX(LdBMember,$N2205),AcctTblE,4,0)="","(بدون نام)",VLOOKUP(INDEX(LdBMember,$N2205),AcctTblE,4,0)),"—"))</f>
        <v/>
      </c>
      <c r="F2205" s="16">
        <f>IF($N2205="","",IF(INDEX(LdBAmt,$N2205)=0,"",INDEX(LdBAmt,$N2205)))</f>
        <v/>
      </c>
      <c r="G2205" s="30">
        <f>IF($N2205="","",IF(INDEX(LdBNote,$N2205)="","—",INDEX(LdBNote,$N2205)))</f>
        <v/>
      </c>
      <c r="N2205">
        <f>IFERROR(MATCH($C$5&amp;"|"&amp;RIGHT("000000"&amp;185,6),LdBKeyG,0),"")</f>
        <v/>
      </c>
    </row>
    <row r="2206">
      <c r="A2206" s="19" t="n">
        <v>186</v>
      </c>
      <c r="B2206" s="20">
        <f>IF($N2206="","",INDEX(LdBDate,$N2206))</f>
        <v/>
      </c>
      <c r="C2206" s="20">
        <f>IF($N2206="","",IF(INDEX(LdBId,$N2206)="","—",INDEX(LdBId,$N2206)))</f>
        <v/>
      </c>
      <c r="D2206" s="20">
        <f>IF($N2206="","",INDEX(LdBMember,$N2206))</f>
        <v/>
      </c>
      <c r="E2206" s="20">
        <f>IF($N2206="","",IFERROR(IF(VLOOKUP(INDEX(LdBMember,$N2206),AcctTblE,4,0)="","(بدون نام)",VLOOKUP(INDEX(LdBMember,$N2206),AcctTblE,4,0)),"—"))</f>
        <v/>
      </c>
      <c r="F2206" s="21">
        <f>IF($N2206="","",IF(INDEX(LdBAmt,$N2206)=0,"",INDEX(LdBAmt,$N2206)))</f>
        <v/>
      </c>
      <c r="G2206" s="32">
        <f>IF($N2206="","",IF(INDEX(LdBNote,$N2206)="","—",INDEX(LdBNote,$N2206)))</f>
        <v/>
      </c>
      <c r="N2206">
        <f>IFERROR(MATCH($C$5&amp;"|"&amp;RIGHT("000000"&amp;186,6),LdBKeyG,0),"")</f>
        <v/>
      </c>
    </row>
    <row r="2207">
      <c r="A2207" s="10" t="n">
        <v>187</v>
      </c>
      <c r="B2207" s="14">
        <f>IF($N2207="","",INDEX(LdBDate,$N2207))</f>
        <v/>
      </c>
      <c r="C2207" s="14">
        <f>IF($N2207="","",IF(INDEX(LdBId,$N2207)="","—",INDEX(LdBId,$N2207)))</f>
        <v/>
      </c>
      <c r="D2207" s="14">
        <f>IF($N2207="","",INDEX(LdBMember,$N2207))</f>
        <v/>
      </c>
      <c r="E2207" s="14">
        <f>IF($N2207="","",IFERROR(IF(VLOOKUP(INDEX(LdBMember,$N2207),AcctTblE,4,0)="","(بدون نام)",VLOOKUP(INDEX(LdBMember,$N2207),AcctTblE,4,0)),"—"))</f>
        <v/>
      </c>
      <c r="F2207" s="16">
        <f>IF($N2207="","",IF(INDEX(LdBAmt,$N2207)=0,"",INDEX(LdBAmt,$N2207)))</f>
        <v/>
      </c>
      <c r="G2207" s="30">
        <f>IF($N2207="","",IF(INDEX(LdBNote,$N2207)="","—",INDEX(LdBNote,$N2207)))</f>
        <v/>
      </c>
      <c r="N2207">
        <f>IFERROR(MATCH($C$5&amp;"|"&amp;RIGHT("000000"&amp;187,6),LdBKeyG,0),"")</f>
        <v/>
      </c>
    </row>
    <row r="2208">
      <c r="A2208" s="19" t="n">
        <v>188</v>
      </c>
      <c r="B2208" s="20">
        <f>IF($N2208="","",INDEX(LdBDate,$N2208))</f>
        <v/>
      </c>
      <c r="C2208" s="20">
        <f>IF($N2208="","",IF(INDEX(LdBId,$N2208)="","—",INDEX(LdBId,$N2208)))</f>
        <v/>
      </c>
      <c r="D2208" s="20">
        <f>IF($N2208="","",INDEX(LdBMember,$N2208))</f>
        <v/>
      </c>
      <c r="E2208" s="20">
        <f>IF($N2208="","",IFERROR(IF(VLOOKUP(INDEX(LdBMember,$N2208),AcctTblE,4,0)="","(بدون نام)",VLOOKUP(INDEX(LdBMember,$N2208),AcctTblE,4,0)),"—"))</f>
        <v/>
      </c>
      <c r="F2208" s="21">
        <f>IF($N2208="","",IF(INDEX(LdBAmt,$N2208)=0,"",INDEX(LdBAmt,$N2208)))</f>
        <v/>
      </c>
      <c r="G2208" s="32">
        <f>IF($N2208="","",IF(INDEX(LdBNote,$N2208)="","—",INDEX(LdBNote,$N2208)))</f>
        <v/>
      </c>
      <c r="N2208">
        <f>IFERROR(MATCH($C$5&amp;"|"&amp;RIGHT("000000"&amp;188,6),LdBKeyG,0),"")</f>
        <v/>
      </c>
    </row>
    <row r="2209">
      <c r="A2209" s="10" t="n">
        <v>189</v>
      </c>
      <c r="B2209" s="14">
        <f>IF($N2209="","",INDEX(LdBDate,$N2209))</f>
        <v/>
      </c>
      <c r="C2209" s="14">
        <f>IF($N2209="","",IF(INDEX(LdBId,$N2209)="","—",INDEX(LdBId,$N2209)))</f>
        <v/>
      </c>
      <c r="D2209" s="14">
        <f>IF($N2209="","",INDEX(LdBMember,$N2209))</f>
        <v/>
      </c>
      <c r="E2209" s="14">
        <f>IF($N2209="","",IFERROR(IF(VLOOKUP(INDEX(LdBMember,$N2209),AcctTblE,4,0)="","(بدون نام)",VLOOKUP(INDEX(LdBMember,$N2209),AcctTblE,4,0)),"—"))</f>
        <v/>
      </c>
      <c r="F2209" s="16">
        <f>IF($N2209="","",IF(INDEX(LdBAmt,$N2209)=0,"",INDEX(LdBAmt,$N2209)))</f>
        <v/>
      </c>
      <c r="G2209" s="30">
        <f>IF($N2209="","",IF(INDEX(LdBNote,$N2209)="","—",INDEX(LdBNote,$N2209)))</f>
        <v/>
      </c>
      <c r="N2209">
        <f>IFERROR(MATCH($C$5&amp;"|"&amp;RIGHT("000000"&amp;189,6),LdBKeyG,0),"")</f>
        <v/>
      </c>
    </row>
    <row r="2210">
      <c r="A2210" s="19" t="n">
        <v>190</v>
      </c>
      <c r="B2210" s="20">
        <f>IF($N2210="","",INDEX(LdBDate,$N2210))</f>
        <v/>
      </c>
      <c r="C2210" s="20">
        <f>IF($N2210="","",IF(INDEX(LdBId,$N2210)="","—",INDEX(LdBId,$N2210)))</f>
        <v/>
      </c>
      <c r="D2210" s="20">
        <f>IF($N2210="","",INDEX(LdBMember,$N2210))</f>
        <v/>
      </c>
      <c r="E2210" s="20">
        <f>IF($N2210="","",IFERROR(IF(VLOOKUP(INDEX(LdBMember,$N2210),AcctTblE,4,0)="","(بدون نام)",VLOOKUP(INDEX(LdBMember,$N2210),AcctTblE,4,0)),"—"))</f>
        <v/>
      </c>
      <c r="F2210" s="21">
        <f>IF($N2210="","",IF(INDEX(LdBAmt,$N2210)=0,"",INDEX(LdBAmt,$N2210)))</f>
        <v/>
      </c>
      <c r="G2210" s="32">
        <f>IF($N2210="","",IF(INDEX(LdBNote,$N2210)="","—",INDEX(LdBNote,$N2210)))</f>
        <v/>
      </c>
      <c r="N2210">
        <f>IFERROR(MATCH($C$5&amp;"|"&amp;RIGHT("000000"&amp;190,6),LdBKeyG,0),"")</f>
        <v/>
      </c>
    </row>
    <row r="2211">
      <c r="A2211" s="10" t="n">
        <v>191</v>
      </c>
      <c r="B2211" s="14">
        <f>IF($N2211="","",INDEX(LdBDate,$N2211))</f>
        <v/>
      </c>
      <c r="C2211" s="14">
        <f>IF($N2211="","",IF(INDEX(LdBId,$N2211)="","—",INDEX(LdBId,$N2211)))</f>
        <v/>
      </c>
      <c r="D2211" s="14">
        <f>IF($N2211="","",INDEX(LdBMember,$N2211))</f>
        <v/>
      </c>
      <c r="E2211" s="14">
        <f>IF($N2211="","",IFERROR(IF(VLOOKUP(INDEX(LdBMember,$N2211),AcctTblE,4,0)="","(بدون نام)",VLOOKUP(INDEX(LdBMember,$N2211),AcctTblE,4,0)),"—"))</f>
        <v/>
      </c>
      <c r="F2211" s="16">
        <f>IF($N2211="","",IF(INDEX(LdBAmt,$N2211)=0,"",INDEX(LdBAmt,$N2211)))</f>
        <v/>
      </c>
      <c r="G2211" s="30">
        <f>IF($N2211="","",IF(INDEX(LdBNote,$N2211)="","—",INDEX(LdBNote,$N2211)))</f>
        <v/>
      </c>
      <c r="N2211">
        <f>IFERROR(MATCH($C$5&amp;"|"&amp;RIGHT("000000"&amp;191,6),LdBKeyG,0),"")</f>
        <v/>
      </c>
    </row>
    <row r="2212">
      <c r="A2212" s="19" t="n">
        <v>192</v>
      </c>
      <c r="B2212" s="20">
        <f>IF($N2212="","",INDEX(LdBDate,$N2212))</f>
        <v/>
      </c>
      <c r="C2212" s="20">
        <f>IF($N2212="","",IF(INDEX(LdBId,$N2212)="","—",INDEX(LdBId,$N2212)))</f>
        <v/>
      </c>
      <c r="D2212" s="20">
        <f>IF($N2212="","",INDEX(LdBMember,$N2212))</f>
        <v/>
      </c>
      <c r="E2212" s="20">
        <f>IF($N2212="","",IFERROR(IF(VLOOKUP(INDEX(LdBMember,$N2212),AcctTblE,4,0)="","(بدون نام)",VLOOKUP(INDEX(LdBMember,$N2212),AcctTblE,4,0)),"—"))</f>
        <v/>
      </c>
      <c r="F2212" s="21">
        <f>IF($N2212="","",IF(INDEX(LdBAmt,$N2212)=0,"",INDEX(LdBAmt,$N2212)))</f>
        <v/>
      </c>
      <c r="G2212" s="32">
        <f>IF($N2212="","",IF(INDEX(LdBNote,$N2212)="","—",INDEX(LdBNote,$N2212)))</f>
        <v/>
      </c>
      <c r="N2212">
        <f>IFERROR(MATCH($C$5&amp;"|"&amp;RIGHT("000000"&amp;192,6),LdBKeyG,0),"")</f>
        <v/>
      </c>
    </row>
    <row r="2213">
      <c r="A2213" s="10" t="n">
        <v>193</v>
      </c>
      <c r="B2213" s="14">
        <f>IF($N2213="","",INDEX(LdBDate,$N2213))</f>
        <v/>
      </c>
      <c r="C2213" s="14">
        <f>IF($N2213="","",IF(INDEX(LdBId,$N2213)="","—",INDEX(LdBId,$N2213)))</f>
        <v/>
      </c>
      <c r="D2213" s="14">
        <f>IF($N2213="","",INDEX(LdBMember,$N2213))</f>
        <v/>
      </c>
      <c r="E2213" s="14">
        <f>IF($N2213="","",IFERROR(IF(VLOOKUP(INDEX(LdBMember,$N2213),AcctTblE,4,0)="","(بدون نام)",VLOOKUP(INDEX(LdBMember,$N2213),AcctTblE,4,0)),"—"))</f>
        <v/>
      </c>
      <c r="F2213" s="16">
        <f>IF($N2213="","",IF(INDEX(LdBAmt,$N2213)=0,"",INDEX(LdBAmt,$N2213)))</f>
        <v/>
      </c>
      <c r="G2213" s="30">
        <f>IF($N2213="","",IF(INDEX(LdBNote,$N2213)="","—",INDEX(LdBNote,$N2213)))</f>
        <v/>
      </c>
      <c r="N2213">
        <f>IFERROR(MATCH($C$5&amp;"|"&amp;RIGHT("000000"&amp;193,6),LdBKeyG,0),"")</f>
        <v/>
      </c>
    </row>
    <row r="2214">
      <c r="A2214" s="19" t="n">
        <v>194</v>
      </c>
      <c r="B2214" s="20">
        <f>IF($N2214="","",INDEX(LdBDate,$N2214))</f>
        <v/>
      </c>
      <c r="C2214" s="20">
        <f>IF($N2214="","",IF(INDEX(LdBId,$N2214)="","—",INDEX(LdBId,$N2214)))</f>
        <v/>
      </c>
      <c r="D2214" s="20">
        <f>IF($N2214="","",INDEX(LdBMember,$N2214))</f>
        <v/>
      </c>
      <c r="E2214" s="20">
        <f>IF($N2214="","",IFERROR(IF(VLOOKUP(INDEX(LdBMember,$N2214),AcctTblE,4,0)="","(بدون نام)",VLOOKUP(INDEX(LdBMember,$N2214),AcctTblE,4,0)),"—"))</f>
        <v/>
      </c>
      <c r="F2214" s="21">
        <f>IF($N2214="","",IF(INDEX(LdBAmt,$N2214)=0,"",INDEX(LdBAmt,$N2214)))</f>
        <v/>
      </c>
      <c r="G2214" s="32">
        <f>IF($N2214="","",IF(INDEX(LdBNote,$N2214)="","—",INDEX(LdBNote,$N2214)))</f>
        <v/>
      </c>
      <c r="N2214">
        <f>IFERROR(MATCH($C$5&amp;"|"&amp;RIGHT("000000"&amp;194,6),LdBKeyG,0),"")</f>
        <v/>
      </c>
    </row>
    <row r="2215">
      <c r="A2215" s="10" t="n">
        <v>195</v>
      </c>
      <c r="B2215" s="14">
        <f>IF($N2215="","",INDEX(LdBDate,$N2215))</f>
        <v/>
      </c>
      <c r="C2215" s="14">
        <f>IF($N2215="","",IF(INDEX(LdBId,$N2215)="","—",INDEX(LdBId,$N2215)))</f>
        <v/>
      </c>
      <c r="D2215" s="14">
        <f>IF($N2215="","",INDEX(LdBMember,$N2215))</f>
        <v/>
      </c>
      <c r="E2215" s="14">
        <f>IF($N2215="","",IFERROR(IF(VLOOKUP(INDEX(LdBMember,$N2215),AcctTblE,4,0)="","(بدون نام)",VLOOKUP(INDEX(LdBMember,$N2215),AcctTblE,4,0)),"—"))</f>
        <v/>
      </c>
      <c r="F2215" s="16">
        <f>IF($N2215="","",IF(INDEX(LdBAmt,$N2215)=0,"",INDEX(LdBAmt,$N2215)))</f>
        <v/>
      </c>
      <c r="G2215" s="30">
        <f>IF($N2215="","",IF(INDEX(LdBNote,$N2215)="","—",INDEX(LdBNote,$N2215)))</f>
        <v/>
      </c>
      <c r="N2215">
        <f>IFERROR(MATCH($C$5&amp;"|"&amp;RIGHT("000000"&amp;195,6),LdBKeyG,0),"")</f>
        <v/>
      </c>
    </row>
    <row r="2216">
      <c r="A2216" s="19" t="n">
        <v>196</v>
      </c>
      <c r="B2216" s="20">
        <f>IF($N2216="","",INDEX(LdBDate,$N2216))</f>
        <v/>
      </c>
      <c r="C2216" s="20">
        <f>IF($N2216="","",IF(INDEX(LdBId,$N2216)="","—",INDEX(LdBId,$N2216)))</f>
        <v/>
      </c>
      <c r="D2216" s="20">
        <f>IF($N2216="","",INDEX(LdBMember,$N2216))</f>
        <v/>
      </c>
      <c r="E2216" s="20">
        <f>IF($N2216="","",IFERROR(IF(VLOOKUP(INDEX(LdBMember,$N2216),AcctTblE,4,0)="","(بدون نام)",VLOOKUP(INDEX(LdBMember,$N2216),AcctTblE,4,0)),"—"))</f>
        <v/>
      </c>
      <c r="F2216" s="21">
        <f>IF($N2216="","",IF(INDEX(LdBAmt,$N2216)=0,"",INDEX(LdBAmt,$N2216)))</f>
        <v/>
      </c>
      <c r="G2216" s="32">
        <f>IF($N2216="","",IF(INDEX(LdBNote,$N2216)="","—",INDEX(LdBNote,$N2216)))</f>
        <v/>
      </c>
      <c r="N2216">
        <f>IFERROR(MATCH($C$5&amp;"|"&amp;RIGHT("000000"&amp;196,6),LdBKeyG,0),"")</f>
        <v/>
      </c>
    </row>
    <row r="2217">
      <c r="A2217" s="10" t="n">
        <v>197</v>
      </c>
      <c r="B2217" s="14">
        <f>IF($N2217="","",INDEX(LdBDate,$N2217))</f>
        <v/>
      </c>
      <c r="C2217" s="14">
        <f>IF($N2217="","",IF(INDEX(LdBId,$N2217)="","—",INDEX(LdBId,$N2217)))</f>
        <v/>
      </c>
      <c r="D2217" s="14">
        <f>IF($N2217="","",INDEX(LdBMember,$N2217))</f>
        <v/>
      </c>
      <c r="E2217" s="14">
        <f>IF($N2217="","",IFERROR(IF(VLOOKUP(INDEX(LdBMember,$N2217),AcctTblE,4,0)="","(بدون نام)",VLOOKUP(INDEX(LdBMember,$N2217),AcctTblE,4,0)),"—"))</f>
        <v/>
      </c>
      <c r="F2217" s="16">
        <f>IF($N2217="","",IF(INDEX(LdBAmt,$N2217)=0,"",INDEX(LdBAmt,$N2217)))</f>
        <v/>
      </c>
      <c r="G2217" s="30">
        <f>IF($N2217="","",IF(INDEX(LdBNote,$N2217)="","—",INDEX(LdBNote,$N2217)))</f>
        <v/>
      </c>
      <c r="N2217">
        <f>IFERROR(MATCH($C$5&amp;"|"&amp;RIGHT("000000"&amp;197,6),LdBKeyG,0),"")</f>
        <v/>
      </c>
    </row>
    <row r="2218">
      <c r="A2218" s="19" t="n">
        <v>198</v>
      </c>
      <c r="B2218" s="20">
        <f>IF($N2218="","",INDEX(LdBDate,$N2218))</f>
        <v/>
      </c>
      <c r="C2218" s="20">
        <f>IF($N2218="","",IF(INDEX(LdBId,$N2218)="","—",INDEX(LdBId,$N2218)))</f>
        <v/>
      </c>
      <c r="D2218" s="20">
        <f>IF($N2218="","",INDEX(LdBMember,$N2218))</f>
        <v/>
      </c>
      <c r="E2218" s="20">
        <f>IF($N2218="","",IFERROR(IF(VLOOKUP(INDEX(LdBMember,$N2218),AcctTblE,4,0)="","(بدون نام)",VLOOKUP(INDEX(LdBMember,$N2218),AcctTblE,4,0)),"—"))</f>
        <v/>
      </c>
      <c r="F2218" s="21">
        <f>IF($N2218="","",IF(INDEX(LdBAmt,$N2218)=0,"",INDEX(LdBAmt,$N2218)))</f>
        <v/>
      </c>
      <c r="G2218" s="32">
        <f>IF($N2218="","",IF(INDEX(LdBNote,$N2218)="","—",INDEX(LdBNote,$N2218)))</f>
        <v/>
      </c>
      <c r="N2218">
        <f>IFERROR(MATCH($C$5&amp;"|"&amp;RIGHT("000000"&amp;198,6),LdBKeyG,0),"")</f>
        <v/>
      </c>
    </row>
    <row r="2219">
      <c r="A2219" s="10" t="n">
        <v>199</v>
      </c>
      <c r="B2219" s="14">
        <f>IF($N2219="","",INDEX(LdBDate,$N2219))</f>
        <v/>
      </c>
      <c r="C2219" s="14">
        <f>IF($N2219="","",IF(INDEX(LdBId,$N2219)="","—",INDEX(LdBId,$N2219)))</f>
        <v/>
      </c>
      <c r="D2219" s="14">
        <f>IF($N2219="","",INDEX(LdBMember,$N2219))</f>
        <v/>
      </c>
      <c r="E2219" s="14">
        <f>IF($N2219="","",IFERROR(IF(VLOOKUP(INDEX(LdBMember,$N2219),AcctTblE,4,0)="","(بدون نام)",VLOOKUP(INDEX(LdBMember,$N2219),AcctTblE,4,0)),"—"))</f>
        <v/>
      </c>
      <c r="F2219" s="16">
        <f>IF($N2219="","",IF(INDEX(LdBAmt,$N2219)=0,"",INDEX(LdBAmt,$N2219)))</f>
        <v/>
      </c>
      <c r="G2219" s="30">
        <f>IF($N2219="","",IF(INDEX(LdBNote,$N2219)="","—",INDEX(LdBNote,$N2219)))</f>
        <v/>
      </c>
      <c r="N2219">
        <f>IFERROR(MATCH($C$5&amp;"|"&amp;RIGHT("000000"&amp;199,6),LdBKeyG,0),"")</f>
        <v/>
      </c>
    </row>
    <row r="2220">
      <c r="A2220" s="19" t="n">
        <v>200</v>
      </c>
      <c r="B2220" s="20">
        <f>IF($N2220="","",INDEX(LdBDate,$N2220))</f>
        <v/>
      </c>
      <c r="C2220" s="20">
        <f>IF($N2220="","",IF(INDEX(LdBId,$N2220)="","—",INDEX(LdBId,$N2220)))</f>
        <v/>
      </c>
      <c r="D2220" s="20">
        <f>IF($N2220="","",INDEX(LdBMember,$N2220))</f>
        <v/>
      </c>
      <c r="E2220" s="20">
        <f>IF($N2220="","",IFERROR(IF(VLOOKUP(INDEX(LdBMember,$N2220),AcctTblE,4,0)="","(بدون نام)",VLOOKUP(INDEX(LdBMember,$N2220),AcctTblE,4,0)),"—"))</f>
        <v/>
      </c>
      <c r="F2220" s="21">
        <f>IF($N2220="","",IF(INDEX(LdBAmt,$N2220)=0,"",INDEX(LdBAmt,$N2220)))</f>
        <v/>
      </c>
      <c r="G2220" s="32">
        <f>IF($N2220="","",IF(INDEX(LdBNote,$N2220)="","—",INDEX(LdBNote,$N2220)))</f>
        <v/>
      </c>
      <c r="N2220">
        <f>IFERROR(MATCH($C$5&amp;"|"&amp;RIGHT("000000"&amp;200,6),LdBKeyG,0),"")</f>
        <v/>
      </c>
    </row>
    <row r="2221">
      <c r="A2221" s="10" t="n">
        <v>201</v>
      </c>
      <c r="B2221" s="14">
        <f>IF($N2221="","",INDEX(LdBDate,$N2221))</f>
        <v/>
      </c>
      <c r="C2221" s="14">
        <f>IF($N2221="","",IF(INDEX(LdBId,$N2221)="","—",INDEX(LdBId,$N2221)))</f>
        <v/>
      </c>
      <c r="D2221" s="14">
        <f>IF($N2221="","",INDEX(LdBMember,$N2221))</f>
        <v/>
      </c>
      <c r="E2221" s="14">
        <f>IF($N2221="","",IFERROR(IF(VLOOKUP(INDEX(LdBMember,$N2221),AcctTblE,4,0)="","(بدون نام)",VLOOKUP(INDEX(LdBMember,$N2221),AcctTblE,4,0)),"—"))</f>
        <v/>
      </c>
      <c r="F2221" s="16">
        <f>IF($N2221="","",IF(INDEX(LdBAmt,$N2221)=0,"",INDEX(LdBAmt,$N2221)))</f>
        <v/>
      </c>
      <c r="G2221" s="30">
        <f>IF($N2221="","",IF(INDEX(LdBNote,$N2221)="","—",INDEX(LdBNote,$N2221)))</f>
        <v/>
      </c>
      <c r="N2221">
        <f>IFERROR(MATCH($C$5&amp;"|"&amp;RIGHT("000000"&amp;201,6),LdBKeyG,0),"")</f>
        <v/>
      </c>
    </row>
    <row r="2222">
      <c r="A2222" s="19" t="n">
        <v>202</v>
      </c>
      <c r="B2222" s="20">
        <f>IF($N2222="","",INDEX(LdBDate,$N2222))</f>
        <v/>
      </c>
      <c r="C2222" s="20">
        <f>IF($N2222="","",IF(INDEX(LdBId,$N2222)="","—",INDEX(LdBId,$N2222)))</f>
        <v/>
      </c>
      <c r="D2222" s="20">
        <f>IF($N2222="","",INDEX(LdBMember,$N2222))</f>
        <v/>
      </c>
      <c r="E2222" s="20">
        <f>IF($N2222="","",IFERROR(IF(VLOOKUP(INDEX(LdBMember,$N2222),AcctTblE,4,0)="","(بدون نام)",VLOOKUP(INDEX(LdBMember,$N2222),AcctTblE,4,0)),"—"))</f>
        <v/>
      </c>
      <c r="F2222" s="21">
        <f>IF($N2222="","",IF(INDEX(LdBAmt,$N2222)=0,"",INDEX(LdBAmt,$N2222)))</f>
        <v/>
      </c>
      <c r="G2222" s="32">
        <f>IF($N2222="","",IF(INDEX(LdBNote,$N2222)="","—",INDEX(LdBNote,$N2222)))</f>
        <v/>
      </c>
      <c r="N2222">
        <f>IFERROR(MATCH($C$5&amp;"|"&amp;RIGHT("000000"&amp;202,6),LdBKeyG,0),"")</f>
        <v/>
      </c>
    </row>
    <row r="2223">
      <c r="A2223" s="10" t="n">
        <v>203</v>
      </c>
      <c r="B2223" s="14">
        <f>IF($N2223="","",INDEX(LdBDate,$N2223))</f>
        <v/>
      </c>
      <c r="C2223" s="14">
        <f>IF($N2223="","",IF(INDEX(LdBId,$N2223)="","—",INDEX(LdBId,$N2223)))</f>
        <v/>
      </c>
      <c r="D2223" s="14">
        <f>IF($N2223="","",INDEX(LdBMember,$N2223))</f>
        <v/>
      </c>
      <c r="E2223" s="14">
        <f>IF($N2223="","",IFERROR(IF(VLOOKUP(INDEX(LdBMember,$N2223),AcctTblE,4,0)="","(بدون نام)",VLOOKUP(INDEX(LdBMember,$N2223),AcctTblE,4,0)),"—"))</f>
        <v/>
      </c>
      <c r="F2223" s="16">
        <f>IF($N2223="","",IF(INDEX(LdBAmt,$N2223)=0,"",INDEX(LdBAmt,$N2223)))</f>
        <v/>
      </c>
      <c r="G2223" s="30">
        <f>IF($N2223="","",IF(INDEX(LdBNote,$N2223)="","—",INDEX(LdBNote,$N2223)))</f>
        <v/>
      </c>
      <c r="N2223">
        <f>IFERROR(MATCH($C$5&amp;"|"&amp;RIGHT("000000"&amp;203,6),LdBKeyG,0),"")</f>
        <v/>
      </c>
    </row>
    <row r="2224">
      <c r="A2224" s="19" t="n">
        <v>204</v>
      </c>
      <c r="B2224" s="20">
        <f>IF($N2224="","",INDEX(LdBDate,$N2224))</f>
        <v/>
      </c>
      <c r="C2224" s="20">
        <f>IF($N2224="","",IF(INDEX(LdBId,$N2224)="","—",INDEX(LdBId,$N2224)))</f>
        <v/>
      </c>
      <c r="D2224" s="20">
        <f>IF($N2224="","",INDEX(LdBMember,$N2224))</f>
        <v/>
      </c>
      <c r="E2224" s="20">
        <f>IF($N2224="","",IFERROR(IF(VLOOKUP(INDEX(LdBMember,$N2224),AcctTblE,4,0)="","(بدون نام)",VLOOKUP(INDEX(LdBMember,$N2224),AcctTblE,4,0)),"—"))</f>
        <v/>
      </c>
      <c r="F2224" s="21">
        <f>IF($N2224="","",IF(INDEX(LdBAmt,$N2224)=0,"",INDEX(LdBAmt,$N2224)))</f>
        <v/>
      </c>
      <c r="G2224" s="32">
        <f>IF($N2224="","",IF(INDEX(LdBNote,$N2224)="","—",INDEX(LdBNote,$N2224)))</f>
        <v/>
      </c>
      <c r="N2224">
        <f>IFERROR(MATCH($C$5&amp;"|"&amp;RIGHT("000000"&amp;204,6),LdBKeyG,0),"")</f>
        <v/>
      </c>
    </row>
    <row r="2225">
      <c r="A2225" s="10" t="n">
        <v>205</v>
      </c>
      <c r="B2225" s="14">
        <f>IF($N2225="","",INDEX(LdBDate,$N2225))</f>
        <v/>
      </c>
      <c r="C2225" s="14">
        <f>IF($N2225="","",IF(INDEX(LdBId,$N2225)="","—",INDEX(LdBId,$N2225)))</f>
        <v/>
      </c>
      <c r="D2225" s="14">
        <f>IF($N2225="","",INDEX(LdBMember,$N2225))</f>
        <v/>
      </c>
      <c r="E2225" s="14">
        <f>IF($N2225="","",IFERROR(IF(VLOOKUP(INDEX(LdBMember,$N2225),AcctTblE,4,0)="","(بدون نام)",VLOOKUP(INDEX(LdBMember,$N2225),AcctTblE,4,0)),"—"))</f>
        <v/>
      </c>
      <c r="F2225" s="16">
        <f>IF($N2225="","",IF(INDEX(LdBAmt,$N2225)=0,"",INDEX(LdBAmt,$N2225)))</f>
        <v/>
      </c>
      <c r="G2225" s="30">
        <f>IF($N2225="","",IF(INDEX(LdBNote,$N2225)="","—",INDEX(LdBNote,$N2225)))</f>
        <v/>
      </c>
      <c r="N2225">
        <f>IFERROR(MATCH($C$5&amp;"|"&amp;RIGHT("000000"&amp;205,6),LdBKeyG,0),"")</f>
        <v/>
      </c>
    </row>
    <row r="2226">
      <c r="A2226" s="19" t="n">
        <v>206</v>
      </c>
      <c r="B2226" s="20">
        <f>IF($N2226="","",INDEX(LdBDate,$N2226))</f>
        <v/>
      </c>
      <c r="C2226" s="20">
        <f>IF($N2226="","",IF(INDEX(LdBId,$N2226)="","—",INDEX(LdBId,$N2226)))</f>
        <v/>
      </c>
      <c r="D2226" s="20">
        <f>IF($N2226="","",INDEX(LdBMember,$N2226))</f>
        <v/>
      </c>
      <c r="E2226" s="20">
        <f>IF($N2226="","",IFERROR(IF(VLOOKUP(INDEX(LdBMember,$N2226),AcctTblE,4,0)="","(بدون نام)",VLOOKUP(INDEX(LdBMember,$N2226),AcctTblE,4,0)),"—"))</f>
        <v/>
      </c>
      <c r="F2226" s="21">
        <f>IF($N2226="","",IF(INDEX(LdBAmt,$N2226)=0,"",INDEX(LdBAmt,$N2226)))</f>
        <v/>
      </c>
      <c r="G2226" s="32">
        <f>IF($N2226="","",IF(INDEX(LdBNote,$N2226)="","—",INDEX(LdBNote,$N2226)))</f>
        <v/>
      </c>
      <c r="N2226">
        <f>IFERROR(MATCH($C$5&amp;"|"&amp;RIGHT("000000"&amp;206,6),LdBKeyG,0),"")</f>
        <v/>
      </c>
    </row>
    <row r="2227">
      <c r="A2227" s="10" t="n">
        <v>207</v>
      </c>
      <c r="B2227" s="14">
        <f>IF($N2227="","",INDEX(LdBDate,$N2227))</f>
        <v/>
      </c>
      <c r="C2227" s="14">
        <f>IF($N2227="","",IF(INDEX(LdBId,$N2227)="","—",INDEX(LdBId,$N2227)))</f>
        <v/>
      </c>
      <c r="D2227" s="14">
        <f>IF($N2227="","",INDEX(LdBMember,$N2227))</f>
        <v/>
      </c>
      <c r="E2227" s="14">
        <f>IF($N2227="","",IFERROR(IF(VLOOKUP(INDEX(LdBMember,$N2227),AcctTblE,4,0)="","(بدون نام)",VLOOKUP(INDEX(LdBMember,$N2227),AcctTblE,4,0)),"—"))</f>
        <v/>
      </c>
      <c r="F2227" s="16">
        <f>IF($N2227="","",IF(INDEX(LdBAmt,$N2227)=0,"",INDEX(LdBAmt,$N2227)))</f>
        <v/>
      </c>
      <c r="G2227" s="30">
        <f>IF($N2227="","",IF(INDEX(LdBNote,$N2227)="","—",INDEX(LdBNote,$N2227)))</f>
        <v/>
      </c>
      <c r="N2227">
        <f>IFERROR(MATCH($C$5&amp;"|"&amp;RIGHT("000000"&amp;207,6),LdBKeyG,0),"")</f>
        <v/>
      </c>
    </row>
    <row r="2228">
      <c r="A2228" s="19" t="n">
        <v>208</v>
      </c>
      <c r="B2228" s="20">
        <f>IF($N2228="","",INDEX(LdBDate,$N2228))</f>
        <v/>
      </c>
      <c r="C2228" s="20">
        <f>IF($N2228="","",IF(INDEX(LdBId,$N2228)="","—",INDEX(LdBId,$N2228)))</f>
        <v/>
      </c>
      <c r="D2228" s="20">
        <f>IF($N2228="","",INDEX(LdBMember,$N2228))</f>
        <v/>
      </c>
      <c r="E2228" s="20">
        <f>IF($N2228="","",IFERROR(IF(VLOOKUP(INDEX(LdBMember,$N2228),AcctTblE,4,0)="","(بدون نام)",VLOOKUP(INDEX(LdBMember,$N2228),AcctTblE,4,0)),"—"))</f>
        <v/>
      </c>
      <c r="F2228" s="21">
        <f>IF($N2228="","",IF(INDEX(LdBAmt,$N2228)=0,"",INDEX(LdBAmt,$N2228)))</f>
        <v/>
      </c>
      <c r="G2228" s="32">
        <f>IF($N2228="","",IF(INDEX(LdBNote,$N2228)="","—",INDEX(LdBNote,$N2228)))</f>
        <v/>
      </c>
      <c r="N2228">
        <f>IFERROR(MATCH($C$5&amp;"|"&amp;RIGHT("000000"&amp;208,6),LdBKeyG,0),"")</f>
        <v/>
      </c>
    </row>
    <row r="2229">
      <c r="A2229" s="10" t="n">
        <v>209</v>
      </c>
      <c r="B2229" s="14">
        <f>IF($N2229="","",INDEX(LdBDate,$N2229))</f>
        <v/>
      </c>
      <c r="C2229" s="14">
        <f>IF($N2229="","",IF(INDEX(LdBId,$N2229)="","—",INDEX(LdBId,$N2229)))</f>
        <v/>
      </c>
      <c r="D2229" s="14">
        <f>IF($N2229="","",INDEX(LdBMember,$N2229))</f>
        <v/>
      </c>
      <c r="E2229" s="14">
        <f>IF($N2229="","",IFERROR(IF(VLOOKUP(INDEX(LdBMember,$N2229),AcctTblE,4,0)="","(بدون نام)",VLOOKUP(INDEX(LdBMember,$N2229),AcctTblE,4,0)),"—"))</f>
        <v/>
      </c>
      <c r="F2229" s="16">
        <f>IF($N2229="","",IF(INDEX(LdBAmt,$N2229)=0,"",INDEX(LdBAmt,$N2229)))</f>
        <v/>
      </c>
      <c r="G2229" s="30">
        <f>IF($N2229="","",IF(INDEX(LdBNote,$N2229)="","—",INDEX(LdBNote,$N2229)))</f>
        <v/>
      </c>
      <c r="N2229">
        <f>IFERROR(MATCH($C$5&amp;"|"&amp;RIGHT("000000"&amp;209,6),LdBKeyG,0),"")</f>
        <v/>
      </c>
    </row>
    <row r="2230">
      <c r="A2230" s="19" t="n">
        <v>210</v>
      </c>
      <c r="B2230" s="20">
        <f>IF($N2230="","",INDEX(LdBDate,$N2230))</f>
        <v/>
      </c>
      <c r="C2230" s="20">
        <f>IF($N2230="","",IF(INDEX(LdBId,$N2230)="","—",INDEX(LdBId,$N2230)))</f>
        <v/>
      </c>
      <c r="D2230" s="20">
        <f>IF($N2230="","",INDEX(LdBMember,$N2230))</f>
        <v/>
      </c>
      <c r="E2230" s="20">
        <f>IF($N2230="","",IFERROR(IF(VLOOKUP(INDEX(LdBMember,$N2230),AcctTblE,4,0)="","(بدون نام)",VLOOKUP(INDEX(LdBMember,$N2230),AcctTblE,4,0)),"—"))</f>
        <v/>
      </c>
      <c r="F2230" s="21">
        <f>IF($N2230="","",IF(INDEX(LdBAmt,$N2230)=0,"",INDEX(LdBAmt,$N2230)))</f>
        <v/>
      </c>
      <c r="G2230" s="32">
        <f>IF($N2230="","",IF(INDEX(LdBNote,$N2230)="","—",INDEX(LdBNote,$N2230)))</f>
        <v/>
      </c>
      <c r="N2230">
        <f>IFERROR(MATCH($C$5&amp;"|"&amp;RIGHT("000000"&amp;210,6),LdBKeyG,0),"")</f>
        <v/>
      </c>
    </row>
    <row r="2231">
      <c r="A2231" s="10" t="n">
        <v>211</v>
      </c>
      <c r="B2231" s="14">
        <f>IF($N2231="","",INDEX(LdBDate,$N2231))</f>
        <v/>
      </c>
      <c r="C2231" s="14">
        <f>IF($N2231="","",IF(INDEX(LdBId,$N2231)="","—",INDEX(LdBId,$N2231)))</f>
        <v/>
      </c>
      <c r="D2231" s="14">
        <f>IF($N2231="","",INDEX(LdBMember,$N2231))</f>
        <v/>
      </c>
      <c r="E2231" s="14">
        <f>IF($N2231="","",IFERROR(IF(VLOOKUP(INDEX(LdBMember,$N2231),AcctTblE,4,0)="","(بدون نام)",VLOOKUP(INDEX(LdBMember,$N2231),AcctTblE,4,0)),"—"))</f>
        <v/>
      </c>
      <c r="F2231" s="16">
        <f>IF($N2231="","",IF(INDEX(LdBAmt,$N2231)=0,"",INDEX(LdBAmt,$N2231)))</f>
        <v/>
      </c>
      <c r="G2231" s="30">
        <f>IF($N2231="","",IF(INDEX(LdBNote,$N2231)="","—",INDEX(LdBNote,$N2231)))</f>
        <v/>
      </c>
      <c r="N2231">
        <f>IFERROR(MATCH($C$5&amp;"|"&amp;RIGHT("000000"&amp;211,6),LdBKeyG,0),"")</f>
        <v/>
      </c>
    </row>
    <row r="2232">
      <c r="A2232" s="19" t="n">
        <v>212</v>
      </c>
      <c r="B2232" s="20">
        <f>IF($N2232="","",INDEX(LdBDate,$N2232))</f>
        <v/>
      </c>
      <c r="C2232" s="20">
        <f>IF($N2232="","",IF(INDEX(LdBId,$N2232)="","—",INDEX(LdBId,$N2232)))</f>
        <v/>
      </c>
      <c r="D2232" s="20">
        <f>IF($N2232="","",INDEX(LdBMember,$N2232))</f>
        <v/>
      </c>
      <c r="E2232" s="20">
        <f>IF($N2232="","",IFERROR(IF(VLOOKUP(INDEX(LdBMember,$N2232),AcctTblE,4,0)="","(بدون نام)",VLOOKUP(INDEX(LdBMember,$N2232),AcctTblE,4,0)),"—"))</f>
        <v/>
      </c>
      <c r="F2232" s="21">
        <f>IF($N2232="","",IF(INDEX(LdBAmt,$N2232)=0,"",INDEX(LdBAmt,$N2232)))</f>
        <v/>
      </c>
      <c r="G2232" s="32">
        <f>IF($N2232="","",IF(INDEX(LdBNote,$N2232)="","—",INDEX(LdBNote,$N2232)))</f>
        <v/>
      </c>
      <c r="N2232">
        <f>IFERROR(MATCH($C$5&amp;"|"&amp;RIGHT("000000"&amp;212,6),LdBKeyG,0),"")</f>
        <v/>
      </c>
    </row>
    <row r="2233">
      <c r="A2233" s="10" t="n">
        <v>213</v>
      </c>
      <c r="B2233" s="14">
        <f>IF($N2233="","",INDEX(LdBDate,$N2233))</f>
        <v/>
      </c>
      <c r="C2233" s="14">
        <f>IF($N2233="","",IF(INDEX(LdBId,$N2233)="","—",INDEX(LdBId,$N2233)))</f>
        <v/>
      </c>
      <c r="D2233" s="14">
        <f>IF($N2233="","",INDEX(LdBMember,$N2233))</f>
        <v/>
      </c>
      <c r="E2233" s="14">
        <f>IF($N2233="","",IFERROR(IF(VLOOKUP(INDEX(LdBMember,$N2233),AcctTblE,4,0)="","(بدون نام)",VLOOKUP(INDEX(LdBMember,$N2233),AcctTblE,4,0)),"—"))</f>
        <v/>
      </c>
      <c r="F2233" s="16">
        <f>IF($N2233="","",IF(INDEX(LdBAmt,$N2233)=0,"",INDEX(LdBAmt,$N2233)))</f>
        <v/>
      </c>
      <c r="G2233" s="30">
        <f>IF($N2233="","",IF(INDEX(LdBNote,$N2233)="","—",INDEX(LdBNote,$N2233)))</f>
        <v/>
      </c>
      <c r="N2233">
        <f>IFERROR(MATCH($C$5&amp;"|"&amp;RIGHT("000000"&amp;213,6),LdBKeyG,0),"")</f>
        <v/>
      </c>
    </row>
    <row r="2234">
      <c r="A2234" s="19" t="n">
        <v>214</v>
      </c>
      <c r="B2234" s="20">
        <f>IF($N2234="","",INDEX(LdBDate,$N2234))</f>
        <v/>
      </c>
      <c r="C2234" s="20">
        <f>IF($N2234="","",IF(INDEX(LdBId,$N2234)="","—",INDEX(LdBId,$N2234)))</f>
        <v/>
      </c>
      <c r="D2234" s="20">
        <f>IF($N2234="","",INDEX(LdBMember,$N2234))</f>
        <v/>
      </c>
      <c r="E2234" s="20">
        <f>IF($N2234="","",IFERROR(IF(VLOOKUP(INDEX(LdBMember,$N2234),AcctTblE,4,0)="","(بدون نام)",VLOOKUP(INDEX(LdBMember,$N2234),AcctTblE,4,0)),"—"))</f>
        <v/>
      </c>
      <c r="F2234" s="21">
        <f>IF($N2234="","",IF(INDEX(LdBAmt,$N2234)=0,"",INDEX(LdBAmt,$N2234)))</f>
        <v/>
      </c>
      <c r="G2234" s="32">
        <f>IF($N2234="","",IF(INDEX(LdBNote,$N2234)="","—",INDEX(LdBNote,$N2234)))</f>
        <v/>
      </c>
      <c r="N2234">
        <f>IFERROR(MATCH($C$5&amp;"|"&amp;RIGHT("000000"&amp;214,6),LdBKeyG,0),"")</f>
        <v/>
      </c>
    </row>
    <row r="2235">
      <c r="A2235" s="10" t="n">
        <v>215</v>
      </c>
      <c r="B2235" s="14">
        <f>IF($N2235="","",INDEX(LdBDate,$N2235))</f>
        <v/>
      </c>
      <c r="C2235" s="14">
        <f>IF($N2235="","",IF(INDEX(LdBId,$N2235)="","—",INDEX(LdBId,$N2235)))</f>
        <v/>
      </c>
      <c r="D2235" s="14">
        <f>IF($N2235="","",INDEX(LdBMember,$N2235))</f>
        <v/>
      </c>
      <c r="E2235" s="14">
        <f>IF($N2235="","",IFERROR(IF(VLOOKUP(INDEX(LdBMember,$N2235),AcctTblE,4,0)="","(بدون نام)",VLOOKUP(INDEX(LdBMember,$N2235),AcctTblE,4,0)),"—"))</f>
        <v/>
      </c>
      <c r="F2235" s="16">
        <f>IF($N2235="","",IF(INDEX(LdBAmt,$N2235)=0,"",INDEX(LdBAmt,$N2235)))</f>
        <v/>
      </c>
      <c r="G2235" s="30">
        <f>IF($N2235="","",IF(INDEX(LdBNote,$N2235)="","—",INDEX(LdBNote,$N2235)))</f>
        <v/>
      </c>
      <c r="N2235">
        <f>IFERROR(MATCH($C$5&amp;"|"&amp;RIGHT("000000"&amp;215,6),LdBKeyG,0),"")</f>
        <v/>
      </c>
    </row>
    <row r="2236">
      <c r="A2236" s="19" t="n">
        <v>216</v>
      </c>
      <c r="B2236" s="20">
        <f>IF($N2236="","",INDEX(LdBDate,$N2236))</f>
        <v/>
      </c>
      <c r="C2236" s="20">
        <f>IF($N2236="","",IF(INDEX(LdBId,$N2236)="","—",INDEX(LdBId,$N2236)))</f>
        <v/>
      </c>
      <c r="D2236" s="20">
        <f>IF($N2236="","",INDEX(LdBMember,$N2236))</f>
        <v/>
      </c>
      <c r="E2236" s="20">
        <f>IF($N2236="","",IFERROR(IF(VLOOKUP(INDEX(LdBMember,$N2236),AcctTblE,4,0)="","(بدون نام)",VLOOKUP(INDEX(LdBMember,$N2236),AcctTblE,4,0)),"—"))</f>
        <v/>
      </c>
      <c r="F2236" s="21">
        <f>IF($N2236="","",IF(INDEX(LdBAmt,$N2236)=0,"",INDEX(LdBAmt,$N2236)))</f>
        <v/>
      </c>
      <c r="G2236" s="32">
        <f>IF($N2236="","",IF(INDEX(LdBNote,$N2236)="","—",INDEX(LdBNote,$N2236)))</f>
        <v/>
      </c>
      <c r="N2236">
        <f>IFERROR(MATCH($C$5&amp;"|"&amp;RIGHT("000000"&amp;216,6),LdBKeyG,0),"")</f>
        <v/>
      </c>
    </row>
    <row r="2237">
      <c r="A2237" s="10" t="n">
        <v>217</v>
      </c>
      <c r="B2237" s="14">
        <f>IF($N2237="","",INDEX(LdBDate,$N2237))</f>
        <v/>
      </c>
      <c r="C2237" s="14">
        <f>IF($N2237="","",IF(INDEX(LdBId,$N2237)="","—",INDEX(LdBId,$N2237)))</f>
        <v/>
      </c>
      <c r="D2237" s="14">
        <f>IF($N2237="","",INDEX(LdBMember,$N2237))</f>
        <v/>
      </c>
      <c r="E2237" s="14">
        <f>IF($N2237="","",IFERROR(IF(VLOOKUP(INDEX(LdBMember,$N2237),AcctTblE,4,0)="","(بدون نام)",VLOOKUP(INDEX(LdBMember,$N2237),AcctTblE,4,0)),"—"))</f>
        <v/>
      </c>
      <c r="F2237" s="16">
        <f>IF($N2237="","",IF(INDEX(LdBAmt,$N2237)=0,"",INDEX(LdBAmt,$N2237)))</f>
        <v/>
      </c>
      <c r="G2237" s="30">
        <f>IF($N2237="","",IF(INDEX(LdBNote,$N2237)="","—",INDEX(LdBNote,$N2237)))</f>
        <v/>
      </c>
      <c r="N2237">
        <f>IFERROR(MATCH($C$5&amp;"|"&amp;RIGHT("000000"&amp;217,6),LdBKeyG,0),"")</f>
        <v/>
      </c>
    </row>
    <row r="2238">
      <c r="A2238" s="19" t="n">
        <v>218</v>
      </c>
      <c r="B2238" s="20">
        <f>IF($N2238="","",INDEX(LdBDate,$N2238))</f>
        <v/>
      </c>
      <c r="C2238" s="20">
        <f>IF($N2238="","",IF(INDEX(LdBId,$N2238)="","—",INDEX(LdBId,$N2238)))</f>
        <v/>
      </c>
      <c r="D2238" s="20">
        <f>IF($N2238="","",INDEX(LdBMember,$N2238))</f>
        <v/>
      </c>
      <c r="E2238" s="20">
        <f>IF($N2238="","",IFERROR(IF(VLOOKUP(INDEX(LdBMember,$N2238),AcctTblE,4,0)="","(بدون نام)",VLOOKUP(INDEX(LdBMember,$N2238),AcctTblE,4,0)),"—"))</f>
        <v/>
      </c>
      <c r="F2238" s="21">
        <f>IF($N2238="","",IF(INDEX(LdBAmt,$N2238)=0,"",INDEX(LdBAmt,$N2238)))</f>
        <v/>
      </c>
      <c r="G2238" s="32">
        <f>IF($N2238="","",IF(INDEX(LdBNote,$N2238)="","—",INDEX(LdBNote,$N2238)))</f>
        <v/>
      </c>
      <c r="N2238">
        <f>IFERROR(MATCH($C$5&amp;"|"&amp;RIGHT("000000"&amp;218,6),LdBKeyG,0),"")</f>
        <v/>
      </c>
    </row>
    <row r="2239">
      <c r="A2239" s="10" t="n">
        <v>219</v>
      </c>
      <c r="B2239" s="14">
        <f>IF($N2239="","",INDEX(LdBDate,$N2239))</f>
        <v/>
      </c>
      <c r="C2239" s="14">
        <f>IF($N2239="","",IF(INDEX(LdBId,$N2239)="","—",INDEX(LdBId,$N2239)))</f>
        <v/>
      </c>
      <c r="D2239" s="14">
        <f>IF($N2239="","",INDEX(LdBMember,$N2239))</f>
        <v/>
      </c>
      <c r="E2239" s="14">
        <f>IF($N2239="","",IFERROR(IF(VLOOKUP(INDEX(LdBMember,$N2239),AcctTblE,4,0)="","(بدون نام)",VLOOKUP(INDEX(LdBMember,$N2239),AcctTblE,4,0)),"—"))</f>
        <v/>
      </c>
      <c r="F2239" s="16">
        <f>IF($N2239="","",IF(INDEX(LdBAmt,$N2239)=0,"",INDEX(LdBAmt,$N2239)))</f>
        <v/>
      </c>
      <c r="G2239" s="30">
        <f>IF($N2239="","",IF(INDEX(LdBNote,$N2239)="","—",INDEX(LdBNote,$N2239)))</f>
        <v/>
      </c>
      <c r="N2239">
        <f>IFERROR(MATCH($C$5&amp;"|"&amp;RIGHT("000000"&amp;219,6),LdBKeyG,0),"")</f>
        <v/>
      </c>
    </row>
    <row r="2240">
      <c r="A2240" s="19" t="n">
        <v>220</v>
      </c>
      <c r="B2240" s="20">
        <f>IF($N2240="","",INDEX(LdBDate,$N2240))</f>
        <v/>
      </c>
      <c r="C2240" s="20">
        <f>IF($N2240="","",IF(INDEX(LdBId,$N2240)="","—",INDEX(LdBId,$N2240)))</f>
        <v/>
      </c>
      <c r="D2240" s="20">
        <f>IF($N2240="","",INDEX(LdBMember,$N2240))</f>
        <v/>
      </c>
      <c r="E2240" s="20">
        <f>IF($N2240="","",IFERROR(IF(VLOOKUP(INDEX(LdBMember,$N2240),AcctTblE,4,0)="","(بدون نام)",VLOOKUP(INDEX(LdBMember,$N2240),AcctTblE,4,0)),"—"))</f>
        <v/>
      </c>
      <c r="F2240" s="21">
        <f>IF($N2240="","",IF(INDEX(LdBAmt,$N2240)=0,"",INDEX(LdBAmt,$N2240)))</f>
        <v/>
      </c>
      <c r="G2240" s="32">
        <f>IF($N2240="","",IF(INDEX(LdBNote,$N2240)="","—",INDEX(LdBNote,$N2240)))</f>
        <v/>
      </c>
      <c r="N2240">
        <f>IFERROR(MATCH($C$5&amp;"|"&amp;RIGHT("000000"&amp;220,6),LdBKeyG,0),"")</f>
        <v/>
      </c>
    </row>
    <row r="2241">
      <c r="A2241" s="10" t="n">
        <v>221</v>
      </c>
      <c r="B2241" s="14">
        <f>IF($N2241="","",INDEX(LdBDate,$N2241))</f>
        <v/>
      </c>
      <c r="C2241" s="14">
        <f>IF($N2241="","",IF(INDEX(LdBId,$N2241)="","—",INDEX(LdBId,$N2241)))</f>
        <v/>
      </c>
      <c r="D2241" s="14">
        <f>IF($N2241="","",INDEX(LdBMember,$N2241))</f>
        <v/>
      </c>
      <c r="E2241" s="14">
        <f>IF($N2241="","",IFERROR(IF(VLOOKUP(INDEX(LdBMember,$N2241),AcctTblE,4,0)="","(بدون نام)",VLOOKUP(INDEX(LdBMember,$N2241),AcctTblE,4,0)),"—"))</f>
        <v/>
      </c>
      <c r="F2241" s="16">
        <f>IF($N2241="","",IF(INDEX(LdBAmt,$N2241)=0,"",INDEX(LdBAmt,$N2241)))</f>
        <v/>
      </c>
      <c r="G2241" s="30">
        <f>IF($N2241="","",IF(INDEX(LdBNote,$N2241)="","—",INDEX(LdBNote,$N2241)))</f>
        <v/>
      </c>
      <c r="N2241">
        <f>IFERROR(MATCH($C$5&amp;"|"&amp;RIGHT("000000"&amp;221,6),LdBKeyG,0),"")</f>
        <v/>
      </c>
    </row>
    <row r="2242">
      <c r="A2242" s="19" t="n">
        <v>222</v>
      </c>
      <c r="B2242" s="20">
        <f>IF($N2242="","",INDEX(LdBDate,$N2242))</f>
        <v/>
      </c>
      <c r="C2242" s="20">
        <f>IF($N2242="","",IF(INDEX(LdBId,$N2242)="","—",INDEX(LdBId,$N2242)))</f>
        <v/>
      </c>
      <c r="D2242" s="20">
        <f>IF($N2242="","",INDEX(LdBMember,$N2242))</f>
        <v/>
      </c>
      <c r="E2242" s="20">
        <f>IF($N2242="","",IFERROR(IF(VLOOKUP(INDEX(LdBMember,$N2242),AcctTblE,4,0)="","(بدون نام)",VLOOKUP(INDEX(LdBMember,$N2242),AcctTblE,4,0)),"—"))</f>
        <v/>
      </c>
      <c r="F2242" s="21">
        <f>IF($N2242="","",IF(INDEX(LdBAmt,$N2242)=0,"",INDEX(LdBAmt,$N2242)))</f>
        <v/>
      </c>
      <c r="G2242" s="32">
        <f>IF($N2242="","",IF(INDEX(LdBNote,$N2242)="","—",INDEX(LdBNote,$N2242)))</f>
        <v/>
      </c>
      <c r="N2242">
        <f>IFERROR(MATCH($C$5&amp;"|"&amp;RIGHT("000000"&amp;222,6),LdBKeyG,0),"")</f>
        <v/>
      </c>
    </row>
    <row r="2243">
      <c r="A2243" s="10" t="n">
        <v>223</v>
      </c>
      <c r="B2243" s="14">
        <f>IF($N2243="","",INDEX(LdBDate,$N2243))</f>
        <v/>
      </c>
      <c r="C2243" s="14">
        <f>IF($N2243="","",IF(INDEX(LdBId,$N2243)="","—",INDEX(LdBId,$N2243)))</f>
        <v/>
      </c>
      <c r="D2243" s="14">
        <f>IF($N2243="","",INDEX(LdBMember,$N2243))</f>
        <v/>
      </c>
      <c r="E2243" s="14">
        <f>IF($N2243="","",IFERROR(IF(VLOOKUP(INDEX(LdBMember,$N2243),AcctTblE,4,0)="","(بدون نام)",VLOOKUP(INDEX(LdBMember,$N2243),AcctTblE,4,0)),"—"))</f>
        <v/>
      </c>
      <c r="F2243" s="16">
        <f>IF($N2243="","",IF(INDEX(LdBAmt,$N2243)=0,"",INDEX(LdBAmt,$N2243)))</f>
        <v/>
      </c>
      <c r="G2243" s="30">
        <f>IF($N2243="","",IF(INDEX(LdBNote,$N2243)="","—",INDEX(LdBNote,$N2243)))</f>
        <v/>
      </c>
      <c r="N2243">
        <f>IFERROR(MATCH($C$5&amp;"|"&amp;RIGHT("000000"&amp;223,6),LdBKeyG,0),"")</f>
        <v/>
      </c>
    </row>
    <row r="2244">
      <c r="A2244" s="19" t="n">
        <v>224</v>
      </c>
      <c r="B2244" s="20">
        <f>IF($N2244="","",INDEX(LdBDate,$N2244))</f>
        <v/>
      </c>
      <c r="C2244" s="20">
        <f>IF($N2244="","",IF(INDEX(LdBId,$N2244)="","—",INDEX(LdBId,$N2244)))</f>
        <v/>
      </c>
      <c r="D2244" s="20">
        <f>IF($N2244="","",INDEX(LdBMember,$N2244))</f>
        <v/>
      </c>
      <c r="E2244" s="20">
        <f>IF($N2244="","",IFERROR(IF(VLOOKUP(INDEX(LdBMember,$N2244),AcctTblE,4,0)="","(بدون نام)",VLOOKUP(INDEX(LdBMember,$N2244),AcctTblE,4,0)),"—"))</f>
        <v/>
      </c>
      <c r="F2244" s="21">
        <f>IF($N2244="","",IF(INDEX(LdBAmt,$N2244)=0,"",INDEX(LdBAmt,$N2244)))</f>
        <v/>
      </c>
      <c r="G2244" s="32">
        <f>IF($N2244="","",IF(INDEX(LdBNote,$N2244)="","—",INDEX(LdBNote,$N2244)))</f>
        <v/>
      </c>
      <c r="N2244">
        <f>IFERROR(MATCH($C$5&amp;"|"&amp;RIGHT("000000"&amp;224,6),LdBKeyG,0),"")</f>
        <v/>
      </c>
    </row>
    <row r="2245">
      <c r="A2245" s="10" t="n">
        <v>225</v>
      </c>
      <c r="B2245" s="14">
        <f>IF($N2245="","",INDEX(LdBDate,$N2245))</f>
        <v/>
      </c>
      <c r="C2245" s="14">
        <f>IF($N2245="","",IF(INDEX(LdBId,$N2245)="","—",INDEX(LdBId,$N2245)))</f>
        <v/>
      </c>
      <c r="D2245" s="14">
        <f>IF($N2245="","",INDEX(LdBMember,$N2245))</f>
        <v/>
      </c>
      <c r="E2245" s="14">
        <f>IF($N2245="","",IFERROR(IF(VLOOKUP(INDEX(LdBMember,$N2245),AcctTblE,4,0)="","(بدون نام)",VLOOKUP(INDEX(LdBMember,$N2245),AcctTblE,4,0)),"—"))</f>
        <v/>
      </c>
      <c r="F2245" s="16">
        <f>IF($N2245="","",IF(INDEX(LdBAmt,$N2245)=0,"",INDEX(LdBAmt,$N2245)))</f>
        <v/>
      </c>
      <c r="G2245" s="30">
        <f>IF($N2245="","",IF(INDEX(LdBNote,$N2245)="","—",INDEX(LdBNote,$N2245)))</f>
        <v/>
      </c>
      <c r="N2245">
        <f>IFERROR(MATCH($C$5&amp;"|"&amp;RIGHT("000000"&amp;225,6),LdBKeyG,0),"")</f>
        <v/>
      </c>
    </row>
    <row r="2246">
      <c r="A2246" s="19" t="n">
        <v>226</v>
      </c>
      <c r="B2246" s="20">
        <f>IF($N2246="","",INDEX(LdBDate,$N2246))</f>
        <v/>
      </c>
      <c r="C2246" s="20">
        <f>IF($N2246="","",IF(INDEX(LdBId,$N2246)="","—",INDEX(LdBId,$N2246)))</f>
        <v/>
      </c>
      <c r="D2246" s="20">
        <f>IF($N2246="","",INDEX(LdBMember,$N2246))</f>
        <v/>
      </c>
      <c r="E2246" s="20">
        <f>IF($N2246="","",IFERROR(IF(VLOOKUP(INDEX(LdBMember,$N2246),AcctTblE,4,0)="","(بدون نام)",VLOOKUP(INDEX(LdBMember,$N2246),AcctTblE,4,0)),"—"))</f>
        <v/>
      </c>
      <c r="F2246" s="21">
        <f>IF($N2246="","",IF(INDEX(LdBAmt,$N2246)=0,"",INDEX(LdBAmt,$N2246)))</f>
        <v/>
      </c>
      <c r="G2246" s="32">
        <f>IF($N2246="","",IF(INDEX(LdBNote,$N2246)="","—",INDEX(LdBNote,$N2246)))</f>
        <v/>
      </c>
      <c r="N2246">
        <f>IFERROR(MATCH($C$5&amp;"|"&amp;RIGHT("000000"&amp;226,6),LdBKeyG,0),"")</f>
        <v/>
      </c>
    </row>
    <row r="2247">
      <c r="A2247" s="10" t="n">
        <v>227</v>
      </c>
      <c r="B2247" s="14">
        <f>IF($N2247="","",INDEX(LdBDate,$N2247))</f>
        <v/>
      </c>
      <c r="C2247" s="14">
        <f>IF($N2247="","",IF(INDEX(LdBId,$N2247)="","—",INDEX(LdBId,$N2247)))</f>
        <v/>
      </c>
      <c r="D2247" s="14">
        <f>IF($N2247="","",INDEX(LdBMember,$N2247))</f>
        <v/>
      </c>
      <c r="E2247" s="14">
        <f>IF($N2247="","",IFERROR(IF(VLOOKUP(INDEX(LdBMember,$N2247),AcctTblE,4,0)="","(بدون نام)",VLOOKUP(INDEX(LdBMember,$N2247),AcctTblE,4,0)),"—"))</f>
        <v/>
      </c>
      <c r="F2247" s="16">
        <f>IF($N2247="","",IF(INDEX(LdBAmt,$N2247)=0,"",INDEX(LdBAmt,$N2247)))</f>
        <v/>
      </c>
      <c r="G2247" s="30">
        <f>IF($N2247="","",IF(INDEX(LdBNote,$N2247)="","—",INDEX(LdBNote,$N2247)))</f>
        <v/>
      </c>
      <c r="N2247">
        <f>IFERROR(MATCH($C$5&amp;"|"&amp;RIGHT("000000"&amp;227,6),LdBKeyG,0),"")</f>
        <v/>
      </c>
    </row>
    <row r="2248">
      <c r="A2248" s="19" t="n">
        <v>228</v>
      </c>
      <c r="B2248" s="20">
        <f>IF($N2248="","",INDEX(LdBDate,$N2248))</f>
        <v/>
      </c>
      <c r="C2248" s="20">
        <f>IF($N2248="","",IF(INDEX(LdBId,$N2248)="","—",INDEX(LdBId,$N2248)))</f>
        <v/>
      </c>
      <c r="D2248" s="20">
        <f>IF($N2248="","",INDEX(LdBMember,$N2248))</f>
        <v/>
      </c>
      <c r="E2248" s="20">
        <f>IF($N2248="","",IFERROR(IF(VLOOKUP(INDEX(LdBMember,$N2248),AcctTblE,4,0)="","(بدون نام)",VLOOKUP(INDEX(LdBMember,$N2248),AcctTblE,4,0)),"—"))</f>
        <v/>
      </c>
      <c r="F2248" s="21">
        <f>IF($N2248="","",IF(INDEX(LdBAmt,$N2248)=0,"",INDEX(LdBAmt,$N2248)))</f>
        <v/>
      </c>
      <c r="G2248" s="32">
        <f>IF($N2248="","",IF(INDEX(LdBNote,$N2248)="","—",INDEX(LdBNote,$N2248)))</f>
        <v/>
      </c>
      <c r="N2248">
        <f>IFERROR(MATCH($C$5&amp;"|"&amp;RIGHT("000000"&amp;228,6),LdBKeyG,0),"")</f>
        <v/>
      </c>
    </row>
    <row r="2249">
      <c r="A2249" s="10" t="n">
        <v>229</v>
      </c>
      <c r="B2249" s="14">
        <f>IF($N2249="","",INDEX(LdBDate,$N2249))</f>
        <v/>
      </c>
      <c r="C2249" s="14">
        <f>IF($N2249="","",IF(INDEX(LdBId,$N2249)="","—",INDEX(LdBId,$N2249)))</f>
        <v/>
      </c>
      <c r="D2249" s="14">
        <f>IF($N2249="","",INDEX(LdBMember,$N2249))</f>
        <v/>
      </c>
      <c r="E2249" s="14">
        <f>IF($N2249="","",IFERROR(IF(VLOOKUP(INDEX(LdBMember,$N2249),AcctTblE,4,0)="","(بدون نام)",VLOOKUP(INDEX(LdBMember,$N2249),AcctTblE,4,0)),"—"))</f>
        <v/>
      </c>
      <c r="F2249" s="16">
        <f>IF($N2249="","",IF(INDEX(LdBAmt,$N2249)=0,"",INDEX(LdBAmt,$N2249)))</f>
        <v/>
      </c>
      <c r="G2249" s="30">
        <f>IF($N2249="","",IF(INDEX(LdBNote,$N2249)="","—",INDEX(LdBNote,$N2249)))</f>
        <v/>
      </c>
      <c r="N2249">
        <f>IFERROR(MATCH($C$5&amp;"|"&amp;RIGHT("000000"&amp;229,6),LdBKeyG,0),"")</f>
        <v/>
      </c>
    </row>
    <row r="2250">
      <c r="A2250" s="19" t="n">
        <v>230</v>
      </c>
      <c r="B2250" s="20">
        <f>IF($N2250="","",INDEX(LdBDate,$N2250))</f>
        <v/>
      </c>
      <c r="C2250" s="20">
        <f>IF($N2250="","",IF(INDEX(LdBId,$N2250)="","—",INDEX(LdBId,$N2250)))</f>
        <v/>
      </c>
      <c r="D2250" s="20">
        <f>IF($N2250="","",INDEX(LdBMember,$N2250))</f>
        <v/>
      </c>
      <c r="E2250" s="20">
        <f>IF($N2250="","",IFERROR(IF(VLOOKUP(INDEX(LdBMember,$N2250),AcctTblE,4,0)="","(بدون نام)",VLOOKUP(INDEX(LdBMember,$N2250),AcctTblE,4,0)),"—"))</f>
        <v/>
      </c>
      <c r="F2250" s="21">
        <f>IF($N2250="","",IF(INDEX(LdBAmt,$N2250)=0,"",INDEX(LdBAmt,$N2250)))</f>
        <v/>
      </c>
      <c r="G2250" s="32">
        <f>IF($N2250="","",IF(INDEX(LdBNote,$N2250)="","—",INDEX(LdBNote,$N2250)))</f>
        <v/>
      </c>
      <c r="N2250">
        <f>IFERROR(MATCH($C$5&amp;"|"&amp;RIGHT("000000"&amp;230,6),LdBKeyG,0),"")</f>
        <v/>
      </c>
    </row>
    <row r="2251">
      <c r="A2251" s="10" t="n">
        <v>231</v>
      </c>
      <c r="B2251" s="14">
        <f>IF($N2251="","",INDEX(LdBDate,$N2251))</f>
        <v/>
      </c>
      <c r="C2251" s="14">
        <f>IF($N2251="","",IF(INDEX(LdBId,$N2251)="","—",INDEX(LdBId,$N2251)))</f>
        <v/>
      </c>
      <c r="D2251" s="14">
        <f>IF($N2251="","",INDEX(LdBMember,$N2251))</f>
        <v/>
      </c>
      <c r="E2251" s="14">
        <f>IF($N2251="","",IFERROR(IF(VLOOKUP(INDEX(LdBMember,$N2251),AcctTblE,4,0)="","(بدون نام)",VLOOKUP(INDEX(LdBMember,$N2251),AcctTblE,4,0)),"—"))</f>
        <v/>
      </c>
      <c r="F2251" s="16">
        <f>IF($N2251="","",IF(INDEX(LdBAmt,$N2251)=0,"",INDEX(LdBAmt,$N2251)))</f>
        <v/>
      </c>
      <c r="G2251" s="30">
        <f>IF($N2251="","",IF(INDEX(LdBNote,$N2251)="","—",INDEX(LdBNote,$N2251)))</f>
        <v/>
      </c>
      <c r="N2251">
        <f>IFERROR(MATCH($C$5&amp;"|"&amp;RIGHT("000000"&amp;231,6),LdBKeyG,0),"")</f>
        <v/>
      </c>
    </row>
    <row r="2252">
      <c r="A2252" s="19" t="n">
        <v>232</v>
      </c>
      <c r="B2252" s="20">
        <f>IF($N2252="","",INDEX(LdBDate,$N2252))</f>
        <v/>
      </c>
      <c r="C2252" s="20">
        <f>IF($N2252="","",IF(INDEX(LdBId,$N2252)="","—",INDEX(LdBId,$N2252)))</f>
        <v/>
      </c>
      <c r="D2252" s="20">
        <f>IF($N2252="","",INDEX(LdBMember,$N2252))</f>
        <v/>
      </c>
      <c r="E2252" s="20">
        <f>IF($N2252="","",IFERROR(IF(VLOOKUP(INDEX(LdBMember,$N2252),AcctTblE,4,0)="","(بدون نام)",VLOOKUP(INDEX(LdBMember,$N2252),AcctTblE,4,0)),"—"))</f>
        <v/>
      </c>
      <c r="F2252" s="21">
        <f>IF($N2252="","",IF(INDEX(LdBAmt,$N2252)=0,"",INDEX(LdBAmt,$N2252)))</f>
        <v/>
      </c>
      <c r="G2252" s="32">
        <f>IF($N2252="","",IF(INDEX(LdBNote,$N2252)="","—",INDEX(LdBNote,$N2252)))</f>
        <v/>
      </c>
      <c r="N2252">
        <f>IFERROR(MATCH($C$5&amp;"|"&amp;RIGHT("000000"&amp;232,6),LdBKeyG,0),"")</f>
        <v/>
      </c>
    </row>
    <row r="2253">
      <c r="A2253" s="10" t="n">
        <v>233</v>
      </c>
      <c r="B2253" s="14">
        <f>IF($N2253="","",INDEX(LdBDate,$N2253))</f>
        <v/>
      </c>
      <c r="C2253" s="14">
        <f>IF($N2253="","",IF(INDEX(LdBId,$N2253)="","—",INDEX(LdBId,$N2253)))</f>
        <v/>
      </c>
      <c r="D2253" s="14">
        <f>IF($N2253="","",INDEX(LdBMember,$N2253))</f>
        <v/>
      </c>
      <c r="E2253" s="14">
        <f>IF($N2253="","",IFERROR(IF(VLOOKUP(INDEX(LdBMember,$N2253),AcctTblE,4,0)="","(بدون نام)",VLOOKUP(INDEX(LdBMember,$N2253),AcctTblE,4,0)),"—"))</f>
        <v/>
      </c>
      <c r="F2253" s="16">
        <f>IF($N2253="","",IF(INDEX(LdBAmt,$N2253)=0,"",INDEX(LdBAmt,$N2253)))</f>
        <v/>
      </c>
      <c r="G2253" s="30">
        <f>IF($N2253="","",IF(INDEX(LdBNote,$N2253)="","—",INDEX(LdBNote,$N2253)))</f>
        <v/>
      </c>
      <c r="N2253">
        <f>IFERROR(MATCH($C$5&amp;"|"&amp;RIGHT("000000"&amp;233,6),LdBKeyG,0),"")</f>
        <v/>
      </c>
    </row>
    <row r="2254">
      <c r="A2254" s="19" t="n">
        <v>234</v>
      </c>
      <c r="B2254" s="20">
        <f>IF($N2254="","",INDEX(LdBDate,$N2254))</f>
        <v/>
      </c>
      <c r="C2254" s="20">
        <f>IF($N2254="","",IF(INDEX(LdBId,$N2254)="","—",INDEX(LdBId,$N2254)))</f>
        <v/>
      </c>
      <c r="D2254" s="20">
        <f>IF($N2254="","",INDEX(LdBMember,$N2254))</f>
        <v/>
      </c>
      <c r="E2254" s="20">
        <f>IF($N2254="","",IFERROR(IF(VLOOKUP(INDEX(LdBMember,$N2254),AcctTblE,4,0)="","(بدون نام)",VLOOKUP(INDEX(LdBMember,$N2254),AcctTblE,4,0)),"—"))</f>
        <v/>
      </c>
      <c r="F2254" s="21">
        <f>IF($N2254="","",IF(INDEX(LdBAmt,$N2254)=0,"",INDEX(LdBAmt,$N2254)))</f>
        <v/>
      </c>
      <c r="G2254" s="32">
        <f>IF($N2254="","",IF(INDEX(LdBNote,$N2254)="","—",INDEX(LdBNote,$N2254)))</f>
        <v/>
      </c>
      <c r="N2254">
        <f>IFERROR(MATCH($C$5&amp;"|"&amp;RIGHT("000000"&amp;234,6),LdBKeyG,0),"")</f>
        <v/>
      </c>
    </row>
    <row r="2255">
      <c r="A2255" s="10" t="n">
        <v>235</v>
      </c>
      <c r="B2255" s="14">
        <f>IF($N2255="","",INDEX(LdBDate,$N2255))</f>
        <v/>
      </c>
      <c r="C2255" s="14">
        <f>IF($N2255="","",IF(INDEX(LdBId,$N2255)="","—",INDEX(LdBId,$N2255)))</f>
        <v/>
      </c>
      <c r="D2255" s="14">
        <f>IF($N2255="","",INDEX(LdBMember,$N2255))</f>
        <v/>
      </c>
      <c r="E2255" s="14">
        <f>IF($N2255="","",IFERROR(IF(VLOOKUP(INDEX(LdBMember,$N2255),AcctTblE,4,0)="","(بدون نام)",VLOOKUP(INDEX(LdBMember,$N2255),AcctTblE,4,0)),"—"))</f>
        <v/>
      </c>
      <c r="F2255" s="16">
        <f>IF($N2255="","",IF(INDEX(LdBAmt,$N2255)=0,"",INDEX(LdBAmt,$N2255)))</f>
        <v/>
      </c>
      <c r="G2255" s="30">
        <f>IF($N2255="","",IF(INDEX(LdBNote,$N2255)="","—",INDEX(LdBNote,$N2255)))</f>
        <v/>
      </c>
      <c r="N2255">
        <f>IFERROR(MATCH($C$5&amp;"|"&amp;RIGHT("000000"&amp;235,6),LdBKeyG,0),"")</f>
        <v/>
      </c>
    </row>
    <row r="2256">
      <c r="A2256" s="19" t="n">
        <v>236</v>
      </c>
      <c r="B2256" s="20">
        <f>IF($N2256="","",INDEX(LdBDate,$N2256))</f>
        <v/>
      </c>
      <c r="C2256" s="20">
        <f>IF($N2256="","",IF(INDEX(LdBId,$N2256)="","—",INDEX(LdBId,$N2256)))</f>
        <v/>
      </c>
      <c r="D2256" s="20">
        <f>IF($N2256="","",INDEX(LdBMember,$N2256))</f>
        <v/>
      </c>
      <c r="E2256" s="20">
        <f>IF($N2256="","",IFERROR(IF(VLOOKUP(INDEX(LdBMember,$N2256),AcctTblE,4,0)="","(بدون نام)",VLOOKUP(INDEX(LdBMember,$N2256),AcctTblE,4,0)),"—"))</f>
        <v/>
      </c>
      <c r="F2256" s="21">
        <f>IF($N2256="","",IF(INDEX(LdBAmt,$N2256)=0,"",INDEX(LdBAmt,$N2256)))</f>
        <v/>
      </c>
      <c r="G2256" s="32">
        <f>IF($N2256="","",IF(INDEX(LdBNote,$N2256)="","—",INDEX(LdBNote,$N2256)))</f>
        <v/>
      </c>
      <c r="N2256">
        <f>IFERROR(MATCH($C$5&amp;"|"&amp;RIGHT("000000"&amp;236,6),LdBKeyG,0),"")</f>
        <v/>
      </c>
    </row>
    <row r="2257">
      <c r="A2257" s="10" t="n">
        <v>237</v>
      </c>
      <c r="B2257" s="14">
        <f>IF($N2257="","",INDEX(LdBDate,$N2257))</f>
        <v/>
      </c>
      <c r="C2257" s="14">
        <f>IF($N2257="","",IF(INDEX(LdBId,$N2257)="","—",INDEX(LdBId,$N2257)))</f>
        <v/>
      </c>
      <c r="D2257" s="14">
        <f>IF($N2257="","",INDEX(LdBMember,$N2257))</f>
        <v/>
      </c>
      <c r="E2257" s="14">
        <f>IF($N2257="","",IFERROR(IF(VLOOKUP(INDEX(LdBMember,$N2257),AcctTblE,4,0)="","(بدون نام)",VLOOKUP(INDEX(LdBMember,$N2257),AcctTblE,4,0)),"—"))</f>
        <v/>
      </c>
      <c r="F2257" s="16">
        <f>IF($N2257="","",IF(INDEX(LdBAmt,$N2257)=0,"",INDEX(LdBAmt,$N2257)))</f>
        <v/>
      </c>
      <c r="G2257" s="30">
        <f>IF($N2257="","",IF(INDEX(LdBNote,$N2257)="","—",INDEX(LdBNote,$N2257)))</f>
        <v/>
      </c>
      <c r="N2257">
        <f>IFERROR(MATCH($C$5&amp;"|"&amp;RIGHT("000000"&amp;237,6),LdBKeyG,0),"")</f>
        <v/>
      </c>
    </row>
    <row r="2258">
      <c r="A2258" s="19" t="n">
        <v>238</v>
      </c>
      <c r="B2258" s="20">
        <f>IF($N2258="","",INDEX(LdBDate,$N2258))</f>
        <v/>
      </c>
      <c r="C2258" s="20">
        <f>IF($N2258="","",IF(INDEX(LdBId,$N2258)="","—",INDEX(LdBId,$N2258)))</f>
        <v/>
      </c>
      <c r="D2258" s="20">
        <f>IF($N2258="","",INDEX(LdBMember,$N2258))</f>
        <v/>
      </c>
      <c r="E2258" s="20">
        <f>IF($N2258="","",IFERROR(IF(VLOOKUP(INDEX(LdBMember,$N2258),AcctTblE,4,0)="","(بدون نام)",VLOOKUP(INDEX(LdBMember,$N2258),AcctTblE,4,0)),"—"))</f>
        <v/>
      </c>
      <c r="F2258" s="21">
        <f>IF($N2258="","",IF(INDEX(LdBAmt,$N2258)=0,"",INDEX(LdBAmt,$N2258)))</f>
        <v/>
      </c>
      <c r="G2258" s="32">
        <f>IF($N2258="","",IF(INDEX(LdBNote,$N2258)="","—",INDEX(LdBNote,$N2258)))</f>
        <v/>
      </c>
      <c r="N2258">
        <f>IFERROR(MATCH($C$5&amp;"|"&amp;RIGHT("000000"&amp;238,6),LdBKeyG,0),"")</f>
        <v/>
      </c>
    </row>
    <row r="2259">
      <c r="A2259" s="10" t="n">
        <v>239</v>
      </c>
      <c r="B2259" s="14">
        <f>IF($N2259="","",INDEX(LdBDate,$N2259))</f>
        <v/>
      </c>
      <c r="C2259" s="14">
        <f>IF($N2259="","",IF(INDEX(LdBId,$N2259)="","—",INDEX(LdBId,$N2259)))</f>
        <v/>
      </c>
      <c r="D2259" s="14">
        <f>IF($N2259="","",INDEX(LdBMember,$N2259))</f>
        <v/>
      </c>
      <c r="E2259" s="14">
        <f>IF($N2259="","",IFERROR(IF(VLOOKUP(INDEX(LdBMember,$N2259),AcctTblE,4,0)="","(بدون نام)",VLOOKUP(INDEX(LdBMember,$N2259),AcctTblE,4,0)),"—"))</f>
        <v/>
      </c>
      <c r="F2259" s="16">
        <f>IF($N2259="","",IF(INDEX(LdBAmt,$N2259)=0,"",INDEX(LdBAmt,$N2259)))</f>
        <v/>
      </c>
      <c r="G2259" s="30">
        <f>IF($N2259="","",IF(INDEX(LdBNote,$N2259)="","—",INDEX(LdBNote,$N2259)))</f>
        <v/>
      </c>
      <c r="N2259">
        <f>IFERROR(MATCH($C$5&amp;"|"&amp;RIGHT("000000"&amp;239,6),LdBKeyG,0),"")</f>
        <v/>
      </c>
    </row>
    <row r="2260">
      <c r="A2260" s="19" t="n">
        <v>240</v>
      </c>
      <c r="B2260" s="20">
        <f>IF($N2260="","",INDEX(LdBDate,$N2260))</f>
        <v/>
      </c>
      <c r="C2260" s="20">
        <f>IF($N2260="","",IF(INDEX(LdBId,$N2260)="","—",INDEX(LdBId,$N2260)))</f>
        <v/>
      </c>
      <c r="D2260" s="20">
        <f>IF($N2260="","",INDEX(LdBMember,$N2260))</f>
        <v/>
      </c>
      <c r="E2260" s="20">
        <f>IF($N2260="","",IFERROR(IF(VLOOKUP(INDEX(LdBMember,$N2260),AcctTblE,4,0)="","(بدون نام)",VLOOKUP(INDEX(LdBMember,$N2260),AcctTblE,4,0)),"—"))</f>
        <v/>
      </c>
      <c r="F2260" s="21">
        <f>IF($N2260="","",IF(INDEX(LdBAmt,$N2260)=0,"",INDEX(LdBAmt,$N2260)))</f>
        <v/>
      </c>
      <c r="G2260" s="32">
        <f>IF($N2260="","",IF(INDEX(LdBNote,$N2260)="","—",INDEX(LdBNote,$N2260)))</f>
        <v/>
      </c>
      <c r="N2260">
        <f>IFERROR(MATCH($C$5&amp;"|"&amp;RIGHT("000000"&amp;240,6),LdBKeyG,0),"")</f>
        <v/>
      </c>
    </row>
    <row r="2261">
      <c r="A2261" s="10" t="n">
        <v>241</v>
      </c>
      <c r="B2261" s="14">
        <f>IF($N2261="","",INDEX(LdBDate,$N2261))</f>
        <v/>
      </c>
      <c r="C2261" s="14">
        <f>IF($N2261="","",IF(INDEX(LdBId,$N2261)="","—",INDEX(LdBId,$N2261)))</f>
        <v/>
      </c>
      <c r="D2261" s="14">
        <f>IF($N2261="","",INDEX(LdBMember,$N2261))</f>
        <v/>
      </c>
      <c r="E2261" s="14">
        <f>IF($N2261="","",IFERROR(IF(VLOOKUP(INDEX(LdBMember,$N2261),AcctTblE,4,0)="","(بدون نام)",VLOOKUP(INDEX(LdBMember,$N2261),AcctTblE,4,0)),"—"))</f>
        <v/>
      </c>
      <c r="F2261" s="16">
        <f>IF($N2261="","",IF(INDEX(LdBAmt,$N2261)=0,"",INDEX(LdBAmt,$N2261)))</f>
        <v/>
      </c>
      <c r="G2261" s="30">
        <f>IF($N2261="","",IF(INDEX(LdBNote,$N2261)="","—",INDEX(LdBNote,$N2261)))</f>
        <v/>
      </c>
      <c r="N2261">
        <f>IFERROR(MATCH($C$5&amp;"|"&amp;RIGHT("000000"&amp;241,6),LdBKeyG,0),"")</f>
        <v/>
      </c>
    </row>
    <row r="2262">
      <c r="A2262" s="19" t="n">
        <v>242</v>
      </c>
      <c r="B2262" s="20">
        <f>IF($N2262="","",INDEX(LdBDate,$N2262))</f>
        <v/>
      </c>
      <c r="C2262" s="20">
        <f>IF($N2262="","",IF(INDEX(LdBId,$N2262)="","—",INDEX(LdBId,$N2262)))</f>
        <v/>
      </c>
      <c r="D2262" s="20">
        <f>IF($N2262="","",INDEX(LdBMember,$N2262))</f>
        <v/>
      </c>
      <c r="E2262" s="20">
        <f>IF($N2262="","",IFERROR(IF(VLOOKUP(INDEX(LdBMember,$N2262),AcctTblE,4,0)="","(بدون نام)",VLOOKUP(INDEX(LdBMember,$N2262),AcctTblE,4,0)),"—"))</f>
        <v/>
      </c>
      <c r="F2262" s="21">
        <f>IF($N2262="","",IF(INDEX(LdBAmt,$N2262)=0,"",INDEX(LdBAmt,$N2262)))</f>
        <v/>
      </c>
      <c r="G2262" s="32">
        <f>IF($N2262="","",IF(INDEX(LdBNote,$N2262)="","—",INDEX(LdBNote,$N2262)))</f>
        <v/>
      </c>
      <c r="N2262">
        <f>IFERROR(MATCH($C$5&amp;"|"&amp;RIGHT("000000"&amp;242,6),LdBKeyG,0),"")</f>
        <v/>
      </c>
    </row>
    <row r="2263">
      <c r="A2263" s="10" t="n">
        <v>243</v>
      </c>
      <c r="B2263" s="14">
        <f>IF($N2263="","",INDEX(LdBDate,$N2263))</f>
        <v/>
      </c>
      <c r="C2263" s="14">
        <f>IF($N2263="","",IF(INDEX(LdBId,$N2263)="","—",INDEX(LdBId,$N2263)))</f>
        <v/>
      </c>
      <c r="D2263" s="14">
        <f>IF($N2263="","",INDEX(LdBMember,$N2263))</f>
        <v/>
      </c>
      <c r="E2263" s="14">
        <f>IF($N2263="","",IFERROR(IF(VLOOKUP(INDEX(LdBMember,$N2263),AcctTblE,4,0)="","(بدون نام)",VLOOKUP(INDEX(LdBMember,$N2263),AcctTblE,4,0)),"—"))</f>
        <v/>
      </c>
      <c r="F2263" s="16">
        <f>IF($N2263="","",IF(INDEX(LdBAmt,$N2263)=0,"",INDEX(LdBAmt,$N2263)))</f>
        <v/>
      </c>
      <c r="G2263" s="30">
        <f>IF($N2263="","",IF(INDEX(LdBNote,$N2263)="","—",INDEX(LdBNote,$N2263)))</f>
        <v/>
      </c>
      <c r="N2263">
        <f>IFERROR(MATCH($C$5&amp;"|"&amp;RIGHT("000000"&amp;243,6),LdBKeyG,0),"")</f>
        <v/>
      </c>
    </row>
    <row r="2264">
      <c r="A2264" s="19" t="n">
        <v>244</v>
      </c>
      <c r="B2264" s="20">
        <f>IF($N2264="","",INDEX(LdBDate,$N2264))</f>
        <v/>
      </c>
      <c r="C2264" s="20">
        <f>IF($N2264="","",IF(INDEX(LdBId,$N2264)="","—",INDEX(LdBId,$N2264)))</f>
        <v/>
      </c>
      <c r="D2264" s="20">
        <f>IF($N2264="","",INDEX(LdBMember,$N2264))</f>
        <v/>
      </c>
      <c r="E2264" s="20">
        <f>IF($N2264="","",IFERROR(IF(VLOOKUP(INDEX(LdBMember,$N2264),AcctTblE,4,0)="","(بدون نام)",VLOOKUP(INDEX(LdBMember,$N2264),AcctTblE,4,0)),"—"))</f>
        <v/>
      </c>
      <c r="F2264" s="21">
        <f>IF($N2264="","",IF(INDEX(LdBAmt,$N2264)=0,"",INDEX(LdBAmt,$N2264)))</f>
        <v/>
      </c>
      <c r="G2264" s="32">
        <f>IF($N2264="","",IF(INDEX(LdBNote,$N2264)="","—",INDEX(LdBNote,$N2264)))</f>
        <v/>
      </c>
      <c r="N2264">
        <f>IFERROR(MATCH($C$5&amp;"|"&amp;RIGHT("000000"&amp;244,6),LdBKeyG,0),"")</f>
        <v/>
      </c>
    </row>
    <row r="2265">
      <c r="A2265" s="10" t="n">
        <v>245</v>
      </c>
      <c r="B2265" s="14">
        <f>IF($N2265="","",INDEX(LdBDate,$N2265))</f>
        <v/>
      </c>
      <c r="C2265" s="14">
        <f>IF($N2265="","",IF(INDEX(LdBId,$N2265)="","—",INDEX(LdBId,$N2265)))</f>
        <v/>
      </c>
      <c r="D2265" s="14">
        <f>IF($N2265="","",INDEX(LdBMember,$N2265))</f>
        <v/>
      </c>
      <c r="E2265" s="14">
        <f>IF($N2265="","",IFERROR(IF(VLOOKUP(INDEX(LdBMember,$N2265),AcctTblE,4,0)="","(بدون نام)",VLOOKUP(INDEX(LdBMember,$N2265),AcctTblE,4,0)),"—"))</f>
        <v/>
      </c>
      <c r="F2265" s="16">
        <f>IF($N2265="","",IF(INDEX(LdBAmt,$N2265)=0,"",INDEX(LdBAmt,$N2265)))</f>
        <v/>
      </c>
      <c r="G2265" s="30">
        <f>IF($N2265="","",IF(INDEX(LdBNote,$N2265)="","—",INDEX(LdBNote,$N2265)))</f>
        <v/>
      </c>
      <c r="N2265">
        <f>IFERROR(MATCH($C$5&amp;"|"&amp;RIGHT("000000"&amp;245,6),LdBKeyG,0),"")</f>
        <v/>
      </c>
    </row>
    <row r="2266">
      <c r="A2266" s="19" t="n">
        <v>246</v>
      </c>
      <c r="B2266" s="20">
        <f>IF($N2266="","",INDEX(LdBDate,$N2266))</f>
        <v/>
      </c>
      <c r="C2266" s="20">
        <f>IF($N2266="","",IF(INDEX(LdBId,$N2266)="","—",INDEX(LdBId,$N2266)))</f>
        <v/>
      </c>
      <c r="D2266" s="20">
        <f>IF($N2266="","",INDEX(LdBMember,$N2266))</f>
        <v/>
      </c>
      <c r="E2266" s="20">
        <f>IF($N2266="","",IFERROR(IF(VLOOKUP(INDEX(LdBMember,$N2266),AcctTblE,4,0)="","(بدون نام)",VLOOKUP(INDEX(LdBMember,$N2266),AcctTblE,4,0)),"—"))</f>
        <v/>
      </c>
      <c r="F2266" s="21">
        <f>IF($N2266="","",IF(INDEX(LdBAmt,$N2266)=0,"",INDEX(LdBAmt,$N2266)))</f>
        <v/>
      </c>
      <c r="G2266" s="32">
        <f>IF($N2266="","",IF(INDEX(LdBNote,$N2266)="","—",INDEX(LdBNote,$N2266)))</f>
        <v/>
      </c>
      <c r="N2266">
        <f>IFERROR(MATCH($C$5&amp;"|"&amp;RIGHT("000000"&amp;246,6),LdBKeyG,0),"")</f>
        <v/>
      </c>
    </row>
    <row r="2267">
      <c r="A2267" s="10" t="n">
        <v>247</v>
      </c>
      <c r="B2267" s="14">
        <f>IF($N2267="","",INDEX(LdBDate,$N2267))</f>
        <v/>
      </c>
      <c r="C2267" s="14">
        <f>IF($N2267="","",IF(INDEX(LdBId,$N2267)="","—",INDEX(LdBId,$N2267)))</f>
        <v/>
      </c>
      <c r="D2267" s="14">
        <f>IF($N2267="","",INDEX(LdBMember,$N2267))</f>
        <v/>
      </c>
      <c r="E2267" s="14">
        <f>IF($N2267="","",IFERROR(IF(VLOOKUP(INDEX(LdBMember,$N2267),AcctTblE,4,0)="","(بدون نام)",VLOOKUP(INDEX(LdBMember,$N2267),AcctTblE,4,0)),"—"))</f>
        <v/>
      </c>
      <c r="F2267" s="16">
        <f>IF($N2267="","",IF(INDEX(LdBAmt,$N2267)=0,"",INDEX(LdBAmt,$N2267)))</f>
        <v/>
      </c>
      <c r="G2267" s="30">
        <f>IF($N2267="","",IF(INDEX(LdBNote,$N2267)="","—",INDEX(LdBNote,$N2267)))</f>
        <v/>
      </c>
      <c r="N2267">
        <f>IFERROR(MATCH($C$5&amp;"|"&amp;RIGHT("000000"&amp;247,6),LdBKeyG,0),"")</f>
        <v/>
      </c>
    </row>
    <row r="2268">
      <c r="A2268" s="19" t="n">
        <v>248</v>
      </c>
      <c r="B2268" s="20">
        <f>IF($N2268="","",INDEX(LdBDate,$N2268))</f>
        <v/>
      </c>
      <c r="C2268" s="20">
        <f>IF($N2268="","",IF(INDEX(LdBId,$N2268)="","—",INDEX(LdBId,$N2268)))</f>
        <v/>
      </c>
      <c r="D2268" s="20">
        <f>IF($N2268="","",INDEX(LdBMember,$N2268))</f>
        <v/>
      </c>
      <c r="E2268" s="20">
        <f>IF($N2268="","",IFERROR(IF(VLOOKUP(INDEX(LdBMember,$N2268),AcctTblE,4,0)="","(بدون نام)",VLOOKUP(INDEX(LdBMember,$N2268),AcctTblE,4,0)),"—"))</f>
        <v/>
      </c>
      <c r="F2268" s="21">
        <f>IF($N2268="","",IF(INDEX(LdBAmt,$N2268)=0,"",INDEX(LdBAmt,$N2268)))</f>
        <v/>
      </c>
      <c r="G2268" s="32">
        <f>IF($N2268="","",IF(INDEX(LdBNote,$N2268)="","—",INDEX(LdBNote,$N2268)))</f>
        <v/>
      </c>
      <c r="N2268">
        <f>IFERROR(MATCH($C$5&amp;"|"&amp;RIGHT("000000"&amp;248,6),LdBKeyG,0),"")</f>
        <v/>
      </c>
    </row>
    <row r="2269">
      <c r="A2269" s="10" t="n">
        <v>249</v>
      </c>
      <c r="B2269" s="14">
        <f>IF($N2269="","",INDEX(LdBDate,$N2269))</f>
        <v/>
      </c>
      <c r="C2269" s="14">
        <f>IF($N2269="","",IF(INDEX(LdBId,$N2269)="","—",INDEX(LdBId,$N2269)))</f>
        <v/>
      </c>
      <c r="D2269" s="14">
        <f>IF($N2269="","",INDEX(LdBMember,$N2269))</f>
        <v/>
      </c>
      <c r="E2269" s="14">
        <f>IF($N2269="","",IFERROR(IF(VLOOKUP(INDEX(LdBMember,$N2269),AcctTblE,4,0)="","(بدون نام)",VLOOKUP(INDEX(LdBMember,$N2269),AcctTblE,4,0)),"—"))</f>
        <v/>
      </c>
      <c r="F2269" s="16">
        <f>IF($N2269="","",IF(INDEX(LdBAmt,$N2269)=0,"",INDEX(LdBAmt,$N2269)))</f>
        <v/>
      </c>
      <c r="G2269" s="30">
        <f>IF($N2269="","",IF(INDEX(LdBNote,$N2269)="","—",INDEX(LdBNote,$N2269)))</f>
        <v/>
      </c>
      <c r="N2269">
        <f>IFERROR(MATCH($C$5&amp;"|"&amp;RIGHT("000000"&amp;249,6),LdBKeyG,0),"")</f>
        <v/>
      </c>
    </row>
    <row r="2270">
      <c r="A2270" s="19" t="n">
        <v>250</v>
      </c>
      <c r="B2270" s="20">
        <f>IF($N2270="","",INDEX(LdBDate,$N2270))</f>
        <v/>
      </c>
      <c r="C2270" s="20">
        <f>IF($N2270="","",IF(INDEX(LdBId,$N2270)="","—",INDEX(LdBId,$N2270)))</f>
        <v/>
      </c>
      <c r="D2270" s="20">
        <f>IF($N2270="","",INDEX(LdBMember,$N2270))</f>
        <v/>
      </c>
      <c r="E2270" s="20">
        <f>IF($N2270="","",IFERROR(IF(VLOOKUP(INDEX(LdBMember,$N2270),AcctTblE,4,0)="","(بدون نام)",VLOOKUP(INDEX(LdBMember,$N2270),AcctTblE,4,0)),"—"))</f>
        <v/>
      </c>
      <c r="F2270" s="21">
        <f>IF($N2270="","",IF(INDEX(LdBAmt,$N2270)=0,"",INDEX(LdBAmt,$N2270)))</f>
        <v/>
      </c>
      <c r="G2270" s="32">
        <f>IF($N2270="","",IF(INDEX(LdBNote,$N2270)="","—",INDEX(LdBNote,$N2270)))</f>
        <v/>
      </c>
      <c r="N2270">
        <f>IFERROR(MATCH($C$5&amp;"|"&amp;RIGHT("000000"&amp;250,6),LdBKeyG,0),"")</f>
        <v/>
      </c>
    </row>
    <row r="2271">
      <c r="A2271" s="10" t="n">
        <v>251</v>
      </c>
      <c r="B2271" s="14">
        <f>IF($N2271="","",INDEX(LdBDate,$N2271))</f>
        <v/>
      </c>
      <c r="C2271" s="14">
        <f>IF($N2271="","",IF(INDEX(LdBId,$N2271)="","—",INDEX(LdBId,$N2271)))</f>
        <v/>
      </c>
      <c r="D2271" s="14">
        <f>IF($N2271="","",INDEX(LdBMember,$N2271))</f>
        <v/>
      </c>
      <c r="E2271" s="14">
        <f>IF($N2271="","",IFERROR(IF(VLOOKUP(INDEX(LdBMember,$N2271),AcctTblE,4,0)="","(بدون نام)",VLOOKUP(INDEX(LdBMember,$N2271),AcctTblE,4,0)),"—"))</f>
        <v/>
      </c>
      <c r="F2271" s="16">
        <f>IF($N2271="","",IF(INDEX(LdBAmt,$N2271)=0,"",INDEX(LdBAmt,$N2271)))</f>
        <v/>
      </c>
      <c r="G2271" s="30">
        <f>IF($N2271="","",IF(INDEX(LdBNote,$N2271)="","—",INDEX(LdBNote,$N2271)))</f>
        <v/>
      </c>
      <c r="N2271">
        <f>IFERROR(MATCH($C$5&amp;"|"&amp;RIGHT("000000"&amp;251,6),LdBKeyG,0),"")</f>
        <v/>
      </c>
    </row>
    <row r="2272">
      <c r="A2272" s="19" t="n">
        <v>252</v>
      </c>
      <c r="B2272" s="20">
        <f>IF($N2272="","",INDEX(LdBDate,$N2272))</f>
        <v/>
      </c>
      <c r="C2272" s="20">
        <f>IF($N2272="","",IF(INDEX(LdBId,$N2272)="","—",INDEX(LdBId,$N2272)))</f>
        <v/>
      </c>
      <c r="D2272" s="20">
        <f>IF($N2272="","",INDEX(LdBMember,$N2272))</f>
        <v/>
      </c>
      <c r="E2272" s="20">
        <f>IF($N2272="","",IFERROR(IF(VLOOKUP(INDEX(LdBMember,$N2272),AcctTblE,4,0)="","(بدون نام)",VLOOKUP(INDEX(LdBMember,$N2272),AcctTblE,4,0)),"—"))</f>
        <v/>
      </c>
      <c r="F2272" s="21">
        <f>IF($N2272="","",IF(INDEX(LdBAmt,$N2272)=0,"",INDEX(LdBAmt,$N2272)))</f>
        <v/>
      </c>
      <c r="G2272" s="32">
        <f>IF($N2272="","",IF(INDEX(LdBNote,$N2272)="","—",INDEX(LdBNote,$N2272)))</f>
        <v/>
      </c>
      <c r="N2272">
        <f>IFERROR(MATCH($C$5&amp;"|"&amp;RIGHT("000000"&amp;252,6),LdBKeyG,0),"")</f>
        <v/>
      </c>
    </row>
    <row r="2273">
      <c r="A2273" s="10" t="n">
        <v>253</v>
      </c>
      <c r="B2273" s="14">
        <f>IF($N2273="","",INDEX(LdBDate,$N2273))</f>
        <v/>
      </c>
      <c r="C2273" s="14">
        <f>IF($N2273="","",IF(INDEX(LdBId,$N2273)="","—",INDEX(LdBId,$N2273)))</f>
        <v/>
      </c>
      <c r="D2273" s="14">
        <f>IF($N2273="","",INDEX(LdBMember,$N2273))</f>
        <v/>
      </c>
      <c r="E2273" s="14">
        <f>IF($N2273="","",IFERROR(IF(VLOOKUP(INDEX(LdBMember,$N2273),AcctTblE,4,0)="","(بدون نام)",VLOOKUP(INDEX(LdBMember,$N2273),AcctTblE,4,0)),"—"))</f>
        <v/>
      </c>
      <c r="F2273" s="16">
        <f>IF($N2273="","",IF(INDEX(LdBAmt,$N2273)=0,"",INDEX(LdBAmt,$N2273)))</f>
        <v/>
      </c>
      <c r="G2273" s="30">
        <f>IF($N2273="","",IF(INDEX(LdBNote,$N2273)="","—",INDEX(LdBNote,$N2273)))</f>
        <v/>
      </c>
      <c r="N2273">
        <f>IFERROR(MATCH($C$5&amp;"|"&amp;RIGHT("000000"&amp;253,6),LdBKeyG,0),"")</f>
        <v/>
      </c>
    </row>
    <row r="2274">
      <c r="A2274" s="19" t="n">
        <v>254</v>
      </c>
      <c r="B2274" s="20">
        <f>IF($N2274="","",INDEX(LdBDate,$N2274))</f>
        <v/>
      </c>
      <c r="C2274" s="20">
        <f>IF($N2274="","",IF(INDEX(LdBId,$N2274)="","—",INDEX(LdBId,$N2274)))</f>
        <v/>
      </c>
      <c r="D2274" s="20">
        <f>IF($N2274="","",INDEX(LdBMember,$N2274))</f>
        <v/>
      </c>
      <c r="E2274" s="20">
        <f>IF($N2274="","",IFERROR(IF(VLOOKUP(INDEX(LdBMember,$N2274),AcctTblE,4,0)="","(بدون نام)",VLOOKUP(INDEX(LdBMember,$N2274),AcctTblE,4,0)),"—"))</f>
        <v/>
      </c>
      <c r="F2274" s="21">
        <f>IF($N2274="","",IF(INDEX(LdBAmt,$N2274)=0,"",INDEX(LdBAmt,$N2274)))</f>
        <v/>
      </c>
      <c r="G2274" s="32">
        <f>IF($N2274="","",IF(INDEX(LdBNote,$N2274)="","—",INDEX(LdBNote,$N2274)))</f>
        <v/>
      </c>
      <c r="N2274">
        <f>IFERROR(MATCH($C$5&amp;"|"&amp;RIGHT("000000"&amp;254,6),LdBKeyG,0),"")</f>
        <v/>
      </c>
    </row>
    <row r="2275">
      <c r="A2275" s="10" t="n">
        <v>255</v>
      </c>
      <c r="B2275" s="14">
        <f>IF($N2275="","",INDEX(LdBDate,$N2275))</f>
        <v/>
      </c>
      <c r="C2275" s="14">
        <f>IF($N2275="","",IF(INDEX(LdBId,$N2275)="","—",INDEX(LdBId,$N2275)))</f>
        <v/>
      </c>
      <c r="D2275" s="14">
        <f>IF($N2275="","",INDEX(LdBMember,$N2275))</f>
        <v/>
      </c>
      <c r="E2275" s="14">
        <f>IF($N2275="","",IFERROR(IF(VLOOKUP(INDEX(LdBMember,$N2275),AcctTblE,4,0)="","(بدون نام)",VLOOKUP(INDEX(LdBMember,$N2275),AcctTblE,4,0)),"—"))</f>
        <v/>
      </c>
      <c r="F2275" s="16">
        <f>IF($N2275="","",IF(INDEX(LdBAmt,$N2275)=0,"",INDEX(LdBAmt,$N2275)))</f>
        <v/>
      </c>
      <c r="G2275" s="30">
        <f>IF($N2275="","",IF(INDEX(LdBNote,$N2275)="","—",INDEX(LdBNote,$N2275)))</f>
        <v/>
      </c>
      <c r="N2275">
        <f>IFERROR(MATCH($C$5&amp;"|"&amp;RIGHT("000000"&amp;255,6),LdBKeyG,0),"")</f>
        <v/>
      </c>
    </row>
    <row r="2276">
      <c r="A2276" s="19" t="n">
        <v>256</v>
      </c>
      <c r="B2276" s="20">
        <f>IF($N2276="","",INDEX(LdBDate,$N2276))</f>
        <v/>
      </c>
      <c r="C2276" s="20">
        <f>IF($N2276="","",IF(INDEX(LdBId,$N2276)="","—",INDEX(LdBId,$N2276)))</f>
        <v/>
      </c>
      <c r="D2276" s="20">
        <f>IF($N2276="","",INDEX(LdBMember,$N2276))</f>
        <v/>
      </c>
      <c r="E2276" s="20">
        <f>IF($N2276="","",IFERROR(IF(VLOOKUP(INDEX(LdBMember,$N2276),AcctTblE,4,0)="","(بدون نام)",VLOOKUP(INDEX(LdBMember,$N2276),AcctTblE,4,0)),"—"))</f>
        <v/>
      </c>
      <c r="F2276" s="21">
        <f>IF($N2276="","",IF(INDEX(LdBAmt,$N2276)=0,"",INDEX(LdBAmt,$N2276)))</f>
        <v/>
      </c>
      <c r="G2276" s="32">
        <f>IF($N2276="","",IF(INDEX(LdBNote,$N2276)="","—",INDEX(LdBNote,$N2276)))</f>
        <v/>
      </c>
      <c r="N2276">
        <f>IFERROR(MATCH($C$5&amp;"|"&amp;RIGHT("000000"&amp;256,6),LdBKeyG,0),"")</f>
        <v/>
      </c>
    </row>
    <row r="2277">
      <c r="A2277" s="10" t="n">
        <v>257</v>
      </c>
      <c r="B2277" s="14">
        <f>IF($N2277="","",INDEX(LdBDate,$N2277))</f>
        <v/>
      </c>
      <c r="C2277" s="14">
        <f>IF($N2277="","",IF(INDEX(LdBId,$N2277)="","—",INDEX(LdBId,$N2277)))</f>
        <v/>
      </c>
      <c r="D2277" s="14">
        <f>IF($N2277="","",INDEX(LdBMember,$N2277))</f>
        <v/>
      </c>
      <c r="E2277" s="14">
        <f>IF($N2277="","",IFERROR(IF(VLOOKUP(INDEX(LdBMember,$N2277),AcctTblE,4,0)="","(بدون نام)",VLOOKUP(INDEX(LdBMember,$N2277),AcctTblE,4,0)),"—"))</f>
        <v/>
      </c>
      <c r="F2277" s="16">
        <f>IF($N2277="","",IF(INDEX(LdBAmt,$N2277)=0,"",INDEX(LdBAmt,$N2277)))</f>
        <v/>
      </c>
      <c r="G2277" s="30">
        <f>IF($N2277="","",IF(INDEX(LdBNote,$N2277)="","—",INDEX(LdBNote,$N2277)))</f>
        <v/>
      </c>
      <c r="N2277">
        <f>IFERROR(MATCH($C$5&amp;"|"&amp;RIGHT("000000"&amp;257,6),LdBKeyG,0),"")</f>
        <v/>
      </c>
    </row>
    <row r="2278">
      <c r="A2278" s="19" t="n">
        <v>258</v>
      </c>
      <c r="B2278" s="20">
        <f>IF($N2278="","",INDEX(LdBDate,$N2278))</f>
        <v/>
      </c>
      <c r="C2278" s="20">
        <f>IF($N2278="","",IF(INDEX(LdBId,$N2278)="","—",INDEX(LdBId,$N2278)))</f>
        <v/>
      </c>
      <c r="D2278" s="20">
        <f>IF($N2278="","",INDEX(LdBMember,$N2278))</f>
        <v/>
      </c>
      <c r="E2278" s="20">
        <f>IF($N2278="","",IFERROR(IF(VLOOKUP(INDEX(LdBMember,$N2278),AcctTblE,4,0)="","(بدون نام)",VLOOKUP(INDEX(LdBMember,$N2278),AcctTblE,4,0)),"—"))</f>
        <v/>
      </c>
      <c r="F2278" s="21">
        <f>IF($N2278="","",IF(INDEX(LdBAmt,$N2278)=0,"",INDEX(LdBAmt,$N2278)))</f>
        <v/>
      </c>
      <c r="G2278" s="32">
        <f>IF($N2278="","",IF(INDEX(LdBNote,$N2278)="","—",INDEX(LdBNote,$N2278)))</f>
        <v/>
      </c>
      <c r="N2278">
        <f>IFERROR(MATCH($C$5&amp;"|"&amp;RIGHT("000000"&amp;258,6),LdBKeyG,0),"")</f>
        <v/>
      </c>
    </row>
    <row r="2279">
      <c r="A2279" s="10" t="n">
        <v>259</v>
      </c>
      <c r="B2279" s="14">
        <f>IF($N2279="","",INDEX(LdBDate,$N2279))</f>
        <v/>
      </c>
      <c r="C2279" s="14">
        <f>IF($N2279="","",IF(INDEX(LdBId,$N2279)="","—",INDEX(LdBId,$N2279)))</f>
        <v/>
      </c>
      <c r="D2279" s="14">
        <f>IF($N2279="","",INDEX(LdBMember,$N2279))</f>
        <v/>
      </c>
      <c r="E2279" s="14">
        <f>IF($N2279="","",IFERROR(IF(VLOOKUP(INDEX(LdBMember,$N2279),AcctTblE,4,0)="","(بدون نام)",VLOOKUP(INDEX(LdBMember,$N2279),AcctTblE,4,0)),"—"))</f>
        <v/>
      </c>
      <c r="F2279" s="16">
        <f>IF($N2279="","",IF(INDEX(LdBAmt,$N2279)=0,"",INDEX(LdBAmt,$N2279)))</f>
        <v/>
      </c>
      <c r="G2279" s="30">
        <f>IF($N2279="","",IF(INDEX(LdBNote,$N2279)="","—",INDEX(LdBNote,$N2279)))</f>
        <v/>
      </c>
      <c r="N2279">
        <f>IFERROR(MATCH($C$5&amp;"|"&amp;RIGHT("000000"&amp;259,6),LdBKeyG,0),"")</f>
        <v/>
      </c>
    </row>
    <row r="2280">
      <c r="A2280" s="19" t="n">
        <v>260</v>
      </c>
      <c r="B2280" s="20">
        <f>IF($N2280="","",INDEX(LdBDate,$N2280))</f>
        <v/>
      </c>
      <c r="C2280" s="20">
        <f>IF($N2280="","",IF(INDEX(LdBId,$N2280)="","—",INDEX(LdBId,$N2280)))</f>
        <v/>
      </c>
      <c r="D2280" s="20">
        <f>IF($N2280="","",INDEX(LdBMember,$N2280))</f>
        <v/>
      </c>
      <c r="E2280" s="20">
        <f>IF($N2280="","",IFERROR(IF(VLOOKUP(INDEX(LdBMember,$N2280),AcctTblE,4,0)="","(بدون نام)",VLOOKUP(INDEX(LdBMember,$N2280),AcctTblE,4,0)),"—"))</f>
        <v/>
      </c>
      <c r="F2280" s="21">
        <f>IF($N2280="","",IF(INDEX(LdBAmt,$N2280)=0,"",INDEX(LdBAmt,$N2280)))</f>
        <v/>
      </c>
      <c r="G2280" s="32">
        <f>IF($N2280="","",IF(INDEX(LdBNote,$N2280)="","—",INDEX(LdBNote,$N2280)))</f>
        <v/>
      </c>
      <c r="N2280">
        <f>IFERROR(MATCH($C$5&amp;"|"&amp;RIGHT("000000"&amp;260,6),LdBKeyG,0),"")</f>
        <v/>
      </c>
    </row>
    <row r="2281">
      <c r="A2281" s="10" t="n">
        <v>261</v>
      </c>
      <c r="B2281" s="14">
        <f>IF($N2281="","",INDEX(LdBDate,$N2281))</f>
        <v/>
      </c>
      <c r="C2281" s="14">
        <f>IF($N2281="","",IF(INDEX(LdBId,$N2281)="","—",INDEX(LdBId,$N2281)))</f>
        <v/>
      </c>
      <c r="D2281" s="14">
        <f>IF($N2281="","",INDEX(LdBMember,$N2281))</f>
        <v/>
      </c>
      <c r="E2281" s="14">
        <f>IF($N2281="","",IFERROR(IF(VLOOKUP(INDEX(LdBMember,$N2281),AcctTblE,4,0)="","(بدون نام)",VLOOKUP(INDEX(LdBMember,$N2281),AcctTblE,4,0)),"—"))</f>
        <v/>
      </c>
      <c r="F2281" s="16">
        <f>IF($N2281="","",IF(INDEX(LdBAmt,$N2281)=0,"",INDEX(LdBAmt,$N2281)))</f>
        <v/>
      </c>
      <c r="G2281" s="30">
        <f>IF($N2281="","",IF(INDEX(LdBNote,$N2281)="","—",INDEX(LdBNote,$N2281)))</f>
        <v/>
      </c>
      <c r="N2281">
        <f>IFERROR(MATCH($C$5&amp;"|"&amp;RIGHT("000000"&amp;261,6),LdBKeyG,0),"")</f>
        <v/>
      </c>
    </row>
    <row r="2282">
      <c r="A2282" s="19" t="n">
        <v>262</v>
      </c>
      <c r="B2282" s="20">
        <f>IF($N2282="","",INDEX(LdBDate,$N2282))</f>
        <v/>
      </c>
      <c r="C2282" s="20">
        <f>IF($N2282="","",IF(INDEX(LdBId,$N2282)="","—",INDEX(LdBId,$N2282)))</f>
        <v/>
      </c>
      <c r="D2282" s="20">
        <f>IF($N2282="","",INDEX(LdBMember,$N2282))</f>
        <v/>
      </c>
      <c r="E2282" s="20">
        <f>IF($N2282="","",IFERROR(IF(VLOOKUP(INDEX(LdBMember,$N2282),AcctTblE,4,0)="","(بدون نام)",VLOOKUP(INDEX(LdBMember,$N2282),AcctTblE,4,0)),"—"))</f>
        <v/>
      </c>
      <c r="F2282" s="21">
        <f>IF($N2282="","",IF(INDEX(LdBAmt,$N2282)=0,"",INDEX(LdBAmt,$N2282)))</f>
        <v/>
      </c>
      <c r="G2282" s="32">
        <f>IF($N2282="","",IF(INDEX(LdBNote,$N2282)="","—",INDEX(LdBNote,$N2282)))</f>
        <v/>
      </c>
      <c r="N2282">
        <f>IFERROR(MATCH($C$5&amp;"|"&amp;RIGHT("000000"&amp;262,6),LdBKeyG,0),"")</f>
        <v/>
      </c>
    </row>
    <row r="2283">
      <c r="A2283" s="10" t="n">
        <v>263</v>
      </c>
      <c r="B2283" s="14">
        <f>IF($N2283="","",INDEX(LdBDate,$N2283))</f>
        <v/>
      </c>
      <c r="C2283" s="14">
        <f>IF($N2283="","",IF(INDEX(LdBId,$N2283)="","—",INDEX(LdBId,$N2283)))</f>
        <v/>
      </c>
      <c r="D2283" s="14">
        <f>IF($N2283="","",INDEX(LdBMember,$N2283))</f>
        <v/>
      </c>
      <c r="E2283" s="14">
        <f>IF($N2283="","",IFERROR(IF(VLOOKUP(INDEX(LdBMember,$N2283),AcctTblE,4,0)="","(بدون نام)",VLOOKUP(INDEX(LdBMember,$N2283),AcctTblE,4,0)),"—"))</f>
        <v/>
      </c>
      <c r="F2283" s="16">
        <f>IF($N2283="","",IF(INDEX(LdBAmt,$N2283)=0,"",INDEX(LdBAmt,$N2283)))</f>
        <v/>
      </c>
      <c r="G2283" s="30">
        <f>IF($N2283="","",IF(INDEX(LdBNote,$N2283)="","—",INDEX(LdBNote,$N2283)))</f>
        <v/>
      </c>
      <c r="N2283">
        <f>IFERROR(MATCH($C$5&amp;"|"&amp;RIGHT("000000"&amp;263,6),LdBKeyG,0),"")</f>
        <v/>
      </c>
    </row>
    <row r="2284">
      <c r="A2284" s="19" t="n">
        <v>264</v>
      </c>
      <c r="B2284" s="20">
        <f>IF($N2284="","",INDEX(LdBDate,$N2284))</f>
        <v/>
      </c>
      <c r="C2284" s="20">
        <f>IF($N2284="","",IF(INDEX(LdBId,$N2284)="","—",INDEX(LdBId,$N2284)))</f>
        <v/>
      </c>
      <c r="D2284" s="20">
        <f>IF($N2284="","",INDEX(LdBMember,$N2284))</f>
        <v/>
      </c>
      <c r="E2284" s="20">
        <f>IF($N2284="","",IFERROR(IF(VLOOKUP(INDEX(LdBMember,$N2284),AcctTblE,4,0)="","(بدون نام)",VLOOKUP(INDEX(LdBMember,$N2284),AcctTblE,4,0)),"—"))</f>
        <v/>
      </c>
      <c r="F2284" s="21">
        <f>IF($N2284="","",IF(INDEX(LdBAmt,$N2284)=0,"",INDEX(LdBAmt,$N2284)))</f>
        <v/>
      </c>
      <c r="G2284" s="32">
        <f>IF($N2284="","",IF(INDEX(LdBNote,$N2284)="","—",INDEX(LdBNote,$N2284)))</f>
        <v/>
      </c>
      <c r="N2284">
        <f>IFERROR(MATCH($C$5&amp;"|"&amp;RIGHT("000000"&amp;264,6),LdBKeyG,0),"")</f>
        <v/>
      </c>
    </row>
    <row r="2285">
      <c r="A2285" s="10" t="n">
        <v>265</v>
      </c>
      <c r="B2285" s="14">
        <f>IF($N2285="","",INDEX(LdBDate,$N2285))</f>
        <v/>
      </c>
      <c r="C2285" s="14">
        <f>IF($N2285="","",IF(INDEX(LdBId,$N2285)="","—",INDEX(LdBId,$N2285)))</f>
        <v/>
      </c>
      <c r="D2285" s="14">
        <f>IF($N2285="","",INDEX(LdBMember,$N2285))</f>
        <v/>
      </c>
      <c r="E2285" s="14">
        <f>IF($N2285="","",IFERROR(IF(VLOOKUP(INDEX(LdBMember,$N2285),AcctTblE,4,0)="","(بدون نام)",VLOOKUP(INDEX(LdBMember,$N2285),AcctTblE,4,0)),"—"))</f>
        <v/>
      </c>
      <c r="F2285" s="16">
        <f>IF($N2285="","",IF(INDEX(LdBAmt,$N2285)=0,"",INDEX(LdBAmt,$N2285)))</f>
        <v/>
      </c>
      <c r="G2285" s="30">
        <f>IF($N2285="","",IF(INDEX(LdBNote,$N2285)="","—",INDEX(LdBNote,$N2285)))</f>
        <v/>
      </c>
      <c r="N2285">
        <f>IFERROR(MATCH($C$5&amp;"|"&amp;RIGHT("000000"&amp;265,6),LdBKeyG,0),"")</f>
        <v/>
      </c>
    </row>
    <row r="2286">
      <c r="A2286" s="19" t="n">
        <v>266</v>
      </c>
      <c r="B2286" s="20">
        <f>IF($N2286="","",INDEX(LdBDate,$N2286))</f>
        <v/>
      </c>
      <c r="C2286" s="20">
        <f>IF($N2286="","",IF(INDEX(LdBId,$N2286)="","—",INDEX(LdBId,$N2286)))</f>
        <v/>
      </c>
      <c r="D2286" s="20">
        <f>IF($N2286="","",INDEX(LdBMember,$N2286))</f>
        <v/>
      </c>
      <c r="E2286" s="20">
        <f>IF($N2286="","",IFERROR(IF(VLOOKUP(INDEX(LdBMember,$N2286),AcctTblE,4,0)="","(بدون نام)",VLOOKUP(INDEX(LdBMember,$N2286),AcctTblE,4,0)),"—"))</f>
        <v/>
      </c>
      <c r="F2286" s="21">
        <f>IF($N2286="","",IF(INDEX(LdBAmt,$N2286)=0,"",INDEX(LdBAmt,$N2286)))</f>
        <v/>
      </c>
      <c r="G2286" s="32">
        <f>IF($N2286="","",IF(INDEX(LdBNote,$N2286)="","—",INDEX(LdBNote,$N2286)))</f>
        <v/>
      </c>
      <c r="N2286">
        <f>IFERROR(MATCH($C$5&amp;"|"&amp;RIGHT("000000"&amp;266,6),LdBKeyG,0),"")</f>
        <v/>
      </c>
    </row>
    <row r="2287">
      <c r="A2287" s="10" t="n">
        <v>267</v>
      </c>
      <c r="B2287" s="14">
        <f>IF($N2287="","",INDEX(LdBDate,$N2287))</f>
        <v/>
      </c>
      <c r="C2287" s="14">
        <f>IF($N2287="","",IF(INDEX(LdBId,$N2287)="","—",INDEX(LdBId,$N2287)))</f>
        <v/>
      </c>
      <c r="D2287" s="14">
        <f>IF($N2287="","",INDEX(LdBMember,$N2287))</f>
        <v/>
      </c>
      <c r="E2287" s="14">
        <f>IF($N2287="","",IFERROR(IF(VLOOKUP(INDEX(LdBMember,$N2287),AcctTblE,4,0)="","(بدون نام)",VLOOKUP(INDEX(LdBMember,$N2287),AcctTblE,4,0)),"—"))</f>
        <v/>
      </c>
      <c r="F2287" s="16">
        <f>IF($N2287="","",IF(INDEX(LdBAmt,$N2287)=0,"",INDEX(LdBAmt,$N2287)))</f>
        <v/>
      </c>
      <c r="G2287" s="30">
        <f>IF($N2287="","",IF(INDEX(LdBNote,$N2287)="","—",INDEX(LdBNote,$N2287)))</f>
        <v/>
      </c>
      <c r="N2287">
        <f>IFERROR(MATCH($C$5&amp;"|"&amp;RIGHT("000000"&amp;267,6),LdBKeyG,0),"")</f>
        <v/>
      </c>
    </row>
    <row r="2288">
      <c r="A2288" s="19" t="n">
        <v>268</v>
      </c>
      <c r="B2288" s="20">
        <f>IF($N2288="","",INDEX(LdBDate,$N2288))</f>
        <v/>
      </c>
      <c r="C2288" s="20">
        <f>IF($N2288="","",IF(INDEX(LdBId,$N2288)="","—",INDEX(LdBId,$N2288)))</f>
        <v/>
      </c>
      <c r="D2288" s="20">
        <f>IF($N2288="","",INDEX(LdBMember,$N2288))</f>
        <v/>
      </c>
      <c r="E2288" s="20">
        <f>IF($N2288="","",IFERROR(IF(VLOOKUP(INDEX(LdBMember,$N2288),AcctTblE,4,0)="","(بدون نام)",VLOOKUP(INDEX(LdBMember,$N2288),AcctTblE,4,0)),"—"))</f>
        <v/>
      </c>
      <c r="F2288" s="21">
        <f>IF($N2288="","",IF(INDEX(LdBAmt,$N2288)=0,"",INDEX(LdBAmt,$N2288)))</f>
        <v/>
      </c>
      <c r="G2288" s="32">
        <f>IF($N2288="","",IF(INDEX(LdBNote,$N2288)="","—",INDEX(LdBNote,$N2288)))</f>
        <v/>
      </c>
      <c r="N2288">
        <f>IFERROR(MATCH($C$5&amp;"|"&amp;RIGHT("000000"&amp;268,6),LdBKeyG,0),"")</f>
        <v/>
      </c>
    </row>
    <row r="2289">
      <c r="A2289" s="10" t="n">
        <v>269</v>
      </c>
      <c r="B2289" s="14">
        <f>IF($N2289="","",INDEX(LdBDate,$N2289))</f>
        <v/>
      </c>
      <c r="C2289" s="14">
        <f>IF($N2289="","",IF(INDEX(LdBId,$N2289)="","—",INDEX(LdBId,$N2289)))</f>
        <v/>
      </c>
      <c r="D2289" s="14">
        <f>IF($N2289="","",INDEX(LdBMember,$N2289))</f>
        <v/>
      </c>
      <c r="E2289" s="14">
        <f>IF($N2289="","",IFERROR(IF(VLOOKUP(INDEX(LdBMember,$N2289),AcctTblE,4,0)="","(بدون نام)",VLOOKUP(INDEX(LdBMember,$N2289),AcctTblE,4,0)),"—"))</f>
        <v/>
      </c>
      <c r="F2289" s="16">
        <f>IF($N2289="","",IF(INDEX(LdBAmt,$N2289)=0,"",INDEX(LdBAmt,$N2289)))</f>
        <v/>
      </c>
      <c r="G2289" s="30">
        <f>IF($N2289="","",IF(INDEX(LdBNote,$N2289)="","—",INDEX(LdBNote,$N2289)))</f>
        <v/>
      </c>
      <c r="N2289">
        <f>IFERROR(MATCH($C$5&amp;"|"&amp;RIGHT("000000"&amp;269,6),LdBKeyG,0),"")</f>
        <v/>
      </c>
    </row>
    <row r="2290">
      <c r="A2290" s="19" t="n">
        <v>270</v>
      </c>
      <c r="B2290" s="20">
        <f>IF($N2290="","",INDEX(LdBDate,$N2290))</f>
        <v/>
      </c>
      <c r="C2290" s="20">
        <f>IF($N2290="","",IF(INDEX(LdBId,$N2290)="","—",INDEX(LdBId,$N2290)))</f>
        <v/>
      </c>
      <c r="D2290" s="20">
        <f>IF($N2290="","",INDEX(LdBMember,$N2290))</f>
        <v/>
      </c>
      <c r="E2290" s="20">
        <f>IF($N2290="","",IFERROR(IF(VLOOKUP(INDEX(LdBMember,$N2290),AcctTblE,4,0)="","(بدون نام)",VLOOKUP(INDEX(LdBMember,$N2290),AcctTblE,4,0)),"—"))</f>
        <v/>
      </c>
      <c r="F2290" s="21">
        <f>IF($N2290="","",IF(INDEX(LdBAmt,$N2290)=0,"",INDEX(LdBAmt,$N2290)))</f>
        <v/>
      </c>
      <c r="G2290" s="32">
        <f>IF($N2290="","",IF(INDEX(LdBNote,$N2290)="","—",INDEX(LdBNote,$N2290)))</f>
        <v/>
      </c>
      <c r="N2290">
        <f>IFERROR(MATCH($C$5&amp;"|"&amp;RIGHT("000000"&amp;270,6),LdBKeyG,0),"")</f>
        <v/>
      </c>
    </row>
    <row r="2291">
      <c r="A2291" s="10" t="n">
        <v>271</v>
      </c>
      <c r="B2291" s="14">
        <f>IF($N2291="","",INDEX(LdBDate,$N2291))</f>
        <v/>
      </c>
      <c r="C2291" s="14">
        <f>IF($N2291="","",IF(INDEX(LdBId,$N2291)="","—",INDEX(LdBId,$N2291)))</f>
        <v/>
      </c>
      <c r="D2291" s="14">
        <f>IF($N2291="","",INDEX(LdBMember,$N2291))</f>
        <v/>
      </c>
      <c r="E2291" s="14">
        <f>IF($N2291="","",IFERROR(IF(VLOOKUP(INDEX(LdBMember,$N2291),AcctTblE,4,0)="","(بدون نام)",VLOOKUP(INDEX(LdBMember,$N2291),AcctTblE,4,0)),"—"))</f>
        <v/>
      </c>
      <c r="F2291" s="16">
        <f>IF($N2291="","",IF(INDEX(LdBAmt,$N2291)=0,"",INDEX(LdBAmt,$N2291)))</f>
        <v/>
      </c>
      <c r="G2291" s="30">
        <f>IF($N2291="","",IF(INDEX(LdBNote,$N2291)="","—",INDEX(LdBNote,$N2291)))</f>
        <v/>
      </c>
      <c r="N2291">
        <f>IFERROR(MATCH($C$5&amp;"|"&amp;RIGHT("000000"&amp;271,6),LdBKeyG,0),"")</f>
        <v/>
      </c>
    </row>
    <row r="2292">
      <c r="A2292" s="19" t="n">
        <v>272</v>
      </c>
      <c r="B2292" s="20">
        <f>IF($N2292="","",INDEX(LdBDate,$N2292))</f>
        <v/>
      </c>
      <c r="C2292" s="20">
        <f>IF($N2292="","",IF(INDEX(LdBId,$N2292)="","—",INDEX(LdBId,$N2292)))</f>
        <v/>
      </c>
      <c r="D2292" s="20">
        <f>IF($N2292="","",INDEX(LdBMember,$N2292))</f>
        <v/>
      </c>
      <c r="E2292" s="20">
        <f>IF($N2292="","",IFERROR(IF(VLOOKUP(INDEX(LdBMember,$N2292),AcctTblE,4,0)="","(بدون نام)",VLOOKUP(INDEX(LdBMember,$N2292),AcctTblE,4,0)),"—"))</f>
        <v/>
      </c>
      <c r="F2292" s="21">
        <f>IF($N2292="","",IF(INDEX(LdBAmt,$N2292)=0,"",INDEX(LdBAmt,$N2292)))</f>
        <v/>
      </c>
      <c r="G2292" s="32">
        <f>IF($N2292="","",IF(INDEX(LdBNote,$N2292)="","—",INDEX(LdBNote,$N2292)))</f>
        <v/>
      </c>
      <c r="N2292">
        <f>IFERROR(MATCH($C$5&amp;"|"&amp;RIGHT("000000"&amp;272,6),LdBKeyG,0),"")</f>
        <v/>
      </c>
    </row>
    <row r="2293">
      <c r="A2293" s="10" t="n">
        <v>273</v>
      </c>
      <c r="B2293" s="14">
        <f>IF($N2293="","",INDEX(LdBDate,$N2293))</f>
        <v/>
      </c>
      <c r="C2293" s="14">
        <f>IF($N2293="","",IF(INDEX(LdBId,$N2293)="","—",INDEX(LdBId,$N2293)))</f>
        <v/>
      </c>
      <c r="D2293" s="14">
        <f>IF($N2293="","",INDEX(LdBMember,$N2293))</f>
        <v/>
      </c>
      <c r="E2293" s="14">
        <f>IF($N2293="","",IFERROR(IF(VLOOKUP(INDEX(LdBMember,$N2293),AcctTblE,4,0)="","(بدون نام)",VLOOKUP(INDEX(LdBMember,$N2293),AcctTblE,4,0)),"—"))</f>
        <v/>
      </c>
      <c r="F2293" s="16">
        <f>IF($N2293="","",IF(INDEX(LdBAmt,$N2293)=0,"",INDEX(LdBAmt,$N2293)))</f>
        <v/>
      </c>
      <c r="G2293" s="30">
        <f>IF($N2293="","",IF(INDEX(LdBNote,$N2293)="","—",INDEX(LdBNote,$N2293)))</f>
        <v/>
      </c>
      <c r="N2293">
        <f>IFERROR(MATCH($C$5&amp;"|"&amp;RIGHT("000000"&amp;273,6),LdBKeyG,0),"")</f>
        <v/>
      </c>
    </row>
    <row r="2294">
      <c r="A2294" s="19" t="n">
        <v>274</v>
      </c>
      <c r="B2294" s="20">
        <f>IF($N2294="","",INDEX(LdBDate,$N2294))</f>
        <v/>
      </c>
      <c r="C2294" s="20">
        <f>IF($N2294="","",IF(INDEX(LdBId,$N2294)="","—",INDEX(LdBId,$N2294)))</f>
        <v/>
      </c>
      <c r="D2294" s="20">
        <f>IF($N2294="","",INDEX(LdBMember,$N2294))</f>
        <v/>
      </c>
      <c r="E2294" s="20">
        <f>IF($N2294="","",IFERROR(IF(VLOOKUP(INDEX(LdBMember,$N2294),AcctTblE,4,0)="","(بدون نام)",VLOOKUP(INDEX(LdBMember,$N2294),AcctTblE,4,0)),"—"))</f>
        <v/>
      </c>
      <c r="F2294" s="21">
        <f>IF($N2294="","",IF(INDEX(LdBAmt,$N2294)=0,"",INDEX(LdBAmt,$N2294)))</f>
        <v/>
      </c>
      <c r="G2294" s="32">
        <f>IF($N2294="","",IF(INDEX(LdBNote,$N2294)="","—",INDEX(LdBNote,$N2294)))</f>
        <v/>
      </c>
      <c r="N2294">
        <f>IFERROR(MATCH($C$5&amp;"|"&amp;RIGHT("000000"&amp;274,6),LdBKeyG,0),"")</f>
        <v/>
      </c>
    </row>
    <row r="2295">
      <c r="A2295" s="10" t="n">
        <v>275</v>
      </c>
      <c r="B2295" s="14">
        <f>IF($N2295="","",INDEX(LdBDate,$N2295))</f>
        <v/>
      </c>
      <c r="C2295" s="14">
        <f>IF($N2295="","",IF(INDEX(LdBId,$N2295)="","—",INDEX(LdBId,$N2295)))</f>
        <v/>
      </c>
      <c r="D2295" s="14">
        <f>IF($N2295="","",INDEX(LdBMember,$N2295))</f>
        <v/>
      </c>
      <c r="E2295" s="14">
        <f>IF($N2295="","",IFERROR(IF(VLOOKUP(INDEX(LdBMember,$N2295),AcctTblE,4,0)="","(بدون نام)",VLOOKUP(INDEX(LdBMember,$N2295),AcctTblE,4,0)),"—"))</f>
        <v/>
      </c>
      <c r="F2295" s="16">
        <f>IF($N2295="","",IF(INDEX(LdBAmt,$N2295)=0,"",INDEX(LdBAmt,$N2295)))</f>
        <v/>
      </c>
      <c r="G2295" s="30">
        <f>IF($N2295="","",IF(INDEX(LdBNote,$N2295)="","—",INDEX(LdBNote,$N2295)))</f>
        <v/>
      </c>
      <c r="N2295">
        <f>IFERROR(MATCH($C$5&amp;"|"&amp;RIGHT("000000"&amp;275,6),LdBKeyG,0),"")</f>
        <v/>
      </c>
    </row>
    <row r="2296">
      <c r="A2296" s="19" t="n">
        <v>276</v>
      </c>
      <c r="B2296" s="20">
        <f>IF($N2296="","",INDEX(LdBDate,$N2296))</f>
        <v/>
      </c>
      <c r="C2296" s="20">
        <f>IF($N2296="","",IF(INDEX(LdBId,$N2296)="","—",INDEX(LdBId,$N2296)))</f>
        <v/>
      </c>
      <c r="D2296" s="20">
        <f>IF($N2296="","",INDEX(LdBMember,$N2296))</f>
        <v/>
      </c>
      <c r="E2296" s="20">
        <f>IF($N2296="","",IFERROR(IF(VLOOKUP(INDEX(LdBMember,$N2296),AcctTblE,4,0)="","(بدون نام)",VLOOKUP(INDEX(LdBMember,$N2296),AcctTblE,4,0)),"—"))</f>
        <v/>
      </c>
      <c r="F2296" s="21">
        <f>IF($N2296="","",IF(INDEX(LdBAmt,$N2296)=0,"",INDEX(LdBAmt,$N2296)))</f>
        <v/>
      </c>
      <c r="G2296" s="32">
        <f>IF($N2296="","",IF(INDEX(LdBNote,$N2296)="","—",INDEX(LdBNote,$N2296)))</f>
        <v/>
      </c>
      <c r="N2296">
        <f>IFERROR(MATCH($C$5&amp;"|"&amp;RIGHT("000000"&amp;276,6),LdBKeyG,0),"")</f>
        <v/>
      </c>
    </row>
    <row r="2297">
      <c r="A2297" s="10" t="n">
        <v>277</v>
      </c>
      <c r="B2297" s="14">
        <f>IF($N2297="","",INDEX(LdBDate,$N2297))</f>
        <v/>
      </c>
      <c r="C2297" s="14">
        <f>IF($N2297="","",IF(INDEX(LdBId,$N2297)="","—",INDEX(LdBId,$N2297)))</f>
        <v/>
      </c>
      <c r="D2297" s="14">
        <f>IF($N2297="","",INDEX(LdBMember,$N2297))</f>
        <v/>
      </c>
      <c r="E2297" s="14">
        <f>IF($N2297="","",IFERROR(IF(VLOOKUP(INDEX(LdBMember,$N2297),AcctTblE,4,0)="","(بدون نام)",VLOOKUP(INDEX(LdBMember,$N2297),AcctTblE,4,0)),"—"))</f>
        <v/>
      </c>
      <c r="F2297" s="16">
        <f>IF($N2297="","",IF(INDEX(LdBAmt,$N2297)=0,"",INDEX(LdBAmt,$N2297)))</f>
        <v/>
      </c>
      <c r="G2297" s="30">
        <f>IF($N2297="","",IF(INDEX(LdBNote,$N2297)="","—",INDEX(LdBNote,$N2297)))</f>
        <v/>
      </c>
      <c r="N2297">
        <f>IFERROR(MATCH($C$5&amp;"|"&amp;RIGHT("000000"&amp;277,6),LdBKeyG,0),"")</f>
        <v/>
      </c>
    </row>
    <row r="2298">
      <c r="A2298" s="19" t="n">
        <v>278</v>
      </c>
      <c r="B2298" s="20">
        <f>IF($N2298="","",INDEX(LdBDate,$N2298))</f>
        <v/>
      </c>
      <c r="C2298" s="20">
        <f>IF($N2298="","",IF(INDEX(LdBId,$N2298)="","—",INDEX(LdBId,$N2298)))</f>
        <v/>
      </c>
      <c r="D2298" s="20">
        <f>IF($N2298="","",INDEX(LdBMember,$N2298))</f>
        <v/>
      </c>
      <c r="E2298" s="20">
        <f>IF($N2298="","",IFERROR(IF(VLOOKUP(INDEX(LdBMember,$N2298),AcctTblE,4,0)="","(بدون نام)",VLOOKUP(INDEX(LdBMember,$N2298),AcctTblE,4,0)),"—"))</f>
        <v/>
      </c>
      <c r="F2298" s="21">
        <f>IF($N2298="","",IF(INDEX(LdBAmt,$N2298)=0,"",INDEX(LdBAmt,$N2298)))</f>
        <v/>
      </c>
      <c r="G2298" s="32">
        <f>IF($N2298="","",IF(INDEX(LdBNote,$N2298)="","—",INDEX(LdBNote,$N2298)))</f>
        <v/>
      </c>
      <c r="N2298">
        <f>IFERROR(MATCH($C$5&amp;"|"&amp;RIGHT("000000"&amp;278,6),LdBKeyG,0),"")</f>
        <v/>
      </c>
    </row>
    <row r="2299">
      <c r="A2299" s="10" t="n">
        <v>279</v>
      </c>
      <c r="B2299" s="14">
        <f>IF($N2299="","",INDEX(LdBDate,$N2299))</f>
        <v/>
      </c>
      <c r="C2299" s="14">
        <f>IF($N2299="","",IF(INDEX(LdBId,$N2299)="","—",INDEX(LdBId,$N2299)))</f>
        <v/>
      </c>
      <c r="D2299" s="14">
        <f>IF($N2299="","",INDEX(LdBMember,$N2299))</f>
        <v/>
      </c>
      <c r="E2299" s="14">
        <f>IF($N2299="","",IFERROR(IF(VLOOKUP(INDEX(LdBMember,$N2299),AcctTblE,4,0)="","(بدون نام)",VLOOKUP(INDEX(LdBMember,$N2299),AcctTblE,4,0)),"—"))</f>
        <v/>
      </c>
      <c r="F2299" s="16">
        <f>IF($N2299="","",IF(INDEX(LdBAmt,$N2299)=0,"",INDEX(LdBAmt,$N2299)))</f>
        <v/>
      </c>
      <c r="G2299" s="30">
        <f>IF($N2299="","",IF(INDEX(LdBNote,$N2299)="","—",INDEX(LdBNote,$N2299)))</f>
        <v/>
      </c>
      <c r="N2299">
        <f>IFERROR(MATCH($C$5&amp;"|"&amp;RIGHT("000000"&amp;279,6),LdBKeyG,0),"")</f>
        <v/>
      </c>
    </row>
    <row r="2300">
      <c r="A2300" s="19" t="n">
        <v>280</v>
      </c>
      <c r="B2300" s="20">
        <f>IF($N2300="","",INDEX(LdBDate,$N2300))</f>
        <v/>
      </c>
      <c r="C2300" s="20">
        <f>IF($N2300="","",IF(INDEX(LdBId,$N2300)="","—",INDEX(LdBId,$N2300)))</f>
        <v/>
      </c>
      <c r="D2300" s="20">
        <f>IF($N2300="","",INDEX(LdBMember,$N2300))</f>
        <v/>
      </c>
      <c r="E2300" s="20">
        <f>IF($N2300="","",IFERROR(IF(VLOOKUP(INDEX(LdBMember,$N2300),AcctTblE,4,0)="","(بدون نام)",VLOOKUP(INDEX(LdBMember,$N2300),AcctTblE,4,0)),"—"))</f>
        <v/>
      </c>
      <c r="F2300" s="21">
        <f>IF($N2300="","",IF(INDEX(LdBAmt,$N2300)=0,"",INDEX(LdBAmt,$N2300)))</f>
        <v/>
      </c>
      <c r="G2300" s="32">
        <f>IF($N2300="","",IF(INDEX(LdBNote,$N2300)="","—",INDEX(LdBNote,$N2300)))</f>
        <v/>
      </c>
      <c r="N2300">
        <f>IFERROR(MATCH($C$5&amp;"|"&amp;RIGHT("000000"&amp;280,6),LdBKeyG,0),"")</f>
        <v/>
      </c>
    </row>
    <row r="2301">
      <c r="A2301" s="10" t="n">
        <v>281</v>
      </c>
      <c r="B2301" s="14">
        <f>IF($N2301="","",INDEX(LdBDate,$N2301))</f>
        <v/>
      </c>
      <c r="C2301" s="14">
        <f>IF($N2301="","",IF(INDEX(LdBId,$N2301)="","—",INDEX(LdBId,$N2301)))</f>
        <v/>
      </c>
      <c r="D2301" s="14">
        <f>IF($N2301="","",INDEX(LdBMember,$N2301))</f>
        <v/>
      </c>
      <c r="E2301" s="14">
        <f>IF($N2301="","",IFERROR(IF(VLOOKUP(INDEX(LdBMember,$N2301),AcctTblE,4,0)="","(بدون نام)",VLOOKUP(INDEX(LdBMember,$N2301),AcctTblE,4,0)),"—"))</f>
        <v/>
      </c>
      <c r="F2301" s="16">
        <f>IF($N2301="","",IF(INDEX(LdBAmt,$N2301)=0,"",INDEX(LdBAmt,$N2301)))</f>
        <v/>
      </c>
      <c r="G2301" s="30">
        <f>IF($N2301="","",IF(INDEX(LdBNote,$N2301)="","—",INDEX(LdBNote,$N2301)))</f>
        <v/>
      </c>
      <c r="N2301">
        <f>IFERROR(MATCH($C$5&amp;"|"&amp;RIGHT("000000"&amp;281,6),LdBKeyG,0),"")</f>
        <v/>
      </c>
    </row>
    <row r="2302">
      <c r="A2302" s="19" t="n">
        <v>282</v>
      </c>
      <c r="B2302" s="20">
        <f>IF($N2302="","",INDEX(LdBDate,$N2302))</f>
        <v/>
      </c>
      <c r="C2302" s="20">
        <f>IF($N2302="","",IF(INDEX(LdBId,$N2302)="","—",INDEX(LdBId,$N2302)))</f>
        <v/>
      </c>
      <c r="D2302" s="20">
        <f>IF($N2302="","",INDEX(LdBMember,$N2302))</f>
        <v/>
      </c>
      <c r="E2302" s="20">
        <f>IF($N2302="","",IFERROR(IF(VLOOKUP(INDEX(LdBMember,$N2302),AcctTblE,4,0)="","(بدون نام)",VLOOKUP(INDEX(LdBMember,$N2302),AcctTblE,4,0)),"—"))</f>
        <v/>
      </c>
      <c r="F2302" s="21">
        <f>IF($N2302="","",IF(INDEX(LdBAmt,$N2302)=0,"",INDEX(LdBAmt,$N2302)))</f>
        <v/>
      </c>
      <c r="G2302" s="32">
        <f>IF($N2302="","",IF(INDEX(LdBNote,$N2302)="","—",INDEX(LdBNote,$N2302)))</f>
        <v/>
      </c>
      <c r="N2302">
        <f>IFERROR(MATCH($C$5&amp;"|"&amp;RIGHT("000000"&amp;282,6),LdBKeyG,0),"")</f>
        <v/>
      </c>
    </row>
    <row r="2303">
      <c r="A2303" s="10" t="n">
        <v>283</v>
      </c>
      <c r="B2303" s="14">
        <f>IF($N2303="","",INDEX(LdBDate,$N2303))</f>
        <v/>
      </c>
      <c r="C2303" s="14">
        <f>IF($N2303="","",IF(INDEX(LdBId,$N2303)="","—",INDEX(LdBId,$N2303)))</f>
        <v/>
      </c>
      <c r="D2303" s="14">
        <f>IF($N2303="","",INDEX(LdBMember,$N2303))</f>
        <v/>
      </c>
      <c r="E2303" s="14">
        <f>IF($N2303="","",IFERROR(IF(VLOOKUP(INDEX(LdBMember,$N2303),AcctTblE,4,0)="","(بدون نام)",VLOOKUP(INDEX(LdBMember,$N2303),AcctTblE,4,0)),"—"))</f>
        <v/>
      </c>
      <c r="F2303" s="16">
        <f>IF($N2303="","",IF(INDEX(LdBAmt,$N2303)=0,"",INDEX(LdBAmt,$N2303)))</f>
        <v/>
      </c>
      <c r="G2303" s="30">
        <f>IF($N2303="","",IF(INDEX(LdBNote,$N2303)="","—",INDEX(LdBNote,$N2303)))</f>
        <v/>
      </c>
      <c r="N2303">
        <f>IFERROR(MATCH($C$5&amp;"|"&amp;RIGHT("000000"&amp;283,6),LdBKeyG,0),"")</f>
        <v/>
      </c>
    </row>
    <row r="2304">
      <c r="A2304" s="19" t="n">
        <v>284</v>
      </c>
      <c r="B2304" s="20">
        <f>IF($N2304="","",INDEX(LdBDate,$N2304))</f>
        <v/>
      </c>
      <c r="C2304" s="20">
        <f>IF($N2304="","",IF(INDEX(LdBId,$N2304)="","—",INDEX(LdBId,$N2304)))</f>
        <v/>
      </c>
      <c r="D2304" s="20">
        <f>IF($N2304="","",INDEX(LdBMember,$N2304))</f>
        <v/>
      </c>
      <c r="E2304" s="20">
        <f>IF($N2304="","",IFERROR(IF(VLOOKUP(INDEX(LdBMember,$N2304),AcctTblE,4,0)="","(بدون نام)",VLOOKUP(INDEX(LdBMember,$N2304),AcctTblE,4,0)),"—"))</f>
        <v/>
      </c>
      <c r="F2304" s="21">
        <f>IF($N2304="","",IF(INDEX(LdBAmt,$N2304)=0,"",INDEX(LdBAmt,$N2304)))</f>
        <v/>
      </c>
      <c r="G2304" s="32">
        <f>IF($N2304="","",IF(INDEX(LdBNote,$N2304)="","—",INDEX(LdBNote,$N2304)))</f>
        <v/>
      </c>
      <c r="N2304">
        <f>IFERROR(MATCH($C$5&amp;"|"&amp;RIGHT("000000"&amp;284,6),LdBKeyG,0),"")</f>
        <v/>
      </c>
    </row>
    <row r="2305">
      <c r="A2305" s="10" t="n">
        <v>285</v>
      </c>
      <c r="B2305" s="14">
        <f>IF($N2305="","",INDEX(LdBDate,$N2305))</f>
        <v/>
      </c>
      <c r="C2305" s="14">
        <f>IF($N2305="","",IF(INDEX(LdBId,$N2305)="","—",INDEX(LdBId,$N2305)))</f>
        <v/>
      </c>
      <c r="D2305" s="14">
        <f>IF($N2305="","",INDEX(LdBMember,$N2305))</f>
        <v/>
      </c>
      <c r="E2305" s="14">
        <f>IF($N2305="","",IFERROR(IF(VLOOKUP(INDEX(LdBMember,$N2305),AcctTblE,4,0)="","(بدون نام)",VLOOKUP(INDEX(LdBMember,$N2305),AcctTblE,4,0)),"—"))</f>
        <v/>
      </c>
      <c r="F2305" s="16">
        <f>IF($N2305="","",IF(INDEX(LdBAmt,$N2305)=0,"",INDEX(LdBAmt,$N2305)))</f>
        <v/>
      </c>
      <c r="G2305" s="30">
        <f>IF($N2305="","",IF(INDEX(LdBNote,$N2305)="","—",INDEX(LdBNote,$N2305)))</f>
        <v/>
      </c>
      <c r="N2305">
        <f>IFERROR(MATCH($C$5&amp;"|"&amp;RIGHT("000000"&amp;285,6),LdBKeyG,0),"")</f>
        <v/>
      </c>
    </row>
    <row r="2306">
      <c r="A2306" s="19" t="n">
        <v>286</v>
      </c>
      <c r="B2306" s="20">
        <f>IF($N2306="","",INDEX(LdBDate,$N2306))</f>
        <v/>
      </c>
      <c r="C2306" s="20">
        <f>IF($N2306="","",IF(INDEX(LdBId,$N2306)="","—",INDEX(LdBId,$N2306)))</f>
        <v/>
      </c>
      <c r="D2306" s="20">
        <f>IF($N2306="","",INDEX(LdBMember,$N2306))</f>
        <v/>
      </c>
      <c r="E2306" s="20">
        <f>IF($N2306="","",IFERROR(IF(VLOOKUP(INDEX(LdBMember,$N2306),AcctTblE,4,0)="","(بدون نام)",VLOOKUP(INDEX(LdBMember,$N2306),AcctTblE,4,0)),"—"))</f>
        <v/>
      </c>
      <c r="F2306" s="21">
        <f>IF($N2306="","",IF(INDEX(LdBAmt,$N2306)=0,"",INDEX(LdBAmt,$N2306)))</f>
        <v/>
      </c>
      <c r="G2306" s="32">
        <f>IF($N2306="","",IF(INDEX(LdBNote,$N2306)="","—",INDEX(LdBNote,$N2306)))</f>
        <v/>
      </c>
      <c r="N2306">
        <f>IFERROR(MATCH($C$5&amp;"|"&amp;RIGHT("000000"&amp;286,6),LdBKeyG,0),"")</f>
        <v/>
      </c>
    </row>
    <row r="2307">
      <c r="A2307" s="10" t="n">
        <v>287</v>
      </c>
      <c r="B2307" s="14">
        <f>IF($N2307="","",INDEX(LdBDate,$N2307))</f>
        <v/>
      </c>
      <c r="C2307" s="14">
        <f>IF($N2307="","",IF(INDEX(LdBId,$N2307)="","—",INDEX(LdBId,$N2307)))</f>
        <v/>
      </c>
      <c r="D2307" s="14">
        <f>IF($N2307="","",INDEX(LdBMember,$N2307))</f>
        <v/>
      </c>
      <c r="E2307" s="14">
        <f>IF($N2307="","",IFERROR(IF(VLOOKUP(INDEX(LdBMember,$N2307),AcctTblE,4,0)="","(بدون نام)",VLOOKUP(INDEX(LdBMember,$N2307),AcctTblE,4,0)),"—"))</f>
        <v/>
      </c>
      <c r="F2307" s="16">
        <f>IF($N2307="","",IF(INDEX(LdBAmt,$N2307)=0,"",INDEX(LdBAmt,$N2307)))</f>
        <v/>
      </c>
      <c r="G2307" s="30">
        <f>IF($N2307="","",IF(INDEX(LdBNote,$N2307)="","—",INDEX(LdBNote,$N2307)))</f>
        <v/>
      </c>
      <c r="N2307">
        <f>IFERROR(MATCH($C$5&amp;"|"&amp;RIGHT("000000"&amp;287,6),LdBKeyG,0),"")</f>
        <v/>
      </c>
    </row>
    <row r="2308">
      <c r="A2308" s="19" t="n">
        <v>288</v>
      </c>
      <c r="B2308" s="20">
        <f>IF($N2308="","",INDEX(LdBDate,$N2308))</f>
        <v/>
      </c>
      <c r="C2308" s="20">
        <f>IF($N2308="","",IF(INDEX(LdBId,$N2308)="","—",INDEX(LdBId,$N2308)))</f>
        <v/>
      </c>
      <c r="D2308" s="20">
        <f>IF($N2308="","",INDEX(LdBMember,$N2308))</f>
        <v/>
      </c>
      <c r="E2308" s="20">
        <f>IF($N2308="","",IFERROR(IF(VLOOKUP(INDEX(LdBMember,$N2308),AcctTblE,4,0)="","(بدون نام)",VLOOKUP(INDEX(LdBMember,$N2308),AcctTblE,4,0)),"—"))</f>
        <v/>
      </c>
      <c r="F2308" s="21">
        <f>IF($N2308="","",IF(INDEX(LdBAmt,$N2308)=0,"",INDEX(LdBAmt,$N2308)))</f>
        <v/>
      </c>
      <c r="G2308" s="32">
        <f>IF($N2308="","",IF(INDEX(LdBNote,$N2308)="","—",INDEX(LdBNote,$N2308)))</f>
        <v/>
      </c>
      <c r="N2308">
        <f>IFERROR(MATCH($C$5&amp;"|"&amp;RIGHT("000000"&amp;288,6),LdBKeyG,0),"")</f>
        <v/>
      </c>
    </row>
    <row r="2309">
      <c r="A2309" s="10" t="n">
        <v>289</v>
      </c>
      <c r="B2309" s="14">
        <f>IF($N2309="","",INDEX(LdBDate,$N2309))</f>
        <v/>
      </c>
      <c r="C2309" s="14">
        <f>IF($N2309="","",IF(INDEX(LdBId,$N2309)="","—",INDEX(LdBId,$N2309)))</f>
        <v/>
      </c>
      <c r="D2309" s="14">
        <f>IF($N2309="","",INDEX(LdBMember,$N2309))</f>
        <v/>
      </c>
      <c r="E2309" s="14">
        <f>IF($N2309="","",IFERROR(IF(VLOOKUP(INDEX(LdBMember,$N2309),AcctTblE,4,0)="","(بدون نام)",VLOOKUP(INDEX(LdBMember,$N2309),AcctTblE,4,0)),"—"))</f>
        <v/>
      </c>
      <c r="F2309" s="16">
        <f>IF($N2309="","",IF(INDEX(LdBAmt,$N2309)=0,"",INDEX(LdBAmt,$N2309)))</f>
        <v/>
      </c>
      <c r="G2309" s="30">
        <f>IF($N2309="","",IF(INDEX(LdBNote,$N2309)="","—",INDEX(LdBNote,$N2309)))</f>
        <v/>
      </c>
      <c r="N2309">
        <f>IFERROR(MATCH($C$5&amp;"|"&amp;RIGHT("000000"&amp;289,6),LdBKeyG,0),"")</f>
        <v/>
      </c>
    </row>
    <row r="2310">
      <c r="A2310" s="19" t="n">
        <v>290</v>
      </c>
      <c r="B2310" s="20">
        <f>IF($N2310="","",INDEX(LdBDate,$N2310))</f>
        <v/>
      </c>
      <c r="C2310" s="20">
        <f>IF($N2310="","",IF(INDEX(LdBId,$N2310)="","—",INDEX(LdBId,$N2310)))</f>
        <v/>
      </c>
      <c r="D2310" s="20">
        <f>IF($N2310="","",INDEX(LdBMember,$N2310))</f>
        <v/>
      </c>
      <c r="E2310" s="20">
        <f>IF($N2310="","",IFERROR(IF(VLOOKUP(INDEX(LdBMember,$N2310),AcctTblE,4,0)="","(بدون نام)",VLOOKUP(INDEX(LdBMember,$N2310),AcctTblE,4,0)),"—"))</f>
        <v/>
      </c>
      <c r="F2310" s="21">
        <f>IF($N2310="","",IF(INDEX(LdBAmt,$N2310)=0,"",INDEX(LdBAmt,$N2310)))</f>
        <v/>
      </c>
      <c r="G2310" s="32">
        <f>IF($N2310="","",IF(INDEX(LdBNote,$N2310)="","—",INDEX(LdBNote,$N2310)))</f>
        <v/>
      </c>
      <c r="N2310">
        <f>IFERROR(MATCH($C$5&amp;"|"&amp;RIGHT("000000"&amp;290,6),LdBKeyG,0),"")</f>
        <v/>
      </c>
    </row>
    <row r="2311">
      <c r="A2311" s="10" t="n">
        <v>291</v>
      </c>
      <c r="B2311" s="14">
        <f>IF($N2311="","",INDEX(LdBDate,$N2311))</f>
        <v/>
      </c>
      <c r="C2311" s="14">
        <f>IF($N2311="","",IF(INDEX(LdBId,$N2311)="","—",INDEX(LdBId,$N2311)))</f>
        <v/>
      </c>
      <c r="D2311" s="14">
        <f>IF($N2311="","",INDEX(LdBMember,$N2311))</f>
        <v/>
      </c>
      <c r="E2311" s="14">
        <f>IF($N2311="","",IFERROR(IF(VLOOKUP(INDEX(LdBMember,$N2311),AcctTblE,4,0)="","(بدون نام)",VLOOKUP(INDEX(LdBMember,$N2311),AcctTblE,4,0)),"—"))</f>
        <v/>
      </c>
      <c r="F2311" s="16">
        <f>IF($N2311="","",IF(INDEX(LdBAmt,$N2311)=0,"",INDEX(LdBAmt,$N2311)))</f>
        <v/>
      </c>
      <c r="G2311" s="30">
        <f>IF($N2311="","",IF(INDEX(LdBNote,$N2311)="","—",INDEX(LdBNote,$N2311)))</f>
        <v/>
      </c>
      <c r="N2311">
        <f>IFERROR(MATCH($C$5&amp;"|"&amp;RIGHT("000000"&amp;291,6),LdBKeyG,0),"")</f>
        <v/>
      </c>
    </row>
    <row r="2312">
      <c r="A2312" s="19" t="n">
        <v>292</v>
      </c>
      <c r="B2312" s="20">
        <f>IF($N2312="","",INDEX(LdBDate,$N2312))</f>
        <v/>
      </c>
      <c r="C2312" s="20">
        <f>IF($N2312="","",IF(INDEX(LdBId,$N2312)="","—",INDEX(LdBId,$N2312)))</f>
        <v/>
      </c>
      <c r="D2312" s="20">
        <f>IF($N2312="","",INDEX(LdBMember,$N2312))</f>
        <v/>
      </c>
      <c r="E2312" s="20">
        <f>IF($N2312="","",IFERROR(IF(VLOOKUP(INDEX(LdBMember,$N2312),AcctTblE,4,0)="","(بدون نام)",VLOOKUP(INDEX(LdBMember,$N2312),AcctTblE,4,0)),"—"))</f>
        <v/>
      </c>
      <c r="F2312" s="21">
        <f>IF($N2312="","",IF(INDEX(LdBAmt,$N2312)=0,"",INDEX(LdBAmt,$N2312)))</f>
        <v/>
      </c>
      <c r="G2312" s="32">
        <f>IF($N2312="","",IF(INDEX(LdBNote,$N2312)="","—",INDEX(LdBNote,$N2312)))</f>
        <v/>
      </c>
      <c r="N2312">
        <f>IFERROR(MATCH($C$5&amp;"|"&amp;RIGHT("000000"&amp;292,6),LdBKeyG,0),"")</f>
        <v/>
      </c>
    </row>
    <row r="2313">
      <c r="A2313" s="10" t="n">
        <v>293</v>
      </c>
      <c r="B2313" s="14">
        <f>IF($N2313="","",INDEX(LdBDate,$N2313))</f>
        <v/>
      </c>
      <c r="C2313" s="14">
        <f>IF($N2313="","",IF(INDEX(LdBId,$N2313)="","—",INDEX(LdBId,$N2313)))</f>
        <v/>
      </c>
      <c r="D2313" s="14">
        <f>IF($N2313="","",INDEX(LdBMember,$N2313))</f>
        <v/>
      </c>
      <c r="E2313" s="14">
        <f>IF($N2313="","",IFERROR(IF(VLOOKUP(INDEX(LdBMember,$N2313),AcctTblE,4,0)="","(بدون نام)",VLOOKUP(INDEX(LdBMember,$N2313),AcctTblE,4,0)),"—"))</f>
        <v/>
      </c>
      <c r="F2313" s="16">
        <f>IF($N2313="","",IF(INDEX(LdBAmt,$N2313)=0,"",INDEX(LdBAmt,$N2313)))</f>
        <v/>
      </c>
      <c r="G2313" s="30">
        <f>IF($N2313="","",IF(INDEX(LdBNote,$N2313)="","—",INDEX(LdBNote,$N2313)))</f>
        <v/>
      </c>
      <c r="N2313">
        <f>IFERROR(MATCH($C$5&amp;"|"&amp;RIGHT("000000"&amp;293,6),LdBKeyG,0),"")</f>
        <v/>
      </c>
    </row>
    <row r="2314">
      <c r="A2314" s="19" t="n">
        <v>294</v>
      </c>
      <c r="B2314" s="20">
        <f>IF($N2314="","",INDEX(LdBDate,$N2314))</f>
        <v/>
      </c>
      <c r="C2314" s="20">
        <f>IF($N2314="","",IF(INDEX(LdBId,$N2314)="","—",INDEX(LdBId,$N2314)))</f>
        <v/>
      </c>
      <c r="D2314" s="20">
        <f>IF($N2314="","",INDEX(LdBMember,$N2314))</f>
        <v/>
      </c>
      <c r="E2314" s="20">
        <f>IF($N2314="","",IFERROR(IF(VLOOKUP(INDEX(LdBMember,$N2314),AcctTblE,4,0)="","(بدون نام)",VLOOKUP(INDEX(LdBMember,$N2314),AcctTblE,4,0)),"—"))</f>
        <v/>
      </c>
      <c r="F2314" s="21">
        <f>IF($N2314="","",IF(INDEX(LdBAmt,$N2314)=0,"",INDEX(LdBAmt,$N2314)))</f>
        <v/>
      </c>
      <c r="G2314" s="32">
        <f>IF($N2314="","",IF(INDEX(LdBNote,$N2314)="","—",INDEX(LdBNote,$N2314)))</f>
        <v/>
      </c>
      <c r="N2314">
        <f>IFERROR(MATCH($C$5&amp;"|"&amp;RIGHT("000000"&amp;294,6),LdBKeyG,0),"")</f>
        <v/>
      </c>
    </row>
    <row r="2315">
      <c r="A2315" s="10" t="n">
        <v>295</v>
      </c>
      <c r="B2315" s="14">
        <f>IF($N2315="","",INDEX(LdBDate,$N2315))</f>
        <v/>
      </c>
      <c r="C2315" s="14">
        <f>IF($N2315="","",IF(INDEX(LdBId,$N2315)="","—",INDEX(LdBId,$N2315)))</f>
        <v/>
      </c>
      <c r="D2315" s="14">
        <f>IF($N2315="","",INDEX(LdBMember,$N2315))</f>
        <v/>
      </c>
      <c r="E2315" s="14">
        <f>IF($N2315="","",IFERROR(IF(VLOOKUP(INDEX(LdBMember,$N2315),AcctTblE,4,0)="","(بدون نام)",VLOOKUP(INDEX(LdBMember,$N2315),AcctTblE,4,0)),"—"))</f>
        <v/>
      </c>
      <c r="F2315" s="16">
        <f>IF($N2315="","",IF(INDEX(LdBAmt,$N2315)=0,"",INDEX(LdBAmt,$N2315)))</f>
        <v/>
      </c>
      <c r="G2315" s="30">
        <f>IF($N2315="","",IF(INDEX(LdBNote,$N2315)="","—",INDEX(LdBNote,$N2315)))</f>
        <v/>
      </c>
      <c r="N2315">
        <f>IFERROR(MATCH($C$5&amp;"|"&amp;RIGHT("000000"&amp;295,6),LdBKeyG,0),"")</f>
        <v/>
      </c>
    </row>
    <row r="2316">
      <c r="A2316" s="19" t="n">
        <v>296</v>
      </c>
      <c r="B2316" s="20">
        <f>IF($N2316="","",INDEX(LdBDate,$N2316))</f>
        <v/>
      </c>
      <c r="C2316" s="20">
        <f>IF($N2316="","",IF(INDEX(LdBId,$N2316)="","—",INDEX(LdBId,$N2316)))</f>
        <v/>
      </c>
      <c r="D2316" s="20">
        <f>IF($N2316="","",INDEX(LdBMember,$N2316))</f>
        <v/>
      </c>
      <c r="E2316" s="20">
        <f>IF($N2316="","",IFERROR(IF(VLOOKUP(INDEX(LdBMember,$N2316),AcctTblE,4,0)="","(بدون نام)",VLOOKUP(INDEX(LdBMember,$N2316),AcctTblE,4,0)),"—"))</f>
        <v/>
      </c>
      <c r="F2316" s="21">
        <f>IF($N2316="","",IF(INDEX(LdBAmt,$N2316)=0,"",INDEX(LdBAmt,$N2316)))</f>
        <v/>
      </c>
      <c r="G2316" s="32">
        <f>IF($N2316="","",IF(INDEX(LdBNote,$N2316)="","—",INDEX(LdBNote,$N2316)))</f>
        <v/>
      </c>
      <c r="N2316">
        <f>IFERROR(MATCH($C$5&amp;"|"&amp;RIGHT("000000"&amp;296,6),LdBKeyG,0),"")</f>
        <v/>
      </c>
    </row>
    <row r="2317">
      <c r="A2317" s="10" t="n">
        <v>297</v>
      </c>
      <c r="B2317" s="14">
        <f>IF($N2317="","",INDEX(LdBDate,$N2317))</f>
        <v/>
      </c>
      <c r="C2317" s="14">
        <f>IF($N2317="","",IF(INDEX(LdBId,$N2317)="","—",INDEX(LdBId,$N2317)))</f>
        <v/>
      </c>
      <c r="D2317" s="14">
        <f>IF($N2317="","",INDEX(LdBMember,$N2317))</f>
        <v/>
      </c>
      <c r="E2317" s="14">
        <f>IF($N2317="","",IFERROR(IF(VLOOKUP(INDEX(LdBMember,$N2317),AcctTblE,4,0)="","(بدون نام)",VLOOKUP(INDEX(LdBMember,$N2317),AcctTblE,4,0)),"—"))</f>
        <v/>
      </c>
      <c r="F2317" s="16">
        <f>IF($N2317="","",IF(INDEX(LdBAmt,$N2317)=0,"",INDEX(LdBAmt,$N2317)))</f>
        <v/>
      </c>
      <c r="G2317" s="30">
        <f>IF($N2317="","",IF(INDEX(LdBNote,$N2317)="","—",INDEX(LdBNote,$N2317)))</f>
        <v/>
      </c>
      <c r="N2317">
        <f>IFERROR(MATCH($C$5&amp;"|"&amp;RIGHT("000000"&amp;297,6),LdBKeyG,0),"")</f>
        <v/>
      </c>
    </row>
    <row r="2318">
      <c r="A2318" s="19" t="n">
        <v>298</v>
      </c>
      <c r="B2318" s="20">
        <f>IF($N2318="","",INDEX(LdBDate,$N2318))</f>
        <v/>
      </c>
      <c r="C2318" s="20">
        <f>IF($N2318="","",IF(INDEX(LdBId,$N2318)="","—",INDEX(LdBId,$N2318)))</f>
        <v/>
      </c>
      <c r="D2318" s="20">
        <f>IF($N2318="","",INDEX(LdBMember,$N2318))</f>
        <v/>
      </c>
      <c r="E2318" s="20">
        <f>IF($N2318="","",IFERROR(IF(VLOOKUP(INDEX(LdBMember,$N2318),AcctTblE,4,0)="","(بدون نام)",VLOOKUP(INDEX(LdBMember,$N2318),AcctTblE,4,0)),"—"))</f>
        <v/>
      </c>
      <c r="F2318" s="21">
        <f>IF($N2318="","",IF(INDEX(LdBAmt,$N2318)=0,"",INDEX(LdBAmt,$N2318)))</f>
        <v/>
      </c>
      <c r="G2318" s="32">
        <f>IF($N2318="","",IF(INDEX(LdBNote,$N2318)="","—",INDEX(LdBNote,$N2318)))</f>
        <v/>
      </c>
      <c r="N2318">
        <f>IFERROR(MATCH($C$5&amp;"|"&amp;RIGHT("000000"&amp;298,6),LdBKeyG,0),"")</f>
        <v/>
      </c>
    </row>
    <row r="2319">
      <c r="A2319" s="10" t="n">
        <v>299</v>
      </c>
      <c r="B2319" s="14">
        <f>IF($N2319="","",INDEX(LdBDate,$N2319))</f>
        <v/>
      </c>
      <c r="C2319" s="14">
        <f>IF($N2319="","",IF(INDEX(LdBId,$N2319)="","—",INDEX(LdBId,$N2319)))</f>
        <v/>
      </c>
      <c r="D2319" s="14">
        <f>IF($N2319="","",INDEX(LdBMember,$N2319))</f>
        <v/>
      </c>
      <c r="E2319" s="14">
        <f>IF($N2319="","",IFERROR(IF(VLOOKUP(INDEX(LdBMember,$N2319),AcctTblE,4,0)="","(بدون نام)",VLOOKUP(INDEX(LdBMember,$N2319),AcctTblE,4,0)),"—"))</f>
        <v/>
      </c>
      <c r="F2319" s="16">
        <f>IF($N2319="","",IF(INDEX(LdBAmt,$N2319)=0,"",INDEX(LdBAmt,$N2319)))</f>
        <v/>
      </c>
      <c r="G2319" s="30">
        <f>IF($N2319="","",IF(INDEX(LdBNote,$N2319)="","—",INDEX(LdBNote,$N2319)))</f>
        <v/>
      </c>
      <c r="N2319">
        <f>IFERROR(MATCH($C$5&amp;"|"&amp;RIGHT("000000"&amp;299,6),LdBKeyG,0),"")</f>
        <v/>
      </c>
    </row>
    <row r="2320">
      <c r="A2320" s="19" t="n">
        <v>300</v>
      </c>
      <c r="B2320" s="20">
        <f>IF($N2320="","",INDEX(LdBDate,$N2320))</f>
        <v/>
      </c>
      <c r="C2320" s="20">
        <f>IF($N2320="","",IF(INDEX(LdBId,$N2320)="","—",INDEX(LdBId,$N2320)))</f>
        <v/>
      </c>
      <c r="D2320" s="20">
        <f>IF($N2320="","",INDEX(LdBMember,$N2320))</f>
        <v/>
      </c>
      <c r="E2320" s="20">
        <f>IF($N2320="","",IFERROR(IF(VLOOKUP(INDEX(LdBMember,$N2320),AcctTblE,4,0)="","(بدون نام)",VLOOKUP(INDEX(LdBMember,$N2320),AcctTblE,4,0)),"—"))</f>
        <v/>
      </c>
      <c r="F2320" s="21">
        <f>IF($N2320="","",IF(INDEX(LdBAmt,$N2320)=0,"",INDEX(LdBAmt,$N2320)))</f>
        <v/>
      </c>
      <c r="G2320" s="32">
        <f>IF($N2320="","",IF(INDEX(LdBNote,$N2320)="","—",INDEX(LdBNote,$N2320)))</f>
        <v/>
      </c>
      <c r="N2320">
        <f>IFERROR(MATCH($C$5&amp;"|"&amp;RIGHT("000000"&amp;300,6),LdBKeyG,0),"")</f>
        <v/>
      </c>
    </row>
    <row r="2321">
      <c r="A2321" s="10" t="n">
        <v>301</v>
      </c>
      <c r="B2321" s="14">
        <f>IF($N2321="","",INDEX(LdBDate,$N2321))</f>
        <v/>
      </c>
      <c r="C2321" s="14">
        <f>IF($N2321="","",IF(INDEX(LdBId,$N2321)="","—",INDEX(LdBId,$N2321)))</f>
        <v/>
      </c>
      <c r="D2321" s="14">
        <f>IF($N2321="","",INDEX(LdBMember,$N2321))</f>
        <v/>
      </c>
      <c r="E2321" s="14">
        <f>IF($N2321="","",IFERROR(IF(VLOOKUP(INDEX(LdBMember,$N2321),AcctTblE,4,0)="","(بدون نام)",VLOOKUP(INDEX(LdBMember,$N2321),AcctTblE,4,0)),"—"))</f>
        <v/>
      </c>
      <c r="F2321" s="16">
        <f>IF($N2321="","",IF(INDEX(LdBAmt,$N2321)=0,"",INDEX(LdBAmt,$N2321)))</f>
        <v/>
      </c>
      <c r="G2321" s="30">
        <f>IF($N2321="","",IF(INDEX(LdBNote,$N2321)="","—",INDEX(LdBNote,$N2321)))</f>
        <v/>
      </c>
      <c r="N2321">
        <f>IFERROR(MATCH($C$5&amp;"|"&amp;RIGHT("000000"&amp;301,6),LdBKeyG,0),"")</f>
        <v/>
      </c>
    </row>
    <row r="2322">
      <c r="A2322" s="19" t="n">
        <v>302</v>
      </c>
      <c r="B2322" s="20">
        <f>IF($N2322="","",INDEX(LdBDate,$N2322))</f>
        <v/>
      </c>
      <c r="C2322" s="20">
        <f>IF($N2322="","",IF(INDEX(LdBId,$N2322)="","—",INDEX(LdBId,$N2322)))</f>
        <v/>
      </c>
      <c r="D2322" s="20">
        <f>IF($N2322="","",INDEX(LdBMember,$N2322))</f>
        <v/>
      </c>
      <c r="E2322" s="20">
        <f>IF($N2322="","",IFERROR(IF(VLOOKUP(INDEX(LdBMember,$N2322),AcctTblE,4,0)="","(بدون نام)",VLOOKUP(INDEX(LdBMember,$N2322),AcctTblE,4,0)),"—"))</f>
        <v/>
      </c>
      <c r="F2322" s="21">
        <f>IF($N2322="","",IF(INDEX(LdBAmt,$N2322)=0,"",INDEX(LdBAmt,$N2322)))</f>
        <v/>
      </c>
      <c r="G2322" s="32">
        <f>IF($N2322="","",IF(INDEX(LdBNote,$N2322)="","—",INDEX(LdBNote,$N2322)))</f>
        <v/>
      </c>
      <c r="N2322">
        <f>IFERROR(MATCH($C$5&amp;"|"&amp;RIGHT("000000"&amp;302,6),LdBKeyG,0),"")</f>
        <v/>
      </c>
    </row>
    <row r="2323">
      <c r="A2323" s="10" t="n">
        <v>303</v>
      </c>
      <c r="B2323" s="14">
        <f>IF($N2323="","",INDEX(LdBDate,$N2323))</f>
        <v/>
      </c>
      <c r="C2323" s="14">
        <f>IF($N2323="","",IF(INDEX(LdBId,$N2323)="","—",INDEX(LdBId,$N2323)))</f>
        <v/>
      </c>
      <c r="D2323" s="14">
        <f>IF($N2323="","",INDEX(LdBMember,$N2323))</f>
        <v/>
      </c>
      <c r="E2323" s="14">
        <f>IF($N2323="","",IFERROR(IF(VLOOKUP(INDEX(LdBMember,$N2323),AcctTblE,4,0)="","(بدون نام)",VLOOKUP(INDEX(LdBMember,$N2323),AcctTblE,4,0)),"—"))</f>
        <v/>
      </c>
      <c r="F2323" s="16">
        <f>IF($N2323="","",IF(INDEX(LdBAmt,$N2323)=0,"",INDEX(LdBAmt,$N2323)))</f>
        <v/>
      </c>
      <c r="G2323" s="30">
        <f>IF($N2323="","",IF(INDEX(LdBNote,$N2323)="","—",INDEX(LdBNote,$N2323)))</f>
        <v/>
      </c>
      <c r="N2323">
        <f>IFERROR(MATCH($C$5&amp;"|"&amp;RIGHT("000000"&amp;303,6),LdBKeyG,0),"")</f>
        <v/>
      </c>
    </row>
    <row r="2324">
      <c r="A2324" s="19" t="n">
        <v>304</v>
      </c>
      <c r="B2324" s="20">
        <f>IF($N2324="","",INDEX(LdBDate,$N2324))</f>
        <v/>
      </c>
      <c r="C2324" s="20">
        <f>IF($N2324="","",IF(INDEX(LdBId,$N2324)="","—",INDEX(LdBId,$N2324)))</f>
        <v/>
      </c>
      <c r="D2324" s="20">
        <f>IF($N2324="","",INDEX(LdBMember,$N2324))</f>
        <v/>
      </c>
      <c r="E2324" s="20">
        <f>IF($N2324="","",IFERROR(IF(VLOOKUP(INDEX(LdBMember,$N2324),AcctTblE,4,0)="","(بدون نام)",VLOOKUP(INDEX(LdBMember,$N2324),AcctTblE,4,0)),"—"))</f>
        <v/>
      </c>
      <c r="F2324" s="21">
        <f>IF($N2324="","",IF(INDEX(LdBAmt,$N2324)=0,"",INDEX(LdBAmt,$N2324)))</f>
        <v/>
      </c>
      <c r="G2324" s="32">
        <f>IF($N2324="","",IF(INDEX(LdBNote,$N2324)="","—",INDEX(LdBNote,$N2324)))</f>
        <v/>
      </c>
      <c r="N2324">
        <f>IFERROR(MATCH($C$5&amp;"|"&amp;RIGHT("000000"&amp;304,6),LdBKeyG,0),"")</f>
        <v/>
      </c>
    </row>
    <row r="2325">
      <c r="A2325" s="10" t="n">
        <v>305</v>
      </c>
      <c r="B2325" s="14">
        <f>IF($N2325="","",INDEX(LdBDate,$N2325))</f>
        <v/>
      </c>
      <c r="C2325" s="14">
        <f>IF($N2325="","",IF(INDEX(LdBId,$N2325)="","—",INDEX(LdBId,$N2325)))</f>
        <v/>
      </c>
      <c r="D2325" s="14">
        <f>IF($N2325="","",INDEX(LdBMember,$N2325))</f>
        <v/>
      </c>
      <c r="E2325" s="14">
        <f>IF($N2325="","",IFERROR(IF(VLOOKUP(INDEX(LdBMember,$N2325),AcctTblE,4,0)="","(بدون نام)",VLOOKUP(INDEX(LdBMember,$N2325),AcctTblE,4,0)),"—"))</f>
        <v/>
      </c>
      <c r="F2325" s="16">
        <f>IF($N2325="","",IF(INDEX(LdBAmt,$N2325)=0,"",INDEX(LdBAmt,$N2325)))</f>
        <v/>
      </c>
      <c r="G2325" s="30">
        <f>IF($N2325="","",IF(INDEX(LdBNote,$N2325)="","—",INDEX(LdBNote,$N2325)))</f>
        <v/>
      </c>
      <c r="N2325">
        <f>IFERROR(MATCH($C$5&amp;"|"&amp;RIGHT("000000"&amp;305,6),LdBKeyG,0),"")</f>
        <v/>
      </c>
    </row>
    <row r="2326">
      <c r="A2326" s="19" t="n">
        <v>306</v>
      </c>
      <c r="B2326" s="20">
        <f>IF($N2326="","",INDEX(LdBDate,$N2326))</f>
        <v/>
      </c>
      <c r="C2326" s="20">
        <f>IF($N2326="","",IF(INDEX(LdBId,$N2326)="","—",INDEX(LdBId,$N2326)))</f>
        <v/>
      </c>
      <c r="D2326" s="20">
        <f>IF($N2326="","",INDEX(LdBMember,$N2326))</f>
        <v/>
      </c>
      <c r="E2326" s="20">
        <f>IF($N2326="","",IFERROR(IF(VLOOKUP(INDEX(LdBMember,$N2326),AcctTblE,4,0)="","(بدون نام)",VLOOKUP(INDEX(LdBMember,$N2326),AcctTblE,4,0)),"—"))</f>
        <v/>
      </c>
      <c r="F2326" s="21">
        <f>IF($N2326="","",IF(INDEX(LdBAmt,$N2326)=0,"",INDEX(LdBAmt,$N2326)))</f>
        <v/>
      </c>
      <c r="G2326" s="32">
        <f>IF($N2326="","",IF(INDEX(LdBNote,$N2326)="","—",INDEX(LdBNote,$N2326)))</f>
        <v/>
      </c>
      <c r="N2326">
        <f>IFERROR(MATCH($C$5&amp;"|"&amp;RIGHT("000000"&amp;306,6),LdBKeyG,0),"")</f>
        <v/>
      </c>
    </row>
    <row r="2327">
      <c r="A2327" s="10" t="n">
        <v>307</v>
      </c>
      <c r="B2327" s="14">
        <f>IF($N2327="","",INDEX(LdBDate,$N2327))</f>
        <v/>
      </c>
      <c r="C2327" s="14">
        <f>IF($N2327="","",IF(INDEX(LdBId,$N2327)="","—",INDEX(LdBId,$N2327)))</f>
        <v/>
      </c>
      <c r="D2327" s="14">
        <f>IF($N2327="","",INDEX(LdBMember,$N2327))</f>
        <v/>
      </c>
      <c r="E2327" s="14">
        <f>IF($N2327="","",IFERROR(IF(VLOOKUP(INDEX(LdBMember,$N2327),AcctTblE,4,0)="","(بدون نام)",VLOOKUP(INDEX(LdBMember,$N2327),AcctTblE,4,0)),"—"))</f>
        <v/>
      </c>
      <c r="F2327" s="16">
        <f>IF($N2327="","",IF(INDEX(LdBAmt,$N2327)=0,"",INDEX(LdBAmt,$N2327)))</f>
        <v/>
      </c>
      <c r="G2327" s="30">
        <f>IF($N2327="","",IF(INDEX(LdBNote,$N2327)="","—",INDEX(LdBNote,$N2327)))</f>
        <v/>
      </c>
      <c r="N2327">
        <f>IFERROR(MATCH($C$5&amp;"|"&amp;RIGHT("000000"&amp;307,6),LdBKeyG,0),"")</f>
        <v/>
      </c>
    </row>
    <row r="2328">
      <c r="A2328" s="19" t="n">
        <v>308</v>
      </c>
      <c r="B2328" s="20">
        <f>IF($N2328="","",INDEX(LdBDate,$N2328))</f>
        <v/>
      </c>
      <c r="C2328" s="20">
        <f>IF($N2328="","",IF(INDEX(LdBId,$N2328)="","—",INDEX(LdBId,$N2328)))</f>
        <v/>
      </c>
      <c r="D2328" s="20">
        <f>IF($N2328="","",INDEX(LdBMember,$N2328))</f>
        <v/>
      </c>
      <c r="E2328" s="20">
        <f>IF($N2328="","",IFERROR(IF(VLOOKUP(INDEX(LdBMember,$N2328),AcctTblE,4,0)="","(بدون نام)",VLOOKUP(INDEX(LdBMember,$N2328),AcctTblE,4,0)),"—"))</f>
        <v/>
      </c>
      <c r="F2328" s="21">
        <f>IF($N2328="","",IF(INDEX(LdBAmt,$N2328)=0,"",INDEX(LdBAmt,$N2328)))</f>
        <v/>
      </c>
      <c r="G2328" s="32">
        <f>IF($N2328="","",IF(INDEX(LdBNote,$N2328)="","—",INDEX(LdBNote,$N2328)))</f>
        <v/>
      </c>
      <c r="N2328">
        <f>IFERROR(MATCH($C$5&amp;"|"&amp;RIGHT("000000"&amp;308,6),LdBKeyG,0),"")</f>
        <v/>
      </c>
    </row>
    <row r="2329">
      <c r="A2329" s="10" t="n">
        <v>309</v>
      </c>
      <c r="B2329" s="14">
        <f>IF($N2329="","",INDEX(LdBDate,$N2329))</f>
        <v/>
      </c>
      <c r="C2329" s="14">
        <f>IF($N2329="","",IF(INDEX(LdBId,$N2329)="","—",INDEX(LdBId,$N2329)))</f>
        <v/>
      </c>
      <c r="D2329" s="14">
        <f>IF($N2329="","",INDEX(LdBMember,$N2329))</f>
        <v/>
      </c>
      <c r="E2329" s="14">
        <f>IF($N2329="","",IFERROR(IF(VLOOKUP(INDEX(LdBMember,$N2329),AcctTblE,4,0)="","(بدون نام)",VLOOKUP(INDEX(LdBMember,$N2329),AcctTblE,4,0)),"—"))</f>
        <v/>
      </c>
      <c r="F2329" s="16">
        <f>IF($N2329="","",IF(INDEX(LdBAmt,$N2329)=0,"",INDEX(LdBAmt,$N2329)))</f>
        <v/>
      </c>
      <c r="G2329" s="30">
        <f>IF($N2329="","",IF(INDEX(LdBNote,$N2329)="","—",INDEX(LdBNote,$N2329)))</f>
        <v/>
      </c>
      <c r="N2329">
        <f>IFERROR(MATCH($C$5&amp;"|"&amp;RIGHT("000000"&amp;309,6),LdBKeyG,0),"")</f>
        <v/>
      </c>
    </row>
    <row r="2330">
      <c r="A2330" s="19" t="n">
        <v>310</v>
      </c>
      <c r="B2330" s="20">
        <f>IF($N2330="","",INDEX(LdBDate,$N2330))</f>
        <v/>
      </c>
      <c r="C2330" s="20">
        <f>IF($N2330="","",IF(INDEX(LdBId,$N2330)="","—",INDEX(LdBId,$N2330)))</f>
        <v/>
      </c>
      <c r="D2330" s="20">
        <f>IF($N2330="","",INDEX(LdBMember,$N2330))</f>
        <v/>
      </c>
      <c r="E2330" s="20">
        <f>IF($N2330="","",IFERROR(IF(VLOOKUP(INDEX(LdBMember,$N2330),AcctTblE,4,0)="","(بدون نام)",VLOOKUP(INDEX(LdBMember,$N2330),AcctTblE,4,0)),"—"))</f>
        <v/>
      </c>
      <c r="F2330" s="21">
        <f>IF($N2330="","",IF(INDEX(LdBAmt,$N2330)=0,"",INDEX(LdBAmt,$N2330)))</f>
        <v/>
      </c>
      <c r="G2330" s="32">
        <f>IF($N2330="","",IF(INDEX(LdBNote,$N2330)="","—",INDEX(LdBNote,$N2330)))</f>
        <v/>
      </c>
      <c r="N2330">
        <f>IFERROR(MATCH($C$5&amp;"|"&amp;RIGHT("000000"&amp;310,6),LdBKeyG,0),"")</f>
        <v/>
      </c>
    </row>
    <row r="2331">
      <c r="A2331" s="10" t="n">
        <v>311</v>
      </c>
      <c r="B2331" s="14">
        <f>IF($N2331="","",INDEX(LdBDate,$N2331))</f>
        <v/>
      </c>
      <c r="C2331" s="14">
        <f>IF($N2331="","",IF(INDEX(LdBId,$N2331)="","—",INDEX(LdBId,$N2331)))</f>
        <v/>
      </c>
      <c r="D2331" s="14">
        <f>IF($N2331="","",INDEX(LdBMember,$N2331))</f>
        <v/>
      </c>
      <c r="E2331" s="14">
        <f>IF($N2331="","",IFERROR(IF(VLOOKUP(INDEX(LdBMember,$N2331),AcctTblE,4,0)="","(بدون نام)",VLOOKUP(INDEX(LdBMember,$N2331),AcctTblE,4,0)),"—"))</f>
        <v/>
      </c>
      <c r="F2331" s="16">
        <f>IF($N2331="","",IF(INDEX(LdBAmt,$N2331)=0,"",INDEX(LdBAmt,$N2331)))</f>
        <v/>
      </c>
      <c r="G2331" s="30">
        <f>IF($N2331="","",IF(INDEX(LdBNote,$N2331)="","—",INDEX(LdBNote,$N2331)))</f>
        <v/>
      </c>
      <c r="N2331">
        <f>IFERROR(MATCH($C$5&amp;"|"&amp;RIGHT("000000"&amp;311,6),LdBKeyG,0),"")</f>
        <v/>
      </c>
    </row>
    <row r="2332">
      <c r="A2332" s="19" t="n">
        <v>312</v>
      </c>
      <c r="B2332" s="20">
        <f>IF($N2332="","",INDEX(LdBDate,$N2332))</f>
        <v/>
      </c>
      <c r="C2332" s="20">
        <f>IF($N2332="","",IF(INDEX(LdBId,$N2332)="","—",INDEX(LdBId,$N2332)))</f>
        <v/>
      </c>
      <c r="D2332" s="20">
        <f>IF($N2332="","",INDEX(LdBMember,$N2332))</f>
        <v/>
      </c>
      <c r="E2332" s="20">
        <f>IF($N2332="","",IFERROR(IF(VLOOKUP(INDEX(LdBMember,$N2332),AcctTblE,4,0)="","(بدون نام)",VLOOKUP(INDEX(LdBMember,$N2332),AcctTblE,4,0)),"—"))</f>
        <v/>
      </c>
      <c r="F2332" s="21">
        <f>IF($N2332="","",IF(INDEX(LdBAmt,$N2332)=0,"",INDEX(LdBAmt,$N2332)))</f>
        <v/>
      </c>
      <c r="G2332" s="32">
        <f>IF($N2332="","",IF(INDEX(LdBNote,$N2332)="","—",INDEX(LdBNote,$N2332)))</f>
        <v/>
      </c>
      <c r="N2332">
        <f>IFERROR(MATCH($C$5&amp;"|"&amp;RIGHT("000000"&amp;312,6),LdBKeyG,0),"")</f>
        <v/>
      </c>
    </row>
    <row r="2333">
      <c r="A2333" s="10" t="n">
        <v>313</v>
      </c>
      <c r="B2333" s="14">
        <f>IF($N2333="","",INDEX(LdBDate,$N2333))</f>
        <v/>
      </c>
      <c r="C2333" s="14">
        <f>IF($N2333="","",IF(INDEX(LdBId,$N2333)="","—",INDEX(LdBId,$N2333)))</f>
        <v/>
      </c>
      <c r="D2333" s="14">
        <f>IF($N2333="","",INDEX(LdBMember,$N2333))</f>
        <v/>
      </c>
      <c r="E2333" s="14">
        <f>IF($N2333="","",IFERROR(IF(VLOOKUP(INDEX(LdBMember,$N2333),AcctTblE,4,0)="","(بدون نام)",VLOOKUP(INDEX(LdBMember,$N2333),AcctTblE,4,0)),"—"))</f>
        <v/>
      </c>
      <c r="F2333" s="16">
        <f>IF($N2333="","",IF(INDEX(LdBAmt,$N2333)=0,"",INDEX(LdBAmt,$N2333)))</f>
        <v/>
      </c>
      <c r="G2333" s="30">
        <f>IF($N2333="","",IF(INDEX(LdBNote,$N2333)="","—",INDEX(LdBNote,$N2333)))</f>
        <v/>
      </c>
      <c r="N2333">
        <f>IFERROR(MATCH($C$5&amp;"|"&amp;RIGHT("000000"&amp;313,6),LdBKeyG,0),"")</f>
        <v/>
      </c>
    </row>
    <row r="2334">
      <c r="A2334" s="19" t="n">
        <v>314</v>
      </c>
      <c r="B2334" s="20">
        <f>IF($N2334="","",INDEX(LdBDate,$N2334))</f>
        <v/>
      </c>
      <c r="C2334" s="20">
        <f>IF($N2334="","",IF(INDEX(LdBId,$N2334)="","—",INDEX(LdBId,$N2334)))</f>
        <v/>
      </c>
      <c r="D2334" s="20">
        <f>IF($N2334="","",INDEX(LdBMember,$N2334))</f>
        <v/>
      </c>
      <c r="E2334" s="20">
        <f>IF($N2334="","",IFERROR(IF(VLOOKUP(INDEX(LdBMember,$N2334),AcctTblE,4,0)="","(بدون نام)",VLOOKUP(INDEX(LdBMember,$N2334),AcctTblE,4,0)),"—"))</f>
        <v/>
      </c>
      <c r="F2334" s="21">
        <f>IF($N2334="","",IF(INDEX(LdBAmt,$N2334)=0,"",INDEX(LdBAmt,$N2334)))</f>
        <v/>
      </c>
      <c r="G2334" s="32">
        <f>IF($N2334="","",IF(INDEX(LdBNote,$N2334)="","—",INDEX(LdBNote,$N2334)))</f>
        <v/>
      </c>
      <c r="N2334">
        <f>IFERROR(MATCH($C$5&amp;"|"&amp;RIGHT("000000"&amp;314,6),LdBKeyG,0),"")</f>
        <v/>
      </c>
    </row>
    <row r="2335">
      <c r="A2335" s="10" t="n">
        <v>315</v>
      </c>
      <c r="B2335" s="14">
        <f>IF($N2335="","",INDEX(LdBDate,$N2335))</f>
        <v/>
      </c>
      <c r="C2335" s="14">
        <f>IF($N2335="","",IF(INDEX(LdBId,$N2335)="","—",INDEX(LdBId,$N2335)))</f>
        <v/>
      </c>
      <c r="D2335" s="14">
        <f>IF($N2335="","",INDEX(LdBMember,$N2335))</f>
        <v/>
      </c>
      <c r="E2335" s="14">
        <f>IF($N2335="","",IFERROR(IF(VLOOKUP(INDEX(LdBMember,$N2335),AcctTblE,4,0)="","(بدون نام)",VLOOKUP(INDEX(LdBMember,$N2335),AcctTblE,4,0)),"—"))</f>
        <v/>
      </c>
      <c r="F2335" s="16">
        <f>IF($N2335="","",IF(INDEX(LdBAmt,$N2335)=0,"",INDEX(LdBAmt,$N2335)))</f>
        <v/>
      </c>
      <c r="G2335" s="30">
        <f>IF($N2335="","",IF(INDEX(LdBNote,$N2335)="","—",INDEX(LdBNote,$N2335)))</f>
        <v/>
      </c>
      <c r="N2335">
        <f>IFERROR(MATCH($C$5&amp;"|"&amp;RIGHT("000000"&amp;315,6),LdBKeyG,0),"")</f>
        <v/>
      </c>
    </row>
    <row r="2336">
      <c r="A2336" s="19" t="n">
        <v>316</v>
      </c>
      <c r="B2336" s="20">
        <f>IF($N2336="","",INDEX(LdBDate,$N2336))</f>
        <v/>
      </c>
      <c r="C2336" s="20">
        <f>IF($N2336="","",IF(INDEX(LdBId,$N2336)="","—",INDEX(LdBId,$N2336)))</f>
        <v/>
      </c>
      <c r="D2336" s="20">
        <f>IF($N2336="","",INDEX(LdBMember,$N2336))</f>
        <v/>
      </c>
      <c r="E2336" s="20">
        <f>IF($N2336="","",IFERROR(IF(VLOOKUP(INDEX(LdBMember,$N2336),AcctTblE,4,0)="","(بدون نام)",VLOOKUP(INDEX(LdBMember,$N2336),AcctTblE,4,0)),"—"))</f>
        <v/>
      </c>
      <c r="F2336" s="21">
        <f>IF($N2336="","",IF(INDEX(LdBAmt,$N2336)=0,"",INDEX(LdBAmt,$N2336)))</f>
        <v/>
      </c>
      <c r="G2336" s="32">
        <f>IF($N2336="","",IF(INDEX(LdBNote,$N2336)="","—",INDEX(LdBNote,$N2336)))</f>
        <v/>
      </c>
      <c r="N2336">
        <f>IFERROR(MATCH($C$5&amp;"|"&amp;RIGHT("000000"&amp;316,6),LdBKeyG,0),"")</f>
        <v/>
      </c>
    </row>
    <row r="2337">
      <c r="A2337" s="10" t="n">
        <v>317</v>
      </c>
      <c r="B2337" s="14">
        <f>IF($N2337="","",INDEX(LdBDate,$N2337))</f>
        <v/>
      </c>
      <c r="C2337" s="14">
        <f>IF($N2337="","",IF(INDEX(LdBId,$N2337)="","—",INDEX(LdBId,$N2337)))</f>
        <v/>
      </c>
      <c r="D2337" s="14">
        <f>IF($N2337="","",INDEX(LdBMember,$N2337))</f>
        <v/>
      </c>
      <c r="E2337" s="14">
        <f>IF($N2337="","",IFERROR(IF(VLOOKUP(INDEX(LdBMember,$N2337),AcctTblE,4,0)="","(بدون نام)",VLOOKUP(INDEX(LdBMember,$N2337),AcctTblE,4,0)),"—"))</f>
        <v/>
      </c>
      <c r="F2337" s="16">
        <f>IF($N2337="","",IF(INDEX(LdBAmt,$N2337)=0,"",INDEX(LdBAmt,$N2337)))</f>
        <v/>
      </c>
      <c r="G2337" s="30">
        <f>IF($N2337="","",IF(INDEX(LdBNote,$N2337)="","—",INDEX(LdBNote,$N2337)))</f>
        <v/>
      </c>
      <c r="N2337">
        <f>IFERROR(MATCH($C$5&amp;"|"&amp;RIGHT("000000"&amp;317,6),LdBKeyG,0),"")</f>
        <v/>
      </c>
    </row>
    <row r="2338">
      <c r="A2338" s="19" t="n">
        <v>318</v>
      </c>
      <c r="B2338" s="20">
        <f>IF($N2338="","",INDEX(LdBDate,$N2338))</f>
        <v/>
      </c>
      <c r="C2338" s="20">
        <f>IF($N2338="","",IF(INDEX(LdBId,$N2338)="","—",INDEX(LdBId,$N2338)))</f>
        <v/>
      </c>
      <c r="D2338" s="20">
        <f>IF($N2338="","",INDEX(LdBMember,$N2338))</f>
        <v/>
      </c>
      <c r="E2338" s="20">
        <f>IF($N2338="","",IFERROR(IF(VLOOKUP(INDEX(LdBMember,$N2338),AcctTblE,4,0)="","(بدون نام)",VLOOKUP(INDEX(LdBMember,$N2338),AcctTblE,4,0)),"—"))</f>
        <v/>
      </c>
      <c r="F2338" s="21">
        <f>IF($N2338="","",IF(INDEX(LdBAmt,$N2338)=0,"",INDEX(LdBAmt,$N2338)))</f>
        <v/>
      </c>
      <c r="G2338" s="32">
        <f>IF($N2338="","",IF(INDEX(LdBNote,$N2338)="","—",INDEX(LdBNote,$N2338)))</f>
        <v/>
      </c>
      <c r="N2338">
        <f>IFERROR(MATCH($C$5&amp;"|"&amp;RIGHT("000000"&amp;318,6),LdBKeyG,0),"")</f>
        <v/>
      </c>
    </row>
    <row r="2339">
      <c r="A2339" s="10" t="n">
        <v>319</v>
      </c>
      <c r="B2339" s="14">
        <f>IF($N2339="","",INDEX(LdBDate,$N2339))</f>
        <v/>
      </c>
      <c r="C2339" s="14">
        <f>IF($N2339="","",IF(INDEX(LdBId,$N2339)="","—",INDEX(LdBId,$N2339)))</f>
        <v/>
      </c>
      <c r="D2339" s="14">
        <f>IF($N2339="","",INDEX(LdBMember,$N2339))</f>
        <v/>
      </c>
      <c r="E2339" s="14">
        <f>IF($N2339="","",IFERROR(IF(VLOOKUP(INDEX(LdBMember,$N2339),AcctTblE,4,0)="","(بدون نام)",VLOOKUP(INDEX(LdBMember,$N2339),AcctTblE,4,0)),"—"))</f>
        <v/>
      </c>
      <c r="F2339" s="16">
        <f>IF($N2339="","",IF(INDEX(LdBAmt,$N2339)=0,"",INDEX(LdBAmt,$N2339)))</f>
        <v/>
      </c>
      <c r="G2339" s="30">
        <f>IF($N2339="","",IF(INDEX(LdBNote,$N2339)="","—",INDEX(LdBNote,$N2339)))</f>
        <v/>
      </c>
      <c r="N2339">
        <f>IFERROR(MATCH($C$5&amp;"|"&amp;RIGHT("000000"&amp;319,6),LdBKeyG,0),"")</f>
        <v/>
      </c>
    </row>
    <row r="2340">
      <c r="A2340" s="19" t="n">
        <v>320</v>
      </c>
      <c r="B2340" s="20">
        <f>IF($N2340="","",INDEX(LdBDate,$N2340))</f>
        <v/>
      </c>
      <c r="C2340" s="20">
        <f>IF($N2340="","",IF(INDEX(LdBId,$N2340)="","—",INDEX(LdBId,$N2340)))</f>
        <v/>
      </c>
      <c r="D2340" s="20">
        <f>IF($N2340="","",INDEX(LdBMember,$N2340))</f>
        <v/>
      </c>
      <c r="E2340" s="20">
        <f>IF($N2340="","",IFERROR(IF(VLOOKUP(INDEX(LdBMember,$N2340),AcctTblE,4,0)="","(بدون نام)",VLOOKUP(INDEX(LdBMember,$N2340),AcctTblE,4,0)),"—"))</f>
        <v/>
      </c>
      <c r="F2340" s="21">
        <f>IF($N2340="","",IF(INDEX(LdBAmt,$N2340)=0,"",INDEX(LdBAmt,$N2340)))</f>
        <v/>
      </c>
      <c r="G2340" s="32">
        <f>IF($N2340="","",IF(INDEX(LdBNote,$N2340)="","—",INDEX(LdBNote,$N2340)))</f>
        <v/>
      </c>
      <c r="N2340">
        <f>IFERROR(MATCH($C$5&amp;"|"&amp;RIGHT("000000"&amp;320,6),LdBKeyG,0),"")</f>
        <v/>
      </c>
    </row>
    <row r="2341">
      <c r="A2341" s="10" t="n">
        <v>321</v>
      </c>
      <c r="B2341" s="14">
        <f>IF($N2341="","",INDEX(LdBDate,$N2341))</f>
        <v/>
      </c>
      <c r="C2341" s="14">
        <f>IF($N2341="","",IF(INDEX(LdBId,$N2341)="","—",INDEX(LdBId,$N2341)))</f>
        <v/>
      </c>
      <c r="D2341" s="14">
        <f>IF($N2341="","",INDEX(LdBMember,$N2341))</f>
        <v/>
      </c>
      <c r="E2341" s="14">
        <f>IF($N2341="","",IFERROR(IF(VLOOKUP(INDEX(LdBMember,$N2341),AcctTblE,4,0)="","(بدون نام)",VLOOKUP(INDEX(LdBMember,$N2341),AcctTblE,4,0)),"—"))</f>
        <v/>
      </c>
      <c r="F2341" s="16">
        <f>IF($N2341="","",IF(INDEX(LdBAmt,$N2341)=0,"",INDEX(LdBAmt,$N2341)))</f>
        <v/>
      </c>
      <c r="G2341" s="30">
        <f>IF($N2341="","",IF(INDEX(LdBNote,$N2341)="","—",INDEX(LdBNote,$N2341)))</f>
        <v/>
      </c>
      <c r="N2341">
        <f>IFERROR(MATCH($C$5&amp;"|"&amp;RIGHT("000000"&amp;321,6),LdBKeyG,0),"")</f>
        <v/>
      </c>
    </row>
    <row r="2342">
      <c r="A2342" s="19" t="n">
        <v>322</v>
      </c>
      <c r="B2342" s="20">
        <f>IF($N2342="","",INDEX(LdBDate,$N2342))</f>
        <v/>
      </c>
      <c r="C2342" s="20">
        <f>IF($N2342="","",IF(INDEX(LdBId,$N2342)="","—",INDEX(LdBId,$N2342)))</f>
        <v/>
      </c>
      <c r="D2342" s="20">
        <f>IF($N2342="","",INDEX(LdBMember,$N2342))</f>
        <v/>
      </c>
      <c r="E2342" s="20">
        <f>IF($N2342="","",IFERROR(IF(VLOOKUP(INDEX(LdBMember,$N2342),AcctTblE,4,0)="","(بدون نام)",VLOOKUP(INDEX(LdBMember,$N2342),AcctTblE,4,0)),"—"))</f>
        <v/>
      </c>
      <c r="F2342" s="21">
        <f>IF($N2342="","",IF(INDEX(LdBAmt,$N2342)=0,"",INDEX(LdBAmt,$N2342)))</f>
        <v/>
      </c>
      <c r="G2342" s="32">
        <f>IF($N2342="","",IF(INDEX(LdBNote,$N2342)="","—",INDEX(LdBNote,$N2342)))</f>
        <v/>
      </c>
      <c r="N2342">
        <f>IFERROR(MATCH($C$5&amp;"|"&amp;RIGHT("000000"&amp;322,6),LdBKeyG,0),"")</f>
        <v/>
      </c>
    </row>
    <row r="2343">
      <c r="A2343" s="10" t="n">
        <v>323</v>
      </c>
      <c r="B2343" s="14">
        <f>IF($N2343="","",INDEX(LdBDate,$N2343))</f>
        <v/>
      </c>
      <c r="C2343" s="14">
        <f>IF($N2343="","",IF(INDEX(LdBId,$N2343)="","—",INDEX(LdBId,$N2343)))</f>
        <v/>
      </c>
      <c r="D2343" s="14">
        <f>IF($N2343="","",INDEX(LdBMember,$N2343))</f>
        <v/>
      </c>
      <c r="E2343" s="14">
        <f>IF($N2343="","",IFERROR(IF(VLOOKUP(INDEX(LdBMember,$N2343),AcctTblE,4,0)="","(بدون نام)",VLOOKUP(INDEX(LdBMember,$N2343),AcctTblE,4,0)),"—"))</f>
        <v/>
      </c>
      <c r="F2343" s="16">
        <f>IF($N2343="","",IF(INDEX(LdBAmt,$N2343)=0,"",INDEX(LdBAmt,$N2343)))</f>
        <v/>
      </c>
      <c r="G2343" s="30">
        <f>IF($N2343="","",IF(INDEX(LdBNote,$N2343)="","—",INDEX(LdBNote,$N2343)))</f>
        <v/>
      </c>
      <c r="N2343">
        <f>IFERROR(MATCH($C$5&amp;"|"&amp;RIGHT("000000"&amp;323,6),LdBKeyG,0),"")</f>
        <v/>
      </c>
    </row>
    <row r="2344">
      <c r="A2344" s="19" t="n">
        <v>324</v>
      </c>
      <c r="B2344" s="20">
        <f>IF($N2344="","",INDEX(LdBDate,$N2344))</f>
        <v/>
      </c>
      <c r="C2344" s="20">
        <f>IF($N2344="","",IF(INDEX(LdBId,$N2344)="","—",INDEX(LdBId,$N2344)))</f>
        <v/>
      </c>
      <c r="D2344" s="20">
        <f>IF($N2344="","",INDEX(LdBMember,$N2344))</f>
        <v/>
      </c>
      <c r="E2344" s="20">
        <f>IF($N2344="","",IFERROR(IF(VLOOKUP(INDEX(LdBMember,$N2344),AcctTblE,4,0)="","(بدون نام)",VLOOKUP(INDEX(LdBMember,$N2344),AcctTblE,4,0)),"—"))</f>
        <v/>
      </c>
      <c r="F2344" s="21">
        <f>IF($N2344="","",IF(INDEX(LdBAmt,$N2344)=0,"",INDEX(LdBAmt,$N2344)))</f>
        <v/>
      </c>
      <c r="G2344" s="32">
        <f>IF($N2344="","",IF(INDEX(LdBNote,$N2344)="","—",INDEX(LdBNote,$N2344)))</f>
        <v/>
      </c>
      <c r="N2344">
        <f>IFERROR(MATCH($C$5&amp;"|"&amp;RIGHT("000000"&amp;324,6),LdBKeyG,0),"")</f>
        <v/>
      </c>
    </row>
    <row r="2345">
      <c r="A2345" s="10" t="n">
        <v>325</v>
      </c>
      <c r="B2345" s="14">
        <f>IF($N2345="","",INDEX(LdBDate,$N2345))</f>
        <v/>
      </c>
      <c r="C2345" s="14">
        <f>IF($N2345="","",IF(INDEX(LdBId,$N2345)="","—",INDEX(LdBId,$N2345)))</f>
        <v/>
      </c>
      <c r="D2345" s="14">
        <f>IF($N2345="","",INDEX(LdBMember,$N2345))</f>
        <v/>
      </c>
      <c r="E2345" s="14">
        <f>IF($N2345="","",IFERROR(IF(VLOOKUP(INDEX(LdBMember,$N2345),AcctTblE,4,0)="","(بدون نام)",VLOOKUP(INDEX(LdBMember,$N2345),AcctTblE,4,0)),"—"))</f>
        <v/>
      </c>
      <c r="F2345" s="16">
        <f>IF($N2345="","",IF(INDEX(LdBAmt,$N2345)=0,"",INDEX(LdBAmt,$N2345)))</f>
        <v/>
      </c>
      <c r="G2345" s="30">
        <f>IF($N2345="","",IF(INDEX(LdBNote,$N2345)="","—",INDEX(LdBNote,$N2345)))</f>
        <v/>
      </c>
      <c r="N2345">
        <f>IFERROR(MATCH($C$5&amp;"|"&amp;RIGHT("000000"&amp;325,6),LdBKeyG,0),"")</f>
        <v/>
      </c>
    </row>
    <row r="2346">
      <c r="A2346" s="19" t="n">
        <v>326</v>
      </c>
      <c r="B2346" s="20">
        <f>IF($N2346="","",INDEX(LdBDate,$N2346))</f>
        <v/>
      </c>
      <c r="C2346" s="20">
        <f>IF($N2346="","",IF(INDEX(LdBId,$N2346)="","—",INDEX(LdBId,$N2346)))</f>
        <v/>
      </c>
      <c r="D2346" s="20">
        <f>IF($N2346="","",INDEX(LdBMember,$N2346))</f>
        <v/>
      </c>
      <c r="E2346" s="20">
        <f>IF($N2346="","",IFERROR(IF(VLOOKUP(INDEX(LdBMember,$N2346),AcctTblE,4,0)="","(بدون نام)",VLOOKUP(INDEX(LdBMember,$N2346),AcctTblE,4,0)),"—"))</f>
        <v/>
      </c>
      <c r="F2346" s="21">
        <f>IF($N2346="","",IF(INDEX(LdBAmt,$N2346)=0,"",INDEX(LdBAmt,$N2346)))</f>
        <v/>
      </c>
      <c r="G2346" s="32">
        <f>IF($N2346="","",IF(INDEX(LdBNote,$N2346)="","—",INDEX(LdBNote,$N2346)))</f>
        <v/>
      </c>
      <c r="N2346">
        <f>IFERROR(MATCH($C$5&amp;"|"&amp;RIGHT("000000"&amp;326,6),LdBKeyG,0),"")</f>
        <v/>
      </c>
    </row>
    <row r="2347">
      <c r="A2347" s="10" t="n">
        <v>327</v>
      </c>
      <c r="B2347" s="14">
        <f>IF($N2347="","",INDEX(LdBDate,$N2347))</f>
        <v/>
      </c>
      <c r="C2347" s="14">
        <f>IF($N2347="","",IF(INDEX(LdBId,$N2347)="","—",INDEX(LdBId,$N2347)))</f>
        <v/>
      </c>
      <c r="D2347" s="14">
        <f>IF($N2347="","",INDEX(LdBMember,$N2347))</f>
        <v/>
      </c>
      <c r="E2347" s="14">
        <f>IF($N2347="","",IFERROR(IF(VLOOKUP(INDEX(LdBMember,$N2347),AcctTblE,4,0)="","(بدون نام)",VLOOKUP(INDEX(LdBMember,$N2347),AcctTblE,4,0)),"—"))</f>
        <v/>
      </c>
      <c r="F2347" s="16">
        <f>IF($N2347="","",IF(INDEX(LdBAmt,$N2347)=0,"",INDEX(LdBAmt,$N2347)))</f>
        <v/>
      </c>
      <c r="G2347" s="30">
        <f>IF($N2347="","",IF(INDEX(LdBNote,$N2347)="","—",INDEX(LdBNote,$N2347)))</f>
        <v/>
      </c>
      <c r="N2347">
        <f>IFERROR(MATCH($C$5&amp;"|"&amp;RIGHT("000000"&amp;327,6),LdBKeyG,0),"")</f>
        <v/>
      </c>
    </row>
    <row r="2348">
      <c r="A2348" s="19" t="n">
        <v>328</v>
      </c>
      <c r="B2348" s="20">
        <f>IF($N2348="","",INDEX(LdBDate,$N2348))</f>
        <v/>
      </c>
      <c r="C2348" s="20">
        <f>IF($N2348="","",IF(INDEX(LdBId,$N2348)="","—",INDEX(LdBId,$N2348)))</f>
        <v/>
      </c>
      <c r="D2348" s="20">
        <f>IF($N2348="","",INDEX(LdBMember,$N2348))</f>
        <v/>
      </c>
      <c r="E2348" s="20">
        <f>IF($N2348="","",IFERROR(IF(VLOOKUP(INDEX(LdBMember,$N2348),AcctTblE,4,0)="","(بدون نام)",VLOOKUP(INDEX(LdBMember,$N2348),AcctTblE,4,0)),"—"))</f>
        <v/>
      </c>
      <c r="F2348" s="21">
        <f>IF($N2348="","",IF(INDEX(LdBAmt,$N2348)=0,"",INDEX(LdBAmt,$N2348)))</f>
        <v/>
      </c>
      <c r="G2348" s="32">
        <f>IF($N2348="","",IF(INDEX(LdBNote,$N2348)="","—",INDEX(LdBNote,$N2348)))</f>
        <v/>
      </c>
      <c r="N2348">
        <f>IFERROR(MATCH($C$5&amp;"|"&amp;RIGHT("000000"&amp;328,6),LdBKeyG,0),"")</f>
        <v/>
      </c>
    </row>
    <row r="2349">
      <c r="A2349" s="10" t="n">
        <v>329</v>
      </c>
      <c r="B2349" s="14">
        <f>IF($N2349="","",INDEX(LdBDate,$N2349))</f>
        <v/>
      </c>
      <c r="C2349" s="14">
        <f>IF($N2349="","",IF(INDEX(LdBId,$N2349)="","—",INDEX(LdBId,$N2349)))</f>
        <v/>
      </c>
      <c r="D2349" s="14">
        <f>IF($N2349="","",INDEX(LdBMember,$N2349))</f>
        <v/>
      </c>
      <c r="E2349" s="14">
        <f>IF($N2349="","",IFERROR(IF(VLOOKUP(INDEX(LdBMember,$N2349),AcctTblE,4,0)="","(بدون نام)",VLOOKUP(INDEX(LdBMember,$N2349),AcctTblE,4,0)),"—"))</f>
        <v/>
      </c>
      <c r="F2349" s="16">
        <f>IF($N2349="","",IF(INDEX(LdBAmt,$N2349)=0,"",INDEX(LdBAmt,$N2349)))</f>
        <v/>
      </c>
      <c r="G2349" s="30">
        <f>IF($N2349="","",IF(INDEX(LdBNote,$N2349)="","—",INDEX(LdBNote,$N2349)))</f>
        <v/>
      </c>
      <c r="N2349">
        <f>IFERROR(MATCH($C$5&amp;"|"&amp;RIGHT("000000"&amp;329,6),LdBKeyG,0),"")</f>
        <v/>
      </c>
    </row>
    <row r="2350">
      <c r="A2350" s="19" t="n">
        <v>330</v>
      </c>
      <c r="B2350" s="20">
        <f>IF($N2350="","",INDEX(LdBDate,$N2350))</f>
        <v/>
      </c>
      <c r="C2350" s="20">
        <f>IF($N2350="","",IF(INDEX(LdBId,$N2350)="","—",INDEX(LdBId,$N2350)))</f>
        <v/>
      </c>
      <c r="D2350" s="20">
        <f>IF($N2350="","",INDEX(LdBMember,$N2350))</f>
        <v/>
      </c>
      <c r="E2350" s="20">
        <f>IF($N2350="","",IFERROR(IF(VLOOKUP(INDEX(LdBMember,$N2350),AcctTblE,4,0)="","(بدون نام)",VLOOKUP(INDEX(LdBMember,$N2350),AcctTblE,4,0)),"—"))</f>
        <v/>
      </c>
      <c r="F2350" s="21">
        <f>IF($N2350="","",IF(INDEX(LdBAmt,$N2350)=0,"",INDEX(LdBAmt,$N2350)))</f>
        <v/>
      </c>
      <c r="G2350" s="32">
        <f>IF($N2350="","",IF(INDEX(LdBNote,$N2350)="","—",INDEX(LdBNote,$N2350)))</f>
        <v/>
      </c>
      <c r="N2350">
        <f>IFERROR(MATCH($C$5&amp;"|"&amp;RIGHT("000000"&amp;330,6),LdBKeyG,0),"")</f>
        <v/>
      </c>
    </row>
    <row r="2351">
      <c r="A2351" s="10" t="n">
        <v>331</v>
      </c>
      <c r="B2351" s="14">
        <f>IF($N2351="","",INDEX(LdBDate,$N2351))</f>
        <v/>
      </c>
      <c r="C2351" s="14">
        <f>IF($N2351="","",IF(INDEX(LdBId,$N2351)="","—",INDEX(LdBId,$N2351)))</f>
        <v/>
      </c>
      <c r="D2351" s="14">
        <f>IF($N2351="","",INDEX(LdBMember,$N2351))</f>
        <v/>
      </c>
      <c r="E2351" s="14">
        <f>IF($N2351="","",IFERROR(IF(VLOOKUP(INDEX(LdBMember,$N2351),AcctTblE,4,0)="","(بدون نام)",VLOOKUP(INDEX(LdBMember,$N2351),AcctTblE,4,0)),"—"))</f>
        <v/>
      </c>
      <c r="F2351" s="16">
        <f>IF($N2351="","",IF(INDEX(LdBAmt,$N2351)=0,"",INDEX(LdBAmt,$N2351)))</f>
        <v/>
      </c>
      <c r="G2351" s="30">
        <f>IF($N2351="","",IF(INDEX(LdBNote,$N2351)="","—",INDEX(LdBNote,$N2351)))</f>
        <v/>
      </c>
      <c r="N2351">
        <f>IFERROR(MATCH($C$5&amp;"|"&amp;RIGHT("000000"&amp;331,6),LdBKeyG,0),"")</f>
        <v/>
      </c>
    </row>
    <row r="2352">
      <c r="A2352" s="19" t="n">
        <v>332</v>
      </c>
      <c r="B2352" s="20">
        <f>IF($N2352="","",INDEX(LdBDate,$N2352))</f>
        <v/>
      </c>
      <c r="C2352" s="20">
        <f>IF($N2352="","",IF(INDEX(LdBId,$N2352)="","—",INDEX(LdBId,$N2352)))</f>
        <v/>
      </c>
      <c r="D2352" s="20">
        <f>IF($N2352="","",INDEX(LdBMember,$N2352))</f>
        <v/>
      </c>
      <c r="E2352" s="20">
        <f>IF($N2352="","",IFERROR(IF(VLOOKUP(INDEX(LdBMember,$N2352),AcctTblE,4,0)="","(بدون نام)",VLOOKUP(INDEX(LdBMember,$N2352),AcctTblE,4,0)),"—"))</f>
        <v/>
      </c>
      <c r="F2352" s="21">
        <f>IF($N2352="","",IF(INDEX(LdBAmt,$N2352)=0,"",INDEX(LdBAmt,$N2352)))</f>
        <v/>
      </c>
      <c r="G2352" s="32">
        <f>IF($N2352="","",IF(INDEX(LdBNote,$N2352)="","—",INDEX(LdBNote,$N2352)))</f>
        <v/>
      </c>
      <c r="N2352">
        <f>IFERROR(MATCH($C$5&amp;"|"&amp;RIGHT("000000"&amp;332,6),LdBKeyG,0),"")</f>
        <v/>
      </c>
    </row>
    <row r="2353">
      <c r="A2353" s="10" t="n">
        <v>333</v>
      </c>
      <c r="B2353" s="14">
        <f>IF($N2353="","",INDEX(LdBDate,$N2353))</f>
        <v/>
      </c>
      <c r="C2353" s="14">
        <f>IF($N2353="","",IF(INDEX(LdBId,$N2353)="","—",INDEX(LdBId,$N2353)))</f>
        <v/>
      </c>
      <c r="D2353" s="14">
        <f>IF($N2353="","",INDEX(LdBMember,$N2353))</f>
        <v/>
      </c>
      <c r="E2353" s="14">
        <f>IF($N2353="","",IFERROR(IF(VLOOKUP(INDEX(LdBMember,$N2353),AcctTblE,4,0)="","(بدون نام)",VLOOKUP(INDEX(LdBMember,$N2353),AcctTblE,4,0)),"—"))</f>
        <v/>
      </c>
      <c r="F2353" s="16">
        <f>IF($N2353="","",IF(INDEX(LdBAmt,$N2353)=0,"",INDEX(LdBAmt,$N2353)))</f>
        <v/>
      </c>
      <c r="G2353" s="30">
        <f>IF($N2353="","",IF(INDEX(LdBNote,$N2353)="","—",INDEX(LdBNote,$N2353)))</f>
        <v/>
      </c>
      <c r="N2353">
        <f>IFERROR(MATCH($C$5&amp;"|"&amp;RIGHT("000000"&amp;333,6),LdBKeyG,0),"")</f>
        <v/>
      </c>
    </row>
    <row r="2354">
      <c r="A2354" s="19" t="n">
        <v>334</v>
      </c>
      <c r="B2354" s="20">
        <f>IF($N2354="","",INDEX(LdBDate,$N2354))</f>
        <v/>
      </c>
      <c r="C2354" s="20">
        <f>IF($N2354="","",IF(INDEX(LdBId,$N2354)="","—",INDEX(LdBId,$N2354)))</f>
        <v/>
      </c>
      <c r="D2354" s="20">
        <f>IF($N2354="","",INDEX(LdBMember,$N2354))</f>
        <v/>
      </c>
      <c r="E2354" s="20">
        <f>IF($N2354="","",IFERROR(IF(VLOOKUP(INDEX(LdBMember,$N2354),AcctTblE,4,0)="","(بدون نام)",VLOOKUP(INDEX(LdBMember,$N2354),AcctTblE,4,0)),"—"))</f>
        <v/>
      </c>
      <c r="F2354" s="21">
        <f>IF($N2354="","",IF(INDEX(LdBAmt,$N2354)=0,"",INDEX(LdBAmt,$N2354)))</f>
        <v/>
      </c>
      <c r="G2354" s="32">
        <f>IF($N2354="","",IF(INDEX(LdBNote,$N2354)="","—",INDEX(LdBNote,$N2354)))</f>
        <v/>
      </c>
      <c r="N2354">
        <f>IFERROR(MATCH($C$5&amp;"|"&amp;RIGHT("000000"&amp;334,6),LdBKeyG,0),"")</f>
        <v/>
      </c>
    </row>
    <row r="2355">
      <c r="A2355" s="10" t="n">
        <v>335</v>
      </c>
      <c r="B2355" s="14">
        <f>IF($N2355="","",INDEX(LdBDate,$N2355))</f>
        <v/>
      </c>
      <c r="C2355" s="14">
        <f>IF($N2355="","",IF(INDEX(LdBId,$N2355)="","—",INDEX(LdBId,$N2355)))</f>
        <v/>
      </c>
      <c r="D2355" s="14">
        <f>IF($N2355="","",INDEX(LdBMember,$N2355))</f>
        <v/>
      </c>
      <c r="E2355" s="14">
        <f>IF($N2355="","",IFERROR(IF(VLOOKUP(INDEX(LdBMember,$N2355),AcctTblE,4,0)="","(بدون نام)",VLOOKUP(INDEX(LdBMember,$N2355),AcctTblE,4,0)),"—"))</f>
        <v/>
      </c>
      <c r="F2355" s="16">
        <f>IF($N2355="","",IF(INDEX(LdBAmt,$N2355)=0,"",INDEX(LdBAmt,$N2355)))</f>
        <v/>
      </c>
      <c r="G2355" s="30">
        <f>IF($N2355="","",IF(INDEX(LdBNote,$N2355)="","—",INDEX(LdBNote,$N2355)))</f>
        <v/>
      </c>
      <c r="N2355">
        <f>IFERROR(MATCH($C$5&amp;"|"&amp;RIGHT("000000"&amp;335,6),LdBKeyG,0),"")</f>
        <v/>
      </c>
    </row>
    <row r="2356">
      <c r="A2356" s="19" t="n">
        <v>336</v>
      </c>
      <c r="B2356" s="20">
        <f>IF($N2356="","",INDEX(LdBDate,$N2356))</f>
        <v/>
      </c>
      <c r="C2356" s="20">
        <f>IF($N2356="","",IF(INDEX(LdBId,$N2356)="","—",INDEX(LdBId,$N2356)))</f>
        <v/>
      </c>
      <c r="D2356" s="20">
        <f>IF($N2356="","",INDEX(LdBMember,$N2356))</f>
        <v/>
      </c>
      <c r="E2356" s="20">
        <f>IF($N2356="","",IFERROR(IF(VLOOKUP(INDEX(LdBMember,$N2356),AcctTblE,4,0)="","(بدون نام)",VLOOKUP(INDEX(LdBMember,$N2356),AcctTblE,4,0)),"—"))</f>
        <v/>
      </c>
      <c r="F2356" s="21">
        <f>IF($N2356="","",IF(INDEX(LdBAmt,$N2356)=0,"",INDEX(LdBAmt,$N2356)))</f>
        <v/>
      </c>
      <c r="G2356" s="32">
        <f>IF($N2356="","",IF(INDEX(LdBNote,$N2356)="","—",INDEX(LdBNote,$N2356)))</f>
        <v/>
      </c>
      <c r="N2356">
        <f>IFERROR(MATCH($C$5&amp;"|"&amp;RIGHT("000000"&amp;336,6),LdBKeyG,0),"")</f>
        <v/>
      </c>
    </row>
    <row r="2357">
      <c r="A2357" s="10" t="n">
        <v>337</v>
      </c>
      <c r="B2357" s="14">
        <f>IF($N2357="","",INDEX(LdBDate,$N2357))</f>
        <v/>
      </c>
      <c r="C2357" s="14">
        <f>IF($N2357="","",IF(INDEX(LdBId,$N2357)="","—",INDEX(LdBId,$N2357)))</f>
        <v/>
      </c>
      <c r="D2357" s="14">
        <f>IF($N2357="","",INDEX(LdBMember,$N2357))</f>
        <v/>
      </c>
      <c r="E2357" s="14">
        <f>IF($N2357="","",IFERROR(IF(VLOOKUP(INDEX(LdBMember,$N2357),AcctTblE,4,0)="","(بدون نام)",VLOOKUP(INDEX(LdBMember,$N2357),AcctTblE,4,0)),"—"))</f>
        <v/>
      </c>
      <c r="F2357" s="16">
        <f>IF($N2357="","",IF(INDEX(LdBAmt,$N2357)=0,"",INDEX(LdBAmt,$N2357)))</f>
        <v/>
      </c>
      <c r="G2357" s="30">
        <f>IF($N2357="","",IF(INDEX(LdBNote,$N2357)="","—",INDEX(LdBNote,$N2357)))</f>
        <v/>
      </c>
      <c r="N2357">
        <f>IFERROR(MATCH($C$5&amp;"|"&amp;RIGHT("000000"&amp;337,6),LdBKeyG,0),"")</f>
        <v/>
      </c>
    </row>
    <row r="2358">
      <c r="A2358" s="19" t="n">
        <v>338</v>
      </c>
      <c r="B2358" s="20">
        <f>IF($N2358="","",INDEX(LdBDate,$N2358))</f>
        <v/>
      </c>
      <c r="C2358" s="20">
        <f>IF($N2358="","",IF(INDEX(LdBId,$N2358)="","—",INDEX(LdBId,$N2358)))</f>
        <v/>
      </c>
      <c r="D2358" s="20">
        <f>IF($N2358="","",INDEX(LdBMember,$N2358))</f>
        <v/>
      </c>
      <c r="E2358" s="20">
        <f>IF($N2358="","",IFERROR(IF(VLOOKUP(INDEX(LdBMember,$N2358),AcctTblE,4,0)="","(بدون نام)",VLOOKUP(INDEX(LdBMember,$N2358),AcctTblE,4,0)),"—"))</f>
        <v/>
      </c>
      <c r="F2358" s="21">
        <f>IF($N2358="","",IF(INDEX(LdBAmt,$N2358)=0,"",INDEX(LdBAmt,$N2358)))</f>
        <v/>
      </c>
      <c r="G2358" s="32">
        <f>IF($N2358="","",IF(INDEX(LdBNote,$N2358)="","—",INDEX(LdBNote,$N2358)))</f>
        <v/>
      </c>
      <c r="N2358">
        <f>IFERROR(MATCH($C$5&amp;"|"&amp;RIGHT("000000"&amp;338,6),LdBKeyG,0),"")</f>
        <v/>
      </c>
    </row>
    <row r="2359">
      <c r="A2359" s="10" t="n">
        <v>339</v>
      </c>
      <c r="B2359" s="14">
        <f>IF($N2359="","",INDEX(LdBDate,$N2359))</f>
        <v/>
      </c>
      <c r="C2359" s="14">
        <f>IF($N2359="","",IF(INDEX(LdBId,$N2359)="","—",INDEX(LdBId,$N2359)))</f>
        <v/>
      </c>
      <c r="D2359" s="14">
        <f>IF($N2359="","",INDEX(LdBMember,$N2359))</f>
        <v/>
      </c>
      <c r="E2359" s="14">
        <f>IF($N2359="","",IFERROR(IF(VLOOKUP(INDEX(LdBMember,$N2359),AcctTblE,4,0)="","(بدون نام)",VLOOKUP(INDEX(LdBMember,$N2359),AcctTblE,4,0)),"—"))</f>
        <v/>
      </c>
      <c r="F2359" s="16">
        <f>IF($N2359="","",IF(INDEX(LdBAmt,$N2359)=0,"",INDEX(LdBAmt,$N2359)))</f>
        <v/>
      </c>
      <c r="G2359" s="30">
        <f>IF($N2359="","",IF(INDEX(LdBNote,$N2359)="","—",INDEX(LdBNote,$N2359)))</f>
        <v/>
      </c>
      <c r="N2359">
        <f>IFERROR(MATCH($C$5&amp;"|"&amp;RIGHT("000000"&amp;339,6),LdBKeyG,0),"")</f>
        <v/>
      </c>
    </row>
    <row r="2360">
      <c r="A2360" s="19" t="n">
        <v>340</v>
      </c>
      <c r="B2360" s="20">
        <f>IF($N2360="","",INDEX(LdBDate,$N2360))</f>
        <v/>
      </c>
      <c r="C2360" s="20">
        <f>IF($N2360="","",IF(INDEX(LdBId,$N2360)="","—",INDEX(LdBId,$N2360)))</f>
        <v/>
      </c>
      <c r="D2360" s="20">
        <f>IF($N2360="","",INDEX(LdBMember,$N2360))</f>
        <v/>
      </c>
      <c r="E2360" s="20">
        <f>IF($N2360="","",IFERROR(IF(VLOOKUP(INDEX(LdBMember,$N2360),AcctTblE,4,0)="","(بدون نام)",VLOOKUP(INDEX(LdBMember,$N2360),AcctTblE,4,0)),"—"))</f>
        <v/>
      </c>
      <c r="F2360" s="21">
        <f>IF($N2360="","",IF(INDEX(LdBAmt,$N2360)=0,"",INDEX(LdBAmt,$N2360)))</f>
        <v/>
      </c>
      <c r="G2360" s="32">
        <f>IF($N2360="","",IF(INDEX(LdBNote,$N2360)="","—",INDEX(LdBNote,$N2360)))</f>
        <v/>
      </c>
      <c r="N2360">
        <f>IFERROR(MATCH($C$5&amp;"|"&amp;RIGHT("000000"&amp;340,6),LdBKeyG,0),"")</f>
        <v/>
      </c>
    </row>
    <row r="2361">
      <c r="A2361" s="10" t="n">
        <v>341</v>
      </c>
      <c r="B2361" s="14">
        <f>IF($N2361="","",INDEX(LdBDate,$N2361))</f>
        <v/>
      </c>
      <c r="C2361" s="14">
        <f>IF($N2361="","",IF(INDEX(LdBId,$N2361)="","—",INDEX(LdBId,$N2361)))</f>
        <v/>
      </c>
      <c r="D2361" s="14">
        <f>IF($N2361="","",INDEX(LdBMember,$N2361))</f>
        <v/>
      </c>
      <c r="E2361" s="14">
        <f>IF($N2361="","",IFERROR(IF(VLOOKUP(INDEX(LdBMember,$N2361),AcctTblE,4,0)="","(بدون نام)",VLOOKUP(INDEX(LdBMember,$N2361),AcctTblE,4,0)),"—"))</f>
        <v/>
      </c>
      <c r="F2361" s="16">
        <f>IF($N2361="","",IF(INDEX(LdBAmt,$N2361)=0,"",INDEX(LdBAmt,$N2361)))</f>
        <v/>
      </c>
      <c r="G2361" s="30">
        <f>IF($N2361="","",IF(INDEX(LdBNote,$N2361)="","—",INDEX(LdBNote,$N2361)))</f>
        <v/>
      </c>
      <c r="N2361">
        <f>IFERROR(MATCH($C$5&amp;"|"&amp;RIGHT("000000"&amp;341,6),LdBKeyG,0),"")</f>
        <v/>
      </c>
    </row>
    <row r="2362">
      <c r="A2362" s="19" t="n">
        <v>342</v>
      </c>
      <c r="B2362" s="20">
        <f>IF($N2362="","",INDEX(LdBDate,$N2362))</f>
        <v/>
      </c>
      <c r="C2362" s="20">
        <f>IF($N2362="","",IF(INDEX(LdBId,$N2362)="","—",INDEX(LdBId,$N2362)))</f>
        <v/>
      </c>
      <c r="D2362" s="20">
        <f>IF($N2362="","",INDEX(LdBMember,$N2362))</f>
        <v/>
      </c>
      <c r="E2362" s="20">
        <f>IF($N2362="","",IFERROR(IF(VLOOKUP(INDEX(LdBMember,$N2362),AcctTblE,4,0)="","(بدون نام)",VLOOKUP(INDEX(LdBMember,$N2362),AcctTblE,4,0)),"—"))</f>
        <v/>
      </c>
      <c r="F2362" s="21">
        <f>IF($N2362="","",IF(INDEX(LdBAmt,$N2362)=0,"",INDEX(LdBAmt,$N2362)))</f>
        <v/>
      </c>
      <c r="G2362" s="32">
        <f>IF($N2362="","",IF(INDEX(LdBNote,$N2362)="","—",INDEX(LdBNote,$N2362)))</f>
        <v/>
      </c>
      <c r="N2362">
        <f>IFERROR(MATCH($C$5&amp;"|"&amp;RIGHT("000000"&amp;342,6),LdBKeyG,0),"")</f>
        <v/>
      </c>
    </row>
    <row r="2363">
      <c r="A2363" s="10" t="n">
        <v>343</v>
      </c>
      <c r="B2363" s="14">
        <f>IF($N2363="","",INDEX(LdBDate,$N2363))</f>
        <v/>
      </c>
      <c r="C2363" s="14">
        <f>IF($N2363="","",IF(INDEX(LdBId,$N2363)="","—",INDEX(LdBId,$N2363)))</f>
        <v/>
      </c>
      <c r="D2363" s="14">
        <f>IF($N2363="","",INDEX(LdBMember,$N2363))</f>
        <v/>
      </c>
      <c r="E2363" s="14">
        <f>IF($N2363="","",IFERROR(IF(VLOOKUP(INDEX(LdBMember,$N2363),AcctTblE,4,0)="","(بدون نام)",VLOOKUP(INDEX(LdBMember,$N2363),AcctTblE,4,0)),"—"))</f>
        <v/>
      </c>
      <c r="F2363" s="16">
        <f>IF($N2363="","",IF(INDEX(LdBAmt,$N2363)=0,"",INDEX(LdBAmt,$N2363)))</f>
        <v/>
      </c>
      <c r="G2363" s="30">
        <f>IF($N2363="","",IF(INDEX(LdBNote,$N2363)="","—",INDEX(LdBNote,$N2363)))</f>
        <v/>
      </c>
      <c r="N2363">
        <f>IFERROR(MATCH($C$5&amp;"|"&amp;RIGHT("000000"&amp;343,6),LdBKeyG,0),"")</f>
        <v/>
      </c>
    </row>
    <row r="2364">
      <c r="A2364" s="19" t="n">
        <v>344</v>
      </c>
      <c r="B2364" s="20">
        <f>IF($N2364="","",INDEX(LdBDate,$N2364))</f>
        <v/>
      </c>
      <c r="C2364" s="20">
        <f>IF($N2364="","",IF(INDEX(LdBId,$N2364)="","—",INDEX(LdBId,$N2364)))</f>
        <v/>
      </c>
      <c r="D2364" s="20">
        <f>IF($N2364="","",INDEX(LdBMember,$N2364))</f>
        <v/>
      </c>
      <c r="E2364" s="20">
        <f>IF($N2364="","",IFERROR(IF(VLOOKUP(INDEX(LdBMember,$N2364),AcctTblE,4,0)="","(بدون نام)",VLOOKUP(INDEX(LdBMember,$N2364),AcctTblE,4,0)),"—"))</f>
        <v/>
      </c>
      <c r="F2364" s="21">
        <f>IF($N2364="","",IF(INDEX(LdBAmt,$N2364)=0,"",INDEX(LdBAmt,$N2364)))</f>
        <v/>
      </c>
      <c r="G2364" s="32">
        <f>IF($N2364="","",IF(INDEX(LdBNote,$N2364)="","—",INDEX(LdBNote,$N2364)))</f>
        <v/>
      </c>
      <c r="N2364">
        <f>IFERROR(MATCH($C$5&amp;"|"&amp;RIGHT("000000"&amp;344,6),LdBKeyG,0),"")</f>
        <v/>
      </c>
    </row>
    <row r="2365">
      <c r="A2365" s="10" t="n">
        <v>345</v>
      </c>
      <c r="B2365" s="14">
        <f>IF($N2365="","",INDEX(LdBDate,$N2365))</f>
        <v/>
      </c>
      <c r="C2365" s="14">
        <f>IF($N2365="","",IF(INDEX(LdBId,$N2365)="","—",INDEX(LdBId,$N2365)))</f>
        <v/>
      </c>
      <c r="D2365" s="14">
        <f>IF($N2365="","",INDEX(LdBMember,$N2365))</f>
        <v/>
      </c>
      <c r="E2365" s="14">
        <f>IF($N2365="","",IFERROR(IF(VLOOKUP(INDEX(LdBMember,$N2365),AcctTblE,4,0)="","(بدون نام)",VLOOKUP(INDEX(LdBMember,$N2365),AcctTblE,4,0)),"—"))</f>
        <v/>
      </c>
      <c r="F2365" s="16">
        <f>IF($N2365="","",IF(INDEX(LdBAmt,$N2365)=0,"",INDEX(LdBAmt,$N2365)))</f>
        <v/>
      </c>
      <c r="G2365" s="30">
        <f>IF($N2365="","",IF(INDEX(LdBNote,$N2365)="","—",INDEX(LdBNote,$N2365)))</f>
        <v/>
      </c>
      <c r="N2365">
        <f>IFERROR(MATCH($C$5&amp;"|"&amp;RIGHT("000000"&amp;345,6),LdBKeyG,0),"")</f>
        <v/>
      </c>
    </row>
    <row r="2366">
      <c r="A2366" s="19" t="n">
        <v>346</v>
      </c>
      <c r="B2366" s="20">
        <f>IF($N2366="","",INDEX(LdBDate,$N2366))</f>
        <v/>
      </c>
      <c r="C2366" s="20">
        <f>IF($N2366="","",IF(INDEX(LdBId,$N2366)="","—",INDEX(LdBId,$N2366)))</f>
        <v/>
      </c>
      <c r="D2366" s="20">
        <f>IF($N2366="","",INDEX(LdBMember,$N2366))</f>
        <v/>
      </c>
      <c r="E2366" s="20">
        <f>IF($N2366="","",IFERROR(IF(VLOOKUP(INDEX(LdBMember,$N2366),AcctTblE,4,0)="","(بدون نام)",VLOOKUP(INDEX(LdBMember,$N2366),AcctTblE,4,0)),"—"))</f>
        <v/>
      </c>
      <c r="F2366" s="21">
        <f>IF($N2366="","",IF(INDEX(LdBAmt,$N2366)=0,"",INDEX(LdBAmt,$N2366)))</f>
        <v/>
      </c>
      <c r="G2366" s="32">
        <f>IF($N2366="","",IF(INDEX(LdBNote,$N2366)="","—",INDEX(LdBNote,$N2366)))</f>
        <v/>
      </c>
      <c r="N2366">
        <f>IFERROR(MATCH($C$5&amp;"|"&amp;RIGHT("000000"&amp;346,6),LdBKeyG,0),"")</f>
        <v/>
      </c>
    </row>
    <row r="2367">
      <c r="A2367" s="10" t="n">
        <v>347</v>
      </c>
      <c r="B2367" s="14">
        <f>IF($N2367="","",INDEX(LdBDate,$N2367))</f>
        <v/>
      </c>
      <c r="C2367" s="14">
        <f>IF($N2367="","",IF(INDEX(LdBId,$N2367)="","—",INDEX(LdBId,$N2367)))</f>
        <v/>
      </c>
      <c r="D2367" s="14">
        <f>IF($N2367="","",INDEX(LdBMember,$N2367))</f>
        <v/>
      </c>
      <c r="E2367" s="14">
        <f>IF($N2367="","",IFERROR(IF(VLOOKUP(INDEX(LdBMember,$N2367),AcctTblE,4,0)="","(بدون نام)",VLOOKUP(INDEX(LdBMember,$N2367),AcctTblE,4,0)),"—"))</f>
        <v/>
      </c>
      <c r="F2367" s="16">
        <f>IF($N2367="","",IF(INDEX(LdBAmt,$N2367)=0,"",INDEX(LdBAmt,$N2367)))</f>
        <v/>
      </c>
      <c r="G2367" s="30">
        <f>IF($N2367="","",IF(INDEX(LdBNote,$N2367)="","—",INDEX(LdBNote,$N2367)))</f>
        <v/>
      </c>
      <c r="N2367">
        <f>IFERROR(MATCH($C$5&amp;"|"&amp;RIGHT("000000"&amp;347,6),LdBKeyG,0),"")</f>
        <v/>
      </c>
    </row>
    <row r="2368">
      <c r="A2368" s="19" t="n">
        <v>348</v>
      </c>
      <c r="B2368" s="20">
        <f>IF($N2368="","",INDEX(LdBDate,$N2368))</f>
        <v/>
      </c>
      <c r="C2368" s="20">
        <f>IF($N2368="","",IF(INDEX(LdBId,$N2368)="","—",INDEX(LdBId,$N2368)))</f>
        <v/>
      </c>
      <c r="D2368" s="20">
        <f>IF($N2368="","",INDEX(LdBMember,$N2368))</f>
        <v/>
      </c>
      <c r="E2368" s="20">
        <f>IF($N2368="","",IFERROR(IF(VLOOKUP(INDEX(LdBMember,$N2368),AcctTblE,4,0)="","(بدون نام)",VLOOKUP(INDEX(LdBMember,$N2368),AcctTblE,4,0)),"—"))</f>
        <v/>
      </c>
      <c r="F2368" s="21">
        <f>IF($N2368="","",IF(INDEX(LdBAmt,$N2368)=0,"",INDEX(LdBAmt,$N2368)))</f>
        <v/>
      </c>
      <c r="G2368" s="32">
        <f>IF($N2368="","",IF(INDEX(LdBNote,$N2368)="","—",INDEX(LdBNote,$N2368)))</f>
        <v/>
      </c>
      <c r="N2368">
        <f>IFERROR(MATCH($C$5&amp;"|"&amp;RIGHT("000000"&amp;348,6),LdBKeyG,0),"")</f>
        <v/>
      </c>
    </row>
    <row r="2369">
      <c r="A2369" s="10" t="n">
        <v>349</v>
      </c>
      <c r="B2369" s="14">
        <f>IF($N2369="","",INDEX(LdBDate,$N2369))</f>
        <v/>
      </c>
      <c r="C2369" s="14">
        <f>IF($N2369="","",IF(INDEX(LdBId,$N2369)="","—",INDEX(LdBId,$N2369)))</f>
        <v/>
      </c>
      <c r="D2369" s="14">
        <f>IF($N2369="","",INDEX(LdBMember,$N2369))</f>
        <v/>
      </c>
      <c r="E2369" s="14">
        <f>IF($N2369="","",IFERROR(IF(VLOOKUP(INDEX(LdBMember,$N2369),AcctTblE,4,0)="","(بدون نام)",VLOOKUP(INDEX(LdBMember,$N2369),AcctTblE,4,0)),"—"))</f>
        <v/>
      </c>
      <c r="F2369" s="16">
        <f>IF($N2369="","",IF(INDEX(LdBAmt,$N2369)=0,"",INDEX(LdBAmt,$N2369)))</f>
        <v/>
      </c>
      <c r="G2369" s="30">
        <f>IF($N2369="","",IF(INDEX(LdBNote,$N2369)="","—",INDEX(LdBNote,$N2369)))</f>
        <v/>
      </c>
      <c r="N2369">
        <f>IFERROR(MATCH($C$5&amp;"|"&amp;RIGHT("000000"&amp;349,6),LdBKeyG,0),"")</f>
        <v/>
      </c>
    </row>
    <row r="2370">
      <c r="A2370" s="19" t="n">
        <v>350</v>
      </c>
      <c r="B2370" s="20">
        <f>IF($N2370="","",INDEX(LdBDate,$N2370))</f>
        <v/>
      </c>
      <c r="C2370" s="20">
        <f>IF($N2370="","",IF(INDEX(LdBId,$N2370)="","—",INDEX(LdBId,$N2370)))</f>
        <v/>
      </c>
      <c r="D2370" s="20">
        <f>IF($N2370="","",INDEX(LdBMember,$N2370))</f>
        <v/>
      </c>
      <c r="E2370" s="20">
        <f>IF($N2370="","",IFERROR(IF(VLOOKUP(INDEX(LdBMember,$N2370),AcctTblE,4,0)="","(بدون نام)",VLOOKUP(INDEX(LdBMember,$N2370),AcctTblE,4,0)),"—"))</f>
        <v/>
      </c>
      <c r="F2370" s="21">
        <f>IF($N2370="","",IF(INDEX(LdBAmt,$N2370)=0,"",INDEX(LdBAmt,$N2370)))</f>
        <v/>
      </c>
      <c r="G2370" s="32">
        <f>IF($N2370="","",IF(INDEX(LdBNote,$N2370)="","—",INDEX(LdBNote,$N2370)))</f>
        <v/>
      </c>
      <c r="N2370">
        <f>IFERROR(MATCH($C$5&amp;"|"&amp;RIGHT("000000"&amp;350,6),LdBKeyG,0),"")</f>
        <v/>
      </c>
    </row>
    <row r="2371">
      <c r="A2371" s="10" t="n">
        <v>351</v>
      </c>
      <c r="B2371" s="14">
        <f>IF($N2371="","",INDEX(LdBDate,$N2371))</f>
        <v/>
      </c>
      <c r="C2371" s="14">
        <f>IF($N2371="","",IF(INDEX(LdBId,$N2371)="","—",INDEX(LdBId,$N2371)))</f>
        <v/>
      </c>
      <c r="D2371" s="14">
        <f>IF($N2371="","",INDEX(LdBMember,$N2371))</f>
        <v/>
      </c>
      <c r="E2371" s="14">
        <f>IF($N2371="","",IFERROR(IF(VLOOKUP(INDEX(LdBMember,$N2371),AcctTblE,4,0)="","(بدون نام)",VLOOKUP(INDEX(LdBMember,$N2371),AcctTblE,4,0)),"—"))</f>
        <v/>
      </c>
      <c r="F2371" s="16">
        <f>IF($N2371="","",IF(INDEX(LdBAmt,$N2371)=0,"",INDEX(LdBAmt,$N2371)))</f>
        <v/>
      </c>
      <c r="G2371" s="30">
        <f>IF($N2371="","",IF(INDEX(LdBNote,$N2371)="","—",INDEX(LdBNote,$N2371)))</f>
        <v/>
      </c>
      <c r="N2371">
        <f>IFERROR(MATCH($C$5&amp;"|"&amp;RIGHT("000000"&amp;351,6),LdBKeyG,0),"")</f>
        <v/>
      </c>
    </row>
    <row r="2372">
      <c r="A2372" s="19" t="n">
        <v>352</v>
      </c>
      <c r="B2372" s="20">
        <f>IF($N2372="","",INDEX(LdBDate,$N2372))</f>
        <v/>
      </c>
      <c r="C2372" s="20">
        <f>IF($N2372="","",IF(INDEX(LdBId,$N2372)="","—",INDEX(LdBId,$N2372)))</f>
        <v/>
      </c>
      <c r="D2372" s="20">
        <f>IF($N2372="","",INDEX(LdBMember,$N2372))</f>
        <v/>
      </c>
      <c r="E2372" s="20">
        <f>IF($N2372="","",IFERROR(IF(VLOOKUP(INDEX(LdBMember,$N2372),AcctTblE,4,0)="","(بدون نام)",VLOOKUP(INDEX(LdBMember,$N2372),AcctTblE,4,0)),"—"))</f>
        <v/>
      </c>
      <c r="F2372" s="21">
        <f>IF($N2372="","",IF(INDEX(LdBAmt,$N2372)=0,"",INDEX(LdBAmt,$N2372)))</f>
        <v/>
      </c>
      <c r="G2372" s="32">
        <f>IF($N2372="","",IF(INDEX(LdBNote,$N2372)="","—",INDEX(LdBNote,$N2372)))</f>
        <v/>
      </c>
      <c r="N2372">
        <f>IFERROR(MATCH($C$5&amp;"|"&amp;RIGHT("000000"&amp;352,6),LdBKeyG,0),"")</f>
        <v/>
      </c>
    </row>
    <row r="2373">
      <c r="A2373" s="10" t="n">
        <v>353</v>
      </c>
      <c r="B2373" s="14">
        <f>IF($N2373="","",INDEX(LdBDate,$N2373))</f>
        <v/>
      </c>
      <c r="C2373" s="14">
        <f>IF($N2373="","",IF(INDEX(LdBId,$N2373)="","—",INDEX(LdBId,$N2373)))</f>
        <v/>
      </c>
      <c r="D2373" s="14">
        <f>IF($N2373="","",INDEX(LdBMember,$N2373))</f>
        <v/>
      </c>
      <c r="E2373" s="14">
        <f>IF($N2373="","",IFERROR(IF(VLOOKUP(INDEX(LdBMember,$N2373),AcctTblE,4,0)="","(بدون نام)",VLOOKUP(INDEX(LdBMember,$N2373),AcctTblE,4,0)),"—"))</f>
        <v/>
      </c>
      <c r="F2373" s="16">
        <f>IF($N2373="","",IF(INDEX(LdBAmt,$N2373)=0,"",INDEX(LdBAmt,$N2373)))</f>
        <v/>
      </c>
      <c r="G2373" s="30">
        <f>IF($N2373="","",IF(INDEX(LdBNote,$N2373)="","—",INDEX(LdBNote,$N2373)))</f>
        <v/>
      </c>
      <c r="N2373">
        <f>IFERROR(MATCH($C$5&amp;"|"&amp;RIGHT("000000"&amp;353,6),LdBKeyG,0),"")</f>
        <v/>
      </c>
    </row>
    <row r="2374">
      <c r="A2374" s="19" t="n">
        <v>354</v>
      </c>
      <c r="B2374" s="20">
        <f>IF($N2374="","",INDEX(LdBDate,$N2374))</f>
        <v/>
      </c>
      <c r="C2374" s="20">
        <f>IF($N2374="","",IF(INDEX(LdBId,$N2374)="","—",INDEX(LdBId,$N2374)))</f>
        <v/>
      </c>
      <c r="D2374" s="20">
        <f>IF($N2374="","",INDEX(LdBMember,$N2374))</f>
        <v/>
      </c>
      <c r="E2374" s="20">
        <f>IF($N2374="","",IFERROR(IF(VLOOKUP(INDEX(LdBMember,$N2374),AcctTblE,4,0)="","(بدون نام)",VLOOKUP(INDEX(LdBMember,$N2374),AcctTblE,4,0)),"—"))</f>
        <v/>
      </c>
      <c r="F2374" s="21">
        <f>IF($N2374="","",IF(INDEX(LdBAmt,$N2374)=0,"",INDEX(LdBAmt,$N2374)))</f>
        <v/>
      </c>
      <c r="G2374" s="32">
        <f>IF($N2374="","",IF(INDEX(LdBNote,$N2374)="","—",INDEX(LdBNote,$N2374)))</f>
        <v/>
      </c>
      <c r="N2374">
        <f>IFERROR(MATCH($C$5&amp;"|"&amp;RIGHT("000000"&amp;354,6),LdBKeyG,0),"")</f>
        <v/>
      </c>
    </row>
    <row r="2375">
      <c r="A2375" s="10" t="n">
        <v>355</v>
      </c>
      <c r="B2375" s="14">
        <f>IF($N2375="","",INDEX(LdBDate,$N2375))</f>
        <v/>
      </c>
      <c r="C2375" s="14">
        <f>IF($N2375="","",IF(INDEX(LdBId,$N2375)="","—",INDEX(LdBId,$N2375)))</f>
        <v/>
      </c>
      <c r="D2375" s="14">
        <f>IF($N2375="","",INDEX(LdBMember,$N2375))</f>
        <v/>
      </c>
      <c r="E2375" s="14">
        <f>IF($N2375="","",IFERROR(IF(VLOOKUP(INDEX(LdBMember,$N2375),AcctTblE,4,0)="","(بدون نام)",VLOOKUP(INDEX(LdBMember,$N2375),AcctTblE,4,0)),"—"))</f>
        <v/>
      </c>
      <c r="F2375" s="16">
        <f>IF($N2375="","",IF(INDEX(LdBAmt,$N2375)=0,"",INDEX(LdBAmt,$N2375)))</f>
        <v/>
      </c>
      <c r="G2375" s="30">
        <f>IF($N2375="","",IF(INDEX(LdBNote,$N2375)="","—",INDEX(LdBNote,$N2375)))</f>
        <v/>
      </c>
      <c r="N2375">
        <f>IFERROR(MATCH($C$5&amp;"|"&amp;RIGHT("000000"&amp;355,6),LdBKeyG,0),"")</f>
        <v/>
      </c>
    </row>
    <row r="2376">
      <c r="A2376" s="19" t="n">
        <v>356</v>
      </c>
      <c r="B2376" s="20">
        <f>IF($N2376="","",INDEX(LdBDate,$N2376))</f>
        <v/>
      </c>
      <c r="C2376" s="20">
        <f>IF($N2376="","",IF(INDEX(LdBId,$N2376)="","—",INDEX(LdBId,$N2376)))</f>
        <v/>
      </c>
      <c r="D2376" s="20">
        <f>IF($N2376="","",INDEX(LdBMember,$N2376))</f>
        <v/>
      </c>
      <c r="E2376" s="20">
        <f>IF($N2376="","",IFERROR(IF(VLOOKUP(INDEX(LdBMember,$N2376),AcctTblE,4,0)="","(بدون نام)",VLOOKUP(INDEX(LdBMember,$N2376),AcctTblE,4,0)),"—"))</f>
        <v/>
      </c>
      <c r="F2376" s="21">
        <f>IF($N2376="","",IF(INDEX(LdBAmt,$N2376)=0,"",INDEX(LdBAmt,$N2376)))</f>
        <v/>
      </c>
      <c r="G2376" s="32">
        <f>IF($N2376="","",IF(INDEX(LdBNote,$N2376)="","—",INDEX(LdBNote,$N2376)))</f>
        <v/>
      </c>
      <c r="N2376">
        <f>IFERROR(MATCH($C$5&amp;"|"&amp;RIGHT("000000"&amp;356,6),LdBKeyG,0),"")</f>
        <v/>
      </c>
    </row>
    <row r="2377">
      <c r="A2377" s="10" t="n">
        <v>357</v>
      </c>
      <c r="B2377" s="14">
        <f>IF($N2377="","",INDEX(LdBDate,$N2377))</f>
        <v/>
      </c>
      <c r="C2377" s="14">
        <f>IF($N2377="","",IF(INDEX(LdBId,$N2377)="","—",INDEX(LdBId,$N2377)))</f>
        <v/>
      </c>
      <c r="D2377" s="14">
        <f>IF($N2377="","",INDEX(LdBMember,$N2377))</f>
        <v/>
      </c>
      <c r="E2377" s="14">
        <f>IF($N2377="","",IFERROR(IF(VLOOKUP(INDEX(LdBMember,$N2377),AcctTblE,4,0)="","(بدون نام)",VLOOKUP(INDEX(LdBMember,$N2377),AcctTblE,4,0)),"—"))</f>
        <v/>
      </c>
      <c r="F2377" s="16">
        <f>IF($N2377="","",IF(INDEX(LdBAmt,$N2377)=0,"",INDEX(LdBAmt,$N2377)))</f>
        <v/>
      </c>
      <c r="G2377" s="30">
        <f>IF($N2377="","",IF(INDEX(LdBNote,$N2377)="","—",INDEX(LdBNote,$N2377)))</f>
        <v/>
      </c>
      <c r="N2377">
        <f>IFERROR(MATCH($C$5&amp;"|"&amp;RIGHT("000000"&amp;357,6),LdBKeyG,0),"")</f>
        <v/>
      </c>
    </row>
    <row r="2378">
      <c r="A2378" s="19" t="n">
        <v>358</v>
      </c>
      <c r="B2378" s="20">
        <f>IF($N2378="","",INDEX(LdBDate,$N2378))</f>
        <v/>
      </c>
      <c r="C2378" s="20">
        <f>IF($N2378="","",IF(INDEX(LdBId,$N2378)="","—",INDEX(LdBId,$N2378)))</f>
        <v/>
      </c>
      <c r="D2378" s="20">
        <f>IF($N2378="","",INDEX(LdBMember,$N2378))</f>
        <v/>
      </c>
      <c r="E2378" s="20">
        <f>IF($N2378="","",IFERROR(IF(VLOOKUP(INDEX(LdBMember,$N2378),AcctTblE,4,0)="","(بدون نام)",VLOOKUP(INDEX(LdBMember,$N2378),AcctTblE,4,0)),"—"))</f>
        <v/>
      </c>
      <c r="F2378" s="21">
        <f>IF($N2378="","",IF(INDEX(LdBAmt,$N2378)=0,"",INDEX(LdBAmt,$N2378)))</f>
        <v/>
      </c>
      <c r="G2378" s="32">
        <f>IF($N2378="","",IF(INDEX(LdBNote,$N2378)="","—",INDEX(LdBNote,$N2378)))</f>
        <v/>
      </c>
      <c r="N2378">
        <f>IFERROR(MATCH($C$5&amp;"|"&amp;RIGHT("000000"&amp;358,6),LdBKeyG,0),"")</f>
        <v/>
      </c>
    </row>
    <row r="2379">
      <c r="A2379" s="10" t="n">
        <v>359</v>
      </c>
      <c r="B2379" s="14">
        <f>IF($N2379="","",INDEX(LdBDate,$N2379))</f>
        <v/>
      </c>
      <c r="C2379" s="14">
        <f>IF($N2379="","",IF(INDEX(LdBId,$N2379)="","—",INDEX(LdBId,$N2379)))</f>
        <v/>
      </c>
      <c r="D2379" s="14">
        <f>IF($N2379="","",INDEX(LdBMember,$N2379))</f>
        <v/>
      </c>
      <c r="E2379" s="14">
        <f>IF($N2379="","",IFERROR(IF(VLOOKUP(INDEX(LdBMember,$N2379),AcctTblE,4,0)="","(بدون نام)",VLOOKUP(INDEX(LdBMember,$N2379),AcctTblE,4,0)),"—"))</f>
        <v/>
      </c>
      <c r="F2379" s="16">
        <f>IF($N2379="","",IF(INDEX(LdBAmt,$N2379)=0,"",INDEX(LdBAmt,$N2379)))</f>
        <v/>
      </c>
      <c r="G2379" s="30">
        <f>IF($N2379="","",IF(INDEX(LdBNote,$N2379)="","—",INDEX(LdBNote,$N2379)))</f>
        <v/>
      </c>
      <c r="N2379">
        <f>IFERROR(MATCH($C$5&amp;"|"&amp;RIGHT("000000"&amp;359,6),LdBKeyG,0),"")</f>
        <v/>
      </c>
    </row>
    <row r="2380">
      <c r="A2380" s="19" t="n">
        <v>360</v>
      </c>
      <c r="B2380" s="20">
        <f>IF($N2380="","",INDEX(LdBDate,$N2380))</f>
        <v/>
      </c>
      <c r="C2380" s="20">
        <f>IF($N2380="","",IF(INDEX(LdBId,$N2380)="","—",INDEX(LdBId,$N2380)))</f>
        <v/>
      </c>
      <c r="D2380" s="20">
        <f>IF($N2380="","",INDEX(LdBMember,$N2380))</f>
        <v/>
      </c>
      <c r="E2380" s="20">
        <f>IF($N2380="","",IFERROR(IF(VLOOKUP(INDEX(LdBMember,$N2380),AcctTblE,4,0)="","(بدون نام)",VLOOKUP(INDEX(LdBMember,$N2380),AcctTblE,4,0)),"—"))</f>
        <v/>
      </c>
      <c r="F2380" s="21">
        <f>IF($N2380="","",IF(INDEX(LdBAmt,$N2380)=0,"",INDEX(LdBAmt,$N2380)))</f>
        <v/>
      </c>
      <c r="G2380" s="32">
        <f>IF($N2380="","",IF(INDEX(LdBNote,$N2380)="","—",INDEX(LdBNote,$N2380)))</f>
        <v/>
      </c>
      <c r="N2380">
        <f>IFERROR(MATCH($C$5&amp;"|"&amp;RIGHT("000000"&amp;360,6),LdBKeyG,0),"")</f>
        <v/>
      </c>
    </row>
    <row r="2381">
      <c r="A2381" s="10" t="n">
        <v>361</v>
      </c>
      <c r="B2381" s="14">
        <f>IF($N2381="","",INDEX(LdBDate,$N2381))</f>
        <v/>
      </c>
      <c r="C2381" s="14">
        <f>IF($N2381="","",IF(INDEX(LdBId,$N2381)="","—",INDEX(LdBId,$N2381)))</f>
        <v/>
      </c>
      <c r="D2381" s="14">
        <f>IF($N2381="","",INDEX(LdBMember,$N2381))</f>
        <v/>
      </c>
      <c r="E2381" s="14">
        <f>IF($N2381="","",IFERROR(IF(VLOOKUP(INDEX(LdBMember,$N2381),AcctTblE,4,0)="","(بدون نام)",VLOOKUP(INDEX(LdBMember,$N2381),AcctTblE,4,0)),"—"))</f>
        <v/>
      </c>
      <c r="F2381" s="16">
        <f>IF($N2381="","",IF(INDEX(LdBAmt,$N2381)=0,"",INDEX(LdBAmt,$N2381)))</f>
        <v/>
      </c>
      <c r="G2381" s="30">
        <f>IF($N2381="","",IF(INDEX(LdBNote,$N2381)="","—",INDEX(LdBNote,$N2381)))</f>
        <v/>
      </c>
      <c r="N2381">
        <f>IFERROR(MATCH($C$5&amp;"|"&amp;RIGHT("000000"&amp;361,6),LdBKeyG,0),"")</f>
        <v/>
      </c>
    </row>
    <row r="2382">
      <c r="A2382" s="19" t="n">
        <v>362</v>
      </c>
      <c r="B2382" s="20">
        <f>IF($N2382="","",INDEX(LdBDate,$N2382))</f>
        <v/>
      </c>
      <c r="C2382" s="20">
        <f>IF($N2382="","",IF(INDEX(LdBId,$N2382)="","—",INDEX(LdBId,$N2382)))</f>
        <v/>
      </c>
      <c r="D2382" s="20">
        <f>IF($N2382="","",INDEX(LdBMember,$N2382))</f>
        <v/>
      </c>
      <c r="E2382" s="20">
        <f>IF($N2382="","",IFERROR(IF(VLOOKUP(INDEX(LdBMember,$N2382),AcctTblE,4,0)="","(بدون نام)",VLOOKUP(INDEX(LdBMember,$N2382),AcctTblE,4,0)),"—"))</f>
        <v/>
      </c>
      <c r="F2382" s="21">
        <f>IF($N2382="","",IF(INDEX(LdBAmt,$N2382)=0,"",INDEX(LdBAmt,$N2382)))</f>
        <v/>
      </c>
      <c r="G2382" s="32">
        <f>IF($N2382="","",IF(INDEX(LdBNote,$N2382)="","—",INDEX(LdBNote,$N2382)))</f>
        <v/>
      </c>
      <c r="N2382">
        <f>IFERROR(MATCH($C$5&amp;"|"&amp;RIGHT("000000"&amp;362,6),LdBKeyG,0),"")</f>
        <v/>
      </c>
    </row>
    <row r="2383">
      <c r="A2383" s="10" t="n">
        <v>363</v>
      </c>
      <c r="B2383" s="14">
        <f>IF($N2383="","",INDEX(LdBDate,$N2383))</f>
        <v/>
      </c>
      <c r="C2383" s="14">
        <f>IF($N2383="","",IF(INDEX(LdBId,$N2383)="","—",INDEX(LdBId,$N2383)))</f>
        <v/>
      </c>
      <c r="D2383" s="14">
        <f>IF($N2383="","",INDEX(LdBMember,$N2383))</f>
        <v/>
      </c>
      <c r="E2383" s="14">
        <f>IF($N2383="","",IFERROR(IF(VLOOKUP(INDEX(LdBMember,$N2383),AcctTblE,4,0)="","(بدون نام)",VLOOKUP(INDEX(LdBMember,$N2383),AcctTblE,4,0)),"—"))</f>
        <v/>
      </c>
      <c r="F2383" s="16">
        <f>IF($N2383="","",IF(INDEX(LdBAmt,$N2383)=0,"",INDEX(LdBAmt,$N2383)))</f>
        <v/>
      </c>
      <c r="G2383" s="30">
        <f>IF($N2383="","",IF(INDEX(LdBNote,$N2383)="","—",INDEX(LdBNote,$N2383)))</f>
        <v/>
      </c>
      <c r="N2383">
        <f>IFERROR(MATCH($C$5&amp;"|"&amp;RIGHT("000000"&amp;363,6),LdBKeyG,0),"")</f>
        <v/>
      </c>
    </row>
    <row r="2384">
      <c r="A2384" s="19" t="n">
        <v>364</v>
      </c>
      <c r="B2384" s="20">
        <f>IF($N2384="","",INDEX(LdBDate,$N2384))</f>
        <v/>
      </c>
      <c r="C2384" s="20">
        <f>IF($N2384="","",IF(INDEX(LdBId,$N2384)="","—",INDEX(LdBId,$N2384)))</f>
        <v/>
      </c>
      <c r="D2384" s="20">
        <f>IF($N2384="","",INDEX(LdBMember,$N2384))</f>
        <v/>
      </c>
      <c r="E2384" s="20">
        <f>IF($N2384="","",IFERROR(IF(VLOOKUP(INDEX(LdBMember,$N2384),AcctTblE,4,0)="","(بدون نام)",VLOOKUP(INDEX(LdBMember,$N2384),AcctTblE,4,0)),"—"))</f>
        <v/>
      </c>
      <c r="F2384" s="21">
        <f>IF($N2384="","",IF(INDEX(LdBAmt,$N2384)=0,"",INDEX(LdBAmt,$N2384)))</f>
        <v/>
      </c>
      <c r="G2384" s="32">
        <f>IF($N2384="","",IF(INDEX(LdBNote,$N2384)="","—",INDEX(LdBNote,$N2384)))</f>
        <v/>
      </c>
      <c r="N2384">
        <f>IFERROR(MATCH($C$5&amp;"|"&amp;RIGHT("000000"&amp;364,6),LdBKeyG,0),"")</f>
        <v/>
      </c>
    </row>
    <row r="2385">
      <c r="A2385" s="10" t="n">
        <v>365</v>
      </c>
      <c r="B2385" s="14">
        <f>IF($N2385="","",INDEX(LdBDate,$N2385))</f>
        <v/>
      </c>
      <c r="C2385" s="14">
        <f>IF($N2385="","",IF(INDEX(LdBId,$N2385)="","—",INDEX(LdBId,$N2385)))</f>
        <v/>
      </c>
      <c r="D2385" s="14">
        <f>IF($N2385="","",INDEX(LdBMember,$N2385))</f>
        <v/>
      </c>
      <c r="E2385" s="14">
        <f>IF($N2385="","",IFERROR(IF(VLOOKUP(INDEX(LdBMember,$N2385),AcctTblE,4,0)="","(بدون نام)",VLOOKUP(INDEX(LdBMember,$N2385),AcctTblE,4,0)),"—"))</f>
        <v/>
      </c>
      <c r="F2385" s="16">
        <f>IF($N2385="","",IF(INDEX(LdBAmt,$N2385)=0,"",INDEX(LdBAmt,$N2385)))</f>
        <v/>
      </c>
      <c r="G2385" s="30">
        <f>IF($N2385="","",IF(INDEX(LdBNote,$N2385)="","—",INDEX(LdBNote,$N2385)))</f>
        <v/>
      </c>
      <c r="N2385">
        <f>IFERROR(MATCH($C$5&amp;"|"&amp;RIGHT("000000"&amp;365,6),LdBKeyG,0),"")</f>
        <v/>
      </c>
    </row>
    <row r="2386">
      <c r="A2386" s="19" t="n">
        <v>366</v>
      </c>
      <c r="B2386" s="20">
        <f>IF($N2386="","",INDEX(LdBDate,$N2386))</f>
        <v/>
      </c>
      <c r="C2386" s="20">
        <f>IF($N2386="","",IF(INDEX(LdBId,$N2386)="","—",INDEX(LdBId,$N2386)))</f>
        <v/>
      </c>
      <c r="D2386" s="20">
        <f>IF($N2386="","",INDEX(LdBMember,$N2386))</f>
        <v/>
      </c>
      <c r="E2386" s="20">
        <f>IF($N2386="","",IFERROR(IF(VLOOKUP(INDEX(LdBMember,$N2386),AcctTblE,4,0)="","(بدون نام)",VLOOKUP(INDEX(LdBMember,$N2386),AcctTblE,4,0)),"—"))</f>
        <v/>
      </c>
      <c r="F2386" s="21">
        <f>IF($N2386="","",IF(INDEX(LdBAmt,$N2386)=0,"",INDEX(LdBAmt,$N2386)))</f>
        <v/>
      </c>
      <c r="G2386" s="32">
        <f>IF($N2386="","",IF(INDEX(LdBNote,$N2386)="","—",INDEX(LdBNote,$N2386)))</f>
        <v/>
      </c>
      <c r="N2386">
        <f>IFERROR(MATCH($C$5&amp;"|"&amp;RIGHT("000000"&amp;366,6),LdBKeyG,0),"")</f>
        <v/>
      </c>
    </row>
    <row r="2387">
      <c r="A2387" s="10" t="n">
        <v>367</v>
      </c>
      <c r="B2387" s="14">
        <f>IF($N2387="","",INDEX(LdBDate,$N2387))</f>
        <v/>
      </c>
      <c r="C2387" s="14">
        <f>IF($N2387="","",IF(INDEX(LdBId,$N2387)="","—",INDEX(LdBId,$N2387)))</f>
        <v/>
      </c>
      <c r="D2387" s="14">
        <f>IF($N2387="","",INDEX(LdBMember,$N2387))</f>
        <v/>
      </c>
      <c r="E2387" s="14">
        <f>IF($N2387="","",IFERROR(IF(VLOOKUP(INDEX(LdBMember,$N2387),AcctTblE,4,0)="","(بدون نام)",VLOOKUP(INDEX(LdBMember,$N2387),AcctTblE,4,0)),"—"))</f>
        <v/>
      </c>
      <c r="F2387" s="16">
        <f>IF($N2387="","",IF(INDEX(LdBAmt,$N2387)=0,"",INDEX(LdBAmt,$N2387)))</f>
        <v/>
      </c>
      <c r="G2387" s="30">
        <f>IF($N2387="","",IF(INDEX(LdBNote,$N2387)="","—",INDEX(LdBNote,$N2387)))</f>
        <v/>
      </c>
      <c r="N2387">
        <f>IFERROR(MATCH($C$5&amp;"|"&amp;RIGHT("000000"&amp;367,6),LdBKeyG,0),"")</f>
        <v/>
      </c>
    </row>
    <row r="2388">
      <c r="A2388" s="19" t="n">
        <v>368</v>
      </c>
      <c r="B2388" s="20">
        <f>IF($N2388="","",INDEX(LdBDate,$N2388))</f>
        <v/>
      </c>
      <c r="C2388" s="20">
        <f>IF($N2388="","",IF(INDEX(LdBId,$N2388)="","—",INDEX(LdBId,$N2388)))</f>
        <v/>
      </c>
      <c r="D2388" s="20">
        <f>IF($N2388="","",INDEX(LdBMember,$N2388))</f>
        <v/>
      </c>
      <c r="E2388" s="20">
        <f>IF($N2388="","",IFERROR(IF(VLOOKUP(INDEX(LdBMember,$N2388),AcctTblE,4,0)="","(بدون نام)",VLOOKUP(INDEX(LdBMember,$N2388),AcctTblE,4,0)),"—"))</f>
        <v/>
      </c>
      <c r="F2388" s="21">
        <f>IF($N2388="","",IF(INDEX(LdBAmt,$N2388)=0,"",INDEX(LdBAmt,$N2388)))</f>
        <v/>
      </c>
      <c r="G2388" s="32">
        <f>IF($N2388="","",IF(INDEX(LdBNote,$N2388)="","—",INDEX(LdBNote,$N2388)))</f>
        <v/>
      </c>
      <c r="N2388">
        <f>IFERROR(MATCH($C$5&amp;"|"&amp;RIGHT("000000"&amp;368,6),LdBKeyG,0),"")</f>
        <v/>
      </c>
    </row>
    <row r="2389">
      <c r="A2389" s="10" t="n">
        <v>369</v>
      </c>
      <c r="B2389" s="14">
        <f>IF($N2389="","",INDEX(LdBDate,$N2389))</f>
        <v/>
      </c>
      <c r="C2389" s="14">
        <f>IF($N2389="","",IF(INDEX(LdBId,$N2389)="","—",INDEX(LdBId,$N2389)))</f>
        <v/>
      </c>
      <c r="D2389" s="14">
        <f>IF($N2389="","",INDEX(LdBMember,$N2389))</f>
        <v/>
      </c>
      <c r="E2389" s="14">
        <f>IF($N2389="","",IFERROR(IF(VLOOKUP(INDEX(LdBMember,$N2389),AcctTblE,4,0)="","(بدون نام)",VLOOKUP(INDEX(LdBMember,$N2389),AcctTblE,4,0)),"—"))</f>
        <v/>
      </c>
      <c r="F2389" s="16">
        <f>IF($N2389="","",IF(INDEX(LdBAmt,$N2389)=0,"",INDEX(LdBAmt,$N2389)))</f>
        <v/>
      </c>
      <c r="G2389" s="30">
        <f>IF($N2389="","",IF(INDEX(LdBNote,$N2389)="","—",INDEX(LdBNote,$N2389)))</f>
        <v/>
      </c>
      <c r="N2389">
        <f>IFERROR(MATCH($C$5&amp;"|"&amp;RIGHT("000000"&amp;369,6),LdBKeyG,0),"")</f>
        <v/>
      </c>
    </row>
    <row r="2390">
      <c r="A2390" s="19" t="n">
        <v>370</v>
      </c>
      <c r="B2390" s="20">
        <f>IF($N2390="","",INDEX(LdBDate,$N2390))</f>
        <v/>
      </c>
      <c r="C2390" s="20">
        <f>IF($N2390="","",IF(INDEX(LdBId,$N2390)="","—",INDEX(LdBId,$N2390)))</f>
        <v/>
      </c>
      <c r="D2390" s="20">
        <f>IF($N2390="","",INDEX(LdBMember,$N2390))</f>
        <v/>
      </c>
      <c r="E2390" s="20">
        <f>IF($N2390="","",IFERROR(IF(VLOOKUP(INDEX(LdBMember,$N2390),AcctTblE,4,0)="","(بدون نام)",VLOOKUP(INDEX(LdBMember,$N2390),AcctTblE,4,0)),"—"))</f>
        <v/>
      </c>
      <c r="F2390" s="21">
        <f>IF($N2390="","",IF(INDEX(LdBAmt,$N2390)=0,"",INDEX(LdBAmt,$N2390)))</f>
        <v/>
      </c>
      <c r="G2390" s="32">
        <f>IF($N2390="","",IF(INDEX(LdBNote,$N2390)="","—",INDEX(LdBNote,$N2390)))</f>
        <v/>
      </c>
      <c r="N2390">
        <f>IFERROR(MATCH($C$5&amp;"|"&amp;RIGHT("000000"&amp;370,6),LdBKeyG,0),"")</f>
        <v/>
      </c>
    </row>
    <row r="2391">
      <c r="A2391" s="10" t="n">
        <v>371</v>
      </c>
      <c r="B2391" s="14">
        <f>IF($N2391="","",INDEX(LdBDate,$N2391))</f>
        <v/>
      </c>
      <c r="C2391" s="14">
        <f>IF($N2391="","",IF(INDEX(LdBId,$N2391)="","—",INDEX(LdBId,$N2391)))</f>
        <v/>
      </c>
      <c r="D2391" s="14">
        <f>IF($N2391="","",INDEX(LdBMember,$N2391))</f>
        <v/>
      </c>
      <c r="E2391" s="14">
        <f>IF($N2391="","",IFERROR(IF(VLOOKUP(INDEX(LdBMember,$N2391),AcctTblE,4,0)="","(بدون نام)",VLOOKUP(INDEX(LdBMember,$N2391),AcctTblE,4,0)),"—"))</f>
        <v/>
      </c>
      <c r="F2391" s="16">
        <f>IF($N2391="","",IF(INDEX(LdBAmt,$N2391)=0,"",INDEX(LdBAmt,$N2391)))</f>
        <v/>
      </c>
      <c r="G2391" s="30">
        <f>IF($N2391="","",IF(INDEX(LdBNote,$N2391)="","—",INDEX(LdBNote,$N2391)))</f>
        <v/>
      </c>
      <c r="N2391">
        <f>IFERROR(MATCH($C$5&amp;"|"&amp;RIGHT("000000"&amp;371,6),LdBKeyG,0),"")</f>
        <v/>
      </c>
    </row>
    <row r="2392">
      <c r="A2392" s="19" t="n">
        <v>372</v>
      </c>
      <c r="B2392" s="20">
        <f>IF($N2392="","",INDEX(LdBDate,$N2392))</f>
        <v/>
      </c>
      <c r="C2392" s="20">
        <f>IF($N2392="","",IF(INDEX(LdBId,$N2392)="","—",INDEX(LdBId,$N2392)))</f>
        <v/>
      </c>
      <c r="D2392" s="20">
        <f>IF($N2392="","",INDEX(LdBMember,$N2392))</f>
        <v/>
      </c>
      <c r="E2392" s="20">
        <f>IF($N2392="","",IFERROR(IF(VLOOKUP(INDEX(LdBMember,$N2392),AcctTblE,4,0)="","(بدون نام)",VLOOKUP(INDEX(LdBMember,$N2392),AcctTblE,4,0)),"—"))</f>
        <v/>
      </c>
      <c r="F2392" s="21">
        <f>IF($N2392="","",IF(INDEX(LdBAmt,$N2392)=0,"",INDEX(LdBAmt,$N2392)))</f>
        <v/>
      </c>
      <c r="G2392" s="32">
        <f>IF($N2392="","",IF(INDEX(LdBNote,$N2392)="","—",INDEX(LdBNote,$N2392)))</f>
        <v/>
      </c>
      <c r="N2392">
        <f>IFERROR(MATCH($C$5&amp;"|"&amp;RIGHT("000000"&amp;372,6),LdBKeyG,0),"")</f>
        <v/>
      </c>
    </row>
    <row r="2393">
      <c r="A2393" s="10" t="n">
        <v>373</v>
      </c>
      <c r="B2393" s="14">
        <f>IF($N2393="","",INDEX(LdBDate,$N2393))</f>
        <v/>
      </c>
      <c r="C2393" s="14">
        <f>IF($N2393="","",IF(INDEX(LdBId,$N2393)="","—",INDEX(LdBId,$N2393)))</f>
        <v/>
      </c>
      <c r="D2393" s="14">
        <f>IF($N2393="","",INDEX(LdBMember,$N2393))</f>
        <v/>
      </c>
      <c r="E2393" s="14">
        <f>IF($N2393="","",IFERROR(IF(VLOOKUP(INDEX(LdBMember,$N2393),AcctTblE,4,0)="","(بدون نام)",VLOOKUP(INDEX(LdBMember,$N2393),AcctTblE,4,0)),"—"))</f>
        <v/>
      </c>
      <c r="F2393" s="16">
        <f>IF($N2393="","",IF(INDEX(LdBAmt,$N2393)=0,"",INDEX(LdBAmt,$N2393)))</f>
        <v/>
      </c>
      <c r="G2393" s="30">
        <f>IF($N2393="","",IF(INDEX(LdBNote,$N2393)="","—",INDEX(LdBNote,$N2393)))</f>
        <v/>
      </c>
      <c r="N2393">
        <f>IFERROR(MATCH($C$5&amp;"|"&amp;RIGHT("000000"&amp;373,6),LdBKeyG,0),"")</f>
        <v/>
      </c>
    </row>
    <row r="2394">
      <c r="A2394" s="19" t="n">
        <v>374</v>
      </c>
      <c r="B2394" s="20">
        <f>IF($N2394="","",INDEX(LdBDate,$N2394))</f>
        <v/>
      </c>
      <c r="C2394" s="20">
        <f>IF($N2394="","",IF(INDEX(LdBId,$N2394)="","—",INDEX(LdBId,$N2394)))</f>
        <v/>
      </c>
      <c r="D2394" s="20">
        <f>IF($N2394="","",INDEX(LdBMember,$N2394))</f>
        <v/>
      </c>
      <c r="E2394" s="20">
        <f>IF($N2394="","",IFERROR(IF(VLOOKUP(INDEX(LdBMember,$N2394),AcctTblE,4,0)="","(بدون نام)",VLOOKUP(INDEX(LdBMember,$N2394),AcctTblE,4,0)),"—"))</f>
        <v/>
      </c>
      <c r="F2394" s="21">
        <f>IF($N2394="","",IF(INDEX(LdBAmt,$N2394)=0,"",INDEX(LdBAmt,$N2394)))</f>
        <v/>
      </c>
      <c r="G2394" s="32">
        <f>IF($N2394="","",IF(INDEX(LdBNote,$N2394)="","—",INDEX(LdBNote,$N2394)))</f>
        <v/>
      </c>
      <c r="N2394">
        <f>IFERROR(MATCH($C$5&amp;"|"&amp;RIGHT("000000"&amp;374,6),LdBKeyG,0),"")</f>
        <v/>
      </c>
    </row>
    <row r="2395">
      <c r="A2395" s="10" t="n">
        <v>375</v>
      </c>
      <c r="B2395" s="14">
        <f>IF($N2395="","",INDEX(LdBDate,$N2395))</f>
        <v/>
      </c>
      <c r="C2395" s="14">
        <f>IF($N2395="","",IF(INDEX(LdBId,$N2395)="","—",INDEX(LdBId,$N2395)))</f>
        <v/>
      </c>
      <c r="D2395" s="14">
        <f>IF($N2395="","",INDEX(LdBMember,$N2395))</f>
        <v/>
      </c>
      <c r="E2395" s="14">
        <f>IF($N2395="","",IFERROR(IF(VLOOKUP(INDEX(LdBMember,$N2395),AcctTblE,4,0)="","(بدون نام)",VLOOKUP(INDEX(LdBMember,$N2395),AcctTblE,4,0)),"—"))</f>
        <v/>
      </c>
      <c r="F2395" s="16">
        <f>IF($N2395="","",IF(INDEX(LdBAmt,$N2395)=0,"",INDEX(LdBAmt,$N2395)))</f>
        <v/>
      </c>
      <c r="G2395" s="30">
        <f>IF($N2395="","",IF(INDEX(LdBNote,$N2395)="","—",INDEX(LdBNote,$N2395)))</f>
        <v/>
      </c>
      <c r="N2395">
        <f>IFERROR(MATCH($C$5&amp;"|"&amp;RIGHT("000000"&amp;375,6),LdBKeyG,0),"")</f>
        <v/>
      </c>
    </row>
    <row r="2396">
      <c r="A2396" s="19" t="n">
        <v>376</v>
      </c>
      <c r="B2396" s="20">
        <f>IF($N2396="","",INDEX(LdBDate,$N2396))</f>
        <v/>
      </c>
      <c r="C2396" s="20">
        <f>IF($N2396="","",IF(INDEX(LdBId,$N2396)="","—",INDEX(LdBId,$N2396)))</f>
        <v/>
      </c>
      <c r="D2396" s="20">
        <f>IF($N2396="","",INDEX(LdBMember,$N2396))</f>
        <v/>
      </c>
      <c r="E2396" s="20">
        <f>IF($N2396="","",IFERROR(IF(VLOOKUP(INDEX(LdBMember,$N2396),AcctTblE,4,0)="","(بدون نام)",VLOOKUP(INDEX(LdBMember,$N2396),AcctTblE,4,0)),"—"))</f>
        <v/>
      </c>
      <c r="F2396" s="21">
        <f>IF($N2396="","",IF(INDEX(LdBAmt,$N2396)=0,"",INDEX(LdBAmt,$N2396)))</f>
        <v/>
      </c>
      <c r="G2396" s="32">
        <f>IF($N2396="","",IF(INDEX(LdBNote,$N2396)="","—",INDEX(LdBNote,$N2396)))</f>
        <v/>
      </c>
      <c r="N2396">
        <f>IFERROR(MATCH($C$5&amp;"|"&amp;RIGHT("000000"&amp;376,6),LdBKeyG,0),"")</f>
        <v/>
      </c>
    </row>
    <row r="2397">
      <c r="A2397" s="10" t="n">
        <v>377</v>
      </c>
      <c r="B2397" s="14">
        <f>IF($N2397="","",INDEX(LdBDate,$N2397))</f>
        <v/>
      </c>
      <c r="C2397" s="14">
        <f>IF($N2397="","",IF(INDEX(LdBId,$N2397)="","—",INDEX(LdBId,$N2397)))</f>
        <v/>
      </c>
      <c r="D2397" s="14">
        <f>IF($N2397="","",INDEX(LdBMember,$N2397))</f>
        <v/>
      </c>
      <c r="E2397" s="14">
        <f>IF($N2397="","",IFERROR(IF(VLOOKUP(INDEX(LdBMember,$N2397),AcctTblE,4,0)="","(بدون نام)",VLOOKUP(INDEX(LdBMember,$N2397),AcctTblE,4,0)),"—"))</f>
        <v/>
      </c>
      <c r="F2397" s="16">
        <f>IF($N2397="","",IF(INDEX(LdBAmt,$N2397)=0,"",INDEX(LdBAmt,$N2397)))</f>
        <v/>
      </c>
      <c r="G2397" s="30">
        <f>IF($N2397="","",IF(INDEX(LdBNote,$N2397)="","—",INDEX(LdBNote,$N2397)))</f>
        <v/>
      </c>
      <c r="N2397">
        <f>IFERROR(MATCH($C$5&amp;"|"&amp;RIGHT("000000"&amp;377,6),LdBKeyG,0),"")</f>
        <v/>
      </c>
    </row>
    <row r="2398">
      <c r="A2398" s="19" t="n">
        <v>378</v>
      </c>
      <c r="B2398" s="20">
        <f>IF($N2398="","",INDEX(LdBDate,$N2398))</f>
        <v/>
      </c>
      <c r="C2398" s="20">
        <f>IF($N2398="","",IF(INDEX(LdBId,$N2398)="","—",INDEX(LdBId,$N2398)))</f>
        <v/>
      </c>
      <c r="D2398" s="20">
        <f>IF($N2398="","",INDEX(LdBMember,$N2398))</f>
        <v/>
      </c>
      <c r="E2398" s="20">
        <f>IF($N2398="","",IFERROR(IF(VLOOKUP(INDEX(LdBMember,$N2398),AcctTblE,4,0)="","(بدون نام)",VLOOKUP(INDEX(LdBMember,$N2398),AcctTblE,4,0)),"—"))</f>
        <v/>
      </c>
      <c r="F2398" s="21">
        <f>IF($N2398="","",IF(INDEX(LdBAmt,$N2398)=0,"",INDEX(LdBAmt,$N2398)))</f>
        <v/>
      </c>
      <c r="G2398" s="32">
        <f>IF($N2398="","",IF(INDEX(LdBNote,$N2398)="","—",INDEX(LdBNote,$N2398)))</f>
        <v/>
      </c>
      <c r="N2398">
        <f>IFERROR(MATCH($C$5&amp;"|"&amp;RIGHT("000000"&amp;378,6),LdBKeyG,0),"")</f>
        <v/>
      </c>
    </row>
    <row r="2399">
      <c r="A2399" s="10" t="n">
        <v>379</v>
      </c>
      <c r="B2399" s="14">
        <f>IF($N2399="","",INDEX(LdBDate,$N2399))</f>
        <v/>
      </c>
      <c r="C2399" s="14">
        <f>IF($N2399="","",IF(INDEX(LdBId,$N2399)="","—",INDEX(LdBId,$N2399)))</f>
        <v/>
      </c>
      <c r="D2399" s="14">
        <f>IF($N2399="","",INDEX(LdBMember,$N2399))</f>
        <v/>
      </c>
      <c r="E2399" s="14">
        <f>IF($N2399="","",IFERROR(IF(VLOOKUP(INDEX(LdBMember,$N2399),AcctTblE,4,0)="","(بدون نام)",VLOOKUP(INDEX(LdBMember,$N2399),AcctTblE,4,0)),"—"))</f>
        <v/>
      </c>
      <c r="F2399" s="16">
        <f>IF($N2399="","",IF(INDEX(LdBAmt,$N2399)=0,"",INDEX(LdBAmt,$N2399)))</f>
        <v/>
      </c>
      <c r="G2399" s="30">
        <f>IF($N2399="","",IF(INDEX(LdBNote,$N2399)="","—",INDEX(LdBNote,$N2399)))</f>
        <v/>
      </c>
      <c r="N2399">
        <f>IFERROR(MATCH($C$5&amp;"|"&amp;RIGHT("000000"&amp;379,6),LdBKeyG,0),"")</f>
        <v/>
      </c>
    </row>
    <row r="2400">
      <c r="A2400" s="19" t="n">
        <v>380</v>
      </c>
      <c r="B2400" s="20">
        <f>IF($N2400="","",INDEX(LdBDate,$N2400))</f>
        <v/>
      </c>
      <c r="C2400" s="20">
        <f>IF($N2400="","",IF(INDEX(LdBId,$N2400)="","—",INDEX(LdBId,$N2400)))</f>
        <v/>
      </c>
      <c r="D2400" s="20">
        <f>IF($N2400="","",INDEX(LdBMember,$N2400))</f>
        <v/>
      </c>
      <c r="E2400" s="20">
        <f>IF($N2400="","",IFERROR(IF(VLOOKUP(INDEX(LdBMember,$N2400),AcctTblE,4,0)="","(بدون نام)",VLOOKUP(INDEX(LdBMember,$N2400),AcctTblE,4,0)),"—"))</f>
        <v/>
      </c>
      <c r="F2400" s="21">
        <f>IF($N2400="","",IF(INDEX(LdBAmt,$N2400)=0,"",INDEX(LdBAmt,$N2400)))</f>
        <v/>
      </c>
      <c r="G2400" s="32">
        <f>IF($N2400="","",IF(INDEX(LdBNote,$N2400)="","—",INDEX(LdBNote,$N2400)))</f>
        <v/>
      </c>
      <c r="N2400">
        <f>IFERROR(MATCH($C$5&amp;"|"&amp;RIGHT("000000"&amp;380,6),LdBKeyG,0),"")</f>
        <v/>
      </c>
    </row>
    <row r="2401">
      <c r="A2401" s="10" t="n">
        <v>381</v>
      </c>
      <c r="B2401" s="14">
        <f>IF($N2401="","",INDEX(LdBDate,$N2401))</f>
        <v/>
      </c>
      <c r="C2401" s="14">
        <f>IF($N2401="","",IF(INDEX(LdBId,$N2401)="","—",INDEX(LdBId,$N2401)))</f>
        <v/>
      </c>
      <c r="D2401" s="14">
        <f>IF($N2401="","",INDEX(LdBMember,$N2401))</f>
        <v/>
      </c>
      <c r="E2401" s="14">
        <f>IF($N2401="","",IFERROR(IF(VLOOKUP(INDEX(LdBMember,$N2401),AcctTblE,4,0)="","(بدون نام)",VLOOKUP(INDEX(LdBMember,$N2401),AcctTblE,4,0)),"—"))</f>
        <v/>
      </c>
      <c r="F2401" s="16">
        <f>IF($N2401="","",IF(INDEX(LdBAmt,$N2401)=0,"",INDEX(LdBAmt,$N2401)))</f>
        <v/>
      </c>
      <c r="G2401" s="30">
        <f>IF($N2401="","",IF(INDEX(LdBNote,$N2401)="","—",INDEX(LdBNote,$N2401)))</f>
        <v/>
      </c>
      <c r="N2401">
        <f>IFERROR(MATCH($C$5&amp;"|"&amp;RIGHT("000000"&amp;381,6),LdBKeyG,0),"")</f>
        <v/>
      </c>
    </row>
    <row r="2402">
      <c r="A2402" s="19" t="n">
        <v>382</v>
      </c>
      <c r="B2402" s="20">
        <f>IF($N2402="","",INDEX(LdBDate,$N2402))</f>
        <v/>
      </c>
      <c r="C2402" s="20">
        <f>IF($N2402="","",IF(INDEX(LdBId,$N2402)="","—",INDEX(LdBId,$N2402)))</f>
        <v/>
      </c>
      <c r="D2402" s="20">
        <f>IF($N2402="","",INDEX(LdBMember,$N2402))</f>
        <v/>
      </c>
      <c r="E2402" s="20">
        <f>IF($N2402="","",IFERROR(IF(VLOOKUP(INDEX(LdBMember,$N2402),AcctTblE,4,0)="","(بدون نام)",VLOOKUP(INDEX(LdBMember,$N2402),AcctTblE,4,0)),"—"))</f>
        <v/>
      </c>
      <c r="F2402" s="21">
        <f>IF($N2402="","",IF(INDEX(LdBAmt,$N2402)=0,"",INDEX(LdBAmt,$N2402)))</f>
        <v/>
      </c>
      <c r="G2402" s="32">
        <f>IF($N2402="","",IF(INDEX(LdBNote,$N2402)="","—",INDEX(LdBNote,$N2402)))</f>
        <v/>
      </c>
      <c r="N2402">
        <f>IFERROR(MATCH($C$5&amp;"|"&amp;RIGHT("000000"&amp;382,6),LdBKeyG,0),"")</f>
        <v/>
      </c>
    </row>
    <row r="2403">
      <c r="A2403" s="10" t="n">
        <v>383</v>
      </c>
      <c r="B2403" s="14">
        <f>IF($N2403="","",INDEX(LdBDate,$N2403))</f>
        <v/>
      </c>
      <c r="C2403" s="14">
        <f>IF($N2403="","",IF(INDEX(LdBId,$N2403)="","—",INDEX(LdBId,$N2403)))</f>
        <v/>
      </c>
      <c r="D2403" s="14">
        <f>IF($N2403="","",INDEX(LdBMember,$N2403))</f>
        <v/>
      </c>
      <c r="E2403" s="14">
        <f>IF($N2403="","",IFERROR(IF(VLOOKUP(INDEX(LdBMember,$N2403),AcctTblE,4,0)="","(بدون نام)",VLOOKUP(INDEX(LdBMember,$N2403),AcctTblE,4,0)),"—"))</f>
        <v/>
      </c>
      <c r="F2403" s="16">
        <f>IF($N2403="","",IF(INDEX(LdBAmt,$N2403)=0,"",INDEX(LdBAmt,$N2403)))</f>
        <v/>
      </c>
      <c r="G2403" s="30">
        <f>IF($N2403="","",IF(INDEX(LdBNote,$N2403)="","—",INDEX(LdBNote,$N2403)))</f>
        <v/>
      </c>
      <c r="N2403">
        <f>IFERROR(MATCH($C$5&amp;"|"&amp;RIGHT("000000"&amp;383,6),LdBKeyG,0),"")</f>
        <v/>
      </c>
    </row>
    <row r="2404">
      <c r="A2404" s="19" t="n">
        <v>384</v>
      </c>
      <c r="B2404" s="20">
        <f>IF($N2404="","",INDEX(LdBDate,$N2404))</f>
        <v/>
      </c>
      <c r="C2404" s="20">
        <f>IF($N2404="","",IF(INDEX(LdBId,$N2404)="","—",INDEX(LdBId,$N2404)))</f>
        <v/>
      </c>
      <c r="D2404" s="20">
        <f>IF($N2404="","",INDEX(LdBMember,$N2404))</f>
        <v/>
      </c>
      <c r="E2404" s="20">
        <f>IF($N2404="","",IFERROR(IF(VLOOKUP(INDEX(LdBMember,$N2404),AcctTblE,4,0)="","(بدون نام)",VLOOKUP(INDEX(LdBMember,$N2404),AcctTblE,4,0)),"—"))</f>
        <v/>
      </c>
      <c r="F2404" s="21">
        <f>IF($N2404="","",IF(INDEX(LdBAmt,$N2404)=0,"",INDEX(LdBAmt,$N2404)))</f>
        <v/>
      </c>
      <c r="G2404" s="32">
        <f>IF($N2404="","",IF(INDEX(LdBNote,$N2404)="","—",INDEX(LdBNote,$N2404)))</f>
        <v/>
      </c>
      <c r="N2404">
        <f>IFERROR(MATCH($C$5&amp;"|"&amp;RIGHT("000000"&amp;384,6),LdBKeyG,0),"")</f>
        <v/>
      </c>
    </row>
    <row r="2405">
      <c r="A2405" s="10" t="n">
        <v>385</v>
      </c>
      <c r="B2405" s="14">
        <f>IF($N2405="","",INDEX(LdBDate,$N2405))</f>
        <v/>
      </c>
      <c r="C2405" s="14">
        <f>IF($N2405="","",IF(INDEX(LdBId,$N2405)="","—",INDEX(LdBId,$N2405)))</f>
        <v/>
      </c>
      <c r="D2405" s="14">
        <f>IF($N2405="","",INDEX(LdBMember,$N2405))</f>
        <v/>
      </c>
      <c r="E2405" s="14">
        <f>IF($N2405="","",IFERROR(IF(VLOOKUP(INDEX(LdBMember,$N2405),AcctTblE,4,0)="","(بدون نام)",VLOOKUP(INDEX(LdBMember,$N2405),AcctTblE,4,0)),"—"))</f>
        <v/>
      </c>
      <c r="F2405" s="16">
        <f>IF($N2405="","",IF(INDEX(LdBAmt,$N2405)=0,"",INDEX(LdBAmt,$N2405)))</f>
        <v/>
      </c>
      <c r="G2405" s="30">
        <f>IF($N2405="","",IF(INDEX(LdBNote,$N2405)="","—",INDEX(LdBNote,$N2405)))</f>
        <v/>
      </c>
      <c r="N2405">
        <f>IFERROR(MATCH($C$5&amp;"|"&amp;RIGHT("000000"&amp;385,6),LdBKeyG,0),"")</f>
        <v/>
      </c>
    </row>
    <row r="2406">
      <c r="A2406" s="19" t="n">
        <v>386</v>
      </c>
      <c r="B2406" s="20">
        <f>IF($N2406="","",INDEX(LdBDate,$N2406))</f>
        <v/>
      </c>
      <c r="C2406" s="20">
        <f>IF($N2406="","",IF(INDEX(LdBId,$N2406)="","—",INDEX(LdBId,$N2406)))</f>
        <v/>
      </c>
      <c r="D2406" s="20">
        <f>IF($N2406="","",INDEX(LdBMember,$N2406))</f>
        <v/>
      </c>
      <c r="E2406" s="20">
        <f>IF($N2406="","",IFERROR(IF(VLOOKUP(INDEX(LdBMember,$N2406),AcctTblE,4,0)="","(بدون نام)",VLOOKUP(INDEX(LdBMember,$N2406),AcctTblE,4,0)),"—"))</f>
        <v/>
      </c>
      <c r="F2406" s="21">
        <f>IF($N2406="","",IF(INDEX(LdBAmt,$N2406)=0,"",INDEX(LdBAmt,$N2406)))</f>
        <v/>
      </c>
      <c r="G2406" s="32">
        <f>IF($N2406="","",IF(INDEX(LdBNote,$N2406)="","—",INDEX(LdBNote,$N2406)))</f>
        <v/>
      </c>
      <c r="N2406">
        <f>IFERROR(MATCH($C$5&amp;"|"&amp;RIGHT("000000"&amp;386,6),LdBKeyG,0),"")</f>
        <v/>
      </c>
    </row>
    <row r="2407">
      <c r="A2407" s="10" t="n">
        <v>387</v>
      </c>
      <c r="B2407" s="14">
        <f>IF($N2407="","",INDEX(LdBDate,$N2407))</f>
        <v/>
      </c>
      <c r="C2407" s="14">
        <f>IF($N2407="","",IF(INDEX(LdBId,$N2407)="","—",INDEX(LdBId,$N2407)))</f>
        <v/>
      </c>
      <c r="D2407" s="14">
        <f>IF($N2407="","",INDEX(LdBMember,$N2407))</f>
        <v/>
      </c>
      <c r="E2407" s="14">
        <f>IF($N2407="","",IFERROR(IF(VLOOKUP(INDEX(LdBMember,$N2407),AcctTblE,4,0)="","(بدون نام)",VLOOKUP(INDEX(LdBMember,$N2407),AcctTblE,4,0)),"—"))</f>
        <v/>
      </c>
      <c r="F2407" s="16">
        <f>IF($N2407="","",IF(INDEX(LdBAmt,$N2407)=0,"",INDEX(LdBAmt,$N2407)))</f>
        <v/>
      </c>
      <c r="G2407" s="30">
        <f>IF($N2407="","",IF(INDEX(LdBNote,$N2407)="","—",INDEX(LdBNote,$N2407)))</f>
        <v/>
      </c>
      <c r="N2407">
        <f>IFERROR(MATCH($C$5&amp;"|"&amp;RIGHT("000000"&amp;387,6),LdBKeyG,0),"")</f>
        <v/>
      </c>
    </row>
    <row r="2408">
      <c r="A2408" s="19" t="n">
        <v>388</v>
      </c>
      <c r="B2408" s="20">
        <f>IF($N2408="","",INDEX(LdBDate,$N2408))</f>
        <v/>
      </c>
      <c r="C2408" s="20">
        <f>IF($N2408="","",IF(INDEX(LdBId,$N2408)="","—",INDEX(LdBId,$N2408)))</f>
        <v/>
      </c>
      <c r="D2408" s="20">
        <f>IF($N2408="","",INDEX(LdBMember,$N2408))</f>
        <v/>
      </c>
      <c r="E2408" s="20">
        <f>IF($N2408="","",IFERROR(IF(VLOOKUP(INDEX(LdBMember,$N2408),AcctTblE,4,0)="","(بدون نام)",VLOOKUP(INDEX(LdBMember,$N2408),AcctTblE,4,0)),"—"))</f>
        <v/>
      </c>
      <c r="F2408" s="21">
        <f>IF($N2408="","",IF(INDEX(LdBAmt,$N2408)=0,"",INDEX(LdBAmt,$N2408)))</f>
        <v/>
      </c>
      <c r="G2408" s="32">
        <f>IF($N2408="","",IF(INDEX(LdBNote,$N2408)="","—",INDEX(LdBNote,$N2408)))</f>
        <v/>
      </c>
      <c r="N2408">
        <f>IFERROR(MATCH($C$5&amp;"|"&amp;RIGHT("000000"&amp;388,6),LdBKeyG,0),"")</f>
        <v/>
      </c>
    </row>
    <row r="2409">
      <c r="A2409" s="10" t="n">
        <v>389</v>
      </c>
      <c r="B2409" s="14">
        <f>IF($N2409="","",INDEX(LdBDate,$N2409))</f>
        <v/>
      </c>
      <c r="C2409" s="14">
        <f>IF($N2409="","",IF(INDEX(LdBId,$N2409)="","—",INDEX(LdBId,$N2409)))</f>
        <v/>
      </c>
      <c r="D2409" s="14">
        <f>IF($N2409="","",INDEX(LdBMember,$N2409))</f>
        <v/>
      </c>
      <c r="E2409" s="14">
        <f>IF($N2409="","",IFERROR(IF(VLOOKUP(INDEX(LdBMember,$N2409),AcctTblE,4,0)="","(بدون نام)",VLOOKUP(INDEX(LdBMember,$N2409),AcctTblE,4,0)),"—"))</f>
        <v/>
      </c>
      <c r="F2409" s="16">
        <f>IF($N2409="","",IF(INDEX(LdBAmt,$N2409)=0,"",INDEX(LdBAmt,$N2409)))</f>
        <v/>
      </c>
      <c r="G2409" s="30">
        <f>IF($N2409="","",IF(INDEX(LdBNote,$N2409)="","—",INDEX(LdBNote,$N2409)))</f>
        <v/>
      </c>
      <c r="N2409">
        <f>IFERROR(MATCH($C$5&amp;"|"&amp;RIGHT("000000"&amp;389,6),LdBKeyG,0),"")</f>
        <v/>
      </c>
    </row>
    <row r="2410">
      <c r="A2410" s="19" t="n">
        <v>390</v>
      </c>
      <c r="B2410" s="20">
        <f>IF($N2410="","",INDEX(LdBDate,$N2410))</f>
        <v/>
      </c>
      <c r="C2410" s="20">
        <f>IF($N2410="","",IF(INDEX(LdBId,$N2410)="","—",INDEX(LdBId,$N2410)))</f>
        <v/>
      </c>
      <c r="D2410" s="20">
        <f>IF($N2410="","",INDEX(LdBMember,$N2410))</f>
        <v/>
      </c>
      <c r="E2410" s="20">
        <f>IF($N2410="","",IFERROR(IF(VLOOKUP(INDEX(LdBMember,$N2410),AcctTblE,4,0)="","(بدون نام)",VLOOKUP(INDEX(LdBMember,$N2410),AcctTblE,4,0)),"—"))</f>
        <v/>
      </c>
      <c r="F2410" s="21">
        <f>IF($N2410="","",IF(INDEX(LdBAmt,$N2410)=0,"",INDEX(LdBAmt,$N2410)))</f>
        <v/>
      </c>
      <c r="G2410" s="32">
        <f>IF($N2410="","",IF(INDEX(LdBNote,$N2410)="","—",INDEX(LdBNote,$N2410)))</f>
        <v/>
      </c>
      <c r="N2410">
        <f>IFERROR(MATCH($C$5&amp;"|"&amp;RIGHT("000000"&amp;390,6),LdBKeyG,0),"")</f>
        <v/>
      </c>
    </row>
    <row r="2411">
      <c r="A2411" s="10" t="n">
        <v>391</v>
      </c>
      <c r="B2411" s="14">
        <f>IF($N2411="","",INDEX(LdBDate,$N2411))</f>
        <v/>
      </c>
      <c r="C2411" s="14">
        <f>IF($N2411="","",IF(INDEX(LdBId,$N2411)="","—",INDEX(LdBId,$N2411)))</f>
        <v/>
      </c>
      <c r="D2411" s="14">
        <f>IF($N2411="","",INDEX(LdBMember,$N2411))</f>
        <v/>
      </c>
      <c r="E2411" s="14">
        <f>IF($N2411="","",IFERROR(IF(VLOOKUP(INDEX(LdBMember,$N2411),AcctTblE,4,0)="","(بدون نام)",VLOOKUP(INDEX(LdBMember,$N2411),AcctTblE,4,0)),"—"))</f>
        <v/>
      </c>
      <c r="F2411" s="16">
        <f>IF($N2411="","",IF(INDEX(LdBAmt,$N2411)=0,"",INDEX(LdBAmt,$N2411)))</f>
        <v/>
      </c>
      <c r="G2411" s="30">
        <f>IF($N2411="","",IF(INDEX(LdBNote,$N2411)="","—",INDEX(LdBNote,$N2411)))</f>
        <v/>
      </c>
      <c r="N2411">
        <f>IFERROR(MATCH($C$5&amp;"|"&amp;RIGHT("000000"&amp;391,6),LdBKeyG,0),"")</f>
        <v/>
      </c>
    </row>
    <row r="2412">
      <c r="A2412" s="19" t="n">
        <v>392</v>
      </c>
      <c r="B2412" s="20">
        <f>IF($N2412="","",INDEX(LdBDate,$N2412))</f>
        <v/>
      </c>
      <c r="C2412" s="20">
        <f>IF($N2412="","",IF(INDEX(LdBId,$N2412)="","—",INDEX(LdBId,$N2412)))</f>
        <v/>
      </c>
      <c r="D2412" s="20">
        <f>IF($N2412="","",INDEX(LdBMember,$N2412))</f>
        <v/>
      </c>
      <c r="E2412" s="20">
        <f>IF($N2412="","",IFERROR(IF(VLOOKUP(INDEX(LdBMember,$N2412),AcctTblE,4,0)="","(بدون نام)",VLOOKUP(INDEX(LdBMember,$N2412),AcctTblE,4,0)),"—"))</f>
        <v/>
      </c>
      <c r="F2412" s="21">
        <f>IF($N2412="","",IF(INDEX(LdBAmt,$N2412)=0,"",INDEX(LdBAmt,$N2412)))</f>
        <v/>
      </c>
      <c r="G2412" s="32">
        <f>IF($N2412="","",IF(INDEX(LdBNote,$N2412)="","—",INDEX(LdBNote,$N2412)))</f>
        <v/>
      </c>
      <c r="N2412">
        <f>IFERROR(MATCH($C$5&amp;"|"&amp;RIGHT("000000"&amp;392,6),LdBKeyG,0),"")</f>
        <v/>
      </c>
    </row>
    <row r="2413">
      <c r="A2413" s="10" t="n">
        <v>393</v>
      </c>
      <c r="B2413" s="14">
        <f>IF($N2413="","",INDEX(LdBDate,$N2413))</f>
        <v/>
      </c>
      <c r="C2413" s="14">
        <f>IF($N2413="","",IF(INDEX(LdBId,$N2413)="","—",INDEX(LdBId,$N2413)))</f>
        <v/>
      </c>
      <c r="D2413" s="14">
        <f>IF($N2413="","",INDEX(LdBMember,$N2413))</f>
        <v/>
      </c>
      <c r="E2413" s="14">
        <f>IF($N2413="","",IFERROR(IF(VLOOKUP(INDEX(LdBMember,$N2413),AcctTblE,4,0)="","(بدون نام)",VLOOKUP(INDEX(LdBMember,$N2413),AcctTblE,4,0)),"—"))</f>
        <v/>
      </c>
      <c r="F2413" s="16">
        <f>IF($N2413="","",IF(INDEX(LdBAmt,$N2413)=0,"",INDEX(LdBAmt,$N2413)))</f>
        <v/>
      </c>
      <c r="G2413" s="30">
        <f>IF($N2413="","",IF(INDEX(LdBNote,$N2413)="","—",INDEX(LdBNote,$N2413)))</f>
        <v/>
      </c>
      <c r="N2413">
        <f>IFERROR(MATCH($C$5&amp;"|"&amp;RIGHT("000000"&amp;393,6),LdBKeyG,0),"")</f>
        <v/>
      </c>
    </row>
    <row r="2414">
      <c r="A2414" s="19" t="n">
        <v>394</v>
      </c>
      <c r="B2414" s="20">
        <f>IF($N2414="","",INDEX(LdBDate,$N2414))</f>
        <v/>
      </c>
      <c r="C2414" s="20">
        <f>IF($N2414="","",IF(INDEX(LdBId,$N2414)="","—",INDEX(LdBId,$N2414)))</f>
        <v/>
      </c>
      <c r="D2414" s="20">
        <f>IF($N2414="","",INDEX(LdBMember,$N2414))</f>
        <v/>
      </c>
      <c r="E2414" s="20">
        <f>IF($N2414="","",IFERROR(IF(VLOOKUP(INDEX(LdBMember,$N2414),AcctTblE,4,0)="","(بدون نام)",VLOOKUP(INDEX(LdBMember,$N2414),AcctTblE,4,0)),"—"))</f>
        <v/>
      </c>
      <c r="F2414" s="21">
        <f>IF($N2414="","",IF(INDEX(LdBAmt,$N2414)=0,"",INDEX(LdBAmt,$N2414)))</f>
        <v/>
      </c>
      <c r="G2414" s="32">
        <f>IF($N2414="","",IF(INDEX(LdBNote,$N2414)="","—",INDEX(LdBNote,$N2414)))</f>
        <v/>
      </c>
      <c r="N2414">
        <f>IFERROR(MATCH($C$5&amp;"|"&amp;RIGHT("000000"&amp;394,6),LdBKeyG,0),"")</f>
        <v/>
      </c>
    </row>
    <row r="2415">
      <c r="A2415" s="10" t="n">
        <v>395</v>
      </c>
      <c r="B2415" s="14">
        <f>IF($N2415="","",INDEX(LdBDate,$N2415))</f>
        <v/>
      </c>
      <c r="C2415" s="14">
        <f>IF($N2415="","",IF(INDEX(LdBId,$N2415)="","—",INDEX(LdBId,$N2415)))</f>
        <v/>
      </c>
      <c r="D2415" s="14">
        <f>IF($N2415="","",INDEX(LdBMember,$N2415))</f>
        <v/>
      </c>
      <c r="E2415" s="14">
        <f>IF($N2415="","",IFERROR(IF(VLOOKUP(INDEX(LdBMember,$N2415),AcctTblE,4,0)="","(بدون نام)",VLOOKUP(INDEX(LdBMember,$N2415),AcctTblE,4,0)),"—"))</f>
        <v/>
      </c>
      <c r="F2415" s="16">
        <f>IF($N2415="","",IF(INDEX(LdBAmt,$N2415)=0,"",INDEX(LdBAmt,$N2415)))</f>
        <v/>
      </c>
      <c r="G2415" s="30">
        <f>IF($N2415="","",IF(INDEX(LdBNote,$N2415)="","—",INDEX(LdBNote,$N2415)))</f>
        <v/>
      </c>
      <c r="N2415">
        <f>IFERROR(MATCH($C$5&amp;"|"&amp;RIGHT("000000"&amp;395,6),LdBKeyG,0),"")</f>
        <v/>
      </c>
    </row>
    <row r="2416">
      <c r="A2416" s="19" t="n">
        <v>396</v>
      </c>
      <c r="B2416" s="20">
        <f>IF($N2416="","",INDEX(LdBDate,$N2416))</f>
        <v/>
      </c>
      <c r="C2416" s="20">
        <f>IF($N2416="","",IF(INDEX(LdBId,$N2416)="","—",INDEX(LdBId,$N2416)))</f>
        <v/>
      </c>
      <c r="D2416" s="20">
        <f>IF($N2416="","",INDEX(LdBMember,$N2416))</f>
        <v/>
      </c>
      <c r="E2416" s="20">
        <f>IF($N2416="","",IFERROR(IF(VLOOKUP(INDEX(LdBMember,$N2416),AcctTblE,4,0)="","(بدون نام)",VLOOKUP(INDEX(LdBMember,$N2416),AcctTblE,4,0)),"—"))</f>
        <v/>
      </c>
      <c r="F2416" s="21">
        <f>IF($N2416="","",IF(INDEX(LdBAmt,$N2416)=0,"",INDEX(LdBAmt,$N2416)))</f>
        <v/>
      </c>
      <c r="G2416" s="32">
        <f>IF($N2416="","",IF(INDEX(LdBNote,$N2416)="","—",INDEX(LdBNote,$N2416)))</f>
        <v/>
      </c>
      <c r="N2416">
        <f>IFERROR(MATCH($C$5&amp;"|"&amp;RIGHT("000000"&amp;396,6),LdBKeyG,0),"")</f>
        <v/>
      </c>
    </row>
    <row r="2417">
      <c r="A2417" s="10" t="n">
        <v>397</v>
      </c>
      <c r="B2417" s="14">
        <f>IF($N2417="","",INDEX(LdBDate,$N2417))</f>
        <v/>
      </c>
      <c r="C2417" s="14">
        <f>IF($N2417="","",IF(INDEX(LdBId,$N2417)="","—",INDEX(LdBId,$N2417)))</f>
        <v/>
      </c>
      <c r="D2417" s="14">
        <f>IF($N2417="","",INDEX(LdBMember,$N2417))</f>
        <v/>
      </c>
      <c r="E2417" s="14">
        <f>IF($N2417="","",IFERROR(IF(VLOOKUP(INDEX(LdBMember,$N2417),AcctTblE,4,0)="","(بدون نام)",VLOOKUP(INDEX(LdBMember,$N2417),AcctTblE,4,0)),"—"))</f>
        <v/>
      </c>
      <c r="F2417" s="16">
        <f>IF($N2417="","",IF(INDEX(LdBAmt,$N2417)=0,"",INDEX(LdBAmt,$N2417)))</f>
        <v/>
      </c>
      <c r="G2417" s="30">
        <f>IF($N2417="","",IF(INDEX(LdBNote,$N2417)="","—",INDEX(LdBNote,$N2417)))</f>
        <v/>
      </c>
      <c r="N2417">
        <f>IFERROR(MATCH($C$5&amp;"|"&amp;RIGHT("000000"&amp;397,6),LdBKeyG,0),"")</f>
        <v/>
      </c>
    </row>
    <row r="2418">
      <c r="A2418" s="19" t="n">
        <v>398</v>
      </c>
      <c r="B2418" s="20">
        <f>IF($N2418="","",INDEX(LdBDate,$N2418))</f>
        <v/>
      </c>
      <c r="C2418" s="20">
        <f>IF($N2418="","",IF(INDEX(LdBId,$N2418)="","—",INDEX(LdBId,$N2418)))</f>
        <v/>
      </c>
      <c r="D2418" s="20">
        <f>IF($N2418="","",INDEX(LdBMember,$N2418))</f>
        <v/>
      </c>
      <c r="E2418" s="20">
        <f>IF($N2418="","",IFERROR(IF(VLOOKUP(INDEX(LdBMember,$N2418),AcctTblE,4,0)="","(بدون نام)",VLOOKUP(INDEX(LdBMember,$N2418),AcctTblE,4,0)),"—"))</f>
        <v/>
      </c>
      <c r="F2418" s="21">
        <f>IF($N2418="","",IF(INDEX(LdBAmt,$N2418)=0,"",INDEX(LdBAmt,$N2418)))</f>
        <v/>
      </c>
      <c r="G2418" s="32">
        <f>IF($N2418="","",IF(INDEX(LdBNote,$N2418)="","—",INDEX(LdBNote,$N2418)))</f>
        <v/>
      </c>
      <c r="N2418">
        <f>IFERROR(MATCH($C$5&amp;"|"&amp;RIGHT("000000"&amp;398,6),LdBKeyG,0),"")</f>
        <v/>
      </c>
    </row>
    <row r="2419">
      <c r="A2419" s="10" t="n">
        <v>399</v>
      </c>
      <c r="B2419" s="14">
        <f>IF($N2419="","",INDEX(LdBDate,$N2419))</f>
        <v/>
      </c>
      <c r="C2419" s="14">
        <f>IF($N2419="","",IF(INDEX(LdBId,$N2419)="","—",INDEX(LdBId,$N2419)))</f>
        <v/>
      </c>
      <c r="D2419" s="14">
        <f>IF($N2419="","",INDEX(LdBMember,$N2419))</f>
        <v/>
      </c>
      <c r="E2419" s="14">
        <f>IF($N2419="","",IFERROR(IF(VLOOKUP(INDEX(LdBMember,$N2419),AcctTblE,4,0)="","(بدون نام)",VLOOKUP(INDEX(LdBMember,$N2419),AcctTblE,4,0)),"—"))</f>
        <v/>
      </c>
      <c r="F2419" s="16">
        <f>IF($N2419="","",IF(INDEX(LdBAmt,$N2419)=0,"",INDEX(LdBAmt,$N2419)))</f>
        <v/>
      </c>
      <c r="G2419" s="30">
        <f>IF($N2419="","",IF(INDEX(LdBNote,$N2419)="","—",INDEX(LdBNote,$N2419)))</f>
        <v/>
      </c>
      <c r="N2419">
        <f>IFERROR(MATCH($C$5&amp;"|"&amp;RIGHT("000000"&amp;399,6),LdBKeyG,0),"")</f>
        <v/>
      </c>
    </row>
    <row r="2420">
      <c r="A2420" s="19" t="n">
        <v>400</v>
      </c>
      <c r="B2420" s="20">
        <f>IF($N2420="","",INDEX(LdBDate,$N2420))</f>
        <v/>
      </c>
      <c r="C2420" s="20">
        <f>IF($N2420="","",IF(INDEX(LdBId,$N2420)="","—",INDEX(LdBId,$N2420)))</f>
        <v/>
      </c>
      <c r="D2420" s="20">
        <f>IF($N2420="","",INDEX(LdBMember,$N2420))</f>
        <v/>
      </c>
      <c r="E2420" s="20">
        <f>IF($N2420="","",IFERROR(IF(VLOOKUP(INDEX(LdBMember,$N2420),AcctTblE,4,0)="","(بدون نام)",VLOOKUP(INDEX(LdBMember,$N2420),AcctTblE,4,0)),"—"))</f>
        <v/>
      </c>
      <c r="F2420" s="21">
        <f>IF($N2420="","",IF(INDEX(LdBAmt,$N2420)=0,"",INDEX(LdBAmt,$N2420)))</f>
        <v/>
      </c>
      <c r="G2420" s="32">
        <f>IF($N2420="","",IF(INDEX(LdBNote,$N2420)="","—",INDEX(LdBNote,$N2420)))</f>
        <v/>
      </c>
      <c r="N2420">
        <f>IFERROR(MATCH($C$5&amp;"|"&amp;RIGHT("000000"&amp;400,6),LdBKeyG,0),"")</f>
        <v/>
      </c>
    </row>
    <row r="2421">
      <c r="A2421" s="10" t="n">
        <v>401</v>
      </c>
      <c r="B2421" s="14">
        <f>IF($N2421="","",INDEX(LdBDate,$N2421))</f>
        <v/>
      </c>
      <c r="C2421" s="14">
        <f>IF($N2421="","",IF(INDEX(LdBId,$N2421)="","—",INDEX(LdBId,$N2421)))</f>
        <v/>
      </c>
      <c r="D2421" s="14">
        <f>IF($N2421="","",INDEX(LdBMember,$N2421))</f>
        <v/>
      </c>
      <c r="E2421" s="14">
        <f>IF($N2421="","",IFERROR(IF(VLOOKUP(INDEX(LdBMember,$N2421),AcctTblE,4,0)="","(بدون نام)",VLOOKUP(INDEX(LdBMember,$N2421),AcctTblE,4,0)),"—"))</f>
        <v/>
      </c>
      <c r="F2421" s="16">
        <f>IF($N2421="","",IF(INDEX(LdBAmt,$N2421)=0,"",INDEX(LdBAmt,$N2421)))</f>
        <v/>
      </c>
      <c r="G2421" s="30">
        <f>IF($N2421="","",IF(INDEX(LdBNote,$N2421)="","—",INDEX(LdBNote,$N2421)))</f>
        <v/>
      </c>
      <c r="N2421">
        <f>IFERROR(MATCH($C$5&amp;"|"&amp;RIGHT("000000"&amp;401,6),LdBKeyG,0),"")</f>
        <v/>
      </c>
    </row>
    <row r="2422">
      <c r="A2422" s="19" t="n">
        <v>402</v>
      </c>
      <c r="B2422" s="20">
        <f>IF($N2422="","",INDEX(LdBDate,$N2422))</f>
        <v/>
      </c>
      <c r="C2422" s="20">
        <f>IF($N2422="","",IF(INDEX(LdBId,$N2422)="","—",INDEX(LdBId,$N2422)))</f>
        <v/>
      </c>
      <c r="D2422" s="20">
        <f>IF($N2422="","",INDEX(LdBMember,$N2422))</f>
        <v/>
      </c>
      <c r="E2422" s="20">
        <f>IF($N2422="","",IFERROR(IF(VLOOKUP(INDEX(LdBMember,$N2422),AcctTblE,4,0)="","(بدون نام)",VLOOKUP(INDEX(LdBMember,$N2422),AcctTblE,4,0)),"—"))</f>
        <v/>
      </c>
      <c r="F2422" s="21">
        <f>IF($N2422="","",IF(INDEX(LdBAmt,$N2422)=0,"",INDEX(LdBAmt,$N2422)))</f>
        <v/>
      </c>
      <c r="G2422" s="32">
        <f>IF($N2422="","",IF(INDEX(LdBNote,$N2422)="","—",INDEX(LdBNote,$N2422)))</f>
        <v/>
      </c>
      <c r="N2422">
        <f>IFERROR(MATCH($C$5&amp;"|"&amp;RIGHT("000000"&amp;402,6),LdBKeyG,0),"")</f>
        <v/>
      </c>
    </row>
    <row r="2423">
      <c r="A2423" s="10" t="n">
        <v>403</v>
      </c>
      <c r="B2423" s="14">
        <f>IF($N2423="","",INDEX(LdBDate,$N2423))</f>
        <v/>
      </c>
      <c r="C2423" s="14">
        <f>IF($N2423="","",IF(INDEX(LdBId,$N2423)="","—",INDEX(LdBId,$N2423)))</f>
        <v/>
      </c>
      <c r="D2423" s="14">
        <f>IF($N2423="","",INDEX(LdBMember,$N2423))</f>
        <v/>
      </c>
      <c r="E2423" s="14">
        <f>IF($N2423="","",IFERROR(IF(VLOOKUP(INDEX(LdBMember,$N2423),AcctTblE,4,0)="","(بدون نام)",VLOOKUP(INDEX(LdBMember,$N2423),AcctTblE,4,0)),"—"))</f>
        <v/>
      </c>
      <c r="F2423" s="16">
        <f>IF($N2423="","",IF(INDEX(LdBAmt,$N2423)=0,"",INDEX(LdBAmt,$N2423)))</f>
        <v/>
      </c>
      <c r="G2423" s="30">
        <f>IF($N2423="","",IF(INDEX(LdBNote,$N2423)="","—",INDEX(LdBNote,$N2423)))</f>
        <v/>
      </c>
      <c r="N2423">
        <f>IFERROR(MATCH($C$5&amp;"|"&amp;RIGHT("000000"&amp;403,6),LdBKeyG,0),"")</f>
        <v/>
      </c>
    </row>
    <row r="2424">
      <c r="A2424" s="19" t="n">
        <v>404</v>
      </c>
      <c r="B2424" s="20">
        <f>IF($N2424="","",INDEX(LdBDate,$N2424))</f>
        <v/>
      </c>
      <c r="C2424" s="20">
        <f>IF($N2424="","",IF(INDEX(LdBId,$N2424)="","—",INDEX(LdBId,$N2424)))</f>
        <v/>
      </c>
      <c r="D2424" s="20">
        <f>IF($N2424="","",INDEX(LdBMember,$N2424))</f>
        <v/>
      </c>
      <c r="E2424" s="20">
        <f>IF($N2424="","",IFERROR(IF(VLOOKUP(INDEX(LdBMember,$N2424),AcctTblE,4,0)="","(بدون نام)",VLOOKUP(INDEX(LdBMember,$N2424),AcctTblE,4,0)),"—"))</f>
        <v/>
      </c>
      <c r="F2424" s="21">
        <f>IF($N2424="","",IF(INDEX(LdBAmt,$N2424)=0,"",INDEX(LdBAmt,$N2424)))</f>
        <v/>
      </c>
      <c r="G2424" s="32">
        <f>IF($N2424="","",IF(INDEX(LdBNote,$N2424)="","—",INDEX(LdBNote,$N2424)))</f>
        <v/>
      </c>
      <c r="N2424">
        <f>IFERROR(MATCH($C$5&amp;"|"&amp;RIGHT("000000"&amp;404,6),LdBKeyG,0),"")</f>
        <v/>
      </c>
    </row>
    <row r="2425">
      <c r="A2425" s="10" t="n">
        <v>405</v>
      </c>
      <c r="B2425" s="14">
        <f>IF($N2425="","",INDEX(LdBDate,$N2425))</f>
        <v/>
      </c>
      <c r="C2425" s="14">
        <f>IF($N2425="","",IF(INDEX(LdBId,$N2425)="","—",INDEX(LdBId,$N2425)))</f>
        <v/>
      </c>
      <c r="D2425" s="14">
        <f>IF($N2425="","",INDEX(LdBMember,$N2425))</f>
        <v/>
      </c>
      <c r="E2425" s="14">
        <f>IF($N2425="","",IFERROR(IF(VLOOKUP(INDEX(LdBMember,$N2425),AcctTblE,4,0)="","(بدون نام)",VLOOKUP(INDEX(LdBMember,$N2425),AcctTblE,4,0)),"—"))</f>
        <v/>
      </c>
      <c r="F2425" s="16">
        <f>IF($N2425="","",IF(INDEX(LdBAmt,$N2425)=0,"",INDEX(LdBAmt,$N2425)))</f>
        <v/>
      </c>
      <c r="G2425" s="30">
        <f>IF($N2425="","",IF(INDEX(LdBNote,$N2425)="","—",INDEX(LdBNote,$N2425)))</f>
        <v/>
      </c>
      <c r="N2425">
        <f>IFERROR(MATCH($C$5&amp;"|"&amp;RIGHT("000000"&amp;405,6),LdBKeyG,0),"")</f>
        <v/>
      </c>
    </row>
    <row r="2426">
      <c r="A2426" s="19" t="n">
        <v>406</v>
      </c>
      <c r="B2426" s="20">
        <f>IF($N2426="","",INDEX(LdBDate,$N2426))</f>
        <v/>
      </c>
      <c r="C2426" s="20">
        <f>IF($N2426="","",IF(INDEX(LdBId,$N2426)="","—",INDEX(LdBId,$N2426)))</f>
        <v/>
      </c>
      <c r="D2426" s="20">
        <f>IF($N2426="","",INDEX(LdBMember,$N2426))</f>
        <v/>
      </c>
      <c r="E2426" s="20">
        <f>IF($N2426="","",IFERROR(IF(VLOOKUP(INDEX(LdBMember,$N2426),AcctTblE,4,0)="","(بدون نام)",VLOOKUP(INDEX(LdBMember,$N2426),AcctTblE,4,0)),"—"))</f>
        <v/>
      </c>
      <c r="F2426" s="21">
        <f>IF($N2426="","",IF(INDEX(LdBAmt,$N2426)=0,"",INDEX(LdBAmt,$N2426)))</f>
        <v/>
      </c>
      <c r="G2426" s="32">
        <f>IF($N2426="","",IF(INDEX(LdBNote,$N2426)="","—",INDEX(LdBNote,$N2426)))</f>
        <v/>
      </c>
      <c r="N2426">
        <f>IFERROR(MATCH($C$5&amp;"|"&amp;RIGHT("000000"&amp;406,6),LdBKeyG,0),"")</f>
        <v/>
      </c>
    </row>
    <row r="2427">
      <c r="A2427" s="10" t="n">
        <v>407</v>
      </c>
      <c r="B2427" s="14">
        <f>IF($N2427="","",INDEX(LdBDate,$N2427))</f>
        <v/>
      </c>
      <c r="C2427" s="14">
        <f>IF($N2427="","",IF(INDEX(LdBId,$N2427)="","—",INDEX(LdBId,$N2427)))</f>
        <v/>
      </c>
      <c r="D2427" s="14">
        <f>IF($N2427="","",INDEX(LdBMember,$N2427))</f>
        <v/>
      </c>
      <c r="E2427" s="14">
        <f>IF($N2427="","",IFERROR(IF(VLOOKUP(INDEX(LdBMember,$N2427),AcctTblE,4,0)="","(بدون نام)",VLOOKUP(INDEX(LdBMember,$N2427),AcctTblE,4,0)),"—"))</f>
        <v/>
      </c>
      <c r="F2427" s="16">
        <f>IF($N2427="","",IF(INDEX(LdBAmt,$N2427)=0,"",INDEX(LdBAmt,$N2427)))</f>
        <v/>
      </c>
      <c r="G2427" s="30">
        <f>IF($N2427="","",IF(INDEX(LdBNote,$N2427)="","—",INDEX(LdBNote,$N2427)))</f>
        <v/>
      </c>
      <c r="N2427">
        <f>IFERROR(MATCH($C$5&amp;"|"&amp;RIGHT("000000"&amp;407,6),LdBKeyG,0),"")</f>
        <v/>
      </c>
    </row>
    <row r="2428">
      <c r="A2428" s="19" t="n">
        <v>408</v>
      </c>
      <c r="B2428" s="20">
        <f>IF($N2428="","",INDEX(LdBDate,$N2428))</f>
        <v/>
      </c>
      <c r="C2428" s="20">
        <f>IF($N2428="","",IF(INDEX(LdBId,$N2428)="","—",INDEX(LdBId,$N2428)))</f>
        <v/>
      </c>
      <c r="D2428" s="20">
        <f>IF($N2428="","",INDEX(LdBMember,$N2428))</f>
        <v/>
      </c>
      <c r="E2428" s="20">
        <f>IF($N2428="","",IFERROR(IF(VLOOKUP(INDEX(LdBMember,$N2428),AcctTblE,4,0)="","(بدون نام)",VLOOKUP(INDEX(LdBMember,$N2428),AcctTblE,4,0)),"—"))</f>
        <v/>
      </c>
      <c r="F2428" s="21">
        <f>IF($N2428="","",IF(INDEX(LdBAmt,$N2428)=0,"",INDEX(LdBAmt,$N2428)))</f>
        <v/>
      </c>
      <c r="G2428" s="32">
        <f>IF($N2428="","",IF(INDEX(LdBNote,$N2428)="","—",INDEX(LdBNote,$N2428)))</f>
        <v/>
      </c>
      <c r="N2428">
        <f>IFERROR(MATCH($C$5&amp;"|"&amp;RIGHT("000000"&amp;408,6),LdBKeyG,0),"")</f>
        <v/>
      </c>
    </row>
    <row r="2429">
      <c r="A2429" s="10" t="n">
        <v>409</v>
      </c>
      <c r="B2429" s="14">
        <f>IF($N2429="","",INDEX(LdBDate,$N2429))</f>
        <v/>
      </c>
      <c r="C2429" s="14">
        <f>IF($N2429="","",IF(INDEX(LdBId,$N2429)="","—",INDEX(LdBId,$N2429)))</f>
        <v/>
      </c>
      <c r="D2429" s="14">
        <f>IF($N2429="","",INDEX(LdBMember,$N2429))</f>
        <v/>
      </c>
      <c r="E2429" s="14">
        <f>IF($N2429="","",IFERROR(IF(VLOOKUP(INDEX(LdBMember,$N2429),AcctTblE,4,0)="","(بدون نام)",VLOOKUP(INDEX(LdBMember,$N2429),AcctTblE,4,0)),"—"))</f>
        <v/>
      </c>
      <c r="F2429" s="16">
        <f>IF($N2429="","",IF(INDEX(LdBAmt,$N2429)=0,"",INDEX(LdBAmt,$N2429)))</f>
        <v/>
      </c>
      <c r="G2429" s="30">
        <f>IF($N2429="","",IF(INDEX(LdBNote,$N2429)="","—",INDEX(LdBNote,$N2429)))</f>
        <v/>
      </c>
      <c r="N2429">
        <f>IFERROR(MATCH($C$5&amp;"|"&amp;RIGHT("000000"&amp;409,6),LdBKeyG,0),"")</f>
        <v/>
      </c>
    </row>
    <row r="2430">
      <c r="A2430" s="19" t="n">
        <v>410</v>
      </c>
      <c r="B2430" s="20">
        <f>IF($N2430="","",INDEX(LdBDate,$N2430))</f>
        <v/>
      </c>
      <c r="C2430" s="20">
        <f>IF($N2430="","",IF(INDEX(LdBId,$N2430)="","—",INDEX(LdBId,$N2430)))</f>
        <v/>
      </c>
      <c r="D2430" s="20">
        <f>IF($N2430="","",INDEX(LdBMember,$N2430))</f>
        <v/>
      </c>
      <c r="E2430" s="20">
        <f>IF($N2430="","",IFERROR(IF(VLOOKUP(INDEX(LdBMember,$N2430),AcctTblE,4,0)="","(بدون نام)",VLOOKUP(INDEX(LdBMember,$N2430),AcctTblE,4,0)),"—"))</f>
        <v/>
      </c>
      <c r="F2430" s="21">
        <f>IF($N2430="","",IF(INDEX(LdBAmt,$N2430)=0,"",INDEX(LdBAmt,$N2430)))</f>
        <v/>
      </c>
      <c r="G2430" s="32">
        <f>IF($N2430="","",IF(INDEX(LdBNote,$N2430)="","—",INDEX(LdBNote,$N2430)))</f>
        <v/>
      </c>
      <c r="N2430">
        <f>IFERROR(MATCH($C$5&amp;"|"&amp;RIGHT("000000"&amp;410,6),LdBKeyG,0),"")</f>
        <v/>
      </c>
    </row>
    <row r="2431">
      <c r="A2431" s="10" t="n">
        <v>411</v>
      </c>
      <c r="B2431" s="14">
        <f>IF($N2431="","",INDEX(LdBDate,$N2431))</f>
        <v/>
      </c>
      <c r="C2431" s="14">
        <f>IF($N2431="","",IF(INDEX(LdBId,$N2431)="","—",INDEX(LdBId,$N2431)))</f>
        <v/>
      </c>
      <c r="D2431" s="14">
        <f>IF($N2431="","",INDEX(LdBMember,$N2431))</f>
        <v/>
      </c>
      <c r="E2431" s="14">
        <f>IF($N2431="","",IFERROR(IF(VLOOKUP(INDEX(LdBMember,$N2431),AcctTblE,4,0)="","(بدون نام)",VLOOKUP(INDEX(LdBMember,$N2431),AcctTblE,4,0)),"—"))</f>
        <v/>
      </c>
      <c r="F2431" s="16">
        <f>IF($N2431="","",IF(INDEX(LdBAmt,$N2431)=0,"",INDEX(LdBAmt,$N2431)))</f>
        <v/>
      </c>
      <c r="G2431" s="30">
        <f>IF($N2431="","",IF(INDEX(LdBNote,$N2431)="","—",INDEX(LdBNote,$N2431)))</f>
        <v/>
      </c>
      <c r="N2431">
        <f>IFERROR(MATCH($C$5&amp;"|"&amp;RIGHT("000000"&amp;411,6),LdBKeyG,0),"")</f>
        <v/>
      </c>
    </row>
    <row r="2432">
      <c r="A2432" s="19" t="n">
        <v>412</v>
      </c>
      <c r="B2432" s="20">
        <f>IF($N2432="","",INDEX(LdBDate,$N2432))</f>
        <v/>
      </c>
      <c r="C2432" s="20">
        <f>IF($N2432="","",IF(INDEX(LdBId,$N2432)="","—",INDEX(LdBId,$N2432)))</f>
        <v/>
      </c>
      <c r="D2432" s="20">
        <f>IF($N2432="","",INDEX(LdBMember,$N2432))</f>
        <v/>
      </c>
      <c r="E2432" s="20">
        <f>IF($N2432="","",IFERROR(IF(VLOOKUP(INDEX(LdBMember,$N2432),AcctTblE,4,0)="","(بدون نام)",VLOOKUP(INDEX(LdBMember,$N2432),AcctTblE,4,0)),"—"))</f>
        <v/>
      </c>
      <c r="F2432" s="21">
        <f>IF($N2432="","",IF(INDEX(LdBAmt,$N2432)=0,"",INDEX(LdBAmt,$N2432)))</f>
        <v/>
      </c>
      <c r="G2432" s="32">
        <f>IF($N2432="","",IF(INDEX(LdBNote,$N2432)="","—",INDEX(LdBNote,$N2432)))</f>
        <v/>
      </c>
      <c r="N2432">
        <f>IFERROR(MATCH($C$5&amp;"|"&amp;RIGHT("000000"&amp;412,6),LdBKeyG,0),"")</f>
        <v/>
      </c>
    </row>
    <row r="2433">
      <c r="A2433" s="10" t="n">
        <v>413</v>
      </c>
      <c r="B2433" s="14">
        <f>IF($N2433="","",INDEX(LdBDate,$N2433))</f>
        <v/>
      </c>
      <c r="C2433" s="14">
        <f>IF($N2433="","",IF(INDEX(LdBId,$N2433)="","—",INDEX(LdBId,$N2433)))</f>
        <v/>
      </c>
      <c r="D2433" s="14">
        <f>IF($N2433="","",INDEX(LdBMember,$N2433))</f>
        <v/>
      </c>
      <c r="E2433" s="14">
        <f>IF($N2433="","",IFERROR(IF(VLOOKUP(INDEX(LdBMember,$N2433),AcctTblE,4,0)="","(بدون نام)",VLOOKUP(INDEX(LdBMember,$N2433),AcctTblE,4,0)),"—"))</f>
        <v/>
      </c>
      <c r="F2433" s="16">
        <f>IF($N2433="","",IF(INDEX(LdBAmt,$N2433)=0,"",INDEX(LdBAmt,$N2433)))</f>
        <v/>
      </c>
      <c r="G2433" s="30">
        <f>IF($N2433="","",IF(INDEX(LdBNote,$N2433)="","—",INDEX(LdBNote,$N2433)))</f>
        <v/>
      </c>
      <c r="N2433">
        <f>IFERROR(MATCH($C$5&amp;"|"&amp;RIGHT("000000"&amp;413,6),LdBKeyG,0),"")</f>
        <v/>
      </c>
    </row>
    <row r="2434">
      <c r="A2434" s="19" t="n">
        <v>414</v>
      </c>
      <c r="B2434" s="20">
        <f>IF($N2434="","",INDEX(LdBDate,$N2434))</f>
        <v/>
      </c>
      <c r="C2434" s="20">
        <f>IF($N2434="","",IF(INDEX(LdBId,$N2434)="","—",INDEX(LdBId,$N2434)))</f>
        <v/>
      </c>
      <c r="D2434" s="20">
        <f>IF($N2434="","",INDEX(LdBMember,$N2434))</f>
        <v/>
      </c>
      <c r="E2434" s="20">
        <f>IF($N2434="","",IFERROR(IF(VLOOKUP(INDEX(LdBMember,$N2434),AcctTblE,4,0)="","(بدون نام)",VLOOKUP(INDEX(LdBMember,$N2434),AcctTblE,4,0)),"—"))</f>
        <v/>
      </c>
      <c r="F2434" s="21">
        <f>IF($N2434="","",IF(INDEX(LdBAmt,$N2434)=0,"",INDEX(LdBAmt,$N2434)))</f>
        <v/>
      </c>
      <c r="G2434" s="32">
        <f>IF($N2434="","",IF(INDEX(LdBNote,$N2434)="","—",INDEX(LdBNote,$N2434)))</f>
        <v/>
      </c>
      <c r="N2434">
        <f>IFERROR(MATCH($C$5&amp;"|"&amp;RIGHT("000000"&amp;414,6),LdBKeyG,0),"")</f>
        <v/>
      </c>
    </row>
    <row r="2435">
      <c r="A2435" s="10" t="n">
        <v>415</v>
      </c>
      <c r="B2435" s="14">
        <f>IF($N2435="","",INDEX(LdBDate,$N2435))</f>
        <v/>
      </c>
      <c r="C2435" s="14">
        <f>IF($N2435="","",IF(INDEX(LdBId,$N2435)="","—",INDEX(LdBId,$N2435)))</f>
        <v/>
      </c>
      <c r="D2435" s="14">
        <f>IF($N2435="","",INDEX(LdBMember,$N2435))</f>
        <v/>
      </c>
      <c r="E2435" s="14">
        <f>IF($N2435="","",IFERROR(IF(VLOOKUP(INDEX(LdBMember,$N2435),AcctTblE,4,0)="","(بدون نام)",VLOOKUP(INDEX(LdBMember,$N2435),AcctTblE,4,0)),"—"))</f>
        <v/>
      </c>
      <c r="F2435" s="16">
        <f>IF($N2435="","",IF(INDEX(LdBAmt,$N2435)=0,"",INDEX(LdBAmt,$N2435)))</f>
        <v/>
      </c>
      <c r="G2435" s="30">
        <f>IF($N2435="","",IF(INDEX(LdBNote,$N2435)="","—",INDEX(LdBNote,$N2435)))</f>
        <v/>
      </c>
      <c r="N2435">
        <f>IFERROR(MATCH($C$5&amp;"|"&amp;RIGHT("000000"&amp;415,6),LdBKeyG,0),"")</f>
        <v/>
      </c>
    </row>
    <row r="2436">
      <c r="A2436" s="19" t="n">
        <v>416</v>
      </c>
      <c r="B2436" s="20">
        <f>IF($N2436="","",INDEX(LdBDate,$N2436))</f>
        <v/>
      </c>
      <c r="C2436" s="20">
        <f>IF($N2436="","",IF(INDEX(LdBId,$N2436)="","—",INDEX(LdBId,$N2436)))</f>
        <v/>
      </c>
      <c r="D2436" s="20">
        <f>IF($N2436="","",INDEX(LdBMember,$N2436))</f>
        <v/>
      </c>
      <c r="E2436" s="20">
        <f>IF($N2436="","",IFERROR(IF(VLOOKUP(INDEX(LdBMember,$N2436),AcctTblE,4,0)="","(بدون نام)",VLOOKUP(INDEX(LdBMember,$N2436),AcctTblE,4,0)),"—"))</f>
        <v/>
      </c>
      <c r="F2436" s="21">
        <f>IF($N2436="","",IF(INDEX(LdBAmt,$N2436)=0,"",INDEX(LdBAmt,$N2436)))</f>
        <v/>
      </c>
      <c r="G2436" s="32">
        <f>IF($N2436="","",IF(INDEX(LdBNote,$N2436)="","—",INDEX(LdBNote,$N2436)))</f>
        <v/>
      </c>
      <c r="N2436">
        <f>IFERROR(MATCH($C$5&amp;"|"&amp;RIGHT("000000"&amp;416,6),LdBKeyG,0),"")</f>
        <v/>
      </c>
    </row>
    <row r="2437">
      <c r="A2437" s="10" t="n">
        <v>417</v>
      </c>
      <c r="B2437" s="14">
        <f>IF($N2437="","",INDEX(LdBDate,$N2437))</f>
        <v/>
      </c>
      <c r="C2437" s="14">
        <f>IF($N2437="","",IF(INDEX(LdBId,$N2437)="","—",INDEX(LdBId,$N2437)))</f>
        <v/>
      </c>
      <c r="D2437" s="14">
        <f>IF($N2437="","",INDEX(LdBMember,$N2437))</f>
        <v/>
      </c>
      <c r="E2437" s="14">
        <f>IF($N2437="","",IFERROR(IF(VLOOKUP(INDEX(LdBMember,$N2437),AcctTblE,4,0)="","(بدون نام)",VLOOKUP(INDEX(LdBMember,$N2437),AcctTblE,4,0)),"—"))</f>
        <v/>
      </c>
      <c r="F2437" s="16">
        <f>IF($N2437="","",IF(INDEX(LdBAmt,$N2437)=0,"",INDEX(LdBAmt,$N2437)))</f>
        <v/>
      </c>
      <c r="G2437" s="30">
        <f>IF($N2437="","",IF(INDEX(LdBNote,$N2437)="","—",INDEX(LdBNote,$N2437)))</f>
        <v/>
      </c>
      <c r="N2437">
        <f>IFERROR(MATCH($C$5&amp;"|"&amp;RIGHT("000000"&amp;417,6),LdBKeyG,0),"")</f>
        <v/>
      </c>
    </row>
    <row r="2438">
      <c r="A2438" s="19" t="n">
        <v>418</v>
      </c>
      <c r="B2438" s="20">
        <f>IF($N2438="","",INDEX(LdBDate,$N2438))</f>
        <v/>
      </c>
      <c r="C2438" s="20">
        <f>IF($N2438="","",IF(INDEX(LdBId,$N2438)="","—",INDEX(LdBId,$N2438)))</f>
        <v/>
      </c>
      <c r="D2438" s="20">
        <f>IF($N2438="","",INDEX(LdBMember,$N2438))</f>
        <v/>
      </c>
      <c r="E2438" s="20">
        <f>IF($N2438="","",IFERROR(IF(VLOOKUP(INDEX(LdBMember,$N2438),AcctTblE,4,0)="","(بدون نام)",VLOOKUP(INDEX(LdBMember,$N2438),AcctTblE,4,0)),"—"))</f>
        <v/>
      </c>
      <c r="F2438" s="21">
        <f>IF($N2438="","",IF(INDEX(LdBAmt,$N2438)=0,"",INDEX(LdBAmt,$N2438)))</f>
        <v/>
      </c>
      <c r="G2438" s="32">
        <f>IF($N2438="","",IF(INDEX(LdBNote,$N2438)="","—",INDEX(LdBNote,$N2438)))</f>
        <v/>
      </c>
      <c r="N2438">
        <f>IFERROR(MATCH($C$5&amp;"|"&amp;RIGHT("000000"&amp;418,6),LdBKeyG,0),"")</f>
        <v/>
      </c>
    </row>
    <row r="2439">
      <c r="A2439" s="10" t="n">
        <v>419</v>
      </c>
      <c r="B2439" s="14">
        <f>IF($N2439="","",INDEX(LdBDate,$N2439))</f>
        <v/>
      </c>
      <c r="C2439" s="14">
        <f>IF($N2439="","",IF(INDEX(LdBId,$N2439)="","—",INDEX(LdBId,$N2439)))</f>
        <v/>
      </c>
      <c r="D2439" s="14">
        <f>IF($N2439="","",INDEX(LdBMember,$N2439))</f>
        <v/>
      </c>
      <c r="E2439" s="14">
        <f>IF($N2439="","",IFERROR(IF(VLOOKUP(INDEX(LdBMember,$N2439),AcctTblE,4,0)="","(بدون نام)",VLOOKUP(INDEX(LdBMember,$N2439),AcctTblE,4,0)),"—"))</f>
        <v/>
      </c>
      <c r="F2439" s="16">
        <f>IF($N2439="","",IF(INDEX(LdBAmt,$N2439)=0,"",INDEX(LdBAmt,$N2439)))</f>
        <v/>
      </c>
      <c r="G2439" s="30">
        <f>IF($N2439="","",IF(INDEX(LdBNote,$N2439)="","—",INDEX(LdBNote,$N2439)))</f>
        <v/>
      </c>
      <c r="N2439">
        <f>IFERROR(MATCH($C$5&amp;"|"&amp;RIGHT("000000"&amp;419,6),LdBKeyG,0),"")</f>
        <v/>
      </c>
    </row>
    <row r="2440">
      <c r="A2440" s="19" t="n">
        <v>420</v>
      </c>
      <c r="B2440" s="20">
        <f>IF($N2440="","",INDEX(LdBDate,$N2440))</f>
        <v/>
      </c>
      <c r="C2440" s="20">
        <f>IF($N2440="","",IF(INDEX(LdBId,$N2440)="","—",INDEX(LdBId,$N2440)))</f>
        <v/>
      </c>
      <c r="D2440" s="20">
        <f>IF($N2440="","",INDEX(LdBMember,$N2440))</f>
        <v/>
      </c>
      <c r="E2440" s="20">
        <f>IF($N2440="","",IFERROR(IF(VLOOKUP(INDEX(LdBMember,$N2440),AcctTblE,4,0)="","(بدون نام)",VLOOKUP(INDEX(LdBMember,$N2440),AcctTblE,4,0)),"—"))</f>
        <v/>
      </c>
      <c r="F2440" s="21">
        <f>IF($N2440="","",IF(INDEX(LdBAmt,$N2440)=0,"",INDEX(LdBAmt,$N2440)))</f>
        <v/>
      </c>
      <c r="G2440" s="32">
        <f>IF($N2440="","",IF(INDEX(LdBNote,$N2440)="","—",INDEX(LdBNote,$N2440)))</f>
        <v/>
      </c>
      <c r="N2440">
        <f>IFERROR(MATCH($C$5&amp;"|"&amp;RIGHT("000000"&amp;420,6),LdBKeyG,0),"")</f>
        <v/>
      </c>
    </row>
    <row r="2441">
      <c r="A2441" s="10" t="n">
        <v>421</v>
      </c>
      <c r="B2441" s="14">
        <f>IF($N2441="","",INDEX(LdBDate,$N2441))</f>
        <v/>
      </c>
      <c r="C2441" s="14">
        <f>IF($N2441="","",IF(INDEX(LdBId,$N2441)="","—",INDEX(LdBId,$N2441)))</f>
        <v/>
      </c>
      <c r="D2441" s="14">
        <f>IF($N2441="","",INDEX(LdBMember,$N2441))</f>
        <v/>
      </c>
      <c r="E2441" s="14">
        <f>IF($N2441="","",IFERROR(IF(VLOOKUP(INDEX(LdBMember,$N2441),AcctTblE,4,0)="","(بدون نام)",VLOOKUP(INDEX(LdBMember,$N2441),AcctTblE,4,0)),"—"))</f>
        <v/>
      </c>
      <c r="F2441" s="16">
        <f>IF($N2441="","",IF(INDEX(LdBAmt,$N2441)=0,"",INDEX(LdBAmt,$N2441)))</f>
        <v/>
      </c>
      <c r="G2441" s="30">
        <f>IF($N2441="","",IF(INDEX(LdBNote,$N2441)="","—",INDEX(LdBNote,$N2441)))</f>
        <v/>
      </c>
      <c r="N2441">
        <f>IFERROR(MATCH($C$5&amp;"|"&amp;RIGHT("000000"&amp;421,6),LdBKeyG,0),"")</f>
        <v/>
      </c>
    </row>
    <row r="2442">
      <c r="A2442" s="19" t="n">
        <v>422</v>
      </c>
      <c r="B2442" s="20">
        <f>IF($N2442="","",INDEX(LdBDate,$N2442))</f>
        <v/>
      </c>
      <c r="C2442" s="20">
        <f>IF($N2442="","",IF(INDEX(LdBId,$N2442)="","—",INDEX(LdBId,$N2442)))</f>
        <v/>
      </c>
      <c r="D2442" s="20">
        <f>IF($N2442="","",INDEX(LdBMember,$N2442))</f>
        <v/>
      </c>
      <c r="E2442" s="20">
        <f>IF($N2442="","",IFERROR(IF(VLOOKUP(INDEX(LdBMember,$N2442),AcctTblE,4,0)="","(بدون نام)",VLOOKUP(INDEX(LdBMember,$N2442),AcctTblE,4,0)),"—"))</f>
        <v/>
      </c>
      <c r="F2442" s="21">
        <f>IF($N2442="","",IF(INDEX(LdBAmt,$N2442)=0,"",INDEX(LdBAmt,$N2442)))</f>
        <v/>
      </c>
      <c r="G2442" s="32">
        <f>IF($N2442="","",IF(INDEX(LdBNote,$N2442)="","—",INDEX(LdBNote,$N2442)))</f>
        <v/>
      </c>
      <c r="N2442">
        <f>IFERROR(MATCH($C$5&amp;"|"&amp;RIGHT("000000"&amp;422,6),LdBKeyG,0),"")</f>
        <v/>
      </c>
    </row>
    <row r="2443">
      <c r="A2443" s="10" t="n">
        <v>423</v>
      </c>
      <c r="B2443" s="14">
        <f>IF($N2443="","",INDEX(LdBDate,$N2443))</f>
        <v/>
      </c>
      <c r="C2443" s="14">
        <f>IF($N2443="","",IF(INDEX(LdBId,$N2443)="","—",INDEX(LdBId,$N2443)))</f>
        <v/>
      </c>
      <c r="D2443" s="14">
        <f>IF($N2443="","",INDEX(LdBMember,$N2443))</f>
        <v/>
      </c>
      <c r="E2443" s="14">
        <f>IF($N2443="","",IFERROR(IF(VLOOKUP(INDEX(LdBMember,$N2443),AcctTblE,4,0)="","(بدون نام)",VLOOKUP(INDEX(LdBMember,$N2443),AcctTblE,4,0)),"—"))</f>
        <v/>
      </c>
      <c r="F2443" s="16">
        <f>IF($N2443="","",IF(INDEX(LdBAmt,$N2443)=0,"",INDEX(LdBAmt,$N2443)))</f>
        <v/>
      </c>
      <c r="G2443" s="30">
        <f>IF($N2443="","",IF(INDEX(LdBNote,$N2443)="","—",INDEX(LdBNote,$N2443)))</f>
        <v/>
      </c>
      <c r="N2443">
        <f>IFERROR(MATCH($C$5&amp;"|"&amp;RIGHT("000000"&amp;423,6),LdBKeyG,0),"")</f>
        <v/>
      </c>
    </row>
    <row r="2444">
      <c r="A2444" s="19" t="n">
        <v>424</v>
      </c>
      <c r="B2444" s="20">
        <f>IF($N2444="","",INDEX(LdBDate,$N2444))</f>
        <v/>
      </c>
      <c r="C2444" s="20">
        <f>IF($N2444="","",IF(INDEX(LdBId,$N2444)="","—",INDEX(LdBId,$N2444)))</f>
        <v/>
      </c>
      <c r="D2444" s="20">
        <f>IF($N2444="","",INDEX(LdBMember,$N2444))</f>
        <v/>
      </c>
      <c r="E2444" s="20">
        <f>IF($N2444="","",IFERROR(IF(VLOOKUP(INDEX(LdBMember,$N2444),AcctTblE,4,0)="","(بدون نام)",VLOOKUP(INDEX(LdBMember,$N2444),AcctTblE,4,0)),"—"))</f>
        <v/>
      </c>
      <c r="F2444" s="21">
        <f>IF($N2444="","",IF(INDEX(LdBAmt,$N2444)=0,"",INDEX(LdBAmt,$N2444)))</f>
        <v/>
      </c>
      <c r="G2444" s="32">
        <f>IF($N2444="","",IF(INDEX(LdBNote,$N2444)="","—",INDEX(LdBNote,$N2444)))</f>
        <v/>
      </c>
      <c r="N2444">
        <f>IFERROR(MATCH($C$5&amp;"|"&amp;RIGHT("000000"&amp;424,6),LdBKeyG,0),"")</f>
        <v/>
      </c>
    </row>
    <row r="2445">
      <c r="A2445" s="10" t="n">
        <v>425</v>
      </c>
      <c r="B2445" s="14">
        <f>IF($N2445="","",INDEX(LdBDate,$N2445))</f>
        <v/>
      </c>
      <c r="C2445" s="14">
        <f>IF($N2445="","",IF(INDEX(LdBId,$N2445)="","—",INDEX(LdBId,$N2445)))</f>
        <v/>
      </c>
      <c r="D2445" s="14">
        <f>IF($N2445="","",INDEX(LdBMember,$N2445))</f>
        <v/>
      </c>
      <c r="E2445" s="14">
        <f>IF($N2445="","",IFERROR(IF(VLOOKUP(INDEX(LdBMember,$N2445),AcctTblE,4,0)="","(بدون نام)",VLOOKUP(INDEX(LdBMember,$N2445),AcctTblE,4,0)),"—"))</f>
        <v/>
      </c>
      <c r="F2445" s="16">
        <f>IF($N2445="","",IF(INDEX(LdBAmt,$N2445)=0,"",INDEX(LdBAmt,$N2445)))</f>
        <v/>
      </c>
      <c r="G2445" s="30">
        <f>IF($N2445="","",IF(INDEX(LdBNote,$N2445)="","—",INDEX(LdBNote,$N2445)))</f>
        <v/>
      </c>
      <c r="N2445">
        <f>IFERROR(MATCH($C$5&amp;"|"&amp;RIGHT("000000"&amp;425,6),LdBKeyG,0),"")</f>
        <v/>
      </c>
    </row>
    <row r="2446">
      <c r="A2446" s="19" t="n">
        <v>426</v>
      </c>
      <c r="B2446" s="20">
        <f>IF($N2446="","",INDEX(LdBDate,$N2446))</f>
        <v/>
      </c>
      <c r="C2446" s="20">
        <f>IF($N2446="","",IF(INDEX(LdBId,$N2446)="","—",INDEX(LdBId,$N2446)))</f>
        <v/>
      </c>
      <c r="D2446" s="20">
        <f>IF($N2446="","",INDEX(LdBMember,$N2446))</f>
        <v/>
      </c>
      <c r="E2446" s="20">
        <f>IF($N2446="","",IFERROR(IF(VLOOKUP(INDEX(LdBMember,$N2446),AcctTblE,4,0)="","(بدون نام)",VLOOKUP(INDEX(LdBMember,$N2446),AcctTblE,4,0)),"—"))</f>
        <v/>
      </c>
      <c r="F2446" s="21">
        <f>IF($N2446="","",IF(INDEX(LdBAmt,$N2446)=0,"",INDEX(LdBAmt,$N2446)))</f>
        <v/>
      </c>
      <c r="G2446" s="32">
        <f>IF($N2446="","",IF(INDEX(LdBNote,$N2446)="","—",INDEX(LdBNote,$N2446)))</f>
        <v/>
      </c>
      <c r="N2446">
        <f>IFERROR(MATCH($C$5&amp;"|"&amp;RIGHT("000000"&amp;426,6),LdBKeyG,0),"")</f>
        <v/>
      </c>
    </row>
    <row r="2447">
      <c r="A2447" s="10" t="n">
        <v>427</v>
      </c>
      <c r="B2447" s="14">
        <f>IF($N2447="","",INDEX(LdBDate,$N2447))</f>
        <v/>
      </c>
      <c r="C2447" s="14">
        <f>IF($N2447="","",IF(INDEX(LdBId,$N2447)="","—",INDEX(LdBId,$N2447)))</f>
        <v/>
      </c>
      <c r="D2447" s="14">
        <f>IF($N2447="","",INDEX(LdBMember,$N2447))</f>
        <v/>
      </c>
      <c r="E2447" s="14">
        <f>IF($N2447="","",IFERROR(IF(VLOOKUP(INDEX(LdBMember,$N2447),AcctTblE,4,0)="","(بدون نام)",VLOOKUP(INDEX(LdBMember,$N2447),AcctTblE,4,0)),"—"))</f>
        <v/>
      </c>
      <c r="F2447" s="16">
        <f>IF($N2447="","",IF(INDEX(LdBAmt,$N2447)=0,"",INDEX(LdBAmt,$N2447)))</f>
        <v/>
      </c>
      <c r="G2447" s="30">
        <f>IF($N2447="","",IF(INDEX(LdBNote,$N2447)="","—",INDEX(LdBNote,$N2447)))</f>
        <v/>
      </c>
      <c r="N2447">
        <f>IFERROR(MATCH($C$5&amp;"|"&amp;RIGHT("000000"&amp;427,6),LdBKeyG,0),"")</f>
        <v/>
      </c>
    </row>
    <row r="2448">
      <c r="A2448" s="19" t="n">
        <v>428</v>
      </c>
      <c r="B2448" s="20">
        <f>IF($N2448="","",INDEX(LdBDate,$N2448))</f>
        <v/>
      </c>
      <c r="C2448" s="20">
        <f>IF($N2448="","",IF(INDEX(LdBId,$N2448)="","—",INDEX(LdBId,$N2448)))</f>
        <v/>
      </c>
      <c r="D2448" s="20">
        <f>IF($N2448="","",INDEX(LdBMember,$N2448))</f>
        <v/>
      </c>
      <c r="E2448" s="20">
        <f>IF($N2448="","",IFERROR(IF(VLOOKUP(INDEX(LdBMember,$N2448),AcctTblE,4,0)="","(بدون نام)",VLOOKUP(INDEX(LdBMember,$N2448),AcctTblE,4,0)),"—"))</f>
        <v/>
      </c>
      <c r="F2448" s="21">
        <f>IF($N2448="","",IF(INDEX(LdBAmt,$N2448)=0,"",INDEX(LdBAmt,$N2448)))</f>
        <v/>
      </c>
      <c r="G2448" s="32">
        <f>IF($N2448="","",IF(INDEX(LdBNote,$N2448)="","—",INDEX(LdBNote,$N2448)))</f>
        <v/>
      </c>
      <c r="N2448">
        <f>IFERROR(MATCH($C$5&amp;"|"&amp;RIGHT("000000"&amp;428,6),LdBKeyG,0),"")</f>
        <v/>
      </c>
    </row>
    <row r="2449">
      <c r="A2449" s="10" t="n">
        <v>429</v>
      </c>
      <c r="B2449" s="14">
        <f>IF($N2449="","",INDEX(LdBDate,$N2449))</f>
        <v/>
      </c>
      <c r="C2449" s="14">
        <f>IF($N2449="","",IF(INDEX(LdBId,$N2449)="","—",INDEX(LdBId,$N2449)))</f>
        <v/>
      </c>
      <c r="D2449" s="14">
        <f>IF($N2449="","",INDEX(LdBMember,$N2449))</f>
        <v/>
      </c>
      <c r="E2449" s="14">
        <f>IF($N2449="","",IFERROR(IF(VLOOKUP(INDEX(LdBMember,$N2449),AcctTblE,4,0)="","(بدون نام)",VLOOKUP(INDEX(LdBMember,$N2449),AcctTblE,4,0)),"—"))</f>
        <v/>
      </c>
      <c r="F2449" s="16">
        <f>IF($N2449="","",IF(INDEX(LdBAmt,$N2449)=0,"",INDEX(LdBAmt,$N2449)))</f>
        <v/>
      </c>
      <c r="G2449" s="30">
        <f>IF($N2449="","",IF(INDEX(LdBNote,$N2449)="","—",INDEX(LdBNote,$N2449)))</f>
        <v/>
      </c>
      <c r="N2449">
        <f>IFERROR(MATCH($C$5&amp;"|"&amp;RIGHT("000000"&amp;429,6),LdBKeyG,0),"")</f>
        <v/>
      </c>
    </row>
    <row r="2450">
      <c r="A2450" s="19" t="n">
        <v>430</v>
      </c>
      <c r="B2450" s="20">
        <f>IF($N2450="","",INDEX(LdBDate,$N2450))</f>
        <v/>
      </c>
      <c r="C2450" s="20">
        <f>IF($N2450="","",IF(INDEX(LdBId,$N2450)="","—",INDEX(LdBId,$N2450)))</f>
        <v/>
      </c>
      <c r="D2450" s="20">
        <f>IF($N2450="","",INDEX(LdBMember,$N2450))</f>
        <v/>
      </c>
      <c r="E2450" s="20">
        <f>IF($N2450="","",IFERROR(IF(VLOOKUP(INDEX(LdBMember,$N2450),AcctTblE,4,0)="","(بدون نام)",VLOOKUP(INDEX(LdBMember,$N2450),AcctTblE,4,0)),"—"))</f>
        <v/>
      </c>
      <c r="F2450" s="21">
        <f>IF($N2450="","",IF(INDEX(LdBAmt,$N2450)=0,"",INDEX(LdBAmt,$N2450)))</f>
        <v/>
      </c>
      <c r="G2450" s="32">
        <f>IF($N2450="","",IF(INDEX(LdBNote,$N2450)="","—",INDEX(LdBNote,$N2450)))</f>
        <v/>
      </c>
      <c r="N2450">
        <f>IFERROR(MATCH($C$5&amp;"|"&amp;RIGHT("000000"&amp;430,6),LdBKeyG,0),"")</f>
        <v/>
      </c>
    </row>
    <row r="2451">
      <c r="A2451" s="10" t="n">
        <v>431</v>
      </c>
      <c r="B2451" s="14">
        <f>IF($N2451="","",INDEX(LdBDate,$N2451))</f>
        <v/>
      </c>
      <c r="C2451" s="14">
        <f>IF($N2451="","",IF(INDEX(LdBId,$N2451)="","—",INDEX(LdBId,$N2451)))</f>
        <v/>
      </c>
      <c r="D2451" s="14">
        <f>IF($N2451="","",INDEX(LdBMember,$N2451))</f>
        <v/>
      </c>
      <c r="E2451" s="14">
        <f>IF($N2451="","",IFERROR(IF(VLOOKUP(INDEX(LdBMember,$N2451),AcctTblE,4,0)="","(بدون نام)",VLOOKUP(INDEX(LdBMember,$N2451),AcctTblE,4,0)),"—"))</f>
        <v/>
      </c>
      <c r="F2451" s="16">
        <f>IF($N2451="","",IF(INDEX(LdBAmt,$N2451)=0,"",INDEX(LdBAmt,$N2451)))</f>
        <v/>
      </c>
      <c r="G2451" s="30">
        <f>IF($N2451="","",IF(INDEX(LdBNote,$N2451)="","—",INDEX(LdBNote,$N2451)))</f>
        <v/>
      </c>
      <c r="N2451">
        <f>IFERROR(MATCH($C$5&amp;"|"&amp;RIGHT("000000"&amp;431,6),LdBKeyG,0),"")</f>
        <v/>
      </c>
    </row>
    <row r="2452">
      <c r="A2452" s="19" t="n">
        <v>432</v>
      </c>
      <c r="B2452" s="20">
        <f>IF($N2452="","",INDEX(LdBDate,$N2452))</f>
        <v/>
      </c>
      <c r="C2452" s="20">
        <f>IF($N2452="","",IF(INDEX(LdBId,$N2452)="","—",INDEX(LdBId,$N2452)))</f>
        <v/>
      </c>
      <c r="D2452" s="20">
        <f>IF($N2452="","",INDEX(LdBMember,$N2452))</f>
        <v/>
      </c>
      <c r="E2452" s="20">
        <f>IF($N2452="","",IFERROR(IF(VLOOKUP(INDEX(LdBMember,$N2452),AcctTblE,4,0)="","(بدون نام)",VLOOKUP(INDEX(LdBMember,$N2452),AcctTblE,4,0)),"—"))</f>
        <v/>
      </c>
      <c r="F2452" s="21">
        <f>IF($N2452="","",IF(INDEX(LdBAmt,$N2452)=0,"",INDEX(LdBAmt,$N2452)))</f>
        <v/>
      </c>
      <c r="G2452" s="32">
        <f>IF($N2452="","",IF(INDEX(LdBNote,$N2452)="","—",INDEX(LdBNote,$N2452)))</f>
        <v/>
      </c>
      <c r="N2452">
        <f>IFERROR(MATCH($C$5&amp;"|"&amp;RIGHT("000000"&amp;432,6),LdBKeyG,0),"")</f>
        <v/>
      </c>
    </row>
    <row r="2453">
      <c r="A2453" s="10" t="n">
        <v>433</v>
      </c>
      <c r="B2453" s="14">
        <f>IF($N2453="","",INDEX(LdBDate,$N2453))</f>
        <v/>
      </c>
      <c r="C2453" s="14">
        <f>IF($N2453="","",IF(INDEX(LdBId,$N2453)="","—",INDEX(LdBId,$N2453)))</f>
        <v/>
      </c>
      <c r="D2453" s="14">
        <f>IF($N2453="","",INDEX(LdBMember,$N2453))</f>
        <v/>
      </c>
      <c r="E2453" s="14">
        <f>IF($N2453="","",IFERROR(IF(VLOOKUP(INDEX(LdBMember,$N2453),AcctTblE,4,0)="","(بدون نام)",VLOOKUP(INDEX(LdBMember,$N2453),AcctTblE,4,0)),"—"))</f>
        <v/>
      </c>
      <c r="F2453" s="16">
        <f>IF($N2453="","",IF(INDEX(LdBAmt,$N2453)=0,"",INDEX(LdBAmt,$N2453)))</f>
        <v/>
      </c>
      <c r="G2453" s="30">
        <f>IF($N2453="","",IF(INDEX(LdBNote,$N2453)="","—",INDEX(LdBNote,$N2453)))</f>
        <v/>
      </c>
      <c r="N2453">
        <f>IFERROR(MATCH($C$5&amp;"|"&amp;RIGHT("000000"&amp;433,6),LdBKeyG,0),"")</f>
        <v/>
      </c>
    </row>
    <row r="2454">
      <c r="A2454" s="19" t="n">
        <v>434</v>
      </c>
      <c r="B2454" s="20">
        <f>IF($N2454="","",INDEX(LdBDate,$N2454))</f>
        <v/>
      </c>
      <c r="C2454" s="20">
        <f>IF($N2454="","",IF(INDEX(LdBId,$N2454)="","—",INDEX(LdBId,$N2454)))</f>
        <v/>
      </c>
      <c r="D2454" s="20">
        <f>IF($N2454="","",INDEX(LdBMember,$N2454))</f>
        <v/>
      </c>
      <c r="E2454" s="20">
        <f>IF($N2454="","",IFERROR(IF(VLOOKUP(INDEX(LdBMember,$N2454),AcctTblE,4,0)="","(بدون نام)",VLOOKUP(INDEX(LdBMember,$N2454),AcctTblE,4,0)),"—"))</f>
        <v/>
      </c>
      <c r="F2454" s="21">
        <f>IF($N2454="","",IF(INDEX(LdBAmt,$N2454)=0,"",INDEX(LdBAmt,$N2454)))</f>
        <v/>
      </c>
      <c r="G2454" s="32">
        <f>IF($N2454="","",IF(INDEX(LdBNote,$N2454)="","—",INDEX(LdBNote,$N2454)))</f>
        <v/>
      </c>
      <c r="N2454">
        <f>IFERROR(MATCH($C$5&amp;"|"&amp;RIGHT("000000"&amp;434,6),LdBKeyG,0),"")</f>
        <v/>
      </c>
    </row>
    <row r="2455">
      <c r="A2455" s="10" t="n">
        <v>435</v>
      </c>
      <c r="B2455" s="14">
        <f>IF($N2455="","",INDEX(LdBDate,$N2455))</f>
        <v/>
      </c>
      <c r="C2455" s="14">
        <f>IF($N2455="","",IF(INDEX(LdBId,$N2455)="","—",INDEX(LdBId,$N2455)))</f>
        <v/>
      </c>
      <c r="D2455" s="14">
        <f>IF($N2455="","",INDEX(LdBMember,$N2455))</f>
        <v/>
      </c>
      <c r="E2455" s="14">
        <f>IF($N2455="","",IFERROR(IF(VLOOKUP(INDEX(LdBMember,$N2455),AcctTblE,4,0)="","(بدون نام)",VLOOKUP(INDEX(LdBMember,$N2455),AcctTblE,4,0)),"—"))</f>
        <v/>
      </c>
      <c r="F2455" s="16">
        <f>IF($N2455="","",IF(INDEX(LdBAmt,$N2455)=0,"",INDEX(LdBAmt,$N2455)))</f>
        <v/>
      </c>
      <c r="G2455" s="30">
        <f>IF($N2455="","",IF(INDEX(LdBNote,$N2455)="","—",INDEX(LdBNote,$N2455)))</f>
        <v/>
      </c>
      <c r="N2455">
        <f>IFERROR(MATCH($C$5&amp;"|"&amp;RIGHT("000000"&amp;435,6),LdBKeyG,0),"")</f>
        <v/>
      </c>
    </row>
    <row r="2456">
      <c r="A2456" s="19" t="n">
        <v>436</v>
      </c>
      <c r="B2456" s="20">
        <f>IF($N2456="","",INDEX(LdBDate,$N2456))</f>
        <v/>
      </c>
      <c r="C2456" s="20">
        <f>IF($N2456="","",IF(INDEX(LdBId,$N2456)="","—",INDEX(LdBId,$N2456)))</f>
        <v/>
      </c>
      <c r="D2456" s="20">
        <f>IF($N2456="","",INDEX(LdBMember,$N2456))</f>
        <v/>
      </c>
      <c r="E2456" s="20">
        <f>IF($N2456="","",IFERROR(IF(VLOOKUP(INDEX(LdBMember,$N2456),AcctTblE,4,0)="","(بدون نام)",VLOOKUP(INDEX(LdBMember,$N2456),AcctTblE,4,0)),"—"))</f>
        <v/>
      </c>
      <c r="F2456" s="21">
        <f>IF($N2456="","",IF(INDEX(LdBAmt,$N2456)=0,"",INDEX(LdBAmt,$N2456)))</f>
        <v/>
      </c>
      <c r="G2456" s="32">
        <f>IF($N2456="","",IF(INDEX(LdBNote,$N2456)="","—",INDEX(LdBNote,$N2456)))</f>
        <v/>
      </c>
      <c r="N2456">
        <f>IFERROR(MATCH($C$5&amp;"|"&amp;RIGHT("000000"&amp;436,6),LdBKeyG,0),"")</f>
        <v/>
      </c>
    </row>
    <row r="2457">
      <c r="A2457" s="10" t="n">
        <v>437</v>
      </c>
      <c r="B2457" s="14">
        <f>IF($N2457="","",INDEX(LdBDate,$N2457))</f>
        <v/>
      </c>
      <c r="C2457" s="14">
        <f>IF($N2457="","",IF(INDEX(LdBId,$N2457)="","—",INDEX(LdBId,$N2457)))</f>
        <v/>
      </c>
      <c r="D2457" s="14">
        <f>IF($N2457="","",INDEX(LdBMember,$N2457))</f>
        <v/>
      </c>
      <c r="E2457" s="14">
        <f>IF($N2457="","",IFERROR(IF(VLOOKUP(INDEX(LdBMember,$N2457),AcctTblE,4,0)="","(بدون نام)",VLOOKUP(INDEX(LdBMember,$N2457),AcctTblE,4,0)),"—"))</f>
        <v/>
      </c>
      <c r="F2457" s="16">
        <f>IF($N2457="","",IF(INDEX(LdBAmt,$N2457)=0,"",INDEX(LdBAmt,$N2457)))</f>
        <v/>
      </c>
      <c r="G2457" s="30">
        <f>IF($N2457="","",IF(INDEX(LdBNote,$N2457)="","—",INDEX(LdBNote,$N2457)))</f>
        <v/>
      </c>
      <c r="N2457">
        <f>IFERROR(MATCH($C$5&amp;"|"&amp;RIGHT("000000"&amp;437,6),LdBKeyG,0),"")</f>
        <v/>
      </c>
    </row>
    <row r="2458">
      <c r="A2458" s="19" t="n">
        <v>438</v>
      </c>
      <c r="B2458" s="20">
        <f>IF($N2458="","",INDEX(LdBDate,$N2458))</f>
        <v/>
      </c>
      <c r="C2458" s="20">
        <f>IF($N2458="","",IF(INDEX(LdBId,$N2458)="","—",INDEX(LdBId,$N2458)))</f>
        <v/>
      </c>
      <c r="D2458" s="20">
        <f>IF($N2458="","",INDEX(LdBMember,$N2458))</f>
        <v/>
      </c>
      <c r="E2458" s="20">
        <f>IF($N2458="","",IFERROR(IF(VLOOKUP(INDEX(LdBMember,$N2458),AcctTblE,4,0)="","(بدون نام)",VLOOKUP(INDEX(LdBMember,$N2458),AcctTblE,4,0)),"—"))</f>
        <v/>
      </c>
      <c r="F2458" s="21">
        <f>IF($N2458="","",IF(INDEX(LdBAmt,$N2458)=0,"",INDEX(LdBAmt,$N2458)))</f>
        <v/>
      </c>
      <c r="G2458" s="32">
        <f>IF($N2458="","",IF(INDEX(LdBNote,$N2458)="","—",INDEX(LdBNote,$N2458)))</f>
        <v/>
      </c>
      <c r="N2458">
        <f>IFERROR(MATCH($C$5&amp;"|"&amp;RIGHT("000000"&amp;438,6),LdBKeyG,0),"")</f>
        <v/>
      </c>
    </row>
    <row r="2459">
      <c r="A2459" s="10" t="n">
        <v>439</v>
      </c>
      <c r="B2459" s="14">
        <f>IF($N2459="","",INDEX(LdBDate,$N2459))</f>
        <v/>
      </c>
      <c r="C2459" s="14">
        <f>IF($N2459="","",IF(INDEX(LdBId,$N2459)="","—",INDEX(LdBId,$N2459)))</f>
        <v/>
      </c>
      <c r="D2459" s="14">
        <f>IF($N2459="","",INDEX(LdBMember,$N2459))</f>
        <v/>
      </c>
      <c r="E2459" s="14">
        <f>IF($N2459="","",IFERROR(IF(VLOOKUP(INDEX(LdBMember,$N2459),AcctTblE,4,0)="","(بدون نام)",VLOOKUP(INDEX(LdBMember,$N2459),AcctTblE,4,0)),"—"))</f>
        <v/>
      </c>
      <c r="F2459" s="16">
        <f>IF($N2459="","",IF(INDEX(LdBAmt,$N2459)=0,"",INDEX(LdBAmt,$N2459)))</f>
        <v/>
      </c>
      <c r="G2459" s="30">
        <f>IF($N2459="","",IF(INDEX(LdBNote,$N2459)="","—",INDEX(LdBNote,$N2459)))</f>
        <v/>
      </c>
      <c r="N2459">
        <f>IFERROR(MATCH($C$5&amp;"|"&amp;RIGHT("000000"&amp;439,6),LdBKeyG,0),"")</f>
        <v/>
      </c>
    </row>
    <row r="2460">
      <c r="A2460" s="19" t="n">
        <v>440</v>
      </c>
      <c r="B2460" s="20">
        <f>IF($N2460="","",INDEX(LdBDate,$N2460))</f>
        <v/>
      </c>
      <c r="C2460" s="20">
        <f>IF($N2460="","",IF(INDEX(LdBId,$N2460)="","—",INDEX(LdBId,$N2460)))</f>
        <v/>
      </c>
      <c r="D2460" s="20">
        <f>IF($N2460="","",INDEX(LdBMember,$N2460))</f>
        <v/>
      </c>
      <c r="E2460" s="20">
        <f>IF($N2460="","",IFERROR(IF(VLOOKUP(INDEX(LdBMember,$N2460),AcctTblE,4,0)="","(بدون نام)",VLOOKUP(INDEX(LdBMember,$N2460),AcctTblE,4,0)),"—"))</f>
        <v/>
      </c>
      <c r="F2460" s="21">
        <f>IF($N2460="","",IF(INDEX(LdBAmt,$N2460)=0,"",INDEX(LdBAmt,$N2460)))</f>
        <v/>
      </c>
      <c r="G2460" s="32">
        <f>IF($N2460="","",IF(INDEX(LdBNote,$N2460)="","—",INDEX(LdBNote,$N2460)))</f>
        <v/>
      </c>
      <c r="N2460">
        <f>IFERROR(MATCH($C$5&amp;"|"&amp;RIGHT("000000"&amp;440,6),LdBKeyG,0),"")</f>
        <v/>
      </c>
    </row>
    <row r="2461">
      <c r="A2461" s="10" t="n">
        <v>441</v>
      </c>
      <c r="B2461" s="14">
        <f>IF($N2461="","",INDEX(LdBDate,$N2461))</f>
        <v/>
      </c>
      <c r="C2461" s="14">
        <f>IF($N2461="","",IF(INDEX(LdBId,$N2461)="","—",INDEX(LdBId,$N2461)))</f>
        <v/>
      </c>
      <c r="D2461" s="14">
        <f>IF($N2461="","",INDEX(LdBMember,$N2461))</f>
        <v/>
      </c>
      <c r="E2461" s="14">
        <f>IF($N2461="","",IFERROR(IF(VLOOKUP(INDEX(LdBMember,$N2461),AcctTblE,4,0)="","(بدون نام)",VLOOKUP(INDEX(LdBMember,$N2461),AcctTblE,4,0)),"—"))</f>
        <v/>
      </c>
      <c r="F2461" s="16">
        <f>IF($N2461="","",IF(INDEX(LdBAmt,$N2461)=0,"",INDEX(LdBAmt,$N2461)))</f>
        <v/>
      </c>
      <c r="G2461" s="30">
        <f>IF($N2461="","",IF(INDEX(LdBNote,$N2461)="","—",INDEX(LdBNote,$N2461)))</f>
        <v/>
      </c>
      <c r="N2461">
        <f>IFERROR(MATCH($C$5&amp;"|"&amp;RIGHT("000000"&amp;441,6),LdBKeyG,0),"")</f>
        <v/>
      </c>
    </row>
    <row r="2462">
      <c r="A2462" s="19" t="n">
        <v>442</v>
      </c>
      <c r="B2462" s="20">
        <f>IF($N2462="","",INDEX(LdBDate,$N2462))</f>
        <v/>
      </c>
      <c r="C2462" s="20">
        <f>IF($N2462="","",IF(INDEX(LdBId,$N2462)="","—",INDEX(LdBId,$N2462)))</f>
        <v/>
      </c>
      <c r="D2462" s="20">
        <f>IF($N2462="","",INDEX(LdBMember,$N2462))</f>
        <v/>
      </c>
      <c r="E2462" s="20">
        <f>IF($N2462="","",IFERROR(IF(VLOOKUP(INDEX(LdBMember,$N2462),AcctTblE,4,0)="","(بدون نام)",VLOOKUP(INDEX(LdBMember,$N2462),AcctTblE,4,0)),"—"))</f>
        <v/>
      </c>
      <c r="F2462" s="21">
        <f>IF($N2462="","",IF(INDEX(LdBAmt,$N2462)=0,"",INDEX(LdBAmt,$N2462)))</f>
        <v/>
      </c>
      <c r="G2462" s="32">
        <f>IF($N2462="","",IF(INDEX(LdBNote,$N2462)="","—",INDEX(LdBNote,$N2462)))</f>
        <v/>
      </c>
      <c r="N2462">
        <f>IFERROR(MATCH($C$5&amp;"|"&amp;RIGHT("000000"&amp;442,6),LdBKeyG,0),"")</f>
        <v/>
      </c>
    </row>
    <row r="2463">
      <c r="A2463" s="10" t="n">
        <v>443</v>
      </c>
      <c r="B2463" s="14">
        <f>IF($N2463="","",INDEX(LdBDate,$N2463))</f>
        <v/>
      </c>
      <c r="C2463" s="14">
        <f>IF($N2463="","",IF(INDEX(LdBId,$N2463)="","—",INDEX(LdBId,$N2463)))</f>
        <v/>
      </c>
      <c r="D2463" s="14">
        <f>IF($N2463="","",INDEX(LdBMember,$N2463))</f>
        <v/>
      </c>
      <c r="E2463" s="14">
        <f>IF($N2463="","",IFERROR(IF(VLOOKUP(INDEX(LdBMember,$N2463),AcctTblE,4,0)="","(بدون نام)",VLOOKUP(INDEX(LdBMember,$N2463),AcctTblE,4,0)),"—"))</f>
        <v/>
      </c>
      <c r="F2463" s="16">
        <f>IF($N2463="","",IF(INDEX(LdBAmt,$N2463)=0,"",INDEX(LdBAmt,$N2463)))</f>
        <v/>
      </c>
      <c r="G2463" s="30">
        <f>IF($N2463="","",IF(INDEX(LdBNote,$N2463)="","—",INDEX(LdBNote,$N2463)))</f>
        <v/>
      </c>
      <c r="N2463">
        <f>IFERROR(MATCH($C$5&amp;"|"&amp;RIGHT("000000"&amp;443,6),LdBKeyG,0),"")</f>
        <v/>
      </c>
    </row>
    <row r="2464">
      <c r="A2464" s="19" t="n">
        <v>444</v>
      </c>
      <c r="B2464" s="20">
        <f>IF($N2464="","",INDEX(LdBDate,$N2464))</f>
        <v/>
      </c>
      <c r="C2464" s="20">
        <f>IF($N2464="","",IF(INDEX(LdBId,$N2464)="","—",INDEX(LdBId,$N2464)))</f>
        <v/>
      </c>
      <c r="D2464" s="20">
        <f>IF($N2464="","",INDEX(LdBMember,$N2464))</f>
        <v/>
      </c>
      <c r="E2464" s="20">
        <f>IF($N2464="","",IFERROR(IF(VLOOKUP(INDEX(LdBMember,$N2464),AcctTblE,4,0)="","(بدون نام)",VLOOKUP(INDEX(LdBMember,$N2464),AcctTblE,4,0)),"—"))</f>
        <v/>
      </c>
      <c r="F2464" s="21">
        <f>IF($N2464="","",IF(INDEX(LdBAmt,$N2464)=0,"",INDEX(LdBAmt,$N2464)))</f>
        <v/>
      </c>
      <c r="G2464" s="32">
        <f>IF($N2464="","",IF(INDEX(LdBNote,$N2464)="","—",INDEX(LdBNote,$N2464)))</f>
        <v/>
      </c>
      <c r="N2464">
        <f>IFERROR(MATCH($C$5&amp;"|"&amp;RIGHT("000000"&amp;444,6),LdBKeyG,0),"")</f>
        <v/>
      </c>
    </row>
    <row r="2465">
      <c r="A2465" s="10" t="n">
        <v>445</v>
      </c>
      <c r="B2465" s="14">
        <f>IF($N2465="","",INDEX(LdBDate,$N2465))</f>
        <v/>
      </c>
      <c r="C2465" s="14">
        <f>IF($N2465="","",IF(INDEX(LdBId,$N2465)="","—",INDEX(LdBId,$N2465)))</f>
        <v/>
      </c>
      <c r="D2465" s="14">
        <f>IF($N2465="","",INDEX(LdBMember,$N2465))</f>
        <v/>
      </c>
      <c r="E2465" s="14">
        <f>IF($N2465="","",IFERROR(IF(VLOOKUP(INDEX(LdBMember,$N2465),AcctTblE,4,0)="","(بدون نام)",VLOOKUP(INDEX(LdBMember,$N2465),AcctTblE,4,0)),"—"))</f>
        <v/>
      </c>
      <c r="F2465" s="16">
        <f>IF($N2465="","",IF(INDEX(LdBAmt,$N2465)=0,"",INDEX(LdBAmt,$N2465)))</f>
        <v/>
      </c>
      <c r="G2465" s="30">
        <f>IF($N2465="","",IF(INDEX(LdBNote,$N2465)="","—",INDEX(LdBNote,$N2465)))</f>
        <v/>
      </c>
      <c r="N2465">
        <f>IFERROR(MATCH($C$5&amp;"|"&amp;RIGHT("000000"&amp;445,6),LdBKeyG,0),"")</f>
        <v/>
      </c>
    </row>
    <row r="2466">
      <c r="A2466" s="19" t="n">
        <v>446</v>
      </c>
      <c r="B2466" s="20">
        <f>IF($N2466="","",INDEX(LdBDate,$N2466))</f>
        <v/>
      </c>
      <c r="C2466" s="20">
        <f>IF($N2466="","",IF(INDEX(LdBId,$N2466)="","—",INDEX(LdBId,$N2466)))</f>
        <v/>
      </c>
      <c r="D2466" s="20">
        <f>IF($N2466="","",INDEX(LdBMember,$N2466))</f>
        <v/>
      </c>
      <c r="E2466" s="20">
        <f>IF($N2466="","",IFERROR(IF(VLOOKUP(INDEX(LdBMember,$N2466),AcctTblE,4,0)="","(بدون نام)",VLOOKUP(INDEX(LdBMember,$N2466),AcctTblE,4,0)),"—"))</f>
        <v/>
      </c>
      <c r="F2466" s="21">
        <f>IF($N2466="","",IF(INDEX(LdBAmt,$N2466)=0,"",INDEX(LdBAmt,$N2466)))</f>
        <v/>
      </c>
      <c r="G2466" s="32">
        <f>IF($N2466="","",IF(INDEX(LdBNote,$N2466)="","—",INDEX(LdBNote,$N2466)))</f>
        <v/>
      </c>
      <c r="N2466">
        <f>IFERROR(MATCH($C$5&amp;"|"&amp;RIGHT("000000"&amp;446,6),LdBKeyG,0),"")</f>
        <v/>
      </c>
    </row>
    <row r="2467">
      <c r="A2467" s="10" t="n">
        <v>447</v>
      </c>
      <c r="B2467" s="14">
        <f>IF($N2467="","",INDEX(LdBDate,$N2467))</f>
        <v/>
      </c>
      <c r="C2467" s="14">
        <f>IF($N2467="","",IF(INDEX(LdBId,$N2467)="","—",INDEX(LdBId,$N2467)))</f>
        <v/>
      </c>
      <c r="D2467" s="14">
        <f>IF($N2467="","",INDEX(LdBMember,$N2467))</f>
        <v/>
      </c>
      <c r="E2467" s="14">
        <f>IF($N2467="","",IFERROR(IF(VLOOKUP(INDEX(LdBMember,$N2467),AcctTblE,4,0)="","(بدون نام)",VLOOKUP(INDEX(LdBMember,$N2467),AcctTblE,4,0)),"—"))</f>
        <v/>
      </c>
      <c r="F2467" s="16">
        <f>IF($N2467="","",IF(INDEX(LdBAmt,$N2467)=0,"",INDEX(LdBAmt,$N2467)))</f>
        <v/>
      </c>
      <c r="G2467" s="30">
        <f>IF($N2467="","",IF(INDEX(LdBNote,$N2467)="","—",INDEX(LdBNote,$N2467)))</f>
        <v/>
      </c>
      <c r="N2467">
        <f>IFERROR(MATCH($C$5&amp;"|"&amp;RIGHT("000000"&amp;447,6),LdBKeyG,0),"")</f>
        <v/>
      </c>
    </row>
    <row r="2468">
      <c r="A2468" s="19" t="n">
        <v>448</v>
      </c>
      <c r="B2468" s="20">
        <f>IF($N2468="","",INDEX(LdBDate,$N2468))</f>
        <v/>
      </c>
      <c r="C2468" s="20">
        <f>IF($N2468="","",IF(INDEX(LdBId,$N2468)="","—",INDEX(LdBId,$N2468)))</f>
        <v/>
      </c>
      <c r="D2468" s="20">
        <f>IF($N2468="","",INDEX(LdBMember,$N2468))</f>
        <v/>
      </c>
      <c r="E2468" s="20">
        <f>IF($N2468="","",IFERROR(IF(VLOOKUP(INDEX(LdBMember,$N2468),AcctTblE,4,0)="","(بدون نام)",VLOOKUP(INDEX(LdBMember,$N2468),AcctTblE,4,0)),"—"))</f>
        <v/>
      </c>
      <c r="F2468" s="21">
        <f>IF($N2468="","",IF(INDEX(LdBAmt,$N2468)=0,"",INDEX(LdBAmt,$N2468)))</f>
        <v/>
      </c>
      <c r="G2468" s="32">
        <f>IF($N2468="","",IF(INDEX(LdBNote,$N2468)="","—",INDEX(LdBNote,$N2468)))</f>
        <v/>
      </c>
      <c r="N2468">
        <f>IFERROR(MATCH($C$5&amp;"|"&amp;RIGHT("000000"&amp;448,6),LdBKeyG,0),"")</f>
        <v/>
      </c>
    </row>
    <row r="2469">
      <c r="A2469" s="10" t="n">
        <v>449</v>
      </c>
      <c r="B2469" s="14">
        <f>IF($N2469="","",INDEX(LdBDate,$N2469))</f>
        <v/>
      </c>
      <c r="C2469" s="14">
        <f>IF($N2469="","",IF(INDEX(LdBId,$N2469)="","—",INDEX(LdBId,$N2469)))</f>
        <v/>
      </c>
      <c r="D2469" s="14">
        <f>IF($N2469="","",INDEX(LdBMember,$N2469))</f>
        <v/>
      </c>
      <c r="E2469" s="14">
        <f>IF($N2469="","",IFERROR(IF(VLOOKUP(INDEX(LdBMember,$N2469),AcctTblE,4,0)="","(بدون نام)",VLOOKUP(INDEX(LdBMember,$N2469),AcctTblE,4,0)),"—"))</f>
        <v/>
      </c>
      <c r="F2469" s="16">
        <f>IF($N2469="","",IF(INDEX(LdBAmt,$N2469)=0,"",INDEX(LdBAmt,$N2469)))</f>
        <v/>
      </c>
      <c r="G2469" s="30">
        <f>IF($N2469="","",IF(INDEX(LdBNote,$N2469)="","—",INDEX(LdBNote,$N2469)))</f>
        <v/>
      </c>
      <c r="N2469">
        <f>IFERROR(MATCH($C$5&amp;"|"&amp;RIGHT("000000"&amp;449,6),LdBKeyG,0),"")</f>
        <v/>
      </c>
    </row>
    <row r="2470">
      <c r="A2470" s="19" t="n">
        <v>450</v>
      </c>
      <c r="B2470" s="20">
        <f>IF($N2470="","",INDEX(LdBDate,$N2470))</f>
        <v/>
      </c>
      <c r="C2470" s="20">
        <f>IF($N2470="","",IF(INDEX(LdBId,$N2470)="","—",INDEX(LdBId,$N2470)))</f>
        <v/>
      </c>
      <c r="D2470" s="20">
        <f>IF($N2470="","",INDEX(LdBMember,$N2470))</f>
        <v/>
      </c>
      <c r="E2470" s="20">
        <f>IF($N2470="","",IFERROR(IF(VLOOKUP(INDEX(LdBMember,$N2470),AcctTblE,4,0)="","(بدون نام)",VLOOKUP(INDEX(LdBMember,$N2470),AcctTblE,4,0)),"—"))</f>
        <v/>
      </c>
      <c r="F2470" s="21">
        <f>IF($N2470="","",IF(INDEX(LdBAmt,$N2470)=0,"",INDEX(LdBAmt,$N2470)))</f>
        <v/>
      </c>
      <c r="G2470" s="32">
        <f>IF($N2470="","",IF(INDEX(LdBNote,$N2470)="","—",INDEX(LdBNote,$N2470)))</f>
        <v/>
      </c>
      <c r="N2470">
        <f>IFERROR(MATCH($C$5&amp;"|"&amp;RIGHT("000000"&amp;450,6),LdBKeyG,0),"")</f>
        <v/>
      </c>
    </row>
    <row r="2471">
      <c r="A2471" s="10" t="n">
        <v>451</v>
      </c>
      <c r="B2471" s="14">
        <f>IF($N2471="","",INDEX(LdBDate,$N2471))</f>
        <v/>
      </c>
      <c r="C2471" s="14">
        <f>IF($N2471="","",IF(INDEX(LdBId,$N2471)="","—",INDEX(LdBId,$N2471)))</f>
        <v/>
      </c>
      <c r="D2471" s="14">
        <f>IF($N2471="","",INDEX(LdBMember,$N2471))</f>
        <v/>
      </c>
      <c r="E2471" s="14">
        <f>IF($N2471="","",IFERROR(IF(VLOOKUP(INDEX(LdBMember,$N2471),AcctTblE,4,0)="","(بدون نام)",VLOOKUP(INDEX(LdBMember,$N2471),AcctTblE,4,0)),"—"))</f>
        <v/>
      </c>
      <c r="F2471" s="16">
        <f>IF($N2471="","",IF(INDEX(LdBAmt,$N2471)=0,"",INDEX(LdBAmt,$N2471)))</f>
        <v/>
      </c>
      <c r="G2471" s="30">
        <f>IF($N2471="","",IF(INDEX(LdBNote,$N2471)="","—",INDEX(LdBNote,$N2471)))</f>
        <v/>
      </c>
      <c r="N2471">
        <f>IFERROR(MATCH($C$5&amp;"|"&amp;RIGHT("000000"&amp;451,6),LdBKeyG,0),"")</f>
        <v/>
      </c>
    </row>
    <row r="2472">
      <c r="A2472" s="19" t="n">
        <v>452</v>
      </c>
      <c r="B2472" s="20">
        <f>IF($N2472="","",INDEX(LdBDate,$N2472))</f>
        <v/>
      </c>
      <c r="C2472" s="20">
        <f>IF($N2472="","",IF(INDEX(LdBId,$N2472)="","—",INDEX(LdBId,$N2472)))</f>
        <v/>
      </c>
      <c r="D2472" s="20">
        <f>IF($N2472="","",INDEX(LdBMember,$N2472))</f>
        <v/>
      </c>
      <c r="E2472" s="20">
        <f>IF($N2472="","",IFERROR(IF(VLOOKUP(INDEX(LdBMember,$N2472),AcctTblE,4,0)="","(بدون نام)",VLOOKUP(INDEX(LdBMember,$N2472),AcctTblE,4,0)),"—"))</f>
        <v/>
      </c>
      <c r="F2472" s="21">
        <f>IF($N2472="","",IF(INDEX(LdBAmt,$N2472)=0,"",INDEX(LdBAmt,$N2472)))</f>
        <v/>
      </c>
      <c r="G2472" s="32">
        <f>IF($N2472="","",IF(INDEX(LdBNote,$N2472)="","—",INDEX(LdBNote,$N2472)))</f>
        <v/>
      </c>
      <c r="N2472">
        <f>IFERROR(MATCH($C$5&amp;"|"&amp;RIGHT("000000"&amp;452,6),LdBKeyG,0),"")</f>
        <v/>
      </c>
    </row>
    <row r="2473">
      <c r="A2473" s="10" t="n">
        <v>453</v>
      </c>
      <c r="B2473" s="14">
        <f>IF($N2473="","",INDEX(LdBDate,$N2473))</f>
        <v/>
      </c>
      <c r="C2473" s="14">
        <f>IF($N2473="","",IF(INDEX(LdBId,$N2473)="","—",INDEX(LdBId,$N2473)))</f>
        <v/>
      </c>
      <c r="D2473" s="14">
        <f>IF($N2473="","",INDEX(LdBMember,$N2473))</f>
        <v/>
      </c>
      <c r="E2473" s="14">
        <f>IF($N2473="","",IFERROR(IF(VLOOKUP(INDEX(LdBMember,$N2473),AcctTblE,4,0)="","(بدون نام)",VLOOKUP(INDEX(LdBMember,$N2473),AcctTblE,4,0)),"—"))</f>
        <v/>
      </c>
      <c r="F2473" s="16">
        <f>IF($N2473="","",IF(INDEX(LdBAmt,$N2473)=0,"",INDEX(LdBAmt,$N2473)))</f>
        <v/>
      </c>
      <c r="G2473" s="30">
        <f>IF($N2473="","",IF(INDEX(LdBNote,$N2473)="","—",INDEX(LdBNote,$N2473)))</f>
        <v/>
      </c>
      <c r="N2473">
        <f>IFERROR(MATCH($C$5&amp;"|"&amp;RIGHT("000000"&amp;453,6),LdBKeyG,0),"")</f>
        <v/>
      </c>
    </row>
    <row r="2474">
      <c r="A2474" s="19" t="n">
        <v>454</v>
      </c>
      <c r="B2474" s="20">
        <f>IF($N2474="","",INDEX(LdBDate,$N2474))</f>
        <v/>
      </c>
      <c r="C2474" s="20">
        <f>IF($N2474="","",IF(INDEX(LdBId,$N2474)="","—",INDEX(LdBId,$N2474)))</f>
        <v/>
      </c>
      <c r="D2474" s="20">
        <f>IF($N2474="","",INDEX(LdBMember,$N2474))</f>
        <v/>
      </c>
      <c r="E2474" s="20">
        <f>IF($N2474="","",IFERROR(IF(VLOOKUP(INDEX(LdBMember,$N2474),AcctTblE,4,0)="","(بدون نام)",VLOOKUP(INDEX(LdBMember,$N2474),AcctTblE,4,0)),"—"))</f>
        <v/>
      </c>
      <c r="F2474" s="21">
        <f>IF($N2474="","",IF(INDEX(LdBAmt,$N2474)=0,"",INDEX(LdBAmt,$N2474)))</f>
        <v/>
      </c>
      <c r="G2474" s="32">
        <f>IF($N2474="","",IF(INDEX(LdBNote,$N2474)="","—",INDEX(LdBNote,$N2474)))</f>
        <v/>
      </c>
      <c r="N2474">
        <f>IFERROR(MATCH($C$5&amp;"|"&amp;RIGHT("000000"&amp;454,6),LdBKeyG,0),"")</f>
        <v/>
      </c>
    </row>
    <row r="2475">
      <c r="A2475" s="10" t="n">
        <v>455</v>
      </c>
      <c r="B2475" s="14">
        <f>IF($N2475="","",INDEX(LdBDate,$N2475))</f>
        <v/>
      </c>
      <c r="C2475" s="14">
        <f>IF($N2475="","",IF(INDEX(LdBId,$N2475)="","—",INDEX(LdBId,$N2475)))</f>
        <v/>
      </c>
      <c r="D2475" s="14">
        <f>IF($N2475="","",INDEX(LdBMember,$N2475))</f>
        <v/>
      </c>
      <c r="E2475" s="14">
        <f>IF($N2475="","",IFERROR(IF(VLOOKUP(INDEX(LdBMember,$N2475),AcctTblE,4,0)="","(بدون نام)",VLOOKUP(INDEX(LdBMember,$N2475),AcctTblE,4,0)),"—"))</f>
        <v/>
      </c>
      <c r="F2475" s="16">
        <f>IF($N2475="","",IF(INDEX(LdBAmt,$N2475)=0,"",INDEX(LdBAmt,$N2475)))</f>
        <v/>
      </c>
      <c r="G2475" s="30">
        <f>IF($N2475="","",IF(INDEX(LdBNote,$N2475)="","—",INDEX(LdBNote,$N2475)))</f>
        <v/>
      </c>
      <c r="N2475">
        <f>IFERROR(MATCH($C$5&amp;"|"&amp;RIGHT("000000"&amp;455,6),LdBKeyG,0),"")</f>
        <v/>
      </c>
    </row>
    <row r="2476">
      <c r="A2476" s="19" t="n">
        <v>456</v>
      </c>
      <c r="B2476" s="20">
        <f>IF($N2476="","",INDEX(LdBDate,$N2476))</f>
        <v/>
      </c>
      <c r="C2476" s="20">
        <f>IF($N2476="","",IF(INDEX(LdBId,$N2476)="","—",INDEX(LdBId,$N2476)))</f>
        <v/>
      </c>
      <c r="D2476" s="20">
        <f>IF($N2476="","",INDEX(LdBMember,$N2476))</f>
        <v/>
      </c>
      <c r="E2476" s="20">
        <f>IF($N2476="","",IFERROR(IF(VLOOKUP(INDEX(LdBMember,$N2476),AcctTblE,4,0)="","(بدون نام)",VLOOKUP(INDEX(LdBMember,$N2476),AcctTblE,4,0)),"—"))</f>
        <v/>
      </c>
      <c r="F2476" s="21">
        <f>IF($N2476="","",IF(INDEX(LdBAmt,$N2476)=0,"",INDEX(LdBAmt,$N2476)))</f>
        <v/>
      </c>
      <c r="G2476" s="32">
        <f>IF($N2476="","",IF(INDEX(LdBNote,$N2476)="","—",INDEX(LdBNote,$N2476)))</f>
        <v/>
      </c>
      <c r="N2476">
        <f>IFERROR(MATCH($C$5&amp;"|"&amp;RIGHT("000000"&amp;456,6),LdBKeyG,0),"")</f>
        <v/>
      </c>
    </row>
    <row r="2477">
      <c r="A2477" s="10" t="n">
        <v>457</v>
      </c>
      <c r="B2477" s="14">
        <f>IF($N2477="","",INDEX(LdBDate,$N2477))</f>
        <v/>
      </c>
      <c r="C2477" s="14">
        <f>IF($N2477="","",IF(INDEX(LdBId,$N2477)="","—",INDEX(LdBId,$N2477)))</f>
        <v/>
      </c>
      <c r="D2477" s="14">
        <f>IF($N2477="","",INDEX(LdBMember,$N2477))</f>
        <v/>
      </c>
      <c r="E2477" s="14">
        <f>IF($N2477="","",IFERROR(IF(VLOOKUP(INDEX(LdBMember,$N2477),AcctTblE,4,0)="","(بدون نام)",VLOOKUP(INDEX(LdBMember,$N2477),AcctTblE,4,0)),"—"))</f>
        <v/>
      </c>
      <c r="F2477" s="16">
        <f>IF($N2477="","",IF(INDEX(LdBAmt,$N2477)=0,"",INDEX(LdBAmt,$N2477)))</f>
        <v/>
      </c>
      <c r="G2477" s="30">
        <f>IF($N2477="","",IF(INDEX(LdBNote,$N2477)="","—",INDEX(LdBNote,$N2477)))</f>
        <v/>
      </c>
      <c r="N2477">
        <f>IFERROR(MATCH($C$5&amp;"|"&amp;RIGHT("000000"&amp;457,6),LdBKeyG,0),"")</f>
        <v/>
      </c>
    </row>
    <row r="2478">
      <c r="A2478" s="19" t="n">
        <v>458</v>
      </c>
      <c r="B2478" s="20">
        <f>IF($N2478="","",INDEX(LdBDate,$N2478))</f>
        <v/>
      </c>
      <c r="C2478" s="20">
        <f>IF($N2478="","",IF(INDEX(LdBId,$N2478)="","—",INDEX(LdBId,$N2478)))</f>
        <v/>
      </c>
      <c r="D2478" s="20">
        <f>IF($N2478="","",INDEX(LdBMember,$N2478))</f>
        <v/>
      </c>
      <c r="E2478" s="20">
        <f>IF($N2478="","",IFERROR(IF(VLOOKUP(INDEX(LdBMember,$N2478),AcctTblE,4,0)="","(بدون نام)",VLOOKUP(INDEX(LdBMember,$N2478),AcctTblE,4,0)),"—"))</f>
        <v/>
      </c>
      <c r="F2478" s="21">
        <f>IF($N2478="","",IF(INDEX(LdBAmt,$N2478)=0,"",INDEX(LdBAmt,$N2478)))</f>
        <v/>
      </c>
      <c r="G2478" s="32">
        <f>IF($N2478="","",IF(INDEX(LdBNote,$N2478)="","—",INDEX(LdBNote,$N2478)))</f>
        <v/>
      </c>
      <c r="N2478">
        <f>IFERROR(MATCH($C$5&amp;"|"&amp;RIGHT("000000"&amp;458,6),LdBKeyG,0),"")</f>
        <v/>
      </c>
    </row>
    <row r="2479">
      <c r="A2479" s="10" t="n">
        <v>459</v>
      </c>
      <c r="B2479" s="14">
        <f>IF($N2479="","",INDEX(LdBDate,$N2479))</f>
        <v/>
      </c>
      <c r="C2479" s="14">
        <f>IF($N2479="","",IF(INDEX(LdBId,$N2479)="","—",INDEX(LdBId,$N2479)))</f>
        <v/>
      </c>
      <c r="D2479" s="14">
        <f>IF($N2479="","",INDEX(LdBMember,$N2479))</f>
        <v/>
      </c>
      <c r="E2479" s="14">
        <f>IF($N2479="","",IFERROR(IF(VLOOKUP(INDEX(LdBMember,$N2479),AcctTblE,4,0)="","(بدون نام)",VLOOKUP(INDEX(LdBMember,$N2479),AcctTblE,4,0)),"—"))</f>
        <v/>
      </c>
      <c r="F2479" s="16">
        <f>IF($N2479="","",IF(INDEX(LdBAmt,$N2479)=0,"",INDEX(LdBAmt,$N2479)))</f>
        <v/>
      </c>
      <c r="G2479" s="30">
        <f>IF($N2479="","",IF(INDEX(LdBNote,$N2479)="","—",INDEX(LdBNote,$N2479)))</f>
        <v/>
      </c>
      <c r="N2479">
        <f>IFERROR(MATCH($C$5&amp;"|"&amp;RIGHT("000000"&amp;459,6),LdBKeyG,0),"")</f>
        <v/>
      </c>
    </row>
    <row r="2480">
      <c r="A2480" s="19" t="n">
        <v>460</v>
      </c>
      <c r="B2480" s="20">
        <f>IF($N2480="","",INDEX(LdBDate,$N2480))</f>
        <v/>
      </c>
      <c r="C2480" s="20">
        <f>IF($N2480="","",IF(INDEX(LdBId,$N2480)="","—",INDEX(LdBId,$N2480)))</f>
        <v/>
      </c>
      <c r="D2480" s="20">
        <f>IF($N2480="","",INDEX(LdBMember,$N2480))</f>
        <v/>
      </c>
      <c r="E2480" s="20">
        <f>IF($N2480="","",IFERROR(IF(VLOOKUP(INDEX(LdBMember,$N2480),AcctTblE,4,0)="","(بدون نام)",VLOOKUP(INDEX(LdBMember,$N2480),AcctTblE,4,0)),"—"))</f>
        <v/>
      </c>
      <c r="F2480" s="21">
        <f>IF($N2480="","",IF(INDEX(LdBAmt,$N2480)=0,"",INDEX(LdBAmt,$N2480)))</f>
        <v/>
      </c>
      <c r="G2480" s="32">
        <f>IF($N2480="","",IF(INDEX(LdBNote,$N2480)="","—",INDEX(LdBNote,$N2480)))</f>
        <v/>
      </c>
      <c r="N2480">
        <f>IFERROR(MATCH($C$5&amp;"|"&amp;RIGHT("000000"&amp;460,6),LdBKeyG,0),"")</f>
        <v/>
      </c>
    </row>
    <row r="2481">
      <c r="A2481" s="10" t="n">
        <v>461</v>
      </c>
      <c r="B2481" s="14">
        <f>IF($N2481="","",INDEX(LdBDate,$N2481))</f>
        <v/>
      </c>
      <c r="C2481" s="14">
        <f>IF($N2481="","",IF(INDEX(LdBId,$N2481)="","—",INDEX(LdBId,$N2481)))</f>
        <v/>
      </c>
      <c r="D2481" s="14">
        <f>IF($N2481="","",INDEX(LdBMember,$N2481))</f>
        <v/>
      </c>
      <c r="E2481" s="14">
        <f>IF($N2481="","",IFERROR(IF(VLOOKUP(INDEX(LdBMember,$N2481),AcctTblE,4,0)="","(بدون نام)",VLOOKUP(INDEX(LdBMember,$N2481),AcctTblE,4,0)),"—"))</f>
        <v/>
      </c>
      <c r="F2481" s="16">
        <f>IF($N2481="","",IF(INDEX(LdBAmt,$N2481)=0,"",INDEX(LdBAmt,$N2481)))</f>
        <v/>
      </c>
      <c r="G2481" s="30">
        <f>IF($N2481="","",IF(INDEX(LdBNote,$N2481)="","—",INDEX(LdBNote,$N2481)))</f>
        <v/>
      </c>
      <c r="N2481">
        <f>IFERROR(MATCH($C$5&amp;"|"&amp;RIGHT("000000"&amp;461,6),LdBKeyG,0),"")</f>
        <v/>
      </c>
    </row>
    <row r="2482">
      <c r="A2482" s="19" t="n">
        <v>462</v>
      </c>
      <c r="B2482" s="20">
        <f>IF($N2482="","",INDEX(LdBDate,$N2482))</f>
        <v/>
      </c>
      <c r="C2482" s="20">
        <f>IF($N2482="","",IF(INDEX(LdBId,$N2482)="","—",INDEX(LdBId,$N2482)))</f>
        <v/>
      </c>
      <c r="D2482" s="20">
        <f>IF($N2482="","",INDEX(LdBMember,$N2482))</f>
        <v/>
      </c>
      <c r="E2482" s="20">
        <f>IF($N2482="","",IFERROR(IF(VLOOKUP(INDEX(LdBMember,$N2482),AcctTblE,4,0)="","(بدون نام)",VLOOKUP(INDEX(LdBMember,$N2482),AcctTblE,4,0)),"—"))</f>
        <v/>
      </c>
      <c r="F2482" s="21">
        <f>IF($N2482="","",IF(INDEX(LdBAmt,$N2482)=0,"",INDEX(LdBAmt,$N2482)))</f>
        <v/>
      </c>
      <c r="G2482" s="32">
        <f>IF($N2482="","",IF(INDEX(LdBNote,$N2482)="","—",INDEX(LdBNote,$N2482)))</f>
        <v/>
      </c>
      <c r="N2482">
        <f>IFERROR(MATCH($C$5&amp;"|"&amp;RIGHT("000000"&amp;462,6),LdBKeyG,0),"")</f>
        <v/>
      </c>
    </row>
    <row r="2483">
      <c r="A2483" s="10" t="n">
        <v>463</v>
      </c>
      <c r="B2483" s="14">
        <f>IF($N2483="","",INDEX(LdBDate,$N2483))</f>
        <v/>
      </c>
      <c r="C2483" s="14">
        <f>IF($N2483="","",IF(INDEX(LdBId,$N2483)="","—",INDEX(LdBId,$N2483)))</f>
        <v/>
      </c>
      <c r="D2483" s="14">
        <f>IF($N2483="","",INDEX(LdBMember,$N2483))</f>
        <v/>
      </c>
      <c r="E2483" s="14">
        <f>IF($N2483="","",IFERROR(IF(VLOOKUP(INDEX(LdBMember,$N2483),AcctTblE,4,0)="","(بدون نام)",VLOOKUP(INDEX(LdBMember,$N2483),AcctTblE,4,0)),"—"))</f>
        <v/>
      </c>
      <c r="F2483" s="16">
        <f>IF($N2483="","",IF(INDEX(LdBAmt,$N2483)=0,"",INDEX(LdBAmt,$N2483)))</f>
        <v/>
      </c>
      <c r="G2483" s="30">
        <f>IF($N2483="","",IF(INDEX(LdBNote,$N2483)="","—",INDEX(LdBNote,$N2483)))</f>
        <v/>
      </c>
      <c r="N2483">
        <f>IFERROR(MATCH($C$5&amp;"|"&amp;RIGHT("000000"&amp;463,6),LdBKeyG,0),"")</f>
        <v/>
      </c>
    </row>
    <row r="2484">
      <c r="A2484" s="19" t="n">
        <v>464</v>
      </c>
      <c r="B2484" s="20">
        <f>IF($N2484="","",INDEX(LdBDate,$N2484))</f>
        <v/>
      </c>
      <c r="C2484" s="20">
        <f>IF($N2484="","",IF(INDEX(LdBId,$N2484)="","—",INDEX(LdBId,$N2484)))</f>
        <v/>
      </c>
      <c r="D2484" s="20">
        <f>IF($N2484="","",INDEX(LdBMember,$N2484))</f>
        <v/>
      </c>
      <c r="E2484" s="20">
        <f>IF($N2484="","",IFERROR(IF(VLOOKUP(INDEX(LdBMember,$N2484),AcctTblE,4,0)="","(بدون نام)",VLOOKUP(INDEX(LdBMember,$N2484),AcctTblE,4,0)),"—"))</f>
        <v/>
      </c>
      <c r="F2484" s="21">
        <f>IF($N2484="","",IF(INDEX(LdBAmt,$N2484)=0,"",INDEX(LdBAmt,$N2484)))</f>
        <v/>
      </c>
      <c r="G2484" s="32">
        <f>IF($N2484="","",IF(INDEX(LdBNote,$N2484)="","—",INDEX(LdBNote,$N2484)))</f>
        <v/>
      </c>
      <c r="N2484">
        <f>IFERROR(MATCH($C$5&amp;"|"&amp;RIGHT("000000"&amp;464,6),LdBKeyG,0),"")</f>
        <v/>
      </c>
    </row>
    <row r="2485">
      <c r="A2485" s="10" t="n">
        <v>465</v>
      </c>
      <c r="B2485" s="14">
        <f>IF($N2485="","",INDEX(LdBDate,$N2485))</f>
        <v/>
      </c>
      <c r="C2485" s="14">
        <f>IF($N2485="","",IF(INDEX(LdBId,$N2485)="","—",INDEX(LdBId,$N2485)))</f>
        <v/>
      </c>
      <c r="D2485" s="14">
        <f>IF($N2485="","",INDEX(LdBMember,$N2485))</f>
        <v/>
      </c>
      <c r="E2485" s="14">
        <f>IF($N2485="","",IFERROR(IF(VLOOKUP(INDEX(LdBMember,$N2485),AcctTblE,4,0)="","(بدون نام)",VLOOKUP(INDEX(LdBMember,$N2485),AcctTblE,4,0)),"—"))</f>
        <v/>
      </c>
      <c r="F2485" s="16">
        <f>IF($N2485="","",IF(INDEX(LdBAmt,$N2485)=0,"",INDEX(LdBAmt,$N2485)))</f>
        <v/>
      </c>
      <c r="G2485" s="30">
        <f>IF($N2485="","",IF(INDEX(LdBNote,$N2485)="","—",INDEX(LdBNote,$N2485)))</f>
        <v/>
      </c>
      <c r="N2485">
        <f>IFERROR(MATCH($C$5&amp;"|"&amp;RIGHT("000000"&amp;465,6),LdBKeyG,0),"")</f>
        <v/>
      </c>
    </row>
    <row r="2486">
      <c r="A2486" s="19" t="n">
        <v>466</v>
      </c>
      <c r="B2486" s="20">
        <f>IF($N2486="","",INDEX(LdBDate,$N2486))</f>
        <v/>
      </c>
      <c r="C2486" s="20">
        <f>IF($N2486="","",IF(INDEX(LdBId,$N2486)="","—",INDEX(LdBId,$N2486)))</f>
        <v/>
      </c>
      <c r="D2486" s="20">
        <f>IF($N2486="","",INDEX(LdBMember,$N2486))</f>
        <v/>
      </c>
      <c r="E2486" s="20">
        <f>IF($N2486="","",IFERROR(IF(VLOOKUP(INDEX(LdBMember,$N2486),AcctTblE,4,0)="","(بدون نام)",VLOOKUP(INDEX(LdBMember,$N2486),AcctTblE,4,0)),"—"))</f>
        <v/>
      </c>
      <c r="F2486" s="21">
        <f>IF($N2486="","",IF(INDEX(LdBAmt,$N2486)=0,"",INDEX(LdBAmt,$N2486)))</f>
        <v/>
      </c>
      <c r="G2486" s="32">
        <f>IF($N2486="","",IF(INDEX(LdBNote,$N2486)="","—",INDEX(LdBNote,$N2486)))</f>
        <v/>
      </c>
      <c r="N2486">
        <f>IFERROR(MATCH($C$5&amp;"|"&amp;RIGHT("000000"&amp;466,6),LdBKeyG,0),"")</f>
        <v/>
      </c>
    </row>
    <row r="2487">
      <c r="A2487" s="10" t="n">
        <v>467</v>
      </c>
      <c r="B2487" s="14">
        <f>IF($N2487="","",INDEX(LdBDate,$N2487))</f>
        <v/>
      </c>
      <c r="C2487" s="14">
        <f>IF($N2487="","",IF(INDEX(LdBId,$N2487)="","—",INDEX(LdBId,$N2487)))</f>
        <v/>
      </c>
      <c r="D2487" s="14">
        <f>IF($N2487="","",INDEX(LdBMember,$N2487))</f>
        <v/>
      </c>
      <c r="E2487" s="14">
        <f>IF($N2487="","",IFERROR(IF(VLOOKUP(INDEX(LdBMember,$N2487),AcctTblE,4,0)="","(بدون نام)",VLOOKUP(INDEX(LdBMember,$N2487),AcctTblE,4,0)),"—"))</f>
        <v/>
      </c>
      <c r="F2487" s="16">
        <f>IF($N2487="","",IF(INDEX(LdBAmt,$N2487)=0,"",INDEX(LdBAmt,$N2487)))</f>
        <v/>
      </c>
      <c r="G2487" s="30">
        <f>IF($N2487="","",IF(INDEX(LdBNote,$N2487)="","—",INDEX(LdBNote,$N2487)))</f>
        <v/>
      </c>
      <c r="N2487">
        <f>IFERROR(MATCH($C$5&amp;"|"&amp;RIGHT("000000"&amp;467,6),LdBKeyG,0),"")</f>
        <v/>
      </c>
    </row>
    <row r="2488">
      <c r="A2488" s="19" t="n">
        <v>468</v>
      </c>
      <c r="B2488" s="20">
        <f>IF($N2488="","",INDEX(LdBDate,$N2488))</f>
        <v/>
      </c>
      <c r="C2488" s="20">
        <f>IF($N2488="","",IF(INDEX(LdBId,$N2488)="","—",INDEX(LdBId,$N2488)))</f>
        <v/>
      </c>
      <c r="D2488" s="20">
        <f>IF($N2488="","",INDEX(LdBMember,$N2488))</f>
        <v/>
      </c>
      <c r="E2488" s="20">
        <f>IF($N2488="","",IFERROR(IF(VLOOKUP(INDEX(LdBMember,$N2488),AcctTblE,4,0)="","(بدون نام)",VLOOKUP(INDEX(LdBMember,$N2488),AcctTblE,4,0)),"—"))</f>
        <v/>
      </c>
      <c r="F2488" s="21">
        <f>IF($N2488="","",IF(INDEX(LdBAmt,$N2488)=0,"",INDEX(LdBAmt,$N2488)))</f>
        <v/>
      </c>
      <c r="G2488" s="32">
        <f>IF($N2488="","",IF(INDEX(LdBNote,$N2488)="","—",INDEX(LdBNote,$N2488)))</f>
        <v/>
      </c>
      <c r="N2488">
        <f>IFERROR(MATCH($C$5&amp;"|"&amp;RIGHT("000000"&amp;468,6),LdBKeyG,0),"")</f>
        <v/>
      </c>
    </row>
    <row r="2489">
      <c r="A2489" s="10" t="n">
        <v>469</v>
      </c>
      <c r="B2489" s="14">
        <f>IF($N2489="","",INDEX(LdBDate,$N2489))</f>
        <v/>
      </c>
      <c r="C2489" s="14">
        <f>IF($N2489="","",IF(INDEX(LdBId,$N2489)="","—",INDEX(LdBId,$N2489)))</f>
        <v/>
      </c>
      <c r="D2489" s="14">
        <f>IF($N2489="","",INDEX(LdBMember,$N2489))</f>
        <v/>
      </c>
      <c r="E2489" s="14">
        <f>IF($N2489="","",IFERROR(IF(VLOOKUP(INDEX(LdBMember,$N2489),AcctTblE,4,0)="","(بدون نام)",VLOOKUP(INDEX(LdBMember,$N2489),AcctTblE,4,0)),"—"))</f>
        <v/>
      </c>
      <c r="F2489" s="16">
        <f>IF($N2489="","",IF(INDEX(LdBAmt,$N2489)=0,"",INDEX(LdBAmt,$N2489)))</f>
        <v/>
      </c>
      <c r="G2489" s="30">
        <f>IF($N2489="","",IF(INDEX(LdBNote,$N2489)="","—",INDEX(LdBNote,$N2489)))</f>
        <v/>
      </c>
      <c r="N2489">
        <f>IFERROR(MATCH($C$5&amp;"|"&amp;RIGHT("000000"&amp;469,6),LdBKeyG,0),"")</f>
        <v/>
      </c>
    </row>
    <row r="2490">
      <c r="A2490" s="19" t="n">
        <v>470</v>
      </c>
      <c r="B2490" s="20">
        <f>IF($N2490="","",INDEX(LdBDate,$N2490))</f>
        <v/>
      </c>
      <c r="C2490" s="20">
        <f>IF($N2490="","",IF(INDEX(LdBId,$N2490)="","—",INDEX(LdBId,$N2490)))</f>
        <v/>
      </c>
      <c r="D2490" s="20">
        <f>IF($N2490="","",INDEX(LdBMember,$N2490))</f>
        <v/>
      </c>
      <c r="E2490" s="20">
        <f>IF($N2490="","",IFERROR(IF(VLOOKUP(INDEX(LdBMember,$N2490),AcctTblE,4,0)="","(بدون نام)",VLOOKUP(INDEX(LdBMember,$N2490),AcctTblE,4,0)),"—"))</f>
        <v/>
      </c>
      <c r="F2490" s="21">
        <f>IF($N2490="","",IF(INDEX(LdBAmt,$N2490)=0,"",INDEX(LdBAmt,$N2490)))</f>
        <v/>
      </c>
      <c r="G2490" s="32">
        <f>IF($N2490="","",IF(INDEX(LdBNote,$N2490)="","—",INDEX(LdBNote,$N2490)))</f>
        <v/>
      </c>
      <c r="N2490">
        <f>IFERROR(MATCH($C$5&amp;"|"&amp;RIGHT("000000"&amp;470,6),LdBKeyG,0),"")</f>
        <v/>
      </c>
    </row>
    <row r="2491">
      <c r="A2491" s="10" t="n">
        <v>471</v>
      </c>
      <c r="B2491" s="14">
        <f>IF($N2491="","",INDEX(LdBDate,$N2491))</f>
        <v/>
      </c>
      <c r="C2491" s="14">
        <f>IF($N2491="","",IF(INDEX(LdBId,$N2491)="","—",INDEX(LdBId,$N2491)))</f>
        <v/>
      </c>
      <c r="D2491" s="14">
        <f>IF($N2491="","",INDEX(LdBMember,$N2491))</f>
        <v/>
      </c>
      <c r="E2491" s="14">
        <f>IF($N2491="","",IFERROR(IF(VLOOKUP(INDEX(LdBMember,$N2491),AcctTblE,4,0)="","(بدون نام)",VLOOKUP(INDEX(LdBMember,$N2491),AcctTblE,4,0)),"—"))</f>
        <v/>
      </c>
      <c r="F2491" s="16">
        <f>IF($N2491="","",IF(INDEX(LdBAmt,$N2491)=0,"",INDEX(LdBAmt,$N2491)))</f>
        <v/>
      </c>
      <c r="G2491" s="30">
        <f>IF($N2491="","",IF(INDEX(LdBNote,$N2491)="","—",INDEX(LdBNote,$N2491)))</f>
        <v/>
      </c>
      <c r="N2491">
        <f>IFERROR(MATCH($C$5&amp;"|"&amp;RIGHT("000000"&amp;471,6),LdBKeyG,0),"")</f>
        <v/>
      </c>
    </row>
    <row r="2492">
      <c r="A2492" s="19" t="n">
        <v>472</v>
      </c>
      <c r="B2492" s="20">
        <f>IF($N2492="","",INDEX(LdBDate,$N2492))</f>
        <v/>
      </c>
      <c r="C2492" s="20">
        <f>IF($N2492="","",IF(INDEX(LdBId,$N2492)="","—",INDEX(LdBId,$N2492)))</f>
        <v/>
      </c>
      <c r="D2492" s="20">
        <f>IF($N2492="","",INDEX(LdBMember,$N2492))</f>
        <v/>
      </c>
      <c r="E2492" s="20">
        <f>IF($N2492="","",IFERROR(IF(VLOOKUP(INDEX(LdBMember,$N2492),AcctTblE,4,0)="","(بدون نام)",VLOOKUP(INDEX(LdBMember,$N2492),AcctTblE,4,0)),"—"))</f>
        <v/>
      </c>
      <c r="F2492" s="21">
        <f>IF($N2492="","",IF(INDEX(LdBAmt,$N2492)=0,"",INDEX(LdBAmt,$N2492)))</f>
        <v/>
      </c>
      <c r="G2492" s="32">
        <f>IF($N2492="","",IF(INDEX(LdBNote,$N2492)="","—",INDEX(LdBNote,$N2492)))</f>
        <v/>
      </c>
      <c r="N2492">
        <f>IFERROR(MATCH($C$5&amp;"|"&amp;RIGHT("000000"&amp;472,6),LdBKeyG,0),"")</f>
        <v/>
      </c>
    </row>
    <row r="2493">
      <c r="A2493" s="10" t="n">
        <v>473</v>
      </c>
      <c r="B2493" s="14">
        <f>IF($N2493="","",INDEX(LdBDate,$N2493))</f>
        <v/>
      </c>
      <c r="C2493" s="14">
        <f>IF($N2493="","",IF(INDEX(LdBId,$N2493)="","—",INDEX(LdBId,$N2493)))</f>
        <v/>
      </c>
      <c r="D2493" s="14">
        <f>IF($N2493="","",INDEX(LdBMember,$N2493))</f>
        <v/>
      </c>
      <c r="E2493" s="14">
        <f>IF($N2493="","",IFERROR(IF(VLOOKUP(INDEX(LdBMember,$N2493),AcctTblE,4,0)="","(بدون نام)",VLOOKUP(INDEX(LdBMember,$N2493),AcctTblE,4,0)),"—"))</f>
        <v/>
      </c>
      <c r="F2493" s="16">
        <f>IF($N2493="","",IF(INDEX(LdBAmt,$N2493)=0,"",INDEX(LdBAmt,$N2493)))</f>
        <v/>
      </c>
      <c r="G2493" s="30">
        <f>IF($N2493="","",IF(INDEX(LdBNote,$N2493)="","—",INDEX(LdBNote,$N2493)))</f>
        <v/>
      </c>
      <c r="N2493">
        <f>IFERROR(MATCH($C$5&amp;"|"&amp;RIGHT("000000"&amp;473,6),LdBKeyG,0),"")</f>
        <v/>
      </c>
    </row>
    <row r="2494">
      <c r="A2494" s="19" t="n">
        <v>474</v>
      </c>
      <c r="B2494" s="20">
        <f>IF($N2494="","",INDEX(LdBDate,$N2494))</f>
        <v/>
      </c>
      <c r="C2494" s="20">
        <f>IF($N2494="","",IF(INDEX(LdBId,$N2494)="","—",INDEX(LdBId,$N2494)))</f>
        <v/>
      </c>
      <c r="D2494" s="20">
        <f>IF($N2494="","",INDEX(LdBMember,$N2494))</f>
        <v/>
      </c>
      <c r="E2494" s="20">
        <f>IF($N2494="","",IFERROR(IF(VLOOKUP(INDEX(LdBMember,$N2494),AcctTblE,4,0)="","(بدون نام)",VLOOKUP(INDEX(LdBMember,$N2494),AcctTblE,4,0)),"—"))</f>
        <v/>
      </c>
      <c r="F2494" s="21">
        <f>IF($N2494="","",IF(INDEX(LdBAmt,$N2494)=0,"",INDEX(LdBAmt,$N2494)))</f>
        <v/>
      </c>
      <c r="G2494" s="32">
        <f>IF($N2494="","",IF(INDEX(LdBNote,$N2494)="","—",INDEX(LdBNote,$N2494)))</f>
        <v/>
      </c>
      <c r="N2494">
        <f>IFERROR(MATCH($C$5&amp;"|"&amp;RIGHT("000000"&amp;474,6),LdBKeyG,0),"")</f>
        <v/>
      </c>
    </row>
    <row r="2495">
      <c r="A2495" s="10" t="n">
        <v>475</v>
      </c>
      <c r="B2495" s="14">
        <f>IF($N2495="","",INDEX(LdBDate,$N2495))</f>
        <v/>
      </c>
      <c r="C2495" s="14">
        <f>IF($N2495="","",IF(INDEX(LdBId,$N2495)="","—",INDEX(LdBId,$N2495)))</f>
        <v/>
      </c>
      <c r="D2495" s="14">
        <f>IF($N2495="","",INDEX(LdBMember,$N2495))</f>
        <v/>
      </c>
      <c r="E2495" s="14">
        <f>IF($N2495="","",IFERROR(IF(VLOOKUP(INDEX(LdBMember,$N2495),AcctTblE,4,0)="","(بدون نام)",VLOOKUP(INDEX(LdBMember,$N2495),AcctTblE,4,0)),"—"))</f>
        <v/>
      </c>
      <c r="F2495" s="16">
        <f>IF($N2495="","",IF(INDEX(LdBAmt,$N2495)=0,"",INDEX(LdBAmt,$N2495)))</f>
        <v/>
      </c>
      <c r="G2495" s="30">
        <f>IF($N2495="","",IF(INDEX(LdBNote,$N2495)="","—",INDEX(LdBNote,$N2495)))</f>
        <v/>
      </c>
      <c r="N2495">
        <f>IFERROR(MATCH($C$5&amp;"|"&amp;RIGHT("000000"&amp;475,6),LdBKeyG,0),"")</f>
        <v/>
      </c>
    </row>
    <row r="2496">
      <c r="A2496" s="19" t="n">
        <v>476</v>
      </c>
      <c r="B2496" s="20">
        <f>IF($N2496="","",INDEX(LdBDate,$N2496))</f>
        <v/>
      </c>
      <c r="C2496" s="20">
        <f>IF($N2496="","",IF(INDEX(LdBId,$N2496)="","—",INDEX(LdBId,$N2496)))</f>
        <v/>
      </c>
      <c r="D2496" s="20">
        <f>IF($N2496="","",INDEX(LdBMember,$N2496))</f>
        <v/>
      </c>
      <c r="E2496" s="20">
        <f>IF($N2496="","",IFERROR(IF(VLOOKUP(INDEX(LdBMember,$N2496),AcctTblE,4,0)="","(بدون نام)",VLOOKUP(INDEX(LdBMember,$N2496),AcctTblE,4,0)),"—"))</f>
        <v/>
      </c>
      <c r="F2496" s="21">
        <f>IF($N2496="","",IF(INDEX(LdBAmt,$N2496)=0,"",INDEX(LdBAmt,$N2496)))</f>
        <v/>
      </c>
      <c r="G2496" s="32">
        <f>IF($N2496="","",IF(INDEX(LdBNote,$N2496)="","—",INDEX(LdBNote,$N2496)))</f>
        <v/>
      </c>
      <c r="N2496">
        <f>IFERROR(MATCH($C$5&amp;"|"&amp;RIGHT("000000"&amp;476,6),LdBKeyG,0),"")</f>
        <v/>
      </c>
    </row>
    <row r="2497">
      <c r="A2497" s="10" t="n">
        <v>477</v>
      </c>
      <c r="B2497" s="14">
        <f>IF($N2497="","",INDEX(LdBDate,$N2497))</f>
        <v/>
      </c>
      <c r="C2497" s="14">
        <f>IF($N2497="","",IF(INDEX(LdBId,$N2497)="","—",INDEX(LdBId,$N2497)))</f>
        <v/>
      </c>
      <c r="D2497" s="14">
        <f>IF($N2497="","",INDEX(LdBMember,$N2497))</f>
        <v/>
      </c>
      <c r="E2497" s="14">
        <f>IF($N2497="","",IFERROR(IF(VLOOKUP(INDEX(LdBMember,$N2497),AcctTblE,4,0)="","(بدون نام)",VLOOKUP(INDEX(LdBMember,$N2497),AcctTblE,4,0)),"—"))</f>
        <v/>
      </c>
      <c r="F2497" s="16">
        <f>IF($N2497="","",IF(INDEX(LdBAmt,$N2497)=0,"",INDEX(LdBAmt,$N2497)))</f>
        <v/>
      </c>
      <c r="G2497" s="30">
        <f>IF($N2497="","",IF(INDEX(LdBNote,$N2497)="","—",INDEX(LdBNote,$N2497)))</f>
        <v/>
      </c>
      <c r="N2497">
        <f>IFERROR(MATCH($C$5&amp;"|"&amp;RIGHT("000000"&amp;477,6),LdBKeyG,0),"")</f>
        <v/>
      </c>
    </row>
    <row r="2498">
      <c r="A2498" s="19" t="n">
        <v>478</v>
      </c>
      <c r="B2498" s="20">
        <f>IF($N2498="","",INDEX(LdBDate,$N2498))</f>
        <v/>
      </c>
      <c r="C2498" s="20">
        <f>IF($N2498="","",IF(INDEX(LdBId,$N2498)="","—",INDEX(LdBId,$N2498)))</f>
        <v/>
      </c>
      <c r="D2498" s="20">
        <f>IF($N2498="","",INDEX(LdBMember,$N2498))</f>
        <v/>
      </c>
      <c r="E2498" s="20">
        <f>IF($N2498="","",IFERROR(IF(VLOOKUP(INDEX(LdBMember,$N2498),AcctTblE,4,0)="","(بدون نام)",VLOOKUP(INDEX(LdBMember,$N2498),AcctTblE,4,0)),"—"))</f>
        <v/>
      </c>
      <c r="F2498" s="21">
        <f>IF($N2498="","",IF(INDEX(LdBAmt,$N2498)=0,"",INDEX(LdBAmt,$N2498)))</f>
        <v/>
      </c>
      <c r="G2498" s="32">
        <f>IF($N2498="","",IF(INDEX(LdBNote,$N2498)="","—",INDEX(LdBNote,$N2498)))</f>
        <v/>
      </c>
      <c r="N2498">
        <f>IFERROR(MATCH($C$5&amp;"|"&amp;RIGHT("000000"&amp;478,6),LdBKeyG,0),"")</f>
        <v/>
      </c>
    </row>
    <row r="2499">
      <c r="A2499" s="10" t="n">
        <v>479</v>
      </c>
      <c r="B2499" s="14">
        <f>IF($N2499="","",INDEX(LdBDate,$N2499))</f>
        <v/>
      </c>
      <c r="C2499" s="14">
        <f>IF($N2499="","",IF(INDEX(LdBId,$N2499)="","—",INDEX(LdBId,$N2499)))</f>
        <v/>
      </c>
      <c r="D2499" s="14">
        <f>IF($N2499="","",INDEX(LdBMember,$N2499))</f>
        <v/>
      </c>
      <c r="E2499" s="14">
        <f>IF($N2499="","",IFERROR(IF(VLOOKUP(INDEX(LdBMember,$N2499),AcctTblE,4,0)="","(بدون نام)",VLOOKUP(INDEX(LdBMember,$N2499),AcctTblE,4,0)),"—"))</f>
        <v/>
      </c>
      <c r="F2499" s="16">
        <f>IF($N2499="","",IF(INDEX(LdBAmt,$N2499)=0,"",INDEX(LdBAmt,$N2499)))</f>
        <v/>
      </c>
      <c r="G2499" s="30">
        <f>IF($N2499="","",IF(INDEX(LdBNote,$N2499)="","—",INDEX(LdBNote,$N2499)))</f>
        <v/>
      </c>
      <c r="N2499">
        <f>IFERROR(MATCH($C$5&amp;"|"&amp;RIGHT("000000"&amp;479,6),LdBKeyG,0),"")</f>
        <v/>
      </c>
    </row>
    <row r="2500">
      <c r="A2500" s="19" t="n">
        <v>480</v>
      </c>
      <c r="B2500" s="20">
        <f>IF($N2500="","",INDEX(LdBDate,$N2500))</f>
        <v/>
      </c>
      <c r="C2500" s="20">
        <f>IF($N2500="","",IF(INDEX(LdBId,$N2500)="","—",INDEX(LdBId,$N2500)))</f>
        <v/>
      </c>
      <c r="D2500" s="20">
        <f>IF($N2500="","",INDEX(LdBMember,$N2500))</f>
        <v/>
      </c>
      <c r="E2500" s="20">
        <f>IF($N2500="","",IFERROR(IF(VLOOKUP(INDEX(LdBMember,$N2500),AcctTblE,4,0)="","(بدون نام)",VLOOKUP(INDEX(LdBMember,$N2500),AcctTblE,4,0)),"—"))</f>
        <v/>
      </c>
      <c r="F2500" s="21">
        <f>IF($N2500="","",IF(INDEX(LdBAmt,$N2500)=0,"",INDEX(LdBAmt,$N2500)))</f>
        <v/>
      </c>
      <c r="G2500" s="32">
        <f>IF($N2500="","",IF(INDEX(LdBNote,$N2500)="","—",INDEX(LdBNote,$N2500)))</f>
        <v/>
      </c>
      <c r="N2500">
        <f>IFERROR(MATCH($C$5&amp;"|"&amp;RIGHT("000000"&amp;480,6),LdBKeyG,0),"")</f>
        <v/>
      </c>
    </row>
    <row r="2501">
      <c r="A2501" s="10" t="n">
        <v>481</v>
      </c>
      <c r="B2501" s="14">
        <f>IF($N2501="","",INDEX(LdBDate,$N2501))</f>
        <v/>
      </c>
      <c r="C2501" s="14">
        <f>IF($N2501="","",IF(INDEX(LdBId,$N2501)="","—",INDEX(LdBId,$N2501)))</f>
        <v/>
      </c>
      <c r="D2501" s="14">
        <f>IF($N2501="","",INDEX(LdBMember,$N2501))</f>
        <v/>
      </c>
      <c r="E2501" s="14">
        <f>IF($N2501="","",IFERROR(IF(VLOOKUP(INDEX(LdBMember,$N2501),AcctTblE,4,0)="","(بدون نام)",VLOOKUP(INDEX(LdBMember,$N2501),AcctTblE,4,0)),"—"))</f>
        <v/>
      </c>
      <c r="F2501" s="16">
        <f>IF($N2501="","",IF(INDEX(LdBAmt,$N2501)=0,"",INDEX(LdBAmt,$N2501)))</f>
        <v/>
      </c>
      <c r="G2501" s="30">
        <f>IF($N2501="","",IF(INDEX(LdBNote,$N2501)="","—",INDEX(LdBNote,$N2501)))</f>
        <v/>
      </c>
      <c r="N2501">
        <f>IFERROR(MATCH($C$5&amp;"|"&amp;RIGHT("000000"&amp;481,6),LdBKeyG,0),"")</f>
        <v/>
      </c>
    </row>
    <row r="2502">
      <c r="A2502" s="19" t="n">
        <v>482</v>
      </c>
      <c r="B2502" s="20">
        <f>IF($N2502="","",INDEX(LdBDate,$N2502))</f>
        <v/>
      </c>
      <c r="C2502" s="20">
        <f>IF($N2502="","",IF(INDEX(LdBId,$N2502)="","—",INDEX(LdBId,$N2502)))</f>
        <v/>
      </c>
      <c r="D2502" s="20">
        <f>IF($N2502="","",INDEX(LdBMember,$N2502))</f>
        <v/>
      </c>
      <c r="E2502" s="20">
        <f>IF($N2502="","",IFERROR(IF(VLOOKUP(INDEX(LdBMember,$N2502),AcctTblE,4,0)="","(بدون نام)",VLOOKUP(INDEX(LdBMember,$N2502),AcctTblE,4,0)),"—"))</f>
        <v/>
      </c>
      <c r="F2502" s="21">
        <f>IF($N2502="","",IF(INDEX(LdBAmt,$N2502)=0,"",INDEX(LdBAmt,$N2502)))</f>
        <v/>
      </c>
      <c r="G2502" s="32">
        <f>IF($N2502="","",IF(INDEX(LdBNote,$N2502)="","—",INDEX(LdBNote,$N2502)))</f>
        <v/>
      </c>
      <c r="N2502">
        <f>IFERROR(MATCH($C$5&amp;"|"&amp;RIGHT("000000"&amp;482,6),LdBKeyG,0),"")</f>
        <v/>
      </c>
    </row>
    <row r="2503">
      <c r="A2503" s="10" t="n">
        <v>483</v>
      </c>
      <c r="B2503" s="14">
        <f>IF($N2503="","",INDEX(LdBDate,$N2503))</f>
        <v/>
      </c>
      <c r="C2503" s="14">
        <f>IF($N2503="","",IF(INDEX(LdBId,$N2503)="","—",INDEX(LdBId,$N2503)))</f>
        <v/>
      </c>
      <c r="D2503" s="14">
        <f>IF($N2503="","",INDEX(LdBMember,$N2503))</f>
        <v/>
      </c>
      <c r="E2503" s="14">
        <f>IF($N2503="","",IFERROR(IF(VLOOKUP(INDEX(LdBMember,$N2503),AcctTblE,4,0)="","(بدون نام)",VLOOKUP(INDEX(LdBMember,$N2503),AcctTblE,4,0)),"—"))</f>
        <v/>
      </c>
      <c r="F2503" s="16">
        <f>IF($N2503="","",IF(INDEX(LdBAmt,$N2503)=0,"",INDEX(LdBAmt,$N2503)))</f>
        <v/>
      </c>
      <c r="G2503" s="30">
        <f>IF($N2503="","",IF(INDEX(LdBNote,$N2503)="","—",INDEX(LdBNote,$N2503)))</f>
        <v/>
      </c>
      <c r="N2503">
        <f>IFERROR(MATCH($C$5&amp;"|"&amp;RIGHT("000000"&amp;483,6),LdBKeyG,0),"")</f>
        <v/>
      </c>
    </row>
    <row r="2504">
      <c r="A2504" s="19" t="n">
        <v>484</v>
      </c>
      <c r="B2504" s="20">
        <f>IF($N2504="","",INDEX(LdBDate,$N2504))</f>
        <v/>
      </c>
      <c r="C2504" s="20">
        <f>IF($N2504="","",IF(INDEX(LdBId,$N2504)="","—",INDEX(LdBId,$N2504)))</f>
        <v/>
      </c>
      <c r="D2504" s="20">
        <f>IF($N2504="","",INDEX(LdBMember,$N2504))</f>
        <v/>
      </c>
      <c r="E2504" s="20">
        <f>IF($N2504="","",IFERROR(IF(VLOOKUP(INDEX(LdBMember,$N2504),AcctTblE,4,0)="","(بدون نام)",VLOOKUP(INDEX(LdBMember,$N2504),AcctTblE,4,0)),"—"))</f>
        <v/>
      </c>
      <c r="F2504" s="21">
        <f>IF($N2504="","",IF(INDEX(LdBAmt,$N2504)=0,"",INDEX(LdBAmt,$N2504)))</f>
        <v/>
      </c>
      <c r="G2504" s="32">
        <f>IF($N2504="","",IF(INDEX(LdBNote,$N2504)="","—",INDEX(LdBNote,$N2504)))</f>
        <v/>
      </c>
      <c r="N2504">
        <f>IFERROR(MATCH($C$5&amp;"|"&amp;RIGHT("000000"&amp;484,6),LdBKeyG,0),"")</f>
        <v/>
      </c>
    </row>
    <row r="2505">
      <c r="A2505" s="10" t="n">
        <v>485</v>
      </c>
      <c r="B2505" s="14">
        <f>IF($N2505="","",INDEX(LdBDate,$N2505))</f>
        <v/>
      </c>
      <c r="C2505" s="14">
        <f>IF($N2505="","",IF(INDEX(LdBId,$N2505)="","—",INDEX(LdBId,$N2505)))</f>
        <v/>
      </c>
      <c r="D2505" s="14">
        <f>IF($N2505="","",INDEX(LdBMember,$N2505))</f>
        <v/>
      </c>
      <c r="E2505" s="14">
        <f>IF($N2505="","",IFERROR(IF(VLOOKUP(INDEX(LdBMember,$N2505),AcctTblE,4,0)="","(بدون نام)",VLOOKUP(INDEX(LdBMember,$N2505),AcctTblE,4,0)),"—"))</f>
        <v/>
      </c>
      <c r="F2505" s="16">
        <f>IF($N2505="","",IF(INDEX(LdBAmt,$N2505)=0,"",INDEX(LdBAmt,$N2505)))</f>
        <v/>
      </c>
      <c r="G2505" s="30">
        <f>IF($N2505="","",IF(INDEX(LdBNote,$N2505)="","—",INDEX(LdBNote,$N2505)))</f>
        <v/>
      </c>
      <c r="N2505">
        <f>IFERROR(MATCH($C$5&amp;"|"&amp;RIGHT("000000"&amp;485,6),LdBKeyG,0),"")</f>
        <v/>
      </c>
    </row>
    <row r="2506">
      <c r="A2506" s="19" t="n">
        <v>486</v>
      </c>
      <c r="B2506" s="20">
        <f>IF($N2506="","",INDEX(LdBDate,$N2506))</f>
        <v/>
      </c>
      <c r="C2506" s="20">
        <f>IF($N2506="","",IF(INDEX(LdBId,$N2506)="","—",INDEX(LdBId,$N2506)))</f>
        <v/>
      </c>
      <c r="D2506" s="20">
        <f>IF($N2506="","",INDEX(LdBMember,$N2506))</f>
        <v/>
      </c>
      <c r="E2506" s="20">
        <f>IF($N2506="","",IFERROR(IF(VLOOKUP(INDEX(LdBMember,$N2506),AcctTblE,4,0)="","(بدون نام)",VLOOKUP(INDEX(LdBMember,$N2506),AcctTblE,4,0)),"—"))</f>
        <v/>
      </c>
      <c r="F2506" s="21">
        <f>IF($N2506="","",IF(INDEX(LdBAmt,$N2506)=0,"",INDEX(LdBAmt,$N2506)))</f>
        <v/>
      </c>
      <c r="G2506" s="32">
        <f>IF($N2506="","",IF(INDEX(LdBNote,$N2506)="","—",INDEX(LdBNote,$N2506)))</f>
        <v/>
      </c>
      <c r="N2506">
        <f>IFERROR(MATCH($C$5&amp;"|"&amp;RIGHT("000000"&amp;486,6),LdBKeyG,0),"")</f>
        <v/>
      </c>
    </row>
    <row r="2507">
      <c r="A2507" s="10" t="n">
        <v>487</v>
      </c>
      <c r="B2507" s="14">
        <f>IF($N2507="","",INDEX(LdBDate,$N2507))</f>
        <v/>
      </c>
      <c r="C2507" s="14">
        <f>IF($N2507="","",IF(INDEX(LdBId,$N2507)="","—",INDEX(LdBId,$N2507)))</f>
        <v/>
      </c>
      <c r="D2507" s="14">
        <f>IF($N2507="","",INDEX(LdBMember,$N2507))</f>
        <v/>
      </c>
      <c r="E2507" s="14">
        <f>IF($N2507="","",IFERROR(IF(VLOOKUP(INDEX(LdBMember,$N2507),AcctTblE,4,0)="","(بدون نام)",VLOOKUP(INDEX(LdBMember,$N2507),AcctTblE,4,0)),"—"))</f>
        <v/>
      </c>
      <c r="F2507" s="16">
        <f>IF($N2507="","",IF(INDEX(LdBAmt,$N2507)=0,"",INDEX(LdBAmt,$N2507)))</f>
        <v/>
      </c>
      <c r="G2507" s="30">
        <f>IF($N2507="","",IF(INDEX(LdBNote,$N2507)="","—",INDEX(LdBNote,$N2507)))</f>
        <v/>
      </c>
      <c r="N2507">
        <f>IFERROR(MATCH($C$5&amp;"|"&amp;RIGHT("000000"&amp;487,6),LdBKeyG,0),"")</f>
        <v/>
      </c>
    </row>
    <row r="2508">
      <c r="A2508" s="19" t="n">
        <v>488</v>
      </c>
      <c r="B2508" s="20">
        <f>IF($N2508="","",INDEX(LdBDate,$N2508))</f>
        <v/>
      </c>
      <c r="C2508" s="20">
        <f>IF($N2508="","",IF(INDEX(LdBId,$N2508)="","—",INDEX(LdBId,$N2508)))</f>
        <v/>
      </c>
      <c r="D2508" s="20">
        <f>IF($N2508="","",INDEX(LdBMember,$N2508))</f>
        <v/>
      </c>
      <c r="E2508" s="20">
        <f>IF($N2508="","",IFERROR(IF(VLOOKUP(INDEX(LdBMember,$N2508),AcctTblE,4,0)="","(بدون نام)",VLOOKUP(INDEX(LdBMember,$N2508),AcctTblE,4,0)),"—"))</f>
        <v/>
      </c>
      <c r="F2508" s="21">
        <f>IF($N2508="","",IF(INDEX(LdBAmt,$N2508)=0,"",INDEX(LdBAmt,$N2508)))</f>
        <v/>
      </c>
      <c r="G2508" s="32">
        <f>IF($N2508="","",IF(INDEX(LdBNote,$N2508)="","—",INDEX(LdBNote,$N2508)))</f>
        <v/>
      </c>
      <c r="N2508">
        <f>IFERROR(MATCH($C$5&amp;"|"&amp;RIGHT("000000"&amp;488,6),LdBKeyG,0),"")</f>
        <v/>
      </c>
    </row>
    <row r="2509">
      <c r="A2509" s="10" t="n">
        <v>489</v>
      </c>
      <c r="B2509" s="14">
        <f>IF($N2509="","",INDEX(LdBDate,$N2509))</f>
        <v/>
      </c>
      <c r="C2509" s="14">
        <f>IF($N2509="","",IF(INDEX(LdBId,$N2509)="","—",INDEX(LdBId,$N2509)))</f>
        <v/>
      </c>
      <c r="D2509" s="14">
        <f>IF($N2509="","",INDEX(LdBMember,$N2509))</f>
        <v/>
      </c>
      <c r="E2509" s="14">
        <f>IF($N2509="","",IFERROR(IF(VLOOKUP(INDEX(LdBMember,$N2509),AcctTblE,4,0)="","(بدون نام)",VLOOKUP(INDEX(LdBMember,$N2509),AcctTblE,4,0)),"—"))</f>
        <v/>
      </c>
      <c r="F2509" s="16">
        <f>IF($N2509="","",IF(INDEX(LdBAmt,$N2509)=0,"",INDEX(LdBAmt,$N2509)))</f>
        <v/>
      </c>
      <c r="G2509" s="30">
        <f>IF($N2509="","",IF(INDEX(LdBNote,$N2509)="","—",INDEX(LdBNote,$N2509)))</f>
        <v/>
      </c>
      <c r="N2509">
        <f>IFERROR(MATCH($C$5&amp;"|"&amp;RIGHT("000000"&amp;489,6),LdBKeyG,0),"")</f>
        <v/>
      </c>
    </row>
    <row r="2510">
      <c r="A2510" s="19" t="n">
        <v>490</v>
      </c>
      <c r="B2510" s="20">
        <f>IF($N2510="","",INDEX(LdBDate,$N2510))</f>
        <v/>
      </c>
      <c r="C2510" s="20">
        <f>IF($N2510="","",IF(INDEX(LdBId,$N2510)="","—",INDEX(LdBId,$N2510)))</f>
        <v/>
      </c>
      <c r="D2510" s="20">
        <f>IF($N2510="","",INDEX(LdBMember,$N2510))</f>
        <v/>
      </c>
      <c r="E2510" s="20">
        <f>IF($N2510="","",IFERROR(IF(VLOOKUP(INDEX(LdBMember,$N2510),AcctTblE,4,0)="","(بدون نام)",VLOOKUP(INDEX(LdBMember,$N2510),AcctTblE,4,0)),"—"))</f>
        <v/>
      </c>
      <c r="F2510" s="21">
        <f>IF($N2510="","",IF(INDEX(LdBAmt,$N2510)=0,"",INDEX(LdBAmt,$N2510)))</f>
        <v/>
      </c>
      <c r="G2510" s="32">
        <f>IF($N2510="","",IF(INDEX(LdBNote,$N2510)="","—",INDEX(LdBNote,$N2510)))</f>
        <v/>
      </c>
      <c r="N2510">
        <f>IFERROR(MATCH($C$5&amp;"|"&amp;RIGHT("000000"&amp;490,6),LdBKeyG,0),"")</f>
        <v/>
      </c>
    </row>
    <row r="2511">
      <c r="A2511" s="10" t="n">
        <v>491</v>
      </c>
      <c r="B2511" s="14">
        <f>IF($N2511="","",INDEX(LdBDate,$N2511))</f>
        <v/>
      </c>
      <c r="C2511" s="14">
        <f>IF($N2511="","",IF(INDEX(LdBId,$N2511)="","—",INDEX(LdBId,$N2511)))</f>
        <v/>
      </c>
      <c r="D2511" s="14">
        <f>IF($N2511="","",INDEX(LdBMember,$N2511))</f>
        <v/>
      </c>
      <c r="E2511" s="14">
        <f>IF($N2511="","",IFERROR(IF(VLOOKUP(INDEX(LdBMember,$N2511),AcctTblE,4,0)="","(بدون نام)",VLOOKUP(INDEX(LdBMember,$N2511),AcctTblE,4,0)),"—"))</f>
        <v/>
      </c>
      <c r="F2511" s="16">
        <f>IF($N2511="","",IF(INDEX(LdBAmt,$N2511)=0,"",INDEX(LdBAmt,$N2511)))</f>
        <v/>
      </c>
      <c r="G2511" s="30">
        <f>IF($N2511="","",IF(INDEX(LdBNote,$N2511)="","—",INDEX(LdBNote,$N2511)))</f>
        <v/>
      </c>
      <c r="N2511">
        <f>IFERROR(MATCH($C$5&amp;"|"&amp;RIGHT("000000"&amp;491,6),LdBKeyG,0),"")</f>
        <v/>
      </c>
    </row>
    <row r="2512">
      <c r="A2512" s="19" t="n">
        <v>492</v>
      </c>
      <c r="B2512" s="20">
        <f>IF($N2512="","",INDEX(LdBDate,$N2512))</f>
        <v/>
      </c>
      <c r="C2512" s="20">
        <f>IF($N2512="","",IF(INDEX(LdBId,$N2512)="","—",INDEX(LdBId,$N2512)))</f>
        <v/>
      </c>
      <c r="D2512" s="20">
        <f>IF($N2512="","",INDEX(LdBMember,$N2512))</f>
        <v/>
      </c>
      <c r="E2512" s="20">
        <f>IF($N2512="","",IFERROR(IF(VLOOKUP(INDEX(LdBMember,$N2512),AcctTblE,4,0)="","(بدون نام)",VLOOKUP(INDEX(LdBMember,$N2512),AcctTblE,4,0)),"—"))</f>
        <v/>
      </c>
      <c r="F2512" s="21">
        <f>IF($N2512="","",IF(INDEX(LdBAmt,$N2512)=0,"",INDEX(LdBAmt,$N2512)))</f>
        <v/>
      </c>
      <c r="G2512" s="32">
        <f>IF($N2512="","",IF(INDEX(LdBNote,$N2512)="","—",INDEX(LdBNote,$N2512)))</f>
        <v/>
      </c>
      <c r="N2512">
        <f>IFERROR(MATCH($C$5&amp;"|"&amp;RIGHT("000000"&amp;492,6),LdBKeyG,0),"")</f>
        <v/>
      </c>
    </row>
    <row r="2513">
      <c r="A2513" s="10" t="n">
        <v>493</v>
      </c>
      <c r="B2513" s="14">
        <f>IF($N2513="","",INDEX(LdBDate,$N2513))</f>
        <v/>
      </c>
      <c r="C2513" s="14">
        <f>IF($N2513="","",IF(INDEX(LdBId,$N2513)="","—",INDEX(LdBId,$N2513)))</f>
        <v/>
      </c>
      <c r="D2513" s="14">
        <f>IF($N2513="","",INDEX(LdBMember,$N2513))</f>
        <v/>
      </c>
      <c r="E2513" s="14">
        <f>IF($N2513="","",IFERROR(IF(VLOOKUP(INDEX(LdBMember,$N2513),AcctTblE,4,0)="","(بدون نام)",VLOOKUP(INDEX(LdBMember,$N2513),AcctTblE,4,0)),"—"))</f>
        <v/>
      </c>
      <c r="F2513" s="16">
        <f>IF($N2513="","",IF(INDEX(LdBAmt,$N2513)=0,"",INDEX(LdBAmt,$N2513)))</f>
        <v/>
      </c>
      <c r="G2513" s="30">
        <f>IF($N2513="","",IF(INDEX(LdBNote,$N2513)="","—",INDEX(LdBNote,$N2513)))</f>
        <v/>
      </c>
      <c r="N2513">
        <f>IFERROR(MATCH($C$5&amp;"|"&amp;RIGHT("000000"&amp;493,6),LdBKeyG,0),"")</f>
        <v/>
      </c>
    </row>
    <row r="2514">
      <c r="A2514" s="19" t="n">
        <v>494</v>
      </c>
      <c r="B2514" s="20">
        <f>IF($N2514="","",INDEX(LdBDate,$N2514))</f>
        <v/>
      </c>
      <c r="C2514" s="20">
        <f>IF($N2514="","",IF(INDEX(LdBId,$N2514)="","—",INDEX(LdBId,$N2514)))</f>
        <v/>
      </c>
      <c r="D2514" s="20">
        <f>IF($N2514="","",INDEX(LdBMember,$N2514))</f>
        <v/>
      </c>
      <c r="E2514" s="20">
        <f>IF($N2514="","",IFERROR(IF(VLOOKUP(INDEX(LdBMember,$N2514),AcctTblE,4,0)="","(بدون نام)",VLOOKUP(INDEX(LdBMember,$N2514),AcctTblE,4,0)),"—"))</f>
        <v/>
      </c>
      <c r="F2514" s="21">
        <f>IF($N2514="","",IF(INDEX(LdBAmt,$N2514)=0,"",INDEX(LdBAmt,$N2514)))</f>
        <v/>
      </c>
      <c r="G2514" s="32">
        <f>IF($N2514="","",IF(INDEX(LdBNote,$N2514)="","—",INDEX(LdBNote,$N2514)))</f>
        <v/>
      </c>
      <c r="N2514">
        <f>IFERROR(MATCH($C$5&amp;"|"&amp;RIGHT("000000"&amp;494,6),LdBKeyG,0),"")</f>
        <v/>
      </c>
    </row>
    <row r="2515">
      <c r="A2515" s="10" t="n">
        <v>495</v>
      </c>
      <c r="B2515" s="14">
        <f>IF($N2515="","",INDEX(LdBDate,$N2515))</f>
        <v/>
      </c>
      <c r="C2515" s="14">
        <f>IF($N2515="","",IF(INDEX(LdBId,$N2515)="","—",INDEX(LdBId,$N2515)))</f>
        <v/>
      </c>
      <c r="D2515" s="14">
        <f>IF($N2515="","",INDEX(LdBMember,$N2515))</f>
        <v/>
      </c>
      <c r="E2515" s="14">
        <f>IF($N2515="","",IFERROR(IF(VLOOKUP(INDEX(LdBMember,$N2515),AcctTblE,4,0)="","(بدون نام)",VLOOKUP(INDEX(LdBMember,$N2515),AcctTblE,4,0)),"—"))</f>
        <v/>
      </c>
      <c r="F2515" s="16">
        <f>IF($N2515="","",IF(INDEX(LdBAmt,$N2515)=0,"",INDEX(LdBAmt,$N2515)))</f>
        <v/>
      </c>
      <c r="G2515" s="30">
        <f>IF($N2515="","",IF(INDEX(LdBNote,$N2515)="","—",INDEX(LdBNote,$N2515)))</f>
        <v/>
      </c>
      <c r="N2515">
        <f>IFERROR(MATCH($C$5&amp;"|"&amp;RIGHT("000000"&amp;495,6),LdBKeyG,0),"")</f>
        <v/>
      </c>
    </row>
    <row r="2516">
      <c r="A2516" s="19" t="n">
        <v>496</v>
      </c>
      <c r="B2516" s="20">
        <f>IF($N2516="","",INDEX(LdBDate,$N2516))</f>
        <v/>
      </c>
      <c r="C2516" s="20">
        <f>IF($N2516="","",IF(INDEX(LdBId,$N2516)="","—",INDEX(LdBId,$N2516)))</f>
        <v/>
      </c>
      <c r="D2516" s="20">
        <f>IF($N2516="","",INDEX(LdBMember,$N2516))</f>
        <v/>
      </c>
      <c r="E2516" s="20">
        <f>IF($N2516="","",IFERROR(IF(VLOOKUP(INDEX(LdBMember,$N2516),AcctTblE,4,0)="","(بدون نام)",VLOOKUP(INDEX(LdBMember,$N2516),AcctTblE,4,0)),"—"))</f>
        <v/>
      </c>
      <c r="F2516" s="21">
        <f>IF($N2516="","",IF(INDEX(LdBAmt,$N2516)=0,"",INDEX(LdBAmt,$N2516)))</f>
        <v/>
      </c>
      <c r="G2516" s="32">
        <f>IF($N2516="","",IF(INDEX(LdBNote,$N2516)="","—",INDEX(LdBNote,$N2516)))</f>
        <v/>
      </c>
      <c r="N2516">
        <f>IFERROR(MATCH($C$5&amp;"|"&amp;RIGHT("000000"&amp;496,6),LdBKeyG,0),"")</f>
        <v/>
      </c>
    </row>
    <row r="2517">
      <c r="A2517" s="10" t="n">
        <v>497</v>
      </c>
      <c r="B2517" s="14">
        <f>IF($N2517="","",INDEX(LdBDate,$N2517))</f>
        <v/>
      </c>
      <c r="C2517" s="14">
        <f>IF($N2517="","",IF(INDEX(LdBId,$N2517)="","—",INDEX(LdBId,$N2517)))</f>
        <v/>
      </c>
      <c r="D2517" s="14">
        <f>IF($N2517="","",INDEX(LdBMember,$N2517))</f>
        <v/>
      </c>
      <c r="E2517" s="14">
        <f>IF($N2517="","",IFERROR(IF(VLOOKUP(INDEX(LdBMember,$N2517),AcctTblE,4,0)="","(بدون نام)",VLOOKUP(INDEX(LdBMember,$N2517),AcctTblE,4,0)),"—"))</f>
        <v/>
      </c>
      <c r="F2517" s="16">
        <f>IF($N2517="","",IF(INDEX(LdBAmt,$N2517)=0,"",INDEX(LdBAmt,$N2517)))</f>
        <v/>
      </c>
      <c r="G2517" s="30">
        <f>IF($N2517="","",IF(INDEX(LdBNote,$N2517)="","—",INDEX(LdBNote,$N2517)))</f>
        <v/>
      </c>
      <c r="N2517">
        <f>IFERROR(MATCH($C$5&amp;"|"&amp;RIGHT("000000"&amp;497,6),LdBKeyG,0),"")</f>
        <v/>
      </c>
    </row>
    <row r="2518">
      <c r="A2518" s="19" t="n">
        <v>498</v>
      </c>
      <c r="B2518" s="20">
        <f>IF($N2518="","",INDEX(LdBDate,$N2518))</f>
        <v/>
      </c>
      <c r="C2518" s="20">
        <f>IF($N2518="","",IF(INDEX(LdBId,$N2518)="","—",INDEX(LdBId,$N2518)))</f>
        <v/>
      </c>
      <c r="D2518" s="20">
        <f>IF($N2518="","",INDEX(LdBMember,$N2518))</f>
        <v/>
      </c>
      <c r="E2518" s="20">
        <f>IF($N2518="","",IFERROR(IF(VLOOKUP(INDEX(LdBMember,$N2518),AcctTblE,4,0)="","(بدون نام)",VLOOKUP(INDEX(LdBMember,$N2518),AcctTblE,4,0)),"—"))</f>
        <v/>
      </c>
      <c r="F2518" s="21">
        <f>IF($N2518="","",IF(INDEX(LdBAmt,$N2518)=0,"",INDEX(LdBAmt,$N2518)))</f>
        <v/>
      </c>
      <c r="G2518" s="32">
        <f>IF($N2518="","",IF(INDEX(LdBNote,$N2518)="","—",INDEX(LdBNote,$N2518)))</f>
        <v/>
      </c>
      <c r="N2518">
        <f>IFERROR(MATCH($C$5&amp;"|"&amp;RIGHT("000000"&amp;498,6),LdBKeyG,0),"")</f>
        <v/>
      </c>
    </row>
    <row r="2519">
      <c r="A2519" s="10" t="n">
        <v>499</v>
      </c>
      <c r="B2519" s="14">
        <f>IF($N2519="","",INDEX(LdBDate,$N2519))</f>
        <v/>
      </c>
      <c r="C2519" s="14">
        <f>IF($N2519="","",IF(INDEX(LdBId,$N2519)="","—",INDEX(LdBId,$N2519)))</f>
        <v/>
      </c>
      <c r="D2519" s="14">
        <f>IF($N2519="","",INDEX(LdBMember,$N2519))</f>
        <v/>
      </c>
      <c r="E2519" s="14">
        <f>IF($N2519="","",IFERROR(IF(VLOOKUP(INDEX(LdBMember,$N2519),AcctTblE,4,0)="","(بدون نام)",VLOOKUP(INDEX(LdBMember,$N2519),AcctTblE,4,0)),"—"))</f>
        <v/>
      </c>
      <c r="F2519" s="16">
        <f>IF($N2519="","",IF(INDEX(LdBAmt,$N2519)=0,"",INDEX(LdBAmt,$N2519)))</f>
        <v/>
      </c>
      <c r="G2519" s="30">
        <f>IF($N2519="","",IF(INDEX(LdBNote,$N2519)="","—",INDEX(LdBNote,$N2519)))</f>
        <v/>
      </c>
      <c r="N2519">
        <f>IFERROR(MATCH($C$5&amp;"|"&amp;RIGHT("000000"&amp;499,6),LdBKeyG,0),"")</f>
        <v/>
      </c>
    </row>
    <row r="2520">
      <c r="A2520" s="19" t="n">
        <v>500</v>
      </c>
      <c r="B2520" s="20">
        <f>IF($N2520="","",INDEX(LdBDate,$N2520))</f>
        <v/>
      </c>
      <c r="C2520" s="20">
        <f>IF($N2520="","",IF(INDEX(LdBId,$N2520)="","—",INDEX(LdBId,$N2520)))</f>
        <v/>
      </c>
      <c r="D2520" s="20">
        <f>IF($N2520="","",INDEX(LdBMember,$N2520))</f>
        <v/>
      </c>
      <c r="E2520" s="20">
        <f>IF($N2520="","",IFERROR(IF(VLOOKUP(INDEX(LdBMember,$N2520),AcctTblE,4,0)="","(بدون نام)",VLOOKUP(INDEX(LdBMember,$N2520),AcctTblE,4,0)),"—"))</f>
        <v/>
      </c>
      <c r="F2520" s="21">
        <f>IF($N2520="","",IF(INDEX(LdBAmt,$N2520)=0,"",INDEX(LdBAmt,$N2520)))</f>
        <v/>
      </c>
      <c r="G2520" s="32">
        <f>IF($N2520="","",IF(INDEX(LdBNote,$N2520)="","—",INDEX(LdBNote,$N2520)))</f>
        <v/>
      </c>
      <c r="N2520">
        <f>IFERROR(MATCH($C$5&amp;"|"&amp;RIGHT("000000"&amp;500,6),LdBKeyG,0),"")</f>
        <v/>
      </c>
    </row>
    <row r="2521">
      <c r="A2521" s="10" t="n">
        <v>501</v>
      </c>
      <c r="B2521" s="14">
        <f>IF($N2521="","",INDEX(LdBDate,$N2521))</f>
        <v/>
      </c>
      <c r="C2521" s="14">
        <f>IF($N2521="","",IF(INDEX(LdBId,$N2521)="","—",INDEX(LdBId,$N2521)))</f>
        <v/>
      </c>
      <c r="D2521" s="14">
        <f>IF($N2521="","",INDEX(LdBMember,$N2521))</f>
        <v/>
      </c>
      <c r="E2521" s="14">
        <f>IF($N2521="","",IFERROR(IF(VLOOKUP(INDEX(LdBMember,$N2521),AcctTblE,4,0)="","(بدون نام)",VLOOKUP(INDEX(LdBMember,$N2521),AcctTblE,4,0)),"—"))</f>
        <v/>
      </c>
      <c r="F2521" s="16">
        <f>IF($N2521="","",IF(INDEX(LdBAmt,$N2521)=0,"",INDEX(LdBAmt,$N2521)))</f>
        <v/>
      </c>
      <c r="G2521" s="30">
        <f>IF($N2521="","",IF(INDEX(LdBNote,$N2521)="","—",INDEX(LdBNote,$N2521)))</f>
        <v/>
      </c>
      <c r="N2521">
        <f>IFERROR(MATCH($C$5&amp;"|"&amp;RIGHT("000000"&amp;501,6),LdBKeyG,0),"")</f>
        <v/>
      </c>
    </row>
    <row r="2522">
      <c r="A2522" s="19" t="n">
        <v>502</v>
      </c>
      <c r="B2522" s="20">
        <f>IF($N2522="","",INDEX(LdBDate,$N2522))</f>
        <v/>
      </c>
      <c r="C2522" s="20">
        <f>IF($N2522="","",IF(INDEX(LdBId,$N2522)="","—",INDEX(LdBId,$N2522)))</f>
        <v/>
      </c>
      <c r="D2522" s="20">
        <f>IF($N2522="","",INDEX(LdBMember,$N2522))</f>
        <v/>
      </c>
      <c r="E2522" s="20">
        <f>IF($N2522="","",IFERROR(IF(VLOOKUP(INDEX(LdBMember,$N2522),AcctTblE,4,0)="","(بدون نام)",VLOOKUP(INDEX(LdBMember,$N2522),AcctTblE,4,0)),"—"))</f>
        <v/>
      </c>
      <c r="F2522" s="21">
        <f>IF($N2522="","",IF(INDEX(LdBAmt,$N2522)=0,"",INDEX(LdBAmt,$N2522)))</f>
        <v/>
      </c>
      <c r="G2522" s="32">
        <f>IF($N2522="","",IF(INDEX(LdBNote,$N2522)="","—",INDEX(LdBNote,$N2522)))</f>
        <v/>
      </c>
      <c r="N2522">
        <f>IFERROR(MATCH($C$5&amp;"|"&amp;RIGHT("000000"&amp;502,6),LdBKeyG,0),"")</f>
        <v/>
      </c>
    </row>
    <row r="2523">
      <c r="A2523" s="10" t="n">
        <v>503</v>
      </c>
      <c r="B2523" s="14">
        <f>IF($N2523="","",INDEX(LdBDate,$N2523))</f>
        <v/>
      </c>
      <c r="C2523" s="14">
        <f>IF($N2523="","",IF(INDEX(LdBId,$N2523)="","—",INDEX(LdBId,$N2523)))</f>
        <v/>
      </c>
      <c r="D2523" s="14">
        <f>IF($N2523="","",INDEX(LdBMember,$N2523))</f>
        <v/>
      </c>
      <c r="E2523" s="14">
        <f>IF($N2523="","",IFERROR(IF(VLOOKUP(INDEX(LdBMember,$N2523),AcctTblE,4,0)="","(بدون نام)",VLOOKUP(INDEX(LdBMember,$N2523),AcctTblE,4,0)),"—"))</f>
        <v/>
      </c>
      <c r="F2523" s="16">
        <f>IF($N2523="","",IF(INDEX(LdBAmt,$N2523)=0,"",INDEX(LdBAmt,$N2523)))</f>
        <v/>
      </c>
      <c r="G2523" s="30">
        <f>IF($N2523="","",IF(INDEX(LdBNote,$N2523)="","—",INDEX(LdBNote,$N2523)))</f>
        <v/>
      </c>
      <c r="N2523">
        <f>IFERROR(MATCH($C$5&amp;"|"&amp;RIGHT("000000"&amp;503,6),LdBKeyG,0),"")</f>
        <v/>
      </c>
    </row>
    <row r="2524">
      <c r="A2524" s="19" t="n">
        <v>504</v>
      </c>
      <c r="B2524" s="20">
        <f>IF($N2524="","",INDEX(LdBDate,$N2524))</f>
        <v/>
      </c>
      <c r="C2524" s="20">
        <f>IF($N2524="","",IF(INDEX(LdBId,$N2524)="","—",INDEX(LdBId,$N2524)))</f>
        <v/>
      </c>
      <c r="D2524" s="20">
        <f>IF($N2524="","",INDEX(LdBMember,$N2524))</f>
        <v/>
      </c>
      <c r="E2524" s="20">
        <f>IF($N2524="","",IFERROR(IF(VLOOKUP(INDEX(LdBMember,$N2524),AcctTblE,4,0)="","(بدون نام)",VLOOKUP(INDEX(LdBMember,$N2524),AcctTblE,4,0)),"—"))</f>
        <v/>
      </c>
      <c r="F2524" s="21">
        <f>IF($N2524="","",IF(INDEX(LdBAmt,$N2524)=0,"",INDEX(LdBAmt,$N2524)))</f>
        <v/>
      </c>
      <c r="G2524" s="32">
        <f>IF($N2524="","",IF(INDEX(LdBNote,$N2524)="","—",INDEX(LdBNote,$N2524)))</f>
        <v/>
      </c>
      <c r="N2524">
        <f>IFERROR(MATCH($C$5&amp;"|"&amp;RIGHT("000000"&amp;504,6),LdBKeyG,0),"")</f>
        <v/>
      </c>
    </row>
    <row r="2525">
      <c r="A2525" s="10" t="n">
        <v>505</v>
      </c>
      <c r="B2525" s="14">
        <f>IF($N2525="","",INDEX(LdBDate,$N2525))</f>
        <v/>
      </c>
      <c r="C2525" s="14">
        <f>IF($N2525="","",IF(INDEX(LdBId,$N2525)="","—",INDEX(LdBId,$N2525)))</f>
        <v/>
      </c>
      <c r="D2525" s="14">
        <f>IF($N2525="","",INDEX(LdBMember,$N2525))</f>
        <v/>
      </c>
      <c r="E2525" s="14">
        <f>IF($N2525="","",IFERROR(IF(VLOOKUP(INDEX(LdBMember,$N2525),AcctTblE,4,0)="","(بدون نام)",VLOOKUP(INDEX(LdBMember,$N2525),AcctTblE,4,0)),"—"))</f>
        <v/>
      </c>
      <c r="F2525" s="16">
        <f>IF($N2525="","",IF(INDEX(LdBAmt,$N2525)=0,"",INDEX(LdBAmt,$N2525)))</f>
        <v/>
      </c>
      <c r="G2525" s="30">
        <f>IF($N2525="","",IF(INDEX(LdBNote,$N2525)="","—",INDEX(LdBNote,$N2525)))</f>
        <v/>
      </c>
      <c r="N2525">
        <f>IFERROR(MATCH($C$5&amp;"|"&amp;RIGHT("000000"&amp;505,6),LdBKeyG,0),"")</f>
        <v/>
      </c>
    </row>
    <row r="2526">
      <c r="A2526" s="19" t="n">
        <v>506</v>
      </c>
      <c r="B2526" s="20">
        <f>IF($N2526="","",INDEX(LdBDate,$N2526))</f>
        <v/>
      </c>
      <c r="C2526" s="20">
        <f>IF($N2526="","",IF(INDEX(LdBId,$N2526)="","—",INDEX(LdBId,$N2526)))</f>
        <v/>
      </c>
      <c r="D2526" s="20">
        <f>IF($N2526="","",INDEX(LdBMember,$N2526))</f>
        <v/>
      </c>
      <c r="E2526" s="20">
        <f>IF($N2526="","",IFERROR(IF(VLOOKUP(INDEX(LdBMember,$N2526),AcctTblE,4,0)="","(بدون نام)",VLOOKUP(INDEX(LdBMember,$N2526),AcctTblE,4,0)),"—"))</f>
        <v/>
      </c>
      <c r="F2526" s="21">
        <f>IF($N2526="","",IF(INDEX(LdBAmt,$N2526)=0,"",INDEX(LdBAmt,$N2526)))</f>
        <v/>
      </c>
      <c r="G2526" s="32">
        <f>IF($N2526="","",IF(INDEX(LdBNote,$N2526)="","—",INDEX(LdBNote,$N2526)))</f>
        <v/>
      </c>
      <c r="N2526">
        <f>IFERROR(MATCH($C$5&amp;"|"&amp;RIGHT("000000"&amp;506,6),LdBKeyG,0),"")</f>
        <v/>
      </c>
    </row>
    <row r="2527">
      <c r="A2527" s="10" t="n">
        <v>507</v>
      </c>
      <c r="B2527" s="14">
        <f>IF($N2527="","",INDEX(LdBDate,$N2527))</f>
        <v/>
      </c>
      <c r="C2527" s="14">
        <f>IF($N2527="","",IF(INDEX(LdBId,$N2527)="","—",INDEX(LdBId,$N2527)))</f>
        <v/>
      </c>
      <c r="D2527" s="14">
        <f>IF($N2527="","",INDEX(LdBMember,$N2527))</f>
        <v/>
      </c>
      <c r="E2527" s="14">
        <f>IF($N2527="","",IFERROR(IF(VLOOKUP(INDEX(LdBMember,$N2527),AcctTblE,4,0)="","(بدون نام)",VLOOKUP(INDEX(LdBMember,$N2527),AcctTblE,4,0)),"—"))</f>
        <v/>
      </c>
      <c r="F2527" s="16">
        <f>IF($N2527="","",IF(INDEX(LdBAmt,$N2527)=0,"",INDEX(LdBAmt,$N2527)))</f>
        <v/>
      </c>
      <c r="G2527" s="30">
        <f>IF($N2527="","",IF(INDEX(LdBNote,$N2527)="","—",INDEX(LdBNote,$N2527)))</f>
        <v/>
      </c>
      <c r="N2527">
        <f>IFERROR(MATCH($C$5&amp;"|"&amp;RIGHT("000000"&amp;507,6),LdBKeyG,0),"")</f>
        <v/>
      </c>
    </row>
    <row r="2528">
      <c r="A2528" s="19" t="n">
        <v>508</v>
      </c>
      <c r="B2528" s="20">
        <f>IF($N2528="","",INDEX(LdBDate,$N2528))</f>
        <v/>
      </c>
      <c r="C2528" s="20">
        <f>IF($N2528="","",IF(INDEX(LdBId,$N2528)="","—",INDEX(LdBId,$N2528)))</f>
        <v/>
      </c>
      <c r="D2528" s="20">
        <f>IF($N2528="","",INDEX(LdBMember,$N2528))</f>
        <v/>
      </c>
      <c r="E2528" s="20">
        <f>IF($N2528="","",IFERROR(IF(VLOOKUP(INDEX(LdBMember,$N2528),AcctTblE,4,0)="","(بدون نام)",VLOOKUP(INDEX(LdBMember,$N2528),AcctTblE,4,0)),"—"))</f>
        <v/>
      </c>
      <c r="F2528" s="21">
        <f>IF($N2528="","",IF(INDEX(LdBAmt,$N2528)=0,"",INDEX(LdBAmt,$N2528)))</f>
        <v/>
      </c>
      <c r="G2528" s="32">
        <f>IF($N2528="","",IF(INDEX(LdBNote,$N2528)="","—",INDEX(LdBNote,$N2528)))</f>
        <v/>
      </c>
      <c r="N2528">
        <f>IFERROR(MATCH($C$5&amp;"|"&amp;RIGHT("000000"&amp;508,6),LdBKeyG,0),"")</f>
        <v/>
      </c>
    </row>
    <row r="2529">
      <c r="A2529" s="10" t="n">
        <v>509</v>
      </c>
      <c r="B2529" s="14">
        <f>IF($N2529="","",INDEX(LdBDate,$N2529))</f>
        <v/>
      </c>
      <c r="C2529" s="14">
        <f>IF($N2529="","",IF(INDEX(LdBId,$N2529)="","—",INDEX(LdBId,$N2529)))</f>
        <v/>
      </c>
      <c r="D2529" s="14">
        <f>IF($N2529="","",INDEX(LdBMember,$N2529))</f>
        <v/>
      </c>
      <c r="E2529" s="14">
        <f>IF($N2529="","",IFERROR(IF(VLOOKUP(INDEX(LdBMember,$N2529),AcctTblE,4,0)="","(بدون نام)",VLOOKUP(INDEX(LdBMember,$N2529),AcctTblE,4,0)),"—"))</f>
        <v/>
      </c>
      <c r="F2529" s="16">
        <f>IF($N2529="","",IF(INDEX(LdBAmt,$N2529)=0,"",INDEX(LdBAmt,$N2529)))</f>
        <v/>
      </c>
      <c r="G2529" s="30">
        <f>IF($N2529="","",IF(INDEX(LdBNote,$N2529)="","—",INDEX(LdBNote,$N2529)))</f>
        <v/>
      </c>
      <c r="N2529">
        <f>IFERROR(MATCH($C$5&amp;"|"&amp;RIGHT("000000"&amp;509,6),LdBKeyG,0),"")</f>
        <v/>
      </c>
    </row>
    <row r="2530">
      <c r="A2530" s="19" t="n">
        <v>510</v>
      </c>
      <c r="B2530" s="20">
        <f>IF($N2530="","",INDEX(LdBDate,$N2530))</f>
        <v/>
      </c>
      <c r="C2530" s="20">
        <f>IF($N2530="","",IF(INDEX(LdBId,$N2530)="","—",INDEX(LdBId,$N2530)))</f>
        <v/>
      </c>
      <c r="D2530" s="20">
        <f>IF($N2530="","",INDEX(LdBMember,$N2530))</f>
        <v/>
      </c>
      <c r="E2530" s="20">
        <f>IF($N2530="","",IFERROR(IF(VLOOKUP(INDEX(LdBMember,$N2530),AcctTblE,4,0)="","(بدون نام)",VLOOKUP(INDEX(LdBMember,$N2530),AcctTblE,4,0)),"—"))</f>
        <v/>
      </c>
      <c r="F2530" s="21">
        <f>IF($N2530="","",IF(INDEX(LdBAmt,$N2530)=0,"",INDEX(LdBAmt,$N2530)))</f>
        <v/>
      </c>
      <c r="G2530" s="32">
        <f>IF($N2530="","",IF(INDEX(LdBNote,$N2530)="","—",INDEX(LdBNote,$N2530)))</f>
        <v/>
      </c>
      <c r="N2530">
        <f>IFERROR(MATCH($C$5&amp;"|"&amp;RIGHT("000000"&amp;510,6),LdBKeyG,0),"")</f>
        <v/>
      </c>
    </row>
    <row r="2531">
      <c r="A2531" s="10" t="n">
        <v>511</v>
      </c>
      <c r="B2531" s="14">
        <f>IF($N2531="","",INDEX(LdBDate,$N2531))</f>
        <v/>
      </c>
      <c r="C2531" s="14">
        <f>IF($N2531="","",IF(INDEX(LdBId,$N2531)="","—",INDEX(LdBId,$N2531)))</f>
        <v/>
      </c>
      <c r="D2531" s="14">
        <f>IF($N2531="","",INDEX(LdBMember,$N2531))</f>
        <v/>
      </c>
      <c r="E2531" s="14">
        <f>IF($N2531="","",IFERROR(IF(VLOOKUP(INDEX(LdBMember,$N2531),AcctTblE,4,0)="","(بدون نام)",VLOOKUP(INDEX(LdBMember,$N2531),AcctTblE,4,0)),"—"))</f>
        <v/>
      </c>
      <c r="F2531" s="16">
        <f>IF($N2531="","",IF(INDEX(LdBAmt,$N2531)=0,"",INDEX(LdBAmt,$N2531)))</f>
        <v/>
      </c>
      <c r="G2531" s="30">
        <f>IF($N2531="","",IF(INDEX(LdBNote,$N2531)="","—",INDEX(LdBNote,$N2531)))</f>
        <v/>
      </c>
      <c r="N2531">
        <f>IFERROR(MATCH($C$5&amp;"|"&amp;RIGHT("000000"&amp;511,6),LdBKeyG,0),"")</f>
        <v/>
      </c>
    </row>
    <row r="2532">
      <c r="A2532" s="19" t="n">
        <v>512</v>
      </c>
      <c r="B2532" s="20">
        <f>IF($N2532="","",INDEX(LdBDate,$N2532))</f>
        <v/>
      </c>
      <c r="C2532" s="20">
        <f>IF($N2532="","",IF(INDEX(LdBId,$N2532)="","—",INDEX(LdBId,$N2532)))</f>
        <v/>
      </c>
      <c r="D2532" s="20">
        <f>IF($N2532="","",INDEX(LdBMember,$N2532))</f>
        <v/>
      </c>
      <c r="E2532" s="20">
        <f>IF($N2532="","",IFERROR(IF(VLOOKUP(INDEX(LdBMember,$N2532),AcctTblE,4,0)="","(بدون نام)",VLOOKUP(INDEX(LdBMember,$N2532),AcctTblE,4,0)),"—"))</f>
        <v/>
      </c>
      <c r="F2532" s="21">
        <f>IF($N2532="","",IF(INDEX(LdBAmt,$N2532)=0,"",INDEX(LdBAmt,$N2532)))</f>
        <v/>
      </c>
      <c r="G2532" s="32">
        <f>IF($N2532="","",IF(INDEX(LdBNote,$N2532)="","—",INDEX(LdBNote,$N2532)))</f>
        <v/>
      </c>
      <c r="N2532">
        <f>IFERROR(MATCH($C$5&amp;"|"&amp;RIGHT("000000"&amp;512,6),LdBKeyG,0),"")</f>
        <v/>
      </c>
    </row>
    <row r="2533">
      <c r="A2533" s="10" t="n">
        <v>513</v>
      </c>
      <c r="B2533" s="14">
        <f>IF($N2533="","",INDEX(LdBDate,$N2533))</f>
        <v/>
      </c>
      <c r="C2533" s="14">
        <f>IF($N2533="","",IF(INDEX(LdBId,$N2533)="","—",INDEX(LdBId,$N2533)))</f>
        <v/>
      </c>
      <c r="D2533" s="14">
        <f>IF($N2533="","",INDEX(LdBMember,$N2533))</f>
        <v/>
      </c>
      <c r="E2533" s="14">
        <f>IF($N2533="","",IFERROR(IF(VLOOKUP(INDEX(LdBMember,$N2533),AcctTblE,4,0)="","(بدون نام)",VLOOKUP(INDEX(LdBMember,$N2533),AcctTblE,4,0)),"—"))</f>
        <v/>
      </c>
      <c r="F2533" s="16">
        <f>IF($N2533="","",IF(INDEX(LdBAmt,$N2533)=0,"",INDEX(LdBAmt,$N2533)))</f>
        <v/>
      </c>
      <c r="G2533" s="30">
        <f>IF($N2533="","",IF(INDEX(LdBNote,$N2533)="","—",INDEX(LdBNote,$N2533)))</f>
        <v/>
      </c>
      <c r="N2533">
        <f>IFERROR(MATCH($C$5&amp;"|"&amp;RIGHT("000000"&amp;513,6),LdBKeyG,0),"")</f>
        <v/>
      </c>
    </row>
    <row r="2534">
      <c r="A2534" s="19" t="n">
        <v>514</v>
      </c>
      <c r="B2534" s="20">
        <f>IF($N2534="","",INDEX(LdBDate,$N2534))</f>
        <v/>
      </c>
      <c r="C2534" s="20">
        <f>IF($N2534="","",IF(INDEX(LdBId,$N2534)="","—",INDEX(LdBId,$N2534)))</f>
        <v/>
      </c>
      <c r="D2534" s="20">
        <f>IF($N2534="","",INDEX(LdBMember,$N2534))</f>
        <v/>
      </c>
      <c r="E2534" s="20">
        <f>IF($N2534="","",IFERROR(IF(VLOOKUP(INDEX(LdBMember,$N2534),AcctTblE,4,0)="","(بدون نام)",VLOOKUP(INDEX(LdBMember,$N2534),AcctTblE,4,0)),"—"))</f>
        <v/>
      </c>
      <c r="F2534" s="21">
        <f>IF($N2534="","",IF(INDEX(LdBAmt,$N2534)=0,"",INDEX(LdBAmt,$N2534)))</f>
        <v/>
      </c>
      <c r="G2534" s="32">
        <f>IF($N2534="","",IF(INDEX(LdBNote,$N2534)="","—",INDEX(LdBNote,$N2534)))</f>
        <v/>
      </c>
      <c r="N2534">
        <f>IFERROR(MATCH($C$5&amp;"|"&amp;RIGHT("000000"&amp;514,6),LdBKeyG,0),"")</f>
        <v/>
      </c>
    </row>
    <row r="2535">
      <c r="A2535" s="10" t="n">
        <v>515</v>
      </c>
      <c r="B2535" s="14">
        <f>IF($N2535="","",INDEX(LdBDate,$N2535))</f>
        <v/>
      </c>
      <c r="C2535" s="14">
        <f>IF($N2535="","",IF(INDEX(LdBId,$N2535)="","—",INDEX(LdBId,$N2535)))</f>
        <v/>
      </c>
      <c r="D2535" s="14">
        <f>IF($N2535="","",INDEX(LdBMember,$N2535))</f>
        <v/>
      </c>
      <c r="E2535" s="14">
        <f>IF($N2535="","",IFERROR(IF(VLOOKUP(INDEX(LdBMember,$N2535),AcctTblE,4,0)="","(بدون نام)",VLOOKUP(INDEX(LdBMember,$N2535),AcctTblE,4,0)),"—"))</f>
        <v/>
      </c>
      <c r="F2535" s="16">
        <f>IF($N2535="","",IF(INDEX(LdBAmt,$N2535)=0,"",INDEX(LdBAmt,$N2535)))</f>
        <v/>
      </c>
      <c r="G2535" s="30">
        <f>IF($N2535="","",IF(INDEX(LdBNote,$N2535)="","—",INDEX(LdBNote,$N2535)))</f>
        <v/>
      </c>
      <c r="N2535">
        <f>IFERROR(MATCH($C$5&amp;"|"&amp;RIGHT("000000"&amp;515,6),LdBKeyG,0),"")</f>
        <v/>
      </c>
    </row>
    <row r="2536">
      <c r="A2536" s="19" t="n">
        <v>516</v>
      </c>
      <c r="B2536" s="20">
        <f>IF($N2536="","",INDEX(LdBDate,$N2536))</f>
        <v/>
      </c>
      <c r="C2536" s="20">
        <f>IF($N2536="","",IF(INDEX(LdBId,$N2536)="","—",INDEX(LdBId,$N2536)))</f>
        <v/>
      </c>
      <c r="D2536" s="20">
        <f>IF($N2536="","",INDEX(LdBMember,$N2536))</f>
        <v/>
      </c>
      <c r="E2536" s="20">
        <f>IF($N2536="","",IFERROR(IF(VLOOKUP(INDEX(LdBMember,$N2536),AcctTblE,4,0)="","(بدون نام)",VLOOKUP(INDEX(LdBMember,$N2536),AcctTblE,4,0)),"—"))</f>
        <v/>
      </c>
      <c r="F2536" s="21">
        <f>IF($N2536="","",IF(INDEX(LdBAmt,$N2536)=0,"",INDEX(LdBAmt,$N2536)))</f>
        <v/>
      </c>
      <c r="G2536" s="32">
        <f>IF($N2536="","",IF(INDEX(LdBNote,$N2536)="","—",INDEX(LdBNote,$N2536)))</f>
        <v/>
      </c>
      <c r="N2536">
        <f>IFERROR(MATCH($C$5&amp;"|"&amp;RIGHT("000000"&amp;516,6),LdBKeyG,0),"")</f>
        <v/>
      </c>
    </row>
    <row r="2537">
      <c r="A2537" s="10" t="n">
        <v>517</v>
      </c>
      <c r="B2537" s="14">
        <f>IF($N2537="","",INDEX(LdBDate,$N2537))</f>
        <v/>
      </c>
      <c r="C2537" s="14">
        <f>IF($N2537="","",IF(INDEX(LdBId,$N2537)="","—",INDEX(LdBId,$N2537)))</f>
        <v/>
      </c>
      <c r="D2537" s="14">
        <f>IF($N2537="","",INDEX(LdBMember,$N2537))</f>
        <v/>
      </c>
      <c r="E2537" s="14">
        <f>IF($N2537="","",IFERROR(IF(VLOOKUP(INDEX(LdBMember,$N2537),AcctTblE,4,0)="","(بدون نام)",VLOOKUP(INDEX(LdBMember,$N2537),AcctTblE,4,0)),"—"))</f>
        <v/>
      </c>
      <c r="F2537" s="16">
        <f>IF($N2537="","",IF(INDEX(LdBAmt,$N2537)=0,"",INDEX(LdBAmt,$N2537)))</f>
        <v/>
      </c>
      <c r="G2537" s="30">
        <f>IF($N2537="","",IF(INDEX(LdBNote,$N2537)="","—",INDEX(LdBNote,$N2537)))</f>
        <v/>
      </c>
      <c r="N2537">
        <f>IFERROR(MATCH($C$5&amp;"|"&amp;RIGHT("000000"&amp;517,6),LdBKeyG,0),"")</f>
        <v/>
      </c>
    </row>
    <row r="2538">
      <c r="A2538" s="19" t="n">
        <v>518</v>
      </c>
      <c r="B2538" s="20">
        <f>IF($N2538="","",INDEX(LdBDate,$N2538))</f>
        <v/>
      </c>
      <c r="C2538" s="20">
        <f>IF($N2538="","",IF(INDEX(LdBId,$N2538)="","—",INDEX(LdBId,$N2538)))</f>
        <v/>
      </c>
      <c r="D2538" s="20">
        <f>IF($N2538="","",INDEX(LdBMember,$N2538))</f>
        <v/>
      </c>
      <c r="E2538" s="20">
        <f>IF($N2538="","",IFERROR(IF(VLOOKUP(INDEX(LdBMember,$N2538),AcctTblE,4,0)="","(بدون نام)",VLOOKUP(INDEX(LdBMember,$N2538),AcctTblE,4,0)),"—"))</f>
        <v/>
      </c>
      <c r="F2538" s="21">
        <f>IF($N2538="","",IF(INDEX(LdBAmt,$N2538)=0,"",INDEX(LdBAmt,$N2538)))</f>
        <v/>
      </c>
      <c r="G2538" s="32">
        <f>IF($N2538="","",IF(INDEX(LdBNote,$N2538)="","—",INDEX(LdBNote,$N2538)))</f>
        <v/>
      </c>
      <c r="N2538">
        <f>IFERROR(MATCH($C$5&amp;"|"&amp;RIGHT("000000"&amp;518,6),LdBKeyG,0),"")</f>
        <v/>
      </c>
    </row>
    <row r="2539">
      <c r="A2539" s="10" t="n">
        <v>519</v>
      </c>
      <c r="B2539" s="14">
        <f>IF($N2539="","",INDEX(LdBDate,$N2539))</f>
        <v/>
      </c>
      <c r="C2539" s="14">
        <f>IF($N2539="","",IF(INDEX(LdBId,$N2539)="","—",INDEX(LdBId,$N2539)))</f>
        <v/>
      </c>
      <c r="D2539" s="14">
        <f>IF($N2539="","",INDEX(LdBMember,$N2539))</f>
        <v/>
      </c>
      <c r="E2539" s="14">
        <f>IF($N2539="","",IFERROR(IF(VLOOKUP(INDEX(LdBMember,$N2539),AcctTblE,4,0)="","(بدون نام)",VLOOKUP(INDEX(LdBMember,$N2539),AcctTblE,4,0)),"—"))</f>
        <v/>
      </c>
      <c r="F2539" s="16">
        <f>IF($N2539="","",IF(INDEX(LdBAmt,$N2539)=0,"",INDEX(LdBAmt,$N2539)))</f>
        <v/>
      </c>
      <c r="G2539" s="30">
        <f>IF($N2539="","",IF(INDEX(LdBNote,$N2539)="","—",INDEX(LdBNote,$N2539)))</f>
        <v/>
      </c>
      <c r="N2539">
        <f>IFERROR(MATCH($C$5&amp;"|"&amp;RIGHT("000000"&amp;519,6),LdBKeyG,0),"")</f>
        <v/>
      </c>
    </row>
    <row r="2540">
      <c r="A2540" s="19" t="n">
        <v>520</v>
      </c>
      <c r="B2540" s="20">
        <f>IF($N2540="","",INDEX(LdBDate,$N2540))</f>
        <v/>
      </c>
      <c r="C2540" s="20">
        <f>IF($N2540="","",IF(INDEX(LdBId,$N2540)="","—",INDEX(LdBId,$N2540)))</f>
        <v/>
      </c>
      <c r="D2540" s="20">
        <f>IF($N2540="","",INDEX(LdBMember,$N2540))</f>
        <v/>
      </c>
      <c r="E2540" s="20">
        <f>IF($N2540="","",IFERROR(IF(VLOOKUP(INDEX(LdBMember,$N2540),AcctTblE,4,0)="","(بدون نام)",VLOOKUP(INDEX(LdBMember,$N2540),AcctTblE,4,0)),"—"))</f>
        <v/>
      </c>
      <c r="F2540" s="21">
        <f>IF($N2540="","",IF(INDEX(LdBAmt,$N2540)=0,"",INDEX(LdBAmt,$N2540)))</f>
        <v/>
      </c>
      <c r="G2540" s="32">
        <f>IF($N2540="","",IF(INDEX(LdBNote,$N2540)="","—",INDEX(LdBNote,$N2540)))</f>
        <v/>
      </c>
      <c r="N2540">
        <f>IFERROR(MATCH($C$5&amp;"|"&amp;RIGHT("000000"&amp;520,6),LdBKeyG,0),"")</f>
        <v/>
      </c>
    </row>
    <row r="2541">
      <c r="A2541" s="10" t="n">
        <v>521</v>
      </c>
      <c r="B2541" s="14">
        <f>IF($N2541="","",INDEX(LdBDate,$N2541))</f>
        <v/>
      </c>
      <c r="C2541" s="14">
        <f>IF($N2541="","",IF(INDEX(LdBId,$N2541)="","—",INDEX(LdBId,$N2541)))</f>
        <v/>
      </c>
      <c r="D2541" s="14">
        <f>IF($N2541="","",INDEX(LdBMember,$N2541))</f>
        <v/>
      </c>
      <c r="E2541" s="14">
        <f>IF($N2541="","",IFERROR(IF(VLOOKUP(INDEX(LdBMember,$N2541),AcctTblE,4,0)="","(بدون نام)",VLOOKUP(INDEX(LdBMember,$N2541),AcctTblE,4,0)),"—"))</f>
        <v/>
      </c>
      <c r="F2541" s="16">
        <f>IF($N2541="","",IF(INDEX(LdBAmt,$N2541)=0,"",INDEX(LdBAmt,$N2541)))</f>
        <v/>
      </c>
      <c r="G2541" s="30">
        <f>IF($N2541="","",IF(INDEX(LdBNote,$N2541)="","—",INDEX(LdBNote,$N2541)))</f>
        <v/>
      </c>
      <c r="N2541">
        <f>IFERROR(MATCH($C$5&amp;"|"&amp;RIGHT("000000"&amp;521,6),LdBKeyG,0),"")</f>
        <v/>
      </c>
    </row>
    <row r="2542">
      <c r="A2542" s="19" t="n">
        <v>522</v>
      </c>
      <c r="B2542" s="20">
        <f>IF($N2542="","",INDEX(LdBDate,$N2542))</f>
        <v/>
      </c>
      <c r="C2542" s="20">
        <f>IF($N2542="","",IF(INDEX(LdBId,$N2542)="","—",INDEX(LdBId,$N2542)))</f>
        <v/>
      </c>
      <c r="D2542" s="20">
        <f>IF($N2542="","",INDEX(LdBMember,$N2542))</f>
        <v/>
      </c>
      <c r="E2542" s="20">
        <f>IF($N2542="","",IFERROR(IF(VLOOKUP(INDEX(LdBMember,$N2542),AcctTblE,4,0)="","(بدون نام)",VLOOKUP(INDEX(LdBMember,$N2542),AcctTblE,4,0)),"—"))</f>
        <v/>
      </c>
      <c r="F2542" s="21">
        <f>IF($N2542="","",IF(INDEX(LdBAmt,$N2542)=0,"",INDEX(LdBAmt,$N2542)))</f>
        <v/>
      </c>
      <c r="G2542" s="32">
        <f>IF($N2542="","",IF(INDEX(LdBNote,$N2542)="","—",INDEX(LdBNote,$N2542)))</f>
        <v/>
      </c>
      <c r="N2542">
        <f>IFERROR(MATCH($C$5&amp;"|"&amp;RIGHT("000000"&amp;522,6),LdBKeyG,0),"")</f>
        <v/>
      </c>
    </row>
    <row r="2543">
      <c r="A2543" s="10" t="n">
        <v>523</v>
      </c>
      <c r="B2543" s="14">
        <f>IF($N2543="","",INDEX(LdBDate,$N2543))</f>
        <v/>
      </c>
      <c r="C2543" s="14">
        <f>IF($N2543="","",IF(INDEX(LdBId,$N2543)="","—",INDEX(LdBId,$N2543)))</f>
        <v/>
      </c>
      <c r="D2543" s="14">
        <f>IF($N2543="","",INDEX(LdBMember,$N2543))</f>
        <v/>
      </c>
      <c r="E2543" s="14">
        <f>IF($N2543="","",IFERROR(IF(VLOOKUP(INDEX(LdBMember,$N2543),AcctTblE,4,0)="","(بدون نام)",VLOOKUP(INDEX(LdBMember,$N2543),AcctTblE,4,0)),"—"))</f>
        <v/>
      </c>
      <c r="F2543" s="16">
        <f>IF($N2543="","",IF(INDEX(LdBAmt,$N2543)=0,"",INDEX(LdBAmt,$N2543)))</f>
        <v/>
      </c>
      <c r="G2543" s="30">
        <f>IF($N2543="","",IF(INDEX(LdBNote,$N2543)="","—",INDEX(LdBNote,$N2543)))</f>
        <v/>
      </c>
      <c r="N2543">
        <f>IFERROR(MATCH($C$5&amp;"|"&amp;RIGHT("000000"&amp;523,6),LdBKeyG,0),"")</f>
        <v/>
      </c>
    </row>
    <row r="2544">
      <c r="A2544" s="19" t="n">
        <v>524</v>
      </c>
      <c r="B2544" s="20">
        <f>IF($N2544="","",INDEX(LdBDate,$N2544))</f>
        <v/>
      </c>
      <c r="C2544" s="20">
        <f>IF($N2544="","",IF(INDEX(LdBId,$N2544)="","—",INDEX(LdBId,$N2544)))</f>
        <v/>
      </c>
      <c r="D2544" s="20">
        <f>IF($N2544="","",INDEX(LdBMember,$N2544))</f>
        <v/>
      </c>
      <c r="E2544" s="20">
        <f>IF($N2544="","",IFERROR(IF(VLOOKUP(INDEX(LdBMember,$N2544),AcctTblE,4,0)="","(بدون نام)",VLOOKUP(INDEX(LdBMember,$N2544),AcctTblE,4,0)),"—"))</f>
        <v/>
      </c>
      <c r="F2544" s="21">
        <f>IF($N2544="","",IF(INDEX(LdBAmt,$N2544)=0,"",INDEX(LdBAmt,$N2544)))</f>
        <v/>
      </c>
      <c r="G2544" s="32">
        <f>IF($N2544="","",IF(INDEX(LdBNote,$N2544)="","—",INDEX(LdBNote,$N2544)))</f>
        <v/>
      </c>
      <c r="N2544">
        <f>IFERROR(MATCH($C$5&amp;"|"&amp;RIGHT("000000"&amp;524,6),LdBKeyG,0),"")</f>
        <v/>
      </c>
    </row>
    <row r="2545">
      <c r="A2545" s="10" t="n">
        <v>525</v>
      </c>
      <c r="B2545" s="14">
        <f>IF($N2545="","",INDEX(LdBDate,$N2545))</f>
        <v/>
      </c>
      <c r="C2545" s="14">
        <f>IF($N2545="","",IF(INDEX(LdBId,$N2545)="","—",INDEX(LdBId,$N2545)))</f>
        <v/>
      </c>
      <c r="D2545" s="14">
        <f>IF($N2545="","",INDEX(LdBMember,$N2545))</f>
        <v/>
      </c>
      <c r="E2545" s="14">
        <f>IF($N2545="","",IFERROR(IF(VLOOKUP(INDEX(LdBMember,$N2545),AcctTblE,4,0)="","(بدون نام)",VLOOKUP(INDEX(LdBMember,$N2545),AcctTblE,4,0)),"—"))</f>
        <v/>
      </c>
      <c r="F2545" s="16">
        <f>IF($N2545="","",IF(INDEX(LdBAmt,$N2545)=0,"",INDEX(LdBAmt,$N2545)))</f>
        <v/>
      </c>
      <c r="G2545" s="30">
        <f>IF($N2545="","",IF(INDEX(LdBNote,$N2545)="","—",INDEX(LdBNote,$N2545)))</f>
        <v/>
      </c>
      <c r="N2545">
        <f>IFERROR(MATCH($C$5&amp;"|"&amp;RIGHT("000000"&amp;525,6),LdBKeyG,0),"")</f>
        <v/>
      </c>
    </row>
    <row r="2546">
      <c r="A2546" s="19" t="n">
        <v>526</v>
      </c>
      <c r="B2546" s="20">
        <f>IF($N2546="","",INDEX(LdBDate,$N2546))</f>
        <v/>
      </c>
      <c r="C2546" s="20">
        <f>IF($N2546="","",IF(INDEX(LdBId,$N2546)="","—",INDEX(LdBId,$N2546)))</f>
        <v/>
      </c>
      <c r="D2546" s="20">
        <f>IF($N2546="","",INDEX(LdBMember,$N2546))</f>
        <v/>
      </c>
      <c r="E2546" s="20">
        <f>IF($N2546="","",IFERROR(IF(VLOOKUP(INDEX(LdBMember,$N2546),AcctTblE,4,0)="","(بدون نام)",VLOOKUP(INDEX(LdBMember,$N2546),AcctTblE,4,0)),"—"))</f>
        <v/>
      </c>
      <c r="F2546" s="21">
        <f>IF($N2546="","",IF(INDEX(LdBAmt,$N2546)=0,"",INDEX(LdBAmt,$N2546)))</f>
        <v/>
      </c>
      <c r="G2546" s="32">
        <f>IF($N2546="","",IF(INDEX(LdBNote,$N2546)="","—",INDEX(LdBNote,$N2546)))</f>
        <v/>
      </c>
      <c r="N2546">
        <f>IFERROR(MATCH($C$5&amp;"|"&amp;RIGHT("000000"&amp;526,6),LdBKeyG,0),"")</f>
        <v/>
      </c>
    </row>
    <row r="2547">
      <c r="A2547" s="10" t="n">
        <v>527</v>
      </c>
      <c r="B2547" s="14">
        <f>IF($N2547="","",INDEX(LdBDate,$N2547))</f>
        <v/>
      </c>
      <c r="C2547" s="14">
        <f>IF($N2547="","",IF(INDEX(LdBId,$N2547)="","—",INDEX(LdBId,$N2547)))</f>
        <v/>
      </c>
      <c r="D2547" s="14">
        <f>IF($N2547="","",INDEX(LdBMember,$N2547))</f>
        <v/>
      </c>
      <c r="E2547" s="14">
        <f>IF($N2547="","",IFERROR(IF(VLOOKUP(INDEX(LdBMember,$N2547),AcctTblE,4,0)="","(بدون نام)",VLOOKUP(INDEX(LdBMember,$N2547),AcctTblE,4,0)),"—"))</f>
        <v/>
      </c>
      <c r="F2547" s="16">
        <f>IF($N2547="","",IF(INDEX(LdBAmt,$N2547)=0,"",INDEX(LdBAmt,$N2547)))</f>
        <v/>
      </c>
      <c r="G2547" s="30">
        <f>IF($N2547="","",IF(INDEX(LdBNote,$N2547)="","—",INDEX(LdBNote,$N2547)))</f>
        <v/>
      </c>
      <c r="N2547">
        <f>IFERROR(MATCH($C$5&amp;"|"&amp;RIGHT("000000"&amp;527,6),LdBKeyG,0),"")</f>
        <v/>
      </c>
    </row>
    <row r="2548">
      <c r="A2548" s="19" t="n">
        <v>528</v>
      </c>
      <c r="B2548" s="20">
        <f>IF($N2548="","",INDEX(LdBDate,$N2548))</f>
        <v/>
      </c>
      <c r="C2548" s="20">
        <f>IF($N2548="","",IF(INDEX(LdBId,$N2548)="","—",INDEX(LdBId,$N2548)))</f>
        <v/>
      </c>
      <c r="D2548" s="20">
        <f>IF($N2548="","",INDEX(LdBMember,$N2548))</f>
        <v/>
      </c>
      <c r="E2548" s="20">
        <f>IF($N2548="","",IFERROR(IF(VLOOKUP(INDEX(LdBMember,$N2548),AcctTblE,4,0)="","(بدون نام)",VLOOKUP(INDEX(LdBMember,$N2548),AcctTblE,4,0)),"—"))</f>
        <v/>
      </c>
      <c r="F2548" s="21">
        <f>IF($N2548="","",IF(INDEX(LdBAmt,$N2548)=0,"",INDEX(LdBAmt,$N2548)))</f>
        <v/>
      </c>
      <c r="G2548" s="32">
        <f>IF($N2548="","",IF(INDEX(LdBNote,$N2548)="","—",INDEX(LdBNote,$N2548)))</f>
        <v/>
      </c>
      <c r="N2548">
        <f>IFERROR(MATCH($C$5&amp;"|"&amp;RIGHT("000000"&amp;528,6),LdBKeyG,0),"")</f>
        <v/>
      </c>
    </row>
    <row r="2549">
      <c r="A2549" s="10" t="n">
        <v>529</v>
      </c>
      <c r="B2549" s="14">
        <f>IF($N2549="","",INDEX(LdBDate,$N2549))</f>
        <v/>
      </c>
      <c r="C2549" s="14">
        <f>IF($N2549="","",IF(INDEX(LdBId,$N2549)="","—",INDEX(LdBId,$N2549)))</f>
        <v/>
      </c>
      <c r="D2549" s="14">
        <f>IF($N2549="","",INDEX(LdBMember,$N2549))</f>
        <v/>
      </c>
      <c r="E2549" s="14">
        <f>IF($N2549="","",IFERROR(IF(VLOOKUP(INDEX(LdBMember,$N2549),AcctTblE,4,0)="","(بدون نام)",VLOOKUP(INDEX(LdBMember,$N2549),AcctTblE,4,0)),"—"))</f>
        <v/>
      </c>
      <c r="F2549" s="16">
        <f>IF($N2549="","",IF(INDEX(LdBAmt,$N2549)=0,"",INDEX(LdBAmt,$N2549)))</f>
        <v/>
      </c>
      <c r="G2549" s="30">
        <f>IF($N2549="","",IF(INDEX(LdBNote,$N2549)="","—",INDEX(LdBNote,$N2549)))</f>
        <v/>
      </c>
      <c r="N2549">
        <f>IFERROR(MATCH($C$5&amp;"|"&amp;RIGHT("000000"&amp;529,6),LdBKeyG,0),"")</f>
        <v/>
      </c>
    </row>
    <row r="2550">
      <c r="A2550" s="19" t="n">
        <v>530</v>
      </c>
      <c r="B2550" s="20">
        <f>IF($N2550="","",INDEX(LdBDate,$N2550))</f>
        <v/>
      </c>
      <c r="C2550" s="20">
        <f>IF($N2550="","",IF(INDEX(LdBId,$N2550)="","—",INDEX(LdBId,$N2550)))</f>
        <v/>
      </c>
      <c r="D2550" s="20">
        <f>IF($N2550="","",INDEX(LdBMember,$N2550))</f>
        <v/>
      </c>
      <c r="E2550" s="20">
        <f>IF($N2550="","",IFERROR(IF(VLOOKUP(INDEX(LdBMember,$N2550),AcctTblE,4,0)="","(بدون نام)",VLOOKUP(INDEX(LdBMember,$N2550),AcctTblE,4,0)),"—"))</f>
        <v/>
      </c>
      <c r="F2550" s="21">
        <f>IF($N2550="","",IF(INDEX(LdBAmt,$N2550)=0,"",INDEX(LdBAmt,$N2550)))</f>
        <v/>
      </c>
      <c r="G2550" s="32">
        <f>IF($N2550="","",IF(INDEX(LdBNote,$N2550)="","—",INDEX(LdBNote,$N2550)))</f>
        <v/>
      </c>
      <c r="N2550">
        <f>IFERROR(MATCH($C$5&amp;"|"&amp;RIGHT("000000"&amp;530,6),LdBKeyG,0),"")</f>
        <v/>
      </c>
    </row>
    <row r="2551">
      <c r="A2551" s="10" t="n">
        <v>531</v>
      </c>
      <c r="B2551" s="14">
        <f>IF($N2551="","",INDEX(LdBDate,$N2551))</f>
        <v/>
      </c>
      <c r="C2551" s="14">
        <f>IF($N2551="","",IF(INDEX(LdBId,$N2551)="","—",INDEX(LdBId,$N2551)))</f>
        <v/>
      </c>
      <c r="D2551" s="14">
        <f>IF($N2551="","",INDEX(LdBMember,$N2551))</f>
        <v/>
      </c>
      <c r="E2551" s="14">
        <f>IF($N2551="","",IFERROR(IF(VLOOKUP(INDEX(LdBMember,$N2551),AcctTblE,4,0)="","(بدون نام)",VLOOKUP(INDEX(LdBMember,$N2551),AcctTblE,4,0)),"—"))</f>
        <v/>
      </c>
      <c r="F2551" s="16">
        <f>IF($N2551="","",IF(INDEX(LdBAmt,$N2551)=0,"",INDEX(LdBAmt,$N2551)))</f>
        <v/>
      </c>
      <c r="G2551" s="30">
        <f>IF($N2551="","",IF(INDEX(LdBNote,$N2551)="","—",INDEX(LdBNote,$N2551)))</f>
        <v/>
      </c>
      <c r="N2551">
        <f>IFERROR(MATCH($C$5&amp;"|"&amp;RIGHT("000000"&amp;531,6),LdBKeyG,0),"")</f>
        <v/>
      </c>
    </row>
    <row r="2552">
      <c r="A2552" s="19" t="n">
        <v>532</v>
      </c>
      <c r="B2552" s="20">
        <f>IF($N2552="","",INDEX(LdBDate,$N2552))</f>
        <v/>
      </c>
      <c r="C2552" s="20">
        <f>IF($N2552="","",IF(INDEX(LdBId,$N2552)="","—",INDEX(LdBId,$N2552)))</f>
        <v/>
      </c>
      <c r="D2552" s="20">
        <f>IF($N2552="","",INDEX(LdBMember,$N2552))</f>
        <v/>
      </c>
      <c r="E2552" s="20">
        <f>IF($N2552="","",IFERROR(IF(VLOOKUP(INDEX(LdBMember,$N2552),AcctTblE,4,0)="","(بدون نام)",VLOOKUP(INDEX(LdBMember,$N2552),AcctTblE,4,0)),"—"))</f>
        <v/>
      </c>
      <c r="F2552" s="21">
        <f>IF($N2552="","",IF(INDEX(LdBAmt,$N2552)=0,"",INDEX(LdBAmt,$N2552)))</f>
        <v/>
      </c>
      <c r="G2552" s="32">
        <f>IF($N2552="","",IF(INDEX(LdBNote,$N2552)="","—",INDEX(LdBNote,$N2552)))</f>
        <v/>
      </c>
      <c r="N2552">
        <f>IFERROR(MATCH($C$5&amp;"|"&amp;RIGHT("000000"&amp;532,6),LdBKeyG,0),"")</f>
        <v/>
      </c>
    </row>
    <row r="2553">
      <c r="A2553" s="10" t="n">
        <v>533</v>
      </c>
      <c r="B2553" s="14">
        <f>IF($N2553="","",INDEX(LdBDate,$N2553))</f>
        <v/>
      </c>
      <c r="C2553" s="14">
        <f>IF($N2553="","",IF(INDEX(LdBId,$N2553)="","—",INDEX(LdBId,$N2553)))</f>
        <v/>
      </c>
      <c r="D2553" s="14">
        <f>IF($N2553="","",INDEX(LdBMember,$N2553))</f>
        <v/>
      </c>
      <c r="E2553" s="14">
        <f>IF($N2553="","",IFERROR(IF(VLOOKUP(INDEX(LdBMember,$N2553),AcctTblE,4,0)="","(بدون نام)",VLOOKUP(INDEX(LdBMember,$N2553),AcctTblE,4,0)),"—"))</f>
        <v/>
      </c>
      <c r="F2553" s="16">
        <f>IF($N2553="","",IF(INDEX(LdBAmt,$N2553)=0,"",INDEX(LdBAmt,$N2553)))</f>
        <v/>
      </c>
      <c r="G2553" s="30">
        <f>IF($N2553="","",IF(INDEX(LdBNote,$N2553)="","—",INDEX(LdBNote,$N2553)))</f>
        <v/>
      </c>
      <c r="N2553">
        <f>IFERROR(MATCH($C$5&amp;"|"&amp;RIGHT("000000"&amp;533,6),LdBKeyG,0),"")</f>
        <v/>
      </c>
    </row>
    <row r="2554">
      <c r="A2554" s="19" t="n">
        <v>534</v>
      </c>
      <c r="B2554" s="20">
        <f>IF($N2554="","",INDEX(LdBDate,$N2554))</f>
        <v/>
      </c>
      <c r="C2554" s="20">
        <f>IF($N2554="","",IF(INDEX(LdBId,$N2554)="","—",INDEX(LdBId,$N2554)))</f>
        <v/>
      </c>
      <c r="D2554" s="20">
        <f>IF($N2554="","",INDEX(LdBMember,$N2554))</f>
        <v/>
      </c>
      <c r="E2554" s="20">
        <f>IF($N2554="","",IFERROR(IF(VLOOKUP(INDEX(LdBMember,$N2554),AcctTblE,4,0)="","(بدون نام)",VLOOKUP(INDEX(LdBMember,$N2554),AcctTblE,4,0)),"—"))</f>
        <v/>
      </c>
      <c r="F2554" s="21">
        <f>IF($N2554="","",IF(INDEX(LdBAmt,$N2554)=0,"",INDEX(LdBAmt,$N2554)))</f>
        <v/>
      </c>
      <c r="G2554" s="32">
        <f>IF($N2554="","",IF(INDEX(LdBNote,$N2554)="","—",INDEX(LdBNote,$N2554)))</f>
        <v/>
      </c>
      <c r="N2554">
        <f>IFERROR(MATCH($C$5&amp;"|"&amp;RIGHT("000000"&amp;534,6),LdBKeyG,0),"")</f>
        <v/>
      </c>
    </row>
    <row r="2555">
      <c r="A2555" s="10" t="n">
        <v>535</v>
      </c>
      <c r="B2555" s="14">
        <f>IF($N2555="","",INDEX(LdBDate,$N2555))</f>
        <v/>
      </c>
      <c r="C2555" s="14">
        <f>IF($N2555="","",IF(INDEX(LdBId,$N2555)="","—",INDEX(LdBId,$N2555)))</f>
        <v/>
      </c>
      <c r="D2555" s="14">
        <f>IF($N2555="","",INDEX(LdBMember,$N2555))</f>
        <v/>
      </c>
      <c r="E2555" s="14">
        <f>IF($N2555="","",IFERROR(IF(VLOOKUP(INDEX(LdBMember,$N2555),AcctTblE,4,0)="","(بدون نام)",VLOOKUP(INDEX(LdBMember,$N2555),AcctTblE,4,0)),"—"))</f>
        <v/>
      </c>
      <c r="F2555" s="16">
        <f>IF($N2555="","",IF(INDEX(LdBAmt,$N2555)=0,"",INDEX(LdBAmt,$N2555)))</f>
        <v/>
      </c>
      <c r="G2555" s="30">
        <f>IF($N2555="","",IF(INDEX(LdBNote,$N2555)="","—",INDEX(LdBNote,$N2555)))</f>
        <v/>
      </c>
      <c r="N2555">
        <f>IFERROR(MATCH($C$5&amp;"|"&amp;RIGHT("000000"&amp;535,6),LdBKeyG,0),"")</f>
        <v/>
      </c>
    </row>
    <row r="2556">
      <c r="A2556" s="19" t="n">
        <v>536</v>
      </c>
      <c r="B2556" s="20">
        <f>IF($N2556="","",INDEX(LdBDate,$N2556))</f>
        <v/>
      </c>
      <c r="C2556" s="20">
        <f>IF($N2556="","",IF(INDEX(LdBId,$N2556)="","—",INDEX(LdBId,$N2556)))</f>
        <v/>
      </c>
      <c r="D2556" s="20">
        <f>IF($N2556="","",INDEX(LdBMember,$N2556))</f>
        <v/>
      </c>
      <c r="E2556" s="20">
        <f>IF($N2556="","",IFERROR(IF(VLOOKUP(INDEX(LdBMember,$N2556),AcctTblE,4,0)="","(بدون نام)",VLOOKUP(INDEX(LdBMember,$N2556),AcctTblE,4,0)),"—"))</f>
        <v/>
      </c>
      <c r="F2556" s="21">
        <f>IF($N2556="","",IF(INDEX(LdBAmt,$N2556)=0,"",INDEX(LdBAmt,$N2556)))</f>
        <v/>
      </c>
      <c r="G2556" s="32">
        <f>IF($N2556="","",IF(INDEX(LdBNote,$N2556)="","—",INDEX(LdBNote,$N2556)))</f>
        <v/>
      </c>
      <c r="N2556">
        <f>IFERROR(MATCH($C$5&amp;"|"&amp;RIGHT("000000"&amp;536,6),LdBKeyG,0),"")</f>
        <v/>
      </c>
    </row>
    <row r="2557">
      <c r="A2557" s="10" t="n">
        <v>537</v>
      </c>
      <c r="B2557" s="14">
        <f>IF($N2557="","",INDEX(LdBDate,$N2557))</f>
        <v/>
      </c>
      <c r="C2557" s="14">
        <f>IF($N2557="","",IF(INDEX(LdBId,$N2557)="","—",INDEX(LdBId,$N2557)))</f>
        <v/>
      </c>
      <c r="D2557" s="14">
        <f>IF($N2557="","",INDEX(LdBMember,$N2557))</f>
        <v/>
      </c>
      <c r="E2557" s="14">
        <f>IF($N2557="","",IFERROR(IF(VLOOKUP(INDEX(LdBMember,$N2557),AcctTblE,4,0)="","(بدون نام)",VLOOKUP(INDEX(LdBMember,$N2557),AcctTblE,4,0)),"—"))</f>
        <v/>
      </c>
      <c r="F2557" s="16">
        <f>IF($N2557="","",IF(INDEX(LdBAmt,$N2557)=0,"",INDEX(LdBAmt,$N2557)))</f>
        <v/>
      </c>
      <c r="G2557" s="30">
        <f>IF($N2557="","",IF(INDEX(LdBNote,$N2557)="","—",INDEX(LdBNote,$N2557)))</f>
        <v/>
      </c>
      <c r="N2557">
        <f>IFERROR(MATCH($C$5&amp;"|"&amp;RIGHT("000000"&amp;537,6),LdBKeyG,0),"")</f>
        <v/>
      </c>
    </row>
    <row r="2558">
      <c r="A2558" s="19" t="n">
        <v>538</v>
      </c>
      <c r="B2558" s="20">
        <f>IF($N2558="","",INDEX(LdBDate,$N2558))</f>
        <v/>
      </c>
      <c r="C2558" s="20">
        <f>IF($N2558="","",IF(INDEX(LdBId,$N2558)="","—",INDEX(LdBId,$N2558)))</f>
        <v/>
      </c>
      <c r="D2558" s="20">
        <f>IF($N2558="","",INDEX(LdBMember,$N2558))</f>
        <v/>
      </c>
      <c r="E2558" s="20">
        <f>IF($N2558="","",IFERROR(IF(VLOOKUP(INDEX(LdBMember,$N2558),AcctTblE,4,0)="","(بدون نام)",VLOOKUP(INDEX(LdBMember,$N2558),AcctTblE,4,0)),"—"))</f>
        <v/>
      </c>
      <c r="F2558" s="21">
        <f>IF($N2558="","",IF(INDEX(LdBAmt,$N2558)=0,"",INDEX(LdBAmt,$N2558)))</f>
        <v/>
      </c>
      <c r="G2558" s="32">
        <f>IF($N2558="","",IF(INDEX(LdBNote,$N2558)="","—",INDEX(LdBNote,$N2558)))</f>
        <v/>
      </c>
      <c r="N2558">
        <f>IFERROR(MATCH($C$5&amp;"|"&amp;RIGHT("000000"&amp;538,6),LdBKeyG,0),"")</f>
        <v/>
      </c>
    </row>
    <row r="2559">
      <c r="A2559" s="10" t="n">
        <v>539</v>
      </c>
      <c r="B2559" s="14">
        <f>IF($N2559="","",INDEX(LdBDate,$N2559))</f>
        <v/>
      </c>
      <c r="C2559" s="14">
        <f>IF($N2559="","",IF(INDEX(LdBId,$N2559)="","—",INDEX(LdBId,$N2559)))</f>
        <v/>
      </c>
      <c r="D2559" s="14">
        <f>IF($N2559="","",INDEX(LdBMember,$N2559))</f>
        <v/>
      </c>
      <c r="E2559" s="14">
        <f>IF($N2559="","",IFERROR(IF(VLOOKUP(INDEX(LdBMember,$N2559),AcctTblE,4,0)="","(بدون نام)",VLOOKUP(INDEX(LdBMember,$N2559),AcctTblE,4,0)),"—"))</f>
        <v/>
      </c>
      <c r="F2559" s="16">
        <f>IF($N2559="","",IF(INDEX(LdBAmt,$N2559)=0,"",INDEX(LdBAmt,$N2559)))</f>
        <v/>
      </c>
      <c r="G2559" s="30">
        <f>IF($N2559="","",IF(INDEX(LdBNote,$N2559)="","—",INDEX(LdBNote,$N2559)))</f>
        <v/>
      </c>
      <c r="N2559">
        <f>IFERROR(MATCH($C$5&amp;"|"&amp;RIGHT("000000"&amp;539,6),LdBKeyG,0),"")</f>
        <v/>
      </c>
    </row>
    <row r="2560">
      <c r="A2560" s="19" t="n">
        <v>540</v>
      </c>
      <c r="B2560" s="20">
        <f>IF($N2560="","",INDEX(LdBDate,$N2560))</f>
        <v/>
      </c>
      <c r="C2560" s="20">
        <f>IF($N2560="","",IF(INDEX(LdBId,$N2560)="","—",INDEX(LdBId,$N2560)))</f>
        <v/>
      </c>
      <c r="D2560" s="20">
        <f>IF($N2560="","",INDEX(LdBMember,$N2560))</f>
        <v/>
      </c>
      <c r="E2560" s="20">
        <f>IF($N2560="","",IFERROR(IF(VLOOKUP(INDEX(LdBMember,$N2560),AcctTblE,4,0)="","(بدون نام)",VLOOKUP(INDEX(LdBMember,$N2560),AcctTblE,4,0)),"—"))</f>
        <v/>
      </c>
      <c r="F2560" s="21">
        <f>IF($N2560="","",IF(INDEX(LdBAmt,$N2560)=0,"",INDEX(LdBAmt,$N2560)))</f>
        <v/>
      </c>
      <c r="G2560" s="32">
        <f>IF($N2560="","",IF(INDEX(LdBNote,$N2560)="","—",INDEX(LdBNote,$N2560)))</f>
        <v/>
      </c>
      <c r="N2560">
        <f>IFERROR(MATCH($C$5&amp;"|"&amp;RIGHT("000000"&amp;540,6),LdBKeyG,0),"")</f>
        <v/>
      </c>
    </row>
    <row r="2561">
      <c r="A2561" s="10" t="n">
        <v>541</v>
      </c>
      <c r="B2561" s="14">
        <f>IF($N2561="","",INDEX(LdBDate,$N2561))</f>
        <v/>
      </c>
      <c r="C2561" s="14">
        <f>IF($N2561="","",IF(INDEX(LdBId,$N2561)="","—",INDEX(LdBId,$N2561)))</f>
        <v/>
      </c>
      <c r="D2561" s="14">
        <f>IF($N2561="","",INDEX(LdBMember,$N2561))</f>
        <v/>
      </c>
      <c r="E2561" s="14">
        <f>IF($N2561="","",IFERROR(IF(VLOOKUP(INDEX(LdBMember,$N2561),AcctTblE,4,0)="","(بدون نام)",VLOOKUP(INDEX(LdBMember,$N2561),AcctTblE,4,0)),"—"))</f>
        <v/>
      </c>
      <c r="F2561" s="16">
        <f>IF($N2561="","",IF(INDEX(LdBAmt,$N2561)=0,"",INDEX(LdBAmt,$N2561)))</f>
        <v/>
      </c>
      <c r="G2561" s="30">
        <f>IF($N2561="","",IF(INDEX(LdBNote,$N2561)="","—",INDEX(LdBNote,$N2561)))</f>
        <v/>
      </c>
      <c r="N2561">
        <f>IFERROR(MATCH($C$5&amp;"|"&amp;RIGHT("000000"&amp;541,6),LdBKeyG,0),"")</f>
        <v/>
      </c>
    </row>
    <row r="2562">
      <c r="A2562" s="19" t="n">
        <v>542</v>
      </c>
      <c r="B2562" s="20">
        <f>IF($N2562="","",INDEX(LdBDate,$N2562))</f>
        <v/>
      </c>
      <c r="C2562" s="20">
        <f>IF($N2562="","",IF(INDEX(LdBId,$N2562)="","—",INDEX(LdBId,$N2562)))</f>
        <v/>
      </c>
      <c r="D2562" s="20">
        <f>IF($N2562="","",INDEX(LdBMember,$N2562))</f>
        <v/>
      </c>
      <c r="E2562" s="20">
        <f>IF($N2562="","",IFERROR(IF(VLOOKUP(INDEX(LdBMember,$N2562),AcctTblE,4,0)="","(بدون نام)",VLOOKUP(INDEX(LdBMember,$N2562),AcctTblE,4,0)),"—"))</f>
        <v/>
      </c>
      <c r="F2562" s="21">
        <f>IF($N2562="","",IF(INDEX(LdBAmt,$N2562)=0,"",INDEX(LdBAmt,$N2562)))</f>
        <v/>
      </c>
      <c r="G2562" s="32">
        <f>IF($N2562="","",IF(INDEX(LdBNote,$N2562)="","—",INDEX(LdBNote,$N2562)))</f>
        <v/>
      </c>
      <c r="N2562">
        <f>IFERROR(MATCH($C$5&amp;"|"&amp;RIGHT("000000"&amp;542,6),LdBKeyG,0),"")</f>
        <v/>
      </c>
    </row>
    <row r="2563">
      <c r="A2563" s="10" t="n">
        <v>543</v>
      </c>
      <c r="B2563" s="14">
        <f>IF($N2563="","",INDEX(LdBDate,$N2563))</f>
        <v/>
      </c>
      <c r="C2563" s="14">
        <f>IF($N2563="","",IF(INDEX(LdBId,$N2563)="","—",INDEX(LdBId,$N2563)))</f>
        <v/>
      </c>
      <c r="D2563" s="14">
        <f>IF($N2563="","",INDEX(LdBMember,$N2563))</f>
        <v/>
      </c>
      <c r="E2563" s="14">
        <f>IF($N2563="","",IFERROR(IF(VLOOKUP(INDEX(LdBMember,$N2563),AcctTblE,4,0)="","(بدون نام)",VLOOKUP(INDEX(LdBMember,$N2563),AcctTblE,4,0)),"—"))</f>
        <v/>
      </c>
      <c r="F2563" s="16">
        <f>IF($N2563="","",IF(INDEX(LdBAmt,$N2563)=0,"",INDEX(LdBAmt,$N2563)))</f>
        <v/>
      </c>
      <c r="G2563" s="30">
        <f>IF($N2563="","",IF(INDEX(LdBNote,$N2563)="","—",INDEX(LdBNote,$N2563)))</f>
        <v/>
      </c>
      <c r="N2563">
        <f>IFERROR(MATCH($C$5&amp;"|"&amp;RIGHT("000000"&amp;543,6),LdBKeyG,0),"")</f>
        <v/>
      </c>
    </row>
    <row r="2564">
      <c r="A2564" s="19" t="n">
        <v>544</v>
      </c>
      <c r="B2564" s="20">
        <f>IF($N2564="","",INDEX(LdBDate,$N2564))</f>
        <v/>
      </c>
      <c r="C2564" s="20">
        <f>IF($N2564="","",IF(INDEX(LdBId,$N2564)="","—",INDEX(LdBId,$N2564)))</f>
        <v/>
      </c>
      <c r="D2564" s="20">
        <f>IF($N2564="","",INDEX(LdBMember,$N2564))</f>
        <v/>
      </c>
      <c r="E2564" s="20">
        <f>IF($N2564="","",IFERROR(IF(VLOOKUP(INDEX(LdBMember,$N2564),AcctTblE,4,0)="","(بدون نام)",VLOOKUP(INDEX(LdBMember,$N2564),AcctTblE,4,0)),"—"))</f>
        <v/>
      </c>
      <c r="F2564" s="21">
        <f>IF($N2564="","",IF(INDEX(LdBAmt,$N2564)=0,"",INDEX(LdBAmt,$N2564)))</f>
        <v/>
      </c>
      <c r="G2564" s="32">
        <f>IF($N2564="","",IF(INDEX(LdBNote,$N2564)="","—",INDEX(LdBNote,$N2564)))</f>
        <v/>
      </c>
      <c r="N2564">
        <f>IFERROR(MATCH($C$5&amp;"|"&amp;RIGHT("000000"&amp;544,6),LdBKeyG,0),"")</f>
        <v/>
      </c>
    </row>
    <row r="2565">
      <c r="A2565" s="10" t="n">
        <v>545</v>
      </c>
      <c r="B2565" s="14">
        <f>IF($N2565="","",INDEX(LdBDate,$N2565))</f>
        <v/>
      </c>
      <c r="C2565" s="14">
        <f>IF($N2565="","",IF(INDEX(LdBId,$N2565)="","—",INDEX(LdBId,$N2565)))</f>
        <v/>
      </c>
      <c r="D2565" s="14">
        <f>IF($N2565="","",INDEX(LdBMember,$N2565))</f>
        <v/>
      </c>
      <c r="E2565" s="14">
        <f>IF($N2565="","",IFERROR(IF(VLOOKUP(INDEX(LdBMember,$N2565),AcctTblE,4,0)="","(بدون نام)",VLOOKUP(INDEX(LdBMember,$N2565),AcctTblE,4,0)),"—"))</f>
        <v/>
      </c>
      <c r="F2565" s="16">
        <f>IF($N2565="","",IF(INDEX(LdBAmt,$N2565)=0,"",INDEX(LdBAmt,$N2565)))</f>
        <v/>
      </c>
      <c r="G2565" s="30">
        <f>IF($N2565="","",IF(INDEX(LdBNote,$N2565)="","—",INDEX(LdBNote,$N2565)))</f>
        <v/>
      </c>
      <c r="N2565">
        <f>IFERROR(MATCH($C$5&amp;"|"&amp;RIGHT("000000"&amp;545,6),LdBKeyG,0),"")</f>
        <v/>
      </c>
    </row>
    <row r="2566">
      <c r="A2566" s="19" t="n">
        <v>546</v>
      </c>
      <c r="B2566" s="20">
        <f>IF($N2566="","",INDEX(LdBDate,$N2566))</f>
        <v/>
      </c>
      <c r="C2566" s="20">
        <f>IF($N2566="","",IF(INDEX(LdBId,$N2566)="","—",INDEX(LdBId,$N2566)))</f>
        <v/>
      </c>
      <c r="D2566" s="20">
        <f>IF($N2566="","",INDEX(LdBMember,$N2566))</f>
        <v/>
      </c>
      <c r="E2566" s="20">
        <f>IF($N2566="","",IFERROR(IF(VLOOKUP(INDEX(LdBMember,$N2566),AcctTblE,4,0)="","(بدون نام)",VLOOKUP(INDEX(LdBMember,$N2566),AcctTblE,4,0)),"—"))</f>
        <v/>
      </c>
      <c r="F2566" s="21">
        <f>IF($N2566="","",IF(INDEX(LdBAmt,$N2566)=0,"",INDEX(LdBAmt,$N2566)))</f>
        <v/>
      </c>
      <c r="G2566" s="32">
        <f>IF($N2566="","",IF(INDEX(LdBNote,$N2566)="","—",INDEX(LdBNote,$N2566)))</f>
        <v/>
      </c>
      <c r="N2566">
        <f>IFERROR(MATCH($C$5&amp;"|"&amp;RIGHT("000000"&amp;546,6),LdBKeyG,0),"")</f>
        <v/>
      </c>
    </row>
    <row r="2567">
      <c r="A2567" s="10" t="n">
        <v>547</v>
      </c>
      <c r="B2567" s="14">
        <f>IF($N2567="","",INDEX(LdBDate,$N2567))</f>
        <v/>
      </c>
      <c r="C2567" s="14">
        <f>IF($N2567="","",IF(INDEX(LdBId,$N2567)="","—",INDEX(LdBId,$N2567)))</f>
        <v/>
      </c>
      <c r="D2567" s="14">
        <f>IF($N2567="","",INDEX(LdBMember,$N2567))</f>
        <v/>
      </c>
      <c r="E2567" s="14">
        <f>IF($N2567="","",IFERROR(IF(VLOOKUP(INDEX(LdBMember,$N2567),AcctTblE,4,0)="","(بدون نام)",VLOOKUP(INDEX(LdBMember,$N2567),AcctTblE,4,0)),"—"))</f>
        <v/>
      </c>
      <c r="F2567" s="16">
        <f>IF($N2567="","",IF(INDEX(LdBAmt,$N2567)=0,"",INDEX(LdBAmt,$N2567)))</f>
        <v/>
      </c>
      <c r="G2567" s="30">
        <f>IF($N2567="","",IF(INDEX(LdBNote,$N2567)="","—",INDEX(LdBNote,$N2567)))</f>
        <v/>
      </c>
      <c r="N2567">
        <f>IFERROR(MATCH($C$5&amp;"|"&amp;RIGHT("000000"&amp;547,6),LdBKeyG,0),"")</f>
        <v/>
      </c>
    </row>
    <row r="2568">
      <c r="A2568" s="19" t="n">
        <v>548</v>
      </c>
      <c r="B2568" s="20">
        <f>IF($N2568="","",INDEX(LdBDate,$N2568))</f>
        <v/>
      </c>
      <c r="C2568" s="20">
        <f>IF($N2568="","",IF(INDEX(LdBId,$N2568)="","—",INDEX(LdBId,$N2568)))</f>
        <v/>
      </c>
      <c r="D2568" s="20">
        <f>IF($N2568="","",INDEX(LdBMember,$N2568))</f>
        <v/>
      </c>
      <c r="E2568" s="20">
        <f>IF($N2568="","",IFERROR(IF(VLOOKUP(INDEX(LdBMember,$N2568),AcctTblE,4,0)="","(بدون نام)",VLOOKUP(INDEX(LdBMember,$N2568),AcctTblE,4,0)),"—"))</f>
        <v/>
      </c>
      <c r="F2568" s="21">
        <f>IF($N2568="","",IF(INDEX(LdBAmt,$N2568)=0,"",INDEX(LdBAmt,$N2568)))</f>
        <v/>
      </c>
      <c r="G2568" s="32">
        <f>IF($N2568="","",IF(INDEX(LdBNote,$N2568)="","—",INDEX(LdBNote,$N2568)))</f>
        <v/>
      </c>
      <c r="N2568">
        <f>IFERROR(MATCH($C$5&amp;"|"&amp;RIGHT("000000"&amp;548,6),LdBKeyG,0),"")</f>
        <v/>
      </c>
    </row>
    <row r="2569">
      <c r="A2569" s="10" t="n">
        <v>549</v>
      </c>
      <c r="B2569" s="14">
        <f>IF($N2569="","",INDEX(LdBDate,$N2569))</f>
        <v/>
      </c>
      <c r="C2569" s="14">
        <f>IF($N2569="","",IF(INDEX(LdBId,$N2569)="","—",INDEX(LdBId,$N2569)))</f>
        <v/>
      </c>
      <c r="D2569" s="14">
        <f>IF($N2569="","",INDEX(LdBMember,$N2569))</f>
        <v/>
      </c>
      <c r="E2569" s="14">
        <f>IF($N2569="","",IFERROR(IF(VLOOKUP(INDEX(LdBMember,$N2569),AcctTblE,4,0)="","(بدون نام)",VLOOKUP(INDEX(LdBMember,$N2569),AcctTblE,4,0)),"—"))</f>
        <v/>
      </c>
      <c r="F2569" s="16">
        <f>IF($N2569="","",IF(INDEX(LdBAmt,$N2569)=0,"",INDEX(LdBAmt,$N2569)))</f>
        <v/>
      </c>
      <c r="G2569" s="30">
        <f>IF($N2569="","",IF(INDEX(LdBNote,$N2569)="","—",INDEX(LdBNote,$N2569)))</f>
        <v/>
      </c>
      <c r="N2569">
        <f>IFERROR(MATCH($C$5&amp;"|"&amp;RIGHT("000000"&amp;549,6),LdBKeyG,0),"")</f>
        <v/>
      </c>
    </row>
    <row r="2570">
      <c r="A2570" s="19" t="n">
        <v>550</v>
      </c>
      <c r="B2570" s="20">
        <f>IF($N2570="","",INDEX(LdBDate,$N2570))</f>
        <v/>
      </c>
      <c r="C2570" s="20">
        <f>IF($N2570="","",IF(INDEX(LdBId,$N2570)="","—",INDEX(LdBId,$N2570)))</f>
        <v/>
      </c>
      <c r="D2570" s="20">
        <f>IF($N2570="","",INDEX(LdBMember,$N2570))</f>
        <v/>
      </c>
      <c r="E2570" s="20">
        <f>IF($N2570="","",IFERROR(IF(VLOOKUP(INDEX(LdBMember,$N2570),AcctTblE,4,0)="","(بدون نام)",VLOOKUP(INDEX(LdBMember,$N2570),AcctTblE,4,0)),"—"))</f>
        <v/>
      </c>
      <c r="F2570" s="21">
        <f>IF($N2570="","",IF(INDEX(LdBAmt,$N2570)=0,"",INDEX(LdBAmt,$N2570)))</f>
        <v/>
      </c>
      <c r="G2570" s="32">
        <f>IF($N2570="","",IF(INDEX(LdBNote,$N2570)="","—",INDEX(LdBNote,$N2570)))</f>
        <v/>
      </c>
      <c r="N2570">
        <f>IFERROR(MATCH($C$5&amp;"|"&amp;RIGHT("000000"&amp;550,6),LdBKeyG,0),"")</f>
        <v/>
      </c>
    </row>
    <row r="2571">
      <c r="A2571" s="10" t="n">
        <v>551</v>
      </c>
      <c r="B2571" s="14">
        <f>IF($N2571="","",INDEX(LdBDate,$N2571))</f>
        <v/>
      </c>
      <c r="C2571" s="14">
        <f>IF($N2571="","",IF(INDEX(LdBId,$N2571)="","—",INDEX(LdBId,$N2571)))</f>
        <v/>
      </c>
      <c r="D2571" s="14">
        <f>IF($N2571="","",INDEX(LdBMember,$N2571))</f>
        <v/>
      </c>
      <c r="E2571" s="14">
        <f>IF($N2571="","",IFERROR(IF(VLOOKUP(INDEX(LdBMember,$N2571),AcctTblE,4,0)="","(بدون نام)",VLOOKUP(INDEX(LdBMember,$N2571),AcctTblE,4,0)),"—"))</f>
        <v/>
      </c>
      <c r="F2571" s="16">
        <f>IF($N2571="","",IF(INDEX(LdBAmt,$N2571)=0,"",INDEX(LdBAmt,$N2571)))</f>
        <v/>
      </c>
      <c r="G2571" s="30">
        <f>IF($N2571="","",IF(INDEX(LdBNote,$N2571)="","—",INDEX(LdBNote,$N2571)))</f>
        <v/>
      </c>
      <c r="N2571">
        <f>IFERROR(MATCH($C$5&amp;"|"&amp;RIGHT("000000"&amp;551,6),LdBKeyG,0),"")</f>
        <v/>
      </c>
    </row>
    <row r="2572">
      <c r="A2572" s="19" t="n">
        <v>552</v>
      </c>
      <c r="B2572" s="20">
        <f>IF($N2572="","",INDEX(LdBDate,$N2572))</f>
        <v/>
      </c>
      <c r="C2572" s="20">
        <f>IF($N2572="","",IF(INDEX(LdBId,$N2572)="","—",INDEX(LdBId,$N2572)))</f>
        <v/>
      </c>
      <c r="D2572" s="20">
        <f>IF($N2572="","",INDEX(LdBMember,$N2572))</f>
        <v/>
      </c>
      <c r="E2572" s="20">
        <f>IF($N2572="","",IFERROR(IF(VLOOKUP(INDEX(LdBMember,$N2572),AcctTblE,4,0)="","(بدون نام)",VLOOKUP(INDEX(LdBMember,$N2572),AcctTblE,4,0)),"—"))</f>
        <v/>
      </c>
      <c r="F2572" s="21">
        <f>IF($N2572="","",IF(INDEX(LdBAmt,$N2572)=0,"",INDEX(LdBAmt,$N2572)))</f>
        <v/>
      </c>
      <c r="G2572" s="32">
        <f>IF($N2572="","",IF(INDEX(LdBNote,$N2572)="","—",INDEX(LdBNote,$N2572)))</f>
        <v/>
      </c>
      <c r="N2572">
        <f>IFERROR(MATCH($C$5&amp;"|"&amp;RIGHT("000000"&amp;552,6),LdBKeyG,0),"")</f>
        <v/>
      </c>
    </row>
    <row r="2573">
      <c r="A2573" s="10" t="n">
        <v>553</v>
      </c>
      <c r="B2573" s="14">
        <f>IF($N2573="","",INDEX(LdBDate,$N2573))</f>
        <v/>
      </c>
      <c r="C2573" s="14">
        <f>IF($N2573="","",IF(INDEX(LdBId,$N2573)="","—",INDEX(LdBId,$N2573)))</f>
        <v/>
      </c>
      <c r="D2573" s="14">
        <f>IF($N2573="","",INDEX(LdBMember,$N2573))</f>
        <v/>
      </c>
      <c r="E2573" s="14">
        <f>IF($N2573="","",IFERROR(IF(VLOOKUP(INDEX(LdBMember,$N2573),AcctTblE,4,0)="","(بدون نام)",VLOOKUP(INDEX(LdBMember,$N2573),AcctTblE,4,0)),"—"))</f>
        <v/>
      </c>
      <c r="F2573" s="16">
        <f>IF($N2573="","",IF(INDEX(LdBAmt,$N2573)=0,"",INDEX(LdBAmt,$N2573)))</f>
        <v/>
      </c>
      <c r="G2573" s="30">
        <f>IF($N2573="","",IF(INDEX(LdBNote,$N2573)="","—",INDEX(LdBNote,$N2573)))</f>
        <v/>
      </c>
      <c r="N2573">
        <f>IFERROR(MATCH($C$5&amp;"|"&amp;RIGHT("000000"&amp;553,6),LdBKeyG,0),"")</f>
        <v/>
      </c>
    </row>
    <row r="2574">
      <c r="A2574" s="19" t="n">
        <v>554</v>
      </c>
      <c r="B2574" s="20">
        <f>IF($N2574="","",INDEX(LdBDate,$N2574))</f>
        <v/>
      </c>
      <c r="C2574" s="20">
        <f>IF($N2574="","",IF(INDEX(LdBId,$N2574)="","—",INDEX(LdBId,$N2574)))</f>
        <v/>
      </c>
      <c r="D2574" s="20">
        <f>IF($N2574="","",INDEX(LdBMember,$N2574))</f>
        <v/>
      </c>
      <c r="E2574" s="20">
        <f>IF($N2574="","",IFERROR(IF(VLOOKUP(INDEX(LdBMember,$N2574),AcctTblE,4,0)="","(بدون نام)",VLOOKUP(INDEX(LdBMember,$N2574),AcctTblE,4,0)),"—"))</f>
        <v/>
      </c>
      <c r="F2574" s="21">
        <f>IF($N2574="","",IF(INDEX(LdBAmt,$N2574)=0,"",INDEX(LdBAmt,$N2574)))</f>
        <v/>
      </c>
      <c r="G2574" s="32">
        <f>IF($N2574="","",IF(INDEX(LdBNote,$N2574)="","—",INDEX(LdBNote,$N2574)))</f>
        <v/>
      </c>
      <c r="N2574">
        <f>IFERROR(MATCH($C$5&amp;"|"&amp;RIGHT("000000"&amp;554,6),LdBKeyG,0),"")</f>
        <v/>
      </c>
    </row>
    <row r="2575">
      <c r="A2575" s="10" t="n">
        <v>555</v>
      </c>
      <c r="B2575" s="14">
        <f>IF($N2575="","",INDEX(LdBDate,$N2575))</f>
        <v/>
      </c>
      <c r="C2575" s="14">
        <f>IF($N2575="","",IF(INDEX(LdBId,$N2575)="","—",INDEX(LdBId,$N2575)))</f>
        <v/>
      </c>
      <c r="D2575" s="14">
        <f>IF($N2575="","",INDEX(LdBMember,$N2575))</f>
        <v/>
      </c>
      <c r="E2575" s="14">
        <f>IF($N2575="","",IFERROR(IF(VLOOKUP(INDEX(LdBMember,$N2575),AcctTblE,4,0)="","(بدون نام)",VLOOKUP(INDEX(LdBMember,$N2575),AcctTblE,4,0)),"—"))</f>
        <v/>
      </c>
      <c r="F2575" s="16">
        <f>IF($N2575="","",IF(INDEX(LdBAmt,$N2575)=0,"",INDEX(LdBAmt,$N2575)))</f>
        <v/>
      </c>
      <c r="G2575" s="30">
        <f>IF($N2575="","",IF(INDEX(LdBNote,$N2575)="","—",INDEX(LdBNote,$N2575)))</f>
        <v/>
      </c>
      <c r="N2575">
        <f>IFERROR(MATCH($C$5&amp;"|"&amp;RIGHT("000000"&amp;555,6),LdBKeyG,0),"")</f>
        <v/>
      </c>
    </row>
    <row r="2576">
      <c r="A2576" s="19" t="n">
        <v>556</v>
      </c>
      <c r="B2576" s="20">
        <f>IF($N2576="","",INDEX(LdBDate,$N2576))</f>
        <v/>
      </c>
      <c r="C2576" s="20">
        <f>IF($N2576="","",IF(INDEX(LdBId,$N2576)="","—",INDEX(LdBId,$N2576)))</f>
        <v/>
      </c>
      <c r="D2576" s="20">
        <f>IF($N2576="","",INDEX(LdBMember,$N2576))</f>
        <v/>
      </c>
      <c r="E2576" s="20">
        <f>IF($N2576="","",IFERROR(IF(VLOOKUP(INDEX(LdBMember,$N2576),AcctTblE,4,0)="","(بدون نام)",VLOOKUP(INDEX(LdBMember,$N2576),AcctTblE,4,0)),"—"))</f>
        <v/>
      </c>
      <c r="F2576" s="21">
        <f>IF($N2576="","",IF(INDEX(LdBAmt,$N2576)=0,"",INDEX(LdBAmt,$N2576)))</f>
        <v/>
      </c>
      <c r="G2576" s="32">
        <f>IF($N2576="","",IF(INDEX(LdBNote,$N2576)="","—",INDEX(LdBNote,$N2576)))</f>
        <v/>
      </c>
      <c r="N2576">
        <f>IFERROR(MATCH($C$5&amp;"|"&amp;RIGHT("000000"&amp;556,6),LdBKeyG,0),"")</f>
        <v/>
      </c>
    </row>
    <row r="2577">
      <c r="A2577" s="10" t="n">
        <v>557</v>
      </c>
      <c r="B2577" s="14">
        <f>IF($N2577="","",INDEX(LdBDate,$N2577))</f>
        <v/>
      </c>
      <c r="C2577" s="14">
        <f>IF($N2577="","",IF(INDEX(LdBId,$N2577)="","—",INDEX(LdBId,$N2577)))</f>
        <v/>
      </c>
      <c r="D2577" s="14">
        <f>IF($N2577="","",INDEX(LdBMember,$N2577))</f>
        <v/>
      </c>
      <c r="E2577" s="14">
        <f>IF($N2577="","",IFERROR(IF(VLOOKUP(INDEX(LdBMember,$N2577),AcctTblE,4,0)="","(بدون نام)",VLOOKUP(INDEX(LdBMember,$N2577),AcctTblE,4,0)),"—"))</f>
        <v/>
      </c>
      <c r="F2577" s="16">
        <f>IF($N2577="","",IF(INDEX(LdBAmt,$N2577)=0,"",INDEX(LdBAmt,$N2577)))</f>
        <v/>
      </c>
      <c r="G2577" s="30">
        <f>IF($N2577="","",IF(INDEX(LdBNote,$N2577)="","—",INDEX(LdBNote,$N2577)))</f>
        <v/>
      </c>
      <c r="N2577">
        <f>IFERROR(MATCH($C$5&amp;"|"&amp;RIGHT("000000"&amp;557,6),LdBKeyG,0),"")</f>
        <v/>
      </c>
    </row>
    <row r="2578">
      <c r="A2578" s="19" t="n">
        <v>558</v>
      </c>
      <c r="B2578" s="20">
        <f>IF($N2578="","",INDEX(LdBDate,$N2578))</f>
        <v/>
      </c>
      <c r="C2578" s="20">
        <f>IF($N2578="","",IF(INDEX(LdBId,$N2578)="","—",INDEX(LdBId,$N2578)))</f>
        <v/>
      </c>
      <c r="D2578" s="20">
        <f>IF($N2578="","",INDEX(LdBMember,$N2578))</f>
        <v/>
      </c>
      <c r="E2578" s="20">
        <f>IF($N2578="","",IFERROR(IF(VLOOKUP(INDEX(LdBMember,$N2578),AcctTblE,4,0)="","(بدون نام)",VLOOKUP(INDEX(LdBMember,$N2578),AcctTblE,4,0)),"—"))</f>
        <v/>
      </c>
      <c r="F2578" s="21">
        <f>IF($N2578="","",IF(INDEX(LdBAmt,$N2578)=0,"",INDEX(LdBAmt,$N2578)))</f>
        <v/>
      </c>
      <c r="G2578" s="32">
        <f>IF($N2578="","",IF(INDEX(LdBNote,$N2578)="","—",INDEX(LdBNote,$N2578)))</f>
        <v/>
      </c>
      <c r="N2578">
        <f>IFERROR(MATCH($C$5&amp;"|"&amp;RIGHT("000000"&amp;558,6),LdBKeyG,0),"")</f>
        <v/>
      </c>
    </row>
    <row r="2579">
      <c r="A2579" s="10" t="n">
        <v>559</v>
      </c>
      <c r="B2579" s="14">
        <f>IF($N2579="","",INDEX(LdBDate,$N2579))</f>
        <v/>
      </c>
      <c r="C2579" s="14">
        <f>IF($N2579="","",IF(INDEX(LdBId,$N2579)="","—",INDEX(LdBId,$N2579)))</f>
        <v/>
      </c>
      <c r="D2579" s="14">
        <f>IF($N2579="","",INDEX(LdBMember,$N2579))</f>
        <v/>
      </c>
      <c r="E2579" s="14">
        <f>IF($N2579="","",IFERROR(IF(VLOOKUP(INDEX(LdBMember,$N2579),AcctTblE,4,0)="","(بدون نام)",VLOOKUP(INDEX(LdBMember,$N2579),AcctTblE,4,0)),"—"))</f>
        <v/>
      </c>
      <c r="F2579" s="16">
        <f>IF($N2579="","",IF(INDEX(LdBAmt,$N2579)=0,"",INDEX(LdBAmt,$N2579)))</f>
        <v/>
      </c>
      <c r="G2579" s="30">
        <f>IF($N2579="","",IF(INDEX(LdBNote,$N2579)="","—",INDEX(LdBNote,$N2579)))</f>
        <v/>
      </c>
      <c r="N2579">
        <f>IFERROR(MATCH($C$5&amp;"|"&amp;RIGHT("000000"&amp;559,6),LdBKeyG,0),"")</f>
        <v/>
      </c>
    </row>
    <row r="2580">
      <c r="A2580" s="19" t="n">
        <v>560</v>
      </c>
      <c r="B2580" s="20">
        <f>IF($N2580="","",INDEX(LdBDate,$N2580))</f>
        <v/>
      </c>
      <c r="C2580" s="20">
        <f>IF($N2580="","",IF(INDEX(LdBId,$N2580)="","—",INDEX(LdBId,$N2580)))</f>
        <v/>
      </c>
      <c r="D2580" s="20">
        <f>IF($N2580="","",INDEX(LdBMember,$N2580))</f>
        <v/>
      </c>
      <c r="E2580" s="20">
        <f>IF($N2580="","",IFERROR(IF(VLOOKUP(INDEX(LdBMember,$N2580),AcctTblE,4,0)="","(بدون نام)",VLOOKUP(INDEX(LdBMember,$N2580),AcctTblE,4,0)),"—"))</f>
        <v/>
      </c>
      <c r="F2580" s="21">
        <f>IF($N2580="","",IF(INDEX(LdBAmt,$N2580)=0,"",INDEX(LdBAmt,$N2580)))</f>
        <v/>
      </c>
      <c r="G2580" s="32">
        <f>IF($N2580="","",IF(INDEX(LdBNote,$N2580)="","—",INDEX(LdBNote,$N2580)))</f>
        <v/>
      </c>
      <c r="N2580">
        <f>IFERROR(MATCH($C$5&amp;"|"&amp;RIGHT("000000"&amp;560,6),LdBKeyG,0),"")</f>
        <v/>
      </c>
    </row>
    <row r="2581">
      <c r="A2581" s="10" t="n">
        <v>561</v>
      </c>
      <c r="B2581" s="14">
        <f>IF($N2581="","",INDEX(LdBDate,$N2581))</f>
        <v/>
      </c>
      <c r="C2581" s="14">
        <f>IF($N2581="","",IF(INDEX(LdBId,$N2581)="","—",INDEX(LdBId,$N2581)))</f>
        <v/>
      </c>
      <c r="D2581" s="14">
        <f>IF($N2581="","",INDEX(LdBMember,$N2581))</f>
        <v/>
      </c>
      <c r="E2581" s="14">
        <f>IF($N2581="","",IFERROR(IF(VLOOKUP(INDEX(LdBMember,$N2581),AcctTblE,4,0)="","(بدون نام)",VLOOKUP(INDEX(LdBMember,$N2581),AcctTblE,4,0)),"—"))</f>
        <v/>
      </c>
      <c r="F2581" s="16">
        <f>IF($N2581="","",IF(INDEX(LdBAmt,$N2581)=0,"",INDEX(LdBAmt,$N2581)))</f>
        <v/>
      </c>
      <c r="G2581" s="30">
        <f>IF($N2581="","",IF(INDEX(LdBNote,$N2581)="","—",INDEX(LdBNote,$N2581)))</f>
        <v/>
      </c>
      <c r="N2581">
        <f>IFERROR(MATCH($C$5&amp;"|"&amp;RIGHT("000000"&amp;561,6),LdBKeyG,0),"")</f>
        <v/>
      </c>
    </row>
    <row r="2582">
      <c r="A2582" s="19" t="n">
        <v>562</v>
      </c>
      <c r="B2582" s="20">
        <f>IF($N2582="","",INDEX(LdBDate,$N2582))</f>
        <v/>
      </c>
      <c r="C2582" s="20">
        <f>IF($N2582="","",IF(INDEX(LdBId,$N2582)="","—",INDEX(LdBId,$N2582)))</f>
        <v/>
      </c>
      <c r="D2582" s="20">
        <f>IF($N2582="","",INDEX(LdBMember,$N2582))</f>
        <v/>
      </c>
      <c r="E2582" s="20">
        <f>IF($N2582="","",IFERROR(IF(VLOOKUP(INDEX(LdBMember,$N2582),AcctTblE,4,0)="","(بدون نام)",VLOOKUP(INDEX(LdBMember,$N2582),AcctTblE,4,0)),"—"))</f>
        <v/>
      </c>
      <c r="F2582" s="21">
        <f>IF($N2582="","",IF(INDEX(LdBAmt,$N2582)=0,"",INDEX(LdBAmt,$N2582)))</f>
        <v/>
      </c>
      <c r="G2582" s="32">
        <f>IF($N2582="","",IF(INDEX(LdBNote,$N2582)="","—",INDEX(LdBNote,$N2582)))</f>
        <v/>
      </c>
      <c r="N2582">
        <f>IFERROR(MATCH($C$5&amp;"|"&amp;RIGHT("000000"&amp;562,6),LdBKeyG,0),"")</f>
        <v/>
      </c>
    </row>
    <row r="2583">
      <c r="A2583" s="10" t="n">
        <v>563</v>
      </c>
      <c r="B2583" s="14">
        <f>IF($N2583="","",INDEX(LdBDate,$N2583))</f>
        <v/>
      </c>
      <c r="C2583" s="14">
        <f>IF($N2583="","",IF(INDEX(LdBId,$N2583)="","—",INDEX(LdBId,$N2583)))</f>
        <v/>
      </c>
      <c r="D2583" s="14">
        <f>IF($N2583="","",INDEX(LdBMember,$N2583))</f>
        <v/>
      </c>
      <c r="E2583" s="14">
        <f>IF($N2583="","",IFERROR(IF(VLOOKUP(INDEX(LdBMember,$N2583),AcctTblE,4,0)="","(بدون نام)",VLOOKUP(INDEX(LdBMember,$N2583),AcctTblE,4,0)),"—"))</f>
        <v/>
      </c>
      <c r="F2583" s="16">
        <f>IF($N2583="","",IF(INDEX(LdBAmt,$N2583)=0,"",INDEX(LdBAmt,$N2583)))</f>
        <v/>
      </c>
      <c r="G2583" s="30">
        <f>IF($N2583="","",IF(INDEX(LdBNote,$N2583)="","—",INDEX(LdBNote,$N2583)))</f>
        <v/>
      </c>
      <c r="N2583">
        <f>IFERROR(MATCH($C$5&amp;"|"&amp;RIGHT("000000"&amp;563,6),LdBKeyG,0),"")</f>
        <v/>
      </c>
    </row>
    <row r="2584">
      <c r="A2584" s="19" t="n">
        <v>564</v>
      </c>
      <c r="B2584" s="20">
        <f>IF($N2584="","",INDEX(LdBDate,$N2584))</f>
        <v/>
      </c>
      <c r="C2584" s="20">
        <f>IF($N2584="","",IF(INDEX(LdBId,$N2584)="","—",INDEX(LdBId,$N2584)))</f>
        <v/>
      </c>
      <c r="D2584" s="20">
        <f>IF($N2584="","",INDEX(LdBMember,$N2584))</f>
        <v/>
      </c>
      <c r="E2584" s="20">
        <f>IF($N2584="","",IFERROR(IF(VLOOKUP(INDEX(LdBMember,$N2584),AcctTblE,4,0)="","(بدون نام)",VLOOKUP(INDEX(LdBMember,$N2584),AcctTblE,4,0)),"—"))</f>
        <v/>
      </c>
      <c r="F2584" s="21">
        <f>IF($N2584="","",IF(INDEX(LdBAmt,$N2584)=0,"",INDEX(LdBAmt,$N2584)))</f>
        <v/>
      </c>
      <c r="G2584" s="32">
        <f>IF($N2584="","",IF(INDEX(LdBNote,$N2584)="","—",INDEX(LdBNote,$N2584)))</f>
        <v/>
      </c>
      <c r="N2584">
        <f>IFERROR(MATCH($C$5&amp;"|"&amp;RIGHT("000000"&amp;564,6),LdBKeyG,0),"")</f>
        <v/>
      </c>
    </row>
    <row r="2585">
      <c r="A2585" s="10" t="n">
        <v>565</v>
      </c>
      <c r="B2585" s="14">
        <f>IF($N2585="","",INDEX(LdBDate,$N2585))</f>
        <v/>
      </c>
      <c r="C2585" s="14">
        <f>IF($N2585="","",IF(INDEX(LdBId,$N2585)="","—",INDEX(LdBId,$N2585)))</f>
        <v/>
      </c>
      <c r="D2585" s="14">
        <f>IF($N2585="","",INDEX(LdBMember,$N2585))</f>
        <v/>
      </c>
      <c r="E2585" s="14">
        <f>IF($N2585="","",IFERROR(IF(VLOOKUP(INDEX(LdBMember,$N2585),AcctTblE,4,0)="","(بدون نام)",VLOOKUP(INDEX(LdBMember,$N2585),AcctTblE,4,0)),"—"))</f>
        <v/>
      </c>
      <c r="F2585" s="16">
        <f>IF($N2585="","",IF(INDEX(LdBAmt,$N2585)=0,"",INDEX(LdBAmt,$N2585)))</f>
        <v/>
      </c>
      <c r="G2585" s="30">
        <f>IF($N2585="","",IF(INDEX(LdBNote,$N2585)="","—",INDEX(LdBNote,$N2585)))</f>
        <v/>
      </c>
      <c r="N2585">
        <f>IFERROR(MATCH($C$5&amp;"|"&amp;RIGHT("000000"&amp;565,6),LdBKeyG,0),"")</f>
        <v/>
      </c>
    </row>
    <row r="2586">
      <c r="A2586" s="19" t="n">
        <v>566</v>
      </c>
      <c r="B2586" s="20">
        <f>IF($N2586="","",INDEX(LdBDate,$N2586))</f>
        <v/>
      </c>
      <c r="C2586" s="20">
        <f>IF($N2586="","",IF(INDEX(LdBId,$N2586)="","—",INDEX(LdBId,$N2586)))</f>
        <v/>
      </c>
      <c r="D2586" s="20">
        <f>IF($N2586="","",INDEX(LdBMember,$N2586))</f>
        <v/>
      </c>
      <c r="E2586" s="20">
        <f>IF($N2586="","",IFERROR(IF(VLOOKUP(INDEX(LdBMember,$N2586),AcctTblE,4,0)="","(بدون نام)",VLOOKUP(INDEX(LdBMember,$N2586),AcctTblE,4,0)),"—"))</f>
        <v/>
      </c>
      <c r="F2586" s="21">
        <f>IF($N2586="","",IF(INDEX(LdBAmt,$N2586)=0,"",INDEX(LdBAmt,$N2586)))</f>
        <v/>
      </c>
      <c r="G2586" s="32">
        <f>IF($N2586="","",IF(INDEX(LdBNote,$N2586)="","—",INDEX(LdBNote,$N2586)))</f>
        <v/>
      </c>
      <c r="N2586">
        <f>IFERROR(MATCH($C$5&amp;"|"&amp;RIGHT("000000"&amp;566,6),LdBKeyG,0),"")</f>
        <v/>
      </c>
    </row>
    <row r="2587">
      <c r="A2587" s="10" t="n">
        <v>567</v>
      </c>
      <c r="B2587" s="14">
        <f>IF($N2587="","",INDEX(LdBDate,$N2587))</f>
        <v/>
      </c>
      <c r="C2587" s="14">
        <f>IF($N2587="","",IF(INDEX(LdBId,$N2587)="","—",INDEX(LdBId,$N2587)))</f>
        <v/>
      </c>
      <c r="D2587" s="14">
        <f>IF($N2587="","",INDEX(LdBMember,$N2587))</f>
        <v/>
      </c>
      <c r="E2587" s="14">
        <f>IF($N2587="","",IFERROR(IF(VLOOKUP(INDEX(LdBMember,$N2587),AcctTblE,4,0)="","(بدون نام)",VLOOKUP(INDEX(LdBMember,$N2587),AcctTblE,4,0)),"—"))</f>
        <v/>
      </c>
      <c r="F2587" s="16">
        <f>IF($N2587="","",IF(INDEX(LdBAmt,$N2587)=0,"",INDEX(LdBAmt,$N2587)))</f>
        <v/>
      </c>
      <c r="G2587" s="30">
        <f>IF($N2587="","",IF(INDEX(LdBNote,$N2587)="","—",INDEX(LdBNote,$N2587)))</f>
        <v/>
      </c>
      <c r="N2587">
        <f>IFERROR(MATCH($C$5&amp;"|"&amp;RIGHT("000000"&amp;567,6),LdBKeyG,0),"")</f>
        <v/>
      </c>
    </row>
    <row r="2588">
      <c r="A2588" s="19" t="n">
        <v>568</v>
      </c>
      <c r="B2588" s="20">
        <f>IF($N2588="","",INDEX(LdBDate,$N2588))</f>
        <v/>
      </c>
      <c r="C2588" s="20">
        <f>IF($N2588="","",IF(INDEX(LdBId,$N2588)="","—",INDEX(LdBId,$N2588)))</f>
        <v/>
      </c>
      <c r="D2588" s="20">
        <f>IF($N2588="","",INDEX(LdBMember,$N2588))</f>
        <v/>
      </c>
      <c r="E2588" s="20">
        <f>IF($N2588="","",IFERROR(IF(VLOOKUP(INDEX(LdBMember,$N2588),AcctTblE,4,0)="","(بدون نام)",VLOOKUP(INDEX(LdBMember,$N2588),AcctTblE,4,0)),"—"))</f>
        <v/>
      </c>
      <c r="F2588" s="21">
        <f>IF($N2588="","",IF(INDEX(LdBAmt,$N2588)=0,"",INDEX(LdBAmt,$N2588)))</f>
        <v/>
      </c>
      <c r="G2588" s="32">
        <f>IF($N2588="","",IF(INDEX(LdBNote,$N2588)="","—",INDEX(LdBNote,$N2588)))</f>
        <v/>
      </c>
      <c r="N2588">
        <f>IFERROR(MATCH($C$5&amp;"|"&amp;RIGHT("000000"&amp;568,6),LdBKeyG,0),"")</f>
        <v/>
      </c>
    </row>
    <row r="2589">
      <c r="A2589" s="10" t="n">
        <v>569</v>
      </c>
      <c r="B2589" s="14">
        <f>IF($N2589="","",INDEX(LdBDate,$N2589))</f>
        <v/>
      </c>
      <c r="C2589" s="14">
        <f>IF($N2589="","",IF(INDEX(LdBId,$N2589)="","—",INDEX(LdBId,$N2589)))</f>
        <v/>
      </c>
      <c r="D2589" s="14">
        <f>IF($N2589="","",INDEX(LdBMember,$N2589))</f>
        <v/>
      </c>
      <c r="E2589" s="14">
        <f>IF($N2589="","",IFERROR(IF(VLOOKUP(INDEX(LdBMember,$N2589),AcctTblE,4,0)="","(بدون نام)",VLOOKUP(INDEX(LdBMember,$N2589),AcctTblE,4,0)),"—"))</f>
        <v/>
      </c>
      <c r="F2589" s="16">
        <f>IF($N2589="","",IF(INDEX(LdBAmt,$N2589)=0,"",INDEX(LdBAmt,$N2589)))</f>
        <v/>
      </c>
      <c r="G2589" s="30">
        <f>IF($N2589="","",IF(INDEX(LdBNote,$N2589)="","—",INDEX(LdBNote,$N2589)))</f>
        <v/>
      </c>
      <c r="N2589">
        <f>IFERROR(MATCH($C$5&amp;"|"&amp;RIGHT("000000"&amp;569,6),LdBKeyG,0),"")</f>
        <v/>
      </c>
    </row>
    <row r="2590">
      <c r="A2590" s="19" t="n">
        <v>570</v>
      </c>
      <c r="B2590" s="20">
        <f>IF($N2590="","",INDEX(LdBDate,$N2590))</f>
        <v/>
      </c>
      <c r="C2590" s="20">
        <f>IF($N2590="","",IF(INDEX(LdBId,$N2590)="","—",INDEX(LdBId,$N2590)))</f>
        <v/>
      </c>
      <c r="D2590" s="20">
        <f>IF($N2590="","",INDEX(LdBMember,$N2590))</f>
        <v/>
      </c>
      <c r="E2590" s="20">
        <f>IF($N2590="","",IFERROR(IF(VLOOKUP(INDEX(LdBMember,$N2590),AcctTblE,4,0)="","(بدون نام)",VLOOKUP(INDEX(LdBMember,$N2590),AcctTblE,4,0)),"—"))</f>
        <v/>
      </c>
      <c r="F2590" s="21">
        <f>IF($N2590="","",IF(INDEX(LdBAmt,$N2590)=0,"",INDEX(LdBAmt,$N2590)))</f>
        <v/>
      </c>
      <c r="G2590" s="32">
        <f>IF($N2590="","",IF(INDEX(LdBNote,$N2590)="","—",INDEX(LdBNote,$N2590)))</f>
        <v/>
      </c>
      <c r="N2590">
        <f>IFERROR(MATCH($C$5&amp;"|"&amp;RIGHT("000000"&amp;570,6),LdBKeyG,0),"")</f>
        <v/>
      </c>
    </row>
    <row r="2591">
      <c r="A2591" s="10" t="n">
        <v>571</v>
      </c>
      <c r="B2591" s="14">
        <f>IF($N2591="","",INDEX(LdBDate,$N2591))</f>
        <v/>
      </c>
      <c r="C2591" s="14">
        <f>IF($N2591="","",IF(INDEX(LdBId,$N2591)="","—",INDEX(LdBId,$N2591)))</f>
        <v/>
      </c>
      <c r="D2591" s="14">
        <f>IF($N2591="","",INDEX(LdBMember,$N2591))</f>
        <v/>
      </c>
      <c r="E2591" s="14">
        <f>IF($N2591="","",IFERROR(IF(VLOOKUP(INDEX(LdBMember,$N2591),AcctTblE,4,0)="","(بدون نام)",VLOOKUP(INDEX(LdBMember,$N2591),AcctTblE,4,0)),"—"))</f>
        <v/>
      </c>
      <c r="F2591" s="16">
        <f>IF($N2591="","",IF(INDEX(LdBAmt,$N2591)=0,"",INDEX(LdBAmt,$N2591)))</f>
        <v/>
      </c>
      <c r="G2591" s="30">
        <f>IF($N2591="","",IF(INDEX(LdBNote,$N2591)="","—",INDEX(LdBNote,$N2591)))</f>
        <v/>
      </c>
      <c r="N2591">
        <f>IFERROR(MATCH($C$5&amp;"|"&amp;RIGHT("000000"&amp;571,6),LdBKeyG,0),"")</f>
        <v/>
      </c>
    </row>
    <row r="2592">
      <c r="A2592" s="19" t="n">
        <v>572</v>
      </c>
      <c r="B2592" s="20">
        <f>IF($N2592="","",INDEX(LdBDate,$N2592))</f>
        <v/>
      </c>
      <c r="C2592" s="20">
        <f>IF($N2592="","",IF(INDEX(LdBId,$N2592)="","—",INDEX(LdBId,$N2592)))</f>
        <v/>
      </c>
      <c r="D2592" s="20">
        <f>IF($N2592="","",INDEX(LdBMember,$N2592))</f>
        <v/>
      </c>
      <c r="E2592" s="20">
        <f>IF($N2592="","",IFERROR(IF(VLOOKUP(INDEX(LdBMember,$N2592),AcctTblE,4,0)="","(بدون نام)",VLOOKUP(INDEX(LdBMember,$N2592),AcctTblE,4,0)),"—"))</f>
        <v/>
      </c>
      <c r="F2592" s="21">
        <f>IF($N2592="","",IF(INDEX(LdBAmt,$N2592)=0,"",INDEX(LdBAmt,$N2592)))</f>
        <v/>
      </c>
      <c r="G2592" s="32">
        <f>IF($N2592="","",IF(INDEX(LdBNote,$N2592)="","—",INDEX(LdBNote,$N2592)))</f>
        <v/>
      </c>
      <c r="N2592">
        <f>IFERROR(MATCH($C$5&amp;"|"&amp;RIGHT("000000"&amp;572,6),LdBKeyG,0),"")</f>
        <v/>
      </c>
    </row>
    <row r="2593">
      <c r="A2593" s="10" t="n">
        <v>573</v>
      </c>
      <c r="B2593" s="14">
        <f>IF($N2593="","",INDEX(LdBDate,$N2593))</f>
        <v/>
      </c>
      <c r="C2593" s="14">
        <f>IF($N2593="","",IF(INDEX(LdBId,$N2593)="","—",INDEX(LdBId,$N2593)))</f>
        <v/>
      </c>
      <c r="D2593" s="14">
        <f>IF($N2593="","",INDEX(LdBMember,$N2593))</f>
        <v/>
      </c>
      <c r="E2593" s="14">
        <f>IF($N2593="","",IFERROR(IF(VLOOKUP(INDEX(LdBMember,$N2593),AcctTblE,4,0)="","(بدون نام)",VLOOKUP(INDEX(LdBMember,$N2593),AcctTblE,4,0)),"—"))</f>
        <v/>
      </c>
      <c r="F2593" s="16">
        <f>IF($N2593="","",IF(INDEX(LdBAmt,$N2593)=0,"",INDEX(LdBAmt,$N2593)))</f>
        <v/>
      </c>
      <c r="G2593" s="30">
        <f>IF($N2593="","",IF(INDEX(LdBNote,$N2593)="","—",INDEX(LdBNote,$N2593)))</f>
        <v/>
      </c>
      <c r="N2593">
        <f>IFERROR(MATCH($C$5&amp;"|"&amp;RIGHT("000000"&amp;573,6),LdBKeyG,0),"")</f>
        <v/>
      </c>
    </row>
    <row r="2594">
      <c r="A2594" s="19" t="n">
        <v>574</v>
      </c>
      <c r="B2594" s="20">
        <f>IF($N2594="","",INDEX(LdBDate,$N2594))</f>
        <v/>
      </c>
      <c r="C2594" s="20">
        <f>IF($N2594="","",IF(INDEX(LdBId,$N2594)="","—",INDEX(LdBId,$N2594)))</f>
        <v/>
      </c>
      <c r="D2594" s="20">
        <f>IF($N2594="","",INDEX(LdBMember,$N2594))</f>
        <v/>
      </c>
      <c r="E2594" s="20">
        <f>IF($N2594="","",IFERROR(IF(VLOOKUP(INDEX(LdBMember,$N2594),AcctTblE,4,0)="","(بدون نام)",VLOOKUP(INDEX(LdBMember,$N2594),AcctTblE,4,0)),"—"))</f>
        <v/>
      </c>
      <c r="F2594" s="21">
        <f>IF($N2594="","",IF(INDEX(LdBAmt,$N2594)=0,"",INDEX(LdBAmt,$N2594)))</f>
        <v/>
      </c>
      <c r="G2594" s="32">
        <f>IF($N2594="","",IF(INDEX(LdBNote,$N2594)="","—",INDEX(LdBNote,$N2594)))</f>
        <v/>
      </c>
      <c r="N2594">
        <f>IFERROR(MATCH($C$5&amp;"|"&amp;RIGHT("000000"&amp;574,6),LdBKeyG,0),"")</f>
        <v/>
      </c>
    </row>
    <row r="2595">
      <c r="A2595" s="10" t="n">
        <v>575</v>
      </c>
      <c r="B2595" s="14">
        <f>IF($N2595="","",INDEX(LdBDate,$N2595))</f>
        <v/>
      </c>
      <c r="C2595" s="14">
        <f>IF($N2595="","",IF(INDEX(LdBId,$N2595)="","—",INDEX(LdBId,$N2595)))</f>
        <v/>
      </c>
      <c r="D2595" s="14">
        <f>IF($N2595="","",INDEX(LdBMember,$N2595))</f>
        <v/>
      </c>
      <c r="E2595" s="14">
        <f>IF($N2595="","",IFERROR(IF(VLOOKUP(INDEX(LdBMember,$N2595),AcctTblE,4,0)="","(بدون نام)",VLOOKUP(INDEX(LdBMember,$N2595),AcctTblE,4,0)),"—"))</f>
        <v/>
      </c>
      <c r="F2595" s="16">
        <f>IF($N2595="","",IF(INDEX(LdBAmt,$N2595)=0,"",INDEX(LdBAmt,$N2595)))</f>
        <v/>
      </c>
      <c r="G2595" s="30">
        <f>IF($N2595="","",IF(INDEX(LdBNote,$N2595)="","—",INDEX(LdBNote,$N2595)))</f>
        <v/>
      </c>
      <c r="N2595">
        <f>IFERROR(MATCH($C$5&amp;"|"&amp;RIGHT("000000"&amp;575,6),LdBKeyG,0),"")</f>
        <v/>
      </c>
    </row>
    <row r="2596">
      <c r="A2596" s="19" t="n">
        <v>576</v>
      </c>
      <c r="B2596" s="20">
        <f>IF($N2596="","",INDEX(LdBDate,$N2596))</f>
        <v/>
      </c>
      <c r="C2596" s="20">
        <f>IF($N2596="","",IF(INDEX(LdBId,$N2596)="","—",INDEX(LdBId,$N2596)))</f>
        <v/>
      </c>
      <c r="D2596" s="20">
        <f>IF($N2596="","",INDEX(LdBMember,$N2596))</f>
        <v/>
      </c>
      <c r="E2596" s="20">
        <f>IF($N2596="","",IFERROR(IF(VLOOKUP(INDEX(LdBMember,$N2596),AcctTblE,4,0)="","(بدون نام)",VLOOKUP(INDEX(LdBMember,$N2596),AcctTblE,4,0)),"—"))</f>
        <v/>
      </c>
      <c r="F2596" s="21">
        <f>IF($N2596="","",IF(INDEX(LdBAmt,$N2596)=0,"",INDEX(LdBAmt,$N2596)))</f>
        <v/>
      </c>
      <c r="G2596" s="32">
        <f>IF($N2596="","",IF(INDEX(LdBNote,$N2596)="","—",INDEX(LdBNote,$N2596)))</f>
        <v/>
      </c>
      <c r="N2596">
        <f>IFERROR(MATCH($C$5&amp;"|"&amp;RIGHT("000000"&amp;576,6),LdBKeyG,0),"")</f>
        <v/>
      </c>
    </row>
    <row r="2597">
      <c r="A2597" s="10" t="n">
        <v>577</v>
      </c>
      <c r="B2597" s="14">
        <f>IF($N2597="","",INDEX(LdBDate,$N2597))</f>
        <v/>
      </c>
      <c r="C2597" s="14">
        <f>IF($N2597="","",IF(INDEX(LdBId,$N2597)="","—",INDEX(LdBId,$N2597)))</f>
        <v/>
      </c>
      <c r="D2597" s="14">
        <f>IF($N2597="","",INDEX(LdBMember,$N2597))</f>
        <v/>
      </c>
      <c r="E2597" s="14">
        <f>IF($N2597="","",IFERROR(IF(VLOOKUP(INDEX(LdBMember,$N2597),AcctTblE,4,0)="","(بدون نام)",VLOOKUP(INDEX(LdBMember,$N2597),AcctTblE,4,0)),"—"))</f>
        <v/>
      </c>
      <c r="F2597" s="16">
        <f>IF($N2597="","",IF(INDEX(LdBAmt,$N2597)=0,"",INDEX(LdBAmt,$N2597)))</f>
        <v/>
      </c>
      <c r="G2597" s="30">
        <f>IF($N2597="","",IF(INDEX(LdBNote,$N2597)="","—",INDEX(LdBNote,$N2597)))</f>
        <v/>
      </c>
      <c r="N2597">
        <f>IFERROR(MATCH($C$5&amp;"|"&amp;RIGHT("000000"&amp;577,6),LdBKeyG,0),"")</f>
        <v/>
      </c>
    </row>
    <row r="2598">
      <c r="A2598" s="19" t="n">
        <v>578</v>
      </c>
      <c r="B2598" s="20">
        <f>IF($N2598="","",INDEX(LdBDate,$N2598))</f>
        <v/>
      </c>
      <c r="C2598" s="20">
        <f>IF($N2598="","",IF(INDEX(LdBId,$N2598)="","—",INDEX(LdBId,$N2598)))</f>
        <v/>
      </c>
      <c r="D2598" s="20">
        <f>IF($N2598="","",INDEX(LdBMember,$N2598))</f>
        <v/>
      </c>
      <c r="E2598" s="20">
        <f>IF($N2598="","",IFERROR(IF(VLOOKUP(INDEX(LdBMember,$N2598),AcctTblE,4,0)="","(بدون نام)",VLOOKUP(INDEX(LdBMember,$N2598),AcctTblE,4,0)),"—"))</f>
        <v/>
      </c>
      <c r="F2598" s="21">
        <f>IF($N2598="","",IF(INDEX(LdBAmt,$N2598)=0,"",INDEX(LdBAmt,$N2598)))</f>
        <v/>
      </c>
      <c r="G2598" s="32">
        <f>IF($N2598="","",IF(INDEX(LdBNote,$N2598)="","—",INDEX(LdBNote,$N2598)))</f>
        <v/>
      </c>
      <c r="N2598">
        <f>IFERROR(MATCH($C$5&amp;"|"&amp;RIGHT("000000"&amp;578,6),LdBKeyG,0),"")</f>
        <v/>
      </c>
    </row>
    <row r="2599">
      <c r="A2599" s="10" t="n">
        <v>579</v>
      </c>
      <c r="B2599" s="14">
        <f>IF($N2599="","",INDEX(LdBDate,$N2599))</f>
        <v/>
      </c>
      <c r="C2599" s="14">
        <f>IF($N2599="","",IF(INDEX(LdBId,$N2599)="","—",INDEX(LdBId,$N2599)))</f>
        <v/>
      </c>
      <c r="D2599" s="14">
        <f>IF($N2599="","",INDEX(LdBMember,$N2599))</f>
        <v/>
      </c>
      <c r="E2599" s="14">
        <f>IF($N2599="","",IFERROR(IF(VLOOKUP(INDEX(LdBMember,$N2599),AcctTblE,4,0)="","(بدون نام)",VLOOKUP(INDEX(LdBMember,$N2599),AcctTblE,4,0)),"—"))</f>
        <v/>
      </c>
      <c r="F2599" s="16">
        <f>IF($N2599="","",IF(INDEX(LdBAmt,$N2599)=0,"",INDEX(LdBAmt,$N2599)))</f>
        <v/>
      </c>
      <c r="G2599" s="30">
        <f>IF($N2599="","",IF(INDEX(LdBNote,$N2599)="","—",INDEX(LdBNote,$N2599)))</f>
        <v/>
      </c>
      <c r="N2599">
        <f>IFERROR(MATCH($C$5&amp;"|"&amp;RIGHT("000000"&amp;579,6),LdBKeyG,0),"")</f>
        <v/>
      </c>
    </row>
    <row r="2600">
      <c r="A2600" s="19" t="n">
        <v>580</v>
      </c>
      <c r="B2600" s="20">
        <f>IF($N2600="","",INDEX(LdBDate,$N2600))</f>
        <v/>
      </c>
      <c r="C2600" s="20">
        <f>IF($N2600="","",IF(INDEX(LdBId,$N2600)="","—",INDEX(LdBId,$N2600)))</f>
        <v/>
      </c>
      <c r="D2600" s="20">
        <f>IF($N2600="","",INDEX(LdBMember,$N2600))</f>
        <v/>
      </c>
      <c r="E2600" s="20">
        <f>IF($N2600="","",IFERROR(IF(VLOOKUP(INDEX(LdBMember,$N2600),AcctTblE,4,0)="","(بدون نام)",VLOOKUP(INDEX(LdBMember,$N2600),AcctTblE,4,0)),"—"))</f>
        <v/>
      </c>
      <c r="F2600" s="21">
        <f>IF($N2600="","",IF(INDEX(LdBAmt,$N2600)=0,"",INDEX(LdBAmt,$N2600)))</f>
        <v/>
      </c>
      <c r="G2600" s="32">
        <f>IF($N2600="","",IF(INDEX(LdBNote,$N2600)="","—",INDEX(LdBNote,$N2600)))</f>
        <v/>
      </c>
      <c r="N2600">
        <f>IFERROR(MATCH($C$5&amp;"|"&amp;RIGHT("000000"&amp;580,6),LdBKeyG,0),"")</f>
        <v/>
      </c>
    </row>
    <row r="2601">
      <c r="A2601" s="10" t="n">
        <v>581</v>
      </c>
      <c r="B2601" s="14">
        <f>IF($N2601="","",INDEX(LdBDate,$N2601))</f>
        <v/>
      </c>
      <c r="C2601" s="14">
        <f>IF($N2601="","",IF(INDEX(LdBId,$N2601)="","—",INDEX(LdBId,$N2601)))</f>
        <v/>
      </c>
      <c r="D2601" s="14">
        <f>IF($N2601="","",INDEX(LdBMember,$N2601))</f>
        <v/>
      </c>
      <c r="E2601" s="14">
        <f>IF($N2601="","",IFERROR(IF(VLOOKUP(INDEX(LdBMember,$N2601),AcctTblE,4,0)="","(بدون نام)",VLOOKUP(INDEX(LdBMember,$N2601),AcctTblE,4,0)),"—"))</f>
        <v/>
      </c>
      <c r="F2601" s="16">
        <f>IF($N2601="","",IF(INDEX(LdBAmt,$N2601)=0,"",INDEX(LdBAmt,$N2601)))</f>
        <v/>
      </c>
      <c r="G2601" s="30">
        <f>IF($N2601="","",IF(INDEX(LdBNote,$N2601)="","—",INDEX(LdBNote,$N2601)))</f>
        <v/>
      </c>
      <c r="N2601">
        <f>IFERROR(MATCH($C$5&amp;"|"&amp;RIGHT("000000"&amp;581,6),LdBKeyG,0),"")</f>
        <v/>
      </c>
    </row>
    <row r="2602">
      <c r="A2602" s="19" t="n">
        <v>582</v>
      </c>
      <c r="B2602" s="20">
        <f>IF($N2602="","",INDEX(LdBDate,$N2602))</f>
        <v/>
      </c>
      <c r="C2602" s="20">
        <f>IF($N2602="","",IF(INDEX(LdBId,$N2602)="","—",INDEX(LdBId,$N2602)))</f>
        <v/>
      </c>
      <c r="D2602" s="20">
        <f>IF($N2602="","",INDEX(LdBMember,$N2602))</f>
        <v/>
      </c>
      <c r="E2602" s="20">
        <f>IF($N2602="","",IFERROR(IF(VLOOKUP(INDEX(LdBMember,$N2602),AcctTblE,4,0)="","(بدون نام)",VLOOKUP(INDEX(LdBMember,$N2602),AcctTblE,4,0)),"—"))</f>
        <v/>
      </c>
      <c r="F2602" s="21">
        <f>IF($N2602="","",IF(INDEX(LdBAmt,$N2602)=0,"",INDEX(LdBAmt,$N2602)))</f>
        <v/>
      </c>
      <c r="G2602" s="32">
        <f>IF($N2602="","",IF(INDEX(LdBNote,$N2602)="","—",INDEX(LdBNote,$N2602)))</f>
        <v/>
      </c>
      <c r="N2602">
        <f>IFERROR(MATCH($C$5&amp;"|"&amp;RIGHT("000000"&amp;582,6),LdBKeyG,0),"")</f>
        <v/>
      </c>
    </row>
    <row r="2603">
      <c r="A2603" s="10" t="n">
        <v>583</v>
      </c>
      <c r="B2603" s="14">
        <f>IF($N2603="","",INDEX(LdBDate,$N2603))</f>
        <v/>
      </c>
      <c r="C2603" s="14">
        <f>IF($N2603="","",IF(INDEX(LdBId,$N2603)="","—",INDEX(LdBId,$N2603)))</f>
        <v/>
      </c>
      <c r="D2603" s="14">
        <f>IF($N2603="","",INDEX(LdBMember,$N2603))</f>
        <v/>
      </c>
      <c r="E2603" s="14">
        <f>IF($N2603="","",IFERROR(IF(VLOOKUP(INDEX(LdBMember,$N2603),AcctTblE,4,0)="","(بدون نام)",VLOOKUP(INDEX(LdBMember,$N2603),AcctTblE,4,0)),"—"))</f>
        <v/>
      </c>
      <c r="F2603" s="16">
        <f>IF($N2603="","",IF(INDEX(LdBAmt,$N2603)=0,"",INDEX(LdBAmt,$N2603)))</f>
        <v/>
      </c>
      <c r="G2603" s="30">
        <f>IF($N2603="","",IF(INDEX(LdBNote,$N2603)="","—",INDEX(LdBNote,$N2603)))</f>
        <v/>
      </c>
      <c r="N2603">
        <f>IFERROR(MATCH($C$5&amp;"|"&amp;RIGHT("000000"&amp;583,6),LdBKeyG,0),"")</f>
        <v/>
      </c>
    </row>
    <row r="2604">
      <c r="A2604" s="19" t="n">
        <v>584</v>
      </c>
      <c r="B2604" s="20">
        <f>IF($N2604="","",INDEX(LdBDate,$N2604))</f>
        <v/>
      </c>
      <c r="C2604" s="20">
        <f>IF($N2604="","",IF(INDEX(LdBId,$N2604)="","—",INDEX(LdBId,$N2604)))</f>
        <v/>
      </c>
      <c r="D2604" s="20">
        <f>IF($N2604="","",INDEX(LdBMember,$N2604))</f>
        <v/>
      </c>
      <c r="E2604" s="20">
        <f>IF($N2604="","",IFERROR(IF(VLOOKUP(INDEX(LdBMember,$N2604),AcctTblE,4,0)="","(بدون نام)",VLOOKUP(INDEX(LdBMember,$N2604),AcctTblE,4,0)),"—"))</f>
        <v/>
      </c>
      <c r="F2604" s="21">
        <f>IF($N2604="","",IF(INDEX(LdBAmt,$N2604)=0,"",INDEX(LdBAmt,$N2604)))</f>
        <v/>
      </c>
      <c r="G2604" s="32">
        <f>IF($N2604="","",IF(INDEX(LdBNote,$N2604)="","—",INDEX(LdBNote,$N2604)))</f>
        <v/>
      </c>
      <c r="N2604">
        <f>IFERROR(MATCH($C$5&amp;"|"&amp;RIGHT("000000"&amp;584,6),LdBKeyG,0),"")</f>
        <v/>
      </c>
    </row>
    <row r="2605">
      <c r="A2605" s="10" t="n">
        <v>585</v>
      </c>
      <c r="B2605" s="14">
        <f>IF($N2605="","",INDEX(LdBDate,$N2605))</f>
        <v/>
      </c>
      <c r="C2605" s="14">
        <f>IF($N2605="","",IF(INDEX(LdBId,$N2605)="","—",INDEX(LdBId,$N2605)))</f>
        <v/>
      </c>
      <c r="D2605" s="14">
        <f>IF($N2605="","",INDEX(LdBMember,$N2605))</f>
        <v/>
      </c>
      <c r="E2605" s="14">
        <f>IF($N2605="","",IFERROR(IF(VLOOKUP(INDEX(LdBMember,$N2605),AcctTblE,4,0)="","(بدون نام)",VLOOKUP(INDEX(LdBMember,$N2605),AcctTblE,4,0)),"—"))</f>
        <v/>
      </c>
      <c r="F2605" s="16">
        <f>IF($N2605="","",IF(INDEX(LdBAmt,$N2605)=0,"",INDEX(LdBAmt,$N2605)))</f>
        <v/>
      </c>
      <c r="G2605" s="30">
        <f>IF($N2605="","",IF(INDEX(LdBNote,$N2605)="","—",INDEX(LdBNote,$N2605)))</f>
        <v/>
      </c>
      <c r="N2605">
        <f>IFERROR(MATCH($C$5&amp;"|"&amp;RIGHT("000000"&amp;585,6),LdBKeyG,0),"")</f>
        <v/>
      </c>
    </row>
    <row r="2606">
      <c r="A2606" s="19" t="n">
        <v>586</v>
      </c>
      <c r="B2606" s="20">
        <f>IF($N2606="","",INDEX(LdBDate,$N2606))</f>
        <v/>
      </c>
      <c r="C2606" s="20">
        <f>IF($N2606="","",IF(INDEX(LdBId,$N2606)="","—",INDEX(LdBId,$N2606)))</f>
        <v/>
      </c>
      <c r="D2606" s="20">
        <f>IF($N2606="","",INDEX(LdBMember,$N2606))</f>
        <v/>
      </c>
      <c r="E2606" s="20">
        <f>IF($N2606="","",IFERROR(IF(VLOOKUP(INDEX(LdBMember,$N2606),AcctTblE,4,0)="","(بدون نام)",VLOOKUP(INDEX(LdBMember,$N2606),AcctTblE,4,0)),"—"))</f>
        <v/>
      </c>
      <c r="F2606" s="21">
        <f>IF($N2606="","",IF(INDEX(LdBAmt,$N2606)=0,"",INDEX(LdBAmt,$N2606)))</f>
        <v/>
      </c>
      <c r="G2606" s="32">
        <f>IF($N2606="","",IF(INDEX(LdBNote,$N2606)="","—",INDEX(LdBNote,$N2606)))</f>
        <v/>
      </c>
      <c r="N2606">
        <f>IFERROR(MATCH($C$5&amp;"|"&amp;RIGHT("000000"&amp;586,6),LdBKeyG,0),"")</f>
        <v/>
      </c>
    </row>
    <row r="2607">
      <c r="A2607" s="10" t="n">
        <v>587</v>
      </c>
      <c r="B2607" s="14">
        <f>IF($N2607="","",INDEX(LdBDate,$N2607))</f>
        <v/>
      </c>
      <c r="C2607" s="14">
        <f>IF($N2607="","",IF(INDEX(LdBId,$N2607)="","—",INDEX(LdBId,$N2607)))</f>
        <v/>
      </c>
      <c r="D2607" s="14">
        <f>IF($N2607="","",INDEX(LdBMember,$N2607))</f>
        <v/>
      </c>
      <c r="E2607" s="14">
        <f>IF($N2607="","",IFERROR(IF(VLOOKUP(INDEX(LdBMember,$N2607),AcctTblE,4,0)="","(بدون نام)",VLOOKUP(INDEX(LdBMember,$N2607),AcctTblE,4,0)),"—"))</f>
        <v/>
      </c>
      <c r="F2607" s="16">
        <f>IF($N2607="","",IF(INDEX(LdBAmt,$N2607)=0,"",INDEX(LdBAmt,$N2607)))</f>
        <v/>
      </c>
      <c r="G2607" s="30">
        <f>IF($N2607="","",IF(INDEX(LdBNote,$N2607)="","—",INDEX(LdBNote,$N2607)))</f>
        <v/>
      </c>
      <c r="N2607">
        <f>IFERROR(MATCH($C$5&amp;"|"&amp;RIGHT("000000"&amp;587,6),LdBKeyG,0),"")</f>
        <v/>
      </c>
    </row>
    <row r="2608">
      <c r="A2608" s="19" t="n">
        <v>588</v>
      </c>
      <c r="B2608" s="20">
        <f>IF($N2608="","",INDEX(LdBDate,$N2608))</f>
        <v/>
      </c>
      <c r="C2608" s="20">
        <f>IF($N2608="","",IF(INDEX(LdBId,$N2608)="","—",INDEX(LdBId,$N2608)))</f>
        <v/>
      </c>
      <c r="D2608" s="20">
        <f>IF($N2608="","",INDEX(LdBMember,$N2608))</f>
        <v/>
      </c>
      <c r="E2608" s="20">
        <f>IF($N2608="","",IFERROR(IF(VLOOKUP(INDEX(LdBMember,$N2608),AcctTblE,4,0)="","(بدون نام)",VLOOKUP(INDEX(LdBMember,$N2608),AcctTblE,4,0)),"—"))</f>
        <v/>
      </c>
      <c r="F2608" s="21">
        <f>IF($N2608="","",IF(INDEX(LdBAmt,$N2608)=0,"",INDEX(LdBAmt,$N2608)))</f>
        <v/>
      </c>
      <c r="G2608" s="32">
        <f>IF($N2608="","",IF(INDEX(LdBNote,$N2608)="","—",INDEX(LdBNote,$N2608)))</f>
        <v/>
      </c>
      <c r="N2608">
        <f>IFERROR(MATCH($C$5&amp;"|"&amp;RIGHT("000000"&amp;588,6),LdBKeyG,0),"")</f>
        <v/>
      </c>
    </row>
    <row r="2609">
      <c r="A2609" s="10" t="n">
        <v>589</v>
      </c>
      <c r="B2609" s="14">
        <f>IF($N2609="","",INDEX(LdBDate,$N2609))</f>
        <v/>
      </c>
      <c r="C2609" s="14">
        <f>IF($N2609="","",IF(INDEX(LdBId,$N2609)="","—",INDEX(LdBId,$N2609)))</f>
        <v/>
      </c>
      <c r="D2609" s="14">
        <f>IF($N2609="","",INDEX(LdBMember,$N2609))</f>
        <v/>
      </c>
      <c r="E2609" s="14">
        <f>IF($N2609="","",IFERROR(IF(VLOOKUP(INDEX(LdBMember,$N2609),AcctTblE,4,0)="","(بدون نام)",VLOOKUP(INDEX(LdBMember,$N2609),AcctTblE,4,0)),"—"))</f>
        <v/>
      </c>
      <c r="F2609" s="16">
        <f>IF($N2609="","",IF(INDEX(LdBAmt,$N2609)=0,"",INDEX(LdBAmt,$N2609)))</f>
        <v/>
      </c>
      <c r="G2609" s="30">
        <f>IF($N2609="","",IF(INDEX(LdBNote,$N2609)="","—",INDEX(LdBNote,$N2609)))</f>
        <v/>
      </c>
      <c r="N2609">
        <f>IFERROR(MATCH($C$5&amp;"|"&amp;RIGHT("000000"&amp;589,6),LdBKeyG,0),"")</f>
        <v/>
      </c>
    </row>
    <row r="2610">
      <c r="A2610" s="19" t="n">
        <v>590</v>
      </c>
      <c r="B2610" s="20">
        <f>IF($N2610="","",INDEX(LdBDate,$N2610))</f>
        <v/>
      </c>
      <c r="C2610" s="20">
        <f>IF($N2610="","",IF(INDEX(LdBId,$N2610)="","—",INDEX(LdBId,$N2610)))</f>
        <v/>
      </c>
      <c r="D2610" s="20">
        <f>IF($N2610="","",INDEX(LdBMember,$N2610))</f>
        <v/>
      </c>
      <c r="E2610" s="20">
        <f>IF($N2610="","",IFERROR(IF(VLOOKUP(INDEX(LdBMember,$N2610),AcctTblE,4,0)="","(بدون نام)",VLOOKUP(INDEX(LdBMember,$N2610),AcctTblE,4,0)),"—"))</f>
        <v/>
      </c>
      <c r="F2610" s="21">
        <f>IF($N2610="","",IF(INDEX(LdBAmt,$N2610)=0,"",INDEX(LdBAmt,$N2610)))</f>
        <v/>
      </c>
      <c r="G2610" s="32">
        <f>IF($N2610="","",IF(INDEX(LdBNote,$N2610)="","—",INDEX(LdBNote,$N2610)))</f>
        <v/>
      </c>
      <c r="N2610">
        <f>IFERROR(MATCH($C$5&amp;"|"&amp;RIGHT("000000"&amp;590,6),LdBKeyG,0),"")</f>
        <v/>
      </c>
    </row>
    <row r="2611">
      <c r="A2611" s="10" t="n">
        <v>591</v>
      </c>
      <c r="B2611" s="14">
        <f>IF($N2611="","",INDEX(LdBDate,$N2611))</f>
        <v/>
      </c>
      <c r="C2611" s="14">
        <f>IF($N2611="","",IF(INDEX(LdBId,$N2611)="","—",INDEX(LdBId,$N2611)))</f>
        <v/>
      </c>
      <c r="D2611" s="14">
        <f>IF($N2611="","",INDEX(LdBMember,$N2611))</f>
        <v/>
      </c>
      <c r="E2611" s="14">
        <f>IF($N2611="","",IFERROR(IF(VLOOKUP(INDEX(LdBMember,$N2611),AcctTblE,4,0)="","(بدون نام)",VLOOKUP(INDEX(LdBMember,$N2611),AcctTblE,4,0)),"—"))</f>
        <v/>
      </c>
      <c r="F2611" s="16">
        <f>IF($N2611="","",IF(INDEX(LdBAmt,$N2611)=0,"",INDEX(LdBAmt,$N2611)))</f>
        <v/>
      </c>
      <c r="G2611" s="30">
        <f>IF($N2611="","",IF(INDEX(LdBNote,$N2611)="","—",INDEX(LdBNote,$N2611)))</f>
        <v/>
      </c>
      <c r="N2611">
        <f>IFERROR(MATCH($C$5&amp;"|"&amp;RIGHT("000000"&amp;591,6),LdBKeyG,0),"")</f>
        <v/>
      </c>
    </row>
    <row r="2612">
      <c r="A2612" s="19" t="n">
        <v>592</v>
      </c>
      <c r="B2612" s="20">
        <f>IF($N2612="","",INDEX(LdBDate,$N2612))</f>
        <v/>
      </c>
      <c r="C2612" s="20">
        <f>IF($N2612="","",IF(INDEX(LdBId,$N2612)="","—",INDEX(LdBId,$N2612)))</f>
        <v/>
      </c>
      <c r="D2612" s="20">
        <f>IF($N2612="","",INDEX(LdBMember,$N2612))</f>
        <v/>
      </c>
      <c r="E2612" s="20">
        <f>IF($N2612="","",IFERROR(IF(VLOOKUP(INDEX(LdBMember,$N2612),AcctTblE,4,0)="","(بدون نام)",VLOOKUP(INDEX(LdBMember,$N2612),AcctTblE,4,0)),"—"))</f>
        <v/>
      </c>
      <c r="F2612" s="21">
        <f>IF($N2612="","",IF(INDEX(LdBAmt,$N2612)=0,"",INDEX(LdBAmt,$N2612)))</f>
        <v/>
      </c>
      <c r="G2612" s="32">
        <f>IF($N2612="","",IF(INDEX(LdBNote,$N2612)="","—",INDEX(LdBNote,$N2612)))</f>
        <v/>
      </c>
      <c r="N2612">
        <f>IFERROR(MATCH($C$5&amp;"|"&amp;RIGHT("000000"&amp;592,6),LdBKeyG,0),"")</f>
        <v/>
      </c>
    </row>
    <row r="2613">
      <c r="A2613" s="10" t="n">
        <v>593</v>
      </c>
      <c r="B2613" s="14">
        <f>IF($N2613="","",INDEX(LdBDate,$N2613))</f>
        <v/>
      </c>
      <c r="C2613" s="14">
        <f>IF($N2613="","",IF(INDEX(LdBId,$N2613)="","—",INDEX(LdBId,$N2613)))</f>
        <v/>
      </c>
      <c r="D2613" s="14">
        <f>IF($N2613="","",INDEX(LdBMember,$N2613))</f>
        <v/>
      </c>
      <c r="E2613" s="14">
        <f>IF($N2613="","",IFERROR(IF(VLOOKUP(INDEX(LdBMember,$N2613),AcctTblE,4,0)="","(بدون نام)",VLOOKUP(INDEX(LdBMember,$N2613),AcctTblE,4,0)),"—"))</f>
        <v/>
      </c>
      <c r="F2613" s="16">
        <f>IF($N2613="","",IF(INDEX(LdBAmt,$N2613)=0,"",INDEX(LdBAmt,$N2613)))</f>
        <v/>
      </c>
      <c r="G2613" s="30">
        <f>IF($N2613="","",IF(INDEX(LdBNote,$N2613)="","—",INDEX(LdBNote,$N2613)))</f>
        <v/>
      </c>
      <c r="N2613">
        <f>IFERROR(MATCH($C$5&amp;"|"&amp;RIGHT("000000"&amp;593,6),LdBKeyG,0),"")</f>
        <v/>
      </c>
    </row>
    <row r="2614">
      <c r="A2614" s="19" t="n">
        <v>594</v>
      </c>
      <c r="B2614" s="20">
        <f>IF($N2614="","",INDEX(LdBDate,$N2614))</f>
        <v/>
      </c>
      <c r="C2614" s="20">
        <f>IF($N2614="","",IF(INDEX(LdBId,$N2614)="","—",INDEX(LdBId,$N2614)))</f>
        <v/>
      </c>
      <c r="D2614" s="20">
        <f>IF($N2614="","",INDEX(LdBMember,$N2614))</f>
        <v/>
      </c>
      <c r="E2614" s="20">
        <f>IF($N2614="","",IFERROR(IF(VLOOKUP(INDEX(LdBMember,$N2614),AcctTblE,4,0)="","(بدون نام)",VLOOKUP(INDEX(LdBMember,$N2614),AcctTblE,4,0)),"—"))</f>
        <v/>
      </c>
      <c r="F2614" s="21">
        <f>IF($N2614="","",IF(INDEX(LdBAmt,$N2614)=0,"",INDEX(LdBAmt,$N2614)))</f>
        <v/>
      </c>
      <c r="G2614" s="32">
        <f>IF($N2614="","",IF(INDEX(LdBNote,$N2614)="","—",INDEX(LdBNote,$N2614)))</f>
        <v/>
      </c>
      <c r="N2614">
        <f>IFERROR(MATCH($C$5&amp;"|"&amp;RIGHT("000000"&amp;594,6),LdBKeyG,0),"")</f>
        <v/>
      </c>
    </row>
    <row r="2615">
      <c r="A2615" s="10" t="n">
        <v>595</v>
      </c>
      <c r="B2615" s="14">
        <f>IF($N2615="","",INDEX(LdBDate,$N2615))</f>
        <v/>
      </c>
      <c r="C2615" s="14">
        <f>IF($N2615="","",IF(INDEX(LdBId,$N2615)="","—",INDEX(LdBId,$N2615)))</f>
        <v/>
      </c>
      <c r="D2615" s="14">
        <f>IF($N2615="","",INDEX(LdBMember,$N2615))</f>
        <v/>
      </c>
      <c r="E2615" s="14">
        <f>IF($N2615="","",IFERROR(IF(VLOOKUP(INDEX(LdBMember,$N2615),AcctTblE,4,0)="","(بدون نام)",VLOOKUP(INDEX(LdBMember,$N2615),AcctTblE,4,0)),"—"))</f>
        <v/>
      </c>
      <c r="F2615" s="16">
        <f>IF($N2615="","",IF(INDEX(LdBAmt,$N2615)=0,"",INDEX(LdBAmt,$N2615)))</f>
        <v/>
      </c>
      <c r="G2615" s="30">
        <f>IF($N2615="","",IF(INDEX(LdBNote,$N2615)="","—",INDEX(LdBNote,$N2615)))</f>
        <v/>
      </c>
      <c r="N2615">
        <f>IFERROR(MATCH($C$5&amp;"|"&amp;RIGHT("000000"&amp;595,6),LdBKeyG,0),"")</f>
        <v/>
      </c>
    </row>
    <row r="2616">
      <c r="A2616" s="19" t="n">
        <v>596</v>
      </c>
      <c r="B2616" s="20">
        <f>IF($N2616="","",INDEX(LdBDate,$N2616))</f>
        <v/>
      </c>
      <c r="C2616" s="20">
        <f>IF($N2616="","",IF(INDEX(LdBId,$N2616)="","—",INDEX(LdBId,$N2616)))</f>
        <v/>
      </c>
      <c r="D2616" s="20">
        <f>IF($N2616="","",INDEX(LdBMember,$N2616))</f>
        <v/>
      </c>
      <c r="E2616" s="20">
        <f>IF($N2616="","",IFERROR(IF(VLOOKUP(INDEX(LdBMember,$N2616),AcctTblE,4,0)="","(بدون نام)",VLOOKUP(INDEX(LdBMember,$N2616),AcctTblE,4,0)),"—"))</f>
        <v/>
      </c>
      <c r="F2616" s="21">
        <f>IF($N2616="","",IF(INDEX(LdBAmt,$N2616)=0,"",INDEX(LdBAmt,$N2616)))</f>
        <v/>
      </c>
      <c r="G2616" s="32">
        <f>IF($N2616="","",IF(INDEX(LdBNote,$N2616)="","—",INDEX(LdBNote,$N2616)))</f>
        <v/>
      </c>
      <c r="N2616">
        <f>IFERROR(MATCH($C$5&amp;"|"&amp;RIGHT("000000"&amp;596,6),LdBKeyG,0),"")</f>
        <v/>
      </c>
    </row>
    <row r="2617">
      <c r="A2617" s="10" t="n">
        <v>597</v>
      </c>
      <c r="B2617" s="14">
        <f>IF($N2617="","",INDEX(LdBDate,$N2617))</f>
        <v/>
      </c>
      <c r="C2617" s="14">
        <f>IF($N2617="","",IF(INDEX(LdBId,$N2617)="","—",INDEX(LdBId,$N2617)))</f>
        <v/>
      </c>
      <c r="D2617" s="14">
        <f>IF($N2617="","",INDEX(LdBMember,$N2617))</f>
        <v/>
      </c>
      <c r="E2617" s="14">
        <f>IF($N2617="","",IFERROR(IF(VLOOKUP(INDEX(LdBMember,$N2617),AcctTblE,4,0)="","(بدون نام)",VLOOKUP(INDEX(LdBMember,$N2617),AcctTblE,4,0)),"—"))</f>
        <v/>
      </c>
      <c r="F2617" s="16">
        <f>IF($N2617="","",IF(INDEX(LdBAmt,$N2617)=0,"",INDEX(LdBAmt,$N2617)))</f>
        <v/>
      </c>
      <c r="G2617" s="30">
        <f>IF($N2617="","",IF(INDEX(LdBNote,$N2617)="","—",INDEX(LdBNote,$N2617)))</f>
        <v/>
      </c>
      <c r="N2617">
        <f>IFERROR(MATCH($C$5&amp;"|"&amp;RIGHT("000000"&amp;597,6),LdBKeyG,0),"")</f>
        <v/>
      </c>
    </row>
    <row r="2618">
      <c r="A2618" s="19" t="n">
        <v>598</v>
      </c>
      <c r="B2618" s="20">
        <f>IF($N2618="","",INDEX(LdBDate,$N2618))</f>
        <v/>
      </c>
      <c r="C2618" s="20">
        <f>IF($N2618="","",IF(INDEX(LdBId,$N2618)="","—",INDEX(LdBId,$N2618)))</f>
        <v/>
      </c>
      <c r="D2618" s="20">
        <f>IF($N2618="","",INDEX(LdBMember,$N2618))</f>
        <v/>
      </c>
      <c r="E2618" s="20">
        <f>IF($N2618="","",IFERROR(IF(VLOOKUP(INDEX(LdBMember,$N2618),AcctTblE,4,0)="","(بدون نام)",VLOOKUP(INDEX(LdBMember,$N2618),AcctTblE,4,0)),"—"))</f>
        <v/>
      </c>
      <c r="F2618" s="21">
        <f>IF($N2618="","",IF(INDEX(LdBAmt,$N2618)=0,"",INDEX(LdBAmt,$N2618)))</f>
        <v/>
      </c>
      <c r="G2618" s="32">
        <f>IF($N2618="","",IF(INDEX(LdBNote,$N2618)="","—",INDEX(LdBNote,$N2618)))</f>
        <v/>
      </c>
      <c r="N2618">
        <f>IFERROR(MATCH($C$5&amp;"|"&amp;RIGHT("000000"&amp;598,6),LdBKeyG,0),"")</f>
        <v/>
      </c>
    </row>
    <row r="2619">
      <c r="A2619" s="10" t="n">
        <v>599</v>
      </c>
      <c r="B2619" s="14">
        <f>IF($N2619="","",INDEX(LdBDate,$N2619))</f>
        <v/>
      </c>
      <c r="C2619" s="14">
        <f>IF($N2619="","",IF(INDEX(LdBId,$N2619)="","—",INDEX(LdBId,$N2619)))</f>
        <v/>
      </c>
      <c r="D2619" s="14">
        <f>IF($N2619="","",INDEX(LdBMember,$N2619))</f>
        <v/>
      </c>
      <c r="E2619" s="14">
        <f>IF($N2619="","",IFERROR(IF(VLOOKUP(INDEX(LdBMember,$N2619),AcctTblE,4,0)="","(بدون نام)",VLOOKUP(INDEX(LdBMember,$N2619),AcctTblE,4,0)),"—"))</f>
        <v/>
      </c>
      <c r="F2619" s="16">
        <f>IF($N2619="","",IF(INDEX(LdBAmt,$N2619)=0,"",INDEX(LdBAmt,$N2619)))</f>
        <v/>
      </c>
      <c r="G2619" s="30">
        <f>IF($N2619="","",IF(INDEX(LdBNote,$N2619)="","—",INDEX(LdBNote,$N2619)))</f>
        <v/>
      </c>
      <c r="N2619">
        <f>IFERROR(MATCH($C$5&amp;"|"&amp;RIGHT("000000"&amp;599,6),LdBKeyG,0),"")</f>
        <v/>
      </c>
    </row>
    <row r="2620">
      <c r="A2620" s="19" t="n">
        <v>600</v>
      </c>
      <c r="B2620" s="20">
        <f>IF($N2620="","",INDEX(LdBDate,$N2620))</f>
        <v/>
      </c>
      <c r="C2620" s="20">
        <f>IF($N2620="","",IF(INDEX(LdBId,$N2620)="","—",INDEX(LdBId,$N2620)))</f>
        <v/>
      </c>
      <c r="D2620" s="20">
        <f>IF($N2620="","",INDEX(LdBMember,$N2620))</f>
        <v/>
      </c>
      <c r="E2620" s="20">
        <f>IF($N2620="","",IFERROR(IF(VLOOKUP(INDEX(LdBMember,$N2620),AcctTblE,4,0)="","(بدون نام)",VLOOKUP(INDEX(LdBMember,$N2620),AcctTblE,4,0)),"—"))</f>
        <v/>
      </c>
      <c r="F2620" s="21">
        <f>IF($N2620="","",IF(INDEX(LdBAmt,$N2620)=0,"",INDEX(LdBAmt,$N2620)))</f>
        <v/>
      </c>
      <c r="G2620" s="32">
        <f>IF($N2620="","",IF(INDEX(LdBNote,$N2620)="","—",INDEX(LdBNote,$N2620)))</f>
        <v/>
      </c>
      <c r="N2620">
        <f>IFERROR(MATCH($C$5&amp;"|"&amp;RIGHT("000000"&amp;600,6),LdBKeyG,0),"")</f>
        <v/>
      </c>
    </row>
    <row r="2621">
      <c r="A2621" s="10" t="n">
        <v>601</v>
      </c>
      <c r="B2621" s="14">
        <f>IF($N2621="","",INDEX(LdBDate,$N2621))</f>
        <v/>
      </c>
      <c r="C2621" s="14">
        <f>IF($N2621="","",IF(INDEX(LdBId,$N2621)="","—",INDEX(LdBId,$N2621)))</f>
        <v/>
      </c>
      <c r="D2621" s="14">
        <f>IF($N2621="","",INDEX(LdBMember,$N2621))</f>
        <v/>
      </c>
      <c r="E2621" s="14">
        <f>IF($N2621="","",IFERROR(IF(VLOOKUP(INDEX(LdBMember,$N2621),AcctTblE,4,0)="","(بدون نام)",VLOOKUP(INDEX(LdBMember,$N2621),AcctTblE,4,0)),"—"))</f>
        <v/>
      </c>
      <c r="F2621" s="16">
        <f>IF($N2621="","",IF(INDEX(LdBAmt,$N2621)=0,"",INDEX(LdBAmt,$N2621)))</f>
        <v/>
      </c>
      <c r="G2621" s="30">
        <f>IF($N2621="","",IF(INDEX(LdBNote,$N2621)="","—",INDEX(LdBNote,$N2621)))</f>
        <v/>
      </c>
      <c r="N2621">
        <f>IFERROR(MATCH($C$5&amp;"|"&amp;RIGHT("000000"&amp;601,6),LdBKeyG,0),"")</f>
        <v/>
      </c>
    </row>
    <row r="2622">
      <c r="A2622" s="19" t="n">
        <v>602</v>
      </c>
      <c r="B2622" s="20">
        <f>IF($N2622="","",INDEX(LdBDate,$N2622))</f>
        <v/>
      </c>
      <c r="C2622" s="20">
        <f>IF($N2622="","",IF(INDEX(LdBId,$N2622)="","—",INDEX(LdBId,$N2622)))</f>
        <v/>
      </c>
      <c r="D2622" s="20">
        <f>IF($N2622="","",INDEX(LdBMember,$N2622))</f>
        <v/>
      </c>
      <c r="E2622" s="20">
        <f>IF($N2622="","",IFERROR(IF(VLOOKUP(INDEX(LdBMember,$N2622),AcctTblE,4,0)="","(بدون نام)",VLOOKUP(INDEX(LdBMember,$N2622),AcctTblE,4,0)),"—"))</f>
        <v/>
      </c>
      <c r="F2622" s="21">
        <f>IF($N2622="","",IF(INDEX(LdBAmt,$N2622)=0,"",INDEX(LdBAmt,$N2622)))</f>
        <v/>
      </c>
      <c r="G2622" s="32">
        <f>IF($N2622="","",IF(INDEX(LdBNote,$N2622)="","—",INDEX(LdBNote,$N2622)))</f>
        <v/>
      </c>
      <c r="N2622">
        <f>IFERROR(MATCH($C$5&amp;"|"&amp;RIGHT("000000"&amp;602,6),LdBKeyG,0),"")</f>
        <v/>
      </c>
    </row>
    <row r="2623">
      <c r="A2623" s="10" t="n">
        <v>603</v>
      </c>
      <c r="B2623" s="14">
        <f>IF($N2623="","",INDEX(LdBDate,$N2623))</f>
        <v/>
      </c>
      <c r="C2623" s="14">
        <f>IF($N2623="","",IF(INDEX(LdBId,$N2623)="","—",INDEX(LdBId,$N2623)))</f>
        <v/>
      </c>
      <c r="D2623" s="14">
        <f>IF($N2623="","",INDEX(LdBMember,$N2623))</f>
        <v/>
      </c>
      <c r="E2623" s="14">
        <f>IF($N2623="","",IFERROR(IF(VLOOKUP(INDEX(LdBMember,$N2623),AcctTblE,4,0)="","(بدون نام)",VLOOKUP(INDEX(LdBMember,$N2623),AcctTblE,4,0)),"—"))</f>
        <v/>
      </c>
      <c r="F2623" s="16">
        <f>IF($N2623="","",IF(INDEX(LdBAmt,$N2623)=0,"",INDEX(LdBAmt,$N2623)))</f>
        <v/>
      </c>
      <c r="G2623" s="30">
        <f>IF($N2623="","",IF(INDEX(LdBNote,$N2623)="","—",INDEX(LdBNote,$N2623)))</f>
        <v/>
      </c>
      <c r="N2623">
        <f>IFERROR(MATCH($C$5&amp;"|"&amp;RIGHT("000000"&amp;603,6),LdBKeyG,0),"")</f>
        <v/>
      </c>
    </row>
    <row r="2624">
      <c r="A2624" s="19" t="n">
        <v>604</v>
      </c>
      <c r="B2624" s="20">
        <f>IF($N2624="","",INDEX(LdBDate,$N2624))</f>
        <v/>
      </c>
      <c r="C2624" s="20">
        <f>IF($N2624="","",IF(INDEX(LdBId,$N2624)="","—",INDEX(LdBId,$N2624)))</f>
        <v/>
      </c>
      <c r="D2624" s="20">
        <f>IF($N2624="","",INDEX(LdBMember,$N2624))</f>
        <v/>
      </c>
      <c r="E2624" s="20">
        <f>IF($N2624="","",IFERROR(IF(VLOOKUP(INDEX(LdBMember,$N2624),AcctTblE,4,0)="","(بدون نام)",VLOOKUP(INDEX(LdBMember,$N2624),AcctTblE,4,0)),"—"))</f>
        <v/>
      </c>
      <c r="F2624" s="21">
        <f>IF($N2624="","",IF(INDEX(LdBAmt,$N2624)=0,"",INDEX(LdBAmt,$N2624)))</f>
        <v/>
      </c>
      <c r="G2624" s="32">
        <f>IF($N2624="","",IF(INDEX(LdBNote,$N2624)="","—",INDEX(LdBNote,$N2624)))</f>
        <v/>
      </c>
      <c r="N2624">
        <f>IFERROR(MATCH($C$5&amp;"|"&amp;RIGHT("000000"&amp;604,6),LdBKeyG,0),"")</f>
        <v/>
      </c>
    </row>
    <row r="2625">
      <c r="A2625" s="10" t="n">
        <v>605</v>
      </c>
      <c r="B2625" s="14">
        <f>IF($N2625="","",INDEX(LdBDate,$N2625))</f>
        <v/>
      </c>
      <c r="C2625" s="14">
        <f>IF($N2625="","",IF(INDEX(LdBId,$N2625)="","—",INDEX(LdBId,$N2625)))</f>
        <v/>
      </c>
      <c r="D2625" s="14">
        <f>IF($N2625="","",INDEX(LdBMember,$N2625))</f>
        <v/>
      </c>
      <c r="E2625" s="14">
        <f>IF($N2625="","",IFERROR(IF(VLOOKUP(INDEX(LdBMember,$N2625),AcctTblE,4,0)="","(بدون نام)",VLOOKUP(INDEX(LdBMember,$N2625),AcctTblE,4,0)),"—"))</f>
        <v/>
      </c>
      <c r="F2625" s="16">
        <f>IF($N2625="","",IF(INDEX(LdBAmt,$N2625)=0,"",INDEX(LdBAmt,$N2625)))</f>
        <v/>
      </c>
      <c r="G2625" s="30">
        <f>IF($N2625="","",IF(INDEX(LdBNote,$N2625)="","—",INDEX(LdBNote,$N2625)))</f>
        <v/>
      </c>
      <c r="N2625">
        <f>IFERROR(MATCH($C$5&amp;"|"&amp;RIGHT("000000"&amp;605,6),LdBKeyG,0),"")</f>
        <v/>
      </c>
    </row>
    <row r="2626">
      <c r="A2626" s="19" t="n">
        <v>606</v>
      </c>
      <c r="B2626" s="20">
        <f>IF($N2626="","",INDEX(LdBDate,$N2626))</f>
        <v/>
      </c>
      <c r="C2626" s="20">
        <f>IF($N2626="","",IF(INDEX(LdBId,$N2626)="","—",INDEX(LdBId,$N2626)))</f>
        <v/>
      </c>
      <c r="D2626" s="20">
        <f>IF($N2626="","",INDEX(LdBMember,$N2626))</f>
        <v/>
      </c>
      <c r="E2626" s="20">
        <f>IF($N2626="","",IFERROR(IF(VLOOKUP(INDEX(LdBMember,$N2626),AcctTblE,4,0)="","(بدون نام)",VLOOKUP(INDEX(LdBMember,$N2626),AcctTblE,4,0)),"—"))</f>
        <v/>
      </c>
      <c r="F2626" s="21">
        <f>IF($N2626="","",IF(INDEX(LdBAmt,$N2626)=0,"",INDEX(LdBAmt,$N2626)))</f>
        <v/>
      </c>
      <c r="G2626" s="32">
        <f>IF($N2626="","",IF(INDEX(LdBNote,$N2626)="","—",INDEX(LdBNote,$N2626)))</f>
        <v/>
      </c>
      <c r="N2626">
        <f>IFERROR(MATCH($C$5&amp;"|"&amp;RIGHT("000000"&amp;606,6),LdBKeyG,0),"")</f>
        <v/>
      </c>
    </row>
    <row r="2627">
      <c r="A2627" s="10" t="n">
        <v>607</v>
      </c>
      <c r="B2627" s="14">
        <f>IF($N2627="","",INDEX(LdBDate,$N2627))</f>
        <v/>
      </c>
      <c r="C2627" s="14">
        <f>IF($N2627="","",IF(INDEX(LdBId,$N2627)="","—",INDEX(LdBId,$N2627)))</f>
        <v/>
      </c>
      <c r="D2627" s="14">
        <f>IF($N2627="","",INDEX(LdBMember,$N2627))</f>
        <v/>
      </c>
      <c r="E2627" s="14">
        <f>IF($N2627="","",IFERROR(IF(VLOOKUP(INDEX(LdBMember,$N2627),AcctTblE,4,0)="","(بدون نام)",VLOOKUP(INDEX(LdBMember,$N2627),AcctTblE,4,0)),"—"))</f>
        <v/>
      </c>
      <c r="F2627" s="16">
        <f>IF($N2627="","",IF(INDEX(LdBAmt,$N2627)=0,"",INDEX(LdBAmt,$N2627)))</f>
        <v/>
      </c>
      <c r="G2627" s="30">
        <f>IF($N2627="","",IF(INDEX(LdBNote,$N2627)="","—",INDEX(LdBNote,$N2627)))</f>
        <v/>
      </c>
      <c r="N2627">
        <f>IFERROR(MATCH($C$5&amp;"|"&amp;RIGHT("000000"&amp;607,6),LdBKeyG,0),"")</f>
        <v/>
      </c>
    </row>
    <row r="2628">
      <c r="A2628" s="19" t="n">
        <v>608</v>
      </c>
      <c r="B2628" s="20">
        <f>IF($N2628="","",INDEX(LdBDate,$N2628))</f>
        <v/>
      </c>
      <c r="C2628" s="20">
        <f>IF($N2628="","",IF(INDEX(LdBId,$N2628)="","—",INDEX(LdBId,$N2628)))</f>
        <v/>
      </c>
      <c r="D2628" s="20">
        <f>IF($N2628="","",INDEX(LdBMember,$N2628))</f>
        <v/>
      </c>
      <c r="E2628" s="20">
        <f>IF($N2628="","",IFERROR(IF(VLOOKUP(INDEX(LdBMember,$N2628),AcctTblE,4,0)="","(بدون نام)",VLOOKUP(INDEX(LdBMember,$N2628),AcctTblE,4,0)),"—"))</f>
        <v/>
      </c>
      <c r="F2628" s="21">
        <f>IF($N2628="","",IF(INDEX(LdBAmt,$N2628)=0,"",INDEX(LdBAmt,$N2628)))</f>
        <v/>
      </c>
      <c r="G2628" s="32">
        <f>IF($N2628="","",IF(INDEX(LdBNote,$N2628)="","—",INDEX(LdBNote,$N2628)))</f>
        <v/>
      </c>
      <c r="N2628">
        <f>IFERROR(MATCH($C$5&amp;"|"&amp;RIGHT("000000"&amp;608,6),LdBKeyG,0),"")</f>
        <v/>
      </c>
    </row>
    <row r="2629">
      <c r="A2629" s="10" t="n">
        <v>609</v>
      </c>
      <c r="B2629" s="14">
        <f>IF($N2629="","",INDEX(LdBDate,$N2629))</f>
        <v/>
      </c>
      <c r="C2629" s="14">
        <f>IF($N2629="","",IF(INDEX(LdBId,$N2629)="","—",INDEX(LdBId,$N2629)))</f>
        <v/>
      </c>
      <c r="D2629" s="14">
        <f>IF($N2629="","",INDEX(LdBMember,$N2629))</f>
        <v/>
      </c>
      <c r="E2629" s="14">
        <f>IF($N2629="","",IFERROR(IF(VLOOKUP(INDEX(LdBMember,$N2629),AcctTblE,4,0)="","(بدون نام)",VLOOKUP(INDEX(LdBMember,$N2629),AcctTblE,4,0)),"—"))</f>
        <v/>
      </c>
      <c r="F2629" s="16">
        <f>IF($N2629="","",IF(INDEX(LdBAmt,$N2629)=0,"",INDEX(LdBAmt,$N2629)))</f>
        <v/>
      </c>
      <c r="G2629" s="30">
        <f>IF($N2629="","",IF(INDEX(LdBNote,$N2629)="","—",INDEX(LdBNote,$N2629)))</f>
        <v/>
      </c>
      <c r="N2629">
        <f>IFERROR(MATCH($C$5&amp;"|"&amp;RIGHT("000000"&amp;609,6),LdBKeyG,0),"")</f>
        <v/>
      </c>
    </row>
    <row r="2630">
      <c r="A2630" s="19" t="n">
        <v>610</v>
      </c>
      <c r="B2630" s="20">
        <f>IF($N2630="","",INDEX(LdBDate,$N2630))</f>
        <v/>
      </c>
      <c r="C2630" s="20">
        <f>IF($N2630="","",IF(INDEX(LdBId,$N2630)="","—",INDEX(LdBId,$N2630)))</f>
        <v/>
      </c>
      <c r="D2630" s="20">
        <f>IF($N2630="","",INDEX(LdBMember,$N2630))</f>
        <v/>
      </c>
      <c r="E2630" s="20">
        <f>IF($N2630="","",IFERROR(IF(VLOOKUP(INDEX(LdBMember,$N2630),AcctTblE,4,0)="","(بدون نام)",VLOOKUP(INDEX(LdBMember,$N2630),AcctTblE,4,0)),"—"))</f>
        <v/>
      </c>
      <c r="F2630" s="21">
        <f>IF($N2630="","",IF(INDEX(LdBAmt,$N2630)=0,"",INDEX(LdBAmt,$N2630)))</f>
        <v/>
      </c>
      <c r="G2630" s="32">
        <f>IF($N2630="","",IF(INDEX(LdBNote,$N2630)="","—",INDEX(LdBNote,$N2630)))</f>
        <v/>
      </c>
      <c r="N2630">
        <f>IFERROR(MATCH($C$5&amp;"|"&amp;RIGHT("000000"&amp;610,6),LdBKeyG,0),"")</f>
        <v/>
      </c>
    </row>
    <row r="2631">
      <c r="A2631" s="10" t="n">
        <v>611</v>
      </c>
      <c r="B2631" s="14">
        <f>IF($N2631="","",INDEX(LdBDate,$N2631))</f>
        <v/>
      </c>
      <c r="C2631" s="14">
        <f>IF($N2631="","",IF(INDEX(LdBId,$N2631)="","—",INDEX(LdBId,$N2631)))</f>
        <v/>
      </c>
      <c r="D2631" s="14">
        <f>IF($N2631="","",INDEX(LdBMember,$N2631))</f>
        <v/>
      </c>
      <c r="E2631" s="14">
        <f>IF($N2631="","",IFERROR(IF(VLOOKUP(INDEX(LdBMember,$N2631),AcctTblE,4,0)="","(بدون نام)",VLOOKUP(INDEX(LdBMember,$N2631),AcctTblE,4,0)),"—"))</f>
        <v/>
      </c>
      <c r="F2631" s="16">
        <f>IF($N2631="","",IF(INDEX(LdBAmt,$N2631)=0,"",INDEX(LdBAmt,$N2631)))</f>
        <v/>
      </c>
      <c r="G2631" s="30">
        <f>IF($N2631="","",IF(INDEX(LdBNote,$N2631)="","—",INDEX(LdBNote,$N2631)))</f>
        <v/>
      </c>
      <c r="N2631">
        <f>IFERROR(MATCH($C$5&amp;"|"&amp;RIGHT("000000"&amp;611,6),LdBKeyG,0),"")</f>
        <v/>
      </c>
    </row>
    <row r="2632">
      <c r="A2632" s="19" t="n">
        <v>612</v>
      </c>
      <c r="B2632" s="20">
        <f>IF($N2632="","",INDEX(LdBDate,$N2632))</f>
        <v/>
      </c>
      <c r="C2632" s="20">
        <f>IF($N2632="","",IF(INDEX(LdBId,$N2632)="","—",INDEX(LdBId,$N2632)))</f>
        <v/>
      </c>
      <c r="D2632" s="20">
        <f>IF($N2632="","",INDEX(LdBMember,$N2632))</f>
        <v/>
      </c>
      <c r="E2632" s="20">
        <f>IF($N2632="","",IFERROR(IF(VLOOKUP(INDEX(LdBMember,$N2632),AcctTblE,4,0)="","(بدون نام)",VLOOKUP(INDEX(LdBMember,$N2632),AcctTblE,4,0)),"—"))</f>
        <v/>
      </c>
      <c r="F2632" s="21">
        <f>IF($N2632="","",IF(INDEX(LdBAmt,$N2632)=0,"",INDEX(LdBAmt,$N2632)))</f>
        <v/>
      </c>
      <c r="G2632" s="32">
        <f>IF($N2632="","",IF(INDEX(LdBNote,$N2632)="","—",INDEX(LdBNote,$N2632)))</f>
        <v/>
      </c>
      <c r="N2632">
        <f>IFERROR(MATCH($C$5&amp;"|"&amp;RIGHT("000000"&amp;612,6),LdBKeyG,0),"")</f>
        <v/>
      </c>
    </row>
    <row r="2633">
      <c r="A2633" s="10" t="n">
        <v>613</v>
      </c>
      <c r="B2633" s="14">
        <f>IF($N2633="","",INDEX(LdBDate,$N2633))</f>
        <v/>
      </c>
      <c r="C2633" s="14">
        <f>IF($N2633="","",IF(INDEX(LdBId,$N2633)="","—",INDEX(LdBId,$N2633)))</f>
        <v/>
      </c>
      <c r="D2633" s="14">
        <f>IF($N2633="","",INDEX(LdBMember,$N2633))</f>
        <v/>
      </c>
      <c r="E2633" s="14">
        <f>IF($N2633="","",IFERROR(IF(VLOOKUP(INDEX(LdBMember,$N2633),AcctTblE,4,0)="","(بدون نام)",VLOOKUP(INDEX(LdBMember,$N2633),AcctTblE,4,0)),"—"))</f>
        <v/>
      </c>
      <c r="F2633" s="16">
        <f>IF($N2633="","",IF(INDEX(LdBAmt,$N2633)=0,"",INDEX(LdBAmt,$N2633)))</f>
        <v/>
      </c>
      <c r="G2633" s="30">
        <f>IF($N2633="","",IF(INDEX(LdBNote,$N2633)="","—",INDEX(LdBNote,$N2633)))</f>
        <v/>
      </c>
      <c r="N2633">
        <f>IFERROR(MATCH($C$5&amp;"|"&amp;RIGHT("000000"&amp;613,6),LdBKeyG,0),"")</f>
        <v/>
      </c>
    </row>
    <row r="2634">
      <c r="A2634" s="19" t="n">
        <v>614</v>
      </c>
      <c r="B2634" s="20">
        <f>IF($N2634="","",INDEX(LdBDate,$N2634))</f>
        <v/>
      </c>
      <c r="C2634" s="20">
        <f>IF($N2634="","",IF(INDEX(LdBId,$N2634)="","—",INDEX(LdBId,$N2634)))</f>
        <v/>
      </c>
      <c r="D2634" s="20">
        <f>IF($N2634="","",INDEX(LdBMember,$N2634))</f>
        <v/>
      </c>
      <c r="E2634" s="20">
        <f>IF($N2634="","",IFERROR(IF(VLOOKUP(INDEX(LdBMember,$N2634),AcctTblE,4,0)="","(بدون نام)",VLOOKUP(INDEX(LdBMember,$N2634),AcctTblE,4,0)),"—"))</f>
        <v/>
      </c>
      <c r="F2634" s="21">
        <f>IF($N2634="","",IF(INDEX(LdBAmt,$N2634)=0,"",INDEX(LdBAmt,$N2634)))</f>
        <v/>
      </c>
      <c r="G2634" s="32">
        <f>IF($N2634="","",IF(INDEX(LdBNote,$N2634)="","—",INDEX(LdBNote,$N2634)))</f>
        <v/>
      </c>
      <c r="N2634">
        <f>IFERROR(MATCH($C$5&amp;"|"&amp;RIGHT("000000"&amp;614,6),LdBKeyG,0),"")</f>
        <v/>
      </c>
    </row>
    <row r="2635">
      <c r="A2635" s="10" t="n">
        <v>615</v>
      </c>
      <c r="B2635" s="14">
        <f>IF($N2635="","",INDEX(LdBDate,$N2635))</f>
        <v/>
      </c>
      <c r="C2635" s="14">
        <f>IF($N2635="","",IF(INDEX(LdBId,$N2635)="","—",INDEX(LdBId,$N2635)))</f>
        <v/>
      </c>
      <c r="D2635" s="14">
        <f>IF($N2635="","",INDEX(LdBMember,$N2635))</f>
        <v/>
      </c>
      <c r="E2635" s="14">
        <f>IF($N2635="","",IFERROR(IF(VLOOKUP(INDEX(LdBMember,$N2635),AcctTblE,4,0)="","(بدون نام)",VLOOKUP(INDEX(LdBMember,$N2635),AcctTblE,4,0)),"—"))</f>
        <v/>
      </c>
      <c r="F2635" s="16">
        <f>IF($N2635="","",IF(INDEX(LdBAmt,$N2635)=0,"",INDEX(LdBAmt,$N2635)))</f>
        <v/>
      </c>
      <c r="G2635" s="30">
        <f>IF($N2635="","",IF(INDEX(LdBNote,$N2635)="","—",INDEX(LdBNote,$N2635)))</f>
        <v/>
      </c>
      <c r="N2635">
        <f>IFERROR(MATCH($C$5&amp;"|"&amp;RIGHT("000000"&amp;615,6),LdBKeyG,0),"")</f>
        <v/>
      </c>
    </row>
    <row r="2636">
      <c r="A2636" s="19" t="n">
        <v>616</v>
      </c>
      <c r="B2636" s="20">
        <f>IF($N2636="","",INDEX(LdBDate,$N2636))</f>
        <v/>
      </c>
      <c r="C2636" s="20">
        <f>IF($N2636="","",IF(INDEX(LdBId,$N2636)="","—",INDEX(LdBId,$N2636)))</f>
        <v/>
      </c>
      <c r="D2636" s="20">
        <f>IF($N2636="","",INDEX(LdBMember,$N2636))</f>
        <v/>
      </c>
      <c r="E2636" s="20">
        <f>IF($N2636="","",IFERROR(IF(VLOOKUP(INDEX(LdBMember,$N2636),AcctTblE,4,0)="","(بدون نام)",VLOOKUP(INDEX(LdBMember,$N2636),AcctTblE,4,0)),"—"))</f>
        <v/>
      </c>
      <c r="F2636" s="21">
        <f>IF($N2636="","",IF(INDEX(LdBAmt,$N2636)=0,"",INDEX(LdBAmt,$N2636)))</f>
        <v/>
      </c>
      <c r="G2636" s="32">
        <f>IF($N2636="","",IF(INDEX(LdBNote,$N2636)="","—",INDEX(LdBNote,$N2636)))</f>
        <v/>
      </c>
      <c r="N2636">
        <f>IFERROR(MATCH($C$5&amp;"|"&amp;RIGHT("000000"&amp;616,6),LdBKeyG,0),"")</f>
        <v/>
      </c>
    </row>
    <row r="2637">
      <c r="A2637" s="10" t="n">
        <v>617</v>
      </c>
      <c r="B2637" s="14">
        <f>IF($N2637="","",INDEX(LdBDate,$N2637))</f>
        <v/>
      </c>
      <c r="C2637" s="14">
        <f>IF($N2637="","",IF(INDEX(LdBId,$N2637)="","—",INDEX(LdBId,$N2637)))</f>
        <v/>
      </c>
      <c r="D2637" s="14">
        <f>IF($N2637="","",INDEX(LdBMember,$N2637))</f>
        <v/>
      </c>
      <c r="E2637" s="14">
        <f>IF($N2637="","",IFERROR(IF(VLOOKUP(INDEX(LdBMember,$N2637),AcctTblE,4,0)="","(بدون نام)",VLOOKUP(INDEX(LdBMember,$N2637),AcctTblE,4,0)),"—"))</f>
        <v/>
      </c>
      <c r="F2637" s="16">
        <f>IF($N2637="","",IF(INDEX(LdBAmt,$N2637)=0,"",INDEX(LdBAmt,$N2637)))</f>
        <v/>
      </c>
      <c r="G2637" s="30">
        <f>IF($N2637="","",IF(INDEX(LdBNote,$N2637)="","—",INDEX(LdBNote,$N2637)))</f>
        <v/>
      </c>
      <c r="N2637">
        <f>IFERROR(MATCH($C$5&amp;"|"&amp;RIGHT("000000"&amp;617,6),LdBKeyG,0),"")</f>
        <v/>
      </c>
    </row>
    <row r="2638">
      <c r="A2638" s="19" t="n">
        <v>618</v>
      </c>
      <c r="B2638" s="20">
        <f>IF($N2638="","",INDEX(LdBDate,$N2638))</f>
        <v/>
      </c>
      <c r="C2638" s="20">
        <f>IF($N2638="","",IF(INDEX(LdBId,$N2638)="","—",INDEX(LdBId,$N2638)))</f>
        <v/>
      </c>
      <c r="D2638" s="20">
        <f>IF($N2638="","",INDEX(LdBMember,$N2638))</f>
        <v/>
      </c>
      <c r="E2638" s="20">
        <f>IF($N2638="","",IFERROR(IF(VLOOKUP(INDEX(LdBMember,$N2638),AcctTblE,4,0)="","(بدون نام)",VLOOKUP(INDEX(LdBMember,$N2638),AcctTblE,4,0)),"—"))</f>
        <v/>
      </c>
      <c r="F2638" s="21">
        <f>IF($N2638="","",IF(INDEX(LdBAmt,$N2638)=0,"",INDEX(LdBAmt,$N2638)))</f>
        <v/>
      </c>
      <c r="G2638" s="32">
        <f>IF($N2638="","",IF(INDEX(LdBNote,$N2638)="","—",INDEX(LdBNote,$N2638)))</f>
        <v/>
      </c>
      <c r="N2638">
        <f>IFERROR(MATCH($C$5&amp;"|"&amp;RIGHT("000000"&amp;618,6),LdBKeyG,0),"")</f>
        <v/>
      </c>
    </row>
    <row r="2639">
      <c r="A2639" s="10" t="n">
        <v>619</v>
      </c>
      <c r="B2639" s="14">
        <f>IF($N2639="","",INDEX(LdBDate,$N2639))</f>
        <v/>
      </c>
      <c r="C2639" s="14">
        <f>IF($N2639="","",IF(INDEX(LdBId,$N2639)="","—",INDEX(LdBId,$N2639)))</f>
        <v/>
      </c>
      <c r="D2639" s="14">
        <f>IF($N2639="","",INDEX(LdBMember,$N2639))</f>
        <v/>
      </c>
      <c r="E2639" s="14">
        <f>IF($N2639="","",IFERROR(IF(VLOOKUP(INDEX(LdBMember,$N2639),AcctTblE,4,0)="","(بدون نام)",VLOOKUP(INDEX(LdBMember,$N2639),AcctTblE,4,0)),"—"))</f>
        <v/>
      </c>
      <c r="F2639" s="16">
        <f>IF($N2639="","",IF(INDEX(LdBAmt,$N2639)=0,"",INDEX(LdBAmt,$N2639)))</f>
        <v/>
      </c>
      <c r="G2639" s="30">
        <f>IF($N2639="","",IF(INDEX(LdBNote,$N2639)="","—",INDEX(LdBNote,$N2639)))</f>
        <v/>
      </c>
      <c r="N2639">
        <f>IFERROR(MATCH($C$5&amp;"|"&amp;RIGHT("000000"&amp;619,6),LdBKeyG,0),"")</f>
        <v/>
      </c>
    </row>
    <row r="2640">
      <c r="A2640" s="19" t="n">
        <v>620</v>
      </c>
      <c r="B2640" s="20">
        <f>IF($N2640="","",INDEX(LdBDate,$N2640))</f>
        <v/>
      </c>
      <c r="C2640" s="20">
        <f>IF($N2640="","",IF(INDEX(LdBId,$N2640)="","—",INDEX(LdBId,$N2640)))</f>
        <v/>
      </c>
      <c r="D2640" s="20">
        <f>IF($N2640="","",INDEX(LdBMember,$N2640))</f>
        <v/>
      </c>
      <c r="E2640" s="20">
        <f>IF($N2640="","",IFERROR(IF(VLOOKUP(INDEX(LdBMember,$N2640),AcctTblE,4,0)="","(بدون نام)",VLOOKUP(INDEX(LdBMember,$N2640),AcctTblE,4,0)),"—"))</f>
        <v/>
      </c>
      <c r="F2640" s="21">
        <f>IF($N2640="","",IF(INDEX(LdBAmt,$N2640)=0,"",INDEX(LdBAmt,$N2640)))</f>
        <v/>
      </c>
      <c r="G2640" s="32">
        <f>IF($N2640="","",IF(INDEX(LdBNote,$N2640)="","—",INDEX(LdBNote,$N2640)))</f>
        <v/>
      </c>
      <c r="N2640">
        <f>IFERROR(MATCH($C$5&amp;"|"&amp;RIGHT("000000"&amp;620,6),LdBKeyG,0),"")</f>
        <v/>
      </c>
    </row>
    <row r="2641">
      <c r="A2641" s="10" t="n">
        <v>621</v>
      </c>
      <c r="B2641" s="14">
        <f>IF($N2641="","",INDEX(LdBDate,$N2641))</f>
        <v/>
      </c>
      <c r="C2641" s="14">
        <f>IF($N2641="","",IF(INDEX(LdBId,$N2641)="","—",INDEX(LdBId,$N2641)))</f>
        <v/>
      </c>
      <c r="D2641" s="14">
        <f>IF($N2641="","",INDEX(LdBMember,$N2641))</f>
        <v/>
      </c>
      <c r="E2641" s="14">
        <f>IF($N2641="","",IFERROR(IF(VLOOKUP(INDEX(LdBMember,$N2641),AcctTblE,4,0)="","(بدون نام)",VLOOKUP(INDEX(LdBMember,$N2641),AcctTblE,4,0)),"—"))</f>
        <v/>
      </c>
      <c r="F2641" s="16">
        <f>IF($N2641="","",IF(INDEX(LdBAmt,$N2641)=0,"",INDEX(LdBAmt,$N2641)))</f>
        <v/>
      </c>
      <c r="G2641" s="30">
        <f>IF($N2641="","",IF(INDEX(LdBNote,$N2641)="","—",INDEX(LdBNote,$N2641)))</f>
        <v/>
      </c>
      <c r="N2641">
        <f>IFERROR(MATCH($C$5&amp;"|"&amp;RIGHT("000000"&amp;621,6),LdBKeyG,0),"")</f>
        <v/>
      </c>
    </row>
    <row r="2642">
      <c r="A2642" s="19" t="n">
        <v>622</v>
      </c>
      <c r="B2642" s="20">
        <f>IF($N2642="","",INDEX(LdBDate,$N2642))</f>
        <v/>
      </c>
      <c r="C2642" s="20">
        <f>IF($N2642="","",IF(INDEX(LdBId,$N2642)="","—",INDEX(LdBId,$N2642)))</f>
        <v/>
      </c>
      <c r="D2642" s="20">
        <f>IF($N2642="","",INDEX(LdBMember,$N2642))</f>
        <v/>
      </c>
      <c r="E2642" s="20">
        <f>IF($N2642="","",IFERROR(IF(VLOOKUP(INDEX(LdBMember,$N2642),AcctTblE,4,0)="","(بدون نام)",VLOOKUP(INDEX(LdBMember,$N2642),AcctTblE,4,0)),"—"))</f>
        <v/>
      </c>
      <c r="F2642" s="21">
        <f>IF($N2642="","",IF(INDEX(LdBAmt,$N2642)=0,"",INDEX(LdBAmt,$N2642)))</f>
        <v/>
      </c>
      <c r="G2642" s="32">
        <f>IF($N2642="","",IF(INDEX(LdBNote,$N2642)="","—",INDEX(LdBNote,$N2642)))</f>
        <v/>
      </c>
      <c r="N2642">
        <f>IFERROR(MATCH($C$5&amp;"|"&amp;RIGHT("000000"&amp;622,6),LdBKeyG,0),"")</f>
        <v/>
      </c>
    </row>
    <row r="2643">
      <c r="A2643" s="10" t="n">
        <v>623</v>
      </c>
      <c r="B2643" s="14">
        <f>IF($N2643="","",INDEX(LdBDate,$N2643))</f>
        <v/>
      </c>
      <c r="C2643" s="14">
        <f>IF($N2643="","",IF(INDEX(LdBId,$N2643)="","—",INDEX(LdBId,$N2643)))</f>
        <v/>
      </c>
      <c r="D2643" s="14">
        <f>IF($N2643="","",INDEX(LdBMember,$N2643))</f>
        <v/>
      </c>
      <c r="E2643" s="14">
        <f>IF($N2643="","",IFERROR(IF(VLOOKUP(INDEX(LdBMember,$N2643),AcctTblE,4,0)="","(بدون نام)",VLOOKUP(INDEX(LdBMember,$N2643),AcctTblE,4,0)),"—"))</f>
        <v/>
      </c>
      <c r="F2643" s="16">
        <f>IF($N2643="","",IF(INDEX(LdBAmt,$N2643)=0,"",INDEX(LdBAmt,$N2643)))</f>
        <v/>
      </c>
      <c r="G2643" s="30">
        <f>IF($N2643="","",IF(INDEX(LdBNote,$N2643)="","—",INDEX(LdBNote,$N2643)))</f>
        <v/>
      </c>
      <c r="N2643">
        <f>IFERROR(MATCH($C$5&amp;"|"&amp;RIGHT("000000"&amp;623,6),LdBKeyG,0),"")</f>
        <v/>
      </c>
    </row>
    <row r="2644">
      <c r="A2644" s="19" t="n">
        <v>624</v>
      </c>
      <c r="B2644" s="20">
        <f>IF($N2644="","",INDEX(LdBDate,$N2644))</f>
        <v/>
      </c>
      <c r="C2644" s="20">
        <f>IF($N2644="","",IF(INDEX(LdBId,$N2644)="","—",INDEX(LdBId,$N2644)))</f>
        <v/>
      </c>
      <c r="D2644" s="20">
        <f>IF($N2644="","",INDEX(LdBMember,$N2644))</f>
        <v/>
      </c>
      <c r="E2644" s="20">
        <f>IF($N2644="","",IFERROR(IF(VLOOKUP(INDEX(LdBMember,$N2644),AcctTblE,4,0)="","(بدون نام)",VLOOKUP(INDEX(LdBMember,$N2644),AcctTblE,4,0)),"—"))</f>
        <v/>
      </c>
      <c r="F2644" s="21">
        <f>IF($N2644="","",IF(INDEX(LdBAmt,$N2644)=0,"",INDEX(LdBAmt,$N2644)))</f>
        <v/>
      </c>
      <c r="G2644" s="32">
        <f>IF($N2644="","",IF(INDEX(LdBNote,$N2644)="","—",INDEX(LdBNote,$N2644)))</f>
        <v/>
      </c>
      <c r="N2644">
        <f>IFERROR(MATCH($C$5&amp;"|"&amp;RIGHT("000000"&amp;624,6),LdBKeyG,0),"")</f>
        <v/>
      </c>
    </row>
    <row r="2645">
      <c r="A2645" s="10" t="n">
        <v>625</v>
      </c>
      <c r="B2645" s="14">
        <f>IF($N2645="","",INDEX(LdBDate,$N2645))</f>
        <v/>
      </c>
      <c r="C2645" s="14">
        <f>IF($N2645="","",IF(INDEX(LdBId,$N2645)="","—",INDEX(LdBId,$N2645)))</f>
        <v/>
      </c>
      <c r="D2645" s="14">
        <f>IF($N2645="","",INDEX(LdBMember,$N2645))</f>
        <v/>
      </c>
      <c r="E2645" s="14">
        <f>IF($N2645="","",IFERROR(IF(VLOOKUP(INDEX(LdBMember,$N2645),AcctTblE,4,0)="","(بدون نام)",VLOOKUP(INDEX(LdBMember,$N2645),AcctTblE,4,0)),"—"))</f>
        <v/>
      </c>
      <c r="F2645" s="16">
        <f>IF($N2645="","",IF(INDEX(LdBAmt,$N2645)=0,"",INDEX(LdBAmt,$N2645)))</f>
        <v/>
      </c>
      <c r="G2645" s="30">
        <f>IF($N2645="","",IF(INDEX(LdBNote,$N2645)="","—",INDEX(LdBNote,$N2645)))</f>
        <v/>
      </c>
      <c r="N2645">
        <f>IFERROR(MATCH($C$5&amp;"|"&amp;RIGHT("000000"&amp;625,6),LdBKeyG,0),"")</f>
        <v/>
      </c>
    </row>
    <row r="2646">
      <c r="A2646" s="19" t="n">
        <v>626</v>
      </c>
      <c r="B2646" s="20">
        <f>IF($N2646="","",INDEX(LdBDate,$N2646))</f>
        <v/>
      </c>
      <c r="C2646" s="20">
        <f>IF($N2646="","",IF(INDEX(LdBId,$N2646)="","—",INDEX(LdBId,$N2646)))</f>
        <v/>
      </c>
      <c r="D2646" s="20">
        <f>IF($N2646="","",INDEX(LdBMember,$N2646))</f>
        <v/>
      </c>
      <c r="E2646" s="20">
        <f>IF($N2646="","",IFERROR(IF(VLOOKUP(INDEX(LdBMember,$N2646),AcctTblE,4,0)="","(بدون نام)",VLOOKUP(INDEX(LdBMember,$N2646),AcctTblE,4,0)),"—"))</f>
        <v/>
      </c>
      <c r="F2646" s="21">
        <f>IF($N2646="","",IF(INDEX(LdBAmt,$N2646)=0,"",INDEX(LdBAmt,$N2646)))</f>
        <v/>
      </c>
      <c r="G2646" s="32">
        <f>IF($N2646="","",IF(INDEX(LdBNote,$N2646)="","—",INDEX(LdBNote,$N2646)))</f>
        <v/>
      </c>
      <c r="N2646">
        <f>IFERROR(MATCH($C$5&amp;"|"&amp;RIGHT("000000"&amp;626,6),LdBKeyG,0),"")</f>
        <v/>
      </c>
    </row>
    <row r="2647">
      <c r="A2647" s="10" t="n">
        <v>627</v>
      </c>
      <c r="B2647" s="14">
        <f>IF($N2647="","",INDEX(LdBDate,$N2647))</f>
        <v/>
      </c>
      <c r="C2647" s="14">
        <f>IF($N2647="","",IF(INDEX(LdBId,$N2647)="","—",INDEX(LdBId,$N2647)))</f>
        <v/>
      </c>
      <c r="D2647" s="14">
        <f>IF($N2647="","",INDEX(LdBMember,$N2647))</f>
        <v/>
      </c>
      <c r="E2647" s="14">
        <f>IF($N2647="","",IFERROR(IF(VLOOKUP(INDEX(LdBMember,$N2647),AcctTblE,4,0)="","(بدون نام)",VLOOKUP(INDEX(LdBMember,$N2647),AcctTblE,4,0)),"—"))</f>
        <v/>
      </c>
      <c r="F2647" s="16">
        <f>IF($N2647="","",IF(INDEX(LdBAmt,$N2647)=0,"",INDEX(LdBAmt,$N2647)))</f>
        <v/>
      </c>
      <c r="G2647" s="30">
        <f>IF($N2647="","",IF(INDEX(LdBNote,$N2647)="","—",INDEX(LdBNote,$N2647)))</f>
        <v/>
      </c>
      <c r="N2647">
        <f>IFERROR(MATCH($C$5&amp;"|"&amp;RIGHT("000000"&amp;627,6),LdBKeyG,0),"")</f>
        <v/>
      </c>
    </row>
    <row r="2648">
      <c r="A2648" s="19" t="n">
        <v>628</v>
      </c>
      <c r="B2648" s="20">
        <f>IF($N2648="","",INDEX(LdBDate,$N2648))</f>
        <v/>
      </c>
      <c r="C2648" s="20">
        <f>IF($N2648="","",IF(INDEX(LdBId,$N2648)="","—",INDEX(LdBId,$N2648)))</f>
        <v/>
      </c>
      <c r="D2648" s="20">
        <f>IF($N2648="","",INDEX(LdBMember,$N2648))</f>
        <v/>
      </c>
      <c r="E2648" s="20">
        <f>IF($N2648="","",IFERROR(IF(VLOOKUP(INDEX(LdBMember,$N2648),AcctTblE,4,0)="","(بدون نام)",VLOOKUP(INDEX(LdBMember,$N2648),AcctTblE,4,0)),"—"))</f>
        <v/>
      </c>
      <c r="F2648" s="21">
        <f>IF($N2648="","",IF(INDEX(LdBAmt,$N2648)=0,"",INDEX(LdBAmt,$N2648)))</f>
        <v/>
      </c>
      <c r="G2648" s="32">
        <f>IF($N2648="","",IF(INDEX(LdBNote,$N2648)="","—",INDEX(LdBNote,$N2648)))</f>
        <v/>
      </c>
      <c r="N2648">
        <f>IFERROR(MATCH($C$5&amp;"|"&amp;RIGHT("000000"&amp;628,6),LdBKeyG,0),"")</f>
        <v/>
      </c>
    </row>
    <row r="2649">
      <c r="A2649" s="10" t="n">
        <v>629</v>
      </c>
      <c r="B2649" s="14">
        <f>IF($N2649="","",INDEX(LdBDate,$N2649))</f>
        <v/>
      </c>
      <c r="C2649" s="14">
        <f>IF($N2649="","",IF(INDEX(LdBId,$N2649)="","—",INDEX(LdBId,$N2649)))</f>
        <v/>
      </c>
      <c r="D2649" s="14">
        <f>IF($N2649="","",INDEX(LdBMember,$N2649))</f>
        <v/>
      </c>
      <c r="E2649" s="14">
        <f>IF($N2649="","",IFERROR(IF(VLOOKUP(INDEX(LdBMember,$N2649),AcctTblE,4,0)="","(بدون نام)",VLOOKUP(INDEX(LdBMember,$N2649),AcctTblE,4,0)),"—"))</f>
        <v/>
      </c>
      <c r="F2649" s="16">
        <f>IF($N2649="","",IF(INDEX(LdBAmt,$N2649)=0,"",INDEX(LdBAmt,$N2649)))</f>
        <v/>
      </c>
      <c r="G2649" s="30">
        <f>IF($N2649="","",IF(INDEX(LdBNote,$N2649)="","—",INDEX(LdBNote,$N2649)))</f>
        <v/>
      </c>
      <c r="N2649">
        <f>IFERROR(MATCH($C$5&amp;"|"&amp;RIGHT("000000"&amp;629,6),LdBKeyG,0),"")</f>
        <v/>
      </c>
    </row>
    <row r="2650">
      <c r="A2650" s="19" t="n">
        <v>630</v>
      </c>
      <c r="B2650" s="20">
        <f>IF($N2650="","",INDEX(LdBDate,$N2650))</f>
        <v/>
      </c>
      <c r="C2650" s="20">
        <f>IF($N2650="","",IF(INDEX(LdBId,$N2650)="","—",INDEX(LdBId,$N2650)))</f>
        <v/>
      </c>
      <c r="D2650" s="20">
        <f>IF($N2650="","",INDEX(LdBMember,$N2650))</f>
        <v/>
      </c>
      <c r="E2650" s="20">
        <f>IF($N2650="","",IFERROR(IF(VLOOKUP(INDEX(LdBMember,$N2650),AcctTblE,4,0)="","(بدون نام)",VLOOKUP(INDEX(LdBMember,$N2650),AcctTblE,4,0)),"—"))</f>
        <v/>
      </c>
      <c r="F2650" s="21">
        <f>IF($N2650="","",IF(INDEX(LdBAmt,$N2650)=0,"",INDEX(LdBAmt,$N2650)))</f>
        <v/>
      </c>
      <c r="G2650" s="32">
        <f>IF($N2650="","",IF(INDEX(LdBNote,$N2650)="","—",INDEX(LdBNote,$N2650)))</f>
        <v/>
      </c>
      <c r="N2650">
        <f>IFERROR(MATCH($C$5&amp;"|"&amp;RIGHT("000000"&amp;630,6),LdBKeyG,0),"")</f>
        <v/>
      </c>
    </row>
    <row r="2651">
      <c r="A2651" s="10" t="n">
        <v>631</v>
      </c>
      <c r="B2651" s="14">
        <f>IF($N2651="","",INDEX(LdBDate,$N2651))</f>
        <v/>
      </c>
      <c r="C2651" s="14">
        <f>IF($N2651="","",IF(INDEX(LdBId,$N2651)="","—",INDEX(LdBId,$N2651)))</f>
        <v/>
      </c>
      <c r="D2651" s="14">
        <f>IF($N2651="","",INDEX(LdBMember,$N2651))</f>
        <v/>
      </c>
      <c r="E2651" s="14">
        <f>IF($N2651="","",IFERROR(IF(VLOOKUP(INDEX(LdBMember,$N2651),AcctTblE,4,0)="","(بدون نام)",VLOOKUP(INDEX(LdBMember,$N2651),AcctTblE,4,0)),"—"))</f>
        <v/>
      </c>
      <c r="F2651" s="16">
        <f>IF($N2651="","",IF(INDEX(LdBAmt,$N2651)=0,"",INDEX(LdBAmt,$N2651)))</f>
        <v/>
      </c>
      <c r="G2651" s="30">
        <f>IF($N2651="","",IF(INDEX(LdBNote,$N2651)="","—",INDEX(LdBNote,$N2651)))</f>
        <v/>
      </c>
      <c r="N2651">
        <f>IFERROR(MATCH($C$5&amp;"|"&amp;RIGHT("000000"&amp;631,6),LdBKeyG,0),"")</f>
        <v/>
      </c>
    </row>
    <row r="2652">
      <c r="A2652" s="19" t="n">
        <v>632</v>
      </c>
      <c r="B2652" s="20">
        <f>IF($N2652="","",INDEX(LdBDate,$N2652))</f>
        <v/>
      </c>
      <c r="C2652" s="20">
        <f>IF($N2652="","",IF(INDEX(LdBId,$N2652)="","—",INDEX(LdBId,$N2652)))</f>
        <v/>
      </c>
      <c r="D2652" s="20">
        <f>IF($N2652="","",INDEX(LdBMember,$N2652))</f>
        <v/>
      </c>
      <c r="E2652" s="20">
        <f>IF($N2652="","",IFERROR(IF(VLOOKUP(INDEX(LdBMember,$N2652),AcctTblE,4,0)="","(بدون نام)",VLOOKUP(INDEX(LdBMember,$N2652),AcctTblE,4,0)),"—"))</f>
        <v/>
      </c>
      <c r="F2652" s="21">
        <f>IF($N2652="","",IF(INDEX(LdBAmt,$N2652)=0,"",INDEX(LdBAmt,$N2652)))</f>
        <v/>
      </c>
      <c r="G2652" s="32">
        <f>IF($N2652="","",IF(INDEX(LdBNote,$N2652)="","—",INDEX(LdBNote,$N2652)))</f>
        <v/>
      </c>
      <c r="N2652">
        <f>IFERROR(MATCH($C$5&amp;"|"&amp;RIGHT("000000"&amp;632,6),LdBKeyG,0),"")</f>
        <v/>
      </c>
    </row>
    <row r="2653">
      <c r="A2653" s="10" t="n">
        <v>633</v>
      </c>
      <c r="B2653" s="14">
        <f>IF($N2653="","",INDEX(LdBDate,$N2653))</f>
        <v/>
      </c>
      <c r="C2653" s="14">
        <f>IF($N2653="","",IF(INDEX(LdBId,$N2653)="","—",INDEX(LdBId,$N2653)))</f>
        <v/>
      </c>
      <c r="D2653" s="14">
        <f>IF($N2653="","",INDEX(LdBMember,$N2653))</f>
        <v/>
      </c>
      <c r="E2653" s="14">
        <f>IF($N2653="","",IFERROR(IF(VLOOKUP(INDEX(LdBMember,$N2653),AcctTblE,4,0)="","(بدون نام)",VLOOKUP(INDEX(LdBMember,$N2653),AcctTblE,4,0)),"—"))</f>
        <v/>
      </c>
      <c r="F2653" s="16">
        <f>IF($N2653="","",IF(INDEX(LdBAmt,$N2653)=0,"",INDEX(LdBAmt,$N2653)))</f>
        <v/>
      </c>
      <c r="G2653" s="30">
        <f>IF($N2653="","",IF(INDEX(LdBNote,$N2653)="","—",INDEX(LdBNote,$N2653)))</f>
        <v/>
      </c>
      <c r="N2653">
        <f>IFERROR(MATCH($C$5&amp;"|"&amp;RIGHT("000000"&amp;633,6),LdBKeyG,0),"")</f>
        <v/>
      </c>
    </row>
    <row r="2654">
      <c r="A2654" s="19" t="n">
        <v>634</v>
      </c>
      <c r="B2654" s="20">
        <f>IF($N2654="","",INDEX(LdBDate,$N2654))</f>
        <v/>
      </c>
      <c r="C2654" s="20">
        <f>IF($N2654="","",IF(INDEX(LdBId,$N2654)="","—",INDEX(LdBId,$N2654)))</f>
        <v/>
      </c>
      <c r="D2654" s="20">
        <f>IF($N2654="","",INDEX(LdBMember,$N2654))</f>
        <v/>
      </c>
      <c r="E2654" s="20">
        <f>IF($N2654="","",IFERROR(IF(VLOOKUP(INDEX(LdBMember,$N2654),AcctTblE,4,0)="","(بدون نام)",VLOOKUP(INDEX(LdBMember,$N2654),AcctTblE,4,0)),"—"))</f>
        <v/>
      </c>
      <c r="F2654" s="21">
        <f>IF($N2654="","",IF(INDEX(LdBAmt,$N2654)=0,"",INDEX(LdBAmt,$N2654)))</f>
        <v/>
      </c>
      <c r="G2654" s="32">
        <f>IF($N2654="","",IF(INDEX(LdBNote,$N2654)="","—",INDEX(LdBNote,$N2654)))</f>
        <v/>
      </c>
      <c r="N2654">
        <f>IFERROR(MATCH($C$5&amp;"|"&amp;RIGHT("000000"&amp;634,6),LdBKeyG,0),"")</f>
        <v/>
      </c>
    </row>
    <row r="2655">
      <c r="A2655" s="10" t="n">
        <v>635</v>
      </c>
      <c r="B2655" s="14">
        <f>IF($N2655="","",INDEX(LdBDate,$N2655))</f>
        <v/>
      </c>
      <c r="C2655" s="14">
        <f>IF($N2655="","",IF(INDEX(LdBId,$N2655)="","—",INDEX(LdBId,$N2655)))</f>
        <v/>
      </c>
      <c r="D2655" s="14">
        <f>IF($N2655="","",INDEX(LdBMember,$N2655))</f>
        <v/>
      </c>
      <c r="E2655" s="14">
        <f>IF($N2655="","",IFERROR(IF(VLOOKUP(INDEX(LdBMember,$N2655),AcctTblE,4,0)="","(بدون نام)",VLOOKUP(INDEX(LdBMember,$N2655),AcctTblE,4,0)),"—"))</f>
        <v/>
      </c>
      <c r="F2655" s="16">
        <f>IF($N2655="","",IF(INDEX(LdBAmt,$N2655)=0,"",INDEX(LdBAmt,$N2655)))</f>
        <v/>
      </c>
      <c r="G2655" s="30">
        <f>IF($N2655="","",IF(INDEX(LdBNote,$N2655)="","—",INDEX(LdBNote,$N2655)))</f>
        <v/>
      </c>
      <c r="N2655">
        <f>IFERROR(MATCH($C$5&amp;"|"&amp;RIGHT("000000"&amp;635,6),LdBKeyG,0),"")</f>
        <v/>
      </c>
    </row>
    <row r="2656">
      <c r="A2656" s="19" t="n">
        <v>636</v>
      </c>
      <c r="B2656" s="20">
        <f>IF($N2656="","",INDEX(LdBDate,$N2656))</f>
        <v/>
      </c>
      <c r="C2656" s="20">
        <f>IF($N2656="","",IF(INDEX(LdBId,$N2656)="","—",INDEX(LdBId,$N2656)))</f>
        <v/>
      </c>
      <c r="D2656" s="20">
        <f>IF($N2656="","",INDEX(LdBMember,$N2656))</f>
        <v/>
      </c>
      <c r="E2656" s="20">
        <f>IF($N2656="","",IFERROR(IF(VLOOKUP(INDEX(LdBMember,$N2656),AcctTblE,4,0)="","(بدون نام)",VLOOKUP(INDEX(LdBMember,$N2656),AcctTblE,4,0)),"—"))</f>
        <v/>
      </c>
      <c r="F2656" s="21">
        <f>IF($N2656="","",IF(INDEX(LdBAmt,$N2656)=0,"",INDEX(LdBAmt,$N2656)))</f>
        <v/>
      </c>
      <c r="G2656" s="32">
        <f>IF($N2656="","",IF(INDEX(LdBNote,$N2656)="","—",INDEX(LdBNote,$N2656)))</f>
        <v/>
      </c>
      <c r="N2656">
        <f>IFERROR(MATCH($C$5&amp;"|"&amp;RIGHT("000000"&amp;636,6),LdBKeyG,0),"")</f>
        <v/>
      </c>
    </row>
    <row r="2657">
      <c r="A2657" s="10" t="n">
        <v>637</v>
      </c>
      <c r="B2657" s="14">
        <f>IF($N2657="","",INDEX(LdBDate,$N2657))</f>
        <v/>
      </c>
      <c r="C2657" s="14">
        <f>IF($N2657="","",IF(INDEX(LdBId,$N2657)="","—",INDEX(LdBId,$N2657)))</f>
        <v/>
      </c>
      <c r="D2657" s="14">
        <f>IF($N2657="","",INDEX(LdBMember,$N2657))</f>
        <v/>
      </c>
      <c r="E2657" s="14">
        <f>IF($N2657="","",IFERROR(IF(VLOOKUP(INDEX(LdBMember,$N2657),AcctTblE,4,0)="","(بدون نام)",VLOOKUP(INDEX(LdBMember,$N2657),AcctTblE,4,0)),"—"))</f>
        <v/>
      </c>
      <c r="F2657" s="16">
        <f>IF($N2657="","",IF(INDEX(LdBAmt,$N2657)=0,"",INDEX(LdBAmt,$N2657)))</f>
        <v/>
      </c>
      <c r="G2657" s="30">
        <f>IF($N2657="","",IF(INDEX(LdBNote,$N2657)="","—",INDEX(LdBNote,$N2657)))</f>
        <v/>
      </c>
      <c r="N2657">
        <f>IFERROR(MATCH($C$5&amp;"|"&amp;RIGHT("000000"&amp;637,6),LdBKeyG,0),"")</f>
        <v/>
      </c>
    </row>
    <row r="2658">
      <c r="A2658" s="19" t="n">
        <v>638</v>
      </c>
      <c r="B2658" s="20">
        <f>IF($N2658="","",INDEX(LdBDate,$N2658))</f>
        <v/>
      </c>
      <c r="C2658" s="20">
        <f>IF($N2658="","",IF(INDEX(LdBId,$N2658)="","—",INDEX(LdBId,$N2658)))</f>
        <v/>
      </c>
      <c r="D2658" s="20">
        <f>IF($N2658="","",INDEX(LdBMember,$N2658))</f>
        <v/>
      </c>
      <c r="E2658" s="20">
        <f>IF($N2658="","",IFERROR(IF(VLOOKUP(INDEX(LdBMember,$N2658),AcctTblE,4,0)="","(بدون نام)",VLOOKUP(INDEX(LdBMember,$N2658),AcctTblE,4,0)),"—"))</f>
        <v/>
      </c>
      <c r="F2658" s="21">
        <f>IF($N2658="","",IF(INDEX(LdBAmt,$N2658)=0,"",INDEX(LdBAmt,$N2658)))</f>
        <v/>
      </c>
      <c r="G2658" s="32">
        <f>IF($N2658="","",IF(INDEX(LdBNote,$N2658)="","—",INDEX(LdBNote,$N2658)))</f>
        <v/>
      </c>
      <c r="N2658">
        <f>IFERROR(MATCH($C$5&amp;"|"&amp;RIGHT("000000"&amp;638,6),LdBKeyG,0),"")</f>
        <v/>
      </c>
    </row>
    <row r="2659">
      <c r="A2659" s="10" t="n">
        <v>639</v>
      </c>
      <c r="B2659" s="14">
        <f>IF($N2659="","",INDEX(LdBDate,$N2659))</f>
        <v/>
      </c>
      <c r="C2659" s="14">
        <f>IF($N2659="","",IF(INDEX(LdBId,$N2659)="","—",INDEX(LdBId,$N2659)))</f>
        <v/>
      </c>
      <c r="D2659" s="14">
        <f>IF($N2659="","",INDEX(LdBMember,$N2659))</f>
        <v/>
      </c>
      <c r="E2659" s="14">
        <f>IF($N2659="","",IFERROR(IF(VLOOKUP(INDEX(LdBMember,$N2659),AcctTblE,4,0)="","(بدون نام)",VLOOKUP(INDEX(LdBMember,$N2659),AcctTblE,4,0)),"—"))</f>
        <v/>
      </c>
      <c r="F2659" s="16">
        <f>IF($N2659="","",IF(INDEX(LdBAmt,$N2659)=0,"",INDEX(LdBAmt,$N2659)))</f>
        <v/>
      </c>
      <c r="G2659" s="30">
        <f>IF($N2659="","",IF(INDEX(LdBNote,$N2659)="","—",INDEX(LdBNote,$N2659)))</f>
        <v/>
      </c>
      <c r="N2659">
        <f>IFERROR(MATCH($C$5&amp;"|"&amp;RIGHT("000000"&amp;639,6),LdBKeyG,0),"")</f>
        <v/>
      </c>
    </row>
    <row r="2660">
      <c r="A2660" s="19" t="n">
        <v>640</v>
      </c>
      <c r="B2660" s="20">
        <f>IF($N2660="","",INDEX(LdBDate,$N2660))</f>
        <v/>
      </c>
      <c r="C2660" s="20">
        <f>IF($N2660="","",IF(INDEX(LdBId,$N2660)="","—",INDEX(LdBId,$N2660)))</f>
        <v/>
      </c>
      <c r="D2660" s="20">
        <f>IF($N2660="","",INDEX(LdBMember,$N2660))</f>
        <v/>
      </c>
      <c r="E2660" s="20">
        <f>IF($N2660="","",IFERROR(IF(VLOOKUP(INDEX(LdBMember,$N2660),AcctTblE,4,0)="","(بدون نام)",VLOOKUP(INDEX(LdBMember,$N2660),AcctTblE,4,0)),"—"))</f>
        <v/>
      </c>
      <c r="F2660" s="21">
        <f>IF($N2660="","",IF(INDEX(LdBAmt,$N2660)=0,"",INDEX(LdBAmt,$N2660)))</f>
        <v/>
      </c>
      <c r="G2660" s="32">
        <f>IF($N2660="","",IF(INDEX(LdBNote,$N2660)="","—",INDEX(LdBNote,$N2660)))</f>
        <v/>
      </c>
      <c r="N2660">
        <f>IFERROR(MATCH($C$5&amp;"|"&amp;RIGHT("000000"&amp;640,6),LdBKeyG,0),"")</f>
        <v/>
      </c>
    </row>
    <row r="2661">
      <c r="A2661" s="10" t="n">
        <v>641</v>
      </c>
      <c r="B2661" s="14">
        <f>IF($N2661="","",INDEX(LdBDate,$N2661))</f>
        <v/>
      </c>
      <c r="C2661" s="14">
        <f>IF($N2661="","",IF(INDEX(LdBId,$N2661)="","—",INDEX(LdBId,$N2661)))</f>
        <v/>
      </c>
      <c r="D2661" s="14">
        <f>IF($N2661="","",INDEX(LdBMember,$N2661))</f>
        <v/>
      </c>
      <c r="E2661" s="14">
        <f>IF($N2661="","",IFERROR(IF(VLOOKUP(INDEX(LdBMember,$N2661),AcctTblE,4,0)="","(بدون نام)",VLOOKUP(INDEX(LdBMember,$N2661),AcctTblE,4,0)),"—"))</f>
        <v/>
      </c>
      <c r="F2661" s="16">
        <f>IF($N2661="","",IF(INDEX(LdBAmt,$N2661)=0,"",INDEX(LdBAmt,$N2661)))</f>
        <v/>
      </c>
      <c r="G2661" s="30">
        <f>IF($N2661="","",IF(INDEX(LdBNote,$N2661)="","—",INDEX(LdBNote,$N2661)))</f>
        <v/>
      </c>
      <c r="N2661">
        <f>IFERROR(MATCH($C$5&amp;"|"&amp;RIGHT("000000"&amp;641,6),LdBKeyG,0),"")</f>
        <v/>
      </c>
    </row>
    <row r="2662">
      <c r="A2662" s="19" t="n">
        <v>642</v>
      </c>
      <c r="B2662" s="20">
        <f>IF($N2662="","",INDEX(LdBDate,$N2662))</f>
        <v/>
      </c>
      <c r="C2662" s="20">
        <f>IF($N2662="","",IF(INDEX(LdBId,$N2662)="","—",INDEX(LdBId,$N2662)))</f>
        <v/>
      </c>
      <c r="D2662" s="20">
        <f>IF($N2662="","",INDEX(LdBMember,$N2662))</f>
        <v/>
      </c>
      <c r="E2662" s="20">
        <f>IF($N2662="","",IFERROR(IF(VLOOKUP(INDEX(LdBMember,$N2662),AcctTblE,4,0)="","(بدون نام)",VLOOKUP(INDEX(LdBMember,$N2662),AcctTblE,4,0)),"—"))</f>
        <v/>
      </c>
      <c r="F2662" s="21">
        <f>IF($N2662="","",IF(INDEX(LdBAmt,$N2662)=0,"",INDEX(LdBAmt,$N2662)))</f>
        <v/>
      </c>
      <c r="G2662" s="32">
        <f>IF($N2662="","",IF(INDEX(LdBNote,$N2662)="","—",INDEX(LdBNote,$N2662)))</f>
        <v/>
      </c>
      <c r="N2662">
        <f>IFERROR(MATCH($C$5&amp;"|"&amp;RIGHT("000000"&amp;642,6),LdBKeyG,0),"")</f>
        <v/>
      </c>
    </row>
    <row r="2663">
      <c r="A2663" s="10" t="n">
        <v>643</v>
      </c>
      <c r="B2663" s="14">
        <f>IF($N2663="","",INDEX(LdBDate,$N2663))</f>
        <v/>
      </c>
      <c r="C2663" s="14">
        <f>IF($N2663="","",IF(INDEX(LdBId,$N2663)="","—",INDEX(LdBId,$N2663)))</f>
        <v/>
      </c>
      <c r="D2663" s="14">
        <f>IF($N2663="","",INDEX(LdBMember,$N2663))</f>
        <v/>
      </c>
      <c r="E2663" s="14">
        <f>IF($N2663="","",IFERROR(IF(VLOOKUP(INDEX(LdBMember,$N2663),AcctTblE,4,0)="","(بدون نام)",VLOOKUP(INDEX(LdBMember,$N2663),AcctTblE,4,0)),"—"))</f>
        <v/>
      </c>
      <c r="F2663" s="16">
        <f>IF($N2663="","",IF(INDEX(LdBAmt,$N2663)=0,"",INDEX(LdBAmt,$N2663)))</f>
        <v/>
      </c>
      <c r="G2663" s="30">
        <f>IF($N2663="","",IF(INDEX(LdBNote,$N2663)="","—",INDEX(LdBNote,$N2663)))</f>
        <v/>
      </c>
      <c r="N2663">
        <f>IFERROR(MATCH($C$5&amp;"|"&amp;RIGHT("000000"&amp;643,6),LdBKeyG,0),"")</f>
        <v/>
      </c>
    </row>
    <row r="2664">
      <c r="A2664" s="19" t="n">
        <v>644</v>
      </c>
      <c r="B2664" s="20">
        <f>IF($N2664="","",INDEX(LdBDate,$N2664))</f>
        <v/>
      </c>
      <c r="C2664" s="20">
        <f>IF($N2664="","",IF(INDEX(LdBId,$N2664)="","—",INDEX(LdBId,$N2664)))</f>
        <v/>
      </c>
      <c r="D2664" s="20">
        <f>IF($N2664="","",INDEX(LdBMember,$N2664))</f>
        <v/>
      </c>
      <c r="E2664" s="20">
        <f>IF($N2664="","",IFERROR(IF(VLOOKUP(INDEX(LdBMember,$N2664),AcctTblE,4,0)="","(بدون نام)",VLOOKUP(INDEX(LdBMember,$N2664),AcctTblE,4,0)),"—"))</f>
        <v/>
      </c>
      <c r="F2664" s="21">
        <f>IF($N2664="","",IF(INDEX(LdBAmt,$N2664)=0,"",INDEX(LdBAmt,$N2664)))</f>
        <v/>
      </c>
      <c r="G2664" s="32">
        <f>IF($N2664="","",IF(INDEX(LdBNote,$N2664)="","—",INDEX(LdBNote,$N2664)))</f>
        <v/>
      </c>
      <c r="N2664">
        <f>IFERROR(MATCH($C$5&amp;"|"&amp;RIGHT("000000"&amp;644,6),LdBKeyG,0),"")</f>
        <v/>
      </c>
    </row>
    <row r="2665">
      <c r="A2665" s="10" t="n">
        <v>645</v>
      </c>
      <c r="B2665" s="14">
        <f>IF($N2665="","",INDEX(LdBDate,$N2665))</f>
        <v/>
      </c>
      <c r="C2665" s="14">
        <f>IF($N2665="","",IF(INDEX(LdBId,$N2665)="","—",INDEX(LdBId,$N2665)))</f>
        <v/>
      </c>
      <c r="D2665" s="14">
        <f>IF($N2665="","",INDEX(LdBMember,$N2665))</f>
        <v/>
      </c>
      <c r="E2665" s="14">
        <f>IF($N2665="","",IFERROR(IF(VLOOKUP(INDEX(LdBMember,$N2665),AcctTblE,4,0)="","(بدون نام)",VLOOKUP(INDEX(LdBMember,$N2665),AcctTblE,4,0)),"—"))</f>
        <v/>
      </c>
      <c r="F2665" s="16">
        <f>IF($N2665="","",IF(INDEX(LdBAmt,$N2665)=0,"",INDEX(LdBAmt,$N2665)))</f>
        <v/>
      </c>
      <c r="G2665" s="30">
        <f>IF($N2665="","",IF(INDEX(LdBNote,$N2665)="","—",INDEX(LdBNote,$N2665)))</f>
        <v/>
      </c>
      <c r="N2665">
        <f>IFERROR(MATCH($C$5&amp;"|"&amp;RIGHT("000000"&amp;645,6),LdBKeyG,0),"")</f>
        <v/>
      </c>
    </row>
    <row r="2666">
      <c r="A2666" s="19" t="n">
        <v>646</v>
      </c>
      <c r="B2666" s="20">
        <f>IF($N2666="","",INDEX(LdBDate,$N2666))</f>
        <v/>
      </c>
      <c r="C2666" s="20">
        <f>IF($N2666="","",IF(INDEX(LdBId,$N2666)="","—",INDEX(LdBId,$N2666)))</f>
        <v/>
      </c>
      <c r="D2666" s="20">
        <f>IF($N2666="","",INDEX(LdBMember,$N2666))</f>
        <v/>
      </c>
      <c r="E2666" s="20">
        <f>IF($N2666="","",IFERROR(IF(VLOOKUP(INDEX(LdBMember,$N2666),AcctTblE,4,0)="","(بدون نام)",VLOOKUP(INDEX(LdBMember,$N2666),AcctTblE,4,0)),"—"))</f>
        <v/>
      </c>
      <c r="F2666" s="21">
        <f>IF($N2666="","",IF(INDEX(LdBAmt,$N2666)=0,"",INDEX(LdBAmt,$N2666)))</f>
        <v/>
      </c>
      <c r="G2666" s="32">
        <f>IF($N2666="","",IF(INDEX(LdBNote,$N2666)="","—",INDEX(LdBNote,$N2666)))</f>
        <v/>
      </c>
      <c r="N2666">
        <f>IFERROR(MATCH($C$5&amp;"|"&amp;RIGHT("000000"&amp;646,6),LdBKeyG,0),"")</f>
        <v/>
      </c>
    </row>
    <row r="2667">
      <c r="A2667" s="10" t="n">
        <v>647</v>
      </c>
      <c r="B2667" s="14">
        <f>IF($N2667="","",INDEX(LdBDate,$N2667))</f>
        <v/>
      </c>
      <c r="C2667" s="14">
        <f>IF($N2667="","",IF(INDEX(LdBId,$N2667)="","—",INDEX(LdBId,$N2667)))</f>
        <v/>
      </c>
      <c r="D2667" s="14">
        <f>IF($N2667="","",INDEX(LdBMember,$N2667))</f>
        <v/>
      </c>
      <c r="E2667" s="14">
        <f>IF($N2667="","",IFERROR(IF(VLOOKUP(INDEX(LdBMember,$N2667),AcctTblE,4,0)="","(بدون نام)",VLOOKUP(INDEX(LdBMember,$N2667),AcctTblE,4,0)),"—"))</f>
        <v/>
      </c>
      <c r="F2667" s="16">
        <f>IF($N2667="","",IF(INDEX(LdBAmt,$N2667)=0,"",INDEX(LdBAmt,$N2667)))</f>
        <v/>
      </c>
      <c r="G2667" s="30">
        <f>IF($N2667="","",IF(INDEX(LdBNote,$N2667)="","—",INDEX(LdBNote,$N2667)))</f>
        <v/>
      </c>
      <c r="N2667">
        <f>IFERROR(MATCH($C$5&amp;"|"&amp;RIGHT("000000"&amp;647,6),LdBKeyG,0),"")</f>
        <v/>
      </c>
    </row>
    <row r="2668">
      <c r="A2668" s="19" t="n">
        <v>648</v>
      </c>
      <c r="B2668" s="20">
        <f>IF($N2668="","",INDEX(LdBDate,$N2668))</f>
        <v/>
      </c>
      <c r="C2668" s="20">
        <f>IF($N2668="","",IF(INDEX(LdBId,$N2668)="","—",INDEX(LdBId,$N2668)))</f>
        <v/>
      </c>
      <c r="D2668" s="20">
        <f>IF($N2668="","",INDEX(LdBMember,$N2668))</f>
        <v/>
      </c>
      <c r="E2668" s="20">
        <f>IF($N2668="","",IFERROR(IF(VLOOKUP(INDEX(LdBMember,$N2668),AcctTblE,4,0)="","(بدون نام)",VLOOKUP(INDEX(LdBMember,$N2668),AcctTblE,4,0)),"—"))</f>
        <v/>
      </c>
      <c r="F2668" s="21">
        <f>IF($N2668="","",IF(INDEX(LdBAmt,$N2668)=0,"",INDEX(LdBAmt,$N2668)))</f>
        <v/>
      </c>
      <c r="G2668" s="32">
        <f>IF($N2668="","",IF(INDEX(LdBNote,$N2668)="","—",INDEX(LdBNote,$N2668)))</f>
        <v/>
      </c>
      <c r="N2668">
        <f>IFERROR(MATCH($C$5&amp;"|"&amp;RIGHT("000000"&amp;648,6),LdBKeyG,0),"")</f>
        <v/>
      </c>
    </row>
    <row r="2669">
      <c r="A2669" s="10" t="n">
        <v>649</v>
      </c>
      <c r="B2669" s="14">
        <f>IF($N2669="","",INDEX(LdBDate,$N2669))</f>
        <v/>
      </c>
      <c r="C2669" s="14">
        <f>IF($N2669="","",IF(INDEX(LdBId,$N2669)="","—",INDEX(LdBId,$N2669)))</f>
        <v/>
      </c>
      <c r="D2669" s="14">
        <f>IF($N2669="","",INDEX(LdBMember,$N2669))</f>
        <v/>
      </c>
      <c r="E2669" s="14">
        <f>IF($N2669="","",IFERROR(IF(VLOOKUP(INDEX(LdBMember,$N2669),AcctTblE,4,0)="","(بدون نام)",VLOOKUP(INDEX(LdBMember,$N2669),AcctTblE,4,0)),"—"))</f>
        <v/>
      </c>
      <c r="F2669" s="16">
        <f>IF($N2669="","",IF(INDEX(LdBAmt,$N2669)=0,"",INDEX(LdBAmt,$N2669)))</f>
        <v/>
      </c>
      <c r="G2669" s="30">
        <f>IF($N2669="","",IF(INDEX(LdBNote,$N2669)="","—",INDEX(LdBNote,$N2669)))</f>
        <v/>
      </c>
      <c r="N2669">
        <f>IFERROR(MATCH($C$5&amp;"|"&amp;RIGHT("000000"&amp;649,6),LdBKeyG,0),"")</f>
        <v/>
      </c>
    </row>
    <row r="2670">
      <c r="A2670" s="19" t="n">
        <v>650</v>
      </c>
      <c r="B2670" s="20">
        <f>IF($N2670="","",INDEX(LdBDate,$N2670))</f>
        <v/>
      </c>
      <c r="C2670" s="20">
        <f>IF($N2670="","",IF(INDEX(LdBId,$N2670)="","—",INDEX(LdBId,$N2670)))</f>
        <v/>
      </c>
      <c r="D2670" s="20">
        <f>IF($N2670="","",INDEX(LdBMember,$N2670))</f>
        <v/>
      </c>
      <c r="E2670" s="20">
        <f>IF($N2670="","",IFERROR(IF(VLOOKUP(INDEX(LdBMember,$N2670),AcctTblE,4,0)="","(بدون نام)",VLOOKUP(INDEX(LdBMember,$N2670),AcctTblE,4,0)),"—"))</f>
        <v/>
      </c>
      <c r="F2670" s="21">
        <f>IF($N2670="","",IF(INDEX(LdBAmt,$N2670)=0,"",INDEX(LdBAmt,$N2670)))</f>
        <v/>
      </c>
      <c r="G2670" s="32">
        <f>IF($N2670="","",IF(INDEX(LdBNote,$N2670)="","—",INDEX(LdBNote,$N2670)))</f>
        <v/>
      </c>
      <c r="N2670">
        <f>IFERROR(MATCH($C$5&amp;"|"&amp;RIGHT("000000"&amp;650,6),LdBKeyG,0),"")</f>
        <v/>
      </c>
    </row>
    <row r="2671">
      <c r="A2671" s="10" t="n">
        <v>651</v>
      </c>
      <c r="B2671" s="14">
        <f>IF($N2671="","",INDEX(LdBDate,$N2671))</f>
        <v/>
      </c>
      <c r="C2671" s="14">
        <f>IF($N2671="","",IF(INDEX(LdBId,$N2671)="","—",INDEX(LdBId,$N2671)))</f>
        <v/>
      </c>
      <c r="D2671" s="14">
        <f>IF($N2671="","",INDEX(LdBMember,$N2671))</f>
        <v/>
      </c>
      <c r="E2671" s="14">
        <f>IF($N2671="","",IFERROR(IF(VLOOKUP(INDEX(LdBMember,$N2671),AcctTblE,4,0)="","(بدون نام)",VLOOKUP(INDEX(LdBMember,$N2671),AcctTblE,4,0)),"—"))</f>
        <v/>
      </c>
      <c r="F2671" s="16">
        <f>IF($N2671="","",IF(INDEX(LdBAmt,$N2671)=0,"",INDEX(LdBAmt,$N2671)))</f>
        <v/>
      </c>
      <c r="G2671" s="30">
        <f>IF($N2671="","",IF(INDEX(LdBNote,$N2671)="","—",INDEX(LdBNote,$N2671)))</f>
        <v/>
      </c>
      <c r="N2671">
        <f>IFERROR(MATCH($C$5&amp;"|"&amp;RIGHT("000000"&amp;651,6),LdBKeyG,0),"")</f>
        <v/>
      </c>
    </row>
    <row r="2672">
      <c r="A2672" s="19" t="n">
        <v>652</v>
      </c>
      <c r="B2672" s="20">
        <f>IF($N2672="","",INDEX(LdBDate,$N2672))</f>
        <v/>
      </c>
      <c r="C2672" s="20">
        <f>IF($N2672="","",IF(INDEX(LdBId,$N2672)="","—",INDEX(LdBId,$N2672)))</f>
        <v/>
      </c>
      <c r="D2672" s="20">
        <f>IF($N2672="","",INDEX(LdBMember,$N2672))</f>
        <v/>
      </c>
      <c r="E2672" s="20">
        <f>IF($N2672="","",IFERROR(IF(VLOOKUP(INDEX(LdBMember,$N2672),AcctTblE,4,0)="","(بدون نام)",VLOOKUP(INDEX(LdBMember,$N2672),AcctTblE,4,0)),"—"))</f>
        <v/>
      </c>
      <c r="F2672" s="21">
        <f>IF($N2672="","",IF(INDEX(LdBAmt,$N2672)=0,"",INDEX(LdBAmt,$N2672)))</f>
        <v/>
      </c>
      <c r="G2672" s="32">
        <f>IF($N2672="","",IF(INDEX(LdBNote,$N2672)="","—",INDEX(LdBNote,$N2672)))</f>
        <v/>
      </c>
      <c r="N2672">
        <f>IFERROR(MATCH($C$5&amp;"|"&amp;RIGHT("000000"&amp;652,6),LdBKeyG,0),"")</f>
        <v/>
      </c>
    </row>
    <row r="2673">
      <c r="A2673" s="10" t="n">
        <v>653</v>
      </c>
      <c r="B2673" s="14">
        <f>IF($N2673="","",INDEX(LdBDate,$N2673))</f>
        <v/>
      </c>
      <c r="C2673" s="14">
        <f>IF($N2673="","",IF(INDEX(LdBId,$N2673)="","—",INDEX(LdBId,$N2673)))</f>
        <v/>
      </c>
      <c r="D2673" s="14">
        <f>IF($N2673="","",INDEX(LdBMember,$N2673))</f>
        <v/>
      </c>
      <c r="E2673" s="14">
        <f>IF($N2673="","",IFERROR(IF(VLOOKUP(INDEX(LdBMember,$N2673),AcctTblE,4,0)="","(بدون نام)",VLOOKUP(INDEX(LdBMember,$N2673),AcctTblE,4,0)),"—"))</f>
        <v/>
      </c>
      <c r="F2673" s="16">
        <f>IF($N2673="","",IF(INDEX(LdBAmt,$N2673)=0,"",INDEX(LdBAmt,$N2673)))</f>
        <v/>
      </c>
      <c r="G2673" s="30">
        <f>IF($N2673="","",IF(INDEX(LdBNote,$N2673)="","—",INDEX(LdBNote,$N2673)))</f>
        <v/>
      </c>
      <c r="N2673">
        <f>IFERROR(MATCH($C$5&amp;"|"&amp;RIGHT("000000"&amp;653,6),LdBKeyG,0),"")</f>
        <v/>
      </c>
    </row>
    <row r="2674">
      <c r="A2674" s="19" t="n">
        <v>654</v>
      </c>
      <c r="B2674" s="20">
        <f>IF($N2674="","",INDEX(LdBDate,$N2674))</f>
        <v/>
      </c>
      <c r="C2674" s="20">
        <f>IF($N2674="","",IF(INDEX(LdBId,$N2674)="","—",INDEX(LdBId,$N2674)))</f>
        <v/>
      </c>
      <c r="D2674" s="20">
        <f>IF($N2674="","",INDEX(LdBMember,$N2674))</f>
        <v/>
      </c>
      <c r="E2674" s="20">
        <f>IF($N2674="","",IFERROR(IF(VLOOKUP(INDEX(LdBMember,$N2674),AcctTblE,4,0)="","(بدون نام)",VLOOKUP(INDEX(LdBMember,$N2674),AcctTblE,4,0)),"—"))</f>
        <v/>
      </c>
      <c r="F2674" s="21">
        <f>IF($N2674="","",IF(INDEX(LdBAmt,$N2674)=0,"",INDEX(LdBAmt,$N2674)))</f>
        <v/>
      </c>
      <c r="G2674" s="32">
        <f>IF($N2674="","",IF(INDEX(LdBNote,$N2674)="","—",INDEX(LdBNote,$N2674)))</f>
        <v/>
      </c>
      <c r="N2674">
        <f>IFERROR(MATCH($C$5&amp;"|"&amp;RIGHT("000000"&amp;654,6),LdBKeyG,0),"")</f>
        <v/>
      </c>
    </row>
    <row r="2675">
      <c r="A2675" s="10" t="n">
        <v>655</v>
      </c>
      <c r="B2675" s="14">
        <f>IF($N2675="","",INDEX(LdBDate,$N2675))</f>
        <v/>
      </c>
      <c r="C2675" s="14">
        <f>IF($N2675="","",IF(INDEX(LdBId,$N2675)="","—",INDEX(LdBId,$N2675)))</f>
        <v/>
      </c>
      <c r="D2675" s="14">
        <f>IF($N2675="","",INDEX(LdBMember,$N2675))</f>
        <v/>
      </c>
      <c r="E2675" s="14">
        <f>IF($N2675="","",IFERROR(IF(VLOOKUP(INDEX(LdBMember,$N2675),AcctTblE,4,0)="","(بدون نام)",VLOOKUP(INDEX(LdBMember,$N2675),AcctTblE,4,0)),"—"))</f>
        <v/>
      </c>
      <c r="F2675" s="16">
        <f>IF($N2675="","",IF(INDEX(LdBAmt,$N2675)=0,"",INDEX(LdBAmt,$N2675)))</f>
        <v/>
      </c>
      <c r="G2675" s="30">
        <f>IF($N2675="","",IF(INDEX(LdBNote,$N2675)="","—",INDEX(LdBNote,$N2675)))</f>
        <v/>
      </c>
      <c r="N2675">
        <f>IFERROR(MATCH($C$5&amp;"|"&amp;RIGHT("000000"&amp;655,6),LdBKeyG,0),"")</f>
        <v/>
      </c>
    </row>
    <row r="2676">
      <c r="A2676" s="19" t="n">
        <v>656</v>
      </c>
      <c r="B2676" s="20">
        <f>IF($N2676="","",INDEX(LdBDate,$N2676))</f>
        <v/>
      </c>
      <c r="C2676" s="20">
        <f>IF($N2676="","",IF(INDEX(LdBId,$N2676)="","—",INDEX(LdBId,$N2676)))</f>
        <v/>
      </c>
      <c r="D2676" s="20">
        <f>IF($N2676="","",INDEX(LdBMember,$N2676))</f>
        <v/>
      </c>
      <c r="E2676" s="20">
        <f>IF($N2676="","",IFERROR(IF(VLOOKUP(INDEX(LdBMember,$N2676),AcctTblE,4,0)="","(بدون نام)",VLOOKUP(INDEX(LdBMember,$N2676),AcctTblE,4,0)),"—"))</f>
        <v/>
      </c>
      <c r="F2676" s="21">
        <f>IF($N2676="","",IF(INDEX(LdBAmt,$N2676)=0,"",INDEX(LdBAmt,$N2676)))</f>
        <v/>
      </c>
      <c r="G2676" s="32">
        <f>IF($N2676="","",IF(INDEX(LdBNote,$N2676)="","—",INDEX(LdBNote,$N2676)))</f>
        <v/>
      </c>
      <c r="N2676">
        <f>IFERROR(MATCH($C$5&amp;"|"&amp;RIGHT("000000"&amp;656,6),LdBKeyG,0),"")</f>
        <v/>
      </c>
    </row>
    <row r="2677">
      <c r="A2677" s="10" t="n">
        <v>657</v>
      </c>
      <c r="B2677" s="14">
        <f>IF($N2677="","",INDEX(LdBDate,$N2677))</f>
        <v/>
      </c>
      <c r="C2677" s="14">
        <f>IF($N2677="","",IF(INDEX(LdBId,$N2677)="","—",INDEX(LdBId,$N2677)))</f>
        <v/>
      </c>
      <c r="D2677" s="14">
        <f>IF($N2677="","",INDEX(LdBMember,$N2677))</f>
        <v/>
      </c>
      <c r="E2677" s="14">
        <f>IF($N2677="","",IFERROR(IF(VLOOKUP(INDEX(LdBMember,$N2677),AcctTblE,4,0)="","(بدون نام)",VLOOKUP(INDEX(LdBMember,$N2677),AcctTblE,4,0)),"—"))</f>
        <v/>
      </c>
      <c r="F2677" s="16">
        <f>IF($N2677="","",IF(INDEX(LdBAmt,$N2677)=0,"",INDEX(LdBAmt,$N2677)))</f>
        <v/>
      </c>
      <c r="G2677" s="30">
        <f>IF($N2677="","",IF(INDEX(LdBNote,$N2677)="","—",INDEX(LdBNote,$N2677)))</f>
        <v/>
      </c>
      <c r="N2677">
        <f>IFERROR(MATCH($C$5&amp;"|"&amp;RIGHT("000000"&amp;657,6),LdBKeyG,0),"")</f>
        <v/>
      </c>
    </row>
    <row r="2678">
      <c r="A2678" s="19" t="n">
        <v>658</v>
      </c>
      <c r="B2678" s="20">
        <f>IF($N2678="","",INDEX(LdBDate,$N2678))</f>
        <v/>
      </c>
      <c r="C2678" s="20">
        <f>IF($N2678="","",IF(INDEX(LdBId,$N2678)="","—",INDEX(LdBId,$N2678)))</f>
        <v/>
      </c>
      <c r="D2678" s="20">
        <f>IF($N2678="","",INDEX(LdBMember,$N2678))</f>
        <v/>
      </c>
      <c r="E2678" s="20">
        <f>IF($N2678="","",IFERROR(IF(VLOOKUP(INDEX(LdBMember,$N2678),AcctTblE,4,0)="","(بدون نام)",VLOOKUP(INDEX(LdBMember,$N2678),AcctTblE,4,0)),"—"))</f>
        <v/>
      </c>
      <c r="F2678" s="21">
        <f>IF($N2678="","",IF(INDEX(LdBAmt,$N2678)=0,"",INDEX(LdBAmt,$N2678)))</f>
        <v/>
      </c>
      <c r="G2678" s="32">
        <f>IF($N2678="","",IF(INDEX(LdBNote,$N2678)="","—",INDEX(LdBNote,$N2678)))</f>
        <v/>
      </c>
      <c r="N2678">
        <f>IFERROR(MATCH($C$5&amp;"|"&amp;RIGHT("000000"&amp;658,6),LdBKeyG,0),"")</f>
        <v/>
      </c>
    </row>
    <row r="2679">
      <c r="A2679" s="10" t="n">
        <v>659</v>
      </c>
      <c r="B2679" s="14">
        <f>IF($N2679="","",INDEX(LdBDate,$N2679))</f>
        <v/>
      </c>
      <c r="C2679" s="14">
        <f>IF($N2679="","",IF(INDEX(LdBId,$N2679)="","—",INDEX(LdBId,$N2679)))</f>
        <v/>
      </c>
      <c r="D2679" s="14">
        <f>IF($N2679="","",INDEX(LdBMember,$N2679))</f>
        <v/>
      </c>
      <c r="E2679" s="14">
        <f>IF($N2679="","",IFERROR(IF(VLOOKUP(INDEX(LdBMember,$N2679),AcctTblE,4,0)="","(بدون نام)",VLOOKUP(INDEX(LdBMember,$N2679),AcctTblE,4,0)),"—"))</f>
        <v/>
      </c>
      <c r="F2679" s="16">
        <f>IF($N2679="","",IF(INDEX(LdBAmt,$N2679)=0,"",INDEX(LdBAmt,$N2679)))</f>
        <v/>
      </c>
      <c r="G2679" s="30">
        <f>IF($N2679="","",IF(INDEX(LdBNote,$N2679)="","—",INDEX(LdBNote,$N2679)))</f>
        <v/>
      </c>
      <c r="N2679">
        <f>IFERROR(MATCH($C$5&amp;"|"&amp;RIGHT("000000"&amp;659,6),LdBKeyG,0),"")</f>
        <v/>
      </c>
    </row>
    <row r="2680">
      <c r="A2680" s="19" t="n">
        <v>660</v>
      </c>
      <c r="B2680" s="20">
        <f>IF($N2680="","",INDEX(LdBDate,$N2680))</f>
        <v/>
      </c>
      <c r="C2680" s="20">
        <f>IF($N2680="","",IF(INDEX(LdBId,$N2680)="","—",INDEX(LdBId,$N2680)))</f>
        <v/>
      </c>
      <c r="D2680" s="20">
        <f>IF($N2680="","",INDEX(LdBMember,$N2680))</f>
        <v/>
      </c>
      <c r="E2680" s="20">
        <f>IF($N2680="","",IFERROR(IF(VLOOKUP(INDEX(LdBMember,$N2680),AcctTblE,4,0)="","(بدون نام)",VLOOKUP(INDEX(LdBMember,$N2680),AcctTblE,4,0)),"—"))</f>
        <v/>
      </c>
      <c r="F2680" s="21">
        <f>IF($N2680="","",IF(INDEX(LdBAmt,$N2680)=0,"",INDEX(LdBAmt,$N2680)))</f>
        <v/>
      </c>
      <c r="G2680" s="32">
        <f>IF($N2680="","",IF(INDEX(LdBNote,$N2680)="","—",INDEX(LdBNote,$N2680)))</f>
        <v/>
      </c>
      <c r="N2680">
        <f>IFERROR(MATCH($C$5&amp;"|"&amp;RIGHT("000000"&amp;660,6),LdBKeyG,0),"")</f>
        <v/>
      </c>
    </row>
    <row r="2681">
      <c r="A2681" s="10" t="n">
        <v>661</v>
      </c>
      <c r="B2681" s="14">
        <f>IF($N2681="","",INDEX(LdBDate,$N2681))</f>
        <v/>
      </c>
      <c r="C2681" s="14">
        <f>IF($N2681="","",IF(INDEX(LdBId,$N2681)="","—",INDEX(LdBId,$N2681)))</f>
        <v/>
      </c>
      <c r="D2681" s="14">
        <f>IF($N2681="","",INDEX(LdBMember,$N2681))</f>
        <v/>
      </c>
      <c r="E2681" s="14">
        <f>IF($N2681="","",IFERROR(IF(VLOOKUP(INDEX(LdBMember,$N2681),AcctTblE,4,0)="","(بدون نام)",VLOOKUP(INDEX(LdBMember,$N2681),AcctTblE,4,0)),"—"))</f>
        <v/>
      </c>
      <c r="F2681" s="16">
        <f>IF($N2681="","",IF(INDEX(LdBAmt,$N2681)=0,"",INDEX(LdBAmt,$N2681)))</f>
        <v/>
      </c>
      <c r="G2681" s="30">
        <f>IF($N2681="","",IF(INDEX(LdBNote,$N2681)="","—",INDEX(LdBNote,$N2681)))</f>
        <v/>
      </c>
      <c r="N2681">
        <f>IFERROR(MATCH($C$5&amp;"|"&amp;RIGHT("000000"&amp;661,6),LdBKeyG,0),"")</f>
        <v/>
      </c>
    </row>
    <row r="2682">
      <c r="A2682" s="19" t="n">
        <v>662</v>
      </c>
      <c r="B2682" s="20">
        <f>IF($N2682="","",INDEX(LdBDate,$N2682))</f>
        <v/>
      </c>
      <c r="C2682" s="20">
        <f>IF($N2682="","",IF(INDEX(LdBId,$N2682)="","—",INDEX(LdBId,$N2682)))</f>
        <v/>
      </c>
      <c r="D2682" s="20">
        <f>IF($N2682="","",INDEX(LdBMember,$N2682))</f>
        <v/>
      </c>
      <c r="E2682" s="20">
        <f>IF($N2682="","",IFERROR(IF(VLOOKUP(INDEX(LdBMember,$N2682),AcctTblE,4,0)="","(بدون نام)",VLOOKUP(INDEX(LdBMember,$N2682),AcctTblE,4,0)),"—"))</f>
        <v/>
      </c>
      <c r="F2682" s="21">
        <f>IF($N2682="","",IF(INDEX(LdBAmt,$N2682)=0,"",INDEX(LdBAmt,$N2682)))</f>
        <v/>
      </c>
      <c r="G2682" s="32">
        <f>IF($N2682="","",IF(INDEX(LdBNote,$N2682)="","—",INDEX(LdBNote,$N2682)))</f>
        <v/>
      </c>
      <c r="N2682">
        <f>IFERROR(MATCH($C$5&amp;"|"&amp;RIGHT("000000"&amp;662,6),LdBKeyG,0),"")</f>
        <v/>
      </c>
    </row>
    <row r="2683">
      <c r="A2683" s="10" t="n">
        <v>663</v>
      </c>
      <c r="B2683" s="14">
        <f>IF($N2683="","",INDEX(LdBDate,$N2683))</f>
        <v/>
      </c>
      <c r="C2683" s="14">
        <f>IF($N2683="","",IF(INDEX(LdBId,$N2683)="","—",INDEX(LdBId,$N2683)))</f>
        <v/>
      </c>
      <c r="D2683" s="14">
        <f>IF($N2683="","",INDEX(LdBMember,$N2683))</f>
        <v/>
      </c>
      <c r="E2683" s="14">
        <f>IF($N2683="","",IFERROR(IF(VLOOKUP(INDEX(LdBMember,$N2683),AcctTblE,4,0)="","(بدون نام)",VLOOKUP(INDEX(LdBMember,$N2683),AcctTblE,4,0)),"—"))</f>
        <v/>
      </c>
      <c r="F2683" s="16">
        <f>IF($N2683="","",IF(INDEX(LdBAmt,$N2683)=0,"",INDEX(LdBAmt,$N2683)))</f>
        <v/>
      </c>
      <c r="G2683" s="30">
        <f>IF($N2683="","",IF(INDEX(LdBNote,$N2683)="","—",INDEX(LdBNote,$N2683)))</f>
        <v/>
      </c>
      <c r="N2683">
        <f>IFERROR(MATCH($C$5&amp;"|"&amp;RIGHT("000000"&amp;663,6),LdBKeyG,0),"")</f>
        <v/>
      </c>
    </row>
    <row r="2684">
      <c r="A2684" s="19" t="n">
        <v>664</v>
      </c>
      <c r="B2684" s="20">
        <f>IF($N2684="","",INDEX(LdBDate,$N2684))</f>
        <v/>
      </c>
      <c r="C2684" s="20">
        <f>IF($N2684="","",IF(INDEX(LdBId,$N2684)="","—",INDEX(LdBId,$N2684)))</f>
        <v/>
      </c>
      <c r="D2684" s="20">
        <f>IF($N2684="","",INDEX(LdBMember,$N2684))</f>
        <v/>
      </c>
      <c r="E2684" s="20">
        <f>IF($N2684="","",IFERROR(IF(VLOOKUP(INDEX(LdBMember,$N2684),AcctTblE,4,0)="","(بدون نام)",VLOOKUP(INDEX(LdBMember,$N2684),AcctTblE,4,0)),"—"))</f>
        <v/>
      </c>
      <c r="F2684" s="21">
        <f>IF($N2684="","",IF(INDEX(LdBAmt,$N2684)=0,"",INDEX(LdBAmt,$N2684)))</f>
        <v/>
      </c>
      <c r="G2684" s="32">
        <f>IF($N2684="","",IF(INDEX(LdBNote,$N2684)="","—",INDEX(LdBNote,$N2684)))</f>
        <v/>
      </c>
      <c r="N2684">
        <f>IFERROR(MATCH($C$5&amp;"|"&amp;RIGHT("000000"&amp;664,6),LdBKeyG,0),"")</f>
        <v/>
      </c>
    </row>
    <row r="2685">
      <c r="A2685" s="10" t="n">
        <v>665</v>
      </c>
      <c r="B2685" s="14">
        <f>IF($N2685="","",INDEX(LdBDate,$N2685))</f>
        <v/>
      </c>
      <c r="C2685" s="14">
        <f>IF($N2685="","",IF(INDEX(LdBId,$N2685)="","—",INDEX(LdBId,$N2685)))</f>
        <v/>
      </c>
      <c r="D2685" s="14">
        <f>IF($N2685="","",INDEX(LdBMember,$N2685))</f>
        <v/>
      </c>
      <c r="E2685" s="14">
        <f>IF($N2685="","",IFERROR(IF(VLOOKUP(INDEX(LdBMember,$N2685),AcctTblE,4,0)="","(بدون نام)",VLOOKUP(INDEX(LdBMember,$N2685),AcctTblE,4,0)),"—"))</f>
        <v/>
      </c>
      <c r="F2685" s="16">
        <f>IF($N2685="","",IF(INDEX(LdBAmt,$N2685)=0,"",INDEX(LdBAmt,$N2685)))</f>
        <v/>
      </c>
      <c r="G2685" s="30">
        <f>IF($N2685="","",IF(INDEX(LdBNote,$N2685)="","—",INDEX(LdBNote,$N2685)))</f>
        <v/>
      </c>
      <c r="N2685">
        <f>IFERROR(MATCH($C$5&amp;"|"&amp;RIGHT("000000"&amp;665,6),LdBKeyG,0),"")</f>
        <v/>
      </c>
    </row>
    <row r="2686">
      <c r="A2686" s="19" t="n">
        <v>666</v>
      </c>
      <c r="B2686" s="20">
        <f>IF($N2686="","",INDEX(LdBDate,$N2686))</f>
        <v/>
      </c>
      <c r="C2686" s="20">
        <f>IF($N2686="","",IF(INDEX(LdBId,$N2686)="","—",INDEX(LdBId,$N2686)))</f>
        <v/>
      </c>
      <c r="D2686" s="20">
        <f>IF($N2686="","",INDEX(LdBMember,$N2686))</f>
        <v/>
      </c>
      <c r="E2686" s="20">
        <f>IF($N2686="","",IFERROR(IF(VLOOKUP(INDEX(LdBMember,$N2686),AcctTblE,4,0)="","(بدون نام)",VLOOKUP(INDEX(LdBMember,$N2686),AcctTblE,4,0)),"—"))</f>
        <v/>
      </c>
      <c r="F2686" s="21">
        <f>IF($N2686="","",IF(INDEX(LdBAmt,$N2686)=0,"",INDEX(LdBAmt,$N2686)))</f>
        <v/>
      </c>
      <c r="G2686" s="32">
        <f>IF($N2686="","",IF(INDEX(LdBNote,$N2686)="","—",INDEX(LdBNote,$N2686)))</f>
        <v/>
      </c>
      <c r="N2686">
        <f>IFERROR(MATCH($C$5&amp;"|"&amp;RIGHT("000000"&amp;666,6),LdBKeyG,0),"")</f>
        <v/>
      </c>
    </row>
    <row r="2687">
      <c r="A2687" s="10" t="n">
        <v>667</v>
      </c>
      <c r="B2687" s="14">
        <f>IF($N2687="","",INDEX(LdBDate,$N2687))</f>
        <v/>
      </c>
      <c r="C2687" s="14">
        <f>IF($N2687="","",IF(INDEX(LdBId,$N2687)="","—",INDEX(LdBId,$N2687)))</f>
        <v/>
      </c>
      <c r="D2687" s="14">
        <f>IF($N2687="","",INDEX(LdBMember,$N2687))</f>
        <v/>
      </c>
      <c r="E2687" s="14">
        <f>IF($N2687="","",IFERROR(IF(VLOOKUP(INDEX(LdBMember,$N2687),AcctTblE,4,0)="","(بدون نام)",VLOOKUP(INDEX(LdBMember,$N2687),AcctTblE,4,0)),"—"))</f>
        <v/>
      </c>
      <c r="F2687" s="16">
        <f>IF($N2687="","",IF(INDEX(LdBAmt,$N2687)=0,"",INDEX(LdBAmt,$N2687)))</f>
        <v/>
      </c>
      <c r="G2687" s="30">
        <f>IF($N2687="","",IF(INDEX(LdBNote,$N2687)="","—",INDEX(LdBNote,$N2687)))</f>
        <v/>
      </c>
      <c r="N2687">
        <f>IFERROR(MATCH($C$5&amp;"|"&amp;RIGHT("000000"&amp;667,6),LdBKeyG,0),"")</f>
        <v/>
      </c>
    </row>
    <row r="2688">
      <c r="A2688" s="19" t="n">
        <v>668</v>
      </c>
      <c r="B2688" s="20">
        <f>IF($N2688="","",INDEX(LdBDate,$N2688))</f>
        <v/>
      </c>
      <c r="C2688" s="20">
        <f>IF($N2688="","",IF(INDEX(LdBId,$N2688)="","—",INDEX(LdBId,$N2688)))</f>
        <v/>
      </c>
      <c r="D2688" s="20">
        <f>IF($N2688="","",INDEX(LdBMember,$N2688))</f>
        <v/>
      </c>
      <c r="E2688" s="20">
        <f>IF($N2688="","",IFERROR(IF(VLOOKUP(INDEX(LdBMember,$N2688),AcctTblE,4,0)="","(بدون نام)",VLOOKUP(INDEX(LdBMember,$N2688),AcctTblE,4,0)),"—"))</f>
        <v/>
      </c>
      <c r="F2688" s="21">
        <f>IF($N2688="","",IF(INDEX(LdBAmt,$N2688)=0,"",INDEX(LdBAmt,$N2688)))</f>
        <v/>
      </c>
      <c r="G2688" s="32">
        <f>IF($N2688="","",IF(INDEX(LdBNote,$N2688)="","—",INDEX(LdBNote,$N2688)))</f>
        <v/>
      </c>
      <c r="N2688">
        <f>IFERROR(MATCH($C$5&amp;"|"&amp;RIGHT("000000"&amp;668,6),LdBKeyG,0),"")</f>
        <v/>
      </c>
    </row>
    <row r="2689">
      <c r="A2689" s="10" t="n">
        <v>669</v>
      </c>
      <c r="B2689" s="14">
        <f>IF($N2689="","",INDEX(LdBDate,$N2689))</f>
        <v/>
      </c>
      <c r="C2689" s="14">
        <f>IF($N2689="","",IF(INDEX(LdBId,$N2689)="","—",INDEX(LdBId,$N2689)))</f>
        <v/>
      </c>
      <c r="D2689" s="14">
        <f>IF($N2689="","",INDEX(LdBMember,$N2689))</f>
        <v/>
      </c>
      <c r="E2689" s="14">
        <f>IF($N2689="","",IFERROR(IF(VLOOKUP(INDEX(LdBMember,$N2689),AcctTblE,4,0)="","(بدون نام)",VLOOKUP(INDEX(LdBMember,$N2689),AcctTblE,4,0)),"—"))</f>
        <v/>
      </c>
      <c r="F2689" s="16">
        <f>IF($N2689="","",IF(INDEX(LdBAmt,$N2689)=0,"",INDEX(LdBAmt,$N2689)))</f>
        <v/>
      </c>
      <c r="G2689" s="30">
        <f>IF($N2689="","",IF(INDEX(LdBNote,$N2689)="","—",INDEX(LdBNote,$N2689)))</f>
        <v/>
      </c>
      <c r="N2689">
        <f>IFERROR(MATCH($C$5&amp;"|"&amp;RIGHT("000000"&amp;669,6),LdBKeyG,0),"")</f>
        <v/>
      </c>
    </row>
    <row r="2690">
      <c r="A2690" s="19" t="n">
        <v>670</v>
      </c>
      <c r="B2690" s="20">
        <f>IF($N2690="","",INDEX(LdBDate,$N2690))</f>
        <v/>
      </c>
      <c r="C2690" s="20">
        <f>IF($N2690="","",IF(INDEX(LdBId,$N2690)="","—",INDEX(LdBId,$N2690)))</f>
        <v/>
      </c>
      <c r="D2690" s="20">
        <f>IF($N2690="","",INDEX(LdBMember,$N2690))</f>
        <v/>
      </c>
      <c r="E2690" s="20">
        <f>IF($N2690="","",IFERROR(IF(VLOOKUP(INDEX(LdBMember,$N2690),AcctTblE,4,0)="","(بدون نام)",VLOOKUP(INDEX(LdBMember,$N2690),AcctTblE,4,0)),"—"))</f>
        <v/>
      </c>
      <c r="F2690" s="21">
        <f>IF($N2690="","",IF(INDEX(LdBAmt,$N2690)=0,"",INDEX(LdBAmt,$N2690)))</f>
        <v/>
      </c>
      <c r="G2690" s="32">
        <f>IF($N2690="","",IF(INDEX(LdBNote,$N2690)="","—",INDEX(LdBNote,$N2690)))</f>
        <v/>
      </c>
      <c r="N2690">
        <f>IFERROR(MATCH($C$5&amp;"|"&amp;RIGHT("000000"&amp;670,6),LdBKeyG,0),"")</f>
        <v/>
      </c>
    </row>
    <row r="2691">
      <c r="A2691" s="10" t="n">
        <v>671</v>
      </c>
      <c r="B2691" s="14">
        <f>IF($N2691="","",INDEX(LdBDate,$N2691))</f>
        <v/>
      </c>
      <c r="C2691" s="14">
        <f>IF($N2691="","",IF(INDEX(LdBId,$N2691)="","—",INDEX(LdBId,$N2691)))</f>
        <v/>
      </c>
      <c r="D2691" s="14">
        <f>IF($N2691="","",INDEX(LdBMember,$N2691))</f>
        <v/>
      </c>
      <c r="E2691" s="14">
        <f>IF($N2691="","",IFERROR(IF(VLOOKUP(INDEX(LdBMember,$N2691),AcctTblE,4,0)="","(بدون نام)",VLOOKUP(INDEX(LdBMember,$N2691),AcctTblE,4,0)),"—"))</f>
        <v/>
      </c>
      <c r="F2691" s="16">
        <f>IF($N2691="","",IF(INDEX(LdBAmt,$N2691)=0,"",INDEX(LdBAmt,$N2691)))</f>
        <v/>
      </c>
      <c r="G2691" s="30">
        <f>IF($N2691="","",IF(INDEX(LdBNote,$N2691)="","—",INDEX(LdBNote,$N2691)))</f>
        <v/>
      </c>
      <c r="N2691">
        <f>IFERROR(MATCH($C$5&amp;"|"&amp;RIGHT("000000"&amp;671,6),LdBKeyG,0),"")</f>
        <v/>
      </c>
    </row>
    <row r="2692">
      <c r="A2692" s="19" t="n">
        <v>672</v>
      </c>
      <c r="B2692" s="20">
        <f>IF($N2692="","",INDEX(LdBDate,$N2692))</f>
        <v/>
      </c>
      <c r="C2692" s="20">
        <f>IF($N2692="","",IF(INDEX(LdBId,$N2692)="","—",INDEX(LdBId,$N2692)))</f>
        <v/>
      </c>
      <c r="D2692" s="20">
        <f>IF($N2692="","",INDEX(LdBMember,$N2692))</f>
        <v/>
      </c>
      <c r="E2692" s="20">
        <f>IF($N2692="","",IFERROR(IF(VLOOKUP(INDEX(LdBMember,$N2692),AcctTblE,4,0)="","(بدون نام)",VLOOKUP(INDEX(LdBMember,$N2692),AcctTblE,4,0)),"—"))</f>
        <v/>
      </c>
      <c r="F2692" s="21">
        <f>IF($N2692="","",IF(INDEX(LdBAmt,$N2692)=0,"",INDEX(LdBAmt,$N2692)))</f>
        <v/>
      </c>
      <c r="G2692" s="32">
        <f>IF($N2692="","",IF(INDEX(LdBNote,$N2692)="","—",INDEX(LdBNote,$N2692)))</f>
        <v/>
      </c>
      <c r="N2692">
        <f>IFERROR(MATCH($C$5&amp;"|"&amp;RIGHT("000000"&amp;672,6),LdBKeyG,0),"")</f>
        <v/>
      </c>
    </row>
    <row r="2693">
      <c r="A2693" s="10" t="n">
        <v>673</v>
      </c>
      <c r="B2693" s="14">
        <f>IF($N2693="","",INDEX(LdBDate,$N2693))</f>
        <v/>
      </c>
      <c r="C2693" s="14">
        <f>IF($N2693="","",IF(INDEX(LdBId,$N2693)="","—",INDEX(LdBId,$N2693)))</f>
        <v/>
      </c>
      <c r="D2693" s="14">
        <f>IF($N2693="","",INDEX(LdBMember,$N2693))</f>
        <v/>
      </c>
      <c r="E2693" s="14">
        <f>IF($N2693="","",IFERROR(IF(VLOOKUP(INDEX(LdBMember,$N2693),AcctTblE,4,0)="","(بدون نام)",VLOOKUP(INDEX(LdBMember,$N2693),AcctTblE,4,0)),"—"))</f>
        <v/>
      </c>
      <c r="F2693" s="16">
        <f>IF($N2693="","",IF(INDEX(LdBAmt,$N2693)=0,"",INDEX(LdBAmt,$N2693)))</f>
        <v/>
      </c>
      <c r="G2693" s="30">
        <f>IF($N2693="","",IF(INDEX(LdBNote,$N2693)="","—",INDEX(LdBNote,$N2693)))</f>
        <v/>
      </c>
      <c r="N2693">
        <f>IFERROR(MATCH($C$5&amp;"|"&amp;RIGHT("000000"&amp;673,6),LdBKeyG,0),"")</f>
        <v/>
      </c>
    </row>
    <row r="2694">
      <c r="A2694" s="19" t="n">
        <v>674</v>
      </c>
      <c r="B2694" s="20">
        <f>IF($N2694="","",INDEX(LdBDate,$N2694))</f>
        <v/>
      </c>
      <c r="C2694" s="20">
        <f>IF($N2694="","",IF(INDEX(LdBId,$N2694)="","—",INDEX(LdBId,$N2694)))</f>
        <v/>
      </c>
      <c r="D2694" s="20">
        <f>IF($N2694="","",INDEX(LdBMember,$N2694))</f>
        <v/>
      </c>
      <c r="E2694" s="20">
        <f>IF($N2694="","",IFERROR(IF(VLOOKUP(INDEX(LdBMember,$N2694),AcctTblE,4,0)="","(بدون نام)",VLOOKUP(INDEX(LdBMember,$N2694),AcctTblE,4,0)),"—"))</f>
        <v/>
      </c>
      <c r="F2694" s="21">
        <f>IF($N2694="","",IF(INDEX(LdBAmt,$N2694)=0,"",INDEX(LdBAmt,$N2694)))</f>
        <v/>
      </c>
      <c r="G2694" s="32">
        <f>IF($N2694="","",IF(INDEX(LdBNote,$N2694)="","—",INDEX(LdBNote,$N2694)))</f>
        <v/>
      </c>
      <c r="N2694">
        <f>IFERROR(MATCH($C$5&amp;"|"&amp;RIGHT("000000"&amp;674,6),LdBKeyG,0),"")</f>
        <v/>
      </c>
    </row>
    <row r="2695">
      <c r="A2695" s="10" t="n">
        <v>675</v>
      </c>
      <c r="B2695" s="14">
        <f>IF($N2695="","",INDEX(LdBDate,$N2695))</f>
        <v/>
      </c>
      <c r="C2695" s="14">
        <f>IF($N2695="","",IF(INDEX(LdBId,$N2695)="","—",INDEX(LdBId,$N2695)))</f>
        <v/>
      </c>
      <c r="D2695" s="14">
        <f>IF($N2695="","",INDEX(LdBMember,$N2695))</f>
        <v/>
      </c>
      <c r="E2695" s="14">
        <f>IF($N2695="","",IFERROR(IF(VLOOKUP(INDEX(LdBMember,$N2695),AcctTblE,4,0)="","(بدون نام)",VLOOKUP(INDEX(LdBMember,$N2695),AcctTblE,4,0)),"—"))</f>
        <v/>
      </c>
      <c r="F2695" s="16">
        <f>IF($N2695="","",IF(INDEX(LdBAmt,$N2695)=0,"",INDEX(LdBAmt,$N2695)))</f>
        <v/>
      </c>
      <c r="G2695" s="30">
        <f>IF($N2695="","",IF(INDEX(LdBNote,$N2695)="","—",INDEX(LdBNote,$N2695)))</f>
        <v/>
      </c>
      <c r="N2695">
        <f>IFERROR(MATCH($C$5&amp;"|"&amp;RIGHT("000000"&amp;675,6),LdBKeyG,0),"")</f>
        <v/>
      </c>
    </row>
    <row r="2696">
      <c r="A2696" s="19" t="n">
        <v>676</v>
      </c>
      <c r="B2696" s="20">
        <f>IF($N2696="","",INDEX(LdBDate,$N2696))</f>
        <v/>
      </c>
      <c r="C2696" s="20">
        <f>IF($N2696="","",IF(INDEX(LdBId,$N2696)="","—",INDEX(LdBId,$N2696)))</f>
        <v/>
      </c>
      <c r="D2696" s="20">
        <f>IF($N2696="","",INDEX(LdBMember,$N2696))</f>
        <v/>
      </c>
      <c r="E2696" s="20">
        <f>IF($N2696="","",IFERROR(IF(VLOOKUP(INDEX(LdBMember,$N2696),AcctTblE,4,0)="","(بدون نام)",VLOOKUP(INDEX(LdBMember,$N2696),AcctTblE,4,0)),"—"))</f>
        <v/>
      </c>
      <c r="F2696" s="21">
        <f>IF($N2696="","",IF(INDEX(LdBAmt,$N2696)=0,"",INDEX(LdBAmt,$N2696)))</f>
        <v/>
      </c>
      <c r="G2696" s="32">
        <f>IF($N2696="","",IF(INDEX(LdBNote,$N2696)="","—",INDEX(LdBNote,$N2696)))</f>
        <v/>
      </c>
      <c r="N2696">
        <f>IFERROR(MATCH($C$5&amp;"|"&amp;RIGHT("000000"&amp;676,6),LdBKeyG,0),"")</f>
        <v/>
      </c>
    </row>
    <row r="2697">
      <c r="A2697" s="10" t="n">
        <v>677</v>
      </c>
      <c r="B2697" s="14">
        <f>IF($N2697="","",INDEX(LdBDate,$N2697))</f>
        <v/>
      </c>
      <c r="C2697" s="14">
        <f>IF($N2697="","",IF(INDEX(LdBId,$N2697)="","—",INDEX(LdBId,$N2697)))</f>
        <v/>
      </c>
      <c r="D2697" s="14">
        <f>IF($N2697="","",INDEX(LdBMember,$N2697))</f>
        <v/>
      </c>
      <c r="E2697" s="14">
        <f>IF($N2697="","",IFERROR(IF(VLOOKUP(INDEX(LdBMember,$N2697),AcctTblE,4,0)="","(بدون نام)",VLOOKUP(INDEX(LdBMember,$N2697),AcctTblE,4,0)),"—"))</f>
        <v/>
      </c>
      <c r="F2697" s="16">
        <f>IF($N2697="","",IF(INDEX(LdBAmt,$N2697)=0,"",INDEX(LdBAmt,$N2697)))</f>
        <v/>
      </c>
      <c r="G2697" s="30">
        <f>IF($N2697="","",IF(INDEX(LdBNote,$N2697)="","—",INDEX(LdBNote,$N2697)))</f>
        <v/>
      </c>
      <c r="N2697">
        <f>IFERROR(MATCH($C$5&amp;"|"&amp;RIGHT("000000"&amp;677,6),LdBKeyG,0),"")</f>
        <v/>
      </c>
    </row>
    <row r="2698">
      <c r="A2698" s="19" t="n">
        <v>678</v>
      </c>
      <c r="B2698" s="20">
        <f>IF($N2698="","",INDEX(LdBDate,$N2698))</f>
        <v/>
      </c>
      <c r="C2698" s="20">
        <f>IF($N2698="","",IF(INDEX(LdBId,$N2698)="","—",INDEX(LdBId,$N2698)))</f>
        <v/>
      </c>
      <c r="D2698" s="20">
        <f>IF($N2698="","",INDEX(LdBMember,$N2698))</f>
        <v/>
      </c>
      <c r="E2698" s="20">
        <f>IF($N2698="","",IFERROR(IF(VLOOKUP(INDEX(LdBMember,$N2698),AcctTblE,4,0)="","(بدون نام)",VLOOKUP(INDEX(LdBMember,$N2698),AcctTblE,4,0)),"—"))</f>
        <v/>
      </c>
      <c r="F2698" s="21">
        <f>IF($N2698="","",IF(INDEX(LdBAmt,$N2698)=0,"",INDEX(LdBAmt,$N2698)))</f>
        <v/>
      </c>
      <c r="G2698" s="32">
        <f>IF($N2698="","",IF(INDEX(LdBNote,$N2698)="","—",INDEX(LdBNote,$N2698)))</f>
        <v/>
      </c>
      <c r="N2698">
        <f>IFERROR(MATCH($C$5&amp;"|"&amp;RIGHT("000000"&amp;678,6),LdBKeyG,0),"")</f>
        <v/>
      </c>
    </row>
    <row r="2699">
      <c r="A2699" s="10" t="n">
        <v>679</v>
      </c>
      <c r="B2699" s="14">
        <f>IF($N2699="","",INDEX(LdBDate,$N2699))</f>
        <v/>
      </c>
      <c r="C2699" s="14">
        <f>IF($N2699="","",IF(INDEX(LdBId,$N2699)="","—",INDEX(LdBId,$N2699)))</f>
        <v/>
      </c>
      <c r="D2699" s="14">
        <f>IF($N2699="","",INDEX(LdBMember,$N2699))</f>
        <v/>
      </c>
      <c r="E2699" s="14">
        <f>IF($N2699="","",IFERROR(IF(VLOOKUP(INDEX(LdBMember,$N2699),AcctTblE,4,0)="","(بدون نام)",VLOOKUP(INDEX(LdBMember,$N2699),AcctTblE,4,0)),"—"))</f>
        <v/>
      </c>
      <c r="F2699" s="16">
        <f>IF($N2699="","",IF(INDEX(LdBAmt,$N2699)=0,"",INDEX(LdBAmt,$N2699)))</f>
        <v/>
      </c>
      <c r="G2699" s="30">
        <f>IF($N2699="","",IF(INDEX(LdBNote,$N2699)="","—",INDEX(LdBNote,$N2699)))</f>
        <v/>
      </c>
      <c r="N2699">
        <f>IFERROR(MATCH($C$5&amp;"|"&amp;RIGHT("000000"&amp;679,6),LdBKeyG,0),"")</f>
        <v/>
      </c>
    </row>
    <row r="2700">
      <c r="A2700" s="19" t="n">
        <v>680</v>
      </c>
      <c r="B2700" s="20">
        <f>IF($N2700="","",INDEX(LdBDate,$N2700))</f>
        <v/>
      </c>
      <c r="C2700" s="20">
        <f>IF($N2700="","",IF(INDEX(LdBId,$N2700)="","—",INDEX(LdBId,$N2700)))</f>
        <v/>
      </c>
      <c r="D2700" s="20">
        <f>IF($N2700="","",INDEX(LdBMember,$N2700))</f>
        <v/>
      </c>
      <c r="E2700" s="20">
        <f>IF($N2700="","",IFERROR(IF(VLOOKUP(INDEX(LdBMember,$N2700),AcctTblE,4,0)="","(بدون نام)",VLOOKUP(INDEX(LdBMember,$N2700),AcctTblE,4,0)),"—"))</f>
        <v/>
      </c>
      <c r="F2700" s="21">
        <f>IF($N2700="","",IF(INDEX(LdBAmt,$N2700)=0,"",INDEX(LdBAmt,$N2700)))</f>
        <v/>
      </c>
      <c r="G2700" s="32">
        <f>IF($N2700="","",IF(INDEX(LdBNote,$N2700)="","—",INDEX(LdBNote,$N2700)))</f>
        <v/>
      </c>
      <c r="N2700">
        <f>IFERROR(MATCH($C$5&amp;"|"&amp;RIGHT("000000"&amp;680,6),LdBKeyG,0),"")</f>
        <v/>
      </c>
    </row>
    <row r="2701">
      <c r="A2701" s="10" t="n">
        <v>681</v>
      </c>
      <c r="B2701" s="14">
        <f>IF($N2701="","",INDEX(LdBDate,$N2701))</f>
        <v/>
      </c>
      <c r="C2701" s="14">
        <f>IF($N2701="","",IF(INDEX(LdBId,$N2701)="","—",INDEX(LdBId,$N2701)))</f>
        <v/>
      </c>
      <c r="D2701" s="14">
        <f>IF($N2701="","",INDEX(LdBMember,$N2701))</f>
        <v/>
      </c>
      <c r="E2701" s="14">
        <f>IF($N2701="","",IFERROR(IF(VLOOKUP(INDEX(LdBMember,$N2701),AcctTblE,4,0)="","(بدون نام)",VLOOKUP(INDEX(LdBMember,$N2701),AcctTblE,4,0)),"—"))</f>
        <v/>
      </c>
      <c r="F2701" s="16">
        <f>IF($N2701="","",IF(INDEX(LdBAmt,$N2701)=0,"",INDEX(LdBAmt,$N2701)))</f>
        <v/>
      </c>
      <c r="G2701" s="30">
        <f>IF($N2701="","",IF(INDEX(LdBNote,$N2701)="","—",INDEX(LdBNote,$N2701)))</f>
        <v/>
      </c>
      <c r="N2701">
        <f>IFERROR(MATCH($C$5&amp;"|"&amp;RIGHT("000000"&amp;681,6),LdBKeyG,0),"")</f>
        <v/>
      </c>
    </row>
    <row r="2702">
      <c r="A2702" s="19" t="n">
        <v>682</v>
      </c>
      <c r="B2702" s="20">
        <f>IF($N2702="","",INDEX(LdBDate,$N2702))</f>
        <v/>
      </c>
      <c r="C2702" s="20">
        <f>IF($N2702="","",IF(INDEX(LdBId,$N2702)="","—",INDEX(LdBId,$N2702)))</f>
        <v/>
      </c>
      <c r="D2702" s="20">
        <f>IF($N2702="","",INDEX(LdBMember,$N2702))</f>
        <v/>
      </c>
      <c r="E2702" s="20">
        <f>IF($N2702="","",IFERROR(IF(VLOOKUP(INDEX(LdBMember,$N2702),AcctTblE,4,0)="","(بدون نام)",VLOOKUP(INDEX(LdBMember,$N2702),AcctTblE,4,0)),"—"))</f>
        <v/>
      </c>
      <c r="F2702" s="21">
        <f>IF($N2702="","",IF(INDEX(LdBAmt,$N2702)=0,"",INDEX(LdBAmt,$N2702)))</f>
        <v/>
      </c>
      <c r="G2702" s="32">
        <f>IF($N2702="","",IF(INDEX(LdBNote,$N2702)="","—",INDEX(LdBNote,$N2702)))</f>
        <v/>
      </c>
      <c r="N2702">
        <f>IFERROR(MATCH($C$5&amp;"|"&amp;RIGHT("000000"&amp;682,6),LdBKeyG,0),"")</f>
        <v/>
      </c>
    </row>
    <row r="2703">
      <c r="A2703" s="10" t="n">
        <v>683</v>
      </c>
      <c r="B2703" s="14">
        <f>IF($N2703="","",INDEX(LdBDate,$N2703))</f>
        <v/>
      </c>
      <c r="C2703" s="14">
        <f>IF($N2703="","",IF(INDEX(LdBId,$N2703)="","—",INDEX(LdBId,$N2703)))</f>
        <v/>
      </c>
      <c r="D2703" s="14">
        <f>IF($N2703="","",INDEX(LdBMember,$N2703))</f>
        <v/>
      </c>
      <c r="E2703" s="14">
        <f>IF($N2703="","",IFERROR(IF(VLOOKUP(INDEX(LdBMember,$N2703),AcctTblE,4,0)="","(بدون نام)",VLOOKUP(INDEX(LdBMember,$N2703),AcctTblE,4,0)),"—"))</f>
        <v/>
      </c>
      <c r="F2703" s="16">
        <f>IF($N2703="","",IF(INDEX(LdBAmt,$N2703)=0,"",INDEX(LdBAmt,$N2703)))</f>
        <v/>
      </c>
      <c r="G2703" s="30">
        <f>IF($N2703="","",IF(INDEX(LdBNote,$N2703)="","—",INDEX(LdBNote,$N2703)))</f>
        <v/>
      </c>
      <c r="N2703">
        <f>IFERROR(MATCH($C$5&amp;"|"&amp;RIGHT("000000"&amp;683,6),LdBKeyG,0),"")</f>
        <v/>
      </c>
    </row>
    <row r="2704">
      <c r="A2704" s="19" t="n">
        <v>684</v>
      </c>
      <c r="B2704" s="20">
        <f>IF($N2704="","",INDEX(LdBDate,$N2704))</f>
        <v/>
      </c>
      <c r="C2704" s="20">
        <f>IF($N2704="","",IF(INDEX(LdBId,$N2704)="","—",INDEX(LdBId,$N2704)))</f>
        <v/>
      </c>
      <c r="D2704" s="20">
        <f>IF($N2704="","",INDEX(LdBMember,$N2704))</f>
        <v/>
      </c>
      <c r="E2704" s="20">
        <f>IF($N2704="","",IFERROR(IF(VLOOKUP(INDEX(LdBMember,$N2704),AcctTblE,4,0)="","(بدون نام)",VLOOKUP(INDEX(LdBMember,$N2704),AcctTblE,4,0)),"—"))</f>
        <v/>
      </c>
      <c r="F2704" s="21">
        <f>IF($N2704="","",IF(INDEX(LdBAmt,$N2704)=0,"",INDEX(LdBAmt,$N2704)))</f>
        <v/>
      </c>
      <c r="G2704" s="32">
        <f>IF($N2704="","",IF(INDEX(LdBNote,$N2704)="","—",INDEX(LdBNote,$N2704)))</f>
        <v/>
      </c>
      <c r="N2704">
        <f>IFERROR(MATCH($C$5&amp;"|"&amp;RIGHT("000000"&amp;684,6),LdBKeyG,0),"")</f>
        <v/>
      </c>
    </row>
    <row r="2705">
      <c r="A2705" s="10" t="n">
        <v>685</v>
      </c>
      <c r="B2705" s="14">
        <f>IF($N2705="","",INDEX(LdBDate,$N2705))</f>
        <v/>
      </c>
      <c r="C2705" s="14">
        <f>IF($N2705="","",IF(INDEX(LdBId,$N2705)="","—",INDEX(LdBId,$N2705)))</f>
        <v/>
      </c>
      <c r="D2705" s="14">
        <f>IF($N2705="","",INDEX(LdBMember,$N2705))</f>
        <v/>
      </c>
      <c r="E2705" s="14">
        <f>IF($N2705="","",IFERROR(IF(VLOOKUP(INDEX(LdBMember,$N2705),AcctTblE,4,0)="","(بدون نام)",VLOOKUP(INDEX(LdBMember,$N2705),AcctTblE,4,0)),"—"))</f>
        <v/>
      </c>
      <c r="F2705" s="16">
        <f>IF($N2705="","",IF(INDEX(LdBAmt,$N2705)=0,"",INDEX(LdBAmt,$N2705)))</f>
        <v/>
      </c>
      <c r="G2705" s="30">
        <f>IF($N2705="","",IF(INDEX(LdBNote,$N2705)="","—",INDEX(LdBNote,$N2705)))</f>
        <v/>
      </c>
      <c r="N2705">
        <f>IFERROR(MATCH($C$5&amp;"|"&amp;RIGHT("000000"&amp;685,6),LdBKeyG,0),"")</f>
        <v/>
      </c>
    </row>
    <row r="2706">
      <c r="A2706" s="19" t="n">
        <v>686</v>
      </c>
      <c r="B2706" s="20">
        <f>IF($N2706="","",INDEX(LdBDate,$N2706))</f>
        <v/>
      </c>
      <c r="C2706" s="20">
        <f>IF($N2706="","",IF(INDEX(LdBId,$N2706)="","—",INDEX(LdBId,$N2706)))</f>
        <v/>
      </c>
      <c r="D2706" s="20">
        <f>IF($N2706="","",INDEX(LdBMember,$N2706))</f>
        <v/>
      </c>
      <c r="E2706" s="20">
        <f>IF($N2706="","",IFERROR(IF(VLOOKUP(INDEX(LdBMember,$N2706),AcctTblE,4,0)="","(بدون نام)",VLOOKUP(INDEX(LdBMember,$N2706),AcctTblE,4,0)),"—"))</f>
        <v/>
      </c>
      <c r="F2706" s="21">
        <f>IF($N2706="","",IF(INDEX(LdBAmt,$N2706)=0,"",INDEX(LdBAmt,$N2706)))</f>
        <v/>
      </c>
      <c r="G2706" s="32">
        <f>IF($N2706="","",IF(INDEX(LdBNote,$N2706)="","—",INDEX(LdBNote,$N2706)))</f>
        <v/>
      </c>
      <c r="N2706">
        <f>IFERROR(MATCH($C$5&amp;"|"&amp;RIGHT("000000"&amp;686,6),LdBKeyG,0),"")</f>
        <v/>
      </c>
    </row>
    <row r="2707">
      <c r="A2707" s="10" t="n">
        <v>687</v>
      </c>
      <c r="B2707" s="14">
        <f>IF($N2707="","",INDEX(LdBDate,$N2707))</f>
        <v/>
      </c>
      <c r="C2707" s="14">
        <f>IF($N2707="","",IF(INDEX(LdBId,$N2707)="","—",INDEX(LdBId,$N2707)))</f>
        <v/>
      </c>
      <c r="D2707" s="14">
        <f>IF($N2707="","",INDEX(LdBMember,$N2707))</f>
        <v/>
      </c>
      <c r="E2707" s="14">
        <f>IF($N2707="","",IFERROR(IF(VLOOKUP(INDEX(LdBMember,$N2707),AcctTblE,4,0)="","(بدون نام)",VLOOKUP(INDEX(LdBMember,$N2707),AcctTblE,4,0)),"—"))</f>
        <v/>
      </c>
      <c r="F2707" s="16">
        <f>IF($N2707="","",IF(INDEX(LdBAmt,$N2707)=0,"",INDEX(LdBAmt,$N2707)))</f>
        <v/>
      </c>
      <c r="G2707" s="30">
        <f>IF($N2707="","",IF(INDEX(LdBNote,$N2707)="","—",INDEX(LdBNote,$N2707)))</f>
        <v/>
      </c>
      <c r="N2707">
        <f>IFERROR(MATCH($C$5&amp;"|"&amp;RIGHT("000000"&amp;687,6),LdBKeyG,0),"")</f>
        <v/>
      </c>
    </row>
    <row r="2708">
      <c r="A2708" s="19" t="n">
        <v>688</v>
      </c>
      <c r="B2708" s="20">
        <f>IF($N2708="","",INDEX(LdBDate,$N2708))</f>
        <v/>
      </c>
      <c r="C2708" s="20">
        <f>IF($N2708="","",IF(INDEX(LdBId,$N2708)="","—",INDEX(LdBId,$N2708)))</f>
        <v/>
      </c>
      <c r="D2708" s="20">
        <f>IF($N2708="","",INDEX(LdBMember,$N2708))</f>
        <v/>
      </c>
      <c r="E2708" s="20">
        <f>IF($N2708="","",IFERROR(IF(VLOOKUP(INDEX(LdBMember,$N2708),AcctTblE,4,0)="","(بدون نام)",VLOOKUP(INDEX(LdBMember,$N2708),AcctTblE,4,0)),"—"))</f>
        <v/>
      </c>
      <c r="F2708" s="21">
        <f>IF($N2708="","",IF(INDEX(LdBAmt,$N2708)=0,"",INDEX(LdBAmt,$N2708)))</f>
        <v/>
      </c>
      <c r="G2708" s="32">
        <f>IF($N2708="","",IF(INDEX(LdBNote,$N2708)="","—",INDEX(LdBNote,$N2708)))</f>
        <v/>
      </c>
      <c r="N2708">
        <f>IFERROR(MATCH($C$5&amp;"|"&amp;RIGHT("000000"&amp;688,6),LdBKeyG,0),"")</f>
        <v/>
      </c>
    </row>
    <row r="2709">
      <c r="A2709" s="10" t="n">
        <v>689</v>
      </c>
      <c r="B2709" s="14">
        <f>IF($N2709="","",INDEX(LdBDate,$N2709))</f>
        <v/>
      </c>
      <c r="C2709" s="14">
        <f>IF($N2709="","",IF(INDEX(LdBId,$N2709)="","—",INDEX(LdBId,$N2709)))</f>
        <v/>
      </c>
      <c r="D2709" s="14">
        <f>IF($N2709="","",INDEX(LdBMember,$N2709))</f>
        <v/>
      </c>
      <c r="E2709" s="14">
        <f>IF($N2709="","",IFERROR(IF(VLOOKUP(INDEX(LdBMember,$N2709),AcctTblE,4,0)="","(بدون نام)",VLOOKUP(INDEX(LdBMember,$N2709),AcctTblE,4,0)),"—"))</f>
        <v/>
      </c>
      <c r="F2709" s="16">
        <f>IF($N2709="","",IF(INDEX(LdBAmt,$N2709)=0,"",INDEX(LdBAmt,$N2709)))</f>
        <v/>
      </c>
      <c r="G2709" s="30">
        <f>IF($N2709="","",IF(INDEX(LdBNote,$N2709)="","—",INDEX(LdBNote,$N2709)))</f>
        <v/>
      </c>
      <c r="N2709">
        <f>IFERROR(MATCH($C$5&amp;"|"&amp;RIGHT("000000"&amp;689,6),LdBKeyG,0),"")</f>
        <v/>
      </c>
    </row>
    <row r="2710">
      <c r="A2710" s="19" t="n">
        <v>690</v>
      </c>
      <c r="B2710" s="20">
        <f>IF($N2710="","",INDEX(LdBDate,$N2710))</f>
        <v/>
      </c>
      <c r="C2710" s="20">
        <f>IF($N2710="","",IF(INDEX(LdBId,$N2710)="","—",INDEX(LdBId,$N2710)))</f>
        <v/>
      </c>
      <c r="D2710" s="20">
        <f>IF($N2710="","",INDEX(LdBMember,$N2710))</f>
        <v/>
      </c>
      <c r="E2710" s="20">
        <f>IF($N2710="","",IFERROR(IF(VLOOKUP(INDEX(LdBMember,$N2710),AcctTblE,4,0)="","(بدون نام)",VLOOKUP(INDEX(LdBMember,$N2710),AcctTblE,4,0)),"—"))</f>
        <v/>
      </c>
      <c r="F2710" s="21">
        <f>IF($N2710="","",IF(INDEX(LdBAmt,$N2710)=0,"",INDEX(LdBAmt,$N2710)))</f>
        <v/>
      </c>
      <c r="G2710" s="32">
        <f>IF($N2710="","",IF(INDEX(LdBNote,$N2710)="","—",INDEX(LdBNote,$N2710)))</f>
        <v/>
      </c>
      <c r="N2710">
        <f>IFERROR(MATCH($C$5&amp;"|"&amp;RIGHT("000000"&amp;690,6),LdBKeyG,0),"")</f>
        <v/>
      </c>
    </row>
    <row r="2711">
      <c r="A2711" s="10" t="n">
        <v>691</v>
      </c>
      <c r="B2711" s="14">
        <f>IF($N2711="","",INDEX(LdBDate,$N2711))</f>
        <v/>
      </c>
      <c r="C2711" s="14">
        <f>IF($N2711="","",IF(INDEX(LdBId,$N2711)="","—",INDEX(LdBId,$N2711)))</f>
        <v/>
      </c>
      <c r="D2711" s="14">
        <f>IF($N2711="","",INDEX(LdBMember,$N2711))</f>
        <v/>
      </c>
      <c r="E2711" s="14">
        <f>IF($N2711="","",IFERROR(IF(VLOOKUP(INDEX(LdBMember,$N2711),AcctTblE,4,0)="","(بدون نام)",VLOOKUP(INDEX(LdBMember,$N2711),AcctTblE,4,0)),"—"))</f>
        <v/>
      </c>
      <c r="F2711" s="16">
        <f>IF($N2711="","",IF(INDEX(LdBAmt,$N2711)=0,"",INDEX(LdBAmt,$N2711)))</f>
        <v/>
      </c>
      <c r="G2711" s="30">
        <f>IF($N2711="","",IF(INDEX(LdBNote,$N2711)="","—",INDEX(LdBNote,$N2711)))</f>
        <v/>
      </c>
      <c r="N2711">
        <f>IFERROR(MATCH($C$5&amp;"|"&amp;RIGHT("000000"&amp;691,6),LdBKeyG,0),"")</f>
        <v/>
      </c>
    </row>
    <row r="2712">
      <c r="A2712" s="19" t="n">
        <v>692</v>
      </c>
      <c r="B2712" s="20">
        <f>IF($N2712="","",INDEX(LdBDate,$N2712))</f>
        <v/>
      </c>
      <c r="C2712" s="20">
        <f>IF($N2712="","",IF(INDEX(LdBId,$N2712)="","—",INDEX(LdBId,$N2712)))</f>
        <v/>
      </c>
      <c r="D2712" s="20">
        <f>IF($N2712="","",INDEX(LdBMember,$N2712))</f>
        <v/>
      </c>
      <c r="E2712" s="20">
        <f>IF($N2712="","",IFERROR(IF(VLOOKUP(INDEX(LdBMember,$N2712),AcctTblE,4,0)="","(بدون نام)",VLOOKUP(INDEX(LdBMember,$N2712),AcctTblE,4,0)),"—"))</f>
        <v/>
      </c>
      <c r="F2712" s="21">
        <f>IF($N2712="","",IF(INDEX(LdBAmt,$N2712)=0,"",INDEX(LdBAmt,$N2712)))</f>
        <v/>
      </c>
      <c r="G2712" s="32">
        <f>IF($N2712="","",IF(INDEX(LdBNote,$N2712)="","—",INDEX(LdBNote,$N2712)))</f>
        <v/>
      </c>
      <c r="N2712">
        <f>IFERROR(MATCH($C$5&amp;"|"&amp;RIGHT("000000"&amp;692,6),LdBKeyG,0),"")</f>
        <v/>
      </c>
    </row>
    <row r="2713">
      <c r="A2713" s="10" t="n">
        <v>693</v>
      </c>
      <c r="B2713" s="14">
        <f>IF($N2713="","",INDEX(LdBDate,$N2713))</f>
        <v/>
      </c>
      <c r="C2713" s="14">
        <f>IF($N2713="","",IF(INDEX(LdBId,$N2713)="","—",INDEX(LdBId,$N2713)))</f>
        <v/>
      </c>
      <c r="D2713" s="14">
        <f>IF($N2713="","",INDEX(LdBMember,$N2713))</f>
        <v/>
      </c>
      <c r="E2713" s="14">
        <f>IF($N2713="","",IFERROR(IF(VLOOKUP(INDEX(LdBMember,$N2713),AcctTblE,4,0)="","(بدون نام)",VLOOKUP(INDEX(LdBMember,$N2713),AcctTblE,4,0)),"—"))</f>
        <v/>
      </c>
      <c r="F2713" s="16">
        <f>IF($N2713="","",IF(INDEX(LdBAmt,$N2713)=0,"",INDEX(LdBAmt,$N2713)))</f>
        <v/>
      </c>
      <c r="G2713" s="30">
        <f>IF($N2713="","",IF(INDEX(LdBNote,$N2713)="","—",INDEX(LdBNote,$N2713)))</f>
        <v/>
      </c>
      <c r="N2713">
        <f>IFERROR(MATCH($C$5&amp;"|"&amp;RIGHT("000000"&amp;693,6),LdBKeyG,0),"")</f>
        <v/>
      </c>
    </row>
    <row r="2714">
      <c r="A2714" s="19" t="n">
        <v>694</v>
      </c>
      <c r="B2714" s="20">
        <f>IF($N2714="","",INDEX(LdBDate,$N2714))</f>
        <v/>
      </c>
      <c r="C2714" s="20">
        <f>IF($N2714="","",IF(INDEX(LdBId,$N2714)="","—",INDEX(LdBId,$N2714)))</f>
        <v/>
      </c>
      <c r="D2714" s="20">
        <f>IF($N2714="","",INDEX(LdBMember,$N2714))</f>
        <v/>
      </c>
      <c r="E2714" s="20">
        <f>IF($N2714="","",IFERROR(IF(VLOOKUP(INDEX(LdBMember,$N2714),AcctTblE,4,0)="","(بدون نام)",VLOOKUP(INDEX(LdBMember,$N2714),AcctTblE,4,0)),"—"))</f>
        <v/>
      </c>
      <c r="F2714" s="21">
        <f>IF($N2714="","",IF(INDEX(LdBAmt,$N2714)=0,"",INDEX(LdBAmt,$N2714)))</f>
        <v/>
      </c>
      <c r="G2714" s="32">
        <f>IF($N2714="","",IF(INDEX(LdBNote,$N2714)="","—",INDEX(LdBNote,$N2714)))</f>
        <v/>
      </c>
      <c r="N2714">
        <f>IFERROR(MATCH($C$5&amp;"|"&amp;RIGHT("000000"&amp;694,6),LdBKeyG,0),"")</f>
        <v/>
      </c>
    </row>
    <row r="2715">
      <c r="A2715" s="10" t="n">
        <v>695</v>
      </c>
      <c r="B2715" s="14">
        <f>IF($N2715="","",INDEX(LdBDate,$N2715))</f>
        <v/>
      </c>
      <c r="C2715" s="14">
        <f>IF($N2715="","",IF(INDEX(LdBId,$N2715)="","—",INDEX(LdBId,$N2715)))</f>
        <v/>
      </c>
      <c r="D2715" s="14">
        <f>IF($N2715="","",INDEX(LdBMember,$N2715))</f>
        <v/>
      </c>
      <c r="E2715" s="14">
        <f>IF($N2715="","",IFERROR(IF(VLOOKUP(INDEX(LdBMember,$N2715),AcctTblE,4,0)="","(بدون نام)",VLOOKUP(INDEX(LdBMember,$N2715),AcctTblE,4,0)),"—"))</f>
        <v/>
      </c>
      <c r="F2715" s="16">
        <f>IF($N2715="","",IF(INDEX(LdBAmt,$N2715)=0,"",INDEX(LdBAmt,$N2715)))</f>
        <v/>
      </c>
      <c r="G2715" s="30">
        <f>IF($N2715="","",IF(INDEX(LdBNote,$N2715)="","—",INDEX(LdBNote,$N2715)))</f>
        <v/>
      </c>
      <c r="N2715">
        <f>IFERROR(MATCH($C$5&amp;"|"&amp;RIGHT("000000"&amp;695,6),LdBKeyG,0),"")</f>
        <v/>
      </c>
    </row>
    <row r="2716">
      <c r="A2716" s="19" t="n">
        <v>696</v>
      </c>
      <c r="B2716" s="20">
        <f>IF($N2716="","",INDEX(LdBDate,$N2716))</f>
        <v/>
      </c>
      <c r="C2716" s="20">
        <f>IF($N2716="","",IF(INDEX(LdBId,$N2716)="","—",INDEX(LdBId,$N2716)))</f>
        <v/>
      </c>
      <c r="D2716" s="20">
        <f>IF($N2716="","",INDEX(LdBMember,$N2716))</f>
        <v/>
      </c>
      <c r="E2716" s="20">
        <f>IF($N2716="","",IFERROR(IF(VLOOKUP(INDEX(LdBMember,$N2716),AcctTblE,4,0)="","(بدون نام)",VLOOKUP(INDEX(LdBMember,$N2716),AcctTblE,4,0)),"—"))</f>
        <v/>
      </c>
      <c r="F2716" s="21">
        <f>IF($N2716="","",IF(INDEX(LdBAmt,$N2716)=0,"",INDEX(LdBAmt,$N2716)))</f>
        <v/>
      </c>
      <c r="G2716" s="32">
        <f>IF($N2716="","",IF(INDEX(LdBNote,$N2716)="","—",INDEX(LdBNote,$N2716)))</f>
        <v/>
      </c>
      <c r="N2716">
        <f>IFERROR(MATCH($C$5&amp;"|"&amp;RIGHT("000000"&amp;696,6),LdBKeyG,0),"")</f>
        <v/>
      </c>
    </row>
    <row r="2717">
      <c r="A2717" s="10" t="n">
        <v>697</v>
      </c>
      <c r="B2717" s="14">
        <f>IF($N2717="","",INDEX(LdBDate,$N2717))</f>
        <v/>
      </c>
      <c r="C2717" s="14">
        <f>IF($N2717="","",IF(INDEX(LdBId,$N2717)="","—",INDEX(LdBId,$N2717)))</f>
        <v/>
      </c>
      <c r="D2717" s="14">
        <f>IF($N2717="","",INDEX(LdBMember,$N2717))</f>
        <v/>
      </c>
      <c r="E2717" s="14">
        <f>IF($N2717="","",IFERROR(IF(VLOOKUP(INDEX(LdBMember,$N2717),AcctTblE,4,0)="","(بدون نام)",VLOOKUP(INDEX(LdBMember,$N2717),AcctTblE,4,0)),"—"))</f>
        <v/>
      </c>
      <c r="F2717" s="16">
        <f>IF($N2717="","",IF(INDEX(LdBAmt,$N2717)=0,"",INDEX(LdBAmt,$N2717)))</f>
        <v/>
      </c>
      <c r="G2717" s="30">
        <f>IF($N2717="","",IF(INDEX(LdBNote,$N2717)="","—",INDEX(LdBNote,$N2717)))</f>
        <v/>
      </c>
      <c r="N2717">
        <f>IFERROR(MATCH($C$5&amp;"|"&amp;RIGHT("000000"&amp;697,6),LdBKeyG,0),"")</f>
        <v/>
      </c>
    </row>
    <row r="2718">
      <c r="A2718" s="19" t="n">
        <v>698</v>
      </c>
      <c r="B2718" s="20">
        <f>IF($N2718="","",INDEX(LdBDate,$N2718))</f>
        <v/>
      </c>
      <c r="C2718" s="20">
        <f>IF($N2718="","",IF(INDEX(LdBId,$N2718)="","—",INDEX(LdBId,$N2718)))</f>
        <v/>
      </c>
      <c r="D2718" s="20">
        <f>IF($N2718="","",INDEX(LdBMember,$N2718))</f>
        <v/>
      </c>
      <c r="E2718" s="20">
        <f>IF($N2718="","",IFERROR(IF(VLOOKUP(INDEX(LdBMember,$N2718),AcctTblE,4,0)="","(بدون نام)",VLOOKUP(INDEX(LdBMember,$N2718),AcctTblE,4,0)),"—"))</f>
        <v/>
      </c>
      <c r="F2718" s="21">
        <f>IF($N2718="","",IF(INDEX(LdBAmt,$N2718)=0,"",INDEX(LdBAmt,$N2718)))</f>
        <v/>
      </c>
      <c r="G2718" s="32">
        <f>IF($N2718="","",IF(INDEX(LdBNote,$N2718)="","—",INDEX(LdBNote,$N2718)))</f>
        <v/>
      </c>
      <c r="N2718">
        <f>IFERROR(MATCH($C$5&amp;"|"&amp;RIGHT("000000"&amp;698,6),LdBKeyG,0),"")</f>
        <v/>
      </c>
    </row>
    <row r="2719">
      <c r="A2719" s="10" t="n">
        <v>699</v>
      </c>
      <c r="B2719" s="14">
        <f>IF($N2719="","",INDEX(LdBDate,$N2719))</f>
        <v/>
      </c>
      <c r="C2719" s="14">
        <f>IF($N2719="","",IF(INDEX(LdBId,$N2719)="","—",INDEX(LdBId,$N2719)))</f>
        <v/>
      </c>
      <c r="D2719" s="14">
        <f>IF($N2719="","",INDEX(LdBMember,$N2719))</f>
        <v/>
      </c>
      <c r="E2719" s="14">
        <f>IF($N2719="","",IFERROR(IF(VLOOKUP(INDEX(LdBMember,$N2719),AcctTblE,4,0)="","(بدون نام)",VLOOKUP(INDEX(LdBMember,$N2719),AcctTblE,4,0)),"—"))</f>
        <v/>
      </c>
      <c r="F2719" s="16">
        <f>IF($N2719="","",IF(INDEX(LdBAmt,$N2719)=0,"",INDEX(LdBAmt,$N2719)))</f>
        <v/>
      </c>
      <c r="G2719" s="30">
        <f>IF($N2719="","",IF(INDEX(LdBNote,$N2719)="","—",INDEX(LdBNote,$N2719)))</f>
        <v/>
      </c>
      <c r="N2719">
        <f>IFERROR(MATCH($C$5&amp;"|"&amp;RIGHT("000000"&amp;699,6),LdBKeyG,0),"")</f>
        <v/>
      </c>
    </row>
    <row r="2720">
      <c r="A2720" s="19" t="n">
        <v>700</v>
      </c>
      <c r="B2720" s="20">
        <f>IF($N2720="","",INDEX(LdBDate,$N2720))</f>
        <v/>
      </c>
      <c r="C2720" s="20">
        <f>IF($N2720="","",IF(INDEX(LdBId,$N2720)="","—",INDEX(LdBId,$N2720)))</f>
        <v/>
      </c>
      <c r="D2720" s="20">
        <f>IF($N2720="","",INDEX(LdBMember,$N2720))</f>
        <v/>
      </c>
      <c r="E2720" s="20">
        <f>IF($N2720="","",IFERROR(IF(VLOOKUP(INDEX(LdBMember,$N2720),AcctTblE,4,0)="","(بدون نام)",VLOOKUP(INDEX(LdBMember,$N2720),AcctTblE,4,0)),"—"))</f>
        <v/>
      </c>
      <c r="F2720" s="21">
        <f>IF($N2720="","",IF(INDEX(LdBAmt,$N2720)=0,"",INDEX(LdBAmt,$N2720)))</f>
        <v/>
      </c>
      <c r="G2720" s="32">
        <f>IF($N2720="","",IF(INDEX(LdBNote,$N2720)="","—",INDEX(LdBNote,$N2720)))</f>
        <v/>
      </c>
      <c r="N2720">
        <f>IFERROR(MATCH($C$5&amp;"|"&amp;RIGHT("000000"&amp;700,6),LdBKeyG,0),"")</f>
        <v/>
      </c>
    </row>
    <row r="2721">
      <c r="A2721" s="10" t="n">
        <v>701</v>
      </c>
      <c r="B2721" s="14">
        <f>IF($N2721="","",INDEX(LdBDate,$N2721))</f>
        <v/>
      </c>
      <c r="C2721" s="14">
        <f>IF($N2721="","",IF(INDEX(LdBId,$N2721)="","—",INDEX(LdBId,$N2721)))</f>
        <v/>
      </c>
      <c r="D2721" s="14">
        <f>IF($N2721="","",INDEX(LdBMember,$N2721))</f>
        <v/>
      </c>
      <c r="E2721" s="14">
        <f>IF($N2721="","",IFERROR(IF(VLOOKUP(INDEX(LdBMember,$N2721),AcctTblE,4,0)="","(بدون نام)",VLOOKUP(INDEX(LdBMember,$N2721),AcctTblE,4,0)),"—"))</f>
        <v/>
      </c>
      <c r="F2721" s="16">
        <f>IF($N2721="","",IF(INDEX(LdBAmt,$N2721)=0,"",INDEX(LdBAmt,$N2721)))</f>
        <v/>
      </c>
      <c r="G2721" s="30">
        <f>IF($N2721="","",IF(INDEX(LdBNote,$N2721)="","—",INDEX(LdBNote,$N2721)))</f>
        <v/>
      </c>
      <c r="N2721">
        <f>IFERROR(MATCH($C$5&amp;"|"&amp;RIGHT("000000"&amp;701,6),LdBKeyG,0),"")</f>
        <v/>
      </c>
    </row>
    <row r="2722">
      <c r="A2722" s="19" t="n">
        <v>702</v>
      </c>
      <c r="B2722" s="20">
        <f>IF($N2722="","",INDEX(LdBDate,$N2722))</f>
        <v/>
      </c>
      <c r="C2722" s="20">
        <f>IF($N2722="","",IF(INDEX(LdBId,$N2722)="","—",INDEX(LdBId,$N2722)))</f>
        <v/>
      </c>
      <c r="D2722" s="20">
        <f>IF($N2722="","",INDEX(LdBMember,$N2722))</f>
        <v/>
      </c>
      <c r="E2722" s="20">
        <f>IF($N2722="","",IFERROR(IF(VLOOKUP(INDEX(LdBMember,$N2722),AcctTblE,4,0)="","(بدون نام)",VLOOKUP(INDEX(LdBMember,$N2722),AcctTblE,4,0)),"—"))</f>
        <v/>
      </c>
      <c r="F2722" s="21">
        <f>IF($N2722="","",IF(INDEX(LdBAmt,$N2722)=0,"",INDEX(LdBAmt,$N2722)))</f>
        <v/>
      </c>
      <c r="G2722" s="32">
        <f>IF($N2722="","",IF(INDEX(LdBNote,$N2722)="","—",INDEX(LdBNote,$N2722)))</f>
        <v/>
      </c>
      <c r="N2722">
        <f>IFERROR(MATCH($C$5&amp;"|"&amp;RIGHT("000000"&amp;702,6),LdBKeyG,0),"")</f>
        <v/>
      </c>
    </row>
    <row r="2723">
      <c r="A2723" s="10" t="n">
        <v>703</v>
      </c>
      <c r="B2723" s="14">
        <f>IF($N2723="","",INDEX(LdBDate,$N2723))</f>
        <v/>
      </c>
      <c r="C2723" s="14">
        <f>IF($N2723="","",IF(INDEX(LdBId,$N2723)="","—",INDEX(LdBId,$N2723)))</f>
        <v/>
      </c>
      <c r="D2723" s="14">
        <f>IF($N2723="","",INDEX(LdBMember,$N2723))</f>
        <v/>
      </c>
      <c r="E2723" s="14">
        <f>IF($N2723="","",IFERROR(IF(VLOOKUP(INDEX(LdBMember,$N2723),AcctTblE,4,0)="","(بدون نام)",VLOOKUP(INDEX(LdBMember,$N2723),AcctTblE,4,0)),"—"))</f>
        <v/>
      </c>
      <c r="F2723" s="16">
        <f>IF($N2723="","",IF(INDEX(LdBAmt,$N2723)=0,"",INDEX(LdBAmt,$N2723)))</f>
        <v/>
      </c>
      <c r="G2723" s="30">
        <f>IF($N2723="","",IF(INDEX(LdBNote,$N2723)="","—",INDEX(LdBNote,$N2723)))</f>
        <v/>
      </c>
      <c r="N2723">
        <f>IFERROR(MATCH($C$5&amp;"|"&amp;RIGHT("000000"&amp;703,6),LdBKeyG,0),"")</f>
        <v/>
      </c>
    </row>
    <row r="2724">
      <c r="A2724" s="19" t="n">
        <v>704</v>
      </c>
      <c r="B2724" s="20">
        <f>IF($N2724="","",INDEX(LdBDate,$N2724))</f>
        <v/>
      </c>
      <c r="C2724" s="20">
        <f>IF($N2724="","",IF(INDEX(LdBId,$N2724)="","—",INDEX(LdBId,$N2724)))</f>
        <v/>
      </c>
      <c r="D2724" s="20">
        <f>IF($N2724="","",INDEX(LdBMember,$N2724))</f>
        <v/>
      </c>
      <c r="E2724" s="20">
        <f>IF($N2724="","",IFERROR(IF(VLOOKUP(INDEX(LdBMember,$N2724),AcctTblE,4,0)="","(بدون نام)",VLOOKUP(INDEX(LdBMember,$N2724),AcctTblE,4,0)),"—"))</f>
        <v/>
      </c>
      <c r="F2724" s="21">
        <f>IF($N2724="","",IF(INDEX(LdBAmt,$N2724)=0,"",INDEX(LdBAmt,$N2724)))</f>
        <v/>
      </c>
      <c r="G2724" s="32">
        <f>IF($N2724="","",IF(INDEX(LdBNote,$N2724)="","—",INDEX(LdBNote,$N2724)))</f>
        <v/>
      </c>
      <c r="N2724">
        <f>IFERROR(MATCH($C$5&amp;"|"&amp;RIGHT("000000"&amp;704,6),LdBKeyG,0),"")</f>
        <v/>
      </c>
    </row>
    <row r="2725">
      <c r="A2725" s="10" t="n">
        <v>705</v>
      </c>
      <c r="B2725" s="14">
        <f>IF($N2725="","",INDEX(LdBDate,$N2725))</f>
        <v/>
      </c>
      <c r="C2725" s="14">
        <f>IF($N2725="","",IF(INDEX(LdBId,$N2725)="","—",INDEX(LdBId,$N2725)))</f>
        <v/>
      </c>
      <c r="D2725" s="14">
        <f>IF($N2725="","",INDEX(LdBMember,$N2725))</f>
        <v/>
      </c>
      <c r="E2725" s="14">
        <f>IF($N2725="","",IFERROR(IF(VLOOKUP(INDEX(LdBMember,$N2725),AcctTblE,4,0)="","(بدون نام)",VLOOKUP(INDEX(LdBMember,$N2725),AcctTblE,4,0)),"—"))</f>
        <v/>
      </c>
      <c r="F2725" s="16">
        <f>IF($N2725="","",IF(INDEX(LdBAmt,$N2725)=0,"",INDEX(LdBAmt,$N2725)))</f>
        <v/>
      </c>
      <c r="G2725" s="30">
        <f>IF($N2725="","",IF(INDEX(LdBNote,$N2725)="","—",INDEX(LdBNote,$N2725)))</f>
        <v/>
      </c>
      <c r="N2725">
        <f>IFERROR(MATCH($C$5&amp;"|"&amp;RIGHT("000000"&amp;705,6),LdBKeyG,0),"")</f>
        <v/>
      </c>
    </row>
    <row r="2726">
      <c r="A2726" s="19" t="n">
        <v>706</v>
      </c>
      <c r="B2726" s="20">
        <f>IF($N2726="","",INDEX(LdBDate,$N2726))</f>
        <v/>
      </c>
      <c r="C2726" s="20">
        <f>IF($N2726="","",IF(INDEX(LdBId,$N2726)="","—",INDEX(LdBId,$N2726)))</f>
        <v/>
      </c>
      <c r="D2726" s="20">
        <f>IF($N2726="","",INDEX(LdBMember,$N2726))</f>
        <v/>
      </c>
      <c r="E2726" s="20">
        <f>IF($N2726="","",IFERROR(IF(VLOOKUP(INDEX(LdBMember,$N2726),AcctTblE,4,0)="","(بدون نام)",VLOOKUP(INDEX(LdBMember,$N2726),AcctTblE,4,0)),"—"))</f>
        <v/>
      </c>
      <c r="F2726" s="21">
        <f>IF($N2726="","",IF(INDEX(LdBAmt,$N2726)=0,"",INDEX(LdBAmt,$N2726)))</f>
        <v/>
      </c>
      <c r="G2726" s="32">
        <f>IF($N2726="","",IF(INDEX(LdBNote,$N2726)="","—",INDEX(LdBNote,$N2726)))</f>
        <v/>
      </c>
      <c r="N2726">
        <f>IFERROR(MATCH($C$5&amp;"|"&amp;RIGHT("000000"&amp;706,6),LdBKeyG,0),"")</f>
        <v/>
      </c>
    </row>
    <row r="2727">
      <c r="A2727" s="10" t="n">
        <v>707</v>
      </c>
      <c r="B2727" s="14">
        <f>IF($N2727="","",INDEX(LdBDate,$N2727))</f>
        <v/>
      </c>
      <c r="C2727" s="14">
        <f>IF($N2727="","",IF(INDEX(LdBId,$N2727)="","—",INDEX(LdBId,$N2727)))</f>
        <v/>
      </c>
      <c r="D2727" s="14">
        <f>IF($N2727="","",INDEX(LdBMember,$N2727))</f>
        <v/>
      </c>
      <c r="E2727" s="14">
        <f>IF($N2727="","",IFERROR(IF(VLOOKUP(INDEX(LdBMember,$N2727),AcctTblE,4,0)="","(بدون نام)",VLOOKUP(INDEX(LdBMember,$N2727),AcctTblE,4,0)),"—"))</f>
        <v/>
      </c>
      <c r="F2727" s="16">
        <f>IF($N2727="","",IF(INDEX(LdBAmt,$N2727)=0,"",INDEX(LdBAmt,$N2727)))</f>
        <v/>
      </c>
      <c r="G2727" s="30">
        <f>IF($N2727="","",IF(INDEX(LdBNote,$N2727)="","—",INDEX(LdBNote,$N2727)))</f>
        <v/>
      </c>
      <c r="N2727">
        <f>IFERROR(MATCH($C$5&amp;"|"&amp;RIGHT("000000"&amp;707,6),LdBKeyG,0),"")</f>
        <v/>
      </c>
    </row>
    <row r="2728">
      <c r="A2728" s="19" t="n">
        <v>708</v>
      </c>
      <c r="B2728" s="20">
        <f>IF($N2728="","",INDEX(LdBDate,$N2728))</f>
        <v/>
      </c>
      <c r="C2728" s="20">
        <f>IF($N2728="","",IF(INDEX(LdBId,$N2728)="","—",INDEX(LdBId,$N2728)))</f>
        <v/>
      </c>
      <c r="D2728" s="20">
        <f>IF($N2728="","",INDEX(LdBMember,$N2728))</f>
        <v/>
      </c>
      <c r="E2728" s="20">
        <f>IF($N2728="","",IFERROR(IF(VLOOKUP(INDEX(LdBMember,$N2728),AcctTblE,4,0)="","(بدون نام)",VLOOKUP(INDEX(LdBMember,$N2728),AcctTblE,4,0)),"—"))</f>
        <v/>
      </c>
      <c r="F2728" s="21">
        <f>IF($N2728="","",IF(INDEX(LdBAmt,$N2728)=0,"",INDEX(LdBAmt,$N2728)))</f>
        <v/>
      </c>
      <c r="G2728" s="32">
        <f>IF($N2728="","",IF(INDEX(LdBNote,$N2728)="","—",INDEX(LdBNote,$N2728)))</f>
        <v/>
      </c>
      <c r="N2728">
        <f>IFERROR(MATCH($C$5&amp;"|"&amp;RIGHT("000000"&amp;708,6),LdBKeyG,0),"")</f>
        <v/>
      </c>
    </row>
    <row r="2729">
      <c r="A2729" s="10" t="n">
        <v>709</v>
      </c>
      <c r="B2729" s="14">
        <f>IF($N2729="","",INDEX(LdBDate,$N2729))</f>
        <v/>
      </c>
      <c r="C2729" s="14">
        <f>IF($N2729="","",IF(INDEX(LdBId,$N2729)="","—",INDEX(LdBId,$N2729)))</f>
        <v/>
      </c>
      <c r="D2729" s="14">
        <f>IF($N2729="","",INDEX(LdBMember,$N2729))</f>
        <v/>
      </c>
      <c r="E2729" s="14">
        <f>IF($N2729="","",IFERROR(IF(VLOOKUP(INDEX(LdBMember,$N2729),AcctTblE,4,0)="","(بدون نام)",VLOOKUP(INDEX(LdBMember,$N2729),AcctTblE,4,0)),"—"))</f>
        <v/>
      </c>
      <c r="F2729" s="16">
        <f>IF($N2729="","",IF(INDEX(LdBAmt,$N2729)=0,"",INDEX(LdBAmt,$N2729)))</f>
        <v/>
      </c>
      <c r="G2729" s="30">
        <f>IF($N2729="","",IF(INDEX(LdBNote,$N2729)="","—",INDEX(LdBNote,$N2729)))</f>
        <v/>
      </c>
      <c r="N2729">
        <f>IFERROR(MATCH($C$5&amp;"|"&amp;RIGHT("000000"&amp;709,6),LdBKeyG,0),"")</f>
        <v/>
      </c>
    </row>
    <row r="2730">
      <c r="A2730" s="19" t="n">
        <v>710</v>
      </c>
      <c r="B2730" s="20">
        <f>IF($N2730="","",INDEX(LdBDate,$N2730))</f>
        <v/>
      </c>
      <c r="C2730" s="20">
        <f>IF($N2730="","",IF(INDEX(LdBId,$N2730)="","—",INDEX(LdBId,$N2730)))</f>
        <v/>
      </c>
      <c r="D2730" s="20">
        <f>IF($N2730="","",INDEX(LdBMember,$N2730))</f>
        <v/>
      </c>
      <c r="E2730" s="20">
        <f>IF($N2730="","",IFERROR(IF(VLOOKUP(INDEX(LdBMember,$N2730),AcctTblE,4,0)="","(بدون نام)",VLOOKUP(INDEX(LdBMember,$N2730),AcctTblE,4,0)),"—"))</f>
        <v/>
      </c>
      <c r="F2730" s="21">
        <f>IF($N2730="","",IF(INDEX(LdBAmt,$N2730)=0,"",INDEX(LdBAmt,$N2730)))</f>
        <v/>
      </c>
      <c r="G2730" s="32">
        <f>IF($N2730="","",IF(INDEX(LdBNote,$N2730)="","—",INDEX(LdBNote,$N2730)))</f>
        <v/>
      </c>
      <c r="N2730">
        <f>IFERROR(MATCH($C$5&amp;"|"&amp;RIGHT("000000"&amp;710,6),LdBKeyG,0),"")</f>
        <v/>
      </c>
    </row>
    <row r="2731">
      <c r="A2731" s="10" t="n">
        <v>711</v>
      </c>
      <c r="B2731" s="14">
        <f>IF($N2731="","",INDEX(LdBDate,$N2731))</f>
        <v/>
      </c>
      <c r="C2731" s="14">
        <f>IF($N2731="","",IF(INDEX(LdBId,$N2731)="","—",INDEX(LdBId,$N2731)))</f>
        <v/>
      </c>
      <c r="D2731" s="14">
        <f>IF($N2731="","",INDEX(LdBMember,$N2731))</f>
        <v/>
      </c>
      <c r="E2731" s="14">
        <f>IF($N2731="","",IFERROR(IF(VLOOKUP(INDEX(LdBMember,$N2731),AcctTblE,4,0)="","(بدون نام)",VLOOKUP(INDEX(LdBMember,$N2731),AcctTblE,4,0)),"—"))</f>
        <v/>
      </c>
      <c r="F2731" s="16">
        <f>IF($N2731="","",IF(INDEX(LdBAmt,$N2731)=0,"",INDEX(LdBAmt,$N2731)))</f>
        <v/>
      </c>
      <c r="G2731" s="30">
        <f>IF($N2731="","",IF(INDEX(LdBNote,$N2731)="","—",INDEX(LdBNote,$N2731)))</f>
        <v/>
      </c>
      <c r="N2731">
        <f>IFERROR(MATCH($C$5&amp;"|"&amp;RIGHT("000000"&amp;711,6),LdBKeyG,0),"")</f>
        <v/>
      </c>
    </row>
    <row r="2732">
      <c r="A2732" s="19" t="n">
        <v>712</v>
      </c>
      <c r="B2732" s="20">
        <f>IF($N2732="","",INDEX(LdBDate,$N2732))</f>
        <v/>
      </c>
      <c r="C2732" s="20">
        <f>IF($N2732="","",IF(INDEX(LdBId,$N2732)="","—",INDEX(LdBId,$N2732)))</f>
        <v/>
      </c>
      <c r="D2732" s="20">
        <f>IF($N2732="","",INDEX(LdBMember,$N2732))</f>
        <v/>
      </c>
      <c r="E2732" s="20">
        <f>IF($N2732="","",IFERROR(IF(VLOOKUP(INDEX(LdBMember,$N2732),AcctTblE,4,0)="","(بدون نام)",VLOOKUP(INDEX(LdBMember,$N2732),AcctTblE,4,0)),"—"))</f>
        <v/>
      </c>
      <c r="F2732" s="21">
        <f>IF($N2732="","",IF(INDEX(LdBAmt,$N2732)=0,"",INDEX(LdBAmt,$N2732)))</f>
        <v/>
      </c>
      <c r="G2732" s="32">
        <f>IF($N2732="","",IF(INDEX(LdBNote,$N2732)="","—",INDEX(LdBNote,$N2732)))</f>
        <v/>
      </c>
      <c r="N2732">
        <f>IFERROR(MATCH($C$5&amp;"|"&amp;RIGHT("000000"&amp;712,6),LdBKeyG,0),"")</f>
        <v/>
      </c>
    </row>
    <row r="2733">
      <c r="A2733" s="10" t="n">
        <v>713</v>
      </c>
      <c r="B2733" s="14">
        <f>IF($N2733="","",INDEX(LdBDate,$N2733))</f>
        <v/>
      </c>
      <c r="C2733" s="14">
        <f>IF($N2733="","",IF(INDEX(LdBId,$N2733)="","—",INDEX(LdBId,$N2733)))</f>
        <v/>
      </c>
      <c r="D2733" s="14">
        <f>IF($N2733="","",INDEX(LdBMember,$N2733))</f>
        <v/>
      </c>
      <c r="E2733" s="14">
        <f>IF($N2733="","",IFERROR(IF(VLOOKUP(INDEX(LdBMember,$N2733),AcctTblE,4,0)="","(بدون نام)",VLOOKUP(INDEX(LdBMember,$N2733),AcctTblE,4,0)),"—"))</f>
        <v/>
      </c>
      <c r="F2733" s="16">
        <f>IF($N2733="","",IF(INDEX(LdBAmt,$N2733)=0,"",INDEX(LdBAmt,$N2733)))</f>
        <v/>
      </c>
      <c r="G2733" s="30">
        <f>IF($N2733="","",IF(INDEX(LdBNote,$N2733)="","—",INDEX(LdBNote,$N2733)))</f>
        <v/>
      </c>
      <c r="N2733">
        <f>IFERROR(MATCH($C$5&amp;"|"&amp;RIGHT("000000"&amp;713,6),LdBKeyG,0),"")</f>
        <v/>
      </c>
    </row>
    <row r="2734">
      <c r="A2734" s="19" t="n">
        <v>714</v>
      </c>
      <c r="B2734" s="20">
        <f>IF($N2734="","",INDEX(LdBDate,$N2734))</f>
        <v/>
      </c>
      <c r="C2734" s="20">
        <f>IF($N2734="","",IF(INDEX(LdBId,$N2734)="","—",INDEX(LdBId,$N2734)))</f>
        <v/>
      </c>
      <c r="D2734" s="20">
        <f>IF($N2734="","",INDEX(LdBMember,$N2734))</f>
        <v/>
      </c>
      <c r="E2734" s="20">
        <f>IF($N2734="","",IFERROR(IF(VLOOKUP(INDEX(LdBMember,$N2734),AcctTblE,4,0)="","(بدون نام)",VLOOKUP(INDEX(LdBMember,$N2734),AcctTblE,4,0)),"—"))</f>
        <v/>
      </c>
      <c r="F2734" s="21">
        <f>IF($N2734="","",IF(INDEX(LdBAmt,$N2734)=0,"",INDEX(LdBAmt,$N2734)))</f>
        <v/>
      </c>
      <c r="G2734" s="32">
        <f>IF($N2734="","",IF(INDEX(LdBNote,$N2734)="","—",INDEX(LdBNote,$N2734)))</f>
        <v/>
      </c>
      <c r="N2734">
        <f>IFERROR(MATCH($C$5&amp;"|"&amp;RIGHT("000000"&amp;714,6),LdBKeyG,0),"")</f>
        <v/>
      </c>
    </row>
    <row r="2735">
      <c r="A2735" s="10" t="n">
        <v>715</v>
      </c>
      <c r="B2735" s="14">
        <f>IF($N2735="","",INDEX(LdBDate,$N2735))</f>
        <v/>
      </c>
      <c r="C2735" s="14">
        <f>IF($N2735="","",IF(INDEX(LdBId,$N2735)="","—",INDEX(LdBId,$N2735)))</f>
        <v/>
      </c>
      <c r="D2735" s="14">
        <f>IF($N2735="","",INDEX(LdBMember,$N2735))</f>
        <v/>
      </c>
      <c r="E2735" s="14">
        <f>IF($N2735="","",IFERROR(IF(VLOOKUP(INDEX(LdBMember,$N2735),AcctTblE,4,0)="","(بدون نام)",VLOOKUP(INDEX(LdBMember,$N2735),AcctTblE,4,0)),"—"))</f>
        <v/>
      </c>
      <c r="F2735" s="16">
        <f>IF($N2735="","",IF(INDEX(LdBAmt,$N2735)=0,"",INDEX(LdBAmt,$N2735)))</f>
        <v/>
      </c>
      <c r="G2735" s="30">
        <f>IF($N2735="","",IF(INDEX(LdBNote,$N2735)="","—",INDEX(LdBNote,$N2735)))</f>
        <v/>
      </c>
      <c r="N2735">
        <f>IFERROR(MATCH($C$5&amp;"|"&amp;RIGHT("000000"&amp;715,6),LdBKeyG,0),"")</f>
        <v/>
      </c>
    </row>
    <row r="2736">
      <c r="A2736" s="19" t="n">
        <v>716</v>
      </c>
      <c r="B2736" s="20">
        <f>IF($N2736="","",INDEX(LdBDate,$N2736))</f>
        <v/>
      </c>
      <c r="C2736" s="20">
        <f>IF($N2736="","",IF(INDEX(LdBId,$N2736)="","—",INDEX(LdBId,$N2736)))</f>
        <v/>
      </c>
      <c r="D2736" s="20">
        <f>IF($N2736="","",INDEX(LdBMember,$N2736))</f>
        <v/>
      </c>
      <c r="E2736" s="20">
        <f>IF($N2736="","",IFERROR(IF(VLOOKUP(INDEX(LdBMember,$N2736),AcctTblE,4,0)="","(بدون نام)",VLOOKUP(INDEX(LdBMember,$N2736),AcctTblE,4,0)),"—"))</f>
        <v/>
      </c>
      <c r="F2736" s="21">
        <f>IF($N2736="","",IF(INDEX(LdBAmt,$N2736)=0,"",INDEX(LdBAmt,$N2736)))</f>
        <v/>
      </c>
      <c r="G2736" s="32">
        <f>IF($N2736="","",IF(INDEX(LdBNote,$N2736)="","—",INDEX(LdBNote,$N2736)))</f>
        <v/>
      </c>
      <c r="N2736">
        <f>IFERROR(MATCH($C$5&amp;"|"&amp;RIGHT("000000"&amp;716,6),LdBKeyG,0),"")</f>
        <v/>
      </c>
    </row>
    <row r="2737">
      <c r="A2737" s="10" t="n">
        <v>717</v>
      </c>
      <c r="B2737" s="14">
        <f>IF($N2737="","",INDEX(LdBDate,$N2737))</f>
        <v/>
      </c>
      <c r="C2737" s="14">
        <f>IF($N2737="","",IF(INDEX(LdBId,$N2737)="","—",INDEX(LdBId,$N2737)))</f>
        <v/>
      </c>
      <c r="D2737" s="14">
        <f>IF($N2737="","",INDEX(LdBMember,$N2737))</f>
        <v/>
      </c>
      <c r="E2737" s="14">
        <f>IF($N2737="","",IFERROR(IF(VLOOKUP(INDEX(LdBMember,$N2737),AcctTblE,4,0)="","(بدون نام)",VLOOKUP(INDEX(LdBMember,$N2737),AcctTblE,4,0)),"—"))</f>
        <v/>
      </c>
      <c r="F2737" s="16">
        <f>IF($N2737="","",IF(INDEX(LdBAmt,$N2737)=0,"",INDEX(LdBAmt,$N2737)))</f>
        <v/>
      </c>
      <c r="G2737" s="30">
        <f>IF($N2737="","",IF(INDEX(LdBNote,$N2737)="","—",INDEX(LdBNote,$N2737)))</f>
        <v/>
      </c>
      <c r="N2737">
        <f>IFERROR(MATCH($C$5&amp;"|"&amp;RIGHT("000000"&amp;717,6),LdBKeyG,0),"")</f>
        <v/>
      </c>
    </row>
    <row r="2738">
      <c r="A2738" s="19" t="n">
        <v>718</v>
      </c>
      <c r="B2738" s="20">
        <f>IF($N2738="","",INDEX(LdBDate,$N2738))</f>
        <v/>
      </c>
      <c r="C2738" s="20">
        <f>IF($N2738="","",IF(INDEX(LdBId,$N2738)="","—",INDEX(LdBId,$N2738)))</f>
        <v/>
      </c>
      <c r="D2738" s="20">
        <f>IF($N2738="","",INDEX(LdBMember,$N2738))</f>
        <v/>
      </c>
      <c r="E2738" s="20">
        <f>IF($N2738="","",IFERROR(IF(VLOOKUP(INDEX(LdBMember,$N2738),AcctTblE,4,0)="","(بدون نام)",VLOOKUP(INDEX(LdBMember,$N2738),AcctTblE,4,0)),"—"))</f>
        <v/>
      </c>
      <c r="F2738" s="21">
        <f>IF($N2738="","",IF(INDEX(LdBAmt,$N2738)=0,"",INDEX(LdBAmt,$N2738)))</f>
        <v/>
      </c>
      <c r="G2738" s="32">
        <f>IF($N2738="","",IF(INDEX(LdBNote,$N2738)="","—",INDEX(LdBNote,$N2738)))</f>
        <v/>
      </c>
      <c r="N2738">
        <f>IFERROR(MATCH($C$5&amp;"|"&amp;RIGHT("000000"&amp;718,6),LdBKeyG,0),"")</f>
        <v/>
      </c>
    </row>
    <row r="2739">
      <c r="A2739" s="10" t="n">
        <v>719</v>
      </c>
      <c r="B2739" s="14">
        <f>IF($N2739="","",INDEX(LdBDate,$N2739))</f>
        <v/>
      </c>
      <c r="C2739" s="14">
        <f>IF($N2739="","",IF(INDEX(LdBId,$N2739)="","—",INDEX(LdBId,$N2739)))</f>
        <v/>
      </c>
      <c r="D2739" s="14">
        <f>IF($N2739="","",INDEX(LdBMember,$N2739))</f>
        <v/>
      </c>
      <c r="E2739" s="14">
        <f>IF($N2739="","",IFERROR(IF(VLOOKUP(INDEX(LdBMember,$N2739),AcctTblE,4,0)="","(بدون نام)",VLOOKUP(INDEX(LdBMember,$N2739),AcctTblE,4,0)),"—"))</f>
        <v/>
      </c>
      <c r="F2739" s="16">
        <f>IF($N2739="","",IF(INDEX(LdBAmt,$N2739)=0,"",INDEX(LdBAmt,$N2739)))</f>
        <v/>
      </c>
      <c r="G2739" s="30">
        <f>IF($N2739="","",IF(INDEX(LdBNote,$N2739)="","—",INDEX(LdBNote,$N2739)))</f>
        <v/>
      </c>
      <c r="N2739">
        <f>IFERROR(MATCH($C$5&amp;"|"&amp;RIGHT("000000"&amp;719,6),LdBKeyG,0),"")</f>
        <v/>
      </c>
    </row>
    <row r="2740">
      <c r="A2740" s="19" t="n">
        <v>720</v>
      </c>
      <c r="B2740" s="20">
        <f>IF($N2740="","",INDEX(LdBDate,$N2740))</f>
        <v/>
      </c>
      <c r="C2740" s="20">
        <f>IF($N2740="","",IF(INDEX(LdBId,$N2740)="","—",INDEX(LdBId,$N2740)))</f>
        <v/>
      </c>
      <c r="D2740" s="20">
        <f>IF($N2740="","",INDEX(LdBMember,$N2740))</f>
        <v/>
      </c>
      <c r="E2740" s="20">
        <f>IF($N2740="","",IFERROR(IF(VLOOKUP(INDEX(LdBMember,$N2740),AcctTblE,4,0)="","(بدون نام)",VLOOKUP(INDEX(LdBMember,$N2740),AcctTblE,4,0)),"—"))</f>
        <v/>
      </c>
      <c r="F2740" s="21">
        <f>IF($N2740="","",IF(INDEX(LdBAmt,$N2740)=0,"",INDEX(LdBAmt,$N2740)))</f>
        <v/>
      </c>
      <c r="G2740" s="32">
        <f>IF($N2740="","",IF(INDEX(LdBNote,$N2740)="","—",INDEX(LdBNote,$N2740)))</f>
        <v/>
      </c>
      <c r="N2740">
        <f>IFERROR(MATCH($C$5&amp;"|"&amp;RIGHT("000000"&amp;720,6),LdBKeyG,0),"")</f>
        <v/>
      </c>
    </row>
    <row r="2741">
      <c r="A2741" s="10" t="n">
        <v>721</v>
      </c>
      <c r="B2741" s="14">
        <f>IF($N2741="","",INDEX(LdBDate,$N2741))</f>
        <v/>
      </c>
      <c r="C2741" s="14">
        <f>IF($N2741="","",IF(INDEX(LdBId,$N2741)="","—",INDEX(LdBId,$N2741)))</f>
        <v/>
      </c>
      <c r="D2741" s="14">
        <f>IF($N2741="","",INDEX(LdBMember,$N2741))</f>
        <v/>
      </c>
      <c r="E2741" s="14">
        <f>IF($N2741="","",IFERROR(IF(VLOOKUP(INDEX(LdBMember,$N2741),AcctTblE,4,0)="","(بدون نام)",VLOOKUP(INDEX(LdBMember,$N2741),AcctTblE,4,0)),"—"))</f>
        <v/>
      </c>
      <c r="F2741" s="16">
        <f>IF($N2741="","",IF(INDEX(LdBAmt,$N2741)=0,"",INDEX(LdBAmt,$N2741)))</f>
        <v/>
      </c>
      <c r="G2741" s="30">
        <f>IF($N2741="","",IF(INDEX(LdBNote,$N2741)="","—",INDEX(LdBNote,$N2741)))</f>
        <v/>
      </c>
      <c r="N2741">
        <f>IFERROR(MATCH($C$5&amp;"|"&amp;RIGHT("000000"&amp;721,6),LdBKeyG,0),"")</f>
        <v/>
      </c>
    </row>
    <row r="2742">
      <c r="A2742" s="19" t="n">
        <v>722</v>
      </c>
      <c r="B2742" s="20">
        <f>IF($N2742="","",INDEX(LdBDate,$N2742))</f>
        <v/>
      </c>
      <c r="C2742" s="20">
        <f>IF($N2742="","",IF(INDEX(LdBId,$N2742)="","—",INDEX(LdBId,$N2742)))</f>
        <v/>
      </c>
      <c r="D2742" s="20">
        <f>IF($N2742="","",INDEX(LdBMember,$N2742))</f>
        <v/>
      </c>
      <c r="E2742" s="20">
        <f>IF($N2742="","",IFERROR(IF(VLOOKUP(INDEX(LdBMember,$N2742),AcctTblE,4,0)="","(بدون نام)",VLOOKUP(INDEX(LdBMember,$N2742),AcctTblE,4,0)),"—"))</f>
        <v/>
      </c>
      <c r="F2742" s="21">
        <f>IF($N2742="","",IF(INDEX(LdBAmt,$N2742)=0,"",INDEX(LdBAmt,$N2742)))</f>
        <v/>
      </c>
      <c r="G2742" s="32">
        <f>IF($N2742="","",IF(INDEX(LdBNote,$N2742)="","—",INDEX(LdBNote,$N2742)))</f>
        <v/>
      </c>
      <c r="N2742">
        <f>IFERROR(MATCH($C$5&amp;"|"&amp;RIGHT("000000"&amp;722,6),LdBKeyG,0),"")</f>
        <v/>
      </c>
    </row>
    <row r="2743">
      <c r="A2743" s="10" t="n">
        <v>723</v>
      </c>
      <c r="B2743" s="14">
        <f>IF($N2743="","",INDEX(LdBDate,$N2743))</f>
        <v/>
      </c>
      <c r="C2743" s="14">
        <f>IF($N2743="","",IF(INDEX(LdBId,$N2743)="","—",INDEX(LdBId,$N2743)))</f>
        <v/>
      </c>
      <c r="D2743" s="14">
        <f>IF($N2743="","",INDEX(LdBMember,$N2743))</f>
        <v/>
      </c>
      <c r="E2743" s="14">
        <f>IF($N2743="","",IFERROR(IF(VLOOKUP(INDEX(LdBMember,$N2743),AcctTblE,4,0)="","(بدون نام)",VLOOKUP(INDEX(LdBMember,$N2743),AcctTblE,4,0)),"—"))</f>
        <v/>
      </c>
      <c r="F2743" s="16">
        <f>IF($N2743="","",IF(INDEX(LdBAmt,$N2743)=0,"",INDEX(LdBAmt,$N2743)))</f>
        <v/>
      </c>
      <c r="G2743" s="30">
        <f>IF($N2743="","",IF(INDEX(LdBNote,$N2743)="","—",INDEX(LdBNote,$N2743)))</f>
        <v/>
      </c>
      <c r="N2743">
        <f>IFERROR(MATCH($C$5&amp;"|"&amp;RIGHT("000000"&amp;723,6),LdBKeyG,0),"")</f>
        <v/>
      </c>
    </row>
    <row r="2744">
      <c r="A2744" s="19" t="n">
        <v>724</v>
      </c>
      <c r="B2744" s="20">
        <f>IF($N2744="","",INDEX(LdBDate,$N2744))</f>
        <v/>
      </c>
      <c r="C2744" s="20">
        <f>IF($N2744="","",IF(INDEX(LdBId,$N2744)="","—",INDEX(LdBId,$N2744)))</f>
        <v/>
      </c>
      <c r="D2744" s="20">
        <f>IF($N2744="","",INDEX(LdBMember,$N2744))</f>
        <v/>
      </c>
      <c r="E2744" s="20">
        <f>IF($N2744="","",IFERROR(IF(VLOOKUP(INDEX(LdBMember,$N2744),AcctTblE,4,0)="","(بدون نام)",VLOOKUP(INDEX(LdBMember,$N2744),AcctTblE,4,0)),"—"))</f>
        <v/>
      </c>
      <c r="F2744" s="21">
        <f>IF($N2744="","",IF(INDEX(LdBAmt,$N2744)=0,"",INDEX(LdBAmt,$N2744)))</f>
        <v/>
      </c>
      <c r="G2744" s="32">
        <f>IF($N2744="","",IF(INDEX(LdBNote,$N2744)="","—",INDEX(LdBNote,$N2744)))</f>
        <v/>
      </c>
      <c r="N2744">
        <f>IFERROR(MATCH($C$5&amp;"|"&amp;RIGHT("000000"&amp;724,6),LdBKeyG,0),"")</f>
        <v/>
      </c>
    </row>
    <row r="2745">
      <c r="A2745" s="10" t="n">
        <v>725</v>
      </c>
      <c r="B2745" s="14">
        <f>IF($N2745="","",INDEX(LdBDate,$N2745))</f>
        <v/>
      </c>
      <c r="C2745" s="14">
        <f>IF($N2745="","",IF(INDEX(LdBId,$N2745)="","—",INDEX(LdBId,$N2745)))</f>
        <v/>
      </c>
      <c r="D2745" s="14">
        <f>IF($N2745="","",INDEX(LdBMember,$N2745))</f>
        <v/>
      </c>
      <c r="E2745" s="14">
        <f>IF($N2745="","",IFERROR(IF(VLOOKUP(INDEX(LdBMember,$N2745),AcctTblE,4,0)="","(بدون نام)",VLOOKUP(INDEX(LdBMember,$N2745),AcctTblE,4,0)),"—"))</f>
        <v/>
      </c>
      <c r="F2745" s="16">
        <f>IF($N2745="","",IF(INDEX(LdBAmt,$N2745)=0,"",INDEX(LdBAmt,$N2745)))</f>
        <v/>
      </c>
      <c r="G2745" s="30">
        <f>IF($N2745="","",IF(INDEX(LdBNote,$N2745)="","—",INDEX(LdBNote,$N2745)))</f>
        <v/>
      </c>
      <c r="N2745">
        <f>IFERROR(MATCH($C$5&amp;"|"&amp;RIGHT("000000"&amp;725,6),LdBKeyG,0),"")</f>
        <v/>
      </c>
    </row>
    <row r="2746">
      <c r="A2746" s="19" t="n">
        <v>726</v>
      </c>
      <c r="B2746" s="20">
        <f>IF($N2746="","",INDEX(LdBDate,$N2746))</f>
        <v/>
      </c>
      <c r="C2746" s="20">
        <f>IF($N2746="","",IF(INDEX(LdBId,$N2746)="","—",INDEX(LdBId,$N2746)))</f>
        <v/>
      </c>
      <c r="D2746" s="20">
        <f>IF($N2746="","",INDEX(LdBMember,$N2746))</f>
        <v/>
      </c>
      <c r="E2746" s="20">
        <f>IF($N2746="","",IFERROR(IF(VLOOKUP(INDEX(LdBMember,$N2746),AcctTblE,4,0)="","(بدون نام)",VLOOKUP(INDEX(LdBMember,$N2746),AcctTblE,4,0)),"—"))</f>
        <v/>
      </c>
      <c r="F2746" s="21">
        <f>IF($N2746="","",IF(INDEX(LdBAmt,$N2746)=0,"",INDEX(LdBAmt,$N2746)))</f>
        <v/>
      </c>
      <c r="G2746" s="32">
        <f>IF($N2746="","",IF(INDEX(LdBNote,$N2746)="","—",INDEX(LdBNote,$N2746)))</f>
        <v/>
      </c>
      <c r="N2746">
        <f>IFERROR(MATCH($C$5&amp;"|"&amp;RIGHT("000000"&amp;726,6),LdBKeyG,0),"")</f>
        <v/>
      </c>
    </row>
    <row r="2747">
      <c r="A2747" s="10" t="n">
        <v>727</v>
      </c>
      <c r="B2747" s="14">
        <f>IF($N2747="","",INDEX(LdBDate,$N2747))</f>
        <v/>
      </c>
      <c r="C2747" s="14">
        <f>IF($N2747="","",IF(INDEX(LdBId,$N2747)="","—",INDEX(LdBId,$N2747)))</f>
        <v/>
      </c>
      <c r="D2747" s="14">
        <f>IF($N2747="","",INDEX(LdBMember,$N2747))</f>
        <v/>
      </c>
      <c r="E2747" s="14">
        <f>IF($N2747="","",IFERROR(IF(VLOOKUP(INDEX(LdBMember,$N2747),AcctTblE,4,0)="","(بدون نام)",VLOOKUP(INDEX(LdBMember,$N2747),AcctTblE,4,0)),"—"))</f>
        <v/>
      </c>
      <c r="F2747" s="16">
        <f>IF($N2747="","",IF(INDEX(LdBAmt,$N2747)=0,"",INDEX(LdBAmt,$N2747)))</f>
        <v/>
      </c>
      <c r="G2747" s="30">
        <f>IF($N2747="","",IF(INDEX(LdBNote,$N2747)="","—",INDEX(LdBNote,$N2747)))</f>
        <v/>
      </c>
      <c r="N2747">
        <f>IFERROR(MATCH($C$5&amp;"|"&amp;RIGHT("000000"&amp;727,6),LdBKeyG,0),"")</f>
        <v/>
      </c>
    </row>
    <row r="2748">
      <c r="A2748" s="19" t="n">
        <v>728</v>
      </c>
      <c r="B2748" s="20">
        <f>IF($N2748="","",INDEX(LdBDate,$N2748))</f>
        <v/>
      </c>
      <c r="C2748" s="20">
        <f>IF($N2748="","",IF(INDEX(LdBId,$N2748)="","—",INDEX(LdBId,$N2748)))</f>
        <v/>
      </c>
      <c r="D2748" s="20">
        <f>IF($N2748="","",INDEX(LdBMember,$N2748))</f>
        <v/>
      </c>
      <c r="E2748" s="20">
        <f>IF($N2748="","",IFERROR(IF(VLOOKUP(INDEX(LdBMember,$N2748),AcctTblE,4,0)="","(بدون نام)",VLOOKUP(INDEX(LdBMember,$N2748),AcctTblE,4,0)),"—"))</f>
        <v/>
      </c>
      <c r="F2748" s="21">
        <f>IF($N2748="","",IF(INDEX(LdBAmt,$N2748)=0,"",INDEX(LdBAmt,$N2748)))</f>
        <v/>
      </c>
      <c r="G2748" s="32">
        <f>IF($N2748="","",IF(INDEX(LdBNote,$N2748)="","—",INDEX(LdBNote,$N2748)))</f>
        <v/>
      </c>
      <c r="N2748">
        <f>IFERROR(MATCH($C$5&amp;"|"&amp;RIGHT("000000"&amp;728,6),LdBKeyG,0),"")</f>
        <v/>
      </c>
    </row>
    <row r="2749">
      <c r="A2749" s="10" t="n">
        <v>729</v>
      </c>
      <c r="B2749" s="14">
        <f>IF($N2749="","",INDEX(LdBDate,$N2749))</f>
        <v/>
      </c>
      <c r="C2749" s="14">
        <f>IF($N2749="","",IF(INDEX(LdBId,$N2749)="","—",INDEX(LdBId,$N2749)))</f>
        <v/>
      </c>
      <c r="D2749" s="14">
        <f>IF($N2749="","",INDEX(LdBMember,$N2749))</f>
        <v/>
      </c>
      <c r="E2749" s="14">
        <f>IF($N2749="","",IFERROR(IF(VLOOKUP(INDEX(LdBMember,$N2749),AcctTblE,4,0)="","(بدون نام)",VLOOKUP(INDEX(LdBMember,$N2749),AcctTblE,4,0)),"—"))</f>
        <v/>
      </c>
      <c r="F2749" s="16">
        <f>IF($N2749="","",IF(INDEX(LdBAmt,$N2749)=0,"",INDEX(LdBAmt,$N2749)))</f>
        <v/>
      </c>
      <c r="G2749" s="30">
        <f>IF($N2749="","",IF(INDEX(LdBNote,$N2749)="","—",INDEX(LdBNote,$N2749)))</f>
        <v/>
      </c>
      <c r="N2749">
        <f>IFERROR(MATCH($C$5&amp;"|"&amp;RIGHT("000000"&amp;729,6),LdBKeyG,0),"")</f>
        <v/>
      </c>
    </row>
    <row r="2750">
      <c r="A2750" s="19" t="n">
        <v>730</v>
      </c>
      <c r="B2750" s="20">
        <f>IF($N2750="","",INDEX(LdBDate,$N2750))</f>
        <v/>
      </c>
      <c r="C2750" s="20">
        <f>IF($N2750="","",IF(INDEX(LdBId,$N2750)="","—",INDEX(LdBId,$N2750)))</f>
        <v/>
      </c>
      <c r="D2750" s="20">
        <f>IF($N2750="","",INDEX(LdBMember,$N2750))</f>
        <v/>
      </c>
      <c r="E2750" s="20">
        <f>IF($N2750="","",IFERROR(IF(VLOOKUP(INDEX(LdBMember,$N2750),AcctTblE,4,0)="","(بدون نام)",VLOOKUP(INDEX(LdBMember,$N2750),AcctTblE,4,0)),"—"))</f>
        <v/>
      </c>
      <c r="F2750" s="21">
        <f>IF($N2750="","",IF(INDEX(LdBAmt,$N2750)=0,"",INDEX(LdBAmt,$N2750)))</f>
        <v/>
      </c>
      <c r="G2750" s="32">
        <f>IF($N2750="","",IF(INDEX(LdBNote,$N2750)="","—",INDEX(LdBNote,$N2750)))</f>
        <v/>
      </c>
      <c r="N2750">
        <f>IFERROR(MATCH($C$5&amp;"|"&amp;RIGHT("000000"&amp;730,6),LdBKeyG,0),"")</f>
        <v/>
      </c>
    </row>
    <row r="2751">
      <c r="A2751" s="10" t="n">
        <v>731</v>
      </c>
      <c r="B2751" s="14">
        <f>IF($N2751="","",INDEX(LdBDate,$N2751))</f>
        <v/>
      </c>
      <c r="C2751" s="14">
        <f>IF($N2751="","",IF(INDEX(LdBId,$N2751)="","—",INDEX(LdBId,$N2751)))</f>
        <v/>
      </c>
      <c r="D2751" s="14">
        <f>IF($N2751="","",INDEX(LdBMember,$N2751))</f>
        <v/>
      </c>
      <c r="E2751" s="14">
        <f>IF($N2751="","",IFERROR(IF(VLOOKUP(INDEX(LdBMember,$N2751),AcctTblE,4,0)="","(بدون نام)",VLOOKUP(INDEX(LdBMember,$N2751),AcctTblE,4,0)),"—"))</f>
        <v/>
      </c>
      <c r="F2751" s="16">
        <f>IF($N2751="","",IF(INDEX(LdBAmt,$N2751)=0,"",INDEX(LdBAmt,$N2751)))</f>
        <v/>
      </c>
      <c r="G2751" s="30">
        <f>IF($N2751="","",IF(INDEX(LdBNote,$N2751)="","—",INDEX(LdBNote,$N2751)))</f>
        <v/>
      </c>
      <c r="N2751">
        <f>IFERROR(MATCH($C$5&amp;"|"&amp;RIGHT("000000"&amp;731,6),LdBKeyG,0),"")</f>
        <v/>
      </c>
    </row>
    <row r="2752">
      <c r="A2752" s="19" t="n">
        <v>732</v>
      </c>
      <c r="B2752" s="20">
        <f>IF($N2752="","",INDEX(LdBDate,$N2752))</f>
        <v/>
      </c>
      <c r="C2752" s="20">
        <f>IF($N2752="","",IF(INDEX(LdBId,$N2752)="","—",INDEX(LdBId,$N2752)))</f>
        <v/>
      </c>
      <c r="D2752" s="20">
        <f>IF($N2752="","",INDEX(LdBMember,$N2752))</f>
        <v/>
      </c>
      <c r="E2752" s="20">
        <f>IF($N2752="","",IFERROR(IF(VLOOKUP(INDEX(LdBMember,$N2752),AcctTblE,4,0)="","(بدون نام)",VLOOKUP(INDEX(LdBMember,$N2752),AcctTblE,4,0)),"—"))</f>
        <v/>
      </c>
      <c r="F2752" s="21">
        <f>IF($N2752="","",IF(INDEX(LdBAmt,$N2752)=0,"",INDEX(LdBAmt,$N2752)))</f>
        <v/>
      </c>
      <c r="G2752" s="32">
        <f>IF($N2752="","",IF(INDEX(LdBNote,$N2752)="","—",INDEX(LdBNote,$N2752)))</f>
        <v/>
      </c>
      <c r="N2752">
        <f>IFERROR(MATCH($C$5&amp;"|"&amp;RIGHT("000000"&amp;732,6),LdBKeyG,0),"")</f>
        <v/>
      </c>
    </row>
    <row r="2753">
      <c r="A2753" s="10" t="n">
        <v>733</v>
      </c>
      <c r="B2753" s="14">
        <f>IF($N2753="","",INDEX(LdBDate,$N2753))</f>
        <v/>
      </c>
      <c r="C2753" s="14">
        <f>IF($N2753="","",IF(INDEX(LdBId,$N2753)="","—",INDEX(LdBId,$N2753)))</f>
        <v/>
      </c>
      <c r="D2753" s="14">
        <f>IF($N2753="","",INDEX(LdBMember,$N2753))</f>
        <v/>
      </c>
      <c r="E2753" s="14">
        <f>IF($N2753="","",IFERROR(IF(VLOOKUP(INDEX(LdBMember,$N2753),AcctTblE,4,0)="","(بدون نام)",VLOOKUP(INDEX(LdBMember,$N2753),AcctTblE,4,0)),"—"))</f>
        <v/>
      </c>
      <c r="F2753" s="16">
        <f>IF($N2753="","",IF(INDEX(LdBAmt,$N2753)=0,"",INDEX(LdBAmt,$N2753)))</f>
        <v/>
      </c>
      <c r="G2753" s="30">
        <f>IF($N2753="","",IF(INDEX(LdBNote,$N2753)="","—",INDEX(LdBNote,$N2753)))</f>
        <v/>
      </c>
      <c r="N2753">
        <f>IFERROR(MATCH($C$5&amp;"|"&amp;RIGHT("000000"&amp;733,6),LdBKeyG,0),"")</f>
        <v/>
      </c>
    </row>
    <row r="2754">
      <c r="A2754" s="19" t="n">
        <v>734</v>
      </c>
      <c r="B2754" s="20">
        <f>IF($N2754="","",INDEX(LdBDate,$N2754))</f>
        <v/>
      </c>
      <c r="C2754" s="20">
        <f>IF($N2754="","",IF(INDEX(LdBId,$N2754)="","—",INDEX(LdBId,$N2754)))</f>
        <v/>
      </c>
      <c r="D2754" s="20">
        <f>IF($N2754="","",INDEX(LdBMember,$N2754))</f>
        <v/>
      </c>
      <c r="E2754" s="20">
        <f>IF($N2754="","",IFERROR(IF(VLOOKUP(INDEX(LdBMember,$N2754),AcctTblE,4,0)="","(بدون نام)",VLOOKUP(INDEX(LdBMember,$N2754),AcctTblE,4,0)),"—"))</f>
        <v/>
      </c>
      <c r="F2754" s="21">
        <f>IF($N2754="","",IF(INDEX(LdBAmt,$N2754)=0,"",INDEX(LdBAmt,$N2754)))</f>
        <v/>
      </c>
      <c r="G2754" s="32">
        <f>IF($N2754="","",IF(INDEX(LdBNote,$N2754)="","—",INDEX(LdBNote,$N2754)))</f>
        <v/>
      </c>
      <c r="N2754">
        <f>IFERROR(MATCH($C$5&amp;"|"&amp;RIGHT("000000"&amp;734,6),LdBKeyG,0),"")</f>
        <v/>
      </c>
    </row>
    <row r="2755">
      <c r="A2755" s="10" t="n">
        <v>735</v>
      </c>
      <c r="B2755" s="14">
        <f>IF($N2755="","",INDEX(LdBDate,$N2755))</f>
        <v/>
      </c>
      <c r="C2755" s="14">
        <f>IF($N2755="","",IF(INDEX(LdBId,$N2755)="","—",INDEX(LdBId,$N2755)))</f>
        <v/>
      </c>
      <c r="D2755" s="14">
        <f>IF($N2755="","",INDEX(LdBMember,$N2755))</f>
        <v/>
      </c>
      <c r="E2755" s="14">
        <f>IF($N2755="","",IFERROR(IF(VLOOKUP(INDEX(LdBMember,$N2755),AcctTblE,4,0)="","(بدون نام)",VLOOKUP(INDEX(LdBMember,$N2755),AcctTblE,4,0)),"—"))</f>
        <v/>
      </c>
      <c r="F2755" s="16">
        <f>IF($N2755="","",IF(INDEX(LdBAmt,$N2755)=0,"",INDEX(LdBAmt,$N2755)))</f>
        <v/>
      </c>
      <c r="G2755" s="30">
        <f>IF($N2755="","",IF(INDEX(LdBNote,$N2755)="","—",INDEX(LdBNote,$N2755)))</f>
        <v/>
      </c>
      <c r="N2755">
        <f>IFERROR(MATCH($C$5&amp;"|"&amp;RIGHT("000000"&amp;735,6),LdBKeyG,0),"")</f>
        <v/>
      </c>
    </row>
    <row r="2756">
      <c r="A2756" s="19" t="n">
        <v>736</v>
      </c>
      <c r="B2756" s="20">
        <f>IF($N2756="","",INDEX(LdBDate,$N2756))</f>
        <v/>
      </c>
      <c r="C2756" s="20">
        <f>IF($N2756="","",IF(INDEX(LdBId,$N2756)="","—",INDEX(LdBId,$N2756)))</f>
        <v/>
      </c>
      <c r="D2756" s="20">
        <f>IF($N2756="","",INDEX(LdBMember,$N2756))</f>
        <v/>
      </c>
      <c r="E2756" s="20">
        <f>IF($N2756="","",IFERROR(IF(VLOOKUP(INDEX(LdBMember,$N2756),AcctTblE,4,0)="","(بدون نام)",VLOOKUP(INDEX(LdBMember,$N2756),AcctTblE,4,0)),"—"))</f>
        <v/>
      </c>
      <c r="F2756" s="21">
        <f>IF($N2756="","",IF(INDEX(LdBAmt,$N2756)=0,"",INDEX(LdBAmt,$N2756)))</f>
        <v/>
      </c>
      <c r="G2756" s="32">
        <f>IF($N2756="","",IF(INDEX(LdBNote,$N2756)="","—",INDEX(LdBNote,$N2756)))</f>
        <v/>
      </c>
      <c r="N2756">
        <f>IFERROR(MATCH($C$5&amp;"|"&amp;RIGHT("000000"&amp;736,6),LdBKeyG,0),"")</f>
        <v/>
      </c>
    </row>
    <row r="2757">
      <c r="A2757" s="10" t="n">
        <v>737</v>
      </c>
      <c r="B2757" s="14">
        <f>IF($N2757="","",INDEX(LdBDate,$N2757))</f>
        <v/>
      </c>
      <c r="C2757" s="14">
        <f>IF($N2757="","",IF(INDEX(LdBId,$N2757)="","—",INDEX(LdBId,$N2757)))</f>
        <v/>
      </c>
      <c r="D2757" s="14">
        <f>IF($N2757="","",INDEX(LdBMember,$N2757))</f>
        <v/>
      </c>
      <c r="E2757" s="14">
        <f>IF($N2757="","",IFERROR(IF(VLOOKUP(INDEX(LdBMember,$N2757),AcctTblE,4,0)="","(بدون نام)",VLOOKUP(INDEX(LdBMember,$N2757),AcctTblE,4,0)),"—"))</f>
        <v/>
      </c>
      <c r="F2757" s="16">
        <f>IF($N2757="","",IF(INDEX(LdBAmt,$N2757)=0,"",INDEX(LdBAmt,$N2757)))</f>
        <v/>
      </c>
      <c r="G2757" s="30">
        <f>IF($N2757="","",IF(INDEX(LdBNote,$N2757)="","—",INDEX(LdBNote,$N2757)))</f>
        <v/>
      </c>
      <c r="N2757">
        <f>IFERROR(MATCH($C$5&amp;"|"&amp;RIGHT("000000"&amp;737,6),LdBKeyG,0),"")</f>
        <v/>
      </c>
    </row>
    <row r="2758">
      <c r="A2758" s="19" t="n">
        <v>738</v>
      </c>
      <c r="B2758" s="20">
        <f>IF($N2758="","",INDEX(LdBDate,$N2758))</f>
        <v/>
      </c>
      <c r="C2758" s="20">
        <f>IF($N2758="","",IF(INDEX(LdBId,$N2758)="","—",INDEX(LdBId,$N2758)))</f>
        <v/>
      </c>
      <c r="D2758" s="20">
        <f>IF($N2758="","",INDEX(LdBMember,$N2758))</f>
        <v/>
      </c>
      <c r="E2758" s="20">
        <f>IF($N2758="","",IFERROR(IF(VLOOKUP(INDEX(LdBMember,$N2758),AcctTblE,4,0)="","(بدون نام)",VLOOKUP(INDEX(LdBMember,$N2758),AcctTblE,4,0)),"—"))</f>
        <v/>
      </c>
      <c r="F2758" s="21">
        <f>IF($N2758="","",IF(INDEX(LdBAmt,$N2758)=0,"",INDEX(LdBAmt,$N2758)))</f>
        <v/>
      </c>
      <c r="G2758" s="32">
        <f>IF($N2758="","",IF(INDEX(LdBNote,$N2758)="","—",INDEX(LdBNote,$N2758)))</f>
        <v/>
      </c>
      <c r="N2758">
        <f>IFERROR(MATCH($C$5&amp;"|"&amp;RIGHT("000000"&amp;738,6),LdBKeyG,0),"")</f>
        <v/>
      </c>
    </row>
    <row r="2759">
      <c r="A2759" s="10" t="n">
        <v>739</v>
      </c>
      <c r="B2759" s="14">
        <f>IF($N2759="","",INDEX(LdBDate,$N2759))</f>
        <v/>
      </c>
      <c r="C2759" s="14">
        <f>IF($N2759="","",IF(INDEX(LdBId,$N2759)="","—",INDEX(LdBId,$N2759)))</f>
        <v/>
      </c>
      <c r="D2759" s="14">
        <f>IF($N2759="","",INDEX(LdBMember,$N2759))</f>
        <v/>
      </c>
      <c r="E2759" s="14">
        <f>IF($N2759="","",IFERROR(IF(VLOOKUP(INDEX(LdBMember,$N2759),AcctTblE,4,0)="","(بدون نام)",VLOOKUP(INDEX(LdBMember,$N2759),AcctTblE,4,0)),"—"))</f>
        <v/>
      </c>
      <c r="F2759" s="16">
        <f>IF($N2759="","",IF(INDEX(LdBAmt,$N2759)=0,"",INDEX(LdBAmt,$N2759)))</f>
        <v/>
      </c>
      <c r="G2759" s="30">
        <f>IF($N2759="","",IF(INDEX(LdBNote,$N2759)="","—",INDEX(LdBNote,$N2759)))</f>
        <v/>
      </c>
      <c r="N2759">
        <f>IFERROR(MATCH($C$5&amp;"|"&amp;RIGHT("000000"&amp;739,6),LdBKeyG,0),"")</f>
        <v/>
      </c>
    </row>
    <row r="2760">
      <c r="A2760" s="19" t="n">
        <v>740</v>
      </c>
      <c r="B2760" s="20">
        <f>IF($N2760="","",INDEX(LdBDate,$N2760))</f>
        <v/>
      </c>
      <c r="C2760" s="20">
        <f>IF($N2760="","",IF(INDEX(LdBId,$N2760)="","—",INDEX(LdBId,$N2760)))</f>
        <v/>
      </c>
      <c r="D2760" s="20">
        <f>IF($N2760="","",INDEX(LdBMember,$N2760))</f>
        <v/>
      </c>
      <c r="E2760" s="20">
        <f>IF($N2760="","",IFERROR(IF(VLOOKUP(INDEX(LdBMember,$N2760),AcctTblE,4,0)="","(بدون نام)",VLOOKUP(INDEX(LdBMember,$N2760),AcctTblE,4,0)),"—"))</f>
        <v/>
      </c>
      <c r="F2760" s="21">
        <f>IF($N2760="","",IF(INDEX(LdBAmt,$N2760)=0,"",INDEX(LdBAmt,$N2760)))</f>
        <v/>
      </c>
      <c r="G2760" s="32">
        <f>IF($N2760="","",IF(INDEX(LdBNote,$N2760)="","—",INDEX(LdBNote,$N2760)))</f>
        <v/>
      </c>
      <c r="N2760">
        <f>IFERROR(MATCH($C$5&amp;"|"&amp;RIGHT("000000"&amp;740,6),LdBKeyG,0),"")</f>
        <v/>
      </c>
    </row>
    <row r="2761">
      <c r="A2761" s="10" t="n">
        <v>741</v>
      </c>
      <c r="B2761" s="14">
        <f>IF($N2761="","",INDEX(LdBDate,$N2761))</f>
        <v/>
      </c>
      <c r="C2761" s="14">
        <f>IF($N2761="","",IF(INDEX(LdBId,$N2761)="","—",INDEX(LdBId,$N2761)))</f>
        <v/>
      </c>
      <c r="D2761" s="14">
        <f>IF($N2761="","",INDEX(LdBMember,$N2761))</f>
        <v/>
      </c>
      <c r="E2761" s="14">
        <f>IF($N2761="","",IFERROR(IF(VLOOKUP(INDEX(LdBMember,$N2761),AcctTblE,4,0)="","(بدون نام)",VLOOKUP(INDEX(LdBMember,$N2761),AcctTblE,4,0)),"—"))</f>
        <v/>
      </c>
      <c r="F2761" s="16">
        <f>IF($N2761="","",IF(INDEX(LdBAmt,$N2761)=0,"",INDEX(LdBAmt,$N2761)))</f>
        <v/>
      </c>
      <c r="G2761" s="30">
        <f>IF($N2761="","",IF(INDEX(LdBNote,$N2761)="","—",INDEX(LdBNote,$N2761)))</f>
        <v/>
      </c>
      <c r="N2761">
        <f>IFERROR(MATCH($C$5&amp;"|"&amp;RIGHT("000000"&amp;741,6),LdBKeyG,0),"")</f>
        <v/>
      </c>
    </row>
    <row r="2762">
      <c r="A2762" s="19" t="n">
        <v>742</v>
      </c>
      <c r="B2762" s="20">
        <f>IF($N2762="","",INDEX(LdBDate,$N2762))</f>
        <v/>
      </c>
      <c r="C2762" s="20">
        <f>IF($N2762="","",IF(INDEX(LdBId,$N2762)="","—",INDEX(LdBId,$N2762)))</f>
        <v/>
      </c>
      <c r="D2762" s="20">
        <f>IF($N2762="","",INDEX(LdBMember,$N2762))</f>
        <v/>
      </c>
      <c r="E2762" s="20">
        <f>IF($N2762="","",IFERROR(IF(VLOOKUP(INDEX(LdBMember,$N2762),AcctTblE,4,0)="","(بدون نام)",VLOOKUP(INDEX(LdBMember,$N2762),AcctTblE,4,0)),"—"))</f>
        <v/>
      </c>
      <c r="F2762" s="21">
        <f>IF($N2762="","",IF(INDEX(LdBAmt,$N2762)=0,"",INDEX(LdBAmt,$N2762)))</f>
        <v/>
      </c>
      <c r="G2762" s="32">
        <f>IF($N2762="","",IF(INDEX(LdBNote,$N2762)="","—",INDEX(LdBNote,$N2762)))</f>
        <v/>
      </c>
      <c r="N2762">
        <f>IFERROR(MATCH($C$5&amp;"|"&amp;RIGHT("000000"&amp;742,6),LdBKeyG,0),"")</f>
        <v/>
      </c>
    </row>
    <row r="2763">
      <c r="A2763" s="10" t="n">
        <v>743</v>
      </c>
      <c r="B2763" s="14">
        <f>IF($N2763="","",INDEX(LdBDate,$N2763))</f>
        <v/>
      </c>
      <c r="C2763" s="14">
        <f>IF($N2763="","",IF(INDEX(LdBId,$N2763)="","—",INDEX(LdBId,$N2763)))</f>
        <v/>
      </c>
      <c r="D2763" s="14">
        <f>IF($N2763="","",INDEX(LdBMember,$N2763))</f>
        <v/>
      </c>
      <c r="E2763" s="14">
        <f>IF($N2763="","",IFERROR(IF(VLOOKUP(INDEX(LdBMember,$N2763),AcctTblE,4,0)="","(بدون نام)",VLOOKUP(INDEX(LdBMember,$N2763),AcctTblE,4,0)),"—"))</f>
        <v/>
      </c>
      <c r="F2763" s="16">
        <f>IF($N2763="","",IF(INDEX(LdBAmt,$N2763)=0,"",INDEX(LdBAmt,$N2763)))</f>
        <v/>
      </c>
      <c r="G2763" s="30">
        <f>IF($N2763="","",IF(INDEX(LdBNote,$N2763)="","—",INDEX(LdBNote,$N2763)))</f>
        <v/>
      </c>
      <c r="N2763">
        <f>IFERROR(MATCH($C$5&amp;"|"&amp;RIGHT("000000"&amp;743,6),LdBKeyG,0),"")</f>
        <v/>
      </c>
    </row>
    <row r="2764">
      <c r="A2764" s="19" t="n">
        <v>744</v>
      </c>
      <c r="B2764" s="20">
        <f>IF($N2764="","",INDEX(LdBDate,$N2764))</f>
        <v/>
      </c>
      <c r="C2764" s="20">
        <f>IF($N2764="","",IF(INDEX(LdBId,$N2764)="","—",INDEX(LdBId,$N2764)))</f>
        <v/>
      </c>
      <c r="D2764" s="20">
        <f>IF($N2764="","",INDEX(LdBMember,$N2764))</f>
        <v/>
      </c>
      <c r="E2764" s="20">
        <f>IF($N2764="","",IFERROR(IF(VLOOKUP(INDEX(LdBMember,$N2764),AcctTblE,4,0)="","(بدون نام)",VLOOKUP(INDEX(LdBMember,$N2764),AcctTblE,4,0)),"—"))</f>
        <v/>
      </c>
      <c r="F2764" s="21">
        <f>IF($N2764="","",IF(INDEX(LdBAmt,$N2764)=0,"",INDEX(LdBAmt,$N2764)))</f>
        <v/>
      </c>
      <c r="G2764" s="32">
        <f>IF($N2764="","",IF(INDEX(LdBNote,$N2764)="","—",INDEX(LdBNote,$N2764)))</f>
        <v/>
      </c>
      <c r="N2764">
        <f>IFERROR(MATCH($C$5&amp;"|"&amp;RIGHT("000000"&amp;744,6),LdBKeyG,0),"")</f>
        <v/>
      </c>
    </row>
    <row r="2765">
      <c r="A2765" s="10" t="n">
        <v>745</v>
      </c>
      <c r="B2765" s="14">
        <f>IF($N2765="","",INDEX(LdBDate,$N2765))</f>
        <v/>
      </c>
      <c r="C2765" s="14">
        <f>IF($N2765="","",IF(INDEX(LdBId,$N2765)="","—",INDEX(LdBId,$N2765)))</f>
        <v/>
      </c>
      <c r="D2765" s="14">
        <f>IF($N2765="","",INDEX(LdBMember,$N2765))</f>
        <v/>
      </c>
      <c r="E2765" s="14">
        <f>IF($N2765="","",IFERROR(IF(VLOOKUP(INDEX(LdBMember,$N2765),AcctTblE,4,0)="","(بدون نام)",VLOOKUP(INDEX(LdBMember,$N2765),AcctTblE,4,0)),"—"))</f>
        <v/>
      </c>
      <c r="F2765" s="16">
        <f>IF($N2765="","",IF(INDEX(LdBAmt,$N2765)=0,"",INDEX(LdBAmt,$N2765)))</f>
        <v/>
      </c>
      <c r="G2765" s="30">
        <f>IF($N2765="","",IF(INDEX(LdBNote,$N2765)="","—",INDEX(LdBNote,$N2765)))</f>
        <v/>
      </c>
      <c r="N2765">
        <f>IFERROR(MATCH($C$5&amp;"|"&amp;RIGHT("000000"&amp;745,6),LdBKeyG,0),"")</f>
        <v/>
      </c>
    </row>
    <row r="2766">
      <c r="A2766" s="19" t="n">
        <v>746</v>
      </c>
      <c r="B2766" s="20">
        <f>IF($N2766="","",INDEX(LdBDate,$N2766))</f>
        <v/>
      </c>
      <c r="C2766" s="20">
        <f>IF($N2766="","",IF(INDEX(LdBId,$N2766)="","—",INDEX(LdBId,$N2766)))</f>
        <v/>
      </c>
      <c r="D2766" s="20">
        <f>IF($N2766="","",INDEX(LdBMember,$N2766))</f>
        <v/>
      </c>
      <c r="E2766" s="20">
        <f>IF($N2766="","",IFERROR(IF(VLOOKUP(INDEX(LdBMember,$N2766),AcctTblE,4,0)="","(بدون نام)",VLOOKUP(INDEX(LdBMember,$N2766),AcctTblE,4,0)),"—"))</f>
        <v/>
      </c>
      <c r="F2766" s="21">
        <f>IF($N2766="","",IF(INDEX(LdBAmt,$N2766)=0,"",INDEX(LdBAmt,$N2766)))</f>
        <v/>
      </c>
      <c r="G2766" s="32">
        <f>IF($N2766="","",IF(INDEX(LdBNote,$N2766)="","—",INDEX(LdBNote,$N2766)))</f>
        <v/>
      </c>
      <c r="N2766">
        <f>IFERROR(MATCH($C$5&amp;"|"&amp;RIGHT("000000"&amp;746,6),LdBKeyG,0),"")</f>
        <v/>
      </c>
    </row>
    <row r="2767">
      <c r="A2767" s="10" t="n">
        <v>747</v>
      </c>
      <c r="B2767" s="14">
        <f>IF($N2767="","",INDEX(LdBDate,$N2767))</f>
        <v/>
      </c>
      <c r="C2767" s="14">
        <f>IF($N2767="","",IF(INDEX(LdBId,$N2767)="","—",INDEX(LdBId,$N2767)))</f>
        <v/>
      </c>
      <c r="D2767" s="14">
        <f>IF($N2767="","",INDEX(LdBMember,$N2767))</f>
        <v/>
      </c>
      <c r="E2767" s="14">
        <f>IF($N2767="","",IFERROR(IF(VLOOKUP(INDEX(LdBMember,$N2767),AcctTblE,4,0)="","(بدون نام)",VLOOKUP(INDEX(LdBMember,$N2767),AcctTblE,4,0)),"—"))</f>
        <v/>
      </c>
      <c r="F2767" s="16">
        <f>IF($N2767="","",IF(INDEX(LdBAmt,$N2767)=0,"",INDEX(LdBAmt,$N2767)))</f>
        <v/>
      </c>
      <c r="G2767" s="30">
        <f>IF($N2767="","",IF(INDEX(LdBNote,$N2767)="","—",INDEX(LdBNote,$N2767)))</f>
        <v/>
      </c>
      <c r="N2767">
        <f>IFERROR(MATCH($C$5&amp;"|"&amp;RIGHT("000000"&amp;747,6),LdBKeyG,0),"")</f>
        <v/>
      </c>
    </row>
    <row r="2768">
      <c r="A2768" s="19" t="n">
        <v>748</v>
      </c>
      <c r="B2768" s="20">
        <f>IF($N2768="","",INDEX(LdBDate,$N2768))</f>
        <v/>
      </c>
      <c r="C2768" s="20">
        <f>IF($N2768="","",IF(INDEX(LdBId,$N2768)="","—",INDEX(LdBId,$N2768)))</f>
        <v/>
      </c>
      <c r="D2768" s="20">
        <f>IF($N2768="","",INDEX(LdBMember,$N2768))</f>
        <v/>
      </c>
      <c r="E2768" s="20">
        <f>IF($N2768="","",IFERROR(IF(VLOOKUP(INDEX(LdBMember,$N2768),AcctTblE,4,0)="","(بدون نام)",VLOOKUP(INDEX(LdBMember,$N2768),AcctTblE,4,0)),"—"))</f>
        <v/>
      </c>
      <c r="F2768" s="21">
        <f>IF($N2768="","",IF(INDEX(LdBAmt,$N2768)=0,"",INDEX(LdBAmt,$N2768)))</f>
        <v/>
      </c>
      <c r="G2768" s="32">
        <f>IF($N2768="","",IF(INDEX(LdBNote,$N2768)="","—",INDEX(LdBNote,$N2768)))</f>
        <v/>
      </c>
      <c r="N2768">
        <f>IFERROR(MATCH($C$5&amp;"|"&amp;RIGHT("000000"&amp;748,6),LdBKeyG,0),"")</f>
        <v/>
      </c>
    </row>
    <row r="2769">
      <c r="A2769" s="10" t="n">
        <v>749</v>
      </c>
      <c r="B2769" s="14">
        <f>IF($N2769="","",INDEX(LdBDate,$N2769))</f>
        <v/>
      </c>
      <c r="C2769" s="14">
        <f>IF($N2769="","",IF(INDEX(LdBId,$N2769)="","—",INDEX(LdBId,$N2769)))</f>
        <v/>
      </c>
      <c r="D2769" s="14">
        <f>IF($N2769="","",INDEX(LdBMember,$N2769))</f>
        <v/>
      </c>
      <c r="E2769" s="14">
        <f>IF($N2769="","",IFERROR(IF(VLOOKUP(INDEX(LdBMember,$N2769),AcctTblE,4,0)="","(بدون نام)",VLOOKUP(INDEX(LdBMember,$N2769),AcctTblE,4,0)),"—"))</f>
        <v/>
      </c>
      <c r="F2769" s="16">
        <f>IF($N2769="","",IF(INDEX(LdBAmt,$N2769)=0,"",INDEX(LdBAmt,$N2769)))</f>
        <v/>
      </c>
      <c r="G2769" s="30">
        <f>IF($N2769="","",IF(INDEX(LdBNote,$N2769)="","—",INDEX(LdBNote,$N2769)))</f>
        <v/>
      </c>
      <c r="N2769">
        <f>IFERROR(MATCH($C$5&amp;"|"&amp;RIGHT("000000"&amp;749,6),LdBKeyG,0),"")</f>
        <v/>
      </c>
    </row>
    <row r="2770">
      <c r="A2770" s="19" t="n">
        <v>750</v>
      </c>
      <c r="B2770" s="20">
        <f>IF($N2770="","",INDEX(LdBDate,$N2770))</f>
        <v/>
      </c>
      <c r="C2770" s="20">
        <f>IF($N2770="","",IF(INDEX(LdBId,$N2770)="","—",INDEX(LdBId,$N2770)))</f>
        <v/>
      </c>
      <c r="D2770" s="20">
        <f>IF($N2770="","",INDEX(LdBMember,$N2770))</f>
        <v/>
      </c>
      <c r="E2770" s="20">
        <f>IF($N2770="","",IFERROR(IF(VLOOKUP(INDEX(LdBMember,$N2770),AcctTblE,4,0)="","(بدون نام)",VLOOKUP(INDEX(LdBMember,$N2770),AcctTblE,4,0)),"—"))</f>
        <v/>
      </c>
      <c r="F2770" s="21">
        <f>IF($N2770="","",IF(INDEX(LdBAmt,$N2770)=0,"",INDEX(LdBAmt,$N2770)))</f>
        <v/>
      </c>
      <c r="G2770" s="32">
        <f>IF($N2770="","",IF(INDEX(LdBNote,$N2770)="","—",INDEX(LdBNote,$N2770)))</f>
        <v/>
      </c>
      <c r="N2770">
        <f>IFERROR(MATCH($C$5&amp;"|"&amp;RIGHT("000000"&amp;750,6),LdBKeyG,0),"")</f>
        <v/>
      </c>
    </row>
    <row r="2771">
      <c r="A2771" s="10" t="n">
        <v>751</v>
      </c>
      <c r="B2771" s="14">
        <f>IF($N2771="","",INDEX(LdBDate,$N2771))</f>
        <v/>
      </c>
      <c r="C2771" s="14">
        <f>IF($N2771="","",IF(INDEX(LdBId,$N2771)="","—",INDEX(LdBId,$N2771)))</f>
        <v/>
      </c>
      <c r="D2771" s="14">
        <f>IF($N2771="","",INDEX(LdBMember,$N2771))</f>
        <v/>
      </c>
      <c r="E2771" s="14">
        <f>IF($N2771="","",IFERROR(IF(VLOOKUP(INDEX(LdBMember,$N2771),AcctTblE,4,0)="","(بدون نام)",VLOOKUP(INDEX(LdBMember,$N2771),AcctTblE,4,0)),"—"))</f>
        <v/>
      </c>
      <c r="F2771" s="16">
        <f>IF($N2771="","",IF(INDEX(LdBAmt,$N2771)=0,"",INDEX(LdBAmt,$N2771)))</f>
        <v/>
      </c>
      <c r="G2771" s="30">
        <f>IF($N2771="","",IF(INDEX(LdBNote,$N2771)="","—",INDEX(LdBNote,$N2771)))</f>
        <v/>
      </c>
      <c r="N2771">
        <f>IFERROR(MATCH($C$5&amp;"|"&amp;RIGHT("000000"&amp;751,6),LdBKeyG,0),"")</f>
        <v/>
      </c>
    </row>
    <row r="2772">
      <c r="A2772" s="19" t="n">
        <v>752</v>
      </c>
      <c r="B2772" s="20">
        <f>IF($N2772="","",INDEX(LdBDate,$N2772))</f>
        <v/>
      </c>
      <c r="C2772" s="20">
        <f>IF($N2772="","",IF(INDEX(LdBId,$N2772)="","—",INDEX(LdBId,$N2772)))</f>
        <v/>
      </c>
      <c r="D2772" s="20">
        <f>IF($N2772="","",INDEX(LdBMember,$N2772))</f>
        <v/>
      </c>
      <c r="E2772" s="20">
        <f>IF($N2772="","",IFERROR(IF(VLOOKUP(INDEX(LdBMember,$N2772),AcctTblE,4,0)="","(بدون نام)",VLOOKUP(INDEX(LdBMember,$N2772),AcctTblE,4,0)),"—"))</f>
        <v/>
      </c>
      <c r="F2772" s="21">
        <f>IF($N2772="","",IF(INDEX(LdBAmt,$N2772)=0,"",INDEX(LdBAmt,$N2772)))</f>
        <v/>
      </c>
      <c r="G2772" s="32">
        <f>IF($N2772="","",IF(INDEX(LdBNote,$N2772)="","—",INDEX(LdBNote,$N2772)))</f>
        <v/>
      </c>
      <c r="N2772">
        <f>IFERROR(MATCH($C$5&amp;"|"&amp;RIGHT("000000"&amp;752,6),LdBKeyG,0),"")</f>
        <v/>
      </c>
    </row>
    <row r="2773">
      <c r="A2773" s="10" t="n">
        <v>753</v>
      </c>
      <c r="B2773" s="14">
        <f>IF($N2773="","",INDEX(LdBDate,$N2773))</f>
        <v/>
      </c>
      <c r="C2773" s="14">
        <f>IF($N2773="","",IF(INDEX(LdBId,$N2773)="","—",INDEX(LdBId,$N2773)))</f>
        <v/>
      </c>
      <c r="D2773" s="14">
        <f>IF($N2773="","",INDEX(LdBMember,$N2773))</f>
        <v/>
      </c>
      <c r="E2773" s="14">
        <f>IF($N2773="","",IFERROR(IF(VLOOKUP(INDEX(LdBMember,$N2773),AcctTblE,4,0)="","(بدون نام)",VLOOKUP(INDEX(LdBMember,$N2773),AcctTblE,4,0)),"—"))</f>
        <v/>
      </c>
      <c r="F2773" s="16">
        <f>IF($N2773="","",IF(INDEX(LdBAmt,$N2773)=0,"",INDEX(LdBAmt,$N2773)))</f>
        <v/>
      </c>
      <c r="G2773" s="30">
        <f>IF($N2773="","",IF(INDEX(LdBNote,$N2773)="","—",INDEX(LdBNote,$N2773)))</f>
        <v/>
      </c>
      <c r="N2773">
        <f>IFERROR(MATCH($C$5&amp;"|"&amp;RIGHT("000000"&amp;753,6),LdBKeyG,0),"")</f>
        <v/>
      </c>
    </row>
    <row r="2774">
      <c r="A2774" s="19" t="n">
        <v>754</v>
      </c>
      <c r="B2774" s="20">
        <f>IF($N2774="","",INDEX(LdBDate,$N2774))</f>
        <v/>
      </c>
      <c r="C2774" s="20">
        <f>IF($N2774="","",IF(INDEX(LdBId,$N2774)="","—",INDEX(LdBId,$N2774)))</f>
        <v/>
      </c>
      <c r="D2774" s="20">
        <f>IF($N2774="","",INDEX(LdBMember,$N2774))</f>
        <v/>
      </c>
      <c r="E2774" s="20">
        <f>IF($N2774="","",IFERROR(IF(VLOOKUP(INDEX(LdBMember,$N2774),AcctTblE,4,0)="","(بدون نام)",VLOOKUP(INDEX(LdBMember,$N2774),AcctTblE,4,0)),"—"))</f>
        <v/>
      </c>
      <c r="F2774" s="21">
        <f>IF($N2774="","",IF(INDEX(LdBAmt,$N2774)=0,"",INDEX(LdBAmt,$N2774)))</f>
        <v/>
      </c>
      <c r="G2774" s="32">
        <f>IF($N2774="","",IF(INDEX(LdBNote,$N2774)="","—",INDEX(LdBNote,$N2774)))</f>
        <v/>
      </c>
      <c r="N2774">
        <f>IFERROR(MATCH($C$5&amp;"|"&amp;RIGHT("000000"&amp;754,6),LdBKeyG,0),"")</f>
        <v/>
      </c>
    </row>
    <row r="2775">
      <c r="A2775" s="10" t="n">
        <v>755</v>
      </c>
      <c r="B2775" s="14">
        <f>IF($N2775="","",INDEX(LdBDate,$N2775))</f>
        <v/>
      </c>
      <c r="C2775" s="14">
        <f>IF($N2775="","",IF(INDEX(LdBId,$N2775)="","—",INDEX(LdBId,$N2775)))</f>
        <v/>
      </c>
      <c r="D2775" s="14">
        <f>IF($N2775="","",INDEX(LdBMember,$N2775))</f>
        <v/>
      </c>
      <c r="E2775" s="14">
        <f>IF($N2775="","",IFERROR(IF(VLOOKUP(INDEX(LdBMember,$N2775),AcctTblE,4,0)="","(بدون نام)",VLOOKUP(INDEX(LdBMember,$N2775),AcctTblE,4,0)),"—"))</f>
        <v/>
      </c>
      <c r="F2775" s="16">
        <f>IF($N2775="","",IF(INDEX(LdBAmt,$N2775)=0,"",INDEX(LdBAmt,$N2775)))</f>
        <v/>
      </c>
      <c r="G2775" s="30">
        <f>IF($N2775="","",IF(INDEX(LdBNote,$N2775)="","—",INDEX(LdBNote,$N2775)))</f>
        <v/>
      </c>
      <c r="N2775">
        <f>IFERROR(MATCH($C$5&amp;"|"&amp;RIGHT("000000"&amp;755,6),LdBKeyG,0),"")</f>
        <v/>
      </c>
    </row>
    <row r="2776">
      <c r="A2776" s="19" t="n">
        <v>756</v>
      </c>
      <c r="B2776" s="20">
        <f>IF($N2776="","",INDEX(LdBDate,$N2776))</f>
        <v/>
      </c>
      <c r="C2776" s="20">
        <f>IF($N2776="","",IF(INDEX(LdBId,$N2776)="","—",INDEX(LdBId,$N2776)))</f>
        <v/>
      </c>
      <c r="D2776" s="20">
        <f>IF($N2776="","",INDEX(LdBMember,$N2776))</f>
        <v/>
      </c>
      <c r="E2776" s="20">
        <f>IF($N2776="","",IFERROR(IF(VLOOKUP(INDEX(LdBMember,$N2776),AcctTblE,4,0)="","(بدون نام)",VLOOKUP(INDEX(LdBMember,$N2776),AcctTblE,4,0)),"—"))</f>
        <v/>
      </c>
      <c r="F2776" s="21">
        <f>IF($N2776="","",IF(INDEX(LdBAmt,$N2776)=0,"",INDEX(LdBAmt,$N2776)))</f>
        <v/>
      </c>
      <c r="G2776" s="32">
        <f>IF($N2776="","",IF(INDEX(LdBNote,$N2776)="","—",INDEX(LdBNote,$N2776)))</f>
        <v/>
      </c>
      <c r="N2776">
        <f>IFERROR(MATCH($C$5&amp;"|"&amp;RIGHT("000000"&amp;756,6),LdBKeyG,0),"")</f>
        <v/>
      </c>
    </row>
    <row r="2777">
      <c r="A2777" s="10" t="n">
        <v>757</v>
      </c>
      <c r="B2777" s="14">
        <f>IF($N2777="","",INDEX(LdBDate,$N2777))</f>
        <v/>
      </c>
      <c r="C2777" s="14">
        <f>IF($N2777="","",IF(INDEX(LdBId,$N2777)="","—",INDEX(LdBId,$N2777)))</f>
        <v/>
      </c>
      <c r="D2777" s="14">
        <f>IF($N2777="","",INDEX(LdBMember,$N2777))</f>
        <v/>
      </c>
      <c r="E2777" s="14">
        <f>IF($N2777="","",IFERROR(IF(VLOOKUP(INDEX(LdBMember,$N2777),AcctTblE,4,0)="","(بدون نام)",VLOOKUP(INDEX(LdBMember,$N2777),AcctTblE,4,0)),"—"))</f>
        <v/>
      </c>
      <c r="F2777" s="16">
        <f>IF($N2777="","",IF(INDEX(LdBAmt,$N2777)=0,"",INDEX(LdBAmt,$N2777)))</f>
        <v/>
      </c>
      <c r="G2777" s="30">
        <f>IF($N2777="","",IF(INDEX(LdBNote,$N2777)="","—",INDEX(LdBNote,$N2777)))</f>
        <v/>
      </c>
      <c r="N2777">
        <f>IFERROR(MATCH($C$5&amp;"|"&amp;RIGHT("000000"&amp;757,6),LdBKeyG,0),"")</f>
        <v/>
      </c>
    </row>
    <row r="2778">
      <c r="A2778" s="19" t="n">
        <v>758</v>
      </c>
      <c r="B2778" s="20">
        <f>IF($N2778="","",INDEX(LdBDate,$N2778))</f>
        <v/>
      </c>
      <c r="C2778" s="20">
        <f>IF($N2778="","",IF(INDEX(LdBId,$N2778)="","—",INDEX(LdBId,$N2778)))</f>
        <v/>
      </c>
      <c r="D2778" s="20">
        <f>IF($N2778="","",INDEX(LdBMember,$N2778))</f>
        <v/>
      </c>
      <c r="E2778" s="20">
        <f>IF($N2778="","",IFERROR(IF(VLOOKUP(INDEX(LdBMember,$N2778),AcctTblE,4,0)="","(بدون نام)",VLOOKUP(INDEX(LdBMember,$N2778),AcctTblE,4,0)),"—"))</f>
        <v/>
      </c>
      <c r="F2778" s="21">
        <f>IF($N2778="","",IF(INDEX(LdBAmt,$N2778)=0,"",INDEX(LdBAmt,$N2778)))</f>
        <v/>
      </c>
      <c r="G2778" s="32">
        <f>IF($N2778="","",IF(INDEX(LdBNote,$N2778)="","—",INDEX(LdBNote,$N2778)))</f>
        <v/>
      </c>
      <c r="N2778">
        <f>IFERROR(MATCH($C$5&amp;"|"&amp;RIGHT("000000"&amp;758,6),LdBKeyG,0),"")</f>
        <v/>
      </c>
    </row>
    <row r="2779">
      <c r="A2779" s="10" t="n">
        <v>759</v>
      </c>
      <c r="B2779" s="14">
        <f>IF($N2779="","",INDEX(LdBDate,$N2779))</f>
        <v/>
      </c>
      <c r="C2779" s="14">
        <f>IF($N2779="","",IF(INDEX(LdBId,$N2779)="","—",INDEX(LdBId,$N2779)))</f>
        <v/>
      </c>
      <c r="D2779" s="14">
        <f>IF($N2779="","",INDEX(LdBMember,$N2779))</f>
        <v/>
      </c>
      <c r="E2779" s="14">
        <f>IF($N2779="","",IFERROR(IF(VLOOKUP(INDEX(LdBMember,$N2779),AcctTblE,4,0)="","(بدون نام)",VLOOKUP(INDEX(LdBMember,$N2779),AcctTblE,4,0)),"—"))</f>
        <v/>
      </c>
      <c r="F2779" s="16">
        <f>IF($N2779="","",IF(INDEX(LdBAmt,$N2779)=0,"",INDEX(LdBAmt,$N2779)))</f>
        <v/>
      </c>
      <c r="G2779" s="30">
        <f>IF($N2779="","",IF(INDEX(LdBNote,$N2779)="","—",INDEX(LdBNote,$N2779)))</f>
        <v/>
      </c>
      <c r="N2779">
        <f>IFERROR(MATCH($C$5&amp;"|"&amp;RIGHT("000000"&amp;759,6),LdBKeyG,0),"")</f>
        <v/>
      </c>
    </row>
    <row r="2780">
      <c r="A2780" s="19" t="n">
        <v>760</v>
      </c>
      <c r="B2780" s="20">
        <f>IF($N2780="","",INDEX(LdBDate,$N2780))</f>
        <v/>
      </c>
      <c r="C2780" s="20">
        <f>IF($N2780="","",IF(INDEX(LdBId,$N2780)="","—",INDEX(LdBId,$N2780)))</f>
        <v/>
      </c>
      <c r="D2780" s="20">
        <f>IF($N2780="","",INDEX(LdBMember,$N2780))</f>
        <v/>
      </c>
      <c r="E2780" s="20">
        <f>IF($N2780="","",IFERROR(IF(VLOOKUP(INDEX(LdBMember,$N2780),AcctTblE,4,0)="","(بدون نام)",VLOOKUP(INDEX(LdBMember,$N2780),AcctTblE,4,0)),"—"))</f>
        <v/>
      </c>
      <c r="F2780" s="21">
        <f>IF($N2780="","",IF(INDEX(LdBAmt,$N2780)=0,"",INDEX(LdBAmt,$N2780)))</f>
        <v/>
      </c>
      <c r="G2780" s="32">
        <f>IF($N2780="","",IF(INDEX(LdBNote,$N2780)="","—",INDEX(LdBNote,$N2780)))</f>
        <v/>
      </c>
      <c r="N2780">
        <f>IFERROR(MATCH($C$5&amp;"|"&amp;RIGHT("000000"&amp;760,6),LdBKeyG,0),"")</f>
        <v/>
      </c>
    </row>
    <row r="2781">
      <c r="A2781" s="10" t="n">
        <v>761</v>
      </c>
      <c r="B2781" s="14">
        <f>IF($N2781="","",INDEX(LdBDate,$N2781))</f>
        <v/>
      </c>
      <c r="C2781" s="14">
        <f>IF($N2781="","",IF(INDEX(LdBId,$N2781)="","—",INDEX(LdBId,$N2781)))</f>
        <v/>
      </c>
      <c r="D2781" s="14">
        <f>IF($N2781="","",INDEX(LdBMember,$N2781))</f>
        <v/>
      </c>
      <c r="E2781" s="14">
        <f>IF($N2781="","",IFERROR(IF(VLOOKUP(INDEX(LdBMember,$N2781),AcctTblE,4,0)="","(بدون نام)",VLOOKUP(INDEX(LdBMember,$N2781),AcctTblE,4,0)),"—"))</f>
        <v/>
      </c>
      <c r="F2781" s="16">
        <f>IF($N2781="","",IF(INDEX(LdBAmt,$N2781)=0,"",INDEX(LdBAmt,$N2781)))</f>
        <v/>
      </c>
      <c r="G2781" s="30">
        <f>IF($N2781="","",IF(INDEX(LdBNote,$N2781)="","—",INDEX(LdBNote,$N2781)))</f>
        <v/>
      </c>
      <c r="N2781">
        <f>IFERROR(MATCH($C$5&amp;"|"&amp;RIGHT("000000"&amp;761,6),LdBKeyG,0),"")</f>
        <v/>
      </c>
    </row>
    <row r="2782">
      <c r="A2782" s="19" t="n">
        <v>762</v>
      </c>
      <c r="B2782" s="20">
        <f>IF($N2782="","",INDEX(LdBDate,$N2782))</f>
        <v/>
      </c>
      <c r="C2782" s="20">
        <f>IF($N2782="","",IF(INDEX(LdBId,$N2782)="","—",INDEX(LdBId,$N2782)))</f>
        <v/>
      </c>
      <c r="D2782" s="20">
        <f>IF($N2782="","",INDEX(LdBMember,$N2782))</f>
        <v/>
      </c>
      <c r="E2782" s="20">
        <f>IF($N2782="","",IFERROR(IF(VLOOKUP(INDEX(LdBMember,$N2782),AcctTblE,4,0)="","(بدون نام)",VLOOKUP(INDEX(LdBMember,$N2782),AcctTblE,4,0)),"—"))</f>
        <v/>
      </c>
      <c r="F2782" s="21">
        <f>IF($N2782="","",IF(INDEX(LdBAmt,$N2782)=0,"",INDEX(LdBAmt,$N2782)))</f>
        <v/>
      </c>
      <c r="G2782" s="32">
        <f>IF($N2782="","",IF(INDEX(LdBNote,$N2782)="","—",INDEX(LdBNote,$N2782)))</f>
        <v/>
      </c>
      <c r="N2782">
        <f>IFERROR(MATCH($C$5&amp;"|"&amp;RIGHT("000000"&amp;762,6),LdBKeyG,0),"")</f>
        <v/>
      </c>
    </row>
    <row r="2783">
      <c r="A2783" s="10" t="n">
        <v>763</v>
      </c>
      <c r="B2783" s="14">
        <f>IF($N2783="","",INDEX(LdBDate,$N2783))</f>
        <v/>
      </c>
      <c r="C2783" s="14">
        <f>IF($N2783="","",IF(INDEX(LdBId,$N2783)="","—",INDEX(LdBId,$N2783)))</f>
        <v/>
      </c>
      <c r="D2783" s="14">
        <f>IF($N2783="","",INDEX(LdBMember,$N2783))</f>
        <v/>
      </c>
      <c r="E2783" s="14">
        <f>IF($N2783="","",IFERROR(IF(VLOOKUP(INDEX(LdBMember,$N2783),AcctTblE,4,0)="","(بدون نام)",VLOOKUP(INDEX(LdBMember,$N2783),AcctTblE,4,0)),"—"))</f>
        <v/>
      </c>
      <c r="F2783" s="16">
        <f>IF($N2783="","",IF(INDEX(LdBAmt,$N2783)=0,"",INDEX(LdBAmt,$N2783)))</f>
        <v/>
      </c>
      <c r="G2783" s="30">
        <f>IF($N2783="","",IF(INDEX(LdBNote,$N2783)="","—",INDEX(LdBNote,$N2783)))</f>
        <v/>
      </c>
      <c r="N2783">
        <f>IFERROR(MATCH($C$5&amp;"|"&amp;RIGHT("000000"&amp;763,6),LdBKeyG,0),"")</f>
        <v/>
      </c>
    </row>
    <row r="2784">
      <c r="A2784" s="19" t="n">
        <v>764</v>
      </c>
      <c r="B2784" s="20">
        <f>IF($N2784="","",INDEX(LdBDate,$N2784))</f>
        <v/>
      </c>
      <c r="C2784" s="20">
        <f>IF($N2784="","",IF(INDEX(LdBId,$N2784)="","—",INDEX(LdBId,$N2784)))</f>
        <v/>
      </c>
      <c r="D2784" s="20">
        <f>IF($N2784="","",INDEX(LdBMember,$N2784))</f>
        <v/>
      </c>
      <c r="E2784" s="20">
        <f>IF($N2784="","",IFERROR(IF(VLOOKUP(INDEX(LdBMember,$N2784),AcctTblE,4,0)="","(بدون نام)",VLOOKUP(INDEX(LdBMember,$N2784),AcctTblE,4,0)),"—"))</f>
        <v/>
      </c>
      <c r="F2784" s="21">
        <f>IF($N2784="","",IF(INDEX(LdBAmt,$N2784)=0,"",INDEX(LdBAmt,$N2784)))</f>
        <v/>
      </c>
      <c r="G2784" s="32">
        <f>IF($N2784="","",IF(INDEX(LdBNote,$N2784)="","—",INDEX(LdBNote,$N2784)))</f>
        <v/>
      </c>
      <c r="N2784">
        <f>IFERROR(MATCH($C$5&amp;"|"&amp;RIGHT("000000"&amp;764,6),LdBKeyG,0),"")</f>
        <v/>
      </c>
    </row>
    <row r="2785">
      <c r="A2785" s="10" t="n">
        <v>765</v>
      </c>
      <c r="B2785" s="14">
        <f>IF($N2785="","",INDEX(LdBDate,$N2785))</f>
        <v/>
      </c>
      <c r="C2785" s="14">
        <f>IF($N2785="","",IF(INDEX(LdBId,$N2785)="","—",INDEX(LdBId,$N2785)))</f>
        <v/>
      </c>
      <c r="D2785" s="14">
        <f>IF($N2785="","",INDEX(LdBMember,$N2785))</f>
        <v/>
      </c>
      <c r="E2785" s="14">
        <f>IF($N2785="","",IFERROR(IF(VLOOKUP(INDEX(LdBMember,$N2785),AcctTblE,4,0)="","(بدون نام)",VLOOKUP(INDEX(LdBMember,$N2785),AcctTblE,4,0)),"—"))</f>
        <v/>
      </c>
      <c r="F2785" s="16">
        <f>IF($N2785="","",IF(INDEX(LdBAmt,$N2785)=0,"",INDEX(LdBAmt,$N2785)))</f>
        <v/>
      </c>
      <c r="G2785" s="30">
        <f>IF($N2785="","",IF(INDEX(LdBNote,$N2785)="","—",INDEX(LdBNote,$N2785)))</f>
        <v/>
      </c>
      <c r="N2785">
        <f>IFERROR(MATCH($C$5&amp;"|"&amp;RIGHT("000000"&amp;765,6),LdBKeyG,0),"")</f>
        <v/>
      </c>
    </row>
    <row r="2786">
      <c r="A2786" s="19" t="n">
        <v>766</v>
      </c>
      <c r="B2786" s="20">
        <f>IF($N2786="","",INDEX(LdBDate,$N2786))</f>
        <v/>
      </c>
      <c r="C2786" s="20">
        <f>IF($N2786="","",IF(INDEX(LdBId,$N2786)="","—",INDEX(LdBId,$N2786)))</f>
        <v/>
      </c>
      <c r="D2786" s="20">
        <f>IF($N2786="","",INDEX(LdBMember,$N2786))</f>
        <v/>
      </c>
      <c r="E2786" s="20">
        <f>IF($N2786="","",IFERROR(IF(VLOOKUP(INDEX(LdBMember,$N2786),AcctTblE,4,0)="","(بدون نام)",VLOOKUP(INDEX(LdBMember,$N2786),AcctTblE,4,0)),"—"))</f>
        <v/>
      </c>
      <c r="F2786" s="21">
        <f>IF($N2786="","",IF(INDEX(LdBAmt,$N2786)=0,"",INDEX(LdBAmt,$N2786)))</f>
        <v/>
      </c>
      <c r="G2786" s="32">
        <f>IF($N2786="","",IF(INDEX(LdBNote,$N2786)="","—",INDEX(LdBNote,$N2786)))</f>
        <v/>
      </c>
      <c r="N2786">
        <f>IFERROR(MATCH($C$5&amp;"|"&amp;RIGHT("000000"&amp;766,6),LdBKeyG,0),"")</f>
        <v/>
      </c>
    </row>
    <row r="2787">
      <c r="A2787" s="10" t="n">
        <v>767</v>
      </c>
      <c r="B2787" s="14">
        <f>IF($N2787="","",INDEX(LdBDate,$N2787))</f>
        <v/>
      </c>
      <c r="C2787" s="14">
        <f>IF($N2787="","",IF(INDEX(LdBId,$N2787)="","—",INDEX(LdBId,$N2787)))</f>
        <v/>
      </c>
      <c r="D2787" s="14">
        <f>IF($N2787="","",INDEX(LdBMember,$N2787))</f>
        <v/>
      </c>
      <c r="E2787" s="14">
        <f>IF($N2787="","",IFERROR(IF(VLOOKUP(INDEX(LdBMember,$N2787),AcctTblE,4,0)="","(بدون نام)",VLOOKUP(INDEX(LdBMember,$N2787),AcctTblE,4,0)),"—"))</f>
        <v/>
      </c>
      <c r="F2787" s="16">
        <f>IF($N2787="","",IF(INDEX(LdBAmt,$N2787)=0,"",INDEX(LdBAmt,$N2787)))</f>
        <v/>
      </c>
      <c r="G2787" s="30">
        <f>IF($N2787="","",IF(INDEX(LdBNote,$N2787)="","—",INDEX(LdBNote,$N2787)))</f>
        <v/>
      </c>
      <c r="N2787">
        <f>IFERROR(MATCH($C$5&amp;"|"&amp;RIGHT("000000"&amp;767,6),LdBKeyG,0),"")</f>
        <v/>
      </c>
    </row>
    <row r="2788">
      <c r="A2788" s="19" t="n">
        <v>768</v>
      </c>
      <c r="B2788" s="20">
        <f>IF($N2788="","",INDEX(LdBDate,$N2788))</f>
        <v/>
      </c>
      <c r="C2788" s="20">
        <f>IF($N2788="","",IF(INDEX(LdBId,$N2788)="","—",INDEX(LdBId,$N2788)))</f>
        <v/>
      </c>
      <c r="D2788" s="20">
        <f>IF($N2788="","",INDEX(LdBMember,$N2788))</f>
        <v/>
      </c>
      <c r="E2788" s="20">
        <f>IF($N2788="","",IFERROR(IF(VLOOKUP(INDEX(LdBMember,$N2788),AcctTblE,4,0)="","(بدون نام)",VLOOKUP(INDEX(LdBMember,$N2788),AcctTblE,4,0)),"—"))</f>
        <v/>
      </c>
      <c r="F2788" s="21">
        <f>IF($N2788="","",IF(INDEX(LdBAmt,$N2788)=0,"",INDEX(LdBAmt,$N2788)))</f>
        <v/>
      </c>
      <c r="G2788" s="32">
        <f>IF($N2788="","",IF(INDEX(LdBNote,$N2788)="","—",INDEX(LdBNote,$N2788)))</f>
        <v/>
      </c>
      <c r="N2788">
        <f>IFERROR(MATCH($C$5&amp;"|"&amp;RIGHT("000000"&amp;768,6),LdBKeyG,0),"")</f>
        <v/>
      </c>
    </row>
    <row r="2789">
      <c r="A2789" s="10" t="n">
        <v>769</v>
      </c>
      <c r="B2789" s="14">
        <f>IF($N2789="","",INDEX(LdBDate,$N2789))</f>
        <v/>
      </c>
      <c r="C2789" s="14">
        <f>IF($N2789="","",IF(INDEX(LdBId,$N2789)="","—",INDEX(LdBId,$N2789)))</f>
        <v/>
      </c>
      <c r="D2789" s="14">
        <f>IF($N2789="","",INDEX(LdBMember,$N2789))</f>
        <v/>
      </c>
      <c r="E2789" s="14">
        <f>IF($N2789="","",IFERROR(IF(VLOOKUP(INDEX(LdBMember,$N2789),AcctTblE,4,0)="","(بدون نام)",VLOOKUP(INDEX(LdBMember,$N2789),AcctTblE,4,0)),"—"))</f>
        <v/>
      </c>
      <c r="F2789" s="16">
        <f>IF($N2789="","",IF(INDEX(LdBAmt,$N2789)=0,"",INDEX(LdBAmt,$N2789)))</f>
        <v/>
      </c>
      <c r="G2789" s="30">
        <f>IF($N2789="","",IF(INDEX(LdBNote,$N2789)="","—",INDEX(LdBNote,$N2789)))</f>
        <v/>
      </c>
      <c r="N2789">
        <f>IFERROR(MATCH($C$5&amp;"|"&amp;RIGHT("000000"&amp;769,6),LdBKeyG,0),"")</f>
        <v/>
      </c>
    </row>
    <row r="2790">
      <c r="A2790" s="19" t="n">
        <v>770</v>
      </c>
      <c r="B2790" s="20">
        <f>IF($N2790="","",INDEX(LdBDate,$N2790))</f>
        <v/>
      </c>
      <c r="C2790" s="20">
        <f>IF($N2790="","",IF(INDEX(LdBId,$N2790)="","—",INDEX(LdBId,$N2790)))</f>
        <v/>
      </c>
      <c r="D2790" s="20">
        <f>IF($N2790="","",INDEX(LdBMember,$N2790))</f>
        <v/>
      </c>
      <c r="E2790" s="20">
        <f>IF($N2790="","",IFERROR(IF(VLOOKUP(INDEX(LdBMember,$N2790),AcctTblE,4,0)="","(بدون نام)",VLOOKUP(INDEX(LdBMember,$N2790),AcctTblE,4,0)),"—"))</f>
        <v/>
      </c>
      <c r="F2790" s="21">
        <f>IF($N2790="","",IF(INDEX(LdBAmt,$N2790)=0,"",INDEX(LdBAmt,$N2790)))</f>
        <v/>
      </c>
      <c r="G2790" s="32">
        <f>IF($N2790="","",IF(INDEX(LdBNote,$N2790)="","—",INDEX(LdBNote,$N2790)))</f>
        <v/>
      </c>
      <c r="N2790">
        <f>IFERROR(MATCH($C$5&amp;"|"&amp;RIGHT("000000"&amp;770,6),LdBKeyG,0),"")</f>
        <v/>
      </c>
    </row>
    <row r="2791">
      <c r="A2791" s="10" t="n">
        <v>771</v>
      </c>
      <c r="B2791" s="14">
        <f>IF($N2791="","",INDEX(LdBDate,$N2791))</f>
        <v/>
      </c>
      <c r="C2791" s="14">
        <f>IF($N2791="","",IF(INDEX(LdBId,$N2791)="","—",INDEX(LdBId,$N2791)))</f>
        <v/>
      </c>
      <c r="D2791" s="14">
        <f>IF($N2791="","",INDEX(LdBMember,$N2791))</f>
        <v/>
      </c>
      <c r="E2791" s="14">
        <f>IF($N2791="","",IFERROR(IF(VLOOKUP(INDEX(LdBMember,$N2791),AcctTblE,4,0)="","(بدون نام)",VLOOKUP(INDEX(LdBMember,$N2791),AcctTblE,4,0)),"—"))</f>
        <v/>
      </c>
      <c r="F2791" s="16">
        <f>IF($N2791="","",IF(INDEX(LdBAmt,$N2791)=0,"",INDEX(LdBAmt,$N2791)))</f>
        <v/>
      </c>
      <c r="G2791" s="30">
        <f>IF($N2791="","",IF(INDEX(LdBNote,$N2791)="","—",INDEX(LdBNote,$N2791)))</f>
        <v/>
      </c>
      <c r="N2791">
        <f>IFERROR(MATCH($C$5&amp;"|"&amp;RIGHT("000000"&amp;771,6),LdBKeyG,0),"")</f>
        <v/>
      </c>
    </row>
    <row r="2792">
      <c r="A2792" s="19" t="n">
        <v>772</v>
      </c>
      <c r="B2792" s="20">
        <f>IF($N2792="","",INDEX(LdBDate,$N2792))</f>
        <v/>
      </c>
      <c r="C2792" s="20">
        <f>IF($N2792="","",IF(INDEX(LdBId,$N2792)="","—",INDEX(LdBId,$N2792)))</f>
        <v/>
      </c>
      <c r="D2792" s="20">
        <f>IF($N2792="","",INDEX(LdBMember,$N2792))</f>
        <v/>
      </c>
      <c r="E2792" s="20">
        <f>IF($N2792="","",IFERROR(IF(VLOOKUP(INDEX(LdBMember,$N2792),AcctTblE,4,0)="","(بدون نام)",VLOOKUP(INDEX(LdBMember,$N2792),AcctTblE,4,0)),"—"))</f>
        <v/>
      </c>
      <c r="F2792" s="21">
        <f>IF($N2792="","",IF(INDEX(LdBAmt,$N2792)=0,"",INDEX(LdBAmt,$N2792)))</f>
        <v/>
      </c>
      <c r="G2792" s="32">
        <f>IF($N2792="","",IF(INDEX(LdBNote,$N2792)="","—",INDEX(LdBNote,$N2792)))</f>
        <v/>
      </c>
      <c r="N2792">
        <f>IFERROR(MATCH($C$5&amp;"|"&amp;RIGHT("000000"&amp;772,6),LdBKeyG,0),"")</f>
        <v/>
      </c>
    </row>
    <row r="2793">
      <c r="A2793" s="10" t="n">
        <v>773</v>
      </c>
      <c r="B2793" s="14">
        <f>IF($N2793="","",INDEX(LdBDate,$N2793))</f>
        <v/>
      </c>
      <c r="C2793" s="14">
        <f>IF($N2793="","",IF(INDEX(LdBId,$N2793)="","—",INDEX(LdBId,$N2793)))</f>
        <v/>
      </c>
      <c r="D2793" s="14">
        <f>IF($N2793="","",INDEX(LdBMember,$N2793))</f>
        <v/>
      </c>
      <c r="E2793" s="14">
        <f>IF($N2793="","",IFERROR(IF(VLOOKUP(INDEX(LdBMember,$N2793),AcctTblE,4,0)="","(بدون نام)",VLOOKUP(INDEX(LdBMember,$N2793),AcctTblE,4,0)),"—"))</f>
        <v/>
      </c>
      <c r="F2793" s="16">
        <f>IF($N2793="","",IF(INDEX(LdBAmt,$N2793)=0,"",INDEX(LdBAmt,$N2793)))</f>
        <v/>
      </c>
      <c r="G2793" s="30">
        <f>IF($N2793="","",IF(INDEX(LdBNote,$N2793)="","—",INDEX(LdBNote,$N2793)))</f>
        <v/>
      </c>
      <c r="N2793">
        <f>IFERROR(MATCH($C$5&amp;"|"&amp;RIGHT("000000"&amp;773,6),LdBKeyG,0),"")</f>
        <v/>
      </c>
    </row>
    <row r="2794">
      <c r="A2794" s="19" t="n">
        <v>774</v>
      </c>
      <c r="B2794" s="20">
        <f>IF($N2794="","",INDEX(LdBDate,$N2794))</f>
        <v/>
      </c>
      <c r="C2794" s="20">
        <f>IF($N2794="","",IF(INDEX(LdBId,$N2794)="","—",INDEX(LdBId,$N2794)))</f>
        <v/>
      </c>
      <c r="D2794" s="20">
        <f>IF($N2794="","",INDEX(LdBMember,$N2794))</f>
        <v/>
      </c>
      <c r="E2794" s="20">
        <f>IF($N2794="","",IFERROR(IF(VLOOKUP(INDEX(LdBMember,$N2794),AcctTblE,4,0)="","(بدون نام)",VLOOKUP(INDEX(LdBMember,$N2794),AcctTblE,4,0)),"—"))</f>
        <v/>
      </c>
      <c r="F2794" s="21">
        <f>IF($N2794="","",IF(INDEX(LdBAmt,$N2794)=0,"",INDEX(LdBAmt,$N2794)))</f>
        <v/>
      </c>
      <c r="G2794" s="32">
        <f>IF($N2794="","",IF(INDEX(LdBNote,$N2794)="","—",INDEX(LdBNote,$N2794)))</f>
        <v/>
      </c>
      <c r="N2794">
        <f>IFERROR(MATCH($C$5&amp;"|"&amp;RIGHT("000000"&amp;774,6),LdBKeyG,0),"")</f>
        <v/>
      </c>
    </row>
    <row r="2795">
      <c r="A2795" s="10" t="n">
        <v>775</v>
      </c>
      <c r="B2795" s="14">
        <f>IF($N2795="","",INDEX(LdBDate,$N2795))</f>
        <v/>
      </c>
      <c r="C2795" s="14">
        <f>IF($N2795="","",IF(INDEX(LdBId,$N2795)="","—",INDEX(LdBId,$N2795)))</f>
        <v/>
      </c>
      <c r="D2795" s="14">
        <f>IF($N2795="","",INDEX(LdBMember,$N2795))</f>
        <v/>
      </c>
      <c r="E2795" s="14">
        <f>IF($N2795="","",IFERROR(IF(VLOOKUP(INDEX(LdBMember,$N2795),AcctTblE,4,0)="","(بدون نام)",VLOOKUP(INDEX(LdBMember,$N2795),AcctTblE,4,0)),"—"))</f>
        <v/>
      </c>
      <c r="F2795" s="16">
        <f>IF($N2795="","",IF(INDEX(LdBAmt,$N2795)=0,"",INDEX(LdBAmt,$N2795)))</f>
        <v/>
      </c>
      <c r="G2795" s="30">
        <f>IF($N2795="","",IF(INDEX(LdBNote,$N2795)="","—",INDEX(LdBNote,$N2795)))</f>
        <v/>
      </c>
      <c r="N2795">
        <f>IFERROR(MATCH($C$5&amp;"|"&amp;RIGHT("000000"&amp;775,6),LdBKeyG,0),"")</f>
        <v/>
      </c>
    </row>
    <row r="2796">
      <c r="A2796" s="19" t="n">
        <v>776</v>
      </c>
      <c r="B2796" s="20">
        <f>IF($N2796="","",INDEX(LdBDate,$N2796))</f>
        <v/>
      </c>
      <c r="C2796" s="20">
        <f>IF($N2796="","",IF(INDEX(LdBId,$N2796)="","—",INDEX(LdBId,$N2796)))</f>
        <v/>
      </c>
      <c r="D2796" s="20">
        <f>IF($N2796="","",INDEX(LdBMember,$N2796))</f>
        <v/>
      </c>
      <c r="E2796" s="20">
        <f>IF($N2796="","",IFERROR(IF(VLOOKUP(INDEX(LdBMember,$N2796),AcctTblE,4,0)="","(بدون نام)",VLOOKUP(INDEX(LdBMember,$N2796),AcctTblE,4,0)),"—"))</f>
        <v/>
      </c>
      <c r="F2796" s="21">
        <f>IF($N2796="","",IF(INDEX(LdBAmt,$N2796)=0,"",INDEX(LdBAmt,$N2796)))</f>
        <v/>
      </c>
      <c r="G2796" s="32">
        <f>IF($N2796="","",IF(INDEX(LdBNote,$N2796)="","—",INDEX(LdBNote,$N2796)))</f>
        <v/>
      </c>
      <c r="N2796">
        <f>IFERROR(MATCH($C$5&amp;"|"&amp;RIGHT("000000"&amp;776,6),LdBKeyG,0),"")</f>
        <v/>
      </c>
    </row>
    <row r="2797">
      <c r="A2797" s="10" t="n">
        <v>777</v>
      </c>
      <c r="B2797" s="14">
        <f>IF($N2797="","",INDEX(LdBDate,$N2797))</f>
        <v/>
      </c>
      <c r="C2797" s="14">
        <f>IF($N2797="","",IF(INDEX(LdBId,$N2797)="","—",INDEX(LdBId,$N2797)))</f>
        <v/>
      </c>
      <c r="D2797" s="14">
        <f>IF($N2797="","",INDEX(LdBMember,$N2797))</f>
        <v/>
      </c>
      <c r="E2797" s="14">
        <f>IF($N2797="","",IFERROR(IF(VLOOKUP(INDEX(LdBMember,$N2797),AcctTblE,4,0)="","(بدون نام)",VLOOKUP(INDEX(LdBMember,$N2797),AcctTblE,4,0)),"—"))</f>
        <v/>
      </c>
      <c r="F2797" s="16">
        <f>IF($N2797="","",IF(INDEX(LdBAmt,$N2797)=0,"",INDEX(LdBAmt,$N2797)))</f>
        <v/>
      </c>
      <c r="G2797" s="30">
        <f>IF($N2797="","",IF(INDEX(LdBNote,$N2797)="","—",INDEX(LdBNote,$N2797)))</f>
        <v/>
      </c>
      <c r="N2797">
        <f>IFERROR(MATCH($C$5&amp;"|"&amp;RIGHT("000000"&amp;777,6),LdBKeyG,0),"")</f>
        <v/>
      </c>
    </row>
    <row r="2798">
      <c r="A2798" s="19" t="n">
        <v>778</v>
      </c>
      <c r="B2798" s="20">
        <f>IF($N2798="","",INDEX(LdBDate,$N2798))</f>
        <v/>
      </c>
      <c r="C2798" s="20">
        <f>IF($N2798="","",IF(INDEX(LdBId,$N2798)="","—",INDEX(LdBId,$N2798)))</f>
        <v/>
      </c>
      <c r="D2798" s="20">
        <f>IF($N2798="","",INDEX(LdBMember,$N2798))</f>
        <v/>
      </c>
      <c r="E2798" s="20">
        <f>IF($N2798="","",IFERROR(IF(VLOOKUP(INDEX(LdBMember,$N2798),AcctTblE,4,0)="","(بدون نام)",VLOOKUP(INDEX(LdBMember,$N2798),AcctTblE,4,0)),"—"))</f>
        <v/>
      </c>
      <c r="F2798" s="21">
        <f>IF($N2798="","",IF(INDEX(LdBAmt,$N2798)=0,"",INDEX(LdBAmt,$N2798)))</f>
        <v/>
      </c>
      <c r="G2798" s="32">
        <f>IF($N2798="","",IF(INDEX(LdBNote,$N2798)="","—",INDEX(LdBNote,$N2798)))</f>
        <v/>
      </c>
      <c r="N2798">
        <f>IFERROR(MATCH($C$5&amp;"|"&amp;RIGHT("000000"&amp;778,6),LdBKeyG,0),"")</f>
        <v/>
      </c>
    </row>
    <row r="2799">
      <c r="A2799" s="10" t="n">
        <v>779</v>
      </c>
      <c r="B2799" s="14">
        <f>IF($N2799="","",INDEX(LdBDate,$N2799))</f>
        <v/>
      </c>
      <c r="C2799" s="14">
        <f>IF($N2799="","",IF(INDEX(LdBId,$N2799)="","—",INDEX(LdBId,$N2799)))</f>
        <v/>
      </c>
      <c r="D2799" s="14">
        <f>IF($N2799="","",INDEX(LdBMember,$N2799))</f>
        <v/>
      </c>
      <c r="E2799" s="14">
        <f>IF($N2799="","",IFERROR(IF(VLOOKUP(INDEX(LdBMember,$N2799),AcctTblE,4,0)="","(بدون نام)",VLOOKUP(INDEX(LdBMember,$N2799),AcctTblE,4,0)),"—"))</f>
        <v/>
      </c>
      <c r="F2799" s="16">
        <f>IF($N2799="","",IF(INDEX(LdBAmt,$N2799)=0,"",INDEX(LdBAmt,$N2799)))</f>
        <v/>
      </c>
      <c r="G2799" s="30">
        <f>IF($N2799="","",IF(INDEX(LdBNote,$N2799)="","—",INDEX(LdBNote,$N2799)))</f>
        <v/>
      </c>
      <c r="N2799">
        <f>IFERROR(MATCH($C$5&amp;"|"&amp;RIGHT("000000"&amp;779,6),LdBKeyG,0),"")</f>
        <v/>
      </c>
    </row>
    <row r="2800">
      <c r="A2800" s="19" t="n">
        <v>780</v>
      </c>
      <c r="B2800" s="20">
        <f>IF($N2800="","",INDEX(LdBDate,$N2800))</f>
        <v/>
      </c>
      <c r="C2800" s="20">
        <f>IF($N2800="","",IF(INDEX(LdBId,$N2800)="","—",INDEX(LdBId,$N2800)))</f>
        <v/>
      </c>
      <c r="D2800" s="20">
        <f>IF($N2800="","",INDEX(LdBMember,$N2800))</f>
        <v/>
      </c>
      <c r="E2800" s="20">
        <f>IF($N2800="","",IFERROR(IF(VLOOKUP(INDEX(LdBMember,$N2800),AcctTblE,4,0)="","(بدون نام)",VLOOKUP(INDEX(LdBMember,$N2800),AcctTblE,4,0)),"—"))</f>
        <v/>
      </c>
      <c r="F2800" s="21">
        <f>IF($N2800="","",IF(INDEX(LdBAmt,$N2800)=0,"",INDEX(LdBAmt,$N2800)))</f>
        <v/>
      </c>
      <c r="G2800" s="32">
        <f>IF($N2800="","",IF(INDEX(LdBNote,$N2800)="","—",INDEX(LdBNote,$N2800)))</f>
        <v/>
      </c>
      <c r="N2800">
        <f>IFERROR(MATCH($C$5&amp;"|"&amp;RIGHT("000000"&amp;780,6),LdBKeyG,0),"")</f>
        <v/>
      </c>
    </row>
    <row r="2801">
      <c r="A2801" s="10" t="n">
        <v>781</v>
      </c>
      <c r="B2801" s="14">
        <f>IF($N2801="","",INDEX(LdBDate,$N2801))</f>
        <v/>
      </c>
      <c r="C2801" s="14">
        <f>IF($N2801="","",IF(INDEX(LdBId,$N2801)="","—",INDEX(LdBId,$N2801)))</f>
        <v/>
      </c>
      <c r="D2801" s="14">
        <f>IF($N2801="","",INDEX(LdBMember,$N2801))</f>
        <v/>
      </c>
      <c r="E2801" s="14">
        <f>IF($N2801="","",IFERROR(IF(VLOOKUP(INDEX(LdBMember,$N2801),AcctTblE,4,0)="","(بدون نام)",VLOOKUP(INDEX(LdBMember,$N2801),AcctTblE,4,0)),"—"))</f>
        <v/>
      </c>
      <c r="F2801" s="16">
        <f>IF($N2801="","",IF(INDEX(LdBAmt,$N2801)=0,"",INDEX(LdBAmt,$N2801)))</f>
        <v/>
      </c>
      <c r="G2801" s="30">
        <f>IF($N2801="","",IF(INDEX(LdBNote,$N2801)="","—",INDEX(LdBNote,$N2801)))</f>
        <v/>
      </c>
      <c r="N2801">
        <f>IFERROR(MATCH($C$5&amp;"|"&amp;RIGHT("000000"&amp;781,6),LdBKeyG,0),"")</f>
        <v/>
      </c>
    </row>
    <row r="2802">
      <c r="A2802" s="19" t="n">
        <v>782</v>
      </c>
      <c r="B2802" s="20">
        <f>IF($N2802="","",INDEX(LdBDate,$N2802))</f>
        <v/>
      </c>
      <c r="C2802" s="20">
        <f>IF($N2802="","",IF(INDEX(LdBId,$N2802)="","—",INDEX(LdBId,$N2802)))</f>
        <v/>
      </c>
      <c r="D2802" s="20">
        <f>IF($N2802="","",INDEX(LdBMember,$N2802))</f>
        <v/>
      </c>
      <c r="E2802" s="20">
        <f>IF($N2802="","",IFERROR(IF(VLOOKUP(INDEX(LdBMember,$N2802),AcctTblE,4,0)="","(بدون نام)",VLOOKUP(INDEX(LdBMember,$N2802),AcctTblE,4,0)),"—"))</f>
        <v/>
      </c>
      <c r="F2802" s="21">
        <f>IF($N2802="","",IF(INDEX(LdBAmt,$N2802)=0,"",INDEX(LdBAmt,$N2802)))</f>
        <v/>
      </c>
      <c r="G2802" s="32">
        <f>IF($N2802="","",IF(INDEX(LdBNote,$N2802)="","—",INDEX(LdBNote,$N2802)))</f>
        <v/>
      </c>
      <c r="N2802">
        <f>IFERROR(MATCH($C$5&amp;"|"&amp;RIGHT("000000"&amp;782,6),LdBKeyG,0),"")</f>
        <v/>
      </c>
    </row>
    <row r="2803">
      <c r="A2803" s="10" t="n">
        <v>783</v>
      </c>
      <c r="B2803" s="14">
        <f>IF($N2803="","",INDEX(LdBDate,$N2803))</f>
        <v/>
      </c>
      <c r="C2803" s="14">
        <f>IF($N2803="","",IF(INDEX(LdBId,$N2803)="","—",INDEX(LdBId,$N2803)))</f>
        <v/>
      </c>
      <c r="D2803" s="14">
        <f>IF($N2803="","",INDEX(LdBMember,$N2803))</f>
        <v/>
      </c>
      <c r="E2803" s="14">
        <f>IF($N2803="","",IFERROR(IF(VLOOKUP(INDEX(LdBMember,$N2803),AcctTblE,4,0)="","(بدون نام)",VLOOKUP(INDEX(LdBMember,$N2803),AcctTblE,4,0)),"—"))</f>
        <v/>
      </c>
      <c r="F2803" s="16">
        <f>IF($N2803="","",IF(INDEX(LdBAmt,$N2803)=0,"",INDEX(LdBAmt,$N2803)))</f>
        <v/>
      </c>
      <c r="G2803" s="30">
        <f>IF($N2803="","",IF(INDEX(LdBNote,$N2803)="","—",INDEX(LdBNote,$N2803)))</f>
        <v/>
      </c>
      <c r="N2803">
        <f>IFERROR(MATCH($C$5&amp;"|"&amp;RIGHT("000000"&amp;783,6),LdBKeyG,0),"")</f>
        <v/>
      </c>
    </row>
    <row r="2804">
      <c r="A2804" s="19" t="n">
        <v>784</v>
      </c>
      <c r="B2804" s="20">
        <f>IF($N2804="","",INDEX(LdBDate,$N2804))</f>
        <v/>
      </c>
      <c r="C2804" s="20">
        <f>IF($N2804="","",IF(INDEX(LdBId,$N2804)="","—",INDEX(LdBId,$N2804)))</f>
        <v/>
      </c>
      <c r="D2804" s="20">
        <f>IF($N2804="","",INDEX(LdBMember,$N2804))</f>
        <v/>
      </c>
      <c r="E2804" s="20">
        <f>IF($N2804="","",IFERROR(IF(VLOOKUP(INDEX(LdBMember,$N2804),AcctTblE,4,0)="","(بدون نام)",VLOOKUP(INDEX(LdBMember,$N2804),AcctTblE,4,0)),"—"))</f>
        <v/>
      </c>
      <c r="F2804" s="21">
        <f>IF($N2804="","",IF(INDEX(LdBAmt,$N2804)=0,"",INDEX(LdBAmt,$N2804)))</f>
        <v/>
      </c>
      <c r="G2804" s="32">
        <f>IF($N2804="","",IF(INDEX(LdBNote,$N2804)="","—",INDEX(LdBNote,$N2804)))</f>
        <v/>
      </c>
      <c r="N2804">
        <f>IFERROR(MATCH($C$5&amp;"|"&amp;RIGHT("000000"&amp;784,6),LdBKeyG,0),"")</f>
        <v/>
      </c>
    </row>
    <row r="2805">
      <c r="A2805" s="10" t="n">
        <v>785</v>
      </c>
      <c r="B2805" s="14">
        <f>IF($N2805="","",INDEX(LdBDate,$N2805))</f>
        <v/>
      </c>
      <c r="C2805" s="14">
        <f>IF($N2805="","",IF(INDEX(LdBId,$N2805)="","—",INDEX(LdBId,$N2805)))</f>
        <v/>
      </c>
      <c r="D2805" s="14">
        <f>IF($N2805="","",INDEX(LdBMember,$N2805))</f>
        <v/>
      </c>
      <c r="E2805" s="14">
        <f>IF($N2805="","",IFERROR(IF(VLOOKUP(INDEX(LdBMember,$N2805),AcctTblE,4,0)="","(بدون نام)",VLOOKUP(INDEX(LdBMember,$N2805),AcctTblE,4,0)),"—"))</f>
        <v/>
      </c>
      <c r="F2805" s="16">
        <f>IF($N2805="","",IF(INDEX(LdBAmt,$N2805)=0,"",INDEX(LdBAmt,$N2805)))</f>
        <v/>
      </c>
      <c r="G2805" s="30">
        <f>IF($N2805="","",IF(INDEX(LdBNote,$N2805)="","—",INDEX(LdBNote,$N2805)))</f>
        <v/>
      </c>
      <c r="N2805">
        <f>IFERROR(MATCH($C$5&amp;"|"&amp;RIGHT("000000"&amp;785,6),LdBKeyG,0),"")</f>
        <v/>
      </c>
    </row>
    <row r="2806">
      <c r="A2806" s="19" t="n">
        <v>786</v>
      </c>
      <c r="B2806" s="20">
        <f>IF($N2806="","",INDEX(LdBDate,$N2806))</f>
        <v/>
      </c>
      <c r="C2806" s="20">
        <f>IF($N2806="","",IF(INDEX(LdBId,$N2806)="","—",INDEX(LdBId,$N2806)))</f>
        <v/>
      </c>
      <c r="D2806" s="20">
        <f>IF($N2806="","",INDEX(LdBMember,$N2806))</f>
        <v/>
      </c>
      <c r="E2806" s="20">
        <f>IF($N2806="","",IFERROR(IF(VLOOKUP(INDEX(LdBMember,$N2806),AcctTblE,4,0)="","(بدون نام)",VLOOKUP(INDEX(LdBMember,$N2806),AcctTblE,4,0)),"—"))</f>
        <v/>
      </c>
      <c r="F2806" s="21">
        <f>IF($N2806="","",IF(INDEX(LdBAmt,$N2806)=0,"",INDEX(LdBAmt,$N2806)))</f>
        <v/>
      </c>
      <c r="G2806" s="32">
        <f>IF($N2806="","",IF(INDEX(LdBNote,$N2806)="","—",INDEX(LdBNote,$N2806)))</f>
        <v/>
      </c>
      <c r="N2806">
        <f>IFERROR(MATCH($C$5&amp;"|"&amp;RIGHT("000000"&amp;786,6),LdBKeyG,0),"")</f>
        <v/>
      </c>
    </row>
    <row r="2807">
      <c r="A2807" s="10" t="n">
        <v>787</v>
      </c>
      <c r="B2807" s="14">
        <f>IF($N2807="","",INDEX(LdBDate,$N2807))</f>
        <v/>
      </c>
      <c r="C2807" s="14">
        <f>IF($N2807="","",IF(INDEX(LdBId,$N2807)="","—",INDEX(LdBId,$N2807)))</f>
        <v/>
      </c>
      <c r="D2807" s="14">
        <f>IF($N2807="","",INDEX(LdBMember,$N2807))</f>
        <v/>
      </c>
      <c r="E2807" s="14">
        <f>IF($N2807="","",IFERROR(IF(VLOOKUP(INDEX(LdBMember,$N2807),AcctTblE,4,0)="","(بدون نام)",VLOOKUP(INDEX(LdBMember,$N2807),AcctTblE,4,0)),"—"))</f>
        <v/>
      </c>
      <c r="F2807" s="16">
        <f>IF($N2807="","",IF(INDEX(LdBAmt,$N2807)=0,"",INDEX(LdBAmt,$N2807)))</f>
        <v/>
      </c>
      <c r="G2807" s="30">
        <f>IF($N2807="","",IF(INDEX(LdBNote,$N2807)="","—",INDEX(LdBNote,$N2807)))</f>
        <v/>
      </c>
      <c r="N2807">
        <f>IFERROR(MATCH($C$5&amp;"|"&amp;RIGHT("000000"&amp;787,6),LdBKeyG,0),"")</f>
        <v/>
      </c>
    </row>
    <row r="2808">
      <c r="A2808" s="19" t="n">
        <v>788</v>
      </c>
      <c r="B2808" s="20">
        <f>IF($N2808="","",INDEX(LdBDate,$N2808))</f>
        <v/>
      </c>
      <c r="C2808" s="20">
        <f>IF($N2808="","",IF(INDEX(LdBId,$N2808)="","—",INDEX(LdBId,$N2808)))</f>
        <v/>
      </c>
      <c r="D2808" s="20">
        <f>IF($N2808="","",INDEX(LdBMember,$N2808))</f>
        <v/>
      </c>
      <c r="E2808" s="20">
        <f>IF($N2808="","",IFERROR(IF(VLOOKUP(INDEX(LdBMember,$N2808),AcctTblE,4,0)="","(بدون نام)",VLOOKUP(INDEX(LdBMember,$N2808),AcctTblE,4,0)),"—"))</f>
        <v/>
      </c>
      <c r="F2808" s="21">
        <f>IF($N2808="","",IF(INDEX(LdBAmt,$N2808)=0,"",INDEX(LdBAmt,$N2808)))</f>
        <v/>
      </c>
      <c r="G2808" s="32">
        <f>IF($N2808="","",IF(INDEX(LdBNote,$N2808)="","—",INDEX(LdBNote,$N2808)))</f>
        <v/>
      </c>
      <c r="N2808">
        <f>IFERROR(MATCH($C$5&amp;"|"&amp;RIGHT("000000"&amp;788,6),LdBKeyG,0),"")</f>
        <v/>
      </c>
    </row>
    <row r="2809">
      <c r="A2809" s="10" t="n">
        <v>789</v>
      </c>
      <c r="B2809" s="14">
        <f>IF($N2809="","",INDEX(LdBDate,$N2809))</f>
        <v/>
      </c>
      <c r="C2809" s="14">
        <f>IF($N2809="","",IF(INDEX(LdBId,$N2809)="","—",INDEX(LdBId,$N2809)))</f>
        <v/>
      </c>
      <c r="D2809" s="14">
        <f>IF($N2809="","",INDEX(LdBMember,$N2809))</f>
        <v/>
      </c>
      <c r="E2809" s="14">
        <f>IF($N2809="","",IFERROR(IF(VLOOKUP(INDEX(LdBMember,$N2809),AcctTblE,4,0)="","(بدون نام)",VLOOKUP(INDEX(LdBMember,$N2809),AcctTblE,4,0)),"—"))</f>
        <v/>
      </c>
      <c r="F2809" s="16">
        <f>IF($N2809="","",IF(INDEX(LdBAmt,$N2809)=0,"",INDEX(LdBAmt,$N2809)))</f>
        <v/>
      </c>
      <c r="G2809" s="30">
        <f>IF($N2809="","",IF(INDEX(LdBNote,$N2809)="","—",INDEX(LdBNote,$N2809)))</f>
        <v/>
      </c>
      <c r="N2809">
        <f>IFERROR(MATCH($C$5&amp;"|"&amp;RIGHT("000000"&amp;789,6),LdBKeyG,0),"")</f>
        <v/>
      </c>
    </row>
    <row r="2810">
      <c r="A2810" s="19" t="n">
        <v>790</v>
      </c>
      <c r="B2810" s="20">
        <f>IF($N2810="","",INDEX(LdBDate,$N2810))</f>
        <v/>
      </c>
      <c r="C2810" s="20">
        <f>IF($N2810="","",IF(INDEX(LdBId,$N2810)="","—",INDEX(LdBId,$N2810)))</f>
        <v/>
      </c>
      <c r="D2810" s="20">
        <f>IF($N2810="","",INDEX(LdBMember,$N2810))</f>
        <v/>
      </c>
      <c r="E2810" s="20">
        <f>IF($N2810="","",IFERROR(IF(VLOOKUP(INDEX(LdBMember,$N2810),AcctTblE,4,0)="","(بدون نام)",VLOOKUP(INDEX(LdBMember,$N2810),AcctTblE,4,0)),"—"))</f>
        <v/>
      </c>
      <c r="F2810" s="21">
        <f>IF($N2810="","",IF(INDEX(LdBAmt,$N2810)=0,"",INDEX(LdBAmt,$N2810)))</f>
        <v/>
      </c>
      <c r="G2810" s="32">
        <f>IF($N2810="","",IF(INDEX(LdBNote,$N2810)="","—",INDEX(LdBNote,$N2810)))</f>
        <v/>
      </c>
      <c r="N2810">
        <f>IFERROR(MATCH($C$5&amp;"|"&amp;RIGHT("000000"&amp;790,6),LdBKeyG,0),"")</f>
        <v/>
      </c>
    </row>
    <row r="2811">
      <c r="A2811" s="10" t="n">
        <v>791</v>
      </c>
      <c r="B2811" s="14">
        <f>IF($N2811="","",INDEX(LdBDate,$N2811))</f>
        <v/>
      </c>
      <c r="C2811" s="14">
        <f>IF($N2811="","",IF(INDEX(LdBId,$N2811)="","—",INDEX(LdBId,$N2811)))</f>
        <v/>
      </c>
      <c r="D2811" s="14">
        <f>IF($N2811="","",INDEX(LdBMember,$N2811))</f>
        <v/>
      </c>
      <c r="E2811" s="14">
        <f>IF($N2811="","",IFERROR(IF(VLOOKUP(INDEX(LdBMember,$N2811),AcctTblE,4,0)="","(بدون نام)",VLOOKUP(INDEX(LdBMember,$N2811),AcctTblE,4,0)),"—"))</f>
        <v/>
      </c>
      <c r="F2811" s="16">
        <f>IF($N2811="","",IF(INDEX(LdBAmt,$N2811)=0,"",INDEX(LdBAmt,$N2811)))</f>
        <v/>
      </c>
      <c r="G2811" s="30">
        <f>IF($N2811="","",IF(INDEX(LdBNote,$N2811)="","—",INDEX(LdBNote,$N2811)))</f>
        <v/>
      </c>
      <c r="N2811">
        <f>IFERROR(MATCH($C$5&amp;"|"&amp;RIGHT("000000"&amp;791,6),LdBKeyG,0),"")</f>
        <v/>
      </c>
    </row>
    <row r="2812">
      <c r="A2812" s="19" t="n">
        <v>792</v>
      </c>
      <c r="B2812" s="20">
        <f>IF($N2812="","",INDEX(LdBDate,$N2812))</f>
        <v/>
      </c>
      <c r="C2812" s="20">
        <f>IF($N2812="","",IF(INDEX(LdBId,$N2812)="","—",INDEX(LdBId,$N2812)))</f>
        <v/>
      </c>
      <c r="D2812" s="20">
        <f>IF($N2812="","",INDEX(LdBMember,$N2812))</f>
        <v/>
      </c>
      <c r="E2812" s="20">
        <f>IF($N2812="","",IFERROR(IF(VLOOKUP(INDEX(LdBMember,$N2812),AcctTblE,4,0)="","(بدون نام)",VLOOKUP(INDEX(LdBMember,$N2812),AcctTblE,4,0)),"—"))</f>
        <v/>
      </c>
      <c r="F2812" s="21">
        <f>IF($N2812="","",IF(INDEX(LdBAmt,$N2812)=0,"",INDEX(LdBAmt,$N2812)))</f>
        <v/>
      </c>
      <c r="G2812" s="32">
        <f>IF($N2812="","",IF(INDEX(LdBNote,$N2812)="","—",INDEX(LdBNote,$N2812)))</f>
        <v/>
      </c>
      <c r="N2812">
        <f>IFERROR(MATCH($C$5&amp;"|"&amp;RIGHT("000000"&amp;792,6),LdBKeyG,0),"")</f>
        <v/>
      </c>
    </row>
    <row r="2813">
      <c r="A2813" s="10" t="n">
        <v>793</v>
      </c>
      <c r="B2813" s="14">
        <f>IF($N2813="","",INDEX(LdBDate,$N2813))</f>
        <v/>
      </c>
      <c r="C2813" s="14">
        <f>IF($N2813="","",IF(INDEX(LdBId,$N2813)="","—",INDEX(LdBId,$N2813)))</f>
        <v/>
      </c>
      <c r="D2813" s="14">
        <f>IF($N2813="","",INDEX(LdBMember,$N2813))</f>
        <v/>
      </c>
      <c r="E2813" s="14">
        <f>IF($N2813="","",IFERROR(IF(VLOOKUP(INDEX(LdBMember,$N2813),AcctTblE,4,0)="","(بدون نام)",VLOOKUP(INDEX(LdBMember,$N2813),AcctTblE,4,0)),"—"))</f>
        <v/>
      </c>
      <c r="F2813" s="16">
        <f>IF($N2813="","",IF(INDEX(LdBAmt,$N2813)=0,"",INDEX(LdBAmt,$N2813)))</f>
        <v/>
      </c>
      <c r="G2813" s="30">
        <f>IF($N2813="","",IF(INDEX(LdBNote,$N2813)="","—",INDEX(LdBNote,$N2813)))</f>
        <v/>
      </c>
      <c r="N2813">
        <f>IFERROR(MATCH($C$5&amp;"|"&amp;RIGHT("000000"&amp;793,6),LdBKeyG,0),"")</f>
        <v/>
      </c>
    </row>
    <row r="2814">
      <c r="A2814" s="19" t="n">
        <v>794</v>
      </c>
      <c r="B2814" s="20">
        <f>IF($N2814="","",INDEX(LdBDate,$N2814))</f>
        <v/>
      </c>
      <c r="C2814" s="20">
        <f>IF($N2814="","",IF(INDEX(LdBId,$N2814)="","—",INDEX(LdBId,$N2814)))</f>
        <v/>
      </c>
      <c r="D2814" s="20">
        <f>IF($N2814="","",INDEX(LdBMember,$N2814))</f>
        <v/>
      </c>
      <c r="E2814" s="20">
        <f>IF($N2814="","",IFERROR(IF(VLOOKUP(INDEX(LdBMember,$N2814),AcctTblE,4,0)="","(بدون نام)",VLOOKUP(INDEX(LdBMember,$N2814),AcctTblE,4,0)),"—"))</f>
        <v/>
      </c>
      <c r="F2814" s="21">
        <f>IF($N2814="","",IF(INDEX(LdBAmt,$N2814)=0,"",INDEX(LdBAmt,$N2814)))</f>
        <v/>
      </c>
      <c r="G2814" s="32">
        <f>IF($N2814="","",IF(INDEX(LdBNote,$N2814)="","—",INDEX(LdBNote,$N2814)))</f>
        <v/>
      </c>
      <c r="N2814">
        <f>IFERROR(MATCH($C$5&amp;"|"&amp;RIGHT("000000"&amp;794,6),LdBKeyG,0),"")</f>
        <v/>
      </c>
    </row>
    <row r="2815">
      <c r="A2815" s="10" t="n">
        <v>795</v>
      </c>
      <c r="B2815" s="14">
        <f>IF($N2815="","",INDEX(LdBDate,$N2815))</f>
        <v/>
      </c>
      <c r="C2815" s="14">
        <f>IF($N2815="","",IF(INDEX(LdBId,$N2815)="","—",INDEX(LdBId,$N2815)))</f>
        <v/>
      </c>
      <c r="D2815" s="14">
        <f>IF($N2815="","",INDEX(LdBMember,$N2815))</f>
        <v/>
      </c>
      <c r="E2815" s="14">
        <f>IF($N2815="","",IFERROR(IF(VLOOKUP(INDEX(LdBMember,$N2815),AcctTblE,4,0)="","(بدون نام)",VLOOKUP(INDEX(LdBMember,$N2815),AcctTblE,4,0)),"—"))</f>
        <v/>
      </c>
      <c r="F2815" s="16">
        <f>IF($N2815="","",IF(INDEX(LdBAmt,$N2815)=0,"",INDEX(LdBAmt,$N2815)))</f>
        <v/>
      </c>
      <c r="G2815" s="30">
        <f>IF($N2815="","",IF(INDEX(LdBNote,$N2815)="","—",INDEX(LdBNote,$N2815)))</f>
        <v/>
      </c>
      <c r="N2815">
        <f>IFERROR(MATCH($C$5&amp;"|"&amp;RIGHT("000000"&amp;795,6),LdBKeyG,0),"")</f>
        <v/>
      </c>
    </row>
    <row r="2816">
      <c r="A2816" s="19" t="n">
        <v>796</v>
      </c>
      <c r="B2816" s="20">
        <f>IF($N2816="","",INDEX(LdBDate,$N2816))</f>
        <v/>
      </c>
      <c r="C2816" s="20">
        <f>IF($N2816="","",IF(INDEX(LdBId,$N2816)="","—",INDEX(LdBId,$N2816)))</f>
        <v/>
      </c>
      <c r="D2816" s="20">
        <f>IF($N2816="","",INDEX(LdBMember,$N2816))</f>
        <v/>
      </c>
      <c r="E2816" s="20">
        <f>IF($N2816="","",IFERROR(IF(VLOOKUP(INDEX(LdBMember,$N2816),AcctTblE,4,0)="","(بدون نام)",VLOOKUP(INDEX(LdBMember,$N2816),AcctTblE,4,0)),"—"))</f>
        <v/>
      </c>
      <c r="F2816" s="21">
        <f>IF($N2816="","",IF(INDEX(LdBAmt,$N2816)=0,"",INDEX(LdBAmt,$N2816)))</f>
        <v/>
      </c>
      <c r="G2816" s="32">
        <f>IF($N2816="","",IF(INDEX(LdBNote,$N2816)="","—",INDEX(LdBNote,$N2816)))</f>
        <v/>
      </c>
      <c r="N2816">
        <f>IFERROR(MATCH($C$5&amp;"|"&amp;RIGHT("000000"&amp;796,6),LdBKeyG,0),"")</f>
        <v/>
      </c>
    </row>
    <row r="2817">
      <c r="A2817" s="10" t="n">
        <v>797</v>
      </c>
      <c r="B2817" s="14">
        <f>IF($N2817="","",INDEX(LdBDate,$N2817))</f>
        <v/>
      </c>
      <c r="C2817" s="14">
        <f>IF($N2817="","",IF(INDEX(LdBId,$N2817)="","—",INDEX(LdBId,$N2817)))</f>
        <v/>
      </c>
      <c r="D2817" s="14">
        <f>IF($N2817="","",INDEX(LdBMember,$N2817))</f>
        <v/>
      </c>
      <c r="E2817" s="14">
        <f>IF($N2817="","",IFERROR(IF(VLOOKUP(INDEX(LdBMember,$N2817),AcctTblE,4,0)="","(بدون نام)",VLOOKUP(INDEX(LdBMember,$N2817),AcctTblE,4,0)),"—"))</f>
        <v/>
      </c>
      <c r="F2817" s="16">
        <f>IF($N2817="","",IF(INDEX(LdBAmt,$N2817)=0,"",INDEX(LdBAmt,$N2817)))</f>
        <v/>
      </c>
      <c r="G2817" s="30">
        <f>IF($N2817="","",IF(INDEX(LdBNote,$N2817)="","—",INDEX(LdBNote,$N2817)))</f>
        <v/>
      </c>
      <c r="N2817">
        <f>IFERROR(MATCH($C$5&amp;"|"&amp;RIGHT("000000"&amp;797,6),LdBKeyG,0),"")</f>
        <v/>
      </c>
    </row>
    <row r="2818">
      <c r="A2818" s="19" t="n">
        <v>798</v>
      </c>
      <c r="B2818" s="20">
        <f>IF($N2818="","",INDEX(LdBDate,$N2818))</f>
        <v/>
      </c>
      <c r="C2818" s="20">
        <f>IF($N2818="","",IF(INDEX(LdBId,$N2818)="","—",INDEX(LdBId,$N2818)))</f>
        <v/>
      </c>
      <c r="D2818" s="20">
        <f>IF($N2818="","",INDEX(LdBMember,$N2818))</f>
        <v/>
      </c>
      <c r="E2818" s="20">
        <f>IF($N2818="","",IFERROR(IF(VLOOKUP(INDEX(LdBMember,$N2818),AcctTblE,4,0)="","(بدون نام)",VLOOKUP(INDEX(LdBMember,$N2818),AcctTblE,4,0)),"—"))</f>
        <v/>
      </c>
      <c r="F2818" s="21">
        <f>IF($N2818="","",IF(INDEX(LdBAmt,$N2818)=0,"",INDEX(LdBAmt,$N2818)))</f>
        <v/>
      </c>
      <c r="G2818" s="32">
        <f>IF($N2818="","",IF(INDEX(LdBNote,$N2818)="","—",INDEX(LdBNote,$N2818)))</f>
        <v/>
      </c>
      <c r="N2818">
        <f>IFERROR(MATCH($C$5&amp;"|"&amp;RIGHT("000000"&amp;798,6),LdBKeyG,0),"")</f>
        <v/>
      </c>
    </row>
    <row r="2819">
      <c r="A2819" s="10" t="n">
        <v>799</v>
      </c>
      <c r="B2819" s="14">
        <f>IF($N2819="","",INDEX(LdBDate,$N2819))</f>
        <v/>
      </c>
      <c r="C2819" s="14">
        <f>IF($N2819="","",IF(INDEX(LdBId,$N2819)="","—",INDEX(LdBId,$N2819)))</f>
        <v/>
      </c>
      <c r="D2819" s="14">
        <f>IF($N2819="","",INDEX(LdBMember,$N2819))</f>
        <v/>
      </c>
      <c r="E2819" s="14">
        <f>IF($N2819="","",IFERROR(IF(VLOOKUP(INDEX(LdBMember,$N2819),AcctTblE,4,0)="","(بدون نام)",VLOOKUP(INDEX(LdBMember,$N2819),AcctTblE,4,0)),"—"))</f>
        <v/>
      </c>
      <c r="F2819" s="16">
        <f>IF($N2819="","",IF(INDEX(LdBAmt,$N2819)=0,"",INDEX(LdBAmt,$N2819)))</f>
        <v/>
      </c>
      <c r="G2819" s="30">
        <f>IF($N2819="","",IF(INDEX(LdBNote,$N2819)="","—",INDEX(LdBNote,$N2819)))</f>
        <v/>
      </c>
      <c r="N2819">
        <f>IFERROR(MATCH($C$5&amp;"|"&amp;RIGHT("000000"&amp;799,6),LdBKeyG,0),"")</f>
        <v/>
      </c>
    </row>
    <row r="2820">
      <c r="A2820" s="19" t="n">
        <v>800</v>
      </c>
      <c r="B2820" s="20">
        <f>IF($N2820="","",INDEX(LdBDate,$N2820))</f>
        <v/>
      </c>
      <c r="C2820" s="20">
        <f>IF($N2820="","",IF(INDEX(LdBId,$N2820)="","—",INDEX(LdBId,$N2820)))</f>
        <v/>
      </c>
      <c r="D2820" s="20">
        <f>IF($N2820="","",INDEX(LdBMember,$N2820))</f>
        <v/>
      </c>
      <c r="E2820" s="20">
        <f>IF($N2820="","",IFERROR(IF(VLOOKUP(INDEX(LdBMember,$N2820),AcctTblE,4,0)="","(بدون نام)",VLOOKUP(INDEX(LdBMember,$N2820),AcctTblE,4,0)),"—"))</f>
        <v/>
      </c>
      <c r="F2820" s="21">
        <f>IF($N2820="","",IF(INDEX(LdBAmt,$N2820)=0,"",INDEX(LdBAmt,$N2820)))</f>
        <v/>
      </c>
      <c r="G2820" s="32">
        <f>IF($N2820="","",IF(INDEX(LdBNote,$N2820)="","—",INDEX(LdBNote,$N2820)))</f>
        <v/>
      </c>
      <c r="N2820">
        <f>IFERROR(MATCH($C$5&amp;"|"&amp;RIGHT("000000"&amp;800,6),LdBKeyG,0),"")</f>
        <v/>
      </c>
    </row>
    <row r="2821">
      <c r="A2821" s="10" t="n">
        <v>801</v>
      </c>
      <c r="B2821" s="14">
        <f>IF($N2821="","",INDEX(LdBDate,$N2821))</f>
        <v/>
      </c>
      <c r="C2821" s="14">
        <f>IF($N2821="","",IF(INDEX(LdBId,$N2821)="","—",INDEX(LdBId,$N2821)))</f>
        <v/>
      </c>
      <c r="D2821" s="14">
        <f>IF($N2821="","",INDEX(LdBMember,$N2821))</f>
        <v/>
      </c>
      <c r="E2821" s="14">
        <f>IF($N2821="","",IFERROR(IF(VLOOKUP(INDEX(LdBMember,$N2821),AcctTblE,4,0)="","(بدون نام)",VLOOKUP(INDEX(LdBMember,$N2821),AcctTblE,4,0)),"—"))</f>
        <v/>
      </c>
      <c r="F2821" s="16">
        <f>IF($N2821="","",IF(INDEX(LdBAmt,$N2821)=0,"",INDEX(LdBAmt,$N2821)))</f>
        <v/>
      </c>
      <c r="G2821" s="30">
        <f>IF($N2821="","",IF(INDEX(LdBNote,$N2821)="","—",INDEX(LdBNote,$N2821)))</f>
        <v/>
      </c>
      <c r="N2821">
        <f>IFERROR(MATCH($C$5&amp;"|"&amp;RIGHT("000000"&amp;801,6),LdBKeyG,0),"")</f>
        <v/>
      </c>
    </row>
    <row r="2822">
      <c r="A2822" s="19" t="n">
        <v>802</v>
      </c>
      <c r="B2822" s="20">
        <f>IF($N2822="","",INDEX(LdBDate,$N2822))</f>
        <v/>
      </c>
      <c r="C2822" s="20">
        <f>IF($N2822="","",IF(INDEX(LdBId,$N2822)="","—",INDEX(LdBId,$N2822)))</f>
        <v/>
      </c>
      <c r="D2822" s="20">
        <f>IF($N2822="","",INDEX(LdBMember,$N2822))</f>
        <v/>
      </c>
      <c r="E2822" s="20">
        <f>IF($N2822="","",IFERROR(IF(VLOOKUP(INDEX(LdBMember,$N2822),AcctTblE,4,0)="","(بدون نام)",VLOOKUP(INDEX(LdBMember,$N2822),AcctTblE,4,0)),"—"))</f>
        <v/>
      </c>
      <c r="F2822" s="21">
        <f>IF($N2822="","",IF(INDEX(LdBAmt,$N2822)=0,"",INDEX(LdBAmt,$N2822)))</f>
        <v/>
      </c>
      <c r="G2822" s="32">
        <f>IF($N2822="","",IF(INDEX(LdBNote,$N2822)="","—",INDEX(LdBNote,$N2822)))</f>
        <v/>
      </c>
      <c r="N2822">
        <f>IFERROR(MATCH($C$5&amp;"|"&amp;RIGHT("000000"&amp;802,6),LdBKeyG,0),"")</f>
        <v/>
      </c>
    </row>
    <row r="2823">
      <c r="A2823" s="10" t="n">
        <v>803</v>
      </c>
      <c r="B2823" s="14">
        <f>IF($N2823="","",INDEX(LdBDate,$N2823))</f>
        <v/>
      </c>
      <c r="C2823" s="14">
        <f>IF($N2823="","",IF(INDEX(LdBId,$N2823)="","—",INDEX(LdBId,$N2823)))</f>
        <v/>
      </c>
      <c r="D2823" s="14">
        <f>IF($N2823="","",INDEX(LdBMember,$N2823))</f>
        <v/>
      </c>
      <c r="E2823" s="14">
        <f>IF($N2823="","",IFERROR(IF(VLOOKUP(INDEX(LdBMember,$N2823),AcctTblE,4,0)="","(بدون نام)",VLOOKUP(INDEX(LdBMember,$N2823),AcctTblE,4,0)),"—"))</f>
        <v/>
      </c>
      <c r="F2823" s="16">
        <f>IF($N2823="","",IF(INDEX(LdBAmt,$N2823)=0,"",INDEX(LdBAmt,$N2823)))</f>
        <v/>
      </c>
      <c r="G2823" s="30">
        <f>IF($N2823="","",IF(INDEX(LdBNote,$N2823)="","—",INDEX(LdBNote,$N2823)))</f>
        <v/>
      </c>
      <c r="N2823">
        <f>IFERROR(MATCH($C$5&amp;"|"&amp;RIGHT("000000"&amp;803,6),LdBKeyG,0),"")</f>
        <v/>
      </c>
    </row>
    <row r="2824">
      <c r="A2824" s="19" t="n">
        <v>804</v>
      </c>
      <c r="B2824" s="20">
        <f>IF($N2824="","",INDEX(LdBDate,$N2824))</f>
        <v/>
      </c>
      <c r="C2824" s="20">
        <f>IF($N2824="","",IF(INDEX(LdBId,$N2824)="","—",INDEX(LdBId,$N2824)))</f>
        <v/>
      </c>
      <c r="D2824" s="20">
        <f>IF($N2824="","",INDEX(LdBMember,$N2824))</f>
        <v/>
      </c>
      <c r="E2824" s="20">
        <f>IF($N2824="","",IFERROR(IF(VLOOKUP(INDEX(LdBMember,$N2824),AcctTblE,4,0)="","(بدون نام)",VLOOKUP(INDEX(LdBMember,$N2824),AcctTblE,4,0)),"—"))</f>
        <v/>
      </c>
      <c r="F2824" s="21">
        <f>IF($N2824="","",IF(INDEX(LdBAmt,$N2824)=0,"",INDEX(LdBAmt,$N2824)))</f>
        <v/>
      </c>
      <c r="G2824" s="32">
        <f>IF($N2824="","",IF(INDEX(LdBNote,$N2824)="","—",INDEX(LdBNote,$N2824)))</f>
        <v/>
      </c>
      <c r="N2824">
        <f>IFERROR(MATCH($C$5&amp;"|"&amp;RIGHT("000000"&amp;804,6),LdBKeyG,0),"")</f>
        <v/>
      </c>
    </row>
    <row r="2825">
      <c r="A2825" s="10" t="n">
        <v>805</v>
      </c>
      <c r="B2825" s="14">
        <f>IF($N2825="","",INDEX(LdBDate,$N2825))</f>
        <v/>
      </c>
      <c r="C2825" s="14">
        <f>IF($N2825="","",IF(INDEX(LdBId,$N2825)="","—",INDEX(LdBId,$N2825)))</f>
        <v/>
      </c>
      <c r="D2825" s="14">
        <f>IF($N2825="","",INDEX(LdBMember,$N2825))</f>
        <v/>
      </c>
      <c r="E2825" s="14">
        <f>IF($N2825="","",IFERROR(IF(VLOOKUP(INDEX(LdBMember,$N2825),AcctTblE,4,0)="","(بدون نام)",VLOOKUP(INDEX(LdBMember,$N2825),AcctTblE,4,0)),"—"))</f>
        <v/>
      </c>
      <c r="F2825" s="16">
        <f>IF($N2825="","",IF(INDEX(LdBAmt,$N2825)=0,"",INDEX(LdBAmt,$N2825)))</f>
        <v/>
      </c>
      <c r="G2825" s="30">
        <f>IF($N2825="","",IF(INDEX(LdBNote,$N2825)="","—",INDEX(LdBNote,$N2825)))</f>
        <v/>
      </c>
      <c r="N2825">
        <f>IFERROR(MATCH($C$5&amp;"|"&amp;RIGHT("000000"&amp;805,6),LdBKeyG,0),"")</f>
        <v/>
      </c>
    </row>
    <row r="2826">
      <c r="A2826" s="19" t="n">
        <v>806</v>
      </c>
      <c r="B2826" s="20">
        <f>IF($N2826="","",INDEX(LdBDate,$N2826))</f>
        <v/>
      </c>
      <c r="C2826" s="20">
        <f>IF($N2826="","",IF(INDEX(LdBId,$N2826)="","—",INDEX(LdBId,$N2826)))</f>
        <v/>
      </c>
      <c r="D2826" s="20">
        <f>IF($N2826="","",INDEX(LdBMember,$N2826))</f>
        <v/>
      </c>
      <c r="E2826" s="20">
        <f>IF($N2826="","",IFERROR(IF(VLOOKUP(INDEX(LdBMember,$N2826),AcctTblE,4,0)="","(بدون نام)",VLOOKUP(INDEX(LdBMember,$N2826),AcctTblE,4,0)),"—"))</f>
        <v/>
      </c>
      <c r="F2826" s="21">
        <f>IF($N2826="","",IF(INDEX(LdBAmt,$N2826)=0,"",INDEX(LdBAmt,$N2826)))</f>
        <v/>
      </c>
      <c r="G2826" s="32">
        <f>IF($N2826="","",IF(INDEX(LdBNote,$N2826)="","—",INDEX(LdBNote,$N2826)))</f>
        <v/>
      </c>
      <c r="N2826">
        <f>IFERROR(MATCH($C$5&amp;"|"&amp;RIGHT("000000"&amp;806,6),LdBKeyG,0),"")</f>
        <v/>
      </c>
    </row>
    <row r="2827">
      <c r="A2827" s="10" t="n">
        <v>807</v>
      </c>
      <c r="B2827" s="14">
        <f>IF($N2827="","",INDEX(LdBDate,$N2827))</f>
        <v/>
      </c>
      <c r="C2827" s="14">
        <f>IF($N2827="","",IF(INDEX(LdBId,$N2827)="","—",INDEX(LdBId,$N2827)))</f>
        <v/>
      </c>
      <c r="D2827" s="14">
        <f>IF($N2827="","",INDEX(LdBMember,$N2827))</f>
        <v/>
      </c>
      <c r="E2827" s="14">
        <f>IF($N2827="","",IFERROR(IF(VLOOKUP(INDEX(LdBMember,$N2827),AcctTblE,4,0)="","(بدون نام)",VLOOKUP(INDEX(LdBMember,$N2827),AcctTblE,4,0)),"—"))</f>
        <v/>
      </c>
      <c r="F2827" s="16">
        <f>IF($N2827="","",IF(INDEX(LdBAmt,$N2827)=0,"",INDEX(LdBAmt,$N2827)))</f>
        <v/>
      </c>
      <c r="G2827" s="30">
        <f>IF($N2827="","",IF(INDEX(LdBNote,$N2827)="","—",INDEX(LdBNote,$N2827)))</f>
        <v/>
      </c>
      <c r="N2827">
        <f>IFERROR(MATCH($C$5&amp;"|"&amp;RIGHT("000000"&amp;807,6),LdBKeyG,0),"")</f>
        <v/>
      </c>
    </row>
    <row r="2828">
      <c r="A2828" s="19" t="n">
        <v>808</v>
      </c>
      <c r="B2828" s="20">
        <f>IF($N2828="","",INDEX(LdBDate,$N2828))</f>
        <v/>
      </c>
      <c r="C2828" s="20">
        <f>IF($N2828="","",IF(INDEX(LdBId,$N2828)="","—",INDEX(LdBId,$N2828)))</f>
        <v/>
      </c>
      <c r="D2828" s="20">
        <f>IF($N2828="","",INDEX(LdBMember,$N2828))</f>
        <v/>
      </c>
      <c r="E2828" s="20">
        <f>IF($N2828="","",IFERROR(IF(VLOOKUP(INDEX(LdBMember,$N2828),AcctTblE,4,0)="","(بدون نام)",VLOOKUP(INDEX(LdBMember,$N2828),AcctTblE,4,0)),"—"))</f>
        <v/>
      </c>
      <c r="F2828" s="21">
        <f>IF($N2828="","",IF(INDEX(LdBAmt,$N2828)=0,"",INDEX(LdBAmt,$N2828)))</f>
        <v/>
      </c>
      <c r="G2828" s="32">
        <f>IF($N2828="","",IF(INDEX(LdBNote,$N2828)="","—",INDEX(LdBNote,$N2828)))</f>
        <v/>
      </c>
      <c r="N2828">
        <f>IFERROR(MATCH($C$5&amp;"|"&amp;RIGHT("000000"&amp;808,6),LdBKeyG,0),"")</f>
        <v/>
      </c>
    </row>
    <row r="2829">
      <c r="A2829" s="10" t="n">
        <v>809</v>
      </c>
      <c r="B2829" s="14">
        <f>IF($N2829="","",INDEX(LdBDate,$N2829))</f>
        <v/>
      </c>
      <c r="C2829" s="14">
        <f>IF($N2829="","",IF(INDEX(LdBId,$N2829)="","—",INDEX(LdBId,$N2829)))</f>
        <v/>
      </c>
      <c r="D2829" s="14">
        <f>IF($N2829="","",INDEX(LdBMember,$N2829))</f>
        <v/>
      </c>
      <c r="E2829" s="14">
        <f>IF($N2829="","",IFERROR(IF(VLOOKUP(INDEX(LdBMember,$N2829),AcctTblE,4,0)="","(بدون نام)",VLOOKUP(INDEX(LdBMember,$N2829),AcctTblE,4,0)),"—"))</f>
        <v/>
      </c>
      <c r="F2829" s="16">
        <f>IF($N2829="","",IF(INDEX(LdBAmt,$N2829)=0,"",INDEX(LdBAmt,$N2829)))</f>
        <v/>
      </c>
      <c r="G2829" s="30">
        <f>IF($N2829="","",IF(INDEX(LdBNote,$N2829)="","—",INDEX(LdBNote,$N2829)))</f>
        <v/>
      </c>
      <c r="N2829">
        <f>IFERROR(MATCH($C$5&amp;"|"&amp;RIGHT("000000"&amp;809,6),LdBKeyG,0),"")</f>
        <v/>
      </c>
    </row>
    <row r="2830">
      <c r="A2830" s="19" t="n">
        <v>810</v>
      </c>
      <c r="B2830" s="20">
        <f>IF($N2830="","",INDEX(LdBDate,$N2830))</f>
        <v/>
      </c>
      <c r="C2830" s="20">
        <f>IF($N2830="","",IF(INDEX(LdBId,$N2830)="","—",INDEX(LdBId,$N2830)))</f>
        <v/>
      </c>
      <c r="D2830" s="20">
        <f>IF($N2830="","",INDEX(LdBMember,$N2830))</f>
        <v/>
      </c>
      <c r="E2830" s="20">
        <f>IF($N2830="","",IFERROR(IF(VLOOKUP(INDEX(LdBMember,$N2830),AcctTblE,4,0)="","(بدون نام)",VLOOKUP(INDEX(LdBMember,$N2830),AcctTblE,4,0)),"—"))</f>
        <v/>
      </c>
      <c r="F2830" s="21">
        <f>IF($N2830="","",IF(INDEX(LdBAmt,$N2830)=0,"",INDEX(LdBAmt,$N2830)))</f>
        <v/>
      </c>
      <c r="G2830" s="32">
        <f>IF($N2830="","",IF(INDEX(LdBNote,$N2830)="","—",INDEX(LdBNote,$N2830)))</f>
        <v/>
      </c>
      <c r="N2830">
        <f>IFERROR(MATCH($C$5&amp;"|"&amp;RIGHT("000000"&amp;810,6),LdBKeyG,0),"")</f>
        <v/>
      </c>
    </row>
    <row r="2831">
      <c r="A2831" s="10" t="n">
        <v>811</v>
      </c>
      <c r="B2831" s="14">
        <f>IF($N2831="","",INDEX(LdBDate,$N2831))</f>
        <v/>
      </c>
      <c r="C2831" s="14">
        <f>IF($N2831="","",IF(INDEX(LdBId,$N2831)="","—",INDEX(LdBId,$N2831)))</f>
        <v/>
      </c>
      <c r="D2831" s="14">
        <f>IF($N2831="","",INDEX(LdBMember,$N2831))</f>
        <v/>
      </c>
      <c r="E2831" s="14">
        <f>IF($N2831="","",IFERROR(IF(VLOOKUP(INDEX(LdBMember,$N2831),AcctTblE,4,0)="","(بدون نام)",VLOOKUP(INDEX(LdBMember,$N2831),AcctTblE,4,0)),"—"))</f>
        <v/>
      </c>
      <c r="F2831" s="16">
        <f>IF($N2831="","",IF(INDEX(LdBAmt,$N2831)=0,"",INDEX(LdBAmt,$N2831)))</f>
        <v/>
      </c>
      <c r="G2831" s="30">
        <f>IF($N2831="","",IF(INDEX(LdBNote,$N2831)="","—",INDEX(LdBNote,$N2831)))</f>
        <v/>
      </c>
      <c r="N2831">
        <f>IFERROR(MATCH($C$5&amp;"|"&amp;RIGHT("000000"&amp;811,6),LdBKeyG,0),"")</f>
        <v/>
      </c>
    </row>
    <row r="2832">
      <c r="A2832" s="19" t="n">
        <v>812</v>
      </c>
      <c r="B2832" s="20">
        <f>IF($N2832="","",INDEX(LdBDate,$N2832))</f>
        <v/>
      </c>
      <c r="C2832" s="20">
        <f>IF($N2832="","",IF(INDEX(LdBId,$N2832)="","—",INDEX(LdBId,$N2832)))</f>
        <v/>
      </c>
      <c r="D2832" s="20">
        <f>IF($N2832="","",INDEX(LdBMember,$N2832))</f>
        <v/>
      </c>
      <c r="E2832" s="20">
        <f>IF($N2832="","",IFERROR(IF(VLOOKUP(INDEX(LdBMember,$N2832),AcctTblE,4,0)="","(بدون نام)",VLOOKUP(INDEX(LdBMember,$N2832),AcctTblE,4,0)),"—"))</f>
        <v/>
      </c>
      <c r="F2832" s="21">
        <f>IF($N2832="","",IF(INDEX(LdBAmt,$N2832)=0,"",INDEX(LdBAmt,$N2832)))</f>
        <v/>
      </c>
      <c r="G2832" s="32">
        <f>IF($N2832="","",IF(INDEX(LdBNote,$N2832)="","—",INDEX(LdBNote,$N2832)))</f>
        <v/>
      </c>
      <c r="N2832">
        <f>IFERROR(MATCH($C$5&amp;"|"&amp;RIGHT("000000"&amp;812,6),LdBKeyG,0),"")</f>
        <v/>
      </c>
    </row>
    <row r="2833">
      <c r="A2833" s="10" t="n">
        <v>813</v>
      </c>
      <c r="B2833" s="14">
        <f>IF($N2833="","",INDEX(LdBDate,$N2833))</f>
        <v/>
      </c>
      <c r="C2833" s="14">
        <f>IF($N2833="","",IF(INDEX(LdBId,$N2833)="","—",INDEX(LdBId,$N2833)))</f>
        <v/>
      </c>
      <c r="D2833" s="14">
        <f>IF($N2833="","",INDEX(LdBMember,$N2833))</f>
        <v/>
      </c>
      <c r="E2833" s="14">
        <f>IF($N2833="","",IFERROR(IF(VLOOKUP(INDEX(LdBMember,$N2833),AcctTblE,4,0)="","(بدون نام)",VLOOKUP(INDEX(LdBMember,$N2833),AcctTblE,4,0)),"—"))</f>
        <v/>
      </c>
      <c r="F2833" s="16">
        <f>IF($N2833="","",IF(INDEX(LdBAmt,$N2833)=0,"",INDEX(LdBAmt,$N2833)))</f>
        <v/>
      </c>
      <c r="G2833" s="30">
        <f>IF($N2833="","",IF(INDEX(LdBNote,$N2833)="","—",INDEX(LdBNote,$N2833)))</f>
        <v/>
      </c>
      <c r="N2833">
        <f>IFERROR(MATCH($C$5&amp;"|"&amp;RIGHT("000000"&amp;813,6),LdBKeyG,0),"")</f>
        <v/>
      </c>
    </row>
    <row r="2834">
      <c r="A2834" s="19" t="n">
        <v>814</v>
      </c>
      <c r="B2834" s="20">
        <f>IF($N2834="","",INDEX(LdBDate,$N2834))</f>
        <v/>
      </c>
      <c r="C2834" s="20">
        <f>IF($N2834="","",IF(INDEX(LdBId,$N2834)="","—",INDEX(LdBId,$N2834)))</f>
        <v/>
      </c>
      <c r="D2834" s="20">
        <f>IF($N2834="","",INDEX(LdBMember,$N2834))</f>
        <v/>
      </c>
      <c r="E2834" s="20">
        <f>IF($N2834="","",IFERROR(IF(VLOOKUP(INDEX(LdBMember,$N2834),AcctTblE,4,0)="","(بدون نام)",VLOOKUP(INDEX(LdBMember,$N2834),AcctTblE,4,0)),"—"))</f>
        <v/>
      </c>
      <c r="F2834" s="21">
        <f>IF($N2834="","",IF(INDEX(LdBAmt,$N2834)=0,"",INDEX(LdBAmt,$N2834)))</f>
        <v/>
      </c>
      <c r="G2834" s="32">
        <f>IF($N2834="","",IF(INDEX(LdBNote,$N2834)="","—",INDEX(LdBNote,$N2834)))</f>
        <v/>
      </c>
      <c r="N2834">
        <f>IFERROR(MATCH($C$5&amp;"|"&amp;RIGHT("000000"&amp;814,6),LdBKeyG,0),"")</f>
        <v/>
      </c>
    </row>
    <row r="2835">
      <c r="A2835" s="10" t="n">
        <v>815</v>
      </c>
      <c r="B2835" s="14">
        <f>IF($N2835="","",INDEX(LdBDate,$N2835))</f>
        <v/>
      </c>
      <c r="C2835" s="14">
        <f>IF($N2835="","",IF(INDEX(LdBId,$N2835)="","—",INDEX(LdBId,$N2835)))</f>
        <v/>
      </c>
      <c r="D2835" s="14">
        <f>IF($N2835="","",INDEX(LdBMember,$N2835))</f>
        <v/>
      </c>
      <c r="E2835" s="14">
        <f>IF($N2835="","",IFERROR(IF(VLOOKUP(INDEX(LdBMember,$N2835),AcctTblE,4,0)="","(بدون نام)",VLOOKUP(INDEX(LdBMember,$N2835),AcctTblE,4,0)),"—"))</f>
        <v/>
      </c>
      <c r="F2835" s="16">
        <f>IF($N2835="","",IF(INDEX(LdBAmt,$N2835)=0,"",INDEX(LdBAmt,$N2835)))</f>
        <v/>
      </c>
      <c r="G2835" s="30">
        <f>IF($N2835="","",IF(INDEX(LdBNote,$N2835)="","—",INDEX(LdBNote,$N2835)))</f>
        <v/>
      </c>
      <c r="N2835">
        <f>IFERROR(MATCH($C$5&amp;"|"&amp;RIGHT("000000"&amp;815,6),LdBKeyG,0),"")</f>
        <v/>
      </c>
    </row>
    <row r="2836">
      <c r="A2836" s="19" t="n">
        <v>816</v>
      </c>
      <c r="B2836" s="20">
        <f>IF($N2836="","",INDEX(LdBDate,$N2836))</f>
        <v/>
      </c>
      <c r="C2836" s="20">
        <f>IF($N2836="","",IF(INDEX(LdBId,$N2836)="","—",INDEX(LdBId,$N2836)))</f>
        <v/>
      </c>
      <c r="D2836" s="20">
        <f>IF($N2836="","",INDEX(LdBMember,$N2836))</f>
        <v/>
      </c>
      <c r="E2836" s="20">
        <f>IF($N2836="","",IFERROR(IF(VLOOKUP(INDEX(LdBMember,$N2836),AcctTblE,4,0)="","(بدون نام)",VLOOKUP(INDEX(LdBMember,$N2836),AcctTblE,4,0)),"—"))</f>
        <v/>
      </c>
      <c r="F2836" s="21">
        <f>IF($N2836="","",IF(INDEX(LdBAmt,$N2836)=0,"",INDEX(LdBAmt,$N2836)))</f>
        <v/>
      </c>
      <c r="G2836" s="32">
        <f>IF($N2836="","",IF(INDEX(LdBNote,$N2836)="","—",INDEX(LdBNote,$N2836)))</f>
        <v/>
      </c>
      <c r="N2836">
        <f>IFERROR(MATCH($C$5&amp;"|"&amp;RIGHT("000000"&amp;816,6),LdBKeyG,0),"")</f>
        <v/>
      </c>
    </row>
    <row r="2837">
      <c r="A2837" s="10" t="n">
        <v>817</v>
      </c>
      <c r="B2837" s="14">
        <f>IF($N2837="","",INDEX(LdBDate,$N2837))</f>
        <v/>
      </c>
      <c r="C2837" s="14">
        <f>IF($N2837="","",IF(INDEX(LdBId,$N2837)="","—",INDEX(LdBId,$N2837)))</f>
        <v/>
      </c>
      <c r="D2837" s="14">
        <f>IF($N2837="","",INDEX(LdBMember,$N2837))</f>
        <v/>
      </c>
      <c r="E2837" s="14">
        <f>IF($N2837="","",IFERROR(IF(VLOOKUP(INDEX(LdBMember,$N2837),AcctTblE,4,0)="","(بدون نام)",VLOOKUP(INDEX(LdBMember,$N2837),AcctTblE,4,0)),"—"))</f>
        <v/>
      </c>
      <c r="F2837" s="16">
        <f>IF($N2837="","",IF(INDEX(LdBAmt,$N2837)=0,"",INDEX(LdBAmt,$N2837)))</f>
        <v/>
      </c>
      <c r="G2837" s="30">
        <f>IF($N2837="","",IF(INDEX(LdBNote,$N2837)="","—",INDEX(LdBNote,$N2837)))</f>
        <v/>
      </c>
      <c r="N2837">
        <f>IFERROR(MATCH($C$5&amp;"|"&amp;RIGHT("000000"&amp;817,6),LdBKeyG,0),"")</f>
        <v/>
      </c>
    </row>
    <row r="2838">
      <c r="A2838" s="19" t="n">
        <v>818</v>
      </c>
      <c r="B2838" s="20">
        <f>IF($N2838="","",INDEX(LdBDate,$N2838))</f>
        <v/>
      </c>
      <c r="C2838" s="20">
        <f>IF($N2838="","",IF(INDEX(LdBId,$N2838)="","—",INDEX(LdBId,$N2838)))</f>
        <v/>
      </c>
      <c r="D2838" s="20">
        <f>IF($N2838="","",INDEX(LdBMember,$N2838))</f>
        <v/>
      </c>
      <c r="E2838" s="20">
        <f>IF($N2838="","",IFERROR(IF(VLOOKUP(INDEX(LdBMember,$N2838),AcctTblE,4,0)="","(بدون نام)",VLOOKUP(INDEX(LdBMember,$N2838),AcctTblE,4,0)),"—"))</f>
        <v/>
      </c>
      <c r="F2838" s="21">
        <f>IF($N2838="","",IF(INDEX(LdBAmt,$N2838)=0,"",INDEX(LdBAmt,$N2838)))</f>
        <v/>
      </c>
      <c r="G2838" s="32">
        <f>IF($N2838="","",IF(INDEX(LdBNote,$N2838)="","—",INDEX(LdBNote,$N2838)))</f>
        <v/>
      </c>
      <c r="N2838">
        <f>IFERROR(MATCH($C$5&amp;"|"&amp;RIGHT("000000"&amp;818,6),LdBKeyG,0),"")</f>
        <v/>
      </c>
    </row>
    <row r="2839">
      <c r="A2839" s="10" t="n">
        <v>819</v>
      </c>
      <c r="B2839" s="14">
        <f>IF($N2839="","",INDEX(LdBDate,$N2839))</f>
        <v/>
      </c>
      <c r="C2839" s="14">
        <f>IF($N2839="","",IF(INDEX(LdBId,$N2839)="","—",INDEX(LdBId,$N2839)))</f>
        <v/>
      </c>
      <c r="D2839" s="14">
        <f>IF($N2839="","",INDEX(LdBMember,$N2839))</f>
        <v/>
      </c>
      <c r="E2839" s="14">
        <f>IF($N2839="","",IFERROR(IF(VLOOKUP(INDEX(LdBMember,$N2839),AcctTblE,4,0)="","(بدون نام)",VLOOKUP(INDEX(LdBMember,$N2839),AcctTblE,4,0)),"—"))</f>
        <v/>
      </c>
      <c r="F2839" s="16">
        <f>IF($N2839="","",IF(INDEX(LdBAmt,$N2839)=0,"",INDEX(LdBAmt,$N2839)))</f>
        <v/>
      </c>
      <c r="G2839" s="30">
        <f>IF($N2839="","",IF(INDEX(LdBNote,$N2839)="","—",INDEX(LdBNote,$N2839)))</f>
        <v/>
      </c>
      <c r="N2839">
        <f>IFERROR(MATCH($C$5&amp;"|"&amp;RIGHT("000000"&amp;819,6),LdBKeyG,0),"")</f>
        <v/>
      </c>
    </row>
    <row r="2840">
      <c r="A2840" s="19" t="n">
        <v>820</v>
      </c>
      <c r="B2840" s="20">
        <f>IF($N2840="","",INDEX(LdBDate,$N2840))</f>
        <v/>
      </c>
      <c r="C2840" s="20">
        <f>IF($N2840="","",IF(INDEX(LdBId,$N2840)="","—",INDEX(LdBId,$N2840)))</f>
        <v/>
      </c>
      <c r="D2840" s="20">
        <f>IF($N2840="","",INDEX(LdBMember,$N2840))</f>
        <v/>
      </c>
      <c r="E2840" s="20">
        <f>IF($N2840="","",IFERROR(IF(VLOOKUP(INDEX(LdBMember,$N2840),AcctTblE,4,0)="","(بدون نام)",VLOOKUP(INDEX(LdBMember,$N2840),AcctTblE,4,0)),"—"))</f>
        <v/>
      </c>
      <c r="F2840" s="21">
        <f>IF($N2840="","",IF(INDEX(LdBAmt,$N2840)=0,"",INDEX(LdBAmt,$N2840)))</f>
        <v/>
      </c>
      <c r="G2840" s="32">
        <f>IF($N2840="","",IF(INDEX(LdBNote,$N2840)="","—",INDEX(LdBNote,$N2840)))</f>
        <v/>
      </c>
      <c r="N2840">
        <f>IFERROR(MATCH($C$5&amp;"|"&amp;RIGHT("000000"&amp;820,6),LdBKeyG,0),"")</f>
        <v/>
      </c>
    </row>
    <row r="2841">
      <c r="A2841" s="10" t="n">
        <v>821</v>
      </c>
      <c r="B2841" s="14">
        <f>IF($N2841="","",INDEX(LdBDate,$N2841))</f>
        <v/>
      </c>
      <c r="C2841" s="14">
        <f>IF($N2841="","",IF(INDEX(LdBId,$N2841)="","—",INDEX(LdBId,$N2841)))</f>
        <v/>
      </c>
      <c r="D2841" s="14">
        <f>IF($N2841="","",INDEX(LdBMember,$N2841))</f>
        <v/>
      </c>
      <c r="E2841" s="14">
        <f>IF($N2841="","",IFERROR(IF(VLOOKUP(INDEX(LdBMember,$N2841),AcctTblE,4,0)="","(بدون نام)",VLOOKUP(INDEX(LdBMember,$N2841),AcctTblE,4,0)),"—"))</f>
        <v/>
      </c>
      <c r="F2841" s="16">
        <f>IF($N2841="","",IF(INDEX(LdBAmt,$N2841)=0,"",INDEX(LdBAmt,$N2841)))</f>
        <v/>
      </c>
      <c r="G2841" s="30">
        <f>IF($N2841="","",IF(INDEX(LdBNote,$N2841)="","—",INDEX(LdBNote,$N2841)))</f>
        <v/>
      </c>
      <c r="N2841">
        <f>IFERROR(MATCH($C$5&amp;"|"&amp;RIGHT("000000"&amp;821,6),LdBKeyG,0),"")</f>
        <v/>
      </c>
    </row>
    <row r="2842">
      <c r="A2842" s="19" t="n">
        <v>822</v>
      </c>
      <c r="B2842" s="20">
        <f>IF($N2842="","",INDEX(LdBDate,$N2842))</f>
        <v/>
      </c>
      <c r="C2842" s="20">
        <f>IF($N2842="","",IF(INDEX(LdBId,$N2842)="","—",INDEX(LdBId,$N2842)))</f>
        <v/>
      </c>
      <c r="D2842" s="20">
        <f>IF($N2842="","",INDEX(LdBMember,$N2842))</f>
        <v/>
      </c>
      <c r="E2842" s="20">
        <f>IF($N2842="","",IFERROR(IF(VLOOKUP(INDEX(LdBMember,$N2842),AcctTblE,4,0)="","(بدون نام)",VLOOKUP(INDEX(LdBMember,$N2842),AcctTblE,4,0)),"—"))</f>
        <v/>
      </c>
      <c r="F2842" s="21">
        <f>IF($N2842="","",IF(INDEX(LdBAmt,$N2842)=0,"",INDEX(LdBAmt,$N2842)))</f>
        <v/>
      </c>
      <c r="G2842" s="32">
        <f>IF($N2842="","",IF(INDEX(LdBNote,$N2842)="","—",INDEX(LdBNote,$N2842)))</f>
        <v/>
      </c>
      <c r="N2842">
        <f>IFERROR(MATCH($C$5&amp;"|"&amp;RIGHT("000000"&amp;822,6),LdBKeyG,0),"")</f>
        <v/>
      </c>
    </row>
    <row r="2843">
      <c r="A2843" s="10" t="n">
        <v>823</v>
      </c>
      <c r="B2843" s="14">
        <f>IF($N2843="","",INDEX(LdBDate,$N2843))</f>
        <v/>
      </c>
      <c r="C2843" s="14">
        <f>IF($N2843="","",IF(INDEX(LdBId,$N2843)="","—",INDEX(LdBId,$N2843)))</f>
        <v/>
      </c>
      <c r="D2843" s="14">
        <f>IF($N2843="","",INDEX(LdBMember,$N2843))</f>
        <v/>
      </c>
      <c r="E2843" s="14">
        <f>IF($N2843="","",IFERROR(IF(VLOOKUP(INDEX(LdBMember,$N2843),AcctTblE,4,0)="","(بدون نام)",VLOOKUP(INDEX(LdBMember,$N2843),AcctTblE,4,0)),"—"))</f>
        <v/>
      </c>
      <c r="F2843" s="16">
        <f>IF($N2843="","",IF(INDEX(LdBAmt,$N2843)=0,"",INDEX(LdBAmt,$N2843)))</f>
        <v/>
      </c>
      <c r="G2843" s="30">
        <f>IF($N2843="","",IF(INDEX(LdBNote,$N2843)="","—",INDEX(LdBNote,$N2843)))</f>
        <v/>
      </c>
      <c r="N2843">
        <f>IFERROR(MATCH($C$5&amp;"|"&amp;RIGHT("000000"&amp;823,6),LdBKeyG,0),"")</f>
        <v/>
      </c>
    </row>
    <row r="2844">
      <c r="A2844" s="19" t="n">
        <v>824</v>
      </c>
      <c r="B2844" s="20">
        <f>IF($N2844="","",INDEX(LdBDate,$N2844))</f>
        <v/>
      </c>
      <c r="C2844" s="20">
        <f>IF($N2844="","",IF(INDEX(LdBId,$N2844)="","—",INDEX(LdBId,$N2844)))</f>
        <v/>
      </c>
      <c r="D2844" s="20">
        <f>IF($N2844="","",INDEX(LdBMember,$N2844))</f>
        <v/>
      </c>
      <c r="E2844" s="20">
        <f>IF($N2844="","",IFERROR(IF(VLOOKUP(INDEX(LdBMember,$N2844),AcctTblE,4,0)="","(بدون نام)",VLOOKUP(INDEX(LdBMember,$N2844),AcctTblE,4,0)),"—"))</f>
        <v/>
      </c>
      <c r="F2844" s="21">
        <f>IF($N2844="","",IF(INDEX(LdBAmt,$N2844)=0,"",INDEX(LdBAmt,$N2844)))</f>
        <v/>
      </c>
      <c r="G2844" s="32">
        <f>IF($N2844="","",IF(INDEX(LdBNote,$N2844)="","—",INDEX(LdBNote,$N2844)))</f>
        <v/>
      </c>
      <c r="N2844">
        <f>IFERROR(MATCH($C$5&amp;"|"&amp;RIGHT("000000"&amp;824,6),LdBKeyG,0),"")</f>
        <v/>
      </c>
    </row>
    <row r="2845">
      <c r="A2845" s="10" t="n">
        <v>825</v>
      </c>
      <c r="B2845" s="14">
        <f>IF($N2845="","",INDEX(LdBDate,$N2845))</f>
        <v/>
      </c>
      <c r="C2845" s="14">
        <f>IF($N2845="","",IF(INDEX(LdBId,$N2845)="","—",INDEX(LdBId,$N2845)))</f>
        <v/>
      </c>
      <c r="D2845" s="14">
        <f>IF($N2845="","",INDEX(LdBMember,$N2845))</f>
        <v/>
      </c>
      <c r="E2845" s="14">
        <f>IF($N2845="","",IFERROR(IF(VLOOKUP(INDEX(LdBMember,$N2845),AcctTblE,4,0)="","(بدون نام)",VLOOKUP(INDEX(LdBMember,$N2845),AcctTblE,4,0)),"—"))</f>
        <v/>
      </c>
      <c r="F2845" s="16">
        <f>IF($N2845="","",IF(INDEX(LdBAmt,$N2845)=0,"",INDEX(LdBAmt,$N2845)))</f>
        <v/>
      </c>
      <c r="G2845" s="30">
        <f>IF($N2845="","",IF(INDEX(LdBNote,$N2845)="","—",INDEX(LdBNote,$N2845)))</f>
        <v/>
      </c>
      <c r="N2845">
        <f>IFERROR(MATCH($C$5&amp;"|"&amp;RIGHT("000000"&amp;825,6),LdBKeyG,0),"")</f>
        <v/>
      </c>
    </row>
    <row r="2846">
      <c r="A2846" s="19" t="n">
        <v>826</v>
      </c>
      <c r="B2846" s="20">
        <f>IF($N2846="","",INDEX(LdBDate,$N2846))</f>
        <v/>
      </c>
      <c r="C2846" s="20">
        <f>IF($N2846="","",IF(INDEX(LdBId,$N2846)="","—",INDEX(LdBId,$N2846)))</f>
        <v/>
      </c>
      <c r="D2846" s="20">
        <f>IF($N2846="","",INDEX(LdBMember,$N2846))</f>
        <v/>
      </c>
      <c r="E2846" s="20">
        <f>IF($N2846="","",IFERROR(IF(VLOOKUP(INDEX(LdBMember,$N2846),AcctTblE,4,0)="","(بدون نام)",VLOOKUP(INDEX(LdBMember,$N2846),AcctTblE,4,0)),"—"))</f>
        <v/>
      </c>
      <c r="F2846" s="21">
        <f>IF($N2846="","",IF(INDEX(LdBAmt,$N2846)=0,"",INDEX(LdBAmt,$N2846)))</f>
        <v/>
      </c>
      <c r="G2846" s="32">
        <f>IF($N2846="","",IF(INDEX(LdBNote,$N2846)="","—",INDEX(LdBNote,$N2846)))</f>
        <v/>
      </c>
      <c r="N2846">
        <f>IFERROR(MATCH($C$5&amp;"|"&amp;RIGHT("000000"&amp;826,6),LdBKeyG,0),"")</f>
        <v/>
      </c>
    </row>
    <row r="2847">
      <c r="A2847" s="10" t="n">
        <v>827</v>
      </c>
      <c r="B2847" s="14">
        <f>IF($N2847="","",INDEX(LdBDate,$N2847))</f>
        <v/>
      </c>
      <c r="C2847" s="14">
        <f>IF($N2847="","",IF(INDEX(LdBId,$N2847)="","—",INDEX(LdBId,$N2847)))</f>
        <v/>
      </c>
      <c r="D2847" s="14">
        <f>IF($N2847="","",INDEX(LdBMember,$N2847))</f>
        <v/>
      </c>
      <c r="E2847" s="14">
        <f>IF($N2847="","",IFERROR(IF(VLOOKUP(INDEX(LdBMember,$N2847),AcctTblE,4,0)="","(بدون نام)",VLOOKUP(INDEX(LdBMember,$N2847),AcctTblE,4,0)),"—"))</f>
        <v/>
      </c>
      <c r="F2847" s="16">
        <f>IF($N2847="","",IF(INDEX(LdBAmt,$N2847)=0,"",INDEX(LdBAmt,$N2847)))</f>
        <v/>
      </c>
      <c r="G2847" s="30">
        <f>IF($N2847="","",IF(INDEX(LdBNote,$N2847)="","—",INDEX(LdBNote,$N2847)))</f>
        <v/>
      </c>
      <c r="N2847">
        <f>IFERROR(MATCH($C$5&amp;"|"&amp;RIGHT("000000"&amp;827,6),LdBKeyG,0),"")</f>
        <v/>
      </c>
    </row>
    <row r="2848">
      <c r="A2848" s="19" t="n">
        <v>828</v>
      </c>
      <c r="B2848" s="20">
        <f>IF($N2848="","",INDEX(LdBDate,$N2848))</f>
        <v/>
      </c>
      <c r="C2848" s="20">
        <f>IF($N2848="","",IF(INDEX(LdBId,$N2848)="","—",INDEX(LdBId,$N2848)))</f>
        <v/>
      </c>
      <c r="D2848" s="20">
        <f>IF($N2848="","",INDEX(LdBMember,$N2848))</f>
        <v/>
      </c>
      <c r="E2848" s="20">
        <f>IF($N2848="","",IFERROR(IF(VLOOKUP(INDEX(LdBMember,$N2848),AcctTblE,4,0)="","(بدون نام)",VLOOKUP(INDEX(LdBMember,$N2848),AcctTblE,4,0)),"—"))</f>
        <v/>
      </c>
      <c r="F2848" s="21">
        <f>IF($N2848="","",IF(INDEX(LdBAmt,$N2848)=0,"",INDEX(LdBAmt,$N2848)))</f>
        <v/>
      </c>
      <c r="G2848" s="32">
        <f>IF($N2848="","",IF(INDEX(LdBNote,$N2848)="","—",INDEX(LdBNote,$N2848)))</f>
        <v/>
      </c>
      <c r="N2848">
        <f>IFERROR(MATCH($C$5&amp;"|"&amp;RIGHT("000000"&amp;828,6),LdBKeyG,0),"")</f>
        <v/>
      </c>
    </row>
    <row r="2849">
      <c r="A2849" s="10" t="n">
        <v>829</v>
      </c>
      <c r="B2849" s="14">
        <f>IF($N2849="","",INDEX(LdBDate,$N2849))</f>
        <v/>
      </c>
      <c r="C2849" s="14">
        <f>IF($N2849="","",IF(INDEX(LdBId,$N2849)="","—",INDEX(LdBId,$N2849)))</f>
        <v/>
      </c>
      <c r="D2849" s="14">
        <f>IF($N2849="","",INDEX(LdBMember,$N2849))</f>
        <v/>
      </c>
      <c r="E2849" s="14">
        <f>IF($N2849="","",IFERROR(IF(VLOOKUP(INDEX(LdBMember,$N2849),AcctTblE,4,0)="","(بدون نام)",VLOOKUP(INDEX(LdBMember,$N2849),AcctTblE,4,0)),"—"))</f>
        <v/>
      </c>
      <c r="F2849" s="16">
        <f>IF($N2849="","",IF(INDEX(LdBAmt,$N2849)=0,"",INDEX(LdBAmt,$N2849)))</f>
        <v/>
      </c>
      <c r="G2849" s="30">
        <f>IF($N2849="","",IF(INDEX(LdBNote,$N2849)="","—",INDEX(LdBNote,$N2849)))</f>
        <v/>
      </c>
      <c r="N2849">
        <f>IFERROR(MATCH($C$5&amp;"|"&amp;RIGHT("000000"&amp;829,6),LdBKeyG,0),"")</f>
        <v/>
      </c>
    </row>
    <row r="2850">
      <c r="A2850" s="19" t="n">
        <v>830</v>
      </c>
      <c r="B2850" s="20">
        <f>IF($N2850="","",INDEX(LdBDate,$N2850))</f>
        <v/>
      </c>
      <c r="C2850" s="20">
        <f>IF($N2850="","",IF(INDEX(LdBId,$N2850)="","—",INDEX(LdBId,$N2850)))</f>
        <v/>
      </c>
      <c r="D2850" s="20">
        <f>IF($N2850="","",INDEX(LdBMember,$N2850))</f>
        <v/>
      </c>
      <c r="E2850" s="20">
        <f>IF($N2850="","",IFERROR(IF(VLOOKUP(INDEX(LdBMember,$N2850),AcctTblE,4,0)="","(بدون نام)",VLOOKUP(INDEX(LdBMember,$N2850),AcctTblE,4,0)),"—"))</f>
        <v/>
      </c>
      <c r="F2850" s="21">
        <f>IF($N2850="","",IF(INDEX(LdBAmt,$N2850)=0,"",INDEX(LdBAmt,$N2850)))</f>
        <v/>
      </c>
      <c r="G2850" s="32">
        <f>IF($N2850="","",IF(INDEX(LdBNote,$N2850)="","—",INDEX(LdBNote,$N2850)))</f>
        <v/>
      </c>
      <c r="N2850">
        <f>IFERROR(MATCH($C$5&amp;"|"&amp;RIGHT("000000"&amp;830,6),LdBKeyG,0),"")</f>
        <v/>
      </c>
    </row>
    <row r="2851">
      <c r="A2851" s="10" t="n">
        <v>831</v>
      </c>
      <c r="B2851" s="14">
        <f>IF($N2851="","",INDEX(LdBDate,$N2851))</f>
        <v/>
      </c>
      <c r="C2851" s="14">
        <f>IF($N2851="","",IF(INDEX(LdBId,$N2851)="","—",INDEX(LdBId,$N2851)))</f>
        <v/>
      </c>
      <c r="D2851" s="14">
        <f>IF($N2851="","",INDEX(LdBMember,$N2851))</f>
        <v/>
      </c>
      <c r="E2851" s="14">
        <f>IF($N2851="","",IFERROR(IF(VLOOKUP(INDEX(LdBMember,$N2851),AcctTblE,4,0)="","(بدون نام)",VLOOKUP(INDEX(LdBMember,$N2851),AcctTblE,4,0)),"—"))</f>
        <v/>
      </c>
      <c r="F2851" s="16">
        <f>IF($N2851="","",IF(INDEX(LdBAmt,$N2851)=0,"",INDEX(LdBAmt,$N2851)))</f>
        <v/>
      </c>
      <c r="G2851" s="30">
        <f>IF($N2851="","",IF(INDEX(LdBNote,$N2851)="","—",INDEX(LdBNote,$N2851)))</f>
        <v/>
      </c>
      <c r="N2851">
        <f>IFERROR(MATCH($C$5&amp;"|"&amp;RIGHT("000000"&amp;831,6),LdBKeyG,0),"")</f>
        <v/>
      </c>
    </row>
    <row r="2852">
      <c r="A2852" s="19" t="n">
        <v>832</v>
      </c>
      <c r="B2852" s="20">
        <f>IF($N2852="","",INDEX(LdBDate,$N2852))</f>
        <v/>
      </c>
      <c r="C2852" s="20">
        <f>IF($N2852="","",IF(INDEX(LdBId,$N2852)="","—",INDEX(LdBId,$N2852)))</f>
        <v/>
      </c>
      <c r="D2852" s="20">
        <f>IF($N2852="","",INDEX(LdBMember,$N2852))</f>
        <v/>
      </c>
      <c r="E2852" s="20">
        <f>IF($N2852="","",IFERROR(IF(VLOOKUP(INDEX(LdBMember,$N2852),AcctTblE,4,0)="","(بدون نام)",VLOOKUP(INDEX(LdBMember,$N2852),AcctTblE,4,0)),"—"))</f>
        <v/>
      </c>
      <c r="F2852" s="21">
        <f>IF($N2852="","",IF(INDEX(LdBAmt,$N2852)=0,"",INDEX(LdBAmt,$N2852)))</f>
        <v/>
      </c>
      <c r="G2852" s="32">
        <f>IF($N2852="","",IF(INDEX(LdBNote,$N2852)="","—",INDEX(LdBNote,$N2852)))</f>
        <v/>
      </c>
      <c r="N2852">
        <f>IFERROR(MATCH($C$5&amp;"|"&amp;RIGHT("000000"&amp;832,6),LdBKeyG,0),"")</f>
        <v/>
      </c>
    </row>
    <row r="2853">
      <c r="A2853" s="10" t="n">
        <v>833</v>
      </c>
      <c r="B2853" s="14">
        <f>IF($N2853="","",INDEX(LdBDate,$N2853))</f>
        <v/>
      </c>
      <c r="C2853" s="14">
        <f>IF($N2853="","",IF(INDEX(LdBId,$N2853)="","—",INDEX(LdBId,$N2853)))</f>
        <v/>
      </c>
      <c r="D2853" s="14">
        <f>IF($N2853="","",INDEX(LdBMember,$N2853))</f>
        <v/>
      </c>
      <c r="E2853" s="14">
        <f>IF($N2853="","",IFERROR(IF(VLOOKUP(INDEX(LdBMember,$N2853),AcctTblE,4,0)="","(بدون نام)",VLOOKUP(INDEX(LdBMember,$N2853),AcctTblE,4,0)),"—"))</f>
        <v/>
      </c>
      <c r="F2853" s="16">
        <f>IF($N2853="","",IF(INDEX(LdBAmt,$N2853)=0,"",INDEX(LdBAmt,$N2853)))</f>
        <v/>
      </c>
      <c r="G2853" s="30">
        <f>IF($N2853="","",IF(INDEX(LdBNote,$N2853)="","—",INDEX(LdBNote,$N2853)))</f>
        <v/>
      </c>
      <c r="N2853">
        <f>IFERROR(MATCH($C$5&amp;"|"&amp;RIGHT("000000"&amp;833,6),LdBKeyG,0),"")</f>
        <v/>
      </c>
    </row>
    <row r="2854">
      <c r="A2854" s="19" t="n">
        <v>834</v>
      </c>
      <c r="B2854" s="20">
        <f>IF($N2854="","",INDEX(LdBDate,$N2854))</f>
        <v/>
      </c>
      <c r="C2854" s="20">
        <f>IF($N2854="","",IF(INDEX(LdBId,$N2854)="","—",INDEX(LdBId,$N2854)))</f>
        <v/>
      </c>
      <c r="D2854" s="20">
        <f>IF($N2854="","",INDEX(LdBMember,$N2854))</f>
        <v/>
      </c>
      <c r="E2854" s="20">
        <f>IF($N2854="","",IFERROR(IF(VLOOKUP(INDEX(LdBMember,$N2854),AcctTblE,4,0)="","(بدون نام)",VLOOKUP(INDEX(LdBMember,$N2854),AcctTblE,4,0)),"—"))</f>
        <v/>
      </c>
      <c r="F2854" s="21">
        <f>IF($N2854="","",IF(INDEX(LdBAmt,$N2854)=0,"",INDEX(LdBAmt,$N2854)))</f>
        <v/>
      </c>
      <c r="G2854" s="32">
        <f>IF($N2854="","",IF(INDEX(LdBNote,$N2854)="","—",INDEX(LdBNote,$N2854)))</f>
        <v/>
      </c>
      <c r="N2854">
        <f>IFERROR(MATCH($C$5&amp;"|"&amp;RIGHT("000000"&amp;834,6),LdBKeyG,0),"")</f>
        <v/>
      </c>
    </row>
    <row r="2855">
      <c r="A2855" s="10" t="n">
        <v>835</v>
      </c>
      <c r="B2855" s="14">
        <f>IF($N2855="","",INDEX(LdBDate,$N2855))</f>
        <v/>
      </c>
      <c r="C2855" s="14">
        <f>IF($N2855="","",IF(INDEX(LdBId,$N2855)="","—",INDEX(LdBId,$N2855)))</f>
        <v/>
      </c>
      <c r="D2855" s="14">
        <f>IF($N2855="","",INDEX(LdBMember,$N2855))</f>
        <v/>
      </c>
      <c r="E2855" s="14">
        <f>IF($N2855="","",IFERROR(IF(VLOOKUP(INDEX(LdBMember,$N2855),AcctTblE,4,0)="","(بدون نام)",VLOOKUP(INDEX(LdBMember,$N2855),AcctTblE,4,0)),"—"))</f>
        <v/>
      </c>
      <c r="F2855" s="16">
        <f>IF($N2855="","",IF(INDEX(LdBAmt,$N2855)=0,"",INDEX(LdBAmt,$N2855)))</f>
        <v/>
      </c>
      <c r="G2855" s="30">
        <f>IF($N2855="","",IF(INDEX(LdBNote,$N2855)="","—",INDEX(LdBNote,$N2855)))</f>
        <v/>
      </c>
      <c r="N2855">
        <f>IFERROR(MATCH($C$5&amp;"|"&amp;RIGHT("000000"&amp;835,6),LdBKeyG,0),"")</f>
        <v/>
      </c>
    </row>
    <row r="2856">
      <c r="A2856" s="19" t="n">
        <v>836</v>
      </c>
      <c r="B2856" s="20">
        <f>IF($N2856="","",INDEX(LdBDate,$N2856))</f>
        <v/>
      </c>
      <c r="C2856" s="20">
        <f>IF($N2856="","",IF(INDEX(LdBId,$N2856)="","—",INDEX(LdBId,$N2856)))</f>
        <v/>
      </c>
      <c r="D2856" s="20">
        <f>IF($N2856="","",INDEX(LdBMember,$N2856))</f>
        <v/>
      </c>
      <c r="E2856" s="20">
        <f>IF($N2856="","",IFERROR(IF(VLOOKUP(INDEX(LdBMember,$N2856),AcctTblE,4,0)="","(بدون نام)",VLOOKUP(INDEX(LdBMember,$N2856),AcctTblE,4,0)),"—"))</f>
        <v/>
      </c>
      <c r="F2856" s="21">
        <f>IF($N2856="","",IF(INDEX(LdBAmt,$N2856)=0,"",INDEX(LdBAmt,$N2856)))</f>
        <v/>
      </c>
      <c r="G2856" s="32">
        <f>IF($N2856="","",IF(INDEX(LdBNote,$N2856)="","—",INDEX(LdBNote,$N2856)))</f>
        <v/>
      </c>
      <c r="N2856">
        <f>IFERROR(MATCH($C$5&amp;"|"&amp;RIGHT("000000"&amp;836,6),LdBKeyG,0),"")</f>
        <v/>
      </c>
    </row>
    <row r="2857">
      <c r="A2857" s="10" t="n">
        <v>837</v>
      </c>
      <c r="B2857" s="14">
        <f>IF($N2857="","",INDEX(LdBDate,$N2857))</f>
        <v/>
      </c>
      <c r="C2857" s="14">
        <f>IF($N2857="","",IF(INDEX(LdBId,$N2857)="","—",INDEX(LdBId,$N2857)))</f>
        <v/>
      </c>
      <c r="D2857" s="14">
        <f>IF($N2857="","",INDEX(LdBMember,$N2857))</f>
        <v/>
      </c>
      <c r="E2857" s="14">
        <f>IF($N2857="","",IFERROR(IF(VLOOKUP(INDEX(LdBMember,$N2857),AcctTblE,4,0)="","(بدون نام)",VLOOKUP(INDEX(LdBMember,$N2857),AcctTblE,4,0)),"—"))</f>
        <v/>
      </c>
      <c r="F2857" s="16">
        <f>IF($N2857="","",IF(INDEX(LdBAmt,$N2857)=0,"",INDEX(LdBAmt,$N2857)))</f>
        <v/>
      </c>
      <c r="G2857" s="30">
        <f>IF($N2857="","",IF(INDEX(LdBNote,$N2857)="","—",INDEX(LdBNote,$N2857)))</f>
        <v/>
      </c>
      <c r="N2857">
        <f>IFERROR(MATCH($C$5&amp;"|"&amp;RIGHT("000000"&amp;837,6),LdBKeyG,0),"")</f>
        <v/>
      </c>
    </row>
    <row r="2858">
      <c r="A2858" s="19" t="n">
        <v>838</v>
      </c>
      <c r="B2858" s="20">
        <f>IF($N2858="","",INDEX(LdBDate,$N2858))</f>
        <v/>
      </c>
      <c r="C2858" s="20">
        <f>IF($N2858="","",IF(INDEX(LdBId,$N2858)="","—",INDEX(LdBId,$N2858)))</f>
        <v/>
      </c>
      <c r="D2858" s="20">
        <f>IF($N2858="","",INDEX(LdBMember,$N2858))</f>
        <v/>
      </c>
      <c r="E2858" s="20">
        <f>IF($N2858="","",IFERROR(IF(VLOOKUP(INDEX(LdBMember,$N2858),AcctTblE,4,0)="","(بدون نام)",VLOOKUP(INDEX(LdBMember,$N2858),AcctTblE,4,0)),"—"))</f>
        <v/>
      </c>
      <c r="F2858" s="21">
        <f>IF($N2858="","",IF(INDEX(LdBAmt,$N2858)=0,"",INDEX(LdBAmt,$N2858)))</f>
        <v/>
      </c>
      <c r="G2858" s="32">
        <f>IF($N2858="","",IF(INDEX(LdBNote,$N2858)="","—",INDEX(LdBNote,$N2858)))</f>
        <v/>
      </c>
      <c r="N2858">
        <f>IFERROR(MATCH($C$5&amp;"|"&amp;RIGHT("000000"&amp;838,6),LdBKeyG,0),"")</f>
        <v/>
      </c>
    </row>
    <row r="2859">
      <c r="A2859" s="10" t="n">
        <v>839</v>
      </c>
      <c r="B2859" s="14">
        <f>IF($N2859="","",INDEX(LdBDate,$N2859))</f>
        <v/>
      </c>
      <c r="C2859" s="14">
        <f>IF($N2859="","",IF(INDEX(LdBId,$N2859)="","—",INDEX(LdBId,$N2859)))</f>
        <v/>
      </c>
      <c r="D2859" s="14">
        <f>IF($N2859="","",INDEX(LdBMember,$N2859))</f>
        <v/>
      </c>
      <c r="E2859" s="14">
        <f>IF($N2859="","",IFERROR(IF(VLOOKUP(INDEX(LdBMember,$N2859),AcctTblE,4,0)="","(بدون نام)",VLOOKUP(INDEX(LdBMember,$N2859),AcctTblE,4,0)),"—"))</f>
        <v/>
      </c>
      <c r="F2859" s="16">
        <f>IF($N2859="","",IF(INDEX(LdBAmt,$N2859)=0,"",INDEX(LdBAmt,$N2859)))</f>
        <v/>
      </c>
      <c r="G2859" s="30">
        <f>IF($N2859="","",IF(INDEX(LdBNote,$N2859)="","—",INDEX(LdBNote,$N2859)))</f>
        <v/>
      </c>
      <c r="N2859">
        <f>IFERROR(MATCH($C$5&amp;"|"&amp;RIGHT("000000"&amp;839,6),LdBKeyG,0),"")</f>
        <v/>
      </c>
    </row>
    <row r="2860">
      <c r="A2860" s="19" t="n">
        <v>840</v>
      </c>
      <c r="B2860" s="20">
        <f>IF($N2860="","",INDEX(LdBDate,$N2860))</f>
        <v/>
      </c>
      <c r="C2860" s="20">
        <f>IF($N2860="","",IF(INDEX(LdBId,$N2860)="","—",INDEX(LdBId,$N2860)))</f>
        <v/>
      </c>
      <c r="D2860" s="20">
        <f>IF($N2860="","",INDEX(LdBMember,$N2860))</f>
        <v/>
      </c>
      <c r="E2860" s="20">
        <f>IF($N2860="","",IFERROR(IF(VLOOKUP(INDEX(LdBMember,$N2860),AcctTblE,4,0)="","(بدون نام)",VLOOKUP(INDEX(LdBMember,$N2860),AcctTblE,4,0)),"—"))</f>
        <v/>
      </c>
      <c r="F2860" s="21">
        <f>IF($N2860="","",IF(INDEX(LdBAmt,$N2860)=0,"",INDEX(LdBAmt,$N2860)))</f>
        <v/>
      </c>
      <c r="G2860" s="32">
        <f>IF($N2860="","",IF(INDEX(LdBNote,$N2860)="","—",INDEX(LdBNote,$N2860)))</f>
        <v/>
      </c>
      <c r="N2860">
        <f>IFERROR(MATCH($C$5&amp;"|"&amp;RIGHT("000000"&amp;840,6),LdBKeyG,0),"")</f>
        <v/>
      </c>
    </row>
    <row r="2861">
      <c r="A2861" s="10" t="n">
        <v>841</v>
      </c>
      <c r="B2861" s="14">
        <f>IF($N2861="","",INDEX(LdBDate,$N2861))</f>
        <v/>
      </c>
      <c r="C2861" s="14">
        <f>IF($N2861="","",IF(INDEX(LdBId,$N2861)="","—",INDEX(LdBId,$N2861)))</f>
        <v/>
      </c>
      <c r="D2861" s="14">
        <f>IF($N2861="","",INDEX(LdBMember,$N2861))</f>
        <v/>
      </c>
      <c r="E2861" s="14">
        <f>IF($N2861="","",IFERROR(IF(VLOOKUP(INDEX(LdBMember,$N2861),AcctTblE,4,0)="","(بدون نام)",VLOOKUP(INDEX(LdBMember,$N2861),AcctTblE,4,0)),"—"))</f>
        <v/>
      </c>
      <c r="F2861" s="16">
        <f>IF($N2861="","",IF(INDEX(LdBAmt,$N2861)=0,"",INDEX(LdBAmt,$N2861)))</f>
        <v/>
      </c>
      <c r="G2861" s="30">
        <f>IF($N2861="","",IF(INDEX(LdBNote,$N2861)="","—",INDEX(LdBNote,$N2861)))</f>
        <v/>
      </c>
      <c r="N2861">
        <f>IFERROR(MATCH($C$5&amp;"|"&amp;RIGHT("000000"&amp;841,6),LdBKeyG,0),"")</f>
        <v/>
      </c>
    </row>
    <row r="2862">
      <c r="A2862" s="19" t="n">
        <v>842</v>
      </c>
      <c r="B2862" s="20">
        <f>IF($N2862="","",INDEX(LdBDate,$N2862))</f>
        <v/>
      </c>
      <c r="C2862" s="20">
        <f>IF($N2862="","",IF(INDEX(LdBId,$N2862)="","—",INDEX(LdBId,$N2862)))</f>
        <v/>
      </c>
      <c r="D2862" s="20">
        <f>IF($N2862="","",INDEX(LdBMember,$N2862))</f>
        <v/>
      </c>
      <c r="E2862" s="20">
        <f>IF($N2862="","",IFERROR(IF(VLOOKUP(INDEX(LdBMember,$N2862),AcctTblE,4,0)="","(بدون نام)",VLOOKUP(INDEX(LdBMember,$N2862),AcctTblE,4,0)),"—"))</f>
        <v/>
      </c>
      <c r="F2862" s="21">
        <f>IF($N2862="","",IF(INDEX(LdBAmt,$N2862)=0,"",INDEX(LdBAmt,$N2862)))</f>
        <v/>
      </c>
      <c r="G2862" s="32">
        <f>IF($N2862="","",IF(INDEX(LdBNote,$N2862)="","—",INDEX(LdBNote,$N2862)))</f>
        <v/>
      </c>
      <c r="N2862">
        <f>IFERROR(MATCH($C$5&amp;"|"&amp;RIGHT("000000"&amp;842,6),LdBKeyG,0),"")</f>
        <v/>
      </c>
    </row>
    <row r="2863">
      <c r="A2863" s="10" t="n">
        <v>843</v>
      </c>
      <c r="B2863" s="14">
        <f>IF($N2863="","",INDEX(LdBDate,$N2863))</f>
        <v/>
      </c>
      <c r="C2863" s="14">
        <f>IF($N2863="","",IF(INDEX(LdBId,$N2863)="","—",INDEX(LdBId,$N2863)))</f>
        <v/>
      </c>
      <c r="D2863" s="14">
        <f>IF($N2863="","",INDEX(LdBMember,$N2863))</f>
        <v/>
      </c>
      <c r="E2863" s="14">
        <f>IF($N2863="","",IFERROR(IF(VLOOKUP(INDEX(LdBMember,$N2863),AcctTblE,4,0)="","(بدون نام)",VLOOKUP(INDEX(LdBMember,$N2863),AcctTblE,4,0)),"—"))</f>
        <v/>
      </c>
      <c r="F2863" s="16">
        <f>IF($N2863="","",IF(INDEX(LdBAmt,$N2863)=0,"",INDEX(LdBAmt,$N2863)))</f>
        <v/>
      </c>
      <c r="G2863" s="30">
        <f>IF($N2863="","",IF(INDEX(LdBNote,$N2863)="","—",INDEX(LdBNote,$N2863)))</f>
        <v/>
      </c>
      <c r="N2863">
        <f>IFERROR(MATCH($C$5&amp;"|"&amp;RIGHT("000000"&amp;843,6),LdBKeyG,0),"")</f>
        <v/>
      </c>
    </row>
    <row r="2864">
      <c r="A2864" s="19" t="n">
        <v>844</v>
      </c>
      <c r="B2864" s="20">
        <f>IF($N2864="","",INDEX(LdBDate,$N2864))</f>
        <v/>
      </c>
      <c r="C2864" s="20">
        <f>IF($N2864="","",IF(INDEX(LdBId,$N2864)="","—",INDEX(LdBId,$N2864)))</f>
        <v/>
      </c>
      <c r="D2864" s="20">
        <f>IF($N2864="","",INDEX(LdBMember,$N2864))</f>
        <v/>
      </c>
      <c r="E2864" s="20">
        <f>IF($N2864="","",IFERROR(IF(VLOOKUP(INDEX(LdBMember,$N2864),AcctTblE,4,0)="","(بدون نام)",VLOOKUP(INDEX(LdBMember,$N2864),AcctTblE,4,0)),"—"))</f>
        <v/>
      </c>
      <c r="F2864" s="21">
        <f>IF($N2864="","",IF(INDEX(LdBAmt,$N2864)=0,"",INDEX(LdBAmt,$N2864)))</f>
        <v/>
      </c>
      <c r="G2864" s="32">
        <f>IF($N2864="","",IF(INDEX(LdBNote,$N2864)="","—",INDEX(LdBNote,$N2864)))</f>
        <v/>
      </c>
      <c r="N2864">
        <f>IFERROR(MATCH($C$5&amp;"|"&amp;RIGHT("000000"&amp;844,6),LdBKeyG,0),"")</f>
        <v/>
      </c>
    </row>
    <row r="2865">
      <c r="A2865" s="10" t="n">
        <v>845</v>
      </c>
      <c r="B2865" s="14">
        <f>IF($N2865="","",INDEX(LdBDate,$N2865))</f>
        <v/>
      </c>
      <c r="C2865" s="14">
        <f>IF($N2865="","",IF(INDEX(LdBId,$N2865)="","—",INDEX(LdBId,$N2865)))</f>
        <v/>
      </c>
      <c r="D2865" s="14">
        <f>IF($N2865="","",INDEX(LdBMember,$N2865))</f>
        <v/>
      </c>
      <c r="E2865" s="14">
        <f>IF($N2865="","",IFERROR(IF(VLOOKUP(INDEX(LdBMember,$N2865),AcctTblE,4,0)="","(بدون نام)",VLOOKUP(INDEX(LdBMember,$N2865),AcctTblE,4,0)),"—"))</f>
        <v/>
      </c>
      <c r="F2865" s="16">
        <f>IF($N2865="","",IF(INDEX(LdBAmt,$N2865)=0,"",INDEX(LdBAmt,$N2865)))</f>
        <v/>
      </c>
      <c r="G2865" s="30">
        <f>IF($N2865="","",IF(INDEX(LdBNote,$N2865)="","—",INDEX(LdBNote,$N2865)))</f>
        <v/>
      </c>
      <c r="N2865">
        <f>IFERROR(MATCH($C$5&amp;"|"&amp;RIGHT("000000"&amp;845,6),LdBKeyG,0),"")</f>
        <v/>
      </c>
    </row>
    <row r="2866">
      <c r="A2866" s="19" t="n">
        <v>846</v>
      </c>
      <c r="B2866" s="20">
        <f>IF($N2866="","",INDEX(LdBDate,$N2866))</f>
        <v/>
      </c>
      <c r="C2866" s="20">
        <f>IF($N2866="","",IF(INDEX(LdBId,$N2866)="","—",INDEX(LdBId,$N2866)))</f>
        <v/>
      </c>
      <c r="D2866" s="20">
        <f>IF($N2866="","",INDEX(LdBMember,$N2866))</f>
        <v/>
      </c>
      <c r="E2866" s="20">
        <f>IF($N2866="","",IFERROR(IF(VLOOKUP(INDEX(LdBMember,$N2866),AcctTblE,4,0)="","(بدون نام)",VLOOKUP(INDEX(LdBMember,$N2866),AcctTblE,4,0)),"—"))</f>
        <v/>
      </c>
      <c r="F2866" s="21">
        <f>IF($N2866="","",IF(INDEX(LdBAmt,$N2866)=0,"",INDEX(LdBAmt,$N2866)))</f>
        <v/>
      </c>
      <c r="G2866" s="32">
        <f>IF($N2866="","",IF(INDEX(LdBNote,$N2866)="","—",INDEX(LdBNote,$N2866)))</f>
        <v/>
      </c>
      <c r="N2866">
        <f>IFERROR(MATCH($C$5&amp;"|"&amp;RIGHT("000000"&amp;846,6),LdBKeyG,0),"")</f>
        <v/>
      </c>
    </row>
    <row r="2867">
      <c r="A2867" s="10" t="n">
        <v>847</v>
      </c>
      <c r="B2867" s="14">
        <f>IF($N2867="","",INDEX(LdBDate,$N2867))</f>
        <v/>
      </c>
      <c r="C2867" s="14">
        <f>IF($N2867="","",IF(INDEX(LdBId,$N2867)="","—",INDEX(LdBId,$N2867)))</f>
        <v/>
      </c>
      <c r="D2867" s="14">
        <f>IF($N2867="","",INDEX(LdBMember,$N2867))</f>
        <v/>
      </c>
      <c r="E2867" s="14">
        <f>IF($N2867="","",IFERROR(IF(VLOOKUP(INDEX(LdBMember,$N2867),AcctTblE,4,0)="","(بدون نام)",VLOOKUP(INDEX(LdBMember,$N2867),AcctTblE,4,0)),"—"))</f>
        <v/>
      </c>
      <c r="F2867" s="16">
        <f>IF($N2867="","",IF(INDEX(LdBAmt,$N2867)=0,"",INDEX(LdBAmt,$N2867)))</f>
        <v/>
      </c>
      <c r="G2867" s="30">
        <f>IF($N2867="","",IF(INDEX(LdBNote,$N2867)="","—",INDEX(LdBNote,$N2867)))</f>
        <v/>
      </c>
      <c r="N2867">
        <f>IFERROR(MATCH($C$5&amp;"|"&amp;RIGHT("000000"&amp;847,6),LdBKeyG,0),"")</f>
        <v/>
      </c>
    </row>
    <row r="2868">
      <c r="A2868" s="19" t="n">
        <v>848</v>
      </c>
      <c r="B2868" s="20">
        <f>IF($N2868="","",INDEX(LdBDate,$N2868))</f>
        <v/>
      </c>
      <c r="C2868" s="20">
        <f>IF($N2868="","",IF(INDEX(LdBId,$N2868)="","—",INDEX(LdBId,$N2868)))</f>
        <v/>
      </c>
      <c r="D2868" s="20">
        <f>IF($N2868="","",INDEX(LdBMember,$N2868))</f>
        <v/>
      </c>
      <c r="E2868" s="20">
        <f>IF($N2868="","",IFERROR(IF(VLOOKUP(INDEX(LdBMember,$N2868),AcctTblE,4,0)="","(بدون نام)",VLOOKUP(INDEX(LdBMember,$N2868),AcctTblE,4,0)),"—"))</f>
        <v/>
      </c>
      <c r="F2868" s="21">
        <f>IF($N2868="","",IF(INDEX(LdBAmt,$N2868)=0,"",INDEX(LdBAmt,$N2868)))</f>
        <v/>
      </c>
      <c r="G2868" s="32">
        <f>IF($N2868="","",IF(INDEX(LdBNote,$N2868)="","—",INDEX(LdBNote,$N2868)))</f>
        <v/>
      </c>
      <c r="N2868">
        <f>IFERROR(MATCH($C$5&amp;"|"&amp;RIGHT("000000"&amp;848,6),LdBKeyG,0),"")</f>
        <v/>
      </c>
    </row>
    <row r="2869">
      <c r="A2869" s="10" t="n">
        <v>849</v>
      </c>
      <c r="B2869" s="14">
        <f>IF($N2869="","",INDEX(LdBDate,$N2869))</f>
        <v/>
      </c>
      <c r="C2869" s="14">
        <f>IF($N2869="","",IF(INDEX(LdBId,$N2869)="","—",INDEX(LdBId,$N2869)))</f>
        <v/>
      </c>
      <c r="D2869" s="14">
        <f>IF($N2869="","",INDEX(LdBMember,$N2869))</f>
        <v/>
      </c>
      <c r="E2869" s="14">
        <f>IF($N2869="","",IFERROR(IF(VLOOKUP(INDEX(LdBMember,$N2869),AcctTblE,4,0)="","(بدون نام)",VLOOKUP(INDEX(LdBMember,$N2869),AcctTblE,4,0)),"—"))</f>
        <v/>
      </c>
      <c r="F2869" s="16">
        <f>IF($N2869="","",IF(INDEX(LdBAmt,$N2869)=0,"",INDEX(LdBAmt,$N2869)))</f>
        <v/>
      </c>
      <c r="G2869" s="30">
        <f>IF($N2869="","",IF(INDEX(LdBNote,$N2869)="","—",INDEX(LdBNote,$N2869)))</f>
        <v/>
      </c>
      <c r="N2869">
        <f>IFERROR(MATCH($C$5&amp;"|"&amp;RIGHT("000000"&amp;849,6),LdBKeyG,0),"")</f>
        <v/>
      </c>
    </row>
    <row r="2870">
      <c r="A2870" s="19" t="n">
        <v>850</v>
      </c>
      <c r="B2870" s="20">
        <f>IF($N2870="","",INDEX(LdBDate,$N2870))</f>
        <v/>
      </c>
      <c r="C2870" s="20">
        <f>IF($N2870="","",IF(INDEX(LdBId,$N2870)="","—",INDEX(LdBId,$N2870)))</f>
        <v/>
      </c>
      <c r="D2870" s="20">
        <f>IF($N2870="","",INDEX(LdBMember,$N2870))</f>
        <v/>
      </c>
      <c r="E2870" s="20">
        <f>IF($N2870="","",IFERROR(IF(VLOOKUP(INDEX(LdBMember,$N2870),AcctTblE,4,0)="","(بدون نام)",VLOOKUP(INDEX(LdBMember,$N2870),AcctTblE,4,0)),"—"))</f>
        <v/>
      </c>
      <c r="F2870" s="21">
        <f>IF($N2870="","",IF(INDEX(LdBAmt,$N2870)=0,"",INDEX(LdBAmt,$N2870)))</f>
        <v/>
      </c>
      <c r="G2870" s="32">
        <f>IF($N2870="","",IF(INDEX(LdBNote,$N2870)="","—",INDEX(LdBNote,$N2870)))</f>
        <v/>
      </c>
      <c r="N2870">
        <f>IFERROR(MATCH($C$5&amp;"|"&amp;RIGHT("000000"&amp;850,6),LdBKeyG,0),"")</f>
        <v/>
      </c>
    </row>
    <row r="2871">
      <c r="A2871" s="10" t="n">
        <v>851</v>
      </c>
      <c r="B2871" s="14">
        <f>IF($N2871="","",INDEX(LdBDate,$N2871))</f>
        <v/>
      </c>
      <c r="C2871" s="14">
        <f>IF($N2871="","",IF(INDEX(LdBId,$N2871)="","—",INDEX(LdBId,$N2871)))</f>
        <v/>
      </c>
      <c r="D2871" s="14">
        <f>IF($N2871="","",INDEX(LdBMember,$N2871))</f>
        <v/>
      </c>
      <c r="E2871" s="14">
        <f>IF($N2871="","",IFERROR(IF(VLOOKUP(INDEX(LdBMember,$N2871),AcctTblE,4,0)="","(بدون نام)",VLOOKUP(INDEX(LdBMember,$N2871),AcctTblE,4,0)),"—"))</f>
        <v/>
      </c>
      <c r="F2871" s="16">
        <f>IF($N2871="","",IF(INDEX(LdBAmt,$N2871)=0,"",INDEX(LdBAmt,$N2871)))</f>
        <v/>
      </c>
      <c r="G2871" s="30">
        <f>IF($N2871="","",IF(INDEX(LdBNote,$N2871)="","—",INDEX(LdBNote,$N2871)))</f>
        <v/>
      </c>
      <c r="N2871">
        <f>IFERROR(MATCH($C$5&amp;"|"&amp;RIGHT("000000"&amp;851,6),LdBKeyG,0),"")</f>
        <v/>
      </c>
    </row>
    <row r="2872">
      <c r="A2872" s="19" t="n">
        <v>852</v>
      </c>
      <c r="B2872" s="20">
        <f>IF($N2872="","",INDEX(LdBDate,$N2872))</f>
        <v/>
      </c>
      <c r="C2872" s="20">
        <f>IF($N2872="","",IF(INDEX(LdBId,$N2872)="","—",INDEX(LdBId,$N2872)))</f>
        <v/>
      </c>
      <c r="D2872" s="20">
        <f>IF($N2872="","",INDEX(LdBMember,$N2872))</f>
        <v/>
      </c>
      <c r="E2872" s="20">
        <f>IF($N2872="","",IFERROR(IF(VLOOKUP(INDEX(LdBMember,$N2872),AcctTblE,4,0)="","(بدون نام)",VLOOKUP(INDEX(LdBMember,$N2872),AcctTblE,4,0)),"—"))</f>
        <v/>
      </c>
      <c r="F2872" s="21">
        <f>IF($N2872="","",IF(INDEX(LdBAmt,$N2872)=0,"",INDEX(LdBAmt,$N2872)))</f>
        <v/>
      </c>
      <c r="G2872" s="32">
        <f>IF($N2872="","",IF(INDEX(LdBNote,$N2872)="","—",INDEX(LdBNote,$N2872)))</f>
        <v/>
      </c>
      <c r="N2872">
        <f>IFERROR(MATCH($C$5&amp;"|"&amp;RIGHT("000000"&amp;852,6),LdBKeyG,0),"")</f>
        <v/>
      </c>
    </row>
    <row r="2873">
      <c r="A2873" s="10" t="n">
        <v>853</v>
      </c>
      <c r="B2873" s="14">
        <f>IF($N2873="","",INDEX(LdBDate,$N2873))</f>
        <v/>
      </c>
      <c r="C2873" s="14">
        <f>IF($N2873="","",IF(INDEX(LdBId,$N2873)="","—",INDEX(LdBId,$N2873)))</f>
        <v/>
      </c>
      <c r="D2873" s="14">
        <f>IF($N2873="","",INDEX(LdBMember,$N2873))</f>
        <v/>
      </c>
      <c r="E2873" s="14">
        <f>IF($N2873="","",IFERROR(IF(VLOOKUP(INDEX(LdBMember,$N2873),AcctTblE,4,0)="","(بدون نام)",VLOOKUP(INDEX(LdBMember,$N2873),AcctTblE,4,0)),"—"))</f>
        <v/>
      </c>
      <c r="F2873" s="16">
        <f>IF($N2873="","",IF(INDEX(LdBAmt,$N2873)=0,"",INDEX(LdBAmt,$N2873)))</f>
        <v/>
      </c>
      <c r="G2873" s="30">
        <f>IF($N2873="","",IF(INDEX(LdBNote,$N2873)="","—",INDEX(LdBNote,$N2873)))</f>
        <v/>
      </c>
      <c r="N2873">
        <f>IFERROR(MATCH($C$5&amp;"|"&amp;RIGHT("000000"&amp;853,6),LdBKeyG,0),"")</f>
        <v/>
      </c>
    </row>
    <row r="2874">
      <c r="A2874" s="19" t="n">
        <v>854</v>
      </c>
      <c r="B2874" s="20">
        <f>IF($N2874="","",INDEX(LdBDate,$N2874))</f>
        <v/>
      </c>
      <c r="C2874" s="20">
        <f>IF($N2874="","",IF(INDEX(LdBId,$N2874)="","—",INDEX(LdBId,$N2874)))</f>
        <v/>
      </c>
      <c r="D2874" s="20">
        <f>IF($N2874="","",INDEX(LdBMember,$N2874))</f>
        <v/>
      </c>
      <c r="E2874" s="20">
        <f>IF($N2874="","",IFERROR(IF(VLOOKUP(INDEX(LdBMember,$N2874),AcctTblE,4,0)="","(بدون نام)",VLOOKUP(INDEX(LdBMember,$N2874),AcctTblE,4,0)),"—"))</f>
        <v/>
      </c>
      <c r="F2874" s="21">
        <f>IF($N2874="","",IF(INDEX(LdBAmt,$N2874)=0,"",INDEX(LdBAmt,$N2874)))</f>
        <v/>
      </c>
      <c r="G2874" s="32">
        <f>IF($N2874="","",IF(INDEX(LdBNote,$N2874)="","—",INDEX(LdBNote,$N2874)))</f>
        <v/>
      </c>
      <c r="N2874">
        <f>IFERROR(MATCH($C$5&amp;"|"&amp;RIGHT("000000"&amp;854,6),LdBKeyG,0),"")</f>
        <v/>
      </c>
    </row>
    <row r="2875">
      <c r="A2875" s="10" t="n">
        <v>855</v>
      </c>
      <c r="B2875" s="14">
        <f>IF($N2875="","",INDEX(LdBDate,$N2875))</f>
        <v/>
      </c>
      <c r="C2875" s="14">
        <f>IF($N2875="","",IF(INDEX(LdBId,$N2875)="","—",INDEX(LdBId,$N2875)))</f>
        <v/>
      </c>
      <c r="D2875" s="14">
        <f>IF($N2875="","",INDEX(LdBMember,$N2875))</f>
        <v/>
      </c>
      <c r="E2875" s="14">
        <f>IF($N2875="","",IFERROR(IF(VLOOKUP(INDEX(LdBMember,$N2875),AcctTblE,4,0)="","(بدون نام)",VLOOKUP(INDEX(LdBMember,$N2875),AcctTblE,4,0)),"—"))</f>
        <v/>
      </c>
      <c r="F2875" s="16">
        <f>IF($N2875="","",IF(INDEX(LdBAmt,$N2875)=0,"",INDEX(LdBAmt,$N2875)))</f>
        <v/>
      </c>
      <c r="G2875" s="30">
        <f>IF($N2875="","",IF(INDEX(LdBNote,$N2875)="","—",INDEX(LdBNote,$N2875)))</f>
        <v/>
      </c>
      <c r="N2875">
        <f>IFERROR(MATCH($C$5&amp;"|"&amp;RIGHT("000000"&amp;855,6),LdBKeyG,0),"")</f>
        <v/>
      </c>
    </row>
    <row r="2876">
      <c r="A2876" s="19" t="n">
        <v>856</v>
      </c>
      <c r="B2876" s="20">
        <f>IF($N2876="","",INDEX(LdBDate,$N2876))</f>
        <v/>
      </c>
      <c r="C2876" s="20">
        <f>IF($N2876="","",IF(INDEX(LdBId,$N2876)="","—",INDEX(LdBId,$N2876)))</f>
        <v/>
      </c>
      <c r="D2876" s="20">
        <f>IF($N2876="","",INDEX(LdBMember,$N2876))</f>
        <v/>
      </c>
      <c r="E2876" s="20">
        <f>IF($N2876="","",IFERROR(IF(VLOOKUP(INDEX(LdBMember,$N2876),AcctTblE,4,0)="","(بدون نام)",VLOOKUP(INDEX(LdBMember,$N2876),AcctTblE,4,0)),"—"))</f>
        <v/>
      </c>
      <c r="F2876" s="21">
        <f>IF($N2876="","",IF(INDEX(LdBAmt,$N2876)=0,"",INDEX(LdBAmt,$N2876)))</f>
        <v/>
      </c>
      <c r="G2876" s="32">
        <f>IF($N2876="","",IF(INDEX(LdBNote,$N2876)="","—",INDEX(LdBNote,$N2876)))</f>
        <v/>
      </c>
      <c r="N2876">
        <f>IFERROR(MATCH($C$5&amp;"|"&amp;RIGHT("000000"&amp;856,6),LdBKeyG,0),"")</f>
        <v/>
      </c>
    </row>
    <row r="2877">
      <c r="A2877" s="10" t="n">
        <v>857</v>
      </c>
      <c r="B2877" s="14">
        <f>IF($N2877="","",INDEX(LdBDate,$N2877))</f>
        <v/>
      </c>
      <c r="C2877" s="14">
        <f>IF($N2877="","",IF(INDEX(LdBId,$N2877)="","—",INDEX(LdBId,$N2877)))</f>
        <v/>
      </c>
      <c r="D2877" s="14">
        <f>IF($N2877="","",INDEX(LdBMember,$N2877))</f>
        <v/>
      </c>
      <c r="E2877" s="14">
        <f>IF($N2877="","",IFERROR(IF(VLOOKUP(INDEX(LdBMember,$N2877),AcctTblE,4,0)="","(بدون نام)",VLOOKUP(INDEX(LdBMember,$N2877),AcctTblE,4,0)),"—"))</f>
        <v/>
      </c>
      <c r="F2877" s="16">
        <f>IF($N2877="","",IF(INDEX(LdBAmt,$N2877)=0,"",INDEX(LdBAmt,$N2877)))</f>
        <v/>
      </c>
      <c r="G2877" s="30">
        <f>IF($N2877="","",IF(INDEX(LdBNote,$N2877)="","—",INDEX(LdBNote,$N2877)))</f>
        <v/>
      </c>
      <c r="N2877">
        <f>IFERROR(MATCH($C$5&amp;"|"&amp;RIGHT("000000"&amp;857,6),LdBKeyG,0),"")</f>
        <v/>
      </c>
    </row>
    <row r="2878">
      <c r="A2878" s="19" t="n">
        <v>858</v>
      </c>
      <c r="B2878" s="20">
        <f>IF($N2878="","",INDEX(LdBDate,$N2878))</f>
        <v/>
      </c>
      <c r="C2878" s="20">
        <f>IF($N2878="","",IF(INDEX(LdBId,$N2878)="","—",INDEX(LdBId,$N2878)))</f>
        <v/>
      </c>
      <c r="D2878" s="20">
        <f>IF($N2878="","",INDEX(LdBMember,$N2878))</f>
        <v/>
      </c>
      <c r="E2878" s="20">
        <f>IF($N2878="","",IFERROR(IF(VLOOKUP(INDEX(LdBMember,$N2878),AcctTblE,4,0)="","(بدون نام)",VLOOKUP(INDEX(LdBMember,$N2878),AcctTblE,4,0)),"—"))</f>
        <v/>
      </c>
      <c r="F2878" s="21">
        <f>IF($N2878="","",IF(INDEX(LdBAmt,$N2878)=0,"",INDEX(LdBAmt,$N2878)))</f>
        <v/>
      </c>
      <c r="G2878" s="32">
        <f>IF($N2878="","",IF(INDEX(LdBNote,$N2878)="","—",INDEX(LdBNote,$N2878)))</f>
        <v/>
      </c>
      <c r="N2878">
        <f>IFERROR(MATCH($C$5&amp;"|"&amp;RIGHT("000000"&amp;858,6),LdBKeyG,0),"")</f>
        <v/>
      </c>
    </row>
    <row r="2879">
      <c r="A2879" s="10" t="n">
        <v>859</v>
      </c>
      <c r="B2879" s="14">
        <f>IF($N2879="","",INDEX(LdBDate,$N2879))</f>
        <v/>
      </c>
      <c r="C2879" s="14">
        <f>IF($N2879="","",IF(INDEX(LdBId,$N2879)="","—",INDEX(LdBId,$N2879)))</f>
        <v/>
      </c>
      <c r="D2879" s="14">
        <f>IF($N2879="","",INDEX(LdBMember,$N2879))</f>
        <v/>
      </c>
      <c r="E2879" s="14">
        <f>IF($N2879="","",IFERROR(IF(VLOOKUP(INDEX(LdBMember,$N2879),AcctTblE,4,0)="","(بدون نام)",VLOOKUP(INDEX(LdBMember,$N2879),AcctTblE,4,0)),"—"))</f>
        <v/>
      </c>
      <c r="F2879" s="16">
        <f>IF($N2879="","",IF(INDEX(LdBAmt,$N2879)=0,"",INDEX(LdBAmt,$N2879)))</f>
        <v/>
      </c>
      <c r="G2879" s="30">
        <f>IF($N2879="","",IF(INDEX(LdBNote,$N2879)="","—",INDEX(LdBNote,$N2879)))</f>
        <v/>
      </c>
      <c r="N2879">
        <f>IFERROR(MATCH($C$5&amp;"|"&amp;RIGHT("000000"&amp;859,6),LdBKeyG,0),"")</f>
        <v/>
      </c>
    </row>
    <row r="2880">
      <c r="A2880" s="19" t="n">
        <v>860</v>
      </c>
      <c r="B2880" s="20">
        <f>IF($N2880="","",INDEX(LdBDate,$N2880))</f>
        <v/>
      </c>
      <c r="C2880" s="20">
        <f>IF($N2880="","",IF(INDEX(LdBId,$N2880)="","—",INDEX(LdBId,$N2880)))</f>
        <v/>
      </c>
      <c r="D2880" s="20">
        <f>IF($N2880="","",INDEX(LdBMember,$N2880))</f>
        <v/>
      </c>
      <c r="E2880" s="20">
        <f>IF($N2880="","",IFERROR(IF(VLOOKUP(INDEX(LdBMember,$N2880),AcctTblE,4,0)="","(بدون نام)",VLOOKUP(INDEX(LdBMember,$N2880),AcctTblE,4,0)),"—"))</f>
        <v/>
      </c>
      <c r="F2880" s="21">
        <f>IF($N2880="","",IF(INDEX(LdBAmt,$N2880)=0,"",INDEX(LdBAmt,$N2880)))</f>
        <v/>
      </c>
      <c r="G2880" s="32">
        <f>IF($N2880="","",IF(INDEX(LdBNote,$N2880)="","—",INDEX(LdBNote,$N2880)))</f>
        <v/>
      </c>
      <c r="N2880">
        <f>IFERROR(MATCH($C$5&amp;"|"&amp;RIGHT("000000"&amp;860,6),LdBKeyG,0),"")</f>
        <v/>
      </c>
    </row>
    <row r="2881">
      <c r="A2881" s="10" t="n">
        <v>861</v>
      </c>
      <c r="B2881" s="14">
        <f>IF($N2881="","",INDEX(LdBDate,$N2881))</f>
        <v/>
      </c>
      <c r="C2881" s="14">
        <f>IF($N2881="","",IF(INDEX(LdBId,$N2881)="","—",INDEX(LdBId,$N2881)))</f>
        <v/>
      </c>
      <c r="D2881" s="14">
        <f>IF($N2881="","",INDEX(LdBMember,$N2881))</f>
        <v/>
      </c>
      <c r="E2881" s="14">
        <f>IF($N2881="","",IFERROR(IF(VLOOKUP(INDEX(LdBMember,$N2881),AcctTblE,4,0)="","(بدون نام)",VLOOKUP(INDEX(LdBMember,$N2881),AcctTblE,4,0)),"—"))</f>
        <v/>
      </c>
      <c r="F2881" s="16">
        <f>IF($N2881="","",IF(INDEX(LdBAmt,$N2881)=0,"",INDEX(LdBAmt,$N2881)))</f>
        <v/>
      </c>
      <c r="G2881" s="30">
        <f>IF($N2881="","",IF(INDEX(LdBNote,$N2881)="","—",INDEX(LdBNote,$N2881)))</f>
        <v/>
      </c>
      <c r="N2881">
        <f>IFERROR(MATCH($C$5&amp;"|"&amp;RIGHT("000000"&amp;861,6),LdBKeyG,0),"")</f>
        <v/>
      </c>
    </row>
    <row r="2882">
      <c r="A2882" s="19" t="n">
        <v>862</v>
      </c>
      <c r="B2882" s="20">
        <f>IF($N2882="","",INDEX(LdBDate,$N2882))</f>
        <v/>
      </c>
      <c r="C2882" s="20">
        <f>IF($N2882="","",IF(INDEX(LdBId,$N2882)="","—",INDEX(LdBId,$N2882)))</f>
        <v/>
      </c>
      <c r="D2882" s="20">
        <f>IF($N2882="","",INDEX(LdBMember,$N2882))</f>
        <v/>
      </c>
      <c r="E2882" s="20">
        <f>IF($N2882="","",IFERROR(IF(VLOOKUP(INDEX(LdBMember,$N2882),AcctTblE,4,0)="","(بدون نام)",VLOOKUP(INDEX(LdBMember,$N2882),AcctTblE,4,0)),"—"))</f>
        <v/>
      </c>
      <c r="F2882" s="21">
        <f>IF($N2882="","",IF(INDEX(LdBAmt,$N2882)=0,"",INDEX(LdBAmt,$N2882)))</f>
        <v/>
      </c>
      <c r="G2882" s="32">
        <f>IF($N2882="","",IF(INDEX(LdBNote,$N2882)="","—",INDEX(LdBNote,$N2882)))</f>
        <v/>
      </c>
      <c r="N2882">
        <f>IFERROR(MATCH($C$5&amp;"|"&amp;RIGHT("000000"&amp;862,6),LdBKeyG,0),"")</f>
        <v/>
      </c>
    </row>
    <row r="2883">
      <c r="A2883" s="10" t="n">
        <v>863</v>
      </c>
      <c r="B2883" s="14">
        <f>IF($N2883="","",INDEX(LdBDate,$N2883))</f>
        <v/>
      </c>
      <c r="C2883" s="14">
        <f>IF($N2883="","",IF(INDEX(LdBId,$N2883)="","—",INDEX(LdBId,$N2883)))</f>
        <v/>
      </c>
      <c r="D2883" s="14">
        <f>IF($N2883="","",INDEX(LdBMember,$N2883))</f>
        <v/>
      </c>
      <c r="E2883" s="14">
        <f>IF($N2883="","",IFERROR(IF(VLOOKUP(INDEX(LdBMember,$N2883),AcctTblE,4,0)="","(بدون نام)",VLOOKUP(INDEX(LdBMember,$N2883),AcctTblE,4,0)),"—"))</f>
        <v/>
      </c>
      <c r="F2883" s="16">
        <f>IF($N2883="","",IF(INDEX(LdBAmt,$N2883)=0,"",INDEX(LdBAmt,$N2883)))</f>
        <v/>
      </c>
      <c r="G2883" s="30">
        <f>IF($N2883="","",IF(INDEX(LdBNote,$N2883)="","—",INDEX(LdBNote,$N2883)))</f>
        <v/>
      </c>
      <c r="N2883">
        <f>IFERROR(MATCH($C$5&amp;"|"&amp;RIGHT("000000"&amp;863,6),LdBKeyG,0),"")</f>
        <v/>
      </c>
    </row>
    <row r="2884">
      <c r="A2884" s="19" t="n">
        <v>864</v>
      </c>
      <c r="B2884" s="20">
        <f>IF($N2884="","",INDEX(LdBDate,$N2884))</f>
        <v/>
      </c>
      <c r="C2884" s="20">
        <f>IF($N2884="","",IF(INDEX(LdBId,$N2884)="","—",INDEX(LdBId,$N2884)))</f>
        <v/>
      </c>
      <c r="D2884" s="20">
        <f>IF($N2884="","",INDEX(LdBMember,$N2884))</f>
        <v/>
      </c>
      <c r="E2884" s="20">
        <f>IF($N2884="","",IFERROR(IF(VLOOKUP(INDEX(LdBMember,$N2884),AcctTblE,4,0)="","(بدون نام)",VLOOKUP(INDEX(LdBMember,$N2884),AcctTblE,4,0)),"—"))</f>
        <v/>
      </c>
      <c r="F2884" s="21">
        <f>IF($N2884="","",IF(INDEX(LdBAmt,$N2884)=0,"",INDEX(LdBAmt,$N2884)))</f>
        <v/>
      </c>
      <c r="G2884" s="32">
        <f>IF($N2884="","",IF(INDEX(LdBNote,$N2884)="","—",INDEX(LdBNote,$N2884)))</f>
        <v/>
      </c>
      <c r="N2884">
        <f>IFERROR(MATCH($C$5&amp;"|"&amp;RIGHT("000000"&amp;864,6),LdBKeyG,0),"")</f>
        <v/>
      </c>
    </row>
    <row r="2885">
      <c r="A2885" s="10" t="n">
        <v>865</v>
      </c>
      <c r="B2885" s="14">
        <f>IF($N2885="","",INDEX(LdBDate,$N2885))</f>
        <v/>
      </c>
      <c r="C2885" s="14">
        <f>IF($N2885="","",IF(INDEX(LdBId,$N2885)="","—",INDEX(LdBId,$N2885)))</f>
        <v/>
      </c>
      <c r="D2885" s="14">
        <f>IF($N2885="","",INDEX(LdBMember,$N2885))</f>
        <v/>
      </c>
      <c r="E2885" s="14">
        <f>IF($N2885="","",IFERROR(IF(VLOOKUP(INDEX(LdBMember,$N2885),AcctTblE,4,0)="","(بدون نام)",VLOOKUP(INDEX(LdBMember,$N2885),AcctTblE,4,0)),"—"))</f>
        <v/>
      </c>
      <c r="F2885" s="16">
        <f>IF($N2885="","",IF(INDEX(LdBAmt,$N2885)=0,"",INDEX(LdBAmt,$N2885)))</f>
        <v/>
      </c>
      <c r="G2885" s="30">
        <f>IF($N2885="","",IF(INDEX(LdBNote,$N2885)="","—",INDEX(LdBNote,$N2885)))</f>
        <v/>
      </c>
      <c r="N2885">
        <f>IFERROR(MATCH($C$5&amp;"|"&amp;RIGHT("000000"&amp;865,6),LdBKeyG,0),"")</f>
        <v/>
      </c>
    </row>
    <row r="2886">
      <c r="A2886" s="19" t="n">
        <v>866</v>
      </c>
      <c r="B2886" s="20">
        <f>IF($N2886="","",INDEX(LdBDate,$N2886))</f>
        <v/>
      </c>
      <c r="C2886" s="20">
        <f>IF($N2886="","",IF(INDEX(LdBId,$N2886)="","—",INDEX(LdBId,$N2886)))</f>
        <v/>
      </c>
      <c r="D2886" s="20">
        <f>IF($N2886="","",INDEX(LdBMember,$N2886))</f>
        <v/>
      </c>
      <c r="E2886" s="20">
        <f>IF($N2886="","",IFERROR(IF(VLOOKUP(INDEX(LdBMember,$N2886),AcctTblE,4,0)="","(بدون نام)",VLOOKUP(INDEX(LdBMember,$N2886),AcctTblE,4,0)),"—"))</f>
        <v/>
      </c>
      <c r="F2886" s="21">
        <f>IF($N2886="","",IF(INDEX(LdBAmt,$N2886)=0,"",INDEX(LdBAmt,$N2886)))</f>
        <v/>
      </c>
      <c r="G2886" s="32">
        <f>IF($N2886="","",IF(INDEX(LdBNote,$N2886)="","—",INDEX(LdBNote,$N2886)))</f>
        <v/>
      </c>
      <c r="N2886">
        <f>IFERROR(MATCH($C$5&amp;"|"&amp;RIGHT("000000"&amp;866,6),LdBKeyG,0),"")</f>
        <v/>
      </c>
    </row>
    <row r="2887">
      <c r="A2887" s="10" t="n">
        <v>867</v>
      </c>
      <c r="B2887" s="14">
        <f>IF($N2887="","",INDEX(LdBDate,$N2887))</f>
        <v/>
      </c>
      <c r="C2887" s="14">
        <f>IF($N2887="","",IF(INDEX(LdBId,$N2887)="","—",INDEX(LdBId,$N2887)))</f>
        <v/>
      </c>
      <c r="D2887" s="14">
        <f>IF($N2887="","",INDEX(LdBMember,$N2887))</f>
        <v/>
      </c>
      <c r="E2887" s="14">
        <f>IF($N2887="","",IFERROR(IF(VLOOKUP(INDEX(LdBMember,$N2887),AcctTblE,4,0)="","(بدون نام)",VLOOKUP(INDEX(LdBMember,$N2887),AcctTblE,4,0)),"—"))</f>
        <v/>
      </c>
      <c r="F2887" s="16">
        <f>IF($N2887="","",IF(INDEX(LdBAmt,$N2887)=0,"",INDEX(LdBAmt,$N2887)))</f>
        <v/>
      </c>
      <c r="G2887" s="30">
        <f>IF($N2887="","",IF(INDEX(LdBNote,$N2887)="","—",INDEX(LdBNote,$N2887)))</f>
        <v/>
      </c>
      <c r="N2887">
        <f>IFERROR(MATCH($C$5&amp;"|"&amp;RIGHT("000000"&amp;867,6),LdBKeyG,0),"")</f>
        <v/>
      </c>
    </row>
    <row r="2888">
      <c r="A2888" s="19" t="n">
        <v>868</v>
      </c>
      <c r="B2888" s="20">
        <f>IF($N2888="","",INDEX(LdBDate,$N2888))</f>
        <v/>
      </c>
      <c r="C2888" s="20">
        <f>IF($N2888="","",IF(INDEX(LdBId,$N2888)="","—",INDEX(LdBId,$N2888)))</f>
        <v/>
      </c>
      <c r="D2888" s="20">
        <f>IF($N2888="","",INDEX(LdBMember,$N2888))</f>
        <v/>
      </c>
      <c r="E2888" s="20">
        <f>IF($N2888="","",IFERROR(IF(VLOOKUP(INDEX(LdBMember,$N2888),AcctTblE,4,0)="","(بدون نام)",VLOOKUP(INDEX(LdBMember,$N2888),AcctTblE,4,0)),"—"))</f>
        <v/>
      </c>
      <c r="F2888" s="21">
        <f>IF($N2888="","",IF(INDEX(LdBAmt,$N2888)=0,"",INDEX(LdBAmt,$N2888)))</f>
        <v/>
      </c>
      <c r="G2888" s="32">
        <f>IF($N2888="","",IF(INDEX(LdBNote,$N2888)="","—",INDEX(LdBNote,$N2888)))</f>
        <v/>
      </c>
      <c r="N2888">
        <f>IFERROR(MATCH($C$5&amp;"|"&amp;RIGHT("000000"&amp;868,6),LdBKeyG,0),"")</f>
        <v/>
      </c>
    </row>
    <row r="2889">
      <c r="A2889" s="10" t="n">
        <v>869</v>
      </c>
      <c r="B2889" s="14">
        <f>IF($N2889="","",INDEX(LdBDate,$N2889))</f>
        <v/>
      </c>
      <c r="C2889" s="14">
        <f>IF($N2889="","",IF(INDEX(LdBId,$N2889)="","—",INDEX(LdBId,$N2889)))</f>
        <v/>
      </c>
      <c r="D2889" s="14">
        <f>IF($N2889="","",INDEX(LdBMember,$N2889))</f>
        <v/>
      </c>
      <c r="E2889" s="14">
        <f>IF($N2889="","",IFERROR(IF(VLOOKUP(INDEX(LdBMember,$N2889),AcctTblE,4,0)="","(بدون نام)",VLOOKUP(INDEX(LdBMember,$N2889),AcctTblE,4,0)),"—"))</f>
        <v/>
      </c>
      <c r="F2889" s="16">
        <f>IF($N2889="","",IF(INDEX(LdBAmt,$N2889)=0,"",INDEX(LdBAmt,$N2889)))</f>
        <v/>
      </c>
      <c r="G2889" s="30">
        <f>IF($N2889="","",IF(INDEX(LdBNote,$N2889)="","—",INDEX(LdBNote,$N2889)))</f>
        <v/>
      </c>
      <c r="N2889">
        <f>IFERROR(MATCH($C$5&amp;"|"&amp;RIGHT("000000"&amp;869,6),LdBKeyG,0),"")</f>
        <v/>
      </c>
    </row>
    <row r="2890">
      <c r="A2890" s="19" t="n">
        <v>870</v>
      </c>
      <c r="B2890" s="20">
        <f>IF($N2890="","",INDEX(LdBDate,$N2890))</f>
        <v/>
      </c>
      <c r="C2890" s="20">
        <f>IF($N2890="","",IF(INDEX(LdBId,$N2890)="","—",INDEX(LdBId,$N2890)))</f>
        <v/>
      </c>
      <c r="D2890" s="20">
        <f>IF($N2890="","",INDEX(LdBMember,$N2890))</f>
        <v/>
      </c>
      <c r="E2890" s="20">
        <f>IF($N2890="","",IFERROR(IF(VLOOKUP(INDEX(LdBMember,$N2890),AcctTblE,4,0)="","(بدون نام)",VLOOKUP(INDEX(LdBMember,$N2890),AcctTblE,4,0)),"—"))</f>
        <v/>
      </c>
      <c r="F2890" s="21">
        <f>IF($N2890="","",IF(INDEX(LdBAmt,$N2890)=0,"",INDEX(LdBAmt,$N2890)))</f>
        <v/>
      </c>
      <c r="G2890" s="32">
        <f>IF($N2890="","",IF(INDEX(LdBNote,$N2890)="","—",INDEX(LdBNote,$N2890)))</f>
        <v/>
      </c>
      <c r="N2890">
        <f>IFERROR(MATCH($C$5&amp;"|"&amp;RIGHT("000000"&amp;870,6),LdBKeyG,0),"")</f>
        <v/>
      </c>
    </row>
    <row r="2891">
      <c r="A2891" s="10" t="n">
        <v>871</v>
      </c>
      <c r="B2891" s="14">
        <f>IF($N2891="","",INDEX(LdBDate,$N2891))</f>
        <v/>
      </c>
      <c r="C2891" s="14">
        <f>IF($N2891="","",IF(INDEX(LdBId,$N2891)="","—",INDEX(LdBId,$N2891)))</f>
        <v/>
      </c>
      <c r="D2891" s="14">
        <f>IF($N2891="","",INDEX(LdBMember,$N2891))</f>
        <v/>
      </c>
      <c r="E2891" s="14">
        <f>IF($N2891="","",IFERROR(IF(VLOOKUP(INDEX(LdBMember,$N2891),AcctTblE,4,0)="","(بدون نام)",VLOOKUP(INDEX(LdBMember,$N2891),AcctTblE,4,0)),"—"))</f>
        <v/>
      </c>
      <c r="F2891" s="16">
        <f>IF($N2891="","",IF(INDEX(LdBAmt,$N2891)=0,"",INDEX(LdBAmt,$N2891)))</f>
        <v/>
      </c>
      <c r="G2891" s="30">
        <f>IF($N2891="","",IF(INDEX(LdBNote,$N2891)="","—",INDEX(LdBNote,$N2891)))</f>
        <v/>
      </c>
      <c r="N2891">
        <f>IFERROR(MATCH($C$5&amp;"|"&amp;RIGHT("000000"&amp;871,6),LdBKeyG,0),"")</f>
        <v/>
      </c>
    </row>
    <row r="2892">
      <c r="A2892" s="19" t="n">
        <v>872</v>
      </c>
      <c r="B2892" s="20">
        <f>IF($N2892="","",INDEX(LdBDate,$N2892))</f>
        <v/>
      </c>
      <c r="C2892" s="20">
        <f>IF($N2892="","",IF(INDEX(LdBId,$N2892)="","—",INDEX(LdBId,$N2892)))</f>
        <v/>
      </c>
      <c r="D2892" s="20">
        <f>IF($N2892="","",INDEX(LdBMember,$N2892))</f>
        <v/>
      </c>
      <c r="E2892" s="20">
        <f>IF($N2892="","",IFERROR(IF(VLOOKUP(INDEX(LdBMember,$N2892),AcctTblE,4,0)="","(بدون نام)",VLOOKUP(INDEX(LdBMember,$N2892),AcctTblE,4,0)),"—"))</f>
        <v/>
      </c>
      <c r="F2892" s="21">
        <f>IF($N2892="","",IF(INDEX(LdBAmt,$N2892)=0,"",INDEX(LdBAmt,$N2892)))</f>
        <v/>
      </c>
      <c r="G2892" s="32">
        <f>IF($N2892="","",IF(INDEX(LdBNote,$N2892)="","—",INDEX(LdBNote,$N2892)))</f>
        <v/>
      </c>
      <c r="N2892">
        <f>IFERROR(MATCH($C$5&amp;"|"&amp;RIGHT("000000"&amp;872,6),LdBKeyG,0),"")</f>
        <v/>
      </c>
    </row>
    <row r="2893">
      <c r="A2893" s="10" t="n">
        <v>873</v>
      </c>
      <c r="B2893" s="14">
        <f>IF($N2893="","",INDEX(LdBDate,$N2893))</f>
        <v/>
      </c>
      <c r="C2893" s="14">
        <f>IF($N2893="","",IF(INDEX(LdBId,$N2893)="","—",INDEX(LdBId,$N2893)))</f>
        <v/>
      </c>
      <c r="D2893" s="14">
        <f>IF($N2893="","",INDEX(LdBMember,$N2893))</f>
        <v/>
      </c>
      <c r="E2893" s="14">
        <f>IF($N2893="","",IFERROR(IF(VLOOKUP(INDEX(LdBMember,$N2893),AcctTblE,4,0)="","(بدون نام)",VLOOKUP(INDEX(LdBMember,$N2893),AcctTblE,4,0)),"—"))</f>
        <v/>
      </c>
      <c r="F2893" s="16">
        <f>IF($N2893="","",IF(INDEX(LdBAmt,$N2893)=0,"",INDEX(LdBAmt,$N2893)))</f>
        <v/>
      </c>
      <c r="G2893" s="30">
        <f>IF($N2893="","",IF(INDEX(LdBNote,$N2893)="","—",INDEX(LdBNote,$N2893)))</f>
        <v/>
      </c>
      <c r="N2893">
        <f>IFERROR(MATCH($C$5&amp;"|"&amp;RIGHT("000000"&amp;873,6),LdBKeyG,0),"")</f>
        <v/>
      </c>
    </row>
    <row r="2894">
      <c r="A2894" s="19" t="n">
        <v>874</v>
      </c>
      <c r="B2894" s="20">
        <f>IF($N2894="","",INDEX(LdBDate,$N2894))</f>
        <v/>
      </c>
      <c r="C2894" s="20">
        <f>IF($N2894="","",IF(INDEX(LdBId,$N2894)="","—",INDEX(LdBId,$N2894)))</f>
        <v/>
      </c>
      <c r="D2894" s="20">
        <f>IF($N2894="","",INDEX(LdBMember,$N2894))</f>
        <v/>
      </c>
      <c r="E2894" s="20">
        <f>IF($N2894="","",IFERROR(IF(VLOOKUP(INDEX(LdBMember,$N2894),AcctTblE,4,0)="","(بدون نام)",VLOOKUP(INDEX(LdBMember,$N2894),AcctTblE,4,0)),"—"))</f>
        <v/>
      </c>
      <c r="F2894" s="21">
        <f>IF($N2894="","",IF(INDEX(LdBAmt,$N2894)=0,"",INDEX(LdBAmt,$N2894)))</f>
        <v/>
      </c>
      <c r="G2894" s="32">
        <f>IF($N2894="","",IF(INDEX(LdBNote,$N2894)="","—",INDEX(LdBNote,$N2894)))</f>
        <v/>
      </c>
      <c r="N2894">
        <f>IFERROR(MATCH($C$5&amp;"|"&amp;RIGHT("000000"&amp;874,6),LdBKeyG,0),"")</f>
        <v/>
      </c>
    </row>
    <row r="2895">
      <c r="A2895" s="10" t="n">
        <v>875</v>
      </c>
      <c r="B2895" s="14">
        <f>IF($N2895="","",INDEX(LdBDate,$N2895))</f>
        <v/>
      </c>
      <c r="C2895" s="14">
        <f>IF($N2895="","",IF(INDEX(LdBId,$N2895)="","—",INDEX(LdBId,$N2895)))</f>
        <v/>
      </c>
      <c r="D2895" s="14">
        <f>IF($N2895="","",INDEX(LdBMember,$N2895))</f>
        <v/>
      </c>
      <c r="E2895" s="14">
        <f>IF($N2895="","",IFERROR(IF(VLOOKUP(INDEX(LdBMember,$N2895),AcctTblE,4,0)="","(بدون نام)",VLOOKUP(INDEX(LdBMember,$N2895),AcctTblE,4,0)),"—"))</f>
        <v/>
      </c>
      <c r="F2895" s="16">
        <f>IF($N2895="","",IF(INDEX(LdBAmt,$N2895)=0,"",INDEX(LdBAmt,$N2895)))</f>
        <v/>
      </c>
      <c r="G2895" s="30">
        <f>IF($N2895="","",IF(INDEX(LdBNote,$N2895)="","—",INDEX(LdBNote,$N2895)))</f>
        <v/>
      </c>
      <c r="N2895">
        <f>IFERROR(MATCH($C$5&amp;"|"&amp;RIGHT("000000"&amp;875,6),LdBKeyG,0),"")</f>
        <v/>
      </c>
    </row>
    <row r="2896">
      <c r="A2896" s="19" t="n">
        <v>876</v>
      </c>
      <c r="B2896" s="20">
        <f>IF($N2896="","",INDEX(LdBDate,$N2896))</f>
        <v/>
      </c>
      <c r="C2896" s="20">
        <f>IF($N2896="","",IF(INDEX(LdBId,$N2896)="","—",INDEX(LdBId,$N2896)))</f>
        <v/>
      </c>
      <c r="D2896" s="20">
        <f>IF($N2896="","",INDEX(LdBMember,$N2896))</f>
        <v/>
      </c>
      <c r="E2896" s="20">
        <f>IF($N2896="","",IFERROR(IF(VLOOKUP(INDEX(LdBMember,$N2896),AcctTblE,4,0)="","(بدون نام)",VLOOKUP(INDEX(LdBMember,$N2896),AcctTblE,4,0)),"—"))</f>
        <v/>
      </c>
      <c r="F2896" s="21">
        <f>IF($N2896="","",IF(INDEX(LdBAmt,$N2896)=0,"",INDEX(LdBAmt,$N2896)))</f>
        <v/>
      </c>
      <c r="G2896" s="32">
        <f>IF($N2896="","",IF(INDEX(LdBNote,$N2896)="","—",INDEX(LdBNote,$N2896)))</f>
        <v/>
      </c>
      <c r="N2896">
        <f>IFERROR(MATCH($C$5&amp;"|"&amp;RIGHT("000000"&amp;876,6),LdBKeyG,0),"")</f>
        <v/>
      </c>
    </row>
    <row r="2897">
      <c r="A2897" s="10" t="n">
        <v>877</v>
      </c>
      <c r="B2897" s="14">
        <f>IF($N2897="","",INDEX(LdBDate,$N2897))</f>
        <v/>
      </c>
      <c r="C2897" s="14">
        <f>IF($N2897="","",IF(INDEX(LdBId,$N2897)="","—",INDEX(LdBId,$N2897)))</f>
        <v/>
      </c>
      <c r="D2897" s="14">
        <f>IF($N2897="","",INDEX(LdBMember,$N2897))</f>
        <v/>
      </c>
      <c r="E2897" s="14">
        <f>IF($N2897="","",IFERROR(IF(VLOOKUP(INDEX(LdBMember,$N2897),AcctTblE,4,0)="","(بدون نام)",VLOOKUP(INDEX(LdBMember,$N2897),AcctTblE,4,0)),"—"))</f>
        <v/>
      </c>
      <c r="F2897" s="16">
        <f>IF($N2897="","",IF(INDEX(LdBAmt,$N2897)=0,"",INDEX(LdBAmt,$N2897)))</f>
        <v/>
      </c>
      <c r="G2897" s="30">
        <f>IF($N2897="","",IF(INDEX(LdBNote,$N2897)="","—",INDEX(LdBNote,$N2897)))</f>
        <v/>
      </c>
      <c r="N2897">
        <f>IFERROR(MATCH($C$5&amp;"|"&amp;RIGHT("000000"&amp;877,6),LdBKeyG,0),"")</f>
        <v/>
      </c>
    </row>
    <row r="2898">
      <c r="A2898" s="19" t="n">
        <v>878</v>
      </c>
      <c r="B2898" s="20">
        <f>IF($N2898="","",INDEX(LdBDate,$N2898))</f>
        <v/>
      </c>
      <c r="C2898" s="20">
        <f>IF($N2898="","",IF(INDEX(LdBId,$N2898)="","—",INDEX(LdBId,$N2898)))</f>
        <v/>
      </c>
      <c r="D2898" s="20">
        <f>IF($N2898="","",INDEX(LdBMember,$N2898))</f>
        <v/>
      </c>
      <c r="E2898" s="20">
        <f>IF($N2898="","",IFERROR(IF(VLOOKUP(INDEX(LdBMember,$N2898),AcctTblE,4,0)="","(بدون نام)",VLOOKUP(INDEX(LdBMember,$N2898),AcctTblE,4,0)),"—"))</f>
        <v/>
      </c>
      <c r="F2898" s="21">
        <f>IF($N2898="","",IF(INDEX(LdBAmt,$N2898)=0,"",INDEX(LdBAmt,$N2898)))</f>
        <v/>
      </c>
      <c r="G2898" s="32">
        <f>IF($N2898="","",IF(INDEX(LdBNote,$N2898)="","—",INDEX(LdBNote,$N2898)))</f>
        <v/>
      </c>
      <c r="N2898">
        <f>IFERROR(MATCH($C$5&amp;"|"&amp;RIGHT("000000"&amp;878,6),LdBKeyG,0),"")</f>
        <v/>
      </c>
    </row>
    <row r="2899">
      <c r="A2899" s="10" t="n">
        <v>879</v>
      </c>
      <c r="B2899" s="14">
        <f>IF($N2899="","",INDEX(LdBDate,$N2899))</f>
        <v/>
      </c>
      <c r="C2899" s="14">
        <f>IF($N2899="","",IF(INDEX(LdBId,$N2899)="","—",INDEX(LdBId,$N2899)))</f>
        <v/>
      </c>
      <c r="D2899" s="14">
        <f>IF($N2899="","",INDEX(LdBMember,$N2899))</f>
        <v/>
      </c>
      <c r="E2899" s="14">
        <f>IF($N2899="","",IFERROR(IF(VLOOKUP(INDEX(LdBMember,$N2899),AcctTblE,4,0)="","(بدون نام)",VLOOKUP(INDEX(LdBMember,$N2899),AcctTblE,4,0)),"—"))</f>
        <v/>
      </c>
      <c r="F2899" s="16">
        <f>IF($N2899="","",IF(INDEX(LdBAmt,$N2899)=0,"",INDEX(LdBAmt,$N2899)))</f>
        <v/>
      </c>
      <c r="G2899" s="30">
        <f>IF($N2899="","",IF(INDEX(LdBNote,$N2899)="","—",INDEX(LdBNote,$N2899)))</f>
        <v/>
      </c>
      <c r="N2899">
        <f>IFERROR(MATCH($C$5&amp;"|"&amp;RIGHT("000000"&amp;879,6),LdBKeyG,0),"")</f>
        <v/>
      </c>
    </row>
    <row r="2900">
      <c r="A2900" s="19" t="n">
        <v>880</v>
      </c>
      <c r="B2900" s="20">
        <f>IF($N2900="","",INDEX(LdBDate,$N2900))</f>
        <v/>
      </c>
      <c r="C2900" s="20">
        <f>IF($N2900="","",IF(INDEX(LdBId,$N2900)="","—",INDEX(LdBId,$N2900)))</f>
        <v/>
      </c>
      <c r="D2900" s="20">
        <f>IF($N2900="","",INDEX(LdBMember,$N2900))</f>
        <v/>
      </c>
      <c r="E2900" s="20">
        <f>IF($N2900="","",IFERROR(IF(VLOOKUP(INDEX(LdBMember,$N2900),AcctTblE,4,0)="","(بدون نام)",VLOOKUP(INDEX(LdBMember,$N2900),AcctTblE,4,0)),"—"))</f>
        <v/>
      </c>
      <c r="F2900" s="21">
        <f>IF($N2900="","",IF(INDEX(LdBAmt,$N2900)=0,"",INDEX(LdBAmt,$N2900)))</f>
        <v/>
      </c>
      <c r="G2900" s="32">
        <f>IF($N2900="","",IF(INDEX(LdBNote,$N2900)="","—",INDEX(LdBNote,$N2900)))</f>
        <v/>
      </c>
      <c r="N2900">
        <f>IFERROR(MATCH($C$5&amp;"|"&amp;RIGHT("000000"&amp;880,6),LdBKeyG,0),"")</f>
        <v/>
      </c>
    </row>
    <row r="2901">
      <c r="A2901" s="10" t="n">
        <v>881</v>
      </c>
      <c r="B2901" s="14">
        <f>IF($N2901="","",INDEX(LdBDate,$N2901))</f>
        <v/>
      </c>
      <c r="C2901" s="14">
        <f>IF($N2901="","",IF(INDEX(LdBId,$N2901)="","—",INDEX(LdBId,$N2901)))</f>
        <v/>
      </c>
      <c r="D2901" s="14">
        <f>IF($N2901="","",INDEX(LdBMember,$N2901))</f>
        <v/>
      </c>
      <c r="E2901" s="14">
        <f>IF($N2901="","",IFERROR(IF(VLOOKUP(INDEX(LdBMember,$N2901),AcctTblE,4,0)="","(بدون نام)",VLOOKUP(INDEX(LdBMember,$N2901),AcctTblE,4,0)),"—"))</f>
        <v/>
      </c>
      <c r="F2901" s="16">
        <f>IF($N2901="","",IF(INDEX(LdBAmt,$N2901)=0,"",INDEX(LdBAmt,$N2901)))</f>
        <v/>
      </c>
      <c r="G2901" s="30">
        <f>IF($N2901="","",IF(INDEX(LdBNote,$N2901)="","—",INDEX(LdBNote,$N2901)))</f>
        <v/>
      </c>
      <c r="N2901">
        <f>IFERROR(MATCH($C$5&amp;"|"&amp;RIGHT("000000"&amp;881,6),LdBKeyG,0),"")</f>
        <v/>
      </c>
    </row>
    <row r="2902">
      <c r="A2902" s="19" t="n">
        <v>882</v>
      </c>
      <c r="B2902" s="20">
        <f>IF($N2902="","",INDEX(LdBDate,$N2902))</f>
        <v/>
      </c>
      <c r="C2902" s="20">
        <f>IF($N2902="","",IF(INDEX(LdBId,$N2902)="","—",INDEX(LdBId,$N2902)))</f>
        <v/>
      </c>
      <c r="D2902" s="20">
        <f>IF($N2902="","",INDEX(LdBMember,$N2902))</f>
        <v/>
      </c>
      <c r="E2902" s="20">
        <f>IF($N2902="","",IFERROR(IF(VLOOKUP(INDEX(LdBMember,$N2902),AcctTblE,4,0)="","(بدون نام)",VLOOKUP(INDEX(LdBMember,$N2902),AcctTblE,4,0)),"—"))</f>
        <v/>
      </c>
      <c r="F2902" s="21">
        <f>IF($N2902="","",IF(INDEX(LdBAmt,$N2902)=0,"",INDEX(LdBAmt,$N2902)))</f>
        <v/>
      </c>
      <c r="G2902" s="32">
        <f>IF($N2902="","",IF(INDEX(LdBNote,$N2902)="","—",INDEX(LdBNote,$N2902)))</f>
        <v/>
      </c>
      <c r="N2902">
        <f>IFERROR(MATCH($C$5&amp;"|"&amp;RIGHT("000000"&amp;882,6),LdBKeyG,0),"")</f>
        <v/>
      </c>
    </row>
    <row r="2903">
      <c r="A2903" s="10" t="n">
        <v>883</v>
      </c>
      <c r="B2903" s="14">
        <f>IF($N2903="","",INDEX(LdBDate,$N2903))</f>
        <v/>
      </c>
      <c r="C2903" s="14">
        <f>IF($N2903="","",IF(INDEX(LdBId,$N2903)="","—",INDEX(LdBId,$N2903)))</f>
        <v/>
      </c>
      <c r="D2903" s="14">
        <f>IF($N2903="","",INDEX(LdBMember,$N2903))</f>
        <v/>
      </c>
      <c r="E2903" s="14">
        <f>IF($N2903="","",IFERROR(IF(VLOOKUP(INDEX(LdBMember,$N2903),AcctTblE,4,0)="","(بدون نام)",VLOOKUP(INDEX(LdBMember,$N2903),AcctTblE,4,0)),"—"))</f>
        <v/>
      </c>
      <c r="F2903" s="16">
        <f>IF($N2903="","",IF(INDEX(LdBAmt,$N2903)=0,"",INDEX(LdBAmt,$N2903)))</f>
        <v/>
      </c>
      <c r="G2903" s="30">
        <f>IF($N2903="","",IF(INDEX(LdBNote,$N2903)="","—",INDEX(LdBNote,$N2903)))</f>
        <v/>
      </c>
      <c r="N2903">
        <f>IFERROR(MATCH($C$5&amp;"|"&amp;RIGHT("000000"&amp;883,6),LdBKeyG,0),"")</f>
        <v/>
      </c>
    </row>
    <row r="2904">
      <c r="A2904" s="19" t="n">
        <v>884</v>
      </c>
      <c r="B2904" s="20">
        <f>IF($N2904="","",INDEX(LdBDate,$N2904))</f>
        <v/>
      </c>
      <c r="C2904" s="20">
        <f>IF($N2904="","",IF(INDEX(LdBId,$N2904)="","—",INDEX(LdBId,$N2904)))</f>
        <v/>
      </c>
      <c r="D2904" s="20">
        <f>IF($N2904="","",INDEX(LdBMember,$N2904))</f>
        <v/>
      </c>
      <c r="E2904" s="20">
        <f>IF($N2904="","",IFERROR(IF(VLOOKUP(INDEX(LdBMember,$N2904),AcctTblE,4,0)="","(بدون نام)",VLOOKUP(INDEX(LdBMember,$N2904),AcctTblE,4,0)),"—"))</f>
        <v/>
      </c>
      <c r="F2904" s="21">
        <f>IF($N2904="","",IF(INDEX(LdBAmt,$N2904)=0,"",INDEX(LdBAmt,$N2904)))</f>
        <v/>
      </c>
      <c r="G2904" s="32">
        <f>IF($N2904="","",IF(INDEX(LdBNote,$N2904)="","—",INDEX(LdBNote,$N2904)))</f>
        <v/>
      </c>
      <c r="N2904">
        <f>IFERROR(MATCH($C$5&amp;"|"&amp;RIGHT("000000"&amp;884,6),LdBKeyG,0),"")</f>
        <v/>
      </c>
    </row>
    <row r="2905">
      <c r="A2905" s="10" t="n">
        <v>885</v>
      </c>
      <c r="B2905" s="14">
        <f>IF($N2905="","",INDEX(LdBDate,$N2905))</f>
        <v/>
      </c>
      <c r="C2905" s="14">
        <f>IF($N2905="","",IF(INDEX(LdBId,$N2905)="","—",INDEX(LdBId,$N2905)))</f>
        <v/>
      </c>
      <c r="D2905" s="14">
        <f>IF($N2905="","",INDEX(LdBMember,$N2905))</f>
        <v/>
      </c>
      <c r="E2905" s="14">
        <f>IF($N2905="","",IFERROR(IF(VLOOKUP(INDEX(LdBMember,$N2905),AcctTblE,4,0)="","(بدون نام)",VLOOKUP(INDEX(LdBMember,$N2905),AcctTblE,4,0)),"—"))</f>
        <v/>
      </c>
      <c r="F2905" s="16">
        <f>IF($N2905="","",IF(INDEX(LdBAmt,$N2905)=0,"",INDEX(LdBAmt,$N2905)))</f>
        <v/>
      </c>
      <c r="G2905" s="30">
        <f>IF($N2905="","",IF(INDEX(LdBNote,$N2905)="","—",INDEX(LdBNote,$N2905)))</f>
        <v/>
      </c>
      <c r="N2905">
        <f>IFERROR(MATCH($C$5&amp;"|"&amp;RIGHT("000000"&amp;885,6),LdBKeyG,0),"")</f>
        <v/>
      </c>
    </row>
    <row r="2906">
      <c r="A2906" s="19" t="n">
        <v>886</v>
      </c>
      <c r="B2906" s="20">
        <f>IF($N2906="","",INDEX(LdBDate,$N2906))</f>
        <v/>
      </c>
      <c r="C2906" s="20">
        <f>IF($N2906="","",IF(INDEX(LdBId,$N2906)="","—",INDEX(LdBId,$N2906)))</f>
        <v/>
      </c>
      <c r="D2906" s="20">
        <f>IF($N2906="","",INDEX(LdBMember,$N2906))</f>
        <v/>
      </c>
      <c r="E2906" s="20">
        <f>IF($N2906="","",IFERROR(IF(VLOOKUP(INDEX(LdBMember,$N2906),AcctTblE,4,0)="","(بدون نام)",VLOOKUP(INDEX(LdBMember,$N2906),AcctTblE,4,0)),"—"))</f>
        <v/>
      </c>
      <c r="F2906" s="21">
        <f>IF($N2906="","",IF(INDEX(LdBAmt,$N2906)=0,"",INDEX(LdBAmt,$N2906)))</f>
        <v/>
      </c>
      <c r="G2906" s="32">
        <f>IF($N2906="","",IF(INDEX(LdBNote,$N2906)="","—",INDEX(LdBNote,$N2906)))</f>
        <v/>
      </c>
      <c r="N2906">
        <f>IFERROR(MATCH($C$5&amp;"|"&amp;RIGHT("000000"&amp;886,6),LdBKeyG,0),"")</f>
        <v/>
      </c>
    </row>
    <row r="2907">
      <c r="A2907" s="10" t="n">
        <v>887</v>
      </c>
      <c r="B2907" s="14">
        <f>IF($N2907="","",INDEX(LdBDate,$N2907))</f>
        <v/>
      </c>
      <c r="C2907" s="14">
        <f>IF($N2907="","",IF(INDEX(LdBId,$N2907)="","—",INDEX(LdBId,$N2907)))</f>
        <v/>
      </c>
      <c r="D2907" s="14">
        <f>IF($N2907="","",INDEX(LdBMember,$N2907))</f>
        <v/>
      </c>
      <c r="E2907" s="14">
        <f>IF($N2907="","",IFERROR(IF(VLOOKUP(INDEX(LdBMember,$N2907),AcctTblE,4,0)="","(بدون نام)",VLOOKUP(INDEX(LdBMember,$N2907),AcctTblE,4,0)),"—"))</f>
        <v/>
      </c>
      <c r="F2907" s="16">
        <f>IF($N2907="","",IF(INDEX(LdBAmt,$N2907)=0,"",INDEX(LdBAmt,$N2907)))</f>
        <v/>
      </c>
      <c r="G2907" s="30">
        <f>IF($N2907="","",IF(INDEX(LdBNote,$N2907)="","—",INDEX(LdBNote,$N2907)))</f>
        <v/>
      </c>
      <c r="N2907">
        <f>IFERROR(MATCH($C$5&amp;"|"&amp;RIGHT("000000"&amp;887,6),LdBKeyG,0),"")</f>
        <v/>
      </c>
    </row>
    <row r="2908">
      <c r="A2908" s="19" t="n">
        <v>888</v>
      </c>
      <c r="B2908" s="20">
        <f>IF($N2908="","",INDEX(LdBDate,$N2908))</f>
        <v/>
      </c>
      <c r="C2908" s="20">
        <f>IF($N2908="","",IF(INDEX(LdBId,$N2908)="","—",INDEX(LdBId,$N2908)))</f>
        <v/>
      </c>
      <c r="D2908" s="20">
        <f>IF($N2908="","",INDEX(LdBMember,$N2908))</f>
        <v/>
      </c>
      <c r="E2908" s="20">
        <f>IF($N2908="","",IFERROR(IF(VLOOKUP(INDEX(LdBMember,$N2908),AcctTblE,4,0)="","(بدون نام)",VLOOKUP(INDEX(LdBMember,$N2908),AcctTblE,4,0)),"—"))</f>
        <v/>
      </c>
      <c r="F2908" s="21">
        <f>IF($N2908="","",IF(INDEX(LdBAmt,$N2908)=0,"",INDEX(LdBAmt,$N2908)))</f>
        <v/>
      </c>
      <c r="G2908" s="32">
        <f>IF($N2908="","",IF(INDEX(LdBNote,$N2908)="","—",INDEX(LdBNote,$N2908)))</f>
        <v/>
      </c>
      <c r="N2908">
        <f>IFERROR(MATCH($C$5&amp;"|"&amp;RIGHT("000000"&amp;888,6),LdBKeyG,0),"")</f>
        <v/>
      </c>
    </row>
    <row r="2909">
      <c r="A2909" s="10" t="n">
        <v>889</v>
      </c>
      <c r="B2909" s="14">
        <f>IF($N2909="","",INDEX(LdBDate,$N2909))</f>
        <v/>
      </c>
      <c r="C2909" s="14">
        <f>IF($N2909="","",IF(INDEX(LdBId,$N2909)="","—",INDEX(LdBId,$N2909)))</f>
        <v/>
      </c>
      <c r="D2909" s="14">
        <f>IF($N2909="","",INDEX(LdBMember,$N2909))</f>
        <v/>
      </c>
      <c r="E2909" s="14">
        <f>IF($N2909="","",IFERROR(IF(VLOOKUP(INDEX(LdBMember,$N2909),AcctTblE,4,0)="","(بدون نام)",VLOOKUP(INDEX(LdBMember,$N2909),AcctTblE,4,0)),"—"))</f>
        <v/>
      </c>
      <c r="F2909" s="16">
        <f>IF($N2909="","",IF(INDEX(LdBAmt,$N2909)=0,"",INDEX(LdBAmt,$N2909)))</f>
        <v/>
      </c>
      <c r="G2909" s="30">
        <f>IF($N2909="","",IF(INDEX(LdBNote,$N2909)="","—",INDEX(LdBNote,$N2909)))</f>
        <v/>
      </c>
      <c r="N2909">
        <f>IFERROR(MATCH($C$5&amp;"|"&amp;RIGHT("000000"&amp;889,6),LdBKeyG,0),"")</f>
        <v/>
      </c>
    </row>
    <row r="2910">
      <c r="A2910" s="19" t="n">
        <v>890</v>
      </c>
      <c r="B2910" s="20">
        <f>IF($N2910="","",INDEX(LdBDate,$N2910))</f>
        <v/>
      </c>
      <c r="C2910" s="20">
        <f>IF($N2910="","",IF(INDEX(LdBId,$N2910)="","—",INDEX(LdBId,$N2910)))</f>
        <v/>
      </c>
      <c r="D2910" s="20">
        <f>IF($N2910="","",INDEX(LdBMember,$N2910))</f>
        <v/>
      </c>
      <c r="E2910" s="20">
        <f>IF($N2910="","",IFERROR(IF(VLOOKUP(INDEX(LdBMember,$N2910),AcctTblE,4,0)="","(بدون نام)",VLOOKUP(INDEX(LdBMember,$N2910),AcctTblE,4,0)),"—"))</f>
        <v/>
      </c>
      <c r="F2910" s="21">
        <f>IF($N2910="","",IF(INDEX(LdBAmt,$N2910)=0,"",INDEX(LdBAmt,$N2910)))</f>
        <v/>
      </c>
      <c r="G2910" s="32">
        <f>IF($N2910="","",IF(INDEX(LdBNote,$N2910)="","—",INDEX(LdBNote,$N2910)))</f>
        <v/>
      </c>
      <c r="N2910">
        <f>IFERROR(MATCH($C$5&amp;"|"&amp;RIGHT("000000"&amp;890,6),LdBKeyG,0),"")</f>
        <v/>
      </c>
    </row>
    <row r="2911">
      <c r="A2911" s="10" t="n">
        <v>891</v>
      </c>
      <c r="B2911" s="14">
        <f>IF($N2911="","",INDEX(LdBDate,$N2911))</f>
        <v/>
      </c>
      <c r="C2911" s="14">
        <f>IF($N2911="","",IF(INDEX(LdBId,$N2911)="","—",INDEX(LdBId,$N2911)))</f>
        <v/>
      </c>
      <c r="D2911" s="14">
        <f>IF($N2911="","",INDEX(LdBMember,$N2911))</f>
        <v/>
      </c>
      <c r="E2911" s="14">
        <f>IF($N2911="","",IFERROR(IF(VLOOKUP(INDEX(LdBMember,$N2911),AcctTblE,4,0)="","(بدون نام)",VLOOKUP(INDEX(LdBMember,$N2911),AcctTblE,4,0)),"—"))</f>
        <v/>
      </c>
      <c r="F2911" s="16">
        <f>IF($N2911="","",IF(INDEX(LdBAmt,$N2911)=0,"",INDEX(LdBAmt,$N2911)))</f>
        <v/>
      </c>
      <c r="G2911" s="30">
        <f>IF($N2911="","",IF(INDEX(LdBNote,$N2911)="","—",INDEX(LdBNote,$N2911)))</f>
        <v/>
      </c>
      <c r="N2911">
        <f>IFERROR(MATCH($C$5&amp;"|"&amp;RIGHT("000000"&amp;891,6),LdBKeyG,0),"")</f>
        <v/>
      </c>
    </row>
    <row r="2912">
      <c r="A2912" s="19" t="n">
        <v>892</v>
      </c>
      <c r="B2912" s="20">
        <f>IF($N2912="","",INDEX(LdBDate,$N2912))</f>
        <v/>
      </c>
      <c r="C2912" s="20">
        <f>IF($N2912="","",IF(INDEX(LdBId,$N2912)="","—",INDEX(LdBId,$N2912)))</f>
        <v/>
      </c>
      <c r="D2912" s="20">
        <f>IF($N2912="","",INDEX(LdBMember,$N2912))</f>
        <v/>
      </c>
      <c r="E2912" s="20">
        <f>IF($N2912="","",IFERROR(IF(VLOOKUP(INDEX(LdBMember,$N2912),AcctTblE,4,0)="","(بدون نام)",VLOOKUP(INDEX(LdBMember,$N2912),AcctTblE,4,0)),"—"))</f>
        <v/>
      </c>
      <c r="F2912" s="21">
        <f>IF($N2912="","",IF(INDEX(LdBAmt,$N2912)=0,"",INDEX(LdBAmt,$N2912)))</f>
        <v/>
      </c>
      <c r="G2912" s="32">
        <f>IF($N2912="","",IF(INDEX(LdBNote,$N2912)="","—",INDEX(LdBNote,$N2912)))</f>
        <v/>
      </c>
      <c r="N2912">
        <f>IFERROR(MATCH($C$5&amp;"|"&amp;RIGHT("000000"&amp;892,6),LdBKeyG,0),"")</f>
        <v/>
      </c>
    </row>
    <row r="2913">
      <c r="A2913" s="10" t="n">
        <v>893</v>
      </c>
      <c r="B2913" s="14">
        <f>IF($N2913="","",INDEX(LdBDate,$N2913))</f>
        <v/>
      </c>
      <c r="C2913" s="14">
        <f>IF($N2913="","",IF(INDEX(LdBId,$N2913)="","—",INDEX(LdBId,$N2913)))</f>
        <v/>
      </c>
      <c r="D2913" s="14">
        <f>IF($N2913="","",INDEX(LdBMember,$N2913))</f>
        <v/>
      </c>
      <c r="E2913" s="14">
        <f>IF($N2913="","",IFERROR(IF(VLOOKUP(INDEX(LdBMember,$N2913),AcctTblE,4,0)="","(بدون نام)",VLOOKUP(INDEX(LdBMember,$N2913),AcctTblE,4,0)),"—"))</f>
        <v/>
      </c>
      <c r="F2913" s="16">
        <f>IF($N2913="","",IF(INDEX(LdBAmt,$N2913)=0,"",INDEX(LdBAmt,$N2913)))</f>
        <v/>
      </c>
      <c r="G2913" s="30">
        <f>IF($N2913="","",IF(INDEX(LdBNote,$N2913)="","—",INDEX(LdBNote,$N2913)))</f>
        <v/>
      </c>
      <c r="N2913">
        <f>IFERROR(MATCH($C$5&amp;"|"&amp;RIGHT("000000"&amp;893,6),LdBKeyG,0),"")</f>
        <v/>
      </c>
    </row>
    <row r="2914">
      <c r="A2914" s="19" t="n">
        <v>894</v>
      </c>
      <c r="B2914" s="20">
        <f>IF($N2914="","",INDEX(LdBDate,$N2914))</f>
        <v/>
      </c>
      <c r="C2914" s="20">
        <f>IF($N2914="","",IF(INDEX(LdBId,$N2914)="","—",INDEX(LdBId,$N2914)))</f>
        <v/>
      </c>
      <c r="D2914" s="20">
        <f>IF($N2914="","",INDEX(LdBMember,$N2914))</f>
        <v/>
      </c>
      <c r="E2914" s="20">
        <f>IF($N2914="","",IFERROR(IF(VLOOKUP(INDEX(LdBMember,$N2914),AcctTblE,4,0)="","(بدون نام)",VLOOKUP(INDEX(LdBMember,$N2914),AcctTblE,4,0)),"—"))</f>
        <v/>
      </c>
      <c r="F2914" s="21">
        <f>IF($N2914="","",IF(INDEX(LdBAmt,$N2914)=0,"",INDEX(LdBAmt,$N2914)))</f>
        <v/>
      </c>
      <c r="G2914" s="32">
        <f>IF($N2914="","",IF(INDEX(LdBNote,$N2914)="","—",INDEX(LdBNote,$N2914)))</f>
        <v/>
      </c>
      <c r="N2914">
        <f>IFERROR(MATCH($C$5&amp;"|"&amp;RIGHT("000000"&amp;894,6),LdBKeyG,0),"")</f>
        <v/>
      </c>
    </row>
    <row r="2915">
      <c r="A2915" s="10" t="n">
        <v>895</v>
      </c>
      <c r="B2915" s="14">
        <f>IF($N2915="","",INDEX(LdBDate,$N2915))</f>
        <v/>
      </c>
      <c r="C2915" s="14">
        <f>IF($N2915="","",IF(INDEX(LdBId,$N2915)="","—",INDEX(LdBId,$N2915)))</f>
        <v/>
      </c>
      <c r="D2915" s="14">
        <f>IF($N2915="","",INDEX(LdBMember,$N2915))</f>
        <v/>
      </c>
      <c r="E2915" s="14">
        <f>IF($N2915="","",IFERROR(IF(VLOOKUP(INDEX(LdBMember,$N2915),AcctTblE,4,0)="","(بدون نام)",VLOOKUP(INDEX(LdBMember,$N2915),AcctTblE,4,0)),"—"))</f>
        <v/>
      </c>
      <c r="F2915" s="16">
        <f>IF($N2915="","",IF(INDEX(LdBAmt,$N2915)=0,"",INDEX(LdBAmt,$N2915)))</f>
        <v/>
      </c>
      <c r="G2915" s="30">
        <f>IF($N2915="","",IF(INDEX(LdBNote,$N2915)="","—",INDEX(LdBNote,$N2915)))</f>
        <v/>
      </c>
      <c r="N2915">
        <f>IFERROR(MATCH($C$5&amp;"|"&amp;RIGHT("000000"&amp;895,6),LdBKeyG,0),"")</f>
        <v/>
      </c>
    </row>
    <row r="2916">
      <c r="A2916" s="19" t="n">
        <v>896</v>
      </c>
      <c r="B2916" s="20">
        <f>IF($N2916="","",INDEX(LdBDate,$N2916))</f>
        <v/>
      </c>
      <c r="C2916" s="20">
        <f>IF($N2916="","",IF(INDEX(LdBId,$N2916)="","—",INDEX(LdBId,$N2916)))</f>
        <v/>
      </c>
      <c r="D2916" s="20">
        <f>IF($N2916="","",INDEX(LdBMember,$N2916))</f>
        <v/>
      </c>
      <c r="E2916" s="20">
        <f>IF($N2916="","",IFERROR(IF(VLOOKUP(INDEX(LdBMember,$N2916),AcctTblE,4,0)="","(بدون نام)",VLOOKUP(INDEX(LdBMember,$N2916),AcctTblE,4,0)),"—"))</f>
        <v/>
      </c>
      <c r="F2916" s="21">
        <f>IF($N2916="","",IF(INDEX(LdBAmt,$N2916)=0,"",INDEX(LdBAmt,$N2916)))</f>
        <v/>
      </c>
      <c r="G2916" s="32">
        <f>IF($N2916="","",IF(INDEX(LdBNote,$N2916)="","—",INDEX(LdBNote,$N2916)))</f>
        <v/>
      </c>
      <c r="N2916">
        <f>IFERROR(MATCH($C$5&amp;"|"&amp;RIGHT("000000"&amp;896,6),LdBKeyG,0),"")</f>
        <v/>
      </c>
    </row>
    <row r="2917">
      <c r="A2917" s="10" t="n">
        <v>897</v>
      </c>
      <c r="B2917" s="14">
        <f>IF($N2917="","",INDEX(LdBDate,$N2917))</f>
        <v/>
      </c>
      <c r="C2917" s="14">
        <f>IF($N2917="","",IF(INDEX(LdBId,$N2917)="","—",INDEX(LdBId,$N2917)))</f>
        <v/>
      </c>
      <c r="D2917" s="14">
        <f>IF($N2917="","",INDEX(LdBMember,$N2917))</f>
        <v/>
      </c>
      <c r="E2917" s="14">
        <f>IF($N2917="","",IFERROR(IF(VLOOKUP(INDEX(LdBMember,$N2917),AcctTblE,4,0)="","(بدون نام)",VLOOKUP(INDEX(LdBMember,$N2917),AcctTblE,4,0)),"—"))</f>
        <v/>
      </c>
      <c r="F2917" s="16">
        <f>IF($N2917="","",IF(INDEX(LdBAmt,$N2917)=0,"",INDEX(LdBAmt,$N2917)))</f>
        <v/>
      </c>
      <c r="G2917" s="30">
        <f>IF($N2917="","",IF(INDEX(LdBNote,$N2917)="","—",INDEX(LdBNote,$N2917)))</f>
        <v/>
      </c>
      <c r="N2917">
        <f>IFERROR(MATCH($C$5&amp;"|"&amp;RIGHT("000000"&amp;897,6),LdBKeyG,0),"")</f>
        <v/>
      </c>
    </row>
    <row r="2918">
      <c r="A2918" s="19" t="n">
        <v>898</v>
      </c>
      <c r="B2918" s="20">
        <f>IF($N2918="","",INDEX(LdBDate,$N2918))</f>
        <v/>
      </c>
      <c r="C2918" s="20">
        <f>IF($N2918="","",IF(INDEX(LdBId,$N2918)="","—",INDEX(LdBId,$N2918)))</f>
        <v/>
      </c>
      <c r="D2918" s="20">
        <f>IF($N2918="","",INDEX(LdBMember,$N2918))</f>
        <v/>
      </c>
      <c r="E2918" s="20">
        <f>IF($N2918="","",IFERROR(IF(VLOOKUP(INDEX(LdBMember,$N2918),AcctTblE,4,0)="","(بدون نام)",VLOOKUP(INDEX(LdBMember,$N2918),AcctTblE,4,0)),"—"))</f>
        <v/>
      </c>
      <c r="F2918" s="21">
        <f>IF($N2918="","",IF(INDEX(LdBAmt,$N2918)=0,"",INDEX(LdBAmt,$N2918)))</f>
        <v/>
      </c>
      <c r="G2918" s="32">
        <f>IF($N2918="","",IF(INDEX(LdBNote,$N2918)="","—",INDEX(LdBNote,$N2918)))</f>
        <v/>
      </c>
      <c r="N2918">
        <f>IFERROR(MATCH($C$5&amp;"|"&amp;RIGHT("000000"&amp;898,6),LdBKeyG,0),"")</f>
        <v/>
      </c>
    </row>
    <row r="2919">
      <c r="A2919" s="10" t="n">
        <v>899</v>
      </c>
      <c r="B2919" s="14">
        <f>IF($N2919="","",INDEX(LdBDate,$N2919))</f>
        <v/>
      </c>
      <c r="C2919" s="14">
        <f>IF($N2919="","",IF(INDEX(LdBId,$N2919)="","—",INDEX(LdBId,$N2919)))</f>
        <v/>
      </c>
      <c r="D2919" s="14">
        <f>IF($N2919="","",INDEX(LdBMember,$N2919))</f>
        <v/>
      </c>
      <c r="E2919" s="14">
        <f>IF($N2919="","",IFERROR(IF(VLOOKUP(INDEX(LdBMember,$N2919),AcctTblE,4,0)="","(بدون نام)",VLOOKUP(INDEX(LdBMember,$N2919),AcctTblE,4,0)),"—"))</f>
        <v/>
      </c>
      <c r="F2919" s="16">
        <f>IF($N2919="","",IF(INDEX(LdBAmt,$N2919)=0,"",INDEX(LdBAmt,$N2919)))</f>
        <v/>
      </c>
      <c r="G2919" s="30">
        <f>IF($N2919="","",IF(INDEX(LdBNote,$N2919)="","—",INDEX(LdBNote,$N2919)))</f>
        <v/>
      </c>
      <c r="N2919">
        <f>IFERROR(MATCH($C$5&amp;"|"&amp;RIGHT("000000"&amp;899,6),LdBKeyG,0),"")</f>
        <v/>
      </c>
    </row>
    <row r="2920">
      <c r="A2920" s="19" t="n">
        <v>900</v>
      </c>
      <c r="B2920" s="20">
        <f>IF($N2920="","",INDEX(LdBDate,$N2920))</f>
        <v/>
      </c>
      <c r="C2920" s="20">
        <f>IF($N2920="","",IF(INDEX(LdBId,$N2920)="","—",INDEX(LdBId,$N2920)))</f>
        <v/>
      </c>
      <c r="D2920" s="20">
        <f>IF($N2920="","",INDEX(LdBMember,$N2920))</f>
        <v/>
      </c>
      <c r="E2920" s="20">
        <f>IF($N2920="","",IFERROR(IF(VLOOKUP(INDEX(LdBMember,$N2920),AcctTblE,4,0)="","(بدون نام)",VLOOKUP(INDEX(LdBMember,$N2920),AcctTblE,4,0)),"—"))</f>
        <v/>
      </c>
      <c r="F2920" s="21">
        <f>IF($N2920="","",IF(INDEX(LdBAmt,$N2920)=0,"",INDEX(LdBAmt,$N2920)))</f>
        <v/>
      </c>
      <c r="G2920" s="32">
        <f>IF($N2920="","",IF(INDEX(LdBNote,$N2920)="","—",INDEX(LdBNote,$N2920)))</f>
        <v/>
      </c>
      <c r="N2920">
        <f>IFERROR(MATCH($C$5&amp;"|"&amp;RIGHT("000000"&amp;900,6),LdBKeyG,0),"")</f>
        <v/>
      </c>
    </row>
    <row r="2921">
      <c r="A2921" s="10" t="n">
        <v>901</v>
      </c>
      <c r="B2921" s="14">
        <f>IF($N2921="","",INDEX(LdBDate,$N2921))</f>
        <v/>
      </c>
      <c r="C2921" s="14">
        <f>IF($N2921="","",IF(INDEX(LdBId,$N2921)="","—",INDEX(LdBId,$N2921)))</f>
        <v/>
      </c>
      <c r="D2921" s="14">
        <f>IF($N2921="","",INDEX(LdBMember,$N2921))</f>
        <v/>
      </c>
      <c r="E2921" s="14">
        <f>IF($N2921="","",IFERROR(IF(VLOOKUP(INDEX(LdBMember,$N2921),AcctTblE,4,0)="","(بدون نام)",VLOOKUP(INDEX(LdBMember,$N2921),AcctTblE,4,0)),"—"))</f>
        <v/>
      </c>
      <c r="F2921" s="16">
        <f>IF($N2921="","",IF(INDEX(LdBAmt,$N2921)=0,"",INDEX(LdBAmt,$N2921)))</f>
        <v/>
      </c>
      <c r="G2921" s="30">
        <f>IF($N2921="","",IF(INDEX(LdBNote,$N2921)="","—",INDEX(LdBNote,$N2921)))</f>
        <v/>
      </c>
      <c r="N2921">
        <f>IFERROR(MATCH($C$5&amp;"|"&amp;RIGHT("000000"&amp;901,6),LdBKeyG,0),"")</f>
        <v/>
      </c>
    </row>
    <row r="2922">
      <c r="A2922" s="19" t="n">
        <v>902</v>
      </c>
      <c r="B2922" s="20">
        <f>IF($N2922="","",INDEX(LdBDate,$N2922))</f>
        <v/>
      </c>
      <c r="C2922" s="20">
        <f>IF($N2922="","",IF(INDEX(LdBId,$N2922)="","—",INDEX(LdBId,$N2922)))</f>
        <v/>
      </c>
      <c r="D2922" s="20">
        <f>IF($N2922="","",INDEX(LdBMember,$N2922))</f>
        <v/>
      </c>
      <c r="E2922" s="20">
        <f>IF($N2922="","",IFERROR(IF(VLOOKUP(INDEX(LdBMember,$N2922),AcctTblE,4,0)="","(بدون نام)",VLOOKUP(INDEX(LdBMember,$N2922),AcctTblE,4,0)),"—"))</f>
        <v/>
      </c>
      <c r="F2922" s="21">
        <f>IF($N2922="","",IF(INDEX(LdBAmt,$N2922)=0,"",INDEX(LdBAmt,$N2922)))</f>
        <v/>
      </c>
      <c r="G2922" s="32">
        <f>IF($N2922="","",IF(INDEX(LdBNote,$N2922)="","—",INDEX(LdBNote,$N2922)))</f>
        <v/>
      </c>
      <c r="N2922">
        <f>IFERROR(MATCH($C$5&amp;"|"&amp;RIGHT("000000"&amp;902,6),LdBKeyG,0),"")</f>
        <v/>
      </c>
    </row>
    <row r="2923">
      <c r="A2923" s="10" t="n">
        <v>903</v>
      </c>
      <c r="B2923" s="14">
        <f>IF($N2923="","",INDEX(LdBDate,$N2923))</f>
        <v/>
      </c>
      <c r="C2923" s="14">
        <f>IF($N2923="","",IF(INDEX(LdBId,$N2923)="","—",INDEX(LdBId,$N2923)))</f>
        <v/>
      </c>
      <c r="D2923" s="14">
        <f>IF($N2923="","",INDEX(LdBMember,$N2923))</f>
        <v/>
      </c>
      <c r="E2923" s="14">
        <f>IF($N2923="","",IFERROR(IF(VLOOKUP(INDEX(LdBMember,$N2923),AcctTblE,4,0)="","(بدون نام)",VLOOKUP(INDEX(LdBMember,$N2923),AcctTblE,4,0)),"—"))</f>
        <v/>
      </c>
      <c r="F2923" s="16">
        <f>IF($N2923="","",IF(INDEX(LdBAmt,$N2923)=0,"",INDEX(LdBAmt,$N2923)))</f>
        <v/>
      </c>
      <c r="G2923" s="30">
        <f>IF($N2923="","",IF(INDEX(LdBNote,$N2923)="","—",INDEX(LdBNote,$N2923)))</f>
        <v/>
      </c>
      <c r="N2923">
        <f>IFERROR(MATCH($C$5&amp;"|"&amp;RIGHT("000000"&amp;903,6),LdBKeyG,0),"")</f>
        <v/>
      </c>
    </row>
    <row r="2924">
      <c r="A2924" s="19" t="n">
        <v>904</v>
      </c>
      <c r="B2924" s="20">
        <f>IF($N2924="","",INDEX(LdBDate,$N2924))</f>
        <v/>
      </c>
      <c r="C2924" s="20">
        <f>IF($N2924="","",IF(INDEX(LdBId,$N2924)="","—",INDEX(LdBId,$N2924)))</f>
        <v/>
      </c>
      <c r="D2924" s="20">
        <f>IF($N2924="","",INDEX(LdBMember,$N2924))</f>
        <v/>
      </c>
      <c r="E2924" s="20">
        <f>IF($N2924="","",IFERROR(IF(VLOOKUP(INDEX(LdBMember,$N2924),AcctTblE,4,0)="","(بدون نام)",VLOOKUP(INDEX(LdBMember,$N2924),AcctTblE,4,0)),"—"))</f>
        <v/>
      </c>
      <c r="F2924" s="21">
        <f>IF($N2924="","",IF(INDEX(LdBAmt,$N2924)=0,"",INDEX(LdBAmt,$N2924)))</f>
        <v/>
      </c>
      <c r="G2924" s="32">
        <f>IF($N2924="","",IF(INDEX(LdBNote,$N2924)="","—",INDEX(LdBNote,$N2924)))</f>
        <v/>
      </c>
      <c r="N2924">
        <f>IFERROR(MATCH($C$5&amp;"|"&amp;RIGHT("000000"&amp;904,6),LdBKeyG,0),"")</f>
        <v/>
      </c>
    </row>
    <row r="2925">
      <c r="A2925" s="10" t="n">
        <v>905</v>
      </c>
      <c r="B2925" s="14">
        <f>IF($N2925="","",INDEX(LdBDate,$N2925))</f>
        <v/>
      </c>
      <c r="C2925" s="14">
        <f>IF($N2925="","",IF(INDEX(LdBId,$N2925)="","—",INDEX(LdBId,$N2925)))</f>
        <v/>
      </c>
      <c r="D2925" s="14">
        <f>IF($N2925="","",INDEX(LdBMember,$N2925))</f>
        <v/>
      </c>
      <c r="E2925" s="14">
        <f>IF($N2925="","",IFERROR(IF(VLOOKUP(INDEX(LdBMember,$N2925),AcctTblE,4,0)="","(بدون نام)",VLOOKUP(INDEX(LdBMember,$N2925),AcctTblE,4,0)),"—"))</f>
        <v/>
      </c>
      <c r="F2925" s="16">
        <f>IF($N2925="","",IF(INDEX(LdBAmt,$N2925)=0,"",INDEX(LdBAmt,$N2925)))</f>
        <v/>
      </c>
      <c r="G2925" s="30">
        <f>IF($N2925="","",IF(INDEX(LdBNote,$N2925)="","—",INDEX(LdBNote,$N2925)))</f>
        <v/>
      </c>
      <c r="N2925">
        <f>IFERROR(MATCH($C$5&amp;"|"&amp;RIGHT("000000"&amp;905,6),LdBKeyG,0),"")</f>
        <v/>
      </c>
    </row>
    <row r="2926">
      <c r="A2926" s="19" t="n">
        <v>906</v>
      </c>
      <c r="B2926" s="20">
        <f>IF($N2926="","",INDEX(LdBDate,$N2926))</f>
        <v/>
      </c>
      <c r="C2926" s="20">
        <f>IF($N2926="","",IF(INDEX(LdBId,$N2926)="","—",INDEX(LdBId,$N2926)))</f>
        <v/>
      </c>
      <c r="D2926" s="20">
        <f>IF($N2926="","",INDEX(LdBMember,$N2926))</f>
        <v/>
      </c>
      <c r="E2926" s="20">
        <f>IF($N2926="","",IFERROR(IF(VLOOKUP(INDEX(LdBMember,$N2926),AcctTblE,4,0)="","(بدون نام)",VLOOKUP(INDEX(LdBMember,$N2926),AcctTblE,4,0)),"—"))</f>
        <v/>
      </c>
      <c r="F2926" s="21">
        <f>IF($N2926="","",IF(INDEX(LdBAmt,$N2926)=0,"",INDEX(LdBAmt,$N2926)))</f>
        <v/>
      </c>
      <c r="G2926" s="32">
        <f>IF($N2926="","",IF(INDEX(LdBNote,$N2926)="","—",INDEX(LdBNote,$N2926)))</f>
        <v/>
      </c>
      <c r="N2926">
        <f>IFERROR(MATCH($C$5&amp;"|"&amp;RIGHT("000000"&amp;906,6),LdBKeyG,0),"")</f>
        <v/>
      </c>
    </row>
    <row r="2927">
      <c r="A2927" s="10" t="n">
        <v>907</v>
      </c>
      <c r="B2927" s="14">
        <f>IF($N2927="","",INDEX(LdBDate,$N2927))</f>
        <v/>
      </c>
      <c r="C2927" s="14">
        <f>IF($N2927="","",IF(INDEX(LdBId,$N2927)="","—",INDEX(LdBId,$N2927)))</f>
        <v/>
      </c>
      <c r="D2927" s="14">
        <f>IF($N2927="","",INDEX(LdBMember,$N2927))</f>
        <v/>
      </c>
      <c r="E2927" s="14">
        <f>IF($N2927="","",IFERROR(IF(VLOOKUP(INDEX(LdBMember,$N2927),AcctTblE,4,0)="","(بدون نام)",VLOOKUP(INDEX(LdBMember,$N2927),AcctTblE,4,0)),"—"))</f>
        <v/>
      </c>
      <c r="F2927" s="16">
        <f>IF($N2927="","",IF(INDEX(LdBAmt,$N2927)=0,"",INDEX(LdBAmt,$N2927)))</f>
        <v/>
      </c>
      <c r="G2927" s="30">
        <f>IF($N2927="","",IF(INDEX(LdBNote,$N2927)="","—",INDEX(LdBNote,$N2927)))</f>
        <v/>
      </c>
      <c r="N2927">
        <f>IFERROR(MATCH($C$5&amp;"|"&amp;RIGHT("000000"&amp;907,6),LdBKeyG,0),"")</f>
        <v/>
      </c>
    </row>
    <row r="2928">
      <c r="A2928" s="19" t="n">
        <v>908</v>
      </c>
      <c r="B2928" s="20">
        <f>IF($N2928="","",INDEX(LdBDate,$N2928))</f>
        <v/>
      </c>
      <c r="C2928" s="20">
        <f>IF($N2928="","",IF(INDEX(LdBId,$N2928)="","—",INDEX(LdBId,$N2928)))</f>
        <v/>
      </c>
      <c r="D2928" s="20">
        <f>IF($N2928="","",INDEX(LdBMember,$N2928))</f>
        <v/>
      </c>
      <c r="E2928" s="20">
        <f>IF($N2928="","",IFERROR(IF(VLOOKUP(INDEX(LdBMember,$N2928),AcctTblE,4,0)="","(بدون نام)",VLOOKUP(INDEX(LdBMember,$N2928),AcctTblE,4,0)),"—"))</f>
        <v/>
      </c>
      <c r="F2928" s="21">
        <f>IF($N2928="","",IF(INDEX(LdBAmt,$N2928)=0,"",INDEX(LdBAmt,$N2928)))</f>
        <v/>
      </c>
      <c r="G2928" s="32">
        <f>IF($N2928="","",IF(INDEX(LdBNote,$N2928)="","—",INDEX(LdBNote,$N2928)))</f>
        <v/>
      </c>
      <c r="N2928">
        <f>IFERROR(MATCH($C$5&amp;"|"&amp;RIGHT("000000"&amp;908,6),LdBKeyG,0),"")</f>
        <v/>
      </c>
    </row>
    <row r="2929">
      <c r="A2929" s="10" t="n">
        <v>909</v>
      </c>
      <c r="B2929" s="14">
        <f>IF($N2929="","",INDEX(LdBDate,$N2929))</f>
        <v/>
      </c>
      <c r="C2929" s="14">
        <f>IF($N2929="","",IF(INDEX(LdBId,$N2929)="","—",INDEX(LdBId,$N2929)))</f>
        <v/>
      </c>
      <c r="D2929" s="14">
        <f>IF($N2929="","",INDEX(LdBMember,$N2929))</f>
        <v/>
      </c>
      <c r="E2929" s="14">
        <f>IF($N2929="","",IFERROR(IF(VLOOKUP(INDEX(LdBMember,$N2929),AcctTblE,4,0)="","(بدون نام)",VLOOKUP(INDEX(LdBMember,$N2929),AcctTblE,4,0)),"—"))</f>
        <v/>
      </c>
      <c r="F2929" s="16">
        <f>IF($N2929="","",IF(INDEX(LdBAmt,$N2929)=0,"",INDEX(LdBAmt,$N2929)))</f>
        <v/>
      </c>
      <c r="G2929" s="30">
        <f>IF($N2929="","",IF(INDEX(LdBNote,$N2929)="","—",INDEX(LdBNote,$N2929)))</f>
        <v/>
      </c>
      <c r="N2929">
        <f>IFERROR(MATCH($C$5&amp;"|"&amp;RIGHT("000000"&amp;909,6),LdBKeyG,0),"")</f>
        <v/>
      </c>
    </row>
    <row r="2930">
      <c r="A2930" s="19" t="n">
        <v>910</v>
      </c>
      <c r="B2930" s="20">
        <f>IF($N2930="","",INDEX(LdBDate,$N2930))</f>
        <v/>
      </c>
      <c r="C2930" s="20">
        <f>IF($N2930="","",IF(INDEX(LdBId,$N2930)="","—",INDEX(LdBId,$N2930)))</f>
        <v/>
      </c>
      <c r="D2930" s="20">
        <f>IF($N2930="","",INDEX(LdBMember,$N2930))</f>
        <v/>
      </c>
      <c r="E2930" s="20">
        <f>IF($N2930="","",IFERROR(IF(VLOOKUP(INDEX(LdBMember,$N2930),AcctTblE,4,0)="","(بدون نام)",VLOOKUP(INDEX(LdBMember,$N2930),AcctTblE,4,0)),"—"))</f>
        <v/>
      </c>
      <c r="F2930" s="21">
        <f>IF($N2930="","",IF(INDEX(LdBAmt,$N2930)=0,"",INDEX(LdBAmt,$N2930)))</f>
        <v/>
      </c>
      <c r="G2930" s="32">
        <f>IF($N2930="","",IF(INDEX(LdBNote,$N2930)="","—",INDEX(LdBNote,$N2930)))</f>
        <v/>
      </c>
      <c r="N2930">
        <f>IFERROR(MATCH($C$5&amp;"|"&amp;RIGHT("000000"&amp;910,6),LdBKeyG,0),"")</f>
        <v/>
      </c>
    </row>
    <row r="2931">
      <c r="A2931" s="10" t="n">
        <v>911</v>
      </c>
      <c r="B2931" s="14">
        <f>IF($N2931="","",INDEX(LdBDate,$N2931))</f>
        <v/>
      </c>
      <c r="C2931" s="14">
        <f>IF($N2931="","",IF(INDEX(LdBId,$N2931)="","—",INDEX(LdBId,$N2931)))</f>
        <v/>
      </c>
      <c r="D2931" s="14">
        <f>IF($N2931="","",INDEX(LdBMember,$N2931))</f>
        <v/>
      </c>
      <c r="E2931" s="14">
        <f>IF($N2931="","",IFERROR(IF(VLOOKUP(INDEX(LdBMember,$N2931),AcctTblE,4,0)="","(بدون نام)",VLOOKUP(INDEX(LdBMember,$N2931),AcctTblE,4,0)),"—"))</f>
        <v/>
      </c>
      <c r="F2931" s="16">
        <f>IF($N2931="","",IF(INDEX(LdBAmt,$N2931)=0,"",INDEX(LdBAmt,$N2931)))</f>
        <v/>
      </c>
      <c r="G2931" s="30">
        <f>IF($N2931="","",IF(INDEX(LdBNote,$N2931)="","—",INDEX(LdBNote,$N2931)))</f>
        <v/>
      </c>
      <c r="N2931">
        <f>IFERROR(MATCH($C$5&amp;"|"&amp;RIGHT("000000"&amp;911,6),LdBKeyG,0),"")</f>
        <v/>
      </c>
    </row>
    <row r="2932">
      <c r="A2932" s="19" t="n">
        <v>912</v>
      </c>
      <c r="B2932" s="20">
        <f>IF($N2932="","",INDEX(LdBDate,$N2932))</f>
        <v/>
      </c>
      <c r="C2932" s="20">
        <f>IF($N2932="","",IF(INDEX(LdBId,$N2932)="","—",INDEX(LdBId,$N2932)))</f>
        <v/>
      </c>
      <c r="D2932" s="20">
        <f>IF($N2932="","",INDEX(LdBMember,$N2932))</f>
        <v/>
      </c>
      <c r="E2932" s="20">
        <f>IF($N2932="","",IFERROR(IF(VLOOKUP(INDEX(LdBMember,$N2932),AcctTblE,4,0)="","(بدون نام)",VLOOKUP(INDEX(LdBMember,$N2932),AcctTblE,4,0)),"—"))</f>
        <v/>
      </c>
      <c r="F2932" s="21">
        <f>IF($N2932="","",IF(INDEX(LdBAmt,$N2932)=0,"",INDEX(LdBAmt,$N2932)))</f>
        <v/>
      </c>
      <c r="G2932" s="32">
        <f>IF($N2932="","",IF(INDEX(LdBNote,$N2932)="","—",INDEX(LdBNote,$N2932)))</f>
        <v/>
      </c>
      <c r="N2932">
        <f>IFERROR(MATCH($C$5&amp;"|"&amp;RIGHT("000000"&amp;912,6),LdBKeyG,0),"")</f>
        <v/>
      </c>
    </row>
    <row r="2933">
      <c r="A2933" s="10" t="n">
        <v>913</v>
      </c>
      <c r="B2933" s="14">
        <f>IF($N2933="","",INDEX(LdBDate,$N2933))</f>
        <v/>
      </c>
      <c r="C2933" s="14">
        <f>IF($N2933="","",IF(INDEX(LdBId,$N2933)="","—",INDEX(LdBId,$N2933)))</f>
        <v/>
      </c>
      <c r="D2933" s="14">
        <f>IF($N2933="","",INDEX(LdBMember,$N2933))</f>
        <v/>
      </c>
      <c r="E2933" s="14">
        <f>IF($N2933="","",IFERROR(IF(VLOOKUP(INDEX(LdBMember,$N2933),AcctTblE,4,0)="","(بدون نام)",VLOOKUP(INDEX(LdBMember,$N2933),AcctTblE,4,0)),"—"))</f>
        <v/>
      </c>
      <c r="F2933" s="16">
        <f>IF($N2933="","",IF(INDEX(LdBAmt,$N2933)=0,"",INDEX(LdBAmt,$N2933)))</f>
        <v/>
      </c>
      <c r="G2933" s="30">
        <f>IF($N2933="","",IF(INDEX(LdBNote,$N2933)="","—",INDEX(LdBNote,$N2933)))</f>
        <v/>
      </c>
      <c r="N2933">
        <f>IFERROR(MATCH($C$5&amp;"|"&amp;RIGHT("000000"&amp;913,6),LdBKeyG,0),"")</f>
        <v/>
      </c>
    </row>
    <row r="2934">
      <c r="A2934" s="19" t="n">
        <v>914</v>
      </c>
      <c r="B2934" s="20">
        <f>IF($N2934="","",INDEX(LdBDate,$N2934))</f>
        <v/>
      </c>
      <c r="C2934" s="20">
        <f>IF($N2934="","",IF(INDEX(LdBId,$N2934)="","—",INDEX(LdBId,$N2934)))</f>
        <v/>
      </c>
      <c r="D2934" s="20">
        <f>IF($N2934="","",INDEX(LdBMember,$N2934))</f>
        <v/>
      </c>
      <c r="E2934" s="20">
        <f>IF($N2934="","",IFERROR(IF(VLOOKUP(INDEX(LdBMember,$N2934),AcctTblE,4,0)="","(بدون نام)",VLOOKUP(INDEX(LdBMember,$N2934),AcctTblE,4,0)),"—"))</f>
        <v/>
      </c>
      <c r="F2934" s="21">
        <f>IF($N2934="","",IF(INDEX(LdBAmt,$N2934)=0,"",INDEX(LdBAmt,$N2934)))</f>
        <v/>
      </c>
      <c r="G2934" s="32">
        <f>IF($N2934="","",IF(INDEX(LdBNote,$N2934)="","—",INDEX(LdBNote,$N2934)))</f>
        <v/>
      </c>
      <c r="N2934">
        <f>IFERROR(MATCH($C$5&amp;"|"&amp;RIGHT("000000"&amp;914,6),LdBKeyG,0),"")</f>
        <v/>
      </c>
    </row>
    <row r="2935">
      <c r="A2935" s="10" t="n">
        <v>915</v>
      </c>
      <c r="B2935" s="14">
        <f>IF($N2935="","",INDEX(LdBDate,$N2935))</f>
        <v/>
      </c>
      <c r="C2935" s="14">
        <f>IF($N2935="","",IF(INDEX(LdBId,$N2935)="","—",INDEX(LdBId,$N2935)))</f>
        <v/>
      </c>
      <c r="D2935" s="14">
        <f>IF($N2935="","",INDEX(LdBMember,$N2935))</f>
        <v/>
      </c>
      <c r="E2935" s="14">
        <f>IF($N2935="","",IFERROR(IF(VLOOKUP(INDEX(LdBMember,$N2935),AcctTblE,4,0)="","(بدون نام)",VLOOKUP(INDEX(LdBMember,$N2935),AcctTblE,4,0)),"—"))</f>
        <v/>
      </c>
      <c r="F2935" s="16">
        <f>IF($N2935="","",IF(INDEX(LdBAmt,$N2935)=0,"",INDEX(LdBAmt,$N2935)))</f>
        <v/>
      </c>
      <c r="G2935" s="30">
        <f>IF($N2935="","",IF(INDEX(LdBNote,$N2935)="","—",INDEX(LdBNote,$N2935)))</f>
        <v/>
      </c>
      <c r="N2935">
        <f>IFERROR(MATCH($C$5&amp;"|"&amp;RIGHT("000000"&amp;915,6),LdBKeyG,0),"")</f>
        <v/>
      </c>
    </row>
    <row r="2936">
      <c r="A2936" s="19" t="n">
        <v>916</v>
      </c>
      <c r="B2936" s="20">
        <f>IF($N2936="","",INDEX(LdBDate,$N2936))</f>
        <v/>
      </c>
      <c r="C2936" s="20">
        <f>IF($N2936="","",IF(INDEX(LdBId,$N2936)="","—",INDEX(LdBId,$N2936)))</f>
        <v/>
      </c>
      <c r="D2936" s="20">
        <f>IF($N2936="","",INDEX(LdBMember,$N2936))</f>
        <v/>
      </c>
      <c r="E2936" s="20">
        <f>IF($N2936="","",IFERROR(IF(VLOOKUP(INDEX(LdBMember,$N2936),AcctTblE,4,0)="","(بدون نام)",VLOOKUP(INDEX(LdBMember,$N2936),AcctTblE,4,0)),"—"))</f>
        <v/>
      </c>
      <c r="F2936" s="21">
        <f>IF($N2936="","",IF(INDEX(LdBAmt,$N2936)=0,"",INDEX(LdBAmt,$N2936)))</f>
        <v/>
      </c>
      <c r="G2936" s="32">
        <f>IF($N2936="","",IF(INDEX(LdBNote,$N2936)="","—",INDEX(LdBNote,$N2936)))</f>
        <v/>
      </c>
      <c r="N2936">
        <f>IFERROR(MATCH($C$5&amp;"|"&amp;RIGHT("000000"&amp;916,6),LdBKeyG,0),"")</f>
        <v/>
      </c>
    </row>
    <row r="2937">
      <c r="A2937" s="10" t="n">
        <v>917</v>
      </c>
      <c r="B2937" s="14">
        <f>IF($N2937="","",INDEX(LdBDate,$N2937))</f>
        <v/>
      </c>
      <c r="C2937" s="14">
        <f>IF($N2937="","",IF(INDEX(LdBId,$N2937)="","—",INDEX(LdBId,$N2937)))</f>
        <v/>
      </c>
      <c r="D2937" s="14">
        <f>IF($N2937="","",INDEX(LdBMember,$N2937))</f>
        <v/>
      </c>
      <c r="E2937" s="14">
        <f>IF($N2937="","",IFERROR(IF(VLOOKUP(INDEX(LdBMember,$N2937),AcctTblE,4,0)="","(بدون نام)",VLOOKUP(INDEX(LdBMember,$N2937),AcctTblE,4,0)),"—"))</f>
        <v/>
      </c>
      <c r="F2937" s="16">
        <f>IF($N2937="","",IF(INDEX(LdBAmt,$N2937)=0,"",INDEX(LdBAmt,$N2937)))</f>
        <v/>
      </c>
      <c r="G2937" s="30">
        <f>IF($N2937="","",IF(INDEX(LdBNote,$N2937)="","—",INDEX(LdBNote,$N2937)))</f>
        <v/>
      </c>
      <c r="N2937">
        <f>IFERROR(MATCH($C$5&amp;"|"&amp;RIGHT("000000"&amp;917,6),LdBKeyG,0),"")</f>
        <v/>
      </c>
    </row>
    <row r="2938">
      <c r="A2938" s="19" t="n">
        <v>918</v>
      </c>
      <c r="B2938" s="20">
        <f>IF($N2938="","",INDEX(LdBDate,$N2938))</f>
        <v/>
      </c>
      <c r="C2938" s="20">
        <f>IF($N2938="","",IF(INDEX(LdBId,$N2938)="","—",INDEX(LdBId,$N2938)))</f>
        <v/>
      </c>
      <c r="D2938" s="20">
        <f>IF($N2938="","",INDEX(LdBMember,$N2938))</f>
        <v/>
      </c>
      <c r="E2938" s="20">
        <f>IF($N2938="","",IFERROR(IF(VLOOKUP(INDEX(LdBMember,$N2938),AcctTblE,4,0)="","(بدون نام)",VLOOKUP(INDEX(LdBMember,$N2938),AcctTblE,4,0)),"—"))</f>
        <v/>
      </c>
      <c r="F2938" s="21">
        <f>IF($N2938="","",IF(INDEX(LdBAmt,$N2938)=0,"",INDEX(LdBAmt,$N2938)))</f>
        <v/>
      </c>
      <c r="G2938" s="32">
        <f>IF($N2938="","",IF(INDEX(LdBNote,$N2938)="","—",INDEX(LdBNote,$N2938)))</f>
        <v/>
      </c>
      <c r="N2938">
        <f>IFERROR(MATCH($C$5&amp;"|"&amp;RIGHT("000000"&amp;918,6),LdBKeyG,0),"")</f>
        <v/>
      </c>
    </row>
    <row r="2939">
      <c r="A2939" s="10" t="n">
        <v>919</v>
      </c>
      <c r="B2939" s="14">
        <f>IF($N2939="","",INDEX(LdBDate,$N2939))</f>
        <v/>
      </c>
      <c r="C2939" s="14">
        <f>IF($N2939="","",IF(INDEX(LdBId,$N2939)="","—",INDEX(LdBId,$N2939)))</f>
        <v/>
      </c>
      <c r="D2939" s="14">
        <f>IF($N2939="","",INDEX(LdBMember,$N2939))</f>
        <v/>
      </c>
      <c r="E2939" s="14">
        <f>IF($N2939="","",IFERROR(IF(VLOOKUP(INDEX(LdBMember,$N2939),AcctTblE,4,0)="","(بدون نام)",VLOOKUP(INDEX(LdBMember,$N2939),AcctTblE,4,0)),"—"))</f>
        <v/>
      </c>
      <c r="F2939" s="16">
        <f>IF($N2939="","",IF(INDEX(LdBAmt,$N2939)=0,"",INDEX(LdBAmt,$N2939)))</f>
        <v/>
      </c>
      <c r="G2939" s="30">
        <f>IF($N2939="","",IF(INDEX(LdBNote,$N2939)="","—",INDEX(LdBNote,$N2939)))</f>
        <v/>
      </c>
      <c r="N2939">
        <f>IFERROR(MATCH($C$5&amp;"|"&amp;RIGHT("000000"&amp;919,6),LdBKeyG,0),"")</f>
        <v/>
      </c>
    </row>
    <row r="2940">
      <c r="A2940" s="19" t="n">
        <v>920</v>
      </c>
      <c r="B2940" s="20">
        <f>IF($N2940="","",INDEX(LdBDate,$N2940))</f>
        <v/>
      </c>
      <c r="C2940" s="20">
        <f>IF($N2940="","",IF(INDEX(LdBId,$N2940)="","—",INDEX(LdBId,$N2940)))</f>
        <v/>
      </c>
      <c r="D2940" s="20">
        <f>IF($N2940="","",INDEX(LdBMember,$N2940))</f>
        <v/>
      </c>
      <c r="E2940" s="20">
        <f>IF($N2940="","",IFERROR(IF(VLOOKUP(INDEX(LdBMember,$N2940),AcctTblE,4,0)="","(بدون نام)",VLOOKUP(INDEX(LdBMember,$N2940),AcctTblE,4,0)),"—"))</f>
        <v/>
      </c>
      <c r="F2940" s="21">
        <f>IF($N2940="","",IF(INDEX(LdBAmt,$N2940)=0,"",INDEX(LdBAmt,$N2940)))</f>
        <v/>
      </c>
      <c r="G2940" s="32">
        <f>IF($N2940="","",IF(INDEX(LdBNote,$N2940)="","—",INDEX(LdBNote,$N2940)))</f>
        <v/>
      </c>
      <c r="N2940">
        <f>IFERROR(MATCH($C$5&amp;"|"&amp;RIGHT("000000"&amp;920,6),LdBKeyG,0),"")</f>
        <v/>
      </c>
    </row>
    <row r="2941">
      <c r="A2941" s="10" t="n">
        <v>921</v>
      </c>
      <c r="B2941" s="14">
        <f>IF($N2941="","",INDEX(LdBDate,$N2941))</f>
        <v/>
      </c>
      <c r="C2941" s="14">
        <f>IF($N2941="","",IF(INDEX(LdBId,$N2941)="","—",INDEX(LdBId,$N2941)))</f>
        <v/>
      </c>
      <c r="D2941" s="14">
        <f>IF($N2941="","",INDEX(LdBMember,$N2941))</f>
        <v/>
      </c>
      <c r="E2941" s="14">
        <f>IF($N2941="","",IFERROR(IF(VLOOKUP(INDEX(LdBMember,$N2941),AcctTblE,4,0)="","(بدون نام)",VLOOKUP(INDEX(LdBMember,$N2941),AcctTblE,4,0)),"—"))</f>
        <v/>
      </c>
      <c r="F2941" s="16">
        <f>IF($N2941="","",IF(INDEX(LdBAmt,$N2941)=0,"",INDEX(LdBAmt,$N2941)))</f>
        <v/>
      </c>
      <c r="G2941" s="30">
        <f>IF($N2941="","",IF(INDEX(LdBNote,$N2941)="","—",INDEX(LdBNote,$N2941)))</f>
        <v/>
      </c>
      <c r="N2941">
        <f>IFERROR(MATCH($C$5&amp;"|"&amp;RIGHT("000000"&amp;921,6),LdBKeyG,0),"")</f>
        <v/>
      </c>
    </row>
    <row r="2942">
      <c r="A2942" s="19" t="n">
        <v>922</v>
      </c>
      <c r="B2942" s="20">
        <f>IF($N2942="","",INDEX(LdBDate,$N2942))</f>
        <v/>
      </c>
      <c r="C2942" s="20">
        <f>IF($N2942="","",IF(INDEX(LdBId,$N2942)="","—",INDEX(LdBId,$N2942)))</f>
        <v/>
      </c>
      <c r="D2942" s="20">
        <f>IF($N2942="","",INDEX(LdBMember,$N2942))</f>
        <v/>
      </c>
      <c r="E2942" s="20">
        <f>IF($N2942="","",IFERROR(IF(VLOOKUP(INDEX(LdBMember,$N2942),AcctTblE,4,0)="","(بدون نام)",VLOOKUP(INDEX(LdBMember,$N2942),AcctTblE,4,0)),"—"))</f>
        <v/>
      </c>
      <c r="F2942" s="21">
        <f>IF($N2942="","",IF(INDEX(LdBAmt,$N2942)=0,"",INDEX(LdBAmt,$N2942)))</f>
        <v/>
      </c>
      <c r="G2942" s="32">
        <f>IF($N2942="","",IF(INDEX(LdBNote,$N2942)="","—",INDEX(LdBNote,$N2942)))</f>
        <v/>
      </c>
      <c r="N2942">
        <f>IFERROR(MATCH($C$5&amp;"|"&amp;RIGHT("000000"&amp;922,6),LdBKeyG,0),"")</f>
        <v/>
      </c>
    </row>
    <row r="2943">
      <c r="A2943" s="10" t="n">
        <v>923</v>
      </c>
      <c r="B2943" s="14">
        <f>IF($N2943="","",INDEX(LdBDate,$N2943))</f>
        <v/>
      </c>
      <c r="C2943" s="14">
        <f>IF($N2943="","",IF(INDEX(LdBId,$N2943)="","—",INDEX(LdBId,$N2943)))</f>
        <v/>
      </c>
      <c r="D2943" s="14">
        <f>IF($N2943="","",INDEX(LdBMember,$N2943))</f>
        <v/>
      </c>
      <c r="E2943" s="14">
        <f>IF($N2943="","",IFERROR(IF(VLOOKUP(INDEX(LdBMember,$N2943),AcctTblE,4,0)="","(بدون نام)",VLOOKUP(INDEX(LdBMember,$N2943),AcctTblE,4,0)),"—"))</f>
        <v/>
      </c>
      <c r="F2943" s="16">
        <f>IF($N2943="","",IF(INDEX(LdBAmt,$N2943)=0,"",INDEX(LdBAmt,$N2943)))</f>
        <v/>
      </c>
      <c r="G2943" s="30">
        <f>IF($N2943="","",IF(INDEX(LdBNote,$N2943)="","—",INDEX(LdBNote,$N2943)))</f>
        <v/>
      </c>
      <c r="N2943">
        <f>IFERROR(MATCH($C$5&amp;"|"&amp;RIGHT("000000"&amp;923,6),LdBKeyG,0),"")</f>
        <v/>
      </c>
    </row>
    <row r="2944">
      <c r="A2944" s="19" t="n">
        <v>924</v>
      </c>
      <c r="B2944" s="20">
        <f>IF($N2944="","",INDEX(LdBDate,$N2944))</f>
        <v/>
      </c>
      <c r="C2944" s="20">
        <f>IF($N2944="","",IF(INDEX(LdBId,$N2944)="","—",INDEX(LdBId,$N2944)))</f>
        <v/>
      </c>
      <c r="D2944" s="20">
        <f>IF($N2944="","",INDEX(LdBMember,$N2944))</f>
        <v/>
      </c>
      <c r="E2944" s="20">
        <f>IF($N2944="","",IFERROR(IF(VLOOKUP(INDEX(LdBMember,$N2944),AcctTblE,4,0)="","(بدون نام)",VLOOKUP(INDEX(LdBMember,$N2944),AcctTblE,4,0)),"—"))</f>
        <v/>
      </c>
      <c r="F2944" s="21">
        <f>IF($N2944="","",IF(INDEX(LdBAmt,$N2944)=0,"",INDEX(LdBAmt,$N2944)))</f>
        <v/>
      </c>
      <c r="G2944" s="32">
        <f>IF($N2944="","",IF(INDEX(LdBNote,$N2944)="","—",INDEX(LdBNote,$N2944)))</f>
        <v/>
      </c>
      <c r="N2944">
        <f>IFERROR(MATCH($C$5&amp;"|"&amp;RIGHT("000000"&amp;924,6),LdBKeyG,0),"")</f>
        <v/>
      </c>
    </row>
    <row r="2945">
      <c r="A2945" s="10" t="n">
        <v>925</v>
      </c>
      <c r="B2945" s="14">
        <f>IF($N2945="","",INDEX(LdBDate,$N2945))</f>
        <v/>
      </c>
      <c r="C2945" s="14">
        <f>IF($N2945="","",IF(INDEX(LdBId,$N2945)="","—",INDEX(LdBId,$N2945)))</f>
        <v/>
      </c>
      <c r="D2945" s="14">
        <f>IF($N2945="","",INDEX(LdBMember,$N2945))</f>
        <v/>
      </c>
      <c r="E2945" s="14">
        <f>IF($N2945="","",IFERROR(IF(VLOOKUP(INDEX(LdBMember,$N2945),AcctTblE,4,0)="","(بدون نام)",VLOOKUP(INDEX(LdBMember,$N2945),AcctTblE,4,0)),"—"))</f>
        <v/>
      </c>
      <c r="F2945" s="16">
        <f>IF($N2945="","",IF(INDEX(LdBAmt,$N2945)=0,"",INDEX(LdBAmt,$N2945)))</f>
        <v/>
      </c>
      <c r="G2945" s="30">
        <f>IF($N2945="","",IF(INDEX(LdBNote,$N2945)="","—",INDEX(LdBNote,$N2945)))</f>
        <v/>
      </c>
      <c r="N2945">
        <f>IFERROR(MATCH($C$5&amp;"|"&amp;RIGHT("000000"&amp;925,6),LdBKeyG,0),"")</f>
        <v/>
      </c>
    </row>
    <row r="2946">
      <c r="A2946" s="19" t="n">
        <v>926</v>
      </c>
      <c r="B2946" s="20">
        <f>IF($N2946="","",INDEX(LdBDate,$N2946))</f>
        <v/>
      </c>
      <c r="C2946" s="20">
        <f>IF($N2946="","",IF(INDEX(LdBId,$N2946)="","—",INDEX(LdBId,$N2946)))</f>
        <v/>
      </c>
      <c r="D2946" s="20">
        <f>IF($N2946="","",INDEX(LdBMember,$N2946))</f>
        <v/>
      </c>
      <c r="E2946" s="20">
        <f>IF($N2946="","",IFERROR(IF(VLOOKUP(INDEX(LdBMember,$N2946),AcctTblE,4,0)="","(بدون نام)",VLOOKUP(INDEX(LdBMember,$N2946),AcctTblE,4,0)),"—"))</f>
        <v/>
      </c>
      <c r="F2946" s="21">
        <f>IF($N2946="","",IF(INDEX(LdBAmt,$N2946)=0,"",INDEX(LdBAmt,$N2946)))</f>
        <v/>
      </c>
      <c r="G2946" s="32">
        <f>IF($N2946="","",IF(INDEX(LdBNote,$N2946)="","—",INDEX(LdBNote,$N2946)))</f>
        <v/>
      </c>
      <c r="N2946">
        <f>IFERROR(MATCH($C$5&amp;"|"&amp;RIGHT("000000"&amp;926,6),LdBKeyG,0),"")</f>
        <v/>
      </c>
    </row>
    <row r="2947">
      <c r="A2947" s="10" t="n">
        <v>927</v>
      </c>
      <c r="B2947" s="14">
        <f>IF($N2947="","",INDEX(LdBDate,$N2947))</f>
        <v/>
      </c>
      <c r="C2947" s="14">
        <f>IF($N2947="","",IF(INDEX(LdBId,$N2947)="","—",INDEX(LdBId,$N2947)))</f>
        <v/>
      </c>
      <c r="D2947" s="14">
        <f>IF($N2947="","",INDEX(LdBMember,$N2947))</f>
        <v/>
      </c>
      <c r="E2947" s="14">
        <f>IF($N2947="","",IFERROR(IF(VLOOKUP(INDEX(LdBMember,$N2947),AcctTblE,4,0)="","(بدون نام)",VLOOKUP(INDEX(LdBMember,$N2947),AcctTblE,4,0)),"—"))</f>
        <v/>
      </c>
      <c r="F2947" s="16">
        <f>IF($N2947="","",IF(INDEX(LdBAmt,$N2947)=0,"",INDEX(LdBAmt,$N2947)))</f>
        <v/>
      </c>
      <c r="G2947" s="30">
        <f>IF($N2947="","",IF(INDEX(LdBNote,$N2947)="","—",INDEX(LdBNote,$N2947)))</f>
        <v/>
      </c>
      <c r="N2947">
        <f>IFERROR(MATCH($C$5&amp;"|"&amp;RIGHT("000000"&amp;927,6),LdBKeyG,0),"")</f>
        <v/>
      </c>
    </row>
    <row r="2948">
      <c r="A2948" s="19" t="n">
        <v>928</v>
      </c>
      <c r="B2948" s="20">
        <f>IF($N2948="","",INDEX(LdBDate,$N2948))</f>
        <v/>
      </c>
      <c r="C2948" s="20">
        <f>IF($N2948="","",IF(INDEX(LdBId,$N2948)="","—",INDEX(LdBId,$N2948)))</f>
        <v/>
      </c>
      <c r="D2948" s="20">
        <f>IF($N2948="","",INDEX(LdBMember,$N2948))</f>
        <v/>
      </c>
      <c r="E2948" s="20">
        <f>IF($N2948="","",IFERROR(IF(VLOOKUP(INDEX(LdBMember,$N2948),AcctTblE,4,0)="","(بدون نام)",VLOOKUP(INDEX(LdBMember,$N2948),AcctTblE,4,0)),"—"))</f>
        <v/>
      </c>
      <c r="F2948" s="21">
        <f>IF($N2948="","",IF(INDEX(LdBAmt,$N2948)=0,"",INDEX(LdBAmt,$N2948)))</f>
        <v/>
      </c>
      <c r="G2948" s="32">
        <f>IF($N2948="","",IF(INDEX(LdBNote,$N2948)="","—",INDEX(LdBNote,$N2948)))</f>
        <v/>
      </c>
      <c r="N2948">
        <f>IFERROR(MATCH($C$5&amp;"|"&amp;RIGHT("000000"&amp;928,6),LdBKeyG,0),"")</f>
        <v/>
      </c>
    </row>
    <row r="2949">
      <c r="A2949" s="10" t="n">
        <v>929</v>
      </c>
      <c r="B2949" s="14">
        <f>IF($N2949="","",INDEX(LdBDate,$N2949))</f>
        <v/>
      </c>
      <c r="C2949" s="14">
        <f>IF($N2949="","",IF(INDEX(LdBId,$N2949)="","—",INDEX(LdBId,$N2949)))</f>
        <v/>
      </c>
      <c r="D2949" s="14">
        <f>IF($N2949="","",INDEX(LdBMember,$N2949))</f>
        <v/>
      </c>
      <c r="E2949" s="14">
        <f>IF($N2949="","",IFERROR(IF(VLOOKUP(INDEX(LdBMember,$N2949),AcctTblE,4,0)="","(بدون نام)",VLOOKUP(INDEX(LdBMember,$N2949),AcctTblE,4,0)),"—"))</f>
        <v/>
      </c>
      <c r="F2949" s="16">
        <f>IF($N2949="","",IF(INDEX(LdBAmt,$N2949)=0,"",INDEX(LdBAmt,$N2949)))</f>
        <v/>
      </c>
      <c r="G2949" s="30">
        <f>IF($N2949="","",IF(INDEX(LdBNote,$N2949)="","—",INDEX(LdBNote,$N2949)))</f>
        <v/>
      </c>
      <c r="N2949">
        <f>IFERROR(MATCH($C$5&amp;"|"&amp;RIGHT("000000"&amp;929,6),LdBKeyG,0),"")</f>
        <v/>
      </c>
    </row>
    <row r="2950">
      <c r="A2950" s="19" t="n">
        <v>930</v>
      </c>
      <c r="B2950" s="20">
        <f>IF($N2950="","",INDEX(LdBDate,$N2950))</f>
        <v/>
      </c>
      <c r="C2950" s="20">
        <f>IF($N2950="","",IF(INDEX(LdBId,$N2950)="","—",INDEX(LdBId,$N2950)))</f>
        <v/>
      </c>
      <c r="D2950" s="20">
        <f>IF($N2950="","",INDEX(LdBMember,$N2950))</f>
        <v/>
      </c>
      <c r="E2950" s="20">
        <f>IF($N2950="","",IFERROR(IF(VLOOKUP(INDEX(LdBMember,$N2950),AcctTblE,4,0)="","(بدون نام)",VLOOKUP(INDEX(LdBMember,$N2950),AcctTblE,4,0)),"—"))</f>
        <v/>
      </c>
      <c r="F2950" s="21">
        <f>IF($N2950="","",IF(INDEX(LdBAmt,$N2950)=0,"",INDEX(LdBAmt,$N2950)))</f>
        <v/>
      </c>
      <c r="G2950" s="32">
        <f>IF($N2950="","",IF(INDEX(LdBNote,$N2950)="","—",INDEX(LdBNote,$N2950)))</f>
        <v/>
      </c>
      <c r="N2950">
        <f>IFERROR(MATCH($C$5&amp;"|"&amp;RIGHT("000000"&amp;930,6),LdBKeyG,0),"")</f>
        <v/>
      </c>
    </row>
    <row r="2951">
      <c r="A2951" s="10" t="n">
        <v>931</v>
      </c>
      <c r="B2951" s="14">
        <f>IF($N2951="","",INDEX(LdBDate,$N2951))</f>
        <v/>
      </c>
      <c r="C2951" s="14">
        <f>IF($N2951="","",IF(INDEX(LdBId,$N2951)="","—",INDEX(LdBId,$N2951)))</f>
        <v/>
      </c>
      <c r="D2951" s="14">
        <f>IF($N2951="","",INDEX(LdBMember,$N2951))</f>
        <v/>
      </c>
      <c r="E2951" s="14">
        <f>IF($N2951="","",IFERROR(IF(VLOOKUP(INDEX(LdBMember,$N2951),AcctTblE,4,0)="","(بدون نام)",VLOOKUP(INDEX(LdBMember,$N2951),AcctTblE,4,0)),"—"))</f>
        <v/>
      </c>
      <c r="F2951" s="16">
        <f>IF($N2951="","",IF(INDEX(LdBAmt,$N2951)=0,"",INDEX(LdBAmt,$N2951)))</f>
        <v/>
      </c>
      <c r="G2951" s="30">
        <f>IF($N2951="","",IF(INDEX(LdBNote,$N2951)="","—",INDEX(LdBNote,$N2951)))</f>
        <v/>
      </c>
      <c r="N2951">
        <f>IFERROR(MATCH($C$5&amp;"|"&amp;RIGHT("000000"&amp;931,6),LdBKeyG,0),"")</f>
        <v/>
      </c>
    </row>
    <row r="2952">
      <c r="A2952" s="19" t="n">
        <v>932</v>
      </c>
      <c r="B2952" s="20">
        <f>IF($N2952="","",INDEX(LdBDate,$N2952))</f>
        <v/>
      </c>
      <c r="C2952" s="20">
        <f>IF($N2952="","",IF(INDEX(LdBId,$N2952)="","—",INDEX(LdBId,$N2952)))</f>
        <v/>
      </c>
      <c r="D2952" s="20">
        <f>IF($N2952="","",INDEX(LdBMember,$N2952))</f>
        <v/>
      </c>
      <c r="E2952" s="20">
        <f>IF($N2952="","",IFERROR(IF(VLOOKUP(INDEX(LdBMember,$N2952),AcctTblE,4,0)="","(بدون نام)",VLOOKUP(INDEX(LdBMember,$N2952),AcctTblE,4,0)),"—"))</f>
        <v/>
      </c>
      <c r="F2952" s="21">
        <f>IF($N2952="","",IF(INDEX(LdBAmt,$N2952)=0,"",INDEX(LdBAmt,$N2952)))</f>
        <v/>
      </c>
      <c r="G2952" s="32">
        <f>IF($N2952="","",IF(INDEX(LdBNote,$N2952)="","—",INDEX(LdBNote,$N2952)))</f>
        <v/>
      </c>
      <c r="N2952">
        <f>IFERROR(MATCH($C$5&amp;"|"&amp;RIGHT("000000"&amp;932,6),LdBKeyG,0),"")</f>
        <v/>
      </c>
    </row>
    <row r="2953">
      <c r="A2953" s="10" t="n">
        <v>933</v>
      </c>
      <c r="B2953" s="14">
        <f>IF($N2953="","",INDEX(LdBDate,$N2953))</f>
        <v/>
      </c>
      <c r="C2953" s="14">
        <f>IF($N2953="","",IF(INDEX(LdBId,$N2953)="","—",INDEX(LdBId,$N2953)))</f>
        <v/>
      </c>
      <c r="D2953" s="14">
        <f>IF($N2953="","",INDEX(LdBMember,$N2953))</f>
        <v/>
      </c>
      <c r="E2953" s="14">
        <f>IF($N2953="","",IFERROR(IF(VLOOKUP(INDEX(LdBMember,$N2953),AcctTblE,4,0)="","(بدون نام)",VLOOKUP(INDEX(LdBMember,$N2953),AcctTblE,4,0)),"—"))</f>
        <v/>
      </c>
      <c r="F2953" s="16">
        <f>IF($N2953="","",IF(INDEX(LdBAmt,$N2953)=0,"",INDEX(LdBAmt,$N2953)))</f>
        <v/>
      </c>
      <c r="G2953" s="30">
        <f>IF($N2953="","",IF(INDEX(LdBNote,$N2953)="","—",INDEX(LdBNote,$N2953)))</f>
        <v/>
      </c>
      <c r="N2953">
        <f>IFERROR(MATCH($C$5&amp;"|"&amp;RIGHT("000000"&amp;933,6),LdBKeyG,0),"")</f>
        <v/>
      </c>
    </row>
    <row r="2954">
      <c r="A2954" s="19" t="n">
        <v>934</v>
      </c>
      <c r="B2954" s="20">
        <f>IF($N2954="","",INDEX(LdBDate,$N2954))</f>
        <v/>
      </c>
      <c r="C2954" s="20">
        <f>IF($N2954="","",IF(INDEX(LdBId,$N2954)="","—",INDEX(LdBId,$N2954)))</f>
        <v/>
      </c>
      <c r="D2954" s="20">
        <f>IF($N2954="","",INDEX(LdBMember,$N2954))</f>
        <v/>
      </c>
      <c r="E2954" s="20">
        <f>IF($N2954="","",IFERROR(IF(VLOOKUP(INDEX(LdBMember,$N2954),AcctTblE,4,0)="","(بدون نام)",VLOOKUP(INDEX(LdBMember,$N2954),AcctTblE,4,0)),"—"))</f>
        <v/>
      </c>
      <c r="F2954" s="21">
        <f>IF($N2954="","",IF(INDEX(LdBAmt,$N2954)=0,"",INDEX(LdBAmt,$N2954)))</f>
        <v/>
      </c>
      <c r="G2954" s="32">
        <f>IF($N2954="","",IF(INDEX(LdBNote,$N2954)="","—",INDEX(LdBNote,$N2954)))</f>
        <v/>
      </c>
      <c r="N2954">
        <f>IFERROR(MATCH($C$5&amp;"|"&amp;RIGHT("000000"&amp;934,6),LdBKeyG,0),"")</f>
        <v/>
      </c>
    </row>
    <row r="2955">
      <c r="A2955" s="10" t="n">
        <v>935</v>
      </c>
      <c r="B2955" s="14">
        <f>IF($N2955="","",INDEX(LdBDate,$N2955))</f>
        <v/>
      </c>
      <c r="C2955" s="14">
        <f>IF($N2955="","",IF(INDEX(LdBId,$N2955)="","—",INDEX(LdBId,$N2955)))</f>
        <v/>
      </c>
      <c r="D2955" s="14">
        <f>IF($N2955="","",INDEX(LdBMember,$N2955))</f>
        <v/>
      </c>
      <c r="E2955" s="14">
        <f>IF($N2955="","",IFERROR(IF(VLOOKUP(INDEX(LdBMember,$N2955),AcctTblE,4,0)="","(بدون نام)",VLOOKUP(INDEX(LdBMember,$N2955),AcctTblE,4,0)),"—"))</f>
        <v/>
      </c>
      <c r="F2955" s="16">
        <f>IF($N2955="","",IF(INDEX(LdBAmt,$N2955)=0,"",INDEX(LdBAmt,$N2955)))</f>
        <v/>
      </c>
      <c r="G2955" s="30">
        <f>IF($N2955="","",IF(INDEX(LdBNote,$N2955)="","—",INDEX(LdBNote,$N2955)))</f>
        <v/>
      </c>
      <c r="N2955">
        <f>IFERROR(MATCH($C$5&amp;"|"&amp;RIGHT("000000"&amp;935,6),LdBKeyG,0),"")</f>
        <v/>
      </c>
    </row>
    <row r="2956">
      <c r="A2956" s="19" t="n">
        <v>936</v>
      </c>
      <c r="B2956" s="20">
        <f>IF($N2956="","",INDEX(LdBDate,$N2956))</f>
        <v/>
      </c>
      <c r="C2956" s="20">
        <f>IF($N2956="","",IF(INDEX(LdBId,$N2956)="","—",INDEX(LdBId,$N2956)))</f>
        <v/>
      </c>
      <c r="D2956" s="20">
        <f>IF($N2956="","",INDEX(LdBMember,$N2956))</f>
        <v/>
      </c>
      <c r="E2956" s="20">
        <f>IF($N2956="","",IFERROR(IF(VLOOKUP(INDEX(LdBMember,$N2956),AcctTblE,4,0)="","(بدون نام)",VLOOKUP(INDEX(LdBMember,$N2956),AcctTblE,4,0)),"—"))</f>
        <v/>
      </c>
      <c r="F2956" s="21">
        <f>IF($N2956="","",IF(INDEX(LdBAmt,$N2956)=0,"",INDEX(LdBAmt,$N2956)))</f>
        <v/>
      </c>
      <c r="G2956" s="32">
        <f>IF($N2956="","",IF(INDEX(LdBNote,$N2956)="","—",INDEX(LdBNote,$N2956)))</f>
        <v/>
      </c>
      <c r="N2956">
        <f>IFERROR(MATCH($C$5&amp;"|"&amp;RIGHT("000000"&amp;936,6),LdBKeyG,0),"")</f>
        <v/>
      </c>
    </row>
    <row r="2957">
      <c r="A2957" s="10" t="n">
        <v>937</v>
      </c>
      <c r="B2957" s="14">
        <f>IF($N2957="","",INDEX(LdBDate,$N2957))</f>
        <v/>
      </c>
      <c r="C2957" s="14">
        <f>IF($N2957="","",IF(INDEX(LdBId,$N2957)="","—",INDEX(LdBId,$N2957)))</f>
        <v/>
      </c>
      <c r="D2957" s="14">
        <f>IF($N2957="","",INDEX(LdBMember,$N2957))</f>
        <v/>
      </c>
      <c r="E2957" s="14">
        <f>IF($N2957="","",IFERROR(IF(VLOOKUP(INDEX(LdBMember,$N2957),AcctTblE,4,0)="","(بدون نام)",VLOOKUP(INDEX(LdBMember,$N2957),AcctTblE,4,0)),"—"))</f>
        <v/>
      </c>
      <c r="F2957" s="16">
        <f>IF($N2957="","",IF(INDEX(LdBAmt,$N2957)=0,"",INDEX(LdBAmt,$N2957)))</f>
        <v/>
      </c>
      <c r="G2957" s="30">
        <f>IF($N2957="","",IF(INDEX(LdBNote,$N2957)="","—",INDEX(LdBNote,$N2957)))</f>
        <v/>
      </c>
      <c r="N2957">
        <f>IFERROR(MATCH($C$5&amp;"|"&amp;RIGHT("000000"&amp;937,6),LdBKeyG,0),"")</f>
        <v/>
      </c>
    </row>
    <row r="2958">
      <c r="A2958" s="19" t="n">
        <v>938</v>
      </c>
      <c r="B2958" s="20">
        <f>IF($N2958="","",INDEX(LdBDate,$N2958))</f>
        <v/>
      </c>
      <c r="C2958" s="20">
        <f>IF($N2958="","",IF(INDEX(LdBId,$N2958)="","—",INDEX(LdBId,$N2958)))</f>
        <v/>
      </c>
      <c r="D2958" s="20">
        <f>IF($N2958="","",INDEX(LdBMember,$N2958))</f>
        <v/>
      </c>
      <c r="E2958" s="20">
        <f>IF($N2958="","",IFERROR(IF(VLOOKUP(INDEX(LdBMember,$N2958),AcctTblE,4,0)="","(بدون نام)",VLOOKUP(INDEX(LdBMember,$N2958),AcctTblE,4,0)),"—"))</f>
        <v/>
      </c>
      <c r="F2958" s="21">
        <f>IF($N2958="","",IF(INDEX(LdBAmt,$N2958)=0,"",INDEX(LdBAmt,$N2958)))</f>
        <v/>
      </c>
      <c r="G2958" s="32">
        <f>IF($N2958="","",IF(INDEX(LdBNote,$N2958)="","—",INDEX(LdBNote,$N2958)))</f>
        <v/>
      </c>
      <c r="N2958">
        <f>IFERROR(MATCH($C$5&amp;"|"&amp;RIGHT("000000"&amp;938,6),LdBKeyG,0),"")</f>
        <v/>
      </c>
    </row>
    <row r="2959">
      <c r="A2959" s="10" t="n">
        <v>939</v>
      </c>
      <c r="B2959" s="14">
        <f>IF($N2959="","",INDEX(LdBDate,$N2959))</f>
        <v/>
      </c>
      <c r="C2959" s="14">
        <f>IF($N2959="","",IF(INDEX(LdBId,$N2959)="","—",INDEX(LdBId,$N2959)))</f>
        <v/>
      </c>
      <c r="D2959" s="14">
        <f>IF($N2959="","",INDEX(LdBMember,$N2959))</f>
        <v/>
      </c>
      <c r="E2959" s="14">
        <f>IF($N2959="","",IFERROR(IF(VLOOKUP(INDEX(LdBMember,$N2959),AcctTblE,4,0)="","(بدون نام)",VLOOKUP(INDEX(LdBMember,$N2959),AcctTblE,4,0)),"—"))</f>
        <v/>
      </c>
      <c r="F2959" s="16">
        <f>IF($N2959="","",IF(INDEX(LdBAmt,$N2959)=0,"",INDEX(LdBAmt,$N2959)))</f>
        <v/>
      </c>
      <c r="G2959" s="30">
        <f>IF($N2959="","",IF(INDEX(LdBNote,$N2959)="","—",INDEX(LdBNote,$N2959)))</f>
        <v/>
      </c>
      <c r="N2959">
        <f>IFERROR(MATCH($C$5&amp;"|"&amp;RIGHT("000000"&amp;939,6),LdBKeyG,0),"")</f>
        <v/>
      </c>
    </row>
    <row r="2960">
      <c r="A2960" s="19" t="n">
        <v>940</v>
      </c>
      <c r="B2960" s="20">
        <f>IF($N2960="","",INDEX(LdBDate,$N2960))</f>
        <v/>
      </c>
      <c r="C2960" s="20">
        <f>IF($N2960="","",IF(INDEX(LdBId,$N2960)="","—",INDEX(LdBId,$N2960)))</f>
        <v/>
      </c>
      <c r="D2960" s="20">
        <f>IF($N2960="","",INDEX(LdBMember,$N2960))</f>
        <v/>
      </c>
      <c r="E2960" s="20">
        <f>IF($N2960="","",IFERROR(IF(VLOOKUP(INDEX(LdBMember,$N2960),AcctTblE,4,0)="","(بدون نام)",VLOOKUP(INDEX(LdBMember,$N2960),AcctTblE,4,0)),"—"))</f>
        <v/>
      </c>
      <c r="F2960" s="21">
        <f>IF($N2960="","",IF(INDEX(LdBAmt,$N2960)=0,"",INDEX(LdBAmt,$N2960)))</f>
        <v/>
      </c>
      <c r="G2960" s="32">
        <f>IF($N2960="","",IF(INDEX(LdBNote,$N2960)="","—",INDEX(LdBNote,$N2960)))</f>
        <v/>
      </c>
      <c r="N2960">
        <f>IFERROR(MATCH($C$5&amp;"|"&amp;RIGHT("000000"&amp;940,6),LdBKeyG,0),"")</f>
        <v/>
      </c>
    </row>
    <row r="2961">
      <c r="A2961" s="10" t="n">
        <v>941</v>
      </c>
      <c r="B2961" s="14">
        <f>IF($N2961="","",INDEX(LdBDate,$N2961))</f>
        <v/>
      </c>
      <c r="C2961" s="14">
        <f>IF($N2961="","",IF(INDEX(LdBId,$N2961)="","—",INDEX(LdBId,$N2961)))</f>
        <v/>
      </c>
      <c r="D2961" s="14">
        <f>IF($N2961="","",INDEX(LdBMember,$N2961))</f>
        <v/>
      </c>
      <c r="E2961" s="14">
        <f>IF($N2961="","",IFERROR(IF(VLOOKUP(INDEX(LdBMember,$N2961),AcctTblE,4,0)="","(بدون نام)",VLOOKUP(INDEX(LdBMember,$N2961),AcctTblE,4,0)),"—"))</f>
        <v/>
      </c>
      <c r="F2961" s="16">
        <f>IF($N2961="","",IF(INDEX(LdBAmt,$N2961)=0,"",INDEX(LdBAmt,$N2961)))</f>
        <v/>
      </c>
      <c r="G2961" s="30">
        <f>IF($N2961="","",IF(INDEX(LdBNote,$N2961)="","—",INDEX(LdBNote,$N2961)))</f>
        <v/>
      </c>
      <c r="N2961">
        <f>IFERROR(MATCH($C$5&amp;"|"&amp;RIGHT("000000"&amp;941,6),LdBKeyG,0),"")</f>
        <v/>
      </c>
    </row>
    <row r="2962">
      <c r="A2962" s="19" t="n">
        <v>942</v>
      </c>
      <c r="B2962" s="20">
        <f>IF($N2962="","",INDEX(LdBDate,$N2962))</f>
        <v/>
      </c>
      <c r="C2962" s="20">
        <f>IF($N2962="","",IF(INDEX(LdBId,$N2962)="","—",INDEX(LdBId,$N2962)))</f>
        <v/>
      </c>
      <c r="D2962" s="20">
        <f>IF($N2962="","",INDEX(LdBMember,$N2962))</f>
        <v/>
      </c>
      <c r="E2962" s="20">
        <f>IF($N2962="","",IFERROR(IF(VLOOKUP(INDEX(LdBMember,$N2962),AcctTblE,4,0)="","(بدون نام)",VLOOKUP(INDEX(LdBMember,$N2962),AcctTblE,4,0)),"—"))</f>
        <v/>
      </c>
      <c r="F2962" s="21">
        <f>IF($N2962="","",IF(INDEX(LdBAmt,$N2962)=0,"",INDEX(LdBAmt,$N2962)))</f>
        <v/>
      </c>
      <c r="G2962" s="32">
        <f>IF($N2962="","",IF(INDEX(LdBNote,$N2962)="","—",INDEX(LdBNote,$N2962)))</f>
        <v/>
      </c>
      <c r="N2962">
        <f>IFERROR(MATCH($C$5&amp;"|"&amp;RIGHT("000000"&amp;942,6),LdBKeyG,0),"")</f>
        <v/>
      </c>
    </row>
    <row r="2963">
      <c r="A2963" s="10" t="n">
        <v>943</v>
      </c>
      <c r="B2963" s="14">
        <f>IF($N2963="","",INDEX(LdBDate,$N2963))</f>
        <v/>
      </c>
      <c r="C2963" s="14">
        <f>IF($N2963="","",IF(INDEX(LdBId,$N2963)="","—",INDEX(LdBId,$N2963)))</f>
        <v/>
      </c>
      <c r="D2963" s="14">
        <f>IF($N2963="","",INDEX(LdBMember,$N2963))</f>
        <v/>
      </c>
      <c r="E2963" s="14">
        <f>IF($N2963="","",IFERROR(IF(VLOOKUP(INDEX(LdBMember,$N2963),AcctTblE,4,0)="","(بدون نام)",VLOOKUP(INDEX(LdBMember,$N2963),AcctTblE,4,0)),"—"))</f>
        <v/>
      </c>
      <c r="F2963" s="16">
        <f>IF($N2963="","",IF(INDEX(LdBAmt,$N2963)=0,"",INDEX(LdBAmt,$N2963)))</f>
        <v/>
      </c>
      <c r="G2963" s="30">
        <f>IF($N2963="","",IF(INDEX(LdBNote,$N2963)="","—",INDEX(LdBNote,$N2963)))</f>
        <v/>
      </c>
      <c r="N2963">
        <f>IFERROR(MATCH($C$5&amp;"|"&amp;RIGHT("000000"&amp;943,6),LdBKeyG,0),"")</f>
        <v/>
      </c>
    </row>
    <row r="2964">
      <c r="A2964" s="19" t="n">
        <v>944</v>
      </c>
      <c r="B2964" s="20">
        <f>IF($N2964="","",INDEX(LdBDate,$N2964))</f>
        <v/>
      </c>
      <c r="C2964" s="20">
        <f>IF($N2964="","",IF(INDEX(LdBId,$N2964)="","—",INDEX(LdBId,$N2964)))</f>
        <v/>
      </c>
      <c r="D2964" s="20">
        <f>IF($N2964="","",INDEX(LdBMember,$N2964))</f>
        <v/>
      </c>
      <c r="E2964" s="20">
        <f>IF($N2964="","",IFERROR(IF(VLOOKUP(INDEX(LdBMember,$N2964),AcctTblE,4,0)="","(بدون نام)",VLOOKUP(INDEX(LdBMember,$N2964),AcctTblE,4,0)),"—"))</f>
        <v/>
      </c>
      <c r="F2964" s="21">
        <f>IF($N2964="","",IF(INDEX(LdBAmt,$N2964)=0,"",INDEX(LdBAmt,$N2964)))</f>
        <v/>
      </c>
      <c r="G2964" s="32">
        <f>IF($N2964="","",IF(INDEX(LdBNote,$N2964)="","—",INDEX(LdBNote,$N2964)))</f>
        <v/>
      </c>
      <c r="N2964">
        <f>IFERROR(MATCH($C$5&amp;"|"&amp;RIGHT("000000"&amp;944,6),LdBKeyG,0),"")</f>
        <v/>
      </c>
    </row>
    <row r="2965">
      <c r="A2965" s="10" t="n">
        <v>945</v>
      </c>
      <c r="B2965" s="14">
        <f>IF($N2965="","",INDEX(LdBDate,$N2965))</f>
        <v/>
      </c>
      <c r="C2965" s="14">
        <f>IF($N2965="","",IF(INDEX(LdBId,$N2965)="","—",INDEX(LdBId,$N2965)))</f>
        <v/>
      </c>
      <c r="D2965" s="14">
        <f>IF($N2965="","",INDEX(LdBMember,$N2965))</f>
        <v/>
      </c>
      <c r="E2965" s="14">
        <f>IF($N2965="","",IFERROR(IF(VLOOKUP(INDEX(LdBMember,$N2965),AcctTblE,4,0)="","(بدون نام)",VLOOKUP(INDEX(LdBMember,$N2965),AcctTblE,4,0)),"—"))</f>
        <v/>
      </c>
      <c r="F2965" s="16">
        <f>IF($N2965="","",IF(INDEX(LdBAmt,$N2965)=0,"",INDEX(LdBAmt,$N2965)))</f>
        <v/>
      </c>
      <c r="G2965" s="30">
        <f>IF($N2965="","",IF(INDEX(LdBNote,$N2965)="","—",INDEX(LdBNote,$N2965)))</f>
        <v/>
      </c>
      <c r="N2965">
        <f>IFERROR(MATCH($C$5&amp;"|"&amp;RIGHT("000000"&amp;945,6),LdBKeyG,0),"")</f>
        <v/>
      </c>
    </row>
    <row r="2966">
      <c r="A2966" s="19" t="n">
        <v>946</v>
      </c>
      <c r="B2966" s="20">
        <f>IF($N2966="","",INDEX(LdBDate,$N2966))</f>
        <v/>
      </c>
      <c r="C2966" s="20">
        <f>IF($N2966="","",IF(INDEX(LdBId,$N2966)="","—",INDEX(LdBId,$N2966)))</f>
        <v/>
      </c>
      <c r="D2966" s="20">
        <f>IF($N2966="","",INDEX(LdBMember,$N2966))</f>
        <v/>
      </c>
      <c r="E2966" s="20">
        <f>IF($N2966="","",IFERROR(IF(VLOOKUP(INDEX(LdBMember,$N2966),AcctTblE,4,0)="","(بدون نام)",VLOOKUP(INDEX(LdBMember,$N2966),AcctTblE,4,0)),"—"))</f>
        <v/>
      </c>
      <c r="F2966" s="21">
        <f>IF($N2966="","",IF(INDEX(LdBAmt,$N2966)=0,"",INDEX(LdBAmt,$N2966)))</f>
        <v/>
      </c>
      <c r="G2966" s="32">
        <f>IF($N2966="","",IF(INDEX(LdBNote,$N2966)="","—",INDEX(LdBNote,$N2966)))</f>
        <v/>
      </c>
      <c r="N2966">
        <f>IFERROR(MATCH($C$5&amp;"|"&amp;RIGHT("000000"&amp;946,6),LdBKeyG,0),"")</f>
        <v/>
      </c>
    </row>
    <row r="2967">
      <c r="A2967" s="10" t="n">
        <v>947</v>
      </c>
      <c r="B2967" s="14">
        <f>IF($N2967="","",INDEX(LdBDate,$N2967))</f>
        <v/>
      </c>
      <c r="C2967" s="14">
        <f>IF($N2967="","",IF(INDEX(LdBId,$N2967)="","—",INDEX(LdBId,$N2967)))</f>
        <v/>
      </c>
      <c r="D2967" s="14">
        <f>IF($N2967="","",INDEX(LdBMember,$N2967))</f>
        <v/>
      </c>
      <c r="E2967" s="14">
        <f>IF($N2967="","",IFERROR(IF(VLOOKUP(INDEX(LdBMember,$N2967),AcctTblE,4,0)="","(بدون نام)",VLOOKUP(INDEX(LdBMember,$N2967),AcctTblE,4,0)),"—"))</f>
        <v/>
      </c>
      <c r="F2967" s="16">
        <f>IF($N2967="","",IF(INDEX(LdBAmt,$N2967)=0,"",INDEX(LdBAmt,$N2967)))</f>
        <v/>
      </c>
      <c r="G2967" s="30">
        <f>IF($N2967="","",IF(INDEX(LdBNote,$N2967)="","—",INDEX(LdBNote,$N2967)))</f>
        <v/>
      </c>
      <c r="N2967">
        <f>IFERROR(MATCH($C$5&amp;"|"&amp;RIGHT("000000"&amp;947,6),LdBKeyG,0),"")</f>
        <v/>
      </c>
    </row>
    <row r="2968">
      <c r="A2968" s="19" t="n">
        <v>948</v>
      </c>
      <c r="B2968" s="20">
        <f>IF($N2968="","",INDEX(LdBDate,$N2968))</f>
        <v/>
      </c>
      <c r="C2968" s="20">
        <f>IF($N2968="","",IF(INDEX(LdBId,$N2968)="","—",INDEX(LdBId,$N2968)))</f>
        <v/>
      </c>
      <c r="D2968" s="20">
        <f>IF($N2968="","",INDEX(LdBMember,$N2968))</f>
        <v/>
      </c>
      <c r="E2968" s="20">
        <f>IF($N2968="","",IFERROR(IF(VLOOKUP(INDEX(LdBMember,$N2968),AcctTblE,4,0)="","(بدون نام)",VLOOKUP(INDEX(LdBMember,$N2968),AcctTblE,4,0)),"—"))</f>
        <v/>
      </c>
      <c r="F2968" s="21">
        <f>IF($N2968="","",IF(INDEX(LdBAmt,$N2968)=0,"",INDEX(LdBAmt,$N2968)))</f>
        <v/>
      </c>
      <c r="G2968" s="32">
        <f>IF($N2968="","",IF(INDEX(LdBNote,$N2968)="","—",INDEX(LdBNote,$N2968)))</f>
        <v/>
      </c>
      <c r="N2968">
        <f>IFERROR(MATCH($C$5&amp;"|"&amp;RIGHT("000000"&amp;948,6),LdBKeyG,0),"")</f>
        <v/>
      </c>
    </row>
    <row r="2969">
      <c r="A2969" s="10" t="n">
        <v>949</v>
      </c>
      <c r="B2969" s="14">
        <f>IF($N2969="","",INDEX(LdBDate,$N2969))</f>
        <v/>
      </c>
      <c r="C2969" s="14">
        <f>IF($N2969="","",IF(INDEX(LdBId,$N2969)="","—",INDEX(LdBId,$N2969)))</f>
        <v/>
      </c>
      <c r="D2969" s="14">
        <f>IF($N2969="","",INDEX(LdBMember,$N2969))</f>
        <v/>
      </c>
      <c r="E2969" s="14">
        <f>IF($N2969="","",IFERROR(IF(VLOOKUP(INDEX(LdBMember,$N2969),AcctTblE,4,0)="","(بدون نام)",VLOOKUP(INDEX(LdBMember,$N2969),AcctTblE,4,0)),"—"))</f>
        <v/>
      </c>
      <c r="F2969" s="16">
        <f>IF($N2969="","",IF(INDEX(LdBAmt,$N2969)=0,"",INDEX(LdBAmt,$N2969)))</f>
        <v/>
      </c>
      <c r="G2969" s="30">
        <f>IF($N2969="","",IF(INDEX(LdBNote,$N2969)="","—",INDEX(LdBNote,$N2969)))</f>
        <v/>
      </c>
      <c r="N2969">
        <f>IFERROR(MATCH($C$5&amp;"|"&amp;RIGHT("000000"&amp;949,6),LdBKeyG,0),"")</f>
        <v/>
      </c>
    </row>
    <row r="2970">
      <c r="A2970" s="19" t="n">
        <v>950</v>
      </c>
      <c r="B2970" s="20">
        <f>IF($N2970="","",INDEX(LdBDate,$N2970))</f>
        <v/>
      </c>
      <c r="C2970" s="20">
        <f>IF($N2970="","",IF(INDEX(LdBId,$N2970)="","—",INDEX(LdBId,$N2970)))</f>
        <v/>
      </c>
      <c r="D2970" s="20">
        <f>IF($N2970="","",INDEX(LdBMember,$N2970))</f>
        <v/>
      </c>
      <c r="E2970" s="20">
        <f>IF($N2970="","",IFERROR(IF(VLOOKUP(INDEX(LdBMember,$N2970),AcctTblE,4,0)="","(بدون نام)",VLOOKUP(INDEX(LdBMember,$N2970),AcctTblE,4,0)),"—"))</f>
        <v/>
      </c>
      <c r="F2970" s="21">
        <f>IF($N2970="","",IF(INDEX(LdBAmt,$N2970)=0,"",INDEX(LdBAmt,$N2970)))</f>
        <v/>
      </c>
      <c r="G2970" s="32">
        <f>IF($N2970="","",IF(INDEX(LdBNote,$N2970)="","—",INDEX(LdBNote,$N2970)))</f>
        <v/>
      </c>
      <c r="N2970">
        <f>IFERROR(MATCH($C$5&amp;"|"&amp;RIGHT("000000"&amp;950,6),LdBKeyG,0),"")</f>
        <v/>
      </c>
    </row>
    <row r="2971">
      <c r="A2971" s="10" t="n">
        <v>951</v>
      </c>
      <c r="B2971" s="14">
        <f>IF($N2971="","",INDEX(LdBDate,$N2971))</f>
        <v/>
      </c>
      <c r="C2971" s="14">
        <f>IF($N2971="","",IF(INDEX(LdBId,$N2971)="","—",INDEX(LdBId,$N2971)))</f>
        <v/>
      </c>
      <c r="D2971" s="14">
        <f>IF($N2971="","",INDEX(LdBMember,$N2971))</f>
        <v/>
      </c>
      <c r="E2971" s="14">
        <f>IF($N2971="","",IFERROR(IF(VLOOKUP(INDEX(LdBMember,$N2971),AcctTblE,4,0)="","(بدون نام)",VLOOKUP(INDEX(LdBMember,$N2971),AcctTblE,4,0)),"—"))</f>
        <v/>
      </c>
      <c r="F2971" s="16">
        <f>IF($N2971="","",IF(INDEX(LdBAmt,$N2971)=0,"",INDEX(LdBAmt,$N2971)))</f>
        <v/>
      </c>
      <c r="G2971" s="30">
        <f>IF($N2971="","",IF(INDEX(LdBNote,$N2971)="","—",INDEX(LdBNote,$N2971)))</f>
        <v/>
      </c>
      <c r="N2971">
        <f>IFERROR(MATCH($C$5&amp;"|"&amp;RIGHT("000000"&amp;951,6),LdBKeyG,0),"")</f>
        <v/>
      </c>
    </row>
    <row r="2972">
      <c r="A2972" s="19" t="n">
        <v>952</v>
      </c>
      <c r="B2972" s="20">
        <f>IF($N2972="","",INDEX(LdBDate,$N2972))</f>
        <v/>
      </c>
      <c r="C2972" s="20">
        <f>IF($N2972="","",IF(INDEX(LdBId,$N2972)="","—",INDEX(LdBId,$N2972)))</f>
        <v/>
      </c>
      <c r="D2972" s="20">
        <f>IF($N2972="","",INDEX(LdBMember,$N2972))</f>
        <v/>
      </c>
      <c r="E2972" s="20">
        <f>IF($N2972="","",IFERROR(IF(VLOOKUP(INDEX(LdBMember,$N2972),AcctTblE,4,0)="","(بدون نام)",VLOOKUP(INDEX(LdBMember,$N2972),AcctTblE,4,0)),"—"))</f>
        <v/>
      </c>
      <c r="F2972" s="21">
        <f>IF($N2972="","",IF(INDEX(LdBAmt,$N2972)=0,"",INDEX(LdBAmt,$N2972)))</f>
        <v/>
      </c>
      <c r="G2972" s="32">
        <f>IF($N2972="","",IF(INDEX(LdBNote,$N2972)="","—",INDEX(LdBNote,$N2972)))</f>
        <v/>
      </c>
      <c r="N2972">
        <f>IFERROR(MATCH($C$5&amp;"|"&amp;RIGHT("000000"&amp;952,6),LdBKeyG,0),"")</f>
        <v/>
      </c>
    </row>
    <row r="2973">
      <c r="A2973" s="10" t="n">
        <v>953</v>
      </c>
      <c r="B2973" s="14">
        <f>IF($N2973="","",INDEX(LdBDate,$N2973))</f>
        <v/>
      </c>
      <c r="C2973" s="14">
        <f>IF($N2973="","",IF(INDEX(LdBId,$N2973)="","—",INDEX(LdBId,$N2973)))</f>
        <v/>
      </c>
      <c r="D2973" s="14">
        <f>IF($N2973="","",INDEX(LdBMember,$N2973))</f>
        <v/>
      </c>
      <c r="E2973" s="14">
        <f>IF($N2973="","",IFERROR(IF(VLOOKUP(INDEX(LdBMember,$N2973),AcctTblE,4,0)="","(بدون نام)",VLOOKUP(INDEX(LdBMember,$N2973),AcctTblE,4,0)),"—"))</f>
        <v/>
      </c>
      <c r="F2973" s="16">
        <f>IF($N2973="","",IF(INDEX(LdBAmt,$N2973)=0,"",INDEX(LdBAmt,$N2973)))</f>
        <v/>
      </c>
      <c r="G2973" s="30">
        <f>IF($N2973="","",IF(INDEX(LdBNote,$N2973)="","—",INDEX(LdBNote,$N2973)))</f>
        <v/>
      </c>
      <c r="N2973">
        <f>IFERROR(MATCH($C$5&amp;"|"&amp;RIGHT("000000"&amp;953,6),LdBKeyG,0),"")</f>
        <v/>
      </c>
    </row>
    <row r="2974">
      <c r="A2974" s="19" t="n">
        <v>954</v>
      </c>
      <c r="B2974" s="20">
        <f>IF($N2974="","",INDEX(LdBDate,$N2974))</f>
        <v/>
      </c>
      <c r="C2974" s="20">
        <f>IF($N2974="","",IF(INDEX(LdBId,$N2974)="","—",INDEX(LdBId,$N2974)))</f>
        <v/>
      </c>
      <c r="D2974" s="20">
        <f>IF($N2974="","",INDEX(LdBMember,$N2974))</f>
        <v/>
      </c>
      <c r="E2974" s="20">
        <f>IF($N2974="","",IFERROR(IF(VLOOKUP(INDEX(LdBMember,$N2974),AcctTblE,4,0)="","(بدون نام)",VLOOKUP(INDEX(LdBMember,$N2974),AcctTblE,4,0)),"—"))</f>
        <v/>
      </c>
      <c r="F2974" s="21">
        <f>IF($N2974="","",IF(INDEX(LdBAmt,$N2974)=0,"",INDEX(LdBAmt,$N2974)))</f>
        <v/>
      </c>
      <c r="G2974" s="32">
        <f>IF($N2974="","",IF(INDEX(LdBNote,$N2974)="","—",INDEX(LdBNote,$N2974)))</f>
        <v/>
      </c>
      <c r="N2974">
        <f>IFERROR(MATCH($C$5&amp;"|"&amp;RIGHT("000000"&amp;954,6),LdBKeyG,0),"")</f>
        <v/>
      </c>
    </row>
    <row r="2975">
      <c r="A2975" s="10" t="n">
        <v>955</v>
      </c>
      <c r="B2975" s="14">
        <f>IF($N2975="","",INDEX(LdBDate,$N2975))</f>
        <v/>
      </c>
      <c r="C2975" s="14">
        <f>IF($N2975="","",IF(INDEX(LdBId,$N2975)="","—",INDEX(LdBId,$N2975)))</f>
        <v/>
      </c>
      <c r="D2975" s="14">
        <f>IF($N2975="","",INDEX(LdBMember,$N2975))</f>
        <v/>
      </c>
      <c r="E2975" s="14">
        <f>IF($N2975="","",IFERROR(IF(VLOOKUP(INDEX(LdBMember,$N2975),AcctTblE,4,0)="","(بدون نام)",VLOOKUP(INDEX(LdBMember,$N2975),AcctTblE,4,0)),"—"))</f>
        <v/>
      </c>
      <c r="F2975" s="16">
        <f>IF($N2975="","",IF(INDEX(LdBAmt,$N2975)=0,"",INDEX(LdBAmt,$N2975)))</f>
        <v/>
      </c>
      <c r="G2975" s="30">
        <f>IF($N2975="","",IF(INDEX(LdBNote,$N2975)="","—",INDEX(LdBNote,$N2975)))</f>
        <v/>
      </c>
      <c r="N2975">
        <f>IFERROR(MATCH($C$5&amp;"|"&amp;RIGHT("000000"&amp;955,6),LdBKeyG,0),"")</f>
        <v/>
      </c>
    </row>
    <row r="2976">
      <c r="A2976" s="19" t="n">
        <v>956</v>
      </c>
      <c r="B2976" s="20">
        <f>IF($N2976="","",INDEX(LdBDate,$N2976))</f>
        <v/>
      </c>
      <c r="C2976" s="20">
        <f>IF($N2976="","",IF(INDEX(LdBId,$N2976)="","—",INDEX(LdBId,$N2976)))</f>
        <v/>
      </c>
      <c r="D2976" s="20">
        <f>IF($N2976="","",INDEX(LdBMember,$N2976))</f>
        <v/>
      </c>
      <c r="E2976" s="20">
        <f>IF($N2976="","",IFERROR(IF(VLOOKUP(INDEX(LdBMember,$N2976),AcctTblE,4,0)="","(بدون نام)",VLOOKUP(INDEX(LdBMember,$N2976),AcctTblE,4,0)),"—"))</f>
        <v/>
      </c>
      <c r="F2976" s="21">
        <f>IF($N2976="","",IF(INDEX(LdBAmt,$N2976)=0,"",INDEX(LdBAmt,$N2976)))</f>
        <v/>
      </c>
      <c r="G2976" s="32">
        <f>IF($N2976="","",IF(INDEX(LdBNote,$N2976)="","—",INDEX(LdBNote,$N2976)))</f>
        <v/>
      </c>
      <c r="N2976">
        <f>IFERROR(MATCH($C$5&amp;"|"&amp;RIGHT("000000"&amp;956,6),LdBKeyG,0),"")</f>
        <v/>
      </c>
    </row>
    <row r="2977">
      <c r="A2977" s="10" t="n">
        <v>957</v>
      </c>
      <c r="B2977" s="14">
        <f>IF($N2977="","",INDEX(LdBDate,$N2977))</f>
        <v/>
      </c>
      <c r="C2977" s="14">
        <f>IF($N2977="","",IF(INDEX(LdBId,$N2977)="","—",INDEX(LdBId,$N2977)))</f>
        <v/>
      </c>
      <c r="D2977" s="14">
        <f>IF($N2977="","",INDEX(LdBMember,$N2977))</f>
        <v/>
      </c>
      <c r="E2977" s="14">
        <f>IF($N2977="","",IFERROR(IF(VLOOKUP(INDEX(LdBMember,$N2977),AcctTblE,4,0)="","(بدون نام)",VLOOKUP(INDEX(LdBMember,$N2977),AcctTblE,4,0)),"—"))</f>
        <v/>
      </c>
      <c r="F2977" s="16">
        <f>IF($N2977="","",IF(INDEX(LdBAmt,$N2977)=0,"",INDEX(LdBAmt,$N2977)))</f>
        <v/>
      </c>
      <c r="G2977" s="30">
        <f>IF($N2977="","",IF(INDEX(LdBNote,$N2977)="","—",INDEX(LdBNote,$N2977)))</f>
        <v/>
      </c>
      <c r="N2977">
        <f>IFERROR(MATCH($C$5&amp;"|"&amp;RIGHT("000000"&amp;957,6),LdBKeyG,0),"")</f>
        <v/>
      </c>
    </row>
    <row r="2978">
      <c r="A2978" s="19" t="n">
        <v>958</v>
      </c>
      <c r="B2978" s="20">
        <f>IF($N2978="","",INDEX(LdBDate,$N2978))</f>
        <v/>
      </c>
      <c r="C2978" s="20">
        <f>IF($N2978="","",IF(INDEX(LdBId,$N2978)="","—",INDEX(LdBId,$N2978)))</f>
        <v/>
      </c>
      <c r="D2978" s="20">
        <f>IF($N2978="","",INDEX(LdBMember,$N2978))</f>
        <v/>
      </c>
      <c r="E2978" s="20">
        <f>IF($N2978="","",IFERROR(IF(VLOOKUP(INDEX(LdBMember,$N2978),AcctTblE,4,0)="","(بدون نام)",VLOOKUP(INDEX(LdBMember,$N2978),AcctTblE,4,0)),"—"))</f>
        <v/>
      </c>
      <c r="F2978" s="21">
        <f>IF($N2978="","",IF(INDEX(LdBAmt,$N2978)=0,"",INDEX(LdBAmt,$N2978)))</f>
        <v/>
      </c>
      <c r="G2978" s="32">
        <f>IF($N2978="","",IF(INDEX(LdBNote,$N2978)="","—",INDEX(LdBNote,$N2978)))</f>
        <v/>
      </c>
      <c r="N2978">
        <f>IFERROR(MATCH($C$5&amp;"|"&amp;RIGHT("000000"&amp;958,6),LdBKeyG,0),"")</f>
        <v/>
      </c>
    </row>
    <row r="2979">
      <c r="A2979" s="10" t="n">
        <v>959</v>
      </c>
      <c r="B2979" s="14">
        <f>IF($N2979="","",INDEX(LdBDate,$N2979))</f>
        <v/>
      </c>
      <c r="C2979" s="14">
        <f>IF($N2979="","",IF(INDEX(LdBId,$N2979)="","—",INDEX(LdBId,$N2979)))</f>
        <v/>
      </c>
      <c r="D2979" s="14">
        <f>IF($N2979="","",INDEX(LdBMember,$N2979))</f>
        <v/>
      </c>
      <c r="E2979" s="14">
        <f>IF($N2979="","",IFERROR(IF(VLOOKUP(INDEX(LdBMember,$N2979),AcctTblE,4,0)="","(بدون نام)",VLOOKUP(INDEX(LdBMember,$N2979),AcctTblE,4,0)),"—"))</f>
        <v/>
      </c>
      <c r="F2979" s="16">
        <f>IF($N2979="","",IF(INDEX(LdBAmt,$N2979)=0,"",INDEX(LdBAmt,$N2979)))</f>
        <v/>
      </c>
      <c r="G2979" s="30">
        <f>IF($N2979="","",IF(INDEX(LdBNote,$N2979)="","—",INDEX(LdBNote,$N2979)))</f>
        <v/>
      </c>
      <c r="N2979">
        <f>IFERROR(MATCH($C$5&amp;"|"&amp;RIGHT("000000"&amp;959,6),LdBKeyG,0),"")</f>
        <v/>
      </c>
    </row>
    <row r="2980">
      <c r="A2980" s="19" t="n">
        <v>960</v>
      </c>
      <c r="B2980" s="20">
        <f>IF($N2980="","",INDEX(LdBDate,$N2980))</f>
        <v/>
      </c>
      <c r="C2980" s="20">
        <f>IF($N2980="","",IF(INDEX(LdBId,$N2980)="","—",INDEX(LdBId,$N2980)))</f>
        <v/>
      </c>
      <c r="D2980" s="20">
        <f>IF($N2980="","",INDEX(LdBMember,$N2980))</f>
        <v/>
      </c>
      <c r="E2980" s="20">
        <f>IF($N2980="","",IFERROR(IF(VLOOKUP(INDEX(LdBMember,$N2980),AcctTblE,4,0)="","(بدون نام)",VLOOKUP(INDEX(LdBMember,$N2980),AcctTblE,4,0)),"—"))</f>
        <v/>
      </c>
      <c r="F2980" s="21">
        <f>IF($N2980="","",IF(INDEX(LdBAmt,$N2980)=0,"",INDEX(LdBAmt,$N2980)))</f>
        <v/>
      </c>
      <c r="G2980" s="32">
        <f>IF($N2980="","",IF(INDEX(LdBNote,$N2980)="","—",INDEX(LdBNote,$N2980)))</f>
        <v/>
      </c>
      <c r="N2980">
        <f>IFERROR(MATCH($C$5&amp;"|"&amp;RIGHT("000000"&amp;960,6),LdBKeyG,0),"")</f>
        <v/>
      </c>
    </row>
    <row r="2981">
      <c r="A2981" s="10" t="n">
        <v>961</v>
      </c>
      <c r="B2981" s="14">
        <f>IF($N2981="","",INDEX(LdBDate,$N2981))</f>
        <v/>
      </c>
      <c r="C2981" s="14">
        <f>IF($N2981="","",IF(INDEX(LdBId,$N2981)="","—",INDEX(LdBId,$N2981)))</f>
        <v/>
      </c>
      <c r="D2981" s="14">
        <f>IF($N2981="","",INDEX(LdBMember,$N2981))</f>
        <v/>
      </c>
      <c r="E2981" s="14">
        <f>IF($N2981="","",IFERROR(IF(VLOOKUP(INDEX(LdBMember,$N2981),AcctTblE,4,0)="","(بدون نام)",VLOOKUP(INDEX(LdBMember,$N2981),AcctTblE,4,0)),"—"))</f>
        <v/>
      </c>
      <c r="F2981" s="16">
        <f>IF($N2981="","",IF(INDEX(LdBAmt,$N2981)=0,"",INDEX(LdBAmt,$N2981)))</f>
        <v/>
      </c>
      <c r="G2981" s="30">
        <f>IF($N2981="","",IF(INDEX(LdBNote,$N2981)="","—",INDEX(LdBNote,$N2981)))</f>
        <v/>
      </c>
      <c r="N2981">
        <f>IFERROR(MATCH($C$5&amp;"|"&amp;RIGHT("000000"&amp;961,6),LdBKeyG,0),"")</f>
        <v/>
      </c>
    </row>
    <row r="2982">
      <c r="A2982" s="19" t="n">
        <v>962</v>
      </c>
      <c r="B2982" s="20">
        <f>IF($N2982="","",INDEX(LdBDate,$N2982))</f>
        <v/>
      </c>
      <c r="C2982" s="20">
        <f>IF($N2982="","",IF(INDEX(LdBId,$N2982)="","—",INDEX(LdBId,$N2982)))</f>
        <v/>
      </c>
      <c r="D2982" s="20">
        <f>IF($N2982="","",INDEX(LdBMember,$N2982))</f>
        <v/>
      </c>
      <c r="E2982" s="20">
        <f>IF($N2982="","",IFERROR(IF(VLOOKUP(INDEX(LdBMember,$N2982),AcctTblE,4,0)="","(بدون نام)",VLOOKUP(INDEX(LdBMember,$N2982),AcctTblE,4,0)),"—"))</f>
        <v/>
      </c>
      <c r="F2982" s="21">
        <f>IF($N2982="","",IF(INDEX(LdBAmt,$N2982)=0,"",INDEX(LdBAmt,$N2982)))</f>
        <v/>
      </c>
      <c r="G2982" s="32">
        <f>IF($N2982="","",IF(INDEX(LdBNote,$N2982)="","—",INDEX(LdBNote,$N2982)))</f>
        <v/>
      </c>
      <c r="N2982">
        <f>IFERROR(MATCH($C$5&amp;"|"&amp;RIGHT("000000"&amp;962,6),LdBKeyG,0),"")</f>
        <v/>
      </c>
    </row>
    <row r="2983">
      <c r="A2983" s="10" t="n">
        <v>963</v>
      </c>
      <c r="B2983" s="14">
        <f>IF($N2983="","",INDEX(LdBDate,$N2983))</f>
        <v/>
      </c>
      <c r="C2983" s="14">
        <f>IF($N2983="","",IF(INDEX(LdBId,$N2983)="","—",INDEX(LdBId,$N2983)))</f>
        <v/>
      </c>
      <c r="D2983" s="14">
        <f>IF($N2983="","",INDEX(LdBMember,$N2983))</f>
        <v/>
      </c>
      <c r="E2983" s="14">
        <f>IF($N2983="","",IFERROR(IF(VLOOKUP(INDEX(LdBMember,$N2983),AcctTblE,4,0)="","(بدون نام)",VLOOKUP(INDEX(LdBMember,$N2983),AcctTblE,4,0)),"—"))</f>
        <v/>
      </c>
      <c r="F2983" s="16">
        <f>IF($N2983="","",IF(INDEX(LdBAmt,$N2983)=0,"",INDEX(LdBAmt,$N2983)))</f>
        <v/>
      </c>
      <c r="G2983" s="30">
        <f>IF($N2983="","",IF(INDEX(LdBNote,$N2983)="","—",INDEX(LdBNote,$N2983)))</f>
        <v/>
      </c>
      <c r="N2983">
        <f>IFERROR(MATCH($C$5&amp;"|"&amp;RIGHT("000000"&amp;963,6),LdBKeyG,0),"")</f>
        <v/>
      </c>
    </row>
    <row r="2984">
      <c r="A2984" s="19" t="n">
        <v>964</v>
      </c>
      <c r="B2984" s="20">
        <f>IF($N2984="","",INDEX(LdBDate,$N2984))</f>
        <v/>
      </c>
      <c r="C2984" s="20">
        <f>IF($N2984="","",IF(INDEX(LdBId,$N2984)="","—",INDEX(LdBId,$N2984)))</f>
        <v/>
      </c>
      <c r="D2984" s="20">
        <f>IF($N2984="","",INDEX(LdBMember,$N2984))</f>
        <v/>
      </c>
      <c r="E2984" s="20">
        <f>IF($N2984="","",IFERROR(IF(VLOOKUP(INDEX(LdBMember,$N2984),AcctTblE,4,0)="","(بدون نام)",VLOOKUP(INDEX(LdBMember,$N2984),AcctTblE,4,0)),"—"))</f>
        <v/>
      </c>
      <c r="F2984" s="21">
        <f>IF($N2984="","",IF(INDEX(LdBAmt,$N2984)=0,"",INDEX(LdBAmt,$N2984)))</f>
        <v/>
      </c>
      <c r="G2984" s="32">
        <f>IF($N2984="","",IF(INDEX(LdBNote,$N2984)="","—",INDEX(LdBNote,$N2984)))</f>
        <v/>
      </c>
      <c r="N2984">
        <f>IFERROR(MATCH($C$5&amp;"|"&amp;RIGHT("000000"&amp;964,6),LdBKeyG,0),"")</f>
        <v/>
      </c>
    </row>
    <row r="2985">
      <c r="A2985" s="10" t="n">
        <v>965</v>
      </c>
      <c r="B2985" s="14">
        <f>IF($N2985="","",INDEX(LdBDate,$N2985))</f>
        <v/>
      </c>
      <c r="C2985" s="14">
        <f>IF($N2985="","",IF(INDEX(LdBId,$N2985)="","—",INDEX(LdBId,$N2985)))</f>
        <v/>
      </c>
      <c r="D2985" s="14">
        <f>IF($N2985="","",INDEX(LdBMember,$N2985))</f>
        <v/>
      </c>
      <c r="E2985" s="14">
        <f>IF($N2985="","",IFERROR(IF(VLOOKUP(INDEX(LdBMember,$N2985),AcctTblE,4,0)="","(بدون نام)",VLOOKUP(INDEX(LdBMember,$N2985),AcctTblE,4,0)),"—"))</f>
        <v/>
      </c>
      <c r="F2985" s="16">
        <f>IF($N2985="","",IF(INDEX(LdBAmt,$N2985)=0,"",INDEX(LdBAmt,$N2985)))</f>
        <v/>
      </c>
      <c r="G2985" s="30">
        <f>IF($N2985="","",IF(INDEX(LdBNote,$N2985)="","—",INDEX(LdBNote,$N2985)))</f>
        <v/>
      </c>
      <c r="N2985">
        <f>IFERROR(MATCH($C$5&amp;"|"&amp;RIGHT("000000"&amp;965,6),LdBKeyG,0),"")</f>
        <v/>
      </c>
    </row>
    <row r="2986">
      <c r="A2986" s="19" t="n">
        <v>966</v>
      </c>
      <c r="B2986" s="20">
        <f>IF($N2986="","",INDEX(LdBDate,$N2986))</f>
        <v/>
      </c>
      <c r="C2986" s="20">
        <f>IF($N2986="","",IF(INDEX(LdBId,$N2986)="","—",INDEX(LdBId,$N2986)))</f>
        <v/>
      </c>
      <c r="D2986" s="20">
        <f>IF($N2986="","",INDEX(LdBMember,$N2986))</f>
        <v/>
      </c>
      <c r="E2986" s="20">
        <f>IF($N2986="","",IFERROR(IF(VLOOKUP(INDEX(LdBMember,$N2986),AcctTblE,4,0)="","(بدون نام)",VLOOKUP(INDEX(LdBMember,$N2986),AcctTblE,4,0)),"—"))</f>
        <v/>
      </c>
      <c r="F2986" s="21">
        <f>IF($N2986="","",IF(INDEX(LdBAmt,$N2986)=0,"",INDEX(LdBAmt,$N2986)))</f>
        <v/>
      </c>
      <c r="G2986" s="32">
        <f>IF($N2986="","",IF(INDEX(LdBNote,$N2986)="","—",INDEX(LdBNote,$N2986)))</f>
        <v/>
      </c>
      <c r="N2986">
        <f>IFERROR(MATCH($C$5&amp;"|"&amp;RIGHT("000000"&amp;966,6),LdBKeyG,0),"")</f>
        <v/>
      </c>
    </row>
    <row r="2987">
      <c r="A2987" s="10" t="n">
        <v>967</v>
      </c>
      <c r="B2987" s="14">
        <f>IF($N2987="","",INDEX(LdBDate,$N2987))</f>
        <v/>
      </c>
      <c r="C2987" s="14">
        <f>IF($N2987="","",IF(INDEX(LdBId,$N2987)="","—",INDEX(LdBId,$N2987)))</f>
        <v/>
      </c>
      <c r="D2987" s="14">
        <f>IF($N2987="","",INDEX(LdBMember,$N2987))</f>
        <v/>
      </c>
      <c r="E2987" s="14">
        <f>IF($N2987="","",IFERROR(IF(VLOOKUP(INDEX(LdBMember,$N2987),AcctTblE,4,0)="","(بدون نام)",VLOOKUP(INDEX(LdBMember,$N2987),AcctTblE,4,0)),"—"))</f>
        <v/>
      </c>
      <c r="F2987" s="16">
        <f>IF($N2987="","",IF(INDEX(LdBAmt,$N2987)=0,"",INDEX(LdBAmt,$N2987)))</f>
        <v/>
      </c>
      <c r="G2987" s="30">
        <f>IF($N2987="","",IF(INDEX(LdBNote,$N2987)="","—",INDEX(LdBNote,$N2987)))</f>
        <v/>
      </c>
      <c r="N2987">
        <f>IFERROR(MATCH($C$5&amp;"|"&amp;RIGHT("000000"&amp;967,6),LdBKeyG,0),"")</f>
        <v/>
      </c>
    </row>
    <row r="2988">
      <c r="A2988" s="19" t="n">
        <v>968</v>
      </c>
      <c r="B2988" s="20">
        <f>IF($N2988="","",INDEX(LdBDate,$N2988))</f>
        <v/>
      </c>
      <c r="C2988" s="20">
        <f>IF($N2988="","",IF(INDEX(LdBId,$N2988)="","—",INDEX(LdBId,$N2988)))</f>
        <v/>
      </c>
      <c r="D2988" s="20">
        <f>IF($N2988="","",INDEX(LdBMember,$N2988))</f>
        <v/>
      </c>
      <c r="E2988" s="20">
        <f>IF($N2988="","",IFERROR(IF(VLOOKUP(INDEX(LdBMember,$N2988),AcctTblE,4,0)="","(بدون نام)",VLOOKUP(INDEX(LdBMember,$N2988),AcctTblE,4,0)),"—"))</f>
        <v/>
      </c>
      <c r="F2988" s="21">
        <f>IF($N2988="","",IF(INDEX(LdBAmt,$N2988)=0,"",INDEX(LdBAmt,$N2988)))</f>
        <v/>
      </c>
      <c r="G2988" s="32">
        <f>IF($N2988="","",IF(INDEX(LdBNote,$N2988)="","—",INDEX(LdBNote,$N2988)))</f>
        <v/>
      </c>
      <c r="N2988">
        <f>IFERROR(MATCH($C$5&amp;"|"&amp;RIGHT("000000"&amp;968,6),LdBKeyG,0),"")</f>
        <v/>
      </c>
    </row>
    <row r="2989">
      <c r="A2989" s="10" t="n">
        <v>969</v>
      </c>
      <c r="B2989" s="14">
        <f>IF($N2989="","",INDEX(LdBDate,$N2989))</f>
        <v/>
      </c>
      <c r="C2989" s="14">
        <f>IF($N2989="","",IF(INDEX(LdBId,$N2989)="","—",INDEX(LdBId,$N2989)))</f>
        <v/>
      </c>
      <c r="D2989" s="14">
        <f>IF($N2989="","",INDEX(LdBMember,$N2989))</f>
        <v/>
      </c>
      <c r="E2989" s="14">
        <f>IF($N2989="","",IFERROR(IF(VLOOKUP(INDEX(LdBMember,$N2989),AcctTblE,4,0)="","(بدون نام)",VLOOKUP(INDEX(LdBMember,$N2989),AcctTblE,4,0)),"—"))</f>
        <v/>
      </c>
      <c r="F2989" s="16">
        <f>IF($N2989="","",IF(INDEX(LdBAmt,$N2989)=0,"",INDEX(LdBAmt,$N2989)))</f>
        <v/>
      </c>
      <c r="G2989" s="30">
        <f>IF($N2989="","",IF(INDEX(LdBNote,$N2989)="","—",INDEX(LdBNote,$N2989)))</f>
        <v/>
      </c>
      <c r="N2989">
        <f>IFERROR(MATCH($C$5&amp;"|"&amp;RIGHT("000000"&amp;969,6),LdBKeyG,0),"")</f>
        <v/>
      </c>
    </row>
    <row r="2990">
      <c r="A2990" s="19" t="n">
        <v>970</v>
      </c>
      <c r="B2990" s="20">
        <f>IF($N2990="","",INDEX(LdBDate,$N2990))</f>
        <v/>
      </c>
      <c r="C2990" s="20">
        <f>IF($N2990="","",IF(INDEX(LdBId,$N2990)="","—",INDEX(LdBId,$N2990)))</f>
        <v/>
      </c>
      <c r="D2990" s="20">
        <f>IF($N2990="","",INDEX(LdBMember,$N2990))</f>
        <v/>
      </c>
      <c r="E2990" s="20">
        <f>IF($N2990="","",IFERROR(IF(VLOOKUP(INDEX(LdBMember,$N2990),AcctTblE,4,0)="","(بدون نام)",VLOOKUP(INDEX(LdBMember,$N2990),AcctTblE,4,0)),"—"))</f>
        <v/>
      </c>
      <c r="F2990" s="21">
        <f>IF($N2990="","",IF(INDEX(LdBAmt,$N2990)=0,"",INDEX(LdBAmt,$N2990)))</f>
        <v/>
      </c>
      <c r="G2990" s="32">
        <f>IF($N2990="","",IF(INDEX(LdBNote,$N2990)="","—",INDEX(LdBNote,$N2990)))</f>
        <v/>
      </c>
      <c r="N2990">
        <f>IFERROR(MATCH($C$5&amp;"|"&amp;RIGHT("000000"&amp;970,6),LdBKeyG,0),"")</f>
        <v/>
      </c>
    </row>
    <row r="2991">
      <c r="A2991" s="10" t="n">
        <v>971</v>
      </c>
      <c r="B2991" s="14">
        <f>IF($N2991="","",INDEX(LdBDate,$N2991))</f>
        <v/>
      </c>
      <c r="C2991" s="14">
        <f>IF($N2991="","",IF(INDEX(LdBId,$N2991)="","—",INDEX(LdBId,$N2991)))</f>
        <v/>
      </c>
      <c r="D2991" s="14">
        <f>IF($N2991="","",INDEX(LdBMember,$N2991))</f>
        <v/>
      </c>
      <c r="E2991" s="14">
        <f>IF($N2991="","",IFERROR(IF(VLOOKUP(INDEX(LdBMember,$N2991),AcctTblE,4,0)="","(بدون نام)",VLOOKUP(INDEX(LdBMember,$N2991),AcctTblE,4,0)),"—"))</f>
        <v/>
      </c>
      <c r="F2991" s="16">
        <f>IF($N2991="","",IF(INDEX(LdBAmt,$N2991)=0,"",INDEX(LdBAmt,$N2991)))</f>
        <v/>
      </c>
      <c r="G2991" s="30">
        <f>IF($N2991="","",IF(INDEX(LdBNote,$N2991)="","—",INDEX(LdBNote,$N2991)))</f>
        <v/>
      </c>
      <c r="N2991">
        <f>IFERROR(MATCH($C$5&amp;"|"&amp;RIGHT("000000"&amp;971,6),LdBKeyG,0),"")</f>
        <v/>
      </c>
    </row>
    <row r="2992">
      <c r="A2992" s="19" t="n">
        <v>972</v>
      </c>
      <c r="B2992" s="20">
        <f>IF($N2992="","",INDEX(LdBDate,$N2992))</f>
        <v/>
      </c>
      <c r="C2992" s="20">
        <f>IF($N2992="","",IF(INDEX(LdBId,$N2992)="","—",INDEX(LdBId,$N2992)))</f>
        <v/>
      </c>
      <c r="D2992" s="20">
        <f>IF($N2992="","",INDEX(LdBMember,$N2992))</f>
        <v/>
      </c>
      <c r="E2992" s="20">
        <f>IF($N2992="","",IFERROR(IF(VLOOKUP(INDEX(LdBMember,$N2992),AcctTblE,4,0)="","(بدون نام)",VLOOKUP(INDEX(LdBMember,$N2992),AcctTblE,4,0)),"—"))</f>
        <v/>
      </c>
      <c r="F2992" s="21">
        <f>IF($N2992="","",IF(INDEX(LdBAmt,$N2992)=0,"",INDEX(LdBAmt,$N2992)))</f>
        <v/>
      </c>
      <c r="G2992" s="32">
        <f>IF($N2992="","",IF(INDEX(LdBNote,$N2992)="","—",INDEX(LdBNote,$N2992)))</f>
        <v/>
      </c>
      <c r="N2992">
        <f>IFERROR(MATCH($C$5&amp;"|"&amp;RIGHT("000000"&amp;972,6),LdBKeyG,0),"")</f>
        <v/>
      </c>
    </row>
    <row r="2993">
      <c r="A2993" s="10" t="n">
        <v>973</v>
      </c>
      <c r="B2993" s="14">
        <f>IF($N2993="","",INDEX(LdBDate,$N2993))</f>
        <v/>
      </c>
      <c r="C2993" s="14">
        <f>IF($N2993="","",IF(INDEX(LdBId,$N2993)="","—",INDEX(LdBId,$N2993)))</f>
        <v/>
      </c>
      <c r="D2993" s="14">
        <f>IF($N2993="","",INDEX(LdBMember,$N2993))</f>
        <v/>
      </c>
      <c r="E2993" s="14">
        <f>IF($N2993="","",IFERROR(IF(VLOOKUP(INDEX(LdBMember,$N2993),AcctTblE,4,0)="","(بدون نام)",VLOOKUP(INDEX(LdBMember,$N2993),AcctTblE,4,0)),"—"))</f>
        <v/>
      </c>
      <c r="F2993" s="16">
        <f>IF($N2993="","",IF(INDEX(LdBAmt,$N2993)=0,"",INDEX(LdBAmt,$N2993)))</f>
        <v/>
      </c>
      <c r="G2993" s="30">
        <f>IF($N2993="","",IF(INDEX(LdBNote,$N2993)="","—",INDEX(LdBNote,$N2993)))</f>
        <v/>
      </c>
      <c r="N2993">
        <f>IFERROR(MATCH($C$5&amp;"|"&amp;RIGHT("000000"&amp;973,6),LdBKeyG,0),"")</f>
        <v/>
      </c>
    </row>
    <row r="2994">
      <c r="A2994" s="19" t="n">
        <v>974</v>
      </c>
      <c r="B2994" s="20">
        <f>IF($N2994="","",INDEX(LdBDate,$N2994))</f>
        <v/>
      </c>
      <c r="C2994" s="20">
        <f>IF($N2994="","",IF(INDEX(LdBId,$N2994)="","—",INDEX(LdBId,$N2994)))</f>
        <v/>
      </c>
      <c r="D2994" s="20">
        <f>IF($N2994="","",INDEX(LdBMember,$N2994))</f>
        <v/>
      </c>
      <c r="E2994" s="20">
        <f>IF($N2994="","",IFERROR(IF(VLOOKUP(INDEX(LdBMember,$N2994),AcctTblE,4,0)="","(بدون نام)",VLOOKUP(INDEX(LdBMember,$N2994),AcctTblE,4,0)),"—"))</f>
        <v/>
      </c>
      <c r="F2994" s="21">
        <f>IF($N2994="","",IF(INDEX(LdBAmt,$N2994)=0,"",INDEX(LdBAmt,$N2994)))</f>
        <v/>
      </c>
      <c r="G2994" s="32">
        <f>IF($N2994="","",IF(INDEX(LdBNote,$N2994)="","—",INDEX(LdBNote,$N2994)))</f>
        <v/>
      </c>
      <c r="N2994">
        <f>IFERROR(MATCH($C$5&amp;"|"&amp;RIGHT("000000"&amp;974,6),LdBKeyG,0),"")</f>
        <v/>
      </c>
    </row>
    <row r="2995">
      <c r="A2995" s="10" t="n">
        <v>975</v>
      </c>
      <c r="B2995" s="14">
        <f>IF($N2995="","",INDEX(LdBDate,$N2995))</f>
        <v/>
      </c>
      <c r="C2995" s="14">
        <f>IF($N2995="","",IF(INDEX(LdBId,$N2995)="","—",INDEX(LdBId,$N2995)))</f>
        <v/>
      </c>
      <c r="D2995" s="14">
        <f>IF($N2995="","",INDEX(LdBMember,$N2995))</f>
        <v/>
      </c>
      <c r="E2995" s="14">
        <f>IF($N2995="","",IFERROR(IF(VLOOKUP(INDEX(LdBMember,$N2995),AcctTblE,4,0)="","(بدون نام)",VLOOKUP(INDEX(LdBMember,$N2995),AcctTblE,4,0)),"—"))</f>
        <v/>
      </c>
      <c r="F2995" s="16">
        <f>IF($N2995="","",IF(INDEX(LdBAmt,$N2995)=0,"",INDEX(LdBAmt,$N2995)))</f>
        <v/>
      </c>
      <c r="G2995" s="30">
        <f>IF($N2995="","",IF(INDEX(LdBNote,$N2995)="","—",INDEX(LdBNote,$N2995)))</f>
        <v/>
      </c>
      <c r="N2995">
        <f>IFERROR(MATCH($C$5&amp;"|"&amp;RIGHT("000000"&amp;975,6),LdBKeyG,0),"")</f>
        <v/>
      </c>
    </row>
    <row r="2996">
      <c r="A2996" s="19" t="n">
        <v>976</v>
      </c>
      <c r="B2996" s="20">
        <f>IF($N2996="","",INDEX(LdBDate,$N2996))</f>
        <v/>
      </c>
      <c r="C2996" s="20">
        <f>IF($N2996="","",IF(INDEX(LdBId,$N2996)="","—",INDEX(LdBId,$N2996)))</f>
        <v/>
      </c>
      <c r="D2996" s="20">
        <f>IF($N2996="","",INDEX(LdBMember,$N2996))</f>
        <v/>
      </c>
      <c r="E2996" s="20">
        <f>IF($N2996="","",IFERROR(IF(VLOOKUP(INDEX(LdBMember,$N2996),AcctTblE,4,0)="","(بدون نام)",VLOOKUP(INDEX(LdBMember,$N2996),AcctTblE,4,0)),"—"))</f>
        <v/>
      </c>
      <c r="F2996" s="21">
        <f>IF($N2996="","",IF(INDEX(LdBAmt,$N2996)=0,"",INDEX(LdBAmt,$N2996)))</f>
        <v/>
      </c>
      <c r="G2996" s="32">
        <f>IF($N2996="","",IF(INDEX(LdBNote,$N2996)="","—",INDEX(LdBNote,$N2996)))</f>
        <v/>
      </c>
      <c r="N2996">
        <f>IFERROR(MATCH($C$5&amp;"|"&amp;RIGHT("000000"&amp;976,6),LdBKeyG,0),"")</f>
        <v/>
      </c>
    </row>
    <row r="2997">
      <c r="A2997" s="10" t="n">
        <v>977</v>
      </c>
      <c r="B2997" s="14">
        <f>IF($N2997="","",INDEX(LdBDate,$N2997))</f>
        <v/>
      </c>
      <c r="C2997" s="14">
        <f>IF($N2997="","",IF(INDEX(LdBId,$N2997)="","—",INDEX(LdBId,$N2997)))</f>
        <v/>
      </c>
      <c r="D2997" s="14">
        <f>IF($N2997="","",INDEX(LdBMember,$N2997))</f>
        <v/>
      </c>
      <c r="E2997" s="14">
        <f>IF($N2997="","",IFERROR(IF(VLOOKUP(INDEX(LdBMember,$N2997),AcctTblE,4,0)="","(بدون نام)",VLOOKUP(INDEX(LdBMember,$N2997),AcctTblE,4,0)),"—"))</f>
        <v/>
      </c>
      <c r="F2997" s="16">
        <f>IF($N2997="","",IF(INDEX(LdBAmt,$N2997)=0,"",INDEX(LdBAmt,$N2997)))</f>
        <v/>
      </c>
      <c r="G2997" s="30">
        <f>IF($N2997="","",IF(INDEX(LdBNote,$N2997)="","—",INDEX(LdBNote,$N2997)))</f>
        <v/>
      </c>
      <c r="N2997">
        <f>IFERROR(MATCH($C$5&amp;"|"&amp;RIGHT("000000"&amp;977,6),LdBKeyG,0),"")</f>
        <v/>
      </c>
    </row>
    <row r="2998">
      <c r="A2998" s="19" t="n">
        <v>978</v>
      </c>
      <c r="B2998" s="20">
        <f>IF($N2998="","",INDEX(LdBDate,$N2998))</f>
        <v/>
      </c>
      <c r="C2998" s="20">
        <f>IF($N2998="","",IF(INDEX(LdBId,$N2998)="","—",INDEX(LdBId,$N2998)))</f>
        <v/>
      </c>
      <c r="D2998" s="20">
        <f>IF($N2998="","",INDEX(LdBMember,$N2998))</f>
        <v/>
      </c>
      <c r="E2998" s="20">
        <f>IF($N2998="","",IFERROR(IF(VLOOKUP(INDEX(LdBMember,$N2998),AcctTblE,4,0)="","(بدون نام)",VLOOKUP(INDEX(LdBMember,$N2998),AcctTblE,4,0)),"—"))</f>
        <v/>
      </c>
      <c r="F2998" s="21">
        <f>IF($N2998="","",IF(INDEX(LdBAmt,$N2998)=0,"",INDEX(LdBAmt,$N2998)))</f>
        <v/>
      </c>
      <c r="G2998" s="32">
        <f>IF($N2998="","",IF(INDEX(LdBNote,$N2998)="","—",INDEX(LdBNote,$N2998)))</f>
        <v/>
      </c>
      <c r="N2998">
        <f>IFERROR(MATCH($C$5&amp;"|"&amp;RIGHT("000000"&amp;978,6),LdBKeyG,0),"")</f>
        <v/>
      </c>
    </row>
    <row r="2999">
      <c r="A2999" s="10" t="n">
        <v>979</v>
      </c>
      <c r="B2999" s="14">
        <f>IF($N2999="","",INDEX(LdBDate,$N2999))</f>
        <v/>
      </c>
      <c r="C2999" s="14">
        <f>IF($N2999="","",IF(INDEX(LdBId,$N2999)="","—",INDEX(LdBId,$N2999)))</f>
        <v/>
      </c>
      <c r="D2999" s="14">
        <f>IF($N2999="","",INDEX(LdBMember,$N2999))</f>
        <v/>
      </c>
      <c r="E2999" s="14">
        <f>IF($N2999="","",IFERROR(IF(VLOOKUP(INDEX(LdBMember,$N2999),AcctTblE,4,0)="","(بدون نام)",VLOOKUP(INDEX(LdBMember,$N2999),AcctTblE,4,0)),"—"))</f>
        <v/>
      </c>
      <c r="F2999" s="16">
        <f>IF($N2999="","",IF(INDEX(LdBAmt,$N2999)=0,"",INDEX(LdBAmt,$N2999)))</f>
        <v/>
      </c>
      <c r="G2999" s="30">
        <f>IF($N2999="","",IF(INDEX(LdBNote,$N2999)="","—",INDEX(LdBNote,$N2999)))</f>
        <v/>
      </c>
      <c r="N2999">
        <f>IFERROR(MATCH($C$5&amp;"|"&amp;RIGHT("000000"&amp;979,6),LdBKeyG,0),"")</f>
        <v/>
      </c>
    </row>
    <row r="3000">
      <c r="A3000" s="19" t="n">
        <v>980</v>
      </c>
      <c r="B3000" s="20">
        <f>IF($N3000="","",INDEX(LdBDate,$N3000))</f>
        <v/>
      </c>
      <c r="C3000" s="20">
        <f>IF($N3000="","",IF(INDEX(LdBId,$N3000)="","—",INDEX(LdBId,$N3000)))</f>
        <v/>
      </c>
      <c r="D3000" s="20">
        <f>IF($N3000="","",INDEX(LdBMember,$N3000))</f>
        <v/>
      </c>
      <c r="E3000" s="20">
        <f>IF($N3000="","",IFERROR(IF(VLOOKUP(INDEX(LdBMember,$N3000),AcctTblE,4,0)="","(بدون نام)",VLOOKUP(INDEX(LdBMember,$N3000),AcctTblE,4,0)),"—"))</f>
        <v/>
      </c>
      <c r="F3000" s="21">
        <f>IF($N3000="","",IF(INDEX(LdBAmt,$N3000)=0,"",INDEX(LdBAmt,$N3000)))</f>
        <v/>
      </c>
      <c r="G3000" s="32">
        <f>IF($N3000="","",IF(INDEX(LdBNote,$N3000)="","—",INDEX(LdBNote,$N3000)))</f>
        <v/>
      </c>
      <c r="N3000">
        <f>IFERROR(MATCH($C$5&amp;"|"&amp;RIGHT("000000"&amp;980,6),LdBKeyG,0),"")</f>
        <v/>
      </c>
    </row>
    <row r="3001">
      <c r="A3001" s="10" t="n">
        <v>981</v>
      </c>
      <c r="B3001" s="14">
        <f>IF($N3001="","",INDEX(LdBDate,$N3001))</f>
        <v/>
      </c>
      <c r="C3001" s="14">
        <f>IF($N3001="","",IF(INDEX(LdBId,$N3001)="","—",INDEX(LdBId,$N3001)))</f>
        <v/>
      </c>
      <c r="D3001" s="14">
        <f>IF($N3001="","",INDEX(LdBMember,$N3001))</f>
        <v/>
      </c>
      <c r="E3001" s="14">
        <f>IF($N3001="","",IFERROR(IF(VLOOKUP(INDEX(LdBMember,$N3001),AcctTblE,4,0)="","(بدون نام)",VLOOKUP(INDEX(LdBMember,$N3001),AcctTblE,4,0)),"—"))</f>
        <v/>
      </c>
      <c r="F3001" s="16">
        <f>IF($N3001="","",IF(INDEX(LdBAmt,$N3001)=0,"",INDEX(LdBAmt,$N3001)))</f>
        <v/>
      </c>
      <c r="G3001" s="30">
        <f>IF($N3001="","",IF(INDEX(LdBNote,$N3001)="","—",INDEX(LdBNote,$N3001)))</f>
        <v/>
      </c>
      <c r="N3001">
        <f>IFERROR(MATCH($C$5&amp;"|"&amp;RIGHT("000000"&amp;981,6),LdBKeyG,0),"")</f>
        <v/>
      </c>
    </row>
    <row r="3002">
      <c r="A3002" s="19" t="n">
        <v>982</v>
      </c>
      <c r="B3002" s="20">
        <f>IF($N3002="","",INDEX(LdBDate,$N3002))</f>
        <v/>
      </c>
      <c r="C3002" s="20">
        <f>IF($N3002="","",IF(INDEX(LdBId,$N3002)="","—",INDEX(LdBId,$N3002)))</f>
        <v/>
      </c>
      <c r="D3002" s="20">
        <f>IF($N3002="","",INDEX(LdBMember,$N3002))</f>
        <v/>
      </c>
      <c r="E3002" s="20">
        <f>IF($N3002="","",IFERROR(IF(VLOOKUP(INDEX(LdBMember,$N3002),AcctTblE,4,0)="","(بدون نام)",VLOOKUP(INDEX(LdBMember,$N3002),AcctTblE,4,0)),"—"))</f>
        <v/>
      </c>
      <c r="F3002" s="21">
        <f>IF($N3002="","",IF(INDEX(LdBAmt,$N3002)=0,"",INDEX(LdBAmt,$N3002)))</f>
        <v/>
      </c>
      <c r="G3002" s="32">
        <f>IF($N3002="","",IF(INDEX(LdBNote,$N3002)="","—",INDEX(LdBNote,$N3002)))</f>
        <v/>
      </c>
      <c r="N3002">
        <f>IFERROR(MATCH($C$5&amp;"|"&amp;RIGHT("000000"&amp;982,6),LdBKeyG,0),"")</f>
        <v/>
      </c>
    </row>
    <row r="3003">
      <c r="A3003" s="10" t="n">
        <v>983</v>
      </c>
      <c r="B3003" s="14">
        <f>IF($N3003="","",INDEX(LdBDate,$N3003))</f>
        <v/>
      </c>
      <c r="C3003" s="14">
        <f>IF($N3003="","",IF(INDEX(LdBId,$N3003)="","—",INDEX(LdBId,$N3003)))</f>
        <v/>
      </c>
      <c r="D3003" s="14">
        <f>IF($N3003="","",INDEX(LdBMember,$N3003))</f>
        <v/>
      </c>
      <c r="E3003" s="14">
        <f>IF($N3003="","",IFERROR(IF(VLOOKUP(INDEX(LdBMember,$N3003),AcctTblE,4,0)="","(بدون نام)",VLOOKUP(INDEX(LdBMember,$N3003),AcctTblE,4,0)),"—"))</f>
        <v/>
      </c>
      <c r="F3003" s="16">
        <f>IF($N3003="","",IF(INDEX(LdBAmt,$N3003)=0,"",INDEX(LdBAmt,$N3003)))</f>
        <v/>
      </c>
      <c r="G3003" s="30">
        <f>IF($N3003="","",IF(INDEX(LdBNote,$N3003)="","—",INDEX(LdBNote,$N3003)))</f>
        <v/>
      </c>
      <c r="N3003">
        <f>IFERROR(MATCH($C$5&amp;"|"&amp;RIGHT("000000"&amp;983,6),LdBKeyG,0),"")</f>
        <v/>
      </c>
    </row>
    <row r="3004">
      <c r="A3004" s="19" t="n">
        <v>984</v>
      </c>
      <c r="B3004" s="20">
        <f>IF($N3004="","",INDEX(LdBDate,$N3004))</f>
        <v/>
      </c>
      <c r="C3004" s="20">
        <f>IF($N3004="","",IF(INDEX(LdBId,$N3004)="","—",INDEX(LdBId,$N3004)))</f>
        <v/>
      </c>
      <c r="D3004" s="20">
        <f>IF($N3004="","",INDEX(LdBMember,$N3004))</f>
        <v/>
      </c>
      <c r="E3004" s="20">
        <f>IF($N3004="","",IFERROR(IF(VLOOKUP(INDEX(LdBMember,$N3004),AcctTblE,4,0)="","(بدون نام)",VLOOKUP(INDEX(LdBMember,$N3004),AcctTblE,4,0)),"—"))</f>
        <v/>
      </c>
      <c r="F3004" s="21">
        <f>IF($N3004="","",IF(INDEX(LdBAmt,$N3004)=0,"",INDEX(LdBAmt,$N3004)))</f>
        <v/>
      </c>
      <c r="G3004" s="32">
        <f>IF($N3004="","",IF(INDEX(LdBNote,$N3004)="","—",INDEX(LdBNote,$N3004)))</f>
        <v/>
      </c>
      <c r="N3004">
        <f>IFERROR(MATCH($C$5&amp;"|"&amp;RIGHT("000000"&amp;984,6),LdBKeyG,0),"")</f>
        <v/>
      </c>
    </row>
    <row r="3005">
      <c r="A3005" s="10" t="n">
        <v>985</v>
      </c>
      <c r="B3005" s="14">
        <f>IF($N3005="","",INDEX(LdBDate,$N3005))</f>
        <v/>
      </c>
      <c r="C3005" s="14">
        <f>IF($N3005="","",IF(INDEX(LdBId,$N3005)="","—",INDEX(LdBId,$N3005)))</f>
        <v/>
      </c>
      <c r="D3005" s="14">
        <f>IF($N3005="","",INDEX(LdBMember,$N3005))</f>
        <v/>
      </c>
      <c r="E3005" s="14">
        <f>IF($N3005="","",IFERROR(IF(VLOOKUP(INDEX(LdBMember,$N3005),AcctTblE,4,0)="","(بدون نام)",VLOOKUP(INDEX(LdBMember,$N3005),AcctTblE,4,0)),"—"))</f>
        <v/>
      </c>
      <c r="F3005" s="16">
        <f>IF($N3005="","",IF(INDEX(LdBAmt,$N3005)=0,"",INDEX(LdBAmt,$N3005)))</f>
        <v/>
      </c>
      <c r="G3005" s="30">
        <f>IF($N3005="","",IF(INDEX(LdBNote,$N3005)="","—",INDEX(LdBNote,$N3005)))</f>
        <v/>
      </c>
      <c r="N3005">
        <f>IFERROR(MATCH($C$5&amp;"|"&amp;RIGHT("000000"&amp;985,6),LdBKeyG,0),"")</f>
        <v/>
      </c>
    </row>
    <row r="3006">
      <c r="A3006" s="19" t="n">
        <v>986</v>
      </c>
      <c r="B3006" s="20">
        <f>IF($N3006="","",INDEX(LdBDate,$N3006))</f>
        <v/>
      </c>
      <c r="C3006" s="20">
        <f>IF($N3006="","",IF(INDEX(LdBId,$N3006)="","—",INDEX(LdBId,$N3006)))</f>
        <v/>
      </c>
      <c r="D3006" s="20">
        <f>IF($N3006="","",INDEX(LdBMember,$N3006))</f>
        <v/>
      </c>
      <c r="E3006" s="20">
        <f>IF($N3006="","",IFERROR(IF(VLOOKUP(INDEX(LdBMember,$N3006),AcctTblE,4,0)="","(بدون نام)",VLOOKUP(INDEX(LdBMember,$N3006),AcctTblE,4,0)),"—"))</f>
        <v/>
      </c>
      <c r="F3006" s="21">
        <f>IF($N3006="","",IF(INDEX(LdBAmt,$N3006)=0,"",INDEX(LdBAmt,$N3006)))</f>
        <v/>
      </c>
      <c r="G3006" s="32">
        <f>IF($N3006="","",IF(INDEX(LdBNote,$N3006)="","—",INDEX(LdBNote,$N3006)))</f>
        <v/>
      </c>
      <c r="N3006">
        <f>IFERROR(MATCH($C$5&amp;"|"&amp;RIGHT("000000"&amp;986,6),LdBKeyG,0),"")</f>
        <v/>
      </c>
    </row>
    <row r="3007">
      <c r="A3007" s="10" t="n">
        <v>987</v>
      </c>
      <c r="B3007" s="14">
        <f>IF($N3007="","",INDEX(LdBDate,$N3007))</f>
        <v/>
      </c>
      <c r="C3007" s="14">
        <f>IF($N3007="","",IF(INDEX(LdBId,$N3007)="","—",INDEX(LdBId,$N3007)))</f>
        <v/>
      </c>
      <c r="D3007" s="14">
        <f>IF($N3007="","",INDEX(LdBMember,$N3007))</f>
        <v/>
      </c>
      <c r="E3007" s="14">
        <f>IF($N3007="","",IFERROR(IF(VLOOKUP(INDEX(LdBMember,$N3007),AcctTblE,4,0)="","(بدون نام)",VLOOKUP(INDEX(LdBMember,$N3007),AcctTblE,4,0)),"—"))</f>
        <v/>
      </c>
      <c r="F3007" s="16">
        <f>IF($N3007="","",IF(INDEX(LdBAmt,$N3007)=0,"",INDEX(LdBAmt,$N3007)))</f>
        <v/>
      </c>
      <c r="G3007" s="30">
        <f>IF($N3007="","",IF(INDEX(LdBNote,$N3007)="","—",INDEX(LdBNote,$N3007)))</f>
        <v/>
      </c>
      <c r="N3007">
        <f>IFERROR(MATCH($C$5&amp;"|"&amp;RIGHT("000000"&amp;987,6),LdBKeyG,0),"")</f>
        <v/>
      </c>
    </row>
    <row r="3008">
      <c r="A3008" s="19" t="n">
        <v>988</v>
      </c>
      <c r="B3008" s="20">
        <f>IF($N3008="","",INDEX(LdBDate,$N3008))</f>
        <v/>
      </c>
      <c r="C3008" s="20">
        <f>IF($N3008="","",IF(INDEX(LdBId,$N3008)="","—",INDEX(LdBId,$N3008)))</f>
        <v/>
      </c>
      <c r="D3008" s="20">
        <f>IF($N3008="","",INDEX(LdBMember,$N3008))</f>
        <v/>
      </c>
      <c r="E3008" s="20">
        <f>IF($N3008="","",IFERROR(IF(VLOOKUP(INDEX(LdBMember,$N3008),AcctTblE,4,0)="","(بدون نام)",VLOOKUP(INDEX(LdBMember,$N3008),AcctTblE,4,0)),"—"))</f>
        <v/>
      </c>
      <c r="F3008" s="21">
        <f>IF($N3008="","",IF(INDEX(LdBAmt,$N3008)=0,"",INDEX(LdBAmt,$N3008)))</f>
        <v/>
      </c>
      <c r="G3008" s="32">
        <f>IF($N3008="","",IF(INDEX(LdBNote,$N3008)="","—",INDEX(LdBNote,$N3008)))</f>
        <v/>
      </c>
      <c r="N3008">
        <f>IFERROR(MATCH($C$5&amp;"|"&amp;RIGHT("000000"&amp;988,6),LdBKeyG,0),"")</f>
        <v/>
      </c>
    </row>
    <row r="3009">
      <c r="A3009" s="10" t="n">
        <v>989</v>
      </c>
      <c r="B3009" s="14">
        <f>IF($N3009="","",INDEX(LdBDate,$N3009))</f>
        <v/>
      </c>
      <c r="C3009" s="14">
        <f>IF($N3009="","",IF(INDEX(LdBId,$N3009)="","—",INDEX(LdBId,$N3009)))</f>
        <v/>
      </c>
      <c r="D3009" s="14">
        <f>IF($N3009="","",INDEX(LdBMember,$N3009))</f>
        <v/>
      </c>
      <c r="E3009" s="14">
        <f>IF($N3009="","",IFERROR(IF(VLOOKUP(INDEX(LdBMember,$N3009),AcctTblE,4,0)="","(بدون نام)",VLOOKUP(INDEX(LdBMember,$N3009),AcctTblE,4,0)),"—"))</f>
        <v/>
      </c>
      <c r="F3009" s="16">
        <f>IF($N3009="","",IF(INDEX(LdBAmt,$N3009)=0,"",INDEX(LdBAmt,$N3009)))</f>
        <v/>
      </c>
      <c r="G3009" s="30">
        <f>IF($N3009="","",IF(INDEX(LdBNote,$N3009)="","—",INDEX(LdBNote,$N3009)))</f>
        <v/>
      </c>
      <c r="N3009">
        <f>IFERROR(MATCH($C$5&amp;"|"&amp;RIGHT("000000"&amp;989,6),LdBKeyG,0),"")</f>
        <v/>
      </c>
    </row>
    <row r="3010">
      <c r="A3010" s="19" t="n">
        <v>990</v>
      </c>
      <c r="B3010" s="20">
        <f>IF($N3010="","",INDEX(LdBDate,$N3010))</f>
        <v/>
      </c>
      <c r="C3010" s="20">
        <f>IF($N3010="","",IF(INDEX(LdBId,$N3010)="","—",INDEX(LdBId,$N3010)))</f>
        <v/>
      </c>
      <c r="D3010" s="20">
        <f>IF($N3010="","",INDEX(LdBMember,$N3010))</f>
        <v/>
      </c>
      <c r="E3010" s="20">
        <f>IF($N3010="","",IFERROR(IF(VLOOKUP(INDEX(LdBMember,$N3010),AcctTblE,4,0)="","(بدون نام)",VLOOKUP(INDEX(LdBMember,$N3010),AcctTblE,4,0)),"—"))</f>
        <v/>
      </c>
      <c r="F3010" s="21">
        <f>IF($N3010="","",IF(INDEX(LdBAmt,$N3010)=0,"",INDEX(LdBAmt,$N3010)))</f>
        <v/>
      </c>
      <c r="G3010" s="32">
        <f>IF($N3010="","",IF(INDEX(LdBNote,$N3010)="","—",INDEX(LdBNote,$N3010)))</f>
        <v/>
      </c>
      <c r="N3010">
        <f>IFERROR(MATCH($C$5&amp;"|"&amp;RIGHT("000000"&amp;990,6),LdBKeyG,0),"")</f>
        <v/>
      </c>
    </row>
    <row r="3011">
      <c r="A3011" s="10" t="n">
        <v>991</v>
      </c>
      <c r="B3011" s="14">
        <f>IF($N3011="","",INDEX(LdBDate,$N3011))</f>
        <v/>
      </c>
      <c r="C3011" s="14">
        <f>IF($N3011="","",IF(INDEX(LdBId,$N3011)="","—",INDEX(LdBId,$N3011)))</f>
        <v/>
      </c>
      <c r="D3011" s="14">
        <f>IF($N3011="","",INDEX(LdBMember,$N3011))</f>
        <v/>
      </c>
      <c r="E3011" s="14">
        <f>IF($N3011="","",IFERROR(IF(VLOOKUP(INDEX(LdBMember,$N3011),AcctTblE,4,0)="","(بدون نام)",VLOOKUP(INDEX(LdBMember,$N3011),AcctTblE,4,0)),"—"))</f>
        <v/>
      </c>
      <c r="F3011" s="16">
        <f>IF($N3011="","",IF(INDEX(LdBAmt,$N3011)=0,"",INDEX(LdBAmt,$N3011)))</f>
        <v/>
      </c>
      <c r="G3011" s="30">
        <f>IF($N3011="","",IF(INDEX(LdBNote,$N3011)="","—",INDEX(LdBNote,$N3011)))</f>
        <v/>
      </c>
      <c r="N3011">
        <f>IFERROR(MATCH($C$5&amp;"|"&amp;RIGHT("000000"&amp;991,6),LdBKeyG,0),"")</f>
        <v/>
      </c>
    </row>
    <row r="3012">
      <c r="A3012" s="19" t="n">
        <v>992</v>
      </c>
      <c r="B3012" s="20">
        <f>IF($N3012="","",INDEX(LdBDate,$N3012))</f>
        <v/>
      </c>
      <c r="C3012" s="20">
        <f>IF($N3012="","",IF(INDEX(LdBId,$N3012)="","—",INDEX(LdBId,$N3012)))</f>
        <v/>
      </c>
      <c r="D3012" s="20">
        <f>IF($N3012="","",INDEX(LdBMember,$N3012))</f>
        <v/>
      </c>
      <c r="E3012" s="20">
        <f>IF($N3012="","",IFERROR(IF(VLOOKUP(INDEX(LdBMember,$N3012),AcctTblE,4,0)="","(بدون نام)",VLOOKUP(INDEX(LdBMember,$N3012),AcctTblE,4,0)),"—"))</f>
        <v/>
      </c>
      <c r="F3012" s="21">
        <f>IF($N3012="","",IF(INDEX(LdBAmt,$N3012)=0,"",INDEX(LdBAmt,$N3012)))</f>
        <v/>
      </c>
      <c r="G3012" s="32">
        <f>IF($N3012="","",IF(INDEX(LdBNote,$N3012)="","—",INDEX(LdBNote,$N3012)))</f>
        <v/>
      </c>
      <c r="N3012">
        <f>IFERROR(MATCH($C$5&amp;"|"&amp;RIGHT("000000"&amp;992,6),LdBKeyG,0),"")</f>
        <v/>
      </c>
    </row>
    <row r="3013">
      <c r="A3013" s="10" t="n">
        <v>993</v>
      </c>
      <c r="B3013" s="14">
        <f>IF($N3013="","",INDEX(LdBDate,$N3013))</f>
        <v/>
      </c>
      <c r="C3013" s="14">
        <f>IF($N3013="","",IF(INDEX(LdBId,$N3013)="","—",INDEX(LdBId,$N3013)))</f>
        <v/>
      </c>
      <c r="D3013" s="14">
        <f>IF($N3013="","",INDEX(LdBMember,$N3013))</f>
        <v/>
      </c>
      <c r="E3013" s="14">
        <f>IF($N3013="","",IFERROR(IF(VLOOKUP(INDEX(LdBMember,$N3013),AcctTblE,4,0)="","(بدون نام)",VLOOKUP(INDEX(LdBMember,$N3013),AcctTblE,4,0)),"—"))</f>
        <v/>
      </c>
      <c r="F3013" s="16">
        <f>IF($N3013="","",IF(INDEX(LdBAmt,$N3013)=0,"",INDEX(LdBAmt,$N3013)))</f>
        <v/>
      </c>
      <c r="G3013" s="30">
        <f>IF($N3013="","",IF(INDEX(LdBNote,$N3013)="","—",INDEX(LdBNote,$N3013)))</f>
        <v/>
      </c>
      <c r="N3013">
        <f>IFERROR(MATCH($C$5&amp;"|"&amp;RIGHT("000000"&amp;993,6),LdBKeyG,0),"")</f>
        <v/>
      </c>
    </row>
    <row r="3014">
      <c r="A3014" s="19" t="n">
        <v>994</v>
      </c>
      <c r="B3014" s="20">
        <f>IF($N3014="","",INDEX(LdBDate,$N3014))</f>
        <v/>
      </c>
      <c r="C3014" s="20">
        <f>IF($N3014="","",IF(INDEX(LdBId,$N3014)="","—",INDEX(LdBId,$N3014)))</f>
        <v/>
      </c>
      <c r="D3014" s="20">
        <f>IF($N3014="","",INDEX(LdBMember,$N3014))</f>
        <v/>
      </c>
      <c r="E3014" s="20">
        <f>IF($N3014="","",IFERROR(IF(VLOOKUP(INDEX(LdBMember,$N3014),AcctTblE,4,0)="","(بدون نام)",VLOOKUP(INDEX(LdBMember,$N3014),AcctTblE,4,0)),"—"))</f>
        <v/>
      </c>
      <c r="F3014" s="21">
        <f>IF($N3014="","",IF(INDEX(LdBAmt,$N3014)=0,"",INDEX(LdBAmt,$N3014)))</f>
        <v/>
      </c>
      <c r="G3014" s="32">
        <f>IF($N3014="","",IF(INDEX(LdBNote,$N3014)="","—",INDEX(LdBNote,$N3014)))</f>
        <v/>
      </c>
      <c r="N3014">
        <f>IFERROR(MATCH($C$5&amp;"|"&amp;RIGHT("000000"&amp;994,6),LdBKeyG,0),"")</f>
        <v/>
      </c>
    </row>
    <row r="3015">
      <c r="A3015" s="10" t="n">
        <v>995</v>
      </c>
      <c r="B3015" s="14">
        <f>IF($N3015="","",INDEX(LdBDate,$N3015))</f>
        <v/>
      </c>
      <c r="C3015" s="14">
        <f>IF($N3015="","",IF(INDEX(LdBId,$N3015)="","—",INDEX(LdBId,$N3015)))</f>
        <v/>
      </c>
      <c r="D3015" s="14">
        <f>IF($N3015="","",INDEX(LdBMember,$N3015))</f>
        <v/>
      </c>
      <c r="E3015" s="14">
        <f>IF($N3015="","",IFERROR(IF(VLOOKUP(INDEX(LdBMember,$N3015),AcctTblE,4,0)="","(بدون نام)",VLOOKUP(INDEX(LdBMember,$N3015),AcctTblE,4,0)),"—"))</f>
        <v/>
      </c>
      <c r="F3015" s="16">
        <f>IF($N3015="","",IF(INDEX(LdBAmt,$N3015)=0,"",INDEX(LdBAmt,$N3015)))</f>
        <v/>
      </c>
      <c r="G3015" s="30">
        <f>IF($N3015="","",IF(INDEX(LdBNote,$N3015)="","—",INDEX(LdBNote,$N3015)))</f>
        <v/>
      </c>
      <c r="N3015">
        <f>IFERROR(MATCH($C$5&amp;"|"&amp;RIGHT("000000"&amp;995,6),LdBKeyG,0),"")</f>
        <v/>
      </c>
    </row>
    <row r="3016">
      <c r="A3016" s="19" t="n">
        <v>996</v>
      </c>
      <c r="B3016" s="20">
        <f>IF($N3016="","",INDEX(LdBDate,$N3016))</f>
        <v/>
      </c>
      <c r="C3016" s="20">
        <f>IF($N3016="","",IF(INDEX(LdBId,$N3016)="","—",INDEX(LdBId,$N3016)))</f>
        <v/>
      </c>
      <c r="D3016" s="20">
        <f>IF($N3016="","",INDEX(LdBMember,$N3016))</f>
        <v/>
      </c>
      <c r="E3016" s="20">
        <f>IF($N3016="","",IFERROR(IF(VLOOKUP(INDEX(LdBMember,$N3016),AcctTblE,4,0)="","(بدون نام)",VLOOKUP(INDEX(LdBMember,$N3016),AcctTblE,4,0)),"—"))</f>
        <v/>
      </c>
      <c r="F3016" s="21">
        <f>IF($N3016="","",IF(INDEX(LdBAmt,$N3016)=0,"",INDEX(LdBAmt,$N3016)))</f>
        <v/>
      </c>
      <c r="G3016" s="32">
        <f>IF($N3016="","",IF(INDEX(LdBNote,$N3016)="","—",INDEX(LdBNote,$N3016)))</f>
        <v/>
      </c>
      <c r="N3016">
        <f>IFERROR(MATCH($C$5&amp;"|"&amp;RIGHT("000000"&amp;996,6),LdBKeyG,0),"")</f>
        <v/>
      </c>
    </row>
    <row r="3017">
      <c r="A3017" s="10" t="n">
        <v>997</v>
      </c>
      <c r="B3017" s="14">
        <f>IF($N3017="","",INDEX(LdBDate,$N3017))</f>
        <v/>
      </c>
      <c r="C3017" s="14">
        <f>IF($N3017="","",IF(INDEX(LdBId,$N3017)="","—",INDEX(LdBId,$N3017)))</f>
        <v/>
      </c>
      <c r="D3017" s="14">
        <f>IF($N3017="","",INDEX(LdBMember,$N3017))</f>
        <v/>
      </c>
      <c r="E3017" s="14">
        <f>IF($N3017="","",IFERROR(IF(VLOOKUP(INDEX(LdBMember,$N3017),AcctTblE,4,0)="","(بدون نام)",VLOOKUP(INDEX(LdBMember,$N3017),AcctTblE,4,0)),"—"))</f>
        <v/>
      </c>
      <c r="F3017" s="16">
        <f>IF($N3017="","",IF(INDEX(LdBAmt,$N3017)=0,"",INDEX(LdBAmt,$N3017)))</f>
        <v/>
      </c>
      <c r="G3017" s="30">
        <f>IF($N3017="","",IF(INDEX(LdBNote,$N3017)="","—",INDEX(LdBNote,$N3017)))</f>
        <v/>
      </c>
      <c r="N3017">
        <f>IFERROR(MATCH($C$5&amp;"|"&amp;RIGHT("000000"&amp;997,6),LdBKeyG,0),"")</f>
        <v/>
      </c>
    </row>
    <row r="3018">
      <c r="A3018" s="19" t="n">
        <v>998</v>
      </c>
      <c r="B3018" s="20">
        <f>IF($N3018="","",INDEX(LdBDate,$N3018))</f>
        <v/>
      </c>
      <c r="C3018" s="20">
        <f>IF($N3018="","",IF(INDEX(LdBId,$N3018)="","—",INDEX(LdBId,$N3018)))</f>
        <v/>
      </c>
      <c r="D3018" s="20">
        <f>IF($N3018="","",INDEX(LdBMember,$N3018))</f>
        <v/>
      </c>
      <c r="E3018" s="20">
        <f>IF($N3018="","",IFERROR(IF(VLOOKUP(INDEX(LdBMember,$N3018),AcctTblE,4,0)="","(بدون نام)",VLOOKUP(INDEX(LdBMember,$N3018),AcctTblE,4,0)),"—"))</f>
        <v/>
      </c>
      <c r="F3018" s="21">
        <f>IF($N3018="","",IF(INDEX(LdBAmt,$N3018)=0,"",INDEX(LdBAmt,$N3018)))</f>
        <v/>
      </c>
      <c r="G3018" s="32">
        <f>IF($N3018="","",IF(INDEX(LdBNote,$N3018)="","—",INDEX(LdBNote,$N3018)))</f>
        <v/>
      </c>
      <c r="N3018">
        <f>IFERROR(MATCH($C$5&amp;"|"&amp;RIGHT("000000"&amp;998,6),LdBKeyG,0),"")</f>
        <v/>
      </c>
    </row>
    <row r="3019">
      <c r="A3019" s="10" t="n">
        <v>999</v>
      </c>
      <c r="B3019" s="14">
        <f>IF($N3019="","",INDEX(LdBDate,$N3019))</f>
        <v/>
      </c>
      <c r="C3019" s="14">
        <f>IF($N3019="","",IF(INDEX(LdBId,$N3019)="","—",INDEX(LdBId,$N3019)))</f>
        <v/>
      </c>
      <c r="D3019" s="14">
        <f>IF($N3019="","",INDEX(LdBMember,$N3019))</f>
        <v/>
      </c>
      <c r="E3019" s="14">
        <f>IF($N3019="","",IFERROR(IF(VLOOKUP(INDEX(LdBMember,$N3019),AcctTblE,4,0)="","(بدون نام)",VLOOKUP(INDEX(LdBMember,$N3019),AcctTblE,4,0)),"—"))</f>
        <v/>
      </c>
      <c r="F3019" s="16">
        <f>IF($N3019="","",IF(INDEX(LdBAmt,$N3019)=0,"",INDEX(LdBAmt,$N3019)))</f>
        <v/>
      </c>
      <c r="G3019" s="30">
        <f>IF($N3019="","",IF(INDEX(LdBNote,$N3019)="","—",INDEX(LdBNote,$N3019)))</f>
        <v/>
      </c>
      <c r="N3019">
        <f>IFERROR(MATCH($C$5&amp;"|"&amp;RIGHT("000000"&amp;999,6),LdBKeyG,0),"")</f>
        <v/>
      </c>
    </row>
    <row r="3020">
      <c r="A3020" s="19" t="n">
        <v>1000</v>
      </c>
      <c r="B3020" s="20">
        <f>IF($N3020="","",INDEX(LdBDate,$N3020))</f>
        <v/>
      </c>
      <c r="C3020" s="20">
        <f>IF($N3020="","",IF(INDEX(LdBId,$N3020)="","—",INDEX(LdBId,$N3020)))</f>
        <v/>
      </c>
      <c r="D3020" s="20">
        <f>IF($N3020="","",INDEX(LdBMember,$N3020))</f>
        <v/>
      </c>
      <c r="E3020" s="20">
        <f>IF($N3020="","",IFERROR(IF(VLOOKUP(INDEX(LdBMember,$N3020),AcctTblE,4,0)="","(بدون نام)",VLOOKUP(INDEX(LdBMember,$N3020),AcctTblE,4,0)),"—"))</f>
        <v/>
      </c>
      <c r="F3020" s="21">
        <f>IF($N3020="","",IF(INDEX(LdBAmt,$N3020)=0,"",INDEX(LdBAmt,$N3020)))</f>
        <v/>
      </c>
      <c r="G3020" s="32">
        <f>IF($N3020="","",IF(INDEX(LdBNote,$N3020)="","—",INDEX(LdBNote,$N3020)))</f>
        <v/>
      </c>
      <c r="N3020">
        <f>IFERROR(MATCH($C$5&amp;"|"&amp;RIGHT("000000"&amp;1000,6),LdBKeyG,0),"")</f>
        <v/>
      </c>
    </row>
    <row r="3021">
      <c r="A3021" s="10" t="n">
        <v>1001</v>
      </c>
      <c r="B3021" s="14">
        <f>IF($N3021="","",INDEX(LdBDate,$N3021))</f>
        <v/>
      </c>
      <c r="C3021" s="14">
        <f>IF($N3021="","",IF(INDEX(LdBId,$N3021)="","—",INDEX(LdBId,$N3021)))</f>
        <v/>
      </c>
      <c r="D3021" s="14">
        <f>IF($N3021="","",INDEX(LdBMember,$N3021))</f>
        <v/>
      </c>
      <c r="E3021" s="14">
        <f>IF($N3021="","",IFERROR(IF(VLOOKUP(INDEX(LdBMember,$N3021),AcctTblE,4,0)="","(بدون نام)",VLOOKUP(INDEX(LdBMember,$N3021),AcctTblE,4,0)),"—"))</f>
        <v/>
      </c>
      <c r="F3021" s="16">
        <f>IF($N3021="","",IF(INDEX(LdBAmt,$N3021)=0,"",INDEX(LdBAmt,$N3021)))</f>
        <v/>
      </c>
      <c r="G3021" s="30">
        <f>IF($N3021="","",IF(INDEX(LdBNote,$N3021)="","—",INDEX(LdBNote,$N3021)))</f>
        <v/>
      </c>
      <c r="N3021">
        <f>IFERROR(MATCH($C$5&amp;"|"&amp;RIGHT("000000"&amp;1001,6),LdBKeyG,0),"")</f>
        <v/>
      </c>
    </row>
    <row r="3022">
      <c r="A3022" s="19" t="n">
        <v>1002</v>
      </c>
      <c r="B3022" s="20">
        <f>IF($N3022="","",INDEX(LdBDate,$N3022))</f>
        <v/>
      </c>
      <c r="C3022" s="20">
        <f>IF($N3022="","",IF(INDEX(LdBId,$N3022)="","—",INDEX(LdBId,$N3022)))</f>
        <v/>
      </c>
      <c r="D3022" s="20">
        <f>IF($N3022="","",INDEX(LdBMember,$N3022))</f>
        <v/>
      </c>
      <c r="E3022" s="20">
        <f>IF($N3022="","",IFERROR(IF(VLOOKUP(INDEX(LdBMember,$N3022),AcctTblE,4,0)="","(بدون نام)",VLOOKUP(INDEX(LdBMember,$N3022),AcctTblE,4,0)),"—"))</f>
        <v/>
      </c>
      <c r="F3022" s="21">
        <f>IF($N3022="","",IF(INDEX(LdBAmt,$N3022)=0,"",INDEX(LdBAmt,$N3022)))</f>
        <v/>
      </c>
      <c r="G3022" s="32">
        <f>IF($N3022="","",IF(INDEX(LdBNote,$N3022)="","—",INDEX(LdBNote,$N3022)))</f>
        <v/>
      </c>
      <c r="N3022">
        <f>IFERROR(MATCH($C$5&amp;"|"&amp;RIGHT("000000"&amp;1002,6),LdBKeyG,0),"")</f>
        <v/>
      </c>
    </row>
    <row r="3023">
      <c r="A3023" s="10" t="n">
        <v>1003</v>
      </c>
      <c r="B3023" s="14">
        <f>IF($N3023="","",INDEX(LdBDate,$N3023))</f>
        <v/>
      </c>
      <c r="C3023" s="14">
        <f>IF($N3023="","",IF(INDEX(LdBId,$N3023)="","—",INDEX(LdBId,$N3023)))</f>
        <v/>
      </c>
      <c r="D3023" s="14">
        <f>IF($N3023="","",INDEX(LdBMember,$N3023))</f>
        <v/>
      </c>
      <c r="E3023" s="14">
        <f>IF($N3023="","",IFERROR(IF(VLOOKUP(INDEX(LdBMember,$N3023),AcctTblE,4,0)="","(بدون نام)",VLOOKUP(INDEX(LdBMember,$N3023),AcctTblE,4,0)),"—"))</f>
        <v/>
      </c>
      <c r="F3023" s="16">
        <f>IF($N3023="","",IF(INDEX(LdBAmt,$N3023)=0,"",INDEX(LdBAmt,$N3023)))</f>
        <v/>
      </c>
      <c r="G3023" s="30">
        <f>IF($N3023="","",IF(INDEX(LdBNote,$N3023)="","—",INDEX(LdBNote,$N3023)))</f>
        <v/>
      </c>
      <c r="N3023">
        <f>IFERROR(MATCH($C$5&amp;"|"&amp;RIGHT("000000"&amp;1003,6),LdBKeyG,0),"")</f>
        <v/>
      </c>
    </row>
    <row r="3024">
      <c r="A3024" s="19" t="n">
        <v>1004</v>
      </c>
      <c r="B3024" s="20">
        <f>IF($N3024="","",INDEX(LdBDate,$N3024))</f>
        <v/>
      </c>
      <c r="C3024" s="20">
        <f>IF($N3024="","",IF(INDEX(LdBId,$N3024)="","—",INDEX(LdBId,$N3024)))</f>
        <v/>
      </c>
      <c r="D3024" s="20">
        <f>IF($N3024="","",INDEX(LdBMember,$N3024))</f>
        <v/>
      </c>
      <c r="E3024" s="20">
        <f>IF($N3024="","",IFERROR(IF(VLOOKUP(INDEX(LdBMember,$N3024),AcctTblE,4,0)="","(بدون نام)",VLOOKUP(INDEX(LdBMember,$N3024),AcctTblE,4,0)),"—"))</f>
        <v/>
      </c>
      <c r="F3024" s="21">
        <f>IF($N3024="","",IF(INDEX(LdBAmt,$N3024)=0,"",INDEX(LdBAmt,$N3024)))</f>
        <v/>
      </c>
      <c r="G3024" s="32">
        <f>IF($N3024="","",IF(INDEX(LdBNote,$N3024)="","—",INDEX(LdBNote,$N3024)))</f>
        <v/>
      </c>
      <c r="N3024">
        <f>IFERROR(MATCH($C$5&amp;"|"&amp;RIGHT("000000"&amp;1004,6),LdBKeyG,0),"")</f>
        <v/>
      </c>
    </row>
    <row r="3025">
      <c r="A3025" s="10" t="n">
        <v>1005</v>
      </c>
      <c r="B3025" s="14">
        <f>IF($N3025="","",INDEX(LdBDate,$N3025))</f>
        <v/>
      </c>
      <c r="C3025" s="14">
        <f>IF($N3025="","",IF(INDEX(LdBId,$N3025)="","—",INDEX(LdBId,$N3025)))</f>
        <v/>
      </c>
      <c r="D3025" s="14">
        <f>IF($N3025="","",INDEX(LdBMember,$N3025))</f>
        <v/>
      </c>
      <c r="E3025" s="14">
        <f>IF($N3025="","",IFERROR(IF(VLOOKUP(INDEX(LdBMember,$N3025),AcctTblE,4,0)="","(بدون نام)",VLOOKUP(INDEX(LdBMember,$N3025),AcctTblE,4,0)),"—"))</f>
        <v/>
      </c>
      <c r="F3025" s="16">
        <f>IF($N3025="","",IF(INDEX(LdBAmt,$N3025)=0,"",INDEX(LdBAmt,$N3025)))</f>
        <v/>
      </c>
      <c r="G3025" s="30">
        <f>IF($N3025="","",IF(INDEX(LdBNote,$N3025)="","—",INDEX(LdBNote,$N3025)))</f>
        <v/>
      </c>
      <c r="N3025">
        <f>IFERROR(MATCH($C$5&amp;"|"&amp;RIGHT("000000"&amp;1005,6),LdBKeyG,0),"")</f>
        <v/>
      </c>
    </row>
    <row r="3026">
      <c r="A3026" s="19" t="n">
        <v>1006</v>
      </c>
      <c r="B3026" s="20">
        <f>IF($N3026="","",INDEX(LdBDate,$N3026))</f>
        <v/>
      </c>
      <c r="C3026" s="20">
        <f>IF($N3026="","",IF(INDEX(LdBId,$N3026)="","—",INDEX(LdBId,$N3026)))</f>
        <v/>
      </c>
      <c r="D3026" s="20">
        <f>IF($N3026="","",INDEX(LdBMember,$N3026))</f>
        <v/>
      </c>
      <c r="E3026" s="20">
        <f>IF($N3026="","",IFERROR(IF(VLOOKUP(INDEX(LdBMember,$N3026),AcctTblE,4,0)="","(بدون نام)",VLOOKUP(INDEX(LdBMember,$N3026),AcctTblE,4,0)),"—"))</f>
        <v/>
      </c>
      <c r="F3026" s="21">
        <f>IF($N3026="","",IF(INDEX(LdBAmt,$N3026)=0,"",INDEX(LdBAmt,$N3026)))</f>
        <v/>
      </c>
      <c r="G3026" s="32">
        <f>IF($N3026="","",IF(INDEX(LdBNote,$N3026)="","—",INDEX(LdBNote,$N3026)))</f>
        <v/>
      </c>
      <c r="N3026">
        <f>IFERROR(MATCH($C$5&amp;"|"&amp;RIGHT("000000"&amp;1006,6),LdBKeyG,0),"")</f>
        <v/>
      </c>
    </row>
    <row r="3027">
      <c r="A3027" s="10" t="n">
        <v>1007</v>
      </c>
      <c r="B3027" s="14">
        <f>IF($N3027="","",INDEX(LdBDate,$N3027))</f>
        <v/>
      </c>
      <c r="C3027" s="14">
        <f>IF($N3027="","",IF(INDEX(LdBId,$N3027)="","—",INDEX(LdBId,$N3027)))</f>
        <v/>
      </c>
      <c r="D3027" s="14">
        <f>IF($N3027="","",INDEX(LdBMember,$N3027))</f>
        <v/>
      </c>
      <c r="E3027" s="14">
        <f>IF($N3027="","",IFERROR(IF(VLOOKUP(INDEX(LdBMember,$N3027),AcctTblE,4,0)="","(بدون نام)",VLOOKUP(INDEX(LdBMember,$N3027),AcctTblE,4,0)),"—"))</f>
        <v/>
      </c>
      <c r="F3027" s="16">
        <f>IF($N3027="","",IF(INDEX(LdBAmt,$N3027)=0,"",INDEX(LdBAmt,$N3027)))</f>
        <v/>
      </c>
      <c r="G3027" s="30">
        <f>IF($N3027="","",IF(INDEX(LdBNote,$N3027)="","—",INDEX(LdBNote,$N3027)))</f>
        <v/>
      </c>
      <c r="N3027">
        <f>IFERROR(MATCH($C$5&amp;"|"&amp;RIGHT("000000"&amp;1007,6),LdBKeyG,0),"")</f>
        <v/>
      </c>
    </row>
    <row r="3028">
      <c r="A3028" s="19" t="n">
        <v>1008</v>
      </c>
      <c r="B3028" s="20">
        <f>IF($N3028="","",INDEX(LdBDate,$N3028))</f>
        <v/>
      </c>
      <c r="C3028" s="20">
        <f>IF($N3028="","",IF(INDEX(LdBId,$N3028)="","—",INDEX(LdBId,$N3028)))</f>
        <v/>
      </c>
      <c r="D3028" s="20">
        <f>IF($N3028="","",INDEX(LdBMember,$N3028))</f>
        <v/>
      </c>
      <c r="E3028" s="20">
        <f>IF($N3028="","",IFERROR(IF(VLOOKUP(INDEX(LdBMember,$N3028),AcctTblE,4,0)="","(بدون نام)",VLOOKUP(INDEX(LdBMember,$N3028),AcctTblE,4,0)),"—"))</f>
        <v/>
      </c>
      <c r="F3028" s="21">
        <f>IF($N3028="","",IF(INDEX(LdBAmt,$N3028)=0,"",INDEX(LdBAmt,$N3028)))</f>
        <v/>
      </c>
      <c r="G3028" s="32">
        <f>IF($N3028="","",IF(INDEX(LdBNote,$N3028)="","—",INDEX(LdBNote,$N3028)))</f>
        <v/>
      </c>
      <c r="N3028">
        <f>IFERROR(MATCH($C$5&amp;"|"&amp;RIGHT("000000"&amp;1008,6),LdBKeyG,0),"")</f>
        <v/>
      </c>
    </row>
    <row r="3029">
      <c r="A3029" s="10" t="n">
        <v>1009</v>
      </c>
      <c r="B3029" s="14">
        <f>IF($N3029="","",INDEX(LdBDate,$N3029))</f>
        <v/>
      </c>
      <c r="C3029" s="14">
        <f>IF($N3029="","",IF(INDEX(LdBId,$N3029)="","—",INDEX(LdBId,$N3029)))</f>
        <v/>
      </c>
      <c r="D3029" s="14">
        <f>IF($N3029="","",INDEX(LdBMember,$N3029))</f>
        <v/>
      </c>
      <c r="E3029" s="14">
        <f>IF($N3029="","",IFERROR(IF(VLOOKUP(INDEX(LdBMember,$N3029),AcctTblE,4,0)="","(بدون نام)",VLOOKUP(INDEX(LdBMember,$N3029),AcctTblE,4,0)),"—"))</f>
        <v/>
      </c>
      <c r="F3029" s="16">
        <f>IF($N3029="","",IF(INDEX(LdBAmt,$N3029)=0,"",INDEX(LdBAmt,$N3029)))</f>
        <v/>
      </c>
      <c r="G3029" s="30">
        <f>IF($N3029="","",IF(INDEX(LdBNote,$N3029)="","—",INDEX(LdBNote,$N3029)))</f>
        <v/>
      </c>
      <c r="N3029">
        <f>IFERROR(MATCH($C$5&amp;"|"&amp;RIGHT("000000"&amp;1009,6),LdBKeyG,0),"")</f>
        <v/>
      </c>
    </row>
    <row r="3030">
      <c r="A3030" s="19" t="n">
        <v>1010</v>
      </c>
      <c r="B3030" s="20">
        <f>IF($N3030="","",INDEX(LdBDate,$N3030))</f>
        <v/>
      </c>
      <c r="C3030" s="20">
        <f>IF($N3030="","",IF(INDEX(LdBId,$N3030)="","—",INDEX(LdBId,$N3030)))</f>
        <v/>
      </c>
      <c r="D3030" s="20">
        <f>IF($N3030="","",INDEX(LdBMember,$N3030))</f>
        <v/>
      </c>
      <c r="E3030" s="20">
        <f>IF($N3030="","",IFERROR(IF(VLOOKUP(INDEX(LdBMember,$N3030),AcctTblE,4,0)="","(بدون نام)",VLOOKUP(INDEX(LdBMember,$N3030),AcctTblE,4,0)),"—"))</f>
        <v/>
      </c>
      <c r="F3030" s="21">
        <f>IF($N3030="","",IF(INDEX(LdBAmt,$N3030)=0,"",INDEX(LdBAmt,$N3030)))</f>
        <v/>
      </c>
      <c r="G3030" s="32">
        <f>IF($N3030="","",IF(INDEX(LdBNote,$N3030)="","—",INDEX(LdBNote,$N3030)))</f>
        <v/>
      </c>
      <c r="N3030">
        <f>IFERROR(MATCH($C$5&amp;"|"&amp;RIGHT("000000"&amp;1010,6),LdBKeyG,0),"")</f>
        <v/>
      </c>
    </row>
    <row r="3031">
      <c r="A3031" s="10" t="n">
        <v>1011</v>
      </c>
      <c r="B3031" s="14">
        <f>IF($N3031="","",INDEX(LdBDate,$N3031))</f>
        <v/>
      </c>
      <c r="C3031" s="14">
        <f>IF($N3031="","",IF(INDEX(LdBId,$N3031)="","—",INDEX(LdBId,$N3031)))</f>
        <v/>
      </c>
      <c r="D3031" s="14">
        <f>IF($N3031="","",INDEX(LdBMember,$N3031))</f>
        <v/>
      </c>
      <c r="E3031" s="14">
        <f>IF($N3031="","",IFERROR(IF(VLOOKUP(INDEX(LdBMember,$N3031),AcctTblE,4,0)="","(بدون نام)",VLOOKUP(INDEX(LdBMember,$N3031),AcctTblE,4,0)),"—"))</f>
        <v/>
      </c>
      <c r="F3031" s="16">
        <f>IF($N3031="","",IF(INDEX(LdBAmt,$N3031)=0,"",INDEX(LdBAmt,$N3031)))</f>
        <v/>
      </c>
      <c r="G3031" s="30">
        <f>IF($N3031="","",IF(INDEX(LdBNote,$N3031)="","—",INDEX(LdBNote,$N3031)))</f>
        <v/>
      </c>
      <c r="N3031">
        <f>IFERROR(MATCH($C$5&amp;"|"&amp;RIGHT("000000"&amp;1011,6),LdBKeyG,0),"")</f>
        <v/>
      </c>
    </row>
    <row r="3032">
      <c r="A3032" s="19" t="n">
        <v>1012</v>
      </c>
      <c r="B3032" s="20">
        <f>IF($N3032="","",INDEX(LdBDate,$N3032))</f>
        <v/>
      </c>
      <c r="C3032" s="20">
        <f>IF($N3032="","",IF(INDEX(LdBId,$N3032)="","—",INDEX(LdBId,$N3032)))</f>
        <v/>
      </c>
      <c r="D3032" s="20">
        <f>IF($N3032="","",INDEX(LdBMember,$N3032))</f>
        <v/>
      </c>
      <c r="E3032" s="20">
        <f>IF($N3032="","",IFERROR(IF(VLOOKUP(INDEX(LdBMember,$N3032),AcctTblE,4,0)="","(بدون نام)",VLOOKUP(INDEX(LdBMember,$N3032),AcctTblE,4,0)),"—"))</f>
        <v/>
      </c>
      <c r="F3032" s="21">
        <f>IF($N3032="","",IF(INDEX(LdBAmt,$N3032)=0,"",INDEX(LdBAmt,$N3032)))</f>
        <v/>
      </c>
      <c r="G3032" s="32">
        <f>IF($N3032="","",IF(INDEX(LdBNote,$N3032)="","—",INDEX(LdBNote,$N3032)))</f>
        <v/>
      </c>
      <c r="N3032">
        <f>IFERROR(MATCH($C$5&amp;"|"&amp;RIGHT("000000"&amp;1012,6),LdBKeyG,0),"")</f>
        <v/>
      </c>
    </row>
    <row r="3033">
      <c r="A3033" s="10" t="n">
        <v>1013</v>
      </c>
      <c r="B3033" s="14">
        <f>IF($N3033="","",INDEX(LdBDate,$N3033))</f>
        <v/>
      </c>
      <c r="C3033" s="14">
        <f>IF($N3033="","",IF(INDEX(LdBId,$N3033)="","—",INDEX(LdBId,$N3033)))</f>
        <v/>
      </c>
      <c r="D3033" s="14">
        <f>IF($N3033="","",INDEX(LdBMember,$N3033))</f>
        <v/>
      </c>
      <c r="E3033" s="14">
        <f>IF($N3033="","",IFERROR(IF(VLOOKUP(INDEX(LdBMember,$N3033),AcctTblE,4,0)="","(بدون نام)",VLOOKUP(INDEX(LdBMember,$N3033),AcctTblE,4,0)),"—"))</f>
        <v/>
      </c>
      <c r="F3033" s="16">
        <f>IF($N3033="","",IF(INDEX(LdBAmt,$N3033)=0,"",INDEX(LdBAmt,$N3033)))</f>
        <v/>
      </c>
      <c r="G3033" s="30">
        <f>IF($N3033="","",IF(INDEX(LdBNote,$N3033)="","—",INDEX(LdBNote,$N3033)))</f>
        <v/>
      </c>
      <c r="N3033">
        <f>IFERROR(MATCH($C$5&amp;"|"&amp;RIGHT("000000"&amp;1013,6),LdBKeyG,0),"")</f>
        <v/>
      </c>
    </row>
    <row r="3034">
      <c r="A3034" s="19" t="n">
        <v>1014</v>
      </c>
      <c r="B3034" s="20">
        <f>IF($N3034="","",INDEX(LdBDate,$N3034))</f>
        <v/>
      </c>
      <c r="C3034" s="20">
        <f>IF($N3034="","",IF(INDEX(LdBId,$N3034)="","—",INDEX(LdBId,$N3034)))</f>
        <v/>
      </c>
      <c r="D3034" s="20">
        <f>IF($N3034="","",INDEX(LdBMember,$N3034))</f>
        <v/>
      </c>
      <c r="E3034" s="20">
        <f>IF($N3034="","",IFERROR(IF(VLOOKUP(INDEX(LdBMember,$N3034),AcctTblE,4,0)="","(بدون نام)",VLOOKUP(INDEX(LdBMember,$N3034),AcctTblE,4,0)),"—"))</f>
        <v/>
      </c>
      <c r="F3034" s="21">
        <f>IF($N3034="","",IF(INDEX(LdBAmt,$N3034)=0,"",INDEX(LdBAmt,$N3034)))</f>
        <v/>
      </c>
      <c r="G3034" s="32">
        <f>IF($N3034="","",IF(INDEX(LdBNote,$N3034)="","—",INDEX(LdBNote,$N3034)))</f>
        <v/>
      </c>
      <c r="N3034">
        <f>IFERROR(MATCH($C$5&amp;"|"&amp;RIGHT("000000"&amp;1014,6),LdBKeyG,0),"")</f>
        <v/>
      </c>
    </row>
    <row r="3035">
      <c r="A3035" s="10" t="n">
        <v>1015</v>
      </c>
      <c r="B3035" s="14">
        <f>IF($N3035="","",INDEX(LdBDate,$N3035))</f>
        <v/>
      </c>
      <c r="C3035" s="14">
        <f>IF($N3035="","",IF(INDEX(LdBId,$N3035)="","—",INDEX(LdBId,$N3035)))</f>
        <v/>
      </c>
      <c r="D3035" s="14">
        <f>IF($N3035="","",INDEX(LdBMember,$N3035))</f>
        <v/>
      </c>
      <c r="E3035" s="14">
        <f>IF($N3035="","",IFERROR(IF(VLOOKUP(INDEX(LdBMember,$N3035),AcctTblE,4,0)="","(بدون نام)",VLOOKUP(INDEX(LdBMember,$N3035),AcctTblE,4,0)),"—"))</f>
        <v/>
      </c>
      <c r="F3035" s="16">
        <f>IF($N3035="","",IF(INDEX(LdBAmt,$N3035)=0,"",INDEX(LdBAmt,$N3035)))</f>
        <v/>
      </c>
      <c r="G3035" s="30">
        <f>IF($N3035="","",IF(INDEX(LdBNote,$N3035)="","—",INDEX(LdBNote,$N3035)))</f>
        <v/>
      </c>
      <c r="N3035">
        <f>IFERROR(MATCH($C$5&amp;"|"&amp;RIGHT("000000"&amp;1015,6),LdBKeyG,0),"")</f>
        <v/>
      </c>
    </row>
    <row r="3036">
      <c r="A3036" s="19" t="n">
        <v>1016</v>
      </c>
      <c r="B3036" s="20">
        <f>IF($N3036="","",INDEX(LdBDate,$N3036))</f>
        <v/>
      </c>
      <c r="C3036" s="20">
        <f>IF($N3036="","",IF(INDEX(LdBId,$N3036)="","—",INDEX(LdBId,$N3036)))</f>
        <v/>
      </c>
      <c r="D3036" s="20">
        <f>IF($N3036="","",INDEX(LdBMember,$N3036))</f>
        <v/>
      </c>
      <c r="E3036" s="20">
        <f>IF($N3036="","",IFERROR(IF(VLOOKUP(INDEX(LdBMember,$N3036),AcctTblE,4,0)="","(بدون نام)",VLOOKUP(INDEX(LdBMember,$N3036),AcctTblE,4,0)),"—"))</f>
        <v/>
      </c>
      <c r="F3036" s="21">
        <f>IF($N3036="","",IF(INDEX(LdBAmt,$N3036)=0,"",INDEX(LdBAmt,$N3036)))</f>
        <v/>
      </c>
      <c r="G3036" s="32">
        <f>IF($N3036="","",IF(INDEX(LdBNote,$N3036)="","—",INDEX(LdBNote,$N3036)))</f>
        <v/>
      </c>
      <c r="N3036">
        <f>IFERROR(MATCH($C$5&amp;"|"&amp;RIGHT("000000"&amp;1016,6),LdBKeyG,0),"")</f>
        <v/>
      </c>
    </row>
    <row r="3037">
      <c r="A3037" s="10" t="n">
        <v>1017</v>
      </c>
      <c r="B3037" s="14">
        <f>IF($N3037="","",INDEX(LdBDate,$N3037))</f>
        <v/>
      </c>
      <c r="C3037" s="14">
        <f>IF($N3037="","",IF(INDEX(LdBId,$N3037)="","—",INDEX(LdBId,$N3037)))</f>
        <v/>
      </c>
      <c r="D3037" s="14">
        <f>IF($N3037="","",INDEX(LdBMember,$N3037))</f>
        <v/>
      </c>
      <c r="E3037" s="14">
        <f>IF($N3037="","",IFERROR(IF(VLOOKUP(INDEX(LdBMember,$N3037),AcctTblE,4,0)="","(بدون نام)",VLOOKUP(INDEX(LdBMember,$N3037),AcctTblE,4,0)),"—"))</f>
        <v/>
      </c>
      <c r="F3037" s="16">
        <f>IF($N3037="","",IF(INDEX(LdBAmt,$N3037)=0,"",INDEX(LdBAmt,$N3037)))</f>
        <v/>
      </c>
      <c r="G3037" s="30">
        <f>IF($N3037="","",IF(INDEX(LdBNote,$N3037)="","—",INDEX(LdBNote,$N3037)))</f>
        <v/>
      </c>
      <c r="N3037">
        <f>IFERROR(MATCH($C$5&amp;"|"&amp;RIGHT("000000"&amp;1017,6),LdBKeyG,0),"")</f>
        <v/>
      </c>
    </row>
    <row r="3038">
      <c r="A3038" s="19" t="n">
        <v>1018</v>
      </c>
      <c r="B3038" s="20">
        <f>IF($N3038="","",INDEX(LdBDate,$N3038))</f>
        <v/>
      </c>
      <c r="C3038" s="20">
        <f>IF($N3038="","",IF(INDEX(LdBId,$N3038)="","—",INDEX(LdBId,$N3038)))</f>
        <v/>
      </c>
      <c r="D3038" s="20">
        <f>IF($N3038="","",INDEX(LdBMember,$N3038))</f>
        <v/>
      </c>
      <c r="E3038" s="20">
        <f>IF($N3038="","",IFERROR(IF(VLOOKUP(INDEX(LdBMember,$N3038),AcctTblE,4,0)="","(بدون نام)",VLOOKUP(INDEX(LdBMember,$N3038),AcctTblE,4,0)),"—"))</f>
        <v/>
      </c>
      <c r="F3038" s="21">
        <f>IF($N3038="","",IF(INDEX(LdBAmt,$N3038)=0,"",INDEX(LdBAmt,$N3038)))</f>
        <v/>
      </c>
      <c r="G3038" s="32">
        <f>IF($N3038="","",IF(INDEX(LdBNote,$N3038)="","—",INDEX(LdBNote,$N3038)))</f>
        <v/>
      </c>
      <c r="N3038">
        <f>IFERROR(MATCH($C$5&amp;"|"&amp;RIGHT("000000"&amp;1018,6),LdBKeyG,0),"")</f>
        <v/>
      </c>
    </row>
    <row r="3039">
      <c r="A3039" s="10" t="n">
        <v>1019</v>
      </c>
      <c r="B3039" s="14">
        <f>IF($N3039="","",INDEX(LdBDate,$N3039))</f>
        <v/>
      </c>
      <c r="C3039" s="14">
        <f>IF($N3039="","",IF(INDEX(LdBId,$N3039)="","—",INDEX(LdBId,$N3039)))</f>
        <v/>
      </c>
      <c r="D3039" s="14">
        <f>IF($N3039="","",INDEX(LdBMember,$N3039))</f>
        <v/>
      </c>
      <c r="E3039" s="14">
        <f>IF($N3039="","",IFERROR(IF(VLOOKUP(INDEX(LdBMember,$N3039),AcctTblE,4,0)="","(بدون نام)",VLOOKUP(INDEX(LdBMember,$N3039),AcctTblE,4,0)),"—"))</f>
        <v/>
      </c>
      <c r="F3039" s="16">
        <f>IF($N3039="","",IF(INDEX(LdBAmt,$N3039)=0,"",INDEX(LdBAmt,$N3039)))</f>
        <v/>
      </c>
      <c r="G3039" s="30">
        <f>IF($N3039="","",IF(INDEX(LdBNote,$N3039)="","—",INDEX(LdBNote,$N3039)))</f>
        <v/>
      </c>
      <c r="N3039">
        <f>IFERROR(MATCH($C$5&amp;"|"&amp;RIGHT("000000"&amp;1019,6),LdBKeyG,0),"")</f>
        <v/>
      </c>
    </row>
    <row r="3040">
      <c r="A3040" s="19" t="n">
        <v>1020</v>
      </c>
      <c r="B3040" s="20">
        <f>IF($N3040="","",INDEX(LdBDate,$N3040))</f>
        <v/>
      </c>
      <c r="C3040" s="20">
        <f>IF($N3040="","",IF(INDEX(LdBId,$N3040)="","—",INDEX(LdBId,$N3040)))</f>
        <v/>
      </c>
      <c r="D3040" s="20">
        <f>IF($N3040="","",INDEX(LdBMember,$N3040))</f>
        <v/>
      </c>
      <c r="E3040" s="20">
        <f>IF($N3040="","",IFERROR(IF(VLOOKUP(INDEX(LdBMember,$N3040),AcctTblE,4,0)="","(بدون نام)",VLOOKUP(INDEX(LdBMember,$N3040),AcctTblE,4,0)),"—"))</f>
        <v/>
      </c>
      <c r="F3040" s="21">
        <f>IF($N3040="","",IF(INDEX(LdBAmt,$N3040)=0,"",INDEX(LdBAmt,$N3040)))</f>
        <v/>
      </c>
      <c r="G3040" s="32">
        <f>IF($N3040="","",IF(INDEX(LdBNote,$N3040)="","—",INDEX(LdBNote,$N3040)))</f>
        <v/>
      </c>
      <c r="N3040">
        <f>IFERROR(MATCH($C$5&amp;"|"&amp;RIGHT("000000"&amp;1020,6),LdBKeyG,0),"")</f>
        <v/>
      </c>
    </row>
    <row r="3041">
      <c r="A3041" s="10" t="n">
        <v>1021</v>
      </c>
      <c r="B3041" s="14">
        <f>IF($N3041="","",INDEX(LdBDate,$N3041))</f>
        <v/>
      </c>
      <c r="C3041" s="14">
        <f>IF($N3041="","",IF(INDEX(LdBId,$N3041)="","—",INDEX(LdBId,$N3041)))</f>
        <v/>
      </c>
      <c r="D3041" s="14">
        <f>IF($N3041="","",INDEX(LdBMember,$N3041))</f>
        <v/>
      </c>
      <c r="E3041" s="14">
        <f>IF($N3041="","",IFERROR(IF(VLOOKUP(INDEX(LdBMember,$N3041),AcctTblE,4,0)="","(بدون نام)",VLOOKUP(INDEX(LdBMember,$N3041),AcctTblE,4,0)),"—"))</f>
        <v/>
      </c>
      <c r="F3041" s="16">
        <f>IF($N3041="","",IF(INDEX(LdBAmt,$N3041)=0,"",INDEX(LdBAmt,$N3041)))</f>
        <v/>
      </c>
      <c r="G3041" s="30">
        <f>IF($N3041="","",IF(INDEX(LdBNote,$N3041)="","—",INDEX(LdBNote,$N3041)))</f>
        <v/>
      </c>
      <c r="N3041">
        <f>IFERROR(MATCH($C$5&amp;"|"&amp;RIGHT("000000"&amp;1021,6),LdBKeyG,0),"")</f>
        <v/>
      </c>
    </row>
    <row r="3042">
      <c r="A3042" s="19" t="n">
        <v>1022</v>
      </c>
      <c r="B3042" s="20">
        <f>IF($N3042="","",INDEX(LdBDate,$N3042))</f>
        <v/>
      </c>
      <c r="C3042" s="20">
        <f>IF($N3042="","",IF(INDEX(LdBId,$N3042)="","—",INDEX(LdBId,$N3042)))</f>
        <v/>
      </c>
      <c r="D3042" s="20">
        <f>IF($N3042="","",INDEX(LdBMember,$N3042))</f>
        <v/>
      </c>
      <c r="E3042" s="20">
        <f>IF($N3042="","",IFERROR(IF(VLOOKUP(INDEX(LdBMember,$N3042),AcctTblE,4,0)="","(بدون نام)",VLOOKUP(INDEX(LdBMember,$N3042),AcctTblE,4,0)),"—"))</f>
        <v/>
      </c>
      <c r="F3042" s="21">
        <f>IF($N3042="","",IF(INDEX(LdBAmt,$N3042)=0,"",INDEX(LdBAmt,$N3042)))</f>
        <v/>
      </c>
      <c r="G3042" s="32">
        <f>IF($N3042="","",IF(INDEX(LdBNote,$N3042)="","—",INDEX(LdBNote,$N3042)))</f>
        <v/>
      </c>
      <c r="N3042">
        <f>IFERROR(MATCH($C$5&amp;"|"&amp;RIGHT("000000"&amp;1022,6),LdBKeyG,0),"")</f>
        <v/>
      </c>
    </row>
    <row r="3043">
      <c r="A3043" s="10" t="n">
        <v>1023</v>
      </c>
      <c r="B3043" s="14">
        <f>IF($N3043="","",INDEX(LdBDate,$N3043))</f>
        <v/>
      </c>
      <c r="C3043" s="14">
        <f>IF($N3043="","",IF(INDEX(LdBId,$N3043)="","—",INDEX(LdBId,$N3043)))</f>
        <v/>
      </c>
      <c r="D3043" s="14">
        <f>IF($N3043="","",INDEX(LdBMember,$N3043))</f>
        <v/>
      </c>
      <c r="E3043" s="14">
        <f>IF($N3043="","",IFERROR(IF(VLOOKUP(INDEX(LdBMember,$N3043),AcctTblE,4,0)="","(بدون نام)",VLOOKUP(INDEX(LdBMember,$N3043),AcctTblE,4,0)),"—"))</f>
        <v/>
      </c>
      <c r="F3043" s="16">
        <f>IF($N3043="","",IF(INDEX(LdBAmt,$N3043)=0,"",INDEX(LdBAmt,$N3043)))</f>
        <v/>
      </c>
      <c r="G3043" s="30">
        <f>IF($N3043="","",IF(INDEX(LdBNote,$N3043)="","—",INDEX(LdBNote,$N3043)))</f>
        <v/>
      </c>
      <c r="N3043">
        <f>IFERROR(MATCH($C$5&amp;"|"&amp;RIGHT("000000"&amp;1023,6),LdBKeyG,0),"")</f>
        <v/>
      </c>
    </row>
    <row r="3044">
      <c r="A3044" s="19" t="n">
        <v>1024</v>
      </c>
      <c r="B3044" s="20">
        <f>IF($N3044="","",INDEX(LdBDate,$N3044))</f>
        <v/>
      </c>
      <c r="C3044" s="20">
        <f>IF($N3044="","",IF(INDEX(LdBId,$N3044)="","—",INDEX(LdBId,$N3044)))</f>
        <v/>
      </c>
      <c r="D3044" s="20">
        <f>IF($N3044="","",INDEX(LdBMember,$N3044))</f>
        <v/>
      </c>
      <c r="E3044" s="20">
        <f>IF($N3044="","",IFERROR(IF(VLOOKUP(INDEX(LdBMember,$N3044),AcctTblE,4,0)="","(بدون نام)",VLOOKUP(INDEX(LdBMember,$N3044),AcctTblE,4,0)),"—"))</f>
        <v/>
      </c>
      <c r="F3044" s="21">
        <f>IF($N3044="","",IF(INDEX(LdBAmt,$N3044)=0,"",INDEX(LdBAmt,$N3044)))</f>
        <v/>
      </c>
      <c r="G3044" s="32">
        <f>IF($N3044="","",IF(INDEX(LdBNote,$N3044)="","—",INDEX(LdBNote,$N3044)))</f>
        <v/>
      </c>
      <c r="N3044">
        <f>IFERROR(MATCH($C$5&amp;"|"&amp;RIGHT("000000"&amp;1024,6),LdBKeyG,0),"")</f>
        <v/>
      </c>
    </row>
    <row r="3045">
      <c r="A3045" s="10" t="n">
        <v>1025</v>
      </c>
      <c r="B3045" s="14">
        <f>IF($N3045="","",INDEX(LdBDate,$N3045))</f>
        <v/>
      </c>
      <c r="C3045" s="14">
        <f>IF($N3045="","",IF(INDEX(LdBId,$N3045)="","—",INDEX(LdBId,$N3045)))</f>
        <v/>
      </c>
      <c r="D3045" s="14">
        <f>IF($N3045="","",INDEX(LdBMember,$N3045))</f>
        <v/>
      </c>
      <c r="E3045" s="14">
        <f>IF($N3045="","",IFERROR(IF(VLOOKUP(INDEX(LdBMember,$N3045),AcctTblE,4,0)="","(بدون نام)",VLOOKUP(INDEX(LdBMember,$N3045),AcctTblE,4,0)),"—"))</f>
        <v/>
      </c>
      <c r="F3045" s="16">
        <f>IF($N3045="","",IF(INDEX(LdBAmt,$N3045)=0,"",INDEX(LdBAmt,$N3045)))</f>
        <v/>
      </c>
      <c r="G3045" s="30">
        <f>IF($N3045="","",IF(INDEX(LdBNote,$N3045)="","—",INDEX(LdBNote,$N3045)))</f>
        <v/>
      </c>
      <c r="N3045">
        <f>IFERROR(MATCH($C$5&amp;"|"&amp;RIGHT("000000"&amp;1025,6),LdBKeyG,0),"")</f>
        <v/>
      </c>
    </row>
    <row r="3046">
      <c r="A3046" s="19" t="n">
        <v>1026</v>
      </c>
      <c r="B3046" s="20">
        <f>IF($N3046="","",INDEX(LdBDate,$N3046))</f>
        <v/>
      </c>
      <c r="C3046" s="20">
        <f>IF($N3046="","",IF(INDEX(LdBId,$N3046)="","—",INDEX(LdBId,$N3046)))</f>
        <v/>
      </c>
      <c r="D3046" s="20">
        <f>IF($N3046="","",INDEX(LdBMember,$N3046))</f>
        <v/>
      </c>
      <c r="E3046" s="20">
        <f>IF($N3046="","",IFERROR(IF(VLOOKUP(INDEX(LdBMember,$N3046),AcctTblE,4,0)="","(بدون نام)",VLOOKUP(INDEX(LdBMember,$N3046),AcctTblE,4,0)),"—"))</f>
        <v/>
      </c>
      <c r="F3046" s="21">
        <f>IF($N3046="","",IF(INDEX(LdBAmt,$N3046)=0,"",INDEX(LdBAmt,$N3046)))</f>
        <v/>
      </c>
      <c r="G3046" s="32">
        <f>IF($N3046="","",IF(INDEX(LdBNote,$N3046)="","—",INDEX(LdBNote,$N3046)))</f>
        <v/>
      </c>
      <c r="N3046">
        <f>IFERROR(MATCH($C$5&amp;"|"&amp;RIGHT("000000"&amp;1026,6),LdBKeyG,0),"")</f>
        <v/>
      </c>
    </row>
    <row r="3047">
      <c r="A3047" s="10" t="n">
        <v>1027</v>
      </c>
      <c r="B3047" s="14">
        <f>IF($N3047="","",INDEX(LdBDate,$N3047))</f>
        <v/>
      </c>
      <c r="C3047" s="14">
        <f>IF($N3047="","",IF(INDEX(LdBId,$N3047)="","—",INDEX(LdBId,$N3047)))</f>
        <v/>
      </c>
      <c r="D3047" s="14">
        <f>IF($N3047="","",INDEX(LdBMember,$N3047))</f>
        <v/>
      </c>
      <c r="E3047" s="14">
        <f>IF($N3047="","",IFERROR(IF(VLOOKUP(INDEX(LdBMember,$N3047),AcctTblE,4,0)="","(بدون نام)",VLOOKUP(INDEX(LdBMember,$N3047),AcctTblE,4,0)),"—"))</f>
        <v/>
      </c>
      <c r="F3047" s="16">
        <f>IF($N3047="","",IF(INDEX(LdBAmt,$N3047)=0,"",INDEX(LdBAmt,$N3047)))</f>
        <v/>
      </c>
      <c r="G3047" s="30">
        <f>IF($N3047="","",IF(INDEX(LdBNote,$N3047)="","—",INDEX(LdBNote,$N3047)))</f>
        <v/>
      </c>
      <c r="N3047">
        <f>IFERROR(MATCH($C$5&amp;"|"&amp;RIGHT("000000"&amp;1027,6),LdBKeyG,0),"")</f>
        <v/>
      </c>
    </row>
    <row r="3048">
      <c r="A3048" s="19" t="n">
        <v>1028</v>
      </c>
      <c r="B3048" s="20">
        <f>IF($N3048="","",INDEX(LdBDate,$N3048))</f>
        <v/>
      </c>
      <c r="C3048" s="20">
        <f>IF($N3048="","",IF(INDEX(LdBId,$N3048)="","—",INDEX(LdBId,$N3048)))</f>
        <v/>
      </c>
      <c r="D3048" s="20">
        <f>IF($N3048="","",INDEX(LdBMember,$N3048))</f>
        <v/>
      </c>
      <c r="E3048" s="20">
        <f>IF($N3048="","",IFERROR(IF(VLOOKUP(INDEX(LdBMember,$N3048),AcctTblE,4,0)="","(بدون نام)",VLOOKUP(INDEX(LdBMember,$N3048),AcctTblE,4,0)),"—"))</f>
        <v/>
      </c>
      <c r="F3048" s="21">
        <f>IF($N3048="","",IF(INDEX(LdBAmt,$N3048)=0,"",INDEX(LdBAmt,$N3048)))</f>
        <v/>
      </c>
      <c r="G3048" s="32">
        <f>IF($N3048="","",IF(INDEX(LdBNote,$N3048)="","—",INDEX(LdBNote,$N3048)))</f>
        <v/>
      </c>
      <c r="N3048">
        <f>IFERROR(MATCH($C$5&amp;"|"&amp;RIGHT("000000"&amp;1028,6),LdBKeyG,0),"")</f>
        <v/>
      </c>
    </row>
    <row r="3049">
      <c r="A3049" s="10" t="n">
        <v>1029</v>
      </c>
      <c r="B3049" s="14">
        <f>IF($N3049="","",INDEX(LdBDate,$N3049))</f>
        <v/>
      </c>
      <c r="C3049" s="14">
        <f>IF($N3049="","",IF(INDEX(LdBId,$N3049)="","—",INDEX(LdBId,$N3049)))</f>
        <v/>
      </c>
      <c r="D3049" s="14">
        <f>IF($N3049="","",INDEX(LdBMember,$N3049))</f>
        <v/>
      </c>
      <c r="E3049" s="14">
        <f>IF($N3049="","",IFERROR(IF(VLOOKUP(INDEX(LdBMember,$N3049),AcctTblE,4,0)="","(بدون نام)",VLOOKUP(INDEX(LdBMember,$N3049),AcctTblE,4,0)),"—"))</f>
        <v/>
      </c>
      <c r="F3049" s="16">
        <f>IF($N3049="","",IF(INDEX(LdBAmt,$N3049)=0,"",INDEX(LdBAmt,$N3049)))</f>
        <v/>
      </c>
      <c r="G3049" s="30">
        <f>IF($N3049="","",IF(INDEX(LdBNote,$N3049)="","—",INDEX(LdBNote,$N3049)))</f>
        <v/>
      </c>
      <c r="N3049">
        <f>IFERROR(MATCH($C$5&amp;"|"&amp;RIGHT("000000"&amp;1029,6),LdBKeyG,0),"")</f>
        <v/>
      </c>
    </row>
    <row r="3050">
      <c r="A3050" s="19" t="n">
        <v>1030</v>
      </c>
      <c r="B3050" s="20">
        <f>IF($N3050="","",INDEX(LdBDate,$N3050))</f>
        <v/>
      </c>
      <c r="C3050" s="20">
        <f>IF($N3050="","",IF(INDEX(LdBId,$N3050)="","—",INDEX(LdBId,$N3050)))</f>
        <v/>
      </c>
      <c r="D3050" s="20">
        <f>IF($N3050="","",INDEX(LdBMember,$N3050))</f>
        <v/>
      </c>
      <c r="E3050" s="20">
        <f>IF($N3050="","",IFERROR(IF(VLOOKUP(INDEX(LdBMember,$N3050),AcctTblE,4,0)="","(بدون نام)",VLOOKUP(INDEX(LdBMember,$N3050),AcctTblE,4,0)),"—"))</f>
        <v/>
      </c>
      <c r="F3050" s="21">
        <f>IF($N3050="","",IF(INDEX(LdBAmt,$N3050)=0,"",INDEX(LdBAmt,$N3050)))</f>
        <v/>
      </c>
      <c r="G3050" s="32">
        <f>IF($N3050="","",IF(INDEX(LdBNote,$N3050)="","—",INDEX(LdBNote,$N3050)))</f>
        <v/>
      </c>
      <c r="N3050">
        <f>IFERROR(MATCH($C$5&amp;"|"&amp;RIGHT("000000"&amp;1030,6),LdBKeyG,0),"")</f>
        <v/>
      </c>
    </row>
    <row r="3051">
      <c r="A3051" s="10" t="n">
        <v>1031</v>
      </c>
      <c r="B3051" s="14">
        <f>IF($N3051="","",INDEX(LdBDate,$N3051))</f>
        <v/>
      </c>
      <c r="C3051" s="14">
        <f>IF($N3051="","",IF(INDEX(LdBId,$N3051)="","—",INDEX(LdBId,$N3051)))</f>
        <v/>
      </c>
      <c r="D3051" s="14">
        <f>IF($N3051="","",INDEX(LdBMember,$N3051))</f>
        <v/>
      </c>
      <c r="E3051" s="14">
        <f>IF($N3051="","",IFERROR(IF(VLOOKUP(INDEX(LdBMember,$N3051),AcctTblE,4,0)="","(بدون نام)",VLOOKUP(INDEX(LdBMember,$N3051),AcctTblE,4,0)),"—"))</f>
        <v/>
      </c>
      <c r="F3051" s="16">
        <f>IF($N3051="","",IF(INDEX(LdBAmt,$N3051)=0,"",INDEX(LdBAmt,$N3051)))</f>
        <v/>
      </c>
      <c r="G3051" s="30">
        <f>IF($N3051="","",IF(INDEX(LdBNote,$N3051)="","—",INDEX(LdBNote,$N3051)))</f>
        <v/>
      </c>
      <c r="N3051">
        <f>IFERROR(MATCH($C$5&amp;"|"&amp;RIGHT("000000"&amp;1031,6),LdBKeyG,0),"")</f>
        <v/>
      </c>
    </row>
    <row r="3052">
      <c r="A3052" s="19" t="n">
        <v>1032</v>
      </c>
      <c r="B3052" s="20">
        <f>IF($N3052="","",INDEX(LdBDate,$N3052))</f>
        <v/>
      </c>
      <c r="C3052" s="20">
        <f>IF($N3052="","",IF(INDEX(LdBId,$N3052)="","—",INDEX(LdBId,$N3052)))</f>
        <v/>
      </c>
      <c r="D3052" s="20">
        <f>IF($N3052="","",INDEX(LdBMember,$N3052))</f>
        <v/>
      </c>
      <c r="E3052" s="20">
        <f>IF($N3052="","",IFERROR(IF(VLOOKUP(INDEX(LdBMember,$N3052),AcctTblE,4,0)="","(بدون نام)",VLOOKUP(INDEX(LdBMember,$N3052),AcctTblE,4,0)),"—"))</f>
        <v/>
      </c>
      <c r="F3052" s="21">
        <f>IF($N3052="","",IF(INDEX(LdBAmt,$N3052)=0,"",INDEX(LdBAmt,$N3052)))</f>
        <v/>
      </c>
      <c r="G3052" s="32">
        <f>IF($N3052="","",IF(INDEX(LdBNote,$N3052)="","—",INDEX(LdBNote,$N3052)))</f>
        <v/>
      </c>
      <c r="N3052">
        <f>IFERROR(MATCH($C$5&amp;"|"&amp;RIGHT("000000"&amp;1032,6),LdBKeyG,0),"")</f>
        <v/>
      </c>
    </row>
    <row r="3053">
      <c r="A3053" s="10" t="n">
        <v>1033</v>
      </c>
      <c r="B3053" s="14">
        <f>IF($N3053="","",INDEX(LdBDate,$N3053))</f>
        <v/>
      </c>
      <c r="C3053" s="14">
        <f>IF($N3053="","",IF(INDEX(LdBId,$N3053)="","—",INDEX(LdBId,$N3053)))</f>
        <v/>
      </c>
      <c r="D3053" s="14">
        <f>IF($N3053="","",INDEX(LdBMember,$N3053))</f>
        <v/>
      </c>
      <c r="E3053" s="14">
        <f>IF($N3053="","",IFERROR(IF(VLOOKUP(INDEX(LdBMember,$N3053),AcctTblE,4,0)="","(بدون نام)",VLOOKUP(INDEX(LdBMember,$N3053),AcctTblE,4,0)),"—"))</f>
        <v/>
      </c>
      <c r="F3053" s="16">
        <f>IF($N3053="","",IF(INDEX(LdBAmt,$N3053)=0,"",INDEX(LdBAmt,$N3053)))</f>
        <v/>
      </c>
      <c r="G3053" s="30">
        <f>IF($N3053="","",IF(INDEX(LdBNote,$N3053)="","—",INDEX(LdBNote,$N3053)))</f>
        <v/>
      </c>
      <c r="N3053">
        <f>IFERROR(MATCH($C$5&amp;"|"&amp;RIGHT("000000"&amp;1033,6),LdBKeyG,0),"")</f>
        <v/>
      </c>
    </row>
    <row r="3054">
      <c r="A3054" s="19" t="n">
        <v>1034</v>
      </c>
      <c r="B3054" s="20">
        <f>IF($N3054="","",INDEX(LdBDate,$N3054))</f>
        <v/>
      </c>
      <c r="C3054" s="20">
        <f>IF($N3054="","",IF(INDEX(LdBId,$N3054)="","—",INDEX(LdBId,$N3054)))</f>
        <v/>
      </c>
      <c r="D3054" s="20">
        <f>IF($N3054="","",INDEX(LdBMember,$N3054))</f>
        <v/>
      </c>
      <c r="E3054" s="20">
        <f>IF($N3054="","",IFERROR(IF(VLOOKUP(INDEX(LdBMember,$N3054),AcctTblE,4,0)="","(بدون نام)",VLOOKUP(INDEX(LdBMember,$N3054),AcctTblE,4,0)),"—"))</f>
        <v/>
      </c>
      <c r="F3054" s="21">
        <f>IF($N3054="","",IF(INDEX(LdBAmt,$N3054)=0,"",INDEX(LdBAmt,$N3054)))</f>
        <v/>
      </c>
      <c r="G3054" s="32">
        <f>IF($N3054="","",IF(INDEX(LdBNote,$N3054)="","—",INDEX(LdBNote,$N3054)))</f>
        <v/>
      </c>
      <c r="N3054">
        <f>IFERROR(MATCH($C$5&amp;"|"&amp;RIGHT("000000"&amp;1034,6),LdBKeyG,0),"")</f>
        <v/>
      </c>
    </row>
    <row r="3055">
      <c r="A3055" s="10" t="n">
        <v>1035</v>
      </c>
      <c r="B3055" s="14">
        <f>IF($N3055="","",INDEX(LdBDate,$N3055))</f>
        <v/>
      </c>
      <c r="C3055" s="14">
        <f>IF($N3055="","",IF(INDEX(LdBId,$N3055)="","—",INDEX(LdBId,$N3055)))</f>
        <v/>
      </c>
      <c r="D3055" s="14">
        <f>IF($N3055="","",INDEX(LdBMember,$N3055))</f>
        <v/>
      </c>
      <c r="E3055" s="14">
        <f>IF($N3055="","",IFERROR(IF(VLOOKUP(INDEX(LdBMember,$N3055),AcctTblE,4,0)="","(بدون نام)",VLOOKUP(INDEX(LdBMember,$N3055),AcctTblE,4,0)),"—"))</f>
        <v/>
      </c>
      <c r="F3055" s="16">
        <f>IF($N3055="","",IF(INDEX(LdBAmt,$N3055)=0,"",INDEX(LdBAmt,$N3055)))</f>
        <v/>
      </c>
      <c r="G3055" s="30">
        <f>IF($N3055="","",IF(INDEX(LdBNote,$N3055)="","—",INDEX(LdBNote,$N3055)))</f>
        <v/>
      </c>
      <c r="N3055">
        <f>IFERROR(MATCH($C$5&amp;"|"&amp;RIGHT("000000"&amp;1035,6),LdBKeyG,0),"")</f>
        <v/>
      </c>
    </row>
    <row r="3056">
      <c r="A3056" s="19" t="n">
        <v>1036</v>
      </c>
      <c r="B3056" s="20">
        <f>IF($N3056="","",INDEX(LdBDate,$N3056))</f>
        <v/>
      </c>
      <c r="C3056" s="20">
        <f>IF($N3056="","",IF(INDEX(LdBId,$N3056)="","—",INDEX(LdBId,$N3056)))</f>
        <v/>
      </c>
      <c r="D3056" s="20">
        <f>IF($N3056="","",INDEX(LdBMember,$N3056))</f>
        <v/>
      </c>
      <c r="E3056" s="20">
        <f>IF($N3056="","",IFERROR(IF(VLOOKUP(INDEX(LdBMember,$N3056),AcctTblE,4,0)="","(بدون نام)",VLOOKUP(INDEX(LdBMember,$N3056),AcctTblE,4,0)),"—"))</f>
        <v/>
      </c>
      <c r="F3056" s="21">
        <f>IF($N3056="","",IF(INDEX(LdBAmt,$N3056)=0,"",INDEX(LdBAmt,$N3056)))</f>
        <v/>
      </c>
      <c r="G3056" s="32">
        <f>IF($N3056="","",IF(INDEX(LdBNote,$N3056)="","—",INDEX(LdBNote,$N3056)))</f>
        <v/>
      </c>
      <c r="N3056">
        <f>IFERROR(MATCH($C$5&amp;"|"&amp;RIGHT("000000"&amp;1036,6),LdBKeyG,0),"")</f>
        <v/>
      </c>
    </row>
    <row r="3057">
      <c r="A3057" s="10" t="n">
        <v>1037</v>
      </c>
      <c r="B3057" s="14">
        <f>IF($N3057="","",INDEX(LdBDate,$N3057))</f>
        <v/>
      </c>
      <c r="C3057" s="14">
        <f>IF($N3057="","",IF(INDEX(LdBId,$N3057)="","—",INDEX(LdBId,$N3057)))</f>
        <v/>
      </c>
      <c r="D3057" s="14">
        <f>IF($N3057="","",INDEX(LdBMember,$N3057))</f>
        <v/>
      </c>
      <c r="E3057" s="14">
        <f>IF($N3057="","",IFERROR(IF(VLOOKUP(INDEX(LdBMember,$N3057),AcctTblE,4,0)="","(بدون نام)",VLOOKUP(INDEX(LdBMember,$N3057),AcctTblE,4,0)),"—"))</f>
        <v/>
      </c>
      <c r="F3057" s="16">
        <f>IF($N3057="","",IF(INDEX(LdBAmt,$N3057)=0,"",INDEX(LdBAmt,$N3057)))</f>
        <v/>
      </c>
      <c r="G3057" s="30">
        <f>IF($N3057="","",IF(INDEX(LdBNote,$N3057)="","—",INDEX(LdBNote,$N3057)))</f>
        <v/>
      </c>
      <c r="N3057">
        <f>IFERROR(MATCH($C$5&amp;"|"&amp;RIGHT("000000"&amp;1037,6),LdBKeyG,0),"")</f>
        <v/>
      </c>
    </row>
    <row r="3058">
      <c r="A3058" s="19" t="n">
        <v>1038</v>
      </c>
      <c r="B3058" s="20">
        <f>IF($N3058="","",INDEX(LdBDate,$N3058))</f>
        <v/>
      </c>
      <c r="C3058" s="20">
        <f>IF($N3058="","",IF(INDEX(LdBId,$N3058)="","—",INDEX(LdBId,$N3058)))</f>
        <v/>
      </c>
      <c r="D3058" s="20">
        <f>IF($N3058="","",INDEX(LdBMember,$N3058))</f>
        <v/>
      </c>
      <c r="E3058" s="20">
        <f>IF($N3058="","",IFERROR(IF(VLOOKUP(INDEX(LdBMember,$N3058),AcctTblE,4,0)="","(بدون نام)",VLOOKUP(INDEX(LdBMember,$N3058),AcctTblE,4,0)),"—"))</f>
        <v/>
      </c>
      <c r="F3058" s="21">
        <f>IF($N3058="","",IF(INDEX(LdBAmt,$N3058)=0,"",INDEX(LdBAmt,$N3058)))</f>
        <v/>
      </c>
      <c r="G3058" s="32">
        <f>IF($N3058="","",IF(INDEX(LdBNote,$N3058)="","—",INDEX(LdBNote,$N3058)))</f>
        <v/>
      </c>
      <c r="N3058">
        <f>IFERROR(MATCH($C$5&amp;"|"&amp;RIGHT("000000"&amp;1038,6),LdBKeyG,0),"")</f>
        <v/>
      </c>
    </row>
    <row r="3059">
      <c r="A3059" s="10" t="n">
        <v>1039</v>
      </c>
      <c r="B3059" s="14">
        <f>IF($N3059="","",INDEX(LdBDate,$N3059))</f>
        <v/>
      </c>
      <c r="C3059" s="14">
        <f>IF($N3059="","",IF(INDEX(LdBId,$N3059)="","—",INDEX(LdBId,$N3059)))</f>
        <v/>
      </c>
      <c r="D3059" s="14">
        <f>IF($N3059="","",INDEX(LdBMember,$N3059))</f>
        <v/>
      </c>
      <c r="E3059" s="14">
        <f>IF($N3059="","",IFERROR(IF(VLOOKUP(INDEX(LdBMember,$N3059),AcctTblE,4,0)="","(بدون نام)",VLOOKUP(INDEX(LdBMember,$N3059),AcctTblE,4,0)),"—"))</f>
        <v/>
      </c>
      <c r="F3059" s="16">
        <f>IF($N3059="","",IF(INDEX(LdBAmt,$N3059)=0,"",INDEX(LdBAmt,$N3059)))</f>
        <v/>
      </c>
      <c r="G3059" s="30">
        <f>IF($N3059="","",IF(INDEX(LdBNote,$N3059)="","—",INDEX(LdBNote,$N3059)))</f>
        <v/>
      </c>
      <c r="N3059">
        <f>IFERROR(MATCH($C$5&amp;"|"&amp;RIGHT("000000"&amp;1039,6),LdBKeyG,0),"")</f>
        <v/>
      </c>
    </row>
    <row r="3060">
      <c r="A3060" s="19" t="n">
        <v>1040</v>
      </c>
      <c r="B3060" s="20">
        <f>IF($N3060="","",INDEX(LdBDate,$N3060))</f>
        <v/>
      </c>
      <c r="C3060" s="20">
        <f>IF($N3060="","",IF(INDEX(LdBId,$N3060)="","—",INDEX(LdBId,$N3060)))</f>
        <v/>
      </c>
      <c r="D3060" s="20">
        <f>IF($N3060="","",INDEX(LdBMember,$N3060))</f>
        <v/>
      </c>
      <c r="E3060" s="20">
        <f>IF($N3060="","",IFERROR(IF(VLOOKUP(INDEX(LdBMember,$N3060),AcctTblE,4,0)="","(بدون نام)",VLOOKUP(INDEX(LdBMember,$N3060),AcctTblE,4,0)),"—"))</f>
        <v/>
      </c>
      <c r="F3060" s="21">
        <f>IF($N3060="","",IF(INDEX(LdBAmt,$N3060)=0,"",INDEX(LdBAmt,$N3060)))</f>
        <v/>
      </c>
      <c r="G3060" s="32">
        <f>IF($N3060="","",IF(INDEX(LdBNote,$N3060)="","—",INDEX(LdBNote,$N3060)))</f>
        <v/>
      </c>
      <c r="N3060">
        <f>IFERROR(MATCH($C$5&amp;"|"&amp;RIGHT("000000"&amp;1040,6),LdBKeyG,0),"")</f>
        <v/>
      </c>
    </row>
    <row r="3061">
      <c r="A3061" s="10" t="n">
        <v>1041</v>
      </c>
      <c r="B3061" s="14">
        <f>IF($N3061="","",INDEX(LdBDate,$N3061))</f>
        <v/>
      </c>
      <c r="C3061" s="14">
        <f>IF($N3061="","",IF(INDEX(LdBId,$N3061)="","—",INDEX(LdBId,$N3061)))</f>
        <v/>
      </c>
      <c r="D3061" s="14">
        <f>IF($N3061="","",INDEX(LdBMember,$N3061))</f>
        <v/>
      </c>
      <c r="E3061" s="14">
        <f>IF($N3061="","",IFERROR(IF(VLOOKUP(INDEX(LdBMember,$N3061),AcctTblE,4,0)="","(بدون نام)",VLOOKUP(INDEX(LdBMember,$N3061),AcctTblE,4,0)),"—"))</f>
        <v/>
      </c>
      <c r="F3061" s="16">
        <f>IF($N3061="","",IF(INDEX(LdBAmt,$N3061)=0,"",INDEX(LdBAmt,$N3061)))</f>
        <v/>
      </c>
      <c r="G3061" s="30">
        <f>IF($N3061="","",IF(INDEX(LdBNote,$N3061)="","—",INDEX(LdBNote,$N3061)))</f>
        <v/>
      </c>
      <c r="N3061">
        <f>IFERROR(MATCH($C$5&amp;"|"&amp;RIGHT("000000"&amp;1041,6),LdBKeyG,0),"")</f>
        <v/>
      </c>
    </row>
    <row r="3062">
      <c r="A3062" s="19" t="n">
        <v>1042</v>
      </c>
      <c r="B3062" s="20">
        <f>IF($N3062="","",INDEX(LdBDate,$N3062))</f>
        <v/>
      </c>
      <c r="C3062" s="20">
        <f>IF($N3062="","",IF(INDEX(LdBId,$N3062)="","—",INDEX(LdBId,$N3062)))</f>
        <v/>
      </c>
      <c r="D3062" s="20">
        <f>IF($N3062="","",INDEX(LdBMember,$N3062))</f>
        <v/>
      </c>
      <c r="E3062" s="20">
        <f>IF($N3062="","",IFERROR(IF(VLOOKUP(INDEX(LdBMember,$N3062),AcctTblE,4,0)="","(بدون نام)",VLOOKUP(INDEX(LdBMember,$N3062),AcctTblE,4,0)),"—"))</f>
        <v/>
      </c>
      <c r="F3062" s="21">
        <f>IF($N3062="","",IF(INDEX(LdBAmt,$N3062)=0,"",INDEX(LdBAmt,$N3062)))</f>
        <v/>
      </c>
      <c r="G3062" s="32">
        <f>IF($N3062="","",IF(INDEX(LdBNote,$N3062)="","—",INDEX(LdBNote,$N3062)))</f>
        <v/>
      </c>
      <c r="N3062">
        <f>IFERROR(MATCH($C$5&amp;"|"&amp;RIGHT("000000"&amp;1042,6),LdBKeyG,0),"")</f>
        <v/>
      </c>
    </row>
    <row r="3063">
      <c r="A3063" s="10" t="n">
        <v>1043</v>
      </c>
      <c r="B3063" s="14">
        <f>IF($N3063="","",INDEX(LdBDate,$N3063))</f>
        <v/>
      </c>
      <c r="C3063" s="14">
        <f>IF($N3063="","",IF(INDEX(LdBId,$N3063)="","—",INDEX(LdBId,$N3063)))</f>
        <v/>
      </c>
      <c r="D3063" s="14">
        <f>IF($N3063="","",INDEX(LdBMember,$N3063))</f>
        <v/>
      </c>
      <c r="E3063" s="14">
        <f>IF($N3063="","",IFERROR(IF(VLOOKUP(INDEX(LdBMember,$N3063),AcctTblE,4,0)="","(بدون نام)",VLOOKUP(INDEX(LdBMember,$N3063),AcctTblE,4,0)),"—"))</f>
        <v/>
      </c>
      <c r="F3063" s="16">
        <f>IF($N3063="","",IF(INDEX(LdBAmt,$N3063)=0,"",INDEX(LdBAmt,$N3063)))</f>
        <v/>
      </c>
      <c r="G3063" s="30">
        <f>IF($N3063="","",IF(INDEX(LdBNote,$N3063)="","—",INDEX(LdBNote,$N3063)))</f>
        <v/>
      </c>
      <c r="N3063">
        <f>IFERROR(MATCH($C$5&amp;"|"&amp;RIGHT("000000"&amp;1043,6),LdBKeyG,0),"")</f>
        <v/>
      </c>
    </row>
    <row r="3064">
      <c r="A3064" s="19" t="n">
        <v>1044</v>
      </c>
      <c r="B3064" s="20">
        <f>IF($N3064="","",INDEX(LdBDate,$N3064))</f>
        <v/>
      </c>
      <c r="C3064" s="20">
        <f>IF($N3064="","",IF(INDEX(LdBId,$N3064)="","—",INDEX(LdBId,$N3064)))</f>
        <v/>
      </c>
      <c r="D3064" s="20">
        <f>IF($N3064="","",INDEX(LdBMember,$N3064))</f>
        <v/>
      </c>
      <c r="E3064" s="20">
        <f>IF($N3064="","",IFERROR(IF(VLOOKUP(INDEX(LdBMember,$N3064),AcctTblE,4,0)="","(بدون نام)",VLOOKUP(INDEX(LdBMember,$N3064),AcctTblE,4,0)),"—"))</f>
        <v/>
      </c>
      <c r="F3064" s="21">
        <f>IF($N3064="","",IF(INDEX(LdBAmt,$N3064)=0,"",INDEX(LdBAmt,$N3064)))</f>
        <v/>
      </c>
      <c r="G3064" s="32">
        <f>IF($N3064="","",IF(INDEX(LdBNote,$N3064)="","—",INDEX(LdBNote,$N3064)))</f>
        <v/>
      </c>
      <c r="N3064">
        <f>IFERROR(MATCH($C$5&amp;"|"&amp;RIGHT("000000"&amp;1044,6),LdBKeyG,0),"")</f>
        <v/>
      </c>
    </row>
    <row r="3065">
      <c r="A3065" s="10" t="n">
        <v>1045</v>
      </c>
      <c r="B3065" s="14">
        <f>IF($N3065="","",INDEX(LdBDate,$N3065))</f>
        <v/>
      </c>
      <c r="C3065" s="14">
        <f>IF($N3065="","",IF(INDEX(LdBId,$N3065)="","—",INDEX(LdBId,$N3065)))</f>
        <v/>
      </c>
      <c r="D3065" s="14">
        <f>IF($N3065="","",INDEX(LdBMember,$N3065))</f>
        <v/>
      </c>
      <c r="E3065" s="14">
        <f>IF($N3065="","",IFERROR(IF(VLOOKUP(INDEX(LdBMember,$N3065),AcctTblE,4,0)="","(بدون نام)",VLOOKUP(INDEX(LdBMember,$N3065),AcctTblE,4,0)),"—"))</f>
        <v/>
      </c>
      <c r="F3065" s="16">
        <f>IF($N3065="","",IF(INDEX(LdBAmt,$N3065)=0,"",INDEX(LdBAmt,$N3065)))</f>
        <v/>
      </c>
      <c r="G3065" s="30">
        <f>IF($N3065="","",IF(INDEX(LdBNote,$N3065)="","—",INDEX(LdBNote,$N3065)))</f>
        <v/>
      </c>
      <c r="N3065">
        <f>IFERROR(MATCH($C$5&amp;"|"&amp;RIGHT("000000"&amp;1045,6),LdBKeyG,0),"")</f>
        <v/>
      </c>
    </row>
    <row r="3066">
      <c r="A3066" s="19" t="n">
        <v>1046</v>
      </c>
      <c r="B3066" s="20">
        <f>IF($N3066="","",INDEX(LdBDate,$N3066))</f>
        <v/>
      </c>
      <c r="C3066" s="20">
        <f>IF($N3066="","",IF(INDEX(LdBId,$N3066)="","—",INDEX(LdBId,$N3066)))</f>
        <v/>
      </c>
      <c r="D3066" s="20">
        <f>IF($N3066="","",INDEX(LdBMember,$N3066))</f>
        <v/>
      </c>
      <c r="E3066" s="20">
        <f>IF($N3066="","",IFERROR(IF(VLOOKUP(INDEX(LdBMember,$N3066),AcctTblE,4,0)="","(بدون نام)",VLOOKUP(INDEX(LdBMember,$N3066),AcctTblE,4,0)),"—"))</f>
        <v/>
      </c>
      <c r="F3066" s="21">
        <f>IF($N3066="","",IF(INDEX(LdBAmt,$N3066)=0,"",INDEX(LdBAmt,$N3066)))</f>
        <v/>
      </c>
      <c r="G3066" s="32">
        <f>IF($N3066="","",IF(INDEX(LdBNote,$N3066)="","—",INDEX(LdBNote,$N3066)))</f>
        <v/>
      </c>
      <c r="N3066">
        <f>IFERROR(MATCH($C$5&amp;"|"&amp;RIGHT("000000"&amp;1046,6),LdBKeyG,0),"")</f>
        <v/>
      </c>
    </row>
    <row r="3067">
      <c r="A3067" s="10" t="n">
        <v>1047</v>
      </c>
      <c r="B3067" s="14">
        <f>IF($N3067="","",INDEX(LdBDate,$N3067))</f>
        <v/>
      </c>
      <c r="C3067" s="14">
        <f>IF($N3067="","",IF(INDEX(LdBId,$N3067)="","—",INDEX(LdBId,$N3067)))</f>
        <v/>
      </c>
      <c r="D3067" s="14">
        <f>IF($N3067="","",INDEX(LdBMember,$N3067))</f>
        <v/>
      </c>
      <c r="E3067" s="14">
        <f>IF($N3067="","",IFERROR(IF(VLOOKUP(INDEX(LdBMember,$N3067),AcctTblE,4,0)="","(بدون نام)",VLOOKUP(INDEX(LdBMember,$N3067),AcctTblE,4,0)),"—"))</f>
        <v/>
      </c>
      <c r="F3067" s="16">
        <f>IF($N3067="","",IF(INDEX(LdBAmt,$N3067)=0,"",INDEX(LdBAmt,$N3067)))</f>
        <v/>
      </c>
      <c r="G3067" s="30">
        <f>IF($N3067="","",IF(INDEX(LdBNote,$N3067)="","—",INDEX(LdBNote,$N3067)))</f>
        <v/>
      </c>
      <c r="N3067">
        <f>IFERROR(MATCH($C$5&amp;"|"&amp;RIGHT("000000"&amp;1047,6),LdBKeyG,0),"")</f>
        <v/>
      </c>
    </row>
    <row r="3068">
      <c r="A3068" s="19" t="n">
        <v>1048</v>
      </c>
      <c r="B3068" s="20">
        <f>IF($N3068="","",INDEX(LdBDate,$N3068))</f>
        <v/>
      </c>
      <c r="C3068" s="20">
        <f>IF($N3068="","",IF(INDEX(LdBId,$N3068)="","—",INDEX(LdBId,$N3068)))</f>
        <v/>
      </c>
      <c r="D3068" s="20">
        <f>IF($N3068="","",INDEX(LdBMember,$N3068))</f>
        <v/>
      </c>
      <c r="E3068" s="20">
        <f>IF($N3068="","",IFERROR(IF(VLOOKUP(INDEX(LdBMember,$N3068),AcctTblE,4,0)="","(بدون نام)",VLOOKUP(INDEX(LdBMember,$N3068),AcctTblE,4,0)),"—"))</f>
        <v/>
      </c>
      <c r="F3068" s="21">
        <f>IF($N3068="","",IF(INDEX(LdBAmt,$N3068)=0,"",INDEX(LdBAmt,$N3068)))</f>
        <v/>
      </c>
      <c r="G3068" s="32">
        <f>IF($N3068="","",IF(INDEX(LdBNote,$N3068)="","—",INDEX(LdBNote,$N3068)))</f>
        <v/>
      </c>
      <c r="N3068">
        <f>IFERROR(MATCH($C$5&amp;"|"&amp;RIGHT("000000"&amp;1048,6),LdBKeyG,0),"")</f>
        <v/>
      </c>
    </row>
    <row r="3069">
      <c r="A3069" s="10" t="n">
        <v>1049</v>
      </c>
      <c r="B3069" s="14">
        <f>IF($N3069="","",INDEX(LdBDate,$N3069))</f>
        <v/>
      </c>
      <c r="C3069" s="14">
        <f>IF($N3069="","",IF(INDEX(LdBId,$N3069)="","—",INDEX(LdBId,$N3069)))</f>
        <v/>
      </c>
      <c r="D3069" s="14">
        <f>IF($N3069="","",INDEX(LdBMember,$N3069))</f>
        <v/>
      </c>
      <c r="E3069" s="14">
        <f>IF($N3069="","",IFERROR(IF(VLOOKUP(INDEX(LdBMember,$N3069),AcctTblE,4,0)="","(بدون نام)",VLOOKUP(INDEX(LdBMember,$N3069),AcctTblE,4,0)),"—"))</f>
        <v/>
      </c>
      <c r="F3069" s="16">
        <f>IF($N3069="","",IF(INDEX(LdBAmt,$N3069)=0,"",INDEX(LdBAmt,$N3069)))</f>
        <v/>
      </c>
      <c r="G3069" s="30">
        <f>IF($N3069="","",IF(INDEX(LdBNote,$N3069)="","—",INDEX(LdBNote,$N3069)))</f>
        <v/>
      </c>
      <c r="N3069">
        <f>IFERROR(MATCH($C$5&amp;"|"&amp;RIGHT("000000"&amp;1049,6),LdBKeyG,0),"")</f>
        <v/>
      </c>
    </row>
    <row r="3070">
      <c r="A3070" s="19" t="n">
        <v>1050</v>
      </c>
      <c r="B3070" s="20">
        <f>IF($N3070="","",INDEX(LdBDate,$N3070))</f>
        <v/>
      </c>
      <c r="C3070" s="20">
        <f>IF($N3070="","",IF(INDEX(LdBId,$N3070)="","—",INDEX(LdBId,$N3070)))</f>
        <v/>
      </c>
      <c r="D3070" s="20">
        <f>IF($N3070="","",INDEX(LdBMember,$N3070))</f>
        <v/>
      </c>
      <c r="E3070" s="20">
        <f>IF($N3070="","",IFERROR(IF(VLOOKUP(INDEX(LdBMember,$N3070),AcctTblE,4,0)="","(بدون نام)",VLOOKUP(INDEX(LdBMember,$N3070),AcctTblE,4,0)),"—"))</f>
        <v/>
      </c>
      <c r="F3070" s="21">
        <f>IF($N3070="","",IF(INDEX(LdBAmt,$N3070)=0,"",INDEX(LdBAmt,$N3070)))</f>
        <v/>
      </c>
      <c r="G3070" s="32">
        <f>IF($N3070="","",IF(INDEX(LdBNote,$N3070)="","—",INDEX(LdBNote,$N3070)))</f>
        <v/>
      </c>
      <c r="N3070">
        <f>IFERROR(MATCH($C$5&amp;"|"&amp;RIGHT("000000"&amp;1050,6),LdBKeyG,0),"")</f>
        <v/>
      </c>
    </row>
    <row r="3071">
      <c r="A3071" s="10" t="n">
        <v>1051</v>
      </c>
      <c r="B3071" s="14">
        <f>IF($N3071="","",INDEX(LdBDate,$N3071))</f>
        <v/>
      </c>
      <c r="C3071" s="14">
        <f>IF($N3071="","",IF(INDEX(LdBId,$N3071)="","—",INDEX(LdBId,$N3071)))</f>
        <v/>
      </c>
      <c r="D3071" s="14">
        <f>IF($N3071="","",INDEX(LdBMember,$N3071))</f>
        <v/>
      </c>
      <c r="E3071" s="14">
        <f>IF($N3071="","",IFERROR(IF(VLOOKUP(INDEX(LdBMember,$N3071),AcctTblE,4,0)="","(بدون نام)",VLOOKUP(INDEX(LdBMember,$N3071),AcctTblE,4,0)),"—"))</f>
        <v/>
      </c>
      <c r="F3071" s="16">
        <f>IF($N3071="","",IF(INDEX(LdBAmt,$N3071)=0,"",INDEX(LdBAmt,$N3071)))</f>
        <v/>
      </c>
      <c r="G3071" s="30">
        <f>IF($N3071="","",IF(INDEX(LdBNote,$N3071)="","—",INDEX(LdBNote,$N3071)))</f>
        <v/>
      </c>
      <c r="N3071">
        <f>IFERROR(MATCH($C$5&amp;"|"&amp;RIGHT("000000"&amp;1051,6),LdBKeyG,0),"")</f>
        <v/>
      </c>
    </row>
    <row r="3072">
      <c r="A3072" s="19" t="n">
        <v>1052</v>
      </c>
      <c r="B3072" s="20">
        <f>IF($N3072="","",INDEX(LdBDate,$N3072))</f>
        <v/>
      </c>
      <c r="C3072" s="20">
        <f>IF($N3072="","",IF(INDEX(LdBId,$N3072)="","—",INDEX(LdBId,$N3072)))</f>
        <v/>
      </c>
      <c r="D3072" s="20">
        <f>IF($N3072="","",INDEX(LdBMember,$N3072))</f>
        <v/>
      </c>
      <c r="E3072" s="20">
        <f>IF($N3072="","",IFERROR(IF(VLOOKUP(INDEX(LdBMember,$N3072),AcctTblE,4,0)="","(بدون نام)",VLOOKUP(INDEX(LdBMember,$N3072),AcctTblE,4,0)),"—"))</f>
        <v/>
      </c>
      <c r="F3072" s="21">
        <f>IF($N3072="","",IF(INDEX(LdBAmt,$N3072)=0,"",INDEX(LdBAmt,$N3072)))</f>
        <v/>
      </c>
      <c r="G3072" s="32">
        <f>IF($N3072="","",IF(INDEX(LdBNote,$N3072)="","—",INDEX(LdBNote,$N3072)))</f>
        <v/>
      </c>
      <c r="N3072">
        <f>IFERROR(MATCH($C$5&amp;"|"&amp;RIGHT("000000"&amp;1052,6),LdBKeyG,0),"")</f>
        <v/>
      </c>
    </row>
    <row r="3073">
      <c r="A3073" s="10" t="n">
        <v>1053</v>
      </c>
      <c r="B3073" s="14">
        <f>IF($N3073="","",INDEX(LdBDate,$N3073))</f>
        <v/>
      </c>
      <c r="C3073" s="14">
        <f>IF($N3073="","",IF(INDEX(LdBId,$N3073)="","—",INDEX(LdBId,$N3073)))</f>
        <v/>
      </c>
      <c r="D3073" s="14">
        <f>IF($N3073="","",INDEX(LdBMember,$N3073))</f>
        <v/>
      </c>
      <c r="E3073" s="14">
        <f>IF($N3073="","",IFERROR(IF(VLOOKUP(INDEX(LdBMember,$N3073),AcctTblE,4,0)="","(بدون نام)",VLOOKUP(INDEX(LdBMember,$N3073),AcctTblE,4,0)),"—"))</f>
        <v/>
      </c>
      <c r="F3073" s="16">
        <f>IF($N3073="","",IF(INDEX(LdBAmt,$N3073)=0,"",INDEX(LdBAmt,$N3073)))</f>
        <v/>
      </c>
      <c r="G3073" s="30">
        <f>IF($N3073="","",IF(INDEX(LdBNote,$N3073)="","—",INDEX(LdBNote,$N3073)))</f>
        <v/>
      </c>
      <c r="N3073">
        <f>IFERROR(MATCH($C$5&amp;"|"&amp;RIGHT("000000"&amp;1053,6),LdBKeyG,0),"")</f>
        <v/>
      </c>
    </row>
    <row r="3074">
      <c r="A3074" s="19" t="n">
        <v>1054</v>
      </c>
      <c r="B3074" s="20">
        <f>IF($N3074="","",INDEX(LdBDate,$N3074))</f>
        <v/>
      </c>
      <c r="C3074" s="20">
        <f>IF($N3074="","",IF(INDEX(LdBId,$N3074)="","—",INDEX(LdBId,$N3074)))</f>
        <v/>
      </c>
      <c r="D3074" s="20">
        <f>IF($N3074="","",INDEX(LdBMember,$N3074))</f>
        <v/>
      </c>
      <c r="E3074" s="20">
        <f>IF($N3074="","",IFERROR(IF(VLOOKUP(INDEX(LdBMember,$N3074),AcctTblE,4,0)="","(بدون نام)",VLOOKUP(INDEX(LdBMember,$N3074),AcctTblE,4,0)),"—"))</f>
        <v/>
      </c>
      <c r="F3074" s="21">
        <f>IF($N3074="","",IF(INDEX(LdBAmt,$N3074)=0,"",INDEX(LdBAmt,$N3074)))</f>
        <v/>
      </c>
      <c r="G3074" s="32">
        <f>IF($N3074="","",IF(INDEX(LdBNote,$N3074)="","—",INDEX(LdBNote,$N3074)))</f>
        <v/>
      </c>
      <c r="N3074">
        <f>IFERROR(MATCH($C$5&amp;"|"&amp;RIGHT("000000"&amp;1054,6),LdBKeyG,0),"")</f>
        <v/>
      </c>
    </row>
    <row r="3075">
      <c r="A3075" s="10" t="n">
        <v>1055</v>
      </c>
      <c r="B3075" s="14">
        <f>IF($N3075="","",INDEX(LdBDate,$N3075))</f>
        <v/>
      </c>
      <c r="C3075" s="14">
        <f>IF($N3075="","",IF(INDEX(LdBId,$N3075)="","—",INDEX(LdBId,$N3075)))</f>
        <v/>
      </c>
      <c r="D3075" s="14">
        <f>IF($N3075="","",INDEX(LdBMember,$N3075))</f>
        <v/>
      </c>
      <c r="E3075" s="14">
        <f>IF($N3075="","",IFERROR(IF(VLOOKUP(INDEX(LdBMember,$N3075),AcctTblE,4,0)="","(بدون نام)",VLOOKUP(INDEX(LdBMember,$N3075),AcctTblE,4,0)),"—"))</f>
        <v/>
      </c>
      <c r="F3075" s="16">
        <f>IF($N3075="","",IF(INDEX(LdBAmt,$N3075)=0,"",INDEX(LdBAmt,$N3075)))</f>
        <v/>
      </c>
      <c r="G3075" s="30">
        <f>IF($N3075="","",IF(INDEX(LdBNote,$N3075)="","—",INDEX(LdBNote,$N3075)))</f>
        <v/>
      </c>
      <c r="N3075">
        <f>IFERROR(MATCH($C$5&amp;"|"&amp;RIGHT("000000"&amp;1055,6),LdBKeyG,0),"")</f>
        <v/>
      </c>
    </row>
    <row r="3076">
      <c r="A3076" s="19" t="n">
        <v>1056</v>
      </c>
      <c r="B3076" s="20">
        <f>IF($N3076="","",INDEX(LdBDate,$N3076))</f>
        <v/>
      </c>
      <c r="C3076" s="20">
        <f>IF($N3076="","",IF(INDEX(LdBId,$N3076)="","—",INDEX(LdBId,$N3076)))</f>
        <v/>
      </c>
      <c r="D3076" s="20">
        <f>IF($N3076="","",INDEX(LdBMember,$N3076))</f>
        <v/>
      </c>
      <c r="E3076" s="20">
        <f>IF($N3076="","",IFERROR(IF(VLOOKUP(INDEX(LdBMember,$N3076),AcctTblE,4,0)="","(بدون نام)",VLOOKUP(INDEX(LdBMember,$N3076),AcctTblE,4,0)),"—"))</f>
        <v/>
      </c>
      <c r="F3076" s="21">
        <f>IF($N3076="","",IF(INDEX(LdBAmt,$N3076)=0,"",INDEX(LdBAmt,$N3076)))</f>
        <v/>
      </c>
      <c r="G3076" s="32">
        <f>IF($N3076="","",IF(INDEX(LdBNote,$N3076)="","—",INDEX(LdBNote,$N3076)))</f>
        <v/>
      </c>
      <c r="N3076">
        <f>IFERROR(MATCH($C$5&amp;"|"&amp;RIGHT("000000"&amp;1056,6),LdBKeyG,0),"")</f>
        <v/>
      </c>
    </row>
    <row r="3077">
      <c r="A3077" s="10" t="n">
        <v>1057</v>
      </c>
      <c r="B3077" s="14">
        <f>IF($N3077="","",INDEX(LdBDate,$N3077))</f>
        <v/>
      </c>
      <c r="C3077" s="14">
        <f>IF($N3077="","",IF(INDEX(LdBId,$N3077)="","—",INDEX(LdBId,$N3077)))</f>
        <v/>
      </c>
      <c r="D3077" s="14">
        <f>IF($N3077="","",INDEX(LdBMember,$N3077))</f>
        <v/>
      </c>
      <c r="E3077" s="14">
        <f>IF($N3077="","",IFERROR(IF(VLOOKUP(INDEX(LdBMember,$N3077),AcctTblE,4,0)="","(بدون نام)",VLOOKUP(INDEX(LdBMember,$N3077),AcctTblE,4,0)),"—"))</f>
        <v/>
      </c>
      <c r="F3077" s="16">
        <f>IF($N3077="","",IF(INDEX(LdBAmt,$N3077)=0,"",INDEX(LdBAmt,$N3077)))</f>
        <v/>
      </c>
      <c r="G3077" s="30">
        <f>IF($N3077="","",IF(INDEX(LdBNote,$N3077)="","—",INDEX(LdBNote,$N3077)))</f>
        <v/>
      </c>
      <c r="N3077">
        <f>IFERROR(MATCH($C$5&amp;"|"&amp;RIGHT("000000"&amp;1057,6),LdBKeyG,0),"")</f>
        <v/>
      </c>
    </row>
    <row r="3078">
      <c r="A3078" s="19" t="n">
        <v>1058</v>
      </c>
      <c r="B3078" s="20">
        <f>IF($N3078="","",INDEX(LdBDate,$N3078))</f>
        <v/>
      </c>
      <c r="C3078" s="20">
        <f>IF($N3078="","",IF(INDEX(LdBId,$N3078)="","—",INDEX(LdBId,$N3078)))</f>
        <v/>
      </c>
      <c r="D3078" s="20">
        <f>IF($N3078="","",INDEX(LdBMember,$N3078))</f>
        <v/>
      </c>
      <c r="E3078" s="20">
        <f>IF($N3078="","",IFERROR(IF(VLOOKUP(INDEX(LdBMember,$N3078),AcctTblE,4,0)="","(بدون نام)",VLOOKUP(INDEX(LdBMember,$N3078),AcctTblE,4,0)),"—"))</f>
        <v/>
      </c>
      <c r="F3078" s="21">
        <f>IF($N3078="","",IF(INDEX(LdBAmt,$N3078)=0,"",INDEX(LdBAmt,$N3078)))</f>
        <v/>
      </c>
      <c r="G3078" s="32">
        <f>IF($N3078="","",IF(INDEX(LdBNote,$N3078)="","—",INDEX(LdBNote,$N3078)))</f>
        <v/>
      </c>
      <c r="N3078">
        <f>IFERROR(MATCH($C$5&amp;"|"&amp;RIGHT("000000"&amp;1058,6),LdBKeyG,0),"")</f>
        <v/>
      </c>
    </row>
    <row r="3079">
      <c r="A3079" s="10" t="n">
        <v>1059</v>
      </c>
      <c r="B3079" s="14">
        <f>IF($N3079="","",INDEX(LdBDate,$N3079))</f>
        <v/>
      </c>
      <c r="C3079" s="14">
        <f>IF($N3079="","",IF(INDEX(LdBId,$N3079)="","—",INDEX(LdBId,$N3079)))</f>
        <v/>
      </c>
      <c r="D3079" s="14">
        <f>IF($N3079="","",INDEX(LdBMember,$N3079))</f>
        <v/>
      </c>
      <c r="E3079" s="14">
        <f>IF($N3079="","",IFERROR(IF(VLOOKUP(INDEX(LdBMember,$N3079),AcctTblE,4,0)="","(بدون نام)",VLOOKUP(INDEX(LdBMember,$N3079),AcctTblE,4,0)),"—"))</f>
        <v/>
      </c>
      <c r="F3079" s="16">
        <f>IF($N3079="","",IF(INDEX(LdBAmt,$N3079)=0,"",INDEX(LdBAmt,$N3079)))</f>
        <v/>
      </c>
      <c r="G3079" s="30">
        <f>IF($N3079="","",IF(INDEX(LdBNote,$N3079)="","—",INDEX(LdBNote,$N3079)))</f>
        <v/>
      </c>
      <c r="N3079">
        <f>IFERROR(MATCH($C$5&amp;"|"&amp;RIGHT("000000"&amp;1059,6),LdBKeyG,0),"")</f>
        <v/>
      </c>
    </row>
    <row r="3080">
      <c r="A3080" s="19" t="n">
        <v>1060</v>
      </c>
      <c r="B3080" s="20">
        <f>IF($N3080="","",INDEX(LdBDate,$N3080))</f>
        <v/>
      </c>
      <c r="C3080" s="20">
        <f>IF($N3080="","",IF(INDEX(LdBId,$N3080)="","—",INDEX(LdBId,$N3080)))</f>
        <v/>
      </c>
      <c r="D3080" s="20">
        <f>IF($N3080="","",INDEX(LdBMember,$N3080))</f>
        <v/>
      </c>
      <c r="E3080" s="20">
        <f>IF($N3080="","",IFERROR(IF(VLOOKUP(INDEX(LdBMember,$N3080),AcctTblE,4,0)="","(بدون نام)",VLOOKUP(INDEX(LdBMember,$N3080),AcctTblE,4,0)),"—"))</f>
        <v/>
      </c>
      <c r="F3080" s="21">
        <f>IF($N3080="","",IF(INDEX(LdBAmt,$N3080)=0,"",INDEX(LdBAmt,$N3080)))</f>
        <v/>
      </c>
      <c r="G3080" s="32">
        <f>IF($N3080="","",IF(INDEX(LdBNote,$N3080)="","—",INDEX(LdBNote,$N3080)))</f>
        <v/>
      </c>
      <c r="N3080">
        <f>IFERROR(MATCH($C$5&amp;"|"&amp;RIGHT("000000"&amp;1060,6),LdBKeyG,0),"")</f>
        <v/>
      </c>
    </row>
    <row r="3081">
      <c r="A3081" s="10" t="n">
        <v>1061</v>
      </c>
      <c r="B3081" s="14">
        <f>IF($N3081="","",INDEX(LdBDate,$N3081))</f>
        <v/>
      </c>
      <c r="C3081" s="14">
        <f>IF($N3081="","",IF(INDEX(LdBId,$N3081)="","—",INDEX(LdBId,$N3081)))</f>
        <v/>
      </c>
      <c r="D3081" s="14">
        <f>IF($N3081="","",INDEX(LdBMember,$N3081))</f>
        <v/>
      </c>
      <c r="E3081" s="14">
        <f>IF($N3081="","",IFERROR(IF(VLOOKUP(INDEX(LdBMember,$N3081),AcctTblE,4,0)="","(بدون نام)",VLOOKUP(INDEX(LdBMember,$N3081),AcctTblE,4,0)),"—"))</f>
        <v/>
      </c>
      <c r="F3081" s="16">
        <f>IF($N3081="","",IF(INDEX(LdBAmt,$N3081)=0,"",INDEX(LdBAmt,$N3081)))</f>
        <v/>
      </c>
      <c r="G3081" s="30">
        <f>IF($N3081="","",IF(INDEX(LdBNote,$N3081)="","—",INDEX(LdBNote,$N3081)))</f>
        <v/>
      </c>
      <c r="N3081">
        <f>IFERROR(MATCH($C$5&amp;"|"&amp;RIGHT("000000"&amp;1061,6),LdBKeyG,0),"")</f>
        <v/>
      </c>
    </row>
    <row r="3082">
      <c r="A3082" s="19" t="n">
        <v>1062</v>
      </c>
      <c r="B3082" s="20">
        <f>IF($N3082="","",INDEX(LdBDate,$N3082))</f>
        <v/>
      </c>
      <c r="C3082" s="20">
        <f>IF($N3082="","",IF(INDEX(LdBId,$N3082)="","—",INDEX(LdBId,$N3082)))</f>
        <v/>
      </c>
      <c r="D3082" s="20">
        <f>IF($N3082="","",INDEX(LdBMember,$N3082))</f>
        <v/>
      </c>
      <c r="E3082" s="20">
        <f>IF($N3082="","",IFERROR(IF(VLOOKUP(INDEX(LdBMember,$N3082),AcctTblE,4,0)="","(بدون نام)",VLOOKUP(INDEX(LdBMember,$N3082),AcctTblE,4,0)),"—"))</f>
        <v/>
      </c>
      <c r="F3082" s="21">
        <f>IF($N3082="","",IF(INDEX(LdBAmt,$N3082)=0,"",INDEX(LdBAmt,$N3082)))</f>
        <v/>
      </c>
      <c r="G3082" s="32">
        <f>IF($N3082="","",IF(INDEX(LdBNote,$N3082)="","—",INDEX(LdBNote,$N3082)))</f>
        <v/>
      </c>
      <c r="N3082">
        <f>IFERROR(MATCH($C$5&amp;"|"&amp;RIGHT("000000"&amp;1062,6),LdBKeyG,0),"")</f>
        <v/>
      </c>
    </row>
    <row r="3083">
      <c r="A3083" s="10" t="n">
        <v>1063</v>
      </c>
      <c r="B3083" s="14">
        <f>IF($N3083="","",INDEX(LdBDate,$N3083))</f>
        <v/>
      </c>
      <c r="C3083" s="14">
        <f>IF($N3083="","",IF(INDEX(LdBId,$N3083)="","—",INDEX(LdBId,$N3083)))</f>
        <v/>
      </c>
      <c r="D3083" s="14">
        <f>IF($N3083="","",INDEX(LdBMember,$N3083))</f>
        <v/>
      </c>
      <c r="E3083" s="14">
        <f>IF($N3083="","",IFERROR(IF(VLOOKUP(INDEX(LdBMember,$N3083),AcctTblE,4,0)="","(بدون نام)",VLOOKUP(INDEX(LdBMember,$N3083),AcctTblE,4,0)),"—"))</f>
        <v/>
      </c>
      <c r="F3083" s="16">
        <f>IF($N3083="","",IF(INDEX(LdBAmt,$N3083)=0,"",INDEX(LdBAmt,$N3083)))</f>
        <v/>
      </c>
      <c r="G3083" s="30">
        <f>IF($N3083="","",IF(INDEX(LdBNote,$N3083)="","—",INDEX(LdBNote,$N3083)))</f>
        <v/>
      </c>
      <c r="N3083">
        <f>IFERROR(MATCH($C$5&amp;"|"&amp;RIGHT("000000"&amp;1063,6),LdBKeyG,0),"")</f>
        <v/>
      </c>
    </row>
    <row r="3084">
      <c r="A3084" s="19" t="n">
        <v>1064</v>
      </c>
      <c r="B3084" s="20">
        <f>IF($N3084="","",INDEX(LdBDate,$N3084))</f>
        <v/>
      </c>
      <c r="C3084" s="20">
        <f>IF($N3084="","",IF(INDEX(LdBId,$N3084)="","—",INDEX(LdBId,$N3084)))</f>
        <v/>
      </c>
      <c r="D3084" s="20">
        <f>IF($N3084="","",INDEX(LdBMember,$N3084))</f>
        <v/>
      </c>
      <c r="E3084" s="20">
        <f>IF($N3084="","",IFERROR(IF(VLOOKUP(INDEX(LdBMember,$N3084),AcctTblE,4,0)="","(بدون نام)",VLOOKUP(INDEX(LdBMember,$N3084),AcctTblE,4,0)),"—"))</f>
        <v/>
      </c>
      <c r="F3084" s="21">
        <f>IF($N3084="","",IF(INDEX(LdBAmt,$N3084)=0,"",INDEX(LdBAmt,$N3084)))</f>
        <v/>
      </c>
      <c r="G3084" s="32">
        <f>IF($N3084="","",IF(INDEX(LdBNote,$N3084)="","—",INDEX(LdBNote,$N3084)))</f>
        <v/>
      </c>
      <c r="N3084">
        <f>IFERROR(MATCH($C$5&amp;"|"&amp;RIGHT("000000"&amp;1064,6),LdBKeyG,0),"")</f>
        <v/>
      </c>
    </row>
    <row r="3085">
      <c r="A3085" s="10" t="n">
        <v>1065</v>
      </c>
      <c r="B3085" s="14">
        <f>IF($N3085="","",INDEX(LdBDate,$N3085))</f>
        <v/>
      </c>
      <c r="C3085" s="14">
        <f>IF($N3085="","",IF(INDEX(LdBId,$N3085)="","—",INDEX(LdBId,$N3085)))</f>
        <v/>
      </c>
      <c r="D3085" s="14">
        <f>IF($N3085="","",INDEX(LdBMember,$N3085))</f>
        <v/>
      </c>
      <c r="E3085" s="14">
        <f>IF($N3085="","",IFERROR(IF(VLOOKUP(INDEX(LdBMember,$N3085),AcctTblE,4,0)="","(بدون نام)",VLOOKUP(INDEX(LdBMember,$N3085),AcctTblE,4,0)),"—"))</f>
        <v/>
      </c>
      <c r="F3085" s="16">
        <f>IF($N3085="","",IF(INDEX(LdBAmt,$N3085)=0,"",INDEX(LdBAmt,$N3085)))</f>
        <v/>
      </c>
      <c r="G3085" s="30">
        <f>IF($N3085="","",IF(INDEX(LdBNote,$N3085)="","—",INDEX(LdBNote,$N3085)))</f>
        <v/>
      </c>
      <c r="N3085">
        <f>IFERROR(MATCH($C$5&amp;"|"&amp;RIGHT("000000"&amp;1065,6),LdBKeyG,0),"")</f>
        <v/>
      </c>
    </row>
    <row r="3086">
      <c r="A3086" s="19" t="n">
        <v>1066</v>
      </c>
      <c r="B3086" s="20">
        <f>IF($N3086="","",INDEX(LdBDate,$N3086))</f>
        <v/>
      </c>
      <c r="C3086" s="20">
        <f>IF($N3086="","",IF(INDEX(LdBId,$N3086)="","—",INDEX(LdBId,$N3086)))</f>
        <v/>
      </c>
      <c r="D3086" s="20">
        <f>IF($N3086="","",INDEX(LdBMember,$N3086))</f>
        <v/>
      </c>
      <c r="E3086" s="20">
        <f>IF($N3086="","",IFERROR(IF(VLOOKUP(INDEX(LdBMember,$N3086),AcctTblE,4,0)="","(بدون نام)",VLOOKUP(INDEX(LdBMember,$N3086),AcctTblE,4,0)),"—"))</f>
        <v/>
      </c>
      <c r="F3086" s="21">
        <f>IF($N3086="","",IF(INDEX(LdBAmt,$N3086)=0,"",INDEX(LdBAmt,$N3086)))</f>
        <v/>
      </c>
      <c r="G3086" s="32">
        <f>IF($N3086="","",IF(INDEX(LdBNote,$N3086)="","—",INDEX(LdBNote,$N3086)))</f>
        <v/>
      </c>
      <c r="N3086">
        <f>IFERROR(MATCH($C$5&amp;"|"&amp;RIGHT("000000"&amp;1066,6),LdBKeyG,0),"")</f>
        <v/>
      </c>
    </row>
    <row r="3087">
      <c r="A3087" s="10" t="n">
        <v>1067</v>
      </c>
      <c r="B3087" s="14">
        <f>IF($N3087="","",INDEX(LdBDate,$N3087))</f>
        <v/>
      </c>
      <c r="C3087" s="14">
        <f>IF($N3087="","",IF(INDEX(LdBId,$N3087)="","—",INDEX(LdBId,$N3087)))</f>
        <v/>
      </c>
      <c r="D3087" s="14">
        <f>IF($N3087="","",INDEX(LdBMember,$N3087))</f>
        <v/>
      </c>
      <c r="E3087" s="14">
        <f>IF($N3087="","",IFERROR(IF(VLOOKUP(INDEX(LdBMember,$N3087),AcctTblE,4,0)="","(بدون نام)",VLOOKUP(INDEX(LdBMember,$N3087),AcctTblE,4,0)),"—"))</f>
        <v/>
      </c>
      <c r="F3087" s="16">
        <f>IF($N3087="","",IF(INDEX(LdBAmt,$N3087)=0,"",INDEX(LdBAmt,$N3087)))</f>
        <v/>
      </c>
      <c r="G3087" s="30">
        <f>IF($N3087="","",IF(INDEX(LdBNote,$N3087)="","—",INDEX(LdBNote,$N3087)))</f>
        <v/>
      </c>
      <c r="N3087">
        <f>IFERROR(MATCH($C$5&amp;"|"&amp;RIGHT("000000"&amp;1067,6),LdBKeyG,0),"")</f>
        <v/>
      </c>
    </row>
    <row r="3088">
      <c r="A3088" s="19" t="n">
        <v>1068</v>
      </c>
      <c r="B3088" s="20">
        <f>IF($N3088="","",INDEX(LdBDate,$N3088))</f>
        <v/>
      </c>
      <c r="C3088" s="20">
        <f>IF($N3088="","",IF(INDEX(LdBId,$N3088)="","—",INDEX(LdBId,$N3088)))</f>
        <v/>
      </c>
      <c r="D3088" s="20">
        <f>IF($N3088="","",INDEX(LdBMember,$N3088))</f>
        <v/>
      </c>
      <c r="E3088" s="20">
        <f>IF($N3088="","",IFERROR(IF(VLOOKUP(INDEX(LdBMember,$N3088),AcctTblE,4,0)="","(بدون نام)",VLOOKUP(INDEX(LdBMember,$N3088),AcctTblE,4,0)),"—"))</f>
        <v/>
      </c>
      <c r="F3088" s="21">
        <f>IF($N3088="","",IF(INDEX(LdBAmt,$N3088)=0,"",INDEX(LdBAmt,$N3088)))</f>
        <v/>
      </c>
      <c r="G3088" s="32">
        <f>IF($N3088="","",IF(INDEX(LdBNote,$N3088)="","—",INDEX(LdBNote,$N3088)))</f>
        <v/>
      </c>
      <c r="N3088">
        <f>IFERROR(MATCH($C$5&amp;"|"&amp;RIGHT("000000"&amp;1068,6),LdBKeyG,0),"")</f>
        <v/>
      </c>
    </row>
    <row r="3089">
      <c r="A3089" s="10" t="n">
        <v>1069</v>
      </c>
      <c r="B3089" s="14">
        <f>IF($N3089="","",INDEX(LdBDate,$N3089))</f>
        <v/>
      </c>
      <c r="C3089" s="14">
        <f>IF($N3089="","",IF(INDEX(LdBId,$N3089)="","—",INDEX(LdBId,$N3089)))</f>
        <v/>
      </c>
      <c r="D3089" s="14">
        <f>IF($N3089="","",INDEX(LdBMember,$N3089))</f>
        <v/>
      </c>
      <c r="E3089" s="14">
        <f>IF($N3089="","",IFERROR(IF(VLOOKUP(INDEX(LdBMember,$N3089),AcctTblE,4,0)="","(بدون نام)",VLOOKUP(INDEX(LdBMember,$N3089),AcctTblE,4,0)),"—"))</f>
        <v/>
      </c>
      <c r="F3089" s="16">
        <f>IF($N3089="","",IF(INDEX(LdBAmt,$N3089)=0,"",INDEX(LdBAmt,$N3089)))</f>
        <v/>
      </c>
      <c r="G3089" s="30">
        <f>IF($N3089="","",IF(INDEX(LdBNote,$N3089)="","—",INDEX(LdBNote,$N3089)))</f>
        <v/>
      </c>
      <c r="N3089">
        <f>IFERROR(MATCH($C$5&amp;"|"&amp;RIGHT("000000"&amp;1069,6),LdBKeyG,0),"")</f>
        <v/>
      </c>
    </row>
    <row r="3090">
      <c r="A3090" s="19" t="n">
        <v>1070</v>
      </c>
      <c r="B3090" s="20">
        <f>IF($N3090="","",INDEX(LdBDate,$N3090))</f>
        <v/>
      </c>
      <c r="C3090" s="20">
        <f>IF($N3090="","",IF(INDEX(LdBId,$N3090)="","—",INDEX(LdBId,$N3090)))</f>
        <v/>
      </c>
      <c r="D3090" s="20">
        <f>IF($N3090="","",INDEX(LdBMember,$N3090))</f>
        <v/>
      </c>
      <c r="E3090" s="20">
        <f>IF($N3090="","",IFERROR(IF(VLOOKUP(INDEX(LdBMember,$N3090),AcctTblE,4,0)="","(بدون نام)",VLOOKUP(INDEX(LdBMember,$N3090),AcctTblE,4,0)),"—"))</f>
        <v/>
      </c>
      <c r="F3090" s="21">
        <f>IF($N3090="","",IF(INDEX(LdBAmt,$N3090)=0,"",INDEX(LdBAmt,$N3090)))</f>
        <v/>
      </c>
      <c r="G3090" s="32">
        <f>IF($N3090="","",IF(INDEX(LdBNote,$N3090)="","—",INDEX(LdBNote,$N3090)))</f>
        <v/>
      </c>
      <c r="N3090">
        <f>IFERROR(MATCH($C$5&amp;"|"&amp;RIGHT("000000"&amp;1070,6),LdBKeyG,0),"")</f>
        <v/>
      </c>
    </row>
    <row r="3091">
      <c r="A3091" s="10" t="n">
        <v>1071</v>
      </c>
      <c r="B3091" s="14">
        <f>IF($N3091="","",INDEX(LdBDate,$N3091))</f>
        <v/>
      </c>
      <c r="C3091" s="14">
        <f>IF($N3091="","",IF(INDEX(LdBId,$N3091)="","—",INDEX(LdBId,$N3091)))</f>
        <v/>
      </c>
      <c r="D3091" s="14">
        <f>IF($N3091="","",INDEX(LdBMember,$N3091))</f>
        <v/>
      </c>
      <c r="E3091" s="14">
        <f>IF($N3091="","",IFERROR(IF(VLOOKUP(INDEX(LdBMember,$N3091),AcctTblE,4,0)="","(بدون نام)",VLOOKUP(INDEX(LdBMember,$N3091),AcctTblE,4,0)),"—"))</f>
        <v/>
      </c>
      <c r="F3091" s="16">
        <f>IF($N3091="","",IF(INDEX(LdBAmt,$N3091)=0,"",INDEX(LdBAmt,$N3091)))</f>
        <v/>
      </c>
      <c r="G3091" s="30">
        <f>IF($N3091="","",IF(INDEX(LdBNote,$N3091)="","—",INDEX(LdBNote,$N3091)))</f>
        <v/>
      </c>
      <c r="N3091">
        <f>IFERROR(MATCH($C$5&amp;"|"&amp;RIGHT("000000"&amp;1071,6),LdBKeyG,0),"")</f>
        <v/>
      </c>
    </row>
    <row r="3092">
      <c r="A3092" s="19" t="n">
        <v>1072</v>
      </c>
      <c r="B3092" s="20">
        <f>IF($N3092="","",INDEX(LdBDate,$N3092))</f>
        <v/>
      </c>
      <c r="C3092" s="20">
        <f>IF($N3092="","",IF(INDEX(LdBId,$N3092)="","—",INDEX(LdBId,$N3092)))</f>
        <v/>
      </c>
      <c r="D3092" s="20">
        <f>IF($N3092="","",INDEX(LdBMember,$N3092))</f>
        <v/>
      </c>
      <c r="E3092" s="20">
        <f>IF($N3092="","",IFERROR(IF(VLOOKUP(INDEX(LdBMember,$N3092),AcctTblE,4,0)="","(بدون نام)",VLOOKUP(INDEX(LdBMember,$N3092),AcctTblE,4,0)),"—"))</f>
        <v/>
      </c>
      <c r="F3092" s="21">
        <f>IF($N3092="","",IF(INDEX(LdBAmt,$N3092)=0,"",INDEX(LdBAmt,$N3092)))</f>
        <v/>
      </c>
      <c r="G3092" s="32">
        <f>IF($N3092="","",IF(INDEX(LdBNote,$N3092)="","—",INDEX(LdBNote,$N3092)))</f>
        <v/>
      </c>
      <c r="N3092">
        <f>IFERROR(MATCH($C$5&amp;"|"&amp;RIGHT("000000"&amp;1072,6),LdBKeyG,0),"")</f>
        <v/>
      </c>
    </row>
    <row r="3093">
      <c r="A3093" s="10" t="n">
        <v>1073</v>
      </c>
      <c r="B3093" s="14">
        <f>IF($N3093="","",INDEX(LdBDate,$N3093))</f>
        <v/>
      </c>
      <c r="C3093" s="14">
        <f>IF($N3093="","",IF(INDEX(LdBId,$N3093)="","—",INDEX(LdBId,$N3093)))</f>
        <v/>
      </c>
      <c r="D3093" s="14">
        <f>IF($N3093="","",INDEX(LdBMember,$N3093))</f>
        <v/>
      </c>
      <c r="E3093" s="14">
        <f>IF($N3093="","",IFERROR(IF(VLOOKUP(INDEX(LdBMember,$N3093),AcctTblE,4,0)="","(بدون نام)",VLOOKUP(INDEX(LdBMember,$N3093),AcctTblE,4,0)),"—"))</f>
        <v/>
      </c>
      <c r="F3093" s="16">
        <f>IF($N3093="","",IF(INDEX(LdBAmt,$N3093)=0,"",INDEX(LdBAmt,$N3093)))</f>
        <v/>
      </c>
      <c r="G3093" s="30">
        <f>IF($N3093="","",IF(INDEX(LdBNote,$N3093)="","—",INDEX(LdBNote,$N3093)))</f>
        <v/>
      </c>
      <c r="N3093">
        <f>IFERROR(MATCH($C$5&amp;"|"&amp;RIGHT("000000"&amp;1073,6),LdBKeyG,0),"")</f>
        <v/>
      </c>
    </row>
    <row r="3094">
      <c r="A3094" s="19" t="n">
        <v>1074</v>
      </c>
      <c r="B3094" s="20">
        <f>IF($N3094="","",INDEX(LdBDate,$N3094))</f>
        <v/>
      </c>
      <c r="C3094" s="20">
        <f>IF($N3094="","",IF(INDEX(LdBId,$N3094)="","—",INDEX(LdBId,$N3094)))</f>
        <v/>
      </c>
      <c r="D3094" s="20">
        <f>IF($N3094="","",INDEX(LdBMember,$N3094))</f>
        <v/>
      </c>
      <c r="E3094" s="20">
        <f>IF($N3094="","",IFERROR(IF(VLOOKUP(INDEX(LdBMember,$N3094),AcctTblE,4,0)="","(بدون نام)",VLOOKUP(INDEX(LdBMember,$N3094),AcctTblE,4,0)),"—"))</f>
        <v/>
      </c>
      <c r="F3094" s="21">
        <f>IF($N3094="","",IF(INDEX(LdBAmt,$N3094)=0,"",INDEX(LdBAmt,$N3094)))</f>
        <v/>
      </c>
      <c r="G3094" s="32">
        <f>IF($N3094="","",IF(INDEX(LdBNote,$N3094)="","—",INDEX(LdBNote,$N3094)))</f>
        <v/>
      </c>
      <c r="N3094">
        <f>IFERROR(MATCH($C$5&amp;"|"&amp;RIGHT("000000"&amp;1074,6),LdBKeyG,0),"")</f>
        <v/>
      </c>
    </row>
    <row r="3095">
      <c r="A3095" s="10" t="n">
        <v>1075</v>
      </c>
      <c r="B3095" s="14">
        <f>IF($N3095="","",INDEX(LdBDate,$N3095))</f>
        <v/>
      </c>
      <c r="C3095" s="14">
        <f>IF($N3095="","",IF(INDEX(LdBId,$N3095)="","—",INDEX(LdBId,$N3095)))</f>
        <v/>
      </c>
      <c r="D3095" s="14">
        <f>IF($N3095="","",INDEX(LdBMember,$N3095))</f>
        <v/>
      </c>
      <c r="E3095" s="14">
        <f>IF($N3095="","",IFERROR(IF(VLOOKUP(INDEX(LdBMember,$N3095),AcctTblE,4,0)="","(بدون نام)",VLOOKUP(INDEX(LdBMember,$N3095),AcctTblE,4,0)),"—"))</f>
        <v/>
      </c>
      <c r="F3095" s="16">
        <f>IF($N3095="","",IF(INDEX(LdBAmt,$N3095)=0,"",INDEX(LdBAmt,$N3095)))</f>
        <v/>
      </c>
      <c r="G3095" s="30">
        <f>IF($N3095="","",IF(INDEX(LdBNote,$N3095)="","—",INDEX(LdBNote,$N3095)))</f>
        <v/>
      </c>
      <c r="N3095">
        <f>IFERROR(MATCH($C$5&amp;"|"&amp;RIGHT("000000"&amp;1075,6),LdBKeyG,0),"")</f>
        <v/>
      </c>
    </row>
    <row r="3096">
      <c r="A3096" s="19" t="n">
        <v>1076</v>
      </c>
      <c r="B3096" s="20">
        <f>IF($N3096="","",INDEX(LdBDate,$N3096))</f>
        <v/>
      </c>
      <c r="C3096" s="20">
        <f>IF($N3096="","",IF(INDEX(LdBId,$N3096)="","—",INDEX(LdBId,$N3096)))</f>
        <v/>
      </c>
      <c r="D3096" s="20">
        <f>IF($N3096="","",INDEX(LdBMember,$N3096))</f>
        <v/>
      </c>
      <c r="E3096" s="20">
        <f>IF($N3096="","",IFERROR(IF(VLOOKUP(INDEX(LdBMember,$N3096),AcctTblE,4,0)="","(بدون نام)",VLOOKUP(INDEX(LdBMember,$N3096),AcctTblE,4,0)),"—"))</f>
        <v/>
      </c>
      <c r="F3096" s="21">
        <f>IF($N3096="","",IF(INDEX(LdBAmt,$N3096)=0,"",INDEX(LdBAmt,$N3096)))</f>
        <v/>
      </c>
      <c r="G3096" s="32">
        <f>IF($N3096="","",IF(INDEX(LdBNote,$N3096)="","—",INDEX(LdBNote,$N3096)))</f>
        <v/>
      </c>
      <c r="N3096">
        <f>IFERROR(MATCH($C$5&amp;"|"&amp;RIGHT("000000"&amp;1076,6),LdBKeyG,0),"")</f>
        <v/>
      </c>
    </row>
    <row r="3097">
      <c r="A3097" s="10" t="n">
        <v>1077</v>
      </c>
      <c r="B3097" s="14">
        <f>IF($N3097="","",INDEX(LdBDate,$N3097))</f>
        <v/>
      </c>
      <c r="C3097" s="14">
        <f>IF($N3097="","",IF(INDEX(LdBId,$N3097)="","—",INDEX(LdBId,$N3097)))</f>
        <v/>
      </c>
      <c r="D3097" s="14">
        <f>IF($N3097="","",INDEX(LdBMember,$N3097))</f>
        <v/>
      </c>
      <c r="E3097" s="14">
        <f>IF($N3097="","",IFERROR(IF(VLOOKUP(INDEX(LdBMember,$N3097),AcctTblE,4,0)="","(بدون نام)",VLOOKUP(INDEX(LdBMember,$N3097),AcctTblE,4,0)),"—"))</f>
        <v/>
      </c>
      <c r="F3097" s="16">
        <f>IF($N3097="","",IF(INDEX(LdBAmt,$N3097)=0,"",INDEX(LdBAmt,$N3097)))</f>
        <v/>
      </c>
      <c r="G3097" s="30">
        <f>IF($N3097="","",IF(INDEX(LdBNote,$N3097)="","—",INDEX(LdBNote,$N3097)))</f>
        <v/>
      </c>
      <c r="N3097">
        <f>IFERROR(MATCH($C$5&amp;"|"&amp;RIGHT("000000"&amp;1077,6),LdBKeyG,0),"")</f>
        <v/>
      </c>
    </row>
    <row r="3098">
      <c r="A3098" s="19" t="n">
        <v>1078</v>
      </c>
      <c r="B3098" s="20">
        <f>IF($N3098="","",INDEX(LdBDate,$N3098))</f>
        <v/>
      </c>
      <c r="C3098" s="20">
        <f>IF($N3098="","",IF(INDEX(LdBId,$N3098)="","—",INDEX(LdBId,$N3098)))</f>
        <v/>
      </c>
      <c r="D3098" s="20">
        <f>IF($N3098="","",INDEX(LdBMember,$N3098))</f>
        <v/>
      </c>
      <c r="E3098" s="20">
        <f>IF($N3098="","",IFERROR(IF(VLOOKUP(INDEX(LdBMember,$N3098),AcctTblE,4,0)="","(بدون نام)",VLOOKUP(INDEX(LdBMember,$N3098),AcctTblE,4,0)),"—"))</f>
        <v/>
      </c>
      <c r="F3098" s="21">
        <f>IF($N3098="","",IF(INDEX(LdBAmt,$N3098)=0,"",INDEX(LdBAmt,$N3098)))</f>
        <v/>
      </c>
      <c r="G3098" s="32">
        <f>IF($N3098="","",IF(INDEX(LdBNote,$N3098)="","—",INDEX(LdBNote,$N3098)))</f>
        <v/>
      </c>
      <c r="N3098">
        <f>IFERROR(MATCH($C$5&amp;"|"&amp;RIGHT("000000"&amp;1078,6),LdBKeyG,0),"")</f>
        <v/>
      </c>
    </row>
    <row r="3099">
      <c r="A3099" s="10" t="n">
        <v>1079</v>
      </c>
      <c r="B3099" s="14">
        <f>IF($N3099="","",INDEX(LdBDate,$N3099))</f>
        <v/>
      </c>
      <c r="C3099" s="14">
        <f>IF($N3099="","",IF(INDEX(LdBId,$N3099)="","—",INDEX(LdBId,$N3099)))</f>
        <v/>
      </c>
      <c r="D3099" s="14">
        <f>IF($N3099="","",INDEX(LdBMember,$N3099))</f>
        <v/>
      </c>
      <c r="E3099" s="14">
        <f>IF($N3099="","",IFERROR(IF(VLOOKUP(INDEX(LdBMember,$N3099),AcctTblE,4,0)="","(بدون نام)",VLOOKUP(INDEX(LdBMember,$N3099),AcctTblE,4,0)),"—"))</f>
        <v/>
      </c>
      <c r="F3099" s="16">
        <f>IF($N3099="","",IF(INDEX(LdBAmt,$N3099)=0,"",INDEX(LdBAmt,$N3099)))</f>
        <v/>
      </c>
      <c r="G3099" s="30">
        <f>IF($N3099="","",IF(INDEX(LdBNote,$N3099)="","—",INDEX(LdBNote,$N3099)))</f>
        <v/>
      </c>
      <c r="N3099">
        <f>IFERROR(MATCH($C$5&amp;"|"&amp;RIGHT("000000"&amp;1079,6),LdBKeyG,0),"")</f>
        <v/>
      </c>
    </row>
    <row r="3100">
      <c r="A3100" s="19" t="n">
        <v>1080</v>
      </c>
      <c r="B3100" s="20">
        <f>IF($N3100="","",INDEX(LdBDate,$N3100))</f>
        <v/>
      </c>
      <c r="C3100" s="20">
        <f>IF($N3100="","",IF(INDEX(LdBId,$N3100)="","—",INDEX(LdBId,$N3100)))</f>
        <v/>
      </c>
      <c r="D3100" s="20">
        <f>IF($N3100="","",INDEX(LdBMember,$N3100))</f>
        <v/>
      </c>
      <c r="E3100" s="20">
        <f>IF($N3100="","",IFERROR(IF(VLOOKUP(INDEX(LdBMember,$N3100),AcctTblE,4,0)="","(بدون نام)",VLOOKUP(INDEX(LdBMember,$N3100),AcctTblE,4,0)),"—"))</f>
        <v/>
      </c>
      <c r="F3100" s="21">
        <f>IF($N3100="","",IF(INDEX(LdBAmt,$N3100)=0,"",INDEX(LdBAmt,$N3100)))</f>
        <v/>
      </c>
      <c r="G3100" s="32">
        <f>IF($N3100="","",IF(INDEX(LdBNote,$N3100)="","—",INDEX(LdBNote,$N3100)))</f>
        <v/>
      </c>
      <c r="N3100">
        <f>IFERROR(MATCH($C$5&amp;"|"&amp;RIGHT("000000"&amp;1080,6),LdBKeyG,0),"")</f>
        <v/>
      </c>
    </row>
    <row r="3101">
      <c r="A3101" s="10" t="n">
        <v>1081</v>
      </c>
      <c r="B3101" s="14">
        <f>IF($N3101="","",INDEX(LdBDate,$N3101))</f>
        <v/>
      </c>
      <c r="C3101" s="14">
        <f>IF($N3101="","",IF(INDEX(LdBId,$N3101)="","—",INDEX(LdBId,$N3101)))</f>
        <v/>
      </c>
      <c r="D3101" s="14">
        <f>IF($N3101="","",INDEX(LdBMember,$N3101))</f>
        <v/>
      </c>
      <c r="E3101" s="14">
        <f>IF($N3101="","",IFERROR(IF(VLOOKUP(INDEX(LdBMember,$N3101),AcctTblE,4,0)="","(بدون نام)",VLOOKUP(INDEX(LdBMember,$N3101),AcctTblE,4,0)),"—"))</f>
        <v/>
      </c>
      <c r="F3101" s="16">
        <f>IF($N3101="","",IF(INDEX(LdBAmt,$N3101)=0,"",INDEX(LdBAmt,$N3101)))</f>
        <v/>
      </c>
      <c r="G3101" s="30">
        <f>IF($N3101="","",IF(INDEX(LdBNote,$N3101)="","—",INDEX(LdBNote,$N3101)))</f>
        <v/>
      </c>
      <c r="N3101">
        <f>IFERROR(MATCH($C$5&amp;"|"&amp;RIGHT("000000"&amp;1081,6),LdBKeyG,0),"")</f>
        <v/>
      </c>
    </row>
    <row r="3102">
      <c r="A3102" s="19" t="n">
        <v>1082</v>
      </c>
      <c r="B3102" s="20">
        <f>IF($N3102="","",INDEX(LdBDate,$N3102))</f>
        <v/>
      </c>
      <c r="C3102" s="20">
        <f>IF($N3102="","",IF(INDEX(LdBId,$N3102)="","—",INDEX(LdBId,$N3102)))</f>
        <v/>
      </c>
      <c r="D3102" s="20">
        <f>IF($N3102="","",INDEX(LdBMember,$N3102))</f>
        <v/>
      </c>
      <c r="E3102" s="20">
        <f>IF($N3102="","",IFERROR(IF(VLOOKUP(INDEX(LdBMember,$N3102),AcctTblE,4,0)="","(بدون نام)",VLOOKUP(INDEX(LdBMember,$N3102),AcctTblE,4,0)),"—"))</f>
        <v/>
      </c>
      <c r="F3102" s="21">
        <f>IF($N3102="","",IF(INDEX(LdBAmt,$N3102)=0,"",INDEX(LdBAmt,$N3102)))</f>
        <v/>
      </c>
      <c r="G3102" s="32">
        <f>IF($N3102="","",IF(INDEX(LdBNote,$N3102)="","—",INDEX(LdBNote,$N3102)))</f>
        <v/>
      </c>
      <c r="N3102">
        <f>IFERROR(MATCH($C$5&amp;"|"&amp;RIGHT("000000"&amp;1082,6),LdBKeyG,0),"")</f>
        <v/>
      </c>
    </row>
    <row r="3103">
      <c r="A3103" s="10" t="n">
        <v>1083</v>
      </c>
      <c r="B3103" s="14">
        <f>IF($N3103="","",INDEX(LdBDate,$N3103))</f>
        <v/>
      </c>
      <c r="C3103" s="14">
        <f>IF($N3103="","",IF(INDEX(LdBId,$N3103)="","—",INDEX(LdBId,$N3103)))</f>
        <v/>
      </c>
      <c r="D3103" s="14">
        <f>IF($N3103="","",INDEX(LdBMember,$N3103))</f>
        <v/>
      </c>
      <c r="E3103" s="14">
        <f>IF($N3103="","",IFERROR(IF(VLOOKUP(INDEX(LdBMember,$N3103),AcctTblE,4,0)="","(بدون نام)",VLOOKUP(INDEX(LdBMember,$N3103),AcctTblE,4,0)),"—"))</f>
        <v/>
      </c>
      <c r="F3103" s="16">
        <f>IF($N3103="","",IF(INDEX(LdBAmt,$N3103)=0,"",INDEX(LdBAmt,$N3103)))</f>
        <v/>
      </c>
      <c r="G3103" s="30">
        <f>IF($N3103="","",IF(INDEX(LdBNote,$N3103)="","—",INDEX(LdBNote,$N3103)))</f>
        <v/>
      </c>
      <c r="N3103">
        <f>IFERROR(MATCH($C$5&amp;"|"&amp;RIGHT("000000"&amp;1083,6),LdBKeyG,0),"")</f>
        <v/>
      </c>
    </row>
    <row r="3104">
      <c r="A3104" s="19" t="n">
        <v>1084</v>
      </c>
      <c r="B3104" s="20">
        <f>IF($N3104="","",INDEX(LdBDate,$N3104))</f>
        <v/>
      </c>
      <c r="C3104" s="20">
        <f>IF($N3104="","",IF(INDEX(LdBId,$N3104)="","—",INDEX(LdBId,$N3104)))</f>
        <v/>
      </c>
      <c r="D3104" s="20">
        <f>IF($N3104="","",INDEX(LdBMember,$N3104))</f>
        <v/>
      </c>
      <c r="E3104" s="20">
        <f>IF($N3104="","",IFERROR(IF(VLOOKUP(INDEX(LdBMember,$N3104),AcctTblE,4,0)="","(بدون نام)",VLOOKUP(INDEX(LdBMember,$N3104),AcctTblE,4,0)),"—"))</f>
        <v/>
      </c>
      <c r="F3104" s="21">
        <f>IF($N3104="","",IF(INDEX(LdBAmt,$N3104)=0,"",INDEX(LdBAmt,$N3104)))</f>
        <v/>
      </c>
      <c r="G3104" s="32">
        <f>IF($N3104="","",IF(INDEX(LdBNote,$N3104)="","—",INDEX(LdBNote,$N3104)))</f>
        <v/>
      </c>
      <c r="N3104">
        <f>IFERROR(MATCH($C$5&amp;"|"&amp;RIGHT("000000"&amp;1084,6),LdBKeyG,0),"")</f>
        <v/>
      </c>
    </row>
    <row r="3105">
      <c r="A3105" s="10" t="n">
        <v>1085</v>
      </c>
      <c r="B3105" s="14">
        <f>IF($N3105="","",INDEX(LdBDate,$N3105))</f>
        <v/>
      </c>
      <c r="C3105" s="14">
        <f>IF($N3105="","",IF(INDEX(LdBId,$N3105)="","—",INDEX(LdBId,$N3105)))</f>
        <v/>
      </c>
      <c r="D3105" s="14">
        <f>IF($N3105="","",INDEX(LdBMember,$N3105))</f>
        <v/>
      </c>
      <c r="E3105" s="14">
        <f>IF($N3105="","",IFERROR(IF(VLOOKUP(INDEX(LdBMember,$N3105),AcctTblE,4,0)="","(بدون نام)",VLOOKUP(INDEX(LdBMember,$N3105),AcctTblE,4,0)),"—"))</f>
        <v/>
      </c>
      <c r="F3105" s="16">
        <f>IF($N3105="","",IF(INDEX(LdBAmt,$N3105)=0,"",INDEX(LdBAmt,$N3105)))</f>
        <v/>
      </c>
      <c r="G3105" s="30">
        <f>IF($N3105="","",IF(INDEX(LdBNote,$N3105)="","—",INDEX(LdBNote,$N3105)))</f>
        <v/>
      </c>
      <c r="N3105">
        <f>IFERROR(MATCH($C$5&amp;"|"&amp;RIGHT("000000"&amp;1085,6),LdBKeyG,0),"")</f>
        <v/>
      </c>
    </row>
    <row r="3106">
      <c r="A3106" s="19" t="n">
        <v>1086</v>
      </c>
      <c r="B3106" s="20">
        <f>IF($N3106="","",INDEX(LdBDate,$N3106))</f>
        <v/>
      </c>
      <c r="C3106" s="20">
        <f>IF($N3106="","",IF(INDEX(LdBId,$N3106)="","—",INDEX(LdBId,$N3106)))</f>
        <v/>
      </c>
      <c r="D3106" s="20">
        <f>IF($N3106="","",INDEX(LdBMember,$N3106))</f>
        <v/>
      </c>
      <c r="E3106" s="20">
        <f>IF($N3106="","",IFERROR(IF(VLOOKUP(INDEX(LdBMember,$N3106),AcctTblE,4,0)="","(بدون نام)",VLOOKUP(INDEX(LdBMember,$N3106),AcctTblE,4,0)),"—"))</f>
        <v/>
      </c>
      <c r="F3106" s="21">
        <f>IF($N3106="","",IF(INDEX(LdBAmt,$N3106)=0,"",INDEX(LdBAmt,$N3106)))</f>
        <v/>
      </c>
      <c r="G3106" s="32">
        <f>IF($N3106="","",IF(INDEX(LdBNote,$N3106)="","—",INDEX(LdBNote,$N3106)))</f>
        <v/>
      </c>
      <c r="N3106">
        <f>IFERROR(MATCH($C$5&amp;"|"&amp;RIGHT("000000"&amp;1086,6),LdBKeyG,0),"")</f>
        <v/>
      </c>
    </row>
    <row r="3107">
      <c r="A3107" s="10" t="n">
        <v>1087</v>
      </c>
      <c r="B3107" s="14">
        <f>IF($N3107="","",INDEX(LdBDate,$N3107))</f>
        <v/>
      </c>
      <c r="C3107" s="14">
        <f>IF($N3107="","",IF(INDEX(LdBId,$N3107)="","—",INDEX(LdBId,$N3107)))</f>
        <v/>
      </c>
      <c r="D3107" s="14">
        <f>IF($N3107="","",INDEX(LdBMember,$N3107))</f>
        <v/>
      </c>
      <c r="E3107" s="14">
        <f>IF($N3107="","",IFERROR(IF(VLOOKUP(INDEX(LdBMember,$N3107),AcctTblE,4,0)="","(بدون نام)",VLOOKUP(INDEX(LdBMember,$N3107),AcctTblE,4,0)),"—"))</f>
        <v/>
      </c>
      <c r="F3107" s="16">
        <f>IF($N3107="","",IF(INDEX(LdBAmt,$N3107)=0,"",INDEX(LdBAmt,$N3107)))</f>
        <v/>
      </c>
      <c r="G3107" s="30">
        <f>IF($N3107="","",IF(INDEX(LdBNote,$N3107)="","—",INDEX(LdBNote,$N3107)))</f>
        <v/>
      </c>
      <c r="N3107">
        <f>IFERROR(MATCH($C$5&amp;"|"&amp;RIGHT("000000"&amp;1087,6),LdBKeyG,0),"")</f>
        <v/>
      </c>
    </row>
    <row r="3108">
      <c r="A3108" s="19" t="n">
        <v>1088</v>
      </c>
      <c r="B3108" s="20">
        <f>IF($N3108="","",INDEX(LdBDate,$N3108))</f>
        <v/>
      </c>
      <c r="C3108" s="20">
        <f>IF($N3108="","",IF(INDEX(LdBId,$N3108)="","—",INDEX(LdBId,$N3108)))</f>
        <v/>
      </c>
      <c r="D3108" s="20">
        <f>IF($N3108="","",INDEX(LdBMember,$N3108))</f>
        <v/>
      </c>
      <c r="E3108" s="20">
        <f>IF($N3108="","",IFERROR(IF(VLOOKUP(INDEX(LdBMember,$N3108),AcctTblE,4,0)="","(بدون نام)",VLOOKUP(INDEX(LdBMember,$N3108),AcctTblE,4,0)),"—"))</f>
        <v/>
      </c>
      <c r="F3108" s="21">
        <f>IF($N3108="","",IF(INDEX(LdBAmt,$N3108)=0,"",INDEX(LdBAmt,$N3108)))</f>
        <v/>
      </c>
      <c r="G3108" s="32">
        <f>IF($N3108="","",IF(INDEX(LdBNote,$N3108)="","—",INDEX(LdBNote,$N3108)))</f>
        <v/>
      </c>
      <c r="N3108">
        <f>IFERROR(MATCH($C$5&amp;"|"&amp;RIGHT("000000"&amp;1088,6),LdBKeyG,0),"")</f>
        <v/>
      </c>
    </row>
    <row r="3109">
      <c r="A3109" s="10" t="n">
        <v>1089</v>
      </c>
      <c r="B3109" s="14">
        <f>IF($N3109="","",INDEX(LdBDate,$N3109))</f>
        <v/>
      </c>
      <c r="C3109" s="14">
        <f>IF($N3109="","",IF(INDEX(LdBId,$N3109)="","—",INDEX(LdBId,$N3109)))</f>
        <v/>
      </c>
      <c r="D3109" s="14">
        <f>IF($N3109="","",INDEX(LdBMember,$N3109))</f>
        <v/>
      </c>
      <c r="E3109" s="14">
        <f>IF($N3109="","",IFERROR(IF(VLOOKUP(INDEX(LdBMember,$N3109),AcctTblE,4,0)="","(بدون نام)",VLOOKUP(INDEX(LdBMember,$N3109),AcctTblE,4,0)),"—"))</f>
        <v/>
      </c>
      <c r="F3109" s="16">
        <f>IF($N3109="","",IF(INDEX(LdBAmt,$N3109)=0,"",INDEX(LdBAmt,$N3109)))</f>
        <v/>
      </c>
      <c r="G3109" s="30">
        <f>IF($N3109="","",IF(INDEX(LdBNote,$N3109)="","—",INDEX(LdBNote,$N3109)))</f>
        <v/>
      </c>
      <c r="N3109">
        <f>IFERROR(MATCH($C$5&amp;"|"&amp;RIGHT("000000"&amp;1089,6),LdBKeyG,0),"")</f>
        <v/>
      </c>
    </row>
    <row r="3110">
      <c r="A3110" s="19" t="n">
        <v>1090</v>
      </c>
      <c r="B3110" s="20">
        <f>IF($N3110="","",INDEX(LdBDate,$N3110))</f>
        <v/>
      </c>
      <c r="C3110" s="20">
        <f>IF($N3110="","",IF(INDEX(LdBId,$N3110)="","—",INDEX(LdBId,$N3110)))</f>
        <v/>
      </c>
      <c r="D3110" s="20">
        <f>IF($N3110="","",INDEX(LdBMember,$N3110))</f>
        <v/>
      </c>
      <c r="E3110" s="20">
        <f>IF($N3110="","",IFERROR(IF(VLOOKUP(INDEX(LdBMember,$N3110),AcctTblE,4,0)="","(بدون نام)",VLOOKUP(INDEX(LdBMember,$N3110),AcctTblE,4,0)),"—"))</f>
        <v/>
      </c>
      <c r="F3110" s="21">
        <f>IF($N3110="","",IF(INDEX(LdBAmt,$N3110)=0,"",INDEX(LdBAmt,$N3110)))</f>
        <v/>
      </c>
      <c r="G3110" s="32">
        <f>IF($N3110="","",IF(INDEX(LdBNote,$N3110)="","—",INDEX(LdBNote,$N3110)))</f>
        <v/>
      </c>
      <c r="N3110">
        <f>IFERROR(MATCH($C$5&amp;"|"&amp;RIGHT("000000"&amp;1090,6),LdBKeyG,0),"")</f>
        <v/>
      </c>
    </row>
    <row r="3111">
      <c r="A3111" s="10" t="n">
        <v>1091</v>
      </c>
      <c r="B3111" s="14">
        <f>IF($N3111="","",INDEX(LdBDate,$N3111))</f>
        <v/>
      </c>
      <c r="C3111" s="14">
        <f>IF($N3111="","",IF(INDEX(LdBId,$N3111)="","—",INDEX(LdBId,$N3111)))</f>
        <v/>
      </c>
      <c r="D3111" s="14">
        <f>IF($N3111="","",INDEX(LdBMember,$N3111))</f>
        <v/>
      </c>
      <c r="E3111" s="14">
        <f>IF($N3111="","",IFERROR(IF(VLOOKUP(INDEX(LdBMember,$N3111),AcctTblE,4,0)="","(بدون نام)",VLOOKUP(INDEX(LdBMember,$N3111),AcctTblE,4,0)),"—"))</f>
        <v/>
      </c>
      <c r="F3111" s="16">
        <f>IF($N3111="","",IF(INDEX(LdBAmt,$N3111)=0,"",INDEX(LdBAmt,$N3111)))</f>
        <v/>
      </c>
      <c r="G3111" s="30">
        <f>IF($N3111="","",IF(INDEX(LdBNote,$N3111)="","—",INDEX(LdBNote,$N3111)))</f>
        <v/>
      </c>
      <c r="N3111">
        <f>IFERROR(MATCH($C$5&amp;"|"&amp;RIGHT("000000"&amp;1091,6),LdBKeyG,0),"")</f>
        <v/>
      </c>
    </row>
    <row r="3112">
      <c r="A3112" s="19" t="n">
        <v>1092</v>
      </c>
      <c r="B3112" s="20">
        <f>IF($N3112="","",INDEX(LdBDate,$N3112))</f>
        <v/>
      </c>
      <c r="C3112" s="20">
        <f>IF($N3112="","",IF(INDEX(LdBId,$N3112)="","—",INDEX(LdBId,$N3112)))</f>
        <v/>
      </c>
      <c r="D3112" s="20">
        <f>IF($N3112="","",INDEX(LdBMember,$N3112))</f>
        <v/>
      </c>
      <c r="E3112" s="20">
        <f>IF($N3112="","",IFERROR(IF(VLOOKUP(INDEX(LdBMember,$N3112),AcctTblE,4,0)="","(بدون نام)",VLOOKUP(INDEX(LdBMember,$N3112),AcctTblE,4,0)),"—"))</f>
        <v/>
      </c>
      <c r="F3112" s="21">
        <f>IF($N3112="","",IF(INDEX(LdBAmt,$N3112)=0,"",INDEX(LdBAmt,$N3112)))</f>
        <v/>
      </c>
      <c r="G3112" s="32">
        <f>IF($N3112="","",IF(INDEX(LdBNote,$N3112)="","—",INDEX(LdBNote,$N3112)))</f>
        <v/>
      </c>
      <c r="N3112">
        <f>IFERROR(MATCH($C$5&amp;"|"&amp;RIGHT("000000"&amp;1092,6),LdBKeyG,0),"")</f>
        <v/>
      </c>
    </row>
    <row r="3113">
      <c r="A3113" s="10" t="n">
        <v>1093</v>
      </c>
      <c r="B3113" s="14">
        <f>IF($N3113="","",INDEX(LdBDate,$N3113))</f>
        <v/>
      </c>
      <c r="C3113" s="14">
        <f>IF($N3113="","",IF(INDEX(LdBId,$N3113)="","—",INDEX(LdBId,$N3113)))</f>
        <v/>
      </c>
      <c r="D3113" s="14">
        <f>IF($N3113="","",INDEX(LdBMember,$N3113))</f>
        <v/>
      </c>
      <c r="E3113" s="14">
        <f>IF($N3113="","",IFERROR(IF(VLOOKUP(INDEX(LdBMember,$N3113),AcctTblE,4,0)="","(بدون نام)",VLOOKUP(INDEX(LdBMember,$N3113),AcctTblE,4,0)),"—"))</f>
        <v/>
      </c>
      <c r="F3113" s="16">
        <f>IF($N3113="","",IF(INDEX(LdBAmt,$N3113)=0,"",INDEX(LdBAmt,$N3113)))</f>
        <v/>
      </c>
      <c r="G3113" s="30">
        <f>IF($N3113="","",IF(INDEX(LdBNote,$N3113)="","—",INDEX(LdBNote,$N3113)))</f>
        <v/>
      </c>
      <c r="N3113">
        <f>IFERROR(MATCH($C$5&amp;"|"&amp;RIGHT("000000"&amp;1093,6),LdBKeyG,0),"")</f>
        <v/>
      </c>
    </row>
    <row r="3114">
      <c r="A3114" s="19" t="n">
        <v>1094</v>
      </c>
      <c r="B3114" s="20">
        <f>IF($N3114="","",INDEX(LdBDate,$N3114))</f>
        <v/>
      </c>
      <c r="C3114" s="20">
        <f>IF($N3114="","",IF(INDEX(LdBId,$N3114)="","—",INDEX(LdBId,$N3114)))</f>
        <v/>
      </c>
      <c r="D3114" s="20">
        <f>IF($N3114="","",INDEX(LdBMember,$N3114))</f>
        <v/>
      </c>
      <c r="E3114" s="20">
        <f>IF($N3114="","",IFERROR(IF(VLOOKUP(INDEX(LdBMember,$N3114),AcctTblE,4,0)="","(بدون نام)",VLOOKUP(INDEX(LdBMember,$N3114),AcctTblE,4,0)),"—"))</f>
        <v/>
      </c>
      <c r="F3114" s="21">
        <f>IF($N3114="","",IF(INDEX(LdBAmt,$N3114)=0,"",INDEX(LdBAmt,$N3114)))</f>
        <v/>
      </c>
      <c r="G3114" s="32">
        <f>IF($N3114="","",IF(INDEX(LdBNote,$N3114)="","—",INDEX(LdBNote,$N3114)))</f>
        <v/>
      </c>
      <c r="N3114">
        <f>IFERROR(MATCH($C$5&amp;"|"&amp;RIGHT("000000"&amp;1094,6),LdBKeyG,0),"")</f>
        <v/>
      </c>
    </row>
    <row r="3115">
      <c r="A3115" s="10" t="n">
        <v>1095</v>
      </c>
      <c r="B3115" s="14">
        <f>IF($N3115="","",INDEX(LdBDate,$N3115))</f>
        <v/>
      </c>
      <c r="C3115" s="14">
        <f>IF($N3115="","",IF(INDEX(LdBId,$N3115)="","—",INDEX(LdBId,$N3115)))</f>
        <v/>
      </c>
      <c r="D3115" s="14">
        <f>IF($N3115="","",INDEX(LdBMember,$N3115))</f>
        <v/>
      </c>
      <c r="E3115" s="14">
        <f>IF($N3115="","",IFERROR(IF(VLOOKUP(INDEX(LdBMember,$N3115),AcctTblE,4,0)="","(بدون نام)",VLOOKUP(INDEX(LdBMember,$N3115),AcctTblE,4,0)),"—"))</f>
        <v/>
      </c>
      <c r="F3115" s="16">
        <f>IF($N3115="","",IF(INDEX(LdBAmt,$N3115)=0,"",INDEX(LdBAmt,$N3115)))</f>
        <v/>
      </c>
      <c r="G3115" s="30">
        <f>IF($N3115="","",IF(INDEX(LdBNote,$N3115)="","—",INDEX(LdBNote,$N3115)))</f>
        <v/>
      </c>
      <c r="N3115">
        <f>IFERROR(MATCH($C$5&amp;"|"&amp;RIGHT("000000"&amp;1095,6),LdBKeyG,0),"")</f>
        <v/>
      </c>
    </row>
    <row r="3116">
      <c r="A3116" s="19" t="n">
        <v>1096</v>
      </c>
      <c r="B3116" s="20">
        <f>IF($N3116="","",INDEX(LdBDate,$N3116))</f>
        <v/>
      </c>
      <c r="C3116" s="20">
        <f>IF($N3116="","",IF(INDEX(LdBId,$N3116)="","—",INDEX(LdBId,$N3116)))</f>
        <v/>
      </c>
      <c r="D3116" s="20">
        <f>IF($N3116="","",INDEX(LdBMember,$N3116))</f>
        <v/>
      </c>
      <c r="E3116" s="20">
        <f>IF($N3116="","",IFERROR(IF(VLOOKUP(INDEX(LdBMember,$N3116),AcctTblE,4,0)="","(بدون نام)",VLOOKUP(INDEX(LdBMember,$N3116),AcctTblE,4,0)),"—"))</f>
        <v/>
      </c>
      <c r="F3116" s="21">
        <f>IF($N3116="","",IF(INDEX(LdBAmt,$N3116)=0,"",INDEX(LdBAmt,$N3116)))</f>
        <v/>
      </c>
      <c r="G3116" s="32">
        <f>IF($N3116="","",IF(INDEX(LdBNote,$N3116)="","—",INDEX(LdBNote,$N3116)))</f>
        <v/>
      </c>
      <c r="N3116">
        <f>IFERROR(MATCH($C$5&amp;"|"&amp;RIGHT("000000"&amp;1096,6),LdBKeyG,0),"")</f>
        <v/>
      </c>
    </row>
    <row r="3117">
      <c r="A3117" s="10" t="n">
        <v>1097</v>
      </c>
      <c r="B3117" s="14">
        <f>IF($N3117="","",INDEX(LdBDate,$N3117))</f>
        <v/>
      </c>
      <c r="C3117" s="14">
        <f>IF($N3117="","",IF(INDEX(LdBId,$N3117)="","—",INDEX(LdBId,$N3117)))</f>
        <v/>
      </c>
      <c r="D3117" s="14">
        <f>IF($N3117="","",INDEX(LdBMember,$N3117))</f>
        <v/>
      </c>
      <c r="E3117" s="14">
        <f>IF($N3117="","",IFERROR(IF(VLOOKUP(INDEX(LdBMember,$N3117),AcctTblE,4,0)="","(بدون نام)",VLOOKUP(INDEX(LdBMember,$N3117),AcctTblE,4,0)),"—"))</f>
        <v/>
      </c>
      <c r="F3117" s="16">
        <f>IF($N3117="","",IF(INDEX(LdBAmt,$N3117)=0,"",INDEX(LdBAmt,$N3117)))</f>
        <v/>
      </c>
      <c r="G3117" s="30">
        <f>IF($N3117="","",IF(INDEX(LdBNote,$N3117)="","—",INDEX(LdBNote,$N3117)))</f>
        <v/>
      </c>
      <c r="N3117">
        <f>IFERROR(MATCH($C$5&amp;"|"&amp;RIGHT("000000"&amp;1097,6),LdBKeyG,0),"")</f>
        <v/>
      </c>
    </row>
    <row r="3118">
      <c r="A3118" s="19" t="n">
        <v>1098</v>
      </c>
      <c r="B3118" s="20">
        <f>IF($N3118="","",INDEX(LdBDate,$N3118))</f>
        <v/>
      </c>
      <c r="C3118" s="20">
        <f>IF($N3118="","",IF(INDEX(LdBId,$N3118)="","—",INDEX(LdBId,$N3118)))</f>
        <v/>
      </c>
      <c r="D3118" s="20">
        <f>IF($N3118="","",INDEX(LdBMember,$N3118))</f>
        <v/>
      </c>
      <c r="E3118" s="20">
        <f>IF($N3118="","",IFERROR(IF(VLOOKUP(INDEX(LdBMember,$N3118),AcctTblE,4,0)="","(بدون نام)",VLOOKUP(INDEX(LdBMember,$N3118),AcctTblE,4,0)),"—"))</f>
        <v/>
      </c>
      <c r="F3118" s="21">
        <f>IF($N3118="","",IF(INDEX(LdBAmt,$N3118)=0,"",INDEX(LdBAmt,$N3118)))</f>
        <v/>
      </c>
      <c r="G3118" s="32">
        <f>IF($N3118="","",IF(INDEX(LdBNote,$N3118)="","—",INDEX(LdBNote,$N3118)))</f>
        <v/>
      </c>
      <c r="N3118">
        <f>IFERROR(MATCH($C$5&amp;"|"&amp;RIGHT("000000"&amp;1098,6),LdBKeyG,0),"")</f>
        <v/>
      </c>
    </row>
    <row r="3119">
      <c r="A3119" s="10" t="n">
        <v>1099</v>
      </c>
      <c r="B3119" s="14">
        <f>IF($N3119="","",INDEX(LdBDate,$N3119))</f>
        <v/>
      </c>
      <c r="C3119" s="14">
        <f>IF($N3119="","",IF(INDEX(LdBId,$N3119)="","—",INDEX(LdBId,$N3119)))</f>
        <v/>
      </c>
      <c r="D3119" s="14">
        <f>IF($N3119="","",INDEX(LdBMember,$N3119))</f>
        <v/>
      </c>
      <c r="E3119" s="14">
        <f>IF($N3119="","",IFERROR(IF(VLOOKUP(INDEX(LdBMember,$N3119),AcctTblE,4,0)="","(بدون نام)",VLOOKUP(INDEX(LdBMember,$N3119),AcctTblE,4,0)),"—"))</f>
        <v/>
      </c>
      <c r="F3119" s="16">
        <f>IF($N3119="","",IF(INDEX(LdBAmt,$N3119)=0,"",INDEX(LdBAmt,$N3119)))</f>
        <v/>
      </c>
      <c r="G3119" s="30">
        <f>IF($N3119="","",IF(INDEX(LdBNote,$N3119)="","—",INDEX(LdBNote,$N3119)))</f>
        <v/>
      </c>
      <c r="N3119">
        <f>IFERROR(MATCH($C$5&amp;"|"&amp;RIGHT("000000"&amp;1099,6),LdBKeyG,0),"")</f>
        <v/>
      </c>
    </row>
    <row r="3120">
      <c r="A3120" s="19" t="n">
        <v>1100</v>
      </c>
      <c r="B3120" s="20">
        <f>IF($N3120="","",INDEX(LdBDate,$N3120))</f>
        <v/>
      </c>
      <c r="C3120" s="20">
        <f>IF($N3120="","",IF(INDEX(LdBId,$N3120)="","—",INDEX(LdBId,$N3120)))</f>
        <v/>
      </c>
      <c r="D3120" s="20">
        <f>IF($N3120="","",INDEX(LdBMember,$N3120))</f>
        <v/>
      </c>
      <c r="E3120" s="20">
        <f>IF($N3120="","",IFERROR(IF(VLOOKUP(INDEX(LdBMember,$N3120),AcctTblE,4,0)="","(بدون نام)",VLOOKUP(INDEX(LdBMember,$N3120),AcctTblE,4,0)),"—"))</f>
        <v/>
      </c>
      <c r="F3120" s="21">
        <f>IF($N3120="","",IF(INDEX(LdBAmt,$N3120)=0,"",INDEX(LdBAmt,$N3120)))</f>
        <v/>
      </c>
      <c r="G3120" s="32">
        <f>IF($N3120="","",IF(INDEX(LdBNote,$N3120)="","—",INDEX(LdBNote,$N3120)))</f>
        <v/>
      </c>
      <c r="N3120">
        <f>IFERROR(MATCH($C$5&amp;"|"&amp;RIGHT("000000"&amp;1100,6),LdBKeyG,0),"")</f>
        <v/>
      </c>
    </row>
    <row r="3121">
      <c r="A3121" s="10" t="n">
        <v>1101</v>
      </c>
      <c r="B3121" s="14">
        <f>IF($N3121="","",INDEX(LdBDate,$N3121))</f>
        <v/>
      </c>
      <c r="C3121" s="14">
        <f>IF($N3121="","",IF(INDEX(LdBId,$N3121)="","—",INDEX(LdBId,$N3121)))</f>
        <v/>
      </c>
      <c r="D3121" s="14">
        <f>IF($N3121="","",INDEX(LdBMember,$N3121))</f>
        <v/>
      </c>
      <c r="E3121" s="14">
        <f>IF($N3121="","",IFERROR(IF(VLOOKUP(INDEX(LdBMember,$N3121),AcctTblE,4,0)="","(بدون نام)",VLOOKUP(INDEX(LdBMember,$N3121),AcctTblE,4,0)),"—"))</f>
        <v/>
      </c>
      <c r="F3121" s="16">
        <f>IF($N3121="","",IF(INDEX(LdBAmt,$N3121)=0,"",INDEX(LdBAmt,$N3121)))</f>
        <v/>
      </c>
      <c r="G3121" s="30">
        <f>IF($N3121="","",IF(INDEX(LdBNote,$N3121)="","—",INDEX(LdBNote,$N3121)))</f>
        <v/>
      </c>
      <c r="N3121">
        <f>IFERROR(MATCH($C$5&amp;"|"&amp;RIGHT("000000"&amp;1101,6),LdBKeyG,0),"")</f>
        <v/>
      </c>
    </row>
    <row r="3122">
      <c r="A3122" s="19" t="n">
        <v>1102</v>
      </c>
      <c r="B3122" s="20">
        <f>IF($N3122="","",INDEX(LdBDate,$N3122))</f>
        <v/>
      </c>
      <c r="C3122" s="20">
        <f>IF($N3122="","",IF(INDEX(LdBId,$N3122)="","—",INDEX(LdBId,$N3122)))</f>
        <v/>
      </c>
      <c r="D3122" s="20">
        <f>IF($N3122="","",INDEX(LdBMember,$N3122))</f>
        <v/>
      </c>
      <c r="E3122" s="20">
        <f>IF($N3122="","",IFERROR(IF(VLOOKUP(INDEX(LdBMember,$N3122),AcctTblE,4,0)="","(بدون نام)",VLOOKUP(INDEX(LdBMember,$N3122),AcctTblE,4,0)),"—"))</f>
        <v/>
      </c>
      <c r="F3122" s="21">
        <f>IF($N3122="","",IF(INDEX(LdBAmt,$N3122)=0,"",INDEX(LdBAmt,$N3122)))</f>
        <v/>
      </c>
      <c r="G3122" s="32">
        <f>IF($N3122="","",IF(INDEX(LdBNote,$N3122)="","—",INDEX(LdBNote,$N3122)))</f>
        <v/>
      </c>
      <c r="N3122">
        <f>IFERROR(MATCH($C$5&amp;"|"&amp;RIGHT("000000"&amp;1102,6),LdBKeyG,0),"")</f>
        <v/>
      </c>
    </row>
    <row r="3123">
      <c r="A3123" s="10" t="n">
        <v>1103</v>
      </c>
      <c r="B3123" s="14">
        <f>IF($N3123="","",INDEX(LdBDate,$N3123))</f>
        <v/>
      </c>
      <c r="C3123" s="14">
        <f>IF($N3123="","",IF(INDEX(LdBId,$N3123)="","—",INDEX(LdBId,$N3123)))</f>
        <v/>
      </c>
      <c r="D3123" s="14">
        <f>IF($N3123="","",INDEX(LdBMember,$N3123))</f>
        <v/>
      </c>
      <c r="E3123" s="14">
        <f>IF($N3123="","",IFERROR(IF(VLOOKUP(INDEX(LdBMember,$N3123),AcctTblE,4,0)="","(بدون نام)",VLOOKUP(INDEX(LdBMember,$N3123),AcctTblE,4,0)),"—"))</f>
        <v/>
      </c>
      <c r="F3123" s="16">
        <f>IF($N3123="","",IF(INDEX(LdBAmt,$N3123)=0,"",INDEX(LdBAmt,$N3123)))</f>
        <v/>
      </c>
      <c r="G3123" s="30">
        <f>IF($N3123="","",IF(INDEX(LdBNote,$N3123)="","—",INDEX(LdBNote,$N3123)))</f>
        <v/>
      </c>
      <c r="N3123">
        <f>IFERROR(MATCH($C$5&amp;"|"&amp;RIGHT("000000"&amp;1103,6),LdBKeyG,0),"")</f>
        <v/>
      </c>
    </row>
    <row r="3124">
      <c r="A3124" s="19" t="n">
        <v>1104</v>
      </c>
      <c r="B3124" s="20">
        <f>IF($N3124="","",INDEX(LdBDate,$N3124))</f>
        <v/>
      </c>
      <c r="C3124" s="20">
        <f>IF($N3124="","",IF(INDEX(LdBId,$N3124)="","—",INDEX(LdBId,$N3124)))</f>
        <v/>
      </c>
      <c r="D3124" s="20">
        <f>IF($N3124="","",INDEX(LdBMember,$N3124))</f>
        <v/>
      </c>
      <c r="E3124" s="20">
        <f>IF($N3124="","",IFERROR(IF(VLOOKUP(INDEX(LdBMember,$N3124),AcctTblE,4,0)="","(بدون نام)",VLOOKUP(INDEX(LdBMember,$N3124),AcctTblE,4,0)),"—"))</f>
        <v/>
      </c>
      <c r="F3124" s="21">
        <f>IF($N3124="","",IF(INDEX(LdBAmt,$N3124)=0,"",INDEX(LdBAmt,$N3124)))</f>
        <v/>
      </c>
      <c r="G3124" s="32">
        <f>IF($N3124="","",IF(INDEX(LdBNote,$N3124)="","—",INDEX(LdBNote,$N3124)))</f>
        <v/>
      </c>
      <c r="N3124">
        <f>IFERROR(MATCH($C$5&amp;"|"&amp;RIGHT("000000"&amp;1104,6),LdBKeyG,0),"")</f>
        <v/>
      </c>
    </row>
    <row r="3125">
      <c r="A3125" s="10" t="n">
        <v>1105</v>
      </c>
      <c r="B3125" s="14">
        <f>IF($N3125="","",INDEX(LdBDate,$N3125))</f>
        <v/>
      </c>
      <c r="C3125" s="14">
        <f>IF($N3125="","",IF(INDEX(LdBId,$N3125)="","—",INDEX(LdBId,$N3125)))</f>
        <v/>
      </c>
      <c r="D3125" s="14">
        <f>IF($N3125="","",INDEX(LdBMember,$N3125))</f>
        <v/>
      </c>
      <c r="E3125" s="14">
        <f>IF($N3125="","",IFERROR(IF(VLOOKUP(INDEX(LdBMember,$N3125),AcctTblE,4,0)="","(بدون نام)",VLOOKUP(INDEX(LdBMember,$N3125),AcctTblE,4,0)),"—"))</f>
        <v/>
      </c>
      <c r="F3125" s="16">
        <f>IF($N3125="","",IF(INDEX(LdBAmt,$N3125)=0,"",INDEX(LdBAmt,$N3125)))</f>
        <v/>
      </c>
      <c r="G3125" s="30">
        <f>IF($N3125="","",IF(INDEX(LdBNote,$N3125)="","—",INDEX(LdBNote,$N3125)))</f>
        <v/>
      </c>
      <c r="N3125">
        <f>IFERROR(MATCH($C$5&amp;"|"&amp;RIGHT("000000"&amp;1105,6),LdBKeyG,0),"")</f>
        <v/>
      </c>
    </row>
    <row r="3126">
      <c r="A3126" s="19" t="n">
        <v>1106</v>
      </c>
      <c r="B3126" s="20">
        <f>IF($N3126="","",INDEX(LdBDate,$N3126))</f>
        <v/>
      </c>
      <c r="C3126" s="20">
        <f>IF($N3126="","",IF(INDEX(LdBId,$N3126)="","—",INDEX(LdBId,$N3126)))</f>
        <v/>
      </c>
      <c r="D3126" s="20">
        <f>IF($N3126="","",INDEX(LdBMember,$N3126))</f>
        <v/>
      </c>
      <c r="E3126" s="20">
        <f>IF($N3126="","",IFERROR(IF(VLOOKUP(INDEX(LdBMember,$N3126),AcctTblE,4,0)="","(بدون نام)",VLOOKUP(INDEX(LdBMember,$N3126),AcctTblE,4,0)),"—"))</f>
        <v/>
      </c>
      <c r="F3126" s="21">
        <f>IF($N3126="","",IF(INDEX(LdBAmt,$N3126)=0,"",INDEX(LdBAmt,$N3126)))</f>
        <v/>
      </c>
      <c r="G3126" s="32">
        <f>IF($N3126="","",IF(INDEX(LdBNote,$N3126)="","—",INDEX(LdBNote,$N3126)))</f>
        <v/>
      </c>
      <c r="N3126">
        <f>IFERROR(MATCH($C$5&amp;"|"&amp;RIGHT("000000"&amp;1106,6),LdBKeyG,0),"")</f>
        <v/>
      </c>
    </row>
    <row r="3127">
      <c r="A3127" s="10" t="n">
        <v>1107</v>
      </c>
      <c r="B3127" s="14">
        <f>IF($N3127="","",INDEX(LdBDate,$N3127))</f>
        <v/>
      </c>
      <c r="C3127" s="14">
        <f>IF($N3127="","",IF(INDEX(LdBId,$N3127)="","—",INDEX(LdBId,$N3127)))</f>
        <v/>
      </c>
      <c r="D3127" s="14">
        <f>IF($N3127="","",INDEX(LdBMember,$N3127))</f>
        <v/>
      </c>
      <c r="E3127" s="14">
        <f>IF($N3127="","",IFERROR(IF(VLOOKUP(INDEX(LdBMember,$N3127),AcctTblE,4,0)="","(بدون نام)",VLOOKUP(INDEX(LdBMember,$N3127),AcctTblE,4,0)),"—"))</f>
        <v/>
      </c>
      <c r="F3127" s="16">
        <f>IF($N3127="","",IF(INDEX(LdBAmt,$N3127)=0,"",INDEX(LdBAmt,$N3127)))</f>
        <v/>
      </c>
      <c r="G3127" s="30">
        <f>IF($N3127="","",IF(INDEX(LdBNote,$N3127)="","—",INDEX(LdBNote,$N3127)))</f>
        <v/>
      </c>
      <c r="N3127">
        <f>IFERROR(MATCH($C$5&amp;"|"&amp;RIGHT("000000"&amp;1107,6),LdBKeyG,0),"")</f>
        <v/>
      </c>
    </row>
    <row r="3128">
      <c r="A3128" s="19" t="n">
        <v>1108</v>
      </c>
      <c r="B3128" s="20">
        <f>IF($N3128="","",INDEX(LdBDate,$N3128))</f>
        <v/>
      </c>
      <c r="C3128" s="20">
        <f>IF($N3128="","",IF(INDEX(LdBId,$N3128)="","—",INDEX(LdBId,$N3128)))</f>
        <v/>
      </c>
      <c r="D3128" s="20">
        <f>IF($N3128="","",INDEX(LdBMember,$N3128))</f>
        <v/>
      </c>
      <c r="E3128" s="20">
        <f>IF($N3128="","",IFERROR(IF(VLOOKUP(INDEX(LdBMember,$N3128),AcctTblE,4,0)="","(بدون نام)",VLOOKUP(INDEX(LdBMember,$N3128),AcctTblE,4,0)),"—"))</f>
        <v/>
      </c>
      <c r="F3128" s="21">
        <f>IF($N3128="","",IF(INDEX(LdBAmt,$N3128)=0,"",INDEX(LdBAmt,$N3128)))</f>
        <v/>
      </c>
      <c r="G3128" s="32">
        <f>IF($N3128="","",IF(INDEX(LdBNote,$N3128)="","—",INDEX(LdBNote,$N3128)))</f>
        <v/>
      </c>
      <c r="N3128">
        <f>IFERROR(MATCH($C$5&amp;"|"&amp;RIGHT("000000"&amp;1108,6),LdBKeyG,0),"")</f>
        <v/>
      </c>
    </row>
    <row r="3129">
      <c r="A3129" s="10" t="n">
        <v>1109</v>
      </c>
      <c r="B3129" s="14">
        <f>IF($N3129="","",INDEX(LdBDate,$N3129))</f>
        <v/>
      </c>
      <c r="C3129" s="14">
        <f>IF($N3129="","",IF(INDEX(LdBId,$N3129)="","—",INDEX(LdBId,$N3129)))</f>
        <v/>
      </c>
      <c r="D3129" s="14">
        <f>IF($N3129="","",INDEX(LdBMember,$N3129))</f>
        <v/>
      </c>
      <c r="E3129" s="14">
        <f>IF($N3129="","",IFERROR(IF(VLOOKUP(INDEX(LdBMember,$N3129),AcctTblE,4,0)="","(بدون نام)",VLOOKUP(INDEX(LdBMember,$N3129),AcctTblE,4,0)),"—"))</f>
        <v/>
      </c>
      <c r="F3129" s="16">
        <f>IF($N3129="","",IF(INDEX(LdBAmt,$N3129)=0,"",INDEX(LdBAmt,$N3129)))</f>
        <v/>
      </c>
      <c r="G3129" s="30">
        <f>IF($N3129="","",IF(INDEX(LdBNote,$N3129)="","—",INDEX(LdBNote,$N3129)))</f>
        <v/>
      </c>
      <c r="N3129">
        <f>IFERROR(MATCH($C$5&amp;"|"&amp;RIGHT("000000"&amp;1109,6),LdBKeyG,0),"")</f>
        <v/>
      </c>
    </row>
    <row r="3130">
      <c r="A3130" s="19" t="n">
        <v>1110</v>
      </c>
      <c r="B3130" s="20">
        <f>IF($N3130="","",INDEX(LdBDate,$N3130))</f>
        <v/>
      </c>
      <c r="C3130" s="20">
        <f>IF($N3130="","",IF(INDEX(LdBId,$N3130)="","—",INDEX(LdBId,$N3130)))</f>
        <v/>
      </c>
      <c r="D3130" s="20">
        <f>IF($N3130="","",INDEX(LdBMember,$N3130))</f>
        <v/>
      </c>
      <c r="E3130" s="20">
        <f>IF($N3130="","",IFERROR(IF(VLOOKUP(INDEX(LdBMember,$N3130),AcctTblE,4,0)="","(بدون نام)",VLOOKUP(INDEX(LdBMember,$N3130),AcctTblE,4,0)),"—"))</f>
        <v/>
      </c>
      <c r="F3130" s="21">
        <f>IF($N3130="","",IF(INDEX(LdBAmt,$N3130)=0,"",INDEX(LdBAmt,$N3130)))</f>
        <v/>
      </c>
      <c r="G3130" s="32">
        <f>IF($N3130="","",IF(INDEX(LdBNote,$N3130)="","—",INDEX(LdBNote,$N3130)))</f>
        <v/>
      </c>
      <c r="N3130">
        <f>IFERROR(MATCH($C$5&amp;"|"&amp;RIGHT("000000"&amp;1110,6),LdBKeyG,0),"")</f>
        <v/>
      </c>
    </row>
    <row r="3131">
      <c r="A3131" s="10" t="n">
        <v>1111</v>
      </c>
      <c r="B3131" s="14">
        <f>IF($N3131="","",INDEX(LdBDate,$N3131))</f>
        <v/>
      </c>
      <c r="C3131" s="14">
        <f>IF($N3131="","",IF(INDEX(LdBId,$N3131)="","—",INDEX(LdBId,$N3131)))</f>
        <v/>
      </c>
      <c r="D3131" s="14">
        <f>IF($N3131="","",INDEX(LdBMember,$N3131))</f>
        <v/>
      </c>
      <c r="E3131" s="14">
        <f>IF($N3131="","",IFERROR(IF(VLOOKUP(INDEX(LdBMember,$N3131),AcctTblE,4,0)="","(بدون نام)",VLOOKUP(INDEX(LdBMember,$N3131),AcctTblE,4,0)),"—"))</f>
        <v/>
      </c>
      <c r="F3131" s="16">
        <f>IF($N3131="","",IF(INDEX(LdBAmt,$N3131)=0,"",INDEX(LdBAmt,$N3131)))</f>
        <v/>
      </c>
      <c r="G3131" s="30">
        <f>IF($N3131="","",IF(INDEX(LdBNote,$N3131)="","—",INDEX(LdBNote,$N3131)))</f>
        <v/>
      </c>
      <c r="N3131">
        <f>IFERROR(MATCH($C$5&amp;"|"&amp;RIGHT("000000"&amp;1111,6),LdBKeyG,0),"")</f>
        <v/>
      </c>
    </row>
    <row r="3132">
      <c r="A3132" s="19" t="n">
        <v>1112</v>
      </c>
      <c r="B3132" s="20">
        <f>IF($N3132="","",INDEX(LdBDate,$N3132))</f>
        <v/>
      </c>
      <c r="C3132" s="20">
        <f>IF($N3132="","",IF(INDEX(LdBId,$N3132)="","—",INDEX(LdBId,$N3132)))</f>
        <v/>
      </c>
      <c r="D3132" s="20">
        <f>IF($N3132="","",INDEX(LdBMember,$N3132))</f>
        <v/>
      </c>
      <c r="E3132" s="20">
        <f>IF($N3132="","",IFERROR(IF(VLOOKUP(INDEX(LdBMember,$N3132),AcctTblE,4,0)="","(بدون نام)",VLOOKUP(INDEX(LdBMember,$N3132),AcctTblE,4,0)),"—"))</f>
        <v/>
      </c>
      <c r="F3132" s="21">
        <f>IF($N3132="","",IF(INDEX(LdBAmt,$N3132)=0,"",INDEX(LdBAmt,$N3132)))</f>
        <v/>
      </c>
      <c r="G3132" s="32">
        <f>IF($N3132="","",IF(INDEX(LdBNote,$N3132)="","—",INDEX(LdBNote,$N3132)))</f>
        <v/>
      </c>
      <c r="N3132">
        <f>IFERROR(MATCH($C$5&amp;"|"&amp;RIGHT("000000"&amp;1112,6),LdBKeyG,0),"")</f>
        <v/>
      </c>
    </row>
    <row r="3133">
      <c r="A3133" s="10" t="n">
        <v>1113</v>
      </c>
      <c r="B3133" s="14">
        <f>IF($N3133="","",INDEX(LdBDate,$N3133))</f>
        <v/>
      </c>
      <c r="C3133" s="14">
        <f>IF($N3133="","",IF(INDEX(LdBId,$N3133)="","—",INDEX(LdBId,$N3133)))</f>
        <v/>
      </c>
      <c r="D3133" s="14">
        <f>IF($N3133="","",INDEX(LdBMember,$N3133))</f>
        <v/>
      </c>
      <c r="E3133" s="14">
        <f>IF($N3133="","",IFERROR(IF(VLOOKUP(INDEX(LdBMember,$N3133),AcctTblE,4,0)="","(بدون نام)",VLOOKUP(INDEX(LdBMember,$N3133),AcctTblE,4,0)),"—"))</f>
        <v/>
      </c>
      <c r="F3133" s="16">
        <f>IF($N3133="","",IF(INDEX(LdBAmt,$N3133)=0,"",INDEX(LdBAmt,$N3133)))</f>
        <v/>
      </c>
      <c r="G3133" s="30">
        <f>IF($N3133="","",IF(INDEX(LdBNote,$N3133)="","—",INDEX(LdBNote,$N3133)))</f>
        <v/>
      </c>
      <c r="N3133">
        <f>IFERROR(MATCH($C$5&amp;"|"&amp;RIGHT("000000"&amp;1113,6),LdBKeyG,0),"")</f>
        <v/>
      </c>
    </row>
    <row r="3134">
      <c r="A3134" s="19" t="n">
        <v>1114</v>
      </c>
      <c r="B3134" s="20">
        <f>IF($N3134="","",INDEX(LdBDate,$N3134))</f>
        <v/>
      </c>
      <c r="C3134" s="20">
        <f>IF($N3134="","",IF(INDEX(LdBId,$N3134)="","—",INDEX(LdBId,$N3134)))</f>
        <v/>
      </c>
      <c r="D3134" s="20">
        <f>IF($N3134="","",INDEX(LdBMember,$N3134))</f>
        <v/>
      </c>
      <c r="E3134" s="20">
        <f>IF($N3134="","",IFERROR(IF(VLOOKUP(INDEX(LdBMember,$N3134),AcctTblE,4,0)="","(بدون نام)",VLOOKUP(INDEX(LdBMember,$N3134),AcctTblE,4,0)),"—"))</f>
        <v/>
      </c>
      <c r="F3134" s="21">
        <f>IF($N3134="","",IF(INDEX(LdBAmt,$N3134)=0,"",INDEX(LdBAmt,$N3134)))</f>
        <v/>
      </c>
      <c r="G3134" s="32">
        <f>IF($N3134="","",IF(INDEX(LdBNote,$N3134)="","—",INDEX(LdBNote,$N3134)))</f>
        <v/>
      </c>
      <c r="N3134">
        <f>IFERROR(MATCH($C$5&amp;"|"&amp;RIGHT("000000"&amp;1114,6),LdBKeyG,0),"")</f>
        <v/>
      </c>
    </row>
    <row r="3135">
      <c r="A3135" s="10" t="n">
        <v>1115</v>
      </c>
      <c r="B3135" s="14">
        <f>IF($N3135="","",INDEX(LdBDate,$N3135))</f>
        <v/>
      </c>
      <c r="C3135" s="14">
        <f>IF($N3135="","",IF(INDEX(LdBId,$N3135)="","—",INDEX(LdBId,$N3135)))</f>
        <v/>
      </c>
      <c r="D3135" s="14">
        <f>IF($N3135="","",INDEX(LdBMember,$N3135))</f>
        <v/>
      </c>
      <c r="E3135" s="14">
        <f>IF($N3135="","",IFERROR(IF(VLOOKUP(INDEX(LdBMember,$N3135),AcctTblE,4,0)="","(بدون نام)",VLOOKUP(INDEX(LdBMember,$N3135),AcctTblE,4,0)),"—"))</f>
        <v/>
      </c>
      <c r="F3135" s="16">
        <f>IF($N3135="","",IF(INDEX(LdBAmt,$N3135)=0,"",INDEX(LdBAmt,$N3135)))</f>
        <v/>
      </c>
      <c r="G3135" s="30">
        <f>IF($N3135="","",IF(INDEX(LdBNote,$N3135)="","—",INDEX(LdBNote,$N3135)))</f>
        <v/>
      </c>
      <c r="N3135">
        <f>IFERROR(MATCH($C$5&amp;"|"&amp;RIGHT("000000"&amp;1115,6),LdBKeyG,0),"")</f>
        <v/>
      </c>
    </row>
    <row r="3136">
      <c r="A3136" s="19" t="n">
        <v>1116</v>
      </c>
      <c r="B3136" s="20">
        <f>IF($N3136="","",INDEX(LdBDate,$N3136))</f>
        <v/>
      </c>
      <c r="C3136" s="20">
        <f>IF($N3136="","",IF(INDEX(LdBId,$N3136)="","—",INDEX(LdBId,$N3136)))</f>
        <v/>
      </c>
      <c r="D3136" s="20">
        <f>IF($N3136="","",INDEX(LdBMember,$N3136))</f>
        <v/>
      </c>
      <c r="E3136" s="20">
        <f>IF($N3136="","",IFERROR(IF(VLOOKUP(INDEX(LdBMember,$N3136),AcctTblE,4,0)="","(بدون نام)",VLOOKUP(INDEX(LdBMember,$N3136),AcctTblE,4,0)),"—"))</f>
        <v/>
      </c>
      <c r="F3136" s="21">
        <f>IF($N3136="","",IF(INDEX(LdBAmt,$N3136)=0,"",INDEX(LdBAmt,$N3136)))</f>
        <v/>
      </c>
      <c r="G3136" s="32">
        <f>IF($N3136="","",IF(INDEX(LdBNote,$N3136)="","—",INDEX(LdBNote,$N3136)))</f>
        <v/>
      </c>
      <c r="N3136">
        <f>IFERROR(MATCH($C$5&amp;"|"&amp;RIGHT("000000"&amp;1116,6),LdBKeyG,0),"")</f>
        <v/>
      </c>
    </row>
    <row r="3137">
      <c r="A3137" s="10" t="n">
        <v>1117</v>
      </c>
      <c r="B3137" s="14">
        <f>IF($N3137="","",INDEX(LdBDate,$N3137))</f>
        <v/>
      </c>
      <c r="C3137" s="14">
        <f>IF($N3137="","",IF(INDEX(LdBId,$N3137)="","—",INDEX(LdBId,$N3137)))</f>
        <v/>
      </c>
      <c r="D3137" s="14">
        <f>IF($N3137="","",INDEX(LdBMember,$N3137))</f>
        <v/>
      </c>
      <c r="E3137" s="14">
        <f>IF($N3137="","",IFERROR(IF(VLOOKUP(INDEX(LdBMember,$N3137),AcctTblE,4,0)="","(بدون نام)",VLOOKUP(INDEX(LdBMember,$N3137),AcctTblE,4,0)),"—"))</f>
        <v/>
      </c>
      <c r="F3137" s="16">
        <f>IF($N3137="","",IF(INDEX(LdBAmt,$N3137)=0,"",INDEX(LdBAmt,$N3137)))</f>
        <v/>
      </c>
      <c r="G3137" s="30">
        <f>IF($N3137="","",IF(INDEX(LdBNote,$N3137)="","—",INDEX(LdBNote,$N3137)))</f>
        <v/>
      </c>
      <c r="N3137">
        <f>IFERROR(MATCH($C$5&amp;"|"&amp;RIGHT("000000"&amp;1117,6),LdBKeyG,0),"")</f>
        <v/>
      </c>
    </row>
    <row r="3138">
      <c r="A3138" s="19" t="n">
        <v>1118</v>
      </c>
      <c r="B3138" s="20">
        <f>IF($N3138="","",INDEX(LdBDate,$N3138))</f>
        <v/>
      </c>
      <c r="C3138" s="20">
        <f>IF($N3138="","",IF(INDEX(LdBId,$N3138)="","—",INDEX(LdBId,$N3138)))</f>
        <v/>
      </c>
      <c r="D3138" s="20">
        <f>IF($N3138="","",INDEX(LdBMember,$N3138))</f>
        <v/>
      </c>
      <c r="E3138" s="20">
        <f>IF($N3138="","",IFERROR(IF(VLOOKUP(INDEX(LdBMember,$N3138),AcctTblE,4,0)="","(بدون نام)",VLOOKUP(INDEX(LdBMember,$N3138),AcctTblE,4,0)),"—"))</f>
        <v/>
      </c>
      <c r="F3138" s="21">
        <f>IF($N3138="","",IF(INDEX(LdBAmt,$N3138)=0,"",INDEX(LdBAmt,$N3138)))</f>
        <v/>
      </c>
      <c r="G3138" s="32">
        <f>IF($N3138="","",IF(INDEX(LdBNote,$N3138)="","—",INDEX(LdBNote,$N3138)))</f>
        <v/>
      </c>
      <c r="N3138">
        <f>IFERROR(MATCH($C$5&amp;"|"&amp;RIGHT("000000"&amp;1118,6),LdBKeyG,0),"")</f>
        <v/>
      </c>
    </row>
    <row r="3139">
      <c r="A3139" s="10" t="n">
        <v>1119</v>
      </c>
      <c r="B3139" s="14">
        <f>IF($N3139="","",INDEX(LdBDate,$N3139))</f>
        <v/>
      </c>
      <c r="C3139" s="14">
        <f>IF($N3139="","",IF(INDEX(LdBId,$N3139)="","—",INDEX(LdBId,$N3139)))</f>
        <v/>
      </c>
      <c r="D3139" s="14">
        <f>IF($N3139="","",INDEX(LdBMember,$N3139))</f>
        <v/>
      </c>
      <c r="E3139" s="14">
        <f>IF($N3139="","",IFERROR(IF(VLOOKUP(INDEX(LdBMember,$N3139),AcctTblE,4,0)="","(بدون نام)",VLOOKUP(INDEX(LdBMember,$N3139),AcctTblE,4,0)),"—"))</f>
        <v/>
      </c>
      <c r="F3139" s="16">
        <f>IF($N3139="","",IF(INDEX(LdBAmt,$N3139)=0,"",INDEX(LdBAmt,$N3139)))</f>
        <v/>
      </c>
      <c r="G3139" s="30">
        <f>IF($N3139="","",IF(INDEX(LdBNote,$N3139)="","—",INDEX(LdBNote,$N3139)))</f>
        <v/>
      </c>
      <c r="N3139">
        <f>IFERROR(MATCH($C$5&amp;"|"&amp;RIGHT("000000"&amp;1119,6),LdBKeyG,0),"")</f>
        <v/>
      </c>
    </row>
    <row r="3140">
      <c r="A3140" s="19" t="n">
        <v>1120</v>
      </c>
      <c r="B3140" s="20">
        <f>IF($N3140="","",INDEX(LdBDate,$N3140))</f>
        <v/>
      </c>
      <c r="C3140" s="20">
        <f>IF($N3140="","",IF(INDEX(LdBId,$N3140)="","—",INDEX(LdBId,$N3140)))</f>
        <v/>
      </c>
      <c r="D3140" s="20">
        <f>IF($N3140="","",INDEX(LdBMember,$N3140))</f>
        <v/>
      </c>
      <c r="E3140" s="20">
        <f>IF($N3140="","",IFERROR(IF(VLOOKUP(INDEX(LdBMember,$N3140),AcctTblE,4,0)="","(بدون نام)",VLOOKUP(INDEX(LdBMember,$N3140),AcctTblE,4,0)),"—"))</f>
        <v/>
      </c>
      <c r="F3140" s="21">
        <f>IF($N3140="","",IF(INDEX(LdBAmt,$N3140)=0,"",INDEX(LdBAmt,$N3140)))</f>
        <v/>
      </c>
      <c r="G3140" s="32">
        <f>IF($N3140="","",IF(INDEX(LdBNote,$N3140)="","—",INDEX(LdBNote,$N3140)))</f>
        <v/>
      </c>
      <c r="N3140">
        <f>IFERROR(MATCH($C$5&amp;"|"&amp;RIGHT("000000"&amp;1120,6),LdBKeyG,0),"")</f>
        <v/>
      </c>
    </row>
    <row r="3141">
      <c r="A3141" s="10" t="n">
        <v>1121</v>
      </c>
      <c r="B3141" s="14">
        <f>IF($N3141="","",INDEX(LdBDate,$N3141))</f>
        <v/>
      </c>
      <c r="C3141" s="14">
        <f>IF($N3141="","",IF(INDEX(LdBId,$N3141)="","—",INDEX(LdBId,$N3141)))</f>
        <v/>
      </c>
      <c r="D3141" s="14">
        <f>IF($N3141="","",INDEX(LdBMember,$N3141))</f>
        <v/>
      </c>
      <c r="E3141" s="14">
        <f>IF($N3141="","",IFERROR(IF(VLOOKUP(INDEX(LdBMember,$N3141),AcctTblE,4,0)="","(بدون نام)",VLOOKUP(INDEX(LdBMember,$N3141),AcctTblE,4,0)),"—"))</f>
        <v/>
      </c>
      <c r="F3141" s="16">
        <f>IF($N3141="","",IF(INDEX(LdBAmt,$N3141)=0,"",INDEX(LdBAmt,$N3141)))</f>
        <v/>
      </c>
      <c r="G3141" s="30">
        <f>IF($N3141="","",IF(INDEX(LdBNote,$N3141)="","—",INDEX(LdBNote,$N3141)))</f>
        <v/>
      </c>
      <c r="N3141">
        <f>IFERROR(MATCH($C$5&amp;"|"&amp;RIGHT("000000"&amp;1121,6),LdBKeyG,0),"")</f>
        <v/>
      </c>
    </row>
    <row r="3142">
      <c r="A3142" s="19" t="n">
        <v>1122</v>
      </c>
      <c r="B3142" s="20">
        <f>IF($N3142="","",INDEX(LdBDate,$N3142))</f>
        <v/>
      </c>
      <c r="C3142" s="20">
        <f>IF($N3142="","",IF(INDEX(LdBId,$N3142)="","—",INDEX(LdBId,$N3142)))</f>
        <v/>
      </c>
      <c r="D3142" s="20">
        <f>IF($N3142="","",INDEX(LdBMember,$N3142))</f>
        <v/>
      </c>
      <c r="E3142" s="20">
        <f>IF($N3142="","",IFERROR(IF(VLOOKUP(INDEX(LdBMember,$N3142),AcctTblE,4,0)="","(بدون نام)",VLOOKUP(INDEX(LdBMember,$N3142),AcctTblE,4,0)),"—"))</f>
        <v/>
      </c>
      <c r="F3142" s="21">
        <f>IF($N3142="","",IF(INDEX(LdBAmt,$N3142)=0,"",INDEX(LdBAmt,$N3142)))</f>
        <v/>
      </c>
      <c r="G3142" s="32">
        <f>IF($N3142="","",IF(INDEX(LdBNote,$N3142)="","—",INDEX(LdBNote,$N3142)))</f>
        <v/>
      </c>
      <c r="N3142">
        <f>IFERROR(MATCH($C$5&amp;"|"&amp;RIGHT("000000"&amp;1122,6),LdBKeyG,0),"")</f>
        <v/>
      </c>
    </row>
    <row r="3143">
      <c r="A3143" s="10" t="n">
        <v>1123</v>
      </c>
      <c r="B3143" s="14">
        <f>IF($N3143="","",INDEX(LdBDate,$N3143))</f>
        <v/>
      </c>
      <c r="C3143" s="14">
        <f>IF($N3143="","",IF(INDEX(LdBId,$N3143)="","—",INDEX(LdBId,$N3143)))</f>
        <v/>
      </c>
      <c r="D3143" s="14">
        <f>IF($N3143="","",INDEX(LdBMember,$N3143))</f>
        <v/>
      </c>
      <c r="E3143" s="14">
        <f>IF($N3143="","",IFERROR(IF(VLOOKUP(INDEX(LdBMember,$N3143),AcctTblE,4,0)="","(بدون نام)",VLOOKUP(INDEX(LdBMember,$N3143),AcctTblE,4,0)),"—"))</f>
        <v/>
      </c>
      <c r="F3143" s="16">
        <f>IF($N3143="","",IF(INDEX(LdBAmt,$N3143)=0,"",INDEX(LdBAmt,$N3143)))</f>
        <v/>
      </c>
      <c r="G3143" s="30">
        <f>IF($N3143="","",IF(INDEX(LdBNote,$N3143)="","—",INDEX(LdBNote,$N3143)))</f>
        <v/>
      </c>
      <c r="N3143">
        <f>IFERROR(MATCH($C$5&amp;"|"&amp;RIGHT("000000"&amp;1123,6),LdBKeyG,0),"")</f>
        <v/>
      </c>
    </row>
    <row r="3144">
      <c r="A3144" s="19" t="n">
        <v>1124</v>
      </c>
      <c r="B3144" s="20">
        <f>IF($N3144="","",INDEX(LdBDate,$N3144))</f>
        <v/>
      </c>
      <c r="C3144" s="20">
        <f>IF($N3144="","",IF(INDEX(LdBId,$N3144)="","—",INDEX(LdBId,$N3144)))</f>
        <v/>
      </c>
      <c r="D3144" s="20">
        <f>IF($N3144="","",INDEX(LdBMember,$N3144))</f>
        <v/>
      </c>
      <c r="E3144" s="20">
        <f>IF($N3144="","",IFERROR(IF(VLOOKUP(INDEX(LdBMember,$N3144),AcctTblE,4,0)="","(بدون نام)",VLOOKUP(INDEX(LdBMember,$N3144),AcctTblE,4,0)),"—"))</f>
        <v/>
      </c>
      <c r="F3144" s="21">
        <f>IF($N3144="","",IF(INDEX(LdBAmt,$N3144)=0,"",INDEX(LdBAmt,$N3144)))</f>
        <v/>
      </c>
      <c r="G3144" s="32">
        <f>IF($N3144="","",IF(INDEX(LdBNote,$N3144)="","—",INDEX(LdBNote,$N3144)))</f>
        <v/>
      </c>
      <c r="N3144">
        <f>IFERROR(MATCH($C$5&amp;"|"&amp;RIGHT("000000"&amp;1124,6),LdBKeyG,0),"")</f>
        <v/>
      </c>
    </row>
    <row r="3145">
      <c r="A3145" s="10" t="n">
        <v>1125</v>
      </c>
      <c r="B3145" s="14">
        <f>IF($N3145="","",INDEX(LdBDate,$N3145))</f>
        <v/>
      </c>
      <c r="C3145" s="14">
        <f>IF($N3145="","",IF(INDEX(LdBId,$N3145)="","—",INDEX(LdBId,$N3145)))</f>
        <v/>
      </c>
      <c r="D3145" s="14">
        <f>IF($N3145="","",INDEX(LdBMember,$N3145))</f>
        <v/>
      </c>
      <c r="E3145" s="14">
        <f>IF($N3145="","",IFERROR(IF(VLOOKUP(INDEX(LdBMember,$N3145),AcctTblE,4,0)="","(بدون نام)",VLOOKUP(INDEX(LdBMember,$N3145),AcctTblE,4,0)),"—"))</f>
        <v/>
      </c>
      <c r="F3145" s="16">
        <f>IF($N3145="","",IF(INDEX(LdBAmt,$N3145)=0,"",INDEX(LdBAmt,$N3145)))</f>
        <v/>
      </c>
      <c r="G3145" s="30">
        <f>IF($N3145="","",IF(INDEX(LdBNote,$N3145)="","—",INDEX(LdBNote,$N3145)))</f>
        <v/>
      </c>
      <c r="N3145">
        <f>IFERROR(MATCH($C$5&amp;"|"&amp;RIGHT("000000"&amp;1125,6),LdBKeyG,0),"")</f>
        <v/>
      </c>
    </row>
    <row r="3146">
      <c r="A3146" s="19" t="n">
        <v>1126</v>
      </c>
      <c r="B3146" s="20">
        <f>IF($N3146="","",INDEX(LdBDate,$N3146))</f>
        <v/>
      </c>
      <c r="C3146" s="20">
        <f>IF($N3146="","",IF(INDEX(LdBId,$N3146)="","—",INDEX(LdBId,$N3146)))</f>
        <v/>
      </c>
      <c r="D3146" s="20">
        <f>IF($N3146="","",INDEX(LdBMember,$N3146))</f>
        <v/>
      </c>
      <c r="E3146" s="20">
        <f>IF($N3146="","",IFERROR(IF(VLOOKUP(INDEX(LdBMember,$N3146),AcctTblE,4,0)="","(بدون نام)",VLOOKUP(INDEX(LdBMember,$N3146),AcctTblE,4,0)),"—"))</f>
        <v/>
      </c>
      <c r="F3146" s="21">
        <f>IF($N3146="","",IF(INDEX(LdBAmt,$N3146)=0,"",INDEX(LdBAmt,$N3146)))</f>
        <v/>
      </c>
      <c r="G3146" s="32">
        <f>IF($N3146="","",IF(INDEX(LdBNote,$N3146)="","—",INDEX(LdBNote,$N3146)))</f>
        <v/>
      </c>
      <c r="N3146">
        <f>IFERROR(MATCH($C$5&amp;"|"&amp;RIGHT("000000"&amp;1126,6),LdBKeyG,0),"")</f>
        <v/>
      </c>
    </row>
    <row r="3147">
      <c r="A3147" s="10" t="n">
        <v>1127</v>
      </c>
      <c r="B3147" s="14">
        <f>IF($N3147="","",INDEX(LdBDate,$N3147))</f>
        <v/>
      </c>
      <c r="C3147" s="14">
        <f>IF($N3147="","",IF(INDEX(LdBId,$N3147)="","—",INDEX(LdBId,$N3147)))</f>
        <v/>
      </c>
      <c r="D3147" s="14">
        <f>IF($N3147="","",INDEX(LdBMember,$N3147))</f>
        <v/>
      </c>
      <c r="E3147" s="14">
        <f>IF($N3147="","",IFERROR(IF(VLOOKUP(INDEX(LdBMember,$N3147),AcctTblE,4,0)="","(بدون نام)",VLOOKUP(INDEX(LdBMember,$N3147),AcctTblE,4,0)),"—"))</f>
        <v/>
      </c>
      <c r="F3147" s="16">
        <f>IF($N3147="","",IF(INDEX(LdBAmt,$N3147)=0,"",INDEX(LdBAmt,$N3147)))</f>
        <v/>
      </c>
      <c r="G3147" s="30">
        <f>IF($N3147="","",IF(INDEX(LdBNote,$N3147)="","—",INDEX(LdBNote,$N3147)))</f>
        <v/>
      </c>
      <c r="N3147">
        <f>IFERROR(MATCH($C$5&amp;"|"&amp;RIGHT("000000"&amp;1127,6),LdBKeyG,0),"")</f>
        <v/>
      </c>
    </row>
    <row r="3148">
      <c r="A3148" s="19" t="n">
        <v>1128</v>
      </c>
      <c r="B3148" s="20">
        <f>IF($N3148="","",INDEX(LdBDate,$N3148))</f>
        <v/>
      </c>
      <c r="C3148" s="20">
        <f>IF($N3148="","",IF(INDEX(LdBId,$N3148)="","—",INDEX(LdBId,$N3148)))</f>
        <v/>
      </c>
      <c r="D3148" s="20">
        <f>IF($N3148="","",INDEX(LdBMember,$N3148))</f>
        <v/>
      </c>
      <c r="E3148" s="20">
        <f>IF($N3148="","",IFERROR(IF(VLOOKUP(INDEX(LdBMember,$N3148),AcctTblE,4,0)="","(بدون نام)",VLOOKUP(INDEX(LdBMember,$N3148),AcctTblE,4,0)),"—"))</f>
        <v/>
      </c>
      <c r="F3148" s="21">
        <f>IF($N3148="","",IF(INDEX(LdBAmt,$N3148)=0,"",INDEX(LdBAmt,$N3148)))</f>
        <v/>
      </c>
      <c r="G3148" s="32">
        <f>IF($N3148="","",IF(INDEX(LdBNote,$N3148)="","—",INDEX(LdBNote,$N3148)))</f>
        <v/>
      </c>
      <c r="N3148">
        <f>IFERROR(MATCH($C$5&amp;"|"&amp;RIGHT("000000"&amp;1128,6),LdBKeyG,0),"")</f>
        <v/>
      </c>
    </row>
    <row r="3149">
      <c r="A3149" s="10" t="n">
        <v>1129</v>
      </c>
      <c r="B3149" s="14">
        <f>IF($N3149="","",INDEX(LdBDate,$N3149))</f>
        <v/>
      </c>
      <c r="C3149" s="14">
        <f>IF($N3149="","",IF(INDEX(LdBId,$N3149)="","—",INDEX(LdBId,$N3149)))</f>
        <v/>
      </c>
      <c r="D3149" s="14">
        <f>IF($N3149="","",INDEX(LdBMember,$N3149))</f>
        <v/>
      </c>
      <c r="E3149" s="14">
        <f>IF($N3149="","",IFERROR(IF(VLOOKUP(INDEX(LdBMember,$N3149),AcctTblE,4,0)="","(بدون نام)",VLOOKUP(INDEX(LdBMember,$N3149),AcctTblE,4,0)),"—"))</f>
        <v/>
      </c>
      <c r="F3149" s="16">
        <f>IF($N3149="","",IF(INDEX(LdBAmt,$N3149)=0,"",INDEX(LdBAmt,$N3149)))</f>
        <v/>
      </c>
      <c r="G3149" s="30">
        <f>IF($N3149="","",IF(INDEX(LdBNote,$N3149)="","—",INDEX(LdBNote,$N3149)))</f>
        <v/>
      </c>
      <c r="N3149">
        <f>IFERROR(MATCH($C$5&amp;"|"&amp;RIGHT("000000"&amp;1129,6),LdBKeyG,0),"")</f>
        <v/>
      </c>
    </row>
    <row r="3150">
      <c r="A3150" s="19" t="n">
        <v>1130</v>
      </c>
      <c r="B3150" s="20">
        <f>IF($N3150="","",INDEX(LdBDate,$N3150))</f>
        <v/>
      </c>
      <c r="C3150" s="20">
        <f>IF($N3150="","",IF(INDEX(LdBId,$N3150)="","—",INDEX(LdBId,$N3150)))</f>
        <v/>
      </c>
      <c r="D3150" s="20">
        <f>IF($N3150="","",INDEX(LdBMember,$N3150))</f>
        <v/>
      </c>
      <c r="E3150" s="20">
        <f>IF($N3150="","",IFERROR(IF(VLOOKUP(INDEX(LdBMember,$N3150),AcctTblE,4,0)="","(بدون نام)",VLOOKUP(INDEX(LdBMember,$N3150),AcctTblE,4,0)),"—"))</f>
        <v/>
      </c>
      <c r="F3150" s="21">
        <f>IF($N3150="","",IF(INDEX(LdBAmt,$N3150)=0,"",INDEX(LdBAmt,$N3150)))</f>
        <v/>
      </c>
      <c r="G3150" s="32">
        <f>IF($N3150="","",IF(INDEX(LdBNote,$N3150)="","—",INDEX(LdBNote,$N3150)))</f>
        <v/>
      </c>
      <c r="N3150">
        <f>IFERROR(MATCH($C$5&amp;"|"&amp;RIGHT("000000"&amp;1130,6),LdBKeyG,0),"")</f>
        <v/>
      </c>
    </row>
    <row r="3151">
      <c r="A3151" s="10" t="n">
        <v>1131</v>
      </c>
      <c r="B3151" s="14">
        <f>IF($N3151="","",INDEX(LdBDate,$N3151))</f>
        <v/>
      </c>
      <c r="C3151" s="14">
        <f>IF($N3151="","",IF(INDEX(LdBId,$N3151)="","—",INDEX(LdBId,$N3151)))</f>
        <v/>
      </c>
      <c r="D3151" s="14">
        <f>IF($N3151="","",INDEX(LdBMember,$N3151))</f>
        <v/>
      </c>
      <c r="E3151" s="14">
        <f>IF($N3151="","",IFERROR(IF(VLOOKUP(INDEX(LdBMember,$N3151),AcctTblE,4,0)="","(بدون نام)",VLOOKUP(INDEX(LdBMember,$N3151),AcctTblE,4,0)),"—"))</f>
        <v/>
      </c>
      <c r="F3151" s="16">
        <f>IF($N3151="","",IF(INDEX(LdBAmt,$N3151)=0,"",INDEX(LdBAmt,$N3151)))</f>
        <v/>
      </c>
      <c r="G3151" s="30">
        <f>IF($N3151="","",IF(INDEX(LdBNote,$N3151)="","—",INDEX(LdBNote,$N3151)))</f>
        <v/>
      </c>
      <c r="N3151">
        <f>IFERROR(MATCH($C$5&amp;"|"&amp;RIGHT("000000"&amp;1131,6),LdBKeyG,0),"")</f>
        <v/>
      </c>
    </row>
    <row r="3152">
      <c r="A3152" s="19" t="n">
        <v>1132</v>
      </c>
      <c r="B3152" s="20">
        <f>IF($N3152="","",INDEX(LdBDate,$N3152))</f>
        <v/>
      </c>
      <c r="C3152" s="20">
        <f>IF($N3152="","",IF(INDEX(LdBId,$N3152)="","—",INDEX(LdBId,$N3152)))</f>
        <v/>
      </c>
      <c r="D3152" s="20">
        <f>IF($N3152="","",INDEX(LdBMember,$N3152))</f>
        <v/>
      </c>
      <c r="E3152" s="20">
        <f>IF($N3152="","",IFERROR(IF(VLOOKUP(INDEX(LdBMember,$N3152),AcctTblE,4,0)="","(بدون نام)",VLOOKUP(INDEX(LdBMember,$N3152),AcctTblE,4,0)),"—"))</f>
        <v/>
      </c>
      <c r="F3152" s="21">
        <f>IF($N3152="","",IF(INDEX(LdBAmt,$N3152)=0,"",INDEX(LdBAmt,$N3152)))</f>
        <v/>
      </c>
      <c r="G3152" s="32">
        <f>IF($N3152="","",IF(INDEX(LdBNote,$N3152)="","—",INDEX(LdBNote,$N3152)))</f>
        <v/>
      </c>
      <c r="N3152">
        <f>IFERROR(MATCH($C$5&amp;"|"&amp;RIGHT("000000"&amp;1132,6),LdBKeyG,0),"")</f>
        <v/>
      </c>
    </row>
    <row r="3153">
      <c r="A3153" s="10" t="n">
        <v>1133</v>
      </c>
      <c r="B3153" s="14">
        <f>IF($N3153="","",INDEX(LdBDate,$N3153))</f>
        <v/>
      </c>
      <c r="C3153" s="14">
        <f>IF($N3153="","",IF(INDEX(LdBId,$N3153)="","—",INDEX(LdBId,$N3153)))</f>
        <v/>
      </c>
      <c r="D3153" s="14">
        <f>IF($N3153="","",INDEX(LdBMember,$N3153))</f>
        <v/>
      </c>
      <c r="E3153" s="14">
        <f>IF($N3153="","",IFERROR(IF(VLOOKUP(INDEX(LdBMember,$N3153),AcctTblE,4,0)="","(بدون نام)",VLOOKUP(INDEX(LdBMember,$N3153),AcctTblE,4,0)),"—"))</f>
        <v/>
      </c>
      <c r="F3153" s="16">
        <f>IF($N3153="","",IF(INDEX(LdBAmt,$N3153)=0,"",INDEX(LdBAmt,$N3153)))</f>
        <v/>
      </c>
      <c r="G3153" s="30">
        <f>IF($N3153="","",IF(INDEX(LdBNote,$N3153)="","—",INDEX(LdBNote,$N3153)))</f>
        <v/>
      </c>
      <c r="N3153">
        <f>IFERROR(MATCH($C$5&amp;"|"&amp;RIGHT("000000"&amp;1133,6),LdBKeyG,0),"")</f>
        <v/>
      </c>
    </row>
    <row r="3154">
      <c r="A3154" s="19" t="n">
        <v>1134</v>
      </c>
      <c r="B3154" s="20">
        <f>IF($N3154="","",INDEX(LdBDate,$N3154))</f>
        <v/>
      </c>
      <c r="C3154" s="20">
        <f>IF($N3154="","",IF(INDEX(LdBId,$N3154)="","—",INDEX(LdBId,$N3154)))</f>
        <v/>
      </c>
      <c r="D3154" s="20">
        <f>IF($N3154="","",INDEX(LdBMember,$N3154))</f>
        <v/>
      </c>
      <c r="E3154" s="20">
        <f>IF($N3154="","",IFERROR(IF(VLOOKUP(INDEX(LdBMember,$N3154),AcctTblE,4,0)="","(بدون نام)",VLOOKUP(INDEX(LdBMember,$N3154),AcctTblE,4,0)),"—"))</f>
        <v/>
      </c>
      <c r="F3154" s="21">
        <f>IF($N3154="","",IF(INDEX(LdBAmt,$N3154)=0,"",INDEX(LdBAmt,$N3154)))</f>
        <v/>
      </c>
      <c r="G3154" s="32">
        <f>IF($N3154="","",IF(INDEX(LdBNote,$N3154)="","—",INDEX(LdBNote,$N3154)))</f>
        <v/>
      </c>
      <c r="N3154">
        <f>IFERROR(MATCH($C$5&amp;"|"&amp;RIGHT("000000"&amp;1134,6),LdBKeyG,0),"")</f>
        <v/>
      </c>
    </row>
    <row r="3155">
      <c r="A3155" s="10" t="n">
        <v>1135</v>
      </c>
      <c r="B3155" s="14">
        <f>IF($N3155="","",INDEX(LdBDate,$N3155))</f>
        <v/>
      </c>
      <c r="C3155" s="14">
        <f>IF($N3155="","",IF(INDEX(LdBId,$N3155)="","—",INDEX(LdBId,$N3155)))</f>
        <v/>
      </c>
      <c r="D3155" s="14">
        <f>IF($N3155="","",INDEX(LdBMember,$N3155))</f>
        <v/>
      </c>
      <c r="E3155" s="14">
        <f>IF($N3155="","",IFERROR(IF(VLOOKUP(INDEX(LdBMember,$N3155),AcctTblE,4,0)="","(بدون نام)",VLOOKUP(INDEX(LdBMember,$N3155),AcctTblE,4,0)),"—"))</f>
        <v/>
      </c>
      <c r="F3155" s="16">
        <f>IF($N3155="","",IF(INDEX(LdBAmt,$N3155)=0,"",INDEX(LdBAmt,$N3155)))</f>
        <v/>
      </c>
      <c r="G3155" s="30">
        <f>IF($N3155="","",IF(INDEX(LdBNote,$N3155)="","—",INDEX(LdBNote,$N3155)))</f>
        <v/>
      </c>
      <c r="N3155">
        <f>IFERROR(MATCH($C$5&amp;"|"&amp;RIGHT("000000"&amp;1135,6),LdBKeyG,0),"")</f>
        <v/>
      </c>
    </row>
    <row r="3156">
      <c r="A3156" s="19" t="n">
        <v>1136</v>
      </c>
      <c r="B3156" s="20">
        <f>IF($N3156="","",INDEX(LdBDate,$N3156))</f>
        <v/>
      </c>
      <c r="C3156" s="20">
        <f>IF($N3156="","",IF(INDEX(LdBId,$N3156)="","—",INDEX(LdBId,$N3156)))</f>
        <v/>
      </c>
      <c r="D3156" s="20">
        <f>IF($N3156="","",INDEX(LdBMember,$N3156))</f>
        <v/>
      </c>
      <c r="E3156" s="20">
        <f>IF($N3156="","",IFERROR(IF(VLOOKUP(INDEX(LdBMember,$N3156),AcctTblE,4,0)="","(بدون نام)",VLOOKUP(INDEX(LdBMember,$N3156),AcctTblE,4,0)),"—"))</f>
        <v/>
      </c>
      <c r="F3156" s="21">
        <f>IF($N3156="","",IF(INDEX(LdBAmt,$N3156)=0,"",INDEX(LdBAmt,$N3156)))</f>
        <v/>
      </c>
      <c r="G3156" s="32">
        <f>IF($N3156="","",IF(INDEX(LdBNote,$N3156)="","—",INDEX(LdBNote,$N3156)))</f>
        <v/>
      </c>
      <c r="N3156">
        <f>IFERROR(MATCH($C$5&amp;"|"&amp;RIGHT("000000"&amp;1136,6),LdBKeyG,0),"")</f>
        <v/>
      </c>
    </row>
    <row r="3157">
      <c r="A3157" s="10" t="n">
        <v>1137</v>
      </c>
      <c r="B3157" s="14">
        <f>IF($N3157="","",INDEX(LdBDate,$N3157))</f>
        <v/>
      </c>
      <c r="C3157" s="14">
        <f>IF($N3157="","",IF(INDEX(LdBId,$N3157)="","—",INDEX(LdBId,$N3157)))</f>
        <v/>
      </c>
      <c r="D3157" s="14">
        <f>IF($N3157="","",INDEX(LdBMember,$N3157))</f>
        <v/>
      </c>
      <c r="E3157" s="14">
        <f>IF($N3157="","",IFERROR(IF(VLOOKUP(INDEX(LdBMember,$N3157),AcctTblE,4,0)="","(بدون نام)",VLOOKUP(INDEX(LdBMember,$N3157),AcctTblE,4,0)),"—"))</f>
        <v/>
      </c>
      <c r="F3157" s="16">
        <f>IF($N3157="","",IF(INDEX(LdBAmt,$N3157)=0,"",INDEX(LdBAmt,$N3157)))</f>
        <v/>
      </c>
      <c r="G3157" s="30">
        <f>IF($N3157="","",IF(INDEX(LdBNote,$N3157)="","—",INDEX(LdBNote,$N3157)))</f>
        <v/>
      </c>
      <c r="N3157">
        <f>IFERROR(MATCH($C$5&amp;"|"&amp;RIGHT("000000"&amp;1137,6),LdBKeyG,0),"")</f>
        <v/>
      </c>
    </row>
    <row r="3158">
      <c r="A3158" s="19" t="n">
        <v>1138</v>
      </c>
      <c r="B3158" s="20">
        <f>IF($N3158="","",INDEX(LdBDate,$N3158))</f>
        <v/>
      </c>
      <c r="C3158" s="20">
        <f>IF($N3158="","",IF(INDEX(LdBId,$N3158)="","—",INDEX(LdBId,$N3158)))</f>
        <v/>
      </c>
      <c r="D3158" s="20">
        <f>IF($N3158="","",INDEX(LdBMember,$N3158))</f>
        <v/>
      </c>
      <c r="E3158" s="20">
        <f>IF($N3158="","",IFERROR(IF(VLOOKUP(INDEX(LdBMember,$N3158),AcctTblE,4,0)="","(بدون نام)",VLOOKUP(INDEX(LdBMember,$N3158),AcctTblE,4,0)),"—"))</f>
        <v/>
      </c>
      <c r="F3158" s="21">
        <f>IF($N3158="","",IF(INDEX(LdBAmt,$N3158)=0,"",INDEX(LdBAmt,$N3158)))</f>
        <v/>
      </c>
      <c r="G3158" s="32">
        <f>IF($N3158="","",IF(INDEX(LdBNote,$N3158)="","—",INDEX(LdBNote,$N3158)))</f>
        <v/>
      </c>
      <c r="N3158">
        <f>IFERROR(MATCH($C$5&amp;"|"&amp;RIGHT("000000"&amp;1138,6),LdBKeyG,0),"")</f>
        <v/>
      </c>
    </row>
    <row r="3159">
      <c r="A3159" s="10" t="n">
        <v>1139</v>
      </c>
      <c r="B3159" s="14">
        <f>IF($N3159="","",INDEX(LdBDate,$N3159))</f>
        <v/>
      </c>
      <c r="C3159" s="14">
        <f>IF($N3159="","",IF(INDEX(LdBId,$N3159)="","—",INDEX(LdBId,$N3159)))</f>
        <v/>
      </c>
      <c r="D3159" s="14">
        <f>IF($N3159="","",INDEX(LdBMember,$N3159))</f>
        <v/>
      </c>
      <c r="E3159" s="14">
        <f>IF($N3159="","",IFERROR(IF(VLOOKUP(INDEX(LdBMember,$N3159),AcctTblE,4,0)="","(بدون نام)",VLOOKUP(INDEX(LdBMember,$N3159),AcctTblE,4,0)),"—"))</f>
        <v/>
      </c>
      <c r="F3159" s="16">
        <f>IF($N3159="","",IF(INDEX(LdBAmt,$N3159)=0,"",INDEX(LdBAmt,$N3159)))</f>
        <v/>
      </c>
      <c r="G3159" s="30">
        <f>IF($N3159="","",IF(INDEX(LdBNote,$N3159)="","—",INDEX(LdBNote,$N3159)))</f>
        <v/>
      </c>
      <c r="N3159">
        <f>IFERROR(MATCH($C$5&amp;"|"&amp;RIGHT("000000"&amp;1139,6),LdBKeyG,0),"")</f>
        <v/>
      </c>
    </row>
    <row r="3160">
      <c r="A3160" s="19" t="n">
        <v>1140</v>
      </c>
      <c r="B3160" s="20">
        <f>IF($N3160="","",INDEX(LdBDate,$N3160))</f>
        <v/>
      </c>
      <c r="C3160" s="20">
        <f>IF($N3160="","",IF(INDEX(LdBId,$N3160)="","—",INDEX(LdBId,$N3160)))</f>
        <v/>
      </c>
      <c r="D3160" s="20">
        <f>IF($N3160="","",INDEX(LdBMember,$N3160))</f>
        <v/>
      </c>
      <c r="E3160" s="20">
        <f>IF($N3160="","",IFERROR(IF(VLOOKUP(INDEX(LdBMember,$N3160),AcctTblE,4,0)="","(بدون نام)",VLOOKUP(INDEX(LdBMember,$N3160),AcctTblE,4,0)),"—"))</f>
        <v/>
      </c>
      <c r="F3160" s="21">
        <f>IF($N3160="","",IF(INDEX(LdBAmt,$N3160)=0,"",INDEX(LdBAmt,$N3160)))</f>
        <v/>
      </c>
      <c r="G3160" s="32">
        <f>IF($N3160="","",IF(INDEX(LdBNote,$N3160)="","—",INDEX(LdBNote,$N3160)))</f>
        <v/>
      </c>
      <c r="N3160">
        <f>IFERROR(MATCH($C$5&amp;"|"&amp;RIGHT("000000"&amp;1140,6),LdBKeyG,0),"")</f>
        <v/>
      </c>
    </row>
    <row r="3161">
      <c r="A3161" s="10" t="n">
        <v>1141</v>
      </c>
      <c r="B3161" s="14">
        <f>IF($N3161="","",INDEX(LdBDate,$N3161))</f>
        <v/>
      </c>
      <c r="C3161" s="14">
        <f>IF($N3161="","",IF(INDEX(LdBId,$N3161)="","—",INDEX(LdBId,$N3161)))</f>
        <v/>
      </c>
      <c r="D3161" s="14">
        <f>IF($N3161="","",INDEX(LdBMember,$N3161))</f>
        <v/>
      </c>
      <c r="E3161" s="14">
        <f>IF($N3161="","",IFERROR(IF(VLOOKUP(INDEX(LdBMember,$N3161),AcctTblE,4,0)="","(بدون نام)",VLOOKUP(INDEX(LdBMember,$N3161),AcctTblE,4,0)),"—"))</f>
        <v/>
      </c>
      <c r="F3161" s="16">
        <f>IF($N3161="","",IF(INDEX(LdBAmt,$N3161)=0,"",INDEX(LdBAmt,$N3161)))</f>
        <v/>
      </c>
      <c r="G3161" s="30">
        <f>IF($N3161="","",IF(INDEX(LdBNote,$N3161)="","—",INDEX(LdBNote,$N3161)))</f>
        <v/>
      </c>
      <c r="N3161">
        <f>IFERROR(MATCH($C$5&amp;"|"&amp;RIGHT("000000"&amp;1141,6),LdBKeyG,0),"")</f>
        <v/>
      </c>
    </row>
    <row r="3162">
      <c r="A3162" s="19" t="n">
        <v>1142</v>
      </c>
      <c r="B3162" s="20">
        <f>IF($N3162="","",INDEX(LdBDate,$N3162))</f>
        <v/>
      </c>
      <c r="C3162" s="20">
        <f>IF($N3162="","",IF(INDEX(LdBId,$N3162)="","—",INDEX(LdBId,$N3162)))</f>
        <v/>
      </c>
      <c r="D3162" s="20">
        <f>IF($N3162="","",INDEX(LdBMember,$N3162))</f>
        <v/>
      </c>
      <c r="E3162" s="20">
        <f>IF($N3162="","",IFERROR(IF(VLOOKUP(INDEX(LdBMember,$N3162),AcctTblE,4,0)="","(بدون نام)",VLOOKUP(INDEX(LdBMember,$N3162),AcctTblE,4,0)),"—"))</f>
        <v/>
      </c>
      <c r="F3162" s="21">
        <f>IF($N3162="","",IF(INDEX(LdBAmt,$N3162)=0,"",INDEX(LdBAmt,$N3162)))</f>
        <v/>
      </c>
      <c r="G3162" s="32">
        <f>IF($N3162="","",IF(INDEX(LdBNote,$N3162)="","—",INDEX(LdBNote,$N3162)))</f>
        <v/>
      </c>
      <c r="N3162">
        <f>IFERROR(MATCH($C$5&amp;"|"&amp;RIGHT("000000"&amp;1142,6),LdBKeyG,0),"")</f>
        <v/>
      </c>
    </row>
    <row r="3163">
      <c r="A3163" s="10" t="n">
        <v>1143</v>
      </c>
      <c r="B3163" s="14">
        <f>IF($N3163="","",INDEX(LdBDate,$N3163))</f>
        <v/>
      </c>
      <c r="C3163" s="14">
        <f>IF($N3163="","",IF(INDEX(LdBId,$N3163)="","—",INDEX(LdBId,$N3163)))</f>
        <v/>
      </c>
      <c r="D3163" s="14">
        <f>IF($N3163="","",INDEX(LdBMember,$N3163))</f>
        <v/>
      </c>
      <c r="E3163" s="14">
        <f>IF($N3163="","",IFERROR(IF(VLOOKUP(INDEX(LdBMember,$N3163),AcctTblE,4,0)="","(بدون نام)",VLOOKUP(INDEX(LdBMember,$N3163),AcctTblE,4,0)),"—"))</f>
        <v/>
      </c>
      <c r="F3163" s="16">
        <f>IF($N3163="","",IF(INDEX(LdBAmt,$N3163)=0,"",INDEX(LdBAmt,$N3163)))</f>
        <v/>
      </c>
      <c r="G3163" s="30">
        <f>IF($N3163="","",IF(INDEX(LdBNote,$N3163)="","—",INDEX(LdBNote,$N3163)))</f>
        <v/>
      </c>
      <c r="N3163">
        <f>IFERROR(MATCH($C$5&amp;"|"&amp;RIGHT("000000"&amp;1143,6),LdBKeyG,0),"")</f>
        <v/>
      </c>
    </row>
    <row r="3164">
      <c r="A3164" s="19" t="n">
        <v>1144</v>
      </c>
      <c r="B3164" s="20">
        <f>IF($N3164="","",INDEX(LdBDate,$N3164))</f>
        <v/>
      </c>
      <c r="C3164" s="20">
        <f>IF($N3164="","",IF(INDEX(LdBId,$N3164)="","—",INDEX(LdBId,$N3164)))</f>
        <v/>
      </c>
      <c r="D3164" s="20">
        <f>IF($N3164="","",INDEX(LdBMember,$N3164))</f>
        <v/>
      </c>
      <c r="E3164" s="20">
        <f>IF($N3164="","",IFERROR(IF(VLOOKUP(INDEX(LdBMember,$N3164),AcctTblE,4,0)="","(بدون نام)",VLOOKUP(INDEX(LdBMember,$N3164),AcctTblE,4,0)),"—"))</f>
        <v/>
      </c>
      <c r="F3164" s="21">
        <f>IF($N3164="","",IF(INDEX(LdBAmt,$N3164)=0,"",INDEX(LdBAmt,$N3164)))</f>
        <v/>
      </c>
      <c r="G3164" s="32">
        <f>IF($N3164="","",IF(INDEX(LdBNote,$N3164)="","—",INDEX(LdBNote,$N3164)))</f>
        <v/>
      </c>
      <c r="N3164">
        <f>IFERROR(MATCH($C$5&amp;"|"&amp;RIGHT("000000"&amp;1144,6),LdBKeyG,0),"")</f>
        <v/>
      </c>
    </row>
    <row r="3165">
      <c r="A3165" s="10" t="n">
        <v>1145</v>
      </c>
      <c r="B3165" s="14">
        <f>IF($N3165="","",INDEX(LdBDate,$N3165))</f>
        <v/>
      </c>
      <c r="C3165" s="14">
        <f>IF($N3165="","",IF(INDEX(LdBId,$N3165)="","—",INDEX(LdBId,$N3165)))</f>
        <v/>
      </c>
      <c r="D3165" s="14">
        <f>IF($N3165="","",INDEX(LdBMember,$N3165))</f>
        <v/>
      </c>
      <c r="E3165" s="14">
        <f>IF($N3165="","",IFERROR(IF(VLOOKUP(INDEX(LdBMember,$N3165),AcctTblE,4,0)="","(بدون نام)",VLOOKUP(INDEX(LdBMember,$N3165),AcctTblE,4,0)),"—"))</f>
        <v/>
      </c>
      <c r="F3165" s="16">
        <f>IF($N3165="","",IF(INDEX(LdBAmt,$N3165)=0,"",INDEX(LdBAmt,$N3165)))</f>
        <v/>
      </c>
      <c r="G3165" s="30">
        <f>IF($N3165="","",IF(INDEX(LdBNote,$N3165)="","—",INDEX(LdBNote,$N3165)))</f>
        <v/>
      </c>
      <c r="N3165">
        <f>IFERROR(MATCH($C$5&amp;"|"&amp;RIGHT("000000"&amp;1145,6),LdBKeyG,0),"")</f>
        <v/>
      </c>
    </row>
    <row r="3166">
      <c r="A3166" s="19" t="n">
        <v>1146</v>
      </c>
      <c r="B3166" s="20">
        <f>IF($N3166="","",INDEX(LdBDate,$N3166))</f>
        <v/>
      </c>
      <c r="C3166" s="20">
        <f>IF($N3166="","",IF(INDEX(LdBId,$N3166)="","—",INDEX(LdBId,$N3166)))</f>
        <v/>
      </c>
      <c r="D3166" s="20">
        <f>IF($N3166="","",INDEX(LdBMember,$N3166))</f>
        <v/>
      </c>
      <c r="E3166" s="20">
        <f>IF($N3166="","",IFERROR(IF(VLOOKUP(INDEX(LdBMember,$N3166),AcctTblE,4,0)="","(بدون نام)",VLOOKUP(INDEX(LdBMember,$N3166),AcctTblE,4,0)),"—"))</f>
        <v/>
      </c>
      <c r="F3166" s="21">
        <f>IF($N3166="","",IF(INDEX(LdBAmt,$N3166)=0,"",INDEX(LdBAmt,$N3166)))</f>
        <v/>
      </c>
      <c r="G3166" s="32">
        <f>IF($N3166="","",IF(INDEX(LdBNote,$N3166)="","—",INDEX(LdBNote,$N3166)))</f>
        <v/>
      </c>
      <c r="N3166">
        <f>IFERROR(MATCH($C$5&amp;"|"&amp;RIGHT("000000"&amp;1146,6),LdBKeyG,0),"")</f>
        <v/>
      </c>
    </row>
    <row r="3167">
      <c r="A3167" s="10" t="n">
        <v>1147</v>
      </c>
      <c r="B3167" s="14">
        <f>IF($N3167="","",INDEX(LdBDate,$N3167))</f>
        <v/>
      </c>
      <c r="C3167" s="14">
        <f>IF($N3167="","",IF(INDEX(LdBId,$N3167)="","—",INDEX(LdBId,$N3167)))</f>
        <v/>
      </c>
      <c r="D3167" s="14">
        <f>IF($N3167="","",INDEX(LdBMember,$N3167))</f>
        <v/>
      </c>
      <c r="E3167" s="14">
        <f>IF($N3167="","",IFERROR(IF(VLOOKUP(INDEX(LdBMember,$N3167),AcctTblE,4,0)="","(بدون نام)",VLOOKUP(INDEX(LdBMember,$N3167),AcctTblE,4,0)),"—"))</f>
        <v/>
      </c>
      <c r="F3167" s="16">
        <f>IF($N3167="","",IF(INDEX(LdBAmt,$N3167)=0,"",INDEX(LdBAmt,$N3167)))</f>
        <v/>
      </c>
      <c r="G3167" s="30">
        <f>IF($N3167="","",IF(INDEX(LdBNote,$N3167)="","—",INDEX(LdBNote,$N3167)))</f>
        <v/>
      </c>
      <c r="N3167">
        <f>IFERROR(MATCH($C$5&amp;"|"&amp;RIGHT("000000"&amp;1147,6),LdBKeyG,0),"")</f>
        <v/>
      </c>
    </row>
    <row r="3168">
      <c r="A3168" s="19" t="n">
        <v>1148</v>
      </c>
      <c r="B3168" s="20">
        <f>IF($N3168="","",INDEX(LdBDate,$N3168))</f>
        <v/>
      </c>
      <c r="C3168" s="20">
        <f>IF($N3168="","",IF(INDEX(LdBId,$N3168)="","—",INDEX(LdBId,$N3168)))</f>
        <v/>
      </c>
      <c r="D3168" s="20">
        <f>IF($N3168="","",INDEX(LdBMember,$N3168))</f>
        <v/>
      </c>
      <c r="E3168" s="20">
        <f>IF($N3168="","",IFERROR(IF(VLOOKUP(INDEX(LdBMember,$N3168),AcctTblE,4,0)="","(بدون نام)",VLOOKUP(INDEX(LdBMember,$N3168),AcctTblE,4,0)),"—"))</f>
        <v/>
      </c>
      <c r="F3168" s="21">
        <f>IF($N3168="","",IF(INDEX(LdBAmt,$N3168)=0,"",INDEX(LdBAmt,$N3168)))</f>
        <v/>
      </c>
      <c r="G3168" s="32">
        <f>IF($N3168="","",IF(INDEX(LdBNote,$N3168)="","—",INDEX(LdBNote,$N3168)))</f>
        <v/>
      </c>
      <c r="N3168">
        <f>IFERROR(MATCH($C$5&amp;"|"&amp;RIGHT("000000"&amp;1148,6),LdBKeyG,0),"")</f>
        <v/>
      </c>
    </row>
    <row r="3169">
      <c r="A3169" s="10" t="n">
        <v>1149</v>
      </c>
      <c r="B3169" s="14">
        <f>IF($N3169="","",INDEX(LdBDate,$N3169))</f>
        <v/>
      </c>
      <c r="C3169" s="14">
        <f>IF($N3169="","",IF(INDEX(LdBId,$N3169)="","—",INDEX(LdBId,$N3169)))</f>
        <v/>
      </c>
      <c r="D3169" s="14">
        <f>IF($N3169="","",INDEX(LdBMember,$N3169))</f>
        <v/>
      </c>
      <c r="E3169" s="14">
        <f>IF($N3169="","",IFERROR(IF(VLOOKUP(INDEX(LdBMember,$N3169),AcctTblE,4,0)="","(بدون نام)",VLOOKUP(INDEX(LdBMember,$N3169),AcctTblE,4,0)),"—"))</f>
        <v/>
      </c>
      <c r="F3169" s="16">
        <f>IF($N3169="","",IF(INDEX(LdBAmt,$N3169)=0,"",INDEX(LdBAmt,$N3169)))</f>
        <v/>
      </c>
      <c r="G3169" s="30">
        <f>IF($N3169="","",IF(INDEX(LdBNote,$N3169)="","—",INDEX(LdBNote,$N3169)))</f>
        <v/>
      </c>
      <c r="N3169">
        <f>IFERROR(MATCH($C$5&amp;"|"&amp;RIGHT("000000"&amp;1149,6),LdBKeyG,0),"")</f>
        <v/>
      </c>
    </row>
    <row r="3170">
      <c r="A3170" s="19" t="n">
        <v>1150</v>
      </c>
      <c r="B3170" s="20">
        <f>IF($N3170="","",INDEX(LdBDate,$N3170))</f>
        <v/>
      </c>
      <c r="C3170" s="20">
        <f>IF($N3170="","",IF(INDEX(LdBId,$N3170)="","—",INDEX(LdBId,$N3170)))</f>
        <v/>
      </c>
      <c r="D3170" s="20">
        <f>IF($N3170="","",INDEX(LdBMember,$N3170))</f>
        <v/>
      </c>
      <c r="E3170" s="20">
        <f>IF($N3170="","",IFERROR(IF(VLOOKUP(INDEX(LdBMember,$N3170),AcctTblE,4,0)="","(بدون نام)",VLOOKUP(INDEX(LdBMember,$N3170),AcctTblE,4,0)),"—"))</f>
        <v/>
      </c>
      <c r="F3170" s="21">
        <f>IF($N3170="","",IF(INDEX(LdBAmt,$N3170)=0,"",INDEX(LdBAmt,$N3170)))</f>
        <v/>
      </c>
      <c r="G3170" s="32">
        <f>IF($N3170="","",IF(INDEX(LdBNote,$N3170)="","—",INDEX(LdBNote,$N3170)))</f>
        <v/>
      </c>
      <c r="N3170">
        <f>IFERROR(MATCH($C$5&amp;"|"&amp;RIGHT("000000"&amp;1150,6),LdBKeyG,0),"")</f>
        <v/>
      </c>
    </row>
    <row r="3171">
      <c r="A3171" s="10" t="n">
        <v>1151</v>
      </c>
      <c r="B3171" s="14">
        <f>IF($N3171="","",INDEX(LdBDate,$N3171))</f>
        <v/>
      </c>
      <c r="C3171" s="14">
        <f>IF($N3171="","",IF(INDEX(LdBId,$N3171)="","—",INDEX(LdBId,$N3171)))</f>
        <v/>
      </c>
      <c r="D3171" s="14">
        <f>IF($N3171="","",INDEX(LdBMember,$N3171))</f>
        <v/>
      </c>
      <c r="E3171" s="14">
        <f>IF($N3171="","",IFERROR(IF(VLOOKUP(INDEX(LdBMember,$N3171),AcctTblE,4,0)="","(بدون نام)",VLOOKUP(INDEX(LdBMember,$N3171),AcctTblE,4,0)),"—"))</f>
        <v/>
      </c>
      <c r="F3171" s="16">
        <f>IF($N3171="","",IF(INDEX(LdBAmt,$N3171)=0,"",INDEX(LdBAmt,$N3171)))</f>
        <v/>
      </c>
      <c r="G3171" s="30">
        <f>IF($N3171="","",IF(INDEX(LdBNote,$N3171)="","—",INDEX(LdBNote,$N3171)))</f>
        <v/>
      </c>
      <c r="N3171">
        <f>IFERROR(MATCH($C$5&amp;"|"&amp;RIGHT("000000"&amp;1151,6),LdBKeyG,0),"")</f>
        <v/>
      </c>
    </row>
    <row r="3172">
      <c r="A3172" s="19" t="n">
        <v>1152</v>
      </c>
      <c r="B3172" s="20">
        <f>IF($N3172="","",INDEX(LdBDate,$N3172))</f>
        <v/>
      </c>
      <c r="C3172" s="20">
        <f>IF($N3172="","",IF(INDEX(LdBId,$N3172)="","—",INDEX(LdBId,$N3172)))</f>
        <v/>
      </c>
      <c r="D3172" s="20">
        <f>IF($N3172="","",INDEX(LdBMember,$N3172))</f>
        <v/>
      </c>
      <c r="E3172" s="20">
        <f>IF($N3172="","",IFERROR(IF(VLOOKUP(INDEX(LdBMember,$N3172),AcctTblE,4,0)="","(بدون نام)",VLOOKUP(INDEX(LdBMember,$N3172),AcctTblE,4,0)),"—"))</f>
        <v/>
      </c>
      <c r="F3172" s="21">
        <f>IF($N3172="","",IF(INDEX(LdBAmt,$N3172)=0,"",INDEX(LdBAmt,$N3172)))</f>
        <v/>
      </c>
      <c r="G3172" s="32">
        <f>IF($N3172="","",IF(INDEX(LdBNote,$N3172)="","—",INDEX(LdBNote,$N3172)))</f>
        <v/>
      </c>
      <c r="N3172">
        <f>IFERROR(MATCH($C$5&amp;"|"&amp;RIGHT("000000"&amp;1152,6),LdBKeyG,0),"")</f>
        <v/>
      </c>
    </row>
    <row r="3173">
      <c r="A3173" s="10" t="n">
        <v>1153</v>
      </c>
      <c r="B3173" s="14">
        <f>IF($N3173="","",INDEX(LdBDate,$N3173))</f>
        <v/>
      </c>
      <c r="C3173" s="14">
        <f>IF($N3173="","",IF(INDEX(LdBId,$N3173)="","—",INDEX(LdBId,$N3173)))</f>
        <v/>
      </c>
      <c r="D3173" s="14">
        <f>IF($N3173="","",INDEX(LdBMember,$N3173))</f>
        <v/>
      </c>
      <c r="E3173" s="14">
        <f>IF($N3173="","",IFERROR(IF(VLOOKUP(INDEX(LdBMember,$N3173),AcctTblE,4,0)="","(بدون نام)",VLOOKUP(INDEX(LdBMember,$N3173),AcctTblE,4,0)),"—"))</f>
        <v/>
      </c>
      <c r="F3173" s="16">
        <f>IF($N3173="","",IF(INDEX(LdBAmt,$N3173)=0,"",INDEX(LdBAmt,$N3173)))</f>
        <v/>
      </c>
      <c r="G3173" s="30">
        <f>IF($N3173="","",IF(INDEX(LdBNote,$N3173)="","—",INDEX(LdBNote,$N3173)))</f>
        <v/>
      </c>
      <c r="N3173">
        <f>IFERROR(MATCH($C$5&amp;"|"&amp;RIGHT("000000"&amp;1153,6),LdBKeyG,0),"")</f>
        <v/>
      </c>
    </row>
    <row r="3174">
      <c r="A3174" s="19" t="n">
        <v>1154</v>
      </c>
      <c r="B3174" s="20">
        <f>IF($N3174="","",INDEX(LdBDate,$N3174))</f>
        <v/>
      </c>
      <c r="C3174" s="20">
        <f>IF($N3174="","",IF(INDEX(LdBId,$N3174)="","—",INDEX(LdBId,$N3174)))</f>
        <v/>
      </c>
      <c r="D3174" s="20">
        <f>IF($N3174="","",INDEX(LdBMember,$N3174))</f>
        <v/>
      </c>
      <c r="E3174" s="20">
        <f>IF($N3174="","",IFERROR(IF(VLOOKUP(INDEX(LdBMember,$N3174),AcctTblE,4,0)="","(بدون نام)",VLOOKUP(INDEX(LdBMember,$N3174),AcctTblE,4,0)),"—"))</f>
        <v/>
      </c>
      <c r="F3174" s="21">
        <f>IF($N3174="","",IF(INDEX(LdBAmt,$N3174)=0,"",INDEX(LdBAmt,$N3174)))</f>
        <v/>
      </c>
      <c r="G3174" s="32">
        <f>IF($N3174="","",IF(INDEX(LdBNote,$N3174)="","—",INDEX(LdBNote,$N3174)))</f>
        <v/>
      </c>
      <c r="N3174">
        <f>IFERROR(MATCH($C$5&amp;"|"&amp;RIGHT("000000"&amp;1154,6),LdBKeyG,0),"")</f>
        <v/>
      </c>
    </row>
    <row r="3175">
      <c r="A3175" s="10" t="n">
        <v>1155</v>
      </c>
      <c r="B3175" s="14">
        <f>IF($N3175="","",INDEX(LdBDate,$N3175))</f>
        <v/>
      </c>
      <c r="C3175" s="14">
        <f>IF($N3175="","",IF(INDEX(LdBId,$N3175)="","—",INDEX(LdBId,$N3175)))</f>
        <v/>
      </c>
      <c r="D3175" s="14">
        <f>IF($N3175="","",INDEX(LdBMember,$N3175))</f>
        <v/>
      </c>
      <c r="E3175" s="14">
        <f>IF($N3175="","",IFERROR(IF(VLOOKUP(INDEX(LdBMember,$N3175),AcctTblE,4,0)="","(بدون نام)",VLOOKUP(INDEX(LdBMember,$N3175),AcctTblE,4,0)),"—"))</f>
        <v/>
      </c>
      <c r="F3175" s="16">
        <f>IF($N3175="","",IF(INDEX(LdBAmt,$N3175)=0,"",INDEX(LdBAmt,$N3175)))</f>
        <v/>
      </c>
      <c r="G3175" s="30">
        <f>IF($N3175="","",IF(INDEX(LdBNote,$N3175)="","—",INDEX(LdBNote,$N3175)))</f>
        <v/>
      </c>
      <c r="N3175">
        <f>IFERROR(MATCH($C$5&amp;"|"&amp;RIGHT("000000"&amp;1155,6),LdBKeyG,0),"")</f>
        <v/>
      </c>
    </row>
    <row r="3176">
      <c r="A3176" s="19" t="n">
        <v>1156</v>
      </c>
      <c r="B3176" s="20">
        <f>IF($N3176="","",INDEX(LdBDate,$N3176))</f>
        <v/>
      </c>
      <c r="C3176" s="20">
        <f>IF($N3176="","",IF(INDEX(LdBId,$N3176)="","—",INDEX(LdBId,$N3176)))</f>
        <v/>
      </c>
      <c r="D3176" s="20">
        <f>IF($N3176="","",INDEX(LdBMember,$N3176))</f>
        <v/>
      </c>
      <c r="E3176" s="20">
        <f>IF($N3176="","",IFERROR(IF(VLOOKUP(INDEX(LdBMember,$N3176),AcctTblE,4,0)="","(بدون نام)",VLOOKUP(INDEX(LdBMember,$N3176),AcctTblE,4,0)),"—"))</f>
        <v/>
      </c>
      <c r="F3176" s="21">
        <f>IF($N3176="","",IF(INDEX(LdBAmt,$N3176)=0,"",INDEX(LdBAmt,$N3176)))</f>
        <v/>
      </c>
      <c r="G3176" s="32">
        <f>IF($N3176="","",IF(INDEX(LdBNote,$N3176)="","—",INDEX(LdBNote,$N3176)))</f>
        <v/>
      </c>
      <c r="N3176">
        <f>IFERROR(MATCH($C$5&amp;"|"&amp;RIGHT("000000"&amp;1156,6),LdBKeyG,0),"")</f>
        <v/>
      </c>
    </row>
    <row r="3177">
      <c r="A3177" s="10" t="n">
        <v>1157</v>
      </c>
      <c r="B3177" s="14">
        <f>IF($N3177="","",INDEX(LdBDate,$N3177))</f>
        <v/>
      </c>
      <c r="C3177" s="14">
        <f>IF($N3177="","",IF(INDEX(LdBId,$N3177)="","—",INDEX(LdBId,$N3177)))</f>
        <v/>
      </c>
      <c r="D3177" s="14">
        <f>IF($N3177="","",INDEX(LdBMember,$N3177))</f>
        <v/>
      </c>
      <c r="E3177" s="14">
        <f>IF($N3177="","",IFERROR(IF(VLOOKUP(INDEX(LdBMember,$N3177),AcctTblE,4,0)="","(بدون نام)",VLOOKUP(INDEX(LdBMember,$N3177),AcctTblE,4,0)),"—"))</f>
        <v/>
      </c>
      <c r="F3177" s="16">
        <f>IF($N3177="","",IF(INDEX(LdBAmt,$N3177)=0,"",INDEX(LdBAmt,$N3177)))</f>
        <v/>
      </c>
      <c r="G3177" s="30">
        <f>IF($N3177="","",IF(INDEX(LdBNote,$N3177)="","—",INDEX(LdBNote,$N3177)))</f>
        <v/>
      </c>
      <c r="N3177">
        <f>IFERROR(MATCH($C$5&amp;"|"&amp;RIGHT("000000"&amp;1157,6),LdBKeyG,0),"")</f>
        <v/>
      </c>
    </row>
    <row r="3178">
      <c r="A3178" s="19" t="n">
        <v>1158</v>
      </c>
      <c r="B3178" s="20">
        <f>IF($N3178="","",INDEX(LdBDate,$N3178))</f>
        <v/>
      </c>
      <c r="C3178" s="20">
        <f>IF($N3178="","",IF(INDEX(LdBId,$N3178)="","—",INDEX(LdBId,$N3178)))</f>
        <v/>
      </c>
      <c r="D3178" s="20">
        <f>IF($N3178="","",INDEX(LdBMember,$N3178))</f>
        <v/>
      </c>
      <c r="E3178" s="20">
        <f>IF($N3178="","",IFERROR(IF(VLOOKUP(INDEX(LdBMember,$N3178),AcctTblE,4,0)="","(بدون نام)",VLOOKUP(INDEX(LdBMember,$N3178),AcctTblE,4,0)),"—"))</f>
        <v/>
      </c>
      <c r="F3178" s="21">
        <f>IF($N3178="","",IF(INDEX(LdBAmt,$N3178)=0,"",INDEX(LdBAmt,$N3178)))</f>
        <v/>
      </c>
      <c r="G3178" s="32">
        <f>IF($N3178="","",IF(INDEX(LdBNote,$N3178)="","—",INDEX(LdBNote,$N3178)))</f>
        <v/>
      </c>
      <c r="N3178">
        <f>IFERROR(MATCH($C$5&amp;"|"&amp;RIGHT("000000"&amp;1158,6),LdBKeyG,0),"")</f>
        <v/>
      </c>
    </row>
    <row r="3179">
      <c r="A3179" s="10" t="n">
        <v>1159</v>
      </c>
      <c r="B3179" s="14">
        <f>IF($N3179="","",INDEX(LdBDate,$N3179))</f>
        <v/>
      </c>
      <c r="C3179" s="14">
        <f>IF($N3179="","",IF(INDEX(LdBId,$N3179)="","—",INDEX(LdBId,$N3179)))</f>
        <v/>
      </c>
      <c r="D3179" s="14">
        <f>IF($N3179="","",INDEX(LdBMember,$N3179))</f>
        <v/>
      </c>
      <c r="E3179" s="14">
        <f>IF($N3179="","",IFERROR(IF(VLOOKUP(INDEX(LdBMember,$N3179),AcctTblE,4,0)="","(بدون نام)",VLOOKUP(INDEX(LdBMember,$N3179),AcctTblE,4,0)),"—"))</f>
        <v/>
      </c>
      <c r="F3179" s="16">
        <f>IF($N3179="","",IF(INDEX(LdBAmt,$N3179)=0,"",INDEX(LdBAmt,$N3179)))</f>
        <v/>
      </c>
      <c r="G3179" s="30">
        <f>IF($N3179="","",IF(INDEX(LdBNote,$N3179)="","—",INDEX(LdBNote,$N3179)))</f>
        <v/>
      </c>
      <c r="N3179">
        <f>IFERROR(MATCH($C$5&amp;"|"&amp;RIGHT("000000"&amp;1159,6),LdBKeyG,0),"")</f>
        <v/>
      </c>
    </row>
    <row r="3180">
      <c r="A3180" s="19" t="n">
        <v>1160</v>
      </c>
      <c r="B3180" s="20">
        <f>IF($N3180="","",INDEX(LdBDate,$N3180))</f>
        <v/>
      </c>
      <c r="C3180" s="20">
        <f>IF($N3180="","",IF(INDEX(LdBId,$N3180)="","—",INDEX(LdBId,$N3180)))</f>
        <v/>
      </c>
      <c r="D3180" s="20">
        <f>IF($N3180="","",INDEX(LdBMember,$N3180))</f>
        <v/>
      </c>
      <c r="E3180" s="20">
        <f>IF($N3180="","",IFERROR(IF(VLOOKUP(INDEX(LdBMember,$N3180),AcctTblE,4,0)="","(بدون نام)",VLOOKUP(INDEX(LdBMember,$N3180),AcctTblE,4,0)),"—"))</f>
        <v/>
      </c>
      <c r="F3180" s="21">
        <f>IF($N3180="","",IF(INDEX(LdBAmt,$N3180)=0,"",INDEX(LdBAmt,$N3180)))</f>
        <v/>
      </c>
      <c r="G3180" s="32">
        <f>IF($N3180="","",IF(INDEX(LdBNote,$N3180)="","—",INDEX(LdBNote,$N3180)))</f>
        <v/>
      </c>
      <c r="N3180">
        <f>IFERROR(MATCH($C$5&amp;"|"&amp;RIGHT("000000"&amp;1160,6),LdBKeyG,0),"")</f>
        <v/>
      </c>
    </row>
    <row r="3181">
      <c r="A3181" s="10" t="n">
        <v>1161</v>
      </c>
      <c r="B3181" s="14">
        <f>IF($N3181="","",INDEX(LdBDate,$N3181))</f>
        <v/>
      </c>
      <c r="C3181" s="14">
        <f>IF($N3181="","",IF(INDEX(LdBId,$N3181)="","—",INDEX(LdBId,$N3181)))</f>
        <v/>
      </c>
      <c r="D3181" s="14">
        <f>IF($N3181="","",INDEX(LdBMember,$N3181))</f>
        <v/>
      </c>
      <c r="E3181" s="14">
        <f>IF($N3181="","",IFERROR(IF(VLOOKUP(INDEX(LdBMember,$N3181),AcctTblE,4,0)="","(بدون نام)",VLOOKUP(INDEX(LdBMember,$N3181),AcctTblE,4,0)),"—"))</f>
        <v/>
      </c>
      <c r="F3181" s="16">
        <f>IF($N3181="","",IF(INDEX(LdBAmt,$N3181)=0,"",INDEX(LdBAmt,$N3181)))</f>
        <v/>
      </c>
      <c r="G3181" s="30">
        <f>IF($N3181="","",IF(INDEX(LdBNote,$N3181)="","—",INDEX(LdBNote,$N3181)))</f>
        <v/>
      </c>
      <c r="N3181">
        <f>IFERROR(MATCH($C$5&amp;"|"&amp;RIGHT("000000"&amp;1161,6),LdBKeyG,0),"")</f>
        <v/>
      </c>
    </row>
    <row r="3182">
      <c r="A3182" s="19" t="n">
        <v>1162</v>
      </c>
      <c r="B3182" s="20">
        <f>IF($N3182="","",INDEX(LdBDate,$N3182))</f>
        <v/>
      </c>
      <c r="C3182" s="20">
        <f>IF($N3182="","",IF(INDEX(LdBId,$N3182)="","—",INDEX(LdBId,$N3182)))</f>
        <v/>
      </c>
      <c r="D3182" s="20">
        <f>IF($N3182="","",INDEX(LdBMember,$N3182))</f>
        <v/>
      </c>
      <c r="E3182" s="20">
        <f>IF($N3182="","",IFERROR(IF(VLOOKUP(INDEX(LdBMember,$N3182),AcctTblE,4,0)="","(بدون نام)",VLOOKUP(INDEX(LdBMember,$N3182),AcctTblE,4,0)),"—"))</f>
        <v/>
      </c>
      <c r="F3182" s="21">
        <f>IF($N3182="","",IF(INDEX(LdBAmt,$N3182)=0,"",INDEX(LdBAmt,$N3182)))</f>
        <v/>
      </c>
      <c r="G3182" s="32">
        <f>IF($N3182="","",IF(INDEX(LdBNote,$N3182)="","—",INDEX(LdBNote,$N3182)))</f>
        <v/>
      </c>
      <c r="N3182">
        <f>IFERROR(MATCH($C$5&amp;"|"&amp;RIGHT("000000"&amp;1162,6),LdBKeyG,0),"")</f>
        <v/>
      </c>
    </row>
    <row r="3183">
      <c r="A3183" s="10" t="n">
        <v>1163</v>
      </c>
      <c r="B3183" s="14">
        <f>IF($N3183="","",INDEX(LdBDate,$N3183))</f>
        <v/>
      </c>
      <c r="C3183" s="14">
        <f>IF($N3183="","",IF(INDEX(LdBId,$N3183)="","—",INDEX(LdBId,$N3183)))</f>
        <v/>
      </c>
      <c r="D3183" s="14">
        <f>IF($N3183="","",INDEX(LdBMember,$N3183))</f>
        <v/>
      </c>
      <c r="E3183" s="14">
        <f>IF($N3183="","",IFERROR(IF(VLOOKUP(INDEX(LdBMember,$N3183),AcctTblE,4,0)="","(بدون نام)",VLOOKUP(INDEX(LdBMember,$N3183),AcctTblE,4,0)),"—"))</f>
        <v/>
      </c>
      <c r="F3183" s="16">
        <f>IF($N3183="","",IF(INDEX(LdBAmt,$N3183)=0,"",INDEX(LdBAmt,$N3183)))</f>
        <v/>
      </c>
      <c r="G3183" s="30">
        <f>IF($N3183="","",IF(INDEX(LdBNote,$N3183)="","—",INDEX(LdBNote,$N3183)))</f>
        <v/>
      </c>
      <c r="N3183">
        <f>IFERROR(MATCH($C$5&amp;"|"&amp;RIGHT("000000"&amp;1163,6),LdBKeyG,0),"")</f>
        <v/>
      </c>
    </row>
    <row r="3184">
      <c r="A3184" s="19" t="n">
        <v>1164</v>
      </c>
      <c r="B3184" s="20">
        <f>IF($N3184="","",INDEX(LdBDate,$N3184))</f>
        <v/>
      </c>
      <c r="C3184" s="20">
        <f>IF($N3184="","",IF(INDEX(LdBId,$N3184)="","—",INDEX(LdBId,$N3184)))</f>
        <v/>
      </c>
      <c r="D3184" s="20">
        <f>IF($N3184="","",INDEX(LdBMember,$N3184))</f>
        <v/>
      </c>
      <c r="E3184" s="20">
        <f>IF($N3184="","",IFERROR(IF(VLOOKUP(INDEX(LdBMember,$N3184),AcctTblE,4,0)="","(بدون نام)",VLOOKUP(INDEX(LdBMember,$N3184),AcctTblE,4,0)),"—"))</f>
        <v/>
      </c>
      <c r="F3184" s="21">
        <f>IF($N3184="","",IF(INDEX(LdBAmt,$N3184)=0,"",INDEX(LdBAmt,$N3184)))</f>
        <v/>
      </c>
      <c r="G3184" s="32">
        <f>IF($N3184="","",IF(INDEX(LdBNote,$N3184)="","—",INDEX(LdBNote,$N3184)))</f>
        <v/>
      </c>
      <c r="N3184">
        <f>IFERROR(MATCH($C$5&amp;"|"&amp;RIGHT("000000"&amp;1164,6),LdBKeyG,0),"")</f>
        <v/>
      </c>
    </row>
    <row r="3185">
      <c r="A3185" s="10" t="n">
        <v>1165</v>
      </c>
      <c r="B3185" s="14">
        <f>IF($N3185="","",INDEX(LdBDate,$N3185))</f>
        <v/>
      </c>
      <c r="C3185" s="14">
        <f>IF($N3185="","",IF(INDEX(LdBId,$N3185)="","—",INDEX(LdBId,$N3185)))</f>
        <v/>
      </c>
      <c r="D3185" s="14">
        <f>IF($N3185="","",INDEX(LdBMember,$N3185))</f>
        <v/>
      </c>
      <c r="E3185" s="14">
        <f>IF($N3185="","",IFERROR(IF(VLOOKUP(INDEX(LdBMember,$N3185),AcctTblE,4,0)="","(بدون نام)",VLOOKUP(INDEX(LdBMember,$N3185),AcctTblE,4,0)),"—"))</f>
        <v/>
      </c>
      <c r="F3185" s="16">
        <f>IF($N3185="","",IF(INDEX(LdBAmt,$N3185)=0,"",INDEX(LdBAmt,$N3185)))</f>
        <v/>
      </c>
      <c r="G3185" s="30">
        <f>IF($N3185="","",IF(INDEX(LdBNote,$N3185)="","—",INDEX(LdBNote,$N3185)))</f>
        <v/>
      </c>
      <c r="N3185">
        <f>IFERROR(MATCH($C$5&amp;"|"&amp;RIGHT("000000"&amp;1165,6),LdBKeyG,0),"")</f>
        <v/>
      </c>
    </row>
    <row r="3186">
      <c r="A3186" s="19" t="n">
        <v>1166</v>
      </c>
      <c r="B3186" s="20">
        <f>IF($N3186="","",INDEX(LdBDate,$N3186))</f>
        <v/>
      </c>
      <c r="C3186" s="20">
        <f>IF($N3186="","",IF(INDEX(LdBId,$N3186)="","—",INDEX(LdBId,$N3186)))</f>
        <v/>
      </c>
      <c r="D3186" s="20">
        <f>IF($N3186="","",INDEX(LdBMember,$N3186))</f>
        <v/>
      </c>
      <c r="E3186" s="20">
        <f>IF($N3186="","",IFERROR(IF(VLOOKUP(INDEX(LdBMember,$N3186),AcctTblE,4,0)="","(بدون نام)",VLOOKUP(INDEX(LdBMember,$N3186),AcctTblE,4,0)),"—"))</f>
        <v/>
      </c>
      <c r="F3186" s="21">
        <f>IF($N3186="","",IF(INDEX(LdBAmt,$N3186)=0,"",INDEX(LdBAmt,$N3186)))</f>
        <v/>
      </c>
      <c r="G3186" s="32">
        <f>IF($N3186="","",IF(INDEX(LdBNote,$N3186)="","—",INDEX(LdBNote,$N3186)))</f>
        <v/>
      </c>
      <c r="N3186">
        <f>IFERROR(MATCH($C$5&amp;"|"&amp;RIGHT("000000"&amp;1166,6),LdBKeyG,0),"")</f>
        <v/>
      </c>
    </row>
    <row r="3187">
      <c r="A3187" s="10" t="n">
        <v>1167</v>
      </c>
      <c r="B3187" s="14">
        <f>IF($N3187="","",INDEX(LdBDate,$N3187))</f>
        <v/>
      </c>
      <c r="C3187" s="14">
        <f>IF($N3187="","",IF(INDEX(LdBId,$N3187)="","—",INDEX(LdBId,$N3187)))</f>
        <v/>
      </c>
      <c r="D3187" s="14">
        <f>IF($N3187="","",INDEX(LdBMember,$N3187))</f>
        <v/>
      </c>
      <c r="E3187" s="14">
        <f>IF($N3187="","",IFERROR(IF(VLOOKUP(INDEX(LdBMember,$N3187),AcctTblE,4,0)="","(بدون نام)",VLOOKUP(INDEX(LdBMember,$N3187),AcctTblE,4,0)),"—"))</f>
        <v/>
      </c>
      <c r="F3187" s="16">
        <f>IF($N3187="","",IF(INDEX(LdBAmt,$N3187)=0,"",INDEX(LdBAmt,$N3187)))</f>
        <v/>
      </c>
      <c r="G3187" s="30">
        <f>IF($N3187="","",IF(INDEX(LdBNote,$N3187)="","—",INDEX(LdBNote,$N3187)))</f>
        <v/>
      </c>
      <c r="N3187">
        <f>IFERROR(MATCH($C$5&amp;"|"&amp;RIGHT("000000"&amp;1167,6),LdBKeyG,0),"")</f>
        <v/>
      </c>
    </row>
    <row r="3188">
      <c r="A3188" s="19" t="n">
        <v>1168</v>
      </c>
      <c r="B3188" s="20">
        <f>IF($N3188="","",INDEX(LdBDate,$N3188))</f>
        <v/>
      </c>
      <c r="C3188" s="20">
        <f>IF($N3188="","",IF(INDEX(LdBId,$N3188)="","—",INDEX(LdBId,$N3188)))</f>
        <v/>
      </c>
      <c r="D3188" s="20">
        <f>IF($N3188="","",INDEX(LdBMember,$N3188))</f>
        <v/>
      </c>
      <c r="E3188" s="20">
        <f>IF($N3188="","",IFERROR(IF(VLOOKUP(INDEX(LdBMember,$N3188),AcctTblE,4,0)="","(بدون نام)",VLOOKUP(INDEX(LdBMember,$N3188),AcctTblE,4,0)),"—"))</f>
        <v/>
      </c>
      <c r="F3188" s="21">
        <f>IF($N3188="","",IF(INDEX(LdBAmt,$N3188)=0,"",INDEX(LdBAmt,$N3188)))</f>
        <v/>
      </c>
      <c r="G3188" s="32">
        <f>IF($N3188="","",IF(INDEX(LdBNote,$N3188)="","—",INDEX(LdBNote,$N3188)))</f>
        <v/>
      </c>
      <c r="N3188">
        <f>IFERROR(MATCH($C$5&amp;"|"&amp;RIGHT("000000"&amp;1168,6),LdBKeyG,0),"")</f>
        <v/>
      </c>
    </row>
    <row r="3189">
      <c r="A3189" s="10" t="n">
        <v>1169</v>
      </c>
      <c r="B3189" s="14">
        <f>IF($N3189="","",INDEX(LdBDate,$N3189))</f>
        <v/>
      </c>
      <c r="C3189" s="14">
        <f>IF($N3189="","",IF(INDEX(LdBId,$N3189)="","—",INDEX(LdBId,$N3189)))</f>
        <v/>
      </c>
      <c r="D3189" s="14">
        <f>IF($N3189="","",INDEX(LdBMember,$N3189))</f>
        <v/>
      </c>
      <c r="E3189" s="14">
        <f>IF($N3189="","",IFERROR(IF(VLOOKUP(INDEX(LdBMember,$N3189),AcctTblE,4,0)="","(بدون نام)",VLOOKUP(INDEX(LdBMember,$N3189),AcctTblE,4,0)),"—"))</f>
        <v/>
      </c>
      <c r="F3189" s="16">
        <f>IF($N3189="","",IF(INDEX(LdBAmt,$N3189)=0,"",INDEX(LdBAmt,$N3189)))</f>
        <v/>
      </c>
      <c r="G3189" s="30">
        <f>IF($N3189="","",IF(INDEX(LdBNote,$N3189)="","—",INDEX(LdBNote,$N3189)))</f>
        <v/>
      </c>
      <c r="N3189">
        <f>IFERROR(MATCH($C$5&amp;"|"&amp;RIGHT("000000"&amp;1169,6),LdBKeyG,0),"")</f>
        <v/>
      </c>
    </row>
    <row r="3190">
      <c r="A3190" s="19" t="n">
        <v>1170</v>
      </c>
      <c r="B3190" s="20">
        <f>IF($N3190="","",INDEX(LdBDate,$N3190))</f>
        <v/>
      </c>
      <c r="C3190" s="20">
        <f>IF($N3190="","",IF(INDEX(LdBId,$N3190)="","—",INDEX(LdBId,$N3190)))</f>
        <v/>
      </c>
      <c r="D3190" s="20">
        <f>IF($N3190="","",INDEX(LdBMember,$N3190))</f>
        <v/>
      </c>
      <c r="E3190" s="20">
        <f>IF($N3190="","",IFERROR(IF(VLOOKUP(INDEX(LdBMember,$N3190),AcctTblE,4,0)="","(بدون نام)",VLOOKUP(INDEX(LdBMember,$N3190),AcctTblE,4,0)),"—"))</f>
        <v/>
      </c>
      <c r="F3190" s="21">
        <f>IF($N3190="","",IF(INDEX(LdBAmt,$N3190)=0,"",INDEX(LdBAmt,$N3190)))</f>
        <v/>
      </c>
      <c r="G3190" s="32">
        <f>IF($N3190="","",IF(INDEX(LdBNote,$N3190)="","—",INDEX(LdBNote,$N3190)))</f>
        <v/>
      </c>
      <c r="N3190">
        <f>IFERROR(MATCH($C$5&amp;"|"&amp;RIGHT("000000"&amp;1170,6),LdBKeyG,0),"")</f>
        <v/>
      </c>
    </row>
    <row r="3191">
      <c r="A3191" s="10" t="n">
        <v>1171</v>
      </c>
      <c r="B3191" s="14">
        <f>IF($N3191="","",INDEX(LdBDate,$N3191))</f>
        <v/>
      </c>
      <c r="C3191" s="14">
        <f>IF($N3191="","",IF(INDEX(LdBId,$N3191)="","—",INDEX(LdBId,$N3191)))</f>
        <v/>
      </c>
      <c r="D3191" s="14">
        <f>IF($N3191="","",INDEX(LdBMember,$N3191))</f>
        <v/>
      </c>
      <c r="E3191" s="14">
        <f>IF($N3191="","",IFERROR(IF(VLOOKUP(INDEX(LdBMember,$N3191),AcctTblE,4,0)="","(بدون نام)",VLOOKUP(INDEX(LdBMember,$N3191),AcctTblE,4,0)),"—"))</f>
        <v/>
      </c>
      <c r="F3191" s="16">
        <f>IF($N3191="","",IF(INDEX(LdBAmt,$N3191)=0,"",INDEX(LdBAmt,$N3191)))</f>
        <v/>
      </c>
      <c r="G3191" s="30">
        <f>IF($N3191="","",IF(INDEX(LdBNote,$N3191)="","—",INDEX(LdBNote,$N3191)))</f>
        <v/>
      </c>
      <c r="N3191">
        <f>IFERROR(MATCH($C$5&amp;"|"&amp;RIGHT("000000"&amp;1171,6),LdBKeyG,0),"")</f>
        <v/>
      </c>
    </row>
    <row r="3192">
      <c r="A3192" s="19" t="n">
        <v>1172</v>
      </c>
      <c r="B3192" s="20">
        <f>IF($N3192="","",INDEX(LdBDate,$N3192))</f>
        <v/>
      </c>
      <c r="C3192" s="20">
        <f>IF($N3192="","",IF(INDEX(LdBId,$N3192)="","—",INDEX(LdBId,$N3192)))</f>
        <v/>
      </c>
      <c r="D3192" s="20">
        <f>IF($N3192="","",INDEX(LdBMember,$N3192))</f>
        <v/>
      </c>
      <c r="E3192" s="20">
        <f>IF($N3192="","",IFERROR(IF(VLOOKUP(INDEX(LdBMember,$N3192),AcctTblE,4,0)="","(بدون نام)",VLOOKUP(INDEX(LdBMember,$N3192),AcctTblE,4,0)),"—"))</f>
        <v/>
      </c>
      <c r="F3192" s="21">
        <f>IF($N3192="","",IF(INDEX(LdBAmt,$N3192)=0,"",INDEX(LdBAmt,$N3192)))</f>
        <v/>
      </c>
      <c r="G3192" s="32">
        <f>IF($N3192="","",IF(INDEX(LdBNote,$N3192)="","—",INDEX(LdBNote,$N3192)))</f>
        <v/>
      </c>
      <c r="N3192">
        <f>IFERROR(MATCH($C$5&amp;"|"&amp;RIGHT("000000"&amp;1172,6),LdBKeyG,0),"")</f>
        <v/>
      </c>
    </row>
    <row r="3193">
      <c r="A3193" s="10" t="n">
        <v>1173</v>
      </c>
      <c r="B3193" s="14">
        <f>IF($N3193="","",INDEX(LdBDate,$N3193))</f>
        <v/>
      </c>
      <c r="C3193" s="14">
        <f>IF($N3193="","",IF(INDEX(LdBId,$N3193)="","—",INDEX(LdBId,$N3193)))</f>
        <v/>
      </c>
      <c r="D3193" s="14">
        <f>IF($N3193="","",INDEX(LdBMember,$N3193))</f>
        <v/>
      </c>
      <c r="E3193" s="14">
        <f>IF($N3193="","",IFERROR(IF(VLOOKUP(INDEX(LdBMember,$N3193),AcctTblE,4,0)="","(بدون نام)",VLOOKUP(INDEX(LdBMember,$N3193),AcctTblE,4,0)),"—"))</f>
        <v/>
      </c>
      <c r="F3193" s="16">
        <f>IF($N3193="","",IF(INDEX(LdBAmt,$N3193)=0,"",INDEX(LdBAmt,$N3193)))</f>
        <v/>
      </c>
      <c r="G3193" s="30">
        <f>IF($N3193="","",IF(INDEX(LdBNote,$N3193)="","—",INDEX(LdBNote,$N3193)))</f>
        <v/>
      </c>
      <c r="N3193">
        <f>IFERROR(MATCH($C$5&amp;"|"&amp;RIGHT("000000"&amp;1173,6),LdBKeyG,0),"")</f>
        <v/>
      </c>
    </row>
    <row r="3194">
      <c r="A3194" s="19" t="n">
        <v>1174</v>
      </c>
      <c r="B3194" s="20">
        <f>IF($N3194="","",INDEX(LdBDate,$N3194))</f>
        <v/>
      </c>
      <c r="C3194" s="20">
        <f>IF($N3194="","",IF(INDEX(LdBId,$N3194)="","—",INDEX(LdBId,$N3194)))</f>
        <v/>
      </c>
      <c r="D3194" s="20">
        <f>IF($N3194="","",INDEX(LdBMember,$N3194))</f>
        <v/>
      </c>
      <c r="E3194" s="20">
        <f>IF($N3194="","",IFERROR(IF(VLOOKUP(INDEX(LdBMember,$N3194),AcctTblE,4,0)="","(بدون نام)",VLOOKUP(INDEX(LdBMember,$N3194),AcctTblE,4,0)),"—"))</f>
        <v/>
      </c>
      <c r="F3194" s="21">
        <f>IF($N3194="","",IF(INDEX(LdBAmt,$N3194)=0,"",INDEX(LdBAmt,$N3194)))</f>
        <v/>
      </c>
      <c r="G3194" s="32">
        <f>IF($N3194="","",IF(INDEX(LdBNote,$N3194)="","—",INDEX(LdBNote,$N3194)))</f>
        <v/>
      </c>
      <c r="N3194">
        <f>IFERROR(MATCH($C$5&amp;"|"&amp;RIGHT("000000"&amp;1174,6),LdBKeyG,0),"")</f>
        <v/>
      </c>
    </row>
    <row r="3195">
      <c r="A3195" s="10" t="n">
        <v>1175</v>
      </c>
      <c r="B3195" s="14">
        <f>IF($N3195="","",INDEX(LdBDate,$N3195))</f>
        <v/>
      </c>
      <c r="C3195" s="14">
        <f>IF($N3195="","",IF(INDEX(LdBId,$N3195)="","—",INDEX(LdBId,$N3195)))</f>
        <v/>
      </c>
      <c r="D3195" s="14">
        <f>IF($N3195="","",INDEX(LdBMember,$N3195))</f>
        <v/>
      </c>
      <c r="E3195" s="14">
        <f>IF($N3195="","",IFERROR(IF(VLOOKUP(INDEX(LdBMember,$N3195),AcctTblE,4,0)="","(بدون نام)",VLOOKUP(INDEX(LdBMember,$N3195),AcctTblE,4,0)),"—"))</f>
        <v/>
      </c>
      <c r="F3195" s="16">
        <f>IF($N3195="","",IF(INDEX(LdBAmt,$N3195)=0,"",INDEX(LdBAmt,$N3195)))</f>
        <v/>
      </c>
      <c r="G3195" s="30">
        <f>IF($N3195="","",IF(INDEX(LdBNote,$N3195)="","—",INDEX(LdBNote,$N3195)))</f>
        <v/>
      </c>
      <c r="N3195">
        <f>IFERROR(MATCH($C$5&amp;"|"&amp;RIGHT("000000"&amp;1175,6),LdBKeyG,0),"")</f>
        <v/>
      </c>
    </row>
    <row r="3196">
      <c r="A3196" s="19" t="n">
        <v>1176</v>
      </c>
      <c r="B3196" s="20">
        <f>IF($N3196="","",INDEX(LdBDate,$N3196))</f>
        <v/>
      </c>
      <c r="C3196" s="20">
        <f>IF($N3196="","",IF(INDEX(LdBId,$N3196)="","—",INDEX(LdBId,$N3196)))</f>
        <v/>
      </c>
      <c r="D3196" s="20">
        <f>IF($N3196="","",INDEX(LdBMember,$N3196))</f>
        <v/>
      </c>
      <c r="E3196" s="20">
        <f>IF($N3196="","",IFERROR(IF(VLOOKUP(INDEX(LdBMember,$N3196),AcctTblE,4,0)="","(بدون نام)",VLOOKUP(INDEX(LdBMember,$N3196),AcctTblE,4,0)),"—"))</f>
        <v/>
      </c>
      <c r="F3196" s="21">
        <f>IF($N3196="","",IF(INDEX(LdBAmt,$N3196)=0,"",INDEX(LdBAmt,$N3196)))</f>
        <v/>
      </c>
      <c r="G3196" s="32">
        <f>IF($N3196="","",IF(INDEX(LdBNote,$N3196)="","—",INDEX(LdBNote,$N3196)))</f>
        <v/>
      </c>
      <c r="N3196">
        <f>IFERROR(MATCH($C$5&amp;"|"&amp;RIGHT("000000"&amp;1176,6),LdBKeyG,0),"")</f>
        <v/>
      </c>
    </row>
    <row r="3197">
      <c r="A3197" s="10" t="n">
        <v>1177</v>
      </c>
      <c r="B3197" s="14">
        <f>IF($N3197="","",INDEX(LdBDate,$N3197))</f>
        <v/>
      </c>
      <c r="C3197" s="14">
        <f>IF($N3197="","",IF(INDEX(LdBId,$N3197)="","—",INDEX(LdBId,$N3197)))</f>
        <v/>
      </c>
      <c r="D3197" s="14">
        <f>IF($N3197="","",INDEX(LdBMember,$N3197))</f>
        <v/>
      </c>
      <c r="E3197" s="14">
        <f>IF($N3197="","",IFERROR(IF(VLOOKUP(INDEX(LdBMember,$N3197),AcctTblE,4,0)="","(بدون نام)",VLOOKUP(INDEX(LdBMember,$N3197),AcctTblE,4,0)),"—"))</f>
        <v/>
      </c>
      <c r="F3197" s="16">
        <f>IF($N3197="","",IF(INDEX(LdBAmt,$N3197)=0,"",INDEX(LdBAmt,$N3197)))</f>
        <v/>
      </c>
      <c r="G3197" s="30">
        <f>IF($N3197="","",IF(INDEX(LdBNote,$N3197)="","—",INDEX(LdBNote,$N3197)))</f>
        <v/>
      </c>
      <c r="N3197">
        <f>IFERROR(MATCH($C$5&amp;"|"&amp;RIGHT("000000"&amp;1177,6),LdBKeyG,0),"")</f>
        <v/>
      </c>
    </row>
    <row r="3198">
      <c r="A3198" s="19" t="n">
        <v>1178</v>
      </c>
      <c r="B3198" s="20">
        <f>IF($N3198="","",INDEX(LdBDate,$N3198))</f>
        <v/>
      </c>
      <c r="C3198" s="20">
        <f>IF($N3198="","",IF(INDEX(LdBId,$N3198)="","—",INDEX(LdBId,$N3198)))</f>
        <v/>
      </c>
      <c r="D3198" s="20">
        <f>IF($N3198="","",INDEX(LdBMember,$N3198))</f>
        <v/>
      </c>
      <c r="E3198" s="20">
        <f>IF($N3198="","",IFERROR(IF(VLOOKUP(INDEX(LdBMember,$N3198),AcctTblE,4,0)="","(بدون نام)",VLOOKUP(INDEX(LdBMember,$N3198),AcctTblE,4,0)),"—"))</f>
        <v/>
      </c>
      <c r="F3198" s="21">
        <f>IF($N3198="","",IF(INDEX(LdBAmt,$N3198)=0,"",INDEX(LdBAmt,$N3198)))</f>
        <v/>
      </c>
      <c r="G3198" s="32">
        <f>IF($N3198="","",IF(INDEX(LdBNote,$N3198)="","—",INDEX(LdBNote,$N3198)))</f>
        <v/>
      </c>
      <c r="N3198">
        <f>IFERROR(MATCH($C$5&amp;"|"&amp;RIGHT("000000"&amp;1178,6),LdBKeyG,0),"")</f>
        <v/>
      </c>
    </row>
    <row r="3199">
      <c r="A3199" s="10" t="n">
        <v>1179</v>
      </c>
      <c r="B3199" s="14">
        <f>IF($N3199="","",INDEX(LdBDate,$N3199))</f>
        <v/>
      </c>
      <c r="C3199" s="14">
        <f>IF($N3199="","",IF(INDEX(LdBId,$N3199)="","—",INDEX(LdBId,$N3199)))</f>
        <v/>
      </c>
      <c r="D3199" s="14">
        <f>IF($N3199="","",INDEX(LdBMember,$N3199))</f>
        <v/>
      </c>
      <c r="E3199" s="14">
        <f>IF($N3199="","",IFERROR(IF(VLOOKUP(INDEX(LdBMember,$N3199),AcctTblE,4,0)="","(بدون نام)",VLOOKUP(INDEX(LdBMember,$N3199),AcctTblE,4,0)),"—"))</f>
        <v/>
      </c>
      <c r="F3199" s="16">
        <f>IF($N3199="","",IF(INDEX(LdBAmt,$N3199)=0,"",INDEX(LdBAmt,$N3199)))</f>
        <v/>
      </c>
      <c r="G3199" s="30">
        <f>IF($N3199="","",IF(INDEX(LdBNote,$N3199)="","—",INDEX(LdBNote,$N3199)))</f>
        <v/>
      </c>
      <c r="N3199">
        <f>IFERROR(MATCH($C$5&amp;"|"&amp;RIGHT("000000"&amp;1179,6),LdBKeyG,0),"")</f>
        <v/>
      </c>
    </row>
    <row r="3200">
      <c r="A3200" s="19" t="n">
        <v>1180</v>
      </c>
      <c r="B3200" s="20">
        <f>IF($N3200="","",INDEX(LdBDate,$N3200))</f>
        <v/>
      </c>
      <c r="C3200" s="20">
        <f>IF($N3200="","",IF(INDEX(LdBId,$N3200)="","—",INDEX(LdBId,$N3200)))</f>
        <v/>
      </c>
      <c r="D3200" s="20">
        <f>IF($N3200="","",INDEX(LdBMember,$N3200))</f>
        <v/>
      </c>
      <c r="E3200" s="20">
        <f>IF($N3200="","",IFERROR(IF(VLOOKUP(INDEX(LdBMember,$N3200),AcctTblE,4,0)="","(بدون نام)",VLOOKUP(INDEX(LdBMember,$N3200),AcctTblE,4,0)),"—"))</f>
        <v/>
      </c>
      <c r="F3200" s="21">
        <f>IF($N3200="","",IF(INDEX(LdBAmt,$N3200)=0,"",INDEX(LdBAmt,$N3200)))</f>
        <v/>
      </c>
      <c r="G3200" s="32">
        <f>IF($N3200="","",IF(INDEX(LdBNote,$N3200)="","—",INDEX(LdBNote,$N3200)))</f>
        <v/>
      </c>
      <c r="N3200">
        <f>IFERROR(MATCH($C$5&amp;"|"&amp;RIGHT("000000"&amp;1180,6),LdBKeyG,0),"")</f>
        <v/>
      </c>
    </row>
    <row r="3201">
      <c r="A3201" s="10" t="n">
        <v>1181</v>
      </c>
      <c r="B3201" s="14">
        <f>IF($N3201="","",INDEX(LdBDate,$N3201))</f>
        <v/>
      </c>
      <c r="C3201" s="14">
        <f>IF($N3201="","",IF(INDEX(LdBId,$N3201)="","—",INDEX(LdBId,$N3201)))</f>
        <v/>
      </c>
      <c r="D3201" s="14">
        <f>IF($N3201="","",INDEX(LdBMember,$N3201))</f>
        <v/>
      </c>
      <c r="E3201" s="14">
        <f>IF($N3201="","",IFERROR(IF(VLOOKUP(INDEX(LdBMember,$N3201),AcctTblE,4,0)="","(بدون نام)",VLOOKUP(INDEX(LdBMember,$N3201),AcctTblE,4,0)),"—"))</f>
        <v/>
      </c>
      <c r="F3201" s="16">
        <f>IF($N3201="","",IF(INDEX(LdBAmt,$N3201)=0,"",INDEX(LdBAmt,$N3201)))</f>
        <v/>
      </c>
      <c r="G3201" s="30">
        <f>IF($N3201="","",IF(INDEX(LdBNote,$N3201)="","—",INDEX(LdBNote,$N3201)))</f>
        <v/>
      </c>
      <c r="N3201">
        <f>IFERROR(MATCH($C$5&amp;"|"&amp;RIGHT("000000"&amp;1181,6),LdBKeyG,0),"")</f>
        <v/>
      </c>
    </row>
    <row r="3202">
      <c r="A3202" s="19" t="n">
        <v>1182</v>
      </c>
      <c r="B3202" s="20">
        <f>IF($N3202="","",INDEX(LdBDate,$N3202))</f>
        <v/>
      </c>
      <c r="C3202" s="20">
        <f>IF($N3202="","",IF(INDEX(LdBId,$N3202)="","—",INDEX(LdBId,$N3202)))</f>
        <v/>
      </c>
      <c r="D3202" s="20">
        <f>IF($N3202="","",INDEX(LdBMember,$N3202))</f>
        <v/>
      </c>
      <c r="E3202" s="20">
        <f>IF($N3202="","",IFERROR(IF(VLOOKUP(INDEX(LdBMember,$N3202),AcctTblE,4,0)="","(بدون نام)",VLOOKUP(INDEX(LdBMember,$N3202),AcctTblE,4,0)),"—"))</f>
        <v/>
      </c>
      <c r="F3202" s="21">
        <f>IF($N3202="","",IF(INDEX(LdBAmt,$N3202)=0,"",INDEX(LdBAmt,$N3202)))</f>
        <v/>
      </c>
      <c r="G3202" s="32">
        <f>IF($N3202="","",IF(INDEX(LdBNote,$N3202)="","—",INDEX(LdBNote,$N3202)))</f>
        <v/>
      </c>
      <c r="N3202">
        <f>IFERROR(MATCH($C$5&amp;"|"&amp;RIGHT("000000"&amp;1182,6),LdBKeyG,0),"")</f>
        <v/>
      </c>
    </row>
    <row r="3203">
      <c r="A3203" s="10" t="n">
        <v>1183</v>
      </c>
      <c r="B3203" s="14">
        <f>IF($N3203="","",INDEX(LdBDate,$N3203))</f>
        <v/>
      </c>
      <c r="C3203" s="14">
        <f>IF($N3203="","",IF(INDEX(LdBId,$N3203)="","—",INDEX(LdBId,$N3203)))</f>
        <v/>
      </c>
      <c r="D3203" s="14">
        <f>IF($N3203="","",INDEX(LdBMember,$N3203))</f>
        <v/>
      </c>
      <c r="E3203" s="14">
        <f>IF($N3203="","",IFERROR(IF(VLOOKUP(INDEX(LdBMember,$N3203),AcctTblE,4,0)="","(بدون نام)",VLOOKUP(INDEX(LdBMember,$N3203),AcctTblE,4,0)),"—"))</f>
        <v/>
      </c>
      <c r="F3203" s="16">
        <f>IF($N3203="","",IF(INDEX(LdBAmt,$N3203)=0,"",INDEX(LdBAmt,$N3203)))</f>
        <v/>
      </c>
      <c r="G3203" s="30">
        <f>IF($N3203="","",IF(INDEX(LdBNote,$N3203)="","—",INDEX(LdBNote,$N3203)))</f>
        <v/>
      </c>
      <c r="N3203">
        <f>IFERROR(MATCH($C$5&amp;"|"&amp;RIGHT("000000"&amp;1183,6),LdBKeyG,0),"")</f>
        <v/>
      </c>
    </row>
    <row r="3204">
      <c r="A3204" s="19" t="n">
        <v>1184</v>
      </c>
      <c r="B3204" s="20">
        <f>IF($N3204="","",INDEX(LdBDate,$N3204))</f>
        <v/>
      </c>
      <c r="C3204" s="20">
        <f>IF($N3204="","",IF(INDEX(LdBId,$N3204)="","—",INDEX(LdBId,$N3204)))</f>
        <v/>
      </c>
      <c r="D3204" s="20">
        <f>IF($N3204="","",INDEX(LdBMember,$N3204))</f>
        <v/>
      </c>
      <c r="E3204" s="20">
        <f>IF($N3204="","",IFERROR(IF(VLOOKUP(INDEX(LdBMember,$N3204),AcctTblE,4,0)="","(بدون نام)",VLOOKUP(INDEX(LdBMember,$N3204),AcctTblE,4,0)),"—"))</f>
        <v/>
      </c>
      <c r="F3204" s="21">
        <f>IF($N3204="","",IF(INDEX(LdBAmt,$N3204)=0,"",INDEX(LdBAmt,$N3204)))</f>
        <v/>
      </c>
      <c r="G3204" s="32">
        <f>IF($N3204="","",IF(INDEX(LdBNote,$N3204)="","—",INDEX(LdBNote,$N3204)))</f>
        <v/>
      </c>
      <c r="N3204">
        <f>IFERROR(MATCH($C$5&amp;"|"&amp;RIGHT("000000"&amp;1184,6),LdBKeyG,0),"")</f>
        <v/>
      </c>
    </row>
    <row r="3205">
      <c r="A3205" s="10" t="n">
        <v>1185</v>
      </c>
      <c r="B3205" s="14">
        <f>IF($N3205="","",INDEX(LdBDate,$N3205))</f>
        <v/>
      </c>
      <c r="C3205" s="14">
        <f>IF($N3205="","",IF(INDEX(LdBId,$N3205)="","—",INDEX(LdBId,$N3205)))</f>
        <v/>
      </c>
      <c r="D3205" s="14">
        <f>IF($N3205="","",INDEX(LdBMember,$N3205))</f>
        <v/>
      </c>
      <c r="E3205" s="14">
        <f>IF($N3205="","",IFERROR(IF(VLOOKUP(INDEX(LdBMember,$N3205),AcctTblE,4,0)="","(بدون نام)",VLOOKUP(INDEX(LdBMember,$N3205),AcctTblE,4,0)),"—"))</f>
        <v/>
      </c>
      <c r="F3205" s="16">
        <f>IF($N3205="","",IF(INDEX(LdBAmt,$N3205)=0,"",INDEX(LdBAmt,$N3205)))</f>
        <v/>
      </c>
      <c r="G3205" s="30">
        <f>IF($N3205="","",IF(INDEX(LdBNote,$N3205)="","—",INDEX(LdBNote,$N3205)))</f>
        <v/>
      </c>
      <c r="N3205">
        <f>IFERROR(MATCH($C$5&amp;"|"&amp;RIGHT("000000"&amp;1185,6),LdBKeyG,0),"")</f>
        <v/>
      </c>
    </row>
    <row r="3206">
      <c r="A3206" s="19" t="n">
        <v>1186</v>
      </c>
      <c r="B3206" s="20">
        <f>IF($N3206="","",INDEX(LdBDate,$N3206))</f>
        <v/>
      </c>
      <c r="C3206" s="20">
        <f>IF($N3206="","",IF(INDEX(LdBId,$N3206)="","—",INDEX(LdBId,$N3206)))</f>
        <v/>
      </c>
      <c r="D3206" s="20">
        <f>IF($N3206="","",INDEX(LdBMember,$N3206))</f>
        <v/>
      </c>
      <c r="E3206" s="20">
        <f>IF($N3206="","",IFERROR(IF(VLOOKUP(INDEX(LdBMember,$N3206),AcctTblE,4,0)="","(بدون نام)",VLOOKUP(INDEX(LdBMember,$N3206),AcctTblE,4,0)),"—"))</f>
        <v/>
      </c>
      <c r="F3206" s="21">
        <f>IF($N3206="","",IF(INDEX(LdBAmt,$N3206)=0,"",INDEX(LdBAmt,$N3206)))</f>
        <v/>
      </c>
      <c r="G3206" s="32">
        <f>IF($N3206="","",IF(INDEX(LdBNote,$N3206)="","—",INDEX(LdBNote,$N3206)))</f>
        <v/>
      </c>
      <c r="N3206">
        <f>IFERROR(MATCH($C$5&amp;"|"&amp;RIGHT("000000"&amp;1186,6),LdBKeyG,0),"")</f>
        <v/>
      </c>
    </row>
    <row r="3207">
      <c r="A3207" s="10" t="n">
        <v>1187</v>
      </c>
      <c r="B3207" s="14">
        <f>IF($N3207="","",INDEX(LdBDate,$N3207))</f>
        <v/>
      </c>
      <c r="C3207" s="14">
        <f>IF($N3207="","",IF(INDEX(LdBId,$N3207)="","—",INDEX(LdBId,$N3207)))</f>
        <v/>
      </c>
      <c r="D3207" s="14">
        <f>IF($N3207="","",INDEX(LdBMember,$N3207))</f>
        <v/>
      </c>
      <c r="E3207" s="14">
        <f>IF($N3207="","",IFERROR(IF(VLOOKUP(INDEX(LdBMember,$N3207),AcctTblE,4,0)="","(بدون نام)",VLOOKUP(INDEX(LdBMember,$N3207),AcctTblE,4,0)),"—"))</f>
        <v/>
      </c>
      <c r="F3207" s="16">
        <f>IF($N3207="","",IF(INDEX(LdBAmt,$N3207)=0,"",INDEX(LdBAmt,$N3207)))</f>
        <v/>
      </c>
      <c r="G3207" s="30">
        <f>IF($N3207="","",IF(INDEX(LdBNote,$N3207)="","—",INDEX(LdBNote,$N3207)))</f>
        <v/>
      </c>
      <c r="N3207">
        <f>IFERROR(MATCH($C$5&amp;"|"&amp;RIGHT("000000"&amp;1187,6),LdBKeyG,0),"")</f>
        <v/>
      </c>
    </row>
    <row r="3208">
      <c r="A3208" s="19" t="n">
        <v>1188</v>
      </c>
      <c r="B3208" s="20">
        <f>IF($N3208="","",INDEX(LdBDate,$N3208))</f>
        <v/>
      </c>
      <c r="C3208" s="20">
        <f>IF($N3208="","",IF(INDEX(LdBId,$N3208)="","—",INDEX(LdBId,$N3208)))</f>
        <v/>
      </c>
      <c r="D3208" s="20">
        <f>IF($N3208="","",INDEX(LdBMember,$N3208))</f>
        <v/>
      </c>
      <c r="E3208" s="20">
        <f>IF($N3208="","",IFERROR(IF(VLOOKUP(INDEX(LdBMember,$N3208),AcctTblE,4,0)="","(بدون نام)",VLOOKUP(INDEX(LdBMember,$N3208),AcctTblE,4,0)),"—"))</f>
        <v/>
      </c>
      <c r="F3208" s="21">
        <f>IF($N3208="","",IF(INDEX(LdBAmt,$N3208)=0,"",INDEX(LdBAmt,$N3208)))</f>
        <v/>
      </c>
      <c r="G3208" s="32">
        <f>IF($N3208="","",IF(INDEX(LdBNote,$N3208)="","—",INDEX(LdBNote,$N3208)))</f>
        <v/>
      </c>
      <c r="N3208">
        <f>IFERROR(MATCH($C$5&amp;"|"&amp;RIGHT("000000"&amp;1188,6),LdBKeyG,0),"")</f>
        <v/>
      </c>
    </row>
    <row r="3209">
      <c r="A3209" s="10" t="n">
        <v>1189</v>
      </c>
      <c r="B3209" s="14">
        <f>IF($N3209="","",INDEX(LdBDate,$N3209))</f>
        <v/>
      </c>
      <c r="C3209" s="14">
        <f>IF($N3209="","",IF(INDEX(LdBId,$N3209)="","—",INDEX(LdBId,$N3209)))</f>
        <v/>
      </c>
      <c r="D3209" s="14">
        <f>IF($N3209="","",INDEX(LdBMember,$N3209))</f>
        <v/>
      </c>
      <c r="E3209" s="14">
        <f>IF($N3209="","",IFERROR(IF(VLOOKUP(INDEX(LdBMember,$N3209),AcctTblE,4,0)="","(بدون نام)",VLOOKUP(INDEX(LdBMember,$N3209),AcctTblE,4,0)),"—"))</f>
        <v/>
      </c>
      <c r="F3209" s="16">
        <f>IF($N3209="","",IF(INDEX(LdBAmt,$N3209)=0,"",INDEX(LdBAmt,$N3209)))</f>
        <v/>
      </c>
      <c r="G3209" s="30">
        <f>IF($N3209="","",IF(INDEX(LdBNote,$N3209)="","—",INDEX(LdBNote,$N3209)))</f>
        <v/>
      </c>
      <c r="N3209">
        <f>IFERROR(MATCH($C$5&amp;"|"&amp;RIGHT("000000"&amp;1189,6),LdBKeyG,0),"")</f>
        <v/>
      </c>
    </row>
    <row r="3210">
      <c r="A3210" s="19" t="n">
        <v>1190</v>
      </c>
      <c r="B3210" s="20">
        <f>IF($N3210="","",INDEX(LdBDate,$N3210))</f>
        <v/>
      </c>
      <c r="C3210" s="20">
        <f>IF($N3210="","",IF(INDEX(LdBId,$N3210)="","—",INDEX(LdBId,$N3210)))</f>
        <v/>
      </c>
      <c r="D3210" s="20">
        <f>IF($N3210="","",INDEX(LdBMember,$N3210))</f>
        <v/>
      </c>
      <c r="E3210" s="20">
        <f>IF($N3210="","",IFERROR(IF(VLOOKUP(INDEX(LdBMember,$N3210),AcctTblE,4,0)="","(بدون نام)",VLOOKUP(INDEX(LdBMember,$N3210),AcctTblE,4,0)),"—"))</f>
        <v/>
      </c>
      <c r="F3210" s="21">
        <f>IF($N3210="","",IF(INDEX(LdBAmt,$N3210)=0,"",INDEX(LdBAmt,$N3210)))</f>
        <v/>
      </c>
      <c r="G3210" s="32">
        <f>IF($N3210="","",IF(INDEX(LdBNote,$N3210)="","—",INDEX(LdBNote,$N3210)))</f>
        <v/>
      </c>
      <c r="N3210">
        <f>IFERROR(MATCH($C$5&amp;"|"&amp;RIGHT("000000"&amp;1190,6),LdBKeyG,0),"")</f>
        <v/>
      </c>
    </row>
    <row r="3211">
      <c r="A3211" s="10" t="n">
        <v>1191</v>
      </c>
      <c r="B3211" s="14">
        <f>IF($N3211="","",INDEX(LdBDate,$N3211))</f>
        <v/>
      </c>
      <c r="C3211" s="14">
        <f>IF($N3211="","",IF(INDEX(LdBId,$N3211)="","—",INDEX(LdBId,$N3211)))</f>
        <v/>
      </c>
      <c r="D3211" s="14">
        <f>IF($N3211="","",INDEX(LdBMember,$N3211))</f>
        <v/>
      </c>
      <c r="E3211" s="14">
        <f>IF($N3211="","",IFERROR(IF(VLOOKUP(INDEX(LdBMember,$N3211),AcctTblE,4,0)="","(بدون نام)",VLOOKUP(INDEX(LdBMember,$N3211),AcctTblE,4,0)),"—"))</f>
        <v/>
      </c>
      <c r="F3211" s="16">
        <f>IF($N3211="","",IF(INDEX(LdBAmt,$N3211)=0,"",INDEX(LdBAmt,$N3211)))</f>
        <v/>
      </c>
      <c r="G3211" s="30">
        <f>IF($N3211="","",IF(INDEX(LdBNote,$N3211)="","—",INDEX(LdBNote,$N3211)))</f>
        <v/>
      </c>
      <c r="N3211">
        <f>IFERROR(MATCH($C$5&amp;"|"&amp;RIGHT("000000"&amp;1191,6),LdBKeyG,0),"")</f>
        <v/>
      </c>
    </row>
    <row r="3212">
      <c r="A3212" s="19" t="n">
        <v>1192</v>
      </c>
      <c r="B3212" s="20">
        <f>IF($N3212="","",INDEX(LdBDate,$N3212))</f>
        <v/>
      </c>
      <c r="C3212" s="20">
        <f>IF($N3212="","",IF(INDEX(LdBId,$N3212)="","—",INDEX(LdBId,$N3212)))</f>
        <v/>
      </c>
      <c r="D3212" s="20">
        <f>IF($N3212="","",INDEX(LdBMember,$N3212))</f>
        <v/>
      </c>
      <c r="E3212" s="20">
        <f>IF($N3212="","",IFERROR(IF(VLOOKUP(INDEX(LdBMember,$N3212),AcctTblE,4,0)="","(بدون نام)",VLOOKUP(INDEX(LdBMember,$N3212),AcctTblE,4,0)),"—"))</f>
        <v/>
      </c>
      <c r="F3212" s="21">
        <f>IF($N3212="","",IF(INDEX(LdBAmt,$N3212)=0,"",INDEX(LdBAmt,$N3212)))</f>
        <v/>
      </c>
      <c r="G3212" s="32">
        <f>IF($N3212="","",IF(INDEX(LdBNote,$N3212)="","—",INDEX(LdBNote,$N3212)))</f>
        <v/>
      </c>
      <c r="N3212">
        <f>IFERROR(MATCH($C$5&amp;"|"&amp;RIGHT("000000"&amp;1192,6),LdBKeyG,0),"")</f>
        <v/>
      </c>
    </row>
    <row r="3213">
      <c r="A3213" s="10" t="n">
        <v>1193</v>
      </c>
      <c r="B3213" s="14">
        <f>IF($N3213="","",INDEX(LdBDate,$N3213))</f>
        <v/>
      </c>
      <c r="C3213" s="14">
        <f>IF($N3213="","",IF(INDEX(LdBId,$N3213)="","—",INDEX(LdBId,$N3213)))</f>
        <v/>
      </c>
      <c r="D3213" s="14">
        <f>IF($N3213="","",INDEX(LdBMember,$N3213))</f>
        <v/>
      </c>
      <c r="E3213" s="14">
        <f>IF($N3213="","",IFERROR(IF(VLOOKUP(INDEX(LdBMember,$N3213),AcctTblE,4,0)="","(بدون نام)",VLOOKUP(INDEX(LdBMember,$N3213),AcctTblE,4,0)),"—"))</f>
        <v/>
      </c>
      <c r="F3213" s="16">
        <f>IF($N3213="","",IF(INDEX(LdBAmt,$N3213)=0,"",INDEX(LdBAmt,$N3213)))</f>
        <v/>
      </c>
      <c r="G3213" s="30">
        <f>IF($N3213="","",IF(INDEX(LdBNote,$N3213)="","—",INDEX(LdBNote,$N3213)))</f>
        <v/>
      </c>
      <c r="N3213">
        <f>IFERROR(MATCH($C$5&amp;"|"&amp;RIGHT("000000"&amp;1193,6),LdBKeyG,0),"")</f>
        <v/>
      </c>
    </row>
    <row r="3214">
      <c r="A3214" s="19" t="n">
        <v>1194</v>
      </c>
      <c r="B3214" s="20">
        <f>IF($N3214="","",INDEX(LdBDate,$N3214))</f>
        <v/>
      </c>
      <c r="C3214" s="20">
        <f>IF($N3214="","",IF(INDEX(LdBId,$N3214)="","—",INDEX(LdBId,$N3214)))</f>
        <v/>
      </c>
      <c r="D3214" s="20">
        <f>IF($N3214="","",INDEX(LdBMember,$N3214))</f>
        <v/>
      </c>
      <c r="E3214" s="20">
        <f>IF($N3214="","",IFERROR(IF(VLOOKUP(INDEX(LdBMember,$N3214),AcctTblE,4,0)="","(بدون نام)",VLOOKUP(INDEX(LdBMember,$N3214),AcctTblE,4,0)),"—"))</f>
        <v/>
      </c>
      <c r="F3214" s="21">
        <f>IF($N3214="","",IF(INDEX(LdBAmt,$N3214)=0,"",INDEX(LdBAmt,$N3214)))</f>
        <v/>
      </c>
      <c r="G3214" s="32">
        <f>IF($N3214="","",IF(INDEX(LdBNote,$N3214)="","—",INDEX(LdBNote,$N3214)))</f>
        <v/>
      </c>
      <c r="N3214">
        <f>IFERROR(MATCH($C$5&amp;"|"&amp;RIGHT("000000"&amp;1194,6),LdBKeyG,0),"")</f>
        <v/>
      </c>
    </row>
    <row r="3215">
      <c r="A3215" s="10" t="n">
        <v>1195</v>
      </c>
      <c r="B3215" s="14">
        <f>IF($N3215="","",INDEX(LdBDate,$N3215))</f>
        <v/>
      </c>
      <c r="C3215" s="14">
        <f>IF($N3215="","",IF(INDEX(LdBId,$N3215)="","—",INDEX(LdBId,$N3215)))</f>
        <v/>
      </c>
      <c r="D3215" s="14">
        <f>IF($N3215="","",INDEX(LdBMember,$N3215))</f>
        <v/>
      </c>
      <c r="E3215" s="14">
        <f>IF($N3215="","",IFERROR(IF(VLOOKUP(INDEX(LdBMember,$N3215),AcctTblE,4,0)="","(بدون نام)",VLOOKUP(INDEX(LdBMember,$N3215),AcctTblE,4,0)),"—"))</f>
        <v/>
      </c>
      <c r="F3215" s="16">
        <f>IF($N3215="","",IF(INDEX(LdBAmt,$N3215)=0,"",INDEX(LdBAmt,$N3215)))</f>
        <v/>
      </c>
      <c r="G3215" s="30">
        <f>IF($N3215="","",IF(INDEX(LdBNote,$N3215)="","—",INDEX(LdBNote,$N3215)))</f>
        <v/>
      </c>
      <c r="N3215">
        <f>IFERROR(MATCH($C$5&amp;"|"&amp;RIGHT("000000"&amp;1195,6),LdBKeyG,0),"")</f>
        <v/>
      </c>
    </row>
    <row r="3216">
      <c r="A3216" s="19" t="n">
        <v>1196</v>
      </c>
      <c r="B3216" s="20">
        <f>IF($N3216="","",INDEX(LdBDate,$N3216))</f>
        <v/>
      </c>
      <c r="C3216" s="20">
        <f>IF($N3216="","",IF(INDEX(LdBId,$N3216)="","—",INDEX(LdBId,$N3216)))</f>
        <v/>
      </c>
      <c r="D3216" s="20">
        <f>IF($N3216="","",INDEX(LdBMember,$N3216))</f>
        <v/>
      </c>
      <c r="E3216" s="20">
        <f>IF($N3216="","",IFERROR(IF(VLOOKUP(INDEX(LdBMember,$N3216),AcctTblE,4,0)="","(بدون نام)",VLOOKUP(INDEX(LdBMember,$N3216),AcctTblE,4,0)),"—"))</f>
        <v/>
      </c>
      <c r="F3216" s="21">
        <f>IF($N3216="","",IF(INDEX(LdBAmt,$N3216)=0,"",INDEX(LdBAmt,$N3216)))</f>
        <v/>
      </c>
      <c r="G3216" s="32">
        <f>IF($N3216="","",IF(INDEX(LdBNote,$N3216)="","—",INDEX(LdBNote,$N3216)))</f>
        <v/>
      </c>
      <c r="N3216">
        <f>IFERROR(MATCH($C$5&amp;"|"&amp;RIGHT("000000"&amp;1196,6),LdBKeyG,0),"")</f>
        <v/>
      </c>
    </row>
    <row r="3217">
      <c r="A3217" s="10" t="n">
        <v>1197</v>
      </c>
      <c r="B3217" s="14">
        <f>IF($N3217="","",INDEX(LdBDate,$N3217))</f>
        <v/>
      </c>
      <c r="C3217" s="14">
        <f>IF($N3217="","",IF(INDEX(LdBId,$N3217)="","—",INDEX(LdBId,$N3217)))</f>
        <v/>
      </c>
      <c r="D3217" s="14">
        <f>IF($N3217="","",INDEX(LdBMember,$N3217))</f>
        <v/>
      </c>
      <c r="E3217" s="14">
        <f>IF($N3217="","",IFERROR(IF(VLOOKUP(INDEX(LdBMember,$N3217),AcctTblE,4,0)="","(بدون نام)",VLOOKUP(INDEX(LdBMember,$N3217),AcctTblE,4,0)),"—"))</f>
        <v/>
      </c>
      <c r="F3217" s="16">
        <f>IF($N3217="","",IF(INDEX(LdBAmt,$N3217)=0,"",INDEX(LdBAmt,$N3217)))</f>
        <v/>
      </c>
      <c r="G3217" s="30">
        <f>IF($N3217="","",IF(INDEX(LdBNote,$N3217)="","—",INDEX(LdBNote,$N3217)))</f>
        <v/>
      </c>
      <c r="N3217">
        <f>IFERROR(MATCH($C$5&amp;"|"&amp;RIGHT("000000"&amp;1197,6),LdBKeyG,0),"")</f>
        <v/>
      </c>
    </row>
    <row r="3218">
      <c r="A3218" s="19" t="n">
        <v>1198</v>
      </c>
      <c r="B3218" s="20">
        <f>IF($N3218="","",INDEX(LdBDate,$N3218))</f>
        <v/>
      </c>
      <c r="C3218" s="20">
        <f>IF($N3218="","",IF(INDEX(LdBId,$N3218)="","—",INDEX(LdBId,$N3218)))</f>
        <v/>
      </c>
      <c r="D3218" s="20">
        <f>IF($N3218="","",INDEX(LdBMember,$N3218))</f>
        <v/>
      </c>
      <c r="E3218" s="20">
        <f>IF($N3218="","",IFERROR(IF(VLOOKUP(INDEX(LdBMember,$N3218),AcctTblE,4,0)="","(بدون نام)",VLOOKUP(INDEX(LdBMember,$N3218),AcctTblE,4,0)),"—"))</f>
        <v/>
      </c>
      <c r="F3218" s="21">
        <f>IF($N3218="","",IF(INDEX(LdBAmt,$N3218)=0,"",INDEX(LdBAmt,$N3218)))</f>
        <v/>
      </c>
      <c r="G3218" s="32">
        <f>IF($N3218="","",IF(INDEX(LdBNote,$N3218)="","—",INDEX(LdBNote,$N3218)))</f>
        <v/>
      </c>
      <c r="N3218">
        <f>IFERROR(MATCH($C$5&amp;"|"&amp;RIGHT("000000"&amp;1198,6),LdBKeyG,0),"")</f>
        <v/>
      </c>
    </row>
    <row r="3219">
      <c r="A3219" s="10" t="n">
        <v>1199</v>
      </c>
      <c r="B3219" s="14">
        <f>IF($N3219="","",INDEX(LdBDate,$N3219))</f>
        <v/>
      </c>
      <c r="C3219" s="14">
        <f>IF($N3219="","",IF(INDEX(LdBId,$N3219)="","—",INDEX(LdBId,$N3219)))</f>
        <v/>
      </c>
      <c r="D3219" s="14">
        <f>IF($N3219="","",INDEX(LdBMember,$N3219))</f>
        <v/>
      </c>
      <c r="E3219" s="14">
        <f>IF($N3219="","",IFERROR(IF(VLOOKUP(INDEX(LdBMember,$N3219),AcctTblE,4,0)="","(بدون نام)",VLOOKUP(INDEX(LdBMember,$N3219),AcctTblE,4,0)),"—"))</f>
        <v/>
      </c>
      <c r="F3219" s="16">
        <f>IF($N3219="","",IF(INDEX(LdBAmt,$N3219)=0,"",INDEX(LdBAmt,$N3219)))</f>
        <v/>
      </c>
      <c r="G3219" s="30">
        <f>IF($N3219="","",IF(INDEX(LdBNote,$N3219)="","—",INDEX(LdBNote,$N3219)))</f>
        <v/>
      </c>
      <c r="N3219">
        <f>IFERROR(MATCH($C$5&amp;"|"&amp;RIGHT("000000"&amp;1199,6),LdBKeyG,0),"")</f>
        <v/>
      </c>
    </row>
    <row r="3220">
      <c r="A3220" s="19" t="n">
        <v>1200</v>
      </c>
      <c r="B3220" s="20">
        <f>IF($N3220="","",INDEX(LdBDate,$N3220))</f>
        <v/>
      </c>
      <c r="C3220" s="20">
        <f>IF($N3220="","",IF(INDEX(LdBId,$N3220)="","—",INDEX(LdBId,$N3220)))</f>
        <v/>
      </c>
      <c r="D3220" s="20">
        <f>IF($N3220="","",INDEX(LdBMember,$N3220))</f>
        <v/>
      </c>
      <c r="E3220" s="20">
        <f>IF($N3220="","",IFERROR(IF(VLOOKUP(INDEX(LdBMember,$N3220),AcctTblE,4,0)="","(بدون نام)",VLOOKUP(INDEX(LdBMember,$N3220),AcctTblE,4,0)),"—"))</f>
        <v/>
      </c>
      <c r="F3220" s="21">
        <f>IF($N3220="","",IF(INDEX(LdBAmt,$N3220)=0,"",INDEX(LdBAmt,$N3220)))</f>
        <v/>
      </c>
      <c r="G3220" s="32">
        <f>IF($N3220="","",IF(INDEX(LdBNote,$N3220)="","—",INDEX(LdBNote,$N3220)))</f>
        <v/>
      </c>
      <c r="N3220">
        <f>IFERROR(MATCH($C$5&amp;"|"&amp;RIGHT("000000"&amp;1200,6),LdBKeyG,0),"")</f>
        <v/>
      </c>
    </row>
    <row r="3221">
      <c r="A3221" s="10" t="n">
        <v>1201</v>
      </c>
      <c r="B3221" s="14">
        <f>IF($N3221="","",INDEX(LdBDate,$N3221))</f>
        <v/>
      </c>
      <c r="C3221" s="14">
        <f>IF($N3221="","",IF(INDEX(LdBId,$N3221)="","—",INDEX(LdBId,$N3221)))</f>
        <v/>
      </c>
      <c r="D3221" s="14">
        <f>IF($N3221="","",INDEX(LdBMember,$N3221))</f>
        <v/>
      </c>
      <c r="E3221" s="14">
        <f>IF($N3221="","",IFERROR(IF(VLOOKUP(INDEX(LdBMember,$N3221),AcctTblE,4,0)="","(بدون نام)",VLOOKUP(INDEX(LdBMember,$N3221),AcctTblE,4,0)),"—"))</f>
        <v/>
      </c>
      <c r="F3221" s="16">
        <f>IF($N3221="","",IF(INDEX(LdBAmt,$N3221)=0,"",INDEX(LdBAmt,$N3221)))</f>
        <v/>
      </c>
      <c r="G3221" s="30">
        <f>IF($N3221="","",IF(INDEX(LdBNote,$N3221)="","—",INDEX(LdBNote,$N3221)))</f>
        <v/>
      </c>
      <c r="N3221">
        <f>IFERROR(MATCH($C$5&amp;"|"&amp;RIGHT("000000"&amp;1201,6),LdBKeyG,0),"")</f>
        <v/>
      </c>
    </row>
    <row r="3222">
      <c r="A3222" s="19" t="n">
        <v>1202</v>
      </c>
      <c r="B3222" s="20">
        <f>IF($N3222="","",INDEX(LdBDate,$N3222))</f>
        <v/>
      </c>
      <c r="C3222" s="20">
        <f>IF($N3222="","",IF(INDEX(LdBId,$N3222)="","—",INDEX(LdBId,$N3222)))</f>
        <v/>
      </c>
      <c r="D3222" s="20">
        <f>IF($N3222="","",INDEX(LdBMember,$N3222))</f>
        <v/>
      </c>
      <c r="E3222" s="20">
        <f>IF($N3222="","",IFERROR(IF(VLOOKUP(INDEX(LdBMember,$N3222),AcctTblE,4,0)="","(بدون نام)",VLOOKUP(INDEX(LdBMember,$N3222),AcctTblE,4,0)),"—"))</f>
        <v/>
      </c>
      <c r="F3222" s="21">
        <f>IF($N3222="","",IF(INDEX(LdBAmt,$N3222)=0,"",INDEX(LdBAmt,$N3222)))</f>
        <v/>
      </c>
      <c r="G3222" s="32">
        <f>IF($N3222="","",IF(INDEX(LdBNote,$N3222)="","—",INDEX(LdBNote,$N3222)))</f>
        <v/>
      </c>
      <c r="N3222">
        <f>IFERROR(MATCH($C$5&amp;"|"&amp;RIGHT("000000"&amp;1202,6),LdBKeyG,0),"")</f>
        <v/>
      </c>
    </row>
    <row r="3223">
      <c r="A3223" s="10" t="n">
        <v>1203</v>
      </c>
      <c r="B3223" s="14">
        <f>IF($N3223="","",INDEX(LdBDate,$N3223))</f>
        <v/>
      </c>
      <c r="C3223" s="14">
        <f>IF($N3223="","",IF(INDEX(LdBId,$N3223)="","—",INDEX(LdBId,$N3223)))</f>
        <v/>
      </c>
      <c r="D3223" s="14">
        <f>IF($N3223="","",INDEX(LdBMember,$N3223))</f>
        <v/>
      </c>
      <c r="E3223" s="14">
        <f>IF($N3223="","",IFERROR(IF(VLOOKUP(INDEX(LdBMember,$N3223),AcctTblE,4,0)="","(بدون نام)",VLOOKUP(INDEX(LdBMember,$N3223),AcctTblE,4,0)),"—"))</f>
        <v/>
      </c>
      <c r="F3223" s="16">
        <f>IF($N3223="","",IF(INDEX(LdBAmt,$N3223)=0,"",INDEX(LdBAmt,$N3223)))</f>
        <v/>
      </c>
      <c r="G3223" s="30">
        <f>IF($N3223="","",IF(INDEX(LdBNote,$N3223)="","—",INDEX(LdBNote,$N3223)))</f>
        <v/>
      </c>
      <c r="N3223">
        <f>IFERROR(MATCH($C$5&amp;"|"&amp;RIGHT("000000"&amp;1203,6),LdBKeyG,0),"")</f>
        <v/>
      </c>
    </row>
    <row r="3224">
      <c r="A3224" s="19" t="n">
        <v>1204</v>
      </c>
      <c r="B3224" s="20">
        <f>IF($N3224="","",INDEX(LdBDate,$N3224))</f>
        <v/>
      </c>
      <c r="C3224" s="20">
        <f>IF($N3224="","",IF(INDEX(LdBId,$N3224)="","—",INDEX(LdBId,$N3224)))</f>
        <v/>
      </c>
      <c r="D3224" s="20">
        <f>IF($N3224="","",INDEX(LdBMember,$N3224))</f>
        <v/>
      </c>
      <c r="E3224" s="20">
        <f>IF($N3224="","",IFERROR(IF(VLOOKUP(INDEX(LdBMember,$N3224),AcctTblE,4,0)="","(بدون نام)",VLOOKUP(INDEX(LdBMember,$N3224),AcctTblE,4,0)),"—"))</f>
        <v/>
      </c>
      <c r="F3224" s="21">
        <f>IF($N3224="","",IF(INDEX(LdBAmt,$N3224)=0,"",INDEX(LdBAmt,$N3224)))</f>
        <v/>
      </c>
      <c r="G3224" s="32">
        <f>IF($N3224="","",IF(INDEX(LdBNote,$N3224)="","—",INDEX(LdBNote,$N3224)))</f>
        <v/>
      </c>
      <c r="N3224">
        <f>IFERROR(MATCH($C$5&amp;"|"&amp;RIGHT("000000"&amp;1204,6),LdBKeyG,0),"")</f>
        <v/>
      </c>
    </row>
    <row r="3225">
      <c r="A3225" s="10" t="n">
        <v>1205</v>
      </c>
      <c r="B3225" s="14">
        <f>IF($N3225="","",INDEX(LdBDate,$N3225))</f>
        <v/>
      </c>
      <c r="C3225" s="14">
        <f>IF($N3225="","",IF(INDEX(LdBId,$N3225)="","—",INDEX(LdBId,$N3225)))</f>
        <v/>
      </c>
      <c r="D3225" s="14">
        <f>IF($N3225="","",INDEX(LdBMember,$N3225))</f>
        <v/>
      </c>
      <c r="E3225" s="14">
        <f>IF($N3225="","",IFERROR(IF(VLOOKUP(INDEX(LdBMember,$N3225),AcctTblE,4,0)="","(بدون نام)",VLOOKUP(INDEX(LdBMember,$N3225),AcctTblE,4,0)),"—"))</f>
        <v/>
      </c>
      <c r="F3225" s="16">
        <f>IF($N3225="","",IF(INDEX(LdBAmt,$N3225)=0,"",INDEX(LdBAmt,$N3225)))</f>
        <v/>
      </c>
      <c r="G3225" s="30">
        <f>IF($N3225="","",IF(INDEX(LdBNote,$N3225)="","—",INDEX(LdBNote,$N3225)))</f>
        <v/>
      </c>
      <c r="N3225">
        <f>IFERROR(MATCH($C$5&amp;"|"&amp;RIGHT("000000"&amp;1205,6),LdBKeyG,0),"")</f>
        <v/>
      </c>
    </row>
    <row r="3226">
      <c r="A3226" s="19" t="n">
        <v>1206</v>
      </c>
      <c r="B3226" s="20">
        <f>IF($N3226="","",INDEX(LdBDate,$N3226))</f>
        <v/>
      </c>
      <c r="C3226" s="20">
        <f>IF($N3226="","",IF(INDEX(LdBId,$N3226)="","—",INDEX(LdBId,$N3226)))</f>
        <v/>
      </c>
      <c r="D3226" s="20">
        <f>IF($N3226="","",INDEX(LdBMember,$N3226))</f>
        <v/>
      </c>
      <c r="E3226" s="20">
        <f>IF($N3226="","",IFERROR(IF(VLOOKUP(INDEX(LdBMember,$N3226),AcctTblE,4,0)="","(بدون نام)",VLOOKUP(INDEX(LdBMember,$N3226),AcctTblE,4,0)),"—"))</f>
        <v/>
      </c>
      <c r="F3226" s="21">
        <f>IF($N3226="","",IF(INDEX(LdBAmt,$N3226)=0,"",INDEX(LdBAmt,$N3226)))</f>
        <v/>
      </c>
      <c r="G3226" s="32">
        <f>IF($N3226="","",IF(INDEX(LdBNote,$N3226)="","—",INDEX(LdBNote,$N3226)))</f>
        <v/>
      </c>
      <c r="N3226">
        <f>IFERROR(MATCH($C$5&amp;"|"&amp;RIGHT("000000"&amp;1206,6),LdBKeyG,0),"")</f>
        <v/>
      </c>
    </row>
    <row r="3227">
      <c r="A3227" s="10" t="n">
        <v>1207</v>
      </c>
      <c r="B3227" s="14">
        <f>IF($N3227="","",INDEX(LdBDate,$N3227))</f>
        <v/>
      </c>
      <c r="C3227" s="14">
        <f>IF($N3227="","",IF(INDEX(LdBId,$N3227)="","—",INDEX(LdBId,$N3227)))</f>
        <v/>
      </c>
      <c r="D3227" s="14">
        <f>IF($N3227="","",INDEX(LdBMember,$N3227))</f>
        <v/>
      </c>
      <c r="E3227" s="14">
        <f>IF($N3227="","",IFERROR(IF(VLOOKUP(INDEX(LdBMember,$N3227),AcctTblE,4,0)="","(بدون نام)",VLOOKUP(INDEX(LdBMember,$N3227),AcctTblE,4,0)),"—"))</f>
        <v/>
      </c>
      <c r="F3227" s="16">
        <f>IF($N3227="","",IF(INDEX(LdBAmt,$N3227)=0,"",INDEX(LdBAmt,$N3227)))</f>
        <v/>
      </c>
      <c r="G3227" s="30">
        <f>IF($N3227="","",IF(INDEX(LdBNote,$N3227)="","—",INDEX(LdBNote,$N3227)))</f>
        <v/>
      </c>
      <c r="N3227">
        <f>IFERROR(MATCH($C$5&amp;"|"&amp;RIGHT("000000"&amp;1207,6),LdBKeyG,0),"")</f>
        <v/>
      </c>
    </row>
    <row r="3228">
      <c r="A3228" s="19" t="n">
        <v>1208</v>
      </c>
      <c r="B3228" s="20">
        <f>IF($N3228="","",INDEX(LdBDate,$N3228))</f>
        <v/>
      </c>
      <c r="C3228" s="20">
        <f>IF($N3228="","",IF(INDEX(LdBId,$N3228)="","—",INDEX(LdBId,$N3228)))</f>
        <v/>
      </c>
      <c r="D3228" s="20">
        <f>IF($N3228="","",INDEX(LdBMember,$N3228))</f>
        <v/>
      </c>
      <c r="E3228" s="20">
        <f>IF($N3228="","",IFERROR(IF(VLOOKUP(INDEX(LdBMember,$N3228),AcctTblE,4,0)="","(بدون نام)",VLOOKUP(INDEX(LdBMember,$N3228),AcctTblE,4,0)),"—"))</f>
        <v/>
      </c>
      <c r="F3228" s="21">
        <f>IF($N3228="","",IF(INDEX(LdBAmt,$N3228)=0,"",INDEX(LdBAmt,$N3228)))</f>
        <v/>
      </c>
      <c r="G3228" s="32">
        <f>IF($N3228="","",IF(INDEX(LdBNote,$N3228)="","—",INDEX(LdBNote,$N3228)))</f>
        <v/>
      </c>
      <c r="N3228">
        <f>IFERROR(MATCH($C$5&amp;"|"&amp;RIGHT("000000"&amp;1208,6),LdBKeyG,0),"")</f>
        <v/>
      </c>
    </row>
    <row r="3229">
      <c r="A3229" s="10" t="n">
        <v>1209</v>
      </c>
      <c r="B3229" s="14">
        <f>IF($N3229="","",INDEX(LdBDate,$N3229))</f>
        <v/>
      </c>
      <c r="C3229" s="14">
        <f>IF($N3229="","",IF(INDEX(LdBId,$N3229)="","—",INDEX(LdBId,$N3229)))</f>
        <v/>
      </c>
      <c r="D3229" s="14">
        <f>IF($N3229="","",INDEX(LdBMember,$N3229))</f>
        <v/>
      </c>
      <c r="E3229" s="14">
        <f>IF($N3229="","",IFERROR(IF(VLOOKUP(INDEX(LdBMember,$N3229),AcctTblE,4,0)="","(بدون نام)",VLOOKUP(INDEX(LdBMember,$N3229),AcctTblE,4,0)),"—"))</f>
        <v/>
      </c>
      <c r="F3229" s="16">
        <f>IF($N3229="","",IF(INDEX(LdBAmt,$N3229)=0,"",INDEX(LdBAmt,$N3229)))</f>
        <v/>
      </c>
      <c r="G3229" s="30">
        <f>IF($N3229="","",IF(INDEX(LdBNote,$N3229)="","—",INDEX(LdBNote,$N3229)))</f>
        <v/>
      </c>
      <c r="N3229">
        <f>IFERROR(MATCH($C$5&amp;"|"&amp;RIGHT("000000"&amp;1209,6),LdBKeyG,0),"")</f>
        <v/>
      </c>
    </row>
    <row r="3230">
      <c r="A3230" s="19" t="n">
        <v>1210</v>
      </c>
      <c r="B3230" s="20">
        <f>IF($N3230="","",INDEX(LdBDate,$N3230))</f>
        <v/>
      </c>
      <c r="C3230" s="20">
        <f>IF($N3230="","",IF(INDEX(LdBId,$N3230)="","—",INDEX(LdBId,$N3230)))</f>
        <v/>
      </c>
      <c r="D3230" s="20">
        <f>IF($N3230="","",INDEX(LdBMember,$N3230))</f>
        <v/>
      </c>
      <c r="E3230" s="20">
        <f>IF($N3230="","",IFERROR(IF(VLOOKUP(INDEX(LdBMember,$N3230),AcctTblE,4,0)="","(بدون نام)",VLOOKUP(INDEX(LdBMember,$N3230),AcctTblE,4,0)),"—"))</f>
        <v/>
      </c>
      <c r="F3230" s="21">
        <f>IF($N3230="","",IF(INDEX(LdBAmt,$N3230)=0,"",INDEX(LdBAmt,$N3230)))</f>
        <v/>
      </c>
      <c r="G3230" s="32">
        <f>IF($N3230="","",IF(INDEX(LdBNote,$N3230)="","—",INDEX(LdBNote,$N3230)))</f>
        <v/>
      </c>
      <c r="N3230">
        <f>IFERROR(MATCH($C$5&amp;"|"&amp;RIGHT("000000"&amp;1210,6),LdBKeyG,0),"")</f>
        <v/>
      </c>
    </row>
    <row r="3231">
      <c r="A3231" s="10" t="n">
        <v>1211</v>
      </c>
      <c r="B3231" s="14">
        <f>IF($N3231="","",INDEX(LdBDate,$N3231))</f>
        <v/>
      </c>
      <c r="C3231" s="14">
        <f>IF($N3231="","",IF(INDEX(LdBId,$N3231)="","—",INDEX(LdBId,$N3231)))</f>
        <v/>
      </c>
      <c r="D3231" s="14">
        <f>IF($N3231="","",INDEX(LdBMember,$N3231))</f>
        <v/>
      </c>
      <c r="E3231" s="14">
        <f>IF($N3231="","",IFERROR(IF(VLOOKUP(INDEX(LdBMember,$N3231),AcctTblE,4,0)="","(بدون نام)",VLOOKUP(INDEX(LdBMember,$N3231),AcctTblE,4,0)),"—"))</f>
        <v/>
      </c>
      <c r="F3231" s="16">
        <f>IF($N3231="","",IF(INDEX(LdBAmt,$N3231)=0,"",INDEX(LdBAmt,$N3231)))</f>
        <v/>
      </c>
      <c r="G3231" s="30">
        <f>IF($N3231="","",IF(INDEX(LdBNote,$N3231)="","—",INDEX(LdBNote,$N3231)))</f>
        <v/>
      </c>
      <c r="N3231">
        <f>IFERROR(MATCH($C$5&amp;"|"&amp;RIGHT("000000"&amp;1211,6),LdBKeyG,0),"")</f>
        <v/>
      </c>
    </row>
    <row r="3232">
      <c r="A3232" s="19" t="n">
        <v>1212</v>
      </c>
      <c r="B3232" s="20">
        <f>IF($N3232="","",INDEX(LdBDate,$N3232))</f>
        <v/>
      </c>
      <c r="C3232" s="20">
        <f>IF($N3232="","",IF(INDEX(LdBId,$N3232)="","—",INDEX(LdBId,$N3232)))</f>
        <v/>
      </c>
      <c r="D3232" s="20">
        <f>IF($N3232="","",INDEX(LdBMember,$N3232))</f>
        <v/>
      </c>
      <c r="E3232" s="20">
        <f>IF($N3232="","",IFERROR(IF(VLOOKUP(INDEX(LdBMember,$N3232),AcctTblE,4,0)="","(بدون نام)",VLOOKUP(INDEX(LdBMember,$N3232),AcctTblE,4,0)),"—"))</f>
        <v/>
      </c>
      <c r="F3232" s="21">
        <f>IF($N3232="","",IF(INDEX(LdBAmt,$N3232)=0,"",INDEX(LdBAmt,$N3232)))</f>
        <v/>
      </c>
      <c r="G3232" s="32">
        <f>IF($N3232="","",IF(INDEX(LdBNote,$N3232)="","—",INDEX(LdBNote,$N3232)))</f>
        <v/>
      </c>
      <c r="N3232">
        <f>IFERROR(MATCH($C$5&amp;"|"&amp;RIGHT("000000"&amp;1212,6),LdBKeyG,0),"")</f>
        <v/>
      </c>
    </row>
    <row r="3233">
      <c r="A3233" s="10" t="n">
        <v>1213</v>
      </c>
      <c r="B3233" s="14">
        <f>IF($N3233="","",INDEX(LdBDate,$N3233))</f>
        <v/>
      </c>
      <c r="C3233" s="14">
        <f>IF($N3233="","",IF(INDEX(LdBId,$N3233)="","—",INDEX(LdBId,$N3233)))</f>
        <v/>
      </c>
      <c r="D3233" s="14">
        <f>IF($N3233="","",INDEX(LdBMember,$N3233))</f>
        <v/>
      </c>
      <c r="E3233" s="14">
        <f>IF($N3233="","",IFERROR(IF(VLOOKUP(INDEX(LdBMember,$N3233),AcctTblE,4,0)="","(بدون نام)",VLOOKUP(INDEX(LdBMember,$N3233),AcctTblE,4,0)),"—"))</f>
        <v/>
      </c>
      <c r="F3233" s="16">
        <f>IF($N3233="","",IF(INDEX(LdBAmt,$N3233)=0,"",INDEX(LdBAmt,$N3233)))</f>
        <v/>
      </c>
      <c r="G3233" s="30">
        <f>IF($N3233="","",IF(INDEX(LdBNote,$N3233)="","—",INDEX(LdBNote,$N3233)))</f>
        <v/>
      </c>
      <c r="N3233">
        <f>IFERROR(MATCH($C$5&amp;"|"&amp;RIGHT("000000"&amp;1213,6),LdBKeyG,0),"")</f>
        <v/>
      </c>
    </row>
    <row r="3234">
      <c r="A3234" s="19" t="n">
        <v>1214</v>
      </c>
      <c r="B3234" s="20">
        <f>IF($N3234="","",INDEX(LdBDate,$N3234))</f>
        <v/>
      </c>
      <c r="C3234" s="20">
        <f>IF($N3234="","",IF(INDEX(LdBId,$N3234)="","—",INDEX(LdBId,$N3234)))</f>
        <v/>
      </c>
      <c r="D3234" s="20">
        <f>IF($N3234="","",INDEX(LdBMember,$N3234))</f>
        <v/>
      </c>
      <c r="E3234" s="20">
        <f>IF($N3234="","",IFERROR(IF(VLOOKUP(INDEX(LdBMember,$N3234),AcctTblE,4,0)="","(بدون نام)",VLOOKUP(INDEX(LdBMember,$N3234),AcctTblE,4,0)),"—"))</f>
        <v/>
      </c>
      <c r="F3234" s="21">
        <f>IF($N3234="","",IF(INDEX(LdBAmt,$N3234)=0,"",INDEX(LdBAmt,$N3234)))</f>
        <v/>
      </c>
      <c r="G3234" s="32">
        <f>IF($N3234="","",IF(INDEX(LdBNote,$N3234)="","—",INDEX(LdBNote,$N3234)))</f>
        <v/>
      </c>
      <c r="N3234">
        <f>IFERROR(MATCH($C$5&amp;"|"&amp;RIGHT("000000"&amp;1214,6),LdBKeyG,0),"")</f>
        <v/>
      </c>
    </row>
    <row r="3235">
      <c r="A3235" s="10" t="n">
        <v>1215</v>
      </c>
      <c r="B3235" s="14">
        <f>IF($N3235="","",INDEX(LdBDate,$N3235))</f>
        <v/>
      </c>
      <c r="C3235" s="14">
        <f>IF($N3235="","",IF(INDEX(LdBId,$N3235)="","—",INDEX(LdBId,$N3235)))</f>
        <v/>
      </c>
      <c r="D3235" s="14">
        <f>IF($N3235="","",INDEX(LdBMember,$N3235))</f>
        <v/>
      </c>
      <c r="E3235" s="14">
        <f>IF($N3235="","",IFERROR(IF(VLOOKUP(INDEX(LdBMember,$N3235),AcctTblE,4,0)="","(بدون نام)",VLOOKUP(INDEX(LdBMember,$N3235),AcctTblE,4,0)),"—"))</f>
        <v/>
      </c>
      <c r="F3235" s="16">
        <f>IF($N3235="","",IF(INDEX(LdBAmt,$N3235)=0,"",INDEX(LdBAmt,$N3235)))</f>
        <v/>
      </c>
      <c r="G3235" s="30">
        <f>IF($N3235="","",IF(INDEX(LdBNote,$N3235)="","—",INDEX(LdBNote,$N3235)))</f>
        <v/>
      </c>
      <c r="N3235">
        <f>IFERROR(MATCH($C$5&amp;"|"&amp;RIGHT("000000"&amp;1215,6),LdBKeyG,0),"")</f>
        <v/>
      </c>
    </row>
    <row r="3236">
      <c r="A3236" s="19" t="n">
        <v>1216</v>
      </c>
      <c r="B3236" s="20">
        <f>IF($N3236="","",INDEX(LdBDate,$N3236))</f>
        <v/>
      </c>
      <c r="C3236" s="20">
        <f>IF($N3236="","",IF(INDEX(LdBId,$N3236)="","—",INDEX(LdBId,$N3236)))</f>
        <v/>
      </c>
      <c r="D3236" s="20">
        <f>IF($N3236="","",INDEX(LdBMember,$N3236))</f>
        <v/>
      </c>
      <c r="E3236" s="20">
        <f>IF($N3236="","",IFERROR(IF(VLOOKUP(INDEX(LdBMember,$N3236),AcctTblE,4,0)="","(بدون نام)",VLOOKUP(INDEX(LdBMember,$N3236),AcctTblE,4,0)),"—"))</f>
        <v/>
      </c>
      <c r="F3236" s="21">
        <f>IF($N3236="","",IF(INDEX(LdBAmt,$N3236)=0,"",INDEX(LdBAmt,$N3236)))</f>
        <v/>
      </c>
      <c r="G3236" s="32">
        <f>IF($N3236="","",IF(INDEX(LdBNote,$N3236)="","—",INDEX(LdBNote,$N3236)))</f>
        <v/>
      </c>
      <c r="N3236">
        <f>IFERROR(MATCH($C$5&amp;"|"&amp;RIGHT("000000"&amp;1216,6),LdBKeyG,0),"")</f>
        <v/>
      </c>
    </row>
    <row r="3237">
      <c r="A3237" s="10" t="n">
        <v>1217</v>
      </c>
      <c r="B3237" s="14">
        <f>IF($N3237="","",INDEX(LdBDate,$N3237))</f>
        <v/>
      </c>
      <c r="C3237" s="14">
        <f>IF($N3237="","",IF(INDEX(LdBId,$N3237)="","—",INDEX(LdBId,$N3237)))</f>
        <v/>
      </c>
      <c r="D3237" s="14">
        <f>IF($N3237="","",INDEX(LdBMember,$N3237))</f>
        <v/>
      </c>
      <c r="E3237" s="14">
        <f>IF($N3237="","",IFERROR(IF(VLOOKUP(INDEX(LdBMember,$N3237),AcctTblE,4,0)="","(بدون نام)",VLOOKUP(INDEX(LdBMember,$N3237),AcctTblE,4,0)),"—"))</f>
        <v/>
      </c>
      <c r="F3237" s="16">
        <f>IF($N3237="","",IF(INDEX(LdBAmt,$N3237)=0,"",INDEX(LdBAmt,$N3237)))</f>
        <v/>
      </c>
      <c r="G3237" s="30">
        <f>IF($N3237="","",IF(INDEX(LdBNote,$N3237)="","—",INDEX(LdBNote,$N3237)))</f>
        <v/>
      </c>
      <c r="N3237">
        <f>IFERROR(MATCH($C$5&amp;"|"&amp;RIGHT("000000"&amp;1217,6),LdBKeyG,0),"")</f>
        <v/>
      </c>
    </row>
    <row r="3238">
      <c r="A3238" s="19" t="n">
        <v>1218</v>
      </c>
      <c r="B3238" s="20">
        <f>IF($N3238="","",INDEX(LdBDate,$N3238))</f>
        <v/>
      </c>
      <c r="C3238" s="20">
        <f>IF($N3238="","",IF(INDEX(LdBId,$N3238)="","—",INDEX(LdBId,$N3238)))</f>
        <v/>
      </c>
      <c r="D3238" s="20">
        <f>IF($N3238="","",INDEX(LdBMember,$N3238))</f>
        <v/>
      </c>
      <c r="E3238" s="20">
        <f>IF($N3238="","",IFERROR(IF(VLOOKUP(INDEX(LdBMember,$N3238),AcctTblE,4,0)="","(بدون نام)",VLOOKUP(INDEX(LdBMember,$N3238),AcctTblE,4,0)),"—"))</f>
        <v/>
      </c>
      <c r="F3238" s="21">
        <f>IF($N3238="","",IF(INDEX(LdBAmt,$N3238)=0,"",INDEX(LdBAmt,$N3238)))</f>
        <v/>
      </c>
      <c r="G3238" s="32">
        <f>IF($N3238="","",IF(INDEX(LdBNote,$N3238)="","—",INDEX(LdBNote,$N3238)))</f>
        <v/>
      </c>
      <c r="N3238">
        <f>IFERROR(MATCH($C$5&amp;"|"&amp;RIGHT("000000"&amp;1218,6),LdBKeyG,0),"")</f>
        <v/>
      </c>
    </row>
    <row r="3239">
      <c r="A3239" s="10" t="n">
        <v>1219</v>
      </c>
      <c r="B3239" s="14">
        <f>IF($N3239="","",INDEX(LdBDate,$N3239))</f>
        <v/>
      </c>
      <c r="C3239" s="14">
        <f>IF($N3239="","",IF(INDEX(LdBId,$N3239)="","—",INDEX(LdBId,$N3239)))</f>
        <v/>
      </c>
      <c r="D3239" s="14">
        <f>IF($N3239="","",INDEX(LdBMember,$N3239))</f>
        <v/>
      </c>
      <c r="E3239" s="14">
        <f>IF($N3239="","",IFERROR(IF(VLOOKUP(INDEX(LdBMember,$N3239),AcctTblE,4,0)="","(بدون نام)",VLOOKUP(INDEX(LdBMember,$N3239),AcctTblE,4,0)),"—"))</f>
        <v/>
      </c>
      <c r="F3239" s="16">
        <f>IF($N3239="","",IF(INDEX(LdBAmt,$N3239)=0,"",INDEX(LdBAmt,$N3239)))</f>
        <v/>
      </c>
      <c r="G3239" s="30">
        <f>IF($N3239="","",IF(INDEX(LdBNote,$N3239)="","—",INDEX(LdBNote,$N3239)))</f>
        <v/>
      </c>
      <c r="N3239">
        <f>IFERROR(MATCH($C$5&amp;"|"&amp;RIGHT("000000"&amp;1219,6),LdBKeyG,0),"")</f>
        <v/>
      </c>
    </row>
    <row r="3240">
      <c r="A3240" s="19" t="n">
        <v>1220</v>
      </c>
      <c r="B3240" s="20">
        <f>IF($N3240="","",INDEX(LdBDate,$N3240))</f>
        <v/>
      </c>
      <c r="C3240" s="20">
        <f>IF($N3240="","",IF(INDEX(LdBId,$N3240)="","—",INDEX(LdBId,$N3240)))</f>
        <v/>
      </c>
      <c r="D3240" s="20">
        <f>IF($N3240="","",INDEX(LdBMember,$N3240))</f>
        <v/>
      </c>
      <c r="E3240" s="20">
        <f>IF($N3240="","",IFERROR(IF(VLOOKUP(INDEX(LdBMember,$N3240),AcctTblE,4,0)="","(بدون نام)",VLOOKUP(INDEX(LdBMember,$N3240),AcctTblE,4,0)),"—"))</f>
        <v/>
      </c>
      <c r="F3240" s="21">
        <f>IF($N3240="","",IF(INDEX(LdBAmt,$N3240)=0,"",INDEX(LdBAmt,$N3240)))</f>
        <v/>
      </c>
      <c r="G3240" s="32">
        <f>IF($N3240="","",IF(INDEX(LdBNote,$N3240)="","—",INDEX(LdBNote,$N3240)))</f>
        <v/>
      </c>
      <c r="N3240">
        <f>IFERROR(MATCH($C$5&amp;"|"&amp;RIGHT("000000"&amp;1220,6),LdBKeyG,0),"")</f>
        <v/>
      </c>
    </row>
    <row r="3241">
      <c r="A3241" s="10" t="n">
        <v>1221</v>
      </c>
      <c r="B3241" s="14">
        <f>IF($N3241="","",INDEX(LdBDate,$N3241))</f>
        <v/>
      </c>
      <c r="C3241" s="14">
        <f>IF($N3241="","",IF(INDEX(LdBId,$N3241)="","—",INDEX(LdBId,$N3241)))</f>
        <v/>
      </c>
      <c r="D3241" s="14">
        <f>IF($N3241="","",INDEX(LdBMember,$N3241))</f>
        <v/>
      </c>
      <c r="E3241" s="14">
        <f>IF($N3241="","",IFERROR(IF(VLOOKUP(INDEX(LdBMember,$N3241),AcctTblE,4,0)="","(بدون نام)",VLOOKUP(INDEX(LdBMember,$N3241),AcctTblE,4,0)),"—"))</f>
        <v/>
      </c>
      <c r="F3241" s="16">
        <f>IF($N3241="","",IF(INDEX(LdBAmt,$N3241)=0,"",INDEX(LdBAmt,$N3241)))</f>
        <v/>
      </c>
      <c r="G3241" s="30">
        <f>IF($N3241="","",IF(INDEX(LdBNote,$N3241)="","—",INDEX(LdBNote,$N3241)))</f>
        <v/>
      </c>
      <c r="N3241">
        <f>IFERROR(MATCH($C$5&amp;"|"&amp;RIGHT("000000"&amp;1221,6),LdBKeyG,0),"")</f>
        <v/>
      </c>
    </row>
    <row r="3242">
      <c r="A3242" s="19" t="n">
        <v>1222</v>
      </c>
      <c r="B3242" s="20">
        <f>IF($N3242="","",INDEX(LdBDate,$N3242))</f>
        <v/>
      </c>
      <c r="C3242" s="20">
        <f>IF($N3242="","",IF(INDEX(LdBId,$N3242)="","—",INDEX(LdBId,$N3242)))</f>
        <v/>
      </c>
      <c r="D3242" s="20">
        <f>IF($N3242="","",INDEX(LdBMember,$N3242))</f>
        <v/>
      </c>
      <c r="E3242" s="20">
        <f>IF($N3242="","",IFERROR(IF(VLOOKUP(INDEX(LdBMember,$N3242),AcctTblE,4,0)="","(بدون نام)",VLOOKUP(INDEX(LdBMember,$N3242),AcctTblE,4,0)),"—"))</f>
        <v/>
      </c>
      <c r="F3242" s="21">
        <f>IF($N3242="","",IF(INDEX(LdBAmt,$N3242)=0,"",INDEX(LdBAmt,$N3242)))</f>
        <v/>
      </c>
      <c r="G3242" s="32">
        <f>IF($N3242="","",IF(INDEX(LdBNote,$N3242)="","—",INDEX(LdBNote,$N3242)))</f>
        <v/>
      </c>
      <c r="N3242">
        <f>IFERROR(MATCH($C$5&amp;"|"&amp;RIGHT("000000"&amp;1222,6),LdBKeyG,0),"")</f>
        <v/>
      </c>
    </row>
    <row r="3243">
      <c r="A3243" s="10" t="n">
        <v>1223</v>
      </c>
      <c r="B3243" s="14">
        <f>IF($N3243="","",INDEX(LdBDate,$N3243))</f>
        <v/>
      </c>
      <c r="C3243" s="14">
        <f>IF($N3243="","",IF(INDEX(LdBId,$N3243)="","—",INDEX(LdBId,$N3243)))</f>
        <v/>
      </c>
      <c r="D3243" s="14">
        <f>IF($N3243="","",INDEX(LdBMember,$N3243))</f>
        <v/>
      </c>
      <c r="E3243" s="14">
        <f>IF($N3243="","",IFERROR(IF(VLOOKUP(INDEX(LdBMember,$N3243),AcctTblE,4,0)="","(بدون نام)",VLOOKUP(INDEX(LdBMember,$N3243),AcctTblE,4,0)),"—"))</f>
        <v/>
      </c>
      <c r="F3243" s="16">
        <f>IF($N3243="","",IF(INDEX(LdBAmt,$N3243)=0,"",INDEX(LdBAmt,$N3243)))</f>
        <v/>
      </c>
      <c r="G3243" s="30">
        <f>IF($N3243="","",IF(INDEX(LdBNote,$N3243)="","—",INDEX(LdBNote,$N3243)))</f>
        <v/>
      </c>
      <c r="N3243">
        <f>IFERROR(MATCH($C$5&amp;"|"&amp;RIGHT("000000"&amp;1223,6),LdBKeyG,0),"")</f>
        <v/>
      </c>
    </row>
    <row r="3244">
      <c r="A3244" s="19" t="n">
        <v>1224</v>
      </c>
      <c r="B3244" s="20">
        <f>IF($N3244="","",INDEX(LdBDate,$N3244))</f>
        <v/>
      </c>
      <c r="C3244" s="20">
        <f>IF($N3244="","",IF(INDEX(LdBId,$N3244)="","—",INDEX(LdBId,$N3244)))</f>
        <v/>
      </c>
      <c r="D3244" s="20">
        <f>IF($N3244="","",INDEX(LdBMember,$N3244))</f>
        <v/>
      </c>
      <c r="E3244" s="20">
        <f>IF($N3244="","",IFERROR(IF(VLOOKUP(INDEX(LdBMember,$N3244),AcctTblE,4,0)="","(بدون نام)",VLOOKUP(INDEX(LdBMember,$N3244),AcctTblE,4,0)),"—"))</f>
        <v/>
      </c>
      <c r="F3244" s="21">
        <f>IF($N3244="","",IF(INDEX(LdBAmt,$N3244)=0,"",INDEX(LdBAmt,$N3244)))</f>
        <v/>
      </c>
      <c r="G3244" s="32">
        <f>IF($N3244="","",IF(INDEX(LdBNote,$N3244)="","—",INDEX(LdBNote,$N3244)))</f>
        <v/>
      </c>
      <c r="N3244">
        <f>IFERROR(MATCH($C$5&amp;"|"&amp;RIGHT("000000"&amp;1224,6),LdBKeyG,0),"")</f>
        <v/>
      </c>
    </row>
    <row r="3245">
      <c r="A3245" s="10" t="n">
        <v>1225</v>
      </c>
      <c r="B3245" s="14">
        <f>IF($N3245="","",INDEX(LdBDate,$N3245))</f>
        <v/>
      </c>
      <c r="C3245" s="14">
        <f>IF($N3245="","",IF(INDEX(LdBId,$N3245)="","—",INDEX(LdBId,$N3245)))</f>
        <v/>
      </c>
      <c r="D3245" s="14">
        <f>IF($N3245="","",INDEX(LdBMember,$N3245))</f>
        <v/>
      </c>
      <c r="E3245" s="14">
        <f>IF($N3245="","",IFERROR(IF(VLOOKUP(INDEX(LdBMember,$N3245),AcctTblE,4,0)="","(بدون نام)",VLOOKUP(INDEX(LdBMember,$N3245),AcctTblE,4,0)),"—"))</f>
        <v/>
      </c>
      <c r="F3245" s="16">
        <f>IF($N3245="","",IF(INDEX(LdBAmt,$N3245)=0,"",INDEX(LdBAmt,$N3245)))</f>
        <v/>
      </c>
      <c r="G3245" s="30">
        <f>IF($N3245="","",IF(INDEX(LdBNote,$N3245)="","—",INDEX(LdBNote,$N3245)))</f>
        <v/>
      </c>
      <c r="N3245">
        <f>IFERROR(MATCH($C$5&amp;"|"&amp;RIGHT("000000"&amp;1225,6),LdBKeyG,0),"")</f>
        <v/>
      </c>
    </row>
    <row r="3246">
      <c r="A3246" s="19" t="n">
        <v>1226</v>
      </c>
      <c r="B3246" s="20">
        <f>IF($N3246="","",INDEX(LdBDate,$N3246))</f>
        <v/>
      </c>
      <c r="C3246" s="20">
        <f>IF($N3246="","",IF(INDEX(LdBId,$N3246)="","—",INDEX(LdBId,$N3246)))</f>
        <v/>
      </c>
      <c r="D3246" s="20">
        <f>IF($N3246="","",INDEX(LdBMember,$N3246))</f>
        <v/>
      </c>
      <c r="E3246" s="20">
        <f>IF($N3246="","",IFERROR(IF(VLOOKUP(INDEX(LdBMember,$N3246),AcctTblE,4,0)="","(بدون نام)",VLOOKUP(INDEX(LdBMember,$N3246),AcctTblE,4,0)),"—"))</f>
        <v/>
      </c>
      <c r="F3246" s="21">
        <f>IF($N3246="","",IF(INDEX(LdBAmt,$N3246)=0,"",INDEX(LdBAmt,$N3246)))</f>
        <v/>
      </c>
      <c r="G3246" s="32">
        <f>IF($N3246="","",IF(INDEX(LdBNote,$N3246)="","—",INDEX(LdBNote,$N3246)))</f>
        <v/>
      </c>
      <c r="N3246">
        <f>IFERROR(MATCH($C$5&amp;"|"&amp;RIGHT("000000"&amp;1226,6),LdBKeyG,0),"")</f>
        <v/>
      </c>
    </row>
    <row r="3247">
      <c r="A3247" s="10" t="n">
        <v>1227</v>
      </c>
      <c r="B3247" s="14">
        <f>IF($N3247="","",INDEX(LdBDate,$N3247))</f>
        <v/>
      </c>
      <c r="C3247" s="14">
        <f>IF($N3247="","",IF(INDEX(LdBId,$N3247)="","—",INDEX(LdBId,$N3247)))</f>
        <v/>
      </c>
      <c r="D3247" s="14">
        <f>IF($N3247="","",INDEX(LdBMember,$N3247))</f>
        <v/>
      </c>
      <c r="E3247" s="14">
        <f>IF($N3247="","",IFERROR(IF(VLOOKUP(INDEX(LdBMember,$N3247),AcctTblE,4,0)="","(بدون نام)",VLOOKUP(INDEX(LdBMember,$N3247),AcctTblE,4,0)),"—"))</f>
        <v/>
      </c>
      <c r="F3247" s="16">
        <f>IF($N3247="","",IF(INDEX(LdBAmt,$N3247)=0,"",INDEX(LdBAmt,$N3247)))</f>
        <v/>
      </c>
      <c r="G3247" s="30">
        <f>IF($N3247="","",IF(INDEX(LdBNote,$N3247)="","—",INDEX(LdBNote,$N3247)))</f>
        <v/>
      </c>
      <c r="N3247">
        <f>IFERROR(MATCH($C$5&amp;"|"&amp;RIGHT("000000"&amp;1227,6),LdBKeyG,0),"")</f>
        <v/>
      </c>
    </row>
    <row r="3248">
      <c r="A3248" s="19" t="n">
        <v>1228</v>
      </c>
      <c r="B3248" s="20">
        <f>IF($N3248="","",INDEX(LdBDate,$N3248))</f>
        <v/>
      </c>
      <c r="C3248" s="20">
        <f>IF($N3248="","",IF(INDEX(LdBId,$N3248)="","—",INDEX(LdBId,$N3248)))</f>
        <v/>
      </c>
      <c r="D3248" s="20">
        <f>IF($N3248="","",INDEX(LdBMember,$N3248))</f>
        <v/>
      </c>
      <c r="E3248" s="20">
        <f>IF($N3248="","",IFERROR(IF(VLOOKUP(INDEX(LdBMember,$N3248),AcctTblE,4,0)="","(بدون نام)",VLOOKUP(INDEX(LdBMember,$N3248),AcctTblE,4,0)),"—"))</f>
        <v/>
      </c>
      <c r="F3248" s="21">
        <f>IF($N3248="","",IF(INDEX(LdBAmt,$N3248)=0,"",INDEX(LdBAmt,$N3248)))</f>
        <v/>
      </c>
      <c r="G3248" s="32">
        <f>IF($N3248="","",IF(INDEX(LdBNote,$N3248)="","—",INDEX(LdBNote,$N3248)))</f>
        <v/>
      </c>
      <c r="N3248">
        <f>IFERROR(MATCH($C$5&amp;"|"&amp;RIGHT("000000"&amp;1228,6),LdBKeyG,0),"")</f>
        <v/>
      </c>
    </row>
    <row r="3249">
      <c r="A3249" s="10" t="n">
        <v>1229</v>
      </c>
      <c r="B3249" s="14">
        <f>IF($N3249="","",INDEX(LdBDate,$N3249))</f>
        <v/>
      </c>
      <c r="C3249" s="14">
        <f>IF($N3249="","",IF(INDEX(LdBId,$N3249)="","—",INDEX(LdBId,$N3249)))</f>
        <v/>
      </c>
      <c r="D3249" s="14">
        <f>IF($N3249="","",INDEX(LdBMember,$N3249))</f>
        <v/>
      </c>
      <c r="E3249" s="14">
        <f>IF($N3249="","",IFERROR(IF(VLOOKUP(INDEX(LdBMember,$N3249),AcctTblE,4,0)="","(بدون نام)",VLOOKUP(INDEX(LdBMember,$N3249),AcctTblE,4,0)),"—"))</f>
        <v/>
      </c>
      <c r="F3249" s="16">
        <f>IF($N3249="","",IF(INDEX(LdBAmt,$N3249)=0,"",INDEX(LdBAmt,$N3249)))</f>
        <v/>
      </c>
      <c r="G3249" s="30">
        <f>IF($N3249="","",IF(INDEX(LdBNote,$N3249)="","—",INDEX(LdBNote,$N3249)))</f>
        <v/>
      </c>
      <c r="N3249">
        <f>IFERROR(MATCH($C$5&amp;"|"&amp;RIGHT("000000"&amp;1229,6),LdBKeyG,0),"")</f>
        <v/>
      </c>
    </row>
    <row r="3250">
      <c r="A3250" s="19" t="n">
        <v>1230</v>
      </c>
      <c r="B3250" s="20">
        <f>IF($N3250="","",INDEX(LdBDate,$N3250))</f>
        <v/>
      </c>
      <c r="C3250" s="20">
        <f>IF($N3250="","",IF(INDEX(LdBId,$N3250)="","—",INDEX(LdBId,$N3250)))</f>
        <v/>
      </c>
      <c r="D3250" s="20">
        <f>IF($N3250="","",INDEX(LdBMember,$N3250))</f>
        <v/>
      </c>
      <c r="E3250" s="20">
        <f>IF($N3250="","",IFERROR(IF(VLOOKUP(INDEX(LdBMember,$N3250),AcctTblE,4,0)="","(بدون نام)",VLOOKUP(INDEX(LdBMember,$N3250),AcctTblE,4,0)),"—"))</f>
        <v/>
      </c>
      <c r="F3250" s="21">
        <f>IF($N3250="","",IF(INDEX(LdBAmt,$N3250)=0,"",INDEX(LdBAmt,$N3250)))</f>
        <v/>
      </c>
      <c r="G3250" s="32">
        <f>IF($N3250="","",IF(INDEX(LdBNote,$N3250)="","—",INDEX(LdBNote,$N3250)))</f>
        <v/>
      </c>
      <c r="N3250">
        <f>IFERROR(MATCH($C$5&amp;"|"&amp;RIGHT("000000"&amp;1230,6),LdBKeyG,0),"")</f>
        <v/>
      </c>
    </row>
    <row r="3251">
      <c r="A3251" s="10" t="n">
        <v>1231</v>
      </c>
      <c r="B3251" s="14">
        <f>IF($N3251="","",INDEX(LdBDate,$N3251))</f>
        <v/>
      </c>
      <c r="C3251" s="14">
        <f>IF($N3251="","",IF(INDEX(LdBId,$N3251)="","—",INDEX(LdBId,$N3251)))</f>
        <v/>
      </c>
      <c r="D3251" s="14">
        <f>IF($N3251="","",INDEX(LdBMember,$N3251))</f>
        <v/>
      </c>
      <c r="E3251" s="14">
        <f>IF($N3251="","",IFERROR(IF(VLOOKUP(INDEX(LdBMember,$N3251),AcctTblE,4,0)="","(بدون نام)",VLOOKUP(INDEX(LdBMember,$N3251),AcctTblE,4,0)),"—"))</f>
        <v/>
      </c>
      <c r="F3251" s="16">
        <f>IF($N3251="","",IF(INDEX(LdBAmt,$N3251)=0,"",INDEX(LdBAmt,$N3251)))</f>
        <v/>
      </c>
      <c r="G3251" s="30">
        <f>IF($N3251="","",IF(INDEX(LdBNote,$N3251)="","—",INDEX(LdBNote,$N3251)))</f>
        <v/>
      </c>
      <c r="N3251">
        <f>IFERROR(MATCH($C$5&amp;"|"&amp;RIGHT("000000"&amp;1231,6),LdBKeyG,0),"")</f>
        <v/>
      </c>
    </row>
    <row r="3252">
      <c r="A3252" s="19" t="n">
        <v>1232</v>
      </c>
      <c r="B3252" s="20">
        <f>IF($N3252="","",INDEX(LdBDate,$N3252))</f>
        <v/>
      </c>
      <c r="C3252" s="20">
        <f>IF($N3252="","",IF(INDEX(LdBId,$N3252)="","—",INDEX(LdBId,$N3252)))</f>
        <v/>
      </c>
      <c r="D3252" s="20">
        <f>IF($N3252="","",INDEX(LdBMember,$N3252))</f>
        <v/>
      </c>
      <c r="E3252" s="20">
        <f>IF($N3252="","",IFERROR(IF(VLOOKUP(INDEX(LdBMember,$N3252),AcctTblE,4,0)="","(بدون نام)",VLOOKUP(INDEX(LdBMember,$N3252),AcctTblE,4,0)),"—"))</f>
        <v/>
      </c>
      <c r="F3252" s="21">
        <f>IF($N3252="","",IF(INDEX(LdBAmt,$N3252)=0,"",INDEX(LdBAmt,$N3252)))</f>
        <v/>
      </c>
      <c r="G3252" s="32">
        <f>IF($N3252="","",IF(INDEX(LdBNote,$N3252)="","—",INDEX(LdBNote,$N3252)))</f>
        <v/>
      </c>
      <c r="N3252">
        <f>IFERROR(MATCH($C$5&amp;"|"&amp;RIGHT("000000"&amp;1232,6),LdBKeyG,0),"")</f>
        <v/>
      </c>
    </row>
    <row r="3253">
      <c r="A3253" s="10" t="n">
        <v>1233</v>
      </c>
      <c r="B3253" s="14">
        <f>IF($N3253="","",INDEX(LdBDate,$N3253))</f>
        <v/>
      </c>
      <c r="C3253" s="14">
        <f>IF($N3253="","",IF(INDEX(LdBId,$N3253)="","—",INDEX(LdBId,$N3253)))</f>
        <v/>
      </c>
      <c r="D3253" s="14">
        <f>IF($N3253="","",INDEX(LdBMember,$N3253))</f>
        <v/>
      </c>
      <c r="E3253" s="14">
        <f>IF($N3253="","",IFERROR(IF(VLOOKUP(INDEX(LdBMember,$N3253),AcctTblE,4,0)="","(بدون نام)",VLOOKUP(INDEX(LdBMember,$N3253),AcctTblE,4,0)),"—"))</f>
        <v/>
      </c>
      <c r="F3253" s="16">
        <f>IF($N3253="","",IF(INDEX(LdBAmt,$N3253)=0,"",INDEX(LdBAmt,$N3253)))</f>
        <v/>
      </c>
      <c r="G3253" s="30">
        <f>IF($N3253="","",IF(INDEX(LdBNote,$N3253)="","—",INDEX(LdBNote,$N3253)))</f>
        <v/>
      </c>
      <c r="N3253">
        <f>IFERROR(MATCH($C$5&amp;"|"&amp;RIGHT("000000"&amp;1233,6),LdBKeyG,0),"")</f>
        <v/>
      </c>
    </row>
    <row r="3254">
      <c r="A3254" s="19" t="n">
        <v>1234</v>
      </c>
      <c r="B3254" s="20">
        <f>IF($N3254="","",INDEX(LdBDate,$N3254))</f>
        <v/>
      </c>
      <c r="C3254" s="20">
        <f>IF($N3254="","",IF(INDEX(LdBId,$N3254)="","—",INDEX(LdBId,$N3254)))</f>
        <v/>
      </c>
      <c r="D3254" s="20">
        <f>IF($N3254="","",INDEX(LdBMember,$N3254))</f>
        <v/>
      </c>
      <c r="E3254" s="20">
        <f>IF($N3254="","",IFERROR(IF(VLOOKUP(INDEX(LdBMember,$N3254),AcctTblE,4,0)="","(بدون نام)",VLOOKUP(INDEX(LdBMember,$N3254),AcctTblE,4,0)),"—"))</f>
        <v/>
      </c>
      <c r="F3254" s="21">
        <f>IF($N3254="","",IF(INDEX(LdBAmt,$N3254)=0,"",INDEX(LdBAmt,$N3254)))</f>
        <v/>
      </c>
      <c r="G3254" s="32">
        <f>IF($N3254="","",IF(INDEX(LdBNote,$N3254)="","—",INDEX(LdBNote,$N3254)))</f>
        <v/>
      </c>
      <c r="N3254">
        <f>IFERROR(MATCH($C$5&amp;"|"&amp;RIGHT("000000"&amp;1234,6),LdBKeyG,0),"")</f>
        <v/>
      </c>
    </row>
    <row r="3255">
      <c r="A3255" s="10" t="n">
        <v>1235</v>
      </c>
      <c r="B3255" s="14">
        <f>IF($N3255="","",INDEX(LdBDate,$N3255))</f>
        <v/>
      </c>
      <c r="C3255" s="14">
        <f>IF($N3255="","",IF(INDEX(LdBId,$N3255)="","—",INDEX(LdBId,$N3255)))</f>
        <v/>
      </c>
      <c r="D3255" s="14">
        <f>IF($N3255="","",INDEX(LdBMember,$N3255))</f>
        <v/>
      </c>
      <c r="E3255" s="14">
        <f>IF($N3255="","",IFERROR(IF(VLOOKUP(INDEX(LdBMember,$N3255),AcctTblE,4,0)="","(بدون نام)",VLOOKUP(INDEX(LdBMember,$N3255),AcctTblE,4,0)),"—"))</f>
        <v/>
      </c>
      <c r="F3255" s="16">
        <f>IF($N3255="","",IF(INDEX(LdBAmt,$N3255)=0,"",INDEX(LdBAmt,$N3255)))</f>
        <v/>
      </c>
      <c r="G3255" s="30">
        <f>IF($N3255="","",IF(INDEX(LdBNote,$N3255)="","—",INDEX(LdBNote,$N3255)))</f>
        <v/>
      </c>
      <c r="N3255">
        <f>IFERROR(MATCH($C$5&amp;"|"&amp;RIGHT("000000"&amp;1235,6),LdBKeyG,0),"")</f>
        <v/>
      </c>
    </row>
    <row r="3256">
      <c r="A3256" s="19" t="n">
        <v>1236</v>
      </c>
      <c r="B3256" s="20">
        <f>IF($N3256="","",INDEX(LdBDate,$N3256))</f>
        <v/>
      </c>
      <c r="C3256" s="20">
        <f>IF($N3256="","",IF(INDEX(LdBId,$N3256)="","—",INDEX(LdBId,$N3256)))</f>
        <v/>
      </c>
      <c r="D3256" s="20">
        <f>IF($N3256="","",INDEX(LdBMember,$N3256))</f>
        <v/>
      </c>
      <c r="E3256" s="20">
        <f>IF($N3256="","",IFERROR(IF(VLOOKUP(INDEX(LdBMember,$N3256),AcctTblE,4,0)="","(بدون نام)",VLOOKUP(INDEX(LdBMember,$N3256),AcctTblE,4,0)),"—"))</f>
        <v/>
      </c>
      <c r="F3256" s="21">
        <f>IF($N3256="","",IF(INDEX(LdBAmt,$N3256)=0,"",INDEX(LdBAmt,$N3256)))</f>
        <v/>
      </c>
      <c r="G3256" s="32">
        <f>IF($N3256="","",IF(INDEX(LdBNote,$N3256)="","—",INDEX(LdBNote,$N3256)))</f>
        <v/>
      </c>
      <c r="N3256">
        <f>IFERROR(MATCH($C$5&amp;"|"&amp;RIGHT("000000"&amp;1236,6),LdBKeyG,0),"")</f>
        <v/>
      </c>
    </row>
    <row r="3257">
      <c r="A3257" s="10" t="n">
        <v>1237</v>
      </c>
      <c r="B3257" s="14">
        <f>IF($N3257="","",INDEX(LdBDate,$N3257))</f>
        <v/>
      </c>
      <c r="C3257" s="14">
        <f>IF($N3257="","",IF(INDEX(LdBId,$N3257)="","—",INDEX(LdBId,$N3257)))</f>
        <v/>
      </c>
      <c r="D3257" s="14">
        <f>IF($N3257="","",INDEX(LdBMember,$N3257))</f>
        <v/>
      </c>
      <c r="E3257" s="14">
        <f>IF($N3257="","",IFERROR(IF(VLOOKUP(INDEX(LdBMember,$N3257),AcctTblE,4,0)="","(بدون نام)",VLOOKUP(INDEX(LdBMember,$N3257),AcctTblE,4,0)),"—"))</f>
        <v/>
      </c>
      <c r="F3257" s="16">
        <f>IF($N3257="","",IF(INDEX(LdBAmt,$N3257)=0,"",INDEX(LdBAmt,$N3257)))</f>
        <v/>
      </c>
      <c r="G3257" s="30">
        <f>IF($N3257="","",IF(INDEX(LdBNote,$N3257)="","—",INDEX(LdBNote,$N3257)))</f>
        <v/>
      </c>
      <c r="N3257">
        <f>IFERROR(MATCH($C$5&amp;"|"&amp;RIGHT("000000"&amp;1237,6),LdBKeyG,0),"")</f>
        <v/>
      </c>
    </row>
    <row r="3258">
      <c r="A3258" s="19" t="n">
        <v>1238</v>
      </c>
      <c r="B3258" s="20">
        <f>IF($N3258="","",INDEX(LdBDate,$N3258))</f>
        <v/>
      </c>
      <c r="C3258" s="20">
        <f>IF($N3258="","",IF(INDEX(LdBId,$N3258)="","—",INDEX(LdBId,$N3258)))</f>
        <v/>
      </c>
      <c r="D3258" s="20">
        <f>IF($N3258="","",INDEX(LdBMember,$N3258))</f>
        <v/>
      </c>
      <c r="E3258" s="20">
        <f>IF($N3258="","",IFERROR(IF(VLOOKUP(INDEX(LdBMember,$N3258),AcctTblE,4,0)="","(بدون نام)",VLOOKUP(INDEX(LdBMember,$N3258),AcctTblE,4,0)),"—"))</f>
        <v/>
      </c>
      <c r="F3258" s="21">
        <f>IF($N3258="","",IF(INDEX(LdBAmt,$N3258)=0,"",INDEX(LdBAmt,$N3258)))</f>
        <v/>
      </c>
      <c r="G3258" s="32">
        <f>IF($N3258="","",IF(INDEX(LdBNote,$N3258)="","—",INDEX(LdBNote,$N3258)))</f>
        <v/>
      </c>
      <c r="N3258">
        <f>IFERROR(MATCH($C$5&amp;"|"&amp;RIGHT("000000"&amp;1238,6),LdBKeyG,0),"")</f>
        <v/>
      </c>
    </row>
    <row r="3259">
      <c r="A3259" s="10" t="n">
        <v>1239</v>
      </c>
      <c r="B3259" s="14">
        <f>IF($N3259="","",INDEX(LdBDate,$N3259))</f>
        <v/>
      </c>
      <c r="C3259" s="14">
        <f>IF($N3259="","",IF(INDEX(LdBId,$N3259)="","—",INDEX(LdBId,$N3259)))</f>
        <v/>
      </c>
      <c r="D3259" s="14">
        <f>IF($N3259="","",INDEX(LdBMember,$N3259))</f>
        <v/>
      </c>
      <c r="E3259" s="14">
        <f>IF($N3259="","",IFERROR(IF(VLOOKUP(INDEX(LdBMember,$N3259),AcctTblE,4,0)="","(بدون نام)",VLOOKUP(INDEX(LdBMember,$N3259),AcctTblE,4,0)),"—"))</f>
        <v/>
      </c>
      <c r="F3259" s="16">
        <f>IF($N3259="","",IF(INDEX(LdBAmt,$N3259)=0,"",INDEX(LdBAmt,$N3259)))</f>
        <v/>
      </c>
      <c r="G3259" s="30">
        <f>IF($N3259="","",IF(INDEX(LdBNote,$N3259)="","—",INDEX(LdBNote,$N3259)))</f>
        <v/>
      </c>
      <c r="N3259">
        <f>IFERROR(MATCH($C$5&amp;"|"&amp;RIGHT("000000"&amp;1239,6),LdBKeyG,0),"")</f>
        <v/>
      </c>
    </row>
    <row r="3260">
      <c r="A3260" s="19" t="n">
        <v>1240</v>
      </c>
      <c r="B3260" s="20">
        <f>IF($N3260="","",INDEX(LdBDate,$N3260))</f>
        <v/>
      </c>
      <c r="C3260" s="20">
        <f>IF($N3260="","",IF(INDEX(LdBId,$N3260)="","—",INDEX(LdBId,$N3260)))</f>
        <v/>
      </c>
      <c r="D3260" s="20">
        <f>IF($N3260="","",INDEX(LdBMember,$N3260))</f>
        <v/>
      </c>
      <c r="E3260" s="20">
        <f>IF($N3260="","",IFERROR(IF(VLOOKUP(INDEX(LdBMember,$N3260),AcctTblE,4,0)="","(بدون نام)",VLOOKUP(INDEX(LdBMember,$N3260),AcctTblE,4,0)),"—"))</f>
        <v/>
      </c>
      <c r="F3260" s="21">
        <f>IF($N3260="","",IF(INDEX(LdBAmt,$N3260)=0,"",INDEX(LdBAmt,$N3260)))</f>
        <v/>
      </c>
      <c r="G3260" s="32">
        <f>IF($N3260="","",IF(INDEX(LdBNote,$N3260)="","—",INDEX(LdBNote,$N3260)))</f>
        <v/>
      </c>
      <c r="N3260">
        <f>IFERROR(MATCH($C$5&amp;"|"&amp;RIGHT("000000"&amp;1240,6),LdBKeyG,0),"")</f>
        <v/>
      </c>
    </row>
    <row r="3261">
      <c r="A3261" s="10" t="n">
        <v>1241</v>
      </c>
      <c r="B3261" s="14">
        <f>IF($N3261="","",INDEX(LdBDate,$N3261))</f>
        <v/>
      </c>
      <c r="C3261" s="14">
        <f>IF($N3261="","",IF(INDEX(LdBId,$N3261)="","—",INDEX(LdBId,$N3261)))</f>
        <v/>
      </c>
      <c r="D3261" s="14">
        <f>IF($N3261="","",INDEX(LdBMember,$N3261))</f>
        <v/>
      </c>
      <c r="E3261" s="14">
        <f>IF($N3261="","",IFERROR(IF(VLOOKUP(INDEX(LdBMember,$N3261),AcctTblE,4,0)="","(بدون نام)",VLOOKUP(INDEX(LdBMember,$N3261),AcctTblE,4,0)),"—"))</f>
        <v/>
      </c>
      <c r="F3261" s="16">
        <f>IF($N3261="","",IF(INDEX(LdBAmt,$N3261)=0,"",INDEX(LdBAmt,$N3261)))</f>
        <v/>
      </c>
      <c r="G3261" s="30">
        <f>IF($N3261="","",IF(INDEX(LdBNote,$N3261)="","—",INDEX(LdBNote,$N3261)))</f>
        <v/>
      </c>
      <c r="N3261">
        <f>IFERROR(MATCH($C$5&amp;"|"&amp;RIGHT("000000"&amp;1241,6),LdBKeyG,0),"")</f>
        <v/>
      </c>
    </row>
    <row r="3262">
      <c r="A3262" s="19" t="n">
        <v>1242</v>
      </c>
      <c r="B3262" s="20">
        <f>IF($N3262="","",INDEX(LdBDate,$N3262))</f>
        <v/>
      </c>
      <c r="C3262" s="20">
        <f>IF($N3262="","",IF(INDEX(LdBId,$N3262)="","—",INDEX(LdBId,$N3262)))</f>
        <v/>
      </c>
      <c r="D3262" s="20">
        <f>IF($N3262="","",INDEX(LdBMember,$N3262))</f>
        <v/>
      </c>
      <c r="E3262" s="20">
        <f>IF($N3262="","",IFERROR(IF(VLOOKUP(INDEX(LdBMember,$N3262),AcctTblE,4,0)="","(بدون نام)",VLOOKUP(INDEX(LdBMember,$N3262),AcctTblE,4,0)),"—"))</f>
        <v/>
      </c>
      <c r="F3262" s="21">
        <f>IF($N3262="","",IF(INDEX(LdBAmt,$N3262)=0,"",INDEX(LdBAmt,$N3262)))</f>
        <v/>
      </c>
      <c r="G3262" s="32">
        <f>IF($N3262="","",IF(INDEX(LdBNote,$N3262)="","—",INDEX(LdBNote,$N3262)))</f>
        <v/>
      </c>
      <c r="N3262">
        <f>IFERROR(MATCH($C$5&amp;"|"&amp;RIGHT("000000"&amp;1242,6),LdBKeyG,0),"")</f>
        <v/>
      </c>
    </row>
    <row r="3263">
      <c r="A3263" s="10" t="n">
        <v>1243</v>
      </c>
      <c r="B3263" s="14">
        <f>IF($N3263="","",INDEX(LdBDate,$N3263))</f>
        <v/>
      </c>
      <c r="C3263" s="14">
        <f>IF($N3263="","",IF(INDEX(LdBId,$N3263)="","—",INDEX(LdBId,$N3263)))</f>
        <v/>
      </c>
      <c r="D3263" s="14">
        <f>IF($N3263="","",INDEX(LdBMember,$N3263))</f>
        <v/>
      </c>
      <c r="E3263" s="14">
        <f>IF($N3263="","",IFERROR(IF(VLOOKUP(INDEX(LdBMember,$N3263),AcctTblE,4,0)="","(بدون نام)",VLOOKUP(INDEX(LdBMember,$N3263),AcctTblE,4,0)),"—"))</f>
        <v/>
      </c>
      <c r="F3263" s="16">
        <f>IF($N3263="","",IF(INDEX(LdBAmt,$N3263)=0,"",INDEX(LdBAmt,$N3263)))</f>
        <v/>
      </c>
      <c r="G3263" s="30">
        <f>IF($N3263="","",IF(INDEX(LdBNote,$N3263)="","—",INDEX(LdBNote,$N3263)))</f>
        <v/>
      </c>
      <c r="N3263">
        <f>IFERROR(MATCH($C$5&amp;"|"&amp;RIGHT("000000"&amp;1243,6),LdBKeyG,0),"")</f>
        <v/>
      </c>
    </row>
    <row r="3264">
      <c r="A3264" s="19" t="n">
        <v>1244</v>
      </c>
      <c r="B3264" s="20">
        <f>IF($N3264="","",INDEX(LdBDate,$N3264))</f>
        <v/>
      </c>
      <c r="C3264" s="20">
        <f>IF($N3264="","",IF(INDEX(LdBId,$N3264)="","—",INDEX(LdBId,$N3264)))</f>
        <v/>
      </c>
      <c r="D3264" s="20">
        <f>IF($N3264="","",INDEX(LdBMember,$N3264))</f>
        <v/>
      </c>
      <c r="E3264" s="20">
        <f>IF($N3264="","",IFERROR(IF(VLOOKUP(INDEX(LdBMember,$N3264),AcctTblE,4,0)="","(بدون نام)",VLOOKUP(INDEX(LdBMember,$N3264),AcctTblE,4,0)),"—"))</f>
        <v/>
      </c>
      <c r="F3264" s="21">
        <f>IF($N3264="","",IF(INDEX(LdBAmt,$N3264)=0,"",INDEX(LdBAmt,$N3264)))</f>
        <v/>
      </c>
      <c r="G3264" s="32">
        <f>IF($N3264="","",IF(INDEX(LdBNote,$N3264)="","—",INDEX(LdBNote,$N3264)))</f>
        <v/>
      </c>
      <c r="N3264">
        <f>IFERROR(MATCH($C$5&amp;"|"&amp;RIGHT("000000"&amp;1244,6),LdBKeyG,0),"")</f>
        <v/>
      </c>
    </row>
    <row r="3265">
      <c r="A3265" s="10" t="n">
        <v>1245</v>
      </c>
      <c r="B3265" s="14">
        <f>IF($N3265="","",INDEX(LdBDate,$N3265))</f>
        <v/>
      </c>
      <c r="C3265" s="14">
        <f>IF($N3265="","",IF(INDEX(LdBId,$N3265)="","—",INDEX(LdBId,$N3265)))</f>
        <v/>
      </c>
      <c r="D3265" s="14">
        <f>IF($N3265="","",INDEX(LdBMember,$N3265))</f>
        <v/>
      </c>
      <c r="E3265" s="14">
        <f>IF($N3265="","",IFERROR(IF(VLOOKUP(INDEX(LdBMember,$N3265),AcctTblE,4,0)="","(بدون نام)",VLOOKUP(INDEX(LdBMember,$N3265),AcctTblE,4,0)),"—"))</f>
        <v/>
      </c>
      <c r="F3265" s="16">
        <f>IF($N3265="","",IF(INDEX(LdBAmt,$N3265)=0,"",INDEX(LdBAmt,$N3265)))</f>
        <v/>
      </c>
      <c r="G3265" s="30">
        <f>IF($N3265="","",IF(INDEX(LdBNote,$N3265)="","—",INDEX(LdBNote,$N3265)))</f>
        <v/>
      </c>
      <c r="N3265">
        <f>IFERROR(MATCH($C$5&amp;"|"&amp;RIGHT("000000"&amp;1245,6),LdBKeyG,0),"")</f>
        <v/>
      </c>
    </row>
    <row r="3266">
      <c r="A3266" s="19" t="n">
        <v>1246</v>
      </c>
      <c r="B3266" s="20">
        <f>IF($N3266="","",INDEX(LdBDate,$N3266))</f>
        <v/>
      </c>
      <c r="C3266" s="20">
        <f>IF($N3266="","",IF(INDEX(LdBId,$N3266)="","—",INDEX(LdBId,$N3266)))</f>
        <v/>
      </c>
      <c r="D3266" s="20">
        <f>IF($N3266="","",INDEX(LdBMember,$N3266))</f>
        <v/>
      </c>
      <c r="E3266" s="20">
        <f>IF($N3266="","",IFERROR(IF(VLOOKUP(INDEX(LdBMember,$N3266),AcctTblE,4,0)="","(بدون نام)",VLOOKUP(INDEX(LdBMember,$N3266),AcctTblE,4,0)),"—"))</f>
        <v/>
      </c>
      <c r="F3266" s="21">
        <f>IF($N3266="","",IF(INDEX(LdBAmt,$N3266)=0,"",INDEX(LdBAmt,$N3266)))</f>
        <v/>
      </c>
      <c r="G3266" s="32">
        <f>IF($N3266="","",IF(INDEX(LdBNote,$N3266)="","—",INDEX(LdBNote,$N3266)))</f>
        <v/>
      </c>
      <c r="N3266">
        <f>IFERROR(MATCH($C$5&amp;"|"&amp;RIGHT("000000"&amp;1246,6),LdBKeyG,0),"")</f>
        <v/>
      </c>
    </row>
    <row r="3267">
      <c r="A3267" s="10" t="n">
        <v>1247</v>
      </c>
      <c r="B3267" s="14">
        <f>IF($N3267="","",INDEX(LdBDate,$N3267))</f>
        <v/>
      </c>
      <c r="C3267" s="14">
        <f>IF($N3267="","",IF(INDEX(LdBId,$N3267)="","—",INDEX(LdBId,$N3267)))</f>
        <v/>
      </c>
      <c r="D3267" s="14">
        <f>IF($N3267="","",INDEX(LdBMember,$N3267))</f>
        <v/>
      </c>
      <c r="E3267" s="14">
        <f>IF($N3267="","",IFERROR(IF(VLOOKUP(INDEX(LdBMember,$N3267),AcctTblE,4,0)="","(بدون نام)",VLOOKUP(INDEX(LdBMember,$N3267),AcctTblE,4,0)),"—"))</f>
        <v/>
      </c>
      <c r="F3267" s="16">
        <f>IF($N3267="","",IF(INDEX(LdBAmt,$N3267)=0,"",INDEX(LdBAmt,$N3267)))</f>
        <v/>
      </c>
      <c r="G3267" s="30">
        <f>IF($N3267="","",IF(INDEX(LdBNote,$N3267)="","—",INDEX(LdBNote,$N3267)))</f>
        <v/>
      </c>
      <c r="N3267">
        <f>IFERROR(MATCH($C$5&amp;"|"&amp;RIGHT("000000"&amp;1247,6),LdBKeyG,0),"")</f>
        <v/>
      </c>
    </row>
    <row r="3268">
      <c r="A3268" s="19" t="n">
        <v>1248</v>
      </c>
      <c r="B3268" s="20">
        <f>IF($N3268="","",INDEX(LdBDate,$N3268))</f>
        <v/>
      </c>
      <c r="C3268" s="20">
        <f>IF($N3268="","",IF(INDEX(LdBId,$N3268)="","—",INDEX(LdBId,$N3268)))</f>
        <v/>
      </c>
      <c r="D3268" s="20">
        <f>IF($N3268="","",INDEX(LdBMember,$N3268))</f>
        <v/>
      </c>
      <c r="E3268" s="20">
        <f>IF($N3268="","",IFERROR(IF(VLOOKUP(INDEX(LdBMember,$N3268),AcctTblE,4,0)="","(بدون نام)",VLOOKUP(INDEX(LdBMember,$N3268),AcctTblE,4,0)),"—"))</f>
        <v/>
      </c>
      <c r="F3268" s="21">
        <f>IF($N3268="","",IF(INDEX(LdBAmt,$N3268)=0,"",INDEX(LdBAmt,$N3268)))</f>
        <v/>
      </c>
      <c r="G3268" s="32">
        <f>IF($N3268="","",IF(INDEX(LdBNote,$N3268)="","—",INDEX(LdBNote,$N3268)))</f>
        <v/>
      </c>
      <c r="N3268">
        <f>IFERROR(MATCH($C$5&amp;"|"&amp;RIGHT("000000"&amp;1248,6),LdBKeyG,0),"")</f>
        <v/>
      </c>
    </row>
    <row r="3269">
      <c r="A3269" s="10" t="n">
        <v>1249</v>
      </c>
      <c r="B3269" s="14">
        <f>IF($N3269="","",INDEX(LdBDate,$N3269))</f>
        <v/>
      </c>
      <c r="C3269" s="14">
        <f>IF($N3269="","",IF(INDEX(LdBId,$N3269)="","—",INDEX(LdBId,$N3269)))</f>
        <v/>
      </c>
      <c r="D3269" s="14">
        <f>IF($N3269="","",INDEX(LdBMember,$N3269))</f>
        <v/>
      </c>
      <c r="E3269" s="14">
        <f>IF($N3269="","",IFERROR(IF(VLOOKUP(INDEX(LdBMember,$N3269),AcctTblE,4,0)="","(بدون نام)",VLOOKUP(INDEX(LdBMember,$N3269),AcctTblE,4,0)),"—"))</f>
        <v/>
      </c>
      <c r="F3269" s="16">
        <f>IF($N3269="","",IF(INDEX(LdBAmt,$N3269)=0,"",INDEX(LdBAmt,$N3269)))</f>
        <v/>
      </c>
      <c r="G3269" s="30">
        <f>IF($N3269="","",IF(INDEX(LdBNote,$N3269)="","—",INDEX(LdBNote,$N3269)))</f>
        <v/>
      </c>
      <c r="N3269">
        <f>IFERROR(MATCH($C$5&amp;"|"&amp;RIGHT("000000"&amp;1249,6),LdBKeyG,0),"")</f>
        <v/>
      </c>
    </row>
    <row r="3270">
      <c r="A3270" s="19" t="n">
        <v>1250</v>
      </c>
      <c r="B3270" s="20">
        <f>IF($N3270="","",INDEX(LdBDate,$N3270))</f>
        <v/>
      </c>
      <c r="C3270" s="20">
        <f>IF($N3270="","",IF(INDEX(LdBId,$N3270)="","—",INDEX(LdBId,$N3270)))</f>
        <v/>
      </c>
      <c r="D3270" s="20">
        <f>IF($N3270="","",INDEX(LdBMember,$N3270))</f>
        <v/>
      </c>
      <c r="E3270" s="20">
        <f>IF($N3270="","",IFERROR(IF(VLOOKUP(INDEX(LdBMember,$N3270),AcctTblE,4,0)="","(بدون نام)",VLOOKUP(INDEX(LdBMember,$N3270),AcctTblE,4,0)),"—"))</f>
        <v/>
      </c>
      <c r="F3270" s="21">
        <f>IF($N3270="","",IF(INDEX(LdBAmt,$N3270)=0,"",INDEX(LdBAmt,$N3270)))</f>
        <v/>
      </c>
      <c r="G3270" s="32">
        <f>IF($N3270="","",IF(INDEX(LdBNote,$N3270)="","—",INDEX(LdBNote,$N3270)))</f>
        <v/>
      </c>
      <c r="N3270">
        <f>IFERROR(MATCH($C$5&amp;"|"&amp;RIGHT("000000"&amp;1250,6),LdBKeyG,0),"")</f>
        <v/>
      </c>
    </row>
    <row r="3271">
      <c r="A3271" s="10" t="n">
        <v>1251</v>
      </c>
      <c r="B3271" s="14">
        <f>IF($N3271="","",INDEX(LdBDate,$N3271))</f>
        <v/>
      </c>
      <c r="C3271" s="14">
        <f>IF($N3271="","",IF(INDEX(LdBId,$N3271)="","—",INDEX(LdBId,$N3271)))</f>
        <v/>
      </c>
      <c r="D3271" s="14">
        <f>IF($N3271="","",INDEX(LdBMember,$N3271))</f>
        <v/>
      </c>
      <c r="E3271" s="14">
        <f>IF($N3271="","",IFERROR(IF(VLOOKUP(INDEX(LdBMember,$N3271),AcctTblE,4,0)="","(بدون نام)",VLOOKUP(INDEX(LdBMember,$N3271),AcctTblE,4,0)),"—"))</f>
        <v/>
      </c>
      <c r="F3271" s="16">
        <f>IF($N3271="","",IF(INDEX(LdBAmt,$N3271)=0,"",INDEX(LdBAmt,$N3271)))</f>
        <v/>
      </c>
      <c r="G3271" s="30">
        <f>IF($N3271="","",IF(INDEX(LdBNote,$N3271)="","—",INDEX(LdBNote,$N3271)))</f>
        <v/>
      </c>
      <c r="N3271">
        <f>IFERROR(MATCH($C$5&amp;"|"&amp;RIGHT("000000"&amp;1251,6),LdBKeyG,0),"")</f>
        <v/>
      </c>
    </row>
    <row r="3272">
      <c r="A3272" s="19" t="n">
        <v>1252</v>
      </c>
      <c r="B3272" s="20">
        <f>IF($N3272="","",INDEX(LdBDate,$N3272))</f>
        <v/>
      </c>
      <c r="C3272" s="20">
        <f>IF($N3272="","",IF(INDEX(LdBId,$N3272)="","—",INDEX(LdBId,$N3272)))</f>
        <v/>
      </c>
      <c r="D3272" s="20">
        <f>IF($N3272="","",INDEX(LdBMember,$N3272))</f>
        <v/>
      </c>
      <c r="E3272" s="20">
        <f>IF($N3272="","",IFERROR(IF(VLOOKUP(INDEX(LdBMember,$N3272),AcctTblE,4,0)="","(بدون نام)",VLOOKUP(INDEX(LdBMember,$N3272),AcctTblE,4,0)),"—"))</f>
        <v/>
      </c>
      <c r="F3272" s="21">
        <f>IF($N3272="","",IF(INDEX(LdBAmt,$N3272)=0,"",INDEX(LdBAmt,$N3272)))</f>
        <v/>
      </c>
      <c r="G3272" s="32">
        <f>IF($N3272="","",IF(INDEX(LdBNote,$N3272)="","—",INDEX(LdBNote,$N3272)))</f>
        <v/>
      </c>
      <c r="N3272">
        <f>IFERROR(MATCH($C$5&amp;"|"&amp;RIGHT("000000"&amp;1252,6),LdBKeyG,0),"")</f>
        <v/>
      </c>
    </row>
    <row r="3273">
      <c r="A3273" s="10" t="n">
        <v>1253</v>
      </c>
      <c r="B3273" s="14">
        <f>IF($N3273="","",INDEX(LdBDate,$N3273))</f>
        <v/>
      </c>
      <c r="C3273" s="14">
        <f>IF($N3273="","",IF(INDEX(LdBId,$N3273)="","—",INDEX(LdBId,$N3273)))</f>
        <v/>
      </c>
      <c r="D3273" s="14">
        <f>IF($N3273="","",INDEX(LdBMember,$N3273))</f>
        <v/>
      </c>
      <c r="E3273" s="14">
        <f>IF($N3273="","",IFERROR(IF(VLOOKUP(INDEX(LdBMember,$N3273),AcctTblE,4,0)="","(بدون نام)",VLOOKUP(INDEX(LdBMember,$N3273),AcctTblE,4,0)),"—"))</f>
        <v/>
      </c>
      <c r="F3273" s="16">
        <f>IF($N3273="","",IF(INDEX(LdBAmt,$N3273)=0,"",INDEX(LdBAmt,$N3273)))</f>
        <v/>
      </c>
      <c r="G3273" s="30">
        <f>IF($N3273="","",IF(INDEX(LdBNote,$N3273)="","—",INDEX(LdBNote,$N3273)))</f>
        <v/>
      </c>
      <c r="N3273">
        <f>IFERROR(MATCH($C$5&amp;"|"&amp;RIGHT("000000"&amp;1253,6),LdBKeyG,0),"")</f>
        <v/>
      </c>
    </row>
    <row r="3274">
      <c r="A3274" s="19" t="n">
        <v>1254</v>
      </c>
      <c r="B3274" s="20">
        <f>IF($N3274="","",INDEX(LdBDate,$N3274))</f>
        <v/>
      </c>
      <c r="C3274" s="20">
        <f>IF($N3274="","",IF(INDEX(LdBId,$N3274)="","—",INDEX(LdBId,$N3274)))</f>
        <v/>
      </c>
      <c r="D3274" s="20">
        <f>IF($N3274="","",INDEX(LdBMember,$N3274))</f>
        <v/>
      </c>
      <c r="E3274" s="20">
        <f>IF($N3274="","",IFERROR(IF(VLOOKUP(INDEX(LdBMember,$N3274),AcctTblE,4,0)="","(بدون نام)",VLOOKUP(INDEX(LdBMember,$N3274),AcctTblE,4,0)),"—"))</f>
        <v/>
      </c>
      <c r="F3274" s="21">
        <f>IF($N3274="","",IF(INDEX(LdBAmt,$N3274)=0,"",INDEX(LdBAmt,$N3274)))</f>
        <v/>
      </c>
      <c r="G3274" s="32">
        <f>IF($N3274="","",IF(INDEX(LdBNote,$N3274)="","—",INDEX(LdBNote,$N3274)))</f>
        <v/>
      </c>
      <c r="N3274">
        <f>IFERROR(MATCH($C$5&amp;"|"&amp;RIGHT("000000"&amp;1254,6),LdBKeyG,0),"")</f>
        <v/>
      </c>
    </row>
    <row r="3275">
      <c r="A3275" s="10" t="n">
        <v>1255</v>
      </c>
      <c r="B3275" s="14">
        <f>IF($N3275="","",INDEX(LdBDate,$N3275))</f>
        <v/>
      </c>
      <c r="C3275" s="14">
        <f>IF($N3275="","",IF(INDEX(LdBId,$N3275)="","—",INDEX(LdBId,$N3275)))</f>
        <v/>
      </c>
      <c r="D3275" s="14">
        <f>IF($N3275="","",INDEX(LdBMember,$N3275))</f>
        <v/>
      </c>
      <c r="E3275" s="14">
        <f>IF($N3275="","",IFERROR(IF(VLOOKUP(INDEX(LdBMember,$N3275),AcctTblE,4,0)="","(بدون نام)",VLOOKUP(INDEX(LdBMember,$N3275),AcctTblE,4,0)),"—"))</f>
        <v/>
      </c>
      <c r="F3275" s="16">
        <f>IF($N3275="","",IF(INDEX(LdBAmt,$N3275)=0,"",INDEX(LdBAmt,$N3275)))</f>
        <v/>
      </c>
      <c r="G3275" s="30">
        <f>IF($N3275="","",IF(INDEX(LdBNote,$N3275)="","—",INDEX(LdBNote,$N3275)))</f>
        <v/>
      </c>
      <c r="N3275">
        <f>IFERROR(MATCH($C$5&amp;"|"&amp;RIGHT("000000"&amp;1255,6),LdBKeyG,0),"")</f>
        <v/>
      </c>
    </row>
    <row r="3276">
      <c r="A3276" s="19" t="n">
        <v>1256</v>
      </c>
      <c r="B3276" s="20">
        <f>IF($N3276="","",INDEX(LdBDate,$N3276))</f>
        <v/>
      </c>
      <c r="C3276" s="20">
        <f>IF($N3276="","",IF(INDEX(LdBId,$N3276)="","—",INDEX(LdBId,$N3276)))</f>
        <v/>
      </c>
      <c r="D3276" s="20">
        <f>IF($N3276="","",INDEX(LdBMember,$N3276))</f>
        <v/>
      </c>
      <c r="E3276" s="20">
        <f>IF($N3276="","",IFERROR(IF(VLOOKUP(INDEX(LdBMember,$N3276),AcctTblE,4,0)="","(بدون نام)",VLOOKUP(INDEX(LdBMember,$N3276),AcctTblE,4,0)),"—"))</f>
        <v/>
      </c>
      <c r="F3276" s="21">
        <f>IF($N3276="","",IF(INDEX(LdBAmt,$N3276)=0,"",INDEX(LdBAmt,$N3276)))</f>
        <v/>
      </c>
      <c r="G3276" s="32">
        <f>IF($N3276="","",IF(INDEX(LdBNote,$N3276)="","—",INDEX(LdBNote,$N3276)))</f>
        <v/>
      </c>
      <c r="N3276">
        <f>IFERROR(MATCH($C$5&amp;"|"&amp;RIGHT("000000"&amp;1256,6),LdBKeyG,0),"")</f>
        <v/>
      </c>
    </row>
    <row r="3277">
      <c r="A3277" s="10" t="n">
        <v>1257</v>
      </c>
      <c r="B3277" s="14">
        <f>IF($N3277="","",INDEX(LdBDate,$N3277))</f>
        <v/>
      </c>
      <c r="C3277" s="14">
        <f>IF($N3277="","",IF(INDEX(LdBId,$N3277)="","—",INDEX(LdBId,$N3277)))</f>
        <v/>
      </c>
      <c r="D3277" s="14">
        <f>IF($N3277="","",INDEX(LdBMember,$N3277))</f>
        <v/>
      </c>
      <c r="E3277" s="14">
        <f>IF($N3277="","",IFERROR(IF(VLOOKUP(INDEX(LdBMember,$N3277),AcctTblE,4,0)="","(بدون نام)",VLOOKUP(INDEX(LdBMember,$N3277),AcctTblE,4,0)),"—"))</f>
        <v/>
      </c>
      <c r="F3277" s="16">
        <f>IF($N3277="","",IF(INDEX(LdBAmt,$N3277)=0,"",INDEX(LdBAmt,$N3277)))</f>
        <v/>
      </c>
      <c r="G3277" s="30">
        <f>IF($N3277="","",IF(INDEX(LdBNote,$N3277)="","—",INDEX(LdBNote,$N3277)))</f>
        <v/>
      </c>
      <c r="N3277">
        <f>IFERROR(MATCH($C$5&amp;"|"&amp;RIGHT("000000"&amp;1257,6),LdBKeyG,0),"")</f>
        <v/>
      </c>
    </row>
    <row r="3278">
      <c r="A3278" s="19" t="n">
        <v>1258</v>
      </c>
      <c r="B3278" s="20">
        <f>IF($N3278="","",INDEX(LdBDate,$N3278))</f>
        <v/>
      </c>
      <c r="C3278" s="20">
        <f>IF($N3278="","",IF(INDEX(LdBId,$N3278)="","—",INDEX(LdBId,$N3278)))</f>
        <v/>
      </c>
      <c r="D3278" s="20">
        <f>IF($N3278="","",INDEX(LdBMember,$N3278))</f>
        <v/>
      </c>
      <c r="E3278" s="20">
        <f>IF($N3278="","",IFERROR(IF(VLOOKUP(INDEX(LdBMember,$N3278),AcctTblE,4,0)="","(بدون نام)",VLOOKUP(INDEX(LdBMember,$N3278),AcctTblE,4,0)),"—"))</f>
        <v/>
      </c>
      <c r="F3278" s="21">
        <f>IF($N3278="","",IF(INDEX(LdBAmt,$N3278)=0,"",INDEX(LdBAmt,$N3278)))</f>
        <v/>
      </c>
      <c r="G3278" s="32">
        <f>IF($N3278="","",IF(INDEX(LdBNote,$N3278)="","—",INDEX(LdBNote,$N3278)))</f>
        <v/>
      </c>
      <c r="N3278">
        <f>IFERROR(MATCH($C$5&amp;"|"&amp;RIGHT("000000"&amp;1258,6),LdBKeyG,0),"")</f>
        <v/>
      </c>
    </row>
    <row r="3279">
      <c r="A3279" s="10" t="n">
        <v>1259</v>
      </c>
      <c r="B3279" s="14">
        <f>IF($N3279="","",INDEX(LdBDate,$N3279))</f>
        <v/>
      </c>
      <c r="C3279" s="14">
        <f>IF($N3279="","",IF(INDEX(LdBId,$N3279)="","—",INDEX(LdBId,$N3279)))</f>
        <v/>
      </c>
      <c r="D3279" s="14">
        <f>IF($N3279="","",INDEX(LdBMember,$N3279))</f>
        <v/>
      </c>
      <c r="E3279" s="14">
        <f>IF($N3279="","",IFERROR(IF(VLOOKUP(INDEX(LdBMember,$N3279),AcctTblE,4,0)="","(بدون نام)",VLOOKUP(INDEX(LdBMember,$N3279),AcctTblE,4,0)),"—"))</f>
        <v/>
      </c>
      <c r="F3279" s="16">
        <f>IF($N3279="","",IF(INDEX(LdBAmt,$N3279)=0,"",INDEX(LdBAmt,$N3279)))</f>
        <v/>
      </c>
      <c r="G3279" s="30">
        <f>IF($N3279="","",IF(INDEX(LdBNote,$N3279)="","—",INDEX(LdBNote,$N3279)))</f>
        <v/>
      </c>
      <c r="N3279">
        <f>IFERROR(MATCH($C$5&amp;"|"&amp;RIGHT("000000"&amp;1259,6),LdBKeyG,0),"")</f>
        <v/>
      </c>
    </row>
    <row r="3280">
      <c r="A3280" s="19" t="n">
        <v>1260</v>
      </c>
      <c r="B3280" s="20">
        <f>IF($N3280="","",INDEX(LdBDate,$N3280))</f>
        <v/>
      </c>
      <c r="C3280" s="20">
        <f>IF($N3280="","",IF(INDEX(LdBId,$N3280)="","—",INDEX(LdBId,$N3280)))</f>
        <v/>
      </c>
      <c r="D3280" s="20">
        <f>IF($N3280="","",INDEX(LdBMember,$N3280))</f>
        <v/>
      </c>
      <c r="E3280" s="20">
        <f>IF($N3280="","",IFERROR(IF(VLOOKUP(INDEX(LdBMember,$N3280),AcctTblE,4,0)="","(بدون نام)",VLOOKUP(INDEX(LdBMember,$N3280),AcctTblE,4,0)),"—"))</f>
        <v/>
      </c>
      <c r="F3280" s="21">
        <f>IF($N3280="","",IF(INDEX(LdBAmt,$N3280)=0,"",INDEX(LdBAmt,$N3280)))</f>
        <v/>
      </c>
      <c r="G3280" s="32">
        <f>IF($N3280="","",IF(INDEX(LdBNote,$N3280)="","—",INDEX(LdBNote,$N3280)))</f>
        <v/>
      </c>
      <c r="N3280">
        <f>IFERROR(MATCH($C$5&amp;"|"&amp;RIGHT("000000"&amp;1260,6),LdBKeyG,0),"")</f>
        <v/>
      </c>
    </row>
    <row r="3281">
      <c r="A3281" s="10" t="n">
        <v>1261</v>
      </c>
      <c r="B3281" s="14">
        <f>IF($N3281="","",INDEX(LdBDate,$N3281))</f>
        <v/>
      </c>
      <c r="C3281" s="14">
        <f>IF($N3281="","",IF(INDEX(LdBId,$N3281)="","—",INDEX(LdBId,$N3281)))</f>
        <v/>
      </c>
      <c r="D3281" s="14">
        <f>IF($N3281="","",INDEX(LdBMember,$N3281))</f>
        <v/>
      </c>
      <c r="E3281" s="14">
        <f>IF($N3281="","",IFERROR(IF(VLOOKUP(INDEX(LdBMember,$N3281),AcctTblE,4,0)="","(بدون نام)",VLOOKUP(INDEX(LdBMember,$N3281),AcctTblE,4,0)),"—"))</f>
        <v/>
      </c>
      <c r="F3281" s="16">
        <f>IF($N3281="","",IF(INDEX(LdBAmt,$N3281)=0,"",INDEX(LdBAmt,$N3281)))</f>
        <v/>
      </c>
      <c r="G3281" s="30">
        <f>IF($N3281="","",IF(INDEX(LdBNote,$N3281)="","—",INDEX(LdBNote,$N3281)))</f>
        <v/>
      </c>
      <c r="N3281">
        <f>IFERROR(MATCH($C$5&amp;"|"&amp;RIGHT("000000"&amp;1261,6),LdBKeyG,0),"")</f>
        <v/>
      </c>
    </row>
    <row r="3282">
      <c r="A3282" s="19" t="n">
        <v>1262</v>
      </c>
      <c r="B3282" s="20">
        <f>IF($N3282="","",INDEX(LdBDate,$N3282))</f>
        <v/>
      </c>
      <c r="C3282" s="20">
        <f>IF($N3282="","",IF(INDEX(LdBId,$N3282)="","—",INDEX(LdBId,$N3282)))</f>
        <v/>
      </c>
      <c r="D3282" s="20">
        <f>IF($N3282="","",INDEX(LdBMember,$N3282))</f>
        <v/>
      </c>
      <c r="E3282" s="20">
        <f>IF($N3282="","",IFERROR(IF(VLOOKUP(INDEX(LdBMember,$N3282),AcctTblE,4,0)="","(بدون نام)",VLOOKUP(INDEX(LdBMember,$N3282),AcctTblE,4,0)),"—"))</f>
        <v/>
      </c>
      <c r="F3282" s="21">
        <f>IF($N3282="","",IF(INDEX(LdBAmt,$N3282)=0,"",INDEX(LdBAmt,$N3282)))</f>
        <v/>
      </c>
      <c r="G3282" s="32">
        <f>IF($N3282="","",IF(INDEX(LdBNote,$N3282)="","—",INDEX(LdBNote,$N3282)))</f>
        <v/>
      </c>
      <c r="N3282">
        <f>IFERROR(MATCH($C$5&amp;"|"&amp;RIGHT("000000"&amp;1262,6),LdBKeyG,0),"")</f>
        <v/>
      </c>
    </row>
    <row r="3283">
      <c r="A3283" s="10" t="n">
        <v>1263</v>
      </c>
      <c r="B3283" s="14">
        <f>IF($N3283="","",INDEX(LdBDate,$N3283))</f>
        <v/>
      </c>
      <c r="C3283" s="14">
        <f>IF($N3283="","",IF(INDEX(LdBId,$N3283)="","—",INDEX(LdBId,$N3283)))</f>
        <v/>
      </c>
      <c r="D3283" s="14">
        <f>IF($N3283="","",INDEX(LdBMember,$N3283))</f>
        <v/>
      </c>
      <c r="E3283" s="14">
        <f>IF($N3283="","",IFERROR(IF(VLOOKUP(INDEX(LdBMember,$N3283),AcctTblE,4,0)="","(بدون نام)",VLOOKUP(INDEX(LdBMember,$N3283),AcctTblE,4,0)),"—"))</f>
        <v/>
      </c>
      <c r="F3283" s="16">
        <f>IF($N3283="","",IF(INDEX(LdBAmt,$N3283)=0,"",INDEX(LdBAmt,$N3283)))</f>
        <v/>
      </c>
      <c r="G3283" s="30">
        <f>IF($N3283="","",IF(INDEX(LdBNote,$N3283)="","—",INDEX(LdBNote,$N3283)))</f>
        <v/>
      </c>
      <c r="N3283">
        <f>IFERROR(MATCH($C$5&amp;"|"&amp;RIGHT("000000"&amp;1263,6),LdBKeyG,0),"")</f>
        <v/>
      </c>
    </row>
    <row r="3284">
      <c r="A3284" s="19" t="n">
        <v>1264</v>
      </c>
      <c r="B3284" s="20">
        <f>IF($N3284="","",INDEX(LdBDate,$N3284))</f>
        <v/>
      </c>
      <c r="C3284" s="20">
        <f>IF($N3284="","",IF(INDEX(LdBId,$N3284)="","—",INDEX(LdBId,$N3284)))</f>
        <v/>
      </c>
      <c r="D3284" s="20">
        <f>IF($N3284="","",INDEX(LdBMember,$N3284))</f>
        <v/>
      </c>
      <c r="E3284" s="20">
        <f>IF($N3284="","",IFERROR(IF(VLOOKUP(INDEX(LdBMember,$N3284),AcctTblE,4,0)="","(بدون نام)",VLOOKUP(INDEX(LdBMember,$N3284),AcctTblE,4,0)),"—"))</f>
        <v/>
      </c>
      <c r="F3284" s="21">
        <f>IF($N3284="","",IF(INDEX(LdBAmt,$N3284)=0,"",INDEX(LdBAmt,$N3284)))</f>
        <v/>
      </c>
      <c r="G3284" s="32">
        <f>IF($N3284="","",IF(INDEX(LdBNote,$N3284)="","—",INDEX(LdBNote,$N3284)))</f>
        <v/>
      </c>
      <c r="N3284">
        <f>IFERROR(MATCH($C$5&amp;"|"&amp;RIGHT("000000"&amp;1264,6),LdBKeyG,0),"")</f>
        <v/>
      </c>
    </row>
    <row r="3285">
      <c r="A3285" s="10" t="n">
        <v>1265</v>
      </c>
      <c r="B3285" s="14">
        <f>IF($N3285="","",INDEX(LdBDate,$N3285))</f>
        <v/>
      </c>
      <c r="C3285" s="14">
        <f>IF($N3285="","",IF(INDEX(LdBId,$N3285)="","—",INDEX(LdBId,$N3285)))</f>
        <v/>
      </c>
      <c r="D3285" s="14">
        <f>IF($N3285="","",INDEX(LdBMember,$N3285))</f>
        <v/>
      </c>
      <c r="E3285" s="14">
        <f>IF($N3285="","",IFERROR(IF(VLOOKUP(INDEX(LdBMember,$N3285),AcctTblE,4,0)="","(بدون نام)",VLOOKUP(INDEX(LdBMember,$N3285),AcctTblE,4,0)),"—"))</f>
        <v/>
      </c>
      <c r="F3285" s="16">
        <f>IF($N3285="","",IF(INDEX(LdBAmt,$N3285)=0,"",INDEX(LdBAmt,$N3285)))</f>
        <v/>
      </c>
      <c r="G3285" s="30">
        <f>IF($N3285="","",IF(INDEX(LdBNote,$N3285)="","—",INDEX(LdBNote,$N3285)))</f>
        <v/>
      </c>
      <c r="N3285">
        <f>IFERROR(MATCH($C$5&amp;"|"&amp;RIGHT("000000"&amp;1265,6),LdBKeyG,0),"")</f>
        <v/>
      </c>
    </row>
    <row r="3286">
      <c r="A3286" s="19" t="n">
        <v>1266</v>
      </c>
      <c r="B3286" s="20">
        <f>IF($N3286="","",INDEX(LdBDate,$N3286))</f>
        <v/>
      </c>
      <c r="C3286" s="20">
        <f>IF($N3286="","",IF(INDEX(LdBId,$N3286)="","—",INDEX(LdBId,$N3286)))</f>
        <v/>
      </c>
      <c r="D3286" s="20">
        <f>IF($N3286="","",INDEX(LdBMember,$N3286))</f>
        <v/>
      </c>
      <c r="E3286" s="20">
        <f>IF($N3286="","",IFERROR(IF(VLOOKUP(INDEX(LdBMember,$N3286),AcctTblE,4,0)="","(بدون نام)",VLOOKUP(INDEX(LdBMember,$N3286),AcctTblE,4,0)),"—"))</f>
        <v/>
      </c>
      <c r="F3286" s="21">
        <f>IF($N3286="","",IF(INDEX(LdBAmt,$N3286)=0,"",INDEX(LdBAmt,$N3286)))</f>
        <v/>
      </c>
      <c r="G3286" s="32">
        <f>IF($N3286="","",IF(INDEX(LdBNote,$N3286)="","—",INDEX(LdBNote,$N3286)))</f>
        <v/>
      </c>
      <c r="N3286">
        <f>IFERROR(MATCH($C$5&amp;"|"&amp;RIGHT("000000"&amp;1266,6),LdBKeyG,0),"")</f>
        <v/>
      </c>
    </row>
    <row r="3287">
      <c r="A3287" s="10" t="n">
        <v>1267</v>
      </c>
      <c r="B3287" s="14">
        <f>IF($N3287="","",INDEX(LdBDate,$N3287))</f>
        <v/>
      </c>
      <c r="C3287" s="14">
        <f>IF($N3287="","",IF(INDEX(LdBId,$N3287)="","—",INDEX(LdBId,$N3287)))</f>
        <v/>
      </c>
      <c r="D3287" s="14">
        <f>IF($N3287="","",INDEX(LdBMember,$N3287))</f>
        <v/>
      </c>
      <c r="E3287" s="14">
        <f>IF($N3287="","",IFERROR(IF(VLOOKUP(INDEX(LdBMember,$N3287),AcctTblE,4,0)="","(بدون نام)",VLOOKUP(INDEX(LdBMember,$N3287),AcctTblE,4,0)),"—"))</f>
        <v/>
      </c>
      <c r="F3287" s="16">
        <f>IF($N3287="","",IF(INDEX(LdBAmt,$N3287)=0,"",INDEX(LdBAmt,$N3287)))</f>
        <v/>
      </c>
      <c r="G3287" s="30">
        <f>IF($N3287="","",IF(INDEX(LdBNote,$N3287)="","—",INDEX(LdBNote,$N3287)))</f>
        <v/>
      </c>
      <c r="N3287">
        <f>IFERROR(MATCH($C$5&amp;"|"&amp;RIGHT("000000"&amp;1267,6),LdBKeyG,0),"")</f>
        <v/>
      </c>
    </row>
    <row r="3288">
      <c r="A3288" s="19" t="n">
        <v>1268</v>
      </c>
      <c r="B3288" s="20">
        <f>IF($N3288="","",INDEX(LdBDate,$N3288))</f>
        <v/>
      </c>
      <c r="C3288" s="20">
        <f>IF($N3288="","",IF(INDEX(LdBId,$N3288)="","—",INDEX(LdBId,$N3288)))</f>
        <v/>
      </c>
      <c r="D3288" s="20">
        <f>IF($N3288="","",INDEX(LdBMember,$N3288))</f>
        <v/>
      </c>
      <c r="E3288" s="20">
        <f>IF($N3288="","",IFERROR(IF(VLOOKUP(INDEX(LdBMember,$N3288),AcctTblE,4,0)="","(بدون نام)",VLOOKUP(INDEX(LdBMember,$N3288),AcctTblE,4,0)),"—"))</f>
        <v/>
      </c>
      <c r="F3288" s="21">
        <f>IF($N3288="","",IF(INDEX(LdBAmt,$N3288)=0,"",INDEX(LdBAmt,$N3288)))</f>
        <v/>
      </c>
      <c r="G3288" s="32">
        <f>IF($N3288="","",IF(INDEX(LdBNote,$N3288)="","—",INDEX(LdBNote,$N3288)))</f>
        <v/>
      </c>
      <c r="N3288">
        <f>IFERROR(MATCH($C$5&amp;"|"&amp;RIGHT("000000"&amp;1268,6),LdBKeyG,0),"")</f>
        <v/>
      </c>
    </row>
    <row r="3289">
      <c r="A3289" s="10" t="n">
        <v>1269</v>
      </c>
      <c r="B3289" s="14">
        <f>IF($N3289="","",INDEX(LdBDate,$N3289))</f>
        <v/>
      </c>
      <c r="C3289" s="14">
        <f>IF($N3289="","",IF(INDEX(LdBId,$N3289)="","—",INDEX(LdBId,$N3289)))</f>
        <v/>
      </c>
      <c r="D3289" s="14">
        <f>IF($N3289="","",INDEX(LdBMember,$N3289))</f>
        <v/>
      </c>
      <c r="E3289" s="14">
        <f>IF($N3289="","",IFERROR(IF(VLOOKUP(INDEX(LdBMember,$N3289),AcctTblE,4,0)="","(بدون نام)",VLOOKUP(INDEX(LdBMember,$N3289),AcctTblE,4,0)),"—"))</f>
        <v/>
      </c>
      <c r="F3289" s="16">
        <f>IF($N3289="","",IF(INDEX(LdBAmt,$N3289)=0,"",INDEX(LdBAmt,$N3289)))</f>
        <v/>
      </c>
      <c r="G3289" s="30">
        <f>IF($N3289="","",IF(INDEX(LdBNote,$N3289)="","—",INDEX(LdBNote,$N3289)))</f>
        <v/>
      </c>
      <c r="N3289">
        <f>IFERROR(MATCH($C$5&amp;"|"&amp;RIGHT("000000"&amp;1269,6),LdBKeyG,0),"")</f>
        <v/>
      </c>
    </row>
    <row r="3290">
      <c r="A3290" s="19" t="n">
        <v>1270</v>
      </c>
      <c r="B3290" s="20">
        <f>IF($N3290="","",INDEX(LdBDate,$N3290))</f>
        <v/>
      </c>
      <c r="C3290" s="20">
        <f>IF($N3290="","",IF(INDEX(LdBId,$N3290)="","—",INDEX(LdBId,$N3290)))</f>
        <v/>
      </c>
      <c r="D3290" s="20">
        <f>IF($N3290="","",INDEX(LdBMember,$N3290))</f>
        <v/>
      </c>
      <c r="E3290" s="20">
        <f>IF($N3290="","",IFERROR(IF(VLOOKUP(INDEX(LdBMember,$N3290),AcctTblE,4,0)="","(بدون نام)",VLOOKUP(INDEX(LdBMember,$N3290),AcctTblE,4,0)),"—"))</f>
        <v/>
      </c>
      <c r="F3290" s="21">
        <f>IF($N3290="","",IF(INDEX(LdBAmt,$N3290)=0,"",INDEX(LdBAmt,$N3290)))</f>
        <v/>
      </c>
      <c r="G3290" s="32">
        <f>IF($N3290="","",IF(INDEX(LdBNote,$N3290)="","—",INDEX(LdBNote,$N3290)))</f>
        <v/>
      </c>
      <c r="N3290">
        <f>IFERROR(MATCH($C$5&amp;"|"&amp;RIGHT("000000"&amp;1270,6),LdBKeyG,0),"")</f>
        <v/>
      </c>
    </row>
    <row r="3291">
      <c r="A3291" s="10" t="n">
        <v>1271</v>
      </c>
      <c r="B3291" s="14">
        <f>IF($N3291="","",INDEX(LdBDate,$N3291))</f>
        <v/>
      </c>
      <c r="C3291" s="14">
        <f>IF($N3291="","",IF(INDEX(LdBId,$N3291)="","—",INDEX(LdBId,$N3291)))</f>
        <v/>
      </c>
      <c r="D3291" s="14">
        <f>IF($N3291="","",INDEX(LdBMember,$N3291))</f>
        <v/>
      </c>
      <c r="E3291" s="14">
        <f>IF($N3291="","",IFERROR(IF(VLOOKUP(INDEX(LdBMember,$N3291),AcctTblE,4,0)="","(بدون نام)",VLOOKUP(INDEX(LdBMember,$N3291),AcctTblE,4,0)),"—"))</f>
        <v/>
      </c>
      <c r="F3291" s="16">
        <f>IF($N3291="","",IF(INDEX(LdBAmt,$N3291)=0,"",INDEX(LdBAmt,$N3291)))</f>
        <v/>
      </c>
      <c r="G3291" s="30">
        <f>IF($N3291="","",IF(INDEX(LdBNote,$N3291)="","—",INDEX(LdBNote,$N3291)))</f>
        <v/>
      </c>
      <c r="N3291">
        <f>IFERROR(MATCH($C$5&amp;"|"&amp;RIGHT("000000"&amp;1271,6),LdBKeyG,0),"")</f>
        <v/>
      </c>
    </row>
    <row r="3292">
      <c r="A3292" s="19" t="n">
        <v>1272</v>
      </c>
      <c r="B3292" s="20">
        <f>IF($N3292="","",INDEX(LdBDate,$N3292))</f>
        <v/>
      </c>
      <c r="C3292" s="20">
        <f>IF($N3292="","",IF(INDEX(LdBId,$N3292)="","—",INDEX(LdBId,$N3292)))</f>
        <v/>
      </c>
      <c r="D3292" s="20">
        <f>IF($N3292="","",INDEX(LdBMember,$N3292))</f>
        <v/>
      </c>
      <c r="E3292" s="20">
        <f>IF($N3292="","",IFERROR(IF(VLOOKUP(INDEX(LdBMember,$N3292),AcctTblE,4,0)="","(بدون نام)",VLOOKUP(INDEX(LdBMember,$N3292),AcctTblE,4,0)),"—"))</f>
        <v/>
      </c>
      <c r="F3292" s="21">
        <f>IF($N3292="","",IF(INDEX(LdBAmt,$N3292)=0,"",INDEX(LdBAmt,$N3292)))</f>
        <v/>
      </c>
      <c r="G3292" s="32">
        <f>IF($N3292="","",IF(INDEX(LdBNote,$N3292)="","—",INDEX(LdBNote,$N3292)))</f>
        <v/>
      </c>
      <c r="N3292">
        <f>IFERROR(MATCH($C$5&amp;"|"&amp;RIGHT("000000"&amp;1272,6),LdBKeyG,0),"")</f>
        <v/>
      </c>
    </row>
    <row r="3293">
      <c r="A3293" s="10" t="n">
        <v>1273</v>
      </c>
      <c r="B3293" s="14">
        <f>IF($N3293="","",INDEX(LdBDate,$N3293))</f>
        <v/>
      </c>
      <c r="C3293" s="14">
        <f>IF($N3293="","",IF(INDEX(LdBId,$N3293)="","—",INDEX(LdBId,$N3293)))</f>
        <v/>
      </c>
      <c r="D3293" s="14">
        <f>IF($N3293="","",INDEX(LdBMember,$N3293))</f>
        <v/>
      </c>
      <c r="E3293" s="14">
        <f>IF($N3293="","",IFERROR(IF(VLOOKUP(INDEX(LdBMember,$N3293),AcctTblE,4,0)="","(بدون نام)",VLOOKUP(INDEX(LdBMember,$N3293),AcctTblE,4,0)),"—"))</f>
        <v/>
      </c>
      <c r="F3293" s="16">
        <f>IF($N3293="","",IF(INDEX(LdBAmt,$N3293)=0,"",INDEX(LdBAmt,$N3293)))</f>
        <v/>
      </c>
      <c r="G3293" s="30">
        <f>IF($N3293="","",IF(INDEX(LdBNote,$N3293)="","—",INDEX(LdBNote,$N3293)))</f>
        <v/>
      </c>
      <c r="N3293">
        <f>IFERROR(MATCH($C$5&amp;"|"&amp;RIGHT("000000"&amp;1273,6),LdBKeyG,0),"")</f>
        <v/>
      </c>
    </row>
    <row r="3294">
      <c r="A3294" s="19" t="n">
        <v>1274</v>
      </c>
      <c r="B3294" s="20">
        <f>IF($N3294="","",INDEX(LdBDate,$N3294))</f>
        <v/>
      </c>
      <c r="C3294" s="20">
        <f>IF($N3294="","",IF(INDEX(LdBId,$N3294)="","—",INDEX(LdBId,$N3294)))</f>
        <v/>
      </c>
      <c r="D3294" s="20">
        <f>IF($N3294="","",INDEX(LdBMember,$N3294))</f>
        <v/>
      </c>
      <c r="E3294" s="20">
        <f>IF($N3294="","",IFERROR(IF(VLOOKUP(INDEX(LdBMember,$N3294),AcctTblE,4,0)="","(بدون نام)",VLOOKUP(INDEX(LdBMember,$N3294),AcctTblE,4,0)),"—"))</f>
        <v/>
      </c>
      <c r="F3294" s="21">
        <f>IF($N3294="","",IF(INDEX(LdBAmt,$N3294)=0,"",INDEX(LdBAmt,$N3294)))</f>
        <v/>
      </c>
      <c r="G3294" s="32">
        <f>IF($N3294="","",IF(INDEX(LdBNote,$N3294)="","—",INDEX(LdBNote,$N3294)))</f>
        <v/>
      </c>
      <c r="N3294">
        <f>IFERROR(MATCH($C$5&amp;"|"&amp;RIGHT("000000"&amp;1274,6),LdBKeyG,0),"")</f>
        <v/>
      </c>
    </row>
    <row r="3295">
      <c r="A3295" s="10" t="n">
        <v>1275</v>
      </c>
      <c r="B3295" s="14">
        <f>IF($N3295="","",INDEX(LdBDate,$N3295))</f>
        <v/>
      </c>
      <c r="C3295" s="14">
        <f>IF($N3295="","",IF(INDEX(LdBId,$N3295)="","—",INDEX(LdBId,$N3295)))</f>
        <v/>
      </c>
      <c r="D3295" s="14">
        <f>IF($N3295="","",INDEX(LdBMember,$N3295))</f>
        <v/>
      </c>
      <c r="E3295" s="14">
        <f>IF($N3295="","",IFERROR(IF(VLOOKUP(INDEX(LdBMember,$N3295),AcctTblE,4,0)="","(بدون نام)",VLOOKUP(INDEX(LdBMember,$N3295),AcctTblE,4,0)),"—"))</f>
        <v/>
      </c>
      <c r="F3295" s="16">
        <f>IF($N3295="","",IF(INDEX(LdBAmt,$N3295)=0,"",INDEX(LdBAmt,$N3295)))</f>
        <v/>
      </c>
      <c r="G3295" s="30">
        <f>IF($N3295="","",IF(INDEX(LdBNote,$N3295)="","—",INDEX(LdBNote,$N3295)))</f>
        <v/>
      </c>
      <c r="N3295">
        <f>IFERROR(MATCH($C$5&amp;"|"&amp;RIGHT("000000"&amp;1275,6),LdBKeyG,0),"")</f>
        <v/>
      </c>
    </row>
    <row r="3296">
      <c r="A3296" s="19" t="n">
        <v>1276</v>
      </c>
      <c r="B3296" s="20">
        <f>IF($N3296="","",INDEX(LdBDate,$N3296))</f>
        <v/>
      </c>
      <c r="C3296" s="20">
        <f>IF($N3296="","",IF(INDEX(LdBId,$N3296)="","—",INDEX(LdBId,$N3296)))</f>
        <v/>
      </c>
      <c r="D3296" s="20">
        <f>IF($N3296="","",INDEX(LdBMember,$N3296))</f>
        <v/>
      </c>
      <c r="E3296" s="20">
        <f>IF($N3296="","",IFERROR(IF(VLOOKUP(INDEX(LdBMember,$N3296),AcctTblE,4,0)="","(بدون نام)",VLOOKUP(INDEX(LdBMember,$N3296),AcctTblE,4,0)),"—"))</f>
        <v/>
      </c>
      <c r="F3296" s="21">
        <f>IF($N3296="","",IF(INDEX(LdBAmt,$N3296)=0,"",INDEX(LdBAmt,$N3296)))</f>
        <v/>
      </c>
      <c r="G3296" s="32">
        <f>IF($N3296="","",IF(INDEX(LdBNote,$N3296)="","—",INDEX(LdBNote,$N3296)))</f>
        <v/>
      </c>
      <c r="N3296">
        <f>IFERROR(MATCH($C$5&amp;"|"&amp;RIGHT("000000"&amp;1276,6),LdBKeyG,0),"")</f>
        <v/>
      </c>
    </row>
    <row r="3297">
      <c r="A3297" s="10" t="n">
        <v>1277</v>
      </c>
      <c r="B3297" s="14">
        <f>IF($N3297="","",INDEX(LdBDate,$N3297))</f>
        <v/>
      </c>
      <c r="C3297" s="14">
        <f>IF($N3297="","",IF(INDEX(LdBId,$N3297)="","—",INDEX(LdBId,$N3297)))</f>
        <v/>
      </c>
      <c r="D3297" s="14">
        <f>IF($N3297="","",INDEX(LdBMember,$N3297))</f>
        <v/>
      </c>
      <c r="E3297" s="14">
        <f>IF($N3297="","",IFERROR(IF(VLOOKUP(INDEX(LdBMember,$N3297),AcctTblE,4,0)="","(بدون نام)",VLOOKUP(INDEX(LdBMember,$N3297),AcctTblE,4,0)),"—"))</f>
        <v/>
      </c>
      <c r="F3297" s="16">
        <f>IF($N3297="","",IF(INDEX(LdBAmt,$N3297)=0,"",INDEX(LdBAmt,$N3297)))</f>
        <v/>
      </c>
      <c r="G3297" s="30">
        <f>IF($N3297="","",IF(INDEX(LdBNote,$N3297)="","—",INDEX(LdBNote,$N3297)))</f>
        <v/>
      </c>
      <c r="N3297">
        <f>IFERROR(MATCH($C$5&amp;"|"&amp;RIGHT("000000"&amp;1277,6),LdBKeyG,0),"")</f>
        <v/>
      </c>
    </row>
    <row r="3298">
      <c r="A3298" s="19" t="n">
        <v>1278</v>
      </c>
      <c r="B3298" s="20">
        <f>IF($N3298="","",INDEX(LdBDate,$N3298))</f>
        <v/>
      </c>
      <c r="C3298" s="20">
        <f>IF($N3298="","",IF(INDEX(LdBId,$N3298)="","—",INDEX(LdBId,$N3298)))</f>
        <v/>
      </c>
      <c r="D3298" s="20">
        <f>IF($N3298="","",INDEX(LdBMember,$N3298))</f>
        <v/>
      </c>
      <c r="E3298" s="20">
        <f>IF($N3298="","",IFERROR(IF(VLOOKUP(INDEX(LdBMember,$N3298),AcctTblE,4,0)="","(بدون نام)",VLOOKUP(INDEX(LdBMember,$N3298),AcctTblE,4,0)),"—"))</f>
        <v/>
      </c>
      <c r="F3298" s="21">
        <f>IF($N3298="","",IF(INDEX(LdBAmt,$N3298)=0,"",INDEX(LdBAmt,$N3298)))</f>
        <v/>
      </c>
      <c r="G3298" s="32">
        <f>IF($N3298="","",IF(INDEX(LdBNote,$N3298)="","—",INDEX(LdBNote,$N3298)))</f>
        <v/>
      </c>
      <c r="N3298">
        <f>IFERROR(MATCH($C$5&amp;"|"&amp;RIGHT("000000"&amp;1278,6),LdBKeyG,0),"")</f>
        <v/>
      </c>
    </row>
    <row r="3299">
      <c r="A3299" s="10" t="n">
        <v>1279</v>
      </c>
      <c r="B3299" s="14">
        <f>IF($N3299="","",INDEX(LdBDate,$N3299))</f>
        <v/>
      </c>
      <c r="C3299" s="14">
        <f>IF($N3299="","",IF(INDEX(LdBId,$N3299)="","—",INDEX(LdBId,$N3299)))</f>
        <v/>
      </c>
      <c r="D3299" s="14">
        <f>IF($N3299="","",INDEX(LdBMember,$N3299))</f>
        <v/>
      </c>
      <c r="E3299" s="14">
        <f>IF($N3299="","",IFERROR(IF(VLOOKUP(INDEX(LdBMember,$N3299),AcctTblE,4,0)="","(بدون نام)",VLOOKUP(INDEX(LdBMember,$N3299),AcctTblE,4,0)),"—"))</f>
        <v/>
      </c>
      <c r="F3299" s="16">
        <f>IF($N3299="","",IF(INDEX(LdBAmt,$N3299)=0,"",INDEX(LdBAmt,$N3299)))</f>
        <v/>
      </c>
      <c r="G3299" s="30">
        <f>IF($N3299="","",IF(INDEX(LdBNote,$N3299)="","—",INDEX(LdBNote,$N3299)))</f>
        <v/>
      </c>
      <c r="N3299">
        <f>IFERROR(MATCH($C$5&amp;"|"&amp;RIGHT("000000"&amp;1279,6),LdBKeyG,0),"")</f>
        <v/>
      </c>
    </row>
    <row r="3300">
      <c r="A3300" s="19" t="n">
        <v>1280</v>
      </c>
      <c r="B3300" s="20">
        <f>IF($N3300="","",INDEX(LdBDate,$N3300))</f>
        <v/>
      </c>
      <c r="C3300" s="20">
        <f>IF($N3300="","",IF(INDEX(LdBId,$N3300)="","—",INDEX(LdBId,$N3300)))</f>
        <v/>
      </c>
      <c r="D3300" s="20">
        <f>IF($N3300="","",INDEX(LdBMember,$N3300))</f>
        <v/>
      </c>
      <c r="E3300" s="20">
        <f>IF($N3300="","",IFERROR(IF(VLOOKUP(INDEX(LdBMember,$N3300),AcctTblE,4,0)="","(بدون نام)",VLOOKUP(INDEX(LdBMember,$N3300),AcctTblE,4,0)),"—"))</f>
        <v/>
      </c>
      <c r="F3300" s="21">
        <f>IF($N3300="","",IF(INDEX(LdBAmt,$N3300)=0,"",INDEX(LdBAmt,$N3300)))</f>
        <v/>
      </c>
      <c r="G3300" s="32">
        <f>IF($N3300="","",IF(INDEX(LdBNote,$N3300)="","—",INDEX(LdBNote,$N3300)))</f>
        <v/>
      </c>
      <c r="N3300">
        <f>IFERROR(MATCH($C$5&amp;"|"&amp;RIGHT("000000"&amp;1280,6),LdBKeyG,0),"")</f>
        <v/>
      </c>
    </row>
    <row r="3301">
      <c r="A3301" s="10" t="n">
        <v>1281</v>
      </c>
      <c r="B3301" s="14">
        <f>IF($N3301="","",INDEX(LdBDate,$N3301))</f>
        <v/>
      </c>
      <c r="C3301" s="14">
        <f>IF($N3301="","",IF(INDEX(LdBId,$N3301)="","—",INDEX(LdBId,$N3301)))</f>
        <v/>
      </c>
      <c r="D3301" s="14">
        <f>IF($N3301="","",INDEX(LdBMember,$N3301))</f>
        <v/>
      </c>
      <c r="E3301" s="14">
        <f>IF($N3301="","",IFERROR(IF(VLOOKUP(INDEX(LdBMember,$N3301),AcctTblE,4,0)="","(بدون نام)",VLOOKUP(INDEX(LdBMember,$N3301),AcctTblE,4,0)),"—"))</f>
        <v/>
      </c>
      <c r="F3301" s="16">
        <f>IF($N3301="","",IF(INDEX(LdBAmt,$N3301)=0,"",INDEX(LdBAmt,$N3301)))</f>
        <v/>
      </c>
      <c r="G3301" s="30">
        <f>IF($N3301="","",IF(INDEX(LdBNote,$N3301)="","—",INDEX(LdBNote,$N3301)))</f>
        <v/>
      </c>
      <c r="N3301">
        <f>IFERROR(MATCH($C$5&amp;"|"&amp;RIGHT("000000"&amp;1281,6),LdBKeyG,0),"")</f>
        <v/>
      </c>
    </row>
    <row r="3302">
      <c r="A3302" s="19" t="n">
        <v>1282</v>
      </c>
      <c r="B3302" s="20">
        <f>IF($N3302="","",INDEX(LdBDate,$N3302))</f>
        <v/>
      </c>
      <c r="C3302" s="20">
        <f>IF($N3302="","",IF(INDEX(LdBId,$N3302)="","—",INDEX(LdBId,$N3302)))</f>
        <v/>
      </c>
      <c r="D3302" s="20">
        <f>IF($N3302="","",INDEX(LdBMember,$N3302))</f>
        <v/>
      </c>
      <c r="E3302" s="20">
        <f>IF($N3302="","",IFERROR(IF(VLOOKUP(INDEX(LdBMember,$N3302),AcctTblE,4,0)="","(بدون نام)",VLOOKUP(INDEX(LdBMember,$N3302),AcctTblE,4,0)),"—"))</f>
        <v/>
      </c>
      <c r="F3302" s="21">
        <f>IF($N3302="","",IF(INDEX(LdBAmt,$N3302)=0,"",INDEX(LdBAmt,$N3302)))</f>
        <v/>
      </c>
      <c r="G3302" s="32">
        <f>IF($N3302="","",IF(INDEX(LdBNote,$N3302)="","—",INDEX(LdBNote,$N3302)))</f>
        <v/>
      </c>
      <c r="N3302">
        <f>IFERROR(MATCH($C$5&amp;"|"&amp;RIGHT("000000"&amp;1282,6),LdBKeyG,0),"")</f>
        <v/>
      </c>
    </row>
    <row r="3303">
      <c r="A3303" s="10" t="n">
        <v>1283</v>
      </c>
      <c r="B3303" s="14">
        <f>IF($N3303="","",INDEX(LdBDate,$N3303))</f>
        <v/>
      </c>
      <c r="C3303" s="14">
        <f>IF($N3303="","",IF(INDEX(LdBId,$N3303)="","—",INDEX(LdBId,$N3303)))</f>
        <v/>
      </c>
      <c r="D3303" s="14">
        <f>IF($N3303="","",INDEX(LdBMember,$N3303))</f>
        <v/>
      </c>
      <c r="E3303" s="14">
        <f>IF($N3303="","",IFERROR(IF(VLOOKUP(INDEX(LdBMember,$N3303),AcctTblE,4,0)="","(بدون نام)",VLOOKUP(INDEX(LdBMember,$N3303),AcctTblE,4,0)),"—"))</f>
        <v/>
      </c>
      <c r="F3303" s="16">
        <f>IF($N3303="","",IF(INDEX(LdBAmt,$N3303)=0,"",INDEX(LdBAmt,$N3303)))</f>
        <v/>
      </c>
      <c r="G3303" s="30">
        <f>IF($N3303="","",IF(INDEX(LdBNote,$N3303)="","—",INDEX(LdBNote,$N3303)))</f>
        <v/>
      </c>
      <c r="N3303">
        <f>IFERROR(MATCH($C$5&amp;"|"&amp;RIGHT("000000"&amp;1283,6),LdBKeyG,0),"")</f>
        <v/>
      </c>
    </row>
    <row r="3304">
      <c r="A3304" s="19" t="n">
        <v>1284</v>
      </c>
      <c r="B3304" s="20">
        <f>IF($N3304="","",INDEX(LdBDate,$N3304))</f>
        <v/>
      </c>
      <c r="C3304" s="20">
        <f>IF($N3304="","",IF(INDEX(LdBId,$N3304)="","—",INDEX(LdBId,$N3304)))</f>
        <v/>
      </c>
      <c r="D3304" s="20">
        <f>IF($N3304="","",INDEX(LdBMember,$N3304))</f>
        <v/>
      </c>
      <c r="E3304" s="20">
        <f>IF($N3304="","",IFERROR(IF(VLOOKUP(INDEX(LdBMember,$N3304),AcctTblE,4,0)="","(بدون نام)",VLOOKUP(INDEX(LdBMember,$N3304),AcctTblE,4,0)),"—"))</f>
        <v/>
      </c>
      <c r="F3304" s="21">
        <f>IF($N3304="","",IF(INDEX(LdBAmt,$N3304)=0,"",INDEX(LdBAmt,$N3304)))</f>
        <v/>
      </c>
      <c r="G3304" s="32">
        <f>IF($N3304="","",IF(INDEX(LdBNote,$N3304)="","—",INDEX(LdBNote,$N3304)))</f>
        <v/>
      </c>
      <c r="N3304">
        <f>IFERROR(MATCH($C$5&amp;"|"&amp;RIGHT("000000"&amp;1284,6),LdBKeyG,0),"")</f>
        <v/>
      </c>
    </row>
    <row r="3305">
      <c r="A3305" s="10" t="n">
        <v>1285</v>
      </c>
      <c r="B3305" s="14">
        <f>IF($N3305="","",INDEX(LdBDate,$N3305))</f>
        <v/>
      </c>
      <c r="C3305" s="14">
        <f>IF($N3305="","",IF(INDEX(LdBId,$N3305)="","—",INDEX(LdBId,$N3305)))</f>
        <v/>
      </c>
      <c r="D3305" s="14">
        <f>IF($N3305="","",INDEX(LdBMember,$N3305))</f>
        <v/>
      </c>
      <c r="E3305" s="14">
        <f>IF($N3305="","",IFERROR(IF(VLOOKUP(INDEX(LdBMember,$N3305),AcctTblE,4,0)="","(بدون نام)",VLOOKUP(INDEX(LdBMember,$N3305),AcctTblE,4,0)),"—"))</f>
        <v/>
      </c>
      <c r="F3305" s="16">
        <f>IF($N3305="","",IF(INDEX(LdBAmt,$N3305)=0,"",INDEX(LdBAmt,$N3305)))</f>
        <v/>
      </c>
      <c r="G3305" s="30">
        <f>IF($N3305="","",IF(INDEX(LdBNote,$N3305)="","—",INDEX(LdBNote,$N3305)))</f>
        <v/>
      </c>
      <c r="N3305">
        <f>IFERROR(MATCH($C$5&amp;"|"&amp;RIGHT("000000"&amp;1285,6),LdBKeyG,0),"")</f>
        <v/>
      </c>
    </row>
    <row r="3306">
      <c r="A3306" s="19" t="n">
        <v>1286</v>
      </c>
      <c r="B3306" s="20">
        <f>IF($N3306="","",INDEX(LdBDate,$N3306))</f>
        <v/>
      </c>
      <c r="C3306" s="20">
        <f>IF($N3306="","",IF(INDEX(LdBId,$N3306)="","—",INDEX(LdBId,$N3306)))</f>
        <v/>
      </c>
      <c r="D3306" s="20">
        <f>IF($N3306="","",INDEX(LdBMember,$N3306))</f>
        <v/>
      </c>
      <c r="E3306" s="20">
        <f>IF($N3306="","",IFERROR(IF(VLOOKUP(INDEX(LdBMember,$N3306),AcctTblE,4,0)="","(بدون نام)",VLOOKUP(INDEX(LdBMember,$N3306),AcctTblE,4,0)),"—"))</f>
        <v/>
      </c>
      <c r="F3306" s="21">
        <f>IF($N3306="","",IF(INDEX(LdBAmt,$N3306)=0,"",INDEX(LdBAmt,$N3306)))</f>
        <v/>
      </c>
      <c r="G3306" s="32">
        <f>IF($N3306="","",IF(INDEX(LdBNote,$N3306)="","—",INDEX(LdBNote,$N3306)))</f>
        <v/>
      </c>
      <c r="N3306">
        <f>IFERROR(MATCH($C$5&amp;"|"&amp;RIGHT("000000"&amp;1286,6),LdBKeyG,0),"")</f>
        <v/>
      </c>
    </row>
    <row r="3307">
      <c r="A3307" s="10" t="n">
        <v>1287</v>
      </c>
      <c r="B3307" s="14">
        <f>IF($N3307="","",INDEX(LdBDate,$N3307))</f>
        <v/>
      </c>
      <c r="C3307" s="14">
        <f>IF($N3307="","",IF(INDEX(LdBId,$N3307)="","—",INDEX(LdBId,$N3307)))</f>
        <v/>
      </c>
      <c r="D3307" s="14">
        <f>IF($N3307="","",INDEX(LdBMember,$N3307))</f>
        <v/>
      </c>
      <c r="E3307" s="14">
        <f>IF($N3307="","",IFERROR(IF(VLOOKUP(INDEX(LdBMember,$N3307),AcctTblE,4,0)="","(بدون نام)",VLOOKUP(INDEX(LdBMember,$N3307),AcctTblE,4,0)),"—"))</f>
        <v/>
      </c>
      <c r="F3307" s="16">
        <f>IF($N3307="","",IF(INDEX(LdBAmt,$N3307)=0,"",INDEX(LdBAmt,$N3307)))</f>
        <v/>
      </c>
      <c r="G3307" s="30">
        <f>IF($N3307="","",IF(INDEX(LdBNote,$N3307)="","—",INDEX(LdBNote,$N3307)))</f>
        <v/>
      </c>
      <c r="N3307">
        <f>IFERROR(MATCH($C$5&amp;"|"&amp;RIGHT("000000"&amp;1287,6),LdBKeyG,0),"")</f>
        <v/>
      </c>
    </row>
    <row r="3308">
      <c r="A3308" s="19" t="n">
        <v>1288</v>
      </c>
      <c r="B3308" s="20">
        <f>IF($N3308="","",INDEX(LdBDate,$N3308))</f>
        <v/>
      </c>
      <c r="C3308" s="20">
        <f>IF($N3308="","",IF(INDEX(LdBId,$N3308)="","—",INDEX(LdBId,$N3308)))</f>
        <v/>
      </c>
      <c r="D3308" s="20">
        <f>IF($N3308="","",INDEX(LdBMember,$N3308))</f>
        <v/>
      </c>
      <c r="E3308" s="20">
        <f>IF($N3308="","",IFERROR(IF(VLOOKUP(INDEX(LdBMember,$N3308),AcctTblE,4,0)="","(بدون نام)",VLOOKUP(INDEX(LdBMember,$N3308),AcctTblE,4,0)),"—"))</f>
        <v/>
      </c>
      <c r="F3308" s="21">
        <f>IF($N3308="","",IF(INDEX(LdBAmt,$N3308)=0,"",INDEX(LdBAmt,$N3308)))</f>
        <v/>
      </c>
      <c r="G3308" s="32">
        <f>IF($N3308="","",IF(INDEX(LdBNote,$N3308)="","—",INDEX(LdBNote,$N3308)))</f>
        <v/>
      </c>
      <c r="N3308">
        <f>IFERROR(MATCH($C$5&amp;"|"&amp;RIGHT("000000"&amp;1288,6),LdBKeyG,0),"")</f>
        <v/>
      </c>
    </row>
    <row r="3309">
      <c r="A3309" s="10" t="n">
        <v>1289</v>
      </c>
      <c r="B3309" s="14">
        <f>IF($N3309="","",INDEX(LdBDate,$N3309))</f>
        <v/>
      </c>
      <c r="C3309" s="14">
        <f>IF($N3309="","",IF(INDEX(LdBId,$N3309)="","—",INDEX(LdBId,$N3309)))</f>
        <v/>
      </c>
      <c r="D3309" s="14">
        <f>IF($N3309="","",INDEX(LdBMember,$N3309))</f>
        <v/>
      </c>
      <c r="E3309" s="14">
        <f>IF($N3309="","",IFERROR(IF(VLOOKUP(INDEX(LdBMember,$N3309),AcctTblE,4,0)="","(بدون نام)",VLOOKUP(INDEX(LdBMember,$N3309),AcctTblE,4,0)),"—"))</f>
        <v/>
      </c>
      <c r="F3309" s="16">
        <f>IF($N3309="","",IF(INDEX(LdBAmt,$N3309)=0,"",INDEX(LdBAmt,$N3309)))</f>
        <v/>
      </c>
      <c r="G3309" s="30">
        <f>IF($N3309="","",IF(INDEX(LdBNote,$N3309)="","—",INDEX(LdBNote,$N3309)))</f>
        <v/>
      </c>
      <c r="N3309">
        <f>IFERROR(MATCH($C$5&amp;"|"&amp;RIGHT("000000"&amp;1289,6),LdBKeyG,0),"")</f>
        <v/>
      </c>
    </row>
    <row r="3310">
      <c r="A3310" s="19" t="n">
        <v>1290</v>
      </c>
      <c r="B3310" s="20">
        <f>IF($N3310="","",INDEX(LdBDate,$N3310))</f>
        <v/>
      </c>
      <c r="C3310" s="20">
        <f>IF($N3310="","",IF(INDEX(LdBId,$N3310)="","—",INDEX(LdBId,$N3310)))</f>
        <v/>
      </c>
      <c r="D3310" s="20">
        <f>IF($N3310="","",INDEX(LdBMember,$N3310))</f>
        <v/>
      </c>
      <c r="E3310" s="20">
        <f>IF($N3310="","",IFERROR(IF(VLOOKUP(INDEX(LdBMember,$N3310),AcctTblE,4,0)="","(بدون نام)",VLOOKUP(INDEX(LdBMember,$N3310),AcctTblE,4,0)),"—"))</f>
        <v/>
      </c>
      <c r="F3310" s="21">
        <f>IF($N3310="","",IF(INDEX(LdBAmt,$N3310)=0,"",INDEX(LdBAmt,$N3310)))</f>
        <v/>
      </c>
      <c r="G3310" s="32">
        <f>IF($N3310="","",IF(INDEX(LdBNote,$N3310)="","—",INDEX(LdBNote,$N3310)))</f>
        <v/>
      </c>
      <c r="N3310">
        <f>IFERROR(MATCH($C$5&amp;"|"&amp;RIGHT("000000"&amp;1290,6),LdBKeyG,0),"")</f>
        <v/>
      </c>
    </row>
    <row r="3311">
      <c r="A3311" s="10" t="n">
        <v>1291</v>
      </c>
      <c r="B3311" s="14">
        <f>IF($N3311="","",INDEX(LdBDate,$N3311))</f>
        <v/>
      </c>
      <c r="C3311" s="14">
        <f>IF($N3311="","",IF(INDEX(LdBId,$N3311)="","—",INDEX(LdBId,$N3311)))</f>
        <v/>
      </c>
      <c r="D3311" s="14">
        <f>IF($N3311="","",INDEX(LdBMember,$N3311))</f>
        <v/>
      </c>
      <c r="E3311" s="14">
        <f>IF($N3311="","",IFERROR(IF(VLOOKUP(INDEX(LdBMember,$N3311),AcctTblE,4,0)="","(بدون نام)",VLOOKUP(INDEX(LdBMember,$N3311),AcctTblE,4,0)),"—"))</f>
        <v/>
      </c>
      <c r="F3311" s="16">
        <f>IF($N3311="","",IF(INDEX(LdBAmt,$N3311)=0,"",INDEX(LdBAmt,$N3311)))</f>
        <v/>
      </c>
      <c r="G3311" s="30">
        <f>IF($N3311="","",IF(INDEX(LdBNote,$N3311)="","—",INDEX(LdBNote,$N3311)))</f>
        <v/>
      </c>
      <c r="N3311">
        <f>IFERROR(MATCH($C$5&amp;"|"&amp;RIGHT("000000"&amp;1291,6),LdBKeyG,0),"")</f>
        <v/>
      </c>
    </row>
    <row r="3312">
      <c r="A3312" s="19" t="n">
        <v>1292</v>
      </c>
      <c r="B3312" s="20">
        <f>IF($N3312="","",INDEX(LdBDate,$N3312))</f>
        <v/>
      </c>
      <c r="C3312" s="20">
        <f>IF($N3312="","",IF(INDEX(LdBId,$N3312)="","—",INDEX(LdBId,$N3312)))</f>
        <v/>
      </c>
      <c r="D3312" s="20">
        <f>IF($N3312="","",INDEX(LdBMember,$N3312))</f>
        <v/>
      </c>
      <c r="E3312" s="20">
        <f>IF($N3312="","",IFERROR(IF(VLOOKUP(INDEX(LdBMember,$N3312),AcctTblE,4,0)="","(بدون نام)",VLOOKUP(INDEX(LdBMember,$N3312),AcctTblE,4,0)),"—"))</f>
        <v/>
      </c>
      <c r="F3312" s="21">
        <f>IF($N3312="","",IF(INDEX(LdBAmt,$N3312)=0,"",INDEX(LdBAmt,$N3312)))</f>
        <v/>
      </c>
      <c r="G3312" s="32">
        <f>IF($N3312="","",IF(INDEX(LdBNote,$N3312)="","—",INDEX(LdBNote,$N3312)))</f>
        <v/>
      </c>
      <c r="N3312">
        <f>IFERROR(MATCH($C$5&amp;"|"&amp;RIGHT("000000"&amp;1292,6),LdBKeyG,0),"")</f>
        <v/>
      </c>
    </row>
    <row r="3313">
      <c r="A3313" s="10" t="n">
        <v>1293</v>
      </c>
      <c r="B3313" s="14">
        <f>IF($N3313="","",INDEX(LdBDate,$N3313))</f>
        <v/>
      </c>
      <c r="C3313" s="14">
        <f>IF($N3313="","",IF(INDEX(LdBId,$N3313)="","—",INDEX(LdBId,$N3313)))</f>
        <v/>
      </c>
      <c r="D3313" s="14">
        <f>IF($N3313="","",INDEX(LdBMember,$N3313))</f>
        <v/>
      </c>
      <c r="E3313" s="14">
        <f>IF($N3313="","",IFERROR(IF(VLOOKUP(INDEX(LdBMember,$N3313),AcctTblE,4,0)="","(بدون نام)",VLOOKUP(INDEX(LdBMember,$N3313),AcctTblE,4,0)),"—"))</f>
        <v/>
      </c>
      <c r="F3313" s="16">
        <f>IF($N3313="","",IF(INDEX(LdBAmt,$N3313)=0,"",INDEX(LdBAmt,$N3313)))</f>
        <v/>
      </c>
      <c r="G3313" s="30">
        <f>IF($N3313="","",IF(INDEX(LdBNote,$N3313)="","—",INDEX(LdBNote,$N3313)))</f>
        <v/>
      </c>
      <c r="N3313">
        <f>IFERROR(MATCH($C$5&amp;"|"&amp;RIGHT("000000"&amp;1293,6),LdBKeyG,0),"")</f>
        <v/>
      </c>
    </row>
    <row r="3314">
      <c r="A3314" s="19" t="n">
        <v>1294</v>
      </c>
      <c r="B3314" s="20">
        <f>IF($N3314="","",INDEX(LdBDate,$N3314))</f>
        <v/>
      </c>
      <c r="C3314" s="20">
        <f>IF($N3314="","",IF(INDEX(LdBId,$N3314)="","—",INDEX(LdBId,$N3314)))</f>
        <v/>
      </c>
      <c r="D3314" s="20">
        <f>IF($N3314="","",INDEX(LdBMember,$N3314))</f>
        <v/>
      </c>
      <c r="E3314" s="20">
        <f>IF($N3314="","",IFERROR(IF(VLOOKUP(INDEX(LdBMember,$N3314),AcctTblE,4,0)="","(بدون نام)",VLOOKUP(INDEX(LdBMember,$N3314),AcctTblE,4,0)),"—"))</f>
        <v/>
      </c>
      <c r="F3314" s="21">
        <f>IF($N3314="","",IF(INDEX(LdBAmt,$N3314)=0,"",INDEX(LdBAmt,$N3314)))</f>
        <v/>
      </c>
      <c r="G3314" s="32">
        <f>IF($N3314="","",IF(INDEX(LdBNote,$N3314)="","—",INDEX(LdBNote,$N3314)))</f>
        <v/>
      </c>
      <c r="N3314">
        <f>IFERROR(MATCH($C$5&amp;"|"&amp;RIGHT("000000"&amp;1294,6),LdBKeyG,0),"")</f>
        <v/>
      </c>
    </row>
    <row r="3315">
      <c r="A3315" s="10" t="n">
        <v>1295</v>
      </c>
      <c r="B3315" s="14">
        <f>IF($N3315="","",INDEX(LdBDate,$N3315))</f>
        <v/>
      </c>
      <c r="C3315" s="14">
        <f>IF($N3315="","",IF(INDEX(LdBId,$N3315)="","—",INDEX(LdBId,$N3315)))</f>
        <v/>
      </c>
      <c r="D3315" s="14">
        <f>IF($N3315="","",INDEX(LdBMember,$N3315))</f>
        <v/>
      </c>
      <c r="E3315" s="14">
        <f>IF($N3315="","",IFERROR(IF(VLOOKUP(INDEX(LdBMember,$N3315),AcctTblE,4,0)="","(بدون نام)",VLOOKUP(INDEX(LdBMember,$N3315),AcctTblE,4,0)),"—"))</f>
        <v/>
      </c>
      <c r="F3315" s="16">
        <f>IF($N3315="","",IF(INDEX(LdBAmt,$N3315)=0,"",INDEX(LdBAmt,$N3315)))</f>
        <v/>
      </c>
      <c r="G3315" s="30">
        <f>IF($N3315="","",IF(INDEX(LdBNote,$N3315)="","—",INDEX(LdBNote,$N3315)))</f>
        <v/>
      </c>
      <c r="N3315">
        <f>IFERROR(MATCH($C$5&amp;"|"&amp;RIGHT("000000"&amp;1295,6),LdBKeyG,0),"")</f>
        <v/>
      </c>
    </row>
    <row r="3316">
      <c r="A3316" s="19" t="n">
        <v>1296</v>
      </c>
      <c r="B3316" s="20">
        <f>IF($N3316="","",INDEX(LdBDate,$N3316))</f>
        <v/>
      </c>
      <c r="C3316" s="20">
        <f>IF($N3316="","",IF(INDEX(LdBId,$N3316)="","—",INDEX(LdBId,$N3316)))</f>
        <v/>
      </c>
      <c r="D3316" s="20">
        <f>IF($N3316="","",INDEX(LdBMember,$N3316))</f>
        <v/>
      </c>
      <c r="E3316" s="20">
        <f>IF($N3316="","",IFERROR(IF(VLOOKUP(INDEX(LdBMember,$N3316),AcctTblE,4,0)="","(بدون نام)",VLOOKUP(INDEX(LdBMember,$N3316),AcctTblE,4,0)),"—"))</f>
        <v/>
      </c>
      <c r="F3316" s="21">
        <f>IF($N3316="","",IF(INDEX(LdBAmt,$N3316)=0,"",INDEX(LdBAmt,$N3316)))</f>
        <v/>
      </c>
      <c r="G3316" s="32">
        <f>IF($N3316="","",IF(INDEX(LdBNote,$N3316)="","—",INDEX(LdBNote,$N3316)))</f>
        <v/>
      </c>
      <c r="N3316">
        <f>IFERROR(MATCH($C$5&amp;"|"&amp;RIGHT("000000"&amp;1296,6),LdBKeyG,0),"")</f>
        <v/>
      </c>
    </row>
    <row r="3317">
      <c r="A3317" s="10" t="n">
        <v>1297</v>
      </c>
      <c r="B3317" s="14">
        <f>IF($N3317="","",INDEX(LdBDate,$N3317))</f>
        <v/>
      </c>
      <c r="C3317" s="14">
        <f>IF($N3317="","",IF(INDEX(LdBId,$N3317)="","—",INDEX(LdBId,$N3317)))</f>
        <v/>
      </c>
      <c r="D3317" s="14">
        <f>IF($N3317="","",INDEX(LdBMember,$N3317))</f>
        <v/>
      </c>
      <c r="E3317" s="14">
        <f>IF($N3317="","",IFERROR(IF(VLOOKUP(INDEX(LdBMember,$N3317),AcctTblE,4,0)="","(بدون نام)",VLOOKUP(INDEX(LdBMember,$N3317),AcctTblE,4,0)),"—"))</f>
        <v/>
      </c>
      <c r="F3317" s="16">
        <f>IF($N3317="","",IF(INDEX(LdBAmt,$N3317)=0,"",INDEX(LdBAmt,$N3317)))</f>
        <v/>
      </c>
      <c r="G3317" s="30">
        <f>IF($N3317="","",IF(INDEX(LdBNote,$N3317)="","—",INDEX(LdBNote,$N3317)))</f>
        <v/>
      </c>
      <c r="N3317">
        <f>IFERROR(MATCH($C$5&amp;"|"&amp;RIGHT("000000"&amp;1297,6),LdBKeyG,0),"")</f>
        <v/>
      </c>
    </row>
    <row r="3318">
      <c r="A3318" s="19" t="n">
        <v>1298</v>
      </c>
      <c r="B3318" s="20">
        <f>IF($N3318="","",INDEX(LdBDate,$N3318))</f>
        <v/>
      </c>
      <c r="C3318" s="20">
        <f>IF($N3318="","",IF(INDEX(LdBId,$N3318)="","—",INDEX(LdBId,$N3318)))</f>
        <v/>
      </c>
      <c r="D3318" s="20">
        <f>IF($N3318="","",INDEX(LdBMember,$N3318))</f>
        <v/>
      </c>
      <c r="E3318" s="20">
        <f>IF($N3318="","",IFERROR(IF(VLOOKUP(INDEX(LdBMember,$N3318),AcctTblE,4,0)="","(بدون نام)",VLOOKUP(INDEX(LdBMember,$N3318),AcctTblE,4,0)),"—"))</f>
        <v/>
      </c>
      <c r="F3318" s="21">
        <f>IF($N3318="","",IF(INDEX(LdBAmt,$N3318)=0,"",INDEX(LdBAmt,$N3318)))</f>
        <v/>
      </c>
      <c r="G3318" s="32">
        <f>IF($N3318="","",IF(INDEX(LdBNote,$N3318)="","—",INDEX(LdBNote,$N3318)))</f>
        <v/>
      </c>
      <c r="N3318">
        <f>IFERROR(MATCH($C$5&amp;"|"&amp;RIGHT("000000"&amp;1298,6),LdBKeyG,0),"")</f>
        <v/>
      </c>
    </row>
    <row r="3319">
      <c r="A3319" s="10" t="n">
        <v>1299</v>
      </c>
      <c r="B3319" s="14">
        <f>IF($N3319="","",INDEX(LdBDate,$N3319))</f>
        <v/>
      </c>
      <c r="C3319" s="14">
        <f>IF($N3319="","",IF(INDEX(LdBId,$N3319)="","—",INDEX(LdBId,$N3319)))</f>
        <v/>
      </c>
      <c r="D3319" s="14">
        <f>IF($N3319="","",INDEX(LdBMember,$N3319))</f>
        <v/>
      </c>
      <c r="E3319" s="14">
        <f>IF($N3319="","",IFERROR(IF(VLOOKUP(INDEX(LdBMember,$N3319),AcctTblE,4,0)="","(بدون نام)",VLOOKUP(INDEX(LdBMember,$N3319),AcctTblE,4,0)),"—"))</f>
        <v/>
      </c>
      <c r="F3319" s="16">
        <f>IF($N3319="","",IF(INDEX(LdBAmt,$N3319)=0,"",INDEX(LdBAmt,$N3319)))</f>
        <v/>
      </c>
      <c r="G3319" s="30">
        <f>IF($N3319="","",IF(INDEX(LdBNote,$N3319)="","—",INDEX(LdBNote,$N3319)))</f>
        <v/>
      </c>
      <c r="N3319">
        <f>IFERROR(MATCH($C$5&amp;"|"&amp;RIGHT("000000"&amp;1299,6),LdBKeyG,0),"")</f>
        <v/>
      </c>
    </row>
    <row r="3320">
      <c r="A3320" s="19" t="n">
        <v>1300</v>
      </c>
      <c r="B3320" s="20">
        <f>IF($N3320="","",INDEX(LdBDate,$N3320))</f>
        <v/>
      </c>
      <c r="C3320" s="20">
        <f>IF($N3320="","",IF(INDEX(LdBId,$N3320)="","—",INDEX(LdBId,$N3320)))</f>
        <v/>
      </c>
      <c r="D3320" s="20">
        <f>IF($N3320="","",INDEX(LdBMember,$N3320))</f>
        <v/>
      </c>
      <c r="E3320" s="20">
        <f>IF($N3320="","",IFERROR(IF(VLOOKUP(INDEX(LdBMember,$N3320),AcctTblE,4,0)="","(بدون نام)",VLOOKUP(INDEX(LdBMember,$N3320),AcctTblE,4,0)),"—"))</f>
        <v/>
      </c>
      <c r="F3320" s="21">
        <f>IF($N3320="","",IF(INDEX(LdBAmt,$N3320)=0,"",INDEX(LdBAmt,$N3320)))</f>
        <v/>
      </c>
      <c r="G3320" s="32">
        <f>IF($N3320="","",IF(INDEX(LdBNote,$N3320)="","—",INDEX(LdBNote,$N3320)))</f>
        <v/>
      </c>
      <c r="N3320">
        <f>IFERROR(MATCH($C$5&amp;"|"&amp;RIGHT("000000"&amp;1300,6),LdBKeyG,0),"")</f>
        <v/>
      </c>
    </row>
    <row r="3321">
      <c r="A3321" s="10" t="n">
        <v>1301</v>
      </c>
      <c r="B3321" s="14">
        <f>IF($N3321="","",INDEX(LdBDate,$N3321))</f>
        <v/>
      </c>
      <c r="C3321" s="14">
        <f>IF($N3321="","",IF(INDEX(LdBId,$N3321)="","—",INDEX(LdBId,$N3321)))</f>
        <v/>
      </c>
      <c r="D3321" s="14">
        <f>IF($N3321="","",INDEX(LdBMember,$N3321))</f>
        <v/>
      </c>
      <c r="E3321" s="14">
        <f>IF($N3321="","",IFERROR(IF(VLOOKUP(INDEX(LdBMember,$N3321),AcctTblE,4,0)="","(بدون نام)",VLOOKUP(INDEX(LdBMember,$N3321),AcctTblE,4,0)),"—"))</f>
        <v/>
      </c>
      <c r="F3321" s="16">
        <f>IF($N3321="","",IF(INDEX(LdBAmt,$N3321)=0,"",INDEX(LdBAmt,$N3321)))</f>
        <v/>
      </c>
      <c r="G3321" s="30">
        <f>IF($N3321="","",IF(INDEX(LdBNote,$N3321)="","—",INDEX(LdBNote,$N3321)))</f>
        <v/>
      </c>
      <c r="N3321">
        <f>IFERROR(MATCH($C$5&amp;"|"&amp;RIGHT("000000"&amp;1301,6),LdBKeyG,0),"")</f>
        <v/>
      </c>
    </row>
    <row r="3322">
      <c r="A3322" s="19" t="n">
        <v>1302</v>
      </c>
      <c r="B3322" s="20">
        <f>IF($N3322="","",INDEX(LdBDate,$N3322))</f>
        <v/>
      </c>
      <c r="C3322" s="20">
        <f>IF($N3322="","",IF(INDEX(LdBId,$N3322)="","—",INDEX(LdBId,$N3322)))</f>
        <v/>
      </c>
      <c r="D3322" s="20">
        <f>IF($N3322="","",INDEX(LdBMember,$N3322))</f>
        <v/>
      </c>
      <c r="E3322" s="20">
        <f>IF($N3322="","",IFERROR(IF(VLOOKUP(INDEX(LdBMember,$N3322),AcctTblE,4,0)="","(بدون نام)",VLOOKUP(INDEX(LdBMember,$N3322),AcctTblE,4,0)),"—"))</f>
        <v/>
      </c>
      <c r="F3322" s="21">
        <f>IF($N3322="","",IF(INDEX(LdBAmt,$N3322)=0,"",INDEX(LdBAmt,$N3322)))</f>
        <v/>
      </c>
      <c r="G3322" s="32">
        <f>IF($N3322="","",IF(INDEX(LdBNote,$N3322)="","—",INDEX(LdBNote,$N3322)))</f>
        <v/>
      </c>
      <c r="N3322">
        <f>IFERROR(MATCH($C$5&amp;"|"&amp;RIGHT("000000"&amp;1302,6),LdBKeyG,0),"")</f>
        <v/>
      </c>
    </row>
    <row r="3323">
      <c r="A3323" s="10" t="n">
        <v>1303</v>
      </c>
      <c r="B3323" s="14">
        <f>IF($N3323="","",INDEX(LdBDate,$N3323))</f>
        <v/>
      </c>
      <c r="C3323" s="14">
        <f>IF($N3323="","",IF(INDEX(LdBId,$N3323)="","—",INDEX(LdBId,$N3323)))</f>
        <v/>
      </c>
      <c r="D3323" s="14">
        <f>IF($N3323="","",INDEX(LdBMember,$N3323))</f>
        <v/>
      </c>
      <c r="E3323" s="14">
        <f>IF($N3323="","",IFERROR(IF(VLOOKUP(INDEX(LdBMember,$N3323),AcctTblE,4,0)="","(بدون نام)",VLOOKUP(INDEX(LdBMember,$N3323),AcctTblE,4,0)),"—"))</f>
        <v/>
      </c>
      <c r="F3323" s="16">
        <f>IF($N3323="","",IF(INDEX(LdBAmt,$N3323)=0,"",INDEX(LdBAmt,$N3323)))</f>
        <v/>
      </c>
      <c r="G3323" s="30">
        <f>IF($N3323="","",IF(INDEX(LdBNote,$N3323)="","—",INDEX(LdBNote,$N3323)))</f>
        <v/>
      </c>
      <c r="N3323">
        <f>IFERROR(MATCH($C$5&amp;"|"&amp;RIGHT("000000"&amp;1303,6),LdBKeyG,0),"")</f>
        <v/>
      </c>
    </row>
    <row r="3324">
      <c r="A3324" s="19" t="n">
        <v>1304</v>
      </c>
      <c r="B3324" s="20">
        <f>IF($N3324="","",INDEX(LdBDate,$N3324))</f>
        <v/>
      </c>
      <c r="C3324" s="20">
        <f>IF($N3324="","",IF(INDEX(LdBId,$N3324)="","—",INDEX(LdBId,$N3324)))</f>
        <v/>
      </c>
      <c r="D3324" s="20">
        <f>IF($N3324="","",INDEX(LdBMember,$N3324))</f>
        <v/>
      </c>
      <c r="E3324" s="20">
        <f>IF($N3324="","",IFERROR(IF(VLOOKUP(INDEX(LdBMember,$N3324),AcctTblE,4,0)="","(بدون نام)",VLOOKUP(INDEX(LdBMember,$N3324),AcctTblE,4,0)),"—"))</f>
        <v/>
      </c>
      <c r="F3324" s="21">
        <f>IF($N3324="","",IF(INDEX(LdBAmt,$N3324)=0,"",INDEX(LdBAmt,$N3324)))</f>
        <v/>
      </c>
      <c r="G3324" s="32">
        <f>IF($N3324="","",IF(INDEX(LdBNote,$N3324)="","—",INDEX(LdBNote,$N3324)))</f>
        <v/>
      </c>
      <c r="N3324">
        <f>IFERROR(MATCH($C$5&amp;"|"&amp;RIGHT("000000"&amp;1304,6),LdBKeyG,0),"")</f>
        <v/>
      </c>
    </row>
    <row r="3325">
      <c r="A3325" s="10" t="n">
        <v>1305</v>
      </c>
      <c r="B3325" s="14">
        <f>IF($N3325="","",INDEX(LdBDate,$N3325))</f>
        <v/>
      </c>
      <c r="C3325" s="14">
        <f>IF($N3325="","",IF(INDEX(LdBId,$N3325)="","—",INDEX(LdBId,$N3325)))</f>
        <v/>
      </c>
      <c r="D3325" s="14">
        <f>IF($N3325="","",INDEX(LdBMember,$N3325))</f>
        <v/>
      </c>
      <c r="E3325" s="14">
        <f>IF($N3325="","",IFERROR(IF(VLOOKUP(INDEX(LdBMember,$N3325),AcctTblE,4,0)="","(بدون نام)",VLOOKUP(INDEX(LdBMember,$N3325),AcctTblE,4,0)),"—"))</f>
        <v/>
      </c>
      <c r="F3325" s="16">
        <f>IF($N3325="","",IF(INDEX(LdBAmt,$N3325)=0,"",INDEX(LdBAmt,$N3325)))</f>
        <v/>
      </c>
      <c r="G3325" s="30">
        <f>IF($N3325="","",IF(INDEX(LdBNote,$N3325)="","—",INDEX(LdBNote,$N3325)))</f>
        <v/>
      </c>
      <c r="N3325">
        <f>IFERROR(MATCH($C$5&amp;"|"&amp;RIGHT("000000"&amp;1305,6),LdBKeyG,0),"")</f>
        <v/>
      </c>
    </row>
    <row r="3326">
      <c r="A3326" s="19" t="n">
        <v>1306</v>
      </c>
      <c r="B3326" s="20">
        <f>IF($N3326="","",INDEX(LdBDate,$N3326))</f>
        <v/>
      </c>
      <c r="C3326" s="20">
        <f>IF($N3326="","",IF(INDEX(LdBId,$N3326)="","—",INDEX(LdBId,$N3326)))</f>
        <v/>
      </c>
      <c r="D3326" s="20">
        <f>IF($N3326="","",INDEX(LdBMember,$N3326))</f>
        <v/>
      </c>
      <c r="E3326" s="20">
        <f>IF($N3326="","",IFERROR(IF(VLOOKUP(INDEX(LdBMember,$N3326),AcctTblE,4,0)="","(بدون نام)",VLOOKUP(INDEX(LdBMember,$N3326),AcctTblE,4,0)),"—"))</f>
        <v/>
      </c>
      <c r="F3326" s="21">
        <f>IF($N3326="","",IF(INDEX(LdBAmt,$N3326)=0,"",INDEX(LdBAmt,$N3326)))</f>
        <v/>
      </c>
      <c r="G3326" s="32">
        <f>IF($N3326="","",IF(INDEX(LdBNote,$N3326)="","—",INDEX(LdBNote,$N3326)))</f>
        <v/>
      </c>
      <c r="N3326">
        <f>IFERROR(MATCH($C$5&amp;"|"&amp;RIGHT("000000"&amp;1306,6),LdBKeyG,0),"")</f>
        <v/>
      </c>
    </row>
    <row r="3327">
      <c r="A3327" s="10" t="n">
        <v>1307</v>
      </c>
      <c r="B3327" s="14">
        <f>IF($N3327="","",INDEX(LdBDate,$N3327))</f>
        <v/>
      </c>
      <c r="C3327" s="14">
        <f>IF($N3327="","",IF(INDEX(LdBId,$N3327)="","—",INDEX(LdBId,$N3327)))</f>
        <v/>
      </c>
      <c r="D3327" s="14">
        <f>IF($N3327="","",INDEX(LdBMember,$N3327))</f>
        <v/>
      </c>
      <c r="E3327" s="14">
        <f>IF($N3327="","",IFERROR(IF(VLOOKUP(INDEX(LdBMember,$N3327),AcctTblE,4,0)="","(بدون نام)",VLOOKUP(INDEX(LdBMember,$N3327),AcctTblE,4,0)),"—"))</f>
        <v/>
      </c>
      <c r="F3327" s="16">
        <f>IF($N3327="","",IF(INDEX(LdBAmt,$N3327)=0,"",INDEX(LdBAmt,$N3327)))</f>
        <v/>
      </c>
      <c r="G3327" s="30">
        <f>IF($N3327="","",IF(INDEX(LdBNote,$N3327)="","—",INDEX(LdBNote,$N3327)))</f>
        <v/>
      </c>
      <c r="N3327">
        <f>IFERROR(MATCH($C$5&amp;"|"&amp;RIGHT("000000"&amp;1307,6),LdBKeyG,0),"")</f>
        <v/>
      </c>
    </row>
    <row r="3328">
      <c r="A3328" s="19" t="n">
        <v>1308</v>
      </c>
      <c r="B3328" s="20">
        <f>IF($N3328="","",INDEX(LdBDate,$N3328))</f>
        <v/>
      </c>
      <c r="C3328" s="20">
        <f>IF($N3328="","",IF(INDEX(LdBId,$N3328)="","—",INDEX(LdBId,$N3328)))</f>
        <v/>
      </c>
      <c r="D3328" s="20">
        <f>IF($N3328="","",INDEX(LdBMember,$N3328))</f>
        <v/>
      </c>
      <c r="E3328" s="20">
        <f>IF($N3328="","",IFERROR(IF(VLOOKUP(INDEX(LdBMember,$N3328),AcctTblE,4,0)="","(بدون نام)",VLOOKUP(INDEX(LdBMember,$N3328),AcctTblE,4,0)),"—"))</f>
        <v/>
      </c>
      <c r="F3328" s="21">
        <f>IF($N3328="","",IF(INDEX(LdBAmt,$N3328)=0,"",INDEX(LdBAmt,$N3328)))</f>
        <v/>
      </c>
      <c r="G3328" s="32">
        <f>IF($N3328="","",IF(INDEX(LdBNote,$N3328)="","—",INDEX(LdBNote,$N3328)))</f>
        <v/>
      </c>
      <c r="N3328">
        <f>IFERROR(MATCH($C$5&amp;"|"&amp;RIGHT("000000"&amp;1308,6),LdBKeyG,0),"")</f>
        <v/>
      </c>
    </row>
    <row r="3329">
      <c r="A3329" s="10" t="n">
        <v>1309</v>
      </c>
      <c r="B3329" s="14">
        <f>IF($N3329="","",INDEX(LdBDate,$N3329))</f>
        <v/>
      </c>
      <c r="C3329" s="14">
        <f>IF($N3329="","",IF(INDEX(LdBId,$N3329)="","—",INDEX(LdBId,$N3329)))</f>
        <v/>
      </c>
      <c r="D3329" s="14">
        <f>IF($N3329="","",INDEX(LdBMember,$N3329))</f>
        <v/>
      </c>
      <c r="E3329" s="14">
        <f>IF($N3329="","",IFERROR(IF(VLOOKUP(INDEX(LdBMember,$N3329),AcctTblE,4,0)="","(بدون نام)",VLOOKUP(INDEX(LdBMember,$N3329),AcctTblE,4,0)),"—"))</f>
        <v/>
      </c>
      <c r="F3329" s="16">
        <f>IF($N3329="","",IF(INDEX(LdBAmt,$N3329)=0,"",INDEX(LdBAmt,$N3329)))</f>
        <v/>
      </c>
      <c r="G3329" s="30">
        <f>IF($N3329="","",IF(INDEX(LdBNote,$N3329)="","—",INDEX(LdBNote,$N3329)))</f>
        <v/>
      </c>
      <c r="N3329">
        <f>IFERROR(MATCH($C$5&amp;"|"&amp;RIGHT("000000"&amp;1309,6),LdBKeyG,0),"")</f>
        <v/>
      </c>
    </row>
    <row r="3330">
      <c r="A3330" s="19" t="n">
        <v>1310</v>
      </c>
      <c r="B3330" s="20">
        <f>IF($N3330="","",INDEX(LdBDate,$N3330))</f>
        <v/>
      </c>
      <c r="C3330" s="20">
        <f>IF($N3330="","",IF(INDEX(LdBId,$N3330)="","—",INDEX(LdBId,$N3330)))</f>
        <v/>
      </c>
      <c r="D3330" s="20">
        <f>IF($N3330="","",INDEX(LdBMember,$N3330))</f>
        <v/>
      </c>
      <c r="E3330" s="20">
        <f>IF($N3330="","",IFERROR(IF(VLOOKUP(INDEX(LdBMember,$N3330),AcctTblE,4,0)="","(بدون نام)",VLOOKUP(INDEX(LdBMember,$N3330),AcctTblE,4,0)),"—"))</f>
        <v/>
      </c>
      <c r="F3330" s="21">
        <f>IF($N3330="","",IF(INDEX(LdBAmt,$N3330)=0,"",INDEX(LdBAmt,$N3330)))</f>
        <v/>
      </c>
      <c r="G3330" s="32">
        <f>IF($N3330="","",IF(INDEX(LdBNote,$N3330)="","—",INDEX(LdBNote,$N3330)))</f>
        <v/>
      </c>
      <c r="N3330">
        <f>IFERROR(MATCH($C$5&amp;"|"&amp;RIGHT("000000"&amp;1310,6),LdBKeyG,0),"")</f>
        <v/>
      </c>
    </row>
    <row r="3331">
      <c r="A3331" s="10" t="n">
        <v>1311</v>
      </c>
      <c r="B3331" s="14">
        <f>IF($N3331="","",INDEX(LdBDate,$N3331))</f>
        <v/>
      </c>
      <c r="C3331" s="14">
        <f>IF($N3331="","",IF(INDEX(LdBId,$N3331)="","—",INDEX(LdBId,$N3331)))</f>
        <v/>
      </c>
      <c r="D3331" s="14">
        <f>IF($N3331="","",INDEX(LdBMember,$N3331))</f>
        <v/>
      </c>
      <c r="E3331" s="14">
        <f>IF($N3331="","",IFERROR(IF(VLOOKUP(INDEX(LdBMember,$N3331),AcctTblE,4,0)="","(بدون نام)",VLOOKUP(INDEX(LdBMember,$N3331),AcctTblE,4,0)),"—"))</f>
        <v/>
      </c>
      <c r="F3331" s="16">
        <f>IF($N3331="","",IF(INDEX(LdBAmt,$N3331)=0,"",INDEX(LdBAmt,$N3331)))</f>
        <v/>
      </c>
      <c r="G3331" s="30">
        <f>IF($N3331="","",IF(INDEX(LdBNote,$N3331)="","—",INDEX(LdBNote,$N3331)))</f>
        <v/>
      </c>
      <c r="N3331">
        <f>IFERROR(MATCH($C$5&amp;"|"&amp;RIGHT("000000"&amp;1311,6),LdBKeyG,0),"")</f>
        <v/>
      </c>
    </row>
    <row r="3332">
      <c r="A3332" s="19" t="n">
        <v>1312</v>
      </c>
      <c r="B3332" s="20">
        <f>IF($N3332="","",INDEX(LdBDate,$N3332))</f>
        <v/>
      </c>
      <c r="C3332" s="20">
        <f>IF($N3332="","",IF(INDEX(LdBId,$N3332)="","—",INDEX(LdBId,$N3332)))</f>
        <v/>
      </c>
      <c r="D3332" s="20">
        <f>IF($N3332="","",INDEX(LdBMember,$N3332))</f>
        <v/>
      </c>
      <c r="E3332" s="20">
        <f>IF($N3332="","",IFERROR(IF(VLOOKUP(INDEX(LdBMember,$N3332),AcctTblE,4,0)="","(بدون نام)",VLOOKUP(INDEX(LdBMember,$N3332),AcctTblE,4,0)),"—"))</f>
        <v/>
      </c>
      <c r="F3332" s="21">
        <f>IF($N3332="","",IF(INDEX(LdBAmt,$N3332)=0,"",INDEX(LdBAmt,$N3332)))</f>
        <v/>
      </c>
      <c r="G3332" s="32">
        <f>IF($N3332="","",IF(INDEX(LdBNote,$N3332)="","—",INDEX(LdBNote,$N3332)))</f>
        <v/>
      </c>
      <c r="N3332">
        <f>IFERROR(MATCH($C$5&amp;"|"&amp;RIGHT("000000"&amp;1312,6),LdBKeyG,0),"")</f>
        <v/>
      </c>
    </row>
    <row r="3333">
      <c r="A3333" s="10" t="n">
        <v>1313</v>
      </c>
      <c r="B3333" s="14">
        <f>IF($N3333="","",INDEX(LdBDate,$N3333))</f>
        <v/>
      </c>
      <c r="C3333" s="14">
        <f>IF($N3333="","",IF(INDEX(LdBId,$N3333)="","—",INDEX(LdBId,$N3333)))</f>
        <v/>
      </c>
      <c r="D3333" s="14">
        <f>IF($N3333="","",INDEX(LdBMember,$N3333))</f>
        <v/>
      </c>
      <c r="E3333" s="14">
        <f>IF($N3333="","",IFERROR(IF(VLOOKUP(INDEX(LdBMember,$N3333),AcctTblE,4,0)="","(بدون نام)",VLOOKUP(INDEX(LdBMember,$N3333),AcctTblE,4,0)),"—"))</f>
        <v/>
      </c>
      <c r="F3333" s="16">
        <f>IF($N3333="","",IF(INDEX(LdBAmt,$N3333)=0,"",INDEX(LdBAmt,$N3333)))</f>
        <v/>
      </c>
      <c r="G3333" s="30">
        <f>IF($N3333="","",IF(INDEX(LdBNote,$N3333)="","—",INDEX(LdBNote,$N3333)))</f>
        <v/>
      </c>
      <c r="N3333">
        <f>IFERROR(MATCH($C$5&amp;"|"&amp;RIGHT("000000"&amp;1313,6),LdBKeyG,0),"")</f>
        <v/>
      </c>
    </row>
    <row r="3334">
      <c r="A3334" s="19" t="n">
        <v>1314</v>
      </c>
      <c r="B3334" s="20">
        <f>IF($N3334="","",INDEX(LdBDate,$N3334))</f>
        <v/>
      </c>
      <c r="C3334" s="20">
        <f>IF($N3334="","",IF(INDEX(LdBId,$N3334)="","—",INDEX(LdBId,$N3334)))</f>
        <v/>
      </c>
      <c r="D3334" s="20">
        <f>IF($N3334="","",INDEX(LdBMember,$N3334))</f>
        <v/>
      </c>
      <c r="E3334" s="20">
        <f>IF($N3334="","",IFERROR(IF(VLOOKUP(INDEX(LdBMember,$N3334),AcctTblE,4,0)="","(بدون نام)",VLOOKUP(INDEX(LdBMember,$N3334),AcctTblE,4,0)),"—"))</f>
        <v/>
      </c>
      <c r="F3334" s="21">
        <f>IF($N3334="","",IF(INDEX(LdBAmt,$N3334)=0,"",INDEX(LdBAmt,$N3334)))</f>
        <v/>
      </c>
      <c r="G3334" s="32">
        <f>IF($N3334="","",IF(INDEX(LdBNote,$N3334)="","—",INDEX(LdBNote,$N3334)))</f>
        <v/>
      </c>
      <c r="N3334">
        <f>IFERROR(MATCH($C$5&amp;"|"&amp;RIGHT("000000"&amp;1314,6),LdBKeyG,0),"")</f>
        <v/>
      </c>
    </row>
    <row r="3335">
      <c r="A3335" s="10" t="n">
        <v>1315</v>
      </c>
      <c r="B3335" s="14">
        <f>IF($N3335="","",INDEX(LdBDate,$N3335))</f>
        <v/>
      </c>
      <c r="C3335" s="14">
        <f>IF($N3335="","",IF(INDEX(LdBId,$N3335)="","—",INDEX(LdBId,$N3335)))</f>
        <v/>
      </c>
      <c r="D3335" s="14">
        <f>IF($N3335="","",INDEX(LdBMember,$N3335))</f>
        <v/>
      </c>
      <c r="E3335" s="14">
        <f>IF($N3335="","",IFERROR(IF(VLOOKUP(INDEX(LdBMember,$N3335),AcctTblE,4,0)="","(بدون نام)",VLOOKUP(INDEX(LdBMember,$N3335),AcctTblE,4,0)),"—"))</f>
        <v/>
      </c>
      <c r="F3335" s="16">
        <f>IF($N3335="","",IF(INDEX(LdBAmt,$N3335)=0,"",INDEX(LdBAmt,$N3335)))</f>
        <v/>
      </c>
      <c r="G3335" s="30">
        <f>IF($N3335="","",IF(INDEX(LdBNote,$N3335)="","—",INDEX(LdBNote,$N3335)))</f>
        <v/>
      </c>
      <c r="N3335">
        <f>IFERROR(MATCH($C$5&amp;"|"&amp;RIGHT("000000"&amp;1315,6),LdBKeyG,0),"")</f>
        <v/>
      </c>
    </row>
    <row r="3336">
      <c r="A3336" s="19" t="n">
        <v>1316</v>
      </c>
      <c r="B3336" s="20">
        <f>IF($N3336="","",INDEX(LdBDate,$N3336))</f>
        <v/>
      </c>
      <c r="C3336" s="20">
        <f>IF($N3336="","",IF(INDEX(LdBId,$N3336)="","—",INDEX(LdBId,$N3336)))</f>
        <v/>
      </c>
      <c r="D3336" s="20">
        <f>IF($N3336="","",INDEX(LdBMember,$N3336))</f>
        <v/>
      </c>
      <c r="E3336" s="20">
        <f>IF($N3336="","",IFERROR(IF(VLOOKUP(INDEX(LdBMember,$N3336),AcctTblE,4,0)="","(بدون نام)",VLOOKUP(INDEX(LdBMember,$N3336),AcctTblE,4,0)),"—"))</f>
        <v/>
      </c>
      <c r="F3336" s="21">
        <f>IF($N3336="","",IF(INDEX(LdBAmt,$N3336)=0,"",INDEX(LdBAmt,$N3336)))</f>
        <v/>
      </c>
      <c r="G3336" s="32">
        <f>IF($N3336="","",IF(INDEX(LdBNote,$N3336)="","—",INDEX(LdBNote,$N3336)))</f>
        <v/>
      </c>
      <c r="N3336">
        <f>IFERROR(MATCH($C$5&amp;"|"&amp;RIGHT("000000"&amp;1316,6),LdBKeyG,0),"")</f>
        <v/>
      </c>
    </row>
    <row r="3337">
      <c r="A3337" s="10" t="n">
        <v>1317</v>
      </c>
      <c r="B3337" s="14">
        <f>IF($N3337="","",INDEX(LdBDate,$N3337))</f>
        <v/>
      </c>
      <c r="C3337" s="14">
        <f>IF($N3337="","",IF(INDEX(LdBId,$N3337)="","—",INDEX(LdBId,$N3337)))</f>
        <v/>
      </c>
      <c r="D3337" s="14">
        <f>IF($N3337="","",INDEX(LdBMember,$N3337))</f>
        <v/>
      </c>
      <c r="E3337" s="14">
        <f>IF($N3337="","",IFERROR(IF(VLOOKUP(INDEX(LdBMember,$N3337),AcctTblE,4,0)="","(بدون نام)",VLOOKUP(INDEX(LdBMember,$N3337),AcctTblE,4,0)),"—"))</f>
        <v/>
      </c>
      <c r="F3337" s="16">
        <f>IF($N3337="","",IF(INDEX(LdBAmt,$N3337)=0,"",INDEX(LdBAmt,$N3337)))</f>
        <v/>
      </c>
      <c r="G3337" s="30">
        <f>IF($N3337="","",IF(INDEX(LdBNote,$N3337)="","—",INDEX(LdBNote,$N3337)))</f>
        <v/>
      </c>
      <c r="N3337">
        <f>IFERROR(MATCH($C$5&amp;"|"&amp;RIGHT("000000"&amp;1317,6),LdBKeyG,0),"")</f>
        <v/>
      </c>
    </row>
    <row r="3338">
      <c r="A3338" s="19" t="n">
        <v>1318</v>
      </c>
      <c r="B3338" s="20">
        <f>IF($N3338="","",INDEX(LdBDate,$N3338))</f>
        <v/>
      </c>
      <c r="C3338" s="20">
        <f>IF($N3338="","",IF(INDEX(LdBId,$N3338)="","—",INDEX(LdBId,$N3338)))</f>
        <v/>
      </c>
      <c r="D3338" s="20">
        <f>IF($N3338="","",INDEX(LdBMember,$N3338))</f>
        <v/>
      </c>
      <c r="E3338" s="20">
        <f>IF($N3338="","",IFERROR(IF(VLOOKUP(INDEX(LdBMember,$N3338),AcctTblE,4,0)="","(بدون نام)",VLOOKUP(INDEX(LdBMember,$N3338),AcctTblE,4,0)),"—"))</f>
        <v/>
      </c>
      <c r="F3338" s="21">
        <f>IF($N3338="","",IF(INDEX(LdBAmt,$N3338)=0,"",INDEX(LdBAmt,$N3338)))</f>
        <v/>
      </c>
      <c r="G3338" s="32">
        <f>IF($N3338="","",IF(INDEX(LdBNote,$N3338)="","—",INDEX(LdBNote,$N3338)))</f>
        <v/>
      </c>
      <c r="N3338">
        <f>IFERROR(MATCH($C$5&amp;"|"&amp;RIGHT("000000"&amp;1318,6),LdBKeyG,0),"")</f>
        <v/>
      </c>
    </row>
    <row r="3339">
      <c r="A3339" s="10" t="n">
        <v>1319</v>
      </c>
      <c r="B3339" s="14">
        <f>IF($N3339="","",INDEX(LdBDate,$N3339))</f>
        <v/>
      </c>
      <c r="C3339" s="14">
        <f>IF($N3339="","",IF(INDEX(LdBId,$N3339)="","—",INDEX(LdBId,$N3339)))</f>
        <v/>
      </c>
      <c r="D3339" s="14">
        <f>IF($N3339="","",INDEX(LdBMember,$N3339))</f>
        <v/>
      </c>
      <c r="E3339" s="14">
        <f>IF($N3339="","",IFERROR(IF(VLOOKUP(INDEX(LdBMember,$N3339),AcctTblE,4,0)="","(بدون نام)",VLOOKUP(INDEX(LdBMember,$N3339),AcctTblE,4,0)),"—"))</f>
        <v/>
      </c>
      <c r="F3339" s="16">
        <f>IF($N3339="","",IF(INDEX(LdBAmt,$N3339)=0,"",INDEX(LdBAmt,$N3339)))</f>
        <v/>
      </c>
      <c r="G3339" s="30">
        <f>IF($N3339="","",IF(INDEX(LdBNote,$N3339)="","—",INDEX(LdBNote,$N3339)))</f>
        <v/>
      </c>
      <c r="N3339">
        <f>IFERROR(MATCH($C$5&amp;"|"&amp;RIGHT("000000"&amp;1319,6),LdBKeyG,0),"")</f>
        <v/>
      </c>
    </row>
    <row r="3340">
      <c r="A3340" s="19" t="n">
        <v>1320</v>
      </c>
      <c r="B3340" s="20">
        <f>IF($N3340="","",INDEX(LdBDate,$N3340))</f>
        <v/>
      </c>
      <c r="C3340" s="20">
        <f>IF($N3340="","",IF(INDEX(LdBId,$N3340)="","—",INDEX(LdBId,$N3340)))</f>
        <v/>
      </c>
      <c r="D3340" s="20">
        <f>IF($N3340="","",INDEX(LdBMember,$N3340))</f>
        <v/>
      </c>
      <c r="E3340" s="20">
        <f>IF($N3340="","",IFERROR(IF(VLOOKUP(INDEX(LdBMember,$N3340),AcctTblE,4,0)="","(بدون نام)",VLOOKUP(INDEX(LdBMember,$N3340),AcctTblE,4,0)),"—"))</f>
        <v/>
      </c>
      <c r="F3340" s="21">
        <f>IF($N3340="","",IF(INDEX(LdBAmt,$N3340)=0,"",INDEX(LdBAmt,$N3340)))</f>
        <v/>
      </c>
      <c r="G3340" s="32">
        <f>IF($N3340="","",IF(INDEX(LdBNote,$N3340)="","—",INDEX(LdBNote,$N3340)))</f>
        <v/>
      </c>
      <c r="N3340">
        <f>IFERROR(MATCH($C$5&amp;"|"&amp;RIGHT("000000"&amp;1320,6),LdBKeyG,0),"")</f>
        <v/>
      </c>
    </row>
    <row r="3341">
      <c r="A3341" s="10" t="n">
        <v>1321</v>
      </c>
      <c r="B3341" s="14">
        <f>IF($N3341="","",INDEX(LdBDate,$N3341))</f>
        <v/>
      </c>
      <c r="C3341" s="14">
        <f>IF($N3341="","",IF(INDEX(LdBId,$N3341)="","—",INDEX(LdBId,$N3341)))</f>
        <v/>
      </c>
      <c r="D3341" s="14">
        <f>IF($N3341="","",INDEX(LdBMember,$N3341))</f>
        <v/>
      </c>
      <c r="E3341" s="14">
        <f>IF($N3341="","",IFERROR(IF(VLOOKUP(INDEX(LdBMember,$N3341),AcctTblE,4,0)="","(بدون نام)",VLOOKUP(INDEX(LdBMember,$N3341),AcctTblE,4,0)),"—"))</f>
        <v/>
      </c>
      <c r="F3341" s="16">
        <f>IF($N3341="","",IF(INDEX(LdBAmt,$N3341)=0,"",INDEX(LdBAmt,$N3341)))</f>
        <v/>
      </c>
      <c r="G3341" s="30">
        <f>IF($N3341="","",IF(INDEX(LdBNote,$N3341)="","—",INDEX(LdBNote,$N3341)))</f>
        <v/>
      </c>
      <c r="N3341">
        <f>IFERROR(MATCH($C$5&amp;"|"&amp;RIGHT("000000"&amp;1321,6),LdBKeyG,0),"")</f>
        <v/>
      </c>
    </row>
    <row r="3342">
      <c r="A3342" s="19" t="n">
        <v>1322</v>
      </c>
      <c r="B3342" s="20">
        <f>IF($N3342="","",INDEX(LdBDate,$N3342))</f>
        <v/>
      </c>
      <c r="C3342" s="20">
        <f>IF($N3342="","",IF(INDEX(LdBId,$N3342)="","—",INDEX(LdBId,$N3342)))</f>
        <v/>
      </c>
      <c r="D3342" s="20">
        <f>IF($N3342="","",INDEX(LdBMember,$N3342))</f>
        <v/>
      </c>
      <c r="E3342" s="20">
        <f>IF($N3342="","",IFERROR(IF(VLOOKUP(INDEX(LdBMember,$N3342),AcctTblE,4,0)="","(بدون نام)",VLOOKUP(INDEX(LdBMember,$N3342),AcctTblE,4,0)),"—"))</f>
        <v/>
      </c>
      <c r="F3342" s="21">
        <f>IF($N3342="","",IF(INDEX(LdBAmt,$N3342)=0,"",INDEX(LdBAmt,$N3342)))</f>
        <v/>
      </c>
      <c r="G3342" s="32">
        <f>IF($N3342="","",IF(INDEX(LdBNote,$N3342)="","—",INDEX(LdBNote,$N3342)))</f>
        <v/>
      </c>
      <c r="N3342">
        <f>IFERROR(MATCH($C$5&amp;"|"&amp;RIGHT("000000"&amp;1322,6),LdBKeyG,0),"")</f>
        <v/>
      </c>
    </row>
    <row r="3343">
      <c r="A3343" s="10" t="n">
        <v>1323</v>
      </c>
      <c r="B3343" s="14">
        <f>IF($N3343="","",INDEX(LdBDate,$N3343))</f>
        <v/>
      </c>
      <c r="C3343" s="14">
        <f>IF($N3343="","",IF(INDEX(LdBId,$N3343)="","—",INDEX(LdBId,$N3343)))</f>
        <v/>
      </c>
      <c r="D3343" s="14">
        <f>IF($N3343="","",INDEX(LdBMember,$N3343))</f>
        <v/>
      </c>
      <c r="E3343" s="14">
        <f>IF($N3343="","",IFERROR(IF(VLOOKUP(INDEX(LdBMember,$N3343),AcctTblE,4,0)="","(بدون نام)",VLOOKUP(INDEX(LdBMember,$N3343),AcctTblE,4,0)),"—"))</f>
        <v/>
      </c>
      <c r="F3343" s="16">
        <f>IF($N3343="","",IF(INDEX(LdBAmt,$N3343)=0,"",INDEX(LdBAmt,$N3343)))</f>
        <v/>
      </c>
      <c r="G3343" s="30">
        <f>IF($N3343="","",IF(INDEX(LdBNote,$N3343)="","—",INDEX(LdBNote,$N3343)))</f>
        <v/>
      </c>
      <c r="N3343">
        <f>IFERROR(MATCH($C$5&amp;"|"&amp;RIGHT("000000"&amp;1323,6),LdBKeyG,0),"")</f>
        <v/>
      </c>
    </row>
    <row r="3344">
      <c r="A3344" s="19" t="n">
        <v>1324</v>
      </c>
      <c r="B3344" s="20">
        <f>IF($N3344="","",INDEX(LdBDate,$N3344))</f>
        <v/>
      </c>
      <c r="C3344" s="20">
        <f>IF($N3344="","",IF(INDEX(LdBId,$N3344)="","—",INDEX(LdBId,$N3344)))</f>
        <v/>
      </c>
      <c r="D3344" s="20">
        <f>IF($N3344="","",INDEX(LdBMember,$N3344))</f>
        <v/>
      </c>
      <c r="E3344" s="20">
        <f>IF($N3344="","",IFERROR(IF(VLOOKUP(INDEX(LdBMember,$N3344),AcctTblE,4,0)="","(بدون نام)",VLOOKUP(INDEX(LdBMember,$N3344),AcctTblE,4,0)),"—"))</f>
        <v/>
      </c>
      <c r="F3344" s="21">
        <f>IF($N3344="","",IF(INDEX(LdBAmt,$N3344)=0,"",INDEX(LdBAmt,$N3344)))</f>
        <v/>
      </c>
      <c r="G3344" s="32">
        <f>IF($N3344="","",IF(INDEX(LdBNote,$N3344)="","—",INDEX(LdBNote,$N3344)))</f>
        <v/>
      </c>
      <c r="N3344">
        <f>IFERROR(MATCH($C$5&amp;"|"&amp;RIGHT("000000"&amp;1324,6),LdBKeyG,0),"")</f>
        <v/>
      </c>
    </row>
    <row r="3345">
      <c r="A3345" s="10" t="n">
        <v>1325</v>
      </c>
      <c r="B3345" s="14">
        <f>IF($N3345="","",INDEX(LdBDate,$N3345))</f>
        <v/>
      </c>
      <c r="C3345" s="14">
        <f>IF($N3345="","",IF(INDEX(LdBId,$N3345)="","—",INDEX(LdBId,$N3345)))</f>
        <v/>
      </c>
      <c r="D3345" s="14">
        <f>IF($N3345="","",INDEX(LdBMember,$N3345))</f>
        <v/>
      </c>
      <c r="E3345" s="14">
        <f>IF($N3345="","",IFERROR(IF(VLOOKUP(INDEX(LdBMember,$N3345),AcctTblE,4,0)="","(بدون نام)",VLOOKUP(INDEX(LdBMember,$N3345),AcctTblE,4,0)),"—"))</f>
        <v/>
      </c>
      <c r="F3345" s="16">
        <f>IF($N3345="","",IF(INDEX(LdBAmt,$N3345)=0,"",INDEX(LdBAmt,$N3345)))</f>
        <v/>
      </c>
      <c r="G3345" s="30">
        <f>IF($N3345="","",IF(INDEX(LdBNote,$N3345)="","—",INDEX(LdBNote,$N3345)))</f>
        <v/>
      </c>
      <c r="N3345">
        <f>IFERROR(MATCH($C$5&amp;"|"&amp;RIGHT("000000"&amp;1325,6),LdBKeyG,0),"")</f>
        <v/>
      </c>
    </row>
    <row r="3346">
      <c r="A3346" s="19" t="n">
        <v>1326</v>
      </c>
      <c r="B3346" s="20">
        <f>IF($N3346="","",INDEX(LdBDate,$N3346))</f>
        <v/>
      </c>
      <c r="C3346" s="20">
        <f>IF($N3346="","",IF(INDEX(LdBId,$N3346)="","—",INDEX(LdBId,$N3346)))</f>
        <v/>
      </c>
      <c r="D3346" s="20">
        <f>IF($N3346="","",INDEX(LdBMember,$N3346))</f>
        <v/>
      </c>
      <c r="E3346" s="20">
        <f>IF($N3346="","",IFERROR(IF(VLOOKUP(INDEX(LdBMember,$N3346),AcctTblE,4,0)="","(بدون نام)",VLOOKUP(INDEX(LdBMember,$N3346),AcctTblE,4,0)),"—"))</f>
        <v/>
      </c>
      <c r="F3346" s="21">
        <f>IF($N3346="","",IF(INDEX(LdBAmt,$N3346)=0,"",INDEX(LdBAmt,$N3346)))</f>
        <v/>
      </c>
      <c r="G3346" s="32">
        <f>IF($N3346="","",IF(INDEX(LdBNote,$N3346)="","—",INDEX(LdBNote,$N3346)))</f>
        <v/>
      </c>
      <c r="N3346">
        <f>IFERROR(MATCH($C$5&amp;"|"&amp;RIGHT("000000"&amp;1326,6),LdBKeyG,0),"")</f>
        <v/>
      </c>
    </row>
    <row r="3347">
      <c r="A3347" s="10" t="n">
        <v>1327</v>
      </c>
      <c r="B3347" s="14">
        <f>IF($N3347="","",INDEX(LdBDate,$N3347))</f>
        <v/>
      </c>
      <c r="C3347" s="14">
        <f>IF($N3347="","",IF(INDEX(LdBId,$N3347)="","—",INDEX(LdBId,$N3347)))</f>
        <v/>
      </c>
      <c r="D3347" s="14">
        <f>IF($N3347="","",INDEX(LdBMember,$N3347))</f>
        <v/>
      </c>
      <c r="E3347" s="14">
        <f>IF($N3347="","",IFERROR(IF(VLOOKUP(INDEX(LdBMember,$N3347),AcctTblE,4,0)="","(بدون نام)",VLOOKUP(INDEX(LdBMember,$N3347),AcctTblE,4,0)),"—"))</f>
        <v/>
      </c>
      <c r="F3347" s="16">
        <f>IF($N3347="","",IF(INDEX(LdBAmt,$N3347)=0,"",INDEX(LdBAmt,$N3347)))</f>
        <v/>
      </c>
      <c r="G3347" s="30">
        <f>IF($N3347="","",IF(INDEX(LdBNote,$N3347)="","—",INDEX(LdBNote,$N3347)))</f>
        <v/>
      </c>
      <c r="N3347">
        <f>IFERROR(MATCH($C$5&amp;"|"&amp;RIGHT("000000"&amp;1327,6),LdBKeyG,0),"")</f>
        <v/>
      </c>
    </row>
    <row r="3348">
      <c r="A3348" s="19" t="n">
        <v>1328</v>
      </c>
      <c r="B3348" s="20">
        <f>IF($N3348="","",INDEX(LdBDate,$N3348))</f>
        <v/>
      </c>
      <c r="C3348" s="20">
        <f>IF($N3348="","",IF(INDEX(LdBId,$N3348)="","—",INDEX(LdBId,$N3348)))</f>
        <v/>
      </c>
      <c r="D3348" s="20">
        <f>IF($N3348="","",INDEX(LdBMember,$N3348))</f>
        <v/>
      </c>
      <c r="E3348" s="20">
        <f>IF($N3348="","",IFERROR(IF(VLOOKUP(INDEX(LdBMember,$N3348),AcctTblE,4,0)="","(بدون نام)",VLOOKUP(INDEX(LdBMember,$N3348),AcctTblE,4,0)),"—"))</f>
        <v/>
      </c>
      <c r="F3348" s="21">
        <f>IF($N3348="","",IF(INDEX(LdBAmt,$N3348)=0,"",INDEX(LdBAmt,$N3348)))</f>
        <v/>
      </c>
      <c r="G3348" s="32">
        <f>IF($N3348="","",IF(INDEX(LdBNote,$N3348)="","—",INDEX(LdBNote,$N3348)))</f>
        <v/>
      </c>
      <c r="N3348">
        <f>IFERROR(MATCH($C$5&amp;"|"&amp;RIGHT("000000"&amp;1328,6),LdBKeyG,0),"")</f>
        <v/>
      </c>
    </row>
    <row r="3349">
      <c r="A3349" s="10" t="n">
        <v>1329</v>
      </c>
      <c r="B3349" s="14">
        <f>IF($N3349="","",INDEX(LdBDate,$N3349))</f>
        <v/>
      </c>
      <c r="C3349" s="14">
        <f>IF($N3349="","",IF(INDEX(LdBId,$N3349)="","—",INDEX(LdBId,$N3349)))</f>
        <v/>
      </c>
      <c r="D3349" s="14">
        <f>IF($N3349="","",INDEX(LdBMember,$N3349))</f>
        <v/>
      </c>
      <c r="E3349" s="14">
        <f>IF($N3349="","",IFERROR(IF(VLOOKUP(INDEX(LdBMember,$N3349),AcctTblE,4,0)="","(بدون نام)",VLOOKUP(INDEX(LdBMember,$N3349),AcctTblE,4,0)),"—"))</f>
        <v/>
      </c>
      <c r="F3349" s="16">
        <f>IF($N3349="","",IF(INDEX(LdBAmt,$N3349)=0,"",INDEX(LdBAmt,$N3349)))</f>
        <v/>
      </c>
      <c r="G3349" s="30">
        <f>IF($N3349="","",IF(INDEX(LdBNote,$N3349)="","—",INDEX(LdBNote,$N3349)))</f>
        <v/>
      </c>
      <c r="N3349">
        <f>IFERROR(MATCH($C$5&amp;"|"&amp;RIGHT("000000"&amp;1329,6),LdBKeyG,0),"")</f>
        <v/>
      </c>
    </row>
    <row r="3350">
      <c r="A3350" s="19" t="n">
        <v>1330</v>
      </c>
      <c r="B3350" s="20">
        <f>IF($N3350="","",INDEX(LdBDate,$N3350))</f>
        <v/>
      </c>
      <c r="C3350" s="20">
        <f>IF($N3350="","",IF(INDEX(LdBId,$N3350)="","—",INDEX(LdBId,$N3350)))</f>
        <v/>
      </c>
      <c r="D3350" s="20">
        <f>IF($N3350="","",INDEX(LdBMember,$N3350))</f>
        <v/>
      </c>
      <c r="E3350" s="20">
        <f>IF($N3350="","",IFERROR(IF(VLOOKUP(INDEX(LdBMember,$N3350),AcctTblE,4,0)="","(بدون نام)",VLOOKUP(INDEX(LdBMember,$N3350),AcctTblE,4,0)),"—"))</f>
        <v/>
      </c>
      <c r="F3350" s="21">
        <f>IF($N3350="","",IF(INDEX(LdBAmt,$N3350)=0,"",INDEX(LdBAmt,$N3350)))</f>
        <v/>
      </c>
      <c r="G3350" s="32">
        <f>IF($N3350="","",IF(INDEX(LdBNote,$N3350)="","—",INDEX(LdBNote,$N3350)))</f>
        <v/>
      </c>
      <c r="N3350">
        <f>IFERROR(MATCH($C$5&amp;"|"&amp;RIGHT("000000"&amp;1330,6),LdBKeyG,0),"")</f>
        <v/>
      </c>
    </row>
    <row r="3351">
      <c r="A3351" s="10" t="n">
        <v>1331</v>
      </c>
      <c r="B3351" s="14">
        <f>IF($N3351="","",INDEX(LdBDate,$N3351))</f>
        <v/>
      </c>
      <c r="C3351" s="14">
        <f>IF($N3351="","",IF(INDEX(LdBId,$N3351)="","—",INDEX(LdBId,$N3351)))</f>
        <v/>
      </c>
      <c r="D3351" s="14">
        <f>IF($N3351="","",INDEX(LdBMember,$N3351))</f>
        <v/>
      </c>
      <c r="E3351" s="14">
        <f>IF($N3351="","",IFERROR(IF(VLOOKUP(INDEX(LdBMember,$N3351),AcctTblE,4,0)="","(بدون نام)",VLOOKUP(INDEX(LdBMember,$N3351),AcctTblE,4,0)),"—"))</f>
        <v/>
      </c>
      <c r="F3351" s="16">
        <f>IF($N3351="","",IF(INDEX(LdBAmt,$N3351)=0,"",INDEX(LdBAmt,$N3351)))</f>
        <v/>
      </c>
      <c r="G3351" s="30">
        <f>IF($N3351="","",IF(INDEX(LdBNote,$N3351)="","—",INDEX(LdBNote,$N3351)))</f>
        <v/>
      </c>
      <c r="N3351">
        <f>IFERROR(MATCH($C$5&amp;"|"&amp;RIGHT("000000"&amp;1331,6),LdBKeyG,0),"")</f>
        <v/>
      </c>
    </row>
    <row r="3352">
      <c r="A3352" s="19" t="n">
        <v>1332</v>
      </c>
      <c r="B3352" s="20">
        <f>IF($N3352="","",INDEX(LdBDate,$N3352))</f>
        <v/>
      </c>
      <c r="C3352" s="20">
        <f>IF($N3352="","",IF(INDEX(LdBId,$N3352)="","—",INDEX(LdBId,$N3352)))</f>
        <v/>
      </c>
      <c r="D3352" s="20">
        <f>IF($N3352="","",INDEX(LdBMember,$N3352))</f>
        <v/>
      </c>
      <c r="E3352" s="20">
        <f>IF($N3352="","",IFERROR(IF(VLOOKUP(INDEX(LdBMember,$N3352),AcctTblE,4,0)="","(بدون نام)",VLOOKUP(INDEX(LdBMember,$N3352),AcctTblE,4,0)),"—"))</f>
        <v/>
      </c>
      <c r="F3352" s="21">
        <f>IF($N3352="","",IF(INDEX(LdBAmt,$N3352)=0,"",INDEX(LdBAmt,$N3352)))</f>
        <v/>
      </c>
      <c r="G3352" s="32">
        <f>IF($N3352="","",IF(INDEX(LdBNote,$N3352)="","—",INDEX(LdBNote,$N3352)))</f>
        <v/>
      </c>
      <c r="N3352">
        <f>IFERROR(MATCH($C$5&amp;"|"&amp;RIGHT("000000"&amp;1332,6),LdBKeyG,0),"")</f>
        <v/>
      </c>
    </row>
    <row r="3353">
      <c r="A3353" s="10" t="n">
        <v>1333</v>
      </c>
      <c r="B3353" s="14">
        <f>IF($N3353="","",INDEX(LdBDate,$N3353))</f>
        <v/>
      </c>
      <c r="C3353" s="14">
        <f>IF($N3353="","",IF(INDEX(LdBId,$N3353)="","—",INDEX(LdBId,$N3353)))</f>
        <v/>
      </c>
      <c r="D3353" s="14">
        <f>IF($N3353="","",INDEX(LdBMember,$N3353))</f>
        <v/>
      </c>
      <c r="E3353" s="14">
        <f>IF($N3353="","",IFERROR(IF(VLOOKUP(INDEX(LdBMember,$N3353),AcctTblE,4,0)="","(بدون نام)",VLOOKUP(INDEX(LdBMember,$N3353),AcctTblE,4,0)),"—"))</f>
        <v/>
      </c>
      <c r="F3353" s="16">
        <f>IF($N3353="","",IF(INDEX(LdBAmt,$N3353)=0,"",INDEX(LdBAmt,$N3353)))</f>
        <v/>
      </c>
      <c r="G3353" s="30">
        <f>IF($N3353="","",IF(INDEX(LdBNote,$N3353)="","—",INDEX(LdBNote,$N3353)))</f>
        <v/>
      </c>
      <c r="N3353">
        <f>IFERROR(MATCH($C$5&amp;"|"&amp;RIGHT("000000"&amp;1333,6),LdBKeyG,0),"")</f>
        <v/>
      </c>
    </row>
    <row r="3354">
      <c r="A3354" s="19" t="n">
        <v>1334</v>
      </c>
      <c r="B3354" s="20">
        <f>IF($N3354="","",INDEX(LdBDate,$N3354))</f>
        <v/>
      </c>
      <c r="C3354" s="20">
        <f>IF($N3354="","",IF(INDEX(LdBId,$N3354)="","—",INDEX(LdBId,$N3354)))</f>
        <v/>
      </c>
      <c r="D3354" s="20">
        <f>IF($N3354="","",INDEX(LdBMember,$N3354))</f>
        <v/>
      </c>
      <c r="E3354" s="20">
        <f>IF($N3354="","",IFERROR(IF(VLOOKUP(INDEX(LdBMember,$N3354),AcctTblE,4,0)="","(بدون نام)",VLOOKUP(INDEX(LdBMember,$N3354),AcctTblE,4,0)),"—"))</f>
        <v/>
      </c>
      <c r="F3354" s="21">
        <f>IF($N3354="","",IF(INDEX(LdBAmt,$N3354)=0,"",INDEX(LdBAmt,$N3354)))</f>
        <v/>
      </c>
      <c r="G3354" s="32">
        <f>IF($N3354="","",IF(INDEX(LdBNote,$N3354)="","—",INDEX(LdBNote,$N3354)))</f>
        <v/>
      </c>
      <c r="N3354">
        <f>IFERROR(MATCH($C$5&amp;"|"&amp;RIGHT("000000"&amp;1334,6),LdBKeyG,0),"")</f>
        <v/>
      </c>
    </row>
    <row r="3355">
      <c r="A3355" s="10" t="n">
        <v>1335</v>
      </c>
      <c r="B3355" s="14">
        <f>IF($N3355="","",INDEX(LdBDate,$N3355))</f>
        <v/>
      </c>
      <c r="C3355" s="14">
        <f>IF($N3355="","",IF(INDEX(LdBId,$N3355)="","—",INDEX(LdBId,$N3355)))</f>
        <v/>
      </c>
      <c r="D3355" s="14">
        <f>IF($N3355="","",INDEX(LdBMember,$N3355))</f>
        <v/>
      </c>
      <c r="E3355" s="14">
        <f>IF($N3355="","",IFERROR(IF(VLOOKUP(INDEX(LdBMember,$N3355),AcctTblE,4,0)="","(بدون نام)",VLOOKUP(INDEX(LdBMember,$N3355),AcctTblE,4,0)),"—"))</f>
        <v/>
      </c>
      <c r="F3355" s="16">
        <f>IF($N3355="","",IF(INDEX(LdBAmt,$N3355)=0,"",INDEX(LdBAmt,$N3355)))</f>
        <v/>
      </c>
      <c r="G3355" s="30">
        <f>IF($N3355="","",IF(INDEX(LdBNote,$N3355)="","—",INDEX(LdBNote,$N3355)))</f>
        <v/>
      </c>
      <c r="N3355">
        <f>IFERROR(MATCH($C$5&amp;"|"&amp;RIGHT("000000"&amp;1335,6),LdBKeyG,0),"")</f>
        <v/>
      </c>
    </row>
    <row r="3356">
      <c r="A3356" s="19" t="n">
        <v>1336</v>
      </c>
      <c r="B3356" s="20">
        <f>IF($N3356="","",INDEX(LdBDate,$N3356))</f>
        <v/>
      </c>
      <c r="C3356" s="20">
        <f>IF($N3356="","",IF(INDEX(LdBId,$N3356)="","—",INDEX(LdBId,$N3356)))</f>
        <v/>
      </c>
      <c r="D3356" s="20">
        <f>IF($N3356="","",INDEX(LdBMember,$N3356))</f>
        <v/>
      </c>
      <c r="E3356" s="20">
        <f>IF($N3356="","",IFERROR(IF(VLOOKUP(INDEX(LdBMember,$N3356),AcctTblE,4,0)="","(بدون نام)",VLOOKUP(INDEX(LdBMember,$N3356),AcctTblE,4,0)),"—"))</f>
        <v/>
      </c>
      <c r="F3356" s="21">
        <f>IF($N3356="","",IF(INDEX(LdBAmt,$N3356)=0,"",INDEX(LdBAmt,$N3356)))</f>
        <v/>
      </c>
      <c r="G3356" s="32">
        <f>IF($N3356="","",IF(INDEX(LdBNote,$N3356)="","—",INDEX(LdBNote,$N3356)))</f>
        <v/>
      </c>
      <c r="N3356">
        <f>IFERROR(MATCH($C$5&amp;"|"&amp;RIGHT("000000"&amp;1336,6),LdBKeyG,0),"")</f>
        <v/>
      </c>
    </row>
    <row r="3357">
      <c r="A3357" s="10" t="n">
        <v>1337</v>
      </c>
      <c r="B3357" s="14">
        <f>IF($N3357="","",INDEX(LdBDate,$N3357))</f>
        <v/>
      </c>
      <c r="C3357" s="14">
        <f>IF($N3357="","",IF(INDEX(LdBId,$N3357)="","—",INDEX(LdBId,$N3357)))</f>
        <v/>
      </c>
      <c r="D3357" s="14">
        <f>IF($N3357="","",INDEX(LdBMember,$N3357))</f>
        <v/>
      </c>
      <c r="E3357" s="14">
        <f>IF($N3357="","",IFERROR(IF(VLOOKUP(INDEX(LdBMember,$N3357),AcctTblE,4,0)="","(بدون نام)",VLOOKUP(INDEX(LdBMember,$N3357),AcctTblE,4,0)),"—"))</f>
        <v/>
      </c>
      <c r="F3357" s="16">
        <f>IF($N3357="","",IF(INDEX(LdBAmt,$N3357)=0,"",INDEX(LdBAmt,$N3357)))</f>
        <v/>
      </c>
      <c r="G3357" s="30">
        <f>IF($N3357="","",IF(INDEX(LdBNote,$N3357)="","—",INDEX(LdBNote,$N3357)))</f>
        <v/>
      </c>
      <c r="N3357">
        <f>IFERROR(MATCH($C$5&amp;"|"&amp;RIGHT("000000"&amp;1337,6),LdBKeyG,0),"")</f>
        <v/>
      </c>
    </row>
    <row r="3358">
      <c r="A3358" s="19" t="n">
        <v>1338</v>
      </c>
      <c r="B3358" s="20">
        <f>IF($N3358="","",INDEX(LdBDate,$N3358))</f>
        <v/>
      </c>
      <c r="C3358" s="20">
        <f>IF($N3358="","",IF(INDEX(LdBId,$N3358)="","—",INDEX(LdBId,$N3358)))</f>
        <v/>
      </c>
      <c r="D3358" s="20">
        <f>IF($N3358="","",INDEX(LdBMember,$N3358))</f>
        <v/>
      </c>
      <c r="E3358" s="20">
        <f>IF($N3358="","",IFERROR(IF(VLOOKUP(INDEX(LdBMember,$N3358),AcctTblE,4,0)="","(بدون نام)",VLOOKUP(INDEX(LdBMember,$N3358),AcctTblE,4,0)),"—"))</f>
        <v/>
      </c>
      <c r="F3358" s="21">
        <f>IF($N3358="","",IF(INDEX(LdBAmt,$N3358)=0,"",INDEX(LdBAmt,$N3358)))</f>
        <v/>
      </c>
      <c r="G3358" s="32">
        <f>IF($N3358="","",IF(INDEX(LdBNote,$N3358)="","—",INDEX(LdBNote,$N3358)))</f>
        <v/>
      </c>
      <c r="N3358">
        <f>IFERROR(MATCH($C$5&amp;"|"&amp;RIGHT("000000"&amp;1338,6),LdBKeyG,0),"")</f>
        <v/>
      </c>
    </row>
    <row r="3359">
      <c r="A3359" s="10" t="n">
        <v>1339</v>
      </c>
      <c r="B3359" s="14">
        <f>IF($N3359="","",INDEX(LdBDate,$N3359))</f>
        <v/>
      </c>
      <c r="C3359" s="14">
        <f>IF($N3359="","",IF(INDEX(LdBId,$N3359)="","—",INDEX(LdBId,$N3359)))</f>
        <v/>
      </c>
      <c r="D3359" s="14">
        <f>IF($N3359="","",INDEX(LdBMember,$N3359))</f>
        <v/>
      </c>
      <c r="E3359" s="14">
        <f>IF($N3359="","",IFERROR(IF(VLOOKUP(INDEX(LdBMember,$N3359),AcctTblE,4,0)="","(بدون نام)",VLOOKUP(INDEX(LdBMember,$N3359),AcctTblE,4,0)),"—"))</f>
        <v/>
      </c>
      <c r="F3359" s="16">
        <f>IF($N3359="","",IF(INDEX(LdBAmt,$N3359)=0,"",INDEX(LdBAmt,$N3359)))</f>
        <v/>
      </c>
      <c r="G3359" s="30">
        <f>IF($N3359="","",IF(INDEX(LdBNote,$N3359)="","—",INDEX(LdBNote,$N3359)))</f>
        <v/>
      </c>
      <c r="N3359">
        <f>IFERROR(MATCH($C$5&amp;"|"&amp;RIGHT("000000"&amp;1339,6),LdBKeyG,0),"")</f>
        <v/>
      </c>
    </row>
    <row r="3360">
      <c r="A3360" s="19" t="n">
        <v>1340</v>
      </c>
      <c r="B3360" s="20">
        <f>IF($N3360="","",INDEX(LdBDate,$N3360))</f>
        <v/>
      </c>
      <c r="C3360" s="20">
        <f>IF($N3360="","",IF(INDEX(LdBId,$N3360)="","—",INDEX(LdBId,$N3360)))</f>
        <v/>
      </c>
      <c r="D3360" s="20">
        <f>IF($N3360="","",INDEX(LdBMember,$N3360))</f>
        <v/>
      </c>
      <c r="E3360" s="20">
        <f>IF($N3360="","",IFERROR(IF(VLOOKUP(INDEX(LdBMember,$N3360),AcctTblE,4,0)="","(بدون نام)",VLOOKUP(INDEX(LdBMember,$N3360),AcctTblE,4,0)),"—"))</f>
        <v/>
      </c>
      <c r="F3360" s="21">
        <f>IF($N3360="","",IF(INDEX(LdBAmt,$N3360)=0,"",INDEX(LdBAmt,$N3360)))</f>
        <v/>
      </c>
      <c r="G3360" s="32">
        <f>IF($N3360="","",IF(INDEX(LdBNote,$N3360)="","—",INDEX(LdBNote,$N3360)))</f>
        <v/>
      </c>
      <c r="N3360">
        <f>IFERROR(MATCH($C$5&amp;"|"&amp;RIGHT("000000"&amp;1340,6),LdBKeyG,0),"")</f>
        <v/>
      </c>
    </row>
    <row r="3361">
      <c r="A3361" s="10" t="n">
        <v>1341</v>
      </c>
      <c r="B3361" s="14">
        <f>IF($N3361="","",INDEX(LdBDate,$N3361))</f>
        <v/>
      </c>
      <c r="C3361" s="14">
        <f>IF($N3361="","",IF(INDEX(LdBId,$N3361)="","—",INDEX(LdBId,$N3361)))</f>
        <v/>
      </c>
      <c r="D3361" s="14">
        <f>IF($N3361="","",INDEX(LdBMember,$N3361))</f>
        <v/>
      </c>
      <c r="E3361" s="14">
        <f>IF($N3361="","",IFERROR(IF(VLOOKUP(INDEX(LdBMember,$N3361),AcctTblE,4,0)="","(بدون نام)",VLOOKUP(INDEX(LdBMember,$N3361),AcctTblE,4,0)),"—"))</f>
        <v/>
      </c>
      <c r="F3361" s="16">
        <f>IF($N3361="","",IF(INDEX(LdBAmt,$N3361)=0,"",INDEX(LdBAmt,$N3361)))</f>
        <v/>
      </c>
      <c r="G3361" s="30">
        <f>IF($N3361="","",IF(INDEX(LdBNote,$N3361)="","—",INDEX(LdBNote,$N3361)))</f>
        <v/>
      </c>
      <c r="N3361">
        <f>IFERROR(MATCH($C$5&amp;"|"&amp;RIGHT("000000"&amp;1341,6),LdBKeyG,0),"")</f>
        <v/>
      </c>
    </row>
    <row r="3362">
      <c r="A3362" s="19" t="n">
        <v>1342</v>
      </c>
      <c r="B3362" s="20">
        <f>IF($N3362="","",INDEX(LdBDate,$N3362))</f>
        <v/>
      </c>
      <c r="C3362" s="20">
        <f>IF($N3362="","",IF(INDEX(LdBId,$N3362)="","—",INDEX(LdBId,$N3362)))</f>
        <v/>
      </c>
      <c r="D3362" s="20">
        <f>IF($N3362="","",INDEX(LdBMember,$N3362))</f>
        <v/>
      </c>
      <c r="E3362" s="20">
        <f>IF($N3362="","",IFERROR(IF(VLOOKUP(INDEX(LdBMember,$N3362),AcctTblE,4,0)="","(بدون نام)",VLOOKUP(INDEX(LdBMember,$N3362),AcctTblE,4,0)),"—"))</f>
        <v/>
      </c>
      <c r="F3362" s="21">
        <f>IF($N3362="","",IF(INDEX(LdBAmt,$N3362)=0,"",INDEX(LdBAmt,$N3362)))</f>
        <v/>
      </c>
      <c r="G3362" s="32">
        <f>IF($N3362="","",IF(INDEX(LdBNote,$N3362)="","—",INDEX(LdBNote,$N3362)))</f>
        <v/>
      </c>
      <c r="N3362">
        <f>IFERROR(MATCH($C$5&amp;"|"&amp;RIGHT("000000"&amp;1342,6),LdBKeyG,0),"")</f>
        <v/>
      </c>
    </row>
    <row r="3363">
      <c r="A3363" s="10" t="n">
        <v>1343</v>
      </c>
      <c r="B3363" s="14">
        <f>IF($N3363="","",INDEX(LdBDate,$N3363))</f>
        <v/>
      </c>
      <c r="C3363" s="14">
        <f>IF($N3363="","",IF(INDEX(LdBId,$N3363)="","—",INDEX(LdBId,$N3363)))</f>
        <v/>
      </c>
      <c r="D3363" s="14">
        <f>IF($N3363="","",INDEX(LdBMember,$N3363))</f>
        <v/>
      </c>
      <c r="E3363" s="14">
        <f>IF($N3363="","",IFERROR(IF(VLOOKUP(INDEX(LdBMember,$N3363),AcctTblE,4,0)="","(بدون نام)",VLOOKUP(INDEX(LdBMember,$N3363),AcctTblE,4,0)),"—"))</f>
        <v/>
      </c>
      <c r="F3363" s="16">
        <f>IF($N3363="","",IF(INDEX(LdBAmt,$N3363)=0,"",INDEX(LdBAmt,$N3363)))</f>
        <v/>
      </c>
      <c r="G3363" s="30">
        <f>IF($N3363="","",IF(INDEX(LdBNote,$N3363)="","—",INDEX(LdBNote,$N3363)))</f>
        <v/>
      </c>
      <c r="N3363">
        <f>IFERROR(MATCH($C$5&amp;"|"&amp;RIGHT("000000"&amp;1343,6),LdBKeyG,0),"")</f>
        <v/>
      </c>
    </row>
    <row r="3364">
      <c r="A3364" s="19" t="n">
        <v>1344</v>
      </c>
      <c r="B3364" s="20">
        <f>IF($N3364="","",INDEX(LdBDate,$N3364))</f>
        <v/>
      </c>
      <c r="C3364" s="20">
        <f>IF($N3364="","",IF(INDEX(LdBId,$N3364)="","—",INDEX(LdBId,$N3364)))</f>
        <v/>
      </c>
      <c r="D3364" s="20">
        <f>IF($N3364="","",INDEX(LdBMember,$N3364))</f>
        <v/>
      </c>
      <c r="E3364" s="20">
        <f>IF($N3364="","",IFERROR(IF(VLOOKUP(INDEX(LdBMember,$N3364),AcctTblE,4,0)="","(بدون نام)",VLOOKUP(INDEX(LdBMember,$N3364),AcctTblE,4,0)),"—"))</f>
        <v/>
      </c>
      <c r="F3364" s="21">
        <f>IF($N3364="","",IF(INDEX(LdBAmt,$N3364)=0,"",INDEX(LdBAmt,$N3364)))</f>
        <v/>
      </c>
      <c r="G3364" s="32">
        <f>IF($N3364="","",IF(INDEX(LdBNote,$N3364)="","—",INDEX(LdBNote,$N3364)))</f>
        <v/>
      </c>
      <c r="N3364">
        <f>IFERROR(MATCH($C$5&amp;"|"&amp;RIGHT("000000"&amp;1344,6),LdBKeyG,0),"")</f>
        <v/>
      </c>
    </row>
    <row r="3365">
      <c r="A3365" s="10" t="n">
        <v>1345</v>
      </c>
      <c r="B3365" s="14">
        <f>IF($N3365="","",INDEX(LdBDate,$N3365))</f>
        <v/>
      </c>
      <c r="C3365" s="14">
        <f>IF($N3365="","",IF(INDEX(LdBId,$N3365)="","—",INDEX(LdBId,$N3365)))</f>
        <v/>
      </c>
      <c r="D3365" s="14">
        <f>IF($N3365="","",INDEX(LdBMember,$N3365))</f>
        <v/>
      </c>
      <c r="E3365" s="14">
        <f>IF($N3365="","",IFERROR(IF(VLOOKUP(INDEX(LdBMember,$N3365),AcctTblE,4,0)="","(بدون نام)",VLOOKUP(INDEX(LdBMember,$N3365),AcctTblE,4,0)),"—"))</f>
        <v/>
      </c>
      <c r="F3365" s="16">
        <f>IF($N3365="","",IF(INDEX(LdBAmt,$N3365)=0,"",INDEX(LdBAmt,$N3365)))</f>
        <v/>
      </c>
      <c r="G3365" s="30">
        <f>IF($N3365="","",IF(INDEX(LdBNote,$N3365)="","—",INDEX(LdBNote,$N3365)))</f>
        <v/>
      </c>
      <c r="N3365">
        <f>IFERROR(MATCH($C$5&amp;"|"&amp;RIGHT("000000"&amp;1345,6),LdBKeyG,0),"")</f>
        <v/>
      </c>
    </row>
    <row r="3366">
      <c r="A3366" s="19" t="n">
        <v>1346</v>
      </c>
      <c r="B3366" s="20">
        <f>IF($N3366="","",INDEX(LdBDate,$N3366))</f>
        <v/>
      </c>
      <c r="C3366" s="20">
        <f>IF($N3366="","",IF(INDEX(LdBId,$N3366)="","—",INDEX(LdBId,$N3366)))</f>
        <v/>
      </c>
      <c r="D3366" s="20">
        <f>IF($N3366="","",INDEX(LdBMember,$N3366))</f>
        <v/>
      </c>
      <c r="E3366" s="20">
        <f>IF($N3366="","",IFERROR(IF(VLOOKUP(INDEX(LdBMember,$N3366),AcctTblE,4,0)="","(بدون نام)",VLOOKUP(INDEX(LdBMember,$N3366),AcctTblE,4,0)),"—"))</f>
        <v/>
      </c>
      <c r="F3366" s="21">
        <f>IF($N3366="","",IF(INDEX(LdBAmt,$N3366)=0,"",INDEX(LdBAmt,$N3366)))</f>
        <v/>
      </c>
      <c r="G3366" s="32">
        <f>IF($N3366="","",IF(INDEX(LdBNote,$N3366)="","—",INDEX(LdBNote,$N3366)))</f>
        <v/>
      </c>
      <c r="N3366">
        <f>IFERROR(MATCH($C$5&amp;"|"&amp;RIGHT("000000"&amp;1346,6),LdBKeyG,0),"")</f>
        <v/>
      </c>
    </row>
    <row r="3367">
      <c r="A3367" s="10" t="n">
        <v>1347</v>
      </c>
      <c r="B3367" s="14">
        <f>IF($N3367="","",INDEX(LdBDate,$N3367))</f>
        <v/>
      </c>
      <c r="C3367" s="14">
        <f>IF($N3367="","",IF(INDEX(LdBId,$N3367)="","—",INDEX(LdBId,$N3367)))</f>
        <v/>
      </c>
      <c r="D3367" s="14">
        <f>IF($N3367="","",INDEX(LdBMember,$N3367))</f>
        <v/>
      </c>
      <c r="E3367" s="14">
        <f>IF($N3367="","",IFERROR(IF(VLOOKUP(INDEX(LdBMember,$N3367),AcctTblE,4,0)="","(بدون نام)",VLOOKUP(INDEX(LdBMember,$N3367),AcctTblE,4,0)),"—"))</f>
        <v/>
      </c>
      <c r="F3367" s="16">
        <f>IF($N3367="","",IF(INDEX(LdBAmt,$N3367)=0,"",INDEX(LdBAmt,$N3367)))</f>
        <v/>
      </c>
      <c r="G3367" s="30">
        <f>IF($N3367="","",IF(INDEX(LdBNote,$N3367)="","—",INDEX(LdBNote,$N3367)))</f>
        <v/>
      </c>
      <c r="N3367">
        <f>IFERROR(MATCH($C$5&amp;"|"&amp;RIGHT("000000"&amp;1347,6),LdBKeyG,0),"")</f>
        <v/>
      </c>
    </row>
    <row r="3368">
      <c r="A3368" s="19" t="n">
        <v>1348</v>
      </c>
      <c r="B3368" s="20">
        <f>IF($N3368="","",INDEX(LdBDate,$N3368))</f>
        <v/>
      </c>
      <c r="C3368" s="20">
        <f>IF($N3368="","",IF(INDEX(LdBId,$N3368)="","—",INDEX(LdBId,$N3368)))</f>
        <v/>
      </c>
      <c r="D3368" s="20">
        <f>IF($N3368="","",INDEX(LdBMember,$N3368))</f>
        <v/>
      </c>
      <c r="E3368" s="20">
        <f>IF($N3368="","",IFERROR(IF(VLOOKUP(INDEX(LdBMember,$N3368),AcctTblE,4,0)="","(بدون نام)",VLOOKUP(INDEX(LdBMember,$N3368),AcctTblE,4,0)),"—"))</f>
        <v/>
      </c>
      <c r="F3368" s="21">
        <f>IF($N3368="","",IF(INDEX(LdBAmt,$N3368)=0,"",INDEX(LdBAmt,$N3368)))</f>
        <v/>
      </c>
      <c r="G3368" s="32">
        <f>IF($N3368="","",IF(INDEX(LdBNote,$N3368)="","—",INDEX(LdBNote,$N3368)))</f>
        <v/>
      </c>
      <c r="N3368">
        <f>IFERROR(MATCH($C$5&amp;"|"&amp;RIGHT("000000"&amp;1348,6),LdBKeyG,0),"")</f>
        <v/>
      </c>
    </row>
    <row r="3369">
      <c r="A3369" s="10" t="n">
        <v>1349</v>
      </c>
      <c r="B3369" s="14">
        <f>IF($N3369="","",INDEX(LdBDate,$N3369))</f>
        <v/>
      </c>
      <c r="C3369" s="14">
        <f>IF($N3369="","",IF(INDEX(LdBId,$N3369)="","—",INDEX(LdBId,$N3369)))</f>
        <v/>
      </c>
      <c r="D3369" s="14">
        <f>IF($N3369="","",INDEX(LdBMember,$N3369))</f>
        <v/>
      </c>
      <c r="E3369" s="14">
        <f>IF($N3369="","",IFERROR(IF(VLOOKUP(INDEX(LdBMember,$N3369),AcctTblE,4,0)="","(بدون نام)",VLOOKUP(INDEX(LdBMember,$N3369),AcctTblE,4,0)),"—"))</f>
        <v/>
      </c>
      <c r="F3369" s="16">
        <f>IF($N3369="","",IF(INDEX(LdBAmt,$N3369)=0,"",INDEX(LdBAmt,$N3369)))</f>
        <v/>
      </c>
      <c r="G3369" s="30">
        <f>IF($N3369="","",IF(INDEX(LdBNote,$N3369)="","—",INDEX(LdBNote,$N3369)))</f>
        <v/>
      </c>
      <c r="N3369">
        <f>IFERROR(MATCH($C$5&amp;"|"&amp;RIGHT("000000"&amp;1349,6),LdBKeyG,0),"")</f>
        <v/>
      </c>
    </row>
    <row r="3370">
      <c r="A3370" s="19" t="n">
        <v>1350</v>
      </c>
      <c r="B3370" s="20">
        <f>IF($N3370="","",INDEX(LdBDate,$N3370))</f>
        <v/>
      </c>
      <c r="C3370" s="20">
        <f>IF($N3370="","",IF(INDEX(LdBId,$N3370)="","—",INDEX(LdBId,$N3370)))</f>
        <v/>
      </c>
      <c r="D3370" s="20">
        <f>IF($N3370="","",INDEX(LdBMember,$N3370))</f>
        <v/>
      </c>
      <c r="E3370" s="20">
        <f>IF($N3370="","",IFERROR(IF(VLOOKUP(INDEX(LdBMember,$N3370),AcctTblE,4,0)="","(بدون نام)",VLOOKUP(INDEX(LdBMember,$N3370),AcctTblE,4,0)),"—"))</f>
        <v/>
      </c>
      <c r="F3370" s="21">
        <f>IF($N3370="","",IF(INDEX(LdBAmt,$N3370)=0,"",INDEX(LdBAmt,$N3370)))</f>
        <v/>
      </c>
      <c r="G3370" s="32">
        <f>IF($N3370="","",IF(INDEX(LdBNote,$N3370)="","—",INDEX(LdBNote,$N3370)))</f>
        <v/>
      </c>
      <c r="N3370">
        <f>IFERROR(MATCH($C$5&amp;"|"&amp;RIGHT("000000"&amp;1350,6),LdBKeyG,0),"")</f>
        <v/>
      </c>
    </row>
    <row r="3371">
      <c r="A3371" s="10" t="n">
        <v>1351</v>
      </c>
      <c r="B3371" s="14">
        <f>IF($N3371="","",INDEX(LdBDate,$N3371))</f>
        <v/>
      </c>
      <c r="C3371" s="14">
        <f>IF($N3371="","",IF(INDEX(LdBId,$N3371)="","—",INDEX(LdBId,$N3371)))</f>
        <v/>
      </c>
      <c r="D3371" s="14">
        <f>IF($N3371="","",INDEX(LdBMember,$N3371))</f>
        <v/>
      </c>
      <c r="E3371" s="14">
        <f>IF($N3371="","",IFERROR(IF(VLOOKUP(INDEX(LdBMember,$N3371),AcctTblE,4,0)="","(بدون نام)",VLOOKUP(INDEX(LdBMember,$N3371),AcctTblE,4,0)),"—"))</f>
        <v/>
      </c>
      <c r="F3371" s="16">
        <f>IF($N3371="","",IF(INDEX(LdBAmt,$N3371)=0,"",INDEX(LdBAmt,$N3371)))</f>
        <v/>
      </c>
      <c r="G3371" s="30">
        <f>IF($N3371="","",IF(INDEX(LdBNote,$N3371)="","—",INDEX(LdBNote,$N3371)))</f>
        <v/>
      </c>
      <c r="N3371">
        <f>IFERROR(MATCH($C$5&amp;"|"&amp;RIGHT("000000"&amp;1351,6),LdBKeyG,0),"")</f>
        <v/>
      </c>
    </row>
    <row r="3372">
      <c r="A3372" s="19" t="n">
        <v>1352</v>
      </c>
      <c r="B3372" s="20">
        <f>IF($N3372="","",INDEX(LdBDate,$N3372))</f>
        <v/>
      </c>
      <c r="C3372" s="20">
        <f>IF($N3372="","",IF(INDEX(LdBId,$N3372)="","—",INDEX(LdBId,$N3372)))</f>
        <v/>
      </c>
      <c r="D3372" s="20">
        <f>IF($N3372="","",INDEX(LdBMember,$N3372))</f>
        <v/>
      </c>
      <c r="E3372" s="20">
        <f>IF($N3372="","",IFERROR(IF(VLOOKUP(INDEX(LdBMember,$N3372),AcctTblE,4,0)="","(بدون نام)",VLOOKUP(INDEX(LdBMember,$N3372),AcctTblE,4,0)),"—"))</f>
        <v/>
      </c>
      <c r="F3372" s="21">
        <f>IF($N3372="","",IF(INDEX(LdBAmt,$N3372)=0,"",INDEX(LdBAmt,$N3372)))</f>
        <v/>
      </c>
      <c r="G3372" s="32">
        <f>IF($N3372="","",IF(INDEX(LdBNote,$N3372)="","—",INDEX(LdBNote,$N3372)))</f>
        <v/>
      </c>
      <c r="N3372">
        <f>IFERROR(MATCH($C$5&amp;"|"&amp;RIGHT("000000"&amp;1352,6),LdBKeyG,0),"")</f>
        <v/>
      </c>
    </row>
    <row r="3373">
      <c r="A3373" s="10" t="n">
        <v>1353</v>
      </c>
      <c r="B3373" s="14">
        <f>IF($N3373="","",INDEX(LdBDate,$N3373))</f>
        <v/>
      </c>
      <c r="C3373" s="14">
        <f>IF($N3373="","",IF(INDEX(LdBId,$N3373)="","—",INDEX(LdBId,$N3373)))</f>
        <v/>
      </c>
      <c r="D3373" s="14">
        <f>IF($N3373="","",INDEX(LdBMember,$N3373))</f>
        <v/>
      </c>
      <c r="E3373" s="14">
        <f>IF($N3373="","",IFERROR(IF(VLOOKUP(INDEX(LdBMember,$N3373),AcctTblE,4,0)="","(بدون نام)",VLOOKUP(INDEX(LdBMember,$N3373),AcctTblE,4,0)),"—"))</f>
        <v/>
      </c>
      <c r="F3373" s="16">
        <f>IF($N3373="","",IF(INDEX(LdBAmt,$N3373)=0,"",INDEX(LdBAmt,$N3373)))</f>
        <v/>
      </c>
      <c r="G3373" s="30">
        <f>IF($N3373="","",IF(INDEX(LdBNote,$N3373)="","—",INDEX(LdBNote,$N3373)))</f>
        <v/>
      </c>
      <c r="N3373">
        <f>IFERROR(MATCH($C$5&amp;"|"&amp;RIGHT("000000"&amp;1353,6),LdBKeyG,0),"")</f>
        <v/>
      </c>
    </row>
    <row r="3374">
      <c r="A3374" s="19" t="n">
        <v>1354</v>
      </c>
      <c r="B3374" s="20">
        <f>IF($N3374="","",INDEX(LdBDate,$N3374))</f>
        <v/>
      </c>
      <c r="C3374" s="20">
        <f>IF($N3374="","",IF(INDEX(LdBId,$N3374)="","—",INDEX(LdBId,$N3374)))</f>
        <v/>
      </c>
      <c r="D3374" s="20">
        <f>IF($N3374="","",INDEX(LdBMember,$N3374))</f>
        <v/>
      </c>
      <c r="E3374" s="20">
        <f>IF($N3374="","",IFERROR(IF(VLOOKUP(INDEX(LdBMember,$N3374),AcctTblE,4,0)="","(بدون نام)",VLOOKUP(INDEX(LdBMember,$N3374),AcctTblE,4,0)),"—"))</f>
        <v/>
      </c>
      <c r="F3374" s="21">
        <f>IF($N3374="","",IF(INDEX(LdBAmt,$N3374)=0,"",INDEX(LdBAmt,$N3374)))</f>
        <v/>
      </c>
      <c r="G3374" s="32">
        <f>IF($N3374="","",IF(INDEX(LdBNote,$N3374)="","—",INDEX(LdBNote,$N3374)))</f>
        <v/>
      </c>
      <c r="N3374">
        <f>IFERROR(MATCH($C$5&amp;"|"&amp;RIGHT("000000"&amp;1354,6),LdBKeyG,0),"")</f>
        <v/>
      </c>
    </row>
    <row r="3375">
      <c r="A3375" s="10" t="n">
        <v>1355</v>
      </c>
      <c r="B3375" s="14">
        <f>IF($N3375="","",INDEX(LdBDate,$N3375))</f>
        <v/>
      </c>
      <c r="C3375" s="14">
        <f>IF($N3375="","",IF(INDEX(LdBId,$N3375)="","—",INDEX(LdBId,$N3375)))</f>
        <v/>
      </c>
      <c r="D3375" s="14">
        <f>IF($N3375="","",INDEX(LdBMember,$N3375))</f>
        <v/>
      </c>
      <c r="E3375" s="14">
        <f>IF($N3375="","",IFERROR(IF(VLOOKUP(INDEX(LdBMember,$N3375),AcctTblE,4,0)="","(بدون نام)",VLOOKUP(INDEX(LdBMember,$N3375),AcctTblE,4,0)),"—"))</f>
        <v/>
      </c>
      <c r="F3375" s="16">
        <f>IF($N3375="","",IF(INDEX(LdBAmt,$N3375)=0,"",INDEX(LdBAmt,$N3375)))</f>
        <v/>
      </c>
      <c r="G3375" s="30">
        <f>IF($N3375="","",IF(INDEX(LdBNote,$N3375)="","—",INDEX(LdBNote,$N3375)))</f>
        <v/>
      </c>
      <c r="N3375">
        <f>IFERROR(MATCH($C$5&amp;"|"&amp;RIGHT("000000"&amp;1355,6),LdBKeyG,0),"")</f>
        <v/>
      </c>
    </row>
    <row r="3376">
      <c r="A3376" s="19" t="n">
        <v>1356</v>
      </c>
      <c r="B3376" s="20">
        <f>IF($N3376="","",INDEX(LdBDate,$N3376))</f>
        <v/>
      </c>
      <c r="C3376" s="20">
        <f>IF($N3376="","",IF(INDEX(LdBId,$N3376)="","—",INDEX(LdBId,$N3376)))</f>
        <v/>
      </c>
      <c r="D3376" s="20">
        <f>IF($N3376="","",INDEX(LdBMember,$N3376))</f>
        <v/>
      </c>
      <c r="E3376" s="20">
        <f>IF($N3376="","",IFERROR(IF(VLOOKUP(INDEX(LdBMember,$N3376),AcctTblE,4,0)="","(بدون نام)",VLOOKUP(INDEX(LdBMember,$N3376),AcctTblE,4,0)),"—"))</f>
        <v/>
      </c>
      <c r="F3376" s="21">
        <f>IF($N3376="","",IF(INDEX(LdBAmt,$N3376)=0,"",INDEX(LdBAmt,$N3376)))</f>
        <v/>
      </c>
      <c r="G3376" s="32">
        <f>IF($N3376="","",IF(INDEX(LdBNote,$N3376)="","—",INDEX(LdBNote,$N3376)))</f>
        <v/>
      </c>
      <c r="N3376">
        <f>IFERROR(MATCH($C$5&amp;"|"&amp;RIGHT("000000"&amp;1356,6),LdBKeyG,0),"")</f>
        <v/>
      </c>
    </row>
    <row r="3377">
      <c r="A3377" s="10" t="n">
        <v>1357</v>
      </c>
      <c r="B3377" s="14">
        <f>IF($N3377="","",INDEX(LdBDate,$N3377))</f>
        <v/>
      </c>
      <c r="C3377" s="14">
        <f>IF($N3377="","",IF(INDEX(LdBId,$N3377)="","—",INDEX(LdBId,$N3377)))</f>
        <v/>
      </c>
      <c r="D3377" s="14">
        <f>IF($N3377="","",INDEX(LdBMember,$N3377))</f>
        <v/>
      </c>
      <c r="E3377" s="14">
        <f>IF($N3377="","",IFERROR(IF(VLOOKUP(INDEX(LdBMember,$N3377),AcctTblE,4,0)="","(بدون نام)",VLOOKUP(INDEX(LdBMember,$N3377),AcctTblE,4,0)),"—"))</f>
        <v/>
      </c>
      <c r="F3377" s="16">
        <f>IF($N3377="","",IF(INDEX(LdBAmt,$N3377)=0,"",INDEX(LdBAmt,$N3377)))</f>
        <v/>
      </c>
      <c r="G3377" s="30">
        <f>IF($N3377="","",IF(INDEX(LdBNote,$N3377)="","—",INDEX(LdBNote,$N3377)))</f>
        <v/>
      </c>
      <c r="N3377">
        <f>IFERROR(MATCH($C$5&amp;"|"&amp;RIGHT("000000"&amp;1357,6),LdBKeyG,0),"")</f>
        <v/>
      </c>
    </row>
    <row r="3378">
      <c r="A3378" s="19" t="n">
        <v>1358</v>
      </c>
      <c r="B3378" s="20">
        <f>IF($N3378="","",INDEX(LdBDate,$N3378))</f>
        <v/>
      </c>
      <c r="C3378" s="20">
        <f>IF($N3378="","",IF(INDEX(LdBId,$N3378)="","—",INDEX(LdBId,$N3378)))</f>
        <v/>
      </c>
      <c r="D3378" s="20">
        <f>IF($N3378="","",INDEX(LdBMember,$N3378))</f>
        <v/>
      </c>
      <c r="E3378" s="20">
        <f>IF($N3378="","",IFERROR(IF(VLOOKUP(INDEX(LdBMember,$N3378),AcctTblE,4,0)="","(بدون نام)",VLOOKUP(INDEX(LdBMember,$N3378),AcctTblE,4,0)),"—"))</f>
        <v/>
      </c>
      <c r="F3378" s="21">
        <f>IF($N3378="","",IF(INDEX(LdBAmt,$N3378)=0,"",INDEX(LdBAmt,$N3378)))</f>
        <v/>
      </c>
      <c r="G3378" s="32">
        <f>IF($N3378="","",IF(INDEX(LdBNote,$N3378)="","—",INDEX(LdBNote,$N3378)))</f>
        <v/>
      </c>
      <c r="N3378">
        <f>IFERROR(MATCH($C$5&amp;"|"&amp;RIGHT("000000"&amp;1358,6),LdBKeyG,0),"")</f>
        <v/>
      </c>
    </row>
    <row r="3379">
      <c r="A3379" s="10" t="n">
        <v>1359</v>
      </c>
      <c r="B3379" s="14">
        <f>IF($N3379="","",INDEX(LdBDate,$N3379))</f>
        <v/>
      </c>
      <c r="C3379" s="14">
        <f>IF($N3379="","",IF(INDEX(LdBId,$N3379)="","—",INDEX(LdBId,$N3379)))</f>
        <v/>
      </c>
      <c r="D3379" s="14">
        <f>IF($N3379="","",INDEX(LdBMember,$N3379))</f>
        <v/>
      </c>
      <c r="E3379" s="14">
        <f>IF($N3379="","",IFERROR(IF(VLOOKUP(INDEX(LdBMember,$N3379),AcctTblE,4,0)="","(بدون نام)",VLOOKUP(INDEX(LdBMember,$N3379),AcctTblE,4,0)),"—"))</f>
        <v/>
      </c>
      <c r="F3379" s="16">
        <f>IF($N3379="","",IF(INDEX(LdBAmt,$N3379)=0,"",INDEX(LdBAmt,$N3379)))</f>
        <v/>
      </c>
      <c r="G3379" s="30">
        <f>IF($N3379="","",IF(INDEX(LdBNote,$N3379)="","—",INDEX(LdBNote,$N3379)))</f>
        <v/>
      </c>
      <c r="N3379">
        <f>IFERROR(MATCH($C$5&amp;"|"&amp;RIGHT("000000"&amp;1359,6),LdBKeyG,0),"")</f>
        <v/>
      </c>
    </row>
    <row r="3380">
      <c r="A3380" s="19" t="n">
        <v>1360</v>
      </c>
      <c r="B3380" s="20">
        <f>IF($N3380="","",INDEX(LdBDate,$N3380))</f>
        <v/>
      </c>
      <c r="C3380" s="20">
        <f>IF($N3380="","",IF(INDEX(LdBId,$N3380)="","—",INDEX(LdBId,$N3380)))</f>
        <v/>
      </c>
      <c r="D3380" s="20">
        <f>IF($N3380="","",INDEX(LdBMember,$N3380))</f>
        <v/>
      </c>
      <c r="E3380" s="20">
        <f>IF($N3380="","",IFERROR(IF(VLOOKUP(INDEX(LdBMember,$N3380),AcctTblE,4,0)="","(بدون نام)",VLOOKUP(INDEX(LdBMember,$N3380),AcctTblE,4,0)),"—"))</f>
        <v/>
      </c>
      <c r="F3380" s="21">
        <f>IF($N3380="","",IF(INDEX(LdBAmt,$N3380)=0,"",INDEX(LdBAmt,$N3380)))</f>
        <v/>
      </c>
      <c r="G3380" s="32">
        <f>IF($N3380="","",IF(INDEX(LdBNote,$N3380)="","—",INDEX(LdBNote,$N3380)))</f>
        <v/>
      </c>
      <c r="N3380">
        <f>IFERROR(MATCH($C$5&amp;"|"&amp;RIGHT("000000"&amp;1360,6),LdBKeyG,0),"")</f>
        <v/>
      </c>
    </row>
    <row r="3381">
      <c r="A3381" s="10" t="n">
        <v>1361</v>
      </c>
      <c r="B3381" s="14">
        <f>IF($N3381="","",INDEX(LdBDate,$N3381))</f>
        <v/>
      </c>
      <c r="C3381" s="14">
        <f>IF($N3381="","",IF(INDEX(LdBId,$N3381)="","—",INDEX(LdBId,$N3381)))</f>
        <v/>
      </c>
      <c r="D3381" s="14">
        <f>IF($N3381="","",INDEX(LdBMember,$N3381))</f>
        <v/>
      </c>
      <c r="E3381" s="14">
        <f>IF($N3381="","",IFERROR(IF(VLOOKUP(INDEX(LdBMember,$N3381),AcctTblE,4,0)="","(بدون نام)",VLOOKUP(INDEX(LdBMember,$N3381),AcctTblE,4,0)),"—"))</f>
        <v/>
      </c>
      <c r="F3381" s="16">
        <f>IF($N3381="","",IF(INDEX(LdBAmt,$N3381)=0,"",INDEX(LdBAmt,$N3381)))</f>
        <v/>
      </c>
      <c r="G3381" s="30">
        <f>IF($N3381="","",IF(INDEX(LdBNote,$N3381)="","—",INDEX(LdBNote,$N3381)))</f>
        <v/>
      </c>
      <c r="N3381">
        <f>IFERROR(MATCH($C$5&amp;"|"&amp;RIGHT("000000"&amp;1361,6),LdBKeyG,0),"")</f>
        <v/>
      </c>
    </row>
    <row r="3382">
      <c r="A3382" s="19" t="n">
        <v>1362</v>
      </c>
      <c r="B3382" s="20">
        <f>IF($N3382="","",INDEX(LdBDate,$N3382))</f>
        <v/>
      </c>
      <c r="C3382" s="20">
        <f>IF($N3382="","",IF(INDEX(LdBId,$N3382)="","—",INDEX(LdBId,$N3382)))</f>
        <v/>
      </c>
      <c r="D3382" s="20">
        <f>IF($N3382="","",INDEX(LdBMember,$N3382))</f>
        <v/>
      </c>
      <c r="E3382" s="20">
        <f>IF($N3382="","",IFERROR(IF(VLOOKUP(INDEX(LdBMember,$N3382),AcctTblE,4,0)="","(بدون نام)",VLOOKUP(INDEX(LdBMember,$N3382),AcctTblE,4,0)),"—"))</f>
        <v/>
      </c>
      <c r="F3382" s="21">
        <f>IF($N3382="","",IF(INDEX(LdBAmt,$N3382)=0,"",INDEX(LdBAmt,$N3382)))</f>
        <v/>
      </c>
      <c r="G3382" s="32">
        <f>IF($N3382="","",IF(INDEX(LdBNote,$N3382)="","—",INDEX(LdBNote,$N3382)))</f>
        <v/>
      </c>
      <c r="N3382">
        <f>IFERROR(MATCH($C$5&amp;"|"&amp;RIGHT("000000"&amp;1362,6),LdBKeyG,0),"")</f>
        <v/>
      </c>
    </row>
    <row r="3383">
      <c r="A3383" s="10" t="n">
        <v>1363</v>
      </c>
      <c r="B3383" s="14">
        <f>IF($N3383="","",INDEX(LdBDate,$N3383))</f>
        <v/>
      </c>
      <c r="C3383" s="14">
        <f>IF($N3383="","",IF(INDEX(LdBId,$N3383)="","—",INDEX(LdBId,$N3383)))</f>
        <v/>
      </c>
      <c r="D3383" s="14">
        <f>IF($N3383="","",INDEX(LdBMember,$N3383))</f>
        <v/>
      </c>
      <c r="E3383" s="14">
        <f>IF($N3383="","",IFERROR(IF(VLOOKUP(INDEX(LdBMember,$N3383),AcctTblE,4,0)="","(بدون نام)",VLOOKUP(INDEX(LdBMember,$N3383),AcctTblE,4,0)),"—"))</f>
        <v/>
      </c>
      <c r="F3383" s="16">
        <f>IF($N3383="","",IF(INDEX(LdBAmt,$N3383)=0,"",INDEX(LdBAmt,$N3383)))</f>
        <v/>
      </c>
      <c r="G3383" s="30">
        <f>IF($N3383="","",IF(INDEX(LdBNote,$N3383)="","—",INDEX(LdBNote,$N3383)))</f>
        <v/>
      </c>
      <c r="N3383">
        <f>IFERROR(MATCH($C$5&amp;"|"&amp;RIGHT("000000"&amp;1363,6),LdBKeyG,0),"")</f>
        <v/>
      </c>
    </row>
    <row r="3384">
      <c r="A3384" s="19" t="n">
        <v>1364</v>
      </c>
      <c r="B3384" s="20">
        <f>IF($N3384="","",INDEX(LdBDate,$N3384))</f>
        <v/>
      </c>
      <c r="C3384" s="20">
        <f>IF($N3384="","",IF(INDEX(LdBId,$N3384)="","—",INDEX(LdBId,$N3384)))</f>
        <v/>
      </c>
      <c r="D3384" s="20">
        <f>IF($N3384="","",INDEX(LdBMember,$N3384))</f>
        <v/>
      </c>
      <c r="E3384" s="20">
        <f>IF($N3384="","",IFERROR(IF(VLOOKUP(INDEX(LdBMember,$N3384),AcctTblE,4,0)="","(بدون نام)",VLOOKUP(INDEX(LdBMember,$N3384),AcctTblE,4,0)),"—"))</f>
        <v/>
      </c>
      <c r="F3384" s="21">
        <f>IF($N3384="","",IF(INDEX(LdBAmt,$N3384)=0,"",INDEX(LdBAmt,$N3384)))</f>
        <v/>
      </c>
      <c r="G3384" s="32">
        <f>IF($N3384="","",IF(INDEX(LdBNote,$N3384)="","—",INDEX(LdBNote,$N3384)))</f>
        <v/>
      </c>
      <c r="N3384">
        <f>IFERROR(MATCH($C$5&amp;"|"&amp;RIGHT("000000"&amp;1364,6),LdBKeyG,0),"")</f>
        <v/>
      </c>
    </row>
    <row r="3385">
      <c r="A3385" s="10" t="n">
        <v>1365</v>
      </c>
      <c r="B3385" s="14">
        <f>IF($N3385="","",INDEX(LdBDate,$N3385))</f>
        <v/>
      </c>
      <c r="C3385" s="14">
        <f>IF($N3385="","",IF(INDEX(LdBId,$N3385)="","—",INDEX(LdBId,$N3385)))</f>
        <v/>
      </c>
      <c r="D3385" s="14">
        <f>IF($N3385="","",INDEX(LdBMember,$N3385))</f>
        <v/>
      </c>
      <c r="E3385" s="14">
        <f>IF($N3385="","",IFERROR(IF(VLOOKUP(INDEX(LdBMember,$N3385),AcctTblE,4,0)="","(بدون نام)",VLOOKUP(INDEX(LdBMember,$N3385),AcctTblE,4,0)),"—"))</f>
        <v/>
      </c>
      <c r="F3385" s="16">
        <f>IF($N3385="","",IF(INDEX(LdBAmt,$N3385)=0,"",INDEX(LdBAmt,$N3385)))</f>
        <v/>
      </c>
      <c r="G3385" s="30">
        <f>IF($N3385="","",IF(INDEX(LdBNote,$N3385)="","—",INDEX(LdBNote,$N3385)))</f>
        <v/>
      </c>
      <c r="N3385">
        <f>IFERROR(MATCH($C$5&amp;"|"&amp;RIGHT("000000"&amp;1365,6),LdBKeyG,0),"")</f>
        <v/>
      </c>
    </row>
    <row r="3386">
      <c r="A3386" s="19" t="n">
        <v>1366</v>
      </c>
      <c r="B3386" s="20">
        <f>IF($N3386="","",INDEX(LdBDate,$N3386))</f>
        <v/>
      </c>
      <c r="C3386" s="20">
        <f>IF($N3386="","",IF(INDEX(LdBId,$N3386)="","—",INDEX(LdBId,$N3386)))</f>
        <v/>
      </c>
      <c r="D3386" s="20">
        <f>IF($N3386="","",INDEX(LdBMember,$N3386))</f>
        <v/>
      </c>
      <c r="E3386" s="20">
        <f>IF($N3386="","",IFERROR(IF(VLOOKUP(INDEX(LdBMember,$N3386),AcctTblE,4,0)="","(بدون نام)",VLOOKUP(INDEX(LdBMember,$N3386),AcctTblE,4,0)),"—"))</f>
        <v/>
      </c>
      <c r="F3386" s="21">
        <f>IF($N3386="","",IF(INDEX(LdBAmt,$N3386)=0,"",INDEX(LdBAmt,$N3386)))</f>
        <v/>
      </c>
      <c r="G3386" s="32">
        <f>IF($N3386="","",IF(INDEX(LdBNote,$N3386)="","—",INDEX(LdBNote,$N3386)))</f>
        <v/>
      </c>
      <c r="N3386">
        <f>IFERROR(MATCH($C$5&amp;"|"&amp;RIGHT("000000"&amp;1366,6),LdBKeyG,0),"")</f>
        <v/>
      </c>
    </row>
    <row r="3387">
      <c r="A3387" s="10" t="n">
        <v>1367</v>
      </c>
      <c r="B3387" s="14">
        <f>IF($N3387="","",INDEX(LdBDate,$N3387))</f>
        <v/>
      </c>
      <c r="C3387" s="14">
        <f>IF($N3387="","",IF(INDEX(LdBId,$N3387)="","—",INDEX(LdBId,$N3387)))</f>
        <v/>
      </c>
      <c r="D3387" s="14">
        <f>IF($N3387="","",INDEX(LdBMember,$N3387))</f>
        <v/>
      </c>
      <c r="E3387" s="14">
        <f>IF($N3387="","",IFERROR(IF(VLOOKUP(INDEX(LdBMember,$N3387),AcctTblE,4,0)="","(بدون نام)",VLOOKUP(INDEX(LdBMember,$N3387),AcctTblE,4,0)),"—"))</f>
        <v/>
      </c>
      <c r="F3387" s="16">
        <f>IF($N3387="","",IF(INDEX(LdBAmt,$N3387)=0,"",INDEX(LdBAmt,$N3387)))</f>
        <v/>
      </c>
      <c r="G3387" s="30">
        <f>IF($N3387="","",IF(INDEX(LdBNote,$N3387)="","—",INDEX(LdBNote,$N3387)))</f>
        <v/>
      </c>
      <c r="N3387">
        <f>IFERROR(MATCH($C$5&amp;"|"&amp;RIGHT("000000"&amp;1367,6),LdBKeyG,0),"")</f>
        <v/>
      </c>
    </row>
    <row r="3388">
      <c r="A3388" s="19" t="n">
        <v>1368</v>
      </c>
      <c r="B3388" s="20">
        <f>IF($N3388="","",INDEX(LdBDate,$N3388))</f>
        <v/>
      </c>
      <c r="C3388" s="20">
        <f>IF($N3388="","",IF(INDEX(LdBId,$N3388)="","—",INDEX(LdBId,$N3388)))</f>
        <v/>
      </c>
      <c r="D3388" s="20">
        <f>IF($N3388="","",INDEX(LdBMember,$N3388))</f>
        <v/>
      </c>
      <c r="E3388" s="20">
        <f>IF($N3388="","",IFERROR(IF(VLOOKUP(INDEX(LdBMember,$N3388),AcctTblE,4,0)="","(بدون نام)",VLOOKUP(INDEX(LdBMember,$N3388),AcctTblE,4,0)),"—"))</f>
        <v/>
      </c>
      <c r="F3388" s="21">
        <f>IF($N3388="","",IF(INDEX(LdBAmt,$N3388)=0,"",INDEX(LdBAmt,$N3388)))</f>
        <v/>
      </c>
      <c r="G3388" s="32">
        <f>IF($N3388="","",IF(INDEX(LdBNote,$N3388)="","—",INDEX(LdBNote,$N3388)))</f>
        <v/>
      </c>
      <c r="N3388">
        <f>IFERROR(MATCH($C$5&amp;"|"&amp;RIGHT("000000"&amp;1368,6),LdBKeyG,0),"")</f>
        <v/>
      </c>
    </row>
    <row r="3389">
      <c r="A3389" s="10" t="n">
        <v>1369</v>
      </c>
      <c r="B3389" s="14">
        <f>IF($N3389="","",INDEX(LdBDate,$N3389))</f>
        <v/>
      </c>
      <c r="C3389" s="14">
        <f>IF($N3389="","",IF(INDEX(LdBId,$N3389)="","—",INDEX(LdBId,$N3389)))</f>
        <v/>
      </c>
      <c r="D3389" s="14">
        <f>IF($N3389="","",INDEX(LdBMember,$N3389))</f>
        <v/>
      </c>
      <c r="E3389" s="14">
        <f>IF($N3389="","",IFERROR(IF(VLOOKUP(INDEX(LdBMember,$N3389),AcctTblE,4,0)="","(بدون نام)",VLOOKUP(INDEX(LdBMember,$N3389),AcctTblE,4,0)),"—"))</f>
        <v/>
      </c>
      <c r="F3389" s="16">
        <f>IF($N3389="","",IF(INDEX(LdBAmt,$N3389)=0,"",INDEX(LdBAmt,$N3389)))</f>
        <v/>
      </c>
      <c r="G3389" s="30">
        <f>IF($N3389="","",IF(INDEX(LdBNote,$N3389)="","—",INDEX(LdBNote,$N3389)))</f>
        <v/>
      </c>
      <c r="N3389">
        <f>IFERROR(MATCH($C$5&amp;"|"&amp;RIGHT("000000"&amp;1369,6),LdBKeyG,0),"")</f>
        <v/>
      </c>
    </row>
    <row r="3390">
      <c r="A3390" s="19" t="n">
        <v>1370</v>
      </c>
      <c r="B3390" s="20">
        <f>IF($N3390="","",INDEX(LdBDate,$N3390))</f>
        <v/>
      </c>
      <c r="C3390" s="20">
        <f>IF($N3390="","",IF(INDEX(LdBId,$N3390)="","—",INDEX(LdBId,$N3390)))</f>
        <v/>
      </c>
      <c r="D3390" s="20">
        <f>IF($N3390="","",INDEX(LdBMember,$N3390))</f>
        <v/>
      </c>
      <c r="E3390" s="20">
        <f>IF($N3390="","",IFERROR(IF(VLOOKUP(INDEX(LdBMember,$N3390),AcctTblE,4,0)="","(بدون نام)",VLOOKUP(INDEX(LdBMember,$N3390),AcctTblE,4,0)),"—"))</f>
        <v/>
      </c>
      <c r="F3390" s="21">
        <f>IF($N3390="","",IF(INDEX(LdBAmt,$N3390)=0,"",INDEX(LdBAmt,$N3390)))</f>
        <v/>
      </c>
      <c r="G3390" s="32">
        <f>IF($N3390="","",IF(INDEX(LdBNote,$N3390)="","—",INDEX(LdBNote,$N3390)))</f>
        <v/>
      </c>
      <c r="N3390">
        <f>IFERROR(MATCH($C$5&amp;"|"&amp;RIGHT("000000"&amp;1370,6),LdBKeyG,0),"")</f>
        <v/>
      </c>
    </row>
    <row r="3391">
      <c r="A3391" s="10" t="n">
        <v>1371</v>
      </c>
      <c r="B3391" s="14">
        <f>IF($N3391="","",INDEX(LdBDate,$N3391))</f>
        <v/>
      </c>
      <c r="C3391" s="14">
        <f>IF($N3391="","",IF(INDEX(LdBId,$N3391)="","—",INDEX(LdBId,$N3391)))</f>
        <v/>
      </c>
      <c r="D3391" s="14">
        <f>IF($N3391="","",INDEX(LdBMember,$N3391))</f>
        <v/>
      </c>
      <c r="E3391" s="14">
        <f>IF($N3391="","",IFERROR(IF(VLOOKUP(INDEX(LdBMember,$N3391),AcctTblE,4,0)="","(بدون نام)",VLOOKUP(INDEX(LdBMember,$N3391),AcctTblE,4,0)),"—"))</f>
        <v/>
      </c>
      <c r="F3391" s="16">
        <f>IF($N3391="","",IF(INDEX(LdBAmt,$N3391)=0,"",INDEX(LdBAmt,$N3391)))</f>
        <v/>
      </c>
      <c r="G3391" s="30">
        <f>IF($N3391="","",IF(INDEX(LdBNote,$N3391)="","—",INDEX(LdBNote,$N3391)))</f>
        <v/>
      </c>
      <c r="N3391">
        <f>IFERROR(MATCH($C$5&amp;"|"&amp;RIGHT("000000"&amp;1371,6),LdBKeyG,0),"")</f>
        <v/>
      </c>
    </row>
    <row r="3392">
      <c r="A3392" s="19" t="n">
        <v>1372</v>
      </c>
      <c r="B3392" s="20">
        <f>IF($N3392="","",INDEX(LdBDate,$N3392))</f>
        <v/>
      </c>
      <c r="C3392" s="20">
        <f>IF($N3392="","",IF(INDEX(LdBId,$N3392)="","—",INDEX(LdBId,$N3392)))</f>
        <v/>
      </c>
      <c r="D3392" s="20">
        <f>IF($N3392="","",INDEX(LdBMember,$N3392))</f>
        <v/>
      </c>
      <c r="E3392" s="20">
        <f>IF($N3392="","",IFERROR(IF(VLOOKUP(INDEX(LdBMember,$N3392),AcctTblE,4,0)="","(بدون نام)",VLOOKUP(INDEX(LdBMember,$N3392),AcctTblE,4,0)),"—"))</f>
        <v/>
      </c>
      <c r="F3392" s="21">
        <f>IF($N3392="","",IF(INDEX(LdBAmt,$N3392)=0,"",INDEX(LdBAmt,$N3392)))</f>
        <v/>
      </c>
      <c r="G3392" s="32">
        <f>IF($N3392="","",IF(INDEX(LdBNote,$N3392)="","—",INDEX(LdBNote,$N3392)))</f>
        <v/>
      </c>
      <c r="N3392">
        <f>IFERROR(MATCH($C$5&amp;"|"&amp;RIGHT("000000"&amp;1372,6),LdBKeyG,0),"")</f>
        <v/>
      </c>
    </row>
    <row r="3393">
      <c r="A3393" s="10" t="n">
        <v>1373</v>
      </c>
      <c r="B3393" s="14">
        <f>IF($N3393="","",INDEX(LdBDate,$N3393))</f>
        <v/>
      </c>
      <c r="C3393" s="14">
        <f>IF($N3393="","",IF(INDEX(LdBId,$N3393)="","—",INDEX(LdBId,$N3393)))</f>
        <v/>
      </c>
      <c r="D3393" s="14">
        <f>IF($N3393="","",INDEX(LdBMember,$N3393))</f>
        <v/>
      </c>
      <c r="E3393" s="14">
        <f>IF($N3393="","",IFERROR(IF(VLOOKUP(INDEX(LdBMember,$N3393),AcctTblE,4,0)="","(بدون نام)",VLOOKUP(INDEX(LdBMember,$N3393),AcctTblE,4,0)),"—"))</f>
        <v/>
      </c>
      <c r="F3393" s="16">
        <f>IF($N3393="","",IF(INDEX(LdBAmt,$N3393)=0,"",INDEX(LdBAmt,$N3393)))</f>
        <v/>
      </c>
      <c r="G3393" s="30">
        <f>IF($N3393="","",IF(INDEX(LdBNote,$N3393)="","—",INDEX(LdBNote,$N3393)))</f>
        <v/>
      </c>
      <c r="N3393">
        <f>IFERROR(MATCH($C$5&amp;"|"&amp;RIGHT("000000"&amp;1373,6),LdBKeyG,0),"")</f>
        <v/>
      </c>
    </row>
    <row r="3394">
      <c r="A3394" s="19" t="n">
        <v>1374</v>
      </c>
      <c r="B3394" s="20">
        <f>IF($N3394="","",INDEX(LdBDate,$N3394))</f>
        <v/>
      </c>
      <c r="C3394" s="20">
        <f>IF($N3394="","",IF(INDEX(LdBId,$N3394)="","—",INDEX(LdBId,$N3394)))</f>
        <v/>
      </c>
      <c r="D3394" s="20">
        <f>IF($N3394="","",INDEX(LdBMember,$N3394))</f>
        <v/>
      </c>
      <c r="E3394" s="20">
        <f>IF($N3394="","",IFERROR(IF(VLOOKUP(INDEX(LdBMember,$N3394),AcctTblE,4,0)="","(بدون نام)",VLOOKUP(INDEX(LdBMember,$N3394),AcctTblE,4,0)),"—"))</f>
        <v/>
      </c>
      <c r="F3394" s="21">
        <f>IF($N3394="","",IF(INDEX(LdBAmt,$N3394)=0,"",INDEX(LdBAmt,$N3394)))</f>
        <v/>
      </c>
      <c r="G3394" s="32">
        <f>IF($N3394="","",IF(INDEX(LdBNote,$N3394)="","—",INDEX(LdBNote,$N3394)))</f>
        <v/>
      </c>
      <c r="N3394">
        <f>IFERROR(MATCH($C$5&amp;"|"&amp;RIGHT("000000"&amp;1374,6),LdBKeyG,0),"")</f>
        <v/>
      </c>
    </row>
    <row r="3395">
      <c r="A3395" s="10" t="n">
        <v>1375</v>
      </c>
      <c r="B3395" s="14">
        <f>IF($N3395="","",INDEX(LdBDate,$N3395))</f>
        <v/>
      </c>
      <c r="C3395" s="14">
        <f>IF($N3395="","",IF(INDEX(LdBId,$N3395)="","—",INDEX(LdBId,$N3395)))</f>
        <v/>
      </c>
      <c r="D3395" s="14">
        <f>IF($N3395="","",INDEX(LdBMember,$N3395))</f>
        <v/>
      </c>
      <c r="E3395" s="14">
        <f>IF($N3395="","",IFERROR(IF(VLOOKUP(INDEX(LdBMember,$N3395),AcctTblE,4,0)="","(بدون نام)",VLOOKUP(INDEX(LdBMember,$N3395),AcctTblE,4,0)),"—"))</f>
        <v/>
      </c>
      <c r="F3395" s="16">
        <f>IF($N3395="","",IF(INDEX(LdBAmt,$N3395)=0,"",INDEX(LdBAmt,$N3395)))</f>
        <v/>
      </c>
      <c r="G3395" s="30">
        <f>IF($N3395="","",IF(INDEX(LdBNote,$N3395)="","—",INDEX(LdBNote,$N3395)))</f>
        <v/>
      </c>
      <c r="N3395">
        <f>IFERROR(MATCH($C$5&amp;"|"&amp;RIGHT("000000"&amp;1375,6),LdBKeyG,0),"")</f>
        <v/>
      </c>
    </row>
    <row r="3396">
      <c r="A3396" s="19" t="n">
        <v>1376</v>
      </c>
      <c r="B3396" s="20">
        <f>IF($N3396="","",INDEX(LdBDate,$N3396))</f>
        <v/>
      </c>
      <c r="C3396" s="20">
        <f>IF($N3396="","",IF(INDEX(LdBId,$N3396)="","—",INDEX(LdBId,$N3396)))</f>
        <v/>
      </c>
      <c r="D3396" s="20">
        <f>IF($N3396="","",INDEX(LdBMember,$N3396))</f>
        <v/>
      </c>
      <c r="E3396" s="20">
        <f>IF($N3396="","",IFERROR(IF(VLOOKUP(INDEX(LdBMember,$N3396),AcctTblE,4,0)="","(بدون نام)",VLOOKUP(INDEX(LdBMember,$N3396),AcctTblE,4,0)),"—"))</f>
        <v/>
      </c>
      <c r="F3396" s="21">
        <f>IF($N3396="","",IF(INDEX(LdBAmt,$N3396)=0,"",INDEX(LdBAmt,$N3396)))</f>
        <v/>
      </c>
      <c r="G3396" s="32">
        <f>IF($N3396="","",IF(INDEX(LdBNote,$N3396)="","—",INDEX(LdBNote,$N3396)))</f>
        <v/>
      </c>
      <c r="N3396">
        <f>IFERROR(MATCH($C$5&amp;"|"&amp;RIGHT("000000"&amp;1376,6),LdBKeyG,0),"")</f>
        <v/>
      </c>
    </row>
    <row r="3397">
      <c r="A3397" s="10" t="n">
        <v>1377</v>
      </c>
      <c r="B3397" s="14">
        <f>IF($N3397="","",INDEX(LdBDate,$N3397))</f>
        <v/>
      </c>
      <c r="C3397" s="14">
        <f>IF($N3397="","",IF(INDEX(LdBId,$N3397)="","—",INDEX(LdBId,$N3397)))</f>
        <v/>
      </c>
      <c r="D3397" s="14">
        <f>IF($N3397="","",INDEX(LdBMember,$N3397))</f>
        <v/>
      </c>
      <c r="E3397" s="14">
        <f>IF($N3397="","",IFERROR(IF(VLOOKUP(INDEX(LdBMember,$N3397),AcctTblE,4,0)="","(بدون نام)",VLOOKUP(INDEX(LdBMember,$N3397),AcctTblE,4,0)),"—"))</f>
        <v/>
      </c>
      <c r="F3397" s="16">
        <f>IF($N3397="","",IF(INDEX(LdBAmt,$N3397)=0,"",INDEX(LdBAmt,$N3397)))</f>
        <v/>
      </c>
      <c r="G3397" s="30">
        <f>IF($N3397="","",IF(INDEX(LdBNote,$N3397)="","—",INDEX(LdBNote,$N3397)))</f>
        <v/>
      </c>
      <c r="N3397">
        <f>IFERROR(MATCH($C$5&amp;"|"&amp;RIGHT("000000"&amp;1377,6),LdBKeyG,0),"")</f>
        <v/>
      </c>
    </row>
    <row r="3398">
      <c r="A3398" s="19" t="n">
        <v>1378</v>
      </c>
      <c r="B3398" s="20">
        <f>IF($N3398="","",INDEX(LdBDate,$N3398))</f>
        <v/>
      </c>
      <c r="C3398" s="20">
        <f>IF($N3398="","",IF(INDEX(LdBId,$N3398)="","—",INDEX(LdBId,$N3398)))</f>
        <v/>
      </c>
      <c r="D3398" s="20">
        <f>IF($N3398="","",INDEX(LdBMember,$N3398))</f>
        <v/>
      </c>
      <c r="E3398" s="20">
        <f>IF($N3398="","",IFERROR(IF(VLOOKUP(INDEX(LdBMember,$N3398),AcctTblE,4,0)="","(بدون نام)",VLOOKUP(INDEX(LdBMember,$N3398),AcctTblE,4,0)),"—"))</f>
        <v/>
      </c>
      <c r="F3398" s="21">
        <f>IF($N3398="","",IF(INDEX(LdBAmt,$N3398)=0,"",INDEX(LdBAmt,$N3398)))</f>
        <v/>
      </c>
      <c r="G3398" s="32">
        <f>IF($N3398="","",IF(INDEX(LdBNote,$N3398)="","—",INDEX(LdBNote,$N3398)))</f>
        <v/>
      </c>
      <c r="N3398">
        <f>IFERROR(MATCH($C$5&amp;"|"&amp;RIGHT("000000"&amp;1378,6),LdBKeyG,0),"")</f>
        <v/>
      </c>
    </row>
    <row r="3399">
      <c r="A3399" s="10" t="n">
        <v>1379</v>
      </c>
      <c r="B3399" s="14">
        <f>IF($N3399="","",INDEX(LdBDate,$N3399))</f>
        <v/>
      </c>
      <c r="C3399" s="14">
        <f>IF($N3399="","",IF(INDEX(LdBId,$N3399)="","—",INDEX(LdBId,$N3399)))</f>
        <v/>
      </c>
      <c r="D3399" s="14">
        <f>IF($N3399="","",INDEX(LdBMember,$N3399))</f>
        <v/>
      </c>
      <c r="E3399" s="14">
        <f>IF($N3399="","",IFERROR(IF(VLOOKUP(INDEX(LdBMember,$N3399),AcctTblE,4,0)="","(بدون نام)",VLOOKUP(INDEX(LdBMember,$N3399),AcctTblE,4,0)),"—"))</f>
        <v/>
      </c>
      <c r="F3399" s="16">
        <f>IF($N3399="","",IF(INDEX(LdBAmt,$N3399)=0,"",INDEX(LdBAmt,$N3399)))</f>
        <v/>
      </c>
      <c r="G3399" s="30">
        <f>IF($N3399="","",IF(INDEX(LdBNote,$N3399)="","—",INDEX(LdBNote,$N3399)))</f>
        <v/>
      </c>
      <c r="N3399">
        <f>IFERROR(MATCH($C$5&amp;"|"&amp;RIGHT("000000"&amp;1379,6),LdBKeyG,0),"")</f>
        <v/>
      </c>
    </row>
    <row r="3400">
      <c r="A3400" s="19" t="n">
        <v>1380</v>
      </c>
      <c r="B3400" s="20">
        <f>IF($N3400="","",INDEX(LdBDate,$N3400))</f>
        <v/>
      </c>
      <c r="C3400" s="20">
        <f>IF($N3400="","",IF(INDEX(LdBId,$N3400)="","—",INDEX(LdBId,$N3400)))</f>
        <v/>
      </c>
      <c r="D3400" s="20">
        <f>IF($N3400="","",INDEX(LdBMember,$N3400))</f>
        <v/>
      </c>
      <c r="E3400" s="20">
        <f>IF($N3400="","",IFERROR(IF(VLOOKUP(INDEX(LdBMember,$N3400),AcctTblE,4,0)="","(بدون نام)",VLOOKUP(INDEX(LdBMember,$N3400),AcctTblE,4,0)),"—"))</f>
        <v/>
      </c>
      <c r="F3400" s="21">
        <f>IF($N3400="","",IF(INDEX(LdBAmt,$N3400)=0,"",INDEX(LdBAmt,$N3400)))</f>
        <v/>
      </c>
      <c r="G3400" s="32">
        <f>IF($N3400="","",IF(INDEX(LdBNote,$N3400)="","—",INDEX(LdBNote,$N3400)))</f>
        <v/>
      </c>
      <c r="N3400">
        <f>IFERROR(MATCH($C$5&amp;"|"&amp;RIGHT("000000"&amp;1380,6),LdBKeyG,0),"")</f>
        <v/>
      </c>
    </row>
    <row r="3401">
      <c r="A3401" s="10" t="n">
        <v>1381</v>
      </c>
      <c r="B3401" s="14">
        <f>IF($N3401="","",INDEX(LdBDate,$N3401))</f>
        <v/>
      </c>
      <c r="C3401" s="14">
        <f>IF($N3401="","",IF(INDEX(LdBId,$N3401)="","—",INDEX(LdBId,$N3401)))</f>
        <v/>
      </c>
      <c r="D3401" s="14">
        <f>IF($N3401="","",INDEX(LdBMember,$N3401))</f>
        <v/>
      </c>
      <c r="E3401" s="14">
        <f>IF($N3401="","",IFERROR(IF(VLOOKUP(INDEX(LdBMember,$N3401),AcctTblE,4,0)="","(بدون نام)",VLOOKUP(INDEX(LdBMember,$N3401),AcctTblE,4,0)),"—"))</f>
        <v/>
      </c>
      <c r="F3401" s="16">
        <f>IF($N3401="","",IF(INDEX(LdBAmt,$N3401)=0,"",INDEX(LdBAmt,$N3401)))</f>
        <v/>
      </c>
      <c r="G3401" s="30">
        <f>IF($N3401="","",IF(INDEX(LdBNote,$N3401)="","—",INDEX(LdBNote,$N3401)))</f>
        <v/>
      </c>
      <c r="N3401">
        <f>IFERROR(MATCH($C$5&amp;"|"&amp;RIGHT("000000"&amp;1381,6),LdBKeyG,0),"")</f>
        <v/>
      </c>
    </row>
    <row r="3402">
      <c r="A3402" s="19" t="n">
        <v>1382</v>
      </c>
      <c r="B3402" s="20">
        <f>IF($N3402="","",INDEX(LdBDate,$N3402))</f>
        <v/>
      </c>
      <c r="C3402" s="20">
        <f>IF($N3402="","",IF(INDEX(LdBId,$N3402)="","—",INDEX(LdBId,$N3402)))</f>
        <v/>
      </c>
      <c r="D3402" s="20">
        <f>IF($N3402="","",INDEX(LdBMember,$N3402))</f>
        <v/>
      </c>
      <c r="E3402" s="20">
        <f>IF($N3402="","",IFERROR(IF(VLOOKUP(INDEX(LdBMember,$N3402),AcctTblE,4,0)="","(بدون نام)",VLOOKUP(INDEX(LdBMember,$N3402),AcctTblE,4,0)),"—"))</f>
        <v/>
      </c>
      <c r="F3402" s="21">
        <f>IF($N3402="","",IF(INDEX(LdBAmt,$N3402)=0,"",INDEX(LdBAmt,$N3402)))</f>
        <v/>
      </c>
      <c r="G3402" s="32">
        <f>IF($N3402="","",IF(INDEX(LdBNote,$N3402)="","—",INDEX(LdBNote,$N3402)))</f>
        <v/>
      </c>
      <c r="N3402">
        <f>IFERROR(MATCH($C$5&amp;"|"&amp;RIGHT("000000"&amp;1382,6),LdBKeyG,0),"")</f>
        <v/>
      </c>
    </row>
    <row r="3403">
      <c r="A3403" s="10" t="n">
        <v>1383</v>
      </c>
      <c r="B3403" s="14">
        <f>IF($N3403="","",INDEX(LdBDate,$N3403))</f>
        <v/>
      </c>
      <c r="C3403" s="14">
        <f>IF($N3403="","",IF(INDEX(LdBId,$N3403)="","—",INDEX(LdBId,$N3403)))</f>
        <v/>
      </c>
      <c r="D3403" s="14">
        <f>IF($N3403="","",INDEX(LdBMember,$N3403))</f>
        <v/>
      </c>
      <c r="E3403" s="14">
        <f>IF($N3403="","",IFERROR(IF(VLOOKUP(INDEX(LdBMember,$N3403),AcctTblE,4,0)="","(بدون نام)",VLOOKUP(INDEX(LdBMember,$N3403),AcctTblE,4,0)),"—"))</f>
        <v/>
      </c>
      <c r="F3403" s="16">
        <f>IF($N3403="","",IF(INDEX(LdBAmt,$N3403)=0,"",INDEX(LdBAmt,$N3403)))</f>
        <v/>
      </c>
      <c r="G3403" s="30">
        <f>IF($N3403="","",IF(INDEX(LdBNote,$N3403)="","—",INDEX(LdBNote,$N3403)))</f>
        <v/>
      </c>
      <c r="N3403">
        <f>IFERROR(MATCH($C$5&amp;"|"&amp;RIGHT("000000"&amp;1383,6),LdBKeyG,0),"")</f>
        <v/>
      </c>
    </row>
    <row r="3404">
      <c r="A3404" s="19" t="n">
        <v>1384</v>
      </c>
      <c r="B3404" s="20">
        <f>IF($N3404="","",INDEX(LdBDate,$N3404))</f>
        <v/>
      </c>
      <c r="C3404" s="20">
        <f>IF($N3404="","",IF(INDEX(LdBId,$N3404)="","—",INDEX(LdBId,$N3404)))</f>
        <v/>
      </c>
      <c r="D3404" s="20">
        <f>IF($N3404="","",INDEX(LdBMember,$N3404))</f>
        <v/>
      </c>
      <c r="E3404" s="20">
        <f>IF($N3404="","",IFERROR(IF(VLOOKUP(INDEX(LdBMember,$N3404),AcctTblE,4,0)="","(بدون نام)",VLOOKUP(INDEX(LdBMember,$N3404),AcctTblE,4,0)),"—"))</f>
        <v/>
      </c>
      <c r="F3404" s="21">
        <f>IF($N3404="","",IF(INDEX(LdBAmt,$N3404)=0,"",INDEX(LdBAmt,$N3404)))</f>
        <v/>
      </c>
      <c r="G3404" s="32">
        <f>IF($N3404="","",IF(INDEX(LdBNote,$N3404)="","—",INDEX(LdBNote,$N3404)))</f>
        <v/>
      </c>
      <c r="N3404">
        <f>IFERROR(MATCH($C$5&amp;"|"&amp;RIGHT("000000"&amp;1384,6),LdBKeyG,0),"")</f>
        <v/>
      </c>
    </row>
    <row r="3405">
      <c r="A3405" s="10" t="n">
        <v>1385</v>
      </c>
      <c r="B3405" s="14">
        <f>IF($N3405="","",INDEX(LdBDate,$N3405))</f>
        <v/>
      </c>
      <c r="C3405" s="14">
        <f>IF($N3405="","",IF(INDEX(LdBId,$N3405)="","—",INDEX(LdBId,$N3405)))</f>
        <v/>
      </c>
      <c r="D3405" s="14">
        <f>IF($N3405="","",INDEX(LdBMember,$N3405))</f>
        <v/>
      </c>
      <c r="E3405" s="14">
        <f>IF($N3405="","",IFERROR(IF(VLOOKUP(INDEX(LdBMember,$N3405),AcctTblE,4,0)="","(بدون نام)",VLOOKUP(INDEX(LdBMember,$N3405),AcctTblE,4,0)),"—"))</f>
        <v/>
      </c>
      <c r="F3405" s="16">
        <f>IF($N3405="","",IF(INDEX(LdBAmt,$N3405)=0,"",INDEX(LdBAmt,$N3405)))</f>
        <v/>
      </c>
      <c r="G3405" s="30">
        <f>IF($N3405="","",IF(INDEX(LdBNote,$N3405)="","—",INDEX(LdBNote,$N3405)))</f>
        <v/>
      </c>
      <c r="N3405">
        <f>IFERROR(MATCH($C$5&amp;"|"&amp;RIGHT("000000"&amp;1385,6),LdBKeyG,0),"")</f>
        <v/>
      </c>
    </row>
    <row r="3406">
      <c r="A3406" s="19" t="n">
        <v>1386</v>
      </c>
      <c r="B3406" s="20">
        <f>IF($N3406="","",INDEX(LdBDate,$N3406))</f>
        <v/>
      </c>
      <c r="C3406" s="20">
        <f>IF($N3406="","",IF(INDEX(LdBId,$N3406)="","—",INDEX(LdBId,$N3406)))</f>
        <v/>
      </c>
      <c r="D3406" s="20">
        <f>IF($N3406="","",INDEX(LdBMember,$N3406))</f>
        <v/>
      </c>
      <c r="E3406" s="20">
        <f>IF($N3406="","",IFERROR(IF(VLOOKUP(INDEX(LdBMember,$N3406),AcctTblE,4,0)="","(بدون نام)",VLOOKUP(INDEX(LdBMember,$N3406),AcctTblE,4,0)),"—"))</f>
        <v/>
      </c>
      <c r="F3406" s="21">
        <f>IF($N3406="","",IF(INDEX(LdBAmt,$N3406)=0,"",INDEX(LdBAmt,$N3406)))</f>
        <v/>
      </c>
      <c r="G3406" s="32">
        <f>IF($N3406="","",IF(INDEX(LdBNote,$N3406)="","—",INDEX(LdBNote,$N3406)))</f>
        <v/>
      </c>
      <c r="N3406">
        <f>IFERROR(MATCH($C$5&amp;"|"&amp;RIGHT("000000"&amp;1386,6),LdBKeyG,0),"")</f>
        <v/>
      </c>
    </row>
    <row r="3407">
      <c r="A3407" s="10" t="n">
        <v>1387</v>
      </c>
      <c r="B3407" s="14">
        <f>IF($N3407="","",INDEX(LdBDate,$N3407))</f>
        <v/>
      </c>
      <c r="C3407" s="14">
        <f>IF($N3407="","",IF(INDEX(LdBId,$N3407)="","—",INDEX(LdBId,$N3407)))</f>
        <v/>
      </c>
      <c r="D3407" s="14">
        <f>IF($N3407="","",INDEX(LdBMember,$N3407))</f>
        <v/>
      </c>
      <c r="E3407" s="14">
        <f>IF($N3407="","",IFERROR(IF(VLOOKUP(INDEX(LdBMember,$N3407),AcctTblE,4,0)="","(بدون نام)",VLOOKUP(INDEX(LdBMember,$N3407),AcctTblE,4,0)),"—"))</f>
        <v/>
      </c>
      <c r="F3407" s="16">
        <f>IF($N3407="","",IF(INDEX(LdBAmt,$N3407)=0,"",INDEX(LdBAmt,$N3407)))</f>
        <v/>
      </c>
      <c r="G3407" s="30">
        <f>IF($N3407="","",IF(INDEX(LdBNote,$N3407)="","—",INDEX(LdBNote,$N3407)))</f>
        <v/>
      </c>
      <c r="N3407">
        <f>IFERROR(MATCH($C$5&amp;"|"&amp;RIGHT("000000"&amp;1387,6),LdBKeyG,0),"")</f>
        <v/>
      </c>
    </row>
    <row r="3408">
      <c r="A3408" s="19" t="n">
        <v>1388</v>
      </c>
      <c r="B3408" s="20">
        <f>IF($N3408="","",INDEX(LdBDate,$N3408))</f>
        <v/>
      </c>
      <c r="C3408" s="20">
        <f>IF($N3408="","",IF(INDEX(LdBId,$N3408)="","—",INDEX(LdBId,$N3408)))</f>
        <v/>
      </c>
      <c r="D3408" s="20">
        <f>IF($N3408="","",INDEX(LdBMember,$N3408))</f>
        <v/>
      </c>
      <c r="E3408" s="20">
        <f>IF($N3408="","",IFERROR(IF(VLOOKUP(INDEX(LdBMember,$N3408),AcctTblE,4,0)="","(بدون نام)",VLOOKUP(INDEX(LdBMember,$N3408),AcctTblE,4,0)),"—"))</f>
        <v/>
      </c>
      <c r="F3408" s="21">
        <f>IF($N3408="","",IF(INDEX(LdBAmt,$N3408)=0,"",INDEX(LdBAmt,$N3408)))</f>
        <v/>
      </c>
      <c r="G3408" s="32">
        <f>IF($N3408="","",IF(INDEX(LdBNote,$N3408)="","—",INDEX(LdBNote,$N3408)))</f>
        <v/>
      </c>
      <c r="N3408">
        <f>IFERROR(MATCH($C$5&amp;"|"&amp;RIGHT("000000"&amp;1388,6),LdBKeyG,0),"")</f>
        <v/>
      </c>
    </row>
    <row r="3409">
      <c r="A3409" s="10" t="n">
        <v>1389</v>
      </c>
      <c r="B3409" s="14">
        <f>IF($N3409="","",INDEX(LdBDate,$N3409))</f>
        <v/>
      </c>
      <c r="C3409" s="14">
        <f>IF($N3409="","",IF(INDEX(LdBId,$N3409)="","—",INDEX(LdBId,$N3409)))</f>
        <v/>
      </c>
      <c r="D3409" s="14">
        <f>IF($N3409="","",INDEX(LdBMember,$N3409))</f>
        <v/>
      </c>
      <c r="E3409" s="14">
        <f>IF($N3409="","",IFERROR(IF(VLOOKUP(INDEX(LdBMember,$N3409),AcctTblE,4,0)="","(بدون نام)",VLOOKUP(INDEX(LdBMember,$N3409),AcctTblE,4,0)),"—"))</f>
        <v/>
      </c>
      <c r="F3409" s="16">
        <f>IF($N3409="","",IF(INDEX(LdBAmt,$N3409)=0,"",INDEX(LdBAmt,$N3409)))</f>
        <v/>
      </c>
      <c r="G3409" s="30">
        <f>IF($N3409="","",IF(INDEX(LdBNote,$N3409)="","—",INDEX(LdBNote,$N3409)))</f>
        <v/>
      </c>
      <c r="N3409">
        <f>IFERROR(MATCH($C$5&amp;"|"&amp;RIGHT("000000"&amp;1389,6),LdBKeyG,0),"")</f>
        <v/>
      </c>
    </row>
    <row r="3410">
      <c r="A3410" s="19" t="n">
        <v>1390</v>
      </c>
      <c r="B3410" s="20">
        <f>IF($N3410="","",INDEX(LdBDate,$N3410))</f>
        <v/>
      </c>
      <c r="C3410" s="20">
        <f>IF($N3410="","",IF(INDEX(LdBId,$N3410)="","—",INDEX(LdBId,$N3410)))</f>
        <v/>
      </c>
      <c r="D3410" s="20">
        <f>IF($N3410="","",INDEX(LdBMember,$N3410))</f>
        <v/>
      </c>
      <c r="E3410" s="20">
        <f>IF($N3410="","",IFERROR(IF(VLOOKUP(INDEX(LdBMember,$N3410),AcctTblE,4,0)="","(بدون نام)",VLOOKUP(INDEX(LdBMember,$N3410),AcctTblE,4,0)),"—"))</f>
        <v/>
      </c>
      <c r="F3410" s="21">
        <f>IF($N3410="","",IF(INDEX(LdBAmt,$N3410)=0,"",INDEX(LdBAmt,$N3410)))</f>
        <v/>
      </c>
      <c r="G3410" s="32">
        <f>IF($N3410="","",IF(INDEX(LdBNote,$N3410)="","—",INDEX(LdBNote,$N3410)))</f>
        <v/>
      </c>
      <c r="N3410">
        <f>IFERROR(MATCH($C$5&amp;"|"&amp;RIGHT("000000"&amp;1390,6),LdBKeyG,0),"")</f>
        <v/>
      </c>
    </row>
    <row r="3411">
      <c r="A3411" s="10" t="n">
        <v>1391</v>
      </c>
      <c r="B3411" s="14">
        <f>IF($N3411="","",INDEX(LdBDate,$N3411))</f>
        <v/>
      </c>
      <c r="C3411" s="14">
        <f>IF($N3411="","",IF(INDEX(LdBId,$N3411)="","—",INDEX(LdBId,$N3411)))</f>
        <v/>
      </c>
      <c r="D3411" s="14">
        <f>IF($N3411="","",INDEX(LdBMember,$N3411))</f>
        <v/>
      </c>
      <c r="E3411" s="14">
        <f>IF($N3411="","",IFERROR(IF(VLOOKUP(INDEX(LdBMember,$N3411),AcctTblE,4,0)="","(بدون نام)",VLOOKUP(INDEX(LdBMember,$N3411),AcctTblE,4,0)),"—"))</f>
        <v/>
      </c>
      <c r="F3411" s="16">
        <f>IF($N3411="","",IF(INDEX(LdBAmt,$N3411)=0,"",INDEX(LdBAmt,$N3411)))</f>
        <v/>
      </c>
      <c r="G3411" s="30">
        <f>IF($N3411="","",IF(INDEX(LdBNote,$N3411)="","—",INDEX(LdBNote,$N3411)))</f>
        <v/>
      </c>
      <c r="N3411">
        <f>IFERROR(MATCH($C$5&amp;"|"&amp;RIGHT("000000"&amp;1391,6),LdBKeyG,0),"")</f>
        <v/>
      </c>
    </row>
    <row r="3412">
      <c r="A3412" s="19" t="n">
        <v>1392</v>
      </c>
      <c r="B3412" s="20">
        <f>IF($N3412="","",INDEX(LdBDate,$N3412))</f>
        <v/>
      </c>
      <c r="C3412" s="20">
        <f>IF($N3412="","",IF(INDEX(LdBId,$N3412)="","—",INDEX(LdBId,$N3412)))</f>
        <v/>
      </c>
      <c r="D3412" s="20">
        <f>IF($N3412="","",INDEX(LdBMember,$N3412))</f>
        <v/>
      </c>
      <c r="E3412" s="20">
        <f>IF($N3412="","",IFERROR(IF(VLOOKUP(INDEX(LdBMember,$N3412),AcctTblE,4,0)="","(بدون نام)",VLOOKUP(INDEX(LdBMember,$N3412),AcctTblE,4,0)),"—"))</f>
        <v/>
      </c>
      <c r="F3412" s="21">
        <f>IF($N3412="","",IF(INDEX(LdBAmt,$N3412)=0,"",INDEX(LdBAmt,$N3412)))</f>
        <v/>
      </c>
      <c r="G3412" s="32">
        <f>IF($N3412="","",IF(INDEX(LdBNote,$N3412)="","—",INDEX(LdBNote,$N3412)))</f>
        <v/>
      </c>
      <c r="N3412">
        <f>IFERROR(MATCH($C$5&amp;"|"&amp;RIGHT("000000"&amp;1392,6),LdBKeyG,0),"")</f>
        <v/>
      </c>
    </row>
    <row r="3413">
      <c r="A3413" s="10" t="n">
        <v>1393</v>
      </c>
      <c r="B3413" s="14">
        <f>IF($N3413="","",INDEX(LdBDate,$N3413))</f>
        <v/>
      </c>
      <c r="C3413" s="14">
        <f>IF($N3413="","",IF(INDEX(LdBId,$N3413)="","—",INDEX(LdBId,$N3413)))</f>
        <v/>
      </c>
      <c r="D3413" s="14">
        <f>IF($N3413="","",INDEX(LdBMember,$N3413))</f>
        <v/>
      </c>
      <c r="E3413" s="14">
        <f>IF($N3413="","",IFERROR(IF(VLOOKUP(INDEX(LdBMember,$N3413),AcctTblE,4,0)="","(بدون نام)",VLOOKUP(INDEX(LdBMember,$N3413),AcctTblE,4,0)),"—"))</f>
        <v/>
      </c>
      <c r="F3413" s="16">
        <f>IF($N3413="","",IF(INDEX(LdBAmt,$N3413)=0,"",INDEX(LdBAmt,$N3413)))</f>
        <v/>
      </c>
      <c r="G3413" s="30">
        <f>IF($N3413="","",IF(INDEX(LdBNote,$N3413)="","—",INDEX(LdBNote,$N3413)))</f>
        <v/>
      </c>
      <c r="N3413">
        <f>IFERROR(MATCH($C$5&amp;"|"&amp;RIGHT("000000"&amp;1393,6),LdBKeyG,0),"")</f>
        <v/>
      </c>
    </row>
    <row r="3414">
      <c r="A3414" s="19" t="n">
        <v>1394</v>
      </c>
      <c r="B3414" s="20">
        <f>IF($N3414="","",INDEX(LdBDate,$N3414))</f>
        <v/>
      </c>
      <c r="C3414" s="20">
        <f>IF($N3414="","",IF(INDEX(LdBId,$N3414)="","—",INDEX(LdBId,$N3414)))</f>
        <v/>
      </c>
      <c r="D3414" s="20">
        <f>IF($N3414="","",INDEX(LdBMember,$N3414))</f>
        <v/>
      </c>
      <c r="E3414" s="20">
        <f>IF($N3414="","",IFERROR(IF(VLOOKUP(INDEX(LdBMember,$N3414),AcctTblE,4,0)="","(بدون نام)",VLOOKUP(INDEX(LdBMember,$N3414),AcctTblE,4,0)),"—"))</f>
        <v/>
      </c>
      <c r="F3414" s="21">
        <f>IF($N3414="","",IF(INDEX(LdBAmt,$N3414)=0,"",INDEX(LdBAmt,$N3414)))</f>
        <v/>
      </c>
      <c r="G3414" s="32">
        <f>IF($N3414="","",IF(INDEX(LdBNote,$N3414)="","—",INDEX(LdBNote,$N3414)))</f>
        <v/>
      </c>
      <c r="N3414">
        <f>IFERROR(MATCH($C$5&amp;"|"&amp;RIGHT("000000"&amp;1394,6),LdBKeyG,0),"")</f>
        <v/>
      </c>
    </row>
    <row r="3415">
      <c r="A3415" s="10" t="n">
        <v>1395</v>
      </c>
      <c r="B3415" s="14">
        <f>IF($N3415="","",INDEX(LdBDate,$N3415))</f>
        <v/>
      </c>
      <c r="C3415" s="14">
        <f>IF($N3415="","",IF(INDEX(LdBId,$N3415)="","—",INDEX(LdBId,$N3415)))</f>
        <v/>
      </c>
      <c r="D3415" s="14">
        <f>IF($N3415="","",INDEX(LdBMember,$N3415))</f>
        <v/>
      </c>
      <c r="E3415" s="14">
        <f>IF($N3415="","",IFERROR(IF(VLOOKUP(INDEX(LdBMember,$N3415),AcctTblE,4,0)="","(بدون نام)",VLOOKUP(INDEX(LdBMember,$N3415),AcctTblE,4,0)),"—"))</f>
        <v/>
      </c>
      <c r="F3415" s="16">
        <f>IF($N3415="","",IF(INDEX(LdBAmt,$N3415)=0,"",INDEX(LdBAmt,$N3415)))</f>
        <v/>
      </c>
      <c r="G3415" s="30">
        <f>IF($N3415="","",IF(INDEX(LdBNote,$N3415)="","—",INDEX(LdBNote,$N3415)))</f>
        <v/>
      </c>
      <c r="N3415">
        <f>IFERROR(MATCH($C$5&amp;"|"&amp;RIGHT("000000"&amp;1395,6),LdBKeyG,0),"")</f>
        <v/>
      </c>
    </row>
    <row r="3416">
      <c r="A3416" s="19" t="n">
        <v>1396</v>
      </c>
      <c r="B3416" s="20">
        <f>IF($N3416="","",INDEX(LdBDate,$N3416))</f>
        <v/>
      </c>
      <c r="C3416" s="20">
        <f>IF($N3416="","",IF(INDEX(LdBId,$N3416)="","—",INDEX(LdBId,$N3416)))</f>
        <v/>
      </c>
      <c r="D3416" s="20">
        <f>IF($N3416="","",INDEX(LdBMember,$N3416))</f>
        <v/>
      </c>
      <c r="E3416" s="20">
        <f>IF($N3416="","",IFERROR(IF(VLOOKUP(INDEX(LdBMember,$N3416),AcctTblE,4,0)="","(بدون نام)",VLOOKUP(INDEX(LdBMember,$N3416),AcctTblE,4,0)),"—"))</f>
        <v/>
      </c>
      <c r="F3416" s="21">
        <f>IF($N3416="","",IF(INDEX(LdBAmt,$N3416)=0,"",INDEX(LdBAmt,$N3416)))</f>
        <v/>
      </c>
      <c r="G3416" s="32">
        <f>IF($N3416="","",IF(INDEX(LdBNote,$N3416)="","—",INDEX(LdBNote,$N3416)))</f>
        <v/>
      </c>
      <c r="N3416">
        <f>IFERROR(MATCH($C$5&amp;"|"&amp;RIGHT("000000"&amp;1396,6),LdBKeyG,0),"")</f>
        <v/>
      </c>
    </row>
    <row r="3417">
      <c r="A3417" s="10" t="n">
        <v>1397</v>
      </c>
      <c r="B3417" s="14">
        <f>IF($N3417="","",INDEX(LdBDate,$N3417))</f>
        <v/>
      </c>
      <c r="C3417" s="14">
        <f>IF($N3417="","",IF(INDEX(LdBId,$N3417)="","—",INDEX(LdBId,$N3417)))</f>
        <v/>
      </c>
      <c r="D3417" s="14">
        <f>IF($N3417="","",INDEX(LdBMember,$N3417))</f>
        <v/>
      </c>
      <c r="E3417" s="14">
        <f>IF($N3417="","",IFERROR(IF(VLOOKUP(INDEX(LdBMember,$N3417),AcctTblE,4,0)="","(بدون نام)",VLOOKUP(INDEX(LdBMember,$N3417),AcctTblE,4,0)),"—"))</f>
        <v/>
      </c>
      <c r="F3417" s="16">
        <f>IF($N3417="","",IF(INDEX(LdBAmt,$N3417)=0,"",INDEX(LdBAmt,$N3417)))</f>
        <v/>
      </c>
      <c r="G3417" s="30">
        <f>IF($N3417="","",IF(INDEX(LdBNote,$N3417)="","—",INDEX(LdBNote,$N3417)))</f>
        <v/>
      </c>
      <c r="N3417">
        <f>IFERROR(MATCH($C$5&amp;"|"&amp;RIGHT("000000"&amp;1397,6),LdBKeyG,0),"")</f>
        <v/>
      </c>
    </row>
    <row r="3418">
      <c r="A3418" s="19" t="n">
        <v>1398</v>
      </c>
      <c r="B3418" s="20">
        <f>IF($N3418="","",INDEX(LdBDate,$N3418))</f>
        <v/>
      </c>
      <c r="C3418" s="20">
        <f>IF($N3418="","",IF(INDEX(LdBId,$N3418)="","—",INDEX(LdBId,$N3418)))</f>
        <v/>
      </c>
      <c r="D3418" s="20">
        <f>IF($N3418="","",INDEX(LdBMember,$N3418))</f>
        <v/>
      </c>
      <c r="E3418" s="20">
        <f>IF($N3418="","",IFERROR(IF(VLOOKUP(INDEX(LdBMember,$N3418),AcctTblE,4,0)="","(بدون نام)",VLOOKUP(INDEX(LdBMember,$N3418),AcctTblE,4,0)),"—"))</f>
        <v/>
      </c>
      <c r="F3418" s="21">
        <f>IF($N3418="","",IF(INDEX(LdBAmt,$N3418)=0,"",INDEX(LdBAmt,$N3418)))</f>
        <v/>
      </c>
      <c r="G3418" s="32">
        <f>IF($N3418="","",IF(INDEX(LdBNote,$N3418)="","—",INDEX(LdBNote,$N3418)))</f>
        <v/>
      </c>
      <c r="N3418">
        <f>IFERROR(MATCH($C$5&amp;"|"&amp;RIGHT("000000"&amp;1398,6),LdBKeyG,0),"")</f>
        <v/>
      </c>
    </row>
    <row r="3419">
      <c r="A3419" s="10" t="n">
        <v>1399</v>
      </c>
      <c r="B3419" s="14">
        <f>IF($N3419="","",INDEX(LdBDate,$N3419))</f>
        <v/>
      </c>
      <c r="C3419" s="14">
        <f>IF($N3419="","",IF(INDEX(LdBId,$N3419)="","—",INDEX(LdBId,$N3419)))</f>
        <v/>
      </c>
      <c r="D3419" s="14">
        <f>IF($N3419="","",INDEX(LdBMember,$N3419))</f>
        <v/>
      </c>
      <c r="E3419" s="14">
        <f>IF($N3419="","",IFERROR(IF(VLOOKUP(INDEX(LdBMember,$N3419),AcctTblE,4,0)="","(بدون نام)",VLOOKUP(INDEX(LdBMember,$N3419),AcctTblE,4,0)),"—"))</f>
        <v/>
      </c>
      <c r="F3419" s="16">
        <f>IF($N3419="","",IF(INDEX(LdBAmt,$N3419)=0,"",INDEX(LdBAmt,$N3419)))</f>
        <v/>
      </c>
      <c r="G3419" s="30">
        <f>IF($N3419="","",IF(INDEX(LdBNote,$N3419)="","—",INDEX(LdBNote,$N3419)))</f>
        <v/>
      </c>
      <c r="N3419">
        <f>IFERROR(MATCH($C$5&amp;"|"&amp;RIGHT("000000"&amp;1399,6),LdBKeyG,0),"")</f>
        <v/>
      </c>
    </row>
    <row r="3420">
      <c r="A3420" s="19" t="n">
        <v>1400</v>
      </c>
      <c r="B3420" s="20">
        <f>IF($N3420="","",INDEX(LdBDate,$N3420))</f>
        <v/>
      </c>
      <c r="C3420" s="20">
        <f>IF($N3420="","",IF(INDEX(LdBId,$N3420)="","—",INDEX(LdBId,$N3420)))</f>
        <v/>
      </c>
      <c r="D3420" s="20">
        <f>IF($N3420="","",INDEX(LdBMember,$N3420))</f>
        <v/>
      </c>
      <c r="E3420" s="20">
        <f>IF($N3420="","",IFERROR(IF(VLOOKUP(INDEX(LdBMember,$N3420),AcctTblE,4,0)="","(بدون نام)",VLOOKUP(INDEX(LdBMember,$N3420),AcctTblE,4,0)),"—"))</f>
        <v/>
      </c>
      <c r="F3420" s="21">
        <f>IF($N3420="","",IF(INDEX(LdBAmt,$N3420)=0,"",INDEX(LdBAmt,$N3420)))</f>
        <v/>
      </c>
      <c r="G3420" s="32">
        <f>IF($N3420="","",IF(INDEX(LdBNote,$N3420)="","—",INDEX(LdBNote,$N3420)))</f>
        <v/>
      </c>
      <c r="N3420">
        <f>IFERROR(MATCH($C$5&amp;"|"&amp;RIGHT("000000"&amp;1400,6),LdBKeyG,0),"")</f>
        <v/>
      </c>
    </row>
    <row r="3421">
      <c r="A3421" s="10" t="n">
        <v>1401</v>
      </c>
      <c r="B3421" s="14">
        <f>IF($N3421="","",INDEX(LdBDate,$N3421))</f>
        <v/>
      </c>
      <c r="C3421" s="14">
        <f>IF($N3421="","",IF(INDEX(LdBId,$N3421)="","—",INDEX(LdBId,$N3421)))</f>
        <v/>
      </c>
      <c r="D3421" s="14">
        <f>IF($N3421="","",INDEX(LdBMember,$N3421))</f>
        <v/>
      </c>
      <c r="E3421" s="14">
        <f>IF($N3421="","",IFERROR(IF(VLOOKUP(INDEX(LdBMember,$N3421),AcctTblE,4,0)="","(بدون نام)",VLOOKUP(INDEX(LdBMember,$N3421),AcctTblE,4,0)),"—"))</f>
        <v/>
      </c>
      <c r="F3421" s="16">
        <f>IF($N3421="","",IF(INDEX(LdBAmt,$N3421)=0,"",INDEX(LdBAmt,$N3421)))</f>
        <v/>
      </c>
      <c r="G3421" s="30">
        <f>IF($N3421="","",IF(INDEX(LdBNote,$N3421)="","—",INDEX(LdBNote,$N3421)))</f>
        <v/>
      </c>
      <c r="N3421">
        <f>IFERROR(MATCH($C$5&amp;"|"&amp;RIGHT("000000"&amp;1401,6),LdBKeyG,0),"")</f>
        <v/>
      </c>
    </row>
    <row r="3422">
      <c r="A3422" s="19" t="n">
        <v>1402</v>
      </c>
      <c r="B3422" s="20">
        <f>IF($N3422="","",INDEX(LdBDate,$N3422))</f>
        <v/>
      </c>
      <c r="C3422" s="20">
        <f>IF($N3422="","",IF(INDEX(LdBId,$N3422)="","—",INDEX(LdBId,$N3422)))</f>
        <v/>
      </c>
      <c r="D3422" s="20">
        <f>IF($N3422="","",INDEX(LdBMember,$N3422))</f>
        <v/>
      </c>
      <c r="E3422" s="20">
        <f>IF($N3422="","",IFERROR(IF(VLOOKUP(INDEX(LdBMember,$N3422),AcctTblE,4,0)="","(بدون نام)",VLOOKUP(INDEX(LdBMember,$N3422),AcctTblE,4,0)),"—"))</f>
        <v/>
      </c>
      <c r="F3422" s="21">
        <f>IF($N3422="","",IF(INDEX(LdBAmt,$N3422)=0,"",INDEX(LdBAmt,$N3422)))</f>
        <v/>
      </c>
      <c r="G3422" s="32">
        <f>IF($N3422="","",IF(INDEX(LdBNote,$N3422)="","—",INDEX(LdBNote,$N3422)))</f>
        <v/>
      </c>
      <c r="N3422">
        <f>IFERROR(MATCH($C$5&amp;"|"&amp;RIGHT("000000"&amp;1402,6),LdBKeyG,0),"")</f>
        <v/>
      </c>
    </row>
    <row r="3423">
      <c r="A3423" s="10" t="n">
        <v>1403</v>
      </c>
      <c r="B3423" s="14">
        <f>IF($N3423="","",INDEX(LdBDate,$N3423))</f>
        <v/>
      </c>
      <c r="C3423" s="14">
        <f>IF($N3423="","",IF(INDEX(LdBId,$N3423)="","—",INDEX(LdBId,$N3423)))</f>
        <v/>
      </c>
      <c r="D3423" s="14">
        <f>IF($N3423="","",INDEX(LdBMember,$N3423))</f>
        <v/>
      </c>
      <c r="E3423" s="14">
        <f>IF($N3423="","",IFERROR(IF(VLOOKUP(INDEX(LdBMember,$N3423),AcctTblE,4,0)="","(بدون نام)",VLOOKUP(INDEX(LdBMember,$N3423),AcctTblE,4,0)),"—"))</f>
        <v/>
      </c>
      <c r="F3423" s="16">
        <f>IF($N3423="","",IF(INDEX(LdBAmt,$N3423)=0,"",INDEX(LdBAmt,$N3423)))</f>
        <v/>
      </c>
      <c r="G3423" s="30">
        <f>IF($N3423="","",IF(INDEX(LdBNote,$N3423)="","—",INDEX(LdBNote,$N3423)))</f>
        <v/>
      </c>
      <c r="N3423">
        <f>IFERROR(MATCH($C$5&amp;"|"&amp;RIGHT("000000"&amp;1403,6),LdBKeyG,0),"")</f>
        <v/>
      </c>
    </row>
    <row r="3424">
      <c r="A3424" s="19" t="n">
        <v>1404</v>
      </c>
      <c r="B3424" s="20">
        <f>IF($N3424="","",INDEX(LdBDate,$N3424))</f>
        <v/>
      </c>
      <c r="C3424" s="20">
        <f>IF($N3424="","",IF(INDEX(LdBId,$N3424)="","—",INDEX(LdBId,$N3424)))</f>
        <v/>
      </c>
      <c r="D3424" s="20">
        <f>IF($N3424="","",INDEX(LdBMember,$N3424))</f>
        <v/>
      </c>
      <c r="E3424" s="20">
        <f>IF($N3424="","",IFERROR(IF(VLOOKUP(INDEX(LdBMember,$N3424),AcctTblE,4,0)="","(بدون نام)",VLOOKUP(INDEX(LdBMember,$N3424),AcctTblE,4,0)),"—"))</f>
        <v/>
      </c>
      <c r="F3424" s="21">
        <f>IF($N3424="","",IF(INDEX(LdBAmt,$N3424)=0,"",INDEX(LdBAmt,$N3424)))</f>
        <v/>
      </c>
      <c r="G3424" s="32">
        <f>IF($N3424="","",IF(INDEX(LdBNote,$N3424)="","—",INDEX(LdBNote,$N3424)))</f>
        <v/>
      </c>
      <c r="N3424">
        <f>IFERROR(MATCH($C$5&amp;"|"&amp;RIGHT("000000"&amp;1404,6),LdBKeyG,0),"")</f>
        <v/>
      </c>
    </row>
    <row r="3425">
      <c r="A3425" s="10" t="n">
        <v>1405</v>
      </c>
      <c r="B3425" s="14">
        <f>IF($N3425="","",INDEX(LdBDate,$N3425))</f>
        <v/>
      </c>
      <c r="C3425" s="14">
        <f>IF($N3425="","",IF(INDEX(LdBId,$N3425)="","—",INDEX(LdBId,$N3425)))</f>
        <v/>
      </c>
      <c r="D3425" s="14">
        <f>IF($N3425="","",INDEX(LdBMember,$N3425))</f>
        <v/>
      </c>
      <c r="E3425" s="14">
        <f>IF($N3425="","",IFERROR(IF(VLOOKUP(INDEX(LdBMember,$N3425),AcctTblE,4,0)="","(بدون نام)",VLOOKUP(INDEX(LdBMember,$N3425),AcctTblE,4,0)),"—"))</f>
        <v/>
      </c>
      <c r="F3425" s="16">
        <f>IF($N3425="","",IF(INDEX(LdBAmt,$N3425)=0,"",INDEX(LdBAmt,$N3425)))</f>
        <v/>
      </c>
      <c r="G3425" s="30">
        <f>IF($N3425="","",IF(INDEX(LdBNote,$N3425)="","—",INDEX(LdBNote,$N3425)))</f>
        <v/>
      </c>
      <c r="N3425">
        <f>IFERROR(MATCH($C$5&amp;"|"&amp;RIGHT("000000"&amp;1405,6),LdBKeyG,0),"")</f>
        <v/>
      </c>
    </row>
    <row r="3426">
      <c r="A3426" s="19" t="n">
        <v>1406</v>
      </c>
      <c r="B3426" s="20">
        <f>IF($N3426="","",INDEX(LdBDate,$N3426))</f>
        <v/>
      </c>
      <c r="C3426" s="20">
        <f>IF($N3426="","",IF(INDEX(LdBId,$N3426)="","—",INDEX(LdBId,$N3426)))</f>
        <v/>
      </c>
      <c r="D3426" s="20">
        <f>IF($N3426="","",INDEX(LdBMember,$N3426))</f>
        <v/>
      </c>
      <c r="E3426" s="20">
        <f>IF($N3426="","",IFERROR(IF(VLOOKUP(INDEX(LdBMember,$N3426),AcctTblE,4,0)="","(بدون نام)",VLOOKUP(INDEX(LdBMember,$N3426),AcctTblE,4,0)),"—"))</f>
        <v/>
      </c>
      <c r="F3426" s="21">
        <f>IF($N3426="","",IF(INDEX(LdBAmt,$N3426)=0,"",INDEX(LdBAmt,$N3426)))</f>
        <v/>
      </c>
      <c r="G3426" s="32">
        <f>IF($N3426="","",IF(INDEX(LdBNote,$N3426)="","—",INDEX(LdBNote,$N3426)))</f>
        <v/>
      </c>
      <c r="N3426">
        <f>IFERROR(MATCH($C$5&amp;"|"&amp;RIGHT("000000"&amp;1406,6),LdBKeyG,0),"")</f>
        <v/>
      </c>
    </row>
    <row r="3427">
      <c r="A3427" s="10" t="n">
        <v>1407</v>
      </c>
      <c r="B3427" s="14">
        <f>IF($N3427="","",INDEX(LdBDate,$N3427))</f>
        <v/>
      </c>
      <c r="C3427" s="14">
        <f>IF($N3427="","",IF(INDEX(LdBId,$N3427)="","—",INDEX(LdBId,$N3427)))</f>
        <v/>
      </c>
      <c r="D3427" s="14">
        <f>IF($N3427="","",INDEX(LdBMember,$N3427))</f>
        <v/>
      </c>
      <c r="E3427" s="14">
        <f>IF($N3427="","",IFERROR(IF(VLOOKUP(INDEX(LdBMember,$N3427),AcctTblE,4,0)="","(بدون نام)",VLOOKUP(INDEX(LdBMember,$N3427),AcctTblE,4,0)),"—"))</f>
        <v/>
      </c>
      <c r="F3427" s="16">
        <f>IF($N3427="","",IF(INDEX(LdBAmt,$N3427)=0,"",INDEX(LdBAmt,$N3427)))</f>
        <v/>
      </c>
      <c r="G3427" s="30">
        <f>IF($N3427="","",IF(INDEX(LdBNote,$N3427)="","—",INDEX(LdBNote,$N3427)))</f>
        <v/>
      </c>
      <c r="N3427">
        <f>IFERROR(MATCH($C$5&amp;"|"&amp;RIGHT("000000"&amp;1407,6),LdBKeyG,0),"")</f>
        <v/>
      </c>
    </row>
    <row r="3428">
      <c r="A3428" s="19" t="n">
        <v>1408</v>
      </c>
      <c r="B3428" s="20">
        <f>IF($N3428="","",INDEX(LdBDate,$N3428))</f>
        <v/>
      </c>
      <c r="C3428" s="20">
        <f>IF($N3428="","",IF(INDEX(LdBId,$N3428)="","—",INDEX(LdBId,$N3428)))</f>
        <v/>
      </c>
      <c r="D3428" s="20">
        <f>IF($N3428="","",INDEX(LdBMember,$N3428))</f>
        <v/>
      </c>
      <c r="E3428" s="20">
        <f>IF($N3428="","",IFERROR(IF(VLOOKUP(INDEX(LdBMember,$N3428),AcctTblE,4,0)="","(بدون نام)",VLOOKUP(INDEX(LdBMember,$N3428),AcctTblE,4,0)),"—"))</f>
        <v/>
      </c>
      <c r="F3428" s="21">
        <f>IF($N3428="","",IF(INDEX(LdBAmt,$N3428)=0,"",INDEX(LdBAmt,$N3428)))</f>
        <v/>
      </c>
      <c r="G3428" s="32">
        <f>IF($N3428="","",IF(INDEX(LdBNote,$N3428)="","—",INDEX(LdBNote,$N3428)))</f>
        <v/>
      </c>
      <c r="N3428">
        <f>IFERROR(MATCH($C$5&amp;"|"&amp;RIGHT("000000"&amp;1408,6),LdBKeyG,0),"")</f>
        <v/>
      </c>
    </row>
    <row r="3429">
      <c r="A3429" s="10" t="n">
        <v>1409</v>
      </c>
      <c r="B3429" s="14">
        <f>IF($N3429="","",INDEX(LdBDate,$N3429))</f>
        <v/>
      </c>
      <c r="C3429" s="14">
        <f>IF($N3429="","",IF(INDEX(LdBId,$N3429)="","—",INDEX(LdBId,$N3429)))</f>
        <v/>
      </c>
      <c r="D3429" s="14">
        <f>IF($N3429="","",INDEX(LdBMember,$N3429))</f>
        <v/>
      </c>
      <c r="E3429" s="14">
        <f>IF($N3429="","",IFERROR(IF(VLOOKUP(INDEX(LdBMember,$N3429),AcctTblE,4,0)="","(بدون نام)",VLOOKUP(INDEX(LdBMember,$N3429),AcctTblE,4,0)),"—"))</f>
        <v/>
      </c>
      <c r="F3429" s="16">
        <f>IF($N3429="","",IF(INDEX(LdBAmt,$N3429)=0,"",INDEX(LdBAmt,$N3429)))</f>
        <v/>
      </c>
      <c r="G3429" s="30">
        <f>IF($N3429="","",IF(INDEX(LdBNote,$N3429)="","—",INDEX(LdBNote,$N3429)))</f>
        <v/>
      </c>
      <c r="N3429">
        <f>IFERROR(MATCH($C$5&amp;"|"&amp;RIGHT("000000"&amp;1409,6),LdBKeyG,0),"")</f>
        <v/>
      </c>
    </row>
    <row r="3430">
      <c r="A3430" s="19" t="n">
        <v>1410</v>
      </c>
      <c r="B3430" s="20">
        <f>IF($N3430="","",INDEX(LdBDate,$N3430))</f>
        <v/>
      </c>
      <c r="C3430" s="20">
        <f>IF($N3430="","",IF(INDEX(LdBId,$N3430)="","—",INDEX(LdBId,$N3430)))</f>
        <v/>
      </c>
      <c r="D3430" s="20">
        <f>IF($N3430="","",INDEX(LdBMember,$N3430))</f>
        <v/>
      </c>
      <c r="E3430" s="20">
        <f>IF($N3430="","",IFERROR(IF(VLOOKUP(INDEX(LdBMember,$N3430),AcctTblE,4,0)="","(بدون نام)",VLOOKUP(INDEX(LdBMember,$N3430),AcctTblE,4,0)),"—"))</f>
        <v/>
      </c>
      <c r="F3430" s="21">
        <f>IF($N3430="","",IF(INDEX(LdBAmt,$N3430)=0,"",INDEX(LdBAmt,$N3430)))</f>
        <v/>
      </c>
      <c r="G3430" s="32">
        <f>IF($N3430="","",IF(INDEX(LdBNote,$N3430)="","—",INDEX(LdBNote,$N3430)))</f>
        <v/>
      </c>
      <c r="N3430">
        <f>IFERROR(MATCH($C$5&amp;"|"&amp;RIGHT("000000"&amp;1410,6),LdBKeyG,0),"")</f>
        <v/>
      </c>
    </row>
    <row r="3431">
      <c r="A3431" s="10" t="n">
        <v>1411</v>
      </c>
      <c r="B3431" s="14">
        <f>IF($N3431="","",INDEX(LdBDate,$N3431))</f>
        <v/>
      </c>
      <c r="C3431" s="14">
        <f>IF($N3431="","",IF(INDEX(LdBId,$N3431)="","—",INDEX(LdBId,$N3431)))</f>
        <v/>
      </c>
      <c r="D3431" s="14">
        <f>IF($N3431="","",INDEX(LdBMember,$N3431))</f>
        <v/>
      </c>
      <c r="E3431" s="14">
        <f>IF($N3431="","",IFERROR(IF(VLOOKUP(INDEX(LdBMember,$N3431),AcctTblE,4,0)="","(بدون نام)",VLOOKUP(INDEX(LdBMember,$N3431),AcctTblE,4,0)),"—"))</f>
        <v/>
      </c>
      <c r="F3431" s="16">
        <f>IF($N3431="","",IF(INDEX(LdBAmt,$N3431)=0,"",INDEX(LdBAmt,$N3431)))</f>
        <v/>
      </c>
      <c r="G3431" s="30">
        <f>IF($N3431="","",IF(INDEX(LdBNote,$N3431)="","—",INDEX(LdBNote,$N3431)))</f>
        <v/>
      </c>
      <c r="N3431">
        <f>IFERROR(MATCH($C$5&amp;"|"&amp;RIGHT("000000"&amp;1411,6),LdBKeyG,0),"")</f>
        <v/>
      </c>
    </row>
    <row r="3432">
      <c r="A3432" s="19" t="n">
        <v>1412</v>
      </c>
      <c r="B3432" s="20">
        <f>IF($N3432="","",INDEX(LdBDate,$N3432))</f>
        <v/>
      </c>
      <c r="C3432" s="20">
        <f>IF($N3432="","",IF(INDEX(LdBId,$N3432)="","—",INDEX(LdBId,$N3432)))</f>
        <v/>
      </c>
      <c r="D3432" s="20">
        <f>IF($N3432="","",INDEX(LdBMember,$N3432))</f>
        <v/>
      </c>
      <c r="E3432" s="20">
        <f>IF($N3432="","",IFERROR(IF(VLOOKUP(INDEX(LdBMember,$N3432),AcctTblE,4,0)="","(بدون نام)",VLOOKUP(INDEX(LdBMember,$N3432),AcctTblE,4,0)),"—"))</f>
        <v/>
      </c>
      <c r="F3432" s="21">
        <f>IF($N3432="","",IF(INDEX(LdBAmt,$N3432)=0,"",INDEX(LdBAmt,$N3432)))</f>
        <v/>
      </c>
      <c r="G3432" s="32">
        <f>IF($N3432="","",IF(INDEX(LdBNote,$N3432)="","—",INDEX(LdBNote,$N3432)))</f>
        <v/>
      </c>
      <c r="N3432">
        <f>IFERROR(MATCH($C$5&amp;"|"&amp;RIGHT("000000"&amp;1412,6),LdBKeyG,0),"")</f>
        <v/>
      </c>
    </row>
    <row r="3433">
      <c r="A3433" s="10" t="n">
        <v>1413</v>
      </c>
      <c r="B3433" s="14">
        <f>IF($N3433="","",INDEX(LdBDate,$N3433))</f>
        <v/>
      </c>
      <c r="C3433" s="14">
        <f>IF($N3433="","",IF(INDEX(LdBId,$N3433)="","—",INDEX(LdBId,$N3433)))</f>
        <v/>
      </c>
      <c r="D3433" s="14">
        <f>IF($N3433="","",INDEX(LdBMember,$N3433))</f>
        <v/>
      </c>
      <c r="E3433" s="14">
        <f>IF($N3433="","",IFERROR(IF(VLOOKUP(INDEX(LdBMember,$N3433),AcctTblE,4,0)="","(بدون نام)",VLOOKUP(INDEX(LdBMember,$N3433),AcctTblE,4,0)),"—"))</f>
        <v/>
      </c>
      <c r="F3433" s="16">
        <f>IF($N3433="","",IF(INDEX(LdBAmt,$N3433)=0,"",INDEX(LdBAmt,$N3433)))</f>
        <v/>
      </c>
      <c r="G3433" s="30">
        <f>IF($N3433="","",IF(INDEX(LdBNote,$N3433)="","—",INDEX(LdBNote,$N3433)))</f>
        <v/>
      </c>
      <c r="N3433">
        <f>IFERROR(MATCH($C$5&amp;"|"&amp;RIGHT("000000"&amp;1413,6),LdBKeyG,0),"")</f>
        <v/>
      </c>
    </row>
    <row r="3434">
      <c r="A3434" s="19" t="n">
        <v>1414</v>
      </c>
      <c r="B3434" s="20">
        <f>IF($N3434="","",INDEX(LdBDate,$N3434))</f>
        <v/>
      </c>
      <c r="C3434" s="20">
        <f>IF($N3434="","",IF(INDEX(LdBId,$N3434)="","—",INDEX(LdBId,$N3434)))</f>
        <v/>
      </c>
      <c r="D3434" s="20">
        <f>IF($N3434="","",INDEX(LdBMember,$N3434))</f>
        <v/>
      </c>
      <c r="E3434" s="20">
        <f>IF($N3434="","",IFERROR(IF(VLOOKUP(INDEX(LdBMember,$N3434),AcctTblE,4,0)="","(بدون نام)",VLOOKUP(INDEX(LdBMember,$N3434),AcctTblE,4,0)),"—"))</f>
        <v/>
      </c>
      <c r="F3434" s="21">
        <f>IF($N3434="","",IF(INDEX(LdBAmt,$N3434)=0,"",INDEX(LdBAmt,$N3434)))</f>
        <v/>
      </c>
      <c r="G3434" s="32">
        <f>IF($N3434="","",IF(INDEX(LdBNote,$N3434)="","—",INDEX(LdBNote,$N3434)))</f>
        <v/>
      </c>
      <c r="N3434">
        <f>IFERROR(MATCH($C$5&amp;"|"&amp;RIGHT("000000"&amp;1414,6),LdBKeyG,0),"")</f>
        <v/>
      </c>
    </row>
    <row r="3435">
      <c r="A3435" s="10" t="n">
        <v>1415</v>
      </c>
      <c r="B3435" s="14">
        <f>IF($N3435="","",INDEX(LdBDate,$N3435))</f>
        <v/>
      </c>
      <c r="C3435" s="14">
        <f>IF($N3435="","",IF(INDEX(LdBId,$N3435)="","—",INDEX(LdBId,$N3435)))</f>
        <v/>
      </c>
      <c r="D3435" s="14">
        <f>IF($N3435="","",INDEX(LdBMember,$N3435))</f>
        <v/>
      </c>
      <c r="E3435" s="14">
        <f>IF($N3435="","",IFERROR(IF(VLOOKUP(INDEX(LdBMember,$N3435),AcctTblE,4,0)="","(بدون نام)",VLOOKUP(INDEX(LdBMember,$N3435),AcctTblE,4,0)),"—"))</f>
        <v/>
      </c>
      <c r="F3435" s="16">
        <f>IF($N3435="","",IF(INDEX(LdBAmt,$N3435)=0,"",INDEX(LdBAmt,$N3435)))</f>
        <v/>
      </c>
      <c r="G3435" s="30">
        <f>IF($N3435="","",IF(INDEX(LdBNote,$N3435)="","—",INDEX(LdBNote,$N3435)))</f>
        <v/>
      </c>
      <c r="N3435">
        <f>IFERROR(MATCH($C$5&amp;"|"&amp;RIGHT("000000"&amp;1415,6),LdBKeyG,0),"")</f>
        <v/>
      </c>
    </row>
    <row r="3436">
      <c r="A3436" s="19" t="n">
        <v>1416</v>
      </c>
      <c r="B3436" s="20">
        <f>IF($N3436="","",INDEX(LdBDate,$N3436))</f>
        <v/>
      </c>
      <c r="C3436" s="20">
        <f>IF($N3436="","",IF(INDEX(LdBId,$N3436)="","—",INDEX(LdBId,$N3436)))</f>
        <v/>
      </c>
      <c r="D3436" s="20">
        <f>IF($N3436="","",INDEX(LdBMember,$N3436))</f>
        <v/>
      </c>
      <c r="E3436" s="20">
        <f>IF($N3436="","",IFERROR(IF(VLOOKUP(INDEX(LdBMember,$N3436),AcctTblE,4,0)="","(بدون نام)",VLOOKUP(INDEX(LdBMember,$N3436),AcctTblE,4,0)),"—"))</f>
        <v/>
      </c>
      <c r="F3436" s="21">
        <f>IF($N3436="","",IF(INDEX(LdBAmt,$N3436)=0,"",INDEX(LdBAmt,$N3436)))</f>
        <v/>
      </c>
      <c r="G3436" s="32">
        <f>IF($N3436="","",IF(INDEX(LdBNote,$N3436)="","—",INDEX(LdBNote,$N3436)))</f>
        <v/>
      </c>
      <c r="N3436">
        <f>IFERROR(MATCH($C$5&amp;"|"&amp;RIGHT("000000"&amp;1416,6),LdBKeyG,0),"")</f>
        <v/>
      </c>
    </row>
    <row r="3437">
      <c r="A3437" s="10" t="n">
        <v>1417</v>
      </c>
      <c r="B3437" s="14">
        <f>IF($N3437="","",INDEX(LdBDate,$N3437))</f>
        <v/>
      </c>
      <c r="C3437" s="14">
        <f>IF($N3437="","",IF(INDEX(LdBId,$N3437)="","—",INDEX(LdBId,$N3437)))</f>
        <v/>
      </c>
      <c r="D3437" s="14">
        <f>IF($N3437="","",INDEX(LdBMember,$N3437))</f>
        <v/>
      </c>
      <c r="E3437" s="14">
        <f>IF($N3437="","",IFERROR(IF(VLOOKUP(INDEX(LdBMember,$N3437),AcctTblE,4,0)="","(بدون نام)",VLOOKUP(INDEX(LdBMember,$N3437),AcctTblE,4,0)),"—"))</f>
        <v/>
      </c>
      <c r="F3437" s="16">
        <f>IF($N3437="","",IF(INDEX(LdBAmt,$N3437)=0,"",INDEX(LdBAmt,$N3437)))</f>
        <v/>
      </c>
      <c r="G3437" s="30">
        <f>IF($N3437="","",IF(INDEX(LdBNote,$N3437)="","—",INDEX(LdBNote,$N3437)))</f>
        <v/>
      </c>
      <c r="N3437">
        <f>IFERROR(MATCH($C$5&amp;"|"&amp;RIGHT("000000"&amp;1417,6),LdBKeyG,0),"")</f>
        <v/>
      </c>
    </row>
    <row r="3438">
      <c r="A3438" s="19" t="n">
        <v>1418</v>
      </c>
      <c r="B3438" s="20">
        <f>IF($N3438="","",INDEX(LdBDate,$N3438))</f>
        <v/>
      </c>
      <c r="C3438" s="20">
        <f>IF($N3438="","",IF(INDEX(LdBId,$N3438)="","—",INDEX(LdBId,$N3438)))</f>
        <v/>
      </c>
      <c r="D3438" s="20">
        <f>IF($N3438="","",INDEX(LdBMember,$N3438))</f>
        <v/>
      </c>
      <c r="E3438" s="20">
        <f>IF($N3438="","",IFERROR(IF(VLOOKUP(INDEX(LdBMember,$N3438),AcctTblE,4,0)="","(بدون نام)",VLOOKUP(INDEX(LdBMember,$N3438),AcctTblE,4,0)),"—"))</f>
        <v/>
      </c>
      <c r="F3438" s="21">
        <f>IF($N3438="","",IF(INDEX(LdBAmt,$N3438)=0,"",INDEX(LdBAmt,$N3438)))</f>
        <v/>
      </c>
      <c r="G3438" s="32">
        <f>IF($N3438="","",IF(INDEX(LdBNote,$N3438)="","—",INDEX(LdBNote,$N3438)))</f>
        <v/>
      </c>
      <c r="N3438">
        <f>IFERROR(MATCH($C$5&amp;"|"&amp;RIGHT("000000"&amp;1418,6),LdBKeyG,0),"")</f>
        <v/>
      </c>
    </row>
    <row r="3439">
      <c r="A3439" s="10" t="n">
        <v>1419</v>
      </c>
      <c r="B3439" s="14">
        <f>IF($N3439="","",INDEX(LdBDate,$N3439))</f>
        <v/>
      </c>
      <c r="C3439" s="14">
        <f>IF($N3439="","",IF(INDEX(LdBId,$N3439)="","—",INDEX(LdBId,$N3439)))</f>
        <v/>
      </c>
      <c r="D3439" s="14">
        <f>IF($N3439="","",INDEX(LdBMember,$N3439))</f>
        <v/>
      </c>
      <c r="E3439" s="14">
        <f>IF($N3439="","",IFERROR(IF(VLOOKUP(INDEX(LdBMember,$N3439),AcctTblE,4,0)="","(بدون نام)",VLOOKUP(INDEX(LdBMember,$N3439),AcctTblE,4,0)),"—"))</f>
        <v/>
      </c>
      <c r="F3439" s="16">
        <f>IF($N3439="","",IF(INDEX(LdBAmt,$N3439)=0,"",INDEX(LdBAmt,$N3439)))</f>
        <v/>
      </c>
      <c r="G3439" s="30">
        <f>IF($N3439="","",IF(INDEX(LdBNote,$N3439)="","—",INDEX(LdBNote,$N3439)))</f>
        <v/>
      </c>
      <c r="N3439">
        <f>IFERROR(MATCH($C$5&amp;"|"&amp;RIGHT("000000"&amp;1419,6),LdBKeyG,0),"")</f>
        <v/>
      </c>
    </row>
    <row r="3440">
      <c r="A3440" s="19" t="n">
        <v>1420</v>
      </c>
      <c r="B3440" s="20">
        <f>IF($N3440="","",INDEX(LdBDate,$N3440))</f>
        <v/>
      </c>
      <c r="C3440" s="20">
        <f>IF($N3440="","",IF(INDEX(LdBId,$N3440)="","—",INDEX(LdBId,$N3440)))</f>
        <v/>
      </c>
      <c r="D3440" s="20">
        <f>IF($N3440="","",INDEX(LdBMember,$N3440))</f>
        <v/>
      </c>
      <c r="E3440" s="20">
        <f>IF($N3440="","",IFERROR(IF(VLOOKUP(INDEX(LdBMember,$N3440),AcctTblE,4,0)="","(بدون نام)",VLOOKUP(INDEX(LdBMember,$N3440),AcctTblE,4,0)),"—"))</f>
        <v/>
      </c>
      <c r="F3440" s="21">
        <f>IF($N3440="","",IF(INDEX(LdBAmt,$N3440)=0,"",INDEX(LdBAmt,$N3440)))</f>
        <v/>
      </c>
      <c r="G3440" s="32">
        <f>IF($N3440="","",IF(INDEX(LdBNote,$N3440)="","—",INDEX(LdBNote,$N3440)))</f>
        <v/>
      </c>
      <c r="N3440">
        <f>IFERROR(MATCH($C$5&amp;"|"&amp;RIGHT("000000"&amp;1420,6),LdBKeyG,0),"")</f>
        <v/>
      </c>
    </row>
    <row r="3441">
      <c r="A3441" s="10" t="n">
        <v>1421</v>
      </c>
      <c r="B3441" s="14">
        <f>IF($N3441="","",INDEX(LdBDate,$N3441))</f>
        <v/>
      </c>
      <c r="C3441" s="14">
        <f>IF($N3441="","",IF(INDEX(LdBId,$N3441)="","—",INDEX(LdBId,$N3441)))</f>
        <v/>
      </c>
      <c r="D3441" s="14">
        <f>IF($N3441="","",INDEX(LdBMember,$N3441))</f>
        <v/>
      </c>
      <c r="E3441" s="14">
        <f>IF($N3441="","",IFERROR(IF(VLOOKUP(INDEX(LdBMember,$N3441),AcctTblE,4,0)="","(بدون نام)",VLOOKUP(INDEX(LdBMember,$N3441),AcctTblE,4,0)),"—"))</f>
        <v/>
      </c>
      <c r="F3441" s="16">
        <f>IF($N3441="","",IF(INDEX(LdBAmt,$N3441)=0,"",INDEX(LdBAmt,$N3441)))</f>
        <v/>
      </c>
      <c r="G3441" s="30">
        <f>IF($N3441="","",IF(INDEX(LdBNote,$N3441)="","—",INDEX(LdBNote,$N3441)))</f>
        <v/>
      </c>
      <c r="N3441">
        <f>IFERROR(MATCH($C$5&amp;"|"&amp;RIGHT("000000"&amp;1421,6),LdBKeyG,0),"")</f>
        <v/>
      </c>
    </row>
    <row r="3442">
      <c r="A3442" s="19" t="n">
        <v>1422</v>
      </c>
      <c r="B3442" s="20">
        <f>IF($N3442="","",INDEX(LdBDate,$N3442))</f>
        <v/>
      </c>
      <c r="C3442" s="20">
        <f>IF($N3442="","",IF(INDEX(LdBId,$N3442)="","—",INDEX(LdBId,$N3442)))</f>
        <v/>
      </c>
      <c r="D3442" s="20">
        <f>IF($N3442="","",INDEX(LdBMember,$N3442))</f>
        <v/>
      </c>
      <c r="E3442" s="20">
        <f>IF($N3442="","",IFERROR(IF(VLOOKUP(INDEX(LdBMember,$N3442),AcctTblE,4,0)="","(بدون نام)",VLOOKUP(INDEX(LdBMember,$N3442),AcctTblE,4,0)),"—"))</f>
        <v/>
      </c>
      <c r="F3442" s="21">
        <f>IF($N3442="","",IF(INDEX(LdBAmt,$N3442)=0,"",INDEX(LdBAmt,$N3442)))</f>
        <v/>
      </c>
      <c r="G3442" s="32">
        <f>IF($N3442="","",IF(INDEX(LdBNote,$N3442)="","—",INDEX(LdBNote,$N3442)))</f>
        <v/>
      </c>
      <c r="N3442">
        <f>IFERROR(MATCH($C$5&amp;"|"&amp;RIGHT("000000"&amp;1422,6),LdBKeyG,0),"")</f>
        <v/>
      </c>
    </row>
    <row r="3443">
      <c r="A3443" s="10" t="n">
        <v>1423</v>
      </c>
      <c r="B3443" s="14">
        <f>IF($N3443="","",INDEX(LdBDate,$N3443))</f>
        <v/>
      </c>
      <c r="C3443" s="14">
        <f>IF($N3443="","",IF(INDEX(LdBId,$N3443)="","—",INDEX(LdBId,$N3443)))</f>
        <v/>
      </c>
      <c r="D3443" s="14">
        <f>IF($N3443="","",INDEX(LdBMember,$N3443))</f>
        <v/>
      </c>
      <c r="E3443" s="14">
        <f>IF($N3443="","",IFERROR(IF(VLOOKUP(INDEX(LdBMember,$N3443),AcctTblE,4,0)="","(بدون نام)",VLOOKUP(INDEX(LdBMember,$N3443),AcctTblE,4,0)),"—"))</f>
        <v/>
      </c>
      <c r="F3443" s="16">
        <f>IF($N3443="","",IF(INDEX(LdBAmt,$N3443)=0,"",INDEX(LdBAmt,$N3443)))</f>
        <v/>
      </c>
      <c r="G3443" s="30">
        <f>IF($N3443="","",IF(INDEX(LdBNote,$N3443)="","—",INDEX(LdBNote,$N3443)))</f>
        <v/>
      </c>
      <c r="N3443">
        <f>IFERROR(MATCH($C$5&amp;"|"&amp;RIGHT("000000"&amp;1423,6),LdBKeyG,0),"")</f>
        <v/>
      </c>
    </row>
    <row r="3444">
      <c r="A3444" s="19" t="n">
        <v>1424</v>
      </c>
      <c r="B3444" s="20">
        <f>IF($N3444="","",INDEX(LdBDate,$N3444))</f>
        <v/>
      </c>
      <c r="C3444" s="20">
        <f>IF($N3444="","",IF(INDEX(LdBId,$N3444)="","—",INDEX(LdBId,$N3444)))</f>
        <v/>
      </c>
      <c r="D3444" s="20">
        <f>IF($N3444="","",INDEX(LdBMember,$N3444))</f>
        <v/>
      </c>
      <c r="E3444" s="20">
        <f>IF($N3444="","",IFERROR(IF(VLOOKUP(INDEX(LdBMember,$N3444),AcctTblE,4,0)="","(بدون نام)",VLOOKUP(INDEX(LdBMember,$N3444),AcctTblE,4,0)),"—"))</f>
        <v/>
      </c>
      <c r="F3444" s="21">
        <f>IF($N3444="","",IF(INDEX(LdBAmt,$N3444)=0,"",INDEX(LdBAmt,$N3444)))</f>
        <v/>
      </c>
      <c r="G3444" s="32">
        <f>IF($N3444="","",IF(INDEX(LdBNote,$N3444)="","—",INDEX(LdBNote,$N3444)))</f>
        <v/>
      </c>
      <c r="N3444">
        <f>IFERROR(MATCH($C$5&amp;"|"&amp;RIGHT("000000"&amp;1424,6),LdBKeyG,0),"")</f>
        <v/>
      </c>
    </row>
    <row r="3445">
      <c r="A3445" s="10" t="n">
        <v>1425</v>
      </c>
      <c r="B3445" s="14">
        <f>IF($N3445="","",INDEX(LdBDate,$N3445))</f>
        <v/>
      </c>
      <c r="C3445" s="14">
        <f>IF($N3445="","",IF(INDEX(LdBId,$N3445)="","—",INDEX(LdBId,$N3445)))</f>
        <v/>
      </c>
      <c r="D3445" s="14">
        <f>IF($N3445="","",INDEX(LdBMember,$N3445))</f>
        <v/>
      </c>
      <c r="E3445" s="14">
        <f>IF($N3445="","",IFERROR(IF(VLOOKUP(INDEX(LdBMember,$N3445),AcctTblE,4,0)="","(بدون نام)",VLOOKUP(INDEX(LdBMember,$N3445),AcctTblE,4,0)),"—"))</f>
        <v/>
      </c>
      <c r="F3445" s="16">
        <f>IF($N3445="","",IF(INDEX(LdBAmt,$N3445)=0,"",INDEX(LdBAmt,$N3445)))</f>
        <v/>
      </c>
      <c r="G3445" s="30">
        <f>IF($N3445="","",IF(INDEX(LdBNote,$N3445)="","—",INDEX(LdBNote,$N3445)))</f>
        <v/>
      </c>
      <c r="N3445">
        <f>IFERROR(MATCH($C$5&amp;"|"&amp;RIGHT("000000"&amp;1425,6),LdBKeyG,0),"")</f>
        <v/>
      </c>
    </row>
    <row r="3446">
      <c r="A3446" s="19" t="n">
        <v>1426</v>
      </c>
      <c r="B3446" s="20">
        <f>IF($N3446="","",INDEX(LdBDate,$N3446))</f>
        <v/>
      </c>
      <c r="C3446" s="20">
        <f>IF($N3446="","",IF(INDEX(LdBId,$N3446)="","—",INDEX(LdBId,$N3446)))</f>
        <v/>
      </c>
      <c r="D3446" s="20">
        <f>IF($N3446="","",INDEX(LdBMember,$N3446))</f>
        <v/>
      </c>
      <c r="E3446" s="20">
        <f>IF($N3446="","",IFERROR(IF(VLOOKUP(INDEX(LdBMember,$N3446),AcctTblE,4,0)="","(بدون نام)",VLOOKUP(INDEX(LdBMember,$N3446),AcctTblE,4,0)),"—"))</f>
        <v/>
      </c>
      <c r="F3446" s="21">
        <f>IF($N3446="","",IF(INDEX(LdBAmt,$N3446)=0,"",INDEX(LdBAmt,$N3446)))</f>
        <v/>
      </c>
      <c r="G3446" s="32">
        <f>IF($N3446="","",IF(INDEX(LdBNote,$N3446)="","—",INDEX(LdBNote,$N3446)))</f>
        <v/>
      </c>
      <c r="N3446">
        <f>IFERROR(MATCH($C$5&amp;"|"&amp;RIGHT("000000"&amp;1426,6),LdBKeyG,0),"")</f>
        <v/>
      </c>
    </row>
    <row r="3447">
      <c r="A3447" s="10" t="n">
        <v>1427</v>
      </c>
      <c r="B3447" s="14">
        <f>IF($N3447="","",INDEX(LdBDate,$N3447))</f>
        <v/>
      </c>
      <c r="C3447" s="14">
        <f>IF($N3447="","",IF(INDEX(LdBId,$N3447)="","—",INDEX(LdBId,$N3447)))</f>
        <v/>
      </c>
      <c r="D3447" s="14">
        <f>IF($N3447="","",INDEX(LdBMember,$N3447))</f>
        <v/>
      </c>
      <c r="E3447" s="14">
        <f>IF($N3447="","",IFERROR(IF(VLOOKUP(INDEX(LdBMember,$N3447),AcctTblE,4,0)="","(بدون نام)",VLOOKUP(INDEX(LdBMember,$N3447),AcctTblE,4,0)),"—"))</f>
        <v/>
      </c>
      <c r="F3447" s="16">
        <f>IF($N3447="","",IF(INDEX(LdBAmt,$N3447)=0,"",INDEX(LdBAmt,$N3447)))</f>
        <v/>
      </c>
      <c r="G3447" s="30">
        <f>IF($N3447="","",IF(INDEX(LdBNote,$N3447)="","—",INDEX(LdBNote,$N3447)))</f>
        <v/>
      </c>
      <c r="N3447">
        <f>IFERROR(MATCH($C$5&amp;"|"&amp;RIGHT("000000"&amp;1427,6),LdBKeyG,0),"")</f>
        <v/>
      </c>
    </row>
    <row r="3448">
      <c r="A3448" s="19" t="n">
        <v>1428</v>
      </c>
      <c r="B3448" s="20">
        <f>IF($N3448="","",INDEX(LdBDate,$N3448))</f>
        <v/>
      </c>
      <c r="C3448" s="20">
        <f>IF($N3448="","",IF(INDEX(LdBId,$N3448)="","—",INDEX(LdBId,$N3448)))</f>
        <v/>
      </c>
      <c r="D3448" s="20">
        <f>IF($N3448="","",INDEX(LdBMember,$N3448))</f>
        <v/>
      </c>
      <c r="E3448" s="20">
        <f>IF($N3448="","",IFERROR(IF(VLOOKUP(INDEX(LdBMember,$N3448),AcctTblE,4,0)="","(بدون نام)",VLOOKUP(INDEX(LdBMember,$N3448),AcctTblE,4,0)),"—"))</f>
        <v/>
      </c>
      <c r="F3448" s="21">
        <f>IF($N3448="","",IF(INDEX(LdBAmt,$N3448)=0,"",INDEX(LdBAmt,$N3448)))</f>
        <v/>
      </c>
      <c r="G3448" s="32">
        <f>IF($N3448="","",IF(INDEX(LdBNote,$N3448)="","—",INDEX(LdBNote,$N3448)))</f>
        <v/>
      </c>
      <c r="N3448">
        <f>IFERROR(MATCH($C$5&amp;"|"&amp;RIGHT("000000"&amp;1428,6),LdBKeyG,0),"")</f>
        <v/>
      </c>
    </row>
    <row r="3449">
      <c r="A3449" s="10" t="n">
        <v>1429</v>
      </c>
      <c r="B3449" s="14">
        <f>IF($N3449="","",INDEX(LdBDate,$N3449))</f>
        <v/>
      </c>
      <c r="C3449" s="14">
        <f>IF($N3449="","",IF(INDEX(LdBId,$N3449)="","—",INDEX(LdBId,$N3449)))</f>
        <v/>
      </c>
      <c r="D3449" s="14">
        <f>IF($N3449="","",INDEX(LdBMember,$N3449))</f>
        <v/>
      </c>
      <c r="E3449" s="14">
        <f>IF($N3449="","",IFERROR(IF(VLOOKUP(INDEX(LdBMember,$N3449),AcctTblE,4,0)="","(بدون نام)",VLOOKUP(INDEX(LdBMember,$N3449),AcctTblE,4,0)),"—"))</f>
        <v/>
      </c>
      <c r="F3449" s="16">
        <f>IF($N3449="","",IF(INDEX(LdBAmt,$N3449)=0,"",INDEX(LdBAmt,$N3449)))</f>
        <v/>
      </c>
      <c r="G3449" s="30">
        <f>IF($N3449="","",IF(INDEX(LdBNote,$N3449)="","—",INDEX(LdBNote,$N3449)))</f>
        <v/>
      </c>
      <c r="N3449">
        <f>IFERROR(MATCH($C$5&amp;"|"&amp;RIGHT("000000"&amp;1429,6),LdBKeyG,0),"")</f>
        <v/>
      </c>
    </row>
    <row r="3450">
      <c r="A3450" s="19" t="n">
        <v>1430</v>
      </c>
      <c r="B3450" s="20">
        <f>IF($N3450="","",INDEX(LdBDate,$N3450))</f>
        <v/>
      </c>
      <c r="C3450" s="20">
        <f>IF($N3450="","",IF(INDEX(LdBId,$N3450)="","—",INDEX(LdBId,$N3450)))</f>
        <v/>
      </c>
      <c r="D3450" s="20">
        <f>IF($N3450="","",INDEX(LdBMember,$N3450))</f>
        <v/>
      </c>
      <c r="E3450" s="20">
        <f>IF($N3450="","",IFERROR(IF(VLOOKUP(INDEX(LdBMember,$N3450),AcctTblE,4,0)="","(بدون نام)",VLOOKUP(INDEX(LdBMember,$N3450),AcctTblE,4,0)),"—"))</f>
        <v/>
      </c>
      <c r="F3450" s="21">
        <f>IF($N3450="","",IF(INDEX(LdBAmt,$N3450)=0,"",INDEX(LdBAmt,$N3450)))</f>
        <v/>
      </c>
      <c r="G3450" s="32">
        <f>IF($N3450="","",IF(INDEX(LdBNote,$N3450)="","—",INDEX(LdBNote,$N3450)))</f>
        <v/>
      </c>
      <c r="N3450">
        <f>IFERROR(MATCH($C$5&amp;"|"&amp;RIGHT("000000"&amp;1430,6),LdBKeyG,0),"")</f>
        <v/>
      </c>
    </row>
    <row r="3451">
      <c r="A3451" s="10" t="n">
        <v>1431</v>
      </c>
      <c r="B3451" s="14">
        <f>IF($N3451="","",INDEX(LdBDate,$N3451))</f>
        <v/>
      </c>
      <c r="C3451" s="14">
        <f>IF($N3451="","",IF(INDEX(LdBId,$N3451)="","—",INDEX(LdBId,$N3451)))</f>
        <v/>
      </c>
      <c r="D3451" s="14">
        <f>IF($N3451="","",INDEX(LdBMember,$N3451))</f>
        <v/>
      </c>
      <c r="E3451" s="14">
        <f>IF($N3451="","",IFERROR(IF(VLOOKUP(INDEX(LdBMember,$N3451),AcctTblE,4,0)="","(بدون نام)",VLOOKUP(INDEX(LdBMember,$N3451),AcctTblE,4,0)),"—"))</f>
        <v/>
      </c>
      <c r="F3451" s="16">
        <f>IF($N3451="","",IF(INDEX(LdBAmt,$N3451)=0,"",INDEX(LdBAmt,$N3451)))</f>
        <v/>
      </c>
      <c r="G3451" s="30">
        <f>IF($N3451="","",IF(INDEX(LdBNote,$N3451)="","—",INDEX(LdBNote,$N3451)))</f>
        <v/>
      </c>
      <c r="N3451">
        <f>IFERROR(MATCH($C$5&amp;"|"&amp;RIGHT("000000"&amp;1431,6),LdBKeyG,0),"")</f>
        <v/>
      </c>
    </row>
    <row r="3452">
      <c r="A3452" s="19" t="n">
        <v>1432</v>
      </c>
      <c r="B3452" s="20">
        <f>IF($N3452="","",INDEX(LdBDate,$N3452))</f>
        <v/>
      </c>
      <c r="C3452" s="20">
        <f>IF($N3452="","",IF(INDEX(LdBId,$N3452)="","—",INDEX(LdBId,$N3452)))</f>
        <v/>
      </c>
      <c r="D3452" s="20">
        <f>IF($N3452="","",INDEX(LdBMember,$N3452))</f>
        <v/>
      </c>
      <c r="E3452" s="20">
        <f>IF($N3452="","",IFERROR(IF(VLOOKUP(INDEX(LdBMember,$N3452),AcctTblE,4,0)="","(بدون نام)",VLOOKUP(INDEX(LdBMember,$N3452),AcctTblE,4,0)),"—"))</f>
        <v/>
      </c>
      <c r="F3452" s="21">
        <f>IF($N3452="","",IF(INDEX(LdBAmt,$N3452)=0,"",INDEX(LdBAmt,$N3452)))</f>
        <v/>
      </c>
      <c r="G3452" s="32">
        <f>IF($N3452="","",IF(INDEX(LdBNote,$N3452)="","—",INDEX(LdBNote,$N3452)))</f>
        <v/>
      </c>
      <c r="N3452">
        <f>IFERROR(MATCH($C$5&amp;"|"&amp;RIGHT("000000"&amp;1432,6),LdBKeyG,0),"")</f>
        <v/>
      </c>
    </row>
    <row r="3453">
      <c r="A3453" s="10" t="n">
        <v>1433</v>
      </c>
      <c r="B3453" s="14">
        <f>IF($N3453="","",INDEX(LdBDate,$N3453))</f>
        <v/>
      </c>
      <c r="C3453" s="14">
        <f>IF($N3453="","",IF(INDEX(LdBId,$N3453)="","—",INDEX(LdBId,$N3453)))</f>
        <v/>
      </c>
      <c r="D3453" s="14">
        <f>IF($N3453="","",INDEX(LdBMember,$N3453))</f>
        <v/>
      </c>
      <c r="E3453" s="14">
        <f>IF($N3453="","",IFERROR(IF(VLOOKUP(INDEX(LdBMember,$N3453),AcctTblE,4,0)="","(بدون نام)",VLOOKUP(INDEX(LdBMember,$N3453),AcctTblE,4,0)),"—"))</f>
        <v/>
      </c>
      <c r="F3453" s="16">
        <f>IF($N3453="","",IF(INDEX(LdBAmt,$N3453)=0,"",INDEX(LdBAmt,$N3453)))</f>
        <v/>
      </c>
      <c r="G3453" s="30">
        <f>IF($N3453="","",IF(INDEX(LdBNote,$N3453)="","—",INDEX(LdBNote,$N3453)))</f>
        <v/>
      </c>
      <c r="N3453">
        <f>IFERROR(MATCH($C$5&amp;"|"&amp;RIGHT("000000"&amp;1433,6),LdBKeyG,0),"")</f>
        <v/>
      </c>
    </row>
    <row r="3454">
      <c r="A3454" s="19" t="n">
        <v>1434</v>
      </c>
      <c r="B3454" s="20">
        <f>IF($N3454="","",INDEX(LdBDate,$N3454))</f>
        <v/>
      </c>
      <c r="C3454" s="20">
        <f>IF($N3454="","",IF(INDEX(LdBId,$N3454)="","—",INDEX(LdBId,$N3454)))</f>
        <v/>
      </c>
      <c r="D3454" s="20">
        <f>IF($N3454="","",INDEX(LdBMember,$N3454))</f>
        <v/>
      </c>
      <c r="E3454" s="20">
        <f>IF($N3454="","",IFERROR(IF(VLOOKUP(INDEX(LdBMember,$N3454),AcctTblE,4,0)="","(بدون نام)",VLOOKUP(INDEX(LdBMember,$N3454),AcctTblE,4,0)),"—"))</f>
        <v/>
      </c>
      <c r="F3454" s="21">
        <f>IF($N3454="","",IF(INDEX(LdBAmt,$N3454)=0,"",INDEX(LdBAmt,$N3454)))</f>
        <v/>
      </c>
      <c r="G3454" s="32">
        <f>IF($N3454="","",IF(INDEX(LdBNote,$N3454)="","—",INDEX(LdBNote,$N3454)))</f>
        <v/>
      </c>
      <c r="N3454">
        <f>IFERROR(MATCH($C$5&amp;"|"&amp;RIGHT("000000"&amp;1434,6),LdBKeyG,0),"")</f>
        <v/>
      </c>
    </row>
    <row r="3455">
      <c r="A3455" s="10" t="n">
        <v>1435</v>
      </c>
      <c r="B3455" s="14">
        <f>IF($N3455="","",INDEX(LdBDate,$N3455))</f>
        <v/>
      </c>
      <c r="C3455" s="14">
        <f>IF($N3455="","",IF(INDEX(LdBId,$N3455)="","—",INDEX(LdBId,$N3455)))</f>
        <v/>
      </c>
      <c r="D3455" s="14">
        <f>IF($N3455="","",INDEX(LdBMember,$N3455))</f>
        <v/>
      </c>
      <c r="E3455" s="14">
        <f>IF($N3455="","",IFERROR(IF(VLOOKUP(INDEX(LdBMember,$N3455),AcctTblE,4,0)="","(بدون نام)",VLOOKUP(INDEX(LdBMember,$N3455),AcctTblE,4,0)),"—"))</f>
        <v/>
      </c>
      <c r="F3455" s="16">
        <f>IF($N3455="","",IF(INDEX(LdBAmt,$N3455)=0,"",INDEX(LdBAmt,$N3455)))</f>
        <v/>
      </c>
      <c r="G3455" s="30">
        <f>IF($N3455="","",IF(INDEX(LdBNote,$N3455)="","—",INDEX(LdBNote,$N3455)))</f>
        <v/>
      </c>
      <c r="N3455">
        <f>IFERROR(MATCH($C$5&amp;"|"&amp;RIGHT("000000"&amp;1435,6),LdBKeyG,0),"")</f>
        <v/>
      </c>
    </row>
    <row r="3456">
      <c r="A3456" s="19" t="n">
        <v>1436</v>
      </c>
      <c r="B3456" s="20">
        <f>IF($N3456="","",INDEX(LdBDate,$N3456))</f>
        <v/>
      </c>
      <c r="C3456" s="20">
        <f>IF($N3456="","",IF(INDEX(LdBId,$N3456)="","—",INDEX(LdBId,$N3456)))</f>
        <v/>
      </c>
      <c r="D3456" s="20">
        <f>IF($N3456="","",INDEX(LdBMember,$N3456))</f>
        <v/>
      </c>
      <c r="E3456" s="20">
        <f>IF($N3456="","",IFERROR(IF(VLOOKUP(INDEX(LdBMember,$N3456),AcctTblE,4,0)="","(بدون نام)",VLOOKUP(INDEX(LdBMember,$N3456),AcctTblE,4,0)),"—"))</f>
        <v/>
      </c>
      <c r="F3456" s="21">
        <f>IF($N3456="","",IF(INDEX(LdBAmt,$N3456)=0,"",INDEX(LdBAmt,$N3456)))</f>
        <v/>
      </c>
      <c r="G3456" s="32">
        <f>IF($N3456="","",IF(INDEX(LdBNote,$N3456)="","—",INDEX(LdBNote,$N3456)))</f>
        <v/>
      </c>
      <c r="N3456">
        <f>IFERROR(MATCH($C$5&amp;"|"&amp;RIGHT("000000"&amp;1436,6),LdBKeyG,0),"")</f>
        <v/>
      </c>
    </row>
    <row r="3457">
      <c r="A3457" s="10" t="n">
        <v>1437</v>
      </c>
      <c r="B3457" s="14">
        <f>IF($N3457="","",INDEX(LdBDate,$N3457))</f>
        <v/>
      </c>
      <c r="C3457" s="14">
        <f>IF($N3457="","",IF(INDEX(LdBId,$N3457)="","—",INDEX(LdBId,$N3457)))</f>
        <v/>
      </c>
      <c r="D3457" s="14">
        <f>IF($N3457="","",INDEX(LdBMember,$N3457))</f>
        <v/>
      </c>
      <c r="E3457" s="14">
        <f>IF($N3457="","",IFERROR(IF(VLOOKUP(INDEX(LdBMember,$N3457),AcctTblE,4,0)="","(بدون نام)",VLOOKUP(INDEX(LdBMember,$N3457),AcctTblE,4,0)),"—"))</f>
        <v/>
      </c>
      <c r="F3457" s="16">
        <f>IF($N3457="","",IF(INDEX(LdBAmt,$N3457)=0,"",INDEX(LdBAmt,$N3457)))</f>
        <v/>
      </c>
      <c r="G3457" s="30">
        <f>IF($N3457="","",IF(INDEX(LdBNote,$N3457)="","—",INDEX(LdBNote,$N3457)))</f>
        <v/>
      </c>
      <c r="N3457">
        <f>IFERROR(MATCH($C$5&amp;"|"&amp;RIGHT("000000"&amp;1437,6),LdBKeyG,0),"")</f>
        <v/>
      </c>
    </row>
    <row r="3458">
      <c r="A3458" s="19" t="n">
        <v>1438</v>
      </c>
      <c r="B3458" s="20">
        <f>IF($N3458="","",INDEX(LdBDate,$N3458))</f>
        <v/>
      </c>
      <c r="C3458" s="20">
        <f>IF($N3458="","",IF(INDEX(LdBId,$N3458)="","—",INDEX(LdBId,$N3458)))</f>
        <v/>
      </c>
      <c r="D3458" s="20">
        <f>IF($N3458="","",INDEX(LdBMember,$N3458))</f>
        <v/>
      </c>
      <c r="E3458" s="20">
        <f>IF($N3458="","",IFERROR(IF(VLOOKUP(INDEX(LdBMember,$N3458),AcctTblE,4,0)="","(بدون نام)",VLOOKUP(INDEX(LdBMember,$N3458),AcctTblE,4,0)),"—"))</f>
        <v/>
      </c>
      <c r="F3458" s="21">
        <f>IF($N3458="","",IF(INDEX(LdBAmt,$N3458)=0,"",INDEX(LdBAmt,$N3458)))</f>
        <v/>
      </c>
      <c r="G3458" s="32">
        <f>IF($N3458="","",IF(INDEX(LdBNote,$N3458)="","—",INDEX(LdBNote,$N3458)))</f>
        <v/>
      </c>
      <c r="N3458">
        <f>IFERROR(MATCH($C$5&amp;"|"&amp;RIGHT("000000"&amp;1438,6),LdBKeyG,0),"")</f>
        <v/>
      </c>
    </row>
    <row r="3459">
      <c r="A3459" s="10" t="n">
        <v>1439</v>
      </c>
      <c r="B3459" s="14">
        <f>IF($N3459="","",INDEX(LdBDate,$N3459))</f>
        <v/>
      </c>
      <c r="C3459" s="14">
        <f>IF($N3459="","",IF(INDEX(LdBId,$N3459)="","—",INDEX(LdBId,$N3459)))</f>
        <v/>
      </c>
      <c r="D3459" s="14">
        <f>IF($N3459="","",INDEX(LdBMember,$N3459))</f>
        <v/>
      </c>
      <c r="E3459" s="14">
        <f>IF($N3459="","",IFERROR(IF(VLOOKUP(INDEX(LdBMember,$N3459),AcctTblE,4,0)="","(بدون نام)",VLOOKUP(INDEX(LdBMember,$N3459),AcctTblE,4,0)),"—"))</f>
        <v/>
      </c>
      <c r="F3459" s="16">
        <f>IF($N3459="","",IF(INDEX(LdBAmt,$N3459)=0,"",INDEX(LdBAmt,$N3459)))</f>
        <v/>
      </c>
      <c r="G3459" s="30">
        <f>IF($N3459="","",IF(INDEX(LdBNote,$N3459)="","—",INDEX(LdBNote,$N3459)))</f>
        <v/>
      </c>
      <c r="N3459">
        <f>IFERROR(MATCH($C$5&amp;"|"&amp;RIGHT("000000"&amp;1439,6),LdBKeyG,0),"")</f>
        <v/>
      </c>
    </row>
    <row r="3460">
      <c r="A3460" s="19" t="n">
        <v>1440</v>
      </c>
      <c r="B3460" s="20">
        <f>IF($N3460="","",INDEX(LdBDate,$N3460))</f>
        <v/>
      </c>
      <c r="C3460" s="20">
        <f>IF($N3460="","",IF(INDEX(LdBId,$N3460)="","—",INDEX(LdBId,$N3460)))</f>
        <v/>
      </c>
      <c r="D3460" s="20">
        <f>IF($N3460="","",INDEX(LdBMember,$N3460))</f>
        <v/>
      </c>
      <c r="E3460" s="20">
        <f>IF($N3460="","",IFERROR(IF(VLOOKUP(INDEX(LdBMember,$N3460),AcctTblE,4,0)="","(بدون نام)",VLOOKUP(INDEX(LdBMember,$N3460),AcctTblE,4,0)),"—"))</f>
        <v/>
      </c>
      <c r="F3460" s="21">
        <f>IF($N3460="","",IF(INDEX(LdBAmt,$N3460)=0,"",INDEX(LdBAmt,$N3460)))</f>
        <v/>
      </c>
      <c r="G3460" s="32">
        <f>IF($N3460="","",IF(INDEX(LdBNote,$N3460)="","—",INDEX(LdBNote,$N3460)))</f>
        <v/>
      </c>
      <c r="N3460">
        <f>IFERROR(MATCH($C$5&amp;"|"&amp;RIGHT("000000"&amp;1440,6),LdBKeyG,0),"")</f>
        <v/>
      </c>
    </row>
    <row r="3461">
      <c r="A3461" s="10" t="n">
        <v>1441</v>
      </c>
      <c r="B3461" s="14">
        <f>IF($N3461="","",INDEX(LdBDate,$N3461))</f>
        <v/>
      </c>
      <c r="C3461" s="14">
        <f>IF($N3461="","",IF(INDEX(LdBId,$N3461)="","—",INDEX(LdBId,$N3461)))</f>
        <v/>
      </c>
      <c r="D3461" s="14">
        <f>IF($N3461="","",INDEX(LdBMember,$N3461))</f>
        <v/>
      </c>
      <c r="E3461" s="14">
        <f>IF($N3461="","",IFERROR(IF(VLOOKUP(INDEX(LdBMember,$N3461),AcctTblE,4,0)="","(بدون نام)",VLOOKUP(INDEX(LdBMember,$N3461),AcctTblE,4,0)),"—"))</f>
        <v/>
      </c>
      <c r="F3461" s="16">
        <f>IF($N3461="","",IF(INDEX(LdBAmt,$N3461)=0,"",INDEX(LdBAmt,$N3461)))</f>
        <v/>
      </c>
      <c r="G3461" s="30">
        <f>IF($N3461="","",IF(INDEX(LdBNote,$N3461)="","—",INDEX(LdBNote,$N3461)))</f>
        <v/>
      </c>
      <c r="N3461">
        <f>IFERROR(MATCH($C$5&amp;"|"&amp;RIGHT("000000"&amp;1441,6),LdBKeyG,0),"")</f>
        <v/>
      </c>
    </row>
    <row r="3462">
      <c r="A3462" s="19" t="n">
        <v>1442</v>
      </c>
      <c r="B3462" s="20">
        <f>IF($N3462="","",INDEX(LdBDate,$N3462))</f>
        <v/>
      </c>
      <c r="C3462" s="20">
        <f>IF($N3462="","",IF(INDEX(LdBId,$N3462)="","—",INDEX(LdBId,$N3462)))</f>
        <v/>
      </c>
      <c r="D3462" s="20">
        <f>IF($N3462="","",INDEX(LdBMember,$N3462))</f>
        <v/>
      </c>
      <c r="E3462" s="20">
        <f>IF($N3462="","",IFERROR(IF(VLOOKUP(INDEX(LdBMember,$N3462),AcctTblE,4,0)="","(بدون نام)",VLOOKUP(INDEX(LdBMember,$N3462),AcctTblE,4,0)),"—"))</f>
        <v/>
      </c>
      <c r="F3462" s="21">
        <f>IF($N3462="","",IF(INDEX(LdBAmt,$N3462)=0,"",INDEX(LdBAmt,$N3462)))</f>
        <v/>
      </c>
      <c r="G3462" s="32">
        <f>IF($N3462="","",IF(INDEX(LdBNote,$N3462)="","—",INDEX(LdBNote,$N3462)))</f>
        <v/>
      </c>
      <c r="N3462">
        <f>IFERROR(MATCH($C$5&amp;"|"&amp;RIGHT("000000"&amp;1442,6),LdBKeyG,0),"")</f>
        <v/>
      </c>
    </row>
    <row r="3463">
      <c r="A3463" s="10" t="n">
        <v>1443</v>
      </c>
      <c r="B3463" s="14">
        <f>IF($N3463="","",INDEX(LdBDate,$N3463))</f>
        <v/>
      </c>
      <c r="C3463" s="14">
        <f>IF($N3463="","",IF(INDEX(LdBId,$N3463)="","—",INDEX(LdBId,$N3463)))</f>
        <v/>
      </c>
      <c r="D3463" s="14">
        <f>IF($N3463="","",INDEX(LdBMember,$N3463))</f>
        <v/>
      </c>
      <c r="E3463" s="14">
        <f>IF($N3463="","",IFERROR(IF(VLOOKUP(INDEX(LdBMember,$N3463),AcctTblE,4,0)="","(بدون نام)",VLOOKUP(INDEX(LdBMember,$N3463),AcctTblE,4,0)),"—"))</f>
        <v/>
      </c>
      <c r="F3463" s="16">
        <f>IF($N3463="","",IF(INDEX(LdBAmt,$N3463)=0,"",INDEX(LdBAmt,$N3463)))</f>
        <v/>
      </c>
      <c r="G3463" s="30">
        <f>IF($N3463="","",IF(INDEX(LdBNote,$N3463)="","—",INDEX(LdBNote,$N3463)))</f>
        <v/>
      </c>
      <c r="N3463">
        <f>IFERROR(MATCH($C$5&amp;"|"&amp;RIGHT("000000"&amp;1443,6),LdBKeyG,0),"")</f>
        <v/>
      </c>
    </row>
    <row r="3464">
      <c r="A3464" s="19" t="n">
        <v>1444</v>
      </c>
      <c r="B3464" s="20">
        <f>IF($N3464="","",INDEX(LdBDate,$N3464))</f>
        <v/>
      </c>
      <c r="C3464" s="20">
        <f>IF($N3464="","",IF(INDEX(LdBId,$N3464)="","—",INDEX(LdBId,$N3464)))</f>
        <v/>
      </c>
      <c r="D3464" s="20">
        <f>IF($N3464="","",INDEX(LdBMember,$N3464))</f>
        <v/>
      </c>
      <c r="E3464" s="20">
        <f>IF($N3464="","",IFERROR(IF(VLOOKUP(INDEX(LdBMember,$N3464),AcctTblE,4,0)="","(بدون نام)",VLOOKUP(INDEX(LdBMember,$N3464),AcctTblE,4,0)),"—"))</f>
        <v/>
      </c>
      <c r="F3464" s="21">
        <f>IF($N3464="","",IF(INDEX(LdBAmt,$N3464)=0,"",INDEX(LdBAmt,$N3464)))</f>
        <v/>
      </c>
      <c r="G3464" s="32">
        <f>IF($N3464="","",IF(INDEX(LdBNote,$N3464)="","—",INDEX(LdBNote,$N3464)))</f>
        <v/>
      </c>
      <c r="N3464">
        <f>IFERROR(MATCH($C$5&amp;"|"&amp;RIGHT("000000"&amp;1444,6),LdBKeyG,0),"")</f>
        <v/>
      </c>
    </row>
    <row r="3465">
      <c r="A3465" s="10" t="n">
        <v>1445</v>
      </c>
      <c r="B3465" s="14">
        <f>IF($N3465="","",INDEX(LdBDate,$N3465))</f>
        <v/>
      </c>
      <c r="C3465" s="14">
        <f>IF($N3465="","",IF(INDEX(LdBId,$N3465)="","—",INDEX(LdBId,$N3465)))</f>
        <v/>
      </c>
      <c r="D3465" s="14">
        <f>IF($N3465="","",INDEX(LdBMember,$N3465))</f>
        <v/>
      </c>
      <c r="E3465" s="14">
        <f>IF($N3465="","",IFERROR(IF(VLOOKUP(INDEX(LdBMember,$N3465),AcctTblE,4,0)="","(بدون نام)",VLOOKUP(INDEX(LdBMember,$N3465),AcctTblE,4,0)),"—"))</f>
        <v/>
      </c>
      <c r="F3465" s="16">
        <f>IF($N3465="","",IF(INDEX(LdBAmt,$N3465)=0,"",INDEX(LdBAmt,$N3465)))</f>
        <v/>
      </c>
      <c r="G3465" s="30">
        <f>IF($N3465="","",IF(INDEX(LdBNote,$N3465)="","—",INDEX(LdBNote,$N3465)))</f>
        <v/>
      </c>
      <c r="N3465">
        <f>IFERROR(MATCH($C$5&amp;"|"&amp;RIGHT("000000"&amp;1445,6),LdBKeyG,0),"")</f>
        <v/>
      </c>
    </row>
    <row r="3466">
      <c r="A3466" s="19" t="n">
        <v>1446</v>
      </c>
      <c r="B3466" s="20">
        <f>IF($N3466="","",INDEX(LdBDate,$N3466))</f>
        <v/>
      </c>
      <c r="C3466" s="20">
        <f>IF($N3466="","",IF(INDEX(LdBId,$N3466)="","—",INDEX(LdBId,$N3466)))</f>
        <v/>
      </c>
      <c r="D3466" s="20">
        <f>IF($N3466="","",INDEX(LdBMember,$N3466))</f>
        <v/>
      </c>
      <c r="E3466" s="20">
        <f>IF($N3466="","",IFERROR(IF(VLOOKUP(INDEX(LdBMember,$N3466),AcctTblE,4,0)="","(بدون نام)",VLOOKUP(INDEX(LdBMember,$N3466),AcctTblE,4,0)),"—"))</f>
        <v/>
      </c>
      <c r="F3466" s="21">
        <f>IF($N3466="","",IF(INDEX(LdBAmt,$N3466)=0,"",INDEX(LdBAmt,$N3466)))</f>
        <v/>
      </c>
      <c r="G3466" s="32">
        <f>IF($N3466="","",IF(INDEX(LdBNote,$N3466)="","—",INDEX(LdBNote,$N3466)))</f>
        <v/>
      </c>
      <c r="N3466">
        <f>IFERROR(MATCH($C$5&amp;"|"&amp;RIGHT("000000"&amp;1446,6),LdBKeyG,0),"")</f>
        <v/>
      </c>
    </row>
    <row r="3467">
      <c r="A3467" s="10" t="n">
        <v>1447</v>
      </c>
      <c r="B3467" s="14">
        <f>IF($N3467="","",INDEX(LdBDate,$N3467))</f>
        <v/>
      </c>
      <c r="C3467" s="14">
        <f>IF($N3467="","",IF(INDEX(LdBId,$N3467)="","—",INDEX(LdBId,$N3467)))</f>
        <v/>
      </c>
      <c r="D3467" s="14">
        <f>IF($N3467="","",INDEX(LdBMember,$N3467))</f>
        <v/>
      </c>
      <c r="E3467" s="14">
        <f>IF($N3467="","",IFERROR(IF(VLOOKUP(INDEX(LdBMember,$N3467),AcctTblE,4,0)="","(بدون نام)",VLOOKUP(INDEX(LdBMember,$N3467),AcctTblE,4,0)),"—"))</f>
        <v/>
      </c>
      <c r="F3467" s="16">
        <f>IF($N3467="","",IF(INDEX(LdBAmt,$N3467)=0,"",INDEX(LdBAmt,$N3467)))</f>
        <v/>
      </c>
      <c r="G3467" s="30">
        <f>IF($N3467="","",IF(INDEX(LdBNote,$N3467)="","—",INDEX(LdBNote,$N3467)))</f>
        <v/>
      </c>
      <c r="N3467">
        <f>IFERROR(MATCH($C$5&amp;"|"&amp;RIGHT("000000"&amp;1447,6),LdBKeyG,0),"")</f>
        <v/>
      </c>
    </row>
    <row r="3468">
      <c r="A3468" s="19" t="n">
        <v>1448</v>
      </c>
      <c r="B3468" s="20">
        <f>IF($N3468="","",INDEX(LdBDate,$N3468))</f>
        <v/>
      </c>
      <c r="C3468" s="20">
        <f>IF($N3468="","",IF(INDEX(LdBId,$N3468)="","—",INDEX(LdBId,$N3468)))</f>
        <v/>
      </c>
      <c r="D3468" s="20">
        <f>IF($N3468="","",INDEX(LdBMember,$N3468))</f>
        <v/>
      </c>
      <c r="E3468" s="20">
        <f>IF($N3468="","",IFERROR(IF(VLOOKUP(INDEX(LdBMember,$N3468),AcctTblE,4,0)="","(بدون نام)",VLOOKUP(INDEX(LdBMember,$N3468),AcctTblE,4,0)),"—"))</f>
        <v/>
      </c>
      <c r="F3468" s="21">
        <f>IF($N3468="","",IF(INDEX(LdBAmt,$N3468)=0,"",INDEX(LdBAmt,$N3468)))</f>
        <v/>
      </c>
      <c r="G3468" s="32">
        <f>IF($N3468="","",IF(INDEX(LdBNote,$N3468)="","—",INDEX(LdBNote,$N3468)))</f>
        <v/>
      </c>
      <c r="N3468">
        <f>IFERROR(MATCH($C$5&amp;"|"&amp;RIGHT("000000"&amp;1448,6),LdBKeyG,0),"")</f>
        <v/>
      </c>
    </row>
    <row r="3469">
      <c r="A3469" s="10" t="n">
        <v>1449</v>
      </c>
      <c r="B3469" s="14">
        <f>IF($N3469="","",INDEX(LdBDate,$N3469))</f>
        <v/>
      </c>
      <c r="C3469" s="14">
        <f>IF($N3469="","",IF(INDEX(LdBId,$N3469)="","—",INDEX(LdBId,$N3469)))</f>
        <v/>
      </c>
      <c r="D3469" s="14">
        <f>IF($N3469="","",INDEX(LdBMember,$N3469))</f>
        <v/>
      </c>
      <c r="E3469" s="14">
        <f>IF($N3469="","",IFERROR(IF(VLOOKUP(INDEX(LdBMember,$N3469),AcctTblE,4,0)="","(بدون نام)",VLOOKUP(INDEX(LdBMember,$N3469),AcctTblE,4,0)),"—"))</f>
        <v/>
      </c>
      <c r="F3469" s="16">
        <f>IF($N3469="","",IF(INDEX(LdBAmt,$N3469)=0,"",INDEX(LdBAmt,$N3469)))</f>
        <v/>
      </c>
      <c r="G3469" s="30">
        <f>IF($N3469="","",IF(INDEX(LdBNote,$N3469)="","—",INDEX(LdBNote,$N3469)))</f>
        <v/>
      </c>
      <c r="N3469">
        <f>IFERROR(MATCH($C$5&amp;"|"&amp;RIGHT("000000"&amp;1449,6),LdBKeyG,0),"")</f>
        <v/>
      </c>
    </row>
    <row r="3470">
      <c r="A3470" s="19" t="n">
        <v>1450</v>
      </c>
      <c r="B3470" s="20">
        <f>IF($N3470="","",INDEX(LdBDate,$N3470))</f>
        <v/>
      </c>
      <c r="C3470" s="20">
        <f>IF($N3470="","",IF(INDEX(LdBId,$N3470)="","—",INDEX(LdBId,$N3470)))</f>
        <v/>
      </c>
      <c r="D3470" s="20">
        <f>IF($N3470="","",INDEX(LdBMember,$N3470))</f>
        <v/>
      </c>
      <c r="E3470" s="20">
        <f>IF($N3470="","",IFERROR(IF(VLOOKUP(INDEX(LdBMember,$N3470),AcctTblE,4,0)="","(بدون نام)",VLOOKUP(INDEX(LdBMember,$N3470),AcctTblE,4,0)),"—"))</f>
        <v/>
      </c>
      <c r="F3470" s="21">
        <f>IF($N3470="","",IF(INDEX(LdBAmt,$N3470)=0,"",INDEX(LdBAmt,$N3470)))</f>
        <v/>
      </c>
      <c r="G3470" s="32">
        <f>IF($N3470="","",IF(INDEX(LdBNote,$N3470)="","—",INDEX(LdBNote,$N3470)))</f>
        <v/>
      </c>
      <c r="N3470">
        <f>IFERROR(MATCH($C$5&amp;"|"&amp;RIGHT("000000"&amp;1450,6),LdBKeyG,0),"")</f>
        <v/>
      </c>
    </row>
    <row r="3471">
      <c r="A3471" s="10" t="n">
        <v>1451</v>
      </c>
      <c r="B3471" s="14">
        <f>IF($N3471="","",INDEX(LdBDate,$N3471))</f>
        <v/>
      </c>
      <c r="C3471" s="14">
        <f>IF($N3471="","",IF(INDEX(LdBId,$N3471)="","—",INDEX(LdBId,$N3471)))</f>
        <v/>
      </c>
      <c r="D3471" s="14">
        <f>IF($N3471="","",INDEX(LdBMember,$N3471))</f>
        <v/>
      </c>
      <c r="E3471" s="14">
        <f>IF($N3471="","",IFERROR(IF(VLOOKUP(INDEX(LdBMember,$N3471),AcctTblE,4,0)="","(بدون نام)",VLOOKUP(INDEX(LdBMember,$N3471),AcctTblE,4,0)),"—"))</f>
        <v/>
      </c>
      <c r="F3471" s="16">
        <f>IF($N3471="","",IF(INDEX(LdBAmt,$N3471)=0,"",INDEX(LdBAmt,$N3471)))</f>
        <v/>
      </c>
      <c r="G3471" s="30">
        <f>IF($N3471="","",IF(INDEX(LdBNote,$N3471)="","—",INDEX(LdBNote,$N3471)))</f>
        <v/>
      </c>
      <c r="N3471">
        <f>IFERROR(MATCH($C$5&amp;"|"&amp;RIGHT("000000"&amp;1451,6),LdBKeyG,0),"")</f>
        <v/>
      </c>
    </row>
    <row r="3472">
      <c r="A3472" s="19" t="n">
        <v>1452</v>
      </c>
      <c r="B3472" s="20">
        <f>IF($N3472="","",INDEX(LdBDate,$N3472))</f>
        <v/>
      </c>
      <c r="C3472" s="20">
        <f>IF($N3472="","",IF(INDEX(LdBId,$N3472)="","—",INDEX(LdBId,$N3472)))</f>
        <v/>
      </c>
      <c r="D3472" s="20">
        <f>IF($N3472="","",INDEX(LdBMember,$N3472))</f>
        <v/>
      </c>
      <c r="E3472" s="20">
        <f>IF($N3472="","",IFERROR(IF(VLOOKUP(INDEX(LdBMember,$N3472),AcctTblE,4,0)="","(بدون نام)",VLOOKUP(INDEX(LdBMember,$N3472),AcctTblE,4,0)),"—"))</f>
        <v/>
      </c>
      <c r="F3472" s="21">
        <f>IF($N3472="","",IF(INDEX(LdBAmt,$N3472)=0,"",INDEX(LdBAmt,$N3472)))</f>
        <v/>
      </c>
      <c r="G3472" s="32">
        <f>IF($N3472="","",IF(INDEX(LdBNote,$N3472)="","—",INDEX(LdBNote,$N3472)))</f>
        <v/>
      </c>
      <c r="N3472">
        <f>IFERROR(MATCH($C$5&amp;"|"&amp;RIGHT("000000"&amp;1452,6),LdBKeyG,0),"")</f>
        <v/>
      </c>
    </row>
    <row r="3473">
      <c r="A3473" s="10" t="n">
        <v>1453</v>
      </c>
      <c r="B3473" s="14">
        <f>IF($N3473="","",INDEX(LdBDate,$N3473))</f>
        <v/>
      </c>
      <c r="C3473" s="14">
        <f>IF($N3473="","",IF(INDEX(LdBId,$N3473)="","—",INDEX(LdBId,$N3473)))</f>
        <v/>
      </c>
      <c r="D3473" s="14">
        <f>IF($N3473="","",INDEX(LdBMember,$N3473))</f>
        <v/>
      </c>
      <c r="E3473" s="14">
        <f>IF($N3473="","",IFERROR(IF(VLOOKUP(INDEX(LdBMember,$N3473),AcctTblE,4,0)="","(بدون نام)",VLOOKUP(INDEX(LdBMember,$N3473),AcctTblE,4,0)),"—"))</f>
        <v/>
      </c>
      <c r="F3473" s="16">
        <f>IF($N3473="","",IF(INDEX(LdBAmt,$N3473)=0,"",INDEX(LdBAmt,$N3473)))</f>
        <v/>
      </c>
      <c r="G3473" s="30">
        <f>IF($N3473="","",IF(INDEX(LdBNote,$N3473)="","—",INDEX(LdBNote,$N3473)))</f>
        <v/>
      </c>
      <c r="N3473">
        <f>IFERROR(MATCH($C$5&amp;"|"&amp;RIGHT("000000"&amp;1453,6),LdBKeyG,0),"")</f>
        <v/>
      </c>
    </row>
    <row r="3474">
      <c r="A3474" s="19" t="n">
        <v>1454</v>
      </c>
      <c r="B3474" s="20">
        <f>IF($N3474="","",INDEX(LdBDate,$N3474))</f>
        <v/>
      </c>
      <c r="C3474" s="20">
        <f>IF($N3474="","",IF(INDEX(LdBId,$N3474)="","—",INDEX(LdBId,$N3474)))</f>
        <v/>
      </c>
      <c r="D3474" s="20">
        <f>IF($N3474="","",INDEX(LdBMember,$N3474))</f>
        <v/>
      </c>
      <c r="E3474" s="20">
        <f>IF($N3474="","",IFERROR(IF(VLOOKUP(INDEX(LdBMember,$N3474),AcctTblE,4,0)="","(بدون نام)",VLOOKUP(INDEX(LdBMember,$N3474),AcctTblE,4,0)),"—"))</f>
        <v/>
      </c>
      <c r="F3474" s="21">
        <f>IF($N3474="","",IF(INDEX(LdBAmt,$N3474)=0,"",INDEX(LdBAmt,$N3474)))</f>
        <v/>
      </c>
      <c r="G3474" s="32">
        <f>IF($N3474="","",IF(INDEX(LdBNote,$N3474)="","—",INDEX(LdBNote,$N3474)))</f>
        <v/>
      </c>
      <c r="N3474">
        <f>IFERROR(MATCH($C$5&amp;"|"&amp;RIGHT("000000"&amp;1454,6),LdBKeyG,0),"")</f>
        <v/>
      </c>
    </row>
    <row r="3475">
      <c r="A3475" s="10" t="n">
        <v>1455</v>
      </c>
      <c r="B3475" s="14">
        <f>IF($N3475="","",INDEX(LdBDate,$N3475))</f>
        <v/>
      </c>
      <c r="C3475" s="14">
        <f>IF($N3475="","",IF(INDEX(LdBId,$N3475)="","—",INDEX(LdBId,$N3475)))</f>
        <v/>
      </c>
      <c r="D3475" s="14">
        <f>IF($N3475="","",INDEX(LdBMember,$N3475))</f>
        <v/>
      </c>
      <c r="E3475" s="14">
        <f>IF($N3475="","",IFERROR(IF(VLOOKUP(INDEX(LdBMember,$N3475),AcctTblE,4,0)="","(بدون نام)",VLOOKUP(INDEX(LdBMember,$N3475),AcctTblE,4,0)),"—"))</f>
        <v/>
      </c>
      <c r="F3475" s="16">
        <f>IF($N3475="","",IF(INDEX(LdBAmt,$N3475)=0,"",INDEX(LdBAmt,$N3475)))</f>
        <v/>
      </c>
      <c r="G3475" s="30">
        <f>IF($N3475="","",IF(INDEX(LdBNote,$N3475)="","—",INDEX(LdBNote,$N3475)))</f>
        <v/>
      </c>
      <c r="N3475">
        <f>IFERROR(MATCH($C$5&amp;"|"&amp;RIGHT("000000"&amp;1455,6),LdBKeyG,0),"")</f>
        <v/>
      </c>
    </row>
    <row r="3476">
      <c r="A3476" s="19" t="n">
        <v>1456</v>
      </c>
      <c r="B3476" s="20">
        <f>IF($N3476="","",INDEX(LdBDate,$N3476))</f>
        <v/>
      </c>
      <c r="C3476" s="20">
        <f>IF($N3476="","",IF(INDEX(LdBId,$N3476)="","—",INDEX(LdBId,$N3476)))</f>
        <v/>
      </c>
      <c r="D3476" s="20">
        <f>IF($N3476="","",INDEX(LdBMember,$N3476))</f>
        <v/>
      </c>
      <c r="E3476" s="20">
        <f>IF($N3476="","",IFERROR(IF(VLOOKUP(INDEX(LdBMember,$N3476),AcctTblE,4,0)="","(بدون نام)",VLOOKUP(INDEX(LdBMember,$N3476),AcctTblE,4,0)),"—"))</f>
        <v/>
      </c>
      <c r="F3476" s="21">
        <f>IF($N3476="","",IF(INDEX(LdBAmt,$N3476)=0,"",INDEX(LdBAmt,$N3476)))</f>
        <v/>
      </c>
      <c r="G3476" s="32">
        <f>IF($N3476="","",IF(INDEX(LdBNote,$N3476)="","—",INDEX(LdBNote,$N3476)))</f>
        <v/>
      </c>
      <c r="N3476">
        <f>IFERROR(MATCH($C$5&amp;"|"&amp;RIGHT("000000"&amp;1456,6),LdBKeyG,0),"")</f>
        <v/>
      </c>
    </row>
    <row r="3477">
      <c r="A3477" s="10" t="n">
        <v>1457</v>
      </c>
      <c r="B3477" s="14">
        <f>IF($N3477="","",INDEX(LdBDate,$N3477))</f>
        <v/>
      </c>
      <c r="C3477" s="14">
        <f>IF($N3477="","",IF(INDEX(LdBId,$N3477)="","—",INDEX(LdBId,$N3477)))</f>
        <v/>
      </c>
      <c r="D3477" s="14">
        <f>IF($N3477="","",INDEX(LdBMember,$N3477))</f>
        <v/>
      </c>
      <c r="E3477" s="14">
        <f>IF($N3477="","",IFERROR(IF(VLOOKUP(INDEX(LdBMember,$N3477),AcctTblE,4,0)="","(بدون نام)",VLOOKUP(INDEX(LdBMember,$N3477),AcctTblE,4,0)),"—"))</f>
        <v/>
      </c>
      <c r="F3477" s="16">
        <f>IF($N3477="","",IF(INDEX(LdBAmt,$N3477)=0,"",INDEX(LdBAmt,$N3477)))</f>
        <v/>
      </c>
      <c r="G3477" s="30">
        <f>IF($N3477="","",IF(INDEX(LdBNote,$N3477)="","—",INDEX(LdBNote,$N3477)))</f>
        <v/>
      </c>
      <c r="N3477">
        <f>IFERROR(MATCH($C$5&amp;"|"&amp;RIGHT("000000"&amp;1457,6),LdBKeyG,0),"")</f>
        <v/>
      </c>
    </row>
    <row r="3478">
      <c r="A3478" s="19" t="n">
        <v>1458</v>
      </c>
      <c r="B3478" s="20">
        <f>IF($N3478="","",INDEX(LdBDate,$N3478))</f>
        <v/>
      </c>
      <c r="C3478" s="20">
        <f>IF($N3478="","",IF(INDEX(LdBId,$N3478)="","—",INDEX(LdBId,$N3478)))</f>
        <v/>
      </c>
      <c r="D3478" s="20">
        <f>IF($N3478="","",INDEX(LdBMember,$N3478))</f>
        <v/>
      </c>
      <c r="E3478" s="20">
        <f>IF($N3478="","",IFERROR(IF(VLOOKUP(INDEX(LdBMember,$N3478),AcctTblE,4,0)="","(بدون نام)",VLOOKUP(INDEX(LdBMember,$N3478),AcctTblE,4,0)),"—"))</f>
        <v/>
      </c>
      <c r="F3478" s="21">
        <f>IF($N3478="","",IF(INDEX(LdBAmt,$N3478)=0,"",INDEX(LdBAmt,$N3478)))</f>
        <v/>
      </c>
      <c r="G3478" s="32">
        <f>IF($N3478="","",IF(INDEX(LdBNote,$N3478)="","—",INDEX(LdBNote,$N3478)))</f>
        <v/>
      </c>
      <c r="N3478">
        <f>IFERROR(MATCH($C$5&amp;"|"&amp;RIGHT("000000"&amp;1458,6),LdBKeyG,0),"")</f>
        <v/>
      </c>
    </row>
    <row r="3479">
      <c r="A3479" s="10" t="n">
        <v>1459</v>
      </c>
      <c r="B3479" s="14">
        <f>IF($N3479="","",INDEX(LdBDate,$N3479))</f>
        <v/>
      </c>
      <c r="C3479" s="14">
        <f>IF($N3479="","",IF(INDEX(LdBId,$N3479)="","—",INDEX(LdBId,$N3479)))</f>
        <v/>
      </c>
      <c r="D3479" s="14">
        <f>IF($N3479="","",INDEX(LdBMember,$N3479))</f>
        <v/>
      </c>
      <c r="E3479" s="14">
        <f>IF($N3479="","",IFERROR(IF(VLOOKUP(INDEX(LdBMember,$N3479),AcctTblE,4,0)="","(بدون نام)",VLOOKUP(INDEX(LdBMember,$N3479),AcctTblE,4,0)),"—"))</f>
        <v/>
      </c>
      <c r="F3479" s="16">
        <f>IF($N3479="","",IF(INDEX(LdBAmt,$N3479)=0,"",INDEX(LdBAmt,$N3479)))</f>
        <v/>
      </c>
      <c r="G3479" s="30">
        <f>IF($N3479="","",IF(INDEX(LdBNote,$N3479)="","—",INDEX(LdBNote,$N3479)))</f>
        <v/>
      </c>
      <c r="N3479">
        <f>IFERROR(MATCH($C$5&amp;"|"&amp;RIGHT("000000"&amp;1459,6),LdBKeyG,0),"")</f>
        <v/>
      </c>
    </row>
    <row r="3480">
      <c r="A3480" s="19" t="n">
        <v>1460</v>
      </c>
      <c r="B3480" s="20">
        <f>IF($N3480="","",INDEX(LdBDate,$N3480))</f>
        <v/>
      </c>
      <c r="C3480" s="20">
        <f>IF($N3480="","",IF(INDEX(LdBId,$N3480)="","—",INDEX(LdBId,$N3480)))</f>
        <v/>
      </c>
      <c r="D3480" s="20">
        <f>IF($N3480="","",INDEX(LdBMember,$N3480))</f>
        <v/>
      </c>
      <c r="E3480" s="20">
        <f>IF($N3480="","",IFERROR(IF(VLOOKUP(INDEX(LdBMember,$N3480),AcctTblE,4,0)="","(بدون نام)",VLOOKUP(INDEX(LdBMember,$N3480),AcctTblE,4,0)),"—"))</f>
        <v/>
      </c>
      <c r="F3480" s="21">
        <f>IF($N3480="","",IF(INDEX(LdBAmt,$N3480)=0,"",INDEX(LdBAmt,$N3480)))</f>
        <v/>
      </c>
      <c r="G3480" s="32">
        <f>IF($N3480="","",IF(INDEX(LdBNote,$N3480)="","—",INDEX(LdBNote,$N3480)))</f>
        <v/>
      </c>
      <c r="N3480">
        <f>IFERROR(MATCH($C$5&amp;"|"&amp;RIGHT("000000"&amp;1460,6),LdBKeyG,0),"")</f>
        <v/>
      </c>
    </row>
    <row r="3481">
      <c r="A3481" s="10" t="n">
        <v>1461</v>
      </c>
      <c r="B3481" s="14">
        <f>IF($N3481="","",INDEX(LdBDate,$N3481))</f>
        <v/>
      </c>
      <c r="C3481" s="14">
        <f>IF($N3481="","",IF(INDEX(LdBId,$N3481)="","—",INDEX(LdBId,$N3481)))</f>
        <v/>
      </c>
      <c r="D3481" s="14">
        <f>IF($N3481="","",INDEX(LdBMember,$N3481))</f>
        <v/>
      </c>
      <c r="E3481" s="14">
        <f>IF($N3481="","",IFERROR(IF(VLOOKUP(INDEX(LdBMember,$N3481),AcctTblE,4,0)="","(بدون نام)",VLOOKUP(INDEX(LdBMember,$N3481),AcctTblE,4,0)),"—"))</f>
        <v/>
      </c>
      <c r="F3481" s="16">
        <f>IF($N3481="","",IF(INDEX(LdBAmt,$N3481)=0,"",INDEX(LdBAmt,$N3481)))</f>
        <v/>
      </c>
      <c r="G3481" s="30">
        <f>IF($N3481="","",IF(INDEX(LdBNote,$N3481)="","—",INDEX(LdBNote,$N3481)))</f>
        <v/>
      </c>
      <c r="N3481">
        <f>IFERROR(MATCH($C$5&amp;"|"&amp;RIGHT("000000"&amp;1461,6),LdBKeyG,0),"")</f>
        <v/>
      </c>
    </row>
    <row r="3482">
      <c r="A3482" s="19" t="n">
        <v>1462</v>
      </c>
      <c r="B3482" s="20">
        <f>IF($N3482="","",INDEX(LdBDate,$N3482))</f>
        <v/>
      </c>
      <c r="C3482" s="20">
        <f>IF($N3482="","",IF(INDEX(LdBId,$N3482)="","—",INDEX(LdBId,$N3482)))</f>
        <v/>
      </c>
      <c r="D3482" s="20">
        <f>IF($N3482="","",INDEX(LdBMember,$N3482))</f>
        <v/>
      </c>
      <c r="E3482" s="20">
        <f>IF($N3482="","",IFERROR(IF(VLOOKUP(INDEX(LdBMember,$N3482),AcctTblE,4,0)="","(بدون نام)",VLOOKUP(INDEX(LdBMember,$N3482),AcctTblE,4,0)),"—"))</f>
        <v/>
      </c>
      <c r="F3482" s="21">
        <f>IF($N3482="","",IF(INDEX(LdBAmt,$N3482)=0,"",INDEX(LdBAmt,$N3482)))</f>
        <v/>
      </c>
      <c r="G3482" s="32">
        <f>IF($N3482="","",IF(INDEX(LdBNote,$N3482)="","—",INDEX(LdBNote,$N3482)))</f>
        <v/>
      </c>
      <c r="N3482">
        <f>IFERROR(MATCH($C$5&amp;"|"&amp;RIGHT("000000"&amp;1462,6),LdBKeyG,0),"")</f>
        <v/>
      </c>
    </row>
    <row r="3483">
      <c r="A3483" s="10" t="n">
        <v>1463</v>
      </c>
      <c r="B3483" s="14">
        <f>IF($N3483="","",INDEX(LdBDate,$N3483))</f>
        <v/>
      </c>
      <c r="C3483" s="14">
        <f>IF($N3483="","",IF(INDEX(LdBId,$N3483)="","—",INDEX(LdBId,$N3483)))</f>
        <v/>
      </c>
      <c r="D3483" s="14">
        <f>IF($N3483="","",INDEX(LdBMember,$N3483))</f>
        <v/>
      </c>
      <c r="E3483" s="14">
        <f>IF($N3483="","",IFERROR(IF(VLOOKUP(INDEX(LdBMember,$N3483),AcctTblE,4,0)="","(بدون نام)",VLOOKUP(INDEX(LdBMember,$N3483),AcctTblE,4,0)),"—"))</f>
        <v/>
      </c>
      <c r="F3483" s="16">
        <f>IF($N3483="","",IF(INDEX(LdBAmt,$N3483)=0,"",INDEX(LdBAmt,$N3483)))</f>
        <v/>
      </c>
      <c r="G3483" s="30">
        <f>IF($N3483="","",IF(INDEX(LdBNote,$N3483)="","—",INDEX(LdBNote,$N3483)))</f>
        <v/>
      </c>
      <c r="N3483">
        <f>IFERROR(MATCH($C$5&amp;"|"&amp;RIGHT("000000"&amp;1463,6),LdBKeyG,0),"")</f>
        <v/>
      </c>
    </row>
    <row r="3484">
      <c r="A3484" s="19" t="n">
        <v>1464</v>
      </c>
      <c r="B3484" s="20">
        <f>IF($N3484="","",INDEX(LdBDate,$N3484))</f>
        <v/>
      </c>
      <c r="C3484" s="20">
        <f>IF($N3484="","",IF(INDEX(LdBId,$N3484)="","—",INDEX(LdBId,$N3484)))</f>
        <v/>
      </c>
      <c r="D3484" s="20">
        <f>IF($N3484="","",INDEX(LdBMember,$N3484))</f>
        <v/>
      </c>
      <c r="E3484" s="20">
        <f>IF($N3484="","",IFERROR(IF(VLOOKUP(INDEX(LdBMember,$N3484),AcctTblE,4,0)="","(بدون نام)",VLOOKUP(INDEX(LdBMember,$N3484),AcctTblE,4,0)),"—"))</f>
        <v/>
      </c>
      <c r="F3484" s="21">
        <f>IF($N3484="","",IF(INDEX(LdBAmt,$N3484)=0,"",INDEX(LdBAmt,$N3484)))</f>
        <v/>
      </c>
      <c r="G3484" s="32">
        <f>IF($N3484="","",IF(INDEX(LdBNote,$N3484)="","—",INDEX(LdBNote,$N3484)))</f>
        <v/>
      </c>
      <c r="N3484">
        <f>IFERROR(MATCH($C$5&amp;"|"&amp;RIGHT("000000"&amp;1464,6),LdBKeyG,0),"")</f>
        <v/>
      </c>
    </row>
    <row r="3485">
      <c r="A3485" s="10" t="n">
        <v>1465</v>
      </c>
      <c r="B3485" s="14">
        <f>IF($N3485="","",INDEX(LdBDate,$N3485))</f>
        <v/>
      </c>
      <c r="C3485" s="14">
        <f>IF($N3485="","",IF(INDEX(LdBId,$N3485)="","—",INDEX(LdBId,$N3485)))</f>
        <v/>
      </c>
      <c r="D3485" s="14">
        <f>IF($N3485="","",INDEX(LdBMember,$N3485))</f>
        <v/>
      </c>
      <c r="E3485" s="14">
        <f>IF($N3485="","",IFERROR(IF(VLOOKUP(INDEX(LdBMember,$N3485),AcctTblE,4,0)="","(بدون نام)",VLOOKUP(INDEX(LdBMember,$N3485),AcctTblE,4,0)),"—"))</f>
        <v/>
      </c>
      <c r="F3485" s="16">
        <f>IF($N3485="","",IF(INDEX(LdBAmt,$N3485)=0,"",INDEX(LdBAmt,$N3485)))</f>
        <v/>
      </c>
      <c r="G3485" s="30">
        <f>IF($N3485="","",IF(INDEX(LdBNote,$N3485)="","—",INDEX(LdBNote,$N3485)))</f>
        <v/>
      </c>
      <c r="N3485">
        <f>IFERROR(MATCH($C$5&amp;"|"&amp;RIGHT("000000"&amp;1465,6),LdBKeyG,0),"")</f>
        <v/>
      </c>
    </row>
    <row r="3486">
      <c r="A3486" s="19" t="n">
        <v>1466</v>
      </c>
      <c r="B3486" s="20">
        <f>IF($N3486="","",INDEX(LdBDate,$N3486))</f>
        <v/>
      </c>
      <c r="C3486" s="20">
        <f>IF($N3486="","",IF(INDEX(LdBId,$N3486)="","—",INDEX(LdBId,$N3486)))</f>
        <v/>
      </c>
      <c r="D3486" s="20">
        <f>IF($N3486="","",INDEX(LdBMember,$N3486))</f>
        <v/>
      </c>
      <c r="E3486" s="20">
        <f>IF($N3486="","",IFERROR(IF(VLOOKUP(INDEX(LdBMember,$N3486),AcctTblE,4,0)="","(بدون نام)",VLOOKUP(INDEX(LdBMember,$N3486),AcctTblE,4,0)),"—"))</f>
        <v/>
      </c>
      <c r="F3486" s="21">
        <f>IF($N3486="","",IF(INDEX(LdBAmt,$N3486)=0,"",INDEX(LdBAmt,$N3486)))</f>
        <v/>
      </c>
      <c r="G3486" s="32">
        <f>IF($N3486="","",IF(INDEX(LdBNote,$N3486)="","—",INDEX(LdBNote,$N3486)))</f>
        <v/>
      </c>
      <c r="N3486">
        <f>IFERROR(MATCH($C$5&amp;"|"&amp;RIGHT("000000"&amp;1466,6),LdBKeyG,0),"")</f>
        <v/>
      </c>
    </row>
    <row r="3487">
      <c r="A3487" s="10" t="n">
        <v>1467</v>
      </c>
      <c r="B3487" s="14">
        <f>IF($N3487="","",INDEX(LdBDate,$N3487))</f>
        <v/>
      </c>
      <c r="C3487" s="14">
        <f>IF($N3487="","",IF(INDEX(LdBId,$N3487)="","—",INDEX(LdBId,$N3487)))</f>
        <v/>
      </c>
      <c r="D3487" s="14">
        <f>IF($N3487="","",INDEX(LdBMember,$N3487))</f>
        <v/>
      </c>
      <c r="E3487" s="14">
        <f>IF($N3487="","",IFERROR(IF(VLOOKUP(INDEX(LdBMember,$N3487),AcctTblE,4,0)="","(بدون نام)",VLOOKUP(INDEX(LdBMember,$N3487),AcctTblE,4,0)),"—"))</f>
        <v/>
      </c>
      <c r="F3487" s="16">
        <f>IF($N3487="","",IF(INDEX(LdBAmt,$N3487)=0,"",INDEX(LdBAmt,$N3487)))</f>
        <v/>
      </c>
      <c r="G3487" s="30">
        <f>IF($N3487="","",IF(INDEX(LdBNote,$N3487)="","—",INDEX(LdBNote,$N3487)))</f>
        <v/>
      </c>
      <c r="N3487">
        <f>IFERROR(MATCH($C$5&amp;"|"&amp;RIGHT("000000"&amp;1467,6),LdBKeyG,0),"")</f>
        <v/>
      </c>
    </row>
    <row r="3488">
      <c r="A3488" s="19" t="n">
        <v>1468</v>
      </c>
      <c r="B3488" s="20">
        <f>IF($N3488="","",INDEX(LdBDate,$N3488))</f>
        <v/>
      </c>
      <c r="C3488" s="20">
        <f>IF($N3488="","",IF(INDEX(LdBId,$N3488)="","—",INDEX(LdBId,$N3488)))</f>
        <v/>
      </c>
      <c r="D3488" s="20">
        <f>IF($N3488="","",INDEX(LdBMember,$N3488))</f>
        <v/>
      </c>
      <c r="E3488" s="20">
        <f>IF($N3488="","",IFERROR(IF(VLOOKUP(INDEX(LdBMember,$N3488),AcctTblE,4,0)="","(بدون نام)",VLOOKUP(INDEX(LdBMember,$N3488),AcctTblE,4,0)),"—"))</f>
        <v/>
      </c>
      <c r="F3488" s="21">
        <f>IF($N3488="","",IF(INDEX(LdBAmt,$N3488)=0,"",INDEX(LdBAmt,$N3488)))</f>
        <v/>
      </c>
      <c r="G3488" s="32">
        <f>IF($N3488="","",IF(INDEX(LdBNote,$N3488)="","—",INDEX(LdBNote,$N3488)))</f>
        <v/>
      </c>
      <c r="N3488">
        <f>IFERROR(MATCH($C$5&amp;"|"&amp;RIGHT("000000"&amp;1468,6),LdBKeyG,0),"")</f>
        <v/>
      </c>
    </row>
    <row r="3489">
      <c r="A3489" s="10" t="n">
        <v>1469</v>
      </c>
      <c r="B3489" s="14">
        <f>IF($N3489="","",INDEX(LdBDate,$N3489))</f>
        <v/>
      </c>
      <c r="C3489" s="14">
        <f>IF($N3489="","",IF(INDEX(LdBId,$N3489)="","—",INDEX(LdBId,$N3489)))</f>
        <v/>
      </c>
      <c r="D3489" s="14">
        <f>IF($N3489="","",INDEX(LdBMember,$N3489))</f>
        <v/>
      </c>
      <c r="E3489" s="14">
        <f>IF($N3489="","",IFERROR(IF(VLOOKUP(INDEX(LdBMember,$N3489),AcctTblE,4,0)="","(بدون نام)",VLOOKUP(INDEX(LdBMember,$N3489),AcctTblE,4,0)),"—"))</f>
        <v/>
      </c>
      <c r="F3489" s="16">
        <f>IF($N3489="","",IF(INDEX(LdBAmt,$N3489)=0,"",INDEX(LdBAmt,$N3489)))</f>
        <v/>
      </c>
      <c r="G3489" s="30">
        <f>IF($N3489="","",IF(INDEX(LdBNote,$N3489)="","—",INDEX(LdBNote,$N3489)))</f>
        <v/>
      </c>
      <c r="N3489">
        <f>IFERROR(MATCH($C$5&amp;"|"&amp;RIGHT("000000"&amp;1469,6),LdBKeyG,0),"")</f>
        <v/>
      </c>
    </row>
    <row r="3490">
      <c r="A3490" s="19" t="n">
        <v>1470</v>
      </c>
      <c r="B3490" s="20">
        <f>IF($N3490="","",INDEX(LdBDate,$N3490))</f>
        <v/>
      </c>
      <c r="C3490" s="20">
        <f>IF($N3490="","",IF(INDEX(LdBId,$N3490)="","—",INDEX(LdBId,$N3490)))</f>
        <v/>
      </c>
      <c r="D3490" s="20">
        <f>IF($N3490="","",INDEX(LdBMember,$N3490))</f>
        <v/>
      </c>
      <c r="E3490" s="20">
        <f>IF($N3490="","",IFERROR(IF(VLOOKUP(INDEX(LdBMember,$N3490),AcctTblE,4,0)="","(بدون نام)",VLOOKUP(INDEX(LdBMember,$N3490),AcctTblE,4,0)),"—"))</f>
        <v/>
      </c>
      <c r="F3490" s="21">
        <f>IF($N3490="","",IF(INDEX(LdBAmt,$N3490)=0,"",INDEX(LdBAmt,$N3490)))</f>
        <v/>
      </c>
      <c r="G3490" s="32">
        <f>IF($N3490="","",IF(INDEX(LdBNote,$N3490)="","—",INDEX(LdBNote,$N3490)))</f>
        <v/>
      </c>
      <c r="N3490">
        <f>IFERROR(MATCH($C$5&amp;"|"&amp;RIGHT("000000"&amp;1470,6),LdBKeyG,0),"")</f>
        <v/>
      </c>
    </row>
    <row r="3491">
      <c r="A3491" s="10" t="n">
        <v>1471</v>
      </c>
      <c r="B3491" s="14">
        <f>IF($N3491="","",INDEX(LdBDate,$N3491))</f>
        <v/>
      </c>
      <c r="C3491" s="14">
        <f>IF($N3491="","",IF(INDEX(LdBId,$N3491)="","—",INDEX(LdBId,$N3491)))</f>
        <v/>
      </c>
      <c r="D3491" s="14">
        <f>IF($N3491="","",INDEX(LdBMember,$N3491))</f>
        <v/>
      </c>
      <c r="E3491" s="14">
        <f>IF($N3491="","",IFERROR(IF(VLOOKUP(INDEX(LdBMember,$N3491),AcctTblE,4,0)="","(بدون نام)",VLOOKUP(INDEX(LdBMember,$N3491),AcctTblE,4,0)),"—"))</f>
        <v/>
      </c>
      <c r="F3491" s="16">
        <f>IF($N3491="","",IF(INDEX(LdBAmt,$N3491)=0,"",INDEX(LdBAmt,$N3491)))</f>
        <v/>
      </c>
      <c r="G3491" s="30">
        <f>IF($N3491="","",IF(INDEX(LdBNote,$N3491)="","—",INDEX(LdBNote,$N3491)))</f>
        <v/>
      </c>
      <c r="N3491">
        <f>IFERROR(MATCH($C$5&amp;"|"&amp;RIGHT("000000"&amp;1471,6),LdBKeyG,0),"")</f>
        <v/>
      </c>
    </row>
    <row r="3492">
      <c r="A3492" s="19" t="n">
        <v>1472</v>
      </c>
      <c r="B3492" s="20">
        <f>IF($N3492="","",INDEX(LdBDate,$N3492))</f>
        <v/>
      </c>
      <c r="C3492" s="20">
        <f>IF($N3492="","",IF(INDEX(LdBId,$N3492)="","—",INDEX(LdBId,$N3492)))</f>
        <v/>
      </c>
      <c r="D3492" s="20">
        <f>IF($N3492="","",INDEX(LdBMember,$N3492))</f>
        <v/>
      </c>
      <c r="E3492" s="20">
        <f>IF($N3492="","",IFERROR(IF(VLOOKUP(INDEX(LdBMember,$N3492),AcctTblE,4,0)="","(بدون نام)",VLOOKUP(INDEX(LdBMember,$N3492),AcctTblE,4,0)),"—"))</f>
        <v/>
      </c>
      <c r="F3492" s="21">
        <f>IF($N3492="","",IF(INDEX(LdBAmt,$N3492)=0,"",INDEX(LdBAmt,$N3492)))</f>
        <v/>
      </c>
      <c r="G3492" s="32">
        <f>IF($N3492="","",IF(INDEX(LdBNote,$N3492)="","—",INDEX(LdBNote,$N3492)))</f>
        <v/>
      </c>
      <c r="N3492">
        <f>IFERROR(MATCH($C$5&amp;"|"&amp;RIGHT("000000"&amp;1472,6),LdBKeyG,0),"")</f>
        <v/>
      </c>
    </row>
    <row r="3493">
      <c r="A3493" s="10" t="n">
        <v>1473</v>
      </c>
      <c r="B3493" s="14">
        <f>IF($N3493="","",INDEX(LdBDate,$N3493))</f>
        <v/>
      </c>
      <c r="C3493" s="14">
        <f>IF($N3493="","",IF(INDEX(LdBId,$N3493)="","—",INDEX(LdBId,$N3493)))</f>
        <v/>
      </c>
      <c r="D3493" s="14">
        <f>IF($N3493="","",INDEX(LdBMember,$N3493))</f>
        <v/>
      </c>
      <c r="E3493" s="14">
        <f>IF($N3493="","",IFERROR(IF(VLOOKUP(INDEX(LdBMember,$N3493),AcctTblE,4,0)="","(بدون نام)",VLOOKUP(INDEX(LdBMember,$N3493),AcctTblE,4,0)),"—"))</f>
        <v/>
      </c>
      <c r="F3493" s="16">
        <f>IF($N3493="","",IF(INDEX(LdBAmt,$N3493)=0,"",INDEX(LdBAmt,$N3493)))</f>
        <v/>
      </c>
      <c r="G3493" s="30">
        <f>IF($N3493="","",IF(INDEX(LdBNote,$N3493)="","—",INDEX(LdBNote,$N3493)))</f>
        <v/>
      </c>
      <c r="N3493">
        <f>IFERROR(MATCH($C$5&amp;"|"&amp;RIGHT("000000"&amp;1473,6),LdBKeyG,0),"")</f>
        <v/>
      </c>
    </row>
    <row r="3494">
      <c r="A3494" s="19" t="n">
        <v>1474</v>
      </c>
      <c r="B3494" s="20">
        <f>IF($N3494="","",INDEX(LdBDate,$N3494))</f>
        <v/>
      </c>
      <c r="C3494" s="20">
        <f>IF($N3494="","",IF(INDEX(LdBId,$N3494)="","—",INDEX(LdBId,$N3494)))</f>
        <v/>
      </c>
      <c r="D3494" s="20">
        <f>IF($N3494="","",INDEX(LdBMember,$N3494))</f>
        <v/>
      </c>
      <c r="E3494" s="20">
        <f>IF($N3494="","",IFERROR(IF(VLOOKUP(INDEX(LdBMember,$N3494),AcctTblE,4,0)="","(بدون نام)",VLOOKUP(INDEX(LdBMember,$N3494),AcctTblE,4,0)),"—"))</f>
        <v/>
      </c>
      <c r="F3494" s="21">
        <f>IF($N3494="","",IF(INDEX(LdBAmt,$N3494)=0,"",INDEX(LdBAmt,$N3494)))</f>
        <v/>
      </c>
      <c r="G3494" s="32">
        <f>IF($N3494="","",IF(INDEX(LdBNote,$N3494)="","—",INDEX(LdBNote,$N3494)))</f>
        <v/>
      </c>
      <c r="N3494">
        <f>IFERROR(MATCH($C$5&amp;"|"&amp;RIGHT("000000"&amp;1474,6),LdBKeyG,0),"")</f>
        <v/>
      </c>
    </row>
    <row r="3495">
      <c r="A3495" s="10" t="n">
        <v>1475</v>
      </c>
      <c r="B3495" s="14">
        <f>IF($N3495="","",INDEX(LdBDate,$N3495))</f>
        <v/>
      </c>
      <c r="C3495" s="14">
        <f>IF($N3495="","",IF(INDEX(LdBId,$N3495)="","—",INDEX(LdBId,$N3495)))</f>
        <v/>
      </c>
      <c r="D3495" s="14">
        <f>IF($N3495="","",INDEX(LdBMember,$N3495))</f>
        <v/>
      </c>
      <c r="E3495" s="14">
        <f>IF($N3495="","",IFERROR(IF(VLOOKUP(INDEX(LdBMember,$N3495),AcctTblE,4,0)="","(بدون نام)",VLOOKUP(INDEX(LdBMember,$N3495),AcctTblE,4,0)),"—"))</f>
        <v/>
      </c>
      <c r="F3495" s="16">
        <f>IF($N3495="","",IF(INDEX(LdBAmt,$N3495)=0,"",INDEX(LdBAmt,$N3495)))</f>
        <v/>
      </c>
      <c r="G3495" s="30">
        <f>IF($N3495="","",IF(INDEX(LdBNote,$N3495)="","—",INDEX(LdBNote,$N3495)))</f>
        <v/>
      </c>
      <c r="N3495">
        <f>IFERROR(MATCH($C$5&amp;"|"&amp;RIGHT("000000"&amp;1475,6),LdBKeyG,0),"")</f>
        <v/>
      </c>
    </row>
    <row r="3496">
      <c r="A3496" s="19" t="n">
        <v>1476</v>
      </c>
      <c r="B3496" s="20">
        <f>IF($N3496="","",INDEX(LdBDate,$N3496))</f>
        <v/>
      </c>
      <c r="C3496" s="20">
        <f>IF($N3496="","",IF(INDEX(LdBId,$N3496)="","—",INDEX(LdBId,$N3496)))</f>
        <v/>
      </c>
      <c r="D3496" s="20">
        <f>IF($N3496="","",INDEX(LdBMember,$N3496))</f>
        <v/>
      </c>
      <c r="E3496" s="20">
        <f>IF($N3496="","",IFERROR(IF(VLOOKUP(INDEX(LdBMember,$N3496),AcctTblE,4,0)="","(بدون نام)",VLOOKUP(INDEX(LdBMember,$N3496),AcctTblE,4,0)),"—"))</f>
        <v/>
      </c>
      <c r="F3496" s="21">
        <f>IF($N3496="","",IF(INDEX(LdBAmt,$N3496)=0,"",INDEX(LdBAmt,$N3496)))</f>
        <v/>
      </c>
      <c r="G3496" s="32">
        <f>IF($N3496="","",IF(INDEX(LdBNote,$N3496)="","—",INDEX(LdBNote,$N3496)))</f>
        <v/>
      </c>
      <c r="N3496">
        <f>IFERROR(MATCH($C$5&amp;"|"&amp;RIGHT("000000"&amp;1476,6),LdBKeyG,0),"")</f>
        <v/>
      </c>
    </row>
    <row r="3497">
      <c r="A3497" s="10" t="n">
        <v>1477</v>
      </c>
      <c r="B3497" s="14">
        <f>IF($N3497="","",INDEX(LdBDate,$N3497))</f>
        <v/>
      </c>
      <c r="C3497" s="14">
        <f>IF($N3497="","",IF(INDEX(LdBId,$N3497)="","—",INDEX(LdBId,$N3497)))</f>
        <v/>
      </c>
      <c r="D3497" s="14">
        <f>IF($N3497="","",INDEX(LdBMember,$N3497))</f>
        <v/>
      </c>
      <c r="E3497" s="14">
        <f>IF($N3497="","",IFERROR(IF(VLOOKUP(INDEX(LdBMember,$N3497),AcctTblE,4,0)="","(بدون نام)",VLOOKUP(INDEX(LdBMember,$N3497),AcctTblE,4,0)),"—"))</f>
        <v/>
      </c>
      <c r="F3497" s="16">
        <f>IF($N3497="","",IF(INDEX(LdBAmt,$N3497)=0,"",INDEX(LdBAmt,$N3497)))</f>
        <v/>
      </c>
      <c r="G3497" s="30">
        <f>IF($N3497="","",IF(INDEX(LdBNote,$N3497)="","—",INDEX(LdBNote,$N3497)))</f>
        <v/>
      </c>
      <c r="N3497">
        <f>IFERROR(MATCH($C$5&amp;"|"&amp;RIGHT("000000"&amp;1477,6),LdBKeyG,0),"")</f>
        <v/>
      </c>
    </row>
    <row r="3498">
      <c r="A3498" s="19" t="n">
        <v>1478</v>
      </c>
      <c r="B3498" s="20">
        <f>IF($N3498="","",INDEX(LdBDate,$N3498))</f>
        <v/>
      </c>
      <c r="C3498" s="20">
        <f>IF($N3498="","",IF(INDEX(LdBId,$N3498)="","—",INDEX(LdBId,$N3498)))</f>
        <v/>
      </c>
      <c r="D3498" s="20">
        <f>IF($N3498="","",INDEX(LdBMember,$N3498))</f>
        <v/>
      </c>
      <c r="E3498" s="20">
        <f>IF($N3498="","",IFERROR(IF(VLOOKUP(INDEX(LdBMember,$N3498),AcctTblE,4,0)="","(بدون نام)",VLOOKUP(INDEX(LdBMember,$N3498),AcctTblE,4,0)),"—"))</f>
        <v/>
      </c>
      <c r="F3498" s="21">
        <f>IF($N3498="","",IF(INDEX(LdBAmt,$N3498)=0,"",INDEX(LdBAmt,$N3498)))</f>
        <v/>
      </c>
      <c r="G3498" s="32">
        <f>IF($N3498="","",IF(INDEX(LdBNote,$N3498)="","—",INDEX(LdBNote,$N3498)))</f>
        <v/>
      </c>
      <c r="N3498">
        <f>IFERROR(MATCH($C$5&amp;"|"&amp;RIGHT("000000"&amp;1478,6),LdBKeyG,0),"")</f>
        <v/>
      </c>
    </row>
    <row r="3499">
      <c r="A3499" s="10" t="n">
        <v>1479</v>
      </c>
      <c r="B3499" s="14">
        <f>IF($N3499="","",INDEX(LdBDate,$N3499))</f>
        <v/>
      </c>
      <c r="C3499" s="14">
        <f>IF($N3499="","",IF(INDEX(LdBId,$N3499)="","—",INDEX(LdBId,$N3499)))</f>
        <v/>
      </c>
      <c r="D3499" s="14">
        <f>IF($N3499="","",INDEX(LdBMember,$N3499))</f>
        <v/>
      </c>
      <c r="E3499" s="14">
        <f>IF($N3499="","",IFERROR(IF(VLOOKUP(INDEX(LdBMember,$N3499),AcctTblE,4,0)="","(بدون نام)",VLOOKUP(INDEX(LdBMember,$N3499),AcctTblE,4,0)),"—"))</f>
        <v/>
      </c>
      <c r="F3499" s="16">
        <f>IF($N3499="","",IF(INDEX(LdBAmt,$N3499)=0,"",INDEX(LdBAmt,$N3499)))</f>
        <v/>
      </c>
      <c r="G3499" s="30">
        <f>IF($N3499="","",IF(INDEX(LdBNote,$N3499)="","—",INDEX(LdBNote,$N3499)))</f>
        <v/>
      </c>
      <c r="N3499">
        <f>IFERROR(MATCH($C$5&amp;"|"&amp;RIGHT("000000"&amp;1479,6),LdBKeyG,0),"")</f>
        <v/>
      </c>
    </row>
    <row r="3500">
      <c r="A3500" s="19" t="n">
        <v>1480</v>
      </c>
      <c r="B3500" s="20">
        <f>IF($N3500="","",INDEX(LdBDate,$N3500))</f>
        <v/>
      </c>
      <c r="C3500" s="20">
        <f>IF($N3500="","",IF(INDEX(LdBId,$N3500)="","—",INDEX(LdBId,$N3500)))</f>
        <v/>
      </c>
      <c r="D3500" s="20">
        <f>IF($N3500="","",INDEX(LdBMember,$N3500))</f>
        <v/>
      </c>
      <c r="E3500" s="20">
        <f>IF($N3500="","",IFERROR(IF(VLOOKUP(INDEX(LdBMember,$N3500),AcctTblE,4,0)="","(بدون نام)",VLOOKUP(INDEX(LdBMember,$N3500),AcctTblE,4,0)),"—"))</f>
        <v/>
      </c>
      <c r="F3500" s="21">
        <f>IF($N3500="","",IF(INDEX(LdBAmt,$N3500)=0,"",INDEX(LdBAmt,$N3500)))</f>
        <v/>
      </c>
      <c r="G3500" s="32">
        <f>IF($N3500="","",IF(INDEX(LdBNote,$N3500)="","—",INDEX(LdBNote,$N3500)))</f>
        <v/>
      </c>
      <c r="N3500">
        <f>IFERROR(MATCH($C$5&amp;"|"&amp;RIGHT("000000"&amp;1480,6),LdBKeyG,0),"")</f>
        <v/>
      </c>
    </row>
    <row r="3501">
      <c r="A3501" s="10" t="n">
        <v>1481</v>
      </c>
      <c r="B3501" s="14">
        <f>IF($N3501="","",INDEX(LdBDate,$N3501))</f>
        <v/>
      </c>
      <c r="C3501" s="14">
        <f>IF($N3501="","",IF(INDEX(LdBId,$N3501)="","—",INDEX(LdBId,$N3501)))</f>
        <v/>
      </c>
      <c r="D3501" s="14">
        <f>IF($N3501="","",INDEX(LdBMember,$N3501))</f>
        <v/>
      </c>
      <c r="E3501" s="14">
        <f>IF($N3501="","",IFERROR(IF(VLOOKUP(INDEX(LdBMember,$N3501),AcctTblE,4,0)="","(بدون نام)",VLOOKUP(INDEX(LdBMember,$N3501),AcctTblE,4,0)),"—"))</f>
        <v/>
      </c>
      <c r="F3501" s="16">
        <f>IF($N3501="","",IF(INDEX(LdBAmt,$N3501)=0,"",INDEX(LdBAmt,$N3501)))</f>
        <v/>
      </c>
      <c r="G3501" s="30">
        <f>IF($N3501="","",IF(INDEX(LdBNote,$N3501)="","—",INDEX(LdBNote,$N3501)))</f>
        <v/>
      </c>
      <c r="N3501">
        <f>IFERROR(MATCH($C$5&amp;"|"&amp;RIGHT("000000"&amp;1481,6),LdBKeyG,0),"")</f>
        <v/>
      </c>
    </row>
    <row r="3502">
      <c r="A3502" s="19" t="n">
        <v>1482</v>
      </c>
      <c r="B3502" s="20">
        <f>IF($N3502="","",INDEX(LdBDate,$N3502))</f>
        <v/>
      </c>
      <c r="C3502" s="20">
        <f>IF($N3502="","",IF(INDEX(LdBId,$N3502)="","—",INDEX(LdBId,$N3502)))</f>
        <v/>
      </c>
      <c r="D3502" s="20">
        <f>IF($N3502="","",INDEX(LdBMember,$N3502))</f>
        <v/>
      </c>
      <c r="E3502" s="20">
        <f>IF($N3502="","",IFERROR(IF(VLOOKUP(INDEX(LdBMember,$N3502),AcctTblE,4,0)="","(بدون نام)",VLOOKUP(INDEX(LdBMember,$N3502),AcctTblE,4,0)),"—"))</f>
        <v/>
      </c>
      <c r="F3502" s="21">
        <f>IF($N3502="","",IF(INDEX(LdBAmt,$N3502)=0,"",INDEX(LdBAmt,$N3502)))</f>
        <v/>
      </c>
      <c r="G3502" s="32">
        <f>IF($N3502="","",IF(INDEX(LdBNote,$N3502)="","—",INDEX(LdBNote,$N3502)))</f>
        <v/>
      </c>
      <c r="N3502">
        <f>IFERROR(MATCH($C$5&amp;"|"&amp;RIGHT("000000"&amp;1482,6),LdBKeyG,0),"")</f>
        <v/>
      </c>
    </row>
    <row r="3503">
      <c r="A3503" s="10" t="n">
        <v>1483</v>
      </c>
      <c r="B3503" s="14">
        <f>IF($N3503="","",INDEX(LdBDate,$N3503))</f>
        <v/>
      </c>
      <c r="C3503" s="14">
        <f>IF($N3503="","",IF(INDEX(LdBId,$N3503)="","—",INDEX(LdBId,$N3503)))</f>
        <v/>
      </c>
      <c r="D3503" s="14">
        <f>IF($N3503="","",INDEX(LdBMember,$N3503))</f>
        <v/>
      </c>
      <c r="E3503" s="14">
        <f>IF($N3503="","",IFERROR(IF(VLOOKUP(INDEX(LdBMember,$N3503),AcctTblE,4,0)="","(بدون نام)",VLOOKUP(INDEX(LdBMember,$N3503),AcctTblE,4,0)),"—"))</f>
        <v/>
      </c>
      <c r="F3503" s="16">
        <f>IF($N3503="","",IF(INDEX(LdBAmt,$N3503)=0,"",INDEX(LdBAmt,$N3503)))</f>
        <v/>
      </c>
      <c r="G3503" s="30">
        <f>IF($N3503="","",IF(INDEX(LdBNote,$N3503)="","—",INDEX(LdBNote,$N3503)))</f>
        <v/>
      </c>
      <c r="N3503">
        <f>IFERROR(MATCH($C$5&amp;"|"&amp;RIGHT("000000"&amp;1483,6),LdBKeyG,0),"")</f>
        <v/>
      </c>
    </row>
    <row r="3504">
      <c r="A3504" s="19" t="n">
        <v>1484</v>
      </c>
      <c r="B3504" s="20">
        <f>IF($N3504="","",INDEX(LdBDate,$N3504))</f>
        <v/>
      </c>
      <c r="C3504" s="20">
        <f>IF($N3504="","",IF(INDEX(LdBId,$N3504)="","—",INDEX(LdBId,$N3504)))</f>
        <v/>
      </c>
      <c r="D3504" s="20">
        <f>IF($N3504="","",INDEX(LdBMember,$N3504))</f>
        <v/>
      </c>
      <c r="E3504" s="20">
        <f>IF($N3504="","",IFERROR(IF(VLOOKUP(INDEX(LdBMember,$N3504),AcctTblE,4,0)="","(بدون نام)",VLOOKUP(INDEX(LdBMember,$N3504),AcctTblE,4,0)),"—"))</f>
        <v/>
      </c>
      <c r="F3504" s="21">
        <f>IF($N3504="","",IF(INDEX(LdBAmt,$N3504)=0,"",INDEX(LdBAmt,$N3504)))</f>
        <v/>
      </c>
      <c r="G3504" s="32">
        <f>IF($N3504="","",IF(INDEX(LdBNote,$N3504)="","—",INDEX(LdBNote,$N3504)))</f>
        <v/>
      </c>
      <c r="N3504">
        <f>IFERROR(MATCH($C$5&amp;"|"&amp;RIGHT("000000"&amp;1484,6),LdBKeyG,0),"")</f>
        <v/>
      </c>
    </row>
    <row r="3505">
      <c r="A3505" s="10" t="n">
        <v>1485</v>
      </c>
      <c r="B3505" s="14">
        <f>IF($N3505="","",INDEX(LdBDate,$N3505))</f>
        <v/>
      </c>
      <c r="C3505" s="14">
        <f>IF($N3505="","",IF(INDEX(LdBId,$N3505)="","—",INDEX(LdBId,$N3505)))</f>
        <v/>
      </c>
      <c r="D3505" s="14">
        <f>IF($N3505="","",INDEX(LdBMember,$N3505))</f>
        <v/>
      </c>
      <c r="E3505" s="14">
        <f>IF($N3505="","",IFERROR(IF(VLOOKUP(INDEX(LdBMember,$N3505),AcctTblE,4,0)="","(بدون نام)",VLOOKUP(INDEX(LdBMember,$N3505),AcctTblE,4,0)),"—"))</f>
        <v/>
      </c>
      <c r="F3505" s="16">
        <f>IF($N3505="","",IF(INDEX(LdBAmt,$N3505)=0,"",INDEX(LdBAmt,$N3505)))</f>
        <v/>
      </c>
      <c r="G3505" s="30">
        <f>IF($N3505="","",IF(INDEX(LdBNote,$N3505)="","—",INDEX(LdBNote,$N3505)))</f>
        <v/>
      </c>
      <c r="N3505">
        <f>IFERROR(MATCH($C$5&amp;"|"&amp;RIGHT("000000"&amp;1485,6),LdBKeyG,0),"")</f>
        <v/>
      </c>
    </row>
    <row r="3506">
      <c r="A3506" s="19" t="n">
        <v>1486</v>
      </c>
      <c r="B3506" s="20">
        <f>IF($N3506="","",INDEX(LdBDate,$N3506))</f>
        <v/>
      </c>
      <c r="C3506" s="20">
        <f>IF($N3506="","",IF(INDEX(LdBId,$N3506)="","—",INDEX(LdBId,$N3506)))</f>
        <v/>
      </c>
      <c r="D3506" s="20">
        <f>IF($N3506="","",INDEX(LdBMember,$N3506))</f>
        <v/>
      </c>
      <c r="E3506" s="20">
        <f>IF($N3506="","",IFERROR(IF(VLOOKUP(INDEX(LdBMember,$N3506),AcctTblE,4,0)="","(بدون نام)",VLOOKUP(INDEX(LdBMember,$N3506),AcctTblE,4,0)),"—"))</f>
        <v/>
      </c>
      <c r="F3506" s="21">
        <f>IF($N3506="","",IF(INDEX(LdBAmt,$N3506)=0,"",INDEX(LdBAmt,$N3506)))</f>
        <v/>
      </c>
      <c r="G3506" s="32">
        <f>IF($N3506="","",IF(INDEX(LdBNote,$N3506)="","—",INDEX(LdBNote,$N3506)))</f>
        <v/>
      </c>
      <c r="N3506">
        <f>IFERROR(MATCH($C$5&amp;"|"&amp;RIGHT("000000"&amp;1486,6),LdBKeyG,0),"")</f>
        <v/>
      </c>
    </row>
    <row r="3507">
      <c r="A3507" s="10" t="n">
        <v>1487</v>
      </c>
      <c r="B3507" s="14">
        <f>IF($N3507="","",INDEX(LdBDate,$N3507))</f>
        <v/>
      </c>
      <c r="C3507" s="14">
        <f>IF($N3507="","",IF(INDEX(LdBId,$N3507)="","—",INDEX(LdBId,$N3507)))</f>
        <v/>
      </c>
      <c r="D3507" s="14">
        <f>IF($N3507="","",INDEX(LdBMember,$N3507))</f>
        <v/>
      </c>
      <c r="E3507" s="14">
        <f>IF($N3507="","",IFERROR(IF(VLOOKUP(INDEX(LdBMember,$N3507),AcctTblE,4,0)="","(بدون نام)",VLOOKUP(INDEX(LdBMember,$N3507),AcctTblE,4,0)),"—"))</f>
        <v/>
      </c>
      <c r="F3507" s="16">
        <f>IF($N3507="","",IF(INDEX(LdBAmt,$N3507)=0,"",INDEX(LdBAmt,$N3507)))</f>
        <v/>
      </c>
      <c r="G3507" s="30">
        <f>IF($N3507="","",IF(INDEX(LdBNote,$N3507)="","—",INDEX(LdBNote,$N3507)))</f>
        <v/>
      </c>
      <c r="N3507">
        <f>IFERROR(MATCH($C$5&amp;"|"&amp;RIGHT("000000"&amp;1487,6),LdBKeyG,0),"")</f>
        <v/>
      </c>
    </row>
    <row r="3508">
      <c r="A3508" s="19" t="n">
        <v>1488</v>
      </c>
      <c r="B3508" s="20">
        <f>IF($N3508="","",INDEX(LdBDate,$N3508))</f>
        <v/>
      </c>
      <c r="C3508" s="20">
        <f>IF($N3508="","",IF(INDEX(LdBId,$N3508)="","—",INDEX(LdBId,$N3508)))</f>
        <v/>
      </c>
      <c r="D3508" s="20">
        <f>IF($N3508="","",INDEX(LdBMember,$N3508))</f>
        <v/>
      </c>
      <c r="E3508" s="20">
        <f>IF($N3508="","",IFERROR(IF(VLOOKUP(INDEX(LdBMember,$N3508),AcctTblE,4,0)="","(بدون نام)",VLOOKUP(INDEX(LdBMember,$N3508),AcctTblE,4,0)),"—"))</f>
        <v/>
      </c>
      <c r="F3508" s="21">
        <f>IF($N3508="","",IF(INDEX(LdBAmt,$N3508)=0,"",INDEX(LdBAmt,$N3508)))</f>
        <v/>
      </c>
      <c r="G3508" s="32">
        <f>IF($N3508="","",IF(INDEX(LdBNote,$N3508)="","—",INDEX(LdBNote,$N3508)))</f>
        <v/>
      </c>
      <c r="N3508">
        <f>IFERROR(MATCH($C$5&amp;"|"&amp;RIGHT("000000"&amp;1488,6),LdBKeyG,0),"")</f>
        <v/>
      </c>
    </row>
    <row r="3509">
      <c r="A3509" s="10" t="n">
        <v>1489</v>
      </c>
      <c r="B3509" s="14">
        <f>IF($N3509="","",INDEX(LdBDate,$N3509))</f>
        <v/>
      </c>
      <c r="C3509" s="14">
        <f>IF($N3509="","",IF(INDEX(LdBId,$N3509)="","—",INDEX(LdBId,$N3509)))</f>
        <v/>
      </c>
      <c r="D3509" s="14">
        <f>IF($N3509="","",INDEX(LdBMember,$N3509))</f>
        <v/>
      </c>
      <c r="E3509" s="14">
        <f>IF($N3509="","",IFERROR(IF(VLOOKUP(INDEX(LdBMember,$N3509),AcctTblE,4,0)="","(بدون نام)",VLOOKUP(INDEX(LdBMember,$N3509),AcctTblE,4,0)),"—"))</f>
        <v/>
      </c>
      <c r="F3509" s="16">
        <f>IF($N3509="","",IF(INDEX(LdBAmt,$N3509)=0,"",INDEX(LdBAmt,$N3509)))</f>
        <v/>
      </c>
      <c r="G3509" s="30">
        <f>IF($N3509="","",IF(INDEX(LdBNote,$N3509)="","—",INDEX(LdBNote,$N3509)))</f>
        <v/>
      </c>
      <c r="N3509">
        <f>IFERROR(MATCH($C$5&amp;"|"&amp;RIGHT("000000"&amp;1489,6),LdBKeyG,0),"")</f>
        <v/>
      </c>
    </row>
    <row r="3510">
      <c r="A3510" s="19" t="n">
        <v>1490</v>
      </c>
      <c r="B3510" s="20">
        <f>IF($N3510="","",INDEX(LdBDate,$N3510))</f>
        <v/>
      </c>
      <c r="C3510" s="20">
        <f>IF($N3510="","",IF(INDEX(LdBId,$N3510)="","—",INDEX(LdBId,$N3510)))</f>
        <v/>
      </c>
      <c r="D3510" s="20">
        <f>IF($N3510="","",INDEX(LdBMember,$N3510))</f>
        <v/>
      </c>
      <c r="E3510" s="20">
        <f>IF($N3510="","",IFERROR(IF(VLOOKUP(INDEX(LdBMember,$N3510),AcctTblE,4,0)="","(بدون نام)",VLOOKUP(INDEX(LdBMember,$N3510),AcctTblE,4,0)),"—"))</f>
        <v/>
      </c>
      <c r="F3510" s="21">
        <f>IF($N3510="","",IF(INDEX(LdBAmt,$N3510)=0,"",INDEX(LdBAmt,$N3510)))</f>
        <v/>
      </c>
      <c r="G3510" s="32">
        <f>IF($N3510="","",IF(INDEX(LdBNote,$N3510)="","—",INDEX(LdBNote,$N3510)))</f>
        <v/>
      </c>
      <c r="N3510">
        <f>IFERROR(MATCH($C$5&amp;"|"&amp;RIGHT("000000"&amp;1490,6),LdBKeyG,0),"")</f>
        <v/>
      </c>
    </row>
    <row r="3511">
      <c r="A3511" s="10" t="n">
        <v>1491</v>
      </c>
      <c r="B3511" s="14">
        <f>IF($N3511="","",INDEX(LdBDate,$N3511))</f>
        <v/>
      </c>
      <c r="C3511" s="14">
        <f>IF($N3511="","",IF(INDEX(LdBId,$N3511)="","—",INDEX(LdBId,$N3511)))</f>
        <v/>
      </c>
      <c r="D3511" s="14">
        <f>IF($N3511="","",INDEX(LdBMember,$N3511))</f>
        <v/>
      </c>
      <c r="E3511" s="14">
        <f>IF($N3511="","",IFERROR(IF(VLOOKUP(INDEX(LdBMember,$N3511),AcctTblE,4,0)="","(بدون نام)",VLOOKUP(INDEX(LdBMember,$N3511),AcctTblE,4,0)),"—"))</f>
        <v/>
      </c>
      <c r="F3511" s="16">
        <f>IF($N3511="","",IF(INDEX(LdBAmt,$N3511)=0,"",INDEX(LdBAmt,$N3511)))</f>
        <v/>
      </c>
      <c r="G3511" s="30">
        <f>IF($N3511="","",IF(INDEX(LdBNote,$N3511)="","—",INDEX(LdBNote,$N3511)))</f>
        <v/>
      </c>
      <c r="N3511">
        <f>IFERROR(MATCH($C$5&amp;"|"&amp;RIGHT("000000"&amp;1491,6),LdBKeyG,0),"")</f>
        <v/>
      </c>
    </row>
    <row r="3512">
      <c r="A3512" s="19" t="n">
        <v>1492</v>
      </c>
      <c r="B3512" s="20">
        <f>IF($N3512="","",INDEX(LdBDate,$N3512))</f>
        <v/>
      </c>
      <c r="C3512" s="20">
        <f>IF($N3512="","",IF(INDEX(LdBId,$N3512)="","—",INDEX(LdBId,$N3512)))</f>
        <v/>
      </c>
      <c r="D3512" s="20">
        <f>IF($N3512="","",INDEX(LdBMember,$N3512))</f>
        <v/>
      </c>
      <c r="E3512" s="20">
        <f>IF($N3512="","",IFERROR(IF(VLOOKUP(INDEX(LdBMember,$N3512),AcctTblE,4,0)="","(بدون نام)",VLOOKUP(INDEX(LdBMember,$N3512),AcctTblE,4,0)),"—"))</f>
        <v/>
      </c>
      <c r="F3512" s="21">
        <f>IF($N3512="","",IF(INDEX(LdBAmt,$N3512)=0,"",INDEX(LdBAmt,$N3512)))</f>
        <v/>
      </c>
      <c r="G3512" s="32">
        <f>IF($N3512="","",IF(INDEX(LdBNote,$N3512)="","—",INDEX(LdBNote,$N3512)))</f>
        <v/>
      </c>
      <c r="N3512">
        <f>IFERROR(MATCH($C$5&amp;"|"&amp;RIGHT("000000"&amp;1492,6),LdBKeyG,0),"")</f>
        <v/>
      </c>
    </row>
    <row r="3513">
      <c r="A3513" s="10" t="n">
        <v>1493</v>
      </c>
      <c r="B3513" s="14">
        <f>IF($N3513="","",INDEX(LdBDate,$N3513))</f>
        <v/>
      </c>
      <c r="C3513" s="14">
        <f>IF($N3513="","",IF(INDEX(LdBId,$N3513)="","—",INDEX(LdBId,$N3513)))</f>
        <v/>
      </c>
      <c r="D3513" s="14">
        <f>IF($N3513="","",INDEX(LdBMember,$N3513))</f>
        <v/>
      </c>
      <c r="E3513" s="14">
        <f>IF($N3513="","",IFERROR(IF(VLOOKUP(INDEX(LdBMember,$N3513),AcctTblE,4,0)="","(بدون نام)",VLOOKUP(INDEX(LdBMember,$N3513),AcctTblE,4,0)),"—"))</f>
        <v/>
      </c>
      <c r="F3513" s="16">
        <f>IF($N3513="","",IF(INDEX(LdBAmt,$N3513)=0,"",INDEX(LdBAmt,$N3513)))</f>
        <v/>
      </c>
      <c r="G3513" s="30">
        <f>IF($N3513="","",IF(INDEX(LdBNote,$N3513)="","—",INDEX(LdBNote,$N3513)))</f>
        <v/>
      </c>
      <c r="N3513">
        <f>IFERROR(MATCH($C$5&amp;"|"&amp;RIGHT("000000"&amp;1493,6),LdBKeyG,0),"")</f>
        <v/>
      </c>
    </row>
    <row r="3514">
      <c r="A3514" s="19" t="n">
        <v>1494</v>
      </c>
      <c r="B3514" s="20">
        <f>IF($N3514="","",INDEX(LdBDate,$N3514))</f>
        <v/>
      </c>
      <c r="C3514" s="20">
        <f>IF($N3514="","",IF(INDEX(LdBId,$N3514)="","—",INDEX(LdBId,$N3514)))</f>
        <v/>
      </c>
      <c r="D3514" s="20">
        <f>IF($N3514="","",INDEX(LdBMember,$N3514))</f>
        <v/>
      </c>
      <c r="E3514" s="20">
        <f>IF($N3514="","",IFERROR(IF(VLOOKUP(INDEX(LdBMember,$N3514),AcctTblE,4,0)="","(بدون نام)",VLOOKUP(INDEX(LdBMember,$N3514),AcctTblE,4,0)),"—"))</f>
        <v/>
      </c>
      <c r="F3514" s="21">
        <f>IF($N3514="","",IF(INDEX(LdBAmt,$N3514)=0,"",INDEX(LdBAmt,$N3514)))</f>
        <v/>
      </c>
      <c r="G3514" s="32">
        <f>IF($N3514="","",IF(INDEX(LdBNote,$N3514)="","—",INDEX(LdBNote,$N3514)))</f>
        <v/>
      </c>
      <c r="N3514">
        <f>IFERROR(MATCH($C$5&amp;"|"&amp;RIGHT("000000"&amp;1494,6),LdBKeyG,0),"")</f>
        <v/>
      </c>
    </row>
    <row r="3515">
      <c r="A3515" s="10" t="n">
        <v>1495</v>
      </c>
      <c r="B3515" s="14">
        <f>IF($N3515="","",INDEX(LdBDate,$N3515))</f>
        <v/>
      </c>
      <c r="C3515" s="14">
        <f>IF($N3515="","",IF(INDEX(LdBId,$N3515)="","—",INDEX(LdBId,$N3515)))</f>
        <v/>
      </c>
      <c r="D3515" s="14">
        <f>IF($N3515="","",INDEX(LdBMember,$N3515))</f>
        <v/>
      </c>
      <c r="E3515" s="14">
        <f>IF($N3515="","",IFERROR(IF(VLOOKUP(INDEX(LdBMember,$N3515),AcctTblE,4,0)="","(بدون نام)",VLOOKUP(INDEX(LdBMember,$N3515),AcctTblE,4,0)),"—"))</f>
        <v/>
      </c>
      <c r="F3515" s="16">
        <f>IF($N3515="","",IF(INDEX(LdBAmt,$N3515)=0,"",INDEX(LdBAmt,$N3515)))</f>
        <v/>
      </c>
      <c r="G3515" s="30">
        <f>IF($N3515="","",IF(INDEX(LdBNote,$N3515)="","—",INDEX(LdBNote,$N3515)))</f>
        <v/>
      </c>
      <c r="N3515">
        <f>IFERROR(MATCH($C$5&amp;"|"&amp;RIGHT("000000"&amp;1495,6),LdBKeyG,0),"")</f>
        <v/>
      </c>
    </row>
    <row r="3516">
      <c r="A3516" s="19" t="n">
        <v>1496</v>
      </c>
      <c r="B3516" s="20">
        <f>IF($N3516="","",INDEX(LdBDate,$N3516))</f>
        <v/>
      </c>
      <c r="C3516" s="20">
        <f>IF($N3516="","",IF(INDEX(LdBId,$N3516)="","—",INDEX(LdBId,$N3516)))</f>
        <v/>
      </c>
      <c r="D3516" s="20">
        <f>IF($N3516="","",INDEX(LdBMember,$N3516))</f>
        <v/>
      </c>
      <c r="E3516" s="20">
        <f>IF($N3516="","",IFERROR(IF(VLOOKUP(INDEX(LdBMember,$N3516),AcctTblE,4,0)="","(بدون نام)",VLOOKUP(INDEX(LdBMember,$N3516),AcctTblE,4,0)),"—"))</f>
        <v/>
      </c>
      <c r="F3516" s="21">
        <f>IF($N3516="","",IF(INDEX(LdBAmt,$N3516)=0,"",INDEX(LdBAmt,$N3516)))</f>
        <v/>
      </c>
      <c r="G3516" s="32">
        <f>IF($N3516="","",IF(INDEX(LdBNote,$N3516)="","—",INDEX(LdBNote,$N3516)))</f>
        <v/>
      </c>
      <c r="N3516">
        <f>IFERROR(MATCH($C$5&amp;"|"&amp;RIGHT("000000"&amp;1496,6),LdBKeyG,0),"")</f>
        <v/>
      </c>
    </row>
    <row r="3517">
      <c r="A3517" s="10" t="n">
        <v>1497</v>
      </c>
      <c r="B3517" s="14">
        <f>IF($N3517="","",INDEX(LdBDate,$N3517))</f>
        <v/>
      </c>
      <c r="C3517" s="14">
        <f>IF($N3517="","",IF(INDEX(LdBId,$N3517)="","—",INDEX(LdBId,$N3517)))</f>
        <v/>
      </c>
      <c r="D3517" s="14">
        <f>IF($N3517="","",INDEX(LdBMember,$N3517))</f>
        <v/>
      </c>
      <c r="E3517" s="14">
        <f>IF($N3517="","",IFERROR(IF(VLOOKUP(INDEX(LdBMember,$N3517),AcctTblE,4,0)="","(بدون نام)",VLOOKUP(INDEX(LdBMember,$N3517),AcctTblE,4,0)),"—"))</f>
        <v/>
      </c>
      <c r="F3517" s="16">
        <f>IF($N3517="","",IF(INDEX(LdBAmt,$N3517)=0,"",INDEX(LdBAmt,$N3517)))</f>
        <v/>
      </c>
      <c r="G3517" s="30">
        <f>IF($N3517="","",IF(INDEX(LdBNote,$N3517)="","—",INDEX(LdBNote,$N3517)))</f>
        <v/>
      </c>
      <c r="N3517">
        <f>IFERROR(MATCH($C$5&amp;"|"&amp;RIGHT("000000"&amp;1497,6),LdBKeyG,0),"")</f>
        <v/>
      </c>
    </row>
    <row r="3518">
      <c r="A3518" s="19" t="n">
        <v>1498</v>
      </c>
      <c r="B3518" s="20">
        <f>IF($N3518="","",INDEX(LdBDate,$N3518))</f>
        <v/>
      </c>
      <c r="C3518" s="20">
        <f>IF($N3518="","",IF(INDEX(LdBId,$N3518)="","—",INDEX(LdBId,$N3518)))</f>
        <v/>
      </c>
      <c r="D3518" s="20">
        <f>IF($N3518="","",INDEX(LdBMember,$N3518))</f>
        <v/>
      </c>
      <c r="E3518" s="20">
        <f>IF($N3518="","",IFERROR(IF(VLOOKUP(INDEX(LdBMember,$N3518),AcctTblE,4,0)="","(بدون نام)",VLOOKUP(INDEX(LdBMember,$N3518),AcctTblE,4,0)),"—"))</f>
        <v/>
      </c>
      <c r="F3518" s="21">
        <f>IF($N3518="","",IF(INDEX(LdBAmt,$N3518)=0,"",INDEX(LdBAmt,$N3518)))</f>
        <v/>
      </c>
      <c r="G3518" s="32">
        <f>IF($N3518="","",IF(INDEX(LdBNote,$N3518)="","—",INDEX(LdBNote,$N3518)))</f>
        <v/>
      </c>
      <c r="N3518">
        <f>IFERROR(MATCH($C$5&amp;"|"&amp;RIGHT("000000"&amp;1498,6),LdBKeyG,0),"")</f>
        <v/>
      </c>
    </row>
    <row r="3519">
      <c r="A3519" s="10" t="n">
        <v>1499</v>
      </c>
      <c r="B3519" s="14">
        <f>IF($N3519="","",INDEX(LdBDate,$N3519))</f>
        <v/>
      </c>
      <c r="C3519" s="14">
        <f>IF($N3519="","",IF(INDEX(LdBId,$N3519)="","—",INDEX(LdBId,$N3519)))</f>
        <v/>
      </c>
      <c r="D3519" s="14">
        <f>IF($N3519="","",INDEX(LdBMember,$N3519))</f>
        <v/>
      </c>
      <c r="E3519" s="14">
        <f>IF($N3519="","",IFERROR(IF(VLOOKUP(INDEX(LdBMember,$N3519),AcctTblE,4,0)="","(بدون نام)",VLOOKUP(INDEX(LdBMember,$N3519),AcctTblE,4,0)),"—"))</f>
        <v/>
      </c>
      <c r="F3519" s="16">
        <f>IF($N3519="","",IF(INDEX(LdBAmt,$N3519)=0,"",INDEX(LdBAmt,$N3519)))</f>
        <v/>
      </c>
      <c r="G3519" s="30">
        <f>IF($N3519="","",IF(INDEX(LdBNote,$N3519)="","—",INDEX(LdBNote,$N3519)))</f>
        <v/>
      </c>
      <c r="N3519">
        <f>IFERROR(MATCH($C$5&amp;"|"&amp;RIGHT("000000"&amp;1499,6),LdBKeyG,0),"")</f>
        <v/>
      </c>
    </row>
    <row r="3520">
      <c r="A3520" s="19" t="n">
        <v>1500</v>
      </c>
      <c r="B3520" s="20">
        <f>IF($N3520="","",INDEX(LdBDate,$N3520))</f>
        <v/>
      </c>
      <c r="C3520" s="20">
        <f>IF($N3520="","",IF(INDEX(LdBId,$N3520)="","—",INDEX(LdBId,$N3520)))</f>
        <v/>
      </c>
      <c r="D3520" s="20">
        <f>IF($N3520="","",INDEX(LdBMember,$N3520))</f>
        <v/>
      </c>
      <c r="E3520" s="20">
        <f>IF($N3520="","",IFERROR(IF(VLOOKUP(INDEX(LdBMember,$N3520),AcctTblE,4,0)="","(بدون نام)",VLOOKUP(INDEX(LdBMember,$N3520),AcctTblE,4,0)),"—"))</f>
        <v/>
      </c>
      <c r="F3520" s="21">
        <f>IF($N3520="","",IF(INDEX(LdBAmt,$N3520)=0,"",INDEX(LdBAmt,$N3520)))</f>
        <v/>
      </c>
      <c r="G3520" s="32">
        <f>IF($N3520="","",IF(INDEX(LdBNote,$N3520)="","—",INDEX(LdBNote,$N3520)))</f>
        <v/>
      </c>
      <c r="N3520">
        <f>IFERROR(MATCH($C$5&amp;"|"&amp;RIGHT("000000"&amp;1500,6),LdBKeyG,0),"")</f>
        <v/>
      </c>
    </row>
    <row r="3521">
      <c r="A3521" s="10" t="n">
        <v>1501</v>
      </c>
      <c r="B3521" s="14">
        <f>IF($N3521="","",INDEX(LdBDate,$N3521))</f>
        <v/>
      </c>
      <c r="C3521" s="14">
        <f>IF($N3521="","",IF(INDEX(LdBId,$N3521)="","—",INDEX(LdBId,$N3521)))</f>
        <v/>
      </c>
      <c r="D3521" s="14">
        <f>IF($N3521="","",INDEX(LdBMember,$N3521))</f>
        <v/>
      </c>
      <c r="E3521" s="14">
        <f>IF($N3521="","",IFERROR(IF(VLOOKUP(INDEX(LdBMember,$N3521),AcctTblE,4,0)="","(بدون نام)",VLOOKUP(INDEX(LdBMember,$N3521),AcctTblE,4,0)),"—"))</f>
        <v/>
      </c>
      <c r="F3521" s="16">
        <f>IF($N3521="","",IF(INDEX(LdBAmt,$N3521)=0,"",INDEX(LdBAmt,$N3521)))</f>
        <v/>
      </c>
      <c r="G3521" s="30">
        <f>IF($N3521="","",IF(INDEX(LdBNote,$N3521)="","—",INDEX(LdBNote,$N3521)))</f>
        <v/>
      </c>
      <c r="N3521">
        <f>IFERROR(MATCH($C$5&amp;"|"&amp;RIGHT("000000"&amp;1501,6),LdBKeyG,0),"")</f>
        <v/>
      </c>
    </row>
    <row r="3522">
      <c r="A3522" s="19" t="n">
        <v>1502</v>
      </c>
      <c r="B3522" s="20">
        <f>IF($N3522="","",INDEX(LdBDate,$N3522))</f>
        <v/>
      </c>
      <c r="C3522" s="20">
        <f>IF($N3522="","",IF(INDEX(LdBId,$N3522)="","—",INDEX(LdBId,$N3522)))</f>
        <v/>
      </c>
      <c r="D3522" s="20">
        <f>IF($N3522="","",INDEX(LdBMember,$N3522))</f>
        <v/>
      </c>
      <c r="E3522" s="20">
        <f>IF($N3522="","",IFERROR(IF(VLOOKUP(INDEX(LdBMember,$N3522),AcctTblE,4,0)="","(بدون نام)",VLOOKUP(INDEX(LdBMember,$N3522),AcctTblE,4,0)),"—"))</f>
        <v/>
      </c>
      <c r="F3522" s="21">
        <f>IF($N3522="","",IF(INDEX(LdBAmt,$N3522)=0,"",INDEX(LdBAmt,$N3522)))</f>
        <v/>
      </c>
      <c r="G3522" s="32">
        <f>IF($N3522="","",IF(INDEX(LdBNote,$N3522)="","—",INDEX(LdBNote,$N3522)))</f>
        <v/>
      </c>
      <c r="N3522">
        <f>IFERROR(MATCH($C$5&amp;"|"&amp;RIGHT("000000"&amp;1502,6),LdBKeyG,0),"")</f>
        <v/>
      </c>
    </row>
    <row r="3523">
      <c r="A3523" s="10" t="n">
        <v>1503</v>
      </c>
      <c r="B3523" s="14">
        <f>IF($N3523="","",INDEX(LdBDate,$N3523))</f>
        <v/>
      </c>
      <c r="C3523" s="14">
        <f>IF($N3523="","",IF(INDEX(LdBId,$N3523)="","—",INDEX(LdBId,$N3523)))</f>
        <v/>
      </c>
      <c r="D3523" s="14">
        <f>IF($N3523="","",INDEX(LdBMember,$N3523))</f>
        <v/>
      </c>
      <c r="E3523" s="14">
        <f>IF($N3523="","",IFERROR(IF(VLOOKUP(INDEX(LdBMember,$N3523),AcctTblE,4,0)="","(بدون نام)",VLOOKUP(INDEX(LdBMember,$N3523),AcctTblE,4,0)),"—"))</f>
        <v/>
      </c>
      <c r="F3523" s="16">
        <f>IF($N3523="","",IF(INDEX(LdBAmt,$N3523)=0,"",INDEX(LdBAmt,$N3523)))</f>
        <v/>
      </c>
      <c r="G3523" s="30">
        <f>IF($N3523="","",IF(INDEX(LdBNote,$N3523)="","—",INDEX(LdBNote,$N3523)))</f>
        <v/>
      </c>
      <c r="N3523">
        <f>IFERROR(MATCH($C$5&amp;"|"&amp;RIGHT("000000"&amp;1503,6),LdBKeyG,0),"")</f>
        <v/>
      </c>
    </row>
    <row r="3524">
      <c r="A3524" s="19" t="n">
        <v>1504</v>
      </c>
      <c r="B3524" s="20">
        <f>IF($N3524="","",INDEX(LdBDate,$N3524))</f>
        <v/>
      </c>
      <c r="C3524" s="20">
        <f>IF($N3524="","",IF(INDEX(LdBId,$N3524)="","—",INDEX(LdBId,$N3524)))</f>
        <v/>
      </c>
      <c r="D3524" s="20">
        <f>IF($N3524="","",INDEX(LdBMember,$N3524))</f>
        <v/>
      </c>
      <c r="E3524" s="20">
        <f>IF($N3524="","",IFERROR(IF(VLOOKUP(INDEX(LdBMember,$N3524),AcctTblE,4,0)="","(بدون نام)",VLOOKUP(INDEX(LdBMember,$N3524),AcctTblE,4,0)),"—"))</f>
        <v/>
      </c>
      <c r="F3524" s="21">
        <f>IF($N3524="","",IF(INDEX(LdBAmt,$N3524)=0,"",INDEX(LdBAmt,$N3524)))</f>
        <v/>
      </c>
      <c r="G3524" s="32">
        <f>IF($N3524="","",IF(INDEX(LdBNote,$N3524)="","—",INDEX(LdBNote,$N3524)))</f>
        <v/>
      </c>
      <c r="N3524">
        <f>IFERROR(MATCH($C$5&amp;"|"&amp;RIGHT("000000"&amp;1504,6),LdBKeyG,0),"")</f>
        <v/>
      </c>
    </row>
    <row r="3525">
      <c r="A3525" s="10" t="n">
        <v>1505</v>
      </c>
      <c r="B3525" s="14">
        <f>IF($N3525="","",INDEX(LdBDate,$N3525))</f>
        <v/>
      </c>
      <c r="C3525" s="14">
        <f>IF($N3525="","",IF(INDEX(LdBId,$N3525)="","—",INDEX(LdBId,$N3525)))</f>
        <v/>
      </c>
      <c r="D3525" s="14">
        <f>IF($N3525="","",INDEX(LdBMember,$N3525))</f>
        <v/>
      </c>
      <c r="E3525" s="14">
        <f>IF($N3525="","",IFERROR(IF(VLOOKUP(INDEX(LdBMember,$N3525),AcctTblE,4,0)="","(بدون نام)",VLOOKUP(INDEX(LdBMember,$N3525),AcctTblE,4,0)),"—"))</f>
        <v/>
      </c>
      <c r="F3525" s="16">
        <f>IF($N3525="","",IF(INDEX(LdBAmt,$N3525)=0,"",INDEX(LdBAmt,$N3525)))</f>
        <v/>
      </c>
      <c r="G3525" s="30">
        <f>IF($N3525="","",IF(INDEX(LdBNote,$N3525)="","—",INDEX(LdBNote,$N3525)))</f>
        <v/>
      </c>
      <c r="N3525">
        <f>IFERROR(MATCH($C$5&amp;"|"&amp;RIGHT("000000"&amp;1505,6),LdBKeyG,0),"")</f>
        <v/>
      </c>
    </row>
    <row r="3526">
      <c r="A3526" s="19" t="n">
        <v>1506</v>
      </c>
      <c r="B3526" s="20">
        <f>IF($N3526="","",INDEX(LdBDate,$N3526))</f>
        <v/>
      </c>
      <c r="C3526" s="20">
        <f>IF($N3526="","",IF(INDEX(LdBId,$N3526)="","—",INDEX(LdBId,$N3526)))</f>
        <v/>
      </c>
      <c r="D3526" s="20">
        <f>IF($N3526="","",INDEX(LdBMember,$N3526))</f>
        <v/>
      </c>
      <c r="E3526" s="20">
        <f>IF($N3526="","",IFERROR(IF(VLOOKUP(INDEX(LdBMember,$N3526),AcctTblE,4,0)="","(بدون نام)",VLOOKUP(INDEX(LdBMember,$N3526),AcctTblE,4,0)),"—"))</f>
        <v/>
      </c>
      <c r="F3526" s="21">
        <f>IF($N3526="","",IF(INDEX(LdBAmt,$N3526)=0,"",INDEX(LdBAmt,$N3526)))</f>
        <v/>
      </c>
      <c r="G3526" s="32">
        <f>IF($N3526="","",IF(INDEX(LdBNote,$N3526)="","—",INDEX(LdBNote,$N3526)))</f>
        <v/>
      </c>
      <c r="N3526">
        <f>IFERROR(MATCH($C$5&amp;"|"&amp;RIGHT("000000"&amp;1506,6),LdBKeyG,0),"")</f>
        <v/>
      </c>
    </row>
    <row r="3527">
      <c r="A3527" s="10" t="n">
        <v>1507</v>
      </c>
      <c r="B3527" s="14">
        <f>IF($N3527="","",INDEX(LdBDate,$N3527))</f>
        <v/>
      </c>
      <c r="C3527" s="14">
        <f>IF($N3527="","",IF(INDEX(LdBId,$N3527)="","—",INDEX(LdBId,$N3527)))</f>
        <v/>
      </c>
      <c r="D3527" s="14">
        <f>IF($N3527="","",INDEX(LdBMember,$N3527))</f>
        <v/>
      </c>
      <c r="E3527" s="14">
        <f>IF($N3527="","",IFERROR(IF(VLOOKUP(INDEX(LdBMember,$N3527),AcctTblE,4,0)="","(بدون نام)",VLOOKUP(INDEX(LdBMember,$N3527),AcctTblE,4,0)),"—"))</f>
        <v/>
      </c>
      <c r="F3527" s="16">
        <f>IF($N3527="","",IF(INDEX(LdBAmt,$N3527)=0,"",INDEX(LdBAmt,$N3527)))</f>
        <v/>
      </c>
      <c r="G3527" s="30">
        <f>IF($N3527="","",IF(INDEX(LdBNote,$N3527)="","—",INDEX(LdBNote,$N3527)))</f>
        <v/>
      </c>
      <c r="N3527">
        <f>IFERROR(MATCH($C$5&amp;"|"&amp;RIGHT("000000"&amp;1507,6),LdBKeyG,0),"")</f>
        <v/>
      </c>
    </row>
    <row r="3528">
      <c r="A3528" s="19" t="n">
        <v>1508</v>
      </c>
      <c r="B3528" s="20">
        <f>IF($N3528="","",INDEX(LdBDate,$N3528))</f>
        <v/>
      </c>
      <c r="C3528" s="20">
        <f>IF($N3528="","",IF(INDEX(LdBId,$N3528)="","—",INDEX(LdBId,$N3528)))</f>
        <v/>
      </c>
      <c r="D3528" s="20">
        <f>IF($N3528="","",INDEX(LdBMember,$N3528))</f>
        <v/>
      </c>
      <c r="E3528" s="20">
        <f>IF($N3528="","",IFERROR(IF(VLOOKUP(INDEX(LdBMember,$N3528),AcctTblE,4,0)="","(بدون نام)",VLOOKUP(INDEX(LdBMember,$N3528),AcctTblE,4,0)),"—"))</f>
        <v/>
      </c>
      <c r="F3528" s="21">
        <f>IF($N3528="","",IF(INDEX(LdBAmt,$N3528)=0,"",INDEX(LdBAmt,$N3528)))</f>
        <v/>
      </c>
      <c r="G3528" s="32">
        <f>IF($N3528="","",IF(INDEX(LdBNote,$N3528)="","—",INDEX(LdBNote,$N3528)))</f>
        <v/>
      </c>
      <c r="N3528">
        <f>IFERROR(MATCH($C$5&amp;"|"&amp;RIGHT("000000"&amp;1508,6),LdBKeyG,0),"")</f>
        <v/>
      </c>
    </row>
    <row r="3529">
      <c r="A3529" s="10" t="n">
        <v>1509</v>
      </c>
      <c r="B3529" s="14">
        <f>IF($N3529="","",INDEX(LdBDate,$N3529))</f>
        <v/>
      </c>
      <c r="C3529" s="14">
        <f>IF($N3529="","",IF(INDEX(LdBId,$N3529)="","—",INDEX(LdBId,$N3529)))</f>
        <v/>
      </c>
      <c r="D3529" s="14">
        <f>IF($N3529="","",INDEX(LdBMember,$N3529))</f>
        <v/>
      </c>
      <c r="E3529" s="14">
        <f>IF($N3529="","",IFERROR(IF(VLOOKUP(INDEX(LdBMember,$N3529),AcctTblE,4,0)="","(بدون نام)",VLOOKUP(INDEX(LdBMember,$N3529),AcctTblE,4,0)),"—"))</f>
        <v/>
      </c>
      <c r="F3529" s="16">
        <f>IF($N3529="","",IF(INDEX(LdBAmt,$N3529)=0,"",INDEX(LdBAmt,$N3529)))</f>
        <v/>
      </c>
      <c r="G3529" s="30">
        <f>IF($N3529="","",IF(INDEX(LdBNote,$N3529)="","—",INDEX(LdBNote,$N3529)))</f>
        <v/>
      </c>
      <c r="N3529">
        <f>IFERROR(MATCH($C$5&amp;"|"&amp;RIGHT("000000"&amp;1509,6),LdBKeyG,0),"")</f>
        <v/>
      </c>
    </row>
    <row r="3530">
      <c r="A3530" s="19" t="n">
        <v>1510</v>
      </c>
      <c r="B3530" s="20">
        <f>IF($N3530="","",INDEX(LdBDate,$N3530))</f>
        <v/>
      </c>
      <c r="C3530" s="20">
        <f>IF($N3530="","",IF(INDEX(LdBId,$N3530)="","—",INDEX(LdBId,$N3530)))</f>
        <v/>
      </c>
      <c r="D3530" s="20">
        <f>IF($N3530="","",INDEX(LdBMember,$N3530))</f>
        <v/>
      </c>
      <c r="E3530" s="20">
        <f>IF($N3530="","",IFERROR(IF(VLOOKUP(INDEX(LdBMember,$N3530),AcctTblE,4,0)="","(بدون نام)",VLOOKUP(INDEX(LdBMember,$N3530),AcctTblE,4,0)),"—"))</f>
        <v/>
      </c>
      <c r="F3530" s="21">
        <f>IF($N3530="","",IF(INDEX(LdBAmt,$N3530)=0,"",INDEX(LdBAmt,$N3530)))</f>
        <v/>
      </c>
      <c r="G3530" s="32">
        <f>IF($N3530="","",IF(INDEX(LdBNote,$N3530)="","—",INDEX(LdBNote,$N3530)))</f>
        <v/>
      </c>
      <c r="N3530">
        <f>IFERROR(MATCH($C$5&amp;"|"&amp;RIGHT("000000"&amp;1510,6),LdBKeyG,0),"")</f>
        <v/>
      </c>
    </row>
    <row r="3531">
      <c r="A3531" s="10" t="n">
        <v>1511</v>
      </c>
      <c r="B3531" s="14">
        <f>IF($N3531="","",INDEX(LdBDate,$N3531))</f>
        <v/>
      </c>
      <c r="C3531" s="14">
        <f>IF($N3531="","",IF(INDEX(LdBId,$N3531)="","—",INDEX(LdBId,$N3531)))</f>
        <v/>
      </c>
      <c r="D3531" s="14">
        <f>IF($N3531="","",INDEX(LdBMember,$N3531))</f>
        <v/>
      </c>
      <c r="E3531" s="14">
        <f>IF($N3531="","",IFERROR(IF(VLOOKUP(INDEX(LdBMember,$N3531),AcctTblE,4,0)="","(بدون نام)",VLOOKUP(INDEX(LdBMember,$N3531),AcctTblE,4,0)),"—"))</f>
        <v/>
      </c>
      <c r="F3531" s="16">
        <f>IF($N3531="","",IF(INDEX(LdBAmt,$N3531)=0,"",INDEX(LdBAmt,$N3531)))</f>
        <v/>
      </c>
      <c r="G3531" s="30">
        <f>IF($N3531="","",IF(INDEX(LdBNote,$N3531)="","—",INDEX(LdBNote,$N3531)))</f>
        <v/>
      </c>
      <c r="N3531">
        <f>IFERROR(MATCH($C$5&amp;"|"&amp;RIGHT("000000"&amp;1511,6),LdBKeyG,0),"")</f>
        <v/>
      </c>
    </row>
    <row r="3532">
      <c r="A3532" s="19" t="n">
        <v>1512</v>
      </c>
      <c r="B3532" s="20">
        <f>IF($N3532="","",INDEX(LdBDate,$N3532))</f>
        <v/>
      </c>
      <c r="C3532" s="20">
        <f>IF($N3532="","",IF(INDEX(LdBId,$N3532)="","—",INDEX(LdBId,$N3532)))</f>
        <v/>
      </c>
      <c r="D3532" s="20">
        <f>IF($N3532="","",INDEX(LdBMember,$N3532))</f>
        <v/>
      </c>
      <c r="E3532" s="20">
        <f>IF($N3532="","",IFERROR(IF(VLOOKUP(INDEX(LdBMember,$N3532),AcctTblE,4,0)="","(بدون نام)",VLOOKUP(INDEX(LdBMember,$N3532),AcctTblE,4,0)),"—"))</f>
        <v/>
      </c>
      <c r="F3532" s="21">
        <f>IF($N3532="","",IF(INDEX(LdBAmt,$N3532)=0,"",INDEX(LdBAmt,$N3532)))</f>
        <v/>
      </c>
      <c r="G3532" s="32">
        <f>IF($N3532="","",IF(INDEX(LdBNote,$N3532)="","—",INDEX(LdBNote,$N3532)))</f>
        <v/>
      </c>
      <c r="N3532">
        <f>IFERROR(MATCH($C$5&amp;"|"&amp;RIGHT("000000"&amp;1512,6),LdBKeyG,0),"")</f>
        <v/>
      </c>
    </row>
    <row r="3533">
      <c r="A3533" s="10" t="n">
        <v>1513</v>
      </c>
      <c r="B3533" s="14">
        <f>IF($N3533="","",INDEX(LdBDate,$N3533))</f>
        <v/>
      </c>
      <c r="C3533" s="14">
        <f>IF($N3533="","",IF(INDEX(LdBId,$N3533)="","—",INDEX(LdBId,$N3533)))</f>
        <v/>
      </c>
      <c r="D3533" s="14">
        <f>IF($N3533="","",INDEX(LdBMember,$N3533))</f>
        <v/>
      </c>
      <c r="E3533" s="14">
        <f>IF($N3533="","",IFERROR(IF(VLOOKUP(INDEX(LdBMember,$N3533),AcctTblE,4,0)="","(بدون نام)",VLOOKUP(INDEX(LdBMember,$N3533),AcctTblE,4,0)),"—"))</f>
        <v/>
      </c>
      <c r="F3533" s="16">
        <f>IF($N3533="","",IF(INDEX(LdBAmt,$N3533)=0,"",INDEX(LdBAmt,$N3533)))</f>
        <v/>
      </c>
      <c r="G3533" s="30">
        <f>IF($N3533="","",IF(INDEX(LdBNote,$N3533)="","—",INDEX(LdBNote,$N3533)))</f>
        <v/>
      </c>
      <c r="N3533">
        <f>IFERROR(MATCH($C$5&amp;"|"&amp;RIGHT("000000"&amp;1513,6),LdBKeyG,0),"")</f>
        <v/>
      </c>
    </row>
    <row r="3534">
      <c r="A3534" s="19" t="n">
        <v>1514</v>
      </c>
      <c r="B3534" s="20">
        <f>IF($N3534="","",INDEX(LdBDate,$N3534))</f>
        <v/>
      </c>
      <c r="C3534" s="20">
        <f>IF($N3534="","",IF(INDEX(LdBId,$N3534)="","—",INDEX(LdBId,$N3534)))</f>
        <v/>
      </c>
      <c r="D3534" s="20">
        <f>IF($N3534="","",INDEX(LdBMember,$N3534))</f>
        <v/>
      </c>
      <c r="E3534" s="20">
        <f>IF($N3534="","",IFERROR(IF(VLOOKUP(INDEX(LdBMember,$N3534),AcctTblE,4,0)="","(بدون نام)",VLOOKUP(INDEX(LdBMember,$N3534),AcctTblE,4,0)),"—"))</f>
        <v/>
      </c>
      <c r="F3534" s="21">
        <f>IF($N3534="","",IF(INDEX(LdBAmt,$N3534)=0,"",INDEX(LdBAmt,$N3534)))</f>
        <v/>
      </c>
      <c r="G3534" s="32">
        <f>IF($N3534="","",IF(INDEX(LdBNote,$N3534)="","—",INDEX(LdBNote,$N3534)))</f>
        <v/>
      </c>
      <c r="N3534">
        <f>IFERROR(MATCH($C$5&amp;"|"&amp;RIGHT("000000"&amp;1514,6),LdBKeyG,0),"")</f>
        <v/>
      </c>
    </row>
    <row r="3535">
      <c r="A3535" s="10" t="n">
        <v>1515</v>
      </c>
      <c r="B3535" s="14">
        <f>IF($N3535="","",INDEX(LdBDate,$N3535))</f>
        <v/>
      </c>
      <c r="C3535" s="14">
        <f>IF($N3535="","",IF(INDEX(LdBId,$N3535)="","—",INDEX(LdBId,$N3535)))</f>
        <v/>
      </c>
      <c r="D3535" s="14">
        <f>IF($N3535="","",INDEX(LdBMember,$N3535))</f>
        <v/>
      </c>
      <c r="E3535" s="14">
        <f>IF($N3535="","",IFERROR(IF(VLOOKUP(INDEX(LdBMember,$N3535),AcctTblE,4,0)="","(بدون نام)",VLOOKUP(INDEX(LdBMember,$N3535),AcctTblE,4,0)),"—"))</f>
        <v/>
      </c>
      <c r="F3535" s="16">
        <f>IF($N3535="","",IF(INDEX(LdBAmt,$N3535)=0,"",INDEX(LdBAmt,$N3535)))</f>
        <v/>
      </c>
      <c r="G3535" s="30">
        <f>IF($N3535="","",IF(INDEX(LdBNote,$N3535)="","—",INDEX(LdBNote,$N3535)))</f>
        <v/>
      </c>
      <c r="N3535">
        <f>IFERROR(MATCH($C$5&amp;"|"&amp;RIGHT("000000"&amp;1515,6),LdBKeyG,0),"")</f>
        <v/>
      </c>
    </row>
    <row r="3536">
      <c r="A3536" s="19" t="n">
        <v>1516</v>
      </c>
      <c r="B3536" s="20">
        <f>IF($N3536="","",INDEX(LdBDate,$N3536))</f>
        <v/>
      </c>
      <c r="C3536" s="20">
        <f>IF($N3536="","",IF(INDEX(LdBId,$N3536)="","—",INDEX(LdBId,$N3536)))</f>
        <v/>
      </c>
      <c r="D3536" s="20">
        <f>IF($N3536="","",INDEX(LdBMember,$N3536))</f>
        <v/>
      </c>
      <c r="E3536" s="20">
        <f>IF($N3536="","",IFERROR(IF(VLOOKUP(INDEX(LdBMember,$N3536),AcctTblE,4,0)="","(بدون نام)",VLOOKUP(INDEX(LdBMember,$N3536),AcctTblE,4,0)),"—"))</f>
        <v/>
      </c>
      <c r="F3536" s="21">
        <f>IF($N3536="","",IF(INDEX(LdBAmt,$N3536)=0,"",INDEX(LdBAmt,$N3536)))</f>
        <v/>
      </c>
      <c r="G3536" s="32">
        <f>IF($N3536="","",IF(INDEX(LdBNote,$N3536)="","—",INDEX(LdBNote,$N3536)))</f>
        <v/>
      </c>
      <c r="N3536">
        <f>IFERROR(MATCH($C$5&amp;"|"&amp;RIGHT("000000"&amp;1516,6),LdBKeyG,0),"")</f>
        <v/>
      </c>
    </row>
    <row r="3537">
      <c r="A3537" s="10" t="n">
        <v>1517</v>
      </c>
      <c r="B3537" s="14">
        <f>IF($N3537="","",INDEX(LdBDate,$N3537))</f>
        <v/>
      </c>
      <c r="C3537" s="14">
        <f>IF($N3537="","",IF(INDEX(LdBId,$N3537)="","—",INDEX(LdBId,$N3537)))</f>
        <v/>
      </c>
      <c r="D3537" s="14">
        <f>IF($N3537="","",INDEX(LdBMember,$N3537))</f>
        <v/>
      </c>
      <c r="E3537" s="14">
        <f>IF($N3537="","",IFERROR(IF(VLOOKUP(INDEX(LdBMember,$N3537),AcctTblE,4,0)="","(بدون نام)",VLOOKUP(INDEX(LdBMember,$N3537),AcctTblE,4,0)),"—"))</f>
        <v/>
      </c>
      <c r="F3537" s="16">
        <f>IF($N3537="","",IF(INDEX(LdBAmt,$N3537)=0,"",INDEX(LdBAmt,$N3537)))</f>
        <v/>
      </c>
      <c r="G3537" s="30">
        <f>IF($N3537="","",IF(INDEX(LdBNote,$N3537)="","—",INDEX(LdBNote,$N3537)))</f>
        <v/>
      </c>
      <c r="N3537">
        <f>IFERROR(MATCH($C$5&amp;"|"&amp;RIGHT("000000"&amp;1517,6),LdBKeyG,0),"")</f>
        <v/>
      </c>
    </row>
    <row r="3538">
      <c r="A3538" s="19" t="n">
        <v>1518</v>
      </c>
      <c r="B3538" s="20">
        <f>IF($N3538="","",INDEX(LdBDate,$N3538))</f>
        <v/>
      </c>
      <c r="C3538" s="20">
        <f>IF($N3538="","",IF(INDEX(LdBId,$N3538)="","—",INDEX(LdBId,$N3538)))</f>
        <v/>
      </c>
      <c r="D3538" s="20">
        <f>IF($N3538="","",INDEX(LdBMember,$N3538))</f>
        <v/>
      </c>
      <c r="E3538" s="20">
        <f>IF($N3538="","",IFERROR(IF(VLOOKUP(INDEX(LdBMember,$N3538),AcctTblE,4,0)="","(بدون نام)",VLOOKUP(INDEX(LdBMember,$N3538),AcctTblE,4,0)),"—"))</f>
        <v/>
      </c>
      <c r="F3538" s="21">
        <f>IF($N3538="","",IF(INDEX(LdBAmt,$N3538)=0,"",INDEX(LdBAmt,$N3538)))</f>
        <v/>
      </c>
      <c r="G3538" s="32">
        <f>IF($N3538="","",IF(INDEX(LdBNote,$N3538)="","—",INDEX(LdBNote,$N3538)))</f>
        <v/>
      </c>
      <c r="N3538">
        <f>IFERROR(MATCH($C$5&amp;"|"&amp;RIGHT("000000"&amp;1518,6),LdBKeyG,0),"")</f>
        <v/>
      </c>
    </row>
    <row r="3539">
      <c r="A3539" s="10" t="n">
        <v>1519</v>
      </c>
      <c r="B3539" s="14">
        <f>IF($N3539="","",INDEX(LdBDate,$N3539))</f>
        <v/>
      </c>
      <c r="C3539" s="14">
        <f>IF($N3539="","",IF(INDEX(LdBId,$N3539)="","—",INDEX(LdBId,$N3539)))</f>
        <v/>
      </c>
      <c r="D3539" s="14">
        <f>IF($N3539="","",INDEX(LdBMember,$N3539))</f>
        <v/>
      </c>
      <c r="E3539" s="14">
        <f>IF($N3539="","",IFERROR(IF(VLOOKUP(INDEX(LdBMember,$N3539),AcctTblE,4,0)="","(بدون نام)",VLOOKUP(INDEX(LdBMember,$N3539),AcctTblE,4,0)),"—"))</f>
        <v/>
      </c>
      <c r="F3539" s="16">
        <f>IF($N3539="","",IF(INDEX(LdBAmt,$N3539)=0,"",INDEX(LdBAmt,$N3539)))</f>
        <v/>
      </c>
      <c r="G3539" s="30">
        <f>IF($N3539="","",IF(INDEX(LdBNote,$N3539)="","—",INDEX(LdBNote,$N3539)))</f>
        <v/>
      </c>
      <c r="N3539">
        <f>IFERROR(MATCH($C$5&amp;"|"&amp;RIGHT("000000"&amp;1519,6),LdBKeyG,0),"")</f>
        <v/>
      </c>
    </row>
    <row r="3540">
      <c r="A3540" s="19" t="n">
        <v>1520</v>
      </c>
      <c r="B3540" s="20">
        <f>IF($N3540="","",INDEX(LdBDate,$N3540))</f>
        <v/>
      </c>
      <c r="C3540" s="20">
        <f>IF($N3540="","",IF(INDEX(LdBId,$N3540)="","—",INDEX(LdBId,$N3540)))</f>
        <v/>
      </c>
      <c r="D3540" s="20">
        <f>IF($N3540="","",INDEX(LdBMember,$N3540))</f>
        <v/>
      </c>
      <c r="E3540" s="20">
        <f>IF($N3540="","",IFERROR(IF(VLOOKUP(INDEX(LdBMember,$N3540),AcctTblE,4,0)="","(بدون نام)",VLOOKUP(INDEX(LdBMember,$N3540),AcctTblE,4,0)),"—"))</f>
        <v/>
      </c>
      <c r="F3540" s="21">
        <f>IF($N3540="","",IF(INDEX(LdBAmt,$N3540)=0,"",INDEX(LdBAmt,$N3540)))</f>
        <v/>
      </c>
      <c r="G3540" s="32">
        <f>IF($N3540="","",IF(INDEX(LdBNote,$N3540)="","—",INDEX(LdBNote,$N3540)))</f>
        <v/>
      </c>
      <c r="N3540">
        <f>IFERROR(MATCH($C$5&amp;"|"&amp;RIGHT("000000"&amp;1520,6),LdBKeyG,0),"")</f>
        <v/>
      </c>
    </row>
    <row r="3541">
      <c r="A3541" s="10" t="n">
        <v>1521</v>
      </c>
      <c r="B3541" s="14">
        <f>IF($N3541="","",INDEX(LdBDate,$N3541))</f>
        <v/>
      </c>
      <c r="C3541" s="14">
        <f>IF($N3541="","",IF(INDEX(LdBId,$N3541)="","—",INDEX(LdBId,$N3541)))</f>
        <v/>
      </c>
      <c r="D3541" s="14">
        <f>IF($N3541="","",INDEX(LdBMember,$N3541))</f>
        <v/>
      </c>
      <c r="E3541" s="14">
        <f>IF($N3541="","",IFERROR(IF(VLOOKUP(INDEX(LdBMember,$N3541),AcctTblE,4,0)="","(بدون نام)",VLOOKUP(INDEX(LdBMember,$N3541),AcctTblE,4,0)),"—"))</f>
        <v/>
      </c>
      <c r="F3541" s="16">
        <f>IF($N3541="","",IF(INDEX(LdBAmt,$N3541)=0,"",INDEX(LdBAmt,$N3541)))</f>
        <v/>
      </c>
      <c r="G3541" s="30">
        <f>IF($N3541="","",IF(INDEX(LdBNote,$N3541)="","—",INDEX(LdBNote,$N3541)))</f>
        <v/>
      </c>
      <c r="N3541">
        <f>IFERROR(MATCH($C$5&amp;"|"&amp;RIGHT("000000"&amp;1521,6),LdBKeyG,0),"")</f>
        <v/>
      </c>
    </row>
    <row r="3542">
      <c r="A3542" s="19" t="n">
        <v>1522</v>
      </c>
      <c r="B3542" s="20">
        <f>IF($N3542="","",INDEX(LdBDate,$N3542))</f>
        <v/>
      </c>
      <c r="C3542" s="20">
        <f>IF($N3542="","",IF(INDEX(LdBId,$N3542)="","—",INDEX(LdBId,$N3542)))</f>
        <v/>
      </c>
      <c r="D3542" s="20">
        <f>IF($N3542="","",INDEX(LdBMember,$N3542))</f>
        <v/>
      </c>
      <c r="E3542" s="20">
        <f>IF($N3542="","",IFERROR(IF(VLOOKUP(INDEX(LdBMember,$N3542),AcctTblE,4,0)="","(بدون نام)",VLOOKUP(INDEX(LdBMember,$N3542),AcctTblE,4,0)),"—"))</f>
        <v/>
      </c>
      <c r="F3542" s="21">
        <f>IF($N3542="","",IF(INDEX(LdBAmt,$N3542)=0,"",INDEX(LdBAmt,$N3542)))</f>
        <v/>
      </c>
      <c r="G3542" s="32">
        <f>IF($N3542="","",IF(INDEX(LdBNote,$N3542)="","—",INDEX(LdBNote,$N3542)))</f>
        <v/>
      </c>
      <c r="N3542">
        <f>IFERROR(MATCH($C$5&amp;"|"&amp;RIGHT("000000"&amp;1522,6),LdBKeyG,0),"")</f>
        <v/>
      </c>
    </row>
    <row r="3543">
      <c r="A3543" s="10" t="n">
        <v>1523</v>
      </c>
      <c r="B3543" s="14">
        <f>IF($N3543="","",INDEX(LdBDate,$N3543))</f>
        <v/>
      </c>
      <c r="C3543" s="14">
        <f>IF($N3543="","",IF(INDEX(LdBId,$N3543)="","—",INDEX(LdBId,$N3543)))</f>
        <v/>
      </c>
      <c r="D3543" s="14">
        <f>IF($N3543="","",INDEX(LdBMember,$N3543))</f>
        <v/>
      </c>
      <c r="E3543" s="14">
        <f>IF($N3543="","",IFERROR(IF(VLOOKUP(INDEX(LdBMember,$N3543),AcctTblE,4,0)="","(بدون نام)",VLOOKUP(INDEX(LdBMember,$N3543),AcctTblE,4,0)),"—"))</f>
        <v/>
      </c>
      <c r="F3543" s="16">
        <f>IF($N3543="","",IF(INDEX(LdBAmt,$N3543)=0,"",INDEX(LdBAmt,$N3543)))</f>
        <v/>
      </c>
      <c r="G3543" s="30">
        <f>IF($N3543="","",IF(INDEX(LdBNote,$N3543)="","—",INDEX(LdBNote,$N3543)))</f>
        <v/>
      </c>
      <c r="N3543">
        <f>IFERROR(MATCH($C$5&amp;"|"&amp;RIGHT("000000"&amp;1523,6),LdBKeyG,0),"")</f>
        <v/>
      </c>
    </row>
    <row r="3544">
      <c r="A3544" s="19" t="n">
        <v>1524</v>
      </c>
      <c r="B3544" s="20">
        <f>IF($N3544="","",INDEX(LdBDate,$N3544))</f>
        <v/>
      </c>
      <c r="C3544" s="20">
        <f>IF($N3544="","",IF(INDEX(LdBId,$N3544)="","—",INDEX(LdBId,$N3544)))</f>
        <v/>
      </c>
      <c r="D3544" s="20">
        <f>IF($N3544="","",INDEX(LdBMember,$N3544))</f>
        <v/>
      </c>
      <c r="E3544" s="20">
        <f>IF($N3544="","",IFERROR(IF(VLOOKUP(INDEX(LdBMember,$N3544),AcctTblE,4,0)="","(بدون نام)",VLOOKUP(INDEX(LdBMember,$N3544),AcctTblE,4,0)),"—"))</f>
        <v/>
      </c>
      <c r="F3544" s="21">
        <f>IF($N3544="","",IF(INDEX(LdBAmt,$N3544)=0,"",INDEX(LdBAmt,$N3544)))</f>
        <v/>
      </c>
      <c r="G3544" s="32">
        <f>IF($N3544="","",IF(INDEX(LdBNote,$N3544)="","—",INDEX(LdBNote,$N3544)))</f>
        <v/>
      </c>
      <c r="N3544">
        <f>IFERROR(MATCH($C$5&amp;"|"&amp;RIGHT("000000"&amp;1524,6),LdBKeyG,0),"")</f>
        <v/>
      </c>
    </row>
    <row r="3545">
      <c r="A3545" s="10" t="n">
        <v>1525</v>
      </c>
      <c r="B3545" s="14">
        <f>IF($N3545="","",INDEX(LdBDate,$N3545))</f>
        <v/>
      </c>
      <c r="C3545" s="14">
        <f>IF($N3545="","",IF(INDEX(LdBId,$N3545)="","—",INDEX(LdBId,$N3545)))</f>
        <v/>
      </c>
      <c r="D3545" s="14">
        <f>IF($N3545="","",INDEX(LdBMember,$N3545))</f>
        <v/>
      </c>
      <c r="E3545" s="14">
        <f>IF($N3545="","",IFERROR(IF(VLOOKUP(INDEX(LdBMember,$N3545),AcctTblE,4,0)="","(بدون نام)",VLOOKUP(INDEX(LdBMember,$N3545),AcctTblE,4,0)),"—"))</f>
        <v/>
      </c>
      <c r="F3545" s="16">
        <f>IF($N3545="","",IF(INDEX(LdBAmt,$N3545)=0,"",INDEX(LdBAmt,$N3545)))</f>
        <v/>
      </c>
      <c r="G3545" s="30">
        <f>IF($N3545="","",IF(INDEX(LdBNote,$N3545)="","—",INDEX(LdBNote,$N3545)))</f>
        <v/>
      </c>
      <c r="N3545">
        <f>IFERROR(MATCH($C$5&amp;"|"&amp;RIGHT("000000"&amp;1525,6),LdBKeyG,0),"")</f>
        <v/>
      </c>
    </row>
    <row r="3546">
      <c r="A3546" s="19" t="n">
        <v>1526</v>
      </c>
      <c r="B3546" s="20">
        <f>IF($N3546="","",INDEX(LdBDate,$N3546))</f>
        <v/>
      </c>
      <c r="C3546" s="20">
        <f>IF($N3546="","",IF(INDEX(LdBId,$N3546)="","—",INDEX(LdBId,$N3546)))</f>
        <v/>
      </c>
      <c r="D3546" s="20">
        <f>IF($N3546="","",INDEX(LdBMember,$N3546))</f>
        <v/>
      </c>
      <c r="E3546" s="20">
        <f>IF($N3546="","",IFERROR(IF(VLOOKUP(INDEX(LdBMember,$N3546),AcctTblE,4,0)="","(بدون نام)",VLOOKUP(INDEX(LdBMember,$N3546),AcctTblE,4,0)),"—"))</f>
        <v/>
      </c>
      <c r="F3546" s="21">
        <f>IF($N3546="","",IF(INDEX(LdBAmt,$N3546)=0,"",INDEX(LdBAmt,$N3546)))</f>
        <v/>
      </c>
      <c r="G3546" s="32">
        <f>IF($N3546="","",IF(INDEX(LdBNote,$N3546)="","—",INDEX(LdBNote,$N3546)))</f>
        <v/>
      </c>
      <c r="N3546">
        <f>IFERROR(MATCH($C$5&amp;"|"&amp;RIGHT("000000"&amp;1526,6),LdBKeyG,0),"")</f>
        <v/>
      </c>
    </row>
    <row r="3547">
      <c r="A3547" s="10" t="n">
        <v>1527</v>
      </c>
      <c r="B3547" s="14">
        <f>IF($N3547="","",INDEX(LdBDate,$N3547))</f>
        <v/>
      </c>
      <c r="C3547" s="14">
        <f>IF($N3547="","",IF(INDEX(LdBId,$N3547)="","—",INDEX(LdBId,$N3547)))</f>
        <v/>
      </c>
      <c r="D3547" s="14">
        <f>IF($N3547="","",INDEX(LdBMember,$N3547))</f>
        <v/>
      </c>
      <c r="E3547" s="14">
        <f>IF($N3547="","",IFERROR(IF(VLOOKUP(INDEX(LdBMember,$N3547),AcctTblE,4,0)="","(بدون نام)",VLOOKUP(INDEX(LdBMember,$N3547),AcctTblE,4,0)),"—"))</f>
        <v/>
      </c>
      <c r="F3547" s="16">
        <f>IF($N3547="","",IF(INDEX(LdBAmt,$N3547)=0,"",INDEX(LdBAmt,$N3547)))</f>
        <v/>
      </c>
      <c r="G3547" s="30">
        <f>IF($N3547="","",IF(INDEX(LdBNote,$N3547)="","—",INDEX(LdBNote,$N3547)))</f>
        <v/>
      </c>
      <c r="N3547">
        <f>IFERROR(MATCH($C$5&amp;"|"&amp;RIGHT("000000"&amp;1527,6),LdBKeyG,0),"")</f>
        <v/>
      </c>
    </row>
    <row r="3548">
      <c r="A3548" s="19" t="n">
        <v>1528</v>
      </c>
      <c r="B3548" s="20">
        <f>IF($N3548="","",INDEX(LdBDate,$N3548))</f>
        <v/>
      </c>
      <c r="C3548" s="20">
        <f>IF($N3548="","",IF(INDEX(LdBId,$N3548)="","—",INDEX(LdBId,$N3548)))</f>
        <v/>
      </c>
      <c r="D3548" s="20">
        <f>IF($N3548="","",INDEX(LdBMember,$N3548))</f>
        <v/>
      </c>
      <c r="E3548" s="20">
        <f>IF($N3548="","",IFERROR(IF(VLOOKUP(INDEX(LdBMember,$N3548),AcctTblE,4,0)="","(بدون نام)",VLOOKUP(INDEX(LdBMember,$N3548),AcctTblE,4,0)),"—"))</f>
        <v/>
      </c>
      <c r="F3548" s="21">
        <f>IF($N3548="","",IF(INDEX(LdBAmt,$N3548)=0,"",INDEX(LdBAmt,$N3548)))</f>
        <v/>
      </c>
      <c r="G3548" s="32">
        <f>IF($N3548="","",IF(INDEX(LdBNote,$N3548)="","—",INDEX(LdBNote,$N3548)))</f>
        <v/>
      </c>
      <c r="N3548">
        <f>IFERROR(MATCH($C$5&amp;"|"&amp;RIGHT("000000"&amp;1528,6),LdBKeyG,0),"")</f>
        <v/>
      </c>
    </row>
    <row r="3549">
      <c r="A3549" s="10" t="n">
        <v>1529</v>
      </c>
      <c r="B3549" s="14">
        <f>IF($N3549="","",INDEX(LdBDate,$N3549))</f>
        <v/>
      </c>
      <c r="C3549" s="14">
        <f>IF($N3549="","",IF(INDEX(LdBId,$N3549)="","—",INDEX(LdBId,$N3549)))</f>
        <v/>
      </c>
      <c r="D3549" s="14">
        <f>IF($N3549="","",INDEX(LdBMember,$N3549))</f>
        <v/>
      </c>
      <c r="E3549" s="14">
        <f>IF($N3549="","",IFERROR(IF(VLOOKUP(INDEX(LdBMember,$N3549),AcctTblE,4,0)="","(بدون نام)",VLOOKUP(INDEX(LdBMember,$N3549),AcctTblE,4,0)),"—"))</f>
        <v/>
      </c>
      <c r="F3549" s="16">
        <f>IF($N3549="","",IF(INDEX(LdBAmt,$N3549)=0,"",INDEX(LdBAmt,$N3549)))</f>
        <v/>
      </c>
      <c r="G3549" s="30">
        <f>IF($N3549="","",IF(INDEX(LdBNote,$N3549)="","—",INDEX(LdBNote,$N3549)))</f>
        <v/>
      </c>
      <c r="N3549">
        <f>IFERROR(MATCH($C$5&amp;"|"&amp;RIGHT("000000"&amp;1529,6),LdBKeyG,0),"")</f>
        <v/>
      </c>
    </row>
    <row r="3550">
      <c r="A3550" s="19" t="n">
        <v>1530</v>
      </c>
      <c r="B3550" s="20">
        <f>IF($N3550="","",INDEX(LdBDate,$N3550))</f>
        <v/>
      </c>
      <c r="C3550" s="20">
        <f>IF($N3550="","",IF(INDEX(LdBId,$N3550)="","—",INDEX(LdBId,$N3550)))</f>
        <v/>
      </c>
      <c r="D3550" s="20">
        <f>IF($N3550="","",INDEX(LdBMember,$N3550))</f>
        <v/>
      </c>
      <c r="E3550" s="20">
        <f>IF($N3550="","",IFERROR(IF(VLOOKUP(INDEX(LdBMember,$N3550),AcctTblE,4,0)="","(بدون نام)",VLOOKUP(INDEX(LdBMember,$N3550),AcctTblE,4,0)),"—"))</f>
        <v/>
      </c>
      <c r="F3550" s="21">
        <f>IF($N3550="","",IF(INDEX(LdBAmt,$N3550)=0,"",INDEX(LdBAmt,$N3550)))</f>
        <v/>
      </c>
      <c r="G3550" s="32">
        <f>IF($N3550="","",IF(INDEX(LdBNote,$N3550)="","—",INDEX(LdBNote,$N3550)))</f>
        <v/>
      </c>
      <c r="N3550">
        <f>IFERROR(MATCH($C$5&amp;"|"&amp;RIGHT("000000"&amp;1530,6),LdBKeyG,0),"")</f>
        <v/>
      </c>
    </row>
    <row r="3551">
      <c r="A3551" s="10" t="n">
        <v>1531</v>
      </c>
      <c r="B3551" s="14">
        <f>IF($N3551="","",INDEX(LdBDate,$N3551))</f>
        <v/>
      </c>
      <c r="C3551" s="14">
        <f>IF($N3551="","",IF(INDEX(LdBId,$N3551)="","—",INDEX(LdBId,$N3551)))</f>
        <v/>
      </c>
      <c r="D3551" s="14">
        <f>IF($N3551="","",INDEX(LdBMember,$N3551))</f>
        <v/>
      </c>
      <c r="E3551" s="14">
        <f>IF($N3551="","",IFERROR(IF(VLOOKUP(INDEX(LdBMember,$N3551),AcctTblE,4,0)="","(بدون نام)",VLOOKUP(INDEX(LdBMember,$N3551),AcctTblE,4,0)),"—"))</f>
        <v/>
      </c>
      <c r="F3551" s="16">
        <f>IF($N3551="","",IF(INDEX(LdBAmt,$N3551)=0,"",INDEX(LdBAmt,$N3551)))</f>
        <v/>
      </c>
      <c r="G3551" s="30">
        <f>IF($N3551="","",IF(INDEX(LdBNote,$N3551)="","—",INDEX(LdBNote,$N3551)))</f>
        <v/>
      </c>
      <c r="N3551">
        <f>IFERROR(MATCH($C$5&amp;"|"&amp;RIGHT("000000"&amp;1531,6),LdBKeyG,0),"")</f>
        <v/>
      </c>
    </row>
    <row r="3552">
      <c r="A3552" s="19" t="n">
        <v>1532</v>
      </c>
      <c r="B3552" s="20">
        <f>IF($N3552="","",INDEX(LdBDate,$N3552))</f>
        <v/>
      </c>
      <c r="C3552" s="20">
        <f>IF($N3552="","",IF(INDEX(LdBId,$N3552)="","—",INDEX(LdBId,$N3552)))</f>
        <v/>
      </c>
      <c r="D3552" s="20">
        <f>IF($N3552="","",INDEX(LdBMember,$N3552))</f>
        <v/>
      </c>
      <c r="E3552" s="20">
        <f>IF($N3552="","",IFERROR(IF(VLOOKUP(INDEX(LdBMember,$N3552),AcctTblE,4,0)="","(بدون نام)",VLOOKUP(INDEX(LdBMember,$N3552),AcctTblE,4,0)),"—"))</f>
        <v/>
      </c>
      <c r="F3552" s="21">
        <f>IF($N3552="","",IF(INDEX(LdBAmt,$N3552)=0,"",INDEX(LdBAmt,$N3552)))</f>
        <v/>
      </c>
      <c r="G3552" s="32">
        <f>IF($N3552="","",IF(INDEX(LdBNote,$N3552)="","—",INDEX(LdBNote,$N3552)))</f>
        <v/>
      </c>
      <c r="N3552">
        <f>IFERROR(MATCH($C$5&amp;"|"&amp;RIGHT("000000"&amp;1532,6),LdBKeyG,0),"")</f>
        <v/>
      </c>
    </row>
    <row r="3553">
      <c r="A3553" s="10" t="n">
        <v>1533</v>
      </c>
      <c r="B3553" s="14">
        <f>IF($N3553="","",INDEX(LdBDate,$N3553))</f>
        <v/>
      </c>
      <c r="C3553" s="14">
        <f>IF($N3553="","",IF(INDEX(LdBId,$N3553)="","—",INDEX(LdBId,$N3553)))</f>
        <v/>
      </c>
      <c r="D3553" s="14">
        <f>IF($N3553="","",INDEX(LdBMember,$N3553))</f>
        <v/>
      </c>
      <c r="E3553" s="14">
        <f>IF($N3553="","",IFERROR(IF(VLOOKUP(INDEX(LdBMember,$N3553),AcctTblE,4,0)="","(بدون نام)",VLOOKUP(INDEX(LdBMember,$N3553),AcctTblE,4,0)),"—"))</f>
        <v/>
      </c>
      <c r="F3553" s="16">
        <f>IF($N3553="","",IF(INDEX(LdBAmt,$N3553)=0,"",INDEX(LdBAmt,$N3553)))</f>
        <v/>
      </c>
      <c r="G3553" s="30">
        <f>IF($N3553="","",IF(INDEX(LdBNote,$N3553)="","—",INDEX(LdBNote,$N3553)))</f>
        <v/>
      </c>
      <c r="N3553">
        <f>IFERROR(MATCH($C$5&amp;"|"&amp;RIGHT("000000"&amp;1533,6),LdBKeyG,0),"")</f>
        <v/>
      </c>
    </row>
    <row r="3554">
      <c r="A3554" s="19" t="n">
        <v>1534</v>
      </c>
      <c r="B3554" s="20">
        <f>IF($N3554="","",INDEX(LdBDate,$N3554))</f>
        <v/>
      </c>
      <c r="C3554" s="20">
        <f>IF($N3554="","",IF(INDEX(LdBId,$N3554)="","—",INDEX(LdBId,$N3554)))</f>
        <v/>
      </c>
      <c r="D3554" s="20">
        <f>IF($N3554="","",INDEX(LdBMember,$N3554))</f>
        <v/>
      </c>
      <c r="E3554" s="20">
        <f>IF($N3554="","",IFERROR(IF(VLOOKUP(INDEX(LdBMember,$N3554),AcctTblE,4,0)="","(بدون نام)",VLOOKUP(INDEX(LdBMember,$N3554),AcctTblE,4,0)),"—"))</f>
        <v/>
      </c>
      <c r="F3554" s="21">
        <f>IF($N3554="","",IF(INDEX(LdBAmt,$N3554)=0,"",INDEX(LdBAmt,$N3554)))</f>
        <v/>
      </c>
      <c r="G3554" s="32">
        <f>IF($N3554="","",IF(INDEX(LdBNote,$N3554)="","—",INDEX(LdBNote,$N3554)))</f>
        <v/>
      </c>
      <c r="N3554">
        <f>IFERROR(MATCH($C$5&amp;"|"&amp;RIGHT("000000"&amp;1534,6),LdBKeyG,0),"")</f>
        <v/>
      </c>
    </row>
    <row r="3555">
      <c r="A3555" s="10" t="n">
        <v>1535</v>
      </c>
      <c r="B3555" s="14">
        <f>IF($N3555="","",INDEX(LdBDate,$N3555))</f>
        <v/>
      </c>
      <c r="C3555" s="14">
        <f>IF($N3555="","",IF(INDEX(LdBId,$N3555)="","—",INDEX(LdBId,$N3555)))</f>
        <v/>
      </c>
      <c r="D3555" s="14">
        <f>IF($N3555="","",INDEX(LdBMember,$N3555))</f>
        <v/>
      </c>
      <c r="E3555" s="14">
        <f>IF($N3555="","",IFERROR(IF(VLOOKUP(INDEX(LdBMember,$N3555),AcctTblE,4,0)="","(بدون نام)",VLOOKUP(INDEX(LdBMember,$N3555),AcctTblE,4,0)),"—"))</f>
        <v/>
      </c>
      <c r="F3555" s="16">
        <f>IF($N3555="","",IF(INDEX(LdBAmt,$N3555)=0,"",INDEX(LdBAmt,$N3555)))</f>
        <v/>
      </c>
      <c r="G3555" s="30">
        <f>IF($N3555="","",IF(INDEX(LdBNote,$N3555)="","—",INDEX(LdBNote,$N3555)))</f>
        <v/>
      </c>
      <c r="N3555">
        <f>IFERROR(MATCH($C$5&amp;"|"&amp;RIGHT("000000"&amp;1535,6),LdBKeyG,0),"")</f>
        <v/>
      </c>
    </row>
    <row r="3556">
      <c r="A3556" s="19" t="n">
        <v>1536</v>
      </c>
      <c r="B3556" s="20">
        <f>IF($N3556="","",INDEX(LdBDate,$N3556))</f>
        <v/>
      </c>
      <c r="C3556" s="20">
        <f>IF($N3556="","",IF(INDEX(LdBId,$N3556)="","—",INDEX(LdBId,$N3556)))</f>
        <v/>
      </c>
      <c r="D3556" s="20">
        <f>IF($N3556="","",INDEX(LdBMember,$N3556))</f>
        <v/>
      </c>
      <c r="E3556" s="20">
        <f>IF($N3556="","",IFERROR(IF(VLOOKUP(INDEX(LdBMember,$N3556),AcctTblE,4,0)="","(بدون نام)",VLOOKUP(INDEX(LdBMember,$N3556),AcctTblE,4,0)),"—"))</f>
        <v/>
      </c>
      <c r="F3556" s="21">
        <f>IF($N3556="","",IF(INDEX(LdBAmt,$N3556)=0,"",INDEX(LdBAmt,$N3556)))</f>
        <v/>
      </c>
      <c r="G3556" s="32">
        <f>IF($N3556="","",IF(INDEX(LdBNote,$N3556)="","—",INDEX(LdBNote,$N3556)))</f>
        <v/>
      </c>
      <c r="N3556">
        <f>IFERROR(MATCH($C$5&amp;"|"&amp;RIGHT("000000"&amp;1536,6),LdBKeyG,0),"")</f>
        <v/>
      </c>
    </row>
    <row r="3557">
      <c r="A3557" s="10" t="n">
        <v>1537</v>
      </c>
      <c r="B3557" s="14">
        <f>IF($N3557="","",INDEX(LdBDate,$N3557))</f>
        <v/>
      </c>
      <c r="C3557" s="14">
        <f>IF($N3557="","",IF(INDEX(LdBId,$N3557)="","—",INDEX(LdBId,$N3557)))</f>
        <v/>
      </c>
      <c r="D3557" s="14">
        <f>IF($N3557="","",INDEX(LdBMember,$N3557))</f>
        <v/>
      </c>
      <c r="E3557" s="14">
        <f>IF($N3557="","",IFERROR(IF(VLOOKUP(INDEX(LdBMember,$N3557),AcctTblE,4,0)="","(بدون نام)",VLOOKUP(INDEX(LdBMember,$N3557),AcctTblE,4,0)),"—"))</f>
        <v/>
      </c>
      <c r="F3557" s="16">
        <f>IF($N3557="","",IF(INDEX(LdBAmt,$N3557)=0,"",INDEX(LdBAmt,$N3557)))</f>
        <v/>
      </c>
      <c r="G3557" s="30">
        <f>IF($N3557="","",IF(INDEX(LdBNote,$N3557)="","—",INDEX(LdBNote,$N3557)))</f>
        <v/>
      </c>
      <c r="N3557">
        <f>IFERROR(MATCH($C$5&amp;"|"&amp;RIGHT("000000"&amp;1537,6),LdBKeyG,0),"")</f>
        <v/>
      </c>
    </row>
    <row r="3558">
      <c r="A3558" s="19" t="n">
        <v>1538</v>
      </c>
      <c r="B3558" s="20">
        <f>IF($N3558="","",INDEX(LdBDate,$N3558))</f>
        <v/>
      </c>
      <c r="C3558" s="20">
        <f>IF($N3558="","",IF(INDEX(LdBId,$N3558)="","—",INDEX(LdBId,$N3558)))</f>
        <v/>
      </c>
      <c r="D3558" s="20">
        <f>IF($N3558="","",INDEX(LdBMember,$N3558))</f>
        <v/>
      </c>
      <c r="E3558" s="20">
        <f>IF($N3558="","",IFERROR(IF(VLOOKUP(INDEX(LdBMember,$N3558),AcctTblE,4,0)="","(بدون نام)",VLOOKUP(INDEX(LdBMember,$N3558),AcctTblE,4,0)),"—"))</f>
        <v/>
      </c>
      <c r="F3558" s="21">
        <f>IF($N3558="","",IF(INDEX(LdBAmt,$N3558)=0,"",INDEX(LdBAmt,$N3558)))</f>
        <v/>
      </c>
      <c r="G3558" s="32">
        <f>IF($N3558="","",IF(INDEX(LdBNote,$N3558)="","—",INDEX(LdBNote,$N3558)))</f>
        <v/>
      </c>
      <c r="N3558">
        <f>IFERROR(MATCH($C$5&amp;"|"&amp;RIGHT("000000"&amp;1538,6),LdBKeyG,0),"")</f>
        <v/>
      </c>
    </row>
    <row r="3559">
      <c r="A3559" s="10" t="n">
        <v>1539</v>
      </c>
      <c r="B3559" s="14">
        <f>IF($N3559="","",INDEX(LdBDate,$N3559))</f>
        <v/>
      </c>
      <c r="C3559" s="14">
        <f>IF($N3559="","",IF(INDEX(LdBId,$N3559)="","—",INDEX(LdBId,$N3559)))</f>
        <v/>
      </c>
      <c r="D3559" s="14">
        <f>IF($N3559="","",INDEX(LdBMember,$N3559))</f>
        <v/>
      </c>
      <c r="E3559" s="14">
        <f>IF($N3559="","",IFERROR(IF(VLOOKUP(INDEX(LdBMember,$N3559),AcctTblE,4,0)="","(بدون نام)",VLOOKUP(INDEX(LdBMember,$N3559),AcctTblE,4,0)),"—"))</f>
        <v/>
      </c>
      <c r="F3559" s="16">
        <f>IF($N3559="","",IF(INDEX(LdBAmt,$N3559)=0,"",INDEX(LdBAmt,$N3559)))</f>
        <v/>
      </c>
      <c r="G3559" s="30">
        <f>IF($N3559="","",IF(INDEX(LdBNote,$N3559)="","—",INDEX(LdBNote,$N3559)))</f>
        <v/>
      </c>
      <c r="N3559">
        <f>IFERROR(MATCH($C$5&amp;"|"&amp;RIGHT("000000"&amp;1539,6),LdBKeyG,0),"")</f>
        <v/>
      </c>
    </row>
    <row r="3560">
      <c r="A3560" s="19" t="n">
        <v>1540</v>
      </c>
      <c r="B3560" s="20">
        <f>IF($N3560="","",INDEX(LdBDate,$N3560))</f>
        <v/>
      </c>
      <c r="C3560" s="20">
        <f>IF($N3560="","",IF(INDEX(LdBId,$N3560)="","—",INDEX(LdBId,$N3560)))</f>
        <v/>
      </c>
      <c r="D3560" s="20">
        <f>IF($N3560="","",INDEX(LdBMember,$N3560))</f>
        <v/>
      </c>
      <c r="E3560" s="20">
        <f>IF($N3560="","",IFERROR(IF(VLOOKUP(INDEX(LdBMember,$N3560),AcctTblE,4,0)="","(بدون نام)",VLOOKUP(INDEX(LdBMember,$N3560),AcctTblE,4,0)),"—"))</f>
        <v/>
      </c>
      <c r="F3560" s="21">
        <f>IF($N3560="","",IF(INDEX(LdBAmt,$N3560)=0,"",INDEX(LdBAmt,$N3560)))</f>
        <v/>
      </c>
      <c r="G3560" s="32">
        <f>IF($N3560="","",IF(INDEX(LdBNote,$N3560)="","—",INDEX(LdBNote,$N3560)))</f>
        <v/>
      </c>
      <c r="N3560">
        <f>IFERROR(MATCH($C$5&amp;"|"&amp;RIGHT("000000"&amp;1540,6),LdBKeyG,0),"")</f>
        <v/>
      </c>
    </row>
    <row r="3561">
      <c r="A3561" s="10" t="n">
        <v>1541</v>
      </c>
      <c r="B3561" s="14">
        <f>IF($N3561="","",INDEX(LdBDate,$N3561))</f>
        <v/>
      </c>
      <c r="C3561" s="14">
        <f>IF($N3561="","",IF(INDEX(LdBId,$N3561)="","—",INDEX(LdBId,$N3561)))</f>
        <v/>
      </c>
      <c r="D3561" s="14">
        <f>IF($N3561="","",INDEX(LdBMember,$N3561))</f>
        <v/>
      </c>
      <c r="E3561" s="14">
        <f>IF($N3561="","",IFERROR(IF(VLOOKUP(INDEX(LdBMember,$N3561),AcctTblE,4,0)="","(بدون نام)",VLOOKUP(INDEX(LdBMember,$N3561),AcctTblE,4,0)),"—"))</f>
        <v/>
      </c>
      <c r="F3561" s="16">
        <f>IF($N3561="","",IF(INDEX(LdBAmt,$N3561)=0,"",INDEX(LdBAmt,$N3561)))</f>
        <v/>
      </c>
      <c r="G3561" s="30">
        <f>IF($N3561="","",IF(INDEX(LdBNote,$N3561)="","—",INDEX(LdBNote,$N3561)))</f>
        <v/>
      </c>
      <c r="N3561">
        <f>IFERROR(MATCH($C$5&amp;"|"&amp;RIGHT("000000"&amp;1541,6),LdBKeyG,0),"")</f>
        <v/>
      </c>
    </row>
    <row r="3562">
      <c r="A3562" s="19" t="n">
        <v>1542</v>
      </c>
      <c r="B3562" s="20">
        <f>IF($N3562="","",INDEX(LdBDate,$N3562))</f>
        <v/>
      </c>
      <c r="C3562" s="20">
        <f>IF($N3562="","",IF(INDEX(LdBId,$N3562)="","—",INDEX(LdBId,$N3562)))</f>
        <v/>
      </c>
      <c r="D3562" s="20">
        <f>IF($N3562="","",INDEX(LdBMember,$N3562))</f>
        <v/>
      </c>
      <c r="E3562" s="20">
        <f>IF($N3562="","",IFERROR(IF(VLOOKUP(INDEX(LdBMember,$N3562),AcctTblE,4,0)="","(بدون نام)",VLOOKUP(INDEX(LdBMember,$N3562),AcctTblE,4,0)),"—"))</f>
        <v/>
      </c>
      <c r="F3562" s="21">
        <f>IF($N3562="","",IF(INDEX(LdBAmt,$N3562)=0,"",INDEX(LdBAmt,$N3562)))</f>
        <v/>
      </c>
      <c r="G3562" s="32">
        <f>IF($N3562="","",IF(INDEX(LdBNote,$N3562)="","—",INDEX(LdBNote,$N3562)))</f>
        <v/>
      </c>
      <c r="N3562">
        <f>IFERROR(MATCH($C$5&amp;"|"&amp;RIGHT("000000"&amp;1542,6),LdBKeyG,0),"")</f>
        <v/>
      </c>
    </row>
    <row r="3563">
      <c r="A3563" s="10" t="n">
        <v>1543</v>
      </c>
      <c r="B3563" s="14">
        <f>IF($N3563="","",INDEX(LdBDate,$N3563))</f>
        <v/>
      </c>
      <c r="C3563" s="14">
        <f>IF($N3563="","",IF(INDEX(LdBId,$N3563)="","—",INDEX(LdBId,$N3563)))</f>
        <v/>
      </c>
      <c r="D3563" s="14">
        <f>IF($N3563="","",INDEX(LdBMember,$N3563))</f>
        <v/>
      </c>
      <c r="E3563" s="14">
        <f>IF($N3563="","",IFERROR(IF(VLOOKUP(INDEX(LdBMember,$N3563),AcctTblE,4,0)="","(بدون نام)",VLOOKUP(INDEX(LdBMember,$N3563),AcctTblE,4,0)),"—"))</f>
        <v/>
      </c>
      <c r="F3563" s="16">
        <f>IF($N3563="","",IF(INDEX(LdBAmt,$N3563)=0,"",INDEX(LdBAmt,$N3563)))</f>
        <v/>
      </c>
      <c r="G3563" s="30">
        <f>IF($N3563="","",IF(INDEX(LdBNote,$N3563)="","—",INDEX(LdBNote,$N3563)))</f>
        <v/>
      </c>
      <c r="N3563">
        <f>IFERROR(MATCH($C$5&amp;"|"&amp;RIGHT("000000"&amp;1543,6),LdBKeyG,0),"")</f>
        <v/>
      </c>
    </row>
    <row r="3564">
      <c r="A3564" s="19" t="n">
        <v>1544</v>
      </c>
      <c r="B3564" s="20">
        <f>IF($N3564="","",INDEX(LdBDate,$N3564))</f>
        <v/>
      </c>
      <c r="C3564" s="20">
        <f>IF($N3564="","",IF(INDEX(LdBId,$N3564)="","—",INDEX(LdBId,$N3564)))</f>
        <v/>
      </c>
      <c r="D3564" s="20">
        <f>IF($N3564="","",INDEX(LdBMember,$N3564))</f>
        <v/>
      </c>
      <c r="E3564" s="20">
        <f>IF($N3564="","",IFERROR(IF(VLOOKUP(INDEX(LdBMember,$N3564),AcctTblE,4,0)="","(بدون نام)",VLOOKUP(INDEX(LdBMember,$N3564),AcctTblE,4,0)),"—"))</f>
        <v/>
      </c>
      <c r="F3564" s="21">
        <f>IF($N3564="","",IF(INDEX(LdBAmt,$N3564)=0,"",INDEX(LdBAmt,$N3564)))</f>
        <v/>
      </c>
      <c r="G3564" s="32">
        <f>IF($N3564="","",IF(INDEX(LdBNote,$N3564)="","—",INDEX(LdBNote,$N3564)))</f>
        <v/>
      </c>
      <c r="N3564">
        <f>IFERROR(MATCH($C$5&amp;"|"&amp;RIGHT("000000"&amp;1544,6),LdBKeyG,0),"")</f>
        <v/>
      </c>
    </row>
    <row r="3565">
      <c r="A3565" s="10" t="n">
        <v>1545</v>
      </c>
      <c r="B3565" s="14">
        <f>IF($N3565="","",INDEX(LdBDate,$N3565))</f>
        <v/>
      </c>
      <c r="C3565" s="14">
        <f>IF($N3565="","",IF(INDEX(LdBId,$N3565)="","—",INDEX(LdBId,$N3565)))</f>
        <v/>
      </c>
      <c r="D3565" s="14">
        <f>IF($N3565="","",INDEX(LdBMember,$N3565))</f>
        <v/>
      </c>
      <c r="E3565" s="14">
        <f>IF($N3565="","",IFERROR(IF(VLOOKUP(INDEX(LdBMember,$N3565),AcctTblE,4,0)="","(بدون نام)",VLOOKUP(INDEX(LdBMember,$N3565),AcctTblE,4,0)),"—"))</f>
        <v/>
      </c>
      <c r="F3565" s="16">
        <f>IF($N3565="","",IF(INDEX(LdBAmt,$N3565)=0,"",INDEX(LdBAmt,$N3565)))</f>
        <v/>
      </c>
      <c r="G3565" s="30">
        <f>IF($N3565="","",IF(INDEX(LdBNote,$N3565)="","—",INDEX(LdBNote,$N3565)))</f>
        <v/>
      </c>
      <c r="N3565">
        <f>IFERROR(MATCH($C$5&amp;"|"&amp;RIGHT("000000"&amp;1545,6),LdBKeyG,0),"")</f>
        <v/>
      </c>
    </row>
    <row r="3566">
      <c r="A3566" s="19" t="n">
        <v>1546</v>
      </c>
      <c r="B3566" s="20">
        <f>IF($N3566="","",INDEX(LdBDate,$N3566))</f>
        <v/>
      </c>
      <c r="C3566" s="20">
        <f>IF($N3566="","",IF(INDEX(LdBId,$N3566)="","—",INDEX(LdBId,$N3566)))</f>
        <v/>
      </c>
      <c r="D3566" s="20">
        <f>IF($N3566="","",INDEX(LdBMember,$N3566))</f>
        <v/>
      </c>
      <c r="E3566" s="20">
        <f>IF($N3566="","",IFERROR(IF(VLOOKUP(INDEX(LdBMember,$N3566),AcctTblE,4,0)="","(بدون نام)",VLOOKUP(INDEX(LdBMember,$N3566),AcctTblE,4,0)),"—"))</f>
        <v/>
      </c>
      <c r="F3566" s="21">
        <f>IF($N3566="","",IF(INDEX(LdBAmt,$N3566)=0,"",INDEX(LdBAmt,$N3566)))</f>
        <v/>
      </c>
      <c r="G3566" s="32">
        <f>IF($N3566="","",IF(INDEX(LdBNote,$N3566)="","—",INDEX(LdBNote,$N3566)))</f>
        <v/>
      </c>
      <c r="N3566">
        <f>IFERROR(MATCH($C$5&amp;"|"&amp;RIGHT("000000"&amp;1546,6),LdBKeyG,0),"")</f>
        <v/>
      </c>
    </row>
    <row r="3567">
      <c r="A3567" s="10" t="n">
        <v>1547</v>
      </c>
      <c r="B3567" s="14">
        <f>IF($N3567="","",INDEX(LdBDate,$N3567))</f>
        <v/>
      </c>
      <c r="C3567" s="14">
        <f>IF($N3567="","",IF(INDEX(LdBId,$N3567)="","—",INDEX(LdBId,$N3567)))</f>
        <v/>
      </c>
      <c r="D3567" s="14">
        <f>IF($N3567="","",INDEX(LdBMember,$N3567))</f>
        <v/>
      </c>
      <c r="E3567" s="14">
        <f>IF($N3567="","",IFERROR(IF(VLOOKUP(INDEX(LdBMember,$N3567),AcctTblE,4,0)="","(بدون نام)",VLOOKUP(INDEX(LdBMember,$N3567),AcctTblE,4,0)),"—"))</f>
        <v/>
      </c>
      <c r="F3567" s="16">
        <f>IF($N3567="","",IF(INDEX(LdBAmt,$N3567)=0,"",INDEX(LdBAmt,$N3567)))</f>
        <v/>
      </c>
      <c r="G3567" s="30">
        <f>IF($N3567="","",IF(INDEX(LdBNote,$N3567)="","—",INDEX(LdBNote,$N3567)))</f>
        <v/>
      </c>
      <c r="N3567">
        <f>IFERROR(MATCH($C$5&amp;"|"&amp;RIGHT("000000"&amp;1547,6),LdBKeyG,0),"")</f>
        <v/>
      </c>
    </row>
    <row r="3568">
      <c r="A3568" s="19" t="n">
        <v>1548</v>
      </c>
      <c r="B3568" s="20">
        <f>IF($N3568="","",INDEX(LdBDate,$N3568))</f>
        <v/>
      </c>
      <c r="C3568" s="20">
        <f>IF($N3568="","",IF(INDEX(LdBId,$N3568)="","—",INDEX(LdBId,$N3568)))</f>
        <v/>
      </c>
      <c r="D3568" s="20">
        <f>IF($N3568="","",INDEX(LdBMember,$N3568))</f>
        <v/>
      </c>
      <c r="E3568" s="20">
        <f>IF($N3568="","",IFERROR(IF(VLOOKUP(INDEX(LdBMember,$N3568),AcctTblE,4,0)="","(بدون نام)",VLOOKUP(INDEX(LdBMember,$N3568),AcctTblE,4,0)),"—"))</f>
        <v/>
      </c>
      <c r="F3568" s="21">
        <f>IF($N3568="","",IF(INDEX(LdBAmt,$N3568)=0,"",INDEX(LdBAmt,$N3568)))</f>
        <v/>
      </c>
      <c r="G3568" s="32">
        <f>IF($N3568="","",IF(INDEX(LdBNote,$N3568)="","—",INDEX(LdBNote,$N3568)))</f>
        <v/>
      </c>
      <c r="N3568">
        <f>IFERROR(MATCH($C$5&amp;"|"&amp;RIGHT("000000"&amp;1548,6),LdBKeyG,0),"")</f>
        <v/>
      </c>
    </row>
    <row r="3569">
      <c r="A3569" s="10" t="n">
        <v>1549</v>
      </c>
      <c r="B3569" s="14">
        <f>IF($N3569="","",INDEX(LdBDate,$N3569))</f>
        <v/>
      </c>
      <c r="C3569" s="14">
        <f>IF($N3569="","",IF(INDEX(LdBId,$N3569)="","—",INDEX(LdBId,$N3569)))</f>
        <v/>
      </c>
      <c r="D3569" s="14">
        <f>IF($N3569="","",INDEX(LdBMember,$N3569))</f>
        <v/>
      </c>
      <c r="E3569" s="14">
        <f>IF($N3569="","",IFERROR(IF(VLOOKUP(INDEX(LdBMember,$N3569),AcctTblE,4,0)="","(بدون نام)",VLOOKUP(INDEX(LdBMember,$N3569),AcctTblE,4,0)),"—"))</f>
        <v/>
      </c>
      <c r="F3569" s="16">
        <f>IF($N3569="","",IF(INDEX(LdBAmt,$N3569)=0,"",INDEX(LdBAmt,$N3569)))</f>
        <v/>
      </c>
      <c r="G3569" s="30">
        <f>IF($N3569="","",IF(INDEX(LdBNote,$N3569)="","—",INDEX(LdBNote,$N3569)))</f>
        <v/>
      </c>
      <c r="N3569">
        <f>IFERROR(MATCH($C$5&amp;"|"&amp;RIGHT("000000"&amp;1549,6),LdBKeyG,0),"")</f>
        <v/>
      </c>
    </row>
    <row r="3570">
      <c r="A3570" s="19" t="n">
        <v>1550</v>
      </c>
      <c r="B3570" s="20">
        <f>IF($N3570="","",INDEX(LdBDate,$N3570))</f>
        <v/>
      </c>
      <c r="C3570" s="20">
        <f>IF($N3570="","",IF(INDEX(LdBId,$N3570)="","—",INDEX(LdBId,$N3570)))</f>
        <v/>
      </c>
      <c r="D3570" s="20">
        <f>IF($N3570="","",INDEX(LdBMember,$N3570))</f>
        <v/>
      </c>
      <c r="E3570" s="20">
        <f>IF($N3570="","",IFERROR(IF(VLOOKUP(INDEX(LdBMember,$N3570),AcctTblE,4,0)="","(بدون نام)",VLOOKUP(INDEX(LdBMember,$N3570),AcctTblE,4,0)),"—"))</f>
        <v/>
      </c>
      <c r="F3570" s="21">
        <f>IF($N3570="","",IF(INDEX(LdBAmt,$N3570)=0,"",INDEX(LdBAmt,$N3570)))</f>
        <v/>
      </c>
      <c r="G3570" s="32">
        <f>IF($N3570="","",IF(INDEX(LdBNote,$N3570)="","—",INDEX(LdBNote,$N3570)))</f>
        <v/>
      </c>
      <c r="N3570">
        <f>IFERROR(MATCH($C$5&amp;"|"&amp;RIGHT("000000"&amp;1550,6),LdBKeyG,0),"")</f>
        <v/>
      </c>
    </row>
    <row r="3571">
      <c r="A3571" s="10" t="n">
        <v>1551</v>
      </c>
      <c r="B3571" s="14">
        <f>IF($N3571="","",INDEX(LdBDate,$N3571))</f>
        <v/>
      </c>
      <c r="C3571" s="14">
        <f>IF($N3571="","",IF(INDEX(LdBId,$N3571)="","—",INDEX(LdBId,$N3571)))</f>
        <v/>
      </c>
      <c r="D3571" s="14">
        <f>IF($N3571="","",INDEX(LdBMember,$N3571))</f>
        <v/>
      </c>
      <c r="E3571" s="14">
        <f>IF($N3571="","",IFERROR(IF(VLOOKUP(INDEX(LdBMember,$N3571),AcctTblE,4,0)="","(بدون نام)",VLOOKUP(INDEX(LdBMember,$N3571),AcctTblE,4,0)),"—"))</f>
        <v/>
      </c>
      <c r="F3571" s="16">
        <f>IF($N3571="","",IF(INDEX(LdBAmt,$N3571)=0,"",INDEX(LdBAmt,$N3571)))</f>
        <v/>
      </c>
      <c r="G3571" s="30">
        <f>IF($N3571="","",IF(INDEX(LdBNote,$N3571)="","—",INDEX(LdBNote,$N3571)))</f>
        <v/>
      </c>
      <c r="N3571">
        <f>IFERROR(MATCH($C$5&amp;"|"&amp;RIGHT("000000"&amp;1551,6),LdBKeyG,0),"")</f>
        <v/>
      </c>
    </row>
    <row r="3572">
      <c r="A3572" s="19" t="n">
        <v>1552</v>
      </c>
      <c r="B3572" s="20">
        <f>IF($N3572="","",INDEX(LdBDate,$N3572))</f>
        <v/>
      </c>
      <c r="C3572" s="20">
        <f>IF($N3572="","",IF(INDEX(LdBId,$N3572)="","—",INDEX(LdBId,$N3572)))</f>
        <v/>
      </c>
      <c r="D3572" s="20">
        <f>IF($N3572="","",INDEX(LdBMember,$N3572))</f>
        <v/>
      </c>
      <c r="E3572" s="20">
        <f>IF($N3572="","",IFERROR(IF(VLOOKUP(INDEX(LdBMember,$N3572),AcctTblE,4,0)="","(بدون نام)",VLOOKUP(INDEX(LdBMember,$N3572),AcctTblE,4,0)),"—"))</f>
        <v/>
      </c>
      <c r="F3572" s="21">
        <f>IF($N3572="","",IF(INDEX(LdBAmt,$N3572)=0,"",INDEX(LdBAmt,$N3572)))</f>
        <v/>
      </c>
      <c r="G3572" s="32">
        <f>IF($N3572="","",IF(INDEX(LdBNote,$N3572)="","—",INDEX(LdBNote,$N3572)))</f>
        <v/>
      </c>
      <c r="N3572">
        <f>IFERROR(MATCH($C$5&amp;"|"&amp;RIGHT("000000"&amp;1552,6),LdBKeyG,0),"")</f>
        <v/>
      </c>
    </row>
    <row r="3573">
      <c r="A3573" s="10" t="n">
        <v>1553</v>
      </c>
      <c r="B3573" s="14">
        <f>IF($N3573="","",INDEX(LdBDate,$N3573))</f>
        <v/>
      </c>
      <c r="C3573" s="14">
        <f>IF($N3573="","",IF(INDEX(LdBId,$N3573)="","—",INDEX(LdBId,$N3573)))</f>
        <v/>
      </c>
      <c r="D3573" s="14">
        <f>IF($N3573="","",INDEX(LdBMember,$N3573))</f>
        <v/>
      </c>
      <c r="E3573" s="14">
        <f>IF($N3573="","",IFERROR(IF(VLOOKUP(INDEX(LdBMember,$N3573),AcctTblE,4,0)="","(بدون نام)",VLOOKUP(INDEX(LdBMember,$N3573),AcctTblE,4,0)),"—"))</f>
        <v/>
      </c>
      <c r="F3573" s="16">
        <f>IF($N3573="","",IF(INDEX(LdBAmt,$N3573)=0,"",INDEX(LdBAmt,$N3573)))</f>
        <v/>
      </c>
      <c r="G3573" s="30">
        <f>IF($N3573="","",IF(INDEX(LdBNote,$N3573)="","—",INDEX(LdBNote,$N3573)))</f>
        <v/>
      </c>
      <c r="N3573">
        <f>IFERROR(MATCH($C$5&amp;"|"&amp;RIGHT("000000"&amp;1553,6),LdBKeyG,0),"")</f>
        <v/>
      </c>
    </row>
    <row r="3574">
      <c r="A3574" s="19" t="n">
        <v>1554</v>
      </c>
      <c r="B3574" s="20">
        <f>IF($N3574="","",INDEX(LdBDate,$N3574))</f>
        <v/>
      </c>
      <c r="C3574" s="20">
        <f>IF($N3574="","",IF(INDEX(LdBId,$N3574)="","—",INDEX(LdBId,$N3574)))</f>
        <v/>
      </c>
      <c r="D3574" s="20">
        <f>IF($N3574="","",INDEX(LdBMember,$N3574))</f>
        <v/>
      </c>
      <c r="E3574" s="20">
        <f>IF($N3574="","",IFERROR(IF(VLOOKUP(INDEX(LdBMember,$N3574),AcctTblE,4,0)="","(بدون نام)",VLOOKUP(INDEX(LdBMember,$N3574),AcctTblE,4,0)),"—"))</f>
        <v/>
      </c>
      <c r="F3574" s="21">
        <f>IF($N3574="","",IF(INDEX(LdBAmt,$N3574)=0,"",INDEX(LdBAmt,$N3574)))</f>
        <v/>
      </c>
      <c r="G3574" s="32">
        <f>IF($N3574="","",IF(INDEX(LdBNote,$N3574)="","—",INDEX(LdBNote,$N3574)))</f>
        <v/>
      </c>
      <c r="N3574">
        <f>IFERROR(MATCH($C$5&amp;"|"&amp;RIGHT("000000"&amp;1554,6),LdBKeyG,0),"")</f>
        <v/>
      </c>
    </row>
    <row r="3575">
      <c r="A3575" s="10" t="n">
        <v>1555</v>
      </c>
      <c r="B3575" s="14">
        <f>IF($N3575="","",INDEX(LdBDate,$N3575))</f>
        <v/>
      </c>
      <c r="C3575" s="14">
        <f>IF($N3575="","",IF(INDEX(LdBId,$N3575)="","—",INDEX(LdBId,$N3575)))</f>
        <v/>
      </c>
      <c r="D3575" s="14">
        <f>IF($N3575="","",INDEX(LdBMember,$N3575))</f>
        <v/>
      </c>
      <c r="E3575" s="14">
        <f>IF($N3575="","",IFERROR(IF(VLOOKUP(INDEX(LdBMember,$N3575),AcctTblE,4,0)="","(بدون نام)",VLOOKUP(INDEX(LdBMember,$N3575),AcctTblE,4,0)),"—"))</f>
        <v/>
      </c>
      <c r="F3575" s="16">
        <f>IF($N3575="","",IF(INDEX(LdBAmt,$N3575)=0,"",INDEX(LdBAmt,$N3575)))</f>
        <v/>
      </c>
      <c r="G3575" s="30">
        <f>IF($N3575="","",IF(INDEX(LdBNote,$N3575)="","—",INDEX(LdBNote,$N3575)))</f>
        <v/>
      </c>
      <c r="N3575">
        <f>IFERROR(MATCH($C$5&amp;"|"&amp;RIGHT("000000"&amp;1555,6),LdBKeyG,0),"")</f>
        <v/>
      </c>
    </row>
    <row r="3576">
      <c r="A3576" s="19" t="n">
        <v>1556</v>
      </c>
      <c r="B3576" s="20">
        <f>IF($N3576="","",INDEX(LdBDate,$N3576))</f>
        <v/>
      </c>
      <c r="C3576" s="20">
        <f>IF($N3576="","",IF(INDEX(LdBId,$N3576)="","—",INDEX(LdBId,$N3576)))</f>
        <v/>
      </c>
      <c r="D3576" s="20">
        <f>IF($N3576="","",INDEX(LdBMember,$N3576))</f>
        <v/>
      </c>
      <c r="E3576" s="20">
        <f>IF($N3576="","",IFERROR(IF(VLOOKUP(INDEX(LdBMember,$N3576),AcctTblE,4,0)="","(بدون نام)",VLOOKUP(INDEX(LdBMember,$N3576),AcctTblE,4,0)),"—"))</f>
        <v/>
      </c>
      <c r="F3576" s="21">
        <f>IF($N3576="","",IF(INDEX(LdBAmt,$N3576)=0,"",INDEX(LdBAmt,$N3576)))</f>
        <v/>
      </c>
      <c r="G3576" s="32">
        <f>IF($N3576="","",IF(INDEX(LdBNote,$N3576)="","—",INDEX(LdBNote,$N3576)))</f>
        <v/>
      </c>
      <c r="N3576">
        <f>IFERROR(MATCH($C$5&amp;"|"&amp;RIGHT("000000"&amp;1556,6),LdBKeyG,0),"")</f>
        <v/>
      </c>
    </row>
    <row r="3577">
      <c r="A3577" s="10" t="n">
        <v>1557</v>
      </c>
      <c r="B3577" s="14">
        <f>IF($N3577="","",INDEX(LdBDate,$N3577))</f>
        <v/>
      </c>
      <c r="C3577" s="14">
        <f>IF($N3577="","",IF(INDEX(LdBId,$N3577)="","—",INDEX(LdBId,$N3577)))</f>
        <v/>
      </c>
      <c r="D3577" s="14">
        <f>IF($N3577="","",INDEX(LdBMember,$N3577))</f>
        <v/>
      </c>
      <c r="E3577" s="14">
        <f>IF($N3577="","",IFERROR(IF(VLOOKUP(INDEX(LdBMember,$N3577),AcctTblE,4,0)="","(بدون نام)",VLOOKUP(INDEX(LdBMember,$N3577),AcctTblE,4,0)),"—"))</f>
        <v/>
      </c>
      <c r="F3577" s="16">
        <f>IF($N3577="","",IF(INDEX(LdBAmt,$N3577)=0,"",INDEX(LdBAmt,$N3577)))</f>
        <v/>
      </c>
      <c r="G3577" s="30">
        <f>IF($N3577="","",IF(INDEX(LdBNote,$N3577)="","—",INDEX(LdBNote,$N3577)))</f>
        <v/>
      </c>
      <c r="N3577">
        <f>IFERROR(MATCH($C$5&amp;"|"&amp;RIGHT("000000"&amp;1557,6),LdBKeyG,0),"")</f>
        <v/>
      </c>
    </row>
    <row r="3578">
      <c r="A3578" s="19" t="n">
        <v>1558</v>
      </c>
      <c r="B3578" s="20">
        <f>IF($N3578="","",INDEX(LdBDate,$N3578))</f>
        <v/>
      </c>
      <c r="C3578" s="20">
        <f>IF($N3578="","",IF(INDEX(LdBId,$N3578)="","—",INDEX(LdBId,$N3578)))</f>
        <v/>
      </c>
      <c r="D3578" s="20">
        <f>IF($N3578="","",INDEX(LdBMember,$N3578))</f>
        <v/>
      </c>
      <c r="E3578" s="20">
        <f>IF($N3578="","",IFERROR(IF(VLOOKUP(INDEX(LdBMember,$N3578),AcctTblE,4,0)="","(بدون نام)",VLOOKUP(INDEX(LdBMember,$N3578),AcctTblE,4,0)),"—"))</f>
        <v/>
      </c>
      <c r="F3578" s="21">
        <f>IF($N3578="","",IF(INDEX(LdBAmt,$N3578)=0,"",INDEX(LdBAmt,$N3578)))</f>
        <v/>
      </c>
      <c r="G3578" s="32">
        <f>IF($N3578="","",IF(INDEX(LdBNote,$N3578)="","—",INDEX(LdBNote,$N3578)))</f>
        <v/>
      </c>
      <c r="N3578">
        <f>IFERROR(MATCH($C$5&amp;"|"&amp;RIGHT("000000"&amp;1558,6),LdBKeyG,0),"")</f>
        <v/>
      </c>
    </row>
    <row r="3579">
      <c r="A3579" s="10" t="n">
        <v>1559</v>
      </c>
      <c r="B3579" s="14">
        <f>IF($N3579="","",INDEX(LdBDate,$N3579))</f>
        <v/>
      </c>
      <c r="C3579" s="14">
        <f>IF($N3579="","",IF(INDEX(LdBId,$N3579)="","—",INDEX(LdBId,$N3579)))</f>
        <v/>
      </c>
      <c r="D3579" s="14">
        <f>IF($N3579="","",INDEX(LdBMember,$N3579))</f>
        <v/>
      </c>
      <c r="E3579" s="14">
        <f>IF($N3579="","",IFERROR(IF(VLOOKUP(INDEX(LdBMember,$N3579),AcctTblE,4,0)="","(بدون نام)",VLOOKUP(INDEX(LdBMember,$N3579),AcctTblE,4,0)),"—"))</f>
        <v/>
      </c>
      <c r="F3579" s="16">
        <f>IF($N3579="","",IF(INDEX(LdBAmt,$N3579)=0,"",INDEX(LdBAmt,$N3579)))</f>
        <v/>
      </c>
      <c r="G3579" s="30">
        <f>IF($N3579="","",IF(INDEX(LdBNote,$N3579)="","—",INDEX(LdBNote,$N3579)))</f>
        <v/>
      </c>
      <c r="N3579">
        <f>IFERROR(MATCH($C$5&amp;"|"&amp;RIGHT("000000"&amp;1559,6),LdBKeyG,0),"")</f>
        <v/>
      </c>
    </row>
    <row r="3580">
      <c r="A3580" s="19" t="n">
        <v>1560</v>
      </c>
      <c r="B3580" s="20">
        <f>IF($N3580="","",INDEX(LdBDate,$N3580))</f>
        <v/>
      </c>
      <c r="C3580" s="20">
        <f>IF($N3580="","",IF(INDEX(LdBId,$N3580)="","—",INDEX(LdBId,$N3580)))</f>
        <v/>
      </c>
      <c r="D3580" s="20">
        <f>IF($N3580="","",INDEX(LdBMember,$N3580))</f>
        <v/>
      </c>
      <c r="E3580" s="20">
        <f>IF($N3580="","",IFERROR(IF(VLOOKUP(INDEX(LdBMember,$N3580),AcctTblE,4,0)="","(بدون نام)",VLOOKUP(INDEX(LdBMember,$N3580),AcctTblE,4,0)),"—"))</f>
        <v/>
      </c>
      <c r="F3580" s="21">
        <f>IF($N3580="","",IF(INDEX(LdBAmt,$N3580)=0,"",INDEX(LdBAmt,$N3580)))</f>
        <v/>
      </c>
      <c r="G3580" s="32">
        <f>IF($N3580="","",IF(INDEX(LdBNote,$N3580)="","—",INDEX(LdBNote,$N3580)))</f>
        <v/>
      </c>
      <c r="N3580">
        <f>IFERROR(MATCH($C$5&amp;"|"&amp;RIGHT("000000"&amp;1560,6),LdBKeyG,0),"")</f>
        <v/>
      </c>
    </row>
    <row r="3581">
      <c r="A3581" s="10" t="n">
        <v>1561</v>
      </c>
      <c r="B3581" s="14">
        <f>IF($N3581="","",INDEX(LdBDate,$N3581))</f>
        <v/>
      </c>
      <c r="C3581" s="14">
        <f>IF($N3581="","",IF(INDEX(LdBId,$N3581)="","—",INDEX(LdBId,$N3581)))</f>
        <v/>
      </c>
      <c r="D3581" s="14">
        <f>IF($N3581="","",INDEX(LdBMember,$N3581))</f>
        <v/>
      </c>
      <c r="E3581" s="14">
        <f>IF($N3581="","",IFERROR(IF(VLOOKUP(INDEX(LdBMember,$N3581),AcctTblE,4,0)="","(بدون نام)",VLOOKUP(INDEX(LdBMember,$N3581),AcctTblE,4,0)),"—"))</f>
        <v/>
      </c>
      <c r="F3581" s="16">
        <f>IF($N3581="","",IF(INDEX(LdBAmt,$N3581)=0,"",INDEX(LdBAmt,$N3581)))</f>
        <v/>
      </c>
      <c r="G3581" s="30">
        <f>IF($N3581="","",IF(INDEX(LdBNote,$N3581)="","—",INDEX(LdBNote,$N3581)))</f>
        <v/>
      </c>
      <c r="N3581">
        <f>IFERROR(MATCH($C$5&amp;"|"&amp;RIGHT("000000"&amp;1561,6),LdBKeyG,0),"")</f>
        <v/>
      </c>
    </row>
    <row r="3582">
      <c r="A3582" s="19" t="n">
        <v>1562</v>
      </c>
      <c r="B3582" s="20">
        <f>IF($N3582="","",INDEX(LdBDate,$N3582))</f>
        <v/>
      </c>
      <c r="C3582" s="20">
        <f>IF($N3582="","",IF(INDEX(LdBId,$N3582)="","—",INDEX(LdBId,$N3582)))</f>
        <v/>
      </c>
      <c r="D3582" s="20">
        <f>IF($N3582="","",INDEX(LdBMember,$N3582))</f>
        <v/>
      </c>
      <c r="E3582" s="20">
        <f>IF($N3582="","",IFERROR(IF(VLOOKUP(INDEX(LdBMember,$N3582),AcctTblE,4,0)="","(بدون نام)",VLOOKUP(INDEX(LdBMember,$N3582),AcctTblE,4,0)),"—"))</f>
        <v/>
      </c>
      <c r="F3582" s="21">
        <f>IF($N3582="","",IF(INDEX(LdBAmt,$N3582)=0,"",INDEX(LdBAmt,$N3582)))</f>
        <v/>
      </c>
      <c r="G3582" s="32">
        <f>IF($N3582="","",IF(INDEX(LdBNote,$N3582)="","—",INDEX(LdBNote,$N3582)))</f>
        <v/>
      </c>
      <c r="N3582">
        <f>IFERROR(MATCH($C$5&amp;"|"&amp;RIGHT("000000"&amp;1562,6),LdBKeyG,0),"")</f>
        <v/>
      </c>
    </row>
    <row r="3583">
      <c r="A3583" s="10" t="n">
        <v>1563</v>
      </c>
      <c r="B3583" s="14">
        <f>IF($N3583="","",INDEX(LdBDate,$N3583))</f>
        <v/>
      </c>
      <c r="C3583" s="14">
        <f>IF($N3583="","",IF(INDEX(LdBId,$N3583)="","—",INDEX(LdBId,$N3583)))</f>
        <v/>
      </c>
      <c r="D3583" s="14">
        <f>IF($N3583="","",INDEX(LdBMember,$N3583))</f>
        <v/>
      </c>
      <c r="E3583" s="14">
        <f>IF($N3583="","",IFERROR(IF(VLOOKUP(INDEX(LdBMember,$N3583),AcctTblE,4,0)="","(بدون نام)",VLOOKUP(INDEX(LdBMember,$N3583),AcctTblE,4,0)),"—"))</f>
        <v/>
      </c>
      <c r="F3583" s="16">
        <f>IF($N3583="","",IF(INDEX(LdBAmt,$N3583)=0,"",INDEX(LdBAmt,$N3583)))</f>
        <v/>
      </c>
      <c r="G3583" s="30">
        <f>IF($N3583="","",IF(INDEX(LdBNote,$N3583)="","—",INDEX(LdBNote,$N3583)))</f>
        <v/>
      </c>
      <c r="N3583">
        <f>IFERROR(MATCH($C$5&amp;"|"&amp;RIGHT("000000"&amp;1563,6),LdBKeyG,0),"")</f>
        <v/>
      </c>
    </row>
    <row r="3584">
      <c r="A3584" s="19" t="n">
        <v>1564</v>
      </c>
      <c r="B3584" s="20">
        <f>IF($N3584="","",INDEX(LdBDate,$N3584))</f>
        <v/>
      </c>
      <c r="C3584" s="20">
        <f>IF($N3584="","",IF(INDEX(LdBId,$N3584)="","—",INDEX(LdBId,$N3584)))</f>
        <v/>
      </c>
      <c r="D3584" s="20">
        <f>IF($N3584="","",INDEX(LdBMember,$N3584))</f>
        <v/>
      </c>
      <c r="E3584" s="20">
        <f>IF($N3584="","",IFERROR(IF(VLOOKUP(INDEX(LdBMember,$N3584),AcctTblE,4,0)="","(بدون نام)",VLOOKUP(INDEX(LdBMember,$N3584),AcctTblE,4,0)),"—"))</f>
        <v/>
      </c>
      <c r="F3584" s="21">
        <f>IF($N3584="","",IF(INDEX(LdBAmt,$N3584)=0,"",INDEX(LdBAmt,$N3584)))</f>
        <v/>
      </c>
      <c r="G3584" s="32">
        <f>IF($N3584="","",IF(INDEX(LdBNote,$N3584)="","—",INDEX(LdBNote,$N3584)))</f>
        <v/>
      </c>
      <c r="N3584">
        <f>IFERROR(MATCH($C$5&amp;"|"&amp;RIGHT("000000"&amp;1564,6),LdBKeyG,0),"")</f>
        <v/>
      </c>
    </row>
    <row r="3585">
      <c r="A3585" s="10" t="n">
        <v>1565</v>
      </c>
      <c r="B3585" s="14">
        <f>IF($N3585="","",INDEX(LdBDate,$N3585))</f>
        <v/>
      </c>
      <c r="C3585" s="14">
        <f>IF($N3585="","",IF(INDEX(LdBId,$N3585)="","—",INDEX(LdBId,$N3585)))</f>
        <v/>
      </c>
      <c r="D3585" s="14">
        <f>IF($N3585="","",INDEX(LdBMember,$N3585))</f>
        <v/>
      </c>
      <c r="E3585" s="14">
        <f>IF($N3585="","",IFERROR(IF(VLOOKUP(INDEX(LdBMember,$N3585),AcctTblE,4,0)="","(بدون نام)",VLOOKUP(INDEX(LdBMember,$N3585),AcctTblE,4,0)),"—"))</f>
        <v/>
      </c>
      <c r="F3585" s="16">
        <f>IF($N3585="","",IF(INDEX(LdBAmt,$N3585)=0,"",INDEX(LdBAmt,$N3585)))</f>
        <v/>
      </c>
      <c r="G3585" s="30">
        <f>IF($N3585="","",IF(INDEX(LdBNote,$N3585)="","—",INDEX(LdBNote,$N3585)))</f>
        <v/>
      </c>
      <c r="N3585">
        <f>IFERROR(MATCH($C$5&amp;"|"&amp;RIGHT("000000"&amp;1565,6),LdBKeyG,0),"")</f>
        <v/>
      </c>
    </row>
    <row r="3586">
      <c r="A3586" s="19" t="n">
        <v>1566</v>
      </c>
      <c r="B3586" s="20">
        <f>IF($N3586="","",INDEX(LdBDate,$N3586))</f>
        <v/>
      </c>
      <c r="C3586" s="20">
        <f>IF($N3586="","",IF(INDEX(LdBId,$N3586)="","—",INDEX(LdBId,$N3586)))</f>
        <v/>
      </c>
      <c r="D3586" s="20">
        <f>IF($N3586="","",INDEX(LdBMember,$N3586))</f>
        <v/>
      </c>
      <c r="E3586" s="20">
        <f>IF($N3586="","",IFERROR(IF(VLOOKUP(INDEX(LdBMember,$N3586),AcctTblE,4,0)="","(بدون نام)",VLOOKUP(INDEX(LdBMember,$N3586),AcctTblE,4,0)),"—"))</f>
        <v/>
      </c>
      <c r="F3586" s="21">
        <f>IF($N3586="","",IF(INDEX(LdBAmt,$N3586)=0,"",INDEX(LdBAmt,$N3586)))</f>
        <v/>
      </c>
      <c r="G3586" s="32">
        <f>IF($N3586="","",IF(INDEX(LdBNote,$N3586)="","—",INDEX(LdBNote,$N3586)))</f>
        <v/>
      </c>
      <c r="N3586">
        <f>IFERROR(MATCH($C$5&amp;"|"&amp;RIGHT("000000"&amp;1566,6),LdBKeyG,0),"")</f>
        <v/>
      </c>
    </row>
    <row r="3587">
      <c r="A3587" s="10" t="n">
        <v>1567</v>
      </c>
      <c r="B3587" s="14">
        <f>IF($N3587="","",INDEX(LdBDate,$N3587))</f>
        <v/>
      </c>
      <c r="C3587" s="14">
        <f>IF($N3587="","",IF(INDEX(LdBId,$N3587)="","—",INDEX(LdBId,$N3587)))</f>
        <v/>
      </c>
      <c r="D3587" s="14">
        <f>IF($N3587="","",INDEX(LdBMember,$N3587))</f>
        <v/>
      </c>
      <c r="E3587" s="14">
        <f>IF($N3587="","",IFERROR(IF(VLOOKUP(INDEX(LdBMember,$N3587),AcctTblE,4,0)="","(بدون نام)",VLOOKUP(INDEX(LdBMember,$N3587),AcctTblE,4,0)),"—"))</f>
        <v/>
      </c>
      <c r="F3587" s="16">
        <f>IF($N3587="","",IF(INDEX(LdBAmt,$N3587)=0,"",INDEX(LdBAmt,$N3587)))</f>
        <v/>
      </c>
      <c r="G3587" s="30">
        <f>IF($N3587="","",IF(INDEX(LdBNote,$N3587)="","—",INDEX(LdBNote,$N3587)))</f>
        <v/>
      </c>
      <c r="N3587">
        <f>IFERROR(MATCH($C$5&amp;"|"&amp;RIGHT("000000"&amp;1567,6),LdBKeyG,0),"")</f>
        <v/>
      </c>
    </row>
    <row r="3588">
      <c r="A3588" s="19" t="n">
        <v>1568</v>
      </c>
      <c r="B3588" s="20">
        <f>IF($N3588="","",INDEX(LdBDate,$N3588))</f>
        <v/>
      </c>
      <c r="C3588" s="20">
        <f>IF($N3588="","",IF(INDEX(LdBId,$N3588)="","—",INDEX(LdBId,$N3588)))</f>
        <v/>
      </c>
      <c r="D3588" s="20">
        <f>IF($N3588="","",INDEX(LdBMember,$N3588))</f>
        <v/>
      </c>
      <c r="E3588" s="20">
        <f>IF($N3588="","",IFERROR(IF(VLOOKUP(INDEX(LdBMember,$N3588),AcctTblE,4,0)="","(بدون نام)",VLOOKUP(INDEX(LdBMember,$N3588),AcctTblE,4,0)),"—"))</f>
        <v/>
      </c>
      <c r="F3588" s="21">
        <f>IF($N3588="","",IF(INDEX(LdBAmt,$N3588)=0,"",INDEX(LdBAmt,$N3588)))</f>
        <v/>
      </c>
      <c r="G3588" s="32">
        <f>IF($N3588="","",IF(INDEX(LdBNote,$N3588)="","—",INDEX(LdBNote,$N3588)))</f>
        <v/>
      </c>
      <c r="N3588">
        <f>IFERROR(MATCH($C$5&amp;"|"&amp;RIGHT("000000"&amp;1568,6),LdBKeyG,0),"")</f>
        <v/>
      </c>
    </row>
    <row r="3589">
      <c r="A3589" s="10" t="n">
        <v>1569</v>
      </c>
      <c r="B3589" s="14">
        <f>IF($N3589="","",INDEX(LdBDate,$N3589))</f>
        <v/>
      </c>
      <c r="C3589" s="14">
        <f>IF($N3589="","",IF(INDEX(LdBId,$N3589)="","—",INDEX(LdBId,$N3589)))</f>
        <v/>
      </c>
      <c r="D3589" s="14">
        <f>IF($N3589="","",INDEX(LdBMember,$N3589))</f>
        <v/>
      </c>
      <c r="E3589" s="14">
        <f>IF($N3589="","",IFERROR(IF(VLOOKUP(INDEX(LdBMember,$N3589),AcctTblE,4,0)="","(بدون نام)",VLOOKUP(INDEX(LdBMember,$N3589),AcctTblE,4,0)),"—"))</f>
        <v/>
      </c>
      <c r="F3589" s="16">
        <f>IF($N3589="","",IF(INDEX(LdBAmt,$N3589)=0,"",INDEX(LdBAmt,$N3589)))</f>
        <v/>
      </c>
      <c r="G3589" s="30">
        <f>IF($N3589="","",IF(INDEX(LdBNote,$N3589)="","—",INDEX(LdBNote,$N3589)))</f>
        <v/>
      </c>
      <c r="N3589">
        <f>IFERROR(MATCH($C$5&amp;"|"&amp;RIGHT("000000"&amp;1569,6),LdBKeyG,0),"")</f>
        <v/>
      </c>
    </row>
    <row r="3590">
      <c r="A3590" s="19" t="n">
        <v>1570</v>
      </c>
      <c r="B3590" s="20">
        <f>IF($N3590="","",INDEX(LdBDate,$N3590))</f>
        <v/>
      </c>
      <c r="C3590" s="20">
        <f>IF($N3590="","",IF(INDEX(LdBId,$N3590)="","—",INDEX(LdBId,$N3590)))</f>
        <v/>
      </c>
      <c r="D3590" s="20">
        <f>IF($N3590="","",INDEX(LdBMember,$N3590))</f>
        <v/>
      </c>
      <c r="E3590" s="20">
        <f>IF($N3590="","",IFERROR(IF(VLOOKUP(INDEX(LdBMember,$N3590),AcctTblE,4,0)="","(بدون نام)",VLOOKUP(INDEX(LdBMember,$N3590),AcctTblE,4,0)),"—"))</f>
        <v/>
      </c>
      <c r="F3590" s="21">
        <f>IF($N3590="","",IF(INDEX(LdBAmt,$N3590)=0,"",INDEX(LdBAmt,$N3590)))</f>
        <v/>
      </c>
      <c r="G3590" s="32">
        <f>IF($N3590="","",IF(INDEX(LdBNote,$N3590)="","—",INDEX(LdBNote,$N3590)))</f>
        <v/>
      </c>
      <c r="N3590">
        <f>IFERROR(MATCH($C$5&amp;"|"&amp;RIGHT("000000"&amp;1570,6),LdBKeyG,0),"")</f>
        <v/>
      </c>
    </row>
    <row r="3591">
      <c r="A3591" s="10" t="n">
        <v>1571</v>
      </c>
      <c r="B3591" s="14">
        <f>IF($N3591="","",INDEX(LdBDate,$N3591))</f>
        <v/>
      </c>
      <c r="C3591" s="14">
        <f>IF($N3591="","",IF(INDEX(LdBId,$N3591)="","—",INDEX(LdBId,$N3591)))</f>
        <v/>
      </c>
      <c r="D3591" s="14">
        <f>IF($N3591="","",INDEX(LdBMember,$N3591))</f>
        <v/>
      </c>
      <c r="E3591" s="14">
        <f>IF($N3591="","",IFERROR(IF(VLOOKUP(INDEX(LdBMember,$N3591),AcctTblE,4,0)="","(بدون نام)",VLOOKUP(INDEX(LdBMember,$N3591),AcctTblE,4,0)),"—"))</f>
        <v/>
      </c>
      <c r="F3591" s="16">
        <f>IF($N3591="","",IF(INDEX(LdBAmt,$N3591)=0,"",INDEX(LdBAmt,$N3591)))</f>
        <v/>
      </c>
      <c r="G3591" s="30">
        <f>IF($N3591="","",IF(INDEX(LdBNote,$N3591)="","—",INDEX(LdBNote,$N3591)))</f>
        <v/>
      </c>
      <c r="N3591">
        <f>IFERROR(MATCH($C$5&amp;"|"&amp;RIGHT("000000"&amp;1571,6),LdBKeyG,0),"")</f>
        <v/>
      </c>
    </row>
    <row r="3592">
      <c r="A3592" s="19" t="n">
        <v>1572</v>
      </c>
      <c r="B3592" s="20">
        <f>IF($N3592="","",INDEX(LdBDate,$N3592))</f>
        <v/>
      </c>
      <c r="C3592" s="20">
        <f>IF($N3592="","",IF(INDEX(LdBId,$N3592)="","—",INDEX(LdBId,$N3592)))</f>
        <v/>
      </c>
      <c r="D3592" s="20">
        <f>IF($N3592="","",INDEX(LdBMember,$N3592))</f>
        <v/>
      </c>
      <c r="E3592" s="20">
        <f>IF($N3592="","",IFERROR(IF(VLOOKUP(INDEX(LdBMember,$N3592),AcctTblE,4,0)="","(بدون نام)",VLOOKUP(INDEX(LdBMember,$N3592),AcctTblE,4,0)),"—"))</f>
        <v/>
      </c>
      <c r="F3592" s="21">
        <f>IF($N3592="","",IF(INDEX(LdBAmt,$N3592)=0,"",INDEX(LdBAmt,$N3592)))</f>
        <v/>
      </c>
      <c r="G3592" s="32">
        <f>IF($N3592="","",IF(INDEX(LdBNote,$N3592)="","—",INDEX(LdBNote,$N3592)))</f>
        <v/>
      </c>
      <c r="N3592">
        <f>IFERROR(MATCH($C$5&amp;"|"&amp;RIGHT("000000"&amp;1572,6),LdBKeyG,0),"")</f>
        <v/>
      </c>
    </row>
    <row r="3593">
      <c r="A3593" s="10" t="n">
        <v>1573</v>
      </c>
      <c r="B3593" s="14">
        <f>IF($N3593="","",INDEX(LdBDate,$N3593))</f>
        <v/>
      </c>
      <c r="C3593" s="14">
        <f>IF($N3593="","",IF(INDEX(LdBId,$N3593)="","—",INDEX(LdBId,$N3593)))</f>
        <v/>
      </c>
      <c r="D3593" s="14">
        <f>IF($N3593="","",INDEX(LdBMember,$N3593))</f>
        <v/>
      </c>
      <c r="E3593" s="14">
        <f>IF($N3593="","",IFERROR(IF(VLOOKUP(INDEX(LdBMember,$N3593),AcctTblE,4,0)="","(بدون نام)",VLOOKUP(INDEX(LdBMember,$N3593),AcctTblE,4,0)),"—"))</f>
        <v/>
      </c>
      <c r="F3593" s="16">
        <f>IF($N3593="","",IF(INDEX(LdBAmt,$N3593)=0,"",INDEX(LdBAmt,$N3593)))</f>
        <v/>
      </c>
      <c r="G3593" s="30">
        <f>IF($N3593="","",IF(INDEX(LdBNote,$N3593)="","—",INDEX(LdBNote,$N3593)))</f>
        <v/>
      </c>
      <c r="N3593">
        <f>IFERROR(MATCH($C$5&amp;"|"&amp;RIGHT("000000"&amp;1573,6),LdBKeyG,0),"")</f>
        <v/>
      </c>
    </row>
    <row r="3594">
      <c r="A3594" s="19" t="n">
        <v>1574</v>
      </c>
      <c r="B3594" s="20">
        <f>IF($N3594="","",INDEX(LdBDate,$N3594))</f>
        <v/>
      </c>
      <c r="C3594" s="20">
        <f>IF($N3594="","",IF(INDEX(LdBId,$N3594)="","—",INDEX(LdBId,$N3594)))</f>
        <v/>
      </c>
      <c r="D3594" s="20">
        <f>IF($N3594="","",INDEX(LdBMember,$N3594))</f>
        <v/>
      </c>
      <c r="E3594" s="20">
        <f>IF($N3594="","",IFERROR(IF(VLOOKUP(INDEX(LdBMember,$N3594),AcctTblE,4,0)="","(بدون نام)",VLOOKUP(INDEX(LdBMember,$N3594),AcctTblE,4,0)),"—"))</f>
        <v/>
      </c>
      <c r="F3594" s="21">
        <f>IF($N3594="","",IF(INDEX(LdBAmt,$N3594)=0,"",INDEX(LdBAmt,$N3594)))</f>
        <v/>
      </c>
      <c r="G3594" s="32">
        <f>IF($N3594="","",IF(INDEX(LdBNote,$N3594)="","—",INDEX(LdBNote,$N3594)))</f>
        <v/>
      </c>
      <c r="N3594">
        <f>IFERROR(MATCH($C$5&amp;"|"&amp;RIGHT("000000"&amp;1574,6),LdBKeyG,0),"")</f>
        <v/>
      </c>
    </row>
    <row r="3595">
      <c r="A3595" s="10" t="n">
        <v>1575</v>
      </c>
      <c r="B3595" s="14">
        <f>IF($N3595="","",INDEX(LdBDate,$N3595))</f>
        <v/>
      </c>
      <c r="C3595" s="14">
        <f>IF($N3595="","",IF(INDEX(LdBId,$N3595)="","—",INDEX(LdBId,$N3595)))</f>
        <v/>
      </c>
      <c r="D3595" s="14">
        <f>IF($N3595="","",INDEX(LdBMember,$N3595))</f>
        <v/>
      </c>
      <c r="E3595" s="14">
        <f>IF($N3595="","",IFERROR(IF(VLOOKUP(INDEX(LdBMember,$N3595),AcctTblE,4,0)="","(بدون نام)",VLOOKUP(INDEX(LdBMember,$N3595),AcctTblE,4,0)),"—"))</f>
        <v/>
      </c>
      <c r="F3595" s="16">
        <f>IF($N3595="","",IF(INDEX(LdBAmt,$N3595)=0,"",INDEX(LdBAmt,$N3595)))</f>
        <v/>
      </c>
      <c r="G3595" s="30">
        <f>IF($N3595="","",IF(INDEX(LdBNote,$N3595)="","—",INDEX(LdBNote,$N3595)))</f>
        <v/>
      </c>
      <c r="N3595">
        <f>IFERROR(MATCH($C$5&amp;"|"&amp;RIGHT("000000"&amp;1575,6),LdBKeyG,0),"")</f>
        <v/>
      </c>
    </row>
    <row r="3596">
      <c r="A3596" s="19" t="n">
        <v>1576</v>
      </c>
      <c r="B3596" s="20">
        <f>IF($N3596="","",INDEX(LdBDate,$N3596))</f>
        <v/>
      </c>
      <c r="C3596" s="20">
        <f>IF($N3596="","",IF(INDEX(LdBId,$N3596)="","—",INDEX(LdBId,$N3596)))</f>
        <v/>
      </c>
      <c r="D3596" s="20">
        <f>IF($N3596="","",INDEX(LdBMember,$N3596))</f>
        <v/>
      </c>
      <c r="E3596" s="20">
        <f>IF($N3596="","",IFERROR(IF(VLOOKUP(INDEX(LdBMember,$N3596),AcctTblE,4,0)="","(بدون نام)",VLOOKUP(INDEX(LdBMember,$N3596),AcctTblE,4,0)),"—"))</f>
        <v/>
      </c>
      <c r="F3596" s="21">
        <f>IF($N3596="","",IF(INDEX(LdBAmt,$N3596)=0,"",INDEX(LdBAmt,$N3596)))</f>
        <v/>
      </c>
      <c r="G3596" s="32">
        <f>IF($N3596="","",IF(INDEX(LdBNote,$N3596)="","—",INDEX(LdBNote,$N3596)))</f>
        <v/>
      </c>
      <c r="N3596">
        <f>IFERROR(MATCH($C$5&amp;"|"&amp;RIGHT("000000"&amp;1576,6),LdBKeyG,0),"")</f>
        <v/>
      </c>
    </row>
    <row r="3597">
      <c r="A3597" s="10" t="n">
        <v>1577</v>
      </c>
      <c r="B3597" s="14">
        <f>IF($N3597="","",INDEX(LdBDate,$N3597))</f>
        <v/>
      </c>
      <c r="C3597" s="14">
        <f>IF($N3597="","",IF(INDEX(LdBId,$N3597)="","—",INDEX(LdBId,$N3597)))</f>
        <v/>
      </c>
      <c r="D3597" s="14">
        <f>IF($N3597="","",INDEX(LdBMember,$N3597))</f>
        <v/>
      </c>
      <c r="E3597" s="14">
        <f>IF($N3597="","",IFERROR(IF(VLOOKUP(INDEX(LdBMember,$N3597),AcctTblE,4,0)="","(بدون نام)",VLOOKUP(INDEX(LdBMember,$N3597),AcctTblE,4,0)),"—"))</f>
        <v/>
      </c>
      <c r="F3597" s="16">
        <f>IF($N3597="","",IF(INDEX(LdBAmt,$N3597)=0,"",INDEX(LdBAmt,$N3597)))</f>
        <v/>
      </c>
      <c r="G3597" s="30">
        <f>IF($N3597="","",IF(INDEX(LdBNote,$N3597)="","—",INDEX(LdBNote,$N3597)))</f>
        <v/>
      </c>
      <c r="N3597">
        <f>IFERROR(MATCH($C$5&amp;"|"&amp;RIGHT("000000"&amp;1577,6),LdBKeyG,0),"")</f>
        <v/>
      </c>
    </row>
    <row r="3598">
      <c r="A3598" s="19" t="n">
        <v>1578</v>
      </c>
      <c r="B3598" s="20">
        <f>IF($N3598="","",INDEX(LdBDate,$N3598))</f>
        <v/>
      </c>
      <c r="C3598" s="20">
        <f>IF($N3598="","",IF(INDEX(LdBId,$N3598)="","—",INDEX(LdBId,$N3598)))</f>
        <v/>
      </c>
      <c r="D3598" s="20">
        <f>IF($N3598="","",INDEX(LdBMember,$N3598))</f>
        <v/>
      </c>
      <c r="E3598" s="20">
        <f>IF($N3598="","",IFERROR(IF(VLOOKUP(INDEX(LdBMember,$N3598),AcctTblE,4,0)="","(بدون نام)",VLOOKUP(INDEX(LdBMember,$N3598),AcctTblE,4,0)),"—"))</f>
        <v/>
      </c>
      <c r="F3598" s="21">
        <f>IF($N3598="","",IF(INDEX(LdBAmt,$N3598)=0,"",INDEX(LdBAmt,$N3598)))</f>
        <v/>
      </c>
      <c r="G3598" s="32">
        <f>IF($N3598="","",IF(INDEX(LdBNote,$N3598)="","—",INDEX(LdBNote,$N3598)))</f>
        <v/>
      </c>
      <c r="N3598">
        <f>IFERROR(MATCH($C$5&amp;"|"&amp;RIGHT("000000"&amp;1578,6),LdBKeyG,0),"")</f>
        <v/>
      </c>
    </row>
    <row r="3599">
      <c r="A3599" s="10" t="n">
        <v>1579</v>
      </c>
      <c r="B3599" s="14">
        <f>IF($N3599="","",INDEX(LdBDate,$N3599))</f>
        <v/>
      </c>
      <c r="C3599" s="14">
        <f>IF($N3599="","",IF(INDEX(LdBId,$N3599)="","—",INDEX(LdBId,$N3599)))</f>
        <v/>
      </c>
      <c r="D3599" s="14">
        <f>IF($N3599="","",INDEX(LdBMember,$N3599))</f>
        <v/>
      </c>
      <c r="E3599" s="14">
        <f>IF($N3599="","",IFERROR(IF(VLOOKUP(INDEX(LdBMember,$N3599),AcctTblE,4,0)="","(بدون نام)",VLOOKUP(INDEX(LdBMember,$N3599),AcctTblE,4,0)),"—"))</f>
        <v/>
      </c>
      <c r="F3599" s="16">
        <f>IF($N3599="","",IF(INDEX(LdBAmt,$N3599)=0,"",INDEX(LdBAmt,$N3599)))</f>
        <v/>
      </c>
      <c r="G3599" s="30">
        <f>IF($N3599="","",IF(INDEX(LdBNote,$N3599)="","—",INDEX(LdBNote,$N3599)))</f>
        <v/>
      </c>
      <c r="N3599">
        <f>IFERROR(MATCH($C$5&amp;"|"&amp;RIGHT("000000"&amp;1579,6),LdBKeyG,0),"")</f>
        <v/>
      </c>
    </row>
    <row r="3600">
      <c r="A3600" s="19" t="n">
        <v>1580</v>
      </c>
      <c r="B3600" s="20">
        <f>IF($N3600="","",INDEX(LdBDate,$N3600))</f>
        <v/>
      </c>
      <c r="C3600" s="20">
        <f>IF($N3600="","",IF(INDEX(LdBId,$N3600)="","—",INDEX(LdBId,$N3600)))</f>
        <v/>
      </c>
      <c r="D3600" s="20">
        <f>IF($N3600="","",INDEX(LdBMember,$N3600))</f>
        <v/>
      </c>
      <c r="E3600" s="20">
        <f>IF($N3600="","",IFERROR(IF(VLOOKUP(INDEX(LdBMember,$N3600),AcctTblE,4,0)="","(بدون نام)",VLOOKUP(INDEX(LdBMember,$N3600),AcctTblE,4,0)),"—"))</f>
        <v/>
      </c>
      <c r="F3600" s="21">
        <f>IF($N3600="","",IF(INDEX(LdBAmt,$N3600)=0,"",INDEX(LdBAmt,$N3600)))</f>
        <v/>
      </c>
      <c r="G3600" s="32">
        <f>IF($N3600="","",IF(INDEX(LdBNote,$N3600)="","—",INDEX(LdBNote,$N3600)))</f>
        <v/>
      </c>
      <c r="N3600">
        <f>IFERROR(MATCH($C$5&amp;"|"&amp;RIGHT("000000"&amp;1580,6),LdBKeyG,0),"")</f>
        <v/>
      </c>
    </row>
    <row r="3601">
      <c r="A3601" s="10" t="n">
        <v>1581</v>
      </c>
      <c r="B3601" s="14">
        <f>IF($N3601="","",INDEX(LdBDate,$N3601))</f>
        <v/>
      </c>
      <c r="C3601" s="14">
        <f>IF($N3601="","",IF(INDEX(LdBId,$N3601)="","—",INDEX(LdBId,$N3601)))</f>
        <v/>
      </c>
      <c r="D3601" s="14">
        <f>IF($N3601="","",INDEX(LdBMember,$N3601))</f>
        <v/>
      </c>
      <c r="E3601" s="14">
        <f>IF($N3601="","",IFERROR(IF(VLOOKUP(INDEX(LdBMember,$N3601),AcctTblE,4,0)="","(بدون نام)",VLOOKUP(INDEX(LdBMember,$N3601),AcctTblE,4,0)),"—"))</f>
        <v/>
      </c>
      <c r="F3601" s="16">
        <f>IF($N3601="","",IF(INDEX(LdBAmt,$N3601)=0,"",INDEX(LdBAmt,$N3601)))</f>
        <v/>
      </c>
      <c r="G3601" s="30">
        <f>IF($N3601="","",IF(INDEX(LdBNote,$N3601)="","—",INDEX(LdBNote,$N3601)))</f>
        <v/>
      </c>
      <c r="N3601">
        <f>IFERROR(MATCH($C$5&amp;"|"&amp;RIGHT("000000"&amp;1581,6),LdBKeyG,0),"")</f>
        <v/>
      </c>
    </row>
    <row r="3602">
      <c r="A3602" s="19" t="n">
        <v>1582</v>
      </c>
      <c r="B3602" s="20">
        <f>IF($N3602="","",INDEX(LdBDate,$N3602))</f>
        <v/>
      </c>
      <c r="C3602" s="20">
        <f>IF($N3602="","",IF(INDEX(LdBId,$N3602)="","—",INDEX(LdBId,$N3602)))</f>
        <v/>
      </c>
      <c r="D3602" s="20">
        <f>IF($N3602="","",INDEX(LdBMember,$N3602))</f>
        <v/>
      </c>
      <c r="E3602" s="20">
        <f>IF($N3602="","",IFERROR(IF(VLOOKUP(INDEX(LdBMember,$N3602),AcctTblE,4,0)="","(بدون نام)",VLOOKUP(INDEX(LdBMember,$N3602),AcctTblE,4,0)),"—"))</f>
        <v/>
      </c>
      <c r="F3602" s="21">
        <f>IF($N3602="","",IF(INDEX(LdBAmt,$N3602)=0,"",INDEX(LdBAmt,$N3602)))</f>
        <v/>
      </c>
      <c r="G3602" s="32">
        <f>IF($N3602="","",IF(INDEX(LdBNote,$N3602)="","—",INDEX(LdBNote,$N3602)))</f>
        <v/>
      </c>
      <c r="N3602">
        <f>IFERROR(MATCH($C$5&amp;"|"&amp;RIGHT("000000"&amp;1582,6),LdBKeyG,0),"")</f>
        <v/>
      </c>
    </row>
    <row r="3603">
      <c r="A3603" s="10" t="n">
        <v>1583</v>
      </c>
      <c r="B3603" s="14">
        <f>IF($N3603="","",INDEX(LdBDate,$N3603))</f>
        <v/>
      </c>
      <c r="C3603" s="14">
        <f>IF($N3603="","",IF(INDEX(LdBId,$N3603)="","—",INDEX(LdBId,$N3603)))</f>
        <v/>
      </c>
      <c r="D3603" s="14">
        <f>IF($N3603="","",INDEX(LdBMember,$N3603))</f>
        <v/>
      </c>
      <c r="E3603" s="14">
        <f>IF($N3603="","",IFERROR(IF(VLOOKUP(INDEX(LdBMember,$N3603),AcctTblE,4,0)="","(بدون نام)",VLOOKUP(INDEX(LdBMember,$N3603),AcctTblE,4,0)),"—"))</f>
        <v/>
      </c>
      <c r="F3603" s="16">
        <f>IF($N3603="","",IF(INDEX(LdBAmt,$N3603)=0,"",INDEX(LdBAmt,$N3603)))</f>
        <v/>
      </c>
      <c r="G3603" s="30">
        <f>IF($N3603="","",IF(INDEX(LdBNote,$N3603)="","—",INDEX(LdBNote,$N3603)))</f>
        <v/>
      </c>
      <c r="N3603">
        <f>IFERROR(MATCH($C$5&amp;"|"&amp;RIGHT("000000"&amp;1583,6),LdBKeyG,0),"")</f>
        <v/>
      </c>
    </row>
    <row r="3604">
      <c r="A3604" s="19" t="n">
        <v>1584</v>
      </c>
      <c r="B3604" s="20">
        <f>IF($N3604="","",INDEX(LdBDate,$N3604))</f>
        <v/>
      </c>
      <c r="C3604" s="20">
        <f>IF($N3604="","",IF(INDEX(LdBId,$N3604)="","—",INDEX(LdBId,$N3604)))</f>
        <v/>
      </c>
      <c r="D3604" s="20">
        <f>IF($N3604="","",INDEX(LdBMember,$N3604))</f>
        <v/>
      </c>
      <c r="E3604" s="20">
        <f>IF($N3604="","",IFERROR(IF(VLOOKUP(INDEX(LdBMember,$N3604),AcctTblE,4,0)="","(بدون نام)",VLOOKUP(INDEX(LdBMember,$N3604),AcctTblE,4,0)),"—"))</f>
        <v/>
      </c>
      <c r="F3604" s="21">
        <f>IF($N3604="","",IF(INDEX(LdBAmt,$N3604)=0,"",INDEX(LdBAmt,$N3604)))</f>
        <v/>
      </c>
      <c r="G3604" s="32">
        <f>IF($N3604="","",IF(INDEX(LdBNote,$N3604)="","—",INDEX(LdBNote,$N3604)))</f>
        <v/>
      </c>
      <c r="N3604">
        <f>IFERROR(MATCH($C$5&amp;"|"&amp;RIGHT("000000"&amp;1584,6),LdBKeyG,0),"")</f>
        <v/>
      </c>
    </row>
    <row r="3605">
      <c r="A3605" s="10" t="n">
        <v>1585</v>
      </c>
      <c r="B3605" s="14">
        <f>IF($N3605="","",INDEX(LdBDate,$N3605))</f>
        <v/>
      </c>
      <c r="C3605" s="14">
        <f>IF($N3605="","",IF(INDEX(LdBId,$N3605)="","—",INDEX(LdBId,$N3605)))</f>
        <v/>
      </c>
      <c r="D3605" s="14">
        <f>IF($N3605="","",INDEX(LdBMember,$N3605))</f>
        <v/>
      </c>
      <c r="E3605" s="14">
        <f>IF($N3605="","",IFERROR(IF(VLOOKUP(INDEX(LdBMember,$N3605),AcctTblE,4,0)="","(بدون نام)",VLOOKUP(INDEX(LdBMember,$N3605),AcctTblE,4,0)),"—"))</f>
        <v/>
      </c>
      <c r="F3605" s="16">
        <f>IF($N3605="","",IF(INDEX(LdBAmt,$N3605)=0,"",INDEX(LdBAmt,$N3605)))</f>
        <v/>
      </c>
      <c r="G3605" s="30">
        <f>IF($N3605="","",IF(INDEX(LdBNote,$N3605)="","—",INDEX(LdBNote,$N3605)))</f>
        <v/>
      </c>
      <c r="N3605">
        <f>IFERROR(MATCH($C$5&amp;"|"&amp;RIGHT("000000"&amp;1585,6),LdBKeyG,0),"")</f>
        <v/>
      </c>
    </row>
    <row r="3606">
      <c r="A3606" s="19" t="n">
        <v>1586</v>
      </c>
      <c r="B3606" s="20">
        <f>IF($N3606="","",INDEX(LdBDate,$N3606))</f>
        <v/>
      </c>
      <c r="C3606" s="20">
        <f>IF($N3606="","",IF(INDEX(LdBId,$N3606)="","—",INDEX(LdBId,$N3606)))</f>
        <v/>
      </c>
      <c r="D3606" s="20">
        <f>IF($N3606="","",INDEX(LdBMember,$N3606))</f>
        <v/>
      </c>
      <c r="E3606" s="20">
        <f>IF($N3606="","",IFERROR(IF(VLOOKUP(INDEX(LdBMember,$N3606),AcctTblE,4,0)="","(بدون نام)",VLOOKUP(INDEX(LdBMember,$N3606),AcctTblE,4,0)),"—"))</f>
        <v/>
      </c>
      <c r="F3606" s="21">
        <f>IF($N3606="","",IF(INDEX(LdBAmt,$N3606)=0,"",INDEX(LdBAmt,$N3606)))</f>
        <v/>
      </c>
      <c r="G3606" s="32">
        <f>IF($N3606="","",IF(INDEX(LdBNote,$N3606)="","—",INDEX(LdBNote,$N3606)))</f>
        <v/>
      </c>
      <c r="N3606">
        <f>IFERROR(MATCH($C$5&amp;"|"&amp;RIGHT("000000"&amp;1586,6),LdBKeyG,0),"")</f>
        <v/>
      </c>
    </row>
    <row r="3607">
      <c r="A3607" s="10" t="n">
        <v>1587</v>
      </c>
      <c r="B3607" s="14">
        <f>IF($N3607="","",INDEX(LdBDate,$N3607))</f>
        <v/>
      </c>
      <c r="C3607" s="14">
        <f>IF($N3607="","",IF(INDEX(LdBId,$N3607)="","—",INDEX(LdBId,$N3607)))</f>
        <v/>
      </c>
      <c r="D3607" s="14">
        <f>IF($N3607="","",INDEX(LdBMember,$N3607))</f>
        <v/>
      </c>
      <c r="E3607" s="14">
        <f>IF($N3607="","",IFERROR(IF(VLOOKUP(INDEX(LdBMember,$N3607),AcctTblE,4,0)="","(بدون نام)",VLOOKUP(INDEX(LdBMember,$N3607),AcctTblE,4,0)),"—"))</f>
        <v/>
      </c>
      <c r="F3607" s="16">
        <f>IF($N3607="","",IF(INDEX(LdBAmt,$N3607)=0,"",INDEX(LdBAmt,$N3607)))</f>
        <v/>
      </c>
      <c r="G3607" s="30">
        <f>IF($N3607="","",IF(INDEX(LdBNote,$N3607)="","—",INDEX(LdBNote,$N3607)))</f>
        <v/>
      </c>
      <c r="N3607">
        <f>IFERROR(MATCH($C$5&amp;"|"&amp;RIGHT("000000"&amp;1587,6),LdBKeyG,0),"")</f>
        <v/>
      </c>
    </row>
    <row r="3608">
      <c r="A3608" s="19" t="n">
        <v>1588</v>
      </c>
      <c r="B3608" s="20">
        <f>IF($N3608="","",INDEX(LdBDate,$N3608))</f>
        <v/>
      </c>
      <c r="C3608" s="20">
        <f>IF($N3608="","",IF(INDEX(LdBId,$N3608)="","—",INDEX(LdBId,$N3608)))</f>
        <v/>
      </c>
      <c r="D3608" s="20">
        <f>IF($N3608="","",INDEX(LdBMember,$N3608))</f>
        <v/>
      </c>
      <c r="E3608" s="20">
        <f>IF($N3608="","",IFERROR(IF(VLOOKUP(INDEX(LdBMember,$N3608),AcctTblE,4,0)="","(بدون نام)",VLOOKUP(INDEX(LdBMember,$N3608),AcctTblE,4,0)),"—"))</f>
        <v/>
      </c>
      <c r="F3608" s="21">
        <f>IF($N3608="","",IF(INDEX(LdBAmt,$N3608)=0,"",INDEX(LdBAmt,$N3608)))</f>
        <v/>
      </c>
      <c r="G3608" s="32">
        <f>IF($N3608="","",IF(INDEX(LdBNote,$N3608)="","—",INDEX(LdBNote,$N3608)))</f>
        <v/>
      </c>
      <c r="N3608">
        <f>IFERROR(MATCH($C$5&amp;"|"&amp;RIGHT("000000"&amp;1588,6),LdBKeyG,0),"")</f>
        <v/>
      </c>
    </row>
    <row r="3609">
      <c r="A3609" s="10" t="n">
        <v>1589</v>
      </c>
      <c r="B3609" s="14">
        <f>IF($N3609="","",INDEX(LdBDate,$N3609))</f>
        <v/>
      </c>
      <c r="C3609" s="14">
        <f>IF($N3609="","",IF(INDEX(LdBId,$N3609)="","—",INDEX(LdBId,$N3609)))</f>
        <v/>
      </c>
      <c r="D3609" s="14">
        <f>IF($N3609="","",INDEX(LdBMember,$N3609))</f>
        <v/>
      </c>
      <c r="E3609" s="14">
        <f>IF($N3609="","",IFERROR(IF(VLOOKUP(INDEX(LdBMember,$N3609),AcctTblE,4,0)="","(بدون نام)",VLOOKUP(INDEX(LdBMember,$N3609),AcctTblE,4,0)),"—"))</f>
        <v/>
      </c>
      <c r="F3609" s="16">
        <f>IF($N3609="","",IF(INDEX(LdBAmt,$N3609)=0,"",INDEX(LdBAmt,$N3609)))</f>
        <v/>
      </c>
      <c r="G3609" s="30">
        <f>IF($N3609="","",IF(INDEX(LdBNote,$N3609)="","—",INDEX(LdBNote,$N3609)))</f>
        <v/>
      </c>
      <c r="N3609">
        <f>IFERROR(MATCH($C$5&amp;"|"&amp;RIGHT("000000"&amp;1589,6),LdBKeyG,0),"")</f>
        <v/>
      </c>
    </row>
    <row r="3610">
      <c r="A3610" s="19" t="n">
        <v>1590</v>
      </c>
      <c r="B3610" s="20">
        <f>IF($N3610="","",INDEX(LdBDate,$N3610))</f>
        <v/>
      </c>
      <c r="C3610" s="20">
        <f>IF($N3610="","",IF(INDEX(LdBId,$N3610)="","—",INDEX(LdBId,$N3610)))</f>
        <v/>
      </c>
      <c r="D3610" s="20">
        <f>IF($N3610="","",INDEX(LdBMember,$N3610))</f>
        <v/>
      </c>
      <c r="E3610" s="20">
        <f>IF($N3610="","",IFERROR(IF(VLOOKUP(INDEX(LdBMember,$N3610),AcctTblE,4,0)="","(بدون نام)",VLOOKUP(INDEX(LdBMember,$N3610),AcctTblE,4,0)),"—"))</f>
        <v/>
      </c>
      <c r="F3610" s="21">
        <f>IF($N3610="","",IF(INDEX(LdBAmt,$N3610)=0,"",INDEX(LdBAmt,$N3610)))</f>
        <v/>
      </c>
      <c r="G3610" s="32">
        <f>IF($N3610="","",IF(INDEX(LdBNote,$N3610)="","—",INDEX(LdBNote,$N3610)))</f>
        <v/>
      </c>
      <c r="N3610">
        <f>IFERROR(MATCH($C$5&amp;"|"&amp;RIGHT("000000"&amp;1590,6),LdBKeyG,0),"")</f>
        <v/>
      </c>
    </row>
    <row r="3611">
      <c r="A3611" s="10" t="n">
        <v>1591</v>
      </c>
      <c r="B3611" s="14">
        <f>IF($N3611="","",INDEX(LdBDate,$N3611))</f>
        <v/>
      </c>
      <c r="C3611" s="14">
        <f>IF($N3611="","",IF(INDEX(LdBId,$N3611)="","—",INDEX(LdBId,$N3611)))</f>
        <v/>
      </c>
      <c r="D3611" s="14">
        <f>IF($N3611="","",INDEX(LdBMember,$N3611))</f>
        <v/>
      </c>
      <c r="E3611" s="14">
        <f>IF($N3611="","",IFERROR(IF(VLOOKUP(INDEX(LdBMember,$N3611),AcctTblE,4,0)="","(بدون نام)",VLOOKUP(INDEX(LdBMember,$N3611),AcctTblE,4,0)),"—"))</f>
        <v/>
      </c>
      <c r="F3611" s="16">
        <f>IF($N3611="","",IF(INDEX(LdBAmt,$N3611)=0,"",INDEX(LdBAmt,$N3611)))</f>
        <v/>
      </c>
      <c r="G3611" s="30">
        <f>IF($N3611="","",IF(INDEX(LdBNote,$N3611)="","—",INDEX(LdBNote,$N3611)))</f>
        <v/>
      </c>
      <c r="N3611">
        <f>IFERROR(MATCH($C$5&amp;"|"&amp;RIGHT("000000"&amp;1591,6),LdBKeyG,0),"")</f>
        <v/>
      </c>
    </row>
    <row r="3612">
      <c r="A3612" s="19" t="n">
        <v>1592</v>
      </c>
      <c r="B3612" s="20">
        <f>IF($N3612="","",INDEX(LdBDate,$N3612))</f>
        <v/>
      </c>
      <c r="C3612" s="20">
        <f>IF($N3612="","",IF(INDEX(LdBId,$N3612)="","—",INDEX(LdBId,$N3612)))</f>
        <v/>
      </c>
      <c r="D3612" s="20">
        <f>IF($N3612="","",INDEX(LdBMember,$N3612))</f>
        <v/>
      </c>
      <c r="E3612" s="20">
        <f>IF($N3612="","",IFERROR(IF(VLOOKUP(INDEX(LdBMember,$N3612),AcctTblE,4,0)="","(بدون نام)",VLOOKUP(INDEX(LdBMember,$N3612),AcctTblE,4,0)),"—"))</f>
        <v/>
      </c>
      <c r="F3612" s="21">
        <f>IF($N3612="","",IF(INDEX(LdBAmt,$N3612)=0,"",INDEX(LdBAmt,$N3612)))</f>
        <v/>
      </c>
      <c r="G3612" s="32">
        <f>IF($N3612="","",IF(INDEX(LdBNote,$N3612)="","—",INDEX(LdBNote,$N3612)))</f>
        <v/>
      </c>
      <c r="N3612">
        <f>IFERROR(MATCH($C$5&amp;"|"&amp;RIGHT("000000"&amp;1592,6),LdBKeyG,0),"")</f>
        <v/>
      </c>
    </row>
    <row r="3613">
      <c r="A3613" s="10" t="n">
        <v>1593</v>
      </c>
      <c r="B3613" s="14">
        <f>IF($N3613="","",INDEX(LdBDate,$N3613))</f>
        <v/>
      </c>
      <c r="C3613" s="14">
        <f>IF($N3613="","",IF(INDEX(LdBId,$N3613)="","—",INDEX(LdBId,$N3613)))</f>
        <v/>
      </c>
      <c r="D3613" s="14">
        <f>IF($N3613="","",INDEX(LdBMember,$N3613))</f>
        <v/>
      </c>
      <c r="E3613" s="14">
        <f>IF($N3613="","",IFERROR(IF(VLOOKUP(INDEX(LdBMember,$N3613),AcctTblE,4,0)="","(بدون نام)",VLOOKUP(INDEX(LdBMember,$N3613),AcctTblE,4,0)),"—"))</f>
        <v/>
      </c>
      <c r="F3613" s="16">
        <f>IF($N3613="","",IF(INDEX(LdBAmt,$N3613)=0,"",INDEX(LdBAmt,$N3613)))</f>
        <v/>
      </c>
      <c r="G3613" s="30">
        <f>IF($N3613="","",IF(INDEX(LdBNote,$N3613)="","—",INDEX(LdBNote,$N3613)))</f>
        <v/>
      </c>
      <c r="N3613">
        <f>IFERROR(MATCH($C$5&amp;"|"&amp;RIGHT("000000"&amp;1593,6),LdBKeyG,0),"")</f>
        <v/>
      </c>
    </row>
    <row r="3614">
      <c r="A3614" s="19" t="n">
        <v>1594</v>
      </c>
      <c r="B3614" s="20">
        <f>IF($N3614="","",INDEX(LdBDate,$N3614))</f>
        <v/>
      </c>
      <c r="C3614" s="20">
        <f>IF($N3614="","",IF(INDEX(LdBId,$N3614)="","—",INDEX(LdBId,$N3614)))</f>
        <v/>
      </c>
      <c r="D3614" s="20">
        <f>IF($N3614="","",INDEX(LdBMember,$N3614))</f>
        <v/>
      </c>
      <c r="E3614" s="20">
        <f>IF($N3614="","",IFERROR(IF(VLOOKUP(INDEX(LdBMember,$N3614),AcctTblE,4,0)="","(بدون نام)",VLOOKUP(INDEX(LdBMember,$N3614),AcctTblE,4,0)),"—"))</f>
        <v/>
      </c>
      <c r="F3614" s="21">
        <f>IF($N3614="","",IF(INDEX(LdBAmt,$N3614)=0,"",INDEX(LdBAmt,$N3614)))</f>
        <v/>
      </c>
      <c r="G3614" s="32">
        <f>IF($N3614="","",IF(INDEX(LdBNote,$N3614)="","—",INDEX(LdBNote,$N3614)))</f>
        <v/>
      </c>
      <c r="N3614">
        <f>IFERROR(MATCH($C$5&amp;"|"&amp;RIGHT("000000"&amp;1594,6),LdBKeyG,0),"")</f>
        <v/>
      </c>
    </row>
    <row r="3615">
      <c r="A3615" s="10" t="n">
        <v>1595</v>
      </c>
      <c r="B3615" s="14">
        <f>IF($N3615="","",INDEX(LdBDate,$N3615))</f>
        <v/>
      </c>
      <c r="C3615" s="14">
        <f>IF($N3615="","",IF(INDEX(LdBId,$N3615)="","—",INDEX(LdBId,$N3615)))</f>
        <v/>
      </c>
      <c r="D3615" s="14">
        <f>IF($N3615="","",INDEX(LdBMember,$N3615))</f>
        <v/>
      </c>
      <c r="E3615" s="14">
        <f>IF($N3615="","",IFERROR(IF(VLOOKUP(INDEX(LdBMember,$N3615),AcctTblE,4,0)="","(بدون نام)",VLOOKUP(INDEX(LdBMember,$N3615),AcctTblE,4,0)),"—"))</f>
        <v/>
      </c>
      <c r="F3615" s="16">
        <f>IF($N3615="","",IF(INDEX(LdBAmt,$N3615)=0,"",INDEX(LdBAmt,$N3615)))</f>
        <v/>
      </c>
      <c r="G3615" s="30">
        <f>IF($N3615="","",IF(INDEX(LdBNote,$N3615)="","—",INDEX(LdBNote,$N3615)))</f>
        <v/>
      </c>
      <c r="N3615">
        <f>IFERROR(MATCH($C$5&amp;"|"&amp;RIGHT("000000"&amp;1595,6),LdBKeyG,0),"")</f>
        <v/>
      </c>
    </row>
    <row r="3616">
      <c r="A3616" s="19" t="n">
        <v>1596</v>
      </c>
      <c r="B3616" s="20">
        <f>IF($N3616="","",INDEX(LdBDate,$N3616))</f>
        <v/>
      </c>
      <c r="C3616" s="20">
        <f>IF($N3616="","",IF(INDEX(LdBId,$N3616)="","—",INDEX(LdBId,$N3616)))</f>
        <v/>
      </c>
      <c r="D3616" s="20">
        <f>IF($N3616="","",INDEX(LdBMember,$N3616))</f>
        <v/>
      </c>
      <c r="E3616" s="20">
        <f>IF($N3616="","",IFERROR(IF(VLOOKUP(INDEX(LdBMember,$N3616),AcctTblE,4,0)="","(بدون نام)",VLOOKUP(INDEX(LdBMember,$N3616),AcctTblE,4,0)),"—"))</f>
        <v/>
      </c>
      <c r="F3616" s="21">
        <f>IF($N3616="","",IF(INDEX(LdBAmt,$N3616)=0,"",INDEX(LdBAmt,$N3616)))</f>
        <v/>
      </c>
      <c r="G3616" s="32">
        <f>IF($N3616="","",IF(INDEX(LdBNote,$N3616)="","—",INDEX(LdBNote,$N3616)))</f>
        <v/>
      </c>
      <c r="N3616">
        <f>IFERROR(MATCH($C$5&amp;"|"&amp;RIGHT("000000"&amp;1596,6),LdBKeyG,0),"")</f>
        <v/>
      </c>
    </row>
    <row r="3617">
      <c r="A3617" s="10" t="n">
        <v>1597</v>
      </c>
      <c r="B3617" s="14">
        <f>IF($N3617="","",INDEX(LdBDate,$N3617))</f>
        <v/>
      </c>
      <c r="C3617" s="14">
        <f>IF($N3617="","",IF(INDEX(LdBId,$N3617)="","—",INDEX(LdBId,$N3617)))</f>
        <v/>
      </c>
      <c r="D3617" s="14">
        <f>IF($N3617="","",INDEX(LdBMember,$N3617))</f>
        <v/>
      </c>
      <c r="E3617" s="14">
        <f>IF($N3617="","",IFERROR(IF(VLOOKUP(INDEX(LdBMember,$N3617),AcctTblE,4,0)="","(بدون نام)",VLOOKUP(INDEX(LdBMember,$N3617),AcctTblE,4,0)),"—"))</f>
        <v/>
      </c>
      <c r="F3617" s="16">
        <f>IF($N3617="","",IF(INDEX(LdBAmt,$N3617)=0,"",INDEX(LdBAmt,$N3617)))</f>
        <v/>
      </c>
      <c r="G3617" s="30">
        <f>IF($N3617="","",IF(INDEX(LdBNote,$N3617)="","—",INDEX(LdBNote,$N3617)))</f>
        <v/>
      </c>
      <c r="N3617">
        <f>IFERROR(MATCH($C$5&amp;"|"&amp;RIGHT("000000"&amp;1597,6),LdBKeyG,0),"")</f>
        <v/>
      </c>
    </row>
    <row r="3618">
      <c r="A3618" s="19" t="n">
        <v>1598</v>
      </c>
      <c r="B3618" s="20">
        <f>IF($N3618="","",INDEX(LdBDate,$N3618))</f>
        <v/>
      </c>
      <c r="C3618" s="20">
        <f>IF($N3618="","",IF(INDEX(LdBId,$N3618)="","—",INDEX(LdBId,$N3618)))</f>
        <v/>
      </c>
      <c r="D3618" s="20">
        <f>IF($N3618="","",INDEX(LdBMember,$N3618))</f>
        <v/>
      </c>
      <c r="E3618" s="20">
        <f>IF($N3618="","",IFERROR(IF(VLOOKUP(INDEX(LdBMember,$N3618),AcctTblE,4,0)="","(بدون نام)",VLOOKUP(INDEX(LdBMember,$N3618),AcctTblE,4,0)),"—"))</f>
        <v/>
      </c>
      <c r="F3618" s="21">
        <f>IF($N3618="","",IF(INDEX(LdBAmt,$N3618)=0,"",INDEX(LdBAmt,$N3618)))</f>
        <v/>
      </c>
      <c r="G3618" s="32">
        <f>IF($N3618="","",IF(INDEX(LdBNote,$N3618)="","—",INDEX(LdBNote,$N3618)))</f>
        <v/>
      </c>
      <c r="N3618">
        <f>IFERROR(MATCH($C$5&amp;"|"&amp;RIGHT("000000"&amp;1598,6),LdBKeyG,0),"")</f>
        <v/>
      </c>
    </row>
    <row r="3619">
      <c r="A3619" s="10" t="n">
        <v>1599</v>
      </c>
      <c r="B3619" s="14">
        <f>IF($N3619="","",INDEX(LdBDate,$N3619))</f>
        <v/>
      </c>
      <c r="C3619" s="14">
        <f>IF($N3619="","",IF(INDEX(LdBId,$N3619)="","—",INDEX(LdBId,$N3619)))</f>
        <v/>
      </c>
      <c r="D3619" s="14">
        <f>IF($N3619="","",INDEX(LdBMember,$N3619))</f>
        <v/>
      </c>
      <c r="E3619" s="14">
        <f>IF($N3619="","",IFERROR(IF(VLOOKUP(INDEX(LdBMember,$N3619),AcctTblE,4,0)="","(بدون نام)",VLOOKUP(INDEX(LdBMember,$N3619),AcctTblE,4,0)),"—"))</f>
        <v/>
      </c>
      <c r="F3619" s="16">
        <f>IF($N3619="","",IF(INDEX(LdBAmt,$N3619)=0,"",INDEX(LdBAmt,$N3619)))</f>
        <v/>
      </c>
      <c r="G3619" s="30">
        <f>IF($N3619="","",IF(INDEX(LdBNote,$N3619)="","—",INDEX(LdBNote,$N3619)))</f>
        <v/>
      </c>
      <c r="N3619">
        <f>IFERROR(MATCH($C$5&amp;"|"&amp;RIGHT("000000"&amp;1599,6),LdBKeyG,0),"")</f>
        <v/>
      </c>
    </row>
    <row r="3620">
      <c r="A3620" s="19" t="n">
        <v>1600</v>
      </c>
      <c r="B3620" s="20">
        <f>IF($N3620="","",INDEX(LdBDate,$N3620))</f>
        <v/>
      </c>
      <c r="C3620" s="20">
        <f>IF($N3620="","",IF(INDEX(LdBId,$N3620)="","—",INDEX(LdBId,$N3620)))</f>
        <v/>
      </c>
      <c r="D3620" s="20">
        <f>IF($N3620="","",INDEX(LdBMember,$N3620))</f>
        <v/>
      </c>
      <c r="E3620" s="20">
        <f>IF($N3620="","",IFERROR(IF(VLOOKUP(INDEX(LdBMember,$N3620),AcctTblE,4,0)="","(بدون نام)",VLOOKUP(INDEX(LdBMember,$N3620),AcctTblE,4,0)),"—"))</f>
        <v/>
      </c>
      <c r="F3620" s="21">
        <f>IF($N3620="","",IF(INDEX(LdBAmt,$N3620)=0,"",INDEX(LdBAmt,$N3620)))</f>
        <v/>
      </c>
      <c r="G3620" s="32">
        <f>IF($N3620="","",IF(INDEX(LdBNote,$N3620)="","—",INDEX(LdBNote,$N3620)))</f>
        <v/>
      </c>
      <c r="N3620">
        <f>IFERROR(MATCH($C$5&amp;"|"&amp;RIGHT("000000"&amp;1600,6),LdBKeyG,0),"")</f>
        <v/>
      </c>
    </row>
    <row r="3621">
      <c r="A3621" s="10" t="n">
        <v>1601</v>
      </c>
      <c r="B3621" s="14">
        <f>IF($N3621="","",INDEX(LdBDate,$N3621))</f>
        <v/>
      </c>
      <c r="C3621" s="14">
        <f>IF($N3621="","",IF(INDEX(LdBId,$N3621)="","—",INDEX(LdBId,$N3621)))</f>
        <v/>
      </c>
      <c r="D3621" s="14">
        <f>IF($N3621="","",INDEX(LdBMember,$N3621))</f>
        <v/>
      </c>
      <c r="E3621" s="14">
        <f>IF($N3621="","",IFERROR(IF(VLOOKUP(INDEX(LdBMember,$N3621),AcctTblE,4,0)="","(بدون نام)",VLOOKUP(INDEX(LdBMember,$N3621),AcctTblE,4,0)),"—"))</f>
        <v/>
      </c>
      <c r="F3621" s="16">
        <f>IF($N3621="","",IF(INDEX(LdBAmt,$N3621)=0,"",INDEX(LdBAmt,$N3621)))</f>
        <v/>
      </c>
      <c r="G3621" s="30">
        <f>IF($N3621="","",IF(INDEX(LdBNote,$N3621)="","—",INDEX(LdBNote,$N3621)))</f>
        <v/>
      </c>
      <c r="N3621">
        <f>IFERROR(MATCH($C$5&amp;"|"&amp;RIGHT("000000"&amp;1601,6),LdBKeyG,0),"")</f>
        <v/>
      </c>
    </row>
    <row r="3622">
      <c r="A3622" s="19" t="n">
        <v>1602</v>
      </c>
      <c r="B3622" s="20">
        <f>IF($N3622="","",INDEX(LdBDate,$N3622))</f>
        <v/>
      </c>
      <c r="C3622" s="20">
        <f>IF($N3622="","",IF(INDEX(LdBId,$N3622)="","—",INDEX(LdBId,$N3622)))</f>
        <v/>
      </c>
      <c r="D3622" s="20">
        <f>IF($N3622="","",INDEX(LdBMember,$N3622))</f>
        <v/>
      </c>
      <c r="E3622" s="20">
        <f>IF($N3622="","",IFERROR(IF(VLOOKUP(INDEX(LdBMember,$N3622),AcctTblE,4,0)="","(بدون نام)",VLOOKUP(INDEX(LdBMember,$N3622),AcctTblE,4,0)),"—"))</f>
        <v/>
      </c>
      <c r="F3622" s="21">
        <f>IF($N3622="","",IF(INDEX(LdBAmt,$N3622)=0,"",INDEX(LdBAmt,$N3622)))</f>
        <v/>
      </c>
      <c r="G3622" s="32">
        <f>IF($N3622="","",IF(INDEX(LdBNote,$N3622)="","—",INDEX(LdBNote,$N3622)))</f>
        <v/>
      </c>
      <c r="N3622">
        <f>IFERROR(MATCH($C$5&amp;"|"&amp;RIGHT("000000"&amp;1602,6),LdBKeyG,0),"")</f>
        <v/>
      </c>
    </row>
    <row r="3623">
      <c r="A3623" s="10" t="n">
        <v>1603</v>
      </c>
      <c r="B3623" s="14">
        <f>IF($N3623="","",INDEX(LdBDate,$N3623))</f>
        <v/>
      </c>
      <c r="C3623" s="14">
        <f>IF($N3623="","",IF(INDEX(LdBId,$N3623)="","—",INDEX(LdBId,$N3623)))</f>
        <v/>
      </c>
      <c r="D3623" s="14">
        <f>IF($N3623="","",INDEX(LdBMember,$N3623))</f>
        <v/>
      </c>
      <c r="E3623" s="14">
        <f>IF($N3623="","",IFERROR(IF(VLOOKUP(INDEX(LdBMember,$N3623),AcctTblE,4,0)="","(بدون نام)",VLOOKUP(INDEX(LdBMember,$N3623),AcctTblE,4,0)),"—"))</f>
        <v/>
      </c>
      <c r="F3623" s="16">
        <f>IF($N3623="","",IF(INDEX(LdBAmt,$N3623)=0,"",INDEX(LdBAmt,$N3623)))</f>
        <v/>
      </c>
      <c r="G3623" s="30">
        <f>IF($N3623="","",IF(INDEX(LdBNote,$N3623)="","—",INDEX(LdBNote,$N3623)))</f>
        <v/>
      </c>
      <c r="N3623">
        <f>IFERROR(MATCH($C$5&amp;"|"&amp;RIGHT("000000"&amp;1603,6),LdBKeyG,0),"")</f>
        <v/>
      </c>
    </row>
    <row r="3624">
      <c r="A3624" s="19" t="n">
        <v>1604</v>
      </c>
      <c r="B3624" s="20">
        <f>IF($N3624="","",INDEX(LdBDate,$N3624))</f>
        <v/>
      </c>
      <c r="C3624" s="20">
        <f>IF($N3624="","",IF(INDEX(LdBId,$N3624)="","—",INDEX(LdBId,$N3624)))</f>
        <v/>
      </c>
      <c r="D3624" s="20">
        <f>IF($N3624="","",INDEX(LdBMember,$N3624))</f>
        <v/>
      </c>
      <c r="E3624" s="20">
        <f>IF($N3624="","",IFERROR(IF(VLOOKUP(INDEX(LdBMember,$N3624),AcctTblE,4,0)="","(بدون نام)",VLOOKUP(INDEX(LdBMember,$N3624),AcctTblE,4,0)),"—"))</f>
        <v/>
      </c>
      <c r="F3624" s="21">
        <f>IF($N3624="","",IF(INDEX(LdBAmt,$N3624)=0,"",INDEX(LdBAmt,$N3624)))</f>
        <v/>
      </c>
      <c r="G3624" s="32">
        <f>IF($N3624="","",IF(INDEX(LdBNote,$N3624)="","—",INDEX(LdBNote,$N3624)))</f>
        <v/>
      </c>
      <c r="N3624">
        <f>IFERROR(MATCH($C$5&amp;"|"&amp;RIGHT("000000"&amp;1604,6),LdBKeyG,0),"")</f>
        <v/>
      </c>
    </row>
    <row r="3625">
      <c r="A3625" s="10" t="n">
        <v>1605</v>
      </c>
      <c r="B3625" s="14">
        <f>IF($N3625="","",INDEX(LdBDate,$N3625))</f>
        <v/>
      </c>
      <c r="C3625" s="14">
        <f>IF($N3625="","",IF(INDEX(LdBId,$N3625)="","—",INDEX(LdBId,$N3625)))</f>
        <v/>
      </c>
      <c r="D3625" s="14">
        <f>IF($N3625="","",INDEX(LdBMember,$N3625))</f>
        <v/>
      </c>
      <c r="E3625" s="14">
        <f>IF($N3625="","",IFERROR(IF(VLOOKUP(INDEX(LdBMember,$N3625),AcctTblE,4,0)="","(بدون نام)",VLOOKUP(INDEX(LdBMember,$N3625),AcctTblE,4,0)),"—"))</f>
        <v/>
      </c>
      <c r="F3625" s="16">
        <f>IF($N3625="","",IF(INDEX(LdBAmt,$N3625)=0,"",INDEX(LdBAmt,$N3625)))</f>
        <v/>
      </c>
      <c r="G3625" s="30">
        <f>IF($N3625="","",IF(INDEX(LdBNote,$N3625)="","—",INDEX(LdBNote,$N3625)))</f>
        <v/>
      </c>
      <c r="N3625">
        <f>IFERROR(MATCH($C$5&amp;"|"&amp;RIGHT("000000"&amp;1605,6),LdBKeyG,0),"")</f>
        <v/>
      </c>
    </row>
    <row r="3626">
      <c r="A3626" s="19" t="n">
        <v>1606</v>
      </c>
      <c r="B3626" s="20">
        <f>IF($N3626="","",INDEX(LdBDate,$N3626))</f>
        <v/>
      </c>
      <c r="C3626" s="20">
        <f>IF($N3626="","",IF(INDEX(LdBId,$N3626)="","—",INDEX(LdBId,$N3626)))</f>
        <v/>
      </c>
      <c r="D3626" s="20">
        <f>IF($N3626="","",INDEX(LdBMember,$N3626))</f>
        <v/>
      </c>
      <c r="E3626" s="20">
        <f>IF($N3626="","",IFERROR(IF(VLOOKUP(INDEX(LdBMember,$N3626),AcctTblE,4,0)="","(بدون نام)",VLOOKUP(INDEX(LdBMember,$N3626),AcctTblE,4,0)),"—"))</f>
        <v/>
      </c>
      <c r="F3626" s="21">
        <f>IF($N3626="","",IF(INDEX(LdBAmt,$N3626)=0,"",INDEX(LdBAmt,$N3626)))</f>
        <v/>
      </c>
      <c r="G3626" s="32">
        <f>IF($N3626="","",IF(INDEX(LdBNote,$N3626)="","—",INDEX(LdBNote,$N3626)))</f>
        <v/>
      </c>
      <c r="N3626">
        <f>IFERROR(MATCH($C$5&amp;"|"&amp;RIGHT("000000"&amp;1606,6),LdBKeyG,0),"")</f>
        <v/>
      </c>
    </row>
    <row r="3627">
      <c r="A3627" s="10" t="n">
        <v>1607</v>
      </c>
      <c r="B3627" s="14">
        <f>IF($N3627="","",INDEX(LdBDate,$N3627))</f>
        <v/>
      </c>
      <c r="C3627" s="14">
        <f>IF($N3627="","",IF(INDEX(LdBId,$N3627)="","—",INDEX(LdBId,$N3627)))</f>
        <v/>
      </c>
      <c r="D3627" s="14">
        <f>IF($N3627="","",INDEX(LdBMember,$N3627))</f>
        <v/>
      </c>
      <c r="E3627" s="14">
        <f>IF($N3627="","",IFERROR(IF(VLOOKUP(INDEX(LdBMember,$N3627),AcctTblE,4,0)="","(بدون نام)",VLOOKUP(INDEX(LdBMember,$N3627),AcctTblE,4,0)),"—"))</f>
        <v/>
      </c>
      <c r="F3627" s="16">
        <f>IF($N3627="","",IF(INDEX(LdBAmt,$N3627)=0,"",INDEX(LdBAmt,$N3627)))</f>
        <v/>
      </c>
      <c r="G3627" s="30">
        <f>IF($N3627="","",IF(INDEX(LdBNote,$N3627)="","—",INDEX(LdBNote,$N3627)))</f>
        <v/>
      </c>
      <c r="N3627">
        <f>IFERROR(MATCH($C$5&amp;"|"&amp;RIGHT("000000"&amp;1607,6),LdBKeyG,0),"")</f>
        <v/>
      </c>
    </row>
    <row r="3628">
      <c r="A3628" s="19" t="n">
        <v>1608</v>
      </c>
      <c r="B3628" s="20">
        <f>IF($N3628="","",INDEX(LdBDate,$N3628))</f>
        <v/>
      </c>
      <c r="C3628" s="20">
        <f>IF($N3628="","",IF(INDEX(LdBId,$N3628)="","—",INDEX(LdBId,$N3628)))</f>
        <v/>
      </c>
      <c r="D3628" s="20">
        <f>IF($N3628="","",INDEX(LdBMember,$N3628))</f>
        <v/>
      </c>
      <c r="E3628" s="20">
        <f>IF($N3628="","",IFERROR(IF(VLOOKUP(INDEX(LdBMember,$N3628),AcctTblE,4,0)="","(بدون نام)",VLOOKUP(INDEX(LdBMember,$N3628),AcctTblE,4,0)),"—"))</f>
        <v/>
      </c>
      <c r="F3628" s="21">
        <f>IF($N3628="","",IF(INDEX(LdBAmt,$N3628)=0,"",INDEX(LdBAmt,$N3628)))</f>
        <v/>
      </c>
      <c r="G3628" s="32">
        <f>IF($N3628="","",IF(INDEX(LdBNote,$N3628)="","—",INDEX(LdBNote,$N3628)))</f>
        <v/>
      </c>
      <c r="N3628">
        <f>IFERROR(MATCH($C$5&amp;"|"&amp;RIGHT("000000"&amp;1608,6),LdBKeyG,0),"")</f>
        <v/>
      </c>
    </row>
    <row r="3629">
      <c r="A3629" s="10" t="n">
        <v>1609</v>
      </c>
      <c r="B3629" s="14">
        <f>IF($N3629="","",INDEX(LdBDate,$N3629))</f>
        <v/>
      </c>
      <c r="C3629" s="14">
        <f>IF($N3629="","",IF(INDEX(LdBId,$N3629)="","—",INDEX(LdBId,$N3629)))</f>
        <v/>
      </c>
      <c r="D3629" s="14">
        <f>IF($N3629="","",INDEX(LdBMember,$N3629))</f>
        <v/>
      </c>
      <c r="E3629" s="14">
        <f>IF($N3629="","",IFERROR(IF(VLOOKUP(INDEX(LdBMember,$N3629),AcctTblE,4,0)="","(بدون نام)",VLOOKUP(INDEX(LdBMember,$N3629),AcctTblE,4,0)),"—"))</f>
        <v/>
      </c>
      <c r="F3629" s="16">
        <f>IF($N3629="","",IF(INDEX(LdBAmt,$N3629)=0,"",INDEX(LdBAmt,$N3629)))</f>
        <v/>
      </c>
      <c r="G3629" s="30">
        <f>IF($N3629="","",IF(INDEX(LdBNote,$N3629)="","—",INDEX(LdBNote,$N3629)))</f>
        <v/>
      </c>
      <c r="N3629">
        <f>IFERROR(MATCH($C$5&amp;"|"&amp;RIGHT("000000"&amp;1609,6),LdBKeyG,0),"")</f>
        <v/>
      </c>
    </row>
    <row r="3630">
      <c r="A3630" s="19" t="n">
        <v>1610</v>
      </c>
      <c r="B3630" s="20">
        <f>IF($N3630="","",INDEX(LdBDate,$N3630))</f>
        <v/>
      </c>
      <c r="C3630" s="20">
        <f>IF($N3630="","",IF(INDEX(LdBId,$N3630)="","—",INDEX(LdBId,$N3630)))</f>
        <v/>
      </c>
      <c r="D3630" s="20">
        <f>IF($N3630="","",INDEX(LdBMember,$N3630))</f>
        <v/>
      </c>
      <c r="E3630" s="20">
        <f>IF($N3630="","",IFERROR(IF(VLOOKUP(INDEX(LdBMember,$N3630),AcctTblE,4,0)="","(بدون نام)",VLOOKUP(INDEX(LdBMember,$N3630),AcctTblE,4,0)),"—"))</f>
        <v/>
      </c>
      <c r="F3630" s="21">
        <f>IF($N3630="","",IF(INDEX(LdBAmt,$N3630)=0,"",INDEX(LdBAmt,$N3630)))</f>
        <v/>
      </c>
      <c r="G3630" s="32">
        <f>IF($N3630="","",IF(INDEX(LdBNote,$N3630)="","—",INDEX(LdBNote,$N3630)))</f>
        <v/>
      </c>
      <c r="N3630">
        <f>IFERROR(MATCH($C$5&amp;"|"&amp;RIGHT("000000"&amp;1610,6),LdBKeyG,0),"")</f>
        <v/>
      </c>
    </row>
    <row r="3631">
      <c r="A3631" s="10" t="n">
        <v>1611</v>
      </c>
      <c r="B3631" s="14">
        <f>IF($N3631="","",INDEX(LdBDate,$N3631))</f>
        <v/>
      </c>
      <c r="C3631" s="14">
        <f>IF($N3631="","",IF(INDEX(LdBId,$N3631)="","—",INDEX(LdBId,$N3631)))</f>
        <v/>
      </c>
      <c r="D3631" s="14">
        <f>IF($N3631="","",INDEX(LdBMember,$N3631))</f>
        <v/>
      </c>
      <c r="E3631" s="14">
        <f>IF($N3631="","",IFERROR(IF(VLOOKUP(INDEX(LdBMember,$N3631),AcctTblE,4,0)="","(بدون نام)",VLOOKUP(INDEX(LdBMember,$N3631),AcctTblE,4,0)),"—"))</f>
        <v/>
      </c>
      <c r="F3631" s="16">
        <f>IF($N3631="","",IF(INDEX(LdBAmt,$N3631)=0,"",INDEX(LdBAmt,$N3631)))</f>
        <v/>
      </c>
      <c r="G3631" s="30">
        <f>IF($N3631="","",IF(INDEX(LdBNote,$N3631)="","—",INDEX(LdBNote,$N3631)))</f>
        <v/>
      </c>
      <c r="N3631">
        <f>IFERROR(MATCH($C$5&amp;"|"&amp;RIGHT("000000"&amp;1611,6),LdBKeyG,0),"")</f>
        <v/>
      </c>
    </row>
    <row r="3632">
      <c r="A3632" s="19" t="n">
        <v>1612</v>
      </c>
      <c r="B3632" s="20">
        <f>IF($N3632="","",INDEX(LdBDate,$N3632))</f>
        <v/>
      </c>
      <c r="C3632" s="20">
        <f>IF($N3632="","",IF(INDEX(LdBId,$N3632)="","—",INDEX(LdBId,$N3632)))</f>
        <v/>
      </c>
      <c r="D3632" s="20">
        <f>IF($N3632="","",INDEX(LdBMember,$N3632))</f>
        <v/>
      </c>
      <c r="E3632" s="20">
        <f>IF($N3632="","",IFERROR(IF(VLOOKUP(INDEX(LdBMember,$N3632),AcctTblE,4,0)="","(بدون نام)",VLOOKUP(INDEX(LdBMember,$N3632),AcctTblE,4,0)),"—"))</f>
        <v/>
      </c>
      <c r="F3632" s="21">
        <f>IF($N3632="","",IF(INDEX(LdBAmt,$N3632)=0,"",INDEX(LdBAmt,$N3632)))</f>
        <v/>
      </c>
      <c r="G3632" s="32">
        <f>IF($N3632="","",IF(INDEX(LdBNote,$N3632)="","—",INDEX(LdBNote,$N3632)))</f>
        <v/>
      </c>
      <c r="N3632">
        <f>IFERROR(MATCH($C$5&amp;"|"&amp;RIGHT("000000"&amp;1612,6),LdBKeyG,0),"")</f>
        <v/>
      </c>
    </row>
    <row r="3633">
      <c r="A3633" s="10" t="n">
        <v>1613</v>
      </c>
      <c r="B3633" s="14">
        <f>IF($N3633="","",INDEX(LdBDate,$N3633))</f>
        <v/>
      </c>
      <c r="C3633" s="14">
        <f>IF($N3633="","",IF(INDEX(LdBId,$N3633)="","—",INDEX(LdBId,$N3633)))</f>
        <v/>
      </c>
      <c r="D3633" s="14">
        <f>IF($N3633="","",INDEX(LdBMember,$N3633))</f>
        <v/>
      </c>
      <c r="E3633" s="14">
        <f>IF($N3633="","",IFERROR(IF(VLOOKUP(INDEX(LdBMember,$N3633),AcctTblE,4,0)="","(بدون نام)",VLOOKUP(INDEX(LdBMember,$N3633),AcctTblE,4,0)),"—"))</f>
        <v/>
      </c>
      <c r="F3633" s="16">
        <f>IF($N3633="","",IF(INDEX(LdBAmt,$N3633)=0,"",INDEX(LdBAmt,$N3633)))</f>
        <v/>
      </c>
      <c r="G3633" s="30">
        <f>IF($N3633="","",IF(INDEX(LdBNote,$N3633)="","—",INDEX(LdBNote,$N3633)))</f>
        <v/>
      </c>
      <c r="N3633">
        <f>IFERROR(MATCH($C$5&amp;"|"&amp;RIGHT("000000"&amp;1613,6),LdBKeyG,0),"")</f>
        <v/>
      </c>
    </row>
    <row r="3634">
      <c r="A3634" s="19" t="n">
        <v>1614</v>
      </c>
      <c r="B3634" s="20">
        <f>IF($N3634="","",INDEX(LdBDate,$N3634))</f>
        <v/>
      </c>
      <c r="C3634" s="20">
        <f>IF($N3634="","",IF(INDEX(LdBId,$N3634)="","—",INDEX(LdBId,$N3634)))</f>
        <v/>
      </c>
      <c r="D3634" s="20">
        <f>IF($N3634="","",INDEX(LdBMember,$N3634))</f>
        <v/>
      </c>
      <c r="E3634" s="20">
        <f>IF($N3634="","",IFERROR(IF(VLOOKUP(INDEX(LdBMember,$N3634),AcctTblE,4,0)="","(بدون نام)",VLOOKUP(INDEX(LdBMember,$N3634),AcctTblE,4,0)),"—"))</f>
        <v/>
      </c>
      <c r="F3634" s="21">
        <f>IF($N3634="","",IF(INDEX(LdBAmt,$N3634)=0,"",INDEX(LdBAmt,$N3634)))</f>
        <v/>
      </c>
      <c r="G3634" s="32">
        <f>IF($N3634="","",IF(INDEX(LdBNote,$N3634)="","—",INDEX(LdBNote,$N3634)))</f>
        <v/>
      </c>
      <c r="N3634">
        <f>IFERROR(MATCH($C$5&amp;"|"&amp;RIGHT("000000"&amp;1614,6),LdBKeyG,0),"")</f>
        <v/>
      </c>
    </row>
    <row r="3635">
      <c r="A3635" s="10" t="n">
        <v>1615</v>
      </c>
      <c r="B3635" s="14">
        <f>IF($N3635="","",INDEX(LdBDate,$N3635))</f>
        <v/>
      </c>
      <c r="C3635" s="14">
        <f>IF($N3635="","",IF(INDEX(LdBId,$N3635)="","—",INDEX(LdBId,$N3635)))</f>
        <v/>
      </c>
      <c r="D3635" s="14">
        <f>IF($N3635="","",INDEX(LdBMember,$N3635))</f>
        <v/>
      </c>
      <c r="E3635" s="14">
        <f>IF($N3635="","",IFERROR(IF(VLOOKUP(INDEX(LdBMember,$N3635),AcctTblE,4,0)="","(بدون نام)",VLOOKUP(INDEX(LdBMember,$N3635),AcctTblE,4,0)),"—"))</f>
        <v/>
      </c>
      <c r="F3635" s="16">
        <f>IF($N3635="","",IF(INDEX(LdBAmt,$N3635)=0,"",INDEX(LdBAmt,$N3635)))</f>
        <v/>
      </c>
      <c r="G3635" s="30">
        <f>IF($N3635="","",IF(INDEX(LdBNote,$N3635)="","—",INDEX(LdBNote,$N3635)))</f>
        <v/>
      </c>
      <c r="N3635">
        <f>IFERROR(MATCH($C$5&amp;"|"&amp;RIGHT("000000"&amp;1615,6),LdBKeyG,0),"")</f>
        <v/>
      </c>
    </row>
    <row r="3636">
      <c r="A3636" s="19" t="n">
        <v>1616</v>
      </c>
      <c r="B3636" s="20">
        <f>IF($N3636="","",INDEX(LdBDate,$N3636))</f>
        <v/>
      </c>
      <c r="C3636" s="20">
        <f>IF($N3636="","",IF(INDEX(LdBId,$N3636)="","—",INDEX(LdBId,$N3636)))</f>
        <v/>
      </c>
      <c r="D3636" s="20">
        <f>IF($N3636="","",INDEX(LdBMember,$N3636))</f>
        <v/>
      </c>
      <c r="E3636" s="20">
        <f>IF($N3636="","",IFERROR(IF(VLOOKUP(INDEX(LdBMember,$N3636),AcctTblE,4,0)="","(بدون نام)",VLOOKUP(INDEX(LdBMember,$N3636),AcctTblE,4,0)),"—"))</f>
        <v/>
      </c>
      <c r="F3636" s="21">
        <f>IF($N3636="","",IF(INDEX(LdBAmt,$N3636)=0,"",INDEX(LdBAmt,$N3636)))</f>
        <v/>
      </c>
      <c r="G3636" s="32">
        <f>IF($N3636="","",IF(INDEX(LdBNote,$N3636)="","—",INDEX(LdBNote,$N3636)))</f>
        <v/>
      </c>
      <c r="N3636">
        <f>IFERROR(MATCH($C$5&amp;"|"&amp;RIGHT("000000"&amp;1616,6),LdBKeyG,0),"")</f>
        <v/>
      </c>
    </row>
    <row r="3637">
      <c r="A3637" s="10" t="n">
        <v>1617</v>
      </c>
      <c r="B3637" s="14">
        <f>IF($N3637="","",INDEX(LdBDate,$N3637))</f>
        <v/>
      </c>
      <c r="C3637" s="14">
        <f>IF($N3637="","",IF(INDEX(LdBId,$N3637)="","—",INDEX(LdBId,$N3637)))</f>
        <v/>
      </c>
      <c r="D3637" s="14">
        <f>IF($N3637="","",INDEX(LdBMember,$N3637))</f>
        <v/>
      </c>
      <c r="E3637" s="14">
        <f>IF($N3637="","",IFERROR(IF(VLOOKUP(INDEX(LdBMember,$N3637),AcctTblE,4,0)="","(بدون نام)",VLOOKUP(INDEX(LdBMember,$N3637),AcctTblE,4,0)),"—"))</f>
        <v/>
      </c>
      <c r="F3637" s="16">
        <f>IF($N3637="","",IF(INDEX(LdBAmt,$N3637)=0,"",INDEX(LdBAmt,$N3637)))</f>
        <v/>
      </c>
      <c r="G3637" s="30">
        <f>IF($N3637="","",IF(INDEX(LdBNote,$N3637)="","—",INDEX(LdBNote,$N3637)))</f>
        <v/>
      </c>
      <c r="N3637">
        <f>IFERROR(MATCH($C$5&amp;"|"&amp;RIGHT("000000"&amp;1617,6),LdBKeyG,0),"")</f>
        <v/>
      </c>
    </row>
    <row r="3638">
      <c r="A3638" s="19" t="n">
        <v>1618</v>
      </c>
      <c r="B3638" s="20">
        <f>IF($N3638="","",INDEX(LdBDate,$N3638))</f>
        <v/>
      </c>
      <c r="C3638" s="20">
        <f>IF($N3638="","",IF(INDEX(LdBId,$N3638)="","—",INDEX(LdBId,$N3638)))</f>
        <v/>
      </c>
      <c r="D3638" s="20">
        <f>IF($N3638="","",INDEX(LdBMember,$N3638))</f>
        <v/>
      </c>
      <c r="E3638" s="20">
        <f>IF($N3638="","",IFERROR(IF(VLOOKUP(INDEX(LdBMember,$N3638),AcctTblE,4,0)="","(بدون نام)",VLOOKUP(INDEX(LdBMember,$N3638),AcctTblE,4,0)),"—"))</f>
        <v/>
      </c>
      <c r="F3638" s="21">
        <f>IF($N3638="","",IF(INDEX(LdBAmt,$N3638)=0,"",INDEX(LdBAmt,$N3638)))</f>
        <v/>
      </c>
      <c r="G3638" s="32">
        <f>IF($N3638="","",IF(INDEX(LdBNote,$N3638)="","—",INDEX(LdBNote,$N3638)))</f>
        <v/>
      </c>
      <c r="N3638">
        <f>IFERROR(MATCH($C$5&amp;"|"&amp;RIGHT("000000"&amp;1618,6),LdBKeyG,0),"")</f>
        <v/>
      </c>
    </row>
    <row r="3639">
      <c r="A3639" s="10" t="n">
        <v>1619</v>
      </c>
      <c r="B3639" s="14">
        <f>IF($N3639="","",INDEX(LdBDate,$N3639))</f>
        <v/>
      </c>
      <c r="C3639" s="14">
        <f>IF($N3639="","",IF(INDEX(LdBId,$N3639)="","—",INDEX(LdBId,$N3639)))</f>
        <v/>
      </c>
      <c r="D3639" s="14">
        <f>IF($N3639="","",INDEX(LdBMember,$N3639))</f>
        <v/>
      </c>
      <c r="E3639" s="14">
        <f>IF($N3639="","",IFERROR(IF(VLOOKUP(INDEX(LdBMember,$N3639),AcctTblE,4,0)="","(بدون نام)",VLOOKUP(INDEX(LdBMember,$N3639),AcctTblE,4,0)),"—"))</f>
        <v/>
      </c>
      <c r="F3639" s="16">
        <f>IF($N3639="","",IF(INDEX(LdBAmt,$N3639)=0,"",INDEX(LdBAmt,$N3639)))</f>
        <v/>
      </c>
      <c r="G3639" s="30">
        <f>IF($N3639="","",IF(INDEX(LdBNote,$N3639)="","—",INDEX(LdBNote,$N3639)))</f>
        <v/>
      </c>
      <c r="N3639">
        <f>IFERROR(MATCH($C$5&amp;"|"&amp;RIGHT("000000"&amp;1619,6),LdBKeyG,0),"")</f>
        <v/>
      </c>
    </row>
    <row r="3640">
      <c r="A3640" s="19" t="n">
        <v>1620</v>
      </c>
      <c r="B3640" s="20">
        <f>IF($N3640="","",INDEX(LdBDate,$N3640))</f>
        <v/>
      </c>
      <c r="C3640" s="20">
        <f>IF($N3640="","",IF(INDEX(LdBId,$N3640)="","—",INDEX(LdBId,$N3640)))</f>
        <v/>
      </c>
      <c r="D3640" s="20">
        <f>IF($N3640="","",INDEX(LdBMember,$N3640))</f>
        <v/>
      </c>
      <c r="E3640" s="20">
        <f>IF($N3640="","",IFERROR(IF(VLOOKUP(INDEX(LdBMember,$N3640),AcctTblE,4,0)="","(بدون نام)",VLOOKUP(INDEX(LdBMember,$N3640),AcctTblE,4,0)),"—"))</f>
        <v/>
      </c>
      <c r="F3640" s="21">
        <f>IF($N3640="","",IF(INDEX(LdBAmt,$N3640)=0,"",INDEX(LdBAmt,$N3640)))</f>
        <v/>
      </c>
      <c r="G3640" s="32">
        <f>IF($N3640="","",IF(INDEX(LdBNote,$N3640)="","—",INDEX(LdBNote,$N3640)))</f>
        <v/>
      </c>
      <c r="N3640">
        <f>IFERROR(MATCH($C$5&amp;"|"&amp;RIGHT("000000"&amp;1620,6),LdBKeyG,0),"")</f>
        <v/>
      </c>
    </row>
    <row r="3641">
      <c r="A3641" s="10" t="n">
        <v>1621</v>
      </c>
      <c r="B3641" s="14">
        <f>IF($N3641="","",INDEX(LdBDate,$N3641))</f>
        <v/>
      </c>
      <c r="C3641" s="14">
        <f>IF($N3641="","",IF(INDEX(LdBId,$N3641)="","—",INDEX(LdBId,$N3641)))</f>
        <v/>
      </c>
      <c r="D3641" s="14">
        <f>IF($N3641="","",INDEX(LdBMember,$N3641))</f>
        <v/>
      </c>
      <c r="E3641" s="14">
        <f>IF($N3641="","",IFERROR(IF(VLOOKUP(INDEX(LdBMember,$N3641),AcctTblE,4,0)="","(بدون نام)",VLOOKUP(INDEX(LdBMember,$N3641),AcctTblE,4,0)),"—"))</f>
        <v/>
      </c>
      <c r="F3641" s="16">
        <f>IF($N3641="","",IF(INDEX(LdBAmt,$N3641)=0,"",INDEX(LdBAmt,$N3641)))</f>
        <v/>
      </c>
      <c r="G3641" s="30">
        <f>IF($N3641="","",IF(INDEX(LdBNote,$N3641)="","—",INDEX(LdBNote,$N3641)))</f>
        <v/>
      </c>
      <c r="N3641">
        <f>IFERROR(MATCH($C$5&amp;"|"&amp;RIGHT("000000"&amp;1621,6),LdBKeyG,0),"")</f>
        <v/>
      </c>
    </row>
    <row r="3642">
      <c r="A3642" s="19" t="n">
        <v>1622</v>
      </c>
      <c r="B3642" s="20">
        <f>IF($N3642="","",INDEX(LdBDate,$N3642))</f>
        <v/>
      </c>
      <c r="C3642" s="20">
        <f>IF($N3642="","",IF(INDEX(LdBId,$N3642)="","—",INDEX(LdBId,$N3642)))</f>
        <v/>
      </c>
      <c r="D3642" s="20">
        <f>IF($N3642="","",INDEX(LdBMember,$N3642))</f>
        <v/>
      </c>
      <c r="E3642" s="20">
        <f>IF($N3642="","",IFERROR(IF(VLOOKUP(INDEX(LdBMember,$N3642),AcctTblE,4,0)="","(بدون نام)",VLOOKUP(INDEX(LdBMember,$N3642),AcctTblE,4,0)),"—"))</f>
        <v/>
      </c>
      <c r="F3642" s="21">
        <f>IF($N3642="","",IF(INDEX(LdBAmt,$N3642)=0,"",INDEX(LdBAmt,$N3642)))</f>
        <v/>
      </c>
      <c r="G3642" s="32">
        <f>IF($N3642="","",IF(INDEX(LdBNote,$N3642)="","—",INDEX(LdBNote,$N3642)))</f>
        <v/>
      </c>
      <c r="N3642">
        <f>IFERROR(MATCH($C$5&amp;"|"&amp;RIGHT("000000"&amp;1622,6),LdBKeyG,0),"")</f>
        <v/>
      </c>
    </row>
    <row r="3643">
      <c r="A3643" s="10" t="n">
        <v>1623</v>
      </c>
      <c r="B3643" s="14">
        <f>IF($N3643="","",INDEX(LdBDate,$N3643))</f>
        <v/>
      </c>
      <c r="C3643" s="14">
        <f>IF($N3643="","",IF(INDEX(LdBId,$N3643)="","—",INDEX(LdBId,$N3643)))</f>
        <v/>
      </c>
      <c r="D3643" s="14">
        <f>IF($N3643="","",INDEX(LdBMember,$N3643))</f>
        <v/>
      </c>
      <c r="E3643" s="14">
        <f>IF($N3643="","",IFERROR(IF(VLOOKUP(INDEX(LdBMember,$N3643),AcctTblE,4,0)="","(بدون نام)",VLOOKUP(INDEX(LdBMember,$N3643),AcctTblE,4,0)),"—"))</f>
        <v/>
      </c>
      <c r="F3643" s="16">
        <f>IF($N3643="","",IF(INDEX(LdBAmt,$N3643)=0,"",INDEX(LdBAmt,$N3643)))</f>
        <v/>
      </c>
      <c r="G3643" s="30">
        <f>IF($N3643="","",IF(INDEX(LdBNote,$N3643)="","—",INDEX(LdBNote,$N3643)))</f>
        <v/>
      </c>
      <c r="N3643">
        <f>IFERROR(MATCH($C$5&amp;"|"&amp;RIGHT("000000"&amp;1623,6),LdBKeyG,0),"")</f>
        <v/>
      </c>
    </row>
    <row r="3644">
      <c r="A3644" s="19" t="n">
        <v>1624</v>
      </c>
      <c r="B3644" s="20">
        <f>IF($N3644="","",INDEX(LdBDate,$N3644))</f>
        <v/>
      </c>
      <c r="C3644" s="20">
        <f>IF($N3644="","",IF(INDEX(LdBId,$N3644)="","—",INDEX(LdBId,$N3644)))</f>
        <v/>
      </c>
      <c r="D3644" s="20">
        <f>IF($N3644="","",INDEX(LdBMember,$N3644))</f>
        <v/>
      </c>
      <c r="E3644" s="20">
        <f>IF($N3644="","",IFERROR(IF(VLOOKUP(INDEX(LdBMember,$N3644),AcctTblE,4,0)="","(بدون نام)",VLOOKUP(INDEX(LdBMember,$N3644),AcctTblE,4,0)),"—"))</f>
        <v/>
      </c>
      <c r="F3644" s="21">
        <f>IF($N3644="","",IF(INDEX(LdBAmt,$N3644)=0,"",INDEX(LdBAmt,$N3644)))</f>
        <v/>
      </c>
      <c r="G3644" s="32">
        <f>IF($N3644="","",IF(INDEX(LdBNote,$N3644)="","—",INDEX(LdBNote,$N3644)))</f>
        <v/>
      </c>
      <c r="N3644">
        <f>IFERROR(MATCH($C$5&amp;"|"&amp;RIGHT("000000"&amp;1624,6),LdBKeyG,0),"")</f>
        <v/>
      </c>
    </row>
    <row r="3645">
      <c r="A3645" s="10" t="n">
        <v>1625</v>
      </c>
      <c r="B3645" s="14">
        <f>IF($N3645="","",INDEX(LdBDate,$N3645))</f>
        <v/>
      </c>
      <c r="C3645" s="14">
        <f>IF($N3645="","",IF(INDEX(LdBId,$N3645)="","—",INDEX(LdBId,$N3645)))</f>
        <v/>
      </c>
      <c r="D3645" s="14">
        <f>IF($N3645="","",INDEX(LdBMember,$N3645))</f>
        <v/>
      </c>
      <c r="E3645" s="14">
        <f>IF($N3645="","",IFERROR(IF(VLOOKUP(INDEX(LdBMember,$N3645),AcctTblE,4,0)="","(بدون نام)",VLOOKUP(INDEX(LdBMember,$N3645),AcctTblE,4,0)),"—"))</f>
        <v/>
      </c>
      <c r="F3645" s="16">
        <f>IF($N3645="","",IF(INDEX(LdBAmt,$N3645)=0,"",INDEX(LdBAmt,$N3645)))</f>
        <v/>
      </c>
      <c r="G3645" s="30">
        <f>IF($N3645="","",IF(INDEX(LdBNote,$N3645)="","—",INDEX(LdBNote,$N3645)))</f>
        <v/>
      </c>
      <c r="N3645">
        <f>IFERROR(MATCH($C$5&amp;"|"&amp;RIGHT("000000"&amp;1625,6),LdBKeyG,0),"")</f>
        <v/>
      </c>
    </row>
    <row r="3646">
      <c r="A3646" s="19" t="n">
        <v>1626</v>
      </c>
      <c r="B3646" s="20">
        <f>IF($N3646="","",INDEX(LdBDate,$N3646))</f>
        <v/>
      </c>
      <c r="C3646" s="20">
        <f>IF($N3646="","",IF(INDEX(LdBId,$N3646)="","—",INDEX(LdBId,$N3646)))</f>
        <v/>
      </c>
      <c r="D3646" s="20">
        <f>IF($N3646="","",INDEX(LdBMember,$N3646))</f>
        <v/>
      </c>
      <c r="E3646" s="20">
        <f>IF($N3646="","",IFERROR(IF(VLOOKUP(INDEX(LdBMember,$N3646),AcctTblE,4,0)="","(بدون نام)",VLOOKUP(INDEX(LdBMember,$N3646),AcctTblE,4,0)),"—"))</f>
        <v/>
      </c>
      <c r="F3646" s="21">
        <f>IF($N3646="","",IF(INDEX(LdBAmt,$N3646)=0,"",INDEX(LdBAmt,$N3646)))</f>
        <v/>
      </c>
      <c r="G3646" s="32">
        <f>IF($N3646="","",IF(INDEX(LdBNote,$N3646)="","—",INDEX(LdBNote,$N3646)))</f>
        <v/>
      </c>
      <c r="N3646">
        <f>IFERROR(MATCH($C$5&amp;"|"&amp;RIGHT("000000"&amp;1626,6),LdBKeyG,0),"")</f>
        <v/>
      </c>
    </row>
    <row r="3647">
      <c r="A3647" s="10" t="n">
        <v>1627</v>
      </c>
      <c r="B3647" s="14">
        <f>IF($N3647="","",INDEX(LdBDate,$N3647))</f>
        <v/>
      </c>
      <c r="C3647" s="14">
        <f>IF($N3647="","",IF(INDEX(LdBId,$N3647)="","—",INDEX(LdBId,$N3647)))</f>
        <v/>
      </c>
      <c r="D3647" s="14">
        <f>IF($N3647="","",INDEX(LdBMember,$N3647))</f>
        <v/>
      </c>
      <c r="E3647" s="14">
        <f>IF($N3647="","",IFERROR(IF(VLOOKUP(INDEX(LdBMember,$N3647),AcctTblE,4,0)="","(بدون نام)",VLOOKUP(INDEX(LdBMember,$N3647),AcctTblE,4,0)),"—"))</f>
        <v/>
      </c>
      <c r="F3647" s="16">
        <f>IF($N3647="","",IF(INDEX(LdBAmt,$N3647)=0,"",INDEX(LdBAmt,$N3647)))</f>
        <v/>
      </c>
      <c r="G3647" s="30">
        <f>IF($N3647="","",IF(INDEX(LdBNote,$N3647)="","—",INDEX(LdBNote,$N3647)))</f>
        <v/>
      </c>
      <c r="N3647">
        <f>IFERROR(MATCH($C$5&amp;"|"&amp;RIGHT("000000"&amp;1627,6),LdBKeyG,0),"")</f>
        <v/>
      </c>
    </row>
    <row r="3648">
      <c r="A3648" s="19" t="n">
        <v>1628</v>
      </c>
      <c r="B3648" s="20">
        <f>IF($N3648="","",INDEX(LdBDate,$N3648))</f>
        <v/>
      </c>
      <c r="C3648" s="20">
        <f>IF($N3648="","",IF(INDEX(LdBId,$N3648)="","—",INDEX(LdBId,$N3648)))</f>
        <v/>
      </c>
      <c r="D3648" s="20">
        <f>IF($N3648="","",INDEX(LdBMember,$N3648))</f>
        <v/>
      </c>
      <c r="E3648" s="20">
        <f>IF($N3648="","",IFERROR(IF(VLOOKUP(INDEX(LdBMember,$N3648),AcctTblE,4,0)="","(بدون نام)",VLOOKUP(INDEX(LdBMember,$N3648),AcctTblE,4,0)),"—"))</f>
        <v/>
      </c>
      <c r="F3648" s="21">
        <f>IF($N3648="","",IF(INDEX(LdBAmt,$N3648)=0,"",INDEX(LdBAmt,$N3648)))</f>
        <v/>
      </c>
      <c r="G3648" s="32">
        <f>IF($N3648="","",IF(INDEX(LdBNote,$N3648)="","—",INDEX(LdBNote,$N3648)))</f>
        <v/>
      </c>
      <c r="N3648">
        <f>IFERROR(MATCH($C$5&amp;"|"&amp;RIGHT("000000"&amp;1628,6),LdBKeyG,0),"")</f>
        <v/>
      </c>
    </row>
    <row r="3649">
      <c r="A3649" s="10" t="n">
        <v>1629</v>
      </c>
      <c r="B3649" s="14">
        <f>IF($N3649="","",INDEX(LdBDate,$N3649))</f>
        <v/>
      </c>
      <c r="C3649" s="14">
        <f>IF($N3649="","",IF(INDEX(LdBId,$N3649)="","—",INDEX(LdBId,$N3649)))</f>
        <v/>
      </c>
      <c r="D3649" s="14">
        <f>IF($N3649="","",INDEX(LdBMember,$N3649))</f>
        <v/>
      </c>
      <c r="E3649" s="14">
        <f>IF($N3649="","",IFERROR(IF(VLOOKUP(INDEX(LdBMember,$N3649),AcctTblE,4,0)="","(بدون نام)",VLOOKUP(INDEX(LdBMember,$N3649),AcctTblE,4,0)),"—"))</f>
        <v/>
      </c>
      <c r="F3649" s="16">
        <f>IF($N3649="","",IF(INDEX(LdBAmt,$N3649)=0,"",INDEX(LdBAmt,$N3649)))</f>
        <v/>
      </c>
      <c r="G3649" s="30">
        <f>IF($N3649="","",IF(INDEX(LdBNote,$N3649)="","—",INDEX(LdBNote,$N3649)))</f>
        <v/>
      </c>
      <c r="N3649">
        <f>IFERROR(MATCH($C$5&amp;"|"&amp;RIGHT("000000"&amp;1629,6),LdBKeyG,0),"")</f>
        <v/>
      </c>
    </row>
    <row r="3650">
      <c r="A3650" s="19" t="n">
        <v>1630</v>
      </c>
      <c r="B3650" s="20">
        <f>IF($N3650="","",INDEX(LdBDate,$N3650))</f>
        <v/>
      </c>
      <c r="C3650" s="20">
        <f>IF($N3650="","",IF(INDEX(LdBId,$N3650)="","—",INDEX(LdBId,$N3650)))</f>
        <v/>
      </c>
      <c r="D3650" s="20">
        <f>IF($N3650="","",INDEX(LdBMember,$N3650))</f>
        <v/>
      </c>
      <c r="E3650" s="20">
        <f>IF($N3650="","",IFERROR(IF(VLOOKUP(INDEX(LdBMember,$N3650),AcctTblE,4,0)="","(بدون نام)",VLOOKUP(INDEX(LdBMember,$N3650),AcctTblE,4,0)),"—"))</f>
        <v/>
      </c>
      <c r="F3650" s="21">
        <f>IF($N3650="","",IF(INDEX(LdBAmt,$N3650)=0,"",INDEX(LdBAmt,$N3650)))</f>
        <v/>
      </c>
      <c r="G3650" s="32">
        <f>IF($N3650="","",IF(INDEX(LdBNote,$N3650)="","—",INDEX(LdBNote,$N3650)))</f>
        <v/>
      </c>
      <c r="N3650">
        <f>IFERROR(MATCH($C$5&amp;"|"&amp;RIGHT("000000"&amp;1630,6),LdBKeyG,0),"")</f>
        <v/>
      </c>
    </row>
    <row r="3651">
      <c r="A3651" s="10" t="n">
        <v>1631</v>
      </c>
      <c r="B3651" s="14">
        <f>IF($N3651="","",INDEX(LdBDate,$N3651))</f>
        <v/>
      </c>
      <c r="C3651" s="14">
        <f>IF($N3651="","",IF(INDEX(LdBId,$N3651)="","—",INDEX(LdBId,$N3651)))</f>
        <v/>
      </c>
      <c r="D3651" s="14">
        <f>IF($N3651="","",INDEX(LdBMember,$N3651))</f>
        <v/>
      </c>
      <c r="E3651" s="14">
        <f>IF($N3651="","",IFERROR(IF(VLOOKUP(INDEX(LdBMember,$N3651),AcctTblE,4,0)="","(بدون نام)",VLOOKUP(INDEX(LdBMember,$N3651),AcctTblE,4,0)),"—"))</f>
        <v/>
      </c>
      <c r="F3651" s="16">
        <f>IF($N3651="","",IF(INDEX(LdBAmt,$N3651)=0,"",INDEX(LdBAmt,$N3651)))</f>
        <v/>
      </c>
      <c r="G3651" s="30">
        <f>IF($N3651="","",IF(INDEX(LdBNote,$N3651)="","—",INDEX(LdBNote,$N3651)))</f>
        <v/>
      </c>
      <c r="N3651">
        <f>IFERROR(MATCH($C$5&amp;"|"&amp;RIGHT("000000"&amp;1631,6),LdBKeyG,0),"")</f>
        <v/>
      </c>
    </row>
    <row r="3652">
      <c r="A3652" s="19" t="n">
        <v>1632</v>
      </c>
      <c r="B3652" s="20">
        <f>IF($N3652="","",INDEX(LdBDate,$N3652))</f>
        <v/>
      </c>
      <c r="C3652" s="20">
        <f>IF($N3652="","",IF(INDEX(LdBId,$N3652)="","—",INDEX(LdBId,$N3652)))</f>
        <v/>
      </c>
      <c r="D3652" s="20">
        <f>IF($N3652="","",INDEX(LdBMember,$N3652))</f>
        <v/>
      </c>
      <c r="E3652" s="20">
        <f>IF($N3652="","",IFERROR(IF(VLOOKUP(INDEX(LdBMember,$N3652),AcctTblE,4,0)="","(بدون نام)",VLOOKUP(INDEX(LdBMember,$N3652),AcctTblE,4,0)),"—"))</f>
        <v/>
      </c>
      <c r="F3652" s="21">
        <f>IF($N3652="","",IF(INDEX(LdBAmt,$N3652)=0,"",INDEX(LdBAmt,$N3652)))</f>
        <v/>
      </c>
      <c r="G3652" s="32">
        <f>IF($N3652="","",IF(INDEX(LdBNote,$N3652)="","—",INDEX(LdBNote,$N3652)))</f>
        <v/>
      </c>
      <c r="N3652">
        <f>IFERROR(MATCH($C$5&amp;"|"&amp;RIGHT("000000"&amp;1632,6),LdBKeyG,0),"")</f>
        <v/>
      </c>
    </row>
    <row r="3653">
      <c r="A3653" s="10" t="n">
        <v>1633</v>
      </c>
      <c r="B3653" s="14">
        <f>IF($N3653="","",INDEX(LdBDate,$N3653))</f>
        <v/>
      </c>
      <c r="C3653" s="14">
        <f>IF($N3653="","",IF(INDEX(LdBId,$N3653)="","—",INDEX(LdBId,$N3653)))</f>
        <v/>
      </c>
      <c r="D3653" s="14">
        <f>IF($N3653="","",INDEX(LdBMember,$N3653))</f>
        <v/>
      </c>
      <c r="E3653" s="14">
        <f>IF($N3653="","",IFERROR(IF(VLOOKUP(INDEX(LdBMember,$N3653),AcctTblE,4,0)="","(بدون نام)",VLOOKUP(INDEX(LdBMember,$N3653),AcctTblE,4,0)),"—"))</f>
        <v/>
      </c>
      <c r="F3653" s="16">
        <f>IF($N3653="","",IF(INDEX(LdBAmt,$N3653)=0,"",INDEX(LdBAmt,$N3653)))</f>
        <v/>
      </c>
      <c r="G3653" s="30">
        <f>IF($N3653="","",IF(INDEX(LdBNote,$N3653)="","—",INDEX(LdBNote,$N3653)))</f>
        <v/>
      </c>
      <c r="N3653">
        <f>IFERROR(MATCH($C$5&amp;"|"&amp;RIGHT("000000"&amp;1633,6),LdBKeyG,0),"")</f>
        <v/>
      </c>
    </row>
    <row r="3654">
      <c r="A3654" s="19" t="n">
        <v>1634</v>
      </c>
      <c r="B3654" s="20">
        <f>IF($N3654="","",INDEX(LdBDate,$N3654))</f>
        <v/>
      </c>
      <c r="C3654" s="20">
        <f>IF($N3654="","",IF(INDEX(LdBId,$N3654)="","—",INDEX(LdBId,$N3654)))</f>
        <v/>
      </c>
      <c r="D3654" s="20">
        <f>IF($N3654="","",INDEX(LdBMember,$N3654))</f>
        <v/>
      </c>
      <c r="E3654" s="20">
        <f>IF($N3654="","",IFERROR(IF(VLOOKUP(INDEX(LdBMember,$N3654),AcctTblE,4,0)="","(بدون نام)",VLOOKUP(INDEX(LdBMember,$N3654),AcctTblE,4,0)),"—"))</f>
        <v/>
      </c>
      <c r="F3654" s="21">
        <f>IF($N3654="","",IF(INDEX(LdBAmt,$N3654)=0,"",INDEX(LdBAmt,$N3654)))</f>
        <v/>
      </c>
      <c r="G3654" s="32">
        <f>IF($N3654="","",IF(INDEX(LdBNote,$N3654)="","—",INDEX(LdBNote,$N3654)))</f>
        <v/>
      </c>
      <c r="N3654">
        <f>IFERROR(MATCH($C$5&amp;"|"&amp;RIGHT("000000"&amp;1634,6),LdBKeyG,0),"")</f>
        <v/>
      </c>
    </row>
    <row r="3655">
      <c r="A3655" s="10" t="n">
        <v>1635</v>
      </c>
      <c r="B3655" s="14">
        <f>IF($N3655="","",INDEX(LdBDate,$N3655))</f>
        <v/>
      </c>
      <c r="C3655" s="14">
        <f>IF($N3655="","",IF(INDEX(LdBId,$N3655)="","—",INDEX(LdBId,$N3655)))</f>
        <v/>
      </c>
      <c r="D3655" s="14">
        <f>IF($N3655="","",INDEX(LdBMember,$N3655))</f>
        <v/>
      </c>
      <c r="E3655" s="14">
        <f>IF($N3655="","",IFERROR(IF(VLOOKUP(INDEX(LdBMember,$N3655),AcctTblE,4,0)="","(بدون نام)",VLOOKUP(INDEX(LdBMember,$N3655),AcctTblE,4,0)),"—"))</f>
        <v/>
      </c>
      <c r="F3655" s="16">
        <f>IF($N3655="","",IF(INDEX(LdBAmt,$N3655)=0,"",INDEX(LdBAmt,$N3655)))</f>
        <v/>
      </c>
      <c r="G3655" s="30">
        <f>IF($N3655="","",IF(INDEX(LdBNote,$N3655)="","—",INDEX(LdBNote,$N3655)))</f>
        <v/>
      </c>
      <c r="N3655">
        <f>IFERROR(MATCH($C$5&amp;"|"&amp;RIGHT("000000"&amp;1635,6),LdBKeyG,0),"")</f>
        <v/>
      </c>
    </row>
    <row r="3656">
      <c r="A3656" s="19" t="n">
        <v>1636</v>
      </c>
      <c r="B3656" s="20">
        <f>IF($N3656="","",INDEX(LdBDate,$N3656))</f>
        <v/>
      </c>
      <c r="C3656" s="20">
        <f>IF($N3656="","",IF(INDEX(LdBId,$N3656)="","—",INDEX(LdBId,$N3656)))</f>
        <v/>
      </c>
      <c r="D3656" s="20">
        <f>IF($N3656="","",INDEX(LdBMember,$N3656))</f>
        <v/>
      </c>
      <c r="E3656" s="20">
        <f>IF($N3656="","",IFERROR(IF(VLOOKUP(INDEX(LdBMember,$N3656),AcctTblE,4,0)="","(بدون نام)",VLOOKUP(INDEX(LdBMember,$N3656),AcctTblE,4,0)),"—"))</f>
        <v/>
      </c>
      <c r="F3656" s="21">
        <f>IF($N3656="","",IF(INDEX(LdBAmt,$N3656)=0,"",INDEX(LdBAmt,$N3656)))</f>
        <v/>
      </c>
      <c r="G3656" s="32">
        <f>IF($N3656="","",IF(INDEX(LdBNote,$N3656)="","—",INDEX(LdBNote,$N3656)))</f>
        <v/>
      </c>
      <c r="N3656">
        <f>IFERROR(MATCH($C$5&amp;"|"&amp;RIGHT("000000"&amp;1636,6),LdBKeyG,0),"")</f>
        <v/>
      </c>
    </row>
    <row r="3657">
      <c r="A3657" s="10" t="n">
        <v>1637</v>
      </c>
      <c r="B3657" s="14">
        <f>IF($N3657="","",INDEX(LdBDate,$N3657))</f>
        <v/>
      </c>
      <c r="C3657" s="14">
        <f>IF($N3657="","",IF(INDEX(LdBId,$N3657)="","—",INDEX(LdBId,$N3657)))</f>
        <v/>
      </c>
      <c r="D3657" s="14">
        <f>IF($N3657="","",INDEX(LdBMember,$N3657))</f>
        <v/>
      </c>
      <c r="E3657" s="14">
        <f>IF($N3657="","",IFERROR(IF(VLOOKUP(INDEX(LdBMember,$N3657),AcctTblE,4,0)="","(بدون نام)",VLOOKUP(INDEX(LdBMember,$N3657),AcctTblE,4,0)),"—"))</f>
        <v/>
      </c>
      <c r="F3657" s="16">
        <f>IF($N3657="","",IF(INDEX(LdBAmt,$N3657)=0,"",INDEX(LdBAmt,$N3657)))</f>
        <v/>
      </c>
      <c r="G3657" s="30">
        <f>IF($N3657="","",IF(INDEX(LdBNote,$N3657)="","—",INDEX(LdBNote,$N3657)))</f>
        <v/>
      </c>
      <c r="N3657">
        <f>IFERROR(MATCH($C$5&amp;"|"&amp;RIGHT("000000"&amp;1637,6),LdBKeyG,0),"")</f>
        <v/>
      </c>
    </row>
    <row r="3658">
      <c r="A3658" s="19" t="n">
        <v>1638</v>
      </c>
      <c r="B3658" s="20">
        <f>IF($N3658="","",INDEX(LdBDate,$N3658))</f>
        <v/>
      </c>
      <c r="C3658" s="20">
        <f>IF($N3658="","",IF(INDEX(LdBId,$N3658)="","—",INDEX(LdBId,$N3658)))</f>
        <v/>
      </c>
      <c r="D3658" s="20">
        <f>IF($N3658="","",INDEX(LdBMember,$N3658))</f>
        <v/>
      </c>
      <c r="E3658" s="20">
        <f>IF($N3658="","",IFERROR(IF(VLOOKUP(INDEX(LdBMember,$N3658),AcctTblE,4,0)="","(بدون نام)",VLOOKUP(INDEX(LdBMember,$N3658),AcctTblE,4,0)),"—"))</f>
        <v/>
      </c>
      <c r="F3658" s="21">
        <f>IF($N3658="","",IF(INDEX(LdBAmt,$N3658)=0,"",INDEX(LdBAmt,$N3658)))</f>
        <v/>
      </c>
      <c r="G3658" s="32">
        <f>IF($N3658="","",IF(INDEX(LdBNote,$N3658)="","—",INDEX(LdBNote,$N3658)))</f>
        <v/>
      </c>
      <c r="N3658">
        <f>IFERROR(MATCH($C$5&amp;"|"&amp;RIGHT("000000"&amp;1638,6),LdBKeyG,0),"")</f>
        <v/>
      </c>
    </row>
    <row r="3659">
      <c r="A3659" s="10" t="n">
        <v>1639</v>
      </c>
      <c r="B3659" s="14">
        <f>IF($N3659="","",INDEX(LdBDate,$N3659))</f>
        <v/>
      </c>
      <c r="C3659" s="14">
        <f>IF($N3659="","",IF(INDEX(LdBId,$N3659)="","—",INDEX(LdBId,$N3659)))</f>
        <v/>
      </c>
      <c r="D3659" s="14">
        <f>IF($N3659="","",INDEX(LdBMember,$N3659))</f>
        <v/>
      </c>
      <c r="E3659" s="14">
        <f>IF($N3659="","",IFERROR(IF(VLOOKUP(INDEX(LdBMember,$N3659),AcctTblE,4,0)="","(بدون نام)",VLOOKUP(INDEX(LdBMember,$N3659),AcctTblE,4,0)),"—"))</f>
        <v/>
      </c>
      <c r="F3659" s="16">
        <f>IF($N3659="","",IF(INDEX(LdBAmt,$N3659)=0,"",INDEX(LdBAmt,$N3659)))</f>
        <v/>
      </c>
      <c r="G3659" s="30">
        <f>IF($N3659="","",IF(INDEX(LdBNote,$N3659)="","—",INDEX(LdBNote,$N3659)))</f>
        <v/>
      </c>
      <c r="N3659">
        <f>IFERROR(MATCH($C$5&amp;"|"&amp;RIGHT("000000"&amp;1639,6),LdBKeyG,0),"")</f>
        <v/>
      </c>
    </row>
    <row r="3660">
      <c r="A3660" s="19" t="n">
        <v>1640</v>
      </c>
      <c r="B3660" s="20">
        <f>IF($N3660="","",INDEX(LdBDate,$N3660))</f>
        <v/>
      </c>
      <c r="C3660" s="20">
        <f>IF($N3660="","",IF(INDEX(LdBId,$N3660)="","—",INDEX(LdBId,$N3660)))</f>
        <v/>
      </c>
      <c r="D3660" s="20">
        <f>IF($N3660="","",INDEX(LdBMember,$N3660))</f>
        <v/>
      </c>
      <c r="E3660" s="20">
        <f>IF($N3660="","",IFERROR(IF(VLOOKUP(INDEX(LdBMember,$N3660),AcctTblE,4,0)="","(بدون نام)",VLOOKUP(INDEX(LdBMember,$N3660),AcctTblE,4,0)),"—"))</f>
        <v/>
      </c>
      <c r="F3660" s="21">
        <f>IF($N3660="","",IF(INDEX(LdBAmt,$N3660)=0,"",INDEX(LdBAmt,$N3660)))</f>
        <v/>
      </c>
      <c r="G3660" s="32">
        <f>IF($N3660="","",IF(INDEX(LdBNote,$N3660)="","—",INDEX(LdBNote,$N3660)))</f>
        <v/>
      </c>
      <c r="N3660">
        <f>IFERROR(MATCH($C$5&amp;"|"&amp;RIGHT("000000"&amp;1640,6),LdBKeyG,0),"")</f>
        <v/>
      </c>
    </row>
    <row r="3661">
      <c r="A3661" s="10" t="n">
        <v>1641</v>
      </c>
      <c r="B3661" s="14">
        <f>IF($N3661="","",INDEX(LdBDate,$N3661))</f>
        <v/>
      </c>
      <c r="C3661" s="14">
        <f>IF($N3661="","",IF(INDEX(LdBId,$N3661)="","—",INDEX(LdBId,$N3661)))</f>
        <v/>
      </c>
      <c r="D3661" s="14">
        <f>IF($N3661="","",INDEX(LdBMember,$N3661))</f>
        <v/>
      </c>
      <c r="E3661" s="14">
        <f>IF($N3661="","",IFERROR(IF(VLOOKUP(INDEX(LdBMember,$N3661),AcctTblE,4,0)="","(بدون نام)",VLOOKUP(INDEX(LdBMember,$N3661),AcctTblE,4,0)),"—"))</f>
        <v/>
      </c>
      <c r="F3661" s="16">
        <f>IF($N3661="","",IF(INDEX(LdBAmt,$N3661)=0,"",INDEX(LdBAmt,$N3661)))</f>
        <v/>
      </c>
      <c r="G3661" s="30">
        <f>IF($N3661="","",IF(INDEX(LdBNote,$N3661)="","—",INDEX(LdBNote,$N3661)))</f>
        <v/>
      </c>
      <c r="N3661">
        <f>IFERROR(MATCH($C$5&amp;"|"&amp;RIGHT("000000"&amp;1641,6),LdBKeyG,0),"")</f>
        <v/>
      </c>
    </row>
    <row r="3662">
      <c r="A3662" s="19" t="n">
        <v>1642</v>
      </c>
      <c r="B3662" s="20">
        <f>IF($N3662="","",INDEX(LdBDate,$N3662))</f>
        <v/>
      </c>
      <c r="C3662" s="20">
        <f>IF($N3662="","",IF(INDEX(LdBId,$N3662)="","—",INDEX(LdBId,$N3662)))</f>
        <v/>
      </c>
      <c r="D3662" s="20">
        <f>IF($N3662="","",INDEX(LdBMember,$N3662))</f>
        <v/>
      </c>
      <c r="E3662" s="20">
        <f>IF($N3662="","",IFERROR(IF(VLOOKUP(INDEX(LdBMember,$N3662),AcctTblE,4,0)="","(بدون نام)",VLOOKUP(INDEX(LdBMember,$N3662),AcctTblE,4,0)),"—"))</f>
        <v/>
      </c>
      <c r="F3662" s="21">
        <f>IF($N3662="","",IF(INDEX(LdBAmt,$N3662)=0,"",INDEX(LdBAmt,$N3662)))</f>
        <v/>
      </c>
      <c r="G3662" s="32">
        <f>IF($N3662="","",IF(INDEX(LdBNote,$N3662)="","—",INDEX(LdBNote,$N3662)))</f>
        <v/>
      </c>
      <c r="N3662">
        <f>IFERROR(MATCH($C$5&amp;"|"&amp;RIGHT("000000"&amp;1642,6),LdBKeyG,0),"")</f>
        <v/>
      </c>
    </row>
    <row r="3663">
      <c r="A3663" s="10" t="n">
        <v>1643</v>
      </c>
      <c r="B3663" s="14">
        <f>IF($N3663="","",INDEX(LdBDate,$N3663))</f>
        <v/>
      </c>
      <c r="C3663" s="14">
        <f>IF($N3663="","",IF(INDEX(LdBId,$N3663)="","—",INDEX(LdBId,$N3663)))</f>
        <v/>
      </c>
      <c r="D3663" s="14">
        <f>IF($N3663="","",INDEX(LdBMember,$N3663))</f>
        <v/>
      </c>
      <c r="E3663" s="14">
        <f>IF($N3663="","",IFERROR(IF(VLOOKUP(INDEX(LdBMember,$N3663),AcctTblE,4,0)="","(بدون نام)",VLOOKUP(INDEX(LdBMember,$N3663),AcctTblE,4,0)),"—"))</f>
        <v/>
      </c>
      <c r="F3663" s="16">
        <f>IF($N3663="","",IF(INDEX(LdBAmt,$N3663)=0,"",INDEX(LdBAmt,$N3663)))</f>
        <v/>
      </c>
      <c r="G3663" s="30">
        <f>IF($N3663="","",IF(INDEX(LdBNote,$N3663)="","—",INDEX(LdBNote,$N3663)))</f>
        <v/>
      </c>
      <c r="N3663">
        <f>IFERROR(MATCH($C$5&amp;"|"&amp;RIGHT("000000"&amp;1643,6),LdBKeyG,0),"")</f>
        <v/>
      </c>
    </row>
    <row r="3664">
      <c r="A3664" s="19" t="n">
        <v>1644</v>
      </c>
      <c r="B3664" s="20">
        <f>IF($N3664="","",INDEX(LdBDate,$N3664))</f>
        <v/>
      </c>
      <c r="C3664" s="20">
        <f>IF($N3664="","",IF(INDEX(LdBId,$N3664)="","—",INDEX(LdBId,$N3664)))</f>
        <v/>
      </c>
      <c r="D3664" s="20">
        <f>IF($N3664="","",INDEX(LdBMember,$N3664))</f>
        <v/>
      </c>
      <c r="E3664" s="20">
        <f>IF($N3664="","",IFERROR(IF(VLOOKUP(INDEX(LdBMember,$N3664),AcctTblE,4,0)="","(بدون نام)",VLOOKUP(INDEX(LdBMember,$N3664),AcctTblE,4,0)),"—"))</f>
        <v/>
      </c>
      <c r="F3664" s="21">
        <f>IF($N3664="","",IF(INDEX(LdBAmt,$N3664)=0,"",INDEX(LdBAmt,$N3664)))</f>
        <v/>
      </c>
      <c r="G3664" s="32">
        <f>IF($N3664="","",IF(INDEX(LdBNote,$N3664)="","—",INDEX(LdBNote,$N3664)))</f>
        <v/>
      </c>
      <c r="N3664">
        <f>IFERROR(MATCH($C$5&amp;"|"&amp;RIGHT("000000"&amp;1644,6),LdBKeyG,0),"")</f>
        <v/>
      </c>
    </row>
    <row r="3665">
      <c r="A3665" s="10" t="n">
        <v>1645</v>
      </c>
      <c r="B3665" s="14">
        <f>IF($N3665="","",INDEX(LdBDate,$N3665))</f>
        <v/>
      </c>
      <c r="C3665" s="14">
        <f>IF($N3665="","",IF(INDEX(LdBId,$N3665)="","—",INDEX(LdBId,$N3665)))</f>
        <v/>
      </c>
      <c r="D3665" s="14">
        <f>IF($N3665="","",INDEX(LdBMember,$N3665))</f>
        <v/>
      </c>
      <c r="E3665" s="14">
        <f>IF($N3665="","",IFERROR(IF(VLOOKUP(INDEX(LdBMember,$N3665),AcctTblE,4,0)="","(بدون نام)",VLOOKUP(INDEX(LdBMember,$N3665),AcctTblE,4,0)),"—"))</f>
        <v/>
      </c>
      <c r="F3665" s="16">
        <f>IF($N3665="","",IF(INDEX(LdBAmt,$N3665)=0,"",INDEX(LdBAmt,$N3665)))</f>
        <v/>
      </c>
      <c r="G3665" s="30">
        <f>IF($N3665="","",IF(INDEX(LdBNote,$N3665)="","—",INDEX(LdBNote,$N3665)))</f>
        <v/>
      </c>
      <c r="N3665">
        <f>IFERROR(MATCH($C$5&amp;"|"&amp;RIGHT("000000"&amp;1645,6),LdBKeyG,0),"")</f>
        <v/>
      </c>
    </row>
    <row r="3666">
      <c r="A3666" s="19" t="n">
        <v>1646</v>
      </c>
      <c r="B3666" s="20">
        <f>IF($N3666="","",INDEX(LdBDate,$N3666))</f>
        <v/>
      </c>
      <c r="C3666" s="20">
        <f>IF($N3666="","",IF(INDEX(LdBId,$N3666)="","—",INDEX(LdBId,$N3666)))</f>
        <v/>
      </c>
      <c r="D3666" s="20">
        <f>IF($N3666="","",INDEX(LdBMember,$N3666))</f>
        <v/>
      </c>
      <c r="E3666" s="20">
        <f>IF($N3666="","",IFERROR(IF(VLOOKUP(INDEX(LdBMember,$N3666),AcctTblE,4,0)="","(بدون نام)",VLOOKUP(INDEX(LdBMember,$N3666),AcctTblE,4,0)),"—"))</f>
        <v/>
      </c>
      <c r="F3666" s="21">
        <f>IF($N3666="","",IF(INDEX(LdBAmt,$N3666)=0,"",INDEX(LdBAmt,$N3666)))</f>
        <v/>
      </c>
      <c r="G3666" s="32">
        <f>IF($N3666="","",IF(INDEX(LdBNote,$N3666)="","—",INDEX(LdBNote,$N3666)))</f>
        <v/>
      </c>
      <c r="N3666">
        <f>IFERROR(MATCH($C$5&amp;"|"&amp;RIGHT("000000"&amp;1646,6),LdBKeyG,0),"")</f>
        <v/>
      </c>
    </row>
    <row r="3667">
      <c r="A3667" s="10" t="n">
        <v>1647</v>
      </c>
      <c r="B3667" s="14">
        <f>IF($N3667="","",INDEX(LdBDate,$N3667))</f>
        <v/>
      </c>
      <c r="C3667" s="14">
        <f>IF($N3667="","",IF(INDEX(LdBId,$N3667)="","—",INDEX(LdBId,$N3667)))</f>
        <v/>
      </c>
      <c r="D3667" s="14">
        <f>IF($N3667="","",INDEX(LdBMember,$N3667))</f>
        <v/>
      </c>
      <c r="E3667" s="14">
        <f>IF($N3667="","",IFERROR(IF(VLOOKUP(INDEX(LdBMember,$N3667),AcctTblE,4,0)="","(بدون نام)",VLOOKUP(INDEX(LdBMember,$N3667),AcctTblE,4,0)),"—"))</f>
        <v/>
      </c>
      <c r="F3667" s="16">
        <f>IF($N3667="","",IF(INDEX(LdBAmt,$N3667)=0,"",INDEX(LdBAmt,$N3667)))</f>
        <v/>
      </c>
      <c r="G3667" s="30">
        <f>IF($N3667="","",IF(INDEX(LdBNote,$N3667)="","—",INDEX(LdBNote,$N3667)))</f>
        <v/>
      </c>
      <c r="N3667">
        <f>IFERROR(MATCH($C$5&amp;"|"&amp;RIGHT("000000"&amp;1647,6),LdBKeyG,0),"")</f>
        <v/>
      </c>
    </row>
    <row r="3668">
      <c r="A3668" s="19" t="n">
        <v>1648</v>
      </c>
      <c r="B3668" s="20">
        <f>IF($N3668="","",INDEX(LdBDate,$N3668))</f>
        <v/>
      </c>
      <c r="C3668" s="20">
        <f>IF($N3668="","",IF(INDEX(LdBId,$N3668)="","—",INDEX(LdBId,$N3668)))</f>
        <v/>
      </c>
      <c r="D3668" s="20">
        <f>IF($N3668="","",INDEX(LdBMember,$N3668))</f>
        <v/>
      </c>
      <c r="E3668" s="20">
        <f>IF($N3668="","",IFERROR(IF(VLOOKUP(INDEX(LdBMember,$N3668),AcctTblE,4,0)="","(بدون نام)",VLOOKUP(INDEX(LdBMember,$N3668),AcctTblE,4,0)),"—"))</f>
        <v/>
      </c>
      <c r="F3668" s="21">
        <f>IF($N3668="","",IF(INDEX(LdBAmt,$N3668)=0,"",INDEX(LdBAmt,$N3668)))</f>
        <v/>
      </c>
      <c r="G3668" s="32">
        <f>IF($N3668="","",IF(INDEX(LdBNote,$N3668)="","—",INDEX(LdBNote,$N3668)))</f>
        <v/>
      </c>
      <c r="N3668">
        <f>IFERROR(MATCH($C$5&amp;"|"&amp;RIGHT("000000"&amp;1648,6),LdBKeyG,0),"")</f>
        <v/>
      </c>
    </row>
    <row r="3669">
      <c r="A3669" s="10" t="n">
        <v>1649</v>
      </c>
      <c r="B3669" s="14">
        <f>IF($N3669="","",INDEX(LdBDate,$N3669))</f>
        <v/>
      </c>
      <c r="C3669" s="14">
        <f>IF($N3669="","",IF(INDEX(LdBId,$N3669)="","—",INDEX(LdBId,$N3669)))</f>
        <v/>
      </c>
      <c r="D3669" s="14">
        <f>IF($N3669="","",INDEX(LdBMember,$N3669))</f>
        <v/>
      </c>
      <c r="E3669" s="14">
        <f>IF($N3669="","",IFERROR(IF(VLOOKUP(INDEX(LdBMember,$N3669),AcctTblE,4,0)="","(بدون نام)",VLOOKUP(INDEX(LdBMember,$N3669),AcctTblE,4,0)),"—"))</f>
        <v/>
      </c>
      <c r="F3669" s="16">
        <f>IF($N3669="","",IF(INDEX(LdBAmt,$N3669)=0,"",INDEX(LdBAmt,$N3669)))</f>
        <v/>
      </c>
      <c r="G3669" s="30">
        <f>IF($N3669="","",IF(INDEX(LdBNote,$N3669)="","—",INDEX(LdBNote,$N3669)))</f>
        <v/>
      </c>
      <c r="N3669">
        <f>IFERROR(MATCH($C$5&amp;"|"&amp;RIGHT("000000"&amp;1649,6),LdBKeyG,0),"")</f>
        <v/>
      </c>
    </row>
    <row r="3670">
      <c r="A3670" s="19" t="n">
        <v>1650</v>
      </c>
      <c r="B3670" s="20">
        <f>IF($N3670="","",INDEX(LdBDate,$N3670))</f>
        <v/>
      </c>
      <c r="C3670" s="20">
        <f>IF($N3670="","",IF(INDEX(LdBId,$N3670)="","—",INDEX(LdBId,$N3670)))</f>
        <v/>
      </c>
      <c r="D3670" s="20">
        <f>IF($N3670="","",INDEX(LdBMember,$N3670))</f>
        <v/>
      </c>
      <c r="E3670" s="20">
        <f>IF($N3670="","",IFERROR(IF(VLOOKUP(INDEX(LdBMember,$N3670),AcctTblE,4,0)="","(بدون نام)",VLOOKUP(INDEX(LdBMember,$N3670),AcctTblE,4,0)),"—"))</f>
        <v/>
      </c>
      <c r="F3670" s="21">
        <f>IF($N3670="","",IF(INDEX(LdBAmt,$N3670)=0,"",INDEX(LdBAmt,$N3670)))</f>
        <v/>
      </c>
      <c r="G3670" s="32">
        <f>IF($N3670="","",IF(INDEX(LdBNote,$N3670)="","—",INDEX(LdBNote,$N3670)))</f>
        <v/>
      </c>
      <c r="N3670">
        <f>IFERROR(MATCH($C$5&amp;"|"&amp;RIGHT("000000"&amp;1650,6),LdBKeyG,0),"")</f>
        <v/>
      </c>
    </row>
    <row r="3671">
      <c r="A3671" s="10" t="n">
        <v>1651</v>
      </c>
      <c r="B3671" s="14">
        <f>IF($N3671="","",INDEX(LdBDate,$N3671))</f>
        <v/>
      </c>
      <c r="C3671" s="14">
        <f>IF($N3671="","",IF(INDEX(LdBId,$N3671)="","—",INDEX(LdBId,$N3671)))</f>
        <v/>
      </c>
      <c r="D3671" s="14">
        <f>IF($N3671="","",INDEX(LdBMember,$N3671))</f>
        <v/>
      </c>
      <c r="E3671" s="14">
        <f>IF($N3671="","",IFERROR(IF(VLOOKUP(INDEX(LdBMember,$N3671),AcctTblE,4,0)="","(بدون نام)",VLOOKUP(INDEX(LdBMember,$N3671),AcctTblE,4,0)),"—"))</f>
        <v/>
      </c>
      <c r="F3671" s="16">
        <f>IF($N3671="","",IF(INDEX(LdBAmt,$N3671)=0,"",INDEX(LdBAmt,$N3671)))</f>
        <v/>
      </c>
      <c r="G3671" s="30">
        <f>IF($N3671="","",IF(INDEX(LdBNote,$N3671)="","—",INDEX(LdBNote,$N3671)))</f>
        <v/>
      </c>
      <c r="N3671">
        <f>IFERROR(MATCH($C$5&amp;"|"&amp;RIGHT("000000"&amp;1651,6),LdBKeyG,0),"")</f>
        <v/>
      </c>
    </row>
    <row r="3672">
      <c r="A3672" s="19" t="n">
        <v>1652</v>
      </c>
      <c r="B3672" s="20">
        <f>IF($N3672="","",INDEX(LdBDate,$N3672))</f>
        <v/>
      </c>
      <c r="C3672" s="20">
        <f>IF($N3672="","",IF(INDEX(LdBId,$N3672)="","—",INDEX(LdBId,$N3672)))</f>
        <v/>
      </c>
      <c r="D3672" s="20">
        <f>IF($N3672="","",INDEX(LdBMember,$N3672))</f>
        <v/>
      </c>
      <c r="E3672" s="20">
        <f>IF($N3672="","",IFERROR(IF(VLOOKUP(INDEX(LdBMember,$N3672),AcctTblE,4,0)="","(بدون نام)",VLOOKUP(INDEX(LdBMember,$N3672),AcctTblE,4,0)),"—"))</f>
        <v/>
      </c>
      <c r="F3672" s="21">
        <f>IF($N3672="","",IF(INDEX(LdBAmt,$N3672)=0,"",INDEX(LdBAmt,$N3672)))</f>
        <v/>
      </c>
      <c r="G3672" s="32">
        <f>IF($N3672="","",IF(INDEX(LdBNote,$N3672)="","—",INDEX(LdBNote,$N3672)))</f>
        <v/>
      </c>
      <c r="N3672">
        <f>IFERROR(MATCH($C$5&amp;"|"&amp;RIGHT("000000"&amp;1652,6),LdBKeyG,0),"")</f>
        <v/>
      </c>
    </row>
    <row r="3673">
      <c r="A3673" s="10" t="n">
        <v>1653</v>
      </c>
      <c r="B3673" s="14">
        <f>IF($N3673="","",INDEX(LdBDate,$N3673))</f>
        <v/>
      </c>
      <c r="C3673" s="14">
        <f>IF($N3673="","",IF(INDEX(LdBId,$N3673)="","—",INDEX(LdBId,$N3673)))</f>
        <v/>
      </c>
      <c r="D3673" s="14">
        <f>IF($N3673="","",INDEX(LdBMember,$N3673))</f>
        <v/>
      </c>
      <c r="E3673" s="14">
        <f>IF($N3673="","",IFERROR(IF(VLOOKUP(INDEX(LdBMember,$N3673),AcctTblE,4,0)="","(بدون نام)",VLOOKUP(INDEX(LdBMember,$N3673),AcctTblE,4,0)),"—"))</f>
        <v/>
      </c>
      <c r="F3673" s="16">
        <f>IF($N3673="","",IF(INDEX(LdBAmt,$N3673)=0,"",INDEX(LdBAmt,$N3673)))</f>
        <v/>
      </c>
      <c r="G3673" s="30">
        <f>IF($N3673="","",IF(INDEX(LdBNote,$N3673)="","—",INDEX(LdBNote,$N3673)))</f>
        <v/>
      </c>
      <c r="N3673">
        <f>IFERROR(MATCH($C$5&amp;"|"&amp;RIGHT("000000"&amp;1653,6),LdBKeyG,0),"")</f>
        <v/>
      </c>
    </row>
    <row r="3674">
      <c r="A3674" s="19" t="n">
        <v>1654</v>
      </c>
      <c r="B3674" s="20">
        <f>IF($N3674="","",INDEX(LdBDate,$N3674))</f>
        <v/>
      </c>
      <c r="C3674" s="20">
        <f>IF($N3674="","",IF(INDEX(LdBId,$N3674)="","—",INDEX(LdBId,$N3674)))</f>
        <v/>
      </c>
      <c r="D3674" s="20">
        <f>IF($N3674="","",INDEX(LdBMember,$N3674))</f>
        <v/>
      </c>
      <c r="E3674" s="20">
        <f>IF($N3674="","",IFERROR(IF(VLOOKUP(INDEX(LdBMember,$N3674),AcctTblE,4,0)="","(بدون نام)",VLOOKUP(INDEX(LdBMember,$N3674),AcctTblE,4,0)),"—"))</f>
        <v/>
      </c>
      <c r="F3674" s="21">
        <f>IF($N3674="","",IF(INDEX(LdBAmt,$N3674)=0,"",INDEX(LdBAmt,$N3674)))</f>
        <v/>
      </c>
      <c r="G3674" s="32">
        <f>IF($N3674="","",IF(INDEX(LdBNote,$N3674)="","—",INDEX(LdBNote,$N3674)))</f>
        <v/>
      </c>
      <c r="N3674">
        <f>IFERROR(MATCH($C$5&amp;"|"&amp;RIGHT("000000"&amp;1654,6),LdBKeyG,0),"")</f>
        <v/>
      </c>
    </row>
    <row r="3675">
      <c r="A3675" s="10" t="n">
        <v>1655</v>
      </c>
      <c r="B3675" s="14">
        <f>IF($N3675="","",INDEX(LdBDate,$N3675))</f>
        <v/>
      </c>
      <c r="C3675" s="14">
        <f>IF($N3675="","",IF(INDEX(LdBId,$N3675)="","—",INDEX(LdBId,$N3675)))</f>
        <v/>
      </c>
      <c r="D3675" s="14">
        <f>IF($N3675="","",INDEX(LdBMember,$N3675))</f>
        <v/>
      </c>
      <c r="E3675" s="14">
        <f>IF($N3675="","",IFERROR(IF(VLOOKUP(INDEX(LdBMember,$N3675),AcctTblE,4,0)="","(بدون نام)",VLOOKUP(INDEX(LdBMember,$N3675),AcctTblE,4,0)),"—"))</f>
        <v/>
      </c>
      <c r="F3675" s="16">
        <f>IF($N3675="","",IF(INDEX(LdBAmt,$N3675)=0,"",INDEX(LdBAmt,$N3675)))</f>
        <v/>
      </c>
      <c r="G3675" s="30">
        <f>IF($N3675="","",IF(INDEX(LdBNote,$N3675)="","—",INDEX(LdBNote,$N3675)))</f>
        <v/>
      </c>
      <c r="N3675">
        <f>IFERROR(MATCH($C$5&amp;"|"&amp;RIGHT("000000"&amp;1655,6),LdBKeyG,0),"")</f>
        <v/>
      </c>
    </row>
    <row r="3676">
      <c r="A3676" s="19" t="n">
        <v>1656</v>
      </c>
      <c r="B3676" s="20">
        <f>IF($N3676="","",INDEX(LdBDate,$N3676))</f>
        <v/>
      </c>
      <c r="C3676" s="20">
        <f>IF($N3676="","",IF(INDEX(LdBId,$N3676)="","—",INDEX(LdBId,$N3676)))</f>
        <v/>
      </c>
      <c r="D3676" s="20">
        <f>IF($N3676="","",INDEX(LdBMember,$N3676))</f>
        <v/>
      </c>
      <c r="E3676" s="20">
        <f>IF($N3676="","",IFERROR(IF(VLOOKUP(INDEX(LdBMember,$N3676),AcctTblE,4,0)="","(بدون نام)",VLOOKUP(INDEX(LdBMember,$N3676),AcctTblE,4,0)),"—"))</f>
        <v/>
      </c>
      <c r="F3676" s="21">
        <f>IF($N3676="","",IF(INDEX(LdBAmt,$N3676)=0,"",INDEX(LdBAmt,$N3676)))</f>
        <v/>
      </c>
      <c r="G3676" s="32">
        <f>IF($N3676="","",IF(INDEX(LdBNote,$N3676)="","—",INDEX(LdBNote,$N3676)))</f>
        <v/>
      </c>
      <c r="N3676">
        <f>IFERROR(MATCH($C$5&amp;"|"&amp;RIGHT("000000"&amp;1656,6),LdBKeyG,0),"")</f>
        <v/>
      </c>
    </row>
    <row r="3677">
      <c r="A3677" s="10" t="n">
        <v>1657</v>
      </c>
      <c r="B3677" s="14">
        <f>IF($N3677="","",INDEX(LdBDate,$N3677))</f>
        <v/>
      </c>
      <c r="C3677" s="14">
        <f>IF($N3677="","",IF(INDEX(LdBId,$N3677)="","—",INDEX(LdBId,$N3677)))</f>
        <v/>
      </c>
      <c r="D3677" s="14">
        <f>IF($N3677="","",INDEX(LdBMember,$N3677))</f>
        <v/>
      </c>
      <c r="E3677" s="14">
        <f>IF($N3677="","",IFERROR(IF(VLOOKUP(INDEX(LdBMember,$N3677),AcctTblE,4,0)="","(بدون نام)",VLOOKUP(INDEX(LdBMember,$N3677),AcctTblE,4,0)),"—"))</f>
        <v/>
      </c>
      <c r="F3677" s="16">
        <f>IF($N3677="","",IF(INDEX(LdBAmt,$N3677)=0,"",INDEX(LdBAmt,$N3677)))</f>
        <v/>
      </c>
      <c r="G3677" s="30">
        <f>IF($N3677="","",IF(INDEX(LdBNote,$N3677)="","—",INDEX(LdBNote,$N3677)))</f>
        <v/>
      </c>
      <c r="N3677">
        <f>IFERROR(MATCH($C$5&amp;"|"&amp;RIGHT("000000"&amp;1657,6),LdBKeyG,0),"")</f>
        <v/>
      </c>
    </row>
    <row r="3678">
      <c r="A3678" s="19" t="n">
        <v>1658</v>
      </c>
      <c r="B3678" s="20">
        <f>IF($N3678="","",INDEX(LdBDate,$N3678))</f>
        <v/>
      </c>
      <c r="C3678" s="20">
        <f>IF($N3678="","",IF(INDEX(LdBId,$N3678)="","—",INDEX(LdBId,$N3678)))</f>
        <v/>
      </c>
      <c r="D3678" s="20">
        <f>IF($N3678="","",INDEX(LdBMember,$N3678))</f>
        <v/>
      </c>
      <c r="E3678" s="20">
        <f>IF($N3678="","",IFERROR(IF(VLOOKUP(INDEX(LdBMember,$N3678),AcctTblE,4,0)="","(بدون نام)",VLOOKUP(INDEX(LdBMember,$N3678),AcctTblE,4,0)),"—"))</f>
        <v/>
      </c>
      <c r="F3678" s="21">
        <f>IF($N3678="","",IF(INDEX(LdBAmt,$N3678)=0,"",INDEX(LdBAmt,$N3678)))</f>
        <v/>
      </c>
      <c r="G3678" s="32">
        <f>IF($N3678="","",IF(INDEX(LdBNote,$N3678)="","—",INDEX(LdBNote,$N3678)))</f>
        <v/>
      </c>
      <c r="N3678">
        <f>IFERROR(MATCH($C$5&amp;"|"&amp;RIGHT("000000"&amp;1658,6),LdBKeyG,0),"")</f>
        <v/>
      </c>
    </row>
    <row r="3679">
      <c r="A3679" s="10" t="n">
        <v>1659</v>
      </c>
      <c r="B3679" s="14">
        <f>IF($N3679="","",INDEX(LdBDate,$N3679))</f>
        <v/>
      </c>
      <c r="C3679" s="14">
        <f>IF($N3679="","",IF(INDEX(LdBId,$N3679)="","—",INDEX(LdBId,$N3679)))</f>
        <v/>
      </c>
      <c r="D3679" s="14">
        <f>IF($N3679="","",INDEX(LdBMember,$N3679))</f>
        <v/>
      </c>
      <c r="E3679" s="14">
        <f>IF($N3679="","",IFERROR(IF(VLOOKUP(INDEX(LdBMember,$N3679),AcctTblE,4,0)="","(بدون نام)",VLOOKUP(INDEX(LdBMember,$N3679),AcctTblE,4,0)),"—"))</f>
        <v/>
      </c>
      <c r="F3679" s="16">
        <f>IF($N3679="","",IF(INDEX(LdBAmt,$N3679)=0,"",INDEX(LdBAmt,$N3679)))</f>
        <v/>
      </c>
      <c r="G3679" s="30">
        <f>IF($N3679="","",IF(INDEX(LdBNote,$N3679)="","—",INDEX(LdBNote,$N3679)))</f>
        <v/>
      </c>
      <c r="N3679">
        <f>IFERROR(MATCH($C$5&amp;"|"&amp;RIGHT("000000"&amp;1659,6),LdBKeyG,0),"")</f>
        <v/>
      </c>
    </row>
    <row r="3680">
      <c r="A3680" s="19" t="n">
        <v>1660</v>
      </c>
      <c r="B3680" s="20">
        <f>IF($N3680="","",INDEX(LdBDate,$N3680))</f>
        <v/>
      </c>
      <c r="C3680" s="20">
        <f>IF($N3680="","",IF(INDEX(LdBId,$N3680)="","—",INDEX(LdBId,$N3680)))</f>
        <v/>
      </c>
      <c r="D3680" s="20">
        <f>IF($N3680="","",INDEX(LdBMember,$N3680))</f>
        <v/>
      </c>
      <c r="E3680" s="20">
        <f>IF($N3680="","",IFERROR(IF(VLOOKUP(INDEX(LdBMember,$N3680),AcctTblE,4,0)="","(بدون نام)",VLOOKUP(INDEX(LdBMember,$N3680),AcctTblE,4,0)),"—"))</f>
        <v/>
      </c>
      <c r="F3680" s="21">
        <f>IF($N3680="","",IF(INDEX(LdBAmt,$N3680)=0,"",INDEX(LdBAmt,$N3680)))</f>
        <v/>
      </c>
      <c r="G3680" s="32">
        <f>IF($N3680="","",IF(INDEX(LdBNote,$N3680)="","—",INDEX(LdBNote,$N3680)))</f>
        <v/>
      </c>
      <c r="N3680">
        <f>IFERROR(MATCH($C$5&amp;"|"&amp;RIGHT("000000"&amp;1660,6),LdBKeyG,0),"")</f>
        <v/>
      </c>
    </row>
    <row r="3681">
      <c r="A3681" s="10" t="n">
        <v>1661</v>
      </c>
      <c r="B3681" s="14">
        <f>IF($N3681="","",INDEX(LdBDate,$N3681))</f>
        <v/>
      </c>
      <c r="C3681" s="14">
        <f>IF($N3681="","",IF(INDEX(LdBId,$N3681)="","—",INDEX(LdBId,$N3681)))</f>
        <v/>
      </c>
      <c r="D3681" s="14">
        <f>IF($N3681="","",INDEX(LdBMember,$N3681))</f>
        <v/>
      </c>
      <c r="E3681" s="14">
        <f>IF($N3681="","",IFERROR(IF(VLOOKUP(INDEX(LdBMember,$N3681),AcctTblE,4,0)="","(بدون نام)",VLOOKUP(INDEX(LdBMember,$N3681),AcctTblE,4,0)),"—"))</f>
        <v/>
      </c>
      <c r="F3681" s="16">
        <f>IF($N3681="","",IF(INDEX(LdBAmt,$N3681)=0,"",INDEX(LdBAmt,$N3681)))</f>
        <v/>
      </c>
      <c r="G3681" s="30">
        <f>IF($N3681="","",IF(INDEX(LdBNote,$N3681)="","—",INDEX(LdBNote,$N3681)))</f>
        <v/>
      </c>
      <c r="N3681">
        <f>IFERROR(MATCH($C$5&amp;"|"&amp;RIGHT("000000"&amp;1661,6),LdBKeyG,0),"")</f>
        <v/>
      </c>
    </row>
    <row r="3682">
      <c r="A3682" s="19" t="n">
        <v>1662</v>
      </c>
      <c r="B3682" s="20">
        <f>IF($N3682="","",INDEX(LdBDate,$N3682))</f>
        <v/>
      </c>
      <c r="C3682" s="20">
        <f>IF($N3682="","",IF(INDEX(LdBId,$N3682)="","—",INDEX(LdBId,$N3682)))</f>
        <v/>
      </c>
      <c r="D3682" s="20">
        <f>IF($N3682="","",INDEX(LdBMember,$N3682))</f>
        <v/>
      </c>
      <c r="E3682" s="20">
        <f>IF($N3682="","",IFERROR(IF(VLOOKUP(INDEX(LdBMember,$N3682),AcctTblE,4,0)="","(بدون نام)",VLOOKUP(INDEX(LdBMember,$N3682),AcctTblE,4,0)),"—"))</f>
        <v/>
      </c>
      <c r="F3682" s="21">
        <f>IF($N3682="","",IF(INDEX(LdBAmt,$N3682)=0,"",INDEX(LdBAmt,$N3682)))</f>
        <v/>
      </c>
      <c r="G3682" s="32">
        <f>IF($N3682="","",IF(INDEX(LdBNote,$N3682)="","—",INDEX(LdBNote,$N3682)))</f>
        <v/>
      </c>
      <c r="N3682">
        <f>IFERROR(MATCH($C$5&amp;"|"&amp;RIGHT("000000"&amp;1662,6),LdBKeyG,0),"")</f>
        <v/>
      </c>
    </row>
    <row r="3683">
      <c r="A3683" s="10" t="n">
        <v>1663</v>
      </c>
      <c r="B3683" s="14">
        <f>IF($N3683="","",INDEX(LdBDate,$N3683))</f>
        <v/>
      </c>
      <c r="C3683" s="14">
        <f>IF($N3683="","",IF(INDEX(LdBId,$N3683)="","—",INDEX(LdBId,$N3683)))</f>
        <v/>
      </c>
      <c r="D3683" s="14">
        <f>IF($N3683="","",INDEX(LdBMember,$N3683))</f>
        <v/>
      </c>
      <c r="E3683" s="14">
        <f>IF($N3683="","",IFERROR(IF(VLOOKUP(INDEX(LdBMember,$N3683),AcctTblE,4,0)="","(بدون نام)",VLOOKUP(INDEX(LdBMember,$N3683),AcctTblE,4,0)),"—"))</f>
        <v/>
      </c>
      <c r="F3683" s="16">
        <f>IF($N3683="","",IF(INDEX(LdBAmt,$N3683)=0,"",INDEX(LdBAmt,$N3683)))</f>
        <v/>
      </c>
      <c r="G3683" s="30">
        <f>IF($N3683="","",IF(INDEX(LdBNote,$N3683)="","—",INDEX(LdBNote,$N3683)))</f>
        <v/>
      </c>
      <c r="N3683">
        <f>IFERROR(MATCH($C$5&amp;"|"&amp;RIGHT("000000"&amp;1663,6),LdBKeyG,0),"")</f>
        <v/>
      </c>
    </row>
    <row r="3684">
      <c r="A3684" s="19" t="n">
        <v>1664</v>
      </c>
      <c r="B3684" s="20">
        <f>IF($N3684="","",INDEX(LdBDate,$N3684))</f>
        <v/>
      </c>
      <c r="C3684" s="20">
        <f>IF($N3684="","",IF(INDEX(LdBId,$N3684)="","—",INDEX(LdBId,$N3684)))</f>
        <v/>
      </c>
      <c r="D3684" s="20">
        <f>IF($N3684="","",INDEX(LdBMember,$N3684))</f>
        <v/>
      </c>
      <c r="E3684" s="20">
        <f>IF($N3684="","",IFERROR(IF(VLOOKUP(INDEX(LdBMember,$N3684),AcctTblE,4,0)="","(بدون نام)",VLOOKUP(INDEX(LdBMember,$N3684),AcctTblE,4,0)),"—"))</f>
        <v/>
      </c>
      <c r="F3684" s="21">
        <f>IF($N3684="","",IF(INDEX(LdBAmt,$N3684)=0,"",INDEX(LdBAmt,$N3684)))</f>
        <v/>
      </c>
      <c r="G3684" s="32">
        <f>IF($N3684="","",IF(INDEX(LdBNote,$N3684)="","—",INDEX(LdBNote,$N3684)))</f>
        <v/>
      </c>
      <c r="N3684">
        <f>IFERROR(MATCH($C$5&amp;"|"&amp;RIGHT("000000"&amp;1664,6),LdBKeyG,0),"")</f>
        <v/>
      </c>
    </row>
    <row r="3685">
      <c r="A3685" s="10" t="n">
        <v>1665</v>
      </c>
      <c r="B3685" s="14">
        <f>IF($N3685="","",INDEX(LdBDate,$N3685))</f>
        <v/>
      </c>
      <c r="C3685" s="14">
        <f>IF($N3685="","",IF(INDEX(LdBId,$N3685)="","—",INDEX(LdBId,$N3685)))</f>
        <v/>
      </c>
      <c r="D3685" s="14">
        <f>IF($N3685="","",INDEX(LdBMember,$N3685))</f>
        <v/>
      </c>
      <c r="E3685" s="14">
        <f>IF($N3685="","",IFERROR(IF(VLOOKUP(INDEX(LdBMember,$N3685),AcctTblE,4,0)="","(بدون نام)",VLOOKUP(INDEX(LdBMember,$N3685),AcctTblE,4,0)),"—"))</f>
        <v/>
      </c>
      <c r="F3685" s="16">
        <f>IF($N3685="","",IF(INDEX(LdBAmt,$N3685)=0,"",INDEX(LdBAmt,$N3685)))</f>
        <v/>
      </c>
      <c r="G3685" s="30">
        <f>IF($N3685="","",IF(INDEX(LdBNote,$N3685)="","—",INDEX(LdBNote,$N3685)))</f>
        <v/>
      </c>
      <c r="N3685">
        <f>IFERROR(MATCH($C$5&amp;"|"&amp;RIGHT("000000"&amp;1665,6),LdBKeyG,0),"")</f>
        <v/>
      </c>
    </row>
    <row r="3686">
      <c r="A3686" s="19" t="n">
        <v>1666</v>
      </c>
      <c r="B3686" s="20">
        <f>IF($N3686="","",INDEX(LdBDate,$N3686))</f>
        <v/>
      </c>
      <c r="C3686" s="20">
        <f>IF($N3686="","",IF(INDEX(LdBId,$N3686)="","—",INDEX(LdBId,$N3686)))</f>
        <v/>
      </c>
      <c r="D3686" s="20">
        <f>IF($N3686="","",INDEX(LdBMember,$N3686))</f>
        <v/>
      </c>
      <c r="E3686" s="20">
        <f>IF($N3686="","",IFERROR(IF(VLOOKUP(INDEX(LdBMember,$N3686),AcctTblE,4,0)="","(بدون نام)",VLOOKUP(INDEX(LdBMember,$N3686),AcctTblE,4,0)),"—"))</f>
        <v/>
      </c>
      <c r="F3686" s="21">
        <f>IF($N3686="","",IF(INDEX(LdBAmt,$N3686)=0,"",INDEX(LdBAmt,$N3686)))</f>
        <v/>
      </c>
      <c r="G3686" s="32">
        <f>IF($N3686="","",IF(INDEX(LdBNote,$N3686)="","—",INDEX(LdBNote,$N3686)))</f>
        <v/>
      </c>
      <c r="N3686">
        <f>IFERROR(MATCH($C$5&amp;"|"&amp;RIGHT("000000"&amp;1666,6),LdBKeyG,0),"")</f>
        <v/>
      </c>
    </row>
    <row r="3687">
      <c r="A3687" s="10" t="n">
        <v>1667</v>
      </c>
      <c r="B3687" s="14">
        <f>IF($N3687="","",INDEX(LdBDate,$N3687))</f>
        <v/>
      </c>
      <c r="C3687" s="14">
        <f>IF($N3687="","",IF(INDEX(LdBId,$N3687)="","—",INDEX(LdBId,$N3687)))</f>
        <v/>
      </c>
      <c r="D3687" s="14">
        <f>IF($N3687="","",INDEX(LdBMember,$N3687))</f>
        <v/>
      </c>
      <c r="E3687" s="14">
        <f>IF($N3687="","",IFERROR(IF(VLOOKUP(INDEX(LdBMember,$N3687),AcctTblE,4,0)="","(بدون نام)",VLOOKUP(INDEX(LdBMember,$N3687),AcctTblE,4,0)),"—"))</f>
        <v/>
      </c>
      <c r="F3687" s="16">
        <f>IF($N3687="","",IF(INDEX(LdBAmt,$N3687)=0,"",INDEX(LdBAmt,$N3687)))</f>
        <v/>
      </c>
      <c r="G3687" s="30">
        <f>IF($N3687="","",IF(INDEX(LdBNote,$N3687)="","—",INDEX(LdBNote,$N3687)))</f>
        <v/>
      </c>
      <c r="N3687">
        <f>IFERROR(MATCH($C$5&amp;"|"&amp;RIGHT("000000"&amp;1667,6),LdBKeyG,0),"")</f>
        <v/>
      </c>
    </row>
    <row r="3688">
      <c r="A3688" s="19" t="n">
        <v>1668</v>
      </c>
      <c r="B3688" s="20">
        <f>IF($N3688="","",INDEX(LdBDate,$N3688))</f>
        <v/>
      </c>
      <c r="C3688" s="20">
        <f>IF($N3688="","",IF(INDEX(LdBId,$N3688)="","—",INDEX(LdBId,$N3688)))</f>
        <v/>
      </c>
      <c r="D3688" s="20">
        <f>IF($N3688="","",INDEX(LdBMember,$N3688))</f>
        <v/>
      </c>
      <c r="E3688" s="20">
        <f>IF($N3688="","",IFERROR(IF(VLOOKUP(INDEX(LdBMember,$N3688),AcctTblE,4,0)="","(بدون نام)",VLOOKUP(INDEX(LdBMember,$N3688),AcctTblE,4,0)),"—"))</f>
        <v/>
      </c>
      <c r="F3688" s="21">
        <f>IF($N3688="","",IF(INDEX(LdBAmt,$N3688)=0,"",INDEX(LdBAmt,$N3688)))</f>
        <v/>
      </c>
      <c r="G3688" s="32">
        <f>IF($N3688="","",IF(INDEX(LdBNote,$N3688)="","—",INDEX(LdBNote,$N3688)))</f>
        <v/>
      </c>
      <c r="N3688">
        <f>IFERROR(MATCH($C$5&amp;"|"&amp;RIGHT("000000"&amp;1668,6),LdBKeyG,0),"")</f>
        <v/>
      </c>
    </row>
    <row r="3689">
      <c r="A3689" s="10" t="n">
        <v>1669</v>
      </c>
      <c r="B3689" s="14">
        <f>IF($N3689="","",INDEX(LdBDate,$N3689))</f>
        <v/>
      </c>
      <c r="C3689" s="14">
        <f>IF($N3689="","",IF(INDEX(LdBId,$N3689)="","—",INDEX(LdBId,$N3689)))</f>
        <v/>
      </c>
      <c r="D3689" s="14">
        <f>IF($N3689="","",INDEX(LdBMember,$N3689))</f>
        <v/>
      </c>
      <c r="E3689" s="14">
        <f>IF($N3689="","",IFERROR(IF(VLOOKUP(INDEX(LdBMember,$N3689),AcctTblE,4,0)="","(بدون نام)",VLOOKUP(INDEX(LdBMember,$N3689),AcctTblE,4,0)),"—"))</f>
        <v/>
      </c>
      <c r="F3689" s="16">
        <f>IF($N3689="","",IF(INDEX(LdBAmt,$N3689)=0,"",INDEX(LdBAmt,$N3689)))</f>
        <v/>
      </c>
      <c r="G3689" s="30">
        <f>IF($N3689="","",IF(INDEX(LdBNote,$N3689)="","—",INDEX(LdBNote,$N3689)))</f>
        <v/>
      </c>
      <c r="N3689">
        <f>IFERROR(MATCH($C$5&amp;"|"&amp;RIGHT("000000"&amp;1669,6),LdBKeyG,0),"")</f>
        <v/>
      </c>
    </row>
    <row r="3690">
      <c r="A3690" s="19" t="n">
        <v>1670</v>
      </c>
      <c r="B3690" s="20">
        <f>IF($N3690="","",INDEX(LdBDate,$N3690))</f>
        <v/>
      </c>
      <c r="C3690" s="20">
        <f>IF($N3690="","",IF(INDEX(LdBId,$N3690)="","—",INDEX(LdBId,$N3690)))</f>
        <v/>
      </c>
      <c r="D3690" s="20">
        <f>IF($N3690="","",INDEX(LdBMember,$N3690))</f>
        <v/>
      </c>
      <c r="E3690" s="20">
        <f>IF($N3690="","",IFERROR(IF(VLOOKUP(INDEX(LdBMember,$N3690),AcctTblE,4,0)="","(بدون نام)",VLOOKUP(INDEX(LdBMember,$N3690),AcctTblE,4,0)),"—"))</f>
        <v/>
      </c>
      <c r="F3690" s="21">
        <f>IF($N3690="","",IF(INDEX(LdBAmt,$N3690)=0,"",INDEX(LdBAmt,$N3690)))</f>
        <v/>
      </c>
      <c r="G3690" s="32">
        <f>IF($N3690="","",IF(INDEX(LdBNote,$N3690)="","—",INDEX(LdBNote,$N3690)))</f>
        <v/>
      </c>
      <c r="N3690">
        <f>IFERROR(MATCH($C$5&amp;"|"&amp;RIGHT("000000"&amp;1670,6),LdBKeyG,0),"")</f>
        <v/>
      </c>
    </row>
    <row r="3691">
      <c r="A3691" s="10" t="n">
        <v>1671</v>
      </c>
      <c r="B3691" s="14">
        <f>IF($N3691="","",INDEX(LdBDate,$N3691))</f>
        <v/>
      </c>
      <c r="C3691" s="14">
        <f>IF($N3691="","",IF(INDEX(LdBId,$N3691)="","—",INDEX(LdBId,$N3691)))</f>
        <v/>
      </c>
      <c r="D3691" s="14">
        <f>IF($N3691="","",INDEX(LdBMember,$N3691))</f>
        <v/>
      </c>
      <c r="E3691" s="14">
        <f>IF($N3691="","",IFERROR(IF(VLOOKUP(INDEX(LdBMember,$N3691),AcctTblE,4,0)="","(بدون نام)",VLOOKUP(INDEX(LdBMember,$N3691),AcctTblE,4,0)),"—"))</f>
        <v/>
      </c>
      <c r="F3691" s="16">
        <f>IF($N3691="","",IF(INDEX(LdBAmt,$N3691)=0,"",INDEX(LdBAmt,$N3691)))</f>
        <v/>
      </c>
      <c r="G3691" s="30">
        <f>IF($N3691="","",IF(INDEX(LdBNote,$N3691)="","—",INDEX(LdBNote,$N3691)))</f>
        <v/>
      </c>
      <c r="N3691">
        <f>IFERROR(MATCH($C$5&amp;"|"&amp;RIGHT("000000"&amp;1671,6),LdBKeyG,0),"")</f>
        <v/>
      </c>
    </row>
    <row r="3692">
      <c r="A3692" s="19" t="n">
        <v>1672</v>
      </c>
      <c r="B3692" s="20">
        <f>IF($N3692="","",INDEX(LdBDate,$N3692))</f>
        <v/>
      </c>
      <c r="C3692" s="20">
        <f>IF($N3692="","",IF(INDEX(LdBId,$N3692)="","—",INDEX(LdBId,$N3692)))</f>
        <v/>
      </c>
      <c r="D3692" s="20">
        <f>IF($N3692="","",INDEX(LdBMember,$N3692))</f>
        <v/>
      </c>
      <c r="E3692" s="20">
        <f>IF($N3692="","",IFERROR(IF(VLOOKUP(INDEX(LdBMember,$N3692),AcctTblE,4,0)="","(بدون نام)",VLOOKUP(INDEX(LdBMember,$N3692),AcctTblE,4,0)),"—"))</f>
        <v/>
      </c>
      <c r="F3692" s="21">
        <f>IF($N3692="","",IF(INDEX(LdBAmt,$N3692)=0,"",INDEX(LdBAmt,$N3692)))</f>
        <v/>
      </c>
      <c r="G3692" s="32">
        <f>IF($N3692="","",IF(INDEX(LdBNote,$N3692)="","—",INDEX(LdBNote,$N3692)))</f>
        <v/>
      </c>
      <c r="N3692">
        <f>IFERROR(MATCH($C$5&amp;"|"&amp;RIGHT("000000"&amp;1672,6),LdBKeyG,0),"")</f>
        <v/>
      </c>
    </row>
    <row r="3693">
      <c r="A3693" s="10" t="n">
        <v>1673</v>
      </c>
      <c r="B3693" s="14">
        <f>IF($N3693="","",INDEX(LdBDate,$N3693))</f>
        <v/>
      </c>
      <c r="C3693" s="14">
        <f>IF($N3693="","",IF(INDEX(LdBId,$N3693)="","—",INDEX(LdBId,$N3693)))</f>
        <v/>
      </c>
      <c r="D3693" s="14">
        <f>IF($N3693="","",INDEX(LdBMember,$N3693))</f>
        <v/>
      </c>
      <c r="E3693" s="14">
        <f>IF($N3693="","",IFERROR(IF(VLOOKUP(INDEX(LdBMember,$N3693),AcctTblE,4,0)="","(بدون نام)",VLOOKUP(INDEX(LdBMember,$N3693),AcctTblE,4,0)),"—"))</f>
        <v/>
      </c>
      <c r="F3693" s="16">
        <f>IF($N3693="","",IF(INDEX(LdBAmt,$N3693)=0,"",INDEX(LdBAmt,$N3693)))</f>
        <v/>
      </c>
      <c r="G3693" s="30">
        <f>IF($N3693="","",IF(INDEX(LdBNote,$N3693)="","—",INDEX(LdBNote,$N3693)))</f>
        <v/>
      </c>
      <c r="N3693">
        <f>IFERROR(MATCH($C$5&amp;"|"&amp;RIGHT("000000"&amp;1673,6),LdBKeyG,0),"")</f>
        <v/>
      </c>
    </row>
    <row r="3694">
      <c r="A3694" s="19" t="n">
        <v>1674</v>
      </c>
      <c r="B3694" s="20">
        <f>IF($N3694="","",INDEX(LdBDate,$N3694))</f>
        <v/>
      </c>
      <c r="C3694" s="20">
        <f>IF($N3694="","",IF(INDEX(LdBId,$N3694)="","—",INDEX(LdBId,$N3694)))</f>
        <v/>
      </c>
      <c r="D3694" s="20">
        <f>IF($N3694="","",INDEX(LdBMember,$N3694))</f>
        <v/>
      </c>
      <c r="E3694" s="20">
        <f>IF($N3694="","",IFERROR(IF(VLOOKUP(INDEX(LdBMember,$N3694),AcctTblE,4,0)="","(بدون نام)",VLOOKUP(INDEX(LdBMember,$N3694),AcctTblE,4,0)),"—"))</f>
        <v/>
      </c>
      <c r="F3694" s="21">
        <f>IF($N3694="","",IF(INDEX(LdBAmt,$N3694)=0,"",INDEX(LdBAmt,$N3694)))</f>
        <v/>
      </c>
      <c r="G3694" s="32">
        <f>IF($N3694="","",IF(INDEX(LdBNote,$N3694)="","—",INDEX(LdBNote,$N3694)))</f>
        <v/>
      </c>
      <c r="N3694">
        <f>IFERROR(MATCH($C$5&amp;"|"&amp;RIGHT("000000"&amp;1674,6),LdBKeyG,0),"")</f>
        <v/>
      </c>
    </row>
    <row r="3695">
      <c r="A3695" s="10" t="n">
        <v>1675</v>
      </c>
      <c r="B3695" s="14">
        <f>IF($N3695="","",INDEX(LdBDate,$N3695))</f>
        <v/>
      </c>
      <c r="C3695" s="14">
        <f>IF($N3695="","",IF(INDEX(LdBId,$N3695)="","—",INDEX(LdBId,$N3695)))</f>
        <v/>
      </c>
      <c r="D3695" s="14">
        <f>IF($N3695="","",INDEX(LdBMember,$N3695))</f>
        <v/>
      </c>
      <c r="E3695" s="14">
        <f>IF($N3695="","",IFERROR(IF(VLOOKUP(INDEX(LdBMember,$N3695),AcctTblE,4,0)="","(بدون نام)",VLOOKUP(INDEX(LdBMember,$N3695),AcctTblE,4,0)),"—"))</f>
        <v/>
      </c>
      <c r="F3695" s="16">
        <f>IF($N3695="","",IF(INDEX(LdBAmt,$N3695)=0,"",INDEX(LdBAmt,$N3695)))</f>
        <v/>
      </c>
      <c r="G3695" s="30">
        <f>IF($N3695="","",IF(INDEX(LdBNote,$N3695)="","—",INDEX(LdBNote,$N3695)))</f>
        <v/>
      </c>
      <c r="N3695">
        <f>IFERROR(MATCH($C$5&amp;"|"&amp;RIGHT("000000"&amp;1675,6),LdBKeyG,0),"")</f>
        <v/>
      </c>
    </row>
    <row r="3696">
      <c r="A3696" s="19" t="n">
        <v>1676</v>
      </c>
      <c r="B3696" s="20">
        <f>IF($N3696="","",INDEX(LdBDate,$N3696))</f>
        <v/>
      </c>
      <c r="C3696" s="20">
        <f>IF($N3696="","",IF(INDEX(LdBId,$N3696)="","—",INDEX(LdBId,$N3696)))</f>
        <v/>
      </c>
      <c r="D3696" s="20">
        <f>IF($N3696="","",INDEX(LdBMember,$N3696))</f>
        <v/>
      </c>
      <c r="E3696" s="20">
        <f>IF($N3696="","",IFERROR(IF(VLOOKUP(INDEX(LdBMember,$N3696),AcctTblE,4,0)="","(بدون نام)",VLOOKUP(INDEX(LdBMember,$N3696),AcctTblE,4,0)),"—"))</f>
        <v/>
      </c>
      <c r="F3696" s="21">
        <f>IF($N3696="","",IF(INDEX(LdBAmt,$N3696)=0,"",INDEX(LdBAmt,$N3696)))</f>
        <v/>
      </c>
      <c r="G3696" s="32">
        <f>IF($N3696="","",IF(INDEX(LdBNote,$N3696)="","—",INDEX(LdBNote,$N3696)))</f>
        <v/>
      </c>
      <c r="N3696">
        <f>IFERROR(MATCH($C$5&amp;"|"&amp;RIGHT("000000"&amp;1676,6),LdBKeyG,0),"")</f>
        <v/>
      </c>
    </row>
    <row r="3697">
      <c r="A3697" s="10" t="n">
        <v>1677</v>
      </c>
      <c r="B3697" s="14">
        <f>IF($N3697="","",INDEX(LdBDate,$N3697))</f>
        <v/>
      </c>
      <c r="C3697" s="14">
        <f>IF($N3697="","",IF(INDEX(LdBId,$N3697)="","—",INDEX(LdBId,$N3697)))</f>
        <v/>
      </c>
      <c r="D3697" s="14">
        <f>IF($N3697="","",INDEX(LdBMember,$N3697))</f>
        <v/>
      </c>
      <c r="E3697" s="14">
        <f>IF($N3697="","",IFERROR(IF(VLOOKUP(INDEX(LdBMember,$N3697),AcctTblE,4,0)="","(بدون نام)",VLOOKUP(INDEX(LdBMember,$N3697),AcctTblE,4,0)),"—"))</f>
        <v/>
      </c>
      <c r="F3697" s="16">
        <f>IF($N3697="","",IF(INDEX(LdBAmt,$N3697)=0,"",INDEX(LdBAmt,$N3697)))</f>
        <v/>
      </c>
      <c r="G3697" s="30">
        <f>IF($N3697="","",IF(INDEX(LdBNote,$N3697)="","—",INDEX(LdBNote,$N3697)))</f>
        <v/>
      </c>
      <c r="N3697">
        <f>IFERROR(MATCH($C$5&amp;"|"&amp;RIGHT("000000"&amp;1677,6),LdBKeyG,0),"")</f>
        <v/>
      </c>
    </row>
    <row r="3698">
      <c r="A3698" s="19" t="n">
        <v>1678</v>
      </c>
      <c r="B3698" s="20">
        <f>IF($N3698="","",INDEX(LdBDate,$N3698))</f>
        <v/>
      </c>
      <c r="C3698" s="20">
        <f>IF($N3698="","",IF(INDEX(LdBId,$N3698)="","—",INDEX(LdBId,$N3698)))</f>
        <v/>
      </c>
      <c r="D3698" s="20">
        <f>IF($N3698="","",INDEX(LdBMember,$N3698))</f>
        <v/>
      </c>
      <c r="E3698" s="20">
        <f>IF($N3698="","",IFERROR(IF(VLOOKUP(INDEX(LdBMember,$N3698),AcctTblE,4,0)="","(بدون نام)",VLOOKUP(INDEX(LdBMember,$N3698),AcctTblE,4,0)),"—"))</f>
        <v/>
      </c>
      <c r="F3698" s="21">
        <f>IF($N3698="","",IF(INDEX(LdBAmt,$N3698)=0,"",INDEX(LdBAmt,$N3698)))</f>
        <v/>
      </c>
      <c r="G3698" s="32">
        <f>IF($N3698="","",IF(INDEX(LdBNote,$N3698)="","—",INDEX(LdBNote,$N3698)))</f>
        <v/>
      </c>
      <c r="N3698">
        <f>IFERROR(MATCH($C$5&amp;"|"&amp;RIGHT("000000"&amp;1678,6),LdBKeyG,0),"")</f>
        <v/>
      </c>
    </row>
    <row r="3699">
      <c r="A3699" s="10" t="n">
        <v>1679</v>
      </c>
      <c r="B3699" s="14">
        <f>IF($N3699="","",INDEX(LdBDate,$N3699))</f>
        <v/>
      </c>
      <c r="C3699" s="14">
        <f>IF($N3699="","",IF(INDEX(LdBId,$N3699)="","—",INDEX(LdBId,$N3699)))</f>
        <v/>
      </c>
      <c r="D3699" s="14">
        <f>IF($N3699="","",INDEX(LdBMember,$N3699))</f>
        <v/>
      </c>
      <c r="E3699" s="14">
        <f>IF($N3699="","",IFERROR(IF(VLOOKUP(INDEX(LdBMember,$N3699),AcctTblE,4,0)="","(بدون نام)",VLOOKUP(INDEX(LdBMember,$N3699),AcctTblE,4,0)),"—"))</f>
        <v/>
      </c>
      <c r="F3699" s="16">
        <f>IF($N3699="","",IF(INDEX(LdBAmt,$N3699)=0,"",INDEX(LdBAmt,$N3699)))</f>
        <v/>
      </c>
      <c r="G3699" s="30">
        <f>IF($N3699="","",IF(INDEX(LdBNote,$N3699)="","—",INDEX(LdBNote,$N3699)))</f>
        <v/>
      </c>
      <c r="N3699">
        <f>IFERROR(MATCH($C$5&amp;"|"&amp;RIGHT("000000"&amp;1679,6),LdBKeyG,0),"")</f>
        <v/>
      </c>
    </row>
    <row r="3700">
      <c r="A3700" s="19" t="n">
        <v>1680</v>
      </c>
      <c r="B3700" s="20">
        <f>IF($N3700="","",INDEX(LdBDate,$N3700))</f>
        <v/>
      </c>
      <c r="C3700" s="20">
        <f>IF($N3700="","",IF(INDEX(LdBId,$N3700)="","—",INDEX(LdBId,$N3700)))</f>
        <v/>
      </c>
      <c r="D3700" s="20">
        <f>IF($N3700="","",INDEX(LdBMember,$N3700))</f>
        <v/>
      </c>
      <c r="E3700" s="20">
        <f>IF($N3700="","",IFERROR(IF(VLOOKUP(INDEX(LdBMember,$N3700),AcctTblE,4,0)="","(بدون نام)",VLOOKUP(INDEX(LdBMember,$N3700),AcctTblE,4,0)),"—"))</f>
        <v/>
      </c>
      <c r="F3700" s="21">
        <f>IF($N3700="","",IF(INDEX(LdBAmt,$N3700)=0,"",INDEX(LdBAmt,$N3700)))</f>
        <v/>
      </c>
      <c r="G3700" s="32">
        <f>IF($N3700="","",IF(INDEX(LdBNote,$N3700)="","—",INDEX(LdBNote,$N3700)))</f>
        <v/>
      </c>
      <c r="N3700">
        <f>IFERROR(MATCH($C$5&amp;"|"&amp;RIGHT("000000"&amp;1680,6),LdBKeyG,0),"")</f>
        <v/>
      </c>
    </row>
    <row r="3701">
      <c r="A3701" s="10" t="n">
        <v>1681</v>
      </c>
      <c r="B3701" s="14">
        <f>IF($N3701="","",INDEX(LdBDate,$N3701))</f>
        <v/>
      </c>
      <c r="C3701" s="14">
        <f>IF($N3701="","",IF(INDEX(LdBId,$N3701)="","—",INDEX(LdBId,$N3701)))</f>
        <v/>
      </c>
      <c r="D3701" s="14">
        <f>IF($N3701="","",INDEX(LdBMember,$N3701))</f>
        <v/>
      </c>
      <c r="E3701" s="14">
        <f>IF($N3701="","",IFERROR(IF(VLOOKUP(INDEX(LdBMember,$N3701),AcctTblE,4,0)="","(بدون نام)",VLOOKUP(INDEX(LdBMember,$N3701),AcctTblE,4,0)),"—"))</f>
        <v/>
      </c>
      <c r="F3701" s="16">
        <f>IF($N3701="","",IF(INDEX(LdBAmt,$N3701)=0,"",INDEX(LdBAmt,$N3701)))</f>
        <v/>
      </c>
      <c r="G3701" s="30">
        <f>IF($N3701="","",IF(INDEX(LdBNote,$N3701)="","—",INDEX(LdBNote,$N3701)))</f>
        <v/>
      </c>
      <c r="N3701">
        <f>IFERROR(MATCH($C$5&amp;"|"&amp;RIGHT("000000"&amp;1681,6),LdBKeyG,0),"")</f>
        <v/>
      </c>
    </row>
    <row r="3702">
      <c r="A3702" s="19" t="n">
        <v>1682</v>
      </c>
      <c r="B3702" s="20">
        <f>IF($N3702="","",INDEX(LdBDate,$N3702))</f>
        <v/>
      </c>
      <c r="C3702" s="20">
        <f>IF($N3702="","",IF(INDEX(LdBId,$N3702)="","—",INDEX(LdBId,$N3702)))</f>
        <v/>
      </c>
      <c r="D3702" s="20">
        <f>IF($N3702="","",INDEX(LdBMember,$N3702))</f>
        <v/>
      </c>
      <c r="E3702" s="20">
        <f>IF($N3702="","",IFERROR(IF(VLOOKUP(INDEX(LdBMember,$N3702),AcctTblE,4,0)="","(بدون نام)",VLOOKUP(INDEX(LdBMember,$N3702),AcctTblE,4,0)),"—"))</f>
        <v/>
      </c>
      <c r="F3702" s="21">
        <f>IF($N3702="","",IF(INDEX(LdBAmt,$N3702)=0,"",INDEX(LdBAmt,$N3702)))</f>
        <v/>
      </c>
      <c r="G3702" s="32">
        <f>IF($N3702="","",IF(INDEX(LdBNote,$N3702)="","—",INDEX(LdBNote,$N3702)))</f>
        <v/>
      </c>
      <c r="N3702">
        <f>IFERROR(MATCH($C$5&amp;"|"&amp;RIGHT("000000"&amp;1682,6),LdBKeyG,0),"")</f>
        <v/>
      </c>
    </row>
    <row r="3703">
      <c r="A3703" s="10" t="n">
        <v>1683</v>
      </c>
      <c r="B3703" s="14">
        <f>IF($N3703="","",INDEX(LdBDate,$N3703))</f>
        <v/>
      </c>
      <c r="C3703" s="14">
        <f>IF($N3703="","",IF(INDEX(LdBId,$N3703)="","—",INDEX(LdBId,$N3703)))</f>
        <v/>
      </c>
      <c r="D3703" s="14">
        <f>IF($N3703="","",INDEX(LdBMember,$N3703))</f>
        <v/>
      </c>
      <c r="E3703" s="14">
        <f>IF($N3703="","",IFERROR(IF(VLOOKUP(INDEX(LdBMember,$N3703),AcctTblE,4,0)="","(بدون نام)",VLOOKUP(INDEX(LdBMember,$N3703),AcctTblE,4,0)),"—"))</f>
        <v/>
      </c>
      <c r="F3703" s="16">
        <f>IF($N3703="","",IF(INDEX(LdBAmt,$N3703)=0,"",INDEX(LdBAmt,$N3703)))</f>
        <v/>
      </c>
      <c r="G3703" s="30">
        <f>IF($N3703="","",IF(INDEX(LdBNote,$N3703)="","—",INDEX(LdBNote,$N3703)))</f>
        <v/>
      </c>
      <c r="N3703">
        <f>IFERROR(MATCH($C$5&amp;"|"&amp;RIGHT("000000"&amp;1683,6),LdBKeyG,0),"")</f>
        <v/>
      </c>
    </row>
    <row r="3704">
      <c r="A3704" s="19" t="n">
        <v>1684</v>
      </c>
      <c r="B3704" s="20">
        <f>IF($N3704="","",INDEX(LdBDate,$N3704))</f>
        <v/>
      </c>
      <c r="C3704" s="20">
        <f>IF($N3704="","",IF(INDEX(LdBId,$N3704)="","—",INDEX(LdBId,$N3704)))</f>
        <v/>
      </c>
      <c r="D3704" s="20">
        <f>IF($N3704="","",INDEX(LdBMember,$N3704))</f>
        <v/>
      </c>
      <c r="E3704" s="20">
        <f>IF($N3704="","",IFERROR(IF(VLOOKUP(INDEX(LdBMember,$N3704),AcctTblE,4,0)="","(بدون نام)",VLOOKUP(INDEX(LdBMember,$N3704),AcctTblE,4,0)),"—"))</f>
        <v/>
      </c>
      <c r="F3704" s="21">
        <f>IF($N3704="","",IF(INDEX(LdBAmt,$N3704)=0,"",INDEX(LdBAmt,$N3704)))</f>
        <v/>
      </c>
      <c r="G3704" s="32">
        <f>IF($N3704="","",IF(INDEX(LdBNote,$N3704)="","—",INDEX(LdBNote,$N3704)))</f>
        <v/>
      </c>
      <c r="N3704">
        <f>IFERROR(MATCH($C$5&amp;"|"&amp;RIGHT("000000"&amp;1684,6),LdBKeyG,0),"")</f>
        <v/>
      </c>
    </row>
    <row r="3705">
      <c r="A3705" s="10" t="n">
        <v>1685</v>
      </c>
      <c r="B3705" s="14">
        <f>IF($N3705="","",INDEX(LdBDate,$N3705))</f>
        <v/>
      </c>
      <c r="C3705" s="14">
        <f>IF($N3705="","",IF(INDEX(LdBId,$N3705)="","—",INDEX(LdBId,$N3705)))</f>
        <v/>
      </c>
      <c r="D3705" s="14">
        <f>IF($N3705="","",INDEX(LdBMember,$N3705))</f>
        <v/>
      </c>
      <c r="E3705" s="14">
        <f>IF($N3705="","",IFERROR(IF(VLOOKUP(INDEX(LdBMember,$N3705),AcctTblE,4,0)="","(بدون نام)",VLOOKUP(INDEX(LdBMember,$N3705),AcctTblE,4,0)),"—"))</f>
        <v/>
      </c>
      <c r="F3705" s="16">
        <f>IF($N3705="","",IF(INDEX(LdBAmt,$N3705)=0,"",INDEX(LdBAmt,$N3705)))</f>
        <v/>
      </c>
      <c r="G3705" s="30">
        <f>IF($N3705="","",IF(INDEX(LdBNote,$N3705)="","—",INDEX(LdBNote,$N3705)))</f>
        <v/>
      </c>
      <c r="N3705">
        <f>IFERROR(MATCH($C$5&amp;"|"&amp;RIGHT("000000"&amp;1685,6),LdBKeyG,0),"")</f>
        <v/>
      </c>
    </row>
    <row r="3706">
      <c r="A3706" s="19" t="n">
        <v>1686</v>
      </c>
      <c r="B3706" s="20">
        <f>IF($N3706="","",INDEX(LdBDate,$N3706))</f>
        <v/>
      </c>
      <c r="C3706" s="20">
        <f>IF($N3706="","",IF(INDEX(LdBId,$N3706)="","—",INDEX(LdBId,$N3706)))</f>
        <v/>
      </c>
      <c r="D3706" s="20">
        <f>IF($N3706="","",INDEX(LdBMember,$N3706))</f>
        <v/>
      </c>
      <c r="E3706" s="20">
        <f>IF($N3706="","",IFERROR(IF(VLOOKUP(INDEX(LdBMember,$N3706),AcctTblE,4,0)="","(بدون نام)",VLOOKUP(INDEX(LdBMember,$N3706),AcctTblE,4,0)),"—"))</f>
        <v/>
      </c>
      <c r="F3706" s="21">
        <f>IF($N3706="","",IF(INDEX(LdBAmt,$N3706)=0,"",INDEX(LdBAmt,$N3706)))</f>
        <v/>
      </c>
      <c r="G3706" s="32">
        <f>IF($N3706="","",IF(INDEX(LdBNote,$N3706)="","—",INDEX(LdBNote,$N3706)))</f>
        <v/>
      </c>
      <c r="N3706">
        <f>IFERROR(MATCH($C$5&amp;"|"&amp;RIGHT("000000"&amp;1686,6),LdBKeyG,0),"")</f>
        <v/>
      </c>
    </row>
    <row r="3707">
      <c r="A3707" s="10" t="n">
        <v>1687</v>
      </c>
      <c r="B3707" s="14">
        <f>IF($N3707="","",INDEX(LdBDate,$N3707))</f>
        <v/>
      </c>
      <c r="C3707" s="14">
        <f>IF($N3707="","",IF(INDEX(LdBId,$N3707)="","—",INDEX(LdBId,$N3707)))</f>
        <v/>
      </c>
      <c r="D3707" s="14">
        <f>IF($N3707="","",INDEX(LdBMember,$N3707))</f>
        <v/>
      </c>
      <c r="E3707" s="14">
        <f>IF($N3707="","",IFERROR(IF(VLOOKUP(INDEX(LdBMember,$N3707),AcctTblE,4,0)="","(بدون نام)",VLOOKUP(INDEX(LdBMember,$N3707),AcctTblE,4,0)),"—"))</f>
        <v/>
      </c>
      <c r="F3707" s="16">
        <f>IF($N3707="","",IF(INDEX(LdBAmt,$N3707)=0,"",INDEX(LdBAmt,$N3707)))</f>
        <v/>
      </c>
      <c r="G3707" s="30">
        <f>IF($N3707="","",IF(INDEX(LdBNote,$N3707)="","—",INDEX(LdBNote,$N3707)))</f>
        <v/>
      </c>
      <c r="N3707">
        <f>IFERROR(MATCH($C$5&amp;"|"&amp;RIGHT("000000"&amp;1687,6),LdBKeyG,0),"")</f>
        <v/>
      </c>
    </row>
    <row r="3708">
      <c r="A3708" s="19" t="n">
        <v>1688</v>
      </c>
      <c r="B3708" s="20">
        <f>IF($N3708="","",INDEX(LdBDate,$N3708))</f>
        <v/>
      </c>
      <c r="C3708" s="20">
        <f>IF($N3708="","",IF(INDEX(LdBId,$N3708)="","—",INDEX(LdBId,$N3708)))</f>
        <v/>
      </c>
      <c r="D3708" s="20">
        <f>IF($N3708="","",INDEX(LdBMember,$N3708))</f>
        <v/>
      </c>
      <c r="E3708" s="20">
        <f>IF($N3708="","",IFERROR(IF(VLOOKUP(INDEX(LdBMember,$N3708),AcctTblE,4,0)="","(بدون نام)",VLOOKUP(INDEX(LdBMember,$N3708),AcctTblE,4,0)),"—"))</f>
        <v/>
      </c>
      <c r="F3708" s="21">
        <f>IF($N3708="","",IF(INDEX(LdBAmt,$N3708)=0,"",INDEX(LdBAmt,$N3708)))</f>
        <v/>
      </c>
      <c r="G3708" s="32">
        <f>IF($N3708="","",IF(INDEX(LdBNote,$N3708)="","—",INDEX(LdBNote,$N3708)))</f>
        <v/>
      </c>
      <c r="N3708">
        <f>IFERROR(MATCH($C$5&amp;"|"&amp;RIGHT("000000"&amp;1688,6),LdBKeyG,0),"")</f>
        <v/>
      </c>
    </row>
    <row r="3709">
      <c r="A3709" s="10" t="n">
        <v>1689</v>
      </c>
      <c r="B3709" s="14">
        <f>IF($N3709="","",INDEX(LdBDate,$N3709))</f>
        <v/>
      </c>
      <c r="C3709" s="14">
        <f>IF($N3709="","",IF(INDEX(LdBId,$N3709)="","—",INDEX(LdBId,$N3709)))</f>
        <v/>
      </c>
      <c r="D3709" s="14">
        <f>IF($N3709="","",INDEX(LdBMember,$N3709))</f>
        <v/>
      </c>
      <c r="E3709" s="14">
        <f>IF($N3709="","",IFERROR(IF(VLOOKUP(INDEX(LdBMember,$N3709),AcctTblE,4,0)="","(بدون نام)",VLOOKUP(INDEX(LdBMember,$N3709),AcctTblE,4,0)),"—"))</f>
        <v/>
      </c>
      <c r="F3709" s="16">
        <f>IF($N3709="","",IF(INDEX(LdBAmt,$N3709)=0,"",INDEX(LdBAmt,$N3709)))</f>
        <v/>
      </c>
      <c r="G3709" s="30">
        <f>IF($N3709="","",IF(INDEX(LdBNote,$N3709)="","—",INDEX(LdBNote,$N3709)))</f>
        <v/>
      </c>
      <c r="N3709">
        <f>IFERROR(MATCH($C$5&amp;"|"&amp;RIGHT("000000"&amp;1689,6),LdBKeyG,0),"")</f>
        <v/>
      </c>
    </row>
    <row r="3710">
      <c r="A3710" s="19" t="n">
        <v>1690</v>
      </c>
      <c r="B3710" s="20">
        <f>IF($N3710="","",INDEX(LdBDate,$N3710))</f>
        <v/>
      </c>
      <c r="C3710" s="20">
        <f>IF($N3710="","",IF(INDEX(LdBId,$N3710)="","—",INDEX(LdBId,$N3710)))</f>
        <v/>
      </c>
      <c r="D3710" s="20">
        <f>IF($N3710="","",INDEX(LdBMember,$N3710))</f>
        <v/>
      </c>
      <c r="E3710" s="20">
        <f>IF($N3710="","",IFERROR(IF(VLOOKUP(INDEX(LdBMember,$N3710),AcctTblE,4,0)="","(بدون نام)",VLOOKUP(INDEX(LdBMember,$N3710),AcctTblE,4,0)),"—"))</f>
        <v/>
      </c>
      <c r="F3710" s="21">
        <f>IF($N3710="","",IF(INDEX(LdBAmt,$N3710)=0,"",INDEX(LdBAmt,$N3710)))</f>
        <v/>
      </c>
      <c r="G3710" s="32">
        <f>IF($N3710="","",IF(INDEX(LdBNote,$N3710)="","—",INDEX(LdBNote,$N3710)))</f>
        <v/>
      </c>
      <c r="N3710">
        <f>IFERROR(MATCH($C$5&amp;"|"&amp;RIGHT("000000"&amp;1690,6),LdBKeyG,0),"")</f>
        <v/>
      </c>
    </row>
    <row r="3711">
      <c r="A3711" s="10" t="n">
        <v>1691</v>
      </c>
      <c r="B3711" s="14">
        <f>IF($N3711="","",INDEX(LdBDate,$N3711))</f>
        <v/>
      </c>
      <c r="C3711" s="14">
        <f>IF($N3711="","",IF(INDEX(LdBId,$N3711)="","—",INDEX(LdBId,$N3711)))</f>
        <v/>
      </c>
      <c r="D3711" s="14">
        <f>IF($N3711="","",INDEX(LdBMember,$N3711))</f>
        <v/>
      </c>
      <c r="E3711" s="14">
        <f>IF($N3711="","",IFERROR(IF(VLOOKUP(INDEX(LdBMember,$N3711),AcctTblE,4,0)="","(بدون نام)",VLOOKUP(INDEX(LdBMember,$N3711),AcctTblE,4,0)),"—"))</f>
        <v/>
      </c>
      <c r="F3711" s="16">
        <f>IF($N3711="","",IF(INDEX(LdBAmt,$N3711)=0,"",INDEX(LdBAmt,$N3711)))</f>
        <v/>
      </c>
      <c r="G3711" s="30">
        <f>IF($N3711="","",IF(INDEX(LdBNote,$N3711)="","—",INDEX(LdBNote,$N3711)))</f>
        <v/>
      </c>
      <c r="N3711">
        <f>IFERROR(MATCH($C$5&amp;"|"&amp;RIGHT("000000"&amp;1691,6),LdBKeyG,0),"")</f>
        <v/>
      </c>
    </row>
    <row r="3712">
      <c r="A3712" s="19" t="n">
        <v>1692</v>
      </c>
      <c r="B3712" s="20">
        <f>IF($N3712="","",INDEX(LdBDate,$N3712))</f>
        <v/>
      </c>
      <c r="C3712" s="20">
        <f>IF($N3712="","",IF(INDEX(LdBId,$N3712)="","—",INDEX(LdBId,$N3712)))</f>
        <v/>
      </c>
      <c r="D3712" s="20">
        <f>IF($N3712="","",INDEX(LdBMember,$N3712))</f>
        <v/>
      </c>
      <c r="E3712" s="20">
        <f>IF($N3712="","",IFERROR(IF(VLOOKUP(INDEX(LdBMember,$N3712),AcctTblE,4,0)="","(بدون نام)",VLOOKUP(INDEX(LdBMember,$N3712),AcctTblE,4,0)),"—"))</f>
        <v/>
      </c>
      <c r="F3712" s="21">
        <f>IF($N3712="","",IF(INDEX(LdBAmt,$N3712)=0,"",INDEX(LdBAmt,$N3712)))</f>
        <v/>
      </c>
      <c r="G3712" s="32">
        <f>IF($N3712="","",IF(INDEX(LdBNote,$N3712)="","—",INDEX(LdBNote,$N3712)))</f>
        <v/>
      </c>
      <c r="N3712">
        <f>IFERROR(MATCH($C$5&amp;"|"&amp;RIGHT("000000"&amp;1692,6),LdBKeyG,0),"")</f>
        <v/>
      </c>
    </row>
    <row r="3713">
      <c r="A3713" s="10" t="n">
        <v>1693</v>
      </c>
      <c r="B3713" s="14">
        <f>IF($N3713="","",INDEX(LdBDate,$N3713))</f>
        <v/>
      </c>
      <c r="C3713" s="14">
        <f>IF($N3713="","",IF(INDEX(LdBId,$N3713)="","—",INDEX(LdBId,$N3713)))</f>
        <v/>
      </c>
      <c r="D3713" s="14">
        <f>IF($N3713="","",INDEX(LdBMember,$N3713))</f>
        <v/>
      </c>
      <c r="E3713" s="14">
        <f>IF($N3713="","",IFERROR(IF(VLOOKUP(INDEX(LdBMember,$N3713),AcctTblE,4,0)="","(بدون نام)",VLOOKUP(INDEX(LdBMember,$N3713),AcctTblE,4,0)),"—"))</f>
        <v/>
      </c>
      <c r="F3713" s="16">
        <f>IF($N3713="","",IF(INDEX(LdBAmt,$N3713)=0,"",INDEX(LdBAmt,$N3713)))</f>
        <v/>
      </c>
      <c r="G3713" s="30">
        <f>IF($N3713="","",IF(INDEX(LdBNote,$N3713)="","—",INDEX(LdBNote,$N3713)))</f>
        <v/>
      </c>
      <c r="N3713">
        <f>IFERROR(MATCH($C$5&amp;"|"&amp;RIGHT("000000"&amp;1693,6),LdBKeyG,0),"")</f>
        <v/>
      </c>
    </row>
    <row r="3714">
      <c r="A3714" s="19" t="n">
        <v>1694</v>
      </c>
      <c r="B3714" s="20">
        <f>IF($N3714="","",INDEX(LdBDate,$N3714))</f>
        <v/>
      </c>
      <c r="C3714" s="20">
        <f>IF($N3714="","",IF(INDEX(LdBId,$N3714)="","—",INDEX(LdBId,$N3714)))</f>
        <v/>
      </c>
      <c r="D3714" s="20">
        <f>IF($N3714="","",INDEX(LdBMember,$N3714))</f>
        <v/>
      </c>
      <c r="E3714" s="20">
        <f>IF($N3714="","",IFERROR(IF(VLOOKUP(INDEX(LdBMember,$N3714),AcctTblE,4,0)="","(بدون نام)",VLOOKUP(INDEX(LdBMember,$N3714),AcctTblE,4,0)),"—"))</f>
        <v/>
      </c>
      <c r="F3714" s="21">
        <f>IF($N3714="","",IF(INDEX(LdBAmt,$N3714)=0,"",INDEX(LdBAmt,$N3714)))</f>
        <v/>
      </c>
      <c r="G3714" s="32">
        <f>IF($N3714="","",IF(INDEX(LdBNote,$N3714)="","—",INDEX(LdBNote,$N3714)))</f>
        <v/>
      </c>
      <c r="N3714">
        <f>IFERROR(MATCH($C$5&amp;"|"&amp;RIGHT("000000"&amp;1694,6),LdBKeyG,0),"")</f>
        <v/>
      </c>
    </row>
    <row r="3715">
      <c r="A3715" s="10" t="n">
        <v>1695</v>
      </c>
      <c r="B3715" s="14">
        <f>IF($N3715="","",INDEX(LdBDate,$N3715))</f>
        <v/>
      </c>
      <c r="C3715" s="14">
        <f>IF($N3715="","",IF(INDEX(LdBId,$N3715)="","—",INDEX(LdBId,$N3715)))</f>
        <v/>
      </c>
      <c r="D3715" s="14">
        <f>IF($N3715="","",INDEX(LdBMember,$N3715))</f>
        <v/>
      </c>
      <c r="E3715" s="14">
        <f>IF($N3715="","",IFERROR(IF(VLOOKUP(INDEX(LdBMember,$N3715),AcctTblE,4,0)="","(بدون نام)",VLOOKUP(INDEX(LdBMember,$N3715),AcctTblE,4,0)),"—"))</f>
        <v/>
      </c>
      <c r="F3715" s="16">
        <f>IF($N3715="","",IF(INDEX(LdBAmt,$N3715)=0,"",INDEX(LdBAmt,$N3715)))</f>
        <v/>
      </c>
      <c r="G3715" s="30">
        <f>IF($N3715="","",IF(INDEX(LdBNote,$N3715)="","—",INDEX(LdBNote,$N3715)))</f>
        <v/>
      </c>
      <c r="N3715">
        <f>IFERROR(MATCH($C$5&amp;"|"&amp;RIGHT("000000"&amp;1695,6),LdBKeyG,0),"")</f>
        <v/>
      </c>
    </row>
    <row r="3716">
      <c r="A3716" s="19" t="n">
        <v>1696</v>
      </c>
      <c r="B3716" s="20">
        <f>IF($N3716="","",INDEX(LdBDate,$N3716))</f>
        <v/>
      </c>
      <c r="C3716" s="20">
        <f>IF($N3716="","",IF(INDEX(LdBId,$N3716)="","—",INDEX(LdBId,$N3716)))</f>
        <v/>
      </c>
      <c r="D3716" s="20">
        <f>IF($N3716="","",INDEX(LdBMember,$N3716))</f>
        <v/>
      </c>
      <c r="E3716" s="20">
        <f>IF($N3716="","",IFERROR(IF(VLOOKUP(INDEX(LdBMember,$N3716),AcctTblE,4,0)="","(بدون نام)",VLOOKUP(INDEX(LdBMember,$N3716),AcctTblE,4,0)),"—"))</f>
        <v/>
      </c>
      <c r="F3716" s="21">
        <f>IF($N3716="","",IF(INDEX(LdBAmt,$N3716)=0,"",INDEX(LdBAmt,$N3716)))</f>
        <v/>
      </c>
      <c r="G3716" s="32">
        <f>IF($N3716="","",IF(INDEX(LdBNote,$N3716)="","—",INDEX(LdBNote,$N3716)))</f>
        <v/>
      </c>
      <c r="N3716">
        <f>IFERROR(MATCH($C$5&amp;"|"&amp;RIGHT("000000"&amp;1696,6),LdBKeyG,0),"")</f>
        <v/>
      </c>
    </row>
    <row r="3717">
      <c r="A3717" s="10" t="n">
        <v>1697</v>
      </c>
      <c r="B3717" s="14">
        <f>IF($N3717="","",INDEX(LdBDate,$N3717))</f>
        <v/>
      </c>
      <c r="C3717" s="14">
        <f>IF($N3717="","",IF(INDEX(LdBId,$N3717)="","—",INDEX(LdBId,$N3717)))</f>
        <v/>
      </c>
      <c r="D3717" s="14">
        <f>IF($N3717="","",INDEX(LdBMember,$N3717))</f>
        <v/>
      </c>
      <c r="E3717" s="14">
        <f>IF($N3717="","",IFERROR(IF(VLOOKUP(INDEX(LdBMember,$N3717),AcctTblE,4,0)="","(بدون نام)",VLOOKUP(INDEX(LdBMember,$N3717),AcctTblE,4,0)),"—"))</f>
        <v/>
      </c>
      <c r="F3717" s="16">
        <f>IF($N3717="","",IF(INDEX(LdBAmt,$N3717)=0,"",INDEX(LdBAmt,$N3717)))</f>
        <v/>
      </c>
      <c r="G3717" s="30">
        <f>IF($N3717="","",IF(INDEX(LdBNote,$N3717)="","—",INDEX(LdBNote,$N3717)))</f>
        <v/>
      </c>
      <c r="N3717">
        <f>IFERROR(MATCH($C$5&amp;"|"&amp;RIGHT("000000"&amp;1697,6),LdBKeyG,0),"")</f>
        <v/>
      </c>
    </row>
    <row r="3718">
      <c r="A3718" s="19" t="n">
        <v>1698</v>
      </c>
      <c r="B3718" s="20">
        <f>IF($N3718="","",INDEX(LdBDate,$N3718))</f>
        <v/>
      </c>
      <c r="C3718" s="20">
        <f>IF($N3718="","",IF(INDEX(LdBId,$N3718)="","—",INDEX(LdBId,$N3718)))</f>
        <v/>
      </c>
      <c r="D3718" s="20">
        <f>IF($N3718="","",INDEX(LdBMember,$N3718))</f>
        <v/>
      </c>
      <c r="E3718" s="20">
        <f>IF($N3718="","",IFERROR(IF(VLOOKUP(INDEX(LdBMember,$N3718),AcctTblE,4,0)="","(بدون نام)",VLOOKUP(INDEX(LdBMember,$N3718),AcctTblE,4,0)),"—"))</f>
        <v/>
      </c>
      <c r="F3718" s="21">
        <f>IF($N3718="","",IF(INDEX(LdBAmt,$N3718)=0,"",INDEX(LdBAmt,$N3718)))</f>
        <v/>
      </c>
      <c r="G3718" s="32">
        <f>IF($N3718="","",IF(INDEX(LdBNote,$N3718)="","—",INDEX(LdBNote,$N3718)))</f>
        <v/>
      </c>
      <c r="N3718">
        <f>IFERROR(MATCH($C$5&amp;"|"&amp;RIGHT("000000"&amp;1698,6),LdBKeyG,0),"")</f>
        <v/>
      </c>
    </row>
    <row r="3719">
      <c r="A3719" s="10" t="n">
        <v>1699</v>
      </c>
      <c r="B3719" s="14">
        <f>IF($N3719="","",INDEX(LdBDate,$N3719))</f>
        <v/>
      </c>
      <c r="C3719" s="14">
        <f>IF($N3719="","",IF(INDEX(LdBId,$N3719)="","—",INDEX(LdBId,$N3719)))</f>
        <v/>
      </c>
      <c r="D3719" s="14">
        <f>IF($N3719="","",INDEX(LdBMember,$N3719))</f>
        <v/>
      </c>
      <c r="E3719" s="14">
        <f>IF($N3719="","",IFERROR(IF(VLOOKUP(INDEX(LdBMember,$N3719),AcctTblE,4,0)="","(بدون نام)",VLOOKUP(INDEX(LdBMember,$N3719),AcctTblE,4,0)),"—"))</f>
        <v/>
      </c>
      <c r="F3719" s="16">
        <f>IF($N3719="","",IF(INDEX(LdBAmt,$N3719)=0,"",INDEX(LdBAmt,$N3719)))</f>
        <v/>
      </c>
      <c r="G3719" s="30">
        <f>IF($N3719="","",IF(INDEX(LdBNote,$N3719)="","—",INDEX(LdBNote,$N3719)))</f>
        <v/>
      </c>
      <c r="N3719">
        <f>IFERROR(MATCH($C$5&amp;"|"&amp;RIGHT("000000"&amp;1699,6),LdBKeyG,0),"")</f>
        <v/>
      </c>
    </row>
    <row r="3720">
      <c r="A3720" s="19" t="n">
        <v>1700</v>
      </c>
      <c r="B3720" s="20">
        <f>IF($N3720="","",INDEX(LdBDate,$N3720))</f>
        <v/>
      </c>
      <c r="C3720" s="20">
        <f>IF($N3720="","",IF(INDEX(LdBId,$N3720)="","—",INDEX(LdBId,$N3720)))</f>
        <v/>
      </c>
      <c r="D3720" s="20">
        <f>IF($N3720="","",INDEX(LdBMember,$N3720))</f>
        <v/>
      </c>
      <c r="E3720" s="20">
        <f>IF($N3720="","",IFERROR(IF(VLOOKUP(INDEX(LdBMember,$N3720),AcctTblE,4,0)="","(بدون نام)",VLOOKUP(INDEX(LdBMember,$N3720),AcctTblE,4,0)),"—"))</f>
        <v/>
      </c>
      <c r="F3720" s="21">
        <f>IF($N3720="","",IF(INDEX(LdBAmt,$N3720)=0,"",INDEX(LdBAmt,$N3720)))</f>
        <v/>
      </c>
      <c r="G3720" s="32">
        <f>IF($N3720="","",IF(INDEX(LdBNote,$N3720)="","—",INDEX(LdBNote,$N3720)))</f>
        <v/>
      </c>
      <c r="N3720">
        <f>IFERROR(MATCH($C$5&amp;"|"&amp;RIGHT("000000"&amp;1700,6),LdBKeyG,0),"")</f>
        <v/>
      </c>
    </row>
    <row r="3721">
      <c r="A3721" s="10" t="n">
        <v>1701</v>
      </c>
      <c r="B3721" s="14">
        <f>IF($N3721="","",INDEX(LdBDate,$N3721))</f>
        <v/>
      </c>
      <c r="C3721" s="14">
        <f>IF($N3721="","",IF(INDEX(LdBId,$N3721)="","—",INDEX(LdBId,$N3721)))</f>
        <v/>
      </c>
      <c r="D3721" s="14">
        <f>IF($N3721="","",INDEX(LdBMember,$N3721))</f>
        <v/>
      </c>
      <c r="E3721" s="14">
        <f>IF($N3721="","",IFERROR(IF(VLOOKUP(INDEX(LdBMember,$N3721),AcctTblE,4,0)="","(بدون نام)",VLOOKUP(INDEX(LdBMember,$N3721),AcctTblE,4,0)),"—"))</f>
        <v/>
      </c>
      <c r="F3721" s="16">
        <f>IF($N3721="","",IF(INDEX(LdBAmt,$N3721)=0,"",INDEX(LdBAmt,$N3721)))</f>
        <v/>
      </c>
      <c r="G3721" s="30">
        <f>IF($N3721="","",IF(INDEX(LdBNote,$N3721)="","—",INDEX(LdBNote,$N3721)))</f>
        <v/>
      </c>
      <c r="N3721">
        <f>IFERROR(MATCH($C$5&amp;"|"&amp;RIGHT("000000"&amp;1701,6),LdBKeyG,0),"")</f>
        <v/>
      </c>
    </row>
    <row r="3722">
      <c r="A3722" s="19" t="n">
        <v>1702</v>
      </c>
      <c r="B3722" s="20">
        <f>IF($N3722="","",INDEX(LdBDate,$N3722))</f>
        <v/>
      </c>
      <c r="C3722" s="20">
        <f>IF($N3722="","",IF(INDEX(LdBId,$N3722)="","—",INDEX(LdBId,$N3722)))</f>
        <v/>
      </c>
      <c r="D3722" s="20">
        <f>IF($N3722="","",INDEX(LdBMember,$N3722))</f>
        <v/>
      </c>
      <c r="E3722" s="20">
        <f>IF($N3722="","",IFERROR(IF(VLOOKUP(INDEX(LdBMember,$N3722),AcctTblE,4,0)="","(بدون نام)",VLOOKUP(INDEX(LdBMember,$N3722),AcctTblE,4,0)),"—"))</f>
        <v/>
      </c>
      <c r="F3722" s="21">
        <f>IF($N3722="","",IF(INDEX(LdBAmt,$N3722)=0,"",INDEX(LdBAmt,$N3722)))</f>
        <v/>
      </c>
      <c r="G3722" s="32">
        <f>IF($N3722="","",IF(INDEX(LdBNote,$N3722)="","—",INDEX(LdBNote,$N3722)))</f>
        <v/>
      </c>
      <c r="N3722">
        <f>IFERROR(MATCH($C$5&amp;"|"&amp;RIGHT("000000"&amp;1702,6),LdBKeyG,0),"")</f>
        <v/>
      </c>
    </row>
    <row r="3723">
      <c r="A3723" s="10" t="n">
        <v>1703</v>
      </c>
      <c r="B3723" s="14">
        <f>IF($N3723="","",INDEX(LdBDate,$N3723))</f>
        <v/>
      </c>
      <c r="C3723" s="14">
        <f>IF($N3723="","",IF(INDEX(LdBId,$N3723)="","—",INDEX(LdBId,$N3723)))</f>
        <v/>
      </c>
      <c r="D3723" s="14">
        <f>IF($N3723="","",INDEX(LdBMember,$N3723))</f>
        <v/>
      </c>
      <c r="E3723" s="14">
        <f>IF($N3723="","",IFERROR(IF(VLOOKUP(INDEX(LdBMember,$N3723),AcctTblE,4,0)="","(بدون نام)",VLOOKUP(INDEX(LdBMember,$N3723),AcctTblE,4,0)),"—"))</f>
        <v/>
      </c>
      <c r="F3723" s="16">
        <f>IF($N3723="","",IF(INDEX(LdBAmt,$N3723)=0,"",INDEX(LdBAmt,$N3723)))</f>
        <v/>
      </c>
      <c r="G3723" s="30">
        <f>IF($N3723="","",IF(INDEX(LdBNote,$N3723)="","—",INDEX(LdBNote,$N3723)))</f>
        <v/>
      </c>
      <c r="N3723">
        <f>IFERROR(MATCH($C$5&amp;"|"&amp;RIGHT("000000"&amp;1703,6),LdBKeyG,0),"")</f>
        <v/>
      </c>
    </row>
    <row r="3724">
      <c r="A3724" s="19" t="n">
        <v>1704</v>
      </c>
      <c r="B3724" s="20">
        <f>IF($N3724="","",INDEX(LdBDate,$N3724))</f>
        <v/>
      </c>
      <c r="C3724" s="20">
        <f>IF($N3724="","",IF(INDEX(LdBId,$N3724)="","—",INDEX(LdBId,$N3724)))</f>
        <v/>
      </c>
      <c r="D3724" s="20">
        <f>IF($N3724="","",INDEX(LdBMember,$N3724))</f>
        <v/>
      </c>
      <c r="E3724" s="20">
        <f>IF($N3724="","",IFERROR(IF(VLOOKUP(INDEX(LdBMember,$N3724),AcctTblE,4,0)="","(بدون نام)",VLOOKUP(INDEX(LdBMember,$N3724),AcctTblE,4,0)),"—"))</f>
        <v/>
      </c>
      <c r="F3724" s="21">
        <f>IF($N3724="","",IF(INDEX(LdBAmt,$N3724)=0,"",INDEX(LdBAmt,$N3724)))</f>
        <v/>
      </c>
      <c r="G3724" s="32">
        <f>IF($N3724="","",IF(INDEX(LdBNote,$N3724)="","—",INDEX(LdBNote,$N3724)))</f>
        <v/>
      </c>
      <c r="N3724">
        <f>IFERROR(MATCH($C$5&amp;"|"&amp;RIGHT("000000"&amp;1704,6),LdBKeyG,0),"")</f>
        <v/>
      </c>
    </row>
    <row r="3725">
      <c r="A3725" s="10" t="n">
        <v>1705</v>
      </c>
      <c r="B3725" s="14">
        <f>IF($N3725="","",INDEX(LdBDate,$N3725))</f>
        <v/>
      </c>
      <c r="C3725" s="14">
        <f>IF($N3725="","",IF(INDEX(LdBId,$N3725)="","—",INDEX(LdBId,$N3725)))</f>
        <v/>
      </c>
      <c r="D3725" s="14">
        <f>IF($N3725="","",INDEX(LdBMember,$N3725))</f>
        <v/>
      </c>
      <c r="E3725" s="14">
        <f>IF($N3725="","",IFERROR(IF(VLOOKUP(INDEX(LdBMember,$N3725),AcctTblE,4,0)="","(بدون نام)",VLOOKUP(INDEX(LdBMember,$N3725),AcctTblE,4,0)),"—"))</f>
        <v/>
      </c>
      <c r="F3725" s="16">
        <f>IF($N3725="","",IF(INDEX(LdBAmt,$N3725)=0,"",INDEX(LdBAmt,$N3725)))</f>
        <v/>
      </c>
      <c r="G3725" s="30">
        <f>IF($N3725="","",IF(INDEX(LdBNote,$N3725)="","—",INDEX(LdBNote,$N3725)))</f>
        <v/>
      </c>
      <c r="N3725">
        <f>IFERROR(MATCH($C$5&amp;"|"&amp;RIGHT("000000"&amp;1705,6),LdBKeyG,0),"")</f>
        <v/>
      </c>
    </row>
    <row r="3726">
      <c r="A3726" s="19" t="n">
        <v>1706</v>
      </c>
      <c r="B3726" s="20">
        <f>IF($N3726="","",INDEX(LdBDate,$N3726))</f>
        <v/>
      </c>
      <c r="C3726" s="20">
        <f>IF($N3726="","",IF(INDEX(LdBId,$N3726)="","—",INDEX(LdBId,$N3726)))</f>
        <v/>
      </c>
      <c r="D3726" s="20">
        <f>IF($N3726="","",INDEX(LdBMember,$N3726))</f>
        <v/>
      </c>
      <c r="E3726" s="20">
        <f>IF($N3726="","",IFERROR(IF(VLOOKUP(INDEX(LdBMember,$N3726),AcctTblE,4,0)="","(بدون نام)",VLOOKUP(INDEX(LdBMember,$N3726),AcctTblE,4,0)),"—"))</f>
        <v/>
      </c>
      <c r="F3726" s="21">
        <f>IF($N3726="","",IF(INDEX(LdBAmt,$N3726)=0,"",INDEX(LdBAmt,$N3726)))</f>
        <v/>
      </c>
      <c r="G3726" s="32">
        <f>IF($N3726="","",IF(INDEX(LdBNote,$N3726)="","—",INDEX(LdBNote,$N3726)))</f>
        <v/>
      </c>
      <c r="N3726">
        <f>IFERROR(MATCH($C$5&amp;"|"&amp;RIGHT("000000"&amp;1706,6),LdBKeyG,0),"")</f>
        <v/>
      </c>
    </row>
    <row r="3727">
      <c r="A3727" s="10" t="n">
        <v>1707</v>
      </c>
      <c r="B3727" s="14">
        <f>IF($N3727="","",INDEX(LdBDate,$N3727))</f>
        <v/>
      </c>
      <c r="C3727" s="14">
        <f>IF($N3727="","",IF(INDEX(LdBId,$N3727)="","—",INDEX(LdBId,$N3727)))</f>
        <v/>
      </c>
      <c r="D3727" s="14">
        <f>IF($N3727="","",INDEX(LdBMember,$N3727))</f>
        <v/>
      </c>
      <c r="E3727" s="14">
        <f>IF($N3727="","",IFERROR(IF(VLOOKUP(INDEX(LdBMember,$N3727),AcctTblE,4,0)="","(بدون نام)",VLOOKUP(INDEX(LdBMember,$N3727),AcctTblE,4,0)),"—"))</f>
        <v/>
      </c>
      <c r="F3727" s="16">
        <f>IF($N3727="","",IF(INDEX(LdBAmt,$N3727)=0,"",INDEX(LdBAmt,$N3727)))</f>
        <v/>
      </c>
      <c r="G3727" s="30">
        <f>IF($N3727="","",IF(INDEX(LdBNote,$N3727)="","—",INDEX(LdBNote,$N3727)))</f>
        <v/>
      </c>
      <c r="N3727">
        <f>IFERROR(MATCH($C$5&amp;"|"&amp;RIGHT("000000"&amp;1707,6),LdBKeyG,0),"")</f>
        <v/>
      </c>
    </row>
    <row r="3728">
      <c r="A3728" s="19" t="n">
        <v>1708</v>
      </c>
      <c r="B3728" s="20">
        <f>IF($N3728="","",INDEX(LdBDate,$N3728))</f>
        <v/>
      </c>
      <c r="C3728" s="20">
        <f>IF($N3728="","",IF(INDEX(LdBId,$N3728)="","—",INDEX(LdBId,$N3728)))</f>
        <v/>
      </c>
      <c r="D3728" s="20">
        <f>IF($N3728="","",INDEX(LdBMember,$N3728))</f>
        <v/>
      </c>
      <c r="E3728" s="20">
        <f>IF($N3728="","",IFERROR(IF(VLOOKUP(INDEX(LdBMember,$N3728),AcctTblE,4,0)="","(بدون نام)",VLOOKUP(INDEX(LdBMember,$N3728),AcctTblE,4,0)),"—"))</f>
        <v/>
      </c>
      <c r="F3728" s="21">
        <f>IF($N3728="","",IF(INDEX(LdBAmt,$N3728)=0,"",INDEX(LdBAmt,$N3728)))</f>
        <v/>
      </c>
      <c r="G3728" s="32">
        <f>IF($N3728="","",IF(INDEX(LdBNote,$N3728)="","—",INDEX(LdBNote,$N3728)))</f>
        <v/>
      </c>
      <c r="N3728">
        <f>IFERROR(MATCH($C$5&amp;"|"&amp;RIGHT("000000"&amp;1708,6),LdBKeyG,0),"")</f>
        <v/>
      </c>
    </row>
    <row r="3729">
      <c r="A3729" s="10" t="n">
        <v>1709</v>
      </c>
      <c r="B3729" s="14">
        <f>IF($N3729="","",INDEX(LdBDate,$N3729))</f>
        <v/>
      </c>
      <c r="C3729" s="14">
        <f>IF($N3729="","",IF(INDEX(LdBId,$N3729)="","—",INDEX(LdBId,$N3729)))</f>
        <v/>
      </c>
      <c r="D3729" s="14">
        <f>IF($N3729="","",INDEX(LdBMember,$N3729))</f>
        <v/>
      </c>
      <c r="E3729" s="14">
        <f>IF($N3729="","",IFERROR(IF(VLOOKUP(INDEX(LdBMember,$N3729),AcctTblE,4,0)="","(بدون نام)",VLOOKUP(INDEX(LdBMember,$N3729),AcctTblE,4,0)),"—"))</f>
        <v/>
      </c>
      <c r="F3729" s="16">
        <f>IF($N3729="","",IF(INDEX(LdBAmt,$N3729)=0,"",INDEX(LdBAmt,$N3729)))</f>
        <v/>
      </c>
      <c r="G3729" s="30">
        <f>IF($N3729="","",IF(INDEX(LdBNote,$N3729)="","—",INDEX(LdBNote,$N3729)))</f>
        <v/>
      </c>
      <c r="N3729">
        <f>IFERROR(MATCH($C$5&amp;"|"&amp;RIGHT("000000"&amp;1709,6),LdBKeyG,0),"")</f>
        <v/>
      </c>
    </row>
    <row r="3730">
      <c r="A3730" s="19" t="n">
        <v>1710</v>
      </c>
      <c r="B3730" s="20">
        <f>IF($N3730="","",INDEX(LdBDate,$N3730))</f>
        <v/>
      </c>
      <c r="C3730" s="20">
        <f>IF($N3730="","",IF(INDEX(LdBId,$N3730)="","—",INDEX(LdBId,$N3730)))</f>
        <v/>
      </c>
      <c r="D3730" s="20">
        <f>IF($N3730="","",INDEX(LdBMember,$N3730))</f>
        <v/>
      </c>
      <c r="E3730" s="20">
        <f>IF($N3730="","",IFERROR(IF(VLOOKUP(INDEX(LdBMember,$N3730),AcctTblE,4,0)="","(بدون نام)",VLOOKUP(INDEX(LdBMember,$N3730),AcctTblE,4,0)),"—"))</f>
        <v/>
      </c>
      <c r="F3730" s="21">
        <f>IF($N3730="","",IF(INDEX(LdBAmt,$N3730)=0,"",INDEX(LdBAmt,$N3730)))</f>
        <v/>
      </c>
      <c r="G3730" s="32">
        <f>IF($N3730="","",IF(INDEX(LdBNote,$N3730)="","—",INDEX(LdBNote,$N3730)))</f>
        <v/>
      </c>
      <c r="N3730">
        <f>IFERROR(MATCH($C$5&amp;"|"&amp;RIGHT("000000"&amp;1710,6),LdBKeyG,0),"")</f>
        <v/>
      </c>
    </row>
    <row r="3731">
      <c r="A3731" s="10" t="n">
        <v>1711</v>
      </c>
      <c r="B3731" s="14">
        <f>IF($N3731="","",INDEX(LdBDate,$N3731))</f>
        <v/>
      </c>
      <c r="C3731" s="14">
        <f>IF($N3731="","",IF(INDEX(LdBId,$N3731)="","—",INDEX(LdBId,$N3731)))</f>
        <v/>
      </c>
      <c r="D3731" s="14">
        <f>IF($N3731="","",INDEX(LdBMember,$N3731))</f>
        <v/>
      </c>
      <c r="E3731" s="14">
        <f>IF($N3731="","",IFERROR(IF(VLOOKUP(INDEX(LdBMember,$N3731),AcctTblE,4,0)="","(بدون نام)",VLOOKUP(INDEX(LdBMember,$N3731),AcctTblE,4,0)),"—"))</f>
        <v/>
      </c>
      <c r="F3731" s="16">
        <f>IF($N3731="","",IF(INDEX(LdBAmt,$N3731)=0,"",INDEX(LdBAmt,$N3731)))</f>
        <v/>
      </c>
      <c r="G3731" s="30">
        <f>IF($N3731="","",IF(INDEX(LdBNote,$N3731)="","—",INDEX(LdBNote,$N3731)))</f>
        <v/>
      </c>
      <c r="N3731">
        <f>IFERROR(MATCH($C$5&amp;"|"&amp;RIGHT("000000"&amp;1711,6),LdBKeyG,0),"")</f>
        <v/>
      </c>
    </row>
    <row r="3732">
      <c r="A3732" s="19" t="n">
        <v>1712</v>
      </c>
      <c r="B3732" s="20">
        <f>IF($N3732="","",INDEX(LdBDate,$N3732))</f>
        <v/>
      </c>
      <c r="C3732" s="20">
        <f>IF($N3732="","",IF(INDEX(LdBId,$N3732)="","—",INDEX(LdBId,$N3732)))</f>
        <v/>
      </c>
      <c r="D3732" s="20">
        <f>IF($N3732="","",INDEX(LdBMember,$N3732))</f>
        <v/>
      </c>
      <c r="E3732" s="20">
        <f>IF($N3732="","",IFERROR(IF(VLOOKUP(INDEX(LdBMember,$N3732),AcctTblE,4,0)="","(بدون نام)",VLOOKUP(INDEX(LdBMember,$N3732),AcctTblE,4,0)),"—"))</f>
        <v/>
      </c>
      <c r="F3732" s="21">
        <f>IF($N3732="","",IF(INDEX(LdBAmt,$N3732)=0,"",INDEX(LdBAmt,$N3732)))</f>
        <v/>
      </c>
      <c r="G3732" s="32">
        <f>IF($N3732="","",IF(INDEX(LdBNote,$N3732)="","—",INDEX(LdBNote,$N3732)))</f>
        <v/>
      </c>
      <c r="N3732">
        <f>IFERROR(MATCH($C$5&amp;"|"&amp;RIGHT("000000"&amp;1712,6),LdBKeyG,0),"")</f>
        <v/>
      </c>
    </row>
    <row r="3733">
      <c r="A3733" s="10" t="n">
        <v>1713</v>
      </c>
      <c r="B3733" s="14">
        <f>IF($N3733="","",INDEX(LdBDate,$N3733))</f>
        <v/>
      </c>
      <c r="C3733" s="14">
        <f>IF($N3733="","",IF(INDEX(LdBId,$N3733)="","—",INDEX(LdBId,$N3733)))</f>
        <v/>
      </c>
      <c r="D3733" s="14">
        <f>IF($N3733="","",INDEX(LdBMember,$N3733))</f>
        <v/>
      </c>
      <c r="E3733" s="14">
        <f>IF($N3733="","",IFERROR(IF(VLOOKUP(INDEX(LdBMember,$N3733),AcctTblE,4,0)="","(بدون نام)",VLOOKUP(INDEX(LdBMember,$N3733),AcctTblE,4,0)),"—"))</f>
        <v/>
      </c>
      <c r="F3733" s="16">
        <f>IF($N3733="","",IF(INDEX(LdBAmt,$N3733)=0,"",INDEX(LdBAmt,$N3733)))</f>
        <v/>
      </c>
      <c r="G3733" s="30">
        <f>IF($N3733="","",IF(INDEX(LdBNote,$N3733)="","—",INDEX(LdBNote,$N3733)))</f>
        <v/>
      </c>
      <c r="N3733">
        <f>IFERROR(MATCH($C$5&amp;"|"&amp;RIGHT("000000"&amp;1713,6),LdBKeyG,0),"")</f>
        <v/>
      </c>
    </row>
    <row r="3734">
      <c r="A3734" s="19" t="n">
        <v>1714</v>
      </c>
      <c r="B3734" s="20">
        <f>IF($N3734="","",INDEX(LdBDate,$N3734))</f>
        <v/>
      </c>
      <c r="C3734" s="20">
        <f>IF($N3734="","",IF(INDEX(LdBId,$N3734)="","—",INDEX(LdBId,$N3734)))</f>
        <v/>
      </c>
      <c r="D3734" s="20">
        <f>IF($N3734="","",INDEX(LdBMember,$N3734))</f>
        <v/>
      </c>
      <c r="E3734" s="20">
        <f>IF($N3734="","",IFERROR(IF(VLOOKUP(INDEX(LdBMember,$N3734),AcctTblE,4,0)="","(بدون نام)",VLOOKUP(INDEX(LdBMember,$N3734),AcctTblE,4,0)),"—"))</f>
        <v/>
      </c>
      <c r="F3734" s="21">
        <f>IF($N3734="","",IF(INDEX(LdBAmt,$N3734)=0,"",INDEX(LdBAmt,$N3734)))</f>
        <v/>
      </c>
      <c r="G3734" s="32">
        <f>IF($N3734="","",IF(INDEX(LdBNote,$N3734)="","—",INDEX(LdBNote,$N3734)))</f>
        <v/>
      </c>
      <c r="N3734">
        <f>IFERROR(MATCH($C$5&amp;"|"&amp;RIGHT("000000"&amp;1714,6),LdBKeyG,0),"")</f>
        <v/>
      </c>
    </row>
    <row r="3735">
      <c r="A3735" s="10" t="n">
        <v>1715</v>
      </c>
      <c r="B3735" s="14">
        <f>IF($N3735="","",INDEX(LdBDate,$N3735))</f>
        <v/>
      </c>
      <c r="C3735" s="14">
        <f>IF($N3735="","",IF(INDEX(LdBId,$N3735)="","—",INDEX(LdBId,$N3735)))</f>
        <v/>
      </c>
      <c r="D3735" s="14">
        <f>IF($N3735="","",INDEX(LdBMember,$N3735))</f>
        <v/>
      </c>
      <c r="E3735" s="14">
        <f>IF($N3735="","",IFERROR(IF(VLOOKUP(INDEX(LdBMember,$N3735),AcctTblE,4,0)="","(بدون نام)",VLOOKUP(INDEX(LdBMember,$N3735),AcctTblE,4,0)),"—"))</f>
        <v/>
      </c>
      <c r="F3735" s="16">
        <f>IF($N3735="","",IF(INDEX(LdBAmt,$N3735)=0,"",INDEX(LdBAmt,$N3735)))</f>
        <v/>
      </c>
      <c r="G3735" s="30">
        <f>IF($N3735="","",IF(INDEX(LdBNote,$N3735)="","—",INDEX(LdBNote,$N3735)))</f>
        <v/>
      </c>
      <c r="N3735">
        <f>IFERROR(MATCH($C$5&amp;"|"&amp;RIGHT("000000"&amp;1715,6),LdBKeyG,0),"")</f>
        <v/>
      </c>
    </row>
    <row r="3736">
      <c r="A3736" s="19" t="n">
        <v>1716</v>
      </c>
      <c r="B3736" s="20">
        <f>IF($N3736="","",INDEX(LdBDate,$N3736))</f>
        <v/>
      </c>
      <c r="C3736" s="20">
        <f>IF($N3736="","",IF(INDEX(LdBId,$N3736)="","—",INDEX(LdBId,$N3736)))</f>
        <v/>
      </c>
      <c r="D3736" s="20">
        <f>IF($N3736="","",INDEX(LdBMember,$N3736))</f>
        <v/>
      </c>
      <c r="E3736" s="20">
        <f>IF($N3736="","",IFERROR(IF(VLOOKUP(INDEX(LdBMember,$N3736),AcctTblE,4,0)="","(بدون نام)",VLOOKUP(INDEX(LdBMember,$N3736),AcctTblE,4,0)),"—"))</f>
        <v/>
      </c>
      <c r="F3736" s="21">
        <f>IF($N3736="","",IF(INDEX(LdBAmt,$N3736)=0,"",INDEX(LdBAmt,$N3736)))</f>
        <v/>
      </c>
      <c r="G3736" s="32">
        <f>IF($N3736="","",IF(INDEX(LdBNote,$N3736)="","—",INDEX(LdBNote,$N3736)))</f>
        <v/>
      </c>
      <c r="N3736">
        <f>IFERROR(MATCH($C$5&amp;"|"&amp;RIGHT("000000"&amp;1716,6),LdBKeyG,0),"")</f>
        <v/>
      </c>
    </row>
    <row r="3737">
      <c r="A3737" s="10" t="n">
        <v>1717</v>
      </c>
      <c r="B3737" s="14">
        <f>IF($N3737="","",INDEX(LdBDate,$N3737))</f>
        <v/>
      </c>
      <c r="C3737" s="14">
        <f>IF($N3737="","",IF(INDEX(LdBId,$N3737)="","—",INDEX(LdBId,$N3737)))</f>
        <v/>
      </c>
      <c r="D3737" s="14">
        <f>IF($N3737="","",INDEX(LdBMember,$N3737))</f>
        <v/>
      </c>
      <c r="E3737" s="14">
        <f>IF($N3737="","",IFERROR(IF(VLOOKUP(INDEX(LdBMember,$N3737),AcctTblE,4,0)="","(بدون نام)",VLOOKUP(INDEX(LdBMember,$N3737),AcctTblE,4,0)),"—"))</f>
        <v/>
      </c>
      <c r="F3737" s="16">
        <f>IF($N3737="","",IF(INDEX(LdBAmt,$N3737)=0,"",INDEX(LdBAmt,$N3737)))</f>
        <v/>
      </c>
      <c r="G3737" s="30">
        <f>IF($N3737="","",IF(INDEX(LdBNote,$N3737)="","—",INDEX(LdBNote,$N3737)))</f>
        <v/>
      </c>
      <c r="N3737">
        <f>IFERROR(MATCH($C$5&amp;"|"&amp;RIGHT("000000"&amp;1717,6),LdBKeyG,0),"")</f>
        <v/>
      </c>
    </row>
    <row r="3738">
      <c r="A3738" s="19" t="n">
        <v>1718</v>
      </c>
      <c r="B3738" s="20">
        <f>IF($N3738="","",INDEX(LdBDate,$N3738))</f>
        <v/>
      </c>
      <c r="C3738" s="20">
        <f>IF($N3738="","",IF(INDEX(LdBId,$N3738)="","—",INDEX(LdBId,$N3738)))</f>
        <v/>
      </c>
      <c r="D3738" s="20">
        <f>IF($N3738="","",INDEX(LdBMember,$N3738))</f>
        <v/>
      </c>
      <c r="E3738" s="20">
        <f>IF($N3738="","",IFERROR(IF(VLOOKUP(INDEX(LdBMember,$N3738),AcctTblE,4,0)="","(بدون نام)",VLOOKUP(INDEX(LdBMember,$N3738),AcctTblE,4,0)),"—"))</f>
        <v/>
      </c>
      <c r="F3738" s="21">
        <f>IF($N3738="","",IF(INDEX(LdBAmt,$N3738)=0,"",INDEX(LdBAmt,$N3738)))</f>
        <v/>
      </c>
      <c r="G3738" s="32">
        <f>IF($N3738="","",IF(INDEX(LdBNote,$N3738)="","—",INDEX(LdBNote,$N3738)))</f>
        <v/>
      </c>
      <c r="N3738">
        <f>IFERROR(MATCH($C$5&amp;"|"&amp;RIGHT("000000"&amp;1718,6),LdBKeyG,0),"")</f>
        <v/>
      </c>
    </row>
    <row r="3739">
      <c r="A3739" s="10" t="n">
        <v>1719</v>
      </c>
      <c r="B3739" s="14">
        <f>IF($N3739="","",INDEX(LdBDate,$N3739))</f>
        <v/>
      </c>
      <c r="C3739" s="14">
        <f>IF($N3739="","",IF(INDEX(LdBId,$N3739)="","—",INDEX(LdBId,$N3739)))</f>
        <v/>
      </c>
      <c r="D3739" s="14">
        <f>IF($N3739="","",INDEX(LdBMember,$N3739))</f>
        <v/>
      </c>
      <c r="E3739" s="14">
        <f>IF($N3739="","",IFERROR(IF(VLOOKUP(INDEX(LdBMember,$N3739),AcctTblE,4,0)="","(بدون نام)",VLOOKUP(INDEX(LdBMember,$N3739),AcctTblE,4,0)),"—"))</f>
        <v/>
      </c>
      <c r="F3739" s="16">
        <f>IF($N3739="","",IF(INDEX(LdBAmt,$N3739)=0,"",INDEX(LdBAmt,$N3739)))</f>
        <v/>
      </c>
      <c r="G3739" s="30">
        <f>IF($N3739="","",IF(INDEX(LdBNote,$N3739)="","—",INDEX(LdBNote,$N3739)))</f>
        <v/>
      </c>
      <c r="N3739">
        <f>IFERROR(MATCH($C$5&amp;"|"&amp;RIGHT("000000"&amp;1719,6),LdBKeyG,0),"")</f>
        <v/>
      </c>
    </row>
    <row r="3740">
      <c r="A3740" s="19" t="n">
        <v>1720</v>
      </c>
      <c r="B3740" s="20">
        <f>IF($N3740="","",INDEX(LdBDate,$N3740))</f>
        <v/>
      </c>
      <c r="C3740" s="20">
        <f>IF($N3740="","",IF(INDEX(LdBId,$N3740)="","—",INDEX(LdBId,$N3740)))</f>
        <v/>
      </c>
      <c r="D3740" s="20">
        <f>IF($N3740="","",INDEX(LdBMember,$N3740))</f>
        <v/>
      </c>
      <c r="E3740" s="20">
        <f>IF($N3740="","",IFERROR(IF(VLOOKUP(INDEX(LdBMember,$N3740),AcctTblE,4,0)="","(بدون نام)",VLOOKUP(INDEX(LdBMember,$N3740),AcctTblE,4,0)),"—"))</f>
        <v/>
      </c>
      <c r="F3740" s="21">
        <f>IF($N3740="","",IF(INDEX(LdBAmt,$N3740)=0,"",INDEX(LdBAmt,$N3740)))</f>
        <v/>
      </c>
      <c r="G3740" s="32">
        <f>IF($N3740="","",IF(INDEX(LdBNote,$N3740)="","—",INDEX(LdBNote,$N3740)))</f>
        <v/>
      </c>
      <c r="N3740">
        <f>IFERROR(MATCH($C$5&amp;"|"&amp;RIGHT("000000"&amp;1720,6),LdBKeyG,0),"")</f>
        <v/>
      </c>
    </row>
    <row r="3741">
      <c r="A3741" s="10" t="n">
        <v>1721</v>
      </c>
      <c r="B3741" s="14">
        <f>IF($N3741="","",INDEX(LdBDate,$N3741))</f>
        <v/>
      </c>
      <c r="C3741" s="14">
        <f>IF($N3741="","",IF(INDEX(LdBId,$N3741)="","—",INDEX(LdBId,$N3741)))</f>
        <v/>
      </c>
      <c r="D3741" s="14">
        <f>IF($N3741="","",INDEX(LdBMember,$N3741))</f>
        <v/>
      </c>
      <c r="E3741" s="14">
        <f>IF($N3741="","",IFERROR(IF(VLOOKUP(INDEX(LdBMember,$N3741),AcctTblE,4,0)="","(بدون نام)",VLOOKUP(INDEX(LdBMember,$N3741),AcctTblE,4,0)),"—"))</f>
        <v/>
      </c>
      <c r="F3741" s="16">
        <f>IF($N3741="","",IF(INDEX(LdBAmt,$N3741)=0,"",INDEX(LdBAmt,$N3741)))</f>
        <v/>
      </c>
      <c r="G3741" s="30">
        <f>IF($N3741="","",IF(INDEX(LdBNote,$N3741)="","—",INDEX(LdBNote,$N3741)))</f>
        <v/>
      </c>
      <c r="N3741">
        <f>IFERROR(MATCH($C$5&amp;"|"&amp;RIGHT("000000"&amp;1721,6),LdBKeyG,0),"")</f>
        <v/>
      </c>
    </row>
    <row r="3742">
      <c r="A3742" s="19" t="n">
        <v>1722</v>
      </c>
      <c r="B3742" s="20">
        <f>IF($N3742="","",INDEX(LdBDate,$N3742))</f>
        <v/>
      </c>
      <c r="C3742" s="20">
        <f>IF($N3742="","",IF(INDEX(LdBId,$N3742)="","—",INDEX(LdBId,$N3742)))</f>
        <v/>
      </c>
      <c r="D3742" s="20">
        <f>IF($N3742="","",INDEX(LdBMember,$N3742))</f>
        <v/>
      </c>
      <c r="E3742" s="20">
        <f>IF($N3742="","",IFERROR(IF(VLOOKUP(INDEX(LdBMember,$N3742),AcctTblE,4,0)="","(بدون نام)",VLOOKUP(INDEX(LdBMember,$N3742),AcctTblE,4,0)),"—"))</f>
        <v/>
      </c>
      <c r="F3742" s="21">
        <f>IF($N3742="","",IF(INDEX(LdBAmt,$N3742)=0,"",INDEX(LdBAmt,$N3742)))</f>
        <v/>
      </c>
      <c r="G3742" s="32">
        <f>IF($N3742="","",IF(INDEX(LdBNote,$N3742)="","—",INDEX(LdBNote,$N3742)))</f>
        <v/>
      </c>
      <c r="N3742">
        <f>IFERROR(MATCH($C$5&amp;"|"&amp;RIGHT("000000"&amp;1722,6),LdBKeyG,0),"")</f>
        <v/>
      </c>
    </row>
    <row r="3743">
      <c r="A3743" s="10" t="n">
        <v>1723</v>
      </c>
      <c r="B3743" s="14">
        <f>IF($N3743="","",INDEX(LdBDate,$N3743))</f>
        <v/>
      </c>
      <c r="C3743" s="14">
        <f>IF($N3743="","",IF(INDEX(LdBId,$N3743)="","—",INDEX(LdBId,$N3743)))</f>
        <v/>
      </c>
      <c r="D3743" s="14">
        <f>IF($N3743="","",INDEX(LdBMember,$N3743))</f>
        <v/>
      </c>
      <c r="E3743" s="14">
        <f>IF($N3743="","",IFERROR(IF(VLOOKUP(INDEX(LdBMember,$N3743),AcctTblE,4,0)="","(بدون نام)",VLOOKUP(INDEX(LdBMember,$N3743),AcctTblE,4,0)),"—"))</f>
        <v/>
      </c>
      <c r="F3743" s="16">
        <f>IF($N3743="","",IF(INDEX(LdBAmt,$N3743)=0,"",INDEX(LdBAmt,$N3743)))</f>
        <v/>
      </c>
      <c r="G3743" s="30">
        <f>IF($N3743="","",IF(INDEX(LdBNote,$N3743)="","—",INDEX(LdBNote,$N3743)))</f>
        <v/>
      </c>
      <c r="N3743">
        <f>IFERROR(MATCH($C$5&amp;"|"&amp;RIGHT("000000"&amp;1723,6),LdBKeyG,0),"")</f>
        <v/>
      </c>
    </row>
    <row r="3744">
      <c r="A3744" s="19" t="n">
        <v>1724</v>
      </c>
      <c r="B3744" s="20">
        <f>IF($N3744="","",INDEX(LdBDate,$N3744))</f>
        <v/>
      </c>
      <c r="C3744" s="20">
        <f>IF($N3744="","",IF(INDEX(LdBId,$N3744)="","—",INDEX(LdBId,$N3744)))</f>
        <v/>
      </c>
      <c r="D3744" s="20">
        <f>IF($N3744="","",INDEX(LdBMember,$N3744))</f>
        <v/>
      </c>
      <c r="E3744" s="20">
        <f>IF($N3744="","",IFERROR(IF(VLOOKUP(INDEX(LdBMember,$N3744),AcctTblE,4,0)="","(بدون نام)",VLOOKUP(INDEX(LdBMember,$N3744),AcctTblE,4,0)),"—"))</f>
        <v/>
      </c>
      <c r="F3744" s="21">
        <f>IF($N3744="","",IF(INDEX(LdBAmt,$N3744)=0,"",INDEX(LdBAmt,$N3744)))</f>
        <v/>
      </c>
      <c r="G3744" s="32">
        <f>IF($N3744="","",IF(INDEX(LdBNote,$N3744)="","—",INDEX(LdBNote,$N3744)))</f>
        <v/>
      </c>
      <c r="N3744">
        <f>IFERROR(MATCH($C$5&amp;"|"&amp;RIGHT("000000"&amp;1724,6),LdBKeyG,0),"")</f>
        <v/>
      </c>
    </row>
    <row r="3745">
      <c r="A3745" s="10" t="n">
        <v>1725</v>
      </c>
      <c r="B3745" s="14">
        <f>IF($N3745="","",INDEX(LdBDate,$N3745))</f>
        <v/>
      </c>
      <c r="C3745" s="14">
        <f>IF($N3745="","",IF(INDEX(LdBId,$N3745)="","—",INDEX(LdBId,$N3745)))</f>
        <v/>
      </c>
      <c r="D3745" s="14">
        <f>IF($N3745="","",INDEX(LdBMember,$N3745))</f>
        <v/>
      </c>
      <c r="E3745" s="14">
        <f>IF($N3745="","",IFERROR(IF(VLOOKUP(INDEX(LdBMember,$N3745),AcctTblE,4,0)="","(بدون نام)",VLOOKUP(INDEX(LdBMember,$N3745),AcctTblE,4,0)),"—"))</f>
        <v/>
      </c>
      <c r="F3745" s="16">
        <f>IF($N3745="","",IF(INDEX(LdBAmt,$N3745)=0,"",INDEX(LdBAmt,$N3745)))</f>
        <v/>
      </c>
      <c r="G3745" s="30">
        <f>IF($N3745="","",IF(INDEX(LdBNote,$N3745)="","—",INDEX(LdBNote,$N3745)))</f>
        <v/>
      </c>
      <c r="N3745">
        <f>IFERROR(MATCH($C$5&amp;"|"&amp;RIGHT("000000"&amp;1725,6),LdBKeyG,0),"")</f>
        <v/>
      </c>
    </row>
    <row r="3746">
      <c r="A3746" s="19" t="n">
        <v>1726</v>
      </c>
      <c r="B3746" s="20">
        <f>IF($N3746="","",INDEX(LdBDate,$N3746))</f>
        <v/>
      </c>
      <c r="C3746" s="20">
        <f>IF($N3746="","",IF(INDEX(LdBId,$N3746)="","—",INDEX(LdBId,$N3746)))</f>
        <v/>
      </c>
      <c r="D3746" s="20">
        <f>IF($N3746="","",INDEX(LdBMember,$N3746))</f>
        <v/>
      </c>
      <c r="E3746" s="20">
        <f>IF($N3746="","",IFERROR(IF(VLOOKUP(INDEX(LdBMember,$N3746),AcctTblE,4,0)="","(بدون نام)",VLOOKUP(INDEX(LdBMember,$N3746),AcctTblE,4,0)),"—"))</f>
        <v/>
      </c>
      <c r="F3746" s="21">
        <f>IF($N3746="","",IF(INDEX(LdBAmt,$N3746)=0,"",INDEX(LdBAmt,$N3746)))</f>
        <v/>
      </c>
      <c r="G3746" s="32">
        <f>IF($N3746="","",IF(INDEX(LdBNote,$N3746)="","—",INDEX(LdBNote,$N3746)))</f>
        <v/>
      </c>
      <c r="N3746">
        <f>IFERROR(MATCH($C$5&amp;"|"&amp;RIGHT("000000"&amp;1726,6),LdBKeyG,0),"")</f>
        <v/>
      </c>
    </row>
    <row r="3747">
      <c r="A3747" s="10" t="n">
        <v>1727</v>
      </c>
      <c r="B3747" s="14">
        <f>IF($N3747="","",INDEX(LdBDate,$N3747))</f>
        <v/>
      </c>
      <c r="C3747" s="14">
        <f>IF($N3747="","",IF(INDEX(LdBId,$N3747)="","—",INDEX(LdBId,$N3747)))</f>
        <v/>
      </c>
      <c r="D3747" s="14">
        <f>IF($N3747="","",INDEX(LdBMember,$N3747))</f>
        <v/>
      </c>
      <c r="E3747" s="14">
        <f>IF($N3747="","",IFERROR(IF(VLOOKUP(INDEX(LdBMember,$N3747),AcctTblE,4,0)="","(بدون نام)",VLOOKUP(INDEX(LdBMember,$N3747),AcctTblE,4,0)),"—"))</f>
        <v/>
      </c>
      <c r="F3747" s="16">
        <f>IF($N3747="","",IF(INDEX(LdBAmt,$N3747)=0,"",INDEX(LdBAmt,$N3747)))</f>
        <v/>
      </c>
      <c r="G3747" s="30">
        <f>IF($N3747="","",IF(INDEX(LdBNote,$N3747)="","—",INDEX(LdBNote,$N3747)))</f>
        <v/>
      </c>
      <c r="N3747">
        <f>IFERROR(MATCH($C$5&amp;"|"&amp;RIGHT("000000"&amp;1727,6),LdBKeyG,0),"")</f>
        <v/>
      </c>
    </row>
    <row r="3748">
      <c r="A3748" s="19" t="n">
        <v>1728</v>
      </c>
      <c r="B3748" s="20">
        <f>IF($N3748="","",INDEX(LdBDate,$N3748))</f>
        <v/>
      </c>
      <c r="C3748" s="20">
        <f>IF($N3748="","",IF(INDEX(LdBId,$N3748)="","—",INDEX(LdBId,$N3748)))</f>
        <v/>
      </c>
      <c r="D3748" s="20">
        <f>IF($N3748="","",INDEX(LdBMember,$N3748))</f>
        <v/>
      </c>
      <c r="E3748" s="20">
        <f>IF($N3748="","",IFERROR(IF(VLOOKUP(INDEX(LdBMember,$N3748),AcctTblE,4,0)="","(بدون نام)",VLOOKUP(INDEX(LdBMember,$N3748),AcctTblE,4,0)),"—"))</f>
        <v/>
      </c>
      <c r="F3748" s="21">
        <f>IF($N3748="","",IF(INDEX(LdBAmt,$N3748)=0,"",INDEX(LdBAmt,$N3748)))</f>
        <v/>
      </c>
      <c r="G3748" s="32">
        <f>IF($N3748="","",IF(INDEX(LdBNote,$N3748)="","—",INDEX(LdBNote,$N3748)))</f>
        <v/>
      </c>
      <c r="N3748">
        <f>IFERROR(MATCH($C$5&amp;"|"&amp;RIGHT("000000"&amp;1728,6),LdBKeyG,0),"")</f>
        <v/>
      </c>
    </row>
    <row r="3749">
      <c r="A3749" s="10" t="n">
        <v>1729</v>
      </c>
      <c r="B3749" s="14">
        <f>IF($N3749="","",INDEX(LdBDate,$N3749))</f>
        <v/>
      </c>
      <c r="C3749" s="14">
        <f>IF($N3749="","",IF(INDEX(LdBId,$N3749)="","—",INDEX(LdBId,$N3749)))</f>
        <v/>
      </c>
      <c r="D3749" s="14">
        <f>IF($N3749="","",INDEX(LdBMember,$N3749))</f>
        <v/>
      </c>
      <c r="E3749" s="14">
        <f>IF($N3749="","",IFERROR(IF(VLOOKUP(INDEX(LdBMember,$N3749),AcctTblE,4,0)="","(بدون نام)",VLOOKUP(INDEX(LdBMember,$N3749),AcctTblE,4,0)),"—"))</f>
        <v/>
      </c>
      <c r="F3749" s="16">
        <f>IF($N3749="","",IF(INDEX(LdBAmt,$N3749)=0,"",INDEX(LdBAmt,$N3749)))</f>
        <v/>
      </c>
      <c r="G3749" s="30">
        <f>IF($N3749="","",IF(INDEX(LdBNote,$N3749)="","—",INDEX(LdBNote,$N3749)))</f>
        <v/>
      </c>
      <c r="N3749">
        <f>IFERROR(MATCH($C$5&amp;"|"&amp;RIGHT("000000"&amp;1729,6),LdBKeyG,0),"")</f>
        <v/>
      </c>
    </row>
    <row r="3750">
      <c r="A3750" s="19" t="n">
        <v>1730</v>
      </c>
      <c r="B3750" s="20">
        <f>IF($N3750="","",INDEX(LdBDate,$N3750))</f>
        <v/>
      </c>
      <c r="C3750" s="20">
        <f>IF($N3750="","",IF(INDEX(LdBId,$N3750)="","—",INDEX(LdBId,$N3750)))</f>
        <v/>
      </c>
      <c r="D3750" s="20">
        <f>IF($N3750="","",INDEX(LdBMember,$N3750))</f>
        <v/>
      </c>
      <c r="E3750" s="20">
        <f>IF($N3750="","",IFERROR(IF(VLOOKUP(INDEX(LdBMember,$N3750),AcctTblE,4,0)="","(بدون نام)",VLOOKUP(INDEX(LdBMember,$N3750),AcctTblE,4,0)),"—"))</f>
        <v/>
      </c>
      <c r="F3750" s="21">
        <f>IF($N3750="","",IF(INDEX(LdBAmt,$N3750)=0,"",INDEX(LdBAmt,$N3750)))</f>
        <v/>
      </c>
      <c r="G3750" s="32">
        <f>IF($N3750="","",IF(INDEX(LdBNote,$N3750)="","—",INDEX(LdBNote,$N3750)))</f>
        <v/>
      </c>
      <c r="N3750">
        <f>IFERROR(MATCH($C$5&amp;"|"&amp;RIGHT("000000"&amp;1730,6),LdBKeyG,0),"")</f>
        <v/>
      </c>
    </row>
    <row r="3751">
      <c r="A3751" s="10" t="n">
        <v>1731</v>
      </c>
      <c r="B3751" s="14">
        <f>IF($N3751="","",INDEX(LdBDate,$N3751))</f>
        <v/>
      </c>
      <c r="C3751" s="14">
        <f>IF($N3751="","",IF(INDEX(LdBId,$N3751)="","—",INDEX(LdBId,$N3751)))</f>
        <v/>
      </c>
      <c r="D3751" s="14">
        <f>IF($N3751="","",INDEX(LdBMember,$N3751))</f>
        <v/>
      </c>
      <c r="E3751" s="14">
        <f>IF($N3751="","",IFERROR(IF(VLOOKUP(INDEX(LdBMember,$N3751),AcctTblE,4,0)="","(بدون نام)",VLOOKUP(INDEX(LdBMember,$N3751),AcctTblE,4,0)),"—"))</f>
        <v/>
      </c>
      <c r="F3751" s="16">
        <f>IF($N3751="","",IF(INDEX(LdBAmt,$N3751)=0,"",INDEX(LdBAmt,$N3751)))</f>
        <v/>
      </c>
      <c r="G3751" s="30">
        <f>IF($N3751="","",IF(INDEX(LdBNote,$N3751)="","—",INDEX(LdBNote,$N3751)))</f>
        <v/>
      </c>
      <c r="N3751">
        <f>IFERROR(MATCH($C$5&amp;"|"&amp;RIGHT("000000"&amp;1731,6),LdBKeyG,0),"")</f>
        <v/>
      </c>
    </row>
    <row r="3752">
      <c r="A3752" s="19" t="n">
        <v>1732</v>
      </c>
      <c r="B3752" s="20">
        <f>IF($N3752="","",INDEX(LdBDate,$N3752))</f>
        <v/>
      </c>
      <c r="C3752" s="20">
        <f>IF($N3752="","",IF(INDEX(LdBId,$N3752)="","—",INDEX(LdBId,$N3752)))</f>
        <v/>
      </c>
      <c r="D3752" s="20">
        <f>IF($N3752="","",INDEX(LdBMember,$N3752))</f>
        <v/>
      </c>
      <c r="E3752" s="20">
        <f>IF($N3752="","",IFERROR(IF(VLOOKUP(INDEX(LdBMember,$N3752),AcctTblE,4,0)="","(بدون نام)",VLOOKUP(INDEX(LdBMember,$N3752),AcctTblE,4,0)),"—"))</f>
        <v/>
      </c>
      <c r="F3752" s="21">
        <f>IF($N3752="","",IF(INDEX(LdBAmt,$N3752)=0,"",INDEX(LdBAmt,$N3752)))</f>
        <v/>
      </c>
      <c r="G3752" s="32">
        <f>IF($N3752="","",IF(INDEX(LdBNote,$N3752)="","—",INDEX(LdBNote,$N3752)))</f>
        <v/>
      </c>
      <c r="N3752">
        <f>IFERROR(MATCH($C$5&amp;"|"&amp;RIGHT("000000"&amp;1732,6),LdBKeyG,0),"")</f>
        <v/>
      </c>
    </row>
    <row r="3753">
      <c r="A3753" s="10" t="n">
        <v>1733</v>
      </c>
      <c r="B3753" s="14">
        <f>IF($N3753="","",INDEX(LdBDate,$N3753))</f>
        <v/>
      </c>
      <c r="C3753" s="14">
        <f>IF($N3753="","",IF(INDEX(LdBId,$N3753)="","—",INDEX(LdBId,$N3753)))</f>
        <v/>
      </c>
      <c r="D3753" s="14">
        <f>IF($N3753="","",INDEX(LdBMember,$N3753))</f>
        <v/>
      </c>
      <c r="E3753" s="14">
        <f>IF($N3753="","",IFERROR(IF(VLOOKUP(INDEX(LdBMember,$N3753),AcctTblE,4,0)="","(بدون نام)",VLOOKUP(INDEX(LdBMember,$N3753),AcctTblE,4,0)),"—"))</f>
        <v/>
      </c>
      <c r="F3753" s="16">
        <f>IF($N3753="","",IF(INDEX(LdBAmt,$N3753)=0,"",INDEX(LdBAmt,$N3753)))</f>
        <v/>
      </c>
      <c r="G3753" s="30">
        <f>IF($N3753="","",IF(INDEX(LdBNote,$N3753)="","—",INDEX(LdBNote,$N3753)))</f>
        <v/>
      </c>
      <c r="N3753">
        <f>IFERROR(MATCH($C$5&amp;"|"&amp;RIGHT("000000"&amp;1733,6),LdBKeyG,0),"")</f>
        <v/>
      </c>
    </row>
    <row r="3754">
      <c r="A3754" s="19" t="n">
        <v>1734</v>
      </c>
      <c r="B3754" s="20">
        <f>IF($N3754="","",INDEX(LdBDate,$N3754))</f>
        <v/>
      </c>
      <c r="C3754" s="20">
        <f>IF($N3754="","",IF(INDEX(LdBId,$N3754)="","—",INDEX(LdBId,$N3754)))</f>
        <v/>
      </c>
      <c r="D3754" s="20">
        <f>IF($N3754="","",INDEX(LdBMember,$N3754))</f>
        <v/>
      </c>
      <c r="E3754" s="20">
        <f>IF($N3754="","",IFERROR(IF(VLOOKUP(INDEX(LdBMember,$N3754),AcctTblE,4,0)="","(بدون نام)",VLOOKUP(INDEX(LdBMember,$N3754),AcctTblE,4,0)),"—"))</f>
        <v/>
      </c>
      <c r="F3754" s="21">
        <f>IF($N3754="","",IF(INDEX(LdBAmt,$N3754)=0,"",INDEX(LdBAmt,$N3754)))</f>
        <v/>
      </c>
      <c r="G3754" s="32">
        <f>IF($N3754="","",IF(INDEX(LdBNote,$N3754)="","—",INDEX(LdBNote,$N3754)))</f>
        <v/>
      </c>
      <c r="N3754">
        <f>IFERROR(MATCH($C$5&amp;"|"&amp;RIGHT("000000"&amp;1734,6),LdBKeyG,0),"")</f>
        <v/>
      </c>
    </row>
    <row r="3755">
      <c r="A3755" s="10" t="n">
        <v>1735</v>
      </c>
      <c r="B3755" s="14">
        <f>IF($N3755="","",INDEX(LdBDate,$N3755))</f>
        <v/>
      </c>
      <c r="C3755" s="14">
        <f>IF($N3755="","",IF(INDEX(LdBId,$N3755)="","—",INDEX(LdBId,$N3755)))</f>
        <v/>
      </c>
      <c r="D3755" s="14">
        <f>IF($N3755="","",INDEX(LdBMember,$N3755))</f>
        <v/>
      </c>
      <c r="E3755" s="14">
        <f>IF($N3755="","",IFERROR(IF(VLOOKUP(INDEX(LdBMember,$N3755),AcctTblE,4,0)="","(بدون نام)",VLOOKUP(INDEX(LdBMember,$N3755),AcctTblE,4,0)),"—"))</f>
        <v/>
      </c>
      <c r="F3755" s="16">
        <f>IF($N3755="","",IF(INDEX(LdBAmt,$N3755)=0,"",INDEX(LdBAmt,$N3755)))</f>
        <v/>
      </c>
      <c r="G3755" s="30">
        <f>IF($N3755="","",IF(INDEX(LdBNote,$N3755)="","—",INDEX(LdBNote,$N3755)))</f>
        <v/>
      </c>
      <c r="N3755">
        <f>IFERROR(MATCH($C$5&amp;"|"&amp;RIGHT("000000"&amp;1735,6),LdBKeyG,0),"")</f>
        <v/>
      </c>
    </row>
    <row r="3756">
      <c r="A3756" s="19" t="n">
        <v>1736</v>
      </c>
      <c r="B3756" s="20">
        <f>IF($N3756="","",INDEX(LdBDate,$N3756))</f>
        <v/>
      </c>
      <c r="C3756" s="20">
        <f>IF($N3756="","",IF(INDEX(LdBId,$N3756)="","—",INDEX(LdBId,$N3756)))</f>
        <v/>
      </c>
      <c r="D3756" s="20">
        <f>IF($N3756="","",INDEX(LdBMember,$N3756))</f>
        <v/>
      </c>
      <c r="E3756" s="20">
        <f>IF($N3756="","",IFERROR(IF(VLOOKUP(INDEX(LdBMember,$N3756),AcctTblE,4,0)="","(بدون نام)",VLOOKUP(INDEX(LdBMember,$N3756),AcctTblE,4,0)),"—"))</f>
        <v/>
      </c>
      <c r="F3756" s="21">
        <f>IF($N3756="","",IF(INDEX(LdBAmt,$N3756)=0,"",INDEX(LdBAmt,$N3756)))</f>
        <v/>
      </c>
      <c r="G3756" s="32">
        <f>IF($N3756="","",IF(INDEX(LdBNote,$N3756)="","—",INDEX(LdBNote,$N3756)))</f>
        <v/>
      </c>
      <c r="N3756">
        <f>IFERROR(MATCH($C$5&amp;"|"&amp;RIGHT("000000"&amp;1736,6),LdBKeyG,0),"")</f>
        <v/>
      </c>
    </row>
    <row r="3757">
      <c r="A3757" s="10" t="n">
        <v>1737</v>
      </c>
      <c r="B3757" s="14">
        <f>IF($N3757="","",INDEX(LdBDate,$N3757))</f>
        <v/>
      </c>
      <c r="C3757" s="14">
        <f>IF($N3757="","",IF(INDEX(LdBId,$N3757)="","—",INDEX(LdBId,$N3757)))</f>
        <v/>
      </c>
      <c r="D3757" s="14">
        <f>IF($N3757="","",INDEX(LdBMember,$N3757))</f>
        <v/>
      </c>
      <c r="E3757" s="14">
        <f>IF($N3757="","",IFERROR(IF(VLOOKUP(INDEX(LdBMember,$N3757),AcctTblE,4,0)="","(بدون نام)",VLOOKUP(INDEX(LdBMember,$N3757),AcctTblE,4,0)),"—"))</f>
        <v/>
      </c>
      <c r="F3757" s="16">
        <f>IF($N3757="","",IF(INDEX(LdBAmt,$N3757)=0,"",INDEX(LdBAmt,$N3757)))</f>
        <v/>
      </c>
      <c r="G3757" s="30">
        <f>IF($N3757="","",IF(INDEX(LdBNote,$N3757)="","—",INDEX(LdBNote,$N3757)))</f>
        <v/>
      </c>
      <c r="N3757">
        <f>IFERROR(MATCH($C$5&amp;"|"&amp;RIGHT("000000"&amp;1737,6),LdBKeyG,0),"")</f>
        <v/>
      </c>
    </row>
    <row r="3758">
      <c r="A3758" s="19" t="n">
        <v>1738</v>
      </c>
      <c r="B3758" s="20">
        <f>IF($N3758="","",INDEX(LdBDate,$N3758))</f>
        <v/>
      </c>
      <c r="C3758" s="20">
        <f>IF($N3758="","",IF(INDEX(LdBId,$N3758)="","—",INDEX(LdBId,$N3758)))</f>
        <v/>
      </c>
      <c r="D3758" s="20">
        <f>IF($N3758="","",INDEX(LdBMember,$N3758))</f>
        <v/>
      </c>
      <c r="E3758" s="20">
        <f>IF($N3758="","",IFERROR(IF(VLOOKUP(INDEX(LdBMember,$N3758),AcctTblE,4,0)="","(بدون نام)",VLOOKUP(INDEX(LdBMember,$N3758),AcctTblE,4,0)),"—"))</f>
        <v/>
      </c>
      <c r="F3758" s="21">
        <f>IF($N3758="","",IF(INDEX(LdBAmt,$N3758)=0,"",INDEX(LdBAmt,$N3758)))</f>
        <v/>
      </c>
      <c r="G3758" s="32">
        <f>IF($N3758="","",IF(INDEX(LdBNote,$N3758)="","—",INDEX(LdBNote,$N3758)))</f>
        <v/>
      </c>
      <c r="N3758">
        <f>IFERROR(MATCH($C$5&amp;"|"&amp;RIGHT("000000"&amp;1738,6),LdBKeyG,0),"")</f>
        <v/>
      </c>
    </row>
    <row r="3759">
      <c r="A3759" s="10" t="n">
        <v>1739</v>
      </c>
      <c r="B3759" s="14">
        <f>IF($N3759="","",INDEX(LdBDate,$N3759))</f>
        <v/>
      </c>
      <c r="C3759" s="14">
        <f>IF($N3759="","",IF(INDEX(LdBId,$N3759)="","—",INDEX(LdBId,$N3759)))</f>
        <v/>
      </c>
      <c r="D3759" s="14">
        <f>IF($N3759="","",INDEX(LdBMember,$N3759))</f>
        <v/>
      </c>
      <c r="E3759" s="14">
        <f>IF($N3759="","",IFERROR(IF(VLOOKUP(INDEX(LdBMember,$N3759),AcctTblE,4,0)="","(بدون نام)",VLOOKUP(INDEX(LdBMember,$N3759),AcctTblE,4,0)),"—"))</f>
        <v/>
      </c>
      <c r="F3759" s="16">
        <f>IF($N3759="","",IF(INDEX(LdBAmt,$N3759)=0,"",INDEX(LdBAmt,$N3759)))</f>
        <v/>
      </c>
      <c r="G3759" s="30">
        <f>IF($N3759="","",IF(INDEX(LdBNote,$N3759)="","—",INDEX(LdBNote,$N3759)))</f>
        <v/>
      </c>
      <c r="N3759">
        <f>IFERROR(MATCH($C$5&amp;"|"&amp;RIGHT("000000"&amp;1739,6),LdBKeyG,0),"")</f>
        <v/>
      </c>
    </row>
    <row r="3760">
      <c r="A3760" s="19" t="n">
        <v>1740</v>
      </c>
      <c r="B3760" s="20">
        <f>IF($N3760="","",INDEX(LdBDate,$N3760))</f>
        <v/>
      </c>
      <c r="C3760" s="20">
        <f>IF($N3760="","",IF(INDEX(LdBId,$N3760)="","—",INDEX(LdBId,$N3760)))</f>
        <v/>
      </c>
      <c r="D3760" s="20">
        <f>IF($N3760="","",INDEX(LdBMember,$N3760))</f>
        <v/>
      </c>
      <c r="E3760" s="20">
        <f>IF($N3760="","",IFERROR(IF(VLOOKUP(INDEX(LdBMember,$N3760),AcctTblE,4,0)="","(بدون نام)",VLOOKUP(INDEX(LdBMember,$N3760),AcctTblE,4,0)),"—"))</f>
        <v/>
      </c>
      <c r="F3760" s="21">
        <f>IF($N3760="","",IF(INDEX(LdBAmt,$N3760)=0,"",INDEX(LdBAmt,$N3760)))</f>
        <v/>
      </c>
      <c r="G3760" s="32">
        <f>IF($N3760="","",IF(INDEX(LdBNote,$N3760)="","—",INDEX(LdBNote,$N3760)))</f>
        <v/>
      </c>
      <c r="N3760">
        <f>IFERROR(MATCH($C$5&amp;"|"&amp;RIGHT("000000"&amp;1740,6),LdBKeyG,0),"")</f>
        <v/>
      </c>
    </row>
    <row r="3761">
      <c r="A3761" s="10" t="n">
        <v>1741</v>
      </c>
      <c r="B3761" s="14">
        <f>IF($N3761="","",INDEX(LdBDate,$N3761))</f>
        <v/>
      </c>
      <c r="C3761" s="14">
        <f>IF($N3761="","",IF(INDEX(LdBId,$N3761)="","—",INDEX(LdBId,$N3761)))</f>
        <v/>
      </c>
      <c r="D3761" s="14">
        <f>IF($N3761="","",INDEX(LdBMember,$N3761))</f>
        <v/>
      </c>
      <c r="E3761" s="14">
        <f>IF($N3761="","",IFERROR(IF(VLOOKUP(INDEX(LdBMember,$N3761),AcctTblE,4,0)="","(بدون نام)",VLOOKUP(INDEX(LdBMember,$N3761),AcctTblE,4,0)),"—"))</f>
        <v/>
      </c>
      <c r="F3761" s="16">
        <f>IF($N3761="","",IF(INDEX(LdBAmt,$N3761)=0,"",INDEX(LdBAmt,$N3761)))</f>
        <v/>
      </c>
      <c r="G3761" s="30">
        <f>IF($N3761="","",IF(INDEX(LdBNote,$N3761)="","—",INDEX(LdBNote,$N3761)))</f>
        <v/>
      </c>
      <c r="N3761">
        <f>IFERROR(MATCH($C$5&amp;"|"&amp;RIGHT("000000"&amp;1741,6),LdBKeyG,0),"")</f>
        <v/>
      </c>
    </row>
    <row r="3762">
      <c r="A3762" s="19" t="n">
        <v>1742</v>
      </c>
      <c r="B3762" s="20">
        <f>IF($N3762="","",INDEX(LdBDate,$N3762))</f>
        <v/>
      </c>
      <c r="C3762" s="20">
        <f>IF($N3762="","",IF(INDEX(LdBId,$N3762)="","—",INDEX(LdBId,$N3762)))</f>
        <v/>
      </c>
      <c r="D3762" s="20">
        <f>IF($N3762="","",INDEX(LdBMember,$N3762))</f>
        <v/>
      </c>
      <c r="E3762" s="20">
        <f>IF($N3762="","",IFERROR(IF(VLOOKUP(INDEX(LdBMember,$N3762),AcctTblE,4,0)="","(بدون نام)",VLOOKUP(INDEX(LdBMember,$N3762),AcctTblE,4,0)),"—"))</f>
        <v/>
      </c>
      <c r="F3762" s="21">
        <f>IF($N3762="","",IF(INDEX(LdBAmt,$N3762)=0,"",INDEX(LdBAmt,$N3762)))</f>
        <v/>
      </c>
      <c r="G3762" s="32">
        <f>IF($N3762="","",IF(INDEX(LdBNote,$N3762)="","—",INDEX(LdBNote,$N3762)))</f>
        <v/>
      </c>
      <c r="N3762">
        <f>IFERROR(MATCH($C$5&amp;"|"&amp;RIGHT("000000"&amp;1742,6),LdBKeyG,0),"")</f>
        <v/>
      </c>
    </row>
    <row r="3763">
      <c r="A3763" s="10" t="n">
        <v>1743</v>
      </c>
      <c r="B3763" s="14">
        <f>IF($N3763="","",INDEX(LdBDate,$N3763))</f>
        <v/>
      </c>
      <c r="C3763" s="14">
        <f>IF($N3763="","",IF(INDEX(LdBId,$N3763)="","—",INDEX(LdBId,$N3763)))</f>
        <v/>
      </c>
      <c r="D3763" s="14">
        <f>IF($N3763="","",INDEX(LdBMember,$N3763))</f>
        <v/>
      </c>
      <c r="E3763" s="14">
        <f>IF($N3763="","",IFERROR(IF(VLOOKUP(INDEX(LdBMember,$N3763),AcctTblE,4,0)="","(بدون نام)",VLOOKUP(INDEX(LdBMember,$N3763),AcctTblE,4,0)),"—"))</f>
        <v/>
      </c>
      <c r="F3763" s="16">
        <f>IF($N3763="","",IF(INDEX(LdBAmt,$N3763)=0,"",INDEX(LdBAmt,$N3763)))</f>
        <v/>
      </c>
      <c r="G3763" s="30">
        <f>IF($N3763="","",IF(INDEX(LdBNote,$N3763)="","—",INDEX(LdBNote,$N3763)))</f>
        <v/>
      </c>
      <c r="N3763">
        <f>IFERROR(MATCH($C$5&amp;"|"&amp;RIGHT("000000"&amp;1743,6),LdBKeyG,0),"")</f>
        <v/>
      </c>
    </row>
    <row r="3764">
      <c r="A3764" s="19" t="n">
        <v>1744</v>
      </c>
      <c r="B3764" s="20">
        <f>IF($N3764="","",INDEX(LdBDate,$N3764))</f>
        <v/>
      </c>
      <c r="C3764" s="20">
        <f>IF($N3764="","",IF(INDEX(LdBId,$N3764)="","—",INDEX(LdBId,$N3764)))</f>
        <v/>
      </c>
      <c r="D3764" s="20">
        <f>IF($N3764="","",INDEX(LdBMember,$N3764))</f>
        <v/>
      </c>
      <c r="E3764" s="20">
        <f>IF($N3764="","",IFERROR(IF(VLOOKUP(INDEX(LdBMember,$N3764),AcctTblE,4,0)="","(بدون نام)",VLOOKUP(INDEX(LdBMember,$N3764),AcctTblE,4,0)),"—"))</f>
        <v/>
      </c>
      <c r="F3764" s="21">
        <f>IF($N3764="","",IF(INDEX(LdBAmt,$N3764)=0,"",INDEX(LdBAmt,$N3764)))</f>
        <v/>
      </c>
      <c r="G3764" s="32">
        <f>IF($N3764="","",IF(INDEX(LdBNote,$N3764)="","—",INDEX(LdBNote,$N3764)))</f>
        <v/>
      </c>
      <c r="N3764">
        <f>IFERROR(MATCH($C$5&amp;"|"&amp;RIGHT("000000"&amp;1744,6),LdBKeyG,0),"")</f>
        <v/>
      </c>
    </row>
    <row r="3765">
      <c r="A3765" s="10" t="n">
        <v>1745</v>
      </c>
      <c r="B3765" s="14">
        <f>IF($N3765="","",INDEX(LdBDate,$N3765))</f>
        <v/>
      </c>
      <c r="C3765" s="14">
        <f>IF($N3765="","",IF(INDEX(LdBId,$N3765)="","—",INDEX(LdBId,$N3765)))</f>
        <v/>
      </c>
      <c r="D3765" s="14">
        <f>IF($N3765="","",INDEX(LdBMember,$N3765))</f>
        <v/>
      </c>
      <c r="E3765" s="14">
        <f>IF($N3765="","",IFERROR(IF(VLOOKUP(INDEX(LdBMember,$N3765),AcctTblE,4,0)="","(بدون نام)",VLOOKUP(INDEX(LdBMember,$N3765),AcctTblE,4,0)),"—"))</f>
        <v/>
      </c>
      <c r="F3765" s="16">
        <f>IF($N3765="","",IF(INDEX(LdBAmt,$N3765)=0,"",INDEX(LdBAmt,$N3765)))</f>
        <v/>
      </c>
      <c r="G3765" s="30">
        <f>IF($N3765="","",IF(INDEX(LdBNote,$N3765)="","—",INDEX(LdBNote,$N3765)))</f>
        <v/>
      </c>
      <c r="N3765">
        <f>IFERROR(MATCH($C$5&amp;"|"&amp;RIGHT("000000"&amp;1745,6),LdBKeyG,0),"")</f>
        <v/>
      </c>
    </row>
    <row r="3766">
      <c r="A3766" s="19" t="n">
        <v>1746</v>
      </c>
      <c r="B3766" s="20">
        <f>IF($N3766="","",INDEX(LdBDate,$N3766))</f>
        <v/>
      </c>
      <c r="C3766" s="20">
        <f>IF($N3766="","",IF(INDEX(LdBId,$N3766)="","—",INDEX(LdBId,$N3766)))</f>
        <v/>
      </c>
      <c r="D3766" s="20">
        <f>IF($N3766="","",INDEX(LdBMember,$N3766))</f>
        <v/>
      </c>
      <c r="E3766" s="20">
        <f>IF($N3766="","",IFERROR(IF(VLOOKUP(INDEX(LdBMember,$N3766),AcctTblE,4,0)="","(بدون نام)",VLOOKUP(INDEX(LdBMember,$N3766),AcctTblE,4,0)),"—"))</f>
        <v/>
      </c>
      <c r="F3766" s="21">
        <f>IF($N3766="","",IF(INDEX(LdBAmt,$N3766)=0,"",INDEX(LdBAmt,$N3766)))</f>
        <v/>
      </c>
      <c r="G3766" s="32">
        <f>IF($N3766="","",IF(INDEX(LdBNote,$N3766)="","—",INDEX(LdBNote,$N3766)))</f>
        <v/>
      </c>
      <c r="N3766">
        <f>IFERROR(MATCH($C$5&amp;"|"&amp;RIGHT("000000"&amp;1746,6),LdBKeyG,0),"")</f>
        <v/>
      </c>
    </row>
    <row r="3767">
      <c r="A3767" s="10" t="n">
        <v>1747</v>
      </c>
      <c r="B3767" s="14">
        <f>IF($N3767="","",INDEX(LdBDate,$N3767))</f>
        <v/>
      </c>
      <c r="C3767" s="14">
        <f>IF($N3767="","",IF(INDEX(LdBId,$N3767)="","—",INDEX(LdBId,$N3767)))</f>
        <v/>
      </c>
      <c r="D3767" s="14">
        <f>IF($N3767="","",INDEX(LdBMember,$N3767))</f>
        <v/>
      </c>
      <c r="E3767" s="14">
        <f>IF($N3767="","",IFERROR(IF(VLOOKUP(INDEX(LdBMember,$N3767),AcctTblE,4,0)="","(بدون نام)",VLOOKUP(INDEX(LdBMember,$N3767),AcctTblE,4,0)),"—"))</f>
        <v/>
      </c>
      <c r="F3767" s="16">
        <f>IF($N3767="","",IF(INDEX(LdBAmt,$N3767)=0,"",INDEX(LdBAmt,$N3767)))</f>
        <v/>
      </c>
      <c r="G3767" s="30">
        <f>IF($N3767="","",IF(INDEX(LdBNote,$N3767)="","—",INDEX(LdBNote,$N3767)))</f>
        <v/>
      </c>
      <c r="N3767">
        <f>IFERROR(MATCH($C$5&amp;"|"&amp;RIGHT("000000"&amp;1747,6),LdBKeyG,0),"")</f>
        <v/>
      </c>
    </row>
    <row r="3768">
      <c r="A3768" s="19" t="n">
        <v>1748</v>
      </c>
      <c r="B3768" s="20">
        <f>IF($N3768="","",INDEX(LdBDate,$N3768))</f>
        <v/>
      </c>
      <c r="C3768" s="20">
        <f>IF($N3768="","",IF(INDEX(LdBId,$N3768)="","—",INDEX(LdBId,$N3768)))</f>
        <v/>
      </c>
      <c r="D3768" s="20">
        <f>IF($N3768="","",INDEX(LdBMember,$N3768))</f>
        <v/>
      </c>
      <c r="E3768" s="20">
        <f>IF($N3768="","",IFERROR(IF(VLOOKUP(INDEX(LdBMember,$N3768),AcctTblE,4,0)="","(بدون نام)",VLOOKUP(INDEX(LdBMember,$N3768),AcctTblE,4,0)),"—"))</f>
        <v/>
      </c>
      <c r="F3768" s="21">
        <f>IF($N3768="","",IF(INDEX(LdBAmt,$N3768)=0,"",INDEX(LdBAmt,$N3768)))</f>
        <v/>
      </c>
      <c r="G3768" s="32">
        <f>IF($N3768="","",IF(INDEX(LdBNote,$N3768)="","—",INDEX(LdBNote,$N3768)))</f>
        <v/>
      </c>
      <c r="N3768">
        <f>IFERROR(MATCH($C$5&amp;"|"&amp;RIGHT("000000"&amp;1748,6),LdBKeyG,0),"")</f>
        <v/>
      </c>
    </row>
    <row r="3769">
      <c r="A3769" s="10" t="n">
        <v>1749</v>
      </c>
      <c r="B3769" s="14">
        <f>IF($N3769="","",INDEX(LdBDate,$N3769))</f>
        <v/>
      </c>
      <c r="C3769" s="14">
        <f>IF($N3769="","",IF(INDEX(LdBId,$N3769)="","—",INDEX(LdBId,$N3769)))</f>
        <v/>
      </c>
      <c r="D3769" s="14">
        <f>IF($N3769="","",INDEX(LdBMember,$N3769))</f>
        <v/>
      </c>
      <c r="E3769" s="14">
        <f>IF($N3769="","",IFERROR(IF(VLOOKUP(INDEX(LdBMember,$N3769),AcctTblE,4,0)="","(بدون نام)",VLOOKUP(INDEX(LdBMember,$N3769),AcctTblE,4,0)),"—"))</f>
        <v/>
      </c>
      <c r="F3769" s="16">
        <f>IF($N3769="","",IF(INDEX(LdBAmt,$N3769)=0,"",INDEX(LdBAmt,$N3769)))</f>
        <v/>
      </c>
      <c r="G3769" s="30">
        <f>IF($N3769="","",IF(INDEX(LdBNote,$N3769)="","—",INDEX(LdBNote,$N3769)))</f>
        <v/>
      </c>
      <c r="N3769">
        <f>IFERROR(MATCH($C$5&amp;"|"&amp;RIGHT("000000"&amp;1749,6),LdBKeyG,0),"")</f>
        <v/>
      </c>
    </row>
    <row r="3770">
      <c r="A3770" s="19" t="n">
        <v>1750</v>
      </c>
      <c r="B3770" s="20">
        <f>IF($N3770="","",INDEX(LdBDate,$N3770))</f>
        <v/>
      </c>
      <c r="C3770" s="20">
        <f>IF($N3770="","",IF(INDEX(LdBId,$N3770)="","—",INDEX(LdBId,$N3770)))</f>
        <v/>
      </c>
      <c r="D3770" s="20">
        <f>IF($N3770="","",INDEX(LdBMember,$N3770))</f>
        <v/>
      </c>
      <c r="E3770" s="20">
        <f>IF($N3770="","",IFERROR(IF(VLOOKUP(INDEX(LdBMember,$N3770),AcctTblE,4,0)="","(بدون نام)",VLOOKUP(INDEX(LdBMember,$N3770),AcctTblE,4,0)),"—"))</f>
        <v/>
      </c>
      <c r="F3770" s="21">
        <f>IF($N3770="","",IF(INDEX(LdBAmt,$N3770)=0,"",INDEX(LdBAmt,$N3770)))</f>
        <v/>
      </c>
      <c r="G3770" s="32">
        <f>IF($N3770="","",IF(INDEX(LdBNote,$N3770)="","—",INDEX(LdBNote,$N3770)))</f>
        <v/>
      </c>
      <c r="N3770">
        <f>IFERROR(MATCH($C$5&amp;"|"&amp;RIGHT("000000"&amp;1750,6),LdBKeyG,0),"")</f>
        <v/>
      </c>
    </row>
    <row r="3771">
      <c r="A3771" s="10" t="n">
        <v>1751</v>
      </c>
      <c r="B3771" s="14">
        <f>IF($N3771="","",INDEX(LdBDate,$N3771))</f>
        <v/>
      </c>
      <c r="C3771" s="14">
        <f>IF($N3771="","",IF(INDEX(LdBId,$N3771)="","—",INDEX(LdBId,$N3771)))</f>
        <v/>
      </c>
      <c r="D3771" s="14">
        <f>IF($N3771="","",INDEX(LdBMember,$N3771))</f>
        <v/>
      </c>
      <c r="E3771" s="14">
        <f>IF($N3771="","",IFERROR(IF(VLOOKUP(INDEX(LdBMember,$N3771),AcctTblE,4,0)="","(بدون نام)",VLOOKUP(INDEX(LdBMember,$N3771),AcctTblE,4,0)),"—"))</f>
        <v/>
      </c>
      <c r="F3771" s="16">
        <f>IF($N3771="","",IF(INDEX(LdBAmt,$N3771)=0,"",INDEX(LdBAmt,$N3771)))</f>
        <v/>
      </c>
      <c r="G3771" s="30">
        <f>IF($N3771="","",IF(INDEX(LdBNote,$N3771)="","—",INDEX(LdBNote,$N3771)))</f>
        <v/>
      </c>
      <c r="N3771">
        <f>IFERROR(MATCH($C$5&amp;"|"&amp;RIGHT("000000"&amp;1751,6),LdBKeyG,0),"")</f>
        <v/>
      </c>
    </row>
    <row r="3772">
      <c r="A3772" s="19" t="n">
        <v>1752</v>
      </c>
      <c r="B3772" s="20">
        <f>IF($N3772="","",INDEX(LdBDate,$N3772))</f>
        <v/>
      </c>
      <c r="C3772" s="20">
        <f>IF($N3772="","",IF(INDEX(LdBId,$N3772)="","—",INDEX(LdBId,$N3772)))</f>
        <v/>
      </c>
      <c r="D3772" s="20">
        <f>IF($N3772="","",INDEX(LdBMember,$N3772))</f>
        <v/>
      </c>
      <c r="E3772" s="20">
        <f>IF($N3772="","",IFERROR(IF(VLOOKUP(INDEX(LdBMember,$N3772),AcctTblE,4,0)="","(بدون نام)",VLOOKUP(INDEX(LdBMember,$N3772),AcctTblE,4,0)),"—"))</f>
        <v/>
      </c>
      <c r="F3772" s="21">
        <f>IF($N3772="","",IF(INDEX(LdBAmt,$N3772)=0,"",INDEX(LdBAmt,$N3772)))</f>
        <v/>
      </c>
      <c r="G3772" s="32">
        <f>IF($N3772="","",IF(INDEX(LdBNote,$N3772)="","—",INDEX(LdBNote,$N3772)))</f>
        <v/>
      </c>
      <c r="N3772">
        <f>IFERROR(MATCH($C$5&amp;"|"&amp;RIGHT("000000"&amp;1752,6),LdBKeyG,0),"")</f>
        <v/>
      </c>
    </row>
    <row r="3773">
      <c r="A3773" s="10" t="n">
        <v>1753</v>
      </c>
      <c r="B3773" s="14">
        <f>IF($N3773="","",INDEX(LdBDate,$N3773))</f>
        <v/>
      </c>
      <c r="C3773" s="14">
        <f>IF($N3773="","",IF(INDEX(LdBId,$N3773)="","—",INDEX(LdBId,$N3773)))</f>
        <v/>
      </c>
      <c r="D3773" s="14">
        <f>IF($N3773="","",INDEX(LdBMember,$N3773))</f>
        <v/>
      </c>
      <c r="E3773" s="14">
        <f>IF($N3773="","",IFERROR(IF(VLOOKUP(INDEX(LdBMember,$N3773),AcctTblE,4,0)="","(بدون نام)",VLOOKUP(INDEX(LdBMember,$N3773),AcctTblE,4,0)),"—"))</f>
        <v/>
      </c>
      <c r="F3773" s="16">
        <f>IF($N3773="","",IF(INDEX(LdBAmt,$N3773)=0,"",INDEX(LdBAmt,$N3773)))</f>
        <v/>
      </c>
      <c r="G3773" s="30">
        <f>IF($N3773="","",IF(INDEX(LdBNote,$N3773)="","—",INDEX(LdBNote,$N3773)))</f>
        <v/>
      </c>
      <c r="N3773">
        <f>IFERROR(MATCH($C$5&amp;"|"&amp;RIGHT("000000"&amp;1753,6),LdBKeyG,0),"")</f>
        <v/>
      </c>
    </row>
    <row r="3774">
      <c r="A3774" s="19" t="n">
        <v>1754</v>
      </c>
      <c r="B3774" s="20">
        <f>IF($N3774="","",INDEX(LdBDate,$N3774))</f>
        <v/>
      </c>
      <c r="C3774" s="20">
        <f>IF($N3774="","",IF(INDEX(LdBId,$N3774)="","—",INDEX(LdBId,$N3774)))</f>
        <v/>
      </c>
      <c r="D3774" s="20">
        <f>IF($N3774="","",INDEX(LdBMember,$N3774))</f>
        <v/>
      </c>
      <c r="E3774" s="20">
        <f>IF($N3774="","",IFERROR(IF(VLOOKUP(INDEX(LdBMember,$N3774),AcctTblE,4,0)="","(بدون نام)",VLOOKUP(INDEX(LdBMember,$N3774),AcctTblE,4,0)),"—"))</f>
        <v/>
      </c>
      <c r="F3774" s="21">
        <f>IF($N3774="","",IF(INDEX(LdBAmt,$N3774)=0,"",INDEX(LdBAmt,$N3774)))</f>
        <v/>
      </c>
      <c r="G3774" s="32">
        <f>IF($N3774="","",IF(INDEX(LdBNote,$N3774)="","—",INDEX(LdBNote,$N3774)))</f>
        <v/>
      </c>
      <c r="N3774">
        <f>IFERROR(MATCH($C$5&amp;"|"&amp;RIGHT("000000"&amp;1754,6),LdBKeyG,0),"")</f>
        <v/>
      </c>
    </row>
    <row r="3775">
      <c r="A3775" s="10" t="n">
        <v>1755</v>
      </c>
      <c r="B3775" s="14">
        <f>IF($N3775="","",INDEX(LdBDate,$N3775))</f>
        <v/>
      </c>
      <c r="C3775" s="14">
        <f>IF($N3775="","",IF(INDEX(LdBId,$N3775)="","—",INDEX(LdBId,$N3775)))</f>
        <v/>
      </c>
      <c r="D3775" s="14">
        <f>IF($N3775="","",INDEX(LdBMember,$N3775))</f>
        <v/>
      </c>
      <c r="E3775" s="14">
        <f>IF($N3775="","",IFERROR(IF(VLOOKUP(INDEX(LdBMember,$N3775),AcctTblE,4,0)="","(بدون نام)",VLOOKUP(INDEX(LdBMember,$N3775),AcctTblE,4,0)),"—"))</f>
        <v/>
      </c>
      <c r="F3775" s="16">
        <f>IF($N3775="","",IF(INDEX(LdBAmt,$N3775)=0,"",INDEX(LdBAmt,$N3775)))</f>
        <v/>
      </c>
      <c r="G3775" s="30">
        <f>IF($N3775="","",IF(INDEX(LdBNote,$N3775)="","—",INDEX(LdBNote,$N3775)))</f>
        <v/>
      </c>
      <c r="N3775">
        <f>IFERROR(MATCH($C$5&amp;"|"&amp;RIGHT("000000"&amp;1755,6),LdBKeyG,0),"")</f>
        <v/>
      </c>
    </row>
    <row r="3776">
      <c r="A3776" s="19" t="n">
        <v>1756</v>
      </c>
      <c r="B3776" s="20">
        <f>IF($N3776="","",INDEX(LdBDate,$N3776))</f>
        <v/>
      </c>
      <c r="C3776" s="20">
        <f>IF($N3776="","",IF(INDEX(LdBId,$N3776)="","—",INDEX(LdBId,$N3776)))</f>
        <v/>
      </c>
      <c r="D3776" s="20">
        <f>IF($N3776="","",INDEX(LdBMember,$N3776))</f>
        <v/>
      </c>
      <c r="E3776" s="20">
        <f>IF($N3776="","",IFERROR(IF(VLOOKUP(INDEX(LdBMember,$N3776),AcctTblE,4,0)="","(بدون نام)",VLOOKUP(INDEX(LdBMember,$N3776),AcctTblE,4,0)),"—"))</f>
        <v/>
      </c>
      <c r="F3776" s="21">
        <f>IF($N3776="","",IF(INDEX(LdBAmt,$N3776)=0,"",INDEX(LdBAmt,$N3776)))</f>
        <v/>
      </c>
      <c r="G3776" s="32">
        <f>IF($N3776="","",IF(INDEX(LdBNote,$N3776)="","—",INDEX(LdBNote,$N3776)))</f>
        <v/>
      </c>
      <c r="N3776">
        <f>IFERROR(MATCH($C$5&amp;"|"&amp;RIGHT("000000"&amp;1756,6),LdBKeyG,0),"")</f>
        <v/>
      </c>
    </row>
    <row r="3777">
      <c r="A3777" s="10" t="n">
        <v>1757</v>
      </c>
      <c r="B3777" s="14">
        <f>IF($N3777="","",INDEX(LdBDate,$N3777))</f>
        <v/>
      </c>
      <c r="C3777" s="14">
        <f>IF($N3777="","",IF(INDEX(LdBId,$N3777)="","—",INDEX(LdBId,$N3777)))</f>
        <v/>
      </c>
      <c r="D3777" s="14">
        <f>IF($N3777="","",INDEX(LdBMember,$N3777))</f>
        <v/>
      </c>
      <c r="E3777" s="14">
        <f>IF($N3777="","",IFERROR(IF(VLOOKUP(INDEX(LdBMember,$N3777),AcctTblE,4,0)="","(بدون نام)",VLOOKUP(INDEX(LdBMember,$N3777),AcctTblE,4,0)),"—"))</f>
        <v/>
      </c>
      <c r="F3777" s="16">
        <f>IF($N3777="","",IF(INDEX(LdBAmt,$N3777)=0,"",INDEX(LdBAmt,$N3777)))</f>
        <v/>
      </c>
      <c r="G3777" s="30">
        <f>IF($N3777="","",IF(INDEX(LdBNote,$N3777)="","—",INDEX(LdBNote,$N3777)))</f>
        <v/>
      </c>
      <c r="N3777">
        <f>IFERROR(MATCH($C$5&amp;"|"&amp;RIGHT("000000"&amp;1757,6),LdBKeyG,0),"")</f>
        <v/>
      </c>
    </row>
    <row r="3778">
      <c r="A3778" s="19" t="n">
        <v>1758</v>
      </c>
      <c r="B3778" s="20">
        <f>IF($N3778="","",INDEX(LdBDate,$N3778))</f>
        <v/>
      </c>
      <c r="C3778" s="20">
        <f>IF($N3778="","",IF(INDEX(LdBId,$N3778)="","—",INDEX(LdBId,$N3778)))</f>
        <v/>
      </c>
      <c r="D3778" s="20">
        <f>IF($N3778="","",INDEX(LdBMember,$N3778))</f>
        <v/>
      </c>
      <c r="E3778" s="20">
        <f>IF($N3778="","",IFERROR(IF(VLOOKUP(INDEX(LdBMember,$N3778),AcctTblE,4,0)="","(بدون نام)",VLOOKUP(INDEX(LdBMember,$N3778),AcctTblE,4,0)),"—"))</f>
        <v/>
      </c>
      <c r="F3778" s="21">
        <f>IF($N3778="","",IF(INDEX(LdBAmt,$N3778)=0,"",INDEX(LdBAmt,$N3778)))</f>
        <v/>
      </c>
      <c r="G3778" s="32">
        <f>IF($N3778="","",IF(INDEX(LdBNote,$N3778)="","—",INDEX(LdBNote,$N3778)))</f>
        <v/>
      </c>
      <c r="N3778">
        <f>IFERROR(MATCH($C$5&amp;"|"&amp;RIGHT("000000"&amp;1758,6),LdBKeyG,0),"")</f>
        <v/>
      </c>
    </row>
    <row r="3779">
      <c r="A3779" s="10" t="n">
        <v>1759</v>
      </c>
      <c r="B3779" s="14">
        <f>IF($N3779="","",INDEX(LdBDate,$N3779))</f>
        <v/>
      </c>
      <c r="C3779" s="14">
        <f>IF($N3779="","",IF(INDEX(LdBId,$N3779)="","—",INDEX(LdBId,$N3779)))</f>
        <v/>
      </c>
      <c r="D3779" s="14">
        <f>IF($N3779="","",INDEX(LdBMember,$N3779))</f>
        <v/>
      </c>
      <c r="E3779" s="14">
        <f>IF($N3779="","",IFERROR(IF(VLOOKUP(INDEX(LdBMember,$N3779),AcctTblE,4,0)="","(بدون نام)",VLOOKUP(INDEX(LdBMember,$N3779),AcctTblE,4,0)),"—"))</f>
        <v/>
      </c>
      <c r="F3779" s="16">
        <f>IF($N3779="","",IF(INDEX(LdBAmt,$N3779)=0,"",INDEX(LdBAmt,$N3779)))</f>
        <v/>
      </c>
      <c r="G3779" s="30">
        <f>IF($N3779="","",IF(INDEX(LdBNote,$N3779)="","—",INDEX(LdBNote,$N3779)))</f>
        <v/>
      </c>
      <c r="N3779">
        <f>IFERROR(MATCH($C$5&amp;"|"&amp;RIGHT("000000"&amp;1759,6),LdBKeyG,0),"")</f>
        <v/>
      </c>
    </row>
    <row r="3780">
      <c r="A3780" s="19" t="n">
        <v>1760</v>
      </c>
      <c r="B3780" s="20">
        <f>IF($N3780="","",INDEX(LdBDate,$N3780))</f>
        <v/>
      </c>
      <c r="C3780" s="20">
        <f>IF($N3780="","",IF(INDEX(LdBId,$N3780)="","—",INDEX(LdBId,$N3780)))</f>
        <v/>
      </c>
      <c r="D3780" s="20">
        <f>IF($N3780="","",INDEX(LdBMember,$N3780))</f>
        <v/>
      </c>
      <c r="E3780" s="20">
        <f>IF($N3780="","",IFERROR(IF(VLOOKUP(INDEX(LdBMember,$N3780),AcctTblE,4,0)="","(بدون نام)",VLOOKUP(INDEX(LdBMember,$N3780),AcctTblE,4,0)),"—"))</f>
        <v/>
      </c>
      <c r="F3780" s="21">
        <f>IF($N3780="","",IF(INDEX(LdBAmt,$N3780)=0,"",INDEX(LdBAmt,$N3780)))</f>
        <v/>
      </c>
      <c r="G3780" s="32">
        <f>IF($N3780="","",IF(INDEX(LdBNote,$N3780)="","—",INDEX(LdBNote,$N3780)))</f>
        <v/>
      </c>
      <c r="N3780">
        <f>IFERROR(MATCH($C$5&amp;"|"&amp;RIGHT("000000"&amp;1760,6),LdBKeyG,0),"")</f>
        <v/>
      </c>
    </row>
    <row r="3781">
      <c r="A3781" s="10" t="n">
        <v>1761</v>
      </c>
      <c r="B3781" s="14">
        <f>IF($N3781="","",INDEX(LdBDate,$N3781))</f>
        <v/>
      </c>
      <c r="C3781" s="14">
        <f>IF($N3781="","",IF(INDEX(LdBId,$N3781)="","—",INDEX(LdBId,$N3781)))</f>
        <v/>
      </c>
      <c r="D3781" s="14">
        <f>IF($N3781="","",INDEX(LdBMember,$N3781))</f>
        <v/>
      </c>
      <c r="E3781" s="14">
        <f>IF($N3781="","",IFERROR(IF(VLOOKUP(INDEX(LdBMember,$N3781),AcctTblE,4,0)="","(بدون نام)",VLOOKUP(INDEX(LdBMember,$N3781),AcctTblE,4,0)),"—"))</f>
        <v/>
      </c>
      <c r="F3781" s="16">
        <f>IF($N3781="","",IF(INDEX(LdBAmt,$N3781)=0,"",INDEX(LdBAmt,$N3781)))</f>
        <v/>
      </c>
      <c r="G3781" s="30">
        <f>IF($N3781="","",IF(INDEX(LdBNote,$N3781)="","—",INDEX(LdBNote,$N3781)))</f>
        <v/>
      </c>
      <c r="N3781">
        <f>IFERROR(MATCH($C$5&amp;"|"&amp;RIGHT("000000"&amp;1761,6),LdBKeyG,0),"")</f>
        <v/>
      </c>
    </row>
    <row r="3782">
      <c r="A3782" s="19" t="n">
        <v>1762</v>
      </c>
      <c r="B3782" s="20">
        <f>IF($N3782="","",INDEX(LdBDate,$N3782))</f>
        <v/>
      </c>
      <c r="C3782" s="20">
        <f>IF($N3782="","",IF(INDEX(LdBId,$N3782)="","—",INDEX(LdBId,$N3782)))</f>
        <v/>
      </c>
      <c r="D3782" s="20">
        <f>IF($N3782="","",INDEX(LdBMember,$N3782))</f>
        <v/>
      </c>
      <c r="E3782" s="20">
        <f>IF($N3782="","",IFERROR(IF(VLOOKUP(INDEX(LdBMember,$N3782),AcctTblE,4,0)="","(بدون نام)",VLOOKUP(INDEX(LdBMember,$N3782),AcctTblE,4,0)),"—"))</f>
        <v/>
      </c>
      <c r="F3782" s="21">
        <f>IF($N3782="","",IF(INDEX(LdBAmt,$N3782)=0,"",INDEX(LdBAmt,$N3782)))</f>
        <v/>
      </c>
      <c r="G3782" s="32">
        <f>IF($N3782="","",IF(INDEX(LdBNote,$N3782)="","—",INDEX(LdBNote,$N3782)))</f>
        <v/>
      </c>
      <c r="N3782">
        <f>IFERROR(MATCH($C$5&amp;"|"&amp;RIGHT("000000"&amp;1762,6),LdBKeyG,0),"")</f>
        <v/>
      </c>
    </row>
    <row r="3783">
      <c r="A3783" s="10" t="n">
        <v>1763</v>
      </c>
      <c r="B3783" s="14">
        <f>IF($N3783="","",INDEX(LdBDate,$N3783))</f>
        <v/>
      </c>
      <c r="C3783" s="14">
        <f>IF($N3783="","",IF(INDEX(LdBId,$N3783)="","—",INDEX(LdBId,$N3783)))</f>
        <v/>
      </c>
      <c r="D3783" s="14">
        <f>IF($N3783="","",INDEX(LdBMember,$N3783))</f>
        <v/>
      </c>
      <c r="E3783" s="14">
        <f>IF($N3783="","",IFERROR(IF(VLOOKUP(INDEX(LdBMember,$N3783),AcctTblE,4,0)="","(بدون نام)",VLOOKUP(INDEX(LdBMember,$N3783),AcctTblE,4,0)),"—"))</f>
        <v/>
      </c>
      <c r="F3783" s="16">
        <f>IF($N3783="","",IF(INDEX(LdBAmt,$N3783)=0,"",INDEX(LdBAmt,$N3783)))</f>
        <v/>
      </c>
      <c r="G3783" s="30">
        <f>IF($N3783="","",IF(INDEX(LdBNote,$N3783)="","—",INDEX(LdBNote,$N3783)))</f>
        <v/>
      </c>
      <c r="N3783">
        <f>IFERROR(MATCH($C$5&amp;"|"&amp;RIGHT("000000"&amp;1763,6),LdBKeyG,0),"")</f>
        <v/>
      </c>
    </row>
    <row r="3784">
      <c r="A3784" s="19" t="n">
        <v>1764</v>
      </c>
      <c r="B3784" s="20">
        <f>IF($N3784="","",INDEX(LdBDate,$N3784))</f>
        <v/>
      </c>
      <c r="C3784" s="20">
        <f>IF($N3784="","",IF(INDEX(LdBId,$N3784)="","—",INDEX(LdBId,$N3784)))</f>
        <v/>
      </c>
      <c r="D3784" s="20">
        <f>IF($N3784="","",INDEX(LdBMember,$N3784))</f>
        <v/>
      </c>
      <c r="E3784" s="20">
        <f>IF($N3784="","",IFERROR(IF(VLOOKUP(INDEX(LdBMember,$N3784),AcctTblE,4,0)="","(بدون نام)",VLOOKUP(INDEX(LdBMember,$N3784),AcctTblE,4,0)),"—"))</f>
        <v/>
      </c>
      <c r="F3784" s="21">
        <f>IF($N3784="","",IF(INDEX(LdBAmt,$N3784)=0,"",INDEX(LdBAmt,$N3784)))</f>
        <v/>
      </c>
      <c r="G3784" s="32">
        <f>IF($N3784="","",IF(INDEX(LdBNote,$N3784)="","—",INDEX(LdBNote,$N3784)))</f>
        <v/>
      </c>
      <c r="N3784">
        <f>IFERROR(MATCH($C$5&amp;"|"&amp;RIGHT("000000"&amp;1764,6),LdBKeyG,0),"")</f>
        <v/>
      </c>
    </row>
    <row r="3785">
      <c r="A3785" s="10" t="n">
        <v>1765</v>
      </c>
      <c r="B3785" s="14">
        <f>IF($N3785="","",INDEX(LdBDate,$N3785))</f>
        <v/>
      </c>
      <c r="C3785" s="14">
        <f>IF($N3785="","",IF(INDEX(LdBId,$N3785)="","—",INDEX(LdBId,$N3785)))</f>
        <v/>
      </c>
      <c r="D3785" s="14">
        <f>IF($N3785="","",INDEX(LdBMember,$N3785))</f>
        <v/>
      </c>
      <c r="E3785" s="14">
        <f>IF($N3785="","",IFERROR(IF(VLOOKUP(INDEX(LdBMember,$N3785),AcctTblE,4,0)="","(بدون نام)",VLOOKUP(INDEX(LdBMember,$N3785),AcctTblE,4,0)),"—"))</f>
        <v/>
      </c>
      <c r="F3785" s="16">
        <f>IF($N3785="","",IF(INDEX(LdBAmt,$N3785)=0,"",INDEX(LdBAmt,$N3785)))</f>
        <v/>
      </c>
      <c r="G3785" s="30">
        <f>IF($N3785="","",IF(INDEX(LdBNote,$N3785)="","—",INDEX(LdBNote,$N3785)))</f>
        <v/>
      </c>
      <c r="N3785">
        <f>IFERROR(MATCH($C$5&amp;"|"&amp;RIGHT("000000"&amp;1765,6),LdBKeyG,0),"")</f>
        <v/>
      </c>
    </row>
    <row r="3786">
      <c r="A3786" s="19" t="n">
        <v>1766</v>
      </c>
      <c r="B3786" s="20">
        <f>IF($N3786="","",INDEX(LdBDate,$N3786))</f>
        <v/>
      </c>
      <c r="C3786" s="20">
        <f>IF($N3786="","",IF(INDEX(LdBId,$N3786)="","—",INDEX(LdBId,$N3786)))</f>
        <v/>
      </c>
      <c r="D3786" s="20">
        <f>IF($N3786="","",INDEX(LdBMember,$N3786))</f>
        <v/>
      </c>
      <c r="E3786" s="20">
        <f>IF($N3786="","",IFERROR(IF(VLOOKUP(INDEX(LdBMember,$N3786),AcctTblE,4,0)="","(بدون نام)",VLOOKUP(INDEX(LdBMember,$N3786),AcctTblE,4,0)),"—"))</f>
        <v/>
      </c>
      <c r="F3786" s="21">
        <f>IF($N3786="","",IF(INDEX(LdBAmt,$N3786)=0,"",INDEX(LdBAmt,$N3786)))</f>
        <v/>
      </c>
      <c r="G3786" s="32">
        <f>IF($N3786="","",IF(INDEX(LdBNote,$N3786)="","—",INDEX(LdBNote,$N3786)))</f>
        <v/>
      </c>
      <c r="N3786">
        <f>IFERROR(MATCH($C$5&amp;"|"&amp;RIGHT("000000"&amp;1766,6),LdBKeyG,0),"")</f>
        <v/>
      </c>
    </row>
    <row r="3787">
      <c r="A3787" s="10" t="n">
        <v>1767</v>
      </c>
      <c r="B3787" s="14">
        <f>IF($N3787="","",INDEX(LdBDate,$N3787))</f>
        <v/>
      </c>
      <c r="C3787" s="14">
        <f>IF($N3787="","",IF(INDEX(LdBId,$N3787)="","—",INDEX(LdBId,$N3787)))</f>
        <v/>
      </c>
      <c r="D3787" s="14">
        <f>IF($N3787="","",INDEX(LdBMember,$N3787))</f>
        <v/>
      </c>
      <c r="E3787" s="14">
        <f>IF($N3787="","",IFERROR(IF(VLOOKUP(INDEX(LdBMember,$N3787),AcctTblE,4,0)="","(بدون نام)",VLOOKUP(INDEX(LdBMember,$N3787),AcctTblE,4,0)),"—"))</f>
        <v/>
      </c>
      <c r="F3787" s="16">
        <f>IF($N3787="","",IF(INDEX(LdBAmt,$N3787)=0,"",INDEX(LdBAmt,$N3787)))</f>
        <v/>
      </c>
      <c r="G3787" s="30">
        <f>IF($N3787="","",IF(INDEX(LdBNote,$N3787)="","—",INDEX(LdBNote,$N3787)))</f>
        <v/>
      </c>
      <c r="N3787">
        <f>IFERROR(MATCH($C$5&amp;"|"&amp;RIGHT("000000"&amp;1767,6),LdBKeyG,0),"")</f>
        <v/>
      </c>
    </row>
    <row r="3788">
      <c r="A3788" s="19" t="n">
        <v>1768</v>
      </c>
      <c r="B3788" s="20">
        <f>IF($N3788="","",INDEX(LdBDate,$N3788))</f>
        <v/>
      </c>
      <c r="C3788" s="20">
        <f>IF($N3788="","",IF(INDEX(LdBId,$N3788)="","—",INDEX(LdBId,$N3788)))</f>
        <v/>
      </c>
      <c r="D3788" s="20">
        <f>IF($N3788="","",INDEX(LdBMember,$N3788))</f>
        <v/>
      </c>
      <c r="E3788" s="20">
        <f>IF($N3788="","",IFERROR(IF(VLOOKUP(INDEX(LdBMember,$N3788),AcctTblE,4,0)="","(بدون نام)",VLOOKUP(INDEX(LdBMember,$N3788),AcctTblE,4,0)),"—"))</f>
        <v/>
      </c>
      <c r="F3788" s="21">
        <f>IF($N3788="","",IF(INDEX(LdBAmt,$N3788)=0,"",INDEX(LdBAmt,$N3788)))</f>
        <v/>
      </c>
      <c r="G3788" s="32">
        <f>IF($N3788="","",IF(INDEX(LdBNote,$N3788)="","—",INDEX(LdBNote,$N3788)))</f>
        <v/>
      </c>
      <c r="N3788">
        <f>IFERROR(MATCH($C$5&amp;"|"&amp;RIGHT("000000"&amp;1768,6),LdBKeyG,0),"")</f>
        <v/>
      </c>
    </row>
    <row r="3789">
      <c r="A3789" s="10" t="n">
        <v>1769</v>
      </c>
      <c r="B3789" s="14">
        <f>IF($N3789="","",INDEX(LdBDate,$N3789))</f>
        <v/>
      </c>
      <c r="C3789" s="14">
        <f>IF($N3789="","",IF(INDEX(LdBId,$N3789)="","—",INDEX(LdBId,$N3789)))</f>
        <v/>
      </c>
      <c r="D3789" s="14">
        <f>IF($N3789="","",INDEX(LdBMember,$N3789))</f>
        <v/>
      </c>
      <c r="E3789" s="14">
        <f>IF($N3789="","",IFERROR(IF(VLOOKUP(INDEX(LdBMember,$N3789),AcctTblE,4,0)="","(بدون نام)",VLOOKUP(INDEX(LdBMember,$N3789),AcctTblE,4,0)),"—"))</f>
        <v/>
      </c>
      <c r="F3789" s="16">
        <f>IF($N3789="","",IF(INDEX(LdBAmt,$N3789)=0,"",INDEX(LdBAmt,$N3789)))</f>
        <v/>
      </c>
      <c r="G3789" s="30">
        <f>IF($N3789="","",IF(INDEX(LdBNote,$N3789)="","—",INDEX(LdBNote,$N3789)))</f>
        <v/>
      </c>
      <c r="N3789">
        <f>IFERROR(MATCH($C$5&amp;"|"&amp;RIGHT("000000"&amp;1769,6),LdBKeyG,0),"")</f>
        <v/>
      </c>
    </row>
    <row r="3790">
      <c r="A3790" s="19" t="n">
        <v>1770</v>
      </c>
      <c r="B3790" s="20">
        <f>IF($N3790="","",INDEX(LdBDate,$N3790))</f>
        <v/>
      </c>
      <c r="C3790" s="20">
        <f>IF($N3790="","",IF(INDEX(LdBId,$N3790)="","—",INDEX(LdBId,$N3790)))</f>
        <v/>
      </c>
      <c r="D3790" s="20">
        <f>IF($N3790="","",INDEX(LdBMember,$N3790))</f>
        <v/>
      </c>
      <c r="E3790" s="20">
        <f>IF($N3790="","",IFERROR(IF(VLOOKUP(INDEX(LdBMember,$N3790),AcctTblE,4,0)="","(بدون نام)",VLOOKUP(INDEX(LdBMember,$N3790),AcctTblE,4,0)),"—"))</f>
        <v/>
      </c>
      <c r="F3790" s="21">
        <f>IF($N3790="","",IF(INDEX(LdBAmt,$N3790)=0,"",INDEX(LdBAmt,$N3790)))</f>
        <v/>
      </c>
      <c r="G3790" s="32">
        <f>IF($N3790="","",IF(INDEX(LdBNote,$N3790)="","—",INDEX(LdBNote,$N3790)))</f>
        <v/>
      </c>
      <c r="N3790">
        <f>IFERROR(MATCH($C$5&amp;"|"&amp;RIGHT("000000"&amp;1770,6),LdBKeyG,0),"")</f>
        <v/>
      </c>
    </row>
    <row r="3791">
      <c r="A3791" s="10" t="n">
        <v>1771</v>
      </c>
      <c r="B3791" s="14">
        <f>IF($N3791="","",INDEX(LdBDate,$N3791))</f>
        <v/>
      </c>
      <c r="C3791" s="14">
        <f>IF($N3791="","",IF(INDEX(LdBId,$N3791)="","—",INDEX(LdBId,$N3791)))</f>
        <v/>
      </c>
      <c r="D3791" s="14">
        <f>IF($N3791="","",INDEX(LdBMember,$N3791))</f>
        <v/>
      </c>
      <c r="E3791" s="14">
        <f>IF($N3791="","",IFERROR(IF(VLOOKUP(INDEX(LdBMember,$N3791),AcctTblE,4,0)="","(بدون نام)",VLOOKUP(INDEX(LdBMember,$N3791),AcctTblE,4,0)),"—"))</f>
        <v/>
      </c>
      <c r="F3791" s="16">
        <f>IF($N3791="","",IF(INDEX(LdBAmt,$N3791)=0,"",INDEX(LdBAmt,$N3791)))</f>
        <v/>
      </c>
      <c r="G3791" s="30">
        <f>IF($N3791="","",IF(INDEX(LdBNote,$N3791)="","—",INDEX(LdBNote,$N3791)))</f>
        <v/>
      </c>
      <c r="N3791">
        <f>IFERROR(MATCH($C$5&amp;"|"&amp;RIGHT("000000"&amp;1771,6),LdBKeyG,0),"")</f>
        <v/>
      </c>
    </row>
    <row r="3792">
      <c r="A3792" s="19" t="n">
        <v>1772</v>
      </c>
      <c r="B3792" s="20">
        <f>IF($N3792="","",INDEX(LdBDate,$N3792))</f>
        <v/>
      </c>
      <c r="C3792" s="20">
        <f>IF($N3792="","",IF(INDEX(LdBId,$N3792)="","—",INDEX(LdBId,$N3792)))</f>
        <v/>
      </c>
      <c r="D3792" s="20">
        <f>IF($N3792="","",INDEX(LdBMember,$N3792))</f>
        <v/>
      </c>
      <c r="E3792" s="20">
        <f>IF($N3792="","",IFERROR(IF(VLOOKUP(INDEX(LdBMember,$N3792),AcctTblE,4,0)="","(بدون نام)",VLOOKUP(INDEX(LdBMember,$N3792),AcctTblE,4,0)),"—"))</f>
        <v/>
      </c>
      <c r="F3792" s="21">
        <f>IF($N3792="","",IF(INDEX(LdBAmt,$N3792)=0,"",INDEX(LdBAmt,$N3792)))</f>
        <v/>
      </c>
      <c r="G3792" s="32">
        <f>IF($N3792="","",IF(INDEX(LdBNote,$N3792)="","—",INDEX(LdBNote,$N3792)))</f>
        <v/>
      </c>
      <c r="N3792">
        <f>IFERROR(MATCH($C$5&amp;"|"&amp;RIGHT("000000"&amp;1772,6),LdBKeyG,0),"")</f>
        <v/>
      </c>
    </row>
    <row r="3793">
      <c r="A3793" s="10" t="n">
        <v>1773</v>
      </c>
      <c r="B3793" s="14">
        <f>IF($N3793="","",INDEX(LdBDate,$N3793))</f>
        <v/>
      </c>
      <c r="C3793" s="14">
        <f>IF($N3793="","",IF(INDEX(LdBId,$N3793)="","—",INDEX(LdBId,$N3793)))</f>
        <v/>
      </c>
      <c r="D3793" s="14">
        <f>IF($N3793="","",INDEX(LdBMember,$N3793))</f>
        <v/>
      </c>
      <c r="E3793" s="14">
        <f>IF($N3793="","",IFERROR(IF(VLOOKUP(INDEX(LdBMember,$N3793),AcctTblE,4,0)="","(بدون نام)",VLOOKUP(INDEX(LdBMember,$N3793),AcctTblE,4,0)),"—"))</f>
        <v/>
      </c>
      <c r="F3793" s="16">
        <f>IF($N3793="","",IF(INDEX(LdBAmt,$N3793)=0,"",INDEX(LdBAmt,$N3793)))</f>
        <v/>
      </c>
      <c r="G3793" s="30">
        <f>IF($N3793="","",IF(INDEX(LdBNote,$N3793)="","—",INDEX(LdBNote,$N3793)))</f>
        <v/>
      </c>
      <c r="N3793">
        <f>IFERROR(MATCH($C$5&amp;"|"&amp;RIGHT("000000"&amp;1773,6),LdBKeyG,0),"")</f>
        <v/>
      </c>
    </row>
    <row r="3794">
      <c r="A3794" s="19" t="n">
        <v>1774</v>
      </c>
      <c r="B3794" s="20">
        <f>IF($N3794="","",INDEX(LdBDate,$N3794))</f>
        <v/>
      </c>
      <c r="C3794" s="20">
        <f>IF($N3794="","",IF(INDEX(LdBId,$N3794)="","—",INDEX(LdBId,$N3794)))</f>
        <v/>
      </c>
      <c r="D3794" s="20">
        <f>IF($N3794="","",INDEX(LdBMember,$N3794))</f>
        <v/>
      </c>
      <c r="E3794" s="20">
        <f>IF($N3794="","",IFERROR(IF(VLOOKUP(INDEX(LdBMember,$N3794),AcctTblE,4,0)="","(بدون نام)",VLOOKUP(INDEX(LdBMember,$N3794),AcctTblE,4,0)),"—"))</f>
        <v/>
      </c>
      <c r="F3794" s="21">
        <f>IF($N3794="","",IF(INDEX(LdBAmt,$N3794)=0,"",INDEX(LdBAmt,$N3794)))</f>
        <v/>
      </c>
      <c r="G3794" s="32">
        <f>IF($N3794="","",IF(INDEX(LdBNote,$N3794)="","—",INDEX(LdBNote,$N3794)))</f>
        <v/>
      </c>
      <c r="N3794">
        <f>IFERROR(MATCH($C$5&amp;"|"&amp;RIGHT("000000"&amp;1774,6),LdBKeyG,0),"")</f>
        <v/>
      </c>
    </row>
    <row r="3795">
      <c r="A3795" s="10" t="n">
        <v>1775</v>
      </c>
      <c r="B3795" s="14">
        <f>IF($N3795="","",INDEX(LdBDate,$N3795))</f>
        <v/>
      </c>
      <c r="C3795" s="14">
        <f>IF($N3795="","",IF(INDEX(LdBId,$N3795)="","—",INDEX(LdBId,$N3795)))</f>
        <v/>
      </c>
      <c r="D3795" s="14">
        <f>IF($N3795="","",INDEX(LdBMember,$N3795))</f>
        <v/>
      </c>
      <c r="E3795" s="14">
        <f>IF($N3795="","",IFERROR(IF(VLOOKUP(INDEX(LdBMember,$N3795),AcctTblE,4,0)="","(بدون نام)",VLOOKUP(INDEX(LdBMember,$N3795),AcctTblE,4,0)),"—"))</f>
        <v/>
      </c>
      <c r="F3795" s="16">
        <f>IF($N3795="","",IF(INDEX(LdBAmt,$N3795)=0,"",INDEX(LdBAmt,$N3795)))</f>
        <v/>
      </c>
      <c r="G3795" s="30">
        <f>IF($N3795="","",IF(INDEX(LdBNote,$N3795)="","—",INDEX(LdBNote,$N3795)))</f>
        <v/>
      </c>
      <c r="N3795">
        <f>IFERROR(MATCH($C$5&amp;"|"&amp;RIGHT("000000"&amp;1775,6),LdBKeyG,0),"")</f>
        <v/>
      </c>
    </row>
    <row r="3796">
      <c r="A3796" s="19" t="n">
        <v>1776</v>
      </c>
      <c r="B3796" s="20">
        <f>IF($N3796="","",INDEX(LdBDate,$N3796))</f>
        <v/>
      </c>
      <c r="C3796" s="20">
        <f>IF($N3796="","",IF(INDEX(LdBId,$N3796)="","—",INDEX(LdBId,$N3796)))</f>
        <v/>
      </c>
      <c r="D3796" s="20">
        <f>IF($N3796="","",INDEX(LdBMember,$N3796))</f>
        <v/>
      </c>
      <c r="E3796" s="20">
        <f>IF($N3796="","",IFERROR(IF(VLOOKUP(INDEX(LdBMember,$N3796),AcctTblE,4,0)="","(بدون نام)",VLOOKUP(INDEX(LdBMember,$N3796),AcctTblE,4,0)),"—"))</f>
        <v/>
      </c>
      <c r="F3796" s="21">
        <f>IF($N3796="","",IF(INDEX(LdBAmt,$N3796)=0,"",INDEX(LdBAmt,$N3796)))</f>
        <v/>
      </c>
      <c r="G3796" s="32">
        <f>IF($N3796="","",IF(INDEX(LdBNote,$N3796)="","—",INDEX(LdBNote,$N3796)))</f>
        <v/>
      </c>
      <c r="N3796">
        <f>IFERROR(MATCH($C$5&amp;"|"&amp;RIGHT("000000"&amp;1776,6),LdBKeyG,0),"")</f>
        <v/>
      </c>
    </row>
    <row r="3797">
      <c r="A3797" s="10" t="n">
        <v>1777</v>
      </c>
      <c r="B3797" s="14">
        <f>IF($N3797="","",INDEX(LdBDate,$N3797))</f>
        <v/>
      </c>
      <c r="C3797" s="14">
        <f>IF($N3797="","",IF(INDEX(LdBId,$N3797)="","—",INDEX(LdBId,$N3797)))</f>
        <v/>
      </c>
      <c r="D3797" s="14">
        <f>IF($N3797="","",INDEX(LdBMember,$N3797))</f>
        <v/>
      </c>
      <c r="E3797" s="14">
        <f>IF($N3797="","",IFERROR(IF(VLOOKUP(INDEX(LdBMember,$N3797),AcctTblE,4,0)="","(بدون نام)",VLOOKUP(INDEX(LdBMember,$N3797),AcctTblE,4,0)),"—"))</f>
        <v/>
      </c>
      <c r="F3797" s="16">
        <f>IF($N3797="","",IF(INDEX(LdBAmt,$N3797)=0,"",INDEX(LdBAmt,$N3797)))</f>
        <v/>
      </c>
      <c r="G3797" s="30">
        <f>IF($N3797="","",IF(INDEX(LdBNote,$N3797)="","—",INDEX(LdBNote,$N3797)))</f>
        <v/>
      </c>
      <c r="N3797">
        <f>IFERROR(MATCH($C$5&amp;"|"&amp;RIGHT("000000"&amp;1777,6),LdBKeyG,0),"")</f>
        <v/>
      </c>
    </row>
    <row r="3798">
      <c r="A3798" s="19" t="n">
        <v>1778</v>
      </c>
      <c r="B3798" s="20">
        <f>IF($N3798="","",INDEX(LdBDate,$N3798))</f>
        <v/>
      </c>
      <c r="C3798" s="20">
        <f>IF($N3798="","",IF(INDEX(LdBId,$N3798)="","—",INDEX(LdBId,$N3798)))</f>
        <v/>
      </c>
      <c r="D3798" s="20">
        <f>IF($N3798="","",INDEX(LdBMember,$N3798))</f>
        <v/>
      </c>
      <c r="E3798" s="20">
        <f>IF($N3798="","",IFERROR(IF(VLOOKUP(INDEX(LdBMember,$N3798),AcctTblE,4,0)="","(بدون نام)",VLOOKUP(INDEX(LdBMember,$N3798),AcctTblE,4,0)),"—"))</f>
        <v/>
      </c>
      <c r="F3798" s="21">
        <f>IF($N3798="","",IF(INDEX(LdBAmt,$N3798)=0,"",INDEX(LdBAmt,$N3798)))</f>
        <v/>
      </c>
      <c r="G3798" s="32">
        <f>IF($N3798="","",IF(INDEX(LdBNote,$N3798)="","—",INDEX(LdBNote,$N3798)))</f>
        <v/>
      </c>
      <c r="N3798">
        <f>IFERROR(MATCH($C$5&amp;"|"&amp;RIGHT("000000"&amp;1778,6),LdBKeyG,0),"")</f>
        <v/>
      </c>
    </row>
    <row r="3799">
      <c r="A3799" s="10" t="n">
        <v>1779</v>
      </c>
      <c r="B3799" s="14">
        <f>IF($N3799="","",INDEX(LdBDate,$N3799))</f>
        <v/>
      </c>
      <c r="C3799" s="14">
        <f>IF($N3799="","",IF(INDEX(LdBId,$N3799)="","—",INDEX(LdBId,$N3799)))</f>
        <v/>
      </c>
      <c r="D3799" s="14">
        <f>IF($N3799="","",INDEX(LdBMember,$N3799))</f>
        <v/>
      </c>
      <c r="E3799" s="14">
        <f>IF($N3799="","",IFERROR(IF(VLOOKUP(INDEX(LdBMember,$N3799),AcctTblE,4,0)="","(بدون نام)",VLOOKUP(INDEX(LdBMember,$N3799),AcctTblE,4,0)),"—"))</f>
        <v/>
      </c>
      <c r="F3799" s="16">
        <f>IF($N3799="","",IF(INDEX(LdBAmt,$N3799)=0,"",INDEX(LdBAmt,$N3799)))</f>
        <v/>
      </c>
      <c r="G3799" s="30">
        <f>IF($N3799="","",IF(INDEX(LdBNote,$N3799)="","—",INDEX(LdBNote,$N3799)))</f>
        <v/>
      </c>
      <c r="N3799">
        <f>IFERROR(MATCH($C$5&amp;"|"&amp;RIGHT("000000"&amp;1779,6),LdBKeyG,0),"")</f>
        <v/>
      </c>
    </row>
    <row r="3800">
      <c r="A3800" s="19" t="n">
        <v>1780</v>
      </c>
      <c r="B3800" s="20">
        <f>IF($N3800="","",INDEX(LdBDate,$N3800))</f>
        <v/>
      </c>
      <c r="C3800" s="20">
        <f>IF($N3800="","",IF(INDEX(LdBId,$N3800)="","—",INDEX(LdBId,$N3800)))</f>
        <v/>
      </c>
      <c r="D3800" s="20">
        <f>IF($N3800="","",INDEX(LdBMember,$N3800))</f>
        <v/>
      </c>
      <c r="E3800" s="20">
        <f>IF($N3800="","",IFERROR(IF(VLOOKUP(INDEX(LdBMember,$N3800),AcctTblE,4,0)="","(بدون نام)",VLOOKUP(INDEX(LdBMember,$N3800),AcctTblE,4,0)),"—"))</f>
        <v/>
      </c>
      <c r="F3800" s="21">
        <f>IF($N3800="","",IF(INDEX(LdBAmt,$N3800)=0,"",INDEX(LdBAmt,$N3800)))</f>
        <v/>
      </c>
      <c r="G3800" s="32">
        <f>IF($N3800="","",IF(INDEX(LdBNote,$N3800)="","—",INDEX(LdBNote,$N3800)))</f>
        <v/>
      </c>
      <c r="N3800">
        <f>IFERROR(MATCH($C$5&amp;"|"&amp;RIGHT("000000"&amp;1780,6),LdBKeyG,0),"")</f>
        <v/>
      </c>
    </row>
    <row r="3801">
      <c r="A3801" s="10" t="n">
        <v>1781</v>
      </c>
      <c r="B3801" s="14">
        <f>IF($N3801="","",INDEX(LdBDate,$N3801))</f>
        <v/>
      </c>
      <c r="C3801" s="14">
        <f>IF($N3801="","",IF(INDEX(LdBId,$N3801)="","—",INDEX(LdBId,$N3801)))</f>
        <v/>
      </c>
      <c r="D3801" s="14">
        <f>IF($N3801="","",INDEX(LdBMember,$N3801))</f>
        <v/>
      </c>
      <c r="E3801" s="14">
        <f>IF($N3801="","",IFERROR(IF(VLOOKUP(INDEX(LdBMember,$N3801),AcctTblE,4,0)="","(بدون نام)",VLOOKUP(INDEX(LdBMember,$N3801),AcctTblE,4,0)),"—"))</f>
        <v/>
      </c>
      <c r="F3801" s="16">
        <f>IF($N3801="","",IF(INDEX(LdBAmt,$N3801)=0,"",INDEX(LdBAmt,$N3801)))</f>
        <v/>
      </c>
      <c r="G3801" s="30">
        <f>IF($N3801="","",IF(INDEX(LdBNote,$N3801)="","—",INDEX(LdBNote,$N3801)))</f>
        <v/>
      </c>
      <c r="N3801">
        <f>IFERROR(MATCH($C$5&amp;"|"&amp;RIGHT("000000"&amp;1781,6),LdBKeyG,0),"")</f>
        <v/>
      </c>
    </row>
    <row r="3802">
      <c r="A3802" s="19" t="n">
        <v>1782</v>
      </c>
      <c r="B3802" s="20">
        <f>IF($N3802="","",INDEX(LdBDate,$N3802))</f>
        <v/>
      </c>
      <c r="C3802" s="20">
        <f>IF($N3802="","",IF(INDEX(LdBId,$N3802)="","—",INDEX(LdBId,$N3802)))</f>
        <v/>
      </c>
      <c r="D3802" s="20">
        <f>IF($N3802="","",INDEX(LdBMember,$N3802))</f>
        <v/>
      </c>
      <c r="E3802" s="20">
        <f>IF($N3802="","",IFERROR(IF(VLOOKUP(INDEX(LdBMember,$N3802),AcctTblE,4,0)="","(بدون نام)",VLOOKUP(INDEX(LdBMember,$N3802),AcctTblE,4,0)),"—"))</f>
        <v/>
      </c>
      <c r="F3802" s="21">
        <f>IF($N3802="","",IF(INDEX(LdBAmt,$N3802)=0,"",INDEX(LdBAmt,$N3802)))</f>
        <v/>
      </c>
      <c r="G3802" s="32">
        <f>IF($N3802="","",IF(INDEX(LdBNote,$N3802)="","—",INDEX(LdBNote,$N3802)))</f>
        <v/>
      </c>
      <c r="N3802">
        <f>IFERROR(MATCH($C$5&amp;"|"&amp;RIGHT("000000"&amp;1782,6),LdBKeyG,0),"")</f>
        <v/>
      </c>
    </row>
    <row r="3803">
      <c r="A3803" s="10" t="n">
        <v>1783</v>
      </c>
      <c r="B3803" s="14">
        <f>IF($N3803="","",INDEX(LdBDate,$N3803))</f>
        <v/>
      </c>
      <c r="C3803" s="14">
        <f>IF($N3803="","",IF(INDEX(LdBId,$N3803)="","—",INDEX(LdBId,$N3803)))</f>
        <v/>
      </c>
      <c r="D3803" s="14">
        <f>IF($N3803="","",INDEX(LdBMember,$N3803))</f>
        <v/>
      </c>
      <c r="E3803" s="14">
        <f>IF($N3803="","",IFERROR(IF(VLOOKUP(INDEX(LdBMember,$N3803),AcctTblE,4,0)="","(بدون نام)",VLOOKUP(INDEX(LdBMember,$N3803),AcctTblE,4,0)),"—"))</f>
        <v/>
      </c>
      <c r="F3803" s="16">
        <f>IF($N3803="","",IF(INDEX(LdBAmt,$N3803)=0,"",INDEX(LdBAmt,$N3803)))</f>
        <v/>
      </c>
      <c r="G3803" s="30">
        <f>IF($N3803="","",IF(INDEX(LdBNote,$N3803)="","—",INDEX(LdBNote,$N3803)))</f>
        <v/>
      </c>
      <c r="N3803">
        <f>IFERROR(MATCH($C$5&amp;"|"&amp;RIGHT("000000"&amp;1783,6),LdBKeyG,0),"")</f>
        <v/>
      </c>
    </row>
    <row r="3804">
      <c r="A3804" s="19" t="n">
        <v>1784</v>
      </c>
      <c r="B3804" s="20">
        <f>IF($N3804="","",INDEX(LdBDate,$N3804))</f>
        <v/>
      </c>
      <c r="C3804" s="20">
        <f>IF($N3804="","",IF(INDEX(LdBId,$N3804)="","—",INDEX(LdBId,$N3804)))</f>
        <v/>
      </c>
      <c r="D3804" s="20">
        <f>IF($N3804="","",INDEX(LdBMember,$N3804))</f>
        <v/>
      </c>
      <c r="E3804" s="20">
        <f>IF($N3804="","",IFERROR(IF(VLOOKUP(INDEX(LdBMember,$N3804),AcctTblE,4,0)="","(بدون نام)",VLOOKUP(INDEX(LdBMember,$N3804),AcctTblE,4,0)),"—"))</f>
        <v/>
      </c>
      <c r="F3804" s="21">
        <f>IF($N3804="","",IF(INDEX(LdBAmt,$N3804)=0,"",INDEX(LdBAmt,$N3804)))</f>
        <v/>
      </c>
      <c r="G3804" s="32">
        <f>IF($N3804="","",IF(INDEX(LdBNote,$N3804)="","—",INDEX(LdBNote,$N3804)))</f>
        <v/>
      </c>
      <c r="N3804">
        <f>IFERROR(MATCH($C$5&amp;"|"&amp;RIGHT("000000"&amp;1784,6),LdBKeyG,0),"")</f>
        <v/>
      </c>
    </row>
    <row r="3805">
      <c r="A3805" s="10" t="n">
        <v>1785</v>
      </c>
      <c r="B3805" s="14">
        <f>IF($N3805="","",INDEX(LdBDate,$N3805))</f>
        <v/>
      </c>
      <c r="C3805" s="14">
        <f>IF($N3805="","",IF(INDEX(LdBId,$N3805)="","—",INDEX(LdBId,$N3805)))</f>
        <v/>
      </c>
      <c r="D3805" s="14">
        <f>IF($N3805="","",INDEX(LdBMember,$N3805))</f>
        <v/>
      </c>
      <c r="E3805" s="14">
        <f>IF($N3805="","",IFERROR(IF(VLOOKUP(INDEX(LdBMember,$N3805),AcctTblE,4,0)="","(بدون نام)",VLOOKUP(INDEX(LdBMember,$N3805),AcctTblE,4,0)),"—"))</f>
        <v/>
      </c>
      <c r="F3805" s="16">
        <f>IF($N3805="","",IF(INDEX(LdBAmt,$N3805)=0,"",INDEX(LdBAmt,$N3805)))</f>
        <v/>
      </c>
      <c r="G3805" s="30">
        <f>IF($N3805="","",IF(INDEX(LdBNote,$N3805)="","—",INDEX(LdBNote,$N3805)))</f>
        <v/>
      </c>
      <c r="N3805">
        <f>IFERROR(MATCH($C$5&amp;"|"&amp;RIGHT("000000"&amp;1785,6),LdBKeyG,0),"")</f>
        <v/>
      </c>
    </row>
    <row r="3806">
      <c r="A3806" s="19" t="n">
        <v>1786</v>
      </c>
      <c r="B3806" s="20">
        <f>IF($N3806="","",INDEX(LdBDate,$N3806))</f>
        <v/>
      </c>
      <c r="C3806" s="20">
        <f>IF($N3806="","",IF(INDEX(LdBId,$N3806)="","—",INDEX(LdBId,$N3806)))</f>
        <v/>
      </c>
      <c r="D3806" s="20">
        <f>IF($N3806="","",INDEX(LdBMember,$N3806))</f>
        <v/>
      </c>
      <c r="E3806" s="20">
        <f>IF($N3806="","",IFERROR(IF(VLOOKUP(INDEX(LdBMember,$N3806),AcctTblE,4,0)="","(بدون نام)",VLOOKUP(INDEX(LdBMember,$N3806),AcctTblE,4,0)),"—"))</f>
        <v/>
      </c>
      <c r="F3806" s="21">
        <f>IF($N3806="","",IF(INDEX(LdBAmt,$N3806)=0,"",INDEX(LdBAmt,$N3806)))</f>
        <v/>
      </c>
      <c r="G3806" s="32">
        <f>IF($N3806="","",IF(INDEX(LdBNote,$N3806)="","—",INDEX(LdBNote,$N3806)))</f>
        <v/>
      </c>
      <c r="N3806">
        <f>IFERROR(MATCH($C$5&amp;"|"&amp;RIGHT("000000"&amp;1786,6),LdBKeyG,0),"")</f>
        <v/>
      </c>
    </row>
    <row r="3807">
      <c r="A3807" s="10" t="n">
        <v>1787</v>
      </c>
      <c r="B3807" s="14">
        <f>IF($N3807="","",INDEX(LdBDate,$N3807))</f>
        <v/>
      </c>
      <c r="C3807" s="14">
        <f>IF($N3807="","",IF(INDEX(LdBId,$N3807)="","—",INDEX(LdBId,$N3807)))</f>
        <v/>
      </c>
      <c r="D3807" s="14">
        <f>IF($N3807="","",INDEX(LdBMember,$N3807))</f>
        <v/>
      </c>
      <c r="E3807" s="14">
        <f>IF($N3807="","",IFERROR(IF(VLOOKUP(INDEX(LdBMember,$N3807),AcctTblE,4,0)="","(بدون نام)",VLOOKUP(INDEX(LdBMember,$N3807),AcctTblE,4,0)),"—"))</f>
        <v/>
      </c>
      <c r="F3807" s="16">
        <f>IF($N3807="","",IF(INDEX(LdBAmt,$N3807)=0,"",INDEX(LdBAmt,$N3807)))</f>
        <v/>
      </c>
      <c r="G3807" s="30">
        <f>IF($N3807="","",IF(INDEX(LdBNote,$N3807)="","—",INDEX(LdBNote,$N3807)))</f>
        <v/>
      </c>
      <c r="N3807">
        <f>IFERROR(MATCH($C$5&amp;"|"&amp;RIGHT("000000"&amp;1787,6),LdBKeyG,0),"")</f>
        <v/>
      </c>
    </row>
    <row r="3808">
      <c r="A3808" s="19" t="n">
        <v>1788</v>
      </c>
      <c r="B3808" s="20">
        <f>IF($N3808="","",INDEX(LdBDate,$N3808))</f>
        <v/>
      </c>
      <c r="C3808" s="20">
        <f>IF($N3808="","",IF(INDEX(LdBId,$N3808)="","—",INDEX(LdBId,$N3808)))</f>
        <v/>
      </c>
      <c r="D3808" s="20">
        <f>IF($N3808="","",INDEX(LdBMember,$N3808))</f>
        <v/>
      </c>
      <c r="E3808" s="20">
        <f>IF($N3808="","",IFERROR(IF(VLOOKUP(INDEX(LdBMember,$N3808),AcctTblE,4,0)="","(بدون نام)",VLOOKUP(INDEX(LdBMember,$N3808),AcctTblE,4,0)),"—"))</f>
        <v/>
      </c>
      <c r="F3808" s="21">
        <f>IF($N3808="","",IF(INDEX(LdBAmt,$N3808)=0,"",INDEX(LdBAmt,$N3808)))</f>
        <v/>
      </c>
      <c r="G3808" s="32">
        <f>IF($N3808="","",IF(INDEX(LdBNote,$N3808)="","—",INDEX(LdBNote,$N3808)))</f>
        <v/>
      </c>
      <c r="N3808">
        <f>IFERROR(MATCH($C$5&amp;"|"&amp;RIGHT("000000"&amp;1788,6),LdBKeyG,0),"")</f>
        <v/>
      </c>
    </row>
    <row r="3809">
      <c r="A3809" s="10" t="n">
        <v>1789</v>
      </c>
      <c r="B3809" s="14">
        <f>IF($N3809="","",INDEX(LdBDate,$N3809))</f>
        <v/>
      </c>
      <c r="C3809" s="14">
        <f>IF($N3809="","",IF(INDEX(LdBId,$N3809)="","—",INDEX(LdBId,$N3809)))</f>
        <v/>
      </c>
      <c r="D3809" s="14">
        <f>IF($N3809="","",INDEX(LdBMember,$N3809))</f>
        <v/>
      </c>
      <c r="E3809" s="14">
        <f>IF($N3809="","",IFERROR(IF(VLOOKUP(INDEX(LdBMember,$N3809),AcctTblE,4,0)="","(بدون نام)",VLOOKUP(INDEX(LdBMember,$N3809),AcctTblE,4,0)),"—"))</f>
        <v/>
      </c>
      <c r="F3809" s="16">
        <f>IF($N3809="","",IF(INDEX(LdBAmt,$N3809)=0,"",INDEX(LdBAmt,$N3809)))</f>
        <v/>
      </c>
      <c r="G3809" s="30">
        <f>IF($N3809="","",IF(INDEX(LdBNote,$N3809)="","—",INDEX(LdBNote,$N3809)))</f>
        <v/>
      </c>
      <c r="N3809">
        <f>IFERROR(MATCH($C$5&amp;"|"&amp;RIGHT("000000"&amp;1789,6),LdBKeyG,0),"")</f>
        <v/>
      </c>
    </row>
    <row r="3810">
      <c r="A3810" s="19" t="n">
        <v>1790</v>
      </c>
      <c r="B3810" s="20">
        <f>IF($N3810="","",INDEX(LdBDate,$N3810))</f>
        <v/>
      </c>
      <c r="C3810" s="20">
        <f>IF($N3810="","",IF(INDEX(LdBId,$N3810)="","—",INDEX(LdBId,$N3810)))</f>
        <v/>
      </c>
      <c r="D3810" s="20">
        <f>IF($N3810="","",INDEX(LdBMember,$N3810))</f>
        <v/>
      </c>
      <c r="E3810" s="20">
        <f>IF($N3810="","",IFERROR(IF(VLOOKUP(INDEX(LdBMember,$N3810),AcctTblE,4,0)="","(بدون نام)",VLOOKUP(INDEX(LdBMember,$N3810),AcctTblE,4,0)),"—"))</f>
        <v/>
      </c>
      <c r="F3810" s="21">
        <f>IF($N3810="","",IF(INDEX(LdBAmt,$N3810)=0,"",INDEX(LdBAmt,$N3810)))</f>
        <v/>
      </c>
      <c r="G3810" s="32">
        <f>IF($N3810="","",IF(INDEX(LdBNote,$N3810)="","—",INDEX(LdBNote,$N3810)))</f>
        <v/>
      </c>
      <c r="N3810">
        <f>IFERROR(MATCH($C$5&amp;"|"&amp;RIGHT("000000"&amp;1790,6),LdBKeyG,0),"")</f>
        <v/>
      </c>
    </row>
    <row r="3811">
      <c r="A3811" s="10" t="n">
        <v>1791</v>
      </c>
      <c r="B3811" s="14">
        <f>IF($N3811="","",INDEX(LdBDate,$N3811))</f>
        <v/>
      </c>
      <c r="C3811" s="14">
        <f>IF($N3811="","",IF(INDEX(LdBId,$N3811)="","—",INDEX(LdBId,$N3811)))</f>
        <v/>
      </c>
      <c r="D3811" s="14">
        <f>IF($N3811="","",INDEX(LdBMember,$N3811))</f>
        <v/>
      </c>
      <c r="E3811" s="14">
        <f>IF($N3811="","",IFERROR(IF(VLOOKUP(INDEX(LdBMember,$N3811),AcctTblE,4,0)="","(بدون نام)",VLOOKUP(INDEX(LdBMember,$N3811),AcctTblE,4,0)),"—"))</f>
        <v/>
      </c>
      <c r="F3811" s="16">
        <f>IF($N3811="","",IF(INDEX(LdBAmt,$N3811)=0,"",INDEX(LdBAmt,$N3811)))</f>
        <v/>
      </c>
      <c r="G3811" s="30">
        <f>IF($N3811="","",IF(INDEX(LdBNote,$N3811)="","—",INDEX(LdBNote,$N3811)))</f>
        <v/>
      </c>
      <c r="N3811">
        <f>IFERROR(MATCH($C$5&amp;"|"&amp;RIGHT("000000"&amp;1791,6),LdBKeyG,0),"")</f>
        <v/>
      </c>
    </row>
    <row r="3812">
      <c r="A3812" s="19" t="n">
        <v>1792</v>
      </c>
      <c r="B3812" s="20">
        <f>IF($N3812="","",INDEX(LdBDate,$N3812))</f>
        <v/>
      </c>
      <c r="C3812" s="20">
        <f>IF($N3812="","",IF(INDEX(LdBId,$N3812)="","—",INDEX(LdBId,$N3812)))</f>
        <v/>
      </c>
      <c r="D3812" s="20">
        <f>IF($N3812="","",INDEX(LdBMember,$N3812))</f>
        <v/>
      </c>
      <c r="E3812" s="20">
        <f>IF($N3812="","",IFERROR(IF(VLOOKUP(INDEX(LdBMember,$N3812),AcctTblE,4,0)="","(بدون نام)",VLOOKUP(INDEX(LdBMember,$N3812),AcctTblE,4,0)),"—"))</f>
        <v/>
      </c>
      <c r="F3812" s="21">
        <f>IF($N3812="","",IF(INDEX(LdBAmt,$N3812)=0,"",INDEX(LdBAmt,$N3812)))</f>
        <v/>
      </c>
      <c r="G3812" s="32">
        <f>IF($N3812="","",IF(INDEX(LdBNote,$N3812)="","—",INDEX(LdBNote,$N3812)))</f>
        <v/>
      </c>
      <c r="N3812">
        <f>IFERROR(MATCH($C$5&amp;"|"&amp;RIGHT("000000"&amp;1792,6),LdBKeyG,0),"")</f>
        <v/>
      </c>
    </row>
    <row r="3813">
      <c r="A3813" s="10" t="n">
        <v>1793</v>
      </c>
      <c r="B3813" s="14">
        <f>IF($N3813="","",INDEX(LdBDate,$N3813))</f>
        <v/>
      </c>
      <c r="C3813" s="14">
        <f>IF($N3813="","",IF(INDEX(LdBId,$N3813)="","—",INDEX(LdBId,$N3813)))</f>
        <v/>
      </c>
      <c r="D3813" s="14">
        <f>IF($N3813="","",INDEX(LdBMember,$N3813))</f>
        <v/>
      </c>
      <c r="E3813" s="14">
        <f>IF($N3813="","",IFERROR(IF(VLOOKUP(INDEX(LdBMember,$N3813),AcctTblE,4,0)="","(بدون نام)",VLOOKUP(INDEX(LdBMember,$N3813),AcctTblE,4,0)),"—"))</f>
        <v/>
      </c>
      <c r="F3813" s="16">
        <f>IF($N3813="","",IF(INDEX(LdBAmt,$N3813)=0,"",INDEX(LdBAmt,$N3813)))</f>
        <v/>
      </c>
      <c r="G3813" s="30">
        <f>IF($N3813="","",IF(INDEX(LdBNote,$N3813)="","—",INDEX(LdBNote,$N3813)))</f>
        <v/>
      </c>
      <c r="N3813">
        <f>IFERROR(MATCH($C$5&amp;"|"&amp;RIGHT("000000"&amp;1793,6),LdBKeyG,0),"")</f>
        <v/>
      </c>
    </row>
    <row r="3814">
      <c r="A3814" s="19" t="n">
        <v>1794</v>
      </c>
      <c r="B3814" s="20">
        <f>IF($N3814="","",INDEX(LdBDate,$N3814))</f>
        <v/>
      </c>
      <c r="C3814" s="20">
        <f>IF($N3814="","",IF(INDEX(LdBId,$N3814)="","—",INDEX(LdBId,$N3814)))</f>
        <v/>
      </c>
      <c r="D3814" s="20">
        <f>IF($N3814="","",INDEX(LdBMember,$N3814))</f>
        <v/>
      </c>
      <c r="E3814" s="20">
        <f>IF($N3814="","",IFERROR(IF(VLOOKUP(INDEX(LdBMember,$N3814),AcctTblE,4,0)="","(بدون نام)",VLOOKUP(INDEX(LdBMember,$N3814),AcctTblE,4,0)),"—"))</f>
        <v/>
      </c>
      <c r="F3814" s="21">
        <f>IF($N3814="","",IF(INDEX(LdBAmt,$N3814)=0,"",INDEX(LdBAmt,$N3814)))</f>
        <v/>
      </c>
      <c r="G3814" s="32">
        <f>IF($N3814="","",IF(INDEX(LdBNote,$N3814)="","—",INDEX(LdBNote,$N3814)))</f>
        <v/>
      </c>
      <c r="N3814">
        <f>IFERROR(MATCH($C$5&amp;"|"&amp;RIGHT("000000"&amp;1794,6),LdBKeyG,0),"")</f>
        <v/>
      </c>
    </row>
    <row r="3815">
      <c r="A3815" s="10" t="n">
        <v>1795</v>
      </c>
      <c r="B3815" s="14">
        <f>IF($N3815="","",INDEX(LdBDate,$N3815))</f>
        <v/>
      </c>
      <c r="C3815" s="14">
        <f>IF($N3815="","",IF(INDEX(LdBId,$N3815)="","—",INDEX(LdBId,$N3815)))</f>
        <v/>
      </c>
      <c r="D3815" s="14">
        <f>IF($N3815="","",INDEX(LdBMember,$N3815))</f>
        <v/>
      </c>
      <c r="E3815" s="14">
        <f>IF($N3815="","",IFERROR(IF(VLOOKUP(INDEX(LdBMember,$N3815),AcctTblE,4,0)="","(بدون نام)",VLOOKUP(INDEX(LdBMember,$N3815),AcctTblE,4,0)),"—"))</f>
        <v/>
      </c>
      <c r="F3815" s="16">
        <f>IF($N3815="","",IF(INDEX(LdBAmt,$N3815)=0,"",INDEX(LdBAmt,$N3815)))</f>
        <v/>
      </c>
      <c r="G3815" s="30">
        <f>IF($N3815="","",IF(INDEX(LdBNote,$N3815)="","—",INDEX(LdBNote,$N3815)))</f>
        <v/>
      </c>
      <c r="N3815">
        <f>IFERROR(MATCH($C$5&amp;"|"&amp;RIGHT("000000"&amp;1795,6),LdBKeyG,0),"")</f>
        <v/>
      </c>
    </row>
    <row r="3816">
      <c r="A3816" s="19" t="n">
        <v>1796</v>
      </c>
      <c r="B3816" s="20">
        <f>IF($N3816="","",INDEX(LdBDate,$N3816))</f>
        <v/>
      </c>
      <c r="C3816" s="20">
        <f>IF($N3816="","",IF(INDEX(LdBId,$N3816)="","—",INDEX(LdBId,$N3816)))</f>
        <v/>
      </c>
      <c r="D3816" s="20">
        <f>IF($N3816="","",INDEX(LdBMember,$N3816))</f>
        <v/>
      </c>
      <c r="E3816" s="20">
        <f>IF($N3816="","",IFERROR(IF(VLOOKUP(INDEX(LdBMember,$N3816),AcctTblE,4,0)="","(بدون نام)",VLOOKUP(INDEX(LdBMember,$N3816),AcctTblE,4,0)),"—"))</f>
        <v/>
      </c>
      <c r="F3816" s="21">
        <f>IF($N3816="","",IF(INDEX(LdBAmt,$N3816)=0,"",INDEX(LdBAmt,$N3816)))</f>
        <v/>
      </c>
      <c r="G3816" s="32">
        <f>IF($N3816="","",IF(INDEX(LdBNote,$N3816)="","—",INDEX(LdBNote,$N3816)))</f>
        <v/>
      </c>
      <c r="N3816">
        <f>IFERROR(MATCH($C$5&amp;"|"&amp;RIGHT("000000"&amp;1796,6),LdBKeyG,0),"")</f>
        <v/>
      </c>
    </row>
    <row r="3817">
      <c r="A3817" s="10" t="n">
        <v>1797</v>
      </c>
      <c r="B3817" s="14">
        <f>IF($N3817="","",INDEX(LdBDate,$N3817))</f>
        <v/>
      </c>
      <c r="C3817" s="14">
        <f>IF($N3817="","",IF(INDEX(LdBId,$N3817)="","—",INDEX(LdBId,$N3817)))</f>
        <v/>
      </c>
      <c r="D3817" s="14">
        <f>IF($N3817="","",INDEX(LdBMember,$N3817))</f>
        <v/>
      </c>
      <c r="E3817" s="14">
        <f>IF($N3817="","",IFERROR(IF(VLOOKUP(INDEX(LdBMember,$N3817),AcctTblE,4,0)="","(بدون نام)",VLOOKUP(INDEX(LdBMember,$N3817),AcctTblE,4,0)),"—"))</f>
        <v/>
      </c>
      <c r="F3817" s="16">
        <f>IF($N3817="","",IF(INDEX(LdBAmt,$N3817)=0,"",INDEX(LdBAmt,$N3817)))</f>
        <v/>
      </c>
      <c r="G3817" s="30">
        <f>IF($N3817="","",IF(INDEX(LdBNote,$N3817)="","—",INDEX(LdBNote,$N3817)))</f>
        <v/>
      </c>
      <c r="N3817">
        <f>IFERROR(MATCH($C$5&amp;"|"&amp;RIGHT("000000"&amp;1797,6),LdBKeyG,0),"")</f>
        <v/>
      </c>
    </row>
    <row r="3818">
      <c r="A3818" s="19" t="n">
        <v>1798</v>
      </c>
      <c r="B3818" s="20">
        <f>IF($N3818="","",INDEX(LdBDate,$N3818))</f>
        <v/>
      </c>
      <c r="C3818" s="20">
        <f>IF($N3818="","",IF(INDEX(LdBId,$N3818)="","—",INDEX(LdBId,$N3818)))</f>
        <v/>
      </c>
      <c r="D3818" s="20">
        <f>IF($N3818="","",INDEX(LdBMember,$N3818))</f>
        <v/>
      </c>
      <c r="E3818" s="20">
        <f>IF($N3818="","",IFERROR(IF(VLOOKUP(INDEX(LdBMember,$N3818),AcctTblE,4,0)="","(بدون نام)",VLOOKUP(INDEX(LdBMember,$N3818),AcctTblE,4,0)),"—"))</f>
        <v/>
      </c>
      <c r="F3818" s="21">
        <f>IF($N3818="","",IF(INDEX(LdBAmt,$N3818)=0,"",INDEX(LdBAmt,$N3818)))</f>
        <v/>
      </c>
      <c r="G3818" s="32">
        <f>IF($N3818="","",IF(INDEX(LdBNote,$N3818)="","—",INDEX(LdBNote,$N3818)))</f>
        <v/>
      </c>
      <c r="N3818">
        <f>IFERROR(MATCH($C$5&amp;"|"&amp;RIGHT("000000"&amp;1798,6),LdBKeyG,0),"")</f>
        <v/>
      </c>
    </row>
    <row r="3819">
      <c r="A3819" s="10" t="n">
        <v>1799</v>
      </c>
      <c r="B3819" s="14">
        <f>IF($N3819="","",INDEX(LdBDate,$N3819))</f>
        <v/>
      </c>
      <c r="C3819" s="14">
        <f>IF($N3819="","",IF(INDEX(LdBId,$N3819)="","—",INDEX(LdBId,$N3819)))</f>
        <v/>
      </c>
      <c r="D3819" s="14">
        <f>IF($N3819="","",INDEX(LdBMember,$N3819))</f>
        <v/>
      </c>
      <c r="E3819" s="14">
        <f>IF($N3819="","",IFERROR(IF(VLOOKUP(INDEX(LdBMember,$N3819),AcctTblE,4,0)="","(بدون نام)",VLOOKUP(INDEX(LdBMember,$N3819),AcctTblE,4,0)),"—"))</f>
        <v/>
      </c>
      <c r="F3819" s="16">
        <f>IF($N3819="","",IF(INDEX(LdBAmt,$N3819)=0,"",INDEX(LdBAmt,$N3819)))</f>
        <v/>
      </c>
      <c r="G3819" s="30">
        <f>IF($N3819="","",IF(INDEX(LdBNote,$N3819)="","—",INDEX(LdBNote,$N3819)))</f>
        <v/>
      </c>
      <c r="N3819">
        <f>IFERROR(MATCH($C$5&amp;"|"&amp;RIGHT("000000"&amp;1799,6),LdBKeyG,0),"")</f>
        <v/>
      </c>
    </row>
    <row r="3820">
      <c r="A3820" s="19" t="n">
        <v>1800</v>
      </c>
      <c r="B3820" s="20">
        <f>IF($N3820="","",INDEX(LdBDate,$N3820))</f>
        <v/>
      </c>
      <c r="C3820" s="20">
        <f>IF($N3820="","",IF(INDEX(LdBId,$N3820)="","—",INDEX(LdBId,$N3820)))</f>
        <v/>
      </c>
      <c r="D3820" s="20">
        <f>IF($N3820="","",INDEX(LdBMember,$N3820))</f>
        <v/>
      </c>
      <c r="E3820" s="20">
        <f>IF($N3820="","",IFERROR(IF(VLOOKUP(INDEX(LdBMember,$N3820),AcctTblE,4,0)="","(بدون نام)",VLOOKUP(INDEX(LdBMember,$N3820),AcctTblE,4,0)),"—"))</f>
        <v/>
      </c>
      <c r="F3820" s="21">
        <f>IF($N3820="","",IF(INDEX(LdBAmt,$N3820)=0,"",INDEX(LdBAmt,$N3820)))</f>
        <v/>
      </c>
      <c r="G3820" s="32">
        <f>IF($N3820="","",IF(INDEX(LdBNote,$N3820)="","—",INDEX(LdBNote,$N3820)))</f>
        <v/>
      </c>
      <c r="N3820">
        <f>IFERROR(MATCH($C$5&amp;"|"&amp;RIGHT("000000"&amp;1800,6),LdBKeyG,0),"")</f>
        <v/>
      </c>
    </row>
    <row r="3821">
      <c r="A3821" s="10" t="n">
        <v>1801</v>
      </c>
      <c r="B3821" s="14">
        <f>IF($N3821="","",INDEX(LdBDate,$N3821))</f>
        <v/>
      </c>
      <c r="C3821" s="14">
        <f>IF($N3821="","",IF(INDEX(LdBId,$N3821)="","—",INDEX(LdBId,$N3821)))</f>
        <v/>
      </c>
      <c r="D3821" s="14">
        <f>IF($N3821="","",INDEX(LdBMember,$N3821))</f>
        <v/>
      </c>
      <c r="E3821" s="14">
        <f>IF($N3821="","",IFERROR(IF(VLOOKUP(INDEX(LdBMember,$N3821),AcctTblE,4,0)="","(بدون نام)",VLOOKUP(INDEX(LdBMember,$N3821),AcctTblE,4,0)),"—"))</f>
        <v/>
      </c>
      <c r="F3821" s="16">
        <f>IF($N3821="","",IF(INDEX(LdBAmt,$N3821)=0,"",INDEX(LdBAmt,$N3821)))</f>
        <v/>
      </c>
      <c r="G3821" s="30">
        <f>IF($N3821="","",IF(INDEX(LdBNote,$N3821)="","—",INDEX(LdBNote,$N3821)))</f>
        <v/>
      </c>
      <c r="N3821">
        <f>IFERROR(MATCH($C$5&amp;"|"&amp;RIGHT("000000"&amp;1801,6),LdBKeyG,0),"")</f>
        <v/>
      </c>
    </row>
    <row r="3822">
      <c r="A3822" s="19" t="n">
        <v>1802</v>
      </c>
      <c r="B3822" s="20">
        <f>IF($N3822="","",INDEX(LdBDate,$N3822))</f>
        <v/>
      </c>
      <c r="C3822" s="20">
        <f>IF($N3822="","",IF(INDEX(LdBId,$N3822)="","—",INDEX(LdBId,$N3822)))</f>
        <v/>
      </c>
      <c r="D3822" s="20">
        <f>IF($N3822="","",INDEX(LdBMember,$N3822))</f>
        <v/>
      </c>
      <c r="E3822" s="20">
        <f>IF($N3822="","",IFERROR(IF(VLOOKUP(INDEX(LdBMember,$N3822),AcctTblE,4,0)="","(بدون نام)",VLOOKUP(INDEX(LdBMember,$N3822),AcctTblE,4,0)),"—"))</f>
        <v/>
      </c>
      <c r="F3822" s="21">
        <f>IF($N3822="","",IF(INDEX(LdBAmt,$N3822)=0,"",INDEX(LdBAmt,$N3822)))</f>
        <v/>
      </c>
      <c r="G3822" s="32">
        <f>IF($N3822="","",IF(INDEX(LdBNote,$N3822)="","—",INDEX(LdBNote,$N3822)))</f>
        <v/>
      </c>
      <c r="N3822">
        <f>IFERROR(MATCH($C$5&amp;"|"&amp;RIGHT("000000"&amp;1802,6),LdBKeyG,0),"")</f>
        <v/>
      </c>
    </row>
    <row r="3823">
      <c r="A3823" s="10" t="n">
        <v>1803</v>
      </c>
      <c r="B3823" s="14">
        <f>IF($N3823="","",INDEX(LdBDate,$N3823))</f>
        <v/>
      </c>
      <c r="C3823" s="14">
        <f>IF($N3823="","",IF(INDEX(LdBId,$N3823)="","—",INDEX(LdBId,$N3823)))</f>
        <v/>
      </c>
      <c r="D3823" s="14">
        <f>IF($N3823="","",INDEX(LdBMember,$N3823))</f>
        <v/>
      </c>
      <c r="E3823" s="14">
        <f>IF($N3823="","",IFERROR(IF(VLOOKUP(INDEX(LdBMember,$N3823),AcctTblE,4,0)="","(بدون نام)",VLOOKUP(INDEX(LdBMember,$N3823),AcctTblE,4,0)),"—"))</f>
        <v/>
      </c>
      <c r="F3823" s="16">
        <f>IF($N3823="","",IF(INDEX(LdBAmt,$N3823)=0,"",INDEX(LdBAmt,$N3823)))</f>
        <v/>
      </c>
      <c r="G3823" s="30">
        <f>IF($N3823="","",IF(INDEX(LdBNote,$N3823)="","—",INDEX(LdBNote,$N3823)))</f>
        <v/>
      </c>
      <c r="N3823">
        <f>IFERROR(MATCH($C$5&amp;"|"&amp;RIGHT("000000"&amp;1803,6),LdBKeyG,0),"")</f>
        <v/>
      </c>
    </row>
    <row r="3824">
      <c r="A3824" s="19" t="n">
        <v>1804</v>
      </c>
      <c r="B3824" s="20">
        <f>IF($N3824="","",INDEX(LdBDate,$N3824))</f>
        <v/>
      </c>
      <c r="C3824" s="20">
        <f>IF($N3824="","",IF(INDEX(LdBId,$N3824)="","—",INDEX(LdBId,$N3824)))</f>
        <v/>
      </c>
      <c r="D3824" s="20">
        <f>IF($N3824="","",INDEX(LdBMember,$N3824))</f>
        <v/>
      </c>
      <c r="E3824" s="20">
        <f>IF($N3824="","",IFERROR(IF(VLOOKUP(INDEX(LdBMember,$N3824),AcctTblE,4,0)="","(بدون نام)",VLOOKUP(INDEX(LdBMember,$N3824),AcctTblE,4,0)),"—"))</f>
        <v/>
      </c>
      <c r="F3824" s="21">
        <f>IF($N3824="","",IF(INDEX(LdBAmt,$N3824)=0,"",INDEX(LdBAmt,$N3824)))</f>
        <v/>
      </c>
      <c r="G3824" s="32">
        <f>IF($N3824="","",IF(INDEX(LdBNote,$N3824)="","—",INDEX(LdBNote,$N3824)))</f>
        <v/>
      </c>
      <c r="N3824">
        <f>IFERROR(MATCH($C$5&amp;"|"&amp;RIGHT("000000"&amp;1804,6),LdBKeyG,0),"")</f>
        <v/>
      </c>
    </row>
    <row r="3825">
      <c r="A3825" s="10" t="n">
        <v>1805</v>
      </c>
      <c r="B3825" s="14">
        <f>IF($N3825="","",INDEX(LdBDate,$N3825))</f>
        <v/>
      </c>
      <c r="C3825" s="14">
        <f>IF($N3825="","",IF(INDEX(LdBId,$N3825)="","—",INDEX(LdBId,$N3825)))</f>
        <v/>
      </c>
      <c r="D3825" s="14">
        <f>IF($N3825="","",INDEX(LdBMember,$N3825))</f>
        <v/>
      </c>
      <c r="E3825" s="14">
        <f>IF($N3825="","",IFERROR(IF(VLOOKUP(INDEX(LdBMember,$N3825),AcctTblE,4,0)="","(بدون نام)",VLOOKUP(INDEX(LdBMember,$N3825),AcctTblE,4,0)),"—"))</f>
        <v/>
      </c>
      <c r="F3825" s="16">
        <f>IF($N3825="","",IF(INDEX(LdBAmt,$N3825)=0,"",INDEX(LdBAmt,$N3825)))</f>
        <v/>
      </c>
      <c r="G3825" s="30">
        <f>IF($N3825="","",IF(INDEX(LdBNote,$N3825)="","—",INDEX(LdBNote,$N3825)))</f>
        <v/>
      </c>
      <c r="N3825">
        <f>IFERROR(MATCH($C$5&amp;"|"&amp;RIGHT("000000"&amp;1805,6),LdBKeyG,0),"")</f>
        <v/>
      </c>
    </row>
    <row r="3826">
      <c r="A3826" s="19" t="n">
        <v>1806</v>
      </c>
      <c r="B3826" s="20">
        <f>IF($N3826="","",INDEX(LdBDate,$N3826))</f>
        <v/>
      </c>
      <c r="C3826" s="20">
        <f>IF($N3826="","",IF(INDEX(LdBId,$N3826)="","—",INDEX(LdBId,$N3826)))</f>
        <v/>
      </c>
      <c r="D3826" s="20">
        <f>IF($N3826="","",INDEX(LdBMember,$N3826))</f>
        <v/>
      </c>
      <c r="E3826" s="20">
        <f>IF($N3826="","",IFERROR(IF(VLOOKUP(INDEX(LdBMember,$N3826),AcctTblE,4,0)="","(بدون نام)",VLOOKUP(INDEX(LdBMember,$N3826),AcctTblE,4,0)),"—"))</f>
        <v/>
      </c>
      <c r="F3826" s="21">
        <f>IF($N3826="","",IF(INDEX(LdBAmt,$N3826)=0,"",INDEX(LdBAmt,$N3826)))</f>
        <v/>
      </c>
      <c r="G3826" s="32">
        <f>IF($N3826="","",IF(INDEX(LdBNote,$N3826)="","—",INDEX(LdBNote,$N3826)))</f>
        <v/>
      </c>
      <c r="N3826">
        <f>IFERROR(MATCH($C$5&amp;"|"&amp;RIGHT("000000"&amp;1806,6),LdBKeyG,0),"")</f>
        <v/>
      </c>
    </row>
    <row r="3827">
      <c r="A3827" s="10" t="n">
        <v>1807</v>
      </c>
      <c r="B3827" s="14">
        <f>IF($N3827="","",INDEX(LdBDate,$N3827))</f>
        <v/>
      </c>
      <c r="C3827" s="14">
        <f>IF($N3827="","",IF(INDEX(LdBId,$N3827)="","—",INDEX(LdBId,$N3827)))</f>
        <v/>
      </c>
      <c r="D3827" s="14">
        <f>IF($N3827="","",INDEX(LdBMember,$N3827))</f>
        <v/>
      </c>
      <c r="E3827" s="14">
        <f>IF($N3827="","",IFERROR(IF(VLOOKUP(INDEX(LdBMember,$N3827),AcctTblE,4,0)="","(بدون نام)",VLOOKUP(INDEX(LdBMember,$N3827),AcctTblE,4,0)),"—"))</f>
        <v/>
      </c>
      <c r="F3827" s="16">
        <f>IF($N3827="","",IF(INDEX(LdBAmt,$N3827)=0,"",INDEX(LdBAmt,$N3827)))</f>
        <v/>
      </c>
      <c r="G3827" s="30">
        <f>IF($N3827="","",IF(INDEX(LdBNote,$N3827)="","—",INDEX(LdBNote,$N3827)))</f>
        <v/>
      </c>
      <c r="N3827">
        <f>IFERROR(MATCH($C$5&amp;"|"&amp;RIGHT("000000"&amp;1807,6),LdBKeyG,0),"")</f>
        <v/>
      </c>
    </row>
    <row r="3828">
      <c r="A3828" s="19" t="n">
        <v>1808</v>
      </c>
      <c r="B3828" s="20">
        <f>IF($N3828="","",INDEX(LdBDate,$N3828))</f>
        <v/>
      </c>
      <c r="C3828" s="20">
        <f>IF($N3828="","",IF(INDEX(LdBId,$N3828)="","—",INDEX(LdBId,$N3828)))</f>
        <v/>
      </c>
      <c r="D3828" s="20">
        <f>IF($N3828="","",INDEX(LdBMember,$N3828))</f>
        <v/>
      </c>
      <c r="E3828" s="20">
        <f>IF($N3828="","",IFERROR(IF(VLOOKUP(INDEX(LdBMember,$N3828),AcctTblE,4,0)="","(بدون نام)",VLOOKUP(INDEX(LdBMember,$N3828),AcctTblE,4,0)),"—"))</f>
        <v/>
      </c>
      <c r="F3828" s="21">
        <f>IF($N3828="","",IF(INDEX(LdBAmt,$N3828)=0,"",INDEX(LdBAmt,$N3828)))</f>
        <v/>
      </c>
      <c r="G3828" s="32">
        <f>IF($N3828="","",IF(INDEX(LdBNote,$N3828)="","—",INDEX(LdBNote,$N3828)))</f>
        <v/>
      </c>
      <c r="N3828">
        <f>IFERROR(MATCH($C$5&amp;"|"&amp;RIGHT("000000"&amp;1808,6),LdBKeyG,0),"")</f>
        <v/>
      </c>
    </row>
    <row r="3829">
      <c r="A3829" s="10" t="n">
        <v>1809</v>
      </c>
      <c r="B3829" s="14">
        <f>IF($N3829="","",INDEX(LdBDate,$N3829))</f>
        <v/>
      </c>
      <c r="C3829" s="14">
        <f>IF($N3829="","",IF(INDEX(LdBId,$N3829)="","—",INDEX(LdBId,$N3829)))</f>
        <v/>
      </c>
      <c r="D3829" s="14">
        <f>IF($N3829="","",INDEX(LdBMember,$N3829))</f>
        <v/>
      </c>
      <c r="E3829" s="14">
        <f>IF($N3829="","",IFERROR(IF(VLOOKUP(INDEX(LdBMember,$N3829),AcctTblE,4,0)="","(بدون نام)",VLOOKUP(INDEX(LdBMember,$N3829),AcctTblE,4,0)),"—"))</f>
        <v/>
      </c>
      <c r="F3829" s="16">
        <f>IF($N3829="","",IF(INDEX(LdBAmt,$N3829)=0,"",INDEX(LdBAmt,$N3829)))</f>
        <v/>
      </c>
      <c r="G3829" s="30">
        <f>IF($N3829="","",IF(INDEX(LdBNote,$N3829)="","—",INDEX(LdBNote,$N3829)))</f>
        <v/>
      </c>
      <c r="N3829">
        <f>IFERROR(MATCH($C$5&amp;"|"&amp;RIGHT("000000"&amp;1809,6),LdBKeyG,0),"")</f>
        <v/>
      </c>
    </row>
    <row r="3830">
      <c r="A3830" s="19" t="n">
        <v>1810</v>
      </c>
      <c r="B3830" s="20">
        <f>IF($N3830="","",INDEX(LdBDate,$N3830))</f>
        <v/>
      </c>
      <c r="C3830" s="20">
        <f>IF($N3830="","",IF(INDEX(LdBId,$N3830)="","—",INDEX(LdBId,$N3830)))</f>
        <v/>
      </c>
      <c r="D3830" s="20">
        <f>IF($N3830="","",INDEX(LdBMember,$N3830))</f>
        <v/>
      </c>
      <c r="E3830" s="20">
        <f>IF($N3830="","",IFERROR(IF(VLOOKUP(INDEX(LdBMember,$N3830),AcctTblE,4,0)="","(بدون نام)",VLOOKUP(INDEX(LdBMember,$N3830),AcctTblE,4,0)),"—"))</f>
        <v/>
      </c>
      <c r="F3830" s="21">
        <f>IF($N3830="","",IF(INDEX(LdBAmt,$N3830)=0,"",INDEX(LdBAmt,$N3830)))</f>
        <v/>
      </c>
      <c r="G3830" s="32">
        <f>IF($N3830="","",IF(INDEX(LdBNote,$N3830)="","—",INDEX(LdBNote,$N3830)))</f>
        <v/>
      </c>
      <c r="N3830">
        <f>IFERROR(MATCH($C$5&amp;"|"&amp;RIGHT("000000"&amp;1810,6),LdBKeyG,0),"")</f>
        <v/>
      </c>
    </row>
    <row r="3831">
      <c r="A3831" s="10" t="n">
        <v>1811</v>
      </c>
      <c r="B3831" s="14">
        <f>IF($N3831="","",INDEX(LdBDate,$N3831))</f>
        <v/>
      </c>
      <c r="C3831" s="14">
        <f>IF($N3831="","",IF(INDEX(LdBId,$N3831)="","—",INDEX(LdBId,$N3831)))</f>
        <v/>
      </c>
      <c r="D3831" s="14">
        <f>IF($N3831="","",INDEX(LdBMember,$N3831))</f>
        <v/>
      </c>
      <c r="E3831" s="14">
        <f>IF($N3831="","",IFERROR(IF(VLOOKUP(INDEX(LdBMember,$N3831),AcctTblE,4,0)="","(بدون نام)",VLOOKUP(INDEX(LdBMember,$N3831),AcctTblE,4,0)),"—"))</f>
        <v/>
      </c>
      <c r="F3831" s="16">
        <f>IF($N3831="","",IF(INDEX(LdBAmt,$N3831)=0,"",INDEX(LdBAmt,$N3831)))</f>
        <v/>
      </c>
      <c r="G3831" s="30">
        <f>IF($N3831="","",IF(INDEX(LdBNote,$N3831)="","—",INDEX(LdBNote,$N3831)))</f>
        <v/>
      </c>
      <c r="N3831">
        <f>IFERROR(MATCH($C$5&amp;"|"&amp;RIGHT("000000"&amp;1811,6),LdBKeyG,0),"")</f>
        <v/>
      </c>
    </row>
    <row r="3832">
      <c r="A3832" s="19" t="n">
        <v>1812</v>
      </c>
      <c r="B3832" s="20">
        <f>IF($N3832="","",INDEX(LdBDate,$N3832))</f>
        <v/>
      </c>
      <c r="C3832" s="20">
        <f>IF($N3832="","",IF(INDEX(LdBId,$N3832)="","—",INDEX(LdBId,$N3832)))</f>
        <v/>
      </c>
      <c r="D3832" s="20">
        <f>IF($N3832="","",INDEX(LdBMember,$N3832))</f>
        <v/>
      </c>
      <c r="E3832" s="20">
        <f>IF($N3832="","",IFERROR(IF(VLOOKUP(INDEX(LdBMember,$N3832),AcctTblE,4,0)="","(بدون نام)",VLOOKUP(INDEX(LdBMember,$N3832),AcctTblE,4,0)),"—"))</f>
        <v/>
      </c>
      <c r="F3832" s="21">
        <f>IF($N3832="","",IF(INDEX(LdBAmt,$N3832)=0,"",INDEX(LdBAmt,$N3832)))</f>
        <v/>
      </c>
      <c r="G3832" s="32">
        <f>IF($N3832="","",IF(INDEX(LdBNote,$N3832)="","—",INDEX(LdBNote,$N3832)))</f>
        <v/>
      </c>
      <c r="N3832">
        <f>IFERROR(MATCH($C$5&amp;"|"&amp;RIGHT("000000"&amp;1812,6),LdBKeyG,0),"")</f>
        <v/>
      </c>
    </row>
    <row r="3833">
      <c r="A3833" s="10" t="n">
        <v>1813</v>
      </c>
      <c r="B3833" s="14">
        <f>IF($N3833="","",INDEX(LdBDate,$N3833))</f>
        <v/>
      </c>
      <c r="C3833" s="14">
        <f>IF($N3833="","",IF(INDEX(LdBId,$N3833)="","—",INDEX(LdBId,$N3833)))</f>
        <v/>
      </c>
      <c r="D3833" s="14">
        <f>IF($N3833="","",INDEX(LdBMember,$N3833))</f>
        <v/>
      </c>
      <c r="E3833" s="14">
        <f>IF($N3833="","",IFERROR(IF(VLOOKUP(INDEX(LdBMember,$N3833),AcctTblE,4,0)="","(بدون نام)",VLOOKUP(INDEX(LdBMember,$N3833),AcctTblE,4,0)),"—"))</f>
        <v/>
      </c>
      <c r="F3833" s="16">
        <f>IF($N3833="","",IF(INDEX(LdBAmt,$N3833)=0,"",INDEX(LdBAmt,$N3833)))</f>
        <v/>
      </c>
      <c r="G3833" s="30">
        <f>IF($N3833="","",IF(INDEX(LdBNote,$N3833)="","—",INDEX(LdBNote,$N3833)))</f>
        <v/>
      </c>
      <c r="N3833">
        <f>IFERROR(MATCH($C$5&amp;"|"&amp;RIGHT("000000"&amp;1813,6),LdBKeyG,0),"")</f>
        <v/>
      </c>
    </row>
    <row r="3834">
      <c r="A3834" s="19" t="n">
        <v>1814</v>
      </c>
      <c r="B3834" s="20">
        <f>IF($N3834="","",INDEX(LdBDate,$N3834))</f>
        <v/>
      </c>
      <c r="C3834" s="20">
        <f>IF($N3834="","",IF(INDEX(LdBId,$N3834)="","—",INDEX(LdBId,$N3834)))</f>
        <v/>
      </c>
      <c r="D3834" s="20">
        <f>IF($N3834="","",INDEX(LdBMember,$N3834))</f>
        <v/>
      </c>
      <c r="E3834" s="20">
        <f>IF($N3834="","",IFERROR(IF(VLOOKUP(INDEX(LdBMember,$N3834),AcctTblE,4,0)="","(بدون نام)",VLOOKUP(INDEX(LdBMember,$N3834),AcctTblE,4,0)),"—"))</f>
        <v/>
      </c>
      <c r="F3834" s="21">
        <f>IF($N3834="","",IF(INDEX(LdBAmt,$N3834)=0,"",INDEX(LdBAmt,$N3834)))</f>
        <v/>
      </c>
      <c r="G3834" s="32">
        <f>IF($N3834="","",IF(INDEX(LdBNote,$N3834)="","—",INDEX(LdBNote,$N3834)))</f>
        <v/>
      </c>
      <c r="N3834">
        <f>IFERROR(MATCH($C$5&amp;"|"&amp;RIGHT("000000"&amp;1814,6),LdBKeyG,0),"")</f>
        <v/>
      </c>
    </row>
    <row r="3835">
      <c r="A3835" s="10" t="n">
        <v>1815</v>
      </c>
      <c r="B3835" s="14">
        <f>IF($N3835="","",INDEX(LdBDate,$N3835))</f>
        <v/>
      </c>
      <c r="C3835" s="14">
        <f>IF($N3835="","",IF(INDEX(LdBId,$N3835)="","—",INDEX(LdBId,$N3835)))</f>
        <v/>
      </c>
      <c r="D3835" s="14">
        <f>IF($N3835="","",INDEX(LdBMember,$N3835))</f>
        <v/>
      </c>
      <c r="E3835" s="14">
        <f>IF($N3835="","",IFERROR(IF(VLOOKUP(INDEX(LdBMember,$N3835),AcctTblE,4,0)="","(بدون نام)",VLOOKUP(INDEX(LdBMember,$N3835),AcctTblE,4,0)),"—"))</f>
        <v/>
      </c>
      <c r="F3835" s="16">
        <f>IF($N3835="","",IF(INDEX(LdBAmt,$N3835)=0,"",INDEX(LdBAmt,$N3835)))</f>
        <v/>
      </c>
      <c r="G3835" s="30">
        <f>IF($N3835="","",IF(INDEX(LdBNote,$N3835)="","—",INDEX(LdBNote,$N3835)))</f>
        <v/>
      </c>
      <c r="N3835">
        <f>IFERROR(MATCH($C$5&amp;"|"&amp;RIGHT("000000"&amp;1815,6),LdBKeyG,0),"")</f>
        <v/>
      </c>
    </row>
    <row r="3836">
      <c r="A3836" s="19" t="n">
        <v>1816</v>
      </c>
      <c r="B3836" s="20">
        <f>IF($N3836="","",INDEX(LdBDate,$N3836))</f>
        <v/>
      </c>
      <c r="C3836" s="20">
        <f>IF($N3836="","",IF(INDEX(LdBId,$N3836)="","—",INDEX(LdBId,$N3836)))</f>
        <v/>
      </c>
      <c r="D3836" s="20">
        <f>IF($N3836="","",INDEX(LdBMember,$N3836))</f>
        <v/>
      </c>
      <c r="E3836" s="20">
        <f>IF($N3836="","",IFERROR(IF(VLOOKUP(INDEX(LdBMember,$N3836),AcctTblE,4,0)="","(بدون نام)",VLOOKUP(INDEX(LdBMember,$N3836),AcctTblE,4,0)),"—"))</f>
        <v/>
      </c>
      <c r="F3836" s="21">
        <f>IF($N3836="","",IF(INDEX(LdBAmt,$N3836)=0,"",INDEX(LdBAmt,$N3836)))</f>
        <v/>
      </c>
      <c r="G3836" s="32">
        <f>IF($N3836="","",IF(INDEX(LdBNote,$N3836)="","—",INDEX(LdBNote,$N3836)))</f>
        <v/>
      </c>
      <c r="N3836">
        <f>IFERROR(MATCH($C$5&amp;"|"&amp;RIGHT("000000"&amp;1816,6),LdBKeyG,0),"")</f>
        <v/>
      </c>
    </row>
    <row r="3837">
      <c r="A3837" s="10" t="n">
        <v>1817</v>
      </c>
      <c r="B3837" s="14">
        <f>IF($N3837="","",INDEX(LdBDate,$N3837))</f>
        <v/>
      </c>
      <c r="C3837" s="14">
        <f>IF($N3837="","",IF(INDEX(LdBId,$N3837)="","—",INDEX(LdBId,$N3837)))</f>
        <v/>
      </c>
      <c r="D3837" s="14">
        <f>IF($N3837="","",INDEX(LdBMember,$N3837))</f>
        <v/>
      </c>
      <c r="E3837" s="14">
        <f>IF($N3837="","",IFERROR(IF(VLOOKUP(INDEX(LdBMember,$N3837),AcctTblE,4,0)="","(بدون نام)",VLOOKUP(INDEX(LdBMember,$N3837),AcctTblE,4,0)),"—"))</f>
        <v/>
      </c>
      <c r="F3837" s="16">
        <f>IF($N3837="","",IF(INDEX(LdBAmt,$N3837)=0,"",INDEX(LdBAmt,$N3837)))</f>
        <v/>
      </c>
      <c r="G3837" s="30">
        <f>IF($N3837="","",IF(INDEX(LdBNote,$N3837)="","—",INDEX(LdBNote,$N3837)))</f>
        <v/>
      </c>
      <c r="N3837">
        <f>IFERROR(MATCH($C$5&amp;"|"&amp;RIGHT("000000"&amp;1817,6),LdBKeyG,0),"")</f>
        <v/>
      </c>
    </row>
    <row r="3838">
      <c r="A3838" s="19" t="n">
        <v>1818</v>
      </c>
      <c r="B3838" s="20">
        <f>IF($N3838="","",INDEX(LdBDate,$N3838))</f>
        <v/>
      </c>
      <c r="C3838" s="20">
        <f>IF($N3838="","",IF(INDEX(LdBId,$N3838)="","—",INDEX(LdBId,$N3838)))</f>
        <v/>
      </c>
      <c r="D3838" s="20">
        <f>IF($N3838="","",INDEX(LdBMember,$N3838))</f>
        <v/>
      </c>
      <c r="E3838" s="20">
        <f>IF($N3838="","",IFERROR(IF(VLOOKUP(INDEX(LdBMember,$N3838),AcctTblE,4,0)="","(بدون نام)",VLOOKUP(INDEX(LdBMember,$N3838),AcctTblE,4,0)),"—"))</f>
        <v/>
      </c>
      <c r="F3838" s="21">
        <f>IF($N3838="","",IF(INDEX(LdBAmt,$N3838)=0,"",INDEX(LdBAmt,$N3838)))</f>
        <v/>
      </c>
      <c r="G3838" s="32">
        <f>IF($N3838="","",IF(INDEX(LdBNote,$N3838)="","—",INDEX(LdBNote,$N3838)))</f>
        <v/>
      </c>
      <c r="N3838">
        <f>IFERROR(MATCH($C$5&amp;"|"&amp;RIGHT("000000"&amp;1818,6),LdBKeyG,0),"")</f>
        <v/>
      </c>
    </row>
    <row r="3839">
      <c r="A3839" s="10" t="n">
        <v>1819</v>
      </c>
      <c r="B3839" s="14">
        <f>IF($N3839="","",INDEX(LdBDate,$N3839))</f>
        <v/>
      </c>
      <c r="C3839" s="14">
        <f>IF($N3839="","",IF(INDEX(LdBId,$N3839)="","—",INDEX(LdBId,$N3839)))</f>
        <v/>
      </c>
      <c r="D3839" s="14">
        <f>IF($N3839="","",INDEX(LdBMember,$N3839))</f>
        <v/>
      </c>
      <c r="E3839" s="14">
        <f>IF($N3839="","",IFERROR(IF(VLOOKUP(INDEX(LdBMember,$N3839),AcctTblE,4,0)="","(بدون نام)",VLOOKUP(INDEX(LdBMember,$N3839),AcctTblE,4,0)),"—"))</f>
        <v/>
      </c>
      <c r="F3839" s="16">
        <f>IF($N3839="","",IF(INDEX(LdBAmt,$N3839)=0,"",INDEX(LdBAmt,$N3839)))</f>
        <v/>
      </c>
      <c r="G3839" s="30">
        <f>IF($N3839="","",IF(INDEX(LdBNote,$N3839)="","—",INDEX(LdBNote,$N3839)))</f>
        <v/>
      </c>
      <c r="N3839">
        <f>IFERROR(MATCH($C$5&amp;"|"&amp;RIGHT("000000"&amp;1819,6),LdBKeyG,0),"")</f>
        <v/>
      </c>
    </row>
    <row r="3840">
      <c r="A3840" s="19" t="n">
        <v>1820</v>
      </c>
      <c r="B3840" s="20">
        <f>IF($N3840="","",INDEX(LdBDate,$N3840))</f>
        <v/>
      </c>
      <c r="C3840" s="20">
        <f>IF($N3840="","",IF(INDEX(LdBId,$N3840)="","—",INDEX(LdBId,$N3840)))</f>
        <v/>
      </c>
      <c r="D3840" s="20">
        <f>IF($N3840="","",INDEX(LdBMember,$N3840))</f>
        <v/>
      </c>
      <c r="E3840" s="20">
        <f>IF($N3840="","",IFERROR(IF(VLOOKUP(INDEX(LdBMember,$N3840),AcctTblE,4,0)="","(بدون نام)",VLOOKUP(INDEX(LdBMember,$N3840),AcctTblE,4,0)),"—"))</f>
        <v/>
      </c>
      <c r="F3840" s="21">
        <f>IF($N3840="","",IF(INDEX(LdBAmt,$N3840)=0,"",INDEX(LdBAmt,$N3840)))</f>
        <v/>
      </c>
      <c r="G3840" s="32">
        <f>IF($N3840="","",IF(INDEX(LdBNote,$N3840)="","—",INDEX(LdBNote,$N3840)))</f>
        <v/>
      </c>
      <c r="N3840">
        <f>IFERROR(MATCH($C$5&amp;"|"&amp;RIGHT("000000"&amp;1820,6),LdBKeyG,0),"")</f>
        <v/>
      </c>
    </row>
    <row r="3841">
      <c r="A3841" s="10" t="n">
        <v>1821</v>
      </c>
      <c r="B3841" s="14">
        <f>IF($N3841="","",INDEX(LdBDate,$N3841))</f>
        <v/>
      </c>
      <c r="C3841" s="14">
        <f>IF($N3841="","",IF(INDEX(LdBId,$N3841)="","—",INDEX(LdBId,$N3841)))</f>
        <v/>
      </c>
      <c r="D3841" s="14">
        <f>IF($N3841="","",INDEX(LdBMember,$N3841))</f>
        <v/>
      </c>
      <c r="E3841" s="14">
        <f>IF($N3841="","",IFERROR(IF(VLOOKUP(INDEX(LdBMember,$N3841),AcctTblE,4,0)="","(بدون نام)",VLOOKUP(INDEX(LdBMember,$N3841),AcctTblE,4,0)),"—"))</f>
        <v/>
      </c>
      <c r="F3841" s="16">
        <f>IF($N3841="","",IF(INDEX(LdBAmt,$N3841)=0,"",INDEX(LdBAmt,$N3841)))</f>
        <v/>
      </c>
      <c r="G3841" s="30">
        <f>IF($N3841="","",IF(INDEX(LdBNote,$N3841)="","—",INDEX(LdBNote,$N3841)))</f>
        <v/>
      </c>
      <c r="N3841">
        <f>IFERROR(MATCH($C$5&amp;"|"&amp;RIGHT("000000"&amp;1821,6),LdBKeyG,0),"")</f>
        <v/>
      </c>
    </row>
    <row r="3842">
      <c r="A3842" s="19" t="n">
        <v>1822</v>
      </c>
      <c r="B3842" s="20">
        <f>IF($N3842="","",INDEX(LdBDate,$N3842))</f>
        <v/>
      </c>
      <c r="C3842" s="20">
        <f>IF($N3842="","",IF(INDEX(LdBId,$N3842)="","—",INDEX(LdBId,$N3842)))</f>
        <v/>
      </c>
      <c r="D3842" s="20">
        <f>IF($N3842="","",INDEX(LdBMember,$N3842))</f>
        <v/>
      </c>
      <c r="E3842" s="20">
        <f>IF($N3842="","",IFERROR(IF(VLOOKUP(INDEX(LdBMember,$N3842),AcctTblE,4,0)="","(بدون نام)",VLOOKUP(INDEX(LdBMember,$N3842),AcctTblE,4,0)),"—"))</f>
        <v/>
      </c>
      <c r="F3842" s="21">
        <f>IF($N3842="","",IF(INDEX(LdBAmt,$N3842)=0,"",INDEX(LdBAmt,$N3842)))</f>
        <v/>
      </c>
      <c r="G3842" s="32">
        <f>IF($N3842="","",IF(INDEX(LdBNote,$N3842)="","—",INDEX(LdBNote,$N3842)))</f>
        <v/>
      </c>
      <c r="N3842">
        <f>IFERROR(MATCH($C$5&amp;"|"&amp;RIGHT("000000"&amp;1822,6),LdBKeyG,0),"")</f>
        <v/>
      </c>
    </row>
    <row r="3843">
      <c r="A3843" s="10" t="n">
        <v>1823</v>
      </c>
      <c r="B3843" s="14">
        <f>IF($N3843="","",INDEX(LdBDate,$N3843))</f>
        <v/>
      </c>
      <c r="C3843" s="14">
        <f>IF($N3843="","",IF(INDEX(LdBId,$N3843)="","—",INDEX(LdBId,$N3843)))</f>
        <v/>
      </c>
      <c r="D3843" s="14">
        <f>IF($N3843="","",INDEX(LdBMember,$N3843))</f>
        <v/>
      </c>
      <c r="E3843" s="14">
        <f>IF($N3843="","",IFERROR(IF(VLOOKUP(INDEX(LdBMember,$N3843),AcctTblE,4,0)="","(بدون نام)",VLOOKUP(INDEX(LdBMember,$N3843),AcctTblE,4,0)),"—"))</f>
        <v/>
      </c>
      <c r="F3843" s="16">
        <f>IF($N3843="","",IF(INDEX(LdBAmt,$N3843)=0,"",INDEX(LdBAmt,$N3843)))</f>
        <v/>
      </c>
      <c r="G3843" s="30">
        <f>IF($N3843="","",IF(INDEX(LdBNote,$N3843)="","—",INDEX(LdBNote,$N3843)))</f>
        <v/>
      </c>
      <c r="N3843">
        <f>IFERROR(MATCH($C$5&amp;"|"&amp;RIGHT("000000"&amp;1823,6),LdBKeyG,0),"")</f>
        <v/>
      </c>
    </row>
    <row r="3844">
      <c r="A3844" s="19" t="n">
        <v>1824</v>
      </c>
      <c r="B3844" s="20">
        <f>IF($N3844="","",INDEX(LdBDate,$N3844))</f>
        <v/>
      </c>
      <c r="C3844" s="20">
        <f>IF($N3844="","",IF(INDEX(LdBId,$N3844)="","—",INDEX(LdBId,$N3844)))</f>
        <v/>
      </c>
      <c r="D3844" s="20">
        <f>IF($N3844="","",INDEX(LdBMember,$N3844))</f>
        <v/>
      </c>
      <c r="E3844" s="20">
        <f>IF($N3844="","",IFERROR(IF(VLOOKUP(INDEX(LdBMember,$N3844),AcctTblE,4,0)="","(بدون نام)",VLOOKUP(INDEX(LdBMember,$N3844),AcctTblE,4,0)),"—"))</f>
        <v/>
      </c>
      <c r="F3844" s="21">
        <f>IF($N3844="","",IF(INDEX(LdBAmt,$N3844)=0,"",INDEX(LdBAmt,$N3844)))</f>
        <v/>
      </c>
      <c r="G3844" s="32">
        <f>IF($N3844="","",IF(INDEX(LdBNote,$N3844)="","—",INDEX(LdBNote,$N3844)))</f>
        <v/>
      </c>
      <c r="N3844">
        <f>IFERROR(MATCH($C$5&amp;"|"&amp;RIGHT("000000"&amp;1824,6),LdBKeyG,0),"")</f>
        <v/>
      </c>
    </row>
    <row r="3845">
      <c r="A3845" s="10" t="n">
        <v>1825</v>
      </c>
      <c r="B3845" s="14">
        <f>IF($N3845="","",INDEX(LdBDate,$N3845))</f>
        <v/>
      </c>
      <c r="C3845" s="14">
        <f>IF($N3845="","",IF(INDEX(LdBId,$N3845)="","—",INDEX(LdBId,$N3845)))</f>
        <v/>
      </c>
      <c r="D3845" s="14">
        <f>IF($N3845="","",INDEX(LdBMember,$N3845))</f>
        <v/>
      </c>
      <c r="E3845" s="14">
        <f>IF($N3845="","",IFERROR(IF(VLOOKUP(INDEX(LdBMember,$N3845),AcctTblE,4,0)="","(بدون نام)",VLOOKUP(INDEX(LdBMember,$N3845),AcctTblE,4,0)),"—"))</f>
        <v/>
      </c>
      <c r="F3845" s="16">
        <f>IF($N3845="","",IF(INDEX(LdBAmt,$N3845)=0,"",INDEX(LdBAmt,$N3845)))</f>
        <v/>
      </c>
      <c r="G3845" s="30">
        <f>IF($N3845="","",IF(INDEX(LdBNote,$N3845)="","—",INDEX(LdBNote,$N3845)))</f>
        <v/>
      </c>
      <c r="N3845">
        <f>IFERROR(MATCH($C$5&amp;"|"&amp;RIGHT("000000"&amp;1825,6),LdBKeyG,0),"")</f>
        <v/>
      </c>
    </row>
    <row r="3846">
      <c r="A3846" s="19" t="n">
        <v>1826</v>
      </c>
      <c r="B3846" s="20">
        <f>IF($N3846="","",INDEX(LdBDate,$N3846))</f>
        <v/>
      </c>
      <c r="C3846" s="20">
        <f>IF($N3846="","",IF(INDEX(LdBId,$N3846)="","—",INDEX(LdBId,$N3846)))</f>
        <v/>
      </c>
      <c r="D3846" s="20">
        <f>IF($N3846="","",INDEX(LdBMember,$N3846))</f>
        <v/>
      </c>
      <c r="E3846" s="20">
        <f>IF($N3846="","",IFERROR(IF(VLOOKUP(INDEX(LdBMember,$N3846),AcctTblE,4,0)="","(بدون نام)",VLOOKUP(INDEX(LdBMember,$N3846),AcctTblE,4,0)),"—"))</f>
        <v/>
      </c>
      <c r="F3846" s="21">
        <f>IF($N3846="","",IF(INDEX(LdBAmt,$N3846)=0,"",INDEX(LdBAmt,$N3846)))</f>
        <v/>
      </c>
      <c r="G3846" s="32">
        <f>IF($N3846="","",IF(INDEX(LdBNote,$N3846)="","—",INDEX(LdBNote,$N3846)))</f>
        <v/>
      </c>
      <c r="N3846">
        <f>IFERROR(MATCH($C$5&amp;"|"&amp;RIGHT("000000"&amp;1826,6),LdBKeyG,0),"")</f>
        <v/>
      </c>
    </row>
    <row r="3847">
      <c r="A3847" s="10" t="n">
        <v>1827</v>
      </c>
      <c r="B3847" s="14">
        <f>IF($N3847="","",INDEX(LdBDate,$N3847))</f>
        <v/>
      </c>
      <c r="C3847" s="14">
        <f>IF($N3847="","",IF(INDEX(LdBId,$N3847)="","—",INDEX(LdBId,$N3847)))</f>
        <v/>
      </c>
      <c r="D3847" s="14">
        <f>IF($N3847="","",INDEX(LdBMember,$N3847))</f>
        <v/>
      </c>
      <c r="E3847" s="14">
        <f>IF($N3847="","",IFERROR(IF(VLOOKUP(INDEX(LdBMember,$N3847),AcctTblE,4,0)="","(بدون نام)",VLOOKUP(INDEX(LdBMember,$N3847),AcctTblE,4,0)),"—"))</f>
        <v/>
      </c>
      <c r="F3847" s="16">
        <f>IF($N3847="","",IF(INDEX(LdBAmt,$N3847)=0,"",INDEX(LdBAmt,$N3847)))</f>
        <v/>
      </c>
      <c r="G3847" s="30">
        <f>IF($N3847="","",IF(INDEX(LdBNote,$N3847)="","—",INDEX(LdBNote,$N3847)))</f>
        <v/>
      </c>
      <c r="N3847">
        <f>IFERROR(MATCH($C$5&amp;"|"&amp;RIGHT("000000"&amp;1827,6),LdBKeyG,0),"")</f>
        <v/>
      </c>
    </row>
    <row r="3848">
      <c r="A3848" s="19" t="n">
        <v>1828</v>
      </c>
      <c r="B3848" s="20">
        <f>IF($N3848="","",INDEX(LdBDate,$N3848))</f>
        <v/>
      </c>
      <c r="C3848" s="20">
        <f>IF($N3848="","",IF(INDEX(LdBId,$N3848)="","—",INDEX(LdBId,$N3848)))</f>
        <v/>
      </c>
      <c r="D3848" s="20">
        <f>IF($N3848="","",INDEX(LdBMember,$N3848))</f>
        <v/>
      </c>
      <c r="E3848" s="20">
        <f>IF($N3848="","",IFERROR(IF(VLOOKUP(INDEX(LdBMember,$N3848),AcctTblE,4,0)="","(بدون نام)",VLOOKUP(INDEX(LdBMember,$N3848),AcctTblE,4,0)),"—"))</f>
        <v/>
      </c>
      <c r="F3848" s="21">
        <f>IF($N3848="","",IF(INDEX(LdBAmt,$N3848)=0,"",INDEX(LdBAmt,$N3848)))</f>
        <v/>
      </c>
      <c r="G3848" s="32">
        <f>IF($N3848="","",IF(INDEX(LdBNote,$N3848)="","—",INDEX(LdBNote,$N3848)))</f>
        <v/>
      </c>
      <c r="N3848">
        <f>IFERROR(MATCH($C$5&amp;"|"&amp;RIGHT("000000"&amp;1828,6),LdBKeyG,0),"")</f>
        <v/>
      </c>
    </row>
    <row r="3849">
      <c r="A3849" s="10" t="n">
        <v>1829</v>
      </c>
      <c r="B3849" s="14">
        <f>IF($N3849="","",INDEX(LdBDate,$N3849))</f>
        <v/>
      </c>
      <c r="C3849" s="14">
        <f>IF($N3849="","",IF(INDEX(LdBId,$N3849)="","—",INDEX(LdBId,$N3849)))</f>
        <v/>
      </c>
      <c r="D3849" s="14">
        <f>IF($N3849="","",INDEX(LdBMember,$N3849))</f>
        <v/>
      </c>
      <c r="E3849" s="14">
        <f>IF($N3849="","",IFERROR(IF(VLOOKUP(INDEX(LdBMember,$N3849),AcctTblE,4,0)="","(بدون نام)",VLOOKUP(INDEX(LdBMember,$N3849),AcctTblE,4,0)),"—"))</f>
        <v/>
      </c>
      <c r="F3849" s="16">
        <f>IF($N3849="","",IF(INDEX(LdBAmt,$N3849)=0,"",INDEX(LdBAmt,$N3849)))</f>
        <v/>
      </c>
      <c r="G3849" s="30">
        <f>IF($N3849="","",IF(INDEX(LdBNote,$N3849)="","—",INDEX(LdBNote,$N3849)))</f>
        <v/>
      </c>
      <c r="N3849">
        <f>IFERROR(MATCH($C$5&amp;"|"&amp;RIGHT("000000"&amp;1829,6),LdBKeyG,0),"")</f>
        <v/>
      </c>
    </row>
    <row r="3850">
      <c r="A3850" s="19" t="n">
        <v>1830</v>
      </c>
      <c r="B3850" s="20">
        <f>IF($N3850="","",INDEX(LdBDate,$N3850))</f>
        <v/>
      </c>
      <c r="C3850" s="20">
        <f>IF($N3850="","",IF(INDEX(LdBId,$N3850)="","—",INDEX(LdBId,$N3850)))</f>
        <v/>
      </c>
      <c r="D3850" s="20">
        <f>IF($N3850="","",INDEX(LdBMember,$N3850))</f>
        <v/>
      </c>
      <c r="E3850" s="20">
        <f>IF($N3850="","",IFERROR(IF(VLOOKUP(INDEX(LdBMember,$N3850),AcctTblE,4,0)="","(بدون نام)",VLOOKUP(INDEX(LdBMember,$N3850),AcctTblE,4,0)),"—"))</f>
        <v/>
      </c>
      <c r="F3850" s="21">
        <f>IF($N3850="","",IF(INDEX(LdBAmt,$N3850)=0,"",INDEX(LdBAmt,$N3850)))</f>
        <v/>
      </c>
      <c r="G3850" s="32">
        <f>IF($N3850="","",IF(INDEX(LdBNote,$N3850)="","—",INDEX(LdBNote,$N3850)))</f>
        <v/>
      </c>
      <c r="N3850">
        <f>IFERROR(MATCH($C$5&amp;"|"&amp;RIGHT("000000"&amp;1830,6),LdBKeyG,0),"")</f>
        <v/>
      </c>
    </row>
    <row r="3851">
      <c r="A3851" s="10" t="n">
        <v>1831</v>
      </c>
      <c r="B3851" s="14">
        <f>IF($N3851="","",INDEX(LdBDate,$N3851))</f>
        <v/>
      </c>
      <c r="C3851" s="14">
        <f>IF($N3851="","",IF(INDEX(LdBId,$N3851)="","—",INDEX(LdBId,$N3851)))</f>
        <v/>
      </c>
      <c r="D3851" s="14">
        <f>IF($N3851="","",INDEX(LdBMember,$N3851))</f>
        <v/>
      </c>
      <c r="E3851" s="14">
        <f>IF($N3851="","",IFERROR(IF(VLOOKUP(INDEX(LdBMember,$N3851),AcctTblE,4,0)="","(بدون نام)",VLOOKUP(INDEX(LdBMember,$N3851),AcctTblE,4,0)),"—"))</f>
        <v/>
      </c>
      <c r="F3851" s="16">
        <f>IF($N3851="","",IF(INDEX(LdBAmt,$N3851)=0,"",INDEX(LdBAmt,$N3851)))</f>
        <v/>
      </c>
      <c r="G3851" s="30">
        <f>IF($N3851="","",IF(INDEX(LdBNote,$N3851)="","—",INDEX(LdBNote,$N3851)))</f>
        <v/>
      </c>
      <c r="N3851">
        <f>IFERROR(MATCH($C$5&amp;"|"&amp;RIGHT("000000"&amp;1831,6),LdBKeyG,0),"")</f>
        <v/>
      </c>
    </row>
    <row r="3852">
      <c r="A3852" s="19" t="n">
        <v>1832</v>
      </c>
      <c r="B3852" s="20">
        <f>IF($N3852="","",INDEX(LdBDate,$N3852))</f>
        <v/>
      </c>
      <c r="C3852" s="20">
        <f>IF($N3852="","",IF(INDEX(LdBId,$N3852)="","—",INDEX(LdBId,$N3852)))</f>
        <v/>
      </c>
      <c r="D3852" s="20">
        <f>IF($N3852="","",INDEX(LdBMember,$N3852))</f>
        <v/>
      </c>
      <c r="E3852" s="20">
        <f>IF($N3852="","",IFERROR(IF(VLOOKUP(INDEX(LdBMember,$N3852),AcctTblE,4,0)="","(بدون نام)",VLOOKUP(INDEX(LdBMember,$N3852),AcctTblE,4,0)),"—"))</f>
        <v/>
      </c>
      <c r="F3852" s="21">
        <f>IF($N3852="","",IF(INDEX(LdBAmt,$N3852)=0,"",INDEX(LdBAmt,$N3852)))</f>
        <v/>
      </c>
      <c r="G3852" s="32">
        <f>IF($N3852="","",IF(INDEX(LdBNote,$N3852)="","—",INDEX(LdBNote,$N3852)))</f>
        <v/>
      </c>
      <c r="N3852">
        <f>IFERROR(MATCH($C$5&amp;"|"&amp;RIGHT("000000"&amp;1832,6),LdBKeyG,0),"")</f>
        <v/>
      </c>
    </row>
    <row r="3853">
      <c r="A3853" s="10" t="n">
        <v>1833</v>
      </c>
      <c r="B3853" s="14">
        <f>IF($N3853="","",INDEX(LdBDate,$N3853))</f>
        <v/>
      </c>
      <c r="C3853" s="14">
        <f>IF($N3853="","",IF(INDEX(LdBId,$N3853)="","—",INDEX(LdBId,$N3853)))</f>
        <v/>
      </c>
      <c r="D3853" s="14">
        <f>IF($N3853="","",INDEX(LdBMember,$N3853))</f>
        <v/>
      </c>
      <c r="E3853" s="14">
        <f>IF($N3853="","",IFERROR(IF(VLOOKUP(INDEX(LdBMember,$N3853),AcctTblE,4,0)="","(بدون نام)",VLOOKUP(INDEX(LdBMember,$N3853),AcctTblE,4,0)),"—"))</f>
        <v/>
      </c>
      <c r="F3853" s="16">
        <f>IF($N3853="","",IF(INDEX(LdBAmt,$N3853)=0,"",INDEX(LdBAmt,$N3853)))</f>
        <v/>
      </c>
      <c r="G3853" s="30">
        <f>IF($N3853="","",IF(INDEX(LdBNote,$N3853)="","—",INDEX(LdBNote,$N3853)))</f>
        <v/>
      </c>
      <c r="N3853">
        <f>IFERROR(MATCH($C$5&amp;"|"&amp;RIGHT("000000"&amp;1833,6),LdBKeyG,0),"")</f>
        <v/>
      </c>
    </row>
    <row r="3854">
      <c r="A3854" s="19" t="n">
        <v>1834</v>
      </c>
      <c r="B3854" s="20">
        <f>IF($N3854="","",INDEX(LdBDate,$N3854))</f>
        <v/>
      </c>
      <c r="C3854" s="20">
        <f>IF($N3854="","",IF(INDEX(LdBId,$N3854)="","—",INDEX(LdBId,$N3854)))</f>
        <v/>
      </c>
      <c r="D3854" s="20">
        <f>IF($N3854="","",INDEX(LdBMember,$N3854))</f>
        <v/>
      </c>
      <c r="E3854" s="20">
        <f>IF($N3854="","",IFERROR(IF(VLOOKUP(INDEX(LdBMember,$N3854),AcctTblE,4,0)="","(بدون نام)",VLOOKUP(INDEX(LdBMember,$N3854),AcctTblE,4,0)),"—"))</f>
        <v/>
      </c>
      <c r="F3854" s="21">
        <f>IF($N3854="","",IF(INDEX(LdBAmt,$N3854)=0,"",INDEX(LdBAmt,$N3854)))</f>
        <v/>
      </c>
      <c r="G3854" s="32">
        <f>IF($N3854="","",IF(INDEX(LdBNote,$N3854)="","—",INDEX(LdBNote,$N3854)))</f>
        <v/>
      </c>
      <c r="N3854">
        <f>IFERROR(MATCH($C$5&amp;"|"&amp;RIGHT("000000"&amp;1834,6),LdBKeyG,0),"")</f>
        <v/>
      </c>
    </row>
    <row r="3855">
      <c r="A3855" s="10" t="n">
        <v>1835</v>
      </c>
      <c r="B3855" s="14">
        <f>IF($N3855="","",INDEX(LdBDate,$N3855))</f>
        <v/>
      </c>
      <c r="C3855" s="14">
        <f>IF($N3855="","",IF(INDEX(LdBId,$N3855)="","—",INDEX(LdBId,$N3855)))</f>
        <v/>
      </c>
      <c r="D3855" s="14">
        <f>IF($N3855="","",INDEX(LdBMember,$N3855))</f>
        <v/>
      </c>
      <c r="E3855" s="14">
        <f>IF($N3855="","",IFERROR(IF(VLOOKUP(INDEX(LdBMember,$N3855),AcctTblE,4,0)="","(بدون نام)",VLOOKUP(INDEX(LdBMember,$N3855),AcctTblE,4,0)),"—"))</f>
        <v/>
      </c>
      <c r="F3855" s="16">
        <f>IF($N3855="","",IF(INDEX(LdBAmt,$N3855)=0,"",INDEX(LdBAmt,$N3855)))</f>
        <v/>
      </c>
      <c r="G3855" s="30">
        <f>IF($N3855="","",IF(INDEX(LdBNote,$N3855)="","—",INDEX(LdBNote,$N3855)))</f>
        <v/>
      </c>
      <c r="N3855">
        <f>IFERROR(MATCH($C$5&amp;"|"&amp;RIGHT("000000"&amp;1835,6),LdBKeyG,0),"")</f>
        <v/>
      </c>
    </row>
    <row r="3856">
      <c r="A3856" s="19" t="n">
        <v>1836</v>
      </c>
      <c r="B3856" s="20">
        <f>IF($N3856="","",INDEX(LdBDate,$N3856))</f>
        <v/>
      </c>
      <c r="C3856" s="20">
        <f>IF($N3856="","",IF(INDEX(LdBId,$N3856)="","—",INDEX(LdBId,$N3856)))</f>
        <v/>
      </c>
      <c r="D3856" s="20">
        <f>IF($N3856="","",INDEX(LdBMember,$N3856))</f>
        <v/>
      </c>
      <c r="E3856" s="20">
        <f>IF($N3856="","",IFERROR(IF(VLOOKUP(INDEX(LdBMember,$N3856),AcctTblE,4,0)="","(بدون نام)",VLOOKUP(INDEX(LdBMember,$N3856),AcctTblE,4,0)),"—"))</f>
        <v/>
      </c>
      <c r="F3856" s="21">
        <f>IF($N3856="","",IF(INDEX(LdBAmt,$N3856)=0,"",INDEX(LdBAmt,$N3856)))</f>
        <v/>
      </c>
      <c r="G3856" s="32">
        <f>IF($N3856="","",IF(INDEX(LdBNote,$N3856)="","—",INDEX(LdBNote,$N3856)))</f>
        <v/>
      </c>
      <c r="N3856">
        <f>IFERROR(MATCH($C$5&amp;"|"&amp;RIGHT("000000"&amp;1836,6),LdBKeyG,0),"")</f>
        <v/>
      </c>
    </row>
    <row r="3857">
      <c r="A3857" s="10" t="n">
        <v>1837</v>
      </c>
      <c r="B3857" s="14">
        <f>IF($N3857="","",INDEX(LdBDate,$N3857))</f>
        <v/>
      </c>
      <c r="C3857" s="14">
        <f>IF($N3857="","",IF(INDEX(LdBId,$N3857)="","—",INDEX(LdBId,$N3857)))</f>
        <v/>
      </c>
      <c r="D3857" s="14">
        <f>IF($N3857="","",INDEX(LdBMember,$N3857))</f>
        <v/>
      </c>
      <c r="E3857" s="14">
        <f>IF($N3857="","",IFERROR(IF(VLOOKUP(INDEX(LdBMember,$N3857),AcctTblE,4,0)="","(بدون نام)",VLOOKUP(INDEX(LdBMember,$N3857),AcctTblE,4,0)),"—"))</f>
        <v/>
      </c>
      <c r="F3857" s="16">
        <f>IF($N3857="","",IF(INDEX(LdBAmt,$N3857)=0,"",INDEX(LdBAmt,$N3857)))</f>
        <v/>
      </c>
      <c r="G3857" s="30">
        <f>IF($N3857="","",IF(INDEX(LdBNote,$N3857)="","—",INDEX(LdBNote,$N3857)))</f>
        <v/>
      </c>
      <c r="N3857">
        <f>IFERROR(MATCH($C$5&amp;"|"&amp;RIGHT("000000"&amp;1837,6),LdBKeyG,0),"")</f>
        <v/>
      </c>
    </row>
    <row r="3858">
      <c r="A3858" s="19" t="n">
        <v>1838</v>
      </c>
      <c r="B3858" s="20">
        <f>IF($N3858="","",INDEX(LdBDate,$N3858))</f>
        <v/>
      </c>
      <c r="C3858" s="20">
        <f>IF($N3858="","",IF(INDEX(LdBId,$N3858)="","—",INDEX(LdBId,$N3858)))</f>
        <v/>
      </c>
      <c r="D3858" s="20">
        <f>IF($N3858="","",INDEX(LdBMember,$N3858))</f>
        <v/>
      </c>
      <c r="E3858" s="20">
        <f>IF($N3858="","",IFERROR(IF(VLOOKUP(INDEX(LdBMember,$N3858),AcctTblE,4,0)="","(بدون نام)",VLOOKUP(INDEX(LdBMember,$N3858),AcctTblE,4,0)),"—"))</f>
        <v/>
      </c>
      <c r="F3858" s="21">
        <f>IF($N3858="","",IF(INDEX(LdBAmt,$N3858)=0,"",INDEX(LdBAmt,$N3858)))</f>
        <v/>
      </c>
      <c r="G3858" s="32">
        <f>IF($N3858="","",IF(INDEX(LdBNote,$N3858)="","—",INDEX(LdBNote,$N3858)))</f>
        <v/>
      </c>
      <c r="N3858">
        <f>IFERROR(MATCH($C$5&amp;"|"&amp;RIGHT("000000"&amp;1838,6),LdBKeyG,0),"")</f>
        <v/>
      </c>
    </row>
    <row r="3859">
      <c r="A3859" s="10" t="n">
        <v>1839</v>
      </c>
      <c r="B3859" s="14">
        <f>IF($N3859="","",INDEX(LdBDate,$N3859))</f>
        <v/>
      </c>
      <c r="C3859" s="14">
        <f>IF($N3859="","",IF(INDEX(LdBId,$N3859)="","—",INDEX(LdBId,$N3859)))</f>
        <v/>
      </c>
      <c r="D3859" s="14">
        <f>IF($N3859="","",INDEX(LdBMember,$N3859))</f>
        <v/>
      </c>
      <c r="E3859" s="14">
        <f>IF($N3859="","",IFERROR(IF(VLOOKUP(INDEX(LdBMember,$N3859),AcctTblE,4,0)="","(بدون نام)",VLOOKUP(INDEX(LdBMember,$N3859),AcctTblE,4,0)),"—"))</f>
        <v/>
      </c>
      <c r="F3859" s="16">
        <f>IF($N3859="","",IF(INDEX(LdBAmt,$N3859)=0,"",INDEX(LdBAmt,$N3859)))</f>
        <v/>
      </c>
      <c r="G3859" s="30">
        <f>IF($N3859="","",IF(INDEX(LdBNote,$N3859)="","—",INDEX(LdBNote,$N3859)))</f>
        <v/>
      </c>
      <c r="N3859">
        <f>IFERROR(MATCH($C$5&amp;"|"&amp;RIGHT("000000"&amp;1839,6),LdBKeyG,0),"")</f>
        <v/>
      </c>
    </row>
    <row r="3860">
      <c r="A3860" s="19" t="n">
        <v>1840</v>
      </c>
      <c r="B3860" s="20">
        <f>IF($N3860="","",INDEX(LdBDate,$N3860))</f>
        <v/>
      </c>
      <c r="C3860" s="20">
        <f>IF($N3860="","",IF(INDEX(LdBId,$N3860)="","—",INDEX(LdBId,$N3860)))</f>
        <v/>
      </c>
      <c r="D3860" s="20">
        <f>IF($N3860="","",INDEX(LdBMember,$N3860))</f>
        <v/>
      </c>
      <c r="E3860" s="20">
        <f>IF($N3860="","",IFERROR(IF(VLOOKUP(INDEX(LdBMember,$N3860),AcctTblE,4,0)="","(بدون نام)",VLOOKUP(INDEX(LdBMember,$N3860),AcctTblE,4,0)),"—"))</f>
        <v/>
      </c>
      <c r="F3860" s="21">
        <f>IF($N3860="","",IF(INDEX(LdBAmt,$N3860)=0,"",INDEX(LdBAmt,$N3860)))</f>
        <v/>
      </c>
      <c r="G3860" s="32">
        <f>IF($N3860="","",IF(INDEX(LdBNote,$N3860)="","—",INDEX(LdBNote,$N3860)))</f>
        <v/>
      </c>
      <c r="N3860">
        <f>IFERROR(MATCH($C$5&amp;"|"&amp;RIGHT("000000"&amp;1840,6),LdBKeyG,0),"")</f>
        <v/>
      </c>
    </row>
    <row r="3861">
      <c r="A3861" s="10" t="n">
        <v>1841</v>
      </c>
      <c r="B3861" s="14">
        <f>IF($N3861="","",INDEX(LdBDate,$N3861))</f>
        <v/>
      </c>
      <c r="C3861" s="14">
        <f>IF($N3861="","",IF(INDEX(LdBId,$N3861)="","—",INDEX(LdBId,$N3861)))</f>
        <v/>
      </c>
      <c r="D3861" s="14">
        <f>IF($N3861="","",INDEX(LdBMember,$N3861))</f>
        <v/>
      </c>
      <c r="E3861" s="14">
        <f>IF($N3861="","",IFERROR(IF(VLOOKUP(INDEX(LdBMember,$N3861),AcctTblE,4,0)="","(بدون نام)",VLOOKUP(INDEX(LdBMember,$N3861),AcctTblE,4,0)),"—"))</f>
        <v/>
      </c>
      <c r="F3861" s="16">
        <f>IF($N3861="","",IF(INDEX(LdBAmt,$N3861)=0,"",INDEX(LdBAmt,$N3861)))</f>
        <v/>
      </c>
      <c r="G3861" s="30">
        <f>IF($N3861="","",IF(INDEX(LdBNote,$N3861)="","—",INDEX(LdBNote,$N3861)))</f>
        <v/>
      </c>
      <c r="N3861">
        <f>IFERROR(MATCH($C$5&amp;"|"&amp;RIGHT("000000"&amp;1841,6),LdBKeyG,0),"")</f>
        <v/>
      </c>
    </row>
    <row r="3862">
      <c r="A3862" s="19" t="n">
        <v>1842</v>
      </c>
      <c r="B3862" s="20">
        <f>IF($N3862="","",INDEX(LdBDate,$N3862))</f>
        <v/>
      </c>
      <c r="C3862" s="20">
        <f>IF($N3862="","",IF(INDEX(LdBId,$N3862)="","—",INDEX(LdBId,$N3862)))</f>
        <v/>
      </c>
      <c r="D3862" s="20">
        <f>IF($N3862="","",INDEX(LdBMember,$N3862))</f>
        <v/>
      </c>
      <c r="E3862" s="20">
        <f>IF($N3862="","",IFERROR(IF(VLOOKUP(INDEX(LdBMember,$N3862),AcctTblE,4,0)="","(بدون نام)",VLOOKUP(INDEX(LdBMember,$N3862),AcctTblE,4,0)),"—"))</f>
        <v/>
      </c>
      <c r="F3862" s="21">
        <f>IF($N3862="","",IF(INDEX(LdBAmt,$N3862)=0,"",INDEX(LdBAmt,$N3862)))</f>
        <v/>
      </c>
      <c r="G3862" s="32">
        <f>IF($N3862="","",IF(INDEX(LdBNote,$N3862)="","—",INDEX(LdBNote,$N3862)))</f>
        <v/>
      </c>
      <c r="N3862">
        <f>IFERROR(MATCH($C$5&amp;"|"&amp;RIGHT("000000"&amp;1842,6),LdBKeyG,0),"")</f>
        <v/>
      </c>
    </row>
    <row r="3863">
      <c r="A3863" s="10" t="n">
        <v>1843</v>
      </c>
      <c r="B3863" s="14">
        <f>IF($N3863="","",INDEX(LdBDate,$N3863))</f>
        <v/>
      </c>
      <c r="C3863" s="14">
        <f>IF($N3863="","",IF(INDEX(LdBId,$N3863)="","—",INDEX(LdBId,$N3863)))</f>
        <v/>
      </c>
      <c r="D3863" s="14">
        <f>IF($N3863="","",INDEX(LdBMember,$N3863))</f>
        <v/>
      </c>
      <c r="E3863" s="14">
        <f>IF($N3863="","",IFERROR(IF(VLOOKUP(INDEX(LdBMember,$N3863),AcctTblE,4,0)="","(بدون نام)",VLOOKUP(INDEX(LdBMember,$N3863),AcctTblE,4,0)),"—"))</f>
        <v/>
      </c>
      <c r="F3863" s="16">
        <f>IF($N3863="","",IF(INDEX(LdBAmt,$N3863)=0,"",INDEX(LdBAmt,$N3863)))</f>
        <v/>
      </c>
      <c r="G3863" s="30">
        <f>IF($N3863="","",IF(INDEX(LdBNote,$N3863)="","—",INDEX(LdBNote,$N3863)))</f>
        <v/>
      </c>
      <c r="N3863">
        <f>IFERROR(MATCH($C$5&amp;"|"&amp;RIGHT("000000"&amp;1843,6),LdBKeyG,0),"")</f>
        <v/>
      </c>
    </row>
    <row r="3864">
      <c r="A3864" s="19" t="n">
        <v>1844</v>
      </c>
      <c r="B3864" s="20">
        <f>IF($N3864="","",INDEX(LdBDate,$N3864))</f>
        <v/>
      </c>
      <c r="C3864" s="20">
        <f>IF($N3864="","",IF(INDEX(LdBId,$N3864)="","—",INDEX(LdBId,$N3864)))</f>
        <v/>
      </c>
      <c r="D3864" s="20">
        <f>IF($N3864="","",INDEX(LdBMember,$N3864))</f>
        <v/>
      </c>
      <c r="E3864" s="20">
        <f>IF($N3864="","",IFERROR(IF(VLOOKUP(INDEX(LdBMember,$N3864),AcctTblE,4,0)="","(بدون نام)",VLOOKUP(INDEX(LdBMember,$N3864),AcctTblE,4,0)),"—"))</f>
        <v/>
      </c>
      <c r="F3864" s="21">
        <f>IF($N3864="","",IF(INDEX(LdBAmt,$N3864)=0,"",INDEX(LdBAmt,$N3864)))</f>
        <v/>
      </c>
      <c r="G3864" s="32">
        <f>IF($N3864="","",IF(INDEX(LdBNote,$N3864)="","—",INDEX(LdBNote,$N3864)))</f>
        <v/>
      </c>
      <c r="N3864">
        <f>IFERROR(MATCH($C$5&amp;"|"&amp;RIGHT("000000"&amp;1844,6),LdBKeyG,0),"")</f>
        <v/>
      </c>
    </row>
    <row r="3865">
      <c r="A3865" s="10" t="n">
        <v>1845</v>
      </c>
      <c r="B3865" s="14">
        <f>IF($N3865="","",INDEX(LdBDate,$N3865))</f>
        <v/>
      </c>
      <c r="C3865" s="14">
        <f>IF($N3865="","",IF(INDEX(LdBId,$N3865)="","—",INDEX(LdBId,$N3865)))</f>
        <v/>
      </c>
      <c r="D3865" s="14">
        <f>IF($N3865="","",INDEX(LdBMember,$N3865))</f>
        <v/>
      </c>
      <c r="E3865" s="14">
        <f>IF($N3865="","",IFERROR(IF(VLOOKUP(INDEX(LdBMember,$N3865),AcctTblE,4,0)="","(بدون نام)",VLOOKUP(INDEX(LdBMember,$N3865),AcctTblE,4,0)),"—"))</f>
        <v/>
      </c>
      <c r="F3865" s="16">
        <f>IF($N3865="","",IF(INDEX(LdBAmt,$N3865)=0,"",INDEX(LdBAmt,$N3865)))</f>
        <v/>
      </c>
      <c r="G3865" s="30">
        <f>IF($N3865="","",IF(INDEX(LdBNote,$N3865)="","—",INDEX(LdBNote,$N3865)))</f>
        <v/>
      </c>
      <c r="N3865">
        <f>IFERROR(MATCH($C$5&amp;"|"&amp;RIGHT("000000"&amp;1845,6),LdBKeyG,0),"")</f>
        <v/>
      </c>
    </row>
    <row r="3866">
      <c r="A3866" s="19" t="n">
        <v>1846</v>
      </c>
      <c r="B3866" s="20">
        <f>IF($N3866="","",INDEX(LdBDate,$N3866))</f>
        <v/>
      </c>
      <c r="C3866" s="20">
        <f>IF($N3866="","",IF(INDEX(LdBId,$N3866)="","—",INDEX(LdBId,$N3866)))</f>
        <v/>
      </c>
      <c r="D3866" s="20">
        <f>IF($N3866="","",INDEX(LdBMember,$N3866))</f>
        <v/>
      </c>
      <c r="E3866" s="20">
        <f>IF($N3866="","",IFERROR(IF(VLOOKUP(INDEX(LdBMember,$N3866),AcctTblE,4,0)="","(بدون نام)",VLOOKUP(INDEX(LdBMember,$N3866),AcctTblE,4,0)),"—"))</f>
        <v/>
      </c>
      <c r="F3866" s="21">
        <f>IF($N3866="","",IF(INDEX(LdBAmt,$N3866)=0,"",INDEX(LdBAmt,$N3866)))</f>
        <v/>
      </c>
      <c r="G3866" s="32">
        <f>IF($N3866="","",IF(INDEX(LdBNote,$N3866)="","—",INDEX(LdBNote,$N3866)))</f>
        <v/>
      </c>
      <c r="N3866">
        <f>IFERROR(MATCH($C$5&amp;"|"&amp;RIGHT("000000"&amp;1846,6),LdBKeyG,0),"")</f>
        <v/>
      </c>
    </row>
    <row r="3867">
      <c r="A3867" s="10" t="n">
        <v>1847</v>
      </c>
      <c r="B3867" s="14">
        <f>IF($N3867="","",INDEX(LdBDate,$N3867))</f>
        <v/>
      </c>
      <c r="C3867" s="14">
        <f>IF($N3867="","",IF(INDEX(LdBId,$N3867)="","—",INDEX(LdBId,$N3867)))</f>
        <v/>
      </c>
      <c r="D3867" s="14">
        <f>IF($N3867="","",INDEX(LdBMember,$N3867))</f>
        <v/>
      </c>
      <c r="E3867" s="14">
        <f>IF($N3867="","",IFERROR(IF(VLOOKUP(INDEX(LdBMember,$N3867),AcctTblE,4,0)="","(بدون نام)",VLOOKUP(INDEX(LdBMember,$N3867),AcctTblE,4,0)),"—"))</f>
        <v/>
      </c>
      <c r="F3867" s="16">
        <f>IF($N3867="","",IF(INDEX(LdBAmt,$N3867)=0,"",INDEX(LdBAmt,$N3867)))</f>
        <v/>
      </c>
      <c r="G3867" s="30">
        <f>IF($N3867="","",IF(INDEX(LdBNote,$N3867)="","—",INDEX(LdBNote,$N3867)))</f>
        <v/>
      </c>
      <c r="N3867">
        <f>IFERROR(MATCH($C$5&amp;"|"&amp;RIGHT("000000"&amp;1847,6),LdBKeyG,0),"")</f>
        <v/>
      </c>
    </row>
    <row r="3868">
      <c r="A3868" s="19" t="n">
        <v>1848</v>
      </c>
      <c r="B3868" s="20">
        <f>IF($N3868="","",INDEX(LdBDate,$N3868))</f>
        <v/>
      </c>
      <c r="C3868" s="20">
        <f>IF($N3868="","",IF(INDEX(LdBId,$N3868)="","—",INDEX(LdBId,$N3868)))</f>
        <v/>
      </c>
      <c r="D3868" s="20">
        <f>IF($N3868="","",INDEX(LdBMember,$N3868))</f>
        <v/>
      </c>
      <c r="E3868" s="20">
        <f>IF($N3868="","",IFERROR(IF(VLOOKUP(INDEX(LdBMember,$N3868),AcctTblE,4,0)="","(بدون نام)",VLOOKUP(INDEX(LdBMember,$N3868),AcctTblE,4,0)),"—"))</f>
        <v/>
      </c>
      <c r="F3868" s="21">
        <f>IF($N3868="","",IF(INDEX(LdBAmt,$N3868)=0,"",INDEX(LdBAmt,$N3868)))</f>
        <v/>
      </c>
      <c r="G3868" s="32">
        <f>IF($N3868="","",IF(INDEX(LdBNote,$N3868)="","—",INDEX(LdBNote,$N3868)))</f>
        <v/>
      </c>
      <c r="N3868">
        <f>IFERROR(MATCH($C$5&amp;"|"&amp;RIGHT("000000"&amp;1848,6),LdBKeyG,0),"")</f>
        <v/>
      </c>
    </row>
    <row r="3869">
      <c r="A3869" s="10" t="n">
        <v>1849</v>
      </c>
      <c r="B3869" s="14">
        <f>IF($N3869="","",INDEX(LdBDate,$N3869))</f>
        <v/>
      </c>
      <c r="C3869" s="14">
        <f>IF($N3869="","",IF(INDEX(LdBId,$N3869)="","—",INDEX(LdBId,$N3869)))</f>
        <v/>
      </c>
      <c r="D3869" s="14">
        <f>IF($N3869="","",INDEX(LdBMember,$N3869))</f>
        <v/>
      </c>
      <c r="E3869" s="14">
        <f>IF($N3869="","",IFERROR(IF(VLOOKUP(INDEX(LdBMember,$N3869),AcctTblE,4,0)="","(بدون نام)",VLOOKUP(INDEX(LdBMember,$N3869),AcctTblE,4,0)),"—"))</f>
        <v/>
      </c>
      <c r="F3869" s="16">
        <f>IF($N3869="","",IF(INDEX(LdBAmt,$N3869)=0,"",INDEX(LdBAmt,$N3869)))</f>
        <v/>
      </c>
      <c r="G3869" s="30">
        <f>IF($N3869="","",IF(INDEX(LdBNote,$N3869)="","—",INDEX(LdBNote,$N3869)))</f>
        <v/>
      </c>
      <c r="N3869">
        <f>IFERROR(MATCH($C$5&amp;"|"&amp;RIGHT("000000"&amp;1849,6),LdBKeyG,0),"")</f>
        <v/>
      </c>
    </row>
    <row r="3870">
      <c r="A3870" s="19" t="n">
        <v>1850</v>
      </c>
      <c r="B3870" s="20">
        <f>IF($N3870="","",INDEX(LdBDate,$N3870))</f>
        <v/>
      </c>
      <c r="C3870" s="20">
        <f>IF($N3870="","",IF(INDEX(LdBId,$N3870)="","—",INDEX(LdBId,$N3870)))</f>
        <v/>
      </c>
      <c r="D3870" s="20">
        <f>IF($N3870="","",INDEX(LdBMember,$N3870))</f>
        <v/>
      </c>
      <c r="E3870" s="20">
        <f>IF($N3870="","",IFERROR(IF(VLOOKUP(INDEX(LdBMember,$N3870),AcctTblE,4,0)="","(بدون نام)",VLOOKUP(INDEX(LdBMember,$N3870),AcctTblE,4,0)),"—"))</f>
        <v/>
      </c>
      <c r="F3870" s="21">
        <f>IF($N3870="","",IF(INDEX(LdBAmt,$N3870)=0,"",INDEX(LdBAmt,$N3870)))</f>
        <v/>
      </c>
      <c r="G3870" s="32">
        <f>IF($N3870="","",IF(INDEX(LdBNote,$N3870)="","—",INDEX(LdBNote,$N3870)))</f>
        <v/>
      </c>
      <c r="N3870">
        <f>IFERROR(MATCH($C$5&amp;"|"&amp;RIGHT("000000"&amp;1850,6),LdBKeyG,0),"")</f>
        <v/>
      </c>
    </row>
    <row r="3871">
      <c r="A3871" s="10" t="n">
        <v>1851</v>
      </c>
      <c r="B3871" s="14">
        <f>IF($N3871="","",INDEX(LdBDate,$N3871))</f>
        <v/>
      </c>
      <c r="C3871" s="14">
        <f>IF($N3871="","",IF(INDEX(LdBId,$N3871)="","—",INDEX(LdBId,$N3871)))</f>
        <v/>
      </c>
      <c r="D3871" s="14">
        <f>IF($N3871="","",INDEX(LdBMember,$N3871))</f>
        <v/>
      </c>
      <c r="E3871" s="14">
        <f>IF($N3871="","",IFERROR(IF(VLOOKUP(INDEX(LdBMember,$N3871),AcctTblE,4,0)="","(بدون نام)",VLOOKUP(INDEX(LdBMember,$N3871),AcctTblE,4,0)),"—"))</f>
        <v/>
      </c>
      <c r="F3871" s="16">
        <f>IF($N3871="","",IF(INDEX(LdBAmt,$N3871)=0,"",INDEX(LdBAmt,$N3871)))</f>
        <v/>
      </c>
      <c r="G3871" s="30">
        <f>IF($N3871="","",IF(INDEX(LdBNote,$N3871)="","—",INDEX(LdBNote,$N3871)))</f>
        <v/>
      </c>
      <c r="N3871">
        <f>IFERROR(MATCH($C$5&amp;"|"&amp;RIGHT("000000"&amp;1851,6),LdBKeyG,0),"")</f>
        <v/>
      </c>
    </row>
    <row r="3872">
      <c r="A3872" s="19" t="n">
        <v>1852</v>
      </c>
      <c r="B3872" s="20">
        <f>IF($N3872="","",INDEX(LdBDate,$N3872))</f>
        <v/>
      </c>
      <c r="C3872" s="20">
        <f>IF($N3872="","",IF(INDEX(LdBId,$N3872)="","—",INDEX(LdBId,$N3872)))</f>
        <v/>
      </c>
      <c r="D3872" s="20">
        <f>IF($N3872="","",INDEX(LdBMember,$N3872))</f>
        <v/>
      </c>
      <c r="E3872" s="20">
        <f>IF($N3872="","",IFERROR(IF(VLOOKUP(INDEX(LdBMember,$N3872),AcctTblE,4,0)="","(بدون نام)",VLOOKUP(INDEX(LdBMember,$N3872),AcctTblE,4,0)),"—"))</f>
        <v/>
      </c>
      <c r="F3872" s="21">
        <f>IF($N3872="","",IF(INDEX(LdBAmt,$N3872)=0,"",INDEX(LdBAmt,$N3872)))</f>
        <v/>
      </c>
      <c r="G3872" s="32">
        <f>IF($N3872="","",IF(INDEX(LdBNote,$N3872)="","—",INDEX(LdBNote,$N3872)))</f>
        <v/>
      </c>
      <c r="N3872">
        <f>IFERROR(MATCH($C$5&amp;"|"&amp;RIGHT("000000"&amp;1852,6),LdBKeyG,0),"")</f>
        <v/>
      </c>
    </row>
    <row r="3873">
      <c r="A3873" s="10" t="n">
        <v>1853</v>
      </c>
      <c r="B3873" s="14">
        <f>IF($N3873="","",INDEX(LdBDate,$N3873))</f>
        <v/>
      </c>
      <c r="C3873" s="14">
        <f>IF($N3873="","",IF(INDEX(LdBId,$N3873)="","—",INDEX(LdBId,$N3873)))</f>
        <v/>
      </c>
      <c r="D3873" s="14">
        <f>IF($N3873="","",INDEX(LdBMember,$N3873))</f>
        <v/>
      </c>
      <c r="E3873" s="14">
        <f>IF($N3873="","",IFERROR(IF(VLOOKUP(INDEX(LdBMember,$N3873),AcctTblE,4,0)="","(بدون نام)",VLOOKUP(INDEX(LdBMember,$N3873),AcctTblE,4,0)),"—"))</f>
        <v/>
      </c>
      <c r="F3873" s="16">
        <f>IF($N3873="","",IF(INDEX(LdBAmt,$N3873)=0,"",INDEX(LdBAmt,$N3873)))</f>
        <v/>
      </c>
      <c r="G3873" s="30">
        <f>IF($N3873="","",IF(INDEX(LdBNote,$N3873)="","—",INDEX(LdBNote,$N3873)))</f>
        <v/>
      </c>
      <c r="N3873">
        <f>IFERROR(MATCH($C$5&amp;"|"&amp;RIGHT("000000"&amp;1853,6),LdBKeyG,0),"")</f>
        <v/>
      </c>
    </row>
    <row r="3874">
      <c r="A3874" s="19" t="n">
        <v>1854</v>
      </c>
      <c r="B3874" s="20">
        <f>IF($N3874="","",INDEX(LdBDate,$N3874))</f>
        <v/>
      </c>
      <c r="C3874" s="20">
        <f>IF($N3874="","",IF(INDEX(LdBId,$N3874)="","—",INDEX(LdBId,$N3874)))</f>
        <v/>
      </c>
      <c r="D3874" s="20">
        <f>IF($N3874="","",INDEX(LdBMember,$N3874))</f>
        <v/>
      </c>
      <c r="E3874" s="20">
        <f>IF($N3874="","",IFERROR(IF(VLOOKUP(INDEX(LdBMember,$N3874),AcctTblE,4,0)="","(بدون نام)",VLOOKUP(INDEX(LdBMember,$N3874),AcctTblE,4,0)),"—"))</f>
        <v/>
      </c>
      <c r="F3874" s="21">
        <f>IF($N3874="","",IF(INDEX(LdBAmt,$N3874)=0,"",INDEX(LdBAmt,$N3874)))</f>
        <v/>
      </c>
      <c r="G3874" s="32">
        <f>IF($N3874="","",IF(INDEX(LdBNote,$N3874)="","—",INDEX(LdBNote,$N3874)))</f>
        <v/>
      </c>
      <c r="N3874">
        <f>IFERROR(MATCH($C$5&amp;"|"&amp;RIGHT("000000"&amp;1854,6),LdBKeyG,0),"")</f>
        <v/>
      </c>
    </row>
    <row r="3875">
      <c r="A3875" s="10" t="n">
        <v>1855</v>
      </c>
      <c r="B3875" s="14">
        <f>IF($N3875="","",INDEX(LdBDate,$N3875))</f>
        <v/>
      </c>
      <c r="C3875" s="14">
        <f>IF($N3875="","",IF(INDEX(LdBId,$N3875)="","—",INDEX(LdBId,$N3875)))</f>
        <v/>
      </c>
      <c r="D3875" s="14">
        <f>IF($N3875="","",INDEX(LdBMember,$N3875))</f>
        <v/>
      </c>
      <c r="E3875" s="14">
        <f>IF($N3875="","",IFERROR(IF(VLOOKUP(INDEX(LdBMember,$N3875),AcctTblE,4,0)="","(بدون نام)",VLOOKUP(INDEX(LdBMember,$N3875),AcctTblE,4,0)),"—"))</f>
        <v/>
      </c>
      <c r="F3875" s="16">
        <f>IF($N3875="","",IF(INDEX(LdBAmt,$N3875)=0,"",INDEX(LdBAmt,$N3875)))</f>
        <v/>
      </c>
      <c r="G3875" s="30">
        <f>IF($N3875="","",IF(INDEX(LdBNote,$N3875)="","—",INDEX(LdBNote,$N3875)))</f>
        <v/>
      </c>
      <c r="N3875">
        <f>IFERROR(MATCH($C$5&amp;"|"&amp;RIGHT("000000"&amp;1855,6),LdBKeyG,0),"")</f>
        <v/>
      </c>
    </row>
    <row r="3876">
      <c r="A3876" s="19" t="n">
        <v>1856</v>
      </c>
      <c r="B3876" s="20">
        <f>IF($N3876="","",INDEX(LdBDate,$N3876))</f>
        <v/>
      </c>
      <c r="C3876" s="20">
        <f>IF($N3876="","",IF(INDEX(LdBId,$N3876)="","—",INDEX(LdBId,$N3876)))</f>
        <v/>
      </c>
      <c r="D3876" s="20">
        <f>IF($N3876="","",INDEX(LdBMember,$N3876))</f>
        <v/>
      </c>
      <c r="E3876" s="20">
        <f>IF($N3876="","",IFERROR(IF(VLOOKUP(INDEX(LdBMember,$N3876),AcctTblE,4,0)="","(بدون نام)",VLOOKUP(INDEX(LdBMember,$N3876),AcctTblE,4,0)),"—"))</f>
        <v/>
      </c>
      <c r="F3876" s="21">
        <f>IF($N3876="","",IF(INDEX(LdBAmt,$N3876)=0,"",INDEX(LdBAmt,$N3876)))</f>
        <v/>
      </c>
      <c r="G3876" s="32">
        <f>IF($N3876="","",IF(INDEX(LdBNote,$N3876)="","—",INDEX(LdBNote,$N3876)))</f>
        <v/>
      </c>
      <c r="N3876">
        <f>IFERROR(MATCH($C$5&amp;"|"&amp;RIGHT("000000"&amp;1856,6),LdBKeyG,0),"")</f>
        <v/>
      </c>
    </row>
    <row r="3877">
      <c r="A3877" s="10" t="n">
        <v>1857</v>
      </c>
      <c r="B3877" s="14">
        <f>IF($N3877="","",INDEX(LdBDate,$N3877))</f>
        <v/>
      </c>
      <c r="C3877" s="14">
        <f>IF($N3877="","",IF(INDEX(LdBId,$N3877)="","—",INDEX(LdBId,$N3877)))</f>
        <v/>
      </c>
      <c r="D3877" s="14">
        <f>IF($N3877="","",INDEX(LdBMember,$N3877))</f>
        <v/>
      </c>
      <c r="E3877" s="14">
        <f>IF($N3877="","",IFERROR(IF(VLOOKUP(INDEX(LdBMember,$N3877),AcctTblE,4,0)="","(بدون نام)",VLOOKUP(INDEX(LdBMember,$N3877),AcctTblE,4,0)),"—"))</f>
        <v/>
      </c>
      <c r="F3877" s="16">
        <f>IF($N3877="","",IF(INDEX(LdBAmt,$N3877)=0,"",INDEX(LdBAmt,$N3877)))</f>
        <v/>
      </c>
      <c r="G3877" s="30">
        <f>IF($N3877="","",IF(INDEX(LdBNote,$N3877)="","—",INDEX(LdBNote,$N3877)))</f>
        <v/>
      </c>
      <c r="N3877">
        <f>IFERROR(MATCH($C$5&amp;"|"&amp;RIGHT("000000"&amp;1857,6),LdBKeyG,0),"")</f>
        <v/>
      </c>
    </row>
    <row r="3878">
      <c r="A3878" s="19" t="n">
        <v>1858</v>
      </c>
      <c r="B3878" s="20">
        <f>IF($N3878="","",INDEX(LdBDate,$N3878))</f>
        <v/>
      </c>
      <c r="C3878" s="20">
        <f>IF($N3878="","",IF(INDEX(LdBId,$N3878)="","—",INDEX(LdBId,$N3878)))</f>
        <v/>
      </c>
      <c r="D3878" s="20">
        <f>IF($N3878="","",INDEX(LdBMember,$N3878))</f>
        <v/>
      </c>
      <c r="E3878" s="20">
        <f>IF($N3878="","",IFERROR(IF(VLOOKUP(INDEX(LdBMember,$N3878),AcctTblE,4,0)="","(بدون نام)",VLOOKUP(INDEX(LdBMember,$N3878),AcctTblE,4,0)),"—"))</f>
        <v/>
      </c>
      <c r="F3878" s="21">
        <f>IF($N3878="","",IF(INDEX(LdBAmt,$N3878)=0,"",INDEX(LdBAmt,$N3878)))</f>
        <v/>
      </c>
      <c r="G3878" s="32">
        <f>IF($N3878="","",IF(INDEX(LdBNote,$N3878)="","—",INDEX(LdBNote,$N3878)))</f>
        <v/>
      </c>
      <c r="N3878">
        <f>IFERROR(MATCH($C$5&amp;"|"&amp;RIGHT("000000"&amp;1858,6),LdBKeyG,0),"")</f>
        <v/>
      </c>
    </row>
    <row r="3879">
      <c r="A3879" s="10" t="n">
        <v>1859</v>
      </c>
      <c r="B3879" s="14">
        <f>IF($N3879="","",INDEX(LdBDate,$N3879))</f>
        <v/>
      </c>
      <c r="C3879" s="14">
        <f>IF($N3879="","",IF(INDEX(LdBId,$N3879)="","—",INDEX(LdBId,$N3879)))</f>
        <v/>
      </c>
      <c r="D3879" s="14">
        <f>IF($N3879="","",INDEX(LdBMember,$N3879))</f>
        <v/>
      </c>
      <c r="E3879" s="14">
        <f>IF($N3879="","",IFERROR(IF(VLOOKUP(INDEX(LdBMember,$N3879),AcctTblE,4,0)="","(بدون نام)",VLOOKUP(INDEX(LdBMember,$N3879),AcctTblE,4,0)),"—"))</f>
        <v/>
      </c>
      <c r="F3879" s="16">
        <f>IF($N3879="","",IF(INDEX(LdBAmt,$N3879)=0,"",INDEX(LdBAmt,$N3879)))</f>
        <v/>
      </c>
      <c r="G3879" s="30">
        <f>IF($N3879="","",IF(INDEX(LdBNote,$N3879)="","—",INDEX(LdBNote,$N3879)))</f>
        <v/>
      </c>
      <c r="N3879">
        <f>IFERROR(MATCH($C$5&amp;"|"&amp;RIGHT("000000"&amp;1859,6),LdBKeyG,0),"")</f>
        <v/>
      </c>
    </row>
    <row r="3880">
      <c r="A3880" s="19" t="n">
        <v>1860</v>
      </c>
      <c r="B3880" s="20">
        <f>IF($N3880="","",INDEX(LdBDate,$N3880))</f>
        <v/>
      </c>
      <c r="C3880" s="20">
        <f>IF($N3880="","",IF(INDEX(LdBId,$N3880)="","—",INDEX(LdBId,$N3880)))</f>
        <v/>
      </c>
      <c r="D3880" s="20">
        <f>IF($N3880="","",INDEX(LdBMember,$N3880))</f>
        <v/>
      </c>
      <c r="E3880" s="20">
        <f>IF($N3880="","",IFERROR(IF(VLOOKUP(INDEX(LdBMember,$N3880),AcctTblE,4,0)="","(بدون نام)",VLOOKUP(INDEX(LdBMember,$N3880),AcctTblE,4,0)),"—"))</f>
        <v/>
      </c>
      <c r="F3880" s="21">
        <f>IF($N3880="","",IF(INDEX(LdBAmt,$N3880)=0,"",INDEX(LdBAmt,$N3880)))</f>
        <v/>
      </c>
      <c r="G3880" s="32">
        <f>IF($N3880="","",IF(INDEX(LdBNote,$N3880)="","—",INDEX(LdBNote,$N3880)))</f>
        <v/>
      </c>
      <c r="N3880">
        <f>IFERROR(MATCH($C$5&amp;"|"&amp;RIGHT("000000"&amp;1860,6),LdBKeyG,0),"")</f>
        <v/>
      </c>
    </row>
    <row r="3881">
      <c r="A3881" s="10" t="n">
        <v>1861</v>
      </c>
      <c r="B3881" s="14">
        <f>IF($N3881="","",INDEX(LdBDate,$N3881))</f>
        <v/>
      </c>
      <c r="C3881" s="14">
        <f>IF($N3881="","",IF(INDEX(LdBId,$N3881)="","—",INDEX(LdBId,$N3881)))</f>
        <v/>
      </c>
      <c r="D3881" s="14">
        <f>IF($N3881="","",INDEX(LdBMember,$N3881))</f>
        <v/>
      </c>
      <c r="E3881" s="14">
        <f>IF($N3881="","",IFERROR(IF(VLOOKUP(INDEX(LdBMember,$N3881),AcctTblE,4,0)="","(بدون نام)",VLOOKUP(INDEX(LdBMember,$N3881),AcctTblE,4,0)),"—"))</f>
        <v/>
      </c>
      <c r="F3881" s="16">
        <f>IF($N3881="","",IF(INDEX(LdBAmt,$N3881)=0,"",INDEX(LdBAmt,$N3881)))</f>
        <v/>
      </c>
      <c r="G3881" s="30">
        <f>IF($N3881="","",IF(INDEX(LdBNote,$N3881)="","—",INDEX(LdBNote,$N3881)))</f>
        <v/>
      </c>
      <c r="N3881">
        <f>IFERROR(MATCH($C$5&amp;"|"&amp;RIGHT("000000"&amp;1861,6),LdBKeyG,0),"")</f>
        <v/>
      </c>
    </row>
    <row r="3882">
      <c r="A3882" s="19" t="n">
        <v>1862</v>
      </c>
      <c r="B3882" s="20">
        <f>IF($N3882="","",INDEX(LdBDate,$N3882))</f>
        <v/>
      </c>
      <c r="C3882" s="20">
        <f>IF($N3882="","",IF(INDEX(LdBId,$N3882)="","—",INDEX(LdBId,$N3882)))</f>
        <v/>
      </c>
      <c r="D3882" s="20">
        <f>IF($N3882="","",INDEX(LdBMember,$N3882))</f>
        <v/>
      </c>
      <c r="E3882" s="20">
        <f>IF($N3882="","",IFERROR(IF(VLOOKUP(INDEX(LdBMember,$N3882),AcctTblE,4,0)="","(بدون نام)",VLOOKUP(INDEX(LdBMember,$N3882),AcctTblE,4,0)),"—"))</f>
        <v/>
      </c>
      <c r="F3882" s="21">
        <f>IF($N3882="","",IF(INDEX(LdBAmt,$N3882)=0,"",INDEX(LdBAmt,$N3882)))</f>
        <v/>
      </c>
      <c r="G3882" s="32">
        <f>IF($N3882="","",IF(INDEX(LdBNote,$N3882)="","—",INDEX(LdBNote,$N3882)))</f>
        <v/>
      </c>
      <c r="N3882">
        <f>IFERROR(MATCH($C$5&amp;"|"&amp;RIGHT("000000"&amp;1862,6),LdBKeyG,0),"")</f>
        <v/>
      </c>
    </row>
    <row r="3883">
      <c r="A3883" s="10" t="n">
        <v>1863</v>
      </c>
      <c r="B3883" s="14">
        <f>IF($N3883="","",INDEX(LdBDate,$N3883))</f>
        <v/>
      </c>
      <c r="C3883" s="14">
        <f>IF($N3883="","",IF(INDEX(LdBId,$N3883)="","—",INDEX(LdBId,$N3883)))</f>
        <v/>
      </c>
      <c r="D3883" s="14">
        <f>IF($N3883="","",INDEX(LdBMember,$N3883))</f>
        <v/>
      </c>
      <c r="E3883" s="14">
        <f>IF($N3883="","",IFERROR(IF(VLOOKUP(INDEX(LdBMember,$N3883),AcctTblE,4,0)="","(بدون نام)",VLOOKUP(INDEX(LdBMember,$N3883),AcctTblE,4,0)),"—"))</f>
        <v/>
      </c>
      <c r="F3883" s="16">
        <f>IF($N3883="","",IF(INDEX(LdBAmt,$N3883)=0,"",INDEX(LdBAmt,$N3883)))</f>
        <v/>
      </c>
      <c r="G3883" s="30">
        <f>IF($N3883="","",IF(INDEX(LdBNote,$N3883)="","—",INDEX(LdBNote,$N3883)))</f>
        <v/>
      </c>
      <c r="N3883">
        <f>IFERROR(MATCH($C$5&amp;"|"&amp;RIGHT("000000"&amp;1863,6),LdBKeyG,0),"")</f>
        <v/>
      </c>
    </row>
    <row r="3884">
      <c r="A3884" s="19" t="n">
        <v>1864</v>
      </c>
      <c r="B3884" s="20">
        <f>IF($N3884="","",INDEX(LdBDate,$N3884))</f>
        <v/>
      </c>
      <c r="C3884" s="20">
        <f>IF($N3884="","",IF(INDEX(LdBId,$N3884)="","—",INDEX(LdBId,$N3884)))</f>
        <v/>
      </c>
      <c r="D3884" s="20">
        <f>IF($N3884="","",INDEX(LdBMember,$N3884))</f>
        <v/>
      </c>
      <c r="E3884" s="20">
        <f>IF($N3884="","",IFERROR(IF(VLOOKUP(INDEX(LdBMember,$N3884),AcctTblE,4,0)="","(بدون نام)",VLOOKUP(INDEX(LdBMember,$N3884),AcctTblE,4,0)),"—"))</f>
        <v/>
      </c>
      <c r="F3884" s="21">
        <f>IF($N3884="","",IF(INDEX(LdBAmt,$N3884)=0,"",INDEX(LdBAmt,$N3884)))</f>
        <v/>
      </c>
      <c r="G3884" s="32">
        <f>IF($N3884="","",IF(INDEX(LdBNote,$N3884)="","—",INDEX(LdBNote,$N3884)))</f>
        <v/>
      </c>
      <c r="N3884">
        <f>IFERROR(MATCH($C$5&amp;"|"&amp;RIGHT("000000"&amp;1864,6),LdBKeyG,0),"")</f>
        <v/>
      </c>
    </row>
    <row r="3885">
      <c r="A3885" s="10" t="n">
        <v>1865</v>
      </c>
      <c r="B3885" s="14">
        <f>IF($N3885="","",INDEX(LdBDate,$N3885))</f>
        <v/>
      </c>
      <c r="C3885" s="14">
        <f>IF($N3885="","",IF(INDEX(LdBId,$N3885)="","—",INDEX(LdBId,$N3885)))</f>
        <v/>
      </c>
      <c r="D3885" s="14">
        <f>IF($N3885="","",INDEX(LdBMember,$N3885))</f>
        <v/>
      </c>
      <c r="E3885" s="14">
        <f>IF($N3885="","",IFERROR(IF(VLOOKUP(INDEX(LdBMember,$N3885),AcctTblE,4,0)="","(بدون نام)",VLOOKUP(INDEX(LdBMember,$N3885),AcctTblE,4,0)),"—"))</f>
        <v/>
      </c>
      <c r="F3885" s="16">
        <f>IF($N3885="","",IF(INDEX(LdBAmt,$N3885)=0,"",INDEX(LdBAmt,$N3885)))</f>
        <v/>
      </c>
      <c r="G3885" s="30">
        <f>IF($N3885="","",IF(INDEX(LdBNote,$N3885)="","—",INDEX(LdBNote,$N3885)))</f>
        <v/>
      </c>
      <c r="N3885">
        <f>IFERROR(MATCH($C$5&amp;"|"&amp;RIGHT("000000"&amp;1865,6),LdBKeyG,0),"")</f>
        <v/>
      </c>
    </row>
    <row r="3886">
      <c r="A3886" s="19" t="n">
        <v>1866</v>
      </c>
      <c r="B3886" s="20">
        <f>IF($N3886="","",INDEX(LdBDate,$N3886))</f>
        <v/>
      </c>
      <c r="C3886" s="20">
        <f>IF($N3886="","",IF(INDEX(LdBId,$N3886)="","—",INDEX(LdBId,$N3886)))</f>
        <v/>
      </c>
      <c r="D3886" s="20">
        <f>IF($N3886="","",INDEX(LdBMember,$N3886))</f>
        <v/>
      </c>
      <c r="E3886" s="20">
        <f>IF($N3886="","",IFERROR(IF(VLOOKUP(INDEX(LdBMember,$N3886),AcctTblE,4,0)="","(بدون نام)",VLOOKUP(INDEX(LdBMember,$N3886),AcctTblE,4,0)),"—"))</f>
        <v/>
      </c>
      <c r="F3886" s="21">
        <f>IF($N3886="","",IF(INDEX(LdBAmt,$N3886)=0,"",INDEX(LdBAmt,$N3886)))</f>
        <v/>
      </c>
      <c r="G3886" s="32">
        <f>IF($N3886="","",IF(INDEX(LdBNote,$N3886)="","—",INDEX(LdBNote,$N3886)))</f>
        <v/>
      </c>
      <c r="N3886">
        <f>IFERROR(MATCH($C$5&amp;"|"&amp;RIGHT("000000"&amp;1866,6),LdBKeyG,0),"")</f>
        <v/>
      </c>
    </row>
    <row r="3887">
      <c r="A3887" s="10" t="n">
        <v>1867</v>
      </c>
      <c r="B3887" s="14">
        <f>IF($N3887="","",INDEX(LdBDate,$N3887))</f>
        <v/>
      </c>
      <c r="C3887" s="14">
        <f>IF($N3887="","",IF(INDEX(LdBId,$N3887)="","—",INDEX(LdBId,$N3887)))</f>
        <v/>
      </c>
      <c r="D3887" s="14">
        <f>IF($N3887="","",INDEX(LdBMember,$N3887))</f>
        <v/>
      </c>
      <c r="E3887" s="14">
        <f>IF($N3887="","",IFERROR(IF(VLOOKUP(INDEX(LdBMember,$N3887),AcctTblE,4,0)="","(بدون نام)",VLOOKUP(INDEX(LdBMember,$N3887),AcctTblE,4,0)),"—"))</f>
        <v/>
      </c>
      <c r="F3887" s="16">
        <f>IF($N3887="","",IF(INDEX(LdBAmt,$N3887)=0,"",INDEX(LdBAmt,$N3887)))</f>
        <v/>
      </c>
      <c r="G3887" s="30">
        <f>IF($N3887="","",IF(INDEX(LdBNote,$N3887)="","—",INDEX(LdBNote,$N3887)))</f>
        <v/>
      </c>
      <c r="N3887">
        <f>IFERROR(MATCH($C$5&amp;"|"&amp;RIGHT("000000"&amp;1867,6),LdBKeyG,0),"")</f>
        <v/>
      </c>
    </row>
    <row r="3888">
      <c r="A3888" s="19" t="n">
        <v>1868</v>
      </c>
      <c r="B3888" s="20">
        <f>IF($N3888="","",INDEX(LdBDate,$N3888))</f>
        <v/>
      </c>
      <c r="C3888" s="20">
        <f>IF($N3888="","",IF(INDEX(LdBId,$N3888)="","—",INDEX(LdBId,$N3888)))</f>
        <v/>
      </c>
      <c r="D3888" s="20">
        <f>IF($N3888="","",INDEX(LdBMember,$N3888))</f>
        <v/>
      </c>
      <c r="E3888" s="20">
        <f>IF($N3888="","",IFERROR(IF(VLOOKUP(INDEX(LdBMember,$N3888),AcctTblE,4,0)="","(بدون نام)",VLOOKUP(INDEX(LdBMember,$N3888),AcctTblE,4,0)),"—"))</f>
        <v/>
      </c>
      <c r="F3888" s="21">
        <f>IF($N3888="","",IF(INDEX(LdBAmt,$N3888)=0,"",INDEX(LdBAmt,$N3888)))</f>
        <v/>
      </c>
      <c r="G3888" s="32">
        <f>IF($N3888="","",IF(INDEX(LdBNote,$N3888)="","—",INDEX(LdBNote,$N3888)))</f>
        <v/>
      </c>
      <c r="N3888">
        <f>IFERROR(MATCH($C$5&amp;"|"&amp;RIGHT("000000"&amp;1868,6),LdBKeyG,0),"")</f>
        <v/>
      </c>
    </row>
    <row r="3889">
      <c r="A3889" s="10" t="n">
        <v>1869</v>
      </c>
      <c r="B3889" s="14">
        <f>IF($N3889="","",INDEX(LdBDate,$N3889))</f>
        <v/>
      </c>
      <c r="C3889" s="14">
        <f>IF($N3889="","",IF(INDEX(LdBId,$N3889)="","—",INDEX(LdBId,$N3889)))</f>
        <v/>
      </c>
      <c r="D3889" s="14">
        <f>IF($N3889="","",INDEX(LdBMember,$N3889))</f>
        <v/>
      </c>
      <c r="E3889" s="14">
        <f>IF($N3889="","",IFERROR(IF(VLOOKUP(INDEX(LdBMember,$N3889),AcctTblE,4,0)="","(بدون نام)",VLOOKUP(INDEX(LdBMember,$N3889),AcctTblE,4,0)),"—"))</f>
        <v/>
      </c>
      <c r="F3889" s="16">
        <f>IF($N3889="","",IF(INDEX(LdBAmt,$N3889)=0,"",INDEX(LdBAmt,$N3889)))</f>
        <v/>
      </c>
      <c r="G3889" s="30">
        <f>IF($N3889="","",IF(INDEX(LdBNote,$N3889)="","—",INDEX(LdBNote,$N3889)))</f>
        <v/>
      </c>
      <c r="N3889">
        <f>IFERROR(MATCH($C$5&amp;"|"&amp;RIGHT("000000"&amp;1869,6),LdBKeyG,0),"")</f>
        <v/>
      </c>
    </row>
    <row r="3890">
      <c r="A3890" s="19" t="n">
        <v>1870</v>
      </c>
      <c r="B3890" s="20">
        <f>IF($N3890="","",INDEX(LdBDate,$N3890))</f>
        <v/>
      </c>
      <c r="C3890" s="20">
        <f>IF($N3890="","",IF(INDEX(LdBId,$N3890)="","—",INDEX(LdBId,$N3890)))</f>
        <v/>
      </c>
      <c r="D3890" s="20">
        <f>IF($N3890="","",INDEX(LdBMember,$N3890))</f>
        <v/>
      </c>
      <c r="E3890" s="20">
        <f>IF($N3890="","",IFERROR(IF(VLOOKUP(INDEX(LdBMember,$N3890),AcctTblE,4,0)="","(بدون نام)",VLOOKUP(INDEX(LdBMember,$N3890),AcctTblE,4,0)),"—"))</f>
        <v/>
      </c>
      <c r="F3890" s="21">
        <f>IF($N3890="","",IF(INDEX(LdBAmt,$N3890)=0,"",INDEX(LdBAmt,$N3890)))</f>
        <v/>
      </c>
      <c r="G3890" s="32">
        <f>IF($N3890="","",IF(INDEX(LdBNote,$N3890)="","—",INDEX(LdBNote,$N3890)))</f>
        <v/>
      </c>
      <c r="N3890">
        <f>IFERROR(MATCH($C$5&amp;"|"&amp;RIGHT("000000"&amp;1870,6),LdBKeyG,0),"")</f>
        <v/>
      </c>
    </row>
    <row r="3891">
      <c r="A3891" s="10" t="n">
        <v>1871</v>
      </c>
      <c r="B3891" s="14">
        <f>IF($N3891="","",INDEX(LdBDate,$N3891))</f>
        <v/>
      </c>
      <c r="C3891" s="14">
        <f>IF($N3891="","",IF(INDEX(LdBId,$N3891)="","—",INDEX(LdBId,$N3891)))</f>
        <v/>
      </c>
      <c r="D3891" s="14">
        <f>IF($N3891="","",INDEX(LdBMember,$N3891))</f>
        <v/>
      </c>
      <c r="E3891" s="14">
        <f>IF($N3891="","",IFERROR(IF(VLOOKUP(INDEX(LdBMember,$N3891),AcctTblE,4,0)="","(بدون نام)",VLOOKUP(INDEX(LdBMember,$N3891),AcctTblE,4,0)),"—"))</f>
        <v/>
      </c>
      <c r="F3891" s="16">
        <f>IF($N3891="","",IF(INDEX(LdBAmt,$N3891)=0,"",INDEX(LdBAmt,$N3891)))</f>
        <v/>
      </c>
      <c r="G3891" s="30">
        <f>IF($N3891="","",IF(INDEX(LdBNote,$N3891)="","—",INDEX(LdBNote,$N3891)))</f>
        <v/>
      </c>
      <c r="N3891">
        <f>IFERROR(MATCH($C$5&amp;"|"&amp;RIGHT("000000"&amp;1871,6),LdBKeyG,0),"")</f>
        <v/>
      </c>
    </row>
    <row r="3892">
      <c r="A3892" s="19" t="n">
        <v>1872</v>
      </c>
      <c r="B3892" s="20">
        <f>IF($N3892="","",INDEX(LdBDate,$N3892))</f>
        <v/>
      </c>
      <c r="C3892" s="20">
        <f>IF($N3892="","",IF(INDEX(LdBId,$N3892)="","—",INDEX(LdBId,$N3892)))</f>
        <v/>
      </c>
      <c r="D3892" s="20">
        <f>IF($N3892="","",INDEX(LdBMember,$N3892))</f>
        <v/>
      </c>
      <c r="E3892" s="20">
        <f>IF($N3892="","",IFERROR(IF(VLOOKUP(INDEX(LdBMember,$N3892),AcctTblE,4,0)="","(بدون نام)",VLOOKUP(INDEX(LdBMember,$N3892),AcctTblE,4,0)),"—"))</f>
        <v/>
      </c>
      <c r="F3892" s="21">
        <f>IF($N3892="","",IF(INDEX(LdBAmt,$N3892)=0,"",INDEX(LdBAmt,$N3892)))</f>
        <v/>
      </c>
      <c r="G3892" s="32">
        <f>IF($N3892="","",IF(INDEX(LdBNote,$N3892)="","—",INDEX(LdBNote,$N3892)))</f>
        <v/>
      </c>
      <c r="N3892">
        <f>IFERROR(MATCH($C$5&amp;"|"&amp;RIGHT("000000"&amp;1872,6),LdBKeyG,0),"")</f>
        <v/>
      </c>
    </row>
    <row r="3893">
      <c r="A3893" s="10" t="n">
        <v>1873</v>
      </c>
      <c r="B3893" s="14">
        <f>IF($N3893="","",INDEX(LdBDate,$N3893))</f>
        <v/>
      </c>
      <c r="C3893" s="14">
        <f>IF($N3893="","",IF(INDEX(LdBId,$N3893)="","—",INDEX(LdBId,$N3893)))</f>
        <v/>
      </c>
      <c r="D3893" s="14">
        <f>IF($N3893="","",INDEX(LdBMember,$N3893))</f>
        <v/>
      </c>
      <c r="E3893" s="14">
        <f>IF($N3893="","",IFERROR(IF(VLOOKUP(INDEX(LdBMember,$N3893),AcctTblE,4,0)="","(بدون نام)",VLOOKUP(INDEX(LdBMember,$N3893),AcctTblE,4,0)),"—"))</f>
        <v/>
      </c>
      <c r="F3893" s="16">
        <f>IF($N3893="","",IF(INDEX(LdBAmt,$N3893)=0,"",INDEX(LdBAmt,$N3893)))</f>
        <v/>
      </c>
      <c r="G3893" s="30">
        <f>IF($N3893="","",IF(INDEX(LdBNote,$N3893)="","—",INDEX(LdBNote,$N3893)))</f>
        <v/>
      </c>
      <c r="N3893">
        <f>IFERROR(MATCH($C$5&amp;"|"&amp;RIGHT("000000"&amp;1873,6),LdBKeyG,0),"")</f>
        <v/>
      </c>
    </row>
    <row r="3894">
      <c r="A3894" s="19" t="n">
        <v>1874</v>
      </c>
      <c r="B3894" s="20">
        <f>IF($N3894="","",INDEX(LdBDate,$N3894))</f>
        <v/>
      </c>
      <c r="C3894" s="20">
        <f>IF($N3894="","",IF(INDEX(LdBId,$N3894)="","—",INDEX(LdBId,$N3894)))</f>
        <v/>
      </c>
      <c r="D3894" s="20">
        <f>IF($N3894="","",INDEX(LdBMember,$N3894))</f>
        <v/>
      </c>
      <c r="E3894" s="20">
        <f>IF($N3894="","",IFERROR(IF(VLOOKUP(INDEX(LdBMember,$N3894),AcctTblE,4,0)="","(بدون نام)",VLOOKUP(INDEX(LdBMember,$N3894),AcctTblE,4,0)),"—"))</f>
        <v/>
      </c>
      <c r="F3894" s="21">
        <f>IF($N3894="","",IF(INDEX(LdBAmt,$N3894)=0,"",INDEX(LdBAmt,$N3894)))</f>
        <v/>
      </c>
      <c r="G3894" s="32">
        <f>IF($N3894="","",IF(INDEX(LdBNote,$N3894)="","—",INDEX(LdBNote,$N3894)))</f>
        <v/>
      </c>
      <c r="N3894">
        <f>IFERROR(MATCH($C$5&amp;"|"&amp;RIGHT("000000"&amp;1874,6),LdBKeyG,0),"")</f>
        <v/>
      </c>
    </row>
    <row r="3895">
      <c r="A3895" s="10" t="n">
        <v>1875</v>
      </c>
      <c r="B3895" s="14">
        <f>IF($N3895="","",INDEX(LdBDate,$N3895))</f>
        <v/>
      </c>
      <c r="C3895" s="14">
        <f>IF($N3895="","",IF(INDEX(LdBId,$N3895)="","—",INDEX(LdBId,$N3895)))</f>
        <v/>
      </c>
      <c r="D3895" s="14">
        <f>IF($N3895="","",INDEX(LdBMember,$N3895))</f>
        <v/>
      </c>
      <c r="E3895" s="14">
        <f>IF($N3895="","",IFERROR(IF(VLOOKUP(INDEX(LdBMember,$N3895),AcctTblE,4,0)="","(بدون نام)",VLOOKUP(INDEX(LdBMember,$N3895),AcctTblE,4,0)),"—"))</f>
        <v/>
      </c>
      <c r="F3895" s="16">
        <f>IF($N3895="","",IF(INDEX(LdBAmt,$N3895)=0,"",INDEX(LdBAmt,$N3895)))</f>
        <v/>
      </c>
      <c r="G3895" s="30">
        <f>IF($N3895="","",IF(INDEX(LdBNote,$N3895)="","—",INDEX(LdBNote,$N3895)))</f>
        <v/>
      </c>
      <c r="N3895">
        <f>IFERROR(MATCH($C$5&amp;"|"&amp;RIGHT("000000"&amp;1875,6),LdBKeyG,0),"")</f>
        <v/>
      </c>
    </row>
    <row r="3896">
      <c r="A3896" s="19" t="n">
        <v>1876</v>
      </c>
      <c r="B3896" s="20">
        <f>IF($N3896="","",INDEX(LdBDate,$N3896))</f>
        <v/>
      </c>
      <c r="C3896" s="20">
        <f>IF($N3896="","",IF(INDEX(LdBId,$N3896)="","—",INDEX(LdBId,$N3896)))</f>
        <v/>
      </c>
      <c r="D3896" s="20">
        <f>IF($N3896="","",INDEX(LdBMember,$N3896))</f>
        <v/>
      </c>
      <c r="E3896" s="20">
        <f>IF($N3896="","",IFERROR(IF(VLOOKUP(INDEX(LdBMember,$N3896),AcctTblE,4,0)="","(بدون نام)",VLOOKUP(INDEX(LdBMember,$N3896),AcctTblE,4,0)),"—"))</f>
        <v/>
      </c>
      <c r="F3896" s="21">
        <f>IF($N3896="","",IF(INDEX(LdBAmt,$N3896)=0,"",INDEX(LdBAmt,$N3896)))</f>
        <v/>
      </c>
      <c r="G3896" s="32">
        <f>IF($N3896="","",IF(INDEX(LdBNote,$N3896)="","—",INDEX(LdBNote,$N3896)))</f>
        <v/>
      </c>
      <c r="N3896">
        <f>IFERROR(MATCH($C$5&amp;"|"&amp;RIGHT("000000"&amp;1876,6),LdBKeyG,0),"")</f>
        <v/>
      </c>
    </row>
    <row r="3897">
      <c r="A3897" s="10" t="n">
        <v>1877</v>
      </c>
      <c r="B3897" s="14">
        <f>IF($N3897="","",INDEX(LdBDate,$N3897))</f>
        <v/>
      </c>
      <c r="C3897" s="14">
        <f>IF($N3897="","",IF(INDEX(LdBId,$N3897)="","—",INDEX(LdBId,$N3897)))</f>
        <v/>
      </c>
      <c r="D3897" s="14">
        <f>IF($N3897="","",INDEX(LdBMember,$N3897))</f>
        <v/>
      </c>
      <c r="E3897" s="14">
        <f>IF($N3897="","",IFERROR(IF(VLOOKUP(INDEX(LdBMember,$N3897),AcctTblE,4,0)="","(بدون نام)",VLOOKUP(INDEX(LdBMember,$N3897),AcctTblE,4,0)),"—"))</f>
        <v/>
      </c>
      <c r="F3897" s="16">
        <f>IF($N3897="","",IF(INDEX(LdBAmt,$N3897)=0,"",INDEX(LdBAmt,$N3897)))</f>
        <v/>
      </c>
      <c r="G3897" s="30">
        <f>IF($N3897="","",IF(INDEX(LdBNote,$N3897)="","—",INDEX(LdBNote,$N3897)))</f>
        <v/>
      </c>
      <c r="N3897">
        <f>IFERROR(MATCH($C$5&amp;"|"&amp;RIGHT("000000"&amp;1877,6),LdBKeyG,0),"")</f>
        <v/>
      </c>
    </row>
    <row r="3898">
      <c r="A3898" s="19" t="n">
        <v>1878</v>
      </c>
      <c r="B3898" s="20">
        <f>IF($N3898="","",INDEX(LdBDate,$N3898))</f>
        <v/>
      </c>
      <c r="C3898" s="20">
        <f>IF($N3898="","",IF(INDEX(LdBId,$N3898)="","—",INDEX(LdBId,$N3898)))</f>
        <v/>
      </c>
      <c r="D3898" s="20">
        <f>IF($N3898="","",INDEX(LdBMember,$N3898))</f>
        <v/>
      </c>
      <c r="E3898" s="20">
        <f>IF($N3898="","",IFERROR(IF(VLOOKUP(INDEX(LdBMember,$N3898),AcctTblE,4,0)="","(بدون نام)",VLOOKUP(INDEX(LdBMember,$N3898),AcctTblE,4,0)),"—"))</f>
        <v/>
      </c>
      <c r="F3898" s="21">
        <f>IF($N3898="","",IF(INDEX(LdBAmt,$N3898)=0,"",INDEX(LdBAmt,$N3898)))</f>
        <v/>
      </c>
      <c r="G3898" s="32">
        <f>IF($N3898="","",IF(INDEX(LdBNote,$N3898)="","—",INDEX(LdBNote,$N3898)))</f>
        <v/>
      </c>
      <c r="N3898">
        <f>IFERROR(MATCH($C$5&amp;"|"&amp;RIGHT("000000"&amp;1878,6),LdBKeyG,0),"")</f>
        <v/>
      </c>
    </row>
    <row r="3899">
      <c r="A3899" s="10" t="n">
        <v>1879</v>
      </c>
      <c r="B3899" s="14">
        <f>IF($N3899="","",INDEX(LdBDate,$N3899))</f>
        <v/>
      </c>
      <c r="C3899" s="14">
        <f>IF($N3899="","",IF(INDEX(LdBId,$N3899)="","—",INDEX(LdBId,$N3899)))</f>
        <v/>
      </c>
      <c r="D3899" s="14">
        <f>IF($N3899="","",INDEX(LdBMember,$N3899))</f>
        <v/>
      </c>
      <c r="E3899" s="14">
        <f>IF($N3899="","",IFERROR(IF(VLOOKUP(INDEX(LdBMember,$N3899),AcctTblE,4,0)="","(بدون نام)",VLOOKUP(INDEX(LdBMember,$N3899),AcctTblE,4,0)),"—"))</f>
        <v/>
      </c>
      <c r="F3899" s="16">
        <f>IF($N3899="","",IF(INDEX(LdBAmt,$N3899)=0,"",INDEX(LdBAmt,$N3899)))</f>
        <v/>
      </c>
      <c r="G3899" s="30">
        <f>IF($N3899="","",IF(INDEX(LdBNote,$N3899)="","—",INDEX(LdBNote,$N3899)))</f>
        <v/>
      </c>
      <c r="N3899">
        <f>IFERROR(MATCH($C$5&amp;"|"&amp;RIGHT("000000"&amp;1879,6),LdBKeyG,0),"")</f>
        <v/>
      </c>
    </row>
    <row r="3900">
      <c r="A3900" s="19" t="n">
        <v>1880</v>
      </c>
      <c r="B3900" s="20">
        <f>IF($N3900="","",INDEX(LdBDate,$N3900))</f>
        <v/>
      </c>
      <c r="C3900" s="20">
        <f>IF($N3900="","",IF(INDEX(LdBId,$N3900)="","—",INDEX(LdBId,$N3900)))</f>
        <v/>
      </c>
      <c r="D3900" s="20">
        <f>IF($N3900="","",INDEX(LdBMember,$N3900))</f>
        <v/>
      </c>
      <c r="E3900" s="20">
        <f>IF($N3900="","",IFERROR(IF(VLOOKUP(INDEX(LdBMember,$N3900),AcctTblE,4,0)="","(بدون نام)",VLOOKUP(INDEX(LdBMember,$N3900),AcctTblE,4,0)),"—"))</f>
        <v/>
      </c>
      <c r="F3900" s="21">
        <f>IF($N3900="","",IF(INDEX(LdBAmt,$N3900)=0,"",INDEX(LdBAmt,$N3900)))</f>
        <v/>
      </c>
      <c r="G3900" s="32">
        <f>IF($N3900="","",IF(INDEX(LdBNote,$N3900)="","—",INDEX(LdBNote,$N3900)))</f>
        <v/>
      </c>
      <c r="N3900">
        <f>IFERROR(MATCH($C$5&amp;"|"&amp;RIGHT("000000"&amp;1880,6),LdBKeyG,0),"")</f>
        <v/>
      </c>
    </row>
    <row r="3901">
      <c r="A3901" s="10" t="n">
        <v>1881</v>
      </c>
      <c r="B3901" s="14">
        <f>IF($N3901="","",INDEX(LdBDate,$N3901))</f>
        <v/>
      </c>
      <c r="C3901" s="14">
        <f>IF($N3901="","",IF(INDEX(LdBId,$N3901)="","—",INDEX(LdBId,$N3901)))</f>
        <v/>
      </c>
      <c r="D3901" s="14">
        <f>IF($N3901="","",INDEX(LdBMember,$N3901))</f>
        <v/>
      </c>
      <c r="E3901" s="14">
        <f>IF($N3901="","",IFERROR(IF(VLOOKUP(INDEX(LdBMember,$N3901),AcctTblE,4,0)="","(بدون نام)",VLOOKUP(INDEX(LdBMember,$N3901),AcctTblE,4,0)),"—"))</f>
        <v/>
      </c>
      <c r="F3901" s="16">
        <f>IF($N3901="","",IF(INDEX(LdBAmt,$N3901)=0,"",INDEX(LdBAmt,$N3901)))</f>
        <v/>
      </c>
      <c r="G3901" s="30">
        <f>IF($N3901="","",IF(INDEX(LdBNote,$N3901)="","—",INDEX(LdBNote,$N3901)))</f>
        <v/>
      </c>
      <c r="N3901">
        <f>IFERROR(MATCH($C$5&amp;"|"&amp;RIGHT("000000"&amp;1881,6),LdBKeyG,0),"")</f>
        <v/>
      </c>
    </row>
    <row r="3902">
      <c r="A3902" s="19" t="n">
        <v>1882</v>
      </c>
      <c r="B3902" s="20">
        <f>IF($N3902="","",INDEX(LdBDate,$N3902))</f>
        <v/>
      </c>
      <c r="C3902" s="20">
        <f>IF($N3902="","",IF(INDEX(LdBId,$N3902)="","—",INDEX(LdBId,$N3902)))</f>
        <v/>
      </c>
      <c r="D3902" s="20">
        <f>IF($N3902="","",INDEX(LdBMember,$N3902))</f>
        <v/>
      </c>
      <c r="E3902" s="20">
        <f>IF($N3902="","",IFERROR(IF(VLOOKUP(INDEX(LdBMember,$N3902),AcctTblE,4,0)="","(بدون نام)",VLOOKUP(INDEX(LdBMember,$N3902),AcctTblE,4,0)),"—"))</f>
        <v/>
      </c>
      <c r="F3902" s="21">
        <f>IF($N3902="","",IF(INDEX(LdBAmt,$N3902)=0,"",INDEX(LdBAmt,$N3902)))</f>
        <v/>
      </c>
      <c r="G3902" s="32">
        <f>IF($N3902="","",IF(INDEX(LdBNote,$N3902)="","—",INDEX(LdBNote,$N3902)))</f>
        <v/>
      </c>
      <c r="N3902">
        <f>IFERROR(MATCH($C$5&amp;"|"&amp;RIGHT("000000"&amp;1882,6),LdBKeyG,0),"")</f>
        <v/>
      </c>
    </row>
    <row r="3903">
      <c r="A3903" s="10" t="n">
        <v>1883</v>
      </c>
      <c r="B3903" s="14">
        <f>IF($N3903="","",INDEX(LdBDate,$N3903))</f>
        <v/>
      </c>
      <c r="C3903" s="14">
        <f>IF($N3903="","",IF(INDEX(LdBId,$N3903)="","—",INDEX(LdBId,$N3903)))</f>
        <v/>
      </c>
      <c r="D3903" s="14">
        <f>IF($N3903="","",INDEX(LdBMember,$N3903))</f>
        <v/>
      </c>
      <c r="E3903" s="14">
        <f>IF($N3903="","",IFERROR(IF(VLOOKUP(INDEX(LdBMember,$N3903),AcctTblE,4,0)="","(بدون نام)",VLOOKUP(INDEX(LdBMember,$N3903),AcctTblE,4,0)),"—"))</f>
        <v/>
      </c>
      <c r="F3903" s="16">
        <f>IF($N3903="","",IF(INDEX(LdBAmt,$N3903)=0,"",INDEX(LdBAmt,$N3903)))</f>
        <v/>
      </c>
      <c r="G3903" s="30">
        <f>IF($N3903="","",IF(INDEX(LdBNote,$N3903)="","—",INDEX(LdBNote,$N3903)))</f>
        <v/>
      </c>
      <c r="N3903">
        <f>IFERROR(MATCH($C$5&amp;"|"&amp;RIGHT("000000"&amp;1883,6),LdBKeyG,0),"")</f>
        <v/>
      </c>
    </row>
    <row r="3904">
      <c r="A3904" s="19" t="n">
        <v>1884</v>
      </c>
      <c r="B3904" s="20">
        <f>IF($N3904="","",INDEX(LdBDate,$N3904))</f>
        <v/>
      </c>
      <c r="C3904" s="20">
        <f>IF($N3904="","",IF(INDEX(LdBId,$N3904)="","—",INDEX(LdBId,$N3904)))</f>
        <v/>
      </c>
      <c r="D3904" s="20">
        <f>IF($N3904="","",INDEX(LdBMember,$N3904))</f>
        <v/>
      </c>
      <c r="E3904" s="20">
        <f>IF($N3904="","",IFERROR(IF(VLOOKUP(INDEX(LdBMember,$N3904),AcctTblE,4,0)="","(بدون نام)",VLOOKUP(INDEX(LdBMember,$N3904),AcctTblE,4,0)),"—"))</f>
        <v/>
      </c>
      <c r="F3904" s="21">
        <f>IF($N3904="","",IF(INDEX(LdBAmt,$N3904)=0,"",INDEX(LdBAmt,$N3904)))</f>
        <v/>
      </c>
      <c r="G3904" s="32">
        <f>IF($N3904="","",IF(INDEX(LdBNote,$N3904)="","—",INDEX(LdBNote,$N3904)))</f>
        <v/>
      </c>
      <c r="N3904">
        <f>IFERROR(MATCH($C$5&amp;"|"&amp;RIGHT("000000"&amp;1884,6),LdBKeyG,0),"")</f>
        <v/>
      </c>
    </row>
    <row r="3905">
      <c r="A3905" s="10" t="n">
        <v>1885</v>
      </c>
      <c r="B3905" s="14">
        <f>IF($N3905="","",INDEX(LdBDate,$N3905))</f>
        <v/>
      </c>
      <c r="C3905" s="14">
        <f>IF($N3905="","",IF(INDEX(LdBId,$N3905)="","—",INDEX(LdBId,$N3905)))</f>
        <v/>
      </c>
      <c r="D3905" s="14">
        <f>IF($N3905="","",INDEX(LdBMember,$N3905))</f>
        <v/>
      </c>
      <c r="E3905" s="14">
        <f>IF($N3905="","",IFERROR(IF(VLOOKUP(INDEX(LdBMember,$N3905),AcctTblE,4,0)="","(بدون نام)",VLOOKUP(INDEX(LdBMember,$N3905),AcctTblE,4,0)),"—"))</f>
        <v/>
      </c>
      <c r="F3905" s="16">
        <f>IF($N3905="","",IF(INDEX(LdBAmt,$N3905)=0,"",INDEX(LdBAmt,$N3905)))</f>
        <v/>
      </c>
      <c r="G3905" s="30">
        <f>IF($N3905="","",IF(INDEX(LdBNote,$N3905)="","—",INDEX(LdBNote,$N3905)))</f>
        <v/>
      </c>
      <c r="N3905">
        <f>IFERROR(MATCH($C$5&amp;"|"&amp;RIGHT("000000"&amp;1885,6),LdBKeyG,0),"")</f>
        <v/>
      </c>
    </row>
    <row r="3906">
      <c r="A3906" s="19" t="n">
        <v>1886</v>
      </c>
      <c r="B3906" s="20">
        <f>IF($N3906="","",INDEX(LdBDate,$N3906))</f>
        <v/>
      </c>
      <c r="C3906" s="20">
        <f>IF($N3906="","",IF(INDEX(LdBId,$N3906)="","—",INDEX(LdBId,$N3906)))</f>
        <v/>
      </c>
      <c r="D3906" s="20">
        <f>IF($N3906="","",INDEX(LdBMember,$N3906))</f>
        <v/>
      </c>
      <c r="E3906" s="20">
        <f>IF($N3906="","",IFERROR(IF(VLOOKUP(INDEX(LdBMember,$N3906),AcctTblE,4,0)="","(بدون نام)",VLOOKUP(INDEX(LdBMember,$N3906),AcctTblE,4,0)),"—"))</f>
        <v/>
      </c>
      <c r="F3906" s="21">
        <f>IF($N3906="","",IF(INDEX(LdBAmt,$N3906)=0,"",INDEX(LdBAmt,$N3906)))</f>
        <v/>
      </c>
      <c r="G3906" s="32">
        <f>IF($N3906="","",IF(INDEX(LdBNote,$N3906)="","—",INDEX(LdBNote,$N3906)))</f>
        <v/>
      </c>
      <c r="N3906">
        <f>IFERROR(MATCH($C$5&amp;"|"&amp;RIGHT("000000"&amp;1886,6),LdBKeyG,0),"")</f>
        <v/>
      </c>
    </row>
    <row r="3907">
      <c r="A3907" s="10" t="n">
        <v>1887</v>
      </c>
      <c r="B3907" s="14">
        <f>IF($N3907="","",INDEX(LdBDate,$N3907))</f>
        <v/>
      </c>
      <c r="C3907" s="14">
        <f>IF($N3907="","",IF(INDEX(LdBId,$N3907)="","—",INDEX(LdBId,$N3907)))</f>
        <v/>
      </c>
      <c r="D3907" s="14">
        <f>IF($N3907="","",INDEX(LdBMember,$N3907))</f>
        <v/>
      </c>
      <c r="E3907" s="14">
        <f>IF($N3907="","",IFERROR(IF(VLOOKUP(INDEX(LdBMember,$N3907),AcctTblE,4,0)="","(بدون نام)",VLOOKUP(INDEX(LdBMember,$N3907),AcctTblE,4,0)),"—"))</f>
        <v/>
      </c>
      <c r="F3907" s="16">
        <f>IF($N3907="","",IF(INDEX(LdBAmt,$N3907)=0,"",INDEX(LdBAmt,$N3907)))</f>
        <v/>
      </c>
      <c r="G3907" s="30">
        <f>IF($N3907="","",IF(INDEX(LdBNote,$N3907)="","—",INDEX(LdBNote,$N3907)))</f>
        <v/>
      </c>
      <c r="N3907">
        <f>IFERROR(MATCH($C$5&amp;"|"&amp;RIGHT("000000"&amp;1887,6),LdBKeyG,0),"")</f>
        <v/>
      </c>
    </row>
    <row r="3908">
      <c r="A3908" s="19" t="n">
        <v>1888</v>
      </c>
      <c r="B3908" s="20">
        <f>IF($N3908="","",INDEX(LdBDate,$N3908))</f>
        <v/>
      </c>
      <c r="C3908" s="20">
        <f>IF($N3908="","",IF(INDEX(LdBId,$N3908)="","—",INDEX(LdBId,$N3908)))</f>
        <v/>
      </c>
      <c r="D3908" s="20">
        <f>IF($N3908="","",INDEX(LdBMember,$N3908))</f>
        <v/>
      </c>
      <c r="E3908" s="20">
        <f>IF($N3908="","",IFERROR(IF(VLOOKUP(INDEX(LdBMember,$N3908),AcctTblE,4,0)="","(بدون نام)",VLOOKUP(INDEX(LdBMember,$N3908),AcctTblE,4,0)),"—"))</f>
        <v/>
      </c>
      <c r="F3908" s="21">
        <f>IF($N3908="","",IF(INDEX(LdBAmt,$N3908)=0,"",INDEX(LdBAmt,$N3908)))</f>
        <v/>
      </c>
      <c r="G3908" s="32">
        <f>IF($N3908="","",IF(INDEX(LdBNote,$N3908)="","—",INDEX(LdBNote,$N3908)))</f>
        <v/>
      </c>
      <c r="N3908">
        <f>IFERROR(MATCH($C$5&amp;"|"&amp;RIGHT("000000"&amp;1888,6),LdBKeyG,0),"")</f>
        <v/>
      </c>
    </row>
    <row r="3909">
      <c r="A3909" s="10" t="n">
        <v>1889</v>
      </c>
      <c r="B3909" s="14">
        <f>IF($N3909="","",INDEX(LdBDate,$N3909))</f>
        <v/>
      </c>
      <c r="C3909" s="14">
        <f>IF($N3909="","",IF(INDEX(LdBId,$N3909)="","—",INDEX(LdBId,$N3909)))</f>
        <v/>
      </c>
      <c r="D3909" s="14">
        <f>IF($N3909="","",INDEX(LdBMember,$N3909))</f>
        <v/>
      </c>
      <c r="E3909" s="14">
        <f>IF($N3909="","",IFERROR(IF(VLOOKUP(INDEX(LdBMember,$N3909),AcctTblE,4,0)="","(بدون نام)",VLOOKUP(INDEX(LdBMember,$N3909),AcctTblE,4,0)),"—"))</f>
        <v/>
      </c>
      <c r="F3909" s="16">
        <f>IF($N3909="","",IF(INDEX(LdBAmt,$N3909)=0,"",INDEX(LdBAmt,$N3909)))</f>
        <v/>
      </c>
      <c r="G3909" s="30">
        <f>IF($N3909="","",IF(INDEX(LdBNote,$N3909)="","—",INDEX(LdBNote,$N3909)))</f>
        <v/>
      </c>
      <c r="N3909">
        <f>IFERROR(MATCH($C$5&amp;"|"&amp;RIGHT("000000"&amp;1889,6),LdBKeyG,0),"")</f>
        <v/>
      </c>
    </row>
    <row r="3910">
      <c r="A3910" s="19" t="n">
        <v>1890</v>
      </c>
      <c r="B3910" s="20">
        <f>IF($N3910="","",INDEX(LdBDate,$N3910))</f>
        <v/>
      </c>
      <c r="C3910" s="20">
        <f>IF($N3910="","",IF(INDEX(LdBId,$N3910)="","—",INDEX(LdBId,$N3910)))</f>
        <v/>
      </c>
      <c r="D3910" s="20">
        <f>IF($N3910="","",INDEX(LdBMember,$N3910))</f>
        <v/>
      </c>
      <c r="E3910" s="20">
        <f>IF($N3910="","",IFERROR(IF(VLOOKUP(INDEX(LdBMember,$N3910),AcctTblE,4,0)="","(بدون نام)",VLOOKUP(INDEX(LdBMember,$N3910),AcctTblE,4,0)),"—"))</f>
        <v/>
      </c>
      <c r="F3910" s="21">
        <f>IF($N3910="","",IF(INDEX(LdBAmt,$N3910)=0,"",INDEX(LdBAmt,$N3910)))</f>
        <v/>
      </c>
      <c r="G3910" s="32">
        <f>IF($N3910="","",IF(INDEX(LdBNote,$N3910)="","—",INDEX(LdBNote,$N3910)))</f>
        <v/>
      </c>
      <c r="N3910">
        <f>IFERROR(MATCH($C$5&amp;"|"&amp;RIGHT("000000"&amp;1890,6),LdBKeyG,0),"")</f>
        <v/>
      </c>
    </row>
    <row r="3911">
      <c r="A3911" s="10" t="n">
        <v>1891</v>
      </c>
      <c r="B3911" s="14">
        <f>IF($N3911="","",INDEX(LdBDate,$N3911))</f>
        <v/>
      </c>
      <c r="C3911" s="14">
        <f>IF($N3911="","",IF(INDEX(LdBId,$N3911)="","—",INDEX(LdBId,$N3911)))</f>
        <v/>
      </c>
      <c r="D3911" s="14">
        <f>IF($N3911="","",INDEX(LdBMember,$N3911))</f>
        <v/>
      </c>
      <c r="E3911" s="14">
        <f>IF($N3911="","",IFERROR(IF(VLOOKUP(INDEX(LdBMember,$N3911),AcctTblE,4,0)="","(بدون نام)",VLOOKUP(INDEX(LdBMember,$N3911),AcctTblE,4,0)),"—"))</f>
        <v/>
      </c>
      <c r="F3911" s="16">
        <f>IF($N3911="","",IF(INDEX(LdBAmt,$N3911)=0,"",INDEX(LdBAmt,$N3911)))</f>
        <v/>
      </c>
      <c r="G3911" s="30">
        <f>IF($N3911="","",IF(INDEX(LdBNote,$N3911)="","—",INDEX(LdBNote,$N3911)))</f>
        <v/>
      </c>
      <c r="N3911">
        <f>IFERROR(MATCH($C$5&amp;"|"&amp;RIGHT("000000"&amp;1891,6),LdBKeyG,0),"")</f>
        <v/>
      </c>
    </row>
    <row r="3912">
      <c r="A3912" s="19" t="n">
        <v>1892</v>
      </c>
      <c r="B3912" s="20">
        <f>IF($N3912="","",INDEX(LdBDate,$N3912))</f>
        <v/>
      </c>
      <c r="C3912" s="20">
        <f>IF($N3912="","",IF(INDEX(LdBId,$N3912)="","—",INDEX(LdBId,$N3912)))</f>
        <v/>
      </c>
      <c r="D3912" s="20">
        <f>IF($N3912="","",INDEX(LdBMember,$N3912))</f>
        <v/>
      </c>
      <c r="E3912" s="20">
        <f>IF($N3912="","",IFERROR(IF(VLOOKUP(INDEX(LdBMember,$N3912),AcctTblE,4,0)="","(بدون نام)",VLOOKUP(INDEX(LdBMember,$N3912),AcctTblE,4,0)),"—"))</f>
        <v/>
      </c>
      <c r="F3912" s="21">
        <f>IF($N3912="","",IF(INDEX(LdBAmt,$N3912)=0,"",INDEX(LdBAmt,$N3912)))</f>
        <v/>
      </c>
      <c r="G3912" s="32">
        <f>IF($N3912="","",IF(INDEX(LdBNote,$N3912)="","—",INDEX(LdBNote,$N3912)))</f>
        <v/>
      </c>
      <c r="N3912">
        <f>IFERROR(MATCH($C$5&amp;"|"&amp;RIGHT("000000"&amp;1892,6),LdBKeyG,0),"")</f>
        <v/>
      </c>
    </row>
    <row r="3913">
      <c r="A3913" s="10" t="n">
        <v>1893</v>
      </c>
      <c r="B3913" s="14">
        <f>IF($N3913="","",INDEX(LdBDate,$N3913))</f>
        <v/>
      </c>
      <c r="C3913" s="14">
        <f>IF($N3913="","",IF(INDEX(LdBId,$N3913)="","—",INDEX(LdBId,$N3913)))</f>
        <v/>
      </c>
      <c r="D3913" s="14">
        <f>IF($N3913="","",INDEX(LdBMember,$N3913))</f>
        <v/>
      </c>
      <c r="E3913" s="14">
        <f>IF($N3913="","",IFERROR(IF(VLOOKUP(INDEX(LdBMember,$N3913),AcctTblE,4,0)="","(بدون نام)",VLOOKUP(INDEX(LdBMember,$N3913),AcctTblE,4,0)),"—"))</f>
        <v/>
      </c>
      <c r="F3913" s="16">
        <f>IF($N3913="","",IF(INDEX(LdBAmt,$N3913)=0,"",INDEX(LdBAmt,$N3913)))</f>
        <v/>
      </c>
      <c r="G3913" s="30">
        <f>IF($N3913="","",IF(INDEX(LdBNote,$N3913)="","—",INDEX(LdBNote,$N3913)))</f>
        <v/>
      </c>
      <c r="N3913">
        <f>IFERROR(MATCH($C$5&amp;"|"&amp;RIGHT("000000"&amp;1893,6),LdBKeyG,0),"")</f>
        <v/>
      </c>
    </row>
    <row r="3914">
      <c r="A3914" s="19" t="n">
        <v>1894</v>
      </c>
      <c r="B3914" s="20">
        <f>IF($N3914="","",INDEX(LdBDate,$N3914))</f>
        <v/>
      </c>
      <c r="C3914" s="20">
        <f>IF($N3914="","",IF(INDEX(LdBId,$N3914)="","—",INDEX(LdBId,$N3914)))</f>
        <v/>
      </c>
      <c r="D3914" s="20">
        <f>IF($N3914="","",INDEX(LdBMember,$N3914))</f>
        <v/>
      </c>
      <c r="E3914" s="20">
        <f>IF($N3914="","",IFERROR(IF(VLOOKUP(INDEX(LdBMember,$N3914),AcctTblE,4,0)="","(بدون نام)",VLOOKUP(INDEX(LdBMember,$N3914),AcctTblE,4,0)),"—"))</f>
        <v/>
      </c>
      <c r="F3914" s="21">
        <f>IF($N3914="","",IF(INDEX(LdBAmt,$N3914)=0,"",INDEX(LdBAmt,$N3914)))</f>
        <v/>
      </c>
      <c r="G3914" s="32">
        <f>IF($N3914="","",IF(INDEX(LdBNote,$N3914)="","—",INDEX(LdBNote,$N3914)))</f>
        <v/>
      </c>
      <c r="N3914">
        <f>IFERROR(MATCH($C$5&amp;"|"&amp;RIGHT("000000"&amp;1894,6),LdBKeyG,0),"")</f>
        <v/>
      </c>
    </row>
    <row r="3915">
      <c r="A3915" s="10" t="n">
        <v>1895</v>
      </c>
      <c r="B3915" s="14">
        <f>IF($N3915="","",INDEX(LdBDate,$N3915))</f>
        <v/>
      </c>
      <c r="C3915" s="14">
        <f>IF($N3915="","",IF(INDEX(LdBId,$N3915)="","—",INDEX(LdBId,$N3915)))</f>
        <v/>
      </c>
      <c r="D3915" s="14">
        <f>IF($N3915="","",INDEX(LdBMember,$N3915))</f>
        <v/>
      </c>
      <c r="E3915" s="14">
        <f>IF($N3915="","",IFERROR(IF(VLOOKUP(INDEX(LdBMember,$N3915),AcctTblE,4,0)="","(بدون نام)",VLOOKUP(INDEX(LdBMember,$N3915),AcctTblE,4,0)),"—"))</f>
        <v/>
      </c>
      <c r="F3915" s="16">
        <f>IF($N3915="","",IF(INDEX(LdBAmt,$N3915)=0,"",INDEX(LdBAmt,$N3915)))</f>
        <v/>
      </c>
      <c r="G3915" s="30">
        <f>IF($N3915="","",IF(INDEX(LdBNote,$N3915)="","—",INDEX(LdBNote,$N3915)))</f>
        <v/>
      </c>
      <c r="N3915">
        <f>IFERROR(MATCH($C$5&amp;"|"&amp;RIGHT("000000"&amp;1895,6),LdBKeyG,0),"")</f>
        <v/>
      </c>
    </row>
    <row r="3916">
      <c r="A3916" s="19" t="n">
        <v>1896</v>
      </c>
      <c r="B3916" s="20">
        <f>IF($N3916="","",INDEX(LdBDate,$N3916))</f>
        <v/>
      </c>
      <c r="C3916" s="20">
        <f>IF($N3916="","",IF(INDEX(LdBId,$N3916)="","—",INDEX(LdBId,$N3916)))</f>
        <v/>
      </c>
      <c r="D3916" s="20">
        <f>IF($N3916="","",INDEX(LdBMember,$N3916))</f>
        <v/>
      </c>
      <c r="E3916" s="20">
        <f>IF($N3916="","",IFERROR(IF(VLOOKUP(INDEX(LdBMember,$N3916),AcctTblE,4,0)="","(بدون نام)",VLOOKUP(INDEX(LdBMember,$N3916),AcctTblE,4,0)),"—"))</f>
        <v/>
      </c>
      <c r="F3916" s="21">
        <f>IF($N3916="","",IF(INDEX(LdBAmt,$N3916)=0,"",INDEX(LdBAmt,$N3916)))</f>
        <v/>
      </c>
      <c r="G3916" s="32">
        <f>IF($N3916="","",IF(INDEX(LdBNote,$N3916)="","—",INDEX(LdBNote,$N3916)))</f>
        <v/>
      </c>
      <c r="N3916">
        <f>IFERROR(MATCH($C$5&amp;"|"&amp;RIGHT("000000"&amp;1896,6),LdBKeyG,0),"")</f>
        <v/>
      </c>
    </row>
    <row r="3917">
      <c r="A3917" s="10" t="n">
        <v>1897</v>
      </c>
      <c r="B3917" s="14">
        <f>IF($N3917="","",INDEX(LdBDate,$N3917))</f>
        <v/>
      </c>
      <c r="C3917" s="14">
        <f>IF($N3917="","",IF(INDEX(LdBId,$N3917)="","—",INDEX(LdBId,$N3917)))</f>
        <v/>
      </c>
      <c r="D3917" s="14">
        <f>IF($N3917="","",INDEX(LdBMember,$N3917))</f>
        <v/>
      </c>
      <c r="E3917" s="14">
        <f>IF($N3917="","",IFERROR(IF(VLOOKUP(INDEX(LdBMember,$N3917),AcctTblE,4,0)="","(بدون نام)",VLOOKUP(INDEX(LdBMember,$N3917),AcctTblE,4,0)),"—"))</f>
        <v/>
      </c>
      <c r="F3917" s="16">
        <f>IF($N3917="","",IF(INDEX(LdBAmt,$N3917)=0,"",INDEX(LdBAmt,$N3917)))</f>
        <v/>
      </c>
      <c r="G3917" s="30">
        <f>IF($N3917="","",IF(INDEX(LdBNote,$N3917)="","—",INDEX(LdBNote,$N3917)))</f>
        <v/>
      </c>
      <c r="N3917">
        <f>IFERROR(MATCH($C$5&amp;"|"&amp;RIGHT("000000"&amp;1897,6),LdBKeyG,0),"")</f>
        <v/>
      </c>
    </row>
    <row r="3918">
      <c r="A3918" s="19" t="n">
        <v>1898</v>
      </c>
      <c r="B3918" s="20">
        <f>IF($N3918="","",INDEX(LdBDate,$N3918))</f>
        <v/>
      </c>
      <c r="C3918" s="20">
        <f>IF($N3918="","",IF(INDEX(LdBId,$N3918)="","—",INDEX(LdBId,$N3918)))</f>
        <v/>
      </c>
      <c r="D3918" s="20">
        <f>IF($N3918="","",INDEX(LdBMember,$N3918))</f>
        <v/>
      </c>
      <c r="E3918" s="20">
        <f>IF($N3918="","",IFERROR(IF(VLOOKUP(INDEX(LdBMember,$N3918),AcctTblE,4,0)="","(بدون نام)",VLOOKUP(INDEX(LdBMember,$N3918),AcctTblE,4,0)),"—"))</f>
        <v/>
      </c>
      <c r="F3918" s="21">
        <f>IF($N3918="","",IF(INDEX(LdBAmt,$N3918)=0,"",INDEX(LdBAmt,$N3918)))</f>
        <v/>
      </c>
      <c r="G3918" s="32">
        <f>IF($N3918="","",IF(INDEX(LdBNote,$N3918)="","—",INDEX(LdBNote,$N3918)))</f>
        <v/>
      </c>
      <c r="N3918">
        <f>IFERROR(MATCH($C$5&amp;"|"&amp;RIGHT("000000"&amp;1898,6),LdBKeyG,0),"")</f>
        <v/>
      </c>
    </row>
    <row r="3919">
      <c r="A3919" s="10" t="n">
        <v>1899</v>
      </c>
      <c r="B3919" s="14">
        <f>IF($N3919="","",INDEX(LdBDate,$N3919))</f>
        <v/>
      </c>
      <c r="C3919" s="14">
        <f>IF($N3919="","",IF(INDEX(LdBId,$N3919)="","—",INDEX(LdBId,$N3919)))</f>
        <v/>
      </c>
      <c r="D3919" s="14">
        <f>IF($N3919="","",INDEX(LdBMember,$N3919))</f>
        <v/>
      </c>
      <c r="E3919" s="14">
        <f>IF($N3919="","",IFERROR(IF(VLOOKUP(INDEX(LdBMember,$N3919),AcctTblE,4,0)="","(بدون نام)",VLOOKUP(INDEX(LdBMember,$N3919),AcctTblE,4,0)),"—"))</f>
        <v/>
      </c>
      <c r="F3919" s="16">
        <f>IF($N3919="","",IF(INDEX(LdBAmt,$N3919)=0,"",INDEX(LdBAmt,$N3919)))</f>
        <v/>
      </c>
      <c r="G3919" s="30">
        <f>IF($N3919="","",IF(INDEX(LdBNote,$N3919)="","—",INDEX(LdBNote,$N3919)))</f>
        <v/>
      </c>
      <c r="N3919">
        <f>IFERROR(MATCH($C$5&amp;"|"&amp;RIGHT("000000"&amp;1899,6),LdBKeyG,0),"")</f>
        <v/>
      </c>
    </row>
    <row r="3920">
      <c r="A3920" s="19" t="n">
        <v>1900</v>
      </c>
      <c r="B3920" s="20">
        <f>IF($N3920="","",INDEX(LdBDate,$N3920))</f>
        <v/>
      </c>
      <c r="C3920" s="20">
        <f>IF($N3920="","",IF(INDEX(LdBId,$N3920)="","—",INDEX(LdBId,$N3920)))</f>
        <v/>
      </c>
      <c r="D3920" s="20">
        <f>IF($N3920="","",INDEX(LdBMember,$N3920))</f>
        <v/>
      </c>
      <c r="E3920" s="20">
        <f>IF($N3920="","",IFERROR(IF(VLOOKUP(INDEX(LdBMember,$N3920),AcctTblE,4,0)="","(بدون نام)",VLOOKUP(INDEX(LdBMember,$N3920),AcctTblE,4,0)),"—"))</f>
        <v/>
      </c>
      <c r="F3920" s="21">
        <f>IF($N3920="","",IF(INDEX(LdBAmt,$N3920)=0,"",INDEX(LdBAmt,$N3920)))</f>
        <v/>
      </c>
      <c r="G3920" s="32">
        <f>IF($N3920="","",IF(INDEX(LdBNote,$N3920)="","—",INDEX(LdBNote,$N3920)))</f>
        <v/>
      </c>
      <c r="N3920">
        <f>IFERROR(MATCH($C$5&amp;"|"&amp;RIGHT("000000"&amp;1900,6),LdBKeyG,0),"")</f>
        <v/>
      </c>
    </row>
    <row r="3921">
      <c r="A3921" s="10" t="n">
        <v>1901</v>
      </c>
      <c r="B3921" s="14">
        <f>IF($N3921="","",INDEX(LdBDate,$N3921))</f>
        <v/>
      </c>
      <c r="C3921" s="14">
        <f>IF($N3921="","",IF(INDEX(LdBId,$N3921)="","—",INDEX(LdBId,$N3921)))</f>
        <v/>
      </c>
      <c r="D3921" s="14">
        <f>IF($N3921="","",INDEX(LdBMember,$N3921))</f>
        <v/>
      </c>
      <c r="E3921" s="14">
        <f>IF($N3921="","",IFERROR(IF(VLOOKUP(INDEX(LdBMember,$N3921),AcctTblE,4,0)="","(بدون نام)",VLOOKUP(INDEX(LdBMember,$N3921),AcctTblE,4,0)),"—"))</f>
        <v/>
      </c>
      <c r="F3921" s="16">
        <f>IF($N3921="","",IF(INDEX(LdBAmt,$N3921)=0,"",INDEX(LdBAmt,$N3921)))</f>
        <v/>
      </c>
      <c r="G3921" s="30">
        <f>IF($N3921="","",IF(INDEX(LdBNote,$N3921)="","—",INDEX(LdBNote,$N3921)))</f>
        <v/>
      </c>
      <c r="N3921">
        <f>IFERROR(MATCH($C$5&amp;"|"&amp;RIGHT("000000"&amp;1901,6),LdBKeyG,0),"")</f>
        <v/>
      </c>
    </row>
    <row r="3922">
      <c r="A3922" s="19" t="n">
        <v>1902</v>
      </c>
      <c r="B3922" s="20">
        <f>IF($N3922="","",INDEX(LdBDate,$N3922))</f>
        <v/>
      </c>
      <c r="C3922" s="20">
        <f>IF($N3922="","",IF(INDEX(LdBId,$N3922)="","—",INDEX(LdBId,$N3922)))</f>
        <v/>
      </c>
      <c r="D3922" s="20">
        <f>IF($N3922="","",INDEX(LdBMember,$N3922))</f>
        <v/>
      </c>
      <c r="E3922" s="20">
        <f>IF($N3922="","",IFERROR(IF(VLOOKUP(INDEX(LdBMember,$N3922),AcctTblE,4,0)="","(بدون نام)",VLOOKUP(INDEX(LdBMember,$N3922),AcctTblE,4,0)),"—"))</f>
        <v/>
      </c>
      <c r="F3922" s="21">
        <f>IF($N3922="","",IF(INDEX(LdBAmt,$N3922)=0,"",INDEX(LdBAmt,$N3922)))</f>
        <v/>
      </c>
      <c r="G3922" s="32">
        <f>IF($N3922="","",IF(INDEX(LdBNote,$N3922)="","—",INDEX(LdBNote,$N3922)))</f>
        <v/>
      </c>
      <c r="N3922">
        <f>IFERROR(MATCH($C$5&amp;"|"&amp;RIGHT("000000"&amp;1902,6),LdBKeyG,0),"")</f>
        <v/>
      </c>
    </row>
    <row r="3923">
      <c r="A3923" s="10" t="n">
        <v>1903</v>
      </c>
      <c r="B3923" s="14">
        <f>IF($N3923="","",INDEX(LdBDate,$N3923))</f>
        <v/>
      </c>
      <c r="C3923" s="14">
        <f>IF($N3923="","",IF(INDEX(LdBId,$N3923)="","—",INDEX(LdBId,$N3923)))</f>
        <v/>
      </c>
      <c r="D3923" s="14">
        <f>IF($N3923="","",INDEX(LdBMember,$N3923))</f>
        <v/>
      </c>
      <c r="E3923" s="14">
        <f>IF($N3923="","",IFERROR(IF(VLOOKUP(INDEX(LdBMember,$N3923),AcctTblE,4,0)="","(بدون نام)",VLOOKUP(INDEX(LdBMember,$N3923),AcctTblE,4,0)),"—"))</f>
        <v/>
      </c>
      <c r="F3923" s="16">
        <f>IF($N3923="","",IF(INDEX(LdBAmt,$N3923)=0,"",INDEX(LdBAmt,$N3923)))</f>
        <v/>
      </c>
      <c r="G3923" s="30">
        <f>IF($N3923="","",IF(INDEX(LdBNote,$N3923)="","—",INDEX(LdBNote,$N3923)))</f>
        <v/>
      </c>
      <c r="N3923">
        <f>IFERROR(MATCH($C$5&amp;"|"&amp;RIGHT("000000"&amp;1903,6),LdBKeyG,0),"")</f>
        <v/>
      </c>
    </row>
    <row r="3924">
      <c r="A3924" s="19" t="n">
        <v>1904</v>
      </c>
      <c r="B3924" s="20">
        <f>IF($N3924="","",INDEX(LdBDate,$N3924))</f>
        <v/>
      </c>
      <c r="C3924" s="20">
        <f>IF($N3924="","",IF(INDEX(LdBId,$N3924)="","—",INDEX(LdBId,$N3924)))</f>
        <v/>
      </c>
      <c r="D3924" s="20">
        <f>IF($N3924="","",INDEX(LdBMember,$N3924))</f>
        <v/>
      </c>
      <c r="E3924" s="20">
        <f>IF($N3924="","",IFERROR(IF(VLOOKUP(INDEX(LdBMember,$N3924),AcctTblE,4,0)="","(بدون نام)",VLOOKUP(INDEX(LdBMember,$N3924),AcctTblE,4,0)),"—"))</f>
        <v/>
      </c>
      <c r="F3924" s="21">
        <f>IF($N3924="","",IF(INDEX(LdBAmt,$N3924)=0,"",INDEX(LdBAmt,$N3924)))</f>
        <v/>
      </c>
      <c r="G3924" s="32">
        <f>IF($N3924="","",IF(INDEX(LdBNote,$N3924)="","—",INDEX(LdBNote,$N3924)))</f>
        <v/>
      </c>
      <c r="N3924">
        <f>IFERROR(MATCH($C$5&amp;"|"&amp;RIGHT("000000"&amp;1904,6),LdBKeyG,0),"")</f>
        <v/>
      </c>
    </row>
    <row r="3925">
      <c r="A3925" s="10" t="n">
        <v>1905</v>
      </c>
      <c r="B3925" s="14">
        <f>IF($N3925="","",INDEX(LdBDate,$N3925))</f>
        <v/>
      </c>
      <c r="C3925" s="14">
        <f>IF($N3925="","",IF(INDEX(LdBId,$N3925)="","—",INDEX(LdBId,$N3925)))</f>
        <v/>
      </c>
      <c r="D3925" s="14">
        <f>IF($N3925="","",INDEX(LdBMember,$N3925))</f>
        <v/>
      </c>
      <c r="E3925" s="14">
        <f>IF($N3925="","",IFERROR(IF(VLOOKUP(INDEX(LdBMember,$N3925),AcctTblE,4,0)="","(بدون نام)",VLOOKUP(INDEX(LdBMember,$N3925),AcctTblE,4,0)),"—"))</f>
        <v/>
      </c>
      <c r="F3925" s="16">
        <f>IF($N3925="","",IF(INDEX(LdBAmt,$N3925)=0,"",INDEX(LdBAmt,$N3925)))</f>
        <v/>
      </c>
      <c r="G3925" s="30">
        <f>IF($N3925="","",IF(INDEX(LdBNote,$N3925)="","—",INDEX(LdBNote,$N3925)))</f>
        <v/>
      </c>
      <c r="N3925">
        <f>IFERROR(MATCH($C$5&amp;"|"&amp;RIGHT("000000"&amp;1905,6),LdBKeyG,0),"")</f>
        <v/>
      </c>
    </row>
    <row r="3926">
      <c r="A3926" s="19" t="n">
        <v>1906</v>
      </c>
      <c r="B3926" s="20">
        <f>IF($N3926="","",INDEX(LdBDate,$N3926))</f>
        <v/>
      </c>
      <c r="C3926" s="20">
        <f>IF($N3926="","",IF(INDEX(LdBId,$N3926)="","—",INDEX(LdBId,$N3926)))</f>
        <v/>
      </c>
      <c r="D3926" s="20">
        <f>IF($N3926="","",INDEX(LdBMember,$N3926))</f>
        <v/>
      </c>
      <c r="E3926" s="20">
        <f>IF($N3926="","",IFERROR(IF(VLOOKUP(INDEX(LdBMember,$N3926),AcctTblE,4,0)="","(بدون نام)",VLOOKUP(INDEX(LdBMember,$N3926),AcctTblE,4,0)),"—"))</f>
        <v/>
      </c>
      <c r="F3926" s="21">
        <f>IF($N3926="","",IF(INDEX(LdBAmt,$N3926)=0,"",INDEX(LdBAmt,$N3926)))</f>
        <v/>
      </c>
      <c r="G3926" s="32">
        <f>IF($N3926="","",IF(INDEX(LdBNote,$N3926)="","—",INDEX(LdBNote,$N3926)))</f>
        <v/>
      </c>
      <c r="N3926">
        <f>IFERROR(MATCH($C$5&amp;"|"&amp;RIGHT("000000"&amp;1906,6),LdBKeyG,0),"")</f>
        <v/>
      </c>
    </row>
    <row r="3927">
      <c r="A3927" s="10" t="n">
        <v>1907</v>
      </c>
      <c r="B3927" s="14">
        <f>IF($N3927="","",INDEX(LdBDate,$N3927))</f>
        <v/>
      </c>
      <c r="C3927" s="14">
        <f>IF($N3927="","",IF(INDEX(LdBId,$N3927)="","—",INDEX(LdBId,$N3927)))</f>
        <v/>
      </c>
      <c r="D3927" s="14">
        <f>IF($N3927="","",INDEX(LdBMember,$N3927))</f>
        <v/>
      </c>
      <c r="E3927" s="14">
        <f>IF($N3927="","",IFERROR(IF(VLOOKUP(INDEX(LdBMember,$N3927),AcctTblE,4,0)="","(بدون نام)",VLOOKUP(INDEX(LdBMember,$N3927),AcctTblE,4,0)),"—"))</f>
        <v/>
      </c>
      <c r="F3927" s="16">
        <f>IF($N3927="","",IF(INDEX(LdBAmt,$N3927)=0,"",INDEX(LdBAmt,$N3927)))</f>
        <v/>
      </c>
      <c r="G3927" s="30">
        <f>IF($N3927="","",IF(INDEX(LdBNote,$N3927)="","—",INDEX(LdBNote,$N3927)))</f>
        <v/>
      </c>
      <c r="N3927">
        <f>IFERROR(MATCH($C$5&amp;"|"&amp;RIGHT("000000"&amp;1907,6),LdBKeyG,0),"")</f>
        <v/>
      </c>
    </row>
    <row r="3928">
      <c r="A3928" s="19" t="n">
        <v>1908</v>
      </c>
      <c r="B3928" s="20">
        <f>IF($N3928="","",INDEX(LdBDate,$N3928))</f>
        <v/>
      </c>
      <c r="C3928" s="20">
        <f>IF($N3928="","",IF(INDEX(LdBId,$N3928)="","—",INDEX(LdBId,$N3928)))</f>
        <v/>
      </c>
      <c r="D3928" s="20">
        <f>IF($N3928="","",INDEX(LdBMember,$N3928))</f>
        <v/>
      </c>
      <c r="E3928" s="20">
        <f>IF($N3928="","",IFERROR(IF(VLOOKUP(INDEX(LdBMember,$N3928),AcctTblE,4,0)="","(بدون نام)",VLOOKUP(INDEX(LdBMember,$N3928),AcctTblE,4,0)),"—"))</f>
        <v/>
      </c>
      <c r="F3928" s="21">
        <f>IF($N3928="","",IF(INDEX(LdBAmt,$N3928)=0,"",INDEX(LdBAmt,$N3928)))</f>
        <v/>
      </c>
      <c r="G3928" s="32">
        <f>IF($N3928="","",IF(INDEX(LdBNote,$N3928)="","—",INDEX(LdBNote,$N3928)))</f>
        <v/>
      </c>
      <c r="N3928">
        <f>IFERROR(MATCH($C$5&amp;"|"&amp;RIGHT("000000"&amp;1908,6),LdBKeyG,0),"")</f>
        <v/>
      </c>
    </row>
    <row r="3929">
      <c r="A3929" s="10" t="n">
        <v>1909</v>
      </c>
      <c r="B3929" s="14">
        <f>IF($N3929="","",INDEX(LdBDate,$N3929))</f>
        <v/>
      </c>
      <c r="C3929" s="14">
        <f>IF($N3929="","",IF(INDEX(LdBId,$N3929)="","—",INDEX(LdBId,$N3929)))</f>
        <v/>
      </c>
      <c r="D3929" s="14">
        <f>IF($N3929="","",INDEX(LdBMember,$N3929))</f>
        <v/>
      </c>
      <c r="E3929" s="14">
        <f>IF($N3929="","",IFERROR(IF(VLOOKUP(INDEX(LdBMember,$N3929),AcctTblE,4,0)="","(بدون نام)",VLOOKUP(INDEX(LdBMember,$N3929),AcctTblE,4,0)),"—"))</f>
        <v/>
      </c>
      <c r="F3929" s="16">
        <f>IF($N3929="","",IF(INDEX(LdBAmt,$N3929)=0,"",INDEX(LdBAmt,$N3929)))</f>
        <v/>
      </c>
      <c r="G3929" s="30">
        <f>IF($N3929="","",IF(INDEX(LdBNote,$N3929)="","—",INDEX(LdBNote,$N3929)))</f>
        <v/>
      </c>
      <c r="N3929">
        <f>IFERROR(MATCH($C$5&amp;"|"&amp;RIGHT("000000"&amp;1909,6),LdBKeyG,0),"")</f>
        <v/>
      </c>
    </row>
    <row r="3930">
      <c r="A3930" s="19" t="n">
        <v>1910</v>
      </c>
      <c r="B3930" s="20">
        <f>IF($N3930="","",INDEX(LdBDate,$N3930))</f>
        <v/>
      </c>
      <c r="C3930" s="20">
        <f>IF($N3930="","",IF(INDEX(LdBId,$N3930)="","—",INDEX(LdBId,$N3930)))</f>
        <v/>
      </c>
      <c r="D3930" s="20">
        <f>IF($N3930="","",INDEX(LdBMember,$N3930))</f>
        <v/>
      </c>
      <c r="E3930" s="20">
        <f>IF($N3930="","",IFERROR(IF(VLOOKUP(INDEX(LdBMember,$N3930),AcctTblE,4,0)="","(بدون نام)",VLOOKUP(INDEX(LdBMember,$N3930),AcctTblE,4,0)),"—"))</f>
        <v/>
      </c>
      <c r="F3930" s="21">
        <f>IF($N3930="","",IF(INDEX(LdBAmt,$N3930)=0,"",INDEX(LdBAmt,$N3930)))</f>
        <v/>
      </c>
      <c r="G3930" s="32">
        <f>IF($N3930="","",IF(INDEX(LdBNote,$N3930)="","—",INDEX(LdBNote,$N3930)))</f>
        <v/>
      </c>
      <c r="N3930">
        <f>IFERROR(MATCH($C$5&amp;"|"&amp;RIGHT("000000"&amp;1910,6),LdBKeyG,0),"")</f>
        <v/>
      </c>
    </row>
    <row r="3931">
      <c r="A3931" s="10" t="n">
        <v>1911</v>
      </c>
      <c r="B3931" s="14">
        <f>IF($N3931="","",INDEX(LdBDate,$N3931))</f>
        <v/>
      </c>
      <c r="C3931" s="14">
        <f>IF($N3931="","",IF(INDEX(LdBId,$N3931)="","—",INDEX(LdBId,$N3931)))</f>
        <v/>
      </c>
      <c r="D3931" s="14">
        <f>IF($N3931="","",INDEX(LdBMember,$N3931))</f>
        <v/>
      </c>
      <c r="E3931" s="14">
        <f>IF($N3931="","",IFERROR(IF(VLOOKUP(INDEX(LdBMember,$N3931),AcctTblE,4,0)="","(بدون نام)",VLOOKUP(INDEX(LdBMember,$N3931),AcctTblE,4,0)),"—"))</f>
        <v/>
      </c>
      <c r="F3931" s="16">
        <f>IF($N3931="","",IF(INDEX(LdBAmt,$N3931)=0,"",INDEX(LdBAmt,$N3931)))</f>
        <v/>
      </c>
      <c r="G3931" s="30">
        <f>IF($N3931="","",IF(INDEX(LdBNote,$N3931)="","—",INDEX(LdBNote,$N3931)))</f>
        <v/>
      </c>
      <c r="N3931">
        <f>IFERROR(MATCH($C$5&amp;"|"&amp;RIGHT("000000"&amp;1911,6),LdBKeyG,0),"")</f>
        <v/>
      </c>
    </row>
    <row r="3932">
      <c r="A3932" s="19" t="n">
        <v>1912</v>
      </c>
      <c r="B3932" s="20">
        <f>IF($N3932="","",INDEX(LdBDate,$N3932))</f>
        <v/>
      </c>
      <c r="C3932" s="20">
        <f>IF($N3932="","",IF(INDEX(LdBId,$N3932)="","—",INDEX(LdBId,$N3932)))</f>
        <v/>
      </c>
      <c r="D3932" s="20">
        <f>IF($N3932="","",INDEX(LdBMember,$N3932))</f>
        <v/>
      </c>
      <c r="E3932" s="20">
        <f>IF($N3932="","",IFERROR(IF(VLOOKUP(INDEX(LdBMember,$N3932),AcctTblE,4,0)="","(بدون نام)",VLOOKUP(INDEX(LdBMember,$N3932),AcctTblE,4,0)),"—"))</f>
        <v/>
      </c>
      <c r="F3932" s="21">
        <f>IF($N3932="","",IF(INDEX(LdBAmt,$N3932)=0,"",INDEX(LdBAmt,$N3932)))</f>
        <v/>
      </c>
      <c r="G3932" s="32">
        <f>IF($N3932="","",IF(INDEX(LdBNote,$N3932)="","—",INDEX(LdBNote,$N3932)))</f>
        <v/>
      </c>
      <c r="N3932">
        <f>IFERROR(MATCH($C$5&amp;"|"&amp;RIGHT("000000"&amp;1912,6),LdBKeyG,0),"")</f>
        <v/>
      </c>
    </row>
    <row r="3933">
      <c r="A3933" s="10" t="n">
        <v>1913</v>
      </c>
      <c r="B3933" s="14">
        <f>IF($N3933="","",INDEX(LdBDate,$N3933))</f>
        <v/>
      </c>
      <c r="C3933" s="14">
        <f>IF($N3933="","",IF(INDEX(LdBId,$N3933)="","—",INDEX(LdBId,$N3933)))</f>
        <v/>
      </c>
      <c r="D3933" s="14">
        <f>IF($N3933="","",INDEX(LdBMember,$N3933))</f>
        <v/>
      </c>
      <c r="E3933" s="14">
        <f>IF($N3933="","",IFERROR(IF(VLOOKUP(INDEX(LdBMember,$N3933),AcctTblE,4,0)="","(بدون نام)",VLOOKUP(INDEX(LdBMember,$N3933),AcctTblE,4,0)),"—"))</f>
        <v/>
      </c>
      <c r="F3933" s="16">
        <f>IF($N3933="","",IF(INDEX(LdBAmt,$N3933)=0,"",INDEX(LdBAmt,$N3933)))</f>
        <v/>
      </c>
      <c r="G3933" s="30">
        <f>IF($N3933="","",IF(INDEX(LdBNote,$N3933)="","—",INDEX(LdBNote,$N3933)))</f>
        <v/>
      </c>
      <c r="N3933">
        <f>IFERROR(MATCH($C$5&amp;"|"&amp;RIGHT("000000"&amp;1913,6),LdBKeyG,0),"")</f>
        <v/>
      </c>
    </row>
    <row r="3934">
      <c r="A3934" s="19" t="n">
        <v>1914</v>
      </c>
      <c r="B3934" s="20">
        <f>IF($N3934="","",INDEX(LdBDate,$N3934))</f>
        <v/>
      </c>
      <c r="C3934" s="20">
        <f>IF($N3934="","",IF(INDEX(LdBId,$N3934)="","—",INDEX(LdBId,$N3934)))</f>
        <v/>
      </c>
      <c r="D3934" s="20">
        <f>IF($N3934="","",INDEX(LdBMember,$N3934))</f>
        <v/>
      </c>
      <c r="E3934" s="20">
        <f>IF($N3934="","",IFERROR(IF(VLOOKUP(INDEX(LdBMember,$N3934),AcctTblE,4,0)="","(بدون نام)",VLOOKUP(INDEX(LdBMember,$N3934),AcctTblE,4,0)),"—"))</f>
        <v/>
      </c>
      <c r="F3934" s="21">
        <f>IF($N3934="","",IF(INDEX(LdBAmt,$N3934)=0,"",INDEX(LdBAmt,$N3934)))</f>
        <v/>
      </c>
      <c r="G3934" s="32">
        <f>IF($N3934="","",IF(INDEX(LdBNote,$N3934)="","—",INDEX(LdBNote,$N3934)))</f>
        <v/>
      </c>
      <c r="N3934">
        <f>IFERROR(MATCH($C$5&amp;"|"&amp;RIGHT("000000"&amp;1914,6),LdBKeyG,0),"")</f>
        <v/>
      </c>
    </row>
    <row r="3935">
      <c r="A3935" s="10" t="n">
        <v>1915</v>
      </c>
      <c r="B3935" s="14">
        <f>IF($N3935="","",INDEX(LdBDate,$N3935))</f>
        <v/>
      </c>
      <c r="C3935" s="14">
        <f>IF($N3935="","",IF(INDEX(LdBId,$N3935)="","—",INDEX(LdBId,$N3935)))</f>
        <v/>
      </c>
      <c r="D3935" s="14">
        <f>IF($N3935="","",INDEX(LdBMember,$N3935))</f>
        <v/>
      </c>
      <c r="E3935" s="14">
        <f>IF($N3935="","",IFERROR(IF(VLOOKUP(INDEX(LdBMember,$N3935),AcctTblE,4,0)="","(بدون نام)",VLOOKUP(INDEX(LdBMember,$N3935),AcctTblE,4,0)),"—"))</f>
        <v/>
      </c>
      <c r="F3935" s="16">
        <f>IF($N3935="","",IF(INDEX(LdBAmt,$N3935)=0,"",INDEX(LdBAmt,$N3935)))</f>
        <v/>
      </c>
      <c r="G3935" s="30">
        <f>IF($N3935="","",IF(INDEX(LdBNote,$N3935)="","—",INDEX(LdBNote,$N3935)))</f>
        <v/>
      </c>
      <c r="N3935">
        <f>IFERROR(MATCH($C$5&amp;"|"&amp;RIGHT("000000"&amp;1915,6),LdBKeyG,0),"")</f>
        <v/>
      </c>
    </row>
    <row r="3936">
      <c r="A3936" s="19" t="n">
        <v>1916</v>
      </c>
      <c r="B3936" s="20">
        <f>IF($N3936="","",INDEX(LdBDate,$N3936))</f>
        <v/>
      </c>
      <c r="C3936" s="20">
        <f>IF($N3936="","",IF(INDEX(LdBId,$N3936)="","—",INDEX(LdBId,$N3936)))</f>
        <v/>
      </c>
      <c r="D3936" s="20">
        <f>IF($N3936="","",INDEX(LdBMember,$N3936))</f>
        <v/>
      </c>
      <c r="E3936" s="20">
        <f>IF($N3936="","",IFERROR(IF(VLOOKUP(INDEX(LdBMember,$N3936),AcctTblE,4,0)="","(بدون نام)",VLOOKUP(INDEX(LdBMember,$N3936),AcctTblE,4,0)),"—"))</f>
        <v/>
      </c>
      <c r="F3936" s="21">
        <f>IF($N3936="","",IF(INDEX(LdBAmt,$N3936)=0,"",INDEX(LdBAmt,$N3936)))</f>
        <v/>
      </c>
      <c r="G3936" s="32">
        <f>IF($N3936="","",IF(INDEX(LdBNote,$N3936)="","—",INDEX(LdBNote,$N3936)))</f>
        <v/>
      </c>
      <c r="N3936">
        <f>IFERROR(MATCH($C$5&amp;"|"&amp;RIGHT("000000"&amp;1916,6),LdBKeyG,0),"")</f>
        <v/>
      </c>
    </row>
    <row r="3937">
      <c r="A3937" s="10" t="n">
        <v>1917</v>
      </c>
      <c r="B3937" s="14">
        <f>IF($N3937="","",INDEX(LdBDate,$N3937))</f>
        <v/>
      </c>
      <c r="C3937" s="14">
        <f>IF($N3937="","",IF(INDEX(LdBId,$N3937)="","—",INDEX(LdBId,$N3937)))</f>
        <v/>
      </c>
      <c r="D3937" s="14">
        <f>IF($N3937="","",INDEX(LdBMember,$N3937))</f>
        <v/>
      </c>
      <c r="E3937" s="14">
        <f>IF($N3937="","",IFERROR(IF(VLOOKUP(INDEX(LdBMember,$N3937),AcctTblE,4,0)="","(بدون نام)",VLOOKUP(INDEX(LdBMember,$N3937),AcctTblE,4,0)),"—"))</f>
        <v/>
      </c>
      <c r="F3937" s="16">
        <f>IF($N3937="","",IF(INDEX(LdBAmt,$N3937)=0,"",INDEX(LdBAmt,$N3937)))</f>
        <v/>
      </c>
      <c r="G3937" s="30">
        <f>IF($N3937="","",IF(INDEX(LdBNote,$N3937)="","—",INDEX(LdBNote,$N3937)))</f>
        <v/>
      </c>
      <c r="N3937">
        <f>IFERROR(MATCH($C$5&amp;"|"&amp;RIGHT("000000"&amp;1917,6),LdBKeyG,0),"")</f>
        <v/>
      </c>
    </row>
    <row r="3938">
      <c r="A3938" s="19" t="n">
        <v>1918</v>
      </c>
      <c r="B3938" s="20">
        <f>IF($N3938="","",INDEX(LdBDate,$N3938))</f>
        <v/>
      </c>
      <c r="C3938" s="20">
        <f>IF($N3938="","",IF(INDEX(LdBId,$N3938)="","—",INDEX(LdBId,$N3938)))</f>
        <v/>
      </c>
      <c r="D3938" s="20">
        <f>IF($N3938="","",INDEX(LdBMember,$N3938))</f>
        <v/>
      </c>
      <c r="E3938" s="20">
        <f>IF($N3938="","",IFERROR(IF(VLOOKUP(INDEX(LdBMember,$N3938),AcctTblE,4,0)="","(بدون نام)",VLOOKUP(INDEX(LdBMember,$N3938),AcctTblE,4,0)),"—"))</f>
        <v/>
      </c>
      <c r="F3938" s="21">
        <f>IF($N3938="","",IF(INDEX(LdBAmt,$N3938)=0,"",INDEX(LdBAmt,$N3938)))</f>
        <v/>
      </c>
      <c r="G3938" s="32">
        <f>IF($N3938="","",IF(INDEX(LdBNote,$N3938)="","—",INDEX(LdBNote,$N3938)))</f>
        <v/>
      </c>
      <c r="N3938">
        <f>IFERROR(MATCH($C$5&amp;"|"&amp;RIGHT("000000"&amp;1918,6),LdBKeyG,0),"")</f>
        <v/>
      </c>
    </row>
    <row r="3939">
      <c r="A3939" s="10" t="n">
        <v>1919</v>
      </c>
      <c r="B3939" s="14">
        <f>IF($N3939="","",INDEX(LdBDate,$N3939))</f>
        <v/>
      </c>
      <c r="C3939" s="14">
        <f>IF($N3939="","",IF(INDEX(LdBId,$N3939)="","—",INDEX(LdBId,$N3939)))</f>
        <v/>
      </c>
      <c r="D3939" s="14">
        <f>IF($N3939="","",INDEX(LdBMember,$N3939))</f>
        <v/>
      </c>
      <c r="E3939" s="14">
        <f>IF($N3939="","",IFERROR(IF(VLOOKUP(INDEX(LdBMember,$N3939),AcctTblE,4,0)="","(بدون نام)",VLOOKUP(INDEX(LdBMember,$N3939),AcctTblE,4,0)),"—"))</f>
        <v/>
      </c>
      <c r="F3939" s="16">
        <f>IF($N3939="","",IF(INDEX(LdBAmt,$N3939)=0,"",INDEX(LdBAmt,$N3939)))</f>
        <v/>
      </c>
      <c r="G3939" s="30">
        <f>IF($N3939="","",IF(INDEX(LdBNote,$N3939)="","—",INDEX(LdBNote,$N3939)))</f>
        <v/>
      </c>
      <c r="N3939">
        <f>IFERROR(MATCH($C$5&amp;"|"&amp;RIGHT("000000"&amp;1919,6),LdBKeyG,0),"")</f>
        <v/>
      </c>
    </row>
    <row r="3940">
      <c r="A3940" s="19" t="n">
        <v>1920</v>
      </c>
      <c r="B3940" s="20">
        <f>IF($N3940="","",INDEX(LdBDate,$N3940))</f>
        <v/>
      </c>
      <c r="C3940" s="20">
        <f>IF($N3940="","",IF(INDEX(LdBId,$N3940)="","—",INDEX(LdBId,$N3940)))</f>
        <v/>
      </c>
      <c r="D3940" s="20">
        <f>IF($N3940="","",INDEX(LdBMember,$N3940))</f>
        <v/>
      </c>
      <c r="E3940" s="20">
        <f>IF($N3940="","",IFERROR(IF(VLOOKUP(INDEX(LdBMember,$N3940),AcctTblE,4,0)="","(بدون نام)",VLOOKUP(INDEX(LdBMember,$N3940),AcctTblE,4,0)),"—"))</f>
        <v/>
      </c>
      <c r="F3940" s="21">
        <f>IF($N3940="","",IF(INDEX(LdBAmt,$N3940)=0,"",INDEX(LdBAmt,$N3940)))</f>
        <v/>
      </c>
      <c r="G3940" s="32">
        <f>IF($N3940="","",IF(INDEX(LdBNote,$N3940)="","—",INDEX(LdBNote,$N3940)))</f>
        <v/>
      </c>
      <c r="N3940">
        <f>IFERROR(MATCH($C$5&amp;"|"&amp;RIGHT("000000"&amp;1920,6),LdBKeyG,0),"")</f>
        <v/>
      </c>
    </row>
    <row r="3941">
      <c r="A3941" s="10" t="n">
        <v>1921</v>
      </c>
      <c r="B3941" s="14">
        <f>IF($N3941="","",INDEX(LdBDate,$N3941))</f>
        <v/>
      </c>
      <c r="C3941" s="14">
        <f>IF($N3941="","",IF(INDEX(LdBId,$N3941)="","—",INDEX(LdBId,$N3941)))</f>
        <v/>
      </c>
      <c r="D3941" s="14">
        <f>IF($N3941="","",INDEX(LdBMember,$N3941))</f>
        <v/>
      </c>
      <c r="E3941" s="14">
        <f>IF($N3941="","",IFERROR(IF(VLOOKUP(INDEX(LdBMember,$N3941),AcctTblE,4,0)="","(بدون نام)",VLOOKUP(INDEX(LdBMember,$N3941),AcctTblE,4,0)),"—"))</f>
        <v/>
      </c>
      <c r="F3941" s="16">
        <f>IF($N3941="","",IF(INDEX(LdBAmt,$N3941)=0,"",INDEX(LdBAmt,$N3941)))</f>
        <v/>
      </c>
      <c r="G3941" s="30">
        <f>IF($N3941="","",IF(INDEX(LdBNote,$N3941)="","—",INDEX(LdBNote,$N3941)))</f>
        <v/>
      </c>
      <c r="N3941">
        <f>IFERROR(MATCH($C$5&amp;"|"&amp;RIGHT("000000"&amp;1921,6),LdBKeyG,0),"")</f>
        <v/>
      </c>
    </row>
    <row r="3942">
      <c r="A3942" s="19" t="n">
        <v>1922</v>
      </c>
      <c r="B3942" s="20">
        <f>IF($N3942="","",INDEX(LdBDate,$N3942))</f>
        <v/>
      </c>
      <c r="C3942" s="20">
        <f>IF($N3942="","",IF(INDEX(LdBId,$N3942)="","—",INDEX(LdBId,$N3942)))</f>
        <v/>
      </c>
      <c r="D3942" s="20">
        <f>IF($N3942="","",INDEX(LdBMember,$N3942))</f>
        <v/>
      </c>
      <c r="E3942" s="20">
        <f>IF($N3942="","",IFERROR(IF(VLOOKUP(INDEX(LdBMember,$N3942),AcctTblE,4,0)="","(بدون نام)",VLOOKUP(INDEX(LdBMember,$N3942),AcctTblE,4,0)),"—"))</f>
        <v/>
      </c>
      <c r="F3942" s="21">
        <f>IF($N3942="","",IF(INDEX(LdBAmt,$N3942)=0,"",INDEX(LdBAmt,$N3942)))</f>
        <v/>
      </c>
      <c r="G3942" s="32">
        <f>IF($N3942="","",IF(INDEX(LdBNote,$N3942)="","—",INDEX(LdBNote,$N3942)))</f>
        <v/>
      </c>
      <c r="N3942">
        <f>IFERROR(MATCH($C$5&amp;"|"&amp;RIGHT("000000"&amp;1922,6),LdBKeyG,0),"")</f>
        <v/>
      </c>
    </row>
    <row r="3943">
      <c r="A3943" s="10" t="n">
        <v>1923</v>
      </c>
      <c r="B3943" s="14">
        <f>IF($N3943="","",INDEX(LdBDate,$N3943))</f>
        <v/>
      </c>
      <c r="C3943" s="14">
        <f>IF($N3943="","",IF(INDEX(LdBId,$N3943)="","—",INDEX(LdBId,$N3943)))</f>
        <v/>
      </c>
      <c r="D3943" s="14">
        <f>IF($N3943="","",INDEX(LdBMember,$N3943))</f>
        <v/>
      </c>
      <c r="E3943" s="14">
        <f>IF($N3943="","",IFERROR(IF(VLOOKUP(INDEX(LdBMember,$N3943),AcctTblE,4,0)="","(بدون نام)",VLOOKUP(INDEX(LdBMember,$N3943),AcctTblE,4,0)),"—"))</f>
        <v/>
      </c>
      <c r="F3943" s="16">
        <f>IF($N3943="","",IF(INDEX(LdBAmt,$N3943)=0,"",INDEX(LdBAmt,$N3943)))</f>
        <v/>
      </c>
      <c r="G3943" s="30">
        <f>IF($N3943="","",IF(INDEX(LdBNote,$N3943)="","—",INDEX(LdBNote,$N3943)))</f>
        <v/>
      </c>
      <c r="N3943">
        <f>IFERROR(MATCH($C$5&amp;"|"&amp;RIGHT("000000"&amp;1923,6),LdBKeyG,0),"")</f>
        <v/>
      </c>
    </row>
    <row r="3944">
      <c r="A3944" s="19" t="n">
        <v>1924</v>
      </c>
      <c r="B3944" s="20">
        <f>IF($N3944="","",INDEX(LdBDate,$N3944))</f>
        <v/>
      </c>
      <c r="C3944" s="20">
        <f>IF($N3944="","",IF(INDEX(LdBId,$N3944)="","—",INDEX(LdBId,$N3944)))</f>
        <v/>
      </c>
      <c r="D3944" s="20">
        <f>IF($N3944="","",INDEX(LdBMember,$N3944))</f>
        <v/>
      </c>
      <c r="E3944" s="20">
        <f>IF($N3944="","",IFERROR(IF(VLOOKUP(INDEX(LdBMember,$N3944),AcctTblE,4,0)="","(بدون نام)",VLOOKUP(INDEX(LdBMember,$N3944),AcctTblE,4,0)),"—"))</f>
        <v/>
      </c>
      <c r="F3944" s="21">
        <f>IF($N3944="","",IF(INDEX(LdBAmt,$N3944)=0,"",INDEX(LdBAmt,$N3944)))</f>
        <v/>
      </c>
      <c r="G3944" s="32">
        <f>IF($N3944="","",IF(INDEX(LdBNote,$N3944)="","—",INDEX(LdBNote,$N3944)))</f>
        <v/>
      </c>
      <c r="N3944">
        <f>IFERROR(MATCH($C$5&amp;"|"&amp;RIGHT("000000"&amp;1924,6),LdBKeyG,0),"")</f>
        <v/>
      </c>
    </row>
    <row r="3945">
      <c r="A3945" s="10" t="n">
        <v>1925</v>
      </c>
      <c r="B3945" s="14">
        <f>IF($N3945="","",INDEX(LdBDate,$N3945))</f>
        <v/>
      </c>
      <c r="C3945" s="14">
        <f>IF($N3945="","",IF(INDEX(LdBId,$N3945)="","—",INDEX(LdBId,$N3945)))</f>
        <v/>
      </c>
      <c r="D3945" s="14">
        <f>IF($N3945="","",INDEX(LdBMember,$N3945))</f>
        <v/>
      </c>
      <c r="E3945" s="14">
        <f>IF($N3945="","",IFERROR(IF(VLOOKUP(INDEX(LdBMember,$N3945),AcctTblE,4,0)="","(بدون نام)",VLOOKUP(INDEX(LdBMember,$N3945),AcctTblE,4,0)),"—"))</f>
        <v/>
      </c>
      <c r="F3945" s="16">
        <f>IF($N3945="","",IF(INDEX(LdBAmt,$N3945)=0,"",INDEX(LdBAmt,$N3945)))</f>
        <v/>
      </c>
      <c r="G3945" s="30">
        <f>IF($N3945="","",IF(INDEX(LdBNote,$N3945)="","—",INDEX(LdBNote,$N3945)))</f>
        <v/>
      </c>
      <c r="N3945">
        <f>IFERROR(MATCH($C$5&amp;"|"&amp;RIGHT("000000"&amp;1925,6),LdBKeyG,0),"")</f>
        <v/>
      </c>
    </row>
    <row r="3946">
      <c r="A3946" s="19" t="n">
        <v>1926</v>
      </c>
      <c r="B3946" s="20">
        <f>IF($N3946="","",INDEX(LdBDate,$N3946))</f>
        <v/>
      </c>
      <c r="C3946" s="20">
        <f>IF($N3946="","",IF(INDEX(LdBId,$N3946)="","—",INDEX(LdBId,$N3946)))</f>
        <v/>
      </c>
      <c r="D3946" s="20">
        <f>IF($N3946="","",INDEX(LdBMember,$N3946))</f>
        <v/>
      </c>
      <c r="E3946" s="20">
        <f>IF($N3946="","",IFERROR(IF(VLOOKUP(INDEX(LdBMember,$N3946),AcctTblE,4,0)="","(بدون نام)",VLOOKUP(INDEX(LdBMember,$N3946),AcctTblE,4,0)),"—"))</f>
        <v/>
      </c>
      <c r="F3946" s="21">
        <f>IF($N3946="","",IF(INDEX(LdBAmt,$N3946)=0,"",INDEX(LdBAmt,$N3946)))</f>
        <v/>
      </c>
      <c r="G3946" s="32">
        <f>IF($N3946="","",IF(INDEX(LdBNote,$N3946)="","—",INDEX(LdBNote,$N3946)))</f>
        <v/>
      </c>
      <c r="N3946">
        <f>IFERROR(MATCH($C$5&amp;"|"&amp;RIGHT("000000"&amp;1926,6),LdBKeyG,0),"")</f>
        <v/>
      </c>
    </row>
    <row r="3947">
      <c r="A3947" s="10" t="n">
        <v>1927</v>
      </c>
      <c r="B3947" s="14">
        <f>IF($N3947="","",INDEX(LdBDate,$N3947))</f>
        <v/>
      </c>
      <c r="C3947" s="14">
        <f>IF($N3947="","",IF(INDEX(LdBId,$N3947)="","—",INDEX(LdBId,$N3947)))</f>
        <v/>
      </c>
      <c r="D3947" s="14">
        <f>IF($N3947="","",INDEX(LdBMember,$N3947))</f>
        <v/>
      </c>
      <c r="E3947" s="14">
        <f>IF($N3947="","",IFERROR(IF(VLOOKUP(INDEX(LdBMember,$N3947),AcctTblE,4,0)="","(بدون نام)",VLOOKUP(INDEX(LdBMember,$N3947),AcctTblE,4,0)),"—"))</f>
        <v/>
      </c>
      <c r="F3947" s="16">
        <f>IF($N3947="","",IF(INDEX(LdBAmt,$N3947)=0,"",INDEX(LdBAmt,$N3947)))</f>
        <v/>
      </c>
      <c r="G3947" s="30">
        <f>IF($N3947="","",IF(INDEX(LdBNote,$N3947)="","—",INDEX(LdBNote,$N3947)))</f>
        <v/>
      </c>
      <c r="N3947">
        <f>IFERROR(MATCH($C$5&amp;"|"&amp;RIGHT("000000"&amp;1927,6),LdBKeyG,0),"")</f>
        <v/>
      </c>
    </row>
    <row r="3948">
      <c r="A3948" s="19" t="n">
        <v>1928</v>
      </c>
      <c r="B3948" s="20">
        <f>IF($N3948="","",INDEX(LdBDate,$N3948))</f>
        <v/>
      </c>
      <c r="C3948" s="20">
        <f>IF($N3948="","",IF(INDEX(LdBId,$N3948)="","—",INDEX(LdBId,$N3948)))</f>
        <v/>
      </c>
      <c r="D3948" s="20">
        <f>IF($N3948="","",INDEX(LdBMember,$N3948))</f>
        <v/>
      </c>
      <c r="E3948" s="20">
        <f>IF($N3948="","",IFERROR(IF(VLOOKUP(INDEX(LdBMember,$N3948),AcctTblE,4,0)="","(بدون نام)",VLOOKUP(INDEX(LdBMember,$N3948),AcctTblE,4,0)),"—"))</f>
        <v/>
      </c>
      <c r="F3948" s="21">
        <f>IF($N3948="","",IF(INDEX(LdBAmt,$N3948)=0,"",INDEX(LdBAmt,$N3948)))</f>
        <v/>
      </c>
      <c r="G3948" s="32">
        <f>IF($N3948="","",IF(INDEX(LdBNote,$N3948)="","—",INDEX(LdBNote,$N3948)))</f>
        <v/>
      </c>
      <c r="N3948">
        <f>IFERROR(MATCH($C$5&amp;"|"&amp;RIGHT("000000"&amp;1928,6),LdBKeyG,0),"")</f>
        <v/>
      </c>
    </row>
    <row r="3949">
      <c r="A3949" s="10" t="n">
        <v>1929</v>
      </c>
      <c r="B3949" s="14">
        <f>IF($N3949="","",INDEX(LdBDate,$N3949))</f>
        <v/>
      </c>
      <c r="C3949" s="14">
        <f>IF($N3949="","",IF(INDEX(LdBId,$N3949)="","—",INDEX(LdBId,$N3949)))</f>
        <v/>
      </c>
      <c r="D3949" s="14">
        <f>IF($N3949="","",INDEX(LdBMember,$N3949))</f>
        <v/>
      </c>
      <c r="E3949" s="14">
        <f>IF($N3949="","",IFERROR(IF(VLOOKUP(INDEX(LdBMember,$N3949),AcctTblE,4,0)="","(بدون نام)",VLOOKUP(INDEX(LdBMember,$N3949),AcctTblE,4,0)),"—"))</f>
        <v/>
      </c>
      <c r="F3949" s="16">
        <f>IF($N3949="","",IF(INDEX(LdBAmt,$N3949)=0,"",INDEX(LdBAmt,$N3949)))</f>
        <v/>
      </c>
      <c r="G3949" s="30">
        <f>IF($N3949="","",IF(INDEX(LdBNote,$N3949)="","—",INDEX(LdBNote,$N3949)))</f>
        <v/>
      </c>
      <c r="N3949">
        <f>IFERROR(MATCH($C$5&amp;"|"&amp;RIGHT("000000"&amp;1929,6),LdBKeyG,0),"")</f>
        <v/>
      </c>
    </row>
    <row r="3950">
      <c r="A3950" s="19" t="n">
        <v>1930</v>
      </c>
      <c r="B3950" s="20">
        <f>IF($N3950="","",INDEX(LdBDate,$N3950))</f>
        <v/>
      </c>
      <c r="C3950" s="20">
        <f>IF($N3950="","",IF(INDEX(LdBId,$N3950)="","—",INDEX(LdBId,$N3950)))</f>
        <v/>
      </c>
      <c r="D3950" s="20">
        <f>IF($N3950="","",INDEX(LdBMember,$N3950))</f>
        <v/>
      </c>
      <c r="E3950" s="20">
        <f>IF($N3950="","",IFERROR(IF(VLOOKUP(INDEX(LdBMember,$N3950),AcctTblE,4,0)="","(بدون نام)",VLOOKUP(INDEX(LdBMember,$N3950),AcctTblE,4,0)),"—"))</f>
        <v/>
      </c>
      <c r="F3950" s="21">
        <f>IF($N3950="","",IF(INDEX(LdBAmt,$N3950)=0,"",INDEX(LdBAmt,$N3950)))</f>
        <v/>
      </c>
      <c r="G3950" s="32">
        <f>IF($N3950="","",IF(INDEX(LdBNote,$N3950)="","—",INDEX(LdBNote,$N3950)))</f>
        <v/>
      </c>
      <c r="N3950">
        <f>IFERROR(MATCH($C$5&amp;"|"&amp;RIGHT("000000"&amp;1930,6),LdBKeyG,0),"")</f>
        <v/>
      </c>
    </row>
    <row r="3951">
      <c r="A3951" s="10" t="n">
        <v>1931</v>
      </c>
      <c r="B3951" s="14">
        <f>IF($N3951="","",INDEX(LdBDate,$N3951))</f>
        <v/>
      </c>
      <c r="C3951" s="14">
        <f>IF($N3951="","",IF(INDEX(LdBId,$N3951)="","—",INDEX(LdBId,$N3951)))</f>
        <v/>
      </c>
      <c r="D3951" s="14">
        <f>IF($N3951="","",INDEX(LdBMember,$N3951))</f>
        <v/>
      </c>
      <c r="E3951" s="14">
        <f>IF($N3951="","",IFERROR(IF(VLOOKUP(INDEX(LdBMember,$N3951),AcctTblE,4,0)="","(بدون نام)",VLOOKUP(INDEX(LdBMember,$N3951),AcctTblE,4,0)),"—"))</f>
        <v/>
      </c>
      <c r="F3951" s="16">
        <f>IF($N3951="","",IF(INDEX(LdBAmt,$N3951)=0,"",INDEX(LdBAmt,$N3951)))</f>
        <v/>
      </c>
      <c r="G3951" s="30">
        <f>IF($N3951="","",IF(INDEX(LdBNote,$N3951)="","—",INDEX(LdBNote,$N3951)))</f>
        <v/>
      </c>
      <c r="N3951">
        <f>IFERROR(MATCH($C$5&amp;"|"&amp;RIGHT("000000"&amp;1931,6),LdBKeyG,0),"")</f>
        <v/>
      </c>
    </row>
    <row r="3952">
      <c r="A3952" s="19" t="n">
        <v>1932</v>
      </c>
      <c r="B3952" s="20">
        <f>IF($N3952="","",INDEX(LdBDate,$N3952))</f>
        <v/>
      </c>
      <c r="C3952" s="20">
        <f>IF($N3952="","",IF(INDEX(LdBId,$N3952)="","—",INDEX(LdBId,$N3952)))</f>
        <v/>
      </c>
      <c r="D3952" s="20">
        <f>IF($N3952="","",INDEX(LdBMember,$N3952))</f>
        <v/>
      </c>
      <c r="E3952" s="20">
        <f>IF($N3952="","",IFERROR(IF(VLOOKUP(INDEX(LdBMember,$N3952),AcctTblE,4,0)="","(بدون نام)",VLOOKUP(INDEX(LdBMember,$N3952),AcctTblE,4,0)),"—"))</f>
        <v/>
      </c>
      <c r="F3952" s="21">
        <f>IF($N3952="","",IF(INDEX(LdBAmt,$N3952)=0,"",INDEX(LdBAmt,$N3952)))</f>
        <v/>
      </c>
      <c r="G3952" s="32">
        <f>IF($N3952="","",IF(INDEX(LdBNote,$N3952)="","—",INDEX(LdBNote,$N3952)))</f>
        <v/>
      </c>
      <c r="N3952">
        <f>IFERROR(MATCH($C$5&amp;"|"&amp;RIGHT("000000"&amp;1932,6),LdBKeyG,0),"")</f>
        <v/>
      </c>
    </row>
    <row r="3953">
      <c r="A3953" s="10" t="n">
        <v>1933</v>
      </c>
      <c r="B3953" s="14">
        <f>IF($N3953="","",INDEX(LdBDate,$N3953))</f>
        <v/>
      </c>
      <c r="C3953" s="14">
        <f>IF($N3953="","",IF(INDEX(LdBId,$N3953)="","—",INDEX(LdBId,$N3953)))</f>
        <v/>
      </c>
      <c r="D3953" s="14">
        <f>IF($N3953="","",INDEX(LdBMember,$N3953))</f>
        <v/>
      </c>
      <c r="E3953" s="14">
        <f>IF($N3953="","",IFERROR(IF(VLOOKUP(INDEX(LdBMember,$N3953),AcctTblE,4,0)="","(بدون نام)",VLOOKUP(INDEX(LdBMember,$N3953),AcctTblE,4,0)),"—"))</f>
        <v/>
      </c>
      <c r="F3953" s="16">
        <f>IF($N3953="","",IF(INDEX(LdBAmt,$N3953)=0,"",INDEX(LdBAmt,$N3953)))</f>
        <v/>
      </c>
      <c r="G3953" s="30">
        <f>IF($N3953="","",IF(INDEX(LdBNote,$N3953)="","—",INDEX(LdBNote,$N3953)))</f>
        <v/>
      </c>
      <c r="N3953">
        <f>IFERROR(MATCH($C$5&amp;"|"&amp;RIGHT("000000"&amp;1933,6),LdBKeyG,0),"")</f>
        <v/>
      </c>
    </row>
    <row r="3954">
      <c r="A3954" s="19" t="n">
        <v>1934</v>
      </c>
      <c r="B3954" s="20">
        <f>IF($N3954="","",INDEX(LdBDate,$N3954))</f>
        <v/>
      </c>
      <c r="C3954" s="20">
        <f>IF($N3954="","",IF(INDEX(LdBId,$N3954)="","—",INDEX(LdBId,$N3954)))</f>
        <v/>
      </c>
      <c r="D3954" s="20">
        <f>IF($N3954="","",INDEX(LdBMember,$N3954))</f>
        <v/>
      </c>
      <c r="E3954" s="20">
        <f>IF($N3954="","",IFERROR(IF(VLOOKUP(INDEX(LdBMember,$N3954),AcctTblE,4,0)="","(بدون نام)",VLOOKUP(INDEX(LdBMember,$N3954),AcctTblE,4,0)),"—"))</f>
        <v/>
      </c>
      <c r="F3954" s="21">
        <f>IF($N3954="","",IF(INDEX(LdBAmt,$N3954)=0,"",INDEX(LdBAmt,$N3954)))</f>
        <v/>
      </c>
      <c r="G3954" s="32">
        <f>IF($N3954="","",IF(INDEX(LdBNote,$N3954)="","—",INDEX(LdBNote,$N3954)))</f>
        <v/>
      </c>
      <c r="N3954">
        <f>IFERROR(MATCH($C$5&amp;"|"&amp;RIGHT("000000"&amp;1934,6),LdBKeyG,0),"")</f>
        <v/>
      </c>
    </row>
    <row r="3955">
      <c r="A3955" s="10" t="n">
        <v>1935</v>
      </c>
      <c r="B3955" s="14">
        <f>IF($N3955="","",INDEX(LdBDate,$N3955))</f>
        <v/>
      </c>
      <c r="C3955" s="14">
        <f>IF($N3955="","",IF(INDEX(LdBId,$N3955)="","—",INDEX(LdBId,$N3955)))</f>
        <v/>
      </c>
      <c r="D3955" s="14">
        <f>IF($N3955="","",INDEX(LdBMember,$N3955))</f>
        <v/>
      </c>
      <c r="E3955" s="14">
        <f>IF($N3955="","",IFERROR(IF(VLOOKUP(INDEX(LdBMember,$N3955),AcctTblE,4,0)="","(بدون نام)",VLOOKUP(INDEX(LdBMember,$N3955),AcctTblE,4,0)),"—"))</f>
        <v/>
      </c>
      <c r="F3955" s="16">
        <f>IF($N3955="","",IF(INDEX(LdBAmt,$N3955)=0,"",INDEX(LdBAmt,$N3955)))</f>
        <v/>
      </c>
      <c r="G3955" s="30">
        <f>IF($N3955="","",IF(INDEX(LdBNote,$N3955)="","—",INDEX(LdBNote,$N3955)))</f>
        <v/>
      </c>
      <c r="N3955">
        <f>IFERROR(MATCH($C$5&amp;"|"&amp;RIGHT("000000"&amp;1935,6),LdBKeyG,0),"")</f>
        <v/>
      </c>
    </row>
    <row r="3956">
      <c r="A3956" s="19" t="n">
        <v>1936</v>
      </c>
      <c r="B3956" s="20">
        <f>IF($N3956="","",INDEX(LdBDate,$N3956))</f>
        <v/>
      </c>
      <c r="C3956" s="20">
        <f>IF($N3956="","",IF(INDEX(LdBId,$N3956)="","—",INDEX(LdBId,$N3956)))</f>
        <v/>
      </c>
      <c r="D3956" s="20">
        <f>IF($N3956="","",INDEX(LdBMember,$N3956))</f>
        <v/>
      </c>
      <c r="E3956" s="20">
        <f>IF($N3956="","",IFERROR(IF(VLOOKUP(INDEX(LdBMember,$N3956),AcctTblE,4,0)="","(بدون نام)",VLOOKUP(INDEX(LdBMember,$N3956),AcctTblE,4,0)),"—"))</f>
        <v/>
      </c>
      <c r="F3956" s="21">
        <f>IF($N3956="","",IF(INDEX(LdBAmt,$N3956)=0,"",INDEX(LdBAmt,$N3956)))</f>
        <v/>
      </c>
      <c r="G3956" s="32">
        <f>IF($N3956="","",IF(INDEX(LdBNote,$N3956)="","—",INDEX(LdBNote,$N3956)))</f>
        <v/>
      </c>
      <c r="N3956">
        <f>IFERROR(MATCH($C$5&amp;"|"&amp;RIGHT("000000"&amp;1936,6),LdBKeyG,0),"")</f>
        <v/>
      </c>
    </row>
    <row r="3957">
      <c r="A3957" s="10" t="n">
        <v>1937</v>
      </c>
      <c r="B3957" s="14">
        <f>IF($N3957="","",INDEX(LdBDate,$N3957))</f>
        <v/>
      </c>
      <c r="C3957" s="14">
        <f>IF($N3957="","",IF(INDEX(LdBId,$N3957)="","—",INDEX(LdBId,$N3957)))</f>
        <v/>
      </c>
      <c r="D3957" s="14">
        <f>IF($N3957="","",INDEX(LdBMember,$N3957))</f>
        <v/>
      </c>
      <c r="E3957" s="14">
        <f>IF($N3957="","",IFERROR(IF(VLOOKUP(INDEX(LdBMember,$N3957),AcctTblE,4,0)="","(بدون نام)",VLOOKUP(INDEX(LdBMember,$N3957),AcctTblE,4,0)),"—"))</f>
        <v/>
      </c>
      <c r="F3957" s="16">
        <f>IF($N3957="","",IF(INDEX(LdBAmt,$N3957)=0,"",INDEX(LdBAmt,$N3957)))</f>
        <v/>
      </c>
      <c r="G3957" s="30">
        <f>IF($N3957="","",IF(INDEX(LdBNote,$N3957)="","—",INDEX(LdBNote,$N3957)))</f>
        <v/>
      </c>
      <c r="N3957">
        <f>IFERROR(MATCH($C$5&amp;"|"&amp;RIGHT("000000"&amp;1937,6),LdBKeyG,0),"")</f>
        <v/>
      </c>
    </row>
    <row r="3958">
      <c r="A3958" s="19" t="n">
        <v>1938</v>
      </c>
      <c r="B3958" s="20">
        <f>IF($N3958="","",INDEX(LdBDate,$N3958))</f>
        <v/>
      </c>
      <c r="C3958" s="20">
        <f>IF($N3958="","",IF(INDEX(LdBId,$N3958)="","—",INDEX(LdBId,$N3958)))</f>
        <v/>
      </c>
      <c r="D3958" s="20">
        <f>IF($N3958="","",INDEX(LdBMember,$N3958))</f>
        <v/>
      </c>
      <c r="E3958" s="20">
        <f>IF($N3958="","",IFERROR(IF(VLOOKUP(INDEX(LdBMember,$N3958),AcctTblE,4,0)="","(بدون نام)",VLOOKUP(INDEX(LdBMember,$N3958),AcctTblE,4,0)),"—"))</f>
        <v/>
      </c>
      <c r="F3958" s="21">
        <f>IF($N3958="","",IF(INDEX(LdBAmt,$N3958)=0,"",INDEX(LdBAmt,$N3958)))</f>
        <v/>
      </c>
      <c r="G3958" s="32">
        <f>IF($N3958="","",IF(INDEX(LdBNote,$N3958)="","—",INDEX(LdBNote,$N3958)))</f>
        <v/>
      </c>
      <c r="N3958">
        <f>IFERROR(MATCH($C$5&amp;"|"&amp;RIGHT("000000"&amp;1938,6),LdBKeyG,0),"")</f>
        <v/>
      </c>
    </row>
    <row r="3959">
      <c r="A3959" s="10" t="n">
        <v>1939</v>
      </c>
      <c r="B3959" s="14">
        <f>IF($N3959="","",INDEX(LdBDate,$N3959))</f>
        <v/>
      </c>
      <c r="C3959" s="14">
        <f>IF($N3959="","",IF(INDEX(LdBId,$N3959)="","—",INDEX(LdBId,$N3959)))</f>
        <v/>
      </c>
      <c r="D3959" s="14">
        <f>IF($N3959="","",INDEX(LdBMember,$N3959))</f>
        <v/>
      </c>
      <c r="E3959" s="14">
        <f>IF($N3959="","",IFERROR(IF(VLOOKUP(INDEX(LdBMember,$N3959),AcctTblE,4,0)="","(بدون نام)",VLOOKUP(INDEX(LdBMember,$N3959),AcctTblE,4,0)),"—"))</f>
        <v/>
      </c>
      <c r="F3959" s="16">
        <f>IF($N3959="","",IF(INDEX(LdBAmt,$N3959)=0,"",INDEX(LdBAmt,$N3959)))</f>
        <v/>
      </c>
      <c r="G3959" s="30">
        <f>IF($N3959="","",IF(INDEX(LdBNote,$N3959)="","—",INDEX(LdBNote,$N3959)))</f>
        <v/>
      </c>
      <c r="N3959">
        <f>IFERROR(MATCH($C$5&amp;"|"&amp;RIGHT("000000"&amp;1939,6),LdBKeyG,0),"")</f>
        <v/>
      </c>
    </row>
    <row r="3960">
      <c r="A3960" s="19" t="n">
        <v>1940</v>
      </c>
      <c r="B3960" s="20">
        <f>IF($N3960="","",INDEX(LdBDate,$N3960))</f>
        <v/>
      </c>
      <c r="C3960" s="20">
        <f>IF($N3960="","",IF(INDEX(LdBId,$N3960)="","—",INDEX(LdBId,$N3960)))</f>
        <v/>
      </c>
      <c r="D3960" s="20">
        <f>IF($N3960="","",INDEX(LdBMember,$N3960))</f>
        <v/>
      </c>
      <c r="E3960" s="20">
        <f>IF($N3960="","",IFERROR(IF(VLOOKUP(INDEX(LdBMember,$N3960),AcctTblE,4,0)="","(بدون نام)",VLOOKUP(INDEX(LdBMember,$N3960),AcctTblE,4,0)),"—"))</f>
        <v/>
      </c>
      <c r="F3960" s="21">
        <f>IF($N3960="","",IF(INDEX(LdBAmt,$N3960)=0,"",INDEX(LdBAmt,$N3960)))</f>
        <v/>
      </c>
      <c r="G3960" s="32">
        <f>IF($N3960="","",IF(INDEX(LdBNote,$N3960)="","—",INDEX(LdBNote,$N3960)))</f>
        <v/>
      </c>
      <c r="N3960">
        <f>IFERROR(MATCH($C$5&amp;"|"&amp;RIGHT("000000"&amp;1940,6),LdBKeyG,0),"")</f>
        <v/>
      </c>
    </row>
    <row r="3961">
      <c r="A3961" s="10" t="n">
        <v>1941</v>
      </c>
      <c r="B3961" s="14">
        <f>IF($N3961="","",INDEX(LdBDate,$N3961))</f>
        <v/>
      </c>
      <c r="C3961" s="14">
        <f>IF($N3961="","",IF(INDEX(LdBId,$N3961)="","—",INDEX(LdBId,$N3961)))</f>
        <v/>
      </c>
      <c r="D3961" s="14">
        <f>IF($N3961="","",INDEX(LdBMember,$N3961))</f>
        <v/>
      </c>
      <c r="E3961" s="14">
        <f>IF($N3961="","",IFERROR(IF(VLOOKUP(INDEX(LdBMember,$N3961),AcctTblE,4,0)="","(بدون نام)",VLOOKUP(INDEX(LdBMember,$N3961),AcctTblE,4,0)),"—"))</f>
        <v/>
      </c>
      <c r="F3961" s="16">
        <f>IF($N3961="","",IF(INDEX(LdBAmt,$N3961)=0,"",INDEX(LdBAmt,$N3961)))</f>
        <v/>
      </c>
      <c r="G3961" s="30">
        <f>IF($N3961="","",IF(INDEX(LdBNote,$N3961)="","—",INDEX(LdBNote,$N3961)))</f>
        <v/>
      </c>
      <c r="N3961">
        <f>IFERROR(MATCH($C$5&amp;"|"&amp;RIGHT("000000"&amp;1941,6),LdBKeyG,0),"")</f>
        <v/>
      </c>
    </row>
    <row r="3962">
      <c r="A3962" s="19" t="n">
        <v>1942</v>
      </c>
      <c r="B3962" s="20">
        <f>IF($N3962="","",INDEX(LdBDate,$N3962))</f>
        <v/>
      </c>
      <c r="C3962" s="20">
        <f>IF($N3962="","",IF(INDEX(LdBId,$N3962)="","—",INDEX(LdBId,$N3962)))</f>
        <v/>
      </c>
      <c r="D3962" s="20">
        <f>IF($N3962="","",INDEX(LdBMember,$N3962))</f>
        <v/>
      </c>
      <c r="E3962" s="20">
        <f>IF($N3962="","",IFERROR(IF(VLOOKUP(INDEX(LdBMember,$N3962),AcctTblE,4,0)="","(بدون نام)",VLOOKUP(INDEX(LdBMember,$N3962),AcctTblE,4,0)),"—"))</f>
        <v/>
      </c>
      <c r="F3962" s="21">
        <f>IF($N3962="","",IF(INDEX(LdBAmt,$N3962)=0,"",INDEX(LdBAmt,$N3962)))</f>
        <v/>
      </c>
      <c r="G3962" s="32">
        <f>IF($N3962="","",IF(INDEX(LdBNote,$N3962)="","—",INDEX(LdBNote,$N3962)))</f>
        <v/>
      </c>
      <c r="N3962">
        <f>IFERROR(MATCH($C$5&amp;"|"&amp;RIGHT("000000"&amp;1942,6),LdBKeyG,0),"")</f>
        <v/>
      </c>
    </row>
    <row r="3963">
      <c r="A3963" s="10" t="n">
        <v>1943</v>
      </c>
      <c r="B3963" s="14">
        <f>IF($N3963="","",INDEX(LdBDate,$N3963))</f>
        <v/>
      </c>
      <c r="C3963" s="14">
        <f>IF($N3963="","",IF(INDEX(LdBId,$N3963)="","—",INDEX(LdBId,$N3963)))</f>
        <v/>
      </c>
      <c r="D3963" s="14">
        <f>IF($N3963="","",INDEX(LdBMember,$N3963))</f>
        <v/>
      </c>
      <c r="E3963" s="14">
        <f>IF($N3963="","",IFERROR(IF(VLOOKUP(INDEX(LdBMember,$N3963),AcctTblE,4,0)="","(بدون نام)",VLOOKUP(INDEX(LdBMember,$N3963),AcctTblE,4,0)),"—"))</f>
        <v/>
      </c>
      <c r="F3963" s="16">
        <f>IF($N3963="","",IF(INDEX(LdBAmt,$N3963)=0,"",INDEX(LdBAmt,$N3963)))</f>
        <v/>
      </c>
      <c r="G3963" s="30">
        <f>IF($N3963="","",IF(INDEX(LdBNote,$N3963)="","—",INDEX(LdBNote,$N3963)))</f>
        <v/>
      </c>
      <c r="N3963">
        <f>IFERROR(MATCH($C$5&amp;"|"&amp;RIGHT("000000"&amp;1943,6),LdBKeyG,0),"")</f>
        <v/>
      </c>
    </row>
    <row r="3964">
      <c r="A3964" s="19" t="n">
        <v>1944</v>
      </c>
      <c r="B3964" s="20">
        <f>IF($N3964="","",INDEX(LdBDate,$N3964))</f>
        <v/>
      </c>
      <c r="C3964" s="20">
        <f>IF($N3964="","",IF(INDEX(LdBId,$N3964)="","—",INDEX(LdBId,$N3964)))</f>
        <v/>
      </c>
      <c r="D3964" s="20">
        <f>IF($N3964="","",INDEX(LdBMember,$N3964))</f>
        <v/>
      </c>
      <c r="E3964" s="20">
        <f>IF($N3964="","",IFERROR(IF(VLOOKUP(INDEX(LdBMember,$N3964),AcctTblE,4,0)="","(بدون نام)",VLOOKUP(INDEX(LdBMember,$N3964),AcctTblE,4,0)),"—"))</f>
        <v/>
      </c>
      <c r="F3964" s="21">
        <f>IF($N3964="","",IF(INDEX(LdBAmt,$N3964)=0,"",INDEX(LdBAmt,$N3964)))</f>
        <v/>
      </c>
      <c r="G3964" s="32">
        <f>IF($N3964="","",IF(INDEX(LdBNote,$N3964)="","—",INDEX(LdBNote,$N3964)))</f>
        <v/>
      </c>
      <c r="N3964">
        <f>IFERROR(MATCH($C$5&amp;"|"&amp;RIGHT("000000"&amp;1944,6),LdBKeyG,0),"")</f>
        <v/>
      </c>
    </row>
    <row r="3965">
      <c r="A3965" s="10" t="n">
        <v>1945</v>
      </c>
      <c r="B3965" s="14">
        <f>IF($N3965="","",INDEX(LdBDate,$N3965))</f>
        <v/>
      </c>
      <c r="C3965" s="14">
        <f>IF($N3965="","",IF(INDEX(LdBId,$N3965)="","—",INDEX(LdBId,$N3965)))</f>
        <v/>
      </c>
      <c r="D3965" s="14">
        <f>IF($N3965="","",INDEX(LdBMember,$N3965))</f>
        <v/>
      </c>
      <c r="E3965" s="14">
        <f>IF($N3965="","",IFERROR(IF(VLOOKUP(INDEX(LdBMember,$N3965),AcctTblE,4,0)="","(بدون نام)",VLOOKUP(INDEX(LdBMember,$N3965),AcctTblE,4,0)),"—"))</f>
        <v/>
      </c>
      <c r="F3965" s="16">
        <f>IF($N3965="","",IF(INDEX(LdBAmt,$N3965)=0,"",INDEX(LdBAmt,$N3965)))</f>
        <v/>
      </c>
      <c r="G3965" s="30">
        <f>IF($N3965="","",IF(INDEX(LdBNote,$N3965)="","—",INDEX(LdBNote,$N3965)))</f>
        <v/>
      </c>
      <c r="N3965">
        <f>IFERROR(MATCH($C$5&amp;"|"&amp;RIGHT("000000"&amp;1945,6),LdBKeyG,0),"")</f>
        <v/>
      </c>
    </row>
    <row r="3966">
      <c r="A3966" s="19" t="n">
        <v>1946</v>
      </c>
      <c r="B3966" s="20">
        <f>IF($N3966="","",INDEX(LdBDate,$N3966))</f>
        <v/>
      </c>
      <c r="C3966" s="20">
        <f>IF($N3966="","",IF(INDEX(LdBId,$N3966)="","—",INDEX(LdBId,$N3966)))</f>
        <v/>
      </c>
      <c r="D3966" s="20">
        <f>IF($N3966="","",INDEX(LdBMember,$N3966))</f>
        <v/>
      </c>
      <c r="E3966" s="20">
        <f>IF($N3966="","",IFERROR(IF(VLOOKUP(INDEX(LdBMember,$N3966),AcctTblE,4,0)="","(بدون نام)",VLOOKUP(INDEX(LdBMember,$N3966),AcctTblE,4,0)),"—"))</f>
        <v/>
      </c>
      <c r="F3966" s="21">
        <f>IF($N3966="","",IF(INDEX(LdBAmt,$N3966)=0,"",INDEX(LdBAmt,$N3966)))</f>
        <v/>
      </c>
      <c r="G3966" s="32">
        <f>IF($N3966="","",IF(INDEX(LdBNote,$N3966)="","—",INDEX(LdBNote,$N3966)))</f>
        <v/>
      </c>
      <c r="N3966">
        <f>IFERROR(MATCH($C$5&amp;"|"&amp;RIGHT("000000"&amp;1946,6),LdBKeyG,0),"")</f>
        <v/>
      </c>
    </row>
    <row r="3967">
      <c r="A3967" s="10" t="n">
        <v>1947</v>
      </c>
      <c r="B3967" s="14">
        <f>IF($N3967="","",INDEX(LdBDate,$N3967))</f>
        <v/>
      </c>
      <c r="C3967" s="14">
        <f>IF($N3967="","",IF(INDEX(LdBId,$N3967)="","—",INDEX(LdBId,$N3967)))</f>
        <v/>
      </c>
      <c r="D3967" s="14">
        <f>IF($N3967="","",INDEX(LdBMember,$N3967))</f>
        <v/>
      </c>
      <c r="E3967" s="14">
        <f>IF($N3967="","",IFERROR(IF(VLOOKUP(INDEX(LdBMember,$N3967),AcctTblE,4,0)="","(بدون نام)",VLOOKUP(INDEX(LdBMember,$N3967),AcctTblE,4,0)),"—"))</f>
        <v/>
      </c>
      <c r="F3967" s="16">
        <f>IF($N3967="","",IF(INDEX(LdBAmt,$N3967)=0,"",INDEX(LdBAmt,$N3967)))</f>
        <v/>
      </c>
      <c r="G3967" s="30">
        <f>IF($N3967="","",IF(INDEX(LdBNote,$N3967)="","—",INDEX(LdBNote,$N3967)))</f>
        <v/>
      </c>
      <c r="N3967">
        <f>IFERROR(MATCH($C$5&amp;"|"&amp;RIGHT("000000"&amp;1947,6),LdBKeyG,0),"")</f>
        <v/>
      </c>
    </row>
    <row r="3968">
      <c r="A3968" s="19" t="n">
        <v>1948</v>
      </c>
      <c r="B3968" s="20">
        <f>IF($N3968="","",INDEX(LdBDate,$N3968))</f>
        <v/>
      </c>
      <c r="C3968" s="20">
        <f>IF($N3968="","",IF(INDEX(LdBId,$N3968)="","—",INDEX(LdBId,$N3968)))</f>
        <v/>
      </c>
      <c r="D3968" s="20">
        <f>IF($N3968="","",INDEX(LdBMember,$N3968))</f>
        <v/>
      </c>
      <c r="E3968" s="20">
        <f>IF($N3968="","",IFERROR(IF(VLOOKUP(INDEX(LdBMember,$N3968),AcctTblE,4,0)="","(بدون نام)",VLOOKUP(INDEX(LdBMember,$N3968),AcctTblE,4,0)),"—"))</f>
        <v/>
      </c>
      <c r="F3968" s="21">
        <f>IF($N3968="","",IF(INDEX(LdBAmt,$N3968)=0,"",INDEX(LdBAmt,$N3968)))</f>
        <v/>
      </c>
      <c r="G3968" s="32">
        <f>IF($N3968="","",IF(INDEX(LdBNote,$N3968)="","—",INDEX(LdBNote,$N3968)))</f>
        <v/>
      </c>
      <c r="N3968">
        <f>IFERROR(MATCH($C$5&amp;"|"&amp;RIGHT("000000"&amp;1948,6),LdBKeyG,0),"")</f>
        <v/>
      </c>
    </row>
    <row r="3969">
      <c r="A3969" s="10" t="n">
        <v>1949</v>
      </c>
      <c r="B3969" s="14">
        <f>IF($N3969="","",INDEX(LdBDate,$N3969))</f>
        <v/>
      </c>
      <c r="C3969" s="14">
        <f>IF($N3969="","",IF(INDEX(LdBId,$N3969)="","—",INDEX(LdBId,$N3969)))</f>
        <v/>
      </c>
      <c r="D3969" s="14">
        <f>IF($N3969="","",INDEX(LdBMember,$N3969))</f>
        <v/>
      </c>
      <c r="E3969" s="14">
        <f>IF($N3969="","",IFERROR(IF(VLOOKUP(INDEX(LdBMember,$N3969),AcctTblE,4,0)="","(بدون نام)",VLOOKUP(INDEX(LdBMember,$N3969),AcctTblE,4,0)),"—"))</f>
        <v/>
      </c>
      <c r="F3969" s="16">
        <f>IF($N3969="","",IF(INDEX(LdBAmt,$N3969)=0,"",INDEX(LdBAmt,$N3969)))</f>
        <v/>
      </c>
      <c r="G3969" s="30">
        <f>IF($N3969="","",IF(INDEX(LdBNote,$N3969)="","—",INDEX(LdBNote,$N3969)))</f>
        <v/>
      </c>
      <c r="N3969">
        <f>IFERROR(MATCH($C$5&amp;"|"&amp;RIGHT("000000"&amp;1949,6),LdBKeyG,0),"")</f>
        <v/>
      </c>
    </row>
    <row r="3970">
      <c r="A3970" s="19" t="n">
        <v>1950</v>
      </c>
      <c r="B3970" s="20">
        <f>IF($N3970="","",INDEX(LdBDate,$N3970))</f>
        <v/>
      </c>
      <c r="C3970" s="20">
        <f>IF($N3970="","",IF(INDEX(LdBId,$N3970)="","—",INDEX(LdBId,$N3970)))</f>
        <v/>
      </c>
      <c r="D3970" s="20">
        <f>IF($N3970="","",INDEX(LdBMember,$N3970))</f>
        <v/>
      </c>
      <c r="E3970" s="20">
        <f>IF($N3970="","",IFERROR(IF(VLOOKUP(INDEX(LdBMember,$N3970),AcctTblE,4,0)="","(بدون نام)",VLOOKUP(INDEX(LdBMember,$N3970),AcctTblE,4,0)),"—"))</f>
        <v/>
      </c>
      <c r="F3970" s="21">
        <f>IF($N3970="","",IF(INDEX(LdBAmt,$N3970)=0,"",INDEX(LdBAmt,$N3970)))</f>
        <v/>
      </c>
      <c r="G3970" s="32">
        <f>IF($N3970="","",IF(INDEX(LdBNote,$N3970)="","—",INDEX(LdBNote,$N3970)))</f>
        <v/>
      </c>
      <c r="N3970">
        <f>IFERROR(MATCH($C$5&amp;"|"&amp;RIGHT("000000"&amp;1950,6),LdBKeyG,0),"")</f>
        <v/>
      </c>
    </row>
    <row r="3971">
      <c r="A3971" s="10" t="n">
        <v>1951</v>
      </c>
      <c r="B3971" s="14">
        <f>IF($N3971="","",INDEX(LdBDate,$N3971))</f>
        <v/>
      </c>
      <c r="C3971" s="14">
        <f>IF($N3971="","",IF(INDEX(LdBId,$N3971)="","—",INDEX(LdBId,$N3971)))</f>
        <v/>
      </c>
      <c r="D3971" s="14">
        <f>IF($N3971="","",INDEX(LdBMember,$N3971))</f>
        <v/>
      </c>
      <c r="E3971" s="14">
        <f>IF($N3971="","",IFERROR(IF(VLOOKUP(INDEX(LdBMember,$N3971),AcctTblE,4,0)="","(بدون نام)",VLOOKUP(INDEX(LdBMember,$N3971),AcctTblE,4,0)),"—"))</f>
        <v/>
      </c>
      <c r="F3971" s="16">
        <f>IF($N3971="","",IF(INDEX(LdBAmt,$N3971)=0,"",INDEX(LdBAmt,$N3971)))</f>
        <v/>
      </c>
      <c r="G3971" s="30">
        <f>IF($N3971="","",IF(INDEX(LdBNote,$N3971)="","—",INDEX(LdBNote,$N3971)))</f>
        <v/>
      </c>
      <c r="N3971">
        <f>IFERROR(MATCH($C$5&amp;"|"&amp;RIGHT("000000"&amp;1951,6),LdBKeyG,0),"")</f>
        <v/>
      </c>
    </row>
    <row r="3972">
      <c r="A3972" s="19" t="n">
        <v>1952</v>
      </c>
      <c r="B3972" s="20">
        <f>IF($N3972="","",INDEX(LdBDate,$N3972))</f>
        <v/>
      </c>
      <c r="C3972" s="20">
        <f>IF($N3972="","",IF(INDEX(LdBId,$N3972)="","—",INDEX(LdBId,$N3972)))</f>
        <v/>
      </c>
      <c r="D3972" s="20">
        <f>IF($N3972="","",INDEX(LdBMember,$N3972))</f>
        <v/>
      </c>
      <c r="E3972" s="20">
        <f>IF($N3972="","",IFERROR(IF(VLOOKUP(INDEX(LdBMember,$N3972),AcctTblE,4,0)="","(بدون نام)",VLOOKUP(INDEX(LdBMember,$N3972),AcctTblE,4,0)),"—"))</f>
        <v/>
      </c>
      <c r="F3972" s="21">
        <f>IF($N3972="","",IF(INDEX(LdBAmt,$N3972)=0,"",INDEX(LdBAmt,$N3972)))</f>
        <v/>
      </c>
      <c r="G3972" s="32">
        <f>IF($N3972="","",IF(INDEX(LdBNote,$N3972)="","—",INDEX(LdBNote,$N3972)))</f>
        <v/>
      </c>
      <c r="N3972">
        <f>IFERROR(MATCH($C$5&amp;"|"&amp;RIGHT("000000"&amp;1952,6),LdBKeyG,0),"")</f>
        <v/>
      </c>
    </row>
    <row r="3973">
      <c r="A3973" s="10" t="n">
        <v>1953</v>
      </c>
      <c r="B3973" s="14">
        <f>IF($N3973="","",INDEX(LdBDate,$N3973))</f>
        <v/>
      </c>
      <c r="C3973" s="14">
        <f>IF($N3973="","",IF(INDEX(LdBId,$N3973)="","—",INDEX(LdBId,$N3973)))</f>
        <v/>
      </c>
      <c r="D3973" s="14">
        <f>IF($N3973="","",INDEX(LdBMember,$N3973))</f>
        <v/>
      </c>
      <c r="E3973" s="14">
        <f>IF($N3973="","",IFERROR(IF(VLOOKUP(INDEX(LdBMember,$N3973),AcctTblE,4,0)="","(بدون نام)",VLOOKUP(INDEX(LdBMember,$N3973),AcctTblE,4,0)),"—"))</f>
        <v/>
      </c>
      <c r="F3973" s="16">
        <f>IF($N3973="","",IF(INDEX(LdBAmt,$N3973)=0,"",INDEX(LdBAmt,$N3973)))</f>
        <v/>
      </c>
      <c r="G3973" s="30">
        <f>IF($N3973="","",IF(INDEX(LdBNote,$N3973)="","—",INDEX(LdBNote,$N3973)))</f>
        <v/>
      </c>
      <c r="N3973">
        <f>IFERROR(MATCH($C$5&amp;"|"&amp;RIGHT("000000"&amp;1953,6),LdBKeyG,0),"")</f>
        <v/>
      </c>
    </row>
    <row r="3974">
      <c r="A3974" s="19" t="n">
        <v>1954</v>
      </c>
      <c r="B3974" s="20">
        <f>IF($N3974="","",INDEX(LdBDate,$N3974))</f>
        <v/>
      </c>
      <c r="C3974" s="20">
        <f>IF($N3974="","",IF(INDEX(LdBId,$N3974)="","—",INDEX(LdBId,$N3974)))</f>
        <v/>
      </c>
      <c r="D3974" s="20">
        <f>IF($N3974="","",INDEX(LdBMember,$N3974))</f>
        <v/>
      </c>
      <c r="E3974" s="20">
        <f>IF($N3974="","",IFERROR(IF(VLOOKUP(INDEX(LdBMember,$N3974),AcctTblE,4,0)="","(بدون نام)",VLOOKUP(INDEX(LdBMember,$N3974),AcctTblE,4,0)),"—"))</f>
        <v/>
      </c>
      <c r="F3974" s="21">
        <f>IF($N3974="","",IF(INDEX(LdBAmt,$N3974)=0,"",INDEX(LdBAmt,$N3974)))</f>
        <v/>
      </c>
      <c r="G3974" s="32">
        <f>IF($N3974="","",IF(INDEX(LdBNote,$N3974)="","—",INDEX(LdBNote,$N3974)))</f>
        <v/>
      </c>
      <c r="N3974">
        <f>IFERROR(MATCH($C$5&amp;"|"&amp;RIGHT("000000"&amp;1954,6),LdBKeyG,0),"")</f>
        <v/>
      </c>
    </row>
    <row r="3975">
      <c r="A3975" s="10" t="n">
        <v>1955</v>
      </c>
      <c r="B3975" s="14">
        <f>IF($N3975="","",INDEX(LdBDate,$N3975))</f>
        <v/>
      </c>
      <c r="C3975" s="14">
        <f>IF($N3975="","",IF(INDEX(LdBId,$N3975)="","—",INDEX(LdBId,$N3975)))</f>
        <v/>
      </c>
      <c r="D3975" s="14">
        <f>IF($N3975="","",INDEX(LdBMember,$N3975))</f>
        <v/>
      </c>
      <c r="E3975" s="14">
        <f>IF($N3975="","",IFERROR(IF(VLOOKUP(INDEX(LdBMember,$N3975),AcctTblE,4,0)="","(بدون نام)",VLOOKUP(INDEX(LdBMember,$N3975),AcctTblE,4,0)),"—"))</f>
        <v/>
      </c>
      <c r="F3975" s="16">
        <f>IF($N3975="","",IF(INDEX(LdBAmt,$N3975)=0,"",INDEX(LdBAmt,$N3975)))</f>
        <v/>
      </c>
      <c r="G3975" s="30">
        <f>IF($N3975="","",IF(INDEX(LdBNote,$N3975)="","—",INDEX(LdBNote,$N3975)))</f>
        <v/>
      </c>
      <c r="N3975">
        <f>IFERROR(MATCH($C$5&amp;"|"&amp;RIGHT("000000"&amp;1955,6),LdBKeyG,0),"")</f>
        <v/>
      </c>
    </row>
    <row r="3976">
      <c r="A3976" s="19" t="n">
        <v>1956</v>
      </c>
      <c r="B3976" s="20">
        <f>IF($N3976="","",INDEX(LdBDate,$N3976))</f>
        <v/>
      </c>
      <c r="C3976" s="20">
        <f>IF($N3976="","",IF(INDEX(LdBId,$N3976)="","—",INDEX(LdBId,$N3976)))</f>
        <v/>
      </c>
      <c r="D3976" s="20">
        <f>IF($N3976="","",INDEX(LdBMember,$N3976))</f>
        <v/>
      </c>
      <c r="E3976" s="20">
        <f>IF($N3976="","",IFERROR(IF(VLOOKUP(INDEX(LdBMember,$N3976),AcctTblE,4,0)="","(بدون نام)",VLOOKUP(INDEX(LdBMember,$N3976),AcctTblE,4,0)),"—"))</f>
        <v/>
      </c>
      <c r="F3976" s="21">
        <f>IF($N3976="","",IF(INDEX(LdBAmt,$N3976)=0,"",INDEX(LdBAmt,$N3976)))</f>
        <v/>
      </c>
      <c r="G3976" s="32">
        <f>IF($N3976="","",IF(INDEX(LdBNote,$N3976)="","—",INDEX(LdBNote,$N3976)))</f>
        <v/>
      </c>
      <c r="N3976">
        <f>IFERROR(MATCH($C$5&amp;"|"&amp;RIGHT("000000"&amp;1956,6),LdBKeyG,0),"")</f>
        <v/>
      </c>
    </row>
    <row r="3977">
      <c r="A3977" s="10" t="n">
        <v>1957</v>
      </c>
      <c r="B3977" s="14">
        <f>IF($N3977="","",INDEX(LdBDate,$N3977))</f>
        <v/>
      </c>
      <c r="C3977" s="14">
        <f>IF($N3977="","",IF(INDEX(LdBId,$N3977)="","—",INDEX(LdBId,$N3977)))</f>
        <v/>
      </c>
      <c r="D3977" s="14">
        <f>IF($N3977="","",INDEX(LdBMember,$N3977))</f>
        <v/>
      </c>
      <c r="E3977" s="14">
        <f>IF($N3977="","",IFERROR(IF(VLOOKUP(INDEX(LdBMember,$N3977),AcctTblE,4,0)="","(بدون نام)",VLOOKUP(INDEX(LdBMember,$N3977),AcctTblE,4,0)),"—"))</f>
        <v/>
      </c>
      <c r="F3977" s="16">
        <f>IF($N3977="","",IF(INDEX(LdBAmt,$N3977)=0,"",INDEX(LdBAmt,$N3977)))</f>
        <v/>
      </c>
      <c r="G3977" s="30">
        <f>IF($N3977="","",IF(INDEX(LdBNote,$N3977)="","—",INDEX(LdBNote,$N3977)))</f>
        <v/>
      </c>
      <c r="N3977">
        <f>IFERROR(MATCH($C$5&amp;"|"&amp;RIGHT("000000"&amp;1957,6),LdBKeyG,0),"")</f>
        <v/>
      </c>
    </row>
    <row r="3978">
      <c r="A3978" s="19" t="n">
        <v>1958</v>
      </c>
      <c r="B3978" s="20">
        <f>IF($N3978="","",INDEX(LdBDate,$N3978))</f>
        <v/>
      </c>
      <c r="C3978" s="20">
        <f>IF($N3978="","",IF(INDEX(LdBId,$N3978)="","—",INDEX(LdBId,$N3978)))</f>
        <v/>
      </c>
      <c r="D3978" s="20">
        <f>IF($N3978="","",INDEX(LdBMember,$N3978))</f>
        <v/>
      </c>
      <c r="E3978" s="20">
        <f>IF($N3978="","",IFERROR(IF(VLOOKUP(INDEX(LdBMember,$N3978),AcctTblE,4,0)="","(بدون نام)",VLOOKUP(INDEX(LdBMember,$N3978),AcctTblE,4,0)),"—"))</f>
        <v/>
      </c>
      <c r="F3978" s="21">
        <f>IF($N3978="","",IF(INDEX(LdBAmt,$N3978)=0,"",INDEX(LdBAmt,$N3978)))</f>
        <v/>
      </c>
      <c r="G3978" s="32">
        <f>IF($N3978="","",IF(INDEX(LdBNote,$N3978)="","—",INDEX(LdBNote,$N3978)))</f>
        <v/>
      </c>
      <c r="N3978">
        <f>IFERROR(MATCH($C$5&amp;"|"&amp;RIGHT("000000"&amp;1958,6),LdBKeyG,0),"")</f>
        <v/>
      </c>
    </row>
    <row r="3979">
      <c r="A3979" s="10" t="n">
        <v>1959</v>
      </c>
      <c r="B3979" s="14">
        <f>IF($N3979="","",INDEX(LdBDate,$N3979))</f>
        <v/>
      </c>
      <c r="C3979" s="14">
        <f>IF($N3979="","",IF(INDEX(LdBId,$N3979)="","—",INDEX(LdBId,$N3979)))</f>
        <v/>
      </c>
      <c r="D3979" s="14">
        <f>IF($N3979="","",INDEX(LdBMember,$N3979))</f>
        <v/>
      </c>
      <c r="E3979" s="14">
        <f>IF($N3979="","",IFERROR(IF(VLOOKUP(INDEX(LdBMember,$N3979),AcctTblE,4,0)="","(بدون نام)",VLOOKUP(INDEX(LdBMember,$N3979),AcctTblE,4,0)),"—"))</f>
        <v/>
      </c>
      <c r="F3979" s="16">
        <f>IF($N3979="","",IF(INDEX(LdBAmt,$N3979)=0,"",INDEX(LdBAmt,$N3979)))</f>
        <v/>
      </c>
      <c r="G3979" s="30">
        <f>IF($N3979="","",IF(INDEX(LdBNote,$N3979)="","—",INDEX(LdBNote,$N3979)))</f>
        <v/>
      </c>
      <c r="N3979">
        <f>IFERROR(MATCH($C$5&amp;"|"&amp;RIGHT("000000"&amp;1959,6),LdBKeyG,0),"")</f>
        <v/>
      </c>
    </row>
    <row r="3980">
      <c r="A3980" s="19" t="n">
        <v>1960</v>
      </c>
      <c r="B3980" s="20">
        <f>IF($N3980="","",INDEX(LdBDate,$N3980))</f>
        <v/>
      </c>
      <c r="C3980" s="20">
        <f>IF($N3980="","",IF(INDEX(LdBId,$N3980)="","—",INDEX(LdBId,$N3980)))</f>
        <v/>
      </c>
      <c r="D3980" s="20">
        <f>IF($N3980="","",INDEX(LdBMember,$N3980))</f>
        <v/>
      </c>
      <c r="E3980" s="20">
        <f>IF($N3980="","",IFERROR(IF(VLOOKUP(INDEX(LdBMember,$N3980),AcctTblE,4,0)="","(بدون نام)",VLOOKUP(INDEX(LdBMember,$N3980),AcctTblE,4,0)),"—"))</f>
        <v/>
      </c>
      <c r="F3980" s="21">
        <f>IF($N3980="","",IF(INDEX(LdBAmt,$N3980)=0,"",INDEX(LdBAmt,$N3980)))</f>
        <v/>
      </c>
      <c r="G3980" s="32">
        <f>IF($N3980="","",IF(INDEX(LdBNote,$N3980)="","—",INDEX(LdBNote,$N3980)))</f>
        <v/>
      </c>
      <c r="N3980">
        <f>IFERROR(MATCH($C$5&amp;"|"&amp;RIGHT("000000"&amp;1960,6),LdBKeyG,0),"")</f>
        <v/>
      </c>
    </row>
    <row r="3981">
      <c r="A3981" s="10" t="n">
        <v>1961</v>
      </c>
      <c r="B3981" s="14">
        <f>IF($N3981="","",INDEX(LdBDate,$N3981))</f>
        <v/>
      </c>
      <c r="C3981" s="14">
        <f>IF($N3981="","",IF(INDEX(LdBId,$N3981)="","—",INDEX(LdBId,$N3981)))</f>
        <v/>
      </c>
      <c r="D3981" s="14">
        <f>IF($N3981="","",INDEX(LdBMember,$N3981))</f>
        <v/>
      </c>
      <c r="E3981" s="14">
        <f>IF($N3981="","",IFERROR(IF(VLOOKUP(INDEX(LdBMember,$N3981),AcctTblE,4,0)="","(بدون نام)",VLOOKUP(INDEX(LdBMember,$N3981),AcctTblE,4,0)),"—"))</f>
        <v/>
      </c>
      <c r="F3981" s="16">
        <f>IF($N3981="","",IF(INDEX(LdBAmt,$N3981)=0,"",INDEX(LdBAmt,$N3981)))</f>
        <v/>
      </c>
      <c r="G3981" s="30">
        <f>IF($N3981="","",IF(INDEX(LdBNote,$N3981)="","—",INDEX(LdBNote,$N3981)))</f>
        <v/>
      </c>
      <c r="N3981">
        <f>IFERROR(MATCH($C$5&amp;"|"&amp;RIGHT("000000"&amp;1961,6),LdBKeyG,0),"")</f>
        <v/>
      </c>
    </row>
    <row r="3982">
      <c r="A3982" s="19" t="n">
        <v>1962</v>
      </c>
      <c r="B3982" s="20">
        <f>IF($N3982="","",INDEX(LdBDate,$N3982))</f>
        <v/>
      </c>
      <c r="C3982" s="20">
        <f>IF($N3982="","",IF(INDEX(LdBId,$N3982)="","—",INDEX(LdBId,$N3982)))</f>
        <v/>
      </c>
      <c r="D3982" s="20">
        <f>IF($N3982="","",INDEX(LdBMember,$N3982))</f>
        <v/>
      </c>
      <c r="E3982" s="20">
        <f>IF($N3982="","",IFERROR(IF(VLOOKUP(INDEX(LdBMember,$N3982),AcctTblE,4,0)="","(بدون نام)",VLOOKUP(INDEX(LdBMember,$N3982),AcctTblE,4,0)),"—"))</f>
        <v/>
      </c>
      <c r="F3982" s="21">
        <f>IF($N3982="","",IF(INDEX(LdBAmt,$N3982)=0,"",INDEX(LdBAmt,$N3982)))</f>
        <v/>
      </c>
      <c r="G3982" s="32">
        <f>IF($N3982="","",IF(INDEX(LdBNote,$N3982)="","—",INDEX(LdBNote,$N3982)))</f>
        <v/>
      </c>
      <c r="N3982">
        <f>IFERROR(MATCH($C$5&amp;"|"&amp;RIGHT("000000"&amp;1962,6),LdBKeyG,0),"")</f>
        <v/>
      </c>
    </row>
    <row r="3983">
      <c r="A3983" s="10" t="n">
        <v>1963</v>
      </c>
      <c r="B3983" s="14">
        <f>IF($N3983="","",INDEX(LdBDate,$N3983))</f>
        <v/>
      </c>
      <c r="C3983" s="14">
        <f>IF($N3983="","",IF(INDEX(LdBId,$N3983)="","—",INDEX(LdBId,$N3983)))</f>
        <v/>
      </c>
      <c r="D3983" s="14">
        <f>IF($N3983="","",INDEX(LdBMember,$N3983))</f>
        <v/>
      </c>
      <c r="E3983" s="14">
        <f>IF($N3983="","",IFERROR(IF(VLOOKUP(INDEX(LdBMember,$N3983),AcctTblE,4,0)="","(بدون نام)",VLOOKUP(INDEX(LdBMember,$N3983),AcctTblE,4,0)),"—"))</f>
        <v/>
      </c>
      <c r="F3983" s="16">
        <f>IF($N3983="","",IF(INDEX(LdBAmt,$N3983)=0,"",INDEX(LdBAmt,$N3983)))</f>
        <v/>
      </c>
      <c r="G3983" s="30">
        <f>IF($N3983="","",IF(INDEX(LdBNote,$N3983)="","—",INDEX(LdBNote,$N3983)))</f>
        <v/>
      </c>
      <c r="N3983">
        <f>IFERROR(MATCH($C$5&amp;"|"&amp;RIGHT("000000"&amp;1963,6),LdBKeyG,0),"")</f>
        <v/>
      </c>
    </row>
    <row r="3984">
      <c r="A3984" s="19" t="n">
        <v>1964</v>
      </c>
      <c r="B3984" s="20">
        <f>IF($N3984="","",INDEX(LdBDate,$N3984))</f>
        <v/>
      </c>
      <c r="C3984" s="20">
        <f>IF($N3984="","",IF(INDEX(LdBId,$N3984)="","—",INDEX(LdBId,$N3984)))</f>
        <v/>
      </c>
      <c r="D3984" s="20">
        <f>IF($N3984="","",INDEX(LdBMember,$N3984))</f>
        <v/>
      </c>
      <c r="E3984" s="20">
        <f>IF($N3984="","",IFERROR(IF(VLOOKUP(INDEX(LdBMember,$N3984),AcctTblE,4,0)="","(بدون نام)",VLOOKUP(INDEX(LdBMember,$N3984),AcctTblE,4,0)),"—"))</f>
        <v/>
      </c>
      <c r="F3984" s="21">
        <f>IF($N3984="","",IF(INDEX(LdBAmt,$N3984)=0,"",INDEX(LdBAmt,$N3984)))</f>
        <v/>
      </c>
      <c r="G3984" s="32">
        <f>IF($N3984="","",IF(INDEX(LdBNote,$N3984)="","—",INDEX(LdBNote,$N3984)))</f>
        <v/>
      </c>
      <c r="N3984">
        <f>IFERROR(MATCH($C$5&amp;"|"&amp;RIGHT("000000"&amp;1964,6),LdBKeyG,0),"")</f>
        <v/>
      </c>
    </row>
    <row r="3985">
      <c r="A3985" s="10" t="n">
        <v>1965</v>
      </c>
      <c r="B3985" s="14">
        <f>IF($N3985="","",INDEX(LdBDate,$N3985))</f>
        <v/>
      </c>
      <c r="C3985" s="14">
        <f>IF($N3985="","",IF(INDEX(LdBId,$N3985)="","—",INDEX(LdBId,$N3985)))</f>
        <v/>
      </c>
      <c r="D3985" s="14">
        <f>IF($N3985="","",INDEX(LdBMember,$N3985))</f>
        <v/>
      </c>
      <c r="E3985" s="14">
        <f>IF($N3985="","",IFERROR(IF(VLOOKUP(INDEX(LdBMember,$N3985),AcctTblE,4,0)="","(بدون نام)",VLOOKUP(INDEX(LdBMember,$N3985),AcctTblE,4,0)),"—"))</f>
        <v/>
      </c>
      <c r="F3985" s="16">
        <f>IF($N3985="","",IF(INDEX(LdBAmt,$N3985)=0,"",INDEX(LdBAmt,$N3985)))</f>
        <v/>
      </c>
      <c r="G3985" s="30">
        <f>IF($N3985="","",IF(INDEX(LdBNote,$N3985)="","—",INDEX(LdBNote,$N3985)))</f>
        <v/>
      </c>
      <c r="N3985">
        <f>IFERROR(MATCH($C$5&amp;"|"&amp;RIGHT("000000"&amp;1965,6),LdBKeyG,0),"")</f>
        <v/>
      </c>
    </row>
    <row r="3986">
      <c r="A3986" s="19" t="n">
        <v>1966</v>
      </c>
      <c r="B3986" s="20">
        <f>IF($N3986="","",INDEX(LdBDate,$N3986))</f>
        <v/>
      </c>
      <c r="C3986" s="20">
        <f>IF($N3986="","",IF(INDEX(LdBId,$N3986)="","—",INDEX(LdBId,$N3986)))</f>
        <v/>
      </c>
      <c r="D3986" s="20">
        <f>IF($N3986="","",INDEX(LdBMember,$N3986))</f>
        <v/>
      </c>
      <c r="E3986" s="20">
        <f>IF($N3986="","",IFERROR(IF(VLOOKUP(INDEX(LdBMember,$N3986),AcctTblE,4,0)="","(بدون نام)",VLOOKUP(INDEX(LdBMember,$N3986),AcctTblE,4,0)),"—"))</f>
        <v/>
      </c>
      <c r="F3986" s="21">
        <f>IF($N3986="","",IF(INDEX(LdBAmt,$N3986)=0,"",INDEX(LdBAmt,$N3986)))</f>
        <v/>
      </c>
      <c r="G3986" s="32">
        <f>IF($N3986="","",IF(INDEX(LdBNote,$N3986)="","—",INDEX(LdBNote,$N3986)))</f>
        <v/>
      </c>
      <c r="N3986">
        <f>IFERROR(MATCH($C$5&amp;"|"&amp;RIGHT("000000"&amp;1966,6),LdBKeyG,0),"")</f>
        <v/>
      </c>
    </row>
    <row r="3987">
      <c r="A3987" s="10" t="n">
        <v>1967</v>
      </c>
      <c r="B3987" s="14">
        <f>IF($N3987="","",INDEX(LdBDate,$N3987))</f>
        <v/>
      </c>
      <c r="C3987" s="14">
        <f>IF($N3987="","",IF(INDEX(LdBId,$N3987)="","—",INDEX(LdBId,$N3987)))</f>
        <v/>
      </c>
      <c r="D3987" s="14">
        <f>IF($N3987="","",INDEX(LdBMember,$N3987))</f>
        <v/>
      </c>
      <c r="E3987" s="14">
        <f>IF($N3987="","",IFERROR(IF(VLOOKUP(INDEX(LdBMember,$N3987),AcctTblE,4,0)="","(بدون نام)",VLOOKUP(INDEX(LdBMember,$N3987),AcctTblE,4,0)),"—"))</f>
        <v/>
      </c>
      <c r="F3987" s="16">
        <f>IF($N3987="","",IF(INDEX(LdBAmt,$N3987)=0,"",INDEX(LdBAmt,$N3987)))</f>
        <v/>
      </c>
      <c r="G3987" s="30">
        <f>IF($N3987="","",IF(INDEX(LdBNote,$N3987)="","—",INDEX(LdBNote,$N3987)))</f>
        <v/>
      </c>
      <c r="N3987">
        <f>IFERROR(MATCH($C$5&amp;"|"&amp;RIGHT("000000"&amp;1967,6),LdBKeyG,0),"")</f>
        <v/>
      </c>
    </row>
    <row r="3988">
      <c r="A3988" s="19" t="n">
        <v>1968</v>
      </c>
      <c r="B3988" s="20">
        <f>IF($N3988="","",INDEX(LdBDate,$N3988))</f>
        <v/>
      </c>
      <c r="C3988" s="20">
        <f>IF($N3988="","",IF(INDEX(LdBId,$N3988)="","—",INDEX(LdBId,$N3988)))</f>
        <v/>
      </c>
      <c r="D3988" s="20">
        <f>IF($N3988="","",INDEX(LdBMember,$N3988))</f>
        <v/>
      </c>
      <c r="E3988" s="20">
        <f>IF($N3988="","",IFERROR(IF(VLOOKUP(INDEX(LdBMember,$N3988),AcctTblE,4,0)="","(بدون نام)",VLOOKUP(INDEX(LdBMember,$N3988),AcctTblE,4,0)),"—"))</f>
        <v/>
      </c>
      <c r="F3988" s="21">
        <f>IF($N3988="","",IF(INDEX(LdBAmt,$N3988)=0,"",INDEX(LdBAmt,$N3988)))</f>
        <v/>
      </c>
      <c r="G3988" s="32">
        <f>IF($N3988="","",IF(INDEX(LdBNote,$N3988)="","—",INDEX(LdBNote,$N3988)))</f>
        <v/>
      </c>
      <c r="N3988">
        <f>IFERROR(MATCH($C$5&amp;"|"&amp;RIGHT("000000"&amp;1968,6),LdBKeyG,0),"")</f>
        <v/>
      </c>
    </row>
    <row r="3989">
      <c r="A3989" s="10" t="n">
        <v>1969</v>
      </c>
      <c r="B3989" s="14">
        <f>IF($N3989="","",INDEX(LdBDate,$N3989))</f>
        <v/>
      </c>
      <c r="C3989" s="14">
        <f>IF($N3989="","",IF(INDEX(LdBId,$N3989)="","—",INDEX(LdBId,$N3989)))</f>
        <v/>
      </c>
      <c r="D3989" s="14">
        <f>IF($N3989="","",INDEX(LdBMember,$N3989))</f>
        <v/>
      </c>
      <c r="E3989" s="14">
        <f>IF($N3989="","",IFERROR(IF(VLOOKUP(INDEX(LdBMember,$N3989),AcctTblE,4,0)="","(بدون نام)",VLOOKUP(INDEX(LdBMember,$N3989),AcctTblE,4,0)),"—"))</f>
        <v/>
      </c>
      <c r="F3989" s="16">
        <f>IF($N3989="","",IF(INDEX(LdBAmt,$N3989)=0,"",INDEX(LdBAmt,$N3989)))</f>
        <v/>
      </c>
      <c r="G3989" s="30">
        <f>IF($N3989="","",IF(INDEX(LdBNote,$N3989)="","—",INDEX(LdBNote,$N3989)))</f>
        <v/>
      </c>
      <c r="N3989">
        <f>IFERROR(MATCH($C$5&amp;"|"&amp;RIGHT("000000"&amp;1969,6),LdBKeyG,0),"")</f>
        <v/>
      </c>
    </row>
    <row r="3990">
      <c r="A3990" s="19" t="n">
        <v>1970</v>
      </c>
      <c r="B3990" s="20">
        <f>IF($N3990="","",INDEX(LdBDate,$N3990))</f>
        <v/>
      </c>
      <c r="C3990" s="20">
        <f>IF($N3990="","",IF(INDEX(LdBId,$N3990)="","—",INDEX(LdBId,$N3990)))</f>
        <v/>
      </c>
      <c r="D3990" s="20">
        <f>IF($N3990="","",INDEX(LdBMember,$N3990))</f>
        <v/>
      </c>
      <c r="E3990" s="20">
        <f>IF($N3990="","",IFERROR(IF(VLOOKUP(INDEX(LdBMember,$N3990),AcctTblE,4,0)="","(بدون نام)",VLOOKUP(INDEX(LdBMember,$N3990),AcctTblE,4,0)),"—"))</f>
        <v/>
      </c>
      <c r="F3990" s="21">
        <f>IF($N3990="","",IF(INDEX(LdBAmt,$N3990)=0,"",INDEX(LdBAmt,$N3990)))</f>
        <v/>
      </c>
      <c r="G3990" s="32">
        <f>IF($N3990="","",IF(INDEX(LdBNote,$N3990)="","—",INDEX(LdBNote,$N3990)))</f>
        <v/>
      </c>
      <c r="N3990">
        <f>IFERROR(MATCH($C$5&amp;"|"&amp;RIGHT("000000"&amp;1970,6),LdBKeyG,0),"")</f>
        <v/>
      </c>
    </row>
    <row r="3991">
      <c r="A3991" s="10" t="n">
        <v>1971</v>
      </c>
      <c r="B3991" s="14">
        <f>IF($N3991="","",INDEX(LdBDate,$N3991))</f>
        <v/>
      </c>
      <c r="C3991" s="14">
        <f>IF($N3991="","",IF(INDEX(LdBId,$N3991)="","—",INDEX(LdBId,$N3991)))</f>
        <v/>
      </c>
      <c r="D3991" s="14">
        <f>IF($N3991="","",INDEX(LdBMember,$N3991))</f>
        <v/>
      </c>
      <c r="E3991" s="14">
        <f>IF($N3991="","",IFERROR(IF(VLOOKUP(INDEX(LdBMember,$N3991),AcctTblE,4,0)="","(بدون نام)",VLOOKUP(INDEX(LdBMember,$N3991),AcctTblE,4,0)),"—"))</f>
        <v/>
      </c>
      <c r="F3991" s="16">
        <f>IF($N3991="","",IF(INDEX(LdBAmt,$N3991)=0,"",INDEX(LdBAmt,$N3991)))</f>
        <v/>
      </c>
      <c r="G3991" s="30">
        <f>IF($N3991="","",IF(INDEX(LdBNote,$N3991)="","—",INDEX(LdBNote,$N3991)))</f>
        <v/>
      </c>
      <c r="N3991">
        <f>IFERROR(MATCH($C$5&amp;"|"&amp;RIGHT("000000"&amp;1971,6),LdBKeyG,0),"")</f>
        <v/>
      </c>
    </row>
    <row r="3992">
      <c r="A3992" s="19" t="n">
        <v>1972</v>
      </c>
      <c r="B3992" s="20">
        <f>IF($N3992="","",INDEX(LdBDate,$N3992))</f>
        <v/>
      </c>
      <c r="C3992" s="20">
        <f>IF($N3992="","",IF(INDEX(LdBId,$N3992)="","—",INDEX(LdBId,$N3992)))</f>
        <v/>
      </c>
      <c r="D3992" s="20">
        <f>IF($N3992="","",INDEX(LdBMember,$N3992))</f>
        <v/>
      </c>
      <c r="E3992" s="20">
        <f>IF($N3992="","",IFERROR(IF(VLOOKUP(INDEX(LdBMember,$N3992),AcctTblE,4,0)="","(بدون نام)",VLOOKUP(INDEX(LdBMember,$N3992),AcctTblE,4,0)),"—"))</f>
        <v/>
      </c>
      <c r="F3992" s="21">
        <f>IF($N3992="","",IF(INDEX(LdBAmt,$N3992)=0,"",INDEX(LdBAmt,$N3992)))</f>
        <v/>
      </c>
      <c r="G3992" s="32">
        <f>IF($N3992="","",IF(INDEX(LdBNote,$N3992)="","—",INDEX(LdBNote,$N3992)))</f>
        <v/>
      </c>
      <c r="N3992">
        <f>IFERROR(MATCH($C$5&amp;"|"&amp;RIGHT("000000"&amp;1972,6),LdBKeyG,0),"")</f>
        <v/>
      </c>
    </row>
    <row r="3993">
      <c r="A3993" s="10" t="n">
        <v>1973</v>
      </c>
      <c r="B3993" s="14">
        <f>IF($N3993="","",INDEX(LdBDate,$N3993))</f>
        <v/>
      </c>
      <c r="C3993" s="14">
        <f>IF($N3993="","",IF(INDEX(LdBId,$N3993)="","—",INDEX(LdBId,$N3993)))</f>
        <v/>
      </c>
      <c r="D3993" s="14">
        <f>IF($N3993="","",INDEX(LdBMember,$N3993))</f>
        <v/>
      </c>
      <c r="E3993" s="14">
        <f>IF($N3993="","",IFERROR(IF(VLOOKUP(INDEX(LdBMember,$N3993),AcctTblE,4,0)="","(بدون نام)",VLOOKUP(INDEX(LdBMember,$N3993),AcctTblE,4,0)),"—"))</f>
        <v/>
      </c>
      <c r="F3993" s="16">
        <f>IF($N3993="","",IF(INDEX(LdBAmt,$N3993)=0,"",INDEX(LdBAmt,$N3993)))</f>
        <v/>
      </c>
      <c r="G3993" s="30">
        <f>IF($N3993="","",IF(INDEX(LdBNote,$N3993)="","—",INDEX(LdBNote,$N3993)))</f>
        <v/>
      </c>
      <c r="N3993">
        <f>IFERROR(MATCH($C$5&amp;"|"&amp;RIGHT("000000"&amp;1973,6),LdBKeyG,0),"")</f>
        <v/>
      </c>
    </row>
    <row r="3994">
      <c r="A3994" s="19" t="n">
        <v>1974</v>
      </c>
      <c r="B3994" s="20">
        <f>IF($N3994="","",INDEX(LdBDate,$N3994))</f>
        <v/>
      </c>
      <c r="C3994" s="20">
        <f>IF($N3994="","",IF(INDEX(LdBId,$N3994)="","—",INDEX(LdBId,$N3994)))</f>
        <v/>
      </c>
      <c r="D3994" s="20">
        <f>IF($N3994="","",INDEX(LdBMember,$N3994))</f>
        <v/>
      </c>
      <c r="E3994" s="20">
        <f>IF($N3994="","",IFERROR(IF(VLOOKUP(INDEX(LdBMember,$N3994),AcctTblE,4,0)="","(بدون نام)",VLOOKUP(INDEX(LdBMember,$N3994),AcctTblE,4,0)),"—"))</f>
        <v/>
      </c>
      <c r="F3994" s="21">
        <f>IF($N3994="","",IF(INDEX(LdBAmt,$N3994)=0,"",INDEX(LdBAmt,$N3994)))</f>
        <v/>
      </c>
      <c r="G3994" s="32">
        <f>IF($N3994="","",IF(INDEX(LdBNote,$N3994)="","—",INDEX(LdBNote,$N3994)))</f>
        <v/>
      </c>
      <c r="N3994">
        <f>IFERROR(MATCH($C$5&amp;"|"&amp;RIGHT("000000"&amp;1974,6),LdBKeyG,0),"")</f>
        <v/>
      </c>
    </row>
    <row r="3995">
      <c r="A3995" s="10" t="n">
        <v>1975</v>
      </c>
      <c r="B3995" s="14">
        <f>IF($N3995="","",INDEX(LdBDate,$N3995))</f>
        <v/>
      </c>
      <c r="C3995" s="14">
        <f>IF($N3995="","",IF(INDEX(LdBId,$N3995)="","—",INDEX(LdBId,$N3995)))</f>
        <v/>
      </c>
      <c r="D3995" s="14">
        <f>IF($N3995="","",INDEX(LdBMember,$N3995))</f>
        <v/>
      </c>
      <c r="E3995" s="14">
        <f>IF($N3995="","",IFERROR(IF(VLOOKUP(INDEX(LdBMember,$N3995),AcctTblE,4,0)="","(بدون نام)",VLOOKUP(INDEX(LdBMember,$N3995),AcctTblE,4,0)),"—"))</f>
        <v/>
      </c>
      <c r="F3995" s="16">
        <f>IF($N3995="","",IF(INDEX(LdBAmt,$N3995)=0,"",INDEX(LdBAmt,$N3995)))</f>
        <v/>
      </c>
      <c r="G3995" s="30">
        <f>IF($N3995="","",IF(INDEX(LdBNote,$N3995)="","—",INDEX(LdBNote,$N3995)))</f>
        <v/>
      </c>
      <c r="N3995">
        <f>IFERROR(MATCH($C$5&amp;"|"&amp;RIGHT("000000"&amp;1975,6),LdBKeyG,0),"")</f>
        <v/>
      </c>
    </row>
    <row r="3996">
      <c r="A3996" s="19" t="n">
        <v>1976</v>
      </c>
      <c r="B3996" s="20">
        <f>IF($N3996="","",INDEX(LdBDate,$N3996))</f>
        <v/>
      </c>
      <c r="C3996" s="20">
        <f>IF($N3996="","",IF(INDEX(LdBId,$N3996)="","—",INDEX(LdBId,$N3996)))</f>
        <v/>
      </c>
      <c r="D3996" s="20">
        <f>IF($N3996="","",INDEX(LdBMember,$N3996))</f>
        <v/>
      </c>
      <c r="E3996" s="20">
        <f>IF($N3996="","",IFERROR(IF(VLOOKUP(INDEX(LdBMember,$N3996),AcctTblE,4,0)="","(بدون نام)",VLOOKUP(INDEX(LdBMember,$N3996),AcctTblE,4,0)),"—"))</f>
        <v/>
      </c>
      <c r="F3996" s="21">
        <f>IF($N3996="","",IF(INDEX(LdBAmt,$N3996)=0,"",INDEX(LdBAmt,$N3996)))</f>
        <v/>
      </c>
      <c r="G3996" s="32">
        <f>IF($N3996="","",IF(INDEX(LdBNote,$N3996)="","—",INDEX(LdBNote,$N3996)))</f>
        <v/>
      </c>
      <c r="N3996">
        <f>IFERROR(MATCH($C$5&amp;"|"&amp;RIGHT("000000"&amp;1976,6),LdBKeyG,0),"")</f>
        <v/>
      </c>
    </row>
    <row r="3997">
      <c r="A3997" s="10" t="n">
        <v>1977</v>
      </c>
      <c r="B3997" s="14">
        <f>IF($N3997="","",INDEX(LdBDate,$N3997))</f>
        <v/>
      </c>
      <c r="C3997" s="14">
        <f>IF($N3997="","",IF(INDEX(LdBId,$N3997)="","—",INDEX(LdBId,$N3997)))</f>
        <v/>
      </c>
      <c r="D3997" s="14">
        <f>IF($N3997="","",INDEX(LdBMember,$N3997))</f>
        <v/>
      </c>
      <c r="E3997" s="14">
        <f>IF($N3997="","",IFERROR(IF(VLOOKUP(INDEX(LdBMember,$N3997),AcctTblE,4,0)="","(بدون نام)",VLOOKUP(INDEX(LdBMember,$N3997),AcctTblE,4,0)),"—"))</f>
        <v/>
      </c>
      <c r="F3997" s="16">
        <f>IF($N3997="","",IF(INDEX(LdBAmt,$N3997)=0,"",INDEX(LdBAmt,$N3997)))</f>
        <v/>
      </c>
      <c r="G3997" s="30">
        <f>IF($N3997="","",IF(INDEX(LdBNote,$N3997)="","—",INDEX(LdBNote,$N3997)))</f>
        <v/>
      </c>
      <c r="N3997">
        <f>IFERROR(MATCH($C$5&amp;"|"&amp;RIGHT("000000"&amp;1977,6),LdBKeyG,0),"")</f>
        <v/>
      </c>
    </row>
    <row r="3998">
      <c r="A3998" s="19" t="n">
        <v>1978</v>
      </c>
      <c r="B3998" s="20">
        <f>IF($N3998="","",INDEX(LdBDate,$N3998))</f>
        <v/>
      </c>
      <c r="C3998" s="20">
        <f>IF($N3998="","",IF(INDEX(LdBId,$N3998)="","—",INDEX(LdBId,$N3998)))</f>
        <v/>
      </c>
      <c r="D3998" s="20">
        <f>IF($N3998="","",INDEX(LdBMember,$N3998))</f>
        <v/>
      </c>
      <c r="E3998" s="20">
        <f>IF($N3998="","",IFERROR(IF(VLOOKUP(INDEX(LdBMember,$N3998),AcctTblE,4,0)="","(بدون نام)",VLOOKUP(INDEX(LdBMember,$N3998),AcctTblE,4,0)),"—"))</f>
        <v/>
      </c>
      <c r="F3998" s="21">
        <f>IF($N3998="","",IF(INDEX(LdBAmt,$N3998)=0,"",INDEX(LdBAmt,$N3998)))</f>
        <v/>
      </c>
      <c r="G3998" s="32">
        <f>IF($N3998="","",IF(INDEX(LdBNote,$N3998)="","—",INDEX(LdBNote,$N3998)))</f>
        <v/>
      </c>
      <c r="N3998">
        <f>IFERROR(MATCH($C$5&amp;"|"&amp;RIGHT("000000"&amp;1978,6),LdBKeyG,0),"")</f>
        <v/>
      </c>
    </row>
    <row r="3999">
      <c r="A3999" s="10" t="n">
        <v>1979</v>
      </c>
      <c r="B3999" s="14">
        <f>IF($N3999="","",INDEX(LdBDate,$N3999))</f>
        <v/>
      </c>
      <c r="C3999" s="14">
        <f>IF($N3999="","",IF(INDEX(LdBId,$N3999)="","—",INDEX(LdBId,$N3999)))</f>
        <v/>
      </c>
      <c r="D3999" s="14">
        <f>IF($N3999="","",INDEX(LdBMember,$N3999))</f>
        <v/>
      </c>
      <c r="E3999" s="14">
        <f>IF($N3999="","",IFERROR(IF(VLOOKUP(INDEX(LdBMember,$N3999),AcctTblE,4,0)="","(بدون نام)",VLOOKUP(INDEX(LdBMember,$N3999),AcctTblE,4,0)),"—"))</f>
        <v/>
      </c>
      <c r="F3999" s="16">
        <f>IF($N3999="","",IF(INDEX(LdBAmt,$N3999)=0,"",INDEX(LdBAmt,$N3999)))</f>
        <v/>
      </c>
      <c r="G3999" s="30">
        <f>IF($N3999="","",IF(INDEX(LdBNote,$N3999)="","—",INDEX(LdBNote,$N3999)))</f>
        <v/>
      </c>
      <c r="N3999">
        <f>IFERROR(MATCH($C$5&amp;"|"&amp;RIGHT("000000"&amp;1979,6),LdBKeyG,0),"")</f>
        <v/>
      </c>
    </row>
    <row r="4000">
      <c r="A4000" s="19" t="n">
        <v>1980</v>
      </c>
      <c r="B4000" s="20">
        <f>IF($N4000="","",INDEX(LdBDate,$N4000))</f>
        <v/>
      </c>
      <c r="C4000" s="20">
        <f>IF($N4000="","",IF(INDEX(LdBId,$N4000)="","—",INDEX(LdBId,$N4000)))</f>
        <v/>
      </c>
      <c r="D4000" s="20">
        <f>IF($N4000="","",INDEX(LdBMember,$N4000))</f>
        <v/>
      </c>
      <c r="E4000" s="20">
        <f>IF($N4000="","",IFERROR(IF(VLOOKUP(INDEX(LdBMember,$N4000),AcctTblE,4,0)="","(بدون نام)",VLOOKUP(INDEX(LdBMember,$N4000),AcctTblE,4,0)),"—"))</f>
        <v/>
      </c>
      <c r="F4000" s="21">
        <f>IF($N4000="","",IF(INDEX(LdBAmt,$N4000)=0,"",INDEX(LdBAmt,$N4000)))</f>
        <v/>
      </c>
      <c r="G4000" s="32">
        <f>IF($N4000="","",IF(INDEX(LdBNote,$N4000)="","—",INDEX(LdBNote,$N4000)))</f>
        <v/>
      </c>
      <c r="N4000">
        <f>IFERROR(MATCH($C$5&amp;"|"&amp;RIGHT("000000"&amp;1980,6),LdBKeyG,0),"")</f>
        <v/>
      </c>
    </row>
    <row r="4001">
      <c r="A4001" s="10" t="n">
        <v>1981</v>
      </c>
      <c r="B4001" s="14">
        <f>IF($N4001="","",INDEX(LdBDate,$N4001))</f>
        <v/>
      </c>
      <c r="C4001" s="14">
        <f>IF($N4001="","",IF(INDEX(LdBId,$N4001)="","—",INDEX(LdBId,$N4001)))</f>
        <v/>
      </c>
      <c r="D4001" s="14">
        <f>IF($N4001="","",INDEX(LdBMember,$N4001))</f>
        <v/>
      </c>
      <c r="E4001" s="14">
        <f>IF($N4001="","",IFERROR(IF(VLOOKUP(INDEX(LdBMember,$N4001),AcctTblE,4,0)="","(بدون نام)",VLOOKUP(INDEX(LdBMember,$N4001),AcctTblE,4,0)),"—"))</f>
        <v/>
      </c>
      <c r="F4001" s="16">
        <f>IF($N4001="","",IF(INDEX(LdBAmt,$N4001)=0,"",INDEX(LdBAmt,$N4001)))</f>
        <v/>
      </c>
      <c r="G4001" s="30">
        <f>IF($N4001="","",IF(INDEX(LdBNote,$N4001)="","—",INDEX(LdBNote,$N4001)))</f>
        <v/>
      </c>
      <c r="N4001">
        <f>IFERROR(MATCH($C$5&amp;"|"&amp;RIGHT("000000"&amp;1981,6),LdBKeyG,0),"")</f>
        <v/>
      </c>
    </row>
    <row r="4002">
      <c r="A4002" s="19" t="n">
        <v>1982</v>
      </c>
      <c r="B4002" s="20">
        <f>IF($N4002="","",INDEX(LdBDate,$N4002))</f>
        <v/>
      </c>
      <c r="C4002" s="20">
        <f>IF($N4002="","",IF(INDEX(LdBId,$N4002)="","—",INDEX(LdBId,$N4002)))</f>
        <v/>
      </c>
      <c r="D4002" s="20">
        <f>IF($N4002="","",INDEX(LdBMember,$N4002))</f>
        <v/>
      </c>
      <c r="E4002" s="20">
        <f>IF($N4002="","",IFERROR(IF(VLOOKUP(INDEX(LdBMember,$N4002),AcctTblE,4,0)="","(بدون نام)",VLOOKUP(INDEX(LdBMember,$N4002),AcctTblE,4,0)),"—"))</f>
        <v/>
      </c>
      <c r="F4002" s="21">
        <f>IF($N4002="","",IF(INDEX(LdBAmt,$N4002)=0,"",INDEX(LdBAmt,$N4002)))</f>
        <v/>
      </c>
      <c r="G4002" s="32">
        <f>IF($N4002="","",IF(INDEX(LdBNote,$N4002)="","—",INDEX(LdBNote,$N4002)))</f>
        <v/>
      </c>
      <c r="N4002">
        <f>IFERROR(MATCH($C$5&amp;"|"&amp;RIGHT("000000"&amp;1982,6),LdBKeyG,0),"")</f>
        <v/>
      </c>
    </row>
    <row r="4003">
      <c r="A4003" s="10" t="n">
        <v>1983</v>
      </c>
      <c r="B4003" s="14">
        <f>IF($N4003="","",INDEX(LdBDate,$N4003))</f>
        <v/>
      </c>
      <c r="C4003" s="14">
        <f>IF($N4003="","",IF(INDEX(LdBId,$N4003)="","—",INDEX(LdBId,$N4003)))</f>
        <v/>
      </c>
      <c r="D4003" s="14">
        <f>IF($N4003="","",INDEX(LdBMember,$N4003))</f>
        <v/>
      </c>
      <c r="E4003" s="14">
        <f>IF($N4003="","",IFERROR(IF(VLOOKUP(INDEX(LdBMember,$N4003),AcctTblE,4,0)="","(بدون نام)",VLOOKUP(INDEX(LdBMember,$N4003),AcctTblE,4,0)),"—"))</f>
        <v/>
      </c>
      <c r="F4003" s="16">
        <f>IF($N4003="","",IF(INDEX(LdBAmt,$N4003)=0,"",INDEX(LdBAmt,$N4003)))</f>
        <v/>
      </c>
      <c r="G4003" s="30">
        <f>IF($N4003="","",IF(INDEX(LdBNote,$N4003)="","—",INDEX(LdBNote,$N4003)))</f>
        <v/>
      </c>
      <c r="N4003">
        <f>IFERROR(MATCH($C$5&amp;"|"&amp;RIGHT("000000"&amp;1983,6),LdBKeyG,0),"")</f>
        <v/>
      </c>
    </row>
    <row r="4004">
      <c r="A4004" s="19" t="n">
        <v>1984</v>
      </c>
      <c r="B4004" s="20">
        <f>IF($N4004="","",INDEX(LdBDate,$N4004))</f>
        <v/>
      </c>
      <c r="C4004" s="20">
        <f>IF($N4004="","",IF(INDEX(LdBId,$N4004)="","—",INDEX(LdBId,$N4004)))</f>
        <v/>
      </c>
      <c r="D4004" s="20">
        <f>IF($N4004="","",INDEX(LdBMember,$N4004))</f>
        <v/>
      </c>
      <c r="E4004" s="20">
        <f>IF($N4004="","",IFERROR(IF(VLOOKUP(INDEX(LdBMember,$N4004),AcctTblE,4,0)="","(بدون نام)",VLOOKUP(INDEX(LdBMember,$N4004),AcctTblE,4,0)),"—"))</f>
        <v/>
      </c>
      <c r="F4004" s="21">
        <f>IF($N4004="","",IF(INDEX(LdBAmt,$N4004)=0,"",INDEX(LdBAmt,$N4004)))</f>
        <v/>
      </c>
      <c r="G4004" s="32">
        <f>IF($N4004="","",IF(INDEX(LdBNote,$N4004)="","—",INDEX(LdBNote,$N4004)))</f>
        <v/>
      </c>
      <c r="N4004">
        <f>IFERROR(MATCH($C$5&amp;"|"&amp;RIGHT("000000"&amp;1984,6),LdBKeyG,0),"")</f>
        <v/>
      </c>
    </row>
    <row r="4005">
      <c r="A4005" s="10" t="n">
        <v>1985</v>
      </c>
      <c r="B4005" s="14">
        <f>IF($N4005="","",INDEX(LdBDate,$N4005))</f>
        <v/>
      </c>
      <c r="C4005" s="14">
        <f>IF($N4005="","",IF(INDEX(LdBId,$N4005)="","—",INDEX(LdBId,$N4005)))</f>
        <v/>
      </c>
      <c r="D4005" s="14">
        <f>IF($N4005="","",INDEX(LdBMember,$N4005))</f>
        <v/>
      </c>
      <c r="E4005" s="14">
        <f>IF($N4005="","",IFERROR(IF(VLOOKUP(INDEX(LdBMember,$N4005),AcctTblE,4,0)="","(بدون نام)",VLOOKUP(INDEX(LdBMember,$N4005),AcctTblE,4,0)),"—"))</f>
        <v/>
      </c>
      <c r="F4005" s="16">
        <f>IF($N4005="","",IF(INDEX(LdBAmt,$N4005)=0,"",INDEX(LdBAmt,$N4005)))</f>
        <v/>
      </c>
      <c r="G4005" s="30">
        <f>IF($N4005="","",IF(INDEX(LdBNote,$N4005)="","—",INDEX(LdBNote,$N4005)))</f>
        <v/>
      </c>
      <c r="N4005">
        <f>IFERROR(MATCH($C$5&amp;"|"&amp;RIGHT("000000"&amp;1985,6),LdBKeyG,0),"")</f>
        <v/>
      </c>
    </row>
    <row r="4006">
      <c r="A4006" s="19" t="n">
        <v>1986</v>
      </c>
      <c r="B4006" s="20">
        <f>IF($N4006="","",INDEX(LdBDate,$N4006))</f>
        <v/>
      </c>
      <c r="C4006" s="20">
        <f>IF($N4006="","",IF(INDEX(LdBId,$N4006)="","—",INDEX(LdBId,$N4006)))</f>
        <v/>
      </c>
      <c r="D4006" s="20">
        <f>IF($N4006="","",INDEX(LdBMember,$N4006))</f>
        <v/>
      </c>
      <c r="E4006" s="20">
        <f>IF($N4006="","",IFERROR(IF(VLOOKUP(INDEX(LdBMember,$N4006),AcctTblE,4,0)="","(بدون نام)",VLOOKUP(INDEX(LdBMember,$N4006),AcctTblE,4,0)),"—"))</f>
        <v/>
      </c>
      <c r="F4006" s="21">
        <f>IF($N4006="","",IF(INDEX(LdBAmt,$N4006)=0,"",INDEX(LdBAmt,$N4006)))</f>
        <v/>
      </c>
      <c r="G4006" s="32">
        <f>IF($N4006="","",IF(INDEX(LdBNote,$N4006)="","—",INDEX(LdBNote,$N4006)))</f>
        <v/>
      </c>
      <c r="N4006">
        <f>IFERROR(MATCH($C$5&amp;"|"&amp;RIGHT("000000"&amp;1986,6),LdBKeyG,0),"")</f>
        <v/>
      </c>
    </row>
    <row r="4007">
      <c r="A4007" s="10" t="n">
        <v>1987</v>
      </c>
      <c r="B4007" s="14">
        <f>IF($N4007="","",INDEX(LdBDate,$N4007))</f>
        <v/>
      </c>
      <c r="C4007" s="14">
        <f>IF($N4007="","",IF(INDEX(LdBId,$N4007)="","—",INDEX(LdBId,$N4007)))</f>
        <v/>
      </c>
      <c r="D4007" s="14">
        <f>IF($N4007="","",INDEX(LdBMember,$N4007))</f>
        <v/>
      </c>
      <c r="E4007" s="14">
        <f>IF($N4007="","",IFERROR(IF(VLOOKUP(INDEX(LdBMember,$N4007),AcctTblE,4,0)="","(بدون نام)",VLOOKUP(INDEX(LdBMember,$N4007),AcctTblE,4,0)),"—"))</f>
        <v/>
      </c>
      <c r="F4007" s="16">
        <f>IF($N4007="","",IF(INDEX(LdBAmt,$N4007)=0,"",INDEX(LdBAmt,$N4007)))</f>
        <v/>
      </c>
      <c r="G4007" s="30">
        <f>IF($N4007="","",IF(INDEX(LdBNote,$N4007)="","—",INDEX(LdBNote,$N4007)))</f>
        <v/>
      </c>
      <c r="N4007">
        <f>IFERROR(MATCH($C$5&amp;"|"&amp;RIGHT("000000"&amp;1987,6),LdBKeyG,0),"")</f>
        <v/>
      </c>
    </row>
    <row r="4008">
      <c r="A4008" s="19" t="n">
        <v>1988</v>
      </c>
      <c r="B4008" s="20">
        <f>IF($N4008="","",INDEX(LdBDate,$N4008))</f>
        <v/>
      </c>
      <c r="C4008" s="20">
        <f>IF($N4008="","",IF(INDEX(LdBId,$N4008)="","—",INDEX(LdBId,$N4008)))</f>
        <v/>
      </c>
      <c r="D4008" s="20">
        <f>IF($N4008="","",INDEX(LdBMember,$N4008))</f>
        <v/>
      </c>
      <c r="E4008" s="20">
        <f>IF($N4008="","",IFERROR(IF(VLOOKUP(INDEX(LdBMember,$N4008),AcctTblE,4,0)="","(بدون نام)",VLOOKUP(INDEX(LdBMember,$N4008),AcctTblE,4,0)),"—"))</f>
        <v/>
      </c>
      <c r="F4008" s="21">
        <f>IF($N4008="","",IF(INDEX(LdBAmt,$N4008)=0,"",INDEX(LdBAmt,$N4008)))</f>
        <v/>
      </c>
      <c r="G4008" s="32">
        <f>IF($N4008="","",IF(INDEX(LdBNote,$N4008)="","—",INDEX(LdBNote,$N4008)))</f>
        <v/>
      </c>
      <c r="N4008">
        <f>IFERROR(MATCH($C$5&amp;"|"&amp;RIGHT("000000"&amp;1988,6),LdBKeyG,0),"")</f>
        <v/>
      </c>
    </row>
    <row r="4009">
      <c r="A4009" s="10" t="n">
        <v>1989</v>
      </c>
      <c r="B4009" s="14">
        <f>IF($N4009="","",INDEX(LdBDate,$N4009))</f>
        <v/>
      </c>
      <c r="C4009" s="14">
        <f>IF($N4009="","",IF(INDEX(LdBId,$N4009)="","—",INDEX(LdBId,$N4009)))</f>
        <v/>
      </c>
      <c r="D4009" s="14">
        <f>IF($N4009="","",INDEX(LdBMember,$N4009))</f>
        <v/>
      </c>
      <c r="E4009" s="14">
        <f>IF($N4009="","",IFERROR(IF(VLOOKUP(INDEX(LdBMember,$N4009),AcctTblE,4,0)="","(بدون نام)",VLOOKUP(INDEX(LdBMember,$N4009),AcctTblE,4,0)),"—"))</f>
        <v/>
      </c>
      <c r="F4009" s="16">
        <f>IF($N4009="","",IF(INDEX(LdBAmt,$N4009)=0,"",INDEX(LdBAmt,$N4009)))</f>
        <v/>
      </c>
      <c r="G4009" s="30">
        <f>IF($N4009="","",IF(INDEX(LdBNote,$N4009)="","—",INDEX(LdBNote,$N4009)))</f>
        <v/>
      </c>
      <c r="N4009">
        <f>IFERROR(MATCH($C$5&amp;"|"&amp;RIGHT("000000"&amp;1989,6),LdBKeyG,0),"")</f>
        <v/>
      </c>
    </row>
    <row r="4010">
      <c r="A4010" s="19" t="n">
        <v>1990</v>
      </c>
      <c r="B4010" s="20">
        <f>IF($N4010="","",INDEX(LdBDate,$N4010))</f>
        <v/>
      </c>
      <c r="C4010" s="20">
        <f>IF($N4010="","",IF(INDEX(LdBId,$N4010)="","—",INDEX(LdBId,$N4010)))</f>
        <v/>
      </c>
      <c r="D4010" s="20">
        <f>IF($N4010="","",INDEX(LdBMember,$N4010))</f>
        <v/>
      </c>
      <c r="E4010" s="20">
        <f>IF($N4010="","",IFERROR(IF(VLOOKUP(INDEX(LdBMember,$N4010),AcctTblE,4,0)="","(بدون نام)",VLOOKUP(INDEX(LdBMember,$N4010),AcctTblE,4,0)),"—"))</f>
        <v/>
      </c>
      <c r="F4010" s="21">
        <f>IF($N4010="","",IF(INDEX(LdBAmt,$N4010)=0,"",INDEX(LdBAmt,$N4010)))</f>
        <v/>
      </c>
      <c r="G4010" s="32">
        <f>IF($N4010="","",IF(INDEX(LdBNote,$N4010)="","—",INDEX(LdBNote,$N4010)))</f>
        <v/>
      </c>
      <c r="N4010">
        <f>IFERROR(MATCH($C$5&amp;"|"&amp;RIGHT("000000"&amp;1990,6),LdBKeyG,0),"")</f>
        <v/>
      </c>
    </row>
    <row r="4011">
      <c r="A4011" s="10" t="n">
        <v>1991</v>
      </c>
      <c r="B4011" s="14">
        <f>IF($N4011="","",INDEX(LdBDate,$N4011))</f>
        <v/>
      </c>
      <c r="C4011" s="14">
        <f>IF($N4011="","",IF(INDEX(LdBId,$N4011)="","—",INDEX(LdBId,$N4011)))</f>
        <v/>
      </c>
      <c r="D4011" s="14">
        <f>IF($N4011="","",INDEX(LdBMember,$N4011))</f>
        <v/>
      </c>
      <c r="E4011" s="14">
        <f>IF($N4011="","",IFERROR(IF(VLOOKUP(INDEX(LdBMember,$N4011),AcctTblE,4,0)="","(بدون نام)",VLOOKUP(INDEX(LdBMember,$N4011),AcctTblE,4,0)),"—"))</f>
        <v/>
      </c>
      <c r="F4011" s="16">
        <f>IF($N4011="","",IF(INDEX(LdBAmt,$N4011)=0,"",INDEX(LdBAmt,$N4011)))</f>
        <v/>
      </c>
      <c r="G4011" s="30">
        <f>IF($N4011="","",IF(INDEX(LdBNote,$N4011)="","—",INDEX(LdBNote,$N4011)))</f>
        <v/>
      </c>
      <c r="N4011">
        <f>IFERROR(MATCH($C$5&amp;"|"&amp;RIGHT("000000"&amp;1991,6),LdBKeyG,0),"")</f>
        <v/>
      </c>
    </row>
    <row r="4012">
      <c r="A4012" s="19" t="n">
        <v>1992</v>
      </c>
      <c r="B4012" s="20">
        <f>IF($N4012="","",INDEX(LdBDate,$N4012))</f>
        <v/>
      </c>
      <c r="C4012" s="20">
        <f>IF($N4012="","",IF(INDEX(LdBId,$N4012)="","—",INDEX(LdBId,$N4012)))</f>
        <v/>
      </c>
      <c r="D4012" s="20">
        <f>IF($N4012="","",INDEX(LdBMember,$N4012))</f>
        <v/>
      </c>
      <c r="E4012" s="20">
        <f>IF($N4012="","",IFERROR(IF(VLOOKUP(INDEX(LdBMember,$N4012),AcctTblE,4,0)="","(بدون نام)",VLOOKUP(INDEX(LdBMember,$N4012),AcctTblE,4,0)),"—"))</f>
        <v/>
      </c>
      <c r="F4012" s="21">
        <f>IF($N4012="","",IF(INDEX(LdBAmt,$N4012)=0,"",INDEX(LdBAmt,$N4012)))</f>
        <v/>
      </c>
      <c r="G4012" s="32">
        <f>IF($N4012="","",IF(INDEX(LdBNote,$N4012)="","—",INDEX(LdBNote,$N4012)))</f>
        <v/>
      </c>
      <c r="N4012">
        <f>IFERROR(MATCH($C$5&amp;"|"&amp;RIGHT("000000"&amp;1992,6),LdBKeyG,0),"")</f>
        <v/>
      </c>
    </row>
    <row r="4013">
      <c r="A4013" s="10" t="n">
        <v>1993</v>
      </c>
      <c r="B4013" s="14">
        <f>IF($N4013="","",INDEX(LdBDate,$N4013))</f>
        <v/>
      </c>
      <c r="C4013" s="14">
        <f>IF($N4013="","",IF(INDEX(LdBId,$N4013)="","—",INDEX(LdBId,$N4013)))</f>
        <v/>
      </c>
      <c r="D4013" s="14">
        <f>IF($N4013="","",INDEX(LdBMember,$N4013))</f>
        <v/>
      </c>
      <c r="E4013" s="14">
        <f>IF($N4013="","",IFERROR(IF(VLOOKUP(INDEX(LdBMember,$N4013),AcctTblE,4,0)="","(بدون نام)",VLOOKUP(INDEX(LdBMember,$N4013),AcctTblE,4,0)),"—"))</f>
        <v/>
      </c>
      <c r="F4013" s="16">
        <f>IF($N4013="","",IF(INDEX(LdBAmt,$N4013)=0,"",INDEX(LdBAmt,$N4013)))</f>
        <v/>
      </c>
      <c r="G4013" s="30">
        <f>IF($N4013="","",IF(INDEX(LdBNote,$N4013)="","—",INDEX(LdBNote,$N4013)))</f>
        <v/>
      </c>
      <c r="N4013">
        <f>IFERROR(MATCH($C$5&amp;"|"&amp;RIGHT("000000"&amp;1993,6),LdBKeyG,0),"")</f>
        <v/>
      </c>
    </row>
    <row r="4014">
      <c r="A4014" s="19" t="n">
        <v>1994</v>
      </c>
      <c r="B4014" s="20">
        <f>IF($N4014="","",INDEX(LdBDate,$N4014))</f>
        <v/>
      </c>
      <c r="C4014" s="20">
        <f>IF($N4014="","",IF(INDEX(LdBId,$N4014)="","—",INDEX(LdBId,$N4014)))</f>
        <v/>
      </c>
      <c r="D4014" s="20">
        <f>IF($N4014="","",INDEX(LdBMember,$N4014))</f>
        <v/>
      </c>
      <c r="E4014" s="20">
        <f>IF($N4014="","",IFERROR(IF(VLOOKUP(INDEX(LdBMember,$N4014),AcctTblE,4,0)="","(بدون نام)",VLOOKUP(INDEX(LdBMember,$N4014),AcctTblE,4,0)),"—"))</f>
        <v/>
      </c>
      <c r="F4014" s="21">
        <f>IF($N4014="","",IF(INDEX(LdBAmt,$N4014)=0,"",INDEX(LdBAmt,$N4014)))</f>
        <v/>
      </c>
      <c r="G4014" s="32">
        <f>IF($N4014="","",IF(INDEX(LdBNote,$N4014)="","—",INDEX(LdBNote,$N4014)))</f>
        <v/>
      </c>
      <c r="N4014">
        <f>IFERROR(MATCH($C$5&amp;"|"&amp;RIGHT("000000"&amp;1994,6),LdBKeyG,0),"")</f>
        <v/>
      </c>
    </row>
    <row r="4015">
      <c r="A4015" s="10" t="n">
        <v>1995</v>
      </c>
      <c r="B4015" s="14">
        <f>IF($N4015="","",INDEX(LdBDate,$N4015))</f>
        <v/>
      </c>
      <c r="C4015" s="14">
        <f>IF($N4015="","",IF(INDEX(LdBId,$N4015)="","—",INDEX(LdBId,$N4015)))</f>
        <v/>
      </c>
      <c r="D4015" s="14">
        <f>IF($N4015="","",INDEX(LdBMember,$N4015))</f>
        <v/>
      </c>
      <c r="E4015" s="14">
        <f>IF($N4015="","",IFERROR(IF(VLOOKUP(INDEX(LdBMember,$N4015),AcctTblE,4,0)="","(بدون نام)",VLOOKUP(INDEX(LdBMember,$N4015),AcctTblE,4,0)),"—"))</f>
        <v/>
      </c>
      <c r="F4015" s="16">
        <f>IF($N4015="","",IF(INDEX(LdBAmt,$N4015)=0,"",INDEX(LdBAmt,$N4015)))</f>
        <v/>
      </c>
      <c r="G4015" s="30">
        <f>IF($N4015="","",IF(INDEX(LdBNote,$N4015)="","—",INDEX(LdBNote,$N4015)))</f>
        <v/>
      </c>
      <c r="N4015">
        <f>IFERROR(MATCH($C$5&amp;"|"&amp;RIGHT("000000"&amp;1995,6),LdBKeyG,0),"")</f>
        <v/>
      </c>
    </row>
    <row r="4016">
      <c r="A4016" s="19" t="n">
        <v>1996</v>
      </c>
      <c r="B4016" s="20">
        <f>IF($N4016="","",INDEX(LdBDate,$N4016))</f>
        <v/>
      </c>
      <c r="C4016" s="20">
        <f>IF($N4016="","",IF(INDEX(LdBId,$N4016)="","—",INDEX(LdBId,$N4016)))</f>
        <v/>
      </c>
      <c r="D4016" s="20">
        <f>IF($N4016="","",INDEX(LdBMember,$N4016))</f>
        <v/>
      </c>
      <c r="E4016" s="20">
        <f>IF($N4016="","",IFERROR(IF(VLOOKUP(INDEX(LdBMember,$N4016),AcctTblE,4,0)="","(بدون نام)",VLOOKUP(INDEX(LdBMember,$N4016),AcctTblE,4,0)),"—"))</f>
        <v/>
      </c>
      <c r="F4016" s="21">
        <f>IF($N4016="","",IF(INDEX(LdBAmt,$N4016)=0,"",INDEX(LdBAmt,$N4016)))</f>
        <v/>
      </c>
      <c r="G4016" s="32">
        <f>IF($N4016="","",IF(INDEX(LdBNote,$N4016)="","—",INDEX(LdBNote,$N4016)))</f>
        <v/>
      </c>
      <c r="N4016">
        <f>IFERROR(MATCH($C$5&amp;"|"&amp;RIGHT("000000"&amp;1996,6),LdBKeyG,0),"")</f>
        <v/>
      </c>
    </row>
    <row r="4017">
      <c r="A4017" s="10" t="n">
        <v>1997</v>
      </c>
      <c r="B4017" s="14">
        <f>IF($N4017="","",INDEX(LdBDate,$N4017))</f>
        <v/>
      </c>
      <c r="C4017" s="14">
        <f>IF($N4017="","",IF(INDEX(LdBId,$N4017)="","—",INDEX(LdBId,$N4017)))</f>
        <v/>
      </c>
      <c r="D4017" s="14">
        <f>IF($N4017="","",INDEX(LdBMember,$N4017))</f>
        <v/>
      </c>
      <c r="E4017" s="14">
        <f>IF($N4017="","",IFERROR(IF(VLOOKUP(INDEX(LdBMember,$N4017),AcctTblE,4,0)="","(بدون نام)",VLOOKUP(INDEX(LdBMember,$N4017),AcctTblE,4,0)),"—"))</f>
        <v/>
      </c>
      <c r="F4017" s="16">
        <f>IF($N4017="","",IF(INDEX(LdBAmt,$N4017)=0,"",INDEX(LdBAmt,$N4017)))</f>
        <v/>
      </c>
      <c r="G4017" s="30">
        <f>IF($N4017="","",IF(INDEX(LdBNote,$N4017)="","—",INDEX(LdBNote,$N4017)))</f>
        <v/>
      </c>
      <c r="N4017">
        <f>IFERROR(MATCH($C$5&amp;"|"&amp;RIGHT("000000"&amp;1997,6),LdBKeyG,0),"")</f>
        <v/>
      </c>
    </row>
    <row r="4018">
      <c r="A4018" s="19" t="n">
        <v>1998</v>
      </c>
      <c r="B4018" s="20">
        <f>IF($N4018="","",INDEX(LdBDate,$N4018))</f>
        <v/>
      </c>
      <c r="C4018" s="20">
        <f>IF($N4018="","",IF(INDEX(LdBId,$N4018)="","—",INDEX(LdBId,$N4018)))</f>
        <v/>
      </c>
      <c r="D4018" s="20">
        <f>IF($N4018="","",INDEX(LdBMember,$N4018))</f>
        <v/>
      </c>
      <c r="E4018" s="20">
        <f>IF($N4018="","",IFERROR(IF(VLOOKUP(INDEX(LdBMember,$N4018),AcctTblE,4,0)="","(بدون نام)",VLOOKUP(INDEX(LdBMember,$N4018),AcctTblE,4,0)),"—"))</f>
        <v/>
      </c>
      <c r="F4018" s="21">
        <f>IF($N4018="","",IF(INDEX(LdBAmt,$N4018)=0,"",INDEX(LdBAmt,$N4018)))</f>
        <v/>
      </c>
      <c r="G4018" s="32">
        <f>IF($N4018="","",IF(INDEX(LdBNote,$N4018)="","—",INDEX(LdBNote,$N4018)))</f>
        <v/>
      </c>
      <c r="N4018">
        <f>IFERROR(MATCH($C$5&amp;"|"&amp;RIGHT("000000"&amp;1998,6),LdBKeyG,0),"")</f>
        <v/>
      </c>
    </row>
    <row r="4019">
      <c r="A4019" s="10" t="n">
        <v>1999</v>
      </c>
      <c r="B4019" s="14">
        <f>IF($N4019="","",INDEX(LdBDate,$N4019))</f>
        <v/>
      </c>
      <c r="C4019" s="14">
        <f>IF($N4019="","",IF(INDEX(LdBId,$N4019)="","—",INDEX(LdBId,$N4019)))</f>
        <v/>
      </c>
      <c r="D4019" s="14">
        <f>IF($N4019="","",INDEX(LdBMember,$N4019))</f>
        <v/>
      </c>
      <c r="E4019" s="14">
        <f>IF($N4019="","",IFERROR(IF(VLOOKUP(INDEX(LdBMember,$N4019),AcctTblE,4,0)="","(بدون نام)",VLOOKUP(INDEX(LdBMember,$N4019),AcctTblE,4,0)),"—"))</f>
        <v/>
      </c>
      <c r="F4019" s="16">
        <f>IF($N4019="","",IF(INDEX(LdBAmt,$N4019)=0,"",INDEX(LdBAmt,$N4019)))</f>
        <v/>
      </c>
      <c r="G4019" s="30">
        <f>IF($N4019="","",IF(INDEX(LdBNote,$N4019)="","—",INDEX(LdBNote,$N4019)))</f>
        <v/>
      </c>
      <c r="N4019">
        <f>IFERROR(MATCH($C$5&amp;"|"&amp;RIGHT("000000"&amp;1999,6),LdBKeyG,0),"")</f>
        <v/>
      </c>
    </row>
    <row r="4020">
      <c r="A4020" s="19" t="n">
        <v>2000</v>
      </c>
      <c r="B4020" s="20">
        <f>IF($N4020="","",INDEX(LdBDate,$N4020))</f>
        <v/>
      </c>
      <c r="C4020" s="20">
        <f>IF($N4020="","",IF(INDEX(LdBId,$N4020)="","—",INDEX(LdBId,$N4020)))</f>
        <v/>
      </c>
      <c r="D4020" s="20">
        <f>IF($N4020="","",INDEX(LdBMember,$N4020))</f>
        <v/>
      </c>
      <c r="E4020" s="20">
        <f>IF($N4020="","",IFERROR(IF(VLOOKUP(INDEX(LdBMember,$N4020),AcctTblE,4,0)="","(بدون نام)",VLOOKUP(INDEX(LdBMember,$N4020),AcctTblE,4,0)),"—"))</f>
        <v/>
      </c>
      <c r="F4020" s="21">
        <f>IF($N4020="","",IF(INDEX(LdBAmt,$N4020)=0,"",INDEX(LdBAmt,$N4020)))</f>
        <v/>
      </c>
      <c r="G4020" s="32">
        <f>IF($N4020="","",IF(INDEX(LdBNote,$N4020)="","—",INDEX(LdBNote,$N4020)))</f>
        <v/>
      </c>
      <c r="N4020">
        <f>IFERROR(MATCH($C$5&amp;"|"&amp;RIGHT("000000"&amp;2000,6),LdBKeyG,0),"")</f>
        <v/>
      </c>
    </row>
  </sheetData>
  <mergeCells count="30">
    <mergeCell ref="E12:F12"/>
    <mergeCell ref="C6:G6"/>
    <mergeCell ref="A2018:G2018"/>
    <mergeCell ref="A11:B11"/>
    <mergeCell ref="C5:D5"/>
    <mergeCell ref="C14:D14"/>
    <mergeCell ref="E14:F14"/>
    <mergeCell ref="A6:B6"/>
    <mergeCell ref="A7:B7"/>
    <mergeCell ref="A9:G9"/>
    <mergeCell ref="G12"/>
    <mergeCell ref="G11"/>
    <mergeCell ref="E13:F13"/>
    <mergeCell ref="A12:B12"/>
    <mergeCell ref="C12:D12"/>
    <mergeCell ref="A1:G1"/>
    <mergeCell ref="C11:D11"/>
    <mergeCell ref="E11:F11"/>
    <mergeCell ref="A5:B5"/>
    <mergeCell ref="A14:B14"/>
    <mergeCell ref="C8:G8"/>
    <mergeCell ref="A8:B8"/>
    <mergeCell ref="G13"/>
    <mergeCell ref="C7:G7"/>
    <mergeCell ref="A3:G3"/>
    <mergeCell ref="E5:G5"/>
    <mergeCell ref="A13:B13"/>
    <mergeCell ref="A2:G2"/>
    <mergeCell ref="C13:D13"/>
    <mergeCell ref="G14"/>
  </mergeCells>
  <conditionalFormatting sqref="G17:G2016">
    <cfRule type="cellIs" priority="1" operator="equal" dxfId="0">
      <formula>"√"</formula>
    </cfRule>
    <cfRule type="cellIs" priority="2" operator="beginsWith" dxfId="1">
      <formula>"▲"</formula>
    </cfRule>
  </conditionalFormatting>
  <dataValidations count="1">
    <dataValidation sqref="C5" showDropDown="0" showInputMessage="1" showErrorMessage="0" allowBlank="1" errorTitle="کد گروه کاری" error="کد را از INFO (شیت WorkGroups) وارد کنید — الگو: WG01" promptTitle="کد گروه کاری" prompt="کد را وارد کنید؛ هر دو بخش خودکار به‌روز می‌شوند. برای گروه دیگر، شیت را کپی کنید." type="list" errorStyle="warning">
      <formula1>ListWGEmp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گزارش گروه کاری — دستمزد گروهی و ریز اعضا&amp;R&amp;"Tahoma"&amp;8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I60"/>
  <sheetViews>
    <sheetView showGridLines="0" rightToLeft="1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5" customWidth="1" min="4" max="4"/>
    <col width="13" customWidth="1" min="5" max="5"/>
    <col width="15" customWidth="1" min="6" max="6"/>
    <col width="15" customWidth="1" min="7" max="7"/>
    <col width="15" customWidth="1" min="8" max="8"/>
    <col width="9" customWidth="1" min="9" max="9"/>
  </cols>
  <sheetData>
    <row r="1" ht="26" customHeight="1">
      <c r="A1" s="1">
        <f>IF(Sync!$AI$6="","مازندشت",Sync!$AI$6)&amp;" — "&amp;IF(Sync!$AI$9="","سورتینگ و بسته‌بندی مرکبات",Sync!$AI$9)</f>
        <v/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4" customHeight="1">
      <c r="A2" s="2">
        <f>IF(Sync!$AI$7="","باغدشت، بخش مرکزی، شهرستان قائم‌شهر، استان مازندران، ایران",Sync!$AI$7)&amp;"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خلاصه دستمزد کارکنان — تعلق، پرداخت و مانده هر نفر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18" customHeight="1">
      <c r="A4" s="36" t="inlineStr">
        <is>
          <t>فقط حساب‌های E… که در INFO ← Accounts نام دارند. تعلق = دستمزد فردی + سهم از گروه‌ها؛ پرداخت = برداشت‌های بانکی با همان کد.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</row>
    <row r="5" ht="13" customHeight="1">
      <c r="A5" s="5" t="inlineStr">
        <is>
          <t>تعداد نفرات</t>
        </is>
      </c>
      <c r="B5" s="5" t="n"/>
      <c r="C5" s="5" t="inlineStr">
        <is>
          <t>جمع تعلق (ریال)</t>
        </is>
      </c>
      <c r="D5" s="5" t="n"/>
      <c r="E5" s="5" t="inlineStr">
        <is>
          <t>جمع پرداخت (ریال)</t>
        </is>
      </c>
      <c r="F5" s="5" t="n"/>
      <c r="G5" s="5" t="inlineStr">
        <is>
          <t>جمع مانده (ریال)</t>
        </is>
      </c>
      <c r="H5" s="5" t="n"/>
      <c r="I5" s="5" t="inlineStr">
        <is>
          <t>مانده ≠ ۰</t>
        </is>
      </c>
    </row>
    <row r="6" ht="20" customHeight="1">
      <c r="A6" s="6">
        <f>NStaffE</f>
        <v/>
      </c>
      <c r="B6" s="6" t="n"/>
      <c r="C6" s="7">
        <f>F60</f>
        <v/>
      </c>
      <c r="D6" s="7" t="n"/>
      <c r="E6" s="7">
        <f>G60</f>
        <v/>
      </c>
      <c r="F6" s="7" t="n"/>
      <c r="G6" s="7">
        <f>H60</f>
        <v/>
      </c>
      <c r="H6" s="7" t="n"/>
      <c r="I6" s="6">
        <f>COUNTIF($H$10:$H$59,"&lt;&gt;0")</f>
        <v/>
      </c>
    </row>
    <row r="7" ht="6" customHeight="1"/>
    <row r="8" ht="30" customHeight="1">
      <c r="A8" s="8" t="inlineStr">
        <is>
          <t>ردیف</t>
        </is>
      </c>
      <c r="B8" s="8" t="inlineStr">
        <is>
          <t>کد</t>
        </is>
      </c>
      <c r="C8" s="8" t="inlineStr">
        <is>
          <t>نام</t>
        </is>
      </c>
      <c r="D8" s="8" t="inlineStr">
        <is>
          <t>گروه کاری</t>
        </is>
      </c>
      <c r="E8" s="8" t="inlineStr">
        <is>
          <t>سمت</t>
        </is>
      </c>
      <c r="F8" s="8" t="inlineStr">
        <is>
          <t>جمع تعلق (ریال)</t>
        </is>
      </c>
      <c r="G8" s="8" t="inlineStr">
        <is>
          <t>جمع پرداخت (ریال)</t>
        </is>
      </c>
      <c r="H8" s="8" t="inlineStr">
        <is>
          <t>مانده (ریال)</t>
        </is>
      </c>
      <c r="I8" s="8" t="inlineStr">
        <is>
          <t>رویدادها</t>
        </is>
      </c>
    </row>
    <row r="9" ht="13" customHeight="1">
      <c r="A9" s="9" t="inlineStr">
        <is>
          <t>No.</t>
        </is>
      </c>
      <c r="B9" s="9" t="inlineStr">
        <is>
          <t>Code</t>
        </is>
      </c>
      <c r="C9" s="9" t="inlineStr">
        <is>
          <t>Name</t>
        </is>
      </c>
      <c r="D9" s="9" t="inlineStr">
        <is>
          <t>Group</t>
        </is>
      </c>
      <c r="E9" s="9" t="inlineStr">
        <is>
          <t>Role</t>
        </is>
      </c>
      <c r="F9" s="9" t="inlineStr">
        <is>
          <t>Entitled</t>
        </is>
      </c>
      <c r="G9" s="9" t="inlineStr">
        <is>
          <t>Paid</t>
        </is>
      </c>
      <c r="H9" s="9" t="inlineStr">
        <is>
          <t>Balance</t>
        </is>
      </c>
      <c r="I9" s="9" t="inlineStr">
        <is>
          <t>Events</t>
        </is>
      </c>
    </row>
    <row r="10">
      <c r="A10" s="10">
        <f>IF(ROW()-9&gt;NStaffE,"",ROW()-9)</f>
        <v/>
      </c>
      <c r="B10" s="37">
        <f>IF($A10="","",IF($A10&lt;=NStaffE,INDEX(PkStaffE,$A10),""))</f>
        <v/>
      </c>
      <c r="C10" s="14">
        <f>IF($B10="","",IFERROR(IF(VLOOKUP($B10,AcctTblE,4,0)="","(بدون نام)",VLOOKUP($B10,AcctTblE,4,0)),"—"))</f>
        <v/>
      </c>
      <c r="D10" s="14">
        <f>IF($B10="","",IFERROR(IF(VLOOKUP(IFERROR(VLOOKUP($B10,StaffTblE,2,0),""),WGTbl,2,0)="","—",VLOOKUP(IFERROR(VLOOKUP($B10,StaffTblE,2,0),""),WGTbl,2,0)),"—"))</f>
        <v/>
      </c>
      <c r="E10" s="14">
        <f>IF($B10="","",IFERROR(IF(VLOOKUP($B10,StaffTblE,3,0)="","—",VLOOKUP($B10,StaffTblE,3,0)),"—"))</f>
        <v/>
      </c>
      <c r="F10" s="16">
        <f>IF($B10="","",SUMIFS(LdAAmt,LdAParty,$B10,LdAType,1)+SUMIFS(LdBAmt,LdBMember,$B10))</f>
        <v/>
      </c>
      <c r="G10" s="16">
        <f>IF($B10="","",SUMIFS(LdCWit,LdCParty,$B10))</f>
        <v/>
      </c>
      <c r="H10" s="29">
        <f>IF($B10="","",$F10-$G10)</f>
        <v/>
      </c>
      <c r="I10" s="33">
        <f>IF($B10="","",COUNTIFS(LdAParty,$B10,LdAType,1)+COUNTIFS(LdBMember,$B10)+COUNTIFS(LdCParty,$B10))</f>
        <v/>
      </c>
    </row>
    <row r="11">
      <c r="A11" s="19">
        <f>IF(ROW()-9&gt;NStaffE,"",ROW()-9)</f>
        <v/>
      </c>
      <c r="B11" s="38">
        <f>IF($A11="","",IF($A11&lt;=NStaffE,INDEX(PkStaffE,$A11),""))</f>
        <v/>
      </c>
      <c r="C11" s="20">
        <f>IF($B11="","",IFERROR(IF(VLOOKUP($B11,AcctTblE,4,0)="","(بدون نام)",VLOOKUP($B11,AcctTblE,4,0)),"—"))</f>
        <v/>
      </c>
      <c r="D11" s="20">
        <f>IF($B11="","",IFERROR(IF(VLOOKUP(IFERROR(VLOOKUP($B11,StaffTblE,2,0),""),WGTbl,2,0)="","—",VLOOKUP(IFERROR(VLOOKUP($B11,StaffTblE,2,0),""),WGTbl,2,0)),"—"))</f>
        <v/>
      </c>
      <c r="E11" s="20">
        <f>IF($B11="","",IFERROR(IF(VLOOKUP($B11,StaffTblE,3,0)="","—",VLOOKUP($B11,StaffTblE,3,0)),"—"))</f>
        <v/>
      </c>
      <c r="F11" s="21">
        <f>IF($B11="","",SUMIFS(LdAAmt,LdAParty,$B11,LdAType,1)+SUMIFS(LdBAmt,LdBMember,$B11))</f>
        <v/>
      </c>
      <c r="G11" s="21">
        <f>IF($B11="","",SUMIFS(LdCWit,LdCParty,$B11))</f>
        <v/>
      </c>
      <c r="H11" s="31">
        <f>IF($B11="","",$F11-$G11)</f>
        <v/>
      </c>
      <c r="I11" s="34">
        <f>IF($B11="","",COUNTIFS(LdAParty,$B11,LdAType,1)+COUNTIFS(LdBMember,$B11)+COUNTIFS(LdCParty,$B11))</f>
        <v/>
      </c>
    </row>
    <row r="12">
      <c r="A12" s="10">
        <f>IF(ROW()-9&gt;NStaffE,"",ROW()-9)</f>
        <v/>
      </c>
      <c r="B12" s="37">
        <f>IF($A12="","",IF($A12&lt;=NStaffE,INDEX(PkStaffE,$A12),""))</f>
        <v/>
      </c>
      <c r="C12" s="14">
        <f>IF($B12="","",IFERROR(IF(VLOOKUP($B12,AcctTblE,4,0)="","(بدون نام)",VLOOKUP($B12,AcctTblE,4,0)),"—"))</f>
        <v/>
      </c>
      <c r="D12" s="14">
        <f>IF($B12="","",IFERROR(IF(VLOOKUP(IFERROR(VLOOKUP($B12,StaffTblE,2,0),""),WGTbl,2,0)="","—",VLOOKUP(IFERROR(VLOOKUP($B12,StaffTblE,2,0),""),WGTbl,2,0)),"—"))</f>
        <v/>
      </c>
      <c r="E12" s="14">
        <f>IF($B12="","",IFERROR(IF(VLOOKUP($B12,StaffTblE,3,0)="","—",VLOOKUP($B12,StaffTblE,3,0)),"—"))</f>
        <v/>
      </c>
      <c r="F12" s="16">
        <f>IF($B12="","",SUMIFS(LdAAmt,LdAParty,$B12,LdAType,1)+SUMIFS(LdBAmt,LdBMember,$B12))</f>
        <v/>
      </c>
      <c r="G12" s="16">
        <f>IF($B12="","",SUMIFS(LdCWit,LdCParty,$B12))</f>
        <v/>
      </c>
      <c r="H12" s="29">
        <f>IF($B12="","",$F12-$G12)</f>
        <v/>
      </c>
      <c r="I12" s="33">
        <f>IF($B12="","",COUNTIFS(LdAParty,$B12,LdAType,1)+COUNTIFS(LdBMember,$B12)+COUNTIFS(LdCParty,$B12))</f>
        <v/>
      </c>
    </row>
    <row r="13">
      <c r="A13" s="19">
        <f>IF(ROW()-9&gt;NStaffE,"",ROW()-9)</f>
        <v/>
      </c>
      <c r="B13" s="38">
        <f>IF($A13="","",IF($A13&lt;=NStaffE,INDEX(PkStaffE,$A13),""))</f>
        <v/>
      </c>
      <c r="C13" s="20">
        <f>IF($B13="","",IFERROR(IF(VLOOKUP($B13,AcctTblE,4,0)="","(بدون نام)",VLOOKUP($B13,AcctTblE,4,0)),"—"))</f>
        <v/>
      </c>
      <c r="D13" s="20">
        <f>IF($B13="","",IFERROR(IF(VLOOKUP(IFERROR(VLOOKUP($B13,StaffTblE,2,0),""),WGTbl,2,0)="","—",VLOOKUP(IFERROR(VLOOKUP($B13,StaffTblE,2,0),""),WGTbl,2,0)),"—"))</f>
        <v/>
      </c>
      <c r="E13" s="20">
        <f>IF($B13="","",IFERROR(IF(VLOOKUP($B13,StaffTblE,3,0)="","—",VLOOKUP($B13,StaffTblE,3,0)),"—"))</f>
        <v/>
      </c>
      <c r="F13" s="21">
        <f>IF($B13="","",SUMIFS(LdAAmt,LdAParty,$B13,LdAType,1)+SUMIFS(LdBAmt,LdBMember,$B13))</f>
        <v/>
      </c>
      <c r="G13" s="21">
        <f>IF($B13="","",SUMIFS(LdCWit,LdCParty,$B13))</f>
        <v/>
      </c>
      <c r="H13" s="31">
        <f>IF($B13="","",$F13-$G13)</f>
        <v/>
      </c>
      <c r="I13" s="34">
        <f>IF($B13="","",COUNTIFS(LdAParty,$B13,LdAType,1)+COUNTIFS(LdBMember,$B13)+COUNTIFS(LdCParty,$B13))</f>
        <v/>
      </c>
    </row>
    <row r="14">
      <c r="A14" s="10">
        <f>IF(ROW()-9&gt;NStaffE,"",ROW()-9)</f>
        <v/>
      </c>
      <c r="B14" s="37">
        <f>IF($A14="","",IF($A14&lt;=NStaffE,INDEX(PkStaffE,$A14),""))</f>
        <v/>
      </c>
      <c r="C14" s="14">
        <f>IF($B14="","",IFERROR(IF(VLOOKUP($B14,AcctTblE,4,0)="","(بدون نام)",VLOOKUP($B14,AcctTblE,4,0)),"—"))</f>
        <v/>
      </c>
      <c r="D14" s="14">
        <f>IF($B14="","",IFERROR(IF(VLOOKUP(IFERROR(VLOOKUP($B14,StaffTblE,2,0),""),WGTbl,2,0)="","—",VLOOKUP(IFERROR(VLOOKUP($B14,StaffTblE,2,0),""),WGTbl,2,0)),"—"))</f>
        <v/>
      </c>
      <c r="E14" s="14">
        <f>IF($B14="","",IFERROR(IF(VLOOKUP($B14,StaffTblE,3,0)="","—",VLOOKUP($B14,StaffTblE,3,0)),"—"))</f>
        <v/>
      </c>
      <c r="F14" s="16">
        <f>IF($B14="","",SUMIFS(LdAAmt,LdAParty,$B14,LdAType,1)+SUMIFS(LdBAmt,LdBMember,$B14))</f>
        <v/>
      </c>
      <c r="G14" s="16">
        <f>IF($B14="","",SUMIFS(LdCWit,LdCParty,$B14))</f>
        <v/>
      </c>
      <c r="H14" s="29">
        <f>IF($B14="","",$F14-$G14)</f>
        <v/>
      </c>
      <c r="I14" s="33">
        <f>IF($B14="","",COUNTIFS(LdAParty,$B14,LdAType,1)+COUNTIFS(LdBMember,$B14)+COUNTIFS(LdCParty,$B14))</f>
        <v/>
      </c>
    </row>
    <row r="15">
      <c r="A15" s="19">
        <f>IF(ROW()-9&gt;NStaffE,"",ROW()-9)</f>
        <v/>
      </c>
      <c r="B15" s="38">
        <f>IF($A15="","",IF($A15&lt;=NStaffE,INDEX(PkStaffE,$A15),""))</f>
        <v/>
      </c>
      <c r="C15" s="20">
        <f>IF($B15="","",IFERROR(IF(VLOOKUP($B15,AcctTblE,4,0)="","(بدون نام)",VLOOKUP($B15,AcctTblE,4,0)),"—"))</f>
        <v/>
      </c>
      <c r="D15" s="20">
        <f>IF($B15="","",IFERROR(IF(VLOOKUP(IFERROR(VLOOKUP($B15,StaffTblE,2,0),""),WGTbl,2,0)="","—",VLOOKUP(IFERROR(VLOOKUP($B15,StaffTblE,2,0),""),WGTbl,2,0)),"—"))</f>
        <v/>
      </c>
      <c r="E15" s="20">
        <f>IF($B15="","",IFERROR(IF(VLOOKUP($B15,StaffTblE,3,0)="","—",VLOOKUP($B15,StaffTblE,3,0)),"—"))</f>
        <v/>
      </c>
      <c r="F15" s="21">
        <f>IF($B15="","",SUMIFS(LdAAmt,LdAParty,$B15,LdAType,1)+SUMIFS(LdBAmt,LdBMember,$B15))</f>
        <v/>
      </c>
      <c r="G15" s="21">
        <f>IF($B15="","",SUMIFS(LdCWit,LdCParty,$B15))</f>
        <v/>
      </c>
      <c r="H15" s="31">
        <f>IF($B15="","",$F15-$G15)</f>
        <v/>
      </c>
      <c r="I15" s="34">
        <f>IF($B15="","",COUNTIFS(LdAParty,$B15,LdAType,1)+COUNTIFS(LdBMember,$B15)+COUNTIFS(LdCParty,$B15))</f>
        <v/>
      </c>
    </row>
    <row r="16">
      <c r="A16" s="10">
        <f>IF(ROW()-9&gt;NStaffE,"",ROW()-9)</f>
        <v/>
      </c>
      <c r="B16" s="37">
        <f>IF($A16="","",IF($A16&lt;=NStaffE,INDEX(PkStaffE,$A16),""))</f>
        <v/>
      </c>
      <c r="C16" s="14">
        <f>IF($B16="","",IFERROR(IF(VLOOKUP($B16,AcctTblE,4,0)="","(بدون نام)",VLOOKUP($B16,AcctTblE,4,0)),"—"))</f>
        <v/>
      </c>
      <c r="D16" s="14">
        <f>IF($B16="","",IFERROR(IF(VLOOKUP(IFERROR(VLOOKUP($B16,StaffTblE,2,0),""),WGTbl,2,0)="","—",VLOOKUP(IFERROR(VLOOKUP($B16,StaffTblE,2,0),""),WGTbl,2,0)),"—"))</f>
        <v/>
      </c>
      <c r="E16" s="14">
        <f>IF($B16="","",IFERROR(IF(VLOOKUP($B16,StaffTblE,3,0)="","—",VLOOKUP($B16,StaffTblE,3,0)),"—"))</f>
        <v/>
      </c>
      <c r="F16" s="16">
        <f>IF($B16="","",SUMIFS(LdAAmt,LdAParty,$B16,LdAType,1)+SUMIFS(LdBAmt,LdBMember,$B16))</f>
        <v/>
      </c>
      <c r="G16" s="16">
        <f>IF($B16="","",SUMIFS(LdCWit,LdCParty,$B16))</f>
        <v/>
      </c>
      <c r="H16" s="29">
        <f>IF($B16="","",$F16-$G16)</f>
        <v/>
      </c>
      <c r="I16" s="33">
        <f>IF($B16="","",COUNTIFS(LdAParty,$B16,LdAType,1)+COUNTIFS(LdBMember,$B16)+COUNTIFS(LdCParty,$B16))</f>
        <v/>
      </c>
    </row>
    <row r="17">
      <c r="A17" s="19">
        <f>IF(ROW()-9&gt;NStaffE,"",ROW()-9)</f>
        <v/>
      </c>
      <c r="B17" s="38">
        <f>IF($A17="","",IF($A17&lt;=NStaffE,INDEX(PkStaffE,$A17),""))</f>
        <v/>
      </c>
      <c r="C17" s="20">
        <f>IF($B17="","",IFERROR(IF(VLOOKUP($B17,AcctTblE,4,0)="","(بدون نام)",VLOOKUP($B17,AcctTblE,4,0)),"—"))</f>
        <v/>
      </c>
      <c r="D17" s="20">
        <f>IF($B17="","",IFERROR(IF(VLOOKUP(IFERROR(VLOOKUP($B17,StaffTblE,2,0),""),WGTbl,2,0)="","—",VLOOKUP(IFERROR(VLOOKUP($B17,StaffTblE,2,0),""),WGTbl,2,0)),"—"))</f>
        <v/>
      </c>
      <c r="E17" s="20">
        <f>IF($B17="","",IFERROR(IF(VLOOKUP($B17,StaffTblE,3,0)="","—",VLOOKUP($B17,StaffTblE,3,0)),"—"))</f>
        <v/>
      </c>
      <c r="F17" s="21">
        <f>IF($B17="","",SUMIFS(LdAAmt,LdAParty,$B17,LdAType,1)+SUMIFS(LdBAmt,LdBMember,$B17))</f>
        <v/>
      </c>
      <c r="G17" s="21">
        <f>IF($B17="","",SUMIFS(LdCWit,LdCParty,$B17))</f>
        <v/>
      </c>
      <c r="H17" s="31">
        <f>IF($B17="","",$F17-$G17)</f>
        <v/>
      </c>
      <c r="I17" s="34">
        <f>IF($B17="","",COUNTIFS(LdAParty,$B17,LdAType,1)+COUNTIFS(LdBMember,$B17)+COUNTIFS(LdCParty,$B17))</f>
        <v/>
      </c>
    </row>
    <row r="18">
      <c r="A18" s="10">
        <f>IF(ROW()-9&gt;NStaffE,"",ROW()-9)</f>
        <v/>
      </c>
      <c r="B18" s="37">
        <f>IF($A18="","",IF($A18&lt;=NStaffE,INDEX(PkStaffE,$A18),""))</f>
        <v/>
      </c>
      <c r="C18" s="14">
        <f>IF($B18="","",IFERROR(IF(VLOOKUP($B18,AcctTblE,4,0)="","(بدون نام)",VLOOKUP($B18,AcctTblE,4,0)),"—"))</f>
        <v/>
      </c>
      <c r="D18" s="14">
        <f>IF($B18="","",IFERROR(IF(VLOOKUP(IFERROR(VLOOKUP($B18,StaffTblE,2,0),""),WGTbl,2,0)="","—",VLOOKUP(IFERROR(VLOOKUP($B18,StaffTblE,2,0),""),WGTbl,2,0)),"—"))</f>
        <v/>
      </c>
      <c r="E18" s="14">
        <f>IF($B18="","",IFERROR(IF(VLOOKUP($B18,StaffTblE,3,0)="","—",VLOOKUP($B18,StaffTblE,3,0)),"—"))</f>
        <v/>
      </c>
      <c r="F18" s="16">
        <f>IF($B18="","",SUMIFS(LdAAmt,LdAParty,$B18,LdAType,1)+SUMIFS(LdBAmt,LdBMember,$B18))</f>
        <v/>
      </c>
      <c r="G18" s="16">
        <f>IF($B18="","",SUMIFS(LdCWit,LdCParty,$B18))</f>
        <v/>
      </c>
      <c r="H18" s="29">
        <f>IF($B18="","",$F18-$G18)</f>
        <v/>
      </c>
      <c r="I18" s="33">
        <f>IF($B18="","",COUNTIFS(LdAParty,$B18,LdAType,1)+COUNTIFS(LdBMember,$B18)+COUNTIFS(LdCParty,$B18))</f>
        <v/>
      </c>
    </row>
    <row r="19">
      <c r="A19" s="19">
        <f>IF(ROW()-9&gt;NStaffE,"",ROW()-9)</f>
        <v/>
      </c>
      <c r="B19" s="38">
        <f>IF($A19="","",IF($A19&lt;=NStaffE,INDEX(PkStaffE,$A19),""))</f>
        <v/>
      </c>
      <c r="C19" s="20">
        <f>IF($B19="","",IFERROR(IF(VLOOKUP($B19,AcctTblE,4,0)="","(بدون نام)",VLOOKUP($B19,AcctTblE,4,0)),"—"))</f>
        <v/>
      </c>
      <c r="D19" s="20">
        <f>IF($B19="","",IFERROR(IF(VLOOKUP(IFERROR(VLOOKUP($B19,StaffTblE,2,0),""),WGTbl,2,0)="","—",VLOOKUP(IFERROR(VLOOKUP($B19,StaffTblE,2,0),""),WGTbl,2,0)),"—"))</f>
        <v/>
      </c>
      <c r="E19" s="20">
        <f>IF($B19="","",IFERROR(IF(VLOOKUP($B19,StaffTblE,3,0)="","—",VLOOKUP($B19,StaffTblE,3,0)),"—"))</f>
        <v/>
      </c>
      <c r="F19" s="21">
        <f>IF($B19="","",SUMIFS(LdAAmt,LdAParty,$B19,LdAType,1)+SUMIFS(LdBAmt,LdBMember,$B19))</f>
        <v/>
      </c>
      <c r="G19" s="21">
        <f>IF($B19="","",SUMIFS(LdCWit,LdCParty,$B19))</f>
        <v/>
      </c>
      <c r="H19" s="31">
        <f>IF($B19="","",$F19-$G19)</f>
        <v/>
      </c>
      <c r="I19" s="34">
        <f>IF($B19="","",COUNTIFS(LdAParty,$B19,LdAType,1)+COUNTIFS(LdBMember,$B19)+COUNTIFS(LdCParty,$B19))</f>
        <v/>
      </c>
    </row>
    <row r="20">
      <c r="A20" s="10">
        <f>IF(ROW()-9&gt;NStaffE,"",ROW()-9)</f>
        <v/>
      </c>
      <c r="B20" s="37">
        <f>IF($A20="","",IF($A20&lt;=NStaffE,INDEX(PkStaffE,$A20),""))</f>
        <v/>
      </c>
      <c r="C20" s="14">
        <f>IF($B20="","",IFERROR(IF(VLOOKUP($B20,AcctTblE,4,0)="","(بدون نام)",VLOOKUP($B20,AcctTblE,4,0)),"—"))</f>
        <v/>
      </c>
      <c r="D20" s="14">
        <f>IF($B20="","",IFERROR(IF(VLOOKUP(IFERROR(VLOOKUP($B20,StaffTblE,2,0),""),WGTbl,2,0)="","—",VLOOKUP(IFERROR(VLOOKUP($B20,StaffTblE,2,0),""),WGTbl,2,0)),"—"))</f>
        <v/>
      </c>
      <c r="E20" s="14">
        <f>IF($B20="","",IFERROR(IF(VLOOKUP($B20,StaffTblE,3,0)="","—",VLOOKUP($B20,StaffTblE,3,0)),"—"))</f>
        <v/>
      </c>
      <c r="F20" s="16">
        <f>IF($B20="","",SUMIFS(LdAAmt,LdAParty,$B20,LdAType,1)+SUMIFS(LdBAmt,LdBMember,$B20))</f>
        <v/>
      </c>
      <c r="G20" s="16">
        <f>IF($B20="","",SUMIFS(LdCWit,LdCParty,$B20))</f>
        <v/>
      </c>
      <c r="H20" s="29">
        <f>IF($B20="","",$F20-$G20)</f>
        <v/>
      </c>
      <c r="I20" s="33">
        <f>IF($B20="","",COUNTIFS(LdAParty,$B20,LdAType,1)+COUNTIFS(LdBMember,$B20)+COUNTIFS(LdCParty,$B20))</f>
        <v/>
      </c>
    </row>
    <row r="21">
      <c r="A21" s="19">
        <f>IF(ROW()-9&gt;NStaffE,"",ROW()-9)</f>
        <v/>
      </c>
      <c r="B21" s="38">
        <f>IF($A21="","",IF($A21&lt;=NStaffE,INDEX(PkStaffE,$A21),""))</f>
        <v/>
      </c>
      <c r="C21" s="20">
        <f>IF($B21="","",IFERROR(IF(VLOOKUP($B21,AcctTblE,4,0)="","(بدون نام)",VLOOKUP($B21,AcctTblE,4,0)),"—"))</f>
        <v/>
      </c>
      <c r="D21" s="20">
        <f>IF($B21="","",IFERROR(IF(VLOOKUP(IFERROR(VLOOKUP($B21,StaffTblE,2,0),""),WGTbl,2,0)="","—",VLOOKUP(IFERROR(VLOOKUP($B21,StaffTblE,2,0),""),WGTbl,2,0)),"—"))</f>
        <v/>
      </c>
      <c r="E21" s="20">
        <f>IF($B21="","",IFERROR(IF(VLOOKUP($B21,StaffTblE,3,0)="","—",VLOOKUP($B21,StaffTblE,3,0)),"—"))</f>
        <v/>
      </c>
      <c r="F21" s="21">
        <f>IF($B21="","",SUMIFS(LdAAmt,LdAParty,$B21,LdAType,1)+SUMIFS(LdBAmt,LdBMember,$B21))</f>
        <v/>
      </c>
      <c r="G21" s="21">
        <f>IF($B21="","",SUMIFS(LdCWit,LdCParty,$B21))</f>
        <v/>
      </c>
      <c r="H21" s="31">
        <f>IF($B21="","",$F21-$G21)</f>
        <v/>
      </c>
      <c r="I21" s="34">
        <f>IF($B21="","",COUNTIFS(LdAParty,$B21,LdAType,1)+COUNTIFS(LdBMember,$B21)+COUNTIFS(LdCParty,$B21))</f>
        <v/>
      </c>
    </row>
    <row r="22">
      <c r="A22" s="10">
        <f>IF(ROW()-9&gt;NStaffE,"",ROW()-9)</f>
        <v/>
      </c>
      <c r="B22" s="37">
        <f>IF($A22="","",IF($A22&lt;=NStaffE,INDEX(PkStaffE,$A22),""))</f>
        <v/>
      </c>
      <c r="C22" s="14">
        <f>IF($B22="","",IFERROR(IF(VLOOKUP($B22,AcctTblE,4,0)="","(بدون نام)",VLOOKUP($B22,AcctTblE,4,0)),"—"))</f>
        <v/>
      </c>
      <c r="D22" s="14">
        <f>IF($B22="","",IFERROR(IF(VLOOKUP(IFERROR(VLOOKUP($B22,StaffTblE,2,0),""),WGTbl,2,0)="","—",VLOOKUP(IFERROR(VLOOKUP($B22,StaffTblE,2,0),""),WGTbl,2,0)),"—"))</f>
        <v/>
      </c>
      <c r="E22" s="14">
        <f>IF($B22="","",IFERROR(IF(VLOOKUP($B22,StaffTblE,3,0)="","—",VLOOKUP($B22,StaffTblE,3,0)),"—"))</f>
        <v/>
      </c>
      <c r="F22" s="16">
        <f>IF($B22="","",SUMIFS(LdAAmt,LdAParty,$B22,LdAType,1)+SUMIFS(LdBAmt,LdBMember,$B22))</f>
        <v/>
      </c>
      <c r="G22" s="16">
        <f>IF($B22="","",SUMIFS(LdCWit,LdCParty,$B22))</f>
        <v/>
      </c>
      <c r="H22" s="29">
        <f>IF($B22="","",$F22-$G22)</f>
        <v/>
      </c>
      <c r="I22" s="33">
        <f>IF($B22="","",COUNTIFS(LdAParty,$B22,LdAType,1)+COUNTIFS(LdBMember,$B22)+COUNTIFS(LdCParty,$B22))</f>
        <v/>
      </c>
    </row>
    <row r="23">
      <c r="A23" s="19">
        <f>IF(ROW()-9&gt;NStaffE,"",ROW()-9)</f>
        <v/>
      </c>
      <c r="B23" s="38">
        <f>IF($A23="","",IF($A23&lt;=NStaffE,INDEX(PkStaffE,$A23),""))</f>
        <v/>
      </c>
      <c r="C23" s="20">
        <f>IF($B23="","",IFERROR(IF(VLOOKUP($B23,AcctTblE,4,0)="","(بدون نام)",VLOOKUP($B23,AcctTblE,4,0)),"—"))</f>
        <v/>
      </c>
      <c r="D23" s="20">
        <f>IF($B23="","",IFERROR(IF(VLOOKUP(IFERROR(VLOOKUP($B23,StaffTblE,2,0),""),WGTbl,2,0)="","—",VLOOKUP(IFERROR(VLOOKUP($B23,StaffTblE,2,0),""),WGTbl,2,0)),"—"))</f>
        <v/>
      </c>
      <c r="E23" s="20">
        <f>IF($B23="","",IFERROR(IF(VLOOKUP($B23,StaffTblE,3,0)="","—",VLOOKUP($B23,StaffTblE,3,0)),"—"))</f>
        <v/>
      </c>
      <c r="F23" s="21">
        <f>IF($B23="","",SUMIFS(LdAAmt,LdAParty,$B23,LdAType,1)+SUMIFS(LdBAmt,LdBMember,$B23))</f>
        <v/>
      </c>
      <c r="G23" s="21">
        <f>IF($B23="","",SUMIFS(LdCWit,LdCParty,$B23))</f>
        <v/>
      </c>
      <c r="H23" s="31">
        <f>IF($B23="","",$F23-$G23)</f>
        <v/>
      </c>
      <c r="I23" s="34">
        <f>IF($B23="","",COUNTIFS(LdAParty,$B23,LdAType,1)+COUNTIFS(LdBMember,$B23)+COUNTIFS(LdCParty,$B23))</f>
        <v/>
      </c>
    </row>
    <row r="24">
      <c r="A24" s="10">
        <f>IF(ROW()-9&gt;NStaffE,"",ROW()-9)</f>
        <v/>
      </c>
      <c r="B24" s="37">
        <f>IF($A24="","",IF($A24&lt;=NStaffE,INDEX(PkStaffE,$A24),""))</f>
        <v/>
      </c>
      <c r="C24" s="14">
        <f>IF($B24="","",IFERROR(IF(VLOOKUP($B24,AcctTblE,4,0)="","(بدون نام)",VLOOKUP($B24,AcctTblE,4,0)),"—"))</f>
        <v/>
      </c>
      <c r="D24" s="14">
        <f>IF($B24="","",IFERROR(IF(VLOOKUP(IFERROR(VLOOKUP($B24,StaffTblE,2,0),""),WGTbl,2,0)="","—",VLOOKUP(IFERROR(VLOOKUP($B24,StaffTblE,2,0),""),WGTbl,2,0)),"—"))</f>
        <v/>
      </c>
      <c r="E24" s="14">
        <f>IF($B24="","",IFERROR(IF(VLOOKUP($B24,StaffTblE,3,0)="","—",VLOOKUP($B24,StaffTblE,3,0)),"—"))</f>
        <v/>
      </c>
      <c r="F24" s="16">
        <f>IF($B24="","",SUMIFS(LdAAmt,LdAParty,$B24,LdAType,1)+SUMIFS(LdBAmt,LdBMember,$B24))</f>
        <v/>
      </c>
      <c r="G24" s="16">
        <f>IF($B24="","",SUMIFS(LdCWit,LdCParty,$B24))</f>
        <v/>
      </c>
      <c r="H24" s="29">
        <f>IF($B24="","",$F24-$G24)</f>
        <v/>
      </c>
      <c r="I24" s="33">
        <f>IF($B24="","",COUNTIFS(LdAParty,$B24,LdAType,1)+COUNTIFS(LdBMember,$B24)+COUNTIFS(LdCParty,$B24))</f>
        <v/>
      </c>
    </row>
    <row r="25">
      <c r="A25" s="19">
        <f>IF(ROW()-9&gt;NStaffE,"",ROW()-9)</f>
        <v/>
      </c>
      <c r="B25" s="38">
        <f>IF($A25="","",IF($A25&lt;=NStaffE,INDEX(PkStaffE,$A25),""))</f>
        <v/>
      </c>
      <c r="C25" s="20">
        <f>IF($B25="","",IFERROR(IF(VLOOKUP($B25,AcctTblE,4,0)="","(بدون نام)",VLOOKUP($B25,AcctTblE,4,0)),"—"))</f>
        <v/>
      </c>
      <c r="D25" s="20">
        <f>IF($B25="","",IFERROR(IF(VLOOKUP(IFERROR(VLOOKUP($B25,StaffTblE,2,0),""),WGTbl,2,0)="","—",VLOOKUP(IFERROR(VLOOKUP($B25,StaffTblE,2,0),""),WGTbl,2,0)),"—"))</f>
        <v/>
      </c>
      <c r="E25" s="20">
        <f>IF($B25="","",IFERROR(IF(VLOOKUP($B25,StaffTblE,3,0)="","—",VLOOKUP($B25,StaffTblE,3,0)),"—"))</f>
        <v/>
      </c>
      <c r="F25" s="21">
        <f>IF($B25="","",SUMIFS(LdAAmt,LdAParty,$B25,LdAType,1)+SUMIFS(LdBAmt,LdBMember,$B25))</f>
        <v/>
      </c>
      <c r="G25" s="21">
        <f>IF($B25="","",SUMIFS(LdCWit,LdCParty,$B25))</f>
        <v/>
      </c>
      <c r="H25" s="31">
        <f>IF($B25="","",$F25-$G25)</f>
        <v/>
      </c>
      <c r="I25" s="34">
        <f>IF($B25="","",COUNTIFS(LdAParty,$B25,LdAType,1)+COUNTIFS(LdBMember,$B25)+COUNTIFS(LdCParty,$B25))</f>
        <v/>
      </c>
    </row>
    <row r="26">
      <c r="A26" s="10">
        <f>IF(ROW()-9&gt;NStaffE,"",ROW()-9)</f>
        <v/>
      </c>
      <c r="B26" s="37">
        <f>IF($A26="","",IF($A26&lt;=NStaffE,INDEX(PkStaffE,$A26),""))</f>
        <v/>
      </c>
      <c r="C26" s="14">
        <f>IF($B26="","",IFERROR(IF(VLOOKUP($B26,AcctTblE,4,0)="","(بدون نام)",VLOOKUP($B26,AcctTblE,4,0)),"—"))</f>
        <v/>
      </c>
      <c r="D26" s="14">
        <f>IF($B26="","",IFERROR(IF(VLOOKUP(IFERROR(VLOOKUP($B26,StaffTblE,2,0),""),WGTbl,2,0)="","—",VLOOKUP(IFERROR(VLOOKUP($B26,StaffTblE,2,0),""),WGTbl,2,0)),"—"))</f>
        <v/>
      </c>
      <c r="E26" s="14">
        <f>IF($B26="","",IFERROR(IF(VLOOKUP($B26,StaffTblE,3,0)="","—",VLOOKUP($B26,StaffTblE,3,0)),"—"))</f>
        <v/>
      </c>
      <c r="F26" s="16">
        <f>IF($B26="","",SUMIFS(LdAAmt,LdAParty,$B26,LdAType,1)+SUMIFS(LdBAmt,LdBMember,$B26))</f>
        <v/>
      </c>
      <c r="G26" s="16">
        <f>IF($B26="","",SUMIFS(LdCWit,LdCParty,$B26))</f>
        <v/>
      </c>
      <c r="H26" s="29">
        <f>IF($B26="","",$F26-$G26)</f>
        <v/>
      </c>
      <c r="I26" s="33">
        <f>IF($B26="","",COUNTIFS(LdAParty,$B26,LdAType,1)+COUNTIFS(LdBMember,$B26)+COUNTIFS(LdCParty,$B26))</f>
        <v/>
      </c>
    </row>
    <row r="27">
      <c r="A27" s="19">
        <f>IF(ROW()-9&gt;NStaffE,"",ROW()-9)</f>
        <v/>
      </c>
      <c r="B27" s="38">
        <f>IF($A27="","",IF($A27&lt;=NStaffE,INDEX(PkStaffE,$A27),""))</f>
        <v/>
      </c>
      <c r="C27" s="20">
        <f>IF($B27="","",IFERROR(IF(VLOOKUP($B27,AcctTblE,4,0)="","(بدون نام)",VLOOKUP($B27,AcctTblE,4,0)),"—"))</f>
        <v/>
      </c>
      <c r="D27" s="20">
        <f>IF($B27="","",IFERROR(IF(VLOOKUP(IFERROR(VLOOKUP($B27,StaffTblE,2,0),""),WGTbl,2,0)="","—",VLOOKUP(IFERROR(VLOOKUP($B27,StaffTblE,2,0),""),WGTbl,2,0)),"—"))</f>
        <v/>
      </c>
      <c r="E27" s="20">
        <f>IF($B27="","",IFERROR(IF(VLOOKUP($B27,StaffTblE,3,0)="","—",VLOOKUP($B27,StaffTblE,3,0)),"—"))</f>
        <v/>
      </c>
      <c r="F27" s="21">
        <f>IF($B27="","",SUMIFS(LdAAmt,LdAParty,$B27,LdAType,1)+SUMIFS(LdBAmt,LdBMember,$B27))</f>
        <v/>
      </c>
      <c r="G27" s="21">
        <f>IF($B27="","",SUMIFS(LdCWit,LdCParty,$B27))</f>
        <v/>
      </c>
      <c r="H27" s="31">
        <f>IF($B27="","",$F27-$G27)</f>
        <v/>
      </c>
      <c r="I27" s="34">
        <f>IF($B27="","",COUNTIFS(LdAParty,$B27,LdAType,1)+COUNTIFS(LdBMember,$B27)+COUNTIFS(LdCParty,$B27))</f>
        <v/>
      </c>
    </row>
    <row r="28">
      <c r="A28" s="10">
        <f>IF(ROW()-9&gt;NStaffE,"",ROW()-9)</f>
        <v/>
      </c>
      <c r="B28" s="37">
        <f>IF($A28="","",IF($A28&lt;=NStaffE,INDEX(PkStaffE,$A28),""))</f>
        <v/>
      </c>
      <c r="C28" s="14">
        <f>IF($B28="","",IFERROR(IF(VLOOKUP($B28,AcctTblE,4,0)="","(بدون نام)",VLOOKUP($B28,AcctTblE,4,0)),"—"))</f>
        <v/>
      </c>
      <c r="D28" s="14">
        <f>IF($B28="","",IFERROR(IF(VLOOKUP(IFERROR(VLOOKUP($B28,StaffTblE,2,0),""),WGTbl,2,0)="","—",VLOOKUP(IFERROR(VLOOKUP($B28,StaffTblE,2,0),""),WGTbl,2,0)),"—"))</f>
        <v/>
      </c>
      <c r="E28" s="14">
        <f>IF($B28="","",IFERROR(IF(VLOOKUP($B28,StaffTblE,3,0)="","—",VLOOKUP($B28,StaffTblE,3,0)),"—"))</f>
        <v/>
      </c>
      <c r="F28" s="16">
        <f>IF($B28="","",SUMIFS(LdAAmt,LdAParty,$B28,LdAType,1)+SUMIFS(LdBAmt,LdBMember,$B28))</f>
        <v/>
      </c>
      <c r="G28" s="16">
        <f>IF($B28="","",SUMIFS(LdCWit,LdCParty,$B28))</f>
        <v/>
      </c>
      <c r="H28" s="29">
        <f>IF($B28="","",$F28-$G28)</f>
        <v/>
      </c>
      <c r="I28" s="33">
        <f>IF($B28="","",COUNTIFS(LdAParty,$B28,LdAType,1)+COUNTIFS(LdBMember,$B28)+COUNTIFS(LdCParty,$B28))</f>
        <v/>
      </c>
    </row>
    <row r="29">
      <c r="A29" s="19">
        <f>IF(ROW()-9&gt;NStaffE,"",ROW()-9)</f>
        <v/>
      </c>
      <c r="B29" s="38">
        <f>IF($A29="","",IF($A29&lt;=NStaffE,INDEX(PkStaffE,$A29),""))</f>
        <v/>
      </c>
      <c r="C29" s="20">
        <f>IF($B29="","",IFERROR(IF(VLOOKUP($B29,AcctTblE,4,0)="","(بدون نام)",VLOOKUP($B29,AcctTblE,4,0)),"—"))</f>
        <v/>
      </c>
      <c r="D29" s="20">
        <f>IF($B29="","",IFERROR(IF(VLOOKUP(IFERROR(VLOOKUP($B29,StaffTblE,2,0),""),WGTbl,2,0)="","—",VLOOKUP(IFERROR(VLOOKUP($B29,StaffTblE,2,0),""),WGTbl,2,0)),"—"))</f>
        <v/>
      </c>
      <c r="E29" s="20">
        <f>IF($B29="","",IFERROR(IF(VLOOKUP($B29,StaffTblE,3,0)="","—",VLOOKUP($B29,StaffTblE,3,0)),"—"))</f>
        <v/>
      </c>
      <c r="F29" s="21">
        <f>IF($B29="","",SUMIFS(LdAAmt,LdAParty,$B29,LdAType,1)+SUMIFS(LdBAmt,LdBMember,$B29))</f>
        <v/>
      </c>
      <c r="G29" s="21">
        <f>IF($B29="","",SUMIFS(LdCWit,LdCParty,$B29))</f>
        <v/>
      </c>
      <c r="H29" s="31">
        <f>IF($B29="","",$F29-$G29)</f>
        <v/>
      </c>
      <c r="I29" s="34">
        <f>IF($B29="","",COUNTIFS(LdAParty,$B29,LdAType,1)+COUNTIFS(LdBMember,$B29)+COUNTIFS(LdCParty,$B29))</f>
        <v/>
      </c>
    </row>
    <row r="30">
      <c r="A30" s="10">
        <f>IF(ROW()-9&gt;NStaffE,"",ROW()-9)</f>
        <v/>
      </c>
      <c r="B30" s="37">
        <f>IF($A30="","",IF($A30&lt;=NStaffE,INDEX(PkStaffE,$A30),""))</f>
        <v/>
      </c>
      <c r="C30" s="14">
        <f>IF($B30="","",IFERROR(IF(VLOOKUP($B30,AcctTblE,4,0)="","(بدون نام)",VLOOKUP($B30,AcctTblE,4,0)),"—"))</f>
        <v/>
      </c>
      <c r="D30" s="14">
        <f>IF($B30="","",IFERROR(IF(VLOOKUP(IFERROR(VLOOKUP($B30,StaffTblE,2,0),""),WGTbl,2,0)="","—",VLOOKUP(IFERROR(VLOOKUP($B30,StaffTblE,2,0),""),WGTbl,2,0)),"—"))</f>
        <v/>
      </c>
      <c r="E30" s="14">
        <f>IF($B30="","",IFERROR(IF(VLOOKUP($B30,StaffTblE,3,0)="","—",VLOOKUP($B30,StaffTblE,3,0)),"—"))</f>
        <v/>
      </c>
      <c r="F30" s="16">
        <f>IF($B30="","",SUMIFS(LdAAmt,LdAParty,$B30,LdAType,1)+SUMIFS(LdBAmt,LdBMember,$B30))</f>
        <v/>
      </c>
      <c r="G30" s="16">
        <f>IF($B30="","",SUMIFS(LdCWit,LdCParty,$B30))</f>
        <v/>
      </c>
      <c r="H30" s="29">
        <f>IF($B30="","",$F30-$G30)</f>
        <v/>
      </c>
      <c r="I30" s="33">
        <f>IF($B30="","",COUNTIFS(LdAParty,$B30,LdAType,1)+COUNTIFS(LdBMember,$B30)+COUNTIFS(LdCParty,$B30))</f>
        <v/>
      </c>
    </row>
    <row r="31">
      <c r="A31" s="19">
        <f>IF(ROW()-9&gt;NStaffE,"",ROW()-9)</f>
        <v/>
      </c>
      <c r="B31" s="38">
        <f>IF($A31="","",IF($A31&lt;=NStaffE,INDEX(PkStaffE,$A31),""))</f>
        <v/>
      </c>
      <c r="C31" s="20">
        <f>IF($B31="","",IFERROR(IF(VLOOKUP($B31,AcctTblE,4,0)="","(بدون نام)",VLOOKUP($B31,AcctTblE,4,0)),"—"))</f>
        <v/>
      </c>
      <c r="D31" s="20">
        <f>IF($B31="","",IFERROR(IF(VLOOKUP(IFERROR(VLOOKUP($B31,StaffTblE,2,0),""),WGTbl,2,0)="","—",VLOOKUP(IFERROR(VLOOKUP($B31,StaffTblE,2,0),""),WGTbl,2,0)),"—"))</f>
        <v/>
      </c>
      <c r="E31" s="20">
        <f>IF($B31="","",IFERROR(IF(VLOOKUP($B31,StaffTblE,3,0)="","—",VLOOKUP($B31,StaffTblE,3,0)),"—"))</f>
        <v/>
      </c>
      <c r="F31" s="21">
        <f>IF($B31="","",SUMIFS(LdAAmt,LdAParty,$B31,LdAType,1)+SUMIFS(LdBAmt,LdBMember,$B31))</f>
        <v/>
      </c>
      <c r="G31" s="21">
        <f>IF($B31="","",SUMIFS(LdCWit,LdCParty,$B31))</f>
        <v/>
      </c>
      <c r="H31" s="31">
        <f>IF($B31="","",$F31-$G31)</f>
        <v/>
      </c>
      <c r="I31" s="34">
        <f>IF($B31="","",COUNTIFS(LdAParty,$B31,LdAType,1)+COUNTIFS(LdBMember,$B31)+COUNTIFS(LdCParty,$B31))</f>
        <v/>
      </c>
    </row>
    <row r="32">
      <c r="A32" s="10">
        <f>IF(ROW()-9&gt;NStaffE,"",ROW()-9)</f>
        <v/>
      </c>
      <c r="B32" s="37">
        <f>IF($A32="","",IF($A32&lt;=NStaffE,INDEX(PkStaffE,$A32),""))</f>
        <v/>
      </c>
      <c r="C32" s="14">
        <f>IF($B32="","",IFERROR(IF(VLOOKUP($B32,AcctTblE,4,0)="","(بدون نام)",VLOOKUP($B32,AcctTblE,4,0)),"—"))</f>
        <v/>
      </c>
      <c r="D32" s="14">
        <f>IF($B32="","",IFERROR(IF(VLOOKUP(IFERROR(VLOOKUP($B32,StaffTblE,2,0),""),WGTbl,2,0)="","—",VLOOKUP(IFERROR(VLOOKUP($B32,StaffTblE,2,0),""),WGTbl,2,0)),"—"))</f>
        <v/>
      </c>
      <c r="E32" s="14">
        <f>IF($B32="","",IFERROR(IF(VLOOKUP($B32,StaffTblE,3,0)="","—",VLOOKUP($B32,StaffTblE,3,0)),"—"))</f>
        <v/>
      </c>
      <c r="F32" s="16">
        <f>IF($B32="","",SUMIFS(LdAAmt,LdAParty,$B32,LdAType,1)+SUMIFS(LdBAmt,LdBMember,$B32))</f>
        <v/>
      </c>
      <c r="G32" s="16">
        <f>IF($B32="","",SUMIFS(LdCWit,LdCParty,$B32))</f>
        <v/>
      </c>
      <c r="H32" s="29">
        <f>IF($B32="","",$F32-$G32)</f>
        <v/>
      </c>
      <c r="I32" s="33">
        <f>IF($B32="","",COUNTIFS(LdAParty,$B32,LdAType,1)+COUNTIFS(LdBMember,$B32)+COUNTIFS(LdCParty,$B32))</f>
        <v/>
      </c>
    </row>
    <row r="33">
      <c r="A33" s="19">
        <f>IF(ROW()-9&gt;NStaffE,"",ROW()-9)</f>
        <v/>
      </c>
      <c r="B33" s="38">
        <f>IF($A33="","",IF($A33&lt;=NStaffE,INDEX(PkStaffE,$A33),""))</f>
        <v/>
      </c>
      <c r="C33" s="20">
        <f>IF($B33="","",IFERROR(IF(VLOOKUP($B33,AcctTblE,4,0)="","(بدون نام)",VLOOKUP($B33,AcctTblE,4,0)),"—"))</f>
        <v/>
      </c>
      <c r="D33" s="20">
        <f>IF($B33="","",IFERROR(IF(VLOOKUP(IFERROR(VLOOKUP($B33,StaffTblE,2,0),""),WGTbl,2,0)="","—",VLOOKUP(IFERROR(VLOOKUP($B33,StaffTblE,2,0),""),WGTbl,2,0)),"—"))</f>
        <v/>
      </c>
      <c r="E33" s="20">
        <f>IF($B33="","",IFERROR(IF(VLOOKUP($B33,StaffTblE,3,0)="","—",VLOOKUP($B33,StaffTblE,3,0)),"—"))</f>
        <v/>
      </c>
      <c r="F33" s="21">
        <f>IF($B33="","",SUMIFS(LdAAmt,LdAParty,$B33,LdAType,1)+SUMIFS(LdBAmt,LdBMember,$B33))</f>
        <v/>
      </c>
      <c r="G33" s="21">
        <f>IF($B33="","",SUMIFS(LdCWit,LdCParty,$B33))</f>
        <v/>
      </c>
      <c r="H33" s="31">
        <f>IF($B33="","",$F33-$G33)</f>
        <v/>
      </c>
      <c r="I33" s="34">
        <f>IF($B33="","",COUNTIFS(LdAParty,$B33,LdAType,1)+COUNTIFS(LdBMember,$B33)+COUNTIFS(LdCParty,$B33))</f>
        <v/>
      </c>
    </row>
    <row r="34">
      <c r="A34" s="10">
        <f>IF(ROW()-9&gt;NStaffE,"",ROW()-9)</f>
        <v/>
      </c>
      <c r="B34" s="37">
        <f>IF($A34="","",IF($A34&lt;=NStaffE,INDEX(PkStaffE,$A34),""))</f>
        <v/>
      </c>
      <c r="C34" s="14">
        <f>IF($B34="","",IFERROR(IF(VLOOKUP($B34,AcctTblE,4,0)="","(بدون نام)",VLOOKUP($B34,AcctTblE,4,0)),"—"))</f>
        <v/>
      </c>
      <c r="D34" s="14">
        <f>IF($B34="","",IFERROR(IF(VLOOKUP(IFERROR(VLOOKUP($B34,StaffTblE,2,0),""),WGTbl,2,0)="","—",VLOOKUP(IFERROR(VLOOKUP($B34,StaffTblE,2,0),""),WGTbl,2,0)),"—"))</f>
        <v/>
      </c>
      <c r="E34" s="14">
        <f>IF($B34="","",IFERROR(IF(VLOOKUP($B34,StaffTblE,3,0)="","—",VLOOKUP($B34,StaffTblE,3,0)),"—"))</f>
        <v/>
      </c>
      <c r="F34" s="16">
        <f>IF($B34="","",SUMIFS(LdAAmt,LdAParty,$B34,LdAType,1)+SUMIFS(LdBAmt,LdBMember,$B34))</f>
        <v/>
      </c>
      <c r="G34" s="16">
        <f>IF($B34="","",SUMIFS(LdCWit,LdCParty,$B34))</f>
        <v/>
      </c>
      <c r="H34" s="29">
        <f>IF($B34="","",$F34-$G34)</f>
        <v/>
      </c>
      <c r="I34" s="33">
        <f>IF($B34="","",COUNTIFS(LdAParty,$B34,LdAType,1)+COUNTIFS(LdBMember,$B34)+COUNTIFS(LdCParty,$B34))</f>
        <v/>
      </c>
    </row>
    <row r="35">
      <c r="A35" s="19">
        <f>IF(ROW()-9&gt;NStaffE,"",ROW()-9)</f>
        <v/>
      </c>
      <c r="B35" s="38">
        <f>IF($A35="","",IF($A35&lt;=NStaffE,INDEX(PkStaffE,$A35),""))</f>
        <v/>
      </c>
      <c r="C35" s="20">
        <f>IF($B35="","",IFERROR(IF(VLOOKUP($B35,AcctTblE,4,0)="","(بدون نام)",VLOOKUP($B35,AcctTblE,4,0)),"—"))</f>
        <v/>
      </c>
      <c r="D35" s="20">
        <f>IF($B35="","",IFERROR(IF(VLOOKUP(IFERROR(VLOOKUP($B35,StaffTblE,2,0),""),WGTbl,2,0)="","—",VLOOKUP(IFERROR(VLOOKUP($B35,StaffTblE,2,0),""),WGTbl,2,0)),"—"))</f>
        <v/>
      </c>
      <c r="E35" s="20">
        <f>IF($B35="","",IFERROR(IF(VLOOKUP($B35,StaffTblE,3,0)="","—",VLOOKUP($B35,StaffTblE,3,0)),"—"))</f>
        <v/>
      </c>
      <c r="F35" s="21">
        <f>IF($B35="","",SUMIFS(LdAAmt,LdAParty,$B35,LdAType,1)+SUMIFS(LdBAmt,LdBMember,$B35))</f>
        <v/>
      </c>
      <c r="G35" s="21">
        <f>IF($B35="","",SUMIFS(LdCWit,LdCParty,$B35))</f>
        <v/>
      </c>
      <c r="H35" s="31">
        <f>IF($B35="","",$F35-$G35)</f>
        <v/>
      </c>
      <c r="I35" s="34">
        <f>IF($B35="","",COUNTIFS(LdAParty,$B35,LdAType,1)+COUNTIFS(LdBMember,$B35)+COUNTIFS(LdCParty,$B35))</f>
        <v/>
      </c>
    </row>
    <row r="36">
      <c r="A36" s="10">
        <f>IF(ROW()-9&gt;NStaffE,"",ROW()-9)</f>
        <v/>
      </c>
      <c r="B36" s="37">
        <f>IF($A36="","",IF($A36&lt;=NStaffE,INDEX(PkStaffE,$A36),""))</f>
        <v/>
      </c>
      <c r="C36" s="14">
        <f>IF($B36="","",IFERROR(IF(VLOOKUP($B36,AcctTblE,4,0)="","(بدون نام)",VLOOKUP($B36,AcctTblE,4,0)),"—"))</f>
        <v/>
      </c>
      <c r="D36" s="14">
        <f>IF($B36="","",IFERROR(IF(VLOOKUP(IFERROR(VLOOKUP($B36,StaffTblE,2,0),""),WGTbl,2,0)="","—",VLOOKUP(IFERROR(VLOOKUP($B36,StaffTblE,2,0),""),WGTbl,2,0)),"—"))</f>
        <v/>
      </c>
      <c r="E36" s="14">
        <f>IF($B36="","",IFERROR(IF(VLOOKUP($B36,StaffTblE,3,0)="","—",VLOOKUP($B36,StaffTblE,3,0)),"—"))</f>
        <v/>
      </c>
      <c r="F36" s="16">
        <f>IF($B36="","",SUMIFS(LdAAmt,LdAParty,$B36,LdAType,1)+SUMIFS(LdBAmt,LdBMember,$B36))</f>
        <v/>
      </c>
      <c r="G36" s="16">
        <f>IF($B36="","",SUMIFS(LdCWit,LdCParty,$B36))</f>
        <v/>
      </c>
      <c r="H36" s="29">
        <f>IF($B36="","",$F36-$G36)</f>
        <v/>
      </c>
      <c r="I36" s="33">
        <f>IF($B36="","",COUNTIFS(LdAParty,$B36,LdAType,1)+COUNTIFS(LdBMember,$B36)+COUNTIFS(LdCParty,$B36))</f>
        <v/>
      </c>
    </row>
    <row r="37">
      <c r="A37" s="19">
        <f>IF(ROW()-9&gt;NStaffE,"",ROW()-9)</f>
        <v/>
      </c>
      <c r="B37" s="38">
        <f>IF($A37="","",IF($A37&lt;=NStaffE,INDEX(PkStaffE,$A37),""))</f>
        <v/>
      </c>
      <c r="C37" s="20">
        <f>IF($B37="","",IFERROR(IF(VLOOKUP($B37,AcctTblE,4,0)="","(بدون نام)",VLOOKUP($B37,AcctTblE,4,0)),"—"))</f>
        <v/>
      </c>
      <c r="D37" s="20">
        <f>IF($B37="","",IFERROR(IF(VLOOKUP(IFERROR(VLOOKUP($B37,StaffTblE,2,0),""),WGTbl,2,0)="","—",VLOOKUP(IFERROR(VLOOKUP($B37,StaffTblE,2,0),""),WGTbl,2,0)),"—"))</f>
        <v/>
      </c>
      <c r="E37" s="20">
        <f>IF($B37="","",IFERROR(IF(VLOOKUP($B37,StaffTblE,3,0)="","—",VLOOKUP($B37,StaffTblE,3,0)),"—"))</f>
        <v/>
      </c>
      <c r="F37" s="21">
        <f>IF($B37="","",SUMIFS(LdAAmt,LdAParty,$B37,LdAType,1)+SUMIFS(LdBAmt,LdBMember,$B37))</f>
        <v/>
      </c>
      <c r="G37" s="21">
        <f>IF($B37="","",SUMIFS(LdCWit,LdCParty,$B37))</f>
        <v/>
      </c>
      <c r="H37" s="31">
        <f>IF($B37="","",$F37-$G37)</f>
        <v/>
      </c>
      <c r="I37" s="34">
        <f>IF($B37="","",COUNTIFS(LdAParty,$B37,LdAType,1)+COUNTIFS(LdBMember,$B37)+COUNTIFS(LdCParty,$B37))</f>
        <v/>
      </c>
    </row>
    <row r="38">
      <c r="A38" s="10">
        <f>IF(ROW()-9&gt;NStaffE,"",ROW()-9)</f>
        <v/>
      </c>
      <c r="B38" s="37">
        <f>IF($A38="","",IF($A38&lt;=NStaffE,INDEX(PkStaffE,$A38),""))</f>
        <v/>
      </c>
      <c r="C38" s="14">
        <f>IF($B38="","",IFERROR(IF(VLOOKUP($B38,AcctTblE,4,0)="","(بدون نام)",VLOOKUP($B38,AcctTblE,4,0)),"—"))</f>
        <v/>
      </c>
      <c r="D38" s="14">
        <f>IF($B38="","",IFERROR(IF(VLOOKUP(IFERROR(VLOOKUP($B38,StaffTblE,2,0),""),WGTbl,2,0)="","—",VLOOKUP(IFERROR(VLOOKUP($B38,StaffTblE,2,0),""),WGTbl,2,0)),"—"))</f>
        <v/>
      </c>
      <c r="E38" s="14">
        <f>IF($B38="","",IFERROR(IF(VLOOKUP($B38,StaffTblE,3,0)="","—",VLOOKUP($B38,StaffTblE,3,0)),"—"))</f>
        <v/>
      </c>
      <c r="F38" s="16">
        <f>IF($B38="","",SUMIFS(LdAAmt,LdAParty,$B38,LdAType,1)+SUMIFS(LdBAmt,LdBMember,$B38))</f>
        <v/>
      </c>
      <c r="G38" s="16">
        <f>IF($B38="","",SUMIFS(LdCWit,LdCParty,$B38))</f>
        <v/>
      </c>
      <c r="H38" s="29">
        <f>IF($B38="","",$F38-$G38)</f>
        <v/>
      </c>
      <c r="I38" s="33">
        <f>IF($B38="","",COUNTIFS(LdAParty,$B38,LdAType,1)+COUNTIFS(LdBMember,$B38)+COUNTIFS(LdCParty,$B38))</f>
        <v/>
      </c>
    </row>
    <row r="39">
      <c r="A39" s="19">
        <f>IF(ROW()-9&gt;NStaffE,"",ROW()-9)</f>
        <v/>
      </c>
      <c r="B39" s="38">
        <f>IF($A39="","",IF($A39&lt;=NStaffE,INDEX(PkStaffE,$A39),""))</f>
        <v/>
      </c>
      <c r="C39" s="20">
        <f>IF($B39="","",IFERROR(IF(VLOOKUP($B39,AcctTblE,4,0)="","(بدون نام)",VLOOKUP($B39,AcctTblE,4,0)),"—"))</f>
        <v/>
      </c>
      <c r="D39" s="20">
        <f>IF($B39="","",IFERROR(IF(VLOOKUP(IFERROR(VLOOKUP($B39,StaffTblE,2,0),""),WGTbl,2,0)="","—",VLOOKUP(IFERROR(VLOOKUP($B39,StaffTblE,2,0),""),WGTbl,2,0)),"—"))</f>
        <v/>
      </c>
      <c r="E39" s="20">
        <f>IF($B39="","",IFERROR(IF(VLOOKUP($B39,StaffTblE,3,0)="","—",VLOOKUP($B39,StaffTblE,3,0)),"—"))</f>
        <v/>
      </c>
      <c r="F39" s="21">
        <f>IF($B39="","",SUMIFS(LdAAmt,LdAParty,$B39,LdAType,1)+SUMIFS(LdBAmt,LdBMember,$B39))</f>
        <v/>
      </c>
      <c r="G39" s="21">
        <f>IF($B39="","",SUMIFS(LdCWit,LdCParty,$B39))</f>
        <v/>
      </c>
      <c r="H39" s="31">
        <f>IF($B39="","",$F39-$G39)</f>
        <v/>
      </c>
      <c r="I39" s="34">
        <f>IF($B39="","",COUNTIFS(LdAParty,$B39,LdAType,1)+COUNTIFS(LdBMember,$B39)+COUNTIFS(LdCParty,$B39))</f>
        <v/>
      </c>
    </row>
    <row r="40">
      <c r="A40" s="10">
        <f>IF(ROW()-9&gt;NStaffE,"",ROW()-9)</f>
        <v/>
      </c>
      <c r="B40" s="37">
        <f>IF($A40="","",IF($A40&lt;=NStaffE,INDEX(PkStaffE,$A40),""))</f>
        <v/>
      </c>
      <c r="C40" s="14">
        <f>IF($B40="","",IFERROR(IF(VLOOKUP($B40,AcctTblE,4,0)="","(بدون نام)",VLOOKUP($B40,AcctTblE,4,0)),"—"))</f>
        <v/>
      </c>
      <c r="D40" s="14">
        <f>IF($B40="","",IFERROR(IF(VLOOKUP(IFERROR(VLOOKUP($B40,StaffTblE,2,0),""),WGTbl,2,0)="","—",VLOOKUP(IFERROR(VLOOKUP($B40,StaffTblE,2,0),""),WGTbl,2,0)),"—"))</f>
        <v/>
      </c>
      <c r="E40" s="14">
        <f>IF($B40="","",IFERROR(IF(VLOOKUP($B40,StaffTblE,3,0)="","—",VLOOKUP($B40,StaffTblE,3,0)),"—"))</f>
        <v/>
      </c>
      <c r="F40" s="16">
        <f>IF($B40="","",SUMIFS(LdAAmt,LdAParty,$B40,LdAType,1)+SUMIFS(LdBAmt,LdBMember,$B40))</f>
        <v/>
      </c>
      <c r="G40" s="16">
        <f>IF($B40="","",SUMIFS(LdCWit,LdCParty,$B40))</f>
        <v/>
      </c>
      <c r="H40" s="29">
        <f>IF($B40="","",$F40-$G40)</f>
        <v/>
      </c>
      <c r="I40" s="33">
        <f>IF($B40="","",COUNTIFS(LdAParty,$B40,LdAType,1)+COUNTIFS(LdBMember,$B40)+COUNTIFS(LdCParty,$B40))</f>
        <v/>
      </c>
    </row>
    <row r="41">
      <c r="A41" s="19">
        <f>IF(ROW()-9&gt;NStaffE,"",ROW()-9)</f>
        <v/>
      </c>
      <c r="B41" s="38">
        <f>IF($A41="","",IF($A41&lt;=NStaffE,INDEX(PkStaffE,$A41),""))</f>
        <v/>
      </c>
      <c r="C41" s="20">
        <f>IF($B41="","",IFERROR(IF(VLOOKUP($B41,AcctTblE,4,0)="","(بدون نام)",VLOOKUP($B41,AcctTblE,4,0)),"—"))</f>
        <v/>
      </c>
      <c r="D41" s="20">
        <f>IF($B41="","",IFERROR(IF(VLOOKUP(IFERROR(VLOOKUP($B41,StaffTblE,2,0),""),WGTbl,2,0)="","—",VLOOKUP(IFERROR(VLOOKUP($B41,StaffTblE,2,0),""),WGTbl,2,0)),"—"))</f>
        <v/>
      </c>
      <c r="E41" s="20">
        <f>IF($B41="","",IFERROR(IF(VLOOKUP($B41,StaffTblE,3,0)="","—",VLOOKUP($B41,StaffTblE,3,0)),"—"))</f>
        <v/>
      </c>
      <c r="F41" s="21">
        <f>IF($B41="","",SUMIFS(LdAAmt,LdAParty,$B41,LdAType,1)+SUMIFS(LdBAmt,LdBMember,$B41))</f>
        <v/>
      </c>
      <c r="G41" s="21">
        <f>IF($B41="","",SUMIFS(LdCWit,LdCParty,$B41))</f>
        <v/>
      </c>
      <c r="H41" s="31">
        <f>IF($B41="","",$F41-$G41)</f>
        <v/>
      </c>
      <c r="I41" s="34">
        <f>IF($B41="","",COUNTIFS(LdAParty,$B41,LdAType,1)+COUNTIFS(LdBMember,$B41)+COUNTIFS(LdCParty,$B41))</f>
        <v/>
      </c>
    </row>
    <row r="42">
      <c r="A42" s="10">
        <f>IF(ROW()-9&gt;NStaffE,"",ROW()-9)</f>
        <v/>
      </c>
      <c r="B42" s="37">
        <f>IF($A42="","",IF($A42&lt;=NStaffE,INDEX(PkStaffE,$A42),""))</f>
        <v/>
      </c>
      <c r="C42" s="14">
        <f>IF($B42="","",IFERROR(IF(VLOOKUP($B42,AcctTblE,4,0)="","(بدون نام)",VLOOKUP($B42,AcctTblE,4,0)),"—"))</f>
        <v/>
      </c>
      <c r="D42" s="14">
        <f>IF($B42="","",IFERROR(IF(VLOOKUP(IFERROR(VLOOKUP($B42,StaffTblE,2,0),""),WGTbl,2,0)="","—",VLOOKUP(IFERROR(VLOOKUP($B42,StaffTblE,2,0),""),WGTbl,2,0)),"—"))</f>
        <v/>
      </c>
      <c r="E42" s="14">
        <f>IF($B42="","",IFERROR(IF(VLOOKUP($B42,StaffTblE,3,0)="","—",VLOOKUP($B42,StaffTblE,3,0)),"—"))</f>
        <v/>
      </c>
      <c r="F42" s="16">
        <f>IF($B42="","",SUMIFS(LdAAmt,LdAParty,$B42,LdAType,1)+SUMIFS(LdBAmt,LdBMember,$B42))</f>
        <v/>
      </c>
      <c r="G42" s="16">
        <f>IF($B42="","",SUMIFS(LdCWit,LdCParty,$B42))</f>
        <v/>
      </c>
      <c r="H42" s="29">
        <f>IF($B42="","",$F42-$G42)</f>
        <v/>
      </c>
      <c r="I42" s="33">
        <f>IF($B42="","",COUNTIFS(LdAParty,$B42,LdAType,1)+COUNTIFS(LdBMember,$B42)+COUNTIFS(LdCParty,$B42))</f>
        <v/>
      </c>
    </row>
    <row r="43">
      <c r="A43" s="19">
        <f>IF(ROW()-9&gt;NStaffE,"",ROW()-9)</f>
        <v/>
      </c>
      <c r="B43" s="38">
        <f>IF($A43="","",IF($A43&lt;=NStaffE,INDEX(PkStaffE,$A43),""))</f>
        <v/>
      </c>
      <c r="C43" s="20">
        <f>IF($B43="","",IFERROR(IF(VLOOKUP($B43,AcctTblE,4,0)="","(بدون نام)",VLOOKUP($B43,AcctTblE,4,0)),"—"))</f>
        <v/>
      </c>
      <c r="D43" s="20">
        <f>IF($B43="","",IFERROR(IF(VLOOKUP(IFERROR(VLOOKUP($B43,StaffTblE,2,0),""),WGTbl,2,0)="","—",VLOOKUP(IFERROR(VLOOKUP($B43,StaffTblE,2,0),""),WGTbl,2,0)),"—"))</f>
        <v/>
      </c>
      <c r="E43" s="20">
        <f>IF($B43="","",IFERROR(IF(VLOOKUP($B43,StaffTblE,3,0)="","—",VLOOKUP($B43,StaffTblE,3,0)),"—"))</f>
        <v/>
      </c>
      <c r="F43" s="21">
        <f>IF($B43="","",SUMIFS(LdAAmt,LdAParty,$B43,LdAType,1)+SUMIFS(LdBAmt,LdBMember,$B43))</f>
        <v/>
      </c>
      <c r="G43" s="21">
        <f>IF($B43="","",SUMIFS(LdCWit,LdCParty,$B43))</f>
        <v/>
      </c>
      <c r="H43" s="31">
        <f>IF($B43="","",$F43-$G43)</f>
        <v/>
      </c>
      <c r="I43" s="34">
        <f>IF($B43="","",COUNTIFS(LdAParty,$B43,LdAType,1)+COUNTIFS(LdBMember,$B43)+COUNTIFS(LdCParty,$B43))</f>
        <v/>
      </c>
    </row>
    <row r="44">
      <c r="A44" s="10">
        <f>IF(ROW()-9&gt;NStaffE,"",ROW()-9)</f>
        <v/>
      </c>
      <c r="B44" s="37">
        <f>IF($A44="","",IF($A44&lt;=NStaffE,INDEX(PkStaffE,$A44),""))</f>
        <v/>
      </c>
      <c r="C44" s="14">
        <f>IF($B44="","",IFERROR(IF(VLOOKUP($B44,AcctTblE,4,0)="","(بدون نام)",VLOOKUP($B44,AcctTblE,4,0)),"—"))</f>
        <v/>
      </c>
      <c r="D44" s="14">
        <f>IF($B44="","",IFERROR(IF(VLOOKUP(IFERROR(VLOOKUP($B44,StaffTblE,2,0),""),WGTbl,2,0)="","—",VLOOKUP(IFERROR(VLOOKUP($B44,StaffTblE,2,0),""),WGTbl,2,0)),"—"))</f>
        <v/>
      </c>
      <c r="E44" s="14">
        <f>IF($B44="","",IFERROR(IF(VLOOKUP($B44,StaffTblE,3,0)="","—",VLOOKUP($B44,StaffTblE,3,0)),"—"))</f>
        <v/>
      </c>
      <c r="F44" s="16">
        <f>IF($B44="","",SUMIFS(LdAAmt,LdAParty,$B44,LdAType,1)+SUMIFS(LdBAmt,LdBMember,$B44))</f>
        <v/>
      </c>
      <c r="G44" s="16">
        <f>IF($B44="","",SUMIFS(LdCWit,LdCParty,$B44))</f>
        <v/>
      </c>
      <c r="H44" s="29">
        <f>IF($B44="","",$F44-$G44)</f>
        <v/>
      </c>
      <c r="I44" s="33">
        <f>IF($B44="","",COUNTIFS(LdAParty,$B44,LdAType,1)+COUNTIFS(LdBMember,$B44)+COUNTIFS(LdCParty,$B44))</f>
        <v/>
      </c>
    </row>
    <row r="45">
      <c r="A45" s="19">
        <f>IF(ROW()-9&gt;NStaffE,"",ROW()-9)</f>
        <v/>
      </c>
      <c r="B45" s="38">
        <f>IF($A45="","",IF($A45&lt;=NStaffE,INDEX(PkStaffE,$A45),""))</f>
        <v/>
      </c>
      <c r="C45" s="20">
        <f>IF($B45="","",IFERROR(IF(VLOOKUP($B45,AcctTblE,4,0)="","(بدون نام)",VLOOKUP($B45,AcctTblE,4,0)),"—"))</f>
        <v/>
      </c>
      <c r="D45" s="20">
        <f>IF($B45="","",IFERROR(IF(VLOOKUP(IFERROR(VLOOKUP($B45,StaffTblE,2,0),""),WGTbl,2,0)="","—",VLOOKUP(IFERROR(VLOOKUP($B45,StaffTblE,2,0),""),WGTbl,2,0)),"—"))</f>
        <v/>
      </c>
      <c r="E45" s="20">
        <f>IF($B45="","",IFERROR(IF(VLOOKUP($B45,StaffTblE,3,0)="","—",VLOOKUP($B45,StaffTblE,3,0)),"—"))</f>
        <v/>
      </c>
      <c r="F45" s="21">
        <f>IF($B45="","",SUMIFS(LdAAmt,LdAParty,$B45,LdAType,1)+SUMIFS(LdBAmt,LdBMember,$B45))</f>
        <v/>
      </c>
      <c r="G45" s="21">
        <f>IF($B45="","",SUMIFS(LdCWit,LdCParty,$B45))</f>
        <v/>
      </c>
      <c r="H45" s="31">
        <f>IF($B45="","",$F45-$G45)</f>
        <v/>
      </c>
      <c r="I45" s="34">
        <f>IF($B45="","",COUNTIFS(LdAParty,$B45,LdAType,1)+COUNTIFS(LdBMember,$B45)+COUNTIFS(LdCParty,$B45))</f>
        <v/>
      </c>
    </row>
    <row r="46">
      <c r="A46" s="10">
        <f>IF(ROW()-9&gt;NStaffE,"",ROW()-9)</f>
        <v/>
      </c>
      <c r="B46" s="37">
        <f>IF($A46="","",IF($A46&lt;=NStaffE,INDEX(PkStaffE,$A46),""))</f>
        <v/>
      </c>
      <c r="C46" s="14">
        <f>IF($B46="","",IFERROR(IF(VLOOKUP($B46,AcctTblE,4,0)="","(بدون نام)",VLOOKUP($B46,AcctTblE,4,0)),"—"))</f>
        <v/>
      </c>
      <c r="D46" s="14">
        <f>IF($B46="","",IFERROR(IF(VLOOKUP(IFERROR(VLOOKUP($B46,StaffTblE,2,0),""),WGTbl,2,0)="","—",VLOOKUP(IFERROR(VLOOKUP($B46,StaffTblE,2,0),""),WGTbl,2,0)),"—"))</f>
        <v/>
      </c>
      <c r="E46" s="14">
        <f>IF($B46="","",IFERROR(IF(VLOOKUP($B46,StaffTblE,3,0)="","—",VLOOKUP($B46,StaffTblE,3,0)),"—"))</f>
        <v/>
      </c>
      <c r="F46" s="16">
        <f>IF($B46="","",SUMIFS(LdAAmt,LdAParty,$B46,LdAType,1)+SUMIFS(LdBAmt,LdBMember,$B46))</f>
        <v/>
      </c>
      <c r="G46" s="16">
        <f>IF($B46="","",SUMIFS(LdCWit,LdCParty,$B46))</f>
        <v/>
      </c>
      <c r="H46" s="29">
        <f>IF($B46="","",$F46-$G46)</f>
        <v/>
      </c>
      <c r="I46" s="33">
        <f>IF($B46="","",COUNTIFS(LdAParty,$B46,LdAType,1)+COUNTIFS(LdBMember,$B46)+COUNTIFS(LdCParty,$B46))</f>
        <v/>
      </c>
    </row>
    <row r="47">
      <c r="A47" s="19">
        <f>IF(ROW()-9&gt;NStaffE,"",ROW()-9)</f>
        <v/>
      </c>
      <c r="B47" s="38">
        <f>IF($A47="","",IF($A47&lt;=NStaffE,INDEX(PkStaffE,$A47),""))</f>
        <v/>
      </c>
      <c r="C47" s="20">
        <f>IF($B47="","",IFERROR(IF(VLOOKUP($B47,AcctTblE,4,0)="","(بدون نام)",VLOOKUP($B47,AcctTblE,4,0)),"—"))</f>
        <v/>
      </c>
      <c r="D47" s="20">
        <f>IF($B47="","",IFERROR(IF(VLOOKUP(IFERROR(VLOOKUP($B47,StaffTblE,2,0),""),WGTbl,2,0)="","—",VLOOKUP(IFERROR(VLOOKUP($B47,StaffTblE,2,0),""),WGTbl,2,0)),"—"))</f>
        <v/>
      </c>
      <c r="E47" s="20">
        <f>IF($B47="","",IFERROR(IF(VLOOKUP($B47,StaffTblE,3,0)="","—",VLOOKUP($B47,StaffTblE,3,0)),"—"))</f>
        <v/>
      </c>
      <c r="F47" s="21">
        <f>IF($B47="","",SUMIFS(LdAAmt,LdAParty,$B47,LdAType,1)+SUMIFS(LdBAmt,LdBMember,$B47))</f>
        <v/>
      </c>
      <c r="G47" s="21">
        <f>IF($B47="","",SUMIFS(LdCWit,LdCParty,$B47))</f>
        <v/>
      </c>
      <c r="H47" s="31">
        <f>IF($B47="","",$F47-$G47)</f>
        <v/>
      </c>
      <c r="I47" s="34">
        <f>IF($B47="","",COUNTIFS(LdAParty,$B47,LdAType,1)+COUNTIFS(LdBMember,$B47)+COUNTIFS(LdCParty,$B47))</f>
        <v/>
      </c>
    </row>
    <row r="48">
      <c r="A48" s="10">
        <f>IF(ROW()-9&gt;NStaffE,"",ROW()-9)</f>
        <v/>
      </c>
      <c r="B48" s="37">
        <f>IF($A48="","",IF($A48&lt;=NStaffE,INDEX(PkStaffE,$A48),""))</f>
        <v/>
      </c>
      <c r="C48" s="14">
        <f>IF($B48="","",IFERROR(IF(VLOOKUP($B48,AcctTblE,4,0)="","(بدون نام)",VLOOKUP($B48,AcctTblE,4,0)),"—"))</f>
        <v/>
      </c>
      <c r="D48" s="14">
        <f>IF($B48="","",IFERROR(IF(VLOOKUP(IFERROR(VLOOKUP($B48,StaffTblE,2,0),""),WGTbl,2,0)="","—",VLOOKUP(IFERROR(VLOOKUP($B48,StaffTblE,2,0),""),WGTbl,2,0)),"—"))</f>
        <v/>
      </c>
      <c r="E48" s="14">
        <f>IF($B48="","",IFERROR(IF(VLOOKUP($B48,StaffTblE,3,0)="","—",VLOOKUP($B48,StaffTblE,3,0)),"—"))</f>
        <v/>
      </c>
      <c r="F48" s="16">
        <f>IF($B48="","",SUMIFS(LdAAmt,LdAParty,$B48,LdAType,1)+SUMIFS(LdBAmt,LdBMember,$B48))</f>
        <v/>
      </c>
      <c r="G48" s="16">
        <f>IF($B48="","",SUMIFS(LdCWit,LdCParty,$B48))</f>
        <v/>
      </c>
      <c r="H48" s="29">
        <f>IF($B48="","",$F48-$G48)</f>
        <v/>
      </c>
      <c r="I48" s="33">
        <f>IF($B48="","",COUNTIFS(LdAParty,$B48,LdAType,1)+COUNTIFS(LdBMember,$B48)+COUNTIFS(LdCParty,$B48))</f>
        <v/>
      </c>
    </row>
    <row r="49">
      <c r="A49" s="19">
        <f>IF(ROW()-9&gt;NStaffE,"",ROW()-9)</f>
        <v/>
      </c>
      <c r="B49" s="38">
        <f>IF($A49="","",IF($A49&lt;=NStaffE,INDEX(PkStaffE,$A49),""))</f>
        <v/>
      </c>
      <c r="C49" s="20">
        <f>IF($B49="","",IFERROR(IF(VLOOKUP($B49,AcctTblE,4,0)="","(بدون نام)",VLOOKUP($B49,AcctTblE,4,0)),"—"))</f>
        <v/>
      </c>
      <c r="D49" s="20">
        <f>IF($B49="","",IFERROR(IF(VLOOKUP(IFERROR(VLOOKUP($B49,StaffTblE,2,0),""),WGTbl,2,0)="","—",VLOOKUP(IFERROR(VLOOKUP($B49,StaffTblE,2,0),""),WGTbl,2,0)),"—"))</f>
        <v/>
      </c>
      <c r="E49" s="20">
        <f>IF($B49="","",IFERROR(IF(VLOOKUP($B49,StaffTblE,3,0)="","—",VLOOKUP($B49,StaffTblE,3,0)),"—"))</f>
        <v/>
      </c>
      <c r="F49" s="21">
        <f>IF($B49="","",SUMIFS(LdAAmt,LdAParty,$B49,LdAType,1)+SUMIFS(LdBAmt,LdBMember,$B49))</f>
        <v/>
      </c>
      <c r="G49" s="21">
        <f>IF($B49="","",SUMIFS(LdCWit,LdCParty,$B49))</f>
        <v/>
      </c>
      <c r="H49" s="31">
        <f>IF($B49="","",$F49-$G49)</f>
        <v/>
      </c>
      <c r="I49" s="34">
        <f>IF($B49="","",COUNTIFS(LdAParty,$B49,LdAType,1)+COUNTIFS(LdBMember,$B49)+COUNTIFS(LdCParty,$B49))</f>
        <v/>
      </c>
    </row>
    <row r="50">
      <c r="A50" s="10">
        <f>IF(ROW()-9&gt;NStaffE,"",ROW()-9)</f>
        <v/>
      </c>
      <c r="B50" s="37">
        <f>IF($A50="","",IF($A50&lt;=NStaffE,INDEX(PkStaffE,$A50),""))</f>
        <v/>
      </c>
      <c r="C50" s="14">
        <f>IF($B50="","",IFERROR(IF(VLOOKUP($B50,AcctTblE,4,0)="","(بدون نام)",VLOOKUP($B50,AcctTblE,4,0)),"—"))</f>
        <v/>
      </c>
      <c r="D50" s="14">
        <f>IF($B50="","",IFERROR(IF(VLOOKUP(IFERROR(VLOOKUP($B50,StaffTblE,2,0),""),WGTbl,2,0)="","—",VLOOKUP(IFERROR(VLOOKUP($B50,StaffTblE,2,0),""),WGTbl,2,0)),"—"))</f>
        <v/>
      </c>
      <c r="E50" s="14">
        <f>IF($B50="","",IFERROR(IF(VLOOKUP($B50,StaffTblE,3,0)="","—",VLOOKUP($B50,StaffTblE,3,0)),"—"))</f>
        <v/>
      </c>
      <c r="F50" s="16">
        <f>IF($B50="","",SUMIFS(LdAAmt,LdAParty,$B50,LdAType,1)+SUMIFS(LdBAmt,LdBMember,$B50))</f>
        <v/>
      </c>
      <c r="G50" s="16">
        <f>IF($B50="","",SUMIFS(LdCWit,LdCParty,$B50))</f>
        <v/>
      </c>
      <c r="H50" s="29">
        <f>IF($B50="","",$F50-$G50)</f>
        <v/>
      </c>
      <c r="I50" s="33">
        <f>IF($B50="","",COUNTIFS(LdAParty,$B50,LdAType,1)+COUNTIFS(LdBMember,$B50)+COUNTIFS(LdCParty,$B50))</f>
        <v/>
      </c>
    </row>
    <row r="51">
      <c r="A51" s="19">
        <f>IF(ROW()-9&gt;NStaffE,"",ROW()-9)</f>
        <v/>
      </c>
      <c r="B51" s="38">
        <f>IF($A51="","",IF($A51&lt;=NStaffE,INDEX(PkStaffE,$A51),""))</f>
        <v/>
      </c>
      <c r="C51" s="20">
        <f>IF($B51="","",IFERROR(IF(VLOOKUP($B51,AcctTblE,4,0)="","(بدون نام)",VLOOKUP($B51,AcctTblE,4,0)),"—"))</f>
        <v/>
      </c>
      <c r="D51" s="20">
        <f>IF($B51="","",IFERROR(IF(VLOOKUP(IFERROR(VLOOKUP($B51,StaffTblE,2,0),""),WGTbl,2,0)="","—",VLOOKUP(IFERROR(VLOOKUP($B51,StaffTblE,2,0),""),WGTbl,2,0)),"—"))</f>
        <v/>
      </c>
      <c r="E51" s="20">
        <f>IF($B51="","",IFERROR(IF(VLOOKUP($B51,StaffTblE,3,0)="","—",VLOOKUP($B51,StaffTblE,3,0)),"—"))</f>
        <v/>
      </c>
      <c r="F51" s="21">
        <f>IF($B51="","",SUMIFS(LdAAmt,LdAParty,$B51,LdAType,1)+SUMIFS(LdBAmt,LdBMember,$B51))</f>
        <v/>
      </c>
      <c r="G51" s="21">
        <f>IF($B51="","",SUMIFS(LdCWit,LdCParty,$B51))</f>
        <v/>
      </c>
      <c r="H51" s="31">
        <f>IF($B51="","",$F51-$G51)</f>
        <v/>
      </c>
      <c r="I51" s="34">
        <f>IF($B51="","",COUNTIFS(LdAParty,$B51,LdAType,1)+COUNTIFS(LdBMember,$B51)+COUNTIFS(LdCParty,$B51))</f>
        <v/>
      </c>
    </row>
    <row r="52">
      <c r="A52" s="10">
        <f>IF(ROW()-9&gt;NStaffE,"",ROW()-9)</f>
        <v/>
      </c>
      <c r="B52" s="37">
        <f>IF($A52="","",IF($A52&lt;=NStaffE,INDEX(PkStaffE,$A52),""))</f>
        <v/>
      </c>
      <c r="C52" s="14">
        <f>IF($B52="","",IFERROR(IF(VLOOKUP($B52,AcctTblE,4,0)="","(بدون نام)",VLOOKUP($B52,AcctTblE,4,0)),"—"))</f>
        <v/>
      </c>
      <c r="D52" s="14">
        <f>IF($B52="","",IFERROR(IF(VLOOKUP(IFERROR(VLOOKUP($B52,StaffTblE,2,0),""),WGTbl,2,0)="","—",VLOOKUP(IFERROR(VLOOKUP($B52,StaffTblE,2,0),""),WGTbl,2,0)),"—"))</f>
        <v/>
      </c>
      <c r="E52" s="14">
        <f>IF($B52="","",IFERROR(IF(VLOOKUP($B52,StaffTblE,3,0)="","—",VLOOKUP($B52,StaffTblE,3,0)),"—"))</f>
        <v/>
      </c>
      <c r="F52" s="16">
        <f>IF($B52="","",SUMIFS(LdAAmt,LdAParty,$B52,LdAType,1)+SUMIFS(LdBAmt,LdBMember,$B52))</f>
        <v/>
      </c>
      <c r="G52" s="16">
        <f>IF($B52="","",SUMIFS(LdCWit,LdCParty,$B52))</f>
        <v/>
      </c>
      <c r="H52" s="29">
        <f>IF($B52="","",$F52-$G52)</f>
        <v/>
      </c>
      <c r="I52" s="33">
        <f>IF($B52="","",COUNTIFS(LdAParty,$B52,LdAType,1)+COUNTIFS(LdBMember,$B52)+COUNTIFS(LdCParty,$B52))</f>
        <v/>
      </c>
    </row>
    <row r="53">
      <c r="A53" s="19">
        <f>IF(ROW()-9&gt;NStaffE,"",ROW()-9)</f>
        <v/>
      </c>
      <c r="B53" s="38">
        <f>IF($A53="","",IF($A53&lt;=NStaffE,INDEX(PkStaffE,$A53),""))</f>
        <v/>
      </c>
      <c r="C53" s="20">
        <f>IF($B53="","",IFERROR(IF(VLOOKUP($B53,AcctTblE,4,0)="","(بدون نام)",VLOOKUP($B53,AcctTblE,4,0)),"—"))</f>
        <v/>
      </c>
      <c r="D53" s="20">
        <f>IF($B53="","",IFERROR(IF(VLOOKUP(IFERROR(VLOOKUP($B53,StaffTblE,2,0),""),WGTbl,2,0)="","—",VLOOKUP(IFERROR(VLOOKUP($B53,StaffTblE,2,0),""),WGTbl,2,0)),"—"))</f>
        <v/>
      </c>
      <c r="E53" s="20">
        <f>IF($B53="","",IFERROR(IF(VLOOKUP($B53,StaffTblE,3,0)="","—",VLOOKUP($B53,StaffTblE,3,0)),"—"))</f>
        <v/>
      </c>
      <c r="F53" s="21">
        <f>IF($B53="","",SUMIFS(LdAAmt,LdAParty,$B53,LdAType,1)+SUMIFS(LdBAmt,LdBMember,$B53))</f>
        <v/>
      </c>
      <c r="G53" s="21">
        <f>IF($B53="","",SUMIFS(LdCWit,LdCParty,$B53))</f>
        <v/>
      </c>
      <c r="H53" s="31">
        <f>IF($B53="","",$F53-$G53)</f>
        <v/>
      </c>
      <c r="I53" s="34">
        <f>IF($B53="","",COUNTIFS(LdAParty,$B53,LdAType,1)+COUNTIFS(LdBMember,$B53)+COUNTIFS(LdCParty,$B53))</f>
        <v/>
      </c>
    </row>
    <row r="54">
      <c r="A54" s="10">
        <f>IF(ROW()-9&gt;NStaffE,"",ROW()-9)</f>
        <v/>
      </c>
      <c r="B54" s="37">
        <f>IF($A54="","",IF($A54&lt;=NStaffE,INDEX(PkStaffE,$A54),""))</f>
        <v/>
      </c>
      <c r="C54" s="14">
        <f>IF($B54="","",IFERROR(IF(VLOOKUP($B54,AcctTblE,4,0)="","(بدون نام)",VLOOKUP($B54,AcctTblE,4,0)),"—"))</f>
        <v/>
      </c>
      <c r="D54" s="14">
        <f>IF($B54="","",IFERROR(IF(VLOOKUP(IFERROR(VLOOKUP($B54,StaffTblE,2,0),""),WGTbl,2,0)="","—",VLOOKUP(IFERROR(VLOOKUP($B54,StaffTblE,2,0),""),WGTbl,2,0)),"—"))</f>
        <v/>
      </c>
      <c r="E54" s="14">
        <f>IF($B54="","",IFERROR(IF(VLOOKUP($B54,StaffTblE,3,0)="","—",VLOOKUP($B54,StaffTblE,3,0)),"—"))</f>
        <v/>
      </c>
      <c r="F54" s="16">
        <f>IF($B54="","",SUMIFS(LdAAmt,LdAParty,$B54,LdAType,1)+SUMIFS(LdBAmt,LdBMember,$B54))</f>
        <v/>
      </c>
      <c r="G54" s="16">
        <f>IF($B54="","",SUMIFS(LdCWit,LdCParty,$B54))</f>
        <v/>
      </c>
      <c r="H54" s="29">
        <f>IF($B54="","",$F54-$G54)</f>
        <v/>
      </c>
      <c r="I54" s="33">
        <f>IF($B54="","",COUNTIFS(LdAParty,$B54,LdAType,1)+COUNTIFS(LdBMember,$B54)+COUNTIFS(LdCParty,$B54))</f>
        <v/>
      </c>
    </row>
    <row r="55">
      <c r="A55" s="19">
        <f>IF(ROW()-9&gt;NStaffE,"",ROW()-9)</f>
        <v/>
      </c>
      <c r="B55" s="38">
        <f>IF($A55="","",IF($A55&lt;=NStaffE,INDEX(PkStaffE,$A55),""))</f>
        <v/>
      </c>
      <c r="C55" s="20">
        <f>IF($B55="","",IFERROR(IF(VLOOKUP($B55,AcctTblE,4,0)="","(بدون نام)",VLOOKUP($B55,AcctTblE,4,0)),"—"))</f>
        <v/>
      </c>
      <c r="D55" s="20">
        <f>IF($B55="","",IFERROR(IF(VLOOKUP(IFERROR(VLOOKUP($B55,StaffTblE,2,0),""),WGTbl,2,0)="","—",VLOOKUP(IFERROR(VLOOKUP($B55,StaffTblE,2,0),""),WGTbl,2,0)),"—"))</f>
        <v/>
      </c>
      <c r="E55" s="20">
        <f>IF($B55="","",IFERROR(IF(VLOOKUP($B55,StaffTblE,3,0)="","—",VLOOKUP($B55,StaffTblE,3,0)),"—"))</f>
        <v/>
      </c>
      <c r="F55" s="21">
        <f>IF($B55="","",SUMIFS(LdAAmt,LdAParty,$B55,LdAType,1)+SUMIFS(LdBAmt,LdBMember,$B55))</f>
        <v/>
      </c>
      <c r="G55" s="21">
        <f>IF($B55="","",SUMIFS(LdCWit,LdCParty,$B55))</f>
        <v/>
      </c>
      <c r="H55" s="31">
        <f>IF($B55="","",$F55-$G55)</f>
        <v/>
      </c>
      <c r="I55" s="34">
        <f>IF($B55="","",COUNTIFS(LdAParty,$B55,LdAType,1)+COUNTIFS(LdBMember,$B55)+COUNTIFS(LdCParty,$B55))</f>
        <v/>
      </c>
    </row>
    <row r="56">
      <c r="A56" s="10">
        <f>IF(ROW()-9&gt;NStaffE,"",ROW()-9)</f>
        <v/>
      </c>
      <c r="B56" s="37">
        <f>IF($A56="","",IF($A56&lt;=NStaffE,INDEX(PkStaffE,$A56),""))</f>
        <v/>
      </c>
      <c r="C56" s="14">
        <f>IF($B56="","",IFERROR(IF(VLOOKUP($B56,AcctTblE,4,0)="","(بدون نام)",VLOOKUP($B56,AcctTblE,4,0)),"—"))</f>
        <v/>
      </c>
      <c r="D56" s="14">
        <f>IF($B56="","",IFERROR(IF(VLOOKUP(IFERROR(VLOOKUP($B56,StaffTblE,2,0),""),WGTbl,2,0)="","—",VLOOKUP(IFERROR(VLOOKUP($B56,StaffTblE,2,0),""),WGTbl,2,0)),"—"))</f>
        <v/>
      </c>
      <c r="E56" s="14">
        <f>IF($B56="","",IFERROR(IF(VLOOKUP($B56,StaffTblE,3,0)="","—",VLOOKUP($B56,StaffTblE,3,0)),"—"))</f>
        <v/>
      </c>
      <c r="F56" s="16">
        <f>IF($B56="","",SUMIFS(LdAAmt,LdAParty,$B56,LdAType,1)+SUMIFS(LdBAmt,LdBMember,$B56))</f>
        <v/>
      </c>
      <c r="G56" s="16">
        <f>IF($B56="","",SUMIFS(LdCWit,LdCParty,$B56))</f>
        <v/>
      </c>
      <c r="H56" s="29">
        <f>IF($B56="","",$F56-$G56)</f>
        <v/>
      </c>
      <c r="I56" s="33">
        <f>IF($B56="","",COUNTIFS(LdAParty,$B56,LdAType,1)+COUNTIFS(LdBMember,$B56)+COUNTIFS(LdCParty,$B56))</f>
        <v/>
      </c>
    </row>
    <row r="57">
      <c r="A57" s="19">
        <f>IF(ROW()-9&gt;NStaffE,"",ROW()-9)</f>
        <v/>
      </c>
      <c r="B57" s="38">
        <f>IF($A57="","",IF($A57&lt;=NStaffE,INDEX(PkStaffE,$A57),""))</f>
        <v/>
      </c>
      <c r="C57" s="20">
        <f>IF($B57="","",IFERROR(IF(VLOOKUP($B57,AcctTblE,4,0)="","(بدون نام)",VLOOKUP($B57,AcctTblE,4,0)),"—"))</f>
        <v/>
      </c>
      <c r="D57" s="20">
        <f>IF($B57="","",IFERROR(IF(VLOOKUP(IFERROR(VLOOKUP($B57,StaffTblE,2,0),""),WGTbl,2,0)="","—",VLOOKUP(IFERROR(VLOOKUP($B57,StaffTblE,2,0),""),WGTbl,2,0)),"—"))</f>
        <v/>
      </c>
      <c r="E57" s="20">
        <f>IF($B57="","",IFERROR(IF(VLOOKUP($B57,StaffTblE,3,0)="","—",VLOOKUP($B57,StaffTblE,3,0)),"—"))</f>
        <v/>
      </c>
      <c r="F57" s="21">
        <f>IF($B57="","",SUMIFS(LdAAmt,LdAParty,$B57,LdAType,1)+SUMIFS(LdBAmt,LdBMember,$B57))</f>
        <v/>
      </c>
      <c r="G57" s="21">
        <f>IF($B57="","",SUMIFS(LdCWit,LdCParty,$B57))</f>
        <v/>
      </c>
      <c r="H57" s="31">
        <f>IF($B57="","",$F57-$G57)</f>
        <v/>
      </c>
      <c r="I57" s="34">
        <f>IF($B57="","",COUNTIFS(LdAParty,$B57,LdAType,1)+COUNTIFS(LdBMember,$B57)+COUNTIFS(LdCParty,$B57))</f>
        <v/>
      </c>
    </row>
    <row r="58">
      <c r="A58" s="10">
        <f>IF(ROW()-9&gt;NStaffE,"",ROW()-9)</f>
        <v/>
      </c>
      <c r="B58" s="37">
        <f>IF($A58="","",IF($A58&lt;=NStaffE,INDEX(PkStaffE,$A58),""))</f>
        <v/>
      </c>
      <c r="C58" s="14">
        <f>IF($B58="","",IFERROR(IF(VLOOKUP($B58,AcctTblE,4,0)="","(بدون نام)",VLOOKUP($B58,AcctTblE,4,0)),"—"))</f>
        <v/>
      </c>
      <c r="D58" s="14">
        <f>IF($B58="","",IFERROR(IF(VLOOKUP(IFERROR(VLOOKUP($B58,StaffTblE,2,0),""),WGTbl,2,0)="","—",VLOOKUP(IFERROR(VLOOKUP($B58,StaffTblE,2,0),""),WGTbl,2,0)),"—"))</f>
        <v/>
      </c>
      <c r="E58" s="14">
        <f>IF($B58="","",IFERROR(IF(VLOOKUP($B58,StaffTblE,3,0)="","—",VLOOKUP($B58,StaffTblE,3,0)),"—"))</f>
        <v/>
      </c>
      <c r="F58" s="16">
        <f>IF($B58="","",SUMIFS(LdAAmt,LdAParty,$B58,LdAType,1)+SUMIFS(LdBAmt,LdBMember,$B58))</f>
        <v/>
      </c>
      <c r="G58" s="16">
        <f>IF($B58="","",SUMIFS(LdCWit,LdCParty,$B58))</f>
        <v/>
      </c>
      <c r="H58" s="29">
        <f>IF($B58="","",$F58-$G58)</f>
        <v/>
      </c>
      <c r="I58" s="33">
        <f>IF($B58="","",COUNTIFS(LdAParty,$B58,LdAType,1)+COUNTIFS(LdBMember,$B58)+COUNTIFS(LdCParty,$B58))</f>
        <v/>
      </c>
    </row>
    <row r="59">
      <c r="A59" s="19">
        <f>IF(ROW()-9&gt;NStaffE,"",ROW()-9)</f>
        <v/>
      </c>
      <c r="B59" s="38">
        <f>IF($A59="","",IF($A59&lt;=NStaffE,INDEX(PkStaffE,$A59),""))</f>
        <v/>
      </c>
      <c r="C59" s="20">
        <f>IF($B59="","",IFERROR(IF(VLOOKUP($B59,AcctTblE,4,0)="","(بدون نام)",VLOOKUP($B59,AcctTblE,4,0)),"—"))</f>
        <v/>
      </c>
      <c r="D59" s="20">
        <f>IF($B59="","",IFERROR(IF(VLOOKUP(IFERROR(VLOOKUP($B59,StaffTblE,2,0),""),WGTbl,2,0)="","—",VLOOKUP(IFERROR(VLOOKUP($B59,StaffTblE,2,0),""),WGTbl,2,0)),"—"))</f>
        <v/>
      </c>
      <c r="E59" s="20">
        <f>IF($B59="","",IFERROR(IF(VLOOKUP($B59,StaffTblE,3,0)="","—",VLOOKUP($B59,StaffTblE,3,0)),"—"))</f>
        <v/>
      </c>
      <c r="F59" s="21">
        <f>IF($B59="","",SUMIFS(LdAAmt,LdAParty,$B59,LdAType,1)+SUMIFS(LdBAmt,LdBMember,$B59))</f>
        <v/>
      </c>
      <c r="G59" s="21">
        <f>IF($B59="","",SUMIFS(LdCWit,LdCParty,$B59))</f>
        <v/>
      </c>
      <c r="H59" s="31">
        <f>IF($B59="","",$F59-$G59)</f>
        <v/>
      </c>
      <c r="I59" s="34">
        <f>IF($B59="","",COUNTIFS(LdAParty,$B59,LdAType,1)+COUNTIFS(LdBMember,$B59)+COUNTIFS(LdCParty,$B59))</f>
        <v/>
      </c>
    </row>
    <row r="60">
      <c r="A60" s="39" t="inlineStr">
        <is>
          <t>جمع کل</t>
        </is>
      </c>
      <c r="B60" s="39" t="n"/>
      <c r="C60" s="39" t="n"/>
      <c r="D60" s="39" t="n"/>
      <c r="E60" s="39" t="n"/>
      <c r="F60" s="40">
        <f>SUM(F10:F59)</f>
        <v/>
      </c>
      <c r="G60" s="40">
        <f>SUM(G10:G59)</f>
        <v/>
      </c>
      <c r="H60" s="40">
        <f>SUM(H10:H59)</f>
        <v/>
      </c>
      <c r="I60" s="41">
        <f>SUM(I10:I59)</f>
        <v/>
      </c>
    </row>
  </sheetData>
  <mergeCells count="15">
    <mergeCell ref="I5"/>
    <mergeCell ref="E6:F6"/>
    <mergeCell ref="A2:I2"/>
    <mergeCell ref="C6:D6"/>
    <mergeCell ref="I6"/>
    <mergeCell ref="C5:D5"/>
    <mergeCell ref="A5:B5"/>
    <mergeCell ref="A1:I1"/>
    <mergeCell ref="E5:F5"/>
    <mergeCell ref="G5:H5"/>
    <mergeCell ref="A60:E60"/>
    <mergeCell ref="A3:I3"/>
    <mergeCell ref="G6:H6"/>
    <mergeCell ref="A4:I4"/>
    <mergeCell ref="A6:B6"/>
  </mergeCells>
  <conditionalFormatting sqref="H10:H59">
    <cfRule type="cellIs" priority="1" operator="greaterThan" dxfId="4">
      <formula>0</formula>
    </cfRule>
    <cfRule type="cellIs" priority="2" operator="lessThan" dxfId="1">
      <formula>0</formula>
    </cfRule>
  </conditionalFormatting>
  <conditionalFormatting sqref="F10:F59">
    <cfRule type="dataBar" priority="3">
      <dataBar showValue="1">
        <cfvo type="num" val="0"/>
        <cfvo type="max"/>
        <color rgb="00A5D6A7"/>
      </dataBar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خلاصه دستمزد کارکنان&amp;R&amp;"Tahoma"&amp;8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90A4AE"/>
    <outlinePr summaryBelow="1" summaryRight="1"/>
    <pageSetUpPr/>
  </sheetPr>
  <dimension ref="A1:AK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9" customWidth="1" min="5" max="5"/>
    <col width="10" customWidth="1" min="6" max="6"/>
    <col width="12" customWidth="1" min="7" max="7"/>
    <col width="20" customWidth="1" min="8" max="8"/>
    <col width="18" customWidth="1" min="9" max="9"/>
    <col width="9" customWidth="1" min="11" max="11"/>
    <col width="12" customWidth="1" min="12" max="12"/>
    <col width="16" customWidth="1" min="13" max="13"/>
    <col width="26" customWidth="1" min="14" max="14"/>
    <col width="12" customWidth="1" min="16" max="16"/>
    <col width="8" customWidth="1" min="17" max="17"/>
    <col width="26" customWidth="1" min="18" max="18"/>
    <col width="10" customWidth="1" min="19" max="19"/>
    <col width="15" customWidth="1" min="20" max="20"/>
    <col width="11" customWidth="1" min="21" max="21"/>
    <col width="14" customWidth="1" min="22" max="22"/>
    <col width="14" customWidth="1" min="23" max="23"/>
    <col width="14" customWidth="1" min="24" max="24"/>
    <col width="30" customWidth="1" min="25" max="25"/>
    <col width="5" customWidth="1" min="27" max="27"/>
    <col width="7" customWidth="1" min="28" max="28"/>
    <col width="9" customWidth="1" min="29" max="29"/>
    <col width="5" customWidth="1" min="31" max="31"/>
    <col width="7" customWidth="1" min="32" max="32"/>
    <col width="9" customWidth="1" min="33" max="33"/>
    <col width="30" customWidth="1" min="35" max="35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42" t="inlineStr">
        <is>
          <t>برگه فنی — آینه‌ی فایل مادر (INFO) و فایل واریز/برداشت (Transactions) برای دفتر دستمزد. فرمول‌ها را تغییر ندهید. اگر همه سلول‌ها خالی شدند یعنی لینک به‌روز نشده: Data ← Edit Links ← Update Values.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</row>
    <row r="5">
      <c r="A5" s="43" t="inlineStr">
        <is>
          <t>WG · Code</t>
        </is>
      </c>
      <c r="B5" s="43" t="inlineStr">
        <is>
          <t>· Title</t>
        </is>
      </c>
      <c r="C5" s="43" t="inlineStr">
        <is>
          <t>· Desc</t>
        </is>
      </c>
      <c r="E5" s="43" t="inlineStr">
        <is>
          <t>Staff · Code</t>
        </is>
      </c>
      <c r="F5" s="43" t="inlineStr">
        <is>
          <t>· Group</t>
        </is>
      </c>
      <c r="G5" s="43" t="inlineStr">
        <is>
          <t>· Role</t>
        </is>
      </c>
      <c r="H5" s="43" t="inlineStr">
        <is>
          <t>· Card</t>
        </is>
      </c>
      <c r="I5" s="43" t="inlineStr">
        <is>
          <t>· Note</t>
        </is>
      </c>
      <c r="K5" s="43" t="inlineStr">
        <is>
          <t>Acct · Code</t>
        </is>
      </c>
      <c r="L5" s="43" t="inlineStr">
        <is>
          <t>· Nature</t>
        </is>
      </c>
      <c r="M5" s="43" t="inlineStr">
        <is>
          <t>· Sub</t>
        </is>
      </c>
      <c r="N5" s="43" t="inlineStr">
        <is>
          <t>· Name</t>
        </is>
      </c>
      <c r="P5" s="43" t="inlineStr">
        <is>
          <t>Entry · C</t>
        </is>
      </c>
      <c r="Q5" s="43" t="inlineStr">
        <is>
          <t>Entry · D</t>
        </is>
      </c>
      <c r="R5" s="43" t="inlineStr">
        <is>
          <t>Entry · E</t>
        </is>
      </c>
      <c r="S5" s="43" t="inlineStr">
        <is>
          <t>Entry · G</t>
        </is>
      </c>
      <c r="T5" s="43" t="inlineStr">
        <is>
          <t>Entry · J</t>
        </is>
      </c>
      <c r="U5" s="43" t="inlineStr">
        <is>
          <t>Entry · K</t>
        </is>
      </c>
      <c r="V5" s="43" t="inlineStr">
        <is>
          <t>Entry · L</t>
        </is>
      </c>
      <c r="W5" s="43" t="inlineStr">
        <is>
          <t>Entry · M</t>
        </is>
      </c>
      <c r="X5" s="43" t="inlineStr">
        <is>
          <t>Entry · N</t>
        </is>
      </c>
      <c r="Y5" s="43" t="inlineStr">
        <is>
          <t>Entry · R</t>
        </is>
      </c>
      <c r="AA5" s="43" t="inlineStr">
        <is>
          <t>flg</t>
        </is>
      </c>
      <c r="AB5" s="43" t="inlineStr">
        <is>
          <t>cum·N</t>
        </is>
      </c>
      <c r="AC5" s="43" t="inlineStr">
        <is>
          <t>packed·E</t>
        </is>
      </c>
      <c r="AE5" s="43" t="inlineStr">
        <is>
          <t>flg</t>
        </is>
      </c>
      <c r="AF5" s="43" t="inlineStr">
        <is>
          <t>cum·N</t>
        </is>
      </c>
      <c r="AG5" s="43" t="inlineStr">
        <is>
          <t>packed·WG</t>
        </is>
      </c>
      <c r="AI5" s="43" t="inlineStr">
        <is>
          <t>Company</t>
        </is>
      </c>
    </row>
    <row r="6">
      <c r="A6">
        <f>IF([1]WorkGroups!$B$7="","",[1]WorkGroups!$A$7)</f>
        <v/>
      </c>
      <c r="B6">
        <f>IF([1]WorkGroups!$B$7="","",[1]WorkGroups!$B$7)</f>
        <v/>
      </c>
      <c r="C6">
        <f>IF([1]WorkGroups!$B$7="","",[1]WorkGroups!$C$7)</f>
        <v/>
      </c>
      <c r="E6">
        <f>IF([1]Staff!$A$7="","",[1]Staff!$A$7)</f>
        <v/>
      </c>
      <c r="F6">
        <f>IF([1]Staff!$C$7="","",[1]Staff!$C$7)</f>
        <v/>
      </c>
      <c r="G6">
        <f>IF([1]Staff!$D$7="","",[1]Staff!$D$7)</f>
        <v/>
      </c>
      <c r="H6">
        <f>IF([1]Staff!$E$7="","",[1]Staff!$E$7)</f>
        <v/>
      </c>
      <c r="I6">
        <f>IF([1]Staff!$F$7="","",[1]Staff!$F$7)</f>
        <v/>
      </c>
      <c r="K6">
        <f>IF([1]Accounts!$D$7="","",[1]Accounts!$A$7)</f>
        <v/>
      </c>
      <c r="L6">
        <f>IF([1]Accounts!$D$7="","",[1]Accounts!$B$7)</f>
        <v/>
      </c>
      <c r="M6">
        <f>IF([1]Accounts!$D$7="","",[1]Accounts!$C$7)</f>
        <v/>
      </c>
      <c r="N6">
        <f>IF([1]Accounts!$D$7="","",[1]Accounts!$D$7)</f>
        <v/>
      </c>
      <c r="P6">
        <f>IF([2]Entry!$C$9="","",[2]Entry!$C$9)</f>
        <v/>
      </c>
      <c r="Q6">
        <f>IF([2]Entry!$D$9="","",[2]Entry!$D$9)</f>
        <v/>
      </c>
      <c r="R6">
        <f>IF([2]Entry!$E$9="","",[2]Entry!$E$9)</f>
        <v/>
      </c>
      <c r="S6">
        <f>IF([2]Entry!$G$9="","",[2]Entry!$G$9)</f>
        <v/>
      </c>
      <c r="T6">
        <f>IF([2]Entry!$J$9="","",[2]Entry!$J$9)</f>
        <v/>
      </c>
      <c r="U6">
        <f>IF([2]Entry!$K$9="","",[2]Entry!$K$9)</f>
        <v/>
      </c>
      <c r="V6">
        <f>IF([2]Entry!$L$9="","",[2]Entry!$L$9)</f>
        <v/>
      </c>
      <c r="W6">
        <f>IF([2]Entry!$M$9="","",[2]Entry!$M$9)</f>
        <v/>
      </c>
      <c r="X6">
        <f>IF([2]Entry!$N$9="","",[2]Entry!$N$9)</f>
        <v/>
      </c>
      <c r="Y6">
        <f>IF([2]Entry!$R$9="","",[2]Entry!$R$9)</f>
        <v/>
      </c>
      <c r="AA6">
        <f>IF(AND($E6&lt;&gt;"",IFERROR(VLOOKUP($E6,AcctTblE,4,0),"")&lt;&gt;""),1,0)</f>
        <v/>
      </c>
      <c r="AB6">
        <f>SUM($AA$6:$AA6)</f>
        <v/>
      </c>
      <c r="AC6">
        <f>IFERROR(INDEX($E$6:$E$55,MATCH(ROW()-5,$AB$6:$AB$55,0)),"")</f>
        <v/>
      </c>
      <c r="AE6">
        <f>IF(AND($A6&lt;&gt;"",$B6&lt;&gt;""),1,0)</f>
        <v/>
      </c>
      <c r="AF6">
        <f>SUM($AE$6:$AE6)</f>
        <v/>
      </c>
      <c r="AG6">
        <f>IFERROR(INDEX($A$6:$A$35,MATCH(ROW()-5,$AF$6:$AF$35,0)),"")</f>
        <v/>
      </c>
      <c r="AI6">
        <f>IF([1]Company!$C$5="","",[1]Company!$C$5)</f>
        <v/>
      </c>
    </row>
    <row r="7">
      <c r="A7">
        <f>IF([1]WorkGroups!$B$8="","",[1]WorkGroups!$A$8)</f>
        <v/>
      </c>
      <c r="B7">
        <f>IF([1]WorkGroups!$B$8="","",[1]WorkGroups!$B$8)</f>
        <v/>
      </c>
      <c r="C7">
        <f>IF([1]WorkGroups!$B$8="","",[1]WorkGroups!$C$8)</f>
        <v/>
      </c>
      <c r="E7">
        <f>IF([1]Staff!$A$8="","",[1]Staff!$A$8)</f>
        <v/>
      </c>
      <c r="F7">
        <f>IF([1]Staff!$C$8="","",[1]Staff!$C$8)</f>
        <v/>
      </c>
      <c r="G7">
        <f>IF([1]Staff!$D$8="","",[1]Staff!$D$8)</f>
        <v/>
      </c>
      <c r="H7">
        <f>IF([1]Staff!$E$8="","",[1]Staff!$E$8)</f>
        <v/>
      </c>
      <c r="I7">
        <f>IF([1]Staff!$F$8="","",[1]Staff!$F$8)</f>
        <v/>
      </c>
      <c r="K7">
        <f>IF([1]Accounts!$D$8="","",[1]Accounts!$A$8)</f>
        <v/>
      </c>
      <c r="L7">
        <f>IF([1]Accounts!$D$8="","",[1]Accounts!$B$8)</f>
        <v/>
      </c>
      <c r="M7">
        <f>IF([1]Accounts!$D$8="","",[1]Accounts!$C$8)</f>
        <v/>
      </c>
      <c r="N7">
        <f>IF([1]Accounts!$D$8="","",[1]Accounts!$D$8)</f>
        <v/>
      </c>
      <c r="P7">
        <f>IF([2]Entry!$C$10="","",[2]Entry!$C$10)</f>
        <v/>
      </c>
      <c r="Q7">
        <f>IF([2]Entry!$D$10="","",[2]Entry!$D$10)</f>
        <v/>
      </c>
      <c r="R7">
        <f>IF([2]Entry!$E$10="","",[2]Entry!$E$10)</f>
        <v/>
      </c>
      <c r="S7">
        <f>IF([2]Entry!$G$10="","",[2]Entry!$G$10)</f>
        <v/>
      </c>
      <c r="T7">
        <f>IF([2]Entry!$J$10="","",[2]Entry!$J$10)</f>
        <v/>
      </c>
      <c r="U7">
        <f>IF([2]Entry!$K$10="","",[2]Entry!$K$10)</f>
        <v/>
      </c>
      <c r="V7">
        <f>IF([2]Entry!$L$10="","",[2]Entry!$L$10)</f>
        <v/>
      </c>
      <c r="W7">
        <f>IF([2]Entry!$M$10="","",[2]Entry!$M$10)</f>
        <v/>
      </c>
      <c r="X7">
        <f>IF([2]Entry!$N$10="","",[2]Entry!$N$10)</f>
        <v/>
      </c>
      <c r="Y7">
        <f>IF([2]Entry!$R$10="","",[2]Entry!$R$10)</f>
        <v/>
      </c>
      <c r="AA7">
        <f>IF(AND($E7&lt;&gt;"",IFERROR(VLOOKUP($E7,AcctTblE,4,0),"")&lt;&gt;""),1,0)</f>
        <v/>
      </c>
      <c r="AB7">
        <f>SUM($AA$6:$AA7)</f>
        <v/>
      </c>
      <c r="AC7">
        <f>IFERROR(INDEX($E$6:$E$55,MATCH(ROW()-5,$AB$6:$AB$55,0)),"")</f>
        <v/>
      </c>
      <c r="AE7">
        <f>IF(AND($A7&lt;&gt;"",$B7&lt;&gt;""),1,0)</f>
        <v/>
      </c>
      <c r="AF7">
        <f>SUM($AE$6:$AE7)</f>
        <v/>
      </c>
      <c r="AG7">
        <f>IFERROR(INDEX($A$6:$A$35,MATCH(ROW()-5,$AF$6:$AF$35,0)),"")</f>
        <v/>
      </c>
      <c r="AI7">
        <f>IF([1]Company!$C$8="","",[1]Company!$C$8)</f>
        <v/>
      </c>
    </row>
    <row r="8">
      <c r="A8">
        <f>IF([1]WorkGroups!$B$9="","",[1]WorkGroups!$A$9)</f>
        <v/>
      </c>
      <c r="B8">
        <f>IF([1]WorkGroups!$B$9="","",[1]WorkGroups!$B$9)</f>
        <v/>
      </c>
      <c r="C8">
        <f>IF([1]WorkGroups!$B$9="","",[1]WorkGroups!$C$9)</f>
        <v/>
      </c>
      <c r="E8">
        <f>IF([1]Staff!$A$9="","",[1]Staff!$A$9)</f>
        <v/>
      </c>
      <c r="F8">
        <f>IF([1]Staff!$C$9="","",[1]Staff!$C$9)</f>
        <v/>
      </c>
      <c r="G8">
        <f>IF([1]Staff!$D$9="","",[1]Staff!$D$9)</f>
        <v/>
      </c>
      <c r="H8">
        <f>IF([1]Staff!$E$9="","",[1]Staff!$E$9)</f>
        <v/>
      </c>
      <c r="I8">
        <f>IF([1]Staff!$F$9="","",[1]Staff!$F$9)</f>
        <v/>
      </c>
      <c r="K8">
        <f>IF([1]Accounts!$D$9="","",[1]Accounts!$A$9)</f>
        <v/>
      </c>
      <c r="L8">
        <f>IF([1]Accounts!$D$9="","",[1]Accounts!$B$9)</f>
        <v/>
      </c>
      <c r="M8">
        <f>IF([1]Accounts!$D$9="","",[1]Accounts!$C$9)</f>
        <v/>
      </c>
      <c r="N8">
        <f>IF([1]Accounts!$D$9="","",[1]Accounts!$D$9)</f>
        <v/>
      </c>
      <c r="P8">
        <f>IF([2]Entry!$C$11="","",[2]Entry!$C$11)</f>
        <v/>
      </c>
      <c r="Q8">
        <f>IF([2]Entry!$D$11="","",[2]Entry!$D$11)</f>
        <v/>
      </c>
      <c r="R8">
        <f>IF([2]Entry!$E$11="","",[2]Entry!$E$11)</f>
        <v/>
      </c>
      <c r="S8">
        <f>IF([2]Entry!$G$11="","",[2]Entry!$G$11)</f>
        <v/>
      </c>
      <c r="T8">
        <f>IF([2]Entry!$J$11="","",[2]Entry!$J$11)</f>
        <v/>
      </c>
      <c r="U8">
        <f>IF([2]Entry!$K$11="","",[2]Entry!$K$11)</f>
        <v/>
      </c>
      <c r="V8">
        <f>IF([2]Entry!$L$11="","",[2]Entry!$L$11)</f>
        <v/>
      </c>
      <c r="W8">
        <f>IF([2]Entry!$M$11="","",[2]Entry!$M$11)</f>
        <v/>
      </c>
      <c r="X8">
        <f>IF([2]Entry!$N$11="","",[2]Entry!$N$11)</f>
        <v/>
      </c>
      <c r="Y8">
        <f>IF([2]Entry!$R$11="","",[2]Entry!$R$11)</f>
        <v/>
      </c>
      <c r="AA8">
        <f>IF(AND($E8&lt;&gt;"",IFERROR(VLOOKUP($E8,AcctTblE,4,0),"")&lt;&gt;""),1,0)</f>
        <v/>
      </c>
      <c r="AB8">
        <f>SUM($AA$6:$AA8)</f>
        <v/>
      </c>
      <c r="AC8">
        <f>IFERROR(INDEX($E$6:$E$55,MATCH(ROW()-5,$AB$6:$AB$55,0)),"")</f>
        <v/>
      </c>
      <c r="AE8">
        <f>IF(AND($A8&lt;&gt;"",$B8&lt;&gt;""),1,0)</f>
        <v/>
      </c>
      <c r="AF8">
        <f>SUM($AE$6:$AE8)</f>
        <v/>
      </c>
      <c r="AG8">
        <f>IFERROR(INDEX($A$6:$A$35,MATCH(ROW()-5,$AF$6:$AF$35,0)),"")</f>
        <v/>
      </c>
      <c r="AI8">
        <f>IF([1]Company!$C$9="","",[1]Company!$C$9)</f>
        <v/>
      </c>
    </row>
    <row r="9">
      <c r="A9">
        <f>IF([1]WorkGroups!$B$10="","",[1]WorkGroups!$A$10)</f>
        <v/>
      </c>
      <c r="B9">
        <f>IF([1]WorkGroups!$B$10="","",[1]WorkGroups!$B$10)</f>
        <v/>
      </c>
      <c r="C9">
        <f>IF([1]WorkGroups!$B$10="","",[1]WorkGroups!$C$10)</f>
        <v/>
      </c>
      <c r="E9">
        <f>IF([1]Staff!$A$10="","",[1]Staff!$A$10)</f>
        <v/>
      </c>
      <c r="F9">
        <f>IF([1]Staff!$C$10="","",[1]Staff!$C$10)</f>
        <v/>
      </c>
      <c r="G9">
        <f>IF([1]Staff!$D$10="","",[1]Staff!$D$10)</f>
        <v/>
      </c>
      <c r="H9">
        <f>IF([1]Staff!$E$10="","",[1]Staff!$E$10)</f>
        <v/>
      </c>
      <c r="I9">
        <f>IF([1]Staff!$F$10="","",[1]Staff!$F$10)</f>
        <v/>
      </c>
      <c r="K9">
        <f>IF([1]Accounts!$D$10="","",[1]Accounts!$A$10)</f>
        <v/>
      </c>
      <c r="L9">
        <f>IF([1]Accounts!$D$10="","",[1]Accounts!$B$10)</f>
        <v/>
      </c>
      <c r="M9">
        <f>IF([1]Accounts!$D$10="","",[1]Accounts!$C$10)</f>
        <v/>
      </c>
      <c r="N9">
        <f>IF([1]Accounts!$D$10="","",[1]Accounts!$D$10)</f>
        <v/>
      </c>
      <c r="P9">
        <f>IF([2]Entry!$C$12="","",[2]Entry!$C$12)</f>
        <v/>
      </c>
      <c r="Q9">
        <f>IF([2]Entry!$D$12="","",[2]Entry!$D$12)</f>
        <v/>
      </c>
      <c r="R9">
        <f>IF([2]Entry!$E$12="","",[2]Entry!$E$12)</f>
        <v/>
      </c>
      <c r="S9">
        <f>IF([2]Entry!$G$12="","",[2]Entry!$G$12)</f>
        <v/>
      </c>
      <c r="T9">
        <f>IF([2]Entry!$J$12="","",[2]Entry!$J$12)</f>
        <v/>
      </c>
      <c r="U9">
        <f>IF([2]Entry!$K$12="","",[2]Entry!$K$12)</f>
        <v/>
      </c>
      <c r="V9">
        <f>IF([2]Entry!$L$12="","",[2]Entry!$L$12)</f>
        <v/>
      </c>
      <c r="W9">
        <f>IF([2]Entry!$M$12="","",[2]Entry!$M$12)</f>
        <v/>
      </c>
      <c r="X9">
        <f>IF([2]Entry!$N$12="","",[2]Entry!$N$12)</f>
        <v/>
      </c>
      <c r="Y9">
        <f>IF([2]Entry!$R$12="","",[2]Entry!$R$12)</f>
        <v/>
      </c>
      <c r="AA9">
        <f>IF(AND($E9&lt;&gt;"",IFERROR(VLOOKUP($E9,AcctTblE,4,0),"")&lt;&gt;""),1,0)</f>
        <v/>
      </c>
      <c r="AB9">
        <f>SUM($AA$6:$AA9)</f>
        <v/>
      </c>
      <c r="AC9">
        <f>IFERROR(INDEX($E$6:$E$55,MATCH(ROW()-5,$AB$6:$AB$55,0)),"")</f>
        <v/>
      </c>
      <c r="AE9">
        <f>IF(AND($A9&lt;&gt;"",$B9&lt;&gt;""),1,0)</f>
        <v/>
      </c>
      <c r="AF9">
        <f>SUM($AE$6:$AE9)</f>
        <v/>
      </c>
      <c r="AG9">
        <f>IFERROR(INDEX($A$6:$A$35,MATCH(ROW()-5,$AF$6:$AF$35,0)),"")</f>
        <v/>
      </c>
      <c r="AI9">
        <f>IF([1]Company!$C$7="","",[1]Company!$C$7)</f>
        <v/>
      </c>
    </row>
    <row r="10">
      <c r="A10">
        <f>IF([1]WorkGroups!$B$11="","",[1]WorkGroups!$A$11)</f>
        <v/>
      </c>
      <c r="B10">
        <f>IF([1]WorkGroups!$B$11="","",[1]WorkGroups!$B$11)</f>
        <v/>
      </c>
      <c r="C10">
        <f>IF([1]WorkGroups!$B$11="","",[1]WorkGroups!$C$11)</f>
        <v/>
      </c>
      <c r="E10">
        <f>IF([1]Staff!$A$11="","",[1]Staff!$A$11)</f>
        <v/>
      </c>
      <c r="F10">
        <f>IF([1]Staff!$C$11="","",[1]Staff!$C$11)</f>
        <v/>
      </c>
      <c r="G10">
        <f>IF([1]Staff!$D$11="","",[1]Staff!$D$11)</f>
        <v/>
      </c>
      <c r="H10">
        <f>IF([1]Staff!$E$11="","",[1]Staff!$E$11)</f>
        <v/>
      </c>
      <c r="I10">
        <f>IF([1]Staff!$F$11="","",[1]Staff!$F$11)</f>
        <v/>
      </c>
      <c r="K10">
        <f>IF([1]Accounts!$D$11="","",[1]Accounts!$A$11)</f>
        <v/>
      </c>
      <c r="L10">
        <f>IF([1]Accounts!$D$11="","",[1]Accounts!$B$11)</f>
        <v/>
      </c>
      <c r="M10">
        <f>IF([1]Accounts!$D$11="","",[1]Accounts!$C$11)</f>
        <v/>
      </c>
      <c r="N10">
        <f>IF([1]Accounts!$D$11="","",[1]Accounts!$D$11)</f>
        <v/>
      </c>
      <c r="P10">
        <f>IF([2]Entry!$C$13="","",[2]Entry!$C$13)</f>
        <v/>
      </c>
      <c r="Q10">
        <f>IF([2]Entry!$D$13="","",[2]Entry!$D$13)</f>
        <v/>
      </c>
      <c r="R10">
        <f>IF([2]Entry!$E$13="","",[2]Entry!$E$13)</f>
        <v/>
      </c>
      <c r="S10">
        <f>IF([2]Entry!$G$13="","",[2]Entry!$G$13)</f>
        <v/>
      </c>
      <c r="T10">
        <f>IF([2]Entry!$J$13="","",[2]Entry!$J$13)</f>
        <v/>
      </c>
      <c r="U10">
        <f>IF([2]Entry!$K$13="","",[2]Entry!$K$13)</f>
        <v/>
      </c>
      <c r="V10">
        <f>IF([2]Entry!$L$13="","",[2]Entry!$L$13)</f>
        <v/>
      </c>
      <c r="W10">
        <f>IF([2]Entry!$M$13="","",[2]Entry!$M$13)</f>
        <v/>
      </c>
      <c r="X10">
        <f>IF([2]Entry!$N$13="","",[2]Entry!$N$13)</f>
        <v/>
      </c>
      <c r="Y10">
        <f>IF([2]Entry!$R$13="","",[2]Entry!$R$13)</f>
        <v/>
      </c>
      <c r="AA10">
        <f>IF(AND($E10&lt;&gt;"",IFERROR(VLOOKUP($E10,AcctTblE,4,0),"")&lt;&gt;""),1,0)</f>
        <v/>
      </c>
      <c r="AB10">
        <f>SUM($AA$6:$AA10)</f>
        <v/>
      </c>
      <c r="AC10">
        <f>IFERROR(INDEX($E$6:$E$55,MATCH(ROW()-5,$AB$6:$AB$55,0)),"")</f>
        <v/>
      </c>
      <c r="AE10">
        <f>IF(AND($A10&lt;&gt;"",$B10&lt;&gt;""),1,0)</f>
        <v/>
      </c>
      <c r="AF10">
        <f>SUM($AE$6:$AE10)</f>
        <v/>
      </c>
      <c r="AG10">
        <f>IFERROR(INDEX($A$6:$A$35,MATCH(ROW()-5,$AF$6:$AF$35,0)),"")</f>
        <v/>
      </c>
    </row>
    <row r="11">
      <c r="A11">
        <f>IF([1]WorkGroups!$B$12="","",[1]WorkGroups!$A$12)</f>
        <v/>
      </c>
      <c r="B11">
        <f>IF([1]WorkGroups!$B$12="","",[1]WorkGroups!$B$12)</f>
        <v/>
      </c>
      <c r="C11">
        <f>IF([1]WorkGroups!$B$12="","",[1]WorkGroups!$C$12)</f>
        <v/>
      </c>
      <c r="E11">
        <f>IF([1]Staff!$A$12="","",[1]Staff!$A$12)</f>
        <v/>
      </c>
      <c r="F11">
        <f>IF([1]Staff!$C$12="","",[1]Staff!$C$12)</f>
        <v/>
      </c>
      <c r="G11">
        <f>IF([1]Staff!$D$12="","",[1]Staff!$D$12)</f>
        <v/>
      </c>
      <c r="H11">
        <f>IF([1]Staff!$E$12="","",[1]Staff!$E$12)</f>
        <v/>
      </c>
      <c r="I11">
        <f>IF([1]Staff!$F$12="","",[1]Staff!$F$12)</f>
        <v/>
      </c>
      <c r="K11">
        <f>IF([1]Accounts!$D$12="","",[1]Accounts!$A$12)</f>
        <v/>
      </c>
      <c r="L11">
        <f>IF([1]Accounts!$D$12="","",[1]Accounts!$B$12)</f>
        <v/>
      </c>
      <c r="M11">
        <f>IF([1]Accounts!$D$12="","",[1]Accounts!$C$12)</f>
        <v/>
      </c>
      <c r="N11">
        <f>IF([1]Accounts!$D$12="","",[1]Accounts!$D$12)</f>
        <v/>
      </c>
      <c r="P11">
        <f>IF([2]Entry!$C$14="","",[2]Entry!$C$14)</f>
        <v/>
      </c>
      <c r="Q11">
        <f>IF([2]Entry!$D$14="","",[2]Entry!$D$14)</f>
        <v/>
      </c>
      <c r="R11">
        <f>IF([2]Entry!$E$14="","",[2]Entry!$E$14)</f>
        <v/>
      </c>
      <c r="S11">
        <f>IF([2]Entry!$G$14="","",[2]Entry!$G$14)</f>
        <v/>
      </c>
      <c r="T11">
        <f>IF([2]Entry!$J$14="","",[2]Entry!$J$14)</f>
        <v/>
      </c>
      <c r="U11">
        <f>IF([2]Entry!$K$14="","",[2]Entry!$K$14)</f>
        <v/>
      </c>
      <c r="V11">
        <f>IF([2]Entry!$L$14="","",[2]Entry!$L$14)</f>
        <v/>
      </c>
      <c r="W11">
        <f>IF([2]Entry!$M$14="","",[2]Entry!$M$14)</f>
        <v/>
      </c>
      <c r="X11">
        <f>IF([2]Entry!$N$14="","",[2]Entry!$N$14)</f>
        <v/>
      </c>
      <c r="Y11">
        <f>IF([2]Entry!$R$14="","",[2]Entry!$R$14)</f>
        <v/>
      </c>
      <c r="AA11">
        <f>IF(AND($E11&lt;&gt;"",IFERROR(VLOOKUP($E11,AcctTblE,4,0),"")&lt;&gt;""),1,0)</f>
        <v/>
      </c>
      <c r="AB11">
        <f>SUM($AA$6:$AA11)</f>
        <v/>
      </c>
      <c r="AC11">
        <f>IFERROR(INDEX($E$6:$E$55,MATCH(ROW()-5,$AB$6:$AB$55,0)),"")</f>
        <v/>
      </c>
      <c r="AE11">
        <f>IF(AND($A11&lt;&gt;"",$B11&lt;&gt;""),1,0)</f>
        <v/>
      </c>
      <c r="AF11">
        <f>SUM($AE$6:$AE11)</f>
        <v/>
      </c>
      <c r="AG11">
        <f>IFERROR(INDEX($A$6:$A$35,MATCH(ROW()-5,$AF$6:$AF$35,0)),"")</f>
        <v/>
      </c>
    </row>
    <row r="12">
      <c r="A12">
        <f>IF([1]WorkGroups!$B$13="","",[1]WorkGroups!$A$13)</f>
        <v/>
      </c>
      <c r="B12">
        <f>IF([1]WorkGroups!$B$13="","",[1]WorkGroups!$B$13)</f>
        <v/>
      </c>
      <c r="C12">
        <f>IF([1]WorkGroups!$B$13="","",[1]WorkGroups!$C$13)</f>
        <v/>
      </c>
      <c r="E12">
        <f>IF([1]Staff!$A$13="","",[1]Staff!$A$13)</f>
        <v/>
      </c>
      <c r="F12">
        <f>IF([1]Staff!$C$13="","",[1]Staff!$C$13)</f>
        <v/>
      </c>
      <c r="G12">
        <f>IF([1]Staff!$D$13="","",[1]Staff!$D$13)</f>
        <v/>
      </c>
      <c r="H12">
        <f>IF([1]Staff!$E$13="","",[1]Staff!$E$13)</f>
        <v/>
      </c>
      <c r="I12">
        <f>IF([1]Staff!$F$13="","",[1]Staff!$F$13)</f>
        <v/>
      </c>
      <c r="K12">
        <f>IF([1]Accounts!$D$13="","",[1]Accounts!$A$13)</f>
        <v/>
      </c>
      <c r="L12">
        <f>IF([1]Accounts!$D$13="","",[1]Accounts!$B$13)</f>
        <v/>
      </c>
      <c r="M12">
        <f>IF([1]Accounts!$D$13="","",[1]Accounts!$C$13)</f>
        <v/>
      </c>
      <c r="N12">
        <f>IF([1]Accounts!$D$13="","",[1]Accounts!$D$13)</f>
        <v/>
      </c>
      <c r="P12">
        <f>IF([2]Entry!$C$15="","",[2]Entry!$C$15)</f>
        <v/>
      </c>
      <c r="Q12">
        <f>IF([2]Entry!$D$15="","",[2]Entry!$D$15)</f>
        <v/>
      </c>
      <c r="R12">
        <f>IF([2]Entry!$E$15="","",[2]Entry!$E$15)</f>
        <v/>
      </c>
      <c r="S12">
        <f>IF([2]Entry!$G$15="","",[2]Entry!$G$15)</f>
        <v/>
      </c>
      <c r="T12">
        <f>IF([2]Entry!$J$15="","",[2]Entry!$J$15)</f>
        <v/>
      </c>
      <c r="U12">
        <f>IF([2]Entry!$K$15="","",[2]Entry!$K$15)</f>
        <v/>
      </c>
      <c r="V12">
        <f>IF([2]Entry!$L$15="","",[2]Entry!$L$15)</f>
        <v/>
      </c>
      <c r="W12">
        <f>IF([2]Entry!$M$15="","",[2]Entry!$M$15)</f>
        <v/>
      </c>
      <c r="X12">
        <f>IF([2]Entry!$N$15="","",[2]Entry!$N$15)</f>
        <v/>
      </c>
      <c r="Y12">
        <f>IF([2]Entry!$R$15="","",[2]Entry!$R$15)</f>
        <v/>
      </c>
      <c r="AA12">
        <f>IF(AND($E12&lt;&gt;"",IFERROR(VLOOKUP($E12,AcctTblE,4,0),"")&lt;&gt;""),1,0)</f>
        <v/>
      </c>
      <c r="AB12">
        <f>SUM($AA$6:$AA12)</f>
        <v/>
      </c>
      <c r="AC12">
        <f>IFERROR(INDEX($E$6:$E$55,MATCH(ROW()-5,$AB$6:$AB$55,0)),"")</f>
        <v/>
      </c>
      <c r="AE12">
        <f>IF(AND($A12&lt;&gt;"",$B12&lt;&gt;""),1,0)</f>
        <v/>
      </c>
      <c r="AF12">
        <f>SUM($AE$6:$AE12)</f>
        <v/>
      </c>
      <c r="AG12">
        <f>IFERROR(INDEX($A$6:$A$35,MATCH(ROW()-5,$AF$6:$AF$35,0)),"")</f>
        <v/>
      </c>
    </row>
    <row r="13">
      <c r="A13">
        <f>IF([1]WorkGroups!$B$14="","",[1]WorkGroups!$A$14)</f>
        <v/>
      </c>
      <c r="B13">
        <f>IF([1]WorkGroups!$B$14="","",[1]WorkGroups!$B$14)</f>
        <v/>
      </c>
      <c r="C13">
        <f>IF([1]WorkGroups!$B$14="","",[1]WorkGroups!$C$14)</f>
        <v/>
      </c>
      <c r="E13">
        <f>IF([1]Staff!$A$14="","",[1]Staff!$A$14)</f>
        <v/>
      </c>
      <c r="F13">
        <f>IF([1]Staff!$C$14="","",[1]Staff!$C$14)</f>
        <v/>
      </c>
      <c r="G13">
        <f>IF([1]Staff!$D$14="","",[1]Staff!$D$14)</f>
        <v/>
      </c>
      <c r="H13">
        <f>IF([1]Staff!$E$14="","",[1]Staff!$E$14)</f>
        <v/>
      </c>
      <c r="I13">
        <f>IF([1]Staff!$F$14="","",[1]Staff!$F$14)</f>
        <v/>
      </c>
      <c r="K13">
        <f>IF([1]Accounts!$D$14="","",[1]Accounts!$A$14)</f>
        <v/>
      </c>
      <c r="L13">
        <f>IF([1]Accounts!$D$14="","",[1]Accounts!$B$14)</f>
        <v/>
      </c>
      <c r="M13">
        <f>IF([1]Accounts!$D$14="","",[1]Accounts!$C$14)</f>
        <v/>
      </c>
      <c r="N13">
        <f>IF([1]Accounts!$D$14="","",[1]Accounts!$D$14)</f>
        <v/>
      </c>
      <c r="P13">
        <f>IF([2]Entry!$C$16="","",[2]Entry!$C$16)</f>
        <v/>
      </c>
      <c r="Q13">
        <f>IF([2]Entry!$D$16="","",[2]Entry!$D$16)</f>
        <v/>
      </c>
      <c r="R13">
        <f>IF([2]Entry!$E$16="","",[2]Entry!$E$16)</f>
        <v/>
      </c>
      <c r="S13">
        <f>IF([2]Entry!$G$16="","",[2]Entry!$G$16)</f>
        <v/>
      </c>
      <c r="T13">
        <f>IF([2]Entry!$J$16="","",[2]Entry!$J$16)</f>
        <v/>
      </c>
      <c r="U13">
        <f>IF([2]Entry!$K$16="","",[2]Entry!$K$16)</f>
        <v/>
      </c>
      <c r="V13">
        <f>IF([2]Entry!$L$16="","",[2]Entry!$L$16)</f>
        <v/>
      </c>
      <c r="W13">
        <f>IF([2]Entry!$M$16="","",[2]Entry!$M$16)</f>
        <v/>
      </c>
      <c r="X13">
        <f>IF([2]Entry!$N$16="","",[2]Entry!$N$16)</f>
        <v/>
      </c>
      <c r="Y13">
        <f>IF([2]Entry!$R$16="","",[2]Entry!$R$16)</f>
        <v/>
      </c>
      <c r="AA13">
        <f>IF(AND($E13&lt;&gt;"",IFERROR(VLOOKUP($E13,AcctTblE,4,0),"")&lt;&gt;""),1,0)</f>
        <v/>
      </c>
      <c r="AB13">
        <f>SUM($AA$6:$AA13)</f>
        <v/>
      </c>
      <c r="AC13">
        <f>IFERROR(INDEX($E$6:$E$55,MATCH(ROW()-5,$AB$6:$AB$55,0)),"")</f>
        <v/>
      </c>
      <c r="AE13">
        <f>IF(AND($A13&lt;&gt;"",$B13&lt;&gt;""),1,0)</f>
        <v/>
      </c>
      <c r="AF13">
        <f>SUM($AE$6:$AE13)</f>
        <v/>
      </c>
      <c r="AG13">
        <f>IFERROR(INDEX($A$6:$A$35,MATCH(ROW()-5,$AF$6:$AF$35,0)),"")</f>
        <v/>
      </c>
    </row>
    <row r="14">
      <c r="A14">
        <f>IF([1]WorkGroups!$B$15="","",[1]WorkGroups!$A$15)</f>
        <v/>
      </c>
      <c r="B14">
        <f>IF([1]WorkGroups!$B$15="","",[1]WorkGroups!$B$15)</f>
        <v/>
      </c>
      <c r="C14">
        <f>IF([1]WorkGroups!$B$15="","",[1]WorkGroups!$C$15)</f>
        <v/>
      </c>
      <c r="E14">
        <f>IF([1]Staff!$A$15="","",[1]Staff!$A$15)</f>
        <v/>
      </c>
      <c r="F14">
        <f>IF([1]Staff!$C$15="","",[1]Staff!$C$15)</f>
        <v/>
      </c>
      <c r="G14">
        <f>IF([1]Staff!$D$15="","",[1]Staff!$D$15)</f>
        <v/>
      </c>
      <c r="H14">
        <f>IF([1]Staff!$E$15="","",[1]Staff!$E$15)</f>
        <v/>
      </c>
      <c r="I14">
        <f>IF([1]Staff!$F$15="","",[1]Staff!$F$15)</f>
        <v/>
      </c>
      <c r="K14">
        <f>IF([1]Accounts!$D$15="","",[1]Accounts!$A$15)</f>
        <v/>
      </c>
      <c r="L14">
        <f>IF([1]Accounts!$D$15="","",[1]Accounts!$B$15)</f>
        <v/>
      </c>
      <c r="M14">
        <f>IF([1]Accounts!$D$15="","",[1]Accounts!$C$15)</f>
        <v/>
      </c>
      <c r="N14">
        <f>IF([1]Accounts!$D$15="","",[1]Accounts!$D$15)</f>
        <v/>
      </c>
      <c r="P14">
        <f>IF([2]Entry!$C$17="","",[2]Entry!$C$17)</f>
        <v/>
      </c>
      <c r="Q14">
        <f>IF([2]Entry!$D$17="","",[2]Entry!$D$17)</f>
        <v/>
      </c>
      <c r="R14">
        <f>IF([2]Entry!$E$17="","",[2]Entry!$E$17)</f>
        <v/>
      </c>
      <c r="S14">
        <f>IF([2]Entry!$G$17="","",[2]Entry!$G$17)</f>
        <v/>
      </c>
      <c r="T14">
        <f>IF([2]Entry!$J$17="","",[2]Entry!$J$17)</f>
        <v/>
      </c>
      <c r="U14">
        <f>IF([2]Entry!$K$17="","",[2]Entry!$K$17)</f>
        <v/>
      </c>
      <c r="V14">
        <f>IF([2]Entry!$L$17="","",[2]Entry!$L$17)</f>
        <v/>
      </c>
      <c r="W14">
        <f>IF([2]Entry!$M$17="","",[2]Entry!$M$17)</f>
        <v/>
      </c>
      <c r="X14">
        <f>IF([2]Entry!$N$17="","",[2]Entry!$N$17)</f>
        <v/>
      </c>
      <c r="Y14">
        <f>IF([2]Entry!$R$17="","",[2]Entry!$R$17)</f>
        <v/>
      </c>
      <c r="AA14">
        <f>IF(AND($E14&lt;&gt;"",IFERROR(VLOOKUP($E14,AcctTblE,4,0),"")&lt;&gt;""),1,0)</f>
        <v/>
      </c>
      <c r="AB14">
        <f>SUM($AA$6:$AA14)</f>
        <v/>
      </c>
      <c r="AC14">
        <f>IFERROR(INDEX($E$6:$E$55,MATCH(ROW()-5,$AB$6:$AB$55,0)),"")</f>
        <v/>
      </c>
      <c r="AE14">
        <f>IF(AND($A14&lt;&gt;"",$B14&lt;&gt;""),1,0)</f>
        <v/>
      </c>
      <c r="AF14">
        <f>SUM($AE$6:$AE14)</f>
        <v/>
      </c>
      <c r="AG14">
        <f>IFERROR(INDEX($A$6:$A$35,MATCH(ROW()-5,$AF$6:$AF$35,0)),"")</f>
        <v/>
      </c>
    </row>
    <row r="15">
      <c r="A15">
        <f>IF([1]WorkGroups!$B$16="","",[1]WorkGroups!$A$16)</f>
        <v/>
      </c>
      <c r="B15">
        <f>IF([1]WorkGroups!$B$16="","",[1]WorkGroups!$B$16)</f>
        <v/>
      </c>
      <c r="C15">
        <f>IF([1]WorkGroups!$B$16="","",[1]WorkGroups!$C$16)</f>
        <v/>
      </c>
      <c r="E15">
        <f>IF([1]Staff!$A$16="","",[1]Staff!$A$16)</f>
        <v/>
      </c>
      <c r="F15">
        <f>IF([1]Staff!$C$16="","",[1]Staff!$C$16)</f>
        <v/>
      </c>
      <c r="G15">
        <f>IF([1]Staff!$D$16="","",[1]Staff!$D$16)</f>
        <v/>
      </c>
      <c r="H15">
        <f>IF([1]Staff!$E$16="","",[1]Staff!$E$16)</f>
        <v/>
      </c>
      <c r="I15">
        <f>IF([1]Staff!$F$16="","",[1]Staff!$F$16)</f>
        <v/>
      </c>
      <c r="K15">
        <f>IF([1]Accounts!$D$16="","",[1]Accounts!$A$16)</f>
        <v/>
      </c>
      <c r="L15">
        <f>IF([1]Accounts!$D$16="","",[1]Accounts!$B$16)</f>
        <v/>
      </c>
      <c r="M15">
        <f>IF([1]Accounts!$D$16="","",[1]Accounts!$C$16)</f>
        <v/>
      </c>
      <c r="N15">
        <f>IF([1]Accounts!$D$16="","",[1]Accounts!$D$16)</f>
        <v/>
      </c>
      <c r="P15">
        <f>IF([2]Entry!$C$18="","",[2]Entry!$C$18)</f>
        <v/>
      </c>
      <c r="Q15">
        <f>IF([2]Entry!$D$18="","",[2]Entry!$D$18)</f>
        <v/>
      </c>
      <c r="R15">
        <f>IF([2]Entry!$E$18="","",[2]Entry!$E$18)</f>
        <v/>
      </c>
      <c r="S15">
        <f>IF([2]Entry!$G$18="","",[2]Entry!$G$18)</f>
        <v/>
      </c>
      <c r="T15">
        <f>IF([2]Entry!$J$18="","",[2]Entry!$J$18)</f>
        <v/>
      </c>
      <c r="U15">
        <f>IF([2]Entry!$K$18="","",[2]Entry!$K$18)</f>
        <v/>
      </c>
      <c r="V15">
        <f>IF([2]Entry!$L$18="","",[2]Entry!$L$18)</f>
        <v/>
      </c>
      <c r="W15">
        <f>IF([2]Entry!$M$18="","",[2]Entry!$M$18)</f>
        <v/>
      </c>
      <c r="X15">
        <f>IF([2]Entry!$N$18="","",[2]Entry!$N$18)</f>
        <v/>
      </c>
      <c r="Y15">
        <f>IF([2]Entry!$R$18="","",[2]Entry!$R$18)</f>
        <v/>
      </c>
      <c r="AA15">
        <f>IF(AND($E15&lt;&gt;"",IFERROR(VLOOKUP($E15,AcctTblE,4,0),"")&lt;&gt;""),1,0)</f>
        <v/>
      </c>
      <c r="AB15">
        <f>SUM($AA$6:$AA15)</f>
        <v/>
      </c>
      <c r="AC15">
        <f>IFERROR(INDEX($E$6:$E$55,MATCH(ROW()-5,$AB$6:$AB$55,0)),"")</f>
        <v/>
      </c>
      <c r="AE15">
        <f>IF(AND($A15&lt;&gt;"",$B15&lt;&gt;""),1,0)</f>
        <v/>
      </c>
      <c r="AF15">
        <f>SUM($AE$6:$AE15)</f>
        <v/>
      </c>
      <c r="AG15">
        <f>IFERROR(INDEX($A$6:$A$35,MATCH(ROW()-5,$AF$6:$AF$35,0)),"")</f>
        <v/>
      </c>
    </row>
    <row r="16">
      <c r="A16">
        <f>IF([1]WorkGroups!$B$17="","",[1]WorkGroups!$A$17)</f>
        <v/>
      </c>
      <c r="B16">
        <f>IF([1]WorkGroups!$B$17="","",[1]WorkGroups!$B$17)</f>
        <v/>
      </c>
      <c r="C16">
        <f>IF([1]WorkGroups!$B$17="","",[1]WorkGroups!$C$17)</f>
        <v/>
      </c>
      <c r="E16">
        <f>IF([1]Staff!$A$17="","",[1]Staff!$A$17)</f>
        <v/>
      </c>
      <c r="F16">
        <f>IF([1]Staff!$C$17="","",[1]Staff!$C$17)</f>
        <v/>
      </c>
      <c r="G16">
        <f>IF([1]Staff!$D$17="","",[1]Staff!$D$17)</f>
        <v/>
      </c>
      <c r="H16">
        <f>IF([1]Staff!$E$17="","",[1]Staff!$E$17)</f>
        <v/>
      </c>
      <c r="I16">
        <f>IF([1]Staff!$F$17="","",[1]Staff!$F$17)</f>
        <v/>
      </c>
      <c r="K16">
        <f>IF([1]Accounts!$D$17="","",[1]Accounts!$A$17)</f>
        <v/>
      </c>
      <c r="L16">
        <f>IF([1]Accounts!$D$17="","",[1]Accounts!$B$17)</f>
        <v/>
      </c>
      <c r="M16">
        <f>IF([1]Accounts!$D$17="","",[1]Accounts!$C$17)</f>
        <v/>
      </c>
      <c r="N16">
        <f>IF([1]Accounts!$D$17="","",[1]Accounts!$D$17)</f>
        <v/>
      </c>
      <c r="P16">
        <f>IF([2]Entry!$C$19="","",[2]Entry!$C$19)</f>
        <v/>
      </c>
      <c r="Q16">
        <f>IF([2]Entry!$D$19="","",[2]Entry!$D$19)</f>
        <v/>
      </c>
      <c r="R16">
        <f>IF([2]Entry!$E$19="","",[2]Entry!$E$19)</f>
        <v/>
      </c>
      <c r="S16">
        <f>IF([2]Entry!$G$19="","",[2]Entry!$G$19)</f>
        <v/>
      </c>
      <c r="T16">
        <f>IF([2]Entry!$J$19="","",[2]Entry!$J$19)</f>
        <v/>
      </c>
      <c r="U16">
        <f>IF([2]Entry!$K$19="","",[2]Entry!$K$19)</f>
        <v/>
      </c>
      <c r="V16">
        <f>IF([2]Entry!$L$19="","",[2]Entry!$L$19)</f>
        <v/>
      </c>
      <c r="W16">
        <f>IF([2]Entry!$M$19="","",[2]Entry!$M$19)</f>
        <v/>
      </c>
      <c r="X16">
        <f>IF([2]Entry!$N$19="","",[2]Entry!$N$19)</f>
        <v/>
      </c>
      <c r="Y16">
        <f>IF([2]Entry!$R$19="","",[2]Entry!$R$19)</f>
        <v/>
      </c>
      <c r="AA16">
        <f>IF(AND($E16&lt;&gt;"",IFERROR(VLOOKUP($E16,AcctTblE,4,0),"")&lt;&gt;""),1,0)</f>
        <v/>
      </c>
      <c r="AB16">
        <f>SUM($AA$6:$AA16)</f>
        <v/>
      </c>
      <c r="AC16">
        <f>IFERROR(INDEX($E$6:$E$55,MATCH(ROW()-5,$AB$6:$AB$55,0)),"")</f>
        <v/>
      </c>
      <c r="AE16">
        <f>IF(AND($A16&lt;&gt;"",$B16&lt;&gt;""),1,0)</f>
        <v/>
      </c>
      <c r="AF16">
        <f>SUM($AE$6:$AE16)</f>
        <v/>
      </c>
      <c r="AG16">
        <f>IFERROR(INDEX($A$6:$A$35,MATCH(ROW()-5,$AF$6:$AF$35,0)),"")</f>
        <v/>
      </c>
    </row>
    <row r="17">
      <c r="A17">
        <f>IF([1]WorkGroups!$B$18="","",[1]WorkGroups!$A$18)</f>
        <v/>
      </c>
      <c r="B17">
        <f>IF([1]WorkGroups!$B$18="","",[1]WorkGroups!$B$18)</f>
        <v/>
      </c>
      <c r="C17">
        <f>IF([1]WorkGroups!$B$18="","",[1]WorkGroups!$C$18)</f>
        <v/>
      </c>
      <c r="E17">
        <f>IF([1]Staff!$A$18="","",[1]Staff!$A$18)</f>
        <v/>
      </c>
      <c r="F17">
        <f>IF([1]Staff!$C$18="","",[1]Staff!$C$18)</f>
        <v/>
      </c>
      <c r="G17">
        <f>IF([1]Staff!$D$18="","",[1]Staff!$D$18)</f>
        <v/>
      </c>
      <c r="H17">
        <f>IF([1]Staff!$E$18="","",[1]Staff!$E$18)</f>
        <v/>
      </c>
      <c r="I17">
        <f>IF([1]Staff!$F$18="","",[1]Staff!$F$18)</f>
        <v/>
      </c>
      <c r="K17">
        <f>IF([1]Accounts!$D$18="","",[1]Accounts!$A$18)</f>
        <v/>
      </c>
      <c r="L17">
        <f>IF([1]Accounts!$D$18="","",[1]Accounts!$B$18)</f>
        <v/>
      </c>
      <c r="M17">
        <f>IF([1]Accounts!$D$18="","",[1]Accounts!$C$18)</f>
        <v/>
      </c>
      <c r="N17">
        <f>IF([1]Accounts!$D$18="","",[1]Accounts!$D$18)</f>
        <v/>
      </c>
      <c r="P17">
        <f>IF([2]Entry!$C$20="","",[2]Entry!$C$20)</f>
        <v/>
      </c>
      <c r="Q17">
        <f>IF([2]Entry!$D$20="","",[2]Entry!$D$20)</f>
        <v/>
      </c>
      <c r="R17">
        <f>IF([2]Entry!$E$20="","",[2]Entry!$E$20)</f>
        <v/>
      </c>
      <c r="S17">
        <f>IF([2]Entry!$G$20="","",[2]Entry!$G$20)</f>
        <v/>
      </c>
      <c r="T17">
        <f>IF([2]Entry!$J$20="","",[2]Entry!$J$20)</f>
        <v/>
      </c>
      <c r="U17">
        <f>IF([2]Entry!$K$20="","",[2]Entry!$K$20)</f>
        <v/>
      </c>
      <c r="V17">
        <f>IF([2]Entry!$L$20="","",[2]Entry!$L$20)</f>
        <v/>
      </c>
      <c r="W17">
        <f>IF([2]Entry!$M$20="","",[2]Entry!$M$20)</f>
        <v/>
      </c>
      <c r="X17">
        <f>IF([2]Entry!$N$20="","",[2]Entry!$N$20)</f>
        <v/>
      </c>
      <c r="Y17">
        <f>IF([2]Entry!$R$20="","",[2]Entry!$R$20)</f>
        <v/>
      </c>
      <c r="AA17">
        <f>IF(AND($E17&lt;&gt;"",IFERROR(VLOOKUP($E17,AcctTblE,4,0),"")&lt;&gt;""),1,0)</f>
        <v/>
      </c>
      <c r="AB17">
        <f>SUM($AA$6:$AA17)</f>
        <v/>
      </c>
      <c r="AC17">
        <f>IFERROR(INDEX($E$6:$E$55,MATCH(ROW()-5,$AB$6:$AB$55,0)),"")</f>
        <v/>
      </c>
      <c r="AE17">
        <f>IF(AND($A17&lt;&gt;"",$B17&lt;&gt;""),1,0)</f>
        <v/>
      </c>
      <c r="AF17">
        <f>SUM($AE$6:$AE17)</f>
        <v/>
      </c>
      <c r="AG17">
        <f>IFERROR(INDEX($A$6:$A$35,MATCH(ROW()-5,$AF$6:$AF$35,0)),"")</f>
        <v/>
      </c>
    </row>
    <row r="18">
      <c r="A18">
        <f>IF([1]WorkGroups!$B$19="","",[1]WorkGroups!$A$19)</f>
        <v/>
      </c>
      <c r="B18">
        <f>IF([1]WorkGroups!$B$19="","",[1]WorkGroups!$B$19)</f>
        <v/>
      </c>
      <c r="C18">
        <f>IF([1]WorkGroups!$B$19="","",[1]WorkGroups!$C$19)</f>
        <v/>
      </c>
      <c r="E18">
        <f>IF([1]Staff!$A$19="","",[1]Staff!$A$19)</f>
        <v/>
      </c>
      <c r="F18">
        <f>IF([1]Staff!$C$19="","",[1]Staff!$C$19)</f>
        <v/>
      </c>
      <c r="G18">
        <f>IF([1]Staff!$D$19="","",[1]Staff!$D$19)</f>
        <v/>
      </c>
      <c r="H18">
        <f>IF([1]Staff!$E$19="","",[1]Staff!$E$19)</f>
        <v/>
      </c>
      <c r="I18">
        <f>IF([1]Staff!$F$19="","",[1]Staff!$F$19)</f>
        <v/>
      </c>
      <c r="K18">
        <f>IF([1]Accounts!$D$19="","",[1]Accounts!$A$19)</f>
        <v/>
      </c>
      <c r="L18">
        <f>IF([1]Accounts!$D$19="","",[1]Accounts!$B$19)</f>
        <v/>
      </c>
      <c r="M18">
        <f>IF([1]Accounts!$D$19="","",[1]Accounts!$C$19)</f>
        <v/>
      </c>
      <c r="N18">
        <f>IF([1]Accounts!$D$19="","",[1]Accounts!$D$19)</f>
        <v/>
      </c>
      <c r="P18">
        <f>IF([2]Entry!$C$21="","",[2]Entry!$C$21)</f>
        <v/>
      </c>
      <c r="Q18">
        <f>IF([2]Entry!$D$21="","",[2]Entry!$D$21)</f>
        <v/>
      </c>
      <c r="R18">
        <f>IF([2]Entry!$E$21="","",[2]Entry!$E$21)</f>
        <v/>
      </c>
      <c r="S18">
        <f>IF([2]Entry!$G$21="","",[2]Entry!$G$21)</f>
        <v/>
      </c>
      <c r="T18">
        <f>IF([2]Entry!$J$21="","",[2]Entry!$J$21)</f>
        <v/>
      </c>
      <c r="U18">
        <f>IF([2]Entry!$K$21="","",[2]Entry!$K$21)</f>
        <v/>
      </c>
      <c r="V18">
        <f>IF([2]Entry!$L$21="","",[2]Entry!$L$21)</f>
        <v/>
      </c>
      <c r="W18">
        <f>IF([2]Entry!$M$21="","",[2]Entry!$M$21)</f>
        <v/>
      </c>
      <c r="X18">
        <f>IF([2]Entry!$N$21="","",[2]Entry!$N$21)</f>
        <v/>
      </c>
      <c r="Y18">
        <f>IF([2]Entry!$R$21="","",[2]Entry!$R$21)</f>
        <v/>
      </c>
      <c r="AA18">
        <f>IF(AND($E18&lt;&gt;"",IFERROR(VLOOKUP($E18,AcctTblE,4,0),"")&lt;&gt;""),1,0)</f>
        <v/>
      </c>
      <c r="AB18">
        <f>SUM($AA$6:$AA18)</f>
        <v/>
      </c>
      <c r="AC18">
        <f>IFERROR(INDEX($E$6:$E$55,MATCH(ROW()-5,$AB$6:$AB$55,0)),"")</f>
        <v/>
      </c>
      <c r="AE18">
        <f>IF(AND($A18&lt;&gt;"",$B18&lt;&gt;""),1,0)</f>
        <v/>
      </c>
      <c r="AF18">
        <f>SUM($AE$6:$AE18)</f>
        <v/>
      </c>
      <c r="AG18">
        <f>IFERROR(INDEX($A$6:$A$35,MATCH(ROW()-5,$AF$6:$AF$35,0)),"")</f>
        <v/>
      </c>
    </row>
    <row r="19">
      <c r="A19">
        <f>IF([1]WorkGroups!$B$20="","",[1]WorkGroups!$A$20)</f>
        <v/>
      </c>
      <c r="B19">
        <f>IF([1]WorkGroups!$B$20="","",[1]WorkGroups!$B$20)</f>
        <v/>
      </c>
      <c r="C19">
        <f>IF([1]WorkGroups!$B$20="","",[1]WorkGroups!$C$20)</f>
        <v/>
      </c>
      <c r="E19">
        <f>IF([1]Staff!$A$20="","",[1]Staff!$A$20)</f>
        <v/>
      </c>
      <c r="F19">
        <f>IF([1]Staff!$C$20="","",[1]Staff!$C$20)</f>
        <v/>
      </c>
      <c r="G19">
        <f>IF([1]Staff!$D$20="","",[1]Staff!$D$20)</f>
        <v/>
      </c>
      <c r="H19">
        <f>IF([1]Staff!$E$20="","",[1]Staff!$E$20)</f>
        <v/>
      </c>
      <c r="I19">
        <f>IF([1]Staff!$F$20="","",[1]Staff!$F$20)</f>
        <v/>
      </c>
      <c r="K19">
        <f>IF([1]Accounts!$D$20="","",[1]Accounts!$A$20)</f>
        <v/>
      </c>
      <c r="L19">
        <f>IF([1]Accounts!$D$20="","",[1]Accounts!$B$20)</f>
        <v/>
      </c>
      <c r="M19">
        <f>IF([1]Accounts!$D$20="","",[1]Accounts!$C$20)</f>
        <v/>
      </c>
      <c r="N19">
        <f>IF([1]Accounts!$D$20="","",[1]Accounts!$D$20)</f>
        <v/>
      </c>
      <c r="P19">
        <f>IF([2]Entry!$C$22="","",[2]Entry!$C$22)</f>
        <v/>
      </c>
      <c r="Q19">
        <f>IF([2]Entry!$D$22="","",[2]Entry!$D$22)</f>
        <v/>
      </c>
      <c r="R19">
        <f>IF([2]Entry!$E$22="","",[2]Entry!$E$22)</f>
        <v/>
      </c>
      <c r="S19">
        <f>IF([2]Entry!$G$22="","",[2]Entry!$G$22)</f>
        <v/>
      </c>
      <c r="T19">
        <f>IF([2]Entry!$J$22="","",[2]Entry!$J$22)</f>
        <v/>
      </c>
      <c r="U19">
        <f>IF([2]Entry!$K$22="","",[2]Entry!$K$22)</f>
        <v/>
      </c>
      <c r="V19">
        <f>IF([2]Entry!$L$22="","",[2]Entry!$L$22)</f>
        <v/>
      </c>
      <c r="W19">
        <f>IF([2]Entry!$M$22="","",[2]Entry!$M$22)</f>
        <v/>
      </c>
      <c r="X19">
        <f>IF([2]Entry!$N$22="","",[2]Entry!$N$22)</f>
        <v/>
      </c>
      <c r="Y19">
        <f>IF([2]Entry!$R$22="","",[2]Entry!$R$22)</f>
        <v/>
      </c>
      <c r="AA19">
        <f>IF(AND($E19&lt;&gt;"",IFERROR(VLOOKUP($E19,AcctTblE,4,0),"")&lt;&gt;""),1,0)</f>
        <v/>
      </c>
      <c r="AB19">
        <f>SUM($AA$6:$AA19)</f>
        <v/>
      </c>
      <c r="AC19">
        <f>IFERROR(INDEX($E$6:$E$55,MATCH(ROW()-5,$AB$6:$AB$55,0)),"")</f>
        <v/>
      </c>
      <c r="AE19">
        <f>IF(AND($A19&lt;&gt;"",$B19&lt;&gt;""),1,0)</f>
        <v/>
      </c>
      <c r="AF19">
        <f>SUM($AE$6:$AE19)</f>
        <v/>
      </c>
      <c r="AG19">
        <f>IFERROR(INDEX($A$6:$A$35,MATCH(ROW()-5,$AF$6:$AF$35,0)),"")</f>
        <v/>
      </c>
    </row>
    <row r="20">
      <c r="A20">
        <f>IF([1]WorkGroups!$B$21="","",[1]WorkGroups!$A$21)</f>
        <v/>
      </c>
      <c r="B20">
        <f>IF([1]WorkGroups!$B$21="","",[1]WorkGroups!$B$21)</f>
        <v/>
      </c>
      <c r="C20">
        <f>IF([1]WorkGroups!$B$21="","",[1]WorkGroups!$C$21)</f>
        <v/>
      </c>
      <c r="E20">
        <f>IF([1]Staff!$A$21="","",[1]Staff!$A$21)</f>
        <v/>
      </c>
      <c r="F20">
        <f>IF([1]Staff!$C$21="","",[1]Staff!$C$21)</f>
        <v/>
      </c>
      <c r="G20">
        <f>IF([1]Staff!$D$21="","",[1]Staff!$D$21)</f>
        <v/>
      </c>
      <c r="H20">
        <f>IF([1]Staff!$E$21="","",[1]Staff!$E$21)</f>
        <v/>
      </c>
      <c r="I20">
        <f>IF([1]Staff!$F$21="","",[1]Staff!$F$21)</f>
        <v/>
      </c>
      <c r="K20">
        <f>IF([1]Accounts!$D$21="","",[1]Accounts!$A$21)</f>
        <v/>
      </c>
      <c r="L20">
        <f>IF([1]Accounts!$D$21="","",[1]Accounts!$B$21)</f>
        <v/>
      </c>
      <c r="M20">
        <f>IF([1]Accounts!$D$21="","",[1]Accounts!$C$21)</f>
        <v/>
      </c>
      <c r="N20">
        <f>IF([1]Accounts!$D$21="","",[1]Accounts!$D$21)</f>
        <v/>
      </c>
      <c r="P20">
        <f>IF([2]Entry!$C$23="","",[2]Entry!$C$23)</f>
        <v/>
      </c>
      <c r="Q20">
        <f>IF([2]Entry!$D$23="","",[2]Entry!$D$23)</f>
        <v/>
      </c>
      <c r="R20">
        <f>IF([2]Entry!$E$23="","",[2]Entry!$E$23)</f>
        <v/>
      </c>
      <c r="S20">
        <f>IF([2]Entry!$G$23="","",[2]Entry!$G$23)</f>
        <v/>
      </c>
      <c r="T20">
        <f>IF([2]Entry!$J$23="","",[2]Entry!$J$23)</f>
        <v/>
      </c>
      <c r="U20">
        <f>IF([2]Entry!$K$23="","",[2]Entry!$K$23)</f>
        <v/>
      </c>
      <c r="V20">
        <f>IF([2]Entry!$L$23="","",[2]Entry!$L$23)</f>
        <v/>
      </c>
      <c r="W20">
        <f>IF([2]Entry!$M$23="","",[2]Entry!$M$23)</f>
        <v/>
      </c>
      <c r="X20">
        <f>IF([2]Entry!$N$23="","",[2]Entry!$N$23)</f>
        <v/>
      </c>
      <c r="Y20">
        <f>IF([2]Entry!$R$23="","",[2]Entry!$R$23)</f>
        <v/>
      </c>
      <c r="AA20">
        <f>IF(AND($E20&lt;&gt;"",IFERROR(VLOOKUP($E20,AcctTblE,4,0),"")&lt;&gt;""),1,0)</f>
        <v/>
      </c>
      <c r="AB20">
        <f>SUM($AA$6:$AA20)</f>
        <v/>
      </c>
      <c r="AC20">
        <f>IFERROR(INDEX($E$6:$E$55,MATCH(ROW()-5,$AB$6:$AB$55,0)),"")</f>
        <v/>
      </c>
      <c r="AE20">
        <f>IF(AND($A20&lt;&gt;"",$B20&lt;&gt;""),1,0)</f>
        <v/>
      </c>
      <c r="AF20">
        <f>SUM($AE$6:$AE20)</f>
        <v/>
      </c>
      <c r="AG20">
        <f>IFERROR(INDEX($A$6:$A$35,MATCH(ROW()-5,$AF$6:$AF$35,0)),"")</f>
        <v/>
      </c>
    </row>
    <row r="21">
      <c r="A21">
        <f>IF([1]WorkGroups!$B$22="","",[1]WorkGroups!$A$22)</f>
        <v/>
      </c>
      <c r="B21">
        <f>IF([1]WorkGroups!$B$22="","",[1]WorkGroups!$B$22)</f>
        <v/>
      </c>
      <c r="C21">
        <f>IF([1]WorkGroups!$B$22="","",[1]WorkGroups!$C$22)</f>
        <v/>
      </c>
      <c r="E21">
        <f>IF([1]Staff!$A$22="","",[1]Staff!$A$22)</f>
        <v/>
      </c>
      <c r="F21">
        <f>IF([1]Staff!$C$22="","",[1]Staff!$C$22)</f>
        <v/>
      </c>
      <c r="G21">
        <f>IF([1]Staff!$D$22="","",[1]Staff!$D$22)</f>
        <v/>
      </c>
      <c r="H21">
        <f>IF([1]Staff!$E$22="","",[1]Staff!$E$22)</f>
        <v/>
      </c>
      <c r="I21">
        <f>IF([1]Staff!$F$22="","",[1]Staff!$F$22)</f>
        <v/>
      </c>
      <c r="K21">
        <f>IF([1]Accounts!$D$22="","",[1]Accounts!$A$22)</f>
        <v/>
      </c>
      <c r="L21">
        <f>IF([1]Accounts!$D$22="","",[1]Accounts!$B$22)</f>
        <v/>
      </c>
      <c r="M21">
        <f>IF([1]Accounts!$D$22="","",[1]Accounts!$C$22)</f>
        <v/>
      </c>
      <c r="N21">
        <f>IF([1]Accounts!$D$22="","",[1]Accounts!$D$22)</f>
        <v/>
      </c>
      <c r="P21">
        <f>IF([2]Entry!$C$24="","",[2]Entry!$C$24)</f>
        <v/>
      </c>
      <c r="Q21">
        <f>IF([2]Entry!$D$24="","",[2]Entry!$D$24)</f>
        <v/>
      </c>
      <c r="R21">
        <f>IF([2]Entry!$E$24="","",[2]Entry!$E$24)</f>
        <v/>
      </c>
      <c r="S21">
        <f>IF([2]Entry!$G$24="","",[2]Entry!$G$24)</f>
        <v/>
      </c>
      <c r="T21">
        <f>IF([2]Entry!$J$24="","",[2]Entry!$J$24)</f>
        <v/>
      </c>
      <c r="U21">
        <f>IF([2]Entry!$K$24="","",[2]Entry!$K$24)</f>
        <v/>
      </c>
      <c r="V21">
        <f>IF([2]Entry!$L$24="","",[2]Entry!$L$24)</f>
        <v/>
      </c>
      <c r="W21">
        <f>IF([2]Entry!$M$24="","",[2]Entry!$M$24)</f>
        <v/>
      </c>
      <c r="X21">
        <f>IF([2]Entry!$N$24="","",[2]Entry!$N$24)</f>
        <v/>
      </c>
      <c r="Y21">
        <f>IF([2]Entry!$R$24="","",[2]Entry!$R$24)</f>
        <v/>
      </c>
      <c r="AA21">
        <f>IF(AND($E21&lt;&gt;"",IFERROR(VLOOKUP($E21,AcctTblE,4,0),"")&lt;&gt;""),1,0)</f>
        <v/>
      </c>
      <c r="AB21">
        <f>SUM($AA$6:$AA21)</f>
        <v/>
      </c>
      <c r="AC21">
        <f>IFERROR(INDEX($E$6:$E$55,MATCH(ROW()-5,$AB$6:$AB$55,0)),"")</f>
        <v/>
      </c>
      <c r="AE21">
        <f>IF(AND($A21&lt;&gt;"",$B21&lt;&gt;""),1,0)</f>
        <v/>
      </c>
      <c r="AF21">
        <f>SUM($AE$6:$AE21)</f>
        <v/>
      </c>
      <c r="AG21">
        <f>IFERROR(INDEX($A$6:$A$35,MATCH(ROW()-5,$AF$6:$AF$35,0)),"")</f>
        <v/>
      </c>
    </row>
    <row r="22">
      <c r="A22">
        <f>IF([1]WorkGroups!$B$23="","",[1]WorkGroups!$A$23)</f>
        <v/>
      </c>
      <c r="B22">
        <f>IF([1]WorkGroups!$B$23="","",[1]WorkGroups!$B$23)</f>
        <v/>
      </c>
      <c r="C22">
        <f>IF([1]WorkGroups!$B$23="","",[1]WorkGroups!$C$23)</f>
        <v/>
      </c>
      <c r="E22">
        <f>IF([1]Staff!$A$23="","",[1]Staff!$A$23)</f>
        <v/>
      </c>
      <c r="F22">
        <f>IF([1]Staff!$C$23="","",[1]Staff!$C$23)</f>
        <v/>
      </c>
      <c r="G22">
        <f>IF([1]Staff!$D$23="","",[1]Staff!$D$23)</f>
        <v/>
      </c>
      <c r="H22">
        <f>IF([1]Staff!$E$23="","",[1]Staff!$E$23)</f>
        <v/>
      </c>
      <c r="I22">
        <f>IF([1]Staff!$F$23="","",[1]Staff!$F$23)</f>
        <v/>
      </c>
      <c r="K22">
        <f>IF([1]Accounts!$D$23="","",[1]Accounts!$A$23)</f>
        <v/>
      </c>
      <c r="L22">
        <f>IF([1]Accounts!$D$23="","",[1]Accounts!$B$23)</f>
        <v/>
      </c>
      <c r="M22">
        <f>IF([1]Accounts!$D$23="","",[1]Accounts!$C$23)</f>
        <v/>
      </c>
      <c r="N22">
        <f>IF([1]Accounts!$D$23="","",[1]Accounts!$D$23)</f>
        <v/>
      </c>
      <c r="P22">
        <f>IF([2]Entry!$C$25="","",[2]Entry!$C$25)</f>
        <v/>
      </c>
      <c r="Q22">
        <f>IF([2]Entry!$D$25="","",[2]Entry!$D$25)</f>
        <v/>
      </c>
      <c r="R22">
        <f>IF([2]Entry!$E$25="","",[2]Entry!$E$25)</f>
        <v/>
      </c>
      <c r="S22">
        <f>IF([2]Entry!$G$25="","",[2]Entry!$G$25)</f>
        <v/>
      </c>
      <c r="T22">
        <f>IF([2]Entry!$J$25="","",[2]Entry!$J$25)</f>
        <v/>
      </c>
      <c r="U22">
        <f>IF([2]Entry!$K$25="","",[2]Entry!$K$25)</f>
        <v/>
      </c>
      <c r="V22">
        <f>IF([2]Entry!$L$25="","",[2]Entry!$L$25)</f>
        <v/>
      </c>
      <c r="W22">
        <f>IF([2]Entry!$M$25="","",[2]Entry!$M$25)</f>
        <v/>
      </c>
      <c r="X22">
        <f>IF([2]Entry!$N$25="","",[2]Entry!$N$25)</f>
        <v/>
      </c>
      <c r="Y22">
        <f>IF([2]Entry!$R$25="","",[2]Entry!$R$25)</f>
        <v/>
      </c>
      <c r="AA22">
        <f>IF(AND($E22&lt;&gt;"",IFERROR(VLOOKUP($E22,AcctTblE,4,0),"")&lt;&gt;""),1,0)</f>
        <v/>
      </c>
      <c r="AB22">
        <f>SUM($AA$6:$AA22)</f>
        <v/>
      </c>
      <c r="AC22">
        <f>IFERROR(INDEX($E$6:$E$55,MATCH(ROW()-5,$AB$6:$AB$55,0)),"")</f>
        <v/>
      </c>
      <c r="AE22">
        <f>IF(AND($A22&lt;&gt;"",$B22&lt;&gt;""),1,0)</f>
        <v/>
      </c>
      <c r="AF22">
        <f>SUM($AE$6:$AE22)</f>
        <v/>
      </c>
      <c r="AG22">
        <f>IFERROR(INDEX($A$6:$A$35,MATCH(ROW()-5,$AF$6:$AF$35,0)),"")</f>
        <v/>
      </c>
    </row>
    <row r="23">
      <c r="A23">
        <f>IF([1]WorkGroups!$B$24="","",[1]WorkGroups!$A$24)</f>
        <v/>
      </c>
      <c r="B23">
        <f>IF([1]WorkGroups!$B$24="","",[1]WorkGroups!$B$24)</f>
        <v/>
      </c>
      <c r="C23">
        <f>IF([1]WorkGroups!$B$24="","",[1]WorkGroups!$C$24)</f>
        <v/>
      </c>
      <c r="E23">
        <f>IF([1]Staff!$A$24="","",[1]Staff!$A$24)</f>
        <v/>
      </c>
      <c r="F23">
        <f>IF([1]Staff!$C$24="","",[1]Staff!$C$24)</f>
        <v/>
      </c>
      <c r="G23">
        <f>IF([1]Staff!$D$24="","",[1]Staff!$D$24)</f>
        <v/>
      </c>
      <c r="H23">
        <f>IF([1]Staff!$E$24="","",[1]Staff!$E$24)</f>
        <v/>
      </c>
      <c r="I23">
        <f>IF([1]Staff!$F$24="","",[1]Staff!$F$24)</f>
        <v/>
      </c>
      <c r="K23">
        <f>IF([1]Accounts!$D$24="","",[1]Accounts!$A$24)</f>
        <v/>
      </c>
      <c r="L23">
        <f>IF([1]Accounts!$D$24="","",[1]Accounts!$B$24)</f>
        <v/>
      </c>
      <c r="M23">
        <f>IF([1]Accounts!$D$24="","",[1]Accounts!$C$24)</f>
        <v/>
      </c>
      <c r="N23">
        <f>IF([1]Accounts!$D$24="","",[1]Accounts!$D$24)</f>
        <v/>
      </c>
      <c r="P23">
        <f>IF([2]Entry!$C$26="","",[2]Entry!$C$26)</f>
        <v/>
      </c>
      <c r="Q23">
        <f>IF([2]Entry!$D$26="","",[2]Entry!$D$26)</f>
        <v/>
      </c>
      <c r="R23">
        <f>IF([2]Entry!$E$26="","",[2]Entry!$E$26)</f>
        <v/>
      </c>
      <c r="S23">
        <f>IF([2]Entry!$G$26="","",[2]Entry!$G$26)</f>
        <v/>
      </c>
      <c r="T23">
        <f>IF([2]Entry!$J$26="","",[2]Entry!$J$26)</f>
        <v/>
      </c>
      <c r="U23">
        <f>IF([2]Entry!$K$26="","",[2]Entry!$K$26)</f>
        <v/>
      </c>
      <c r="V23">
        <f>IF([2]Entry!$L$26="","",[2]Entry!$L$26)</f>
        <v/>
      </c>
      <c r="W23">
        <f>IF([2]Entry!$M$26="","",[2]Entry!$M$26)</f>
        <v/>
      </c>
      <c r="X23">
        <f>IF([2]Entry!$N$26="","",[2]Entry!$N$26)</f>
        <v/>
      </c>
      <c r="Y23">
        <f>IF([2]Entry!$R$26="","",[2]Entry!$R$26)</f>
        <v/>
      </c>
      <c r="AA23">
        <f>IF(AND($E23&lt;&gt;"",IFERROR(VLOOKUP($E23,AcctTblE,4,0),"")&lt;&gt;""),1,0)</f>
        <v/>
      </c>
      <c r="AB23">
        <f>SUM($AA$6:$AA23)</f>
        <v/>
      </c>
      <c r="AC23">
        <f>IFERROR(INDEX($E$6:$E$55,MATCH(ROW()-5,$AB$6:$AB$55,0)),"")</f>
        <v/>
      </c>
      <c r="AE23">
        <f>IF(AND($A23&lt;&gt;"",$B23&lt;&gt;""),1,0)</f>
        <v/>
      </c>
      <c r="AF23">
        <f>SUM($AE$6:$AE23)</f>
        <v/>
      </c>
      <c r="AG23">
        <f>IFERROR(INDEX($A$6:$A$35,MATCH(ROW()-5,$AF$6:$AF$35,0)),"")</f>
        <v/>
      </c>
    </row>
    <row r="24">
      <c r="A24">
        <f>IF([1]WorkGroups!$B$25="","",[1]WorkGroups!$A$25)</f>
        <v/>
      </c>
      <c r="B24">
        <f>IF([1]WorkGroups!$B$25="","",[1]WorkGroups!$B$25)</f>
        <v/>
      </c>
      <c r="C24">
        <f>IF([1]WorkGroups!$B$25="","",[1]WorkGroups!$C$25)</f>
        <v/>
      </c>
      <c r="E24">
        <f>IF([1]Staff!$A$25="","",[1]Staff!$A$25)</f>
        <v/>
      </c>
      <c r="F24">
        <f>IF([1]Staff!$C$25="","",[1]Staff!$C$25)</f>
        <v/>
      </c>
      <c r="G24">
        <f>IF([1]Staff!$D$25="","",[1]Staff!$D$25)</f>
        <v/>
      </c>
      <c r="H24">
        <f>IF([1]Staff!$E$25="","",[1]Staff!$E$25)</f>
        <v/>
      </c>
      <c r="I24">
        <f>IF([1]Staff!$F$25="","",[1]Staff!$F$25)</f>
        <v/>
      </c>
      <c r="K24">
        <f>IF([1]Accounts!$D$25="","",[1]Accounts!$A$25)</f>
        <v/>
      </c>
      <c r="L24">
        <f>IF([1]Accounts!$D$25="","",[1]Accounts!$B$25)</f>
        <v/>
      </c>
      <c r="M24">
        <f>IF([1]Accounts!$D$25="","",[1]Accounts!$C$25)</f>
        <v/>
      </c>
      <c r="N24">
        <f>IF([1]Accounts!$D$25="","",[1]Accounts!$D$25)</f>
        <v/>
      </c>
      <c r="P24">
        <f>IF([2]Entry!$C$27="","",[2]Entry!$C$27)</f>
        <v/>
      </c>
      <c r="Q24">
        <f>IF([2]Entry!$D$27="","",[2]Entry!$D$27)</f>
        <v/>
      </c>
      <c r="R24">
        <f>IF([2]Entry!$E$27="","",[2]Entry!$E$27)</f>
        <v/>
      </c>
      <c r="S24">
        <f>IF([2]Entry!$G$27="","",[2]Entry!$G$27)</f>
        <v/>
      </c>
      <c r="T24">
        <f>IF([2]Entry!$J$27="","",[2]Entry!$J$27)</f>
        <v/>
      </c>
      <c r="U24">
        <f>IF([2]Entry!$K$27="","",[2]Entry!$K$27)</f>
        <v/>
      </c>
      <c r="V24">
        <f>IF([2]Entry!$L$27="","",[2]Entry!$L$27)</f>
        <v/>
      </c>
      <c r="W24">
        <f>IF([2]Entry!$M$27="","",[2]Entry!$M$27)</f>
        <v/>
      </c>
      <c r="X24">
        <f>IF([2]Entry!$N$27="","",[2]Entry!$N$27)</f>
        <v/>
      </c>
      <c r="Y24">
        <f>IF([2]Entry!$R$27="","",[2]Entry!$R$27)</f>
        <v/>
      </c>
      <c r="AA24">
        <f>IF(AND($E24&lt;&gt;"",IFERROR(VLOOKUP($E24,AcctTblE,4,0),"")&lt;&gt;""),1,0)</f>
        <v/>
      </c>
      <c r="AB24">
        <f>SUM($AA$6:$AA24)</f>
        <v/>
      </c>
      <c r="AC24">
        <f>IFERROR(INDEX($E$6:$E$55,MATCH(ROW()-5,$AB$6:$AB$55,0)),"")</f>
        <v/>
      </c>
      <c r="AE24">
        <f>IF(AND($A24&lt;&gt;"",$B24&lt;&gt;""),1,0)</f>
        <v/>
      </c>
      <c r="AF24">
        <f>SUM($AE$6:$AE24)</f>
        <v/>
      </c>
      <c r="AG24">
        <f>IFERROR(INDEX($A$6:$A$35,MATCH(ROW()-5,$AF$6:$AF$35,0)),"")</f>
        <v/>
      </c>
    </row>
    <row r="25">
      <c r="A25">
        <f>IF([1]WorkGroups!$B$26="","",[1]WorkGroups!$A$26)</f>
        <v/>
      </c>
      <c r="B25">
        <f>IF([1]WorkGroups!$B$26="","",[1]WorkGroups!$B$26)</f>
        <v/>
      </c>
      <c r="C25">
        <f>IF([1]WorkGroups!$B$26="","",[1]WorkGroups!$C$26)</f>
        <v/>
      </c>
      <c r="E25">
        <f>IF([1]Staff!$A$26="","",[1]Staff!$A$26)</f>
        <v/>
      </c>
      <c r="F25">
        <f>IF([1]Staff!$C$26="","",[1]Staff!$C$26)</f>
        <v/>
      </c>
      <c r="G25">
        <f>IF([1]Staff!$D$26="","",[1]Staff!$D$26)</f>
        <v/>
      </c>
      <c r="H25">
        <f>IF([1]Staff!$E$26="","",[1]Staff!$E$26)</f>
        <v/>
      </c>
      <c r="I25">
        <f>IF([1]Staff!$F$26="","",[1]Staff!$F$26)</f>
        <v/>
      </c>
      <c r="K25">
        <f>IF([1]Accounts!$D$26="","",[1]Accounts!$A$26)</f>
        <v/>
      </c>
      <c r="L25">
        <f>IF([1]Accounts!$D$26="","",[1]Accounts!$B$26)</f>
        <v/>
      </c>
      <c r="M25">
        <f>IF([1]Accounts!$D$26="","",[1]Accounts!$C$26)</f>
        <v/>
      </c>
      <c r="N25">
        <f>IF([1]Accounts!$D$26="","",[1]Accounts!$D$26)</f>
        <v/>
      </c>
      <c r="P25">
        <f>IF([2]Entry!$C$28="","",[2]Entry!$C$28)</f>
        <v/>
      </c>
      <c r="Q25">
        <f>IF([2]Entry!$D$28="","",[2]Entry!$D$28)</f>
        <v/>
      </c>
      <c r="R25">
        <f>IF([2]Entry!$E$28="","",[2]Entry!$E$28)</f>
        <v/>
      </c>
      <c r="S25">
        <f>IF([2]Entry!$G$28="","",[2]Entry!$G$28)</f>
        <v/>
      </c>
      <c r="T25">
        <f>IF([2]Entry!$J$28="","",[2]Entry!$J$28)</f>
        <v/>
      </c>
      <c r="U25">
        <f>IF([2]Entry!$K$28="","",[2]Entry!$K$28)</f>
        <v/>
      </c>
      <c r="V25">
        <f>IF([2]Entry!$L$28="","",[2]Entry!$L$28)</f>
        <v/>
      </c>
      <c r="W25">
        <f>IF([2]Entry!$M$28="","",[2]Entry!$M$28)</f>
        <v/>
      </c>
      <c r="X25">
        <f>IF([2]Entry!$N$28="","",[2]Entry!$N$28)</f>
        <v/>
      </c>
      <c r="Y25">
        <f>IF([2]Entry!$R$28="","",[2]Entry!$R$28)</f>
        <v/>
      </c>
      <c r="AA25">
        <f>IF(AND($E25&lt;&gt;"",IFERROR(VLOOKUP($E25,AcctTblE,4,0),"")&lt;&gt;""),1,0)</f>
        <v/>
      </c>
      <c r="AB25">
        <f>SUM($AA$6:$AA25)</f>
        <v/>
      </c>
      <c r="AC25">
        <f>IFERROR(INDEX($E$6:$E$55,MATCH(ROW()-5,$AB$6:$AB$55,0)),"")</f>
        <v/>
      </c>
      <c r="AE25">
        <f>IF(AND($A25&lt;&gt;"",$B25&lt;&gt;""),1,0)</f>
        <v/>
      </c>
      <c r="AF25">
        <f>SUM($AE$6:$AE25)</f>
        <v/>
      </c>
      <c r="AG25">
        <f>IFERROR(INDEX($A$6:$A$35,MATCH(ROW()-5,$AF$6:$AF$35,0)),"")</f>
        <v/>
      </c>
    </row>
    <row r="26">
      <c r="A26">
        <f>IF([1]WorkGroups!$B$27="","",[1]WorkGroups!$A$27)</f>
        <v/>
      </c>
      <c r="B26">
        <f>IF([1]WorkGroups!$B$27="","",[1]WorkGroups!$B$27)</f>
        <v/>
      </c>
      <c r="C26">
        <f>IF([1]WorkGroups!$B$27="","",[1]WorkGroups!$C$27)</f>
        <v/>
      </c>
      <c r="E26">
        <f>IF([1]Staff!$A$27="","",[1]Staff!$A$27)</f>
        <v/>
      </c>
      <c r="F26">
        <f>IF([1]Staff!$C$27="","",[1]Staff!$C$27)</f>
        <v/>
      </c>
      <c r="G26">
        <f>IF([1]Staff!$D$27="","",[1]Staff!$D$27)</f>
        <v/>
      </c>
      <c r="H26">
        <f>IF([1]Staff!$E$27="","",[1]Staff!$E$27)</f>
        <v/>
      </c>
      <c r="I26">
        <f>IF([1]Staff!$F$27="","",[1]Staff!$F$27)</f>
        <v/>
      </c>
      <c r="K26">
        <f>IF([1]Accounts!$D$27="","",[1]Accounts!$A$27)</f>
        <v/>
      </c>
      <c r="L26">
        <f>IF([1]Accounts!$D$27="","",[1]Accounts!$B$27)</f>
        <v/>
      </c>
      <c r="M26">
        <f>IF([1]Accounts!$D$27="","",[1]Accounts!$C$27)</f>
        <v/>
      </c>
      <c r="N26">
        <f>IF([1]Accounts!$D$27="","",[1]Accounts!$D$27)</f>
        <v/>
      </c>
      <c r="P26">
        <f>IF([2]Entry!$C$29="","",[2]Entry!$C$29)</f>
        <v/>
      </c>
      <c r="Q26">
        <f>IF([2]Entry!$D$29="","",[2]Entry!$D$29)</f>
        <v/>
      </c>
      <c r="R26">
        <f>IF([2]Entry!$E$29="","",[2]Entry!$E$29)</f>
        <v/>
      </c>
      <c r="S26">
        <f>IF([2]Entry!$G$29="","",[2]Entry!$G$29)</f>
        <v/>
      </c>
      <c r="T26">
        <f>IF([2]Entry!$J$29="","",[2]Entry!$J$29)</f>
        <v/>
      </c>
      <c r="U26">
        <f>IF([2]Entry!$K$29="","",[2]Entry!$K$29)</f>
        <v/>
      </c>
      <c r="V26">
        <f>IF([2]Entry!$L$29="","",[2]Entry!$L$29)</f>
        <v/>
      </c>
      <c r="W26">
        <f>IF([2]Entry!$M$29="","",[2]Entry!$M$29)</f>
        <v/>
      </c>
      <c r="X26">
        <f>IF([2]Entry!$N$29="","",[2]Entry!$N$29)</f>
        <v/>
      </c>
      <c r="Y26">
        <f>IF([2]Entry!$R$29="","",[2]Entry!$R$29)</f>
        <v/>
      </c>
      <c r="AA26">
        <f>IF(AND($E26&lt;&gt;"",IFERROR(VLOOKUP($E26,AcctTblE,4,0),"")&lt;&gt;""),1,0)</f>
        <v/>
      </c>
      <c r="AB26">
        <f>SUM($AA$6:$AA26)</f>
        <v/>
      </c>
      <c r="AC26">
        <f>IFERROR(INDEX($E$6:$E$55,MATCH(ROW()-5,$AB$6:$AB$55,0)),"")</f>
        <v/>
      </c>
      <c r="AE26">
        <f>IF(AND($A26&lt;&gt;"",$B26&lt;&gt;""),1,0)</f>
        <v/>
      </c>
      <c r="AF26">
        <f>SUM($AE$6:$AE26)</f>
        <v/>
      </c>
      <c r="AG26">
        <f>IFERROR(INDEX($A$6:$A$35,MATCH(ROW()-5,$AF$6:$AF$35,0)),"")</f>
        <v/>
      </c>
    </row>
    <row r="27">
      <c r="A27">
        <f>IF([1]WorkGroups!$B$28="","",[1]WorkGroups!$A$28)</f>
        <v/>
      </c>
      <c r="B27">
        <f>IF([1]WorkGroups!$B$28="","",[1]WorkGroups!$B$28)</f>
        <v/>
      </c>
      <c r="C27">
        <f>IF([1]WorkGroups!$B$28="","",[1]WorkGroups!$C$28)</f>
        <v/>
      </c>
      <c r="E27">
        <f>IF([1]Staff!$A$28="","",[1]Staff!$A$28)</f>
        <v/>
      </c>
      <c r="F27">
        <f>IF([1]Staff!$C$28="","",[1]Staff!$C$28)</f>
        <v/>
      </c>
      <c r="G27">
        <f>IF([1]Staff!$D$28="","",[1]Staff!$D$28)</f>
        <v/>
      </c>
      <c r="H27">
        <f>IF([1]Staff!$E$28="","",[1]Staff!$E$28)</f>
        <v/>
      </c>
      <c r="I27">
        <f>IF([1]Staff!$F$28="","",[1]Staff!$F$28)</f>
        <v/>
      </c>
      <c r="K27">
        <f>IF([1]Accounts!$D$28="","",[1]Accounts!$A$28)</f>
        <v/>
      </c>
      <c r="L27">
        <f>IF([1]Accounts!$D$28="","",[1]Accounts!$B$28)</f>
        <v/>
      </c>
      <c r="M27">
        <f>IF([1]Accounts!$D$28="","",[1]Accounts!$C$28)</f>
        <v/>
      </c>
      <c r="N27">
        <f>IF([1]Accounts!$D$28="","",[1]Accounts!$D$28)</f>
        <v/>
      </c>
      <c r="P27">
        <f>IF([2]Entry!$C$30="","",[2]Entry!$C$30)</f>
        <v/>
      </c>
      <c r="Q27">
        <f>IF([2]Entry!$D$30="","",[2]Entry!$D$30)</f>
        <v/>
      </c>
      <c r="R27">
        <f>IF([2]Entry!$E$30="","",[2]Entry!$E$30)</f>
        <v/>
      </c>
      <c r="S27">
        <f>IF([2]Entry!$G$30="","",[2]Entry!$G$30)</f>
        <v/>
      </c>
      <c r="T27">
        <f>IF([2]Entry!$J$30="","",[2]Entry!$J$30)</f>
        <v/>
      </c>
      <c r="U27">
        <f>IF([2]Entry!$K$30="","",[2]Entry!$K$30)</f>
        <v/>
      </c>
      <c r="V27">
        <f>IF([2]Entry!$L$30="","",[2]Entry!$L$30)</f>
        <v/>
      </c>
      <c r="W27">
        <f>IF([2]Entry!$M$30="","",[2]Entry!$M$30)</f>
        <v/>
      </c>
      <c r="X27">
        <f>IF([2]Entry!$N$30="","",[2]Entry!$N$30)</f>
        <v/>
      </c>
      <c r="Y27">
        <f>IF([2]Entry!$R$30="","",[2]Entry!$R$30)</f>
        <v/>
      </c>
      <c r="AA27">
        <f>IF(AND($E27&lt;&gt;"",IFERROR(VLOOKUP($E27,AcctTblE,4,0),"")&lt;&gt;""),1,0)</f>
        <v/>
      </c>
      <c r="AB27">
        <f>SUM($AA$6:$AA27)</f>
        <v/>
      </c>
      <c r="AC27">
        <f>IFERROR(INDEX($E$6:$E$55,MATCH(ROW()-5,$AB$6:$AB$55,0)),"")</f>
        <v/>
      </c>
      <c r="AE27">
        <f>IF(AND($A27&lt;&gt;"",$B27&lt;&gt;""),1,0)</f>
        <v/>
      </c>
      <c r="AF27">
        <f>SUM($AE$6:$AE27)</f>
        <v/>
      </c>
      <c r="AG27">
        <f>IFERROR(INDEX($A$6:$A$35,MATCH(ROW()-5,$AF$6:$AF$35,0)),"")</f>
        <v/>
      </c>
    </row>
    <row r="28">
      <c r="A28">
        <f>IF([1]WorkGroups!$B$29="","",[1]WorkGroups!$A$29)</f>
        <v/>
      </c>
      <c r="B28">
        <f>IF([1]WorkGroups!$B$29="","",[1]WorkGroups!$B$29)</f>
        <v/>
      </c>
      <c r="C28">
        <f>IF([1]WorkGroups!$B$29="","",[1]WorkGroups!$C$29)</f>
        <v/>
      </c>
      <c r="E28">
        <f>IF([1]Staff!$A$29="","",[1]Staff!$A$29)</f>
        <v/>
      </c>
      <c r="F28">
        <f>IF([1]Staff!$C$29="","",[1]Staff!$C$29)</f>
        <v/>
      </c>
      <c r="G28">
        <f>IF([1]Staff!$D$29="","",[1]Staff!$D$29)</f>
        <v/>
      </c>
      <c r="H28">
        <f>IF([1]Staff!$E$29="","",[1]Staff!$E$29)</f>
        <v/>
      </c>
      <c r="I28">
        <f>IF([1]Staff!$F$29="","",[1]Staff!$F$29)</f>
        <v/>
      </c>
      <c r="K28">
        <f>IF([1]Accounts!$D$29="","",[1]Accounts!$A$29)</f>
        <v/>
      </c>
      <c r="L28">
        <f>IF([1]Accounts!$D$29="","",[1]Accounts!$B$29)</f>
        <v/>
      </c>
      <c r="M28">
        <f>IF([1]Accounts!$D$29="","",[1]Accounts!$C$29)</f>
        <v/>
      </c>
      <c r="N28">
        <f>IF([1]Accounts!$D$29="","",[1]Accounts!$D$29)</f>
        <v/>
      </c>
      <c r="P28">
        <f>IF([2]Entry!$C$31="","",[2]Entry!$C$31)</f>
        <v/>
      </c>
      <c r="Q28">
        <f>IF([2]Entry!$D$31="","",[2]Entry!$D$31)</f>
        <v/>
      </c>
      <c r="R28">
        <f>IF([2]Entry!$E$31="","",[2]Entry!$E$31)</f>
        <v/>
      </c>
      <c r="S28">
        <f>IF([2]Entry!$G$31="","",[2]Entry!$G$31)</f>
        <v/>
      </c>
      <c r="T28">
        <f>IF([2]Entry!$J$31="","",[2]Entry!$J$31)</f>
        <v/>
      </c>
      <c r="U28">
        <f>IF([2]Entry!$K$31="","",[2]Entry!$K$31)</f>
        <v/>
      </c>
      <c r="V28">
        <f>IF([2]Entry!$L$31="","",[2]Entry!$L$31)</f>
        <v/>
      </c>
      <c r="W28">
        <f>IF([2]Entry!$M$31="","",[2]Entry!$M$31)</f>
        <v/>
      </c>
      <c r="X28">
        <f>IF([2]Entry!$N$31="","",[2]Entry!$N$31)</f>
        <v/>
      </c>
      <c r="Y28">
        <f>IF([2]Entry!$R$31="","",[2]Entry!$R$31)</f>
        <v/>
      </c>
      <c r="AA28">
        <f>IF(AND($E28&lt;&gt;"",IFERROR(VLOOKUP($E28,AcctTblE,4,0),"")&lt;&gt;""),1,0)</f>
        <v/>
      </c>
      <c r="AB28">
        <f>SUM($AA$6:$AA28)</f>
        <v/>
      </c>
      <c r="AC28">
        <f>IFERROR(INDEX($E$6:$E$55,MATCH(ROW()-5,$AB$6:$AB$55,0)),"")</f>
        <v/>
      </c>
      <c r="AE28">
        <f>IF(AND($A28&lt;&gt;"",$B28&lt;&gt;""),1,0)</f>
        <v/>
      </c>
      <c r="AF28">
        <f>SUM($AE$6:$AE28)</f>
        <v/>
      </c>
      <c r="AG28">
        <f>IFERROR(INDEX($A$6:$A$35,MATCH(ROW()-5,$AF$6:$AF$35,0)),"")</f>
        <v/>
      </c>
    </row>
    <row r="29">
      <c r="A29">
        <f>IF([1]WorkGroups!$B$30="","",[1]WorkGroups!$A$30)</f>
        <v/>
      </c>
      <c r="B29">
        <f>IF([1]WorkGroups!$B$30="","",[1]WorkGroups!$B$30)</f>
        <v/>
      </c>
      <c r="C29">
        <f>IF([1]WorkGroups!$B$30="","",[1]WorkGroups!$C$30)</f>
        <v/>
      </c>
      <c r="E29">
        <f>IF([1]Staff!$A$30="","",[1]Staff!$A$30)</f>
        <v/>
      </c>
      <c r="F29">
        <f>IF([1]Staff!$C$30="","",[1]Staff!$C$30)</f>
        <v/>
      </c>
      <c r="G29">
        <f>IF([1]Staff!$D$30="","",[1]Staff!$D$30)</f>
        <v/>
      </c>
      <c r="H29">
        <f>IF([1]Staff!$E$30="","",[1]Staff!$E$30)</f>
        <v/>
      </c>
      <c r="I29">
        <f>IF([1]Staff!$F$30="","",[1]Staff!$F$30)</f>
        <v/>
      </c>
      <c r="K29">
        <f>IF([1]Accounts!$D$30="","",[1]Accounts!$A$30)</f>
        <v/>
      </c>
      <c r="L29">
        <f>IF([1]Accounts!$D$30="","",[1]Accounts!$B$30)</f>
        <v/>
      </c>
      <c r="M29">
        <f>IF([1]Accounts!$D$30="","",[1]Accounts!$C$30)</f>
        <v/>
      </c>
      <c r="N29">
        <f>IF([1]Accounts!$D$30="","",[1]Accounts!$D$30)</f>
        <v/>
      </c>
      <c r="P29">
        <f>IF([2]Entry!$C$32="","",[2]Entry!$C$32)</f>
        <v/>
      </c>
      <c r="Q29">
        <f>IF([2]Entry!$D$32="","",[2]Entry!$D$32)</f>
        <v/>
      </c>
      <c r="R29">
        <f>IF([2]Entry!$E$32="","",[2]Entry!$E$32)</f>
        <v/>
      </c>
      <c r="S29">
        <f>IF([2]Entry!$G$32="","",[2]Entry!$G$32)</f>
        <v/>
      </c>
      <c r="T29">
        <f>IF([2]Entry!$J$32="","",[2]Entry!$J$32)</f>
        <v/>
      </c>
      <c r="U29">
        <f>IF([2]Entry!$K$32="","",[2]Entry!$K$32)</f>
        <v/>
      </c>
      <c r="V29">
        <f>IF([2]Entry!$L$32="","",[2]Entry!$L$32)</f>
        <v/>
      </c>
      <c r="W29">
        <f>IF([2]Entry!$M$32="","",[2]Entry!$M$32)</f>
        <v/>
      </c>
      <c r="X29">
        <f>IF([2]Entry!$N$32="","",[2]Entry!$N$32)</f>
        <v/>
      </c>
      <c r="Y29">
        <f>IF([2]Entry!$R$32="","",[2]Entry!$R$32)</f>
        <v/>
      </c>
      <c r="AA29">
        <f>IF(AND($E29&lt;&gt;"",IFERROR(VLOOKUP($E29,AcctTblE,4,0),"")&lt;&gt;""),1,0)</f>
        <v/>
      </c>
      <c r="AB29">
        <f>SUM($AA$6:$AA29)</f>
        <v/>
      </c>
      <c r="AC29">
        <f>IFERROR(INDEX($E$6:$E$55,MATCH(ROW()-5,$AB$6:$AB$55,0)),"")</f>
        <v/>
      </c>
      <c r="AE29">
        <f>IF(AND($A29&lt;&gt;"",$B29&lt;&gt;""),1,0)</f>
        <v/>
      </c>
      <c r="AF29">
        <f>SUM($AE$6:$AE29)</f>
        <v/>
      </c>
      <c r="AG29">
        <f>IFERROR(INDEX($A$6:$A$35,MATCH(ROW()-5,$AF$6:$AF$35,0)),"")</f>
        <v/>
      </c>
    </row>
    <row r="30">
      <c r="A30">
        <f>IF([1]WorkGroups!$B$31="","",[1]WorkGroups!$A$31)</f>
        <v/>
      </c>
      <c r="B30">
        <f>IF([1]WorkGroups!$B$31="","",[1]WorkGroups!$B$31)</f>
        <v/>
      </c>
      <c r="C30">
        <f>IF([1]WorkGroups!$B$31="","",[1]WorkGroups!$C$31)</f>
        <v/>
      </c>
      <c r="E30">
        <f>IF([1]Staff!$A$31="","",[1]Staff!$A$31)</f>
        <v/>
      </c>
      <c r="F30">
        <f>IF([1]Staff!$C$31="","",[1]Staff!$C$31)</f>
        <v/>
      </c>
      <c r="G30">
        <f>IF([1]Staff!$D$31="","",[1]Staff!$D$31)</f>
        <v/>
      </c>
      <c r="H30">
        <f>IF([1]Staff!$E$31="","",[1]Staff!$E$31)</f>
        <v/>
      </c>
      <c r="I30">
        <f>IF([1]Staff!$F$31="","",[1]Staff!$F$31)</f>
        <v/>
      </c>
      <c r="K30">
        <f>IF([1]Accounts!$D$31="","",[1]Accounts!$A$31)</f>
        <v/>
      </c>
      <c r="L30">
        <f>IF([1]Accounts!$D$31="","",[1]Accounts!$B$31)</f>
        <v/>
      </c>
      <c r="M30">
        <f>IF([1]Accounts!$D$31="","",[1]Accounts!$C$31)</f>
        <v/>
      </c>
      <c r="N30">
        <f>IF([1]Accounts!$D$31="","",[1]Accounts!$D$31)</f>
        <v/>
      </c>
      <c r="P30">
        <f>IF([2]Entry!$C$33="","",[2]Entry!$C$33)</f>
        <v/>
      </c>
      <c r="Q30">
        <f>IF([2]Entry!$D$33="","",[2]Entry!$D$33)</f>
        <v/>
      </c>
      <c r="R30">
        <f>IF([2]Entry!$E$33="","",[2]Entry!$E$33)</f>
        <v/>
      </c>
      <c r="S30">
        <f>IF([2]Entry!$G$33="","",[2]Entry!$G$33)</f>
        <v/>
      </c>
      <c r="T30">
        <f>IF([2]Entry!$J$33="","",[2]Entry!$J$33)</f>
        <v/>
      </c>
      <c r="U30">
        <f>IF([2]Entry!$K$33="","",[2]Entry!$K$33)</f>
        <v/>
      </c>
      <c r="V30">
        <f>IF([2]Entry!$L$33="","",[2]Entry!$L$33)</f>
        <v/>
      </c>
      <c r="W30">
        <f>IF([2]Entry!$M$33="","",[2]Entry!$M$33)</f>
        <v/>
      </c>
      <c r="X30">
        <f>IF([2]Entry!$N$33="","",[2]Entry!$N$33)</f>
        <v/>
      </c>
      <c r="Y30">
        <f>IF([2]Entry!$R$33="","",[2]Entry!$R$33)</f>
        <v/>
      </c>
      <c r="AA30">
        <f>IF(AND($E30&lt;&gt;"",IFERROR(VLOOKUP($E30,AcctTblE,4,0),"")&lt;&gt;""),1,0)</f>
        <v/>
      </c>
      <c r="AB30">
        <f>SUM($AA$6:$AA30)</f>
        <v/>
      </c>
      <c r="AC30">
        <f>IFERROR(INDEX($E$6:$E$55,MATCH(ROW()-5,$AB$6:$AB$55,0)),"")</f>
        <v/>
      </c>
      <c r="AE30">
        <f>IF(AND($A30&lt;&gt;"",$B30&lt;&gt;""),1,0)</f>
        <v/>
      </c>
      <c r="AF30">
        <f>SUM($AE$6:$AE30)</f>
        <v/>
      </c>
      <c r="AG30">
        <f>IFERROR(INDEX($A$6:$A$35,MATCH(ROW()-5,$AF$6:$AF$35,0)),"")</f>
        <v/>
      </c>
    </row>
    <row r="31">
      <c r="A31">
        <f>IF([1]WorkGroups!$B$32="","",[1]WorkGroups!$A$32)</f>
        <v/>
      </c>
      <c r="B31">
        <f>IF([1]WorkGroups!$B$32="","",[1]WorkGroups!$B$32)</f>
        <v/>
      </c>
      <c r="C31">
        <f>IF([1]WorkGroups!$B$32="","",[1]WorkGroups!$C$32)</f>
        <v/>
      </c>
      <c r="E31">
        <f>IF([1]Staff!$A$32="","",[1]Staff!$A$32)</f>
        <v/>
      </c>
      <c r="F31">
        <f>IF([1]Staff!$C$32="","",[1]Staff!$C$32)</f>
        <v/>
      </c>
      <c r="G31">
        <f>IF([1]Staff!$D$32="","",[1]Staff!$D$32)</f>
        <v/>
      </c>
      <c r="H31">
        <f>IF([1]Staff!$E$32="","",[1]Staff!$E$32)</f>
        <v/>
      </c>
      <c r="I31">
        <f>IF([1]Staff!$F$32="","",[1]Staff!$F$32)</f>
        <v/>
      </c>
      <c r="K31">
        <f>IF([1]Accounts!$D$32="","",[1]Accounts!$A$32)</f>
        <v/>
      </c>
      <c r="L31">
        <f>IF([1]Accounts!$D$32="","",[1]Accounts!$B$32)</f>
        <v/>
      </c>
      <c r="M31">
        <f>IF([1]Accounts!$D$32="","",[1]Accounts!$C$32)</f>
        <v/>
      </c>
      <c r="N31">
        <f>IF([1]Accounts!$D$32="","",[1]Accounts!$D$32)</f>
        <v/>
      </c>
      <c r="P31">
        <f>IF([2]Entry!$C$34="","",[2]Entry!$C$34)</f>
        <v/>
      </c>
      <c r="Q31">
        <f>IF([2]Entry!$D$34="","",[2]Entry!$D$34)</f>
        <v/>
      </c>
      <c r="R31">
        <f>IF([2]Entry!$E$34="","",[2]Entry!$E$34)</f>
        <v/>
      </c>
      <c r="S31">
        <f>IF([2]Entry!$G$34="","",[2]Entry!$G$34)</f>
        <v/>
      </c>
      <c r="T31">
        <f>IF([2]Entry!$J$34="","",[2]Entry!$J$34)</f>
        <v/>
      </c>
      <c r="U31">
        <f>IF([2]Entry!$K$34="","",[2]Entry!$K$34)</f>
        <v/>
      </c>
      <c r="V31">
        <f>IF([2]Entry!$L$34="","",[2]Entry!$L$34)</f>
        <v/>
      </c>
      <c r="W31">
        <f>IF([2]Entry!$M$34="","",[2]Entry!$M$34)</f>
        <v/>
      </c>
      <c r="X31">
        <f>IF([2]Entry!$N$34="","",[2]Entry!$N$34)</f>
        <v/>
      </c>
      <c r="Y31">
        <f>IF([2]Entry!$R$34="","",[2]Entry!$R$34)</f>
        <v/>
      </c>
      <c r="AA31">
        <f>IF(AND($E31&lt;&gt;"",IFERROR(VLOOKUP($E31,AcctTblE,4,0),"")&lt;&gt;""),1,0)</f>
        <v/>
      </c>
      <c r="AB31">
        <f>SUM($AA$6:$AA31)</f>
        <v/>
      </c>
      <c r="AC31">
        <f>IFERROR(INDEX($E$6:$E$55,MATCH(ROW()-5,$AB$6:$AB$55,0)),"")</f>
        <v/>
      </c>
      <c r="AE31">
        <f>IF(AND($A31&lt;&gt;"",$B31&lt;&gt;""),1,0)</f>
        <v/>
      </c>
      <c r="AF31">
        <f>SUM($AE$6:$AE31)</f>
        <v/>
      </c>
      <c r="AG31">
        <f>IFERROR(INDEX($A$6:$A$35,MATCH(ROW()-5,$AF$6:$AF$35,0)),"")</f>
        <v/>
      </c>
    </row>
    <row r="32">
      <c r="A32">
        <f>IF([1]WorkGroups!$B$33="","",[1]WorkGroups!$A$33)</f>
        <v/>
      </c>
      <c r="B32">
        <f>IF([1]WorkGroups!$B$33="","",[1]WorkGroups!$B$33)</f>
        <v/>
      </c>
      <c r="C32">
        <f>IF([1]WorkGroups!$B$33="","",[1]WorkGroups!$C$33)</f>
        <v/>
      </c>
      <c r="E32">
        <f>IF([1]Staff!$A$33="","",[1]Staff!$A$33)</f>
        <v/>
      </c>
      <c r="F32">
        <f>IF([1]Staff!$C$33="","",[1]Staff!$C$33)</f>
        <v/>
      </c>
      <c r="G32">
        <f>IF([1]Staff!$D$33="","",[1]Staff!$D$33)</f>
        <v/>
      </c>
      <c r="H32">
        <f>IF([1]Staff!$E$33="","",[1]Staff!$E$33)</f>
        <v/>
      </c>
      <c r="I32">
        <f>IF([1]Staff!$F$33="","",[1]Staff!$F$33)</f>
        <v/>
      </c>
      <c r="K32">
        <f>IF([1]Accounts!$D$33="","",[1]Accounts!$A$33)</f>
        <v/>
      </c>
      <c r="L32">
        <f>IF([1]Accounts!$D$33="","",[1]Accounts!$B$33)</f>
        <v/>
      </c>
      <c r="M32">
        <f>IF([1]Accounts!$D$33="","",[1]Accounts!$C$33)</f>
        <v/>
      </c>
      <c r="N32">
        <f>IF([1]Accounts!$D$33="","",[1]Accounts!$D$33)</f>
        <v/>
      </c>
      <c r="P32">
        <f>IF([2]Entry!$C$35="","",[2]Entry!$C$35)</f>
        <v/>
      </c>
      <c r="Q32">
        <f>IF([2]Entry!$D$35="","",[2]Entry!$D$35)</f>
        <v/>
      </c>
      <c r="R32">
        <f>IF([2]Entry!$E$35="","",[2]Entry!$E$35)</f>
        <v/>
      </c>
      <c r="S32">
        <f>IF([2]Entry!$G$35="","",[2]Entry!$G$35)</f>
        <v/>
      </c>
      <c r="T32">
        <f>IF([2]Entry!$J$35="","",[2]Entry!$J$35)</f>
        <v/>
      </c>
      <c r="U32">
        <f>IF([2]Entry!$K$35="","",[2]Entry!$K$35)</f>
        <v/>
      </c>
      <c r="V32">
        <f>IF([2]Entry!$L$35="","",[2]Entry!$L$35)</f>
        <v/>
      </c>
      <c r="W32">
        <f>IF([2]Entry!$M$35="","",[2]Entry!$M$35)</f>
        <v/>
      </c>
      <c r="X32">
        <f>IF([2]Entry!$N$35="","",[2]Entry!$N$35)</f>
        <v/>
      </c>
      <c r="Y32">
        <f>IF([2]Entry!$R$35="","",[2]Entry!$R$35)</f>
        <v/>
      </c>
      <c r="AA32">
        <f>IF(AND($E32&lt;&gt;"",IFERROR(VLOOKUP($E32,AcctTblE,4,0),"")&lt;&gt;""),1,0)</f>
        <v/>
      </c>
      <c r="AB32">
        <f>SUM($AA$6:$AA32)</f>
        <v/>
      </c>
      <c r="AC32">
        <f>IFERROR(INDEX($E$6:$E$55,MATCH(ROW()-5,$AB$6:$AB$55,0)),"")</f>
        <v/>
      </c>
      <c r="AE32">
        <f>IF(AND($A32&lt;&gt;"",$B32&lt;&gt;""),1,0)</f>
        <v/>
      </c>
      <c r="AF32">
        <f>SUM($AE$6:$AE32)</f>
        <v/>
      </c>
      <c r="AG32">
        <f>IFERROR(INDEX($A$6:$A$35,MATCH(ROW()-5,$AF$6:$AF$35,0)),"")</f>
        <v/>
      </c>
    </row>
    <row r="33">
      <c r="A33">
        <f>IF([1]WorkGroups!$B$34="","",[1]WorkGroups!$A$34)</f>
        <v/>
      </c>
      <c r="B33">
        <f>IF([1]WorkGroups!$B$34="","",[1]WorkGroups!$B$34)</f>
        <v/>
      </c>
      <c r="C33">
        <f>IF([1]WorkGroups!$B$34="","",[1]WorkGroups!$C$34)</f>
        <v/>
      </c>
      <c r="E33">
        <f>IF([1]Staff!$A$34="","",[1]Staff!$A$34)</f>
        <v/>
      </c>
      <c r="F33">
        <f>IF([1]Staff!$C$34="","",[1]Staff!$C$34)</f>
        <v/>
      </c>
      <c r="G33">
        <f>IF([1]Staff!$D$34="","",[1]Staff!$D$34)</f>
        <v/>
      </c>
      <c r="H33">
        <f>IF([1]Staff!$E$34="","",[1]Staff!$E$34)</f>
        <v/>
      </c>
      <c r="I33">
        <f>IF([1]Staff!$F$34="","",[1]Staff!$F$34)</f>
        <v/>
      </c>
      <c r="K33">
        <f>IF([1]Accounts!$D$34="","",[1]Accounts!$A$34)</f>
        <v/>
      </c>
      <c r="L33">
        <f>IF([1]Accounts!$D$34="","",[1]Accounts!$B$34)</f>
        <v/>
      </c>
      <c r="M33">
        <f>IF([1]Accounts!$D$34="","",[1]Accounts!$C$34)</f>
        <v/>
      </c>
      <c r="N33">
        <f>IF([1]Accounts!$D$34="","",[1]Accounts!$D$34)</f>
        <v/>
      </c>
      <c r="P33">
        <f>IF([2]Entry!$C$36="","",[2]Entry!$C$36)</f>
        <v/>
      </c>
      <c r="Q33">
        <f>IF([2]Entry!$D$36="","",[2]Entry!$D$36)</f>
        <v/>
      </c>
      <c r="R33">
        <f>IF([2]Entry!$E$36="","",[2]Entry!$E$36)</f>
        <v/>
      </c>
      <c r="S33">
        <f>IF([2]Entry!$G$36="","",[2]Entry!$G$36)</f>
        <v/>
      </c>
      <c r="T33">
        <f>IF([2]Entry!$J$36="","",[2]Entry!$J$36)</f>
        <v/>
      </c>
      <c r="U33">
        <f>IF([2]Entry!$K$36="","",[2]Entry!$K$36)</f>
        <v/>
      </c>
      <c r="V33">
        <f>IF([2]Entry!$L$36="","",[2]Entry!$L$36)</f>
        <v/>
      </c>
      <c r="W33">
        <f>IF([2]Entry!$M$36="","",[2]Entry!$M$36)</f>
        <v/>
      </c>
      <c r="X33">
        <f>IF([2]Entry!$N$36="","",[2]Entry!$N$36)</f>
        <v/>
      </c>
      <c r="Y33">
        <f>IF([2]Entry!$R$36="","",[2]Entry!$R$36)</f>
        <v/>
      </c>
      <c r="AA33">
        <f>IF(AND($E33&lt;&gt;"",IFERROR(VLOOKUP($E33,AcctTblE,4,0),"")&lt;&gt;""),1,0)</f>
        <v/>
      </c>
      <c r="AB33">
        <f>SUM($AA$6:$AA33)</f>
        <v/>
      </c>
      <c r="AC33">
        <f>IFERROR(INDEX($E$6:$E$55,MATCH(ROW()-5,$AB$6:$AB$55,0)),"")</f>
        <v/>
      </c>
      <c r="AE33">
        <f>IF(AND($A33&lt;&gt;"",$B33&lt;&gt;""),1,0)</f>
        <v/>
      </c>
      <c r="AF33">
        <f>SUM($AE$6:$AE33)</f>
        <v/>
      </c>
      <c r="AG33">
        <f>IFERROR(INDEX($A$6:$A$35,MATCH(ROW()-5,$AF$6:$AF$35,0)),"")</f>
        <v/>
      </c>
    </row>
    <row r="34">
      <c r="A34">
        <f>IF([1]WorkGroups!$B$35="","",[1]WorkGroups!$A$35)</f>
        <v/>
      </c>
      <c r="B34">
        <f>IF([1]WorkGroups!$B$35="","",[1]WorkGroups!$B$35)</f>
        <v/>
      </c>
      <c r="C34">
        <f>IF([1]WorkGroups!$B$35="","",[1]WorkGroups!$C$35)</f>
        <v/>
      </c>
      <c r="E34">
        <f>IF([1]Staff!$A$35="","",[1]Staff!$A$35)</f>
        <v/>
      </c>
      <c r="F34">
        <f>IF([1]Staff!$C$35="","",[1]Staff!$C$35)</f>
        <v/>
      </c>
      <c r="G34">
        <f>IF([1]Staff!$D$35="","",[1]Staff!$D$35)</f>
        <v/>
      </c>
      <c r="H34">
        <f>IF([1]Staff!$E$35="","",[1]Staff!$E$35)</f>
        <v/>
      </c>
      <c r="I34">
        <f>IF([1]Staff!$F$35="","",[1]Staff!$F$35)</f>
        <v/>
      </c>
      <c r="K34">
        <f>IF([1]Accounts!$D$35="","",[1]Accounts!$A$35)</f>
        <v/>
      </c>
      <c r="L34">
        <f>IF([1]Accounts!$D$35="","",[1]Accounts!$B$35)</f>
        <v/>
      </c>
      <c r="M34">
        <f>IF([1]Accounts!$D$35="","",[1]Accounts!$C$35)</f>
        <v/>
      </c>
      <c r="N34">
        <f>IF([1]Accounts!$D$35="","",[1]Accounts!$D$35)</f>
        <v/>
      </c>
      <c r="P34">
        <f>IF([2]Entry!$C$37="","",[2]Entry!$C$37)</f>
        <v/>
      </c>
      <c r="Q34">
        <f>IF([2]Entry!$D$37="","",[2]Entry!$D$37)</f>
        <v/>
      </c>
      <c r="R34">
        <f>IF([2]Entry!$E$37="","",[2]Entry!$E$37)</f>
        <v/>
      </c>
      <c r="S34">
        <f>IF([2]Entry!$G$37="","",[2]Entry!$G$37)</f>
        <v/>
      </c>
      <c r="T34">
        <f>IF([2]Entry!$J$37="","",[2]Entry!$J$37)</f>
        <v/>
      </c>
      <c r="U34">
        <f>IF([2]Entry!$K$37="","",[2]Entry!$K$37)</f>
        <v/>
      </c>
      <c r="V34">
        <f>IF([2]Entry!$L$37="","",[2]Entry!$L$37)</f>
        <v/>
      </c>
      <c r="W34">
        <f>IF([2]Entry!$M$37="","",[2]Entry!$M$37)</f>
        <v/>
      </c>
      <c r="X34">
        <f>IF([2]Entry!$N$37="","",[2]Entry!$N$37)</f>
        <v/>
      </c>
      <c r="Y34">
        <f>IF([2]Entry!$R$37="","",[2]Entry!$R$37)</f>
        <v/>
      </c>
      <c r="AA34">
        <f>IF(AND($E34&lt;&gt;"",IFERROR(VLOOKUP($E34,AcctTblE,4,0),"")&lt;&gt;""),1,0)</f>
        <v/>
      </c>
      <c r="AB34">
        <f>SUM($AA$6:$AA34)</f>
        <v/>
      </c>
      <c r="AC34">
        <f>IFERROR(INDEX($E$6:$E$55,MATCH(ROW()-5,$AB$6:$AB$55,0)),"")</f>
        <v/>
      </c>
      <c r="AE34">
        <f>IF(AND($A34&lt;&gt;"",$B34&lt;&gt;""),1,0)</f>
        <v/>
      </c>
      <c r="AF34">
        <f>SUM($AE$6:$AE34)</f>
        <v/>
      </c>
      <c r="AG34">
        <f>IFERROR(INDEX($A$6:$A$35,MATCH(ROW()-5,$AF$6:$AF$35,0)),"")</f>
        <v/>
      </c>
    </row>
    <row r="35">
      <c r="A35">
        <f>IF([1]WorkGroups!$B$36="","",[1]WorkGroups!$A$36)</f>
        <v/>
      </c>
      <c r="B35">
        <f>IF([1]WorkGroups!$B$36="","",[1]WorkGroups!$B$36)</f>
        <v/>
      </c>
      <c r="C35">
        <f>IF([1]WorkGroups!$B$36="","",[1]WorkGroups!$C$36)</f>
        <v/>
      </c>
      <c r="E35">
        <f>IF([1]Staff!$A$36="","",[1]Staff!$A$36)</f>
        <v/>
      </c>
      <c r="F35">
        <f>IF([1]Staff!$C$36="","",[1]Staff!$C$36)</f>
        <v/>
      </c>
      <c r="G35">
        <f>IF([1]Staff!$D$36="","",[1]Staff!$D$36)</f>
        <v/>
      </c>
      <c r="H35">
        <f>IF([1]Staff!$E$36="","",[1]Staff!$E$36)</f>
        <v/>
      </c>
      <c r="I35">
        <f>IF([1]Staff!$F$36="","",[1]Staff!$F$36)</f>
        <v/>
      </c>
      <c r="K35">
        <f>IF([1]Accounts!$D$36="","",[1]Accounts!$A$36)</f>
        <v/>
      </c>
      <c r="L35">
        <f>IF([1]Accounts!$D$36="","",[1]Accounts!$B$36)</f>
        <v/>
      </c>
      <c r="M35">
        <f>IF([1]Accounts!$D$36="","",[1]Accounts!$C$36)</f>
        <v/>
      </c>
      <c r="N35">
        <f>IF([1]Accounts!$D$36="","",[1]Accounts!$D$36)</f>
        <v/>
      </c>
      <c r="P35">
        <f>IF([2]Entry!$C$38="","",[2]Entry!$C$38)</f>
        <v/>
      </c>
      <c r="Q35">
        <f>IF([2]Entry!$D$38="","",[2]Entry!$D$38)</f>
        <v/>
      </c>
      <c r="R35">
        <f>IF([2]Entry!$E$38="","",[2]Entry!$E$38)</f>
        <v/>
      </c>
      <c r="S35">
        <f>IF([2]Entry!$G$38="","",[2]Entry!$G$38)</f>
        <v/>
      </c>
      <c r="T35">
        <f>IF([2]Entry!$J$38="","",[2]Entry!$J$38)</f>
        <v/>
      </c>
      <c r="U35">
        <f>IF([2]Entry!$K$38="","",[2]Entry!$K$38)</f>
        <v/>
      </c>
      <c r="V35">
        <f>IF([2]Entry!$L$38="","",[2]Entry!$L$38)</f>
        <v/>
      </c>
      <c r="W35">
        <f>IF([2]Entry!$M$38="","",[2]Entry!$M$38)</f>
        <v/>
      </c>
      <c r="X35">
        <f>IF([2]Entry!$N$38="","",[2]Entry!$N$38)</f>
        <v/>
      </c>
      <c r="Y35">
        <f>IF([2]Entry!$R$38="","",[2]Entry!$R$38)</f>
        <v/>
      </c>
      <c r="AA35">
        <f>IF(AND($E35&lt;&gt;"",IFERROR(VLOOKUP($E35,AcctTblE,4,0),"")&lt;&gt;""),1,0)</f>
        <v/>
      </c>
      <c r="AB35">
        <f>SUM($AA$6:$AA35)</f>
        <v/>
      </c>
      <c r="AC35">
        <f>IFERROR(INDEX($E$6:$E$55,MATCH(ROW()-5,$AB$6:$AB$55,0)),"")</f>
        <v/>
      </c>
      <c r="AE35">
        <f>IF(AND($A35&lt;&gt;"",$B35&lt;&gt;""),1,0)</f>
        <v/>
      </c>
      <c r="AF35">
        <f>SUM($AE$6:$AE35)</f>
        <v/>
      </c>
      <c r="AG35">
        <f>IFERROR(INDEX($A$6:$A$35,MATCH(ROW()-5,$AF$6:$AF$35,0)),"")</f>
        <v/>
      </c>
    </row>
    <row r="36">
      <c r="E36">
        <f>IF([1]Staff!$A$37="","",[1]Staff!$A$37)</f>
        <v/>
      </c>
      <c r="F36">
        <f>IF([1]Staff!$C$37="","",[1]Staff!$C$37)</f>
        <v/>
      </c>
      <c r="G36">
        <f>IF([1]Staff!$D$37="","",[1]Staff!$D$37)</f>
        <v/>
      </c>
      <c r="H36">
        <f>IF([1]Staff!$E$37="","",[1]Staff!$E$37)</f>
        <v/>
      </c>
      <c r="I36">
        <f>IF([1]Staff!$F$37="","",[1]Staff!$F$37)</f>
        <v/>
      </c>
      <c r="K36">
        <f>IF([1]Accounts!$D$37="","",[1]Accounts!$A$37)</f>
        <v/>
      </c>
      <c r="L36">
        <f>IF([1]Accounts!$D$37="","",[1]Accounts!$B$37)</f>
        <v/>
      </c>
      <c r="M36">
        <f>IF([1]Accounts!$D$37="","",[1]Accounts!$C$37)</f>
        <v/>
      </c>
      <c r="N36">
        <f>IF([1]Accounts!$D$37="","",[1]Accounts!$D$37)</f>
        <v/>
      </c>
      <c r="P36">
        <f>IF([2]Entry!$C$39="","",[2]Entry!$C$39)</f>
        <v/>
      </c>
      <c r="Q36">
        <f>IF([2]Entry!$D$39="","",[2]Entry!$D$39)</f>
        <v/>
      </c>
      <c r="R36">
        <f>IF([2]Entry!$E$39="","",[2]Entry!$E$39)</f>
        <v/>
      </c>
      <c r="S36">
        <f>IF([2]Entry!$G$39="","",[2]Entry!$G$39)</f>
        <v/>
      </c>
      <c r="T36">
        <f>IF([2]Entry!$J$39="","",[2]Entry!$J$39)</f>
        <v/>
      </c>
      <c r="U36">
        <f>IF([2]Entry!$K$39="","",[2]Entry!$K$39)</f>
        <v/>
      </c>
      <c r="V36">
        <f>IF([2]Entry!$L$39="","",[2]Entry!$L$39)</f>
        <v/>
      </c>
      <c r="W36">
        <f>IF([2]Entry!$M$39="","",[2]Entry!$M$39)</f>
        <v/>
      </c>
      <c r="X36">
        <f>IF([2]Entry!$N$39="","",[2]Entry!$N$39)</f>
        <v/>
      </c>
      <c r="Y36">
        <f>IF([2]Entry!$R$39="","",[2]Entry!$R$39)</f>
        <v/>
      </c>
      <c r="AA36">
        <f>IF(AND($E36&lt;&gt;"",IFERROR(VLOOKUP($E36,AcctTblE,4,0),"")&lt;&gt;""),1,0)</f>
        <v/>
      </c>
      <c r="AB36">
        <f>SUM($AA$6:$AA36)</f>
        <v/>
      </c>
      <c r="AC36">
        <f>IFERROR(INDEX($E$6:$E$55,MATCH(ROW()-5,$AB$6:$AB$55,0)),"")</f>
        <v/>
      </c>
    </row>
    <row r="37">
      <c r="E37">
        <f>IF([1]Staff!$A$38="","",[1]Staff!$A$38)</f>
        <v/>
      </c>
      <c r="F37">
        <f>IF([1]Staff!$C$38="","",[1]Staff!$C$38)</f>
        <v/>
      </c>
      <c r="G37">
        <f>IF([1]Staff!$D$38="","",[1]Staff!$D$38)</f>
        <v/>
      </c>
      <c r="H37">
        <f>IF([1]Staff!$E$38="","",[1]Staff!$E$38)</f>
        <v/>
      </c>
      <c r="I37">
        <f>IF([1]Staff!$F$38="","",[1]Staff!$F$38)</f>
        <v/>
      </c>
      <c r="K37">
        <f>IF([1]Accounts!$D$38="","",[1]Accounts!$A$38)</f>
        <v/>
      </c>
      <c r="L37">
        <f>IF([1]Accounts!$D$38="","",[1]Accounts!$B$38)</f>
        <v/>
      </c>
      <c r="M37">
        <f>IF([1]Accounts!$D$38="","",[1]Accounts!$C$38)</f>
        <v/>
      </c>
      <c r="N37">
        <f>IF([1]Accounts!$D$38="","",[1]Accounts!$D$38)</f>
        <v/>
      </c>
      <c r="P37">
        <f>IF([2]Entry!$C$40="","",[2]Entry!$C$40)</f>
        <v/>
      </c>
      <c r="Q37">
        <f>IF([2]Entry!$D$40="","",[2]Entry!$D$40)</f>
        <v/>
      </c>
      <c r="R37">
        <f>IF([2]Entry!$E$40="","",[2]Entry!$E$40)</f>
        <v/>
      </c>
      <c r="S37">
        <f>IF([2]Entry!$G$40="","",[2]Entry!$G$40)</f>
        <v/>
      </c>
      <c r="T37">
        <f>IF([2]Entry!$J$40="","",[2]Entry!$J$40)</f>
        <v/>
      </c>
      <c r="U37">
        <f>IF([2]Entry!$K$40="","",[2]Entry!$K$40)</f>
        <v/>
      </c>
      <c r="V37">
        <f>IF([2]Entry!$L$40="","",[2]Entry!$L$40)</f>
        <v/>
      </c>
      <c r="W37">
        <f>IF([2]Entry!$M$40="","",[2]Entry!$M$40)</f>
        <v/>
      </c>
      <c r="X37">
        <f>IF([2]Entry!$N$40="","",[2]Entry!$N$40)</f>
        <v/>
      </c>
      <c r="Y37">
        <f>IF([2]Entry!$R$40="","",[2]Entry!$R$40)</f>
        <v/>
      </c>
      <c r="AA37">
        <f>IF(AND($E37&lt;&gt;"",IFERROR(VLOOKUP($E37,AcctTblE,4,0),"")&lt;&gt;""),1,0)</f>
        <v/>
      </c>
      <c r="AB37">
        <f>SUM($AA$6:$AA37)</f>
        <v/>
      </c>
      <c r="AC37">
        <f>IFERROR(INDEX($E$6:$E$55,MATCH(ROW()-5,$AB$6:$AB$55,0)),"")</f>
        <v/>
      </c>
    </row>
    <row r="38">
      <c r="E38">
        <f>IF([1]Staff!$A$39="","",[1]Staff!$A$39)</f>
        <v/>
      </c>
      <c r="F38">
        <f>IF([1]Staff!$C$39="","",[1]Staff!$C$39)</f>
        <v/>
      </c>
      <c r="G38">
        <f>IF([1]Staff!$D$39="","",[1]Staff!$D$39)</f>
        <v/>
      </c>
      <c r="H38">
        <f>IF([1]Staff!$E$39="","",[1]Staff!$E$39)</f>
        <v/>
      </c>
      <c r="I38">
        <f>IF([1]Staff!$F$39="","",[1]Staff!$F$39)</f>
        <v/>
      </c>
      <c r="K38">
        <f>IF([1]Accounts!$D$39="","",[1]Accounts!$A$39)</f>
        <v/>
      </c>
      <c r="L38">
        <f>IF([1]Accounts!$D$39="","",[1]Accounts!$B$39)</f>
        <v/>
      </c>
      <c r="M38">
        <f>IF([1]Accounts!$D$39="","",[1]Accounts!$C$39)</f>
        <v/>
      </c>
      <c r="N38">
        <f>IF([1]Accounts!$D$39="","",[1]Accounts!$D$39)</f>
        <v/>
      </c>
      <c r="P38">
        <f>IF([2]Entry!$C$41="","",[2]Entry!$C$41)</f>
        <v/>
      </c>
      <c r="Q38">
        <f>IF([2]Entry!$D$41="","",[2]Entry!$D$41)</f>
        <v/>
      </c>
      <c r="R38">
        <f>IF([2]Entry!$E$41="","",[2]Entry!$E$41)</f>
        <v/>
      </c>
      <c r="S38">
        <f>IF([2]Entry!$G$41="","",[2]Entry!$G$41)</f>
        <v/>
      </c>
      <c r="T38">
        <f>IF([2]Entry!$J$41="","",[2]Entry!$J$41)</f>
        <v/>
      </c>
      <c r="U38">
        <f>IF([2]Entry!$K$41="","",[2]Entry!$K$41)</f>
        <v/>
      </c>
      <c r="V38">
        <f>IF([2]Entry!$L$41="","",[2]Entry!$L$41)</f>
        <v/>
      </c>
      <c r="W38">
        <f>IF([2]Entry!$M$41="","",[2]Entry!$M$41)</f>
        <v/>
      </c>
      <c r="X38">
        <f>IF([2]Entry!$N$41="","",[2]Entry!$N$41)</f>
        <v/>
      </c>
      <c r="Y38">
        <f>IF([2]Entry!$R$41="","",[2]Entry!$R$41)</f>
        <v/>
      </c>
      <c r="AA38">
        <f>IF(AND($E38&lt;&gt;"",IFERROR(VLOOKUP($E38,AcctTblE,4,0),"")&lt;&gt;""),1,0)</f>
        <v/>
      </c>
      <c r="AB38">
        <f>SUM($AA$6:$AA38)</f>
        <v/>
      </c>
      <c r="AC38">
        <f>IFERROR(INDEX($E$6:$E$55,MATCH(ROW()-5,$AB$6:$AB$55,0)),"")</f>
        <v/>
      </c>
    </row>
    <row r="39">
      <c r="E39">
        <f>IF([1]Staff!$A$40="","",[1]Staff!$A$40)</f>
        <v/>
      </c>
      <c r="F39">
        <f>IF([1]Staff!$C$40="","",[1]Staff!$C$40)</f>
        <v/>
      </c>
      <c r="G39">
        <f>IF([1]Staff!$D$40="","",[1]Staff!$D$40)</f>
        <v/>
      </c>
      <c r="H39">
        <f>IF([1]Staff!$E$40="","",[1]Staff!$E$40)</f>
        <v/>
      </c>
      <c r="I39">
        <f>IF([1]Staff!$F$40="","",[1]Staff!$F$40)</f>
        <v/>
      </c>
      <c r="K39">
        <f>IF([1]Accounts!$D$40="","",[1]Accounts!$A$40)</f>
        <v/>
      </c>
      <c r="L39">
        <f>IF([1]Accounts!$D$40="","",[1]Accounts!$B$40)</f>
        <v/>
      </c>
      <c r="M39">
        <f>IF([1]Accounts!$D$40="","",[1]Accounts!$C$40)</f>
        <v/>
      </c>
      <c r="N39">
        <f>IF([1]Accounts!$D$40="","",[1]Accounts!$D$40)</f>
        <v/>
      </c>
      <c r="P39">
        <f>IF([2]Entry!$C$42="","",[2]Entry!$C$42)</f>
        <v/>
      </c>
      <c r="Q39">
        <f>IF([2]Entry!$D$42="","",[2]Entry!$D$42)</f>
        <v/>
      </c>
      <c r="R39">
        <f>IF([2]Entry!$E$42="","",[2]Entry!$E$42)</f>
        <v/>
      </c>
      <c r="S39">
        <f>IF([2]Entry!$G$42="","",[2]Entry!$G$42)</f>
        <v/>
      </c>
      <c r="T39">
        <f>IF([2]Entry!$J$42="","",[2]Entry!$J$42)</f>
        <v/>
      </c>
      <c r="U39">
        <f>IF([2]Entry!$K$42="","",[2]Entry!$K$42)</f>
        <v/>
      </c>
      <c r="V39">
        <f>IF([2]Entry!$L$42="","",[2]Entry!$L$42)</f>
        <v/>
      </c>
      <c r="W39">
        <f>IF([2]Entry!$M$42="","",[2]Entry!$M$42)</f>
        <v/>
      </c>
      <c r="X39">
        <f>IF([2]Entry!$N$42="","",[2]Entry!$N$42)</f>
        <v/>
      </c>
      <c r="Y39">
        <f>IF([2]Entry!$R$42="","",[2]Entry!$R$42)</f>
        <v/>
      </c>
      <c r="AA39">
        <f>IF(AND($E39&lt;&gt;"",IFERROR(VLOOKUP($E39,AcctTblE,4,0),"")&lt;&gt;""),1,0)</f>
        <v/>
      </c>
      <c r="AB39">
        <f>SUM($AA$6:$AA39)</f>
        <v/>
      </c>
      <c r="AC39">
        <f>IFERROR(INDEX($E$6:$E$55,MATCH(ROW()-5,$AB$6:$AB$55,0)),"")</f>
        <v/>
      </c>
    </row>
    <row r="40">
      <c r="E40">
        <f>IF([1]Staff!$A$41="","",[1]Staff!$A$41)</f>
        <v/>
      </c>
      <c r="F40">
        <f>IF([1]Staff!$C$41="","",[1]Staff!$C$41)</f>
        <v/>
      </c>
      <c r="G40">
        <f>IF([1]Staff!$D$41="","",[1]Staff!$D$41)</f>
        <v/>
      </c>
      <c r="H40">
        <f>IF([1]Staff!$E$41="","",[1]Staff!$E$41)</f>
        <v/>
      </c>
      <c r="I40">
        <f>IF([1]Staff!$F$41="","",[1]Staff!$F$41)</f>
        <v/>
      </c>
      <c r="K40">
        <f>IF([1]Accounts!$D$41="","",[1]Accounts!$A$41)</f>
        <v/>
      </c>
      <c r="L40">
        <f>IF([1]Accounts!$D$41="","",[1]Accounts!$B$41)</f>
        <v/>
      </c>
      <c r="M40">
        <f>IF([1]Accounts!$D$41="","",[1]Accounts!$C$41)</f>
        <v/>
      </c>
      <c r="N40">
        <f>IF([1]Accounts!$D$41="","",[1]Accounts!$D$41)</f>
        <v/>
      </c>
      <c r="P40">
        <f>IF([2]Entry!$C$43="","",[2]Entry!$C$43)</f>
        <v/>
      </c>
      <c r="Q40">
        <f>IF([2]Entry!$D$43="","",[2]Entry!$D$43)</f>
        <v/>
      </c>
      <c r="R40">
        <f>IF([2]Entry!$E$43="","",[2]Entry!$E$43)</f>
        <v/>
      </c>
      <c r="S40">
        <f>IF([2]Entry!$G$43="","",[2]Entry!$G$43)</f>
        <v/>
      </c>
      <c r="T40">
        <f>IF([2]Entry!$J$43="","",[2]Entry!$J$43)</f>
        <v/>
      </c>
      <c r="U40">
        <f>IF([2]Entry!$K$43="","",[2]Entry!$K$43)</f>
        <v/>
      </c>
      <c r="V40">
        <f>IF([2]Entry!$L$43="","",[2]Entry!$L$43)</f>
        <v/>
      </c>
      <c r="W40">
        <f>IF([2]Entry!$M$43="","",[2]Entry!$M$43)</f>
        <v/>
      </c>
      <c r="X40">
        <f>IF([2]Entry!$N$43="","",[2]Entry!$N$43)</f>
        <v/>
      </c>
      <c r="Y40">
        <f>IF([2]Entry!$R$43="","",[2]Entry!$R$43)</f>
        <v/>
      </c>
      <c r="AA40">
        <f>IF(AND($E40&lt;&gt;"",IFERROR(VLOOKUP($E40,AcctTblE,4,0),"")&lt;&gt;""),1,0)</f>
        <v/>
      </c>
      <c r="AB40">
        <f>SUM($AA$6:$AA40)</f>
        <v/>
      </c>
      <c r="AC40">
        <f>IFERROR(INDEX($E$6:$E$55,MATCH(ROW()-5,$AB$6:$AB$55,0)),"")</f>
        <v/>
      </c>
    </row>
    <row r="41">
      <c r="E41">
        <f>IF([1]Staff!$A$42="","",[1]Staff!$A$42)</f>
        <v/>
      </c>
      <c r="F41">
        <f>IF([1]Staff!$C$42="","",[1]Staff!$C$42)</f>
        <v/>
      </c>
      <c r="G41">
        <f>IF([1]Staff!$D$42="","",[1]Staff!$D$42)</f>
        <v/>
      </c>
      <c r="H41">
        <f>IF([1]Staff!$E$42="","",[1]Staff!$E$42)</f>
        <v/>
      </c>
      <c r="I41">
        <f>IF([1]Staff!$F$42="","",[1]Staff!$F$42)</f>
        <v/>
      </c>
      <c r="K41">
        <f>IF([1]Accounts!$D$42="","",[1]Accounts!$A$42)</f>
        <v/>
      </c>
      <c r="L41">
        <f>IF([1]Accounts!$D$42="","",[1]Accounts!$B$42)</f>
        <v/>
      </c>
      <c r="M41">
        <f>IF([1]Accounts!$D$42="","",[1]Accounts!$C$42)</f>
        <v/>
      </c>
      <c r="N41">
        <f>IF([1]Accounts!$D$42="","",[1]Accounts!$D$42)</f>
        <v/>
      </c>
      <c r="P41">
        <f>IF([2]Entry!$C$44="","",[2]Entry!$C$44)</f>
        <v/>
      </c>
      <c r="Q41">
        <f>IF([2]Entry!$D$44="","",[2]Entry!$D$44)</f>
        <v/>
      </c>
      <c r="R41">
        <f>IF([2]Entry!$E$44="","",[2]Entry!$E$44)</f>
        <v/>
      </c>
      <c r="S41">
        <f>IF([2]Entry!$G$44="","",[2]Entry!$G$44)</f>
        <v/>
      </c>
      <c r="T41">
        <f>IF([2]Entry!$J$44="","",[2]Entry!$J$44)</f>
        <v/>
      </c>
      <c r="U41">
        <f>IF([2]Entry!$K$44="","",[2]Entry!$K$44)</f>
        <v/>
      </c>
      <c r="V41">
        <f>IF([2]Entry!$L$44="","",[2]Entry!$L$44)</f>
        <v/>
      </c>
      <c r="W41">
        <f>IF([2]Entry!$M$44="","",[2]Entry!$M$44)</f>
        <v/>
      </c>
      <c r="X41">
        <f>IF([2]Entry!$N$44="","",[2]Entry!$N$44)</f>
        <v/>
      </c>
      <c r="Y41">
        <f>IF([2]Entry!$R$44="","",[2]Entry!$R$44)</f>
        <v/>
      </c>
      <c r="AA41">
        <f>IF(AND($E41&lt;&gt;"",IFERROR(VLOOKUP($E41,AcctTblE,4,0),"")&lt;&gt;""),1,0)</f>
        <v/>
      </c>
      <c r="AB41">
        <f>SUM($AA$6:$AA41)</f>
        <v/>
      </c>
      <c r="AC41">
        <f>IFERROR(INDEX($E$6:$E$55,MATCH(ROW()-5,$AB$6:$AB$55,0)),"")</f>
        <v/>
      </c>
    </row>
    <row r="42">
      <c r="E42">
        <f>IF([1]Staff!$A$43="","",[1]Staff!$A$43)</f>
        <v/>
      </c>
      <c r="F42">
        <f>IF([1]Staff!$C$43="","",[1]Staff!$C$43)</f>
        <v/>
      </c>
      <c r="G42">
        <f>IF([1]Staff!$D$43="","",[1]Staff!$D$43)</f>
        <v/>
      </c>
      <c r="H42">
        <f>IF([1]Staff!$E$43="","",[1]Staff!$E$43)</f>
        <v/>
      </c>
      <c r="I42">
        <f>IF([1]Staff!$F$43="","",[1]Staff!$F$43)</f>
        <v/>
      </c>
      <c r="K42">
        <f>IF([1]Accounts!$D$43="","",[1]Accounts!$A$43)</f>
        <v/>
      </c>
      <c r="L42">
        <f>IF([1]Accounts!$D$43="","",[1]Accounts!$B$43)</f>
        <v/>
      </c>
      <c r="M42">
        <f>IF([1]Accounts!$D$43="","",[1]Accounts!$C$43)</f>
        <v/>
      </c>
      <c r="N42">
        <f>IF([1]Accounts!$D$43="","",[1]Accounts!$D$43)</f>
        <v/>
      </c>
      <c r="P42">
        <f>IF([2]Entry!$C$45="","",[2]Entry!$C$45)</f>
        <v/>
      </c>
      <c r="Q42">
        <f>IF([2]Entry!$D$45="","",[2]Entry!$D$45)</f>
        <v/>
      </c>
      <c r="R42">
        <f>IF([2]Entry!$E$45="","",[2]Entry!$E$45)</f>
        <v/>
      </c>
      <c r="S42">
        <f>IF([2]Entry!$G$45="","",[2]Entry!$G$45)</f>
        <v/>
      </c>
      <c r="T42">
        <f>IF([2]Entry!$J$45="","",[2]Entry!$J$45)</f>
        <v/>
      </c>
      <c r="U42">
        <f>IF([2]Entry!$K$45="","",[2]Entry!$K$45)</f>
        <v/>
      </c>
      <c r="V42">
        <f>IF([2]Entry!$L$45="","",[2]Entry!$L$45)</f>
        <v/>
      </c>
      <c r="W42">
        <f>IF([2]Entry!$M$45="","",[2]Entry!$M$45)</f>
        <v/>
      </c>
      <c r="X42">
        <f>IF([2]Entry!$N$45="","",[2]Entry!$N$45)</f>
        <v/>
      </c>
      <c r="Y42">
        <f>IF([2]Entry!$R$45="","",[2]Entry!$R$45)</f>
        <v/>
      </c>
      <c r="AA42">
        <f>IF(AND($E42&lt;&gt;"",IFERROR(VLOOKUP($E42,AcctTblE,4,0),"")&lt;&gt;""),1,0)</f>
        <v/>
      </c>
      <c r="AB42">
        <f>SUM($AA$6:$AA42)</f>
        <v/>
      </c>
      <c r="AC42">
        <f>IFERROR(INDEX($E$6:$E$55,MATCH(ROW()-5,$AB$6:$AB$55,0)),"")</f>
        <v/>
      </c>
    </row>
    <row r="43">
      <c r="E43">
        <f>IF([1]Staff!$A$44="","",[1]Staff!$A$44)</f>
        <v/>
      </c>
      <c r="F43">
        <f>IF([1]Staff!$C$44="","",[1]Staff!$C$44)</f>
        <v/>
      </c>
      <c r="G43">
        <f>IF([1]Staff!$D$44="","",[1]Staff!$D$44)</f>
        <v/>
      </c>
      <c r="H43">
        <f>IF([1]Staff!$E$44="","",[1]Staff!$E$44)</f>
        <v/>
      </c>
      <c r="I43">
        <f>IF([1]Staff!$F$44="","",[1]Staff!$F$44)</f>
        <v/>
      </c>
      <c r="K43">
        <f>IF([1]Accounts!$D$44="","",[1]Accounts!$A$44)</f>
        <v/>
      </c>
      <c r="L43">
        <f>IF([1]Accounts!$D$44="","",[1]Accounts!$B$44)</f>
        <v/>
      </c>
      <c r="M43">
        <f>IF([1]Accounts!$D$44="","",[1]Accounts!$C$44)</f>
        <v/>
      </c>
      <c r="N43">
        <f>IF([1]Accounts!$D$44="","",[1]Accounts!$D$44)</f>
        <v/>
      </c>
      <c r="P43">
        <f>IF([2]Entry!$C$46="","",[2]Entry!$C$46)</f>
        <v/>
      </c>
      <c r="Q43">
        <f>IF([2]Entry!$D$46="","",[2]Entry!$D$46)</f>
        <v/>
      </c>
      <c r="R43">
        <f>IF([2]Entry!$E$46="","",[2]Entry!$E$46)</f>
        <v/>
      </c>
      <c r="S43">
        <f>IF([2]Entry!$G$46="","",[2]Entry!$G$46)</f>
        <v/>
      </c>
      <c r="T43">
        <f>IF([2]Entry!$J$46="","",[2]Entry!$J$46)</f>
        <v/>
      </c>
      <c r="U43">
        <f>IF([2]Entry!$K$46="","",[2]Entry!$K$46)</f>
        <v/>
      </c>
      <c r="V43">
        <f>IF([2]Entry!$L$46="","",[2]Entry!$L$46)</f>
        <v/>
      </c>
      <c r="W43">
        <f>IF([2]Entry!$M$46="","",[2]Entry!$M$46)</f>
        <v/>
      </c>
      <c r="X43">
        <f>IF([2]Entry!$N$46="","",[2]Entry!$N$46)</f>
        <v/>
      </c>
      <c r="Y43">
        <f>IF([2]Entry!$R$46="","",[2]Entry!$R$46)</f>
        <v/>
      </c>
      <c r="AA43">
        <f>IF(AND($E43&lt;&gt;"",IFERROR(VLOOKUP($E43,AcctTblE,4,0),"")&lt;&gt;""),1,0)</f>
        <v/>
      </c>
      <c r="AB43">
        <f>SUM($AA$6:$AA43)</f>
        <v/>
      </c>
      <c r="AC43">
        <f>IFERROR(INDEX($E$6:$E$55,MATCH(ROW()-5,$AB$6:$AB$55,0)),"")</f>
        <v/>
      </c>
    </row>
    <row r="44">
      <c r="E44">
        <f>IF([1]Staff!$A$45="","",[1]Staff!$A$45)</f>
        <v/>
      </c>
      <c r="F44">
        <f>IF([1]Staff!$C$45="","",[1]Staff!$C$45)</f>
        <v/>
      </c>
      <c r="G44">
        <f>IF([1]Staff!$D$45="","",[1]Staff!$D$45)</f>
        <v/>
      </c>
      <c r="H44">
        <f>IF([1]Staff!$E$45="","",[1]Staff!$E$45)</f>
        <v/>
      </c>
      <c r="I44">
        <f>IF([1]Staff!$F$45="","",[1]Staff!$F$45)</f>
        <v/>
      </c>
      <c r="K44">
        <f>IF([1]Accounts!$D$45="","",[1]Accounts!$A$45)</f>
        <v/>
      </c>
      <c r="L44">
        <f>IF([1]Accounts!$D$45="","",[1]Accounts!$B$45)</f>
        <v/>
      </c>
      <c r="M44">
        <f>IF([1]Accounts!$D$45="","",[1]Accounts!$C$45)</f>
        <v/>
      </c>
      <c r="N44">
        <f>IF([1]Accounts!$D$45="","",[1]Accounts!$D$45)</f>
        <v/>
      </c>
      <c r="P44">
        <f>IF([2]Entry!$C$47="","",[2]Entry!$C$47)</f>
        <v/>
      </c>
      <c r="Q44">
        <f>IF([2]Entry!$D$47="","",[2]Entry!$D$47)</f>
        <v/>
      </c>
      <c r="R44">
        <f>IF([2]Entry!$E$47="","",[2]Entry!$E$47)</f>
        <v/>
      </c>
      <c r="S44">
        <f>IF([2]Entry!$G$47="","",[2]Entry!$G$47)</f>
        <v/>
      </c>
      <c r="T44">
        <f>IF([2]Entry!$J$47="","",[2]Entry!$J$47)</f>
        <v/>
      </c>
      <c r="U44">
        <f>IF([2]Entry!$K$47="","",[2]Entry!$K$47)</f>
        <v/>
      </c>
      <c r="V44">
        <f>IF([2]Entry!$L$47="","",[2]Entry!$L$47)</f>
        <v/>
      </c>
      <c r="W44">
        <f>IF([2]Entry!$M$47="","",[2]Entry!$M$47)</f>
        <v/>
      </c>
      <c r="X44">
        <f>IF([2]Entry!$N$47="","",[2]Entry!$N$47)</f>
        <v/>
      </c>
      <c r="Y44">
        <f>IF([2]Entry!$R$47="","",[2]Entry!$R$47)</f>
        <v/>
      </c>
      <c r="AA44">
        <f>IF(AND($E44&lt;&gt;"",IFERROR(VLOOKUP($E44,AcctTblE,4,0),"")&lt;&gt;""),1,0)</f>
        <v/>
      </c>
      <c r="AB44">
        <f>SUM($AA$6:$AA44)</f>
        <v/>
      </c>
      <c r="AC44">
        <f>IFERROR(INDEX($E$6:$E$55,MATCH(ROW()-5,$AB$6:$AB$55,0)),"")</f>
        <v/>
      </c>
    </row>
    <row r="45">
      <c r="E45">
        <f>IF([1]Staff!$A$46="","",[1]Staff!$A$46)</f>
        <v/>
      </c>
      <c r="F45">
        <f>IF([1]Staff!$C$46="","",[1]Staff!$C$46)</f>
        <v/>
      </c>
      <c r="G45">
        <f>IF([1]Staff!$D$46="","",[1]Staff!$D$46)</f>
        <v/>
      </c>
      <c r="H45">
        <f>IF([1]Staff!$E$46="","",[1]Staff!$E$46)</f>
        <v/>
      </c>
      <c r="I45">
        <f>IF([1]Staff!$F$46="","",[1]Staff!$F$46)</f>
        <v/>
      </c>
      <c r="K45">
        <f>IF([1]Accounts!$D$46="","",[1]Accounts!$A$46)</f>
        <v/>
      </c>
      <c r="L45">
        <f>IF([1]Accounts!$D$46="","",[1]Accounts!$B$46)</f>
        <v/>
      </c>
      <c r="M45">
        <f>IF([1]Accounts!$D$46="","",[1]Accounts!$C$46)</f>
        <v/>
      </c>
      <c r="N45">
        <f>IF([1]Accounts!$D$46="","",[1]Accounts!$D$46)</f>
        <v/>
      </c>
      <c r="P45">
        <f>IF([2]Entry!$C$48="","",[2]Entry!$C$48)</f>
        <v/>
      </c>
      <c r="Q45">
        <f>IF([2]Entry!$D$48="","",[2]Entry!$D$48)</f>
        <v/>
      </c>
      <c r="R45">
        <f>IF([2]Entry!$E$48="","",[2]Entry!$E$48)</f>
        <v/>
      </c>
      <c r="S45">
        <f>IF([2]Entry!$G$48="","",[2]Entry!$G$48)</f>
        <v/>
      </c>
      <c r="T45">
        <f>IF([2]Entry!$J$48="","",[2]Entry!$J$48)</f>
        <v/>
      </c>
      <c r="U45">
        <f>IF([2]Entry!$K$48="","",[2]Entry!$K$48)</f>
        <v/>
      </c>
      <c r="V45">
        <f>IF([2]Entry!$L$48="","",[2]Entry!$L$48)</f>
        <v/>
      </c>
      <c r="W45">
        <f>IF([2]Entry!$M$48="","",[2]Entry!$M$48)</f>
        <v/>
      </c>
      <c r="X45">
        <f>IF([2]Entry!$N$48="","",[2]Entry!$N$48)</f>
        <v/>
      </c>
      <c r="Y45">
        <f>IF([2]Entry!$R$48="","",[2]Entry!$R$48)</f>
        <v/>
      </c>
      <c r="AA45">
        <f>IF(AND($E45&lt;&gt;"",IFERROR(VLOOKUP($E45,AcctTblE,4,0),"")&lt;&gt;""),1,0)</f>
        <v/>
      </c>
      <c r="AB45">
        <f>SUM($AA$6:$AA45)</f>
        <v/>
      </c>
      <c r="AC45">
        <f>IFERROR(INDEX($E$6:$E$55,MATCH(ROW()-5,$AB$6:$AB$55,0)),"")</f>
        <v/>
      </c>
    </row>
    <row r="46">
      <c r="E46">
        <f>IF([1]Staff!$A$47="","",[1]Staff!$A$47)</f>
        <v/>
      </c>
      <c r="F46">
        <f>IF([1]Staff!$C$47="","",[1]Staff!$C$47)</f>
        <v/>
      </c>
      <c r="G46">
        <f>IF([1]Staff!$D$47="","",[1]Staff!$D$47)</f>
        <v/>
      </c>
      <c r="H46">
        <f>IF([1]Staff!$E$47="","",[1]Staff!$E$47)</f>
        <v/>
      </c>
      <c r="I46">
        <f>IF([1]Staff!$F$47="","",[1]Staff!$F$47)</f>
        <v/>
      </c>
      <c r="K46">
        <f>IF([1]Accounts!$D$47="","",[1]Accounts!$A$47)</f>
        <v/>
      </c>
      <c r="L46">
        <f>IF([1]Accounts!$D$47="","",[1]Accounts!$B$47)</f>
        <v/>
      </c>
      <c r="M46">
        <f>IF([1]Accounts!$D$47="","",[1]Accounts!$C$47)</f>
        <v/>
      </c>
      <c r="N46">
        <f>IF([1]Accounts!$D$47="","",[1]Accounts!$D$47)</f>
        <v/>
      </c>
      <c r="P46">
        <f>IF([2]Entry!$C$49="","",[2]Entry!$C$49)</f>
        <v/>
      </c>
      <c r="Q46">
        <f>IF([2]Entry!$D$49="","",[2]Entry!$D$49)</f>
        <v/>
      </c>
      <c r="R46">
        <f>IF([2]Entry!$E$49="","",[2]Entry!$E$49)</f>
        <v/>
      </c>
      <c r="S46">
        <f>IF([2]Entry!$G$49="","",[2]Entry!$G$49)</f>
        <v/>
      </c>
      <c r="T46">
        <f>IF([2]Entry!$J$49="","",[2]Entry!$J$49)</f>
        <v/>
      </c>
      <c r="U46">
        <f>IF([2]Entry!$K$49="","",[2]Entry!$K$49)</f>
        <v/>
      </c>
      <c r="V46">
        <f>IF([2]Entry!$L$49="","",[2]Entry!$L$49)</f>
        <v/>
      </c>
      <c r="W46">
        <f>IF([2]Entry!$M$49="","",[2]Entry!$M$49)</f>
        <v/>
      </c>
      <c r="X46">
        <f>IF([2]Entry!$N$49="","",[2]Entry!$N$49)</f>
        <v/>
      </c>
      <c r="Y46">
        <f>IF([2]Entry!$R$49="","",[2]Entry!$R$49)</f>
        <v/>
      </c>
      <c r="AA46">
        <f>IF(AND($E46&lt;&gt;"",IFERROR(VLOOKUP($E46,AcctTblE,4,0),"")&lt;&gt;""),1,0)</f>
        <v/>
      </c>
      <c r="AB46">
        <f>SUM($AA$6:$AA46)</f>
        <v/>
      </c>
      <c r="AC46">
        <f>IFERROR(INDEX($E$6:$E$55,MATCH(ROW()-5,$AB$6:$AB$55,0)),"")</f>
        <v/>
      </c>
    </row>
    <row r="47">
      <c r="E47">
        <f>IF([1]Staff!$A$48="","",[1]Staff!$A$48)</f>
        <v/>
      </c>
      <c r="F47">
        <f>IF([1]Staff!$C$48="","",[1]Staff!$C$48)</f>
        <v/>
      </c>
      <c r="G47">
        <f>IF([1]Staff!$D$48="","",[1]Staff!$D$48)</f>
        <v/>
      </c>
      <c r="H47">
        <f>IF([1]Staff!$E$48="","",[1]Staff!$E$48)</f>
        <v/>
      </c>
      <c r="I47">
        <f>IF([1]Staff!$F$48="","",[1]Staff!$F$48)</f>
        <v/>
      </c>
      <c r="K47">
        <f>IF([1]Accounts!$D$48="","",[1]Accounts!$A$48)</f>
        <v/>
      </c>
      <c r="L47">
        <f>IF([1]Accounts!$D$48="","",[1]Accounts!$B$48)</f>
        <v/>
      </c>
      <c r="M47">
        <f>IF([1]Accounts!$D$48="","",[1]Accounts!$C$48)</f>
        <v/>
      </c>
      <c r="N47">
        <f>IF([1]Accounts!$D$48="","",[1]Accounts!$D$48)</f>
        <v/>
      </c>
      <c r="P47">
        <f>IF([2]Entry!$C$50="","",[2]Entry!$C$50)</f>
        <v/>
      </c>
      <c r="Q47">
        <f>IF([2]Entry!$D$50="","",[2]Entry!$D$50)</f>
        <v/>
      </c>
      <c r="R47">
        <f>IF([2]Entry!$E$50="","",[2]Entry!$E$50)</f>
        <v/>
      </c>
      <c r="S47">
        <f>IF([2]Entry!$G$50="","",[2]Entry!$G$50)</f>
        <v/>
      </c>
      <c r="T47">
        <f>IF([2]Entry!$J$50="","",[2]Entry!$J$50)</f>
        <v/>
      </c>
      <c r="U47">
        <f>IF([2]Entry!$K$50="","",[2]Entry!$K$50)</f>
        <v/>
      </c>
      <c r="V47">
        <f>IF([2]Entry!$L$50="","",[2]Entry!$L$50)</f>
        <v/>
      </c>
      <c r="W47">
        <f>IF([2]Entry!$M$50="","",[2]Entry!$M$50)</f>
        <v/>
      </c>
      <c r="X47">
        <f>IF([2]Entry!$N$50="","",[2]Entry!$N$50)</f>
        <v/>
      </c>
      <c r="Y47">
        <f>IF([2]Entry!$R$50="","",[2]Entry!$R$50)</f>
        <v/>
      </c>
      <c r="AA47">
        <f>IF(AND($E47&lt;&gt;"",IFERROR(VLOOKUP($E47,AcctTblE,4,0),"")&lt;&gt;""),1,0)</f>
        <v/>
      </c>
      <c r="AB47">
        <f>SUM($AA$6:$AA47)</f>
        <v/>
      </c>
      <c r="AC47">
        <f>IFERROR(INDEX($E$6:$E$55,MATCH(ROW()-5,$AB$6:$AB$55,0)),"")</f>
        <v/>
      </c>
    </row>
    <row r="48">
      <c r="E48">
        <f>IF([1]Staff!$A$49="","",[1]Staff!$A$49)</f>
        <v/>
      </c>
      <c r="F48">
        <f>IF([1]Staff!$C$49="","",[1]Staff!$C$49)</f>
        <v/>
      </c>
      <c r="G48">
        <f>IF([1]Staff!$D$49="","",[1]Staff!$D$49)</f>
        <v/>
      </c>
      <c r="H48">
        <f>IF([1]Staff!$E$49="","",[1]Staff!$E$49)</f>
        <v/>
      </c>
      <c r="I48">
        <f>IF([1]Staff!$F$49="","",[1]Staff!$F$49)</f>
        <v/>
      </c>
      <c r="K48">
        <f>IF([1]Accounts!$D$49="","",[1]Accounts!$A$49)</f>
        <v/>
      </c>
      <c r="L48">
        <f>IF([1]Accounts!$D$49="","",[1]Accounts!$B$49)</f>
        <v/>
      </c>
      <c r="M48">
        <f>IF([1]Accounts!$D$49="","",[1]Accounts!$C$49)</f>
        <v/>
      </c>
      <c r="N48">
        <f>IF([1]Accounts!$D$49="","",[1]Accounts!$D$49)</f>
        <v/>
      </c>
      <c r="P48">
        <f>IF([2]Entry!$C$51="","",[2]Entry!$C$51)</f>
        <v/>
      </c>
      <c r="Q48">
        <f>IF([2]Entry!$D$51="","",[2]Entry!$D$51)</f>
        <v/>
      </c>
      <c r="R48">
        <f>IF([2]Entry!$E$51="","",[2]Entry!$E$51)</f>
        <v/>
      </c>
      <c r="S48">
        <f>IF([2]Entry!$G$51="","",[2]Entry!$G$51)</f>
        <v/>
      </c>
      <c r="T48">
        <f>IF([2]Entry!$J$51="","",[2]Entry!$J$51)</f>
        <v/>
      </c>
      <c r="U48">
        <f>IF([2]Entry!$K$51="","",[2]Entry!$K$51)</f>
        <v/>
      </c>
      <c r="V48">
        <f>IF([2]Entry!$L$51="","",[2]Entry!$L$51)</f>
        <v/>
      </c>
      <c r="W48">
        <f>IF([2]Entry!$M$51="","",[2]Entry!$M$51)</f>
        <v/>
      </c>
      <c r="X48">
        <f>IF([2]Entry!$N$51="","",[2]Entry!$N$51)</f>
        <v/>
      </c>
      <c r="Y48">
        <f>IF([2]Entry!$R$51="","",[2]Entry!$R$51)</f>
        <v/>
      </c>
      <c r="AA48">
        <f>IF(AND($E48&lt;&gt;"",IFERROR(VLOOKUP($E48,AcctTblE,4,0),"")&lt;&gt;""),1,0)</f>
        <v/>
      </c>
      <c r="AB48">
        <f>SUM($AA$6:$AA48)</f>
        <v/>
      </c>
      <c r="AC48">
        <f>IFERROR(INDEX($E$6:$E$55,MATCH(ROW()-5,$AB$6:$AB$55,0)),"")</f>
        <v/>
      </c>
    </row>
    <row r="49">
      <c r="E49">
        <f>IF([1]Staff!$A$50="","",[1]Staff!$A$50)</f>
        <v/>
      </c>
      <c r="F49">
        <f>IF([1]Staff!$C$50="","",[1]Staff!$C$50)</f>
        <v/>
      </c>
      <c r="G49">
        <f>IF([1]Staff!$D$50="","",[1]Staff!$D$50)</f>
        <v/>
      </c>
      <c r="H49">
        <f>IF([1]Staff!$E$50="","",[1]Staff!$E$50)</f>
        <v/>
      </c>
      <c r="I49">
        <f>IF([1]Staff!$F$50="","",[1]Staff!$F$50)</f>
        <v/>
      </c>
      <c r="K49">
        <f>IF([1]Accounts!$D$50="","",[1]Accounts!$A$50)</f>
        <v/>
      </c>
      <c r="L49">
        <f>IF([1]Accounts!$D$50="","",[1]Accounts!$B$50)</f>
        <v/>
      </c>
      <c r="M49">
        <f>IF([1]Accounts!$D$50="","",[1]Accounts!$C$50)</f>
        <v/>
      </c>
      <c r="N49">
        <f>IF([1]Accounts!$D$50="","",[1]Accounts!$D$50)</f>
        <v/>
      </c>
      <c r="P49">
        <f>IF([2]Entry!$C$52="","",[2]Entry!$C$52)</f>
        <v/>
      </c>
      <c r="Q49">
        <f>IF([2]Entry!$D$52="","",[2]Entry!$D$52)</f>
        <v/>
      </c>
      <c r="R49">
        <f>IF([2]Entry!$E$52="","",[2]Entry!$E$52)</f>
        <v/>
      </c>
      <c r="S49">
        <f>IF([2]Entry!$G$52="","",[2]Entry!$G$52)</f>
        <v/>
      </c>
      <c r="T49">
        <f>IF([2]Entry!$J$52="","",[2]Entry!$J$52)</f>
        <v/>
      </c>
      <c r="U49">
        <f>IF([2]Entry!$K$52="","",[2]Entry!$K$52)</f>
        <v/>
      </c>
      <c r="V49">
        <f>IF([2]Entry!$L$52="","",[2]Entry!$L$52)</f>
        <v/>
      </c>
      <c r="W49">
        <f>IF([2]Entry!$M$52="","",[2]Entry!$M$52)</f>
        <v/>
      </c>
      <c r="X49">
        <f>IF([2]Entry!$N$52="","",[2]Entry!$N$52)</f>
        <v/>
      </c>
      <c r="Y49">
        <f>IF([2]Entry!$R$52="","",[2]Entry!$R$52)</f>
        <v/>
      </c>
      <c r="AA49">
        <f>IF(AND($E49&lt;&gt;"",IFERROR(VLOOKUP($E49,AcctTblE,4,0),"")&lt;&gt;""),1,0)</f>
        <v/>
      </c>
      <c r="AB49">
        <f>SUM($AA$6:$AA49)</f>
        <v/>
      </c>
      <c r="AC49">
        <f>IFERROR(INDEX($E$6:$E$55,MATCH(ROW()-5,$AB$6:$AB$55,0)),"")</f>
        <v/>
      </c>
    </row>
    <row r="50">
      <c r="E50">
        <f>IF([1]Staff!$A$51="","",[1]Staff!$A$51)</f>
        <v/>
      </c>
      <c r="F50">
        <f>IF([1]Staff!$C$51="","",[1]Staff!$C$51)</f>
        <v/>
      </c>
      <c r="G50">
        <f>IF([1]Staff!$D$51="","",[1]Staff!$D$51)</f>
        <v/>
      </c>
      <c r="H50">
        <f>IF([1]Staff!$E$51="","",[1]Staff!$E$51)</f>
        <v/>
      </c>
      <c r="I50">
        <f>IF([1]Staff!$F$51="","",[1]Staff!$F$51)</f>
        <v/>
      </c>
      <c r="K50">
        <f>IF([1]Accounts!$D$51="","",[1]Accounts!$A$51)</f>
        <v/>
      </c>
      <c r="L50">
        <f>IF([1]Accounts!$D$51="","",[1]Accounts!$B$51)</f>
        <v/>
      </c>
      <c r="M50">
        <f>IF([1]Accounts!$D$51="","",[1]Accounts!$C$51)</f>
        <v/>
      </c>
      <c r="N50">
        <f>IF([1]Accounts!$D$51="","",[1]Accounts!$D$51)</f>
        <v/>
      </c>
      <c r="P50">
        <f>IF([2]Entry!$C$53="","",[2]Entry!$C$53)</f>
        <v/>
      </c>
      <c r="Q50">
        <f>IF([2]Entry!$D$53="","",[2]Entry!$D$53)</f>
        <v/>
      </c>
      <c r="R50">
        <f>IF([2]Entry!$E$53="","",[2]Entry!$E$53)</f>
        <v/>
      </c>
      <c r="S50">
        <f>IF([2]Entry!$G$53="","",[2]Entry!$G$53)</f>
        <v/>
      </c>
      <c r="T50">
        <f>IF([2]Entry!$J$53="","",[2]Entry!$J$53)</f>
        <v/>
      </c>
      <c r="U50">
        <f>IF([2]Entry!$K$53="","",[2]Entry!$K$53)</f>
        <v/>
      </c>
      <c r="V50">
        <f>IF([2]Entry!$L$53="","",[2]Entry!$L$53)</f>
        <v/>
      </c>
      <c r="W50">
        <f>IF([2]Entry!$M$53="","",[2]Entry!$M$53)</f>
        <v/>
      </c>
      <c r="X50">
        <f>IF([2]Entry!$N$53="","",[2]Entry!$N$53)</f>
        <v/>
      </c>
      <c r="Y50">
        <f>IF([2]Entry!$R$53="","",[2]Entry!$R$53)</f>
        <v/>
      </c>
      <c r="AA50">
        <f>IF(AND($E50&lt;&gt;"",IFERROR(VLOOKUP($E50,AcctTblE,4,0),"")&lt;&gt;""),1,0)</f>
        <v/>
      </c>
      <c r="AB50">
        <f>SUM($AA$6:$AA50)</f>
        <v/>
      </c>
      <c r="AC50">
        <f>IFERROR(INDEX($E$6:$E$55,MATCH(ROW()-5,$AB$6:$AB$55,0)),"")</f>
        <v/>
      </c>
    </row>
    <row r="51">
      <c r="E51">
        <f>IF([1]Staff!$A$52="","",[1]Staff!$A$52)</f>
        <v/>
      </c>
      <c r="F51">
        <f>IF([1]Staff!$C$52="","",[1]Staff!$C$52)</f>
        <v/>
      </c>
      <c r="G51">
        <f>IF([1]Staff!$D$52="","",[1]Staff!$D$52)</f>
        <v/>
      </c>
      <c r="H51">
        <f>IF([1]Staff!$E$52="","",[1]Staff!$E$52)</f>
        <v/>
      </c>
      <c r="I51">
        <f>IF([1]Staff!$F$52="","",[1]Staff!$F$52)</f>
        <v/>
      </c>
      <c r="K51">
        <f>IF([1]Accounts!$D$52="","",[1]Accounts!$A$52)</f>
        <v/>
      </c>
      <c r="L51">
        <f>IF([1]Accounts!$D$52="","",[1]Accounts!$B$52)</f>
        <v/>
      </c>
      <c r="M51">
        <f>IF([1]Accounts!$D$52="","",[1]Accounts!$C$52)</f>
        <v/>
      </c>
      <c r="N51">
        <f>IF([1]Accounts!$D$52="","",[1]Accounts!$D$52)</f>
        <v/>
      </c>
      <c r="P51">
        <f>IF([2]Entry!$C$54="","",[2]Entry!$C$54)</f>
        <v/>
      </c>
      <c r="Q51">
        <f>IF([2]Entry!$D$54="","",[2]Entry!$D$54)</f>
        <v/>
      </c>
      <c r="R51">
        <f>IF([2]Entry!$E$54="","",[2]Entry!$E$54)</f>
        <v/>
      </c>
      <c r="S51">
        <f>IF([2]Entry!$G$54="","",[2]Entry!$G$54)</f>
        <v/>
      </c>
      <c r="T51">
        <f>IF([2]Entry!$J$54="","",[2]Entry!$J$54)</f>
        <v/>
      </c>
      <c r="U51">
        <f>IF([2]Entry!$K$54="","",[2]Entry!$K$54)</f>
        <v/>
      </c>
      <c r="V51">
        <f>IF([2]Entry!$L$54="","",[2]Entry!$L$54)</f>
        <v/>
      </c>
      <c r="W51">
        <f>IF([2]Entry!$M$54="","",[2]Entry!$M$54)</f>
        <v/>
      </c>
      <c r="X51">
        <f>IF([2]Entry!$N$54="","",[2]Entry!$N$54)</f>
        <v/>
      </c>
      <c r="Y51">
        <f>IF([2]Entry!$R$54="","",[2]Entry!$R$54)</f>
        <v/>
      </c>
      <c r="AA51">
        <f>IF(AND($E51&lt;&gt;"",IFERROR(VLOOKUP($E51,AcctTblE,4,0),"")&lt;&gt;""),1,0)</f>
        <v/>
      </c>
      <c r="AB51">
        <f>SUM($AA$6:$AA51)</f>
        <v/>
      </c>
      <c r="AC51">
        <f>IFERROR(INDEX($E$6:$E$55,MATCH(ROW()-5,$AB$6:$AB$55,0)),"")</f>
        <v/>
      </c>
    </row>
    <row r="52">
      <c r="E52">
        <f>IF([1]Staff!$A$53="","",[1]Staff!$A$53)</f>
        <v/>
      </c>
      <c r="F52">
        <f>IF([1]Staff!$C$53="","",[1]Staff!$C$53)</f>
        <v/>
      </c>
      <c r="G52">
        <f>IF([1]Staff!$D$53="","",[1]Staff!$D$53)</f>
        <v/>
      </c>
      <c r="H52">
        <f>IF([1]Staff!$E$53="","",[1]Staff!$E$53)</f>
        <v/>
      </c>
      <c r="I52">
        <f>IF([1]Staff!$F$53="","",[1]Staff!$F$53)</f>
        <v/>
      </c>
      <c r="K52">
        <f>IF([1]Accounts!$D$53="","",[1]Accounts!$A$53)</f>
        <v/>
      </c>
      <c r="L52">
        <f>IF([1]Accounts!$D$53="","",[1]Accounts!$B$53)</f>
        <v/>
      </c>
      <c r="M52">
        <f>IF([1]Accounts!$D$53="","",[1]Accounts!$C$53)</f>
        <v/>
      </c>
      <c r="N52">
        <f>IF([1]Accounts!$D$53="","",[1]Accounts!$D$53)</f>
        <v/>
      </c>
      <c r="P52">
        <f>IF([2]Entry!$C$55="","",[2]Entry!$C$55)</f>
        <v/>
      </c>
      <c r="Q52">
        <f>IF([2]Entry!$D$55="","",[2]Entry!$D$55)</f>
        <v/>
      </c>
      <c r="R52">
        <f>IF([2]Entry!$E$55="","",[2]Entry!$E$55)</f>
        <v/>
      </c>
      <c r="S52">
        <f>IF([2]Entry!$G$55="","",[2]Entry!$G$55)</f>
        <v/>
      </c>
      <c r="T52">
        <f>IF([2]Entry!$J$55="","",[2]Entry!$J$55)</f>
        <v/>
      </c>
      <c r="U52">
        <f>IF([2]Entry!$K$55="","",[2]Entry!$K$55)</f>
        <v/>
      </c>
      <c r="V52">
        <f>IF([2]Entry!$L$55="","",[2]Entry!$L$55)</f>
        <v/>
      </c>
      <c r="W52">
        <f>IF([2]Entry!$M$55="","",[2]Entry!$M$55)</f>
        <v/>
      </c>
      <c r="X52">
        <f>IF([2]Entry!$N$55="","",[2]Entry!$N$55)</f>
        <v/>
      </c>
      <c r="Y52">
        <f>IF([2]Entry!$R$55="","",[2]Entry!$R$55)</f>
        <v/>
      </c>
      <c r="AA52">
        <f>IF(AND($E52&lt;&gt;"",IFERROR(VLOOKUP($E52,AcctTblE,4,0),"")&lt;&gt;""),1,0)</f>
        <v/>
      </c>
      <c r="AB52">
        <f>SUM($AA$6:$AA52)</f>
        <v/>
      </c>
      <c r="AC52">
        <f>IFERROR(INDEX($E$6:$E$55,MATCH(ROW()-5,$AB$6:$AB$55,0)),"")</f>
        <v/>
      </c>
    </row>
    <row r="53">
      <c r="E53">
        <f>IF([1]Staff!$A$54="","",[1]Staff!$A$54)</f>
        <v/>
      </c>
      <c r="F53">
        <f>IF([1]Staff!$C$54="","",[1]Staff!$C$54)</f>
        <v/>
      </c>
      <c r="G53">
        <f>IF([1]Staff!$D$54="","",[1]Staff!$D$54)</f>
        <v/>
      </c>
      <c r="H53">
        <f>IF([1]Staff!$E$54="","",[1]Staff!$E$54)</f>
        <v/>
      </c>
      <c r="I53">
        <f>IF([1]Staff!$F$54="","",[1]Staff!$F$54)</f>
        <v/>
      </c>
      <c r="K53">
        <f>IF([1]Accounts!$D$54="","",[1]Accounts!$A$54)</f>
        <v/>
      </c>
      <c r="L53">
        <f>IF([1]Accounts!$D$54="","",[1]Accounts!$B$54)</f>
        <v/>
      </c>
      <c r="M53">
        <f>IF([1]Accounts!$D$54="","",[1]Accounts!$C$54)</f>
        <v/>
      </c>
      <c r="N53">
        <f>IF([1]Accounts!$D$54="","",[1]Accounts!$D$54)</f>
        <v/>
      </c>
      <c r="P53">
        <f>IF([2]Entry!$C$56="","",[2]Entry!$C$56)</f>
        <v/>
      </c>
      <c r="Q53">
        <f>IF([2]Entry!$D$56="","",[2]Entry!$D$56)</f>
        <v/>
      </c>
      <c r="R53">
        <f>IF([2]Entry!$E$56="","",[2]Entry!$E$56)</f>
        <v/>
      </c>
      <c r="S53">
        <f>IF([2]Entry!$G$56="","",[2]Entry!$G$56)</f>
        <v/>
      </c>
      <c r="T53">
        <f>IF([2]Entry!$J$56="","",[2]Entry!$J$56)</f>
        <v/>
      </c>
      <c r="U53">
        <f>IF([2]Entry!$K$56="","",[2]Entry!$K$56)</f>
        <v/>
      </c>
      <c r="V53">
        <f>IF([2]Entry!$L$56="","",[2]Entry!$L$56)</f>
        <v/>
      </c>
      <c r="W53">
        <f>IF([2]Entry!$M$56="","",[2]Entry!$M$56)</f>
        <v/>
      </c>
      <c r="X53">
        <f>IF([2]Entry!$N$56="","",[2]Entry!$N$56)</f>
        <v/>
      </c>
      <c r="Y53">
        <f>IF([2]Entry!$R$56="","",[2]Entry!$R$56)</f>
        <v/>
      </c>
      <c r="AA53">
        <f>IF(AND($E53&lt;&gt;"",IFERROR(VLOOKUP($E53,AcctTblE,4,0),"")&lt;&gt;""),1,0)</f>
        <v/>
      </c>
      <c r="AB53">
        <f>SUM($AA$6:$AA53)</f>
        <v/>
      </c>
      <c r="AC53">
        <f>IFERROR(INDEX($E$6:$E$55,MATCH(ROW()-5,$AB$6:$AB$55,0)),"")</f>
        <v/>
      </c>
    </row>
    <row r="54">
      <c r="E54">
        <f>IF([1]Staff!$A$55="","",[1]Staff!$A$55)</f>
        <v/>
      </c>
      <c r="F54">
        <f>IF([1]Staff!$C$55="","",[1]Staff!$C$55)</f>
        <v/>
      </c>
      <c r="G54">
        <f>IF([1]Staff!$D$55="","",[1]Staff!$D$55)</f>
        <v/>
      </c>
      <c r="H54">
        <f>IF([1]Staff!$E$55="","",[1]Staff!$E$55)</f>
        <v/>
      </c>
      <c r="I54">
        <f>IF([1]Staff!$F$55="","",[1]Staff!$F$55)</f>
        <v/>
      </c>
      <c r="K54">
        <f>IF([1]Accounts!$D$55="","",[1]Accounts!$A$55)</f>
        <v/>
      </c>
      <c r="L54">
        <f>IF([1]Accounts!$D$55="","",[1]Accounts!$B$55)</f>
        <v/>
      </c>
      <c r="M54">
        <f>IF([1]Accounts!$D$55="","",[1]Accounts!$C$55)</f>
        <v/>
      </c>
      <c r="N54">
        <f>IF([1]Accounts!$D$55="","",[1]Accounts!$D$55)</f>
        <v/>
      </c>
      <c r="P54">
        <f>IF([2]Entry!$C$57="","",[2]Entry!$C$57)</f>
        <v/>
      </c>
      <c r="Q54">
        <f>IF([2]Entry!$D$57="","",[2]Entry!$D$57)</f>
        <v/>
      </c>
      <c r="R54">
        <f>IF([2]Entry!$E$57="","",[2]Entry!$E$57)</f>
        <v/>
      </c>
      <c r="S54">
        <f>IF([2]Entry!$G$57="","",[2]Entry!$G$57)</f>
        <v/>
      </c>
      <c r="T54">
        <f>IF([2]Entry!$J$57="","",[2]Entry!$J$57)</f>
        <v/>
      </c>
      <c r="U54">
        <f>IF([2]Entry!$K$57="","",[2]Entry!$K$57)</f>
        <v/>
      </c>
      <c r="V54">
        <f>IF([2]Entry!$L$57="","",[2]Entry!$L$57)</f>
        <v/>
      </c>
      <c r="W54">
        <f>IF([2]Entry!$M$57="","",[2]Entry!$M$57)</f>
        <v/>
      </c>
      <c r="X54">
        <f>IF([2]Entry!$N$57="","",[2]Entry!$N$57)</f>
        <v/>
      </c>
      <c r="Y54">
        <f>IF([2]Entry!$R$57="","",[2]Entry!$R$57)</f>
        <v/>
      </c>
      <c r="AA54">
        <f>IF(AND($E54&lt;&gt;"",IFERROR(VLOOKUP($E54,AcctTblE,4,0),"")&lt;&gt;""),1,0)</f>
        <v/>
      </c>
      <c r="AB54">
        <f>SUM($AA$6:$AA54)</f>
        <v/>
      </c>
      <c r="AC54">
        <f>IFERROR(INDEX($E$6:$E$55,MATCH(ROW()-5,$AB$6:$AB$55,0)),"")</f>
        <v/>
      </c>
    </row>
    <row r="55">
      <c r="E55">
        <f>IF([1]Staff!$A$56="","",[1]Staff!$A$56)</f>
        <v/>
      </c>
      <c r="F55">
        <f>IF([1]Staff!$C$56="","",[1]Staff!$C$56)</f>
        <v/>
      </c>
      <c r="G55">
        <f>IF([1]Staff!$D$56="","",[1]Staff!$D$56)</f>
        <v/>
      </c>
      <c r="H55">
        <f>IF([1]Staff!$E$56="","",[1]Staff!$E$56)</f>
        <v/>
      </c>
      <c r="I55">
        <f>IF([1]Staff!$F$56="","",[1]Staff!$F$56)</f>
        <v/>
      </c>
      <c r="K55">
        <f>IF([1]Accounts!$D$56="","",[1]Accounts!$A$56)</f>
        <v/>
      </c>
      <c r="L55">
        <f>IF([1]Accounts!$D$56="","",[1]Accounts!$B$56)</f>
        <v/>
      </c>
      <c r="M55">
        <f>IF([1]Accounts!$D$56="","",[1]Accounts!$C$56)</f>
        <v/>
      </c>
      <c r="N55">
        <f>IF([1]Accounts!$D$56="","",[1]Accounts!$D$56)</f>
        <v/>
      </c>
      <c r="P55">
        <f>IF([2]Entry!$C$58="","",[2]Entry!$C$58)</f>
        <v/>
      </c>
      <c r="Q55">
        <f>IF([2]Entry!$D$58="","",[2]Entry!$D$58)</f>
        <v/>
      </c>
      <c r="R55">
        <f>IF([2]Entry!$E$58="","",[2]Entry!$E$58)</f>
        <v/>
      </c>
      <c r="S55">
        <f>IF([2]Entry!$G$58="","",[2]Entry!$G$58)</f>
        <v/>
      </c>
      <c r="T55">
        <f>IF([2]Entry!$J$58="","",[2]Entry!$J$58)</f>
        <v/>
      </c>
      <c r="U55">
        <f>IF([2]Entry!$K$58="","",[2]Entry!$K$58)</f>
        <v/>
      </c>
      <c r="V55">
        <f>IF([2]Entry!$L$58="","",[2]Entry!$L$58)</f>
        <v/>
      </c>
      <c r="W55">
        <f>IF([2]Entry!$M$58="","",[2]Entry!$M$58)</f>
        <v/>
      </c>
      <c r="X55">
        <f>IF([2]Entry!$N$58="","",[2]Entry!$N$58)</f>
        <v/>
      </c>
      <c r="Y55">
        <f>IF([2]Entry!$R$58="","",[2]Entry!$R$58)</f>
        <v/>
      </c>
      <c r="AA55">
        <f>IF(AND($E55&lt;&gt;"",IFERROR(VLOOKUP($E55,AcctTblE,4,0),"")&lt;&gt;""),1,0)</f>
        <v/>
      </c>
      <c r="AB55">
        <f>SUM($AA$6:$AA55)</f>
        <v/>
      </c>
      <c r="AC55">
        <f>IFERROR(INDEX($E$6:$E$55,MATCH(ROW()-5,$AB$6:$AB$55,0)),"")</f>
        <v/>
      </c>
    </row>
    <row r="56">
      <c r="K56">
        <f>IF([1]Accounts!$D$57="","",[1]Accounts!$A$57)</f>
        <v/>
      </c>
      <c r="L56">
        <f>IF([1]Accounts!$D$57="","",[1]Accounts!$B$57)</f>
        <v/>
      </c>
      <c r="M56">
        <f>IF([1]Accounts!$D$57="","",[1]Accounts!$C$57)</f>
        <v/>
      </c>
      <c r="N56">
        <f>IF([1]Accounts!$D$57="","",[1]Accounts!$D$57)</f>
        <v/>
      </c>
      <c r="P56">
        <f>IF([2]Entry!$C$59="","",[2]Entry!$C$59)</f>
        <v/>
      </c>
      <c r="Q56">
        <f>IF([2]Entry!$D$59="","",[2]Entry!$D$59)</f>
        <v/>
      </c>
      <c r="R56">
        <f>IF([2]Entry!$E$59="","",[2]Entry!$E$59)</f>
        <v/>
      </c>
      <c r="S56">
        <f>IF([2]Entry!$G$59="","",[2]Entry!$G$59)</f>
        <v/>
      </c>
      <c r="T56">
        <f>IF([2]Entry!$J$59="","",[2]Entry!$J$59)</f>
        <v/>
      </c>
      <c r="U56">
        <f>IF([2]Entry!$K$59="","",[2]Entry!$K$59)</f>
        <v/>
      </c>
      <c r="V56">
        <f>IF([2]Entry!$L$59="","",[2]Entry!$L$59)</f>
        <v/>
      </c>
      <c r="W56">
        <f>IF([2]Entry!$M$59="","",[2]Entry!$M$59)</f>
        <v/>
      </c>
      <c r="X56">
        <f>IF([2]Entry!$N$59="","",[2]Entry!$N$59)</f>
        <v/>
      </c>
      <c r="Y56">
        <f>IF([2]Entry!$R$59="","",[2]Entry!$R$59)</f>
        <v/>
      </c>
    </row>
    <row r="57">
      <c r="K57">
        <f>IF([1]Accounts!$D$58="","",[1]Accounts!$A$58)</f>
        <v/>
      </c>
      <c r="L57">
        <f>IF([1]Accounts!$D$58="","",[1]Accounts!$B$58)</f>
        <v/>
      </c>
      <c r="M57">
        <f>IF([1]Accounts!$D$58="","",[1]Accounts!$C$58)</f>
        <v/>
      </c>
      <c r="N57">
        <f>IF([1]Accounts!$D$58="","",[1]Accounts!$D$58)</f>
        <v/>
      </c>
      <c r="P57">
        <f>IF([2]Entry!$C$60="","",[2]Entry!$C$60)</f>
        <v/>
      </c>
      <c r="Q57">
        <f>IF([2]Entry!$D$60="","",[2]Entry!$D$60)</f>
        <v/>
      </c>
      <c r="R57">
        <f>IF([2]Entry!$E$60="","",[2]Entry!$E$60)</f>
        <v/>
      </c>
      <c r="S57">
        <f>IF([2]Entry!$G$60="","",[2]Entry!$G$60)</f>
        <v/>
      </c>
      <c r="T57">
        <f>IF([2]Entry!$J$60="","",[2]Entry!$J$60)</f>
        <v/>
      </c>
      <c r="U57">
        <f>IF([2]Entry!$K$60="","",[2]Entry!$K$60)</f>
        <v/>
      </c>
      <c r="V57">
        <f>IF([2]Entry!$L$60="","",[2]Entry!$L$60)</f>
        <v/>
      </c>
      <c r="W57">
        <f>IF([2]Entry!$M$60="","",[2]Entry!$M$60)</f>
        <v/>
      </c>
      <c r="X57">
        <f>IF([2]Entry!$N$60="","",[2]Entry!$N$60)</f>
        <v/>
      </c>
      <c r="Y57">
        <f>IF([2]Entry!$R$60="","",[2]Entry!$R$60)</f>
        <v/>
      </c>
    </row>
    <row r="58">
      <c r="K58">
        <f>IF([1]Accounts!$D$59="","",[1]Accounts!$A$59)</f>
        <v/>
      </c>
      <c r="L58">
        <f>IF([1]Accounts!$D$59="","",[1]Accounts!$B$59)</f>
        <v/>
      </c>
      <c r="M58">
        <f>IF([1]Accounts!$D$59="","",[1]Accounts!$C$59)</f>
        <v/>
      </c>
      <c r="N58">
        <f>IF([1]Accounts!$D$59="","",[1]Accounts!$D$59)</f>
        <v/>
      </c>
      <c r="P58">
        <f>IF([2]Entry!$C$61="","",[2]Entry!$C$61)</f>
        <v/>
      </c>
      <c r="Q58">
        <f>IF([2]Entry!$D$61="","",[2]Entry!$D$61)</f>
        <v/>
      </c>
      <c r="R58">
        <f>IF([2]Entry!$E$61="","",[2]Entry!$E$61)</f>
        <v/>
      </c>
      <c r="S58">
        <f>IF([2]Entry!$G$61="","",[2]Entry!$G$61)</f>
        <v/>
      </c>
      <c r="T58">
        <f>IF([2]Entry!$J$61="","",[2]Entry!$J$61)</f>
        <v/>
      </c>
      <c r="U58">
        <f>IF([2]Entry!$K$61="","",[2]Entry!$K$61)</f>
        <v/>
      </c>
      <c r="V58">
        <f>IF([2]Entry!$L$61="","",[2]Entry!$L$61)</f>
        <v/>
      </c>
      <c r="W58">
        <f>IF([2]Entry!$M$61="","",[2]Entry!$M$61)</f>
        <v/>
      </c>
      <c r="X58">
        <f>IF([2]Entry!$N$61="","",[2]Entry!$N$61)</f>
        <v/>
      </c>
      <c r="Y58">
        <f>IF([2]Entry!$R$61="","",[2]Entry!$R$61)</f>
        <v/>
      </c>
    </row>
    <row r="59">
      <c r="K59">
        <f>IF([1]Accounts!$D$60="","",[1]Accounts!$A$60)</f>
        <v/>
      </c>
      <c r="L59">
        <f>IF([1]Accounts!$D$60="","",[1]Accounts!$B$60)</f>
        <v/>
      </c>
      <c r="M59">
        <f>IF([1]Accounts!$D$60="","",[1]Accounts!$C$60)</f>
        <v/>
      </c>
      <c r="N59">
        <f>IF([1]Accounts!$D$60="","",[1]Accounts!$D$60)</f>
        <v/>
      </c>
      <c r="P59">
        <f>IF([2]Entry!$C$62="","",[2]Entry!$C$62)</f>
        <v/>
      </c>
      <c r="Q59">
        <f>IF([2]Entry!$D$62="","",[2]Entry!$D$62)</f>
        <v/>
      </c>
      <c r="R59">
        <f>IF([2]Entry!$E$62="","",[2]Entry!$E$62)</f>
        <v/>
      </c>
      <c r="S59">
        <f>IF([2]Entry!$G$62="","",[2]Entry!$G$62)</f>
        <v/>
      </c>
      <c r="T59">
        <f>IF([2]Entry!$J$62="","",[2]Entry!$J$62)</f>
        <v/>
      </c>
      <c r="U59">
        <f>IF([2]Entry!$K$62="","",[2]Entry!$K$62)</f>
        <v/>
      </c>
      <c r="V59">
        <f>IF([2]Entry!$L$62="","",[2]Entry!$L$62)</f>
        <v/>
      </c>
      <c r="W59">
        <f>IF([2]Entry!$M$62="","",[2]Entry!$M$62)</f>
        <v/>
      </c>
      <c r="X59">
        <f>IF([2]Entry!$N$62="","",[2]Entry!$N$62)</f>
        <v/>
      </c>
      <c r="Y59">
        <f>IF([2]Entry!$R$62="","",[2]Entry!$R$62)</f>
        <v/>
      </c>
    </row>
    <row r="60">
      <c r="K60">
        <f>IF([1]Accounts!$D$61="","",[1]Accounts!$A$61)</f>
        <v/>
      </c>
      <c r="L60">
        <f>IF([1]Accounts!$D$61="","",[1]Accounts!$B$61)</f>
        <v/>
      </c>
      <c r="M60">
        <f>IF([1]Accounts!$D$61="","",[1]Accounts!$C$61)</f>
        <v/>
      </c>
      <c r="N60">
        <f>IF([1]Accounts!$D$61="","",[1]Accounts!$D$61)</f>
        <v/>
      </c>
      <c r="P60">
        <f>IF([2]Entry!$C$63="","",[2]Entry!$C$63)</f>
        <v/>
      </c>
      <c r="Q60">
        <f>IF([2]Entry!$D$63="","",[2]Entry!$D$63)</f>
        <v/>
      </c>
      <c r="R60">
        <f>IF([2]Entry!$E$63="","",[2]Entry!$E$63)</f>
        <v/>
      </c>
      <c r="S60">
        <f>IF([2]Entry!$G$63="","",[2]Entry!$G$63)</f>
        <v/>
      </c>
      <c r="T60">
        <f>IF([2]Entry!$J$63="","",[2]Entry!$J$63)</f>
        <v/>
      </c>
      <c r="U60">
        <f>IF([2]Entry!$K$63="","",[2]Entry!$K$63)</f>
        <v/>
      </c>
      <c r="V60">
        <f>IF([2]Entry!$L$63="","",[2]Entry!$L$63)</f>
        <v/>
      </c>
      <c r="W60">
        <f>IF([2]Entry!$M$63="","",[2]Entry!$M$63)</f>
        <v/>
      </c>
      <c r="X60">
        <f>IF([2]Entry!$N$63="","",[2]Entry!$N$63)</f>
        <v/>
      </c>
      <c r="Y60">
        <f>IF([2]Entry!$R$63="","",[2]Entry!$R$63)</f>
        <v/>
      </c>
    </row>
    <row r="61">
      <c r="K61">
        <f>IF([1]Accounts!$D$62="","",[1]Accounts!$A$62)</f>
        <v/>
      </c>
      <c r="L61">
        <f>IF([1]Accounts!$D$62="","",[1]Accounts!$B$62)</f>
        <v/>
      </c>
      <c r="M61">
        <f>IF([1]Accounts!$D$62="","",[1]Accounts!$C$62)</f>
        <v/>
      </c>
      <c r="N61">
        <f>IF([1]Accounts!$D$62="","",[1]Accounts!$D$62)</f>
        <v/>
      </c>
      <c r="P61">
        <f>IF([2]Entry!$C$64="","",[2]Entry!$C$64)</f>
        <v/>
      </c>
      <c r="Q61">
        <f>IF([2]Entry!$D$64="","",[2]Entry!$D$64)</f>
        <v/>
      </c>
      <c r="R61">
        <f>IF([2]Entry!$E$64="","",[2]Entry!$E$64)</f>
        <v/>
      </c>
      <c r="S61">
        <f>IF([2]Entry!$G$64="","",[2]Entry!$G$64)</f>
        <v/>
      </c>
      <c r="T61">
        <f>IF([2]Entry!$J$64="","",[2]Entry!$J$64)</f>
        <v/>
      </c>
      <c r="U61">
        <f>IF([2]Entry!$K$64="","",[2]Entry!$K$64)</f>
        <v/>
      </c>
      <c r="V61">
        <f>IF([2]Entry!$L$64="","",[2]Entry!$L$64)</f>
        <v/>
      </c>
      <c r="W61">
        <f>IF([2]Entry!$M$64="","",[2]Entry!$M$64)</f>
        <v/>
      </c>
      <c r="X61">
        <f>IF([2]Entry!$N$64="","",[2]Entry!$N$64)</f>
        <v/>
      </c>
      <c r="Y61">
        <f>IF([2]Entry!$R$64="","",[2]Entry!$R$64)</f>
        <v/>
      </c>
    </row>
    <row r="62">
      <c r="K62">
        <f>IF([1]Accounts!$D$63="","",[1]Accounts!$A$63)</f>
        <v/>
      </c>
      <c r="L62">
        <f>IF([1]Accounts!$D$63="","",[1]Accounts!$B$63)</f>
        <v/>
      </c>
      <c r="M62">
        <f>IF([1]Accounts!$D$63="","",[1]Accounts!$C$63)</f>
        <v/>
      </c>
      <c r="N62">
        <f>IF([1]Accounts!$D$63="","",[1]Accounts!$D$63)</f>
        <v/>
      </c>
      <c r="P62">
        <f>IF([2]Entry!$C$65="","",[2]Entry!$C$65)</f>
        <v/>
      </c>
      <c r="Q62">
        <f>IF([2]Entry!$D$65="","",[2]Entry!$D$65)</f>
        <v/>
      </c>
      <c r="R62">
        <f>IF([2]Entry!$E$65="","",[2]Entry!$E$65)</f>
        <v/>
      </c>
      <c r="S62">
        <f>IF([2]Entry!$G$65="","",[2]Entry!$G$65)</f>
        <v/>
      </c>
      <c r="T62">
        <f>IF([2]Entry!$J$65="","",[2]Entry!$J$65)</f>
        <v/>
      </c>
      <c r="U62">
        <f>IF([2]Entry!$K$65="","",[2]Entry!$K$65)</f>
        <v/>
      </c>
      <c r="V62">
        <f>IF([2]Entry!$L$65="","",[2]Entry!$L$65)</f>
        <v/>
      </c>
      <c r="W62">
        <f>IF([2]Entry!$M$65="","",[2]Entry!$M$65)</f>
        <v/>
      </c>
      <c r="X62">
        <f>IF([2]Entry!$N$65="","",[2]Entry!$N$65)</f>
        <v/>
      </c>
      <c r="Y62">
        <f>IF([2]Entry!$R$65="","",[2]Entry!$R$65)</f>
        <v/>
      </c>
    </row>
    <row r="63">
      <c r="K63">
        <f>IF([1]Accounts!$D$64="","",[1]Accounts!$A$64)</f>
        <v/>
      </c>
      <c r="L63">
        <f>IF([1]Accounts!$D$64="","",[1]Accounts!$B$64)</f>
        <v/>
      </c>
      <c r="M63">
        <f>IF([1]Accounts!$D$64="","",[1]Accounts!$C$64)</f>
        <v/>
      </c>
      <c r="N63">
        <f>IF([1]Accounts!$D$64="","",[1]Accounts!$D$64)</f>
        <v/>
      </c>
      <c r="P63">
        <f>IF([2]Entry!$C$66="","",[2]Entry!$C$66)</f>
        <v/>
      </c>
      <c r="Q63">
        <f>IF([2]Entry!$D$66="","",[2]Entry!$D$66)</f>
        <v/>
      </c>
      <c r="R63">
        <f>IF([2]Entry!$E$66="","",[2]Entry!$E$66)</f>
        <v/>
      </c>
      <c r="S63">
        <f>IF([2]Entry!$G$66="","",[2]Entry!$G$66)</f>
        <v/>
      </c>
      <c r="T63">
        <f>IF([2]Entry!$J$66="","",[2]Entry!$J$66)</f>
        <v/>
      </c>
      <c r="U63">
        <f>IF([2]Entry!$K$66="","",[2]Entry!$K$66)</f>
        <v/>
      </c>
      <c r="V63">
        <f>IF([2]Entry!$L$66="","",[2]Entry!$L$66)</f>
        <v/>
      </c>
      <c r="W63">
        <f>IF([2]Entry!$M$66="","",[2]Entry!$M$66)</f>
        <v/>
      </c>
      <c r="X63">
        <f>IF([2]Entry!$N$66="","",[2]Entry!$N$66)</f>
        <v/>
      </c>
      <c r="Y63">
        <f>IF([2]Entry!$R$66="","",[2]Entry!$R$66)</f>
        <v/>
      </c>
    </row>
    <row r="64">
      <c r="K64">
        <f>IF([1]Accounts!$D$65="","",[1]Accounts!$A$65)</f>
        <v/>
      </c>
      <c r="L64">
        <f>IF([1]Accounts!$D$65="","",[1]Accounts!$B$65)</f>
        <v/>
      </c>
      <c r="M64">
        <f>IF([1]Accounts!$D$65="","",[1]Accounts!$C$65)</f>
        <v/>
      </c>
      <c r="N64">
        <f>IF([1]Accounts!$D$65="","",[1]Accounts!$D$65)</f>
        <v/>
      </c>
      <c r="P64">
        <f>IF([2]Entry!$C$67="","",[2]Entry!$C$67)</f>
        <v/>
      </c>
      <c r="Q64">
        <f>IF([2]Entry!$D$67="","",[2]Entry!$D$67)</f>
        <v/>
      </c>
      <c r="R64">
        <f>IF([2]Entry!$E$67="","",[2]Entry!$E$67)</f>
        <v/>
      </c>
      <c r="S64">
        <f>IF([2]Entry!$G$67="","",[2]Entry!$G$67)</f>
        <v/>
      </c>
      <c r="T64">
        <f>IF([2]Entry!$J$67="","",[2]Entry!$J$67)</f>
        <v/>
      </c>
      <c r="U64">
        <f>IF([2]Entry!$K$67="","",[2]Entry!$K$67)</f>
        <v/>
      </c>
      <c r="V64">
        <f>IF([2]Entry!$L$67="","",[2]Entry!$L$67)</f>
        <v/>
      </c>
      <c r="W64">
        <f>IF([2]Entry!$M$67="","",[2]Entry!$M$67)</f>
        <v/>
      </c>
      <c r="X64">
        <f>IF([2]Entry!$N$67="","",[2]Entry!$N$67)</f>
        <v/>
      </c>
      <c r="Y64">
        <f>IF([2]Entry!$R$67="","",[2]Entry!$R$67)</f>
        <v/>
      </c>
    </row>
    <row r="65">
      <c r="K65">
        <f>IF([1]Accounts!$D$66="","",[1]Accounts!$A$66)</f>
        <v/>
      </c>
      <c r="L65">
        <f>IF([1]Accounts!$D$66="","",[1]Accounts!$B$66)</f>
        <v/>
      </c>
      <c r="M65">
        <f>IF([1]Accounts!$D$66="","",[1]Accounts!$C$66)</f>
        <v/>
      </c>
      <c r="N65">
        <f>IF([1]Accounts!$D$66="","",[1]Accounts!$D$66)</f>
        <v/>
      </c>
      <c r="P65">
        <f>IF([2]Entry!$C$68="","",[2]Entry!$C$68)</f>
        <v/>
      </c>
      <c r="Q65">
        <f>IF([2]Entry!$D$68="","",[2]Entry!$D$68)</f>
        <v/>
      </c>
      <c r="R65">
        <f>IF([2]Entry!$E$68="","",[2]Entry!$E$68)</f>
        <v/>
      </c>
      <c r="S65">
        <f>IF([2]Entry!$G$68="","",[2]Entry!$G$68)</f>
        <v/>
      </c>
      <c r="T65">
        <f>IF([2]Entry!$J$68="","",[2]Entry!$J$68)</f>
        <v/>
      </c>
      <c r="U65">
        <f>IF([2]Entry!$K$68="","",[2]Entry!$K$68)</f>
        <v/>
      </c>
      <c r="V65">
        <f>IF([2]Entry!$L$68="","",[2]Entry!$L$68)</f>
        <v/>
      </c>
      <c r="W65">
        <f>IF([2]Entry!$M$68="","",[2]Entry!$M$68)</f>
        <v/>
      </c>
      <c r="X65">
        <f>IF([2]Entry!$N$68="","",[2]Entry!$N$68)</f>
        <v/>
      </c>
      <c r="Y65">
        <f>IF([2]Entry!$R$68="","",[2]Entry!$R$68)</f>
        <v/>
      </c>
    </row>
    <row r="66">
      <c r="K66">
        <f>IF([1]Accounts!$D$67="","",[1]Accounts!$A$67)</f>
        <v/>
      </c>
      <c r="L66">
        <f>IF([1]Accounts!$D$67="","",[1]Accounts!$B$67)</f>
        <v/>
      </c>
      <c r="M66">
        <f>IF([1]Accounts!$D$67="","",[1]Accounts!$C$67)</f>
        <v/>
      </c>
      <c r="N66">
        <f>IF([1]Accounts!$D$67="","",[1]Accounts!$D$67)</f>
        <v/>
      </c>
      <c r="P66">
        <f>IF([2]Entry!$C$69="","",[2]Entry!$C$69)</f>
        <v/>
      </c>
      <c r="Q66">
        <f>IF([2]Entry!$D$69="","",[2]Entry!$D$69)</f>
        <v/>
      </c>
      <c r="R66">
        <f>IF([2]Entry!$E$69="","",[2]Entry!$E$69)</f>
        <v/>
      </c>
      <c r="S66">
        <f>IF([2]Entry!$G$69="","",[2]Entry!$G$69)</f>
        <v/>
      </c>
      <c r="T66">
        <f>IF([2]Entry!$J$69="","",[2]Entry!$J$69)</f>
        <v/>
      </c>
      <c r="U66">
        <f>IF([2]Entry!$K$69="","",[2]Entry!$K$69)</f>
        <v/>
      </c>
      <c r="V66">
        <f>IF([2]Entry!$L$69="","",[2]Entry!$L$69)</f>
        <v/>
      </c>
      <c r="W66">
        <f>IF([2]Entry!$M$69="","",[2]Entry!$M$69)</f>
        <v/>
      </c>
      <c r="X66">
        <f>IF([2]Entry!$N$69="","",[2]Entry!$N$69)</f>
        <v/>
      </c>
      <c r="Y66">
        <f>IF([2]Entry!$R$69="","",[2]Entry!$R$69)</f>
        <v/>
      </c>
    </row>
    <row r="67">
      <c r="K67">
        <f>IF([1]Accounts!$D$68="","",[1]Accounts!$A$68)</f>
        <v/>
      </c>
      <c r="L67">
        <f>IF([1]Accounts!$D$68="","",[1]Accounts!$B$68)</f>
        <v/>
      </c>
      <c r="M67">
        <f>IF([1]Accounts!$D$68="","",[1]Accounts!$C$68)</f>
        <v/>
      </c>
      <c r="N67">
        <f>IF([1]Accounts!$D$68="","",[1]Accounts!$D$68)</f>
        <v/>
      </c>
      <c r="P67">
        <f>IF([2]Entry!$C$70="","",[2]Entry!$C$70)</f>
        <v/>
      </c>
      <c r="Q67">
        <f>IF([2]Entry!$D$70="","",[2]Entry!$D$70)</f>
        <v/>
      </c>
      <c r="R67">
        <f>IF([2]Entry!$E$70="","",[2]Entry!$E$70)</f>
        <v/>
      </c>
      <c r="S67">
        <f>IF([2]Entry!$G$70="","",[2]Entry!$G$70)</f>
        <v/>
      </c>
      <c r="T67">
        <f>IF([2]Entry!$J$70="","",[2]Entry!$J$70)</f>
        <v/>
      </c>
      <c r="U67">
        <f>IF([2]Entry!$K$70="","",[2]Entry!$K$70)</f>
        <v/>
      </c>
      <c r="V67">
        <f>IF([2]Entry!$L$70="","",[2]Entry!$L$70)</f>
        <v/>
      </c>
      <c r="W67">
        <f>IF([2]Entry!$M$70="","",[2]Entry!$M$70)</f>
        <v/>
      </c>
      <c r="X67">
        <f>IF([2]Entry!$N$70="","",[2]Entry!$N$70)</f>
        <v/>
      </c>
      <c r="Y67">
        <f>IF([2]Entry!$R$70="","",[2]Entry!$R$70)</f>
        <v/>
      </c>
    </row>
    <row r="68">
      <c r="K68">
        <f>IF([1]Accounts!$D$69="","",[1]Accounts!$A$69)</f>
        <v/>
      </c>
      <c r="L68">
        <f>IF([1]Accounts!$D$69="","",[1]Accounts!$B$69)</f>
        <v/>
      </c>
      <c r="M68">
        <f>IF([1]Accounts!$D$69="","",[1]Accounts!$C$69)</f>
        <v/>
      </c>
      <c r="N68">
        <f>IF([1]Accounts!$D$69="","",[1]Accounts!$D$69)</f>
        <v/>
      </c>
      <c r="P68">
        <f>IF([2]Entry!$C$71="","",[2]Entry!$C$71)</f>
        <v/>
      </c>
      <c r="Q68">
        <f>IF([2]Entry!$D$71="","",[2]Entry!$D$71)</f>
        <v/>
      </c>
      <c r="R68">
        <f>IF([2]Entry!$E$71="","",[2]Entry!$E$71)</f>
        <v/>
      </c>
      <c r="S68">
        <f>IF([2]Entry!$G$71="","",[2]Entry!$G$71)</f>
        <v/>
      </c>
      <c r="T68">
        <f>IF([2]Entry!$J$71="","",[2]Entry!$J$71)</f>
        <v/>
      </c>
      <c r="U68">
        <f>IF([2]Entry!$K$71="","",[2]Entry!$K$71)</f>
        <v/>
      </c>
      <c r="V68">
        <f>IF([2]Entry!$L$71="","",[2]Entry!$L$71)</f>
        <v/>
      </c>
      <c r="W68">
        <f>IF([2]Entry!$M$71="","",[2]Entry!$M$71)</f>
        <v/>
      </c>
      <c r="X68">
        <f>IF([2]Entry!$N$71="","",[2]Entry!$N$71)</f>
        <v/>
      </c>
      <c r="Y68">
        <f>IF([2]Entry!$R$71="","",[2]Entry!$R$71)</f>
        <v/>
      </c>
    </row>
    <row r="69">
      <c r="K69">
        <f>IF([1]Accounts!$D$70="","",[1]Accounts!$A$70)</f>
        <v/>
      </c>
      <c r="L69">
        <f>IF([1]Accounts!$D$70="","",[1]Accounts!$B$70)</f>
        <v/>
      </c>
      <c r="M69">
        <f>IF([1]Accounts!$D$70="","",[1]Accounts!$C$70)</f>
        <v/>
      </c>
      <c r="N69">
        <f>IF([1]Accounts!$D$70="","",[1]Accounts!$D$70)</f>
        <v/>
      </c>
      <c r="P69">
        <f>IF([2]Entry!$C$72="","",[2]Entry!$C$72)</f>
        <v/>
      </c>
      <c r="Q69">
        <f>IF([2]Entry!$D$72="","",[2]Entry!$D$72)</f>
        <v/>
      </c>
      <c r="R69">
        <f>IF([2]Entry!$E$72="","",[2]Entry!$E$72)</f>
        <v/>
      </c>
      <c r="S69">
        <f>IF([2]Entry!$G$72="","",[2]Entry!$G$72)</f>
        <v/>
      </c>
      <c r="T69">
        <f>IF([2]Entry!$J$72="","",[2]Entry!$J$72)</f>
        <v/>
      </c>
      <c r="U69">
        <f>IF([2]Entry!$K$72="","",[2]Entry!$K$72)</f>
        <v/>
      </c>
      <c r="V69">
        <f>IF([2]Entry!$L$72="","",[2]Entry!$L$72)</f>
        <v/>
      </c>
      <c r="W69">
        <f>IF([2]Entry!$M$72="","",[2]Entry!$M$72)</f>
        <v/>
      </c>
      <c r="X69">
        <f>IF([2]Entry!$N$72="","",[2]Entry!$N$72)</f>
        <v/>
      </c>
      <c r="Y69">
        <f>IF([2]Entry!$R$72="","",[2]Entry!$R$72)</f>
        <v/>
      </c>
    </row>
    <row r="70">
      <c r="K70">
        <f>IF([1]Accounts!$D$71="","",[1]Accounts!$A$71)</f>
        <v/>
      </c>
      <c r="L70">
        <f>IF([1]Accounts!$D$71="","",[1]Accounts!$B$71)</f>
        <v/>
      </c>
      <c r="M70">
        <f>IF([1]Accounts!$D$71="","",[1]Accounts!$C$71)</f>
        <v/>
      </c>
      <c r="N70">
        <f>IF([1]Accounts!$D$71="","",[1]Accounts!$D$71)</f>
        <v/>
      </c>
      <c r="P70">
        <f>IF([2]Entry!$C$73="","",[2]Entry!$C$73)</f>
        <v/>
      </c>
      <c r="Q70">
        <f>IF([2]Entry!$D$73="","",[2]Entry!$D$73)</f>
        <v/>
      </c>
      <c r="R70">
        <f>IF([2]Entry!$E$73="","",[2]Entry!$E$73)</f>
        <v/>
      </c>
      <c r="S70">
        <f>IF([2]Entry!$G$73="","",[2]Entry!$G$73)</f>
        <v/>
      </c>
      <c r="T70">
        <f>IF([2]Entry!$J$73="","",[2]Entry!$J$73)</f>
        <v/>
      </c>
      <c r="U70">
        <f>IF([2]Entry!$K$73="","",[2]Entry!$K$73)</f>
        <v/>
      </c>
      <c r="V70">
        <f>IF([2]Entry!$L$73="","",[2]Entry!$L$73)</f>
        <v/>
      </c>
      <c r="W70">
        <f>IF([2]Entry!$M$73="","",[2]Entry!$M$73)</f>
        <v/>
      </c>
      <c r="X70">
        <f>IF([2]Entry!$N$73="","",[2]Entry!$N$73)</f>
        <v/>
      </c>
      <c r="Y70">
        <f>IF([2]Entry!$R$73="","",[2]Entry!$R$73)</f>
        <v/>
      </c>
    </row>
    <row r="71">
      <c r="K71">
        <f>IF([1]Accounts!$D$72="","",[1]Accounts!$A$72)</f>
        <v/>
      </c>
      <c r="L71">
        <f>IF([1]Accounts!$D$72="","",[1]Accounts!$B$72)</f>
        <v/>
      </c>
      <c r="M71">
        <f>IF([1]Accounts!$D$72="","",[1]Accounts!$C$72)</f>
        <v/>
      </c>
      <c r="N71">
        <f>IF([1]Accounts!$D$72="","",[1]Accounts!$D$72)</f>
        <v/>
      </c>
      <c r="P71">
        <f>IF([2]Entry!$C$74="","",[2]Entry!$C$74)</f>
        <v/>
      </c>
      <c r="Q71">
        <f>IF([2]Entry!$D$74="","",[2]Entry!$D$74)</f>
        <v/>
      </c>
      <c r="R71">
        <f>IF([2]Entry!$E$74="","",[2]Entry!$E$74)</f>
        <v/>
      </c>
      <c r="S71">
        <f>IF([2]Entry!$G$74="","",[2]Entry!$G$74)</f>
        <v/>
      </c>
      <c r="T71">
        <f>IF([2]Entry!$J$74="","",[2]Entry!$J$74)</f>
        <v/>
      </c>
      <c r="U71">
        <f>IF([2]Entry!$K$74="","",[2]Entry!$K$74)</f>
        <v/>
      </c>
      <c r="V71">
        <f>IF([2]Entry!$L$74="","",[2]Entry!$L$74)</f>
        <v/>
      </c>
      <c r="W71">
        <f>IF([2]Entry!$M$74="","",[2]Entry!$M$74)</f>
        <v/>
      </c>
      <c r="X71">
        <f>IF([2]Entry!$N$74="","",[2]Entry!$N$74)</f>
        <v/>
      </c>
      <c r="Y71">
        <f>IF([2]Entry!$R$74="","",[2]Entry!$R$74)</f>
        <v/>
      </c>
    </row>
    <row r="72">
      <c r="K72">
        <f>IF([1]Accounts!$D$73="","",[1]Accounts!$A$73)</f>
        <v/>
      </c>
      <c r="L72">
        <f>IF([1]Accounts!$D$73="","",[1]Accounts!$B$73)</f>
        <v/>
      </c>
      <c r="M72">
        <f>IF([1]Accounts!$D$73="","",[1]Accounts!$C$73)</f>
        <v/>
      </c>
      <c r="N72">
        <f>IF([1]Accounts!$D$73="","",[1]Accounts!$D$73)</f>
        <v/>
      </c>
      <c r="P72">
        <f>IF([2]Entry!$C$75="","",[2]Entry!$C$75)</f>
        <v/>
      </c>
      <c r="Q72">
        <f>IF([2]Entry!$D$75="","",[2]Entry!$D$75)</f>
        <v/>
      </c>
      <c r="R72">
        <f>IF([2]Entry!$E$75="","",[2]Entry!$E$75)</f>
        <v/>
      </c>
      <c r="S72">
        <f>IF([2]Entry!$G$75="","",[2]Entry!$G$75)</f>
        <v/>
      </c>
      <c r="T72">
        <f>IF([2]Entry!$J$75="","",[2]Entry!$J$75)</f>
        <v/>
      </c>
      <c r="U72">
        <f>IF([2]Entry!$K$75="","",[2]Entry!$K$75)</f>
        <v/>
      </c>
      <c r="V72">
        <f>IF([2]Entry!$L$75="","",[2]Entry!$L$75)</f>
        <v/>
      </c>
      <c r="W72">
        <f>IF([2]Entry!$M$75="","",[2]Entry!$M$75)</f>
        <v/>
      </c>
      <c r="X72">
        <f>IF([2]Entry!$N$75="","",[2]Entry!$N$75)</f>
        <v/>
      </c>
      <c r="Y72">
        <f>IF([2]Entry!$R$75="","",[2]Entry!$R$75)</f>
        <v/>
      </c>
    </row>
    <row r="73">
      <c r="K73">
        <f>IF([1]Accounts!$D$74="","",[1]Accounts!$A$74)</f>
        <v/>
      </c>
      <c r="L73">
        <f>IF([1]Accounts!$D$74="","",[1]Accounts!$B$74)</f>
        <v/>
      </c>
      <c r="M73">
        <f>IF([1]Accounts!$D$74="","",[1]Accounts!$C$74)</f>
        <v/>
      </c>
      <c r="N73">
        <f>IF([1]Accounts!$D$74="","",[1]Accounts!$D$74)</f>
        <v/>
      </c>
      <c r="P73">
        <f>IF([2]Entry!$C$76="","",[2]Entry!$C$76)</f>
        <v/>
      </c>
      <c r="Q73">
        <f>IF([2]Entry!$D$76="","",[2]Entry!$D$76)</f>
        <v/>
      </c>
      <c r="R73">
        <f>IF([2]Entry!$E$76="","",[2]Entry!$E$76)</f>
        <v/>
      </c>
      <c r="S73">
        <f>IF([2]Entry!$G$76="","",[2]Entry!$G$76)</f>
        <v/>
      </c>
      <c r="T73">
        <f>IF([2]Entry!$J$76="","",[2]Entry!$J$76)</f>
        <v/>
      </c>
      <c r="U73">
        <f>IF([2]Entry!$K$76="","",[2]Entry!$K$76)</f>
        <v/>
      </c>
      <c r="V73">
        <f>IF([2]Entry!$L$76="","",[2]Entry!$L$76)</f>
        <v/>
      </c>
      <c r="W73">
        <f>IF([2]Entry!$M$76="","",[2]Entry!$M$76)</f>
        <v/>
      </c>
      <c r="X73">
        <f>IF([2]Entry!$N$76="","",[2]Entry!$N$76)</f>
        <v/>
      </c>
      <c r="Y73">
        <f>IF([2]Entry!$R$76="","",[2]Entry!$R$76)</f>
        <v/>
      </c>
    </row>
    <row r="74">
      <c r="K74">
        <f>IF([1]Accounts!$D$75="","",[1]Accounts!$A$75)</f>
        <v/>
      </c>
      <c r="L74">
        <f>IF([1]Accounts!$D$75="","",[1]Accounts!$B$75)</f>
        <v/>
      </c>
      <c r="M74">
        <f>IF([1]Accounts!$D$75="","",[1]Accounts!$C$75)</f>
        <v/>
      </c>
      <c r="N74">
        <f>IF([1]Accounts!$D$75="","",[1]Accounts!$D$75)</f>
        <v/>
      </c>
      <c r="P74">
        <f>IF([2]Entry!$C$77="","",[2]Entry!$C$77)</f>
        <v/>
      </c>
      <c r="Q74">
        <f>IF([2]Entry!$D$77="","",[2]Entry!$D$77)</f>
        <v/>
      </c>
      <c r="R74">
        <f>IF([2]Entry!$E$77="","",[2]Entry!$E$77)</f>
        <v/>
      </c>
      <c r="S74">
        <f>IF([2]Entry!$G$77="","",[2]Entry!$G$77)</f>
        <v/>
      </c>
      <c r="T74">
        <f>IF([2]Entry!$J$77="","",[2]Entry!$J$77)</f>
        <v/>
      </c>
      <c r="U74">
        <f>IF([2]Entry!$K$77="","",[2]Entry!$K$77)</f>
        <v/>
      </c>
      <c r="V74">
        <f>IF([2]Entry!$L$77="","",[2]Entry!$L$77)</f>
        <v/>
      </c>
      <c r="W74">
        <f>IF([2]Entry!$M$77="","",[2]Entry!$M$77)</f>
        <v/>
      </c>
      <c r="X74">
        <f>IF([2]Entry!$N$77="","",[2]Entry!$N$77)</f>
        <v/>
      </c>
      <c r="Y74">
        <f>IF([2]Entry!$R$77="","",[2]Entry!$R$77)</f>
        <v/>
      </c>
    </row>
    <row r="75">
      <c r="K75">
        <f>IF([1]Accounts!$D$76="","",[1]Accounts!$A$76)</f>
        <v/>
      </c>
      <c r="L75">
        <f>IF([1]Accounts!$D$76="","",[1]Accounts!$B$76)</f>
        <v/>
      </c>
      <c r="M75">
        <f>IF([1]Accounts!$D$76="","",[1]Accounts!$C$76)</f>
        <v/>
      </c>
      <c r="N75">
        <f>IF([1]Accounts!$D$76="","",[1]Accounts!$D$76)</f>
        <v/>
      </c>
      <c r="P75">
        <f>IF([2]Entry!$C$78="","",[2]Entry!$C$78)</f>
        <v/>
      </c>
      <c r="Q75">
        <f>IF([2]Entry!$D$78="","",[2]Entry!$D$78)</f>
        <v/>
      </c>
      <c r="R75">
        <f>IF([2]Entry!$E$78="","",[2]Entry!$E$78)</f>
        <v/>
      </c>
      <c r="S75">
        <f>IF([2]Entry!$G$78="","",[2]Entry!$G$78)</f>
        <v/>
      </c>
      <c r="T75">
        <f>IF([2]Entry!$J$78="","",[2]Entry!$J$78)</f>
        <v/>
      </c>
      <c r="U75">
        <f>IF([2]Entry!$K$78="","",[2]Entry!$K$78)</f>
        <v/>
      </c>
      <c r="V75">
        <f>IF([2]Entry!$L$78="","",[2]Entry!$L$78)</f>
        <v/>
      </c>
      <c r="W75">
        <f>IF([2]Entry!$M$78="","",[2]Entry!$M$78)</f>
        <v/>
      </c>
      <c r="X75">
        <f>IF([2]Entry!$N$78="","",[2]Entry!$N$78)</f>
        <v/>
      </c>
      <c r="Y75">
        <f>IF([2]Entry!$R$78="","",[2]Entry!$R$78)</f>
        <v/>
      </c>
    </row>
    <row r="76">
      <c r="K76">
        <f>IF([1]Accounts!$D$77="","",[1]Accounts!$A$77)</f>
        <v/>
      </c>
      <c r="L76">
        <f>IF([1]Accounts!$D$77="","",[1]Accounts!$B$77)</f>
        <v/>
      </c>
      <c r="M76">
        <f>IF([1]Accounts!$D$77="","",[1]Accounts!$C$77)</f>
        <v/>
      </c>
      <c r="N76">
        <f>IF([1]Accounts!$D$77="","",[1]Accounts!$D$77)</f>
        <v/>
      </c>
      <c r="P76">
        <f>IF([2]Entry!$C$79="","",[2]Entry!$C$79)</f>
        <v/>
      </c>
      <c r="Q76">
        <f>IF([2]Entry!$D$79="","",[2]Entry!$D$79)</f>
        <v/>
      </c>
      <c r="R76">
        <f>IF([2]Entry!$E$79="","",[2]Entry!$E$79)</f>
        <v/>
      </c>
      <c r="S76">
        <f>IF([2]Entry!$G$79="","",[2]Entry!$G$79)</f>
        <v/>
      </c>
      <c r="T76">
        <f>IF([2]Entry!$J$79="","",[2]Entry!$J$79)</f>
        <v/>
      </c>
      <c r="U76">
        <f>IF([2]Entry!$K$79="","",[2]Entry!$K$79)</f>
        <v/>
      </c>
      <c r="V76">
        <f>IF([2]Entry!$L$79="","",[2]Entry!$L$79)</f>
        <v/>
      </c>
      <c r="W76">
        <f>IF([2]Entry!$M$79="","",[2]Entry!$M$79)</f>
        <v/>
      </c>
      <c r="X76">
        <f>IF([2]Entry!$N$79="","",[2]Entry!$N$79)</f>
        <v/>
      </c>
      <c r="Y76">
        <f>IF([2]Entry!$R$79="","",[2]Entry!$R$79)</f>
        <v/>
      </c>
    </row>
    <row r="77">
      <c r="K77">
        <f>IF([1]Accounts!$D$78="","",[1]Accounts!$A$78)</f>
        <v/>
      </c>
      <c r="L77">
        <f>IF([1]Accounts!$D$78="","",[1]Accounts!$B$78)</f>
        <v/>
      </c>
      <c r="M77">
        <f>IF([1]Accounts!$D$78="","",[1]Accounts!$C$78)</f>
        <v/>
      </c>
      <c r="N77">
        <f>IF([1]Accounts!$D$78="","",[1]Accounts!$D$78)</f>
        <v/>
      </c>
      <c r="P77">
        <f>IF([2]Entry!$C$80="","",[2]Entry!$C$80)</f>
        <v/>
      </c>
      <c r="Q77">
        <f>IF([2]Entry!$D$80="","",[2]Entry!$D$80)</f>
        <v/>
      </c>
      <c r="R77">
        <f>IF([2]Entry!$E$80="","",[2]Entry!$E$80)</f>
        <v/>
      </c>
      <c r="S77">
        <f>IF([2]Entry!$G$80="","",[2]Entry!$G$80)</f>
        <v/>
      </c>
      <c r="T77">
        <f>IF([2]Entry!$J$80="","",[2]Entry!$J$80)</f>
        <v/>
      </c>
      <c r="U77">
        <f>IF([2]Entry!$K$80="","",[2]Entry!$K$80)</f>
        <v/>
      </c>
      <c r="V77">
        <f>IF([2]Entry!$L$80="","",[2]Entry!$L$80)</f>
        <v/>
      </c>
      <c r="W77">
        <f>IF([2]Entry!$M$80="","",[2]Entry!$M$80)</f>
        <v/>
      </c>
      <c r="X77">
        <f>IF([2]Entry!$N$80="","",[2]Entry!$N$80)</f>
        <v/>
      </c>
      <c r="Y77">
        <f>IF([2]Entry!$R$80="","",[2]Entry!$R$80)</f>
        <v/>
      </c>
    </row>
    <row r="78">
      <c r="K78">
        <f>IF([1]Accounts!$D$79="","",[1]Accounts!$A$79)</f>
        <v/>
      </c>
      <c r="L78">
        <f>IF([1]Accounts!$D$79="","",[1]Accounts!$B$79)</f>
        <v/>
      </c>
      <c r="M78">
        <f>IF([1]Accounts!$D$79="","",[1]Accounts!$C$79)</f>
        <v/>
      </c>
      <c r="N78">
        <f>IF([1]Accounts!$D$79="","",[1]Accounts!$D$79)</f>
        <v/>
      </c>
      <c r="P78">
        <f>IF([2]Entry!$C$81="","",[2]Entry!$C$81)</f>
        <v/>
      </c>
      <c r="Q78">
        <f>IF([2]Entry!$D$81="","",[2]Entry!$D$81)</f>
        <v/>
      </c>
      <c r="R78">
        <f>IF([2]Entry!$E$81="","",[2]Entry!$E$81)</f>
        <v/>
      </c>
      <c r="S78">
        <f>IF([2]Entry!$G$81="","",[2]Entry!$G$81)</f>
        <v/>
      </c>
      <c r="T78">
        <f>IF([2]Entry!$J$81="","",[2]Entry!$J$81)</f>
        <v/>
      </c>
      <c r="U78">
        <f>IF([2]Entry!$K$81="","",[2]Entry!$K$81)</f>
        <v/>
      </c>
      <c r="V78">
        <f>IF([2]Entry!$L$81="","",[2]Entry!$L$81)</f>
        <v/>
      </c>
      <c r="W78">
        <f>IF([2]Entry!$M$81="","",[2]Entry!$M$81)</f>
        <v/>
      </c>
      <c r="X78">
        <f>IF([2]Entry!$N$81="","",[2]Entry!$N$81)</f>
        <v/>
      </c>
      <c r="Y78">
        <f>IF([2]Entry!$R$81="","",[2]Entry!$R$81)</f>
        <v/>
      </c>
    </row>
    <row r="79">
      <c r="K79">
        <f>IF([1]Accounts!$D$80="","",[1]Accounts!$A$80)</f>
        <v/>
      </c>
      <c r="L79">
        <f>IF([1]Accounts!$D$80="","",[1]Accounts!$B$80)</f>
        <v/>
      </c>
      <c r="M79">
        <f>IF([1]Accounts!$D$80="","",[1]Accounts!$C$80)</f>
        <v/>
      </c>
      <c r="N79">
        <f>IF([1]Accounts!$D$80="","",[1]Accounts!$D$80)</f>
        <v/>
      </c>
      <c r="P79">
        <f>IF([2]Entry!$C$82="","",[2]Entry!$C$82)</f>
        <v/>
      </c>
      <c r="Q79">
        <f>IF([2]Entry!$D$82="","",[2]Entry!$D$82)</f>
        <v/>
      </c>
      <c r="R79">
        <f>IF([2]Entry!$E$82="","",[2]Entry!$E$82)</f>
        <v/>
      </c>
      <c r="S79">
        <f>IF([2]Entry!$G$82="","",[2]Entry!$G$82)</f>
        <v/>
      </c>
      <c r="T79">
        <f>IF([2]Entry!$J$82="","",[2]Entry!$J$82)</f>
        <v/>
      </c>
      <c r="U79">
        <f>IF([2]Entry!$K$82="","",[2]Entry!$K$82)</f>
        <v/>
      </c>
      <c r="V79">
        <f>IF([2]Entry!$L$82="","",[2]Entry!$L$82)</f>
        <v/>
      </c>
      <c r="W79">
        <f>IF([2]Entry!$M$82="","",[2]Entry!$M$82)</f>
        <v/>
      </c>
      <c r="X79">
        <f>IF([2]Entry!$N$82="","",[2]Entry!$N$82)</f>
        <v/>
      </c>
      <c r="Y79">
        <f>IF([2]Entry!$R$82="","",[2]Entry!$R$82)</f>
        <v/>
      </c>
    </row>
    <row r="80">
      <c r="K80">
        <f>IF([1]Accounts!$D$81="","",[1]Accounts!$A$81)</f>
        <v/>
      </c>
      <c r="L80">
        <f>IF([1]Accounts!$D$81="","",[1]Accounts!$B$81)</f>
        <v/>
      </c>
      <c r="M80">
        <f>IF([1]Accounts!$D$81="","",[1]Accounts!$C$81)</f>
        <v/>
      </c>
      <c r="N80">
        <f>IF([1]Accounts!$D$81="","",[1]Accounts!$D$81)</f>
        <v/>
      </c>
      <c r="P80">
        <f>IF([2]Entry!$C$83="","",[2]Entry!$C$83)</f>
        <v/>
      </c>
      <c r="Q80">
        <f>IF([2]Entry!$D$83="","",[2]Entry!$D$83)</f>
        <v/>
      </c>
      <c r="R80">
        <f>IF([2]Entry!$E$83="","",[2]Entry!$E$83)</f>
        <v/>
      </c>
      <c r="S80">
        <f>IF([2]Entry!$G$83="","",[2]Entry!$G$83)</f>
        <v/>
      </c>
      <c r="T80">
        <f>IF([2]Entry!$J$83="","",[2]Entry!$J$83)</f>
        <v/>
      </c>
      <c r="U80">
        <f>IF([2]Entry!$K$83="","",[2]Entry!$K$83)</f>
        <v/>
      </c>
      <c r="V80">
        <f>IF([2]Entry!$L$83="","",[2]Entry!$L$83)</f>
        <v/>
      </c>
      <c r="W80">
        <f>IF([2]Entry!$M$83="","",[2]Entry!$M$83)</f>
        <v/>
      </c>
      <c r="X80">
        <f>IF([2]Entry!$N$83="","",[2]Entry!$N$83)</f>
        <v/>
      </c>
      <c r="Y80">
        <f>IF([2]Entry!$R$83="","",[2]Entry!$R$83)</f>
        <v/>
      </c>
    </row>
    <row r="81">
      <c r="K81">
        <f>IF([1]Accounts!$D$82="","",[1]Accounts!$A$82)</f>
        <v/>
      </c>
      <c r="L81">
        <f>IF([1]Accounts!$D$82="","",[1]Accounts!$B$82)</f>
        <v/>
      </c>
      <c r="M81">
        <f>IF([1]Accounts!$D$82="","",[1]Accounts!$C$82)</f>
        <v/>
      </c>
      <c r="N81">
        <f>IF([1]Accounts!$D$82="","",[1]Accounts!$D$82)</f>
        <v/>
      </c>
      <c r="P81">
        <f>IF([2]Entry!$C$84="","",[2]Entry!$C$84)</f>
        <v/>
      </c>
      <c r="Q81">
        <f>IF([2]Entry!$D$84="","",[2]Entry!$D$84)</f>
        <v/>
      </c>
      <c r="R81">
        <f>IF([2]Entry!$E$84="","",[2]Entry!$E$84)</f>
        <v/>
      </c>
      <c r="S81">
        <f>IF([2]Entry!$G$84="","",[2]Entry!$G$84)</f>
        <v/>
      </c>
      <c r="T81">
        <f>IF([2]Entry!$J$84="","",[2]Entry!$J$84)</f>
        <v/>
      </c>
      <c r="U81">
        <f>IF([2]Entry!$K$84="","",[2]Entry!$K$84)</f>
        <v/>
      </c>
      <c r="V81">
        <f>IF([2]Entry!$L$84="","",[2]Entry!$L$84)</f>
        <v/>
      </c>
      <c r="W81">
        <f>IF([2]Entry!$M$84="","",[2]Entry!$M$84)</f>
        <v/>
      </c>
      <c r="X81">
        <f>IF([2]Entry!$N$84="","",[2]Entry!$N$84)</f>
        <v/>
      </c>
      <c r="Y81">
        <f>IF([2]Entry!$R$84="","",[2]Entry!$R$84)</f>
        <v/>
      </c>
    </row>
    <row r="82">
      <c r="K82">
        <f>IF([1]Accounts!$D$83="","",[1]Accounts!$A$83)</f>
        <v/>
      </c>
      <c r="L82">
        <f>IF([1]Accounts!$D$83="","",[1]Accounts!$B$83)</f>
        <v/>
      </c>
      <c r="M82">
        <f>IF([1]Accounts!$D$83="","",[1]Accounts!$C$83)</f>
        <v/>
      </c>
      <c r="N82">
        <f>IF([1]Accounts!$D$83="","",[1]Accounts!$D$83)</f>
        <v/>
      </c>
      <c r="P82">
        <f>IF([2]Entry!$C$85="","",[2]Entry!$C$85)</f>
        <v/>
      </c>
      <c r="Q82">
        <f>IF([2]Entry!$D$85="","",[2]Entry!$D$85)</f>
        <v/>
      </c>
      <c r="R82">
        <f>IF([2]Entry!$E$85="","",[2]Entry!$E$85)</f>
        <v/>
      </c>
      <c r="S82">
        <f>IF([2]Entry!$G$85="","",[2]Entry!$G$85)</f>
        <v/>
      </c>
      <c r="T82">
        <f>IF([2]Entry!$J$85="","",[2]Entry!$J$85)</f>
        <v/>
      </c>
      <c r="U82">
        <f>IF([2]Entry!$K$85="","",[2]Entry!$K$85)</f>
        <v/>
      </c>
      <c r="V82">
        <f>IF([2]Entry!$L$85="","",[2]Entry!$L$85)</f>
        <v/>
      </c>
      <c r="W82">
        <f>IF([2]Entry!$M$85="","",[2]Entry!$M$85)</f>
        <v/>
      </c>
      <c r="X82">
        <f>IF([2]Entry!$N$85="","",[2]Entry!$N$85)</f>
        <v/>
      </c>
      <c r="Y82">
        <f>IF([2]Entry!$R$85="","",[2]Entry!$R$85)</f>
        <v/>
      </c>
    </row>
    <row r="83">
      <c r="K83">
        <f>IF([1]Accounts!$D$84="","",[1]Accounts!$A$84)</f>
        <v/>
      </c>
      <c r="L83">
        <f>IF([1]Accounts!$D$84="","",[1]Accounts!$B$84)</f>
        <v/>
      </c>
      <c r="M83">
        <f>IF([1]Accounts!$D$84="","",[1]Accounts!$C$84)</f>
        <v/>
      </c>
      <c r="N83">
        <f>IF([1]Accounts!$D$84="","",[1]Accounts!$D$84)</f>
        <v/>
      </c>
      <c r="P83">
        <f>IF([2]Entry!$C$86="","",[2]Entry!$C$86)</f>
        <v/>
      </c>
      <c r="Q83">
        <f>IF([2]Entry!$D$86="","",[2]Entry!$D$86)</f>
        <v/>
      </c>
      <c r="R83">
        <f>IF([2]Entry!$E$86="","",[2]Entry!$E$86)</f>
        <v/>
      </c>
      <c r="S83">
        <f>IF([2]Entry!$G$86="","",[2]Entry!$G$86)</f>
        <v/>
      </c>
      <c r="T83">
        <f>IF([2]Entry!$J$86="","",[2]Entry!$J$86)</f>
        <v/>
      </c>
      <c r="U83">
        <f>IF([2]Entry!$K$86="","",[2]Entry!$K$86)</f>
        <v/>
      </c>
      <c r="V83">
        <f>IF([2]Entry!$L$86="","",[2]Entry!$L$86)</f>
        <v/>
      </c>
      <c r="W83">
        <f>IF([2]Entry!$M$86="","",[2]Entry!$M$86)</f>
        <v/>
      </c>
      <c r="X83">
        <f>IF([2]Entry!$N$86="","",[2]Entry!$N$86)</f>
        <v/>
      </c>
      <c r="Y83">
        <f>IF([2]Entry!$R$86="","",[2]Entry!$R$86)</f>
        <v/>
      </c>
    </row>
    <row r="84">
      <c r="K84">
        <f>IF([1]Accounts!$D$85="","",[1]Accounts!$A$85)</f>
        <v/>
      </c>
      <c r="L84">
        <f>IF([1]Accounts!$D$85="","",[1]Accounts!$B$85)</f>
        <v/>
      </c>
      <c r="M84">
        <f>IF([1]Accounts!$D$85="","",[1]Accounts!$C$85)</f>
        <v/>
      </c>
      <c r="N84">
        <f>IF([1]Accounts!$D$85="","",[1]Accounts!$D$85)</f>
        <v/>
      </c>
      <c r="P84">
        <f>IF([2]Entry!$C$87="","",[2]Entry!$C$87)</f>
        <v/>
      </c>
      <c r="Q84">
        <f>IF([2]Entry!$D$87="","",[2]Entry!$D$87)</f>
        <v/>
      </c>
      <c r="R84">
        <f>IF([2]Entry!$E$87="","",[2]Entry!$E$87)</f>
        <v/>
      </c>
      <c r="S84">
        <f>IF([2]Entry!$G$87="","",[2]Entry!$G$87)</f>
        <v/>
      </c>
      <c r="T84">
        <f>IF([2]Entry!$J$87="","",[2]Entry!$J$87)</f>
        <v/>
      </c>
      <c r="U84">
        <f>IF([2]Entry!$K$87="","",[2]Entry!$K$87)</f>
        <v/>
      </c>
      <c r="V84">
        <f>IF([2]Entry!$L$87="","",[2]Entry!$L$87)</f>
        <v/>
      </c>
      <c r="W84">
        <f>IF([2]Entry!$M$87="","",[2]Entry!$M$87)</f>
        <v/>
      </c>
      <c r="X84">
        <f>IF([2]Entry!$N$87="","",[2]Entry!$N$87)</f>
        <v/>
      </c>
      <c r="Y84">
        <f>IF([2]Entry!$R$87="","",[2]Entry!$R$87)</f>
        <v/>
      </c>
    </row>
    <row r="85">
      <c r="K85">
        <f>IF([1]Accounts!$D$86="","",[1]Accounts!$A$86)</f>
        <v/>
      </c>
      <c r="L85">
        <f>IF([1]Accounts!$D$86="","",[1]Accounts!$B$86)</f>
        <v/>
      </c>
      <c r="M85">
        <f>IF([1]Accounts!$D$86="","",[1]Accounts!$C$86)</f>
        <v/>
      </c>
      <c r="N85">
        <f>IF([1]Accounts!$D$86="","",[1]Accounts!$D$86)</f>
        <v/>
      </c>
      <c r="P85">
        <f>IF([2]Entry!$C$88="","",[2]Entry!$C$88)</f>
        <v/>
      </c>
      <c r="Q85">
        <f>IF([2]Entry!$D$88="","",[2]Entry!$D$88)</f>
        <v/>
      </c>
      <c r="R85">
        <f>IF([2]Entry!$E$88="","",[2]Entry!$E$88)</f>
        <v/>
      </c>
      <c r="S85">
        <f>IF([2]Entry!$G$88="","",[2]Entry!$G$88)</f>
        <v/>
      </c>
      <c r="T85">
        <f>IF([2]Entry!$J$88="","",[2]Entry!$J$88)</f>
        <v/>
      </c>
      <c r="U85">
        <f>IF([2]Entry!$K$88="","",[2]Entry!$K$88)</f>
        <v/>
      </c>
      <c r="V85">
        <f>IF([2]Entry!$L$88="","",[2]Entry!$L$88)</f>
        <v/>
      </c>
      <c r="W85">
        <f>IF([2]Entry!$M$88="","",[2]Entry!$M$88)</f>
        <v/>
      </c>
      <c r="X85">
        <f>IF([2]Entry!$N$88="","",[2]Entry!$N$88)</f>
        <v/>
      </c>
      <c r="Y85">
        <f>IF([2]Entry!$R$88="","",[2]Entry!$R$88)</f>
        <v/>
      </c>
    </row>
    <row r="86">
      <c r="K86">
        <f>IF([1]Accounts!$D$87="","",[1]Accounts!$A$87)</f>
        <v/>
      </c>
      <c r="L86">
        <f>IF([1]Accounts!$D$87="","",[1]Accounts!$B$87)</f>
        <v/>
      </c>
      <c r="M86">
        <f>IF([1]Accounts!$D$87="","",[1]Accounts!$C$87)</f>
        <v/>
      </c>
      <c r="N86">
        <f>IF([1]Accounts!$D$87="","",[1]Accounts!$D$87)</f>
        <v/>
      </c>
      <c r="P86">
        <f>IF([2]Entry!$C$89="","",[2]Entry!$C$89)</f>
        <v/>
      </c>
      <c r="Q86">
        <f>IF([2]Entry!$D$89="","",[2]Entry!$D$89)</f>
        <v/>
      </c>
      <c r="R86">
        <f>IF([2]Entry!$E$89="","",[2]Entry!$E$89)</f>
        <v/>
      </c>
      <c r="S86">
        <f>IF([2]Entry!$G$89="","",[2]Entry!$G$89)</f>
        <v/>
      </c>
      <c r="T86">
        <f>IF([2]Entry!$J$89="","",[2]Entry!$J$89)</f>
        <v/>
      </c>
      <c r="U86">
        <f>IF([2]Entry!$K$89="","",[2]Entry!$K$89)</f>
        <v/>
      </c>
      <c r="V86">
        <f>IF([2]Entry!$L$89="","",[2]Entry!$L$89)</f>
        <v/>
      </c>
      <c r="W86">
        <f>IF([2]Entry!$M$89="","",[2]Entry!$M$89)</f>
        <v/>
      </c>
      <c r="X86">
        <f>IF([2]Entry!$N$89="","",[2]Entry!$N$89)</f>
        <v/>
      </c>
      <c r="Y86">
        <f>IF([2]Entry!$R$89="","",[2]Entry!$R$89)</f>
        <v/>
      </c>
    </row>
    <row r="87">
      <c r="K87">
        <f>IF([1]Accounts!$D$88="","",[1]Accounts!$A$88)</f>
        <v/>
      </c>
      <c r="L87">
        <f>IF([1]Accounts!$D$88="","",[1]Accounts!$B$88)</f>
        <v/>
      </c>
      <c r="M87">
        <f>IF([1]Accounts!$D$88="","",[1]Accounts!$C$88)</f>
        <v/>
      </c>
      <c r="N87">
        <f>IF([1]Accounts!$D$88="","",[1]Accounts!$D$88)</f>
        <v/>
      </c>
      <c r="P87">
        <f>IF([2]Entry!$C$90="","",[2]Entry!$C$90)</f>
        <v/>
      </c>
      <c r="Q87">
        <f>IF([2]Entry!$D$90="","",[2]Entry!$D$90)</f>
        <v/>
      </c>
      <c r="R87">
        <f>IF([2]Entry!$E$90="","",[2]Entry!$E$90)</f>
        <v/>
      </c>
      <c r="S87">
        <f>IF([2]Entry!$G$90="","",[2]Entry!$G$90)</f>
        <v/>
      </c>
      <c r="T87">
        <f>IF([2]Entry!$J$90="","",[2]Entry!$J$90)</f>
        <v/>
      </c>
      <c r="U87">
        <f>IF([2]Entry!$K$90="","",[2]Entry!$K$90)</f>
        <v/>
      </c>
      <c r="V87">
        <f>IF([2]Entry!$L$90="","",[2]Entry!$L$90)</f>
        <v/>
      </c>
      <c r="W87">
        <f>IF([2]Entry!$M$90="","",[2]Entry!$M$90)</f>
        <v/>
      </c>
      <c r="X87">
        <f>IF([2]Entry!$N$90="","",[2]Entry!$N$90)</f>
        <v/>
      </c>
      <c r="Y87">
        <f>IF([2]Entry!$R$90="","",[2]Entry!$R$90)</f>
        <v/>
      </c>
    </row>
    <row r="88">
      <c r="K88">
        <f>IF([1]Accounts!$D$89="","",[1]Accounts!$A$89)</f>
        <v/>
      </c>
      <c r="L88">
        <f>IF([1]Accounts!$D$89="","",[1]Accounts!$B$89)</f>
        <v/>
      </c>
      <c r="M88">
        <f>IF([1]Accounts!$D$89="","",[1]Accounts!$C$89)</f>
        <v/>
      </c>
      <c r="N88">
        <f>IF([1]Accounts!$D$89="","",[1]Accounts!$D$89)</f>
        <v/>
      </c>
      <c r="P88">
        <f>IF([2]Entry!$C$91="","",[2]Entry!$C$91)</f>
        <v/>
      </c>
      <c r="Q88">
        <f>IF([2]Entry!$D$91="","",[2]Entry!$D$91)</f>
        <v/>
      </c>
      <c r="R88">
        <f>IF([2]Entry!$E$91="","",[2]Entry!$E$91)</f>
        <v/>
      </c>
      <c r="S88">
        <f>IF([2]Entry!$G$91="","",[2]Entry!$G$91)</f>
        <v/>
      </c>
      <c r="T88">
        <f>IF([2]Entry!$J$91="","",[2]Entry!$J$91)</f>
        <v/>
      </c>
      <c r="U88">
        <f>IF([2]Entry!$K$91="","",[2]Entry!$K$91)</f>
        <v/>
      </c>
      <c r="V88">
        <f>IF([2]Entry!$L$91="","",[2]Entry!$L$91)</f>
        <v/>
      </c>
      <c r="W88">
        <f>IF([2]Entry!$M$91="","",[2]Entry!$M$91)</f>
        <v/>
      </c>
      <c r="X88">
        <f>IF([2]Entry!$N$91="","",[2]Entry!$N$91)</f>
        <v/>
      </c>
      <c r="Y88">
        <f>IF([2]Entry!$R$91="","",[2]Entry!$R$91)</f>
        <v/>
      </c>
    </row>
    <row r="89">
      <c r="K89">
        <f>IF([1]Accounts!$D$90="","",[1]Accounts!$A$90)</f>
        <v/>
      </c>
      <c r="L89">
        <f>IF([1]Accounts!$D$90="","",[1]Accounts!$B$90)</f>
        <v/>
      </c>
      <c r="M89">
        <f>IF([1]Accounts!$D$90="","",[1]Accounts!$C$90)</f>
        <v/>
      </c>
      <c r="N89">
        <f>IF([1]Accounts!$D$90="","",[1]Accounts!$D$90)</f>
        <v/>
      </c>
      <c r="P89">
        <f>IF([2]Entry!$C$92="","",[2]Entry!$C$92)</f>
        <v/>
      </c>
      <c r="Q89">
        <f>IF([2]Entry!$D$92="","",[2]Entry!$D$92)</f>
        <v/>
      </c>
      <c r="R89">
        <f>IF([2]Entry!$E$92="","",[2]Entry!$E$92)</f>
        <v/>
      </c>
      <c r="S89">
        <f>IF([2]Entry!$G$92="","",[2]Entry!$G$92)</f>
        <v/>
      </c>
      <c r="T89">
        <f>IF([2]Entry!$J$92="","",[2]Entry!$J$92)</f>
        <v/>
      </c>
      <c r="U89">
        <f>IF([2]Entry!$K$92="","",[2]Entry!$K$92)</f>
        <v/>
      </c>
      <c r="V89">
        <f>IF([2]Entry!$L$92="","",[2]Entry!$L$92)</f>
        <v/>
      </c>
      <c r="W89">
        <f>IF([2]Entry!$M$92="","",[2]Entry!$M$92)</f>
        <v/>
      </c>
      <c r="X89">
        <f>IF([2]Entry!$N$92="","",[2]Entry!$N$92)</f>
        <v/>
      </c>
      <c r="Y89">
        <f>IF([2]Entry!$R$92="","",[2]Entry!$R$92)</f>
        <v/>
      </c>
    </row>
    <row r="90">
      <c r="K90">
        <f>IF([1]Accounts!$D$91="","",[1]Accounts!$A$91)</f>
        <v/>
      </c>
      <c r="L90">
        <f>IF([1]Accounts!$D$91="","",[1]Accounts!$B$91)</f>
        <v/>
      </c>
      <c r="M90">
        <f>IF([1]Accounts!$D$91="","",[1]Accounts!$C$91)</f>
        <v/>
      </c>
      <c r="N90">
        <f>IF([1]Accounts!$D$91="","",[1]Accounts!$D$91)</f>
        <v/>
      </c>
      <c r="P90">
        <f>IF([2]Entry!$C$93="","",[2]Entry!$C$93)</f>
        <v/>
      </c>
      <c r="Q90">
        <f>IF([2]Entry!$D$93="","",[2]Entry!$D$93)</f>
        <v/>
      </c>
      <c r="R90">
        <f>IF([2]Entry!$E$93="","",[2]Entry!$E$93)</f>
        <v/>
      </c>
      <c r="S90">
        <f>IF([2]Entry!$G$93="","",[2]Entry!$G$93)</f>
        <v/>
      </c>
      <c r="T90">
        <f>IF([2]Entry!$J$93="","",[2]Entry!$J$93)</f>
        <v/>
      </c>
      <c r="U90">
        <f>IF([2]Entry!$K$93="","",[2]Entry!$K$93)</f>
        <v/>
      </c>
      <c r="V90">
        <f>IF([2]Entry!$L$93="","",[2]Entry!$L$93)</f>
        <v/>
      </c>
      <c r="W90">
        <f>IF([2]Entry!$M$93="","",[2]Entry!$M$93)</f>
        <v/>
      </c>
      <c r="X90">
        <f>IF([2]Entry!$N$93="","",[2]Entry!$N$93)</f>
        <v/>
      </c>
      <c r="Y90">
        <f>IF([2]Entry!$R$93="","",[2]Entry!$R$93)</f>
        <v/>
      </c>
    </row>
    <row r="91">
      <c r="K91">
        <f>IF([1]Accounts!$D$92="","",[1]Accounts!$A$92)</f>
        <v/>
      </c>
      <c r="L91">
        <f>IF([1]Accounts!$D$92="","",[1]Accounts!$B$92)</f>
        <v/>
      </c>
      <c r="M91">
        <f>IF([1]Accounts!$D$92="","",[1]Accounts!$C$92)</f>
        <v/>
      </c>
      <c r="N91">
        <f>IF([1]Accounts!$D$92="","",[1]Accounts!$D$92)</f>
        <v/>
      </c>
      <c r="P91">
        <f>IF([2]Entry!$C$94="","",[2]Entry!$C$94)</f>
        <v/>
      </c>
      <c r="Q91">
        <f>IF([2]Entry!$D$94="","",[2]Entry!$D$94)</f>
        <v/>
      </c>
      <c r="R91">
        <f>IF([2]Entry!$E$94="","",[2]Entry!$E$94)</f>
        <v/>
      </c>
      <c r="S91">
        <f>IF([2]Entry!$G$94="","",[2]Entry!$G$94)</f>
        <v/>
      </c>
      <c r="T91">
        <f>IF([2]Entry!$J$94="","",[2]Entry!$J$94)</f>
        <v/>
      </c>
      <c r="U91">
        <f>IF([2]Entry!$K$94="","",[2]Entry!$K$94)</f>
        <v/>
      </c>
      <c r="V91">
        <f>IF([2]Entry!$L$94="","",[2]Entry!$L$94)</f>
        <v/>
      </c>
      <c r="W91">
        <f>IF([2]Entry!$M$94="","",[2]Entry!$M$94)</f>
        <v/>
      </c>
      <c r="X91">
        <f>IF([2]Entry!$N$94="","",[2]Entry!$N$94)</f>
        <v/>
      </c>
      <c r="Y91">
        <f>IF([2]Entry!$R$94="","",[2]Entry!$R$94)</f>
        <v/>
      </c>
    </row>
    <row r="92">
      <c r="K92">
        <f>IF([1]Accounts!$D$93="","",[1]Accounts!$A$93)</f>
        <v/>
      </c>
      <c r="L92">
        <f>IF([1]Accounts!$D$93="","",[1]Accounts!$B$93)</f>
        <v/>
      </c>
      <c r="M92">
        <f>IF([1]Accounts!$D$93="","",[1]Accounts!$C$93)</f>
        <v/>
      </c>
      <c r="N92">
        <f>IF([1]Accounts!$D$93="","",[1]Accounts!$D$93)</f>
        <v/>
      </c>
      <c r="P92">
        <f>IF([2]Entry!$C$95="","",[2]Entry!$C$95)</f>
        <v/>
      </c>
      <c r="Q92">
        <f>IF([2]Entry!$D$95="","",[2]Entry!$D$95)</f>
        <v/>
      </c>
      <c r="R92">
        <f>IF([2]Entry!$E$95="","",[2]Entry!$E$95)</f>
        <v/>
      </c>
      <c r="S92">
        <f>IF([2]Entry!$G$95="","",[2]Entry!$G$95)</f>
        <v/>
      </c>
      <c r="T92">
        <f>IF([2]Entry!$J$95="","",[2]Entry!$J$95)</f>
        <v/>
      </c>
      <c r="U92">
        <f>IF([2]Entry!$K$95="","",[2]Entry!$K$95)</f>
        <v/>
      </c>
      <c r="V92">
        <f>IF([2]Entry!$L$95="","",[2]Entry!$L$95)</f>
        <v/>
      </c>
      <c r="W92">
        <f>IF([2]Entry!$M$95="","",[2]Entry!$M$95)</f>
        <v/>
      </c>
      <c r="X92">
        <f>IF([2]Entry!$N$95="","",[2]Entry!$N$95)</f>
        <v/>
      </c>
      <c r="Y92">
        <f>IF([2]Entry!$R$95="","",[2]Entry!$R$95)</f>
        <v/>
      </c>
    </row>
    <row r="93">
      <c r="K93">
        <f>IF([1]Accounts!$D$94="","",[1]Accounts!$A$94)</f>
        <v/>
      </c>
      <c r="L93">
        <f>IF([1]Accounts!$D$94="","",[1]Accounts!$B$94)</f>
        <v/>
      </c>
      <c r="M93">
        <f>IF([1]Accounts!$D$94="","",[1]Accounts!$C$94)</f>
        <v/>
      </c>
      <c r="N93">
        <f>IF([1]Accounts!$D$94="","",[1]Accounts!$D$94)</f>
        <v/>
      </c>
      <c r="P93">
        <f>IF([2]Entry!$C$96="","",[2]Entry!$C$96)</f>
        <v/>
      </c>
      <c r="Q93">
        <f>IF([2]Entry!$D$96="","",[2]Entry!$D$96)</f>
        <v/>
      </c>
      <c r="R93">
        <f>IF([2]Entry!$E$96="","",[2]Entry!$E$96)</f>
        <v/>
      </c>
      <c r="S93">
        <f>IF([2]Entry!$G$96="","",[2]Entry!$G$96)</f>
        <v/>
      </c>
      <c r="T93">
        <f>IF([2]Entry!$J$96="","",[2]Entry!$J$96)</f>
        <v/>
      </c>
      <c r="U93">
        <f>IF([2]Entry!$K$96="","",[2]Entry!$K$96)</f>
        <v/>
      </c>
      <c r="V93">
        <f>IF([2]Entry!$L$96="","",[2]Entry!$L$96)</f>
        <v/>
      </c>
      <c r="W93">
        <f>IF([2]Entry!$M$96="","",[2]Entry!$M$96)</f>
        <v/>
      </c>
      <c r="X93">
        <f>IF([2]Entry!$N$96="","",[2]Entry!$N$96)</f>
        <v/>
      </c>
      <c r="Y93">
        <f>IF([2]Entry!$R$96="","",[2]Entry!$R$96)</f>
        <v/>
      </c>
    </row>
    <row r="94">
      <c r="K94">
        <f>IF([1]Accounts!$D$95="","",[1]Accounts!$A$95)</f>
        <v/>
      </c>
      <c r="L94">
        <f>IF([1]Accounts!$D$95="","",[1]Accounts!$B$95)</f>
        <v/>
      </c>
      <c r="M94">
        <f>IF([1]Accounts!$D$95="","",[1]Accounts!$C$95)</f>
        <v/>
      </c>
      <c r="N94">
        <f>IF([1]Accounts!$D$95="","",[1]Accounts!$D$95)</f>
        <v/>
      </c>
      <c r="P94">
        <f>IF([2]Entry!$C$97="","",[2]Entry!$C$97)</f>
        <v/>
      </c>
      <c r="Q94">
        <f>IF([2]Entry!$D$97="","",[2]Entry!$D$97)</f>
        <v/>
      </c>
      <c r="R94">
        <f>IF([2]Entry!$E$97="","",[2]Entry!$E$97)</f>
        <v/>
      </c>
      <c r="S94">
        <f>IF([2]Entry!$G$97="","",[2]Entry!$G$97)</f>
        <v/>
      </c>
      <c r="T94">
        <f>IF([2]Entry!$J$97="","",[2]Entry!$J$97)</f>
        <v/>
      </c>
      <c r="U94">
        <f>IF([2]Entry!$K$97="","",[2]Entry!$K$97)</f>
        <v/>
      </c>
      <c r="V94">
        <f>IF([2]Entry!$L$97="","",[2]Entry!$L$97)</f>
        <v/>
      </c>
      <c r="W94">
        <f>IF([2]Entry!$M$97="","",[2]Entry!$M$97)</f>
        <v/>
      </c>
      <c r="X94">
        <f>IF([2]Entry!$N$97="","",[2]Entry!$N$97)</f>
        <v/>
      </c>
      <c r="Y94">
        <f>IF([2]Entry!$R$97="","",[2]Entry!$R$97)</f>
        <v/>
      </c>
    </row>
    <row r="95">
      <c r="K95">
        <f>IF([1]Accounts!$D$96="","",[1]Accounts!$A$96)</f>
        <v/>
      </c>
      <c r="L95">
        <f>IF([1]Accounts!$D$96="","",[1]Accounts!$B$96)</f>
        <v/>
      </c>
      <c r="M95">
        <f>IF([1]Accounts!$D$96="","",[1]Accounts!$C$96)</f>
        <v/>
      </c>
      <c r="N95">
        <f>IF([1]Accounts!$D$96="","",[1]Accounts!$D$96)</f>
        <v/>
      </c>
      <c r="P95">
        <f>IF([2]Entry!$C$98="","",[2]Entry!$C$98)</f>
        <v/>
      </c>
      <c r="Q95">
        <f>IF([2]Entry!$D$98="","",[2]Entry!$D$98)</f>
        <v/>
      </c>
      <c r="R95">
        <f>IF([2]Entry!$E$98="","",[2]Entry!$E$98)</f>
        <v/>
      </c>
      <c r="S95">
        <f>IF([2]Entry!$G$98="","",[2]Entry!$G$98)</f>
        <v/>
      </c>
      <c r="T95">
        <f>IF([2]Entry!$J$98="","",[2]Entry!$J$98)</f>
        <v/>
      </c>
      <c r="U95">
        <f>IF([2]Entry!$K$98="","",[2]Entry!$K$98)</f>
        <v/>
      </c>
      <c r="V95">
        <f>IF([2]Entry!$L$98="","",[2]Entry!$L$98)</f>
        <v/>
      </c>
      <c r="W95">
        <f>IF([2]Entry!$M$98="","",[2]Entry!$M$98)</f>
        <v/>
      </c>
      <c r="X95">
        <f>IF([2]Entry!$N$98="","",[2]Entry!$N$98)</f>
        <v/>
      </c>
      <c r="Y95">
        <f>IF([2]Entry!$R$98="","",[2]Entry!$R$98)</f>
        <v/>
      </c>
    </row>
    <row r="96">
      <c r="K96">
        <f>IF([1]Accounts!$D$97="","",[1]Accounts!$A$97)</f>
        <v/>
      </c>
      <c r="L96">
        <f>IF([1]Accounts!$D$97="","",[1]Accounts!$B$97)</f>
        <v/>
      </c>
      <c r="M96">
        <f>IF([1]Accounts!$D$97="","",[1]Accounts!$C$97)</f>
        <v/>
      </c>
      <c r="N96">
        <f>IF([1]Accounts!$D$97="","",[1]Accounts!$D$97)</f>
        <v/>
      </c>
      <c r="P96">
        <f>IF([2]Entry!$C$99="","",[2]Entry!$C$99)</f>
        <v/>
      </c>
      <c r="Q96">
        <f>IF([2]Entry!$D$99="","",[2]Entry!$D$99)</f>
        <v/>
      </c>
      <c r="R96">
        <f>IF([2]Entry!$E$99="","",[2]Entry!$E$99)</f>
        <v/>
      </c>
      <c r="S96">
        <f>IF([2]Entry!$G$99="","",[2]Entry!$G$99)</f>
        <v/>
      </c>
      <c r="T96">
        <f>IF([2]Entry!$J$99="","",[2]Entry!$J$99)</f>
        <v/>
      </c>
      <c r="U96">
        <f>IF([2]Entry!$K$99="","",[2]Entry!$K$99)</f>
        <v/>
      </c>
      <c r="V96">
        <f>IF([2]Entry!$L$99="","",[2]Entry!$L$99)</f>
        <v/>
      </c>
      <c r="W96">
        <f>IF([2]Entry!$M$99="","",[2]Entry!$M$99)</f>
        <v/>
      </c>
      <c r="X96">
        <f>IF([2]Entry!$N$99="","",[2]Entry!$N$99)</f>
        <v/>
      </c>
      <c r="Y96">
        <f>IF([2]Entry!$R$99="","",[2]Entry!$R$99)</f>
        <v/>
      </c>
    </row>
    <row r="97">
      <c r="K97">
        <f>IF([1]Accounts!$D$98="","",[1]Accounts!$A$98)</f>
        <v/>
      </c>
      <c r="L97">
        <f>IF([1]Accounts!$D$98="","",[1]Accounts!$B$98)</f>
        <v/>
      </c>
      <c r="M97">
        <f>IF([1]Accounts!$D$98="","",[1]Accounts!$C$98)</f>
        <v/>
      </c>
      <c r="N97">
        <f>IF([1]Accounts!$D$98="","",[1]Accounts!$D$98)</f>
        <v/>
      </c>
      <c r="P97">
        <f>IF([2]Entry!$C$100="","",[2]Entry!$C$100)</f>
        <v/>
      </c>
      <c r="Q97">
        <f>IF([2]Entry!$D$100="","",[2]Entry!$D$100)</f>
        <v/>
      </c>
      <c r="R97">
        <f>IF([2]Entry!$E$100="","",[2]Entry!$E$100)</f>
        <v/>
      </c>
      <c r="S97">
        <f>IF([2]Entry!$G$100="","",[2]Entry!$G$100)</f>
        <v/>
      </c>
      <c r="T97">
        <f>IF([2]Entry!$J$100="","",[2]Entry!$J$100)</f>
        <v/>
      </c>
      <c r="U97">
        <f>IF([2]Entry!$K$100="","",[2]Entry!$K$100)</f>
        <v/>
      </c>
      <c r="V97">
        <f>IF([2]Entry!$L$100="","",[2]Entry!$L$100)</f>
        <v/>
      </c>
      <c r="W97">
        <f>IF([2]Entry!$M$100="","",[2]Entry!$M$100)</f>
        <v/>
      </c>
      <c r="X97">
        <f>IF([2]Entry!$N$100="","",[2]Entry!$N$100)</f>
        <v/>
      </c>
      <c r="Y97">
        <f>IF([2]Entry!$R$100="","",[2]Entry!$R$100)</f>
        <v/>
      </c>
    </row>
    <row r="98">
      <c r="K98">
        <f>IF([1]Accounts!$D$99="","",[1]Accounts!$A$99)</f>
        <v/>
      </c>
      <c r="L98">
        <f>IF([1]Accounts!$D$99="","",[1]Accounts!$B$99)</f>
        <v/>
      </c>
      <c r="M98">
        <f>IF([1]Accounts!$D$99="","",[1]Accounts!$C$99)</f>
        <v/>
      </c>
      <c r="N98">
        <f>IF([1]Accounts!$D$99="","",[1]Accounts!$D$99)</f>
        <v/>
      </c>
      <c r="P98">
        <f>IF([2]Entry!$C$101="","",[2]Entry!$C$101)</f>
        <v/>
      </c>
      <c r="Q98">
        <f>IF([2]Entry!$D$101="","",[2]Entry!$D$101)</f>
        <v/>
      </c>
      <c r="R98">
        <f>IF([2]Entry!$E$101="","",[2]Entry!$E$101)</f>
        <v/>
      </c>
      <c r="S98">
        <f>IF([2]Entry!$G$101="","",[2]Entry!$G$101)</f>
        <v/>
      </c>
      <c r="T98">
        <f>IF([2]Entry!$J$101="","",[2]Entry!$J$101)</f>
        <v/>
      </c>
      <c r="U98">
        <f>IF([2]Entry!$K$101="","",[2]Entry!$K$101)</f>
        <v/>
      </c>
      <c r="V98">
        <f>IF([2]Entry!$L$101="","",[2]Entry!$L$101)</f>
        <v/>
      </c>
      <c r="W98">
        <f>IF([2]Entry!$M$101="","",[2]Entry!$M$101)</f>
        <v/>
      </c>
      <c r="X98">
        <f>IF([2]Entry!$N$101="","",[2]Entry!$N$101)</f>
        <v/>
      </c>
      <c r="Y98">
        <f>IF([2]Entry!$R$101="","",[2]Entry!$R$101)</f>
        <v/>
      </c>
    </row>
    <row r="99">
      <c r="K99">
        <f>IF([1]Accounts!$D$100="","",[1]Accounts!$A$100)</f>
        <v/>
      </c>
      <c r="L99">
        <f>IF([1]Accounts!$D$100="","",[1]Accounts!$B$100)</f>
        <v/>
      </c>
      <c r="M99">
        <f>IF([1]Accounts!$D$100="","",[1]Accounts!$C$100)</f>
        <v/>
      </c>
      <c r="N99">
        <f>IF([1]Accounts!$D$100="","",[1]Accounts!$D$100)</f>
        <v/>
      </c>
      <c r="P99">
        <f>IF([2]Entry!$C$102="","",[2]Entry!$C$102)</f>
        <v/>
      </c>
      <c r="Q99">
        <f>IF([2]Entry!$D$102="","",[2]Entry!$D$102)</f>
        <v/>
      </c>
      <c r="R99">
        <f>IF([2]Entry!$E$102="","",[2]Entry!$E$102)</f>
        <v/>
      </c>
      <c r="S99">
        <f>IF([2]Entry!$G$102="","",[2]Entry!$G$102)</f>
        <v/>
      </c>
      <c r="T99">
        <f>IF([2]Entry!$J$102="","",[2]Entry!$J$102)</f>
        <v/>
      </c>
      <c r="U99">
        <f>IF([2]Entry!$K$102="","",[2]Entry!$K$102)</f>
        <v/>
      </c>
      <c r="V99">
        <f>IF([2]Entry!$L$102="","",[2]Entry!$L$102)</f>
        <v/>
      </c>
      <c r="W99">
        <f>IF([2]Entry!$M$102="","",[2]Entry!$M$102)</f>
        <v/>
      </c>
      <c r="X99">
        <f>IF([2]Entry!$N$102="","",[2]Entry!$N$102)</f>
        <v/>
      </c>
      <c r="Y99">
        <f>IF([2]Entry!$R$102="","",[2]Entry!$R$102)</f>
        <v/>
      </c>
    </row>
    <row r="100">
      <c r="K100">
        <f>IF([1]Accounts!$D$101="","",[1]Accounts!$A$101)</f>
        <v/>
      </c>
      <c r="L100">
        <f>IF([1]Accounts!$D$101="","",[1]Accounts!$B$101)</f>
        <v/>
      </c>
      <c r="M100">
        <f>IF([1]Accounts!$D$101="","",[1]Accounts!$C$101)</f>
        <v/>
      </c>
      <c r="N100">
        <f>IF([1]Accounts!$D$101="","",[1]Accounts!$D$101)</f>
        <v/>
      </c>
      <c r="P100">
        <f>IF([2]Entry!$C$103="","",[2]Entry!$C$103)</f>
        <v/>
      </c>
      <c r="Q100">
        <f>IF([2]Entry!$D$103="","",[2]Entry!$D$103)</f>
        <v/>
      </c>
      <c r="R100">
        <f>IF([2]Entry!$E$103="","",[2]Entry!$E$103)</f>
        <v/>
      </c>
      <c r="S100">
        <f>IF([2]Entry!$G$103="","",[2]Entry!$G$103)</f>
        <v/>
      </c>
      <c r="T100">
        <f>IF([2]Entry!$J$103="","",[2]Entry!$J$103)</f>
        <v/>
      </c>
      <c r="U100">
        <f>IF([2]Entry!$K$103="","",[2]Entry!$K$103)</f>
        <v/>
      </c>
      <c r="V100">
        <f>IF([2]Entry!$L$103="","",[2]Entry!$L$103)</f>
        <v/>
      </c>
      <c r="W100">
        <f>IF([2]Entry!$M$103="","",[2]Entry!$M$103)</f>
        <v/>
      </c>
      <c r="X100">
        <f>IF([2]Entry!$N$103="","",[2]Entry!$N$103)</f>
        <v/>
      </c>
      <c r="Y100">
        <f>IF([2]Entry!$R$103="","",[2]Entry!$R$103)</f>
        <v/>
      </c>
    </row>
    <row r="101">
      <c r="K101">
        <f>IF([1]Accounts!$D$102="","",[1]Accounts!$A$102)</f>
        <v/>
      </c>
      <c r="L101">
        <f>IF([1]Accounts!$D$102="","",[1]Accounts!$B$102)</f>
        <v/>
      </c>
      <c r="M101">
        <f>IF([1]Accounts!$D$102="","",[1]Accounts!$C$102)</f>
        <v/>
      </c>
      <c r="N101">
        <f>IF([1]Accounts!$D$102="","",[1]Accounts!$D$102)</f>
        <v/>
      </c>
      <c r="P101">
        <f>IF([2]Entry!$C$104="","",[2]Entry!$C$104)</f>
        <v/>
      </c>
      <c r="Q101">
        <f>IF([2]Entry!$D$104="","",[2]Entry!$D$104)</f>
        <v/>
      </c>
      <c r="R101">
        <f>IF([2]Entry!$E$104="","",[2]Entry!$E$104)</f>
        <v/>
      </c>
      <c r="S101">
        <f>IF([2]Entry!$G$104="","",[2]Entry!$G$104)</f>
        <v/>
      </c>
      <c r="T101">
        <f>IF([2]Entry!$J$104="","",[2]Entry!$J$104)</f>
        <v/>
      </c>
      <c r="U101">
        <f>IF([2]Entry!$K$104="","",[2]Entry!$K$104)</f>
        <v/>
      </c>
      <c r="V101">
        <f>IF([2]Entry!$L$104="","",[2]Entry!$L$104)</f>
        <v/>
      </c>
      <c r="W101">
        <f>IF([2]Entry!$M$104="","",[2]Entry!$M$104)</f>
        <v/>
      </c>
      <c r="X101">
        <f>IF([2]Entry!$N$104="","",[2]Entry!$N$104)</f>
        <v/>
      </c>
      <c r="Y101">
        <f>IF([2]Entry!$R$104="","",[2]Entry!$R$104)</f>
        <v/>
      </c>
    </row>
    <row r="102">
      <c r="K102">
        <f>IF([1]Accounts!$D$103="","",[1]Accounts!$A$103)</f>
        <v/>
      </c>
      <c r="L102">
        <f>IF([1]Accounts!$D$103="","",[1]Accounts!$B$103)</f>
        <v/>
      </c>
      <c r="M102">
        <f>IF([1]Accounts!$D$103="","",[1]Accounts!$C$103)</f>
        <v/>
      </c>
      <c r="N102">
        <f>IF([1]Accounts!$D$103="","",[1]Accounts!$D$103)</f>
        <v/>
      </c>
      <c r="P102">
        <f>IF([2]Entry!$C$105="","",[2]Entry!$C$105)</f>
        <v/>
      </c>
      <c r="Q102">
        <f>IF([2]Entry!$D$105="","",[2]Entry!$D$105)</f>
        <v/>
      </c>
      <c r="R102">
        <f>IF([2]Entry!$E$105="","",[2]Entry!$E$105)</f>
        <v/>
      </c>
      <c r="S102">
        <f>IF([2]Entry!$G$105="","",[2]Entry!$G$105)</f>
        <v/>
      </c>
      <c r="T102">
        <f>IF([2]Entry!$J$105="","",[2]Entry!$J$105)</f>
        <v/>
      </c>
      <c r="U102">
        <f>IF([2]Entry!$K$105="","",[2]Entry!$K$105)</f>
        <v/>
      </c>
      <c r="V102">
        <f>IF([2]Entry!$L$105="","",[2]Entry!$L$105)</f>
        <v/>
      </c>
      <c r="W102">
        <f>IF([2]Entry!$M$105="","",[2]Entry!$M$105)</f>
        <v/>
      </c>
      <c r="X102">
        <f>IF([2]Entry!$N$105="","",[2]Entry!$N$105)</f>
        <v/>
      </c>
      <c r="Y102">
        <f>IF([2]Entry!$R$105="","",[2]Entry!$R$105)</f>
        <v/>
      </c>
    </row>
    <row r="103">
      <c r="K103">
        <f>IF([1]Accounts!$D$104="","",[1]Accounts!$A$104)</f>
        <v/>
      </c>
      <c r="L103">
        <f>IF([1]Accounts!$D$104="","",[1]Accounts!$B$104)</f>
        <v/>
      </c>
      <c r="M103">
        <f>IF([1]Accounts!$D$104="","",[1]Accounts!$C$104)</f>
        <v/>
      </c>
      <c r="N103">
        <f>IF([1]Accounts!$D$104="","",[1]Accounts!$D$104)</f>
        <v/>
      </c>
      <c r="P103">
        <f>IF([2]Entry!$C$106="","",[2]Entry!$C$106)</f>
        <v/>
      </c>
      <c r="Q103">
        <f>IF([2]Entry!$D$106="","",[2]Entry!$D$106)</f>
        <v/>
      </c>
      <c r="R103">
        <f>IF([2]Entry!$E$106="","",[2]Entry!$E$106)</f>
        <v/>
      </c>
      <c r="S103">
        <f>IF([2]Entry!$G$106="","",[2]Entry!$G$106)</f>
        <v/>
      </c>
      <c r="T103">
        <f>IF([2]Entry!$J$106="","",[2]Entry!$J$106)</f>
        <v/>
      </c>
      <c r="U103">
        <f>IF([2]Entry!$K$106="","",[2]Entry!$K$106)</f>
        <v/>
      </c>
      <c r="V103">
        <f>IF([2]Entry!$L$106="","",[2]Entry!$L$106)</f>
        <v/>
      </c>
      <c r="W103">
        <f>IF([2]Entry!$M$106="","",[2]Entry!$M$106)</f>
        <v/>
      </c>
      <c r="X103">
        <f>IF([2]Entry!$N$106="","",[2]Entry!$N$106)</f>
        <v/>
      </c>
      <c r="Y103">
        <f>IF([2]Entry!$R$106="","",[2]Entry!$R$106)</f>
        <v/>
      </c>
    </row>
    <row r="104">
      <c r="K104">
        <f>IF([1]Accounts!$D$105="","",[1]Accounts!$A$105)</f>
        <v/>
      </c>
      <c r="L104">
        <f>IF([1]Accounts!$D$105="","",[1]Accounts!$B$105)</f>
        <v/>
      </c>
      <c r="M104">
        <f>IF([1]Accounts!$D$105="","",[1]Accounts!$C$105)</f>
        <v/>
      </c>
      <c r="N104">
        <f>IF([1]Accounts!$D$105="","",[1]Accounts!$D$105)</f>
        <v/>
      </c>
      <c r="P104">
        <f>IF([2]Entry!$C$107="","",[2]Entry!$C$107)</f>
        <v/>
      </c>
      <c r="Q104">
        <f>IF([2]Entry!$D$107="","",[2]Entry!$D$107)</f>
        <v/>
      </c>
      <c r="R104">
        <f>IF([2]Entry!$E$107="","",[2]Entry!$E$107)</f>
        <v/>
      </c>
      <c r="S104">
        <f>IF([2]Entry!$G$107="","",[2]Entry!$G$107)</f>
        <v/>
      </c>
      <c r="T104">
        <f>IF([2]Entry!$J$107="","",[2]Entry!$J$107)</f>
        <v/>
      </c>
      <c r="U104">
        <f>IF([2]Entry!$K$107="","",[2]Entry!$K$107)</f>
        <v/>
      </c>
      <c r="V104">
        <f>IF([2]Entry!$L$107="","",[2]Entry!$L$107)</f>
        <v/>
      </c>
      <c r="W104">
        <f>IF([2]Entry!$M$107="","",[2]Entry!$M$107)</f>
        <v/>
      </c>
      <c r="X104">
        <f>IF([2]Entry!$N$107="","",[2]Entry!$N$107)</f>
        <v/>
      </c>
      <c r="Y104">
        <f>IF([2]Entry!$R$107="","",[2]Entry!$R$107)</f>
        <v/>
      </c>
    </row>
    <row r="105">
      <c r="K105">
        <f>IF([1]Accounts!$D$106="","",[1]Accounts!$A$106)</f>
        <v/>
      </c>
      <c r="L105">
        <f>IF([1]Accounts!$D$106="","",[1]Accounts!$B$106)</f>
        <v/>
      </c>
      <c r="M105">
        <f>IF([1]Accounts!$D$106="","",[1]Accounts!$C$106)</f>
        <v/>
      </c>
      <c r="N105">
        <f>IF([1]Accounts!$D$106="","",[1]Accounts!$D$106)</f>
        <v/>
      </c>
      <c r="P105">
        <f>IF([2]Entry!$C$108="","",[2]Entry!$C$108)</f>
        <v/>
      </c>
      <c r="Q105">
        <f>IF([2]Entry!$D$108="","",[2]Entry!$D$108)</f>
        <v/>
      </c>
      <c r="R105">
        <f>IF([2]Entry!$E$108="","",[2]Entry!$E$108)</f>
        <v/>
      </c>
      <c r="S105">
        <f>IF([2]Entry!$G$108="","",[2]Entry!$G$108)</f>
        <v/>
      </c>
      <c r="T105">
        <f>IF([2]Entry!$J$108="","",[2]Entry!$J$108)</f>
        <v/>
      </c>
      <c r="U105">
        <f>IF([2]Entry!$K$108="","",[2]Entry!$K$108)</f>
        <v/>
      </c>
      <c r="V105">
        <f>IF([2]Entry!$L$108="","",[2]Entry!$L$108)</f>
        <v/>
      </c>
      <c r="W105">
        <f>IF([2]Entry!$M$108="","",[2]Entry!$M$108)</f>
        <v/>
      </c>
      <c r="X105">
        <f>IF([2]Entry!$N$108="","",[2]Entry!$N$108)</f>
        <v/>
      </c>
      <c r="Y105">
        <f>IF([2]Entry!$R$108="","",[2]Entry!$R$108)</f>
        <v/>
      </c>
    </row>
    <row r="106">
      <c r="K106">
        <f>IF([1]Accounts!$D$107="","",[1]Accounts!$A$107)</f>
        <v/>
      </c>
      <c r="L106">
        <f>IF([1]Accounts!$D$107="","",[1]Accounts!$B$107)</f>
        <v/>
      </c>
      <c r="M106">
        <f>IF([1]Accounts!$D$107="","",[1]Accounts!$C$107)</f>
        <v/>
      </c>
      <c r="N106">
        <f>IF([1]Accounts!$D$107="","",[1]Accounts!$D$107)</f>
        <v/>
      </c>
      <c r="P106">
        <f>IF([2]Entry!$C$109="","",[2]Entry!$C$109)</f>
        <v/>
      </c>
      <c r="Q106">
        <f>IF([2]Entry!$D$109="","",[2]Entry!$D$109)</f>
        <v/>
      </c>
      <c r="R106">
        <f>IF([2]Entry!$E$109="","",[2]Entry!$E$109)</f>
        <v/>
      </c>
      <c r="S106">
        <f>IF([2]Entry!$G$109="","",[2]Entry!$G$109)</f>
        <v/>
      </c>
      <c r="T106">
        <f>IF([2]Entry!$J$109="","",[2]Entry!$J$109)</f>
        <v/>
      </c>
      <c r="U106">
        <f>IF([2]Entry!$K$109="","",[2]Entry!$K$109)</f>
        <v/>
      </c>
      <c r="V106">
        <f>IF([2]Entry!$L$109="","",[2]Entry!$L$109)</f>
        <v/>
      </c>
      <c r="W106">
        <f>IF([2]Entry!$M$109="","",[2]Entry!$M$109)</f>
        <v/>
      </c>
      <c r="X106">
        <f>IF([2]Entry!$N$109="","",[2]Entry!$N$109)</f>
        <v/>
      </c>
      <c r="Y106">
        <f>IF([2]Entry!$R$109="","",[2]Entry!$R$109)</f>
        <v/>
      </c>
    </row>
    <row r="107">
      <c r="K107">
        <f>IF([1]Accounts!$D$108="","",[1]Accounts!$A$108)</f>
        <v/>
      </c>
      <c r="L107">
        <f>IF([1]Accounts!$D$108="","",[1]Accounts!$B$108)</f>
        <v/>
      </c>
      <c r="M107">
        <f>IF([1]Accounts!$D$108="","",[1]Accounts!$C$108)</f>
        <v/>
      </c>
      <c r="N107">
        <f>IF([1]Accounts!$D$108="","",[1]Accounts!$D$108)</f>
        <v/>
      </c>
      <c r="P107">
        <f>IF([2]Entry!$C$110="","",[2]Entry!$C$110)</f>
        <v/>
      </c>
      <c r="Q107">
        <f>IF([2]Entry!$D$110="","",[2]Entry!$D$110)</f>
        <v/>
      </c>
      <c r="R107">
        <f>IF([2]Entry!$E$110="","",[2]Entry!$E$110)</f>
        <v/>
      </c>
      <c r="S107">
        <f>IF([2]Entry!$G$110="","",[2]Entry!$G$110)</f>
        <v/>
      </c>
      <c r="T107">
        <f>IF([2]Entry!$J$110="","",[2]Entry!$J$110)</f>
        <v/>
      </c>
      <c r="U107">
        <f>IF([2]Entry!$K$110="","",[2]Entry!$K$110)</f>
        <v/>
      </c>
      <c r="V107">
        <f>IF([2]Entry!$L$110="","",[2]Entry!$L$110)</f>
        <v/>
      </c>
      <c r="W107">
        <f>IF([2]Entry!$M$110="","",[2]Entry!$M$110)</f>
        <v/>
      </c>
      <c r="X107">
        <f>IF([2]Entry!$N$110="","",[2]Entry!$N$110)</f>
        <v/>
      </c>
      <c r="Y107">
        <f>IF([2]Entry!$R$110="","",[2]Entry!$R$110)</f>
        <v/>
      </c>
    </row>
    <row r="108">
      <c r="K108">
        <f>IF([1]Accounts!$D$109="","",[1]Accounts!$A$109)</f>
        <v/>
      </c>
      <c r="L108">
        <f>IF([1]Accounts!$D$109="","",[1]Accounts!$B$109)</f>
        <v/>
      </c>
      <c r="M108">
        <f>IF([1]Accounts!$D$109="","",[1]Accounts!$C$109)</f>
        <v/>
      </c>
      <c r="N108">
        <f>IF([1]Accounts!$D$109="","",[1]Accounts!$D$109)</f>
        <v/>
      </c>
      <c r="P108">
        <f>IF([2]Entry!$C$111="","",[2]Entry!$C$111)</f>
        <v/>
      </c>
      <c r="Q108">
        <f>IF([2]Entry!$D$111="","",[2]Entry!$D$111)</f>
        <v/>
      </c>
      <c r="R108">
        <f>IF([2]Entry!$E$111="","",[2]Entry!$E$111)</f>
        <v/>
      </c>
      <c r="S108">
        <f>IF([2]Entry!$G$111="","",[2]Entry!$G$111)</f>
        <v/>
      </c>
      <c r="T108">
        <f>IF([2]Entry!$J$111="","",[2]Entry!$J$111)</f>
        <v/>
      </c>
      <c r="U108">
        <f>IF([2]Entry!$K$111="","",[2]Entry!$K$111)</f>
        <v/>
      </c>
      <c r="V108">
        <f>IF([2]Entry!$L$111="","",[2]Entry!$L$111)</f>
        <v/>
      </c>
      <c r="W108">
        <f>IF([2]Entry!$M$111="","",[2]Entry!$M$111)</f>
        <v/>
      </c>
      <c r="X108">
        <f>IF([2]Entry!$N$111="","",[2]Entry!$N$111)</f>
        <v/>
      </c>
      <c r="Y108">
        <f>IF([2]Entry!$R$111="","",[2]Entry!$R$111)</f>
        <v/>
      </c>
    </row>
    <row r="109">
      <c r="K109">
        <f>IF([1]Accounts!$D$110="","",[1]Accounts!$A$110)</f>
        <v/>
      </c>
      <c r="L109">
        <f>IF([1]Accounts!$D$110="","",[1]Accounts!$B$110)</f>
        <v/>
      </c>
      <c r="M109">
        <f>IF([1]Accounts!$D$110="","",[1]Accounts!$C$110)</f>
        <v/>
      </c>
      <c r="N109">
        <f>IF([1]Accounts!$D$110="","",[1]Accounts!$D$110)</f>
        <v/>
      </c>
      <c r="P109">
        <f>IF([2]Entry!$C$112="","",[2]Entry!$C$112)</f>
        <v/>
      </c>
      <c r="Q109">
        <f>IF([2]Entry!$D$112="","",[2]Entry!$D$112)</f>
        <v/>
      </c>
      <c r="R109">
        <f>IF([2]Entry!$E$112="","",[2]Entry!$E$112)</f>
        <v/>
      </c>
      <c r="S109">
        <f>IF([2]Entry!$G$112="","",[2]Entry!$G$112)</f>
        <v/>
      </c>
      <c r="T109">
        <f>IF([2]Entry!$J$112="","",[2]Entry!$J$112)</f>
        <v/>
      </c>
      <c r="U109">
        <f>IF([2]Entry!$K$112="","",[2]Entry!$K$112)</f>
        <v/>
      </c>
      <c r="V109">
        <f>IF([2]Entry!$L$112="","",[2]Entry!$L$112)</f>
        <v/>
      </c>
      <c r="W109">
        <f>IF([2]Entry!$M$112="","",[2]Entry!$M$112)</f>
        <v/>
      </c>
      <c r="X109">
        <f>IF([2]Entry!$N$112="","",[2]Entry!$N$112)</f>
        <v/>
      </c>
      <c r="Y109">
        <f>IF([2]Entry!$R$112="","",[2]Entry!$R$112)</f>
        <v/>
      </c>
    </row>
    <row r="110">
      <c r="K110">
        <f>IF([1]Accounts!$D$111="","",[1]Accounts!$A$111)</f>
        <v/>
      </c>
      <c r="L110">
        <f>IF([1]Accounts!$D$111="","",[1]Accounts!$B$111)</f>
        <v/>
      </c>
      <c r="M110">
        <f>IF([1]Accounts!$D$111="","",[1]Accounts!$C$111)</f>
        <v/>
      </c>
      <c r="N110">
        <f>IF([1]Accounts!$D$111="","",[1]Accounts!$D$111)</f>
        <v/>
      </c>
      <c r="P110">
        <f>IF([2]Entry!$C$113="","",[2]Entry!$C$113)</f>
        <v/>
      </c>
      <c r="Q110">
        <f>IF([2]Entry!$D$113="","",[2]Entry!$D$113)</f>
        <v/>
      </c>
      <c r="R110">
        <f>IF([2]Entry!$E$113="","",[2]Entry!$E$113)</f>
        <v/>
      </c>
      <c r="S110">
        <f>IF([2]Entry!$G$113="","",[2]Entry!$G$113)</f>
        <v/>
      </c>
      <c r="T110">
        <f>IF([2]Entry!$J$113="","",[2]Entry!$J$113)</f>
        <v/>
      </c>
      <c r="U110">
        <f>IF([2]Entry!$K$113="","",[2]Entry!$K$113)</f>
        <v/>
      </c>
      <c r="V110">
        <f>IF([2]Entry!$L$113="","",[2]Entry!$L$113)</f>
        <v/>
      </c>
      <c r="W110">
        <f>IF([2]Entry!$M$113="","",[2]Entry!$M$113)</f>
        <v/>
      </c>
      <c r="X110">
        <f>IF([2]Entry!$N$113="","",[2]Entry!$N$113)</f>
        <v/>
      </c>
      <c r="Y110">
        <f>IF([2]Entry!$R$113="","",[2]Entry!$R$113)</f>
        <v/>
      </c>
    </row>
    <row r="111">
      <c r="K111">
        <f>IF([1]Accounts!$D$112="","",[1]Accounts!$A$112)</f>
        <v/>
      </c>
      <c r="L111">
        <f>IF([1]Accounts!$D$112="","",[1]Accounts!$B$112)</f>
        <v/>
      </c>
      <c r="M111">
        <f>IF([1]Accounts!$D$112="","",[1]Accounts!$C$112)</f>
        <v/>
      </c>
      <c r="N111">
        <f>IF([1]Accounts!$D$112="","",[1]Accounts!$D$112)</f>
        <v/>
      </c>
      <c r="P111">
        <f>IF([2]Entry!$C$114="","",[2]Entry!$C$114)</f>
        <v/>
      </c>
      <c r="Q111">
        <f>IF([2]Entry!$D$114="","",[2]Entry!$D$114)</f>
        <v/>
      </c>
      <c r="R111">
        <f>IF([2]Entry!$E$114="","",[2]Entry!$E$114)</f>
        <v/>
      </c>
      <c r="S111">
        <f>IF([2]Entry!$G$114="","",[2]Entry!$G$114)</f>
        <v/>
      </c>
      <c r="T111">
        <f>IF([2]Entry!$J$114="","",[2]Entry!$J$114)</f>
        <v/>
      </c>
      <c r="U111">
        <f>IF([2]Entry!$K$114="","",[2]Entry!$K$114)</f>
        <v/>
      </c>
      <c r="V111">
        <f>IF([2]Entry!$L$114="","",[2]Entry!$L$114)</f>
        <v/>
      </c>
      <c r="W111">
        <f>IF([2]Entry!$M$114="","",[2]Entry!$M$114)</f>
        <v/>
      </c>
      <c r="X111">
        <f>IF([2]Entry!$N$114="","",[2]Entry!$N$114)</f>
        <v/>
      </c>
      <c r="Y111">
        <f>IF([2]Entry!$R$114="","",[2]Entry!$R$114)</f>
        <v/>
      </c>
    </row>
    <row r="112">
      <c r="K112">
        <f>IF([1]Accounts!$D$113="","",[1]Accounts!$A$113)</f>
        <v/>
      </c>
      <c r="L112">
        <f>IF([1]Accounts!$D$113="","",[1]Accounts!$B$113)</f>
        <v/>
      </c>
      <c r="M112">
        <f>IF([1]Accounts!$D$113="","",[1]Accounts!$C$113)</f>
        <v/>
      </c>
      <c r="N112">
        <f>IF([1]Accounts!$D$113="","",[1]Accounts!$D$113)</f>
        <v/>
      </c>
      <c r="P112">
        <f>IF([2]Entry!$C$115="","",[2]Entry!$C$115)</f>
        <v/>
      </c>
      <c r="Q112">
        <f>IF([2]Entry!$D$115="","",[2]Entry!$D$115)</f>
        <v/>
      </c>
      <c r="R112">
        <f>IF([2]Entry!$E$115="","",[2]Entry!$E$115)</f>
        <v/>
      </c>
      <c r="S112">
        <f>IF([2]Entry!$G$115="","",[2]Entry!$G$115)</f>
        <v/>
      </c>
      <c r="T112">
        <f>IF([2]Entry!$J$115="","",[2]Entry!$J$115)</f>
        <v/>
      </c>
      <c r="U112">
        <f>IF([2]Entry!$K$115="","",[2]Entry!$K$115)</f>
        <v/>
      </c>
      <c r="V112">
        <f>IF([2]Entry!$L$115="","",[2]Entry!$L$115)</f>
        <v/>
      </c>
      <c r="W112">
        <f>IF([2]Entry!$M$115="","",[2]Entry!$M$115)</f>
        <v/>
      </c>
      <c r="X112">
        <f>IF([2]Entry!$N$115="","",[2]Entry!$N$115)</f>
        <v/>
      </c>
      <c r="Y112">
        <f>IF([2]Entry!$R$115="","",[2]Entry!$R$115)</f>
        <v/>
      </c>
    </row>
    <row r="113">
      <c r="K113">
        <f>IF([1]Accounts!$D$114="","",[1]Accounts!$A$114)</f>
        <v/>
      </c>
      <c r="L113">
        <f>IF([1]Accounts!$D$114="","",[1]Accounts!$B$114)</f>
        <v/>
      </c>
      <c r="M113">
        <f>IF([1]Accounts!$D$114="","",[1]Accounts!$C$114)</f>
        <v/>
      </c>
      <c r="N113">
        <f>IF([1]Accounts!$D$114="","",[1]Accounts!$D$114)</f>
        <v/>
      </c>
      <c r="P113">
        <f>IF([2]Entry!$C$116="","",[2]Entry!$C$116)</f>
        <v/>
      </c>
      <c r="Q113">
        <f>IF([2]Entry!$D$116="","",[2]Entry!$D$116)</f>
        <v/>
      </c>
      <c r="R113">
        <f>IF([2]Entry!$E$116="","",[2]Entry!$E$116)</f>
        <v/>
      </c>
      <c r="S113">
        <f>IF([2]Entry!$G$116="","",[2]Entry!$G$116)</f>
        <v/>
      </c>
      <c r="T113">
        <f>IF([2]Entry!$J$116="","",[2]Entry!$J$116)</f>
        <v/>
      </c>
      <c r="U113">
        <f>IF([2]Entry!$K$116="","",[2]Entry!$K$116)</f>
        <v/>
      </c>
      <c r="V113">
        <f>IF([2]Entry!$L$116="","",[2]Entry!$L$116)</f>
        <v/>
      </c>
      <c r="W113">
        <f>IF([2]Entry!$M$116="","",[2]Entry!$M$116)</f>
        <v/>
      </c>
      <c r="X113">
        <f>IF([2]Entry!$N$116="","",[2]Entry!$N$116)</f>
        <v/>
      </c>
      <c r="Y113">
        <f>IF([2]Entry!$R$116="","",[2]Entry!$R$116)</f>
        <v/>
      </c>
    </row>
    <row r="114">
      <c r="K114">
        <f>IF([1]Accounts!$D$115="","",[1]Accounts!$A$115)</f>
        <v/>
      </c>
      <c r="L114">
        <f>IF([1]Accounts!$D$115="","",[1]Accounts!$B$115)</f>
        <v/>
      </c>
      <c r="M114">
        <f>IF([1]Accounts!$D$115="","",[1]Accounts!$C$115)</f>
        <v/>
      </c>
      <c r="N114">
        <f>IF([1]Accounts!$D$115="","",[1]Accounts!$D$115)</f>
        <v/>
      </c>
      <c r="P114">
        <f>IF([2]Entry!$C$117="","",[2]Entry!$C$117)</f>
        <v/>
      </c>
      <c r="Q114">
        <f>IF([2]Entry!$D$117="","",[2]Entry!$D$117)</f>
        <v/>
      </c>
      <c r="R114">
        <f>IF([2]Entry!$E$117="","",[2]Entry!$E$117)</f>
        <v/>
      </c>
      <c r="S114">
        <f>IF([2]Entry!$G$117="","",[2]Entry!$G$117)</f>
        <v/>
      </c>
      <c r="T114">
        <f>IF([2]Entry!$J$117="","",[2]Entry!$J$117)</f>
        <v/>
      </c>
      <c r="U114">
        <f>IF([2]Entry!$K$117="","",[2]Entry!$K$117)</f>
        <v/>
      </c>
      <c r="V114">
        <f>IF([2]Entry!$L$117="","",[2]Entry!$L$117)</f>
        <v/>
      </c>
      <c r="W114">
        <f>IF([2]Entry!$M$117="","",[2]Entry!$M$117)</f>
        <v/>
      </c>
      <c r="X114">
        <f>IF([2]Entry!$N$117="","",[2]Entry!$N$117)</f>
        <v/>
      </c>
      <c r="Y114">
        <f>IF([2]Entry!$R$117="","",[2]Entry!$R$117)</f>
        <v/>
      </c>
    </row>
    <row r="115">
      <c r="K115">
        <f>IF([1]Accounts!$D$116="","",[1]Accounts!$A$116)</f>
        <v/>
      </c>
      <c r="L115">
        <f>IF([1]Accounts!$D$116="","",[1]Accounts!$B$116)</f>
        <v/>
      </c>
      <c r="M115">
        <f>IF([1]Accounts!$D$116="","",[1]Accounts!$C$116)</f>
        <v/>
      </c>
      <c r="N115">
        <f>IF([1]Accounts!$D$116="","",[1]Accounts!$D$116)</f>
        <v/>
      </c>
      <c r="P115">
        <f>IF([2]Entry!$C$118="","",[2]Entry!$C$118)</f>
        <v/>
      </c>
      <c r="Q115">
        <f>IF([2]Entry!$D$118="","",[2]Entry!$D$118)</f>
        <v/>
      </c>
      <c r="R115">
        <f>IF([2]Entry!$E$118="","",[2]Entry!$E$118)</f>
        <v/>
      </c>
      <c r="S115">
        <f>IF([2]Entry!$G$118="","",[2]Entry!$G$118)</f>
        <v/>
      </c>
      <c r="T115">
        <f>IF([2]Entry!$J$118="","",[2]Entry!$J$118)</f>
        <v/>
      </c>
      <c r="U115">
        <f>IF([2]Entry!$K$118="","",[2]Entry!$K$118)</f>
        <v/>
      </c>
      <c r="V115">
        <f>IF([2]Entry!$L$118="","",[2]Entry!$L$118)</f>
        <v/>
      </c>
      <c r="W115">
        <f>IF([2]Entry!$M$118="","",[2]Entry!$M$118)</f>
        <v/>
      </c>
      <c r="X115">
        <f>IF([2]Entry!$N$118="","",[2]Entry!$N$118)</f>
        <v/>
      </c>
      <c r="Y115">
        <f>IF([2]Entry!$R$118="","",[2]Entry!$R$118)</f>
        <v/>
      </c>
    </row>
    <row r="116">
      <c r="K116">
        <f>IF([1]Accounts!$D$117="","",[1]Accounts!$A$117)</f>
        <v/>
      </c>
      <c r="L116">
        <f>IF([1]Accounts!$D$117="","",[1]Accounts!$B$117)</f>
        <v/>
      </c>
      <c r="M116">
        <f>IF([1]Accounts!$D$117="","",[1]Accounts!$C$117)</f>
        <v/>
      </c>
      <c r="N116">
        <f>IF([1]Accounts!$D$117="","",[1]Accounts!$D$117)</f>
        <v/>
      </c>
      <c r="P116">
        <f>IF([2]Entry!$C$119="","",[2]Entry!$C$119)</f>
        <v/>
      </c>
      <c r="Q116">
        <f>IF([2]Entry!$D$119="","",[2]Entry!$D$119)</f>
        <v/>
      </c>
      <c r="R116">
        <f>IF([2]Entry!$E$119="","",[2]Entry!$E$119)</f>
        <v/>
      </c>
      <c r="S116">
        <f>IF([2]Entry!$G$119="","",[2]Entry!$G$119)</f>
        <v/>
      </c>
      <c r="T116">
        <f>IF([2]Entry!$J$119="","",[2]Entry!$J$119)</f>
        <v/>
      </c>
      <c r="U116">
        <f>IF([2]Entry!$K$119="","",[2]Entry!$K$119)</f>
        <v/>
      </c>
      <c r="V116">
        <f>IF([2]Entry!$L$119="","",[2]Entry!$L$119)</f>
        <v/>
      </c>
      <c r="W116">
        <f>IF([2]Entry!$M$119="","",[2]Entry!$M$119)</f>
        <v/>
      </c>
      <c r="X116">
        <f>IF([2]Entry!$N$119="","",[2]Entry!$N$119)</f>
        <v/>
      </c>
      <c r="Y116">
        <f>IF([2]Entry!$R$119="","",[2]Entry!$R$119)</f>
        <v/>
      </c>
    </row>
    <row r="117">
      <c r="K117">
        <f>IF([1]Accounts!$D$118="","",[1]Accounts!$A$118)</f>
        <v/>
      </c>
      <c r="L117">
        <f>IF([1]Accounts!$D$118="","",[1]Accounts!$B$118)</f>
        <v/>
      </c>
      <c r="M117">
        <f>IF([1]Accounts!$D$118="","",[1]Accounts!$C$118)</f>
        <v/>
      </c>
      <c r="N117">
        <f>IF([1]Accounts!$D$118="","",[1]Accounts!$D$118)</f>
        <v/>
      </c>
      <c r="P117">
        <f>IF([2]Entry!$C$120="","",[2]Entry!$C$120)</f>
        <v/>
      </c>
      <c r="Q117">
        <f>IF([2]Entry!$D$120="","",[2]Entry!$D$120)</f>
        <v/>
      </c>
      <c r="R117">
        <f>IF([2]Entry!$E$120="","",[2]Entry!$E$120)</f>
        <v/>
      </c>
      <c r="S117">
        <f>IF([2]Entry!$G$120="","",[2]Entry!$G$120)</f>
        <v/>
      </c>
      <c r="T117">
        <f>IF([2]Entry!$J$120="","",[2]Entry!$J$120)</f>
        <v/>
      </c>
      <c r="U117">
        <f>IF([2]Entry!$K$120="","",[2]Entry!$K$120)</f>
        <v/>
      </c>
      <c r="V117">
        <f>IF([2]Entry!$L$120="","",[2]Entry!$L$120)</f>
        <v/>
      </c>
      <c r="W117">
        <f>IF([2]Entry!$M$120="","",[2]Entry!$M$120)</f>
        <v/>
      </c>
      <c r="X117">
        <f>IF([2]Entry!$N$120="","",[2]Entry!$N$120)</f>
        <v/>
      </c>
      <c r="Y117">
        <f>IF([2]Entry!$R$120="","",[2]Entry!$R$120)</f>
        <v/>
      </c>
    </row>
    <row r="118">
      <c r="K118">
        <f>IF([1]Accounts!$D$119="","",[1]Accounts!$A$119)</f>
        <v/>
      </c>
      <c r="L118">
        <f>IF([1]Accounts!$D$119="","",[1]Accounts!$B$119)</f>
        <v/>
      </c>
      <c r="M118">
        <f>IF([1]Accounts!$D$119="","",[1]Accounts!$C$119)</f>
        <v/>
      </c>
      <c r="N118">
        <f>IF([1]Accounts!$D$119="","",[1]Accounts!$D$119)</f>
        <v/>
      </c>
      <c r="P118">
        <f>IF([2]Entry!$C$121="","",[2]Entry!$C$121)</f>
        <v/>
      </c>
      <c r="Q118">
        <f>IF([2]Entry!$D$121="","",[2]Entry!$D$121)</f>
        <v/>
      </c>
      <c r="R118">
        <f>IF([2]Entry!$E$121="","",[2]Entry!$E$121)</f>
        <v/>
      </c>
      <c r="S118">
        <f>IF([2]Entry!$G$121="","",[2]Entry!$G$121)</f>
        <v/>
      </c>
      <c r="T118">
        <f>IF([2]Entry!$J$121="","",[2]Entry!$J$121)</f>
        <v/>
      </c>
      <c r="U118">
        <f>IF([2]Entry!$K$121="","",[2]Entry!$K$121)</f>
        <v/>
      </c>
      <c r="V118">
        <f>IF([2]Entry!$L$121="","",[2]Entry!$L$121)</f>
        <v/>
      </c>
      <c r="W118">
        <f>IF([2]Entry!$M$121="","",[2]Entry!$M$121)</f>
        <v/>
      </c>
      <c r="X118">
        <f>IF([2]Entry!$N$121="","",[2]Entry!$N$121)</f>
        <v/>
      </c>
      <c r="Y118">
        <f>IF([2]Entry!$R$121="","",[2]Entry!$R$121)</f>
        <v/>
      </c>
    </row>
    <row r="119">
      <c r="K119">
        <f>IF([1]Accounts!$D$120="","",[1]Accounts!$A$120)</f>
        <v/>
      </c>
      <c r="L119">
        <f>IF([1]Accounts!$D$120="","",[1]Accounts!$B$120)</f>
        <v/>
      </c>
      <c r="M119">
        <f>IF([1]Accounts!$D$120="","",[1]Accounts!$C$120)</f>
        <v/>
      </c>
      <c r="N119">
        <f>IF([1]Accounts!$D$120="","",[1]Accounts!$D$120)</f>
        <v/>
      </c>
      <c r="P119">
        <f>IF([2]Entry!$C$122="","",[2]Entry!$C$122)</f>
        <v/>
      </c>
      <c r="Q119">
        <f>IF([2]Entry!$D$122="","",[2]Entry!$D$122)</f>
        <v/>
      </c>
      <c r="R119">
        <f>IF([2]Entry!$E$122="","",[2]Entry!$E$122)</f>
        <v/>
      </c>
      <c r="S119">
        <f>IF([2]Entry!$G$122="","",[2]Entry!$G$122)</f>
        <v/>
      </c>
      <c r="T119">
        <f>IF([2]Entry!$J$122="","",[2]Entry!$J$122)</f>
        <v/>
      </c>
      <c r="U119">
        <f>IF([2]Entry!$K$122="","",[2]Entry!$K$122)</f>
        <v/>
      </c>
      <c r="V119">
        <f>IF([2]Entry!$L$122="","",[2]Entry!$L$122)</f>
        <v/>
      </c>
      <c r="W119">
        <f>IF([2]Entry!$M$122="","",[2]Entry!$M$122)</f>
        <v/>
      </c>
      <c r="X119">
        <f>IF([2]Entry!$N$122="","",[2]Entry!$N$122)</f>
        <v/>
      </c>
      <c r="Y119">
        <f>IF([2]Entry!$R$122="","",[2]Entry!$R$122)</f>
        <v/>
      </c>
    </row>
    <row r="120">
      <c r="K120">
        <f>IF([1]Accounts!$D$121="","",[1]Accounts!$A$121)</f>
        <v/>
      </c>
      <c r="L120">
        <f>IF([1]Accounts!$D$121="","",[1]Accounts!$B$121)</f>
        <v/>
      </c>
      <c r="M120">
        <f>IF([1]Accounts!$D$121="","",[1]Accounts!$C$121)</f>
        <v/>
      </c>
      <c r="N120">
        <f>IF([1]Accounts!$D$121="","",[1]Accounts!$D$121)</f>
        <v/>
      </c>
      <c r="P120">
        <f>IF([2]Entry!$C$123="","",[2]Entry!$C$123)</f>
        <v/>
      </c>
      <c r="Q120">
        <f>IF([2]Entry!$D$123="","",[2]Entry!$D$123)</f>
        <v/>
      </c>
      <c r="R120">
        <f>IF([2]Entry!$E$123="","",[2]Entry!$E$123)</f>
        <v/>
      </c>
      <c r="S120">
        <f>IF([2]Entry!$G$123="","",[2]Entry!$G$123)</f>
        <v/>
      </c>
      <c r="T120">
        <f>IF([2]Entry!$J$123="","",[2]Entry!$J$123)</f>
        <v/>
      </c>
      <c r="U120">
        <f>IF([2]Entry!$K$123="","",[2]Entry!$K$123)</f>
        <v/>
      </c>
      <c r="V120">
        <f>IF([2]Entry!$L$123="","",[2]Entry!$L$123)</f>
        <v/>
      </c>
      <c r="W120">
        <f>IF([2]Entry!$M$123="","",[2]Entry!$M$123)</f>
        <v/>
      </c>
      <c r="X120">
        <f>IF([2]Entry!$N$123="","",[2]Entry!$N$123)</f>
        <v/>
      </c>
      <c r="Y120">
        <f>IF([2]Entry!$R$123="","",[2]Entry!$R$123)</f>
        <v/>
      </c>
    </row>
    <row r="121">
      <c r="K121">
        <f>IF([1]Accounts!$D$122="","",[1]Accounts!$A$122)</f>
        <v/>
      </c>
      <c r="L121">
        <f>IF([1]Accounts!$D$122="","",[1]Accounts!$B$122)</f>
        <v/>
      </c>
      <c r="M121">
        <f>IF([1]Accounts!$D$122="","",[1]Accounts!$C$122)</f>
        <v/>
      </c>
      <c r="N121">
        <f>IF([1]Accounts!$D$122="","",[1]Accounts!$D$122)</f>
        <v/>
      </c>
      <c r="P121">
        <f>IF([2]Entry!$C$124="","",[2]Entry!$C$124)</f>
        <v/>
      </c>
      <c r="Q121">
        <f>IF([2]Entry!$D$124="","",[2]Entry!$D$124)</f>
        <v/>
      </c>
      <c r="R121">
        <f>IF([2]Entry!$E$124="","",[2]Entry!$E$124)</f>
        <v/>
      </c>
      <c r="S121">
        <f>IF([2]Entry!$G$124="","",[2]Entry!$G$124)</f>
        <v/>
      </c>
      <c r="T121">
        <f>IF([2]Entry!$J$124="","",[2]Entry!$J$124)</f>
        <v/>
      </c>
      <c r="U121">
        <f>IF([2]Entry!$K$124="","",[2]Entry!$K$124)</f>
        <v/>
      </c>
      <c r="V121">
        <f>IF([2]Entry!$L$124="","",[2]Entry!$L$124)</f>
        <v/>
      </c>
      <c r="W121">
        <f>IF([2]Entry!$M$124="","",[2]Entry!$M$124)</f>
        <v/>
      </c>
      <c r="X121">
        <f>IF([2]Entry!$N$124="","",[2]Entry!$N$124)</f>
        <v/>
      </c>
      <c r="Y121">
        <f>IF([2]Entry!$R$124="","",[2]Entry!$R$124)</f>
        <v/>
      </c>
    </row>
    <row r="122">
      <c r="K122">
        <f>IF([1]Accounts!$D$123="","",[1]Accounts!$A$123)</f>
        <v/>
      </c>
      <c r="L122">
        <f>IF([1]Accounts!$D$123="","",[1]Accounts!$B$123)</f>
        <v/>
      </c>
      <c r="M122">
        <f>IF([1]Accounts!$D$123="","",[1]Accounts!$C$123)</f>
        <v/>
      </c>
      <c r="N122">
        <f>IF([1]Accounts!$D$123="","",[1]Accounts!$D$123)</f>
        <v/>
      </c>
      <c r="P122">
        <f>IF([2]Entry!$C$125="","",[2]Entry!$C$125)</f>
        <v/>
      </c>
      <c r="Q122">
        <f>IF([2]Entry!$D$125="","",[2]Entry!$D$125)</f>
        <v/>
      </c>
      <c r="R122">
        <f>IF([2]Entry!$E$125="","",[2]Entry!$E$125)</f>
        <v/>
      </c>
      <c r="S122">
        <f>IF([2]Entry!$G$125="","",[2]Entry!$G$125)</f>
        <v/>
      </c>
      <c r="T122">
        <f>IF([2]Entry!$J$125="","",[2]Entry!$J$125)</f>
        <v/>
      </c>
      <c r="U122">
        <f>IF([2]Entry!$K$125="","",[2]Entry!$K$125)</f>
        <v/>
      </c>
      <c r="V122">
        <f>IF([2]Entry!$L$125="","",[2]Entry!$L$125)</f>
        <v/>
      </c>
      <c r="W122">
        <f>IF([2]Entry!$M$125="","",[2]Entry!$M$125)</f>
        <v/>
      </c>
      <c r="X122">
        <f>IF([2]Entry!$N$125="","",[2]Entry!$N$125)</f>
        <v/>
      </c>
      <c r="Y122">
        <f>IF([2]Entry!$R$125="","",[2]Entry!$R$125)</f>
        <v/>
      </c>
    </row>
    <row r="123">
      <c r="K123">
        <f>IF([1]Accounts!$D$124="","",[1]Accounts!$A$124)</f>
        <v/>
      </c>
      <c r="L123">
        <f>IF([1]Accounts!$D$124="","",[1]Accounts!$B$124)</f>
        <v/>
      </c>
      <c r="M123">
        <f>IF([1]Accounts!$D$124="","",[1]Accounts!$C$124)</f>
        <v/>
      </c>
      <c r="N123">
        <f>IF([1]Accounts!$D$124="","",[1]Accounts!$D$124)</f>
        <v/>
      </c>
      <c r="P123">
        <f>IF([2]Entry!$C$126="","",[2]Entry!$C$126)</f>
        <v/>
      </c>
      <c r="Q123">
        <f>IF([2]Entry!$D$126="","",[2]Entry!$D$126)</f>
        <v/>
      </c>
      <c r="R123">
        <f>IF([2]Entry!$E$126="","",[2]Entry!$E$126)</f>
        <v/>
      </c>
      <c r="S123">
        <f>IF([2]Entry!$G$126="","",[2]Entry!$G$126)</f>
        <v/>
      </c>
      <c r="T123">
        <f>IF([2]Entry!$J$126="","",[2]Entry!$J$126)</f>
        <v/>
      </c>
      <c r="U123">
        <f>IF([2]Entry!$K$126="","",[2]Entry!$K$126)</f>
        <v/>
      </c>
      <c r="V123">
        <f>IF([2]Entry!$L$126="","",[2]Entry!$L$126)</f>
        <v/>
      </c>
      <c r="W123">
        <f>IF([2]Entry!$M$126="","",[2]Entry!$M$126)</f>
        <v/>
      </c>
      <c r="X123">
        <f>IF([2]Entry!$N$126="","",[2]Entry!$N$126)</f>
        <v/>
      </c>
      <c r="Y123">
        <f>IF([2]Entry!$R$126="","",[2]Entry!$R$126)</f>
        <v/>
      </c>
    </row>
    <row r="124">
      <c r="K124">
        <f>IF([1]Accounts!$D$125="","",[1]Accounts!$A$125)</f>
        <v/>
      </c>
      <c r="L124">
        <f>IF([1]Accounts!$D$125="","",[1]Accounts!$B$125)</f>
        <v/>
      </c>
      <c r="M124">
        <f>IF([1]Accounts!$D$125="","",[1]Accounts!$C$125)</f>
        <v/>
      </c>
      <c r="N124">
        <f>IF([1]Accounts!$D$125="","",[1]Accounts!$D$125)</f>
        <v/>
      </c>
      <c r="P124">
        <f>IF([2]Entry!$C$127="","",[2]Entry!$C$127)</f>
        <v/>
      </c>
      <c r="Q124">
        <f>IF([2]Entry!$D$127="","",[2]Entry!$D$127)</f>
        <v/>
      </c>
      <c r="R124">
        <f>IF([2]Entry!$E$127="","",[2]Entry!$E$127)</f>
        <v/>
      </c>
      <c r="S124">
        <f>IF([2]Entry!$G$127="","",[2]Entry!$G$127)</f>
        <v/>
      </c>
      <c r="T124">
        <f>IF([2]Entry!$J$127="","",[2]Entry!$J$127)</f>
        <v/>
      </c>
      <c r="U124">
        <f>IF([2]Entry!$K$127="","",[2]Entry!$K$127)</f>
        <v/>
      </c>
      <c r="V124">
        <f>IF([2]Entry!$L$127="","",[2]Entry!$L$127)</f>
        <v/>
      </c>
      <c r="W124">
        <f>IF([2]Entry!$M$127="","",[2]Entry!$M$127)</f>
        <v/>
      </c>
      <c r="X124">
        <f>IF([2]Entry!$N$127="","",[2]Entry!$N$127)</f>
        <v/>
      </c>
      <c r="Y124">
        <f>IF([2]Entry!$R$127="","",[2]Entry!$R$127)</f>
        <v/>
      </c>
    </row>
    <row r="125">
      <c r="K125">
        <f>IF([1]Accounts!$D$126="","",[1]Accounts!$A$126)</f>
        <v/>
      </c>
      <c r="L125">
        <f>IF([1]Accounts!$D$126="","",[1]Accounts!$B$126)</f>
        <v/>
      </c>
      <c r="M125">
        <f>IF([1]Accounts!$D$126="","",[1]Accounts!$C$126)</f>
        <v/>
      </c>
      <c r="N125">
        <f>IF([1]Accounts!$D$126="","",[1]Accounts!$D$126)</f>
        <v/>
      </c>
      <c r="P125">
        <f>IF([2]Entry!$C$128="","",[2]Entry!$C$128)</f>
        <v/>
      </c>
      <c r="Q125">
        <f>IF([2]Entry!$D$128="","",[2]Entry!$D$128)</f>
        <v/>
      </c>
      <c r="R125">
        <f>IF([2]Entry!$E$128="","",[2]Entry!$E$128)</f>
        <v/>
      </c>
      <c r="S125">
        <f>IF([2]Entry!$G$128="","",[2]Entry!$G$128)</f>
        <v/>
      </c>
      <c r="T125">
        <f>IF([2]Entry!$J$128="","",[2]Entry!$J$128)</f>
        <v/>
      </c>
      <c r="U125">
        <f>IF([2]Entry!$K$128="","",[2]Entry!$K$128)</f>
        <v/>
      </c>
      <c r="V125">
        <f>IF([2]Entry!$L$128="","",[2]Entry!$L$128)</f>
        <v/>
      </c>
      <c r="W125">
        <f>IF([2]Entry!$M$128="","",[2]Entry!$M$128)</f>
        <v/>
      </c>
      <c r="X125">
        <f>IF([2]Entry!$N$128="","",[2]Entry!$N$128)</f>
        <v/>
      </c>
      <c r="Y125">
        <f>IF([2]Entry!$R$128="","",[2]Entry!$R$128)</f>
        <v/>
      </c>
    </row>
    <row r="126">
      <c r="K126">
        <f>IF([1]Accounts!$D$127="","",[1]Accounts!$A$127)</f>
        <v/>
      </c>
      <c r="L126">
        <f>IF([1]Accounts!$D$127="","",[1]Accounts!$B$127)</f>
        <v/>
      </c>
      <c r="M126">
        <f>IF([1]Accounts!$D$127="","",[1]Accounts!$C$127)</f>
        <v/>
      </c>
      <c r="N126">
        <f>IF([1]Accounts!$D$127="","",[1]Accounts!$D$127)</f>
        <v/>
      </c>
      <c r="P126">
        <f>IF([2]Entry!$C$129="","",[2]Entry!$C$129)</f>
        <v/>
      </c>
      <c r="Q126">
        <f>IF([2]Entry!$D$129="","",[2]Entry!$D$129)</f>
        <v/>
      </c>
      <c r="R126">
        <f>IF([2]Entry!$E$129="","",[2]Entry!$E$129)</f>
        <v/>
      </c>
      <c r="S126">
        <f>IF([2]Entry!$G$129="","",[2]Entry!$G$129)</f>
        <v/>
      </c>
      <c r="T126">
        <f>IF([2]Entry!$J$129="","",[2]Entry!$J$129)</f>
        <v/>
      </c>
      <c r="U126">
        <f>IF([2]Entry!$K$129="","",[2]Entry!$K$129)</f>
        <v/>
      </c>
      <c r="V126">
        <f>IF([2]Entry!$L$129="","",[2]Entry!$L$129)</f>
        <v/>
      </c>
      <c r="W126">
        <f>IF([2]Entry!$M$129="","",[2]Entry!$M$129)</f>
        <v/>
      </c>
      <c r="X126">
        <f>IF([2]Entry!$N$129="","",[2]Entry!$N$129)</f>
        <v/>
      </c>
      <c r="Y126">
        <f>IF([2]Entry!$R$129="","",[2]Entry!$R$129)</f>
        <v/>
      </c>
    </row>
    <row r="127">
      <c r="K127">
        <f>IF([1]Accounts!$D$128="","",[1]Accounts!$A$128)</f>
        <v/>
      </c>
      <c r="L127">
        <f>IF([1]Accounts!$D$128="","",[1]Accounts!$B$128)</f>
        <v/>
      </c>
      <c r="M127">
        <f>IF([1]Accounts!$D$128="","",[1]Accounts!$C$128)</f>
        <v/>
      </c>
      <c r="N127">
        <f>IF([1]Accounts!$D$128="","",[1]Accounts!$D$128)</f>
        <v/>
      </c>
      <c r="P127">
        <f>IF([2]Entry!$C$130="","",[2]Entry!$C$130)</f>
        <v/>
      </c>
      <c r="Q127">
        <f>IF([2]Entry!$D$130="","",[2]Entry!$D$130)</f>
        <v/>
      </c>
      <c r="R127">
        <f>IF([2]Entry!$E$130="","",[2]Entry!$E$130)</f>
        <v/>
      </c>
      <c r="S127">
        <f>IF([2]Entry!$G$130="","",[2]Entry!$G$130)</f>
        <v/>
      </c>
      <c r="T127">
        <f>IF([2]Entry!$J$130="","",[2]Entry!$J$130)</f>
        <v/>
      </c>
      <c r="U127">
        <f>IF([2]Entry!$K$130="","",[2]Entry!$K$130)</f>
        <v/>
      </c>
      <c r="V127">
        <f>IF([2]Entry!$L$130="","",[2]Entry!$L$130)</f>
        <v/>
      </c>
      <c r="W127">
        <f>IF([2]Entry!$M$130="","",[2]Entry!$M$130)</f>
        <v/>
      </c>
      <c r="X127">
        <f>IF([2]Entry!$N$130="","",[2]Entry!$N$130)</f>
        <v/>
      </c>
      <c r="Y127">
        <f>IF([2]Entry!$R$130="","",[2]Entry!$R$130)</f>
        <v/>
      </c>
    </row>
    <row r="128">
      <c r="K128">
        <f>IF([1]Accounts!$D$129="","",[1]Accounts!$A$129)</f>
        <v/>
      </c>
      <c r="L128">
        <f>IF([1]Accounts!$D$129="","",[1]Accounts!$B$129)</f>
        <v/>
      </c>
      <c r="M128">
        <f>IF([1]Accounts!$D$129="","",[1]Accounts!$C$129)</f>
        <v/>
      </c>
      <c r="N128">
        <f>IF([1]Accounts!$D$129="","",[1]Accounts!$D$129)</f>
        <v/>
      </c>
      <c r="P128">
        <f>IF([2]Entry!$C$131="","",[2]Entry!$C$131)</f>
        <v/>
      </c>
      <c r="Q128">
        <f>IF([2]Entry!$D$131="","",[2]Entry!$D$131)</f>
        <v/>
      </c>
      <c r="R128">
        <f>IF([2]Entry!$E$131="","",[2]Entry!$E$131)</f>
        <v/>
      </c>
      <c r="S128">
        <f>IF([2]Entry!$G$131="","",[2]Entry!$G$131)</f>
        <v/>
      </c>
      <c r="T128">
        <f>IF([2]Entry!$J$131="","",[2]Entry!$J$131)</f>
        <v/>
      </c>
      <c r="U128">
        <f>IF([2]Entry!$K$131="","",[2]Entry!$K$131)</f>
        <v/>
      </c>
      <c r="V128">
        <f>IF([2]Entry!$L$131="","",[2]Entry!$L$131)</f>
        <v/>
      </c>
      <c r="W128">
        <f>IF([2]Entry!$M$131="","",[2]Entry!$M$131)</f>
        <v/>
      </c>
      <c r="X128">
        <f>IF([2]Entry!$N$131="","",[2]Entry!$N$131)</f>
        <v/>
      </c>
      <c r="Y128">
        <f>IF([2]Entry!$R$131="","",[2]Entry!$R$131)</f>
        <v/>
      </c>
    </row>
    <row r="129">
      <c r="K129">
        <f>IF([1]Accounts!$D$130="","",[1]Accounts!$A$130)</f>
        <v/>
      </c>
      <c r="L129">
        <f>IF([1]Accounts!$D$130="","",[1]Accounts!$B$130)</f>
        <v/>
      </c>
      <c r="M129">
        <f>IF([1]Accounts!$D$130="","",[1]Accounts!$C$130)</f>
        <v/>
      </c>
      <c r="N129">
        <f>IF([1]Accounts!$D$130="","",[1]Accounts!$D$130)</f>
        <v/>
      </c>
      <c r="P129">
        <f>IF([2]Entry!$C$132="","",[2]Entry!$C$132)</f>
        <v/>
      </c>
      <c r="Q129">
        <f>IF([2]Entry!$D$132="","",[2]Entry!$D$132)</f>
        <v/>
      </c>
      <c r="R129">
        <f>IF([2]Entry!$E$132="","",[2]Entry!$E$132)</f>
        <v/>
      </c>
      <c r="S129">
        <f>IF([2]Entry!$G$132="","",[2]Entry!$G$132)</f>
        <v/>
      </c>
      <c r="T129">
        <f>IF([2]Entry!$J$132="","",[2]Entry!$J$132)</f>
        <v/>
      </c>
      <c r="U129">
        <f>IF([2]Entry!$K$132="","",[2]Entry!$K$132)</f>
        <v/>
      </c>
      <c r="V129">
        <f>IF([2]Entry!$L$132="","",[2]Entry!$L$132)</f>
        <v/>
      </c>
      <c r="W129">
        <f>IF([2]Entry!$M$132="","",[2]Entry!$M$132)</f>
        <v/>
      </c>
      <c r="X129">
        <f>IF([2]Entry!$N$132="","",[2]Entry!$N$132)</f>
        <v/>
      </c>
      <c r="Y129">
        <f>IF([2]Entry!$R$132="","",[2]Entry!$R$132)</f>
        <v/>
      </c>
    </row>
    <row r="130">
      <c r="K130">
        <f>IF([1]Accounts!$D$131="","",[1]Accounts!$A$131)</f>
        <v/>
      </c>
      <c r="L130">
        <f>IF([1]Accounts!$D$131="","",[1]Accounts!$B$131)</f>
        <v/>
      </c>
      <c r="M130">
        <f>IF([1]Accounts!$D$131="","",[1]Accounts!$C$131)</f>
        <v/>
      </c>
      <c r="N130">
        <f>IF([1]Accounts!$D$131="","",[1]Accounts!$D$131)</f>
        <v/>
      </c>
      <c r="P130">
        <f>IF([2]Entry!$C$133="","",[2]Entry!$C$133)</f>
        <v/>
      </c>
      <c r="Q130">
        <f>IF([2]Entry!$D$133="","",[2]Entry!$D$133)</f>
        <v/>
      </c>
      <c r="R130">
        <f>IF([2]Entry!$E$133="","",[2]Entry!$E$133)</f>
        <v/>
      </c>
      <c r="S130">
        <f>IF([2]Entry!$G$133="","",[2]Entry!$G$133)</f>
        <v/>
      </c>
      <c r="T130">
        <f>IF([2]Entry!$J$133="","",[2]Entry!$J$133)</f>
        <v/>
      </c>
      <c r="U130">
        <f>IF([2]Entry!$K$133="","",[2]Entry!$K$133)</f>
        <v/>
      </c>
      <c r="V130">
        <f>IF([2]Entry!$L$133="","",[2]Entry!$L$133)</f>
        <v/>
      </c>
      <c r="W130">
        <f>IF([2]Entry!$M$133="","",[2]Entry!$M$133)</f>
        <v/>
      </c>
      <c r="X130">
        <f>IF([2]Entry!$N$133="","",[2]Entry!$N$133)</f>
        <v/>
      </c>
      <c r="Y130">
        <f>IF([2]Entry!$R$133="","",[2]Entry!$R$133)</f>
        <v/>
      </c>
    </row>
    <row r="131">
      <c r="K131">
        <f>IF([1]Accounts!$D$132="","",[1]Accounts!$A$132)</f>
        <v/>
      </c>
      <c r="L131">
        <f>IF([1]Accounts!$D$132="","",[1]Accounts!$B$132)</f>
        <v/>
      </c>
      <c r="M131">
        <f>IF([1]Accounts!$D$132="","",[1]Accounts!$C$132)</f>
        <v/>
      </c>
      <c r="N131">
        <f>IF([1]Accounts!$D$132="","",[1]Accounts!$D$132)</f>
        <v/>
      </c>
      <c r="P131">
        <f>IF([2]Entry!$C$134="","",[2]Entry!$C$134)</f>
        <v/>
      </c>
      <c r="Q131">
        <f>IF([2]Entry!$D$134="","",[2]Entry!$D$134)</f>
        <v/>
      </c>
      <c r="R131">
        <f>IF([2]Entry!$E$134="","",[2]Entry!$E$134)</f>
        <v/>
      </c>
      <c r="S131">
        <f>IF([2]Entry!$G$134="","",[2]Entry!$G$134)</f>
        <v/>
      </c>
      <c r="T131">
        <f>IF([2]Entry!$J$134="","",[2]Entry!$J$134)</f>
        <v/>
      </c>
      <c r="U131">
        <f>IF([2]Entry!$K$134="","",[2]Entry!$K$134)</f>
        <v/>
      </c>
      <c r="V131">
        <f>IF([2]Entry!$L$134="","",[2]Entry!$L$134)</f>
        <v/>
      </c>
      <c r="W131">
        <f>IF([2]Entry!$M$134="","",[2]Entry!$M$134)</f>
        <v/>
      </c>
      <c r="X131">
        <f>IF([2]Entry!$N$134="","",[2]Entry!$N$134)</f>
        <v/>
      </c>
      <c r="Y131">
        <f>IF([2]Entry!$R$134="","",[2]Entry!$R$134)</f>
        <v/>
      </c>
    </row>
    <row r="132">
      <c r="K132">
        <f>IF([1]Accounts!$D$133="","",[1]Accounts!$A$133)</f>
        <v/>
      </c>
      <c r="L132">
        <f>IF([1]Accounts!$D$133="","",[1]Accounts!$B$133)</f>
        <v/>
      </c>
      <c r="M132">
        <f>IF([1]Accounts!$D$133="","",[1]Accounts!$C$133)</f>
        <v/>
      </c>
      <c r="N132">
        <f>IF([1]Accounts!$D$133="","",[1]Accounts!$D$133)</f>
        <v/>
      </c>
      <c r="P132">
        <f>IF([2]Entry!$C$135="","",[2]Entry!$C$135)</f>
        <v/>
      </c>
      <c r="Q132">
        <f>IF([2]Entry!$D$135="","",[2]Entry!$D$135)</f>
        <v/>
      </c>
      <c r="R132">
        <f>IF([2]Entry!$E$135="","",[2]Entry!$E$135)</f>
        <v/>
      </c>
      <c r="S132">
        <f>IF([2]Entry!$G$135="","",[2]Entry!$G$135)</f>
        <v/>
      </c>
      <c r="T132">
        <f>IF([2]Entry!$J$135="","",[2]Entry!$J$135)</f>
        <v/>
      </c>
      <c r="U132">
        <f>IF([2]Entry!$K$135="","",[2]Entry!$K$135)</f>
        <v/>
      </c>
      <c r="V132">
        <f>IF([2]Entry!$L$135="","",[2]Entry!$L$135)</f>
        <v/>
      </c>
      <c r="W132">
        <f>IF([2]Entry!$M$135="","",[2]Entry!$M$135)</f>
        <v/>
      </c>
      <c r="X132">
        <f>IF([2]Entry!$N$135="","",[2]Entry!$N$135)</f>
        <v/>
      </c>
      <c r="Y132">
        <f>IF([2]Entry!$R$135="","",[2]Entry!$R$135)</f>
        <v/>
      </c>
    </row>
    <row r="133">
      <c r="K133">
        <f>IF([1]Accounts!$D$134="","",[1]Accounts!$A$134)</f>
        <v/>
      </c>
      <c r="L133">
        <f>IF([1]Accounts!$D$134="","",[1]Accounts!$B$134)</f>
        <v/>
      </c>
      <c r="M133">
        <f>IF([1]Accounts!$D$134="","",[1]Accounts!$C$134)</f>
        <v/>
      </c>
      <c r="N133">
        <f>IF([1]Accounts!$D$134="","",[1]Accounts!$D$134)</f>
        <v/>
      </c>
      <c r="P133">
        <f>IF([2]Entry!$C$136="","",[2]Entry!$C$136)</f>
        <v/>
      </c>
      <c r="Q133">
        <f>IF([2]Entry!$D$136="","",[2]Entry!$D$136)</f>
        <v/>
      </c>
      <c r="R133">
        <f>IF([2]Entry!$E$136="","",[2]Entry!$E$136)</f>
        <v/>
      </c>
      <c r="S133">
        <f>IF([2]Entry!$G$136="","",[2]Entry!$G$136)</f>
        <v/>
      </c>
      <c r="T133">
        <f>IF([2]Entry!$J$136="","",[2]Entry!$J$136)</f>
        <v/>
      </c>
      <c r="U133">
        <f>IF([2]Entry!$K$136="","",[2]Entry!$K$136)</f>
        <v/>
      </c>
      <c r="V133">
        <f>IF([2]Entry!$L$136="","",[2]Entry!$L$136)</f>
        <v/>
      </c>
      <c r="W133">
        <f>IF([2]Entry!$M$136="","",[2]Entry!$M$136)</f>
        <v/>
      </c>
      <c r="X133">
        <f>IF([2]Entry!$N$136="","",[2]Entry!$N$136)</f>
        <v/>
      </c>
      <c r="Y133">
        <f>IF([2]Entry!$R$136="","",[2]Entry!$R$136)</f>
        <v/>
      </c>
    </row>
    <row r="134">
      <c r="K134">
        <f>IF([1]Accounts!$D$135="","",[1]Accounts!$A$135)</f>
        <v/>
      </c>
      <c r="L134">
        <f>IF([1]Accounts!$D$135="","",[1]Accounts!$B$135)</f>
        <v/>
      </c>
      <c r="M134">
        <f>IF([1]Accounts!$D$135="","",[1]Accounts!$C$135)</f>
        <v/>
      </c>
      <c r="N134">
        <f>IF([1]Accounts!$D$135="","",[1]Accounts!$D$135)</f>
        <v/>
      </c>
      <c r="P134">
        <f>IF([2]Entry!$C$137="","",[2]Entry!$C$137)</f>
        <v/>
      </c>
      <c r="Q134">
        <f>IF([2]Entry!$D$137="","",[2]Entry!$D$137)</f>
        <v/>
      </c>
      <c r="R134">
        <f>IF([2]Entry!$E$137="","",[2]Entry!$E$137)</f>
        <v/>
      </c>
      <c r="S134">
        <f>IF([2]Entry!$G$137="","",[2]Entry!$G$137)</f>
        <v/>
      </c>
      <c r="T134">
        <f>IF([2]Entry!$J$137="","",[2]Entry!$J$137)</f>
        <v/>
      </c>
      <c r="U134">
        <f>IF([2]Entry!$K$137="","",[2]Entry!$K$137)</f>
        <v/>
      </c>
      <c r="V134">
        <f>IF([2]Entry!$L$137="","",[2]Entry!$L$137)</f>
        <v/>
      </c>
      <c r="W134">
        <f>IF([2]Entry!$M$137="","",[2]Entry!$M$137)</f>
        <v/>
      </c>
      <c r="X134">
        <f>IF([2]Entry!$N$137="","",[2]Entry!$N$137)</f>
        <v/>
      </c>
      <c r="Y134">
        <f>IF([2]Entry!$R$137="","",[2]Entry!$R$137)</f>
        <v/>
      </c>
    </row>
    <row r="135">
      <c r="K135">
        <f>IF([1]Accounts!$D$136="","",[1]Accounts!$A$136)</f>
        <v/>
      </c>
      <c r="L135">
        <f>IF([1]Accounts!$D$136="","",[1]Accounts!$B$136)</f>
        <v/>
      </c>
      <c r="M135">
        <f>IF([1]Accounts!$D$136="","",[1]Accounts!$C$136)</f>
        <v/>
      </c>
      <c r="N135">
        <f>IF([1]Accounts!$D$136="","",[1]Accounts!$D$136)</f>
        <v/>
      </c>
      <c r="P135">
        <f>IF([2]Entry!$C$138="","",[2]Entry!$C$138)</f>
        <v/>
      </c>
      <c r="Q135">
        <f>IF([2]Entry!$D$138="","",[2]Entry!$D$138)</f>
        <v/>
      </c>
      <c r="R135">
        <f>IF([2]Entry!$E$138="","",[2]Entry!$E$138)</f>
        <v/>
      </c>
      <c r="S135">
        <f>IF([2]Entry!$G$138="","",[2]Entry!$G$138)</f>
        <v/>
      </c>
      <c r="T135">
        <f>IF([2]Entry!$J$138="","",[2]Entry!$J$138)</f>
        <v/>
      </c>
      <c r="U135">
        <f>IF([2]Entry!$K$138="","",[2]Entry!$K$138)</f>
        <v/>
      </c>
      <c r="V135">
        <f>IF([2]Entry!$L$138="","",[2]Entry!$L$138)</f>
        <v/>
      </c>
      <c r="W135">
        <f>IF([2]Entry!$M$138="","",[2]Entry!$M$138)</f>
        <v/>
      </c>
      <c r="X135">
        <f>IF([2]Entry!$N$138="","",[2]Entry!$N$138)</f>
        <v/>
      </c>
      <c r="Y135">
        <f>IF([2]Entry!$R$138="","",[2]Entry!$R$138)</f>
        <v/>
      </c>
    </row>
    <row r="136">
      <c r="K136">
        <f>IF([1]Accounts!$D$137="","",[1]Accounts!$A$137)</f>
        <v/>
      </c>
      <c r="L136">
        <f>IF([1]Accounts!$D$137="","",[1]Accounts!$B$137)</f>
        <v/>
      </c>
      <c r="M136">
        <f>IF([1]Accounts!$D$137="","",[1]Accounts!$C$137)</f>
        <v/>
      </c>
      <c r="N136">
        <f>IF([1]Accounts!$D$137="","",[1]Accounts!$D$137)</f>
        <v/>
      </c>
      <c r="P136">
        <f>IF([2]Entry!$C$139="","",[2]Entry!$C$139)</f>
        <v/>
      </c>
      <c r="Q136">
        <f>IF([2]Entry!$D$139="","",[2]Entry!$D$139)</f>
        <v/>
      </c>
      <c r="R136">
        <f>IF([2]Entry!$E$139="","",[2]Entry!$E$139)</f>
        <v/>
      </c>
      <c r="S136">
        <f>IF([2]Entry!$G$139="","",[2]Entry!$G$139)</f>
        <v/>
      </c>
      <c r="T136">
        <f>IF([2]Entry!$J$139="","",[2]Entry!$J$139)</f>
        <v/>
      </c>
      <c r="U136">
        <f>IF([2]Entry!$K$139="","",[2]Entry!$K$139)</f>
        <v/>
      </c>
      <c r="V136">
        <f>IF([2]Entry!$L$139="","",[2]Entry!$L$139)</f>
        <v/>
      </c>
      <c r="W136">
        <f>IF([2]Entry!$M$139="","",[2]Entry!$M$139)</f>
        <v/>
      </c>
      <c r="X136">
        <f>IF([2]Entry!$N$139="","",[2]Entry!$N$139)</f>
        <v/>
      </c>
      <c r="Y136">
        <f>IF([2]Entry!$R$139="","",[2]Entry!$R$139)</f>
        <v/>
      </c>
    </row>
    <row r="137">
      <c r="K137">
        <f>IF([1]Accounts!$D$138="","",[1]Accounts!$A$138)</f>
        <v/>
      </c>
      <c r="L137">
        <f>IF([1]Accounts!$D$138="","",[1]Accounts!$B$138)</f>
        <v/>
      </c>
      <c r="M137">
        <f>IF([1]Accounts!$D$138="","",[1]Accounts!$C$138)</f>
        <v/>
      </c>
      <c r="N137">
        <f>IF([1]Accounts!$D$138="","",[1]Accounts!$D$138)</f>
        <v/>
      </c>
      <c r="P137">
        <f>IF([2]Entry!$C$140="","",[2]Entry!$C$140)</f>
        <v/>
      </c>
      <c r="Q137">
        <f>IF([2]Entry!$D$140="","",[2]Entry!$D$140)</f>
        <v/>
      </c>
      <c r="R137">
        <f>IF([2]Entry!$E$140="","",[2]Entry!$E$140)</f>
        <v/>
      </c>
      <c r="S137">
        <f>IF([2]Entry!$G$140="","",[2]Entry!$G$140)</f>
        <v/>
      </c>
      <c r="T137">
        <f>IF([2]Entry!$J$140="","",[2]Entry!$J$140)</f>
        <v/>
      </c>
      <c r="U137">
        <f>IF([2]Entry!$K$140="","",[2]Entry!$K$140)</f>
        <v/>
      </c>
      <c r="V137">
        <f>IF([2]Entry!$L$140="","",[2]Entry!$L$140)</f>
        <v/>
      </c>
      <c r="W137">
        <f>IF([2]Entry!$M$140="","",[2]Entry!$M$140)</f>
        <v/>
      </c>
      <c r="X137">
        <f>IF([2]Entry!$N$140="","",[2]Entry!$N$140)</f>
        <v/>
      </c>
      <c r="Y137">
        <f>IF([2]Entry!$R$140="","",[2]Entry!$R$140)</f>
        <v/>
      </c>
    </row>
    <row r="138">
      <c r="K138">
        <f>IF([1]Accounts!$D$139="","",[1]Accounts!$A$139)</f>
        <v/>
      </c>
      <c r="L138">
        <f>IF([1]Accounts!$D$139="","",[1]Accounts!$B$139)</f>
        <v/>
      </c>
      <c r="M138">
        <f>IF([1]Accounts!$D$139="","",[1]Accounts!$C$139)</f>
        <v/>
      </c>
      <c r="N138">
        <f>IF([1]Accounts!$D$139="","",[1]Accounts!$D$139)</f>
        <v/>
      </c>
      <c r="P138">
        <f>IF([2]Entry!$C$141="","",[2]Entry!$C$141)</f>
        <v/>
      </c>
      <c r="Q138">
        <f>IF([2]Entry!$D$141="","",[2]Entry!$D$141)</f>
        <v/>
      </c>
      <c r="R138">
        <f>IF([2]Entry!$E$141="","",[2]Entry!$E$141)</f>
        <v/>
      </c>
      <c r="S138">
        <f>IF([2]Entry!$G$141="","",[2]Entry!$G$141)</f>
        <v/>
      </c>
      <c r="T138">
        <f>IF([2]Entry!$J$141="","",[2]Entry!$J$141)</f>
        <v/>
      </c>
      <c r="U138">
        <f>IF([2]Entry!$K$141="","",[2]Entry!$K$141)</f>
        <v/>
      </c>
      <c r="V138">
        <f>IF([2]Entry!$L$141="","",[2]Entry!$L$141)</f>
        <v/>
      </c>
      <c r="W138">
        <f>IF([2]Entry!$M$141="","",[2]Entry!$M$141)</f>
        <v/>
      </c>
      <c r="X138">
        <f>IF([2]Entry!$N$141="","",[2]Entry!$N$141)</f>
        <v/>
      </c>
      <c r="Y138">
        <f>IF([2]Entry!$R$141="","",[2]Entry!$R$141)</f>
        <v/>
      </c>
    </row>
    <row r="139">
      <c r="K139">
        <f>IF([1]Accounts!$D$140="","",[1]Accounts!$A$140)</f>
        <v/>
      </c>
      <c r="L139">
        <f>IF([1]Accounts!$D$140="","",[1]Accounts!$B$140)</f>
        <v/>
      </c>
      <c r="M139">
        <f>IF([1]Accounts!$D$140="","",[1]Accounts!$C$140)</f>
        <v/>
      </c>
      <c r="N139">
        <f>IF([1]Accounts!$D$140="","",[1]Accounts!$D$140)</f>
        <v/>
      </c>
      <c r="P139">
        <f>IF([2]Entry!$C$142="","",[2]Entry!$C$142)</f>
        <v/>
      </c>
      <c r="Q139">
        <f>IF([2]Entry!$D$142="","",[2]Entry!$D$142)</f>
        <v/>
      </c>
      <c r="R139">
        <f>IF([2]Entry!$E$142="","",[2]Entry!$E$142)</f>
        <v/>
      </c>
      <c r="S139">
        <f>IF([2]Entry!$G$142="","",[2]Entry!$G$142)</f>
        <v/>
      </c>
      <c r="T139">
        <f>IF([2]Entry!$J$142="","",[2]Entry!$J$142)</f>
        <v/>
      </c>
      <c r="U139">
        <f>IF([2]Entry!$K$142="","",[2]Entry!$K$142)</f>
        <v/>
      </c>
      <c r="V139">
        <f>IF([2]Entry!$L$142="","",[2]Entry!$L$142)</f>
        <v/>
      </c>
      <c r="W139">
        <f>IF([2]Entry!$M$142="","",[2]Entry!$M$142)</f>
        <v/>
      </c>
      <c r="X139">
        <f>IF([2]Entry!$N$142="","",[2]Entry!$N$142)</f>
        <v/>
      </c>
      <c r="Y139">
        <f>IF([2]Entry!$R$142="","",[2]Entry!$R$142)</f>
        <v/>
      </c>
    </row>
    <row r="140">
      <c r="K140">
        <f>IF([1]Accounts!$D$141="","",[1]Accounts!$A$141)</f>
        <v/>
      </c>
      <c r="L140">
        <f>IF([1]Accounts!$D$141="","",[1]Accounts!$B$141)</f>
        <v/>
      </c>
      <c r="M140">
        <f>IF([1]Accounts!$D$141="","",[1]Accounts!$C$141)</f>
        <v/>
      </c>
      <c r="N140">
        <f>IF([1]Accounts!$D$141="","",[1]Accounts!$D$141)</f>
        <v/>
      </c>
      <c r="P140">
        <f>IF([2]Entry!$C$143="","",[2]Entry!$C$143)</f>
        <v/>
      </c>
      <c r="Q140">
        <f>IF([2]Entry!$D$143="","",[2]Entry!$D$143)</f>
        <v/>
      </c>
      <c r="R140">
        <f>IF([2]Entry!$E$143="","",[2]Entry!$E$143)</f>
        <v/>
      </c>
      <c r="S140">
        <f>IF([2]Entry!$G$143="","",[2]Entry!$G$143)</f>
        <v/>
      </c>
      <c r="T140">
        <f>IF([2]Entry!$J$143="","",[2]Entry!$J$143)</f>
        <v/>
      </c>
      <c r="U140">
        <f>IF([2]Entry!$K$143="","",[2]Entry!$K$143)</f>
        <v/>
      </c>
      <c r="V140">
        <f>IF([2]Entry!$L$143="","",[2]Entry!$L$143)</f>
        <v/>
      </c>
      <c r="W140">
        <f>IF([2]Entry!$M$143="","",[2]Entry!$M$143)</f>
        <v/>
      </c>
      <c r="X140">
        <f>IF([2]Entry!$N$143="","",[2]Entry!$N$143)</f>
        <v/>
      </c>
      <c r="Y140">
        <f>IF([2]Entry!$R$143="","",[2]Entry!$R$143)</f>
        <v/>
      </c>
    </row>
    <row r="141">
      <c r="K141">
        <f>IF([1]Accounts!$D$142="","",[1]Accounts!$A$142)</f>
        <v/>
      </c>
      <c r="L141">
        <f>IF([1]Accounts!$D$142="","",[1]Accounts!$B$142)</f>
        <v/>
      </c>
      <c r="M141">
        <f>IF([1]Accounts!$D$142="","",[1]Accounts!$C$142)</f>
        <v/>
      </c>
      <c r="N141">
        <f>IF([1]Accounts!$D$142="","",[1]Accounts!$D$142)</f>
        <v/>
      </c>
      <c r="P141">
        <f>IF([2]Entry!$C$144="","",[2]Entry!$C$144)</f>
        <v/>
      </c>
      <c r="Q141">
        <f>IF([2]Entry!$D$144="","",[2]Entry!$D$144)</f>
        <v/>
      </c>
      <c r="R141">
        <f>IF([2]Entry!$E$144="","",[2]Entry!$E$144)</f>
        <v/>
      </c>
      <c r="S141">
        <f>IF([2]Entry!$G$144="","",[2]Entry!$G$144)</f>
        <v/>
      </c>
      <c r="T141">
        <f>IF([2]Entry!$J$144="","",[2]Entry!$J$144)</f>
        <v/>
      </c>
      <c r="U141">
        <f>IF([2]Entry!$K$144="","",[2]Entry!$K$144)</f>
        <v/>
      </c>
      <c r="V141">
        <f>IF([2]Entry!$L$144="","",[2]Entry!$L$144)</f>
        <v/>
      </c>
      <c r="W141">
        <f>IF([2]Entry!$M$144="","",[2]Entry!$M$144)</f>
        <v/>
      </c>
      <c r="X141">
        <f>IF([2]Entry!$N$144="","",[2]Entry!$N$144)</f>
        <v/>
      </c>
      <c r="Y141">
        <f>IF([2]Entry!$R$144="","",[2]Entry!$R$144)</f>
        <v/>
      </c>
    </row>
    <row r="142">
      <c r="K142">
        <f>IF([1]Accounts!$D$143="","",[1]Accounts!$A$143)</f>
        <v/>
      </c>
      <c r="L142">
        <f>IF([1]Accounts!$D$143="","",[1]Accounts!$B$143)</f>
        <v/>
      </c>
      <c r="M142">
        <f>IF([1]Accounts!$D$143="","",[1]Accounts!$C$143)</f>
        <v/>
      </c>
      <c r="N142">
        <f>IF([1]Accounts!$D$143="","",[1]Accounts!$D$143)</f>
        <v/>
      </c>
      <c r="P142">
        <f>IF([2]Entry!$C$145="","",[2]Entry!$C$145)</f>
        <v/>
      </c>
      <c r="Q142">
        <f>IF([2]Entry!$D$145="","",[2]Entry!$D$145)</f>
        <v/>
      </c>
      <c r="R142">
        <f>IF([2]Entry!$E$145="","",[2]Entry!$E$145)</f>
        <v/>
      </c>
      <c r="S142">
        <f>IF([2]Entry!$G$145="","",[2]Entry!$G$145)</f>
        <v/>
      </c>
      <c r="T142">
        <f>IF([2]Entry!$J$145="","",[2]Entry!$J$145)</f>
        <v/>
      </c>
      <c r="U142">
        <f>IF([2]Entry!$K$145="","",[2]Entry!$K$145)</f>
        <v/>
      </c>
      <c r="V142">
        <f>IF([2]Entry!$L$145="","",[2]Entry!$L$145)</f>
        <v/>
      </c>
      <c r="W142">
        <f>IF([2]Entry!$M$145="","",[2]Entry!$M$145)</f>
        <v/>
      </c>
      <c r="X142">
        <f>IF([2]Entry!$N$145="","",[2]Entry!$N$145)</f>
        <v/>
      </c>
      <c r="Y142">
        <f>IF([2]Entry!$R$145="","",[2]Entry!$R$145)</f>
        <v/>
      </c>
    </row>
    <row r="143">
      <c r="K143">
        <f>IF([1]Accounts!$D$144="","",[1]Accounts!$A$144)</f>
        <v/>
      </c>
      <c r="L143">
        <f>IF([1]Accounts!$D$144="","",[1]Accounts!$B$144)</f>
        <v/>
      </c>
      <c r="M143">
        <f>IF([1]Accounts!$D$144="","",[1]Accounts!$C$144)</f>
        <v/>
      </c>
      <c r="N143">
        <f>IF([1]Accounts!$D$144="","",[1]Accounts!$D$144)</f>
        <v/>
      </c>
      <c r="P143">
        <f>IF([2]Entry!$C$146="","",[2]Entry!$C$146)</f>
        <v/>
      </c>
      <c r="Q143">
        <f>IF([2]Entry!$D$146="","",[2]Entry!$D$146)</f>
        <v/>
      </c>
      <c r="R143">
        <f>IF([2]Entry!$E$146="","",[2]Entry!$E$146)</f>
        <v/>
      </c>
      <c r="S143">
        <f>IF([2]Entry!$G$146="","",[2]Entry!$G$146)</f>
        <v/>
      </c>
      <c r="T143">
        <f>IF([2]Entry!$J$146="","",[2]Entry!$J$146)</f>
        <v/>
      </c>
      <c r="U143">
        <f>IF([2]Entry!$K$146="","",[2]Entry!$K$146)</f>
        <v/>
      </c>
      <c r="V143">
        <f>IF([2]Entry!$L$146="","",[2]Entry!$L$146)</f>
        <v/>
      </c>
      <c r="W143">
        <f>IF([2]Entry!$M$146="","",[2]Entry!$M$146)</f>
        <v/>
      </c>
      <c r="X143">
        <f>IF([2]Entry!$N$146="","",[2]Entry!$N$146)</f>
        <v/>
      </c>
      <c r="Y143">
        <f>IF([2]Entry!$R$146="","",[2]Entry!$R$146)</f>
        <v/>
      </c>
    </row>
    <row r="144">
      <c r="K144">
        <f>IF([1]Accounts!$D$145="","",[1]Accounts!$A$145)</f>
        <v/>
      </c>
      <c r="L144">
        <f>IF([1]Accounts!$D$145="","",[1]Accounts!$B$145)</f>
        <v/>
      </c>
      <c r="M144">
        <f>IF([1]Accounts!$D$145="","",[1]Accounts!$C$145)</f>
        <v/>
      </c>
      <c r="N144">
        <f>IF([1]Accounts!$D$145="","",[1]Accounts!$D$145)</f>
        <v/>
      </c>
      <c r="P144">
        <f>IF([2]Entry!$C$147="","",[2]Entry!$C$147)</f>
        <v/>
      </c>
      <c r="Q144">
        <f>IF([2]Entry!$D$147="","",[2]Entry!$D$147)</f>
        <v/>
      </c>
      <c r="R144">
        <f>IF([2]Entry!$E$147="","",[2]Entry!$E$147)</f>
        <v/>
      </c>
      <c r="S144">
        <f>IF([2]Entry!$G$147="","",[2]Entry!$G$147)</f>
        <v/>
      </c>
      <c r="T144">
        <f>IF([2]Entry!$J$147="","",[2]Entry!$J$147)</f>
        <v/>
      </c>
      <c r="U144">
        <f>IF([2]Entry!$K$147="","",[2]Entry!$K$147)</f>
        <v/>
      </c>
      <c r="V144">
        <f>IF([2]Entry!$L$147="","",[2]Entry!$L$147)</f>
        <v/>
      </c>
      <c r="W144">
        <f>IF([2]Entry!$M$147="","",[2]Entry!$M$147)</f>
        <v/>
      </c>
      <c r="X144">
        <f>IF([2]Entry!$N$147="","",[2]Entry!$N$147)</f>
        <v/>
      </c>
      <c r="Y144">
        <f>IF([2]Entry!$R$147="","",[2]Entry!$R$147)</f>
        <v/>
      </c>
    </row>
    <row r="145">
      <c r="K145">
        <f>IF([1]Accounts!$D$146="","",[1]Accounts!$A$146)</f>
        <v/>
      </c>
      <c r="L145">
        <f>IF([1]Accounts!$D$146="","",[1]Accounts!$B$146)</f>
        <v/>
      </c>
      <c r="M145">
        <f>IF([1]Accounts!$D$146="","",[1]Accounts!$C$146)</f>
        <v/>
      </c>
      <c r="N145">
        <f>IF([1]Accounts!$D$146="","",[1]Accounts!$D$146)</f>
        <v/>
      </c>
      <c r="P145">
        <f>IF([2]Entry!$C$148="","",[2]Entry!$C$148)</f>
        <v/>
      </c>
      <c r="Q145">
        <f>IF([2]Entry!$D$148="","",[2]Entry!$D$148)</f>
        <v/>
      </c>
      <c r="R145">
        <f>IF([2]Entry!$E$148="","",[2]Entry!$E$148)</f>
        <v/>
      </c>
      <c r="S145">
        <f>IF([2]Entry!$G$148="","",[2]Entry!$G$148)</f>
        <v/>
      </c>
      <c r="T145">
        <f>IF([2]Entry!$J$148="","",[2]Entry!$J$148)</f>
        <v/>
      </c>
      <c r="U145">
        <f>IF([2]Entry!$K$148="","",[2]Entry!$K$148)</f>
        <v/>
      </c>
      <c r="V145">
        <f>IF([2]Entry!$L$148="","",[2]Entry!$L$148)</f>
        <v/>
      </c>
      <c r="W145">
        <f>IF([2]Entry!$M$148="","",[2]Entry!$M$148)</f>
        <v/>
      </c>
      <c r="X145">
        <f>IF([2]Entry!$N$148="","",[2]Entry!$N$148)</f>
        <v/>
      </c>
      <c r="Y145">
        <f>IF([2]Entry!$R$148="","",[2]Entry!$R$148)</f>
        <v/>
      </c>
    </row>
    <row r="146">
      <c r="K146">
        <f>IF([1]Accounts!$D$147="","",[1]Accounts!$A$147)</f>
        <v/>
      </c>
      <c r="L146">
        <f>IF([1]Accounts!$D$147="","",[1]Accounts!$B$147)</f>
        <v/>
      </c>
      <c r="M146">
        <f>IF([1]Accounts!$D$147="","",[1]Accounts!$C$147)</f>
        <v/>
      </c>
      <c r="N146">
        <f>IF([1]Accounts!$D$147="","",[1]Accounts!$D$147)</f>
        <v/>
      </c>
      <c r="P146">
        <f>IF([2]Entry!$C$149="","",[2]Entry!$C$149)</f>
        <v/>
      </c>
      <c r="Q146">
        <f>IF([2]Entry!$D$149="","",[2]Entry!$D$149)</f>
        <v/>
      </c>
      <c r="R146">
        <f>IF([2]Entry!$E$149="","",[2]Entry!$E$149)</f>
        <v/>
      </c>
      <c r="S146">
        <f>IF([2]Entry!$G$149="","",[2]Entry!$G$149)</f>
        <v/>
      </c>
      <c r="T146">
        <f>IF([2]Entry!$J$149="","",[2]Entry!$J$149)</f>
        <v/>
      </c>
      <c r="U146">
        <f>IF([2]Entry!$K$149="","",[2]Entry!$K$149)</f>
        <v/>
      </c>
      <c r="V146">
        <f>IF([2]Entry!$L$149="","",[2]Entry!$L$149)</f>
        <v/>
      </c>
      <c r="W146">
        <f>IF([2]Entry!$M$149="","",[2]Entry!$M$149)</f>
        <v/>
      </c>
      <c r="X146">
        <f>IF([2]Entry!$N$149="","",[2]Entry!$N$149)</f>
        <v/>
      </c>
      <c r="Y146">
        <f>IF([2]Entry!$R$149="","",[2]Entry!$R$149)</f>
        <v/>
      </c>
    </row>
    <row r="147">
      <c r="K147">
        <f>IF([1]Accounts!$D$148="","",[1]Accounts!$A$148)</f>
        <v/>
      </c>
      <c r="L147">
        <f>IF([1]Accounts!$D$148="","",[1]Accounts!$B$148)</f>
        <v/>
      </c>
      <c r="M147">
        <f>IF([1]Accounts!$D$148="","",[1]Accounts!$C$148)</f>
        <v/>
      </c>
      <c r="N147">
        <f>IF([1]Accounts!$D$148="","",[1]Accounts!$D$148)</f>
        <v/>
      </c>
      <c r="P147">
        <f>IF([2]Entry!$C$150="","",[2]Entry!$C$150)</f>
        <v/>
      </c>
      <c r="Q147">
        <f>IF([2]Entry!$D$150="","",[2]Entry!$D$150)</f>
        <v/>
      </c>
      <c r="R147">
        <f>IF([2]Entry!$E$150="","",[2]Entry!$E$150)</f>
        <v/>
      </c>
      <c r="S147">
        <f>IF([2]Entry!$G$150="","",[2]Entry!$G$150)</f>
        <v/>
      </c>
      <c r="T147">
        <f>IF([2]Entry!$J$150="","",[2]Entry!$J$150)</f>
        <v/>
      </c>
      <c r="U147">
        <f>IF([2]Entry!$K$150="","",[2]Entry!$K$150)</f>
        <v/>
      </c>
      <c r="V147">
        <f>IF([2]Entry!$L$150="","",[2]Entry!$L$150)</f>
        <v/>
      </c>
      <c r="W147">
        <f>IF([2]Entry!$M$150="","",[2]Entry!$M$150)</f>
        <v/>
      </c>
      <c r="X147">
        <f>IF([2]Entry!$N$150="","",[2]Entry!$N$150)</f>
        <v/>
      </c>
      <c r="Y147">
        <f>IF([2]Entry!$R$150="","",[2]Entry!$R$150)</f>
        <v/>
      </c>
    </row>
    <row r="148">
      <c r="K148">
        <f>IF([1]Accounts!$D$149="","",[1]Accounts!$A$149)</f>
        <v/>
      </c>
      <c r="L148">
        <f>IF([1]Accounts!$D$149="","",[1]Accounts!$B$149)</f>
        <v/>
      </c>
      <c r="M148">
        <f>IF([1]Accounts!$D$149="","",[1]Accounts!$C$149)</f>
        <v/>
      </c>
      <c r="N148">
        <f>IF([1]Accounts!$D$149="","",[1]Accounts!$D$149)</f>
        <v/>
      </c>
      <c r="P148">
        <f>IF([2]Entry!$C$151="","",[2]Entry!$C$151)</f>
        <v/>
      </c>
      <c r="Q148">
        <f>IF([2]Entry!$D$151="","",[2]Entry!$D$151)</f>
        <v/>
      </c>
      <c r="R148">
        <f>IF([2]Entry!$E$151="","",[2]Entry!$E$151)</f>
        <v/>
      </c>
      <c r="S148">
        <f>IF([2]Entry!$G$151="","",[2]Entry!$G$151)</f>
        <v/>
      </c>
      <c r="T148">
        <f>IF([2]Entry!$J$151="","",[2]Entry!$J$151)</f>
        <v/>
      </c>
      <c r="U148">
        <f>IF([2]Entry!$K$151="","",[2]Entry!$K$151)</f>
        <v/>
      </c>
      <c r="V148">
        <f>IF([2]Entry!$L$151="","",[2]Entry!$L$151)</f>
        <v/>
      </c>
      <c r="W148">
        <f>IF([2]Entry!$M$151="","",[2]Entry!$M$151)</f>
        <v/>
      </c>
      <c r="X148">
        <f>IF([2]Entry!$N$151="","",[2]Entry!$N$151)</f>
        <v/>
      </c>
      <c r="Y148">
        <f>IF([2]Entry!$R$151="","",[2]Entry!$R$151)</f>
        <v/>
      </c>
    </row>
    <row r="149">
      <c r="K149">
        <f>IF([1]Accounts!$D$150="","",[1]Accounts!$A$150)</f>
        <v/>
      </c>
      <c r="L149">
        <f>IF([1]Accounts!$D$150="","",[1]Accounts!$B$150)</f>
        <v/>
      </c>
      <c r="M149">
        <f>IF([1]Accounts!$D$150="","",[1]Accounts!$C$150)</f>
        <v/>
      </c>
      <c r="N149">
        <f>IF([1]Accounts!$D$150="","",[1]Accounts!$D$150)</f>
        <v/>
      </c>
      <c r="P149">
        <f>IF([2]Entry!$C$152="","",[2]Entry!$C$152)</f>
        <v/>
      </c>
      <c r="Q149">
        <f>IF([2]Entry!$D$152="","",[2]Entry!$D$152)</f>
        <v/>
      </c>
      <c r="R149">
        <f>IF([2]Entry!$E$152="","",[2]Entry!$E$152)</f>
        <v/>
      </c>
      <c r="S149">
        <f>IF([2]Entry!$G$152="","",[2]Entry!$G$152)</f>
        <v/>
      </c>
      <c r="T149">
        <f>IF([2]Entry!$J$152="","",[2]Entry!$J$152)</f>
        <v/>
      </c>
      <c r="U149">
        <f>IF([2]Entry!$K$152="","",[2]Entry!$K$152)</f>
        <v/>
      </c>
      <c r="V149">
        <f>IF([2]Entry!$L$152="","",[2]Entry!$L$152)</f>
        <v/>
      </c>
      <c r="W149">
        <f>IF([2]Entry!$M$152="","",[2]Entry!$M$152)</f>
        <v/>
      </c>
      <c r="X149">
        <f>IF([2]Entry!$N$152="","",[2]Entry!$N$152)</f>
        <v/>
      </c>
      <c r="Y149">
        <f>IF([2]Entry!$R$152="","",[2]Entry!$R$152)</f>
        <v/>
      </c>
    </row>
    <row r="150">
      <c r="K150">
        <f>IF([1]Accounts!$D$151="","",[1]Accounts!$A$151)</f>
        <v/>
      </c>
      <c r="L150">
        <f>IF([1]Accounts!$D$151="","",[1]Accounts!$B$151)</f>
        <v/>
      </c>
      <c r="M150">
        <f>IF([1]Accounts!$D$151="","",[1]Accounts!$C$151)</f>
        <v/>
      </c>
      <c r="N150">
        <f>IF([1]Accounts!$D$151="","",[1]Accounts!$D$151)</f>
        <v/>
      </c>
      <c r="P150">
        <f>IF([2]Entry!$C$153="","",[2]Entry!$C$153)</f>
        <v/>
      </c>
      <c r="Q150">
        <f>IF([2]Entry!$D$153="","",[2]Entry!$D$153)</f>
        <v/>
      </c>
      <c r="R150">
        <f>IF([2]Entry!$E$153="","",[2]Entry!$E$153)</f>
        <v/>
      </c>
      <c r="S150">
        <f>IF([2]Entry!$G$153="","",[2]Entry!$G$153)</f>
        <v/>
      </c>
      <c r="T150">
        <f>IF([2]Entry!$J$153="","",[2]Entry!$J$153)</f>
        <v/>
      </c>
      <c r="U150">
        <f>IF([2]Entry!$K$153="","",[2]Entry!$K$153)</f>
        <v/>
      </c>
      <c r="V150">
        <f>IF([2]Entry!$L$153="","",[2]Entry!$L$153)</f>
        <v/>
      </c>
      <c r="W150">
        <f>IF([2]Entry!$M$153="","",[2]Entry!$M$153)</f>
        <v/>
      </c>
      <c r="X150">
        <f>IF([2]Entry!$N$153="","",[2]Entry!$N$153)</f>
        <v/>
      </c>
      <c r="Y150">
        <f>IF([2]Entry!$R$153="","",[2]Entry!$R$153)</f>
        <v/>
      </c>
    </row>
    <row r="151">
      <c r="K151">
        <f>IF([1]Accounts!$D$152="","",[1]Accounts!$A$152)</f>
        <v/>
      </c>
      <c r="L151">
        <f>IF([1]Accounts!$D$152="","",[1]Accounts!$B$152)</f>
        <v/>
      </c>
      <c r="M151">
        <f>IF([1]Accounts!$D$152="","",[1]Accounts!$C$152)</f>
        <v/>
      </c>
      <c r="N151">
        <f>IF([1]Accounts!$D$152="","",[1]Accounts!$D$152)</f>
        <v/>
      </c>
      <c r="P151">
        <f>IF([2]Entry!$C$154="","",[2]Entry!$C$154)</f>
        <v/>
      </c>
      <c r="Q151">
        <f>IF([2]Entry!$D$154="","",[2]Entry!$D$154)</f>
        <v/>
      </c>
      <c r="R151">
        <f>IF([2]Entry!$E$154="","",[2]Entry!$E$154)</f>
        <v/>
      </c>
      <c r="S151">
        <f>IF([2]Entry!$G$154="","",[2]Entry!$G$154)</f>
        <v/>
      </c>
      <c r="T151">
        <f>IF([2]Entry!$J$154="","",[2]Entry!$J$154)</f>
        <v/>
      </c>
      <c r="U151">
        <f>IF([2]Entry!$K$154="","",[2]Entry!$K$154)</f>
        <v/>
      </c>
      <c r="V151">
        <f>IF([2]Entry!$L$154="","",[2]Entry!$L$154)</f>
        <v/>
      </c>
      <c r="W151">
        <f>IF([2]Entry!$M$154="","",[2]Entry!$M$154)</f>
        <v/>
      </c>
      <c r="X151">
        <f>IF([2]Entry!$N$154="","",[2]Entry!$N$154)</f>
        <v/>
      </c>
      <c r="Y151">
        <f>IF([2]Entry!$R$154="","",[2]Entry!$R$154)</f>
        <v/>
      </c>
    </row>
    <row r="152">
      <c r="K152">
        <f>IF([1]Accounts!$D$153="","",[1]Accounts!$A$153)</f>
        <v/>
      </c>
      <c r="L152">
        <f>IF([1]Accounts!$D$153="","",[1]Accounts!$B$153)</f>
        <v/>
      </c>
      <c r="M152">
        <f>IF([1]Accounts!$D$153="","",[1]Accounts!$C$153)</f>
        <v/>
      </c>
      <c r="N152">
        <f>IF([1]Accounts!$D$153="","",[1]Accounts!$D$153)</f>
        <v/>
      </c>
      <c r="P152">
        <f>IF([2]Entry!$C$155="","",[2]Entry!$C$155)</f>
        <v/>
      </c>
      <c r="Q152">
        <f>IF([2]Entry!$D$155="","",[2]Entry!$D$155)</f>
        <v/>
      </c>
      <c r="R152">
        <f>IF([2]Entry!$E$155="","",[2]Entry!$E$155)</f>
        <v/>
      </c>
      <c r="S152">
        <f>IF([2]Entry!$G$155="","",[2]Entry!$G$155)</f>
        <v/>
      </c>
      <c r="T152">
        <f>IF([2]Entry!$J$155="","",[2]Entry!$J$155)</f>
        <v/>
      </c>
      <c r="U152">
        <f>IF([2]Entry!$K$155="","",[2]Entry!$K$155)</f>
        <v/>
      </c>
      <c r="V152">
        <f>IF([2]Entry!$L$155="","",[2]Entry!$L$155)</f>
        <v/>
      </c>
      <c r="W152">
        <f>IF([2]Entry!$M$155="","",[2]Entry!$M$155)</f>
        <v/>
      </c>
      <c r="X152">
        <f>IF([2]Entry!$N$155="","",[2]Entry!$N$155)</f>
        <v/>
      </c>
      <c r="Y152">
        <f>IF([2]Entry!$R$155="","",[2]Entry!$R$155)</f>
        <v/>
      </c>
    </row>
    <row r="153">
      <c r="K153">
        <f>IF([1]Accounts!$D$154="","",[1]Accounts!$A$154)</f>
        <v/>
      </c>
      <c r="L153">
        <f>IF([1]Accounts!$D$154="","",[1]Accounts!$B$154)</f>
        <v/>
      </c>
      <c r="M153">
        <f>IF([1]Accounts!$D$154="","",[1]Accounts!$C$154)</f>
        <v/>
      </c>
      <c r="N153">
        <f>IF([1]Accounts!$D$154="","",[1]Accounts!$D$154)</f>
        <v/>
      </c>
      <c r="P153">
        <f>IF([2]Entry!$C$156="","",[2]Entry!$C$156)</f>
        <v/>
      </c>
      <c r="Q153">
        <f>IF([2]Entry!$D$156="","",[2]Entry!$D$156)</f>
        <v/>
      </c>
      <c r="R153">
        <f>IF([2]Entry!$E$156="","",[2]Entry!$E$156)</f>
        <v/>
      </c>
      <c r="S153">
        <f>IF([2]Entry!$G$156="","",[2]Entry!$G$156)</f>
        <v/>
      </c>
      <c r="T153">
        <f>IF([2]Entry!$J$156="","",[2]Entry!$J$156)</f>
        <v/>
      </c>
      <c r="U153">
        <f>IF([2]Entry!$K$156="","",[2]Entry!$K$156)</f>
        <v/>
      </c>
      <c r="V153">
        <f>IF([2]Entry!$L$156="","",[2]Entry!$L$156)</f>
        <v/>
      </c>
      <c r="W153">
        <f>IF([2]Entry!$M$156="","",[2]Entry!$M$156)</f>
        <v/>
      </c>
      <c r="X153">
        <f>IF([2]Entry!$N$156="","",[2]Entry!$N$156)</f>
        <v/>
      </c>
      <c r="Y153">
        <f>IF([2]Entry!$R$156="","",[2]Entry!$R$156)</f>
        <v/>
      </c>
    </row>
    <row r="154">
      <c r="K154">
        <f>IF([1]Accounts!$D$155="","",[1]Accounts!$A$155)</f>
        <v/>
      </c>
      <c r="L154">
        <f>IF([1]Accounts!$D$155="","",[1]Accounts!$B$155)</f>
        <v/>
      </c>
      <c r="M154">
        <f>IF([1]Accounts!$D$155="","",[1]Accounts!$C$155)</f>
        <v/>
      </c>
      <c r="N154">
        <f>IF([1]Accounts!$D$155="","",[1]Accounts!$D$155)</f>
        <v/>
      </c>
      <c r="P154">
        <f>IF([2]Entry!$C$157="","",[2]Entry!$C$157)</f>
        <v/>
      </c>
      <c r="Q154">
        <f>IF([2]Entry!$D$157="","",[2]Entry!$D$157)</f>
        <v/>
      </c>
      <c r="R154">
        <f>IF([2]Entry!$E$157="","",[2]Entry!$E$157)</f>
        <v/>
      </c>
      <c r="S154">
        <f>IF([2]Entry!$G$157="","",[2]Entry!$G$157)</f>
        <v/>
      </c>
      <c r="T154">
        <f>IF([2]Entry!$J$157="","",[2]Entry!$J$157)</f>
        <v/>
      </c>
      <c r="U154">
        <f>IF([2]Entry!$K$157="","",[2]Entry!$K$157)</f>
        <v/>
      </c>
      <c r="V154">
        <f>IF([2]Entry!$L$157="","",[2]Entry!$L$157)</f>
        <v/>
      </c>
      <c r="W154">
        <f>IF([2]Entry!$M$157="","",[2]Entry!$M$157)</f>
        <v/>
      </c>
      <c r="X154">
        <f>IF([2]Entry!$N$157="","",[2]Entry!$N$157)</f>
        <v/>
      </c>
      <c r="Y154">
        <f>IF([2]Entry!$R$157="","",[2]Entry!$R$157)</f>
        <v/>
      </c>
    </row>
    <row r="155">
      <c r="K155">
        <f>IF([1]Accounts!$D$156="","",[1]Accounts!$A$156)</f>
        <v/>
      </c>
      <c r="L155">
        <f>IF([1]Accounts!$D$156="","",[1]Accounts!$B$156)</f>
        <v/>
      </c>
      <c r="M155">
        <f>IF([1]Accounts!$D$156="","",[1]Accounts!$C$156)</f>
        <v/>
      </c>
      <c r="N155">
        <f>IF([1]Accounts!$D$156="","",[1]Accounts!$D$156)</f>
        <v/>
      </c>
      <c r="P155">
        <f>IF([2]Entry!$C$158="","",[2]Entry!$C$158)</f>
        <v/>
      </c>
      <c r="Q155">
        <f>IF([2]Entry!$D$158="","",[2]Entry!$D$158)</f>
        <v/>
      </c>
      <c r="R155">
        <f>IF([2]Entry!$E$158="","",[2]Entry!$E$158)</f>
        <v/>
      </c>
      <c r="S155">
        <f>IF([2]Entry!$G$158="","",[2]Entry!$G$158)</f>
        <v/>
      </c>
      <c r="T155">
        <f>IF([2]Entry!$J$158="","",[2]Entry!$J$158)</f>
        <v/>
      </c>
      <c r="U155">
        <f>IF([2]Entry!$K$158="","",[2]Entry!$K$158)</f>
        <v/>
      </c>
      <c r="V155">
        <f>IF([2]Entry!$L$158="","",[2]Entry!$L$158)</f>
        <v/>
      </c>
      <c r="W155">
        <f>IF([2]Entry!$M$158="","",[2]Entry!$M$158)</f>
        <v/>
      </c>
      <c r="X155">
        <f>IF([2]Entry!$N$158="","",[2]Entry!$N$158)</f>
        <v/>
      </c>
      <c r="Y155">
        <f>IF([2]Entry!$R$158="","",[2]Entry!$R$158)</f>
        <v/>
      </c>
    </row>
    <row r="156">
      <c r="K156">
        <f>IF([1]Accounts!$D$157="","",[1]Accounts!$A$157)</f>
        <v/>
      </c>
      <c r="L156">
        <f>IF([1]Accounts!$D$157="","",[1]Accounts!$B$157)</f>
        <v/>
      </c>
      <c r="M156">
        <f>IF([1]Accounts!$D$157="","",[1]Accounts!$C$157)</f>
        <v/>
      </c>
      <c r="N156">
        <f>IF([1]Accounts!$D$157="","",[1]Accounts!$D$157)</f>
        <v/>
      </c>
      <c r="P156">
        <f>IF([2]Entry!$C$159="","",[2]Entry!$C$159)</f>
        <v/>
      </c>
      <c r="Q156">
        <f>IF([2]Entry!$D$159="","",[2]Entry!$D$159)</f>
        <v/>
      </c>
      <c r="R156">
        <f>IF([2]Entry!$E$159="","",[2]Entry!$E$159)</f>
        <v/>
      </c>
      <c r="S156">
        <f>IF([2]Entry!$G$159="","",[2]Entry!$G$159)</f>
        <v/>
      </c>
      <c r="T156">
        <f>IF([2]Entry!$J$159="","",[2]Entry!$J$159)</f>
        <v/>
      </c>
      <c r="U156">
        <f>IF([2]Entry!$K$159="","",[2]Entry!$K$159)</f>
        <v/>
      </c>
      <c r="V156">
        <f>IF([2]Entry!$L$159="","",[2]Entry!$L$159)</f>
        <v/>
      </c>
      <c r="W156">
        <f>IF([2]Entry!$M$159="","",[2]Entry!$M$159)</f>
        <v/>
      </c>
      <c r="X156">
        <f>IF([2]Entry!$N$159="","",[2]Entry!$N$159)</f>
        <v/>
      </c>
      <c r="Y156">
        <f>IF([2]Entry!$R$159="","",[2]Entry!$R$159)</f>
        <v/>
      </c>
    </row>
    <row r="157">
      <c r="K157">
        <f>IF([1]Accounts!$D$158="","",[1]Accounts!$A$158)</f>
        <v/>
      </c>
      <c r="L157">
        <f>IF([1]Accounts!$D$158="","",[1]Accounts!$B$158)</f>
        <v/>
      </c>
      <c r="M157">
        <f>IF([1]Accounts!$D$158="","",[1]Accounts!$C$158)</f>
        <v/>
      </c>
      <c r="N157">
        <f>IF([1]Accounts!$D$158="","",[1]Accounts!$D$158)</f>
        <v/>
      </c>
      <c r="P157">
        <f>IF([2]Entry!$C$160="","",[2]Entry!$C$160)</f>
        <v/>
      </c>
      <c r="Q157">
        <f>IF([2]Entry!$D$160="","",[2]Entry!$D$160)</f>
        <v/>
      </c>
      <c r="R157">
        <f>IF([2]Entry!$E$160="","",[2]Entry!$E$160)</f>
        <v/>
      </c>
      <c r="S157">
        <f>IF([2]Entry!$G$160="","",[2]Entry!$G$160)</f>
        <v/>
      </c>
      <c r="T157">
        <f>IF([2]Entry!$J$160="","",[2]Entry!$J$160)</f>
        <v/>
      </c>
      <c r="U157">
        <f>IF([2]Entry!$K$160="","",[2]Entry!$K$160)</f>
        <v/>
      </c>
      <c r="V157">
        <f>IF([2]Entry!$L$160="","",[2]Entry!$L$160)</f>
        <v/>
      </c>
      <c r="W157">
        <f>IF([2]Entry!$M$160="","",[2]Entry!$M$160)</f>
        <v/>
      </c>
      <c r="X157">
        <f>IF([2]Entry!$N$160="","",[2]Entry!$N$160)</f>
        <v/>
      </c>
      <c r="Y157">
        <f>IF([2]Entry!$R$160="","",[2]Entry!$R$160)</f>
        <v/>
      </c>
    </row>
    <row r="158">
      <c r="K158">
        <f>IF([1]Accounts!$D$159="","",[1]Accounts!$A$159)</f>
        <v/>
      </c>
      <c r="L158">
        <f>IF([1]Accounts!$D$159="","",[1]Accounts!$B$159)</f>
        <v/>
      </c>
      <c r="M158">
        <f>IF([1]Accounts!$D$159="","",[1]Accounts!$C$159)</f>
        <v/>
      </c>
      <c r="N158">
        <f>IF([1]Accounts!$D$159="","",[1]Accounts!$D$159)</f>
        <v/>
      </c>
      <c r="P158">
        <f>IF([2]Entry!$C$161="","",[2]Entry!$C$161)</f>
        <v/>
      </c>
      <c r="Q158">
        <f>IF([2]Entry!$D$161="","",[2]Entry!$D$161)</f>
        <v/>
      </c>
      <c r="R158">
        <f>IF([2]Entry!$E$161="","",[2]Entry!$E$161)</f>
        <v/>
      </c>
      <c r="S158">
        <f>IF([2]Entry!$G$161="","",[2]Entry!$G$161)</f>
        <v/>
      </c>
      <c r="T158">
        <f>IF([2]Entry!$J$161="","",[2]Entry!$J$161)</f>
        <v/>
      </c>
      <c r="U158">
        <f>IF([2]Entry!$K$161="","",[2]Entry!$K$161)</f>
        <v/>
      </c>
      <c r="V158">
        <f>IF([2]Entry!$L$161="","",[2]Entry!$L$161)</f>
        <v/>
      </c>
      <c r="W158">
        <f>IF([2]Entry!$M$161="","",[2]Entry!$M$161)</f>
        <v/>
      </c>
      <c r="X158">
        <f>IF([2]Entry!$N$161="","",[2]Entry!$N$161)</f>
        <v/>
      </c>
      <c r="Y158">
        <f>IF([2]Entry!$R$161="","",[2]Entry!$R$161)</f>
        <v/>
      </c>
    </row>
    <row r="159">
      <c r="K159">
        <f>IF([1]Accounts!$D$160="","",[1]Accounts!$A$160)</f>
        <v/>
      </c>
      <c r="L159">
        <f>IF([1]Accounts!$D$160="","",[1]Accounts!$B$160)</f>
        <v/>
      </c>
      <c r="M159">
        <f>IF([1]Accounts!$D$160="","",[1]Accounts!$C$160)</f>
        <v/>
      </c>
      <c r="N159">
        <f>IF([1]Accounts!$D$160="","",[1]Accounts!$D$160)</f>
        <v/>
      </c>
      <c r="P159">
        <f>IF([2]Entry!$C$162="","",[2]Entry!$C$162)</f>
        <v/>
      </c>
      <c r="Q159">
        <f>IF([2]Entry!$D$162="","",[2]Entry!$D$162)</f>
        <v/>
      </c>
      <c r="R159">
        <f>IF([2]Entry!$E$162="","",[2]Entry!$E$162)</f>
        <v/>
      </c>
      <c r="S159">
        <f>IF([2]Entry!$G$162="","",[2]Entry!$G$162)</f>
        <v/>
      </c>
      <c r="T159">
        <f>IF([2]Entry!$J$162="","",[2]Entry!$J$162)</f>
        <v/>
      </c>
      <c r="U159">
        <f>IF([2]Entry!$K$162="","",[2]Entry!$K$162)</f>
        <v/>
      </c>
      <c r="V159">
        <f>IF([2]Entry!$L$162="","",[2]Entry!$L$162)</f>
        <v/>
      </c>
      <c r="W159">
        <f>IF([2]Entry!$M$162="","",[2]Entry!$M$162)</f>
        <v/>
      </c>
      <c r="X159">
        <f>IF([2]Entry!$N$162="","",[2]Entry!$N$162)</f>
        <v/>
      </c>
      <c r="Y159">
        <f>IF([2]Entry!$R$162="","",[2]Entry!$R$162)</f>
        <v/>
      </c>
    </row>
    <row r="160">
      <c r="K160">
        <f>IF([1]Accounts!$D$161="","",[1]Accounts!$A$161)</f>
        <v/>
      </c>
      <c r="L160">
        <f>IF([1]Accounts!$D$161="","",[1]Accounts!$B$161)</f>
        <v/>
      </c>
      <c r="M160">
        <f>IF([1]Accounts!$D$161="","",[1]Accounts!$C$161)</f>
        <v/>
      </c>
      <c r="N160">
        <f>IF([1]Accounts!$D$161="","",[1]Accounts!$D$161)</f>
        <v/>
      </c>
      <c r="P160">
        <f>IF([2]Entry!$C$163="","",[2]Entry!$C$163)</f>
        <v/>
      </c>
      <c r="Q160">
        <f>IF([2]Entry!$D$163="","",[2]Entry!$D$163)</f>
        <v/>
      </c>
      <c r="R160">
        <f>IF([2]Entry!$E$163="","",[2]Entry!$E$163)</f>
        <v/>
      </c>
      <c r="S160">
        <f>IF([2]Entry!$G$163="","",[2]Entry!$G$163)</f>
        <v/>
      </c>
      <c r="T160">
        <f>IF([2]Entry!$J$163="","",[2]Entry!$J$163)</f>
        <v/>
      </c>
      <c r="U160">
        <f>IF([2]Entry!$K$163="","",[2]Entry!$K$163)</f>
        <v/>
      </c>
      <c r="V160">
        <f>IF([2]Entry!$L$163="","",[2]Entry!$L$163)</f>
        <v/>
      </c>
      <c r="W160">
        <f>IF([2]Entry!$M$163="","",[2]Entry!$M$163)</f>
        <v/>
      </c>
      <c r="X160">
        <f>IF([2]Entry!$N$163="","",[2]Entry!$N$163)</f>
        <v/>
      </c>
      <c r="Y160">
        <f>IF([2]Entry!$R$163="","",[2]Entry!$R$163)</f>
        <v/>
      </c>
    </row>
    <row r="161">
      <c r="K161">
        <f>IF([1]Accounts!$D$162="","",[1]Accounts!$A$162)</f>
        <v/>
      </c>
      <c r="L161">
        <f>IF([1]Accounts!$D$162="","",[1]Accounts!$B$162)</f>
        <v/>
      </c>
      <c r="M161">
        <f>IF([1]Accounts!$D$162="","",[1]Accounts!$C$162)</f>
        <v/>
      </c>
      <c r="N161">
        <f>IF([1]Accounts!$D$162="","",[1]Accounts!$D$162)</f>
        <v/>
      </c>
      <c r="P161">
        <f>IF([2]Entry!$C$164="","",[2]Entry!$C$164)</f>
        <v/>
      </c>
      <c r="Q161">
        <f>IF([2]Entry!$D$164="","",[2]Entry!$D$164)</f>
        <v/>
      </c>
      <c r="R161">
        <f>IF([2]Entry!$E$164="","",[2]Entry!$E$164)</f>
        <v/>
      </c>
      <c r="S161">
        <f>IF([2]Entry!$G$164="","",[2]Entry!$G$164)</f>
        <v/>
      </c>
      <c r="T161">
        <f>IF([2]Entry!$J$164="","",[2]Entry!$J$164)</f>
        <v/>
      </c>
      <c r="U161">
        <f>IF([2]Entry!$K$164="","",[2]Entry!$K$164)</f>
        <v/>
      </c>
      <c r="V161">
        <f>IF([2]Entry!$L$164="","",[2]Entry!$L$164)</f>
        <v/>
      </c>
      <c r="W161">
        <f>IF([2]Entry!$M$164="","",[2]Entry!$M$164)</f>
        <v/>
      </c>
      <c r="X161">
        <f>IF([2]Entry!$N$164="","",[2]Entry!$N$164)</f>
        <v/>
      </c>
      <c r="Y161">
        <f>IF([2]Entry!$R$164="","",[2]Entry!$R$164)</f>
        <v/>
      </c>
    </row>
    <row r="162">
      <c r="K162">
        <f>IF([1]Accounts!$D$163="","",[1]Accounts!$A$163)</f>
        <v/>
      </c>
      <c r="L162">
        <f>IF([1]Accounts!$D$163="","",[1]Accounts!$B$163)</f>
        <v/>
      </c>
      <c r="M162">
        <f>IF([1]Accounts!$D$163="","",[1]Accounts!$C$163)</f>
        <v/>
      </c>
      <c r="N162">
        <f>IF([1]Accounts!$D$163="","",[1]Accounts!$D$163)</f>
        <v/>
      </c>
      <c r="P162">
        <f>IF([2]Entry!$C$165="","",[2]Entry!$C$165)</f>
        <v/>
      </c>
      <c r="Q162">
        <f>IF([2]Entry!$D$165="","",[2]Entry!$D$165)</f>
        <v/>
      </c>
      <c r="R162">
        <f>IF([2]Entry!$E$165="","",[2]Entry!$E$165)</f>
        <v/>
      </c>
      <c r="S162">
        <f>IF([2]Entry!$G$165="","",[2]Entry!$G$165)</f>
        <v/>
      </c>
      <c r="T162">
        <f>IF([2]Entry!$J$165="","",[2]Entry!$J$165)</f>
        <v/>
      </c>
      <c r="U162">
        <f>IF([2]Entry!$K$165="","",[2]Entry!$K$165)</f>
        <v/>
      </c>
      <c r="V162">
        <f>IF([2]Entry!$L$165="","",[2]Entry!$L$165)</f>
        <v/>
      </c>
      <c r="W162">
        <f>IF([2]Entry!$M$165="","",[2]Entry!$M$165)</f>
        <v/>
      </c>
      <c r="X162">
        <f>IF([2]Entry!$N$165="","",[2]Entry!$N$165)</f>
        <v/>
      </c>
      <c r="Y162">
        <f>IF([2]Entry!$R$165="","",[2]Entry!$R$165)</f>
        <v/>
      </c>
    </row>
    <row r="163">
      <c r="K163">
        <f>IF([1]Accounts!$D$164="","",[1]Accounts!$A$164)</f>
        <v/>
      </c>
      <c r="L163">
        <f>IF([1]Accounts!$D$164="","",[1]Accounts!$B$164)</f>
        <v/>
      </c>
      <c r="M163">
        <f>IF([1]Accounts!$D$164="","",[1]Accounts!$C$164)</f>
        <v/>
      </c>
      <c r="N163">
        <f>IF([1]Accounts!$D$164="","",[1]Accounts!$D$164)</f>
        <v/>
      </c>
      <c r="P163">
        <f>IF([2]Entry!$C$166="","",[2]Entry!$C$166)</f>
        <v/>
      </c>
      <c r="Q163">
        <f>IF([2]Entry!$D$166="","",[2]Entry!$D$166)</f>
        <v/>
      </c>
      <c r="R163">
        <f>IF([2]Entry!$E$166="","",[2]Entry!$E$166)</f>
        <v/>
      </c>
      <c r="S163">
        <f>IF([2]Entry!$G$166="","",[2]Entry!$G$166)</f>
        <v/>
      </c>
      <c r="T163">
        <f>IF([2]Entry!$J$166="","",[2]Entry!$J$166)</f>
        <v/>
      </c>
      <c r="U163">
        <f>IF([2]Entry!$K$166="","",[2]Entry!$K$166)</f>
        <v/>
      </c>
      <c r="V163">
        <f>IF([2]Entry!$L$166="","",[2]Entry!$L$166)</f>
        <v/>
      </c>
      <c r="W163">
        <f>IF([2]Entry!$M$166="","",[2]Entry!$M$166)</f>
        <v/>
      </c>
      <c r="X163">
        <f>IF([2]Entry!$N$166="","",[2]Entry!$N$166)</f>
        <v/>
      </c>
      <c r="Y163">
        <f>IF([2]Entry!$R$166="","",[2]Entry!$R$166)</f>
        <v/>
      </c>
    </row>
    <row r="164">
      <c r="K164">
        <f>IF([1]Accounts!$D$165="","",[1]Accounts!$A$165)</f>
        <v/>
      </c>
      <c r="L164">
        <f>IF([1]Accounts!$D$165="","",[1]Accounts!$B$165)</f>
        <v/>
      </c>
      <c r="M164">
        <f>IF([1]Accounts!$D$165="","",[1]Accounts!$C$165)</f>
        <v/>
      </c>
      <c r="N164">
        <f>IF([1]Accounts!$D$165="","",[1]Accounts!$D$165)</f>
        <v/>
      </c>
      <c r="P164">
        <f>IF([2]Entry!$C$167="","",[2]Entry!$C$167)</f>
        <v/>
      </c>
      <c r="Q164">
        <f>IF([2]Entry!$D$167="","",[2]Entry!$D$167)</f>
        <v/>
      </c>
      <c r="R164">
        <f>IF([2]Entry!$E$167="","",[2]Entry!$E$167)</f>
        <v/>
      </c>
      <c r="S164">
        <f>IF([2]Entry!$G$167="","",[2]Entry!$G$167)</f>
        <v/>
      </c>
      <c r="T164">
        <f>IF([2]Entry!$J$167="","",[2]Entry!$J$167)</f>
        <v/>
      </c>
      <c r="U164">
        <f>IF([2]Entry!$K$167="","",[2]Entry!$K$167)</f>
        <v/>
      </c>
      <c r="V164">
        <f>IF([2]Entry!$L$167="","",[2]Entry!$L$167)</f>
        <v/>
      </c>
      <c r="W164">
        <f>IF([2]Entry!$M$167="","",[2]Entry!$M$167)</f>
        <v/>
      </c>
      <c r="X164">
        <f>IF([2]Entry!$N$167="","",[2]Entry!$N$167)</f>
        <v/>
      </c>
      <c r="Y164">
        <f>IF([2]Entry!$R$167="","",[2]Entry!$R$167)</f>
        <v/>
      </c>
    </row>
    <row r="165">
      <c r="K165">
        <f>IF([1]Accounts!$D$166="","",[1]Accounts!$A$166)</f>
        <v/>
      </c>
      <c r="L165">
        <f>IF([1]Accounts!$D$166="","",[1]Accounts!$B$166)</f>
        <v/>
      </c>
      <c r="M165">
        <f>IF([1]Accounts!$D$166="","",[1]Accounts!$C$166)</f>
        <v/>
      </c>
      <c r="N165">
        <f>IF([1]Accounts!$D$166="","",[1]Accounts!$D$166)</f>
        <v/>
      </c>
      <c r="P165">
        <f>IF([2]Entry!$C$168="","",[2]Entry!$C$168)</f>
        <v/>
      </c>
      <c r="Q165">
        <f>IF([2]Entry!$D$168="","",[2]Entry!$D$168)</f>
        <v/>
      </c>
      <c r="R165">
        <f>IF([2]Entry!$E$168="","",[2]Entry!$E$168)</f>
        <v/>
      </c>
      <c r="S165">
        <f>IF([2]Entry!$G$168="","",[2]Entry!$G$168)</f>
        <v/>
      </c>
      <c r="T165">
        <f>IF([2]Entry!$J$168="","",[2]Entry!$J$168)</f>
        <v/>
      </c>
      <c r="U165">
        <f>IF([2]Entry!$K$168="","",[2]Entry!$K$168)</f>
        <v/>
      </c>
      <c r="V165">
        <f>IF([2]Entry!$L$168="","",[2]Entry!$L$168)</f>
        <v/>
      </c>
      <c r="W165">
        <f>IF([2]Entry!$M$168="","",[2]Entry!$M$168)</f>
        <v/>
      </c>
      <c r="X165">
        <f>IF([2]Entry!$N$168="","",[2]Entry!$N$168)</f>
        <v/>
      </c>
      <c r="Y165">
        <f>IF([2]Entry!$R$168="","",[2]Entry!$R$168)</f>
        <v/>
      </c>
    </row>
    <row r="166">
      <c r="K166">
        <f>IF([1]Accounts!$D$167="","",[1]Accounts!$A$167)</f>
        <v/>
      </c>
      <c r="L166">
        <f>IF([1]Accounts!$D$167="","",[1]Accounts!$B$167)</f>
        <v/>
      </c>
      <c r="M166">
        <f>IF([1]Accounts!$D$167="","",[1]Accounts!$C$167)</f>
        <v/>
      </c>
      <c r="N166">
        <f>IF([1]Accounts!$D$167="","",[1]Accounts!$D$167)</f>
        <v/>
      </c>
      <c r="P166">
        <f>IF([2]Entry!$C$169="","",[2]Entry!$C$169)</f>
        <v/>
      </c>
      <c r="Q166">
        <f>IF([2]Entry!$D$169="","",[2]Entry!$D$169)</f>
        <v/>
      </c>
      <c r="R166">
        <f>IF([2]Entry!$E$169="","",[2]Entry!$E$169)</f>
        <v/>
      </c>
      <c r="S166">
        <f>IF([2]Entry!$G$169="","",[2]Entry!$G$169)</f>
        <v/>
      </c>
      <c r="T166">
        <f>IF([2]Entry!$J$169="","",[2]Entry!$J$169)</f>
        <v/>
      </c>
      <c r="U166">
        <f>IF([2]Entry!$K$169="","",[2]Entry!$K$169)</f>
        <v/>
      </c>
      <c r="V166">
        <f>IF([2]Entry!$L$169="","",[2]Entry!$L$169)</f>
        <v/>
      </c>
      <c r="W166">
        <f>IF([2]Entry!$M$169="","",[2]Entry!$M$169)</f>
        <v/>
      </c>
      <c r="X166">
        <f>IF([2]Entry!$N$169="","",[2]Entry!$N$169)</f>
        <v/>
      </c>
      <c r="Y166">
        <f>IF([2]Entry!$R$169="","",[2]Entry!$R$169)</f>
        <v/>
      </c>
    </row>
    <row r="167">
      <c r="K167">
        <f>IF([1]Accounts!$D$168="","",[1]Accounts!$A$168)</f>
        <v/>
      </c>
      <c r="L167">
        <f>IF([1]Accounts!$D$168="","",[1]Accounts!$B$168)</f>
        <v/>
      </c>
      <c r="M167">
        <f>IF([1]Accounts!$D$168="","",[1]Accounts!$C$168)</f>
        <v/>
      </c>
      <c r="N167">
        <f>IF([1]Accounts!$D$168="","",[1]Accounts!$D$168)</f>
        <v/>
      </c>
      <c r="P167">
        <f>IF([2]Entry!$C$170="","",[2]Entry!$C$170)</f>
        <v/>
      </c>
      <c r="Q167">
        <f>IF([2]Entry!$D$170="","",[2]Entry!$D$170)</f>
        <v/>
      </c>
      <c r="R167">
        <f>IF([2]Entry!$E$170="","",[2]Entry!$E$170)</f>
        <v/>
      </c>
      <c r="S167">
        <f>IF([2]Entry!$G$170="","",[2]Entry!$G$170)</f>
        <v/>
      </c>
      <c r="T167">
        <f>IF([2]Entry!$J$170="","",[2]Entry!$J$170)</f>
        <v/>
      </c>
      <c r="U167">
        <f>IF([2]Entry!$K$170="","",[2]Entry!$K$170)</f>
        <v/>
      </c>
      <c r="V167">
        <f>IF([2]Entry!$L$170="","",[2]Entry!$L$170)</f>
        <v/>
      </c>
      <c r="W167">
        <f>IF([2]Entry!$M$170="","",[2]Entry!$M$170)</f>
        <v/>
      </c>
      <c r="X167">
        <f>IF([2]Entry!$N$170="","",[2]Entry!$N$170)</f>
        <v/>
      </c>
      <c r="Y167">
        <f>IF([2]Entry!$R$170="","",[2]Entry!$R$170)</f>
        <v/>
      </c>
    </row>
    <row r="168">
      <c r="K168">
        <f>IF([1]Accounts!$D$169="","",[1]Accounts!$A$169)</f>
        <v/>
      </c>
      <c r="L168">
        <f>IF([1]Accounts!$D$169="","",[1]Accounts!$B$169)</f>
        <v/>
      </c>
      <c r="M168">
        <f>IF([1]Accounts!$D$169="","",[1]Accounts!$C$169)</f>
        <v/>
      </c>
      <c r="N168">
        <f>IF([1]Accounts!$D$169="","",[1]Accounts!$D$169)</f>
        <v/>
      </c>
      <c r="P168">
        <f>IF([2]Entry!$C$171="","",[2]Entry!$C$171)</f>
        <v/>
      </c>
      <c r="Q168">
        <f>IF([2]Entry!$D$171="","",[2]Entry!$D$171)</f>
        <v/>
      </c>
      <c r="R168">
        <f>IF([2]Entry!$E$171="","",[2]Entry!$E$171)</f>
        <v/>
      </c>
      <c r="S168">
        <f>IF([2]Entry!$G$171="","",[2]Entry!$G$171)</f>
        <v/>
      </c>
      <c r="T168">
        <f>IF([2]Entry!$J$171="","",[2]Entry!$J$171)</f>
        <v/>
      </c>
      <c r="U168">
        <f>IF([2]Entry!$K$171="","",[2]Entry!$K$171)</f>
        <v/>
      </c>
      <c r="V168">
        <f>IF([2]Entry!$L$171="","",[2]Entry!$L$171)</f>
        <v/>
      </c>
      <c r="W168">
        <f>IF([2]Entry!$M$171="","",[2]Entry!$M$171)</f>
        <v/>
      </c>
      <c r="X168">
        <f>IF([2]Entry!$N$171="","",[2]Entry!$N$171)</f>
        <v/>
      </c>
      <c r="Y168">
        <f>IF([2]Entry!$R$171="","",[2]Entry!$R$171)</f>
        <v/>
      </c>
    </row>
    <row r="169">
      <c r="K169">
        <f>IF([1]Accounts!$D$170="","",[1]Accounts!$A$170)</f>
        <v/>
      </c>
      <c r="L169">
        <f>IF([1]Accounts!$D$170="","",[1]Accounts!$B$170)</f>
        <v/>
      </c>
      <c r="M169">
        <f>IF([1]Accounts!$D$170="","",[1]Accounts!$C$170)</f>
        <v/>
      </c>
      <c r="N169">
        <f>IF([1]Accounts!$D$170="","",[1]Accounts!$D$170)</f>
        <v/>
      </c>
      <c r="P169">
        <f>IF([2]Entry!$C$172="","",[2]Entry!$C$172)</f>
        <v/>
      </c>
      <c r="Q169">
        <f>IF([2]Entry!$D$172="","",[2]Entry!$D$172)</f>
        <v/>
      </c>
      <c r="R169">
        <f>IF([2]Entry!$E$172="","",[2]Entry!$E$172)</f>
        <v/>
      </c>
      <c r="S169">
        <f>IF([2]Entry!$G$172="","",[2]Entry!$G$172)</f>
        <v/>
      </c>
      <c r="T169">
        <f>IF([2]Entry!$J$172="","",[2]Entry!$J$172)</f>
        <v/>
      </c>
      <c r="U169">
        <f>IF([2]Entry!$K$172="","",[2]Entry!$K$172)</f>
        <v/>
      </c>
      <c r="V169">
        <f>IF([2]Entry!$L$172="","",[2]Entry!$L$172)</f>
        <v/>
      </c>
      <c r="W169">
        <f>IF([2]Entry!$M$172="","",[2]Entry!$M$172)</f>
        <v/>
      </c>
      <c r="X169">
        <f>IF([2]Entry!$N$172="","",[2]Entry!$N$172)</f>
        <v/>
      </c>
      <c r="Y169">
        <f>IF([2]Entry!$R$172="","",[2]Entry!$R$172)</f>
        <v/>
      </c>
    </row>
    <row r="170">
      <c r="K170">
        <f>IF([1]Accounts!$D$171="","",[1]Accounts!$A$171)</f>
        <v/>
      </c>
      <c r="L170">
        <f>IF([1]Accounts!$D$171="","",[1]Accounts!$B$171)</f>
        <v/>
      </c>
      <c r="M170">
        <f>IF([1]Accounts!$D$171="","",[1]Accounts!$C$171)</f>
        <v/>
      </c>
      <c r="N170">
        <f>IF([1]Accounts!$D$171="","",[1]Accounts!$D$171)</f>
        <v/>
      </c>
      <c r="P170">
        <f>IF([2]Entry!$C$173="","",[2]Entry!$C$173)</f>
        <v/>
      </c>
      <c r="Q170">
        <f>IF([2]Entry!$D$173="","",[2]Entry!$D$173)</f>
        <v/>
      </c>
      <c r="R170">
        <f>IF([2]Entry!$E$173="","",[2]Entry!$E$173)</f>
        <v/>
      </c>
      <c r="S170">
        <f>IF([2]Entry!$G$173="","",[2]Entry!$G$173)</f>
        <v/>
      </c>
      <c r="T170">
        <f>IF([2]Entry!$J$173="","",[2]Entry!$J$173)</f>
        <v/>
      </c>
      <c r="U170">
        <f>IF([2]Entry!$K$173="","",[2]Entry!$K$173)</f>
        <v/>
      </c>
      <c r="V170">
        <f>IF([2]Entry!$L$173="","",[2]Entry!$L$173)</f>
        <v/>
      </c>
      <c r="W170">
        <f>IF([2]Entry!$M$173="","",[2]Entry!$M$173)</f>
        <v/>
      </c>
      <c r="X170">
        <f>IF([2]Entry!$N$173="","",[2]Entry!$N$173)</f>
        <v/>
      </c>
      <c r="Y170">
        <f>IF([2]Entry!$R$173="","",[2]Entry!$R$173)</f>
        <v/>
      </c>
    </row>
    <row r="171">
      <c r="K171">
        <f>IF([1]Accounts!$D$172="","",[1]Accounts!$A$172)</f>
        <v/>
      </c>
      <c r="L171">
        <f>IF([1]Accounts!$D$172="","",[1]Accounts!$B$172)</f>
        <v/>
      </c>
      <c r="M171">
        <f>IF([1]Accounts!$D$172="","",[1]Accounts!$C$172)</f>
        <v/>
      </c>
      <c r="N171">
        <f>IF([1]Accounts!$D$172="","",[1]Accounts!$D$172)</f>
        <v/>
      </c>
      <c r="P171">
        <f>IF([2]Entry!$C$174="","",[2]Entry!$C$174)</f>
        <v/>
      </c>
      <c r="Q171">
        <f>IF([2]Entry!$D$174="","",[2]Entry!$D$174)</f>
        <v/>
      </c>
      <c r="R171">
        <f>IF([2]Entry!$E$174="","",[2]Entry!$E$174)</f>
        <v/>
      </c>
      <c r="S171">
        <f>IF([2]Entry!$G$174="","",[2]Entry!$G$174)</f>
        <v/>
      </c>
      <c r="T171">
        <f>IF([2]Entry!$J$174="","",[2]Entry!$J$174)</f>
        <v/>
      </c>
      <c r="U171">
        <f>IF([2]Entry!$K$174="","",[2]Entry!$K$174)</f>
        <v/>
      </c>
      <c r="V171">
        <f>IF([2]Entry!$L$174="","",[2]Entry!$L$174)</f>
        <v/>
      </c>
      <c r="W171">
        <f>IF([2]Entry!$M$174="","",[2]Entry!$M$174)</f>
        <v/>
      </c>
      <c r="X171">
        <f>IF([2]Entry!$N$174="","",[2]Entry!$N$174)</f>
        <v/>
      </c>
      <c r="Y171">
        <f>IF([2]Entry!$R$174="","",[2]Entry!$R$174)</f>
        <v/>
      </c>
    </row>
    <row r="172">
      <c r="K172">
        <f>IF([1]Accounts!$D$173="","",[1]Accounts!$A$173)</f>
        <v/>
      </c>
      <c r="L172">
        <f>IF([1]Accounts!$D$173="","",[1]Accounts!$B$173)</f>
        <v/>
      </c>
      <c r="M172">
        <f>IF([1]Accounts!$D$173="","",[1]Accounts!$C$173)</f>
        <v/>
      </c>
      <c r="N172">
        <f>IF([1]Accounts!$D$173="","",[1]Accounts!$D$173)</f>
        <v/>
      </c>
      <c r="P172">
        <f>IF([2]Entry!$C$175="","",[2]Entry!$C$175)</f>
        <v/>
      </c>
      <c r="Q172">
        <f>IF([2]Entry!$D$175="","",[2]Entry!$D$175)</f>
        <v/>
      </c>
      <c r="R172">
        <f>IF([2]Entry!$E$175="","",[2]Entry!$E$175)</f>
        <v/>
      </c>
      <c r="S172">
        <f>IF([2]Entry!$G$175="","",[2]Entry!$G$175)</f>
        <v/>
      </c>
      <c r="T172">
        <f>IF([2]Entry!$J$175="","",[2]Entry!$J$175)</f>
        <v/>
      </c>
      <c r="U172">
        <f>IF([2]Entry!$K$175="","",[2]Entry!$K$175)</f>
        <v/>
      </c>
      <c r="V172">
        <f>IF([2]Entry!$L$175="","",[2]Entry!$L$175)</f>
        <v/>
      </c>
      <c r="W172">
        <f>IF([2]Entry!$M$175="","",[2]Entry!$M$175)</f>
        <v/>
      </c>
      <c r="X172">
        <f>IF([2]Entry!$N$175="","",[2]Entry!$N$175)</f>
        <v/>
      </c>
      <c r="Y172">
        <f>IF([2]Entry!$R$175="","",[2]Entry!$R$175)</f>
        <v/>
      </c>
    </row>
    <row r="173">
      <c r="K173">
        <f>IF([1]Accounts!$D$174="","",[1]Accounts!$A$174)</f>
        <v/>
      </c>
      <c r="L173">
        <f>IF([1]Accounts!$D$174="","",[1]Accounts!$B$174)</f>
        <v/>
      </c>
      <c r="M173">
        <f>IF([1]Accounts!$D$174="","",[1]Accounts!$C$174)</f>
        <v/>
      </c>
      <c r="N173">
        <f>IF([1]Accounts!$D$174="","",[1]Accounts!$D$174)</f>
        <v/>
      </c>
      <c r="P173">
        <f>IF([2]Entry!$C$176="","",[2]Entry!$C$176)</f>
        <v/>
      </c>
      <c r="Q173">
        <f>IF([2]Entry!$D$176="","",[2]Entry!$D$176)</f>
        <v/>
      </c>
      <c r="R173">
        <f>IF([2]Entry!$E$176="","",[2]Entry!$E$176)</f>
        <v/>
      </c>
      <c r="S173">
        <f>IF([2]Entry!$G$176="","",[2]Entry!$G$176)</f>
        <v/>
      </c>
      <c r="T173">
        <f>IF([2]Entry!$J$176="","",[2]Entry!$J$176)</f>
        <v/>
      </c>
      <c r="U173">
        <f>IF([2]Entry!$K$176="","",[2]Entry!$K$176)</f>
        <v/>
      </c>
      <c r="V173">
        <f>IF([2]Entry!$L$176="","",[2]Entry!$L$176)</f>
        <v/>
      </c>
      <c r="W173">
        <f>IF([2]Entry!$M$176="","",[2]Entry!$M$176)</f>
        <v/>
      </c>
      <c r="X173">
        <f>IF([2]Entry!$N$176="","",[2]Entry!$N$176)</f>
        <v/>
      </c>
      <c r="Y173">
        <f>IF([2]Entry!$R$176="","",[2]Entry!$R$176)</f>
        <v/>
      </c>
    </row>
    <row r="174">
      <c r="K174">
        <f>IF([1]Accounts!$D$175="","",[1]Accounts!$A$175)</f>
        <v/>
      </c>
      <c r="L174">
        <f>IF([1]Accounts!$D$175="","",[1]Accounts!$B$175)</f>
        <v/>
      </c>
      <c r="M174">
        <f>IF([1]Accounts!$D$175="","",[1]Accounts!$C$175)</f>
        <v/>
      </c>
      <c r="N174">
        <f>IF([1]Accounts!$D$175="","",[1]Accounts!$D$175)</f>
        <v/>
      </c>
      <c r="P174">
        <f>IF([2]Entry!$C$177="","",[2]Entry!$C$177)</f>
        <v/>
      </c>
      <c r="Q174">
        <f>IF([2]Entry!$D$177="","",[2]Entry!$D$177)</f>
        <v/>
      </c>
      <c r="R174">
        <f>IF([2]Entry!$E$177="","",[2]Entry!$E$177)</f>
        <v/>
      </c>
      <c r="S174">
        <f>IF([2]Entry!$G$177="","",[2]Entry!$G$177)</f>
        <v/>
      </c>
      <c r="T174">
        <f>IF([2]Entry!$J$177="","",[2]Entry!$J$177)</f>
        <v/>
      </c>
      <c r="U174">
        <f>IF([2]Entry!$K$177="","",[2]Entry!$K$177)</f>
        <v/>
      </c>
      <c r="V174">
        <f>IF([2]Entry!$L$177="","",[2]Entry!$L$177)</f>
        <v/>
      </c>
      <c r="W174">
        <f>IF([2]Entry!$M$177="","",[2]Entry!$M$177)</f>
        <v/>
      </c>
      <c r="X174">
        <f>IF([2]Entry!$N$177="","",[2]Entry!$N$177)</f>
        <v/>
      </c>
      <c r="Y174">
        <f>IF([2]Entry!$R$177="","",[2]Entry!$R$177)</f>
        <v/>
      </c>
    </row>
    <row r="175">
      <c r="K175">
        <f>IF([1]Accounts!$D$176="","",[1]Accounts!$A$176)</f>
        <v/>
      </c>
      <c r="L175">
        <f>IF([1]Accounts!$D$176="","",[1]Accounts!$B$176)</f>
        <v/>
      </c>
      <c r="M175">
        <f>IF([1]Accounts!$D$176="","",[1]Accounts!$C$176)</f>
        <v/>
      </c>
      <c r="N175">
        <f>IF([1]Accounts!$D$176="","",[1]Accounts!$D$176)</f>
        <v/>
      </c>
      <c r="P175">
        <f>IF([2]Entry!$C$178="","",[2]Entry!$C$178)</f>
        <v/>
      </c>
      <c r="Q175">
        <f>IF([2]Entry!$D$178="","",[2]Entry!$D$178)</f>
        <v/>
      </c>
      <c r="R175">
        <f>IF([2]Entry!$E$178="","",[2]Entry!$E$178)</f>
        <v/>
      </c>
      <c r="S175">
        <f>IF([2]Entry!$G$178="","",[2]Entry!$G$178)</f>
        <v/>
      </c>
      <c r="T175">
        <f>IF([2]Entry!$J$178="","",[2]Entry!$J$178)</f>
        <v/>
      </c>
      <c r="U175">
        <f>IF([2]Entry!$K$178="","",[2]Entry!$K$178)</f>
        <v/>
      </c>
      <c r="V175">
        <f>IF([2]Entry!$L$178="","",[2]Entry!$L$178)</f>
        <v/>
      </c>
      <c r="W175">
        <f>IF([2]Entry!$M$178="","",[2]Entry!$M$178)</f>
        <v/>
      </c>
      <c r="X175">
        <f>IF([2]Entry!$N$178="","",[2]Entry!$N$178)</f>
        <v/>
      </c>
      <c r="Y175">
        <f>IF([2]Entry!$R$178="","",[2]Entry!$R$178)</f>
        <v/>
      </c>
    </row>
    <row r="176">
      <c r="K176">
        <f>IF([1]Accounts!$D$177="","",[1]Accounts!$A$177)</f>
        <v/>
      </c>
      <c r="L176">
        <f>IF([1]Accounts!$D$177="","",[1]Accounts!$B$177)</f>
        <v/>
      </c>
      <c r="M176">
        <f>IF([1]Accounts!$D$177="","",[1]Accounts!$C$177)</f>
        <v/>
      </c>
      <c r="N176">
        <f>IF([1]Accounts!$D$177="","",[1]Accounts!$D$177)</f>
        <v/>
      </c>
      <c r="P176">
        <f>IF([2]Entry!$C$179="","",[2]Entry!$C$179)</f>
        <v/>
      </c>
      <c r="Q176">
        <f>IF([2]Entry!$D$179="","",[2]Entry!$D$179)</f>
        <v/>
      </c>
      <c r="R176">
        <f>IF([2]Entry!$E$179="","",[2]Entry!$E$179)</f>
        <v/>
      </c>
      <c r="S176">
        <f>IF([2]Entry!$G$179="","",[2]Entry!$G$179)</f>
        <v/>
      </c>
      <c r="T176">
        <f>IF([2]Entry!$J$179="","",[2]Entry!$J$179)</f>
        <v/>
      </c>
      <c r="U176">
        <f>IF([2]Entry!$K$179="","",[2]Entry!$K$179)</f>
        <v/>
      </c>
      <c r="V176">
        <f>IF([2]Entry!$L$179="","",[2]Entry!$L$179)</f>
        <v/>
      </c>
      <c r="W176">
        <f>IF([2]Entry!$M$179="","",[2]Entry!$M$179)</f>
        <v/>
      </c>
      <c r="X176">
        <f>IF([2]Entry!$N$179="","",[2]Entry!$N$179)</f>
        <v/>
      </c>
      <c r="Y176">
        <f>IF([2]Entry!$R$179="","",[2]Entry!$R$179)</f>
        <v/>
      </c>
    </row>
    <row r="177">
      <c r="K177">
        <f>IF([1]Accounts!$D$178="","",[1]Accounts!$A$178)</f>
        <v/>
      </c>
      <c r="L177">
        <f>IF([1]Accounts!$D$178="","",[1]Accounts!$B$178)</f>
        <v/>
      </c>
      <c r="M177">
        <f>IF([1]Accounts!$D$178="","",[1]Accounts!$C$178)</f>
        <v/>
      </c>
      <c r="N177">
        <f>IF([1]Accounts!$D$178="","",[1]Accounts!$D$178)</f>
        <v/>
      </c>
      <c r="P177">
        <f>IF([2]Entry!$C$180="","",[2]Entry!$C$180)</f>
        <v/>
      </c>
      <c r="Q177">
        <f>IF([2]Entry!$D$180="","",[2]Entry!$D$180)</f>
        <v/>
      </c>
      <c r="R177">
        <f>IF([2]Entry!$E$180="","",[2]Entry!$E$180)</f>
        <v/>
      </c>
      <c r="S177">
        <f>IF([2]Entry!$G$180="","",[2]Entry!$G$180)</f>
        <v/>
      </c>
      <c r="T177">
        <f>IF([2]Entry!$J$180="","",[2]Entry!$J$180)</f>
        <v/>
      </c>
      <c r="U177">
        <f>IF([2]Entry!$K$180="","",[2]Entry!$K$180)</f>
        <v/>
      </c>
      <c r="V177">
        <f>IF([2]Entry!$L$180="","",[2]Entry!$L$180)</f>
        <v/>
      </c>
      <c r="W177">
        <f>IF([2]Entry!$M$180="","",[2]Entry!$M$180)</f>
        <v/>
      </c>
      <c r="X177">
        <f>IF([2]Entry!$N$180="","",[2]Entry!$N$180)</f>
        <v/>
      </c>
      <c r="Y177">
        <f>IF([2]Entry!$R$180="","",[2]Entry!$R$180)</f>
        <v/>
      </c>
    </row>
    <row r="178">
      <c r="K178">
        <f>IF([1]Accounts!$D$179="","",[1]Accounts!$A$179)</f>
        <v/>
      </c>
      <c r="L178">
        <f>IF([1]Accounts!$D$179="","",[1]Accounts!$B$179)</f>
        <v/>
      </c>
      <c r="M178">
        <f>IF([1]Accounts!$D$179="","",[1]Accounts!$C$179)</f>
        <v/>
      </c>
      <c r="N178">
        <f>IF([1]Accounts!$D$179="","",[1]Accounts!$D$179)</f>
        <v/>
      </c>
      <c r="P178">
        <f>IF([2]Entry!$C$181="","",[2]Entry!$C$181)</f>
        <v/>
      </c>
      <c r="Q178">
        <f>IF([2]Entry!$D$181="","",[2]Entry!$D$181)</f>
        <v/>
      </c>
      <c r="R178">
        <f>IF([2]Entry!$E$181="","",[2]Entry!$E$181)</f>
        <v/>
      </c>
      <c r="S178">
        <f>IF([2]Entry!$G$181="","",[2]Entry!$G$181)</f>
        <v/>
      </c>
      <c r="T178">
        <f>IF([2]Entry!$J$181="","",[2]Entry!$J$181)</f>
        <v/>
      </c>
      <c r="U178">
        <f>IF([2]Entry!$K$181="","",[2]Entry!$K$181)</f>
        <v/>
      </c>
      <c r="V178">
        <f>IF([2]Entry!$L$181="","",[2]Entry!$L$181)</f>
        <v/>
      </c>
      <c r="W178">
        <f>IF([2]Entry!$M$181="","",[2]Entry!$M$181)</f>
        <v/>
      </c>
      <c r="X178">
        <f>IF([2]Entry!$N$181="","",[2]Entry!$N$181)</f>
        <v/>
      </c>
      <c r="Y178">
        <f>IF([2]Entry!$R$181="","",[2]Entry!$R$181)</f>
        <v/>
      </c>
    </row>
    <row r="179">
      <c r="K179">
        <f>IF([1]Accounts!$D$180="","",[1]Accounts!$A$180)</f>
        <v/>
      </c>
      <c r="L179">
        <f>IF([1]Accounts!$D$180="","",[1]Accounts!$B$180)</f>
        <v/>
      </c>
      <c r="M179">
        <f>IF([1]Accounts!$D$180="","",[1]Accounts!$C$180)</f>
        <v/>
      </c>
      <c r="N179">
        <f>IF([1]Accounts!$D$180="","",[1]Accounts!$D$180)</f>
        <v/>
      </c>
      <c r="P179">
        <f>IF([2]Entry!$C$182="","",[2]Entry!$C$182)</f>
        <v/>
      </c>
      <c r="Q179">
        <f>IF([2]Entry!$D$182="","",[2]Entry!$D$182)</f>
        <v/>
      </c>
      <c r="R179">
        <f>IF([2]Entry!$E$182="","",[2]Entry!$E$182)</f>
        <v/>
      </c>
      <c r="S179">
        <f>IF([2]Entry!$G$182="","",[2]Entry!$G$182)</f>
        <v/>
      </c>
      <c r="T179">
        <f>IF([2]Entry!$J$182="","",[2]Entry!$J$182)</f>
        <v/>
      </c>
      <c r="U179">
        <f>IF([2]Entry!$K$182="","",[2]Entry!$K$182)</f>
        <v/>
      </c>
      <c r="V179">
        <f>IF([2]Entry!$L$182="","",[2]Entry!$L$182)</f>
        <v/>
      </c>
      <c r="W179">
        <f>IF([2]Entry!$M$182="","",[2]Entry!$M$182)</f>
        <v/>
      </c>
      <c r="X179">
        <f>IF([2]Entry!$N$182="","",[2]Entry!$N$182)</f>
        <v/>
      </c>
      <c r="Y179">
        <f>IF([2]Entry!$R$182="","",[2]Entry!$R$182)</f>
        <v/>
      </c>
    </row>
    <row r="180">
      <c r="K180">
        <f>IF([1]Accounts!$D$181="","",[1]Accounts!$A$181)</f>
        <v/>
      </c>
      <c r="L180">
        <f>IF([1]Accounts!$D$181="","",[1]Accounts!$B$181)</f>
        <v/>
      </c>
      <c r="M180">
        <f>IF([1]Accounts!$D$181="","",[1]Accounts!$C$181)</f>
        <v/>
      </c>
      <c r="N180">
        <f>IF([1]Accounts!$D$181="","",[1]Accounts!$D$181)</f>
        <v/>
      </c>
      <c r="P180">
        <f>IF([2]Entry!$C$183="","",[2]Entry!$C$183)</f>
        <v/>
      </c>
      <c r="Q180">
        <f>IF([2]Entry!$D$183="","",[2]Entry!$D$183)</f>
        <v/>
      </c>
      <c r="R180">
        <f>IF([2]Entry!$E$183="","",[2]Entry!$E$183)</f>
        <v/>
      </c>
      <c r="S180">
        <f>IF([2]Entry!$G$183="","",[2]Entry!$G$183)</f>
        <v/>
      </c>
      <c r="T180">
        <f>IF([2]Entry!$J$183="","",[2]Entry!$J$183)</f>
        <v/>
      </c>
      <c r="U180">
        <f>IF([2]Entry!$K$183="","",[2]Entry!$K$183)</f>
        <v/>
      </c>
      <c r="V180">
        <f>IF([2]Entry!$L$183="","",[2]Entry!$L$183)</f>
        <v/>
      </c>
      <c r="W180">
        <f>IF([2]Entry!$M$183="","",[2]Entry!$M$183)</f>
        <v/>
      </c>
      <c r="X180">
        <f>IF([2]Entry!$N$183="","",[2]Entry!$N$183)</f>
        <v/>
      </c>
      <c r="Y180">
        <f>IF([2]Entry!$R$183="","",[2]Entry!$R$183)</f>
        <v/>
      </c>
    </row>
    <row r="181">
      <c r="K181">
        <f>IF([1]Accounts!$D$182="","",[1]Accounts!$A$182)</f>
        <v/>
      </c>
      <c r="L181">
        <f>IF([1]Accounts!$D$182="","",[1]Accounts!$B$182)</f>
        <v/>
      </c>
      <c r="M181">
        <f>IF([1]Accounts!$D$182="","",[1]Accounts!$C$182)</f>
        <v/>
      </c>
      <c r="N181">
        <f>IF([1]Accounts!$D$182="","",[1]Accounts!$D$182)</f>
        <v/>
      </c>
      <c r="P181">
        <f>IF([2]Entry!$C$184="","",[2]Entry!$C$184)</f>
        <v/>
      </c>
      <c r="Q181">
        <f>IF([2]Entry!$D$184="","",[2]Entry!$D$184)</f>
        <v/>
      </c>
      <c r="R181">
        <f>IF([2]Entry!$E$184="","",[2]Entry!$E$184)</f>
        <v/>
      </c>
      <c r="S181">
        <f>IF([2]Entry!$G$184="","",[2]Entry!$G$184)</f>
        <v/>
      </c>
      <c r="T181">
        <f>IF([2]Entry!$J$184="","",[2]Entry!$J$184)</f>
        <v/>
      </c>
      <c r="U181">
        <f>IF([2]Entry!$K$184="","",[2]Entry!$K$184)</f>
        <v/>
      </c>
      <c r="V181">
        <f>IF([2]Entry!$L$184="","",[2]Entry!$L$184)</f>
        <v/>
      </c>
      <c r="W181">
        <f>IF([2]Entry!$M$184="","",[2]Entry!$M$184)</f>
        <v/>
      </c>
      <c r="X181">
        <f>IF([2]Entry!$N$184="","",[2]Entry!$N$184)</f>
        <v/>
      </c>
      <c r="Y181">
        <f>IF([2]Entry!$R$184="","",[2]Entry!$R$184)</f>
        <v/>
      </c>
    </row>
    <row r="182">
      <c r="K182">
        <f>IF([1]Accounts!$D$183="","",[1]Accounts!$A$183)</f>
        <v/>
      </c>
      <c r="L182">
        <f>IF([1]Accounts!$D$183="","",[1]Accounts!$B$183)</f>
        <v/>
      </c>
      <c r="M182">
        <f>IF([1]Accounts!$D$183="","",[1]Accounts!$C$183)</f>
        <v/>
      </c>
      <c r="N182">
        <f>IF([1]Accounts!$D$183="","",[1]Accounts!$D$183)</f>
        <v/>
      </c>
      <c r="P182">
        <f>IF([2]Entry!$C$185="","",[2]Entry!$C$185)</f>
        <v/>
      </c>
      <c r="Q182">
        <f>IF([2]Entry!$D$185="","",[2]Entry!$D$185)</f>
        <v/>
      </c>
      <c r="R182">
        <f>IF([2]Entry!$E$185="","",[2]Entry!$E$185)</f>
        <v/>
      </c>
      <c r="S182">
        <f>IF([2]Entry!$G$185="","",[2]Entry!$G$185)</f>
        <v/>
      </c>
      <c r="T182">
        <f>IF([2]Entry!$J$185="","",[2]Entry!$J$185)</f>
        <v/>
      </c>
      <c r="U182">
        <f>IF([2]Entry!$K$185="","",[2]Entry!$K$185)</f>
        <v/>
      </c>
      <c r="V182">
        <f>IF([2]Entry!$L$185="","",[2]Entry!$L$185)</f>
        <v/>
      </c>
      <c r="W182">
        <f>IF([2]Entry!$M$185="","",[2]Entry!$M$185)</f>
        <v/>
      </c>
      <c r="X182">
        <f>IF([2]Entry!$N$185="","",[2]Entry!$N$185)</f>
        <v/>
      </c>
      <c r="Y182">
        <f>IF([2]Entry!$R$185="","",[2]Entry!$R$185)</f>
        <v/>
      </c>
    </row>
    <row r="183">
      <c r="K183">
        <f>IF([1]Accounts!$D$184="","",[1]Accounts!$A$184)</f>
        <v/>
      </c>
      <c r="L183">
        <f>IF([1]Accounts!$D$184="","",[1]Accounts!$B$184)</f>
        <v/>
      </c>
      <c r="M183">
        <f>IF([1]Accounts!$D$184="","",[1]Accounts!$C$184)</f>
        <v/>
      </c>
      <c r="N183">
        <f>IF([1]Accounts!$D$184="","",[1]Accounts!$D$184)</f>
        <v/>
      </c>
      <c r="P183">
        <f>IF([2]Entry!$C$186="","",[2]Entry!$C$186)</f>
        <v/>
      </c>
      <c r="Q183">
        <f>IF([2]Entry!$D$186="","",[2]Entry!$D$186)</f>
        <v/>
      </c>
      <c r="R183">
        <f>IF([2]Entry!$E$186="","",[2]Entry!$E$186)</f>
        <v/>
      </c>
      <c r="S183">
        <f>IF([2]Entry!$G$186="","",[2]Entry!$G$186)</f>
        <v/>
      </c>
      <c r="T183">
        <f>IF([2]Entry!$J$186="","",[2]Entry!$J$186)</f>
        <v/>
      </c>
      <c r="U183">
        <f>IF([2]Entry!$K$186="","",[2]Entry!$K$186)</f>
        <v/>
      </c>
      <c r="V183">
        <f>IF([2]Entry!$L$186="","",[2]Entry!$L$186)</f>
        <v/>
      </c>
      <c r="W183">
        <f>IF([2]Entry!$M$186="","",[2]Entry!$M$186)</f>
        <v/>
      </c>
      <c r="X183">
        <f>IF([2]Entry!$N$186="","",[2]Entry!$N$186)</f>
        <v/>
      </c>
      <c r="Y183">
        <f>IF([2]Entry!$R$186="","",[2]Entry!$R$186)</f>
        <v/>
      </c>
    </row>
    <row r="184">
      <c r="K184">
        <f>IF([1]Accounts!$D$185="","",[1]Accounts!$A$185)</f>
        <v/>
      </c>
      <c r="L184">
        <f>IF([1]Accounts!$D$185="","",[1]Accounts!$B$185)</f>
        <v/>
      </c>
      <c r="M184">
        <f>IF([1]Accounts!$D$185="","",[1]Accounts!$C$185)</f>
        <v/>
      </c>
      <c r="N184">
        <f>IF([1]Accounts!$D$185="","",[1]Accounts!$D$185)</f>
        <v/>
      </c>
      <c r="P184">
        <f>IF([2]Entry!$C$187="","",[2]Entry!$C$187)</f>
        <v/>
      </c>
      <c r="Q184">
        <f>IF([2]Entry!$D$187="","",[2]Entry!$D$187)</f>
        <v/>
      </c>
      <c r="R184">
        <f>IF([2]Entry!$E$187="","",[2]Entry!$E$187)</f>
        <v/>
      </c>
      <c r="S184">
        <f>IF([2]Entry!$G$187="","",[2]Entry!$G$187)</f>
        <v/>
      </c>
      <c r="T184">
        <f>IF([2]Entry!$J$187="","",[2]Entry!$J$187)</f>
        <v/>
      </c>
      <c r="U184">
        <f>IF([2]Entry!$K$187="","",[2]Entry!$K$187)</f>
        <v/>
      </c>
      <c r="V184">
        <f>IF([2]Entry!$L$187="","",[2]Entry!$L$187)</f>
        <v/>
      </c>
      <c r="W184">
        <f>IF([2]Entry!$M$187="","",[2]Entry!$M$187)</f>
        <v/>
      </c>
      <c r="X184">
        <f>IF([2]Entry!$N$187="","",[2]Entry!$N$187)</f>
        <v/>
      </c>
      <c r="Y184">
        <f>IF([2]Entry!$R$187="","",[2]Entry!$R$187)</f>
        <v/>
      </c>
    </row>
    <row r="185">
      <c r="K185">
        <f>IF([1]Accounts!$D$186="","",[1]Accounts!$A$186)</f>
        <v/>
      </c>
      <c r="L185">
        <f>IF([1]Accounts!$D$186="","",[1]Accounts!$B$186)</f>
        <v/>
      </c>
      <c r="M185">
        <f>IF([1]Accounts!$D$186="","",[1]Accounts!$C$186)</f>
        <v/>
      </c>
      <c r="N185">
        <f>IF([1]Accounts!$D$186="","",[1]Accounts!$D$186)</f>
        <v/>
      </c>
      <c r="P185">
        <f>IF([2]Entry!$C$188="","",[2]Entry!$C$188)</f>
        <v/>
      </c>
      <c r="Q185">
        <f>IF([2]Entry!$D$188="","",[2]Entry!$D$188)</f>
        <v/>
      </c>
      <c r="R185">
        <f>IF([2]Entry!$E$188="","",[2]Entry!$E$188)</f>
        <v/>
      </c>
      <c r="S185">
        <f>IF([2]Entry!$G$188="","",[2]Entry!$G$188)</f>
        <v/>
      </c>
      <c r="T185">
        <f>IF([2]Entry!$J$188="","",[2]Entry!$J$188)</f>
        <v/>
      </c>
      <c r="U185">
        <f>IF([2]Entry!$K$188="","",[2]Entry!$K$188)</f>
        <v/>
      </c>
      <c r="V185">
        <f>IF([2]Entry!$L$188="","",[2]Entry!$L$188)</f>
        <v/>
      </c>
      <c r="W185">
        <f>IF([2]Entry!$M$188="","",[2]Entry!$M$188)</f>
        <v/>
      </c>
      <c r="X185">
        <f>IF([2]Entry!$N$188="","",[2]Entry!$N$188)</f>
        <v/>
      </c>
      <c r="Y185">
        <f>IF([2]Entry!$R$188="","",[2]Entry!$R$188)</f>
        <v/>
      </c>
    </row>
    <row r="186">
      <c r="K186">
        <f>IF([1]Accounts!$D$187="","",[1]Accounts!$A$187)</f>
        <v/>
      </c>
      <c r="L186">
        <f>IF([1]Accounts!$D$187="","",[1]Accounts!$B$187)</f>
        <v/>
      </c>
      <c r="M186">
        <f>IF([1]Accounts!$D$187="","",[1]Accounts!$C$187)</f>
        <v/>
      </c>
      <c r="N186">
        <f>IF([1]Accounts!$D$187="","",[1]Accounts!$D$187)</f>
        <v/>
      </c>
      <c r="P186">
        <f>IF([2]Entry!$C$189="","",[2]Entry!$C$189)</f>
        <v/>
      </c>
      <c r="Q186">
        <f>IF([2]Entry!$D$189="","",[2]Entry!$D$189)</f>
        <v/>
      </c>
      <c r="R186">
        <f>IF([2]Entry!$E$189="","",[2]Entry!$E$189)</f>
        <v/>
      </c>
      <c r="S186">
        <f>IF([2]Entry!$G$189="","",[2]Entry!$G$189)</f>
        <v/>
      </c>
      <c r="T186">
        <f>IF([2]Entry!$J$189="","",[2]Entry!$J$189)</f>
        <v/>
      </c>
      <c r="U186">
        <f>IF([2]Entry!$K$189="","",[2]Entry!$K$189)</f>
        <v/>
      </c>
      <c r="V186">
        <f>IF([2]Entry!$L$189="","",[2]Entry!$L$189)</f>
        <v/>
      </c>
      <c r="W186">
        <f>IF([2]Entry!$M$189="","",[2]Entry!$M$189)</f>
        <v/>
      </c>
      <c r="X186">
        <f>IF([2]Entry!$N$189="","",[2]Entry!$N$189)</f>
        <v/>
      </c>
      <c r="Y186">
        <f>IF([2]Entry!$R$189="","",[2]Entry!$R$189)</f>
        <v/>
      </c>
    </row>
    <row r="187">
      <c r="K187">
        <f>IF([1]Accounts!$D$188="","",[1]Accounts!$A$188)</f>
        <v/>
      </c>
      <c r="L187">
        <f>IF([1]Accounts!$D$188="","",[1]Accounts!$B$188)</f>
        <v/>
      </c>
      <c r="M187">
        <f>IF([1]Accounts!$D$188="","",[1]Accounts!$C$188)</f>
        <v/>
      </c>
      <c r="N187">
        <f>IF([1]Accounts!$D$188="","",[1]Accounts!$D$188)</f>
        <v/>
      </c>
      <c r="P187">
        <f>IF([2]Entry!$C$190="","",[2]Entry!$C$190)</f>
        <v/>
      </c>
      <c r="Q187">
        <f>IF([2]Entry!$D$190="","",[2]Entry!$D$190)</f>
        <v/>
      </c>
      <c r="R187">
        <f>IF([2]Entry!$E$190="","",[2]Entry!$E$190)</f>
        <v/>
      </c>
      <c r="S187">
        <f>IF([2]Entry!$G$190="","",[2]Entry!$G$190)</f>
        <v/>
      </c>
      <c r="T187">
        <f>IF([2]Entry!$J$190="","",[2]Entry!$J$190)</f>
        <v/>
      </c>
      <c r="U187">
        <f>IF([2]Entry!$K$190="","",[2]Entry!$K$190)</f>
        <v/>
      </c>
      <c r="V187">
        <f>IF([2]Entry!$L$190="","",[2]Entry!$L$190)</f>
        <v/>
      </c>
      <c r="W187">
        <f>IF([2]Entry!$M$190="","",[2]Entry!$M$190)</f>
        <v/>
      </c>
      <c r="X187">
        <f>IF([2]Entry!$N$190="","",[2]Entry!$N$190)</f>
        <v/>
      </c>
      <c r="Y187">
        <f>IF([2]Entry!$R$190="","",[2]Entry!$R$190)</f>
        <v/>
      </c>
    </row>
    <row r="188">
      <c r="K188">
        <f>IF([1]Accounts!$D$189="","",[1]Accounts!$A$189)</f>
        <v/>
      </c>
      <c r="L188">
        <f>IF([1]Accounts!$D$189="","",[1]Accounts!$B$189)</f>
        <v/>
      </c>
      <c r="M188">
        <f>IF([1]Accounts!$D$189="","",[1]Accounts!$C$189)</f>
        <v/>
      </c>
      <c r="N188">
        <f>IF([1]Accounts!$D$189="","",[1]Accounts!$D$189)</f>
        <v/>
      </c>
      <c r="P188">
        <f>IF([2]Entry!$C$191="","",[2]Entry!$C$191)</f>
        <v/>
      </c>
      <c r="Q188">
        <f>IF([2]Entry!$D$191="","",[2]Entry!$D$191)</f>
        <v/>
      </c>
      <c r="R188">
        <f>IF([2]Entry!$E$191="","",[2]Entry!$E$191)</f>
        <v/>
      </c>
      <c r="S188">
        <f>IF([2]Entry!$G$191="","",[2]Entry!$G$191)</f>
        <v/>
      </c>
      <c r="T188">
        <f>IF([2]Entry!$J$191="","",[2]Entry!$J$191)</f>
        <v/>
      </c>
      <c r="U188">
        <f>IF([2]Entry!$K$191="","",[2]Entry!$K$191)</f>
        <v/>
      </c>
      <c r="V188">
        <f>IF([2]Entry!$L$191="","",[2]Entry!$L$191)</f>
        <v/>
      </c>
      <c r="W188">
        <f>IF([2]Entry!$M$191="","",[2]Entry!$M$191)</f>
        <v/>
      </c>
      <c r="X188">
        <f>IF([2]Entry!$N$191="","",[2]Entry!$N$191)</f>
        <v/>
      </c>
      <c r="Y188">
        <f>IF([2]Entry!$R$191="","",[2]Entry!$R$191)</f>
        <v/>
      </c>
    </row>
    <row r="189">
      <c r="K189">
        <f>IF([1]Accounts!$D$190="","",[1]Accounts!$A$190)</f>
        <v/>
      </c>
      <c r="L189">
        <f>IF([1]Accounts!$D$190="","",[1]Accounts!$B$190)</f>
        <v/>
      </c>
      <c r="M189">
        <f>IF([1]Accounts!$D$190="","",[1]Accounts!$C$190)</f>
        <v/>
      </c>
      <c r="N189">
        <f>IF([1]Accounts!$D$190="","",[1]Accounts!$D$190)</f>
        <v/>
      </c>
      <c r="P189">
        <f>IF([2]Entry!$C$192="","",[2]Entry!$C$192)</f>
        <v/>
      </c>
      <c r="Q189">
        <f>IF([2]Entry!$D$192="","",[2]Entry!$D$192)</f>
        <v/>
      </c>
      <c r="R189">
        <f>IF([2]Entry!$E$192="","",[2]Entry!$E$192)</f>
        <v/>
      </c>
      <c r="S189">
        <f>IF([2]Entry!$G$192="","",[2]Entry!$G$192)</f>
        <v/>
      </c>
      <c r="T189">
        <f>IF([2]Entry!$J$192="","",[2]Entry!$J$192)</f>
        <v/>
      </c>
      <c r="U189">
        <f>IF([2]Entry!$K$192="","",[2]Entry!$K$192)</f>
        <v/>
      </c>
      <c r="V189">
        <f>IF([2]Entry!$L$192="","",[2]Entry!$L$192)</f>
        <v/>
      </c>
      <c r="W189">
        <f>IF([2]Entry!$M$192="","",[2]Entry!$M$192)</f>
        <v/>
      </c>
      <c r="X189">
        <f>IF([2]Entry!$N$192="","",[2]Entry!$N$192)</f>
        <v/>
      </c>
      <c r="Y189">
        <f>IF([2]Entry!$R$192="","",[2]Entry!$R$192)</f>
        <v/>
      </c>
    </row>
    <row r="190">
      <c r="K190">
        <f>IF([1]Accounts!$D$191="","",[1]Accounts!$A$191)</f>
        <v/>
      </c>
      <c r="L190">
        <f>IF([1]Accounts!$D$191="","",[1]Accounts!$B$191)</f>
        <v/>
      </c>
      <c r="M190">
        <f>IF([1]Accounts!$D$191="","",[1]Accounts!$C$191)</f>
        <v/>
      </c>
      <c r="N190">
        <f>IF([1]Accounts!$D$191="","",[1]Accounts!$D$191)</f>
        <v/>
      </c>
      <c r="P190">
        <f>IF([2]Entry!$C$193="","",[2]Entry!$C$193)</f>
        <v/>
      </c>
      <c r="Q190">
        <f>IF([2]Entry!$D$193="","",[2]Entry!$D$193)</f>
        <v/>
      </c>
      <c r="R190">
        <f>IF([2]Entry!$E$193="","",[2]Entry!$E$193)</f>
        <v/>
      </c>
      <c r="S190">
        <f>IF([2]Entry!$G$193="","",[2]Entry!$G$193)</f>
        <v/>
      </c>
      <c r="T190">
        <f>IF([2]Entry!$J$193="","",[2]Entry!$J$193)</f>
        <v/>
      </c>
      <c r="U190">
        <f>IF([2]Entry!$K$193="","",[2]Entry!$K$193)</f>
        <v/>
      </c>
      <c r="V190">
        <f>IF([2]Entry!$L$193="","",[2]Entry!$L$193)</f>
        <v/>
      </c>
      <c r="W190">
        <f>IF([2]Entry!$M$193="","",[2]Entry!$M$193)</f>
        <v/>
      </c>
      <c r="X190">
        <f>IF([2]Entry!$N$193="","",[2]Entry!$N$193)</f>
        <v/>
      </c>
      <c r="Y190">
        <f>IF([2]Entry!$R$193="","",[2]Entry!$R$193)</f>
        <v/>
      </c>
    </row>
    <row r="191">
      <c r="K191">
        <f>IF([1]Accounts!$D$192="","",[1]Accounts!$A$192)</f>
        <v/>
      </c>
      <c r="L191">
        <f>IF([1]Accounts!$D$192="","",[1]Accounts!$B$192)</f>
        <v/>
      </c>
      <c r="M191">
        <f>IF([1]Accounts!$D$192="","",[1]Accounts!$C$192)</f>
        <v/>
      </c>
      <c r="N191">
        <f>IF([1]Accounts!$D$192="","",[1]Accounts!$D$192)</f>
        <v/>
      </c>
      <c r="P191">
        <f>IF([2]Entry!$C$194="","",[2]Entry!$C$194)</f>
        <v/>
      </c>
      <c r="Q191">
        <f>IF([2]Entry!$D$194="","",[2]Entry!$D$194)</f>
        <v/>
      </c>
      <c r="R191">
        <f>IF([2]Entry!$E$194="","",[2]Entry!$E$194)</f>
        <v/>
      </c>
      <c r="S191">
        <f>IF([2]Entry!$G$194="","",[2]Entry!$G$194)</f>
        <v/>
      </c>
      <c r="T191">
        <f>IF([2]Entry!$J$194="","",[2]Entry!$J$194)</f>
        <v/>
      </c>
      <c r="U191">
        <f>IF([2]Entry!$K$194="","",[2]Entry!$K$194)</f>
        <v/>
      </c>
      <c r="V191">
        <f>IF([2]Entry!$L$194="","",[2]Entry!$L$194)</f>
        <v/>
      </c>
      <c r="W191">
        <f>IF([2]Entry!$M$194="","",[2]Entry!$M$194)</f>
        <v/>
      </c>
      <c r="X191">
        <f>IF([2]Entry!$N$194="","",[2]Entry!$N$194)</f>
        <v/>
      </c>
      <c r="Y191">
        <f>IF([2]Entry!$R$194="","",[2]Entry!$R$194)</f>
        <v/>
      </c>
    </row>
    <row r="192">
      <c r="K192">
        <f>IF([1]Accounts!$D$193="","",[1]Accounts!$A$193)</f>
        <v/>
      </c>
      <c r="L192">
        <f>IF([1]Accounts!$D$193="","",[1]Accounts!$B$193)</f>
        <v/>
      </c>
      <c r="M192">
        <f>IF([1]Accounts!$D$193="","",[1]Accounts!$C$193)</f>
        <v/>
      </c>
      <c r="N192">
        <f>IF([1]Accounts!$D$193="","",[1]Accounts!$D$193)</f>
        <v/>
      </c>
      <c r="P192">
        <f>IF([2]Entry!$C$195="","",[2]Entry!$C$195)</f>
        <v/>
      </c>
      <c r="Q192">
        <f>IF([2]Entry!$D$195="","",[2]Entry!$D$195)</f>
        <v/>
      </c>
      <c r="R192">
        <f>IF([2]Entry!$E$195="","",[2]Entry!$E$195)</f>
        <v/>
      </c>
      <c r="S192">
        <f>IF([2]Entry!$G$195="","",[2]Entry!$G$195)</f>
        <v/>
      </c>
      <c r="T192">
        <f>IF([2]Entry!$J$195="","",[2]Entry!$J$195)</f>
        <v/>
      </c>
      <c r="U192">
        <f>IF([2]Entry!$K$195="","",[2]Entry!$K$195)</f>
        <v/>
      </c>
      <c r="V192">
        <f>IF([2]Entry!$L$195="","",[2]Entry!$L$195)</f>
        <v/>
      </c>
      <c r="W192">
        <f>IF([2]Entry!$M$195="","",[2]Entry!$M$195)</f>
        <v/>
      </c>
      <c r="X192">
        <f>IF([2]Entry!$N$195="","",[2]Entry!$N$195)</f>
        <v/>
      </c>
      <c r="Y192">
        <f>IF([2]Entry!$R$195="","",[2]Entry!$R$195)</f>
        <v/>
      </c>
    </row>
    <row r="193">
      <c r="K193">
        <f>IF([1]Accounts!$D$194="","",[1]Accounts!$A$194)</f>
        <v/>
      </c>
      <c r="L193">
        <f>IF([1]Accounts!$D$194="","",[1]Accounts!$B$194)</f>
        <v/>
      </c>
      <c r="M193">
        <f>IF([1]Accounts!$D$194="","",[1]Accounts!$C$194)</f>
        <v/>
      </c>
      <c r="N193">
        <f>IF([1]Accounts!$D$194="","",[1]Accounts!$D$194)</f>
        <v/>
      </c>
      <c r="P193">
        <f>IF([2]Entry!$C$196="","",[2]Entry!$C$196)</f>
        <v/>
      </c>
      <c r="Q193">
        <f>IF([2]Entry!$D$196="","",[2]Entry!$D$196)</f>
        <v/>
      </c>
      <c r="R193">
        <f>IF([2]Entry!$E$196="","",[2]Entry!$E$196)</f>
        <v/>
      </c>
      <c r="S193">
        <f>IF([2]Entry!$G$196="","",[2]Entry!$G$196)</f>
        <v/>
      </c>
      <c r="T193">
        <f>IF([2]Entry!$J$196="","",[2]Entry!$J$196)</f>
        <v/>
      </c>
      <c r="U193">
        <f>IF([2]Entry!$K$196="","",[2]Entry!$K$196)</f>
        <v/>
      </c>
      <c r="V193">
        <f>IF([2]Entry!$L$196="","",[2]Entry!$L$196)</f>
        <v/>
      </c>
      <c r="W193">
        <f>IF([2]Entry!$M$196="","",[2]Entry!$M$196)</f>
        <v/>
      </c>
      <c r="X193">
        <f>IF([2]Entry!$N$196="","",[2]Entry!$N$196)</f>
        <v/>
      </c>
      <c r="Y193">
        <f>IF([2]Entry!$R$196="","",[2]Entry!$R$196)</f>
        <v/>
      </c>
    </row>
    <row r="194">
      <c r="K194">
        <f>IF([1]Accounts!$D$195="","",[1]Accounts!$A$195)</f>
        <v/>
      </c>
      <c r="L194">
        <f>IF([1]Accounts!$D$195="","",[1]Accounts!$B$195)</f>
        <v/>
      </c>
      <c r="M194">
        <f>IF([1]Accounts!$D$195="","",[1]Accounts!$C$195)</f>
        <v/>
      </c>
      <c r="N194">
        <f>IF([1]Accounts!$D$195="","",[1]Accounts!$D$195)</f>
        <v/>
      </c>
      <c r="P194">
        <f>IF([2]Entry!$C$197="","",[2]Entry!$C$197)</f>
        <v/>
      </c>
      <c r="Q194">
        <f>IF([2]Entry!$D$197="","",[2]Entry!$D$197)</f>
        <v/>
      </c>
      <c r="R194">
        <f>IF([2]Entry!$E$197="","",[2]Entry!$E$197)</f>
        <v/>
      </c>
      <c r="S194">
        <f>IF([2]Entry!$G$197="","",[2]Entry!$G$197)</f>
        <v/>
      </c>
      <c r="T194">
        <f>IF([2]Entry!$J$197="","",[2]Entry!$J$197)</f>
        <v/>
      </c>
      <c r="U194">
        <f>IF([2]Entry!$K$197="","",[2]Entry!$K$197)</f>
        <v/>
      </c>
      <c r="V194">
        <f>IF([2]Entry!$L$197="","",[2]Entry!$L$197)</f>
        <v/>
      </c>
      <c r="W194">
        <f>IF([2]Entry!$M$197="","",[2]Entry!$M$197)</f>
        <v/>
      </c>
      <c r="X194">
        <f>IF([2]Entry!$N$197="","",[2]Entry!$N$197)</f>
        <v/>
      </c>
      <c r="Y194">
        <f>IF([2]Entry!$R$197="","",[2]Entry!$R$197)</f>
        <v/>
      </c>
    </row>
    <row r="195">
      <c r="K195">
        <f>IF([1]Accounts!$D$196="","",[1]Accounts!$A$196)</f>
        <v/>
      </c>
      <c r="L195">
        <f>IF([1]Accounts!$D$196="","",[1]Accounts!$B$196)</f>
        <v/>
      </c>
      <c r="M195">
        <f>IF([1]Accounts!$D$196="","",[1]Accounts!$C$196)</f>
        <v/>
      </c>
      <c r="N195">
        <f>IF([1]Accounts!$D$196="","",[1]Accounts!$D$196)</f>
        <v/>
      </c>
      <c r="P195">
        <f>IF([2]Entry!$C$198="","",[2]Entry!$C$198)</f>
        <v/>
      </c>
      <c r="Q195">
        <f>IF([2]Entry!$D$198="","",[2]Entry!$D$198)</f>
        <v/>
      </c>
      <c r="R195">
        <f>IF([2]Entry!$E$198="","",[2]Entry!$E$198)</f>
        <v/>
      </c>
      <c r="S195">
        <f>IF([2]Entry!$G$198="","",[2]Entry!$G$198)</f>
        <v/>
      </c>
      <c r="T195">
        <f>IF([2]Entry!$J$198="","",[2]Entry!$J$198)</f>
        <v/>
      </c>
      <c r="U195">
        <f>IF([2]Entry!$K$198="","",[2]Entry!$K$198)</f>
        <v/>
      </c>
      <c r="V195">
        <f>IF([2]Entry!$L$198="","",[2]Entry!$L$198)</f>
        <v/>
      </c>
      <c r="W195">
        <f>IF([2]Entry!$M$198="","",[2]Entry!$M$198)</f>
        <v/>
      </c>
      <c r="X195">
        <f>IF([2]Entry!$N$198="","",[2]Entry!$N$198)</f>
        <v/>
      </c>
      <c r="Y195">
        <f>IF([2]Entry!$R$198="","",[2]Entry!$R$198)</f>
        <v/>
      </c>
    </row>
    <row r="196">
      <c r="K196">
        <f>IF([1]Accounts!$D$197="","",[1]Accounts!$A$197)</f>
        <v/>
      </c>
      <c r="L196">
        <f>IF([1]Accounts!$D$197="","",[1]Accounts!$B$197)</f>
        <v/>
      </c>
      <c r="M196">
        <f>IF([1]Accounts!$D$197="","",[1]Accounts!$C$197)</f>
        <v/>
      </c>
      <c r="N196">
        <f>IF([1]Accounts!$D$197="","",[1]Accounts!$D$197)</f>
        <v/>
      </c>
      <c r="P196">
        <f>IF([2]Entry!$C$199="","",[2]Entry!$C$199)</f>
        <v/>
      </c>
      <c r="Q196">
        <f>IF([2]Entry!$D$199="","",[2]Entry!$D$199)</f>
        <v/>
      </c>
      <c r="R196">
        <f>IF([2]Entry!$E$199="","",[2]Entry!$E$199)</f>
        <v/>
      </c>
      <c r="S196">
        <f>IF([2]Entry!$G$199="","",[2]Entry!$G$199)</f>
        <v/>
      </c>
      <c r="T196">
        <f>IF([2]Entry!$J$199="","",[2]Entry!$J$199)</f>
        <v/>
      </c>
      <c r="U196">
        <f>IF([2]Entry!$K$199="","",[2]Entry!$K$199)</f>
        <v/>
      </c>
      <c r="V196">
        <f>IF([2]Entry!$L$199="","",[2]Entry!$L$199)</f>
        <v/>
      </c>
      <c r="W196">
        <f>IF([2]Entry!$M$199="","",[2]Entry!$M$199)</f>
        <v/>
      </c>
      <c r="X196">
        <f>IF([2]Entry!$N$199="","",[2]Entry!$N$199)</f>
        <v/>
      </c>
      <c r="Y196">
        <f>IF([2]Entry!$R$199="","",[2]Entry!$R$199)</f>
        <v/>
      </c>
    </row>
    <row r="197">
      <c r="K197">
        <f>IF([1]Accounts!$D$198="","",[1]Accounts!$A$198)</f>
        <v/>
      </c>
      <c r="L197">
        <f>IF([1]Accounts!$D$198="","",[1]Accounts!$B$198)</f>
        <v/>
      </c>
      <c r="M197">
        <f>IF([1]Accounts!$D$198="","",[1]Accounts!$C$198)</f>
        <v/>
      </c>
      <c r="N197">
        <f>IF([1]Accounts!$D$198="","",[1]Accounts!$D$198)</f>
        <v/>
      </c>
      <c r="P197">
        <f>IF([2]Entry!$C$200="","",[2]Entry!$C$200)</f>
        <v/>
      </c>
      <c r="Q197">
        <f>IF([2]Entry!$D$200="","",[2]Entry!$D$200)</f>
        <v/>
      </c>
      <c r="R197">
        <f>IF([2]Entry!$E$200="","",[2]Entry!$E$200)</f>
        <v/>
      </c>
      <c r="S197">
        <f>IF([2]Entry!$G$200="","",[2]Entry!$G$200)</f>
        <v/>
      </c>
      <c r="T197">
        <f>IF([2]Entry!$J$200="","",[2]Entry!$J$200)</f>
        <v/>
      </c>
      <c r="U197">
        <f>IF([2]Entry!$K$200="","",[2]Entry!$K$200)</f>
        <v/>
      </c>
      <c r="V197">
        <f>IF([2]Entry!$L$200="","",[2]Entry!$L$200)</f>
        <v/>
      </c>
      <c r="W197">
        <f>IF([2]Entry!$M$200="","",[2]Entry!$M$200)</f>
        <v/>
      </c>
      <c r="X197">
        <f>IF([2]Entry!$N$200="","",[2]Entry!$N$200)</f>
        <v/>
      </c>
      <c r="Y197">
        <f>IF([2]Entry!$R$200="","",[2]Entry!$R$200)</f>
        <v/>
      </c>
    </row>
    <row r="198">
      <c r="K198">
        <f>IF([1]Accounts!$D$199="","",[1]Accounts!$A$199)</f>
        <v/>
      </c>
      <c r="L198">
        <f>IF([1]Accounts!$D$199="","",[1]Accounts!$B$199)</f>
        <v/>
      </c>
      <c r="M198">
        <f>IF([1]Accounts!$D$199="","",[1]Accounts!$C$199)</f>
        <v/>
      </c>
      <c r="N198">
        <f>IF([1]Accounts!$D$199="","",[1]Accounts!$D$199)</f>
        <v/>
      </c>
      <c r="P198">
        <f>IF([2]Entry!$C$201="","",[2]Entry!$C$201)</f>
        <v/>
      </c>
      <c r="Q198">
        <f>IF([2]Entry!$D$201="","",[2]Entry!$D$201)</f>
        <v/>
      </c>
      <c r="R198">
        <f>IF([2]Entry!$E$201="","",[2]Entry!$E$201)</f>
        <v/>
      </c>
      <c r="S198">
        <f>IF([2]Entry!$G$201="","",[2]Entry!$G$201)</f>
        <v/>
      </c>
      <c r="T198">
        <f>IF([2]Entry!$J$201="","",[2]Entry!$J$201)</f>
        <v/>
      </c>
      <c r="U198">
        <f>IF([2]Entry!$K$201="","",[2]Entry!$K$201)</f>
        <v/>
      </c>
      <c r="V198">
        <f>IF([2]Entry!$L$201="","",[2]Entry!$L$201)</f>
        <v/>
      </c>
      <c r="W198">
        <f>IF([2]Entry!$M$201="","",[2]Entry!$M$201)</f>
        <v/>
      </c>
      <c r="X198">
        <f>IF([2]Entry!$N$201="","",[2]Entry!$N$201)</f>
        <v/>
      </c>
      <c r="Y198">
        <f>IF([2]Entry!$R$201="","",[2]Entry!$R$201)</f>
        <v/>
      </c>
    </row>
    <row r="199">
      <c r="K199">
        <f>IF([1]Accounts!$D$200="","",[1]Accounts!$A$200)</f>
        <v/>
      </c>
      <c r="L199">
        <f>IF([1]Accounts!$D$200="","",[1]Accounts!$B$200)</f>
        <v/>
      </c>
      <c r="M199">
        <f>IF([1]Accounts!$D$200="","",[1]Accounts!$C$200)</f>
        <v/>
      </c>
      <c r="N199">
        <f>IF([1]Accounts!$D$200="","",[1]Accounts!$D$200)</f>
        <v/>
      </c>
      <c r="P199">
        <f>IF([2]Entry!$C$202="","",[2]Entry!$C$202)</f>
        <v/>
      </c>
      <c r="Q199">
        <f>IF([2]Entry!$D$202="","",[2]Entry!$D$202)</f>
        <v/>
      </c>
      <c r="R199">
        <f>IF([2]Entry!$E$202="","",[2]Entry!$E$202)</f>
        <v/>
      </c>
      <c r="S199">
        <f>IF([2]Entry!$G$202="","",[2]Entry!$G$202)</f>
        <v/>
      </c>
      <c r="T199">
        <f>IF([2]Entry!$J$202="","",[2]Entry!$J$202)</f>
        <v/>
      </c>
      <c r="U199">
        <f>IF([2]Entry!$K$202="","",[2]Entry!$K$202)</f>
        <v/>
      </c>
      <c r="V199">
        <f>IF([2]Entry!$L$202="","",[2]Entry!$L$202)</f>
        <v/>
      </c>
      <c r="W199">
        <f>IF([2]Entry!$M$202="","",[2]Entry!$M$202)</f>
        <v/>
      </c>
      <c r="X199">
        <f>IF([2]Entry!$N$202="","",[2]Entry!$N$202)</f>
        <v/>
      </c>
      <c r="Y199">
        <f>IF([2]Entry!$R$202="","",[2]Entry!$R$202)</f>
        <v/>
      </c>
    </row>
    <row r="200">
      <c r="K200">
        <f>IF([1]Accounts!$D$201="","",[1]Accounts!$A$201)</f>
        <v/>
      </c>
      <c r="L200">
        <f>IF([1]Accounts!$D$201="","",[1]Accounts!$B$201)</f>
        <v/>
      </c>
      <c r="M200">
        <f>IF([1]Accounts!$D$201="","",[1]Accounts!$C$201)</f>
        <v/>
      </c>
      <c r="N200">
        <f>IF([1]Accounts!$D$201="","",[1]Accounts!$D$201)</f>
        <v/>
      </c>
      <c r="P200">
        <f>IF([2]Entry!$C$203="","",[2]Entry!$C$203)</f>
        <v/>
      </c>
      <c r="Q200">
        <f>IF([2]Entry!$D$203="","",[2]Entry!$D$203)</f>
        <v/>
      </c>
      <c r="R200">
        <f>IF([2]Entry!$E$203="","",[2]Entry!$E$203)</f>
        <v/>
      </c>
      <c r="S200">
        <f>IF([2]Entry!$G$203="","",[2]Entry!$G$203)</f>
        <v/>
      </c>
      <c r="T200">
        <f>IF([2]Entry!$J$203="","",[2]Entry!$J$203)</f>
        <v/>
      </c>
      <c r="U200">
        <f>IF([2]Entry!$K$203="","",[2]Entry!$K$203)</f>
        <v/>
      </c>
      <c r="V200">
        <f>IF([2]Entry!$L$203="","",[2]Entry!$L$203)</f>
        <v/>
      </c>
      <c r="W200">
        <f>IF([2]Entry!$M$203="","",[2]Entry!$M$203)</f>
        <v/>
      </c>
      <c r="X200">
        <f>IF([2]Entry!$N$203="","",[2]Entry!$N$203)</f>
        <v/>
      </c>
      <c r="Y200">
        <f>IF([2]Entry!$R$203="","",[2]Entry!$R$203)</f>
        <v/>
      </c>
    </row>
    <row r="201">
      <c r="K201">
        <f>IF([1]Accounts!$D$202="","",[1]Accounts!$A$202)</f>
        <v/>
      </c>
      <c r="L201">
        <f>IF([1]Accounts!$D$202="","",[1]Accounts!$B$202)</f>
        <v/>
      </c>
      <c r="M201">
        <f>IF([1]Accounts!$D$202="","",[1]Accounts!$C$202)</f>
        <v/>
      </c>
      <c r="N201">
        <f>IF([1]Accounts!$D$202="","",[1]Accounts!$D$202)</f>
        <v/>
      </c>
      <c r="P201">
        <f>IF([2]Entry!$C$204="","",[2]Entry!$C$204)</f>
        <v/>
      </c>
      <c r="Q201">
        <f>IF([2]Entry!$D$204="","",[2]Entry!$D$204)</f>
        <v/>
      </c>
      <c r="R201">
        <f>IF([2]Entry!$E$204="","",[2]Entry!$E$204)</f>
        <v/>
      </c>
      <c r="S201">
        <f>IF([2]Entry!$G$204="","",[2]Entry!$G$204)</f>
        <v/>
      </c>
      <c r="T201">
        <f>IF([2]Entry!$J$204="","",[2]Entry!$J$204)</f>
        <v/>
      </c>
      <c r="U201">
        <f>IF([2]Entry!$K$204="","",[2]Entry!$K$204)</f>
        <v/>
      </c>
      <c r="V201">
        <f>IF([2]Entry!$L$204="","",[2]Entry!$L$204)</f>
        <v/>
      </c>
      <c r="W201">
        <f>IF([2]Entry!$M$204="","",[2]Entry!$M$204)</f>
        <v/>
      </c>
      <c r="X201">
        <f>IF([2]Entry!$N$204="","",[2]Entry!$N$204)</f>
        <v/>
      </c>
      <c r="Y201">
        <f>IF([2]Entry!$R$204="","",[2]Entry!$R$204)</f>
        <v/>
      </c>
    </row>
    <row r="202">
      <c r="K202">
        <f>IF([1]Accounts!$D$203="","",[1]Accounts!$A$203)</f>
        <v/>
      </c>
      <c r="L202">
        <f>IF([1]Accounts!$D$203="","",[1]Accounts!$B$203)</f>
        <v/>
      </c>
      <c r="M202">
        <f>IF([1]Accounts!$D$203="","",[1]Accounts!$C$203)</f>
        <v/>
      </c>
      <c r="N202">
        <f>IF([1]Accounts!$D$203="","",[1]Accounts!$D$203)</f>
        <v/>
      </c>
      <c r="P202">
        <f>IF([2]Entry!$C$205="","",[2]Entry!$C$205)</f>
        <v/>
      </c>
      <c r="Q202">
        <f>IF([2]Entry!$D$205="","",[2]Entry!$D$205)</f>
        <v/>
      </c>
      <c r="R202">
        <f>IF([2]Entry!$E$205="","",[2]Entry!$E$205)</f>
        <v/>
      </c>
      <c r="S202">
        <f>IF([2]Entry!$G$205="","",[2]Entry!$G$205)</f>
        <v/>
      </c>
      <c r="T202">
        <f>IF([2]Entry!$J$205="","",[2]Entry!$J$205)</f>
        <v/>
      </c>
      <c r="U202">
        <f>IF([2]Entry!$K$205="","",[2]Entry!$K$205)</f>
        <v/>
      </c>
      <c r="V202">
        <f>IF([2]Entry!$L$205="","",[2]Entry!$L$205)</f>
        <v/>
      </c>
      <c r="W202">
        <f>IF([2]Entry!$M$205="","",[2]Entry!$M$205)</f>
        <v/>
      </c>
      <c r="X202">
        <f>IF([2]Entry!$N$205="","",[2]Entry!$N$205)</f>
        <v/>
      </c>
      <c r="Y202">
        <f>IF([2]Entry!$R$205="","",[2]Entry!$R$205)</f>
        <v/>
      </c>
    </row>
    <row r="203">
      <c r="K203">
        <f>IF([1]Accounts!$D$204="","",[1]Accounts!$A$204)</f>
        <v/>
      </c>
      <c r="L203">
        <f>IF([1]Accounts!$D$204="","",[1]Accounts!$B$204)</f>
        <v/>
      </c>
      <c r="M203">
        <f>IF([1]Accounts!$D$204="","",[1]Accounts!$C$204)</f>
        <v/>
      </c>
      <c r="N203">
        <f>IF([1]Accounts!$D$204="","",[1]Accounts!$D$204)</f>
        <v/>
      </c>
      <c r="P203">
        <f>IF([2]Entry!$C$206="","",[2]Entry!$C$206)</f>
        <v/>
      </c>
      <c r="Q203">
        <f>IF([2]Entry!$D$206="","",[2]Entry!$D$206)</f>
        <v/>
      </c>
      <c r="R203">
        <f>IF([2]Entry!$E$206="","",[2]Entry!$E$206)</f>
        <v/>
      </c>
      <c r="S203">
        <f>IF([2]Entry!$G$206="","",[2]Entry!$G$206)</f>
        <v/>
      </c>
      <c r="T203">
        <f>IF([2]Entry!$J$206="","",[2]Entry!$J$206)</f>
        <v/>
      </c>
      <c r="U203">
        <f>IF([2]Entry!$K$206="","",[2]Entry!$K$206)</f>
        <v/>
      </c>
      <c r="V203">
        <f>IF([2]Entry!$L$206="","",[2]Entry!$L$206)</f>
        <v/>
      </c>
      <c r="W203">
        <f>IF([2]Entry!$M$206="","",[2]Entry!$M$206)</f>
        <v/>
      </c>
      <c r="X203">
        <f>IF([2]Entry!$N$206="","",[2]Entry!$N$206)</f>
        <v/>
      </c>
      <c r="Y203">
        <f>IF([2]Entry!$R$206="","",[2]Entry!$R$206)</f>
        <v/>
      </c>
    </row>
    <row r="204">
      <c r="K204">
        <f>IF([1]Accounts!$D$205="","",[1]Accounts!$A$205)</f>
        <v/>
      </c>
      <c r="L204">
        <f>IF([1]Accounts!$D$205="","",[1]Accounts!$B$205)</f>
        <v/>
      </c>
      <c r="M204">
        <f>IF([1]Accounts!$D$205="","",[1]Accounts!$C$205)</f>
        <v/>
      </c>
      <c r="N204">
        <f>IF([1]Accounts!$D$205="","",[1]Accounts!$D$205)</f>
        <v/>
      </c>
      <c r="P204">
        <f>IF([2]Entry!$C$207="","",[2]Entry!$C$207)</f>
        <v/>
      </c>
      <c r="Q204">
        <f>IF([2]Entry!$D$207="","",[2]Entry!$D$207)</f>
        <v/>
      </c>
      <c r="R204">
        <f>IF([2]Entry!$E$207="","",[2]Entry!$E$207)</f>
        <v/>
      </c>
      <c r="S204">
        <f>IF([2]Entry!$G$207="","",[2]Entry!$G$207)</f>
        <v/>
      </c>
      <c r="T204">
        <f>IF([2]Entry!$J$207="","",[2]Entry!$J$207)</f>
        <v/>
      </c>
      <c r="U204">
        <f>IF([2]Entry!$K$207="","",[2]Entry!$K$207)</f>
        <v/>
      </c>
      <c r="V204">
        <f>IF([2]Entry!$L$207="","",[2]Entry!$L$207)</f>
        <v/>
      </c>
      <c r="W204">
        <f>IF([2]Entry!$M$207="","",[2]Entry!$M$207)</f>
        <v/>
      </c>
      <c r="X204">
        <f>IF([2]Entry!$N$207="","",[2]Entry!$N$207)</f>
        <v/>
      </c>
      <c r="Y204">
        <f>IF([2]Entry!$R$207="","",[2]Entry!$R$207)</f>
        <v/>
      </c>
    </row>
    <row r="205">
      <c r="K205">
        <f>IF([1]Accounts!$D$206="","",[1]Accounts!$A$206)</f>
        <v/>
      </c>
      <c r="L205">
        <f>IF([1]Accounts!$D$206="","",[1]Accounts!$B$206)</f>
        <v/>
      </c>
      <c r="M205">
        <f>IF([1]Accounts!$D$206="","",[1]Accounts!$C$206)</f>
        <v/>
      </c>
      <c r="N205">
        <f>IF([1]Accounts!$D$206="","",[1]Accounts!$D$206)</f>
        <v/>
      </c>
      <c r="P205">
        <f>IF([2]Entry!$C$208="","",[2]Entry!$C$208)</f>
        <v/>
      </c>
      <c r="Q205">
        <f>IF([2]Entry!$D$208="","",[2]Entry!$D$208)</f>
        <v/>
      </c>
      <c r="R205">
        <f>IF([2]Entry!$E$208="","",[2]Entry!$E$208)</f>
        <v/>
      </c>
      <c r="S205">
        <f>IF([2]Entry!$G$208="","",[2]Entry!$G$208)</f>
        <v/>
      </c>
      <c r="T205">
        <f>IF([2]Entry!$J$208="","",[2]Entry!$J$208)</f>
        <v/>
      </c>
      <c r="U205">
        <f>IF([2]Entry!$K$208="","",[2]Entry!$K$208)</f>
        <v/>
      </c>
      <c r="V205">
        <f>IF([2]Entry!$L$208="","",[2]Entry!$L$208)</f>
        <v/>
      </c>
      <c r="W205">
        <f>IF([2]Entry!$M$208="","",[2]Entry!$M$208)</f>
        <v/>
      </c>
      <c r="X205">
        <f>IF([2]Entry!$N$208="","",[2]Entry!$N$208)</f>
        <v/>
      </c>
      <c r="Y205">
        <f>IF([2]Entry!$R$208="","",[2]Entry!$R$208)</f>
        <v/>
      </c>
    </row>
    <row r="206">
      <c r="K206">
        <f>IF([1]Accounts!$D$207="","",[1]Accounts!$A$207)</f>
        <v/>
      </c>
      <c r="L206">
        <f>IF([1]Accounts!$D$207="","",[1]Accounts!$B$207)</f>
        <v/>
      </c>
      <c r="M206">
        <f>IF([1]Accounts!$D$207="","",[1]Accounts!$C$207)</f>
        <v/>
      </c>
      <c r="N206">
        <f>IF([1]Accounts!$D$207="","",[1]Accounts!$D$207)</f>
        <v/>
      </c>
      <c r="P206">
        <f>IF([2]Entry!$C$209="","",[2]Entry!$C$209)</f>
        <v/>
      </c>
      <c r="Q206">
        <f>IF([2]Entry!$D$209="","",[2]Entry!$D$209)</f>
        <v/>
      </c>
      <c r="R206">
        <f>IF([2]Entry!$E$209="","",[2]Entry!$E$209)</f>
        <v/>
      </c>
      <c r="S206">
        <f>IF([2]Entry!$G$209="","",[2]Entry!$G$209)</f>
        <v/>
      </c>
      <c r="T206">
        <f>IF([2]Entry!$J$209="","",[2]Entry!$J$209)</f>
        <v/>
      </c>
      <c r="U206">
        <f>IF([2]Entry!$K$209="","",[2]Entry!$K$209)</f>
        <v/>
      </c>
      <c r="V206">
        <f>IF([2]Entry!$L$209="","",[2]Entry!$L$209)</f>
        <v/>
      </c>
      <c r="W206">
        <f>IF([2]Entry!$M$209="","",[2]Entry!$M$209)</f>
        <v/>
      </c>
      <c r="X206">
        <f>IF([2]Entry!$N$209="","",[2]Entry!$N$209)</f>
        <v/>
      </c>
      <c r="Y206">
        <f>IF([2]Entry!$R$209="","",[2]Entry!$R$209)</f>
        <v/>
      </c>
    </row>
    <row r="207">
      <c r="K207">
        <f>IF([1]Accounts!$D$208="","",[1]Accounts!$A$208)</f>
        <v/>
      </c>
      <c r="L207">
        <f>IF([1]Accounts!$D$208="","",[1]Accounts!$B$208)</f>
        <v/>
      </c>
      <c r="M207">
        <f>IF([1]Accounts!$D$208="","",[1]Accounts!$C$208)</f>
        <v/>
      </c>
      <c r="N207">
        <f>IF([1]Accounts!$D$208="","",[1]Accounts!$D$208)</f>
        <v/>
      </c>
      <c r="P207">
        <f>IF([2]Entry!$C$210="","",[2]Entry!$C$210)</f>
        <v/>
      </c>
      <c r="Q207">
        <f>IF([2]Entry!$D$210="","",[2]Entry!$D$210)</f>
        <v/>
      </c>
      <c r="R207">
        <f>IF([2]Entry!$E$210="","",[2]Entry!$E$210)</f>
        <v/>
      </c>
      <c r="S207">
        <f>IF([2]Entry!$G$210="","",[2]Entry!$G$210)</f>
        <v/>
      </c>
      <c r="T207">
        <f>IF([2]Entry!$J$210="","",[2]Entry!$J$210)</f>
        <v/>
      </c>
      <c r="U207">
        <f>IF([2]Entry!$K$210="","",[2]Entry!$K$210)</f>
        <v/>
      </c>
      <c r="V207">
        <f>IF([2]Entry!$L$210="","",[2]Entry!$L$210)</f>
        <v/>
      </c>
      <c r="W207">
        <f>IF([2]Entry!$M$210="","",[2]Entry!$M$210)</f>
        <v/>
      </c>
      <c r="X207">
        <f>IF([2]Entry!$N$210="","",[2]Entry!$N$210)</f>
        <v/>
      </c>
      <c r="Y207">
        <f>IF([2]Entry!$R$210="","",[2]Entry!$R$210)</f>
        <v/>
      </c>
    </row>
    <row r="208">
      <c r="K208">
        <f>IF([1]Accounts!$D$209="","",[1]Accounts!$A$209)</f>
        <v/>
      </c>
      <c r="L208">
        <f>IF([1]Accounts!$D$209="","",[1]Accounts!$B$209)</f>
        <v/>
      </c>
      <c r="M208">
        <f>IF([1]Accounts!$D$209="","",[1]Accounts!$C$209)</f>
        <v/>
      </c>
      <c r="N208">
        <f>IF([1]Accounts!$D$209="","",[1]Accounts!$D$209)</f>
        <v/>
      </c>
      <c r="P208">
        <f>IF([2]Entry!$C$211="","",[2]Entry!$C$211)</f>
        <v/>
      </c>
      <c r="Q208">
        <f>IF([2]Entry!$D$211="","",[2]Entry!$D$211)</f>
        <v/>
      </c>
      <c r="R208">
        <f>IF([2]Entry!$E$211="","",[2]Entry!$E$211)</f>
        <v/>
      </c>
      <c r="S208">
        <f>IF([2]Entry!$G$211="","",[2]Entry!$G$211)</f>
        <v/>
      </c>
      <c r="T208">
        <f>IF([2]Entry!$J$211="","",[2]Entry!$J$211)</f>
        <v/>
      </c>
      <c r="U208">
        <f>IF([2]Entry!$K$211="","",[2]Entry!$K$211)</f>
        <v/>
      </c>
      <c r="V208">
        <f>IF([2]Entry!$L$211="","",[2]Entry!$L$211)</f>
        <v/>
      </c>
      <c r="W208">
        <f>IF([2]Entry!$M$211="","",[2]Entry!$M$211)</f>
        <v/>
      </c>
      <c r="X208">
        <f>IF([2]Entry!$N$211="","",[2]Entry!$N$211)</f>
        <v/>
      </c>
      <c r="Y208">
        <f>IF([2]Entry!$R$211="","",[2]Entry!$R$211)</f>
        <v/>
      </c>
    </row>
    <row r="209">
      <c r="K209">
        <f>IF([1]Accounts!$D$210="","",[1]Accounts!$A$210)</f>
        <v/>
      </c>
      <c r="L209">
        <f>IF([1]Accounts!$D$210="","",[1]Accounts!$B$210)</f>
        <v/>
      </c>
      <c r="M209">
        <f>IF([1]Accounts!$D$210="","",[1]Accounts!$C$210)</f>
        <v/>
      </c>
      <c r="N209">
        <f>IF([1]Accounts!$D$210="","",[1]Accounts!$D$210)</f>
        <v/>
      </c>
      <c r="P209">
        <f>IF([2]Entry!$C$212="","",[2]Entry!$C$212)</f>
        <v/>
      </c>
      <c r="Q209">
        <f>IF([2]Entry!$D$212="","",[2]Entry!$D$212)</f>
        <v/>
      </c>
      <c r="R209">
        <f>IF([2]Entry!$E$212="","",[2]Entry!$E$212)</f>
        <v/>
      </c>
      <c r="S209">
        <f>IF([2]Entry!$G$212="","",[2]Entry!$G$212)</f>
        <v/>
      </c>
      <c r="T209">
        <f>IF([2]Entry!$J$212="","",[2]Entry!$J$212)</f>
        <v/>
      </c>
      <c r="U209">
        <f>IF([2]Entry!$K$212="","",[2]Entry!$K$212)</f>
        <v/>
      </c>
      <c r="V209">
        <f>IF([2]Entry!$L$212="","",[2]Entry!$L$212)</f>
        <v/>
      </c>
      <c r="W209">
        <f>IF([2]Entry!$M$212="","",[2]Entry!$M$212)</f>
        <v/>
      </c>
      <c r="X209">
        <f>IF([2]Entry!$N$212="","",[2]Entry!$N$212)</f>
        <v/>
      </c>
      <c r="Y209">
        <f>IF([2]Entry!$R$212="","",[2]Entry!$R$212)</f>
        <v/>
      </c>
    </row>
    <row r="210">
      <c r="K210">
        <f>IF([1]Accounts!$D$211="","",[1]Accounts!$A$211)</f>
        <v/>
      </c>
      <c r="L210">
        <f>IF([1]Accounts!$D$211="","",[1]Accounts!$B$211)</f>
        <v/>
      </c>
      <c r="M210">
        <f>IF([1]Accounts!$D$211="","",[1]Accounts!$C$211)</f>
        <v/>
      </c>
      <c r="N210">
        <f>IF([1]Accounts!$D$211="","",[1]Accounts!$D$211)</f>
        <v/>
      </c>
      <c r="P210">
        <f>IF([2]Entry!$C$213="","",[2]Entry!$C$213)</f>
        <v/>
      </c>
      <c r="Q210">
        <f>IF([2]Entry!$D$213="","",[2]Entry!$D$213)</f>
        <v/>
      </c>
      <c r="R210">
        <f>IF([2]Entry!$E$213="","",[2]Entry!$E$213)</f>
        <v/>
      </c>
      <c r="S210">
        <f>IF([2]Entry!$G$213="","",[2]Entry!$G$213)</f>
        <v/>
      </c>
      <c r="T210">
        <f>IF([2]Entry!$J$213="","",[2]Entry!$J$213)</f>
        <v/>
      </c>
      <c r="U210">
        <f>IF([2]Entry!$K$213="","",[2]Entry!$K$213)</f>
        <v/>
      </c>
      <c r="V210">
        <f>IF([2]Entry!$L$213="","",[2]Entry!$L$213)</f>
        <v/>
      </c>
      <c r="W210">
        <f>IF([2]Entry!$M$213="","",[2]Entry!$M$213)</f>
        <v/>
      </c>
      <c r="X210">
        <f>IF([2]Entry!$N$213="","",[2]Entry!$N$213)</f>
        <v/>
      </c>
      <c r="Y210">
        <f>IF([2]Entry!$R$213="","",[2]Entry!$R$213)</f>
        <v/>
      </c>
    </row>
    <row r="211">
      <c r="K211">
        <f>IF([1]Accounts!$D$212="","",[1]Accounts!$A$212)</f>
        <v/>
      </c>
      <c r="L211">
        <f>IF([1]Accounts!$D$212="","",[1]Accounts!$B$212)</f>
        <v/>
      </c>
      <c r="M211">
        <f>IF([1]Accounts!$D$212="","",[1]Accounts!$C$212)</f>
        <v/>
      </c>
      <c r="N211">
        <f>IF([1]Accounts!$D$212="","",[1]Accounts!$D$212)</f>
        <v/>
      </c>
      <c r="P211">
        <f>IF([2]Entry!$C$214="","",[2]Entry!$C$214)</f>
        <v/>
      </c>
      <c r="Q211">
        <f>IF([2]Entry!$D$214="","",[2]Entry!$D$214)</f>
        <v/>
      </c>
      <c r="R211">
        <f>IF([2]Entry!$E$214="","",[2]Entry!$E$214)</f>
        <v/>
      </c>
      <c r="S211">
        <f>IF([2]Entry!$G$214="","",[2]Entry!$G$214)</f>
        <v/>
      </c>
      <c r="T211">
        <f>IF([2]Entry!$J$214="","",[2]Entry!$J$214)</f>
        <v/>
      </c>
      <c r="U211">
        <f>IF([2]Entry!$K$214="","",[2]Entry!$K$214)</f>
        <v/>
      </c>
      <c r="V211">
        <f>IF([2]Entry!$L$214="","",[2]Entry!$L$214)</f>
        <v/>
      </c>
      <c r="W211">
        <f>IF([2]Entry!$M$214="","",[2]Entry!$M$214)</f>
        <v/>
      </c>
      <c r="X211">
        <f>IF([2]Entry!$N$214="","",[2]Entry!$N$214)</f>
        <v/>
      </c>
      <c r="Y211">
        <f>IF([2]Entry!$R$214="","",[2]Entry!$R$214)</f>
        <v/>
      </c>
    </row>
    <row r="212">
      <c r="K212">
        <f>IF([1]Accounts!$D$213="","",[1]Accounts!$A$213)</f>
        <v/>
      </c>
      <c r="L212">
        <f>IF([1]Accounts!$D$213="","",[1]Accounts!$B$213)</f>
        <v/>
      </c>
      <c r="M212">
        <f>IF([1]Accounts!$D$213="","",[1]Accounts!$C$213)</f>
        <v/>
      </c>
      <c r="N212">
        <f>IF([1]Accounts!$D$213="","",[1]Accounts!$D$213)</f>
        <v/>
      </c>
      <c r="P212">
        <f>IF([2]Entry!$C$215="","",[2]Entry!$C$215)</f>
        <v/>
      </c>
      <c r="Q212">
        <f>IF([2]Entry!$D$215="","",[2]Entry!$D$215)</f>
        <v/>
      </c>
      <c r="R212">
        <f>IF([2]Entry!$E$215="","",[2]Entry!$E$215)</f>
        <v/>
      </c>
      <c r="S212">
        <f>IF([2]Entry!$G$215="","",[2]Entry!$G$215)</f>
        <v/>
      </c>
      <c r="T212">
        <f>IF([2]Entry!$J$215="","",[2]Entry!$J$215)</f>
        <v/>
      </c>
      <c r="U212">
        <f>IF([2]Entry!$K$215="","",[2]Entry!$K$215)</f>
        <v/>
      </c>
      <c r="V212">
        <f>IF([2]Entry!$L$215="","",[2]Entry!$L$215)</f>
        <v/>
      </c>
      <c r="W212">
        <f>IF([2]Entry!$M$215="","",[2]Entry!$M$215)</f>
        <v/>
      </c>
      <c r="X212">
        <f>IF([2]Entry!$N$215="","",[2]Entry!$N$215)</f>
        <v/>
      </c>
      <c r="Y212">
        <f>IF([2]Entry!$R$215="","",[2]Entry!$R$215)</f>
        <v/>
      </c>
    </row>
    <row r="213">
      <c r="K213">
        <f>IF([1]Accounts!$D$214="","",[1]Accounts!$A$214)</f>
        <v/>
      </c>
      <c r="L213">
        <f>IF([1]Accounts!$D$214="","",[1]Accounts!$B$214)</f>
        <v/>
      </c>
      <c r="M213">
        <f>IF([1]Accounts!$D$214="","",[1]Accounts!$C$214)</f>
        <v/>
      </c>
      <c r="N213">
        <f>IF([1]Accounts!$D$214="","",[1]Accounts!$D$214)</f>
        <v/>
      </c>
      <c r="P213">
        <f>IF([2]Entry!$C$216="","",[2]Entry!$C$216)</f>
        <v/>
      </c>
      <c r="Q213">
        <f>IF([2]Entry!$D$216="","",[2]Entry!$D$216)</f>
        <v/>
      </c>
      <c r="R213">
        <f>IF([2]Entry!$E$216="","",[2]Entry!$E$216)</f>
        <v/>
      </c>
      <c r="S213">
        <f>IF([2]Entry!$G$216="","",[2]Entry!$G$216)</f>
        <v/>
      </c>
      <c r="T213">
        <f>IF([2]Entry!$J$216="","",[2]Entry!$J$216)</f>
        <v/>
      </c>
      <c r="U213">
        <f>IF([2]Entry!$K$216="","",[2]Entry!$K$216)</f>
        <v/>
      </c>
      <c r="V213">
        <f>IF([2]Entry!$L$216="","",[2]Entry!$L$216)</f>
        <v/>
      </c>
      <c r="W213">
        <f>IF([2]Entry!$M$216="","",[2]Entry!$M$216)</f>
        <v/>
      </c>
      <c r="X213">
        <f>IF([2]Entry!$N$216="","",[2]Entry!$N$216)</f>
        <v/>
      </c>
      <c r="Y213">
        <f>IF([2]Entry!$R$216="","",[2]Entry!$R$216)</f>
        <v/>
      </c>
    </row>
    <row r="214">
      <c r="K214">
        <f>IF([1]Accounts!$D$215="","",[1]Accounts!$A$215)</f>
        <v/>
      </c>
      <c r="L214">
        <f>IF([1]Accounts!$D$215="","",[1]Accounts!$B$215)</f>
        <v/>
      </c>
      <c r="M214">
        <f>IF([1]Accounts!$D$215="","",[1]Accounts!$C$215)</f>
        <v/>
      </c>
      <c r="N214">
        <f>IF([1]Accounts!$D$215="","",[1]Accounts!$D$215)</f>
        <v/>
      </c>
      <c r="P214">
        <f>IF([2]Entry!$C$217="","",[2]Entry!$C$217)</f>
        <v/>
      </c>
      <c r="Q214">
        <f>IF([2]Entry!$D$217="","",[2]Entry!$D$217)</f>
        <v/>
      </c>
      <c r="R214">
        <f>IF([2]Entry!$E$217="","",[2]Entry!$E$217)</f>
        <v/>
      </c>
      <c r="S214">
        <f>IF([2]Entry!$G$217="","",[2]Entry!$G$217)</f>
        <v/>
      </c>
      <c r="T214">
        <f>IF([2]Entry!$J$217="","",[2]Entry!$J$217)</f>
        <v/>
      </c>
      <c r="U214">
        <f>IF([2]Entry!$K$217="","",[2]Entry!$K$217)</f>
        <v/>
      </c>
      <c r="V214">
        <f>IF([2]Entry!$L$217="","",[2]Entry!$L$217)</f>
        <v/>
      </c>
      <c r="W214">
        <f>IF([2]Entry!$M$217="","",[2]Entry!$M$217)</f>
        <v/>
      </c>
      <c r="X214">
        <f>IF([2]Entry!$N$217="","",[2]Entry!$N$217)</f>
        <v/>
      </c>
      <c r="Y214">
        <f>IF([2]Entry!$R$217="","",[2]Entry!$R$217)</f>
        <v/>
      </c>
    </row>
    <row r="215">
      <c r="K215">
        <f>IF([1]Accounts!$D$216="","",[1]Accounts!$A$216)</f>
        <v/>
      </c>
      <c r="L215">
        <f>IF([1]Accounts!$D$216="","",[1]Accounts!$B$216)</f>
        <v/>
      </c>
      <c r="M215">
        <f>IF([1]Accounts!$D$216="","",[1]Accounts!$C$216)</f>
        <v/>
      </c>
      <c r="N215">
        <f>IF([1]Accounts!$D$216="","",[1]Accounts!$D$216)</f>
        <v/>
      </c>
      <c r="P215">
        <f>IF([2]Entry!$C$218="","",[2]Entry!$C$218)</f>
        <v/>
      </c>
      <c r="Q215">
        <f>IF([2]Entry!$D$218="","",[2]Entry!$D$218)</f>
        <v/>
      </c>
      <c r="R215">
        <f>IF([2]Entry!$E$218="","",[2]Entry!$E$218)</f>
        <v/>
      </c>
      <c r="S215">
        <f>IF([2]Entry!$G$218="","",[2]Entry!$G$218)</f>
        <v/>
      </c>
      <c r="T215">
        <f>IF([2]Entry!$J$218="","",[2]Entry!$J$218)</f>
        <v/>
      </c>
      <c r="U215">
        <f>IF([2]Entry!$K$218="","",[2]Entry!$K$218)</f>
        <v/>
      </c>
      <c r="V215">
        <f>IF([2]Entry!$L$218="","",[2]Entry!$L$218)</f>
        <v/>
      </c>
      <c r="W215">
        <f>IF([2]Entry!$M$218="","",[2]Entry!$M$218)</f>
        <v/>
      </c>
      <c r="X215">
        <f>IF([2]Entry!$N$218="","",[2]Entry!$N$218)</f>
        <v/>
      </c>
      <c r="Y215">
        <f>IF([2]Entry!$R$218="","",[2]Entry!$R$218)</f>
        <v/>
      </c>
    </row>
    <row r="216">
      <c r="K216">
        <f>IF([1]Accounts!$D$217="","",[1]Accounts!$A$217)</f>
        <v/>
      </c>
      <c r="L216">
        <f>IF([1]Accounts!$D$217="","",[1]Accounts!$B$217)</f>
        <v/>
      </c>
      <c r="M216">
        <f>IF([1]Accounts!$D$217="","",[1]Accounts!$C$217)</f>
        <v/>
      </c>
      <c r="N216">
        <f>IF([1]Accounts!$D$217="","",[1]Accounts!$D$217)</f>
        <v/>
      </c>
      <c r="P216">
        <f>IF([2]Entry!$C$219="","",[2]Entry!$C$219)</f>
        <v/>
      </c>
      <c r="Q216">
        <f>IF([2]Entry!$D$219="","",[2]Entry!$D$219)</f>
        <v/>
      </c>
      <c r="R216">
        <f>IF([2]Entry!$E$219="","",[2]Entry!$E$219)</f>
        <v/>
      </c>
      <c r="S216">
        <f>IF([2]Entry!$G$219="","",[2]Entry!$G$219)</f>
        <v/>
      </c>
      <c r="T216">
        <f>IF([2]Entry!$J$219="","",[2]Entry!$J$219)</f>
        <v/>
      </c>
      <c r="U216">
        <f>IF([2]Entry!$K$219="","",[2]Entry!$K$219)</f>
        <v/>
      </c>
      <c r="V216">
        <f>IF([2]Entry!$L$219="","",[2]Entry!$L$219)</f>
        <v/>
      </c>
      <c r="W216">
        <f>IF([2]Entry!$M$219="","",[2]Entry!$M$219)</f>
        <v/>
      </c>
      <c r="X216">
        <f>IF([2]Entry!$N$219="","",[2]Entry!$N$219)</f>
        <v/>
      </c>
      <c r="Y216">
        <f>IF([2]Entry!$R$219="","",[2]Entry!$R$219)</f>
        <v/>
      </c>
    </row>
    <row r="217">
      <c r="K217">
        <f>IF([1]Accounts!$D$218="","",[1]Accounts!$A$218)</f>
        <v/>
      </c>
      <c r="L217">
        <f>IF([1]Accounts!$D$218="","",[1]Accounts!$B$218)</f>
        <v/>
      </c>
      <c r="M217">
        <f>IF([1]Accounts!$D$218="","",[1]Accounts!$C$218)</f>
        <v/>
      </c>
      <c r="N217">
        <f>IF([1]Accounts!$D$218="","",[1]Accounts!$D$218)</f>
        <v/>
      </c>
      <c r="P217">
        <f>IF([2]Entry!$C$220="","",[2]Entry!$C$220)</f>
        <v/>
      </c>
      <c r="Q217">
        <f>IF([2]Entry!$D$220="","",[2]Entry!$D$220)</f>
        <v/>
      </c>
      <c r="R217">
        <f>IF([2]Entry!$E$220="","",[2]Entry!$E$220)</f>
        <v/>
      </c>
      <c r="S217">
        <f>IF([2]Entry!$G$220="","",[2]Entry!$G$220)</f>
        <v/>
      </c>
      <c r="T217">
        <f>IF([2]Entry!$J$220="","",[2]Entry!$J$220)</f>
        <v/>
      </c>
      <c r="U217">
        <f>IF([2]Entry!$K$220="","",[2]Entry!$K$220)</f>
        <v/>
      </c>
      <c r="V217">
        <f>IF([2]Entry!$L$220="","",[2]Entry!$L$220)</f>
        <v/>
      </c>
      <c r="W217">
        <f>IF([2]Entry!$M$220="","",[2]Entry!$M$220)</f>
        <v/>
      </c>
      <c r="X217">
        <f>IF([2]Entry!$N$220="","",[2]Entry!$N$220)</f>
        <v/>
      </c>
      <c r="Y217">
        <f>IF([2]Entry!$R$220="","",[2]Entry!$R$220)</f>
        <v/>
      </c>
    </row>
    <row r="218">
      <c r="K218">
        <f>IF([1]Accounts!$D$219="","",[1]Accounts!$A$219)</f>
        <v/>
      </c>
      <c r="L218">
        <f>IF([1]Accounts!$D$219="","",[1]Accounts!$B$219)</f>
        <v/>
      </c>
      <c r="M218">
        <f>IF([1]Accounts!$D$219="","",[1]Accounts!$C$219)</f>
        <v/>
      </c>
      <c r="N218">
        <f>IF([1]Accounts!$D$219="","",[1]Accounts!$D$219)</f>
        <v/>
      </c>
      <c r="P218">
        <f>IF([2]Entry!$C$221="","",[2]Entry!$C$221)</f>
        <v/>
      </c>
      <c r="Q218">
        <f>IF([2]Entry!$D$221="","",[2]Entry!$D$221)</f>
        <v/>
      </c>
      <c r="R218">
        <f>IF([2]Entry!$E$221="","",[2]Entry!$E$221)</f>
        <v/>
      </c>
      <c r="S218">
        <f>IF([2]Entry!$G$221="","",[2]Entry!$G$221)</f>
        <v/>
      </c>
      <c r="T218">
        <f>IF([2]Entry!$J$221="","",[2]Entry!$J$221)</f>
        <v/>
      </c>
      <c r="U218">
        <f>IF([2]Entry!$K$221="","",[2]Entry!$K$221)</f>
        <v/>
      </c>
      <c r="V218">
        <f>IF([2]Entry!$L$221="","",[2]Entry!$L$221)</f>
        <v/>
      </c>
      <c r="W218">
        <f>IF([2]Entry!$M$221="","",[2]Entry!$M$221)</f>
        <v/>
      </c>
      <c r="X218">
        <f>IF([2]Entry!$N$221="","",[2]Entry!$N$221)</f>
        <v/>
      </c>
      <c r="Y218">
        <f>IF([2]Entry!$R$221="","",[2]Entry!$R$221)</f>
        <v/>
      </c>
    </row>
    <row r="219">
      <c r="K219">
        <f>IF([1]Accounts!$D$220="","",[1]Accounts!$A$220)</f>
        <v/>
      </c>
      <c r="L219">
        <f>IF([1]Accounts!$D$220="","",[1]Accounts!$B$220)</f>
        <v/>
      </c>
      <c r="M219">
        <f>IF([1]Accounts!$D$220="","",[1]Accounts!$C$220)</f>
        <v/>
      </c>
      <c r="N219">
        <f>IF([1]Accounts!$D$220="","",[1]Accounts!$D$220)</f>
        <v/>
      </c>
      <c r="P219">
        <f>IF([2]Entry!$C$222="","",[2]Entry!$C$222)</f>
        <v/>
      </c>
      <c r="Q219">
        <f>IF([2]Entry!$D$222="","",[2]Entry!$D$222)</f>
        <v/>
      </c>
      <c r="R219">
        <f>IF([2]Entry!$E$222="","",[2]Entry!$E$222)</f>
        <v/>
      </c>
      <c r="S219">
        <f>IF([2]Entry!$G$222="","",[2]Entry!$G$222)</f>
        <v/>
      </c>
      <c r="T219">
        <f>IF([2]Entry!$J$222="","",[2]Entry!$J$222)</f>
        <v/>
      </c>
      <c r="U219">
        <f>IF([2]Entry!$K$222="","",[2]Entry!$K$222)</f>
        <v/>
      </c>
      <c r="V219">
        <f>IF([2]Entry!$L$222="","",[2]Entry!$L$222)</f>
        <v/>
      </c>
      <c r="W219">
        <f>IF([2]Entry!$M$222="","",[2]Entry!$M$222)</f>
        <v/>
      </c>
      <c r="X219">
        <f>IF([2]Entry!$N$222="","",[2]Entry!$N$222)</f>
        <v/>
      </c>
      <c r="Y219">
        <f>IF([2]Entry!$R$222="","",[2]Entry!$R$222)</f>
        <v/>
      </c>
    </row>
    <row r="220">
      <c r="K220">
        <f>IF([1]Accounts!$D$221="","",[1]Accounts!$A$221)</f>
        <v/>
      </c>
      <c r="L220">
        <f>IF([1]Accounts!$D$221="","",[1]Accounts!$B$221)</f>
        <v/>
      </c>
      <c r="M220">
        <f>IF([1]Accounts!$D$221="","",[1]Accounts!$C$221)</f>
        <v/>
      </c>
      <c r="N220">
        <f>IF([1]Accounts!$D$221="","",[1]Accounts!$D$221)</f>
        <v/>
      </c>
      <c r="P220">
        <f>IF([2]Entry!$C$223="","",[2]Entry!$C$223)</f>
        <v/>
      </c>
      <c r="Q220">
        <f>IF([2]Entry!$D$223="","",[2]Entry!$D$223)</f>
        <v/>
      </c>
      <c r="R220">
        <f>IF([2]Entry!$E$223="","",[2]Entry!$E$223)</f>
        <v/>
      </c>
      <c r="S220">
        <f>IF([2]Entry!$G$223="","",[2]Entry!$G$223)</f>
        <v/>
      </c>
      <c r="T220">
        <f>IF([2]Entry!$J$223="","",[2]Entry!$J$223)</f>
        <v/>
      </c>
      <c r="U220">
        <f>IF([2]Entry!$K$223="","",[2]Entry!$K$223)</f>
        <v/>
      </c>
      <c r="V220">
        <f>IF([2]Entry!$L$223="","",[2]Entry!$L$223)</f>
        <v/>
      </c>
      <c r="W220">
        <f>IF([2]Entry!$M$223="","",[2]Entry!$M$223)</f>
        <v/>
      </c>
      <c r="X220">
        <f>IF([2]Entry!$N$223="","",[2]Entry!$N$223)</f>
        <v/>
      </c>
      <c r="Y220">
        <f>IF([2]Entry!$R$223="","",[2]Entry!$R$223)</f>
        <v/>
      </c>
    </row>
    <row r="221">
      <c r="K221">
        <f>IF([1]Accounts!$D$222="","",[1]Accounts!$A$222)</f>
        <v/>
      </c>
      <c r="L221">
        <f>IF([1]Accounts!$D$222="","",[1]Accounts!$B$222)</f>
        <v/>
      </c>
      <c r="M221">
        <f>IF([1]Accounts!$D$222="","",[1]Accounts!$C$222)</f>
        <v/>
      </c>
      <c r="N221">
        <f>IF([1]Accounts!$D$222="","",[1]Accounts!$D$222)</f>
        <v/>
      </c>
      <c r="P221">
        <f>IF([2]Entry!$C$224="","",[2]Entry!$C$224)</f>
        <v/>
      </c>
      <c r="Q221">
        <f>IF([2]Entry!$D$224="","",[2]Entry!$D$224)</f>
        <v/>
      </c>
      <c r="R221">
        <f>IF([2]Entry!$E$224="","",[2]Entry!$E$224)</f>
        <v/>
      </c>
      <c r="S221">
        <f>IF([2]Entry!$G$224="","",[2]Entry!$G$224)</f>
        <v/>
      </c>
      <c r="T221">
        <f>IF([2]Entry!$J$224="","",[2]Entry!$J$224)</f>
        <v/>
      </c>
      <c r="U221">
        <f>IF([2]Entry!$K$224="","",[2]Entry!$K$224)</f>
        <v/>
      </c>
      <c r="V221">
        <f>IF([2]Entry!$L$224="","",[2]Entry!$L$224)</f>
        <v/>
      </c>
      <c r="W221">
        <f>IF([2]Entry!$M$224="","",[2]Entry!$M$224)</f>
        <v/>
      </c>
      <c r="X221">
        <f>IF([2]Entry!$N$224="","",[2]Entry!$N$224)</f>
        <v/>
      </c>
      <c r="Y221">
        <f>IF([2]Entry!$R$224="","",[2]Entry!$R$224)</f>
        <v/>
      </c>
    </row>
    <row r="222">
      <c r="K222">
        <f>IF([1]Accounts!$D$223="","",[1]Accounts!$A$223)</f>
        <v/>
      </c>
      <c r="L222">
        <f>IF([1]Accounts!$D$223="","",[1]Accounts!$B$223)</f>
        <v/>
      </c>
      <c r="M222">
        <f>IF([1]Accounts!$D$223="","",[1]Accounts!$C$223)</f>
        <v/>
      </c>
      <c r="N222">
        <f>IF([1]Accounts!$D$223="","",[1]Accounts!$D$223)</f>
        <v/>
      </c>
      <c r="P222">
        <f>IF([2]Entry!$C$225="","",[2]Entry!$C$225)</f>
        <v/>
      </c>
      <c r="Q222">
        <f>IF([2]Entry!$D$225="","",[2]Entry!$D$225)</f>
        <v/>
      </c>
      <c r="R222">
        <f>IF([2]Entry!$E$225="","",[2]Entry!$E$225)</f>
        <v/>
      </c>
      <c r="S222">
        <f>IF([2]Entry!$G$225="","",[2]Entry!$G$225)</f>
        <v/>
      </c>
      <c r="T222">
        <f>IF([2]Entry!$J$225="","",[2]Entry!$J$225)</f>
        <v/>
      </c>
      <c r="U222">
        <f>IF([2]Entry!$K$225="","",[2]Entry!$K$225)</f>
        <v/>
      </c>
      <c r="V222">
        <f>IF([2]Entry!$L$225="","",[2]Entry!$L$225)</f>
        <v/>
      </c>
      <c r="W222">
        <f>IF([2]Entry!$M$225="","",[2]Entry!$M$225)</f>
        <v/>
      </c>
      <c r="X222">
        <f>IF([2]Entry!$N$225="","",[2]Entry!$N$225)</f>
        <v/>
      </c>
      <c r="Y222">
        <f>IF([2]Entry!$R$225="","",[2]Entry!$R$225)</f>
        <v/>
      </c>
    </row>
    <row r="223">
      <c r="K223">
        <f>IF([1]Accounts!$D$224="","",[1]Accounts!$A$224)</f>
        <v/>
      </c>
      <c r="L223">
        <f>IF([1]Accounts!$D$224="","",[1]Accounts!$B$224)</f>
        <v/>
      </c>
      <c r="M223">
        <f>IF([1]Accounts!$D$224="","",[1]Accounts!$C$224)</f>
        <v/>
      </c>
      <c r="N223">
        <f>IF([1]Accounts!$D$224="","",[1]Accounts!$D$224)</f>
        <v/>
      </c>
      <c r="P223">
        <f>IF([2]Entry!$C$226="","",[2]Entry!$C$226)</f>
        <v/>
      </c>
      <c r="Q223">
        <f>IF([2]Entry!$D$226="","",[2]Entry!$D$226)</f>
        <v/>
      </c>
      <c r="R223">
        <f>IF([2]Entry!$E$226="","",[2]Entry!$E$226)</f>
        <v/>
      </c>
      <c r="S223">
        <f>IF([2]Entry!$G$226="","",[2]Entry!$G$226)</f>
        <v/>
      </c>
      <c r="T223">
        <f>IF([2]Entry!$J$226="","",[2]Entry!$J$226)</f>
        <v/>
      </c>
      <c r="U223">
        <f>IF([2]Entry!$K$226="","",[2]Entry!$K$226)</f>
        <v/>
      </c>
      <c r="V223">
        <f>IF([2]Entry!$L$226="","",[2]Entry!$L$226)</f>
        <v/>
      </c>
      <c r="W223">
        <f>IF([2]Entry!$M$226="","",[2]Entry!$M$226)</f>
        <v/>
      </c>
      <c r="X223">
        <f>IF([2]Entry!$N$226="","",[2]Entry!$N$226)</f>
        <v/>
      </c>
      <c r="Y223">
        <f>IF([2]Entry!$R$226="","",[2]Entry!$R$226)</f>
        <v/>
      </c>
    </row>
    <row r="224">
      <c r="K224">
        <f>IF([1]Accounts!$D$225="","",[1]Accounts!$A$225)</f>
        <v/>
      </c>
      <c r="L224">
        <f>IF([1]Accounts!$D$225="","",[1]Accounts!$B$225)</f>
        <v/>
      </c>
      <c r="M224">
        <f>IF([1]Accounts!$D$225="","",[1]Accounts!$C$225)</f>
        <v/>
      </c>
      <c r="N224">
        <f>IF([1]Accounts!$D$225="","",[1]Accounts!$D$225)</f>
        <v/>
      </c>
      <c r="P224">
        <f>IF([2]Entry!$C$227="","",[2]Entry!$C$227)</f>
        <v/>
      </c>
      <c r="Q224">
        <f>IF([2]Entry!$D$227="","",[2]Entry!$D$227)</f>
        <v/>
      </c>
      <c r="R224">
        <f>IF([2]Entry!$E$227="","",[2]Entry!$E$227)</f>
        <v/>
      </c>
      <c r="S224">
        <f>IF([2]Entry!$G$227="","",[2]Entry!$G$227)</f>
        <v/>
      </c>
      <c r="T224">
        <f>IF([2]Entry!$J$227="","",[2]Entry!$J$227)</f>
        <v/>
      </c>
      <c r="U224">
        <f>IF([2]Entry!$K$227="","",[2]Entry!$K$227)</f>
        <v/>
      </c>
      <c r="V224">
        <f>IF([2]Entry!$L$227="","",[2]Entry!$L$227)</f>
        <v/>
      </c>
      <c r="W224">
        <f>IF([2]Entry!$M$227="","",[2]Entry!$M$227)</f>
        <v/>
      </c>
      <c r="X224">
        <f>IF([2]Entry!$N$227="","",[2]Entry!$N$227)</f>
        <v/>
      </c>
      <c r="Y224">
        <f>IF([2]Entry!$R$227="","",[2]Entry!$R$227)</f>
        <v/>
      </c>
    </row>
    <row r="225">
      <c r="K225">
        <f>IF([1]Accounts!$D$226="","",[1]Accounts!$A$226)</f>
        <v/>
      </c>
      <c r="L225">
        <f>IF([1]Accounts!$D$226="","",[1]Accounts!$B$226)</f>
        <v/>
      </c>
      <c r="M225">
        <f>IF([1]Accounts!$D$226="","",[1]Accounts!$C$226)</f>
        <v/>
      </c>
      <c r="N225">
        <f>IF([1]Accounts!$D$226="","",[1]Accounts!$D$226)</f>
        <v/>
      </c>
      <c r="P225">
        <f>IF([2]Entry!$C$228="","",[2]Entry!$C$228)</f>
        <v/>
      </c>
      <c r="Q225">
        <f>IF([2]Entry!$D$228="","",[2]Entry!$D$228)</f>
        <v/>
      </c>
      <c r="R225">
        <f>IF([2]Entry!$E$228="","",[2]Entry!$E$228)</f>
        <v/>
      </c>
      <c r="S225">
        <f>IF([2]Entry!$G$228="","",[2]Entry!$G$228)</f>
        <v/>
      </c>
      <c r="T225">
        <f>IF([2]Entry!$J$228="","",[2]Entry!$J$228)</f>
        <v/>
      </c>
      <c r="U225">
        <f>IF([2]Entry!$K$228="","",[2]Entry!$K$228)</f>
        <v/>
      </c>
      <c r="V225">
        <f>IF([2]Entry!$L$228="","",[2]Entry!$L$228)</f>
        <v/>
      </c>
      <c r="W225">
        <f>IF([2]Entry!$M$228="","",[2]Entry!$M$228)</f>
        <v/>
      </c>
      <c r="X225">
        <f>IF([2]Entry!$N$228="","",[2]Entry!$N$228)</f>
        <v/>
      </c>
      <c r="Y225">
        <f>IF([2]Entry!$R$228="","",[2]Entry!$R$228)</f>
        <v/>
      </c>
    </row>
    <row r="226">
      <c r="K226">
        <f>IF([1]Accounts!$D$227="","",[1]Accounts!$A$227)</f>
        <v/>
      </c>
      <c r="L226">
        <f>IF([1]Accounts!$D$227="","",[1]Accounts!$B$227)</f>
        <v/>
      </c>
      <c r="M226">
        <f>IF([1]Accounts!$D$227="","",[1]Accounts!$C$227)</f>
        <v/>
      </c>
      <c r="N226">
        <f>IF([1]Accounts!$D$227="","",[1]Accounts!$D$227)</f>
        <v/>
      </c>
      <c r="P226">
        <f>IF([2]Entry!$C$229="","",[2]Entry!$C$229)</f>
        <v/>
      </c>
      <c r="Q226">
        <f>IF([2]Entry!$D$229="","",[2]Entry!$D$229)</f>
        <v/>
      </c>
      <c r="R226">
        <f>IF([2]Entry!$E$229="","",[2]Entry!$E$229)</f>
        <v/>
      </c>
      <c r="S226">
        <f>IF([2]Entry!$G$229="","",[2]Entry!$G$229)</f>
        <v/>
      </c>
      <c r="T226">
        <f>IF([2]Entry!$J$229="","",[2]Entry!$J$229)</f>
        <v/>
      </c>
      <c r="U226">
        <f>IF([2]Entry!$K$229="","",[2]Entry!$K$229)</f>
        <v/>
      </c>
      <c r="V226">
        <f>IF([2]Entry!$L$229="","",[2]Entry!$L$229)</f>
        <v/>
      </c>
      <c r="W226">
        <f>IF([2]Entry!$M$229="","",[2]Entry!$M$229)</f>
        <v/>
      </c>
      <c r="X226">
        <f>IF([2]Entry!$N$229="","",[2]Entry!$N$229)</f>
        <v/>
      </c>
      <c r="Y226">
        <f>IF([2]Entry!$R$229="","",[2]Entry!$R$229)</f>
        <v/>
      </c>
    </row>
    <row r="227">
      <c r="K227">
        <f>IF([1]Accounts!$D$228="","",[1]Accounts!$A$228)</f>
        <v/>
      </c>
      <c r="L227">
        <f>IF([1]Accounts!$D$228="","",[1]Accounts!$B$228)</f>
        <v/>
      </c>
      <c r="M227">
        <f>IF([1]Accounts!$D$228="","",[1]Accounts!$C$228)</f>
        <v/>
      </c>
      <c r="N227">
        <f>IF([1]Accounts!$D$228="","",[1]Accounts!$D$228)</f>
        <v/>
      </c>
      <c r="P227">
        <f>IF([2]Entry!$C$230="","",[2]Entry!$C$230)</f>
        <v/>
      </c>
      <c r="Q227">
        <f>IF([2]Entry!$D$230="","",[2]Entry!$D$230)</f>
        <v/>
      </c>
      <c r="R227">
        <f>IF([2]Entry!$E$230="","",[2]Entry!$E$230)</f>
        <v/>
      </c>
      <c r="S227">
        <f>IF([2]Entry!$G$230="","",[2]Entry!$G$230)</f>
        <v/>
      </c>
      <c r="T227">
        <f>IF([2]Entry!$J$230="","",[2]Entry!$J$230)</f>
        <v/>
      </c>
      <c r="U227">
        <f>IF([2]Entry!$K$230="","",[2]Entry!$K$230)</f>
        <v/>
      </c>
      <c r="V227">
        <f>IF([2]Entry!$L$230="","",[2]Entry!$L$230)</f>
        <v/>
      </c>
      <c r="W227">
        <f>IF([2]Entry!$M$230="","",[2]Entry!$M$230)</f>
        <v/>
      </c>
      <c r="X227">
        <f>IF([2]Entry!$N$230="","",[2]Entry!$N$230)</f>
        <v/>
      </c>
      <c r="Y227">
        <f>IF([2]Entry!$R$230="","",[2]Entry!$R$230)</f>
        <v/>
      </c>
    </row>
    <row r="228">
      <c r="K228">
        <f>IF([1]Accounts!$D$229="","",[1]Accounts!$A$229)</f>
        <v/>
      </c>
      <c r="L228">
        <f>IF([1]Accounts!$D$229="","",[1]Accounts!$B$229)</f>
        <v/>
      </c>
      <c r="M228">
        <f>IF([1]Accounts!$D$229="","",[1]Accounts!$C$229)</f>
        <v/>
      </c>
      <c r="N228">
        <f>IF([1]Accounts!$D$229="","",[1]Accounts!$D$229)</f>
        <v/>
      </c>
      <c r="P228">
        <f>IF([2]Entry!$C$231="","",[2]Entry!$C$231)</f>
        <v/>
      </c>
      <c r="Q228">
        <f>IF([2]Entry!$D$231="","",[2]Entry!$D$231)</f>
        <v/>
      </c>
      <c r="R228">
        <f>IF([2]Entry!$E$231="","",[2]Entry!$E$231)</f>
        <v/>
      </c>
      <c r="S228">
        <f>IF([2]Entry!$G$231="","",[2]Entry!$G$231)</f>
        <v/>
      </c>
      <c r="T228">
        <f>IF([2]Entry!$J$231="","",[2]Entry!$J$231)</f>
        <v/>
      </c>
      <c r="U228">
        <f>IF([2]Entry!$K$231="","",[2]Entry!$K$231)</f>
        <v/>
      </c>
      <c r="V228">
        <f>IF([2]Entry!$L$231="","",[2]Entry!$L$231)</f>
        <v/>
      </c>
      <c r="W228">
        <f>IF([2]Entry!$M$231="","",[2]Entry!$M$231)</f>
        <v/>
      </c>
      <c r="X228">
        <f>IF([2]Entry!$N$231="","",[2]Entry!$N$231)</f>
        <v/>
      </c>
      <c r="Y228">
        <f>IF([2]Entry!$R$231="","",[2]Entry!$R$231)</f>
        <v/>
      </c>
    </row>
    <row r="229">
      <c r="K229">
        <f>IF([1]Accounts!$D$230="","",[1]Accounts!$A$230)</f>
        <v/>
      </c>
      <c r="L229">
        <f>IF([1]Accounts!$D$230="","",[1]Accounts!$B$230)</f>
        <v/>
      </c>
      <c r="M229">
        <f>IF([1]Accounts!$D$230="","",[1]Accounts!$C$230)</f>
        <v/>
      </c>
      <c r="N229">
        <f>IF([1]Accounts!$D$230="","",[1]Accounts!$D$230)</f>
        <v/>
      </c>
      <c r="P229">
        <f>IF([2]Entry!$C$232="","",[2]Entry!$C$232)</f>
        <v/>
      </c>
      <c r="Q229">
        <f>IF([2]Entry!$D$232="","",[2]Entry!$D$232)</f>
        <v/>
      </c>
      <c r="R229">
        <f>IF([2]Entry!$E$232="","",[2]Entry!$E$232)</f>
        <v/>
      </c>
      <c r="S229">
        <f>IF([2]Entry!$G$232="","",[2]Entry!$G$232)</f>
        <v/>
      </c>
      <c r="T229">
        <f>IF([2]Entry!$J$232="","",[2]Entry!$J$232)</f>
        <v/>
      </c>
      <c r="U229">
        <f>IF([2]Entry!$K$232="","",[2]Entry!$K$232)</f>
        <v/>
      </c>
      <c r="V229">
        <f>IF([2]Entry!$L$232="","",[2]Entry!$L$232)</f>
        <v/>
      </c>
      <c r="W229">
        <f>IF([2]Entry!$M$232="","",[2]Entry!$M$232)</f>
        <v/>
      </c>
      <c r="X229">
        <f>IF([2]Entry!$N$232="","",[2]Entry!$N$232)</f>
        <v/>
      </c>
      <c r="Y229">
        <f>IF([2]Entry!$R$232="","",[2]Entry!$R$232)</f>
        <v/>
      </c>
    </row>
    <row r="230">
      <c r="K230">
        <f>IF([1]Accounts!$D$231="","",[1]Accounts!$A$231)</f>
        <v/>
      </c>
      <c r="L230">
        <f>IF([1]Accounts!$D$231="","",[1]Accounts!$B$231)</f>
        <v/>
      </c>
      <c r="M230">
        <f>IF([1]Accounts!$D$231="","",[1]Accounts!$C$231)</f>
        <v/>
      </c>
      <c r="N230">
        <f>IF([1]Accounts!$D$231="","",[1]Accounts!$D$231)</f>
        <v/>
      </c>
      <c r="P230">
        <f>IF([2]Entry!$C$233="","",[2]Entry!$C$233)</f>
        <v/>
      </c>
      <c r="Q230">
        <f>IF([2]Entry!$D$233="","",[2]Entry!$D$233)</f>
        <v/>
      </c>
      <c r="R230">
        <f>IF([2]Entry!$E$233="","",[2]Entry!$E$233)</f>
        <v/>
      </c>
      <c r="S230">
        <f>IF([2]Entry!$G$233="","",[2]Entry!$G$233)</f>
        <v/>
      </c>
      <c r="T230">
        <f>IF([2]Entry!$J$233="","",[2]Entry!$J$233)</f>
        <v/>
      </c>
      <c r="U230">
        <f>IF([2]Entry!$K$233="","",[2]Entry!$K$233)</f>
        <v/>
      </c>
      <c r="V230">
        <f>IF([2]Entry!$L$233="","",[2]Entry!$L$233)</f>
        <v/>
      </c>
      <c r="W230">
        <f>IF([2]Entry!$M$233="","",[2]Entry!$M$233)</f>
        <v/>
      </c>
      <c r="X230">
        <f>IF([2]Entry!$N$233="","",[2]Entry!$N$233)</f>
        <v/>
      </c>
      <c r="Y230">
        <f>IF([2]Entry!$R$233="","",[2]Entry!$R$233)</f>
        <v/>
      </c>
    </row>
    <row r="231">
      <c r="K231">
        <f>IF([1]Accounts!$D$232="","",[1]Accounts!$A$232)</f>
        <v/>
      </c>
      <c r="L231">
        <f>IF([1]Accounts!$D$232="","",[1]Accounts!$B$232)</f>
        <v/>
      </c>
      <c r="M231">
        <f>IF([1]Accounts!$D$232="","",[1]Accounts!$C$232)</f>
        <v/>
      </c>
      <c r="N231">
        <f>IF([1]Accounts!$D$232="","",[1]Accounts!$D$232)</f>
        <v/>
      </c>
      <c r="P231">
        <f>IF([2]Entry!$C$234="","",[2]Entry!$C$234)</f>
        <v/>
      </c>
      <c r="Q231">
        <f>IF([2]Entry!$D$234="","",[2]Entry!$D$234)</f>
        <v/>
      </c>
      <c r="R231">
        <f>IF([2]Entry!$E$234="","",[2]Entry!$E$234)</f>
        <v/>
      </c>
      <c r="S231">
        <f>IF([2]Entry!$G$234="","",[2]Entry!$G$234)</f>
        <v/>
      </c>
      <c r="T231">
        <f>IF([2]Entry!$J$234="","",[2]Entry!$J$234)</f>
        <v/>
      </c>
      <c r="U231">
        <f>IF([2]Entry!$K$234="","",[2]Entry!$K$234)</f>
        <v/>
      </c>
      <c r="V231">
        <f>IF([2]Entry!$L$234="","",[2]Entry!$L$234)</f>
        <v/>
      </c>
      <c r="W231">
        <f>IF([2]Entry!$M$234="","",[2]Entry!$M$234)</f>
        <v/>
      </c>
      <c r="X231">
        <f>IF([2]Entry!$N$234="","",[2]Entry!$N$234)</f>
        <v/>
      </c>
      <c r="Y231">
        <f>IF([2]Entry!$R$234="","",[2]Entry!$R$234)</f>
        <v/>
      </c>
    </row>
    <row r="232">
      <c r="K232">
        <f>IF([1]Accounts!$D$233="","",[1]Accounts!$A$233)</f>
        <v/>
      </c>
      <c r="L232">
        <f>IF([1]Accounts!$D$233="","",[1]Accounts!$B$233)</f>
        <v/>
      </c>
      <c r="M232">
        <f>IF([1]Accounts!$D$233="","",[1]Accounts!$C$233)</f>
        <v/>
      </c>
      <c r="N232">
        <f>IF([1]Accounts!$D$233="","",[1]Accounts!$D$233)</f>
        <v/>
      </c>
      <c r="P232">
        <f>IF([2]Entry!$C$235="","",[2]Entry!$C$235)</f>
        <v/>
      </c>
      <c r="Q232">
        <f>IF([2]Entry!$D$235="","",[2]Entry!$D$235)</f>
        <v/>
      </c>
      <c r="R232">
        <f>IF([2]Entry!$E$235="","",[2]Entry!$E$235)</f>
        <v/>
      </c>
      <c r="S232">
        <f>IF([2]Entry!$G$235="","",[2]Entry!$G$235)</f>
        <v/>
      </c>
      <c r="T232">
        <f>IF([2]Entry!$J$235="","",[2]Entry!$J$235)</f>
        <v/>
      </c>
      <c r="U232">
        <f>IF([2]Entry!$K$235="","",[2]Entry!$K$235)</f>
        <v/>
      </c>
      <c r="V232">
        <f>IF([2]Entry!$L$235="","",[2]Entry!$L$235)</f>
        <v/>
      </c>
      <c r="W232">
        <f>IF([2]Entry!$M$235="","",[2]Entry!$M$235)</f>
        <v/>
      </c>
      <c r="X232">
        <f>IF([2]Entry!$N$235="","",[2]Entry!$N$235)</f>
        <v/>
      </c>
      <c r="Y232">
        <f>IF([2]Entry!$R$235="","",[2]Entry!$R$235)</f>
        <v/>
      </c>
    </row>
    <row r="233">
      <c r="K233">
        <f>IF([1]Accounts!$D$234="","",[1]Accounts!$A$234)</f>
        <v/>
      </c>
      <c r="L233">
        <f>IF([1]Accounts!$D$234="","",[1]Accounts!$B$234)</f>
        <v/>
      </c>
      <c r="M233">
        <f>IF([1]Accounts!$D$234="","",[1]Accounts!$C$234)</f>
        <v/>
      </c>
      <c r="N233">
        <f>IF([1]Accounts!$D$234="","",[1]Accounts!$D$234)</f>
        <v/>
      </c>
      <c r="P233">
        <f>IF([2]Entry!$C$236="","",[2]Entry!$C$236)</f>
        <v/>
      </c>
      <c r="Q233">
        <f>IF([2]Entry!$D$236="","",[2]Entry!$D$236)</f>
        <v/>
      </c>
      <c r="R233">
        <f>IF([2]Entry!$E$236="","",[2]Entry!$E$236)</f>
        <v/>
      </c>
      <c r="S233">
        <f>IF([2]Entry!$G$236="","",[2]Entry!$G$236)</f>
        <v/>
      </c>
      <c r="T233">
        <f>IF([2]Entry!$J$236="","",[2]Entry!$J$236)</f>
        <v/>
      </c>
      <c r="U233">
        <f>IF([2]Entry!$K$236="","",[2]Entry!$K$236)</f>
        <v/>
      </c>
      <c r="V233">
        <f>IF([2]Entry!$L$236="","",[2]Entry!$L$236)</f>
        <v/>
      </c>
      <c r="W233">
        <f>IF([2]Entry!$M$236="","",[2]Entry!$M$236)</f>
        <v/>
      </c>
      <c r="X233">
        <f>IF([2]Entry!$N$236="","",[2]Entry!$N$236)</f>
        <v/>
      </c>
      <c r="Y233">
        <f>IF([2]Entry!$R$236="","",[2]Entry!$R$236)</f>
        <v/>
      </c>
    </row>
    <row r="234">
      <c r="K234">
        <f>IF([1]Accounts!$D$235="","",[1]Accounts!$A$235)</f>
        <v/>
      </c>
      <c r="L234">
        <f>IF([1]Accounts!$D$235="","",[1]Accounts!$B$235)</f>
        <v/>
      </c>
      <c r="M234">
        <f>IF([1]Accounts!$D$235="","",[1]Accounts!$C$235)</f>
        <v/>
      </c>
      <c r="N234">
        <f>IF([1]Accounts!$D$235="","",[1]Accounts!$D$235)</f>
        <v/>
      </c>
      <c r="P234">
        <f>IF([2]Entry!$C$237="","",[2]Entry!$C$237)</f>
        <v/>
      </c>
      <c r="Q234">
        <f>IF([2]Entry!$D$237="","",[2]Entry!$D$237)</f>
        <v/>
      </c>
      <c r="R234">
        <f>IF([2]Entry!$E$237="","",[2]Entry!$E$237)</f>
        <v/>
      </c>
      <c r="S234">
        <f>IF([2]Entry!$G$237="","",[2]Entry!$G$237)</f>
        <v/>
      </c>
      <c r="T234">
        <f>IF([2]Entry!$J$237="","",[2]Entry!$J$237)</f>
        <v/>
      </c>
      <c r="U234">
        <f>IF([2]Entry!$K$237="","",[2]Entry!$K$237)</f>
        <v/>
      </c>
      <c r="V234">
        <f>IF([2]Entry!$L$237="","",[2]Entry!$L$237)</f>
        <v/>
      </c>
      <c r="W234">
        <f>IF([2]Entry!$M$237="","",[2]Entry!$M$237)</f>
        <v/>
      </c>
      <c r="X234">
        <f>IF([2]Entry!$N$237="","",[2]Entry!$N$237)</f>
        <v/>
      </c>
      <c r="Y234">
        <f>IF([2]Entry!$R$237="","",[2]Entry!$R$237)</f>
        <v/>
      </c>
    </row>
    <row r="235">
      <c r="K235">
        <f>IF([1]Accounts!$D$236="","",[1]Accounts!$A$236)</f>
        <v/>
      </c>
      <c r="L235">
        <f>IF([1]Accounts!$D$236="","",[1]Accounts!$B$236)</f>
        <v/>
      </c>
      <c r="M235">
        <f>IF([1]Accounts!$D$236="","",[1]Accounts!$C$236)</f>
        <v/>
      </c>
      <c r="N235">
        <f>IF([1]Accounts!$D$236="","",[1]Accounts!$D$236)</f>
        <v/>
      </c>
      <c r="P235">
        <f>IF([2]Entry!$C$238="","",[2]Entry!$C$238)</f>
        <v/>
      </c>
      <c r="Q235">
        <f>IF([2]Entry!$D$238="","",[2]Entry!$D$238)</f>
        <v/>
      </c>
      <c r="R235">
        <f>IF([2]Entry!$E$238="","",[2]Entry!$E$238)</f>
        <v/>
      </c>
      <c r="S235">
        <f>IF([2]Entry!$G$238="","",[2]Entry!$G$238)</f>
        <v/>
      </c>
      <c r="T235">
        <f>IF([2]Entry!$J$238="","",[2]Entry!$J$238)</f>
        <v/>
      </c>
      <c r="U235">
        <f>IF([2]Entry!$K$238="","",[2]Entry!$K$238)</f>
        <v/>
      </c>
      <c r="V235">
        <f>IF([2]Entry!$L$238="","",[2]Entry!$L$238)</f>
        <v/>
      </c>
      <c r="W235">
        <f>IF([2]Entry!$M$238="","",[2]Entry!$M$238)</f>
        <v/>
      </c>
      <c r="X235">
        <f>IF([2]Entry!$N$238="","",[2]Entry!$N$238)</f>
        <v/>
      </c>
      <c r="Y235">
        <f>IF([2]Entry!$R$238="","",[2]Entry!$R$238)</f>
        <v/>
      </c>
    </row>
    <row r="236">
      <c r="K236">
        <f>IF([1]Accounts!$D$237="","",[1]Accounts!$A$237)</f>
        <v/>
      </c>
      <c r="L236">
        <f>IF([1]Accounts!$D$237="","",[1]Accounts!$B$237)</f>
        <v/>
      </c>
      <c r="M236">
        <f>IF([1]Accounts!$D$237="","",[1]Accounts!$C$237)</f>
        <v/>
      </c>
      <c r="N236">
        <f>IF([1]Accounts!$D$237="","",[1]Accounts!$D$237)</f>
        <v/>
      </c>
      <c r="P236">
        <f>IF([2]Entry!$C$239="","",[2]Entry!$C$239)</f>
        <v/>
      </c>
      <c r="Q236">
        <f>IF([2]Entry!$D$239="","",[2]Entry!$D$239)</f>
        <v/>
      </c>
      <c r="R236">
        <f>IF([2]Entry!$E$239="","",[2]Entry!$E$239)</f>
        <v/>
      </c>
      <c r="S236">
        <f>IF([2]Entry!$G$239="","",[2]Entry!$G$239)</f>
        <v/>
      </c>
      <c r="T236">
        <f>IF([2]Entry!$J$239="","",[2]Entry!$J$239)</f>
        <v/>
      </c>
      <c r="U236">
        <f>IF([2]Entry!$K$239="","",[2]Entry!$K$239)</f>
        <v/>
      </c>
      <c r="V236">
        <f>IF([2]Entry!$L$239="","",[2]Entry!$L$239)</f>
        <v/>
      </c>
      <c r="W236">
        <f>IF([2]Entry!$M$239="","",[2]Entry!$M$239)</f>
        <v/>
      </c>
      <c r="X236">
        <f>IF([2]Entry!$N$239="","",[2]Entry!$N$239)</f>
        <v/>
      </c>
      <c r="Y236">
        <f>IF([2]Entry!$R$239="","",[2]Entry!$R$239)</f>
        <v/>
      </c>
    </row>
    <row r="237">
      <c r="K237">
        <f>IF([1]Accounts!$D$238="","",[1]Accounts!$A$238)</f>
        <v/>
      </c>
      <c r="L237">
        <f>IF([1]Accounts!$D$238="","",[1]Accounts!$B$238)</f>
        <v/>
      </c>
      <c r="M237">
        <f>IF([1]Accounts!$D$238="","",[1]Accounts!$C$238)</f>
        <v/>
      </c>
      <c r="N237">
        <f>IF([1]Accounts!$D$238="","",[1]Accounts!$D$238)</f>
        <v/>
      </c>
      <c r="P237">
        <f>IF([2]Entry!$C$240="","",[2]Entry!$C$240)</f>
        <v/>
      </c>
      <c r="Q237">
        <f>IF([2]Entry!$D$240="","",[2]Entry!$D$240)</f>
        <v/>
      </c>
      <c r="R237">
        <f>IF([2]Entry!$E$240="","",[2]Entry!$E$240)</f>
        <v/>
      </c>
      <c r="S237">
        <f>IF([2]Entry!$G$240="","",[2]Entry!$G$240)</f>
        <v/>
      </c>
      <c r="T237">
        <f>IF([2]Entry!$J$240="","",[2]Entry!$J$240)</f>
        <v/>
      </c>
      <c r="U237">
        <f>IF([2]Entry!$K$240="","",[2]Entry!$K$240)</f>
        <v/>
      </c>
      <c r="V237">
        <f>IF([2]Entry!$L$240="","",[2]Entry!$L$240)</f>
        <v/>
      </c>
      <c r="W237">
        <f>IF([2]Entry!$M$240="","",[2]Entry!$M$240)</f>
        <v/>
      </c>
      <c r="X237">
        <f>IF([2]Entry!$N$240="","",[2]Entry!$N$240)</f>
        <v/>
      </c>
      <c r="Y237">
        <f>IF([2]Entry!$R$240="","",[2]Entry!$R$240)</f>
        <v/>
      </c>
    </row>
    <row r="238">
      <c r="K238">
        <f>IF([1]Accounts!$D$239="","",[1]Accounts!$A$239)</f>
        <v/>
      </c>
      <c r="L238">
        <f>IF([1]Accounts!$D$239="","",[1]Accounts!$B$239)</f>
        <v/>
      </c>
      <c r="M238">
        <f>IF([1]Accounts!$D$239="","",[1]Accounts!$C$239)</f>
        <v/>
      </c>
      <c r="N238">
        <f>IF([1]Accounts!$D$239="","",[1]Accounts!$D$239)</f>
        <v/>
      </c>
      <c r="P238">
        <f>IF([2]Entry!$C$241="","",[2]Entry!$C$241)</f>
        <v/>
      </c>
      <c r="Q238">
        <f>IF([2]Entry!$D$241="","",[2]Entry!$D$241)</f>
        <v/>
      </c>
      <c r="R238">
        <f>IF([2]Entry!$E$241="","",[2]Entry!$E$241)</f>
        <v/>
      </c>
      <c r="S238">
        <f>IF([2]Entry!$G$241="","",[2]Entry!$G$241)</f>
        <v/>
      </c>
      <c r="T238">
        <f>IF([2]Entry!$J$241="","",[2]Entry!$J$241)</f>
        <v/>
      </c>
      <c r="U238">
        <f>IF([2]Entry!$K$241="","",[2]Entry!$K$241)</f>
        <v/>
      </c>
      <c r="V238">
        <f>IF([2]Entry!$L$241="","",[2]Entry!$L$241)</f>
        <v/>
      </c>
      <c r="W238">
        <f>IF([2]Entry!$M$241="","",[2]Entry!$M$241)</f>
        <v/>
      </c>
      <c r="X238">
        <f>IF([2]Entry!$N$241="","",[2]Entry!$N$241)</f>
        <v/>
      </c>
      <c r="Y238">
        <f>IF([2]Entry!$R$241="","",[2]Entry!$R$241)</f>
        <v/>
      </c>
    </row>
    <row r="239">
      <c r="K239">
        <f>IF([1]Accounts!$D$240="","",[1]Accounts!$A$240)</f>
        <v/>
      </c>
      <c r="L239">
        <f>IF([1]Accounts!$D$240="","",[1]Accounts!$B$240)</f>
        <v/>
      </c>
      <c r="M239">
        <f>IF([1]Accounts!$D$240="","",[1]Accounts!$C$240)</f>
        <v/>
      </c>
      <c r="N239">
        <f>IF([1]Accounts!$D$240="","",[1]Accounts!$D$240)</f>
        <v/>
      </c>
      <c r="P239">
        <f>IF([2]Entry!$C$242="","",[2]Entry!$C$242)</f>
        <v/>
      </c>
      <c r="Q239">
        <f>IF([2]Entry!$D$242="","",[2]Entry!$D$242)</f>
        <v/>
      </c>
      <c r="R239">
        <f>IF([2]Entry!$E$242="","",[2]Entry!$E$242)</f>
        <v/>
      </c>
      <c r="S239">
        <f>IF([2]Entry!$G$242="","",[2]Entry!$G$242)</f>
        <v/>
      </c>
      <c r="T239">
        <f>IF([2]Entry!$J$242="","",[2]Entry!$J$242)</f>
        <v/>
      </c>
      <c r="U239">
        <f>IF([2]Entry!$K$242="","",[2]Entry!$K$242)</f>
        <v/>
      </c>
      <c r="V239">
        <f>IF([2]Entry!$L$242="","",[2]Entry!$L$242)</f>
        <v/>
      </c>
      <c r="W239">
        <f>IF([2]Entry!$M$242="","",[2]Entry!$M$242)</f>
        <v/>
      </c>
      <c r="X239">
        <f>IF([2]Entry!$N$242="","",[2]Entry!$N$242)</f>
        <v/>
      </c>
      <c r="Y239">
        <f>IF([2]Entry!$R$242="","",[2]Entry!$R$242)</f>
        <v/>
      </c>
    </row>
    <row r="240">
      <c r="K240">
        <f>IF([1]Accounts!$D$241="","",[1]Accounts!$A$241)</f>
        <v/>
      </c>
      <c r="L240">
        <f>IF([1]Accounts!$D$241="","",[1]Accounts!$B$241)</f>
        <v/>
      </c>
      <c r="M240">
        <f>IF([1]Accounts!$D$241="","",[1]Accounts!$C$241)</f>
        <v/>
      </c>
      <c r="N240">
        <f>IF([1]Accounts!$D$241="","",[1]Accounts!$D$241)</f>
        <v/>
      </c>
      <c r="P240">
        <f>IF([2]Entry!$C$243="","",[2]Entry!$C$243)</f>
        <v/>
      </c>
      <c r="Q240">
        <f>IF([2]Entry!$D$243="","",[2]Entry!$D$243)</f>
        <v/>
      </c>
      <c r="R240">
        <f>IF([2]Entry!$E$243="","",[2]Entry!$E$243)</f>
        <v/>
      </c>
      <c r="S240">
        <f>IF([2]Entry!$G$243="","",[2]Entry!$G$243)</f>
        <v/>
      </c>
      <c r="T240">
        <f>IF([2]Entry!$J$243="","",[2]Entry!$J$243)</f>
        <v/>
      </c>
      <c r="U240">
        <f>IF([2]Entry!$K$243="","",[2]Entry!$K$243)</f>
        <v/>
      </c>
      <c r="V240">
        <f>IF([2]Entry!$L$243="","",[2]Entry!$L$243)</f>
        <v/>
      </c>
      <c r="W240">
        <f>IF([2]Entry!$M$243="","",[2]Entry!$M$243)</f>
        <v/>
      </c>
      <c r="X240">
        <f>IF([2]Entry!$N$243="","",[2]Entry!$N$243)</f>
        <v/>
      </c>
      <c r="Y240">
        <f>IF([2]Entry!$R$243="","",[2]Entry!$R$243)</f>
        <v/>
      </c>
    </row>
    <row r="241">
      <c r="K241">
        <f>IF([1]Accounts!$D$242="","",[1]Accounts!$A$242)</f>
        <v/>
      </c>
      <c r="L241">
        <f>IF([1]Accounts!$D$242="","",[1]Accounts!$B$242)</f>
        <v/>
      </c>
      <c r="M241">
        <f>IF([1]Accounts!$D$242="","",[1]Accounts!$C$242)</f>
        <v/>
      </c>
      <c r="N241">
        <f>IF([1]Accounts!$D$242="","",[1]Accounts!$D$242)</f>
        <v/>
      </c>
      <c r="P241">
        <f>IF([2]Entry!$C$244="","",[2]Entry!$C$244)</f>
        <v/>
      </c>
      <c r="Q241">
        <f>IF([2]Entry!$D$244="","",[2]Entry!$D$244)</f>
        <v/>
      </c>
      <c r="R241">
        <f>IF([2]Entry!$E$244="","",[2]Entry!$E$244)</f>
        <v/>
      </c>
      <c r="S241">
        <f>IF([2]Entry!$G$244="","",[2]Entry!$G$244)</f>
        <v/>
      </c>
      <c r="T241">
        <f>IF([2]Entry!$J$244="","",[2]Entry!$J$244)</f>
        <v/>
      </c>
      <c r="U241">
        <f>IF([2]Entry!$K$244="","",[2]Entry!$K$244)</f>
        <v/>
      </c>
      <c r="V241">
        <f>IF([2]Entry!$L$244="","",[2]Entry!$L$244)</f>
        <v/>
      </c>
      <c r="W241">
        <f>IF([2]Entry!$M$244="","",[2]Entry!$M$244)</f>
        <v/>
      </c>
      <c r="X241">
        <f>IF([2]Entry!$N$244="","",[2]Entry!$N$244)</f>
        <v/>
      </c>
      <c r="Y241">
        <f>IF([2]Entry!$R$244="","",[2]Entry!$R$244)</f>
        <v/>
      </c>
    </row>
    <row r="242">
      <c r="K242">
        <f>IF([1]Accounts!$D$243="","",[1]Accounts!$A$243)</f>
        <v/>
      </c>
      <c r="L242">
        <f>IF([1]Accounts!$D$243="","",[1]Accounts!$B$243)</f>
        <v/>
      </c>
      <c r="M242">
        <f>IF([1]Accounts!$D$243="","",[1]Accounts!$C$243)</f>
        <v/>
      </c>
      <c r="N242">
        <f>IF([1]Accounts!$D$243="","",[1]Accounts!$D$243)</f>
        <v/>
      </c>
      <c r="P242">
        <f>IF([2]Entry!$C$245="","",[2]Entry!$C$245)</f>
        <v/>
      </c>
      <c r="Q242">
        <f>IF([2]Entry!$D$245="","",[2]Entry!$D$245)</f>
        <v/>
      </c>
      <c r="R242">
        <f>IF([2]Entry!$E$245="","",[2]Entry!$E$245)</f>
        <v/>
      </c>
      <c r="S242">
        <f>IF([2]Entry!$G$245="","",[2]Entry!$G$245)</f>
        <v/>
      </c>
      <c r="T242">
        <f>IF([2]Entry!$J$245="","",[2]Entry!$J$245)</f>
        <v/>
      </c>
      <c r="U242">
        <f>IF([2]Entry!$K$245="","",[2]Entry!$K$245)</f>
        <v/>
      </c>
      <c r="V242">
        <f>IF([2]Entry!$L$245="","",[2]Entry!$L$245)</f>
        <v/>
      </c>
      <c r="W242">
        <f>IF([2]Entry!$M$245="","",[2]Entry!$M$245)</f>
        <v/>
      </c>
      <c r="X242">
        <f>IF([2]Entry!$N$245="","",[2]Entry!$N$245)</f>
        <v/>
      </c>
      <c r="Y242">
        <f>IF([2]Entry!$R$245="","",[2]Entry!$R$245)</f>
        <v/>
      </c>
    </row>
    <row r="243">
      <c r="K243">
        <f>IF([1]Accounts!$D$244="","",[1]Accounts!$A$244)</f>
        <v/>
      </c>
      <c r="L243">
        <f>IF([1]Accounts!$D$244="","",[1]Accounts!$B$244)</f>
        <v/>
      </c>
      <c r="M243">
        <f>IF([1]Accounts!$D$244="","",[1]Accounts!$C$244)</f>
        <v/>
      </c>
      <c r="N243">
        <f>IF([1]Accounts!$D$244="","",[1]Accounts!$D$244)</f>
        <v/>
      </c>
      <c r="P243">
        <f>IF([2]Entry!$C$246="","",[2]Entry!$C$246)</f>
        <v/>
      </c>
      <c r="Q243">
        <f>IF([2]Entry!$D$246="","",[2]Entry!$D$246)</f>
        <v/>
      </c>
      <c r="R243">
        <f>IF([2]Entry!$E$246="","",[2]Entry!$E$246)</f>
        <v/>
      </c>
      <c r="S243">
        <f>IF([2]Entry!$G$246="","",[2]Entry!$G$246)</f>
        <v/>
      </c>
      <c r="T243">
        <f>IF([2]Entry!$J$246="","",[2]Entry!$J$246)</f>
        <v/>
      </c>
      <c r="U243">
        <f>IF([2]Entry!$K$246="","",[2]Entry!$K$246)</f>
        <v/>
      </c>
      <c r="V243">
        <f>IF([2]Entry!$L$246="","",[2]Entry!$L$246)</f>
        <v/>
      </c>
      <c r="W243">
        <f>IF([2]Entry!$M$246="","",[2]Entry!$M$246)</f>
        <v/>
      </c>
      <c r="X243">
        <f>IF([2]Entry!$N$246="","",[2]Entry!$N$246)</f>
        <v/>
      </c>
      <c r="Y243">
        <f>IF([2]Entry!$R$246="","",[2]Entry!$R$246)</f>
        <v/>
      </c>
    </row>
    <row r="244">
      <c r="K244">
        <f>IF([1]Accounts!$D$245="","",[1]Accounts!$A$245)</f>
        <v/>
      </c>
      <c r="L244">
        <f>IF([1]Accounts!$D$245="","",[1]Accounts!$B$245)</f>
        <v/>
      </c>
      <c r="M244">
        <f>IF([1]Accounts!$D$245="","",[1]Accounts!$C$245)</f>
        <v/>
      </c>
      <c r="N244">
        <f>IF([1]Accounts!$D$245="","",[1]Accounts!$D$245)</f>
        <v/>
      </c>
      <c r="P244">
        <f>IF([2]Entry!$C$247="","",[2]Entry!$C$247)</f>
        <v/>
      </c>
      <c r="Q244">
        <f>IF([2]Entry!$D$247="","",[2]Entry!$D$247)</f>
        <v/>
      </c>
      <c r="R244">
        <f>IF([2]Entry!$E$247="","",[2]Entry!$E$247)</f>
        <v/>
      </c>
      <c r="S244">
        <f>IF([2]Entry!$G$247="","",[2]Entry!$G$247)</f>
        <v/>
      </c>
      <c r="T244">
        <f>IF([2]Entry!$J$247="","",[2]Entry!$J$247)</f>
        <v/>
      </c>
      <c r="U244">
        <f>IF([2]Entry!$K$247="","",[2]Entry!$K$247)</f>
        <v/>
      </c>
      <c r="V244">
        <f>IF([2]Entry!$L$247="","",[2]Entry!$L$247)</f>
        <v/>
      </c>
      <c r="W244">
        <f>IF([2]Entry!$M$247="","",[2]Entry!$M$247)</f>
        <v/>
      </c>
      <c r="X244">
        <f>IF([2]Entry!$N$247="","",[2]Entry!$N$247)</f>
        <v/>
      </c>
      <c r="Y244">
        <f>IF([2]Entry!$R$247="","",[2]Entry!$R$247)</f>
        <v/>
      </c>
    </row>
    <row r="245">
      <c r="K245">
        <f>IF([1]Accounts!$D$246="","",[1]Accounts!$A$246)</f>
        <v/>
      </c>
      <c r="L245">
        <f>IF([1]Accounts!$D$246="","",[1]Accounts!$B$246)</f>
        <v/>
      </c>
      <c r="M245">
        <f>IF([1]Accounts!$D$246="","",[1]Accounts!$C$246)</f>
        <v/>
      </c>
      <c r="N245">
        <f>IF([1]Accounts!$D$246="","",[1]Accounts!$D$246)</f>
        <v/>
      </c>
      <c r="P245">
        <f>IF([2]Entry!$C$248="","",[2]Entry!$C$248)</f>
        <v/>
      </c>
      <c r="Q245">
        <f>IF([2]Entry!$D$248="","",[2]Entry!$D$248)</f>
        <v/>
      </c>
      <c r="R245">
        <f>IF([2]Entry!$E$248="","",[2]Entry!$E$248)</f>
        <v/>
      </c>
      <c r="S245">
        <f>IF([2]Entry!$G$248="","",[2]Entry!$G$248)</f>
        <v/>
      </c>
      <c r="T245">
        <f>IF([2]Entry!$J$248="","",[2]Entry!$J$248)</f>
        <v/>
      </c>
      <c r="U245">
        <f>IF([2]Entry!$K$248="","",[2]Entry!$K$248)</f>
        <v/>
      </c>
      <c r="V245">
        <f>IF([2]Entry!$L$248="","",[2]Entry!$L$248)</f>
        <v/>
      </c>
      <c r="W245">
        <f>IF([2]Entry!$M$248="","",[2]Entry!$M$248)</f>
        <v/>
      </c>
      <c r="X245">
        <f>IF([2]Entry!$N$248="","",[2]Entry!$N$248)</f>
        <v/>
      </c>
      <c r="Y245">
        <f>IF([2]Entry!$R$248="","",[2]Entry!$R$248)</f>
        <v/>
      </c>
    </row>
    <row r="246">
      <c r="K246">
        <f>IF([1]Accounts!$D$247="","",[1]Accounts!$A$247)</f>
        <v/>
      </c>
      <c r="L246">
        <f>IF([1]Accounts!$D$247="","",[1]Accounts!$B$247)</f>
        <v/>
      </c>
      <c r="M246">
        <f>IF([1]Accounts!$D$247="","",[1]Accounts!$C$247)</f>
        <v/>
      </c>
      <c r="N246">
        <f>IF([1]Accounts!$D$247="","",[1]Accounts!$D$247)</f>
        <v/>
      </c>
      <c r="P246">
        <f>IF([2]Entry!$C$249="","",[2]Entry!$C$249)</f>
        <v/>
      </c>
      <c r="Q246">
        <f>IF([2]Entry!$D$249="","",[2]Entry!$D$249)</f>
        <v/>
      </c>
      <c r="R246">
        <f>IF([2]Entry!$E$249="","",[2]Entry!$E$249)</f>
        <v/>
      </c>
      <c r="S246">
        <f>IF([2]Entry!$G$249="","",[2]Entry!$G$249)</f>
        <v/>
      </c>
      <c r="T246">
        <f>IF([2]Entry!$J$249="","",[2]Entry!$J$249)</f>
        <v/>
      </c>
      <c r="U246">
        <f>IF([2]Entry!$K$249="","",[2]Entry!$K$249)</f>
        <v/>
      </c>
      <c r="V246">
        <f>IF([2]Entry!$L$249="","",[2]Entry!$L$249)</f>
        <v/>
      </c>
      <c r="W246">
        <f>IF([2]Entry!$M$249="","",[2]Entry!$M$249)</f>
        <v/>
      </c>
      <c r="X246">
        <f>IF([2]Entry!$N$249="","",[2]Entry!$N$249)</f>
        <v/>
      </c>
      <c r="Y246">
        <f>IF([2]Entry!$R$249="","",[2]Entry!$R$249)</f>
        <v/>
      </c>
    </row>
    <row r="247">
      <c r="K247">
        <f>IF([1]Accounts!$D$248="","",[1]Accounts!$A$248)</f>
        <v/>
      </c>
      <c r="L247">
        <f>IF([1]Accounts!$D$248="","",[1]Accounts!$B$248)</f>
        <v/>
      </c>
      <c r="M247">
        <f>IF([1]Accounts!$D$248="","",[1]Accounts!$C$248)</f>
        <v/>
      </c>
      <c r="N247">
        <f>IF([1]Accounts!$D$248="","",[1]Accounts!$D$248)</f>
        <v/>
      </c>
      <c r="P247">
        <f>IF([2]Entry!$C$250="","",[2]Entry!$C$250)</f>
        <v/>
      </c>
      <c r="Q247">
        <f>IF([2]Entry!$D$250="","",[2]Entry!$D$250)</f>
        <v/>
      </c>
      <c r="R247">
        <f>IF([2]Entry!$E$250="","",[2]Entry!$E$250)</f>
        <v/>
      </c>
      <c r="S247">
        <f>IF([2]Entry!$G$250="","",[2]Entry!$G$250)</f>
        <v/>
      </c>
      <c r="T247">
        <f>IF([2]Entry!$J$250="","",[2]Entry!$J$250)</f>
        <v/>
      </c>
      <c r="U247">
        <f>IF([2]Entry!$K$250="","",[2]Entry!$K$250)</f>
        <v/>
      </c>
      <c r="V247">
        <f>IF([2]Entry!$L$250="","",[2]Entry!$L$250)</f>
        <v/>
      </c>
      <c r="W247">
        <f>IF([2]Entry!$M$250="","",[2]Entry!$M$250)</f>
        <v/>
      </c>
      <c r="X247">
        <f>IF([2]Entry!$N$250="","",[2]Entry!$N$250)</f>
        <v/>
      </c>
      <c r="Y247">
        <f>IF([2]Entry!$R$250="","",[2]Entry!$R$250)</f>
        <v/>
      </c>
    </row>
    <row r="248">
      <c r="K248">
        <f>IF([1]Accounts!$D$249="","",[1]Accounts!$A$249)</f>
        <v/>
      </c>
      <c r="L248">
        <f>IF([1]Accounts!$D$249="","",[1]Accounts!$B$249)</f>
        <v/>
      </c>
      <c r="M248">
        <f>IF([1]Accounts!$D$249="","",[1]Accounts!$C$249)</f>
        <v/>
      </c>
      <c r="N248">
        <f>IF([1]Accounts!$D$249="","",[1]Accounts!$D$249)</f>
        <v/>
      </c>
      <c r="P248">
        <f>IF([2]Entry!$C$251="","",[2]Entry!$C$251)</f>
        <v/>
      </c>
      <c r="Q248">
        <f>IF([2]Entry!$D$251="","",[2]Entry!$D$251)</f>
        <v/>
      </c>
      <c r="R248">
        <f>IF([2]Entry!$E$251="","",[2]Entry!$E$251)</f>
        <v/>
      </c>
      <c r="S248">
        <f>IF([2]Entry!$G$251="","",[2]Entry!$G$251)</f>
        <v/>
      </c>
      <c r="T248">
        <f>IF([2]Entry!$J$251="","",[2]Entry!$J$251)</f>
        <v/>
      </c>
      <c r="U248">
        <f>IF([2]Entry!$K$251="","",[2]Entry!$K$251)</f>
        <v/>
      </c>
      <c r="V248">
        <f>IF([2]Entry!$L$251="","",[2]Entry!$L$251)</f>
        <v/>
      </c>
      <c r="W248">
        <f>IF([2]Entry!$M$251="","",[2]Entry!$M$251)</f>
        <v/>
      </c>
      <c r="X248">
        <f>IF([2]Entry!$N$251="","",[2]Entry!$N$251)</f>
        <v/>
      </c>
      <c r="Y248">
        <f>IF([2]Entry!$R$251="","",[2]Entry!$R$251)</f>
        <v/>
      </c>
    </row>
    <row r="249">
      <c r="K249">
        <f>IF([1]Accounts!$D$250="","",[1]Accounts!$A$250)</f>
        <v/>
      </c>
      <c r="L249">
        <f>IF([1]Accounts!$D$250="","",[1]Accounts!$B$250)</f>
        <v/>
      </c>
      <c r="M249">
        <f>IF([1]Accounts!$D$250="","",[1]Accounts!$C$250)</f>
        <v/>
      </c>
      <c r="N249">
        <f>IF([1]Accounts!$D$250="","",[1]Accounts!$D$250)</f>
        <v/>
      </c>
      <c r="P249">
        <f>IF([2]Entry!$C$252="","",[2]Entry!$C$252)</f>
        <v/>
      </c>
      <c r="Q249">
        <f>IF([2]Entry!$D$252="","",[2]Entry!$D$252)</f>
        <v/>
      </c>
      <c r="R249">
        <f>IF([2]Entry!$E$252="","",[2]Entry!$E$252)</f>
        <v/>
      </c>
      <c r="S249">
        <f>IF([2]Entry!$G$252="","",[2]Entry!$G$252)</f>
        <v/>
      </c>
      <c r="T249">
        <f>IF([2]Entry!$J$252="","",[2]Entry!$J$252)</f>
        <v/>
      </c>
      <c r="U249">
        <f>IF([2]Entry!$K$252="","",[2]Entry!$K$252)</f>
        <v/>
      </c>
      <c r="V249">
        <f>IF([2]Entry!$L$252="","",[2]Entry!$L$252)</f>
        <v/>
      </c>
      <c r="W249">
        <f>IF([2]Entry!$M$252="","",[2]Entry!$M$252)</f>
        <v/>
      </c>
      <c r="X249">
        <f>IF([2]Entry!$N$252="","",[2]Entry!$N$252)</f>
        <v/>
      </c>
      <c r="Y249">
        <f>IF([2]Entry!$R$252="","",[2]Entry!$R$252)</f>
        <v/>
      </c>
    </row>
    <row r="250">
      <c r="K250">
        <f>IF([1]Accounts!$D$251="","",[1]Accounts!$A$251)</f>
        <v/>
      </c>
      <c r="L250">
        <f>IF([1]Accounts!$D$251="","",[1]Accounts!$B$251)</f>
        <v/>
      </c>
      <c r="M250">
        <f>IF([1]Accounts!$D$251="","",[1]Accounts!$C$251)</f>
        <v/>
      </c>
      <c r="N250">
        <f>IF([1]Accounts!$D$251="","",[1]Accounts!$D$251)</f>
        <v/>
      </c>
      <c r="P250">
        <f>IF([2]Entry!$C$253="","",[2]Entry!$C$253)</f>
        <v/>
      </c>
      <c r="Q250">
        <f>IF([2]Entry!$D$253="","",[2]Entry!$D$253)</f>
        <v/>
      </c>
      <c r="R250">
        <f>IF([2]Entry!$E$253="","",[2]Entry!$E$253)</f>
        <v/>
      </c>
      <c r="S250">
        <f>IF([2]Entry!$G$253="","",[2]Entry!$G$253)</f>
        <v/>
      </c>
      <c r="T250">
        <f>IF([2]Entry!$J$253="","",[2]Entry!$J$253)</f>
        <v/>
      </c>
      <c r="U250">
        <f>IF([2]Entry!$K$253="","",[2]Entry!$K$253)</f>
        <v/>
      </c>
      <c r="V250">
        <f>IF([2]Entry!$L$253="","",[2]Entry!$L$253)</f>
        <v/>
      </c>
      <c r="W250">
        <f>IF([2]Entry!$M$253="","",[2]Entry!$M$253)</f>
        <v/>
      </c>
      <c r="X250">
        <f>IF([2]Entry!$N$253="","",[2]Entry!$N$253)</f>
        <v/>
      </c>
      <c r="Y250">
        <f>IF([2]Entry!$R$253="","",[2]Entry!$R$253)</f>
        <v/>
      </c>
    </row>
    <row r="251">
      <c r="K251">
        <f>IF([1]Accounts!$D$252="","",[1]Accounts!$A$252)</f>
        <v/>
      </c>
      <c r="L251">
        <f>IF([1]Accounts!$D$252="","",[1]Accounts!$B$252)</f>
        <v/>
      </c>
      <c r="M251">
        <f>IF([1]Accounts!$D$252="","",[1]Accounts!$C$252)</f>
        <v/>
      </c>
      <c r="N251">
        <f>IF([1]Accounts!$D$252="","",[1]Accounts!$D$252)</f>
        <v/>
      </c>
      <c r="P251">
        <f>IF([2]Entry!$C$254="","",[2]Entry!$C$254)</f>
        <v/>
      </c>
      <c r="Q251">
        <f>IF([2]Entry!$D$254="","",[2]Entry!$D$254)</f>
        <v/>
      </c>
      <c r="R251">
        <f>IF([2]Entry!$E$254="","",[2]Entry!$E$254)</f>
        <v/>
      </c>
      <c r="S251">
        <f>IF([2]Entry!$G$254="","",[2]Entry!$G$254)</f>
        <v/>
      </c>
      <c r="T251">
        <f>IF([2]Entry!$J$254="","",[2]Entry!$J$254)</f>
        <v/>
      </c>
      <c r="U251">
        <f>IF([2]Entry!$K$254="","",[2]Entry!$K$254)</f>
        <v/>
      </c>
      <c r="V251">
        <f>IF([2]Entry!$L$254="","",[2]Entry!$L$254)</f>
        <v/>
      </c>
      <c r="W251">
        <f>IF([2]Entry!$M$254="","",[2]Entry!$M$254)</f>
        <v/>
      </c>
      <c r="X251">
        <f>IF([2]Entry!$N$254="","",[2]Entry!$N$254)</f>
        <v/>
      </c>
      <c r="Y251">
        <f>IF([2]Entry!$R$254="","",[2]Entry!$R$254)</f>
        <v/>
      </c>
    </row>
    <row r="252">
      <c r="K252">
        <f>IF([1]Accounts!$D$253="","",[1]Accounts!$A$253)</f>
        <v/>
      </c>
      <c r="L252">
        <f>IF([1]Accounts!$D$253="","",[1]Accounts!$B$253)</f>
        <v/>
      </c>
      <c r="M252">
        <f>IF([1]Accounts!$D$253="","",[1]Accounts!$C$253)</f>
        <v/>
      </c>
      <c r="N252">
        <f>IF([1]Accounts!$D$253="","",[1]Accounts!$D$253)</f>
        <v/>
      </c>
      <c r="P252">
        <f>IF([2]Entry!$C$255="","",[2]Entry!$C$255)</f>
        <v/>
      </c>
      <c r="Q252">
        <f>IF([2]Entry!$D$255="","",[2]Entry!$D$255)</f>
        <v/>
      </c>
      <c r="R252">
        <f>IF([2]Entry!$E$255="","",[2]Entry!$E$255)</f>
        <v/>
      </c>
      <c r="S252">
        <f>IF([2]Entry!$G$255="","",[2]Entry!$G$255)</f>
        <v/>
      </c>
      <c r="T252">
        <f>IF([2]Entry!$J$255="","",[2]Entry!$J$255)</f>
        <v/>
      </c>
      <c r="U252">
        <f>IF([2]Entry!$K$255="","",[2]Entry!$K$255)</f>
        <v/>
      </c>
      <c r="V252">
        <f>IF([2]Entry!$L$255="","",[2]Entry!$L$255)</f>
        <v/>
      </c>
      <c r="W252">
        <f>IF([2]Entry!$M$255="","",[2]Entry!$M$255)</f>
        <v/>
      </c>
      <c r="X252">
        <f>IF([2]Entry!$N$255="","",[2]Entry!$N$255)</f>
        <v/>
      </c>
      <c r="Y252">
        <f>IF([2]Entry!$R$255="","",[2]Entry!$R$255)</f>
        <v/>
      </c>
    </row>
    <row r="253">
      <c r="K253">
        <f>IF([1]Accounts!$D$254="","",[1]Accounts!$A$254)</f>
        <v/>
      </c>
      <c r="L253">
        <f>IF([1]Accounts!$D$254="","",[1]Accounts!$B$254)</f>
        <v/>
      </c>
      <c r="M253">
        <f>IF([1]Accounts!$D$254="","",[1]Accounts!$C$254)</f>
        <v/>
      </c>
      <c r="N253">
        <f>IF([1]Accounts!$D$254="","",[1]Accounts!$D$254)</f>
        <v/>
      </c>
      <c r="P253">
        <f>IF([2]Entry!$C$256="","",[2]Entry!$C$256)</f>
        <v/>
      </c>
      <c r="Q253">
        <f>IF([2]Entry!$D$256="","",[2]Entry!$D$256)</f>
        <v/>
      </c>
      <c r="R253">
        <f>IF([2]Entry!$E$256="","",[2]Entry!$E$256)</f>
        <v/>
      </c>
      <c r="S253">
        <f>IF([2]Entry!$G$256="","",[2]Entry!$G$256)</f>
        <v/>
      </c>
      <c r="T253">
        <f>IF([2]Entry!$J$256="","",[2]Entry!$J$256)</f>
        <v/>
      </c>
      <c r="U253">
        <f>IF([2]Entry!$K$256="","",[2]Entry!$K$256)</f>
        <v/>
      </c>
      <c r="V253">
        <f>IF([2]Entry!$L$256="","",[2]Entry!$L$256)</f>
        <v/>
      </c>
      <c r="W253">
        <f>IF([2]Entry!$M$256="","",[2]Entry!$M$256)</f>
        <v/>
      </c>
      <c r="X253">
        <f>IF([2]Entry!$N$256="","",[2]Entry!$N$256)</f>
        <v/>
      </c>
      <c r="Y253">
        <f>IF([2]Entry!$R$256="","",[2]Entry!$R$256)</f>
        <v/>
      </c>
    </row>
    <row r="254">
      <c r="K254">
        <f>IF([1]Accounts!$D$255="","",[1]Accounts!$A$255)</f>
        <v/>
      </c>
      <c r="L254">
        <f>IF([1]Accounts!$D$255="","",[1]Accounts!$B$255)</f>
        <v/>
      </c>
      <c r="M254">
        <f>IF([1]Accounts!$D$255="","",[1]Accounts!$C$255)</f>
        <v/>
      </c>
      <c r="N254">
        <f>IF([1]Accounts!$D$255="","",[1]Accounts!$D$255)</f>
        <v/>
      </c>
      <c r="P254">
        <f>IF([2]Entry!$C$257="","",[2]Entry!$C$257)</f>
        <v/>
      </c>
      <c r="Q254">
        <f>IF([2]Entry!$D$257="","",[2]Entry!$D$257)</f>
        <v/>
      </c>
      <c r="R254">
        <f>IF([2]Entry!$E$257="","",[2]Entry!$E$257)</f>
        <v/>
      </c>
      <c r="S254">
        <f>IF([2]Entry!$G$257="","",[2]Entry!$G$257)</f>
        <v/>
      </c>
      <c r="T254">
        <f>IF([2]Entry!$J$257="","",[2]Entry!$J$257)</f>
        <v/>
      </c>
      <c r="U254">
        <f>IF([2]Entry!$K$257="","",[2]Entry!$K$257)</f>
        <v/>
      </c>
      <c r="V254">
        <f>IF([2]Entry!$L$257="","",[2]Entry!$L$257)</f>
        <v/>
      </c>
      <c r="W254">
        <f>IF([2]Entry!$M$257="","",[2]Entry!$M$257)</f>
        <v/>
      </c>
      <c r="X254">
        <f>IF([2]Entry!$N$257="","",[2]Entry!$N$257)</f>
        <v/>
      </c>
      <c r="Y254">
        <f>IF([2]Entry!$R$257="","",[2]Entry!$R$257)</f>
        <v/>
      </c>
    </row>
    <row r="255">
      <c r="K255">
        <f>IF([1]Accounts!$D$256="","",[1]Accounts!$A$256)</f>
        <v/>
      </c>
      <c r="L255">
        <f>IF([1]Accounts!$D$256="","",[1]Accounts!$B$256)</f>
        <v/>
      </c>
      <c r="M255">
        <f>IF([1]Accounts!$D$256="","",[1]Accounts!$C$256)</f>
        <v/>
      </c>
      <c r="N255">
        <f>IF([1]Accounts!$D$256="","",[1]Accounts!$D$256)</f>
        <v/>
      </c>
      <c r="P255">
        <f>IF([2]Entry!$C$258="","",[2]Entry!$C$258)</f>
        <v/>
      </c>
      <c r="Q255">
        <f>IF([2]Entry!$D$258="","",[2]Entry!$D$258)</f>
        <v/>
      </c>
      <c r="R255">
        <f>IF([2]Entry!$E$258="","",[2]Entry!$E$258)</f>
        <v/>
      </c>
      <c r="S255">
        <f>IF([2]Entry!$G$258="","",[2]Entry!$G$258)</f>
        <v/>
      </c>
      <c r="T255">
        <f>IF([2]Entry!$J$258="","",[2]Entry!$J$258)</f>
        <v/>
      </c>
      <c r="U255">
        <f>IF([2]Entry!$K$258="","",[2]Entry!$K$258)</f>
        <v/>
      </c>
      <c r="V255">
        <f>IF([2]Entry!$L$258="","",[2]Entry!$L$258)</f>
        <v/>
      </c>
      <c r="W255">
        <f>IF([2]Entry!$M$258="","",[2]Entry!$M$258)</f>
        <v/>
      </c>
      <c r="X255">
        <f>IF([2]Entry!$N$258="","",[2]Entry!$N$258)</f>
        <v/>
      </c>
      <c r="Y255">
        <f>IF([2]Entry!$R$258="","",[2]Entry!$R$258)</f>
        <v/>
      </c>
    </row>
    <row r="256">
      <c r="K256">
        <f>IF([1]Accounts!$D$257="","",[1]Accounts!$A$257)</f>
        <v/>
      </c>
      <c r="L256">
        <f>IF([1]Accounts!$D$257="","",[1]Accounts!$B$257)</f>
        <v/>
      </c>
      <c r="M256">
        <f>IF([1]Accounts!$D$257="","",[1]Accounts!$C$257)</f>
        <v/>
      </c>
      <c r="N256">
        <f>IF([1]Accounts!$D$257="","",[1]Accounts!$D$257)</f>
        <v/>
      </c>
      <c r="P256">
        <f>IF([2]Entry!$C$259="","",[2]Entry!$C$259)</f>
        <v/>
      </c>
      <c r="Q256">
        <f>IF([2]Entry!$D$259="","",[2]Entry!$D$259)</f>
        <v/>
      </c>
      <c r="R256">
        <f>IF([2]Entry!$E$259="","",[2]Entry!$E$259)</f>
        <v/>
      </c>
      <c r="S256">
        <f>IF([2]Entry!$G$259="","",[2]Entry!$G$259)</f>
        <v/>
      </c>
      <c r="T256">
        <f>IF([2]Entry!$J$259="","",[2]Entry!$J$259)</f>
        <v/>
      </c>
      <c r="U256">
        <f>IF([2]Entry!$K$259="","",[2]Entry!$K$259)</f>
        <v/>
      </c>
      <c r="V256">
        <f>IF([2]Entry!$L$259="","",[2]Entry!$L$259)</f>
        <v/>
      </c>
      <c r="W256">
        <f>IF([2]Entry!$M$259="","",[2]Entry!$M$259)</f>
        <v/>
      </c>
      <c r="X256">
        <f>IF([2]Entry!$N$259="","",[2]Entry!$N$259)</f>
        <v/>
      </c>
      <c r="Y256">
        <f>IF([2]Entry!$R$259="","",[2]Entry!$R$259)</f>
        <v/>
      </c>
    </row>
    <row r="257">
      <c r="K257">
        <f>IF([1]Accounts!$D$258="","",[1]Accounts!$A$258)</f>
        <v/>
      </c>
      <c r="L257">
        <f>IF([1]Accounts!$D$258="","",[1]Accounts!$B$258)</f>
        <v/>
      </c>
      <c r="M257">
        <f>IF([1]Accounts!$D$258="","",[1]Accounts!$C$258)</f>
        <v/>
      </c>
      <c r="N257">
        <f>IF([1]Accounts!$D$258="","",[1]Accounts!$D$258)</f>
        <v/>
      </c>
      <c r="P257">
        <f>IF([2]Entry!$C$260="","",[2]Entry!$C$260)</f>
        <v/>
      </c>
      <c r="Q257">
        <f>IF([2]Entry!$D$260="","",[2]Entry!$D$260)</f>
        <v/>
      </c>
      <c r="R257">
        <f>IF([2]Entry!$E$260="","",[2]Entry!$E$260)</f>
        <v/>
      </c>
      <c r="S257">
        <f>IF([2]Entry!$G$260="","",[2]Entry!$G$260)</f>
        <v/>
      </c>
      <c r="T257">
        <f>IF([2]Entry!$J$260="","",[2]Entry!$J$260)</f>
        <v/>
      </c>
      <c r="U257">
        <f>IF([2]Entry!$K$260="","",[2]Entry!$K$260)</f>
        <v/>
      </c>
      <c r="V257">
        <f>IF([2]Entry!$L$260="","",[2]Entry!$L$260)</f>
        <v/>
      </c>
      <c r="W257">
        <f>IF([2]Entry!$M$260="","",[2]Entry!$M$260)</f>
        <v/>
      </c>
      <c r="X257">
        <f>IF([2]Entry!$N$260="","",[2]Entry!$N$260)</f>
        <v/>
      </c>
      <c r="Y257">
        <f>IF([2]Entry!$R$260="","",[2]Entry!$R$260)</f>
        <v/>
      </c>
    </row>
    <row r="258">
      <c r="K258">
        <f>IF([1]Accounts!$D$259="","",[1]Accounts!$A$259)</f>
        <v/>
      </c>
      <c r="L258">
        <f>IF([1]Accounts!$D$259="","",[1]Accounts!$B$259)</f>
        <v/>
      </c>
      <c r="M258">
        <f>IF([1]Accounts!$D$259="","",[1]Accounts!$C$259)</f>
        <v/>
      </c>
      <c r="N258">
        <f>IF([1]Accounts!$D$259="","",[1]Accounts!$D$259)</f>
        <v/>
      </c>
      <c r="P258">
        <f>IF([2]Entry!$C$261="","",[2]Entry!$C$261)</f>
        <v/>
      </c>
      <c r="Q258">
        <f>IF([2]Entry!$D$261="","",[2]Entry!$D$261)</f>
        <v/>
      </c>
      <c r="R258">
        <f>IF([2]Entry!$E$261="","",[2]Entry!$E$261)</f>
        <v/>
      </c>
      <c r="S258">
        <f>IF([2]Entry!$G$261="","",[2]Entry!$G$261)</f>
        <v/>
      </c>
      <c r="T258">
        <f>IF([2]Entry!$J$261="","",[2]Entry!$J$261)</f>
        <v/>
      </c>
      <c r="U258">
        <f>IF([2]Entry!$K$261="","",[2]Entry!$K$261)</f>
        <v/>
      </c>
      <c r="V258">
        <f>IF([2]Entry!$L$261="","",[2]Entry!$L$261)</f>
        <v/>
      </c>
      <c r="W258">
        <f>IF([2]Entry!$M$261="","",[2]Entry!$M$261)</f>
        <v/>
      </c>
      <c r="X258">
        <f>IF([2]Entry!$N$261="","",[2]Entry!$N$261)</f>
        <v/>
      </c>
      <c r="Y258">
        <f>IF([2]Entry!$R$261="","",[2]Entry!$R$261)</f>
        <v/>
      </c>
    </row>
    <row r="259">
      <c r="K259">
        <f>IF([1]Accounts!$D$260="","",[1]Accounts!$A$260)</f>
        <v/>
      </c>
      <c r="L259">
        <f>IF([1]Accounts!$D$260="","",[1]Accounts!$B$260)</f>
        <v/>
      </c>
      <c r="M259">
        <f>IF([1]Accounts!$D$260="","",[1]Accounts!$C$260)</f>
        <v/>
      </c>
      <c r="N259">
        <f>IF([1]Accounts!$D$260="","",[1]Accounts!$D$260)</f>
        <v/>
      </c>
      <c r="P259">
        <f>IF([2]Entry!$C$262="","",[2]Entry!$C$262)</f>
        <v/>
      </c>
      <c r="Q259">
        <f>IF([2]Entry!$D$262="","",[2]Entry!$D$262)</f>
        <v/>
      </c>
      <c r="R259">
        <f>IF([2]Entry!$E$262="","",[2]Entry!$E$262)</f>
        <v/>
      </c>
      <c r="S259">
        <f>IF([2]Entry!$G$262="","",[2]Entry!$G$262)</f>
        <v/>
      </c>
      <c r="T259">
        <f>IF([2]Entry!$J$262="","",[2]Entry!$J$262)</f>
        <v/>
      </c>
      <c r="U259">
        <f>IF([2]Entry!$K$262="","",[2]Entry!$K$262)</f>
        <v/>
      </c>
      <c r="V259">
        <f>IF([2]Entry!$L$262="","",[2]Entry!$L$262)</f>
        <v/>
      </c>
      <c r="W259">
        <f>IF([2]Entry!$M$262="","",[2]Entry!$M$262)</f>
        <v/>
      </c>
      <c r="X259">
        <f>IF([2]Entry!$N$262="","",[2]Entry!$N$262)</f>
        <v/>
      </c>
      <c r="Y259">
        <f>IF([2]Entry!$R$262="","",[2]Entry!$R$262)</f>
        <v/>
      </c>
    </row>
    <row r="260">
      <c r="K260">
        <f>IF([1]Accounts!$D$261="","",[1]Accounts!$A$261)</f>
        <v/>
      </c>
      <c r="L260">
        <f>IF([1]Accounts!$D$261="","",[1]Accounts!$B$261)</f>
        <v/>
      </c>
      <c r="M260">
        <f>IF([1]Accounts!$D$261="","",[1]Accounts!$C$261)</f>
        <v/>
      </c>
      <c r="N260">
        <f>IF([1]Accounts!$D$261="","",[1]Accounts!$D$261)</f>
        <v/>
      </c>
      <c r="P260">
        <f>IF([2]Entry!$C$263="","",[2]Entry!$C$263)</f>
        <v/>
      </c>
      <c r="Q260">
        <f>IF([2]Entry!$D$263="","",[2]Entry!$D$263)</f>
        <v/>
      </c>
      <c r="R260">
        <f>IF([2]Entry!$E$263="","",[2]Entry!$E$263)</f>
        <v/>
      </c>
      <c r="S260">
        <f>IF([2]Entry!$G$263="","",[2]Entry!$G$263)</f>
        <v/>
      </c>
      <c r="T260">
        <f>IF([2]Entry!$J$263="","",[2]Entry!$J$263)</f>
        <v/>
      </c>
      <c r="U260">
        <f>IF([2]Entry!$K$263="","",[2]Entry!$K$263)</f>
        <v/>
      </c>
      <c r="V260">
        <f>IF([2]Entry!$L$263="","",[2]Entry!$L$263)</f>
        <v/>
      </c>
      <c r="W260">
        <f>IF([2]Entry!$M$263="","",[2]Entry!$M$263)</f>
        <v/>
      </c>
      <c r="X260">
        <f>IF([2]Entry!$N$263="","",[2]Entry!$N$263)</f>
        <v/>
      </c>
      <c r="Y260">
        <f>IF([2]Entry!$R$263="","",[2]Entry!$R$263)</f>
        <v/>
      </c>
    </row>
    <row r="261">
      <c r="K261">
        <f>IF([1]Accounts!$D$262="","",[1]Accounts!$A$262)</f>
        <v/>
      </c>
      <c r="L261">
        <f>IF([1]Accounts!$D$262="","",[1]Accounts!$B$262)</f>
        <v/>
      </c>
      <c r="M261">
        <f>IF([1]Accounts!$D$262="","",[1]Accounts!$C$262)</f>
        <v/>
      </c>
      <c r="N261">
        <f>IF([1]Accounts!$D$262="","",[1]Accounts!$D$262)</f>
        <v/>
      </c>
      <c r="P261">
        <f>IF([2]Entry!$C$264="","",[2]Entry!$C$264)</f>
        <v/>
      </c>
      <c r="Q261">
        <f>IF([2]Entry!$D$264="","",[2]Entry!$D$264)</f>
        <v/>
      </c>
      <c r="R261">
        <f>IF([2]Entry!$E$264="","",[2]Entry!$E$264)</f>
        <v/>
      </c>
      <c r="S261">
        <f>IF([2]Entry!$G$264="","",[2]Entry!$G$264)</f>
        <v/>
      </c>
      <c r="T261">
        <f>IF([2]Entry!$J$264="","",[2]Entry!$J$264)</f>
        <v/>
      </c>
      <c r="U261">
        <f>IF([2]Entry!$K$264="","",[2]Entry!$K$264)</f>
        <v/>
      </c>
      <c r="V261">
        <f>IF([2]Entry!$L$264="","",[2]Entry!$L$264)</f>
        <v/>
      </c>
      <c r="W261">
        <f>IF([2]Entry!$M$264="","",[2]Entry!$M$264)</f>
        <v/>
      </c>
      <c r="X261">
        <f>IF([2]Entry!$N$264="","",[2]Entry!$N$264)</f>
        <v/>
      </c>
      <c r="Y261">
        <f>IF([2]Entry!$R$264="","",[2]Entry!$R$264)</f>
        <v/>
      </c>
    </row>
    <row r="262">
      <c r="K262">
        <f>IF([1]Accounts!$D$263="","",[1]Accounts!$A$263)</f>
        <v/>
      </c>
      <c r="L262">
        <f>IF([1]Accounts!$D$263="","",[1]Accounts!$B$263)</f>
        <v/>
      </c>
      <c r="M262">
        <f>IF([1]Accounts!$D$263="","",[1]Accounts!$C$263)</f>
        <v/>
      </c>
      <c r="N262">
        <f>IF([1]Accounts!$D$263="","",[1]Accounts!$D$263)</f>
        <v/>
      </c>
      <c r="P262">
        <f>IF([2]Entry!$C$265="","",[2]Entry!$C$265)</f>
        <v/>
      </c>
      <c r="Q262">
        <f>IF([2]Entry!$D$265="","",[2]Entry!$D$265)</f>
        <v/>
      </c>
      <c r="R262">
        <f>IF([2]Entry!$E$265="","",[2]Entry!$E$265)</f>
        <v/>
      </c>
      <c r="S262">
        <f>IF([2]Entry!$G$265="","",[2]Entry!$G$265)</f>
        <v/>
      </c>
      <c r="T262">
        <f>IF([2]Entry!$J$265="","",[2]Entry!$J$265)</f>
        <v/>
      </c>
      <c r="U262">
        <f>IF([2]Entry!$K$265="","",[2]Entry!$K$265)</f>
        <v/>
      </c>
      <c r="V262">
        <f>IF([2]Entry!$L$265="","",[2]Entry!$L$265)</f>
        <v/>
      </c>
      <c r="W262">
        <f>IF([2]Entry!$M$265="","",[2]Entry!$M$265)</f>
        <v/>
      </c>
      <c r="X262">
        <f>IF([2]Entry!$N$265="","",[2]Entry!$N$265)</f>
        <v/>
      </c>
      <c r="Y262">
        <f>IF([2]Entry!$R$265="","",[2]Entry!$R$265)</f>
        <v/>
      </c>
    </row>
    <row r="263">
      <c r="K263">
        <f>IF([1]Accounts!$D$264="","",[1]Accounts!$A$264)</f>
        <v/>
      </c>
      <c r="L263">
        <f>IF([1]Accounts!$D$264="","",[1]Accounts!$B$264)</f>
        <v/>
      </c>
      <c r="M263">
        <f>IF([1]Accounts!$D$264="","",[1]Accounts!$C$264)</f>
        <v/>
      </c>
      <c r="N263">
        <f>IF([1]Accounts!$D$264="","",[1]Accounts!$D$264)</f>
        <v/>
      </c>
      <c r="P263">
        <f>IF([2]Entry!$C$266="","",[2]Entry!$C$266)</f>
        <v/>
      </c>
      <c r="Q263">
        <f>IF([2]Entry!$D$266="","",[2]Entry!$D$266)</f>
        <v/>
      </c>
      <c r="R263">
        <f>IF([2]Entry!$E$266="","",[2]Entry!$E$266)</f>
        <v/>
      </c>
      <c r="S263">
        <f>IF([2]Entry!$G$266="","",[2]Entry!$G$266)</f>
        <v/>
      </c>
      <c r="T263">
        <f>IF([2]Entry!$J$266="","",[2]Entry!$J$266)</f>
        <v/>
      </c>
      <c r="U263">
        <f>IF([2]Entry!$K$266="","",[2]Entry!$K$266)</f>
        <v/>
      </c>
      <c r="V263">
        <f>IF([2]Entry!$L$266="","",[2]Entry!$L$266)</f>
        <v/>
      </c>
      <c r="W263">
        <f>IF([2]Entry!$M$266="","",[2]Entry!$M$266)</f>
        <v/>
      </c>
      <c r="X263">
        <f>IF([2]Entry!$N$266="","",[2]Entry!$N$266)</f>
        <v/>
      </c>
      <c r="Y263">
        <f>IF([2]Entry!$R$266="","",[2]Entry!$R$266)</f>
        <v/>
      </c>
    </row>
    <row r="264">
      <c r="K264">
        <f>IF([1]Accounts!$D$265="","",[1]Accounts!$A$265)</f>
        <v/>
      </c>
      <c r="L264">
        <f>IF([1]Accounts!$D$265="","",[1]Accounts!$B$265)</f>
        <v/>
      </c>
      <c r="M264">
        <f>IF([1]Accounts!$D$265="","",[1]Accounts!$C$265)</f>
        <v/>
      </c>
      <c r="N264">
        <f>IF([1]Accounts!$D$265="","",[1]Accounts!$D$265)</f>
        <v/>
      </c>
      <c r="P264">
        <f>IF([2]Entry!$C$267="","",[2]Entry!$C$267)</f>
        <v/>
      </c>
      <c r="Q264">
        <f>IF([2]Entry!$D$267="","",[2]Entry!$D$267)</f>
        <v/>
      </c>
      <c r="R264">
        <f>IF([2]Entry!$E$267="","",[2]Entry!$E$267)</f>
        <v/>
      </c>
      <c r="S264">
        <f>IF([2]Entry!$G$267="","",[2]Entry!$G$267)</f>
        <v/>
      </c>
      <c r="T264">
        <f>IF([2]Entry!$J$267="","",[2]Entry!$J$267)</f>
        <v/>
      </c>
      <c r="U264">
        <f>IF([2]Entry!$K$267="","",[2]Entry!$K$267)</f>
        <v/>
      </c>
      <c r="V264">
        <f>IF([2]Entry!$L$267="","",[2]Entry!$L$267)</f>
        <v/>
      </c>
      <c r="W264">
        <f>IF([2]Entry!$M$267="","",[2]Entry!$M$267)</f>
        <v/>
      </c>
      <c r="X264">
        <f>IF([2]Entry!$N$267="","",[2]Entry!$N$267)</f>
        <v/>
      </c>
      <c r="Y264">
        <f>IF([2]Entry!$R$267="","",[2]Entry!$R$267)</f>
        <v/>
      </c>
    </row>
    <row r="265">
      <c r="K265">
        <f>IF([1]Accounts!$D$266="","",[1]Accounts!$A$266)</f>
        <v/>
      </c>
      <c r="L265">
        <f>IF([1]Accounts!$D$266="","",[1]Accounts!$B$266)</f>
        <v/>
      </c>
      <c r="M265">
        <f>IF([1]Accounts!$D$266="","",[1]Accounts!$C$266)</f>
        <v/>
      </c>
      <c r="N265">
        <f>IF([1]Accounts!$D$266="","",[1]Accounts!$D$266)</f>
        <v/>
      </c>
      <c r="P265">
        <f>IF([2]Entry!$C$268="","",[2]Entry!$C$268)</f>
        <v/>
      </c>
      <c r="Q265">
        <f>IF([2]Entry!$D$268="","",[2]Entry!$D$268)</f>
        <v/>
      </c>
      <c r="R265">
        <f>IF([2]Entry!$E$268="","",[2]Entry!$E$268)</f>
        <v/>
      </c>
      <c r="S265">
        <f>IF([2]Entry!$G$268="","",[2]Entry!$G$268)</f>
        <v/>
      </c>
      <c r="T265">
        <f>IF([2]Entry!$J$268="","",[2]Entry!$J$268)</f>
        <v/>
      </c>
      <c r="U265">
        <f>IF([2]Entry!$K$268="","",[2]Entry!$K$268)</f>
        <v/>
      </c>
      <c r="V265">
        <f>IF([2]Entry!$L$268="","",[2]Entry!$L$268)</f>
        <v/>
      </c>
      <c r="W265">
        <f>IF([2]Entry!$M$268="","",[2]Entry!$M$268)</f>
        <v/>
      </c>
      <c r="X265">
        <f>IF([2]Entry!$N$268="","",[2]Entry!$N$268)</f>
        <v/>
      </c>
      <c r="Y265">
        <f>IF([2]Entry!$R$268="","",[2]Entry!$R$268)</f>
        <v/>
      </c>
    </row>
    <row r="266">
      <c r="K266">
        <f>IF([1]Accounts!$D$267="","",[1]Accounts!$A$267)</f>
        <v/>
      </c>
      <c r="L266">
        <f>IF([1]Accounts!$D$267="","",[1]Accounts!$B$267)</f>
        <v/>
      </c>
      <c r="M266">
        <f>IF([1]Accounts!$D$267="","",[1]Accounts!$C$267)</f>
        <v/>
      </c>
      <c r="N266">
        <f>IF([1]Accounts!$D$267="","",[1]Accounts!$D$267)</f>
        <v/>
      </c>
      <c r="P266">
        <f>IF([2]Entry!$C$269="","",[2]Entry!$C$269)</f>
        <v/>
      </c>
      <c r="Q266">
        <f>IF([2]Entry!$D$269="","",[2]Entry!$D$269)</f>
        <v/>
      </c>
      <c r="R266">
        <f>IF([2]Entry!$E$269="","",[2]Entry!$E$269)</f>
        <v/>
      </c>
      <c r="S266">
        <f>IF([2]Entry!$G$269="","",[2]Entry!$G$269)</f>
        <v/>
      </c>
      <c r="T266">
        <f>IF([2]Entry!$J$269="","",[2]Entry!$J$269)</f>
        <v/>
      </c>
      <c r="U266">
        <f>IF([2]Entry!$K$269="","",[2]Entry!$K$269)</f>
        <v/>
      </c>
      <c r="V266">
        <f>IF([2]Entry!$L$269="","",[2]Entry!$L$269)</f>
        <v/>
      </c>
      <c r="W266">
        <f>IF([2]Entry!$M$269="","",[2]Entry!$M$269)</f>
        <v/>
      </c>
      <c r="X266">
        <f>IF([2]Entry!$N$269="","",[2]Entry!$N$269)</f>
        <v/>
      </c>
      <c r="Y266">
        <f>IF([2]Entry!$R$269="","",[2]Entry!$R$269)</f>
        <v/>
      </c>
    </row>
    <row r="267">
      <c r="K267">
        <f>IF([1]Accounts!$D$268="","",[1]Accounts!$A$268)</f>
        <v/>
      </c>
      <c r="L267">
        <f>IF([1]Accounts!$D$268="","",[1]Accounts!$B$268)</f>
        <v/>
      </c>
      <c r="M267">
        <f>IF([1]Accounts!$D$268="","",[1]Accounts!$C$268)</f>
        <v/>
      </c>
      <c r="N267">
        <f>IF([1]Accounts!$D$268="","",[1]Accounts!$D$268)</f>
        <v/>
      </c>
      <c r="P267">
        <f>IF([2]Entry!$C$270="","",[2]Entry!$C$270)</f>
        <v/>
      </c>
      <c r="Q267">
        <f>IF([2]Entry!$D$270="","",[2]Entry!$D$270)</f>
        <v/>
      </c>
      <c r="R267">
        <f>IF([2]Entry!$E$270="","",[2]Entry!$E$270)</f>
        <v/>
      </c>
      <c r="S267">
        <f>IF([2]Entry!$G$270="","",[2]Entry!$G$270)</f>
        <v/>
      </c>
      <c r="T267">
        <f>IF([2]Entry!$J$270="","",[2]Entry!$J$270)</f>
        <v/>
      </c>
      <c r="U267">
        <f>IF([2]Entry!$K$270="","",[2]Entry!$K$270)</f>
        <v/>
      </c>
      <c r="V267">
        <f>IF([2]Entry!$L$270="","",[2]Entry!$L$270)</f>
        <v/>
      </c>
      <c r="W267">
        <f>IF([2]Entry!$M$270="","",[2]Entry!$M$270)</f>
        <v/>
      </c>
      <c r="X267">
        <f>IF([2]Entry!$N$270="","",[2]Entry!$N$270)</f>
        <v/>
      </c>
      <c r="Y267">
        <f>IF([2]Entry!$R$270="","",[2]Entry!$R$270)</f>
        <v/>
      </c>
    </row>
    <row r="268">
      <c r="K268">
        <f>IF([1]Accounts!$D$269="","",[1]Accounts!$A$269)</f>
        <v/>
      </c>
      <c r="L268">
        <f>IF([1]Accounts!$D$269="","",[1]Accounts!$B$269)</f>
        <v/>
      </c>
      <c r="M268">
        <f>IF([1]Accounts!$D$269="","",[1]Accounts!$C$269)</f>
        <v/>
      </c>
      <c r="N268">
        <f>IF([1]Accounts!$D$269="","",[1]Accounts!$D$269)</f>
        <v/>
      </c>
      <c r="P268">
        <f>IF([2]Entry!$C$271="","",[2]Entry!$C$271)</f>
        <v/>
      </c>
      <c r="Q268">
        <f>IF([2]Entry!$D$271="","",[2]Entry!$D$271)</f>
        <v/>
      </c>
      <c r="R268">
        <f>IF([2]Entry!$E$271="","",[2]Entry!$E$271)</f>
        <v/>
      </c>
      <c r="S268">
        <f>IF([2]Entry!$G$271="","",[2]Entry!$G$271)</f>
        <v/>
      </c>
      <c r="T268">
        <f>IF([2]Entry!$J$271="","",[2]Entry!$J$271)</f>
        <v/>
      </c>
      <c r="U268">
        <f>IF([2]Entry!$K$271="","",[2]Entry!$K$271)</f>
        <v/>
      </c>
      <c r="V268">
        <f>IF([2]Entry!$L$271="","",[2]Entry!$L$271)</f>
        <v/>
      </c>
      <c r="W268">
        <f>IF([2]Entry!$M$271="","",[2]Entry!$M$271)</f>
        <v/>
      </c>
      <c r="X268">
        <f>IF([2]Entry!$N$271="","",[2]Entry!$N$271)</f>
        <v/>
      </c>
      <c r="Y268">
        <f>IF([2]Entry!$R$271="","",[2]Entry!$R$271)</f>
        <v/>
      </c>
    </row>
    <row r="269">
      <c r="K269">
        <f>IF([1]Accounts!$D$270="","",[1]Accounts!$A$270)</f>
        <v/>
      </c>
      <c r="L269">
        <f>IF([1]Accounts!$D$270="","",[1]Accounts!$B$270)</f>
        <v/>
      </c>
      <c r="M269">
        <f>IF([1]Accounts!$D$270="","",[1]Accounts!$C$270)</f>
        <v/>
      </c>
      <c r="N269">
        <f>IF([1]Accounts!$D$270="","",[1]Accounts!$D$270)</f>
        <v/>
      </c>
      <c r="P269">
        <f>IF([2]Entry!$C$272="","",[2]Entry!$C$272)</f>
        <v/>
      </c>
      <c r="Q269">
        <f>IF([2]Entry!$D$272="","",[2]Entry!$D$272)</f>
        <v/>
      </c>
      <c r="R269">
        <f>IF([2]Entry!$E$272="","",[2]Entry!$E$272)</f>
        <v/>
      </c>
      <c r="S269">
        <f>IF([2]Entry!$G$272="","",[2]Entry!$G$272)</f>
        <v/>
      </c>
      <c r="T269">
        <f>IF([2]Entry!$J$272="","",[2]Entry!$J$272)</f>
        <v/>
      </c>
      <c r="U269">
        <f>IF([2]Entry!$K$272="","",[2]Entry!$K$272)</f>
        <v/>
      </c>
      <c r="V269">
        <f>IF([2]Entry!$L$272="","",[2]Entry!$L$272)</f>
        <v/>
      </c>
      <c r="W269">
        <f>IF([2]Entry!$M$272="","",[2]Entry!$M$272)</f>
        <v/>
      </c>
      <c r="X269">
        <f>IF([2]Entry!$N$272="","",[2]Entry!$N$272)</f>
        <v/>
      </c>
      <c r="Y269">
        <f>IF([2]Entry!$R$272="","",[2]Entry!$R$272)</f>
        <v/>
      </c>
    </row>
    <row r="270">
      <c r="K270">
        <f>IF([1]Accounts!$D$271="","",[1]Accounts!$A$271)</f>
        <v/>
      </c>
      <c r="L270">
        <f>IF([1]Accounts!$D$271="","",[1]Accounts!$B$271)</f>
        <v/>
      </c>
      <c r="M270">
        <f>IF([1]Accounts!$D$271="","",[1]Accounts!$C$271)</f>
        <v/>
      </c>
      <c r="N270">
        <f>IF([1]Accounts!$D$271="","",[1]Accounts!$D$271)</f>
        <v/>
      </c>
      <c r="P270">
        <f>IF([2]Entry!$C$273="","",[2]Entry!$C$273)</f>
        <v/>
      </c>
      <c r="Q270">
        <f>IF([2]Entry!$D$273="","",[2]Entry!$D$273)</f>
        <v/>
      </c>
      <c r="R270">
        <f>IF([2]Entry!$E$273="","",[2]Entry!$E$273)</f>
        <v/>
      </c>
      <c r="S270">
        <f>IF([2]Entry!$G$273="","",[2]Entry!$G$273)</f>
        <v/>
      </c>
      <c r="T270">
        <f>IF([2]Entry!$J$273="","",[2]Entry!$J$273)</f>
        <v/>
      </c>
      <c r="U270">
        <f>IF([2]Entry!$K$273="","",[2]Entry!$K$273)</f>
        <v/>
      </c>
      <c r="V270">
        <f>IF([2]Entry!$L$273="","",[2]Entry!$L$273)</f>
        <v/>
      </c>
      <c r="W270">
        <f>IF([2]Entry!$M$273="","",[2]Entry!$M$273)</f>
        <v/>
      </c>
      <c r="X270">
        <f>IF([2]Entry!$N$273="","",[2]Entry!$N$273)</f>
        <v/>
      </c>
      <c r="Y270">
        <f>IF([2]Entry!$R$273="","",[2]Entry!$R$273)</f>
        <v/>
      </c>
    </row>
    <row r="271">
      <c r="K271">
        <f>IF([1]Accounts!$D$272="","",[1]Accounts!$A$272)</f>
        <v/>
      </c>
      <c r="L271">
        <f>IF([1]Accounts!$D$272="","",[1]Accounts!$B$272)</f>
        <v/>
      </c>
      <c r="M271">
        <f>IF([1]Accounts!$D$272="","",[1]Accounts!$C$272)</f>
        <v/>
      </c>
      <c r="N271">
        <f>IF([1]Accounts!$D$272="","",[1]Accounts!$D$272)</f>
        <v/>
      </c>
      <c r="P271">
        <f>IF([2]Entry!$C$274="","",[2]Entry!$C$274)</f>
        <v/>
      </c>
      <c r="Q271">
        <f>IF([2]Entry!$D$274="","",[2]Entry!$D$274)</f>
        <v/>
      </c>
      <c r="R271">
        <f>IF([2]Entry!$E$274="","",[2]Entry!$E$274)</f>
        <v/>
      </c>
      <c r="S271">
        <f>IF([2]Entry!$G$274="","",[2]Entry!$G$274)</f>
        <v/>
      </c>
      <c r="T271">
        <f>IF([2]Entry!$J$274="","",[2]Entry!$J$274)</f>
        <v/>
      </c>
      <c r="U271">
        <f>IF([2]Entry!$K$274="","",[2]Entry!$K$274)</f>
        <v/>
      </c>
      <c r="V271">
        <f>IF([2]Entry!$L$274="","",[2]Entry!$L$274)</f>
        <v/>
      </c>
      <c r="W271">
        <f>IF([2]Entry!$M$274="","",[2]Entry!$M$274)</f>
        <v/>
      </c>
      <c r="X271">
        <f>IF([2]Entry!$N$274="","",[2]Entry!$N$274)</f>
        <v/>
      </c>
      <c r="Y271">
        <f>IF([2]Entry!$R$274="","",[2]Entry!$R$274)</f>
        <v/>
      </c>
    </row>
    <row r="272">
      <c r="K272">
        <f>IF([1]Accounts!$D$273="","",[1]Accounts!$A$273)</f>
        <v/>
      </c>
      <c r="L272">
        <f>IF([1]Accounts!$D$273="","",[1]Accounts!$B$273)</f>
        <v/>
      </c>
      <c r="M272">
        <f>IF([1]Accounts!$D$273="","",[1]Accounts!$C$273)</f>
        <v/>
      </c>
      <c r="N272">
        <f>IF([1]Accounts!$D$273="","",[1]Accounts!$D$273)</f>
        <v/>
      </c>
      <c r="P272">
        <f>IF([2]Entry!$C$275="","",[2]Entry!$C$275)</f>
        <v/>
      </c>
      <c r="Q272">
        <f>IF([2]Entry!$D$275="","",[2]Entry!$D$275)</f>
        <v/>
      </c>
      <c r="R272">
        <f>IF([2]Entry!$E$275="","",[2]Entry!$E$275)</f>
        <v/>
      </c>
      <c r="S272">
        <f>IF([2]Entry!$G$275="","",[2]Entry!$G$275)</f>
        <v/>
      </c>
      <c r="T272">
        <f>IF([2]Entry!$J$275="","",[2]Entry!$J$275)</f>
        <v/>
      </c>
      <c r="U272">
        <f>IF([2]Entry!$K$275="","",[2]Entry!$K$275)</f>
        <v/>
      </c>
      <c r="V272">
        <f>IF([2]Entry!$L$275="","",[2]Entry!$L$275)</f>
        <v/>
      </c>
      <c r="W272">
        <f>IF([2]Entry!$M$275="","",[2]Entry!$M$275)</f>
        <v/>
      </c>
      <c r="X272">
        <f>IF([2]Entry!$N$275="","",[2]Entry!$N$275)</f>
        <v/>
      </c>
      <c r="Y272">
        <f>IF([2]Entry!$R$275="","",[2]Entry!$R$275)</f>
        <v/>
      </c>
    </row>
    <row r="273">
      <c r="K273">
        <f>IF([1]Accounts!$D$274="","",[1]Accounts!$A$274)</f>
        <v/>
      </c>
      <c r="L273">
        <f>IF([1]Accounts!$D$274="","",[1]Accounts!$B$274)</f>
        <v/>
      </c>
      <c r="M273">
        <f>IF([1]Accounts!$D$274="","",[1]Accounts!$C$274)</f>
        <v/>
      </c>
      <c r="N273">
        <f>IF([1]Accounts!$D$274="","",[1]Accounts!$D$274)</f>
        <v/>
      </c>
      <c r="P273">
        <f>IF([2]Entry!$C$276="","",[2]Entry!$C$276)</f>
        <v/>
      </c>
      <c r="Q273">
        <f>IF([2]Entry!$D$276="","",[2]Entry!$D$276)</f>
        <v/>
      </c>
      <c r="R273">
        <f>IF([2]Entry!$E$276="","",[2]Entry!$E$276)</f>
        <v/>
      </c>
      <c r="S273">
        <f>IF([2]Entry!$G$276="","",[2]Entry!$G$276)</f>
        <v/>
      </c>
      <c r="T273">
        <f>IF([2]Entry!$J$276="","",[2]Entry!$J$276)</f>
        <v/>
      </c>
      <c r="U273">
        <f>IF([2]Entry!$K$276="","",[2]Entry!$K$276)</f>
        <v/>
      </c>
      <c r="V273">
        <f>IF([2]Entry!$L$276="","",[2]Entry!$L$276)</f>
        <v/>
      </c>
      <c r="W273">
        <f>IF([2]Entry!$M$276="","",[2]Entry!$M$276)</f>
        <v/>
      </c>
      <c r="X273">
        <f>IF([2]Entry!$N$276="","",[2]Entry!$N$276)</f>
        <v/>
      </c>
      <c r="Y273">
        <f>IF([2]Entry!$R$276="","",[2]Entry!$R$276)</f>
        <v/>
      </c>
    </row>
    <row r="274">
      <c r="K274">
        <f>IF([1]Accounts!$D$275="","",[1]Accounts!$A$275)</f>
        <v/>
      </c>
      <c r="L274">
        <f>IF([1]Accounts!$D$275="","",[1]Accounts!$B$275)</f>
        <v/>
      </c>
      <c r="M274">
        <f>IF([1]Accounts!$D$275="","",[1]Accounts!$C$275)</f>
        <v/>
      </c>
      <c r="N274">
        <f>IF([1]Accounts!$D$275="","",[1]Accounts!$D$275)</f>
        <v/>
      </c>
      <c r="P274">
        <f>IF([2]Entry!$C$277="","",[2]Entry!$C$277)</f>
        <v/>
      </c>
      <c r="Q274">
        <f>IF([2]Entry!$D$277="","",[2]Entry!$D$277)</f>
        <v/>
      </c>
      <c r="R274">
        <f>IF([2]Entry!$E$277="","",[2]Entry!$E$277)</f>
        <v/>
      </c>
      <c r="S274">
        <f>IF([2]Entry!$G$277="","",[2]Entry!$G$277)</f>
        <v/>
      </c>
      <c r="T274">
        <f>IF([2]Entry!$J$277="","",[2]Entry!$J$277)</f>
        <v/>
      </c>
      <c r="U274">
        <f>IF([2]Entry!$K$277="","",[2]Entry!$K$277)</f>
        <v/>
      </c>
      <c r="V274">
        <f>IF([2]Entry!$L$277="","",[2]Entry!$L$277)</f>
        <v/>
      </c>
      <c r="W274">
        <f>IF([2]Entry!$M$277="","",[2]Entry!$M$277)</f>
        <v/>
      </c>
      <c r="X274">
        <f>IF([2]Entry!$N$277="","",[2]Entry!$N$277)</f>
        <v/>
      </c>
      <c r="Y274">
        <f>IF([2]Entry!$R$277="","",[2]Entry!$R$277)</f>
        <v/>
      </c>
    </row>
    <row r="275">
      <c r="K275">
        <f>IF([1]Accounts!$D$276="","",[1]Accounts!$A$276)</f>
        <v/>
      </c>
      <c r="L275">
        <f>IF([1]Accounts!$D$276="","",[1]Accounts!$B$276)</f>
        <v/>
      </c>
      <c r="M275">
        <f>IF([1]Accounts!$D$276="","",[1]Accounts!$C$276)</f>
        <v/>
      </c>
      <c r="N275">
        <f>IF([1]Accounts!$D$276="","",[1]Accounts!$D$276)</f>
        <v/>
      </c>
      <c r="P275">
        <f>IF([2]Entry!$C$278="","",[2]Entry!$C$278)</f>
        <v/>
      </c>
      <c r="Q275">
        <f>IF([2]Entry!$D$278="","",[2]Entry!$D$278)</f>
        <v/>
      </c>
      <c r="R275">
        <f>IF([2]Entry!$E$278="","",[2]Entry!$E$278)</f>
        <v/>
      </c>
      <c r="S275">
        <f>IF([2]Entry!$G$278="","",[2]Entry!$G$278)</f>
        <v/>
      </c>
      <c r="T275">
        <f>IF([2]Entry!$J$278="","",[2]Entry!$J$278)</f>
        <v/>
      </c>
      <c r="U275">
        <f>IF([2]Entry!$K$278="","",[2]Entry!$K$278)</f>
        <v/>
      </c>
      <c r="V275">
        <f>IF([2]Entry!$L$278="","",[2]Entry!$L$278)</f>
        <v/>
      </c>
      <c r="W275">
        <f>IF([2]Entry!$M$278="","",[2]Entry!$M$278)</f>
        <v/>
      </c>
      <c r="X275">
        <f>IF([2]Entry!$N$278="","",[2]Entry!$N$278)</f>
        <v/>
      </c>
      <c r="Y275">
        <f>IF([2]Entry!$R$278="","",[2]Entry!$R$278)</f>
        <v/>
      </c>
    </row>
    <row r="276">
      <c r="K276">
        <f>IF([1]Accounts!$D$277="","",[1]Accounts!$A$277)</f>
        <v/>
      </c>
      <c r="L276">
        <f>IF([1]Accounts!$D$277="","",[1]Accounts!$B$277)</f>
        <v/>
      </c>
      <c r="M276">
        <f>IF([1]Accounts!$D$277="","",[1]Accounts!$C$277)</f>
        <v/>
      </c>
      <c r="N276">
        <f>IF([1]Accounts!$D$277="","",[1]Accounts!$D$277)</f>
        <v/>
      </c>
      <c r="P276">
        <f>IF([2]Entry!$C$279="","",[2]Entry!$C$279)</f>
        <v/>
      </c>
      <c r="Q276">
        <f>IF([2]Entry!$D$279="","",[2]Entry!$D$279)</f>
        <v/>
      </c>
      <c r="R276">
        <f>IF([2]Entry!$E$279="","",[2]Entry!$E$279)</f>
        <v/>
      </c>
      <c r="S276">
        <f>IF([2]Entry!$G$279="","",[2]Entry!$G$279)</f>
        <v/>
      </c>
      <c r="T276">
        <f>IF([2]Entry!$J$279="","",[2]Entry!$J$279)</f>
        <v/>
      </c>
      <c r="U276">
        <f>IF([2]Entry!$K$279="","",[2]Entry!$K$279)</f>
        <v/>
      </c>
      <c r="V276">
        <f>IF([2]Entry!$L$279="","",[2]Entry!$L$279)</f>
        <v/>
      </c>
      <c r="W276">
        <f>IF([2]Entry!$M$279="","",[2]Entry!$M$279)</f>
        <v/>
      </c>
      <c r="X276">
        <f>IF([2]Entry!$N$279="","",[2]Entry!$N$279)</f>
        <v/>
      </c>
      <c r="Y276">
        <f>IF([2]Entry!$R$279="","",[2]Entry!$R$279)</f>
        <v/>
      </c>
    </row>
    <row r="277">
      <c r="K277">
        <f>IF([1]Accounts!$D$278="","",[1]Accounts!$A$278)</f>
        <v/>
      </c>
      <c r="L277">
        <f>IF([1]Accounts!$D$278="","",[1]Accounts!$B$278)</f>
        <v/>
      </c>
      <c r="M277">
        <f>IF([1]Accounts!$D$278="","",[1]Accounts!$C$278)</f>
        <v/>
      </c>
      <c r="N277">
        <f>IF([1]Accounts!$D$278="","",[1]Accounts!$D$278)</f>
        <v/>
      </c>
      <c r="P277">
        <f>IF([2]Entry!$C$280="","",[2]Entry!$C$280)</f>
        <v/>
      </c>
      <c r="Q277">
        <f>IF([2]Entry!$D$280="","",[2]Entry!$D$280)</f>
        <v/>
      </c>
      <c r="R277">
        <f>IF([2]Entry!$E$280="","",[2]Entry!$E$280)</f>
        <v/>
      </c>
      <c r="S277">
        <f>IF([2]Entry!$G$280="","",[2]Entry!$G$280)</f>
        <v/>
      </c>
      <c r="T277">
        <f>IF([2]Entry!$J$280="","",[2]Entry!$J$280)</f>
        <v/>
      </c>
      <c r="U277">
        <f>IF([2]Entry!$K$280="","",[2]Entry!$K$280)</f>
        <v/>
      </c>
      <c r="V277">
        <f>IF([2]Entry!$L$280="","",[2]Entry!$L$280)</f>
        <v/>
      </c>
      <c r="W277">
        <f>IF([2]Entry!$M$280="","",[2]Entry!$M$280)</f>
        <v/>
      </c>
      <c r="X277">
        <f>IF([2]Entry!$N$280="","",[2]Entry!$N$280)</f>
        <v/>
      </c>
      <c r="Y277">
        <f>IF([2]Entry!$R$280="","",[2]Entry!$R$280)</f>
        <v/>
      </c>
    </row>
    <row r="278">
      <c r="K278">
        <f>IF([1]Accounts!$D$279="","",[1]Accounts!$A$279)</f>
        <v/>
      </c>
      <c r="L278">
        <f>IF([1]Accounts!$D$279="","",[1]Accounts!$B$279)</f>
        <v/>
      </c>
      <c r="M278">
        <f>IF([1]Accounts!$D$279="","",[1]Accounts!$C$279)</f>
        <v/>
      </c>
      <c r="N278">
        <f>IF([1]Accounts!$D$279="","",[1]Accounts!$D$279)</f>
        <v/>
      </c>
      <c r="P278">
        <f>IF([2]Entry!$C$281="","",[2]Entry!$C$281)</f>
        <v/>
      </c>
      <c r="Q278">
        <f>IF([2]Entry!$D$281="","",[2]Entry!$D$281)</f>
        <v/>
      </c>
      <c r="R278">
        <f>IF([2]Entry!$E$281="","",[2]Entry!$E$281)</f>
        <v/>
      </c>
      <c r="S278">
        <f>IF([2]Entry!$G$281="","",[2]Entry!$G$281)</f>
        <v/>
      </c>
      <c r="T278">
        <f>IF([2]Entry!$J$281="","",[2]Entry!$J$281)</f>
        <v/>
      </c>
      <c r="U278">
        <f>IF([2]Entry!$K$281="","",[2]Entry!$K$281)</f>
        <v/>
      </c>
      <c r="V278">
        <f>IF([2]Entry!$L$281="","",[2]Entry!$L$281)</f>
        <v/>
      </c>
      <c r="W278">
        <f>IF([2]Entry!$M$281="","",[2]Entry!$M$281)</f>
        <v/>
      </c>
      <c r="X278">
        <f>IF([2]Entry!$N$281="","",[2]Entry!$N$281)</f>
        <v/>
      </c>
      <c r="Y278">
        <f>IF([2]Entry!$R$281="","",[2]Entry!$R$281)</f>
        <v/>
      </c>
    </row>
    <row r="279">
      <c r="K279">
        <f>IF([1]Accounts!$D$280="","",[1]Accounts!$A$280)</f>
        <v/>
      </c>
      <c r="L279">
        <f>IF([1]Accounts!$D$280="","",[1]Accounts!$B$280)</f>
        <v/>
      </c>
      <c r="M279">
        <f>IF([1]Accounts!$D$280="","",[1]Accounts!$C$280)</f>
        <v/>
      </c>
      <c r="N279">
        <f>IF([1]Accounts!$D$280="","",[1]Accounts!$D$280)</f>
        <v/>
      </c>
      <c r="P279">
        <f>IF([2]Entry!$C$282="","",[2]Entry!$C$282)</f>
        <v/>
      </c>
      <c r="Q279">
        <f>IF([2]Entry!$D$282="","",[2]Entry!$D$282)</f>
        <v/>
      </c>
      <c r="R279">
        <f>IF([2]Entry!$E$282="","",[2]Entry!$E$282)</f>
        <v/>
      </c>
      <c r="S279">
        <f>IF([2]Entry!$G$282="","",[2]Entry!$G$282)</f>
        <v/>
      </c>
      <c r="T279">
        <f>IF([2]Entry!$J$282="","",[2]Entry!$J$282)</f>
        <v/>
      </c>
      <c r="U279">
        <f>IF([2]Entry!$K$282="","",[2]Entry!$K$282)</f>
        <v/>
      </c>
      <c r="V279">
        <f>IF([2]Entry!$L$282="","",[2]Entry!$L$282)</f>
        <v/>
      </c>
      <c r="W279">
        <f>IF([2]Entry!$M$282="","",[2]Entry!$M$282)</f>
        <v/>
      </c>
      <c r="X279">
        <f>IF([2]Entry!$N$282="","",[2]Entry!$N$282)</f>
        <v/>
      </c>
      <c r="Y279">
        <f>IF([2]Entry!$R$282="","",[2]Entry!$R$282)</f>
        <v/>
      </c>
    </row>
    <row r="280">
      <c r="K280">
        <f>IF([1]Accounts!$D$281="","",[1]Accounts!$A$281)</f>
        <v/>
      </c>
      <c r="L280">
        <f>IF([1]Accounts!$D$281="","",[1]Accounts!$B$281)</f>
        <v/>
      </c>
      <c r="M280">
        <f>IF([1]Accounts!$D$281="","",[1]Accounts!$C$281)</f>
        <v/>
      </c>
      <c r="N280">
        <f>IF([1]Accounts!$D$281="","",[1]Accounts!$D$281)</f>
        <v/>
      </c>
      <c r="P280">
        <f>IF([2]Entry!$C$283="","",[2]Entry!$C$283)</f>
        <v/>
      </c>
      <c r="Q280">
        <f>IF([2]Entry!$D$283="","",[2]Entry!$D$283)</f>
        <v/>
      </c>
      <c r="R280">
        <f>IF([2]Entry!$E$283="","",[2]Entry!$E$283)</f>
        <v/>
      </c>
      <c r="S280">
        <f>IF([2]Entry!$G$283="","",[2]Entry!$G$283)</f>
        <v/>
      </c>
      <c r="T280">
        <f>IF([2]Entry!$J$283="","",[2]Entry!$J$283)</f>
        <v/>
      </c>
      <c r="U280">
        <f>IF([2]Entry!$K$283="","",[2]Entry!$K$283)</f>
        <v/>
      </c>
      <c r="V280">
        <f>IF([2]Entry!$L$283="","",[2]Entry!$L$283)</f>
        <v/>
      </c>
      <c r="W280">
        <f>IF([2]Entry!$M$283="","",[2]Entry!$M$283)</f>
        <v/>
      </c>
      <c r="X280">
        <f>IF([2]Entry!$N$283="","",[2]Entry!$N$283)</f>
        <v/>
      </c>
      <c r="Y280">
        <f>IF([2]Entry!$R$283="","",[2]Entry!$R$283)</f>
        <v/>
      </c>
    </row>
    <row r="281">
      <c r="K281">
        <f>IF([1]Accounts!$D$282="","",[1]Accounts!$A$282)</f>
        <v/>
      </c>
      <c r="L281">
        <f>IF([1]Accounts!$D$282="","",[1]Accounts!$B$282)</f>
        <v/>
      </c>
      <c r="M281">
        <f>IF([1]Accounts!$D$282="","",[1]Accounts!$C$282)</f>
        <v/>
      </c>
      <c r="N281">
        <f>IF([1]Accounts!$D$282="","",[1]Accounts!$D$282)</f>
        <v/>
      </c>
      <c r="P281">
        <f>IF([2]Entry!$C$284="","",[2]Entry!$C$284)</f>
        <v/>
      </c>
      <c r="Q281">
        <f>IF([2]Entry!$D$284="","",[2]Entry!$D$284)</f>
        <v/>
      </c>
      <c r="R281">
        <f>IF([2]Entry!$E$284="","",[2]Entry!$E$284)</f>
        <v/>
      </c>
      <c r="S281">
        <f>IF([2]Entry!$G$284="","",[2]Entry!$G$284)</f>
        <v/>
      </c>
      <c r="T281">
        <f>IF([2]Entry!$J$284="","",[2]Entry!$J$284)</f>
        <v/>
      </c>
      <c r="U281">
        <f>IF([2]Entry!$K$284="","",[2]Entry!$K$284)</f>
        <v/>
      </c>
      <c r="V281">
        <f>IF([2]Entry!$L$284="","",[2]Entry!$L$284)</f>
        <v/>
      </c>
      <c r="W281">
        <f>IF([2]Entry!$M$284="","",[2]Entry!$M$284)</f>
        <v/>
      </c>
      <c r="X281">
        <f>IF([2]Entry!$N$284="","",[2]Entry!$N$284)</f>
        <v/>
      </c>
      <c r="Y281">
        <f>IF([2]Entry!$R$284="","",[2]Entry!$R$284)</f>
        <v/>
      </c>
    </row>
    <row r="282">
      <c r="K282">
        <f>IF([1]Accounts!$D$283="","",[1]Accounts!$A$283)</f>
        <v/>
      </c>
      <c r="L282">
        <f>IF([1]Accounts!$D$283="","",[1]Accounts!$B$283)</f>
        <v/>
      </c>
      <c r="M282">
        <f>IF([1]Accounts!$D$283="","",[1]Accounts!$C$283)</f>
        <v/>
      </c>
      <c r="N282">
        <f>IF([1]Accounts!$D$283="","",[1]Accounts!$D$283)</f>
        <v/>
      </c>
      <c r="P282">
        <f>IF([2]Entry!$C$285="","",[2]Entry!$C$285)</f>
        <v/>
      </c>
      <c r="Q282">
        <f>IF([2]Entry!$D$285="","",[2]Entry!$D$285)</f>
        <v/>
      </c>
      <c r="R282">
        <f>IF([2]Entry!$E$285="","",[2]Entry!$E$285)</f>
        <v/>
      </c>
      <c r="S282">
        <f>IF([2]Entry!$G$285="","",[2]Entry!$G$285)</f>
        <v/>
      </c>
      <c r="T282">
        <f>IF([2]Entry!$J$285="","",[2]Entry!$J$285)</f>
        <v/>
      </c>
      <c r="U282">
        <f>IF([2]Entry!$K$285="","",[2]Entry!$K$285)</f>
        <v/>
      </c>
      <c r="V282">
        <f>IF([2]Entry!$L$285="","",[2]Entry!$L$285)</f>
        <v/>
      </c>
      <c r="W282">
        <f>IF([2]Entry!$M$285="","",[2]Entry!$M$285)</f>
        <v/>
      </c>
      <c r="X282">
        <f>IF([2]Entry!$N$285="","",[2]Entry!$N$285)</f>
        <v/>
      </c>
      <c r="Y282">
        <f>IF([2]Entry!$R$285="","",[2]Entry!$R$285)</f>
        <v/>
      </c>
    </row>
    <row r="283">
      <c r="K283">
        <f>IF([1]Accounts!$D$284="","",[1]Accounts!$A$284)</f>
        <v/>
      </c>
      <c r="L283">
        <f>IF([1]Accounts!$D$284="","",[1]Accounts!$B$284)</f>
        <v/>
      </c>
      <c r="M283">
        <f>IF([1]Accounts!$D$284="","",[1]Accounts!$C$284)</f>
        <v/>
      </c>
      <c r="N283">
        <f>IF([1]Accounts!$D$284="","",[1]Accounts!$D$284)</f>
        <v/>
      </c>
      <c r="P283">
        <f>IF([2]Entry!$C$286="","",[2]Entry!$C$286)</f>
        <v/>
      </c>
      <c r="Q283">
        <f>IF([2]Entry!$D$286="","",[2]Entry!$D$286)</f>
        <v/>
      </c>
      <c r="R283">
        <f>IF([2]Entry!$E$286="","",[2]Entry!$E$286)</f>
        <v/>
      </c>
      <c r="S283">
        <f>IF([2]Entry!$G$286="","",[2]Entry!$G$286)</f>
        <v/>
      </c>
      <c r="T283">
        <f>IF([2]Entry!$J$286="","",[2]Entry!$J$286)</f>
        <v/>
      </c>
      <c r="U283">
        <f>IF([2]Entry!$K$286="","",[2]Entry!$K$286)</f>
        <v/>
      </c>
      <c r="V283">
        <f>IF([2]Entry!$L$286="","",[2]Entry!$L$286)</f>
        <v/>
      </c>
      <c r="W283">
        <f>IF([2]Entry!$M$286="","",[2]Entry!$M$286)</f>
        <v/>
      </c>
      <c r="X283">
        <f>IF([2]Entry!$N$286="","",[2]Entry!$N$286)</f>
        <v/>
      </c>
      <c r="Y283">
        <f>IF([2]Entry!$R$286="","",[2]Entry!$R$286)</f>
        <v/>
      </c>
    </row>
    <row r="284">
      <c r="K284">
        <f>IF([1]Accounts!$D$285="","",[1]Accounts!$A$285)</f>
        <v/>
      </c>
      <c r="L284">
        <f>IF([1]Accounts!$D$285="","",[1]Accounts!$B$285)</f>
        <v/>
      </c>
      <c r="M284">
        <f>IF([1]Accounts!$D$285="","",[1]Accounts!$C$285)</f>
        <v/>
      </c>
      <c r="N284">
        <f>IF([1]Accounts!$D$285="","",[1]Accounts!$D$285)</f>
        <v/>
      </c>
      <c r="P284">
        <f>IF([2]Entry!$C$287="","",[2]Entry!$C$287)</f>
        <v/>
      </c>
      <c r="Q284">
        <f>IF([2]Entry!$D$287="","",[2]Entry!$D$287)</f>
        <v/>
      </c>
      <c r="R284">
        <f>IF([2]Entry!$E$287="","",[2]Entry!$E$287)</f>
        <v/>
      </c>
      <c r="S284">
        <f>IF([2]Entry!$G$287="","",[2]Entry!$G$287)</f>
        <v/>
      </c>
      <c r="T284">
        <f>IF([2]Entry!$J$287="","",[2]Entry!$J$287)</f>
        <v/>
      </c>
      <c r="U284">
        <f>IF([2]Entry!$K$287="","",[2]Entry!$K$287)</f>
        <v/>
      </c>
      <c r="V284">
        <f>IF([2]Entry!$L$287="","",[2]Entry!$L$287)</f>
        <v/>
      </c>
      <c r="W284">
        <f>IF([2]Entry!$M$287="","",[2]Entry!$M$287)</f>
        <v/>
      </c>
      <c r="X284">
        <f>IF([2]Entry!$N$287="","",[2]Entry!$N$287)</f>
        <v/>
      </c>
      <c r="Y284">
        <f>IF([2]Entry!$R$287="","",[2]Entry!$R$287)</f>
        <v/>
      </c>
    </row>
    <row r="285">
      <c r="K285">
        <f>IF([1]Accounts!$D$286="","",[1]Accounts!$A$286)</f>
        <v/>
      </c>
      <c r="L285">
        <f>IF([1]Accounts!$D$286="","",[1]Accounts!$B$286)</f>
        <v/>
      </c>
      <c r="M285">
        <f>IF([1]Accounts!$D$286="","",[1]Accounts!$C$286)</f>
        <v/>
      </c>
      <c r="N285">
        <f>IF([1]Accounts!$D$286="","",[1]Accounts!$D$286)</f>
        <v/>
      </c>
      <c r="P285">
        <f>IF([2]Entry!$C$288="","",[2]Entry!$C$288)</f>
        <v/>
      </c>
      <c r="Q285">
        <f>IF([2]Entry!$D$288="","",[2]Entry!$D$288)</f>
        <v/>
      </c>
      <c r="R285">
        <f>IF([2]Entry!$E$288="","",[2]Entry!$E$288)</f>
        <v/>
      </c>
      <c r="S285">
        <f>IF([2]Entry!$G$288="","",[2]Entry!$G$288)</f>
        <v/>
      </c>
      <c r="T285">
        <f>IF([2]Entry!$J$288="","",[2]Entry!$J$288)</f>
        <v/>
      </c>
      <c r="U285">
        <f>IF([2]Entry!$K$288="","",[2]Entry!$K$288)</f>
        <v/>
      </c>
      <c r="V285">
        <f>IF([2]Entry!$L$288="","",[2]Entry!$L$288)</f>
        <v/>
      </c>
      <c r="W285">
        <f>IF([2]Entry!$M$288="","",[2]Entry!$M$288)</f>
        <v/>
      </c>
      <c r="X285">
        <f>IF([2]Entry!$N$288="","",[2]Entry!$N$288)</f>
        <v/>
      </c>
      <c r="Y285">
        <f>IF([2]Entry!$R$288="","",[2]Entry!$R$288)</f>
        <v/>
      </c>
    </row>
    <row r="286">
      <c r="K286">
        <f>IF([1]Accounts!$D$287="","",[1]Accounts!$A$287)</f>
        <v/>
      </c>
      <c r="L286">
        <f>IF([1]Accounts!$D$287="","",[1]Accounts!$B$287)</f>
        <v/>
      </c>
      <c r="M286">
        <f>IF([1]Accounts!$D$287="","",[1]Accounts!$C$287)</f>
        <v/>
      </c>
      <c r="N286">
        <f>IF([1]Accounts!$D$287="","",[1]Accounts!$D$287)</f>
        <v/>
      </c>
      <c r="P286">
        <f>IF([2]Entry!$C$289="","",[2]Entry!$C$289)</f>
        <v/>
      </c>
      <c r="Q286">
        <f>IF([2]Entry!$D$289="","",[2]Entry!$D$289)</f>
        <v/>
      </c>
      <c r="R286">
        <f>IF([2]Entry!$E$289="","",[2]Entry!$E$289)</f>
        <v/>
      </c>
      <c r="S286">
        <f>IF([2]Entry!$G$289="","",[2]Entry!$G$289)</f>
        <v/>
      </c>
      <c r="T286">
        <f>IF([2]Entry!$J$289="","",[2]Entry!$J$289)</f>
        <v/>
      </c>
      <c r="U286">
        <f>IF([2]Entry!$K$289="","",[2]Entry!$K$289)</f>
        <v/>
      </c>
      <c r="V286">
        <f>IF([2]Entry!$L$289="","",[2]Entry!$L$289)</f>
        <v/>
      </c>
      <c r="W286">
        <f>IF([2]Entry!$M$289="","",[2]Entry!$M$289)</f>
        <v/>
      </c>
      <c r="X286">
        <f>IF([2]Entry!$N$289="","",[2]Entry!$N$289)</f>
        <v/>
      </c>
      <c r="Y286">
        <f>IF([2]Entry!$R$289="","",[2]Entry!$R$289)</f>
        <v/>
      </c>
    </row>
    <row r="287">
      <c r="K287">
        <f>IF([1]Accounts!$D$288="","",[1]Accounts!$A$288)</f>
        <v/>
      </c>
      <c r="L287">
        <f>IF([1]Accounts!$D$288="","",[1]Accounts!$B$288)</f>
        <v/>
      </c>
      <c r="M287">
        <f>IF([1]Accounts!$D$288="","",[1]Accounts!$C$288)</f>
        <v/>
      </c>
      <c r="N287">
        <f>IF([1]Accounts!$D$288="","",[1]Accounts!$D$288)</f>
        <v/>
      </c>
      <c r="P287">
        <f>IF([2]Entry!$C$290="","",[2]Entry!$C$290)</f>
        <v/>
      </c>
      <c r="Q287">
        <f>IF([2]Entry!$D$290="","",[2]Entry!$D$290)</f>
        <v/>
      </c>
      <c r="R287">
        <f>IF([2]Entry!$E$290="","",[2]Entry!$E$290)</f>
        <v/>
      </c>
      <c r="S287">
        <f>IF([2]Entry!$G$290="","",[2]Entry!$G$290)</f>
        <v/>
      </c>
      <c r="T287">
        <f>IF([2]Entry!$J$290="","",[2]Entry!$J$290)</f>
        <v/>
      </c>
      <c r="U287">
        <f>IF([2]Entry!$K$290="","",[2]Entry!$K$290)</f>
        <v/>
      </c>
      <c r="V287">
        <f>IF([2]Entry!$L$290="","",[2]Entry!$L$290)</f>
        <v/>
      </c>
      <c r="W287">
        <f>IF([2]Entry!$M$290="","",[2]Entry!$M$290)</f>
        <v/>
      </c>
      <c r="X287">
        <f>IF([2]Entry!$N$290="","",[2]Entry!$N$290)</f>
        <v/>
      </c>
      <c r="Y287">
        <f>IF([2]Entry!$R$290="","",[2]Entry!$R$290)</f>
        <v/>
      </c>
    </row>
    <row r="288">
      <c r="K288">
        <f>IF([1]Accounts!$D$289="","",[1]Accounts!$A$289)</f>
        <v/>
      </c>
      <c r="L288">
        <f>IF([1]Accounts!$D$289="","",[1]Accounts!$B$289)</f>
        <v/>
      </c>
      <c r="M288">
        <f>IF([1]Accounts!$D$289="","",[1]Accounts!$C$289)</f>
        <v/>
      </c>
      <c r="N288">
        <f>IF([1]Accounts!$D$289="","",[1]Accounts!$D$289)</f>
        <v/>
      </c>
      <c r="P288">
        <f>IF([2]Entry!$C$291="","",[2]Entry!$C$291)</f>
        <v/>
      </c>
      <c r="Q288">
        <f>IF([2]Entry!$D$291="","",[2]Entry!$D$291)</f>
        <v/>
      </c>
      <c r="R288">
        <f>IF([2]Entry!$E$291="","",[2]Entry!$E$291)</f>
        <v/>
      </c>
      <c r="S288">
        <f>IF([2]Entry!$G$291="","",[2]Entry!$G$291)</f>
        <v/>
      </c>
      <c r="T288">
        <f>IF([2]Entry!$J$291="","",[2]Entry!$J$291)</f>
        <v/>
      </c>
      <c r="U288">
        <f>IF([2]Entry!$K$291="","",[2]Entry!$K$291)</f>
        <v/>
      </c>
      <c r="V288">
        <f>IF([2]Entry!$L$291="","",[2]Entry!$L$291)</f>
        <v/>
      </c>
      <c r="W288">
        <f>IF([2]Entry!$M$291="","",[2]Entry!$M$291)</f>
        <v/>
      </c>
      <c r="X288">
        <f>IF([2]Entry!$N$291="","",[2]Entry!$N$291)</f>
        <v/>
      </c>
      <c r="Y288">
        <f>IF([2]Entry!$R$291="","",[2]Entry!$R$291)</f>
        <v/>
      </c>
    </row>
    <row r="289">
      <c r="K289">
        <f>IF([1]Accounts!$D$290="","",[1]Accounts!$A$290)</f>
        <v/>
      </c>
      <c r="L289">
        <f>IF([1]Accounts!$D$290="","",[1]Accounts!$B$290)</f>
        <v/>
      </c>
      <c r="M289">
        <f>IF([1]Accounts!$D$290="","",[1]Accounts!$C$290)</f>
        <v/>
      </c>
      <c r="N289">
        <f>IF([1]Accounts!$D$290="","",[1]Accounts!$D$290)</f>
        <v/>
      </c>
      <c r="P289">
        <f>IF([2]Entry!$C$292="","",[2]Entry!$C$292)</f>
        <v/>
      </c>
      <c r="Q289">
        <f>IF([2]Entry!$D$292="","",[2]Entry!$D$292)</f>
        <v/>
      </c>
      <c r="R289">
        <f>IF([2]Entry!$E$292="","",[2]Entry!$E$292)</f>
        <v/>
      </c>
      <c r="S289">
        <f>IF([2]Entry!$G$292="","",[2]Entry!$G$292)</f>
        <v/>
      </c>
      <c r="T289">
        <f>IF([2]Entry!$J$292="","",[2]Entry!$J$292)</f>
        <v/>
      </c>
      <c r="U289">
        <f>IF([2]Entry!$K$292="","",[2]Entry!$K$292)</f>
        <v/>
      </c>
      <c r="V289">
        <f>IF([2]Entry!$L$292="","",[2]Entry!$L$292)</f>
        <v/>
      </c>
      <c r="W289">
        <f>IF([2]Entry!$M$292="","",[2]Entry!$M$292)</f>
        <v/>
      </c>
      <c r="X289">
        <f>IF([2]Entry!$N$292="","",[2]Entry!$N$292)</f>
        <v/>
      </c>
      <c r="Y289">
        <f>IF([2]Entry!$R$292="","",[2]Entry!$R$292)</f>
        <v/>
      </c>
    </row>
    <row r="290">
      <c r="K290">
        <f>IF([1]Accounts!$D$291="","",[1]Accounts!$A$291)</f>
        <v/>
      </c>
      <c r="L290">
        <f>IF([1]Accounts!$D$291="","",[1]Accounts!$B$291)</f>
        <v/>
      </c>
      <c r="M290">
        <f>IF([1]Accounts!$D$291="","",[1]Accounts!$C$291)</f>
        <v/>
      </c>
      <c r="N290">
        <f>IF([1]Accounts!$D$291="","",[1]Accounts!$D$291)</f>
        <v/>
      </c>
      <c r="P290">
        <f>IF([2]Entry!$C$293="","",[2]Entry!$C$293)</f>
        <v/>
      </c>
      <c r="Q290">
        <f>IF([2]Entry!$D$293="","",[2]Entry!$D$293)</f>
        <v/>
      </c>
      <c r="R290">
        <f>IF([2]Entry!$E$293="","",[2]Entry!$E$293)</f>
        <v/>
      </c>
      <c r="S290">
        <f>IF([2]Entry!$G$293="","",[2]Entry!$G$293)</f>
        <v/>
      </c>
      <c r="T290">
        <f>IF([2]Entry!$J$293="","",[2]Entry!$J$293)</f>
        <v/>
      </c>
      <c r="U290">
        <f>IF([2]Entry!$K$293="","",[2]Entry!$K$293)</f>
        <v/>
      </c>
      <c r="V290">
        <f>IF([2]Entry!$L$293="","",[2]Entry!$L$293)</f>
        <v/>
      </c>
      <c r="W290">
        <f>IF([2]Entry!$M$293="","",[2]Entry!$M$293)</f>
        <v/>
      </c>
      <c r="X290">
        <f>IF([2]Entry!$N$293="","",[2]Entry!$N$293)</f>
        <v/>
      </c>
      <c r="Y290">
        <f>IF([2]Entry!$R$293="","",[2]Entry!$R$293)</f>
        <v/>
      </c>
    </row>
    <row r="291">
      <c r="K291">
        <f>IF([1]Accounts!$D$292="","",[1]Accounts!$A$292)</f>
        <v/>
      </c>
      <c r="L291">
        <f>IF([1]Accounts!$D$292="","",[1]Accounts!$B$292)</f>
        <v/>
      </c>
      <c r="M291">
        <f>IF([1]Accounts!$D$292="","",[1]Accounts!$C$292)</f>
        <v/>
      </c>
      <c r="N291">
        <f>IF([1]Accounts!$D$292="","",[1]Accounts!$D$292)</f>
        <v/>
      </c>
      <c r="P291">
        <f>IF([2]Entry!$C$294="","",[2]Entry!$C$294)</f>
        <v/>
      </c>
      <c r="Q291">
        <f>IF([2]Entry!$D$294="","",[2]Entry!$D$294)</f>
        <v/>
      </c>
      <c r="R291">
        <f>IF([2]Entry!$E$294="","",[2]Entry!$E$294)</f>
        <v/>
      </c>
      <c r="S291">
        <f>IF([2]Entry!$G$294="","",[2]Entry!$G$294)</f>
        <v/>
      </c>
      <c r="T291">
        <f>IF([2]Entry!$J$294="","",[2]Entry!$J$294)</f>
        <v/>
      </c>
      <c r="U291">
        <f>IF([2]Entry!$K$294="","",[2]Entry!$K$294)</f>
        <v/>
      </c>
      <c r="V291">
        <f>IF([2]Entry!$L$294="","",[2]Entry!$L$294)</f>
        <v/>
      </c>
      <c r="W291">
        <f>IF([2]Entry!$M$294="","",[2]Entry!$M$294)</f>
        <v/>
      </c>
      <c r="X291">
        <f>IF([2]Entry!$N$294="","",[2]Entry!$N$294)</f>
        <v/>
      </c>
      <c r="Y291">
        <f>IF([2]Entry!$R$294="","",[2]Entry!$R$294)</f>
        <v/>
      </c>
    </row>
    <row r="292">
      <c r="K292">
        <f>IF([1]Accounts!$D$293="","",[1]Accounts!$A$293)</f>
        <v/>
      </c>
      <c r="L292">
        <f>IF([1]Accounts!$D$293="","",[1]Accounts!$B$293)</f>
        <v/>
      </c>
      <c r="M292">
        <f>IF([1]Accounts!$D$293="","",[1]Accounts!$C$293)</f>
        <v/>
      </c>
      <c r="N292">
        <f>IF([1]Accounts!$D$293="","",[1]Accounts!$D$293)</f>
        <v/>
      </c>
      <c r="P292">
        <f>IF([2]Entry!$C$295="","",[2]Entry!$C$295)</f>
        <v/>
      </c>
      <c r="Q292">
        <f>IF([2]Entry!$D$295="","",[2]Entry!$D$295)</f>
        <v/>
      </c>
      <c r="R292">
        <f>IF([2]Entry!$E$295="","",[2]Entry!$E$295)</f>
        <v/>
      </c>
      <c r="S292">
        <f>IF([2]Entry!$G$295="","",[2]Entry!$G$295)</f>
        <v/>
      </c>
      <c r="T292">
        <f>IF([2]Entry!$J$295="","",[2]Entry!$J$295)</f>
        <v/>
      </c>
      <c r="U292">
        <f>IF([2]Entry!$K$295="","",[2]Entry!$K$295)</f>
        <v/>
      </c>
      <c r="V292">
        <f>IF([2]Entry!$L$295="","",[2]Entry!$L$295)</f>
        <v/>
      </c>
      <c r="W292">
        <f>IF([2]Entry!$M$295="","",[2]Entry!$M$295)</f>
        <v/>
      </c>
      <c r="X292">
        <f>IF([2]Entry!$N$295="","",[2]Entry!$N$295)</f>
        <v/>
      </c>
      <c r="Y292">
        <f>IF([2]Entry!$R$295="","",[2]Entry!$R$295)</f>
        <v/>
      </c>
    </row>
    <row r="293">
      <c r="K293">
        <f>IF([1]Accounts!$D$294="","",[1]Accounts!$A$294)</f>
        <v/>
      </c>
      <c r="L293">
        <f>IF([1]Accounts!$D$294="","",[1]Accounts!$B$294)</f>
        <v/>
      </c>
      <c r="M293">
        <f>IF([1]Accounts!$D$294="","",[1]Accounts!$C$294)</f>
        <v/>
      </c>
      <c r="N293">
        <f>IF([1]Accounts!$D$294="","",[1]Accounts!$D$294)</f>
        <v/>
      </c>
      <c r="P293">
        <f>IF([2]Entry!$C$296="","",[2]Entry!$C$296)</f>
        <v/>
      </c>
      <c r="Q293">
        <f>IF([2]Entry!$D$296="","",[2]Entry!$D$296)</f>
        <v/>
      </c>
      <c r="R293">
        <f>IF([2]Entry!$E$296="","",[2]Entry!$E$296)</f>
        <v/>
      </c>
      <c r="S293">
        <f>IF([2]Entry!$G$296="","",[2]Entry!$G$296)</f>
        <v/>
      </c>
      <c r="T293">
        <f>IF([2]Entry!$J$296="","",[2]Entry!$J$296)</f>
        <v/>
      </c>
      <c r="U293">
        <f>IF([2]Entry!$K$296="","",[2]Entry!$K$296)</f>
        <v/>
      </c>
      <c r="V293">
        <f>IF([2]Entry!$L$296="","",[2]Entry!$L$296)</f>
        <v/>
      </c>
      <c r="W293">
        <f>IF([2]Entry!$M$296="","",[2]Entry!$M$296)</f>
        <v/>
      </c>
      <c r="X293">
        <f>IF([2]Entry!$N$296="","",[2]Entry!$N$296)</f>
        <v/>
      </c>
      <c r="Y293">
        <f>IF([2]Entry!$R$296="","",[2]Entry!$R$296)</f>
        <v/>
      </c>
    </row>
    <row r="294">
      <c r="K294">
        <f>IF([1]Accounts!$D$295="","",[1]Accounts!$A$295)</f>
        <v/>
      </c>
      <c r="L294">
        <f>IF([1]Accounts!$D$295="","",[1]Accounts!$B$295)</f>
        <v/>
      </c>
      <c r="M294">
        <f>IF([1]Accounts!$D$295="","",[1]Accounts!$C$295)</f>
        <v/>
      </c>
      <c r="N294">
        <f>IF([1]Accounts!$D$295="","",[1]Accounts!$D$295)</f>
        <v/>
      </c>
      <c r="P294">
        <f>IF([2]Entry!$C$297="","",[2]Entry!$C$297)</f>
        <v/>
      </c>
      <c r="Q294">
        <f>IF([2]Entry!$D$297="","",[2]Entry!$D$297)</f>
        <v/>
      </c>
      <c r="R294">
        <f>IF([2]Entry!$E$297="","",[2]Entry!$E$297)</f>
        <v/>
      </c>
      <c r="S294">
        <f>IF([2]Entry!$G$297="","",[2]Entry!$G$297)</f>
        <v/>
      </c>
      <c r="T294">
        <f>IF([2]Entry!$J$297="","",[2]Entry!$J$297)</f>
        <v/>
      </c>
      <c r="U294">
        <f>IF([2]Entry!$K$297="","",[2]Entry!$K$297)</f>
        <v/>
      </c>
      <c r="V294">
        <f>IF([2]Entry!$L$297="","",[2]Entry!$L$297)</f>
        <v/>
      </c>
      <c r="W294">
        <f>IF([2]Entry!$M$297="","",[2]Entry!$M$297)</f>
        <v/>
      </c>
      <c r="X294">
        <f>IF([2]Entry!$N$297="","",[2]Entry!$N$297)</f>
        <v/>
      </c>
      <c r="Y294">
        <f>IF([2]Entry!$R$297="","",[2]Entry!$R$297)</f>
        <v/>
      </c>
    </row>
    <row r="295">
      <c r="K295">
        <f>IF([1]Accounts!$D$296="","",[1]Accounts!$A$296)</f>
        <v/>
      </c>
      <c r="L295">
        <f>IF([1]Accounts!$D$296="","",[1]Accounts!$B$296)</f>
        <v/>
      </c>
      <c r="M295">
        <f>IF([1]Accounts!$D$296="","",[1]Accounts!$C$296)</f>
        <v/>
      </c>
      <c r="N295">
        <f>IF([1]Accounts!$D$296="","",[1]Accounts!$D$296)</f>
        <v/>
      </c>
      <c r="P295">
        <f>IF([2]Entry!$C$298="","",[2]Entry!$C$298)</f>
        <v/>
      </c>
      <c r="Q295">
        <f>IF([2]Entry!$D$298="","",[2]Entry!$D$298)</f>
        <v/>
      </c>
      <c r="R295">
        <f>IF([2]Entry!$E$298="","",[2]Entry!$E$298)</f>
        <v/>
      </c>
      <c r="S295">
        <f>IF([2]Entry!$G$298="","",[2]Entry!$G$298)</f>
        <v/>
      </c>
      <c r="T295">
        <f>IF([2]Entry!$J$298="","",[2]Entry!$J$298)</f>
        <v/>
      </c>
      <c r="U295">
        <f>IF([2]Entry!$K$298="","",[2]Entry!$K$298)</f>
        <v/>
      </c>
      <c r="V295">
        <f>IF([2]Entry!$L$298="","",[2]Entry!$L$298)</f>
        <v/>
      </c>
      <c r="W295">
        <f>IF([2]Entry!$M$298="","",[2]Entry!$M$298)</f>
        <v/>
      </c>
      <c r="X295">
        <f>IF([2]Entry!$N$298="","",[2]Entry!$N$298)</f>
        <v/>
      </c>
      <c r="Y295">
        <f>IF([2]Entry!$R$298="","",[2]Entry!$R$298)</f>
        <v/>
      </c>
    </row>
    <row r="296">
      <c r="K296">
        <f>IF([1]Accounts!$D$297="","",[1]Accounts!$A$297)</f>
        <v/>
      </c>
      <c r="L296">
        <f>IF([1]Accounts!$D$297="","",[1]Accounts!$B$297)</f>
        <v/>
      </c>
      <c r="M296">
        <f>IF([1]Accounts!$D$297="","",[1]Accounts!$C$297)</f>
        <v/>
      </c>
      <c r="N296">
        <f>IF([1]Accounts!$D$297="","",[1]Accounts!$D$297)</f>
        <v/>
      </c>
      <c r="P296">
        <f>IF([2]Entry!$C$299="","",[2]Entry!$C$299)</f>
        <v/>
      </c>
      <c r="Q296">
        <f>IF([2]Entry!$D$299="","",[2]Entry!$D$299)</f>
        <v/>
      </c>
      <c r="R296">
        <f>IF([2]Entry!$E$299="","",[2]Entry!$E$299)</f>
        <v/>
      </c>
      <c r="S296">
        <f>IF([2]Entry!$G$299="","",[2]Entry!$G$299)</f>
        <v/>
      </c>
      <c r="T296">
        <f>IF([2]Entry!$J$299="","",[2]Entry!$J$299)</f>
        <v/>
      </c>
      <c r="U296">
        <f>IF([2]Entry!$K$299="","",[2]Entry!$K$299)</f>
        <v/>
      </c>
      <c r="V296">
        <f>IF([2]Entry!$L$299="","",[2]Entry!$L$299)</f>
        <v/>
      </c>
      <c r="W296">
        <f>IF([2]Entry!$M$299="","",[2]Entry!$M$299)</f>
        <v/>
      </c>
      <c r="X296">
        <f>IF([2]Entry!$N$299="","",[2]Entry!$N$299)</f>
        <v/>
      </c>
      <c r="Y296">
        <f>IF([2]Entry!$R$299="","",[2]Entry!$R$299)</f>
        <v/>
      </c>
    </row>
    <row r="297">
      <c r="K297">
        <f>IF([1]Accounts!$D$298="","",[1]Accounts!$A$298)</f>
        <v/>
      </c>
      <c r="L297">
        <f>IF([1]Accounts!$D$298="","",[1]Accounts!$B$298)</f>
        <v/>
      </c>
      <c r="M297">
        <f>IF([1]Accounts!$D$298="","",[1]Accounts!$C$298)</f>
        <v/>
      </c>
      <c r="N297">
        <f>IF([1]Accounts!$D$298="","",[1]Accounts!$D$298)</f>
        <v/>
      </c>
      <c r="P297">
        <f>IF([2]Entry!$C$300="","",[2]Entry!$C$300)</f>
        <v/>
      </c>
      <c r="Q297">
        <f>IF([2]Entry!$D$300="","",[2]Entry!$D$300)</f>
        <v/>
      </c>
      <c r="R297">
        <f>IF([2]Entry!$E$300="","",[2]Entry!$E$300)</f>
        <v/>
      </c>
      <c r="S297">
        <f>IF([2]Entry!$G$300="","",[2]Entry!$G$300)</f>
        <v/>
      </c>
      <c r="T297">
        <f>IF([2]Entry!$J$300="","",[2]Entry!$J$300)</f>
        <v/>
      </c>
      <c r="U297">
        <f>IF([2]Entry!$K$300="","",[2]Entry!$K$300)</f>
        <v/>
      </c>
      <c r="V297">
        <f>IF([2]Entry!$L$300="","",[2]Entry!$L$300)</f>
        <v/>
      </c>
      <c r="W297">
        <f>IF([2]Entry!$M$300="","",[2]Entry!$M$300)</f>
        <v/>
      </c>
      <c r="X297">
        <f>IF([2]Entry!$N$300="","",[2]Entry!$N$300)</f>
        <v/>
      </c>
      <c r="Y297">
        <f>IF([2]Entry!$R$300="","",[2]Entry!$R$300)</f>
        <v/>
      </c>
    </row>
    <row r="298">
      <c r="K298">
        <f>IF([1]Accounts!$D$299="","",[1]Accounts!$A$299)</f>
        <v/>
      </c>
      <c r="L298">
        <f>IF([1]Accounts!$D$299="","",[1]Accounts!$B$299)</f>
        <v/>
      </c>
      <c r="M298">
        <f>IF([1]Accounts!$D$299="","",[1]Accounts!$C$299)</f>
        <v/>
      </c>
      <c r="N298">
        <f>IF([1]Accounts!$D$299="","",[1]Accounts!$D$299)</f>
        <v/>
      </c>
      <c r="P298">
        <f>IF([2]Entry!$C$301="","",[2]Entry!$C$301)</f>
        <v/>
      </c>
      <c r="Q298">
        <f>IF([2]Entry!$D$301="","",[2]Entry!$D$301)</f>
        <v/>
      </c>
      <c r="R298">
        <f>IF([2]Entry!$E$301="","",[2]Entry!$E$301)</f>
        <v/>
      </c>
      <c r="S298">
        <f>IF([2]Entry!$G$301="","",[2]Entry!$G$301)</f>
        <v/>
      </c>
      <c r="T298">
        <f>IF([2]Entry!$J$301="","",[2]Entry!$J$301)</f>
        <v/>
      </c>
      <c r="U298">
        <f>IF([2]Entry!$K$301="","",[2]Entry!$K$301)</f>
        <v/>
      </c>
      <c r="V298">
        <f>IF([2]Entry!$L$301="","",[2]Entry!$L$301)</f>
        <v/>
      </c>
      <c r="W298">
        <f>IF([2]Entry!$M$301="","",[2]Entry!$M$301)</f>
        <v/>
      </c>
      <c r="X298">
        <f>IF([2]Entry!$N$301="","",[2]Entry!$N$301)</f>
        <v/>
      </c>
      <c r="Y298">
        <f>IF([2]Entry!$R$301="","",[2]Entry!$R$301)</f>
        <v/>
      </c>
    </row>
    <row r="299">
      <c r="K299">
        <f>IF([1]Accounts!$D$300="","",[1]Accounts!$A$300)</f>
        <v/>
      </c>
      <c r="L299">
        <f>IF([1]Accounts!$D$300="","",[1]Accounts!$B$300)</f>
        <v/>
      </c>
      <c r="M299">
        <f>IF([1]Accounts!$D$300="","",[1]Accounts!$C$300)</f>
        <v/>
      </c>
      <c r="N299">
        <f>IF([1]Accounts!$D$300="","",[1]Accounts!$D$300)</f>
        <v/>
      </c>
      <c r="P299">
        <f>IF([2]Entry!$C$302="","",[2]Entry!$C$302)</f>
        <v/>
      </c>
      <c r="Q299">
        <f>IF([2]Entry!$D$302="","",[2]Entry!$D$302)</f>
        <v/>
      </c>
      <c r="R299">
        <f>IF([2]Entry!$E$302="","",[2]Entry!$E$302)</f>
        <v/>
      </c>
      <c r="S299">
        <f>IF([2]Entry!$G$302="","",[2]Entry!$G$302)</f>
        <v/>
      </c>
      <c r="T299">
        <f>IF([2]Entry!$J$302="","",[2]Entry!$J$302)</f>
        <v/>
      </c>
      <c r="U299">
        <f>IF([2]Entry!$K$302="","",[2]Entry!$K$302)</f>
        <v/>
      </c>
      <c r="V299">
        <f>IF([2]Entry!$L$302="","",[2]Entry!$L$302)</f>
        <v/>
      </c>
      <c r="W299">
        <f>IF([2]Entry!$M$302="","",[2]Entry!$M$302)</f>
        <v/>
      </c>
      <c r="X299">
        <f>IF([2]Entry!$N$302="","",[2]Entry!$N$302)</f>
        <v/>
      </c>
      <c r="Y299">
        <f>IF([2]Entry!$R$302="","",[2]Entry!$R$302)</f>
        <v/>
      </c>
    </row>
    <row r="300">
      <c r="K300">
        <f>IF([1]Accounts!$D$301="","",[1]Accounts!$A$301)</f>
        <v/>
      </c>
      <c r="L300">
        <f>IF([1]Accounts!$D$301="","",[1]Accounts!$B$301)</f>
        <v/>
      </c>
      <c r="M300">
        <f>IF([1]Accounts!$D$301="","",[1]Accounts!$C$301)</f>
        <v/>
      </c>
      <c r="N300">
        <f>IF([1]Accounts!$D$301="","",[1]Accounts!$D$301)</f>
        <v/>
      </c>
      <c r="P300">
        <f>IF([2]Entry!$C$303="","",[2]Entry!$C$303)</f>
        <v/>
      </c>
      <c r="Q300">
        <f>IF([2]Entry!$D$303="","",[2]Entry!$D$303)</f>
        <v/>
      </c>
      <c r="R300">
        <f>IF([2]Entry!$E$303="","",[2]Entry!$E$303)</f>
        <v/>
      </c>
      <c r="S300">
        <f>IF([2]Entry!$G$303="","",[2]Entry!$G$303)</f>
        <v/>
      </c>
      <c r="T300">
        <f>IF([2]Entry!$J$303="","",[2]Entry!$J$303)</f>
        <v/>
      </c>
      <c r="U300">
        <f>IF([2]Entry!$K$303="","",[2]Entry!$K$303)</f>
        <v/>
      </c>
      <c r="V300">
        <f>IF([2]Entry!$L$303="","",[2]Entry!$L$303)</f>
        <v/>
      </c>
      <c r="W300">
        <f>IF([2]Entry!$M$303="","",[2]Entry!$M$303)</f>
        <v/>
      </c>
      <c r="X300">
        <f>IF([2]Entry!$N$303="","",[2]Entry!$N$303)</f>
        <v/>
      </c>
      <c r="Y300">
        <f>IF([2]Entry!$R$303="","",[2]Entry!$R$303)</f>
        <v/>
      </c>
    </row>
    <row r="301">
      <c r="K301">
        <f>IF([1]Accounts!$D$302="","",[1]Accounts!$A$302)</f>
        <v/>
      </c>
      <c r="L301">
        <f>IF([1]Accounts!$D$302="","",[1]Accounts!$B$302)</f>
        <v/>
      </c>
      <c r="M301">
        <f>IF([1]Accounts!$D$302="","",[1]Accounts!$C$302)</f>
        <v/>
      </c>
      <c r="N301">
        <f>IF([1]Accounts!$D$302="","",[1]Accounts!$D$302)</f>
        <v/>
      </c>
      <c r="P301">
        <f>IF([2]Entry!$C$304="","",[2]Entry!$C$304)</f>
        <v/>
      </c>
      <c r="Q301">
        <f>IF([2]Entry!$D$304="","",[2]Entry!$D$304)</f>
        <v/>
      </c>
      <c r="R301">
        <f>IF([2]Entry!$E$304="","",[2]Entry!$E$304)</f>
        <v/>
      </c>
      <c r="S301">
        <f>IF([2]Entry!$G$304="","",[2]Entry!$G$304)</f>
        <v/>
      </c>
      <c r="T301">
        <f>IF([2]Entry!$J$304="","",[2]Entry!$J$304)</f>
        <v/>
      </c>
      <c r="U301">
        <f>IF([2]Entry!$K$304="","",[2]Entry!$K$304)</f>
        <v/>
      </c>
      <c r="V301">
        <f>IF([2]Entry!$L$304="","",[2]Entry!$L$304)</f>
        <v/>
      </c>
      <c r="W301">
        <f>IF([2]Entry!$M$304="","",[2]Entry!$M$304)</f>
        <v/>
      </c>
      <c r="X301">
        <f>IF([2]Entry!$N$304="","",[2]Entry!$N$304)</f>
        <v/>
      </c>
      <c r="Y301">
        <f>IF([2]Entry!$R$304="","",[2]Entry!$R$304)</f>
        <v/>
      </c>
    </row>
    <row r="302">
      <c r="K302">
        <f>IF([1]Accounts!$D$303="","",[1]Accounts!$A$303)</f>
        <v/>
      </c>
      <c r="L302">
        <f>IF([1]Accounts!$D$303="","",[1]Accounts!$B$303)</f>
        <v/>
      </c>
      <c r="M302">
        <f>IF([1]Accounts!$D$303="","",[1]Accounts!$C$303)</f>
        <v/>
      </c>
      <c r="N302">
        <f>IF([1]Accounts!$D$303="","",[1]Accounts!$D$303)</f>
        <v/>
      </c>
      <c r="P302">
        <f>IF([2]Entry!$C$305="","",[2]Entry!$C$305)</f>
        <v/>
      </c>
      <c r="Q302">
        <f>IF([2]Entry!$D$305="","",[2]Entry!$D$305)</f>
        <v/>
      </c>
      <c r="R302">
        <f>IF([2]Entry!$E$305="","",[2]Entry!$E$305)</f>
        <v/>
      </c>
      <c r="S302">
        <f>IF([2]Entry!$G$305="","",[2]Entry!$G$305)</f>
        <v/>
      </c>
      <c r="T302">
        <f>IF([2]Entry!$J$305="","",[2]Entry!$J$305)</f>
        <v/>
      </c>
      <c r="U302">
        <f>IF([2]Entry!$K$305="","",[2]Entry!$K$305)</f>
        <v/>
      </c>
      <c r="V302">
        <f>IF([2]Entry!$L$305="","",[2]Entry!$L$305)</f>
        <v/>
      </c>
      <c r="W302">
        <f>IF([2]Entry!$M$305="","",[2]Entry!$M$305)</f>
        <v/>
      </c>
      <c r="X302">
        <f>IF([2]Entry!$N$305="","",[2]Entry!$N$305)</f>
        <v/>
      </c>
      <c r="Y302">
        <f>IF([2]Entry!$R$305="","",[2]Entry!$R$305)</f>
        <v/>
      </c>
    </row>
    <row r="303">
      <c r="K303">
        <f>IF([1]Accounts!$D$304="","",[1]Accounts!$A$304)</f>
        <v/>
      </c>
      <c r="L303">
        <f>IF([1]Accounts!$D$304="","",[1]Accounts!$B$304)</f>
        <v/>
      </c>
      <c r="M303">
        <f>IF([1]Accounts!$D$304="","",[1]Accounts!$C$304)</f>
        <v/>
      </c>
      <c r="N303">
        <f>IF([1]Accounts!$D$304="","",[1]Accounts!$D$304)</f>
        <v/>
      </c>
      <c r="P303">
        <f>IF([2]Entry!$C$306="","",[2]Entry!$C$306)</f>
        <v/>
      </c>
      <c r="Q303">
        <f>IF([2]Entry!$D$306="","",[2]Entry!$D$306)</f>
        <v/>
      </c>
      <c r="R303">
        <f>IF([2]Entry!$E$306="","",[2]Entry!$E$306)</f>
        <v/>
      </c>
      <c r="S303">
        <f>IF([2]Entry!$G$306="","",[2]Entry!$G$306)</f>
        <v/>
      </c>
      <c r="T303">
        <f>IF([2]Entry!$J$306="","",[2]Entry!$J$306)</f>
        <v/>
      </c>
      <c r="U303">
        <f>IF([2]Entry!$K$306="","",[2]Entry!$K$306)</f>
        <v/>
      </c>
      <c r="V303">
        <f>IF([2]Entry!$L$306="","",[2]Entry!$L$306)</f>
        <v/>
      </c>
      <c r="W303">
        <f>IF([2]Entry!$M$306="","",[2]Entry!$M$306)</f>
        <v/>
      </c>
      <c r="X303">
        <f>IF([2]Entry!$N$306="","",[2]Entry!$N$306)</f>
        <v/>
      </c>
      <c r="Y303">
        <f>IF([2]Entry!$R$306="","",[2]Entry!$R$306)</f>
        <v/>
      </c>
    </row>
    <row r="304">
      <c r="K304">
        <f>IF([1]Accounts!$D$305="","",[1]Accounts!$A$305)</f>
        <v/>
      </c>
      <c r="L304">
        <f>IF([1]Accounts!$D$305="","",[1]Accounts!$B$305)</f>
        <v/>
      </c>
      <c r="M304">
        <f>IF([1]Accounts!$D$305="","",[1]Accounts!$C$305)</f>
        <v/>
      </c>
      <c r="N304">
        <f>IF([1]Accounts!$D$305="","",[1]Accounts!$D$305)</f>
        <v/>
      </c>
      <c r="P304">
        <f>IF([2]Entry!$C$307="","",[2]Entry!$C$307)</f>
        <v/>
      </c>
      <c r="Q304">
        <f>IF([2]Entry!$D$307="","",[2]Entry!$D$307)</f>
        <v/>
      </c>
      <c r="R304">
        <f>IF([2]Entry!$E$307="","",[2]Entry!$E$307)</f>
        <v/>
      </c>
      <c r="S304">
        <f>IF([2]Entry!$G$307="","",[2]Entry!$G$307)</f>
        <v/>
      </c>
      <c r="T304">
        <f>IF([2]Entry!$J$307="","",[2]Entry!$J$307)</f>
        <v/>
      </c>
      <c r="U304">
        <f>IF([2]Entry!$K$307="","",[2]Entry!$K$307)</f>
        <v/>
      </c>
      <c r="V304">
        <f>IF([2]Entry!$L$307="","",[2]Entry!$L$307)</f>
        <v/>
      </c>
      <c r="W304">
        <f>IF([2]Entry!$M$307="","",[2]Entry!$M$307)</f>
        <v/>
      </c>
      <c r="X304">
        <f>IF([2]Entry!$N$307="","",[2]Entry!$N$307)</f>
        <v/>
      </c>
      <c r="Y304">
        <f>IF([2]Entry!$R$307="","",[2]Entry!$R$307)</f>
        <v/>
      </c>
    </row>
    <row r="305">
      <c r="K305">
        <f>IF([1]Accounts!$D$306="","",[1]Accounts!$A$306)</f>
        <v/>
      </c>
      <c r="L305">
        <f>IF([1]Accounts!$D$306="","",[1]Accounts!$B$306)</f>
        <v/>
      </c>
      <c r="M305">
        <f>IF([1]Accounts!$D$306="","",[1]Accounts!$C$306)</f>
        <v/>
      </c>
      <c r="N305">
        <f>IF([1]Accounts!$D$306="","",[1]Accounts!$D$306)</f>
        <v/>
      </c>
      <c r="P305">
        <f>IF([2]Entry!$C$308="","",[2]Entry!$C$308)</f>
        <v/>
      </c>
      <c r="Q305">
        <f>IF([2]Entry!$D$308="","",[2]Entry!$D$308)</f>
        <v/>
      </c>
      <c r="R305">
        <f>IF([2]Entry!$E$308="","",[2]Entry!$E$308)</f>
        <v/>
      </c>
      <c r="S305">
        <f>IF([2]Entry!$G$308="","",[2]Entry!$G$308)</f>
        <v/>
      </c>
      <c r="T305">
        <f>IF([2]Entry!$J$308="","",[2]Entry!$J$308)</f>
        <v/>
      </c>
      <c r="U305">
        <f>IF([2]Entry!$K$308="","",[2]Entry!$K$308)</f>
        <v/>
      </c>
      <c r="V305">
        <f>IF([2]Entry!$L$308="","",[2]Entry!$L$308)</f>
        <v/>
      </c>
      <c r="W305">
        <f>IF([2]Entry!$M$308="","",[2]Entry!$M$308)</f>
        <v/>
      </c>
      <c r="X305">
        <f>IF([2]Entry!$N$308="","",[2]Entry!$N$308)</f>
        <v/>
      </c>
      <c r="Y305">
        <f>IF([2]Entry!$R$308="","",[2]Entry!$R$308)</f>
        <v/>
      </c>
    </row>
    <row r="306">
      <c r="K306">
        <f>IF([1]Accounts!$D$307="","",[1]Accounts!$A$307)</f>
        <v/>
      </c>
      <c r="L306">
        <f>IF([1]Accounts!$D$307="","",[1]Accounts!$B$307)</f>
        <v/>
      </c>
      <c r="M306">
        <f>IF([1]Accounts!$D$307="","",[1]Accounts!$C$307)</f>
        <v/>
      </c>
      <c r="N306">
        <f>IF([1]Accounts!$D$307="","",[1]Accounts!$D$307)</f>
        <v/>
      </c>
      <c r="P306">
        <f>IF([2]Entry!$C$309="","",[2]Entry!$C$309)</f>
        <v/>
      </c>
      <c r="Q306">
        <f>IF([2]Entry!$D$309="","",[2]Entry!$D$309)</f>
        <v/>
      </c>
      <c r="R306">
        <f>IF([2]Entry!$E$309="","",[2]Entry!$E$309)</f>
        <v/>
      </c>
      <c r="S306">
        <f>IF([2]Entry!$G$309="","",[2]Entry!$G$309)</f>
        <v/>
      </c>
      <c r="T306">
        <f>IF([2]Entry!$J$309="","",[2]Entry!$J$309)</f>
        <v/>
      </c>
      <c r="U306">
        <f>IF([2]Entry!$K$309="","",[2]Entry!$K$309)</f>
        <v/>
      </c>
      <c r="V306">
        <f>IF([2]Entry!$L$309="","",[2]Entry!$L$309)</f>
        <v/>
      </c>
      <c r="W306">
        <f>IF([2]Entry!$M$309="","",[2]Entry!$M$309)</f>
        <v/>
      </c>
      <c r="X306">
        <f>IF([2]Entry!$N$309="","",[2]Entry!$N$309)</f>
        <v/>
      </c>
      <c r="Y306">
        <f>IF([2]Entry!$R$309="","",[2]Entry!$R$309)</f>
        <v/>
      </c>
    </row>
    <row r="307">
      <c r="K307">
        <f>IF([1]Accounts!$D$308="","",[1]Accounts!$A$308)</f>
        <v/>
      </c>
      <c r="L307">
        <f>IF([1]Accounts!$D$308="","",[1]Accounts!$B$308)</f>
        <v/>
      </c>
      <c r="M307">
        <f>IF([1]Accounts!$D$308="","",[1]Accounts!$C$308)</f>
        <v/>
      </c>
      <c r="N307">
        <f>IF([1]Accounts!$D$308="","",[1]Accounts!$D$308)</f>
        <v/>
      </c>
      <c r="P307">
        <f>IF([2]Entry!$C$310="","",[2]Entry!$C$310)</f>
        <v/>
      </c>
      <c r="Q307">
        <f>IF([2]Entry!$D$310="","",[2]Entry!$D$310)</f>
        <v/>
      </c>
      <c r="R307">
        <f>IF([2]Entry!$E$310="","",[2]Entry!$E$310)</f>
        <v/>
      </c>
      <c r="S307">
        <f>IF([2]Entry!$G$310="","",[2]Entry!$G$310)</f>
        <v/>
      </c>
      <c r="T307">
        <f>IF([2]Entry!$J$310="","",[2]Entry!$J$310)</f>
        <v/>
      </c>
      <c r="U307">
        <f>IF([2]Entry!$K$310="","",[2]Entry!$K$310)</f>
        <v/>
      </c>
      <c r="V307">
        <f>IF([2]Entry!$L$310="","",[2]Entry!$L$310)</f>
        <v/>
      </c>
      <c r="W307">
        <f>IF([2]Entry!$M$310="","",[2]Entry!$M$310)</f>
        <v/>
      </c>
      <c r="X307">
        <f>IF([2]Entry!$N$310="","",[2]Entry!$N$310)</f>
        <v/>
      </c>
      <c r="Y307">
        <f>IF([2]Entry!$R$310="","",[2]Entry!$R$310)</f>
        <v/>
      </c>
    </row>
    <row r="308">
      <c r="K308">
        <f>IF([1]Accounts!$D$309="","",[1]Accounts!$A$309)</f>
        <v/>
      </c>
      <c r="L308">
        <f>IF([1]Accounts!$D$309="","",[1]Accounts!$B$309)</f>
        <v/>
      </c>
      <c r="M308">
        <f>IF([1]Accounts!$D$309="","",[1]Accounts!$C$309)</f>
        <v/>
      </c>
      <c r="N308">
        <f>IF([1]Accounts!$D$309="","",[1]Accounts!$D$309)</f>
        <v/>
      </c>
      <c r="P308">
        <f>IF([2]Entry!$C$311="","",[2]Entry!$C$311)</f>
        <v/>
      </c>
      <c r="Q308">
        <f>IF([2]Entry!$D$311="","",[2]Entry!$D$311)</f>
        <v/>
      </c>
      <c r="R308">
        <f>IF([2]Entry!$E$311="","",[2]Entry!$E$311)</f>
        <v/>
      </c>
      <c r="S308">
        <f>IF([2]Entry!$G$311="","",[2]Entry!$G$311)</f>
        <v/>
      </c>
      <c r="T308">
        <f>IF([2]Entry!$J$311="","",[2]Entry!$J$311)</f>
        <v/>
      </c>
      <c r="U308">
        <f>IF([2]Entry!$K$311="","",[2]Entry!$K$311)</f>
        <v/>
      </c>
      <c r="V308">
        <f>IF([2]Entry!$L$311="","",[2]Entry!$L$311)</f>
        <v/>
      </c>
      <c r="W308">
        <f>IF([2]Entry!$M$311="","",[2]Entry!$M$311)</f>
        <v/>
      </c>
      <c r="X308">
        <f>IF([2]Entry!$N$311="","",[2]Entry!$N$311)</f>
        <v/>
      </c>
      <c r="Y308">
        <f>IF([2]Entry!$R$311="","",[2]Entry!$R$311)</f>
        <v/>
      </c>
    </row>
    <row r="309">
      <c r="K309">
        <f>IF([1]Accounts!$D$310="","",[1]Accounts!$A$310)</f>
        <v/>
      </c>
      <c r="L309">
        <f>IF([1]Accounts!$D$310="","",[1]Accounts!$B$310)</f>
        <v/>
      </c>
      <c r="M309">
        <f>IF([1]Accounts!$D$310="","",[1]Accounts!$C$310)</f>
        <v/>
      </c>
      <c r="N309">
        <f>IF([1]Accounts!$D$310="","",[1]Accounts!$D$310)</f>
        <v/>
      </c>
      <c r="P309">
        <f>IF([2]Entry!$C$312="","",[2]Entry!$C$312)</f>
        <v/>
      </c>
      <c r="Q309">
        <f>IF([2]Entry!$D$312="","",[2]Entry!$D$312)</f>
        <v/>
      </c>
      <c r="R309">
        <f>IF([2]Entry!$E$312="","",[2]Entry!$E$312)</f>
        <v/>
      </c>
      <c r="S309">
        <f>IF([2]Entry!$G$312="","",[2]Entry!$G$312)</f>
        <v/>
      </c>
      <c r="T309">
        <f>IF([2]Entry!$J$312="","",[2]Entry!$J$312)</f>
        <v/>
      </c>
      <c r="U309">
        <f>IF([2]Entry!$K$312="","",[2]Entry!$K$312)</f>
        <v/>
      </c>
      <c r="V309">
        <f>IF([2]Entry!$L$312="","",[2]Entry!$L$312)</f>
        <v/>
      </c>
      <c r="W309">
        <f>IF([2]Entry!$M$312="","",[2]Entry!$M$312)</f>
        <v/>
      </c>
      <c r="X309">
        <f>IF([2]Entry!$N$312="","",[2]Entry!$N$312)</f>
        <v/>
      </c>
      <c r="Y309">
        <f>IF([2]Entry!$R$312="","",[2]Entry!$R$312)</f>
        <v/>
      </c>
    </row>
    <row r="310">
      <c r="K310">
        <f>IF([1]Accounts!$D$311="","",[1]Accounts!$A$311)</f>
        <v/>
      </c>
      <c r="L310">
        <f>IF([1]Accounts!$D$311="","",[1]Accounts!$B$311)</f>
        <v/>
      </c>
      <c r="M310">
        <f>IF([1]Accounts!$D$311="","",[1]Accounts!$C$311)</f>
        <v/>
      </c>
      <c r="N310">
        <f>IF([1]Accounts!$D$311="","",[1]Accounts!$D$311)</f>
        <v/>
      </c>
      <c r="P310">
        <f>IF([2]Entry!$C$313="","",[2]Entry!$C$313)</f>
        <v/>
      </c>
      <c r="Q310">
        <f>IF([2]Entry!$D$313="","",[2]Entry!$D$313)</f>
        <v/>
      </c>
      <c r="R310">
        <f>IF([2]Entry!$E$313="","",[2]Entry!$E$313)</f>
        <v/>
      </c>
      <c r="S310">
        <f>IF([2]Entry!$G$313="","",[2]Entry!$G$313)</f>
        <v/>
      </c>
      <c r="T310">
        <f>IF([2]Entry!$J$313="","",[2]Entry!$J$313)</f>
        <v/>
      </c>
      <c r="U310">
        <f>IF([2]Entry!$K$313="","",[2]Entry!$K$313)</f>
        <v/>
      </c>
      <c r="V310">
        <f>IF([2]Entry!$L$313="","",[2]Entry!$L$313)</f>
        <v/>
      </c>
      <c r="W310">
        <f>IF([2]Entry!$M$313="","",[2]Entry!$M$313)</f>
        <v/>
      </c>
      <c r="X310">
        <f>IF([2]Entry!$N$313="","",[2]Entry!$N$313)</f>
        <v/>
      </c>
      <c r="Y310">
        <f>IF([2]Entry!$R$313="","",[2]Entry!$R$313)</f>
        <v/>
      </c>
    </row>
    <row r="311">
      <c r="K311">
        <f>IF([1]Accounts!$D$312="","",[1]Accounts!$A$312)</f>
        <v/>
      </c>
      <c r="L311">
        <f>IF([1]Accounts!$D$312="","",[1]Accounts!$B$312)</f>
        <v/>
      </c>
      <c r="M311">
        <f>IF([1]Accounts!$D$312="","",[1]Accounts!$C$312)</f>
        <v/>
      </c>
      <c r="N311">
        <f>IF([1]Accounts!$D$312="","",[1]Accounts!$D$312)</f>
        <v/>
      </c>
      <c r="P311">
        <f>IF([2]Entry!$C$314="","",[2]Entry!$C$314)</f>
        <v/>
      </c>
      <c r="Q311">
        <f>IF([2]Entry!$D$314="","",[2]Entry!$D$314)</f>
        <v/>
      </c>
      <c r="R311">
        <f>IF([2]Entry!$E$314="","",[2]Entry!$E$314)</f>
        <v/>
      </c>
      <c r="S311">
        <f>IF([2]Entry!$G$314="","",[2]Entry!$G$314)</f>
        <v/>
      </c>
      <c r="T311">
        <f>IF([2]Entry!$J$314="","",[2]Entry!$J$314)</f>
        <v/>
      </c>
      <c r="U311">
        <f>IF([2]Entry!$K$314="","",[2]Entry!$K$314)</f>
        <v/>
      </c>
      <c r="V311">
        <f>IF([2]Entry!$L$314="","",[2]Entry!$L$314)</f>
        <v/>
      </c>
      <c r="W311">
        <f>IF([2]Entry!$M$314="","",[2]Entry!$M$314)</f>
        <v/>
      </c>
      <c r="X311">
        <f>IF([2]Entry!$N$314="","",[2]Entry!$N$314)</f>
        <v/>
      </c>
      <c r="Y311">
        <f>IF([2]Entry!$R$314="","",[2]Entry!$R$314)</f>
        <v/>
      </c>
    </row>
    <row r="312">
      <c r="K312">
        <f>IF([1]Accounts!$D$313="","",[1]Accounts!$A$313)</f>
        <v/>
      </c>
      <c r="L312">
        <f>IF([1]Accounts!$D$313="","",[1]Accounts!$B$313)</f>
        <v/>
      </c>
      <c r="M312">
        <f>IF([1]Accounts!$D$313="","",[1]Accounts!$C$313)</f>
        <v/>
      </c>
      <c r="N312">
        <f>IF([1]Accounts!$D$313="","",[1]Accounts!$D$313)</f>
        <v/>
      </c>
      <c r="P312">
        <f>IF([2]Entry!$C$315="","",[2]Entry!$C$315)</f>
        <v/>
      </c>
      <c r="Q312">
        <f>IF([2]Entry!$D$315="","",[2]Entry!$D$315)</f>
        <v/>
      </c>
      <c r="R312">
        <f>IF([2]Entry!$E$315="","",[2]Entry!$E$315)</f>
        <v/>
      </c>
      <c r="S312">
        <f>IF([2]Entry!$G$315="","",[2]Entry!$G$315)</f>
        <v/>
      </c>
      <c r="T312">
        <f>IF([2]Entry!$J$315="","",[2]Entry!$J$315)</f>
        <v/>
      </c>
      <c r="U312">
        <f>IF([2]Entry!$K$315="","",[2]Entry!$K$315)</f>
        <v/>
      </c>
      <c r="V312">
        <f>IF([2]Entry!$L$315="","",[2]Entry!$L$315)</f>
        <v/>
      </c>
      <c r="W312">
        <f>IF([2]Entry!$M$315="","",[2]Entry!$M$315)</f>
        <v/>
      </c>
      <c r="X312">
        <f>IF([2]Entry!$N$315="","",[2]Entry!$N$315)</f>
        <v/>
      </c>
      <c r="Y312">
        <f>IF([2]Entry!$R$315="","",[2]Entry!$R$315)</f>
        <v/>
      </c>
    </row>
    <row r="313">
      <c r="K313">
        <f>IF([1]Accounts!$D$314="","",[1]Accounts!$A$314)</f>
        <v/>
      </c>
      <c r="L313">
        <f>IF([1]Accounts!$D$314="","",[1]Accounts!$B$314)</f>
        <v/>
      </c>
      <c r="M313">
        <f>IF([1]Accounts!$D$314="","",[1]Accounts!$C$314)</f>
        <v/>
      </c>
      <c r="N313">
        <f>IF([1]Accounts!$D$314="","",[1]Accounts!$D$314)</f>
        <v/>
      </c>
      <c r="P313">
        <f>IF([2]Entry!$C$316="","",[2]Entry!$C$316)</f>
        <v/>
      </c>
      <c r="Q313">
        <f>IF([2]Entry!$D$316="","",[2]Entry!$D$316)</f>
        <v/>
      </c>
      <c r="R313">
        <f>IF([2]Entry!$E$316="","",[2]Entry!$E$316)</f>
        <v/>
      </c>
      <c r="S313">
        <f>IF([2]Entry!$G$316="","",[2]Entry!$G$316)</f>
        <v/>
      </c>
      <c r="T313">
        <f>IF([2]Entry!$J$316="","",[2]Entry!$J$316)</f>
        <v/>
      </c>
      <c r="U313">
        <f>IF([2]Entry!$K$316="","",[2]Entry!$K$316)</f>
        <v/>
      </c>
      <c r="V313">
        <f>IF([2]Entry!$L$316="","",[2]Entry!$L$316)</f>
        <v/>
      </c>
      <c r="W313">
        <f>IF([2]Entry!$M$316="","",[2]Entry!$M$316)</f>
        <v/>
      </c>
      <c r="X313">
        <f>IF([2]Entry!$N$316="","",[2]Entry!$N$316)</f>
        <v/>
      </c>
      <c r="Y313">
        <f>IF([2]Entry!$R$316="","",[2]Entry!$R$316)</f>
        <v/>
      </c>
    </row>
    <row r="314">
      <c r="K314">
        <f>IF([1]Accounts!$D$315="","",[1]Accounts!$A$315)</f>
        <v/>
      </c>
      <c r="L314">
        <f>IF([1]Accounts!$D$315="","",[1]Accounts!$B$315)</f>
        <v/>
      </c>
      <c r="M314">
        <f>IF([1]Accounts!$D$315="","",[1]Accounts!$C$315)</f>
        <v/>
      </c>
      <c r="N314">
        <f>IF([1]Accounts!$D$315="","",[1]Accounts!$D$315)</f>
        <v/>
      </c>
      <c r="P314">
        <f>IF([2]Entry!$C$317="","",[2]Entry!$C$317)</f>
        <v/>
      </c>
      <c r="Q314">
        <f>IF([2]Entry!$D$317="","",[2]Entry!$D$317)</f>
        <v/>
      </c>
      <c r="R314">
        <f>IF([2]Entry!$E$317="","",[2]Entry!$E$317)</f>
        <v/>
      </c>
      <c r="S314">
        <f>IF([2]Entry!$G$317="","",[2]Entry!$G$317)</f>
        <v/>
      </c>
      <c r="T314">
        <f>IF([2]Entry!$J$317="","",[2]Entry!$J$317)</f>
        <v/>
      </c>
      <c r="U314">
        <f>IF([2]Entry!$K$317="","",[2]Entry!$K$317)</f>
        <v/>
      </c>
      <c r="V314">
        <f>IF([2]Entry!$L$317="","",[2]Entry!$L$317)</f>
        <v/>
      </c>
      <c r="W314">
        <f>IF([2]Entry!$M$317="","",[2]Entry!$M$317)</f>
        <v/>
      </c>
      <c r="X314">
        <f>IF([2]Entry!$N$317="","",[2]Entry!$N$317)</f>
        <v/>
      </c>
      <c r="Y314">
        <f>IF([2]Entry!$R$317="","",[2]Entry!$R$317)</f>
        <v/>
      </c>
    </row>
    <row r="315">
      <c r="K315">
        <f>IF([1]Accounts!$D$316="","",[1]Accounts!$A$316)</f>
        <v/>
      </c>
      <c r="L315">
        <f>IF([1]Accounts!$D$316="","",[1]Accounts!$B$316)</f>
        <v/>
      </c>
      <c r="M315">
        <f>IF([1]Accounts!$D$316="","",[1]Accounts!$C$316)</f>
        <v/>
      </c>
      <c r="N315">
        <f>IF([1]Accounts!$D$316="","",[1]Accounts!$D$316)</f>
        <v/>
      </c>
      <c r="P315">
        <f>IF([2]Entry!$C$318="","",[2]Entry!$C$318)</f>
        <v/>
      </c>
      <c r="Q315">
        <f>IF([2]Entry!$D$318="","",[2]Entry!$D$318)</f>
        <v/>
      </c>
      <c r="R315">
        <f>IF([2]Entry!$E$318="","",[2]Entry!$E$318)</f>
        <v/>
      </c>
      <c r="S315">
        <f>IF([2]Entry!$G$318="","",[2]Entry!$G$318)</f>
        <v/>
      </c>
      <c r="T315">
        <f>IF([2]Entry!$J$318="","",[2]Entry!$J$318)</f>
        <v/>
      </c>
      <c r="U315">
        <f>IF([2]Entry!$K$318="","",[2]Entry!$K$318)</f>
        <v/>
      </c>
      <c r="V315">
        <f>IF([2]Entry!$L$318="","",[2]Entry!$L$318)</f>
        <v/>
      </c>
      <c r="W315">
        <f>IF([2]Entry!$M$318="","",[2]Entry!$M$318)</f>
        <v/>
      </c>
      <c r="X315">
        <f>IF([2]Entry!$N$318="","",[2]Entry!$N$318)</f>
        <v/>
      </c>
      <c r="Y315">
        <f>IF([2]Entry!$R$318="","",[2]Entry!$R$318)</f>
        <v/>
      </c>
    </row>
    <row r="316">
      <c r="K316">
        <f>IF([1]Accounts!$D$317="","",[1]Accounts!$A$317)</f>
        <v/>
      </c>
      <c r="L316">
        <f>IF([1]Accounts!$D$317="","",[1]Accounts!$B$317)</f>
        <v/>
      </c>
      <c r="M316">
        <f>IF([1]Accounts!$D$317="","",[1]Accounts!$C$317)</f>
        <v/>
      </c>
      <c r="N316">
        <f>IF([1]Accounts!$D$317="","",[1]Accounts!$D$317)</f>
        <v/>
      </c>
      <c r="P316">
        <f>IF([2]Entry!$C$319="","",[2]Entry!$C$319)</f>
        <v/>
      </c>
      <c r="Q316">
        <f>IF([2]Entry!$D$319="","",[2]Entry!$D$319)</f>
        <v/>
      </c>
      <c r="R316">
        <f>IF([2]Entry!$E$319="","",[2]Entry!$E$319)</f>
        <v/>
      </c>
      <c r="S316">
        <f>IF([2]Entry!$G$319="","",[2]Entry!$G$319)</f>
        <v/>
      </c>
      <c r="T316">
        <f>IF([2]Entry!$J$319="","",[2]Entry!$J$319)</f>
        <v/>
      </c>
      <c r="U316">
        <f>IF([2]Entry!$K$319="","",[2]Entry!$K$319)</f>
        <v/>
      </c>
      <c r="V316">
        <f>IF([2]Entry!$L$319="","",[2]Entry!$L$319)</f>
        <v/>
      </c>
      <c r="W316">
        <f>IF([2]Entry!$M$319="","",[2]Entry!$M$319)</f>
        <v/>
      </c>
      <c r="X316">
        <f>IF([2]Entry!$N$319="","",[2]Entry!$N$319)</f>
        <v/>
      </c>
      <c r="Y316">
        <f>IF([2]Entry!$R$319="","",[2]Entry!$R$319)</f>
        <v/>
      </c>
    </row>
    <row r="317">
      <c r="K317">
        <f>IF([1]Accounts!$D$318="","",[1]Accounts!$A$318)</f>
        <v/>
      </c>
      <c r="L317">
        <f>IF([1]Accounts!$D$318="","",[1]Accounts!$B$318)</f>
        <v/>
      </c>
      <c r="M317">
        <f>IF([1]Accounts!$D$318="","",[1]Accounts!$C$318)</f>
        <v/>
      </c>
      <c r="N317">
        <f>IF([1]Accounts!$D$318="","",[1]Accounts!$D$318)</f>
        <v/>
      </c>
      <c r="P317">
        <f>IF([2]Entry!$C$320="","",[2]Entry!$C$320)</f>
        <v/>
      </c>
      <c r="Q317">
        <f>IF([2]Entry!$D$320="","",[2]Entry!$D$320)</f>
        <v/>
      </c>
      <c r="R317">
        <f>IF([2]Entry!$E$320="","",[2]Entry!$E$320)</f>
        <v/>
      </c>
      <c r="S317">
        <f>IF([2]Entry!$G$320="","",[2]Entry!$G$320)</f>
        <v/>
      </c>
      <c r="T317">
        <f>IF([2]Entry!$J$320="","",[2]Entry!$J$320)</f>
        <v/>
      </c>
      <c r="U317">
        <f>IF([2]Entry!$K$320="","",[2]Entry!$K$320)</f>
        <v/>
      </c>
      <c r="V317">
        <f>IF([2]Entry!$L$320="","",[2]Entry!$L$320)</f>
        <v/>
      </c>
      <c r="W317">
        <f>IF([2]Entry!$M$320="","",[2]Entry!$M$320)</f>
        <v/>
      </c>
      <c r="X317">
        <f>IF([2]Entry!$N$320="","",[2]Entry!$N$320)</f>
        <v/>
      </c>
      <c r="Y317">
        <f>IF([2]Entry!$R$320="","",[2]Entry!$R$320)</f>
        <v/>
      </c>
    </row>
    <row r="318">
      <c r="K318">
        <f>IF([1]Accounts!$D$319="","",[1]Accounts!$A$319)</f>
        <v/>
      </c>
      <c r="L318">
        <f>IF([1]Accounts!$D$319="","",[1]Accounts!$B$319)</f>
        <v/>
      </c>
      <c r="M318">
        <f>IF([1]Accounts!$D$319="","",[1]Accounts!$C$319)</f>
        <v/>
      </c>
      <c r="N318">
        <f>IF([1]Accounts!$D$319="","",[1]Accounts!$D$319)</f>
        <v/>
      </c>
      <c r="P318">
        <f>IF([2]Entry!$C$321="","",[2]Entry!$C$321)</f>
        <v/>
      </c>
      <c r="Q318">
        <f>IF([2]Entry!$D$321="","",[2]Entry!$D$321)</f>
        <v/>
      </c>
      <c r="R318">
        <f>IF([2]Entry!$E$321="","",[2]Entry!$E$321)</f>
        <v/>
      </c>
      <c r="S318">
        <f>IF([2]Entry!$G$321="","",[2]Entry!$G$321)</f>
        <v/>
      </c>
      <c r="T318">
        <f>IF([2]Entry!$J$321="","",[2]Entry!$J$321)</f>
        <v/>
      </c>
      <c r="U318">
        <f>IF([2]Entry!$K$321="","",[2]Entry!$K$321)</f>
        <v/>
      </c>
      <c r="V318">
        <f>IF([2]Entry!$L$321="","",[2]Entry!$L$321)</f>
        <v/>
      </c>
      <c r="W318">
        <f>IF([2]Entry!$M$321="","",[2]Entry!$M$321)</f>
        <v/>
      </c>
      <c r="X318">
        <f>IF([2]Entry!$N$321="","",[2]Entry!$N$321)</f>
        <v/>
      </c>
      <c r="Y318">
        <f>IF([2]Entry!$R$321="","",[2]Entry!$R$321)</f>
        <v/>
      </c>
    </row>
    <row r="319">
      <c r="K319">
        <f>IF([1]Accounts!$D$320="","",[1]Accounts!$A$320)</f>
        <v/>
      </c>
      <c r="L319">
        <f>IF([1]Accounts!$D$320="","",[1]Accounts!$B$320)</f>
        <v/>
      </c>
      <c r="M319">
        <f>IF([1]Accounts!$D$320="","",[1]Accounts!$C$320)</f>
        <v/>
      </c>
      <c r="N319">
        <f>IF([1]Accounts!$D$320="","",[1]Accounts!$D$320)</f>
        <v/>
      </c>
      <c r="P319">
        <f>IF([2]Entry!$C$322="","",[2]Entry!$C$322)</f>
        <v/>
      </c>
      <c r="Q319">
        <f>IF([2]Entry!$D$322="","",[2]Entry!$D$322)</f>
        <v/>
      </c>
      <c r="R319">
        <f>IF([2]Entry!$E$322="","",[2]Entry!$E$322)</f>
        <v/>
      </c>
      <c r="S319">
        <f>IF([2]Entry!$G$322="","",[2]Entry!$G$322)</f>
        <v/>
      </c>
      <c r="T319">
        <f>IF([2]Entry!$J$322="","",[2]Entry!$J$322)</f>
        <v/>
      </c>
      <c r="U319">
        <f>IF([2]Entry!$K$322="","",[2]Entry!$K$322)</f>
        <v/>
      </c>
      <c r="V319">
        <f>IF([2]Entry!$L$322="","",[2]Entry!$L$322)</f>
        <v/>
      </c>
      <c r="W319">
        <f>IF([2]Entry!$M$322="","",[2]Entry!$M$322)</f>
        <v/>
      </c>
      <c r="X319">
        <f>IF([2]Entry!$N$322="","",[2]Entry!$N$322)</f>
        <v/>
      </c>
      <c r="Y319">
        <f>IF([2]Entry!$R$322="","",[2]Entry!$R$322)</f>
        <v/>
      </c>
    </row>
    <row r="320">
      <c r="K320">
        <f>IF([1]Accounts!$D$321="","",[1]Accounts!$A$321)</f>
        <v/>
      </c>
      <c r="L320">
        <f>IF([1]Accounts!$D$321="","",[1]Accounts!$B$321)</f>
        <v/>
      </c>
      <c r="M320">
        <f>IF([1]Accounts!$D$321="","",[1]Accounts!$C$321)</f>
        <v/>
      </c>
      <c r="N320">
        <f>IF([1]Accounts!$D$321="","",[1]Accounts!$D$321)</f>
        <v/>
      </c>
      <c r="P320">
        <f>IF([2]Entry!$C$323="","",[2]Entry!$C$323)</f>
        <v/>
      </c>
      <c r="Q320">
        <f>IF([2]Entry!$D$323="","",[2]Entry!$D$323)</f>
        <v/>
      </c>
      <c r="R320">
        <f>IF([2]Entry!$E$323="","",[2]Entry!$E$323)</f>
        <v/>
      </c>
      <c r="S320">
        <f>IF([2]Entry!$G$323="","",[2]Entry!$G$323)</f>
        <v/>
      </c>
      <c r="T320">
        <f>IF([2]Entry!$J$323="","",[2]Entry!$J$323)</f>
        <v/>
      </c>
      <c r="U320">
        <f>IF([2]Entry!$K$323="","",[2]Entry!$K$323)</f>
        <v/>
      </c>
      <c r="V320">
        <f>IF([2]Entry!$L$323="","",[2]Entry!$L$323)</f>
        <v/>
      </c>
      <c r="W320">
        <f>IF([2]Entry!$M$323="","",[2]Entry!$M$323)</f>
        <v/>
      </c>
      <c r="X320">
        <f>IF([2]Entry!$N$323="","",[2]Entry!$N$323)</f>
        <v/>
      </c>
      <c r="Y320">
        <f>IF([2]Entry!$R$323="","",[2]Entry!$R$323)</f>
        <v/>
      </c>
    </row>
    <row r="321">
      <c r="K321">
        <f>IF([1]Accounts!$D$322="","",[1]Accounts!$A$322)</f>
        <v/>
      </c>
      <c r="L321">
        <f>IF([1]Accounts!$D$322="","",[1]Accounts!$B$322)</f>
        <v/>
      </c>
      <c r="M321">
        <f>IF([1]Accounts!$D$322="","",[1]Accounts!$C$322)</f>
        <v/>
      </c>
      <c r="N321">
        <f>IF([1]Accounts!$D$322="","",[1]Accounts!$D$322)</f>
        <v/>
      </c>
      <c r="P321">
        <f>IF([2]Entry!$C$324="","",[2]Entry!$C$324)</f>
        <v/>
      </c>
      <c r="Q321">
        <f>IF([2]Entry!$D$324="","",[2]Entry!$D$324)</f>
        <v/>
      </c>
      <c r="R321">
        <f>IF([2]Entry!$E$324="","",[2]Entry!$E$324)</f>
        <v/>
      </c>
      <c r="S321">
        <f>IF([2]Entry!$G$324="","",[2]Entry!$G$324)</f>
        <v/>
      </c>
      <c r="T321">
        <f>IF([2]Entry!$J$324="","",[2]Entry!$J$324)</f>
        <v/>
      </c>
      <c r="U321">
        <f>IF([2]Entry!$K$324="","",[2]Entry!$K$324)</f>
        <v/>
      </c>
      <c r="V321">
        <f>IF([2]Entry!$L$324="","",[2]Entry!$L$324)</f>
        <v/>
      </c>
      <c r="W321">
        <f>IF([2]Entry!$M$324="","",[2]Entry!$M$324)</f>
        <v/>
      </c>
      <c r="X321">
        <f>IF([2]Entry!$N$324="","",[2]Entry!$N$324)</f>
        <v/>
      </c>
      <c r="Y321">
        <f>IF([2]Entry!$R$324="","",[2]Entry!$R$324)</f>
        <v/>
      </c>
    </row>
    <row r="322">
      <c r="K322">
        <f>IF([1]Accounts!$D$323="","",[1]Accounts!$A$323)</f>
        <v/>
      </c>
      <c r="L322">
        <f>IF([1]Accounts!$D$323="","",[1]Accounts!$B$323)</f>
        <v/>
      </c>
      <c r="M322">
        <f>IF([1]Accounts!$D$323="","",[1]Accounts!$C$323)</f>
        <v/>
      </c>
      <c r="N322">
        <f>IF([1]Accounts!$D$323="","",[1]Accounts!$D$323)</f>
        <v/>
      </c>
      <c r="P322">
        <f>IF([2]Entry!$C$325="","",[2]Entry!$C$325)</f>
        <v/>
      </c>
      <c r="Q322">
        <f>IF([2]Entry!$D$325="","",[2]Entry!$D$325)</f>
        <v/>
      </c>
      <c r="R322">
        <f>IF([2]Entry!$E$325="","",[2]Entry!$E$325)</f>
        <v/>
      </c>
      <c r="S322">
        <f>IF([2]Entry!$G$325="","",[2]Entry!$G$325)</f>
        <v/>
      </c>
      <c r="T322">
        <f>IF([2]Entry!$J$325="","",[2]Entry!$J$325)</f>
        <v/>
      </c>
      <c r="U322">
        <f>IF([2]Entry!$K$325="","",[2]Entry!$K$325)</f>
        <v/>
      </c>
      <c r="V322">
        <f>IF([2]Entry!$L$325="","",[2]Entry!$L$325)</f>
        <v/>
      </c>
      <c r="W322">
        <f>IF([2]Entry!$M$325="","",[2]Entry!$M$325)</f>
        <v/>
      </c>
      <c r="X322">
        <f>IF([2]Entry!$N$325="","",[2]Entry!$N$325)</f>
        <v/>
      </c>
      <c r="Y322">
        <f>IF([2]Entry!$R$325="","",[2]Entry!$R$325)</f>
        <v/>
      </c>
    </row>
    <row r="323">
      <c r="K323">
        <f>IF([1]Accounts!$D$324="","",[1]Accounts!$A$324)</f>
        <v/>
      </c>
      <c r="L323">
        <f>IF([1]Accounts!$D$324="","",[1]Accounts!$B$324)</f>
        <v/>
      </c>
      <c r="M323">
        <f>IF([1]Accounts!$D$324="","",[1]Accounts!$C$324)</f>
        <v/>
      </c>
      <c r="N323">
        <f>IF([1]Accounts!$D$324="","",[1]Accounts!$D$324)</f>
        <v/>
      </c>
      <c r="P323">
        <f>IF([2]Entry!$C$326="","",[2]Entry!$C$326)</f>
        <v/>
      </c>
      <c r="Q323">
        <f>IF([2]Entry!$D$326="","",[2]Entry!$D$326)</f>
        <v/>
      </c>
      <c r="R323">
        <f>IF([2]Entry!$E$326="","",[2]Entry!$E$326)</f>
        <v/>
      </c>
      <c r="S323">
        <f>IF([2]Entry!$G$326="","",[2]Entry!$G$326)</f>
        <v/>
      </c>
      <c r="T323">
        <f>IF([2]Entry!$J$326="","",[2]Entry!$J$326)</f>
        <v/>
      </c>
      <c r="U323">
        <f>IF([2]Entry!$K$326="","",[2]Entry!$K$326)</f>
        <v/>
      </c>
      <c r="V323">
        <f>IF([2]Entry!$L$326="","",[2]Entry!$L$326)</f>
        <v/>
      </c>
      <c r="W323">
        <f>IF([2]Entry!$M$326="","",[2]Entry!$M$326)</f>
        <v/>
      </c>
      <c r="X323">
        <f>IF([2]Entry!$N$326="","",[2]Entry!$N$326)</f>
        <v/>
      </c>
      <c r="Y323">
        <f>IF([2]Entry!$R$326="","",[2]Entry!$R$326)</f>
        <v/>
      </c>
    </row>
    <row r="324">
      <c r="K324">
        <f>IF([1]Accounts!$D$325="","",[1]Accounts!$A$325)</f>
        <v/>
      </c>
      <c r="L324">
        <f>IF([1]Accounts!$D$325="","",[1]Accounts!$B$325)</f>
        <v/>
      </c>
      <c r="M324">
        <f>IF([1]Accounts!$D$325="","",[1]Accounts!$C$325)</f>
        <v/>
      </c>
      <c r="N324">
        <f>IF([1]Accounts!$D$325="","",[1]Accounts!$D$325)</f>
        <v/>
      </c>
      <c r="P324">
        <f>IF([2]Entry!$C$327="","",[2]Entry!$C$327)</f>
        <v/>
      </c>
      <c r="Q324">
        <f>IF([2]Entry!$D$327="","",[2]Entry!$D$327)</f>
        <v/>
      </c>
      <c r="R324">
        <f>IF([2]Entry!$E$327="","",[2]Entry!$E$327)</f>
        <v/>
      </c>
      <c r="S324">
        <f>IF([2]Entry!$G$327="","",[2]Entry!$G$327)</f>
        <v/>
      </c>
      <c r="T324">
        <f>IF([2]Entry!$J$327="","",[2]Entry!$J$327)</f>
        <v/>
      </c>
      <c r="U324">
        <f>IF([2]Entry!$K$327="","",[2]Entry!$K$327)</f>
        <v/>
      </c>
      <c r="V324">
        <f>IF([2]Entry!$L$327="","",[2]Entry!$L$327)</f>
        <v/>
      </c>
      <c r="W324">
        <f>IF([2]Entry!$M$327="","",[2]Entry!$M$327)</f>
        <v/>
      </c>
      <c r="X324">
        <f>IF([2]Entry!$N$327="","",[2]Entry!$N$327)</f>
        <v/>
      </c>
      <c r="Y324">
        <f>IF([2]Entry!$R$327="","",[2]Entry!$R$327)</f>
        <v/>
      </c>
    </row>
    <row r="325">
      <c r="K325">
        <f>IF([1]Accounts!$D$326="","",[1]Accounts!$A$326)</f>
        <v/>
      </c>
      <c r="L325">
        <f>IF([1]Accounts!$D$326="","",[1]Accounts!$B$326)</f>
        <v/>
      </c>
      <c r="M325">
        <f>IF([1]Accounts!$D$326="","",[1]Accounts!$C$326)</f>
        <v/>
      </c>
      <c r="N325">
        <f>IF([1]Accounts!$D$326="","",[1]Accounts!$D$326)</f>
        <v/>
      </c>
      <c r="P325">
        <f>IF([2]Entry!$C$328="","",[2]Entry!$C$328)</f>
        <v/>
      </c>
      <c r="Q325">
        <f>IF([2]Entry!$D$328="","",[2]Entry!$D$328)</f>
        <v/>
      </c>
      <c r="R325">
        <f>IF([2]Entry!$E$328="","",[2]Entry!$E$328)</f>
        <v/>
      </c>
      <c r="S325">
        <f>IF([2]Entry!$G$328="","",[2]Entry!$G$328)</f>
        <v/>
      </c>
      <c r="T325">
        <f>IF([2]Entry!$J$328="","",[2]Entry!$J$328)</f>
        <v/>
      </c>
      <c r="U325">
        <f>IF([2]Entry!$K$328="","",[2]Entry!$K$328)</f>
        <v/>
      </c>
      <c r="V325">
        <f>IF([2]Entry!$L$328="","",[2]Entry!$L$328)</f>
        <v/>
      </c>
      <c r="W325">
        <f>IF([2]Entry!$M$328="","",[2]Entry!$M$328)</f>
        <v/>
      </c>
      <c r="X325">
        <f>IF([2]Entry!$N$328="","",[2]Entry!$N$328)</f>
        <v/>
      </c>
      <c r="Y325">
        <f>IF([2]Entry!$R$328="","",[2]Entry!$R$328)</f>
        <v/>
      </c>
    </row>
    <row r="326">
      <c r="K326">
        <f>IF([1]Accounts!$D$327="","",[1]Accounts!$A$327)</f>
        <v/>
      </c>
      <c r="L326">
        <f>IF([1]Accounts!$D$327="","",[1]Accounts!$B$327)</f>
        <v/>
      </c>
      <c r="M326">
        <f>IF([1]Accounts!$D$327="","",[1]Accounts!$C$327)</f>
        <v/>
      </c>
      <c r="N326">
        <f>IF([1]Accounts!$D$327="","",[1]Accounts!$D$327)</f>
        <v/>
      </c>
      <c r="P326">
        <f>IF([2]Entry!$C$329="","",[2]Entry!$C$329)</f>
        <v/>
      </c>
      <c r="Q326">
        <f>IF([2]Entry!$D$329="","",[2]Entry!$D$329)</f>
        <v/>
      </c>
      <c r="R326">
        <f>IF([2]Entry!$E$329="","",[2]Entry!$E$329)</f>
        <v/>
      </c>
      <c r="S326">
        <f>IF([2]Entry!$G$329="","",[2]Entry!$G$329)</f>
        <v/>
      </c>
      <c r="T326">
        <f>IF([2]Entry!$J$329="","",[2]Entry!$J$329)</f>
        <v/>
      </c>
      <c r="U326">
        <f>IF([2]Entry!$K$329="","",[2]Entry!$K$329)</f>
        <v/>
      </c>
      <c r="V326">
        <f>IF([2]Entry!$L$329="","",[2]Entry!$L$329)</f>
        <v/>
      </c>
      <c r="W326">
        <f>IF([2]Entry!$M$329="","",[2]Entry!$M$329)</f>
        <v/>
      </c>
      <c r="X326">
        <f>IF([2]Entry!$N$329="","",[2]Entry!$N$329)</f>
        <v/>
      </c>
      <c r="Y326">
        <f>IF([2]Entry!$R$329="","",[2]Entry!$R$329)</f>
        <v/>
      </c>
    </row>
    <row r="327">
      <c r="K327">
        <f>IF([1]Accounts!$D$328="","",[1]Accounts!$A$328)</f>
        <v/>
      </c>
      <c r="L327">
        <f>IF([1]Accounts!$D$328="","",[1]Accounts!$B$328)</f>
        <v/>
      </c>
      <c r="M327">
        <f>IF([1]Accounts!$D$328="","",[1]Accounts!$C$328)</f>
        <v/>
      </c>
      <c r="N327">
        <f>IF([1]Accounts!$D$328="","",[1]Accounts!$D$328)</f>
        <v/>
      </c>
      <c r="P327">
        <f>IF([2]Entry!$C$330="","",[2]Entry!$C$330)</f>
        <v/>
      </c>
      <c r="Q327">
        <f>IF([2]Entry!$D$330="","",[2]Entry!$D$330)</f>
        <v/>
      </c>
      <c r="R327">
        <f>IF([2]Entry!$E$330="","",[2]Entry!$E$330)</f>
        <v/>
      </c>
      <c r="S327">
        <f>IF([2]Entry!$G$330="","",[2]Entry!$G$330)</f>
        <v/>
      </c>
      <c r="T327">
        <f>IF([2]Entry!$J$330="","",[2]Entry!$J$330)</f>
        <v/>
      </c>
      <c r="U327">
        <f>IF([2]Entry!$K$330="","",[2]Entry!$K$330)</f>
        <v/>
      </c>
      <c r="V327">
        <f>IF([2]Entry!$L$330="","",[2]Entry!$L$330)</f>
        <v/>
      </c>
      <c r="W327">
        <f>IF([2]Entry!$M$330="","",[2]Entry!$M$330)</f>
        <v/>
      </c>
      <c r="X327">
        <f>IF([2]Entry!$N$330="","",[2]Entry!$N$330)</f>
        <v/>
      </c>
      <c r="Y327">
        <f>IF([2]Entry!$R$330="","",[2]Entry!$R$330)</f>
        <v/>
      </c>
    </row>
    <row r="328">
      <c r="K328">
        <f>IF([1]Accounts!$D$329="","",[1]Accounts!$A$329)</f>
        <v/>
      </c>
      <c r="L328">
        <f>IF([1]Accounts!$D$329="","",[1]Accounts!$B$329)</f>
        <v/>
      </c>
      <c r="M328">
        <f>IF([1]Accounts!$D$329="","",[1]Accounts!$C$329)</f>
        <v/>
      </c>
      <c r="N328">
        <f>IF([1]Accounts!$D$329="","",[1]Accounts!$D$329)</f>
        <v/>
      </c>
      <c r="P328">
        <f>IF([2]Entry!$C$331="","",[2]Entry!$C$331)</f>
        <v/>
      </c>
      <c r="Q328">
        <f>IF([2]Entry!$D$331="","",[2]Entry!$D$331)</f>
        <v/>
      </c>
      <c r="R328">
        <f>IF([2]Entry!$E$331="","",[2]Entry!$E$331)</f>
        <v/>
      </c>
      <c r="S328">
        <f>IF([2]Entry!$G$331="","",[2]Entry!$G$331)</f>
        <v/>
      </c>
      <c r="T328">
        <f>IF([2]Entry!$J$331="","",[2]Entry!$J$331)</f>
        <v/>
      </c>
      <c r="U328">
        <f>IF([2]Entry!$K$331="","",[2]Entry!$K$331)</f>
        <v/>
      </c>
      <c r="V328">
        <f>IF([2]Entry!$L$331="","",[2]Entry!$L$331)</f>
        <v/>
      </c>
      <c r="W328">
        <f>IF([2]Entry!$M$331="","",[2]Entry!$M$331)</f>
        <v/>
      </c>
      <c r="X328">
        <f>IF([2]Entry!$N$331="","",[2]Entry!$N$331)</f>
        <v/>
      </c>
      <c r="Y328">
        <f>IF([2]Entry!$R$331="","",[2]Entry!$R$331)</f>
        <v/>
      </c>
    </row>
    <row r="329">
      <c r="K329">
        <f>IF([1]Accounts!$D$330="","",[1]Accounts!$A$330)</f>
        <v/>
      </c>
      <c r="L329">
        <f>IF([1]Accounts!$D$330="","",[1]Accounts!$B$330)</f>
        <v/>
      </c>
      <c r="M329">
        <f>IF([1]Accounts!$D$330="","",[1]Accounts!$C$330)</f>
        <v/>
      </c>
      <c r="N329">
        <f>IF([1]Accounts!$D$330="","",[1]Accounts!$D$330)</f>
        <v/>
      </c>
      <c r="P329">
        <f>IF([2]Entry!$C$332="","",[2]Entry!$C$332)</f>
        <v/>
      </c>
      <c r="Q329">
        <f>IF([2]Entry!$D$332="","",[2]Entry!$D$332)</f>
        <v/>
      </c>
      <c r="R329">
        <f>IF([2]Entry!$E$332="","",[2]Entry!$E$332)</f>
        <v/>
      </c>
      <c r="S329">
        <f>IF([2]Entry!$G$332="","",[2]Entry!$G$332)</f>
        <v/>
      </c>
      <c r="T329">
        <f>IF([2]Entry!$J$332="","",[2]Entry!$J$332)</f>
        <v/>
      </c>
      <c r="U329">
        <f>IF([2]Entry!$K$332="","",[2]Entry!$K$332)</f>
        <v/>
      </c>
      <c r="V329">
        <f>IF([2]Entry!$L$332="","",[2]Entry!$L$332)</f>
        <v/>
      </c>
      <c r="W329">
        <f>IF([2]Entry!$M$332="","",[2]Entry!$M$332)</f>
        <v/>
      </c>
      <c r="X329">
        <f>IF([2]Entry!$N$332="","",[2]Entry!$N$332)</f>
        <v/>
      </c>
      <c r="Y329">
        <f>IF([2]Entry!$R$332="","",[2]Entry!$R$332)</f>
        <v/>
      </c>
    </row>
    <row r="330">
      <c r="K330">
        <f>IF([1]Accounts!$D$331="","",[1]Accounts!$A$331)</f>
        <v/>
      </c>
      <c r="L330">
        <f>IF([1]Accounts!$D$331="","",[1]Accounts!$B$331)</f>
        <v/>
      </c>
      <c r="M330">
        <f>IF([1]Accounts!$D$331="","",[1]Accounts!$C$331)</f>
        <v/>
      </c>
      <c r="N330">
        <f>IF([1]Accounts!$D$331="","",[1]Accounts!$D$331)</f>
        <v/>
      </c>
      <c r="P330">
        <f>IF([2]Entry!$C$333="","",[2]Entry!$C$333)</f>
        <v/>
      </c>
      <c r="Q330">
        <f>IF([2]Entry!$D$333="","",[2]Entry!$D$333)</f>
        <v/>
      </c>
      <c r="R330">
        <f>IF([2]Entry!$E$333="","",[2]Entry!$E$333)</f>
        <v/>
      </c>
      <c r="S330">
        <f>IF([2]Entry!$G$333="","",[2]Entry!$G$333)</f>
        <v/>
      </c>
      <c r="T330">
        <f>IF([2]Entry!$J$333="","",[2]Entry!$J$333)</f>
        <v/>
      </c>
      <c r="U330">
        <f>IF([2]Entry!$K$333="","",[2]Entry!$K$333)</f>
        <v/>
      </c>
      <c r="V330">
        <f>IF([2]Entry!$L$333="","",[2]Entry!$L$333)</f>
        <v/>
      </c>
      <c r="W330">
        <f>IF([2]Entry!$M$333="","",[2]Entry!$M$333)</f>
        <v/>
      </c>
      <c r="X330">
        <f>IF([2]Entry!$N$333="","",[2]Entry!$N$333)</f>
        <v/>
      </c>
      <c r="Y330">
        <f>IF([2]Entry!$R$333="","",[2]Entry!$R$333)</f>
        <v/>
      </c>
    </row>
    <row r="331">
      <c r="K331">
        <f>IF([1]Accounts!$D$332="","",[1]Accounts!$A$332)</f>
        <v/>
      </c>
      <c r="L331">
        <f>IF([1]Accounts!$D$332="","",[1]Accounts!$B$332)</f>
        <v/>
      </c>
      <c r="M331">
        <f>IF([1]Accounts!$D$332="","",[1]Accounts!$C$332)</f>
        <v/>
      </c>
      <c r="N331">
        <f>IF([1]Accounts!$D$332="","",[1]Accounts!$D$332)</f>
        <v/>
      </c>
      <c r="P331">
        <f>IF([2]Entry!$C$334="","",[2]Entry!$C$334)</f>
        <v/>
      </c>
      <c r="Q331">
        <f>IF([2]Entry!$D$334="","",[2]Entry!$D$334)</f>
        <v/>
      </c>
      <c r="R331">
        <f>IF([2]Entry!$E$334="","",[2]Entry!$E$334)</f>
        <v/>
      </c>
      <c r="S331">
        <f>IF([2]Entry!$G$334="","",[2]Entry!$G$334)</f>
        <v/>
      </c>
      <c r="T331">
        <f>IF([2]Entry!$J$334="","",[2]Entry!$J$334)</f>
        <v/>
      </c>
      <c r="U331">
        <f>IF([2]Entry!$K$334="","",[2]Entry!$K$334)</f>
        <v/>
      </c>
      <c r="V331">
        <f>IF([2]Entry!$L$334="","",[2]Entry!$L$334)</f>
        <v/>
      </c>
      <c r="W331">
        <f>IF([2]Entry!$M$334="","",[2]Entry!$M$334)</f>
        <v/>
      </c>
      <c r="X331">
        <f>IF([2]Entry!$N$334="","",[2]Entry!$N$334)</f>
        <v/>
      </c>
      <c r="Y331">
        <f>IF([2]Entry!$R$334="","",[2]Entry!$R$334)</f>
        <v/>
      </c>
    </row>
    <row r="332">
      <c r="K332">
        <f>IF([1]Accounts!$D$333="","",[1]Accounts!$A$333)</f>
        <v/>
      </c>
      <c r="L332">
        <f>IF([1]Accounts!$D$333="","",[1]Accounts!$B$333)</f>
        <v/>
      </c>
      <c r="M332">
        <f>IF([1]Accounts!$D$333="","",[1]Accounts!$C$333)</f>
        <v/>
      </c>
      <c r="N332">
        <f>IF([1]Accounts!$D$333="","",[1]Accounts!$D$333)</f>
        <v/>
      </c>
      <c r="P332">
        <f>IF([2]Entry!$C$335="","",[2]Entry!$C$335)</f>
        <v/>
      </c>
      <c r="Q332">
        <f>IF([2]Entry!$D$335="","",[2]Entry!$D$335)</f>
        <v/>
      </c>
      <c r="R332">
        <f>IF([2]Entry!$E$335="","",[2]Entry!$E$335)</f>
        <v/>
      </c>
      <c r="S332">
        <f>IF([2]Entry!$G$335="","",[2]Entry!$G$335)</f>
        <v/>
      </c>
      <c r="T332">
        <f>IF([2]Entry!$J$335="","",[2]Entry!$J$335)</f>
        <v/>
      </c>
      <c r="U332">
        <f>IF([2]Entry!$K$335="","",[2]Entry!$K$335)</f>
        <v/>
      </c>
      <c r="V332">
        <f>IF([2]Entry!$L$335="","",[2]Entry!$L$335)</f>
        <v/>
      </c>
      <c r="W332">
        <f>IF([2]Entry!$M$335="","",[2]Entry!$M$335)</f>
        <v/>
      </c>
      <c r="X332">
        <f>IF([2]Entry!$N$335="","",[2]Entry!$N$335)</f>
        <v/>
      </c>
      <c r="Y332">
        <f>IF([2]Entry!$R$335="","",[2]Entry!$R$335)</f>
        <v/>
      </c>
    </row>
    <row r="333">
      <c r="K333">
        <f>IF([1]Accounts!$D$334="","",[1]Accounts!$A$334)</f>
        <v/>
      </c>
      <c r="L333">
        <f>IF([1]Accounts!$D$334="","",[1]Accounts!$B$334)</f>
        <v/>
      </c>
      <c r="M333">
        <f>IF([1]Accounts!$D$334="","",[1]Accounts!$C$334)</f>
        <v/>
      </c>
      <c r="N333">
        <f>IF([1]Accounts!$D$334="","",[1]Accounts!$D$334)</f>
        <v/>
      </c>
      <c r="P333">
        <f>IF([2]Entry!$C$336="","",[2]Entry!$C$336)</f>
        <v/>
      </c>
      <c r="Q333">
        <f>IF([2]Entry!$D$336="","",[2]Entry!$D$336)</f>
        <v/>
      </c>
      <c r="R333">
        <f>IF([2]Entry!$E$336="","",[2]Entry!$E$336)</f>
        <v/>
      </c>
      <c r="S333">
        <f>IF([2]Entry!$G$336="","",[2]Entry!$G$336)</f>
        <v/>
      </c>
      <c r="T333">
        <f>IF([2]Entry!$J$336="","",[2]Entry!$J$336)</f>
        <v/>
      </c>
      <c r="U333">
        <f>IF([2]Entry!$K$336="","",[2]Entry!$K$336)</f>
        <v/>
      </c>
      <c r="V333">
        <f>IF([2]Entry!$L$336="","",[2]Entry!$L$336)</f>
        <v/>
      </c>
      <c r="W333">
        <f>IF([2]Entry!$M$336="","",[2]Entry!$M$336)</f>
        <v/>
      </c>
      <c r="X333">
        <f>IF([2]Entry!$N$336="","",[2]Entry!$N$336)</f>
        <v/>
      </c>
      <c r="Y333">
        <f>IF([2]Entry!$R$336="","",[2]Entry!$R$336)</f>
        <v/>
      </c>
    </row>
    <row r="334">
      <c r="K334">
        <f>IF([1]Accounts!$D$335="","",[1]Accounts!$A$335)</f>
        <v/>
      </c>
      <c r="L334">
        <f>IF([1]Accounts!$D$335="","",[1]Accounts!$B$335)</f>
        <v/>
      </c>
      <c r="M334">
        <f>IF([1]Accounts!$D$335="","",[1]Accounts!$C$335)</f>
        <v/>
      </c>
      <c r="N334">
        <f>IF([1]Accounts!$D$335="","",[1]Accounts!$D$335)</f>
        <v/>
      </c>
      <c r="P334">
        <f>IF([2]Entry!$C$337="","",[2]Entry!$C$337)</f>
        <v/>
      </c>
      <c r="Q334">
        <f>IF([2]Entry!$D$337="","",[2]Entry!$D$337)</f>
        <v/>
      </c>
      <c r="R334">
        <f>IF([2]Entry!$E$337="","",[2]Entry!$E$337)</f>
        <v/>
      </c>
      <c r="S334">
        <f>IF([2]Entry!$G$337="","",[2]Entry!$G$337)</f>
        <v/>
      </c>
      <c r="T334">
        <f>IF([2]Entry!$J$337="","",[2]Entry!$J$337)</f>
        <v/>
      </c>
      <c r="U334">
        <f>IF([2]Entry!$K$337="","",[2]Entry!$K$337)</f>
        <v/>
      </c>
      <c r="V334">
        <f>IF([2]Entry!$L$337="","",[2]Entry!$L$337)</f>
        <v/>
      </c>
      <c r="W334">
        <f>IF([2]Entry!$M$337="","",[2]Entry!$M$337)</f>
        <v/>
      </c>
      <c r="X334">
        <f>IF([2]Entry!$N$337="","",[2]Entry!$N$337)</f>
        <v/>
      </c>
      <c r="Y334">
        <f>IF([2]Entry!$R$337="","",[2]Entry!$R$337)</f>
        <v/>
      </c>
    </row>
    <row r="335">
      <c r="K335">
        <f>IF([1]Accounts!$D$336="","",[1]Accounts!$A$336)</f>
        <v/>
      </c>
      <c r="L335">
        <f>IF([1]Accounts!$D$336="","",[1]Accounts!$B$336)</f>
        <v/>
      </c>
      <c r="M335">
        <f>IF([1]Accounts!$D$336="","",[1]Accounts!$C$336)</f>
        <v/>
      </c>
      <c r="N335">
        <f>IF([1]Accounts!$D$336="","",[1]Accounts!$D$336)</f>
        <v/>
      </c>
      <c r="P335">
        <f>IF([2]Entry!$C$338="","",[2]Entry!$C$338)</f>
        <v/>
      </c>
      <c r="Q335">
        <f>IF([2]Entry!$D$338="","",[2]Entry!$D$338)</f>
        <v/>
      </c>
      <c r="R335">
        <f>IF([2]Entry!$E$338="","",[2]Entry!$E$338)</f>
        <v/>
      </c>
      <c r="S335">
        <f>IF([2]Entry!$G$338="","",[2]Entry!$G$338)</f>
        <v/>
      </c>
      <c r="T335">
        <f>IF([2]Entry!$J$338="","",[2]Entry!$J$338)</f>
        <v/>
      </c>
      <c r="U335">
        <f>IF([2]Entry!$K$338="","",[2]Entry!$K$338)</f>
        <v/>
      </c>
      <c r="V335">
        <f>IF([2]Entry!$L$338="","",[2]Entry!$L$338)</f>
        <v/>
      </c>
      <c r="W335">
        <f>IF([2]Entry!$M$338="","",[2]Entry!$M$338)</f>
        <v/>
      </c>
      <c r="X335">
        <f>IF([2]Entry!$N$338="","",[2]Entry!$N$338)</f>
        <v/>
      </c>
      <c r="Y335">
        <f>IF([2]Entry!$R$338="","",[2]Entry!$R$338)</f>
        <v/>
      </c>
    </row>
    <row r="336">
      <c r="K336">
        <f>IF([1]Accounts!$D$337="","",[1]Accounts!$A$337)</f>
        <v/>
      </c>
      <c r="L336">
        <f>IF([1]Accounts!$D$337="","",[1]Accounts!$B$337)</f>
        <v/>
      </c>
      <c r="M336">
        <f>IF([1]Accounts!$D$337="","",[1]Accounts!$C$337)</f>
        <v/>
      </c>
      <c r="N336">
        <f>IF([1]Accounts!$D$337="","",[1]Accounts!$D$337)</f>
        <v/>
      </c>
      <c r="P336">
        <f>IF([2]Entry!$C$339="","",[2]Entry!$C$339)</f>
        <v/>
      </c>
      <c r="Q336">
        <f>IF([2]Entry!$D$339="","",[2]Entry!$D$339)</f>
        <v/>
      </c>
      <c r="R336">
        <f>IF([2]Entry!$E$339="","",[2]Entry!$E$339)</f>
        <v/>
      </c>
      <c r="S336">
        <f>IF([2]Entry!$G$339="","",[2]Entry!$G$339)</f>
        <v/>
      </c>
      <c r="T336">
        <f>IF([2]Entry!$J$339="","",[2]Entry!$J$339)</f>
        <v/>
      </c>
      <c r="U336">
        <f>IF([2]Entry!$K$339="","",[2]Entry!$K$339)</f>
        <v/>
      </c>
      <c r="V336">
        <f>IF([2]Entry!$L$339="","",[2]Entry!$L$339)</f>
        <v/>
      </c>
      <c r="W336">
        <f>IF([2]Entry!$M$339="","",[2]Entry!$M$339)</f>
        <v/>
      </c>
      <c r="X336">
        <f>IF([2]Entry!$N$339="","",[2]Entry!$N$339)</f>
        <v/>
      </c>
      <c r="Y336">
        <f>IF([2]Entry!$R$339="","",[2]Entry!$R$339)</f>
        <v/>
      </c>
    </row>
    <row r="337">
      <c r="K337">
        <f>IF([1]Accounts!$D$338="","",[1]Accounts!$A$338)</f>
        <v/>
      </c>
      <c r="L337">
        <f>IF([1]Accounts!$D$338="","",[1]Accounts!$B$338)</f>
        <v/>
      </c>
      <c r="M337">
        <f>IF([1]Accounts!$D$338="","",[1]Accounts!$C$338)</f>
        <v/>
      </c>
      <c r="N337">
        <f>IF([1]Accounts!$D$338="","",[1]Accounts!$D$338)</f>
        <v/>
      </c>
      <c r="P337">
        <f>IF([2]Entry!$C$340="","",[2]Entry!$C$340)</f>
        <v/>
      </c>
      <c r="Q337">
        <f>IF([2]Entry!$D$340="","",[2]Entry!$D$340)</f>
        <v/>
      </c>
      <c r="R337">
        <f>IF([2]Entry!$E$340="","",[2]Entry!$E$340)</f>
        <v/>
      </c>
      <c r="S337">
        <f>IF([2]Entry!$G$340="","",[2]Entry!$G$340)</f>
        <v/>
      </c>
      <c r="T337">
        <f>IF([2]Entry!$J$340="","",[2]Entry!$J$340)</f>
        <v/>
      </c>
      <c r="U337">
        <f>IF([2]Entry!$K$340="","",[2]Entry!$K$340)</f>
        <v/>
      </c>
      <c r="V337">
        <f>IF([2]Entry!$L$340="","",[2]Entry!$L$340)</f>
        <v/>
      </c>
      <c r="W337">
        <f>IF([2]Entry!$M$340="","",[2]Entry!$M$340)</f>
        <v/>
      </c>
      <c r="X337">
        <f>IF([2]Entry!$N$340="","",[2]Entry!$N$340)</f>
        <v/>
      </c>
      <c r="Y337">
        <f>IF([2]Entry!$R$340="","",[2]Entry!$R$340)</f>
        <v/>
      </c>
    </row>
    <row r="338">
      <c r="K338">
        <f>IF([1]Accounts!$D$339="","",[1]Accounts!$A$339)</f>
        <v/>
      </c>
      <c r="L338">
        <f>IF([1]Accounts!$D$339="","",[1]Accounts!$B$339)</f>
        <v/>
      </c>
      <c r="M338">
        <f>IF([1]Accounts!$D$339="","",[1]Accounts!$C$339)</f>
        <v/>
      </c>
      <c r="N338">
        <f>IF([1]Accounts!$D$339="","",[1]Accounts!$D$339)</f>
        <v/>
      </c>
      <c r="P338">
        <f>IF([2]Entry!$C$341="","",[2]Entry!$C$341)</f>
        <v/>
      </c>
      <c r="Q338">
        <f>IF([2]Entry!$D$341="","",[2]Entry!$D$341)</f>
        <v/>
      </c>
      <c r="R338">
        <f>IF([2]Entry!$E$341="","",[2]Entry!$E$341)</f>
        <v/>
      </c>
      <c r="S338">
        <f>IF([2]Entry!$G$341="","",[2]Entry!$G$341)</f>
        <v/>
      </c>
      <c r="T338">
        <f>IF([2]Entry!$J$341="","",[2]Entry!$J$341)</f>
        <v/>
      </c>
      <c r="U338">
        <f>IF([2]Entry!$K$341="","",[2]Entry!$K$341)</f>
        <v/>
      </c>
      <c r="V338">
        <f>IF([2]Entry!$L$341="","",[2]Entry!$L$341)</f>
        <v/>
      </c>
      <c r="W338">
        <f>IF([2]Entry!$M$341="","",[2]Entry!$M$341)</f>
        <v/>
      </c>
      <c r="X338">
        <f>IF([2]Entry!$N$341="","",[2]Entry!$N$341)</f>
        <v/>
      </c>
      <c r="Y338">
        <f>IF([2]Entry!$R$341="","",[2]Entry!$R$341)</f>
        <v/>
      </c>
    </row>
    <row r="339">
      <c r="K339">
        <f>IF([1]Accounts!$D$340="","",[1]Accounts!$A$340)</f>
        <v/>
      </c>
      <c r="L339">
        <f>IF([1]Accounts!$D$340="","",[1]Accounts!$B$340)</f>
        <v/>
      </c>
      <c r="M339">
        <f>IF([1]Accounts!$D$340="","",[1]Accounts!$C$340)</f>
        <v/>
      </c>
      <c r="N339">
        <f>IF([1]Accounts!$D$340="","",[1]Accounts!$D$340)</f>
        <v/>
      </c>
      <c r="P339">
        <f>IF([2]Entry!$C$342="","",[2]Entry!$C$342)</f>
        <v/>
      </c>
      <c r="Q339">
        <f>IF([2]Entry!$D$342="","",[2]Entry!$D$342)</f>
        <v/>
      </c>
      <c r="R339">
        <f>IF([2]Entry!$E$342="","",[2]Entry!$E$342)</f>
        <v/>
      </c>
      <c r="S339">
        <f>IF([2]Entry!$G$342="","",[2]Entry!$G$342)</f>
        <v/>
      </c>
      <c r="T339">
        <f>IF([2]Entry!$J$342="","",[2]Entry!$J$342)</f>
        <v/>
      </c>
      <c r="U339">
        <f>IF([2]Entry!$K$342="","",[2]Entry!$K$342)</f>
        <v/>
      </c>
      <c r="V339">
        <f>IF([2]Entry!$L$342="","",[2]Entry!$L$342)</f>
        <v/>
      </c>
      <c r="W339">
        <f>IF([2]Entry!$M$342="","",[2]Entry!$M$342)</f>
        <v/>
      </c>
      <c r="X339">
        <f>IF([2]Entry!$N$342="","",[2]Entry!$N$342)</f>
        <v/>
      </c>
      <c r="Y339">
        <f>IF([2]Entry!$R$342="","",[2]Entry!$R$342)</f>
        <v/>
      </c>
    </row>
    <row r="340">
      <c r="K340">
        <f>IF([1]Accounts!$D$341="","",[1]Accounts!$A$341)</f>
        <v/>
      </c>
      <c r="L340">
        <f>IF([1]Accounts!$D$341="","",[1]Accounts!$B$341)</f>
        <v/>
      </c>
      <c r="M340">
        <f>IF([1]Accounts!$D$341="","",[1]Accounts!$C$341)</f>
        <v/>
      </c>
      <c r="N340">
        <f>IF([1]Accounts!$D$341="","",[1]Accounts!$D$341)</f>
        <v/>
      </c>
      <c r="P340">
        <f>IF([2]Entry!$C$343="","",[2]Entry!$C$343)</f>
        <v/>
      </c>
      <c r="Q340">
        <f>IF([2]Entry!$D$343="","",[2]Entry!$D$343)</f>
        <v/>
      </c>
      <c r="R340">
        <f>IF([2]Entry!$E$343="","",[2]Entry!$E$343)</f>
        <v/>
      </c>
      <c r="S340">
        <f>IF([2]Entry!$G$343="","",[2]Entry!$G$343)</f>
        <v/>
      </c>
      <c r="T340">
        <f>IF([2]Entry!$J$343="","",[2]Entry!$J$343)</f>
        <v/>
      </c>
      <c r="U340">
        <f>IF([2]Entry!$K$343="","",[2]Entry!$K$343)</f>
        <v/>
      </c>
      <c r="V340">
        <f>IF([2]Entry!$L$343="","",[2]Entry!$L$343)</f>
        <v/>
      </c>
      <c r="W340">
        <f>IF([2]Entry!$M$343="","",[2]Entry!$M$343)</f>
        <v/>
      </c>
      <c r="X340">
        <f>IF([2]Entry!$N$343="","",[2]Entry!$N$343)</f>
        <v/>
      </c>
      <c r="Y340">
        <f>IF([2]Entry!$R$343="","",[2]Entry!$R$343)</f>
        <v/>
      </c>
    </row>
    <row r="341">
      <c r="K341">
        <f>IF([1]Accounts!$D$342="","",[1]Accounts!$A$342)</f>
        <v/>
      </c>
      <c r="L341">
        <f>IF([1]Accounts!$D$342="","",[1]Accounts!$B$342)</f>
        <v/>
      </c>
      <c r="M341">
        <f>IF([1]Accounts!$D$342="","",[1]Accounts!$C$342)</f>
        <v/>
      </c>
      <c r="N341">
        <f>IF([1]Accounts!$D$342="","",[1]Accounts!$D$342)</f>
        <v/>
      </c>
      <c r="P341">
        <f>IF([2]Entry!$C$344="","",[2]Entry!$C$344)</f>
        <v/>
      </c>
      <c r="Q341">
        <f>IF([2]Entry!$D$344="","",[2]Entry!$D$344)</f>
        <v/>
      </c>
      <c r="R341">
        <f>IF([2]Entry!$E$344="","",[2]Entry!$E$344)</f>
        <v/>
      </c>
      <c r="S341">
        <f>IF([2]Entry!$G$344="","",[2]Entry!$G$344)</f>
        <v/>
      </c>
      <c r="T341">
        <f>IF([2]Entry!$J$344="","",[2]Entry!$J$344)</f>
        <v/>
      </c>
      <c r="U341">
        <f>IF([2]Entry!$K$344="","",[2]Entry!$K$344)</f>
        <v/>
      </c>
      <c r="V341">
        <f>IF([2]Entry!$L$344="","",[2]Entry!$L$344)</f>
        <v/>
      </c>
      <c r="W341">
        <f>IF([2]Entry!$M$344="","",[2]Entry!$M$344)</f>
        <v/>
      </c>
      <c r="X341">
        <f>IF([2]Entry!$N$344="","",[2]Entry!$N$344)</f>
        <v/>
      </c>
      <c r="Y341">
        <f>IF([2]Entry!$R$344="","",[2]Entry!$R$344)</f>
        <v/>
      </c>
    </row>
    <row r="342">
      <c r="K342">
        <f>IF([1]Accounts!$D$343="","",[1]Accounts!$A$343)</f>
        <v/>
      </c>
      <c r="L342">
        <f>IF([1]Accounts!$D$343="","",[1]Accounts!$B$343)</f>
        <v/>
      </c>
      <c r="M342">
        <f>IF([1]Accounts!$D$343="","",[1]Accounts!$C$343)</f>
        <v/>
      </c>
      <c r="N342">
        <f>IF([1]Accounts!$D$343="","",[1]Accounts!$D$343)</f>
        <v/>
      </c>
      <c r="P342">
        <f>IF([2]Entry!$C$345="","",[2]Entry!$C$345)</f>
        <v/>
      </c>
      <c r="Q342">
        <f>IF([2]Entry!$D$345="","",[2]Entry!$D$345)</f>
        <v/>
      </c>
      <c r="R342">
        <f>IF([2]Entry!$E$345="","",[2]Entry!$E$345)</f>
        <v/>
      </c>
      <c r="S342">
        <f>IF([2]Entry!$G$345="","",[2]Entry!$G$345)</f>
        <v/>
      </c>
      <c r="T342">
        <f>IF([2]Entry!$J$345="","",[2]Entry!$J$345)</f>
        <v/>
      </c>
      <c r="U342">
        <f>IF([2]Entry!$K$345="","",[2]Entry!$K$345)</f>
        <v/>
      </c>
      <c r="V342">
        <f>IF([2]Entry!$L$345="","",[2]Entry!$L$345)</f>
        <v/>
      </c>
      <c r="W342">
        <f>IF([2]Entry!$M$345="","",[2]Entry!$M$345)</f>
        <v/>
      </c>
      <c r="X342">
        <f>IF([2]Entry!$N$345="","",[2]Entry!$N$345)</f>
        <v/>
      </c>
      <c r="Y342">
        <f>IF([2]Entry!$R$345="","",[2]Entry!$R$345)</f>
        <v/>
      </c>
    </row>
    <row r="343">
      <c r="K343">
        <f>IF([1]Accounts!$D$344="","",[1]Accounts!$A$344)</f>
        <v/>
      </c>
      <c r="L343">
        <f>IF([1]Accounts!$D$344="","",[1]Accounts!$B$344)</f>
        <v/>
      </c>
      <c r="M343">
        <f>IF([1]Accounts!$D$344="","",[1]Accounts!$C$344)</f>
        <v/>
      </c>
      <c r="N343">
        <f>IF([1]Accounts!$D$344="","",[1]Accounts!$D$344)</f>
        <v/>
      </c>
      <c r="P343">
        <f>IF([2]Entry!$C$346="","",[2]Entry!$C$346)</f>
        <v/>
      </c>
      <c r="Q343">
        <f>IF([2]Entry!$D$346="","",[2]Entry!$D$346)</f>
        <v/>
      </c>
      <c r="R343">
        <f>IF([2]Entry!$E$346="","",[2]Entry!$E$346)</f>
        <v/>
      </c>
      <c r="S343">
        <f>IF([2]Entry!$G$346="","",[2]Entry!$G$346)</f>
        <v/>
      </c>
      <c r="T343">
        <f>IF([2]Entry!$J$346="","",[2]Entry!$J$346)</f>
        <v/>
      </c>
      <c r="U343">
        <f>IF([2]Entry!$K$346="","",[2]Entry!$K$346)</f>
        <v/>
      </c>
      <c r="V343">
        <f>IF([2]Entry!$L$346="","",[2]Entry!$L$346)</f>
        <v/>
      </c>
      <c r="W343">
        <f>IF([2]Entry!$M$346="","",[2]Entry!$M$346)</f>
        <v/>
      </c>
      <c r="X343">
        <f>IF([2]Entry!$N$346="","",[2]Entry!$N$346)</f>
        <v/>
      </c>
      <c r="Y343">
        <f>IF([2]Entry!$R$346="","",[2]Entry!$R$346)</f>
        <v/>
      </c>
    </row>
    <row r="344">
      <c r="K344">
        <f>IF([1]Accounts!$D$345="","",[1]Accounts!$A$345)</f>
        <v/>
      </c>
      <c r="L344">
        <f>IF([1]Accounts!$D$345="","",[1]Accounts!$B$345)</f>
        <v/>
      </c>
      <c r="M344">
        <f>IF([1]Accounts!$D$345="","",[1]Accounts!$C$345)</f>
        <v/>
      </c>
      <c r="N344">
        <f>IF([1]Accounts!$D$345="","",[1]Accounts!$D$345)</f>
        <v/>
      </c>
      <c r="P344">
        <f>IF([2]Entry!$C$347="","",[2]Entry!$C$347)</f>
        <v/>
      </c>
      <c r="Q344">
        <f>IF([2]Entry!$D$347="","",[2]Entry!$D$347)</f>
        <v/>
      </c>
      <c r="R344">
        <f>IF([2]Entry!$E$347="","",[2]Entry!$E$347)</f>
        <v/>
      </c>
      <c r="S344">
        <f>IF([2]Entry!$G$347="","",[2]Entry!$G$347)</f>
        <v/>
      </c>
      <c r="T344">
        <f>IF([2]Entry!$J$347="","",[2]Entry!$J$347)</f>
        <v/>
      </c>
      <c r="U344">
        <f>IF([2]Entry!$K$347="","",[2]Entry!$K$347)</f>
        <v/>
      </c>
      <c r="V344">
        <f>IF([2]Entry!$L$347="","",[2]Entry!$L$347)</f>
        <v/>
      </c>
      <c r="W344">
        <f>IF([2]Entry!$M$347="","",[2]Entry!$M$347)</f>
        <v/>
      </c>
      <c r="X344">
        <f>IF([2]Entry!$N$347="","",[2]Entry!$N$347)</f>
        <v/>
      </c>
      <c r="Y344">
        <f>IF([2]Entry!$R$347="","",[2]Entry!$R$347)</f>
        <v/>
      </c>
    </row>
    <row r="345">
      <c r="K345">
        <f>IF([1]Accounts!$D$346="","",[1]Accounts!$A$346)</f>
        <v/>
      </c>
      <c r="L345">
        <f>IF([1]Accounts!$D$346="","",[1]Accounts!$B$346)</f>
        <v/>
      </c>
      <c r="M345">
        <f>IF([1]Accounts!$D$346="","",[1]Accounts!$C$346)</f>
        <v/>
      </c>
      <c r="N345">
        <f>IF([1]Accounts!$D$346="","",[1]Accounts!$D$346)</f>
        <v/>
      </c>
      <c r="P345">
        <f>IF([2]Entry!$C$348="","",[2]Entry!$C$348)</f>
        <v/>
      </c>
      <c r="Q345">
        <f>IF([2]Entry!$D$348="","",[2]Entry!$D$348)</f>
        <v/>
      </c>
      <c r="R345">
        <f>IF([2]Entry!$E$348="","",[2]Entry!$E$348)</f>
        <v/>
      </c>
      <c r="S345">
        <f>IF([2]Entry!$G$348="","",[2]Entry!$G$348)</f>
        <v/>
      </c>
      <c r="T345">
        <f>IF([2]Entry!$J$348="","",[2]Entry!$J$348)</f>
        <v/>
      </c>
      <c r="U345">
        <f>IF([2]Entry!$K$348="","",[2]Entry!$K$348)</f>
        <v/>
      </c>
      <c r="V345">
        <f>IF([2]Entry!$L$348="","",[2]Entry!$L$348)</f>
        <v/>
      </c>
      <c r="W345">
        <f>IF([2]Entry!$M$348="","",[2]Entry!$M$348)</f>
        <v/>
      </c>
      <c r="X345">
        <f>IF([2]Entry!$N$348="","",[2]Entry!$N$348)</f>
        <v/>
      </c>
      <c r="Y345">
        <f>IF([2]Entry!$R$348="","",[2]Entry!$R$348)</f>
        <v/>
      </c>
    </row>
    <row r="346">
      <c r="K346">
        <f>IF([1]Accounts!$D$347="","",[1]Accounts!$A$347)</f>
        <v/>
      </c>
      <c r="L346">
        <f>IF([1]Accounts!$D$347="","",[1]Accounts!$B$347)</f>
        <v/>
      </c>
      <c r="M346">
        <f>IF([1]Accounts!$D$347="","",[1]Accounts!$C$347)</f>
        <v/>
      </c>
      <c r="N346">
        <f>IF([1]Accounts!$D$347="","",[1]Accounts!$D$347)</f>
        <v/>
      </c>
      <c r="P346">
        <f>IF([2]Entry!$C$349="","",[2]Entry!$C$349)</f>
        <v/>
      </c>
      <c r="Q346">
        <f>IF([2]Entry!$D$349="","",[2]Entry!$D$349)</f>
        <v/>
      </c>
      <c r="R346">
        <f>IF([2]Entry!$E$349="","",[2]Entry!$E$349)</f>
        <v/>
      </c>
      <c r="S346">
        <f>IF([2]Entry!$G$349="","",[2]Entry!$G$349)</f>
        <v/>
      </c>
      <c r="T346">
        <f>IF([2]Entry!$J$349="","",[2]Entry!$J$349)</f>
        <v/>
      </c>
      <c r="U346">
        <f>IF([2]Entry!$K$349="","",[2]Entry!$K$349)</f>
        <v/>
      </c>
      <c r="V346">
        <f>IF([2]Entry!$L$349="","",[2]Entry!$L$349)</f>
        <v/>
      </c>
      <c r="W346">
        <f>IF([2]Entry!$M$349="","",[2]Entry!$M$349)</f>
        <v/>
      </c>
      <c r="X346">
        <f>IF([2]Entry!$N$349="","",[2]Entry!$N$349)</f>
        <v/>
      </c>
      <c r="Y346">
        <f>IF([2]Entry!$R$349="","",[2]Entry!$R$349)</f>
        <v/>
      </c>
    </row>
    <row r="347">
      <c r="K347">
        <f>IF([1]Accounts!$D$348="","",[1]Accounts!$A$348)</f>
        <v/>
      </c>
      <c r="L347">
        <f>IF([1]Accounts!$D$348="","",[1]Accounts!$B$348)</f>
        <v/>
      </c>
      <c r="M347">
        <f>IF([1]Accounts!$D$348="","",[1]Accounts!$C$348)</f>
        <v/>
      </c>
      <c r="N347">
        <f>IF([1]Accounts!$D$348="","",[1]Accounts!$D$348)</f>
        <v/>
      </c>
      <c r="P347">
        <f>IF([2]Entry!$C$350="","",[2]Entry!$C$350)</f>
        <v/>
      </c>
      <c r="Q347">
        <f>IF([2]Entry!$D$350="","",[2]Entry!$D$350)</f>
        <v/>
      </c>
      <c r="R347">
        <f>IF([2]Entry!$E$350="","",[2]Entry!$E$350)</f>
        <v/>
      </c>
      <c r="S347">
        <f>IF([2]Entry!$G$350="","",[2]Entry!$G$350)</f>
        <v/>
      </c>
      <c r="T347">
        <f>IF([2]Entry!$J$350="","",[2]Entry!$J$350)</f>
        <v/>
      </c>
      <c r="U347">
        <f>IF([2]Entry!$K$350="","",[2]Entry!$K$350)</f>
        <v/>
      </c>
      <c r="V347">
        <f>IF([2]Entry!$L$350="","",[2]Entry!$L$350)</f>
        <v/>
      </c>
      <c r="W347">
        <f>IF([2]Entry!$M$350="","",[2]Entry!$M$350)</f>
        <v/>
      </c>
      <c r="X347">
        <f>IF([2]Entry!$N$350="","",[2]Entry!$N$350)</f>
        <v/>
      </c>
      <c r="Y347">
        <f>IF([2]Entry!$R$350="","",[2]Entry!$R$350)</f>
        <v/>
      </c>
    </row>
    <row r="348">
      <c r="K348">
        <f>IF([1]Accounts!$D$349="","",[1]Accounts!$A$349)</f>
        <v/>
      </c>
      <c r="L348">
        <f>IF([1]Accounts!$D$349="","",[1]Accounts!$B$349)</f>
        <v/>
      </c>
      <c r="M348">
        <f>IF([1]Accounts!$D$349="","",[1]Accounts!$C$349)</f>
        <v/>
      </c>
      <c r="N348">
        <f>IF([1]Accounts!$D$349="","",[1]Accounts!$D$349)</f>
        <v/>
      </c>
      <c r="P348">
        <f>IF([2]Entry!$C$351="","",[2]Entry!$C$351)</f>
        <v/>
      </c>
      <c r="Q348">
        <f>IF([2]Entry!$D$351="","",[2]Entry!$D$351)</f>
        <v/>
      </c>
      <c r="R348">
        <f>IF([2]Entry!$E$351="","",[2]Entry!$E$351)</f>
        <v/>
      </c>
      <c r="S348">
        <f>IF([2]Entry!$G$351="","",[2]Entry!$G$351)</f>
        <v/>
      </c>
      <c r="T348">
        <f>IF([2]Entry!$J$351="","",[2]Entry!$J$351)</f>
        <v/>
      </c>
      <c r="U348">
        <f>IF([2]Entry!$K$351="","",[2]Entry!$K$351)</f>
        <v/>
      </c>
      <c r="V348">
        <f>IF([2]Entry!$L$351="","",[2]Entry!$L$351)</f>
        <v/>
      </c>
      <c r="W348">
        <f>IF([2]Entry!$M$351="","",[2]Entry!$M$351)</f>
        <v/>
      </c>
      <c r="X348">
        <f>IF([2]Entry!$N$351="","",[2]Entry!$N$351)</f>
        <v/>
      </c>
      <c r="Y348">
        <f>IF([2]Entry!$R$351="","",[2]Entry!$R$351)</f>
        <v/>
      </c>
    </row>
    <row r="349">
      <c r="K349">
        <f>IF([1]Accounts!$D$350="","",[1]Accounts!$A$350)</f>
        <v/>
      </c>
      <c r="L349">
        <f>IF([1]Accounts!$D$350="","",[1]Accounts!$B$350)</f>
        <v/>
      </c>
      <c r="M349">
        <f>IF([1]Accounts!$D$350="","",[1]Accounts!$C$350)</f>
        <v/>
      </c>
      <c r="N349">
        <f>IF([1]Accounts!$D$350="","",[1]Accounts!$D$350)</f>
        <v/>
      </c>
      <c r="P349">
        <f>IF([2]Entry!$C$352="","",[2]Entry!$C$352)</f>
        <v/>
      </c>
      <c r="Q349">
        <f>IF([2]Entry!$D$352="","",[2]Entry!$D$352)</f>
        <v/>
      </c>
      <c r="R349">
        <f>IF([2]Entry!$E$352="","",[2]Entry!$E$352)</f>
        <v/>
      </c>
      <c r="S349">
        <f>IF([2]Entry!$G$352="","",[2]Entry!$G$352)</f>
        <v/>
      </c>
      <c r="T349">
        <f>IF([2]Entry!$J$352="","",[2]Entry!$J$352)</f>
        <v/>
      </c>
      <c r="U349">
        <f>IF([2]Entry!$K$352="","",[2]Entry!$K$352)</f>
        <v/>
      </c>
      <c r="V349">
        <f>IF([2]Entry!$L$352="","",[2]Entry!$L$352)</f>
        <v/>
      </c>
      <c r="W349">
        <f>IF([2]Entry!$M$352="","",[2]Entry!$M$352)</f>
        <v/>
      </c>
      <c r="X349">
        <f>IF([2]Entry!$N$352="","",[2]Entry!$N$352)</f>
        <v/>
      </c>
      <c r="Y349">
        <f>IF([2]Entry!$R$352="","",[2]Entry!$R$352)</f>
        <v/>
      </c>
    </row>
    <row r="350">
      <c r="K350">
        <f>IF([1]Accounts!$D$351="","",[1]Accounts!$A$351)</f>
        <v/>
      </c>
      <c r="L350">
        <f>IF([1]Accounts!$D$351="","",[1]Accounts!$B$351)</f>
        <v/>
      </c>
      <c r="M350">
        <f>IF([1]Accounts!$D$351="","",[1]Accounts!$C$351)</f>
        <v/>
      </c>
      <c r="N350">
        <f>IF([1]Accounts!$D$351="","",[1]Accounts!$D$351)</f>
        <v/>
      </c>
      <c r="P350">
        <f>IF([2]Entry!$C$353="","",[2]Entry!$C$353)</f>
        <v/>
      </c>
      <c r="Q350">
        <f>IF([2]Entry!$D$353="","",[2]Entry!$D$353)</f>
        <v/>
      </c>
      <c r="R350">
        <f>IF([2]Entry!$E$353="","",[2]Entry!$E$353)</f>
        <v/>
      </c>
      <c r="S350">
        <f>IF([2]Entry!$G$353="","",[2]Entry!$G$353)</f>
        <v/>
      </c>
      <c r="T350">
        <f>IF([2]Entry!$J$353="","",[2]Entry!$J$353)</f>
        <v/>
      </c>
      <c r="U350">
        <f>IF([2]Entry!$K$353="","",[2]Entry!$K$353)</f>
        <v/>
      </c>
      <c r="V350">
        <f>IF([2]Entry!$L$353="","",[2]Entry!$L$353)</f>
        <v/>
      </c>
      <c r="W350">
        <f>IF([2]Entry!$M$353="","",[2]Entry!$M$353)</f>
        <v/>
      </c>
      <c r="X350">
        <f>IF([2]Entry!$N$353="","",[2]Entry!$N$353)</f>
        <v/>
      </c>
      <c r="Y350">
        <f>IF([2]Entry!$R$353="","",[2]Entry!$R$353)</f>
        <v/>
      </c>
    </row>
    <row r="351">
      <c r="K351">
        <f>IF([1]Accounts!$D$352="","",[1]Accounts!$A$352)</f>
        <v/>
      </c>
      <c r="L351">
        <f>IF([1]Accounts!$D$352="","",[1]Accounts!$B$352)</f>
        <v/>
      </c>
      <c r="M351">
        <f>IF([1]Accounts!$D$352="","",[1]Accounts!$C$352)</f>
        <v/>
      </c>
      <c r="N351">
        <f>IF([1]Accounts!$D$352="","",[1]Accounts!$D$352)</f>
        <v/>
      </c>
      <c r="P351">
        <f>IF([2]Entry!$C$354="","",[2]Entry!$C$354)</f>
        <v/>
      </c>
      <c r="Q351">
        <f>IF([2]Entry!$D$354="","",[2]Entry!$D$354)</f>
        <v/>
      </c>
      <c r="R351">
        <f>IF([2]Entry!$E$354="","",[2]Entry!$E$354)</f>
        <v/>
      </c>
      <c r="S351">
        <f>IF([2]Entry!$G$354="","",[2]Entry!$G$354)</f>
        <v/>
      </c>
      <c r="T351">
        <f>IF([2]Entry!$J$354="","",[2]Entry!$J$354)</f>
        <v/>
      </c>
      <c r="U351">
        <f>IF([2]Entry!$K$354="","",[2]Entry!$K$354)</f>
        <v/>
      </c>
      <c r="V351">
        <f>IF([2]Entry!$L$354="","",[2]Entry!$L$354)</f>
        <v/>
      </c>
      <c r="W351">
        <f>IF([2]Entry!$M$354="","",[2]Entry!$M$354)</f>
        <v/>
      </c>
      <c r="X351">
        <f>IF([2]Entry!$N$354="","",[2]Entry!$N$354)</f>
        <v/>
      </c>
      <c r="Y351">
        <f>IF([2]Entry!$R$354="","",[2]Entry!$R$354)</f>
        <v/>
      </c>
    </row>
    <row r="352">
      <c r="K352">
        <f>IF([1]Accounts!$D$353="","",[1]Accounts!$A$353)</f>
        <v/>
      </c>
      <c r="L352">
        <f>IF([1]Accounts!$D$353="","",[1]Accounts!$B$353)</f>
        <v/>
      </c>
      <c r="M352">
        <f>IF([1]Accounts!$D$353="","",[1]Accounts!$C$353)</f>
        <v/>
      </c>
      <c r="N352">
        <f>IF([1]Accounts!$D$353="","",[1]Accounts!$D$353)</f>
        <v/>
      </c>
      <c r="P352">
        <f>IF([2]Entry!$C$355="","",[2]Entry!$C$355)</f>
        <v/>
      </c>
      <c r="Q352">
        <f>IF([2]Entry!$D$355="","",[2]Entry!$D$355)</f>
        <v/>
      </c>
      <c r="R352">
        <f>IF([2]Entry!$E$355="","",[2]Entry!$E$355)</f>
        <v/>
      </c>
      <c r="S352">
        <f>IF([2]Entry!$G$355="","",[2]Entry!$G$355)</f>
        <v/>
      </c>
      <c r="T352">
        <f>IF([2]Entry!$J$355="","",[2]Entry!$J$355)</f>
        <v/>
      </c>
      <c r="U352">
        <f>IF([2]Entry!$K$355="","",[2]Entry!$K$355)</f>
        <v/>
      </c>
      <c r="V352">
        <f>IF([2]Entry!$L$355="","",[2]Entry!$L$355)</f>
        <v/>
      </c>
      <c r="W352">
        <f>IF([2]Entry!$M$355="","",[2]Entry!$M$355)</f>
        <v/>
      </c>
      <c r="X352">
        <f>IF([2]Entry!$N$355="","",[2]Entry!$N$355)</f>
        <v/>
      </c>
      <c r="Y352">
        <f>IF([2]Entry!$R$355="","",[2]Entry!$R$355)</f>
        <v/>
      </c>
    </row>
    <row r="353">
      <c r="K353">
        <f>IF([1]Accounts!$D$354="","",[1]Accounts!$A$354)</f>
        <v/>
      </c>
      <c r="L353">
        <f>IF([1]Accounts!$D$354="","",[1]Accounts!$B$354)</f>
        <v/>
      </c>
      <c r="M353">
        <f>IF([1]Accounts!$D$354="","",[1]Accounts!$C$354)</f>
        <v/>
      </c>
      <c r="N353">
        <f>IF([1]Accounts!$D$354="","",[1]Accounts!$D$354)</f>
        <v/>
      </c>
      <c r="P353">
        <f>IF([2]Entry!$C$356="","",[2]Entry!$C$356)</f>
        <v/>
      </c>
      <c r="Q353">
        <f>IF([2]Entry!$D$356="","",[2]Entry!$D$356)</f>
        <v/>
      </c>
      <c r="R353">
        <f>IF([2]Entry!$E$356="","",[2]Entry!$E$356)</f>
        <v/>
      </c>
      <c r="S353">
        <f>IF([2]Entry!$G$356="","",[2]Entry!$G$356)</f>
        <v/>
      </c>
      <c r="T353">
        <f>IF([2]Entry!$J$356="","",[2]Entry!$J$356)</f>
        <v/>
      </c>
      <c r="U353">
        <f>IF([2]Entry!$K$356="","",[2]Entry!$K$356)</f>
        <v/>
      </c>
      <c r="V353">
        <f>IF([2]Entry!$L$356="","",[2]Entry!$L$356)</f>
        <v/>
      </c>
      <c r="W353">
        <f>IF([2]Entry!$M$356="","",[2]Entry!$M$356)</f>
        <v/>
      </c>
      <c r="X353">
        <f>IF([2]Entry!$N$356="","",[2]Entry!$N$356)</f>
        <v/>
      </c>
      <c r="Y353">
        <f>IF([2]Entry!$R$356="","",[2]Entry!$R$356)</f>
        <v/>
      </c>
    </row>
    <row r="354">
      <c r="K354">
        <f>IF([1]Accounts!$D$355="","",[1]Accounts!$A$355)</f>
        <v/>
      </c>
      <c r="L354">
        <f>IF([1]Accounts!$D$355="","",[1]Accounts!$B$355)</f>
        <v/>
      </c>
      <c r="M354">
        <f>IF([1]Accounts!$D$355="","",[1]Accounts!$C$355)</f>
        <v/>
      </c>
      <c r="N354">
        <f>IF([1]Accounts!$D$355="","",[1]Accounts!$D$355)</f>
        <v/>
      </c>
      <c r="P354">
        <f>IF([2]Entry!$C$357="","",[2]Entry!$C$357)</f>
        <v/>
      </c>
      <c r="Q354">
        <f>IF([2]Entry!$D$357="","",[2]Entry!$D$357)</f>
        <v/>
      </c>
      <c r="R354">
        <f>IF([2]Entry!$E$357="","",[2]Entry!$E$357)</f>
        <v/>
      </c>
      <c r="S354">
        <f>IF([2]Entry!$G$357="","",[2]Entry!$G$357)</f>
        <v/>
      </c>
      <c r="T354">
        <f>IF([2]Entry!$J$357="","",[2]Entry!$J$357)</f>
        <v/>
      </c>
      <c r="U354">
        <f>IF([2]Entry!$K$357="","",[2]Entry!$K$357)</f>
        <v/>
      </c>
      <c r="V354">
        <f>IF([2]Entry!$L$357="","",[2]Entry!$L$357)</f>
        <v/>
      </c>
      <c r="W354">
        <f>IF([2]Entry!$M$357="","",[2]Entry!$M$357)</f>
        <v/>
      </c>
      <c r="X354">
        <f>IF([2]Entry!$N$357="","",[2]Entry!$N$357)</f>
        <v/>
      </c>
      <c r="Y354">
        <f>IF([2]Entry!$R$357="","",[2]Entry!$R$357)</f>
        <v/>
      </c>
    </row>
    <row r="355">
      <c r="K355">
        <f>IF([1]Accounts!$D$356="","",[1]Accounts!$A$356)</f>
        <v/>
      </c>
      <c r="L355">
        <f>IF([1]Accounts!$D$356="","",[1]Accounts!$B$356)</f>
        <v/>
      </c>
      <c r="M355">
        <f>IF([1]Accounts!$D$356="","",[1]Accounts!$C$356)</f>
        <v/>
      </c>
      <c r="N355">
        <f>IF([1]Accounts!$D$356="","",[1]Accounts!$D$356)</f>
        <v/>
      </c>
      <c r="P355">
        <f>IF([2]Entry!$C$358="","",[2]Entry!$C$358)</f>
        <v/>
      </c>
      <c r="Q355">
        <f>IF([2]Entry!$D$358="","",[2]Entry!$D$358)</f>
        <v/>
      </c>
      <c r="R355">
        <f>IF([2]Entry!$E$358="","",[2]Entry!$E$358)</f>
        <v/>
      </c>
      <c r="S355">
        <f>IF([2]Entry!$G$358="","",[2]Entry!$G$358)</f>
        <v/>
      </c>
      <c r="T355">
        <f>IF([2]Entry!$J$358="","",[2]Entry!$J$358)</f>
        <v/>
      </c>
      <c r="U355">
        <f>IF([2]Entry!$K$358="","",[2]Entry!$K$358)</f>
        <v/>
      </c>
      <c r="V355">
        <f>IF([2]Entry!$L$358="","",[2]Entry!$L$358)</f>
        <v/>
      </c>
      <c r="W355">
        <f>IF([2]Entry!$M$358="","",[2]Entry!$M$358)</f>
        <v/>
      </c>
      <c r="X355">
        <f>IF([2]Entry!$N$358="","",[2]Entry!$N$358)</f>
        <v/>
      </c>
      <c r="Y355">
        <f>IF([2]Entry!$R$358="","",[2]Entry!$R$358)</f>
        <v/>
      </c>
    </row>
    <row r="356">
      <c r="K356">
        <f>IF([1]Accounts!$D$357="","",[1]Accounts!$A$357)</f>
        <v/>
      </c>
      <c r="L356">
        <f>IF([1]Accounts!$D$357="","",[1]Accounts!$B$357)</f>
        <v/>
      </c>
      <c r="M356">
        <f>IF([1]Accounts!$D$357="","",[1]Accounts!$C$357)</f>
        <v/>
      </c>
      <c r="N356">
        <f>IF([1]Accounts!$D$357="","",[1]Accounts!$D$357)</f>
        <v/>
      </c>
      <c r="P356">
        <f>IF([2]Entry!$C$359="","",[2]Entry!$C$359)</f>
        <v/>
      </c>
      <c r="Q356">
        <f>IF([2]Entry!$D$359="","",[2]Entry!$D$359)</f>
        <v/>
      </c>
      <c r="R356">
        <f>IF([2]Entry!$E$359="","",[2]Entry!$E$359)</f>
        <v/>
      </c>
      <c r="S356">
        <f>IF([2]Entry!$G$359="","",[2]Entry!$G$359)</f>
        <v/>
      </c>
      <c r="T356">
        <f>IF([2]Entry!$J$359="","",[2]Entry!$J$359)</f>
        <v/>
      </c>
      <c r="U356">
        <f>IF([2]Entry!$K$359="","",[2]Entry!$K$359)</f>
        <v/>
      </c>
      <c r="V356">
        <f>IF([2]Entry!$L$359="","",[2]Entry!$L$359)</f>
        <v/>
      </c>
      <c r="W356">
        <f>IF([2]Entry!$M$359="","",[2]Entry!$M$359)</f>
        <v/>
      </c>
      <c r="X356">
        <f>IF([2]Entry!$N$359="","",[2]Entry!$N$359)</f>
        <v/>
      </c>
      <c r="Y356">
        <f>IF([2]Entry!$R$359="","",[2]Entry!$R$359)</f>
        <v/>
      </c>
    </row>
    <row r="357">
      <c r="K357">
        <f>IF([1]Accounts!$D$358="","",[1]Accounts!$A$358)</f>
        <v/>
      </c>
      <c r="L357">
        <f>IF([1]Accounts!$D$358="","",[1]Accounts!$B$358)</f>
        <v/>
      </c>
      <c r="M357">
        <f>IF([1]Accounts!$D$358="","",[1]Accounts!$C$358)</f>
        <v/>
      </c>
      <c r="N357">
        <f>IF([1]Accounts!$D$358="","",[1]Accounts!$D$358)</f>
        <v/>
      </c>
      <c r="P357">
        <f>IF([2]Entry!$C$360="","",[2]Entry!$C$360)</f>
        <v/>
      </c>
      <c r="Q357">
        <f>IF([2]Entry!$D$360="","",[2]Entry!$D$360)</f>
        <v/>
      </c>
      <c r="R357">
        <f>IF([2]Entry!$E$360="","",[2]Entry!$E$360)</f>
        <v/>
      </c>
      <c r="S357">
        <f>IF([2]Entry!$G$360="","",[2]Entry!$G$360)</f>
        <v/>
      </c>
      <c r="T357">
        <f>IF([2]Entry!$J$360="","",[2]Entry!$J$360)</f>
        <v/>
      </c>
      <c r="U357">
        <f>IF([2]Entry!$K$360="","",[2]Entry!$K$360)</f>
        <v/>
      </c>
      <c r="V357">
        <f>IF([2]Entry!$L$360="","",[2]Entry!$L$360)</f>
        <v/>
      </c>
      <c r="W357">
        <f>IF([2]Entry!$M$360="","",[2]Entry!$M$360)</f>
        <v/>
      </c>
      <c r="X357">
        <f>IF([2]Entry!$N$360="","",[2]Entry!$N$360)</f>
        <v/>
      </c>
      <c r="Y357">
        <f>IF([2]Entry!$R$360="","",[2]Entry!$R$360)</f>
        <v/>
      </c>
    </row>
    <row r="358">
      <c r="K358">
        <f>IF([1]Accounts!$D$359="","",[1]Accounts!$A$359)</f>
        <v/>
      </c>
      <c r="L358">
        <f>IF([1]Accounts!$D$359="","",[1]Accounts!$B$359)</f>
        <v/>
      </c>
      <c r="M358">
        <f>IF([1]Accounts!$D$359="","",[1]Accounts!$C$359)</f>
        <v/>
      </c>
      <c r="N358">
        <f>IF([1]Accounts!$D$359="","",[1]Accounts!$D$359)</f>
        <v/>
      </c>
      <c r="P358">
        <f>IF([2]Entry!$C$361="","",[2]Entry!$C$361)</f>
        <v/>
      </c>
      <c r="Q358">
        <f>IF([2]Entry!$D$361="","",[2]Entry!$D$361)</f>
        <v/>
      </c>
      <c r="R358">
        <f>IF([2]Entry!$E$361="","",[2]Entry!$E$361)</f>
        <v/>
      </c>
      <c r="S358">
        <f>IF([2]Entry!$G$361="","",[2]Entry!$G$361)</f>
        <v/>
      </c>
      <c r="T358">
        <f>IF([2]Entry!$J$361="","",[2]Entry!$J$361)</f>
        <v/>
      </c>
      <c r="U358">
        <f>IF([2]Entry!$K$361="","",[2]Entry!$K$361)</f>
        <v/>
      </c>
      <c r="V358">
        <f>IF([2]Entry!$L$361="","",[2]Entry!$L$361)</f>
        <v/>
      </c>
      <c r="W358">
        <f>IF([2]Entry!$M$361="","",[2]Entry!$M$361)</f>
        <v/>
      </c>
      <c r="X358">
        <f>IF([2]Entry!$N$361="","",[2]Entry!$N$361)</f>
        <v/>
      </c>
      <c r="Y358">
        <f>IF([2]Entry!$R$361="","",[2]Entry!$R$361)</f>
        <v/>
      </c>
    </row>
    <row r="359">
      <c r="K359">
        <f>IF([1]Accounts!$D$360="","",[1]Accounts!$A$360)</f>
        <v/>
      </c>
      <c r="L359">
        <f>IF([1]Accounts!$D$360="","",[1]Accounts!$B$360)</f>
        <v/>
      </c>
      <c r="M359">
        <f>IF([1]Accounts!$D$360="","",[1]Accounts!$C$360)</f>
        <v/>
      </c>
      <c r="N359">
        <f>IF([1]Accounts!$D$360="","",[1]Accounts!$D$360)</f>
        <v/>
      </c>
      <c r="P359">
        <f>IF([2]Entry!$C$362="","",[2]Entry!$C$362)</f>
        <v/>
      </c>
      <c r="Q359">
        <f>IF([2]Entry!$D$362="","",[2]Entry!$D$362)</f>
        <v/>
      </c>
      <c r="R359">
        <f>IF([2]Entry!$E$362="","",[2]Entry!$E$362)</f>
        <v/>
      </c>
      <c r="S359">
        <f>IF([2]Entry!$G$362="","",[2]Entry!$G$362)</f>
        <v/>
      </c>
      <c r="T359">
        <f>IF([2]Entry!$J$362="","",[2]Entry!$J$362)</f>
        <v/>
      </c>
      <c r="U359">
        <f>IF([2]Entry!$K$362="","",[2]Entry!$K$362)</f>
        <v/>
      </c>
      <c r="V359">
        <f>IF([2]Entry!$L$362="","",[2]Entry!$L$362)</f>
        <v/>
      </c>
      <c r="W359">
        <f>IF([2]Entry!$M$362="","",[2]Entry!$M$362)</f>
        <v/>
      </c>
      <c r="X359">
        <f>IF([2]Entry!$N$362="","",[2]Entry!$N$362)</f>
        <v/>
      </c>
      <c r="Y359">
        <f>IF([2]Entry!$R$362="","",[2]Entry!$R$362)</f>
        <v/>
      </c>
    </row>
    <row r="360">
      <c r="K360">
        <f>IF([1]Accounts!$D$361="","",[1]Accounts!$A$361)</f>
        <v/>
      </c>
      <c r="L360">
        <f>IF([1]Accounts!$D$361="","",[1]Accounts!$B$361)</f>
        <v/>
      </c>
      <c r="M360">
        <f>IF([1]Accounts!$D$361="","",[1]Accounts!$C$361)</f>
        <v/>
      </c>
      <c r="N360">
        <f>IF([1]Accounts!$D$361="","",[1]Accounts!$D$361)</f>
        <v/>
      </c>
      <c r="P360">
        <f>IF([2]Entry!$C$363="","",[2]Entry!$C$363)</f>
        <v/>
      </c>
      <c r="Q360">
        <f>IF([2]Entry!$D$363="","",[2]Entry!$D$363)</f>
        <v/>
      </c>
      <c r="R360">
        <f>IF([2]Entry!$E$363="","",[2]Entry!$E$363)</f>
        <v/>
      </c>
      <c r="S360">
        <f>IF([2]Entry!$G$363="","",[2]Entry!$G$363)</f>
        <v/>
      </c>
      <c r="T360">
        <f>IF([2]Entry!$J$363="","",[2]Entry!$J$363)</f>
        <v/>
      </c>
      <c r="U360">
        <f>IF([2]Entry!$K$363="","",[2]Entry!$K$363)</f>
        <v/>
      </c>
      <c r="V360">
        <f>IF([2]Entry!$L$363="","",[2]Entry!$L$363)</f>
        <v/>
      </c>
      <c r="W360">
        <f>IF([2]Entry!$M$363="","",[2]Entry!$M$363)</f>
        <v/>
      </c>
      <c r="X360">
        <f>IF([2]Entry!$N$363="","",[2]Entry!$N$363)</f>
        <v/>
      </c>
      <c r="Y360">
        <f>IF([2]Entry!$R$363="","",[2]Entry!$R$363)</f>
        <v/>
      </c>
    </row>
    <row r="361">
      <c r="K361">
        <f>IF([1]Accounts!$D$362="","",[1]Accounts!$A$362)</f>
        <v/>
      </c>
      <c r="L361">
        <f>IF([1]Accounts!$D$362="","",[1]Accounts!$B$362)</f>
        <v/>
      </c>
      <c r="M361">
        <f>IF([1]Accounts!$D$362="","",[1]Accounts!$C$362)</f>
        <v/>
      </c>
      <c r="N361">
        <f>IF([1]Accounts!$D$362="","",[1]Accounts!$D$362)</f>
        <v/>
      </c>
      <c r="P361">
        <f>IF([2]Entry!$C$364="","",[2]Entry!$C$364)</f>
        <v/>
      </c>
      <c r="Q361">
        <f>IF([2]Entry!$D$364="","",[2]Entry!$D$364)</f>
        <v/>
      </c>
      <c r="R361">
        <f>IF([2]Entry!$E$364="","",[2]Entry!$E$364)</f>
        <v/>
      </c>
      <c r="S361">
        <f>IF([2]Entry!$G$364="","",[2]Entry!$G$364)</f>
        <v/>
      </c>
      <c r="T361">
        <f>IF([2]Entry!$J$364="","",[2]Entry!$J$364)</f>
        <v/>
      </c>
      <c r="U361">
        <f>IF([2]Entry!$K$364="","",[2]Entry!$K$364)</f>
        <v/>
      </c>
      <c r="V361">
        <f>IF([2]Entry!$L$364="","",[2]Entry!$L$364)</f>
        <v/>
      </c>
      <c r="W361">
        <f>IF([2]Entry!$M$364="","",[2]Entry!$M$364)</f>
        <v/>
      </c>
      <c r="X361">
        <f>IF([2]Entry!$N$364="","",[2]Entry!$N$364)</f>
        <v/>
      </c>
      <c r="Y361">
        <f>IF([2]Entry!$R$364="","",[2]Entry!$R$364)</f>
        <v/>
      </c>
    </row>
    <row r="362">
      <c r="K362">
        <f>IF([1]Accounts!$D$363="","",[1]Accounts!$A$363)</f>
        <v/>
      </c>
      <c r="L362">
        <f>IF([1]Accounts!$D$363="","",[1]Accounts!$B$363)</f>
        <v/>
      </c>
      <c r="M362">
        <f>IF([1]Accounts!$D$363="","",[1]Accounts!$C$363)</f>
        <v/>
      </c>
      <c r="N362">
        <f>IF([1]Accounts!$D$363="","",[1]Accounts!$D$363)</f>
        <v/>
      </c>
      <c r="P362">
        <f>IF([2]Entry!$C$365="","",[2]Entry!$C$365)</f>
        <v/>
      </c>
      <c r="Q362">
        <f>IF([2]Entry!$D$365="","",[2]Entry!$D$365)</f>
        <v/>
      </c>
      <c r="R362">
        <f>IF([2]Entry!$E$365="","",[2]Entry!$E$365)</f>
        <v/>
      </c>
      <c r="S362">
        <f>IF([2]Entry!$G$365="","",[2]Entry!$G$365)</f>
        <v/>
      </c>
      <c r="T362">
        <f>IF([2]Entry!$J$365="","",[2]Entry!$J$365)</f>
        <v/>
      </c>
      <c r="U362">
        <f>IF([2]Entry!$K$365="","",[2]Entry!$K$365)</f>
        <v/>
      </c>
      <c r="V362">
        <f>IF([2]Entry!$L$365="","",[2]Entry!$L$365)</f>
        <v/>
      </c>
      <c r="W362">
        <f>IF([2]Entry!$M$365="","",[2]Entry!$M$365)</f>
        <v/>
      </c>
      <c r="X362">
        <f>IF([2]Entry!$N$365="","",[2]Entry!$N$365)</f>
        <v/>
      </c>
      <c r="Y362">
        <f>IF([2]Entry!$R$365="","",[2]Entry!$R$365)</f>
        <v/>
      </c>
    </row>
    <row r="363">
      <c r="K363">
        <f>IF([1]Accounts!$D$364="","",[1]Accounts!$A$364)</f>
        <v/>
      </c>
      <c r="L363">
        <f>IF([1]Accounts!$D$364="","",[1]Accounts!$B$364)</f>
        <v/>
      </c>
      <c r="M363">
        <f>IF([1]Accounts!$D$364="","",[1]Accounts!$C$364)</f>
        <v/>
      </c>
      <c r="N363">
        <f>IF([1]Accounts!$D$364="","",[1]Accounts!$D$364)</f>
        <v/>
      </c>
      <c r="P363">
        <f>IF([2]Entry!$C$366="","",[2]Entry!$C$366)</f>
        <v/>
      </c>
      <c r="Q363">
        <f>IF([2]Entry!$D$366="","",[2]Entry!$D$366)</f>
        <v/>
      </c>
      <c r="R363">
        <f>IF([2]Entry!$E$366="","",[2]Entry!$E$366)</f>
        <v/>
      </c>
      <c r="S363">
        <f>IF([2]Entry!$G$366="","",[2]Entry!$G$366)</f>
        <v/>
      </c>
      <c r="T363">
        <f>IF([2]Entry!$J$366="","",[2]Entry!$J$366)</f>
        <v/>
      </c>
      <c r="U363">
        <f>IF([2]Entry!$K$366="","",[2]Entry!$K$366)</f>
        <v/>
      </c>
      <c r="V363">
        <f>IF([2]Entry!$L$366="","",[2]Entry!$L$366)</f>
        <v/>
      </c>
      <c r="W363">
        <f>IF([2]Entry!$M$366="","",[2]Entry!$M$366)</f>
        <v/>
      </c>
      <c r="X363">
        <f>IF([2]Entry!$N$366="","",[2]Entry!$N$366)</f>
        <v/>
      </c>
      <c r="Y363">
        <f>IF([2]Entry!$R$366="","",[2]Entry!$R$366)</f>
        <v/>
      </c>
    </row>
    <row r="364">
      <c r="K364">
        <f>IF([1]Accounts!$D$365="","",[1]Accounts!$A$365)</f>
        <v/>
      </c>
      <c r="L364">
        <f>IF([1]Accounts!$D$365="","",[1]Accounts!$B$365)</f>
        <v/>
      </c>
      <c r="M364">
        <f>IF([1]Accounts!$D$365="","",[1]Accounts!$C$365)</f>
        <v/>
      </c>
      <c r="N364">
        <f>IF([1]Accounts!$D$365="","",[1]Accounts!$D$365)</f>
        <v/>
      </c>
      <c r="P364">
        <f>IF([2]Entry!$C$367="","",[2]Entry!$C$367)</f>
        <v/>
      </c>
      <c r="Q364">
        <f>IF([2]Entry!$D$367="","",[2]Entry!$D$367)</f>
        <v/>
      </c>
      <c r="R364">
        <f>IF([2]Entry!$E$367="","",[2]Entry!$E$367)</f>
        <v/>
      </c>
      <c r="S364">
        <f>IF([2]Entry!$G$367="","",[2]Entry!$G$367)</f>
        <v/>
      </c>
      <c r="T364">
        <f>IF([2]Entry!$J$367="","",[2]Entry!$J$367)</f>
        <v/>
      </c>
      <c r="U364">
        <f>IF([2]Entry!$K$367="","",[2]Entry!$K$367)</f>
        <v/>
      </c>
      <c r="V364">
        <f>IF([2]Entry!$L$367="","",[2]Entry!$L$367)</f>
        <v/>
      </c>
      <c r="W364">
        <f>IF([2]Entry!$M$367="","",[2]Entry!$M$367)</f>
        <v/>
      </c>
      <c r="X364">
        <f>IF([2]Entry!$N$367="","",[2]Entry!$N$367)</f>
        <v/>
      </c>
      <c r="Y364">
        <f>IF([2]Entry!$R$367="","",[2]Entry!$R$367)</f>
        <v/>
      </c>
    </row>
    <row r="365">
      <c r="K365">
        <f>IF([1]Accounts!$D$366="","",[1]Accounts!$A$366)</f>
        <v/>
      </c>
      <c r="L365">
        <f>IF([1]Accounts!$D$366="","",[1]Accounts!$B$366)</f>
        <v/>
      </c>
      <c r="M365">
        <f>IF([1]Accounts!$D$366="","",[1]Accounts!$C$366)</f>
        <v/>
      </c>
      <c r="N365">
        <f>IF([1]Accounts!$D$366="","",[1]Accounts!$D$366)</f>
        <v/>
      </c>
      <c r="P365">
        <f>IF([2]Entry!$C$368="","",[2]Entry!$C$368)</f>
        <v/>
      </c>
      <c r="Q365">
        <f>IF([2]Entry!$D$368="","",[2]Entry!$D$368)</f>
        <v/>
      </c>
      <c r="R365">
        <f>IF([2]Entry!$E$368="","",[2]Entry!$E$368)</f>
        <v/>
      </c>
      <c r="S365">
        <f>IF([2]Entry!$G$368="","",[2]Entry!$G$368)</f>
        <v/>
      </c>
      <c r="T365">
        <f>IF([2]Entry!$J$368="","",[2]Entry!$J$368)</f>
        <v/>
      </c>
      <c r="U365">
        <f>IF([2]Entry!$K$368="","",[2]Entry!$K$368)</f>
        <v/>
      </c>
      <c r="V365">
        <f>IF([2]Entry!$L$368="","",[2]Entry!$L$368)</f>
        <v/>
      </c>
      <c r="W365">
        <f>IF([2]Entry!$M$368="","",[2]Entry!$M$368)</f>
        <v/>
      </c>
      <c r="X365">
        <f>IF([2]Entry!$N$368="","",[2]Entry!$N$368)</f>
        <v/>
      </c>
      <c r="Y365">
        <f>IF([2]Entry!$R$368="","",[2]Entry!$R$368)</f>
        <v/>
      </c>
    </row>
    <row r="366">
      <c r="K366">
        <f>IF([1]Accounts!$D$367="","",[1]Accounts!$A$367)</f>
        <v/>
      </c>
      <c r="L366">
        <f>IF([1]Accounts!$D$367="","",[1]Accounts!$B$367)</f>
        <v/>
      </c>
      <c r="M366">
        <f>IF([1]Accounts!$D$367="","",[1]Accounts!$C$367)</f>
        <v/>
      </c>
      <c r="N366">
        <f>IF([1]Accounts!$D$367="","",[1]Accounts!$D$367)</f>
        <v/>
      </c>
      <c r="P366">
        <f>IF([2]Entry!$C$369="","",[2]Entry!$C$369)</f>
        <v/>
      </c>
      <c r="Q366">
        <f>IF([2]Entry!$D$369="","",[2]Entry!$D$369)</f>
        <v/>
      </c>
      <c r="R366">
        <f>IF([2]Entry!$E$369="","",[2]Entry!$E$369)</f>
        <v/>
      </c>
      <c r="S366">
        <f>IF([2]Entry!$G$369="","",[2]Entry!$G$369)</f>
        <v/>
      </c>
      <c r="T366">
        <f>IF([2]Entry!$J$369="","",[2]Entry!$J$369)</f>
        <v/>
      </c>
      <c r="U366">
        <f>IF([2]Entry!$K$369="","",[2]Entry!$K$369)</f>
        <v/>
      </c>
      <c r="V366">
        <f>IF([2]Entry!$L$369="","",[2]Entry!$L$369)</f>
        <v/>
      </c>
      <c r="W366">
        <f>IF([2]Entry!$M$369="","",[2]Entry!$M$369)</f>
        <v/>
      </c>
      <c r="X366">
        <f>IF([2]Entry!$N$369="","",[2]Entry!$N$369)</f>
        <v/>
      </c>
      <c r="Y366">
        <f>IF([2]Entry!$R$369="","",[2]Entry!$R$369)</f>
        <v/>
      </c>
    </row>
    <row r="367">
      <c r="K367">
        <f>IF([1]Accounts!$D$368="","",[1]Accounts!$A$368)</f>
        <v/>
      </c>
      <c r="L367">
        <f>IF([1]Accounts!$D$368="","",[1]Accounts!$B$368)</f>
        <v/>
      </c>
      <c r="M367">
        <f>IF([1]Accounts!$D$368="","",[1]Accounts!$C$368)</f>
        <v/>
      </c>
      <c r="N367">
        <f>IF([1]Accounts!$D$368="","",[1]Accounts!$D$368)</f>
        <v/>
      </c>
      <c r="P367">
        <f>IF([2]Entry!$C$370="","",[2]Entry!$C$370)</f>
        <v/>
      </c>
      <c r="Q367">
        <f>IF([2]Entry!$D$370="","",[2]Entry!$D$370)</f>
        <v/>
      </c>
      <c r="R367">
        <f>IF([2]Entry!$E$370="","",[2]Entry!$E$370)</f>
        <v/>
      </c>
      <c r="S367">
        <f>IF([2]Entry!$G$370="","",[2]Entry!$G$370)</f>
        <v/>
      </c>
      <c r="T367">
        <f>IF([2]Entry!$J$370="","",[2]Entry!$J$370)</f>
        <v/>
      </c>
      <c r="U367">
        <f>IF([2]Entry!$K$370="","",[2]Entry!$K$370)</f>
        <v/>
      </c>
      <c r="V367">
        <f>IF([2]Entry!$L$370="","",[2]Entry!$L$370)</f>
        <v/>
      </c>
      <c r="W367">
        <f>IF([2]Entry!$M$370="","",[2]Entry!$M$370)</f>
        <v/>
      </c>
      <c r="X367">
        <f>IF([2]Entry!$N$370="","",[2]Entry!$N$370)</f>
        <v/>
      </c>
      <c r="Y367">
        <f>IF([2]Entry!$R$370="","",[2]Entry!$R$370)</f>
        <v/>
      </c>
    </row>
    <row r="368">
      <c r="K368">
        <f>IF([1]Accounts!$D$369="","",[1]Accounts!$A$369)</f>
        <v/>
      </c>
      <c r="L368">
        <f>IF([1]Accounts!$D$369="","",[1]Accounts!$B$369)</f>
        <v/>
      </c>
      <c r="M368">
        <f>IF([1]Accounts!$D$369="","",[1]Accounts!$C$369)</f>
        <v/>
      </c>
      <c r="N368">
        <f>IF([1]Accounts!$D$369="","",[1]Accounts!$D$369)</f>
        <v/>
      </c>
      <c r="P368">
        <f>IF([2]Entry!$C$371="","",[2]Entry!$C$371)</f>
        <v/>
      </c>
      <c r="Q368">
        <f>IF([2]Entry!$D$371="","",[2]Entry!$D$371)</f>
        <v/>
      </c>
      <c r="R368">
        <f>IF([2]Entry!$E$371="","",[2]Entry!$E$371)</f>
        <v/>
      </c>
      <c r="S368">
        <f>IF([2]Entry!$G$371="","",[2]Entry!$G$371)</f>
        <v/>
      </c>
      <c r="T368">
        <f>IF([2]Entry!$J$371="","",[2]Entry!$J$371)</f>
        <v/>
      </c>
      <c r="U368">
        <f>IF([2]Entry!$K$371="","",[2]Entry!$K$371)</f>
        <v/>
      </c>
      <c r="V368">
        <f>IF([2]Entry!$L$371="","",[2]Entry!$L$371)</f>
        <v/>
      </c>
      <c r="W368">
        <f>IF([2]Entry!$M$371="","",[2]Entry!$M$371)</f>
        <v/>
      </c>
      <c r="X368">
        <f>IF([2]Entry!$N$371="","",[2]Entry!$N$371)</f>
        <v/>
      </c>
      <c r="Y368">
        <f>IF([2]Entry!$R$371="","",[2]Entry!$R$371)</f>
        <v/>
      </c>
    </row>
    <row r="369">
      <c r="K369">
        <f>IF([1]Accounts!$D$370="","",[1]Accounts!$A$370)</f>
        <v/>
      </c>
      <c r="L369">
        <f>IF([1]Accounts!$D$370="","",[1]Accounts!$B$370)</f>
        <v/>
      </c>
      <c r="M369">
        <f>IF([1]Accounts!$D$370="","",[1]Accounts!$C$370)</f>
        <v/>
      </c>
      <c r="N369">
        <f>IF([1]Accounts!$D$370="","",[1]Accounts!$D$370)</f>
        <v/>
      </c>
      <c r="P369">
        <f>IF([2]Entry!$C$372="","",[2]Entry!$C$372)</f>
        <v/>
      </c>
      <c r="Q369">
        <f>IF([2]Entry!$D$372="","",[2]Entry!$D$372)</f>
        <v/>
      </c>
      <c r="R369">
        <f>IF([2]Entry!$E$372="","",[2]Entry!$E$372)</f>
        <v/>
      </c>
      <c r="S369">
        <f>IF([2]Entry!$G$372="","",[2]Entry!$G$372)</f>
        <v/>
      </c>
      <c r="T369">
        <f>IF([2]Entry!$J$372="","",[2]Entry!$J$372)</f>
        <v/>
      </c>
      <c r="U369">
        <f>IF([2]Entry!$K$372="","",[2]Entry!$K$372)</f>
        <v/>
      </c>
      <c r="V369">
        <f>IF([2]Entry!$L$372="","",[2]Entry!$L$372)</f>
        <v/>
      </c>
      <c r="W369">
        <f>IF([2]Entry!$M$372="","",[2]Entry!$M$372)</f>
        <v/>
      </c>
      <c r="X369">
        <f>IF([2]Entry!$N$372="","",[2]Entry!$N$372)</f>
        <v/>
      </c>
      <c r="Y369">
        <f>IF([2]Entry!$R$372="","",[2]Entry!$R$372)</f>
        <v/>
      </c>
    </row>
    <row r="370">
      <c r="K370">
        <f>IF([1]Accounts!$D$371="","",[1]Accounts!$A$371)</f>
        <v/>
      </c>
      <c r="L370">
        <f>IF([1]Accounts!$D$371="","",[1]Accounts!$B$371)</f>
        <v/>
      </c>
      <c r="M370">
        <f>IF([1]Accounts!$D$371="","",[1]Accounts!$C$371)</f>
        <v/>
      </c>
      <c r="N370">
        <f>IF([1]Accounts!$D$371="","",[1]Accounts!$D$371)</f>
        <v/>
      </c>
      <c r="P370">
        <f>IF([2]Entry!$C$373="","",[2]Entry!$C$373)</f>
        <v/>
      </c>
      <c r="Q370">
        <f>IF([2]Entry!$D$373="","",[2]Entry!$D$373)</f>
        <v/>
      </c>
      <c r="R370">
        <f>IF([2]Entry!$E$373="","",[2]Entry!$E$373)</f>
        <v/>
      </c>
      <c r="S370">
        <f>IF([2]Entry!$G$373="","",[2]Entry!$G$373)</f>
        <v/>
      </c>
      <c r="T370">
        <f>IF([2]Entry!$J$373="","",[2]Entry!$J$373)</f>
        <v/>
      </c>
      <c r="U370">
        <f>IF([2]Entry!$K$373="","",[2]Entry!$K$373)</f>
        <v/>
      </c>
      <c r="V370">
        <f>IF([2]Entry!$L$373="","",[2]Entry!$L$373)</f>
        <v/>
      </c>
      <c r="W370">
        <f>IF([2]Entry!$M$373="","",[2]Entry!$M$373)</f>
        <v/>
      </c>
      <c r="X370">
        <f>IF([2]Entry!$N$373="","",[2]Entry!$N$373)</f>
        <v/>
      </c>
      <c r="Y370">
        <f>IF([2]Entry!$R$373="","",[2]Entry!$R$373)</f>
        <v/>
      </c>
    </row>
    <row r="371">
      <c r="K371">
        <f>IF([1]Accounts!$D$372="","",[1]Accounts!$A$372)</f>
        <v/>
      </c>
      <c r="L371">
        <f>IF([1]Accounts!$D$372="","",[1]Accounts!$B$372)</f>
        <v/>
      </c>
      <c r="M371">
        <f>IF([1]Accounts!$D$372="","",[1]Accounts!$C$372)</f>
        <v/>
      </c>
      <c r="N371">
        <f>IF([1]Accounts!$D$372="","",[1]Accounts!$D$372)</f>
        <v/>
      </c>
      <c r="P371">
        <f>IF([2]Entry!$C$374="","",[2]Entry!$C$374)</f>
        <v/>
      </c>
      <c r="Q371">
        <f>IF([2]Entry!$D$374="","",[2]Entry!$D$374)</f>
        <v/>
      </c>
      <c r="R371">
        <f>IF([2]Entry!$E$374="","",[2]Entry!$E$374)</f>
        <v/>
      </c>
      <c r="S371">
        <f>IF([2]Entry!$G$374="","",[2]Entry!$G$374)</f>
        <v/>
      </c>
      <c r="T371">
        <f>IF([2]Entry!$J$374="","",[2]Entry!$J$374)</f>
        <v/>
      </c>
      <c r="U371">
        <f>IF([2]Entry!$K$374="","",[2]Entry!$K$374)</f>
        <v/>
      </c>
      <c r="V371">
        <f>IF([2]Entry!$L$374="","",[2]Entry!$L$374)</f>
        <v/>
      </c>
      <c r="W371">
        <f>IF([2]Entry!$M$374="","",[2]Entry!$M$374)</f>
        <v/>
      </c>
      <c r="X371">
        <f>IF([2]Entry!$N$374="","",[2]Entry!$N$374)</f>
        <v/>
      </c>
      <c r="Y371">
        <f>IF([2]Entry!$R$374="","",[2]Entry!$R$374)</f>
        <v/>
      </c>
    </row>
    <row r="372">
      <c r="K372">
        <f>IF([1]Accounts!$D$373="","",[1]Accounts!$A$373)</f>
        <v/>
      </c>
      <c r="L372">
        <f>IF([1]Accounts!$D$373="","",[1]Accounts!$B$373)</f>
        <v/>
      </c>
      <c r="M372">
        <f>IF([1]Accounts!$D$373="","",[1]Accounts!$C$373)</f>
        <v/>
      </c>
      <c r="N372">
        <f>IF([1]Accounts!$D$373="","",[1]Accounts!$D$373)</f>
        <v/>
      </c>
      <c r="P372">
        <f>IF([2]Entry!$C$375="","",[2]Entry!$C$375)</f>
        <v/>
      </c>
      <c r="Q372">
        <f>IF([2]Entry!$D$375="","",[2]Entry!$D$375)</f>
        <v/>
      </c>
      <c r="R372">
        <f>IF([2]Entry!$E$375="","",[2]Entry!$E$375)</f>
        <v/>
      </c>
      <c r="S372">
        <f>IF([2]Entry!$G$375="","",[2]Entry!$G$375)</f>
        <v/>
      </c>
      <c r="T372">
        <f>IF([2]Entry!$J$375="","",[2]Entry!$J$375)</f>
        <v/>
      </c>
      <c r="U372">
        <f>IF([2]Entry!$K$375="","",[2]Entry!$K$375)</f>
        <v/>
      </c>
      <c r="V372">
        <f>IF([2]Entry!$L$375="","",[2]Entry!$L$375)</f>
        <v/>
      </c>
      <c r="W372">
        <f>IF([2]Entry!$M$375="","",[2]Entry!$M$375)</f>
        <v/>
      </c>
      <c r="X372">
        <f>IF([2]Entry!$N$375="","",[2]Entry!$N$375)</f>
        <v/>
      </c>
      <c r="Y372">
        <f>IF([2]Entry!$R$375="","",[2]Entry!$R$375)</f>
        <v/>
      </c>
    </row>
    <row r="373">
      <c r="K373">
        <f>IF([1]Accounts!$D$374="","",[1]Accounts!$A$374)</f>
        <v/>
      </c>
      <c r="L373">
        <f>IF([1]Accounts!$D$374="","",[1]Accounts!$B$374)</f>
        <v/>
      </c>
      <c r="M373">
        <f>IF([1]Accounts!$D$374="","",[1]Accounts!$C$374)</f>
        <v/>
      </c>
      <c r="N373">
        <f>IF([1]Accounts!$D$374="","",[1]Accounts!$D$374)</f>
        <v/>
      </c>
      <c r="P373">
        <f>IF([2]Entry!$C$376="","",[2]Entry!$C$376)</f>
        <v/>
      </c>
      <c r="Q373">
        <f>IF([2]Entry!$D$376="","",[2]Entry!$D$376)</f>
        <v/>
      </c>
      <c r="R373">
        <f>IF([2]Entry!$E$376="","",[2]Entry!$E$376)</f>
        <v/>
      </c>
      <c r="S373">
        <f>IF([2]Entry!$G$376="","",[2]Entry!$G$376)</f>
        <v/>
      </c>
      <c r="T373">
        <f>IF([2]Entry!$J$376="","",[2]Entry!$J$376)</f>
        <v/>
      </c>
      <c r="U373">
        <f>IF([2]Entry!$K$376="","",[2]Entry!$K$376)</f>
        <v/>
      </c>
      <c r="V373">
        <f>IF([2]Entry!$L$376="","",[2]Entry!$L$376)</f>
        <v/>
      </c>
      <c r="W373">
        <f>IF([2]Entry!$M$376="","",[2]Entry!$M$376)</f>
        <v/>
      </c>
      <c r="X373">
        <f>IF([2]Entry!$N$376="","",[2]Entry!$N$376)</f>
        <v/>
      </c>
      <c r="Y373">
        <f>IF([2]Entry!$R$376="","",[2]Entry!$R$376)</f>
        <v/>
      </c>
    </row>
    <row r="374">
      <c r="K374">
        <f>IF([1]Accounts!$D$375="","",[1]Accounts!$A$375)</f>
        <v/>
      </c>
      <c r="L374">
        <f>IF([1]Accounts!$D$375="","",[1]Accounts!$B$375)</f>
        <v/>
      </c>
      <c r="M374">
        <f>IF([1]Accounts!$D$375="","",[1]Accounts!$C$375)</f>
        <v/>
      </c>
      <c r="N374">
        <f>IF([1]Accounts!$D$375="","",[1]Accounts!$D$375)</f>
        <v/>
      </c>
      <c r="P374">
        <f>IF([2]Entry!$C$377="","",[2]Entry!$C$377)</f>
        <v/>
      </c>
      <c r="Q374">
        <f>IF([2]Entry!$D$377="","",[2]Entry!$D$377)</f>
        <v/>
      </c>
      <c r="R374">
        <f>IF([2]Entry!$E$377="","",[2]Entry!$E$377)</f>
        <v/>
      </c>
      <c r="S374">
        <f>IF([2]Entry!$G$377="","",[2]Entry!$G$377)</f>
        <v/>
      </c>
      <c r="T374">
        <f>IF([2]Entry!$J$377="","",[2]Entry!$J$377)</f>
        <v/>
      </c>
      <c r="U374">
        <f>IF([2]Entry!$K$377="","",[2]Entry!$K$377)</f>
        <v/>
      </c>
      <c r="V374">
        <f>IF([2]Entry!$L$377="","",[2]Entry!$L$377)</f>
        <v/>
      </c>
      <c r="W374">
        <f>IF([2]Entry!$M$377="","",[2]Entry!$M$377)</f>
        <v/>
      </c>
      <c r="X374">
        <f>IF([2]Entry!$N$377="","",[2]Entry!$N$377)</f>
        <v/>
      </c>
      <c r="Y374">
        <f>IF([2]Entry!$R$377="","",[2]Entry!$R$377)</f>
        <v/>
      </c>
    </row>
    <row r="375">
      <c r="K375">
        <f>IF([1]Accounts!$D$376="","",[1]Accounts!$A$376)</f>
        <v/>
      </c>
      <c r="L375">
        <f>IF([1]Accounts!$D$376="","",[1]Accounts!$B$376)</f>
        <v/>
      </c>
      <c r="M375">
        <f>IF([1]Accounts!$D$376="","",[1]Accounts!$C$376)</f>
        <v/>
      </c>
      <c r="N375">
        <f>IF([1]Accounts!$D$376="","",[1]Accounts!$D$376)</f>
        <v/>
      </c>
      <c r="P375">
        <f>IF([2]Entry!$C$378="","",[2]Entry!$C$378)</f>
        <v/>
      </c>
      <c r="Q375">
        <f>IF([2]Entry!$D$378="","",[2]Entry!$D$378)</f>
        <v/>
      </c>
      <c r="R375">
        <f>IF([2]Entry!$E$378="","",[2]Entry!$E$378)</f>
        <v/>
      </c>
      <c r="S375">
        <f>IF([2]Entry!$G$378="","",[2]Entry!$G$378)</f>
        <v/>
      </c>
      <c r="T375">
        <f>IF([2]Entry!$J$378="","",[2]Entry!$J$378)</f>
        <v/>
      </c>
      <c r="U375">
        <f>IF([2]Entry!$K$378="","",[2]Entry!$K$378)</f>
        <v/>
      </c>
      <c r="V375">
        <f>IF([2]Entry!$L$378="","",[2]Entry!$L$378)</f>
        <v/>
      </c>
      <c r="W375">
        <f>IF([2]Entry!$M$378="","",[2]Entry!$M$378)</f>
        <v/>
      </c>
      <c r="X375">
        <f>IF([2]Entry!$N$378="","",[2]Entry!$N$378)</f>
        <v/>
      </c>
      <c r="Y375">
        <f>IF([2]Entry!$R$378="","",[2]Entry!$R$378)</f>
        <v/>
      </c>
    </row>
    <row r="376">
      <c r="K376">
        <f>IF([1]Accounts!$D$377="","",[1]Accounts!$A$377)</f>
        <v/>
      </c>
      <c r="L376">
        <f>IF([1]Accounts!$D$377="","",[1]Accounts!$B$377)</f>
        <v/>
      </c>
      <c r="M376">
        <f>IF([1]Accounts!$D$377="","",[1]Accounts!$C$377)</f>
        <v/>
      </c>
      <c r="N376">
        <f>IF([1]Accounts!$D$377="","",[1]Accounts!$D$377)</f>
        <v/>
      </c>
      <c r="P376">
        <f>IF([2]Entry!$C$379="","",[2]Entry!$C$379)</f>
        <v/>
      </c>
      <c r="Q376">
        <f>IF([2]Entry!$D$379="","",[2]Entry!$D$379)</f>
        <v/>
      </c>
      <c r="R376">
        <f>IF([2]Entry!$E$379="","",[2]Entry!$E$379)</f>
        <v/>
      </c>
      <c r="S376">
        <f>IF([2]Entry!$G$379="","",[2]Entry!$G$379)</f>
        <v/>
      </c>
      <c r="T376">
        <f>IF([2]Entry!$J$379="","",[2]Entry!$J$379)</f>
        <v/>
      </c>
      <c r="U376">
        <f>IF([2]Entry!$K$379="","",[2]Entry!$K$379)</f>
        <v/>
      </c>
      <c r="V376">
        <f>IF([2]Entry!$L$379="","",[2]Entry!$L$379)</f>
        <v/>
      </c>
      <c r="W376">
        <f>IF([2]Entry!$M$379="","",[2]Entry!$M$379)</f>
        <v/>
      </c>
      <c r="X376">
        <f>IF([2]Entry!$N$379="","",[2]Entry!$N$379)</f>
        <v/>
      </c>
      <c r="Y376">
        <f>IF([2]Entry!$R$379="","",[2]Entry!$R$379)</f>
        <v/>
      </c>
    </row>
    <row r="377">
      <c r="K377">
        <f>IF([1]Accounts!$D$378="","",[1]Accounts!$A$378)</f>
        <v/>
      </c>
      <c r="L377">
        <f>IF([1]Accounts!$D$378="","",[1]Accounts!$B$378)</f>
        <v/>
      </c>
      <c r="M377">
        <f>IF([1]Accounts!$D$378="","",[1]Accounts!$C$378)</f>
        <v/>
      </c>
      <c r="N377">
        <f>IF([1]Accounts!$D$378="","",[1]Accounts!$D$378)</f>
        <v/>
      </c>
      <c r="P377">
        <f>IF([2]Entry!$C$380="","",[2]Entry!$C$380)</f>
        <v/>
      </c>
      <c r="Q377">
        <f>IF([2]Entry!$D$380="","",[2]Entry!$D$380)</f>
        <v/>
      </c>
      <c r="R377">
        <f>IF([2]Entry!$E$380="","",[2]Entry!$E$380)</f>
        <v/>
      </c>
      <c r="S377">
        <f>IF([2]Entry!$G$380="","",[2]Entry!$G$380)</f>
        <v/>
      </c>
      <c r="T377">
        <f>IF([2]Entry!$J$380="","",[2]Entry!$J$380)</f>
        <v/>
      </c>
      <c r="U377">
        <f>IF([2]Entry!$K$380="","",[2]Entry!$K$380)</f>
        <v/>
      </c>
      <c r="V377">
        <f>IF([2]Entry!$L$380="","",[2]Entry!$L$380)</f>
        <v/>
      </c>
      <c r="W377">
        <f>IF([2]Entry!$M$380="","",[2]Entry!$M$380)</f>
        <v/>
      </c>
      <c r="X377">
        <f>IF([2]Entry!$N$380="","",[2]Entry!$N$380)</f>
        <v/>
      </c>
      <c r="Y377">
        <f>IF([2]Entry!$R$380="","",[2]Entry!$R$380)</f>
        <v/>
      </c>
    </row>
    <row r="378">
      <c r="K378">
        <f>IF([1]Accounts!$D$379="","",[1]Accounts!$A$379)</f>
        <v/>
      </c>
      <c r="L378">
        <f>IF([1]Accounts!$D$379="","",[1]Accounts!$B$379)</f>
        <v/>
      </c>
      <c r="M378">
        <f>IF([1]Accounts!$D$379="","",[1]Accounts!$C$379)</f>
        <v/>
      </c>
      <c r="N378">
        <f>IF([1]Accounts!$D$379="","",[1]Accounts!$D$379)</f>
        <v/>
      </c>
      <c r="P378">
        <f>IF([2]Entry!$C$381="","",[2]Entry!$C$381)</f>
        <v/>
      </c>
      <c r="Q378">
        <f>IF([2]Entry!$D$381="","",[2]Entry!$D$381)</f>
        <v/>
      </c>
      <c r="R378">
        <f>IF([2]Entry!$E$381="","",[2]Entry!$E$381)</f>
        <v/>
      </c>
      <c r="S378">
        <f>IF([2]Entry!$G$381="","",[2]Entry!$G$381)</f>
        <v/>
      </c>
      <c r="T378">
        <f>IF([2]Entry!$J$381="","",[2]Entry!$J$381)</f>
        <v/>
      </c>
      <c r="U378">
        <f>IF([2]Entry!$K$381="","",[2]Entry!$K$381)</f>
        <v/>
      </c>
      <c r="V378">
        <f>IF([2]Entry!$L$381="","",[2]Entry!$L$381)</f>
        <v/>
      </c>
      <c r="W378">
        <f>IF([2]Entry!$M$381="","",[2]Entry!$M$381)</f>
        <v/>
      </c>
      <c r="X378">
        <f>IF([2]Entry!$N$381="","",[2]Entry!$N$381)</f>
        <v/>
      </c>
      <c r="Y378">
        <f>IF([2]Entry!$R$381="","",[2]Entry!$R$381)</f>
        <v/>
      </c>
    </row>
    <row r="379">
      <c r="K379">
        <f>IF([1]Accounts!$D$380="","",[1]Accounts!$A$380)</f>
        <v/>
      </c>
      <c r="L379">
        <f>IF([1]Accounts!$D$380="","",[1]Accounts!$B$380)</f>
        <v/>
      </c>
      <c r="M379">
        <f>IF([1]Accounts!$D$380="","",[1]Accounts!$C$380)</f>
        <v/>
      </c>
      <c r="N379">
        <f>IF([1]Accounts!$D$380="","",[1]Accounts!$D$380)</f>
        <v/>
      </c>
      <c r="P379">
        <f>IF([2]Entry!$C$382="","",[2]Entry!$C$382)</f>
        <v/>
      </c>
      <c r="Q379">
        <f>IF([2]Entry!$D$382="","",[2]Entry!$D$382)</f>
        <v/>
      </c>
      <c r="R379">
        <f>IF([2]Entry!$E$382="","",[2]Entry!$E$382)</f>
        <v/>
      </c>
      <c r="S379">
        <f>IF([2]Entry!$G$382="","",[2]Entry!$G$382)</f>
        <v/>
      </c>
      <c r="T379">
        <f>IF([2]Entry!$J$382="","",[2]Entry!$J$382)</f>
        <v/>
      </c>
      <c r="U379">
        <f>IF([2]Entry!$K$382="","",[2]Entry!$K$382)</f>
        <v/>
      </c>
      <c r="V379">
        <f>IF([2]Entry!$L$382="","",[2]Entry!$L$382)</f>
        <v/>
      </c>
      <c r="W379">
        <f>IF([2]Entry!$M$382="","",[2]Entry!$M$382)</f>
        <v/>
      </c>
      <c r="X379">
        <f>IF([2]Entry!$N$382="","",[2]Entry!$N$382)</f>
        <v/>
      </c>
      <c r="Y379">
        <f>IF([2]Entry!$R$382="","",[2]Entry!$R$382)</f>
        <v/>
      </c>
    </row>
    <row r="380">
      <c r="K380">
        <f>IF([1]Accounts!$D$381="","",[1]Accounts!$A$381)</f>
        <v/>
      </c>
      <c r="L380">
        <f>IF([1]Accounts!$D$381="","",[1]Accounts!$B$381)</f>
        <v/>
      </c>
      <c r="M380">
        <f>IF([1]Accounts!$D$381="","",[1]Accounts!$C$381)</f>
        <v/>
      </c>
      <c r="N380">
        <f>IF([1]Accounts!$D$381="","",[1]Accounts!$D$381)</f>
        <v/>
      </c>
      <c r="P380">
        <f>IF([2]Entry!$C$383="","",[2]Entry!$C$383)</f>
        <v/>
      </c>
      <c r="Q380">
        <f>IF([2]Entry!$D$383="","",[2]Entry!$D$383)</f>
        <v/>
      </c>
      <c r="R380">
        <f>IF([2]Entry!$E$383="","",[2]Entry!$E$383)</f>
        <v/>
      </c>
      <c r="S380">
        <f>IF([2]Entry!$G$383="","",[2]Entry!$G$383)</f>
        <v/>
      </c>
      <c r="T380">
        <f>IF([2]Entry!$J$383="","",[2]Entry!$J$383)</f>
        <v/>
      </c>
      <c r="U380">
        <f>IF([2]Entry!$K$383="","",[2]Entry!$K$383)</f>
        <v/>
      </c>
      <c r="V380">
        <f>IF([2]Entry!$L$383="","",[2]Entry!$L$383)</f>
        <v/>
      </c>
      <c r="W380">
        <f>IF([2]Entry!$M$383="","",[2]Entry!$M$383)</f>
        <v/>
      </c>
      <c r="X380">
        <f>IF([2]Entry!$N$383="","",[2]Entry!$N$383)</f>
        <v/>
      </c>
      <c r="Y380">
        <f>IF([2]Entry!$R$383="","",[2]Entry!$R$383)</f>
        <v/>
      </c>
    </row>
    <row r="381">
      <c r="K381">
        <f>IF([1]Accounts!$D$382="","",[1]Accounts!$A$382)</f>
        <v/>
      </c>
      <c r="L381">
        <f>IF([1]Accounts!$D$382="","",[1]Accounts!$B$382)</f>
        <v/>
      </c>
      <c r="M381">
        <f>IF([1]Accounts!$D$382="","",[1]Accounts!$C$382)</f>
        <v/>
      </c>
      <c r="N381">
        <f>IF([1]Accounts!$D$382="","",[1]Accounts!$D$382)</f>
        <v/>
      </c>
      <c r="P381">
        <f>IF([2]Entry!$C$384="","",[2]Entry!$C$384)</f>
        <v/>
      </c>
      <c r="Q381">
        <f>IF([2]Entry!$D$384="","",[2]Entry!$D$384)</f>
        <v/>
      </c>
      <c r="R381">
        <f>IF([2]Entry!$E$384="","",[2]Entry!$E$384)</f>
        <v/>
      </c>
      <c r="S381">
        <f>IF([2]Entry!$G$384="","",[2]Entry!$G$384)</f>
        <v/>
      </c>
      <c r="T381">
        <f>IF([2]Entry!$J$384="","",[2]Entry!$J$384)</f>
        <v/>
      </c>
      <c r="U381">
        <f>IF([2]Entry!$K$384="","",[2]Entry!$K$384)</f>
        <v/>
      </c>
      <c r="V381">
        <f>IF([2]Entry!$L$384="","",[2]Entry!$L$384)</f>
        <v/>
      </c>
      <c r="W381">
        <f>IF([2]Entry!$M$384="","",[2]Entry!$M$384)</f>
        <v/>
      </c>
      <c r="X381">
        <f>IF([2]Entry!$N$384="","",[2]Entry!$N$384)</f>
        <v/>
      </c>
      <c r="Y381">
        <f>IF([2]Entry!$R$384="","",[2]Entry!$R$384)</f>
        <v/>
      </c>
    </row>
    <row r="382">
      <c r="K382">
        <f>IF([1]Accounts!$D$383="","",[1]Accounts!$A$383)</f>
        <v/>
      </c>
      <c r="L382">
        <f>IF([1]Accounts!$D$383="","",[1]Accounts!$B$383)</f>
        <v/>
      </c>
      <c r="M382">
        <f>IF([1]Accounts!$D$383="","",[1]Accounts!$C$383)</f>
        <v/>
      </c>
      <c r="N382">
        <f>IF([1]Accounts!$D$383="","",[1]Accounts!$D$383)</f>
        <v/>
      </c>
      <c r="P382">
        <f>IF([2]Entry!$C$385="","",[2]Entry!$C$385)</f>
        <v/>
      </c>
      <c r="Q382">
        <f>IF([2]Entry!$D$385="","",[2]Entry!$D$385)</f>
        <v/>
      </c>
      <c r="R382">
        <f>IF([2]Entry!$E$385="","",[2]Entry!$E$385)</f>
        <v/>
      </c>
      <c r="S382">
        <f>IF([2]Entry!$G$385="","",[2]Entry!$G$385)</f>
        <v/>
      </c>
      <c r="T382">
        <f>IF([2]Entry!$J$385="","",[2]Entry!$J$385)</f>
        <v/>
      </c>
      <c r="U382">
        <f>IF([2]Entry!$K$385="","",[2]Entry!$K$385)</f>
        <v/>
      </c>
      <c r="V382">
        <f>IF([2]Entry!$L$385="","",[2]Entry!$L$385)</f>
        <v/>
      </c>
      <c r="W382">
        <f>IF([2]Entry!$M$385="","",[2]Entry!$M$385)</f>
        <v/>
      </c>
      <c r="X382">
        <f>IF([2]Entry!$N$385="","",[2]Entry!$N$385)</f>
        <v/>
      </c>
      <c r="Y382">
        <f>IF([2]Entry!$R$385="","",[2]Entry!$R$385)</f>
        <v/>
      </c>
    </row>
    <row r="383">
      <c r="K383">
        <f>IF([1]Accounts!$D$384="","",[1]Accounts!$A$384)</f>
        <v/>
      </c>
      <c r="L383">
        <f>IF([1]Accounts!$D$384="","",[1]Accounts!$B$384)</f>
        <v/>
      </c>
      <c r="M383">
        <f>IF([1]Accounts!$D$384="","",[1]Accounts!$C$384)</f>
        <v/>
      </c>
      <c r="N383">
        <f>IF([1]Accounts!$D$384="","",[1]Accounts!$D$384)</f>
        <v/>
      </c>
      <c r="P383">
        <f>IF([2]Entry!$C$386="","",[2]Entry!$C$386)</f>
        <v/>
      </c>
      <c r="Q383">
        <f>IF([2]Entry!$D$386="","",[2]Entry!$D$386)</f>
        <v/>
      </c>
      <c r="R383">
        <f>IF([2]Entry!$E$386="","",[2]Entry!$E$386)</f>
        <v/>
      </c>
      <c r="S383">
        <f>IF([2]Entry!$G$386="","",[2]Entry!$G$386)</f>
        <v/>
      </c>
      <c r="T383">
        <f>IF([2]Entry!$J$386="","",[2]Entry!$J$386)</f>
        <v/>
      </c>
      <c r="U383">
        <f>IF([2]Entry!$K$386="","",[2]Entry!$K$386)</f>
        <v/>
      </c>
      <c r="V383">
        <f>IF([2]Entry!$L$386="","",[2]Entry!$L$386)</f>
        <v/>
      </c>
      <c r="W383">
        <f>IF([2]Entry!$M$386="","",[2]Entry!$M$386)</f>
        <v/>
      </c>
      <c r="X383">
        <f>IF([2]Entry!$N$386="","",[2]Entry!$N$386)</f>
        <v/>
      </c>
      <c r="Y383">
        <f>IF([2]Entry!$R$386="","",[2]Entry!$R$386)</f>
        <v/>
      </c>
    </row>
    <row r="384">
      <c r="K384">
        <f>IF([1]Accounts!$D$385="","",[1]Accounts!$A$385)</f>
        <v/>
      </c>
      <c r="L384">
        <f>IF([1]Accounts!$D$385="","",[1]Accounts!$B$385)</f>
        <v/>
      </c>
      <c r="M384">
        <f>IF([1]Accounts!$D$385="","",[1]Accounts!$C$385)</f>
        <v/>
      </c>
      <c r="N384">
        <f>IF([1]Accounts!$D$385="","",[1]Accounts!$D$385)</f>
        <v/>
      </c>
      <c r="P384">
        <f>IF([2]Entry!$C$387="","",[2]Entry!$C$387)</f>
        <v/>
      </c>
      <c r="Q384">
        <f>IF([2]Entry!$D$387="","",[2]Entry!$D$387)</f>
        <v/>
      </c>
      <c r="R384">
        <f>IF([2]Entry!$E$387="","",[2]Entry!$E$387)</f>
        <v/>
      </c>
      <c r="S384">
        <f>IF([2]Entry!$G$387="","",[2]Entry!$G$387)</f>
        <v/>
      </c>
      <c r="T384">
        <f>IF([2]Entry!$J$387="","",[2]Entry!$J$387)</f>
        <v/>
      </c>
      <c r="U384">
        <f>IF([2]Entry!$K$387="","",[2]Entry!$K$387)</f>
        <v/>
      </c>
      <c r="V384">
        <f>IF([2]Entry!$L$387="","",[2]Entry!$L$387)</f>
        <v/>
      </c>
      <c r="W384">
        <f>IF([2]Entry!$M$387="","",[2]Entry!$M$387)</f>
        <v/>
      </c>
      <c r="X384">
        <f>IF([2]Entry!$N$387="","",[2]Entry!$N$387)</f>
        <v/>
      </c>
      <c r="Y384">
        <f>IF([2]Entry!$R$387="","",[2]Entry!$R$387)</f>
        <v/>
      </c>
    </row>
    <row r="385">
      <c r="K385">
        <f>IF([1]Accounts!$D$386="","",[1]Accounts!$A$386)</f>
        <v/>
      </c>
      <c r="L385">
        <f>IF([1]Accounts!$D$386="","",[1]Accounts!$B$386)</f>
        <v/>
      </c>
      <c r="M385">
        <f>IF([1]Accounts!$D$386="","",[1]Accounts!$C$386)</f>
        <v/>
      </c>
      <c r="N385">
        <f>IF([1]Accounts!$D$386="","",[1]Accounts!$D$386)</f>
        <v/>
      </c>
      <c r="P385">
        <f>IF([2]Entry!$C$388="","",[2]Entry!$C$388)</f>
        <v/>
      </c>
      <c r="Q385">
        <f>IF([2]Entry!$D$388="","",[2]Entry!$D$388)</f>
        <v/>
      </c>
      <c r="R385">
        <f>IF([2]Entry!$E$388="","",[2]Entry!$E$388)</f>
        <v/>
      </c>
      <c r="S385">
        <f>IF([2]Entry!$G$388="","",[2]Entry!$G$388)</f>
        <v/>
      </c>
      <c r="T385">
        <f>IF([2]Entry!$J$388="","",[2]Entry!$J$388)</f>
        <v/>
      </c>
      <c r="U385">
        <f>IF([2]Entry!$K$388="","",[2]Entry!$K$388)</f>
        <v/>
      </c>
      <c r="V385">
        <f>IF([2]Entry!$L$388="","",[2]Entry!$L$388)</f>
        <v/>
      </c>
      <c r="W385">
        <f>IF([2]Entry!$M$388="","",[2]Entry!$M$388)</f>
        <v/>
      </c>
      <c r="X385">
        <f>IF([2]Entry!$N$388="","",[2]Entry!$N$388)</f>
        <v/>
      </c>
      <c r="Y385">
        <f>IF([2]Entry!$R$388="","",[2]Entry!$R$388)</f>
        <v/>
      </c>
    </row>
    <row r="386">
      <c r="K386">
        <f>IF([1]Accounts!$D$387="","",[1]Accounts!$A$387)</f>
        <v/>
      </c>
      <c r="L386">
        <f>IF([1]Accounts!$D$387="","",[1]Accounts!$B$387)</f>
        <v/>
      </c>
      <c r="M386">
        <f>IF([1]Accounts!$D$387="","",[1]Accounts!$C$387)</f>
        <v/>
      </c>
      <c r="N386">
        <f>IF([1]Accounts!$D$387="","",[1]Accounts!$D$387)</f>
        <v/>
      </c>
      <c r="P386">
        <f>IF([2]Entry!$C$389="","",[2]Entry!$C$389)</f>
        <v/>
      </c>
      <c r="Q386">
        <f>IF([2]Entry!$D$389="","",[2]Entry!$D$389)</f>
        <v/>
      </c>
      <c r="R386">
        <f>IF([2]Entry!$E$389="","",[2]Entry!$E$389)</f>
        <v/>
      </c>
      <c r="S386">
        <f>IF([2]Entry!$G$389="","",[2]Entry!$G$389)</f>
        <v/>
      </c>
      <c r="T386">
        <f>IF([2]Entry!$J$389="","",[2]Entry!$J$389)</f>
        <v/>
      </c>
      <c r="U386">
        <f>IF([2]Entry!$K$389="","",[2]Entry!$K$389)</f>
        <v/>
      </c>
      <c r="V386">
        <f>IF([2]Entry!$L$389="","",[2]Entry!$L$389)</f>
        <v/>
      </c>
      <c r="W386">
        <f>IF([2]Entry!$M$389="","",[2]Entry!$M$389)</f>
        <v/>
      </c>
      <c r="X386">
        <f>IF([2]Entry!$N$389="","",[2]Entry!$N$389)</f>
        <v/>
      </c>
      <c r="Y386">
        <f>IF([2]Entry!$R$389="","",[2]Entry!$R$389)</f>
        <v/>
      </c>
    </row>
    <row r="387">
      <c r="K387">
        <f>IF([1]Accounts!$D$388="","",[1]Accounts!$A$388)</f>
        <v/>
      </c>
      <c r="L387">
        <f>IF([1]Accounts!$D$388="","",[1]Accounts!$B$388)</f>
        <v/>
      </c>
      <c r="M387">
        <f>IF([1]Accounts!$D$388="","",[1]Accounts!$C$388)</f>
        <v/>
      </c>
      <c r="N387">
        <f>IF([1]Accounts!$D$388="","",[1]Accounts!$D$388)</f>
        <v/>
      </c>
      <c r="P387">
        <f>IF([2]Entry!$C$390="","",[2]Entry!$C$390)</f>
        <v/>
      </c>
      <c r="Q387">
        <f>IF([2]Entry!$D$390="","",[2]Entry!$D$390)</f>
        <v/>
      </c>
      <c r="R387">
        <f>IF([2]Entry!$E$390="","",[2]Entry!$E$390)</f>
        <v/>
      </c>
      <c r="S387">
        <f>IF([2]Entry!$G$390="","",[2]Entry!$G$390)</f>
        <v/>
      </c>
      <c r="T387">
        <f>IF([2]Entry!$J$390="","",[2]Entry!$J$390)</f>
        <v/>
      </c>
      <c r="U387">
        <f>IF([2]Entry!$K$390="","",[2]Entry!$K$390)</f>
        <v/>
      </c>
      <c r="V387">
        <f>IF([2]Entry!$L$390="","",[2]Entry!$L$390)</f>
        <v/>
      </c>
      <c r="W387">
        <f>IF([2]Entry!$M$390="","",[2]Entry!$M$390)</f>
        <v/>
      </c>
      <c r="X387">
        <f>IF([2]Entry!$N$390="","",[2]Entry!$N$390)</f>
        <v/>
      </c>
      <c r="Y387">
        <f>IF([2]Entry!$R$390="","",[2]Entry!$R$390)</f>
        <v/>
      </c>
    </row>
    <row r="388">
      <c r="K388">
        <f>IF([1]Accounts!$D$389="","",[1]Accounts!$A$389)</f>
        <v/>
      </c>
      <c r="L388">
        <f>IF([1]Accounts!$D$389="","",[1]Accounts!$B$389)</f>
        <v/>
      </c>
      <c r="M388">
        <f>IF([1]Accounts!$D$389="","",[1]Accounts!$C$389)</f>
        <v/>
      </c>
      <c r="N388">
        <f>IF([1]Accounts!$D$389="","",[1]Accounts!$D$389)</f>
        <v/>
      </c>
      <c r="P388">
        <f>IF([2]Entry!$C$391="","",[2]Entry!$C$391)</f>
        <v/>
      </c>
      <c r="Q388">
        <f>IF([2]Entry!$D$391="","",[2]Entry!$D$391)</f>
        <v/>
      </c>
      <c r="R388">
        <f>IF([2]Entry!$E$391="","",[2]Entry!$E$391)</f>
        <v/>
      </c>
      <c r="S388">
        <f>IF([2]Entry!$G$391="","",[2]Entry!$G$391)</f>
        <v/>
      </c>
      <c r="T388">
        <f>IF([2]Entry!$J$391="","",[2]Entry!$J$391)</f>
        <v/>
      </c>
      <c r="U388">
        <f>IF([2]Entry!$K$391="","",[2]Entry!$K$391)</f>
        <v/>
      </c>
      <c r="V388">
        <f>IF([2]Entry!$L$391="","",[2]Entry!$L$391)</f>
        <v/>
      </c>
      <c r="W388">
        <f>IF([2]Entry!$M$391="","",[2]Entry!$M$391)</f>
        <v/>
      </c>
      <c r="X388">
        <f>IF([2]Entry!$N$391="","",[2]Entry!$N$391)</f>
        <v/>
      </c>
      <c r="Y388">
        <f>IF([2]Entry!$R$391="","",[2]Entry!$R$391)</f>
        <v/>
      </c>
    </row>
    <row r="389">
      <c r="K389">
        <f>IF([1]Accounts!$D$390="","",[1]Accounts!$A$390)</f>
        <v/>
      </c>
      <c r="L389">
        <f>IF([1]Accounts!$D$390="","",[1]Accounts!$B$390)</f>
        <v/>
      </c>
      <c r="M389">
        <f>IF([1]Accounts!$D$390="","",[1]Accounts!$C$390)</f>
        <v/>
      </c>
      <c r="N389">
        <f>IF([1]Accounts!$D$390="","",[1]Accounts!$D$390)</f>
        <v/>
      </c>
      <c r="P389">
        <f>IF([2]Entry!$C$392="","",[2]Entry!$C$392)</f>
        <v/>
      </c>
      <c r="Q389">
        <f>IF([2]Entry!$D$392="","",[2]Entry!$D$392)</f>
        <v/>
      </c>
      <c r="R389">
        <f>IF([2]Entry!$E$392="","",[2]Entry!$E$392)</f>
        <v/>
      </c>
      <c r="S389">
        <f>IF([2]Entry!$G$392="","",[2]Entry!$G$392)</f>
        <v/>
      </c>
      <c r="T389">
        <f>IF([2]Entry!$J$392="","",[2]Entry!$J$392)</f>
        <v/>
      </c>
      <c r="U389">
        <f>IF([2]Entry!$K$392="","",[2]Entry!$K$392)</f>
        <v/>
      </c>
      <c r="V389">
        <f>IF([2]Entry!$L$392="","",[2]Entry!$L$392)</f>
        <v/>
      </c>
      <c r="W389">
        <f>IF([2]Entry!$M$392="","",[2]Entry!$M$392)</f>
        <v/>
      </c>
      <c r="X389">
        <f>IF([2]Entry!$N$392="","",[2]Entry!$N$392)</f>
        <v/>
      </c>
      <c r="Y389">
        <f>IF([2]Entry!$R$392="","",[2]Entry!$R$392)</f>
        <v/>
      </c>
    </row>
    <row r="390">
      <c r="K390">
        <f>IF([1]Accounts!$D$391="","",[1]Accounts!$A$391)</f>
        <v/>
      </c>
      <c r="L390">
        <f>IF([1]Accounts!$D$391="","",[1]Accounts!$B$391)</f>
        <v/>
      </c>
      <c r="M390">
        <f>IF([1]Accounts!$D$391="","",[1]Accounts!$C$391)</f>
        <v/>
      </c>
      <c r="N390">
        <f>IF([1]Accounts!$D$391="","",[1]Accounts!$D$391)</f>
        <v/>
      </c>
      <c r="P390">
        <f>IF([2]Entry!$C$393="","",[2]Entry!$C$393)</f>
        <v/>
      </c>
      <c r="Q390">
        <f>IF([2]Entry!$D$393="","",[2]Entry!$D$393)</f>
        <v/>
      </c>
      <c r="R390">
        <f>IF([2]Entry!$E$393="","",[2]Entry!$E$393)</f>
        <v/>
      </c>
      <c r="S390">
        <f>IF([2]Entry!$G$393="","",[2]Entry!$G$393)</f>
        <v/>
      </c>
      <c r="T390">
        <f>IF([2]Entry!$J$393="","",[2]Entry!$J$393)</f>
        <v/>
      </c>
      <c r="U390">
        <f>IF([2]Entry!$K$393="","",[2]Entry!$K$393)</f>
        <v/>
      </c>
      <c r="V390">
        <f>IF([2]Entry!$L$393="","",[2]Entry!$L$393)</f>
        <v/>
      </c>
      <c r="W390">
        <f>IF([2]Entry!$M$393="","",[2]Entry!$M$393)</f>
        <v/>
      </c>
      <c r="X390">
        <f>IF([2]Entry!$N$393="","",[2]Entry!$N$393)</f>
        <v/>
      </c>
      <c r="Y390">
        <f>IF([2]Entry!$R$393="","",[2]Entry!$R$393)</f>
        <v/>
      </c>
    </row>
    <row r="391">
      <c r="K391">
        <f>IF([1]Accounts!$D$392="","",[1]Accounts!$A$392)</f>
        <v/>
      </c>
      <c r="L391">
        <f>IF([1]Accounts!$D$392="","",[1]Accounts!$B$392)</f>
        <v/>
      </c>
      <c r="M391">
        <f>IF([1]Accounts!$D$392="","",[1]Accounts!$C$392)</f>
        <v/>
      </c>
      <c r="N391">
        <f>IF([1]Accounts!$D$392="","",[1]Accounts!$D$392)</f>
        <v/>
      </c>
      <c r="P391">
        <f>IF([2]Entry!$C$394="","",[2]Entry!$C$394)</f>
        <v/>
      </c>
      <c r="Q391">
        <f>IF([2]Entry!$D$394="","",[2]Entry!$D$394)</f>
        <v/>
      </c>
      <c r="R391">
        <f>IF([2]Entry!$E$394="","",[2]Entry!$E$394)</f>
        <v/>
      </c>
      <c r="S391">
        <f>IF([2]Entry!$G$394="","",[2]Entry!$G$394)</f>
        <v/>
      </c>
      <c r="T391">
        <f>IF([2]Entry!$J$394="","",[2]Entry!$J$394)</f>
        <v/>
      </c>
      <c r="U391">
        <f>IF([2]Entry!$K$394="","",[2]Entry!$K$394)</f>
        <v/>
      </c>
      <c r="V391">
        <f>IF([2]Entry!$L$394="","",[2]Entry!$L$394)</f>
        <v/>
      </c>
      <c r="W391">
        <f>IF([2]Entry!$M$394="","",[2]Entry!$M$394)</f>
        <v/>
      </c>
      <c r="X391">
        <f>IF([2]Entry!$N$394="","",[2]Entry!$N$394)</f>
        <v/>
      </c>
      <c r="Y391">
        <f>IF([2]Entry!$R$394="","",[2]Entry!$R$394)</f>
        <v/>
      </c>
    </row>
    <row r="392">
      <c r="K392">
        <f>IF([1]Accounts!$D$393="","",[1]Accounts!$A$393)</f>
        <v/>
      </c>
      <c r="L392">
        <f>IF([1]Accounts!$D$393="","",[1]Accounts!$B$393)</f>
        <v/>
      </c>
      <c r="M392">
        <f>IF([1]Accounts!$D$393="","",[1]Accounts!$C$393)</f>
        <v/>
      </c>
      <c r="N392">
        <f>IF([1]Accounts!$D$393="","",[1]Accounts!$D$393)</f>
        <v/>
      </c>
      <c r="P392">
        <f>IF([2]Entry!$C$395="","",[2]Entry!$C$395)</f>
        <v/>
      </c>
      <c r="Q392">
        <f>IF([2]Entry!$D$395="","",[2]Entry!$D$395)</f>
        <v/>
      </c>
      <c r="R392">
        <f>IF([2]Entry!$E$395="","",[2]Entry!$E$395)</f>
        <v/>
      </c>
      <c r="S392">
        <f>IF([2]Entry!$G$395="","",[2]Entry!$G$395)</f>
        <v/>
      </c>
      <c r="T392">
        <f>IF([2]Entry!$J$395="","",[2]Entry!$J$395)</f>
        <v/>
      </c>
      <c r="U392">
        <f>IF([2]Entry!$K$395="","",[2]Entry!$K$395)</f>
        <v/>
      </c>
      <c r="V392">
        <f>IF([2]Entry!$L$395="","",[2]Entry!$L$395)</f>
        <v/>
      </c>
      <c r="W392">
        <f>IF([2]Entry!$M$395="","",[2]Entry!$M$395)</f>
        <v/>
      </c>
      <c r="X392">
        <f>IF([2]Entry!$N$395="","",[2]Entry!$N$395)</f>
        <v/>
      </c>
      <c r="Y392">
        <f>IF([2]Entry!$R$395="","",[2]Entry!$R$395)</f>
        <v/>
      </c>
    </row>
    <row r="393">
      <c r="K393">
        <f>IF([1]Accounts!$D$394="","",[1]Accounts!$A$394)</f>
        <v/>
      </c>
      <c r="L393">
        <f>IF([1]Accounts!$D$394="","",[1]Accounts!$B$394)</f>
        <v/>
      </c>
      <c r="M393">
        <f>IF([1]Accounts!$D$394="","",[1]Accounts!$C$394)</f>
        <v/>
      </c>
      <c r="N393">
        <f>IF([1]Accounts!$D$394="","",[1]Accounts!$D$394)</f>
        <v/>
      </c>
      <c r="P393">
        <f>IF([2]Entry!$C$396="","",[2]Entry!$C$396)</f>
        <v/>
      </c>
      <c r="Q393">
        <f>IF([2]Entry!$D$396="","",[2]Entry!$D$396)</f>
        <v/>
      </c>
      <c r="R393">
        <f>IF([2]Entry!$E$396="","",[2]Entry!$E$396)</f>
        <v/>
      </c>
      <c r="S393">
        <f>IF([2]Entry!$G$396="","",[2]Entry!$G$396)</f>
        <v/>
      </c>
      <c r="T393">
        <f>IF([2]Entry!$J$396="","",[2]Entry!$J$396)</f>
        <v/>
      </c>
      <c r="U393">
        <f>IF([2]Entry!$K$396="","",[2]Entry!$K$396)</f>
        <v/>
      </c>
      <c r="V393">
        <f>IF([2]Entry!$L$396="","",[2]Entry!$L$396)</f>
        <v/>
      </c>
      <c r="W393">
        <f>IF([2]Entry!$M$396="","",[2]Entry!$M$396)</f>
        <v/>
      </c>
      <c r="X393">
        <f>IF([2]Entry!$N$396="","",[2]Entry!$N$396)</f>
        <v/>
      </c>
      <c r="Y393">
        <f>IF([2]Entry!$R$396="","",[2]Entry!$R$396)</f>
        <v/>
      </c>
    </row>
    <row r="394">
      <c r="K394">
        <f>IF([1]Accounts!$D$395="","",[1]Accounts!$A$395)</f>
        <v/>
      </c>
      <c r="L394">
        <f>IF([1]Accounts!$D$395="","",[1]Accounts!$B$395)</f>
        <v/>
      </c>
      <c r="M394">
        <f>IF([1]Accounts!$D$395="","",[1]Accounts!$C$395)</f>
        <v/>
      </c>
      <c r="N394">
        <f>IF([1]Accounts!$D$395="","",[1]Accounts!$D$395)</f>
        <v/>
      </c>
      <c r="P394">
        <f>IF([2]Entry!$C$397="","",[2]Entry!$C$397)</f>
        <v/>
      </c>
      <c r="Q394">
        <f>IF([2]Entry!$D$397="","",[2]Entry!$D$397)</f>
        <v/>
      </c>
      <c r="R394">
        <f>IF([2]Entry!$E$397="","",[2]Entry!$E$397)</f>
        <v/>
      </c>
      <c r="S394">
        <f>IF([2]Entry!$G$397="","",[2]Entry!$G$397)</f>
        <v/>
      </c>
      <c r="T394">
        <f>IF([2]Entry!$J$397="","",[2]Entry!$J$397)</f>
        <v/>
      </c>
      <c r="U394">
        <f>IF([2]Entry!$K$397="","",[2]Entry!$K$397)</f>
        <v/>
      </c>
      <c r="V394">
        <f>IF([2]Entry!$L$397="","",[2]Entry!$L$397)</f>
        <v/>
      </c>
      <c r="W394">
        <f>IF([2]Entry!$M$397="","",[2]Entry!$M$397)</f>
        <v/>
      </c>
      <c r="X394">
        <f>IF([2]Entry!$N$397="","",[2]Entry!$N$397)</f>
        <v/>
      </c>
      <c r="Y394">
        <f>IF([2]Entry!$R$397="","",[2]Entry!$R$397)</f>
        <v/>
      </c>
    </row>
    <row r="395">
      <c r="K395">
        <f>IF([1]Accounts!$D$396="","",[1]Accounts!$A$396)</f>
        <v/>
      </c>
      <c r="L395">
        <f>IF([1]Accounts!$D$396="","",[1]Accounts!$B$396)</f>
        <v/>
      </c>
      <c r="M395">
        <f>IF([1]Accounts!$D$396="","",[1]Accounts!$C$396)</f>
        <v/>
      </c>
      <c r="N395">
        <f>IF([1]Accounts!$D$396="","",[1]Accounts!$D$396)</f>
        <v/>
      </c>
      <c r="P395">
        <f>IF([2]Entry!$C$398="","",[2]Entry!$C$398)</f>
        <v/>
      </c>
      <c r="Q395">
        <f>IF([2]Entry!$D$398="","",[2]Entry!$D$398)</f>
        <v/>
      </c>
      <c r="R395">
        <f>IF([2]Entry!$E$398="","",[2]Entry!$E$398)</f>
        <v/>
      </c>
      <c r="S395">
        <f>IF([2]Entry!$G$398="","",[2]Entry!$G$398)</f>
        <v/>
      </c>
      <c r="T395">
        <f>IF([2]Entry!$J$398="","",[2]Entry!$J$398)</f>
        <v/>
      </c>
      <c r="U395">
        <f>IF([2]Entry!$K$398="","",[2]Entry!$K$398)</f>
        <v/>
      </c>
      <c r="V395">
        <f>IF([2]Entry!$L$398="","",[2]Entry!$L$398)</f>
        <v/>
      </c>
      <c r="W395">
        <f>IF([2]Entry!$M$398="","",[2]Entry!$M$398)</f>
        <v/>
      </c>
      <c r="X395">
        <f>IF([2]Entry!$N$398="","",[2]Entry!$N$398)</f>
        <v/>
      </c>
      <c r="Y395">
        <f>IF([2]Entry!$R$398="","",[2]Entry!$R$398)</f>
        <v/>
      </c>
    </row>
    <row r="396">
      <c r="K396">
        <f>IF([1]Accounts!$D$397="","",[1]Accounts!$A$397)</f>
        <v/>
      </c>
      <c r="L396">
        <f>IF([1]Accounts!$D$397="","",[1]Accounts!$B$397)</f>
        <v/>
      </c>
      <c r="M396">
        <f>IF([1]Accounts!$D$397="","",[1]Accounts!$C$397)</f>
        <v/>
      </c>
      <c r="N396">
        <f>IF([1]Accounts!$D$397="","",[1]Accounts!$D$397)</f>
        <v/>
      </c>
      <c r="P396">
        <f>IF([2]Entry!$C$399="","",[2]Entry!$C$399)</f>
        <v/>
      </c>
      <c r="Q396">
        <f>IF([2]Entry!$D$399="","",[2]Entry!$D$399)</f>
        <v/>
      </c>
      <c r="R396">
        <f>IF([2]Entry!$E$399="","",[2]Entry!$E$399)</f>
        <v/>
      </c>
      <c r="S396">
        <f>IF([2]Entry!$G$399="","",[2]Entry!$G$399)</f>
        <v/>
      </c>
      <c r="T396">
        <f>IF([2]Entry!$J$399="","",[2]Entry!$J$399)</f>
        <v/>
      </c>
      <c r="U396">
        <f>IF([2]Entry!$K$399="","",[2]Entry!$K$399)</f>
        <v/>
      </c>
      <c r="V396">
        <f>IF([2]Entry!$L$399="","",[2]Entry!$L$399)</f>
        <v/>
      </c>
      <c r="W396">
        <f>IF([2]Entry!$M$399="","",[2]Entry!$M$399)</f>
        <v/>
      </c>
      <c r="X396">
        <f>IF([2]Entry!$N$399="","",[2]Entry!$N$399)</f>
        <v/>
      </c>
      <c r="Y396">
        <f>IF([2]Entry!$R$399="","",[2]Entry!$R$399)</f>
        <v/>
      </c>
    </row>
    <row r="397">
      <c r="K397">
        <f>IF([1]Accounts!$D$398="","",[1]Accounts!$A$398)</f>
        <v/>
      </c>
      <c r="L397">
        <f>IF([1]Accounts!$D$398="","",[1]Accounts!$B$398)</f>
        <v/>
      </c>
      <c r="M397">
        <f>IF([1]Accounts!$D$398="","",[1]Accounts!$C$398)</f>
        <v/>
      </c>
      <c r="N397">
        <f>IF([1]Accounts!$D$398="","",[1]Accounts!$D$398)</f>
        <v/>
      </c>
      <c r="P397">
        <f>IF([2]Entry!$C$400="","",[2]Entry!$C$400)</f>
        <v/>
      </c>
      <c r="Q397">
        <f>IF([2]Entry!$D$400="","",[2]Entry!$D$400)</f>
        <v/>
      </c>
      <c r="R397">
        <f>IF([2]Entry!$E$400="","",[2]Entry!$E$400)</f>
        <v/>
      </c>
      <c r="S397">
        <f>IF([2]Entry!$G$400="","",[2]Entry!$G$400)</f>
        <v/>
      </c>
      <c r="T397">
        <f>IF([2]Entry!$J$400="","",[2]Entry!$J$400)</f>
        <v/>
      </c>
      <c r="U397">
        <f>IF([2]Entry!$K$400="","",[2]Entry!$K$400)</f>
        <v/>
      </c>
      <c r="V397">
        <f>IF([2]Entry!$L$400="","",[2]Entry!$L$400)</f>
        <v/>
      </c>
      <c r="W397">
        <f>IF([2]Entry!$M$400="","",[2]Entry!$M$400)</f>
        <v/>
      </c>
      <c r="X397">
        <f>IF([2]Entry!$N$400="","",[2]Entry!$N$400)</f>
        <v/>
      </c>
      <c r="Y397">
        <f>IF([2]Entry!$R$400="","",[2]Entry!$R$400)</f>
        <v/>
      </c>
    </row>
    <row r="398">
      <c r="K398">
        <f>IF([1]Accounts!$D$399="","",[1]Accounts!$A$399)</f>
        <v/>
      </c>
      <c r="L398">
        <f>IF([1]Accounts!$D$399="","",[1]Accounts!$B$399)</f>
        <v/>
      </c>
      <c r="M398">
        <f>IF([1]Accounts!$D$399="","",[1]Accounts!$C$399)</f>
        <v/>
      </c>
      <c r="N398">
        <f>IF([1]Accounts!$D$399="","",[1]Accounts!$D$399)</f>
        <v/>
      </c>
      <c r="P398">
        <f>IF([2]Entry!$C$401="","",[2]Entry!$C$401)</f>
        <v/>
      </c>
      <c r="Q398">
        <f>IF([2]Entry!$D$401="","",[2]Entry!$D$401)</f>
        <v/>
      </c>
      <c r="R398">
        <f>IF([2]Entry!$E$401="","",[2]Entry!$E$401)</f>
        <v/>
      </c>
      <c r="S398">
        <f>IF([2]Entry!$G$401="","",[2]Entry!$G$401)</f>
        <v/>
      </c>
      <c r="T398">
        <f>IF([2]Entry!$J$401="","",[2]Entry!$J$401)</f>
        <v/>
      </c>
      <c r="U398">
        <f>IF([2]Entry!$K$401="","",[2]Entry!$K$401)</f>
        <v/>
      </c>
      <c r="V398">
        <f>IF([2]Entry!$L$401="","",[2]Entry!$L$401)</f>
        <v/>
      </c>
      <c r="W398">
        <f>IF([2]Entry!$M$401="","",[2]Entry!$M$401)</f>
        <v/>
      </c>
      <c r="X398">
        <f>IF([2]Entry!$N$401="","",[2]Entry!$N$401)</f>
        <v/>
      </c>
      <c r="Y398">
        <f>IF([2]Entry!$R$401="","",[2]Entry!$R$401)</f>
        <v/>
      </c>
    </row>
    <row r="399">
      <c r="K399">
        <f>IF([1]Accounts!$D$400="","",[1]Accounts!$A$400)</f>
        <v/>
      </c>
      <c r="L399">
        <f>IF([1]Accounts!$D$400="","",[1]Accounts!$B$400)</f>
        <v/>
      </c>
      <c r="M399">
        <f>IF([1]Accounts!$D$400="","",[1]Accounts!$C$400)</f>
        <v/>
      </c>
      <c r="N399">
        <f>IF([1]Accounts!$D$400="","",[1]Accounts!$D$400)</f>
        <v/>
      </c>
      <c r="P399">
        <f>IF([2]Entry!$C$402="","",[2]Entry!$C$402)</f>
        <v/>
      </c>
      <c r="Q399">
        <f>IF([2]Entry!$D$402="","",[2]Entry!$D$402)</f>
        <v/>
      </c>
      <c r="R399">
        <f>IF([2]Entry!$E$402="","",[2]Entry!$E$402)</f>
        <v/>
      </c>
      <c r="S399">
        <f>IF([2]Entry!$G$402="","",[2]Entry!$G$402)</f>
        <v/>
      </c>
      <c r="T399">
        <f>IF([2]Entry!$J$402="","",[2]Entry!$J$402)</f>
        <v/>
      </c>
      <c r="U399">
        <f>IF([2]Entry!$K$402="","",[2]Entry!$K$402)</f>
        <v/>
      </c>
      <c r="V399">
        <f>IF([2]Entry!$L$402="","",[2]Entry!$L$402)</f>
        <v/>
      </c>
      <c r="W399">
        <f>IF([2]Entry!$M$402="","",[2]Entry!$M$402)</f>
        <v/>
      </c>
      <c r="X399">
        <f>IF([2]Entry!$N$402="","",[2]Entry!$N$402)</f>
        <v/>
      </c>
      <c r="Y399">
        <f>IF([2]Entry!$R$402="","",[2]Entry!$R$402)</f>
        <v/>
      </c>
    </row>
    <row r="400">
      <c r="K400">
        <f>IF([1]Accounts!$D$401="","",[1]Accounts!$A$401)</f>
        <v/>
      </c>
      <c r="L400">
        <f>IF([1]Accounts!$D$401="","",[1]Accounts!$B$401)</f>
        <v/>
      </c>
      <c r="M400">
        <f>IF([1]Accounts!$D$401="","",[1]Accounts!$C$401)</f>
        <v/>
      </c>
      <c r="N400">
        <f>IF([1]Accounts!$D$401="","",[1]Accounts!$D$401)</f>
        <v/>
      </c>
      <c r="P400">
        <f>IF([2]Entry!$C$403="","",[2]Entry!$C$403)</f>
        <v/>
      </c>
      <c r="Q400">
        <f>IF([2]Entry!$D$403="","",[2]Entry!$D$403)</f>
        <v/>
      </c>
      <c r="R400">
        <f>IF([2]Entry!$E$403="","",[2]Entry!$E$403)</f>
        <v/>
      </c>
      <c r="S400">
        <f>IF([2]Entry!$G$403="","",[2]Entry!$G$403)</f>
        <v/>
      </c>
      <c r="T400">
        <f>IF([2]Entry!$J$403="","",[2]Entry!$J$403)</f>
        <v/>
      </c>
      <c r="U400">
        <f>IF([2]Entry!$K$403="","",[2]Entry!$K$403)</f>
        <v/>
      </c>
      <c r="V400">
        <f>IF([2]Entry!$L$403="","",[2]Entry!$L$403)</f>
        <v/>
      </c>
      <c r="W400">
        <f>IF([2]Entry!$M$403="","",[2]Entry!$M$403)</f>
        <v/>
      </c>
      <c r="X400">
        <f>IF([2]Entry!$N$403="","",[2]Entry!$N$403)</f>
        <v/>
      </c>
      <c r="Y400">
        <f>IF([2]Entry!$R$403="","",[2]Entry!$R$403)</f>
        <v/>
      </c>
    </row>
    <row r="401">
      <c r="K401">
        <f>IF([1]Accounts!$D$402="","",[1]Accounts!$A$402)</f>
        <v/>
      </c>
      <c r="L401">
        <f>IF([1]Accounts!$D$402="","",[1]Accounts!$B$402)</f>
        <v/>
      </c>
      <c r="M401">
        <f>IF([1]Accounts!$D$402="","",[1]Accounts!$C$402)</f>
        <v/>
      </c>
      <c r="N401">
        <f>IF([1]Accounts!$D$402="","",[1]Accounts!$D$402)</f>
        <v/>
      </c>
      <c r="P401">
        <f>IF([2]Entry!$C$404="","",[2]Entry!$C$404)</f>
        <v/>
      </c>
      <c r="Q401">
        <f>IF([2]Entry!$D$404="","",[2]Entry!$D$404)</f>
        <v/>
      </c>
      <c r="R401">
        <f>IF([2]Entry!$E$404="","",[2]Entry!$E$404)</f>
        <v/>
      </c>
      <c r="S401">
        <f>IF([2]Entry!$G$404="","",[2]Entry!$G$404)</f>
        <v/>
      </c>
      <c r="T401">
        <f>IF([2]Entry!$J$404="","",[2]Entry!$J$404)</f>
        <v/>
      </c>
      <c r="U401">
        <f>IF([2]Entry!$K$404="","",[2]Entry!$K$404)</f>
        <v/>
      </c>
      <c r="V401">
        <f>IF([2]Entry!$L$404="","",[2]Entry!$L$404)</f>
        <v/>
      </c>
      <c r="W401">
        <f>IF([2]Entry!$M$404="","",[2]Entry!$M$404)</f>
        <v/>
      </c>
      <c r="X401">
        <f>IF([2]Entry!$N$404="","",[2]Entry!$N$404)</f>
        <v/>
      </c>
      <c r="Y401">
        <f>IF([2]Entry!$R$404="","",[2]Entry!$R$404)</f>
        <v/>
      </c>
    </row>
    <row r="402">
      <c r="K402">
        <f>IF([1]Accounts!$D$403="","",[1]Accounts!$A$403)</f>
        <v/>
      </c>
      <c r="L402">
        <f>IF([1]Accounts!$D$403="","",[1]Accounts!$B$403)</f>
        <v/>
      </c>
      <c r="M402">
        <f>IF([1]Accounts!$D$403="","",[1]Accounts!$C$403)</f>
        <v/>
      </c>
      <c r="N402">
        <f>IF([1]Accounts!$D$403="","",[1]Accounts!$D$403)</f>
        <v/>
      </c>
      <c r="P402">
        <f>IF([2]Entry!$C$405="","",[2]Entry!$C$405)</f>
        <v/>
      </c>
      <c r="Q402">
        <f>IF([2]Entry!$D$405="","",[2]Entry!$D$405)</f>
        <v/>
      </c>
      <c r="R402">
        <f>IF([2]Entry!$E$405="","",[2]Entry!$E$405)</f>
        <v/>
      </c>
      <c r="S402">
        <f>IF([2]Entry!$G$405="","",[2]Entry!$G$405)</f>
        <v/>
      </c>
      <c r="T402">
        <f>IF([2]Entry!$J$405="","",[2]Entry!$J$405)</f>
        <v/>
      </c>
      <c r="U402">
        <f>IF([2]Entry!$K$405="","",[2]Entry!$K$405)</f>
        <v/>
      </c>
      <c r="V402">
        <f>IF([2]Entry!$L$405="","",[2]Entry!$L$405)</f>
        <v/>
      </c>
      <c r="W402">
        <f>IF([2]Entry!$M$405="","",[2]Entry!$M$405)</f>
        <v/>
      </c>
      <c r="X402">
        <f>IF([2]Entry!$N$405="","",[2]Entry!$N$405)</f>
        <v/>
      </c>
      <c r="Y402">
        <f>IF([2]Entry!$R$405="","",[2]Entry!$R$405)</f>
        <v/>
      </c>
    </row>
    <row r="403">
      <c r="K403">
        <f>IF([1]Accounts!$D$404="","",[1]Accounts!$A$404)</f>
        <v/>
      </c>
      <c r="L403">
        <f>IF([1]Accounts!$D$404="","",[1]Accounts!$B$404)</f>
        <v/>
      </c>
      <c r="M403">
        <f>IF([1]Accounts!$D$404="","",[1]Accounts!$C$404)</f>
        <v/>
      </c>
      <c r="N403">
        <f>IF([1]Accounts!$D$404="","",[1]Accounts!$D$404)</f>
        <v/>
      </c>
      <c r="P403">
        <f>IF([2]Entry!$C$406="","",[2]Entry!$C$406)</f>
        <v/>
      </c>
      <c r="Q403">
        <f>IF([2]Entry!$D$406="","",[2]Entry!$D$406)</f>
        <v/>
      </c>
      <c r="R403">
        <f>IF([2]Entry!$E$406="","",[2]Entry!$E$406)</f>
        <v/>
      </c>
      <c r="S403">
        <f>IF([2]Entry!$G$406="","",[2]Entry!$G$406)</f>
        <v/>
      </c>
      <c r="T403">
        <f>IF([2]Entry!$J$406="","",[2]Entry!$J$406)</f>
        <v/>
      </c>
      <c r="U403">
        <f>IF([2]Entry!$K$406="","",[2]Entry!$K$406)</f>
        <v/>
      </c>
      <c r="V403">
        <f>IF([2]Entry!$L$406="","",[2]Entry!$L$406)</f>
        <v/>
      </c>
      <c r="W403">
        <f>IF([2]Entry!$M$406="","",[2]Entry!$M$406)</f>
        <v/>
      </c>
      <c r="X403">
        <f>IF([2]Entry!$N$406="","",[2]Entry!$N$406)</f>
        <v/>
      </c>
      <c r="Y403">
        <f>IF([2]Entry!$R$406="","",[2]Entry!$R$406)</f>
        <v/>
      </c>
    </row>
    <row r="404">
      <c r="K404">
        <f>IF([1]Accounts!$D$405="","",[1]Accounts!$A$405)</f>
        <v/>
      </c>
      <c r="L404">
        <f>IF([1]Accounts!$D$405="","",[1]Accounts!$B$405)</f>
        <v/>
      </c>
      <c r="M404">
        <f>IF([1]Accounts!$D$405="","",[1]Accounts!$C$405)</f>
        <v/>
      </c>
      <c r="N404">
        <f>IF([1]Accounts!$D$405="","",[1]Accounts!$D$405)</f>
        <v/>
      </c>
      <c r="P404">
        <f>IF([2]Entry!$C$407="","",[2]Entry!$C$407)</f>
        <v/>
      </c>
      <c r="Q404">
        <f>IF([2]Entry!$D$407="","",[2]Entry!$D$407)</f>
        <v/>
      </c>
      <c r="R404">
        <f>IF([2]Entry!$E$407="","",[2]Entry!$E$407)</f>
        <v/>
      </c>
      <c r="S404">
        <f>IF([2]Entry!$G$407="","",[2]Entry!$G$407)</f>
        <v/>
      </c>
      <c r="T404">
        <f>IF([2]Entry!$J$407="","",[2]Entry!$J$407)</f>
        <v/>
      </c>
      <c r="U404">
        <f>IF([2]Entry!$K$407="","",[2]Entry!$K$407)</f>
        <v/>
      </c>
      <c r="V404">
        <f>IF([2]Entry!$L$407="","",[2]Entry!$L$407)</f>
        <v/>
      </c>
      <c r="W404">
        <f>IF([2]Entry!$M$407="","",[2]Entry!$M$407)</f>
        <v/>
      </c>
      <c r="X404">
        <f>IF([2]Entry!$N$407="","",[2]Entry!$N$407)</f>
        <v/>
      </c>
      <c r="Y404">
        <f>IF([2]Entry!$R$407="","",[2]Entry!$R$407)</f>
        <v/>
      </c>
    </row>
    <row r="405">
      <c r="K405">
        <f>IF([1]Accounts!$D$406="","",[1]Accounts!$A$406)</f>
        <v/>
      </c>
      <c r="L405">
        <f>IF([1]Accounts!$D$406="","",[1]Accounts!$B$406)</f>
        <v/>
      </c>
      <c r="M405">
        <f>IF([1]Accounts!$D$406="","",[1]Accounts!$C$406)</f>
        <v/>
      </c>
      <c r="N405">
        <f>IF([1]Accounts!$D$406="","",[1]Accounts!$D$406)</f>
        <v/>
      </c>
      <c r="P405">
        <f>IF([2]Entry!$C$408="","",[2]Entry!$C$408)</f>
        <v/>
      </c>
      <c r="Q405">
        <f>IF([2]Entry!$D$408="","",[2]Entry!$D$408)</f>
        <v/>
      </c>
      <c r="R405">
        <f>IF([2]Entry!$E$408="","",[2]Entry!$E$408)</f>
        <v/>
      </c>
      <c r="S405">
        <f>IF([2]Entry!$G$408="","",[2]Entry!$G$408)</f>
        <v/>
      </c>
      <c r="T405">
        <f>IF([2]Entry!$J$408="","",[2]Entry!$J$408)</f>
        <v/>
      </c>
      <c r="U405">
        <f>IF([2]Entry!$K$408="","",[2]Entry!$K$408)</f>
        <v/>
      </c>
      <c r="V405">
        <f>IF([2]Entry!$L$408="","",[2]Entry!$L$408)</f>
        <v/>
      </c>
      <c r="W405">
        <f>IF([2]Entry!$M$408="","",[2]Entry!$M$408)</f>
        <v/>
      </c>
      <c r="X405">
        <f>IF([2]Entry!$N$408="","",[2]Entry!$N$408)</f>
        <v/>
      </c>
      <c r="Y405">
        <f>IF([2]Entry!$R$408="","",[2]Entry!$R$408)</f>
        <v/>
      </c>
    </row>
    <row r="406">
      <c r="K406">
        <f>IF([1]Accounts!$D$407="","",[1]Accounts!$A$407)</f>
        <v/>
      </c>
      <c r="L406">
        <f>IF([1]Accounts!$D$407="","",[1]Accounts!$B$407)</f>
        <v/>
      </c>
      <c r="M406">
        <f>IF([1]Accounts!$D$407="","",[1]Accounts!$C$407)</f>
        <v/>
      </c>
      <c r="N406">
        <f>IF([1]Accounts!$D$407="","",[1]Accounts!$D$407)</f>
        <v/>
      </c>
      <c r="P406">
        <f>IF([2]Entry!$C$409="","",[2]Entry!$C$409)</f>
        <v/>
      </c>
      <c r="Q406">
        <f>IF([2]Entry!$D$409="","",[2]Entry!$D$409)</f>
        <v/>
      </c>
      <c r="R406">
        <f>IF([2]Entry!$E$409="","",[2]Entry!$E$409)</f>
        <v/>
      </c>
      <c r="S406">
        <f>IF([2]Entry!$G$409="","",[2]Entry!$G$409)</f>
        <v/>
      </c>
      <c r="T406">
        <f>IF([2]Entry!$J$409="","",[2]Entry!$J$409)</f>
        <v/>
      </c>
      <c r="U406">
        <f>IF([2]Entry!$K$409="","",[2]Entry!$K$409)</f>
        <v/>
      </c>
      <c r="V406">
        <f>IF([2]Entry!$L$409="","",[2]Entry!$L$409)</f>
        <v/>
      </c>
      <c r="W406">
        <f>IF([2]Entry!$M$409="","",[2]Entry!$M$409)</f>
        <v/>
      </c>
      <c r="X406">
        <f>IF([2]Entry!$N$409="","",[2]Entry!$N$409)</f>
        <v/>
      </c>
      <c r="Y406">
        <f>IF([2]Entry!$R$409="","",[2]Entry!$R$409)</f>
        <v/>
      </c>
    </row>
    <row r="407">
      <c r="K407">
        <f>IF([1]Accounts!$D$408="","",[1]Accounts!$A$408)</f>
        <v/>
      </c>
      <c r="L407">
        <f>IF([1]Accounts!$D$408="","",[1]Accounts!$B$408)</f>
        <v/>
      </c>
      <c r="M407">
        <f>IF([1]Accounts!$D$408="","",[1]Accounts!$C$408)</f>
        <v/>
      </c>
      <c r="N407">
        <f>IF([1]Accounts!$D$408="","",[1]Accounts!$D$408)</f>
        <v/>
      </c>
      <c r="P407">
        <f>IF([2]Entry!$C$410="","",[2]Entry!$C$410)</f>
        <v/>
      </c>
      <c r="Q407">
        <f>IF([2]Entry!$D$410="","",[2]Entry!$D$410)</f>
        <v/>
      </c>
      <c r="R407">
        <f>IF([2]Entry!$E$410="","",[2]Entry!$E$410)</f>
        <v/>
      </c>
      <c r="S407">
        <f>IF([2]Entry!$G$410="","",[2]Entry!$G$410)</f>
        <v/>
      </c>
      <c r="T407">
        <f>IF([2]Entry!$J$410="","",[2]Entry!$J$410)</f>
        <v/>
      </c>
      <c r="U407">
        <f>IF([2]Entry!$K$410="","",[2]Entry!$K$410)</f>
        <v/>
      </c>
      <c r="V407">
        <f>IF([2]Entry!$L$410="","",[2]Entry!$L$410)</f>
        <v/>
      </c>
      <c r="W407">
        <f>IF([2]Entry!$M$410="","",[2]Entry!$M$410)</f>
        <v/>
      </c>
      <c r="X407">
        <f>IF([2]Entry!$N$410="","",[2]Entry!$N$410)</f>
        <v/>
      </c>
      <c r="Y407">
        <f>IF([2]Entry!$R$410="","",[2]Entry!$R$410)</f>
        <v/>
      </c>
    </row>
    <row r="408">
      <c r="K408">
        <f>IF([1]Accounts!$D$409="","",[1]Accounts!$A$409)</f>
        <v/>
      </c>
      <c r="L408">
        <f>IF([1]Accounts!$D$409="","",[1]Accounts!$B$409)</f>
        <v/>
      </c>
      <c r="M408">
        <f>IF([1]Accounts!$D$409="","",[1]Accounts!$C$409)</f>
        <v/>
      </c>
      <c r="N408">
        <f>IF([1]Accounts!$D$409="","",[1]Accounts!$D$409)</f>
        <v/>
      </c>
      <c r="P408">
        <f>IF([2]Entry!$C$411="","",[2]Entry!$C$411)</f>
        <v/>
      </c>
      <c r="Q408">
        <f>IF([2]Entry!$D$411="","",[2]Entry!$D$411)</f>
        <v/>
      </c>
      <c r="R408">
        <f>IF([2]Entry!$E$411="","",[2]Entry!$E$411)</f>
        <v/>
      </c>
      <c r="S408">
        <f>IF([2]Entry!$G$411="","",[2]Entry!$G$411)</f>
        <v/>
      </c>
      <c r="T408">
        <f>IF([2]Entry!$J$411="","",[2]Entry!$J$411)</f>
        <v/>
      </c>
      <c r="U408">
        <f>IF([2]Entry!$K$411="","",[2]Entry!$K$411)</f>
        <v/>
      </c>
      <c r="V408">
        <f>IF([2]Entry!$L$411="","",[2]Entry!$L$411)</f>
        <v/>
      </c>
      <c r="W408">
        <f>IF([2]Entry!$M$411="","",[2]Entry!$M$411)</f>
        <v/>
      </c>
      <c r="X408">
        <f>IF([2]Entry!$N$411="","",[2]Entry!$N$411)</f>
        <v/>
      </c>
      <c r="Y408">
        <f>IF([2]Entry!$R$411="","",[2]Entry!$R$411)</f>
        <v/>
      </c>
    </row>
    <row r="409">
      <c r="K409">
        <f>IF([1]Accounts!$D$410="","",[1]Accounts!$A$410)</f>
        <v/>
      </c>
      <c r="L409">
        <f>IF([1]Accounts!$D$410="","",[1]Accounts!$B$410)</f>
        <v/>
      </c>
      <c r="M409">
        <f>IF([1]Accounts!$D$410="","",[1]Accounts!$C$410)</f>
        <v/>
      </c>
      <c r="N409">
        <f>IF([1]Accounts!$D$410="","",[1]Accounts!$D$410)</f>
        <v/>
      </c>
      <c r="P409">
        <f>IF([2]Entry!$C$412="","",[2]Entry!$C$412)</f>
        <v/>
      </c>
      <c r="Q409">
        <f>IF([2]Entry!$D$412="","",[2]Entry!$D$412)</f>
        <v/>
      </c>
      <c r="R409">
        <f>IF([2]Entry!$E$412="","",[2]Entry!$E$412)</f>
        <v/>
      </c>
      <c r="S409">
        <f>IF([2]Entry!$G$412="","",[2]Entry!$G$412)</f>
        <v/>
      </c>
      <c r="T409">
        <f>IF([2]Entry!$J$412="","",[2]Entry!$J$412)</f>
        <v/>
      </c>
      <c r="U409">
        <f>IF([2]Entry!$K$412="","",[2]Entry!$K$412)</f>
        <v/>
      </c>
      <c r="V409">
        <f>IF([2]Entry!$L$412="","",[2]Entry!$L$412)</f>
        <v/>
      </c>
      <c r="W409">
        <f>IF([2]Entry!$M$412="","",[2]Entry!$M$412)</f>
        <v/>
      </c>
      <c r="X409">
        <f>IF([2]Entry!$N$412="","",[2]Entry!$N$412)</f>
        <v/>
      </c>
      <c r="Y409">
        <f>IF([2]Entry!$R$412="","",[2]Entry!$R$412)</f>
        <v/>
      </c>
    </row>
    <row r="410">
      <c r="K410">
        <f>IF([1]Accounts!$D$411="","",[1]Accounts!$A$411)</f>
        <v/>
      </c>
      <c r="L410">
        <f>IF([1]Accounts!$D$411="","",[1]Accounts!$B$411)</f>
        <v/>
      </c>
      <c r="M410">
        <f>IF([1]Accounts!$D$411="","",[1]Accounts!$C$411)</f>
        <v/>
      </c>
      <c r="N410">
        <f>IF([1]Accounts!$D$411="","",[1]Accounts!$D$411)</f>
        <v/>
      </c>
      <c r="P410">
        <f>IF([2]Entry!$C$413="","",[2]Entry!$C$413)</f>
        <v/>
      </c>
      <c r="Q410">
        <f>IF([2]Entry!$D$413="","",[2]Entry!$D$413)</f>
        <v/>
      </c>
      <c r="R410">
        <f>IF([2]Entry!$E$413="","",[2]Entry!$E$413)</f>
        <v/>
      </c>
      <c r="S410">
        <f>IF([2]Entry!$G$413="","",[2]Entry!$G$413)</f>
        <v/>
      </c>
      <c r="T410">
        <f>IF([2]Entry!$J$413="","",[2]Entry!$J$413)</f>
        <v/>
      </c>
      <c r="U410">
        <f>IF([2]Entry!$K$413="","",[2]Entry!$K$413)</f>
        <v/>
      </c>
      <c r="V410">
        <f>IF([2]Entry!$L$413="","",[2]Entry!$L$413)</f>
        <v/>
      </c>
      <c r="W410">
        <f>IF([2]Entry!$M$413="","",[2]Entry!$M$413)</f>
        <v/>
      </c>
      <c r="X410">
        <f>IF([2]Entry!$N$413="","",[2]Entry!$N$413)</f>
        <v/>
      </c>
      <c r="Y410">
        <f>IF([2]Entry!$R$413="","",[2]Entry!$R$413)</f>
        <v/>
      </c>
    </row>
    <row r="411">
      <c r="K411">
        <f>IF([1]Accounts!$D$412="","",[1]Accounts!$A$412)</f>
        <v/>
      </c>
      <c r="L411">
        <f>IF([1]Accounts!$D$412="","",[1]Accounts!$B$412)</f>
        <v/>
      </c>
      <c r="M411">
        <f>IF([1]Accounts!$D$412="","",[1]Accounts!$C$412)</f>
        <v/>
      </c>
      <c r="N411">
        <f>IF([1]Accounts!$D$412="","",[1]Accounts!$D$412)</f>
        <v/>
      </c>
      <c r="P411">
        <f>IF([2]Entry!$C$414="","",[2]Entry!$C$414)</f>
        <v/>
      </c>
      <c r="Q411">
        <f>IF([2]Entry!$D$414="","",[2]Entry!$D$414)</f>
        <v/>
      </c>
      <c r="R411">
        <f>IF([2]Entry!$E$414="","",[2]Entry!$E$414)</f>
        <v/>
      </c>
      <c r="S411">
        <f>IF([2]Entry!$G$414="","",[2]Entry!$G$414)</f>
        <v/>
      </c>
      <c r="T411">
        <f>IF([2]Entry!$J$414="","",[2]Entry!$J$414)</f>
        <v/>
      </c>
      <c r="U411">
        <f>IF([2]Entry!$K$414="","",[2]Entry!$K$414)</f>
        <v/>
      </c>
      <c r="V411">
        <f>IF([2]Entry!$L$414="","",[2]Entry!$L$414)</f>
        <v/>
      </c>
      <c r="W411">
        <f>IF([2]Entry!$M$414="","",[2]Entry!$M$414)</f>
        <v/>
      </c>
      <c r="X411">
        <f>IF([2]Entry!$N$414="","",[2]Entry!$N$414)</f>
        <v/>
      </c>
      <c r="Y411">
        <f>IF([2]Entry!$R$414="","",[2]Entry!$R$414)</f>
        <v/>
      </c>
    </row>
    <row r="412">
      <c r="K412">
        <f>IF([1]Accounts!$D$413="","",[1]Accounts!$A$413)</f>
        <v/>
      </c>
      <c r="L412">
        <f>IF([1]Accounts!$D$413="","",[1]Accounts!$B$413)</f>
        <v/>
      </c>
      <c r="M412">
        <f>IF([1]Accounts!$D$413="","",[1]Accounts!$C$413)</f>
        <v/>
      </c>
      <c r="N412">
        <f>IF([1]Accounts!$D$413="","",[1]Accounts!$D$413)</f>
        <v/>
      </c>
      <c r="P412">
        <f>IF([2]Entry!$C$415="","",[2]Entry!$C$415)</f>
        <v/>
      </c>
      <c r="Q412">
        <f>IF([2]Entry!$D$415="","",[2]Entry!$D$415)</f>
        <v/>
      </c>
      <c r="R412">
        <f>IF([2]Entry!$E$415="","",[2]Entry!$E$415)</f>
        <v/>
      </c>
      <c r="S412">
        <f>IF([2]Entry!$G$415="","",[2]Entry!$G$415)</f>
        <v/>
      </c>
      <c r="T412">
        <f>IF([2]Entry!$J$415="","",[2]Entry!$J$415)</f>
        <v/>
      </c>
      <c r="U412">
        <f>IF([2]Entry!$K$415="","",[2]Entry!$K$415)</f>
        <v/>
      </c>
      <c r="V412">
        <f>IF([2]Entry!$L$415="","",[2]Entry!$L$415)</f>
        <v/>
      </c>
      <c r="W412">
        <f>IF([2]Entry!$M$415="","",[2]Entry!$M$415)</f>
        <v/>
      </c>
      <c r="X412">
        <f>IF([2]Entry!$N$415="","",[2]Entry!$N$415)</f>
        <v/>
      </c>
      <c r="Y412">
        <f>IF([2]Entry!$R$415="","",[2]Entry!$R$415)</f>
        <v/>
      </c>
    </row>
    <row r="413">
      <c r="K413">
        <f>IF([1]Accounts!$D$414="","",[1]Accounts!$A$414)</f>
        <v/>
      </c>
      <c r="L413">
        <f>IF([1]Accounts!$D$414="","",[1]Accounts!$B$414)</f>
        <v/>
      </c>
      <c r="M413">
        <f>IF([1]Accounts!$D$414="","",[1]Accounts!$C$414)</f>
        <v/>
      </c>
      <c r="N413">
        <f>IF([1]Accounts!$D$414="","",[1]Accounts!$D$414)</f>
        <v/>
      </c>
      <c r="P413">
        <f>IF([2]Entry!$C$416="","",[2]Entry!$C$416)</f>
        <v/>
      </c>
      <c r="Q413">
        <f>IF([2]Entry!$D$416="","",[2]Entry!$D$416)</f>
        <v/>
      </c>
      <c r="R413">
        <f>IF([2]Entry!$E$416="","",[2]Entry!$E$416)</f>
        <v/>
      </c>
      <c r="S413">
        <f>IF([2]Entry!$G$416="","",[2]Entry!$G$416)</f>
        <v/>
      </c>
      <c r="T413">
        <f>IF([2]Entry!$J$416="","",[2]Entry!$J$416)</f>
        <v/>
      </c>
      <c r="U413">
        <f>IF([2]Entry!$K$416="","",[2]Entry!$K$416)</f>
        <v/>
      </c>
      <c r="V413">
        <f>IF([2]Entry!$L$416="","",[2]Entry!$L$416)</f>
        <v/>
      </c>
      <c r="W413">
        <f>IF([2]Entry!$M$416="","",[2]Entry!$M$416)</f>
        <v/>
      </c>
      <c r="X413">
        <f>IF([2]Entry!$N$416="","",[2]Entry!$N$416)</f>
        <v/>
      </c>
      <c r="Y413">
        <f>IF([2]Entry!$R$416="","",[2]Entry!$R$416)</f>
        <v/>
      </c>
    </row>
    <row r="414">
      <c r="K414">
        <f>IF([1]Accounts!$D$415="","",[1]Accounts!$A$415)</f>
        <v/>
      </c>
      <c r="L414">
        <f>IF([1]Accounts!$D$415="","",[1]Accounts!$B$415)</f>
        <v/>
      </c>
      <c r="M414">
        <f>IF([1]Accounts!$D$415="","",[1]Accounts!$C$415)</f>
        <v/>
      </c>
      <c r="N414">
        <f>IF([1]Accounts!$D$415="","",[1]Accounts!$D$415)</f>
        <v/>
      </c>
      <c r="P414">
        <f>IF([2]Entry!$C$417="","",[2]Entry!$C$417)</f>
        <v/>
      </c>
      <c r="Q414">
        <f>IF([2]Entry!$D$417="","",[2]Entry!$D$417)</f>
        <v/>
      </c>
      <c r="R414">
        <f>IF([2]Entry!$E$417="","",[2]Entry!$E$417)</f>
        <v/>
      </c>
      <c r="S414">
        <f>IF([2]Entry!$G$417="","",[2]Entry!$G$417)</f>
        <v/>
      </c>
      <c r="T414">
        <f>IF([2]Entry!$J$417="","",[2]Entry!$J$417)</f>
        <v/>
      </c>
      <c r="U414">
        <f>IF([2]Entry!$K$417="","",[2]Entry!$K$417)</f>
        <v/>
      </c>
      <c r="V414">
        <f>IF([2]Entry!$L$417="","",[2]Entry!$L$417)</f>
        <v/>
      </c>
      <c r="W414">
        <f>IF([2]Entry!$M$417="","",[2]Entry!$M$417)</f>
        <v/>
      </c>
      <c r="X414">
        <f>IF([2]Entry!$N$417="","",[2]Entry!$N$417)</f>
        <v/>
      </c>
      <c r="Y414">
        <f>IF([2]Entry!$R$417="","",[2]Entry!$R$417)</f>
        <v/>
      </c>
    </row>
    <row r="415">
      <c r="K415">
        <f>IF([1]Accounts!$D$416="","",[1]Accounts!$A$416)</f>
        <v/>
      </c>
      <c r="L415">
        <f>IF([1]Accounts!$D$416="","",[1]Accounts!$B$416)</f>
        <v/>
      </c>
      <c r="M415">
        <f>IF([1]Accounts!$D$416="","",[1]Accounts!$C$416)</f>
        <v/>
      </c>
      <c r="N415">
        <f>IF([1]Accounts!$D$416="","",[1]Accounts!$D$416)</f>
        <v/>
      </c>
      <c r="P415">
        <f>IF([2]Entry!$C$418="","",[2]Entry!$C$418)</f>
        <v/>
      </c>
      <c r="Q415">
        <f>IF([2]Entry!$D$418="","",[2]Entry!$D$418)</f>
        <v/>
      </c>
      <c r="R415">
        <f>IF([2]Entry!$E$418="","",[2]Entry!$E$418)</f>
        <v/>
      </c>
      <c r="S415">
        <f>IF([2]Entry!$G$418="","",[2]Entry!$G$418)</f>
        <v/>
      </c>
      <c r="T415">
        <f>IF([2]Entry!$J$418="","",[2]Entry!$J$418)</f>
        <v/>
      </c>
      <c r="U415">
        <f>IF([2]Entry!$K$418="","",[2]Entry!$K$418)</f>
        <v/>
      </c>
      <c r="V415">
        <f>IF([2]Entry!$L$418="","",[2]Entry!$L$418)</f>
        <v/>
      </c>
      <c r="W415">
        <f>IF([2]Entry!$M$418="","",[2]Entry!$M$418)</f>
        <v/>
      </c>
      <c r="X415">
        <f>IF([2]Entry!$N$418="","",[2]Entry!$N$418)</f>
        <v/>
      </c>
      <c r="Y415">
        <f>IF([2]Entry!$R$418="","",[2]Entry!$R$418)</f>
        <v/>
      </c>
    </row>
    <row r="416">
      <c r="K416">
        <f>IF([1]Accounts!$D$417="","",[1]Accounts!$A$417)</f>
        <v/>
      </c>
      <c r="L416">
        <f>IF([1]Accounts!$D$417="","",[1]Accounts!$B$417)</f>
        <v/>
      </c>
      <c r="M416">
        <f>IF([1]Accounts!$D$417="","",[1]Accounts!$C$417)</f>
        <v/>
      </c>
      <c r="N416">
        <f>IF([1]Accounts!$D$417="","",[1]Accounts!$D$417)</f>
        <v/>
      </c>
      <c r="P416">
        <f>IF([2]Entry!$C$419="","",[2]Entry!$C$419)</f>
        <v/>
      </c>
      <c r="Q416">
        <f>IF([2]Entry!$D$419="","",[2]Entry!$D$419)</f>
        <v/>
      </c>
      <c r="R416">
        <f>IF([2]Entry!$E$419="","",[2]Entry!$E$419)</f>
        <v/>
      </c>
      <c r="S416">
        <f>IF([2]Entry!$G$419="","",[2]Entry!$G$419)</f>
        <v/>
      </c>
      <c r="T416">
        <f>IF([2]Entry!$J$419="","",[2]Entry!$J$419)</f>
        <v/>
      </c>
      <c r="U416">
        <f>IF([2]Entry!$K$419="","",[2]Entry!$K$419)</f>
        <v/>
      </c>
      <c r="V416">
        <f>IF([2]Entry!$L$419="","",[2]Entry!$L$419)</f>
        <v/>
      </c>
      <c r="W416">
        <f>IF([2]Entry!$M$419="","",[2]Entry!$M$419)</f>
        <v/>
      </c>
      <c r="X416">
        <f>IF([2]Entry!$N$419="","",[2]Entry!$N$419)</f>
        <v/>
      </c>
      <c r="Y416">
        <f>IF([2]Entry!$R$419="","",[2]Entry!$R$419)</f>
        <v/>
      </c>
    </row>
    <row r="417">
      <c r="K417">
        <f>IF([1]Accounts!$D$418="","",[1]Accounts!$A$418)</f>
        <v/>
      </c>
      <c r="L417">
        <f>IF([1]Accounts!$D$418="","",[1]Accounts!$B$418)</f>
        <v/>
      </c>
      <c r="M417">
        <f>IF([1]Accounts!$D$418="","",[1]Accounts!$C$418)</f>
        <v/>
      </c>
      <c r="N417">
        <f>IF([1]Accounts!$D$418="","",[1]Accounts!$D$418)</f>
        <v/>
      </c>
      <c r="P417">
        <f>IF([2]Entry!$C$420="","",[2]Entry!$C$420)</f>
        <v/>
      </c>
      <c r="Q417">
        <f>IF([2]Entry!$D$420="","",[2]Entry!$D$420)</f>
        <v/>
      </c>
      <c r="R417">
        <f>IF([2]Entry!$E$420="","",[2]Entry!$E$420)</f>
        <v/>
      </c>
      <c r="S417">
        <f>IF([2]Entry!$G$420="","",[2]Entry!$G$420)</f>
        <v/>
      </c>
      <c r="T417">
        <f>IF([2]Entry!$J$420="","",[2]Entry!$J$420)</f>
        <v/>
      </c>
      <c r="U417">
        <f>IF([2]Entry!$K$420="","",[2]Entry!$K$420)</f>
        <v/>
      </c>
      <c r="V417">
        <f>IF([2]Entry!$L$420="","",[2]Entry!$L$420)</f>
        <v/>
      </c>
      <c r="W417">
        <f>IF([2]Entry!$M$420="","",[2]Entry!$M$420)</f>
        <v/>
      </c>
      <c r="X417">
        <f>IF([2]Entry!$N$420="","",[2]Entry!$N$420)</f>
        <v/>
      </c>
      <c r="Y417">
        <f>IF([2]Entry!$R$420="","",[2]Entry!$R$420)</f>
        <v/>
      </c>
    </row>
    <row r="418">
      <c r="K418">
        <f>IF([1]Accounts!$D$419="","",[1]Accounts!$A$419)</f>
        <v/>
      </c>
      <c r="L418">
        <f>IF([1]Accounts!$D$419="","",[1]Accounts!$B$419)</f>
        <v/>
      </c>
      <c r="M418">
        <f>IF([1]Accounts!$D$419="","",[1]Accounts!$C$419)</f>
        <v/>
      </c>
      <c r="N418">
        <f>IF([1]Accounts!$D$419="","",[1]Accounts!$D$419)</f>
        <v/>
      </c>
      <c r="P418">
        <f>IF([2]Entry!$C$421="","",[2]Entry!$C$421)</f>
        <v/>
      </c>
      <c r="Q418">
        <f>IF([2]Entry!$D$421="","",[2]Entry!$D$421)</f>
        <v/>
      </c>
      <c r="R418">
        <f>IF([2]Entry!$E$421="","",[2]Entry!$E$421)</f>
        <v/>
      </c>
      <c r="S418">
        <f>IF([2]Entry!$G$421="","",[2]Entry!$G$421)</f>
        <v/>
      </c>
      <c r="T418">
        <f>IF([2]Entry!$J$421="","",[2]Entry!$J$421)</f>
        <v/>
      </c>
      <c r="U418">
        <f>IF([2]Entry!$K$421="","",[2]Entry!$K$421)</f>
        <v/>
      </c>
      <c r="V418">
        <f>IF([2]Entry!$L$421="","",[2]Entry!$L$421)</f>
        <v/>
      </c>
      <c r="W418">
        <f>IF([2]Entry!$M$421="","",[2]Entry!$M$421)</f>
        <v/>
      </c>
      <c r="X418">
        <f>IF([2]Entry!$N$421="","",[2]Entry!$N$421)</f>
        <v/>
      </c>
      <c r="Y418">
        <f>IF([2]Entry!$R$421="","",[2]Entry!$R$421)</f>
        <v/>
      </c>
    </row>
    <row r="419">
      <c r="K419">
        <f>IF([1]Accounts!$D$420="","",[1]Accounts!$A$420)</f>
        <v/>
      </c>
      <c r="L419">
        <f>IF([1]Accounts!$D$420="","",[1]Accounts!$B$420)</f>
        <v/>
      </c>
      <c r="M419">
        <f>IF([1]Accounts!$D$420="","",[1]Accounts!$C$420)</f>
        <v/>
      </c>
      <c r="N419">
        <f>IF([1]Accounts!$D$420="","",[1]Accounts!$D$420)</f>
        <v/>
      </c>
      <c r="P419">
        <f>IF([2]Entry!$C$422="","",[2]Entry!$C$422)</f>
        <v/>
      </c>
      <c r="Q419">
        <f>IF([2]Entry!$D$422="","",[2]Entry!$D$422)</f>
        <v/>
      </c>
      <c r="R419">
        <f>IF([2]Entry!$E$422="","",[2]Entry!$E$422)</f>
        <v/>
      </c>
      <c r="S419">
        <f>IF([2]Entry!$G$422="","",[2]Entry!$G$422)</f>
        <v/>
      </c>
      <c r="T419">
        <f>IF([2]Entry!$J$422="","",[2]Entry!$J$422)</f>
        <v/>
      </c>
      <c r="U419">
        <f>IF([2]Entry!$K$422="","",[2]Entry!$K$422)</f>
        <v/>
      </c>
      <c r="V419">
        <f>IF([2]Entry!$L$422="","",[2]Entry!$L$422)</f>
        <v/>
      </c>
      <c r="W419">
        <f>IF([2]Entry!$M$422="","",[2]Entry!$M$422)</f>
        <v/>
      </c>
      <c r="X419">
        <f>IF([2]Entry!$N$422="","",[2]Entry!$N$422)</f>
        <v/>
      </c>
      <c r="Y419">
        <f>IF([2]Entry!$R$422="","",[2]Entry!$R$422)</f>
        <v/>
      </c>
    </row>
    <row r="420">
      <c r="K420">
        <f>IF([1]Accounts!$D$421="","",[1]Accounts!$A$421)</f>
        <v/>
      </c>
      <c r="L420">
        <f>IF([1]Accounts!$D$421="","",[1]Accounts!$B$421)</f>
        <v/>
      </c>
      <c r="M420">
        <f>IF([1]Accounts!$D$421="","",[1]Accounts!$C$421)</f>
        <v/>
      </c>
      <c r="N420">
        <f>IF([1]Accounts!$D$421="","",[1]Accounts!$D$421)</f>
        <v/>
      </c>
      <c r="P420">
        <f>IF([2]Entry!$C$423="","",[2]Entry!$C$423)</f>
        <v/>
      </c>
      <c r="Q420">
        <f>IF([2]Entry!$D$423="","",[2]Entry!$D$423)</f>
        <v/>
      </c>
      <c r="R420">
        <f>IF([2]Entry!$E$423="","",[2]Entry!$E$423)</f>
        <v/>
      </c>
      <c r="S420">
        <f>IF([2]Entry!$G$423="","",[2]Entry!$G$423)</f>
        <v/>
      </c>
      <c r="T420">
        <f>IF([2]Entry!$J$423="","",[2]Entry!$J$423)</f>
        <v/>
      </c>
      <c r="U420">
        <f>IF([2]Entry!$K$423="","",[2]Entry!$K$423)</f>
        <v/>
      </c>
      <c r="V420">
        <f>IF([2]Entry!$L$423="","",[2]Entry!$L$423)</f>
        <v/>
      </c>
      <c r="W420">
        <f>IF([2]Entry!$M$423="","",[2]Entry!$M$423)</f>
        <v/>
      </c>
      <c r="X420">
        <f>IF([2]Entry!$N$423="","",[2]Entry!$N$423)</f>
        <v/>
      </c>
      <c r="Y420">
        <f>IF([2]Entry!$R$423="","",[2]Entry!$R$423)</f>
        <v/>
      </c>
    </row>
    <row r="421">
      <c r="K421">
        <f>IF([1]Accounts!$D$422="","",[1]Accounts!$A$422)</f>
        <v/>
      </c>
      <c r="L421">
        <f>IF([1]Accounts!$D$422="","",[1]Accounts!$B$422)</f>
        <v/>
      </c>
      <c r="M421">
        <f>IF([1]Accounts!$D$422="","",[1]Accounts!$C$422)</f>
        <v/>
      </c>
      <c r="N421">
        <f>IF([1]Accounts!$D$422="","",[1]Accounts!$D$422)</f>
        <v/>
      </c>
      <c r="P421">
        <f>IF([2]Entry!$C$424="","",[2]Entry!$C$424)</f>
        <v/>
      </c>
      <c r="Q421">
        <f>IF([2]Entry!$D$424="","",[2]Entry!$D$424)</f>
        <v/>
      </c>
      <c r="R421">
        <f>IF([2]Entry!$E$424="","",[2]Entry!$E$424)</f>
        <v/>
      </c>
      <c r="S421">
        <f>IF([2]Entry!$G$424="","",[2]Entry!$G$424)</f>
        <v/>
      </c>
      <c r="T421">
        <f>IF([2]Entry!$J$424="","",[2]Entry!$J$424)</f>
        <v/>
      </c>
      <c r="U421">
        <f>IF([2]Entry!$K$424="","",[2]Entry!$K$424)</f>
        <v/>
      </c>
      <c r="V421">
        <f>IF([2]Entry!$L$424="","",[2]Entry!$L$424)</f>
        <v/>
      </c>
      <c r="W421">
        <f>IF([2]Entry!$M$424="","",[2]Entry!$M$424)</f>
        <v/>
      </c>
      <c r="X421">
        <f>IF([2]Entry!$N$424="","",[2]Entry!$N$424)</f>
        <v/>
      </c>
      <c r="Y421">
        <f>IF([2]Entry!$R$424="","",[2]Entry!$R$424)</f>
        <v/>
      </c>
    </row>
    <row r="422">
      <c r="K422">
        <f>IF([1]Accounts!$D$423="","",[1]Accounts!$A$423)</f>
        <v/>
      </c>
      <c r="L422">
        <f>IF([1]Accounts!$D$423="","",[1]Accounts!$B$423)</f>
        <v/>
      </c>
      <c r="M422">
        <f>IF([1]Accounts!$D$423="","",[1]Accounts!$C$423)</f>
        <v/>
      </c>
      <c r="N422">
        <f>IF([1]Accounts!$D$423="","",[1]Accounts!$D$423)</f>
        <v/>
      </c>
      <c r="P422">
        <f>IF([2]Entry!$C$425="","",[2]Entry!$C$425)</f>
        <v/>
      </c>
      <c r="Q422">
        <f>IF([2]Entry!$D$425="","",[2]Entry!$D$425)</f>
        <v/>
      </c>
      <c r="R422">
        <f>IF([2]Entry!$E$425="","",[2]Entry!$E$425)</f>
        <v/>
      </c>
      <c r="S422">
        <f>IF([2]Entry!$G$425="","",[2]Entry!$G$425)</f>
        <v/>
      </c>
      <c r="T422">
        <f>IF([2]Entry!$J$425="","",[2]Entry!$J$425)</f>
        <v/>
      </c>
      <c r="U422">
        <f>IF([2]Entry!$K$425="","",[2]Entry!$K$425)</f>
        <v/>
      </c>
      <c r="V422">
        <f>IF([2]Entry!$L$425="","",[2]Entry!$L$425)</f>
        <v/>
      </c>
      <c r="W422">
        <f>IF([2]Entry!$M$425="","",[2]Entry!$M$425)</f>
        <v/>
      </c>
      <c r="X422">
        <f>IF([2]Entry!$N$425="","",[2]Entry!$N$425)</f>
        <v/>
      </c>
      <c r="Y422">
        <f>IF([2]Entry!$R$425="","",[2]Entry!$R$425)</f>
        <v/>
      </c>
    </row>
    <row r="423">
      <c r="K423">
        <f>IF([1]Accounts!$D$424="","",[1]Accounts!$A$424)</f>
        <v/>
      </c>
      <c r="L423">
        <f>IF([1]Accounts!$D$424="","",[1]Accounts!$B$424)</f>
        <v/>
      </c>
      <c r="M423">
        <f>IF([1]Accounts!$D$424="","",[1]Accounts!$C$424)</f>
        <v/>
      </c>
      <c r="N423">
        <f>IF([1]Accounts!$D$424="","",[1]Accounts!$D$424)</f>
        <v/>
      </c>
      <c r="P423">
        <f>IF([2]Entry!$C$426="","",[2]Entry!$C$426)</f>
        <v/>
      </c>
      <c r="Q423">
        <f>IF([2]Entry!$D$426="","",[2]Entry!$D$426)</f>
        <v/>
      </c>
      <c r="R423">
        <f>IF([2]Entry!$E$426="","",[2]Entry!$E$426)</f>
        <v/>
      </c>
      <c r="S423">
        <f>IF([2]Entry!$G$426="","",[2]Entry!$G$426)</f>
        <v/>
      </c>
      <c r="T423">
        <f>IF([2]Entry!$J$426="","",[2]Entry!$J$426)</f>
        <v/>
      </c>
      <c r="U423">
        <f>IF([2]Entry!$K$426="","",[2]Entry!$K$426)</f>
        <v/>
      </c>
      <c r="V423">
        <f>IF([2]Entry!$L$426="","",[2]Entry!$L$426)</f>
        <v/>
      </c>
      <c r="W423">
        <f>IF([2]Entry!$M$426="","",[2]Entry!$M$426)</f>
        <v/>
      </c>
      <c r="X423">
        <f>IF([2]Entry!$N$426="","",[2]Entry!$N$426)</f>
        <v/>
      </c>
      <c r="Y423">
        <f>IF([2]Entry!$R$426="","",[2]Entry!$R$426)</f>
        <v/>
      </c>
    </row>
    <row r="424">
      <c r="K424">
        <f>IF([1]Accounts!$D$425="","",[1]Accounts!$A$425)</f>
        <v/>
      </c>
      <c r="L424">
        <f>IF([1]Accounts!$D$425="","",[1]Accounts!$B$425)</f>
        <v/>
      </c>
      <c r="M424">
        <f>IF([1]Accounts!$D$425="","",[1]Accounts!$C$425)</f>
        <v/>
      </c>
      <c r="N424">
        <f>IF([1]Accounts!$D$425="","",[1]Accounts!$D$425)</f>
        <v/>
      </c>
      <c r="P424">
        <f>IF([2]Entry!$C$427="","",[2]Entry!$C$427)</f>
        <v/>
      </c>
      <c r="Q424">
        <f>IF([2]Entry!$D$427="","",[2]Entry!$D$427)</f>
        <v/>
      </c>
      <c r="R424">
        <f>IF([2]Entry!$E$427="","",[2]Entry!$E$427)</f>
        <v/>
      </c>
      <c r="S424">
        <f>IF([2]Entry!$G$427="","",[2]Entry!$G$427)</f>
        <v/>
      </c>
      <c r="T424">
        <f>IF([2]Entry!$J$427="","",[2]Entry!$J$427)</f>
        <v/>
      </c>
      <c r="U424">
        <f>IF([2]Entry!$K$427="","",[2]Entry!$K$427)</f>
        <v/>
      </c>
      <c r="V424">
        <f>IF([2]Entry!$L$427="","",[2]Entry!$L$427)</f>
        <v/>
      </c>
      <c r="W424">
        <f>IF([2]Entry!$M$427="","",[2]Entry!$M$427)</f>
        <v/>
      </c>
      <c r="X424">
        <f>IF([2]Entry!$N$427="","",[2]Entry!$N$427)</f>
        <v/>
      </c>
      <c r="Y424">
        <f>IF([2]Entry!$R$427="","",[2]Entry!$R$427)</f>
        <v/>
      </c>
    </row>
    <row r="425">
      <c r="K425">
        <f>IF([1]Accounts!$D$426="","",[1]Accounts!$A$426)</f>
        <v/>
      </c>
      <c r="L425">
        <f>IF([1]Accounts!$D$426="","",[1]Accounts!$B$426)</f>
        <v/>
      </c>
      <c r="M425">
        <f>IF([1]Accounts!$D$426="","",[1]Accounts!$C$426)</f>
        <v/>
      </c>
      <c r="N425">
        <f>IF([1]Accounts!$D$426="","",[1]Accounts!$D$426)</f>
        <v/>
      </c>
      <c r="P425">
        <f>IF([2]Entry!$C$428="","",[2]Entry!$C$428)</f>
        <v/>
      </c>
      <c r="Q425">
        <f>IF([2]Entry!$D$428="","",[2]Entry!$D$428)</f>
        <v/>
      </c>
      <c r="R425">
        <f>IF([2]Entry!$E$428="","",[2]Entry!$E$428)</f>
        <v/>
      </c>
      <c r="S425">
        <f>IF([2]Entry!$G$428="","",[2]Entry!$G$428)</f>
        <v/>
      </c>
      <c r="T425">
        <f>IF([2]Entry!$J$428="","",[2]Entry!$J$428)</f>
        <v/>
      </c>
      <c r="U425">
        <f>IF([2]Entry!$K$428="","",[2]Entry!$K$428)</f>
        <v/>
      </c>
      <c r="V425">
        <f>IF([2]Entry!$L$428="","",[2]Entry!$L$428)</f>
        <v/>
      </c>
      <c r="W425">
        <f>IF([2]Entry!$M$428="","",[2]Entry!$M$428)</f>
        <v/>
      </c>
      <c r="X425">
        <f>IF([2]Entry!$N$428="","",[2]Entry!$N$428)</f>
        <v/>
      </c>
      <c r="Y425">
        <f>IF([2]Entry!$R$428="","",[2]Entry!$R$428)</f>
        <v/>
      </c>
    </row>
    <row r="426">
      <c r="K426">
        <f>IF([1]Accounts!$D$427="","",[1]Accounts!$A$427)</f>
        <v/>
      </c>
      <c r="L426">
        <f>IF([1]Accounts!$D$427="","",[1]Accounts!$B$427)</f>
        <v/>
      </c>
      <c r="M426">
        <f>IF([1]Accounts!$D$427="","",[1]Accounts!$C$427)</f>
        <v/>
      </c>
      <c r="N426">
        <f>IF([1]Accounts!$D$427="","",[1]Accounts!$D$427)</f>
        <v/>
      </c>
      <c r="P426">
        <f>IF([2]Entry!$C$429="","",[2]Entry!$C$429)</f>
        <v/>
      </c>
      <c r="Q426">
        <f>IF([2]Entry!$D$429="","",[2]Entry!$D$429)</f>
        <v/>
      </c>
      <c r="R426">
        <f>IF([2]Entry!$E$429="","",[2]Entry!$E$429)</f>
        <v/>
      </c>
      <c r="S426">
        <f>IF([2]Entry!$G$429="","",[2]Entry!$G$429)</f>
        <v/>
      </c>
      <c r="T426">
        <f>IF([2]Entry!$J$429="","",[2]Entry!$J$429)</f>
        <v/>
      </c>
      <c r="U426">
        <f>IF([2]Entry!$K$429="","",[2]Entry!$K$429)</f>
        <v/>
      </c>
      <c r="V426">
        <f>IF([2]Entry!$L$429="","",[2]Entry!$L$429)</f>
        <v/>
      </c>
      <c r="W426">
        <f>IF([2]Entry!$M$429="","",[2]Entry!$M$429)</f>
        <v/>
      </c>
      <c r="X426">
        <f>IF([2]Entry!$N$429="","",[2]Entry!$N$429)</f>
        <v/>
      </c>
      <c r="Y426">
        <f>IF([2]Entry!$R$429="","",[2]Entry!$R$429)</f>
        <v/>
      </c>
    </row>
    <row r="427">
      <c r="K427">
        <f>IF([1]Accounts!$D$428="","",[1]Accounts!$A$428)</f>
        <v/>
      </c>
      <c r="L427">
        <f>IF([1]Accounts!$D$428="","",[1]Accounts!$B$428)</f>
        <v/>
      </c>
      <c r="M427">
        <f>IF([1]Accounts!$D$428="","",[1]Accounts!$C$428)</f>
        <v/>
      </c>
      <c r="N427">
        <f>IF([1]Accounts!$D$428="","",[1]Accounts!$D$428)</f>
        <v/>
      </c>
      <c r="P427">
        <f>IF([2]Entry!$C$430="","",[2]Entry!$C$430)</f>
        <v/>
      </c>
      <c r="Q427">
        <f>IF([2]Entry!$D$430="","",[2]Entry!$D$430)</f>
        <v/>
      </c>
      <c r="R427">
        <f>IF([2]Entry!$E$430="","",[2]Entry!$E$430)</f>
        <v/>
      </c>
      <c r="S427">
        <f>IF([2]Entry!$G$430="","",[2]Entry!$G$430)</f>
        <v/>
      </c>
      <c r="T427">
        <f>IF([2]Entry!$J$430="","",[2]Entry!$J$430)</f>
        <v/>
      </c>
      <c r="U427">
        <f>IF([2]Entry!$K$430="","",[2]Entry!$K$430)</f>
        <v/>
      </c>
      <c r="V427">
        <f>IF([2]Entry!$L$430="","",[2]Entry!$L$430)</f>
        <v/>
      </c>
      <c r="W427">
        <f>IF([2]Entry!$M$430="","",[2]Entry!$M$430)</f>
        <v/>
      </c>
      <c r="X427">
        <f>IF([2]Entry!$N$430="","",[2]Entry!$N$430)</f>
        <v/>
      </c>
      <c r="Y427">
        <f>IF([2]Entry!$R$430="","",[2]Entry!$R$430)</f>
        <v/>
      </c>
    </row>
    <row r="428">
      <c r="K428">
        <f>IF([1]Accounts!$D$429="","",[1]Accounts!$A$429)</f>
        <v/>
      </c>
      <c r="L428">
        <f>IF([1]Accounts!$D$429="","",[1]Accounts!$B$429)</f>
        <v/>
      </c>
      <c r="M428">
        <f>IF([1]Accounts!$D$429="","",[1]Accounts!$C$429)</f>
        <v/>
      </c>
      <c r="N428">
        <f>IF([1]Accounts!$D$429="","",[1]Accounts!$D$429)</f>
        <v/>
      </c>
      <c r="P428">
        <f>IF([2]Entry!$C$431="","",[2]Entry!$C$431)</f>
        <v/>
      </c>
      <c r="Q428">
        <f>IF([2]Entry!$D$431="","",[2]Entry!$D$431)</f>
        <v/>
      </c>
      <c r="R428">
        <f>IF([2]Entry!$E$431="","",[2]Entry!$E$431)</f>
        <v/>
      </c>
      <c r="S428">
        <f>IF([2]Entry!$G$431="","",[2]Entry!$G$431)</f>
        <v/>
      </c>
      <c r="T428">
        <f>IF([2]Entry!$J$431="","",[2]Entry!$J$431)</f>
        <v/>
      </c>
      <c r="U428">
        <f>IF([2]Entry!$K$431="","",[2]Entry!$K$431)</f>
        <v/>
      </c>
      <c r="V428">
        <f>IF([2]Entry!$L$431="","",[2]Entry!$L$431)</f>
        <v/>
      </c>
      <c r="W428">
        <f>IF([2]Entry!$M$431="","",[2]Entry!$M$431)</f>
        <v/>
      </c>
      <c r="X428">
        <f>IF([2]Entry!$N$431="","",[2]Entry!$N$431)</f>
        <v/>
      </c>
      <c r="Y428">
        <f>IF([2]Entry!$R$431="","",[2]Entry!$R$431)</f>
        <v/>
      </c>
    </row>
    <row r="429">
      <c r="K429">
        <f>IF([1]Accounts!$D$430="","",[1]Accounts!$A$430)</f>
        <v/>
      </c>
      <c r="L429">
        <f>IF([1]Accounts!$D$430="","",[1]Accounts!$B$430)</f>
        <v/>
      </c>
      <c r="M429">
        <f>IF([1]Accounts!$D$430="","",[1]Accounts!$C$430)</f>
        <v/>
      </c>
      <c r="N429">
        <f>IF([1]Accounts!$D$430="","",[1]Accounts!$D$430)</f>
        <v/>
      </c>
      <c r="P429">
        <f>IF([2]Entry!$C$432="","",[2]Entry!$C$432)</f>
        <v/>
      </c>
      <c r="Q429">
        <f>IF([2]Entry!$D$432="","",[2]Entry!$D$432)</f>
        <v/>
      </c>
      <c r="R429">
        <f>IF([2]Entry!$E$432="","",[2]Entry!$E$432)</f>
        <v/>
      </c>
      <c r="S429">
        <f>IF([2]Entry!$G$432="","",[2]Entry!$G$432)</f>
        <v/>
      </c>
      <c r="T429">
        <f>IF([2]Entry!$J$432="","",[2]Entry!$J$432)</f>
        <v/>
      </c>
      <c r="U429">
        <f>IF([2]Entry!$K$432="","",[2]Entry!$K$432)</f>
        <v/>
      </c>
      <c r="V429">
        <f>IF([2]Entry!$L$432="","",[2]Entry!$L$432)</f>
        <v/>
      </c>
      <c r="W429">
        <f>IF([2]Entry!$M$432="","",[2]Entry!$M$432)</f>
        <v/>
      </c>
      <c r="X429">
        <f>IF([2]Entry!$N$432="","",[2]Entry!$N$432)</f>
        <v/>
      </c>
      <c r="Y429">
        <f>IF([2]Entry!$R$432="","",[2]Entry!$R$432)</f>
        <v/>
      </c>
    </row>
    <row r="430">
      <c r="K430">
        <f>IF([1]Accounts!$D$431="","",[1]Accounts!$A$431)</f>
        <v/>
      </c>
      <c r="L430">
        <f>IF([1]Accounts!$D$431="","",[1]Accounts!$B$431)</f>
        <v/>
      </c>
      <c r="M430">
        <f>IF([1]Accounts!$D$431="","",[1]Accounts!$C$431)</f>
        <v/>
      </c>
      <c r="N430">
        <f>IF([1]Accounts!$D$431="","",[1]Accounts!$D$431)</f>
        <v/>
      </c>
      <c r="P430">
        <f>IF([2]Entry!$C$433="","",[2]Entry!$C$433)</f>
        <v/>
      </c>
      <c r="Q430">
        <f>IF([2]Entry!$D$433="","",[2]Entry!$D$433)</f>
        <v/>
      </c>
      <c r="R430">
        <f>IF([2]Entry!$E$433="","",[2]Entry!$E$433)</f>
        <v/>
      </c>
      <c r="S430">
        <f>IF([2]Entry!$G$433="","",[2]Entry!$G$433)</f>
        <v/>
      </c>
      <c r="T430">
        <f>IF([2]Entry!$J$433="","",[2]Entry!$J$433)</f>
        <v/>
      </c>
      <c r="U430">
        <f>IF([2]Entry!$K$433="","",[2]Entry!$K$433)</f>
        <v/>
      </c>
      <c r="V430">
        <f>IF([2]Entry!$L$433="","",[2]Entry!$L$433)</f>
        <v/>
      </c>
      <c r="W430">
        <f>IF([2]Entry!$M$433="","",[2]Entry!$M$433)</f>
        <v/>
      </c>
      <c r="X430">
        <f>IF([2]Entry!$N$433="","",[2]Entry!$N$433)</f>
        <v/>
      </c>
      <c r="Y430">
        <f>IF([2]Entry!$R$433="","",[2]Entry!$R$433)</f>
        <v/>
      </c>
    </row>
    <row r="431">
      <c r="K431">
        <f>IF([1]Accounts!$D$432="","",[1]Accounts!$A$432)</f>
        <v/>
      </c>
      <c r="L431">
        <f>IF([1]Accounts!$D$432="","",[1]Accounts!$B$432)</f>
        <v/>
      </c>
      <c r="M431">
        <f>IF([1]Accounts!$D$432="","",[1]Accounts!$C$432)</f>
        <v/>
      </c>
      <c r="N431">
        <f>IF([1]Accounts!$D$432="","",[1]Accounts!$D$432)</f>
        <v/>
      </c>
      <c r="P431">
        <f>IF([2]Entry!$C$434="","",[2]Entry!$C$434)</f>
        <v/>
      </c>
      <c r="Q431">
        <f>IF([2]Entry!$D$434="","",[2]Entry!$D$434)</f>
        <v/>
      </c>
      <c r="R431">
        <f>IF([2]Entry!$E$434="","",[2]Entry!$E$434)</f>
        <v/>
      </c>
      <c r="S431">
        <f>IF([2]Entry!$G$434="","",[2]Entry!$G$434)</f>
        <v/>
      </c>
      <c r="T431">
        <f>IF([2]Entry!$J$434="","",[2]Entry!$J$434)</f>
        <v/>
      </c>
      <c r="U431">
        <f>IF([2]Entry!$K$434="","",[2]Entry!$K$434)</f>
        <v/>
      </c>
      <c r="V431">
        <f>IF([2]Entry!$L$434="","",[2]Entry!$L$434)</f>
        <v/>
      </c>
      <c r="W431">
        <f>IF([2]Entry!$M$434="","",[2]Entry!$M$434)</f>
        <v/>
      </c>
      <c r="X431">
        <f>IF([2]Entry!$N$434="","",[2]Entry!$N$434)</f>
        <v/>
      </c>
      <c r="Y431">
        <f>IF([2]Entry!$R$434="","",[2]Entry!$R$434)</f>
        <v/>
      </c>
    </row>
    <row r="432">
      <c r="K432">
        <f>IF([1]Accounts!$D$433="","",[1]Accounts!$A$433)</f>
        <v/>
      </c>
      <c r="L432">
        <f>IF([1]Accounts!$D$433="","",[1]Accounts!$B$433)</f>
        <v/>
      </c>
      <c r="M432">
        <f>IF([1]Accounts!$D$433="","",[1]Accounts!$C$433)</f>
        <v/>
      </c>
      <c r="N432">
        <f>IF([1]Accounts!$D$433="","",[1]Accounts!$D$433)</f>
        <v/>
      </c>
      <c r="P432">
        <f>IF([2]Entry!$C$435="","",[2]Entry!$C$435)</f>
        <v/>
      </c>
      <c r="Q432">
        <f>IF([2]Entry!$D$435="","",[2]Entry!$D$435)</f>
        <v/>
      </c>
      <c r="R432">
        <f>IF([2]Entry!$E$435="","",[2]Entry!$E$435)</f>
        <v/>
      </c>
      <c r="S432">
        <f>IF([2]Entry!$G$435="","",[2]Entry!$G$435)</f>
        <v/>
      </c>
      <c r="T432">
        <f>IF([2]Entry!$J$435="","",[2]Entry!$J$435)</f>
        <v/>
      </c>
      <c r="U432">
        <f>IF([2]Entry!$K$435="","",[2]Entry!$K$435)</f>
        <v/>
      </c>
      <c r="V432">
        <f>IF([2]Entry!$L$435="","",[2]Entry!$L$435)</f>
        <v/>
      </c>
      <c r="W432">
        <f>IF([2]Entry!$M$435="","",[2]Entry!$M$435)</f>
        <v/>
      </c>
      <c r="X432">
        <f>IF([2]Entry!$N$435="","",[2]Entry!$N$435)</f>
        <v/>
      </c>
      <c r="Y432">
        <f>IF([2]Entry!$R$435="","",[2]Entry!$R$435)</f>
        <v/>
      </c>
    </row>
    <row r="433">
      <c r="K433">
        <f>IF([1]Accounts!$D$434="","",[1]Accounts!$A$434)</f>
        <v/>
      </c>
      <c r="L433">
        <f>IF([1]Accounts!$D$434="","",[1]Accounts!$B$434)</f>
        <v/>
      </c>
      <c r="M433">
        <f>IF([1]Accounts!$D$434="","",[1]Accounts!$C$434)</f>
        <v/>
      </c>
      <c r="N433">
        <f>IF([1]Accounts!$D$434="","",[1]Accounts!$D$434)</f>
        <v/>
      </c>
      <c r="P433">
        <f>IF([2]Entry!$C$436="","",[2]Entry!$C$436)</f>
        <v/>
      </c>
      <c r="Q433">
        <f>IF([2]Entry!$D$436="","",[2]Entry!$D$436)</f>
        <v/>
      </c>
      <c r="R433">
        <f>IF([2]Entry!$E$436="","",[2]Entry!$E$436)</f>
        <v/>
      </c>
      <c r="S433">
        <f>IF([2]Entry!$G$436="","",[2]Entry!$G$436)</f>
        <v/>
      </c>
      <c r="T433">
        <f>IF([2]Entry!$J$436="","",[2]Entry!$J$436)</f>
        <v/>
      </c>
      <c r="U433">
        <f>IF([2]Entry!$K$436="","",[2]Entry!$K$436)</f>
        <v/>
      </c>
      <c r="V433">
        <f>IF([2]Entry!$L$436="","",[2]Entry!$L$436)</f>
        <v/>
      </c>
      <c r="W433">
        <f>IF([2]Entry!$M$436="","",[2]Entry!$M$436)</f>
        <v/>
      </c>
      <c r="X433">
        <f>IF([2]Entry!$N$436="","",[2]Entry!$N$436)</f>
        <v/>
      </c>
      <c r="Y433">
        <f>IF([2]Entry!$R$436="","",[2]Entry!$R$436)</f>
        <v/>
      </c>
    </row>
    <row r="434">
      <c r="K434">
        <f>IF([1]Accounts!$D$435="","",[1]Accounts!$A$435)</f>
        <v/>
      </c>
      <c r="L434">
        <f>IF([1]Accounts!$D$435="","",[1]Accounts!$B$435)</f>
        <v/>
      </c>
      <c r="M434">
        <f>IF([1]Accounts!$D$435="","",[1]Accounts!$C$435)</f>
        <v/>
      </c>
      <c r="N434">
        <f>IF([1]Accounts!$D$435="","",[1]Accounts!$D$435)</f>
        <v/>
      </c>
      <c r="P434">
        <f>IF([2]Entry!$C$437="","",[2]Entry!$C$437)</f>
        <v/>
      </c>
      <c r="Q434">
        <f>IF([2]Entry!$D$437="","",[2]Entry!$D$437)</f>
        <v/>
      </c>
      <c r="R434">
        <f>IF([2]Entry!$E$437="","",[2]Entry!$E$437)</f>
        <v/>
      </c>
      <c r="S434">
        <f>IF([2]Entry!$G$437="","",[2]Entry!$G$437)</f>
        <v/>
      </c>
      <c r="T434">
        <f>IF([2]Entry!$J$437="","",[2]Entry!$J$437)</f>
        <v/>
      </c>
      <c r="U434">
        <f>IF([2]Entry!$K$437="","",[2]Entry!$K$437)</f>
        <v/>
      </c>
      <c r="V434">
        <f>IF([2]Entry!$L$437="","",[2]Entry!$L$437)</f>
        <v/>
      </c>
      <c r="W434">
        <f>IF([2]Entry!$M$437="","",[2]Entry!$M$437)</f>
        <v/>
      </c>
      <c r="X434">
        <f>IF([2]Entry!$N$437="","",[2]Entry!$N$437)</f>
        <v/>
      </c>
      <c r="Y434">
        <f>IF([2]Entry!$R$437="","",[2]Entry!$R$437)</f>
        <v/>
      </c>
    </row>
    <row r="435">
      <c r="K435">
        <f>IF([1]Accounts!$D$436="","",[1]Accounts!$A$436)</f>
        <v/>
      </c>
      <c r="L435">
        <f>IF([1]Accounts!$D$436="","",[1]Accounts!$B$436)</f>
        <v/>
      </c>
      <c r="M435">
        <f>IF([1]Accounts!$D$436="","",[1]Accounts!$C$436)</f>
        <v/>
      </c>
      <c r="N435">
        <f>IF([1]Accounts!$D$436="","",[1]Accounts!$D$436)</f>
        <v/>
      </c>
      <c r="P435">
        <f>IF([2]Entry!$C$438="","",[2]Entry!$C$438)</f>
        <v/>
      </c>
      <c r="Q435">
        <f>IF([2]Entry!$D$438="","",[2]Entry!$D$438)</f>
        <v/>
      </c>
      <c r="R435">
        <f>IF([2]Entry!$E$438="","",[2]Entry!$E$438)</f>
        <v/>
      </c>
      <c r="S435">
        <f>IF([2]Entry!$G$438="","",[2]Entry!$G$438)</f>
        <v/>
      </c>
      <c r="T435">
        <f>IF([2]Entry!$J$438="","",[2]Entry!$J$438)</f>
        <v/>
      </c>
      <c r="U435">
        <f>IF([2]Entry!$K$438="","",[2]Entry!$K$438)</f>
        <v/>
      </c>
      <c r="V435">
        <f>IF([2]Entry!$L$438="","",[2]Entry!$L$438)</f>
        <v/>
      </c>
      <c r="W435">
        <f>IF([2]Entry!$M$438="","",[2]Entry!$M$438)</f>
        <v/>
      </c>
      <c r="X435">
        <f>IF([2]Entry!$N$438="","",[2]Entry!$N$438)</f>
        <v/>
      </c>
      <c r="Y435">
        <f>IF([2]Entry!$R$438="","",[2]Entry!$R$438)</f>
        <v/>
      </c>
    </row>
    <row r="436">
      <c r="K436">
        <f>IF([1]Accounts!$D$437="","",[1]Accounts!$A$437)</f>
        <v/>
      </c>
      <c r="L436">
        <f>IF([1]Accounts!$D$437="","",[1]Accounts!$B$437)</f>
        <v/>
      </c>
      <c r="M436">
        <f>IF([1]Accounts!$D$437="","",[1]Accounts!$C$437)</f>
        <v/>
      </c>
      <c r="N436">
        <f>IF([1]Accounts!$D$437="","",[1]Accounts!$D$437)</f>
        <v/>
      </c>
      <c r="P436">
        <f>IF([2]Entry!$C$439="","",[2]Entry!$C$439)</f>
        <v/>
      </c>
      <c r="Q436">
        <f>IF([2]Entry!$D$439="","",[2]Entry!$D$439)</f>
        <v/>
      </c>
      <c r="R436">
        <f>IF([2]Entry!$E$439="","",[2]Entry!$E$439)</f>
        <v/>
      </c>
      <c r="S436">
        <f>IF([2]Entry!$G$439="","",[2]Entry!$G$439)</f>
        <v/>
      </c>
      <c r="T436">
        <f>IF([2]Entry!$J$439="","",[2]Entry!$J$439)</f>
        <v/>
      </c>
      <c r="U436">
        <f>IF([2]Entry!$K$439="","",[2]Entry!$K$439)</f>
        <v/>
      </c>
      <c r="V436">
        <f>IF([2]Entry!$L$439="","",[2]Entry!$L$439)</f>
        <v/>
      </c>
      <c r="W436">
        <f>IF([2]Entry!$M$439="","",[2]Entry!$M$439)</f>
        <v/>
      </c>
      <c r="X436">
        <f>IF([2]Entry!$N$439="","",[2]Entry!$N$439)</f>
        <v/>
      </c>
      <c r="Y436">
        <f>IF([2]Entry!$R$439="","",[2]Entry!$R$439)</f>
        <v/>
      </c>
    </row>
    <row r="437">
      <c r="K437">
        <f>IF([1]Accounts!$D$438="","",[1]Accounts!$A$438)</f>
        <v/>
      </c>
      <c r="L437">
        <f>IF([1]Accounts!$D$438="","",[1]Accounts!$B$438)</f>
        <v/>
      </c>
      <c r="M437">
        <f>IF([1]Accounts!$D$438="","",[1]Accounts!$C$438)</f>
        <v/>
      </c>
      <c r="N437">
        <f>IF([1]Accounts!$D$438="","",[1]Accounts!$D$438)</f>
        <v/>
      </c>
      <c r="P437">
        <f>IF([2]Entry!$C$440="","",[2]Entry!$C$440)</f>
        <v/>
      </c>
      <c r="Q437">
        <f>IF([2]Entry!$D$440="","",[2]Entry!$D$440)</f>
        <v/>
      </c>
      <c r="R437">
        <f>IF([2]Entry!$E$440="","",[2]Entry!$E$440)</f>
        <v/>
      </c>
      <c r="S437">
        <f>IF([2]Entry!$G$440="","",[2]Entry!$G$440)</f>
        <v/>
      </c>
      <c r="T437">
        <f>IF([2]Entry!$J$440="","",[2]Entry!$J$440)</f>
        <v/>
      </c>
      <c r="U437">
        <f>IF([2]Entry!$K$440="","",[2]Entry!$K$440)</f>
        <v/>
      </c>
      <c r="V437">
        <f>IF([2]Entry!$L$440="","",[2]Entry!$L$440)</f>
        <v/>
      </c>
      <c r="W437">
        <f>IF([2]Entry!$M$440="","",[2]Entry!$M$440)</f>
        <v/>
      </c>
      <c r="X437">
        <f>IF([2]Entry!$N$440="","",[2]Entry!$N$440)</f>
        <v/>
      </c>
      <c r="Y437">
        <f>IF([2]Entry!$R$440="","",[2]Entry!$R$440)</f>
        <v/>
      </c>
    </row>
    <row r="438">
      <c r="K438">
        <f>IF([1]Accounts!$D$439="","",[1]Accounts!$A$439)</f>
        <v/>
      </c>
      <c r="L438">
        <f>IF([1]Accounts!$D$439="","",[1]Accounts!$B$439)</f>
        <v/>
      </c>
      <c r="M438">
        <f>IF([1]Accounts!$D$439="","",[1]Accounts!$C$439)</f>
        <v/>
      </c>
      <c r="N438">
        <f>IF([1]Accounts!$D$439="","",[1]Accounts!$D$439)</f>
        <v/>
      </c>
      <c r="P438">
        <f>IF([2]Entry!$C$441="","",[2]Entry!$C$441)</f>
        <v/>
      </c>
      <c r="Q438">
        <f>IF([2]Entry!$D$441="","",[2]Entry!$D$441)</f>
        <v/>
      </c>
      <c r="R438">
        <f>IF([2]Entry!$E$441="","",[2]Entry!$E$441)</f>
        <v/>
      </c>
      <c r="S438">
        <f>IF([2]Entry!$G$441="","",[2]Entry!$G$441)</f>
        <v/>
      </c>
      <c r="T438">
        <f>IF([2]Entry!$J$441="","",[2]Entry!$J$441)</f>
        <v/>
      </c>
      <c r="U438">
        <f>IF([2]Entry!$K$441="","",[2]Entry!$K$441)</f>
        <v/>
      </c>
      <c r="V438">
        <f>IF([2]Entry!$L$441="","",[2]Entry!$L$441)</f>
        <v/>
      </c>
      <c r="W438">
        <f>IF([2]Entry!$M$441="","",[2]Entry!$M$441)</f>
        <v/>
      </c>
      <c r="X438">
        <f>IF([2]Entry!$N$441="","",[2]Entry!$N$441)</f>
        <v/>
      </c>
      <c r="Y438">
        <f>IF([2]Entry!$R$441="","",[2]Entry!$R$441)</f>
        <v/>
      </c>
    </row>
    <row r="439">
      <c r="K439">
        <f>IF([1]Accounts!$D$440="","",[1]Accounts!$A$440)</f>
        <v/>
      </c>
      <c r="L439">
        <f>IF([1]Accounts!$D$440="","",[1]Accounts!$B$440)</f>
        <v/>
      </c>
      <c r="M439">
        <f>IF([1]Accounts!$D$440="","",[1]Accounts!$C$440)</f>
        <v/>
      </c>
      <c r="N439">
        <f>IF([1]Accounts!$D$440="","",[1]Accounts!$D$440)</f>
        <v/>
      </c>
      <c r="P439">
        <f>IF([2]Entry!$C$442="","",[2]Entry!$C$442)</f>
        <v/>
      </c>
      <c r="Q439">
        <f>IF([2]Entry!$D$442="","",[2]Entry!$D$442)</f>
        <v/>
      </c>
      <c r="R439">
        <f>IF([2]Entry!$E$442="","",[2]Entry!$E$442)</f>
        <v/>
      </c>
      <c r="S439">
        <f>IF([2]Entry!$G$442="","",[2]Entry!$G$442)</f>
        <v/>
      </c>
      <c r="T439">
        <f>IF([2]Entry!$J$442="","",[2]Entry!$J$442)</f>
        <v/>
      </c>
      <c r="U439">
        <f>IF([2]Entry!$K$442="","",[2]Entry!$K$442)</f>
        <v/>
      </c>
      <c r="V439">
        <f>IF([2]Entry!$L$442="","",[2]Entry!$L$442)</f>
        <v/>
      </c>
      <c r="W439">
        <f>IF([2]Entry!$M$442="","",[2]Entry!$M$442)</f>
        <v/>
      </c>
      <c r="X439">
        <f>IF([2]Entry!$N$442="","",[2]Entry!$N$442)</f>
        <v/>
      </c>
      <c r="Y439">
        <f>IF([2]Entry!$R$442="","",[2]Entry!$R$442)</f>
        <v/>
      </c>
    </row>
    <row r="440">
      <c r="K440">
        <f>IF([1]Accounts!$D$441="","",[1]Accounts!$A$441)</f>
        <v/>
      </c>
      <c r="L440">
        <f>IF([1]Accounts!$D$441="","",[1]Accounts!$B$441)</f>
        <v/>
      </c>
      <c r="M440">
        <f>IF([1]Accounts!$D$441="","",[1]Accounts!$C$441)</f>
        <v/>
      </c>
      <c r="N440">
        <f>IF([1]Accounts!$D$441="","",[1]Accounts!$D$441)</f>
        <v/>
      </c>
      <c r="P440">
        <f>IF([2]Entry!$C$443="","",[2]Entry!$C$443)</f>
        <v/>
      </c>
      <c r="Q440">
        <f>IF([2]Entry!$D$443="","",[2]Entry!$D$443)</f>
        <v/>
      </c>
      <c r="R440">
        <f>IF([2]Entry!$E$443="","",[2]Entry!$E$443)</f>
        <v/>
      </c>
      <c r="S440">
        <f>IF([2]Entry!$G$443="","",[2]Entry!$G$443)</f>
        <v/>
      </c>
      <c r="T440">
        <f>IF([2]Entry!$J$443="","",[2]Entry!$J$443)</f>
        <v/>
      </c>
      <c r="U440">
        <f>IF([2]Entry!$K$443="","",[2]Entry!$K$443)</f>
        <v/>
      </c>
      <c r="V440">
        <f>IF([2]Entry!$L$443="","",[2]Entry!$L$443)</f>
        <v/>
      </c>
      <c r="W440">
        <f>IF([2]Entry!$M$443="","",[2]Entry!$M$443)</f>
        <v/>
      </c>
      <c r="X440">
        <f>IF([2]Entry!$N$443="","",[2]Entry!$N$443)</f>
        <v/>
      </c>
      <c r="Y440">
        <f>IF([2]Entry!$R$443="","",[2]Entry!$R$443)</f>
        <v/>
      </c>
    </row>
    <row r="441">
      <c r="K441">
        <f>IF([1]Accounts!$D$442="","",[1]Accounts!$A$442)</f>
        <v/>
      </c>
      <c r="L441">
        <f>IF([1]Accounts!$D$442="","",[1]Accounts!$B$442)</f>
        <v/>
      </c>
      <c r="M441">
        <f>IF([1]Accounts!$D$442="","",[1]Accounts!$C$442)</f>
        <v/>
      </c>
      <c r="N441">
        <f>IF([1]Accounts!$D$442="","",[1]Accounts!$D$442)</f>
        <v/>
      </c>
      <c r="P441">
        <f>IF([2]Entry!$C$444="","",[2]Entry!$C$444)</f>
        <v/>
      </c>
      <c r="Q441">
        <f>IF([2]Entry!$D$444="","",[2]Entry!$D$444)</f>
        <v/>
      </c>
      <c r="R441">
        <f>IF([2]Entry!$E$444="","",[2]Entry!$E$444)</f>
        <v/>
      </c>
      <c r="S441">
        <f>IF([2]Entry!$G$444="","",[2]Entry!$G$444)</f>
        <v/>
      </c>
      <c r="T441">
        <f>IF([2]Entry!$J$444="","",[2]Entry!$J$444)</f>
        <v/>
      </c>
      <c r="U441">
        <f>IF([2]Entry!$K$444="","",[2]Entry!$K$444)</f>
        <v/>
      </c>
      <c r="V441">
        <f>IF([2]Entry!$L$444="","",[2]Entry!$L$444)</f>
        <v/>
      </c>
      <c r="W441">
        <f>IF([2]Entry!$M$444="","",[2]Entry!$M$444)</f>
        <v/>
      </c>
      <c r="X441">
        <f>IF([2]Entry!$N$444="","",[2]Entry!$N$444)</f>
        <v/>
      </c>
      <c r="Y441">
        <f>IF([2]Entry!$R$444="","",[2]Entry!$R$444)</f>
        <v/>
      </c>
    </row>
    <row r="442">
      <c r="K442">
        <f>IF([1]Accounts!$D$443="","",[1]Accounts!$A$443)</f>
        <v/>
      </c>
      <c r="L442">
        <f>IF([1]Accounts!$D$443="","",[1]Accounts!$B$443)</f>
        <v/>
      </c>
      <c r="M442">
        <f>IF([1]Accounts!$D$443="","",[1]Accounts!$C$443)</f>
        <v/>
      </c>
      <c r="N442">
        <f>IF([1]Accounts!$D$443="","",[1]Accounts!$D$443)</f>
        <v/>
      </c>
      <c r="P442">
        <f>IF([2]Entry!$C$445="","",[2]Entry!$C$445)</f>
        <v/>
      </c>
      <c r="Q442">
        <f>IF([2]Entry!$D$445="","",[2]Entry!$D$445)</f>
        <v/>
      </c>
      <c r="R442">
        <f>IF([2]Entry!$E$445="","",[2]Entry!$E$445)</f>
        <v/>
      </c>
      <c r="S442">
        <f>IF([2]Entry!$G$445="","",[2]Entry!$G$445)</f>
        <v/>
      </c>
      <c r="T442">
        <f>IF([2]Entry!$J$445="","",[2]Entry!$J$445)</f>
        <v/>
      </c>
      <c r="U442">
        <f>IF([2]Entry!$K$445="","",[2]Entry!$K$445)</f>
        <v/>
      </c>
      <c r="V442">
        <f>IF([2]Entry!$L$445="","",[2]Entry!$L$445)</f>
        <v/>
      </c>
      <c r="W442">
        <f>IF([2]Entry!$M$445="","",[2]Entry!$M$445)</f>
        <v/>
      </c>
      <c r="X442">
        <f>IF([2]Entry!$N$445="","",[2]Entry!$N$445)</f>
        <v/>
      </c>
      <c r="Y442">
        <f>IF([2]Entry!$R$445="","",[2]Entry!$R$445)</f>
        <v/>
      </c>
    </row>
    <row r="443">
      <c r="K443">
        <f>IF([1]Accounts!$D$444="","",[1]Accounts!$A$444)</f>
        <v/>
      </c>
      <c r="L443">
        <f>IF([1]Accounts!$D$444="","",[1]Accounts!$B$444)</f>
        <v/>
      </c>
      <c r="M443">
        <f>IF([1]Accounts!$D$444="","",[1]Accounts!$C$444)</f>
        <v/>
      </c>
      <c r="N443">
        <f>IF([1]Accounts!$D$444="","",[1]Accounts!$D$444)</f>
        <v/>
      </c>
      <c r="P443">
        <f>IF([2]Entry!$C$446="","",[2]Entry!$C$446)</f>
        <v/>
      </c>
      <c r="Q443">
        <f>IF([2]Entry!$D$446="","",[2]Entry!$D$446)</f>
        <v/>
      </c>
      <c r="R443">
        <f>IF([2]Entry!$E$446="","",[2]Entry!$E$446)</f>
        <v/>
      </c>
      <c r="S443">
        <f>IF([2]Entry!$G$446="","",[2]Entry!$G$446)</f>
        <v/>
      </c>
      <c r="T443">
        <f>IF([2]Entry!$J$446="","",[2]Entry!$J$446)</f>
        <v/>
      </c>
      <c r="U443">
        <f>IF([2]Entry!$K$446="","",[2]Entry!$K$446)</f>
        <v/>
      </c>
      <c r="V443">
        <f>IF([2]Entry!$L$446="","",[2]Entry!$L$446)</f>
        <v/>
      </c>
      <c r="W443">
        <f>IF([2]Entry!$M$446="","",[2]Entry!$M$446)</f>
        <v/>
      </c>
      <c r="X443">
        <f>IF([2]Entry!$N$446="","",[2]Entry!$N$446)</f>
        <v/>
      </c>
      <c r="Y443">
        <f>IF([2]Entry!$R$446="","",[2]Entry!$R$446)</f>
        <v/>
      </c>
    </row>
    <row r="444">
      <c r="K444">
        <f>IF([1]Accounts!$D$445="","",[1]Accounts!$A$445)</f>
        <v/>
      </c>
      <c r="L444">
        <f>IF([1]Accounts!$D$445="","",[1]Accounts!$B$445)</f>
        <v/>
      </c>
      <c r="M444">
        <f>IF([1]Accounts!$D$445="","",[1]Accounts!$C$445)</f>
        <v/>
      </c>
      <c r="N444">
        <f>IF([1]Accounts!$D$445="","",[1]Accounts!$D$445)</f>
        <v/>
      </c>
      <c r="P444">
        <f>IF([2]Entry!$C$447="","",[2]Entry!$C$447)</f>
        <v/>
      </c>
      <c r="Q444">
        <f>IF([2]Entry!$D$447="","",[2]Entry!$D$447)</f>
        <v/>
      </c>
      <c r="R444">
        <f>IF([2]Entry!$E$447="","",[2]Entry!$E$447)</f>
        <v/>
      </c>
      <c r="S444">
        <f>IF([2]Entry!$G$447="","",[2]Entry!$G$447)</f>
        <v/>
      </c>
      <c r="T444">
        <f>IF([2]Entry!$J$447="","",[2]Entry!$J$447)</f>
        <v/>
      </c>
      <c r="U444">
        <f>IF([2]Entry!$K$447="","",[2]Entry!$K$447)</f>
        <v/>
      </c>
      <c r="V444">
        <f>IF([2]Entry!$L$447="","",[2]Entry!$L$447)</f>
        <v/>
      </c>
      <c r="W444">
        <f>IF([2]Entry!$M$447="","",[2]Entry!$M$447)</f>
        <v/>
      </c>
      <c r="X444">
        <f>IF([2]Entry!$N$447="","",[2]Entry!$N$447)</f>
        <v/>
      </c>
      <c r="Y444">
        <f>IF([2]Entry!$R$447="","",[2]Entry!$R$447)</f>
        <v/>
      </c>
    </row>
    <row r="445">
      <c r="K445">
        <f>IF([1]Accounts!$D$446="","",[1]Accounts!$A$446)</f>
        <v/>
      </c>
      <c r="L445">
        <f>IF([1]Accounts!$D$446="","",[1]Accounts!$B$446)</f>
        <v/>
      </c>
      <c r="M445">
        <f>IF([1]Accounts!$D$446="","",[1]Accounts!$C$446)</f>
        <v/>
      </c>
      <c r="N445">
        <f>IF([1]Accounts!$D$446="","",[1]Accounts!$D$446)</f>
        <v/>
      </c>
      <c r="P445">
        <f>IF([2]Entry!$C$448="","",[2]Entry!$C$448)</f>
        <v/>
      </c>
      <c r="Q445">
        <f>IF([2]Entry!$D$448="","",[2]Entry!$D$448)</f>
        <v/>
      </c>
      <c r="R445">
        <f>IF([2]Entry!$E$448="","",[2]Entry!$E$448)</f>
        <v/>
      </c>
      <c r="S445">
        <f>IF([2]Entry!$G$448="","",[2]Entry!$G$448)</f>
        <v/>
      </c>
      <c r="T445">
        <f>IF([2]Entry!$J$448="","",[2]Entry!$J$448)</f>
        <v/>
      </c>
      <c r="U445">
        <f>IF([2]Entry!$K$448="","",[2]Entry!$K$448)</f>
        <v/>
      </c>
      <c r="V445">
        <f>IF([2]Entry!$L$448="","",[2]Entry!$L$448)</f>
        <v/>
      </c>
      <c r="W445">
        <f>IF([2]Entry!$M$448="","",[2]Entry!$M$448)</f>
        <v/>
      </c>
      <c r="X445">
        <f>IF([2]Entry!$N$448="","",[2]Entry!$N$448)</f>
        <v/>
      </c>
      <c r="Y445">
        <f>IF([2]Entry!$R$448="","",[2]Entry!$R$448)</f>
        <v/>
      </c>
    </row>
    <row r="446">
      <c r="K446">
        <f>IF([1]Accounts!$D$447="","",[1]Accounts!$A$447)</f>
        <v/>
      </c>
      <c r="L446">
        <f>IF([1]Accounts!$D$447="","",[1]Accounts!$B$447)</f>
        <v/>
      </c>
      <c r="M446">
        <f>IF([1]Accounts!$D$447="","",[1]Accounts!$C$447)</f>
        <v/>
      </c>
      <c r="N446">
        <f>IF([1]Accounts!$D$447="","",[1]Accounts!$D$447)</f>
        <v/>
      </c>
      <c r="P446">
        <f>IF([2]Entry!$C$449="","",[2]Entry!$C$449)</f>
        <v/>
      </c>
      <c r="Q446">
        <f>IF([2]Entry!$D$449="","",[2]Entry!$D$449)</f>
        <v/>
      </c>
      <c r="R446">
        <f>IF([2]Entry!$E$449="","",[2]Entry!$E$449)</f>
        <v/>
      </c>
      <c r="S446">
        <f>IF([2]Entry!$G$449="","",[2]Entry!$G$449)</f>
        <v/>
      </c>
      <c r="T446">
        <f>IF([2]Entry!$J$449="","",[2]Entry!$J$449)</f>
        <v/>
      </c>
      <c r="U446">
        <f>IF([2]Entry!$K$449="","",[2]Entry!$K$449)</f>
        <v/>
      </c>
      <c r="V446">
        <f>IF([2]Entry!$L$449="","",[2]Entry!$L$449)</f>
        <v/>
      </c>
      <c r="W446">
        <f>IF([2]Entry!$M$449="","",[2]Entry!$M$449)</f>
        <v/>
      </c>
      <c r="X446">
        <f>IF([2]Entry!$N$449="","",[2]Entry!$N$449)</f>
        <v/>
      </c>
      <c r="Y446">
        <f>IF([2]Entry!$R$449="","",[2]Entry!$R$449)</f>
        <v/>
      </c>
    </row>
    <row r="447">
      <c r="K447">
        <f>IF([1]Accounts!$D$448="","",[1]Accounts!$A$448)</f>
        <v/>
      </c>
      <c r="L447">
        <f>IF([1]Accounts!$D$448="","",[1]Accounts!$B$448)</f>
        <v/>
      </c>
      <c r="M447">
        <f>IF([1]Accounts!$D$448="","",[1]Accounts!$C$448)</f>
        <v/>
      </c>
      <c r="N447">
        <f>IF([1]Accounts!$D$448="","",[1]Accounts!$D$448)</f>
        <v/>
      </c>
      <c r="P447">
        <f>IF([2]Entry!$C$450="","",[2]Entry!$C$450)</f>
        <v/>
      </c>
      <c r="Q447">
        <f>IF([2]Entry!$D$450="","",[2]Entry!$D$450)</f>
        <v/>
      </c>
      <c r="R447">
        <f>IF([2]Entry!$E$450="","",[2]Entry!$E$450)</f>
        <v/>
      </c>
      <c r="S447">
        <f>IF([2]Entry!$G$450="","",[2]Entry!$G$450)</f>
        <v/>
      </c>
      <c r="T447">
        <f>IF([2]Entry!$J$450="","",[2]Entry!$J$450)</f>
        <v/>
      </c>
      <c r="U447">
        <f>IF([2]Entry!$K$450="","",[2]Entry!$K$450)</f>
        <v/>
      </c>
      <c r="V447">
        <f>IF([2]Entry!$L$450="","",[2]Entry!$L$450)</f>
        <v/>
      </c>
      <c r="W447">
        <f>IF([2]Entry!$M$450="","",[2]Entry!$M$450)</f>
        <v/>
      </c>
      <c r="X447">
        <f>IF([2]Entry!$N$450="","",[2]Entry!$N$450)</f>
        <v/>
      </c>
      <c r="Y447">
        <f>IF([2]Entry!$R$450="","",[2]Entry!$R$450)</f>
        <v/>
      </c>
    </row>
    <row r="448">
      <c r="K448">
        <f>IF([1]Accounts!$D$449="","",[1]Accounts!$A$449)</f>
        <v/>
      </c>
      <c r="L448">
        <f>IF([1]Accounts!$D$449="","",[1]Accounts!$B$449)</f>
        <v/>
      </c>
      <c r="M448">
        <f>IF([1]Accounts!$D$449="","",[1]Accounts!$C$449)</f>
        <v/>
      </c>
      <c r="N448">
        <f>IF([1]Accounts!$D$449="","",[1]Accounts!$D$449)</f>
        <v/>
      </c>
      <c r="P448">
        <f>IF([2]Entry!$C$451="","",[2]Entry!$C$451)</f>
        <v/>
      </c>
      <c r="Q448">
        <f>IF([2]Entry!$D$451="","",[2]Entry!$D$451)</f>
        <v/>
      </c>
      <c r="R448">
        <f>IF([2]Entry!$E$451="","",[2]Entry!$E$451)</f>
        <v/>
      </c>
      <c r="S448">
        <f>IF([2]Entry!$G$451="","",[2]Entry!$G$451)</f>
        <v/>
      </c>
      <c r="T448">
        <f>IF([2]Entry!$J$451="","",[2]Entry!$J$451)</f>
        <v/>
      </c>
      <c r="U448">
        <f>IF([2]Entry!$K$451="","",[2]Entry!$K$451)</f>
        <v/>
      </c>
      <c r="V448">
        <f>IF([2]Entry!$L$451="","",[2]Entry!$L$451)</f>
        <v/>
      </c>
      <c r="W448">
        <f>IF([2]Entry!$M$451="","",[2]Entry!$M$451)</f>
        <v/>
      </c>
      <c r="X448">
        <f>IF([2]Entry!$N$451="","",[2]Entry!$N$451)</f>
        <v/>
      </c>
      <c r="Y448">
        <f>IF([2]Entry!$R$451="","",[2]Entry!$R$451)</f>
        <v/>
      </c>
    </row>
    <row r="449">
      <c r="K449">
        <f>IF([1]Accounts!$D$450="","",[1]Accounts!$A$450)</f>
        <v/>
      </c>
      <c r="L449">
        <f>IF([1]Accounts!$D$450="","",[1]Accounts!$B$450)</f>
        <v/>
      </c>
      <c r="M449">
        <f>IF([1]Accounts!$D$450="","",[1]Accounts!$C$450)</f>
        <v/>
      </c>
      <c r="N449">
        <f>IF([1]Accounts!$D$450="","",[1]Accounts!$D$450)</f>
        <v/>
      </c>
      <c r="P449">
        <f>IF([2]Entry!$C$452="","",[2]Entry!$C$452)</f>
        <v/>
      </c>
      <c r="Q449">
        <f>IF([2]Entry!$D$452="","",[2]Entry!$D$452)</f>
        <v/>
      </c>
      <c r="R449">
        <f>IF([2]Entry!$E$452="","",[2]Entry!$E$452)</f>
        <v/>
      </c>
      <c r="S449">
        <f>IF([2]Entry!$G$452="","",[2]Entry!$G$452)</f>
        <v/>
      </c>
      <c r="T449">
        <f>IF([2]Entry!$J$452="","",[2]Entry!$J$452)</f>
        <v/>
      </c>
      <c r="U449">
        <f>IF([2]Entry!$K$452="","",[2]Entry!$K$452)</f>
        <v/>
      </c>
      <c r="V449">
        <f>IF([2]Entry!$L$452="","",[2]Entry!$L$452)</f>
        <v/>
      </c>
      <c r="W449">
        <f>IF([2]Entry!$M$452="","",[2]Entry!$M$452)</f>
        <v/>
      </c>
      <c r="X449">
        <f>IF([2]Entry!$N$452="","",[2]Entry!$N$452)</f>
        <v/>
      </c>
      <c r="Y449">
        <f>IF([2]Entry!$R$452="","",[2]Entry!$R$452)</f>
        <v/>
      </c>
    </row>
    <row r="450">
      <c r="K450">
        <f>IF([1]Accounts!$D$451="","",[1]Accounts!$A$451)</f>
        <v/>
      </c>
      <c r="L450">
        <f>IF([1]Accounts!$D$451="","",[1]Accounts!$B$451)</f>
        <v/>
      </c>
      <c r="M450">
        <f>IF([1]Accounts!$D$451="","",[1]Accounts!$C$451)</f>
        <v/>
      </c>
      <c r="N450">
        <f>IF([1]Accounts!$D$451="","",[1]Accounts!$D$451)</f>
        <v/>
      </c>
      <c r="P450">
        <f>IF([2]Entry!$C$453="","",[2]Entry!$C$453)</f>
        <v/>
      </c>
      <c r="Q450">
        <f>IF([2]Entry!$D$453="","",[2]Entry!$D$453)</f>
        <v/>
      </c>
      <c r="R450">
        <f>IF([2]Entry!$E$453="","",[2]Entry!$E$453)</f>
        <v/>
      </c>
      <c r="S450">
        <f>IF([2]Entry!$G$453="","",[2]Entry!$G$453)</f>
        <v/>
      </c>
      <c r="T450">
        <f>IF([2]Entry!$J$453="","",[2]Entry!$J$453)</f>
        <v/>
      </c>
      <c r="U450">
        <f>IF([2]Entry!$K$453="","",[2]Entry!$K$453)</f>
        <v/>
      </c>
      <c r="V450">
        <f>IF([2]Entry!$L$453="","",[2]Entry!$L$453)</f>
        <v/>
      </c>
      <c r="W450">
        <f>IF([2]Entry!$M$453="","",[2]Entry!$M$453)</f>
        <v/>
      </c>
      <c r="X450">
        <f>IF([2]Entry!$N$453="","",[2]Entry!$N$453)</f>
        <v/>
      </c>
      <c r="Y450">
        <f>IF([2]Entry!$R$453="","",[2]Entry!$R$453)</f>
        <v/>
      </c>
    </row>
    <row r="451">
      <c r="K451">
        <f>IF([1]Accounts!$D$452="","",[1]Accounts!$A$452)</f>
        <v/>
      </c>
      <c r="L451">
        <f>IF([1]Accounts!$D$452="","",[1]Accounts!$B$452)</f>
        <v/>
      </c>
      <c r="M451">
        <f>IF([1]Accounts!$D$452="","",[1]Accounts!$C$452)</f>
        <v/>
      </c>
      <c r="N451">
        <f>IF([1]Accounts!$D$452="","",[1]Accounts!$D$452)</f>
        <v/>
      </c>
      <c r="P451">
        <f>IF([2]Entry!$C$454="","",[2]Entry!$C$454)</f>
        <v/>
      </c>
      <c r="Q451">
        <f>IF([2]Entry!$D$454="","",[2]Entry!$D$454)</f>
        <v/>
      </c>
      <c r="R451">
        <f>IF([2]Entry!$E$454="","",[2]Entry!$E$454)</f>
        <v/>
      </c>
      <c r="S451">
        <f>IF([2]Entry!$G$454="","",[2]Entry!$G$454)</f>
        <v/>
      </c>
      <c r="T451">
        <f>IF([2]Entry!$J$454="","",[2]Entry!$J$454)</f>
        <v/>
      </c>
      <c r="U451">
        <f>IF([2]Entry!$K$454="","",[2]Entry!$K$454)</f>
        <v/>
      </c>
      <c r="V451">
        <f>IF([2]Entry!$L$454="","",[2]Entry!$L$454)</f>
        <v/>
      </c>
      <c r="W451">
        <f>IF([2]Entry!$M$454="","",[2]Entry!$M$454)</f>
        <v/>
      </c>
      <c r="X451">
        <f>IF([2]Entry!$N$454="","",[2]Entry!$N$454)</f>
        <v/>
      </c>
      <c r="Y451">
        <f>IF([2]Entry!$R$454="","",[2]Entry!$R$454)</f>
        <v/>
      </c>
    </row>
    <row r="452">
      <c r="K452">
        <f>IF([1]Accounts!$D$453="","",[1]Accounts!$A$453)</f>
        <v/>
      </c>
      <c r="L452">
        <f>IF([1]Accounts!$D$453="","",[1]Accounts!$B$453)</f>
        <v/>
      </c>
      <c r="M452">
        <f>IF([1]Accounts!$D$453="","",[1]Accounts!$C$453)</f>
        <v/>
      </c>
      <c r="N452">
        <f>IF([1]Accounts!$D$453="","",[1]Accounts!$D$453)</f>
        <v/>
      </c>
      <c r="P452">
        <f>IF([2]Entry!$C$455="","",[2]Entry!$C$455)</f>
        <v/>
      </c>
      <c r="Q452">
        <f>IF([2]Entry!$D$455="","",[2]Entry!$D$455)</f>
        <v/>
      </c>
      <c r="R452">
        <f>IF([2]Entry!$E$455="","",[2]Entry!$E$455)</f>
        <v/>
      </c>
      <c r="S452">
        <f>IF([2]Entry!$G$455="","",[2]Entry!$G$455)</f>
        <v/>
      </c>
      <c r="T452">
        <f>IF([2]Entry!$J$455="","",[2]Entry!$J$455)</f>
        <v/>
      </c>
      <c r="U452">
        <f>IF([2]Entry!$K$455="","",[2]Entry!$K$455)</f>
        <v/>
      </c>
      <c r="V452">
        <f>IF([2]Entry!$L$455="","",[2]Entry!$L$455)</f>
        <v/>
      </c>
      <c r="W452">
        <f>IF([2]Entry!$M$455="","",[2]Entry!$M$455)</f>
        <v/>
      </c>
      <c r="X452">
        <f>IF([2]Entry!$N$455="","",[2]Entry!$N$455)</f>
        <v/>
      </c>
      <c r="Y452">
        <f>IF([2]Entry!$R$455="","",[2]Entry!$R$455)</f>
        <v/>
      </c>
    </row>
    <row r="453">
      <c r="K453">
        <f>IF([1]Accounts!$D$454="","",[1]Accounts!$A$454)</f>
        <v/>
      </c>
      <c r="L453">
        <f>IF([1]Accounts!$D$454="","",[1]Accounts!$B$454)</f>
        <v/>
      </c>
      <c r="M453">
        <f>IF([1]Accounts!$D$454="","",[1]Accounts!$C$454)</f>
        <v/>
      </c>
      <c r="N453">
        <f>IF([1]Accounts!$D$454="","",[1]Accounts!$D$454)</f>
        <v/>
      </c>
      <c r="P453">
        <f>IF([2]Entry!$C$456="","",[2]Entry!$C$456)</f>
        <v/>
      </c>
      <c r="Q453">
        <f>IF([2]Entry!$D$456="","",[2]Entry!$D$456)</f>
        <v/>
      </c>
      <c r="R453">
        <f>IF([2]Entry!$E$456="","",[2]Entry!$E$456)</f>
        <v/>
      </c>
      <c r="S453">
        <f>IF([2]Entry!$G$456="","",[2]Entry!$G$456)</f>
        <v/>
      </c>
      <c r="T453">
        <f>IF([2]Entry!$J$456="","",[2]Entry!$J$456)</f>
        <v/>
      </c>
      <c r="U453">
        <f>IF([2]Entry!$K$456="","",[2]Entry!$K$456)</f>
        <v/>
      </c>
      <c r="V453">
        <f>IF([2]Entry!$L$456="","",[2]Entry!$L$456)</f>
        <v/>
      </c>
      <c r="W453">
        <f>IF([2]Entry!$M$456="","",[2]Entry!$M$456)</f>
        <v/>
      </c>
      <c r="X453">
        <f>IF([2]Entry!$N$456="","",[2]Entry!$N$456)</f>
        <v/>
      </c>
      <c r="Y453">
        <f>IF([2]Entry!$R$456="","",[2]Entry!$R$456)</f>
        <v/>
      </c>
    </row>
    <row r="454">
      <c r="K454">
        <f>IF([1]Accounts!$D$455="","",[1]Accounts!$A$455)</f>
        <v/>
      </c>
      <c r="L454">
        <f>IF([1]Accounts!$D$455="","",[1]Accounts!$B$455)</f>
        <v/>
      </c>
      <c r="M454">
        <f>IF([1]Accounts!$D$455="","",[1]Accounts!$C$455)</f>
        <v/>
      </c>
      <c r="N454">
        <f>IF([1]Accounts!$D$455="","",[1]Accounts!$D$455)</f>
        <v/>
      </c>
      <c r="P454">
        <f>IF([2]Entry!$C$457="","",[2]Entry!$C$457)</f>
        <v/>
      </c>
      <c r="Q454">
        <f>IF([2]Entry!$D$457="","",[2]Entry!$D$457)</f>
        <v/>
      </c>
      <c r="R454">
        <f>IF([2]Entry!$E$457="","",[2]Entry!$E$457)</f>
        <v/>
      </c>
      <c r="S454">
        <f>IF([2]Entry!$G$457="","",[2]Entry!$G$457)</f>
        <v/>
      </c>
      <c r="T454">
        <f>IF([2]Entry!$J$457="","",[2]Entry!$J$457)</f>
        <v/>
      </c>
      <c r="U454">
        <f>IF([2]Entry!$K$457="","",[2]Entry!$K$457)</f>
        <v/>
      </c>
      <c r="V454">
        <f>IF([2]Entry!$L$457="","",[2]Entry!$L$457)</f>
        <v/>
      </c>
      <c r="W454">
        <f>IF([2]Entry!$M$457="","",[2]Entry!$M$457)</f>
        <v/>
      </c>
      <c r="X454">
        <f>IF([2]Entry!$N$457="","",[2]Entry!$N$457)</f>
        <v/>
      </c>
      <c r="Y454">
        <f>IF([2]Entry!$R$457="","",[2]Entry!$R$457)</f>
        <v/>
      </c>
    </row>
    <row r="455">
      <c r="K455">
        <f>IF([1]Accounts!$D$456="","",[1]Accounts!$A$456)</f>
        <v/>
      </c>
      <c r="L455">
        <f>IF([1]Accounts!$D$456="","",[1]Accounts!$B$456)</f>
        <v/>
      </c>
      <c r="M455">
        <f>IF([1]Accounts!$D$456="","",[1]Accounts!$C$456)</f>
        <v/>
      </c>
      <c r="N455">
        <f>IF([1]Accounts!$D$456="","",[1]Accounts!$D$456)</f>
        <v/>
      </c>
      <c r="P455">
        <f>IF([2]Entry!$C$458="","",[2]Entry!$C$458)</f>
        <v/>
      </c>
      <c r="Q455">
        <f>IF([2]Entry!$D$458="","",[2]Entry!$D$458)</f>
        <v/>
      </c>
      <c r="R455">
        <f>IF([2]Entry!$E$458="","",[2]Entry!$E$458)</f>
        <v/>
      </c>
      <c r="S455">
        <f>IF([2]Entry!$G$458="","",[2]Entry!$G$458)</f>
        <v/>
      </c>
      <c r="T455">
        <f>IF([2]Entry!$J$458="","",[2]Entry!$J$458)</f>
        <v/>
      </c>
      <c r="U455">
        <f>IF([2]Entry!$K$458="","",[2]Entry!$K$458)</f>
        <v/>
      </c>
      <c r="V455">
        <f>IF([2]Entry!$L$458="","",[2]Entry!$L$458)</f>
        <v/>
      </c>
      <c r="W455">
        <f>IF([2]Entry!$M$458="","",[2]Entry!$M$458)</f>
        <v/>
      </c>
      <c r="X455">
        <f>IF([2]Entry!$N$458="","",[2]Entry!$N$458)</f>
        <v/>
      </c>
      <c r="Y455">
        <f>IF([2]Entry!$R$458="","",[2]Entry!$R$458)</f>
        <v/>
      </c>
    </row>
    <row r="456">
      <c r="K456">
        <f>IF([1]Accounts!$D$457="","",[1]Accounts!$A$457)</f>
        <v/>
      </c>
      <c r="L456">
        <f>IF([1]Accounts!$D$457="","",[1]Accounts!$B$457)</f>
        <v/>
      </c>
      <c r="M456">
        <f>IF([1]Accounts!$D$457="","",[1]Accounts!$C$457)</f>
        <v/>
      </c>
      <c r="N456">
        <f>IF([1]Accounts!$D$457="","",[1]Accounts!$D$457)</f>
        <v/>
      </c>
      <c r="P456">
        <f>IF([2]Entry!$C$459="","",[2]Entry!$C$459)</f>
        <v/>
      </c>
      <c r="Q456">
        <f>IF([2]Entry!$D$459="","",[2]Entry!$D$459)</f>
        <v/>
      </c>
      <c r="R456">
        <f>IF([2]Entry!$E$459="","",[2]Entry!$E$459)</f>
        <v/>
      </c>
      <c r="S456">
        <f>IF([2]Entry!$G$459="","",[2]Entry!$G$459)</f>
        <v/>
      </c>
      <c r="T456">
        <f>IF([2]Entry!$J$459="","",[2]Entry!$J$459)</f>
        <v/>
      </c>
      <c r="U456">
        <f>IF([2]Entry!$K$459="","",[2]Entry!$K$459)</f>
        <v/>
      </c>
      <c r="V456">
        <f>IF([2]Entry!$L$459="","",[2]Entry!$L$459)</f>
        <v/>
      </c>
      <c r="W456">
        <f>IF([2]Entry!$M$459="","",[2]Entry!$M$459)</f>
        <v/>
      </c>
      <c r="X456">
        <f>IF([2]Entry!$N$459="","",[2]Entry!$N$459)</f>
        <v/>
      </c>
      <c r="Y456">
        <f>IF([2]Entry!$R$459="","",[2]Entry!$R$459)</f>
        <v/>
      </c>
    </row>
    <row r="457">
      <c r="K457">
        <f>IF([1]Accounts!$D$458="","",[1]Accounts!$A$458)</f>
        <v/>
      </c>
      <c r="L457">
        <f>IF([1]Accounts!$D$458="","",[1]Accounts!$B$458)</f>
        <v/>
      </c>
      <c r="M457">
        <f>IF([1]Accounts!$D$458="","",[1]Accounts!$C$458)</f>
        <v/>
      </c>
      <c r="N457">
        <f>IF([1]Accounts!$D$458="","",[1]Accounts!$D$458)</f>
        <v/>
      </c>
      <c r="P457">
        <f>IF([2]Entry!$C$460="","",[2]Entry!$C$460)</f>
        <v/>
      </c>
      <c r="Q457">
        <f>IF([2]Entry!$D$460="","",[2]Entry!$D$460)</f>
        <v/>
      </c>
      <c r="R457">
        <f>IF([2]Entry!$E$460="","",[2]Entry!$E$460)</f>
        <v/>
      </c>
      <c r="S457">
        <f>IF([2]Entry!$G$460="","",[2]Entry!$G$460)</f>
        <v/>
      </c>
      <c r="T457">
        <f>IF([2]Entry!$J$460="","",[2]Entry!$J$460)</f>
        <v/>
      </c>
      <c r="U457">
        <f>IF([2]Entry!$K$460="","",[2]Entry!$K$460)</f>
        <v/>
      </c>
      <c r="V457">
        <f>IF([2]Entry!$L$460="","",[2]Entry!$L$460)</f>
        <v/>
      </c>
      <c r="W457">
        <f>IF([2]Entry!$M$460="","",[2]Entry!$M$460)</f>
        <v/>
      </c>
      <c r="X457">
        <f>IF([2]Entry!$N$460="","",[2]Entry!$N$460)</f>
        <v/>
      </c>
      <c r="Y457">
        <f>IF([2]Entry!$R$460="","",[2]Entry!$R$460)</f>
        <v/>
      </c>
    </row>
    <row r="458">
      <c r="K458">
        <f>IF([1]Accounts!$D$459="","",[1]Accounts!$A$459)</f>
        <v/>
      </c>
      <c r="L458">
        <f>IF([1]Accounts!$D$459="","",[1]Accounts!$B$459)</f>
        <v/>
      </c>
      <c r="M458">
        <f>IF([1]Accounts!$D$459="","",[1]Accounts!$C$459)</f>
        <v/>
      </c>
      <c r="N458">
        <f>IF([1]Accounts!$D$459="","",[1]Accounts!$D$459)</f>
        <v/>
      </c>
      <c r="P458">
        <f>IF([2]Entry!$C$461="","",[2]Entry!$C$461)</f>
        <v/>
      </c>
      <c r="Q458">
        <f>IF([2]Entry!$D$461="","",[2]Entry!$D$461)</f>
        <v/>
      </c>
      <c r="R458">
        <f>IF([2]Entry!$E$461="","",[2]Entry!$E$461)</f>
        <v/>
      </c>
      <c r="S458">
        <f>IF([2]Entry!$G$461="","",[2]Entry!$G$461)</f>
        <v/>
      </c>
      <c r="T458">
        <f>IF([2]Entry!$J$461="","",[2]Entry!$J$461)</f>
        <v/>
      </c>
      <c r="U458">
        <f>IF([2]Entry!$K$461="","",[2]Entry!$K$461)</f>
        <v/>
      </c>
      <c r="V458">
        <f>IF([2]Entry!$L$461="","",[2]Entry!$L$461)</f>
        <v/>
      </c>
      <c r="W458">
        <f>IF([2]Entry!$M$461="","",[2]Entry!$M$461)</f>
        <v/>
      </c>
      <c r="X458">
        <f>IF([2]Entry!$N$461="","",[2]Entry!$N$461)</f>
        <v/>
      </c>
      <c r="Y458">
        <f>IF([2]Entry!$R$461="","",[2]Entry!$R$461)</f>
        <v/>
      </c>
    </row>
    <row r="459">
      <c r="K459">
        <f>IF([1]Accounts!$D$460="","",[1]Accounts!$A$460)</f>
        <v/>
      </c>
      <c r="L459">
        <f>IF([1]Accounts!$D$460="","",[1]Accounts!$B$460)</f>
        <v/>
      </c>
      <c r="M459">
        <f>IF([1]Accounts!$D$460="","",[1]Accounts!$C$460)</f>
        <v/>
      </c>
      <c r="N459">
        <f>IF([1]Accounts!$D$460="","",[1]Accounts!$D$460)</f>
        <v/>
      </c>
      <c r="P459">
        <f>IF([2]Entry!$C$462="","",[2]Entry!$C$462)</f>
        <v/>
      </c>
      <c r="Q459">
        <f>IF([2]Entry!$D$462="","",[2]Entry!$D$462)</f>
        <v/>
      </c>
      <c r="R459">
        <f>IF([2]Entry!$E$462="","",[2]Entry!$E$462)</f>
        <v/>
      </c>
      <c r="S459">
        <f>IF([2]Entry!$G$462="","",[2]Entry!$G$462)</f>
        <v/>
      </c>
      <c r="T459">
        <f>IF([2]Entry!$J$462="","",[2]Entry!$J$462)</f>
        <v/>
      </c>
      <c r="U459">
        <f>IF([2]Entry!$K$462="","",[2]Entry!$K$462)</f>
        <v/>
      </c>
      <c r="V459">
        <f>IF([2]Entry!$L$462="","",[2]Entry!$L$462)</f>
        <v/>
      </c>
      <c r="W459">
        <f>IF([2]Entry!$M$462="","",[2]Entry!$M$462)</f>
        <v/>
      </c>
      <c r="X459">
        <f>IF([2]Entry!$N$462="","",[2]Entry!$N$462)</f>
        <v/>
      </c>
      <c r="Y459">
        <f>IF([2]Entry!$R$462="","",[2]Entry!$R$462)</f>
        <v/>
      </c>
    </row>
    <row r="460">
      <c r="K460">
        <f>IF([1]Accounts!$D$461="","",[1]Accounts!$A$461)</f>
        <v/>
      </c>
      <c r="L460">
        <f>IF([1]Accounts!$D$461="","",[1]Accounts!$B$461)</f>
        <v/>
      </c>
      <c r="M460">
        <f>IF([1]Accounts!$D$461="","",[1]Accounts!$C$461)</f>
        <v/>
      </c>
      <c r="N460">
        <f>IF([1]Accounts!$D$461="","",[1]Accounts!$D$461)</f>
        <v/>
      </c>
      <c r="P460">
        <f>IF([2]Entry!$C$463="","",[2]Entry!$C$463)</f>
        <v/>
      </c>
      <c r="Q460">
        <f>IF([2]Entry!$D$463="","",[2]Entry!$D$463)</f>
        <v/>
      </c>
      <c r="R460">
        <f>IF([2]Entry!$E$463="","",[2]Entry!$E$463)</f>
        <v/>
      </c>
      <c r="S460">
        <f>IF([2]Entry!$G$463="","",[2]Entry!$G$463)</f>
        <v/>
      </c>
      <c r="T460">
        <f>IF([2]Entry!$J$463="","",[2]Entry!$J$463)</f>
        <v/>
      </c>
      <c r="U460">
        <f>IF([2]Entry!$K$463="","",[2]Entry!$K$463)</f>
        <v/>
      </c>
      <c r="V460">
        <f>IF([2]Entry!$L$463="","",[2]Entry!$L$463)</f>
        <v/>
      </c>
      <c r="W460">
        <f>IF([2]Entry!$M$463="","",[2]Entry!$M$463)</f>
        <v/>
      </c>
      <c r="X460">
        <f>IF([2]Entry!$N$463="","",[2]Entry!$N$463)</f>
        <v/>
      </c>
      <c r="Y460">
        <f>IF([2]Entry!$R$463="","",[2]Entry!$R$463)</f>
        <v/>
      </c>
    </row>
    <row r="461">
      <c r="K461">
        <f>IF([1]Accounts!$D$462="","",[1]Accounts!$A$462)</f>
        <v/>
      </c>
      <c r="L461">
        <f>IF([1]Accounts!$D$462="","",[1]Accounts!$B$462)</f>
        <v/>
      </c>
      <c r="M461">
        <f>IF([1]Accounts!$D$462="","",[1]Accounts!$C$462)</f>
        <v/>
      </c>
      <c r="N461">
        <f>IF([1]Accounts!$D$462="","",[1]Accounts!$D$462)</f>
        <v/>
      </c>
      <c r="P461">
        <f>IF([2]Entry!$C$464="","",[2]Entry!$C$464)</f>
        <v/>
      </c>
      <c r="Q461">
        <f>IF([2]Entry!$D$464="","",[2]Entry!$D$464)</f>
        <v/>
      </c>
      <c r="R461">
        <f>IF([2]Entry!$E$464="","",[2]Entry!$E$464)</f>
        <v/>
      </c>
      <c r="S461">
        <f>IF([2]Entry!$G$464="","",[2]Entry!$G$464)</f>
        <v/>
      </c>
      <c r="T461">
        <f>IF([2]Entry!$J$464="","",[2]Entry!$J$464)</f>
        <v/>
      </c>
      <c r="U461">
        <f>IF([2]Entry!$K$464="","",[2]Entry!$K$464)</f>
        <v/>
      </c>
      <c r="V461">
        <f>IF([2]Entry!$L$464="","",[2]Entry!$L$464)</f>
        <v/>
      </c>
      <c r="W461">
        <f>IF([2]Entry!$M$464="","",[2]Entry!$M$464)</f>
        <v/>
      </c>
      <c r="X461">
        <f>IF([2]Entry!$N$464="","",[2]Entry!$N$464)</f>
        <v/>
      </c>
      <c r="Y461">
        <f>IF([2]Entry!$R$464="","",[2]Entry!$R$464)</f>
        <v/>
      </c>
    </row>
    <row r="462">
      <c r="K462">
        <f>IF([1]Accounts!$D$463="","",[1]Accounts!$A$463)</f>
        <v/>
      </c>
      <c r="L462">
        <f>IF([1]Accounts!$D$463="","",[1]Accounts!$B$463)</f>
        <v/>
      </c>
      <c r="M462">
        <f>IF([1]Accounts!$D$463="","",[1]Accounts!$C$463)</f>
        <v/>
      </c>
      <c r="N462">
        <f>IF([1]Accounts!$D$463="","",[1]Accounts!$D$463)</f>
        <v/>
      </c>
      <c r="P462">
        <f>IF([2]Entry!$C$465="","",[2]Entry!$C$465)</f>
        <v/>
      </c>
      <c r="Q462">
        <f>IF([2]Entry!$D$465="","",[2]Entry!$D$465)</f>
        <v/>
      </c>
      <c r="R462">
        <f>IF([2]Entry!$E$465="","",[2]Entry!$E$465)</f>
        <v/>
      </c>
      <c r="S462">
        <f>IF([2]Entry!$G$465="","",[2]Entry!$G$465)</f>
        <v/>
      </c>
      <c r="T462">
        <f>IF([2]Entry!$J$465="","",[2]Entry!$J$465)</f>
        <v/>
      </c>
      <c r="U462">
        <f>IF([2]Entry!$K$465="","",[2]Entry!$K$465)</f>
        <v/>
      </c>
      <c r="V462">
        <f>IF([2]Entry!$L$465="","",[2]Entry!$L$465)</f>
        <v/>
      </c>
      <c r="W462">
        <f>IF([2]Entry!$M$465="","",[2]Entry!$M$465)</f>
        <v/>
      </c>
      <c r="X462">
        <f>IF([2]Entry!$N$465="","",[2]Entry!$N$465)</f>
        <v/>
      </c>
      <c r="Y462">
        <f>IF([2]Entry!$R$465="","",[2]Entry!$R$465)</f>
        <v/>
      </c>
    </row>
    <row r="463">
      <c r="K463">
        <f>IF([1]Accounts!$D$464="","",[1]Accounts!$A$464)</f>
        <v/>
      </c>
      <c r="L463">
        <f>IF([1]Accounts!$D$464="","",[1]Accounts!$B$464)</f>
        <v/>
      </c>
      <c r="M463">
        <f>IF([1]Accounts!$D$464="","",[1]Accounts!$C$464)</f>
        <v/>
      </c>
      <c r="N463">
        <f>IF([1]Accounts!$D$464="","",[1]Accounts!$D$464)</f>
        <v/>
      </c>
      <c r="P463">
        <f>IF([2]Entry!$C$466="","",[2]Entry!$C$466)</f>
        <v/>
      </c>
      <c r="Q463">
        <f>IF([2]Entry!$D$466="","",[2]Entry!$D$466)</f>
        <v/>
      </c>
      <c r="R463">
        <f>IF([2]Entry!$E$466="","",[2]Entry!$E$466)</f>
        <v/>
      </c>
      <c r="S463">
        <f>IF([2]Entry!$G$466="","",[2]Entry!$G$466)</f>
        <v/>
      </c>
      <c r="T463">
        <f>IF([2]Entry!$J$466="","",[2]Entry!$J$466)</f>
        <v/>
      </c>
      <c r="U463">
        <f>IF([2]Entry!$K$466="","",[2]Entry!$K$466)</f>
        <v/>
      </c>
      <c r="V463">
        <f>IF([2]Entry!$L$466="","",[2]Entry!$L$466)</f>
        <v/>
      </c>
      <c r="W463">
        <f>IF([2]Entry!$M$466="","",[2]Entry!$M$466)</f>
        <v/>
      </c>
      <c r="X463">
        <f>IF([2]Entry!$N$466="","",[2]Entry!$N$466)</f>
        <v/>
      </c>
      <c r="Y463">
        <f>IF([2]Entry!$R$466="","",[2]Entry!$R$466)</f>
        <v/>
      </c>
    </row>
    <row r="464">
      <c r="K464">
        <f>IF([1]Accounts!$D$465="","",[1]Accounts!$A$465)</f>
        <v/>
      </c>
      <c r="L464">
        <f>IF([1]Accounts!$D$465="","",[1]Accounts!$B$465)</f>
        <v/>
      </c>
      <c r="M464">
        <f>IF([1]Accounts!$D$465="","",[1]Accounts!$C$465)</f>
        <v/>
      </c>
      <c r="N464">
        <f>IF([1]Accounts!$D$465="","",[1]Accounts!$D$465)</f>
        <v/>
      </c>
      <c r="P464">
        <f>IF([2]Entry!$C$467="","",[2]Entry!$C$467)</f>
        <v/>
      </c>
      <c r="Q464">
        <f>IF([2]Entry!$D$467="","",[2]Entry!$D$467)</f>
        <v/>
      </c>
      <c r="R464">
        <f>IF([2]Entry!$E$467="","",[2]Entry!$E$467)</f>
        <v/>
      </c>
      <c r="S464">
        <f>IF([2]Entry!$G$467="","",[2]Entry!$G$467)</f>
        <v/>
      </c>
      <c r="T464">
        <f>IF([2]Entry!$J$467="","",[2]Entry!$J$467)</f>
        <v/>
      </c>
      <c r="U464">
        <f>IF([2]Entry!$K$467="","",[2]Entry!$K$467)</f>
        <v/>
      </c>
      <c r="V464">
        <f>IF([2]Entry!$L$467="","",[2]Entry!$L$467)</f>
        <v/>
      </c>
      <c r="W464">
        <f>IF([2]Entry!$M$467="","",[2]Entry!$M$467)</f>
        <v/>
      </c>
      <c r="X464">
        <f>IF([2]Entry!$N$467="","",[2]Entry!$N$467)</f>
        <v/>
      </c>
      <c r="Y464">
        <f>IF([2]Entry!$R$467="","",[2]Entry!$R$467)</f>
        <v/>
      </c>
    </row>
    <row r="465">
      <c r="K465">
        <f>IF([1]Accounts!$D$466="","",[1]Accounts!$A$466)</f>
        <v/>
      </c>
      <c r="L465">
        <f>IF([1]Accounts!$D$466="","",[1]Accounts!$B$466)</f>
        <v/>
      </c>
      <c r="M465">
        <f>IF([1]Accounts!$D$466="","",[1]Accounts!$C$466)</f>
        <v/>
      </c>
      <c r="N465">
        <f>IF([1]Accounts!$D$466="","",[1]Accounts!$D$466)</f>
        <v/>
      </c>
      <c r="P465">
        <f>IF([2]Entry!$C$468="","",[2]Entry!$C$468)</f>
        <v/>
      </c>
      <c r="Q465">
        <f>IF([2]Entry!$D$468="","",[2]Entry!$D$468)</f>
        <v/>
      </c>
      <c r="R465">
        <f>IF([2]Entry!$E$468="","",[2]Entry!$E$468)</f>
        <v/>
      </c>
      <c r="S465">
        <f>IF([2]Entry!$G$468="","",[2]Entry!$G$468)</f>
        <v/>
      </c>
      <c r="T465">
        <f>IF([2]Entry!$J$468="","",[2]Entry!$J$468)</f>
        <v/>
      </c>
      <c r="U465">
        <f>IF([2]Entry!$K$468="","",[2]Entry!$K$468)</f>
        <v/>
      </c>
      <c r="V465">
        <f>IF([2]Entry!$L$468="","",[2]Entry!$L$468)</f>
        <v/>
      </c>
      <c r="W465">
        <f>IF([2]Entry!$M$468="","",[2]Entry!$M$468)</f>
        <v/>
      </c>
      <c r="X465">
        <f>IF([2]Entry!$N$468="","",[2]Entry!$N$468)</f>
        <v/>
      </c>
      <c r="Y465">
        <f>IF([2]Entry!$R$468="","",[2]Entry!$R$468)</f>
        <v/>
      </c>
    </row>
    <row r="466">
      <c r="K466">
        <f>IF([1]Accounts!$D$467="","",[1]Accounts!$A$467)</f>
        <v/>
      </c>
      <c r="L466">
        <f>IF([1]Accounts!$D$467="","",[1]Accounts!$B$467)</f>
        <v/>
      </c>
      <c r="M466">
        <f>IF([1]Accounts!$D$467="","",[1]Accounts!$C$467)</f>
        <v/>
      </c>
      <c r="N466">
        <f>IF([1]Accounts!$D$467="","",[1]Accounts!$D$467)</f>
        <v/>
      </c>
      <c r="P466">
        <f>IF([2]Entry!$C$469="","",[2]Entry!$C$469)</f>
        <v/>
      </c>
      <c r="Q466">
        <f>IF([2]Entry!$D$469="","",[2]Entry!$D$469)</f>
        <v/>
      </c>
      <c r="R466">
        <f>IF([2]Entry!$E$469="","",[2]Entry!$E$469)</f>
        <v/>
      </c>
      <c r="S466">
        <f>IF([2]Entry!$G$469="","",[2]Entry!$G$469)</f>
        <v/>
      </c>
      <c r="T466">
        <f>IF([2]Entry!$J$469="","",[2]Entry!$J$469)</f>
        <v/>
      </c>
      <c r="U466">
        <f>IF([2]Entry!$K$469="","",[2]Entry!$K$469)</f>
        <v/>
      </c>
      <c r="V466">
        <f>IF([2]Entry!$L$469="","",[2]Entry!$L$469)</f>
        <v/>
      </c>
      <c r="W466">
        <f>IF([2]Entry!$M$469="","",[2]Entry!$M$469)</f>
        <v/>
      </c>
      <c r="X466">
        <f>IF([2]Entry!$N$469="","",[2]Entry!$N$469)</f>
        <v/>
      </c>
      <c r="Y466">
        <f>IF([2]Entry!$R$469="","",[2]Entry!$R$469)</f>
        <v/>
      </c>
    </row>
    <row r="467">
      <c r="K467">
        <f>IF([1]Accounts!$D$468="","",[1]Accounts!$A$468)</f>
        <v/>
      </c>
      <c r="L467">
        <f>IF([1]Accounts!$D$468="","",[1]Accounts!$B$468)</f>
        <v/>
      </c>
      <c r="M467">
        <f>IF([1]Accounts!$D$468="","",[1]Accounts!$C$468)</f>
        <v/>
      </c>
      <c r="N467">
        <f>IF([1]Accounts!$D$468="","",[1]Accounts!$D$468)</f>
        <v/>
      </c>
      <c r="P467">
        <f>IF([2]Entry!$C$470="","",[2]Entry!$C$470)</f>
        <v/>
      </c>
      <c r="Q467">
        <f>IF([2]Entry!$D$470="","",[2]Entry!$D$470)</f>
        <v/>
      </c>
      <c r="R467">
        <f>IF([2]Entry!$E$470="","",[2]Entry!$E$470)</f>
        <v/>
      </c>
      <c r="S467">
        <f>IF([2]Entry!$G$470="","",[2]Entry!$G$470)</f>
        <v/>
      </c>
      <c r="T467">
        <f>IF([2]Entry!$J$470="","",[2]Entry!$J$470)</f>
        <v/>
      </c>
      <c r="U467">
        <f>IF([2]Entry!$K$470="","",[2]Entry!$K$470)</f>
        <v/>
      </c>
      <c r="V467">
        <f>IF([2]Entry!$L$470="","",[2]Entry!$L$470)</f>
        <v/>
      </c>
      <c r="W467">
        <f>IF([2]Entry!$M$470="","",[2]Entry!$M$470)</f>
        <v/>
      </c>
      <c r="X467">
        <f>IF([2]Entry!$N$470="","",[2]Entry!$N$470)</f>
        <v/>
      </c>
      <c r="Y467">
        <f>IF([2]Entry!$R$470="","",[2]Entry!$R$470)</f>
        <v/>
      </c>
    </row>
    <row r="468">
      <c r="K468">
        <f>IF([1]Accounts!$D$469="","",[1]Accounts!$A$469)</f>
        <v/>
      </c>
      <c r="L468">
        <f>IF([1]Accounts!$D$469="","",[1]Accounts!$B$469)</f>
        <v/>
      </c>
      <c r="M468">
        <f>IF([1]Accounts!$D$469="","",[1]Accounts!$C$469)</f>
        <v/>
      </c>
      <c r="N468">
        <f>IF([1]Accounts!$D$469="","",[1]Accounts!$D$469)</f>
        <v/>
      </c>
      <c r="P468">
        <f>IF([2]Entry!$C$471="","",[2]Entry!$C$471)</f>
        <v/>
      </c>
      <c r="Q468">
        <f>IF([2]Entry!$D$471="","",[2]Entry!$D$471)</f>
        <v/>
      </c>
      <c r="R468">
        <f>IF([2]Entry!$E$471="","",[2]Entry!$E$471)</f>
        <v/>
      </c>
      <c r="S468">
        <f>IF([2]Entry!$G$471="","",[2]Entry!$G$471)</f>
        <v/>
      </c>
      <c r="T468">
        <f>IF([2]Entry!$J$471="","",[2]Entry!$J$471)</f>
        <v/>
      </c>
      <c r="U468">
        <f>IF([2]Entry!$K$471="","",[2]Entry!$K$471)</f>
        <v/>
      </c>
      <c r="V468">
        <f>IF([2]Entry!$L$471="","",[2]Entry!$L$471)</f>
        <v/>
      </c>
      <c r="W468">
        <f>IF([2]Entry!$M$471="","",[2]Entry!$M$471)</f>
        <v/>
      </c>
      <c r="X468">
        <f>IF([2]Entry!$N$471="","",[2]Entry!$N$471)</f>
        <v/>
      </c>
      <c r="Y468">
        <f>IF([2]Entry!$R$471="","",[2]Entry!$R$471)</f>
        <v/>
      </c>
    </row>
    <row r="469">
      <c r="K469">
        <f>IF([1]Accounts!$D$470="","",[1]Accounts!$A$470)</f>
        <v/>
      </c>
      <c r="L469">
        <f>IF([1]Accounts!$D$470="","",[1]Accounts!$B$470)</f>
        <v/>
      </c>
      <c r="M469">
        <f>IF([1]Accounts!$D$470="","",[1]Accounts!$C$470)</f>
        <v/>
      </c>
      <c r="N469">
        <f>IF([1]Accounts!$D$470="","",[1]Accounts!$D$470)</f>
        <v/>
      </c>
      <c r="P469">
        <f>IF([2]Entry!$C$472="","",[2]Entry!$C$472)</f>
        <v/>
      </c>
      <c r="Q469">
        <f>IF([2]Entry!$D$472="","",[2]Entry!$D$472)</f>
        <v/>
      </c>
      <c r="R469">
        <f>IF([2]Entry!$E$472="","",[2]Entry!$E$472)</f>
        <v/>
      </c>
      <c r="S469">
        <f>IF([2]Entry!$G$472="","",[2]Entry!$G$472)</f>
        <v/>
      </c>
      <c r="T469">
        <f>IF([2]Entry!$J$472="","",[2]Entry!$J$472)</f>
        <v/>
      </c>
      <c r="U469">
        <f>IF([2]Entry!$K$472="","",[2]Entry!$K$472)</f>
        <v/>
      </c>
      <c r="V469">
        <f>IF([2]Entry!$L$472="","",[2]Entry!$L$472)</f>
        <v/>
      </c>
      <c r="W469">
        <f>IF([2]Entry!$M$472="","",[2]Entry!$M$472)</f>
        <v/>
      </c>
      <c r="X469">
        <f>IF([2]Entry!$N$472="","",[2]Entry!$N$472)</f>
        <v/>
      </c>
      <c r="Y469">
        <f>IF([2]Entry!$R$472="","",[2]Entry!$R$472)</f>
        <v/>
      </c>
    </row>
    <row r="470">
      <c r="K470">
        <f>IF([1]Accounts!$D$471="","",[1]Accounts!$A$471)</f>
        <v/>
      </c>
      <c r="L470">
        <f>IF([1]Accounts!$D$471="","",[1]Accounts!$B$471)</f>
        <v/>
      </c>
      <c r="M470">
        <f>IF([1]Accounts!$D$471="","",[1]Accounts!$C$471)</f>
        <v/>
      </c>
      <c r="N470">
        <f>IF([1]Accounts!$D$471="","",[1]Accounts!$D$471)</f>
        <v/>
      </c>
      <c r="P470">
        <f>IF([2]Entry!$C$473="","",[2]Entry!$C$473)</f>
        <v/>
      </c>
      <c r="Q470">
        <f>IF([2]Entry!$D$473="","",[2]Entry!$D$473)</f>
        <v/>
      </c>
      <c r="R470">
        <f>IF([2]Entry!$E$473="","",[2]Entry!$E$473)</f>
        <v/>
      </c>
      <c r="S470">
        <f>IF([2]Entry!$G$473="","",[2]Entry!$G$473)</f>
        <v/>
      </c>
      <c r="T470">
        <f>IF([2]Entry!$J$473="","",[2]Entry!$J$473)</f>
        <v/>
      </c>
      <c r="U470">
        <f>IF([2]Entry!$K$473="","",[2]Entry!$K$473)</f>
        <v/>
      </c>
      <c r="V470">
        <f>IF([2]Entry!$L$473="","",[2]Entry!$L$473)</f>
        <v/>
      </c>
      <c r="W470">
        <f>IF([2]Entry!$M$473="","",[2]Entry!$M$473)</f>
        <v/>
      </c>
      <c r="X470">
        <f>IF([2]Entry!$N$473="","",[2]Entry!$N$473)</f>
        <v/>
      </c>
      <c r="Y470">
        <f>IF([2]Entry!$R$473="","",[2]Entry!$R$473)</f>
        <v/>
      </c>
    </row>
    <row r="471">
      <c r="K471">
        <f>IF([1]Accounts!$D$472="","",[1]Accounts!$A$472)</f>
        <v/>
      </c>
      <c r="L471">
        <f>IF([1]Accounts!$D$472="","",[1]Accounts!$B$472)</f>
        <v/>
      </c>
      <c r="M471">
        <f>IF([1]Accounts!$D$472="","",[1]Accounts!$C$472)</f>
        <v/>
      </c>
      <c r="N471">
        <f>IF([1]Accounts!$D$472="","",[1]Accounts!$D$472)</f>
        <v/>
      </c>
      <c r="P471">
        <f>IF([2]Entry!$C$474="","",[2]Entry!$C$474)</f>
        <v/>
      </c>
      <c r="Q471">
        <f>IF([2]Entry!$D$474="","",[2]Entry!$D$474)</f>
        <v/>
      </c>
      <c r="R471">
        <f>IF([2]Entry!$E$474="","",[2]Entry!$E$474)</f>
        <v/>
      </c>
      <c r="S471">
        <f>IF([2]Entry!$G$474="","",[2]Entry!$G$474)</f>
        <v/>
      </c>
      <c r="T471">
        <f>IF([2]Entry!$J$474="","",[2]Entry!$J$474)</f>
        <v/>
      </c>
      <c r="U471">
        <f>IF([2]Entry!$K$474="","",[2]Entry!$K$474)</f>
        <v/>
      </c>
      <c r="V471">
        <f>IF([2]Entry!$L$474="","",[2]Entry!$L$474)</f>
        <v/>
      </c>
      <c r="W471">
        <f>IF([2]Entry!$M$474="","",[2]Entry!$M$474)</f>
        <v/>
      </c>
      <c r="X471">
        <f>IF([2]Entry!$N$474="","",[2]Entry!$N$474)</f>
        <v/>
      </c>
      <c r="Y471">
        <f>IF([2]Entry!$R$474="","",[2]Entry!$R$474)</f>
        <v/>
      </c>
    </row>
    <row r="472">
      <c r="K472">
        <f>IF([1]Accounts!$D$473="","",[1]Accounts!$A$473)</f>
        <v/>
      </c>
      <c r="L472">
        <f>IF([1]Accounts!$D$473="","",[1]Accounts!$B$473)</f>
        <v/>
      </c>
      <c r="M472">
        <f>IF([1]Accounts!$D$473="","",[1]Accounts!$C$473)</f>
        <v/>
      </c>
      <c r="N472">
        <f>IF([1]Accounts!$D$473="","",[1]Accounts!$D$473)</f>
        <v/>
      </c>
      <c r="P472">
        <f>IF([2]Entry!$C$475="","",[2]Entry!$C$475)</f>
        <v/>
      </c>
      <c r="Q472">
        <f>IF([2]Entry!$D$475="","",[2]Entry!$D$475)</f>
        <v/>
      </c>
      <c r="R472">
        <f>IF([2]Entry!$E$475="","",[2]Entry!$E$475)</f>
        <v/>
      </c>
      <c r="S472">
        <f>IF([2]Entry!$G$475="","",[2]Entry!$G$475)</f>
        <v/>
      </c>
      <c r="T472">
        <f>IF([2]Entry!$J$475="","",[2]Entry!$J$475)</f>
        <v/>
      </c>
      <c r="U472">
        <f>IF([2]Entry!$K$475="","",[2]Entry!$K$475)</f>
        <v/>
      </c>
      <c r="V472">
        <f>IF([2]Entry!$L$475="","",[2]Entry!$L$475)</f>
        <v/>
      </c>
      <c r="W472">
        <f>IF([2]Entry!$M$475="","",[2]Entry!$M$475)</f>
        <v/>
      </c>
      <c r="X472">
        <f>IF([2]Entry!$N$475="","",[2]Entry!$N$475)</f>
        <v/>
      </c>
      <c r="Y472">
        <f>IF([2]Entry!$R$475="","",[2]Entry!$R$475)</f>
        <v/>
      </c>
    </row>
    <row r="473">
      <c r="K473">
        <f>IF([1]Accounts!$D$474="","",[1]Accounts!$A$474)</f>
        <v/>
      </c>
      <c r="L473">
        <f>IF([1]Accounts!$D$474="","",[1]Accounts!$B$474)</f>
        <v/>
      </c>
      <c r="M473">
        <f>IF([1]Accounts!$D$474="","",[1]Accounts!$C$474)</f>
        <v/>
      </c>
      <c r="N473">
        <f>IF([1]Accounts!$D$474="","",[1]Accounts!$D$474)</f>
        <v/>
      </c>
      <c r="P473">
        <f>IF([2]Entry!$C$476="","",[2]Entry!$C$476)</f>
        <v/>
      </c>
      <c r="Q473">
        <f>IF([2]Entry!$D$476="","",[2]Entry!$D$476)</f>
        <v/>
      </c>
      <c r="R473">
        <f>IF([2]Entry!$E$476="","",[2]Entry!$E$476)</f>
        <v/>
      </c>
      <c r="S473">
        <f>IF([2]Entry!$G$476="","",[2]Entry!$G$476)</f>
        <v/>
      </c>
      <c r="T473">
        <f>IF([2]Entry!$J$476="","",[2]Entry!$J$476)</f>
        <v/>
      </c>
      <c r="U473">
        <f>IF([2]Entry!$K$476="","",[2]Entry!$K$476)</f>
        <v/>
      </c>
      <c r="V473">
        <f>IF([2]Entry!$L$476="","",[2]Entry!$L$476)</f>
        <v/>
      </c>
      <c r="W473">
        <f>IF([2]Entry!$M$476="","",[2]Entry!$M$476)</f>
        <v/>
      </c>
      <c r="X473">
        <f>IF([2]Entry!$N$476="","",[2]Entry!$N$476)</f>
        <v/>
      </c>
      <c r="Y473">
        <f>IF([2]Entry!$R$476="","",[2]Entry!$R$476)</f>
        <v/>
      </c>
    </row>
    <row r="474">
      <c r="K474">
        <f>IF([1]Accounts!$D$475="","",[1]Accounts!$A$475)</f>
        <v/>
      </c>
      <c r="L474">
        <f>IF([1]Accounts!$D$475="","",[1]Accounts!$B$475)</f>
        <v/>
      </c>
      <c r="M474">
        <f>IF([1]Accounts!$D$475="","",[1]Accounts!$C$475)</f>
        <v/>
      </c>
      <c r="N474">
        <f>IF([1]Accounts!$D$475="","",[1]Accounts!$D$475)</f>
        <v/>
      </c>
      <c r="P474">
        <f>IF([2]Entry!$C$477="","",[2]Entry!$C$477)</f>
        <v/>
      </c>
      <c r="Q474">
        <f>IF([2]Entry!$D$477="","",[2]Entry!$D$477)</f>
        <v/>
      </c>
      <c r="R474">
        <f>IF([2]Entry!$E$477="","",[2]Entry!$E$477)</f>
        <v/>
      </c>
      <c r="S474">
        <f>IF([2]Entry!$G$477="","",[2]Entry!$G$477)</f>
        <v/>
      </c>
      <c r="T474">
        <f>IF([2]Entry!$J$477="","",[2]Entry!$J$477)</f>
        <v/>
      </c>
      <c r="U474">
        <f>IF([2]Entry!$K$477="","",[2]Entry!$K$477)</f>
        <v/>
      </c>
      <c r="V474">
        <f>IF([2]Entry!$L$477="","",[2]Entry!$L$477)</f>
        <v/>
      </c>
      <c r="W474">
        <f>IF([2]Entry!$M$477="","",[2]Entry!$M$477)</f>
        <v/>
      </c>
      <c r="X474">
        <f>IF([2]Entry!$N$477="","",[2]Entry!$N$477)</f>
        <v/>
      </c>
      <c r="Y474">
        <f>IF([2]Entry!$R$477="","",[2]Entry!$R$477)</f>
        <v/>
      </c>
    </row>
    <row r="475">
      <c r="K475">
        <f>IF([1]Accounts!$D$476="","",[1]Accounts!$A$476)</f>
        <v/>
      </c>
      <c r="L475">
        <f>IF([1]Accounts!$D$476="","",[1]Accounts!$B$476)</f>
        <v/>
      </c>
      <c r="M475">
        <f>IF([1]Accounts!$D$476="","",[1]Accounts!$C$476)</f>
        <v/>
      </c>
      <c r="N475">
        <f>IF([1]Accounts!$D$476="","",[1]Accounts!$D$476)</f>
        <v/>
      </c>
      <c r="P475">
        <f>IF([2]Entry!$C$478="","",[2]Entry!$C$478)</f>
        <v/>
      </c>
      <c r="Q475">
        <f>IF([2]Entry!$D$478="","",[2]Entry!$D$478)</f>
        <v/>
      </c>
      <c r="R475">
        <f>IF([2]Entry!$E$478="","",[2]Entry!$E$478)</f>
        <v/>
      </c>
      <c r="S475">
        <f>IF([2]Entry!$G$478="","",[2]Entry!$G$478)</f>
        <v/>
      </c>
      <c r="T475">
        <f>IF([2]Entry!$J$478="","",[2]Entry!$J$478)</f>
        <v/>
      </c>
      <c r="U475">
        <f>IF([2]Entry!$K$478="","",[2]Entry!$K$478)</f>
        <v/>
      </c>
      <c r="V475">
        <f>IF([2]Entry!$L$478="","",[2]Entry!$L$478)</f>
        <v/>
      </c>
      <c r="W475">
        <f>IF([2]Entry!$M$478="","",[2]Entry!$M$478)</f>
        <v/>
      </c>
      <c r="X475">
        <f>IF([2]Entry!$N$478="","",[2]Entry!$N$478)</f>
        <v/>
      </c>
      <c r="Y475">
        <f>IF([2]Entry!$R$478="","",[2]Entry!$R$478)</f>
        <v/>
      </c>
    </row>
    <row r="476">
      <c r="K476">
        <f>IF([1]Accounts!$D$477="","",[1]Accounts!$A$477)</f>
        <v/>
      </c>
      <c r="L476">
        <f>IF([1]Accounts!$D$477="","",[1]Accounts!$B$477)</f>
        <v/>
      </c>
      <c r="M476">
        <f>IF([1]Accounts!$D$477="","",[1]Accounts!$C$477)</f>
        <v/>
      </c>
      <c r="N476">
        <f>IF([1]Accounts!$D$477="","",[1]Accounts!$D$477)</f>
        <v/>
      </c>
      <c r="P476">
        <f>IF([2]Entry!$C$479="","",[2]Entry!$C$479)</f>
        <v/>
      </c>
      <c r="Q476">
        <f>IF([2]Entry!$D$479="","",[2]Entry!$D$479)</f>
        <v/>
      </c>
      <c r="R476">
        <f>IF([2]Entry!$E$479="","",[2]Entry!$E$479)</f>
        <v/>
      </c>
      <c r="S476">
        <f>IF([2]Entry!$G$479="","",[2]Entry!$G$479)</f>
        <v/>
      </c>
      <c r="T476">
        <f>IF([2]Entry!$J$479="","",[2]Entry!$J$479)</f>
        <v/>
      </c>
      <c r="U476">
        <f>IF([2]Entry!$K$479="","",[2]Entry!$K$479)</f>
        <v/>
      </c>
      <c r="V476">
        <f>IF([2]Entry!$L$479="","",[2]Entry!$L$479)</f>
        <v/>
      </c>
      <c r="W476">
        <f>IF([2]Entry!$M$479="","",[2]Entry!$M$479)</f>
        <v/>
      </c>
      <c r="X476">
        <f>IF([2]Entry!$N$479="","",[2]Entry!$N$479)</f>
        <v/>
      </c>
      <c r="Y476">
        <f>IF([2]Entry!$R$479="","",[2]Entry!$R$479)</f>
        <v/>
      </c>
    </row>
    <row r="477">
      <c r="K477">
        <f>IF([1]Accounts!$D$478="","",[1]Accounts!$A$478)</f>
        <v/>
      </c>
      <c r="L477">
        <f>IF([1]Accounts!$D$478="","",[1]Accounts!$B$478)</f>
        <v/>
      </c>
      <c r="M477">
        <f>IF([1]Accounts!$D$478="","",[1]Accounts!$C$478)</f>
        <v/>
      </c>
      <c r="N477">
        <f>IF([1]Accounts!$D$478="","",[1]Accounts!$D$478)</f>
        <v/>
      </c>
      <c r="P477">
        <f>IF([2]Entry!$C$480="","",[2]Entry!$C$480)</f>
        <v/>
      </c>
      <c r="Q477">
        <f>IF([2]Entry!$D$480="","",[2]Entry!$D$480)</f>
        <v/>
      </c>
      <c r="R477">
        <f>IF([2]Entry!$E$480="","",[2]Entry!$E$480)</f>
        <v/>
      </c>
      <c r="S477">
        <f>IF([2]Entry!$G$480="","",[2]Entry!$G$480)</f>
        <v/>
      </c>
      <c r="T477">
        <f>IF([2]Entry!$J$480="","",[2]Entry!$J$480)</f>
        <v/>
      </c>
      <c r="U477">
        <f>IF([2]Entry!$K$480="","",[2]Entry!$K$480)</f>
        <v/>
      </c>
      <c r="V477">
        <f>IF([2]Entry!$L$480="","",[2]Entry!$L$480)</f>
        <v/>
      </c>
      <c r="W477">
        <f>IF([2]Entry!$M$480="","",[2]Entry!$M$480)</f>
        <v/>
      </c>
      <c r="X477">
        <f>IF([2]Entry!$N$480="","",[2]Entry!$N$480)</f>
        <v/>
      </c>
      <c r="Y477">
        <f>IF([2]Entry!$R$480="","",[2]Entry!$R$480)</f>
        <v/>
      </c>
    </row>
    <row r="478">
      <c r="K478">
        <f>IF([1]Accounts!$D$479="","",[1]Accounts!$A$479)</f>
        <v/>
      </c>
      <c r="L478">
        <f>IF([1]Accounts!$D$479="","",[1]Accounts!$B$479)</f>
        <v/>
      </c>
      <c r="M478">
        <f>IF([1]Accounts!$D$479="","",[1]Accounts!$C$479)</f>
        <v/>
      </c>
      <c r="N478">
        <f>IF([1]Accounts!$D$479="","",[1]Accounts!$D$479)</f>
        <v/>
      </c>
      <c r="P478">
        <f>IF([2]Entry!$C$481="","",[2]Entry!$C$481)</f>
        <v/>
      </c>
      <c r="Q478">
        <f>IF([2]Entry!$D$481="","",[2]Entry!$D$481)</f>
        <v/>
      </c>
      <c r="R478">
        <f>IF([2]Entry!$E$481="","",[2]Entry!$E$481)</f>
        <v/>
      </c>
      <c r="S478">
        <f>IF([2]Entry!$G$481="","",[2]Entry!$G$481)</f>
        <v/>
      </c>
      <c r="T478">
        <f>IF([2]Entry!$J$481="","",[2]Entry!$J$481)</f>
        <v/>
      </c>
      <c r="U478">
        <f>IF([2]Entry!$K$481="","",[2]Entry!$K$481)</f>
        <v/>
      </c>
      <c r="V478">
        <f>IF([2]Entry!$L$481="","",[2]Entry!$L$481)</f>
        <v/>
      </c>
      <c r="W478">
        <f>IF([2]Entry!$M$481="","",[2]Entry!$M$481)</f>
        <v/>
      </c>
      <c r="X478">
        <f>IF([2]Entry!$N$481="","",[2]Entry!$N$481)</f>
        <v/>
      </c>
      <c r="Y478">
        <f>IF([2]Entry!$R$481="","",[2]Entry!$R$481)</f>
        <v/>
      </c>
    </row>
    <row r="479">
      <c r="K479">
        <f>IF([1]Accounts!$D$480="","",[1]Accounts!$A$480)</f>
        <v/>
      </c>
      <c r="L479">
        <f>IF([1]Accounts!$D$480="","",[1]Accounts!$B$480)</f>
        <v/>
      </c>
      <c r="M479">
        <f>IF([1]Accounts!$D$480="","",[1]Accounts!$C$480)</f>
        <v/>
      </c>
      <c r="N479">
        <f>IF([1]Accounts!$D$480="","",[1]Accounts!$D$480)</f>
        <v/>
      </c>
      <c r="P479">
        <f>IF([2]Entry!$C$482="","",[2]Entry!$C$482)</f>
        <v/>
      </c>
      <c r="Q479">
        <f>IF([2]Entry!$D$482="","",[2]Entry!$D$482)</f>
        <v/>
      </c>
      <c r="R479">
        <f>IF([2]Entry!$E$482="","",[2]Entry!$E$482)</f>
        <v/>
      </c>
      <c r="S479">
        <f>IF([2]Entry!$G$482="","",[2]Entry!$G$482)</f>
        <v/>
      </c>
      <c r="T479">
        <f>IF([2]Entry!$J$482="","",[2]Entry!$J$482)</f>
        <v/>
      </c>
      <c r="U479">
        <f>IF([2]Entry!$K$482="","",[2]Entry!$K$482)</f>
        <v/>
      </c>
      <c r="V479">
        <f>IF([2]Entry!$L$482="","",[2]Entry!$L$482)</f>
        <v/>
      </c>
      <c r="W479">
        <f>IF([2]Entry!$M$482="","",[2]Entry!$M$482)</f>
        <v/>
      </c>
      <c r="X479">
        <f>IF([2]Entry!$N$482="","",[2]Entry!$N$482)</f>
        <v/>
      </c>
      <c r="Y479">
        <f>IF([2]Entry!$R$482="","",[2]Entry!$R$482)</f>
        <v/>
      </c>
    </row>
    <row r="480">
      <c r="K480">
        <f>IF([1]Accounts!$D$481="","",[1]Accounts!$A$481)</f>
        <v/>
      </c>
      <c r="L480">
        <f>IF([1]Accounts!$D$481="","",[1]Accounts!$B$481)</f>
        <v/>
      </c>
      <c r="M480">
        <f>IF([1]Accounts!$D$481="","",[1]Accounts!$C$481)</f>
        <v/>
      </c>
      <c r="N480">
        <f>IF([1]Accounts!$D$481="","",[1]Accounts!$D$481)</f>
        <v/>
      </c>
      <c r="P480">
        <f>IF([2]Entry!$C$483="","",[2]Entry!$C$483)</f>
        <v/>
      </c>
      <c r="Q480">
        <f>IF([2]Entry!$D$483="","",[2]Entry!$D$483)</f>
        <v/>
      </c>
      <c r="R480">
        <f>IF([2]Entry!$E$483="","",[2]Entry!$E$483)</f>
        <v/>
      </c>
      <c r="S480">
        <f>IF([2]Entry!$G$483="","",[2]Entry!$G$483)</f>
        <v/>
      </c>
      <c r="T480">
        <f>IF([2]Entry!$J$483="","",[2]Entry!$J$483)</f>
        <v/>
      </c>
      <c r="U480">
        <f>IF([2]Entry!$K$483="","",[2]Entry!$K$483)</f>
        <v/>
      </c>
      <c r="V480">
        <f>IF([2]Entry!$L$483="","",[2]Entry!$L$483)</f>
        <v/>
      </c>
      <c r="W480">
        <f>IF([2]Entry!$M$483="","",[2]Entry!$M$483)</f>
        <v/>
      </c>
      <c r="X480">
        <f>IF([2]Entry!$N$483="","",[2]Entry!$N$483)</f>
        <v/>
      </c>
      <c r="Y480">
        <f>IF([2]Entry!$R$483="","",[2]Entry!$R$483)</f>
        <v/>
      </c>
    </row>
    <row r="481">
      <c r="K481">
        <f>IF([1]Accounts!$D$482="","",[1]Accounts!$A$482)</f>
        <v/>
      </c>
      <c r="L481">
        <f>IF([1]Accounts!$D$482="","",[1]Accounts!$B$482)</f>
        <v/>
      </c>
      <c r="M481">
        <f>IF([1]Accounts!$D$482="","",[1]Accounts!$C$482)</f>
        <v/>
      </c>
      <c r="N481">
        <f>IF([1]Accounts!$D$482="","",[1]Accounts!$D$482)</f>
        <v/>
      </c>
      <c r="P481">
        <f>IF([2]Entry!$C$484="","",[2]Entry!$C$484)</f>
        <v/>
      </c>
      <c r="Q481">
        <f>IF([2]Entry!$D$484="","",[2]Entry!$D$484)</f>
        <v/>
      </c>
      <c r="R481">
        <f>IF([2]Entry!$E$484="","",[2]Entry!$E$484)</f>
        <v/>
      </c>
      <c r="S481">
        <f>IF([2]Entry!$G$484="","",[2]Entry!$G$484)</f>
        <v/>
      </c>
      <c r="T481">
        <f>IF([2]Entry!$J$484="","",[2]Entry!$J$484)</f>
        <v/>
      </c>
      <c r="U481">
        <f>IF([2]Entry!$K$484="","",[2]Entry!$K$484)</f>
        <v/>
      </c>
      <c r="V481">
        <f>IF([2]Entry!$L$484="","",[2]Entry!$L$484)</f>
        <v/>
      </c>
      <c r="W481">
        <f>IF([2]Entry!$M$484="","",[2]Entry!$M$484)</f>
        <v/>
      </c>
      <c r="X481">
        <f>IF([2]Entry!$N$484="","",[2]Entry!$N$484)</f>
        <v/>
      </c>
      <c r="Y481">
        <f>IF([2]Entry!$R$484="","",[2]Entry!$R$484)</f>
        <v/>
      </c>
    </row>
    <row r="482">
      <c r="K482">
        <f>IF([1]Accounts!$D$483="","",[1]Accounts!$A$483)</f>
        <v/>
      </c>
      <c r="L482">
        <f>IF([1]Accounts!$D$483="","",[1]Accounts!$B$483)</f>
        <v/>
      </c>
      <c r="M482">
        <f>IF([1]Accounts!$D$483="","",[1]Accounts!$C$483)</f>
        <v/>
      </c>
      <c r="N482">
        <f>IF([1]Accounts!$D$483="","",[1]Accounts!$D$483)</f>
        <v/>
      </c>
      <c r="P482">
        <f>IF([2]Entry!$C$485="","",[2]Entry!$C$485)</f>
        <v/>
      </c>
      <c r="Q482">
        <f>IF([2]Entry!$D$485="","",[2]Entry!$D$485)</f>
        <v/>
      </c>
      <c r="R482">
        <f>IF([2]Entry!$E$485="","",[2]Entry!$E$485)</f>
        <v/>
      </c>
      <c r="S482">
        <f>IF([2]Entry!$G$485="","",[2]Entry!$G$485)</f>
        <v/>
      </c>
      <c r="T482">
        <f>IF([2]Entry!$J$485="","",[2]Entry!$J$485)</f>
        <v/>
      </c>
      <c r="U482">
        <f>IF([2]Entry!$K$485="","",[2]Entry!$K$485)</f>
        <v/>
      </c>
      <c r="V482">
        <f>IF([2]Entry!$L$485="","",[2]Entry!$L$485)</f>
        <v/>
      </c>
      <c r="W482">
        <f>IF([2]Entry!$M$485="","",[2]Entry!$M$485)</f>
        <v/>
      </c>
      <c r="X482">
        <f>IF([2]Entry!$N$485="","",[2]Entry!$N$485)</f>
        <v/>
      </c>
      <c r="Y482">
        <f>IF([2]Entry!$R$485="","",[2]Entry!$R$485)</f>
        <v/>
      </c>
    </row>
    <row r="483">
      <c r="K483">
        <f>IF([1]Accounts!$D$484="","",[1]Accounts!$A$484)</f>
        <v/>
      </c>
      <c r="L483">
        <f>IF([1]Accounts!$D$484="","",[1]Accounts!$B$484)</f>
        <v/>
      </c>
      <c r="M483">
        <f>IF([1]Accounts!$D$484="","",[1]Accounts!$C$484)</f>
        <v/>
      </c>
      <c r="N483">
        <f>IF([1]Accounts!$D$484="","",[1]Accounts!$D$484)</f>
        <v/>
      </c>
      <c r="P483">
        <f>IF([2]Entry!$C$486="","",[2]Entry!$C$486)</f>
        <v/>
      </c>
      <c r="Q483">
        <f>IF([2]Entry!$D$486="","",[2]Entry!$D$486)</f>
        <v/>
      </c>
      <c r="R483">
        <f>IF([2]Entry!$E$486="","",[2]Entry!$E$486)</f>
        <v/>
      </c>
      <c r="S483">
        <f>IF([2]Entry!$G$486="","",[2]Entry!$G$486)</f>
        <v/>
      </c>
      <c r="T483">
        <f>IF([2]Entry!$J$486="","",[2]Entry!$J$486)</f>
        <v/>
      </c>
      <c r="U483">
        <f>IF([2]Entry!$K$486="","",[2]Entry!$K$486)</f>
        <v/>
      </c>
      <c r="V483">
        <f>IF([2]Entry!$L$486="","",[2]Entry!$L$486)</f>
        <v/>
      </c>
      <c r="W483">
        <f>IF([2]Entry!$M$486="","",[2]Entry!$M$486)</f>
        <v/>
      </c>
      <c r="X483">
        <f>IF([2]Entry!$N$486="","",[2]Entry!$N$486)</f>
        <v/>
      </c>
      <c r="Y483">
        <f>IF([2]Entry!$R$486="","",[2]Entry!$R$486)</f>
        <v/>
      </c>
    </row>
    <row r="484">
      <c r="K484">
        <f>IF([1]Accounts!$D$485="","",[1]Accounts!$A$485)</f>
        <v/>
      </c>
      <c r="L484">
        <f>IF([1]Accounts!$D$485="","",[1]Accounts!$B$485)</f>
        <v/>
      </c>
      <c r="M484">
        <f>IF([1]Accounts!$D$485="","",[1]Accounts!$C$485)</f>
        <v/>
      </c>
      <c r="N484">
        <f>IF([1]Accounts!$D$485="","",[1]Accounts!$D$485)</f>
        <v/>
      </c>
      <c r="P484">
        <f>IF([2]Entry!$C$487="","",[2]Entry!$C$487)</f>
        <v/>
      </c>
      <c r="Q484">
        <f>IF([2]Entry!$D$487="","",[2]Entry!$D$487)</f>
        <v/>
      </c>
      <c r="R484">
        <f>IF([2]Entry!$E$487="","",[2]Entry!$E$487)</f>
        <v/>
      </c>
      <c r="S484">
        <f>IF([2]Entry!$G$487="","",[2]Entry!$G$487)</f>
        <v/>
      </c>
      <c r="T484">
        <f>IF([2]Entry!$J$487="","",[2]Entry!$J$487)</f>
        <v/>
      </c>
      <c r="U484">
        <f>IF([2]Entry!$K$487="","",[2]Entry!$K$487)</f>
        <v/>
      </c>
      <c r="V484">
        <f>IF([2]Entry!$L$487="","",[2]Entry!$L$487)</f>
        <v/>
      </c>
      <c r="W484">
        <f>IF([2]Entry!$M$487="","",[2]Entry!$M$487)</f>
        <v/>
      </c>
      <c r="X484">
        <f>IF([2]Entry!$N$487="","",[2]Entry!$N$487)</f>
        <v/>
      </c>
      <c r="Y484">
        <f>IF([2]Entry!$R$487="","",[2]Entry!$R$487)</f>
        <v/>
      </c>
    </row>
    <row r="485">
      <c r="K485">
        <f>IF([1]Accounts!$D$486="","",[1]Accounts!$A$486)</f>
        <v/>
      </c>
      <c r="L485">
        <f>IF([1]Accounts!$D$486="","",[1]Accounts!$B$486)</f>
        <v/>
      </c>
      <c r="M485">
        <f>IF([1]Accounts!$D$486="","",[1]Accounts!$C$486)</f>
        <v/>
      </c>
      <c r="N485">
        <f>IF([1]Accounts!$D$486="","",[1]Accounts!$D$486)</f>
        <v/>
      </c>
      <c r="P485">
        <f>IF([2]Entry!$C$488="","",[2]Entry!$C$488)</f>
        <v/>
      </c>
      <c r="Q485">
        <f>IF([2]Entry!$D$488="","",[2]Entry!$D$488)</f>
        <v/>
      </c>
      <c r="R485">
        <f>IF([2]Entry!$E$488="","",[2]Entry!$E$488)</f>
        <v/>
      </c>
      <c r="S485">
        <f>IF([2]Entry!$G$488="","",[2]Entry!$G$488)</f>
        <v/>
      </c>
      <c r="T485">
        <f>IF([2]Entry!$J$488="","",[2]Entry!$J$488)</f>
        <v/>
      </c>
      <c r="U485">
        <f>IF([2]Entry!$K$488="","",[2]Entry!$K$488)</f>
        <v/>
      </c>
      <c r="V485">
        <f>IF([2]Entry!$L$488="","",[2]Entry!$L$488)</f>
        <v/>
      </c>
      <c r="W485">
        <f>IF([2]Entry!$M$488="","",[2]Entry!$M$488)</f>
        <v/>
      </c>
      <c r="X485">
        <f>IF([2]Entry!$N$488="","",[2]Entry!$N$488)</f>
        <v/>
      </c>
      <c r="Y485">
        <f>IF([2]Entry!$R$488="","",[2]Entry!$R$488)</f>
        <v/>
      </c>
    </row>
    <row r="486">
      <c r="K486">
        <f>IF([1]Accounts!$D$487="","",[1]Accounts!$A$487)</f>
        <v/>
      </c>
      <c r="L486">
        <f>IF([1]Accounts!$D$487="","",[1]Accounts!$B$487)</f>
        <v/>
      </c>
      <c r="M486">
        <f>IF([1]Accounts!$D$487="","",[1]Accounts!$C$487)</f>
        <v/>
      </c>
      <c r="N486">
        <f>IF([1]Accounts!$D$487="","",[1]Accounts!$D$487)</f>
        <v/>
      </c>
      <c r="P486">
        <f>IF([2]Entry!$C$489="","",[2]Entry!$C$489)</f>
        <v/>
      </c>
      <c r="Q486">
        <f>IF([2]Entry!$D$489="","",[2]Entry!$D$489)</f>
        <v/>
      </c>
      <c r="R486">
        <f>IF([2]Entry!$E$489="","",[2]Entry!$E$489)</f>
        <v/>
      </c>
      <c r="S486">
        <f>IF([2]Entry!$G$489="","",[2]Entry!$G$489)</f>
        <v/>
      </c>
      <c r="T486">
        <f>IF([2]Entry!$J$489="","",[2]Entry!$J$489)</f>
        <v/>
      </c>
      <c r="U486">
        <f>IF([2]Entry!$K$489="","",[2]Entry!$K$489)</f>
        <v/>
      </c>
      <c r="V486">
        <f>IF([2]Entry!$L$489="","",[2]Entry!$L$489)</f>
        <v/>
      </c>
      <c r="W486">
        <f>IF([2]Entry!$M$489="","",[2]Entry!$M$489)</f>
        <v/>
      </c>
      <c r="X486">
        <f>IF([2]Entry!$N$489="","",[2]Entry!$N$489)</f>
        <v/>
      </c>
      <c r="Y486">
        <f>IF([2]Entry!$R$489="","",[2]Entry!$R$489)</f>
        <v/>
      </c>
    </row>
    <row r="487">
      <c r="K487">
        <f>IF([1]Accounts!$D$488="","",[1]Accounts!$A$488)</f>
        <v/>
      </c>
      <c r="L487">
        <f>IF([1]Accounts!$D$488="","",[1]Accounts!$B$488)</f>
        <v/>
      </c>
      <c r="M487">
        <f>IF([1]Accounts!$D$488="","",[1]Accounts!$C$488)</f>
        <v/>
      </c>
      <c r="N487">
        <f>IF([1]Accounts!$D$488="","",[1]Accounts!$D$488)</f>
        <v/>
      </c>
      <c r="P487">
        <f>IF([2]Entry!$C$490="","",[2]Entry!$C$490)</f>
        <v/>
      </c>
      <c r="Q487">
        <f>IF([2]Entry!$D$490="","",[2]Entry!$D$490)</f>
        <v/>
      </c>
      <c r="R487">
        <f>IF([2]Entry!$E$490="","",[2]Entry!$E$490)</f>
        <v/>
      </c>
      <c r="S487">
        <f>IF([2]Entry!$G$490="","",[2]Entry!$G$490)</f>
        <v/>
      </c>
      <c r="T487">
        <f>IF([2]Entry!$J$490="","",[2]Entry!$J$490)</f>
        <v/>
      </c>
      <c r="U487">
        <f>IF([2]Entry!$K$490="","",[2]Entry!$K$490)</f>
        <v/>
      </c>
      <c r="V487">
        <f>IF([2]Entry!$L$490="","",[2]Entry!$L$490)</f>
        <v/>
      </c>
      <c r="W487">
        <f>IF([2]Entry!$M$490="","",[2]Entry!$M$490)</f>
        <v/>
      </c>
      <c r="X487">
        <f>IF([2]Entry!$N$490="","",[2]Entry!$N$490)</f>
        <v/>
      </c>
      <c r="Y487">
        <f>IF([2]Entry!$R$490="","",[2]Entry!$R$490)</f>
        <v/>
      </c>
    </row>
    <row r="488">
      <c r="K488">
        <f>IF([1]Accounts!$D$489="","",[1]Accounts!$A$489)</f>
        <v/>
      </c>
      <c r="L488">
        <f>IF([1]Accounts!$D$489="","",[1]Accounts!$B$489)</f>
        <v/>
      </c>
      <c r="M488">
        <f>IF([1]Accounts!$D$489="","",[1]Accounts!$C$489)</f>
        <v/>
      </c>
      <c r="N488">
        <f>IF([1]Accounts!$D$489="","",[1]Accounts!$D$489)</f>
        <v/>
      </c>
      <c r="P488">
        <f>IF([2]Entry!$C$491="","",[2]Entry!$C$491)</f>
        <v/>
      </c>
      <c r="Q488">
        <f>IF([2]Entry!$D$491="","",[2]Entry!$D$491)</f>
        <v/>
      </c>
      <c r="R488">
        <f>IF([2]Entry!$E$491="","",[2]Entry!$E$491)</f>
        <v/>
      </c>
      <c r="S488">
        <f>IF([2]Entry!$G$491="","",[2]Entry!$G$491)</f>
        <v/>
      </c>
      <c r="T488">
        <f>IF([2]Entry!$J$491="","",[2]Entry!$J$491)</f>
        <v/>
      </c>
      <c r="U488">
        <f>IF([2]Entry!$K$491="","",[2]Entry!$K$491)</f>
        <v/>
      </c>
      <c r="V488">
        <f>IF([2]Entry!$L$491="","",[2]Entry!$L$491)</f>
        <v/>
      </c>
      <c r="W488">
        <f>IF([2]Entry!$M$491="","",[2]Entry!$M$491)</f>
        <v/>
      </c>
      <c r="X488">
        <f>IF([2]Entry!$N$491="","",[2]Entry!$N$491)</f>
        <v/>
      </c>
      <c r="Y488">
        <f>IF([2]Entry!$R$491="","",[2]Entry!$R$491)</f>
        <v/>
      </c>
    </row>
    <row r="489">
      <c r="K489">
        <f>IF([1]Accounts!$D$490="","",[1]Accounts!$A$490)</f>
        <v/>
      </c>
      <c r="L489">
        <f>IF([1]Accounts!$D$490="","",[1]Accounts!$B$490)</f>
        <v/>
      </c>
      <c r="M489">
        <f>IF([1]Accounts!$D$490="","",[1]Accounts!$C$490)</f>
        <v/>
      </c>
      <c r="N489">
        <f>IF([1]Accounts!$D$490="","",[1]Accounts!$D$490)</f>
        <v/>
      </c>
      <c r="P489">
        <f>IF([2]Entry!$C$492="","",[2]Entry!$C$492)</f>
        <v/>
      </c>
      <c r="Q489">
        <f>IF([2]Entry!$D$492="","",[2]Entry!$D$492)</f>
        <v/>
      </c>
      <c r="R489">
        <f>IF([2]Entry!$E$492="","",[2]Entry!$E$492)</f>
        <v/>
      </c>
      <c r="S489">
        <f>IF([2]Entry!$G$492="","",[2]Entry!$G$492)</f>
        <v/>
      </c>
      <c r="T489">
        <f>IF([2]Entry!$J$492="","",[2]Entry!$J$492)</f>
        <v/>
      </c>
      <c r="U489">
        <f>IF([2]Entry!$K$492="","",[2]Entry!$K$492)</f>
        <v/>
      </c>
      <c r="V489">
        <f>IF([2]Entry!$L$492="","",[2]Entry!$L$492)</f>
        <v/>
      </c>
      <c r="W489">
        <f>IF([2]Entry!$M$492="","",[2]Entry!$M$492)</f>
        <v/>
      </c>
      <c r="X489">
        <f>IF([2]Entry!$N$492="","",[2]Entry!$N$492)</f>
        <v/>
      </c>
      <c r="Y489">
        <f>IF([2]Entry!$R$492="","",[2]Entry!$R$492)</f>
        <v/>
      </c>
    </row>
    <row r="490">
      <c r="K490">
        <f>IF([1]Accounts!$D$491="","",[1]Accounts!$A$491)</f>
        <v/>
      </c>
      <c r="L490">
        <f>IF([1]Accounts!$D$491="","",[1]Accounts!$B$491)</f>
        <v/>
      </c>
      <c r="M490">
        <f>IF([1]Accounts!$D$491="","",[1]Accounts!$C$491)</f>
        <v/>
      </c>
      <c r="N490">
        <f>IF([1]Accounts!$D$491="","",[1]Accounts!$D$491)</f>
        <v/>
      </c>
      <c r="P490">
        <f>IF([2]Entry!$C$493="","",[2]Entry!$C$493)</f>
        <v/>
      </c>
      <c r="Q490">
        <f>IF([2]Entry!$D$493="","",[2]Entry!$D$493)</f>
        <v/>
      </c>
      <c r="R490">
        <f>IF([2]Entry!$E$493="","",[2]Entry!$E$493)</f>
        <v/>
      </c>
      <c r="S490">
        <f>IF([2]Entry!$G$493="","",[2]Entry!$G$493)</f>
        <v/>
      </c>
      <c r="T490">
        <f>IF([2]Entry!$J$493="","",[2]Entry!$J$493)</f>
        <v/>
      </c>
      <c r="U490">
        <f>IF([2]Entry!$K$493="","",[2]Entry!$K$493)</f>
        <v/>
      </c>
      <c r="V490">
        <f>IF([2]Entry!$L$493="","",[2]Entry!$L$493)</f>
        <v/>
      </c>
      <c r="W490">
        <f>IF([2]Entry!$M$493="","",[2]Entry!$M$493)</f>
        <v/>
      </c>
      <c r="X490">
        <f>IF([2]Entry!$N$493="","",[2]Entry!$N$493)</f>
        <v/>
      </c>
      <c r="Y490">
        <f>IF([2]Entry!$R$493="","",[2]Entry!$R$493)</f>
        <v/>
      </c>
    </row>
    <row r="491">
      <c r="K491">
        <f>IF([1]Accounts!$D$492="","",[1]Accounts!$A$492)</f>
        <v/>
      </c>
      <c r="L491">
        <f>IF([1]Accounts!$D$492="","",[1]Accounts!$B$492)</f>
        <v/>
      </c>
      <c r="M491">
        <f>IF([1]Accounts!$D$492="","",[1]Accounts!$C$492)</f>
        <v/>
      </c>
      <c r="N491">
        <f>IF([1]Accounts!$D$492="","",[1]Accounts!$D$492)</f>
        <v/>
      </c>
      <c r="P491">
        <f>IF([2]Entry!$C$494="","",[2]Entry!$C$494)</f>
        <v/>
      </c>
      <c r="Q491">
        <f>IF([2]Entry!$D$494="","",[2]Entry!$D$494)</f>
        <v/>
      </c>
      <c r="R491">
        <f>IF([2]Entry!$E$494="","",[2]Entry!$E$494)</f>
        <v/>
      </c>
      <c r="S491">
        <f>IF([2]Entry!$G$494="","",[2]Entry!$G$494)</f>
        <v/>
      </c>
      <c r="T491">
        <f>IF([2]Entry!$J$494="","",[2]Entry!$J$494)</f>
        <v/>
      </c>
      <c r="U491">
        <f>IF([2]Entry!$K$494="","",[2]Entry!$K$494)</f>
        <v/>
      </c>
      <c r="V491">
        <f>IF([2]Entry!$L$494="","",[2]Entry!$L$494)</f>
        <v/>
      </c>
      <c r="W491">
        <f>IF([2]Entry!$M$494="","",[2]Entry!$M$494)</f>
        <v/>
      </c>
      <c r="X491">
        <f>IF([2]Entry!$N$494="","",[2]Entry!$N$494)</f>
        <v/>
      </c>
      <c r="Y491">
        <f>IF([2]Entry!$R$494="","",[2]Entry!$R$494)</f>
        <v/>
      </c>
    </row>
    <row r="492">
      <c r="K492">
        <f>IF([1]Accounts!$D$493="","",[1]Accounts!$A$493)</f>
        <v/>
      </c>
      <c r="L492">
        <f>IF([1]Accounts!$D$493="","",[1]Accounts!$B$493)</f>
        <v/>
      </c>
      <c r="M492">
        <f>IF([1]Accounts!$D$493="","",[1]Accounts!$C$493)</f>
        <v/>
      </c>
      <c r="N492">
        <f>IF([1]Accounts!$D$493="","",[1]Accounts!$D$493)</f>
        <v/>
      </c>
      <c r="P492">
        <f>IF([2]Entry!$C$495="","",[2]Entry!$C$495)</f>
        <v/>
      </c>
      <c r="Q492">
        <f>IF([2]Entry!$D$495="","",[2]Entry!$D$495)</f>
        <v/>
      </c>
      <c r="R492">
        <f>IF([2]Entry!$E$495="","",[2]Entry!$E$495)</f>
        <v/>
      </c>
      <c r="S492">
        <f>IF([2]Entry!$G$495="","",[2]Entry!$G$495)</f>
        <v/>
      </c>
      <c r="T492">
        <f>IF([2]Entry!$J$495="","",[2]Entry!$J$495)</f>
        <v/>
      </c>
      <c r="U492">
        <f>IF([2]Entry!$K$495="","",[2]Entry!$K$495)</f>
        <v/>
      </c>
      <c r="V492">
        <f>IF([2]Entry!$L$495="","",[2]Entry!$L$495)</f>
        <v/>
      </c>
      <c r="W492">
        <f>IF([2]Entry!$M$495="","",[2]Entry!$M$495)</f>
        <v/>
      </c>
      <c r="X492">
        <f>IF([2]Entry!$N$495="","",[2]Entry!$N$495)</f>
        <v/>
      </c>
      <c r="Y492">
        <f>IF([2]Entry!$R$495="","",[2]Entry!$R$495)</f>
        <v/>
      </c>
    </row>
    <row r="493">
      <c r="K493">
        <f>IF([1]Accounts!$D$494="","",[1]Accounts!$A$494)</f>
        <v/>
      </c>
      <c r="L493">
        <f>IF([1]Accounts!$D$494="","",[1]Accounts!$B$494)</f>
        <v/>
      </c>
      <c r="M493">
        <f>IF([1]Accounts!$D$494="","",[1]Accounts!$C$494)</f>
        <v/>
      </c>
      <c r="N493">
        <f>IF([1]Accounts!$D$494="","",[1]Accounts!$D$494)</f>
        <v/>
      </c>
      <c r="P493">
        <f>IF([2]Entry!$C$496="","",[2]Entry!$C$496)</f>
        <v/>
      </c>
      <c r="Q493">
        <f>IF([2]Entry!$D$496="","",[2]Entry!$D$496)</f>
        <v/>
      </c>
      <c r="R493">
        <f>IF([2]Entry!$E$496="","",[2]Entry!$E$496)</f>
        <v/>
      </c>
      <c r="S493">
        <f>IF([2]Entry!$G$496="","",[2]Entry!$G$496)</f>
        <v/>
      </c>
      <c r="T493">
        <f>IF([2]Entry!$J$496="","",[2]Entry!$J$496)</f>
        <v/>
      </c>
      <c r="U493">
        <f>IF([2]Entry!$K$496="","",[2]Entry!$K$496)</f>
        <v/>
      </c>
      <c r="V493">
        <f>IF([2]Entry!$L$496="","",[2]Entry!$L$496)</f>
        <v/>
      </c>
      <c r="W493">
        <f>IF([2]Entry!$M$496="","",[2]Entry!$M$496)</f>
        <v/>
      </c>
      <c r="X493">
        <f>IF([2]Entry!$N$496="","",[2]Entry!$N$496)</f>
        <v/>
      </c>
      <c r="Y493">
        <f>IF([2]Entry!$R$496="","",[2]Entry!$R$496)</f>
        <v/>
      </c>
    </row>
    <row r="494">
      <c r="K494">
        <f>IF([1]Accounts!$D$495="","",[1]Accounts!$A$495)</f>
        <v/>
      </c>
      <c r="L494">
        <f>IF([1]Accounts!$D$495="","",[1]Accounts!$B$495)</f>
        <v/>
      </c>
      <c r="M494">
        <f>IF([1]Accounts!$D$495="","",[1]Accounts!$C$495)</f>
        <v/>
      </c>
      <c r="N494">
        <f>IF([1]Accounts!$D$495="","",[1]Accounts!$D$495)</f>
        <v/>
      </c>
      <c r="P494">
        <f>IF([2]Entry!$C$497="","",[2]Entry!$C$497)</f>
        <v/>
      </c>
      <c r="Q494">
        <f>IF([2]Entry!$D$497="","",[2]Entry!$D$497)</f>
        <v/>
      </c>
      <c r="R494">
        <f>IF([2]Entry!$E$497="","",[2]Entry!$E$497)</f>
        <v/>
      </c>
      <c r="S494">
        <f>IF([2]Entry!$G$497="","",[2]Entry!$G$497)</f>
        <v/>
      </c>
      <c r="T494">
        <f>IF([2]Entry!$J$497="","",[2]Entry!$J$497)</f>
        <v/>
      </c>
      <c r="U494">
        <f>IF([2]Entry!$K$497="","",[2]Entry!$K$497)</f>
        <v/>
      </c>
      <c r="V494">
        <f>IF([2]Entry!$L$497="","",[2]Entry!$L$497)</f>
        <v/>
      </c>
      <c r="W494">
        <f>IF([2]Entry!$M$497="","",[2]Entry!$M$497)</f>
        <v/>
      </c>
      <c r="X494">
        <f>IF([2]Entry!$N$497="","",[2]Entry!$N$497)</f>
        <v/>
      </c>
      <c r="Y494">
        <f>IF([2]Entry!$R$497="","",[2]Entry!$R$497)</f>
        <v/>
      </c>
    </row>
    <row r="495">
      <c r="K495">
        <f>IF([1]Accounts!$D$496="","",[1]Accounts!$A$496)</f>
        <v/>
      </c>
      <c r="L495">
        <f>IF([1]Accounts!$D$496="","",[1]Accounts!$B$496)</f>
        <v/>
      </c>
      <c r="M495">
        <f>IF([1]Accounts!$D$496="","",[1]Accounts!$C$496)</f>
        <v/>
      </c>
      <c r="N495">
        <f>IF([1]Accounts!$D$496="","",[1]Accounts!$D$496)</f>
        <v/>
      </c>
      <c r="P495">
        <f>IF([2]Entry!$C$498="","",[2]Entry!$C$498)</f>
        <v/>
      </c>
      <c r="Q495">
        <f>IF([2]Entry!$D$498="","",[2]Entry!$D$498)</f>
        <v/>
      </c>
      <c r="R495">
        <f>IF([2]Entry!$E$498="","",[2]Entry!$E$498)</f>
        <v/>
      </c>
      <c r="S495">
        <f>IF([2]Entry!$G$498="","",[2]Entry!$G$498)</f>
        <v/>
      </c>
      <c r="T495">
        <f>IF([2]Entry!$J$498="","",[2]Entry!$J$498)</f>
        <v/>
      </c>
      <c r="U495">
        <f>IF([2]Entry!$K$498="","",[2]Entry!$K$498)</f>
        <v/>
      </c>
      <c r="V495">
        <f>IF([2]Entry!$L$498="","",[2]Entry!$L$498)</f>
        <v/>
      </c>
      <c r="W495">
        <f>IF([2]Entry!$M$498="","",[2]Entry!$M$498)</f>
        <v/>
      </c>
      <c r="X495">
        <f>IF([2]Entry!$N$498="","",[2]Entry!$N$498)</f>
        <v/>
      </c>
      <c r="Y495">
        <f>IF([2]Entry!$R$498="","",[2]Entry!$R$498)</f>
        <v/>
      </c>
    </row>
    <row r="496">
      <c r="K496">
        <f>IF([1]Accounts!$D$497="","",[1]Accounts!$A$497)</f>
        <v/>
      </c>
      <c r="L496">
        <f>IF([1]Accounts!$D$497="","",[1]Accounts!$B$497)</f>
        <v/>
      </c>
      <c r="M496">
        <f>IF([1]Accounts!$D$497="","",[1]Accounts!$C$497)</f>
        <v/>
      </c>
      <c r="N496">
        <f>IF([1]Accounts!$D$497="","",[1]Accounts!$D$497)</f>
        <v/>
      </c>
      <c r="P496">
        <f>IF([2]Entry!$C$499="","",[2]Entry!$C$499)</f>
        <v/>
      </c>
      <c r="Q496">
        <f>IF([2]Entry!$D$499="","",[2]Entry!$D$499)</f>
        <v/>
      </c>
      <c r="R496">
        <f>IF([2]Entry!$E$499="","",[2]Entry!$E$499)</f>
        <v/>
      </c>
      <c r="S496">
        <f>IF([2]Entry!$G$499="","",[2]Entry!$G$499)</f>
        <v/>
      </c>
      <c r="T496">
        <f>IF([2]Entry!$J$499="","",[2]Entry!$J$499)</f>
        <v/>
      </c>
      <c r="U496">
        <f>IF([2]Entry!$K$499="","",[2]Entry!$K$499)</f>
        <v/>
      </c>
      <c r="V496">
        <f>IF([2]Entry!$L$499="","",[2]Entry!$L$499)</f>
        <v/>
      </c>
      <c r="W496">
        <f>IF([2]Entry!$M$499="","",[2]Entry!$M$499)</f>
        <v/>
      </c>
      <c r="X496">
        <f>IF([2]Entry!$N$499="","",[2]Entry!$N$499)</f>
        <v/>
      </c>
      <c r="Y496">
        <f>IF([2]Entry!$R$499="","",[2]Entry!$R$499)</f>
        <v/>
      </c>
    </row>
    <row r="497">
      <c r="K497">
        <f>IF([1]Accounts!$D$498="","",[1]Accounts!$A$498)</f>
        <v/>
      </c>
      <c r="L497">
        <f>IF([1]Accounts!$D$498="","",[1]Accounts!$B$498)</f>
        <v/>
      </c>
      <c r="M497">
        <f>IF([1]Accounts!$D$498="","",[1]Accounts!$C$498)</f>
        <v/>
      </c>
      <c r="N497">
        <f>IF([1]Accounts!$D$498="","",[1]Accounts!$D$498)</f>
        <v/>
      </c>
      <c r="P497">
        <f>IF([2]Entry!$C$500="","",[2]Entry!$C$500)</f>
        <v/>
      </c>
      <c r="Q497">
        <f>IF([2]Entry!$D$500="","",[2]Entry!$D$500)</f>
        <v/>
      </c>
      <c r="R497">
        <f>IF([2]Entry!$E$500="","",[2]Entry!$E$500)</f>
        <v/>
      </c>
      <c r="S497">
        <f>IF([2]Entry!$G$500="","",[2]Entry!$G$500)</f>
        <v/>
      </c>
      <c r="T497">
        <f>IF([2]Entry!$J$500="","",[2]Entry!$J$500)</f>
        <v/>
      </c>
      <c r="U497">
        <f>IF([2]Entry!$K$500="","",[2]Entry!$K$500)</f>
        <v/>
      </c>
      <c r="V497">
        <f>IF([2]Entry!$L$500="","",[2]Entry!$L$500)</f>
        <v/>
      </c>
      <c r="W497">
        <f>IF([2]Entry!$M$500="","",[2]Entry!$M$500)</f>
        <v/>
      </c>
      <c r="X497">
        <f>IF([2]Entry!$N$500="","",[2]Entry!$N$500)</f>
        <v/>
      </c>
      <c r="Y497">
        <f>IF([2]Entry!$R$500="","",[2]Entry!$R$500)</f>
        <v/>
      </c>
    </row>
    <row r="498">
      <c r="K498">
        <f>IF([1]Accounts!$D$499="","",[1]Accounts!$A$499)</f>
        <v/>
      </c>
      <c r="L498">
        <f>IF([1]Accounts!$D$499="","",[1]Accounts!$B$499)</f>
        <v/>
      </c>
      <c r="M498">
        <f>IF([1]Accounts!$D$499="","",[1]Accounts!$C$499)</f>
        <v/>
      </c>
      <c r="N498">
        <f>IF([1]Accounts!$D$499="","",[1]Accounts!$D$499)</f>
        <v/>
      </c>
      <c r="P498">
        <f>IF([2]Entry!$C$501="","",[2]Entry!$C$501)</f>
        <v/>
      </c>
      <c r="Q498">
        <f>IF([2]Entry!$D$501="","",[2]Entry!$D$501)</f>
        <v/>
      </c>
      <c r="R498">
        <f>IF([2]Entry!$E$501="","",[2]Entry!$E$501)</f>
        <v/>
      </c>
      <c r="S498">
        <f>IF([2]Entry!$G$501="","",[2]Entry!$G$501)</f>
        <v/>
      </c>
      <c r="T498">
        <f>IF([2]Entry!$J$501="","",[2]Entry!$J$501)</f>
        <v/>
      </c>
      <c r="U498">
        <f>IF([2]Entry!$K$501="","",[2]Entry!$K$501)</f>
        <v/>
      </c>
      <c r="V498">
        <f>IF([2]Entry!$L$501="","",[2]Entry!$L$501)</f>
        <v/>
      </c>
      <c r="W498">
        <f>IF([2]Entry!$M$501="","",[2]Entry!$M$501)</f>
        <v/>
      </c>
      <c r="X498">
        <f>IF([2]Entry!$N$501="","",[2]Entry!$N$501)</f>
        <v/>
      </c>
      <c r="Y498">
        <f>IF([2]Entry!$R$501="","",[2]Entry!$R$501)</f>
        <v/>
      </c>
    </row>
    <row r="499">
      <c r="K499">
        <f>IF([1]Accounts!$D$500="","",[1]Accounts!$A$500)</f>
        <v/>
      </c>
      <c r="L499">
        <f>IF([1]Accounts!$D$500="","",[1]Accounts!$B$500)</f>
        <v/>
      </c>
      <c r="M499">
        <f>IF([1]Accounts!$D$500="","",[1]Accounts!$C$500)</f>
        <v/>
      </c>
      <c r="N499">
        <f>IF([1]Accounts!$D$500="","",[1]Accounts!$D$500)</f>
        <v/>
      </c>
      <c r="P499">
        <f>IF([2]Entry!$C$502="","",[2]Entry!$C$502)</f>
        <v/>
      </c>
      <c r="Q499">
        <f>IF([2]Entry!$D$502="","",[2]Entry!$D$502)</f>
        <v/>
      </c>
      <c r="R499">
        <f>IF([2]Entry!$E$502="","",[2]Entry!$E$502)</f>
        <v/>
      </c>
      <c r="S499">
        <f>IF([2]Entry!$G$502="","",[2]Entry!$G$502)</f>
        <v/>
      </c>
      <c r="T499">
        <f>IF([2]Entry!$J$502="","",[2]Entry!$J$502)</f>
        <v/>
      </c>
      <c r="U499">
        <f>IF([2]Entry!$K$502="","",[2]Entry!$K$502)</f>
        <v/>
      </c>
      <c r="V499">
        <f>IF([2]Entry!$L$502="","",[2]Entry!$L$502)</f>
        <v/>
      </c>
      <c r="W499">
        <f>IF([2]Entry!$M$502="","",[2]Entry!$M$502)</f>
        <v/>
      </c>
      <c r="X499">
        <f>IF([2]Entry!$N$502="","",[2]Entry!$N$502)</f>
        <v/>
      </c>
      <c r="Y499">
        <f>IF([2]Entry!$R$502="","",[2]Entry!$R$502)</f>
        <v/>
      </c>
    </row>
    <row r="500">
      <c r="K500">
        <f>IF([1]Accounts!$D$501="","",[1]Accounts!$A$501)</f>
        <v/>
      </c>
      <c r="L500">
        <f>IF([1]Accounts!$D$501="","",[1]Accounts!$B$501)</f>
        <v/>
      </c>
      <c r="M500">
        <f>IF([1]Accounts!$D$501="","",[1]Accounts!$C$501)</f>
        <v/>
      </c>
      <c r="N500">
        <f>IF([1]Accounts!$D$501="","",[1]Accounts!$D$501)</f>
        <v/>
      </c>
      <c r="P500">
        <f>IF([2]Entry!$C$503="","",[2]Entry!$C$503)</f>
        <v/>
      </c>
      <c r="Q500">
        <f>IF([2]Entry!$D$503="","",[2]Entry!$D$503)</f>
        <v/>
      </c>
      <c r="R500">
        <f>IF([2]Entry!$E$503="","",[2]Entry!$E$503)</f>
        <v/>
      </c>
      <c r="S500">
        <f>IF([2]Entry!$G$503="","",[2]Entry!$G$503)</f>
        <v/>
      </c>
      <c r="T500">
        <f>IF([2]Entry!$J$503="","",[2]Entry!$J$503)</f>
        <v/>
      </c>
      <c r="U500">
        <f>IF([2]Entry!$K$503="","",[2]Entry!$K$503)</f>
        <v/>
      </c>
      <c r="V500">
        <f>IF([2]Entry!$L$503="","",[2]Entry!$L$503)</f>
        <v/>
      </c>
      <c r="W500">
        <f>IF([2]Entry!$M$503="","",[2]Entry!$M$503)</f>
        <v/>
      </c>
      <c r="X500">
        <f>IF([2]Entry!$N$503="","",[2]Entry!$N$503)</f>
        <v/>
      </c>
      <c r="Y500">
        <f>IF([2]Entry!$R$503="","",[2]Entry!$R$503)</f>
        <v/>
      </c>
    </row>
    <row r="501">
      <c r="K501">
        <f>IF([1]Accounts!$D$502="","",[1]Accounts!$A$502)</f>
        <v/>
      </c>
      <c r="L501">
        <f>IF([1]Accounts!$D$502="","",[1]Accounts!$B$502)</f>
        <v/>
      </c>
      <c r="M501">
        <f>IF([1]Accounts!$D$502="","",[1]Accounts!$C$502)</f>
        <v/>
      </c>
      <c r="N501">
        <f>IF([1]Accounts!$D$502="","",[1]Accounts!$D$502)</f>
        <v/>
      </c>
      <c r="P501">
        <f>IF([2]Entry!$C$504="","",[2]Entry!$C$504)</f>
        <v/>
      </c>
      <c r="Q501">
        <f>IF([2]Entry!$D$504="","",[2]Entry!$D$504)</f>
        <v/>
      </c>
      <c r="R501">
        <f>IF([2]Entry!$E$504="","",[2]Entry!$E$504)</f>
        <v/>
      </c>
      <c r="S501">
        <f>IF([2]Entry!$G$504="","",[2]Entry!$G$504)</f>
        <v/>
      </c>
      <c r="T501">
        <f>IF([2]Entry!$J$504="","",[2]Entry!$J$504)</f>
        <v/>
      </c>
      <c r="U501">
        <f>IF([2]Entry!$K$504="","",[2]Entry!$K$504)</f>
        <v/>
      </c>
      <c r="V501">
        <f>IF([2]Entry!$L$504="","",[2]Entry!$L$504)</f>
        <v/>
      </c>
      <c r="W501">
        <f>IF([2]Entry!$M$504="","",[2]Entry!$M$504)</f>
        <v/>
      </c>
      <c r="X501">
        <f>IF([2]Entry!$N$504="","",[2]Entry!$N$504)</f>
        <v/>
      </c>
      <c r="Y501">
        <f>IF([2]Entry!$R$504="","",[2]Entry!$R$504)</f>
        <v/>
      </c>
    </row>
    <row r="502">
      <c r="K502">
        <f>IF([1]Accounts!$D$503="","",[1]Accounts!$A$503)</f>
        <v/>
      </c>
      <c r="L502">
        <f>IF([1]Accounts!$D$503="","",[1]Accounts!$B$503)</f>
        <v/>
      </c>
      <c r="M502">
        <f>IF([1]Accounts!$D$503="","",[1]Accounts!$C$503)</f>
        <v/>
      </c>
      <c r="N502">
        <f>IF([1]Accounts!$D$503="","",[1]Accounts!$D$503)</f>
        <v/>
      </c>
      <c r="P502">
        <f>IF([2]Entry!$C$505="","",[2]Entry!$C$505)</f>
        <v/>
      </c>
      <c r="Q502">
        <f>IF([2]Entry!$D$505="","",[2]Entry!$D$505)</f>
        <v/>
      </c>
      <c r="R502">
        <f>IF([2]Entry!$E$505="","",[2]Entry!$E$505)</f>
        <v/>
      </c>
      <c r="S502">
        <f>IF([2]Entry!$G$505="","",[2]Entry!$G$505)</f>
        <v/>
      </c>
      <c r="T502">
        <f>IF([2]Entry!$J$505="","",[2]Entry!$J$505)</f>
        <v/>
      </c>
      <c r="U502">
        <f>IF([2]Entry!$K$505="","",[2]Entry!$K$505)</f>
        <v/>
      </c>
      <c r="V502">
        <f>IF([2]Entry!$L$505="","",[2]Entry!$L$505)</f>
        <v/>
      </c>
      <c r="W502">
        <f>IF([2]Entry!$M$505="","",[2]Entry!$M$505)</f>
        <v/>
      </c>
      <c r="X502">
        <f>IF([2]Entry!$N$505="","",[2]Entry!$N$505)</f>
        <v/>
      </c>
      <c r="Y502">
        <f>IF([2]Entry!$R$505="","",[2]Entry!$R$505)</f>
        <v/>
      </c>
    </row>
    <row r="503">
      <c r="K503">
        <f>IF([1]Accounts!$D$504="","",[1]Accounts!$A$504)</f>
        <v/>
      </c>
      <c r="L503">
        <f>IF([1]Accounts!$D$504="","",[1]Accounts!$B$504)</f>
        <v/>
      </c>
      <c r="M503">
        <f>IF([1]Accounts!$D$504="","",[1]Accounts!$C$504)</f>
        <v/>
      </c>
      <c r="N503">
        <f>IF([1]Accounts!$D$504="","",[1]Accounts!$D$504)</f>
        <v/>
      </c>
      <c r="P503">
        <f>IF([2]Entry!$C$506="","",[2]Entry!$C$506)</f>
        <v/>
      </c>
      <c r="Q503">
        <f>IF([2]Entry!$D$506="","",[2]Entry!$D$506)</f>
        <v/>
      </c>
      <c r="R503">
        <f>IF([2]Entry!$E$506="","",[2]Entry!$E$506)</f>
        <v/>
      </c>
      <c r="S503">
        <f>IF([2]Entry!$G$506="","",[2]Entry!$G$506)</f>
        <v/>
      </c>
      <c r="T503">
        <f>IF([2]Entry!$J$506="","",[2]Entry!$J$506)</f>
        <v/>
      </c>
      <c r="U503">
        <f>IF([2]Entry!$K$506="","",[2]Entry!$K$506)</f>
        <v/>
      </c>
      <c r="V503">
        <f>IF([2]Entry!$L$506="","",[2]Entry!$L$506)</f>
        <v/>
      </c>
      <c r="W503">
        <f>IF([2]Entry!$M$506="","",[2]Entry!$M$506)</f>
        <v/>
      </c>
      <c r="X503">
        <f>IF([2]Entry!$N$506="","",[2]Entry!$N$506)</f>
        <v/>
      </c>
      <c r="Y503">
        <f>IF([2]Entry!$R$506="","",[2]Entry!$R$506)</f>
        <v/>
      </c>
    </row>
    <row r="504">
      <c r="K504">
        <f>IF([1]Accounts!$D$505="","",[1]Accounts!$A$505)</f>
        <v/>
      </c>
      <c r="L504">
        <f>IF([1]Accounts!$D$505="","",[1]Accounts!$B$505)</f>
        <v/>
      </c>
      <c r="M504">
        <f>IF([1]Accounts!$D$505="","",[1]Accounts!$C$505)</f>
        <v/>
      </c>
      <c r="N504">
        <f>IF([1]Accounts!$D$505="","",[1]Accounts!$D$505)</f>
        <v/>
      </c>
      <c r="P504">
        <f>IF([2]Entry!$C$507="","",[2]Entry!$C$507)</f>
        <v/>
      </c>
      <c r="Q504">
        <f>IF([2]Entry!$D$507="","",[2]Entry!$D$507)</f>
        <v/>
      </c>
      <c r="R504">
        <f>IF([2]Entry!$E$507="","",[2]Entry!$E$507)</f>
        <v/>
      </c>
      <c r="S504">
        <f>IF([2]Entry!$G$507="","",[2]Entry!$G$507)</f>
        <v/>
      </c>
      <c r="T504">
        <f>IF([2]Entry!$J$507="","",[2]Entry!$J$507)</f>
        <v/>
      </c>
      <c r="U504">
        <f>IF([2]Entry!$K$507="","",[2]Entry!$K$507)</f>
        <v/>
      </c>
      <c r="V504">
        <f>IF([2]Entry!$L$507="","",[2]Entry!$L$507)</f>
        <v/>
      </c>
      <c r="W504">
        <f>IF([2]Entry!$M$507="","",[2]Entry!$M$507)</f>
        <v/>
      </c>
      <c r="X504">
        <f>IF([2]Entry!$N$507="","",[2]Entry!$N$507)</f>
        <v/>
      </c>
      <c r="Y504">
        <f>IF([2]Entry!$R$507="","",[2]Entry!$R$507)</f>
        <v/>
      </c>
    </row>
    <row r="505">
      <c r="K505">
        <f>IF([1]Accounts!$D$506="","",[1]Accounts!$A$506)</f>
        <v/>
      </c>
      <c r="L505">
        <f>IF([1]Accounts!$D$506="","",[1]Accounts!$B$506)</f>
        <v/>
      </c>
      <c r="M505">
        <f>IF([1]Accounts!$D$506="","",[1]Accounts!$C$506)</f>
        <v/>
      </c>
      <c r="N505">
        <f>IF([1]Accounts!$D$506="","",[1]Accounts!$D$506)</f>
        <v/>
      </c>
      <c r="P505">
        <f>IF([2]Entry!$C$508="","",[2]Entry!$C$508)</f>
        <v/>
      </c>
      <c r="Q505">
        <f>IF([2]Entry!$D$508="","",[2]Entry!$D$508)</f>
        <v/>
      </c>
      <c r="R505">
        <f>IF([2]Entry!$E$508="","",[2]Entry!$E$508)</f>
        <v/>
      </c>
      <c r="S505">
        <f>IF([2]Entry!$G$508="","",[2]Entry!$G$508)</f>
        <v/>
      </c>
      <c r="T505">
        <f>IF([2]Entry!$J$508="","",[2]Entry!$J$508)</f>
        <v/>
      </c>
      <c r="U505">
        <f>IF([2]Entry!$K$508="","",[2]Entry!$K$508)</f>
        <v/>
      </c>
      <c r="V505">
        <f>IF([2]Entry!$L$508="","",[2]Entry!$L$508)</f>
        <v/>
      </c>
      <c r="W505">
        <f>IF([2]Entry!$M$508="","",[2]Entry!$M$508)</f>
        <v/>
      </c>
      <c r="X505">
        <f>IF([2]Entry!$N$508="","",[2]Entry!$N$508)</f>
        <v/>
      </c>
      <c r="Y505">
        <f>IF([2]Entry!$R$508="","",[2]Entry!$R$508)</f>
        <v/>
      </c>
    </row>
    <row r="506">
      <c r="K506">
        <f>IF([1]Accounts!$D$507="","",[1]Accounts!$A$507)</f>
        <v/>
      </c>
      <c r="L506">
        <f>IF([1]Accounts!$D$507="","",[1]Accounts!$B$507)</f>
        <v/>
      </c>
      <c r="M506">
        <f>IF([1]Accounts!$D$507="","",[1]Accounts!$C$507)</f>
        <v/>
      </c>
      <c r="N506">
        <f>IF([1]Accounts!$D$507="","",[1]Accounts!$D$507)</f>
        <v/>
      </c>
      <c r="P506">
        <f>IF([2]Entry!$C$509="","",[2]Entry!$C$509)</f>
        <v/>
      </c>
      <c r="Q506">
        <f>IF([2]Entry!$D$509="","",[2]Entry!$D$509)</f>
        <v/>
      </c>
      <c r="R506">
        <f>IF([2]Entry!$E$509="","",[2]Entry!$E$509)</f>
        <v/>
      </c>
      <c r="S506">
        <f>IF([2]Entry!$G$509="","",[2]Entry!$G$509)</f>
        <v/>
      </c>
      <c r="T506">
        <f>IF([2]Entry!$J$509="","",[2]Entry!$J$509)</f>
        <v/>
      </c>
      <c r="U506">
        <f>IF([2]Entry!$K$509="","",[2]Entry!$K$509)</f>
        <v/>
      </c>
      <c r="V506">
        <f>IF([2]Entry!$L$509="","",[2]Entry!$L$509)</f>
        <v/>
      </c>
      <c r="W506">
        <f>IF([2]Entry!$M$509="","",[2]Entry!$M$509)</f>
        <v/>
      </c>
      <c r="X506">
        <f>IF([2]Entry!$N$509="","",[2]Entry!$N$509)</f>
        <v/>
      </c>
      <c r="Y506">
        <f>IF([2]Entry!$R$509="","",[2]Entry!$R$509)</f>
        <v/>
      </c>
    </row>
    <row r="507">
      <c r="K507">
        <f>IF([1]Accounts!$D$508="","",[1]Accounts!$A$508)</f>
        <v/>
      </c>
      <c r="L507">
        <f>IF([1]Accounts!$D$508="","",[1]Accounts!$B$508)</f>
        <v/>
      </c>
      <c r="M507">
        <f>IF([1]Accounts!$D$508="","",[1]Accounts!$C$508)</f>
        <v/>
      </c>
      <c r="N507">
        <f>IF([1]Accounts!$D$508="","",[1]Accounts!$D$508)</f>
        <v/>
      </c>
      <c r="P507">
        <f>IF([2]Entry!$C$510="","",[2]Entry!$C$510)</f>
        <v/>
      </c>
      <c r="Q507">
        <f>IF([2]Entry!$D$510="","",[2]Entry!$D$510)</f>
        <v/>
      </c>
      <c r="R507">
        <f>IF([2]Entry!$E$510="","",[2]Entry!$E$510)</f>
        <v/>
      </c>
      <c r="S507">
        <f>IF([2]Entry!$G$510="","",[2]Entry!$G$510)</f>
        <v/>
      </c>
      <c r="T507">
        <f>IF([2]Entry!$J$510="","",[2]Entry!$J$510)</f>
        <v/>
      </c>
      <c r="U507">
        <f>IF([2]Entry!$K$510="","",[2]Entry!$K$510)</f>
        <v/>
      </c>
      <c r="V507">
        <f>IF([2]Entry!$L$510="","",[2]Entry!$L$510)</f>
        <v/>
      </c>
      <c r="W507">
        <f>IF([2]Entry!$M$510="","",[2]Entry!$M$510)</f>
        <v/>
      </c>
      <c r="X507">
        <f>IF([2]Entry!$N$510="","",[2]Entry!$N$510)</f>
        <v/>
      </c>
      <c r="Y507">
        <f>IF([2]Entry!$R$510="","",[2]Entry!$R$510)</f>
        <v/>
      </c>
    </row>
    <row r="508">
      <c r="K508">
        <f>IF([1]Accounts!$D$509="","",[1]Accounts!$A$509)</f>
        <v/>
      </c>
      <c r="L508">
        <f>IF([1]Accounts!$D$509="","",[1]Accounts!$B$509)</f>
        <v/>
      </c>
      <c r="M508">
        <f>IF([1]Accounts!$D$509="","",[1]Accounts!$C$509)</f>
        <v/>
      </c>
      <c r="N508">
        <f>IF([1]Accounts!$D$509="","",[1]Accounts!$D$509)</f>
        <v/>
      </c>
      <c r="P508">
        <f>IF([2]Entry!$C$511="","",[2]Entry!$C$511)</f>
        <v/>
      </c>
      <c r="Q508">
        <f>IF([2]Entry!$D$511="","",[2]Entry!$D$511)</f>
        <v/>
      </c>
      <c r="R508">
        <f>IF([2]Entry!$E$511="","",[2]Entry!$E$511)</f>
        <v/>
      </c>
      <c r="S508">
        <f>IF([2]Entry!$G$511="","",[2]Entry!$G$511)</f>
        <v/>
      </c>
      <c r="T508">
        <f>IF([2]Entry!$J$511="","",[2]Entry!$J$511)</f>
        <v/>
      </c>
      <c r="U508">
        <f>IF([2]Entry!$K$511="","",[2]Entry!$K$511)</f>
        <v/>
      </c>
      <c r="V508">
        <f>IF([2]Entry!$L$511="","",[2]Entry!$L$511)</f>
        <v/>
      </c>
      <c r="W508">
        <f>IF([2]Entry!$M$511="","",[2]Entry!$M$511)</f>
        <v/>
      </c>
      <c r="X508">
        <f>IF([2]Entry!$N$511="","",[2]Entry!$N$511)</f>
        <v/>
      </c>
      <c r="Y508">
        <f>IF([2]Entry!$R$511="","",[2]Entry!$R$511)</f>
        <v/>
      </c>
    </row>
    <row r="509">
      <c r="K509">
        <f>IF([1]Accounts!$D$510="","",[1]Accounts!$A$510)</f>
        <v/>
      </c>
      <c r="L509">
        <f>IF([1]Accounts!$D$510="","",[1]Accounts!$B$510)</f>
        <v/>
      </c>
      <c r="M509">
        <f>IF([1]Accounts!$D$510="","",[1]Accounts!$C$510)</f>
        <v/>
      </c>
      <c r="N509">
        <f>IF([1]Accounts!$D$510="","",[1]Accounts!$D$510)</f>
        <v/>
      </c>
      <c r="P509">
        <f>IF([2]Entry!$C$512="","",[2]Entry!$C$512)</f>
        <v/>
      </c>
      <c r="Q509">
        <f>IF([2]Entry!$D$512="","",[2]Entry!$D$512)</f>
        <v/>
      </c>
      <c r="R509">
        <f>IF([2]Entry!$E$512="","",[2]Entry!$E$512)</f>
        <v/>
      </c>
      <c r="S509">
        <f>IF([2]Entry!$G$512="","",[2]Entry!$G$512)</f>
        <v/>
      </c>
      <c r="T509">
        <f>IF([2]Entry!$J$512="","",[2]Entry!$J$512)</f>
        <v/>
      </c>
      <c r="U509">
        <f>IF([2]Entry!$K$512="","",[2]Entry!$K$512)</f>
        <v/>
      </c>
      <c r="V509">
        <f>IF([2]Entry!$L$512="","",[2]Entry!$L$512)</f>
        <v/>
      </c>
      <c r="W509">
        <f>IF([2]Entry!$M$512="","",[2]Entry!$M$512)</f>
        <v/>
      </c>
      <c r="X509">
        <f>IF([2]Entry!$N$512="","",[2]Entry!$N$512)</f>
        <v/>
      </c>
      <c r="Y509">
        <f>IF([2]Entry!$R$512="","",[2]Entry!$R$512)</f>
        <v/>
      </c>
    </row>
    <row r="510">
      <c r="K510">
        <f>IF([1]Accounts!$D$511="","",[1]Accounts!$A$511)</f>
        <v/>
      </c>
      <c r="L510">
        <f>IF([1]Accounts!$D$511="","",[1]Accounts!$B$511)</f>
        <v/>
      </c>
      <c r="M510">
        <f>IF([1]Accounts!$D$511="","",[1]Accounts!$C$511)</f>
        <v/>
      </c>
      <c r="N510">
        <f>IF([1]Accounts!$D$511="","",[1]Accounts!$D$511)</f>
        <v/>
      </c>
      <c r="P510">
        <f>IF([2]Entry!$C$513="","",[2]Entry!$C$513)</f>
        <v/>
      </c>
      <c r="Q510">
        <f>IF([2]Entry!$D$513="","",[2]Entry!$D$513)</f>
        <v/>
      </c>
      <c r="R510">
        <f>IF([2]Entry!$E$513="","",[2]Entry!$E$513)</f>
        <v/>
      </c>
      <c r="S510">
        <f>IF([2]Entry!$G$513="","",[2]Entry!$G$513)</f>
        <v/>
      </c>
      <c r="T510">
        <f>IF([2]Entry!$J$513="","",[2]Entry!$J$513)</f>
        <v/>
      </c>
      <c r="U510">
        <f>IF([2]Entry!$K$513="","",[2]Entry!$K$513)</f>
        <v/>
      </c>
      <c r="V510">
        <f>IF([2]Entry!$L$513="","",[2]Entry!$L$513)</f>
        <v/>
      </c>
      <c r="W510">
        <f>IF([2]Entry!$M$513="","",[2]Entry!$M$513)</f>
        <v/>
      </c>
      <c r="X510">
        <f>IF([2]Entry!$N$513="","",[2]Entry!$N$513)</f>
        <v/>
      </c>
      <c r="Y510">
        <f>IF([2]Entry!$R$513="","",[2]Entry!$R$513)</f>
        <v/>
      </c>
    </row>
    <row r="511">
      <c r="K511">
        <f>IF([1]Accounts!$D$512="","",[1]Accounts!$A$512)</f>
        <v/>
      </c>
      <c r="L511">
        <f>IF([1]Accounts!$D$512="","",[1]Accounts!$B$512)</f>
        <v/>
      </c>
      <c r="M511">
        <f>IF([1]Accounts!$D$512="","",[1]Accounts!$C$512)</f>
        <v/>
      </c>
      <c r="N511">
        <f>IF([1]Accounts!$D$512="","",[1]Accounts!$D$512)</f>
        <v/>
      </c>
      <c r="P511">
        <f>IF([2]Entry!$C$514="","",[2]Entry!$C$514)</f>
        <v/>
      </c>
      <c r="Q511">
        <f>IF([2]Entry!$D$514="","",[2]Entry!$D$514)</f>
        <v/>
      </c>
      <c r="R511">
        <f>IF([2]Entry!$E$514="","",[2]Entry!$E$514)</f>
        <v/>
      </c>
      <c r="S511">
        <f>IF([2]Entry!$G$514="","",[2]Entry!$G$514)</f>
        <v/>
      </c>
      <c r="T511">
        <f>IF([2]Entry!$J$514="","",[2]Entry!$J$514)</f>
        <v/>
      </c>
      <c r="U511">
        <f>IF([2]Entry!$K$514="","",[2]Entry!$K$514)</f>
        <v/>
      </c>
      <c r="V511">
        <f>IF([2]Entry!$L$514="","",[2]Entry!$L$514)</f>
        <v/>
      </c>
      <c r="W511">
        <f>IF([2]Entry!$M$514="","",[2]Entry!$M$514)</f>
        <v/>
      </c>
      <c r="X511">
        <f>IF([2]Entry!$N$514="","",[2]Entry!$N$514)</f>
        <v/>
      </c>
      <c r="Y511">
        <f>IF([2]Entry!$R$514="","",[2]Entry!$R$514)</f>
        <v/>
      </c>
    </row>
    <row r="512">
      <c r="K512">
        <f>IF([1]Accounts!$D$513="","",[1]Accounts!$A$513)</f>
        <v/>
      </c>
      <c r="L512">
        <f>IF([1]Accounts!$D$513="","",[1]Accounts!$B$513)</f>
        <v/>
      </c>
      <c r="M512">
        <f>IF([1]Accounts!$D$513="","",[1]Accounts!$C$513)</f>
        <v/>
      </c>
      <c r="N512">
        <f>IF([1]Accounts!$D$513="","",[1]Accounts!$D$513)</f>
        <v/>
      </c>
      <c r="P512">
        <f>IF([2]Entry!$C$515="","",[2]Entry!$C$515)</f>
        <v/>
      </c>
      <c r="Q512">
        <f>IF([2]Entry!$D$515="","",[2]Entry!$D$515)</f>
        <v/>
      </c>
      <c r="R512">
        <f>IF([2]Entry!$E$515="","",[2]Entry!$E$515)</f>
        <v/>
      </c>
      <c r="S512">
        <f>IF([2]Entry!$G$515="","",[2]Entry!$G$515)</f>
        <v/>
      </c>
      <c r="T512">
        <f>IF([2]Entry!$J$515="","",[2]Entry!$J$515)</f>
        <v/>
      </c>
      <c r="U512">
        <f>IF([2]Entry!$K$515="","",[2]Entry!$K$515)</f>
        <v/>
      </c>
      <c r="V512">
        <f>IF([2]Entry!$L$515="","",[2]Entry!$L$515)</f>
        <v/>
      </c>
      <c r="W512">
        <f>IF([2]Entry!$M$515="","",[2]Entry!$M$515)</f>
        <v/>
      </c>
      <c r="X512">
        <f>IF([2]Entry!$N$515="","",[2]Entry!$N$515)</f>
        <v/>
      </c>
      <c r="Y512">
        <f>IF([2]Entry!$R$515="","",[2]Entry!$R$515)</f>
        <v/>
      </c>
    </row>
    <row r="513">
      <c r="K513">
        <f>IF([1]Accounts!$D$514="","",[1]Accounts!$A$514)</f>
        <v/>
      </c>
      <c r="L513">
        <f>IF([1]Accounts!$D$514="","",[1]Accounts!$B$514)</f>
        <v/>
      </c>
      <c r="M513">
        <f>IF([1]Accounts!$D$514="","",[1]Accounts!$C$514)</f>
        <v/>
      </c>
      <c r="N513">
        <f>IF([1]Accounts!$D$514="","",[1]Accounts!$D$514)</f>
        <v/>
      </c>
      <c r="P513">
        <f>IF([2]Entry!$C$516="","",[2]Entry!$C$516)</f>
        <v/>
      </c>
      <c r="Q513">
        <f>IF([2]Entry!$D$516="","",[2]Entry!$D$516)</f>
        <v/>
      </c>
      <c r="R513">
        <f>IF([2]Entry!$E$516="","",[2]Entry!$E$516)</f>
        <v/>
      </c>
      <c r="S513">
        <f>IF([2]Entry!$G$516="","",[2]Entry!$G$516)</f>
        <v/>
      </c>
      <c r="T513">
        <f>IF([2]Entry!$J$516="","",[2]Entry!$J$516)</f>
        <v/>
      </c>
      <c r="U513">
        <f>IF([2]Entry!$K$516="","",[2]Entry!$K$516)</f>
        <v/>
      </c>
      <c r="V513">
        <f>IF([2]Entry!$L$516="","",[2]Entry!$L$516)</f>
        <v/>
      </c>
      <c r="W513">
        <f>IF([2]Entry!$M$516="","",[2]Entry!$M$516)</f>
        <v/>
      </c>
      <c r="X513">
        <f>IF([2]Entry!$N$516="","",[2]Entry!$N$516)</f>
        <v/>
      </c>
      <c r="Y513">
        <f>IF([2]Entry!$R$516="","",[2]Entry!$R$516)</f>
        <v/>
      </c>
    </row>
    <row r="514">
      <c r="K514">
        <f>IF([1]Accounts!$D$515="","",[1]Accounts!$A$515)</f>
        <v/>
      </c>
      <c r="L514">
        <f>IF([1]Accounts!$D$515="","",[1]Accounts!$B$515)</f>
        <v/>
      </c>
      <c r="M514">
        <f>IF([1]Accounts!$D$515="","",[1]Accounts!$C$515)</f>
        <v/>
      </c>
      <c r="N514">
        <f>IF([1]Accounts!$D$515="","",[1]Accounts!$D$515)</f>
        <v/>
      </c>
      <c r="P514">
        <f>IF([2]Entry!$C$517="","",[2]Entry!$C$517)</f>
        <v/>
      </c>
      <c r="Q514">
        <f>IF([2]Entry!$D$517="","",[2]Entry!$D$517)</f>
        <v/>
      </c>
      <c r="R514">
        <f>IF([2]Entry!$E$517="","",[2]Entry!$E$517)</f>
        <v/>
      </c>
      <c r="S514">
        <f>IF([2]Entry!$G$517="","",[2]Entry!$G$517)</f>
        <v/>
      </c>
      <c r="T514">
        <f>IF([2]Entry!$J$517="","",[2]Entry!$J$517)</f>
        <v/>
      </c>
      <c r="U514">
        <f>IF([2]Entry!$K$517="","",[2]Entry!$K$517)</f>
        <v/>
      </c>
      <c r="V514">
        <f>IF([2]Entry!$L$517="","",[2]Entry!$L$517)</f>
        <v/>
      </c>
      <c r="W514">
        <f>IF([2]Entry!$M$517="","",[2]Entry!$M$517)</f>
        <v/>
      </c>
      <c r="X514">
        <f>IF([2]Entry!$N$517="","",[2]Entry!$N$517)</f>
        <v/>
      </c>
      <c r="Y514">
        <f>IF([2]Entry!$R$517="","",[2]Entry!$R$517)</f>
        <v/>
      </c>
    </row>
    <row r="515">
      <c r="K515">
        <f>IF([1]Accounts!$D$516="","",[1]Accounts!$A$516)</f>
        <v/>
      </c>
      <c r="L515">
        <f>IF([1]Accounts!$D$516="","",[1]Accounts!$B$516)</f>
        <v/>
      </c>
      <c r="M515">
        <f>IF([1]Accounts!$D$516="","",[1]Accounts!$C$516)</f>
        <v/>
      </c>
      <c r="N515">
        <f>IF([1]Accounts!$D$516="","",[1]Accounts!$D$516)</f>
        <v/>
      </c>
      <c r="P515">
        <f>IF([2]Entry!$C$518="","",[2]Entry!$C$518)</f>
        <v/>
      </c>
      <c r="Q515">
        <f>IF([2]Entry!$D$518="","",[2]Entry!$D$518)</f>
        <v/>
      </c>
      <c r="R515">
        <f>IF([2]Entry!$E$518="","",[2]Entry!$E$518)</f>
        <v/>
      </c>
      <c r="S515">
        <f>IF([2]Entry!$G$518="","",[2]Entry!$G$518)</f>
        <v/>
      </c>
      <c r="T515">
        <f>IF([2]Entry!$J$518="","",[2]Entry!$J$518)</f>
        <v/>
      </c>
      <c r="U515">
        <f>IF([2]Entry!$K$518="","",[2]Entry!$K$518)</f>
        <v/>
      </c>
      <c r="V515">
        <f>IF([2]Entry!$L$518="","",[2]Entry!$L$518)</f>
        <v/>
      </c>
      <c r="W515">
        <f>IF([2]Entry!$M$518="","",[2]Entry!$M$518)</f>
        <v/>
      </c>
      <c r="X515">
        <f>IF([2]Entry!$N$518="","",[2]Entry!$N$518)</f>
        <v/>
      </c>
      <c r="Y515">
        <f>IF([2]Entry!$R$518="","",[2]Entry!$R$518)</f>
        <v/>
      </c>
    </row>
    <row r="516">
      <c r="K516">
        <f>IF([1]Accounts!$D$517="","",[1]Accounts!$A$517)</f>
        <v/>
      </c>
      <c r="L516">
        <f>IF([1]Accounts!$D$517="","",[1]Accounts!$B$517)</f>
        <v/>
      </c>
      <c r="M516">
        <f>IF([1]Accounts!$D$517="","",[1]Accounts!$C$517)</f>
        <v/>
      </c>
      <c r="N516">
        <f>IF([1]Accounts!$D$517="","",[1]Accounts!$D$517)</f>
        <v/>
      </c>
      <c r="P516">
        <f>IF([2]Entry!$C$519="","",[2]Entry!$C$519)</f>
        <v/>
      </c>
      <c r="Q516">
        <f>IF([2]Entry!$D$519="","",[2]Entry!$D$519)</f>
        <v/>
      </c>
      <c r="R516">
        <f>IF([2]Entry!$E$519="","",[2]Entry!$E$519)</f>
        <v/>
      </c>
      <c r="S516">
        <f>IF([2]Entry!$G$519="","",[2]Entry!$G$519)</f>
        <v/>
      </c>
      <c r="T516">
        <f>IF([2]Entry!$J$519="","",[2]Entry!$J$519)</f>
        <v/>
      </c>
      <c r="U516">
        <f>IF([2]Entry!$K$519="","",[2]Entry!$K$519)</f>
        <v/>
      </c>
      <c r="V516">
        <f>IF([2]Entry!$L$519="","",[2]Entry!$L$519)</f>
        <v/>
      </c>
      <c r="W516">
        <f>IF([2]Entry!$M$519="","",[2]Entry!$M$519)</f>
        <v/>
      </c>
      <c r="X516">
        <f>IF([2]Entry!$N$519="","",[2]Entry!$N$519)</f>
        <v/>
      </c>
      <c r="Y516">
        <f>IF([2]Entry!$R$519="","",[2]Entry!$R$519)</f>
        <v/>
      </c>
    </row>
    <row r="517">
      <c r="K517">
        <f>IF([1]Accounts!$D$518="","",[1]Accounts!$A$518)</f>
        <v/>
      </c>
      <c r="L517">
        <f>IF([1]Accounts!$D$518="","",[1]Accounts!$B$518)</f>
        <v/>
      </c>
      <c r="M517">
        <f>IF([1]Accounts!$D$518="","",[1]Accounts!$C$518)</f>
        <v/>
      </c>
      <c r="N517">
        <f>IF([1]Accounts!$D$518="","",[1]Accounts!$D$518)</f>
        <v/>
      </c>
      <c r="P517">
        <f>IF([2]Entry!$C$520="","",[2]Entry!$C$520)</f>
        <v/>
      </c>
      <c r="Q517">
        <f>IF([2]Entry!$D$520="","",[2]Entry!$D$520)</f>
        <v/>
      </c>
      <c r="R517">
        <f>IF([2]Entry!$E$520="","",[2]Entry!$E$520)</f>
        <v/>
      </c>
      <c r="S517">
        <f>IF([2]Entry!$G$520="","",[2]Entry!$G$520)</f>
        <v/>
      </c>
      <c r="T517">
        <f>IF([2]Entry!$J$520="","",[2]Entry!$J$520)</f>
        <v/>
      </c>
      <c r="U517">
        <f>IF([2]Entry!$K$520="","",[2]Entry!$K$520)</f>
        <v/>
      </c>
      <c r="V517">
        <f>IF([2]Entry!$L$520="","",[2]Entry!$L$520)</f>
        <v/>
      </c>
      <c r="W517">
        <f>IF([2]Entry!$M$520="","",[2]Entry!$M$520)</f>
        <v/>
      </c>
      <c r="X517">
        <f>IF([2]Entry!$N$520="","",[2]Entry!$N$520)</f>
        <v/>
      </c>
      <c r="Y517">
        <f>IF([2]Entry!$R$520="","",[2]Entry!$R$520)</f>
        <v/>
      </c>
    </row>
    <row r="518">
      <c r="K518">
        <f>IF([1]Accounts!$D$519="","",[1]Accounts!$A$519)</f>
        <v/>
      </c>
      <c r="L518">
        <f>IF([1]Accounts!$D$519="","",[1]Accounts!$B$519)</f>
        <v/>
      </c>
      <c r="M518">
        <f>IF([1]Accounts!$D$519="","",[1]Accounts!$C$519)</f>
        <v/>
      </c>
      <c r="N518">
        <f>IF([1]Accounts!$D$519="","",[1]Accounts!$D$519)</f>
        <v/>
      </c>
      <c r="P518">
        <f>IF([2]Entry!$C$521="","",[2]Entry!$C$521)</f>
        <v/>
      </c>
      <c r="Q518">
        <f>IF([2]Entry!$D$521="","",[2]Entry!$D$521)</f>
        <v/>
      </c>
      <c r="R518">
        <f>IF([2]Entry!$E$521="","",[2]Entry!$E$521)</f>
        <v/>
      </c>
      <c r="S518">
        <f>IF([2]Entry!$G$521="","",[2]Entry!$G$521)</f>
        <v/>
      </c>
      <c r="T518">
        <f>IF([2]Entry!$J$521="","",[2]Entry!$J$521)</f>
        <v/>
      </c>
      <c r="U518">
        <f>IF([2]Entry!$K$521="","",[2]Entry!$K$521)</f>
        <v/>
      </c>
      <c r="V518">
        <f>IF([2]Entry!$L$521="","",[2]Entry!$L$521)</f>
        <v/>
      </c>
      <c r="W518">
        <f>IF([2]Entry!$M$521="","",[2]Entry!$M$521)</f>
        <v/>
      </c>
      <c r="X518">
        <f>IF([2]Entry!$N$521="","",[2]Entry!$N$521)</f>
        <v/>
      </c>
      <c r="Y518">
        <f>IF([2]Entry!$R$521="","",[2]Entry!$R$521)</f>
        <v/>
      </c>
    </row>
    <row r="519">
      <c r="K519">
        <f>IF([1]Accounts!$D$520="","",[1]Accounts!$A$520)</f>
        <v/>
      </c>
      <c r="L519">
        <f>IF([1]Accounts!$D$520="","",[1]Accounts!$B$520)</f>
        <v/>
      </c>
      <c r="M519">
        <f>IF([1]Accounts!$D$520="","",[1]Accounts!$C$520)</f>
        <v/>
      </c>
      <c r="N519">
        <f>IF([1]Accounts!$D$520="","",[1]Accounts!$D$520)</f>
        <v/>
      </c>
      <c r="P519">
        <f>IF([2]Entry!$C$522="","",[2]Entry!$C$522)</f>
        <v/>
      </c>
      <c r="Q519">
        <f>IF([2]Entry!$D$522="","",[2]Entry!$D$522)</f>
        <v/>
      </c>
      <c r="R519">
        <f>IF([2]Entry!$E$522="","",[2]Entry!$E$522)</f>
        <v/>
      </c>
      <c r="S519">
        <f>IF([2]Entry!$G$522="","",[2]Entry!$G$522)</f>
        <v/>
      </c>
      <c r="T519">
        <f>IF([2]Entry!$J$522="","",[2]Entry!$J$522)</f>
        <v/>
      </c>
      <c r="U519">
        <f>IF([2]Entry!$K$522="","",[2]Entry!$K$522)</f>
        <v/>
      </c>
      <c r="V519">
        <f>IF([2]Entry!$L$522="","",[2]Entry!$L$522)</f>
        <v/>
      </c>
      <c r="W519">
        <f>IF([2]Entry!$M$522="","",[2]Entry!$M$522)</f>
        <v/>
      </c>
      <c r="X519">
        <f>IF([2]Entry!$N$522="","",[2]Entry!$N$522)</f>
        <v/>
      </c>
      <c r="Y519">
        <f>IF([2]Entry!$R$522="","",[2]Entry!$R$522)</f>
        <v/>
      </c>
    </row>
    <row r="520">
      <c r="K520">
        <f>IF([1]Accounts!$D$521="","",[1]Accounts!$A$521)</f>
        <v/>
      </c>
      <c r="L520">
        <f>IF([1]Accounts!$D$521="","",[1]Accounts!$B$521)</f>
        <v/>
      </c>
      <c r="M520">
        <f>IF([1]Accounts!$D$521="","",[1]Accounts!$C$521)</f>
        <v/>
      </c>
      <c r="N520">
        <f>IF([1]Accounts!$D$521="","",[1]Accounts!$D$521)</f>
        <v/>
      </c>
      <c r="P520">
        <f>IF([2]Entry!$C$523="","",[2]Entry!$C$523)</f>
        <v/>
      </c>
      <c r="Q520">
        <f>IF([2]Entry!$D$523="","",[2]Entry!$D$523)</f>
        <v/>
      </c>
      <c r="R520">
        <f>IF([2]Entry!$E$523="","",[2]Entry!$E$523)</f>
        <v/>
      </c>
      <c r="S520">
        <f>IF([2]Entry!$G$523="","",[2]Entry!$G$523)</f>
        <v/>
      </c>
      <c r="T520">
        <f>IF([2]Entry!$J$523="","",[2]Entry!$J$523)</f>
        <v/>
      </c>
      <c r="U520">
        <f>IF([2]Entry!$K$523="","",[2]Entry!$K$523)</f>
        <v/>
      </c>
      <c r="V520">
        <f>IF([2]Entry!$L$523="","",[2]Entry!$L$523)</f>
        <v/>
      </c>
      <c r="W520">
        <f>IF([2]Entry!$M$523="","",[2]Entry!$M$523)</f>
        <v/>
      </c>
      <c r="X520">
        <f>IF([2]Entry!$N$523="","",[2]Entry!$N$523)</f>
        <v/>
      </c>
      <c r="Y520">
        <f>IF([2]Entry!$R$523="","",[2]Entry!$R$523)</f>
        <v/>
      </c>
    </row>
    <row r="521">
      <c r="K521">
        <f>IF([1]Accounts!$D$522="","",[1]Accounts!$A$522)</f>
        <v/>
      </c>
      <c r="L521">
        <f>IF([1]Accounts!$D$522="","",[1]Accounts!$B$522)</f>
        <v/>
      </c>
      <c r="M521">
        <f>IF([1]Accounts!$D$522="","",[1]Accounts!$C$522)</f>
        <v/>
      </c>
      <c r="N521">
        <f>IF([1]Accounts!$D$522="","",[1]Accounts!$D$522)</f>
        <v/>
      </c>
      <c r="P521">
        <f>IF([2]Entry!$C$524="","",[2]Entry!$C$524)</f>
        <v/>
      </c>
      <c r="Q521">
        <f>IF([2]Entry!$D$524="","",[2]Entry!$D$524)</f>
        <v/>
      </c>
      <c r="R521">
        <f>IF([2]Entry!$E$524="","",[2]Entry!$E$524)</f>
        <v/>
      </c>
      <c r="S521">
        <f>IF([2]Entry!$G$524="","",[2]Entry!$G$524)</f>
        <v/>
      </c>
      <c r="T521">
        <f>IF([2]Entry!$J$524="","",[2]Entry!$J$524)</f>
        <v/>
      </c>
      <c r="U521">
        <f>IF([2]Entry!$K$524="","",[2]Entry!$K$524)</f>
        <v/>
      </c>
      <c r="V521">
        <f>IF([2]Entry!$L$524="","",[2]Entry!$L$524)</f>
        <v/>
      </c>
      <c r="W521">
        <f>IF([2]Entry!$M$524="","",[2]Entry!$M$524)</f>
        <v/>
      </c>
      <c r="X521">
        <f>IF([2]Entry!$N$524="","",[2]Entry!$N$524)</f>
        <v/>
      </c>
      <c r="Y521">
        <f>IF([2]Entry!$R$524="","",[2]Entry!$R$524)</f>
        <v/>
      </c>
    </row>
    <row r="522">
      <c r="K522">
        <f>IF([1]Accounts!$D$523="","",[1]Accounts!$A$523)</f>
        <v/>
      </c>
      <c r="L522">
        <f>IF([1]Accounts!$D$523="","",[1]Accounts!$B$523)</f>
        <v/>
      </c>
      <c r="M522">
        <f>IF([1]Accounts!$D$523="","",[1]Accounts!$C$523)</f>
        <v/>
      </c>
      <c r="N522">
        <f>IF([1]Accounts!$D$523="","",[1]Accounts!$D$523)</f>
        <v/>
      </c>
      <c r="P522">
        <f>IF([2]Entry!$C$525="","",[2]Entry!$C$525)</f>
        <v/>
      </c>
      <c r="Q522">
        <f>IF([2]Entry!$D$525="","",[2]Entry!$D$525)</f>
        <v/>
      </c>
      <c r="R522">
        <f>IF([2]Entry!$E$525="","",[2]Entry!$E$525)</f>
        <v/>
      </c>
      <c r="S522">
        <f>IF([2]Entry!$G$525="","",[2]Entry!$G$525)</f>
        <v/>
      </c>
      <c r="T522">
        <f>IF([2]Entry!$J$525="","",[2]Entry!$J$525)</f>
        <v/>
      </c>
      <c r="U522">
        <f>IF([2]Entry!$K$525="","",[2]Entry!$K$525)</f>
        <v/>
      </c>
      <c r="V522">
        <f>IF([2]Entry!$L$525="","",[2]Entry!$L$525)</f>
        <v/>
      </c>
      <c r="W522">
        <f>IF([2]Entry!$M$525="","",[2]Entry!$M$525)</f>
        <v/>
      </c>
      <c r="X522">
        <f>IF([2]Entry!$N$525="","",[2]Entry!$N$525)</f>
        <v/>
      </c>
      <c r="Y522">
        <f>IF([2]Entry!$R$525="","",[2]Entry!$R$525)</f>
        <v/>
      </c>
    </row>
    <row r="523">
      <c r="K523">
        <f>IF([1]Accounts!$D$524="","",[1]Accounts!$A$524)</f>
        <v/>
      </c>
      <c r="L523">
        <f>IF([1]Accounts!$D$524="","",[1]Accounts!$B$524)</f>
        <v/>
      </c>
      <c r="M523">
        <f>IF([1]Accounts!$D$524="","",[1]Accounts!$C$524)</f>
        <v/>
      </c>
      <c r="N523">
        <f>IF([1]Accounts!$D$524="","",[1]Accounts!$D$524)</f>
        <v/>
      </c>
      <c r="P523">
        <f>IF([2]Entry!$C$526="","",[2]Entry!$C$526)</f>
        <v/>
      </c>
      <c r="Q523">
        <f>IF([2]Entry!$D$526="","",[2]Entry!$D$526)</f>
        <v/>
      </c>
      <c r="R523">
        <f>IF([2]Entry!$E$526="","",[2]Entry!$E$526)</f>
        <v/>
      </c>
      <c r="S523">
        <f>IF([2]Entry!$G$526="","",[2]Entry!$G$526)</f>
        <v/>
      </c>
      <c r="T523">
        <f>IF([2]Entry!$J$526="","",[2]Entry!$J$526)</f>
        <v/>
      </c>
      <c r="U523">
        <f>IF([2]Entry!$K$526="","",[2]Entry!$K$526)</f>
        <v/>
      </c>
      <c r="V523">
        <f>IF([2]Entry!$L$526="","",[2]Entry!$L$526)</f>
        <v/>
      </c>
      <c r="W523">
        <f>IF([2]Entry!$M$526="","",[2]Entry!$M$526)</f>
        <v/>
      </c>
      <c r="X523">
        <f>IF([2]Entry!$N$526="","",[2]Entry!$N$526)</f>
        <v/>
      </c>
      <c r="Y523">
        <f>IF([2]Entry!$R$526="","",[2]Entry!$R$526)</f>
        <v/>
      </c>
    </row>
    <row r="524">
      <c r="K524">
        <f>IF([1]Accounts!$D$525="","",[1]Accounts!$A$525)</f>
        <v/>
      </c>
      <c r="L524">
        <f>IF([1]Accounts!$D$525="","",[1]Accounts!$B$525)</f>
        <v/>
      </c>
      <c r="M524">
        <f>IF([1]Accounts!$D$525="","",[1]Accounts!$C$525)</f>
        <v/>
      </c>
      <c r="N524">
        <f>IF([1]Accounts!$D$525="","",[1]Accounts!$D$525)</f>
        <v/>
      </c>
      <c r="P524">
        <f>IF([2]Entry!$C$527="","",[2]Entry!$C$527)</f>
        <v/>
      </c>
      <c r="Q524">
        <f>IF([2]Entry!$D$527="","",[2]Entry!$D$527)</f>
        <v/>
      </c>
      <c r="R524">
        <f>IF([2]Entry!$E$527="","",[2]Entry!$E$527)</f>
        <v/>
      </c>
      <c r="S524">
        <f>IF([2]Entry!$G$527="","",[2]Entry!$G$527)</f>
        <v/>
      </c>
      <c r="T524">
        <f>IF([2]Entry!$J$527="","",[2]Entry!$J$527)</f>
        <v/>
      </c>
      <c r="U524">
        <f>IF([2]Entry!$K$527="","",[2]Entry!$K$527)</f>
        <v/>
      </c>
      <c r="V524">
        <f>IF([2]Entry!$L$527="","",[2]Entry!$L$527)</f>
        <v/>
      </c>
      <c r="W524">
        <f>IF([2]Entry!$M$527="","",[2]Entry!$M$527)</f>
        <v/>
      </c>
      <c r="X524">
        <f>IF([2]Entry!$N$527="","",[2]Entry!$N$527)</f>
        <v/>
      </c>
      <c r="Y524">
        <f>IF([2]Entry!$R$527="","",[2]Entry!$R$527)</f>
        <v/>
      </c>
    </row>
    <row r="525">
      <c r="K525">
        <f>IF([1]Accounts!$D$526="","",[1]Accounts!$A$526)</f>
        <v/>
      </c>
      <c r="L525">
        <f>IF([1]Accounts!$D$526="","",[1]Accounts!$B$526)</f>
        <v/>
      </c>
      <c r="M525">
        <f>IF([1]Accounts!$D$526="","",[1]Accounts!$C$526)</f>
        <v/>
      </c>
      <c r="N525">
        <f>IF([1]Accounts!$D$526="","",[1]Accounts!$D$526)</f>
        <v/>
      </c>
      <c r="P525">
        <f>IF([2]Entry!$C$528="","",[2]Entry!$C$528)</f>
        <v/>
      </c>
      <c r="Q525">
        <f>IF([2]Entry!$D$528="","",[2]Entry!$D$528)</f>
        <v/>
      </c>
      <c r="R525">
        <f>IF([2]Entry!$E$528="","",[2]Entry!$E$528)</f>
        <v/>
      </c>
      <c r="S525">
        <f>IF([2]Entry!$G$528="","",[2]Entry!$G$528)</f>
        <v/>
      </c>
      <c r="T525">
        <f>IF([2]Entry!$J$528="","",[2]Entry!$J$528)</f>
        <v/>
      </c>
      <c r="U525">
        <f>IF([2]Entry!$K$528="","",[2]Entry!$K$528)</f>
        <v/>
      </c>
      <c r="V525">
        <f>IF([2]Entry!$L$528="","",[2]Entry!$L$528)</f>
        <v/>
      </c>
      <c r="W525">
        <f>IF([2]Entry!$M$528="","",[2]Entry!$M$528)</f>
        <v/>
      </c>
      <c r="X525">
        <f>IF([2]Entry!$N$528="","",[2]Entry!$N$528)</f>
        <v/>
      </c>
      <c r="Y525">
        <f>IF([2]Entry!$R$528="","",[2]Entry!$R$528)</f>
        <v/>
      </c>
    </row>
    <row r="526">
      <c r="K526">
        <f>IF([1]Accounts!$D$527="","",[1]Accounts!$A$527)</f>
        <v/>
      </c>
      <c r="L526">
        <f>IF([1]Accounts!$D$527="","",[1]Accounts!$B$527)</f>
        <v/>
      </c>
      <c r="M526">
        <f>IF([1]Accounts!$D$527="","",[1]Accounts!$C$527)</f>
        <v/>
      </c>
      <c r="N526">
        <f>IF([1]Accounts!$D$527="","",[1]Accounts!$D$527)</f>
        <v/>
      </c>
      <c r="P526">
        <f>IF([2]Entry!$C$529="","",[2]Entry!$C$529)</f>
        <v/>
      </c>
      <c r="Q526">
        <f>IF([2]Entry!$D$529="","",[2]Entry!$D$529)</f>
        <v/>
      </c>
      <c r="R526">
        <f>IF([2]Entry!$E$529="","",[2]Entry!$E$529)</f>
        <v/>
      </c>
      <c r="S526">
        <f>IF([2]Entry!$G$529="","",[2]Entry!$G$529)</f>
        <v/>
      </c>
      <c r="T526">
        <f>IF([2]Entry!$J$529="","",[2]Entry!$J$529)</f>
        <v/>
      </c>
      <c r="U526">
        <f>IF([2]Entry!$K$529="","",[2]Entry!$K$529)</f>
        <v/>
      </c>
      <c r="V526">
        <f>IF([2]Entry!$L$529="","",[2]Entry!$L$529)</f>
        <v/>
      </c>
      <c r="W526">
        <f>IF([2]Entry!$M$529="","",[2]Entry!$M$529)</f>
        <v/>
      </c>
      <c r="X526">
        <f>IF([2]Entry!$N$529="","",[2]Entry!$N$529)</f>
        <v/>
      </c>
      <c r="Y526">
        <f>IF([2]Entry!$R$529="","",[2]Entry!$R$529)</f>
        <v/>
      </c>
    </row>
    <row r="527">
      <c r="K527">
        <f>IF([1]Accounts!$D$528="","",[1]Accounts!$A$528)</f>
        <v/>
      </c>
      <c r="L527">
        <f>IF([1]Accounts!$D$528="","",[1]Accounts!$B$528)</f>
        <v/>
      </c>
      <c r="M527">
        <f>IF([1]Accounts!$D$528="","",[1]Accounts!$C$528)</f>
        <v/>
      </c>
      <c r="N527">
        <f>IF([1]Accounts!$D$528="","",[1]Accounts!$D$528)</f>
        <v/>
      </c>
      <c r="P527">
        <f>IF([2]Entry!$C$530="","",[2]Entry!$C$530)</f>
        <v/>
      </c>
      <c r="Q527">
        <f>IF([2]Entry!$D$530="","",[2]Entry!$D$530)</f>
        <v/>
      </c>
      <c r="R527">
        <f>IF([2]Entry!$E$530="","",[2]Entry!$E$530)</f>
        <v/>
      </c>
      <c r="S527">
        <f>IF([2]Entry!$G$530="","",[2]Entry!$G$530)</f>
        <v/>
      </c>
      <c r="T527">
        <f>IF([2]Entry!$J$530="","",[2]Entry!$J$530)</f>
        <v/>
      </c>
      <c r="U527">
        <f>IF([2]Entry!$K$530="","",[2]Entry!$K$530)</f>
        <v/>
      </c>
      <c r="V527">
        <f>IF([2]Entry!$L$530="","",[2]Entry!$L$530)</f>
        <v/>
      </c>
      <c r="W527">
        <f>IF([2]Entry!$M$530="","",[2]Entry!$M$530)</f>
        <v/>
      </c>
      <c r="X527">
        <f>IF([2]Entry!$N$530="","",[2]Entry!$N$530)</f>
        <v/>
      </c>
      <c r="Y527">
        <f>IF([2]Entry!$R$530="","",[2]Entry!$R$530)</f>
        <v/>
      </c>
    </row>
    <row r="528">
      <c r="K528">
        <f>IF([1]Accounts!$D$529="","",[1]Accounts!$A$529)</f>
        <v/>
      </c>
      <c r="L528">
        <f>IF([1]Accounts!$D$529="","",[1]Accounts!$B$529)</f>
        <v/>
      </c>
      <c r="M528">
        <f>IF([1]Accounts!$D$529="","",[1]Accounts!$C$529)</f>
        <v/>
      </c>
      <c r="N528">
        <f>IF([1]Accounts!$D$529="","",[1]Accounts!$D$529)</f>
        <v/>
      </c>
      <c r="P528">
        <f>IF([2]Entry!$C$531="","",[2]Entry!$C$531)</f>
        <v/>
      </c>
      <c r="Q528">
        <f>IF([2]Entry!$D$531="","",[2]Entry!$D$531)</f>
        <v/>
      </c>
      <c r="R528">
        <f>IF([2]Entry!$E$531="","",[2]Entry!$E$531)</f>
        <v/>
      </c>
      <c r="S528">
        <f>IF([2]Entry!$G$531="","",[2]Entry!$G$531)</f>
        <v/>
      </c>
      <c r="T528">
        <f>IF([2]Entry!$J$531="","",[2]Entry!$J$531)</f>
        <v/>
      </c>
      <c r="U528">
        <f>IF([2]Entry!$K$531="","",[2]Entry!$K$531)</f>
        <v/>
      </c>
      <c r="V528">
        <f>IF([2]Entry!$L$531="","",[2]Entry!$L$531)</f>
        <v/>
      </c>
      <c r="W528">
        <f>IF([2]Entry!$M$531="","",[2]Entry!$M$531)</f>
        <v/>
      </c>
      <c r="X528">
        <f>IF([2]Entry!$N$531="","",[2]Entry!$N$531)</f>
        <v/>
      </c>
      <c r="Y528">
        <f>IF([2]Entry!$R$531="","",[2]Entry!$R$531)</f>
        <v/>
      </c>
    </row>
    <row r="529">
      <c r="K529">
        <f>IF([1]Accounts!$D$530="","",[1]Accounts!$A$530)</f>
        <v/>
      </c>
      <c r="L529">
        <f>IF([1]Accounts!$D$530="","",[1]Accounts!$B$530)</f>
        <v/>
      </c>
      <c r="M529">
        <f>IF([1]Accounts!$D$530="","",[1]Accounts!$C$530)</f>
        <v/>
      </c>
      <c r="N529">
        <f>IF([1]Accounts!$D$530="","",[1]Accounts!$D$530)</f>
        <v/>
      </c>
      <c r="P529">
        <f>IF([2]Entry!$C$532="","",[2]Entry!$C$532)</f>
        <v/>
      </c>
      <c r="Q529">
        <f>IF([2]Entry!$D$532="","",[2]Entry!$D$532)</f>
        <v/>
      </c>
      <c r="R529">
        <f>IF([2]Entry!$E$532="","",[2]Entry!$E$532)</f>
        <v/>
      </c>
      <c r="S529">
        <f>IF([2]Entry!$G$532="","",[2]Entry!$G$532)</f>
        <v/>
      </c>
      <c r="T529">
        <f>IF([2]Entry!$J$532="","",[2]Entry!$J$532)</f>
        <v/>
      </c>
      <c r="U529">
        <f>IF([2]Entry!$K$532="","",[2]Entry!$K$532)</f>
        <v/>
      </c>
      <c r="V529">
        <f>IF([2]Entry!$L$532="","",[2]Entry!$L$532)</f>
        <v/>
      </c>
      <c r="W529">
        <f>IF([2]Entry!$M$532="","",[2]Entry!$M$532)</f>
        <v/>
      </c>
      <c r="X529">
        <f>IF([2]Entry!$N$532="","",[2]Entry!$N$532)</f>
        <v/>
      </c>
      <c r="Y529">
        <f>IF([2]Entry!$R$532="","",[2]Entry!$R$532)</f>
        <v/>
      </c>
    </row>
    <row r="530">
      <c r="K530">
        <f>IF([1]Accounts!$D$531="","",[1]Accounts!$A$531)</f>
        <v/>
      </c>
      <c r="L530">
        <f>IF([1]Accounts!$D$531="","",[1]Accounts!$B$531)</f>
        <v/>
      </c>
      <c r="M530">
        <f>IF([1]Accounts!$D$531="","",[1]Accounts!$C$531)</f>
        <v/>
      </c>
      <c r="N530">
        <f>IF([1]Accounts!$D$531="","",[1]Accounts!$D$531)</f>
        <v/>
      </c>
      <c r="P530">
        <f>IF([2]Entry!$C$533="","",[2]Entry!$C$533)</f>
        <v/>
      </c>
      <c r="Q530">
        <f>IF([2]Entry!$D$533="","",[2]Entry!$D$533)</f>
        <v/>
      </c>
      <c r="R530">
        <f>IF([2]Entry!$E$533="","",[2]Entry!$E$533)</f>
        <v/>
      </c>
      <c r="S530">
        <f>IF([2]Entry!$G$533="","",[2]Entry!$G$533)</f>
        <v/>
      </c>
      <c r="T530">
        <f>IF([2]Entry!$J$533="","",[2]Entry!$J$533)</f>
        <v/>
      </c>
      <c r="U530">
        <f>IF([2]Entry!$K$533="","",[2]Entry!$K$533)</f>
        <v/>
      </c>
      <c r="V530">
        <f>IF([2]Entry!$L$533="","",[2]Entry!$L$533)</f>
        <v/>
      </c>
      <c r="W530">
        <f>IF([2]Entry!$M$533="","",[2]Entry!$M$533)</f>
        <v/>
      </c>
      <c r="X530">
        <f>IF([2]Entry!$N$533="","",[2]Entry!$N$533)</f>
        <v/>
      </c>
      <c r="Y530">
        <f>IF([2]Entry!$R$533="","",[2]Entry!$R$533)</f>
        <v/>
      </c>
    </row>
    <row r="531">
      <c r="K531">
        <f>IF([1]Accounts!$D$532="","",[1]Accounts!$A$532)</f>
        <v/>
      </c>
      <c r="L531">
        <f>IF([1]Accounts!$D$532="","",[1]Accounts!$B$532)</f>
        <v/>
      </c>
      <c r="M531">
        <f>IF([1]Accounts!$D$532="","",[1]Accounts!$C$532)</f>
        <v/>
      </c>
      <c r="N531">
        <f>IF([1]Accounts!$D$532="","",[1]Accounts!$D$532)</f>
        <v/>
      </c>
      <c r="P531">
        <f>IF([2]Entry!$C$534="","",[2]Entry!$C$534)</f>
        <v/>
      </c>
      <c r="Q531">
        <f>IF([2]Entry!$D$534="","",[2]Entry!$D$534)</f>
        <v/>
      </c>
      <c r="R531">
        <f>IF([2]Entry!$E$534="","",[2]Entry!$E$534)</f>
        <v/>
      </c>
      <c r="S531">
        <f>IF([2]Entry!$G$534="","",[2]Entry!$G$534)</f>
        <v/>
      </c>
      <c r="T531">
        <f>IF([2]Entry!$J$534="","",[2]Entry!$J$534)</f>
        <v/>
      </c>
      <c r="U531">
        <f>IF([2]Entry!$K$534="","",[2]Entry!$K$534)</f>
        <v/>
      </c>
      <c r="V531">
        <f>IF([2]Entry!$L$534="","",[2]Entry!$L$534)</f>
        <v/>
      </c>
      <c r="W531">
        <f>IF([2]Entry!$M$534="","",[2]Entry!$M$534)</f>
        <v/>
      </c>
      <c r="X531">
        <f>IF([2]Entry!$N$534="","",[2]Entry!$N$534)</f>
        <v/>
      </c>
      <c r="Y531">
        <f>IF([2]Entry!$R$534="","",[2]Entry!$R$534)</f>
        <v/>
      </c>
    </row>
    <row r="532">
      <c r="K532">
        <f>IF([1]Accounts!$D$533="","",[1]Accounts!$A$533)</f>
        <v/>
      </c>
      <c r="L532">
        <f>IF([1]Accounts!$D$533="","",[1]Accounts!$B$533)</f>
        <v/>
      </c>
      <c r="M532">
        <f>IF([1]Accounts!$D$533="","",[1]Accounts!$C$533)</f>
        <v/>
      </c>
      <c r="N532">
        <f>IF([1]Accounts!$D$533="","",[1]Accounts!$D$533)</f>
        <v/>
      </c>
      <c r="P532">
        <f>IF([2]Entry!$C$535="","",[2]Entry!$C$535)</f>
        <v/>
      </c>
      <c r="Q532">
        <f>IF([2]Entry!$D$535="","",[2]Entry!$D$535)</f>
        <v/>
      </c>
      <c r="R532">
        <f>IF([2]Entry!$E$535="","",[2]Entry!$E$535)</f>
        <v/>
      </c>
      <c r="S532">
        <f>IF([2]Entry!$G$535="","",[2]Entry!$G$535)</f>
        <v/>
      </c>
      <c r="T532">
        <f>IF([2]Entry!$J$535="","",[2]Entry!$J$535)</f>
        <v/>
      </c>
      <c r="U532">
        <f>IF([2]Entry!$K$535="","",[2]Entry!$K$535)</f>
        <v/>
      </c>
      <c r="V532">
        <f>IF([2]Entry!$L$535="","",[2]Entry!$L$535)</f>
        <v/>
      </c>
      <c r="W532">
        <f>IF([2]Entry!$M$535="","",[2]Entry!$M$535)</f>
        <v/>
      </c>
      <c r="X532">
        <f>IF([2]Entry!$N$535="","",[2]Entry!$N$535)</f>
        <v/>
      </c>
      <c r="Y532">
        <f>IF([2]Entry!$R$535="","",[2]Entry!$R$535)</f>
        <v/>
      </c>
    </row>
    <row r="533">
      <c r="K533">
        <f>IF([1]Accounts!$D$534="","",[1]Accounts!$A$534)</f>
        <v/>
      </c>
      <c r="L533">
        <f>IF([1]Accounts!$D$534="","",[1]Accounts!$B$534)</f>
        <v/>
      </c>
      <c r="M533">
        <f>IF([1]Accounts!$D$534="","",[1]Accounts!$C$534)</f>
        <v/>
      </c>
      <c r="N533">
        <f>IF([1]Accounts!$D$534="","",[1]Accounts!$D$534)</f>
        <v/>
      </c>
      <c r="P533">
        <f>IF([2]Entry!$C$536="","",[2]Entry!$C$536)</f>
        <v/>
      </c>
      <c r="Q533">
        <f>IF([2]Entry!$D$536="","",[2]Entry!$D$536)</f>
        <v/>
      </c>
      <c r="R533">
        <f>IF([2]Entry!$E$536="","",[2]Entry!$E$536)</f>
        <v/>
      </c>
      <c r="S533">
        <f>IF([2]Entry!$G$536="","",[2]Entry!$G$536)</f>
        <v/>
      </c>
      <c r="T533">
        <f>IF([2]Entry!$J$536="","",[2]Entry!$J$536)</f>
        <v/>
      </c>
      <c r="U533">
        <f>IF([2]Entry!$K$536="","",[2]Entry!$K$536)</f>
        <v/>
      </c>
      <c r="V533">
        <f>IF([2]Entry!$L$536="","",[2]Entry!$L$536)</f>
        <v/>
      </c>
      <c r="W533">
        <f>IF([2]Entry!$M$536="","",[2]Entry!$M$536)</f>
        <v/>
      </c>
      <c r="X533">
        <f>IF([2]Entry!$N$536="","",[2]Entry!$N$536)</f>
        <v/>
      </c>
      <c r="Y533">
        <f>IF([2]Entry!$R$536="","",[2]Entry!$R$536)</f>
        <v/>
      </c>
    </row>
    <row r="534">
      <c r="K534">
        <f>IF([1]Accounts!$D$535="","",[1]Accounts!$A$535)</f>
        <v/>
      </c>
      <c r="L534">
        <f>IF([1]Accounts!$D$535="","",[1]Accounts!$B$535)</f>
        <v/>
      </c>
      <c r="M534">
        <f>IF([1]Accounts!$D$535="","",[1]Accounts!$C$535)</f>
        <v/>
      </c>
      <c r="N534">
        <f>IF([1]Accounts!$D$535="","",[1]Accounts!$D$535)</f>
        <v/>
      </c>
      <c r="P534">
        <f>IF([2]Entry!$C$537="","",[2]Entry!$C$537)</f>
        <v/>
      </c>
      <c r="Q534">
        <f>IF([2]Entry!$D$537="","",[2]Entry!$D$537)</f>
        <v/>
      </c>
      <c r="R534">
        <f>IF([2]Entry!$E$537="","",[2]Entry!$E$537)</f>
        <v/>
      </c>
      <c r="S534">
        <f>IF([2]Entry!$G$537="","",[2]Entry!$G$537)</f>
        <v/>
      </c>
      <c r="T534">
        <f>IF([2]Entry!$J$537="","",[2]Entry!$J$537)</f>
        <v/>
      </c>
      <c r="U534">
        <f>IF([2]Entry!$K$537="","",[2]Entry!$K$537)</f>
        <v/>
      </c>
      <c r="V534">
        <f>IF([2]Entry!$L$537="","",[2]Entry!$L$537)</f>
        <v/>
      </c>
      <c r="W534">
        <f>IF([2]Entry!$M$537="","",[2]Entry!$M$537)</f>
        <v/>
      </c>
      <c r="X534">
        <f>IF([2]Entry!$N$537="","",[2]Entry!$N$537)</f>
        <v/>
      </c>
      <c r="Y534">
        <f>IF([2]Entry!$R$537="","",[2]Entry!$R$537)</f>
        <v/>
      </c>
    </row>
    <row r="535">
      <c r="K535">
        <f>IF([1]Accounts!$D$536="","",[1]Accounts!$A$536)</f>
        <v/>
      </c>
      <c r="L535">
        <f>IF([1]Accounts!$D$536="","",[1]Accounts!$B$536)</f>
        <v/>
      </c>
      <c r="M535">
        <f>IF([1]Accounts!$D$536="","",[1]Accounts!$C$536)</f>
        <v/>
      </c>
      <c r="N535">
        <f>IF([1]Accounts!$D$536="","",[1]Accounts!$D$536)</f>
        <v/>
      </c>
      <c r="P535">
        <f>IF([2]Entry!$C$538="","",[2]Entry!$C$538)</f>
        <v/>
      </c>
      <c r="Q535">
        <f>IF([2]Entry!$D$538="","",[2]Entry!$D$538)</f>
        <v/>
      </c>
      <c r="R535">
        <f>IF([2]Entry!$E$538="","",[2]Entry!$E$538)</f>
        <v/>
      </c>
      <c r="S535">
        <f>IF([2]Entry!$G$538="","",[2]Entry!$G$538)</f>
        <v/>
      </c>
      <c r="T535">
        <f>IF([2]Entry!$J$538="","",[2]Entry!$J$538)</f>
        <v/>
      </c>
      <c r="U535">
        <f>IF([2]Entry!$K$538="","",[2]Entry!$K$538)</f>
        <v/>
      </c>
      <c r="V535">
        <f>IF([2]Entry!$L$538="","",[2]Entry!$L$538)</f>
        <v/>
      </c>
      <c r="W535">
        <f>IF([2]Entry!$M$538="","",[2]Entry!$M$538)</f>
        <v/>
      </c>
      <c r="X535">
        <f>IF([2]Entry!$N$538="","",[2]Entry!$N$538)</f>
        <v/>
      </c>
      <c r="Y535">
        <f>IF([2]Entry!$R$538="","",[2]Entry!$R$538)</f>
        <v/>
      </c>
    </row>
    <row r="536">
      <c r="K536">
        <f>IF([1]Accounts!$D$537="","",[1]Accounts!$A$537)</f>
        <v/>
      </c>
      <c r="L536">
        <f>IF([1]Accounts!$D$537="","",[1]Accounts!$B$537)</f>
        <v/>
      </c>
      <c r="M536">
        <f>IF([1]Accounts!$D$537="","",[1]Accounts!$C$537)</f>
        <v/>
      </c>
      <c r="N536">
        <f>IF([1]Accounts!$D$537="","",[1]Accounts!$D$537)</f>
        <v/>
      </c>
      <c r="P536">
        <f>IF([2]Entry!$C$539="","",[2]Entry!$C$539)</f>
        <v/>
      </c>
      <c r="Q536">
        <f>IF([2]Entry!$D$539="","",[2]Entry!$D$539)</f>
        <v/>
      </c>
      <c r="R536">
        <f>IF([2]Entry!$E$539="","",[2]Entry!$E$539)</f>
        <v/>
      </c>
      <c r="S536">
        <f>IF([2]Entry!$G$539="","",[2]Entry!$G$539)</f>
        <v/>
      </c>
      <c r="T536">
        <f>IF([2]Entry!$J$539="","",[2]Entry!$J$539)</f>
        <v/>
      </c>
      <c r="U536">
        <f>IF([2]Entry!$K$539="","",[2]Entry!$K$539)</f>
        <v/>
      </c>
      <c r="V536">
        <f>IF([2]Entry!$L$539="","",[2]Entry!$L$539)</f>
        <v/>
      </c>
      <c r="W536">
        <f>IF([2]Entry!$M$539="","",[2]Entry!$M$539)</f>
        <v/>
      </c>
      <c r="X536">
        <f>IF([2]Entry!$N$539="","",[2]Entry!$N$539)</f>
        <v/>
      </c>
      <c r="Y536">
        <f>IF([2]Entry!$R$539="","",[2]Entry!$R$539)</f>
        <v/>
      </c>
    </row>
    <row r="537">
      <c r="K537">
        <f>IF([1]Accounts!$D$538="","",[1]Accounts!$A$538)</f>
        <v/>
      </c>
      <c r="L537">
        <f>IF([1]Accounts!$D$538="","",[1]Accounts!$B$538)</f>
        <v/>
      </c>
      <c r="M537">
        <f>IF([1]Accounts!$D$538="","",[1]Accounts!$C$538)</f>
        <v/>
      </c>
      <c r="N537">
        <f>IF([1]Accounts!$D$538="","",[1]Accounts!$D$538)</f>
        <v/>
      </c>
      <c r="P537">
        <f>IF([2]Entry!$C$540="","",[2]Entry!$C$540)</f>
        <v/>
      </c>
      <c r="Q537">
        <f>IF([2]Entry!$D$540="","",[2]Entry!$D$540)</f>
        <v/>
      </c>
      <c r="R537">
        <f>IF([2]Entry!$E$540="","",[2]Entry!$E$540)</f>
        <v/>
      </c>
      <c r="S537">
        <f>IF([2]Entry!$G$540="","",[2]Entry!$G$540)</f>
        <v/>
      </c>
      <c r="T537">
        <f>IF([2]Entry!$J$540="","",[2]Entry!$J$540)</f>
        <v/>
      </c>
      <c r="U537">
        <f>IF([2]Entry!$K$540="","",[2]Entry!$K$540)</f>
        <v/>
      </c>
      <c r="V537">
        <f>IF([2]Entry!$L$540="","",[2]Entry!$L$540)</f>
        <v/>
      </c>
      <c r="W537">
        <f>IF([2]Entry!$M$540="","",[2]Entry!$M$540)</f>
        <v/>
      </c>
      <c r="X537">
        <f>IF([2]Entry!$N$540="","",[2]Entry!$N$540)</f>
        <v/>
      </c>
      <c r="Y537">
        <f>IF([2]Entry!$R$540="","",[2]Entry!$R$540)</f>
        <v/>
      </c>
    </row>
    <row r="538">
      <c r="K538">
        <f>IF([1]Accounts!$D$539="","",[1]Accounts!$A$539)</f>
        <v/>
      </c>
      <c r="L538">
        <f>IF([1]Accounts!$D$539="","",[1]Accounts!$B$539)</f>
        <v/>
      </c>
      <c r="M538">
        <f>IF([1]Accounts!$D$539="","",[1]Accounts!$C$539)</f>
        <v/>
      </c>
      <c r="N538">
        <f>IF([1]Accounts!$D$539="","",[1]Accounts!$D$539)</f>
        <v/>
      </c>
      <c r="P538">
        <f>IF([2]Entry!$C$541="","",[2]Entry!$C$541)</f>
        <v/>
      </c>
      <c r="Q538">
        <f>IF([2]Entry!$D$541="","",[2]Entry!$D$541)</f>
        <v/>
      </c>
      <c r="R538">
        <f>IF([2]Entry!$E$541="","",[2]Entry!$E$541)</f>
        <v/>
      </c>
      <c r="S538">
        <f>IF([2]Entry!$G$541="","",[2]Entry!$G$541)</f>
        <v/>
      </c>
      <c r="T538">
        <f>IF([2]Entry!$J$541="","",[2]Entry!$J$541)</f>
        <v/>
      </c>
      <c r="U538">
        <f>IF([2]Entry!$K$541="","",[2]Entry!$K$541)</f>
        <v/>
      </c>
      <c r="V538">
        <f>IF([2]Entry!$L$541="","",[2]Entry!$L$541)</f>
        <v/>
      </c>
      <c r="W538">
        <f>IF([2]Entry!$M$541="","",[2]Entry!$M$541)</f>
        <v/>
      </c>
      <c r="X538">
        <f>IF([2]Entry!$N$541="","",[2]Entry!$N$541)</f>
        <v/>
      </c>
      <c r="Y538">
        <f>IF([2]Entry!$R$541="","",[2]Entry!$R$541)</f>
        <v/>
      </c>
    </row>
    <row r="539">
      <c r="K539">
        <f>IF([1]Accounts!$D$540="","",[1]Accounts!$A$540)</f>
        <v/>
      </c>
      <c r="L539">
        <f>IF([1]Accounts!$D$540="","",[1]Accounts!$B$540)</f>
        <v/>
      </c>
      <c r="M539">
        <f>IF([1]Accounts!$D$540="","",[1]Accounts!$C$540)</f>
        <v/>
      </c>
      <c r="N539">
        <f>IF([1]Accounts!$D$540="","",[1]Accounts!$D$540)</f>
        <v/>
      </c>
      <c r="P539">
        <f>IF([2]Entry!$C$542="","",[2]Entry!$C$542)</f>
        <v/>
      </c>
      <c r="Q539">
        <f>IF([2]Entry!$D$542="","",[2]Entry!$D$542)</f>
        <v/>
      </c>
      <c r="R539">
        <f>IF([2]Entry!$E$542="","",[2]Entry!$E$542)</f>
        <v/>
      </c>
      <c r="S539">
        <f>IF([2]Entry!$G$542="","",[2]Entry!$G$542)</f>
        <v/>
      </c>
      <c r="T539">
        <f>IF([2]Entry!$J$542="","",[2]Entry!$J$542)</f>
        <v/>
      </c>
      <c r="U539">
        <f>IF([2]Entry!$K$542="","",[2]Entry!$K$542)</f>
        <v/>
      </c>
      <c r="V539">
        <f>IF([2]Entry!$L$542="","",[2]Entry!$L$542)</f>
        <v/>
      </c>
      <c r="W539">
        <f>IF([2]Entry!$M$542="","",[2]Entry!$M$542)</f>
        <v/>
      </c>
      <c r="X539">
        <f>IF([2]Entry!$N$542="","",[2]Entry!$N$542)</f>
        <v/>
      </c>
      <c r="Y539">
        <f>IF([2]Entry!$R$542="","",[2]Entry!$R$542)</f>
        <v/>
      </c>
    </row>
    <row r="540">
      <c r="K540">
        <f>IF([1]Accounts!$D$541="","",[1]Accounts!$A$541)</f>
        <v/>
      </c>
      <c r="L540">
        <f>IF([1]Accounts!$D$541="","",[1]Accounts!$B$541)</f>
        <v/>
      </c>
      <c r="M540">
        <f>IF([1]Accounts!$D$541="","",[1]Accounts!$C$541)</f>
        <v/>
      </c>
      <c r="N540">
        <f>IF([1]Accounts!$D$541="","",[1]Accounts!$D$541)</f>
        <v/>
      </c>
      <c r="P540">
        <f>IF([2]Entry!$C$543="","",[2]Entry!$C$543)</f>
        <v/>
      </c>
      <c r="Q540">
        <f>IF([2]Entry!$D$543="","",[2]Entry!$D$543)</f>
        <v/>
      </c>
      <c r="R540">
        <f>IF([2]Entry!$E$543="","",[2]Entry!$E$543)</f>
        <v/>
      </c>
      <c r="S540">
        <f>IF([2]Entry!$G$543="","",[2]Entry!$G$543)</f>
        <v/>
      </c>
      <c r="T540">
        <f>IF([2]Entry!$J$543="","",[2]Entry!$J$543)</f>
        <v/>
      </c>
      <c r="U540">
        <f>IF([2]Entry!$K$543="","",[2]Entry!$K$543)</f>
        <v/>
      </c>
      <c r="V540">
        <f>IF([2]Entry!$L$543="","",[2]Entry!$L$543)</f>
        <v/>
      </c>
      <c r="W540">
        <f>IF([2]Entry!$M$543="","",[2]Entry!$M$543)</f>
        <v/>
      </c>
      <c r="X540">
        <f>IF([2]Entry!$N$543="","",[2]Entry!$N$543)</f>
        <v/>
      </c>
      <c r="Y540">
        <f>IF([2]Entry!$R$543="","",[2]Entry!$R$543)</f>
        <v/>
      </c>
    </row>
    <row r="541">
      <c r="K541">
        <f>IF([1]Accounts!$D$542="","",[1]Accounts!$A$542)</f>
        <v/>
      </c>
      <c r="L541">
        <f>IF([1]Accounts!$D$542="","",[1]Accounts!$B$542)</f>
        <v/>
      </c>
      <c r="M541">
        <f>IF([1]Accounts!$D$542="","",[1]Accounts!$C$542)</f>
        <v/>
      </c>
      <c r="N541">
        <f>IF([1]Accounts!$D$542="","",[1]Accounts!$D$542)</f>
        <v/>
      </c>
      <c r="P541">
        <f>IF([2]Entry!$C$544="","",[2]Entry!$C$544)</f>
        <v/>
      </c>
      <c r="Q541">
        <f>IF([2]Entry!$D$544="","",[2]Entry!$D$544)</f>
        <v/>
      </c>
      <c r="R541">
        <f>IF([2]Entry!$E$544="","",[2]Entry!$E$544)</f>
        <v/>
      </c>
      <c r="S541">
        <f>IF([2]Entry!$G$544="","",[2]Entry!$G$544)</f>
        <v/>
      </c>
      <c r="T541">
        <f>IF([2]Entry!$J$544="","",[2]Entry!$J$544)</f>
        <v/>
      </c>
      <c r="U541">
        <f>IF([2]Entry!$K$544="","",[2]Entry!$K$544)</f>
        <v/>
      </c>
      <c r="V541">
        <f>IF([2]Entry!$L$544="","",[2]Entry!$L$544)</f>
        <v/>
      </c>
      <c r="W541">
        <f>IF([2]Entry!$M$544="","",[2]Entry!$M$544)</f>
        <v/>
      </c>
      <c r="X541">
        <f>IF([2]Entry!$N$544="","",[2]Entry!$N$544)</f>
        <v/>
      </c>
      <c r="Y541">
        <f>IF([2]Entry!$R$544="","",[2]Entry!$R$544)</f>
        <v/>
      </c>
    </row>
    <row r="542">
      <c r="K542">
        <f>IF([1]Accounts!$D$543="","",[1]Accounts!$A$543)</f>
        <v/>
      </c>
      <c r="L542">
        <f>IF([1]Accounts!$D$543="","",[1]Accounts!$B$543)</f>
        <v/>
      </c>
      <c r="M542">
        <f>IF([1]Accounts!$D$543="","",[1]Accounts!$C$543)</f>
        <v/>
      </c>
      <c r="N542">
        <f>IF([1]Accounts!$D$543="","",[1]Accounts!$D$543)</f>
        <v/>
      </c>
      <c r="P542">
        <f>IF([2]Entry!$C$545="","",[2]Entry!$C$545)</f>
        <v/>
      </c>
      <c r="Q542">
        <f>IF([2]Entry!$D$545="","",[2]Entry!$D$545)</f>
        <v/>
      </c>
      <c r="R542">
        <f>IF([2]Entry!$E$545="","",[2]Entry!$E$545)</f>
        <v/>
      </c>
      <c r="S542">
        <f>IF([2]Entry!$G$545="","",[2]Entry!$G$545)</f>
        <v/>
      </c>
      <c r="T542">
        <f>IF([2]Entry!$J$545="","",[2]Entry!$J$545)</f>
        <v/>
      </c>
      <c r="U542">
        <f>IF([2]Entry!$K$545="","",[2]Entry!$K$545)</f>
        <v/>
      </c>
      <c r="V542">
        <f>IF([2]Entry!$L$545="","",[2]Entry!$L$545)</f>
        <v/>
      </c>
      <c r="W542">
        <f>IF([2]Entry!$M$545="","",[2]Entry!$M$545)</f>
        <v/>
      </c>
      <c r="X542">
        <f>IF([2]Entry!$N$545="","",[2]Entry!$N$545)</f>
        <v/>
      </c>
      <c r="Y542">
        <f>IF([2]Entry!$R$545="","",[2]Entry!$R$545)</f>
        <v/>
      </c>
    </row>
    <row r="543">
      <c r="K543">
        <f>IF([1]Accounts!$D$544="","",[1]Accounts!$A$544)</f>
        <v/>
      </c>
      <c r="L543">
        <f>IF([1]Accounts!$D$544="","",[1]Accounts!$B$544)</f>
        <v/>
      </c>
      <c r="M543">
        <f>IF([1]Accounts!$D$544="","",[1]Accounts!$C$544)</f>
        <v/>
      </c>
      <c r="N543">
        <f>IF([1]Accounts!$D$544="","",[1]Accounts!$D$544)</f>
        <v/>
      </c>
      <c r="P543">
        <f>IF([2]Entry!$C$546="","",[2]Entry!$C$546)</f>
        <v/>
      </c>
      <c r="Q543">
        <f>IF([2]Entry!$D$546="","",[2]Entry!$D$546)</f>
        <v/>
      </c>
      <c r="R543">
        <f>IF([2]Entry!$E$546="","",[2]Entry!$E$546)</f>
        <v/>
      </c>
      <c r="S543">
        <f>IF([2]Entry!$G$546="","",[2]Entry!$G$546)</f>
        <v/>
      </c>
      <c r="T543">
        <f>IF([2]Entry!$J$546="","",[2]Entry!$J$546)</f>
        <v/>
      </c>
      <c r="U543">
        <f>IF([2]Entry!$K$546="","",[2]Entry!$K$546)</f>
        <v/>
      </c>
      <c r="V543">
        <f>IF([2]Entry!$L$546="","",[2]Entry!$L$546)</f>
        <v/>
      </c>
      <c r="W543">
        <f>IF([2]Entry!$M$546="","",[2]Entry!$M$546)</f>
        <v/>
      </c>
      <c r="X543">
        <f>IF([2]Entry!$N$546="","",[2]Entry!$N$546)</f>
        <v/>
      </c>
      <c r="Y543">
        <f>IF([2]Entry!$R$546="","",[2]Entry!$R$546)</f>
        <v/>
      </c>
    </row>
    <row r="544">
      <c r="K544">
        <f>IF([1]Accounts!$D$545="","",[1]Accounts!$A$545)</f>
        <v/>
      </c>
      <c r="L544">
        <f>IF([1]Accounts!$D$545="","",[1]Accounts!$B$545)</f>
        <v/>
      </c>
      <c r="M544">
        <f>IF([1]Accounts!$D$545="","",[1]Accounts!$C$545)</f>
        <v/>
      </c>
      <c r="N544">
        <f>IF([1]Accounts!$D$545="","",[1]Accounts!$D$545)</f>
        <v/>
      </c>
      <c r="P544">
        <f>IF([2]Entry!$C$547="","",[2]Entry!$C$547)</f>
        <v/>
      </c>
      <c r="Q544">
        <f>IF([2]Entry!$D$547="","",[2]Entry!$D$547)</f>
        <v/>
      </c>
      <c r="R544">
        <f>IF([2]Entry!$E$547="","",[2]Entry!$E$547)</f>
        <v/>
      </c>
      <c r="S544">
        <f>IF([2]Entry!$G$547="","",[2]Entry!$G$547)</f>
        <v/>
      </c>
      <c r="T544">
        <f>IF([2]Entry!$J$547="","",[2]Entry!$J$547)</f>
        <v/>
      </c>
      <c r="U544">
        <f>IF([2]Entry!$K$547="","",[2]Entry!$K$547)</f>
        <v/>
      </c>
      <c r="V544">
        <f>IF([2]Entry!$L$547="","",[2]Entry!$L$547)</f>
        <v/>
      </c>
      <c r="W544">
        <f>IF([2]Entry!$M$547="","",[2]Entry!$M$547)</f>
        <v/>
      </c>
      <c r="X544">
        <f>IF([2]Entry!$N$547="","",[2]Entry!$N$547)</f>
        <v/>
      </c>
      <c r="Y544">
        <f>IF([2]Entry!$R$547="","",[2]Entry!$R$547)</f>
        <v/>
      </c>
    </row>
    <row r="545">
      <c r="K545">
        <f>IF([1]Accounts!$D$546="","",[1]Accounts!$A$546)</f>
        <v/>
      </c>
      <c r="L545">
        <f>IF([1]Accounts!$D$546="","",[1]Accounts!$B$546)</f>
        <v/>
      </c>
      <c r="M545">
        <f>IF([1]Accounts!$D$546="","",[1]Accounts!$C$546)</f>
        <v/>
      </c>
      <c r="N545">
        <f>IF([1]Accounts!$D$546="","",[1]Accounts!$D$546)</f>
        <v/>
      </c>
      <c r="P545">
        <f>IF([2]Entry!$C$548="","",[2]Entry!$C$548)</f>
        <v/>
      </c>
      <c r="Q545">
        <f>IF([2]Entry!$D$548="","",[2]Entry!$D$548)</f>
        <v/>
      </c>
      <c r="R545">
        <f>IF([2]Entry!$E$548="","",[2]Entry!$E$548)</f>
        <v/>
      </c>
      <c r="S545">
        <f>IF([2]Entry!$G$548="","",[2]Entry!$G$548)</f>
        <v/>
      </c>
      <c r="T545">
        <f>IF([2]Entry!$J$548="","",[2]Entry!$J$548)</f>
        <v/>
      </c>
      <c r="U545">
        <f>IF([2]Entry!$K$548="","",[2]Entry!$K$548)</f>
        <v/>
      </c>
      <c r="V545">
        <f>IF([2]Entry!$L$548="","",[2]Entry!$L$548)</f>
        <v/>
      </c>
      <c r="W545">
        <f>IF([2]Entry!$M$548="","",[2]Entry!$M$548)</f>
        <v/>
      </c>
      <c r="X545">
        <f>IF([2]Entry!$N$548="","",[2]Entry!$N$548)</f>
        <v/>
      </c>
      <c r="Y545">
        <f>IF([2]Entry!$R$548="","",[2]Entry!$R$548)</f>
        <v/>
      </c>
    </row>
    <row r="546">
      <c r="K546">
        <f>IF([1]Accounts!$D$547="","",[1]Accounts!$A$547)</f>
        <v/>
      </c>
      <c r="L546">
        <f>IF([1]Accounts!$D$547="","",[1]Accounts!$B$547)</f>
        <v/>
      </c>
      <c r="M546">
        <f>IF([1]Accounts!$D$547="","",[1]Accounts!$C$547)</f>
        <v/>
      </c>
      <c r="N546">
        <f>IF([1]Accounts!$D$547="","",[1]Accounts!$D$547)</f>
        <v/>
      </c>
      <c r="P546">
        <f>IF([2]Entry!$C$549="","",[2]Entry!$C$549)</f>
        <v/>
      </c>
      <c r="Q546">
        <f>IF([2]Entry!$D$549="","",[2]Entry!$D$549)</f>
        <v/>
      </c>
      <c r="R546">
        <f>IF([2]Entry!$E$549="","",[2]Entry!$E$549)</f>
        <v/>
      </c>
      <c r="S546">
        <f>IF([2]Entry!$G$549="","",[2]Entry!$G$549)</f>
        <v/>
      </c>
      <c r="T546">
        <f>IF([2]Entry!$J$549="","",[2]Entry!$J$549)</f>
        <v/>
      </c>
      <c r="U546">
        <f>IF([2]Entry!$K$549="","",[2]Entry!$K$549)</f>
        <v/>
      </c>
      <c r="V546">
        <f>IF([2]Entry!$L$549="","",[2]Entry!$L$549)</f>
        <v/>
      </c>
      <c r="W546">
        <f>IF([2]Entry!$M$549="","",[2]Entry!$M$549)</f>
        <v/>
      </c>
      <c r="X546">
        <f>IF([2]Entry!$N$549="","",[2]Entry!$N$549)</f>
        <v/>
      </c>
      <c r="Y546">
        <f>IF([2]Entry!$R$549="","",[2]Entry!$R$549)</f>
        <v/>
      </c>
    </row>
    <row r="547">
      <c r="K547">
        <f>IF([1]Accounts!$D$548="","",[1]Accounts!$A$548)</f>
        <v/>
      </c>
      <c r="L547">
        <f>IF([1]Accounts!$D$548="","",[1]Accounts!$B$548)</f>
        <v/>
      </c>
      <c r="M547">
        <f>IF([1]Accounts!$D$548="","",[1]Accounts!$C$548)</f>
        <v/>
      </c>
      <c r="N547">
        <f>IF([1]Accounts!$D$548="","",[1]Accounts!$D$548)</f>
        <v/>
      </c>
      <c r="P547">
        <f>IF([2]Entry!$C$550="","",[2]Entry!$C$550)</f>
        <v/>
      </c>
      <c r="Q547">
        <f>IF([2]Entry!$D$550="","",[2]Entry!$D$550)</f>
        <v/>
      </c>
      <c r="R547">
        <f>IF([2]Entry!$E$550="","",[2]Entry!$E$550)</f>
        <v/>
      </c>
      <c r="S547">
        <f>IF([2]Entry!$G$550="","",[2]Entry!$G$550)</f>
        <v/>
      </c>
      <c r="T547">
        <f>IF([2]Entry!$J$550="","",[2]Entry!$J$550)</f>
        <v/>
      </c>
      <c r="U547">
        <f>IF([2]Entry!$K$550="","",[2]Entry!$K$550)</f>
        <v/>
      </c>
      <c r="V547">
        <f>IF([2]Entry!$L$550="","",[2]Entry!$L$550)</f>
        <v/>
      </c>
      <c r="W547">
        <f>IF([2]Entry!$M$550="","",[2]Entry!$M$550)</f>
        <v/>
      </c>
      <c r="X547">
        <f>IF([2]Entry!$N$550="","",[2]Entry!$N$550)</f>
        <v/>
      </c>
      <c r="Y547">
        <f>IF([2]Entry!$R$550="","",[2]Entry!$R$550)</f>
        <v/>
      </c>
    </row>
    <row r="548">
      <c r="K548">
        <f>IF([1]Accounts!$D$549="","",[1]Accounts!$A$549)</f>
        <v/>
      </c>
      <c r="L548">
        <f>IF([1]Accounts!$D$549="","",[1]Accounts!$B$549)</f>
        <v/>
      </c>
      <c r="M548">
        <f>IF([1]Accounts!$D$549="","",[1]Accounts!$C$549)</f>
        <v/>
      </c>
      <c r="N548">
        <f>IF([1]Accounts!$D$549="","",[1]Accounts!$D$549)</f>
        <v/>
      </c>
      <c r="P548">
        <f>IF([2]Entry!$C$551="","",[2]Entry!$C$551)</f>
        <v/>
      </c>
      <c r="Q548">
        <f>IF([2]Entry!$D$551="","",[2]Entry!$D$551)</f>
        <v/>
      </c>
      <c r="R548">
        <f>IF([2]Entry!$E$551="","",[2]Entry!$E$551)</f>
        <v/>
      </c>
      <c r="S548">
        <f>IF([2]Entry!$G$551="","",[2]Entry!$G$551)</f>
        <v/>
      </c>
      <c r="T548">
        <f>IF([2]Entry!$J$551="","",[2]Entry!$J$551)</f>
        <v/>
      </c>
      <c r="U548">
        <f>IF([2]Entry!$K$551="","",[2]Entry!$K$551)</f>
        <v/>
      </c>
      <c r="V548">
        <f>IF([2]Entry!$L$551="","",[2]Entry!$L$551)</f>
        <v/>
      </c>
      <c r="W548">
        <f>IF([2]Entry!$M$551="","",[2]Entry!$M$551)</f>
        <v/>
      </c>
      <c r="X548">
        <f>IF([2]Entry!$N$551="","",[2]Entry!$N$551)</f>
        <v/>
      </c>
      <c r="Y548">
        <f>IF([2]Entry!$R$551="","",[2]Entry!$R$551)</f>
        <v/>
      </c>
    </row>
    <row r="549">
      <c r="K549">
        <f>IF([1]Accounts!$D$550="","",[1]Accounts!$A$550)</f>
        <v/>
      </c>
      <c r="L549">
        <f>IF([1]Accounts!$D$550="","",[1]Accounts!$B$550)</f>
        <v/>
      </c>
      <c r="M549">
        <f>IF([1]Accounts!$D$550="","",[1]Accounts!$C$550)</f>
        <v/>
      </c>
      <c r="N549">
        <f>IF([1]Accounts!$D$550="","",[1]Accounts!$D$550)</f>
        <v/>
      </c>
      <c r="P549">
        <f>IF([2]Entry!$C$552="","",[2]Entry!$C$552)</f>
        <v/>
      </c>
      <c r="Q549">
        <f>IF([2]Entry!$D$552="","",[2]Entry!$D$552)</f>
        <v/>
      </c>
      <c r="R549">
        <f>IF([2]Entry!$E$552="","",[2]Entry!$E$552)</f>
        <v/>
      </c>
      <c r="S549">
        <f>IF([2]Entry!$G$552="","",[2]Entry!$G$552)</f>
        <v/>
      </c>
      <c r="T549">
        <f>IF([2]Entry!$J$552="","",[2]Entry!$J$552)</f>
        <v/>
      </c>
      <c r="U549">
        <f>IF([2]Entry!$K$552="","",[2]Entry!$K$552)</f>
        <v/>
      </c>
      <c r="V549">
        <f>IF([2]Entry!$L$552="","",[2]Entry!$L$552)</f>
        <v/>
      </c>
      <c r="W549">
        <f>IF([2]Entry!$M$552="","",[2]Entry!$M$552)</f>
        <v/>
      </c>
      <c r="X549">
        <f>IF([2]Entry!$N$552="","",[2]Entry!$N$552)</f>
        <v/>
      </c>
      <c r="Y549">
        <f>IF([2]Entry!$R$552="","",[2]Entry!$R$552)</f>
        <v/>
      </c>
    </row>
    <row r="550">
      <c r="K550">
        <f>IF([1]Accounts!$D$551="","",[1]Accounts!$A$551)</f>
        <v/>
      </c>
      <c r="L550">
        <f>IF([1]Accounts!$D$551="","",[1]Accounts!$B$551)</f>
        <v/>
      </c>
      <c r="M550">
        <f>IF([1]Accounts!$D$551="","",[1]Accounts!$C$551)</f>
        <v/>
      </c>
      <c r="N550">
        <f>IF([1]Accounts!$D$551="","",[1]Accounts!$D$551)</f>
        <v/>
      </c>
      <c r="P550">
        <f>IF([2]Entry!$C$553="","",[2]Entry!$C$553)</f>
        <v/>
      </c>
      <c r="Q550">
        <f>IF([2]Entry!$D$553="","",[2]Entry!$D$553)</f>
        <v/>
      </c>
      <c r="R550">
        <f>IF([2]Entry!$E$553="","",[2]Entry!$E$553)</f>
        <v/>
      </c>
      <c r="S550">
        <f>IF([2]Entry!$G$553="","",[2]Entry!$G$553)</f>
        <v/>
      </c>
      <c r="T550">
        <f>IF([2]Entry!$J$553="","",[2]Entry!$J$553)</f>
        <v/>
      </c>
      <c r="U550">
        <f>IF([2]Entry!$K$553="","",[2]Entry!$K$553)</f>
        <v/>
      </c>
      <c r="V550">
        <f>IF([2]Entry!$L$553="","",[2]Entry!$L$553)</f>
        <v/>
      </c>
      <c r="W550">
        <f>IF([2]Entry!$M$553="","",[2]Entry!$M$553)</f>
        <v/>
      </c>
      <c r="X550">
        <f>IF([2]Entry!$N$553="","",[2]Entry!$N$553)</f>
        <v/>
      </c>
      <c r="Y550">
        <f>IF([2]Entry!$R$553="","",[2]Entry!$R$553)</f>
        <v/>
      </c>
    </row>
    <row r="551">
      <c r="K551">
        <f>IF([1]Accounts!$D$552="","",[1]Accounts!$A$552)</f>
        <v/>
      </c>
      <c r="L551">
        <f>IF([1]Accounts!$D$552="","",[1]Accounts!$B$552)</f>
        <v/>
      </c>
      <c r="M551">
        <f>IF([1]Accounts!$D$552="","",[1]Accounts!$C$552)</f>
        <v/>
      </c>
      <c r="N551">
        <f>IF([1]Accounts!$D$552="","",[1]Accounts!$D$552)</f>
        <v/>
      </c>
      <c r="P551">
        <f>IF([2]Entry!$C$554="","",[2]Entry!$C$554)</f>
        <v/>
      </c>
      <c r="Q551">
        <f>IF([2]Entry!$D$554="","",[2]Entry!$D$554)</f>
        <v/>
      </c>
      <c r="R551">
        <f>IF([2]Entry!$E$554="","",[2]Entry!$E$554)</f>
        <v/>
      </c>
      <c r="S551">
        <f>IF([2]Entry!$G$554="","",[2]Entry!$G$554)</f>
        <v/>
      </c>
      <c r="T551">
        <f>IF([2]Entry!$J$554="","",[2]Entry!$J$554)</f>
        <v/>
      </c>
      <c r="U551">
        <f>IF([2]Entry!$K$554="","",[2]Entry!$K$554)</f>
        <v/>
      </c>
      <c r="V551">
        <f>IF([2]Entry!$L$554="","",[2]Entry!$L$554)</f>
        <v/>
      </c>
      <c r="W551">
        <f>IF([2]Entry!$M$554="","",[2]Entry!$M$554)</f>
        <v/>
      </c>
      <c r="X551">
        <f>IF([2]Entry!$N$554="","",[2]Entry!$N$554)</f>
        <v/>
      </c>
      <c r="Y551">
        <f>IF([2]Entry!$R$554="","",[2]Entry!$R$554)</f>
        <v/>
      </c>
    </row>
    <row r="552">
      <c r="K552">
        <f>IF([1]Accounts!$D$553="","",[1]Accounts!$A$553)</f>
        <v/>
      </c>
      <c r="L552">
        <f>IF([1]Accounts!$D$553="","",[1]Accounts!$B$553)</f>
        <v/>
      </c>
      <c r="M552">
        <f>IF([1]Accounts!$D$553="","",[1]Accounts!$C$553)</f>
        <v/>
      </c>
      <c r="N552">
        <f>IF([1]Accounts!$D$553="","",[1]Accounts!$D$553)</f>
        <v/>
      </c>
      <c r="P552">
        <f>IF([2]Entry!$C$555="","",[2]Entry!$C$555)</f>
        <v/>
      </c>
      <c r="Q552">
        <f>IF([2]Entry!$D$555="","",[2]Entry!$D$555)</f>
        <v/>
      </c>
      <c r="R552">
        <f>IF([2]Entry!$E$555="","",[2]Entry!$E$555)</f>
        <v/>
      </c>
      <c r="S552">
        <f>IF([2]Entry!$G$555="","",[2]Entry!$G$555)</f>
        <v/>
      </c>
      <c r="T552">
        <f>IF([2]Entry!$J$555="","",[2]Entry!$J$555)</f>
        <v/>
      </c>
      <c r="U552">
        <f>IF([2]Entry!$K$555="","",[2]Entry!$K$555)</f>
        <v/>
      </c>
      <c r="V552">
        <f>IF([2]Entry!$L$555="","",[2]Entry!$L$555)</f>
        <v/>
      </c>
      <c r="W552">
        <f>IF([2]Entry!$M$555="","",[2]Entry!$M$555)</f>
        <v/>
      </c>
      <c r="X552">
        <f>IF([2]Entry!$N$555="","",[2]Entry!$N$555)</f>
        <v/>
      </c>
      <c r="Y552">
        <f>IF([2]Entry!$R$555="","",[2]Entry!$R$555)</f>
        <v/>
      </c>
    </row>
    <row r="553">
      <c r="K553">
        <f>IF([1]Accounts!$D$554="","",[1]Accounts!$A$554)</f>
        <v/>
      </c>
      <c r="L553">
        <f>IF([1]Accounts!$D$554="","",[1]Accounts!$B$554)</f>
        <v/>
      </c>
      <c r="M553">
        <f>IF([1]Accounts!$D$554="","",[1]Accounts!$C$554)</f>
        <v/>
      </c>
      <c r="N553">
        <f>IF([1]Accounts!$D$554="","",[1]Accounts!$D$554)</f>
        <v/>
      </c>
      <c r="P553">
        <f>IF([2]Entry!$C$556="","",[2]Entry!$C$556)</f>
        <v/>
      </c>
      <c r="Q553">
        <f>IF([2]Entry!$D$556="","",[2]Entry!$D$556)</f>
        <v/>
      </c>
      <c r="R553">
        <f>IF([2]Entry!$E$556="","",[2]Entry!$E$556)</f>
        <v/>
      </c>
      <c r="S553">
        <f>IF([2]Entry!$G$556="","",[2]Entry!$G$556)</f>
        <v/>
      </c>
      <c r="T553">
        <f>IF([2]Entry!$J$556="","",[2]Entry!$J$556)</f>
        <v/>
      </c>
      <c r="U553">
        <f>IF([2]Entry!$K$556="","",[2]Entry!$K$556)</f>
        <v/>
      </c>
      <c r="V553">
        <f>IF([2]Entry!$L$556="","",[2]Entry!$L$556)</f>
        <v/>
      </c>
      <c r="W553">
        <f>IF([2]Entry!$M$556="","",[2]Entry!$M$556)</f>
        <v/>
      </c>
      <c r="X553">
        <f>IF([2]Entry!$N$556="","",[2]Entry!$N$556)</f>
        <v/>
      </c>
      <c r="Y553">
        <f>IF([2]Entry!$R$556="","",[2]Entry!$R$556)</f>
        <v/>
      </c>
    </row>
    <row r="554">
      <c r="K554">
        <f>IF([1]Accounts!$D$555="","",[1]Accounts!$A$555)</f>
        <v/>
      </c>
      <c r="L554">
        <f>IF([1]Accounts!$D$555="","",[1]Accounts!$B$555)</f>
        <v/>
      </c>
      <c r="M554">
        <f>IF([1]Accounts!$D$555="","",[1]Accounts!$C$555)</f>
        <v/>
      </c>
      <c r="N554">
        <f>IF([1]Accounts!$D$555="","",[1]Accounts!$D$555)</f>
        <v/>
      </c>
      <c r="P554">
        <f>IF([2]Entry!$C$557="","",[2]Entry!$C$557)</f>
        <v/>
      </c>
      <c r="Q554">
        <f>IF([2]Entry!$D$557="","",[2]Entry!$D$557)</f>
        <v/>
      </c>
      <c r="R554">
        <f>IF([2]Entry!$E$557="","",[2]Entry!$E$557)</f>
        <v/>
      </c>
      <c r="S554">
        <f>IF([2]Entry!$G$557="","",[2]Entry!$G$557)</f>
        <v/>
      </c>
      <c r="T554">
        <f>IF([2]Entry!$J$557="","",[2]Entry!$J$557)</f>
        <v/>
      </c>
      <c r="U554">
        <f>IF([2]Entry!$K$557="","",[2]Entry!$K$557)</f>
        <v/>
      </c>
      <c r="V554">
        <f>IF([2]Entry!$L$557="","",[2]Entry!$L$557)</f>
        <v/>
      </c>
      <c r="W554">
        <f>IF([2]Entry!$M$557="","",[2]Entry!$M$557)</f>
        <v/>
      </c>
      <c r="X554">
        <f>IF([2]Entry!$N$557="","",[2]Entry!$N$557)</f>
        <v/>
      </c>
      <c r="Y554">
        <f>IF([2]Entry!$R$557="","",[2]Entry!$R$557)</f>
        <v/>
      </c>
    </row>
    <row r="555">
      <c r="K555">
        <f>IF([1]Accounts!$D$556="","",[1]Accounts!$A$556)</f>
        <v/>
      </c>
      <c r="L555">
        <f>IF([1]Accounts!$D$556="","",[1]Accounts!$B$556)</f>
        <v/>
      </c>
      <c r="M555">
        <f>IF([1]Accounts!$D$556="","",[1]Accounts!$C$556)</f>
        <v/>
      </c>
      <c r="N555">
        <f>IF([1]Accounts!$D$556="","",[1]Accounts!$D$556)</f>
        <v/>
      </c>
      <c r="P555">
        <f>IF([2]Entry!$C$558="","",[2]Entry!$C$558)</f>
        <v/>
      </c>
      <c r="Q555">
        <f>IF([2]Entry!$D$558="","",[2]Entry!$D$558)</f>
        <v/>
      </c>
      <c r="R555">
        <f>IF([2]Entry!$E$558="","",[2]Entry!$E$558)</f>
        <v/>
      </c>
      <c r="S555">
        <f>IF([2]Entry!$G$558="","",[2]Entry!$G$558)</f>
        <v/>
      </c>
      <c r="T555">
        <f>IF([2]Entry!$J$558="","",[2]Entry!$J$558)</f>
        <v/>
      </c>
      <c r="U555">
        <f>IF([2]Entry!$K$558="","",[2]Entry!$K$558)</f>
        <v/>
      </c>
      <c r="V555">
        <f>IF([2]Entry!$L$558="","",[2]Entry!$L$558)</f>
        <v/>
      </c>
      <c r="W555">
        <f>IF([2]Entry!$M$558="","",[2]Entry!$M$558)</f>
        <v/>
      </c>
      <c r="X555">
        <f>IF([2]Entry!$N$558="","",[2]Entry!$N$558)</f>
        <v/>
      </c>
      <c r="Y555">
        <f>IF([2]Entry!$R$558="","",[2]Entry!$R$558)</f>
        <v/>
      </c>
    </row>
    <row r="556">
      <c r="K556">
        <f>IF([1]Accounts!$D$557="","",[1]Accounts!$A$557)</f>
        <v/>
      </c>
      <c r="L556">
        <f>IF([1]Accounts!$D$557="","",[1]Accounts!$B$557)</f>
        <v/>
      </c>
      <c r="M556">
        <f>IF([1]Accounts!$D$557="","",[1]Accounts!$C$557)</f>
        <v/>
      </c>
      <c r="N556">
        <f>IF([1]Accounts!$D$557="","",[1]Accounts!$D$557)</f>
        <v/>
      </c>
      <c r="P556">
        <f>IF([2]Entry!$C$559="","",[2]Entry!$C$559)</f>
        <v/>
      </c>
      <c r="Q556">
        <f>IF([2]Entry!$D$559="","",[2]Entry!$D$559)</f>
        <v/>
      </c>
      <c r="R556">
        <f>IF([2]Entry!$E$559="","",[2]Entry!$E$559)</f>
        <v/>
      </c>
      <c r="S556">
        <f>IF([2]Entry!$G$559="","",[2]Entry!$G$559)</f>
        <v/>
      </c>
      <c r="T556">
        <f>IF([2]Entry!$J$559="","",[2]Entry!$J$559)</f>
        <v/>
      </c>
      <c r="U556">
        <f>IF([2]Entry!$K$559="","",[2]Entry!$K$559)</f>
        <v/>
      </c>
      <c r="V556">
        <f>IF([2]Entry!$L$559="","",[2]Entry!$L$559)</f>
        <v/>
      </c>
      <c r="W556">
        <f>IF([2]Entry!$M$559="","",[2]Entry!$M$559)</f>
        <v/>
      </c>
      <c r="X556">
        <f>IF([2]Entry!$N$559="","",[2]Entry!$N$559)</f>
        <v/>
      </c>
      <c r="Y556">
        <f>IF([2]Entry!$R$559="","",[2]Entry!$R$559)</f>
        <v/>
      </c>
    </row>
    <row r="557">
      <c r="K557">
        <f>IF([1]Accounts!$D$558="","",[1]Accounts!$A$558)</f>
        <v/>
      </c>
      <c r="L557">
        <f>IF([1]Accounts!$D$558="","",[1]Accounts!$B$558)</f>
        <v/>
      </c>
      <c r="M557">
        <f>IF([1]Accounts!$D$558="","",[1]Accounts!$C$558)</f>
        <v/>
      </c>
      <c r="N557">
        <f>IF([1]Accounts!$D$558="","",[1]Accounts!$D$558)</f>
        <v/>
      </c>
      <c r="P557">
        <f>IF([2]Entry!$C$560="","",[2]Entry!$C$560)</f>
        <v/>
      </c>
      <c r="Q557">
        <f>IF([2]Entry!$D$560="","",[2]Entry!$D$560)</f>
        <v/>
      </c>
      <c r="R557">
        <f>IF([2]Entry!$E$560="","",[2]Entry!$E$560)</f>
        <v/>
      </c>
      <c r="S557">
        <f>IF([2]Entry!$G$560="","",[2]Entry!$G$560)</f>
        <v/>
      </c>
      <c r="T557">
        <f>IF([2]Entry!$J$560="","",[2]Entry!$J$560)</f>
        <v/>
      </c>
      <c r="U557">
        <f>IF([2]Entry!$K$560="","",[2]Entry!$K$560)</f>
        <v/>
      </c>
      <c r="V557">
        <f>IF([2]Entry!$L$560="","",[2]Entry!$L$560)</f>
        <v/>
      </c>
      <c r="W557">
        <f>IF([2]Entry!$M$560="","",[2]Entry!$M$560)</f>
        <v/>
      </c>
      <c r="X557">
        <f>IF([2]Entry!$N$560="","",[2]Entry!$N$560)</f>
        <v/>
      </c>
      <c r="Y557">
        <f>IF([2]Entry!$R$560="","",[2]Entry!$R$560)</f>
        <v/>
      </c>
    </row>
    <row r="558">
      <c r="K558">
        <f>IF([1]Accounts!$D$559="","",[1]Accounts!$A$559)</f>
        <v/>
      </c>
      <c r="L558">
        <f>IF([1]Accounts!$D$559="","",[1]Accounts!$B$559)</f>
        <v/>
      </c>
      <c r="M558">
        <f>IF([1]Accounts!$D$559="","",[1]Accounts!$C$559)</f>
        <v/>
      </c>
      <c r="N558">
        <f>IF([1]Accounts!$D$559="","",[1]Accounts!$D$559)</f>
        <v/>
      </c>
      <c r="P558">
        <f>IF([2]Entry!$C$561="","",[2]Entry!$C$561)</f>
        <v/>
      </c>
      <c r="Q558">
        <f>IF([2]Entry!$D$561="","",[2]Entry!$D$561)</f>
        <v/>
      </c>
      <c r="R558">
        <f>IF([2]Entry!$E$561="","",[2]Entry!$E$561)</f>
        <v/>
      </c>
      <c r="S558">
        <f>IF([2]Entry!$G$561="","",[2]Entry!$G$561)</f>
        <v/>
      </c>
      <c r="T558">
        <f>IF([2]Entry!$J$561="","",[2]Entry!$J$561)</f>
        <v/>
      </c>
      <c r="U558">
        <f>IF([2]Entry!$K$561="","",[2]Entry!$K$561)</f>
        <v/>
      </c>
      <c r="V558">
        <f>IF([2]Entry!$L$561="","",[2]Entry!$L$561)</f>
        <v/>
      </c>
      <c r="W558">
        <f>IF([2]Entry!$M$561="","",[2]Entry!$M$561)</f>
        <v/>
      </c>
      <c r="X558">
        <f>IF([2]Entry!$N$561="","",[2]Entry!$N$561)</f>
        <v/>
      </c>
      <c r="Y558">
        <f>IF([2]Entry!$R$561="","",[2]Entry!$R$561)</f>
        <v/>
      </c>
    </row>
    <row r="559">
      <c r="K559">
        <f>IF([1]Accounts!$D$560="","",[1]Accounts!$A$560)</f>
        <v/>
      </c>
      <c r="L559">
        <f>IF([1]Accounts!$D$560="","",[1]Accounts!$B$560)</f>
        <v/>
      </c>
      <c r="M559">
        <f>IF([1]Accounts!$D$560="","",[1]Accounts!$C$560)</f>
        <v/>
      </c>
      <c r="N559">
        <f>IF([1]Accounts!$D$560="","",[1]Accounts!$D$560)</f>
        <v/>
      </c>
      <c r="P559">
        <f>IF([2]Entry!$C$562="","",[2]Entry!$C$562)</f>
        <v/>
      </c>
      <c r="Q559">
        <f>IF([2]Entry!$D$562="","",[2]Entry!$D$562)</f>
        <v/>
      </c>
      <c r="R559">
        <f>IF([2]Entry!$E$562="","",[2]Entry!$E$562)</f>
        <v/>
      </c>
      <c r="S559">
        <f>IF([2]Entry!$G$562="","",[2]Entry!$G$562)</f>
        <v/>
      </c>
      <c r="T559">
        <f>IF([2]Entry!$J$562="","",[2]Entry!$J$562)</f>
        <v/>
      </c>
      <c r="U559">
        <f>IF([2]Entry!$K$562="","",[2]Entry!$K$562)</f>
        <v/>
      </c>
      <c r="V559">
        <f>IF([2]Entry!$L$562="","",[2]Entry!$L$562)</f>
        <v/>
      </c>
      <c r="W559">
        <f>IF([2]Entry!$M$562="","",[2]Entry!$M$562)</f>
        <v/>
      </c>
      <c r="X559">
        <f>IF([2]Entry!$N$562="","",[2]Entry!$N$562)</f>
        <v/>
      </c>
      <c r="Y559">
        <f>IF([2]Entry!$R$562="","",[2]Entry!$R$562)</f>
        <v/>
      </c>
    </row>
    <row r="560">
      <c r="K560">
        <f>IF([1]Accounts!$D$561="","",[1]Accounts!$A$561)</f>
        <v/>
      </c>
      <c r="L560">
        <f>IF([1]Accounts!$D$561="","",[1]Accounts!$B$561)</f>
        <v/>
      </c>
      <c r="M560">
        <f>IF([1]Accounts!$D$561="","",[1]Accounts!$C$561)</f>
        <v/>
      </c>
      <c r="N560">
        <f>IF([1]Accounts!$D$561="","",[1]Accounts!$D$561)</f>
        <v/>
      </c>
      <c r="P560">
        <f>IF([2]Entry!$C$563="","",[2]Entry!$C$563)</f>
        <v/>
      </c>
      <c r="Q560">
        <f>IF([2]Entry!$D$563="","",[2]Entry!$D$563)</f>
        <v/>
      </c>
      <c r="R560">
        <f>IF([2]Entry!$E$563="","",[2]Entry!$E$563)</f>
        <v/>
      </c>
      <c r="S560">
        <f>IF([2]Entry!$G$563="","",[2]Entry!$G$563)</f>
        <v/>
      </c>
      <c r="T560">
        <f>IF([2]Entry!$J$563="","",[2]Entry!$J$563)</f>
        <v/>
      </c>
      <c r="U560">
        <f>IF([2]Entry!$K$563="","",[2]Entry!$K$563)</f>
        <v/>
      </c>
      <c r="V560">
        <f>IF([2]Entry!$L$563="","",[2]Entry!$L$563)</f>
        <v/>
      </c>
      <c r="W560">
        <f>IF([2]Entry!$M$563="","",[2]Entry!$M$563)</f>
        <v/>
      </c>
      <c r="X560">
        <f>IF([2]Entry!$N$563="","",[2]Entry!$N$563)</f>
        <v/>
      </c>
      <c r="Y560">
        <f>IF([2]Entry!$R$563="","",[2]Entry!$R$563)</f>
        <v/>
      </c>
    </row>
    <row r="561">
      <c r="K561">
        <f>IF([1]Accounts!$D$562="","",[1]Accounts!$A$562)</f>
        <v/>
      </c>
      <c r="L561">
        <f>IF([1]Accounts!$D$562="","",[1]Accounts!$B$562)</f>
        <v/>
      </c>
      <c r="M561">
        <f>IF([1]Accounts!$D$562="","",[1]Accounts!$C$562)</f>
        <v/>
      </c>
      <c r="N561">
        <f>IF([1]Accounts!$D$562="","",[1]Accounts!$D$562)</f>
        <v/>
      </c>
      <c r="P561">
        <f>IF([2]Entry!$C$564="","",[2]Entry!$C$564)</f>
        <v/>
      </c>
      <c r="Q561">
        <f>IF([2]Entry!$D$564="","",[2]Entry!$D$564)</f>
        <v/>
      </c>
      <c r="R561">
        <f>IF([2]Entry!$E$564="","",[2]Entry!$E$564)</f>
        <v/>
      </c>
      <c r="S561">
        <f>IF([2]Entry!$G$564="","",[2]Entry!$G$564)</f>
        <v/>
      </c>
      <c r="T561">
        <f>IF([2]Entry!$J$564="","",[2]Entry!$J$564)</f>
        <v/>
      </c>
      <c r="U561">
        <f>IF([2]Entry!$K$564="","",[2]Entry!$K$564)</f>
        <v/>
      </c>
      <c r="V561">
        <f>IF([2]Entry!$L$564="","",[2]Entry!$L$564)</f>
        <v/>
      </c>
      <c r="W561">
        <f>IF([2]Entry!$M$564="","",[2]Entry!$M$564)</f>
        <v/>
      </c>
      <c r="X561">
        <f>IF([2]Entry!$N$564="","",[2]Entry!$N$564)</f>
        <v/>
      </c>
      <c r="Y561">
        <f>IF([2]Entry!$R$564="","",[2]Entry!$R$564)</f>
        <v/>
      </c>
    </row>
    <row r="562">
      <c r="K562">
        <f>IF([1]Accounts!$D$563="","",[1]Accounts!$A$563)</f>
        <v/>
      </c>
      <c r="L562">
        <f>IF([1]Accounts!$D$563="","",[1]Accounts!$B$563)</f>
        <v/>
      </c>
      <c r="M562">
        <f>IF([1]Accounts!$D$563="","",[1]Accounts!$C$563)</f>
        <v/>
      </c>
      <c r="N562">
        <f>IF([1]Accounts!$D$563="","",[1]Accounts!$D$563)</f>
        <v/>
      </c>
      <c r="P562">
        <f>IF([2]Entry!$C$565="","",[2]Entry!$C$565)</f>
        <v/>
      </c>
      <c r="Q562">
        <f>IF([2]Entry!$D$565="","",[2]Entry!$D$565)</f>
        <v/>
      </c>
      <c r="R562">
        <f>IF([2]Entry!$E$565="","",[2]Entry!$E$565)</f>
        <v/>
      </c>
      <c r="S562">
        <f>IF([2]Entry!$G$565="","",[2]Entry!$G$565)</f>
        <v/>
      </c>
      <c r="T562">
        <f>IF([2]Entry!$J$565="","",[2]Entry!$J$565)</f>
        <v/>
      </c>
      <c r="U562">
        <f>IF([2]Entry!$K$565="","",[2]Entry!$K$565)</f>
        <v/>
      </c>
      <c r="V562">
        <f>IF([2]Entry!$L$565="","",[2]Entry!$L$565)</f>
        <v/>
      </c>
      <c r="W562">
        <f>IF([2]Entry!$M$565="","",[2]Entry!$M$565)</f>
        <v/>
      </c>
      <c r="X562">
        <f>IF([2]Entry!$N$565="","",[2]Entry!$N$565)</f>
        <v/>
      </c>
      <c r="Y562">
        <f>IF([2]Entry!$R$565="","",[2]Entry!$R$565)</f>
        <v/>
      </c>
    </row>
    <row r="563">
      <c r="K563">
        <f>IF([1]Accounts!$D$564="","",[1]Accounts!$A$564)</f>
        <v/>
      </c>
      <c r="L563">
        <f>IF([1]Accounts!$D$564="","",[1]Accounts!$B$564)</f>
        <v/>
      </c>
      <c r="M563">
        <f>IF([1]Accounts!$D$564="","",[1]Accounts!$C$564)</f>
        <v/>
      </c>
      <c r="N563">
        <f>IF([1]Accounts!$D$564="","",[1]Accounts!$D$564)</f>
        <v/>
      </c>
      <c r="P563">
        <f>IF([2]Entry!$C$566="","",[2]Entry!$C$566)</f>
        <v/>
      </c>
      <c r="Q563">
        <f>IF([2]Entry!$D$566="","",[2]Entry!$D$566)</f>
        <v/>
      </c>
      <c r="R563">
        <f>IF([2]Entry!$E$566="","",[2]Entry!$E$566)</f>
        <v/>
      </c>
      <c r="S563">
        <f>IF([2]Entry!$G$566="","",[2]Entry!$G$566)</f>
        <v/>
      </c>
      <c r="T563">
        <f>IF([2]Entry!$J$566="","",[2]Entry!$J$566)</f>
        <v/>
      </c>
      <c r="U563">
        <f>IF([2]Entry!$K$566="","",[2]Entry!$K$566)</f>
        <v/>
      </c>
      <c r="V563">
        <f>IF([2]Entry!$L$566="","",[2]Entry!$L$566)</f>
        <v/>
      </c>
      <c r="W563">
        <f>IF([2]Entry!$M$566="","",[2]Entry!$M$566)</f>
        <v/>
      </c>
      <c r="X563">
        <f>IF([2]Entry!$N$566="","",[2]Entry!$N$566)</f>
        <v/>
      </c>
      <c r="Y563">
        <f>IF([2]Entry!$R$566="","",[2]Entry!$R$566)</f>
        <v/>
      </c>
    </row>
    <row r="564">
      <c r="K564">
        <f>IF([1]Accounts!$D$565="","",[1]Accounts!$A$565)</f>
        <v/>
      </c>
      <c r="L564">
        <f>IF([1]Accounts!$D$565="","",[1]Accounts!$B$565)</f>
        <v/>
      </c>
      <c r="M564">
        <f>IF([1]Accounts!$D$565="","",[1]Accounts!$C$565)</f>
        <v/>
      </c>
      <c r="N564">
        <f>IF([1]Accounts!$D$565="","",[1]Accounts!$D$565)</f>
        <v/>
      </c>
      <c r="P564">
        <f>IF([2]Entry!$C$567="","",[2]Entry!$C$567)</f>
        <v/>
      </c>
      <c r="Q564">
        <f>IF([2]Entry!$D$567="","",[2]Entry!$D$567)</f>
        <v/>
      </c>
      <c r="R564">
        <f>IF([2]Entry!$E$567="","",[2]Entry!$E$567)</f>
        <v/>
      </c>
      <c r="S564">
        <f>IF([2]Entry!$G$567="","",[2]Entry!$G$567)</f>
        <v/>
      </c>
      <c r="T564">
        <f>IF([2]Entry!$J$567="","",[2]Entry!$J$567)</f>
        <v/>
      </c>
      <c r="U564">
        <f>IF([2]Entry!$K$567="","",[2]Entry!$K$567)</f>
        <v/>
      </c>
      <c r="V564">
        <f>IF([2]Entry!$L$567="","",[2]Entry!$L$567)</f>
        <v/>
      </c>
      <c r="W564">
        <f>IF([2]Entry!$M$567="","",[2]Entry!$M$567)</f>
        <v/>
      </c>
      <c r="X564">
        <f>IF([2]Entry!$N$567="","",[2]Entry!$N$567)</f>
        <v/>
      </c>
      <c r="Y564">
        <f>IF([2]Entry!$R$567="","",[2]Entry!$R$567)</f>
        <v/>
      </c>
    </row>
    <row r="565">
      <c r="K565">
        <f>IF([1]Accounts!$D$566="","",[1]Accounts!$A$566)</f>
        <v/>
      </c>
      <c r="L565">
        <f>IF([1]Accounts!$D$566="","",[1]Accounts!$B$566)</f>
        <v/>
      </c>
      <c r="M565">
        <f>IF([1]Accounts!$D$566="","",[1]Accounts!$C$566)</f>
        <v/>
      </c>
      <c r="N565">
        <f>IF([1]Accounts!$D$566="","",[1]Accounts!$D$566)</f>
        <v/>
      </c>
      <c r="P565">
        <f>IF([2]Entry!$C$568="","",[2]Entry!$C$568)</f>
        <v/>
      </c>
      <c r="Q565">
        <f>IF([2]Entry!$D$568="","",[2]Entry!$D$568)</f>
        <v/>
      </c>
      <c r="R565">
        <f>IF([2]Entry!$E$568="","",[2]Entry!$E$568)</f>
        <v/>
      </c>
      <c r="S565">
        <f>IF([2]Entry!$G$568="","",[2]Entry!$G$568)</f>
        <v/>
      </c>
      <c r="T565">
        <f>IF([2]Entry!$J$568="","",[2]Entry!$J$568)</f>
        <v/>
      </c>
      <c r="U565">
        <f>IF([2]Entry!$K$568="","",[2]Entry!$K$568)</f>
        <v/>
      </c>
      <c r="V565">
        <f>IF([2]Entry!$L$568="","",[2]Entry!$L$568)</f>
        <v/>
      </c>
      <c r="W565">
        <f>IF([2]Entry!$M$568="","",[2]Entry!$M$568)</f>
        <v/>
      </c>
      <c r="X565">
        <f>IF([2]Entry!$N$568="","",[2]Entry!$N$568)</f>
        <v/>
      </c>
      <c r="Y565">
        <f>IF([2]Entry!$R$568="","",[2]Entry!$R$568)</f>
        <v/>
      </c>
    </row>
    <row r="566">
      <c r="P566">
        <f>IF([2]Entry!$C$569="","",[2]Entry!$C$569)</f>
        <v/>
      </c>
      <c r="Q566">
        <f>IF([2]Entry!$D$569="","",[2]Entry!$D$569)</f>
        <v/>
      </c>
      <c r="R566">
        <f>IF([2]Entry!$E$569="","",[2]Entry!$E$569)</f>
        <v/>
      </c>
      <c r="S566">
        <f>IF([2]Entry!$G$569="","",[2]Entry!$G$569)</f>
        <v/>
      </c>
      <c r="T566">
        <f>IF([2]Entry!$J$569="","",[2]Entry!$J$569)</f>
        <v/>
      </c>
      <c r="U566">
        <f>IF([2]Entry!$K$569="","",[2]Entry!$K$569)</f>
        <v/>
      </c>
      <c r="V566">
        <f>IF([2]Entry!$L$569="","",[2]Entry!$L$569)</f>
        <v/>
      </c>
      <c r="W566">
        <f>IF([2]Entry!$M$569="","",[2]Entry!$M$569)</f>
        <v/>
      </c>
      <c r="X566">
        <f>IF([2]Entry!$N$569="","",[2]Entry!$N$569)</f>
        <v/>
      </c>
      <c r="Y566">
        <f>IF([2]Entry!$R$569="","",[2]Entry!$R$569)</f>
        <v/>
      </c>
    </row>
    <row r="567">
      <c r="P567">
        <f>IF([2]Entry!$C$570="","",[2]Entry!$C$570)</f>
        <v/>
      </c>
      <c r="Q567">
        <f>IF([2]Entry!$D$570="","",[2]Entry!$D$570)</f>
        <v/>
      </c>
      <c r="R567">
        <f>IF([2]Entry!$E$570="","",[2]Entry!$E$570)</f>
        <v/>
      </c>
      <c r="S567">
        <f>IF([2]Entry!$G$570="","",[2]Entry!$G$570)</f>
        <v/>
      </c>
      <c r="T567">
        <f>IF([2]Entry!$J$570="","",[2]Entry!$J$570)</f>
        <v/>
      </c>
      <c r="U567">
        <f>IF([2]Entry!$K$570="","",[2]Entry!$K$570)</f>
        <v/>
      </c>
      <c r="V567">
        <f>IF([2]Entry!$L$570="","",[2]Entry!$L$570)</f>
        <v/>
      </c>
      <c r="W567">
        <f>IF([2]Entry!$M$570="","",[2]Entry!$M$570)</f>
        <v/>
      </c>
      <c r="X567">
        <f>IF([2]Entry!$N$570="","",[2]Entry!$N$570)</f>
        <v/>
      </c>
      <c r="Y567">
        <f>IF([2]Entry!$R$570="","",[2]Entry!$R$570)</f>
        <v/>
      </c>
    </row>
    <row r="568">
      <c r="P568">
        <f>IF([2]Entry!$C$571="","",[2]Entry!$C$571)</f>
        <v/>
      </c>
      <c r="Q568">
        <f>IF([2]Entry!$D$571="","",[2]Entry!$D$571)</f>
        <v/>
      </c>
      <c r="R568">
        <f>IF([2]Entry!$E$571="","",[2]Entry!$E$571)</f>
        <v/>
      </c>
      <c r="S568">
        <f>IF([2]Entry!$G$571="","",[2]Entry!$G$571)</f>
        <v/>
      </c>
      <c r="T568">
        <f>IF([2]Entry!$J$571="","",[2]Entry!$J$571)</f>
        <v/>
      </c>
      <c r="U568">
        <f>IF([2]Entry!$K$571="","",[2]Entry!$K$571)</f>
        <v/>
      </c>
      <c r="V568">
        <f>IF([2]Entry!$L$571="","",[2]Entry!$L$571)</f>
        <v/>
      </c>
      <c r="W568">
        <f>IF([2]Entry!$M$571="","",[2]Entry!$M$571)</f>
        <v/>
      </c>
      <c r="X568">
        <f>IF([2]Entry!$N$571="","",[2]Entry!$N$571)</f>
        <v/>
      </c>
      <c r="Y568">
        <f>IF([2]Entry!$R$571="","",[2]Entry!$R$571)</f>
        <v/>
      </c>
    </row>
    <row r="569">
      <c r="P569">
        <f>IF([2]Entry!$C$572="","",[2]Entry!$C$572)</f>
        <v/>
      </c>
      <c r="Q569">
        <f>IF([2]Entry!$D$572="","",[2]Entry!$D$572)</f>
        <v/>
      </c>
      <c r="R569">
        <f>IF([2]Entry!$E$572="","",[2]Entry!$E$572)</f>
        <v/>
      </c>
      <c r="S569">
        <f>IF([2]Entry!$G$572="","",[2]Entry!$G$572)</f>
        <v/>
      </c>
      <c r="T569">
        <f>IF([2]Entry!$J$572="","",[2]Entry!$J$572)</f>
        <v/>
      </c>
      <c r="U569">
        <f>IF([2]Entry!$K$572="","",[2]Entry!$K$572)</f>
        <v/>
      </c>
      <c r="V569">
        <f>IF([2]Entry!$L$572="","",[2]Entry!$L$572)</f>
        <v/>
      </c>
      <c r="W569">
        <f>IF([2]Entry!$M$572="","",[2]Entry!$M$572)</f>
        <v/>
      </c>
      <c r="X569">
        <f>IF([2]Entry!$N$572="","",[2]Entry!$N$572)</f>
        <v/>
      </c>
      <c r="Y569">
        <f>IF([2]Entry!$R$572="","",[2]Entry!$R$572)</f>
        <v/>
      </c>
    </row>
    <row r="570">
      <c r="P570">
        <f>IF([2]Entry!$C$573="","",[2]Entry!$C$573)</f>
        <v/>
      </c>
      <c r="Q570">
        <f>IF([2]Entry!$D$573="","",[2]Entry!$D$573)</f>
        <v/>
      </c>
      <c r="R570">
        <f>IF([2]Entry!$E$573="","",[2]Entry!$E$573)</f>
        <v/>
      </c>
      <c r="S570">
        <f>IF([2]Entry!$G$573="","",[2]Entry!$G$573)</f>
        <v/>
      </c>
      <c r="T570">
        <f>IF([2]Entry!$J$573="","",[2]Entry!$J$573)</f>
        <v/>
      </c>
      <c r="U570">
        <f>IF([2]Entry!$K$573="","",[2]Entry!$K$573)</f>
        <v/>
      </c>
      <c r="V570">
        <f>IF([2]Entry!$L$573="","",[2]Entry!$L$573)</f>
        <v/>
      </c>
      <c r="W570">
        <f>IF([2]Entry!$M$573="","",[2]Entry!$M$573)</f>
        <v/>
      </c>
      <c r="X570">
        <f>IF([2]Entry!$N$573="","",[2]Entry!$N$573)</f>
        <v/>
      </c>
      <c r="Y570">
        <f>IF([2]Entry!$R$573="","",[2]Entry!$R$573)</f>
        <v/>
      </c>
    </row>
    <row r="571">
      <c r="P571">
        <f>IF([2]Entry!$C$574="","",[2]Entry!$C$574)</f>
        <v/>
      </c>
      <c r="Q571">
        <f>IF([2]Entry!$D$574="","",[2]Entry!$D$574)</f>
        <v/>
      </c>
      <c r="R571">
        <f>IF([2]Entry!$E$574="","",[2]Entry!$E$574)</f>
        <v/>
      </c>
      <c r="S571">
        <f>IF([2]Entry!$G$574="","",[2]Entry!$G$574)</f>
        <v/>
      </c>
      <c r="T571">
        <f>IF([2]Entry!$J$574="","",[2]Entry!$J$574)</f>
        <v/>
      </c>
      <c r="U571">
        <f>IF([2]Entry!$K$574="","",[2]Entry!$K$574)</f>
        <v/>
      </c>
      <c r="V571">
        <f>IF([2]Entry!$L$574="","",[2]Entry!$L$574)</f>
        <v/>
      </c>
      <c r="W571">
        <f>IF([2]Entry!$M$574="","",[2]Entry!$M$574)</f>
        <v/>
      </c>
      <c r="X571">
        <f>IF([2]Entry!$N$574="","",[2]Entry!$N$574)</f>
        <v/>
      </c>
      <c r="Y571">
        <f>IF([2]Entry!$R$574="","",[2]Entry!$R$574)</f>
        <v/>
      </c>
    </row>
    <row r="572">
      <c r="P572">
        <f>IF([2]Entry!$C$575="","",[2]Entry!$C$575)</f>
        <v/>
      </c>
      <c r="Q572">
        <f>IF([2]Entry!$D$575="","",[2]Entry!$D$575)</f>
        <v/>
      </c>
      <c r="R572">
        <f>IF([2]Entry!$E$575="","",[2]Entry!$E$575)</f>
        <v/>
      </c>
      <c r="S572">
        <f>IF([2]Entry!$G$575="","",[2]Entry!$G$575)</f>
        <v/>
      </c>
      <c r="T572">
        <f>IF([2]Entry!$J$575="","",[2]Entry!$J$575)</f>
        <v/>
      </c>
      <c r="U572">
        <f>IF([2]Entry!$K$575="","",[2]Entry!$K$575)</f>
        <v/>
      </c>
      <c r="V572">
        <f>IF([2]Entry!$L$575="","",[2]Entry!$L$575)</f>
        <v/>
      </c>
      <c r="W572">
        <f>IF([2]Entry!$M$575="","",[2]Entry!$M$575)</f>
        <v/>
      </c>
      <c r="X572">
        <f>IF([2]Entry!$N$575="","",[2]Entry!$N$575)</f>
        <v/>
      </c>
      <c r="Y572">
        <f>IF([2]Entry!$R$575="","",[2]Entry!$R$575)</f>
        <v/>
      </c>
    </row>
    <row r="573">
      <c r="P573">
        <f>IF([2]Entry!$C$576="","",[2]Entry!$C$576)</f>
        <v/>
      </c>
      <c r="Q573">
        <f>IF([2]Entry!$D$576="","",[2]Entry!$D$576)</f>
        <v/>
      </c>
      <c r="R573">
        <f>IF([2]Entry!$E$576="","",[2]Entry!$E$576)</f>
        <v/>
      </c>
      <c r="S573">
        <f>IF([2]Entry!$G$576="","",[2]Entry!$G$576)</f>
        <v/>
      </c>
      <c r="T573">
        <f>IF([2]Entry!$J$576="","",[2]Entry!$J$576)</f>
        <v/>
      </c>
      <c r="U573">
        <f>IF([2]Entry!$K$576="","",[2]Entry!$K$576)</f>
        <v/>
      </c>
      <c r="V573">
        <f>IF([2]Entry!$L$576="","",[2]Entry!$L$576)</f>
        <v/>
      </c>
      <c r="W573">
        <f>IF([2]Entry!$M$576="","",[2]Entry!$M$576)</f>
        <v/>
      </c>
      <c r="X573">
        <f>IF([2]Entry!$N$576="","",[2]Entry!$N$576)</f>
        <v/>
      </c>
      <c r="Y573">
        <f>IF([2]Entry!$R$576="","",[2]Entry!$R$576)</f>
        <v/>
      </c>
    </row>
    <row r="574">
      <c r="P574">
        <f>IF([2]Entry!$C$577="","",[2]Entry!$C$577)</f>
        <v/>
      </c>
      <c r="Q574">
        <f>IF([2]Entry!$D$577="","",[2]Entry!$D$577)</f>
        <v/>
      </c>
      <c r="R574">
        <f>IF([2]Entry!$E$577="","",[2]Entry!$E$577)</f>
        <v/>
      </c>
      <c r="S574">
        <f>IF([2]Entry!$G$577="","",[2]Entry!$G$577)</f>
        <v/>
      </c>
      <c r="T574">
        <f>IF([2]Entry!$J$577="","",[2]Entry!$J$577)</f>
        <v/>
      </c>
      <c r="U574">
        <f>IF([2]Entry!$K$577="","",[2]Entry!$K$577)</f>
        <v/>
      </c>
      <c r="V574">
        <f>IF([2]Entry!$L$577="","",[2]Entry!$L$577)</f>
        <v/>
      </c>
      <c r="W574">
        <f>IF([2]Entry!$M$577="","",[2]Entry!$M$577)</f>
        <v/>
      </c>
      <c r="X574">
        <f>IF([2]Entry!$N$577="","",[2]Entry!$N$577)</f>
        <v/>
      </c>
      <c r="Y574">
        <f>IF([2]Entry!$R$577="","",[2]Entry!$R$577)</f>
        <v/>
      </c>
    </row>
    <row r="575">
      <c r="P575">
        <f>IF([2]Entry!$C$578="","",[2]Entry!$C$578)</f>
        <v/>
      </c>
      <c r="Q575">
        <f>IF([2]Entry!$D$578="","",[2]Entry!$D$578)</f>
        <v/>
      </c>
      <c r="R575">
        <f>IF([2]Entry!$E$578="","",[2]Entry!$E$578)</f>
        <v/>
      </c>
      <c r="S575">
        <f>IF([2]Entry!$G$578="","",[2]Entry!$G$578)</f>
        <v/>
      </c>
      <c r="T575">
        <f>IF([2]Entry!$J$578="","",[2]Entry!$J$578)</f>
        <v/>
      </c>
      <c r="U575">
        <f>IF([2]Entry!$K$578="","",[2]Entry!$K$578)</f>
        <v/>
      </c>
      <c r="V575">
        <f>IF([2]Entry!$L$578="","",[2]Entry!$L$578)</f>
        <v/>
      </c>
      <c r="W575">
        <f>IF([2]Entry!$M$578="","",[2]Entry!$M$578)</f>
        <v/>
      </c>
      <c r="X575">
        <f>IF([2]Entry!$N$578="","",[2]Entry!$N$578)</f>
        <v/>
      </c>
      <c r="Y575">
        <f>IF([2]Entry!$R$578="","",[2]Entry!$R$578)</f>
        <v/>
      </c>
    </row>
    <row r="576">
      <c r="P576">
        <f>IF([2]Entry!$C$579="","",[2]Entry!$C$579)</f>
        <v/>
      </c>
      <c r="Q576">
        <f>IF([2]Entry!$D$579="","",[2]Entry!$D$579)</f>
        <v/>
      </c>
      <c r="R576">
        <f>IF([2]Entry!$E$579="","",[2]Entry!$E$579)</f>
        <v/>
      </c>
      <c r="S576">
        <f>IF([2]Entry!$G$579="","",[2]Entry!$G$579)</f>
        <v/>
      </c>
      <c r="T576">
        <f>IF([2]Entry!$J$579="","",[2]Entry!$J$579)</f>
        <v/>
      </c>
      <c r="U576">
        <f>IF([2]Entry!$K$579="","",[2]Entry!$K$579)</f>
        <v/>
      </c>
      <c r="V576">
        <f>IF([2]Entry!$L$579="","",[2]Entry!$L$579)</f>
        <v/>
      </c>
      <c r="W576">
        <f>IF([2]Entry!$M$579="","",[2]Entry!$M$579)</f>
        <v/>
      </c>
      <c r="X576">
        <f>IF([2]Entry!$N$579="","",[2]Entry!$N$579)</f>
        <v/>
      </c>
      <c r="Y576">
        <f>IF([2]Entry!$R$579="","",[2]Entry!$R$579)</f>
        <v/>
      </c>
    </row>
    <row r="577">
      <c r="P577">
        <f>IF([2]Entry!$C$580="","",[2]Entry!$C$580)</f>
        <v/>
      </c>
      <c r="Q577">
        <f>IF([2]Entry!$D$580="","",[2]Entry!$D$580)</f>
        <v/>
      </c>
      <c r="R577">
        <f>IF([2]Entry!$E$580="","",[2]Entry!$E$580)</f>
        <v/>
      </c>
      <c r="S577">
        <f>IF([2]Entry!$G$580="","",[2]Entry!$G$580)</f>
        <v/>
      </c>
      <c r="T577">
        <f>IF([2]Entry!$J$580="","",[2]Entry!$J$580)</f>
        <v/>
      </c>
      <c r="U577">
        <f>IF([2]Entry!$K$580="","",[2]Entry!$K$580)</f>
        <v/>
      </c>
      <c r="V577">
        <f>IF([2]Entry!$L$580="","",[2]Entry!$L$580)</f>
        <v/>
      </c>
      <c r="W577">
        <f>IF([2]Entry!$M$580="","",[2]Entry!$M$580)</f>
        <v/>
      </c>
      <c r="X577">
        <f>IF([2]Entry!$N$580="","",[2]Entry!$N$580)</f>
        <v/>
      </c>
      <c r="Y577">
        <f>IF([2]Entry!$R$580="","",[2]Entry!$R$580)</f>
        <v/>
      </c>
    </row>
    <row r="578">
      <c r="P578">
        <f>IF([2]Entry!$C$581="","",[2]Entry!$C$581)</f>
        <v/>
      </c>
      <c r="Q578">
        <f>IF([2]Entry!$D$581="","",[2]Entry!$D$581)</f>
        <v/>
      </c>
      <c r="R578">
        <f>IF([2]Entry!$E$581="","",[2]Entry!$E$581)</f>
        <v/>
      </c>
      <c r="S578">
        <f>IF([2]Entry!$G$581="","",[2]Entry!$G$581)</f>
        <v/>
      </c>
      <c r="T578">
        <f>IF([2]Entry!$J$581="","",[2]Entry!$J$581)</f>
        <v/>
      </c>
      <c r="U578">
        <f>IF([2]Entry!$K$581="","",[2]Entry!$K$581)</f>
        <v/>
      </c>
      <c r="V578">
        <f>IF([2]Entry!$L$581="","",[2]Entry!$L$581)</f>
        <v/>
      </c>
      <c r="W578">
        <f>IF([2]Entry!$M$581="","",[2]Entry!$M$581)</f>
        <v/>
      </c>
      <c r="X578">
        <f>IF([2]Entry!$N$581="","",[2]Entry!$N$581)</f>
        <v/>
      </c>
      <c r="Y578">
        <f>IF([2]Entry!$R$581="","",[2]Entry!$R$581)</f>
        <v/>
      </c>
    </row>
    <row r="579">
      <c r="P579">
        <f>IF([2]Entry!$C$582="","",[2]Entry!$C$582)</f>
        <v/>
      </c>
      <c r="Q579">
        <f>IF([2]Entry!$D$582="","",[2]Entry!$D$582)</f>
        <v/>
      </c>
      <c r="R579">
        <f>IF([2]Entry!$E$582="","",[2]Entry!$E$582)</f>
        <v/>
      </c>
      <c r="S579">
        <f>IF([2]Entry!$G$582="","",[2]Entry!$G$582)</f>
        <v/>
      </c>
      <c r="T579">
        <f>IF([2]Entry!$J$582="","",[2]Entry!$J$582)</f>
        <v/>
      </c>
      <c r="U579">
        <f>IF([2]Entry!$K$582="","",[2]Entry!$K$582)</f>
        <v/>
      </c>
      <c r="V579">
        <f>IF([2]Entry!$L$582="","",[2]Entry!$L$582)</f>
        <v/>
      </c>
      <c r="W579">
        <f>IF([2]Entry!$M$582="","",[2]Entry!$M$582)</f>
        <v/>
      </c>
      <c r="X579">
        <f>IF([2]Entry!$N$582="","",[2]Entry!$N$582)</f>
        <v/>
      </c>
      <c r="Y579">
        <f>IF([2]Entry!$R$582="","",[2]Entry!$R$582)</f>
        <v/>
      </c>
    </row>
    <row r="580">
      <c r="P580">
        <f>IF([2]Entry!$C$583="","",[2]Entry!$C$583)</f>
        <v/>
      </c>
      <c r="Q580">
        <f>IF([2]Entry!$D$583="","",[2]Entry!$D$583)</f>
        <v/>
      </c>
      <c r="R580">
        <f>IF([2]Entry!$E$583="","",[2]Entry!$E$583)</f>
        <v/>
      </c>
      <c r="S580">
        <f>IF([2]Entry!$G$583="","",[2]Entry!$G$583)</f>
        <v/>
      </c>
      <c r="T580">
        <f>IF([2]Entry!$J$583="","",[2]Entry!$J$583)</f>
        <v/>
      </c>
      <c r="U580">
        <f>IF([2]Entry!$K$583="","",[2]Entry!$K$583)</f>
        <v/>
      </c>
      <c r="V580">
        <f>IF([2]Entry!$L$583="","",[2]Entry!$L$583)</f>
        <v/>
      </c>
      <c r="W580">
        <f>IF([2]Entry!$M$583="","",[2]Entry!$M$583)</f>
        <v/>
      </c>
      <c r="X580">
        <f>IF([2]Entry!$N$583="","",[2]Entry!$N$583)</f>
        <v/>
      </c>
      <c r="Y580">
        <f>IF([2]Entry!$R$583="","",[2]Entry!$R$583)</f>
        <v/>
      </c>
    </row>
    <row r="581">
      <c r="P581">
        <f>IF([2]Entry!$C$584="","",[2]Entry!$C$584)</f>
        <v/>
      </c>
      <c r="Q581">
        <f>IF([2]Entry!$D$584="","",[2]Entry!$D$584)</f>
        <v/>
      </c>
      <c r="R581">
        <f>IF([2]Entry!$E$584="","",[2]Entry!$E$584)</f>
        <v/>
      </c>
      <c r="S581">
        <f>IF([2]Entry!$G$584="","",[2]Entry!$G$584)</f>
        <v/>
      </c>
      <c r="T581">
        <f>IF([2]Entry!$J$584="","",[2]Entry!$J$584)</f>
        <v/>
      </c>
      <c r="U581">
        <f>IF([2]Entry!$K$584="","",[2]Entry!$K$584)</f>
        <v/>
      </c>
      <c r="V581">
        <f>IF([2]Entry!$L$584="","",[2]Entry!$L$584)</f>
        <v/>
      </c>
      <c r="W581">
        <f>IF([2]Entry!$M$584="","",[2]Entry!$M$584)</f>
        <v/>
      </c>
      <c r="X581">
        <f>IF([2]Entry!$N$584="","",[2]Entry!$N$584)</f>
        <v/>
      </c>
      <c r="Y581">
        <f>IF([2]Entry!$R$584="","",[2]Entry!$R$584)</f>
        <v/>
      </c>
    </row>
    <row r="582">
      <c r="P582">
        <f>IF([2]Entry!$C$585="","",[2]Entry!$C$585)</f>
        <v/>
      </c>
      <c r="Q582">
        <f>IF([2]Entry!$D$585="","",[2]Entry!$D$585)</f>
        <v/>
      </c>
      <c r="R582">
        <f>IF([2]Entry!$E$585="","",[2]Entry!$E$585)</f>
        <v/>
      </c>
      <c r="S582">
        <f>IF([2]Entry!$G$585="","",[2]Entry!$G$585)</f>
        <v/>
      </c>
      <c r="T582">
        <f>IF([2]Entry!$J$585="","",[2]Entry!$J$585)</f>
        <v/>
      </c>
      <c r="U582">
        <f>IF([2]Entry!$K$585="","",[2]Entry!$K$585)</f>
        <v/>
      </c>
      <c r="V582">
        <f>IF([2]Entry!$L$585="","",[2]Entry!$L$585)</f>
        <v/>
      </c>
      <c r="W582">
        <f>IF([2]Entry!$M$585="","",[2]Entry!$M$585)</f>
        <v/>
      </c>
      <c r="X582">
        <f>IF([2]Entry!$N$585="","",[2]Entry!$N$585)</f>
        <v/>
      </c>
      <c r="Y582">
        <f>IF([2]Entry!$R$585="","",[2]Entry!$R$585)</f>
        <v/>
      </c>
    </row>
    <row r="583">
      <c r="P583">
        <f>IF([2]Entry!$C$586="","",[2]Entry!$C$586)</f>
        <v/>
      </c>
      <c r="Q583">
        <f>IF([2]Entry!$D$586="","",[2]Entry!$D$586)</f>
        <v/>
      </c>
      <c r="R583">
        <f>IF([2]Entry!$E$586="","",[2]Entry!$E$586)</f>
        <v/>
      </c>
      <c r="S583">
        <f>IF([2]Entry!$G$586="","",[2]Entry!$G$586)</f>
        <v/>
      </c>
      <c r="T583">
        <f>IF([2]Entry!$J$586="","",[2]Entry!$J$586)</f>
        <v/>
      </c>
      <c r="U583">
        <f>IF([2]Entry!$K$586="","",[2]Entry!$K$586)</f>
        <v/>
      </c>
      <c r="V583">
        <f>IF([2]Entry!$L$586="","",[2]Entry!$L$586)</f>
        <v/>
      </c>
      <c r="W583">
        <f>IF([2]Entry!$M$586="","",[2]Entry!$M$586)</f>
        <v/>
      </c>
      <c r="X583">
        <f>IF([2]Entry!$N$586="","",[2]Entry!$N$586)</f>
        <v/>
      </c>
      <c r="Y583">
        <f>IF([2]Entry!$R$586="","",[2]Entry!$R$586)</f>
        <v/>
      </c>
    </row>
    <row r="584">
      <c r="P584">
        <f>IF([2]Entry!$C$587="","",[2]Entry!$C$587)</f>
        <v/>
      </c>
      <c r="Q584">
        <f>IF([2]Entry!$D$587="","",[2]Entry!$D$587)</f>
        <v/>
      </c>
      <c r="R584">
        <f>IF([2]Entry!$E$587="","",[2]Entry!$E$587)</f>
        <v/>
      </c>
      <c r="S584">
        <f>IF([2]Entry!$G$587="","",[2]Entry!$G$587)</f>
        <v/>
      </c>
      <c r="T584">
        <f>IF([2]Entry!$J$587="","",[2]Entry!$J$587)</f>
        <v/>
      </c>
      <c r="U584">
        <f>IF([2]Entry!$K$587="","",[2]Entry!$K$587)</f>
        <v/>
      </c>
      <c r="V584">
        <f>IF([2]Entry!$L$587="","",[2]Entry!$L$587)</f>
        <v/>
      </c>
      <c r="W584">
        <f>IF([2]Entry!$M$587="","",[2]Entry!$M$587)</f>
        <v/>
      </c>
      <c r="X584">
        <f>IF([2]Entry!$N$587="","",[2]Entry!$N$587)</f>
        <v/>
      </c>
      <c r="Y584">
        <f>IF([2]Entry!$R$587="","",[2]Entry!$R$587)</f>
        <v/>
      </c>
    </row>
    <row r="585">
      <c r="P585">
        <f>IF([2]Entry!$C$588="","",[2]Entry!$C$588)</f>
        <v/>
      </c>
      <c r="Q585">
        <f>IF([2]Entry!$D$588="","",[2]Entry!$D$588)</f>
        <v/>
      </c>
      <c r="R585">
        <f>IF([2]Entry!$E$588="","",[2]Entry!$E$588)</f>
        <v/>
      </c>
      <c r="S585">
        <f>IF([2]Entry!$G$588="","",[2]Entry!$G$588)</f>
        <v/>
      </c>
      <c r="T585">
        <f>IF([2]Entry!$J$588="","",[2]Entry!$J$588)</f>
        <v/>
      </c>
      <c r="U585">
        <f>IF([2]Entry!$K$588="","",[2]Entry!$K$588)</f>
        <v/>
      </c>
      <c r="V585">
        <f>IF([2]Entry!$L$588="","",[2]Entry!$L$588)</f>
        <v/>
      </c>
      <c r="W585">
        <f>IF([2]Entry!$M$588="","",[2]Entry!$M$588)</f>
        <v/>
      </c>
      <c r="X585">
        <f>IF([2]Entry!$N$588="","",[2]Entry!$N$588)</f>
        <v/>
      </c>
      <c r="Y585">
        <f>IF([2]Entry!$R$588="","",[2]Entry!$R$588)</f>
        <v/>
      </c>
    </row>
    <row r="586">
      <c r="P586">
        <f>IF([2]Entry!$C$589="","",[2]Entry!$C$589)</f>
        <v/>
      </c>
      <c r="Q586">
        <f>IF([2]Entry!$D$589="","",[2]Entry!$D$589)</f>
        <v/>
      </c>
      <c r="R586">
        <f>IF([2]Entry!$E$589="","",[2]Entry!$E$589)</f>
        <v/>
      </c>
      <c r="S586">
        <f>IF([2]Entry!$G$589="","",[2]Entry!$G$589)</f>
        <v/>
      </c>
      <c r="T586">
        <f>IF([2]Entry!$J$589="","",[2]Entry!$J$589)</f>
        <v/>
      </c>
      <c r="U586">
        <f>IF([2]Entry!$K$589="","",[2]Entry!$K$589)</f>
        <v/>
      </c>
      <c r="V586">
        <f>IF([2]Entry!$L$589="","",[2]Entry!$L$589)</f>
        <v/>
      </c>
      <c r="W586">
        <f>IF([2]Entry!$M$589="","",[2]Entry!$M$589)</f>
        <v/>
      </c>
      <c r="X586">
        <f>IF([2]Entry!$N$589="","",[2]Entry!$N$589)</f>
        <v/>
      </c>
      <c r="Y586">
        <f>IF([2]Entry!$R$589="","",[2]Entry!$R$589)</f>
        <v/>
      </c>
    </row>
    <row r="587">
      <c r="P587">
        <f>IF([2]Entry!$C$590="","",[2]Entry!$C$590)</f>
        <v/>
      </c>
      <c r="Q587">
        <f>IF([2]Entry!$D$590="","",[2]Entry!$D$590)</f>
        <v/>
      </c>
      <c r="R587">
        <f>IF([2]Entry!$E$590="","",[2]Entry!$E$590)</f>
        <v/>
      </c>
      <c r="S587">
        <f>IF([2]Entry!$G$590="","",[2]Entry!$G$590)</f>
        <v/>
      </c>
      <c r="T587">
        <f>IF([2]Entry!$J$590="","",[2]Entry!$J$590)</f>
        <v/>
      </c>
      <c r="U587">
        <f>IF([2]Entry!$K$590="","",[2]Entry!$K$590)</f>
        <v/>
      </c>
      <c r="V587">
        <f>IF([2]Entry!$L$590="","",[2]Entry!$L$590)</f>
        <v/>
      </c>
      <c r="W587">
        <f>IF([2]Entry!$M$590="","",[2]Entry!$M$590)</f>
        <v/>
      </c>
      <c r="X587">
        <f>IF([2]Entry!$N$590="","",[2]Entry!$N$590)</f>
        <v/>
      </c>
      <c r="Y587">
        <f>IF([2]Entry!$R$590="","",[2]Entry!$R$590)</f>
        <v/>
      </c>
    </row>
    <row r="588">
      <c r="P588">
        <f>IF([2]Entry!$C$591="","",[2]Entry!$C$591)</f>
        <v/>
      </c>
      <c r="Q588">
        <f>IF([2]Entry!$D$591="","",[2]Entry!$D$591)</f>
        <v/>
      </c>
      <c r="R588">
        <f>IF([2]Entry!$E$591="","",[2]Entry!$E$591)</f>
        <v/>
      </c>
      <c r="S588">
        <f>IF([2]Entry!$G$591="","",[2]Entry!$G$591)</f>
        <v/>
      </c>
      <c r="T588">
        <f>IF([2]Entry!$J$591="","",[2]Entry!$J$591)</f>
        <v/>
      </c>
      <c r="U588">
        <f>IF([2]Entry!$K$591="","",[2]Entry!$K$591)</f>
        <v/>
      </c>
      <c r="V588">
        <f>IF([2]Entry!$L$591="","",[2]Entry!$L$591)</f>
        <v/>
      </c>
      <c r="W588">
        <f>IF([2]Entry!$M$591="","",[2]Entry!$M$591)</f>
        <v/>
      </c>
      <c r="X588">
        <f>IF([2]Entry!$N$591="","",[2]Entry!$N$591)</f>
        <v/>
      </c>
      <c r="Y588">
        <f>IF([2]Entry!$R$591="","",[2]Entry!$R$591)</f>
        <v/>
      </c>
    </row>
    <row r="589">
      <c r="P589">
        <f>IF([2]Entry!$C$592="","",[2]Entry!$C$592)</f>
        <v/>
      </c>
      <c r="Q589">
        <f>IF([2]Entry!$D$592="","",[2]Entry!$D$592)</f>
        <v/>
      </c>
      <c r="R589">
        <f>IF([2]Entry!$E$592="","",[2]Entry!$E$592)</f>
        <v/>
      </c>
      <c r="S589">
        <f>IF([2]Entry!$G$592="","",[2]Entry!$G$592)</f>
        <v/>
      </c>
      <c r="T589">
        <f>IF([2]Entry!$J$592="","",[2]Entry!$J$592)</f>
        <v/>
      </c>
      <c r="U589">
        <f>IF([2]Entry!$K$592="","",[2]Entry!$K$592)</f>
        <v/>
      </c>
      <c r="V589">
        <f>IF([2]Entry!$L$592="","",[2]Entry!$L$592)</f>
        <v/>
      </c>
      <c r="W589">
        <f>IF([2]Entry!$M$592="","",[2]Entry!$M$592)</f>
        <v/>
      </c>
      <c r="X589">
        <f>IF([2]Entry!$N$592="","",[2]Entry!$N$592)</f>
        <v/>
      </c>
      <c r="Y589">
        <f>IF([2]Entry!$R$592="","",[2]Entry!$R$592)</f>
        <v/>
      </c>
    </row>
    <row r="590">
      <c r="P590">
        <f>IF([2]Entry!$C$593="","",[2]Entry!$C$593)</f>
        <v/>
      </c>
      <c r="Q590">
        <f>IF([2]Entry!$D$593="","",[2]Entry!$D$593)</f>
        <v/>
      </c>
      <c r="R590">
        <f>IF([2]Entry!$E$593="","",[2]Entry!$E$593)</f>
        <v/>
      </c>
      <c r="S590">
        <f>IF([2]Entry!$G$593="","",[2]Entry!$G$593)</f>
        <v/>
      </c>
      <c r="T590">
        <f>IF([2]Entry!$J$593="","",[2]Entry!$J$593)</f>
        <v/>
      </c>
      <c r="U590">
        <f>IF([2]Entry!$K$593="","",[2]Entry!$K$593)</f>
        <v/>
      </c>
      <c r="V590">
        <f>IF([2]Entry!$L$593="","",[2]Entry!$L$593)</f>
        <v/>
      </c>
      <c r="W590">
        <f>IF([2]Entry!$M$593="","",[2]Entry!$M$593)</f>
        <v/>
      </c>
      <c r="X590">
        <f>IF([2]Entry!$N$593="","",[2]Entry!$N$593)</f>
        <v/>
      </c>
      <c r="Y590">
        <f>IF([2]Entry!$R$593="","",[2]Entry!$R$593)</f>
        <v/>
      </c>
    </row>
    <row r="591">
      <c r="P591">
        <f>IF([2]Entry!$C$594="","",[2]Entry!$C$594)</f>
        <v/>
      </c>
      <c r="Q591">
        <f>IF([2]Entry!$D$594="","",[2]Entry!$D$594)</f>
        <v/>
      </c>
      <c r="R591">
        <f>IF([2]Entry!$E$594="","",[2]Entry!$E$594)</f>
        <v/>
      </c>
      <c r="S591">
        <f>IF([2]Entry!$G$594="","",[2]Entry!$G$594)</f>
        <v/>
      </c>
      <c r="T591">
        <f>IF([2]Entry!$J$594="","",[2]Entry!$J$594)</f>
        <v/>
      </c>
      <c r="U591">
        <f>IF([2]Entry!$K$594="","",[2]Entry!$K$594)</f>
        <v/>
      </c>
      <c r="V591">
        <f>IF([2]Entry!$L$594="","",[2]Entry!$L$594)</f>
        <v/>
      </c>
      <c r="W591">
        <f>IF([2]Entry!$M$594="","",[2]Entry!$M$594)</f>
        <v/>
      </c>
      <c r="X591">
        <f>IF([2]Entry!$N$594="","",[2]Entry!$N$594)</f>
        <v/>
      </c>
      <c r="Y591">
        <f>IF([2]Entry!$R$594="","",[2]Entry!$R$594)</f>
        <v/>
      </c>
    </row>
    <row r="592">
      <c r="P592">
        <f>IF([2]Entry!$C$595="","",[2]Entry!$C$595)</f>
        <v/>
      </c>
      <c r="Q592">
        <f>IF([2]Entry!$D$595="","",[2]Entry!$D$595)</f>
        <v/>
      </c>
      <c r="R592">
        <f>IF([2]Entry!$E$595="","",[2]Entry!$E$595)</f>
        <v/>
      </c>
      <c r="S592">
        <f>IF([2]Entry!$G$595="","",[2]Entry!$G$595)</f>
        <v/>
      </c>
      <c r="T592">
        <f>IF([2]Entry!$J$595="","",[2]Entry!$J$595)</f>
        <v/>
      </c>
      <c r="U592">
        <f>IF([2]Entry!$K$595="","",[2]Entry!$K$595)</f>
        <v/>
      </c>
      <c r="V592">
        <f>IF([2]Entry!$L$595="","",[2]Entry!$L$595)</f>
        <v/>
      </c>
      <c r="W592">
        <f>IF([2]Entry!$M$595="","",[2]Entry!$M$595)</f>
        <v/>
      </c>
      <c r="X592">
        <f>IF([2]Entry!$N$595="","",[2]Entry!$N$595)</f>
        <v/>
      </c>
      <c r="Y592">
        <f>IF([2]Entry!$R$595="","",[2]Entry!$R$595)</f>
        <v/>
      </c>
    </row>
    <row r="593">
      <c r="P593">
        <f>IF([2]Entry!$C$596="","",[2]Entry!$C$596)</f>
        <v/>
      </c>
      <c r="Q593">
        <f>IF([2]Entry!$D$596="","",[2]Entry!$D$596)</f>
        <v/>
      </c>
      <c r="R593">
        <f>IF([2]Entry!$E$596="","",[2]Entry!$E$596)</f>
        <v/>
      </c>
      <c r="S593">
        <f>IF([2]Entry!$G$596="","",[2]Entry!$G$596)</f>
        <v/>
      </c>
      <c r="T593">
        <f>IF([2]Entry!$J$596="","",[2]Entry!$J$596)</f>
        <v/>
      </c>
      <c r="U593">
        <f>IF([2]Entry!$K$596="","",[2]Entry!$K$596)</f>
        <v/>
      </c>
      <c r="V593">
        <f>IF([2]Entry!$L$596="","",[2]Entry!$L$596)</f>
        <v/>
      </c>
      <c r="W593">
        <f>IF([2]Entry!$M$596="","",[2]Entry!$M$596)</f>
        <v/>
      </c>
      <c r="X593">
        <f>IF([2]Entry!$N$596="","",[2]Entry!$N$596)</f>
        <v/>
      </c>
      <c r="Y593">
        <f>IF([2]Entry!$R$596="","",[2]Entry!$R$596)</f>
        <v/>
      </c>
    </row>
    <row r="594">
      <c r="P594">
        <f>IF([2]Entry!$C$597="","",[2]Entry!$C$597)</f>
        <v/>
      </c>
      <c r="Q594">
        <f>IF([2]Entry!$D$597="","",[2]Entry!$D$597)</f>
        <v/>
      </c>
      <c r="R594">
        <f>IF([2]Entry!$E$597="","",[2]Entry!$E$597)</f>
        <v/>
      </c>
      <c r="S594">
        <f>IF([2]Entry!$G$597="","",[2]Entry!$G$597)</f>
        <v/>
      </c>
      <c r="T594">
        <f>IF([2]Entry!$J$597="","",[2]Entry!$J$597)</f>
        <v/>
      </c>
      <c r="U594">
        <f>IF([2]Entry!$K$597="","",[2]Entry!$K$597)</f>
        <v/>
      </c>
      <c r="V594">
        <f>IF([2]Entry!$L$597="","",[2]Entry!$L$597)</f>
        <v/>
      </c>
      <c r="W594">
        <f>IF([2]Entry!$M$597="","",[2]Entry!$M$597)</f>
        <v/>
      </c>
      <c r="X594">
        <f>IF([2]Entry!$N$597="","",[2]Entry!$N$597)</f>
        <v/>
      </c>
      <c r="Y594">
        <f>IF([2]Entry!$R$597="","",[2]Entry!$R$597)</f>
        <v/>
      </c>
    </row>
    <row r="595">
      <c r="P595">
        <f>IF([2]Entry!$C$598="","",[2]Entry!$C$598)</f>
        <v/>
      </c>
      <c r="Q595">
        <f>IF([2]Entry!$D$598="","",[2]Entry!$D$598)</f>
        <v/>
      </c>
      <c r="R595">
        <f>IF([2]Entry!$E$598="","",[2]Entry!$E$598)</f>
        <v/>
      </c>
      <c r="S595">
        <f>IF([2]Entry!$G$598="","",[2]Entry!$G$598)</f>
        <v/>
      </c>
      <c r="T595">
        <f>IF([2]Entry!$J$598="","",[2]Entry!$J$598)</f>
        <v/>
      </c>
      <c r="U595">
        <f>IF([2]Entry!$K$598="","",[2]Entry!$K$598)</f>
        <v/>
      </c>
      <c r="V595">
        <f>IF([2]Entry!$L$598="","",[2]Entry!$L$598)</f>
        <v/>
      </c>
      <c r="W595">
        <f>IF([2]Entry!$M$598="","",[2]Entry!$M$598)</f>
        <v/>
      </c>
      <c r="X595">
        <f>IF([2]Entry!$N$598="","",[2]Entry!$N$598)</f>
        <v/>
      </c>
      <c r="Y595">
        <f>IF([2]Entry!$R$598="","",[2]Entry!$R$598)</f>
        <v/>
      </c>
    </row>
    <row r="596">
      <c r="P596">
        <f>IF([2]Entry!$C$599="","",[2]Entry!$C$599)</f>
        <v/>
      </c>
      <c r="Q596">
        <f>IF([2]Entry!$D$599="","",[2]Entry!$D$599)</f>
        <v/>
      </c>
      <c r="R596">
        <f>IF([2]Entry!$E$599="","",[2]Entry!$E$599)</f>
        <v/>
      </c>
      <c r="S596">
        <f>IF([2]Entry!$G$599="","",[2]Entry!$G$599)</f>
        <v/>
      </c>
      <c r="T596">
        <f>IF([2]Entry!$J$599="","",[2]Entry!$J$599)</f>
        <v/>
      </c>
      <c r="U596">
        <f>IF([2]Entry!$K$599="","",[2]Entry!$K$599)</f>
        <v/>
      </c>
      <c r="V596">
        <f>IF([2]Entry!$L$599="","",[2]Entry!$L$599)</f>
        <v/>
      </c>
      <c r="W596">
        <f>IF([2]Entry!$M$599="","",[2]Entry!$M$599)</f>
        <v/>
      </c>
      <c r="X596">
        <f>IF([2]Entry!$N$599="","",[2]Entry!$N$599)</f>
        <v/>
      </c>
      <c r="Y596">
        <f>IF([2]Entry!$R$599="","",[2]Entry!$R$599)</f>
        <v/>
      </c>
    </row>
    <row r="597">
      <c r="P597">
        <f>IF([2]Entry!$C$600="","",[2]Entry!$C$600)</f>
        <v/>
      </c>
      <c r="Q597">
        <f>IF([2]Entry!$D$600="","",[2]Entry!$D$600)</f>
        <v/>
      </c>
      <c r="R597">
        <f>IF([2]Entry!$E$600="","",[2]Entry!$E$600)</f>
        <v/>
      </c>
      <c r="S597">
        <f>IF([2]Entry!$G$600="","",[2]Entry!$G$600)</f>
        <v/>
      </c>
      <c r="T597">
        <f>IF([2]Entry!$J$600="","",[2]Entry!$J$600)</f>
        <v/>
      </c>
      <c r="U597">
        <f>IF([2]Entry!$K$600="","",[2]Entry!$K$600)</f>
        <v/>
      </c>
      <c r="V597">
        <f>IF([2]Entry!$L$600="","",[2]Entry!$L$600)</f>
        <v/>
      </c>
      <c r="W597">
        <f>IF([2]Entry!$M$600="","",[2]Entry!$M$600)</f>
        <v/>
      </c>
      <c r="X597">
        <f>IF([2]Entry!$N$600="","",[2]Entry!$N$600)</f>
        <v/>
      </c>
      <c r="Y597">
        <f>IF([2]Entry!$R$600="","",[2]Entry!$R$600)</f>
        <v/>
      </c>
    </row>
    <row r="598">
      <c r="P598">
        <f>IF([2]Entry!$C$601="","",[2]Entry!$C$601)</f>
        <v/>
      </c>
      <c r="Q598">
        <f>IF([2]Entry!$D$601="","",[2]Entry!$D$601)</f>
        <v/>
      </c>
      <c r="R598">
        <f>IF([2]Entry!$E$601="","",[2]Entry!$E$601)</f>
        <v/>
      </c>
      <c r="S598">
        <f>IF([2]Entry!$G$601="","",[2]Entry!$G$601)</f>
        <v/>
      </c>
      <c r="T598">
        <f>IF([2]Entry!$J$601="","",[2]Entry!$J$601)</f>
        <v/>
      </c>
      <c r="U598">
        <f>IF([2]Entry!$K$601="","",[2]Entry!$K$601)</f>
        <v/>
      </c>
      <c r="V598">
        <f>IF([2]Entry!$L$601="","",[2]Entry!$L$601)</f>
        <v/>
      </c>
      <c r="W598">
        <f>IF([2]Entry!$M$601="","",[2]Entry!$M$601)</f>
        <v/>
      </c>
      <c r="X598">
        <f>IF([2]Entry!$N$601="","",[2]Entry!$N$601)</f>
        <v/>
      </c>
      <c r="Y598">
        <f>IF([2]Entry!$R$601="","",[2]Entry!$R$601)</f>
        <v/>
      </c>
    </row>
    <row r="599">
      <c r="P599">
        <f>IF([2]Entry!$C$602="","",[2]Entry!$C$602)</f>
        <v/>
      </c>
      <c r="Q599">
        <f>IF([2]Entry!$D$602="","",[2]Entry!$D$602)</f>
        <v/>
      </c>
      <c r="R599">
        <f>IF([2]Entry!$E$602="","",[2]Entry!$E$602)</f>
        <v/>
      </c>
      <c r="S599">
        <f>IF([2]Entry!$G$602="","",[2]Entry!$G$602)</f>
        <v/>
      </c>
      <c r="T599">
        <f>IF([2]Entry!$J$602="","",[2]Entry!$J$602)</f>
        <v/>
      </c>
      <c r="U599">
        <f>IF([2]Entry!$K$602="","",[2]Entry!$K$602)</f>
        <v/>
      </c>
      <c r="V599">
        <f>IF([2]Entry!$L$602="","",[2]Entry!$L$602)</f>
        <v/>
      </c>
      <c r="W599">
        <f>IF([2]Entry!$M$602="","",[2]Entry!$M$602)</f>
        <v/>
      </c>
      <c r="X599">
        <f>IF([2]Entry!$N$602="","",[2]Entry!$N$602)</f>
        <v/>
      </c>
      <c r="Y599">
        <f>IF([2]Entry!$R$602="","",[2]Entry!$R$602)</f>
        <v/>
      </c>
    </row>
    <row r="600">
      <c r="P600">
        <f>IF([2]Entry!$C$603="","",[2]Entry!$C$603)</f>
        <v/>
      </c>
      <c r="Q600">
        <f>IF([2]Entry!$D$603="","",[2]Entry!$D$603)</f>
        <v/>
      </c>
      <c r="R600">
        <f>IF([2]Entry!$E$603="","",[2]Entry!$E$603)</f>
        <v/>
      </c>
      <c r="S600">
        <f>IF([2]Entry!$G$603="","",[2]Entry!$G$603)</f>
        <v/>
      </c>
      <c r="T600">
        <f>IF([2]Entry!$J$603="","",[2]Entry!$J$603)</f>
        <v/>
      </c>
      <c r="U600">
        <f>IF([2]Entry!$K$603="","",[2]Entry!$K$603)</f>
        <v/>
      </c>
      <c r="V600">
        <f>IF([2]Entry!$L$603="","",[2]Entry!$L$603)</f>
        <v/>
      </c>
      <c r="W600">
        <f>IF([2]Entry!$M$603="","",[2]Entry!$M$603)</f>
        <v/>
      </c>
      <c r="X600">
        <f>IF([2]Entry!$N$603="","",[2]Entry!$N$603)</f>
        <v/>
      </c>
      <c r="Y600">
        <f>IF([2]Entry!$R$603="","",[2]Entry!$R$603)</f>
        <v/>
      </c>
    </row>
    <row r="601">
      <c r="P601">
        <f>IF([2]Entry!$C$604="","",[2]Entry!$C$604)</f>
        <v/>
      </c>
      <c r="Q601">
        <f>IF([2]Entry!$D$604="","",[2]Entry!$D$604)</f>
        <v/>
      </c>
      <c r="R601">
        <f>IF([2]Entry!$E$604="","",[2]Entry!$E$604)</f>
        <v/>
      </c>
      <c r="S601">
        <f>IF([2]Entry!$G$604="","",[2]Entry!$G$604)</f>
        <v/>
      </c>
      <c r="T601">
        <f>IF([2]Entry!$J$604="","",[2]Entry!$J$604)</f>
        <v/>
      </c>
      <c r="U601">
        <f>IF([2]Entry!$K$604="","",[2]Entry!$K$604)</f>
        <v/>
      </c>
      <c r="V601">
        <f>IF([2]Entry!$L$604="","",[2]Entry!$L$604)</f>
        <v/>
      </c>
      <c r="W601">
        <f>IF([2]Entry!$M$604="","",[2]Entry!$M$604)</f>
        <v/>
      </c>
      <c r="X601">
        <f>IF([2]Entry!$N$604="","",[2]Entry!$N$604)</f>
        <v/>
      </c>
      <c r="Y601">
        <f>IF([2]Entry!$R$604="","",[2]Entry!$R$604)</f>
        <v/>
      </c>
    </row>
    <row r="602">
      <c r="P602">
        <f>IF([2]Entry!$C$605="","",[2]Entry!$C$605)</f>
        <v/>
      </c>
      <c r="Q602">
        <f>IF([2]Entry!$D$605="","",[2]Entry!$D$605)</f>
        <v/>
      </c>
      <c r="R602">
        <f>IF([2]Entry!$E$605="","",[2]Entry!$E$605)</f>
        <v/>
      </c>
      <c r="S602">
        <f>IF([2]Entry!$G$605="","",[2]Entry!$G$605)</f>
        <v/>
      </c>
      <c r="T602">
        <f>IF([2]Entry!$J$605="","",[2]Entry!$J$605)</f>
        <v/>
      </c>
      <c r="U602">
        <f>IF([2]Entry!$K$605="","",[2]Entry!$K$605)</f>
        <v/>
      </c>
      <c r="V602">
        <f>IF([2]Entry!$L$605="","",[2]Entry!$L$605)</f>
        <v/>
      </c>
      <c r="W602">
        <f>IF([2]Entry!$M$605="","",[2]Entry!$M$605)</f>
        <v/>
      </c>
      <c r="X602">
        <f>IF([2]Entry!$N$605="","",[2]Entry!$N$605)</f>
        <v/>
      </c>
      <c r="Y602">
        <f>IF([2]Entry!$R$605="","",[2]Entry!$R$605)</f>
        <v/>
      </c>
    </row>
    <row r="603">
      <c r="P603">
        <f>IF([2]Entry!$C$606="","",[2]Entry!$C$606)</f>
        <v/>
      </c>
      <c r="Q603">
        <f>IF([2]Entry!$D$606="","",[2]Entry!$D$606)</f>
        <v/>
      </c>
      <c r="R603">
        <f>IF([2]Entry!$E$606="","",[2]Entry!$E$606)</f>
        <v/>
      </c>
      <c r="S603">
        <f>IF([2]Entry!$G$606="","",[2]Entry!$G$606)</f>
        <v/>
      </c>
      <c r="T603">
        <f>IF([2]Entry!$J$606="","",[2]Entry!$J$606)</f>
        <v/>
      </c>
      <c r="U603">
        <f>IF([2]Entry!$K$606="","",[2]Entry!$K$606)</f>
        <v/>
      </c>
      <c r="V603">
        <f>IF([2]Entry!$L$606="","",[2]Entry!$L$606)</f>
        <v/>
      </c>
      <c r="W603">
        <f>IF([2]Entry!$M$606="","",[2]Entry!$M$606)</f>
        <v/>
      </c>
      <c r="X603">
        <f>IF([2]Entry!$N$606="","",[2]Entry!$N$606)</f>
        <v/>
      </c>
      <c r="Y603">
        <f>IF([2]Entry!$R$606="","",[2]Entry!$R$606)</f>
        <v/>
      </c>
    </row>
    <row r="604">
      <c r="P604">
        <f>IF([2]Entry!$C$607="","",[2]Entry!$C$607)</f>
        <v/>
      </c>
      <c r="Q604">
        <f>IF([2]Entry!$D$607="","",[2]Entry!$D$607)</f>
        <v/>
      </c>
      <c r="R604">
        <f>IF([2]Entry!$E$607="","",[2]Entry!$E$607)</f>
        <v/>
      </c>
      <c r="S604">
        <f>IF([2]Entry!$G$607="","",[2]Entry!$G$607)</f>
        <v/>
      </c>
      <c r="T604">
        <f>IF([2]Entry!$J$607="","",[2]Entry!$J$607)</f>
        <v/>
      </c>
      <c r="U604">
        <f>IF([2]Entry!$K$607="","",[2]Entry!$K$607)</f>
        <v/>
      </c>
      <c r="V604">
        <f>IF([2]Entry!$L$607="","",[2]Entry!$L$607)</f>
        <v/>
      </c>
      <c r="W604">
        <f>IF([2]Entry!$M$607="","",[2]Entry!$M$607)</f>
        <v/>
      </c>
      <c r="X604">
        <f>IF([2]Entry!$N$607="","",[2]Entry!$N$607)</f>
        <v/>
      </c>
      <c r="Y604">
        <f>IF([2]Entry!$R$607="","",[2]Entry!$R$607)</f>
        <v/>
      </c>
    </row>
    <row r="605">
      <c r="P605">
        <f>IF([2]Entry!$C$608="","",[2]Entry!$C$608)</f>
        <v/>
      </c>
      <c r="Q605">
        <f>IF([2]Entry!$D$608="","",[2]Entry!$D$608)</f>
        <v/>
      </c>
      <c r="R605">
        <f>IF([2]Entry!$E$608="","",[2]Entry!$E$608)</f>
        <v/>
      </c>
      <c r="S605">
        <f>IF([2]Entry!$G$608="","",[2]Entry!$G$608)</f>
        <v/>
      </c>
      <c r="T605">
        <f>IF([2]Entry!$J$608="","",[2]Entry!$J$608)</f>
        <v/>
      </c>
      <c r="U605">
        <f>IF([2]Entry!$K$608="","",[2]Entry!$K$608)</f>
        <v/>
      </c>
      <c r="V605">
        <f>IF([2]Entry!$L$608="","",[2]Entry!$L$608)</f>
        <v/>
      </c>
      <c r="W605">
        <f>IF([2]Entry!$M$608="","",[2]Entry!$M$608)</f>
        <v/>
      </c>
      <c r="X605">
        <f>IF([2]Entry!$N$608="","",[2]Entry!$N$608)</f>
        <v/>
      </c>
      <c r="Y605">
        <f>IF([2]Entry!$R$608="","",[2]Entry!$R$608)</f>
        <v/>
      </c>
    </row>
    <row r="606">
      <c r="P606">
        <f>IF([2]Entry!$C$609="","",[2]Entry!$C$609)</f>
        <v/>
      </c>
      <c r="Q606">
        <f>IF([2]Entry!$D$609="","",[2]Entry!$D$609)</f>
        <v/>
      </c>
      <c r="R606">
        <f>IF([2]Entry!$E$609="","",[2]Entry!$E$609)</f>
        <v/>
      </c>
      <c r="S606">
        <f>IF([2]Entry!$G$609="","",[2]Entry!$G$609)</f>
        <v/>
      </c>
      <c r="T606">
        <f>IF([2]Entry!$J$609="","",[2]Entry!$J$609)</f>
        <v/>
      </c>
      <c r="U606">
        <f>IF([2]Entry!$K$609="","",[2]Entry!$K$609)</f>
        <v/>
      </c>
      <c r="V606">
        <f>IF([2]Entry!$L$609="","",[2]Entry!$L$609)</f>
        <v/>
      </c>
      <c r="W606">
        <f>IF([2]Entry!$M$609="","",[2]Entry!$M$609)</f>
        <v/>
      </c>
      <c r="X606">
        <f>IF([2]Entry!$N$609="","",[2]Entry!$N$609)</f>
        <v/>
      </c>
      <c r="Y606">
        <f>IF([2]Entry!$R$609="","",[2]Entry!$R$609)</f>
        <v/>
      </c>
    </row>
    <row r="607">
      <c r="P607">
        <f>IF([2]Entry!$C$610="","",[2]Entry!$C$610)</f>
        <v/>
      </c>
      <c r="Q607">
        <f>IF([2]Entry!$D$610="","",[2]Entry!$D$610)</f>
        <v/>
      </c>
      <c r="R607">
        <f>IF([2]Entry!$E$610="","",[2]Entry!$E$610)</f>
        <v/>
      </c>
      <c r="S607">
        <f>IF([2]Entry!$G$610="","",[2]Entry!$G$610)</f>
        <v/>
      </c>
      <c r="T607">
        <f>IF([2]Entry!$J$610="","",[2]Entry!$J$610)</f>
        <v/>
      </c>
      <c r="U607">
        <f>IF([2]Entry!$K$610="","",[2]Entry!$K$610)</f>
        <v/>
      </c>
      <c r="V607">
        <f>IF([2]Entry!$L$610="","",[2]Entry!$L$610)</f>
        <v/>
      </c>
      <c r="W607">
        <f>IF([2]Entry!$M$610="","",[2]Entry!$M$610)</f>
        <v/>
      </c>
      <c r="X607">
        <f>IF([2]Entry!$N$610="","",[2]Entry!$N$610)</f>
        <v/>
      </c>
      <c r="Y607">
        <f>IF([2]Entry!$R$610="","",[2]Entry!$R$610)</f>
        <v/>
      </c>
    </row>
    <row r="608">
      <c r="P608">
        <f>IF([2]Entry!$C$611="","",[2]Entry!$C$611)</f>
        <v/>
      </c>
      <c r="Q608">
        <f>IF([2]Entry!$D$611="","",[2]Entry!$D$611)</f>
        <v/>
      </c>
      <c r="R608">
        <f>IF([2]Entry!$E$611="","",[2]Entry!$E$611)</f>
        <v/>
      </c>
      <c r="S608">
        <f>IF([2]Entry!$G$611="","",[2]Entry!$G$611)</f>
        <v/>
      </c>
      <c r="T608">
        <f>IF([2]Entry!$J$611="","",[2]Entry!$J$611)</f>
        <v/>
      </c>
      <c r="U608">
        <f>IF([2]Entry!$K$611="","",[2]Entry!$K$611)</f>
        <v/>
      </c>
      <c r="V608">
        <f>IF([2]Entry!$L$611="","",[2]Entry!$L$611)</f>
        <v/>
      </c>
      <c r="W608">
        <f>IF([2]Entry!$M$611="","",[2]Entry!$M$611)</f>
        <v/>
      </c>
      <c r="X608">
        <f>IF([2]Entry!$N$611="","",[2]Entry!$N$611)</f>
        <v/>
      </c>
      <c r="Y608">
        <f>IF([2]Entry!$R$611="","",[2]Entry!$R$611)</f>
        <v/>
      </c>
    </row>
    <row r="609">
      <c r="P609">
        <f>IF([2]Entry!$C$612="","",[2]Entry!$C$612)</f>
        <v/>
      </c>
      <c r="Q609">
        <f>IF([2]Entry!$D$612="","",[2]Entry!$D$612)</f>
        <v/>
      </c>
      <c r="R609">
        <f>IF([2]Entry!$E$612="","",[2]Entry!$E$612)</f>
        <v/>
      </c>
      <c r="S609">
        <f>IF([2]Entry!$G$612="","",[2]Entry!$G$612)</f>
        <v/>
      </c>
      <c r="T609">
        <f>IF([2]Entry!$J$612="","",[2]Entry!$J$612)</f>
        <v/>
      </c>
      <c r="U609">
        <f>IF([2]Entry!$K$612="","",[2]Entry!$K$612)</f>
        <v/>
      </c>
      <c r="V609">
        <f>IF([2]Entry!$L$612="","",[2]Entry!$L$612)</f>
        <v/>
      </c>
      <c r="W609">
        <f>IF([2]Entry!$M$612="","",[2]Entry!$M$612)</f>
        <v/>
      </c>
      <c r="X609">
        <f>IF([2]Entry!$N$612="","",[2]Entry!$N$612)</f>
        <v/>
      </c>
      <c r="Y609">
        <f>IF([2]Entry!$R$612="","",[2]Entry!$R$612)</f>
        <v/>
      </c>
    </row>
    <row r="610">
      <c r="P610">
        <f>IF([2]Entry!$C$613="","",[2]Entry!$C$613)</f>
        <v/>
      </c>
      <c r="Q610">
        <f>IF([2]Entry!$D$613="","",[2]Entry!$D$613)</f>
        <v/>
      </c>
      <c r="R610">
        <f>IF([2]Entry!$E$613="","",[2]Entry!$E$613)</f>
        <v/>
      </c>
      <c r="S610">
        <f>IF([2]Entry!$G$613="","",[2]Entry!$G$613)</f>
        <v/>
      </c>
      <c r="T610">
        <f>IF([2]Entry!$J$613="","",[2]Entry!$J$613)</f>
        <v/>
      </c>
      <c r="U610">
        <f>IF([2]Entry!$K$613="","",[2]Entry!$K$613)</f>
        <v/>
      </c>
      <c r="V610">
        <f>IF([2]Entry!$L$613="","",[2]Entry!$L$613)</f>
        <v/>
      </c>
      <c r="W610">
        <f>IF([2]Entry!$M$613="","",[2]Entry!$M$613)</f>
        <v/>
      </c>
      <c r="X610">
        <f>IF([2]Entry!$N$613="","",[2]Entry!$N$613)</f>
        <v/>
      </c>
      <c r="Y610">
        <f>IF([2]Entry!$R$613="","",[2]Entry!$R$613)</f>
        <v/>
      </c>
    </row>
    <row r="611">
      <c r="P611">
        <f>IF([2]Entry!$C$614="","",[2]Entry!$C$614)</f>
        <v/>
      </c>
      <c r="Q611">
        <f>IF([2]Entry!$D$614="","",[2]Entry!$D$614)</f>
        <v/>
      </c>
      <c r="R611">
        <f>IF([2]Entry!$E$614="","",[2]Entry!$E$614)</f>
        <v/>
      </c>
      <c r="S611">
        <f>IF([2]Entry!$G$614="","",[2]Entry!$G$614)</f>
        <v/>
      </c>
      <c r="T611">
        <f>IF([2]Entry!$J$614="","",[2]Entry!$J$614)</f>
        <v/>
      </c>
      <c r="U611">
        <f>IF([2]Entry!$K$614="","",[2]Entry!$K$614)</f>
        <v/>
      </c>
      <c r="V611">
        <f>IF([2]Entry!$L$614="","",[2]Entry!$L$614)</f>
        <v/>
      </c>
      <c r="W611">
        <f>IF([2]Entry!$M$614="","",[2]Entry!$M$614)</f>
        <v/>
      </c>
      <c r="X611">
        <f>IF([2]Entry!$N$614="","",[2]Entry!$N$614)</f>
        <v/>
      </c>
      <c r="Y611">
        <f>IF([2]Entry!$R$614="","",[2]Entry!$R$614)</f>
        <v/>
      </c>
    </row>
    <row r="612">
      <c r="P612">
        <f>IF([2]Entry!$C$615="","",[2]Entry!$C$615)</f>
        <v/>
      </c>
      <c r="Q612">
        <f>IF([2]Entry!$D$615="","",[2]Entry!$D$615)</f>
        <v/>
      </c>
      <c r="R612">
        <f>IF([2]Entry!$E$615="","",[2]Entry!$E$615)</f>
        <v/>
      </c>
      <c r="S612">
        <f>IF([2]Entry!$G$615="","",[2]Entry!$G$615)</f>
        <v/>
      </c>
      <c r="T612">
        <f>IF([2]Entry!$J$615="","",[2]Entry!$J$615)</f>
        <v/>
      </c>
      <c r="U612">
        <f>IF([2]Entry!$K$615="","",[2]Entry!$K$615)</f>
        <v/>
      </c>
      <c r="V612">
        <f>IF([2]Entry!$L$615="","",[2]Entry!$L$615)</f>
        <v/>
      </c>
      <c r="W612">
        <f>IF([2]Entry!$M$615="","",[2]Entry!$M$615)</f>
        <v/>
      </c>
      <c r="X612">
        <f>IF([2]Entry!$N$615="","",[2]Entry!$N$615)</f>
        <v/>
      </c>
      <c r="Y612">
        <f>IF([2]Entry!$R$615="","",[2]Entry!$R$615)</f>
        <v/>
      </c>
    </row>
    <row r="613">
      <c r="P613">
        <f>IF([2]Entry!$C$616="","",[2]Entry!$C$616)</f>
        <v/>
      </c>
      <c r="Q613">
        <f>IF([2]Entry!$D$616="","",[2]Entry!$D$616)</f>
        <v/>
      </c>
      <c r="R613">
        <f>IF([2]Entry!$E$616="","",[2]Entry!$E$616)</f>
        <v/>
      </c>
      <c r="S613">
        <f>IF([2]Entry!$G$616="","",[2]Entry!$G$616)</f>
        <v/>
      </c>
      <c r="T613">
        <f>IF([2]Entry!$J$616="","",[2]Entry!$J$616)</f>
        <v/>
      </c>
      <c r="U613">
        <f>IF([2]Entry!$K$616="","",[2]Entry!$K$616)</f>
        <v/>
      </c>
      <c r="V613">
        <f>IF([2]Entry!$L$616="","",[2]Entry!$L$616)</f>
        <v/>
      </c>
      <c r="W613">
        <f>IF([2]Entry!$M$616="","",[2]Entry!$M$616)</f>
        <v/>
      </c>
      <c r="X613">
        <f>IF([2]Entry!$N$616="","",[2]Entry!$N$616)</f>
        <v/>
      </c>
      <c r="Y613">
        <f>IF([2]Entry!$R$616="","",[2]Entry!$R$616)</f>
        <v/>
      </c>
    </row>
    <row r="614">
      <c r="P614">
        <f>IF([2]Entry!$C$617="","",[2]Entry!$C$617)</f>
        <v/>
      </c>
      <c r="Q614">
        <f>IF([2]Entry!$D$617="","",[2]Entry!$D$617)</f>
        <v/>
      </c>
      <c r="R614">
        <f>IF([2]Entry!$E$617="","",[2]Entry!$E$617)</f>
        <v/>
      </c>
      <c r="S614">
        <f>IF([2]Entry!$G$617="","",[2]Entry!$G$617)</f>
        <v/>
      </c>
      <c r="T614">
        <f>IF([2]Entry!$J$617="","",[2]Entry!$J$617)</f>
        <v/>
      </c>
      <c r="U614">
        <f>IF([2]Entry!$K$617="","",[2]Entry!$K$617)</f>
        <v/>
      </c>
      <c r="V614">
        <f>IF([2]Entry!$L$617="","",[2]Entry!$L$617)</f>
        <v/>
      </c>
      <c r="W614">
        <f>IF([2]Entry!$M$617="","",[2]Entry!$M$617)</f>
        <v/>
      </c>
      <c r="X614">
        <f>IF([2]Entry!$N$617="","",[2]Entry!$N$617)</f>
        <v/>
      </c>
      <c r="Y614">
        <f>IF([2]Entry!$R$617="","",[2]Entry!$R$617)</f>
        <v/>
      </c>
    </row>
    <row r="615">
      <c r="P615">
        <f>IF([2]Entry!$C$618="","",[2]Entry!$C$618)</f>
        <v/>
      </c>
      <c r="Q615">
        <f>IF([2]Entry!$D$618="","",[2]Entry!$D$618)</f>
        <v/>
      </c>
      <c r="R615">
        <f>IF([2]Entry!$E$618="","",[2]Entry!$E$618)</f>
        <v/>
      </c>
      <c r="S615">
        <f>IF([2]Entry!$G$618="","",[2]Entry!$G$618)</f>
        <v/>
      </c>
      <c r="T615">
        <f>IF([2]Entry!$J$618="","",[2]Entry!$J$618)</f>
        <v/>
      </c>
      <c r="U615">
        <f>IF([2]Entry!$K$618="","",[2]Entry!$K$618)</f>
        <v/>
      </c>
      <c r="V615">
        <f>IF([2]Entry!$L$618="","",[2]Entry!$L$618)</f>
        <v/>
      </c>
      <c r="W615">
        <f>IF([2]Entry!$M$618="","",[2]Entry!$M$618)</f>
        <v/>
      </c>
      <c r="X615">
        <f>IF([2]Entry!$N$618="","",[2]Entry!$N$618)</f>
        <v/>
      </c>
      <c r="Y615">
        <f>IF([2]Entry!$R$618="","",[2]Entry!$R$618)</f>
        <v/>
      </c>
    </row>
    <row r="616">
      <c r="P616">
        <f>IF([2]Entry!$C$619="","",[2]Entry!$C$619)</f>
        <v/>
      </c>
      <c r="Q616">
        <f>IF([2]Entry!$D$619="","",[2]Entry!$D$619)</f>
        <v/>
      </c>
      <c r="R616">
        <f>IF([2]Entry!$E$619="","",[2]Entry!$E$619)</f>
        <v/>
      </c>
      <c r="S616">
        <f>IF([2]Entry!$G$619="","",[2]Entry!$G$619)</f>
        <v/>
      </c>
      <c r="T616">
        <f>IF([2]Entry!$J$619="","",[2]Entry!$J$619)</f>
        <v/>
      </c>
      <c r="U616">
        <f>IF([2]Entry!$K$619="","",[2]Entry!$K$619)</f>
        <v/>
      </c>
      <c r="V616">
        <f>IF([2]Entry!$L$619="","",[2]Entry!$L$619)</f>
        <v/>
      </c>
      <c r="W616">
        <f>IF([2]Entry!$M$619="","",[2]Entry!$M$619)</f>
        <v/>
      </c>
      <c r="X616">
        <f>IF([2]Entry!$N$619="","",[2]Entry!$N$619)</f>
        <v/>
      </c>
      <c r="Y616">
        <f>IF([2]Entry!$R$619="","",[2]Entry!$R$619)</f>
        <v/>
      </c>
    </row>
    <row r="617">
      <c r="P617">
        <f>IF([2]Entry!$C$620="","",[2]Entry!$C$620)</f>
        <v/>
      </c>
      <c r="Q617">
        <f>IF([2]Entry!$D$620="","",[2]Entry!$D$620)</f>
        <v/>
      </c>
      <c r="R617">
        <f>IF([2]Entry!$E$620="","",[2]Entry!$E$620)</f>
        <v/>
      </c>
      <c r="S617">
        <f>IF([2]Entry!$G$620="","",[2]Entry!$G$620)</f>
        <v/>
      </c>
      <c r="T617">
        <f>IF([2]Entry!$J$620="","",[2]Entry!$J$620)</f>
        <v/>
      </c>
      <c r="U617">
        <f>IF([2]Entry!$K$620="","",[2]Entry!$K$620)</f>
        <v/>
      </c>
      <c r="V617">
        <f>IF([2]Entry!$L$620="","",[2]Entry!$L$620)</f>
        <v/>
      </c>
      <c r="W617">
        <f>IF([2]Entry!$M$620="","",[2]Entry!$M$620)</f>
        <v/>
      </c>
      <c r="X617">
        <f>IF([2]Entry!$N$620="","",[2]Entry!$N$620)</f>
        <v/>
      </c>
      <c r="Y617">
        <f>IF([2]Entry!$R$620="","",[2]Entry!$R$620)</f>
        <v/>
      </c>
    </row>
    <row r="618">
      <c r="P618">
        <f>IF([2]Entry!$C$621="","",[2]Entry!$C$621)</f>
        <v/>
      </c>
      <c r="Q618">
        <f>IF([2]Entry!$D$621="","",[2]Entry!$D$621)</f>
        <v/>
      </c>
      <c r="R618">
        <f>IF([2]Entry!$E$621="","",[2]Entry!$E$621)</f>
        <v/>
      </c>
      <c r="S618">
        <f>IF([2]Entry!$G$621="","",[2]Entry!$G$621)</f>
        <v/>
      </c>
      <c r="T618">
        <f>IF([2]Entry!$J$621="","",[2]Entry!$J$621)</f>
        <v/>
      </c>
      <c r="U618">
        <f>IF([2]Entry!$K$621="","",[2]Entry!$K$621)</f>
        <v/>
      </c>
      <c r="V618">
        <f>IF([2]Entry!$L$621="","",[2]Entry!$L$621)</f>
        <v/>
      </c>
      <c r="W618">
        <f>IF([2]Entry!$M$621="","",[2]Entry!$M$621)</f>
        <v/>
      </c>
      <c r="X618">
        <f>IF([2]Entry!$N$621="","",[2]Entry!$N$621)</f>
        <v/>
      </c>
      <c r="Y618">
        <f>IF([2]Entry!$R$621="","",[2]Entry!$R$621)</f>
        <v/>
      </c>
    </row>
    <row r="619">
      <c r="P619">
        <f>IF([2]Entry!$C$622="","",[2]Entry!$C$622)</f>
        <v/>
      </c>
      <c r="Q619">
        <f>IF([2]Entry!$D$622="","",[2]Entry!$D$622)</f>
        <v/>
      </c>
      <c r="R619">
        <f>IF([2]Entry!$E$622="","",[2]Entry!$E$622)</f>
        <v/>
      </c>
      <c r="S619">
        <f>IF([2]Entry!$G$622="","",[2]Entry!$G$622)</f>
        <v/>
      </c>
      <c r="T619">
        <f>IF([2]Entry!$J$622="","",[2]Entry!$J$622)</f>
        <v/>
      </c>
      <c r="U619">
        <f>IF([2]Entry!$K$622="","",[2]Entry!$K$622)</f>
        <v/>
      </c>
      <c r="V619">
        <f>IF([2]Entry!$L$622="","",[2]Entry!$L$622)</f>
        <v/>
      </c>
      <c r="W619">
        <f>IF([2]Entry!$M$622="","",[2]Entry!$M$622)</f>
        <v/>
      </c>
      <c r="X619">
        <f>IF([2]Entry!$N$622="","",[2]Entry!$N$622)</f>
        <v/>
      </c>
      <c r="Y619">
        <f>IF([2]Entry!$R$622="","",[2]Entry!$R$622)</f>
        <v/>
      </c>
    </row>
    <row r="620">
      <c r="P620">
        <f>IF([2]Entry!$C$623="","",[2]Entry!$C$623)</f>
        <v/>
      </c>
      <c r="Q620">
        <f>IF([2]Entry!$D$623="","",[2]Entry!$D$623)</f>
        <v/>
      </c>
      <c r="R620">
        <f>IF([2]Entry!$E$623="","",[2]Entry!$E$623)</f>
        <v/>
      </c>
      <c r="S620">
        <f>IF([2]Entry!$G$623="","",[2]Entry!$G$623)</f>
        <v/>
      </c>
      <c r="T620">
        <f>IF([2]Entry!$J$623="","",[2]Entry!$J$623)</f>
        <v/>
      </c>
      <c r="U620">
        <f>IF([2]Entry!$K$623="","",[2]Entry!$K$623)</f>
        <v/>
      </c>
      <c r="V620">
        <f>IF([2]Entry!$L$623="","",[2]Entry!$L$623)</f>
        <v/>
      </c>
      <c r="W620">
        <f>IF([2]Entry!$M$623="","",[2]Entry!$M$623)</f>
        <v/>
      </c>
      <c r="X620">
        <f>IF([2]Entry!$N$623="","",[2]Entry!$N$623)</f>
        <v/>
      </c>
      <c r="Y620">
        <f>IF([2]Entry!$R$623="","",[2]Entry!$R$623)</f>
        <v/>
      </c>
    </row>
    <row r="621">
      <c r="P621">
        <f>IF([2]Entry!$C$624="","",[2]Entry!$C$624)</f>
        <v/>
      </c>
      <c r="Q621">
        <f>IF([2]Entry!$D$624="","",[2]Entry!$D$624)</f>
        <v/>
      </c>
      <c r="R621">
        <f>IF([2]Entry!$E$624="","",[2]Entry!$E$624)</f>
        <v/>
      </c>
      <c r="S621">
        <f>IF([2]Entry!$G$624="","",[2]Entry!$G$624)</f>
        <v/>
      </c>
      <c r="T621">
        <f>IF([2]Entry!$J$624="","",[2]Entry!$J$624)</f>
        <v/>
      </c>
      <c r="U621">
        <f>IF([2]Entry!$K$624="","",[2]Entry!$K$624)</f>
        <v/>
      </c>
      <c r="V621">
        <f>IF([2]Entry!$L$624="","",[2]Entry!$L$624)</f>
        <v/>
      </c>
      <c r="W621">
        <f>IF([2]Entry!$M$624="","",[2]Entry!$M$624)</f>
        <v/>
      </c>
      <c r="X621">
        <f>IF([2]Entry!$N$624="","",[2]Entry!$N$624)</f>
        <v/>
      </c>
      <c r="Y621">
        <f>IF([2]Entry!$R$624="","",[2]Entry!$R$624)</f>
        <v/>
      </c>
    </row>
    <row r="622">
      <c r="P622">
        <f>IF([2]Entry!$C$625="","",[2]Entry!$C$625)</f>
        <v/>
      </c>
      <c r="Q622">
        <f>IF([2]Entry!$D$625="","",[2]Entry!$D$625)</f>
        <v/>
      </c>
      <c r="R622">
        <f>IF([2]Entry!$E$625="","",[2]Entry!$E$625)</f>
        <v/>
      </c>
      <c r="S622">
        <f>IF([2]Entry!$G$625="","",[2]Entry!$G$625)</f>
        <v/>
      </c>
      <c r="T622">
        <f>IF([2]Entry!$J$625="","",[2]Entry!$J$625)</f>
        <v/>
      </c>
      <c r="U622">
        <f>IF([2]Entry!$K$625="","",[2]Entry!$K$625)</f>
        <v/>
      </c>
      <c r="V622">
        <f>IF([2]Entry!$L$625="","",[2]Entry!$L$625)</f>
        <v/>
      </c>
      <c r="W622">
        <f>IF([2]Entry!$M$625="","",[2]Entry!$M$625)</f>
        <v/>
      </c>
      <c r="X622">
        <f>IF([2]Entry!$N$625="","",[2]Entry!$N$625)</f>
        <v/>
      </c>
      <c r="Y622">
        <f>IF([2]Entry!$R$625="","",[2]Entry!$R$625)</f>
        <v/>
      </c>
    </row>
    <row r="623">
      <c r="P623">
        <f>IF([2]Entry!$C$626="","",[2]Entry!$C$626)</f>
        <v/>
      </c>
      <c r="Q623">
        <f>IF([2]Entry!$D$626="","",[2]Entry!$D$626)</f>
        <v/>
      </c>
      <c r="R623">
        <f>IF([2]Entry!$E$626="","",[2]Entry!$E$626)</f>
        <v/>
      </c>
      <c r="S623">
        <f>IF([2]Entry!$G$626="","",[2]Entry!$G$626)</f>
        <v/>
      </c>
      <c r="T623">
        <f>IF([2]Entry!$J$626="","",[2]Entry!$J$626)</f>
        <v/>
      </c>
      <c r="U623">
        <f>IF([2]Entry!$K$626="","",[2]Entry!$K$626)</f>
        <v/>
      </c>
      <c r="V623">
        <f>IF([2]Entry!$L$626="","",[2]Entry!$L$626)</f>
        <v/>
      </c>
      <c r="W623">
        <f>IF([2]Entry!$M$626="","",[2]Entry!$M$626)</f>
        <v/>
      </c>
      <c r="X623">
        <f>IF([2]Entry!$N$626="","",[2]Entry!$N$626)</f>
        <v/>
      </c>
      <c r="Y623">
        <f>IF([2]Entry!$R$626="","",[2]Entry!$R$626)</f>
        <v/>
      </c>
    </row>
    <row r="624">
      <c r="P624">
        <f>IF([2]Entry!$C$627="","",[2]Entry!$C$627)</f>
        <v/>
      </c>
      <c r="Q624">
        <f>IF([2]Entry!$D$627="","",[2]Entry!$D$627)</f>
        <v/>
      </c>
      <c r="R624">
        <f>IF([2]Entry!$E$627="","",[2]Entry!$E$627)</f>
        <v/>
      </c>
      <c r="S624">
        <f>IF([2]Entry!$G$627="","",[2]Entry!$G$627)</f>
        <v/>
      </c>
      <c r="T624">
        <f>IF([2]Entry!$J$627="","",[2]Entry!$J$627)</f>
        <v/>
      </c>
      <c r="U624">
        <f>IF([2]Entry!$K$627="","",[2]Entry!$K$627)</f>
        <v/>
      </c>
      <c r="V624">
        <f>IF([2]Entry!$L$627="","",[2]Entry!$L$627)</f>
        <v/>
      </c>
      <c r="W624">
        <f>IF([2]Entry!$M$627="","",[2]Entry!$M$627)</f>
        <v/>
      </c>
      <c r="X624">
        <f>IF([2]Entry!$N$627="","",[2]Entry!$N$627)</f>
        <v/>
      </c>
      <c r="Y624">
        <f>IF([2]Entry!$R$627="","",[2]Entry!$R$627)</f>
        <v/>
      </c>
    </row>
    <row r="625">
      <c r="P625">
        <f>IF([2]Entry!$C$628="","",[2]Entry!$C$628)</f>
        <v/>
      </c>
      <c r="Q625">
        <f>IF([2]Entry!$D$628="","",[2]Entry!$D$628)</f>
        <v/>
      </c>
      <c r="R625">
        <f>IF([2]Entry!$E$628="","",[2]Entry!$E$628)</f>
        <v/>
      </c>
      <c r="S625">
        <f>IF([2]Entry!$G$628="","",[2]Entry!$G$628)</f>
        <v/>
      </c>
      <c r="T625">
        <f>IF([2]Entry!$J$628="","",[2]Entry!$J$628)</f>
        <v/>
      </c>
      <c r="U625">
        <f>IF([2]Entry!$K$628="","",[2]Entry!$K$628)</f>
        <v/>
      </c>
      <c r="V625">
        <f>IF([2]Entry!$L$628="","",[2]Entry!$L$628)</f>
        <v/>
      </c>
      <c r="W625">
        <f>IF([2]Entry!$M$628="","",[2]Entry!$M$628)</f>
        <v/>
      </c>
      <c r="X625">
        <f>IF([2]Entry!$N$628="","",[2]Entry!$N$628)</f>
        <v/>
      </c>
      <c r="Y625">
        <f>IF([2]Entry!$R$628="","",[2]Entry!$R$628)</f>
        <v/>
      </c>
    </row>
    <row r="626">
      <c r="P626">
        <f>IF([2]Entry!$C$629="","",[2]Entry!$C$629)</f>
        <v/>
      </c>
      <c r="Q626">
        <f>IF([2]Entry!$D$629="","",[2]Entry!$D$629)</f>
        <v/>
      </c>
      <c r="R626">
        <f>IF([2]Entry!$E$629="","",[2]Entry!$E$629)</f>
        <v/>
      </c>
      <c r="S626">
        <f>IF([2]Entry!$G$629="","",[2]Entry!$G$629)</f>
        <v/>
      </c>
      <c r="T626">
        <f>IF([2]Entry!$J$629="","",[2]Entry!$J$629)</f>
        <v/>
      </c>
      <c r="U626">
        <f>IF([2]Entry!$K$629="","",[2]Entry!$K$629)</f>
        <v/>
      </c>
      <c r="V626">
        <f>IF([2]Entry!$L$629="","",[2]Entry!$L$629)</f>
        <v/>
      </c>
      <c r="W626">
        <f>IF([2]Entry!$M$629="","",[2]Entry!$M$629)</f>
        <v/>
      </c>
      <c r="X626">
        <f>IF([2]Entry!$N$629="","",[2]Entry!$N$629)</f>
        <v/>
      </c>
      <c r="Y626">
        <f>IF([2]Entry!$R$629="","",[2]Entry!$R$629)</f>
        <v/>
      </c>
    </row>
    <row r="627">
      <c r="P627">
        <f>IF([2]Entry!$C$630="","",[2]Entry!$C$630)</f>
        <v/>
      </c>
      <c r="Q627">
        <f>IF([2]Entry!$D$630="","",[2]Entry!$D$630)</f>
        <v/>
      </c>
      <c r="R627">
        <f>IF([2]Entry!$E$630="","",[2]Entry!$E$630)</f>
        <v/>
      </c>
      <c r="S627">
        <f>IF([2]Entry!$G$630="","",[2]Entry!$G$630)</f>
        <v/>
      </c>
      <c r="T627">
        <f>IF([2]Entry!$J$630="","",[2]Entry!$J$630)</f>
        <v/>
      </c>
      <c r="U627">
        <f>IF([2]Entry!$K$630="","",[2]Entry!$K$630)</f>
        <v/>
      </c>
      <c r="V627">
        <f>IF([2]Entry!$L$630="","",[2]Entry!$L$630)</f>
        <v/>
      </c>
      <c r="W627">
        <f>IF([2]Entry!$M$630="","",[2]Entry!$M$630)</f>
        <v/>
      </c>
      <c r="X627">
        <f>IF([2]Entry!$N$630="","",[2]Entry!$N$630)</f>
        <v/>
      </c>
      <c r="Y627">
        <f>IF([2]Entry!$R$630="","",[2]Entry!$R$630)</f>
        <v/>
      </c>
    </row>
    <row r="628">
      <c r="P628">
        <f>IF([2]Entry!$C$631="","",[2]Entry!$C$631)</f>
        <v/>
      </c>
      <c r="Q628">
        <f>IF([2]Entry!$D$631="","",[2]Entry!$D$631)</f>
        <v/>
      </c>
      <c r="R628">
        <f>IF([2]Entry!$E$631="","",[2]Entry!$E$631)</f>
        <v/>
      </c>
      <c r="S628">
        <f>IF([2]Entry!$G$631="","",[2]Entry!$G$631)</f>
        <v/>
      </c>
      <c r="T628">
        <f>IF([2]Entry!$J$631="","",[2]Entry!$J$631)</f>
        <v/>
      </c>
      <c r="U628">
        <f>IF([2]Entry!$K$631="","",[2]Entry!$K$631)</f>
        <v/>
      </c>
      <c r="V628">
        <f>IF([2]Entry!$L$631="","",[2]Entry!$L$631)</f>
        <v/>
      </c>
      <c r="W628">
        <f>IF([2]Entry!$M$631="","",[2]Entry!$M$631)</f>
        <v/>
      </c>
      <c r="X628">
        <f>IF([2]Entry!$N$631="","",[2]Entry!$N$631)</f>
        <v/>
      </c>
      <c r="Y628">
        <f>IF([2]Entry!$R$631="","",[2]Entry!$R$631)</f>
        <v/>
      </c>
    </row>
    <row r="629">
      <c r="P629">
        <f>IF([2]Entry!$C$632="","",[2]Entry!$C$632)</f>
        <v/>
      </c>
      <c r="Q629">
        <f>IF([2]Entry!$D$632="","",[2]Entry!$D$632)</f>
        <v/>
      </c>
      <c r="R629">
        <f>IF([2]Entry!$E$632="","",[2]Entry!$E$632)</f>
        <v/>
      </c>
      <c r="S629">
        <f>IF([2]Entry!$G$632="","",[2]Entry!$G$632)</f>
        <v/>
      </c>
      <c r="T629">
        <f>IF([2]Entry!$J$632="","",[2]Entry!$J$632)</f>
        <v/>
      </c>
      <c r="U629">
        <f>IF([2]Entry!$K$632="","",[2]Entry!$K$632)</f>
        <v/>
      </c>
      <c r="V629">
        <f>IF([2]Entry!$L$632="","",[2]Entry!$L$632)</f>
        <v/>
      </c>
      <c r="W629">
        <f>IF([2]Entry!$M$632="","",[2]Entry!$M$632)</f>
        <v/>
      </c>
      <c r="X629">
        <f>IF([2]Entry!$N$632="","",[2]Entry!$N$632)</f>
        <v/>
      </c>
      <c r="Y629">
        <f>IF([2]Entry!$R$632="","",[2]Entry!$R$632)</f>
        <v/>
      </c>
    </row>
    <row r="630">
      <c r="P630">
        <f>IF([2]Entry!$C$633="","",[2]Entry!$C$633)</f>
        <v/>
      </c>
      <c r="Q630">
        <f>IF([2]Entry!$D$633="","",[2]Entry!$D$633)</f>
        <v/>
      </c>
      <c r="R630">
        <f>IF([2]Entry!$E$633="","",[2]Entry!$E$633)</f>
        <v/>
      </c>
      <c r="S630">
        <f>IF([2]Entry!$G$633="","",[2]Entry!$G$633)</f>
        <v/>
      </c>
      <c r="T630">
        <f>IF([2]Entry!$J$633="","",[2]Entry!$J$633)</f>
        <v/>
      </c>
      <c r="U630">
        <f>IF([2]Entry!$K$633="","",[2]Entry!$K$633)</f>
        <v/>
      </c>
      <c r="V630">
        <f>IF([2]Entry!$L$633="","",[2]Entry!$L$633)</f>
        <v/>
      </c>
      <c r="W630">
        <f>IF([2]Entry!$M$633="","",[2]Entry!$M$633)</f>
        <v/>
      </c>
      <c r="X630">
        <f>IF([2]Entry!$N$633="","",[2]Entry!$N$633)</f>
        <v/>
      </c>
      <c r="Y630">
        <f>IF([2]Entry!$R$633="","",[2]Entry!$R$633)</f>
        <v/>
      </c>
    </row>
    <row r="631">
      <c r="P631">
        <f>IF([2]Entry!$C$634="","",[2]Entry!$C$634)</f>
        <v/>
      </c>
      <c r="Q631">
        <f>IF([2]Entry!$D$634="","",[2]Entry!$D$634)</f>
        <v/>
      </c>
      <c r="R631">
        <f>IF([2]Entry!$E$634="","",[2]Entry!$E$634)</f>
        <v/>
      </c>
      <c r="S631">
        <f>IF([2]Entry!$G$634="","",[2]Entry!$G$634)</f>
        <v/>
      </c>
      <c r="T631">
        <f>IF([2]Entry!$J$634="","",[2]Entry!$J$634)</f>
        <v/>
      </c>
      <c r="U631">
        <f>IF([2]Entry!$K$634="","",[2]Entry!$K$634)</f>
        <v/>
      </c>
      <c r="V631">
        <f>IF([2]Entry!$L$634="","",[2]Entry!$L$634)</f>
        <v/>
      </c>
      <c r="W631">
        <f>IF([2]Entry!$M$634="","",[2]Entry!$M$634)</f>
        <v/>
      </c>
      <c r="X631">
        <f>IF([2]Entry!$N$634="","",[2]Entry!$N$634)</f>
        <v/>
      </c>
      <c r="Y631">
        <f>IF([2]Entry!$R$634="","",[2]Entry!$R$634)</f>
        <v/>
      </c>
    </row>
    <row r="632">
      <c r="P632">
        <f>IF([2]Entry!$C$635="","",[2]Entry!$C$635)</f>
        <v/>
      </c>
      <c r="Q632">
        <f>IF([2]Entry!$D$635="","",[2]Entry!$D$635)</f>
        <v/>
      </c>
      <c r="R632">
        <f>IF([2]Entry!$E$635="","",[2]Entry!$E$635)</f>
        <v/>
      </c>
      <c r="S632">
        <f>IF([2]Entry!$G$635="","",[2]Entry!$G$635)</f>
        <v/>
      </c>
      <c r="T632">
        <f>IF([2]Entry!$J$635="","",[2]Entry!$J$635)</f>
        <v/>
      </c>
      <c r="U632">
        <f>IF([2]Entry!$K$635="","",[2]Entry!$K$635)</f>
        <v/>
      </c>
      <c r="V632">
        <f>IF([2]Entry!$L$635="","",[2]Entry!$L$635)</f>
        <v/>
      </c>
      <c r="W632">
        <f>IF([2]Entry!$M$635="","",[2]Entry!$M$635)</f>
        <v/>
      </c>
      <c r="X632">
        <f>IF([2]Entry!$N$635="","",[2]Entry!$N$635)</f>
        <v/>
      </c>
      <c r="Y632">
        <f>IF([2]Entry!$R$635="","",[2]Entry!$R$635)</f>
        <v/>
      </c>
    </row>
    <row r="633">
      <c r="P633">
        <f>IF([2]Entry!$C$636="","",[2]Entry!$C$636)</f>
        <v/>
      </c>
      <c r="Q633">
        <f>IF([2]Entry!$D$636="","",[2]Entry!$D$636)</f>
        <v/>
      </c>
      <c r="R633">
        <f>IF([2]Entry!$E$636="","",[2]Entry!$E$636)</f>
        <v/>
      </c>
      <c r="S633">
        <f>IF([2]Entry!$G$636="","",[2]Entry!$G$636)</f>
        <v/>
      </c>
      <c r="T633">
        <f>IF([2]Entry!$J$636="","",[2]Entry!$J$636)</f>
        <v/>
      </c>
      <c r="U633">
        <f>IF([2]Entry!$K$636="","",[2]Entry!$K$636)</f>
        <v/>
      </c>
      <c r="V633">
        <f>IF([2]Entry!$L$636="","",[2]Entry!$L$636)</f>
        <v/>
      </c>
      <c r="W633">
        <f>IF([2]Entry!$M$636="","",[2]Entry!$M$636)</f>
        <v/>
      </c>
      <c r="X633">
        <f>IF([2]Entry!$N$636="","",[2]Entry!$N$636)</f>
        <v/>
      </c>
      <c r="Y633">
        <f>IF([2]Entry!$R$636="","",[2]Entry!$R$636)</f>
        <v/>
      </c>
    </row>
    <row r="634">
      <c r="P634">
        <f>IF([2]Entry!$C$637="","",[2]Entry!$C$637)</f>
        <v/>
      </c>
      <c r="Q634">
        <f>IF([2]Entry!$D$637="","",[2]Entry!$D$637)</f>
        <v/>
      </c>
      <c r="R634">
        <f>IF([2]Entry!$E$637="","",[2]Entry!$E$637)</f>
        <v/>
      </c>
      <c r="S634">
        <f>IF([2]Entry!$G$637="","",[2]Entry!$G$637)</f>
        <v/>
      </c>
      <c r="T634">
        <f>IF([2]Entry!$J$637="","",[2]Entry!$J$637)</f>
        <v/>
      </c>
      <c r="U634">
        <f>IF([2]Entry!$K$637="","",[2]Entry!$K$637)</f>
        <v/>
      </c>
      <c r="V634">
        <f>IF([2]Entry!$L$637="","",[2]Entry!$L$637)</f>
        <v/>
      </c>
      <c r="W634">
        <f>IF([2]Entry!$M$637="","",[2]Entry!$M$637)</f>
        <v/>
      </c>
      <c r="X634">
        <f>IF([2]Entry!$N$637="","",[2]Entry!$N$637)</f>
        <v/>
      </c>
      <c r="Y634">
        <f>IF([2]Entry!$R$637="","",[2]Entry!$R$637)</f>
        <v/>
      </c>
    </row>
    <row r="635">
      <c r="P635">
        <f>IF([2]Entry!$C$638="","",[2]Entry!$C$638)</f>
        <v/>
      </c>
      <c r="Q635">
        <f>IF([2]Entry!$D$638="","",[2]Entry!$D$638)</f>
        <v/>
      </c>
      <c r="R635">
        <f>IF([2]Entry!$E$638="","",[2]Entry!$E$638)</f>
        <v/>
      </c>
      <c r="S635">
        <f>IF([2]Entry!$G$638="","",[2]Entry!$G$638)</f>
        <v/>
      </c>
      <c r="T635">
        <f>IF([2]Entry!$J$638="","",[2]Entry!$J$638)</f>
        <v/>
      </c>
      <c r="U635">
        <f>IF([2]Entry!$K$638="","",[2]Entry!$K$638)</f>
        <v/>
      </c>
      <c r="V635">
        <f>IF([2]Entry!$L$638="","",[2]Entry!$L$638)</f>
        <v/>
      </c>
      <c r="W635">
        <f>IF([2]Entry!$M$638="","",[2]Entry!$M$638)</f>
        <v/>
      </c>
      <c r="X635">
        <f>IF([2]Entry!$N$638="","",[2]Entry!$N$638)</f>
        <v/>
      </c>
      <c r="Y635">
        <f>IF([2]Entry!$R$638="","",[2]Entry!$R$638)</f>
        <v/>
      </c>
    </row>
    <row r="636">
      <c r="P636">
        <f>IF([2]Entry!$C$639="","",[2]Entry!$C$639)</f>
        <v/>
      </c>
      <c r="Q636">
        <f>IF([2]Entry!$D$639="","",[2]Entry!$D$639)</f>
        <v/>
      </c>
      <c r="R636">
        <f>IF([2]Entry!$E$639="","",[2]Entry!$E$639)</f>
        <v/>
      </c>
      <c r="S636">
        <f>IF([2]Entry!$G$639="","",[2]Entry!$G$639)</f>
        <v/>
      </c>
      <c r="T636">
        <f>IF([2]Entry!$J$639="","",[2]Entry!$J$639)</f>
        <v/>
      </c>
      <c r="U636">
        <f>IF([2]Entry!$K$639="","",[2]Entry!$K$639)</f>
        <v/>
      </c>
      <c r="V636">
        <f>IF([2]Entry!$L$639="","",[2]Entry!$L$639)</f>
        <v/>
      </c>
      <c r="W636">
        <f>IF([2]Entry!$M$639="","",[2]Entry!$M$639)</f>
        <v/>
      </c>
      <c r="X636">
        <f>IF([2]Entry!$N$639="","",[2]Entry!$N$639)</f>
        <v/>
      </c>
      <c r="Y636">
        <f>IF([2]Entry!$R$639="","",[2]Entry!$R$639)</f>
        <v/>
      </c>
    </row>
    <row r="637">
      <c r="P637">
        <f>IF([2]Entry!$C$640="","",[2]Entry!$C$640)</f>
        <v/>
      </c>
      <c r="Q637">
        <f>IF([2]Entry!$D$640="","",[2]Entry!$D$640)</f>
        <v/>
      </c>
      <c r="R637">
        <f>IF([2]Entry!$E$640="","",[2]Entry!$E$640)</f>
        <v/>
      </c>
      <c r="S637">
        <f>IF([2]Entry!$G$640="","",[2]Entry!$G$640)</f>
        <v/>
      </c>
      <c r="T637">
        <f>IF([2]Entry!$J$640="","",[2]Entry!$J$640)</f>
        <v/>
      </c>
      <c r="U637">
        <f>IF([2]Entry!$K$640="","",[2]Entry!$K$640)</f>
        <v/>
      </c>
      <c r="V637">
        <f>IF([2]Entry!$L$640="","",[2]Entry!$L$640)</f>
        <v/>
      </c>
      <c r="W637">
        <f>IF([2]Entry!$M$640="","",[2]Entry!$M$640)</f>
        <v/>
      </c>
      <c r="X637">
        <f>IF([2]Entry!$N$640="","",[2]Entry!$N$640)</f>
        <v/>
      </c>
      <c r="Y637">
        <f>IF([2]Entry!$R$640="","",[2]Entry!$R$640)</f>
        <v/>
      </c>
    </row>
    <row r="638">
      <c r="P638">
        <f>IF([2]Entry!$C$641="","",[2]Entry!$C$641)</f>
        <v/>
      </c>
      <c r="Q638">
        <f>IF([2]Entry!$D$641="","",[2]Entry!$D$641)</f>
        <v/>
      </c>
      <c r="R638">
        <f>IF([2]Entry!$E$641="","",[2]Entry!$E$641)</f>
        <v/>
      </c>
      <c r="S638">
        <f>IF([2]Entry!$G$641="","",[2]Entry!$G$641)</f>
        <v/>
      </c>
      <c r="T638">
        <f>IF([2]Entry!$J$641="","",[2]Entry!$J$641)</f>
        <v/>
      </c>
      <c r="U638">
        <f>IF([2]Entry!$K$641="","",[2]Entry!$K$641)</f>
        <v/>
      </c>
      <c r="V638">
        <f>IF([2]Entry!$L$641="","",[2]Entry!$L$641)</f>
        <v/>
      </c>
      <c r="W638">
        <f>IF([2]Entry!$M$641="","",[2]Entry!$M$641)</f>
        <v/>
      </c>
      <c r="X638">
        <f>IF([2]Entry!$N$641="","",[2]Entry!$N$641)</f>
        <v/>
      </c>
      <c r="Y638">
        <f>IF([2]Entry!$R$641="","",[2]Entry!$R$641)</f>
        <v/>
      </c>
    </row>
    <row r="639">
      <c r="P639">
        <f>IF([2]Entry!$C$642="","",[2]Entry!$C$642)</f>
        <v/>
      </c>
      <c r="Q639">
        <f>IF([2]Entry!$D$642="","",[2]Entry!$D$642)</f>
        <v/>
      </c>
      <c r="R639">
        <f>IF([2]Entry!$E$642="","",[2]Entry!$E$642)</f>
        <v/>
      </c>
      <c r="S639">
        <f>IF([2]Entry!$G$642="","",[2]Entry!$G$642)</f>
        <v/>
      </c>
      <c r="T639">
        <f>IF([2]Entry!$J$642="","",[2]Entry!$J$642)</f>
        <v/>
      </c>
      <c r="U639">
        <f>IF([2]Entry!$K$642="","",[2]Entry!$K$642)</f>
        <v/>
      </c>
      <c r="V639">
        <f>IF([2]Entry!$L$642="","",[2]Entry!$L$642)</f>
        <v/>
      </c>
      <c r="W639">
        <f>IF([2]Entry!$M$642="","",[2]Entry!$M$642)</f>
        <v/>
      </c>
      <c r="X639">
        <f>IF([2]Entry!$N$642="","",[2]Entry!$N$642)</f>
        <v/>
      </c>
      <c r="Y639">
        <f>IF([2]Entry!$R$642="","",[2]Entry!$R$642)</f>
        <v/>
      </c>
    </row>
    <row r="640">
      <c r="P640">
        <f>IF([2]Entry!$C$643="","",[2]Entry!$C$643)</f>
        <v/>
      </c>
      <c r="Q640">
        <f>IF([2]Entry!$D$643="","",[2]Entry!$D$643)</f>
        <v/>
      </c>
      <c r="R640">
        <f>IF([2]Entry!$E$643="","",[2]Entry!$E$643)</f>
        <v/>
      </c>
      <c r="S640">
        <f>IF([2]Entry!$G$643="","",[2]Entry!$G$643)</f>
        <v/>
      </c>
      <c r="T640">
        <f>IF([2]Entry!$J$643="","",[2]Entry!$J$643)</f>
        <v/>
      </c>
      <c r="U640">
        <f>IF([2]Entry!$K$643="","",[2]Entry!$K$643)</f>
        <v/>
      </c>
      <c r="V640">
        <f>IF([2]Entry!$L$643="","",[2]Entry!$L$643)</f>
        <v/>
      </c>
      <c r="W640">
        <f>IF([2]Entry!$M$643="","",[2]Entry!$M$643)</f>
        <v/>
      </c>
      <c r="X640">
        <f>IF([2]Entry!$N$643="","",[2]Entry!$N$643)</f>
        <v/>
      </c>
      <c r="Y640">
        <f>IF([2]Entry!$R$643="","",[2]Entry!$R$643)</f>
        <v/>
      </c>
    </row>
    <row r="641">
      <c r="P641">
        <f>IF([2]Entry!$C$644="","",[2]Entry!$C$644)</f>
        <v/>
      </c>
      <c r="Q641">
        <f>IF([2]Entry!$D$644="","",[2]Entry!$D$644)</f>
        <v/>
      </c>
      <c r="R641">
        <f>IF([2]Entry!$E$644="","",[2]Entry!$E$644)</f>
        <v/>
      </c>
      <c r="S641">
        <f>IF([2]Entry!$G$644="","",[2]Entry!$G$644)</f>
        <v/>
      </c>
      <c r="T641">
        <f>IF([2]Entry!$J$644="","",[2]Entry!$J$644)</f>
        <v/>
      </c>
      <c r="U641">
        <f>IF([2]Entry!$K$644="","",[2]Entry!$K$644)</f>
        <v/>
      </c>
      <c r="V641">
        <f>IF([2]Entry!$L$644="","",[2]Entry!$L$644)</f>
        <v/>
      </c>
      <c r="W641">
        <f>IF([2]Entry!$M$644="","",[2]Entry!$M$644)</f>
        <v/>
      </c>
      <c r="X641">
        <f>IF([2]Entry!$N$644="","",[2]Entry!$N$644)</f>
        <v/>
      </c>
      <c r="Y641">
        <f>IF([2]Entry!$R$644="","",[2]Entry!$R$644)</f>
        <v/>
      </c>
    </row>
    <row r="642">
      <c r="P642">
        <f>IF([2]Entry!$C$645="","",[2]Entry!$C$645)</f>
        <v/>
      </c>
      <c r="Q642">
        <f>IF([2]Entry!$D$645="","",[2]Entry!$D$645)</f>
        <v/>
      </c>
      <c r="R642">
        <f>IF([2]Entry!$E$645="","",[2]Entry!$E$645)</f>
        <v/>
      </c>
      <c r="S642">
        <f>IF([2]Entry!$G$645="","",[2]Entry!$G$645)</f>
        <v/>
      </c>
      <c r="T642">
        <f>IF([2]Entry!$J$645="","",[2]Entry!$J$645)</f>
        <v/>
      </c>
      <c r="U642">
        <f>IF([2]Entry!$K$645="","",[2]Entry!$K$645)</f>
        <v/>
      </c>
      <c r="V642">
        <f>IF([2]Entry!$L$645="","",[2]Entry!$L$645)</f>
        <v/>
      </c>
      <c r="W642">
        <f>IF([2]Entry!$M$645="","",[2]Entry!$M$645)</f>
        <v/>
      </c>
      <c r="X642">
        <f>IF([2]Entry!$N$645="","",[2]Entry!$N$645)</f>
        <v/>
      </c>
      <c r="Y642">
        <f>IF([2]Entry!$R$645="","",[2]Entry!$R$645)</f>
        <v/>
      </c>
    </row>
    <row r="643">
      <c r="P643">
        <f>IF([2]Entry!$C$646="","",[2]Entry!$C$646)</f>
        <v/>
      </c>
      <c r="Q643">
        <f>IF([2]Entry!$D$646="","",[2]Entry!$D$646)</f>
        <v/>
      </c>
      <c r="R643">
        <f>IF([2]Entry!$E$646="","",[2]Entry!$E$646)</f>
        <v/>
      </c>
      <c r="S643">
        <f>IF([2]Entry!$G$646="","",[2]Entry!$G$646)</f>
        <v/>
      </c>
      <c r="T643">
        <f>IF([2]Entry!$J$646="","",[2]Entry!$J$646)</f>
        <v/>
      </c>
      <c r="U643">
        <f>IF([2]Entry!$K$646="","",[2]Entry!$K$646)</f>
        <v/>
      </c>
      <c r="V643">
        <f>IF([2]Entry!$L$646="","",[2]Entry!$L$646)</f>
        <v/>
      </c>
      <c r="W643">
        <f>IF([2]Entry!$M$646="","",[2]Entry!$M$646)</f>
        <v/>
      </c>
      <c r="X643">
        <f>IF([2]Entry!$N$646="","",[2]Entry!$N$646)</f>
        <v/>
      </c>
      <c r="Y643">
        <f>IF([2]Entry!$R$646="","",[2]Entry!$R$646)</f>
        <v/>
      </c>
    </row>
    <row r="644">
      <c r="P644">
        <f>IF([2]Entry!$C$647="","",[2]Entry!$C$647)</f>
        <v/>
      </c>
      <c r="Q644">
        <f>IF([2]Entry!$D$647="","",[2]Entry!$D$647)</f>
        <v/>
      </c>
      <c r="R644">
        <f>IF([2]Entry!$E$647="","",[2]Entry!$E$647)</f>
        <v/>
      </c>
      <c r="S644">
        <f>IF([2]Entry!$G$647="","",[2]Entry!$G$647)</f>
        <v/>
      </c>
      <c r="T644">
        <f>IF([2]Entry!$J$647="","",[2]Entry!$J$647)</f>
        <v/>
      </c>
      <c r="U644">
        <f>IF([2]Entry!$K$647="","",[2]Entry!$K$647)</f>
        <v/>
      </c>
      <c r="V644">
        <f>IF([2]Entry!$L$647="","",[2]Entry!$L$647)</f>
        <v/>
      </c>
      <c r="W644">
        <f>IF([2]Entry!$M$647="","",[2]Entry!$M$647)</f>
        <v/>
      </c>
      <c r="X644">
        <f>IF([2]Entry!$N$647="","",[2]Entry!$N$647)</f>
        <v/>
      </c>
      <c r="Y644">
        <f>IF([2]Entry!$R$647="","",[2]Entry!$R$647)</f>
        <v/>
      </c>
    </row>
    <row r="645">
      <c r="P645">
        <f>IF([2]Entry!$C$648="","",[2]Entry!$C$648)</f>
        <v/>
      </c>
      <c r="Q645">
        <f>IF([2]Entry!$D$648="","",[2]Entry!$D$648)</f>
        <v/>
      </c>
      <c r="R645">
        <f>IF([2]Entry!$E$648="","",[2]Entry!$E$648)</f>
        <v/>
      </c>
      <c r="S645">
        <f>IF([2]Entry!$G$648="","",[2]Entry!$G$648)</f>
        <v/>
      </c>
      <c r="T645">
        <f>IF([2]Entry!$J$648="","",[2]Entry!$J$648)</f>
        <v/>
      </c>
      <c r="U645">
        <f>IF([2]Entry!$K$648="","",[2]Entry!$K$648)</f>
        <v/>
      </c>
      <c r="V645">
        <f>IF([2]Entry!$L$648="","",[2]Entry!$L$648)</f>
        <v/>
      </c>
      <c r="W645">
        <f>IF([2]Entry!$M$648="","",[2]Entry!$M$648)</f>
        <v/>
      </c>
      <c r="X645">
        <f>IF([2]Entry!$N$648="","",[2]Entry!$N$648)</f>
        <v/>
      </c>
      <c r="Y645">
        <f>IF([2]Entry!$R$648="","",[2]Entry!$R$648)</f>
        <v/>
      </c>
    </row>
    <row r="646">
      <c r="P646">
        <f>IF([2]Entry!$C$649="","",[2]Entry!$C$649)</f>
        <v/>
      </c>
      <c r="Q646">
        <f>IF([2]Entry!$D$649="","",[2]Entry!$D$649)</f>
        <v/>
      </c>
      <c r="R646">
        <f>IF([2]Entry!$E$649="","",[2]Entry!$E$649)</f>
        <v/>
      </c>
      <c r="S646">
        <f>IF([2]Entry!$G$649="","",[2]Entry!$G$649)</f>
        <v/>
      </c>
      <c r="T646">
        <f>IF([2]Entry!$J$649="","",[2]Entry!$J$649)</f>
        <v/>
      </c>
      <c r="U646">
        <f>IF([2]Entry!$K$649="","",[2]Entry!$K$649)</f>
        <v/>
      </c>
      <c r="V646">
        <f>IF([2]Entry!$L$649="","",[2]Entry!$L$649)</f>
        <v/>
      </c>
      <c r="W646">
        <f>IF([2]Entry!$M$649="","",[2]Entry!$M$649)</f>
        <v/>
      </c>
      <c r="X646">
        <f>IF([2]Entry!$N$649="","",[2]Entry!$N$649)</f>
        <v/>
      </c>
      <c r="Y646">
        <f>IF([2]Entry!$R$649="","",[2]Entry!$R$649)</f>
        <v/>
      </c>
    </row>
    <row r="647">
      <c r="P647">
        <f>IF([2]Entry!$C$650="","",[2]Entry!$C$650)</f>
        <v/>
      </c>
      <c r="Q647">
        <f>IF([2]Entry!$D$650="","",[2]Entry!$D$650)</f>
        <v/>
      </c>
      <c r="R647">
        <f>IF([2]Entry!$E$650="","",[2]Entry!$E$650)</f>
        <v/>
      </c>
      <c r="S647">
        <f>IF([2]Entry!$G$650="","",[2]Entry!$G$650)</f>
        <v/>
      </c>
      <c r="T647">
        <f>IF([2]Entry!$J$650="","",[2]Entry!$J$650)</f>
        <v/>
      </c>
      <c r="U647">
        <f>IF([2]Entry!$K$650="","",[2]Entry!$K$650)</f>
        <v/>
      </c>
      <c r="V647">
        <f>IF([2]Entry!$L$650="","",[2]Entry!$L$650)</f>
        <v/>
      </c>
      <c r="W647">
        <f>IF([2]Entry!$M$650="","",[2]Entry!$M$650)</f>
        <v/>
      </c>
      <c r="X647">
        <f>IF([2]Entry!$N$650="","",[2]Entry!$N$650)</f>
        <v/>
      </c>
      <c r="Y647">
        <f>IF([2]Entry!$R$650="","",[2]Entry!$R$650)</f>
        <v/>
      </c>
    </row>
    <row r="648">
      <c r="P648">
        <f>IF([2]Entry!$C$651="","",[2]Entry!$C$651)</f>
        <v/>
      </c>
      <c r="Q648">
        <f>IF([2]Entry!$D$651="","",[2]Entry!$D$651)</f>
        <v/>
      </c>
      <c r="R648">
        <f>IF([2]Entry!$E$651="","",[2]Entry!$E$651)</f>
        <v/>
      </c>
      <c r="S648">
        <f>IF([2]Entry!$G$651="","",[2]Entry!$G$651)</f>
        <v/>
      </c>
      <c r="T648">
        <f>IF([2]Entry!$J$651="","",[2]Entry!$J$651)</f>
        <v/>
      </c>
      <c r="U648">
        <f>IF([2]Entry!$K$651="","",[2]Entry!$K$651)</f>
        <v/>
      </c>
      <c r="V648">
        <f>IF([2]Entry!$L$651="","",[2]Entry!$L$651)</f>
        <v/>
      </c>
      <c r="W648">
        <f>IF([2]Entry!$M$651="","",[2]Entry!$M$651)</f>
        <v/>
      </c>
      <c r="X648">
        <f>IF([2]Entry!$N$651="","",[2]Entry!$N$651)</f>
        <v/>
      </c>
      <c r="Y648">
        <f>IF([2]Entry!$R$651="","",[2]Entry!$R$651)</f>
        <v/>
      </c>
    </row>
    <row r="649">
      <c r="P649">
        <f>IF([2]Entry!$C$652="","",[2]Entry!$C$652)</f>
        <v/>
      </c>
      <c r="Q649">
        <f>IF([2]Entry!$D$652="","",[2]Entry!$D$652)</f>
        <v/>
      </c>
      <c r="R649">
        <f>IF([2]Entry!$E$652="","",[2]Entry!$E$652)</f>
        <v/>
      </c>
      <c r="S649">
        <f>IF([2]Entry!$G$652="","",[2]Entry!$G$652)</f>
        <v/>
      </c>
      <c r="T649">
        <f>IF([2]Entry!$J$652="","",[2]Entry!$J$652)</f>
        <v/>
      </c>
      <c r="U649">
        <f>IF([2]Entry!$K$652="","",[2]Entry!$K$652)</f>
        <v/>
      </c>
      <c r="V649">
        <f>IF([2]Entry!$L$652="","",[2]Entry!$L$652)</f>
        <v/>
      </c>
      <c r="W649">
        <f>IF([2]Entry!$M$652="","",[2]Entry!$M$652)</f>
        <v/>
      </c>
      <c r="X649">
        <f>IF([2]Entry!$N$652="","",[2]Entry!$N$652)</f>
        <v/>
      </c>
      <c r="Y649">
        <f>IF([2]Entry!$R$652="","",[2]Entry!$R$652)</f>
        <v/>
      </c>
    </row>
    <row r="650">
      <c r="P650">
        <f>IF([2]Entry!$C$653="","",[2]Entry!$C$653)</f>
        <v/>
      </c>
      <c r="Q650">
        <f>IF([2]Entry!$D$653="","",[2]Entry!$D$653)</f>
        <v/>
      </c>
      <c r="R650">
        <f>IF([2]Entry!$E$653="","",[2]Entry!$E$653)</f>
        <v/>
      </c>
      <c r="S650">
        <f>IF([2]Entry!$G$653="","",[2]Entry!$G$653)</f>
        <v/>
      </c>
      <c r="T650">
        <f>IF([2]Entry!$J$653="","",[2]Entry!$J$653)</f>
        <v/>
      </c>
      <c r="U650">
        <f>IF([2]Entry!$K$653="","",[2]Entry!$K$653)</f>
        <v/>
      </c>
      <c r="V650">
        <f>IF([2]Entry!$L$653="","",[2]Entry!$L$653)</f>
        <v/>
      </c>
      <c r="W650">
        <f>IF([2]Entry!$M$653="","",[2]Entry!$M$653)</f>
        <v/>
      </c>
      <c r="X650">
        <f>IF([2]Entry!$N$653="","",[2]Entry!$N$653)</f>
        <v/>
      </c>
      <c r="Y650">
        <f>IF([2]Entry!$R$653="","",[2]Entry!$R$653)</f>
        <v/>
      </c>
    </row>
    <row r="651">
      <c r="P651">
        <f>IF([2]Entry!$C$654="","",[2]Entry!$C$654)</f>
        <v/>
      </c>
      <c r="Q651">
        <f>IF([2]Entry!$D$654="","",[2]Entry!$D$654)</f>
        <v/>
      </c>
      <c r="R651">
        <f>IF([2]Entry!$E$654="","",[2]Entry!$E$654)</f>
        <v/>
      </c>
      <c r="S651">
        <f>IF([2]Entry!$G$654="","",[2]Entry!$G$654)</f>
        <v/>
      </c>
      <c r="T651">
        <f>IF([2]Entry!$J$654="","",[2]Entry!$J$654)</f>
        <v/>
      </c>
      <c r="U651">
        <f>IF([2]Entry!$K$654="","",[2]Entry!$K$654)</f>
        <v/>
      </c>
      <c r="V651">
        <f>IF([2]Entry!$L$654="","",[2]Entry!$L$654)</f>
        <v/>
      </c>
      <c r="W651">
        <f>IF([2]Entry!$M$654="","",[2]Entry!$M$654)</f>
        <v/>
      </c>
      <c r="X651">
        <f>IF([2]Entry!$N$654="","",[2]Entry!$N$654)</f>
        <v/>
      </c>
      <c r="Y651">
        <f>IF([2]Entry!$R$654="","",[2]Entry!$R$654)</f>
        <v/>
      </c>
    </row>
    <row r="652">
      <c r="P652">
        <f>IF([2]Entry!$C$655="","",[2]Entry!$C$655)</f>
        <v/>
      </c>
      <c r="Q652">
        <f>IF([2]Entry!$D$655="","",[2]Entry!$D$655)</f>
        <v/>
      </c>
      <c r="R652">
        <f>IF([2]Entry!$E$655="","",[2]Entry!$E$655)</f>
        <v/>
      </c>
      <c r="S652">
        <f>IF([2]Entry!$G$655="","",[2]Entry!$G$655)</f>
        <v/>
      </c>
      <c r="T652">
        <f>IF([2]Entry!$J$655="","",[2]Entry!$J$655)</f>
        <v/>
      </c>
      <c r="U652">
        <f>IF([2]Entry!$K$655="","",[2]Entry!$K$655)</f>
        <v/>
      </c>
      <c r="V652">
        <f>IF([2]Entry!$L$655="","",[2]Entry!$L$655)</f>
        <v/>
      </c>
      <c r="W652">
        <f>IF([2]Entry!$M$655="","",[2]Entry!$M$655)</f>
        <v/>
      </c>
      <c r="X652">
        <f>IF([2]Entry!$N$655="","",[2]Entry!$N$655)</f>
        <v/>
      </c>
      <c r="Y652">
        <f>IF([2]Entry!$R$655="","",[2]Entry!$R$655)</f>
        <v/>
      </c>
    </row>
    <row r="653">
      <c r="P653">
        <f>IF([2]Entry!$C$656="","",[2]Entry!$C$656)</f>
        <v/>
      </c>
      <c r="Q653">
        <f>IF([2]Entry!$D$656="","",[2]Entry!$D$656)</f>
        <v/>
      </c>
      <c r="R653">
        <f>IF([2]Entry!$E$656="","",[2]Entry!$E$656)</f>
        <v/>
      </c>
      <c r="S653">
        <f>IF([2]Entry!$G$656="","",[2]Entry!$G$656)</f>
        <v/>
      </c>
      <c r="T653">
        <f>IF([2]Entry!$J$656="","",[2]Entry!$J$656)</f>
        <v/>
      </c>
      <c r="U653">
        <f>IF([2]Entry!$K$656="","",[2]Entry!$K$656)</f>
        <v/>
      </c>
      <c r="V653">
        <f>IF([2]Entry!$L$656="","",[2]Entry!$L$656)</f>
        <v/>
      </c>
      <c r="W653">
        <f>IF([2]Entry!$M$656="","",[2]Entry!$M$656)</f>
        <v/>
      </c>
      <c r="X653">
        <f>IF([2]Entry!$N$656="","",[2]Entry!$N$656)</f>
        <v/>
      </c>
      <c r="Y653">
        <f>IF([2]Entry!$R$656="","",[2]Entry!$R$656)</f>
        <v/>
      </c>
    </row>
    <row r="654">
      <c r="P654">
        <f>IF([2]Entry!$C$657="","",[2]Entry!$C$657)</f>
        <v/>
      </c>
      <c r="Q654">
        <f>IF([2]Entry!$D$657="","",[2]Entry!$D$657)</f>
        <v/>
      </c>
      <c r="R654">
        <f>IF([2]Entry!$E$657="","",[2]Entry!$E$657)</f>
        <v/>
      </c>
      <c r="S654">
        <f>IF([2]Entry!$G$657="","",[2]Entry!$G$657)</f>
        <v/>
      </c>
      <c r="T654">
        <f>IF([2]Entry!$J$657="","",[2]Entry!$J$657)</f>
        <v/>
      </c>
      <c r="U654">
        <f>IF([2]Entry!$K$657="","",[2]Entry!$K$657)</f>
        <v/>
      </c>
      <c r="V654">
        <f>IF([2]Entry!$L$657="","",[2]Entry!$L$657)</f>
        <v/>
      </c>
      <c r="W654">
        <f>IF([2]Entry!$M$657="","",[2]Entry!$M$657)</f>
        <v/>
      </c>
      <c r="X654">
        <f>IF([2]Entry!$N$657="","",[2]Entry!$N$657)</f>
        <v/>
      </c>
      <c r="Y654">
        <f>IF([2]Entry!$R$657="","",[2]Entry!$R$657)</f>
        <v/>
      </c>
    </row>
    <row r="655">
      <c r="P655">
        <f>IF([2]Entry!$C$658="","",[2]Entry!$C$658)</f>
        <v/>
      </c>
      <c r="Q655">
        <f>IF([2]Entry!$D$658="","",[2]Entry!$D$658)</f>
        <v/>
      </c>
      <c r="R655">
        <f>IF([2]Entry!$E$658="","",[2]Entry!$E$658)</f>
        <v/>
      </c>
      <c r="S655">
        <f>IF([2]Entry!$G$658="","",[2]Entry!$G$658)</f>
        <v/>
      </c>
      <c r="T655">
        <f>IF([2]Entry!$J$658="","",[2]Entry!$J$658)</f>
        <v/>
      </c>
      <c r="U655">
        <f>IF([2]Entry!$K$658="","",[2]Entry!$K$658)</f>
        <v/>
      </c>
      <c r="V655">
        <f>IF([2]Entry!$L$658="","",[2]Entry!$L$658)</f>
        <v/>
      </c>
      <c r="W655">
        <f>IF([2]Entry!$M$658="","",[2]Entry!$M$658)</f>
        <v/>
      </c>
      <c r="X655">
        <f>IF([2]Entry!$N$658="","",[2]Entry!$N$658)</f>
        <v/>
      </c>
      <c r="Y655">
        <f>IF([2]Entry!$R$658="","",[2]Entry!$R$658)</f>
        <v/>
      </c>
    </row>
    <row r="656">
      <c r="P656">
        <f>IF([2]Entry!$C$659="","",[2]Entry!$C$659)</f>
        <v/>
      </c>
      <c r="Q656">
        <f>IF([2]Entry!$D$659="","",[2]Entry!$D$659)</f>
        <v/>
      </c>
      <c r="R656">
        <f>IF([2]Entry!$E$659="","",[2]Entry!$E$659)</f>
        <v/>
      </c>
      <c r="S656">
        <f>IF([2]Entry!$G$659="","",[2]Entry!$G$659)</f>
        <v/>
      </c>
      <c r="T656">
        <f>IF([2]Entry!$J$659="","",[2]Entry!$J$659)</f>
        <v/>
      </c>
      <c r="U656">
        <f>IF([2]Entry!$K$659="","",[2]Entry!$K$659)</f>
        <v/>
      </c>
      <c r="V656">
        <f>IF([2]Entry!$L$659="","",[2]Entry!$L$659)</f>
        <v/>
      </c>
      <c r="W656">
        <f>IF([2]Entry!$M$659="","",[2]Entry!$M$659)</f>
        <v/>
      </c>
      <c r="X656">
        <f>IF([2]Entry!$N$659="","",[2]Entry!$N$659)</f>
        <v/>
      </c>
      <c r="Y656">
        <f>IF([2]Entry!$R$659="","",[2]Entry!$R$659)</f>
        <v/>
      </c>
    </row>
    <row r="657">
      <c r="P657">
        <f>IF([2]Entry!$C$660="","",[2]Entry!$C$660)</f>
        <v/>
      </c>
      <c r="Q657">
        <f>IF([2]Entry!$D$660="","",[2]Entry!$D$660)</f>
        <v/>
      </c>
      <c r="R657">
        <f>IF([2]Entry!$E$660="","",[2]Entry!$E$660)</f>
        <v/>
      </c>
      <c r="S657">
        <f>IF([2]Entry!$G$660="","",[2]Entry!$G$660)</f>
        <v/>
      </c>
      <c r="T657">
        <f>IF([2]Entry!$J$660="","",[2]Entry!$J$660)</f>
        <v/>
      </c>
      <c r="U657">
        <f>IF([2]Entry!$K$660="","",[2]Entry!$K$660)</f>
        <v/>
      </c>
      <c r="V657">
        <f>IF([2]Entry!$L$660="","",[2]Entry!$L$660)</f>
        <v/>
      </c>
      <c r="W657">
        <f>IF([2]Entry!$M$660="","",[2]Entry!$M$660)</f>
        <v/>
      </c>
      <c r="X657">
        <f>IF([2]Entry!$N$660="","",[2]Entry!$N$660)</f>
        <v/>
      </c>
      <c r="Y657">
        <f>IF([2]Entry!$R$660="","",[2]Entry!$R$660)</f>
        <v/>
      </c>
    </row>
    <row r="658">
      <c r="P658">
        <f>IF([2]Entry!$C$661="","",[2]Entry!$C$661)</f>
        <v/>
      </c>
      <c r="Q658">
        <f>IF([2]Entry!$D$661="","",[2]Entry!$D$661)</f>
        <v/>
      </c>
      <c r="R658">
        <f>IF([2]Entry!$E$661="","",[2]Entry!$E$661)</f>
        <v/>
      </c>
      <c r="S658">
        <f>IF([2]Entry!$G$661="","",[2]Entry!$G$661)</f>
        <v/>
      </c>
      <c r="T658">
        <f>IF([2]Entry!$J$661="","",[2]Entry!$J$661)</f>
        <v/>
      </c>
      <c r="U658">
        <f>IF([2]Entry!$K$661="","",[2]Entry!$K$661)</f>
        <v/>
      </c>
      <c r="V658">
        <f>IF([2]Entry!$L$661="","",[2]Entry!$L$661)</f>
        <v/>
      </c>
      <c r="W658">
        <f>IF([2]Entry!$M$661="","",[2]Entry!$M$661)</f>
        <v/>
      </c>
      <c r="X658">
        <f>IF([2]Entry!$N$661="","",[2]Entry!$N$661)</f>
        <v/>
      </c>
      <c r="Y658">
        <f>IF([2]Entry!$R$661="","",[2]Entry!$R$661)</f>
        <v/>
      </c>
    </row>
    <row r="659">
      <c r="P659">
        <f>IF([2]Entry!$C$662="","",[2]Entry!$C$662)</f>
        <v/>
      </c>
      <c r="Q659">
        <f>IF([2]Entry!$D$662="","",[2]Entry!$D$662)</f>
        <v/>
      </c>
      <c r="R659">
        <f>IF([2]Entry!$E$662="","",[2]Entry!$E$662)</f>
        <v/>
      </c>
      <c r="S659">
        <f>IF([2]Entry!$G$662="","",[2]Entry!$G$662)</f>
        <v/>
      </c>
      <c r="T659">
        <f>IF([2]Entry!$J$662="","",[2]Entry!$J$662)</f>
        <v/>
      </c>
      <c r="U659">
        <f>IF([2]Entry!$K$662="","",[2]Entry!$K$662)</f>
        <v/>
      </c>
      <c r="V659">
        <f>IF([2]Entry!$L$662="","",[2]Entry!$L$662)</f>
        <v/>
      </c>
      <c r="W659">
        <f>IF([2]Entry!$M$662="","",[2]Entry!$M$662)</f>
        <v/>
      </c>
      <c r="X659">
        <f>IF([2]Entry!$N$662="","",[2]Entry!$N$662)</f>
        <v/>
      </c>
      <c r="Y659">
        <f>IF([2]Entry!$R$662="","",[2]Entry!$R$662)</f>
        <v/>
      </c>
    </row>
    <row r="660">
      <c r="P660">
        <f>IF([2]Entry!$C$663="","",[2]Entry!$C$663)</f>
        <v/>
      </c>
      <c r="Q660">
        <f>IF([2]Entry!$D$663="","",[2]Entry!$D$663)</f>
        <v/>
      </c>
      <c r="R660">
        <f>IF([2]Entry!$E$663="","",[2]Entry!$E$663)</f>
        <v/>
      </c>
      <c r="S660">
        <f>IF([2]Entry!$G$663="","",[2]Entry!$G$663)</f>
        <v/>
      </c>
      <c r="T660">
        <f>IF([2]Entry!$J$663="","",[2]Entry!$J$663)</f>
        <v/>
      </c>
      <c r="U660">
        <f>IF([2]Entry!$K$663="","",[2]Entry!$K$663)</f>
        <v/>
      </c>
      <c r="V660">
        <f>IF([2]Entry!$L$663="","",[2]Entry!$L$663)</f>
        <v/>
      </c>
      <c r="W660">
        <f>IF([2]Entry!$M$663="","",[2]Entry!$M$663)</f>
        <v/>
      </c>
      <c r="X660">
        <f>IF([2]Entry!$N$663="","",[2]Entry!$N$663)</f>
        <v/>
      </c>
      <c r="Y660">
        <f>IF([2]Entry!$R$663="","",[2]Entry!$R$663)</f>
        <v/>
      </c>
    </row>
    <row r="661">
      <c r="P661">
        <f>IF([2]Entry!$C$664="","",[2]Entry!$C$664)</f>
        <v/>
      </c>
      <c r="Q661">
        <f>IF([2]Entry!$D$664="","",[2]Entry!$D$664)</f>
        <v/>
      </c>
      <c r="R661">
        <f>IF([2]Entry!$E$664="","",[2]Entry!$E$664)</f>
        <v/>
      </c>
      <c r="S661">
        <f>IF([2]Entry!$G$664="","",[2]Entry!$G$664)</f>
        <v/>
      </c>
      <c r="T661">
        <f>IF([2]Entry!$J$664="","",[2]Entry!$J$664)</f>
        <v/>
      </c>
      <c r="U661">
        <f>IF([2]Entry!$K$664="","",[2]Entry!$K$664)</f>
        <v/>
      </c>
      <c r="V661">
        <f>IF([2]Entry!$L$664="","",[2]Entry!$L$664)</f>
        <v/>
      </c>
      <c r="W661">
        <f>IF([2]Entry!$M$664="","",[2]Entry!$M$664)</f>
        <v/>
      </c>
      <c r="X661">
        <f>IF([2]Entry!$N$664="","",[2]Entry!$N$664)</f>
        <v/>
      </c>
      <c r="Y661">
        <f>IF([2]Entry!$R$664="","",[2]Entry!$R$664)</f>
        <v/>
      </c>
    </row>
    <row r="662">
      <c r="P662">
        <f>IF([2]Entry!$C$665="","",[2]Entry!$C$665)</f>
        <v/>
      </c>
      <c r="Q662">
        <f>IF([2]Entry!$D$665="","",[2]Entry!$D$665)</f>
        <v/>
      </c>
      <c r="R662">
        <f>IF([2]Entry!$E$665="","",[2]Entry!$E$665)</f>
        <v/>
      </c>
      <c r="S662">
        <f>IF([2]Entry!$G$665="","",[2]Entry!$G$665)</f>
        <v/>
      </c>
      <c r="T662">
        <f>IF([2]Entry!$J$665="","",[2]Entry!$J$665)</f>
        <v/>
      </c>
      <c r="U662">
        <f>IF([2]Entry!$K$665="","",[2]Entry!$K$665)</f>
        <v/>
      </c>
      <c r="V662">
        <f>IF([2]Entry!$L$665="","",[2]Entry!$L$665)</f>
        <v/>
      </c>
      <c r="W662">
        <f>IF([2]Entry!$M$665="","",[2]Entry!$M$665)</f>
        <v/>
      </c>
      <c r="X662">
        <f>IF([2]Entry!$N$665="","",[2]Entry!$N$665)</f>
        <v/>
      </c>
      <c r="Y662">
        <f>IF([2]Entry!$R$665="","",[2]Entry!$R$665)</f>
        <v/>
      </c>
    </row>
    <row r="663">
      <c r="P663">
        <f>IF([2]Entry!$C$666="","",[2]Entry!$C$666)</f>
        <v/>
      </c>
      <c r="Q663">
        <f>IF([2]Entry!$D$666="","",[2]Entry!$D$666)</f>
        <v/>
      </c>
      <c r="R663">
        <f>IF([2]Entry!$E$666="","",[2]Entry!$E$666)</f>
        <v/>
      </c>
      <c r="S663">
        <f>IF([2]Entry!$G$666="","",[2]Entry!$G$666)</f>
        <v/>
      </c>
      <c r="T663">
        <f>IF([2]Entry!$J$666="","",[2]Entry!$J$666)</f>
        <v/>
      </c>
      <c r="U663">
        <f>IF([2]Entry!$K$666="","",[2]Entry!$K$666)</f>
        <v/>
      </c>
      <c r="V663">
        <f>IF([2]Entry!$L$666="","",[2]Entry!$L$666)</f>
        <v/>
      </c>
      <c r="W663">
        <f>IF([2]Entry!$M$666="","",[2]Entry!$M$666)</f>
        <v/>
      </c>
      <c r="X663">
        <f>IF([2]Entry!$N$666="","",[2]Entry!$N$666)</f>
        <v/>
      </c>
      <c r="Y663">
        <f>IF([2]Entry!$R$666="","",[2]Entry!$R$666)</f>
        <v/>
      </c>
    </row>
    <row r="664">
      <c r="P664">
        <f>IF([2]Entry!$C$667="","",[2]Entry!$C$667)</f>
        <v/>
      </c>
      <c r="Q664">
        <f>IF([2]Entry!$D$667="","",[2]Entry!$D$667)</f>
        <v/>
      </c>
      <c r="R664">
        <f>IF([2]Entry!$E$667="","",[2]Entry!$E$667)</f>
        <v/>
      </c>
      <c r="S664">
        <f>IF([2]Entry!$G$667="","",[2]Entry!$G$667)</f>
        <v/>
      </c>
      <c r="T664">
        <f>IF([2]Entry!$J$667="","",[2]Entry!$J$667)</f>
        <v/>
      </c>
      <c r="U664">
        <f>IF([2]Entry!$K$667="","",[2]Entry!$K$667)</f>
        <v/>
      </c>
      <c r="V664">
        <f>IF([2]Entry!$L$667="","",[2]Entry!$L$667)</f>
        <v/>
      </c>
      <c r="W664">
        <f>IF([2]Entry!$M$667="","",[2]Entry!$M$667)</f>
        <v/>
      </c>
      <c r="X664">
        <f>IF([2]Entry!$N$667="","",[2]Entry!$N$667)</f>
        <v/>
      </c>
      <c r="Y664">
        <f>IF([2]Entry!$R$667="","",[2]Entry!$R$667)</f>
        <v/>
      </c>
    </row>
    <row r="665">
      <c r="P665">
        <f>IF([2]Entry!$C$668="","",[2]Entry!$C$668)</f>
        <v/>
      </c>
      <c r="Q665">
        <f>IF([2]Entry!$D$668="","",[2]Entry!$D$668)</f>
        <v/>
      </c>
      <c r="R665">
        <f>IF([2]Entry!$E$668="","",[2]Entry!$E$668)</f>
        <v/>
      </c>
      <c r="S665">
        <f>IF([2]Entry!$G$668="","",[2]Entry!$G$668)</f>
        <v/>
      </c>
      <c r="T665">
        <f>IF([2]Entry!$J$668="","",[2]Entry!$J$668)</f>
        <v/>
      </c>
      <c r="U665">
        <f>IF([2]Entry!$K$668="","",[2]Entry!$K$668)</f>
        <v/>
      </c>
      <c r="V665">
        <f>IF([2]Entry!$L$668="","",[2]Entry!$L$668)</f>
        <v/>
      </c>
      <c r="W665">
        <f>IF([2]Entry!$M$668="","",[2]Entry!$M$668)</f>
        <v/>
      </c>
      <c r="X665">
        <f>IF([2]Entry!$N$668="","",[2]Entry!$N$668)</f>
        <v/>
      </c>
      <c r="Y665">
        <f>IF([2]Entry!$R$668="","",[2]Entry!$R$668)</f>
        <v/>
      </c>
    </row>
    <row r="666">
      <c r="P666">
        <f>IF([2]Entry!$C$669="","",[2]Entry!$C$669)</f>
        <v/>
      </c>
      <c r="Q666">
        <f>IF([2]Entry!$D$669="","",[2]Entry!$D$669)</f>
        <v/>
      </c>
      <c r="R666">
        <f>IF([2]Entry!$E$669="","",[2]Entry!$E$669)</f>
        <v/>
      </c>
      <c r="S666">
        <f>IF([2]Entry!$G$669="","",[2]Entry!$G$669)</f>
        <v/>
      </c>
      <c r="T666">
        <f>IF([2]Entry!$J$669="","",[2]Entry!$J$669)</f>
        <v/>
      </c>
      <c r="U666">
        <f>IF([2]Entry!$K$669="","",[2]Entry!$K$669)</f>
        <v/>
      </c>
      <c r="V666">
        <f>IF([2]Entry!$L$669="","",[2]Entry!$L$669)</f>
        <v/>
      </c>
      <c r="W666">
        <f>IF([2]Entry!$M$669="","",[2]Entry!$M$669)</f>
        <v/>
      </c>
      <c r="X666">
        <f>IF([2]Entry!$N$669="","",[2]Entry!$N$669)</f>
        <v/>
      </c>
      <c r="Y666">
        <f>IF([2]Entry!$R$669="","",[2]Entry!$R$669)</f>
        <v/>
      </c>
    </row>
    <row r="667">
      <c r="P667">
        <f>IF([2]Entry!$C$670="","",[2]Entry!$C$670)</f>
        <v/>
      </c>
      <c r="Q667">
        <f>IF([2]Entry!$D$670="","",[2]Entry!$D$670)</f>
        <v/>
      </c>
      <c r="R667">
        <f>IF([2]Entry!$E$670="","",[2]Entry!$E$670)</f>
        <v/>
      </c>
      <c r="S667">
        <f>IF([2]Entry!$G$670="","",[2]Entry!$G$670)</f>
        <v/>
      </c>
      <c r="T667">
        <f>IF([2]Entry!$J$670="","",[2]Entry!$J$670)</f>
        <v/>
      </c>
      <c r="U667">
        <f>IF([2]Entry!$K$670="","",[2]Entry!$K$670)</f>
        <v/>
      </c>
      <c r="V667">
        <f>IF([2]Entry!$L$670="","",[2]Entry!$L$670)</f>
        <v/>
      </c>
      <c r="W667">
        <f>IF([2]Entry!$M$670="","",[2]Entry!$M$670)</f>
        <v/>
      </c>
      <c r="X667">
        <f>IF([2]Entry!$N$670="","",[2]Entry!$N$670)</f>
        <v/>
      </c>
      <c r="Y667">
        <f>IF([2]Entry!$R$670="","",[2]Entry!$R$670)</f>
        <v/>
      </c>
    </row>
    <row r="668">
      <c r="P668">
        <f>IF([2]Entry!$C$671="","",[2]Entry!$C$671)</f>
        <v/>
      </c>
      <c r="Q668">
        <f>IF([2]Entry!$D$671="","",[2]Entry!$D$671)</f>
        <v/>
      </c>
      <c r="R668">
        <f>IF([2]Entry!$E$671="","",[2]Entry!$E$671)</f>
        <v/>
      </c>
      <c r="S668">
        <f>IF([2]Entry!$G$671="","",[2]Entry!$G$671)</f>
        <v/>
      </c>
      <c r="T668">
        <f>IF([2]Entry!$J$671="","",[2]Entry!$J$671)</f>
        <v/>
      </c>
      <c r="U668">
        <f>IF([2]Entry!$K$671="","",[2]Entry!$K$671)</f>
        <v/>
      </c>
      <c r="V668">
        <f>IF([2]Entry!$L$671="","",[2]Entry!$L$671)</f>
        <v/>
      </c>
      <c r="W668">
        <f>IF([2]Entry!$M$671="","",[2]Entry!$M$671)</f>
        <v/>
      </c>
      <c r="X668">
        <f>IF([2]Entry!$N$671="","",[2]Entry!$N$671)</f>
        <v/>
      </c>
      <c r="Y668">
        <f>IF([2]Entry!$R$671="","",[2]Entry!$R$671)</f>
        <v/>
      </c>
    </row>
    <row r="669">
      <c r="P669">
        <f>IF([2]Entry!$C$672="","",[2]Entry!$C$672)</f>
        <v/>
      </c>
      <c r="Q669">
        <f>IF([2]Entry!$D$672="","",[2]Entry!$D$672)</f>
        <v/>
      </c>
      <c r="R669">
        <f>IF([2]Entry!$E$672="","",[2]Entry!$E$672)</f>
        <v/>
      </c>
      <c r="S669">
        <f>IF([2]Entry!$G$672="","",[2]Entry!$G$672)</f>
        <v/>
      </c>
      <c r="T669">
        <f>IF([2]Entry!$J$672="","",[2]Entry!$J$672)</f>
        <v/>
      </c>
      <c r="U669">
        <f>IF([2]Entry!$K$672="","",[2]Entry!$K$672)</f>
        <v/>
      </c>
      <c r="V669">
        <f>IF([2]Entry!$L$672="","",[2]Entry!$L$672)</f>
        <v/>
      </c>
      <c r="W669">
        <f>IF([2]Entry!$M$672="","",[2]Entry!$M$672)</f>
        <v/>
      </c>
      <c r="X669">
        <f>IF([2]Entry!$N$672="","",[2]Entry!$N$672)</f>
        <v/>
      </c>
      <c r="Y669">
        <f>IF([2]Entry!$R$672="","",[2]Entry!$R$672)</f>
        <v/>
      </c>
    </row>
    <row r="670">
      <c r="P670">
        <f>IF([2]Entry!$C$673="","",[2]Entry!$C$673)</f>
        <v/>
      </c>
      <c r="Q670">
        <f>IF([2]Entry!$D$673="","",[2]Entry!$D$673)</f>
        <v/>
      </c>
      <c r="R670">
        <f>IF([2]Entry!$E$673="","",[2]Entry!$E$673)</f>
        <v/>
      </c>
      <c r="S670">
        <f>IF([2]Entry!$G$673="","",[2]Entry!$G$673)</f>
        <v/>
      </c>
      <c r="T670">
        <f>IF([2]Entry!$J$673="","",[2]Entry!$J$673)</f>
        <v/>
      </c>
      <c r="U670">
        <f>IF([2]Entry!$K$673="","",[2]Entry!$K$673)</f>
        <v/>
      </c>
      <c r="V670">
        <f>IF([2]Entry!$L$673="","",[2]Entry!$L$673)</f>
        <v/>
      </c>
      <c r="W670">
        <f>IF([2]Entry!$M$673="","",[2]Entry!$M$673)</f>
        <v/>
      </c>
      <c r="X670">
        <f>IF([2]Entry!$N$673="","",[2]Entry!$N$673)</f>
        <v/>
      </c>
      <c r="Y670">
        <f>IF([2]Entry!$R$673="","",[2]Entry!$R$673)</f>
        <v/>
      </c>
    </row>
    <row r="671">
      <c r="P671">
        <f>IF([2]Entry!$C$674="","",[2]Entry!$C$674)</f>
        <v/>
      </c>
      <c r="Q671">
        <f>IF([2]Entry!$D$674="","",[2]Entry!$D$674)</f>
        <v/>
      </c>
      <c r="R671">
        <f>IF([2]Entry!$E$674="","",[2]Entry!$E$674)</f>
        <v/>
      </c>
      <c r="S671">
        <f>IF([2]Entry!$G$674="","",[2]Entry!$G$674)</f>
        <v/>
      </c>
      <c r="T671">
        <f>IF([2]Entry!$J$674="","",[2]Entry!$J$674)</f>
        <v/>
      </c>
      <c r="U671">
        <f>IF([2]Entry!$K$674="","",[2]Entry!$K$674)</f>
        <v/>
      </c>
      <c r="V671">
        <f>IF([2]Entry!$L$674="","",[2]Entry!$L$674)</f>
        <v/>
      </c>
      <c r="W671">
        <f>IF([2]Entry!$M$674="","",[2]Entry!$M$674)</f>
        <v/>
      </c>
      <c r="X671">
        <f>IF([2]Entry!$N$674="","",[2]Entry!$N$674)</f>
        <v/>
      </c>
      <c r="Y671">
        <f>IF([2]Entry!$R$674="","",[2]Entry!$R$674)</f>
        <v/>
      </c>
    </row>
    <row r="672">
      <c r="P672">
        <f>IF([2]Entry!$C$675="","",[2]Entry!$C$675)</f>
        <v/>
      </c>
      <c r="Q672">
        <f>IF([2]Entry!$D$675="","",[2]Entry!$D$675)</f>
        <v/>
      </c>
      <c r="R672">
        <f>IF([2]Entry!$E$675="","",[2]Entry!$E$675)</f>
        <v/>
      </c>
      <c r="S672">
        <f>IF([2]Entry!$G$675="","",[2]Entry!$G$675)</f>
        <v/>
      </c>
      <c r="T672">
        <f>IF([2]Entry!$J$675="","",[2]Entry!$J$675)</f>
        <v/>
      </c>
      <c r="U672">
        <f>IF([2]Entry!$K$675="","",[2]Entry!$K$675)</f>
        <v/>
      </c>
      <c r="V672">
        <f>IF([2]Entry!$L$675="","",[2]Entry!$L$675)</f>
        <v/>
      </c>
      <c r="W672">
        <f>IF([2]Entry!$M$675="","",[2]Entry!$M$675)</f>
        <v/>
      </c>
      <c r="X672">
        <f>IF([2]Entry!$N$675="","",[2]Entry!$N$675)</f>
        <v/>
      </c>
      <c r="Y672">
        <f>IF([2]Entry!$R$675="","",[2]Entry!$R$675)</f>
        <v/>
      </c>
    </row>
    <row r="673">
      <c r="P673">
        <f>IF([2]Entry!$C$676="","",[2]Entry!$C$676)</f>
        <v/>
      </c>
      <c r="Q673">
        <f>IF([2]Entry!$D$676="","",[2]Entry!$D$676)</f>
        <v/>
      </c>
      <c r="R673">
        <f>IF([2]Entry!$E$676="","",[2]Entry!$E$676)</f>
        <v/>
      </c>
      <c r="S673">
        <f>IF([2]Entry!$G$676="","",[2]Entry!$G$676)</f>
        <v/>
      </c>
      <c r="T673">
        <f>IF([2]Entry!$J$676="","",[2]Entry!$J$676)</f>
        <v/>
      </c>
      <c r="U673">
        <f>IF([2]Entry!$K$676="","",[2]Entry!$K$676)</f>
        <v/>
      </c>
      <c r="V673">
        <f>IF([2]Entry!$L$676="","",[2]Entry!$L$676)</f>
        <v/>
      </c>
      <c r="W673">
        <f>IF([2]Entry!$M$676="","",[2]Entry!$M$676)</f>
        <v/>
      </c>
      <c r="X673">
        <f>IF([2]Entry!$N$676="","",[2]Entry!$N$676)</f>
        <v/>
      </c>
      <c r="Y673">
        <f>IF([2]Entry!$R$676="","",[2]Entry!$R$676)</f>
        <v/>
      </c>
    </row>
    <row r="674">
      <c r="P674">
        <f>IF([2]Entry!$C$677="","",[2]Entry!$C$677)</f>
        <v/>
      </c>
      <c r="Q674">
        <f>IF([2]Entry!$D$677="","",[2]Entry!$D$677)</f>
        <v/>
      </c>
      <c r="R674">
        <f>IF([2]Entry!$E$677="","",[2]Entry!$E$677)</f>
        <v/>
      </c>
      <c r="S674">
        <f>IF([2]Entry!$G$677="","",[2]Entry!$G$677)</f>
        <v/>
      </c>
      <c r="T674">
        <f>IF([2]Entry!$J$677="","",[2]Entry!$J$677)</f>
        <v/>
      </c>
      <c r="U674">
        <f>IF([2]Entry!$K$677="","",[2]Entry!$K$677)</f>
        <v/>
      </c>
      <c r="V674">
        <f>IF([2]Entry!$L$677="","",[2]Entry!$L$677)</f>
        <v/>
      </c>
      <c r="W674">
        <f>IF([2]Entry!$M$677="","",[2]Entry!$M$677)</f>
        <v/>
      </c>
      <c r="X674">
        <f>IF([2]Entry!$N$677="","",[2]Entry!$N$677)</f>
        <v/>
      </c>
      <c r="Y674">
        <f>IF([2]Entry!$R$677="","",[2]Entry!$R$677)</f>
        <v/>
      </c>
    </row>
    <row r="675">
      <c r="P675">
        <f>IF([2]Entry!$C$678="","",[2]Entry!$C$678)</f>
        <v/>
      </c>
      <c r="Q675">
        <f>IF([2]Entry!$D$678="","",[2]Entry!$D$678)</f>
        <v/>
      </c>
      <c r="R675">
        <f>IF([2]Entry!$E$678="","",[2]Entry!$E$678)</f>
        <v/>
      </c>
      <c r="S675">
        <f>IF([2]Entry!$G$678="","",[2]Entry!$G$678)</f>
        <v/>
      </c>
      <c r="T675">
        <f>IF([2]Entry!$J$678="","",[2]Entry!$J$678)</f>
        <v/>
      </c>
      <c r="U675">
        <f>IF([2]Entry!$K$678="","",[2]Entry!$K$678)</f>
        <v/>
      </c>
      <c r="V675">
        <f>IF([2]Entry!$L$678="","",[2]Entry!$L$678)</f>
        <v/>
      </c>
      <c r="W675">
        <f>IF([2]Entry!$M$678="","",[2]Entry!$M$678)</f>
        <v/>
      </c>
      <c r="X675">
        <f>IF([2]Entry!$N$678="","",[2]Entry!$N$678)</f>
        <v/>
      </c>
      <c r="Y675">
        <f>IF([2]Entry!$R$678="","",[2]Entry!$R$678)</f>
        <v/>
      </c>
    </row>
    <row r="676">
      <c r="P676">
        <f>IF([2]Entry!$C$679="","",[2]Entry!$C$679)</f>
        <v/>
      </c>
      <c r="Q676">
        <f>IF([2]Entry!$D$679="","",[2]Entry!$D$679)</f>
        <v/>
      </c>
      <c r="R676">
        <f>IF([2]Entry!$E$679="","",[2]Entry!$E$679)</f>
        <v/>
      </c>
      <c r="S676">
        <f>IF([2]Entry!$G$679="","",[2]Entry!$G$679)</f>
        <v/>
      </c>
      <c r="T676">
        <f>IF([2]Entry!$J$679="","",[2]Entry!$J$679)</f>
        <v/>
      </c>
      <c r="U676">
        <f>IF([2]Entry!$K$679="","",[2]Entry!$K$679)</f>
        <v/>
      </c>
      <c r="V676">
        <f>IF([2]Entry!$L$679="","",[2]Entry!$L$679)</f>
        <v/>
      </c>
      <c r="W676">
        <f>IF([2]Entry!$M$679="","",[2]Entry!$M$679)</f>
        <v/>
      </c>
      <c r="X676">
        <f>IF([2]Entry!$N$679="","",[2]Entry!$N$679)</f>
        <v/>
      </c>
      <c r="Y676">
        <f>IF([2]Entry!$R$679="","",[2]Entry!$R$679)</f>
        <v/>
      </c>
    </row>
    <row r="677">
      <c r="P677">
        <f>IF([2]Entry!$C$680="","",[2]Entry!$C$680)</f>
        <v/>
      </c>
      <c r="Q677">
        <f>IF([2]Entry!$D$680="","",[2]Entry!$D$680)</f>
        <v/>
      </c>
      <c r="R677">
        <f>IF([2]Entry!$E$680="","",[2]Entry!$E$680)</f>
        <v/>
      </c>
      <c r="S677">
        <f>IF([2]Entry!$G$680="","",[2]Entry!$G$680)</f>
        <v/>
      </c>
      <c r="T677">
        <f>IF([2]Entry!$J$680="","",[2]Entry!$J$680)</f>
        <v/>
      </c>
      <c r="U677">
        <f>IF([2]Entry!$K$680="","",[2]Entry!$K$680)</f>
        <v/>
      </c>
      <c r="V677">
        <f>IF([2]Entry!$L$680="","",[2]Entry!$L$680)</f>
        <v/>
      </c>
      <c r="W677">
        <f>IF([2]Entry!$M$680="","",[2]Entry!$M$680)</f>
        <v/>
      </c>
      <c r="X677">
        <f>IF([2]Entry!$N$680="","",[2]Entry!$N$680)</f>
        <v/>
      </c>
      <c r="Y677">
        <f>IF([2]Entry!$R$680="","",[2]Entry!$R$680)</f>
        <v/>
      </c>
    </row>
    <row r="678">
      <c r="P678">
        <f>IF([2]Entry!$C$681="","",[2]Entry!$C$681)</f>
        <v/>
      </c>
      <c r="Q678">
        <f>IF([2]Entry!$D$681="","",[2]Entry!$D$681)</f>
        <v/>
      </c>
      <c r="R678">
        <f>IF([2]Entry!$E$681="","",[2]Entry!$E$681)</f>
        <v/>
      </c>
      <c r="S678">
        <f>IF([2]Entry!$G$681="","",[2]Entry!$G$681)</f>
        <v/>
      </c>
      <c r="T678">
        <f>IF([2]Entry!$J$681="","",[2]Entry!$J$681)</f>
        <v/>
      </c>
      <c r="U678">
        <f>IF([2]Entry!$K$681="","",[2]Entry!$K$681)</f>
        <v/>
      </c>
      <c r="V678">
        <f>IF([2]Entry!$L$681="","",[2]Entry!$L$681)</f>
        <v/>
      </c>
      <c r="W678">
        <f>IF([2]Entry!$M$681="","",[2]Entry!$M$681)</f>
        <v/>
      </c>
      <c r="X678">
        <f>IF([2]Entry!$N$681="","",[2]Entry!$N$681)</f>
        <v/>
      </c>
      <c r="Y678">
        <f>IF([2]Entry!$R$681="","",[2]Entry!$R$681)</f>
        <v/>
      </c>
    </row>
    <row r="679">
      <c r="P679">
        <f>IF([2]Entry!$C$682="","",[2]Entry!$C$682)</f>
        <v/>
      </c>
      <c r="Q679">
        <f>IF([2]Entry!$D$682="","",[2]Entry!$D$682)</f>
        <v/>
      </c>
      <c r="R679">
        <f>IF([2]Entry!$E$682="","",[2]Entry!$E$682)</f>
        <v/>
      </c>
      <c r="S679">
        <f>IF([2]Entry!$G$682="","",[2]Entry!$G$682)</f>
        <v/>
      </c>
      <c r="T679">
        <f>IF([2]Entry!$J$682="","",[2]Entry!$J$682)</f>
        <v/>
      </c>
      <c r="U679">
        <f>IF([2]Entry!$K$682="","",[2]Entry!$K$682)</f>
        <v/>
      </c>
      <c r="V679">
        <f>IF([2]Entry!$L$682="","",[2]Entry!$L$682)</f>
        <v/>
      </c>
      <c r="W679">
        <f>IF([2]Entry!$M$682="","",[2]Entry!$M$682)</f>
        <v/>
      </c>
      <c r="X679">
        <f>IF([2]Entry!$N$682="","",[2]Entry!$N$682)</f>
        <v/>
      </c>
      <c r="Y679">
        <f>IF([2]Entry!$R$682="","",[2]Entry!$R$682)</f>
        <v/>
      </c>
    </row>
    <row r="680">
      <c r="P680">
        <f>IF([2]Entry!$C$683="","",[2]Entry!$C$683)</f>
        <v/>
      </c>
      <c r="Q680">
        <f>IF([2]Entry!$D$683="","",[2]Entry!$D$683)</f>
        <v/>
      </c>
      <c r="R680">
        <f>IF([2]Entry!$E$683="","",[2]Entry!$E$683)</f>
        <v/>
      </c>
      <c r="S680">
        <f>IF([2]Entry!$G$683="","",[2]Entry!$G$683)</f>
        <v/>
      </c>
      <c r="T680">
        <f>IF([2]Entry!$J$683="","",[2]Entry!$J$683)</f>
        <v/>
      </c>
      <c r="U680">
        <f>IF([2]Entry!$K$683="","",[2]Entry!$K$683)</f>
        <v/>
      </c>
      <c r="V680">
        <f>IF([2]Entry!$L$683="","",[2]Entry!$L$683)</f>
        <v/>
      </c>
      <c r="W680">
        <f>IF([2]Entry!$M$683="","",[2]Entry!$M$683)</f>
        <v/>
      </c>
      <c r="X680">
        <f>IF([2]Entry!$N$683="","",[2]Entry!$N$683)</f>
        <v/>
      </c>
      <c r="Y680">
        <f>IF([2]Entry!$R$683="","",[2]Entry!$R$683)</f>
        <v/>
      </c>
    </row>
    <row r="681">
      <c r="P681">
        <f>IF([2]Entry!$C$684="","",[2]Entry!$C$684)</f>
        <v/>
      </c>
      <c r="Q681">
        <f>IF([2]Entry!$D$684="","",[2]Entry!$D$684)</f>
        <v/>
      </c>
      <c r="R681">
        <f>IF([2]Entry!$E$684="","",[2]Entry!$E$684)</f>
        <v/>
      </c>
      <c r="S681">
        <f>IF([2]Entry!$G$684="","",[2]Entry!$G$684)</f>
        <v/>
      </c>
      <c r="T681">
        <f>IF([2]Entry!$J$684="","",[2]Entry!$J$684)</f>
        <v/>
      </c>
      <c r="U681">
        <f>IF([2]Entry!$K$684="","",[2]Entry!$K$684)</f>
        <v/>
      </c>
      <c r="V681">
        <f>IF([2]Entry!$L$684="","",[2]Entry!$L$684)</f>
        <v/>
      </c>
      <c r="W681">
        <f>IF([2]Entry!$M$684="","",[2]Entry!$M$684)</f>
        <v/>
      </c>
      <c r="X681">
        <f>IF([2]Entry!$N$684="","",[2]Entry!$N$684)</f>
        <v/>
      </c>
      <c r="Y681">
        <f>IF([2]Entry!$R$684="","",[2]Entry!$R$684)</f>
        <v/>
      </c>
    </row>
    <row r="682">
      <c r="P682">
        <f>IF([2]Entry!$C$685="","",[2]Entry!$C$685)</f>
        <v/>
      </c>
      <c r="Q682">
        <f>IF([2]Entry!$D$685="","",[2]Entry!$D$685)</f>
        <v/>
      </c>
      <c r="R682">
        <f>IF([2]Entry!$E$685="","",[2]Entry!$E$685)</f>
        <v/>
      </c>
      <c r="S682">
        <f>IF([2]Entry!$G$685="","",[2]Entry!$G$685)</f>
        <v/>
      </c>
      <c r="T682">
        <f>IF([2]Entry!$J$685="","",[2]Entry!$J$685)</f>
        <v/>
      </c>
      <c r="U682">
        <f>IF([2]Entry!$K$685="","",[2]Entry!$K$685)</f>
        <v/>
      </c>
      <c r="V682">
        <f>IF([2]Entry!$L$685="","",[2]Entry!$L$685)</f>
        <v/>
      </c>
      <c r="W682">
        <f>IF([2]Entry!$M$685="","",[2]Entry!$M$685)</f>
        <v/>
      </c>
      <c r="X682">
        <f>IF([2]Entry!$N$685="","",[2]Entry!$N$685)</f>
        <v/>
      </c>
      <c r="Y682">
        <f>IF([2]Entry!$R$685="","",[2]Entry!$R$685)</f>
        <v/>
      </c>
    </row>
    <row r="683">
      <c r="P683">
        <f>IF([2]Entry!$C$686="","",[2]Entry!$C$686)</f>
        <v/>
      </c>
      <c r="Q683">
        <f>IF([2]Entry!$D$686="","",[2]Entry!$D$686)</f>
        <v/>
      </c>
      <c r="R683">
        <f>IF([2]Entry!$E$686="","",[2]Entry!$E$686)</f>
        <v/>
      </c>
      <c r="S683">
        <f>IF([2]Entry!$G$686="","",[2]Entry!$G$686)</f>
        <v/>
      </c>
      <c r="T683">
        <f>IF([2]Entry!$J$686="","",[2]Entry!$J$686)</f>
        <v/>
      </c>
      <c r="U683">
        <f>IF([2]Entry!$K$686="","",[2]Entry!$K$686)</f>
        <v/>
      </c>
      <c r="V683">
        <f>IF([2]Entry!$L$686="","",[2]Entry!$L$686)</f>
        <v/>
      </c>
      <c r="W683">
        <f>IF([2]Entry!$M$686="","",[2]Entry!$M$686)</f>
        <v/>
      </c>
      <c r="X683">
        <f>IF([2]Entry!$N$686="","",[2]Entry!$N$686)</f>
        <v/>
      </c>
      <c r="Y683">
        <f>IF([2]Entry!$R$686="","",[2]Entry!$R$686)</f>
        <v/>
      </c>
    </row>
    <row r="684">
      <c r="P684">
        <f>IF([2]Entry!$C$687="","",[2]Entry!$C$687)</f>
        <v/>
      </c>
      <c r="Q684">
        <f>IF([2]Entry!$D$687="","",[2]Entry!$D$687)</f>
        <v/>
      </c>
      <c r="R684">
        <f>IF([2]Entry!$E$687="","",[2]Entry!$E$687)</f>
        <v/>
      </c>
      <c r="S684">
        <f>IF([2]Entry!$G$687="","",[2]Entry!$G$687)</f>
        <v/>
      </c>
      <c r="T684">
        <f>IF([2]Entry!$J$687="","",[2]Entry!$J$687)</f>
        <v/>
      </c>
      <c r="U684">
        <f>IF([2]Entry!$K$687="","",[2]Entry!$K$687)</f>
        <v/>
      </c>
      <c r="V684">
        <f>IF([2]Entry!$L$687="","",[2]Entry!$L$687)</f>
        <v/>
      </c>
      <c r="W684">
        <f>IF([2]Entry!$M$687="","",[2]Entry!$M$687)</f>
        <v/>
      </c>
      <c r="X684">
        <f>IF([2]Entry!$N$687="","",[2]Entry!$N$687)</f>
        <v/>
      </c>
      <c r="Y684">
        <f>IF([2]Entry!$R$687="","",[2]Entry!$R$687)</f>
        <v/>
      </c>
    </row>
    <row r="685">
      <c r="P685">
        <f>IF([2]Entry!$C$688="","",[2]Entry!$C$688)</f>
        <v/>
      </c>
      <c r="Q685">
        <f>IF([2]Entry!$D$688="","",[2]Entry!$D$688)</f>
        <v/>
      </c>
      <c r="R685">
        <f>IF([2]Entry!$E$688="","",[2]Entry!$E$688)</f>
        <v/>
      </c>
      <c r="S685">
        <f>IF([2]Entry!$G$688="","",[2]Entry!$G$688)</f>
        <v/>
      </c>
      <c r="T685">
        <f>IF([2]Entry!$J$688="","",[2]Entry!$J$688)</f>
        <v/>
      </c>
      <c r="U685">
        <f>IF([2]Entry!$K$688="","",[2]Entry!$K$688)</f>
        <v/>
      </c>
      <c r="V685">
        <f>IF([2]Entry!$L$688="","",[2]Entry!$L$688)</f>
        <v/>
      </c>
      <c r="W685">
        <f>IF([2]Entry!$M$688="","",[2]Entry!$M$688)</f>
        <v/>
      </c>
      <c r="X685">
        <f>IF([2]Entry!$N$688="","",[2]Entry!$N$688)</f>
        <v/>
      </c>
      <c r="Y685">
        <f>IF([2]Entry!$R$688="","",[2]Entry!$R$688)</f>
        <v/>
      </c>
    </row>
    <row r="686">
      <c r="P686">
        <f>IF([2]Entry!$C$689="","",[2]Entry!$C$689)</f>
        <v/>
      </c>
      <c r="Q686">
        <f>IF([2]Entry!$D$689="","",[2]Entry!$D$689)</f>
        <v/>
      </c>
      <c r="R686">
        <f>IF([2]Entry!$E$689="","",[2]Entry!$E$689)</f>
        <v/>
      </c>
      <c r="S686">
        <f>IF([2]Entry!$G$689="","",[2]Entry!$G$689)</f>
        <v/>
      </c>
      <c r="T686">
        <f>IF([2]Entry!$J$689="","",[2]Entry!$J$689)</f>
        <v/>
      </c>
      <c r="U686">
        <f>IF([2]Entry!$K$689="","",[2]Entry!$K$689)</f>
        <v/>
      </c>
      <c r="V686">
        <f>IF([2]Entry!$L$689="","",[2]Entry!$L$689)</f>
        <v/>
      </c>
      <c r="W686">
        <f>IF([2]Entry!$M$689="","",[2]Entry!$M$689)</f>
        <v/>
      </c>
      <c r="X686">
        <f>IF([2]Entry!$N$689="","",[2]Entry!$N$689)</f>
        <v/>
      </c>
      <c r="Y686">
        <f>IF([2]Entry!$R$689="","",[2]Entry!$R$689)</f>
        <v/>
      </c>
    </row>
    <row r="687">
      <c r="P687">
        <f>IF([2]Entry!$C$690="","",[2]Entry!$C$690)</f>
        <v/>
      </c>
      <c r="Q687">
        <f>IF([2]Entry!$D$690="","",[2]Entry!$D$690)</f>
        <v/>
      </c>
      <c r="R687">
        <f>IF([2]Entry!$E$690="","",[2]Entry!$E$690)</f>
        <v/>
      </c>
      <c r="S687">
        <f>IF([2]Entry!$G$690="","",[2]Entry!$G$690)</f>
        <v/>
      </c>
      <c r="T687">
        <f>IF([2]Entry!$J$690="","",[2]Entry!$J$690)</f>
        <v/>
      </c>
      <c r="U687">
        <f>IF([2]Entry!$K$690="","",[2]Entry!$K$690)</f>
        <v/>
      </c>
      <c r="V687">
        <f>IF([2]Entry!$L$690="","",[2]Entry!$L$690)</f>
        <v/>
      </c>
      <c r="W687">
        <f>IF([2]Entry!$M$690="","",[2]Entry!$M$690)</f>
        <v/>
      </c>
      <c r="X687">
        <f>IF([2]Entry!$N$690="","",[2]Entry!$N$690)</f>
        <v/>
      </c>
      <c r="Y687">
        <f>IF([2]Entry!$R$690="","",[2]Entry!$R$690)</f>
        <v/>
      </c>
    </row>
    <row r="688">
      <c r="P688">
        <f>IF([2]Entry!$C$691="","",[2]Entry!$C$691)</f>
        <v/>
      </c>
      <c r="Q688">
        <f>IF([2]Entry!$D$691="","",[2]Entry!$D$691)</f>
        <v/>
      </c>
      <c r="R688">
        <f>IF([2]Entry!$E$691="","",[2]Entry!$E$691)</f>
        <v/>
      </c>
      <c r="S688">
        <f>IF([2]Entry!$G$691="","",[2]Entry!$G$691)</f>
        <v/>
      </c>
      <c r="T688">
        <f>IF([2]Entry!$J$691="","",[2]Entry!$J$691)</f>
        <v/>
      </c>
      <c r="U688">
        <f>IF([2]Entry!$K$691="","",[2]Entry!$K$691)</f>
        <v/>
      </c>
      <c r="V688">
        <f>IF([2]Entry!$L$691="","",[2]Entry!$L$691)</f>
        <v/>
      </c>
      <c r="W688">
        <f>IF([2]Entry!$M$691="","",[2]Entry!$M$691)</f>
        <v/>
      </c>
      <c r="X688">
        <f>IF([2]Entry!$N$691="","",[2]Entry!$N$691)</f>
        <v/>
      </c>
      <c r="Y688">
        <f>IF([2]Entry!$R$691="","",[2]Entry!$R$691)</f>
        <v/>
      </c>
    </row>
    <row r="689">
      <c r="P689">
        <f>IF([2]Entry!$C$692="","",[2]Entry!$C$692)</f>
        <v/>
      </c>
      <c r="Q689">
        <f>IF([2]Entry!$D$692="","",[2]Entry!$D$692)</f>
        <v/>
      </c>
      <c r="R689">
        <f>IF([2]Entry!$E$692="","",[2]Entry!$E$692)</f>
        <v/>
      </c>
      <c r="S689">
        <f>IF([2]Entry!$G$692="","",[2]Entry!$G$692)</f>
        <v/>
      </c>
      <c r="T689">
        <f>IF([2]Entry!$J$692="","",[2]Entry!$J$692)</f>
        <v/>
      </c>
      <c r="U689">
        <f>IF([2]Entry!$K$692="","",[2]Entry!$K$692)</f>
        <v/>
      </c>
      <c r="V689">
        <f>IF([2]Entry!$L$692="","",[2]Entry!$L$692)</f>
        <v/>
      </c>
      <c r="W689">
        <f>IF([2]Entry!$M$692="","",[2]Entry!$M$692)</f>
        <v/>
      </c>
      <c r="X689">
        <f>IF([2]Entry!$N$692="","",[2]Entry!$N$692)</f>
        <v/>
      </c>
      <c r="Y689">
        <f>IF([2]Entry!$R$692="","",[2]Entry!$R$692)</f>
        <v/>
      </c>
    </row>
    <row r="690">
      <c r="P690">
        <f>IF([2]Entry!$C$693="","",[2]Entry!$C$693)</f>
        <v/>
      </c>
      <c r="Q690">
        <f>IF([2]Entry!$D$693="","",[2]Entry!$D$693)</f>
        <v/>
      </c>
      <c r="R690">
        <f>IF([2]Entry!$E$693="","",[2]Entry!$E$693)</f>
        <v/>
      </c>
      <c r="S690">
        <f>IF([2]Entry!$G$693="","",[2]Entry!$G$693)</f>
        <v/>
      </c>
      <c r="T690">
        <f>IF([2]Entry!$J$693="","",[2]Entry!$J$693)</f>
        <v/>
      </c>
      <c r="U690">
        <f>IF([2]Entry!$K$693="","",[2]Entry!$K$693)</f>
        <v/>
      </c>
      <c r="V690">
        <f>IF([2]Entry!$L$693="","",[2]Entry!$L$693)</f>
        <v/>
      </c>
      <c r="W690">
        <f>IF([2]Entry!$M$693="","",[2]Entry!$M$693)</f>
        <v/>
      </c>
      <c r="X690">
        <f>IF([2]Entry!$N$693="","",[2]Entry!$N$693)</f>
        <v/>
      </c>
      <c r="Y690">
        <f>IF([2]Entry!$R$693="","",[2]Entry!$R$693)</f>
        <v/>
      </c>
    </row>
    <row r="691">
      <c r="P691">
        <f>IF([2]Entry!$C$694="","",[2]Entry!$C$694)</f>
        <v/>
      </c>
      <c r="Q691">
        <f>IF([2]Entry!$D$694="","",[2]Entry!$D$694)</f>
        <v/>
      </c>
      <c r="R691">
        <f>IF([2]Entry!$E$694="","",[2]Entry!$E$694)</f>
        <v/>
      </c>
      <c r="S691">
        <f>IF([2]Entry!$G$694="","",[2]Entry!$G$694)</f>
        <v/>
      </c>
      <c r="T691">
        <f>IF([2]Entry!$J$694="","",[2]Entry!$J$694)</f>
        <v/>
      </c>
      <c r="U691">
        <f>IF([2]Entry!$K$694="","",[2]Entry!$K$694)</f>
        <v/>
      </c>
      <c r="V691">
        <f>IF([2]Entry!$L$694="","",[2]Entry!$L$694)</f>
        <v/>
      </c>
      <c r="W691">
        <f>IF([2]Entry!$M$694="","",[2]Entry!$M$694)</f>
        <v/>
      </c>
      <c r="X691">
        <f>IF([2]Entry!$N$694="","",[2]Entry!$N$694)</f>
        <v/>
      </c>
      <c r="Y691">
        <f>IF([2]Entry!$R$694="","",[2]Entry!$R$694)</f>
        <v/>
      </c>
    </row>
    <row r="692">
      <c r="P692">
        <f>IF([2]Entry!$C$695="","",[2]Entry!$C$695)</f>
        <v/>
      </c>
      <c r="Q692">
        <f>IF([2]Entry!$D$695="","",[2]Entry!$D$695)</f>
        <v/>
      </c>
      <c r="R692">
        <f>IF([2]Entry!$E$695="","",[2]Entry!$E$695)</f>
        <v/>
      </c>
      <c r="S692">
        <f>IF([2]Entry!$G$695="","",[2]Entry!$G$695)</f>
        <v/>
      </c>
      <c r="T692">
        <f>IF([2]Entry!$J$695="","",[2]Entry!$J$695)</f>
        <v/>
      </c>
      <c r="U692">
        <f>IF([2]Entry!$K$695="","",[2]Entry!$K$695)</f>
        <v/>
      </c>
      <c r="V692">
        <f>IF([2]Entry!$L$695="","",[2]Entry!$L$695)</f>
        <v/>
      </c>
      <c r="W692">
        <f>IF([2]Entry!$M$695="","",[2]Entry!$M$695)</f>
        <v/>
      </c>
      <c r="X692">
        <f>IF([2]Entry!$N$695="","",[2]Entry!$N$695)</f>
        <v/>
      </c>
      <c r="Y692">
        <f>IF([2]Entry!$R$695="","",[2]Entry!$R$695)</f>
        <v/>
      </c>
    </row>
    <row r="693">
      <c r="P693">
        <f>IF([2]Entry!$C$696="","",[2]Entry!$C$696)</f>
        <v/>
      </c>
      <c r="Q693">
        <f>IF([2]Entry!$D$696="","",[2]Entry!$D$696)</f>
        <v/>
      </c>
      <c r="R693">
        <f>IF([2]Entry!$E$696="","",[2]Entry!$E$696)</f>
        <v/>
      </c>
      <c r="S693">
        <f>IF([2]Entry!$G$696="","",[2]Entry!$G$696)</f>
        <v/>
      </c>
      <c r="T693">
        <f>IF([2]Entry!$J$696="","",[2]Entry!$J$696)</f>
        <v/>
      </c>
      <c r="U693">
        <f>IF([2]Entry!$K$696="","",[2]Entry!$K$696)</f>
        <v/>
      </c>
      <c r="V693">
        <f>IF([2]Entry!$L$696="","",[2]Entry!$L$696)</f>
        <v/>
      </c>
      <c r="W693">
        <f>IF([2]Entry!$M$696="","",[2]Entry!$M$696)</f>
        <v/>
      </c>
      <c r="X693">
        <f>IF([2]Entry!$N$696="","",[2]Entry!$N$696)</f>
        <v/>
      </c>
      <c r="Y693">
        <f>IF([2]Entry!$R$696="","",[2]Entry!$R$696)</f>
        <v/>
      </c>
    </row>
    <row r="694">
      <c r="P694">
        <f>IF([2]Entry!$C$697="","",[2]Entry!$C$697)</f>
        <v/>
      </c>
      <c r="Q694">
        <f>IF([2]Entry!$D$697="","",[2]Entry!$D$697)</f>
        <v/>
      </c>
      <c r="R694">
        <f>IF([2]Entry!$E$697="","",[2]Entry!$E$697)</f>
        <v/>
      </c>
      <c r="S694">
        <f>IF([2]Entry!$G$697="","",[2]Entry!$G$697)</f>
        <v/>
      </c>
      <c r="T694">
        <f>IF([2]Entry!$J$697="","",[2]Entry!$J$697)</f>
        <v/>
      </c>
      <c r="U694">
        <f>IF([2]Entry!$K$697="","",[2]Entry!$K$697)</f>
        <v/>
      </c>
      <c r="V694">
        <f>IF([2]Entry!$L$697="","",[2]Entry!$L$697)</f>
        <v/>
      </c>
      <c r="W694">
        <f>IF([2]Entry!$M$697="","",[2]Entry!$M$697)</f>
        <v/>
      </c>
      <c r="X694">
        <f>IF([2]Entry!$N$697="","",[2]Entry!$N$697)</f>
        <v/>
      </c>
      <c r="Y694">
        <f>IF([2]Entry!$R$697="","",[2]Entry!$R$697)</f>
        <v/>
      </c>
    </row>
    <row r="695">
      <c r="P695">
        <f>IF([2]Entry!$C$698="","",[2]Entry!$C$698)</f>
        <v/>
      </c>
      <c r="Q695">
        <f>IF([2]Entry!$D$698="","",[2]Entry!$D$698)</f>
        <v/>
      </c>
      <c r="R695">
        <f>IF([2]Entry!$E$698="","",[2]Entry!$E$698)</f>
        <v/>
      </c>
      <c r="S695">
        <f>IF([2]Entry!$G$698="","",[2]Entry!$G$698)</f>
        <v/>
      </c>
      <c r="T695">
        <f>IF([2]Entry!$J$698="","",[2]Entry!$J$698)</f>
        <v/>
      </c>
      <c r="U695">
        <f>IF([2]Entry!$K$698="","",[2]Entry!$K$698)</f>
        <v/>
      </c>
      <c r="V695">
        <f>IF([2]Entry!$L$698="","",[2]Entry!$L$698)</f>
        <v/>
      </c>
      <c r="W695">
        <f>IF([2]Entry!$M$698="","",[2]Entry!$M$698)</f>
        <v/>
      </c>
      <c r="X695">
        <f>IF([2]Entry!$N$698="","",[2]Entry!$N$698)</f>
        <v/>
      </c>
      <c r="Y695">
        <f>IF([2]Entry!$R$698="","",[2]Entry!$R$698)</f>
        <v/>
      </c>
    </row>
    <row r="696">
      <c r="P696">
        <f>IF([2]Entry!$C$699="","",[2]Entry!$C$699)</f>
        <v/>
      </c>
      <c r="Q696">
        <f>IF([2]Entry!$D$699="","",[2]Entry!$D$699)</f>
        <v/>
      </c>
      <c r="R696">
        <f>IF([2]Entry!$E$699="","",[2]Entry!$E$699)</f>
        <v/>
      </c>
      <c r="S696">
        <f>IF([2]Entry!$G$699="","",[2]Entry!$G$699)</f>
        <v/>
      </c>
      <c r="T696">
        <f>IF([2]Entry!$J$699="","",[2]Entry!$J$699)</f>
        <v/>
      </c>
      <c r="U696">
        <f>IF([2]Entry!$K$699="","",[2]Entry!$K$699)</f>
        <v/>
      </c>
      <c r="V696">
        <f>IF([2]Entry!$L$699="","",[2]Entry!$L$699)</f>
        <v/>
      </c>
      <c r="W696">
        <f>IF([2]Entry!$M$699="","",[2]Entry!$M$699)</f>
        <v/>
      </c>
      <c r="X696">
        <f>IF([2]Entry!$N$699="","",[2]Entry!$N$699)</f>
        <v/>
      </c>
      <c r="Y696">
        <f>IF([2]Entry!$R$699="","",[2]Entry!$R$699)</f>
        <v/>
      </c>
    </row>
    <row r="697">
      <c r="P697">
        <f>IF([2]Entry!$C$700="","",[2]Entry!$C$700)</f>
        <v/>
      </c>
      <c r="Q697">
        <f>IF([2]Entry!$D$700="","",[2]Entry!$D$700)</f>
        <v/>
      </c>
      <c r="R697">
        <f>IF([2]Entry!$E$700="","",[2]Entry!$E$700)</f>
        <v/>
      </c>
      <c r="S697">
        <f>IF([2]Entry!$G$700="","",[2]Entry!$G$700)</f>
        <v/>
      </c>
      <c r="T697">
        <f>IF([2]Entry!$J$700="","",[2]Entry!$J$700)</f>
        <v/>
      </c>
      <c r="U697">
        <f>IF([2]Entry!$K$700="","",[2]Entry!$K$700)</f>
        <v/>
      </c>
      <c r="V697">
        <f>IF([2]Entry!$L$700="","",[2]Entry!$L$700)</f>
        <v/>
      </c>
      <c r="W697">
        <f>IF([2]Entry!$M$700="","",[2]Entry!$M$700)</f>
        <v/>
      </c>
      <c r="X697">
        <f>IF([2]Entry!$N$700="","",[2]Entry!$N$700)</f>
        <v/>
      </c>
      <c r="Y697">
        <f>IF([2]Entry!$R$700="","",[2]Entry!$R$700)</f>
        <v/>
      </c>
    </row>
    <row r="698">
      <c r="P698">
        <f>IF([2]Entry!$C$701="","",[2]Entry!$C$701)</f>
        <v/>
      </c>
      <c r="Q698">
        <f>IF([2]Entry!$D$701="","",[2]Entry!$D$701)</f>
        <v/>
      </c>
      <c r="R698">
        <f>IF([2]Entry!$E$701="","",[2]Entry!$E$701)</f>
        <v/>
      </c>
      <c r="S698">
        <f>IF([2]Entry!$G$701="","",[2]Entry!$G$701)</f>
        <v/>
      </c>
      <c r="T698">
        <f>IF([2]Entry!$J$701="","",[2]Entry!$J$701)</f>
        <v/>
      </c>
      <c r="U698">
        <f>IF([2]Entry!$K$701="","",[2]Entry!$K$701)</f>
        <v/>
      </c>
      <c r="V698">
        <f>IF([2]Entry!$L$701="","",[2]Entry!$L$701)</f>
        <v/>
      </c>
      <c r="W698">
        <f>IF([2]Entry!$M$701="","",[2]Entry!$M$701)</f>
        <v/>
      </c>
      <c r="X698">
        <f>IF([2]Entry!$N$701="","",[2]Entry!$N$701)</f>
        <v/>
      </c>
      <c r="Y698">
        <f>IF([2]Entry!$R$701="","",[2]Entry!$R$701)</f>
        <v/>
      </c>
    </row>
    <row r="699">
      <c r="P699">
        <f>IF([2]Entry!$C$702="","",[2]Entry!$C$702)</f>
        <v/>
      </c>
      <c r="Q699">
        <f>IF([2]Entry!$D$702="","",[2]Entry!$D$702)</f>
        <v/>
      </c>
      <c r="R699">
        <f>IF([2]Entry!$E$702="","",[2]Entry!$E$702)</f>
        <v/>
      </c>
      <c r="S699">
        <f>IF([2]Entry!$G$702="","",[2]Entry!$G$702)</f>
        <v/>
      </c>
      <c r="T699">
        <f>IF([2]Entry!$J$702="","",[2]Entry!$J$702)</f>
        <v/>
      </c>
      <c r="U699">
        <f>IF([2]Entry!$K$702="","",[2]Entry!$K$702)</f>
        <v/>
      </c>
      <c r="V699">
        <f>IF([2]Entry!$L$702="","",[2]Entry!$L$702)</f>
        <v/>
      </c>
      <c r="W699">
        <f>IF([2]Entry!$M$702="","",[2]Entry!$M$702)</f>
        <v/>
      </c>
      <c r="X699">
        <f>IF([2]Entry!$N$702="","",[2]Entry!$N$702)</f>
        <v/>
      </c>
      <c r="Y699">
        <f>IF([2]Entry!$R$702="","",[2]Entry!$R$702)</f>
        <v/>
      </c>
    </row>
    <row r="700">
      <c r="P700">
        <f>IF([2]Entry!$C$703="","",[2]Entry!$C$703)</f>
        <v/>
      </c>
      <c r="Q700">
        <f>IF([2]Entry!$D$703="","",[2]Entry!$D$703)</f>
        <v/>
      </c>
      <c r="R700">
        <f>IF([2]Entry!$E$703="","",[2]Entry!$E$703)</f>
        <v/>
      </c>
      <c r="S700">
        <f>IF([2]Entry!$G$703="","",[2]Entry!$G$703)</f>
        <v/>
      </c>
      <c r="T700">
        <f>IF([2]Entry!$J$703="","",[2]Entry!$J$703)</f>
        <v/>
      </c>
      <c r="U700">
        <f>IF([2]Entry!$K$703="","",[2]Entry!$K$703)</f>
        <v/>
      </c>
      <c r="V700">
        <f>IF([2]Entry!$L$703="","",[2]Entry!$L$703)</f>
        <v/>
      </c>
      <c r="W700">
        <f>IF([2]Entry!$M$703="","",[2]Entry!$M$703)</f>
        <v/>
      </c>
      <c r="X700">
        <f>IF([2]Entry!$N$703="","",[2]Entry!$N$703)</f>
        <v/>
      </c>
      <c r="Y700">
        <f>IF([2]Entry!$R$703="","",[2]Entry!$R$703)</f>
        <v/>
      </c>
    </row>
    <row r="701">
      <c r="P701">
        <f>IF([2]Entry!$C$704="","",[2]Entry!$C$704)</f>
        <v/>
      </c>
      <c r="Q701">
        <f>IF([2]Entry!$D$704="","",[2]Entry!$D$704)</f>
        <v/>
      </c>
      <c r="R701">
        <f>IF([2]Entry!$E$704="","",[2]Entry!$E$704)</f>
        <v/>
      </c>
      <c r="S701">
        <f>IF([2]Entry!$G$704="","",[2]Entry!$G$704)</f>
        <v/>
      </c>
      <c r="T701">
        <f>IF([2]Entry!$J$704="","",[2]Entry!$J$704)</f>
        <v/>
      </c>
      <c r="U701">
        <f>IF([2]Entry!$K$704="","",[2]Entry!$K$704)</f>
        <v/>
      </c>
      <c r="V701">
        <f>IF([2]Entry!$L$704="","",[2]Entry!$L$704)</f>
        <v/>
      </c>
      <c r="W701">
        <f>IF([2]Entry!$M$704="","",[2]Entry!$M$704)</f>
        <v/>
      </c>
      <c r="X701">
        <f>IF([2]Entry!$N$704="","",[2]Entry!$N$704)</f>
        <v/>
      </c>
      <c r="Y701">
        <f>IF([2]Entry!$R$704="","",[2]Entry!$R$704)</f>
        <v/>
      </c>
    </row>
    <row r="702">
      <c r="P702">
        <f>IF([2]Entry!$C$705="","",[2]Entry!$C$705)</f>
        <v/>
      </c>
      <c r="Q702">
        <f>IF([2]Entry!$D$705="","",[2]Entry!$D$705)</f>
        <v/>
      </c>
      <c r="R702">
        <f>IF([2]Entry!$E$705="","",[2]Entry!$E$705)</f>
        <v/>
      </c>
      <c r="S702">
        <f>IF([2]Entry!$G$705="","",[2]Entry!$G$705)</f>
        <v/>
      </c>
      <c r="T702">
        <f>IF([2]Entry!$J$705="","",[2]Entry!$J$705)</f>
        <v/>
      </c>
      <c r="U702">
        <f>IF([2]Entry!$K$705="","",[2]Entry!$K$705)</f>
        <v/>
      </c>
      <c r="V702">
        <f>IF([2]Entry!$L$705="","",[2]Entry!$L$705)</f>
        <v/>
      </c>
      <c r="W702">
        <f>IF([2]Entry!$M$705="","",[2]Entry!$M$705)</f>
        <v/>
      </c>
      <c r="X702">
        <f>IF([2]Entry!$N$705="","",[2]Entry!$N$705)</f>
        <v/>
      </c>
      <c r="Y702">
        <f>IF([2]Entry!$R$705="","",[2]Entry!$R$705)</f>
        <v/>
      </c>
    </row>
    <row r="703">
      <c r="P703">
        <f>IF([2]Entry!$C$706="","",[2]Entry!$C$706)</f>
        <v/>
      </c>
      <c r="Q703">
        <f>IF([2]Entry!$D$706="","",[2]Entry!$D$706)</f>
        <v/>
      </c>
      <c r="R703">
        <f>IF([2]Entry!$E$706="","",[2]Entry!$E$706)</f>
        <v/>
      </c>
      <c r="S703">
        <f>IF([2]Entry!$G$706="","",[2]Entry!$G$706)</f>
        <v/>
      </c>
      <c r="T703">
        <f>IF([2]Entry!$J$706="","",[2]Entry!$J$706)</f>
        <v/>
      </c>
      <c r="U703">
        <f>IF([2]Entry!$K$706="","",[2]Entry!$K$706)</f>
        <v/>
      </c>
      <c r="V703">
        <f>IF([2]Entry!$L$706="","",[2]Entry!$L$706)</f>
        <v/>
      </c>
      <c r="W703">
        <f>IF([2]Entry!$M$706="","",[2]Entry!$M$706)</f>
        <v/>
      </c>
      <c r="X703">
        <f>IF([2]Entry!$N$706="","",[2]Entry!$N$706)</f>
        <v/>
      </c>
      <c r="Y703">
        <f>IF([2]Entry!$R$706="","",[2]Entry!$R$706)</f>
        <v/>
      </c>
    </row>
    <row r="704">
      <c r="P704">
        <f>IF([2]Entry!$C$707="","",[2]Entry!$C$707)</f>
        <v/>
      </c>
      <c r="Q704">
        <f>IF([2]Entry!$D$707="","",[2]Entry!$D$707)</f>
        <v/>
      </c>
      <c r="R704">
        <f>IF([2]Entry!$E$707="","",[2]Entry!$E$707)</f>
        <v/>
      </c>
      <c r="S704">
        <f>IF([2]Entry!$G$707="","",[2]Entry!$G$707)</f>
        <v/>
      </c>
      <c r="T704">
        <f>IF([2]Entry!$J$707="","",[2]Entry!$J$707)</f>
        <v/>
      </c>
      <c r="U704">
        <f>IF([2]Entry!$K$707="","",[2]Entry!$K$707)</f>
        <v/>
      </c>
      <c r="V704">
        <f>IF([2]Entry!$L$707="","",[2]Entry!$L$707)</f>
        <v/>
      </c>
      <c r="W704">
        <f>IF([2]Entry!$M$707="","",[2]Entry!$M$707)</f>
        <v/>
      </c>
      <c r="X704">
        <f>IF([2]Entry!$N$707="","",[2]Entry!$N$707)</f>
        <v/>
      </c>
      <c r="Y704">
        <f>IF([2]Entry!$R$707="","",[2]Entry!$R$707)</f>
        <v/>
      </c>
    </row>
    <row r="705">
      <c r="P705">
        <f>IF([2]Entry!$C$708="","",[2]Entry!$C$708)</f>
        <v/>
      </c>
      <c r="Q705">
        <f>IF([2]Entry!$D$708="","",[2]Entry!$D$708)</f>
        <v/>
      </c>
      <c r="R705">
        <f>IF([2]Entry!$E$708="","",[2]Entry!$E$708)</f>
        <v/>
      </c>
      <c r="S705">
        <f>IF([2]Entry!$G$708="","",[2]Entry!$G$708)</f>
        <v/>
      </c>
      <c r="T705">
        <f>IF([2]Entry!$J$708="","",[2]Entry!$J$708)</f>
        <v/>
      </c>
      <c r="U705">
        <f>IF([2]Entry!$K$708="","",[2]Entry!$K$708)</f>
        <v/>
      </c>
      <c r="V705">
        <f>IF([2]Entry!$L$708="","",[2]Entry!$L$708)</f>
        <v/>
      </c>
      <c r="W705">
        <f>IF([2]Entry!$M$708="","",[2]Entry!$M$708)</f>
        <v/>
      </c>
      <c r="X705">
        <f>IF([2]Entry!$N$708="","",[2]Entry!$N$708)</f>
        <v/>
      </c>
      <c r="Y705">
        <f>IF([2]Entry!$R$708="","",[2]Entry!$R$708)</f>
        <v/>
      </c>
    </row>
    <row r="706">
      <c r="P706">
        <f>IF([2]Entry!$C$709="","",[2]Entry!$C$709)</f>
        <v/>
      </c>
      <c r="Q706">
        <f>IF([2]Entry!$D$709="","",[2]Entry!$D$709)</f>
        <v/>
      </c>
      <c r="R706">
        <f>IF([2]Entry!$E$709="","",[2]Entry!$E$709)</f>
        <v/>
      </c>
      <c r="S706">
        <f>IF([2]Entry!$G$709="","",[2]Entry!$G$709)</f>
        <v/>
      </c>
      <c r="T706">
        <f>IF([2]Entry!$J$709="","",[2]Entry!$J$709)</f>
        <v/>
      </c>
      <c r="U706">
        <f>IF([2]Entry!$K$709="","",[2]Entry!$K$709)</f>
        <v/>
      </c>
      <c r="V706">
        <f>IF([2]Entry!$L$709="","",[2]Entry!$L$709)</f>
        <v/>
      </c>
      <c r="W706">
        <f>IF([2]Entry!$M$709="","",[2]Entry!$M$709)</f>
        <v/>
      </c>
      <c r="X706">
        <f>IF([2]Entry!$N$709="","",[2]Entry!$N$709)</f>
        <v/>
      </c>
      <c r="Y706">
        <f>IF([2]Entry!$R$709="","",[2]Entry!$R$709)</f>
        <v/>
      </c>
    </row>
    <row r="707">
      <c r="P707">
        <f>IF([2]Entry!$C$710="","",[2]Entry!$C$710)</f>
        <v/>
      </c>
      <c r="Q707">
        <f>IF([2]Entry!$D$710="","",[2]Entry!$D$710)</f>
        <v/>
      </c>
      <c r="R707">
        <f>IF([2]Entry!$E$710="","",[2]Entry!$E$710)</f>
        <v/>
      </c>
      <c r="S707">
        <f>IF([2]Entry!$G$710="","",[2]Entry!$G$710)</f>
        <v/>
      </c>
      <c r="T707">
        <f>IF([2]Entry!$J$710="","",[2]Entry!$J$710)</f>
        <v/>
      </c>
      <c r="U707">
        <f>IF([2]Entry!$K$710="","",[2]Entry!$K$710)</f>
        <v/>
      </c>
      <c r="V707">
        <f>IF([2]Entry!$L$710="","",[2]Entry!$L$710)</f>
        <v/>
      </c>
      <c r="W707">
        <f>IF([2]Entry!$M$710="","",[2]Entry!$M$710)</f>
        <v/>
      </c>
      <c r="X707">
        <f>IF([2]Entry!$N$710="","",[2]Entry!$N$710)</f>
        <v/>
      </c>
      <c r="Y707">
        <f>IF([2]Entry!$R$710="","",[2]Entry!$R$710)</f>
        <v/>
      </c>
    </row>
    <row r="708">
      <c r="P708">
        <f>IF([2]Entry!$C$711="","",[2]Entry!$C$711)</f>
        <v/>
      </c>
      <c r="Q708">
        <f>IF([2]Entry!$D$711="","",[2]Entry!$D$711)</f>
        <v/>
      </c>
      <c r="R708">
        <f>IF([2]Entry!$E$711="","",[2]Entry!$E$711)</f>
        <v/>
      </c>
      <c r="S708">
        <f>IF([2]Entry!$G$711="","",[2]Entry!$G$711)</f>
        <v/>
      </c>
      <c r="T708">
        <f>IF([2]Entry!$J$711="","",[2]Entry!$J$711)</f>
        <v/>
      </c>
      <c r="U708">
        <f>IF([2]Entry!$K$711="","",[2]Entry!$K$711)</f>
        <v/>
      </c>
      <c r="V708">
        <f>IF([2]Entry!$L$711="","",[2]Entry!$L$711)</f>
        <v/>
      </c>
      <c r="W708">
        <f>IF([2]Entry!$M$711="","",[2]Entry!$M$711)</f>
        <v/>
      </c>
      <c r="X708">
        <f>IF([2]Entry!$N$711="","",[2]Entry!$N$711)</f>
        <v/>
      </c>
      <c r="Y708">
        <f>IF([2]Entry!$R$711="","",[2]Entry!$R$711)</f>
        <v/>
      </c>
    </row>
    <row r="709">
      <c r="P709">
        <f>IF([2]Entry!$C$712="","",[2]Entry!$C$712)</f>
        <v/>
      </c>
      <c r="Q709">
        <f>IF([2]Entry!$D$712="","",[2]Entry!$D$712)</f>
        <v/>
      </c>
      <c r="R709">
        <f>IF([2]Entry!$E$712="","",[2]Entry!$E$712)</f>
        <v/>
      </c>
      <c r="S709">
        <f>IF([2]Entry!$G$712="","",[2]Entry!$G$712)</f>
        <v/>
      </c>
      <c r="T709">
        <f>IF([2]Entry!$J$712="","",[2]Entry!$J$712)</f>
        <v/>
      </c>
      <c r="U709">
        <f>IF([2]Entry!$K$712="","",[2]Entry!$K$712)</f>
        <v/>
      </c>
      <c r="V709">
        <f>IF([2]Entry!$L$712="","",[2]Entry!$L$712)</f>
        <v/>
      </c>
      <c r="W709">
        <f>IF([2]Entry!$M$712="","",[2]Entry!$M$712)</f>
        <v/>
      </c>
      <c r="X709">
        <f>IF([2]Entry!$N$712="","",[2]Entry!$N$712)</f>
        <v/>
      </c>
      <c r="Y709">
        <f>IF([2]Entry!$R$712="","",[2]Entry!$R$712)</f>
        <v/>
      </c>
    </row>
    <row r="710">
      <c r="P710">
        <f>IF([2]Entry!$C$713="","",[2]Entry!$C$713)</f>
        <v/>
      </c>
      <c r="Q710">
        <f>IF([2]Entry!$D$713="","",[2]Entry!$D$713)</f>
        <v/>
      </c>
      <c r="R710">
        <f>IF([2]Entry!$E$713="","",[2]Entry!$E$713)</f>
        <v/>
      </c>
      <c r="S710">
        <f>IF([2]Entry!$G$713="","",[2]Entry!$G$713)</f>
        <v/>
      </c>
      <c r="T710">
        <f>IF([2]Entry!$J$713="","",[2]Entry!$J$713)</f>
        <v/>
      </c>
      <c r="U710">
        <f>IF([2]Entry!$K$713="","",[2]Entry!$K$713)</f>
        <v/>
      </c>
      <c r="V710">
        <f>IF([2]Entry!$L$713="","",[2]Entry!$L$713)</f>
        <v/>
      </c>
      <c r="W710">
        <f>IF([2]Entry!$M$713="","",[2]Entry!$M$713)</f>
        <v/>
      </c>
      <c r="X710">
        <f>IF([2]Entry!$N$713="","",[2]Entry!$N$713)</f>
        <v/>
      </c>
      <c r="Y710">
        <f>IF([2]Entry!$R$713="","",[2]Entry!$R$713)</f>
        <v/>
      </c>
    </row>
    <row r="711">
      <c r="P711">
        <f>IF([2]Entry!$C$714="","",[2]Entry!$C$714)</f>
        <v/>
      </c>
      <c r="Q711">
        <f>IF([2]Entry!$D$714="","",[2]Entry!$D$714)</f>
        <v/>
      </c>
      <c r="R711">
        <f>IF([2]Entry!$E$714="","",[2]Entry!$E$714)</f>
        <v/>
      </c>
      <c r="S711">
        <f>IF([2]Entry!$G$714="","",[2]Entry!$G$714)</f>
        <v/>
      </c>
      <c r="T711">
        <f>IF([2]Entry!$J$714="","",[2]Entry!$J$714)</f>
        <v/>
      </c>
      <c r="U711">
        <f>IF([2]Entry!$K$714="","",[2]Entry!$K$714)</f>
        <v/>
      </c>
      <c r="V711">
        <f>IF([2]Entry!$L$714="","",[2]Entry!$L$714)</f>
        <v/>
      </c>
      <c r="W711">
        <f>IF([2]Entry!$M$714="","",[2]Entry!$M$714)</f>
        <v/>
      </c>
      <c r="X711">
        <f>IF([2]Entry!$N$714="","",[2]Entry!$N$714)</f>
        <v/>
      </c>
      <c r="Y711">
        <f>IF([2]Entry!$R$714="","",[2]Entry!$R$714)</f>
        <v/>
      </c>
    </row>
    <row r="712">
      <c r="P712">
        <f>IF([2]Entry!$C$715="","",[2]Entry!$C$715)</f>
        <v/>
      </c>
      <c r="Q712">
        <f>IF([2]Entry!$D$715="","",[2]Entry!$D$715)</f>
        <v/>
      </c>
      <c r="R712">
        <f>IF([2]Entry!$E$715="","",[2]Entry!$E$715)</f>
        <v/>
      </c>
      <c r="S712">
        <f>IF([2]Entry!$G$715="","",[2]Entry!$G$715)</f>
        <v/>
      </c>
      <c r="T712">
        <f>IF([2]Entry!$J$715="","",[2]Entry!$J$715)</f>
        <v/>
      </c>
      <c r="U712">
        <f>IF([2]Entry!$K$715="","",[2]Entry!$K$715)</f>
        <v/>
      </c>
      <c r="V712">
        <f>IF([2]Entry!$L$715="","",[2]Entry!$L$715)</f>
        <v/>
      </c>
      <c r="W712">
        <f>IF([2]Entry!$M$715="","",[2]Entry!$M$715)</f>
        <v/>
      </c>
      <c r="X712">
        <f>IF([2]Entry!$N$715="","",[2]Entry!$N$715)</f>
        <v/>
      </c>
      <c r="Y712">
        <f>IF([2]Entry!$R$715="","",[2]Entry!$R$715)</f>
        <v/>
      </c>
    </row>
    <row r="713">
      <c r="P713">
        <f>IF([2]Entry!$C$716="","",[2]Entry!$C$716)</f>
        <v/>
      </c>
      <c r="Q713">
        <f>IF([2]Entry!$D$716="","",[2]Entry!$D$716)</f>
        <v/>
      </c>
      <c r="R713">
        <f>IF([2]Entry!$E$716="","",[2]Entry!$E$716)</f>
        <v/>
      </c>
      <c r="S713">
        <f>IF([2]Entry!$G$716="","",[2]Entry!$G$716)</f>
        <v/>
      </c>
      <c r="T713">
        <f>IF([2]Entry!$J$716="","",[2]Entry!$J$716)</f>
        <v/>
      </c>
      <c r="U713">
        <f>IF([2]Entry!$K$716="","",[2]Entry!$K$716)</f>
        <v/>
      </c>
      <c r="V713">
        <f>IF([2]Entry!$L$716="","",[2]Entry!$L$716)</f>
        <v/>
      </c>
      <c r="W713">
        <f>IF([2]Entry!$M$716="","",[2]Entry!$M$716)</f>
        <v/>
      </c>
      <c r="X713">
        <f>IF([2]Entry!$N$716="","",[2]Entry!$N$716)</f>
        <v/>
      </c>
      <c r="Y713">
        <f>IF([2]Entry!$R$716="","",[2]Entry!$R$716)</f>
        <v/>
      </c>
    </row>
    <row r="714">
      <c r="P714">
        <f>IF([2]Entry!$C$717="","",[2]Entry!$C$717)</f>
        <v/>
      </c>
      <c r="Q714">
        <f>IF([2]Entry!$D$717="","",[2]Entry!$D$717)</f>
        <v/>
      </c>
      <c r="R714">
        <f>IF([2]Entry!$E$717="","",[2]Entry!$E$717)</f>
        <v/>
      </c>
      <c r="S714">
        <f>IF([2]Entry!$G$717="","",[2]Entry!$G$717)</f>
        <v/>
      </c>
      <c r="T714">
        <f>IF([2]Entry!$J$717="","",[2]Entry!$J$717)</f>
        <v/>
      </c>
      <c r="U714">
        <f>IF([2]Entry!$K$717="","",[2]Entry!$K$717)</f>
        <v/>
      </c>
      <c r="V714">
        <f>IF([2]Entry!$L$717="","",[2]Entry!$L$717)</f>
        <v/>
      </c>
      <c r="W714">
        <f>IF([2]Entry!$M$717="","",[2]Entry!$M$717)</f>
        <v/>
      </c>
      <c r="X714">
        <f>IF([2]Entry!$N$717="","",[2]Entry!$N$717)</f>
        <v/>
      </c>
      <c r="Y714">
        <f>IF([2]Entry!$R$717="","",[2]Entry!$R$717)</f>
        <v/>
      </c>
    </row>
    <row r="715">
      <c r="P715">
        <f>IF([2]Entry!$C$718="","",[2]Entry!$C$718)</f>
        <v/>
      </c>
      <c r="Q715">
        <f>IF([2]Entry!$D$718="","",[2]Entry!$D$718)</f>
        <v/>
      </c>
      <c r="R715">
        <f>IF([2]Entry!$E$718="","",[2]Entry!$E$718)</f>
        <v/>
      </c>
      <c r="S715">
        <f>IF([2]Entry!$G$718="","",[2]Entry!$G$718)</f>
        <v/>
      </c>
      <c r="T715">
        <f>IF([2]Entry!$J$718="","",[2]Entry!$J$718)</f>
        <v/>
      </c>
      <c r="U715">
        <f>IF([2]Entry!$K$718="","",[2]Entry!$K$718)</f>
        <v/>
      </c>
      <c r="V715">
        <f>IF([2]Entry!$L$718="","",[2]Entry!$L$718)</f>
        <v/>
      </c>
      <c r="W715">
        <f>IF([2]Entry!$M$718="","",[2]Entry!$M$718)</f>
        <v/>
      </c>
      <c r="X715">
        <f>IF([2]Entry!$N$718="","",[2]Entry!$N$718)</f>
        <v/>
      </c>
      <c r="Y715">
        <f>IF([2]Entry!$R$718="","",[2]Entry!$R$718)</f>
        <v/>
      </c>
    </row>
    <row r="716">
      <c r="P716">
        <f>IF([2]Entry!$C$719="","",[2]Entry!$C$719)</f>
        <v/>
      </c>
      <c r="Q716">
        <f>IF([2]Entry!$D$719="","",[2]Entry!$D$719)</f>
        <v/>
      </c>
      <c r="R716">
        <f>IF([2]Entry!$E$719="","",[2]Entry!$E$719)</f>
        <v/>
      </c>
      <c r="S716">
        <f>IF([2]Entry!$G$719="","",[2]Entry!$G$719)</f>
        <v/>
      </c>
      <c r="T716">
        <f>IF([2]Entry!$J$719="","",[2]Entry!$J$719)</f>
        <v/>
      </c>
      <c r="U716">
        <f>IF([2]Entry!$K$719="","",[2]Entry!$K$719)</f>
        <v/>
      </c>
      <c r="V716">
        <f>IF([2]Entry!$L$719="","",[2]Entry!$L$719)</f>
        <v/>
      </c>
      <c r="W716">
        <f>IF([2]Entry!$M$719="","",[2]Entry!$M$719)</f>
        <v/>
      </c>
      <c r="X716">
        <f>IF([2]Entry!$N$719="","",[2]Entry!$N$719)</f>
        <v/>
      </c>
      <c r="Y716">
        <f>IF([2]Entry!$R$719="","",[2]Entry!$R$719)</f>
        <v/>
      </c>
    </row>
    <row r="717">
      <c r="P717">
        <f>IF([2]Entry!$C$720="","",[2]Entry!$C$720)</f>
        <v/>
      </c>
      <c r="Q717">
        <f>IF([2]Entry!$D$720="","",[2]Entry!$D$720)</f>
        <v/>
      </c>
      <c r="R717">
        <f>IF([2]Entry!$E$720="","",[2]Entry!$E$720)</f>
        <v/>
      </c>
      <c r="S717">
        <f>IF([2]Entry!$G$720="","",[2]Entry!$G$720)</f>
        <v/>
      </c>
      <c r="T717">
        <f>IF([2]Entry!$J$720="","",[2]Entry!$J$720)</f>
        <v/>
      </c>
      <c r="U717">
        <f>IF([2]Entry!$K$720="","",[2]Entry!$K$720)</f>
        <v/>
      </c>
      <c r="V717">
        <f>IF([2]Entry!$L$720="","",[2]Entry!$L$720)</f>
        <v/>
      </c>
      <c r="W717">
        <f>IF([2]Entry!$M$720="","",[2]Entry!$M$720)</f>
        <v/>
      </c>
      <c r="X717">
        <f>IF([2]Entry!$N$720="","",[2]Entry!$N$720)</f>
        <v/>
      </c>
      <c r="Y717">
        <f>IF([2]Entry!$R$720="","",[2]Entry!$R$720)</f>
        <v/>
      </c>
    </row>
    <row r="718">
      <c r="P718">
        <f>IF([2]Entry!$C$721="","",[2]Entry!$C$721)</f>
        <v/>
      </c>
      <c r="Q718">
        <f>IF([2]Entry!$D$721="","",[2]Entry!$D$721)</f>
        <v/>
      </c>
      <c r="R718">
        <f>IF([2]Entry!$E$721="","",[2]Entry!$E$721)</f>
        <v/>
      </c>
      <c r="S718">
        <f>IF([2]Entry!$G$721="","",[2]Entry!$G$721)</f>
        <v/>
      </c>
      <c r="T718">
        <f>IF([2]Entry!$J$721="","",[2]Entry!$J$721)</f>
        <v/>
      </c>
      <c r="U718">
        <f>IF([2]Entry!$K$721="","",[2]Entry!$K$721)</f>
        <v/>
      </c>
      <c r="V718">
        <f>IF([2]Entry!$L$721="","",[2]Entry!$L$721)</f>
        <v/>
      </c>
      <c r="W718">
        <f>IF([2]Entry!$M$721="","",[2]Entry!$M$721)</f>
        <v/>
      </c>
      <c r="X718">
        <f>IF([2]Entry!$N$721="","",[2]Entry!$N$721)</f>
        <v/>
      </c>
      <c r="Y718">
        <f>IF([2]Entry!$R$721="","",[2]Entry!$R$721)</f>
        <v/>
      </c>
    </row>
    <row r="719">
      <c r="P719">
        <f>IF([2]Entry!$C$722="","",[2]Entry!$C$722)</f>
        <v/>
      </c>
      <c r="Q719">
        <f>IF([2]Entry!$D$722="","",[2]Entry!$D$722)</f>
        <v/>
      </c>
      <c r="R719">
        <f>IF([2]Entry!$E$722="","",[2]Entry!$E$722)</f>
        <v/>
      </c>
      <c r="S719">
        <f>IF([2]Entry!$G$722="","",[2]Entry!$G$722)</f>
        <v/>
      </c>
      <c r="T719">
        <f>IF([2]Entry!$J$722="","",[2]Entry!$J$722)</f>
        <v/>
      </c>
      <c r="U719">
        <f>IF([2]Entry!$K$722="","",[2]Entry!$K$722)</f>
        <v/>
      </c>
      <c r="V719">
        <f>IF([2]Entry!$L$722="","",[2]Entry!$L$722)</f>
        <v/>
      </c>
      <c r="W719">
        <f>IF([2]Entry!$M$722="","",[2]Entry!$M$722)</f>
        <v/>
      </c>
      <c r="X719">
        <f>IF([2]Entry!$N$722="","",[2]Entry!$N$722)</f>
        <v/>
      </c>
      <c r="Y719">
        <f>IF([2]Entry!$R$722="","",[2]Entry!$R$722)</f>
        <v/>
      </c>
    </row>
    <row r="720">
      <c r="P720">
        <f>IF([2]Entry!$C$723="","",[2]Entry!$C$723)</f>
        <v/>
      </c>
      <c r="Q720">
        <f>IF([2]Entry!$D$723="","",[2]Entry!$D$723)</f>
        <v/>
      </c>
      <c r="R720">
        <f>IF([2]Entry!$E$723="","",[2]Entry!$E$723)</f>
        <v/>
      </c>
      <c r="S720">
        <f>IF([2]Entry!$G$723="","",[2]Entry!$G$723)</f>
        <v/>
      </c>
      <c r="T720">
        <f>IF([2]Entry!$J$723="","",[2]Entry!$J$723)</f>
        <v/>
      </c>
      <c r="U720">
        <f>IF([2]Entry!$K$723="","",[2]Entry!$K$723)</f>
        <v/>
      </c>
      <c r="V720">
        <f>IF([2]Entry!$L$723="","",[2]Entry!$L$723)</f>
        <v/>
      </c>
      <c r="W720">
        <f>IF([2]Entry!$M$723="","",[2]Entry!$M$723)</f>
        <v/>
      </c>
      <c r="X720">
        <f>IF([2]Entry!$N$723="","",[2]Entry!$N$723)</f>
        <v/>
      </c>
      <c r="Y720">
        <f>IF([2]Entry!$R$723="","",[2]Entry!$R$723)</f>
        <v/>
      </c>
    </row>
    <row r="721">
      <c r="P721">
        <f>IF([2]Entry!$C$724="","",[2]Entry!$C$724)</f>
        <v/>
      </c>
      <c r="Q721">
        <f>IF([2]Entry!$D$724="","",[2]Entry!$D$724)</f>
        <v/>
      </c>
      <c r="R721">
        <f>IF([2]Entry!$E$724="","",[2]Entry!$E$724)</f>
        <v/>
      </c>
      <c r="S721">
        <f>IF([2]Entry!$G$724="","",[2]Entry!$G$724)</f>
        <v/>
      </c>
      <c r="T721">
        <f>IF([2]Entry!$J$724="","",[2]Entry!$J$724)</f>
        <v/>
      </c>
      <c r="U721">
        <f>IF([2]Entry!$K$724="","",[2]Entry!$K$724)</f>
        <v/>
      </c>
      <c r="V721">
        <f>IF([2]Entry!$L$724="","",[2]Entry!$L$724)</f>
        <v/>
      </c>
      <c r="W721">
        <f>IF([2]Entry!$M$724="","",[2]Entry!$M$724)</f>
        <v/>
      </c>
      <c r="X721">
        <f>IF([2]Entry!$N$724="","",[2]Entry!$N$724)</f>
        <v/>
      </c>
      <c r="Y721">
        <f>IF([2]Entry!$R$724="","",[2]Entry!$R$724)</f>
        <v/>
      </c>
    </row>
    <row r="722">
      <c r="P722">
        <f>IF([2]Entry!$C$725="","",[2]Entry!$C$725)</f>
        <v/>
      </c>
      <c r="Q722">
        <f>IF([2]Entry!$D$725="","",[2]Entry!$D$725)</f>
        <v/>
      </c>
      <c r="R722">
        <f>IF([2]Entry!$E$725="","",[2]Entry!$E$725)</f>
        <v/>
      </c>
      <c r="S722">
        <f>IF([2]Entry!$G$725="","",[2]Entry!$G$725)</f>
        <v/>
      </c>
      <c r="T722">
        <f>IF([2]Entry!$J$725="","",[2]Entry!$J$725)</f>
        <v/>
      </c>
      <c r="U722">
        <f>IF([2]Entry!$K$725="","",[2]Entry!$K$725)</f>
        <v/>
      </c>
      <c r="V722">
        <f>IF([2]Entry!$L$725="","",[2]Entry!$L$725)</f>
        <v/>
      </c>
      <c r="W722">
        <f>IF([2]Entry!$M$725="","",[2]Entry!$M$725)</f>
        <v/>
      </c>
      <c r="X722">
        <f>IF([2]Entry!$N$725="","",[2]Entry!$N$725)</f>
        <v/>
      </c>
      <c r="Y722">
        <f>IF([2]Entry!$R$725="","",[2]Entry!$R$725)</f>
        <v/>
      </c>
    </row>
    <row r="723">
      <c r="P723">
        <f>IF([2]Entry!$C$726="","",[2]Entry!$C$726)</f>
        <v/>
      </c>
      <c r="Q723">
        <f>IF([2]Entry!$D$726="","",[2]Entry!$D$726)</f>
        <v/>
      </c>
      <c r="R723">
        <f>IF([2]Entry!$E$726="","",[2]Entry!$E$726)</f>
        <v/>
      </c>
      <c r="S723">
        <f>IF([2]Entry!$G$726="","",[2]Entry!$G$726)</f>
        <v/>
      </c>
      <c r="T723">
        <f>IF([2]Entry!$J$726="","",[2]Entry!$J$726)</f>
        <v/>
      </c>
      <c r="U723">
        <f>IF([2]Entry!$K$726="","",[2]Entry!$K$726)</f>
        <v/>
      </c>
      <c r="V723">
        <f>IF([2]Entry!$L$726="","",[2]Entry!$L$726)</f>
        <v/>
      </c>
      <c r="W723">
        <f>IF([2]Entry!$M$726="","",[2]Entry!$M$726)</f>
        <v/>
      </c>
      <c r="X723">
        <f>IF([2]Entry!$N$726="","",[2]Entry!$N$726)</f>
        <v/>
      </c>
      <c r="Y723">
        <f>IF([2]Entry!$R$726="","",[2]Entry!$R$726)</f>
        <v/>
      </c>
    </row>
    <row r="724">
      <c r="P724">
        <f>IF([2]Entry!$C$727="","",[2]Entry!$C$727)</f>
        <v/>
      </c>
      <c r="Q724">
        <f>IF([2]Entry!$D$727="","",[2]Entry!$D$727)</f>
        <v/>
      </c>
      <c r="R724">
        <f>IF([2]Entry!$E$727="","",[2]Entry!$E$727)</f>
        <v/>
      </c>
      <c r="S724">
        <f>IF([2]Entry!$G$727="","",[2]Entry!$G$727)</f>
        <v/>
      </c>
      <c r="T724">
        <f>IF([2]Entry!$J$727="","",[2]Entry!$J$727)</f>
        <v/>
      </c>
      <c r="U724">
        <f>IF([2]Entry!$K$727="","",[2]Entry!$K$727)</f>
        <v/>
      </c>
      <c r="V724">
        <f>IF([2]Entry!$L$727="","",[2]Entry!$L$727)</f>
        <v/>
      </c>
      <c r="W724">
        <f>IF([2]Entry!$M$727="","",[2]Entry!$M$727)</f>
        <v/>
      </c>
      <c r="X724">
        <f>IF([2]Entry!$N$727="","",[2]Entry!$N$727)</f>
        <v/>
      </c>
      <c r="Y724">
        <f>IF([2]Entry!$R$727="","",[2]Entry!$R$727)</f>
        <v/>
      </c>
    </row>
    <row r="725">
      <c r="P725">
        <f>IF([2]Entry!$C$728="","",[2]Entry!$C$728)</f>
        <v/>
      </c>
      <c r="Q725">
        <f>IF([2]Entry!$D$728="","",[2]Entry!$D$728)</f>
        <v/>
      </c>
      <c r="R725">
        <f>IF([2]Entry!$E$728="","",[2]Entry!$E$728)</f>
        <v/>
      </c>
      <c r="S725">
        <f>IF([2]Entry!$G$728="","",[2]Entry!$G$728)</f>
        <v/>
      </c>
      <c r="T725">
        <f>IF([2]Entry!$J$728="","",[2]Entry!$J$728)</f>
        <v/>
      </c>
      <c r="U725">
        <f>IF([2]Entry!$K$728="","",[2]Entry!$K$728)</f>
        <v/>
      </c>
      <c r="V725">
        <f>IF([2]Entry!$L$728="","",[2]Entry!$L$728)</f>
        <v/>
      </c>
      <c r="W725">
        <f>IF([2]Entry!$M$728="","",[2]Entry!$M$728)</f>
        <v/>
      </c>
      <c r="X725">
        <f>IF([2]Entry!$N$728="","",[2]Entry!$N$728)</f>
        <v/>
      </c>
      <c r="Y725">
        <f>IF([2]Entry!$R$728="","",[2]Entry!$R$728)</f>
        <v/>
      </c>
    </row>
    <row r="726">
      <c r="P726">
        <f>IF([2]Entry!$C$729="","",[2]Entry!$C$729)</f>
        <v/>
      </c>
      <c r="Q726">
        <f>IF([2]Entry!$D$729="","",[2]Entry!$D$729)</f>
        <v/>
      </c>
      <c r="R726">
        <f>IF([2]Entry!$E$729="","",[2]Entry!$E$729)</f>
        <v/>
      </c>
      <c r="S726">
        <f>IF([2]Entry!$G$729="","",[2]Entry!$G$729)</f>
        <v/>
      </c>
      <c r="T726">
        <f>IF([2]Entry!$J$729="","",[2]Entry!$J$729)</f>
        <v/>
      </c>
      <c r="U726">
        <f>IF([2]Entry!$K$729="","",[2]Entry!$K$729)</f>
        <v/>
      </c>
      <c r="V726">
        <f>IF([2]Entry!$L$729="","",[2]Entry!$L$729)</f>
        <v/>
      </c>
      <c r="W726">
        <f>IF([2]Entry!$M$729="","",[2]Entry!$M$729)</f>
        <v/>
      </c>
      <c r="X726">
        <f>IF([2]Entry!$N$729="","",[2]Entry!$N$729)</f>
        <v/>
      </c>
      <c r="Y726">
        <f>IF([2]Entry!$R$729="","",[2]Entry!$R$729)</f>
        <v/>
      </c>
    </row>
    <row r="727">
      <c r="P727">
        <f>IF([2]Entry!$C$730="","",[2]Entry!$C$730)</f>
        <v/>
      </c>
      <c r="Q727">
        <f>IF([2]Entry!$D$730="","",[2]Entry!$D$730)</f>
        <v/>
      </c>
      <c r="R727">
        <f>IF([2]Entry!$E$730="","",[2]Entry!$E$730)</f>
        <v/>
      </c>
      <c r="S727">
        <f>IF([2]Entry!$G$730="","",[2]Entry!$G$730)</f>
        <v/>
      </c>
      <c r="T727">
        <f>IF([2]Entry!$J$730="","",[2]Entry!$J$730)</f>
        <v/>
      </c>
      <c r="U727">
        <f>IF([2]Entry!$K$730="","",[2]Entry!$K$730)</f>
        <v/>
      </c>
      <c r="V727">
        <f>IF([2]Entry!$L$730="","",[2]Entry!$L$730)</f>
        <v/>
      </c>
      <c r="W727">
        <f>IF([2]Entry!$M$730="","",[2]Entry!$M$730)</f>
        <v/>
      </c>
      <c r="X727">
        <f>IF([2]Entry!$N$730="","",[2]Entry!$N$730)</f>
        <v/>
      </c>
      <c r="Y727">
        <f>IF([2]Entry!$R$730="","",[2]Entry!$R$730)</f>
        <v/>
      </c>
    </row>
    <row r="728">
      <c r="P728">
        <f>IF([2]Entry!$C$731="","",[2]Entry!$C$731)</f>
        <v/>
      </c>
      <c r="Q728">
        <f>IF([2]Entry!$D$731="","",[2]Entry!$D$731)</f>
        <v/>
      </c>
      <c r="R728">
        <f>IF([2]Entry!$E$731="","",[2]Entry!$E$731)</f>
        <v/>
      </c>
      <c r="S728">
        <f>IF([2]Entry!$G$731="","",[2]Entry!$G$731)</f>
        <v/>
      </c>
      <c r="T728">
        <f>IF([2]Entry!$J$731="","",[2]Entry!$J$731)</f>
        <v/>
      </c>
      <c r="U728">
        <f>IF([2]Entry!$K$731="","",[2]Entry!$K$731)</f>
        <v/>
      </c>
      <c r="V728">
        <f>IF([2]Entry!$L$731="","",[2]Entry!$L$731)</f>
        <v/>
      </c>
      <c r="W728">
        <f>IF([2]Entry!$M$731="","",[2]Entry!$M$731)</f>
        <v/>
      </c>
      <c r="X728">
        <f>IF([2]Entry!$N$731="","",[2]Entry!$N$731)</f>
        <v/>
      </c>
      <c r="Y728">
        <f>IF([2]Entry!$R$731="","",[2]Entry!$R$731)</f>
        <v/>
      </c>
    </row>
    <row r="729">
      <c r="P729">
        <f>IF([2]Entry!$C$732="","",[2]Entry!$C$732)</f>
        <v/>
      </c>
      <c r="Q729">
        <f>IF([2]Entry!$D$732="","",[2]Entry!$D$732)</f>
        <v/>
      </c>
      <c r="R729">
        <f>IF([2]Entry!$E$732="","",[2]Entry!$E$732)</f>
        <v/>
      </c>
      <c r="S729">
        <f>IF([2]Entry!$G$732="","",[2]Entry!$G$732)</f>
        <v/>
      </c>
      <c r="T729">
        <f>IF([2]Entry!$J$732="","",[2]Entry!$J$732)</f>
        <v/>
      </c>
      <c r="U729">
        <f>IF([2]Entry!$K$732="","",[2]Entry!$K$732)</f>
        <v/>
      </c>
      <c r="V729">
        <f>IF([2]Entry!$L$732="","",[2]Entry!$L$732)</f>
        <v/>
      </c>
      <c r="W729">
        <f>IF([2]Entry!$M$732="","",[2]Entry!$M$732)</f>
        <v/>
      </c>
      <c r="X729">
        <f>IF([2]Entry!$N$732="","",[2]Entry!$N$732)</f>
        <v/>
      </c>
      <c r="Y729">
        <f>IF([2]Entry!$R$732="","",[2]Entry!$R$732)</f>
        <v/>
      </c>
    </row>
    <row r="730">
      <c r="P730">
        <f>IF([2]Entry!$C$733="","",[2]Entry!$C$733)</f>
        <v/>
      </c>
      <c r="Q730">
        <f>IF([2]Entry!$D$733="","",[2]Entry!$D$733)</f>
        <v/>
      </c>
      <c r="R730">
        <f>IF([2]Entry!$E$733="","",[2]Entry!$E$733)</f>
        <v/>
      </c>
      <c r="S730">
        <f>IF([2]Entry!$G$733="","",[2]Entry!$G$733)</f>
        <v/>
      </c>
      <c r="T730">
        <f>IF([2]Entry!$J$733="","",[2]Entry!$J$733)</f>
        <v/>
      </c>
      <c r="U730">
        <f>IF([2]Entry!$K$733="","",[2]Entry!$K$733)</f>
        <v/>
      </c>
      <c r="V730">
        <f>IF([2]Entry!$L$733="","",[2]Entry!$L$733)</f>
        <v/>
      </c>
      <c r="W730">
        <f>IF([2]Entry!$M$733="","",[2]Entry!$M$733)</f>
        <v/>
      </c>
      <c r="X730">
        <f>IF([2]Entry!$N$733="","",[2]Entry!$N$733)</f>
        <v/>
      </c>
      <c r="Y730">
        <f>IF([2]Entry!$R$733="","",[2]Entry!$R$733)</f>
        <v/>
      </c>
    </row>
    <row r="731">
      <c r="P731">
        <f>IF([2]Entry!$C$734="","",[2]Entry!$C$734)</f>
        <v/>
      </c>
      <c r="Q731">
        <f>IF([2]Entry!$D$734="","",[2]Entry!$D$734)</f>
        <v/>
      </c>
      <c r="R731">
        <f>IF([2]Entry!$E$734="","",[2]Entry!$E$734)</f>
        <v/>
      </c>
      <c r="S731">
        <f>IF([2]Entry!$G$734="","",[2]Entry!$G$734)</f>
        <v/>
      </c>
      <c r="T731">
        <f>IF([2]Entry!$J$734="","",[2]Entry!$J$734)</f>
        <v/>
      </c>
      <c r="U731">
        <f>IF([2]Entry!$K$734="","",[2]Entry!$K$734)</f>
        <v/>
      </c>
      <c r="V731">
        <f>IF([2]Entry!$L$734="","",[2]Entry!$L$734)</f>
        <v/>
      </c>
      <c r="W731">
        <f>IF([2]Entry!$M$734="","",[2]Entry!$M$734)</f>
        <v/>
      </c>
      <c r="X731">
        <f>IF([2]Entry!$N$734="","",[2]Entry!$N$734)</f>
        <v/>
      </c>
      <c r="Y731">
        <f>IF([2]Entry!$R$734="","",[2]Entry!$R$734)</f>
        <v/>
      </c>
    </row>
    <row r="732">
      <c r="P732">
        <f>IF([2]Entry!$C$735="","",[2]Entry!$C$735)</f>
        <v/>
      </c>
      <c r="Q732">
        <f>IF([2]Entry!$D$735="","",[2]Entry!$D$735)</f>
        <v/>
      </c>
      <c r="R732">
        <f>IF([2]Entry!$E$735="","",[2]Entry!$E$735)</f>
        <v/>
      </c>
      <c r="S732">
        <f>IF([2]Entry!$G$735="","",[2]Entry!$G$735)</f>
        <v/>
      </c>
      <c r="T732">
        <f>IF([2]Entry!$J$735="","",[2]Entry!$J$735)</f>
        <v/>
      </c>
      <c r="U732">
        <f>IF([2]Entry!$K$735="","",[2]Entry!$K$735)</f>
        <v/>
      </c>
      <c r="V732">
        <f>IF([2]Entry!$L$735="","",[2]Entry!$L$735)</f>
        <v/>
      </c>
      <c r="W732">
        <f>IF([2]Entry!$M$735="","",[2]Entry!$M$735)</f>
        <v/>
      </c>
      <c r="X732">
        <f>IF([2]Entry!$N$735="","",[2]Entry!$N$735)</f>
        <v/>
      </c>
      <c r="Y732">
        <f>IF([2]Entry!$R$735="","",[2]Entry!$R$735)</f>
        <v/>
      </c>
    </row>
    <row r="733">
      <c r="P733">
        <f>IF([2]Entry!$C$736="","",[2]Entry!$C$736)</f>
        <v/>
      </c>
      <c r="Q733">
        <f>IF([2]Entry!$D$736="","",[2]Entry!$D$736)</f>
        <v/>
      </c>
      <c r="R733">
        <f>IF([2]Entry!$E$736="","",[2]Entry!$E$736)</f>
        <v/>
      </c>
      <c r="S733">
        <f>IF([2]Entry!$G$736="","",[2]Entry!$G$736)</f>
        <v/>
      </c>
      <c r="T733">
        <f>IF([2]Entry!$J$736="","",[2]Entry!$J$736)</f>
        <v/>
      </c>
      <c r="U733">
        <f>IF([2]Entry!$K$736="","",[2]Entry!$K$736)</f>
        <v/>
      </c>
      <c r="V733">
        <f>IF([2]Entry!$L$736="","",[2]Entry!$L$736)</f>
        <v/>
      </c>
      <c r="W733">
        <f>IF([2]Entry!$M$736="","",[2]Entry!$M$736)</f>
        <v/>
      </c>
      <c r="X733">
        <f>IF([2]Entry!$N$736="","",[2]Entry!$N$736)</f>
        <v/>
      </c>
      <c r="Y733">
        <f>IF([2]Entry!$R$736="","",[2]Entry!$R$736)</f>
        <v/>
      </c>
    </row>
    <row r="734">
      <c r="P734">
        <f>IF([2]Entry!$C$737="","",[2]Entry!$C$737)</f>
        <v/>
      </c>
      <c r="Q734">
        <f>IF([2]Entry!$D$737="","",[2]Entry!$D$737)</f>
        <v/>
      </c>
      <c r="R734">
        <f>IF([2]Entry!$E$737="","",[2]Entry!$E$737)</f>
        <v/>
      </c>
      <c r="S734">
        <f>IF([2]Entry!$G$737="","",[2]Entry!$G$737)</f>
        <v/>
      </c>
      <c r="T734">
        <f>IF([2]Entry!$J$737="","",[2]Entry!$J$737)</f>
        <v/>
      </c>
      <c r="U734">
        <f>IF([2]Entry!$K$737="","",[2]Entry!$K$737)</f>
        <v/>
      </c>
      <c r="V734">
        <f>IF([2]Entry!$L$737="","",[2]Entry!$L$737)</f>
        <v/>
      </c>
      <c r="W734">
        <f>IF([2]Entry!$M$737="","",[2]Entry!$M$737)</f>
        <v/>
      </c>
      <c r="X734">
        <f>IF([2]Entry!$N$737="","",[2]Entry!$N$737)</f>
        <v/>
      </c>
      <c r="Y734">
        <f>IF([2]Entry!$R$737="","",[2]Entry!$R$737)</f>
        <v/>
      </c>
    </row>
    <row r="735">
      <c r="P735">
        <f>IF([2]Entry!$C$738="","",[2]Entry!$C$738)</f>
        <v/>
      </c>
      <c r="Q735">
        <f>IF([2]Entry!$D$738="","",[2]Entry!$D$738)</f>
        <v/>
      </c>
      <c r="R735">
        <f>IF([2]Entry!$E$738="","",[2]Entry!$E$738)</f>
        <v/>
      </c>
      <c r="S735">
        <f>IF([2]Entry!$G$738="","",[2]Entry!$G$738)</f>
        <v/>
      </c>
      <c r="T735">
        <f>IF([2]Entry!$J$738="","",[2]Entry!$J$738)</f>
        <v/>
      </c>
      <c r="U735">
        <f>IF([2]Entry!$K$738="","",[2]Entry!$K$738)</f>
        <v/>
      </c>
      <c r="V735">
        <f>IF([2]Entry!$L$738="","",[2]Entry!$L$738)</f>
        <v/>
      </c>
      <c r="W735">
        <f>IF([2]Entry!$M$738="","",[2]Entry!$M$738)</f>
        <v/>
      </c>
      <c r="X735">
        <f>IF([2]Entry!$N$738="","",[2]Entry!$N$738)</f>
        <v/>
      </c>
      <c r="Y735">
        <f>IF([2]Entry!$R$738="","",[2]Entry!$R$738)</f>
        <v/>
      </c>
    </row>
    <row r="736">
      <c r="P736">
        <f>IF([2]Entry!$C$739="","",[2]Entry!$C$739)</f>
        <v/>
      </c>
      <c r="Q736">
        <f>IF([2]Entry!$D$739="","",[2]Entry!$D$739)</f>
        <v/>
      </c>
      <c r="R736">
        <f>IF([2]Entry!$E$739="","",[2]Entry!$E$739)</f>
        <v/>
      </c>
      <c r="S736">
        <f>IF([2]Entry!$G$739="","",[2]Entry!$G$739)</f>
        <v/>
      </c>
      <c r="T736">
        <f>IF([2]Entry!$J$739="","",[2]Entry!$J$739)</f>
        <v/>
      </c>
      <c r="U736">
        <f>IF([2]Entry!$K$739="","",[2]Entry!$K$739)</f>
        <v/>
      </c>
      <c r="V736">
        <f>IF([2]Entry!$L$739="","",[2]Entry!$L$739)</f>
        <v/>
      </c>
      <c r="W736">
        <f>IF([2]Entry!$M$739="","",[2]Entry!$M$739)</f>
        <v/>
      </c>
      <c r="X736">
        <f>IF([2]Entry!$N$739="","",[2]Entry!$N$739)</f>
        <v/>
      </c>
      <c r="Y736">
        <f>IF([2]Entry!$R$739="","",[2]Entry!$R$739)</f>
        <v/>
      </c>
    </row>
    <row r="737">
      <c r="P737">
        <f>IF([2]Entry!$C$740="","",[2]Entry!$C$740)</f>
        <v/>
      </c>
      <c r="Q737">
        <f>IF([2]Entry!$D$740="","",[2]Entry!$D$740)</f>
        <v/>
      </c>
      <c r="R737">
        <f>IF([2]Entry!$E$740="","",[2]Entry!$E$740)</f>
        <v/>
      </c>
      <c r="S737">
        <f>IF([2]Entry!$G$740="","",[2]Entry!$G$740)</f>
        <v/>
      </c>
      <c r="T737">
        <f>IF([2]Entry!$J$740="","",[2]Entry!$J$740)</f>
        <v/>
      </c>
      <c r="U737">
        <f>IF([2]Entry!$K$740="","",[2]Entry!$K$740)</f>
        <v/>
      </c>
      <c r="V737">
        <f>IF([2]Entry!$L$740="","",[2]Entry!$L$740)</f>
        <v/>
      </c>
      <c r="W737">
        <f>IF([2]Entry!$M$740="","",[2]Entry!$M$740)</f>
        <v/>
      </c>
      <c r="X737">
        <f>IF([2]Entry!$N$740="","",[2]Entry!$N$740)</f>
        <v/>
      </c>
      <c r="Y737">
        <f>IF([2]Entry!$R$740="","",[2]Entry!$R$740)</f>
        <v/>
      </c>
    </row>
    <row r="738">
      <c r="P738">
        <f>IF([2]Entry!$C$741="","",[2]Entry!$C$741)</f>
        <v/>
      </c>
      <c r="Q738">
        <f>IF([2]Entry!$D$741="","",[2]Entry!$D$741)</f>
        <v/>
      </c>
      <c r="R738">
        <f>IF([2]Entry!$E$741="","",[2]Entry!$E$741)</f>
        <v/>
      </c>
      <c r="S738">
        <f>IF([2]Entry!$G$741="","",[2]Entry!$G$741)</f>
        <v/>
      </c>
      <c r="T738">
        <f>IF([2]Entry!$J$741="","",[2]Entry!$J$741)</f>
        <v/>
      </c>
      <c r="U738">
        <f>IF([2]Entry!$K$741="","",[2]Entry!$K$741)</f>
        <v/>
      </c>
      <c r="V738">
        <f>IF([2]Entry!$L$741="","",[2]Entry!$L$741)</f>
        <v/>
      </c>
      <c r="W738">
        <f>IF([2]Entry!$M$741="","",[2]Entry!$M$741)</f>
        <v/>
      </c>
      <c r="X738">
        <f>IF([2]Entry!$N$741="","",[2]Entry!$N$741)</f>
        <v/>
      </c>
      <c r="Y738">
        <f>IF([2]Entry!$R$741="","",[2]Entry!$R$741)</f>
        <v/>
      </c>
    </row>
    <row r="739">
      <c r="P739">
        <f>IF([2]Entry!$C$742="","",[2]Entry!$C$742)</f>
        <v/>
      </c>
      <c r="Q739">
        <f>IF([2]Entry!$D$742="","",[2]Entry!$D$742)</f>
        <v/>
      </c>
      <c r="R739">
        <f>IF([2]Entry!$E$742="","",[2]Entry!$E$742)</f>
        <v/>
      </c>
      <c r="S739">
        <f>IF([2]Entry!$G$742="","",[2]Entry!$G$742)</f>
        <v/>
      </c>
      <c r="T739">
        <f>IF([2]Entry!$J$742="","",[2]Entry!$J$742)</f>
        <v/>
      </c>
      <c r="U739">
        <f>IF([2]Entry!$K$742="","",[2]Entry!$K$742)</f>
        <v/>
      </c>
      <c r="V739">
        <f>IF([2]Entry!$L$742="","",[2]Entry!$L$742)</f>
        <v/>
      </c>
      <c r="W739">
        <f>IF([2]Entry!$M$742="","",[2]Entry!$M$742)</f>
        <v/>
      </c>
      <c r="X739">
        <f>IF([2]Entry!$N$742="","",[2]Entry!$N$742)</f>
        <v/>
      </c>
      <c r="Y739">
        <f>IF([2]Entry!$R$742="","",[2]Entry!$R$742)</f>
        <v/>
      </c>
    </row>
    <row r="740">
      <c r="P740">
        <f>IF([2]Entry!$C$743="","",[2]Entry!$C$743)</f>
        <v/>
      </c>
      <c r="Q740">
        <f>IF([2]Entry!$D$743="","",[2]Entry!$D$743)</f>
        <v/>
      </c>
      <c r="R740">
        <f>IF([2]Entry!$E$743="","",[2]Entry!$E$743)</f>
        <v/>
      </c>
      <c r="S740">
        <f>IF([2]Entry!$G$743="","",[2]Entry!$G$743)</f>
        <v/>
      </c>
      <c r="T740">
        <f>IF([2]Entry!$J$743="","",[2]Entry!$J$743)</f>
        <v/>
      </c>
      <c r="U740">
        <f>IF([2]Entry!$K$743="","",[2]Entry!$K$743)</f>
        <v/>
      </c>
      <c r="V740">
        <f>IF([2]Entry!$L$743="","",[2]Entry!$L$743)</f>
        <v/>
      </c>
      <c r="W740">
        <f>IF([2]Entry!$M$743="","",[2]Entry!$M$743)</f>
        <v/>
      </c>
      <c r="X740">
        <f>IF([2]Entry!$N$743="","",[2]Entry!$N$743)</f>
        <v/>
      </c>
      <c r="Y740">
        <f>IF([2]Entry!$R$743="","",[2]Entry!$R$743)</f>
        <v/>
      </c>
    </row>
    <row r="741">
      <c r="P741">
        <f>IF([2]Entry!$C$744="","",[2]Entry!$C$744)</f>
        <v/>
      </c>
      <c r="Q741">
        <f>IF([2]Entry!$D$744="","",[2]Entry!$D$744)</f>
        <v/>
      </c>
      <c r="R741">
        <f>IF([2]Entry!$E$744="","",[2]Entry!$E$744)</f>
        <v/>
      </c>
      <c r="S741">
        <f>IF([2]Entry!$G$744="","",[2]Entry!$G$744)</f>
        <v/>
      </c>
      <c r="T741">
        <f>IF([2]Entry!$J$744="","",[2]Entry!$J$744)</f>
        <v/>
      </c>
      <c r="U741">
        <f>IF([2]Entry!$K$744="","",[2]Entry!$K$744)</f>
        <v/>
      </c>
      <c r="V741">
        <f>IF([2]Entry!$L$744="","",[2]Entry!$L$744)</f>
        <v/>
      </c>
      <c r="W741">
        <f>IF([2]Entry!$M$744="","",[2]Entry!$M$744)</f>
        <v/>
      </c>
      <c r="X741">
        <f>IF([2]Entry!$N$744="","",[2]Entry!$N$744)</f>
        <v/>
      </c>
      <c r="Y741">
        <f>IF([2]Entry!$R$744="","",[2]Entry!$R$744)</f>
        <v/>
      </c>
    </row>
    <row r="742">
      <c r="P742">
        <f>IF([2]Entry!$C$745="","",[2]Entry!$C$745)</f>
        <v/>
      </c>
      <c r="Q742">
        <f>IF([2]Entry!$D$745="","",[2]Entry!$D$745)</f>
        <v/>
      </c>
      <c r="R742">
        <f>IF([2]Entry!$E$745="","",[2]Entry!$E$745)</f>
        <v/>
      </c>
      <c r="S742">
        <f>IF([2]Entry!$G$745="","",[2]Entry!$G$745)</f>
        <v/>
      </c>
      <c r="T742">
        <f>IF([2]Entry!$J$745="","",[2]Entry!$J$745)</f>
        <v/>
      </c>
      <c r="U742">
        <f>IF([2]Entry!$K$745="","",[2]Entry!$K$745)</f>
        <v/>
      </c>
      <c r="V742">
        <f>IF([2]Entry!$L$745="","",[2]Entry!$L$745)</f>
        <v/>
      </c>
      <c r="W742">
        <f>IF([2]Entry!$M$745="","",[2]Entry!$M$745)</f>
        <v/>
      </c>
      <c r="X742">
        <f>IF([2]Entry!$N$745="","",[2]Entry!$N$745)</f>
        <v/>
      </c>
      <c r="Y742">
        <f>IF([2]Entry!$R$745="","",[2]Entry!$R$745)</f>
        <v/>
      </c>
    </row>
    <row r="743">
      <c r="P743">
        <f>IF([2]Entry!$C$746="","",[2]Entry!$C$746)</f>
        <v/>
      </c>
      <c r="Q743">
        <f>IF([2]Entry!$D$746="","",[2]Entry!$D$746)</f>
        <v/>
      </c>
      <c r="R743">
        <f>IF([2]Entry!$E$746="","",[2]Entry!$E$746)</f>
        <v/>
      </c>
      <c r="S743">
        <f>IF([2]Entry!$G$746="","",[2]Entry!$G$746)</f>
        <v/>
      </c>
      <c r="T743">
        <f>IF([2]Entry!$J$746="","",[2]Entry!$J$746)</f>
        <v/>
      </c>
      <c r="U743">
        <f>IF([2]Entry!$K$746="","",[2]Entry!$K$746)</f>
        <v/>
      </c>
      <c r="V743">
        <f>IF([2]Entry!$L$746="","",[2]Entry!$L$746)</f>
        <v/>
      </c>
      <c r="W743">
        <f>IF([2]Entry!$M$746="","",[2]Entry!$M$746)</f>
        <v/>
      </c>
      <c r="X743">
        <f>IF([2]Entry!$N$746="","",[2]Entry!$N$746)</f>
        <v/>
      </c>
      <c r="Y743">
        <f>IF([2]Entry!$R$746="","",[2]Entry!$R$746)</f>
        <v/>
      </c>
    </row>
    <row r="744">
      <c r="P744">
        <f>IF([2]Entry!$C$747="","",[2]Entry!$C$747)</f>
        <v/>
      </c>
      <c r="Q744">
        <f>IF([2]Entry!$D$747="","",[2]Entry!$D$747)</f>
        <v/>
      </c>
      <c r="R744">
        <f>IF([2]Entry!$E$747="","",[2]Entry!$E$747)</f>
        <v/>
      </c>
      <c r="S744">
        <f>IF([2]Entry!$G$747="","",[2]Entry!$G$747)</f>
        <v/>
      </c>
      <c r="T744">
        <f>IF([2]Entry!$J$747="","",[2]Entry!$J$747)</f>
        <v/>
      </c>
      <c r="U744">
        <f>IF([2]Entry!$K$747="","",[2]Entry!$K$747)</f>
        <v/>
      </c>
      <c r="V744">
        <f>IF([2]Entry!$L$747="","",[2]Entry!$L$747)</f>
        <v/>
      </c>
      <c r="W744">
        <f>IF([2]Entry!$M$747="","",[2]Entry!$M$747)</f>
        <v/>
      </c>
      <c r="X744">
        <f>IF([2]Entry!$N$747="","",[2]Entry!$N$747)</f>
        <v/>
      </c>
      <c r="Y744">
        <f>IF([2]Entry!$R$747="","",[2]Entry!$R$747)</f>
        <v/>
      </c>
    </row>
    <row r="745">
      <c r="P745">
        <f>IF([2]Entry!$C$748="","",[2]Entry!$C$748)</f>
        <v/>
      </c>
      <c r="Q745">
        <f>IF([2]Entry!$D$748="","",[2]Entry!$D$748)</f>
        <v/>
      </c>
      <c r="R745">
        <f>IF([2]Entry!$E$748="","",[2]Entry!$E$748)</f>
        <v/>
      </c>
      <c r="S745">
        <f>IF([2]Entry!$G$748="","",[2]Entry!$G$748)</f>
        <v/>
      </c>
      <c r="T745">
        <f>IF([2]Entry!$J$748="","",[2]Entry!$J$748)</f>
        <v/>
      </c>
      <c r="U745">
        <f>IF([2]Entry!$K$748="","",[2]Entry!$K$748)</f>
        <v/>
      </c>
      <c r="V745">
        <f>IF([2]Entry!$L$748="","",[2]Entry!$L$748)</f>
        <v/>
      </c>
      <c r="W745">
        <f>IF([2]Entry!$M$748="","",[2]Entry!$M$748)</f>
        <v/>
      </c>
      <c r="X745">
        <f>IF([2]Entry!$N$748="","",[2]Entry!$N$748)</f>
        <v/>
      </c>
      <c r="Y745">
        <f>IF([2]Entry!$R$748="","",[2]Entry!$R$748)</f>
        <v/>
      </c>
    </row>
    <row r="746">
      <c r="P746">
        <f>IF([2]Entry!$C$749="","",[2]Entry!$C$749)</f>
        <v/>
      </c>
      <c r="Q746">
        <f>IF([2]Entry!$D$749="","",[2]Entry!$D$749)</f>
        <v/>
      </c>
      <c r="R746">
        <f>IF([2]Entry!$E$749="","",[2]Entry!$E$749)</f>
        <v/>
      </c>
      <c r="S746">
        <f>IF([2]Entry!$G$749="","",[2]Entry!$G$749)</f>
        <v/>
      </c>
      <c r="T746">
        <f>IF([2]Entry!$J$749="","",[2]Entry!$J$749)</f>
        <v/>
      </c>
      <c r="U746">
        <f>IF([2]Entry!$K$749="","",[2]Entry!$K$749)</f>
        <v/>
      </c>
      <c r="V746">
        <f>IF([2]Entry!$L$749="","",[2]Entry!$L$749)</f>
        <v/>
      </c>
      <c r="W746">
        <f>IF([2]Entry!$M$749="","",[2]Entry!$M$749)</f>
        <v/>
      </c>
      <c r="X746">
        <f>IF([2]Entry!$N$749="","",[2]Entry!$N$749)</f>
        <v/>
      </c>
      <c r="Y746">
        <f>IF([2]Entry!$R$749="","",[2]Entry!$R$749)</f>
        <v/>
      </c>
    </row>
    <row r="747">
      <c r="P747">
        <f>IF([2]Entry!$C$750="","",[2]Entry!$C$750)</f>
        <v/>
      </c>
      <c r="Q747">
        <f>IF([2]Entry!$D$750="","",[2]Entry!$D$750)</f>
        <v/>
      </c>
      <c r="R747">
        <f>IF([2]Entry!$E$750="","",[2]Entry!$E$750)</f>
        <v/>
      </c>
      <c r="S747">
        <f>IF([2]Entry!$G$750="","",[2]Entry!$G$750)</f>
        <v/>
      </c>
      <c r="T747">
        <f>IF([2]Entry!$J$750="","",[2]Entry!$J$750)</f>
        <v/>
      </c>
      <c r="U747">
        <f>IF([2]Entry!$K$750="","",[2]Entry!$K$750)</f>
        <v/>
      </c>
      <c r="V747">
        <f>IF([2]Entry!$L$750="","",[2]Entry!$L$750)</f>
        <v/>
      </c>
      <c r="W747">
        <f>IF([2]Entry!$M$750="","",[2]Entry!$M$750)</f>
        <v/>
      </c>
      <c r="X747">
        <f>IF([2]Entry!$N$750="","",[2]Entry!$N$750)</f>
        <v/>
      </c>
      <c r="Y747">
        <f>IF([2]Entry!$R$750="","",[2]Entry!$R$750)</f>
        <v/>
      </c>
    </row>
    <row r="748">
      <c r="P748">
        <f>IF([2]Entry!$C$751="","",[2]Entry!$C$751)</f>
        <v/>
      </c>
      <c r="Q748">
        <f>IF([2]Entry!$D$751="","",[2]Entry!$D$751)</f>
        <v/>
      </c>
      <c r="R748">
        <f>IF([2]Entry!$E$751="","",[2]Entry!$E$751)</f>
        <v/>
      </c>
      <c r="S748">
        <f>IF([2]Entry!$G$751="","",[2]Entry!$G$751)</f>
        <v/>
      </c>
      <c r="T748">
        <f>IF([2]Entry!$J$751="","",[2]Entry!$J$751)</f>
        <v/>
      </c>
      <c r="U748">
        <f>IF([2]Entry!$K$751="","",[2]Entry!$K$751)</f>
        <v/>
      </c>
      <c r="V748">
        <f>IF([2]Entry!$L$751="","",[2]Entry!$L$751)</f>
        <v/>
      </c>
      <c r="W748">
        <f>IF([2]Entry!$M$751="","",[2]Entry!$M$751)</f>
        <v/>
      </c>
      <c r="X748">
        <f>IF([2]Entry!$N$751="","",[2]Entry!$N$751)</f>
        <v/>
      </c>
      <c r="Y748">
        <f>IF([2]Entry!$R$751="","",[2]Entry!$R$751)</f>
        <v/>
      </c>
    </row>
    <row r="749">
      <c r="P749">
        <f>IF([2]Entry!$C$752="","",[2]Entry!$C$752)</f>
        <v/>
      </c>
      <c r="Q749">
        <f>IF([2]Entry!$D$752="","",[2]Entry!$D$752)</f>
        <v/>
      </c>
      <c r="R749">
        <f>IF([2]Entry!$E$752="","",[2]Entry!$E$752)</f>
        <v/>
      </c>
      <c r="S749">
        <f>IF([2]Entry!$G$752="","",[2]Entry!$G$752)</f>
        <v/>
      </c>
      <c r="T749">
        <f>IF([2]Entry!$J$752="","",[2]Entry!$J$752)</f>
        <v/>
      </c>
      <c r="U749">
        <f>IF([2]Entry!$K$752="","",[2]Entry!$K$752)</f>
        <v/>
      </c>
      <c r="V749">
        <f>IF([2]Entry!$L$752="","",[2]Entry!$L$752)</f>
        <v/>
      </c>
      <c r="W749">
        <f>IF([2]Entry!$M$752="","",[2]Entry!$M$752)</f>
        <v/>
      </c>
      <c r="X749">
        <f>IF([2]Entry!$N$752="","",[2]Entry!$N$752)</f>
        <v/>
      </c>
      <c r="Y749">
        <f>IF([2]Entry!$R$752="","",[2]Entry!$R$752)</f>
        <v/>
      </c>
    </row>
    <row r="750">
      <c r="P750">
        <f>IF([2]Entry!$C$753="","",[2]Entry!$C$753)</f>
        <v/>
      </c>
      <c r="Q750">
        <f>IF([2]Entry!$D$753="","",[2]Entry!$D$753)</f>
        <v/>
      </c>
      <c r="R750">
        <f>IF([2]Entry!$E$753="","",[2]Entry!$E$753)</f>
        <v/>
      </c>
      <c r="S750">
        <f>IF([2]Entry!$G$753="","",[2]Entry!$G$753)</f>
        <v/>
      </c>
      <c r="T750">
        <f>IF([2]Entry!$J$753="","",[2]Entry!$J$753)</f>
        <v/>
      </c>
      <c r="U750">
        <f>IF([2]Entry!$K$753="","",[2]Entry!$K$753)</f>
        <v/>
      </c>
      <c r="V750">
        <f>IF([2]Entry!$L$753="","",[2]Entry!$L$753)</f>
        <v/>
      </c>
      <c r="W750">
        <f>IF([2]Entry!$M$753="","",[2]Entry!$M$753)</f>
        <v/>
      </c>
      <c r="X750">
        <f>IF([2]Entry!$N$753="","",[2]Entry!$N$753)</f>
        <v/>
      </c>
      <c r="Y750">
        <f>IF([2]Entry!$R$753="","",[2]Entry!$R$753)</f>
        <v/>
      </c>
    </row>
    <row r="751">
      <c r="P751">
        <f>IF([2]Entry!$C$754="","",[2]Entry!$C$754)</f>
        <v/>
      </c>
      <c r="Q751">
        <f>IF([2]Entry!$D$754="","",[2]Entry!$D$754)</f>
        <v/>
      </c>
      <c r="R751">
        <f>IF([2]Entry!$E$754="","",[2]Entry!$E$754)</f>
        <v/>
      </c>
      <c r="S751">
        <f>IF([2]Entry!$G$754="","",[2]Entry!$G$754)</f>
        <v/>
      </c>
      <c r="T751">
        <f>IF([2]Entry!$J$754="","",[2]Entry!$J$754)</f>
        <v/>
      </c>
      <c r="U751">
        <f>IF([2]Entry!$K$754="","",[2]Entry!$K$754)</f>
        <v/>
      </c>
      <c r="V751">
        <f>IF([2]Entry!$L$754="","",[2]Entry!$L$754)</f>
        <v/>
      </c>
      <c r="W751">
        <f>IF([2]Entry!$M$754="","",[2]Entry!$M$754)</f>
        <v/>
      </c>
      <c r="X751">
        <f>IF([2]Entry!$N$754="","",[2]Entry!$N$754)</f>
        <v/>
      </c>
      <c r="Y751">
        <f>IF([2]Entry!$R$754="","",[2]Entry!$R$754)</f>
        <v/>
      </c>
    </row>
    <row r="752">
      <c r="P752">
        <f>IF([2]Entry!$C$755="","",[2]Entry!$C$755)</f>
        <v/>
      </c>
      <c r="Q752">
        <f>IF([2]Entry!$D$755="","",[2]Entry!$D$755)</f>
        <v/>
      </c>
      <c r="R752">
        <f>IF([2]Entry!$E$755="","",[2]Entry!$E$755)</f>
        <v/>
      </c>
      <c r="S752">
        <f>IF([2]Entry!$G$755="","",[2]Entry!$G$755)</f>
        <v/>
      </c>
      <c r="T752">
        <f>IF([2]Entry!$J$755="","",[2]Entry!$J$755)</f>
        <v/>
      </c>
      <c r="U752">
        <f>IF([2]Entry!$K$755="","",[2]Entry!$K$755)</f>
        <v/>
      </c>
      <c r="V752">
        <f>IF([2]Entry!$L$755="","",[2]Entry!$L$755)</f>
        <v/>
      </c>
      <c r="W752">
        <f>IF([2]Entry!$M$755="","",[2]Entry!$M$755)</f>
        <v/>
      </c>
      <c r="X752">
        <f>IF([2]Entry!$N$755="","",[2]Entry!$N$755)</f>
        <v/>
      </c>
      <c r="Y752">
        <f>IF([2]Entry!$R$755="","",[2]Entry!$R$755)</f>
        <v/>
      </c>
    </row>
    <row r="753">
      <c r="P753">
        <f>IF([2]Entry!$C$756="","",[2]Entry!$C$756)</f>
        <v/>
      </c>
      <c r="Q753">
        <f>IF([2]Entry!$D$756="","",[2]Entry!$D$756)</f>
        <v/>
      </c>
      <c r="R753">
        <f>IF([2]Entry!$E$756="","",[2]Entry!$E$756)</f>
        <v/>
      </c>
      <c r="S753">
        <f>IF([2]Entry!$G$756="","",[2]Entry!$G$756)</f>
        <v/>
      </c>
      <c r="T753">
        <f>IF([2]Entry!$J$756="","",[2]Entry!$J$756)</f>
        <v/>
      </c>
      <c r="U753">
        <f>IF([2]Entry!$K$756="","",[2]Entry!$K$756)</f>
        <v/>
      </c>
      <c r="V753">
        <f>IF([2]Entry!$L$756="","",[2]Entry!$L$756)</f>
        <v/>
      </c>
      <c r="W753">
        <f>IF([2]Entry!$M$756="","",[2]Entry!$M$756)</f>
        <v/>
      </c>
      <c r="X753">
        <f>IF([2]Entry!$N$756="","",[2]Entry!$N$756)</f>
        <v/>
      </c>
      <c r="Y753">
        <f>IF([2]Entry!$R$756="","",[2]Entry!$R$756)</f>
        <v/>
      </c>
    </row>
    <row r="754">
      <c r="P754">
        <f>IF([2]Entry!$C$757="","",[2]Entry!$C$757)</f>
        <v/>
      </c>
      <c r="Q754">
        <f>IF([2]Entry!$D$757="","",[2]Entry!$D$757)</f>
        <v/>
      </c>
      <c r="R754">
        <f>IF([2]Entry!$E$757="","",[2]Entry!$E$757)</f>
        <v/>
      </c>
      <c r="S754">
        <f>IF([2]Entry!$G$757="","",[2]Entry!$G$757)</f>
        <v/>
      </c>
      <c r="T754">
        <f>IF([2]Entry!$J$757="","",[2]Entry!$J$757)</f>
        <v/>
      </c>
      <c r="U754">
        <f>IF([2]Entry!$K$757="","",[2]Entry!$K$757)</f>
        <v/>
      </c>
      <c r="V754">
        <f>IF([2]Entry!$L$757="","",[2]Entry!$L$757)</f>
        <v/>
      </c>
      <c r="W754">
        <f>IF([2]Entry!$M$757="","",[2]Entry!$M$757)</f>
        <v/>
      </c>
      <c r="X754">
        <f>IF([2]Entry!$N$757="","",[2]Entry!$N$757)</f>
        <v/>
      </c>
      <c r="Y754">
        <f>IF([2]Entry!$R$757="","",[2]Entry!$R$757)</f>
        <v/>
      </c>
    </row>
    <row r="755">
      <c r="P755">
        <f>IF([2]Entry!$C$758="","",[2]Entry!$C$758)</f>
        <v/>
      </c>
      <c r="Q755">
        <f>IF([2]Entry!$D$758="","",[2]Entry!$D$758)</f>
        <v/>
      </c>
      <c r="R755">
        <f>IF([2]Entry!$E$758="","",[2]Entry!$E$758)</f>
        <v/>
      </c>
      <c r="S755">
        <f>IF([2]Entry!$G$758="","",[2]Entry!$G$758)</f>
        <v/>
      </c>
      <c r="T755">
        <f>IF([2]Entry!$J$758="","",[2]Entry!$J$758)</f>
        <v/>
      </c>
      <c r="U755">
        <f>IF([2]Entry!$K$758="","",[2]Entry!$K$758)</f>
        <v/>
      </c>
      <c r="V755">
        <f>IF([2]Entry!$L$758="","",[2]Entry!$L$758)</f>
        <v/>
      </c>
      <c r="W755">
        <f>IF([2]Entry!$M$758="","",[2]Entry!$M$758)</f>
        <v/>
      </c>
      <c r="X755">
        <f>IF([2]Entry!$N$758="","",[2]Entry!$N$758)</f>
        <v/>
      </c>
      <c r="Y755">
        <f>IF([2]Entry!$R$758="","",[2]Entry!$R$758)</f>
        <v/>
      </c>
    </row>
    <row r="756">
      <c r="P756">
        <f>IF([2]Entry!$C$759="","",[2]Entry!$C$759)</f>
        <v/>
      </c>
      <c r="Q756">
        <f>IF([2]Entry!$D$759="","",[2]Entry!$D$759)</f>
        <v/>
      </c>
      <c r="R756">
        <f>IF([2]Entry!$E$759="","",[2]Entry!$E$759)</f>
        <v/>
      </c>
      <c r="S756">
        <f>IF([2]Entry!$G$759="","",[2]Entry!$G$759)</f>
        <v/>
      </c>
      <c r="T756">
        <f>IF([2]Entry!$J$759="","",[2]Entry!$J$759)</f>
        <v/>
      </c>
      <c r="U756">
        <f>IF([2]Entry!$K$759="","",[2]Entry!$K$759)</f>
        <v/>
      </c>
      <c r="V756">
        <f>IF([2]Entry!$L$759="","",[2]Entry!$L$759)</f>
        <v/>
      </c>
      <c r="W756">
        <f>IF([2]Entry!$M$759="","",[2]Entry!$M$759)</f>
        <v/>
      </c>
      <c r="X756">
        <f>IF([2]Entry!$N$759="","",[2]Entry!$N$759)</f>
        <v/>
      </c>
      <c r="Y756">
        <f>IF([2]Entry!$R$759="","",[2]Entry!$R$759)</f>
        <v/>
      </c>
    </row>
    <row r="757">
      <c r="P757">
        <f>IF([2]Entry!$C$760="","",[2]Entry!$C$760)</f>
        <v/>
      </c>
      <c r="Q757">
        <f>IF([2]Entry!$D$760="","",[2]Entry!$D$760)</f>
        <v/>
      </c>
      <c r="R757">
        <f>IF([2]Entry!$E$760="","",[2]Entry!$E$760)</f>
        <v/>
      </c>
      <c r="S757">
        <f>IF([2]Entry!$G$760="","",[2]Entry!$G$760)</f>
        <v/>
      </c>
      <c r="T757">
        <f>IF([2]Entry!$J$760="","",[2]Entry!$J$760)</f>
        <v/>
      </c>
      <c r="U757">
        <f>IF([2]Entry!$K$760="","",[2]Entry!$K$760)</f>
        <v/>
      </c>
      <c r="V757">
        <f>IF([2]Entry!$L$760="","",[2]Entry!$L$760)</f>
        <v/>
      </c>
      <c r="W757">
        <f>IF([2]Entry!$M$760="","",[2]Entry!$M$760)</f>
        <v/>
      </c>
      <c r="X757">
        <f>IF([2]Entry!$N$760="","",[2]Entry!$N$760)</f>
        <v/>
      </c>
      <c r="Y757">
        <f>IF([2]Entry!$R$760="","",[2]Entry!$R$760)</f>
        <v/>
      </c>
    </row>
    <row r="758">
      <c r="P758">
        <f>IF([2]Entry!$C$761="","",[2]Entry!$C$761)</f>
        <v/>
      </c>
      <c r="Q758">
        <f>IF([2]Entry!$D$761="","",[2]Entry!$D$761)</f>
        <v/>
      </c>
      <c r="R758">
        <f>IF([2]Entry!$E$761="","",[2]Entry!$E$761)</f>
        <v/>
      </c>
      <c r="S758">
        <f>IF([2]Entry!$G$761="","",[2]Entry!$G$761)</f>
        <v/>
      </c>
      <c r="T758">
        <f>IF([2]Entry!$J$761="","",[2]Entry!$J$761)</f>
        <v/>
      </c>
      <c r="U758">
        <f>IF([2]Entry!$K$761="","",[2]Entry!$K$761)</f>
        <v/>
      </c>
      <c r="V758">
        <f>IF([2]Entry!$L$761="","",[2]Entry!$L$761)</f>
        <v/>
      </c>
      <c r="W758">
        <f>IF([2]Entry!$M$761="","",[2]Entry!$M$761)</f>
        <v/>
      </c>
      <c r="X758">
        <f>IF([2]Entry!$N$761="","",[2]Entry!$N$761)</f>
        <v/>
      </c>
      <c r="Y758">
        <f>IF([2]Entry!$R$761="","",[2]Entry!$R$761)</f>
        <v/>
      </c>
    </row>
    <row r="759">
      <c r="P759">
        <f>IF([2]Entry!$C$762="","",[2]Entry!$C$762)</f>
        <v/>
      </c>
      <c r="Q759">
        <f>IF([2]Entry!$D$762="","",[2]Entry!$D$762)</f>
        <v/>
      </c>
      <c r="R759">
        <f>IF([2]Entry!$E$762="","",[2]Entry!$E$762)</f>
        <v/>
      </c>
      <c r="S759">
        <f>IF([2]Entry!$G$762="","",[2]Entry!$G$762)</f>
        <v/>
      </c>
      <c r="T759">
        <f>IF([2]Entry!$J$762="","",[2]Entry!$J$762)</f>
        <v/>
      </c>
      <c r="U759">
        <f>IF([2]Entry!$K$762="","",[2]Entry!$K$762)</f>
        <v/>
      </c>
      <c r="V759">
        <f>IF([2]Entry!$L$762="","",[2]Entry!$L$762)</f>
        <v/>
      </c>
      <c r="W759">
        <f>IF([2]Entry!$M$762="","",[2]Entry!$M$762)</f>
        <v/>
      </c>
      <c r="X759">
        <f>IF([2]Entry!$N$762="","",[2]Entry!$N$762)</f>
        <v/>
      </c>
      <c r="Y759">
        <f>IF([2]Entry!$R$762="","",[2]Entry!$R$762)</f>
        <v/>
      </c>
    </row>
    <row r="760">
      <c r="P760">
        <f>IF([2]Entry!$C$763="","",[2]Entry!$C$763)</f>
        <v/>
      </c>
      <c r="Q760">
        <f>IF([2]Entry!$D$763="","",[2]Entry!$D$763)</f>
        <v/>
      </c>
      <c r="R760">
        <f>IF([2]Entry!$E$763="","",[2]Entry!$E$763)</f>
        <v/>
      </c>
      <c r="S760">
        <f>IF([2]Entry!$G$763="","",[2]Entry!$G$763)</f>
        <v/>
      </c>
      <c r="T760">
        <f>IF([2]Entry!$J$763="","",[2]Entry!$J$763)</f>
        <v/>
      </c>
      <c r="U760">
        <f>IF([2]Entry!$K$763="","",[2]Entry!$K$763)</f>
        <v/>
      </c>
      <c r="V760">
        <f>IF([2]Entry!$L$763="","",[2]Entry!$L$763)</f>
        <v/>
      </c>
      <c r="W760">
        <f>IF([2]Entry!$M$763="","",[2]Entry!$M$763)</f>
        <v/>
      </c>
      <c r="X760">
        <f>IF([2]Entry!$N$763="","",[2]Entry!$N$763)</f>
        <v/>
      </c>
      <c r="Y760">
        <f>IF([2]Entry!$R$763="","",[2]Entry!$R$763)</f>
        <v/>
      </c>
    </row>
    <row r="761">
      <c r="P761">
        <f>IF([2]Entry!$C$764="","",[2]Entry!$C$764)</f>
        <v/>
      </c>
      <c r="Q761">
        <f>IF([2]Entry!$D$764="","",[2]Entry!$D$764)</f>
        <v/>
      </c>
      <c r="R761">
        <f>IF([2]Entry!$E$764="","",[2]Entry!$E$764)</f>
        <v/>
      </c>
      <c r="S761">
        <f>IF([2]Entry!$G$764="","",[2]Entry!$G$764)</f>
        <v/>
      </c>
      <c r="T761">
        <f>IF([2]Entry!$J$764="","",[2]Entry!$J$764)</f>
        <v/>
      </c>
      <c r="U761">
        <f>IF([2]Entry!$K$764="","",[2]Entry!$K$764)</f>
        <v/>
      </c>
      <c r="V761">
        <f>IF([2]Entry!$L$764="","",[2]Entry!$L$764)</f>
        <v/>
      </c>
      <c r="W761">
        <f>IF([2]Entry!$M$764="","",[2]Entry!$M$764)</f>
        <v/>
      </c>
      <c r="X761">
        <f>IF([2]Entry!$N$764="","",[2]Entry!$N$764)</f>
        <v/>
      </c>
      <c r="Y761">
        <f>IF([2]Entry!$R$764="","",[2]Entry!$R$764)</f>
        <v/>
      </c>
    </row>
    <row r="762">
      <c r="P762">
        <f>IF([2]Entry!$C$765="","",[2]Entry!$C$765)</f>
        <v/>
      </c>
      <c r="Q762">
        <f>IF([2]Entry!$D$765="","",[2]Entry!$D$765)</f>
        <v/>
      </c>
      <c r="R762">
        <f>IF([2]Entry!$E$765="","",[2]Entry!$E$765)</f>
        <v/>
      </c>
      <c r="S762">
        <f>IF([2]Entry!$G$765="","",[2]Entry!$G$765)</f>
        <v/>
      </c>
      <c r="T762">
        <f>IF([2]Entry!$J$765="","",[2]Entry!$J$765)</f>
        <v/>
      </c>
      <c r="U762">
        <f>IF([2]Entry!$K$765="","",[2]Entry!$K$765)</f>
        <v/>
      </c>
      <c r="V762">
        <f>IF([2]Entry!$L$765="","",[2]Entry!$L$765)</f>
        <v/>
      </c>
      <c r="W762">
        <f>IF([2]Entry!$M$765="","",[2]Entry!$M$765)</f>
        <v/>
      </c>
      <c r="X762">
        <f>IF([2]Entry!$N$765="","",[2]Entry!$N$765)</f>
        <v/>
      </c>
      <c r="Y762">
        <f>IF([2]Entry!$R$765="","",[2]Entry!$R$765)</f>
        <v/>
      </c>
    </row>
    <row r="763">
      <c r="P763">
        <f>IF([2]Entry!$C$766="","",[2]Entry!$C$766)</f>
        <v/>
      </c>
      <c r="Q763">
        <f>IF([2]Entry!$D$766="","",[2]Entry!$D$766)</f>
        <v/>
      </c>
      <c r="R763">
        <f>IF([2]Entry!$E$766="","",[2]Entry!$E$766)</f>
        <v/>
      </c>
      <c r="S763">
        <f>IF([2]Entry!$G$766="","",[2]Entry!$G$766)</f>
        <v/>
      </c>
      <c r="T763">
        <f>IF([2]Entry!$J$766="","",[2]Entry!$J$766)</f>
        <v/>
      </c>
      <c r="U763">
        <f>IF([2]Entry!$K$766="","",[2]Entry!$K$766)</f>
        <v/>
      </c>
      <c r="V763">
        <f>IF([2]Entry!$L$766="","",[2]Entry!$L$766)</f>
        <v/>
      </c>
      <c r="W763">
        <f>IF([2]Entry!$M$766="","",[2]Entry!$M$766)</f>
        <v/>
      </c>
      <c r="X763">
        <f>IF([2]Entry!$N$766="","",[2]Entry!$N$766)</f>
        <v/>
      </c>
      <c r="Y763">
        <f>IF([2]Entry!$R$766="","",[2]Entry!$R$766)</f>
        <v/>
      </c>
    </row>
    <row r="764">
      <c r="P764">
        <f>IF([2]Entry!$C$767="","",[2]Entry!$C$767)</f>
        <v/>
      </c>
      <c r="Q764">
        <f>IF([2]Entry!$D$767="","",[2]Entry!$D$767)</f>
        <v/>
      </c>
      <c r="R764">
        <f>IF([2]Entry!$E$767="","",[2]Entry!$E$767)</f>
        <v/>
      </c>
      <c r="S764">
        <f>IF([2]Entry!$G$767="","",[2]Entry!$G$767)</f>
        <v/>
      </c>
      <c r="T764">
        <f>IF([2]Entry!$J$767="","",[2]Entry!$J$767)</f>
        <v/>
      </c>
      <c r="U764">
        <f>IF([2]Entry!$K$767="","",[2]Entry!$K$767)</f>
        <v/>
      </c>
      <c r="V764">
        <f>IF([2]Entry!$L$767="","",[2]Entry!$L$767)</f>
        <v/>
      </c>
      <c r="W764">
        <f>IF([2]Entry!$M$767="","",[2]Entry!$M$767)</f>
        <v/>
      </c>
      <c r="X764">
        <f>IF([2]Entry!$N$767="","",[2]Entry!$N$767)</f>
        <v/>
      </c>
      <c r="Y764">
        <f>IF([2]Entry!$R$767="","",[2]Entry!$R$767)</f>
        <v/>
      </c>
    </row>
    <row r="765">
      <c r="P765">
        <f>IF([2]Entry!$C$768="","",[2]Entry!$C$768)</f>
        <v/>
      </c>
      <c r="Q765">
        <f>IF([2]Entry!$D$768="","",[2]Entry!$D$768)</f>
        <v/>
      </c>
      <c r="R765">
        <f>IF([2]Entry!$E$768="","",[2]Entry!$E$768)</f>
        <v/>
      </c>
      <c r="S765">
        <f>IF([2]Entry!$G$768="","",[2]Entry!$G$768)</f>
        <v/>
      </c>
      <c r="T765">
        <f>IF([2]Entry!$J$768="","",[2]Entry!$J$768)</f>
        <v/>
      </c>
      <c r="U765">
        <f>IF([2]Entry!$K$768="","",[2]Entry!$K$768)</f>
        <v/>
      </c>
      <c r="V765">
        <f>IF([2]Entry!$L$768="","",[2]Entry!$L$768)</f>
        <v/>
      </c>
      <c r="W765">
        <f>IF([2]Entry!$M$768="","",[2]Entry!$M$768)</f>
        <v/>
      </c>
      <c r="X765">
        <f>IF([2]Entry!$N$768="","",[2]Entry!$N$768)</f>
        <v/>
      </c>
      <c r="Y765">
        <f>IF([2]Entry!$R$768="","",[2]Entry!$R$768)</f>
        <v/>
      </c>
    </row>
    <row r="766">
      <c r="P766">
        <f>IF([2]Entry!$C$769="","",[2]Entry!$C$769)</f>
        <v/>
      </c>
      <c r="Q766">
        <f>IF([2]Entry!$D$769="","",[2]Entry!$D$769)</f>
        <v/>
      </c>
      <c r="R766">
        <f>IF([2]Entry!$E$769="","",[2]Entry!$E$769)</f>
        <v/>
      </c>
      <c r="S766">
        <f>IF([2]Entry!$G$769="","",[2]Entry!$G$769)</f>
        <v/>
      </c>
      <c r="T766">
        <f>IF([2]Entry!$J$769="","",[2]Entry!$J$769)</f>
        <v/>
      </c>
      <c r="U766">
        <f>IF([2]Entry!$K$769="","",[2]Entry!$K$769)</f>
        <v/>
      </c>
      <c r="V766">
        <f>IF([2]Entry!$L$769="","",[2]Entry!$L$769)</f>
        <v/>
      </c>
      <c r="W766">
        <f>IF([2]Entry!$M$769="","",[2]Entry!$M$769)</f>
        <v/>
      </c>
      <c r="X766">
        <f>IF([2]Entry!$N$769="","",[2]Entry!$N$769)</f>
        <v/>
      </c>
      <c r="Y766">
        <f>IF([2]Entry!$R$769="","",[2]Entry!$R$769)</f>
        <v/>
      </c>
    </row>
    <row r="767">
      <c r="P767">
        <f>IF([2]Entry!$C$770="","",[2]Entry!$C$770)</f>
        <v/>
      </c>
      <c r="Q767">
        <f>IF([2]Entry!$D$770="","",[2]Entry!$D$770)</f>
        <v/>
      </c>
      <c r="R767">
        <f>IF([2]Entry!$E$770="","",[2]Entry!$E$770)</f>
        <v/>
      </c>
      <c r="S767">
        <f>IF([2]Entry!$G$770="","",[2]Entry!$G$770)</f>
        <v/>
      </c>
      <c r="T767">
        <f>IF([2]Entry!$J$770="","",[2]Entry!$J$770)</f>
        <v/>
      </c>
      <c r="U767">
        <f>IF([2]Entry!$K$770="","",[2]Entry!$K$770)</f>
        <v/>
      </c>
      <c r="V767">
        <f>IF([2]Entry!$L$770="","",[2]Entry!$L$770)</f>
        <v/>
      </c>
      <c r="W767">
        <f>IF([2]Entry!$M$770="","",[2]Entry!$M$770)</f>
        <v/>
      </c>
      <c r="X767">
        <f>IF([2]Entry!$N$770="","",[2]Entry!$N$770)</f>
        <v/>
      </c>
      <c r="Y767">
        <f>IF([2]Entry!$R$770="","",[2]Entry!$R$770)</f>
        <v/>
      </c>
    </row>
    <row r="768">
      <c r="P768">
        <f>IF([2]Entry!$C$771="","",[2]Entry!$C$771)</f>
        <v/>
      </c>
      <c r="Q768">
        <f>IF([2]Entry!$D$771="","",[2]Entry!$D$771)</f>
        <v/>
      </c>
      <c r="R768">
        <f>IF([2]Entry!$E$771="","",[2]Entry!$E$771)</f>
        <v/>
      </c>
      <c r="S768">
        <f>IF([2]Entry!$G$771="","",[2]Entry!$G$771)</f>
        <v/>
      </c>
      <c r="T768">
        <f>IF([2]Entry!$J$771="","",[2]Entry!$J$771)</f>
        <v/>
      </c>
      <c r="U768">
        <f>IF([2]Entry!$K$771="","",[2]Entry!$K$771)</f>
        <v/>
      </c>
      <c r="V768">
        <f>IF([2]Entry!$L$771="","",[2]Entry!$L$771)</f>
        <v/>
      </c>
      <c r="W768">
        <f>IF([2]Entry!$M$771="","",[2]Entry!$M$771)</f>
        <v/>
      </c>
      <c r="X768">
        <f>IF([2]Entry!$N$771="","",[2]Entry!$N$771)</f>
        <v/>
      </c>
      <c r="Y768">
        <f>IF([2]Entry!$R$771="","",[2]Entry!$R$771)</f>
        <v/>
      </c>
    </row>
    <row r="769">
      <c r="P769">
        <f>IF([2]Entry!$C$772="","",[2]Entry!$C$772)</f>
        <v/>
      </c>
      <c r="Q769">
        <f>IF([2]Entry!$D$772="","",[2]Entry!$D$772)</f>
        <v/>
      </c>
      <c r="R769">
        <f>IF([2]Entry!$E$772="","",[2]Entry!$E$772)</f>
        <v/>
      </c>
      <c r="S769">
        <f>IF([2]Entry!$G$772="","",[2]Entry!$G$772)</f>
        <v/>
      </c>
      <c r="T769">
        <f>IF([2]Entry!$J$772="","",[2]Entry!$J$772)</f>
        <v/>
      </c>
      <c r="U769">
        <f>IF([2]Entry!$K$772="","",[2]Entry!$K$772)</f>
        <v/>
      </c>
      <c r="V769">
        <f>IF([2]Entry!$L$772="","",[2]Entry!$L$772)</f>
        <v/>
      </c>
      <c r="W769">
        <f>IF([2]Entry!$M$772="","",[2]Entry!$M$772)</f>
        <v/>
      </c>
      <c r="X769">
        <f>IF([2]Entry!$N$772="","",[2]Entry!$N$772)</f>
        <v/>
      </c>
      <c r="Y769">
        <f>IF([2]Entry!$R$772="","",[2]Entry!$R$772)</f>
        <v/>
      </c>
    </row>
    <row r="770">
      <c r="P770">
        <f>IF([2]Entry!$C$773="","",[2]Entry!$C$773)</f>
        <v/>
      </c>
      <c r="Q770">
        <f>IF([2]Entry!$D$773="","",[2]Entry!$D$773)</f>
        <v/>
      </c>
      <c r="R770">
        <f>IF([2]Entry!$E$773="","",[2]Entry!$E$773)</f>
        <v/>
      </c>
      <c r="S770">
        <f>IF([2]Entry!$G$773="","",[2]Entry!$G$773)</f>
        <v/>
      </c>
      <c r="T770">
        <f>IF([2]Entry!$J$773="","",[2]Entry!$J$773)</f>
        <v/>
      </c>
      <c r="U770">
        <f>IF([2]Entry!$K$773="","",[2]Entry!$K$773)</f>
        <v/>
      </c>
      <c r="V770">
        <f>IF([2]Entry!$L$773="","",[2]Entry!$L$773)</f>
        <v/>
      </c>
      <c r="W770">
        <f>IF([2]Entry!$M$773="","",[2]Entry!$M$773)</f>
        <v/>
      </c>
      <c r="X770">
        <f>IF([2]Entry!$N$773="","",[2]Entry!$N$773)</f>
        <v/>
      </c>
      <c r="Y770">
        <f>IF([2]Entry!$R$773="","",[2]Entry!$R$773)</f>
        <v/>
      </c>
    </row>
    <row r="771">
      <c r="P771">
        <f>IF([2]Entry!$C$774="","",[2]Entry!$C$774)</f>
        <v/>
      </c>
      <c r="Q771">
        <f>IF([2]Entry!$D$774="","",[2]Entry!$D$774)</f>
        <v/>
      </c>
      <c r="R771">
        <f>IF([2]Entry!$E$774="","",[2]Entry!$E$774)</f>
        <v/>
      </c>
      <c r="S771">
        <f>IF([2]Entry!$G$774="","",[2]Entry!$G$774)</f>
        <v/>
      </c>
      <c r="T771">
        <f>IF([2]Entry!$J$774="","",[2]Entry!$J$774)</f>
        <v/>
      </c>
      <c r="U771">
        <f>IF([2]Entry!$K$774="","",[2]Entry!$K$774)</f>
        <v/>
      </c>
      <c r="V771">
        <f>IF([2]Entry!$L$774="","",[2]Entry!$L$774)</f>
        <v/>
      </c>
      <c r="W771">
        <f>IF([2]Entry!$M$774="","",[2]Entry!$M$774)</f>
        <v/>
      </c>
      <c r="X771">
        <f>IF([2]Entry!$N$774="","",[2]Entry!$N$774)</f>
        <v/>
      </c>
      <c r="Y771">
        <f>IF([2]Entry!$R$774="","",[2]Entry!$R$774)</f>
        <v/>
      </c>
    </row>
    <row r="772">
      <c r="P772">
        <f>IF([2]Entry!$C$775="","",[2]Entry!$C$775)</f>
        <v/>
      </c>
      <c r="Q772">
        <f>IF([2]Entry!$D$775="","",[2]Entry!$D$775)</f>
        <v/>
      </c>
      <c r="R772">
        <f>IF([2]Entry!$E$775="","",[2]Entry!$E$775)</f>
        <v/>
      </c>
      <c r="S772">
        <f>IF([2]Entry!$G$775="","",[2]Entry!$G$775)</f>
        <v/>
      </c>
      <c r="T772">
        <f>IF([2]Entry!$J$775="","",[2]Entry!$J$775)</f>
        <v/>
      </c>
      <c r="U772">
        <f>IF([2]Entry!$K$775="","",[2]Entry!$K$775)</f>
        <v/>
      </c>
      <c r="V772">
        <f>IF([2]Entry!$L$775="","",[2]Entry!$L$775)</f>
        <v/>
      </c>
      <c r="W772">
        <f>IF([2]Entry!$M$775="","",[2]Entry!$M$775)</f>
        <v/>
      </c>
      <c r="X772">
        <f>IF([2]Entry!$N$775="","",[2]Entry!$N$775)</f>
        <v/>
      </c>
      <c r="Y772">
        <f>IF([2]Entry!$R$775="","",[2]Entry!$R$775)</f>
        <v/>
      </c>
    </row>
    <row r="773">
      <c r="P773">
        <f>IF([2]Entry!$C$776="","",[2]Entry!$C$776)</f>
        <v/>
      </c>
      <c r="Q773">
        <f>IF([2]Entry!$D$776="","",[2]Entry!$D$776)</f>
        <v/>
      </c>
      <c r="R773">
        <f>IF([2]Entry!$E$776="","",[2]Entry!$E$776)</f>
        <v/>
      </c>
      <c r="S773">
        <f>IF([2]Entry!$G$776="","",[2]Entry!$G$776)</f>
        <v/>
      </c>
      <c r="T773">
        <f>IF([2]Entry!$J$776="","",[2]Entry!$J$776)</f>
        <v/>
      </c>
      <c r="U773">
        <f>IF([2]Entry!$K$776="","",[2]Entry!$K$776)</f>
        <v/>
      </c>
      <c r="V773">
        <f>IF([2]Entry!$L$776="","",[2]Entry!$L$776)</f>
        <v/>
      </c>
      <c r="W773">
        <f>IF([2]Entry!$M$776="","",[2]Entry!$M$776)</f>
        <v/>
      </c>
      <c r="X773">
        <f>IF([2]Entry!$N$776="","",[2]Entry!$N$776)</f>
        <v/>
      </c>
      <c r="Y773">
        <f>IF([2]Entry!$R$776="","",[2]Entry!$R$776)</f>
        <v/>
      </c>
    </row>
    <row r="774">
      <c r="P774">
        <f>IF([2]Entry!$C$777="","",[2]Entry!$C$777)</f>
        <v/>
      </c>
      <c r="Q774">
        <f>IF([2]Entry!$D$777="","",[2]Entry!$D$777)</f>
        <v/>
      </c>
      <c r="R774">
        <f>IF([2]Entry!$E$777="","",[2]Entry!$E$777)</f>
        <v/>
      </c>
      <c r="S774">
        <f>IF([2]Entry!$G$777="","",[2]Entry!$G$777)</f>
        <v/>
      </c>
      <c r="T774">
        <f>IF([2]Entry!$J$777="","",[2]Entry!$J$777)</f>
        <v/>
      </c>
      <c r="U774">
        <f>IF([2]Entry!$K$777="","",[2]Entry!$K$777)</f>
        <v/>
      </c>
      <c r="V774">
        <f>IF([2]Entry!$L$777="","",[2]Entry!$L$777)</f>
        <v/>
      </c>
      <c r="W774">
        <f>IF([2]Entry!$M$777="","",[2]Entry!$M$777)</f>
        <v/>
      </c>
      <c r="X774">
        <f>IF([2]Entry!$N$777="","",[2]Entry!$N$777)</f>
        <v/>
      </c>
      <c r="Y774">
        <f>IF([2]Entry!$R$777="","",[2]Entry!$R$777)</f>
        <v/>
      </c>
    </row>
    <row r="775">
      <c r="P775">
        <f>IF([2]Entry!$C$778="","",[2]Entry!$C$778)</f>
        <v/>
      </c>
      <c r="Q775">
        <f>IF([2]Entry!$D$778="","",[2]Entry!$D$778)</f>
        <v/>
      </c>
      <c r="R775">
        <f>IF([2]Entry!$E$778="","",[2]Entry!$E$778)</f>
        <v/>
      </c>
      <c r="S775">
        <f>IF([2]Entry!$G$778="","",[2]Entry!$G$778)</f>
        <v/>
      </c>
      <c r="T775">
        <f>IF([2]Entry!$J$778="","",[2]Entry!$J$778)</f>
        <v/>
      </c>
      <c r="U775">
        <f>IF([2]Entry!$K$778="","",[2]Entry!$K$778)</f>
        <v/>
      </c>
      <c r="V775">
        <f>IF([2]Entry!$L$778="","",[2]Entry!$L$778)</f>
        <v/>
      </c>
      <c r="W775">
        <f>IF([2]Entry!$M$778="","",[2]Entry!$M$778)</f>
        <v/>
      </c>
      <c r="X775">
        <f>IF([2]Entry!$N$778="","",[2]Entry!$N$778)</f>
        <v/>
      </c>
      <c r="Y775">
        <f>IF([2]Entry!$R$778="","",[2]Entry!$R$778)</f>
        <v/>
      </c>
    </row>
    <row r="776">
      <c r="P776">
        <f>IF([2]Entry!$C$779="","",[2]Entry!$C$779)</f>
        <v/>
      </c>
      <c r="Q776">
        <f>IF([2]Entry!$D$779="","",[2]Entry!$D$779)</f>
        <v/>
      </c>
      <c r="R776">
        <f>IF([2]Entry!$E$779="","",[2]Entry!$E$779)</f>
        <v/>
      </c>
      <c r="S776">
        <f>IF([2]Entry!$G$779="","",[2]Entry!$G$779)</f>
        <v/>
      </c>
      <c r="T776">
        <f>IF([2]Entry!$J$779="","",[2]Entry!$J$779)</f>
        <v/>
      </c>
      <c r="U776">
        <f>IF([2]Entry!$K$779="","",[2]Entry!$K$779)</f>
        <v/>
      </c>
      <c r="V776">
        <f>IF([2]Entry!$L$779="","",[2]Entry!$L$779)</f>
        <v/>
      </c>
      <c r="W776">
        <f>IF([2]Entry!$M$779="","",[2]Entry!$M$779)</f>
        <v/>
      </c>
      <c r="X776">
        <f>IF([2]Entry!$N$779="","",[2]Entry!$N$779)</f>
        <v/>
      </c>
      <c r="Y776">
        <f>IF([2]Entry!$R$779="","",[2]Entry!$R$779)</f>
        <v/>
      </c>
    </row>
    <row r="777">
      <c r="P777">
        <f>IF([2]Entry!$C$780="","",[2]Entry!$C$780)</f>
        <v/>
      </c>
      <c r="Q777">
        <f>IF([2]Entry!$D$780="","",[2]Entry!$D$780)</f>
        <v/>
      </c>
      <c r="R777">
        <f>IF([2]Entry!$E$780="","",[2]Entry!$E$780)</f>
        <v/>
      </c>
      <c r="S777">
        <f>IF([2]Entry!$G$780="","",[2]Entry!$G$780)</f>
        <v/>
      </c>
      <c r="T777">
        <f>IF([2]Entry!$J$780="","",[2]Entry!$J$780)</f>
        <v/>
      </c>
      <c r="U777">
        <f>IF([2]Entry!$K$780="","",[2]Entry!$K$780)</f>
        <v/>
      </c>
      <c r="V777">
        <f>IF([2]Entry!$L$780="","",[2]Entry!$L$780)</f>
        <v/>
      </c>
      <c r="W777">
        <f>IF([2]Entry!$M$780="","",[2]Entry!$M$780)</f>
        <v/>
      </c>
      <c r="X777">
        <f>IF([2]Entry!$N$780="","",[2]Entry!$N$780)</f>
        <v/>
      </c>
      <c r="Y777">
        <f>IF([2]Entry!$R$780="","",[2]Entry!$R$780)</f>
        <v/>
      </c>
    </row>
    <row r="778">
      <c r="P778">
        <f>IF([2]Entry!$C$781="","",[2]Entry!$C$781)</f>
        <v/>
      </c>
      <c r="Q778">
        <f>IF([2]Entry!$D$781="","",[2]Entry!$D$781)</f>
        <v/>
      </c>
      <c r="R778">
        <f>IF([2]Entry!$E$781="","",[2]Entry!$E$781)</f>
        <v/>
      </c>
      <c r="S778">
        <f>IF([2]Entry!$G$781="","",[2]Entry!$G$781)</f>
        <v/>
      </c>
      <c r="T778">
        <f>IF([2]Entry!$J$781="","",[2]Entry!$J$781)</f>
        <v/>
      </c>
      <c r="U778">
        <f>IF([2]Entry!$K$781="","",[2]Entry!$K$781)</f>
        <v/>
      </c>
      <c r="V778">
        <f>IF([2]Entry!$L$781="","",[2]Entry!$L$781)</f>
        <v/>
      </c>
      <c r="W778">
        <f>IF([2]Entry!$M$781="","",[2]Entry!$M$781)</f>
        <v/>
      </c>
      <c r="X778">
        <f>IF([2]Entry!$N$781="","",[2]Entry!$N$781)</f>
        <v/>
      </c>
      <c r="Y778">
        <f>IF([2]Entry!$R$781="","",[2]Entry!$R$781)</f>
        <v/>
      </c>
    </row>
    <row r="779">
      <c r="P779">
        <f>IF([2]Entry!$C$782="","",[2]Entry!$C$782)</f>
        <v/>
      </c>
      <c r="Q779">
        <f>IF([2]Entry!$D$782="","",[2]Entry!$D$782)</f>
        <v/>
      </c>
      <c r="R779">
        <f>IF([2]Entry!$E$782="","",[2]Entry!$E$782)</f>
        <v/>
      </c>
      <c r="S779">
        <f>IF([2]Entry!$G$782="","",[2]Entry!$G$782)</f>
        <v/>
      </c>
      <c r="T779">
        <f>IF([2]Entry!$J$782="","",[2]Entry!$J$782)</f>
        <v/>
      </c>
      <c r="U779">
        <f>IF([2]Entry!$K$782="","",[2]Entry!$K$782)</f>
        <v/>
      </c>
      <c r="V779">
        <f>IF([2]Entry!$L$782="","",[2]Entry!$L$782)</f>
        <v/>
      </c>
      <c r="W779">
        <f>IF([2]Entry!$M$782="","",[2]Entry!$M$782)</f>
        <v/>
      </c>
      <c r="X779">
        <f>IF([2]Entry!$N$782="","",[2]Entry!$N$782)</f>
        <v/>
      </c>
      <c r="Y779">
        <f>IF([2]Entry!$R$782="","",[2]Entry!$R$782)</f>
        <v/>
      </c>
    </row>
    <row r="780">
      <c r="P780">
        <f>IF([2]Entry!$C$783="","",[2]Entry!$C$783)</f>
        <v/>
      </c>
      <c r="Q780">
        <f>IF([2]Entry!$D$783="","",[2]Entry!$D$783)</f>
        <v/>
      </c>
      <c r="R780">
        <f>IF([2]Entry!$E$783="","",[2]Entry!$E$783)</f>
        <v/>
      </c>
      <c r="S780">
        <f>IF([2]Entry!$G$783="","",[2]Entry!$G$783)</f>
        <v/>
      </c>
      <c r="T780">
        <f>IF([2]Entry!$J$783="","",[2]Entry!$J$783)</f>
        <v/>
      </c>
      <c r="U780">
        <f>IF([2]Entry!$K$783="","",[2]Entry!$K$783)</f>
        <v/>
      </c>
      <c r="V780">
        <f>IF([2]Entry!$L$783="","",[2]Entry!$L$783)</f>
        <v/>
      </c>
      <c r="W780">
        <f>IF([2]Entry!$M$783="","",[2]Entry!$M$783)</f>
        <v/>
      </c>
      <c r="X780">
        <f>IF([2]Entry!$N$783="","",[2]Entry!$N$783)</f>
        <v/>
      </c>
      <c r="Y780">
        <f>IF([2]Entry!$R$783="","",[2]Entry!$R$783)</f>
        <v/>
      </c>
    </row>
    <row r="781">
      <c r="P781">
        <f>IF([2]Entry!$C$784="","",[2]Entry!$C$784)</f>
        <v/>
      </c>
      <c r="Q781">
        <f>IF([2]Entry!$D$784="","",[2]Entry!$D$784)</f>
        <v/>
      </c>
      <c r="R781">
        <f>IF([2]Entry!$E$784="","",[2]Entry!$E$784)</f>
        <v/>
      </c>
      <c r="S781">
        <f>IF([2]Entry!$G$784="","",[2]Entry!$G$784)</f>
        <v/>
      </c>
      <c r="T781">
        <f>IF([2]Entry!$J$784="","",[2]Entry!$J$784)</f>
        <v/>
      </c>
      <c r="U781">
        <f>IF([2]Entry!$K$784="","",[2]Entry!$K$784)</f>
        <v/>
      </c>
      <c r="V781">
        <f>IF([2]Entry!$L$784="","",[2]Entry!$L$784)</f>
        <v/>
      </c>
      <c r="W781">
        <f>IF([2]Entry!$M$784="","",[2]Entry!$M$784)</f>
        <v/>
      </c>
      <c r="X781">
        <f>IF([2]Entry!$N$784="","",[2]Entry!$N$784)</f>
        <v/>
      </c>
      <c r="Y781">
        <f>IF([2]Entry!$R$784="","",[2]Entry!$R$784)</f>
        <v/>
      </c>
    </row>
    <row r="782">
      <c r="P782">
        <f>IF([2]Entry!$C$785="","",[2]Entry!$C$785)</f>
        <v/>
      </c>
      <c r="Q782">
        <f>IF([2]Entry!$D$785="","",[2]Entry!$D$785)</f>
        <v/>
      </c>
      <c r="R782">
        <f>IF([2]Entry!$E$785="","",[2]Entry!$E$785)</f>
        <v/>
      </c>
      <c r="S782">
        <f>IF([2]Entry!$G$785="","",[2]Entry!$G$785)</f>
        <v/>
      </c>
      <c r="T782">
        <f>IF([2]Entry!$J$785="","",[2]Entry!$J$785)</f>
        <v/>
      </c>
      <c r="U782">
        <f>IF([2]Entry!$K$785="","",[2]Entry!$K$785)</f>
        <v/>
      </c>
      <c r="V782">
        <f>IF([2]Entry!$L$785="","",[2]Entry!$L$785)</f>
        <v/>
      </c>
      <c r="W782">
        <f>IF([2]Entry!$M$785="","",[2]Entry!$M$785)</f>
        <v/>
      </c>
      <c r="X782">
        <f>IF([2]Entry!$N$785="","",[2]Entry!$N$785)</f>
        <v/>
      </c>
      <c r="Y782">
        <f>IF([2]Entry!$R$785="","",[2]Entry!$R$785)</f>
        <v/>
      </c>
    </row>
    <row r="783">
      <c r="P783">
        <f>IF([2]Entry!$C$786="","",[2]Entry!$C$786)</f>
        <v/>
      </c>
      <c r="Q783">
        <f>IF([2]Entry!$D$786="","",[2]Entry!$D$786)</f>
        <v/>
      </c>
      <c r="R783">
        <f>IF([2]Entry!$E$786="","",[2]Entry!$E$786)</f>
        <v/>
      </c>
      <c r="S783">
        <f>IF([2]Entry!$G$786="","",[2]Entry!$G$786)</f>
        <v/>
      </c>
      <c r="T783">
        <f>IF([2]Entry!$J$786="","",[2]Entry!$J$786)</f>
        <v/>
      </c>
      <c r="U783">
        <f>IF([2]Entry!$K$786="","",[2]Entry!$K$786)</f>
        <v/>
      </c>
      <c r="V783">
        <f>IF([2]Entry!$L$786="","",[2]Entry!$L$786)</f>
        <v/>
      </c>
      <c r="W783">
        <f>IF([2]Entry!$M$786="","",[2]Entry!$M$786)</f>
        <v/>
      </c>
      <c r="X783">
        <f>IF([2]Entry!$N$786="","",[2]Entry!$N$786)</f>
        <v/>
      </c>
      <c r="Y783">
        <f>IF([2]Entry!$R$786="","",[2]Entry!$R$786)</f>
        <v/>
      </c>
    </row>
    <row r="784">
      <c r="P784">
        <f>IF([2]Entry!$C$787="","",[2]Entry!$C$787)</f>
        <v/>
      </c>
      <c r="Q784">
        <f>IF([2]Entry!$D$787="","",[2]Entry!$D$787)</f>
        <v/>
      </c>
      <c r="R784">
        <f>IF([2]Entry!$E$787="","",[2]Entry!$E$787)</f>
        <v/>
      </c>
      <c r="S784">
        <f>IF([2]Entry!$G$787="","",[2]Entry!$G$787)</f>
        <v/>
      </c>
      <c r="T784">
        <f>IF([2]Entry!$J$787="","",[2]Entry!$J$787)</f>
        <v/>
      </c>
      <c r="U784">
        <f>IF([2]Entry!$K$787="","",[2]Entry!$K$787)</f>
        <v/>
      </c>
      <c r="V784">
        <f>IF([2]Entry!$L$787="","",[2]Entry!$L$787)</f>
        <v/>
      </c>
      <c r="W784">
        <f>IF([2]Entry!$M$787="","",[2]Entry!$M$787)</f>
        <v/>
      </c>
      <c r="X784">
        <f>IF([2]Entry!$N$787="","",[2]Entry!$N$787)</f>
        <v/>
      </c>
      <c r="Y784">
        <f>IF([2]Entry!$R$787="","",[2]Entry!$R$787)</f>
        <v/>
      </c>
    </row>
    <row r="785">
      <c r="P785">
        <f>IF([2]Entry!$C$788="","",[2]Entry!$C$788)</f>
        <v/>
      </c>
      <c r="Q785">
        <f>IF([2]Entry!$D$788="","",[2]Entry!$D$788)</f>
        <v/>
      </c>
      <c r="R785">
        <f>IF([2]Entry!$E$788="","",[2]Entry!$E$788)</f>
        <v/>
      </c>
      <c r="S785">
        <f>IF([2]Entry!$G$788="","",[2]Entry!$G$788)</f>
        <v/>
      </c>
      <c r="T785">
        <f>IF([2]Entry!$J$788="","",[2]Entry!$J$788)</f>
        <v/>
      </c>
      <c r="U785">
        <f>IF([2]Entry!$K$788="","",[2]Entry!$K$788)</f>
        <v/>
      </c>
      <c r="V785">
        <f>IF([2]Entry!$L$788="","",[2]Entry!$L$788)</f>
        <v/>
      </c>
      <c r="W785">
        <f>IF([2]Entry!$M$788="","",[2]Entry!$M$788)</f>
        <v/>
      </c>
      <c r="X785">
        <f>IF([2]Entry!$N$788="","",[2]Entry!$N$788)</f>
        <v/>
      </c>
      <c r="Y785">
        <f>IF([2]Entry!$R$788="","",[2]Entry!$R$788)</f>
        <v/>
      </c>
    </row>
    <row r="786">
      <c r="P786">
        <f>IF([2]Entry!$C$789="","",[2]Entry!$C$789)</f>
        <v/>
      </c>
      <c r="Q786">
        <f>IF([2]Entry!$D$789="","",[2]Entry!$D$789)</f>
        <v/>
      </c>
      <c r="R786">
        <f>IF([2]Entry!$E$789="","",[2]Entry!$E$789)</f>
        <v/>
      </c>
      <c r="S786">
        <f>IF([2]Entry!$G$789="","",[2]Entry!$G$789)</f>
        <v/>
      </c>
      <c r="T786">
        <f>IF([2]Entry!$J$789="","",[2]Entry!$J$789)</f>
        <v/>
      </c>
      <c r="U786">
        <f>IF([2]Entry!$K$789="","",[2]Entry!$K$789)</f>
        <v/>
      </c>
      <c r="V786">
        <f>IF([2]Entry!$L$789="","",[2]Entry!$L$789)</f>
        <v/>
      </c>
      <c r="W786">
        <f>IF([2]Entry!$M$789="","",[2]Entry!$M$789)</f>
        <v/>
      </c>
      <c r="X786">
        <f>IF([2]Entry!$N$789="","",[2]Entry!$N$789)</f>
        <v/>
      </c>
      <c r="Y786">
        <f>IF([2]Entry!$R$789="","",[2]Entry!$R$789)</f>
        <v/>
      </c>
    </row>
    <row r="787">
      <c r="P787">
        <f>IF([2]Entry!$C$790="","",[2]Entry!$C$790)</f>
        <v/>
      </c>
      <c r="Q787">
        <f>IF([2]Entry!$D$790="","",[2]Entry!$D$790)</f>
        <v/>
      </c>
      <c r="R787">
        <f>IF([2]Entry!$E$790="","",[2]Entry!$E$790)</f>
        <v/>
      </c>
      <c r="S787">
        <f>IF([2]Entry!$G$790="","",[2]Entry!$G$790)</f>
        <v/>
      </c>
      <c r="T787">
        <f>IF([2]Entry!$J$790="","",[2]Entry!$J$790)</f>
        <v/>
      </c>
      <c r="U787">
        <f>IF([2]Entry!$K$790="","",[2]Entry!$K$790)</f>
        <v/>
      </c>
      <c r="V787">
        <f>IF([2]Entry!$L$790="","",[2]Entry!$L$790)</f>
        <v/>
      </c>
      <c r="W787">
        <f>IF([2]Entry!$M$790="","",[2]Entry!$M$790)</f>
        <v/>
      </c>
      <c r="X787">
        <f>IF([2]Entry!$N$790="","",[2]Entry!$N$790)</f>
        <v/>
      </c>
      <c r="Y787">
        <f>IF([2]Entry!$R$790="","",[2]Entry!$R$790)</f>
        <v/>
      </c>
    </row>
    <row r="788">
      <c r="P788">
        <f>IF([2]Entry!$C$791="","",[2]Entry!$C$791)</f>
        <v/>
      </c>
      <c r="Q788">
        <f>IF([2]Entry!$D$791="","",[2]Entry!$D$791)</f>
        <v/>
      </c>
      <c r="R788">
        <f>IF([2]Entry!$E$791="","",[2]Entry!$E$791)</f>
        <v/>
      </c>
      <c r="S788">
        <f>IF([2]Entry!$G$791="","",[2]Entry!$G$791)</f>
        <v/>
      </c>
      <c r="T788">
        <f>IF([2]Entry!$J$791="","",[2]Entry!$J$791)</f>
        <v/>
      </c>
      <c r="U788">
        <f>IF([2]Entry!$K$791="","",[2]Entry!$K$791)</f>
        <v/>
      </c>
      <c r="V788">
        <f>IF([2]Entry!$L$791="","",[2]Entry!$L$791)</f>
        <v/>
      </c>
      <c r="W788">
        <f>IF([2]Entry!$M$791="","",[2]Entry!$M$791)</f>
        <v/>
      </c>
      <c r="X788">
        <f>IF([2]Entry!$N$791="","",[2]Entry!$N$791)</f>
        <v/>
      </c>
      <c r="Y788">
        <f>IF([2]Entry!$R$791="","",[2]Entry!$R$791)</f>
        <v/>
      </c>
    </row>
    <row r="789">
      <c r="P789">
        <f>IF([2]Entry!$C$792="","",[2]Entry!$C$792)</f>
        <v/>
      </c>
      <c r="Q789">
        <f>IF([2]Entry!$D$792="","",[2]Entry!$D$792)</f>
        <v/>
      </c>
      <c r="R789">
        <f>IF([2]Entry!$E$792="","",[2]Entry!$E$792)</f>
        <v/>
      </c>
      <c r="S789">
        <f>IF([2]Entry!$G$792="","",[2]Entry!$G$792)</f>
        <v/>
      </c>
      <c r="T789">
        <f>IF([2]Entry!$J$792="","",[2]Entry!$J$792)</f>
        <v/>
      </c>
      <c r="U789">
        <f>IF([2]Entry!$K$792="","",[2]Entry!$K$792)</f>
        <v/>
      </c>
      <c r="V789">
        <f>IF([2]Entry!$L$792="","",[2]Entry!$L$792)</f>
        <v/>
      </c>
      <c r="W789">
        <f>IF([2]Entry!$M$792="","",[2]Entry!$M$792)</f>
        <v/>
      </c>
      <c r="X789">
        <f>IF([2]Entry!$N$792="","",[2]Entry!$N$792)</f>
        <v/>
      </c>
      <c r="Y789">
        <f>IF([2]Entry!$R$792="","",[2]Entry!$R$792)</f>
        <v/>
      </c>
    </row>
    <row r="790">
      <c r="P790">
        <f>IF([2]Entry!$C$793="","",[2]Entry!$C$793)</f>
        <v/>
      </c>
      <c r="Q790">
        <f>IF([2]Entry!$D$793="","",[2]Entry!$D$793)</f>
        <v/>
      </c>
      <c r="R790">
        <f>IF([2]Entry!$E$793="","",[2]Entry!$E$793)</f>
        <v/>
      </c>
      <c r="S790">
        <f>IF([2]Entry!$G$793="","",[2]Entry!$G$793)</f>
        <v/>
      </c>
      <c r="T790">
        <f>IF([2]Entry!$J$793="","",[2]Entry!$J$793)</f>
        <v/>
      </c>
      <c r="U790">
        <f>IF([2]Entry!$K$793="","",[2]Entry!$K$793)</f>
        <v/>
      </c>
      <c r="V790">
        <f>IF([2]Entry!$L$793="","",[2]Entry!$L$793)</f>
        <v/>
      </c>
      <c r="W790">
        <f>IF([2]Entry!$M$793="","",[2]Entry!$M$793)</f>
        <v/>
      </c>
      <c r="X790">
        <f>IF([2]Entry!$N$793="","",[2]Entry!$N$793)</f>
        <v/>
      </c>
      <c r="Y790">
        <f>IF([2]Entry!$R$793="","",[2]Entry!$R$793)</f>
        <v/>
      </c>
    </row>
    <row r="791">
      <c r="P791">
        <f>IF([2]Entry!$C$794="","",[2]Entry!$C$794)</f>
        <v/>
      </c>
      <c r="Q791">
        <f>IF([2]Entry!$D$794="","",[2]Entry!$D$794)</f>
        <v/>
      </c>
      <c r="R791">
        <f>IF([2]Entry!$E$794="","",[2]Entry!$E$794)</f>
        <v/>
      </c>
      <c r="S791">
        <f>IF([2]Entry!$G$794="","",[2]Entry!$G$794)</f>
        <v/>
      </c>
      <c r="T791">
        <f>IF([2]Entry!$J$794="","",[2]Entry!$J$794)</f>
        <v/>
      </c>
      <c r="U791">
        <f>IF([2]Entry!$K$794="","",[2]Entry!$K$794)</f>
        <v/>
      </c>
      <c r="V791">
        <f>IF([2]Entry!$L$794="","",[2]Entry!$L$794)</f>
        <v/>
      </c>
      <c r="W791">
        <f>IF([2]Entry!$M$794="","",[2]Entry!$M$794)</f>
        <v/>
      </c>
      <c r="X791">
        <f>IF([2]Entry!$N$794="","",[2]Entry!$N$794)</f>
        <v/>
      </c>
      <c r="Y791">
        <f>IF([2]Entry!$R$794="","",[2]Entry!$R$794)</f>
        <v/>
      </c>
    </row>
    <row r="792">
      <c r="P792">
        <f>IF([2]Entry!$C$795="","",[2]Entry!$C$795)</f>
        <v/>
      </c>
      <c r="Q792">
        <f>IF([2]Entry!$D$795="","",[2]Entry!$D$795)</f>
        <v/>
      </c>
      <c r="R792">
        <f>IF([2]Entry!$E$795="","",[2]Entry!$E$795)</f>
        <v/>
      </c>
      <c r="S792">
        <f>IF([2]Entry!$G$795="","",[2]Entry!$G$795)</f>
        <v/>
      </c>
      <c r="T792">
        <f>IF([2]Entry!$J$795="","",[2]Entry!$J$795)</f>
        <v/>
      </c>
      <c r="U792">
        <f>IF([2]Entry!$K$795="","",[2]Entry!$K$795)</f>
        <v/>
      </c>
      <c r="V792">
        <f>IF([2]Entry!$L$795="","",[2]Entry!$L$795)</f>
        <v/>
      </c>
      <c r="W792">
        <f>IF([2]Entry!$M$795="","",[2]Entry!$M$795)</f>
        <v/>
      </c>
      <c r="X792">
        <f>IF([2]Entry!$N$795="","",[2]Entry!$N$795)</f>
        <v/>
      </c>
      <c r="Y792">
        <f>IF([2]Entry!$R$795="","",[2]Entry!$R$795)</f>
        <v/>
      </c>
    </row>
    <row r="793">
      <c r="P793">
        <f>IF([2]Entry!$C$796="","",[2]Entry!$C$796)</f>
        <v/>
      </c>
      <c r="Q793">
        <f>IF([2]Entry!$D$796="","",[2]Entry!$D$796)</f>
        <v/>
      </c>
      <c r="R793">
        <f>IF([2]Entry!$E$796="","",[2]Entry!$E$796)</f>
        <v/>
      </c>
      <c r="S793">
        <f>IF([2]Entry!$G$796="","",[2]Entry!$G$796)</f>
        <v/>
      </c>
      <c r="T793">
        <f>IF([2]Entry!$J$796="","",[2]Entry!$J$796)</f>
        <v/>
      </c>
      <c r="U793">
        <f>IF([2]Entry!$K$796="","",[2]Entry!$K$796)</f>
        <v/>
      </c>
      <c r="V793">
        <f>IF([2]Entry!$L$796="","",[2]Entry!$L$796)</f>
        <v/>
      </c>
      <c r="W793">
        <f>IF([2]Entry!$M$796="","",[2]Entry!$M$796)</f>
        <v/>
      </c>
      <c r="X793">
        <f>IF([2]Entry!$N$796="","",[2]Entry!$N$796)</f>
        <v/>
      </c>
      <c r="Y793">
        <f>IF([2]Entry!$R$796="","",[2]Entry!$R$796)</f>
        <v/>
      </c>
    </row>
    <row r="794">
      <c r="P794">
        <f>IF([2]Entry!$C$797="","",[2]Entry!$C$797)</f>
        <v/>
      </c>
      <c r="Q794">
        <f>IF([2]Entry!$D$797="","",[2]Entry!$D$797)</f>
        <v/>
      </c>
      <c r="R794">
        <f>IF([2]Entry!$E$797="","",[2]Entry!$E$797)</f>
        <v/>
      </c>
      <c r="S794">
        <f>IF([2]Entry!$G$797="","",[2]Entry!$G$797)</f>
        <v/>
      </c>
      <c r="T794">
        <f>IF([2]Entry!$J$797="","",[2]Entry!$J$797)</f>
        <v/>
      </c>
      <c r="U794">
        <f>IF([2]Entry!$K$797="","",[2]Entry!$K$797)</f>
        <v/>
      </c>
      <c r="V794">
        <f>IF([2]Entry!$L$797="","",[2]Entry!$L$797)</f>
        <v/>
      </c>
      <c r="W794">
        <f>IF([2]Entry!$M$797="","",[2]Entry!$M$797)</f>
        <v/>
      </c>
      <c r="X794">
        <f>IF([2]Entry!$N$797="","",[2]Entry!$N$797)</f>
        <v/>
      </c>
      <c r="Y794">
        <f>IF([2]Entry!$R$797="","",[2]Entry!$R$797)</f>
        <v/>
      </c>
    </row>
    <row r="795">
      <c r="P795">
        <f>IF([2]Entry!$C$798="","",[2]Entry!$C$798)</f>
        <v/>
      </c>
      <c r="Q795">
        <f>IF([2]Entry!$D$798="","",[2]Entry!$D$798)</f>
        <v/>
      </c>
      <c r="R795">
        <f>IF([2]Entry!$E$798="","",[2]Entry!$E$798)</f>
        <v/>
      </c>
      <c r="S795">
        <f>IF([2]Entry!$G$798="","",[2]Entry!$G$798)</f>
        <v/>
      </c>
      <c r="T795">
        <f>IF([2]Entry!$J$798="","",[2]Entry!$J$798)</f>
        <v/>
      </c>
      <c r="U795">
        <f>IF([2]Entry!$K$798="","",[2]Entry!$K$798)</f>
        <v/>
      </c>
      <c r="V795">
        <f>IF([2]Entry!$L$798="","",[2]Entry!$L$798)</f>
        <v/>
      </c>
      <c r="W795">
        <f>IF([2]Entry!$M$798="","",[2]Entry!$M$798)</f>
        <v/>
      </c>
      <c r="X795">
        <f>IF([2]Entry!$N$798="","",[2]Entry!$N$798)</f>
        <v/>
      </c>
      <c r="Y795">
        <f>IF([2]Entry!$R$798="","",[2]Entry!$R$798)</f>
        <v/>
      </c>
    </row>
    <row r="796">
      <c r="P796">
        <f>IF([2]Entry!$C$799="","",[2]Entry!$C$799)</f>
        <v/>
      </c>
      <c r="Q796">
        <f>IF([2]Entry!$D$799="","",[2]Entry!$D$799)</f>
        <v/>
      </c>
      <c r="R796">
        <f>IF([2]Entry!$E$799="","",[2]Entry!$E$799)</f>
        <v/>
      </c>
      <c r="S796">
        <f>IF([2]Entry!$G$799="","",[2]Entry!$G$799)</f>
        <v/>
      </c>
      <c r="T796">
        <f>IF([2]Entry!$J$799="","",[2]Entry!$J$799)</f>
        <v/>
      </c>
      <c r="U796">
        <f>IF([2]Entry!$K$799="","",[2]Entry!$K$799)</f>
        <v/>
      </c>
      <c r="V796">
        <f>IF([2]Entry!$L$799="","",[2]Entry!$L$799)</f>
        <v/>
      </c>
      <c r="W796">
        <f>IF([2]Entry!$M$799="","",[2]Entry!$M$799)</f>
        <v/>
      </c>
      <c r="X796">
        <f>IF([2]Entry!$N$799="","",[2]Entry!$N$799)</f>
        <v/>
      </c>
      <c r="Y796">
        <f>IF([2]Entry!$R$799="","",[2]Entry!$R$799)</f>
        <v/>
      </c>
    </row>
    <row r="797">
      <c r="P797">
        <f>IF([2]Entry!$C$800="","",[2]Entry!$C$800)</f>
        <v/>
      </c>
      <c r="Q797">
        <f>IF([2]Entry!$D$800="","",[2]Entry!$D$800)</f>
        <v/>
      </c>
      <c r="R797">
        <f>IF([2]Entry!$E$800="","",[2]Entry!$E$800)</f>
        <v/>
      </c>
      <c r="S797">
        <f>IF([2]Entry!$G$800="","",[2]Entry!$G$800)</f>
        <v/>
      </c>
      <c r="T797">
        <f>IF([2]Entry!$J$800="","",[2]Entry!$J$800)</f>
        <v/>
      </c>
      <c r="U797">
        <f>IF([2]Entry!$K$800="","",[2]Entry!$K$800)</f>
        <v/>
      </c>
      <c r="V797">
        <f>IF([2]Entry!$L$800="","",[2]Entry!$L$800)</f>
        <v/>
      </c>
      <c r="W797">
        <f>IF([2]Entry!$M$800="","",[2]Entry!$M$800)</f>
        <v/>
      </c>
      <c r="X797">
        <f>IF([2]Entry!$N$800="","",[2]Entry!$N$800)</f>
        <v/>
      </c>
      <c r="Y797">
        <f>IF([2]Entry!$R$800="","",[2]Entry!$R$800)</f>
        <v/>
      </c>
    </row>
    <row r="798">
      <c r="P798">
        <f>IF([2]Entry!$C$801="","",[2]Entry!$C$801)</f>
        <v/>
      </c>
      <c r="Q798">
        <f>IF([2]Entry!$D$801="","",[2]Entry!$D$801)</f>
        <v/>
      </c>
      <c r="R798">
        <f>IF([2]Entry!$E$801="","",[2]Entry!$E$801)</f>
        <v/>
      </c>
      <c r="S798">
        <f>IF([2]Entry!$G$801="","",[2]Entry!$G$801)</f>
        <v/>
      </c>
      <c r="T798">
        <f>IF([2]Entry!$J$801="","",[2]Entry!$J$801)</f>
        <v/>
      </c>
      <c r="U798">
        <f>IF([2]Entry!$K$801="","",[2]Entry!$K$801)</f>
        <v/>
      </c>
      <c r="V798">
        <f>IF([2]Entry!$L$801="","",[2]Entry!$L$801)</f>
        <v/>
      </c>
      <c r="W798">
        <f>IF([2]Entry!$M$801="","",[2]Entry!$M$801)</f>
        <v/>
      </c>
      <c r="X798">
        <f>IF([2]Entry!$N$801="","",[2]Entry!$N$801)</f>
        <v/>
      </c>
      <c r="Y798">
        <f>IF([2]Entry!$R$801="","",[2]Entry!$R$801)</f>
        <v/>
      </c>
    </row>
    <row r="799">
      <c r="P799">
        <f>IF([2]Entry!$C$802="","",[2]Entry!$C$802)</f>
        <v/>
      </c>
      <c r="Q799">
        <f>IF([2]Entry!$D$802="","",[2]Entry!$D$802)</f>
        <v/>
      </c>
      <c r="R799">
        <f>IF([2]Entry!$E$802="","",[2]Entry!$E$802)</f>
        <v/>
      </c>
      <c r="S799">
        <f>IF([2]Entry!$G$802="","",[2]Entry!$G$802)</f>
        <v/>
      </c>
      <c r="T799">
        <f>IF([2]Entry!$J$802="","",[2]Entry!$J$802)</f>
        <v/>
      </c>
      <c r="U799">
        <f>IF([2]Entry!$K$802="","",[2]Entry!$K$802)</f>
        <v/>
      </c>
      <c r="V799">
        <f>IF([2]Entry!$L$802="","",[2]Entry!$L$802)</f>
        <v/>
      </c>
      <c r="W799">
        <f>IF([2]Entry!$M$802="","",[2]Entry!$M$802)</f>
        <v/>
      </c>
      <c r="X799">
        <f>IF([2]Entry!$N$802="","",[2]Entry!$N$802)</f>
        <v/>
      </c>
      <c r="Y799">
        <f>IF([2]Entry!$R$802="","",[2]Entry!$R$802)</f>
        <v/>
      </c>
    </row>
    <row r="800">
      <c r="P800">
        <f>IF([2]Entry!$C$803="","",[2]Entry!$C$803)</f>
        <v/>
      </c>
      <c r="Q800">
        <f>IF([2]Entry!$D$803="","",[2]Entry!$D$803)</f>
        <v/>
      </c>
      <c r="R800">
        <f>IF([2]Entry!$E$803="","",[2]Entry!$E$803)</f>
        <v/>
      </c>
      <c r="S800">
        <f>IF([2]Entry!$G$803="","",[2]Entry!$G$803)</f>
        <v/>
      </c>
      <c r="T800">
        <f>IF([2]Entry!$J$803="","",[2]Entry!$J$803)</f>
        <v/>
      </c>
      <c r="U800">
        <f>IF([2]Entry!$K$803="","",[2]Entry!$K$803)</f>
        <v/>
      </c>
      <c r="V800">
        <f>IF([2]Entry!$L$803="","",[2]Entry!$L$803)</f>
        <v/>
      </c>
      <c r="W800">
        <f>IF([2]Entry!$M$803="","",[2]Entry!$M$803)</f>
        <v/>
      </c>
      <c r="X800">
        <f>IF([2]Entry!$N$803="","",[2]Entry!$N$803)</f>
        <v/>
      </c>
      <c r="Y800">
        <f>IF([2]Entry!$R$803="","",[2]Entry!$R$803)</f>
        <v/>
      </c>
    </row>
    <row r="801">
      <c r="P801">
        <f>IF([2]Entry!$C$804="","",[2]Entry!$C$804)</f>
        <v/>
      </c>
      <c r="Q801">
        <f>IF([2]Entry!$D$804="","",[2]Entry!$D$804)</f>
        <v/>
      </c>
      <c r="R801">
        <f>IF([2]Entry!$E$804="","",[2]Entry!$E$804)</f>
        <v/>
      </c>
      <c r="S801">
        <f>IF([2]Entry!$G$804="","",[2]Entry!$G$804)</f>
        <v/>
      </c>
      <c r="T801">
        <f>IF([2]Entry!$J$804="","",[2]Entry!$J$804)</f>
        <v/>
      </c>
      <c r="U801">
        <f>IF([2]Entry!$K$804="","",[2]Entry!$K$804)</f>
        <v/>
      </c>
      <c r="V801">
        <f>IF([2]Entry!$L$804="","",[2]Entry!$L$804)</f>
        <v/>
      </c>
      <c r="W801">
        <f>IF([2]Entry!$M$804="","",[2]Entry!$M$804)</f>
        <v/>
      </c>
      <c r="X801">
        <f>IF([2]Entry!$N$804="","",[2]Entry!$N$804)</f>
        <v/>
      </c>
      <c r="Y801">
        <f>IF([2]Entry!$R$804="","",[2]Entry!$R$804)</f>
        <v/>
      </c>
    </row>
    <row r="802">
      <c r="P802">
        <f>IF([2]Entry!$C$805="","",[2]Entry!$C$805)</f>
        <v/>
      </c>
      <c r="Q802">
        <f>IF([2]Entry!$D$805="","",[2]Entry!$D$805)</f>
        <v/>
      </c>
      <c r="R802">
        <f>IF([2]Entry!$E$805="","",[2]Entry!$E$805)</f>
        <v/>
      </c>
      <c r="S802">
        <f>IF([2]Entry!$G$805="","",[2]Entry!$G$805)</f>
        <v/>
      </c>
      <c r="T802">
        <f>IF([2]Entry!$J$805="","",[2]Entry!$J$805)</f>
        <v/>
      </c>
      <c r="U802">
        <f>IF([2]Entry!$K$805="","",[2]Entry!$K$805)</f>
        <v/>
      </c>
      <c r="V802">
        <f>IF([2]Entry!$L$805="","",[2]Entry!$L$805)</f>
        <v/>
      </c>
      <c r="W802">
        <f>IF([2]Entry!$M$805="","",[2]Entry!$M$805)</f>
        <v/>
      </c>
      <c r="X802">
        <f>IF([2]Entry!$N$805="","",[2]Entry!$N$805)</f>
        <v/>
      </c>
      <c r="Y802">
        <f>IF([2]Entry!$R$805="","",[2]Entry!$R$805)</f>
        <v/>
      </c>
    </row>
    <row r="803">
      <c r="P803">
        <f>IF([2]Entry!$C$806="","",[2]Entry!$C$806)</f>
        <v/>
      </c>
      <c r="Q803">
        <f>IF([2]Entry!$D$806="","",[2]Entry!$D$806)</f>
        <v/>
      </c>
      <c r="R803">
        <f>IF([2]Entry!$E$806="","",[2]Entry!$E$806)</f>
        <v/>
      </c>
      <c r="S803">
        <f>IF([2]Entry!$G$806="","",[2]Entry!$G$806)</f>
        <v/>
      </c>
      <c r="T803">
        <f>IF([2]Entry!$J$806="","",[2]Entry!$J$806)</f>
        <v/>
      </c>
      <c r="U803">
        <f>IF([2]Entry!$K$806="","",[2]Entry!$K$806)</f>
        <v/>
      </c>
      <c r="V803">
        <f>IF([2]Entry!$L$806="","",[2]Entry!$L$806)</f>
        <v/>
      </c>
      <c r="W803">
        <f>IF([2]Entry!$M$806="","",[2]Entry!$M$806)</f>
        <v/>
      </c>
      <c r="X803">
        <f>IF([2]Entry!$N$806="","",[2]Entry!$N$806)</f>
        <v/>
      </c>
      <c r="Y803">
        <f>IF([2]Entry!$R$806="","",[2]Entry!$R$806)</f>
        <v/>
      </c>
    </row>
    <row r="804">
      <c r="P804">
        <f>IF([2]Entry!$C$807="","",[2]Entry!$C$807)</f>
        <v/>
      </c>
      <c r="Q804">
        <f>IF([2]Entry!$D$807="","",[2]Entry!$D$807)</f>
        <v/>
      </c>
      <c r="R804">
        <f>IF([2]Entry!$E$807="","",[2]Entry!$E$807)</f>
        <v/>
      </c>
      <c r="S804">
        <f>IF([2]Entry!$G$807="","",[2]Entry!$G$807)</f>
        <v/>
      </c>
      <c r="T804">
        <f>IF([2]Entry!$J$807="","",[2]Entry!$J$807)</f>
        <v/>
      </c>
      <c r="U804">
        <f>IF([2]Entry!$K$807="","",[2]Entry!$K$807)</f>
        <v/>
      </c>
      <c r="V804">
        <f>IF([2]Entry!$L$807="","",[2]Entry!$L$807)</f>
        <v/>
      </c>
      <c r="W804">
        <f>IF([2]Entry!$M$807="","",[2]Entry!$M$807)</f>
        <v/>
      </c>
      <c r="X804">
        <f>IF([2]Entry!$N$807="","",[2]Entry!$N$807)</f>
        <v/>
      </c>
      <c r="Y804">
        <f>IF([2]Entry!$R$807="","",[2]Entry!$R$807)</f>
        <v/>
      </c>
    </row>
    <row r="805">
      <c r="P805">
        <f>IF([2]Entry!$C$808="","",[2]Entry!$C$808)</f>
        <v/>
      </c>
      <c r="Q805">
        <f>IF([2]Entry!$D$808="","",[2]Entry!$D$808)</f>
        <v/>
      </c>
      <c r="R805">
        <f>IF([2]Entry!$E$808="","",[2]Entry!$E$808)</f>
        <v/>
      </c>
      <c r="S805">
        <f>IF([2]Entry!$G$808="","",[2]Entry!$G$808)</f>
        <v/>
      </c>
      <c r="T805">
        <f>IF([2]Entry!$J$808="","",[2]Entry!$J$808)</f>
        <v/>
      </c>
      <c r="U805">
        <f>IF([2]Entry!$K$808="","",[2]Entry!$K$808)</f>
        <v/>
      </c>
      <c r="V805">
        <f>IF([2]Entry!$L$808="","",[2]Entry!$L$808)</f>
        <v/>
      </c>
      <c r="W805">
        <f>IF([2]Entry!$M$808="","",[2]Entry!$M$808)</f>
        <v/>
      </c>
      <c r="X805">
        <f>IF([2]Entry!$N$808="","",[2]Entry!$N$808)</f>
        <v/>
      </c>
      <c r="Y805">
        <f>IF([2]Entry!$R$808="","",[2]Entry!$R$808)</f>
        <v/>
      </c>
    </row>
    <row r="806">
      <c r="P806">
        <f>IF([2]Entry!$C$809="","",[2]Entry!$C$809)</f>
        <v/>
      </c>
      <c r="Q806">
        <f>IF([2]Entry!$D$809="","",[2]Entry!$D$809)</f>
        <v/>
      </c>
      <c r="R806">
        <f>IF([2]Entry!$E$809="","",[2]Entry!$E$809)</f>
        <v/>
      </c>
      <c r="S806">
        <f>IF([2]Entry!$G$809="","",[2]Entry!$G$809)</f>
        <v/>
      </c>
      <c r="T806">
        <f>IF([2]Entry!$J$809="","",[2]Entry!$J$809)</f>
        <v/>
      </c>
      <c r="U806">
        <f>IF([2]Entry!$K$809="","",[2]Entry!$K$809)</f>
        <v/>
      </c>
      <c r="V806">
        <f>IF([2]Entry!$L$809="","",[2]Entry!$L$809)</f>
        <v/>
      </c>
      <c r="W806">
        <f>IF([2]Entry!$M$809="","",[2]Entry!$M$809)</f>
        <v/>
      </c>
      <c r="X806">
        <f>IF([2]Entry!$N$809="","",[2]Entry!$N$809)</f>
        <v/>
      </c>
      <c r="Y806">
        <f>IF([2]Entry!$R$809="","",[2]Entry!$R$809)</f>
        <v/>
      </c>
    </row>
    <row r="807">
      <c r="P807">
        <f>IF([2]Entry!$C$810="","",[2]Entry!$C$810)</f>
        <v/>
      </c>
      <c r="Q807">
        <f>IF([2]Entry!$D$810="","",[2]Entry!$D$810)</f>
        <v/>
      </c>
      <c r="R807">
        <f>IF([2]Entry!$E$810="","",[2]Entry!$E$810)</f>
        <v/>
      </c>
      <c r="S807">
        <f>IF([2]Entry!$G$810="","",[2]Entry!$G$810)</f>
        <v/>
      </c>
      <c r="T807">
        <f>IF([2]Entry!$J$810="","",[2]Entry!$J$810)</f>
        <v/>
      </c>
      <c r="U807">
        <f>IF([2]Entry!$K$810="","",[2]Entry!$K$810)</f>
        <v/>
      </c>
      <c r="V807">
        <f>IF([2]Entry!$L$810="","",[2]Entry!$L$810)</f>
        <v/>
      </c>
      <c r="W807">
        <f>IF([2]Entry!$M$810="","",[2]Entry!$M$810)</f>
        <v/>
      </c>
      <c r="X807">
        <f>IF([2]Entry!$N$810="","",[2]Entry!$N$810)</f>
        <v/>
      </c>
      <c r="Y807">
        <f>IF([2]Entry!$R$810="","",[2]Entry!$R$810)</f>
        <v/>
      </c>
    </row>
    <row r="808">
      <c r="P808">
        <f>IF([2]Entry!$C$811="","",[2]Entry!$C$811)</f>
        <v/>
      </c>
      <c r="Q808">
        <f>IF([2]Entry!$D$811="","",[2]Entry!$D$811)</f>
        <v/>
      </c>
      <c r="R808">
        <f>IF([2]Entry!$E$811="","",[2]Entry!$E$811)</f>
        <v/>
      </c>
      <c r="S808">
        <f>IF([2]Entry!$G$811="","",[2]Entry!$G$811)</f>
        <v/>
      </c>
      <c r="T808">
        <f>IF([2]Entry!$J$811="","",[2]Entry!$J$811)</f>
        <v/>
      </c>
      <c r="U808">
        <f>IF([2]Entry!$K$811="","",[2]Entry!$K$811)</f>
        <v/>
      </c>
      <c r="V808">
        <f>IF([2]Entry!$L$811="","",[2]Entry!$L$811)</f>
        <v/>
      </c>
      <c r="W808">
        <f>IF([2]Entry!$M$811="","",[2]Entry!$M$811)</f>
        <v/>
      </c>
      <c r="X808">
        <f>IF([2]Entry!$N$811="","",[2]Entry!$N$811)</f>
        <v/>
      </c>
      <c r="Y808">
        <f>IF([2]Entry!$R$811="","",[2]Entry!$R$811)</f>
        <v/>
      </c>
    </row>
    <row r="809">
      <c r="P809">
        <f>IF([2]Entry!$C$812="","",[2]Entry!$C$812)</f>
        <v/>
      </c>
      <c r="Q809">
        <f>IF([2]Entry!$D$812="","",[2]Entry!$D$812)</f>
        <v/>
      </c>
      <c r="R809">
        <f>IF([2]Entry!$E$812="","",[2]Entry!$E$812)</f>
        <v/>
      </c>
      <c r="S809">
        <f>IF([2]Entry!$G$812="","",[2]Entry!$G$812)</f>
        <v/>
      </c>
      <c r="T809">
        <f>IF([2]Entry!$J$812="","",[2]Entry!$J$812)</f>
        <v/>
      </c>
      <c r="U809">
        <f>IF([2]Entry!$K$812="","",[2]Entry!$K$812)</f>
        <v/>
      </c>
      <c r="V809">
        <f>IF([2]Entry!$L$812="","",[2]Entry!$L$812)</f>
        <v/>
      </c>
      <c r="W809">
        <f>IF([2]Entry!$M$812="","",[2]Entry!$M$812)</f>
        <v/>
      </c>
      <c r="X809">
        <f>IF([2]Entry!$N$812="","",[2]Entry!$N$812)</f>
        <v/>
      </c>
      <c r="Y809">
        <f>IF([2]Entry!$R$812="","",[2]Entry!$R$812)</f>
        <v/>
      </c>
    </row>
    <row r="810">
      <c r="P810">
        <f>IF([2]Entry!$C$813="","",[2]Entry!$C$813)</f>
        <v/>
      </c>
      <c r="Q810">
        <f>IF([2]Entry!$D$813="","",[2]Entry!$D$813)</f>
        <v/>
      </c>
      <c r="R810">
        <f>IF([2]Entry!$E$813="","",[2]Entry!$E$813)</f>
        <v/>
      </c>
      <c r="S810">
        <f>IF([2]Entry!$G$813="","",[2]Entry!$G$813)</f>
        <v/>
      </c>
      <c r="T810">
        <f>IF([2]Entry!$J$813="","",[2]Entry!$J$813)</f>
        <v/>
      </c>
      <c r="U810">
        <f>IF([2]Entry!$K$813="","",[2]Entry!$K$813)</f>
        <v/>
      </c>
      <c r="V810">
        <f>IF([2]Entry!$L$813="","",[2]Entry!$L$813)</f>
        <v/>
      </c>
      <c r="W810">
        <f>IF([2]Entry!$M$813="","",[2]Entry!$M$813)</f>
        <v/>
      </c>
      <c r="X810">
        <f>IF([2]Entry!$N$813="","",[2]Entry!$N$813)</f>
        <v/>
      </c>
      <c r="Y810">
        <f>IF([2]Entry!$R$813="","",[2]Entry!$R$813)</f>
        <v/>
      </c>
    </row>
    <row r="811">
      <c r="P811">
        <f>IF([2]Entry!$C$814="","",[2]Entry!$C$814)</f>
        <v/>
      </c>
      <c r="Q811">
        <f>IF([2]Entry!$D$814="","",[2]Entry!$D$814)</f>
        <v/>
      </c>
      <c r="R811">
        <f>IF([2]Entry!$E$814="","",[2]Entry!$E$814)</f>
        <v/>
      </c>
      <c r="S811">
        <f>IF([2]Entry!$G$814="","",[2]Entry!$G$814)</f>
        <v/>
      </c>
      <c r="T811">
        <f>IF([2]Entry!$J$814="","",[2]Entry!$J$814)</f>
        <v/>
      </c>
      <c r="U811">
        <f>IF([2]Entry!$K$814="","",[2]Entry!$K$814)</f>
        <v/>
      </c>
      <c r="V811">
        <f>IF([2]Entry!$L$814="","",[2]Entry!$L$814)</f>
        <v/>
      </c>
      <c r="W811">
        <f>IF([2]Entry!$M$814="","",[2]Entry!$M$814)</f>
        <v/>
      </c>
      <c r="X811">
        <f>IF([2]Entry!$N$814="","",[2]Entry!$N$814)</f>
        <v/>
      </c>
      <c r="Y811">
        <f>IF([2]Entry!$R$814="","",[2]Entry!$R$814)</f>
        <v/>
      </c>
    </row>
    <row r="812">
      <c r="P812">
        <f>IF([2]Entry!$C$815="","",[2]Entry!$C$815)</f>
        <v/>
      </c>
      <c r="Q812">
        <f>IF([2]Entry!$D$815="","",[2]Entry!$D$815)</f>
        <v/>
      </c>
      <c r="R812">
        <f>IF([2]Entry!$E$815="","",[2]Entry!$E$815)</f>
        <v/>
      </c>
      <c r="S812">
        <f>IF([2]Entry!$G$815="","",[2]Entry!$G$815)</f>
        <v/>
      </c>
      <c r="T812">
        <f>IF([2]Entry!$J$815="","",[2]Entry!$J$815)</f>
        <v/>
      </c>
      <c r="U812">
        <f>IF([2]Entry!$K$815="","",[2]Entry!$K$815)</f>
        <v/>
      </c>
      <c r="V812">
        <f>IF([2]Entry!$L$815="","",[2]Entry!$L$815)</f>
        <v/>
      </c>
      <c r="W812">
        <f>IF([2]Entry!$M$815="","",[2]Entry!$M$815)</f>
        <v/>
      </c>
      <c r="X812">
        <f>IF([2]Entry!$N$815="","",[2]Entry!$N$815)</f>
        <v/>
      </c>
      <c r="Y812">
        <f>IF([2]Entry!$R$815="","",[2]Entry!$R$815)</f>
        <v/>
      </c>
    </row>
    <row r="813">
      <c r="P813">
        <f>IF([2]Entry!$C$816="","",[2]Entry!$C$816)</f>
        <v/>
      </c>
      <c r="Q813">
        <f>IF([2]Entry!$D$816="","",[2]Entry!$D$816)</f>
        <v/>
      </c>
      <c r="R813">
        <f>IF([2]Entry!$E$816="","",[2]Entry!$E$816)</f>
        <v/>
      </c>
      <c r="S813">
        <f>IF([2]Entry!$G$816="","",[2]Entry!$G$816)</f>
        <v/>
      </c>
      <c r="T813">
        <f>IF([2]Entry!$J$816="","",[2]Entry!$J$816)</f>
        <v/>
      </c>
      <c r="U813">
        <f>IF([2]Entry!$K$816="","",[2]Entry!$K$816)</f>
        <v/>
      </c>
      <c r="V813">
        <f>IF([2]Entry!$L$816="","",[2]Entry!$L$816)</f>
        <v/>
      </c>
      <c r="W813">
        <f>IF([2]Entry!$M$816="","",[2]Entry!$M$816)</f>
        <v/>
      </c>
      <c r="X813">
        <f>IF([2]Entry!$N$816="","",[2]Entry!$N$816)</f>
        <v/>
      </c>
      <c r="Y813">
        <f>IF([2]Entry!$R$816="","",[2]Entry!$R$816)</f>
        <v/>
      </c>
    </row>
    <row r="814">
      <c r="P814">
        <f>IF([2]Entry!$C$817="","",[2]Entry!$C$817)</f>
        <v/>
      </c>
      <c r="Q814">
        <f>IF([2]Entry!$D$817="","",[2]Entry!$D$817)</f>
        <v/>
      </c>
      <c r="R814">
        <f>IF([2]Entry!$E$817="","",[2]Entry!$E$817)</f>
        <v/>
      </c>
      <c r="S814">
        <f>IF([2]Entry!$G$817="","",[2]Entry!$G$817)</f>
        <v/>
      </c>
      <c r="T814">
        <f>IF([2]Entry!$J$817="","",[2]Entry!$J$817)</f>
        <v/>
      </c>
      <c r="U814">
        <f>IF([2]Entry!$K$817="","",[2]Entry!$K$817)</f>
        <v/>
      </c>
      <c r="V814">
        <f>IF([2]Entry!$L$817="","",[2]Entry!$L$817)</f>
        <v/>
      </c>
      <c r="W814">
        <f>IF([2]Entry!$M$817="","",[2]Entry!$M$817)</f>
        <v/>
      </c>
      <c r="X814">
        <f>IF([2]Entry!$N$817="","",[2]Entry!$N$817)</f>
        <v/>
      </c>
      <c r="Y814">
        <f>IF([2]Entry!$R$817="","",[2]Entry!$R$817)</f>
        <v/>
      </c>
    </row>
    <row r="815">
      <c r="P815">
        <f>IF([2]Entry!$C$818="","",[2]Entry!$C$818)</f>
        <v/>
      </c>
      <c r="Q815">
        <f>IF([2]Entry!$D$818="","",[2]Entry!$D$818)</f>
        <v/>
      </c>
      <c r="R815">
        <f>IF([2]Entry!$E$818="","",[2]Entry!$E$818)</f>
        <v/>
      </c>
      <c r="S815">
        <f>IF([2]Entry!$G$818="","",[2]Entry!$G$818)</f>
        <v/>
      </c>
      <c r="T815">
        <f>IF([2]Entry!$J$818="","",[2]Entry!$J$818)</f>
        <v/>
      </c>
      <c r="U815">
        <f>IF([2]Entry!$K$818="","",[2]Entry!$K$818)</f>
        <v/>
      </c>
      <c r="V815">
        <f>IF([2]Entry!$L$818="","",[2]Entry!$L$818)</f>
        <v/>
      </c>
      <c r="W815">
        <f>IF([2]Entry!$M$818="","",[2]Entry!$M$818)</f>
        <v/>
      </c>
      <c r="X815">
        <f>IF([2]Entry!$N$818="","",[2]Entry!$N$818)</f>
        <v/>
      </c>
      <c r="Y815">
        <f>IF([2]Entry!$R$818="","",[2]Entry!$R$818)</f>
        <v/>
      </c>
    </row>
    <row r="816">
      <c r="P816">
        <f>IF([2]Entry!$C$819="","",[2]Entry!$C$819)</f>
        <v/>
      </c>
      <c r="Q816">
        <f>IF([2]Entry!$D$819="","",[2]Entry!$D$819)</f>
        <v/>
      </c>
      <c r="R816">
        <f>IF([2]Entry!$E$819="","",[2]Entry!$E$819)</f>
        <v/>
      </c>
      <c r="S816">
        <f>IF([2]Entry!$G$819="","",[2]Entry!$G$819)</f>
        <v/>
      </c>
      <c r="T816">
        <f>IF([2]Entry!$J$819="","",[2]Entry!$J$819)</f>
        <v/>
      </c>
      <c r="U816">
        <f>IF([2]Entry!$K$819="","",[2]Entry!$K$819)</f>
        <v/>
      </c>
      <c r="V816">
        <f>IF([2]Entry!$L$819="","",[2]Entry!$L$819)</f>
        <v/>
      </c>
      <c r="W816">
        <f>IF([2]Entry!$M$819="","",[2]Entry!$M$819)</f>
        <v/>
      </c>
      <c r="X816">
        <f>IF([2]Entry!$N$819="","",[2]Entry!$N$819)</f>
        <v/>
      </c>
      <c r="Y816">
        <f>IF([2]Entry!$R$819="","",[2]Entry!$R$819)</f>
        <v/>
      </c>
    </row>
    <row r="817">
      <c r="P817">
        <f>IF([2]Entry!$C$820="","",[2]Entry!$C$820)</f>
        <v/>
      </c>
      <c r="Q817">
        <f>IF([2]Entry!$D$820="","",[2]Entry!$D$820)</f>
        <v/>
      </c>
      <c r="R817">
        <f>IF([2]Entry!$E$820="","",[2]Entry!$E$820)</f>
        <v/>
      </c>
      <c r="S817">
        <f>IF([2]Entry!$G$820="","",[2]Entry!$G$820)</f>
        <v/>
      </c>
      <c r="T817">
        <f>IF([2]Entry!$J$820="","",[2]Entry!$J$820)</f>
        <v/>
      </c>
      <c r="U817">
        <f>IF([2]Entry!$K$820="","",[2]Entry!$K$820)</f>
        <v/>
      </c>
      <c r="V817">
        <f>IF([2]Entry!$L$820="","",[2]Entry!$L$820)</f>
        <v/>
      </c>
      <c r="W817">
        <f>IF([2]Entry!$M$820="","",[2]Entry!$M$820)</f>
        <v/>
      </c>
      <c r="X817">
        <f>IF([2]Entry!$N$820="","",[2]Entry!$N$820)</f>
        <v/>
      </c>
      <c r="Y817">
        <f>IF([2]Entry!$R$820="","",[2]Entry!$R$820)</f>
        <v/>
      </c>
    </row>
    <row r="818">
      <c r="P818">
        <f>IF([2]Entry!$C$821="","",[2]Entry!$C$821)</f>
        <v/>
      </c>
      <c r="Q818">
        <f>IF([2]Entry!$D$821="","",[2]Entry!$D$821)</f>
        <v/>
      </c>
      <c r="R818">
        <f>IF([2]Entry!$E$821="","",[2]Entry!$E$821)</f>
        <v/>
      </c>
      <c r="S818">
        <f>IF([2]Entry!$G$821="","",[2]Entry!$G$821)</f>
        <v/>
      </c>
      <c r="T818">
        <f>IF([2]Entry!$J$821="","",[2]Entry!$J$821)</f>
        <v/>
      </c>
      <c r="U818">
        <f>IF([2]Entry!$K$821="","",[2]Entry!$K$821)</f>
        <v/>
      </c>
      <c r="V818">
        <f>IF([2]Entry!$L$821="","",[2]Entry!$L$821)</f>
        <v/>
      </c>
      <c r="W818">
        <f>IF([2]Entry!$M$821="","",[2]Entry!$M$821)</f>
        <v/>
      </c>
      <c r="X818">
        <f>IF([2]Entry!$N$821="","",[2]Entry!$N$821)</f>
        <v/>
      </c>
      <c r="Y818">
        <f>IF([2]Entry!$R$821="","",[2]Entry!$R$821)</f>
        <v/>
      </c>
    </row>
    <row r="819">
      <c r="P819">
        <f>IF([2]Entry!$C$822="","",[2]Entry!$C$822)</f>
        <v/>
      </c>
      <c r="Q819">
        <f>IF([2]Entry!$D$822="","",[2]Entry!$D$822)</f>
        <v/>
      </c>
      <c r="R819">
        <f>IF([2]Entry!$E$822="","",[2]Entry!$E$822)</f>
        <v/>
      </c>
      <c r="S819">
        <f>IF([2]Entry!$G$822="","",[2]Entry!$G$822)</f>
        <v/>
      </c>
      <c r="T819">
        <f>IF([2]Entry!$J$822="","",[2]Entry!$J$822)</f>
        <v/>
      </c>
      <c r="U819">
        <f>IF([2]Entry!$K$822="","",[2]Entry!$K$822)</f>
        <v/>
      </c>
      <c r="V819">
        <f>IF([2]Entry!$L$822="","",[2]Entry!$L$822)</f>
        <v/>
      </c>
      <c r="W819">
        <f>IF([2]Entry!$M$822="","",[2]Entry!$M$822)</f>
        <v/>
      </c>
      <c r="X819">
        <f>IF([2]Entry!$N$822="","",[2]Entry!$N$822)</f>
        <v/>
      </c>
      <c r="Y819">
        <f>IF([2]Entry!$R$822="","",[2]Entry!$R$822)</f>
        <v/>
      </c>
    </row>
    <row r="820">
      <c r="P820">
        <f>IF([2]Entry!$C$823="","",[2]Entry!$C$823)</f>
        <v/>
      </c>
      <c r="Q820">
        <f>IF([2]Entry!$D$823="","",[2]Entry!$D$823)</f>
        <v/>
      </c>
      <c r="R820">
        <f>IF([2]Entry!$E$823="","",[2]Entry!$E$823)</f>
        <v/>
      </c>
      <c r="S820">
        <f>IF([2]Entry!$G$823="","",[2]Entry!$G$823)</f>
        <v/>
      </c>
      <c r="T820">
        <f>IF([2]Entry!$J$823="","",[2]Entry!$J$823)</f>
        <v/>
      </c>
      <c r="U820">
        <f>IF([2]Entry!$K$823="","",[2]Entry!$K$823)</f>
        <v/>
      </c>
      <c r="V820">
        <f>IF([2]Entry!$L$823="","",[2]Entry!$L$823)</f>
        <v/>
      </c>
      <c r="W820">
        <f>IF([2]Entry!$M$823="","",[2]Entry!$M$823)</f>
        <v/>
      </c>
      <c r="X820">
        <f>IF([2]Entry!$N$823="","",[2]Entry!$N$823)</f>
        <v/>
      </c>
      <c r="Y820">
        <f>IF([2]Entry!$R$823="","",[2]Entry!$R$823)</f>
        <v/>
      </c>
    </row>
    <row r="821">
      <c r="P821">
        <f>IF([2]Entry!$C$824="","",[2]Entry!$C$824)</f>
        <v/>
      </c>
      <c r="Q821">
        <f>IF([2]Entry!$D$824="","",[2]Entry!$D$824)</f>
        <v/>
      </c>
      <c r="R821">
        <f>IF([2]Entry!$E$824="","",[2]Entry!$E$824)</f>
        <v/>
      </c>
      <c r="S821">
        <f>IF([2]Entry!$G$824="","",[2]Entry!$G$824)</f>
        <v/>
      </c>
      <c r="T821">
        <f>IF([2]Entry!$J$824="","",[2]Entry!$J$824)</f>
        <v/>
      </c>
      <c r="U821">
        <f>IF([2]Entry!$K$824="","",[2]Entry!$K$824)</f>
        <v/>
      </c>
      <c r="V821">
        <f>IF([2]Entry!$L$824="","",[2]Entry!$L$824)</f>
        <v/>
      </c>
      <c r="W821">
        <f>IF([2]Entry!$M$824="","",[2]Entry!$M$824)</f>
        <v/>
      </c>
      <c r="X821">
        <f>IF([2]Entry!$N$824="","",[2]Entry!$N$824)</f>
        <v/>
      </c>
      <c r="Y821">
        <f>IF([2]Entry!$R$824="","",[2]Entry!$R$824)</f>
        <v/>
      </c>
    </row>
    <row r="822">
      <c r="P822">
        <f>IF([2]Entry!$C$825="","",[2]Entry!$C$825)</f>
        <v/>
      </c>
      <c r="Q822">
        <f>IF([2]Entry!$D$825="","",[2]Entry!$D$825)</f>
        <v/>
      </c>
      <c r="R822">
        <f>IF([2]Entry!$E$825="","",[2]Entry!$E$825)</f>
        <v/>
      </c>
      <c r="S822">
        <f>IF([2]Entry!$G$825="","",[2]Entry!$G$825)</f>
        <v/>
      </c>
      <c r="T822">
        <f>IF([2]Entry!$J$825="","",[2]Entry!$J$825)</f>
        <v/>
      </c>
      <c r="U822">
        <f>IF([2]Entry!$K$825="","",[2]Entry!$K$825)</f>
        <v/>
      </c>
      <c r="V822">
        <f>IF([2]Entry!$L$825="","",[2]Entry!$L$825)</f>
        <v/>
      </c>
      <c r="W822">
        <f>IF([2]Entry!$M$825="","",[2]Entry!$M$825)</f>
        <v/>
      </c>
      <c r="X822">
        <f>IF([2]Entry!$N$825="","",[2]Entry!$N$825)</f>
        <v/>
      </c>
      <c r="Y822">
        <f>IF([2]Entry!$R$825="","",[2]Entry!$R$825)</f>
        <v/>
      </c>
    </row>
    <row r="823">
      <c r="P823">
        <f>IF([2]Entry!$C$826="","",[2]Entry!$C$826)</f>
        <v/>
      </c>
      <c r="Q823">
        <f>IF([2]Entry!$D$826="","",[2]Entry!$D$826)</f>
        <v/>
      </c>
      <c r="R823">
        <f>IF([2]Entry!$E$826="","",[2]Entry!$E$826)</f>
        <v/>
      </c>
      <c r="S823">
        <f>IF([2]Entry!$G$826="","",[2]Entry!$G$826)</f>
        <v/>
      </c>
      <c r="T823">
        <f>IF([2]Entry!$J$826="","",[2]Entry!$J$826)</f>
        <v/>
      </c>
      <c r="U823">
        <f>IF([2]Entry!$K$826="","",[2]Entry!$K$826)</f>
        <v/>
      </c>
      <c r="V823">
        <f>IF([2]Entry!$L$826="","",[2]Entry!$L$826)</f>
        <v/>
      </c>
      <c r="W823">
        <f>IF([2]Entry!$M$826="","",[2]Entry!$M$826)</f>
        <v/>
      </c>
      <c r="X823">
        <f>IF([2]Entry!$N$826="","",[2]Entry!$N$826)</f>
        <v/>
      </c>
      <c r="Y823">
        <f>IF([2]Entry!$R$826="","",[2]Entry!$R$826)</f>
        <v/>
      </c>
    </row>
    <row r="824">
      <c r="P824">
        <f>IF([2]Entry!$C$827="","",[2]Entry!$C$827)</f>
        <v/>
      </c>
      <c r="Q824">
        <f>IF([2]Entry!$D$827="","",[2]Entry!$D$827)</f>
        <v/>
      </c>
      <c r="R824">
        <f>IF([2]Entry!$E$827="","",[2]Entry!$E$827)</f>
        <v/>
      </c>
      <c r="S824">
        <f>IF([2]Entry!$G$827="","",[2]Entry!$G$827)</f>
        <v/>
      </c>
      <c r="T824">
        <f>IF([2]Entry!$J$827="","",[2]Entry!$J$827)</f>
        <v/>
      </c>
      <c r="U824">
        <f>IF([2]Entry!$K$827="","",[2]Entry!$K$827)</f>
        <v/>
      </c>
      <c r="V824">
        <f>IF([2]Entry!$L$827="","",[2]Entry!$L$827)</f>
        <v/>
      </c>
      <c r="W824">
        <f>IF([2]Entry!$M$827="","",[2]Entry!$M$827)</f>
        <v/>
      </c>
      <c r="X824">
        <f>IF([2]Entry!$N$827="","",[2]Entry!$N$827)</f>
        <v/>
      </c>
      <c r="Y824">
        <f>IF([2]Entry!$R$827="","",[2]Entry!$R$827)</f>
        <v/>
      </c>
    </row>
    <row r="825">
      <c r="P825">
        <f>IF([2]Entry!$C$828="","",[2]Entry!$C$828)</f>
        <v/>
      </c>
      <c r="Q825">
        <f>IF([2]Entry!$D$828="","",[2]Entry!$D$828)</f>
        <v/>
      </c>
      <c r="R825">
        <f>IF([2]Entry!$E$828="","",[2]Entry!$E$828)</f>
        <v/>
      </c>
      <c r="S825">
        <f>IF([2]Entry!$G$828="","",[2]Entry!$G$828)</f>
        <v/>
      </c>
      <c r="T825">
        <f>IF([2]Entry!$J$828="","",[2]Entry!$J$828)</f>
        <v/>
      </c>
      <c r="U825">
        <f>IF([2]Entry!$K$828="","",[2]Entry!$K$828)</f>
        <v/>
      </c>
      <c r="V825">
        <f>IF([2]Entry!$L$828="","",[2]Entry!$L$828)</f>
        <v/>
      </c>
      <c r="W825">
        <f>IF([2]Entry!$M$828="","",[2]Entry!$M$828)</f>
        <v/>
      </c>
      <c r="X825">
        <f>IF([2]Entry!$N$828="","",[2]Entry!$N$828)</f>
        <v/>
      </c>
      <c r="Y825">
        <f>IF([2]Entry!$R$828="","",[2]Entry!$R$828)</f>
        <v/>
      </c>
    </row>
    <row r="826">
      <c r="P826">
        <f>IF([2]Entry!$C$829="","",[2]Entry!$C$829)</f>
        <v/>
      </c>
      <c r="Q826">
        <f>IF([2]Entry!$D$829="","",[2]Entry!$D$829)</f>
        <v/>
      </c>
      <c r="R826">
        <f>IF([2]Entry!$E$829="","",[2]Entry!$E$829)</f>
        <v/>
      </c>
      <c r="S826">
        <f>IF([2]Entry!$G$829="","",[2]Entry!$G$829)</f>
        <v/>
      </c>
      <c r="T826">
        <f>IF([2]Entry!$J$829="","",[2]Entry!$J$829)</f>
        <v/>
      </c>
      <c r="U826">
        <f>IF([2]Entry!$K$829="","",[2]Entry!$K$829)</f>
        <v/>
      </c>
      <c r="V826">
        <f>IF([2]Entry!$L$829="","",[2]Entry!$L$829)</f>
        <v/>
      </c>
      <c r="W826">
        <f>IF([2]Entry!$M$829="","",[2]Entry!$M$829)</f>
        <v/>
      </c>
      <c r="X826">
        <f>IF([2]Entry!$N$829="","",[2]Entry!$N$829)</f>
        <v/>
      </c>
      <c r="Y826">
        <f>IF([2]Entry!$R$829="","",[2]Entry!$R$829)</f>
        <v/>
      </c>
    </row>
    <row r="827">
      <c r="P827">
        <f>IF([2]Entry!$C$830="","",[2]Entry!$C$830)</f>
        <v/>
      </c>
      <c r="Q827">
        <f>IF([2]Entry!$D$830="","",[2]Entry!$D$830)</f>
        <v/>
      </c>
      <c r="R827">
        <f>IF([2]Entry!$E$830="","",[2]Entry!$E$830)</f>
        <v/>
      </c>
      <c r="S827">
        <f>IF([2]Entry!$G$830="","",[2]Entry!$G$830)</f>
        <v/>
      </c>
      <c r="T827">
        <f>IF([2]Entry!$J$830="","",[2]Entry!$J$830)</f>
        <v/>
      </c>
      <c r="U827">
        <f>IF([2]Entry!$K$830="","",[2]Entry!$K$830)</f>
        <v/>
      </c>
      <c r="V827">
        <f>IF([2]Entry!$L$830="","",[2]Entry!$L$830)</f>
        <v/>
      </c>
      <c r="W827">
        <f>IF([2]Entry!$M$830="","",[2]Entry!$M$830)</f>
        <v/>
      </c>
      <c r="X827">
        <f>IF([2]Entry!$N$830="","",[2]Entry!$N$830)</f>
        <v/>
      </c>
      <c r="Y827">
        <f>IF([2]Entry!$R$830="","",[2]Entry!$R$830)</f>
        <v/>
      </c>
    </row>
    <row r="828">
      <c r="P828">
        <f>IF([2]Entry!$C$831="","",[2]Entry!$C$831)</f>
        <v/>
      </c>
      <c r="Q828">
        <f>IF([2]Entry!$D$831="","",[2]Entry!$D$831)</f>
        <v/>
      </c>
      <c r="R828">
        <f>IF([2]Entry!$E$831="","",[2]Entry!$E$831)</f>
        <v/>
      </c>
      <c r="S828">
        <f>IF([2]Entry!$G$831="","",[2]Entry!$G$831)</f>
        <v/>
      </c>
      <c r="T828">
        <f>IF([2]Entry!$J$831="","",[2]Entry!$J$831)</f>
        <v/>
      </c>
      <c r="U828">
        <f>IF([2]Entry!$K$831="","",[2]Entry!$K$831)</f>
        <v/>
      </c>
      <c r="V828">
        <f>IF([2]Entry!$L$831="","",[2]Entry!$L$831)</f>
        <v/>
      </c>
      <c r="W828">
        <f>IF([2]Entry!$M$831="","",[2]Entry!$M$831)</f>
        <v/>
      </c>
      <c r="X828">
        <f>IF([2]Entry!$N$831="","",[2]Entry!$N$831)</f>
        <v/>
      </c>
      <c r="Y828">
        <f>IF([2]Entry!$R$831="","",[2]Entry!$R$831)</f>
        <v/>
      </c>
    </row>
    <row r="829">
      <c r="P829">
        <f>IF([2]Entry!$C$832="","",[2]Entry!$C$832)</f>
        <v/>
      </c>
      <c r="Q829">
        <f>IF([2]Entry!$D$832="","",[2]Entry!$D$832)</f>
        <v/>
      </c>
      <c r="R829">
        <f>IF([2]Entry!$E$832="","",[2]Entry!$E$832)</f>
        <v/>
      </c>
      <c r="S829">
        <f>IF([2]Entry!$G$832="","",[2]Entry!$G$832)</f>
        <v/>
      </c>
      <c r="T829">
        <f>IF([2]Entry!$J$832="","",[2]Entry!$J$832)</f>
        <v/>
      </c>
      <c r="U829">
        <f>IF([2]Entry!$K$832="","",[2]Entry!$K$832)</f>
        <v/>
      </c>
      <c r="V829">
        <f>IF([2]Entry!$L$832="","",[2]Entry!$L$832)</f>
        <v/>
      </c>
      <c r="W829">
        <f>IF([2]Entry!$M$832="","",[2]Entry!$M$832)</f>
        <v/>
      </c>
      <c r="X829">
        <f>IF([2]Entry!$N$832="","",[2]Entry!$N$832)</f>
        <v/>
      </c>
      <c r="Y829">
        <f>IF([2]Entry!$R$832="","",[2]Entry!$R$832)</f>
        <v/>
      </c>
    </row>
    <row r="830">
      <c r="P830">
        <f>IF([2]Entry!$C$833="","",[2]Entry!$C$833)</f>
        <v/>
      </c>
      <c r="Q830">
        <f>IF([2]Entry!$D$833="","",[2]Entry!$D$833)</f>
        <v/>
      </c>
      <c r="R830">
        <f>IF([2]Entry!$E$833="","",[2]Entry!$E$833)</f>
        <v/>
      </c>
      <c r="S830">
        <f>IF([2]Entry!$G$833="","",[2]Entry!$G$833)</f>
        <v/>
      </c>
      <c r="T830">
        <f>IF([2]Entry!$J$833="","",[2]Entry!$J$833)</f>
        <v/>
      </c>
      <c r="U830">
        <f>IF([2]Entry!$K$833="","",[2]Entry!$K$833)</f>
        <v/>
      </c>
      <c r="V830">
        <f>IF([2]Entry!$L$833="","",[2]Entry!$L$833)</f>
        <v/>
      </c>
      <c r="W830">
        <f>IF([2]Entry!$M$833="","",[2]Entry!$M$833)</f>
        <v/>
      </c>
      <c r="X830">
        <f>IF([2]Entry!$N$833="","",[2]Entry!$N$833)</f>
        <v/>
      </c>
      <c r="Y830">
        <f>IF([2]Entry!$R$833="","",[2]Entry!$R$833)</f>
        <v/>
      </c>
    </row>
    <row r="831">
      <c r="P831">
        <f>IF([2]Entry!$C$834="","",[2]Entry!$C$834)</f>
        <v/>
      </c>
      <c r="Q831">
        <f>IF([2]Entry!$D$834="","",[2]Entry!$D$834)</f>
        <v/>
      </c>
      <c r="R831">
        <f>IF([2]Entry!$E$834="","",[2]Entry!$E$834)</f>
        <v/>
      </c>
      <c r="S831">
        <f>IF([2]Entry!$G$834="","",[2]Entry!$G$834)</f>
        <v/>
      </c>
      <c r="T831">
        <f>IF([2]Entry!$J$834="","",[2]Entry!$J$834)</f>
        <v/>
      </c>
      <c r="U831">
        <f>IF([2]Entry!$K$834="","",[2]Entry!$K$834)</f>
        <v/>
      </c>
      <c r="V831">
        <f>IF([2]Entry!$L$834="","",[2]Entry!$L$834)</f>
        <v/>
      </c>
      <c r="W831">
        <f>IF([2]Entry!$M$834="","",[2]Entry!$M$834)</f>
        <v/>
      </c>
      <c r="X831">
        <f>IF([2]Entry!$N$834="","",[2]Entry!$N$834)</f>
        <v/>
      </c>
      <c r="Y831">
        <f>IF([2]Entry!$R$834="","",[2]Entry!$R$834)</f>
        <v/>
      </c>
    </row>
    <row r="832">
      <c r="P832">
        <f>IF([2]Entry!$C$835="","",[2]Entry!$C$835)</f>
        <v/>
      </c>
      <c r="Q832">
        <f>IF([2]Entry!$D$835="","",[2]Entry!$D$835)</f>
        <v/>
      </c>
      <c r="R832">
        <f>IF([2]Entry!$E$835="","",[2]Entry!$E$835)</f>
        <v/>
      </c>
      <c r="S832">
        <f>IF([2]Entry!$G$835="","",[2]Entry!$G$835)</f>
        <v/>
      </c>
      <c r="T832">
        <f>IF([2]Entry!$J$835="","",[2]Entry!$J$835)</f>
        <v/>
      </c>
      <c r="U832">
        <f>IF([2]Entry!$K$835="","",[2]Entry!$K$835)</f>
        <v/>
      </c>
      <c r="V832">
        <f>IF([2]Entry!$L$835="","",[2]Entry!$L$835)</f>
        <v/>
      </c>
      <c r="W832">
        <f>IF([2]Entry!$M$835="","",[2]Entry!$M$835)</f>
        <v/>
      </c>
      <c r="X832">
        <f>IF([2]Entry!$N$835="","",[2]Entry!$N$835)</f>
        <v/>
      </c>
      <c r="Y832">
        <f>IF([2]Entry!$R$835="","",[2]Entry!$R$835)</f>
        <v/>
      </c>
    </row>
    <row r="833">
      <c r="P833">
        <f>IF([2]Entry!$C$836="","",[2]Entry!$C$836)</f>
        <v/>
      </c>
      <c r="Q833">
        <f>IF([2]Entry!$D$836="","",[2]Entry!$D$836)</f>
        <v/>
      </c>
      <c r="R833">
        <f>IF([2]Entry!$E$836="","",[2]Entry!$E$836)</f>
        <v/>
      </c>
      <c r="S833">
        <f>IF([2]Entry!$G$836="","",[2]Entry!$G$836)</f>
        <v/>
      </c>
      <c r="T833">
        <f>IF([2]Entry!$J$836="","",[2]Entry!$J$836)</f>
        <v/>
      </c>
      <c r="U833">
        <f>IF([2]Entry!$K$836="","",[2]Entry!$K$836)</f>
        <v/>
      </c>
      <c r="V833">
        <f>IF([2]Entry!$L$836="","",[2]Entry!$L$836)</f>
        <v/>
      </c>
      <c r="W833">
        <f>IF([2]Entry!$M$836="","",[2]Entry!$M$836)</f>
        <v/>
      </c>
      <c r="X833">
        <f>IF([2]Entry!$N$836="","",[2]Entry!$N$836)</f>
        <v/>
      </c>
      <c r="Y833">
        <f>IF([2]Entry!$R$836="","",[2]Entry!$R$836)</f>
        <v/>
      </c>
    </row>
    <row r="834">
      <c r="P834">
        <f>IF([2]Entry!$C$837="","",[2]Entry!$C$837)</f>
        <v/>
      </c>
      <c r="Q834">
        <f>IF([2]Entry!$D$837="","",[2]Entry!$D$837)</f>
        <v/>
      </c>
      <c r="R834">
        <f>IF([2]Entry!$E$837="","",[2]Entry!$E$837)</f>
        <v/>
      </c>
      <c r="S834">
        <f>IF([2]Entry!$G$837="","",[2]Entry!$G$837)</f>
        <v/>
      </c>
      <c r="T834">
        <f>IF([2]Entry!$J$837="","",[2]Entry!$J$837)</f>
        <v/>
      </c>
      <c r="U834">
        <f>IF([2]Entry!$K$837="","",[2]Entry!$K$837)</f>
        <v/>
      </c>
      <c r="V834">
        <f>IF([2]Entry!$L$837="","",[2]Entry!$L$837)</f>
        <v/>
      </c>
      <c r="W834">
        <f>IF([2]Entry!$M$837="","",[2]Entry!$M$837)</f>
        <v/>
      </c>
      <c r="X834">
        <f>IF([2]Entry!$N$837="","",[2]Entry!$N$837)</f>
        <v/>
      </c>
      <c r="Y834">
        <f>IF([2]Entry!$R$837="","",[2]Entry!$R$837)</f>
        <v/>
      </c>
    </row>
    <row r="835">
      <c r="P835">
        <f>IF([2]Entry!$C$838="","",[2]Entry!$C$838)</f>
        <v/>
      </c>
      <c r="Q835">
        <f>IF([2]Entry!$D$838="","",[2]Entry!$D$838)</f>
        <v/>
      </c>
      <c r="R835">
        <f>IF([2]Entry!$E$838="","",[2]Entry!$E$838)</f>
        <v/>
      </c>
      <c r="S835">
        <f>IF([2]Entry!$G$838="","",[2]Entry!$G$838)</f>
        <v/>
      </c>
      <c r="T835">
        <f>IF([2]Entry!$J$838="","",[2]Entry!$J$838)</f>
        <v/>
      </c>
      <c r="U835">
        <f>IF([2]Entry!$K$838="","",[2]Entry!$K$838)</f>
        <v/>
      </c>
      <c r="V835">
        <f>IF([2]Entry!$L$838="","",[2]Entry!$L$838)</f>
        <v/>
      </c>
      <c r="W835">
        <f>IF([2]Entry!$M$838="","",[2]Entry!$M$838)</f>
        <v/>
      </c>
      <c r="X835">
        <f>IF([2]Entry!$N$838="","",[2]Entry!$N$838)</f>
        <v/>
      </c>
      <c r="Y835">
        <f>IF([2]Entry!$R$838="","",[2]Entry!$R$838)</f>
        <v/>
      </c>
    </row>
    <row r="836">
      <c r="P836">
        <f>IF([2]Entry!$C$839="","",[2]Entry!$C$839)</f>
        <v/>
      </c>
      <c r="Q836">
        <f>IF([2]Entry!$D$839="","",[2]Entry!$D$839)</f>
        <v/>
      </c>
      <c r="R836">
        <f>IF([2]Entry!$E$839="","",[2]Entry!$E$839)</f>
        <v/>
      </c>
      <c r="S836">
        <f>IF([2]Entry!$G$839="","",[2]Entry!$G$839)</f>
        <v/>
      </c>
      <c r="T836">
        <f>IF([2]Entry!$J$839="","",[2]Entry!$J$839)</f>
        <v/>
      </c>
      <c r="U836">
        <f>IF([2]Entry!$K$839="","",[2]Entry!$K$839)</f>
        <v/>
      </c>
      <c r="V836">
        <f>IF([2]Entry!$L$839="","",[2]Entry!$L$839)</f>
        <v/>
      </c>
      <c r="W836">
        <f>IF([2]Entry!$M$839="","",[2]Entry!$M$839)</f>
        <v/>
      </c>
      <c r="X836">
        <f>IF([2]Entry!$N$839="","",[2]Entry!$N$839)</f>
        <v/>
      </c>
      <c r="Y836">
        <f>IF([2]Entry!$R$839="","",[2]Entry!$R$839)</f>
        <v/>
      </c>
    </row>
    <row r="837">
      <c r="P837">
        <f>IF([2]Entry!$C$840="","",[2]Entry!$C$840)</f>
        <v/>
      </c>
      <c r="Q837">
        <f>IF([2]Entry!$D$840="","",[2]Entry!$D$840)</f>
        <v/>
      </c>
      <c r="R837">
        <f>IF([2]Entry!$E$840="","",[2]Entry!$E$840)</f>
        <v/>
      </c>
      <c r="S837">
        <f>IF([2]Entry!$G$840="","",[2]Entry!$G$840)</f>
        <v/>
      </c>
      <c r="T837">
        <f>IF([2]Entry!$J$840="","",[2]Entry!$J$840)</f>
        <v/>
      </c>
      <c r="U837">
        <f>IF([2]Entry!$K$840="","",[2]Entry!$K$840)</f>
        <v/>
      </c>
      <c r="V837">
        <f>IF([2]Entry!$L$840="","",[2]Entry!$L$840)</f>
        <v/>
      </c>
      <c r="W837">
        <f>IF([2]Entry!$M$840="","",[2]Entry!$M$840)</f>
        <v/>
      </c>
      <c r="X837">
        <f>IF([2]Entry!$N$840="","",[2]Entry!$N$840)</f>
        <v/>
      </c>
      <c r="Y837">
        <f>IF([2]Entry!$R$840="","",[2]Entry!$R$840)</f>
        <v/>
      </c>
    </row>
    <row r="838">
      <c r="P838">
        <f>IF([2]Entry!$C$841="","",[2]Entry!$C$841)</f>
        <v/>
      </c>
      <c r="Q838">
        <f>IF([2]Entry!$D$841="","",[2]Entry!$D$841)</f>
        <v/>
      </c>
      <c r="R838">
        <f>IF([2]Entry!$E$841="","",[2]Entry!$E$841)</f>
        <v/>
      </c>
      <c r="S838">
        <f>IF([2]Entry!$G$841="","",[2]Entry!$G$841)</f>
        <v/>
      </c>
      <c r="T838">
        <f>IF([2]Entry!$J$841="","",[2]Entry!$J$841)</f>
        <v/>
      </c>
      <c r="U838">
        <f>IF([2]Entry!$K$841="","",[2]Entry!$K$841)</f>
        <v/>
      </c>
      <c r="V838">
        <f>IF([2]Entry!$L$841="","",[2]Entry!$L$841)</f>
        <v/>
      </c>
      <c r="W838">
        <f>IF([2]Entry!$M$841="","",[2]Entry!$M$841)</f>
        <v/>
      </c>
      <c r="X838">
        <f>IF([2]Entry!$N$841="","",[2]Entry!$N$841)</f>
        <v/>
      </c>
      <c r="Y838">
        <f>IF([2]Entry!$R$841="","",[2]Entry!$R$841)</f>
        <v/>
      </c>
    </row>
    <row r="839">
      <c r="P839">
        <f>IF([2]Entry!$C$842="","",[2]Entry!$C$842)</f>
        <v/>
      </c>
      <c r="Q839">
        <f>IF([2]Entry!$D$842="","",[2]Entry!$D$842)</f>
        <v/>
      </c>
      <c r="R839">
        <f>IF([2]Entry!$E$842="","",[2]Entry!$E$842)</f>
        <v/>
      </c>
      <c r="S839">
        <f>IF([2]Entry!$G$842="","",[2]Entry!$G$842)</f>
        <v/>
      </c>
      <c r="T839">
        <f>IF([2]Entry!$J$842="","",[2]Entry!$J$842)</f>
        <v/>
      </c>
      <c r="U839">
        <f>IF([2]Entry!$K$842="","",[2]Entry!$K$842)</f>
        <v/>
      </c>
      <c r="V839">
        <f>IF([2]Entry!$L$842="","",[2]Entry!$L$842)</f>
        <v/>
      </c>
      <c r="W839">
        <f>IF([2]Entry!$M$842="","",[2]Entry!$M$842)</f>
        <v/>
      </c>
      <c r="X839">
        <f>IF([2]Entry!$N$842="","",[2]Entry!$N$842)</f>
        <v/>
      </c>
      <c r="Y839">
        <f>IF([2]Entry!$R$842="","",[2]Entry!$R$842)</f>
        <v/>
      </c>
    </row>
    <row r="840">
      <c r="P840">
        <f>IF([2]Entry!$C$843="","",[2]Entry!$C$843)</f>
        <v/>
      </c>
      <c r="Q840">
        <f>IF([2]Entry!$D$843="","",[2]Entry!$D$843)</f>
        <v/>
      </c>
      <c r="R840">
        <f>IF([2]Entry!$E$843="","",[2]Entry!$E$843)</f>
        <v/>
      </c>
      <c r="S840">
        <f>IF([2]Entry!$G$843="","",[2]Entry!$G$843)</f>
        <v/>
      </c>
      <c r="T840">
        <f>IF([2]Entry!$J$843="","",[2]Entry!$J$843)</f>
        <v/>
      </c>
      <c r="U840">
        <f>IF([2]Entry!$K$843="","",[2]Entry!$K$843)</f>
        <v/>
      </c>
      <c r="V840">
        <f>IF([2]Entry!$L$843="","",[2]Entry!$L$843)</f>
        <v/>
      </c>
      <c r="W840">
        <f>IF([2]Entry!$M$843="","",[2]Entry!$M$843)</f>
        <v/>
      </c>
      <c r="X840">
        <f>IF([2]Entry!$N$843="","",[2]Entry!$N$843)</f>
        <v/>
      </c>
      <c r="Y840">
        <f>IF([2]Entry!$R$843="","",[2]Entry!$R$843)</f>
        <v/>
      </c>
    </row>
    <row r="841">
      <c r="P841">
        <f>IF([2]Entry!$C$844="","",[2]Entry!$C$844)</f>
        <v/>
      </c>
      <c r="Q841">
        <f>IF([2]Entry!$D$844="","",[2]Entry!$D$844)</f>
        <v/>
      </c>
      <c r="R841">
        <f>IF([2]Entry!$E$844="","",[2]Entry!$E$844)</f>
        <v/>
      </c>
      <c r="S841">
        <f>IF([2]Entry!$G$844="","",[2]Entry!$G$844)</f>
        <v/>
      </c>
      <c r="T841">
        <f>IF([2]Entry!$J$844="","",[2]Entry!$J$844)</f>
        <v/>
      </c>
      <c r="U841">
        <f>IF([2]Entry!$K$844="","",[2]Entry!$K$844)</f>
        <v/>
      </c>
      <c r="V841">
        <f>IF([2]Entry!$L$844="","",[2]Entry!$L$844)</f>
        <v/>
      </c>
      <c r="W841">
        <f>IF([2]Entry!$M$844="","",[2]Entry!$M$844)</f>
        <v/>
      </c>
      <c r="X841">
        <f>IF([2]Entry!$N$844="","",[2]Entry!$N$844)</f>
        <v/>
      </c>
      <c r="Y841">
        <f>IF([2]Entry!$R$844="","",[2]Entry!$R$844)</f>
        <v/>
      </c>
    </row>
    <row r="842">
      <c r="P842">
        <f>IF([2]Entry!$C$845="","",[2]Entry!$C$845)</f>
        <v/>
      </c>
      <c r="Q842">
        <f>IF([2]Entry!$D$845="","",[2]Entry!$D$845)</f>
        <v/>
      </c>
      <c r="R842">
        <f>IF([2]Entry!$E$845="","",[2]Entry!$E$845)</f>
        <v/>
      </c>
      <c r="S842">
        <f>IF([2]Entry!$G$845="","",[2]Entry!$G$845)</f>
        <v/>
      </c>
      <c r="T842">
        <f>IF([2]Entry!$J$845="","",[2]Entry!$J$845)</f>
        <v/>
      </c>
      <c r="U842">
        <f>IF([2]Entry!$K$845="","",[2]Entry!$K$845)</f>
        <v/>
      </c>
      <c r="V842">
        <f>IF([2]Entry!$L$845="","",[2]Entry!$L$845)</f>
        <v/>
      </c>
      <c r="W842">
        <f>IF([2]Entry!$M$845="","",[2]Entry!$M$845)</f>
        <v/>
      </c>
      <c r="X842">
        <f>IF([2]Entry!$N$845="","",[2]Entry!$N$845)</f>
        <v/>
      </c>
      <c r="Y842">
        <f>IF([2]Entry!$R$845="","",[2]Entry!$R$845)</f>
        <v/>
      </c>
    </row>
    <row r="843">
      <c r="P843">
        <f>IF([2]Entry!$C$846="","",[2]Entry!$C$846)</f>
        <v/>
      </c>
      <c r="Q843">
        <f>IF([2]Entry!$D$846="","",[2]Entry!$D$846)</f>
        <v/>
      </c>
      <c r="R843">
        <f>IF([2]Entry!$E$846="","",[2]Entry!$E$846)</f>
        <v/>
      </c>
      <c r="S843">
        <f>IF([2]Entry!$G$846="","",[2]Entry!$G$846)</f>
        <v/>
      </c>
      <c r="T843">
        <f>IF([2]Entry!$J$846="","",[2]Entry!$J$846)</f>
        <v/>
      </c>
      <c r="U843">
        <f>IF([2]Entry!$K$846="","",[2]Entry!$K$846)</f>
        <v/>
      </c>
      <c r="V843">
        <f>IF([2]Entry!$L$846="","",[2]Entry!$L$846)</f>
        <v/>
      </c>
      <c r="W843">
        <f>IF([2]Entry!$M$846="","",[2]Entry!$M$846)</f>
        <v/>
      </c>
      <c r="X843">
        <f>IF([2]Entry!$N$846="","",[2]Entry!$N$846)</f>
        <v/>
      </c>
      <c r="Y843">
        <f>IF([2]Entry!$R$846="","",[2]Entry!$R$846)</f>
        <v/>
      </c>
    </row>
    <row r="844">
      <c r="P844">
        <f>IF([2]Entry!$C$847="","",[2]Entry!$C$847)</f>
        <v/>
      </c>
      <c r="Q844">
        <f>IF([2]Entry!$D$847="","",[2]Entry!$D$847)</f>
        <v/>
      </c>
      <c r="R844">
        <f>IF([2]Entry!$E$847="","",[2]Entry!$E$847)</f>
        <v/>
      </c>
      <c r="S844">
        <f>IF([2]Entry!$G$847="","",[2]Entry!$G$847)</f>
        <v/>
      </c>
      <c r="T844">
        <f>IF([2]Entry!$J$847="","",[2]Entry!$J$847)</f>
        <v/>
      </c>
      <c r="U844">
        <f>IF([2]Entry!$K$847="","",[2]Entry!$K$847)</f>
        <v/>
      </c>
      <c r="V844">
        <f>IF([2]Entry!$L$847="","",[2]Entry!$L$847)</f>
        <v/>
      </c>
      <c r="W844">
        <f>IF([2]Entry!$M$847="","",[2]Entry!$M$847)</f>
        <v/>
      </c>
      <c r="X844">
        <f>IF([2]Entry!$N$847="","",[2]Entry!$N$847)</f>
        <v/>
      </c>
      <c r="Y844">
        <f>IF([2]Entry!$R$847="","",[2]Entry!$R$847)</f>
        <v/>
      </c>
    </row>
    <row r="845">
      <c r="P845">
        <f>IF([2]Entry!$C$848="","",[2]Entry!$C$848)</f>
        <v/>
      </c>
      <c r="Q845">
        <f>IF([2]Entry!$D$848="","",[2]Entry!$D$848)</f>
        <v/>
      </c>
      <c r="R845">
        <f>IF([2]Entry!$E$848="","",[2]Entry!$E$848)</f>
        <v/>
      </c>
      <c r="S845">
        <f>IF([2]Entry!$G$848="","",[2]Entry!$G$848)</f>
        <v/>
      </c>
      <c r="T845">
        <f>IF([2]Entry!$J$848="","",[2]Entry!$J$848)</f>
        <v/>
      </c>
      <c r="U845">
        <f>IF([2]Entry!$K$848="","",[2]Entry!$K$848)</f>
        <v/>
      </c>
      <c r="V845">
        <f>IF([2]Entry!$L$848="","",[2]Entry!$L$848)</f>
        <v/>
      </c>
      <c r="W845">
        <f>IF([2]Entry!$M$848="","",[2]Entry!$M$848)</f>
        <v/>
      </c>
      <c r="X845">
        <f>IF([2]Entry!$N$848="","",[2]Entry!$N$848)</f>
        <v/>
      </c>
      <c r="Y845">
        <f>IF([2]Entry!$R$848="","",[2]Entry!$R$848)</f>
        <v/>
      </c>
    </row>
    <row r="846">
      <c r="P846">
        <f>IF([2]Entry!$C$849="","",[2]Entry!$C$849)</f>
        <v/>
      </c>
      <c r="Q846">
        <f>IF([2]Entry!$D$849="","",[2]Entry!$D$849)</f>
        <v/>
      </c>
      <c r="R846">
        <f>IF([2]Entry!$E$849="","",[2]Entry!$E$849)</f>
        <v/>
      </c>
      <c r="S846">
        <f>IF([2]Entry!$G$849="","",[2]Entry!$G$849)</f>
        <v/>
      </c>
      <c r="T846">
        <f>IF([2]Entry!$J$849="","",[2]Entry!$J$849)</f>
        <v/>
      </c>
      <c r="U846">
        <f>IF([2]Entry!$K$849="","",[2]Entry!$K$849)</f>
        <v/>
      </c>
      <c r="V846">
        <f>IF([2]Entry!$L$849="","",[2]Entry!$L$849)</f>
        <v/>
      </c>
      <c r="W846">
        <f>IF([2]Entry!$M$849="","",[2]Entry!$M$849)</f>
        <v/>
      </c>
      <c r="X846">
        <f>IF([2]Entry!$N$849="","",[2]Entry!$N$849)</f>
        <v/>
      </c>
      <c r="Y846">
        <f>IF([2]Entry!$R$849="","",[2]Entry!$R$849)</f>
        <v/>
      </c>
    </row>
    <row r="847">
      <c r="P847">
        <f>IF([2]Entry!$C$850="","",[2]Entry!$C$850)</f>
        <v/>
      </c>
      <c r="Q847">
        <f>IF([2]Entry!$D$850="","",[2]Entry!$D$850)</f>
        <v/>
      </c>
      <c r="R847">
        <f>IF([2]Entry!$E$850="","",[2]Entry!$E$850)</f>
        <v/>
      </c>
      <c r="S847">
        <f>IF([2]Entry!$G$850="","",[2]Entry!$G$850)</f>
        <v/>
      </c>
      <c r="T847">
        <f>IF([2]Entry!$J$850="","",[2]Entry!$J$850)</f>
        <v/>
      </c>
      <c r="U847">
        <f>IF([2]Entry!$K$850="","",[2]Entry!$K$850)</f>
        <v/>
      </c>
      <c r="V847">
        <f>IF([2]Entry!$L$850="","",[2]Entry!$L$850)</f>
        <v/>
      </c>
      <c r="W847">
        <f>IF([2]Entry!$M$850="","",[2]Entry!$M$850)</f>
        <v/>
      </c>
      <c r="X847">
        <f>IF([2]Entry!$N$850="","",[2]Entry!$N$850)</f>
        <v/>
      </c>
      <c r="Y847">
        <f>IF([2]Entry!$R$850="","",[2]Entry!$R$850)</f>
        <v/>
      </c>
    </row>
    <row r="848">
      <c r="P848">
        <f>IF([2]Entry!$C$851="","",[2]Entry!$C$851)</f>
        <v/>
      </c>
      <c r="Q848">
        <f>IF([2]Entry!$D$851="","",[2]Entry!$D$851)</f>
        <v/>
      </c>
      <c r="R848">
        <f>IF([2]Entry!$E$851="","",[2]Entry!$E$851)</f>
        <v/>
      </c>
      <c r="S848">
        <f>IF([2]Entry!$G$851="","",[2]Entry!$G$851)</f>
        <v/>
      </c>
      <c r="T848">
        <f>IF([2]Entry!$J$851="","",[2]Entry!$J$851)</f>
        <v/>
      </c>
      <c r="U848">
        <f>IF([2]Entry!$K$851="","",[2]Entry!$K$851)</f>
        <v/>
      </c>
      <c r="V848">
        <f>IF([2]Entry!$L$851="","",[2]Entry!$L$851)</f>
        <v/>
      </c>
      <c r="W848">
        <f>IF([2]Entry!$M$851="","",[2]Entry!$M$851)</f>
        <v/>
      </c>
      <c r="X848">
        <f>IF([2]Entry!$N$851="","",[2]Entry!$N$851)</f>
        <v/>
      </c>
      <c r="Y848">
        <f>IF([2]Entry!$R$851="","",[2]Entry!$R$851)</f>
        <v/>
      </c>
    </row>
    <row r="849">
      <c r="P849">
        <f>IF([2]Entry!$C$852="","",[2]Entry!$C$852)</f>
        <v/>
      </c>
      <c r="Q849">
        <f>IF([2]Entry!$D$852="","",[2]Entry!$D$852)</f>
        <v/>
      </c>
      <c r="R849">
        <f>IF([2]Entry!$E$852="","",[2]Entry!$E$852)</f>
        <v/>
      </c>
      <c r="S849">
        <f>IF([2]Entry!$G$852="","",[2]Entry!$G$852)</f>
        <v/>
      </c>
      <c r="T849">
        <f>IF([2]Entry!$J$852="","",[2]Entry!$J$852)</f>
        <v/>
      </c>
      <c r="U849">
        <f>IF([2]Entry!$K$852="","",[2]Entry!$K$852)</f>
        <v/>
      </c>
      <c r="V849">
        <f>IF([2]Entry!$L$852="","",[2]Entry!$L$852)</f>
        <v/>
      </c>
      <c r="W849">
        <f>IF([2]Entry!$M$852="","",[2]Entry!$M$852)</f>
        <v/>
      </c>
      <c r="X849">
        <f>IF([2]Entry!$N$852="","",[2]Entry!$N$852)</f>
        <v/>
      </c>
      <c r="Y849">
        <f>IF([2]Entry!$R$852="","",[2]Entry!$R$852)</f>
        <v/>
      </c>
    </row>
    <row r="850">
      <c r="P850">
        <f>IF([2]Entry!$C$853="","",[2]Entry!$C$853)</f>
        <v/>
      </c>
      <c r="Q850">
        <f>IF([2]Entry!$D$853="","",[2]Entry!$D$853)</f>
        <v/>
      </c>
      <c r="R850">
        <f>IF([2]Entry!$E$853="","",[2]Entry!$E$853)</f>
        <v/>
      </c>
      <c r="S850">
        <f>IF([2]Entry!$G$853="","",[2]Entry!$G$853)</f>
        <v/>
      </c>
      <c r="T850">
        <f>IF([2]Entry!$J$853="","",[2]Entry!$J$853)</f>
        <v/>
      </c>
      <c r="U850">
        <f>IF([2]Entry!$K$853="","",[2]Entry!$K$853)</f>
        <v/>
      </c>
      <c r="V850">
        <f>IF([2]Entry!$L$853="","",[2]Entry!$L$853)</f>
        <v/>
      </c>
      <c r="W850">
        <f>IF([2]Entry!$M$853="","",[2]Entry!$M$853)</f>
        <v/>
      </c>
      <c r="X850">
        <f>IF([2]Entry!$N$853="","",[2]Entry!$N$853)</f>
        <v/>
      </c>
      <c r="Y850">
        <f>IF([2]Entry!$R$853="","",[2]Entry!$R$853)</f>
        <v/>
      </c>
    </row>
    <row r="851">
      <c r="P851">
        <f>IF([2]Entry!$C$854="","",[2]Entry!$C$854)</f>
        <v/>
      </c>
      <c r="Q851">
        <f>IF([2]Entry!$D$854="","",[2]Entry!$D$854)</f>
        <v/>
      </c>
      <c r="R851">
        <f>IF([2]Entry!$E$854="","",[2]Entry!$E$854)</f>
        <v/>
      </c>
      <c r="S851">
        <f>IF([2]Entry!$G$854="","",[2]Entry!$G$854)</f>
        <v/>
      </c>
      <c r="T851">
        <f>IF([2]Entry!$J$854="","",[2]Entry!$J$854)</f>
        <v/>
      </c>
      <c r="U851">
        <f>IF([2]Entry!$K$854="","",[2]Entry!$K$854)</f>
        <v/>
      </c>
      <c r="V851">
        <f>IF([2]Entry!$L$854="","",[2]Entry!$L$854)</f>
        <v/>
      </c>
      <c r="W851">
        <f>IF([2]Entry!$M$854="","",[2]Entry!$M$854)</f>
        <v/>
      </c>
      <c r="X851">
        <f>IF([2]Entry!$N$854="","",[2]Entry!$N$854)</f>
        <v/>
      </c>
      <c r="Y851">
        <f>IF([2]Entry!$R$854="","",[2]Entry!$R$854)</f>
        <v/>
      </c>
    </row>
    <row r="852">
      <c r="P852">
        <f>IF([2]Entry!$C$855="","",[2]Entry!$C$855)</f>
        <v/>
      </c>
      <c r="Q852">
        <f>IF([2]Entry!$D$855="","",[2]Entry!$D$855)</f>
        <v/>
      </c>
      <c r="R852">
        <f>IF([2]Entry!$E$855="","",[2]Entry!$E$855)</f>
        <v/>
      </c>
      <c r="S852">
        <f>IF([2]Entry!$G$855="","",[2]Entry!$G$855)</f>
        <v/>
      </c>
      <c r="T852">
        <f>IF([2]Entry!$J$855="","",[2]Entry!$J$855)</f>
        <v/>
      </c>
      <c r="U852">
        <f>IF([2]Entry!$K$855="","",[2]Entry!$K$855)</f>
        <v/>
      </c>
      <c r="V852">
        <f>IF([2]Entry!$L$855="","",[2]Entry!$L$855)</f>
        <v/>
      </c>
      <c r="W852">
        <f>IF([2]Entry!$M$855="","",[2]Entry!$M$855)</f>
        <v/>
      </c>
      <c r="X852">
        <f>IF([2]Entry!$N$855="","",[2]Entry!$N$855)</f>
        <v/>
      </c>
      <c r="Y852">
        <f>IF([2]Entry!$R$855="","",[2]Entry!$R$855)</f>
        <v/>
      </c>
    </row>
    <row r="853">
      <c r="P853">
        <f>IF([2]Entry!$C$856="","",[2]Entry!$C$856)</f>
        <v/>
      </c>
      <c r="Q853">
        <f>IF([2]Entry!$D$856="","",[2]Entry!$D$856)</f>
        <v/>
      </c>
      <c r="R853">
        <f>IF([2]Entry!$E$856="","",[2]Entry!$E$856)</f>
        <v/>
      </c>
      <c r="S853">
        <f>IF([2]Entry!$G$856="","",[2]Entry!$G$856)</f>
        <v/>
      </c>
      <c r="T853">
        <f>IF([2]Entry!$J$856="","",[2]Entry!$J$856)</f>
        <v/>
      </c>
      <c r="U853">
        <f>IF([2]Entry!$K$856="","",[2]Entry!$K$856)</f>
        <v/>
      </c>
      <c r="V853">
        <f>IF([2]Entry!$L$856="","",[2]Entry!$L$856)</f>
        <v/>
      </c>
      <c r="W853">
        <f>IF([2]Entry!$M$856="","",[2]Entry!$M$856)</f>
        <v/>
      </c>
      <c r="X853">
        <f>IF([2]Entry!$N$856="","",[2]Entry!$N$856)</f>
        <v/>
      </c>
      <c r="Y853">
        <f>IF([2]Entry!$R$856="","",[2]Entry!$R$856)</f>
        <v/>
      </c>
    </row>
    <row r="854">
      <c r="P854">
        <f>IF([2]Entry!$C$857="","",[2]Entry!$C$857)</f>
        <v/>
      </c>
      <c r="Q854">
        <f>IF([2]Entry!$D$857="","",[2]Entry!$D$857)</f>
        <v/>
      </c>
      <c r="R854">
        <f>IF([2]Entry!$E$857="","",[2]Entry!$E$857)</f>
        <v/>
      </c>
      <c r="S854">
        <f>IF([2]Entry!$G$857="","",[2]Entry!$G$857)</f>
        <v/>
      </c>
      <c r="T854">
        <f>IF([2]Entry!$J$857="","",[2]Entry!$J$857)</f>
        <v/>
      </c>
      <c r="U854">
        <f>IF([2]Entry!$K$857="","",[2]Entry!$K$857)</f>
        <v/>
      </c>
      <c r="V854">
        <f>IF([2]Entry!$L$857="","",[2]Entry!$L$857)</f>
        <v/>
      </c>
      <c r="W854">
        <f>IF([2]Entry!$M$857="","",[2]Entry!$M$857)</f>
        <v/>
      </c>
      <c r="X854">
        <f>IF([2]Entry!$N$857="","",[2]Entry!$N$857)</f>
        <v/>
      </c>
      <c r="Y854">
        <f>IF([2]Entry!$R$857="","",[2]Entry!$R$857)</f>
        <v/>
      </c>
    </row>
    <row r="855">
      <c r="P855">
        <f>IF([2]Entry!$C$858="","",[2]Entry!$C$858)</f>
        <v/>
      </c>
      <c r="Q855">
        <f>IF([2]Entry!$D$858="","",[2]Entry!$D$858)</f>
        <v/>
      </c>
      <c r="R855">
        <f>IF([2]Entry!$E$858="","",[2]Entry!$E$858)</f>
        <v/>
      </c>
      <c r="S855">
        <f>IF([2]Entry!$G$858="","",[2]Entry!$G$858)</f>
        <v/>
      </c>
      <c r="T855">
        <f>IF([2]Entry!$J$858="","",[2]Entry!$J$858)</f>
        <v/>
      </c>
      <c r="U855">
        <f>IF([2]Entry!$K$858="","",[2]Entry!$K$858)</f>
        <v/>
      </c>
      <c r="V855">
        <f>IF([2]Entry!$L$858="","",[2]Entry!$L$858)</f>
        <v/>
      </c>
      <c r="W855">
        <f>IF([2]Entry!$M$858="","",[2]Entry!$M$858)</f>
        <v/>
      </c>
      <c r="X855">
        <f>IF([2]Entry!$N$858="","",[2]Entry!$N$858)</f>
        <v/>
      </c>
      <c r="Y855">
        <f>IF([2]Entry!$R$858="","",[2]Entry!$R$858)</f>
        <v/>
      </c>
    </row>
    <row r="856">
      <c r="P856">
        <f>IF([2]Entry!$C$859="","",[2]Entry!$C$859)</f>
        <v/>
      </c>
      <c r="Q856">
        <f>IF([2]Entry!$D$859="","",[2]Entry!$D$859)</f>
        <v/>
      </c>
      <c r="R856">
        <f>IF([2]Entry!$E$859="","",[2]Entry!$E$859)</f>
        <v/>
      </c>
      <c r="S856">
        <f>IF([2]Entry!$G$859="","",[2]Entry!$G$859)</f>
        <v/>
      </c>
      <c r="T856">
        <f>IF([2]Entry!$J$859="","",[2]Entry!$J$859)</f>
        <v/>
      </c>
      <c r="U856">
        <f>IF([2]Entry!$K$859="","",[2]Entry!$K$859)</f>
        <v/>
      </c>
      <c r="V856">
        <f>IF([2]Entry!$L$859="","",[2]Entry!$L$859)</f>
        <v/>
      </c>
      <c r="W856">
        <f>IF([2]Entry!$M$859="","",[2]Entry!$M$859)</f>
        <v/>
      </c>
      <c r="X856">
        <f>IF([2]Entry!$N$859="","",[2]Entry!$N$859)</f>
        <v/>
      </c>
      <c r="Y856">
        <f>IF([2]Entry!$R$859="","",[2]Entry!$R$859)</f>
        <v/>
      </c>
    </row>
    <row r="857">
      <c r="P857">
        <f>IF([2]Entry!$C$860="","",[2]Entry!$C$860)</f>
        <v/>
      </c>
      <c r="Q857">
        <f>IF([2]Entry!$D$860="","",[2]Entry!$D$860)</f>
        <v/>
      </c>
      <c r="R857">
        <f>IF([2]Entry!$E$860="","",[2]Entry!$E$860)</f>
        <v/>
      </c>
      <c r="S857">
        <f>IF([2]Entry!$G$860="","",[2]Entry!$G$860)</f>
        <v/>
      </c>
      <c r="T857">
        <f>IF([2]Entry!$J$860="","",[2]Entry!$J$860)</f>
        <v/>
      </c>
      <c r="U857">
        <f>IF([2]Entry!$K$860="","",[2]Entry!$K$860)</f>
        <v/>
      </c>
      <c r="V857">
        <f>IF([2]Entry!$L$860="","",[2]Entry!$L$860)</f>
        <v/>
      </c>
      <c r="W857">
        <f>IF([2]Entry!$M$860="","",[2]Entry!$M$860)</f>
        <v/>
      </c>
      <c r="X857">
        <f>IF([2]Entry!$N$860="","",[2]Entry!$N$860)</f>
        <v/>
      </c>
      <c r="Y857">
        <f>IF([2]Entry!$R$860="","",[2]Entry!$R$860)</f>
        <v/>
      </c>
    </row>
    <row r="858">
      <c r="P858">
        <f>IF([2]Entry!$C$861="","",[2]Entry!$C$861)</f>
        <v/>
      </c>
      <c r="Q858">
        <f>IF([2]Entry!$D$861="","",[2]Entry!$D$861)</f>
        <v/>
      </c>
      <c r="R858">
        <f>IF([2]Entry!$E$861="","",[2]Entry!$E$861)</f>
        <v/>
      </c>
      <c r="S858">
        <f>IF([2]Entry!$G$861="","",[2]Entry!$G$861)</f>
        <v/>
      </c>
      <c r="T858">
        <f>IF([2]Entry!$J$861="","",[2]Entry!$J$861)</f>
        <v/>
      </c>
      <c r="U858">
        <f>IF([2]Entry!$K$861="","",[2]Entry!$K$861)</f>
        <v/>
      </c>
      <c r="V858">
        <f>IF([2]Entry!$L$861="","",[2]Entry!$L$861)</f>
        <v/>
      </c>
      <c r="W858">
        <f>IF([2]Entry!$M$861="","",[2]Entry!$M$861)</f>
        <v/>
      </c>
      <c r="X858">
        <f>IF([2]Entry!$N$861="","",[2]Entry!$N$861)</f>
        <v/>
      </c>
      <c r="Y858">
        <f>IF([2]Entry!$R$861="","",[2]Entry!$R$861)</f>
        <v/>
      </c>
    </row>
    <row r="859">
      <c r="P859">
        <f>IF([2]Entry!$C$862="","",[2]Entry!$C$862)</f>
        <v/>
      </c>
      <c r="Q859">
        <f>IF([2]Entry!$D$862="","",[2]Entry!$D$862)</f>
        <v/>
      </c>
      <c r="R859">
        <f>IF([2]Entry!$E$862="","",[2]Entry!$E$862)</f>
        <v/>
      </c>
      <c r="S859">
        <f>IF([2]Entry!$G$862="","",[2]Entry!$G$862)</f>
        <v/>
      </c>
      <c r="T859">
        <f>IF([2]Entry!$J$862="","",[2]Entry!$J$862)</f>
        <v/>
      </c>
      <c r="U859">
        <f>IF([2]Entry!$K$862="","",[2]Entry!$K$862)</f>
        <v/>
      </c>
      <c r="V859">
        <f>IF([2]Entry!$L$862="","",[2]Entry!$L$862)</f>
        <v/>
      </c>
      <c r="W859">
        <f>IF([2]Entry!$M$862="","",[2]Entry!$M$862)</f>
        <v/>
      </c>
      <c r="X859">
        <f>IF([2]Entry!$N$862="","",[2]Entry!$N$862)</f>
        <v/>
      </c>
      <c r="Y859">
        <f>IF([2]Entry!$R$862="","",[2]Entry!$R$862)</f>
        <v/>
      </c>
    </row>
    <row r="860">
      <c r="P860">
        <f>IF([2]Entry!$C$863="","",[2]Entry!$C$863)</f>
        <v/>
      </c>
      <c r="Q860">
        <f>IF([2]Entry!$D$863="","",[2]Entry!$D$863)</f>
        <v/>
      </c>
      <c r="R860">
        <f>IF([2]Entry!$E$863="","",[2]Entry!$E$863)</f>
        <v/>
      </c>
      <c r="S860">
        <f>IF([2]Entry!$G$863="","",[2]Entry!$G$863)</f>
        <v/>
      </c>
      <c r="T860">
        <f>IF([2]Entry!$J$863="","",[2]Entry!$J$863)</f>
        <v/>
      </c>
      <c r="U860">
        <f>IF([2]Entry!$K$863="","",[2]Entry!$K$863)</f>
        <v/>
      </c>
      <c r="V860">
        <f>IF([2]Entry!$L$863="","",[2]Entry!$L$863)</f>
        <v/>
      </c>
      <c r="W860">
        <f>IF([2]Entry!$M$863="","",[2]Entry!$M$863)</f>
        <v/>
      </c>
      <c r="X860">
        <f>IF([2]Entry!$N$863="","",[2]Entry!$N$863)</f>
        <v/>
      </c>
      <c r="Y860">
        <f>IF([2]Entry!$R$863="","",[2]Entry!$R$863)</f>
        <v/>
      </c>
    </row>
    <row r="861">
      <c r="P861">
        <f>IF([2]Entry!$C$864="","",[2]Entry!$C$864)</f>
        <v/>
      </c>
      <c r="Q861">
        <f>IF([2]Entry!$D$864="","",[2]Entry!$D$864)</f>
        <v/>
      </c>
      <c r="R861">
        <f>IF([2]Entry!$E$864="","",[2]Entry!$E$864)</f>
        <v/>
      </c>
      <c r="S861">
        <f>IF([2]Entry!$G$864="","",[2]Entry!$G$864)</f>
        <v/>
      </c>
      <c r="T861">
        <f>IF([2]Entry!$J$864="","",[2]Entry!$J$864)</f>
        <v/>
      </c>
      <c r="U861">
        <f>IF([2]Entry!$K$864="","",[2]Entry!$K$864)</f>
        <v/>
      </c>
      <c r="V861">
        <f>IF([2]Entry!$L$864="","",[2]Entry!$L$864)</f>
        <v/>
      </c>
      <c r="W861">
        <f>IF([2]Entry!$M$864="","",[2]Entry!$M$864)</f>
        <v/>
      </c>
      <c r="X861">
        <f>IF([2]Entry!$N$864="","",[2]Entry!$N$864)</f>
        <v/>
      </c>
      <c r="Y861">
        <f>IF([2]Entry!$R$864="","",[2]Entry!$R$864)</f>
        <v/>
      </c>
    </row>
    <row r="862">
      <c r="P862">
        <f>IF([2]Entry!$C$865="","",[2]Entry!$C$865)</f>
        <v/>
      </c>
      <c r="Q862">
        <f>IF([2]Entry!$D$865="","",[2]Entry!$D$865)</f>
        <v/>
      </c>
      <c r="R862">
        <f>IF([2]Entry!$E$865="","",[2]Entry!$E$865)</f>
        <v/>
      </c>
      <c r="S862">
        <f>IF([2]Entry!$G$865="","",[2]Entry!$G$865)</f>
        <v/>
      </c>
      <c r="T862">
        <f>IF([2]Entry!$J$865="","",[2]Entry!$J$865)</f>
        <v/>
      </c>
      <c r="U862">
        <f>IF([2]Entry!$K$865="","",[2]Entry!$K$865)</f>
        <v/>
      </c>
      <c r="V862">
        <f>IF([2]Entry!$L$865="","",[2]Entry!$L$865)</f>
        <v/>
      </c>
      <c r="W862">
        <f>IF([2]Entry!$M$865="","",[2]Entry!$M$865)</f>
        <v/>
      </c>
      <c r="X862">
        <f>IF([2]Entry!$N$865="","",[2]Entry!$N$865)</f>
        <v/>
      </c>
      <c r="Y862">
        <f>IF([2]Entry!$R$865="","",[2]Entry!$R$865)</f>
        <v/>
      </c>
    </row>
    <row r="863">
      <c r="P863">
        <f>IF([2]Entry!$C$866="","",[2]Entry!$C$866)</f>
        <v/>
      </c>
      <c r="Q863">
        <f>IF([2]Entry!$D$866="","",[2]Entry!$D$866)</f>
        <v/>
      </c>
      <c r="R863">
        <f>IF([2]Entry!$E$866="","",[2]Entry!$E$866)</f>
        <v/>
      </c>
      <c r="S863">
        <f>IF([2]Entry!$G$866="","",[2]Entry!$G$866)</f>
        <v/>
      </c>
      <c r="T863">
        <f>IF([2]Entry!$J$866="","",[2]Entry!$J$866)</f>
        <v/>
      </c>
      <c r="U863">
        <f>IF([2]Entry!$K$866="","",[2]Entry!$K$866)</f>
        <v/>
      </c>
      <c r="V863">
        <f>IF([2]Entry!$L$866="","",[2]Entry!$L$866)</f>
        <v/>
      </c>
      <c r="W863">
        <f>IF([2]Entry!$M$866="","",[2]Entry!$M$866)</f>
        <v/>
      </c>
      <c r="X863">
        <f>IF([2]Entry!$N$866="","",[2]Entry!$N$866)</f>
        <v/>
      </c>
      <c r="Y863">
        <f>IF([2]Entry!$R$866="","",[2]Entry!$R$866)</f>
        <v/>
      </c>
    </row>
    <row r="864">
      <c r="P864">
        <f>IF([2]Entry!$C$867="","",[2]Entry!$C$867)</f>
        <v/>
      </c>
      <c r="Q864">
        <f>IF([2]Entry!$D$867="","",[2]Entry!$D$867)</f>
        <v/>
      </c>
      <c r="R864">
        <f>IF([2]Entry!$E$867="","",[2]Entry!$E$867)</f>
        <v/>
      </c>
      <c r="S864">
        <f>IF([2]Entry!$G$867="","",[2]Entry!$G$867)</f>
        <v/>
      </c>
      <c r="T864">
        <f>IF([2]Entry!$J$867="","",[2]Entry!$J$867)</f>
        <v/>
      </c>
      <c r="U864">
        <f>IF([2]Entry!$K$867="","",[2]Entry!$K$867)</f>
        <v/>
      </c>
      <c r="V864">
        <f>IF([2]Entry!$L$867="","",[2]Entry!$L$867)</f>
        <v/>
      </c>
      <c r="W864">
        <f>IF([2]Entry!$M$867="","",[2]Entry!$M$867)</f>
        <v/>
      </c>
      <c r="X864">
        <f>IF([2]Entry!$N$867="","",[2]Entry!$N$867)</f>
        <v/>
      </c>
      <c r="Y864">
        <f>IF([2]Entry!$R$867="","",[2]Entry!$R$867)</f>
        <v/>
      </c>
    </row>
    <row r="865">
      <c r="P865">
        <f>IF([2]Entry!$C$868="","",[2]Entry!$C$868)</f>
        <v/>
      </c>
      <c r="Q865">
        <f>IF([2]Entry!$D$868="","",[2]Entry!$D$868)</f>
        <v/>
      </c>
      <c r="R865">
        <f>IF([2]Entry!$E$868="","",[2]Entry!$E$868)</f>
        <v/>
      </c>
      <c r="S865">
        <f>IF([2]Entry!$G$868="","",[2]Entry!$G$868)</f>
        <v/>
      </c>
      <c r="T865">
        <f>IF([2]Entry!$J$868="","",[2]Entry!$J$868)</f>
        <v/>
      </c>
      <c r="U865">
        <f>IF([2]Entry!$K$868="","",[2]Entry!$K$868)</f>
        <v/>
      </c>
      <c r="V865">
        <f>IF([2]Entry!$L$868="","",[2]Entry!$L$868)</f>
        <v/>
      </c>
      <c r="W865">
        <f>IF([2]Entry!$M$868="","",[2]Entry!$M$868)</f>
        <v/>
      </c>
      <c r="X865">
        <f>IF([2]Entry!$N$868="","",[2]Entry!$N$868)</f>
        <v/>
      </c>
      <c r="Y865">
        <f>IF([2]Entry!$R$868="","",[2]Entry!$R$868)</f>
        <v/>
      </c>
    </row>
    <row r="866">
      <c r="P866">
        <f>IF([2]Entry!$C$869="","",[2]Entry!$C$869)</f>
        <v/>
      </c>
      <c r="Q866">
        <f>IF([2]Entry!$D$869="","",[2]Entry!$D$869)</f>
        <v/>
      </c>
      <c r="R866">
        <f>IF([2]Entry!$E$869="","",[2]Entry!$E$869)</f>
        <v/>
      </c>
      <c r="S866">
        <f>IF([2]Entry!$G$869="","",[2]Entry!$G$869)</f>
        <v/>
      </c>
      <c r="T866">
        <f>IF([2]Entry!$J$869="","",[2]Entry!$J$869)</f>
        <v/>
      </c>
      <c r="U866">
        <f>IF([2]Entry!$K$869="","",[2]Entry!$K$869)</f>
        <v/>
      </c>
      <c r="V866">
        <f>IF([2]Entry!$L$869="","",[2]Entry!$L$869)</f>
        <v/>
      </c>
      <c r="W866">
        <f>IF([2]Entry!$M$869="","",[2]Entry!$M$869)</f>
        <v/>
      </c>
      <c r="X866">
        <f>IF([2]Entry!$N$869="","",[2]Entry!$N$869)</f>
        <v/>
      </c>
      <c r="Y866">
        <f>IF([2]Entry!$R$869="","",[2]Entry!$R$869)</f>
        <v/>
      </c>
    </row>
    <row r="867">
      <c r="P867">
        <f>IF([2]Entry!$C$870="","",[2]Entry!$C$870)</f>
        <v/>
      </c>
      <c r="Q867">
        <f>IF([2]Entry!$D$870="","",[2]Entry!$D$870)</f>
        <v/>
      </c>
      <c r="R867">
        <f>IF([2]Entry!$E$870="","",[2]Entry!$E$870)</f>
        <v/>
      </c>
      <c r="S867">
        <f>IF([2]Entry!$G$870="","",[2]Entry!$G$870)</f>
        <v/>
      </c>
      <c r="T867">
        <f>IF([2]Entry!$J$870="","",[2]Entry!$J$870)</f>
        <v/>
      </c>
      <c r="U867">
        <f>IF([2]Entry!$K$870="","",[2]Entry!$K$870)</f>
        <v/>
      </c>
      <c r="V867">
        <f>IF([2]Entry!$L$870="","",[2]Entry!$L$870)</f>
        <v/>
      </c>
      <c r="W867">
        <f>IF([2]Entry!$M$870="","",[2]Entry!$M$870)</f>
        <v/>
      </c>
      <c r="X867">
        <f>IF([2]Entry!$N$870="","",[2]Entry!$N$870)</f>
        <v/>
      </c>
      <c r="Y867">
        <f>IF([2]Entry!$R$870="","",[2]Entry!$R$870)</f>
        <v/>
      </c>
    </row>
    <row r="868">
      <c r="P868">
        <f>IF([2]Entry!$C$871="","",[2]Entry!$C$871)</f>
        <v/>
      </c>
      <c r="Q868">
        <f>IF([2]Entry!$D$871="","",[2]Entry!$D$871)</f>
        <v/>
      </c>
      <c r="R868">
        <f>IF([2]Entry!$E$871="","",[2]Entry!$E$871)</f>
        <v/>
      </c>
      <c r="S868">
        <f>IF([2]Entry!$G$871="","",[2]Entry!$G$871)</f>
        <v/>
      </c>
      <c r="T868">
        <f>IF([2]Entry!$J$871="","",[2]Entry!$J$871)</f>
        <v/>
      </c>
      <c r="U868">
        <f>IF([2]Entry!$K$871="","",[2]Entry!$K$871)</f>
        <v/>
      </c>
      <c r="V868">
        <f>IF([2]Entry!$L$871="","",[2]Entry!$L$871)</f>
        <v/>
      </c>
      <c r="W868">
        <f>IF([2]Entry!$M$871="","",[2]Entry!$M$871)</f>
        <v/>
      </c>
      <c r="X868">
        <f>IF([2]Entry!$N$871="","",[2]Entry!$N$871)</f>
        <v/>
      </c>
      <c r="Y868">
        <f>IF([2]Entry!$R$871="","",[2]Entry!$R$871)</f>
        <v/>
      </c>
    </row>
    <row r="869">
      <c r="P869">
        <f>IF([2]Entry!$C$872="","",[2]Entry!$C$872)</f>
        <v/>
      </c>
      <c r="Q869">
        <f>IF([2]Entry!$D$872="","",[2]Entry!$D$872)</f>
        <v/>
      </c>
      <c r="R869">
        <f>IF([2]Entry!$E$872="","",[2]Entry!$E$872)</f>
        <v/>
      </c>
      <c r="S869">
        <f>IF([2]Entry!$G$872="","",[2]Entry!$G$872)</f>
        <v/>
      </c>
      <c r="T869">
        <f>IF([2]Entry!$J$872="","",[2]Entry!$J$872)</f>
        <v/>
      </c>
      <c r="U869">
        <f>IF([2]Entry!$K$872="","",[2]Entry!$K$872)</f>
        <v/>
      </c>
      <c r="V869">
        <f>IF([2]Entry!$L$872="","",[2]Entry!$L$872)</f>
        <v/>
      </c>
      <c r="W869">
        <f>IF([2]Entry!$M$872="","",[2]Entry!$M$872)</f>
        <v/>
      </c>
      <c r="X869">
        <f>IF([2]Entry!$N$872="","",[2]Entry!$N$872)</f>
        <v/>
      </c>
      <c r="Y869">
        <f>IF([2]Entry!$R$872="","",[2]Entry!$R$872)</f>
        <v/>
      </c>
    </row>
    <row r="870">
      <c r="P870">
        <f>IF([2]Entry!$C$873="","",[2]Entry!$C$873)</f>
        <v/>
      </c>
      <c r="Q870">
        <f>IF([2]Entry!$D$873="","",[2]Entry!$D$873)</f>
        <v/>
      </c>
      <c r="R870">
        <f>IF([2]Entry!$E$873="","",[2]Entry!$E$873)</f>
        <v/>
      </c>
      <c r="S870">
        <f>IF([2]Entry!$G$873="","",[2]Entry!$G$873)</f>
        <v/>
      </c>
      <c r="T870">
        <f>IF([2]Entry!$J$873="","",[2]Entry!$J$873)</f>
        <v/>
      </c>
      <c r="U870">
        <f>IF([2]Entry!$K$873="","",[2]Entry!$K$873)</f>
        <v/>
      </c>
      <c r="V870">
        <f>IF([2]Entry!$L$873="","",[2]Entry!$L$873)</f>
        <v/>
      </c>
      <c r="W870">
        <f>IF([2]Entry!$M$873="","",[2]Entry!$M$873)</f>
        <v/>
      </c>
      <c r="X870">
        <f>IF([2]Entry!$N$873="","",[2]Entry!$N$873)</f>
        <v/>
      </c>
      <c r="Y870">
        <f>IF([2]Entry!$R$873="","",[2]Entry!$R$873)</f>
        <v/>
      </c>
    </row>
    <row r="871">
      <c r="P871">
        <f>IF([2]Entry!$C$874="","",[2]Entry!$C$874)</f>
        <v/>
      </c>
      <c r="Q871">
        <f>IF([2]Entry!$D$874="","",[2]Entry!$D$874)</f>
        <v/>
      </c>
      <c r="R871">
        <f>IF([2]Entry!$E$874="","",[2]Entry!$E$874)</f>
        <v/>
      </c>
      <c r="S871">
        <f>IF([2]Entry!$G$874="","",[2]Entry!$G$874)</f>
        <v/>
      </c>
      <c r="T871">
        <f>IF([2]Entry!$J$874="","",[2]Entry!$J$874)</f>
        <v/>
      </c>
      <c r="U871">
        <f>IF([2]Entry!$K$874="","",[2]Entry!$K$874)</f>
        <v/>
      </c>
      <c r="V871">
        <f>IF([2]Entry!$L$874="","",[2]Entry!$L$874)</f>
        <v/>
      </c>
      <c r="W871">
        <f>IF([2]Entry!$M$874="","",[2]Entry!$M$874)</f>
        <v/>
      </c>
      <c r="X871">
        <f>IF([2]Entry!$N$874="","",[2]Entry!$N$874)</f>
        <v/>
      </c>
      <c r="Y871">
        <f>IF([2]Entry!$R$874="","",[2]Entry!$R$874)</f>
        <v/>
      </c>
    </row>
    <row r="872">
      <c r="P872">
        <f>IF([2]Entry!$C$875="","",[2]Entry!$C$875)</f>
        <v/>
      </c>
      <c r="Q872">
        <f>IF([2]Entry!$D$875="","",[2]Entry!$D$875)</f>
        <v/>
      </c>
      <c r="R872">
        <f>IF([2]Entry!$E$875="","",[2]Entry!$E$875)</f>
        <v/>
      </c>
      <c r="S872">
        <f>IF([2]Entry!$G$875="","",[2]Entry!$G$875)</f>
        <v/>
      </c>
      <c r="T872">
        <f>IF([2]Entry!$J$875="","",[2]Entry!$J$875)</f>
        <v/>
      </c>
      <c r="U872">
        <f>IF([2]Entry!$K$875="","",[2]Entry!$K$875)</f>
        <v/>
      </c>
      <c r="V872">
        <f>IF([2]Entry!$L$875="","",[2]Entry!$L$875)</f>
        <v/>
      </c>
      <c r="W872">
        <f>IF([2]Entry!$M$875="","",[2]Entry!$M$875)</f>
        <v/>
      </c>
      <c r="X872">
        <f>IF([2]Entry!$N$875="","",[2]Entry!$N$875)</f>
        <v/>
      </c>
      <c r="Y872">
        <f>IF([2]Entry!$R$875="","",[2]Entry!$R$875)</f>
        <v/>
      </c>
    </row>
    <row r="873">
      <c r="P873">
        <f>IF([2]Entry!$C$876="","",[2]Entry!$C$876)</f>
        <v/>
      </c>
      <c r="Q873">
        <f>IF([2]Entry!$D$876="","",[2]Entry!$D$876)</f>
        <v/>
      </c>
      <c r="R873">
        <f>IF([2]Entry!$E$876="","",[2]Entry!$E$876)</f>
        <v/>
      </c>
      <c r="S873">
        <f>IF([2]Entry!$G$876="","",[2]Entry!$G$876)</f>
        <v/>
      </c>
      <c r="T873">
        <f>IF([2]Entry!$J$876="","",[2]Entry!$J$876)</f>
        <v/>
      </c>
      <c r="U873">
        <f>IF([2]Entry!$K$876="","",[2]Entry!$K$876)</f>
        <v/>
      </c>
      <c r="V873">
        <f>IF([2]Entry!$L$876="","",[2]Entry!$L$876)</f>
        <v/>
      </c>
      <c r="W873">
        <f>IF([2]Entry!$M$876="","",[2]Entry!$M$876)</f>
        <v/>
      </c>
      <c r="X873">
        <f>IF([2]Entry!$N$876="","",[2]Entry!$N$876)</f>
        <v/>
      </c>
      <c r="Y873">
        <f>IF([2]Entry!$R$876="","",[2]Entry!$R$876)</f>
        <v/>
      </c>
    </row>
    <row r="874">
      <c r="P874">
        <f>IF([2]Entry!$C$877="","",[2]Entry!$C$877)</f>
        <v/>
      </c>
      <c r="Q874">
        <f>IF([2]Entry!$D$877="","",[2]Entry!$D$877)</f>
        <v/>
      </c>
      <c r="R874">
        <f>IF([2]Entry!$E$877="","",[2]Entry!$E$877)</f>
        <v/>
      </c>
      <c r="S874">
        <f>IF([2]Entry!$G$877="","",[2]Entry!$G$877)</f>
        <v/>
      </c>
      <c r="T874">
        <f>IF([2]Entry!$J$877="","",[2]Entry!$J$877)</f>
        <v/>
      </c>
      <c r="U874">
        <f>IF([2]Entry!$K$877="","",[2]Entry!$K$877)</f>
        <v/>
      </c>
      <c r="V874">
        <f>IF([2]Entry!$L$877="","",[2]Entry!$L$877)</f>
        <v/>
      </c>
      <c r="W874">
        <f>IF([2]Entry!$M$877="","",[2]Entry!$M$877)</f>
        <v/>
      </c>
      <c r="X874">
        <f>IF([2]Entry!$N$877="","",[2]Entry!$N$877)</f>
        <v/>
      </c>
      <c r="Y874">
        <f>IF([2]Entry!$R$877="","",[2]Entry!$R$877)</f>
        <v/>
      </c>
    </row>
    <row r="875">
      <c r="P875">
        <f>IF([2]Entry!$C$878="","",[2]Entry!$C$878)</f>
        <v/>
      </c>
      <c r="Q875">
        <f>IF([2]Entry!$D$878="","",[2]Entry!$D$878)</f>
        <v/>
      </c>
      <c r="R875">
        <f>IF([2]Entry!$E$878="","",[2]Entry!$E$878)</f>
        <v/>
      </c>
      <c r="S875">
        <f>IF([2]Entry!$G$878="","",[2]Entry!$G$878)</f>
        <v/>
      </c>
      <c r="T875">
        <f>IF([2]Entry!$J$878="","",[2]Entry!$J$878)</f>
        <v/>
      </c>
      <c r="U875">
        <f>IF([2]Entry!$K$878="","",[2]Entry!$K$878)</f>
        <v/>
      </c>
      <c r="V875">
        <f>IF([2]Entry!$L$878="","",[2]Entry!$L$878)</f>
        <v/>
      </c>
      <c r="W875">
        <f>IF([2]Entry!$M$878="","",[2]Entry!$M$878)</f>
        <v/>
      </c>
      <c r="X875">
        <f>IF([2]Entry!$N$878="","",[2]Entry!$N$878)</f>
        <v/>
      </c>
      <c r="Y875">
        <f>IF([2]Entry!$R$878="","",[2]Entry!$R$878)</f>
        <v/>
      </c>
    </row>
    <row r="876">
      <c r="P876">
        <f>IF([2]Entry!$C$879="","",[2]Entry!$C$879)</f>
        <v/>
      </c>
      <c r="Q876">
        <f>IF([2]Entry!$D$879="","",[2]Entry!$D$879)</f>
        <v/>
      </c>
      <c r="R876">
        <f>IF([2]Entry!$E$879="","",[2]Entry!$E$879)</f>
        <v/>
      </c>
      <c r="S876">
        <f>IF([2]Entry!$G$879="","",[2]Entry!$G$879)</f>
        <v/>
      </c>
      <c r="T876">
        <f>IF([2]Entry!$J$879="","",[2]Entry!$J$879)</f>
        <v/>
      </c>
      <c r="U876">
        <f>IF([2]Entry!$K$879="","",[2]Entry!$K$879)</f>
        <v/>
      </c>
      <c r="V876">
        <f>IF([2]Entry!$L$879="","",[2]Entry!$L$879)</f>
        <v/>
      </c>
      <c r="W876">
        <f>IF([2]Entry!$M$879="","",[2]Entry!$M$879)</f>
        <v/>
      </c>
      <c r="X876">
        <f>IF([2]Entry!$N$879="","",[2]Entry!$N$879)</f>
        <v/>
      </c>
      <c r="Y876">
        <f>IF([2]Entry!$R$879="","",[2]Entry!$R$879)</f>
        <v/>
      </c>
    </row>
    <row r="877">
      <c r="P877">
        <f>IF([2]Entry!$C$880="","",[2]Entry!$C$880)</f>
        <v/>
      </c>
      <c r="Q877">
        <f>IF([2]Entry!$D$880="","",[2]Entry!$D$880)</f>
        <v/>
      </c>
      <c r="R877">
        <f>IF([2]Entry!$E$880="","",[2]Entry!$E$880)</f>
        <v/>
      </c>
      <c r="S877">
        <f>IF([2]Entry!$G$880="","",[2]Entry!$G$880)</f>
        <v/>
      </c>
      <c r="T877">
        <f>IF([2]Entry!$J$880="","",[2]Entry!$J$880)</f>
        <v/>
      </c>
      <c r="U877">
        <f>IF([2]Entry!$K$880="","",[2]Entry!$K$880)</f>
        <v/>
      </c>
      <c r="V877">
        <f>IF([2]Entry!$L$880="","",[2]Entry!$L$880)</f>
        <v/>
      </c>
      <c r="W877">
        <f>IF([2]Entry!$M$880="","",[2]Entry!$M$880)</f>
        <v/>
      </c>
      <c r="X877">
        <f>IF([2]Entry!$N$880="","",[2]Entry!$N$880)</f>
        <v/>
      </c>
      <c r="Y877">
        <f>IF([2]Entry!$R$880="","",[2]Entry!$R$880)</f>
        <v/>
      </c>
    </row>
    <row r="878">
      <c r="P878">
        <f>IF([2]Entry!$C$881="","",[2]Entry!$C$881)</f>
        <v/>
      </c>
      <c r="Q878">
        <f>IF([2]Entry!$D$881="","",[2]Entry!$D$881)</f>
        <v/>
      </c>
      <c r="R878">
        <f>IF([2]Entry!$E$881="","",[2]Entry!$E$881)</f>
        <v/>
      </c>
      <c r="S878">
        <f>IF([2]Entry!$G$881="","",[2]Entry!$G$881)</f>
        <v/>
      </c>
      <c r="T878">
        <f>IF([2]Entry!$J$881="","",[2]Entry!$J$881)</f>
        <v/>
      </c>
      <c r="U878">
        <f>IF([2]Entry!$K$881="","",[2]Entry!$K$881)</f>
        <v/>
      </c>
      <c r="V878">
        <f>IF([2]Entry!$L$881="","",[2]Entry!$L$881)</f>
        <v/>
      </c>
      <c r="W878">
        <f>IF([2]Entry!$M$881="","",[2]Entry!$M$881)</f>
        <v/>
      </c>
      <c r="X878">
        <f>IF([2]Entry!$N$881="","",[2]Entry!$N$881)</f>
        <v/>
      </c>
      <c r="Y878">
        <f>IF([2]Entry!$R$881="","",[2]Entry!$R$881)</f>
        <v/>
      </c>
    </row>
    <row r="879">
      <c r="P879">
        <f>IF([2]Entry!$C$882="","",[2]Entry!$C$882)</f>
        <v/>
      </c>
      <c r="Q879">
        <f>IF([2]Entry!$D$882="","",[2]Entry!$D$882)</f>
        <v/>
      </c>
      <c r="R879">
        <f>IF([2]Entry!$E$882="","",[2]Entry!$E$882)</f>
        <v/>
      </c>
      <c r="S879">
        <f>IF([2]Entry!$G$882="","",[2]Entry!$G$882)</f>
        <v/>
      </c>
      <c r="T879">
        <f>IF([2]Entry!$J$882="","",[2]Entry!$J$882)</f>
        <v/>
      </c>
      <c r="U879">
        <f>IF([2]Entry!$K$882="","",[2]Entry!$K$882)</f>
        <v/>
      </c>
      <c r="V879">
        <f>IF([2]Entry!$L$882="","",[2]Entry!$L$882)</f>
        <v/>
      </c>
      <c r="W879">
        <f>IF([2]Entry!$M$882="","",[2]Entry!$M$882)</f>
        <v/>
      </c>
      <c r="X879">
        <f>IF([2]Entry!$N$882="","",[2]Entry!$N$882)</f>
        <v/>
      </c>
      <c r="Y879">
        <f>IF([2]Entry!$R$882="","",[2]Entry!$R$882)</f>
        <v/>
      </c>
    </row>
    <row r="880">
      <c r="P880">
        <f>IF([2]Entry!$C$883="","",[2]Entry!$C$883)</f>
        <v/>
      </c>
      <c r="Q880">
        <f>IF([2]Entry!$D$883="","",[2]Entry!$D$883)</f>
        <v/>
      </c>
      <c r="R880">
        <f>IF([2]Entry!$E$883="","",[2]Entry!$E$883)</f>
        <v/>
      </c>
      <c r="S880">
        <f>IF([2]Entry!$G$883="","",[2]Entry!$G$883)</f>
        <v/>
      </c>
      <c r="T880">
        <f>IF([2]Entry!$J$883="","",[2]Entry!$J$883)</f>
        <v/>
      </c>
      <c r="U880">
        <f>IF([2]Entry!$K$883="","",[2]Entry!$K$883)</f>
        <v/>
      </c>
      <c r="V880">
        <f>IF([2]Entry!$L$883="","",[2]Entry!$L$883)</f>
        <v/>
      </c>
      <c r="W880">
        <f>IF([2]Entry!$M$883="","",[2]Entry!$M$883)</f>
        <v/>
      </c>
      <c r="X880">
        <f>IF([2]Entry!$N$883="","",[2]Entry!$N$883)</f>
        <v/>
      </c>
      <c r="Y880">
        <f>IF([2]Entry!$R$883="","",[2]Entry!$R$883)</f>
        <v/>
      </c>
    </row>
    <row r="881">
      <c r="P881">
        <f>IF([2]Entry!$C$884="","",[2]Entry!$C$884)</f>
        <v/>
      </c>
      <c r="Q881">
        <f>IF([2]Entry!$D$884="","",[2]Entry!$D$884)</f>
        <v/>
      </c>
      <c r="R881">
        <f>IF([2]Entry!$E$884="","",[2]Entry!$E$884)</f>
        <v/>
      </c>
      <c r="S881">
        <f>IF([2]Entry!$G$884="","",[2]Entry!$G$884)</f>
        <v/>
      </c>
      <c r="T881">
        <f>IF([2]Entry!$J$884="","",[2]Entry!$J$884)</f>
        <v/>
      </c>
      <c r="U881">
        <f>IF([2]Entry!$K$884="","",[2]Entry!$K$884)</f>
        <v/>
      </c>
      <c r="V881">
        <f>IF([2]Entry!$L$884="","",[2]Entry!$L$884)</f>
        <v/>
      </c>
      <c r="W881">
        <f>IF([2]Entry!$M$884="","",[2]Entry!$M$884)</f>
        <v/>
      </c>
      <c r="X881">
        <f>IF([2]Entry!$N$884="","",[2]Entry!$N$884)</f>
        <v/>
      </c>
      <c r="Y881">
        <f>IF([2]Entry!$R$884="","",[2]Entry!$R$884)</f>
        <v/>
      </c>
    </row>
    <row r="882">
      <c r="P882">
        <f>IF([2]Entry!$C$885="","",[2]Entry!$C$885)</f>
        <v/>
      </c>
      <c r="Q882">
        <f>IF([2]Entry!$D$885="","",[2]Entry!$D$885)</f>
        <v/>
      </c>
      <c r="R882">
        <f>IF([2]Entry!$E$885="","",[2]Entry!$E$885)</f>
        <v/>
      </c>
      <c r="S882">
        <f>IF([2]Entry!$G$885="","",[2]Entry!$G$885)</f>
        <v/>
      </c>
      <c r="T882">
        <f>IF([2]Entry!$J$885="","",[2]Entry!$J$885)</f>
        <v/>
      </c>
      <c r="U882">
        <f>IF([2]Entry!$K$885="","",[2]Entry!$K$885)</f>
        <v/>
      </c>
      <c r="V882">
        <f>IF([2]Entry!$L$885="","",[2]Entry!$L$885)</f>
        <v/>
      </c>
      <c r="W882">
        <f>IF([2]Entry!$M$885="","",[2]Entry!$M$885)</f>
        <v/>
      </c>
      <c r="X882">
        <f>IF([2]Entry!$N$885="","",[2]Entry!$N$885)</f>
        <v/>
      </c>
      <c r="Y882">
        <f>IF([2]Entry!$R$885="","",[2]Entry!$R$885)</f>
        <v/>
      </c>
    </row>
    <row r="883">
      <c r="P883">
        <f>IF([2]Entry!$C$886="","",[2]Entry!$C$886)</f>
        <v/>
      </c>
      <c r="Q883">
        <f>IF([2]Entry!$D$886="","",[2]Entry!$D$886)</f>
        <v/>
      </c>
      <c r="R883">
        <f>IF([2]Entry!$E$886="","",[2]Entry!$E$886)</f>
        <v/>
      </c>
      <c r="S883">
        <f>IF([2]Entry!$G$886="","",[2]Entry!$G$886)</f>
        <v/>
      </c>
      <c r="T883">
        <f>IF([2]Entry!$J$886="","",[2]Entry!$J$886)</f>
        <v/>
      </c>
      <c r="U883">
        <f>IF([2]Entry!$K$886="","",[2]Entry!$K$886)</f>
        <v/>
      </c>
      <c r="V883">
        <f>IF([2]Entry!$L$886="","",[2]Entry!$L$886)</f>
        <v/>
      </c>
      <c r="W883">
        <f>IF([2]Entry!$M$886="","",[2]Entry!$M$886)</f>
        <v/>
      </c>
      <c r="X883">
        <f>IF([2]Entry!$N$886="","",[2]Entry!$N$886)</f>
        <v/>
      </c>
      <c r="Y883">
        <f>IF([2]Entry!$R$886="","",[2]Entry!$R$886)</f>
        <v/>
      </c>
    </row>
    <row r="884">
      <c r="P884">
        <f>IF([2]Entry!$C$887="","",[2]Entry!$C$887)</f>
        <v/>
      </c>
      <c r="Q884">
        <f>IF([2]Entry!$D$887="","",[2]Entry!$D$887)</f>
        <v/>
      </c>
      <c r="R884">
        <f>IF([2]Entry!$E$887="","",[2]Entry!$E$887)</f>
        <v/>
      </c>
      <c r="S884">
        <f>IF([2]Entry!$G$887="","",[2]Entry!$G$887)</f>
        <v/>
      </c>
      <c r="T884">
        <f>IF([2]Entry!$J$887="","",[2]Entry!$J$887)</f>
        <v/>
      </c>
      <c r="U884">
        <f>IF([2]Entry!$K$887="","",[2]Entry!$K$887)</f>
        <v/>
      </c>
      <c r="V884">
        <f>IF([2]Entry!$L$887="","",[2]Entry!$L$887)</f>
        <v/>
      </c>
      <c r="W884">
        <f>IF([2]Entry!$M$887="","",[2]Entry!$M$887)</f>
        <v/>
      </c>
      <c r="X884">
        <f>IF([2]Entry!$N$887="","",[2]Entry!$N$887)</f>
        <v/>
      </c>
      <c r="Y884">
        <f>IF([2]Entry!$R$887="","",[2]Entry!$R$887)</f>
        <v/>
      </c>
    </row>
    <row r="885">
      <c r="P885">
        <f>IF([2]Entry!$C$888="","",[2]Entry!$C$888)</f>
        <v/>
      </c>
      <c r="Q885">
        <f>IF([2]Entry!$D$888="","",[2]Entry!$D$888)</f>
        <v/>
      </c>
      <c r="R885">
        <f>IF([2]Entry!$E$888="","",[2]Entry!$E$888)</f>
        <v/>
      </c>
      <c r="S885">
        <f>IF([2]Entry!$G$888="","",[2]Entry!$G$888)</f>
        <v/>
      </c>
      <c r="T885">
        <f>IF([2]Entry!$J$888="","",[2]Entry!$J$888)</f>
        <v/>
      </c>
      <c r="U885">
        <f>IF([2]Entry!$K$888="","",[2]Entry!$K$888)</f>
        <v/>
      </c>
      <c r="V885">
        <f>IF([2]Entry!$L$888="","",[2]Entry!$L$888)</f>
        <v/>
      </c>
      <c r="W885">
        <f>IF([2]Entry!$M$888="","",[2]Entry!$M$888)</f>
        <v/>
      </c>
      <c r="X885">
        <f>IF([2]Entry!$N$888="","",[2]Entry!$N$888)</f>
        <v/>
      </c>
      <c r="Y885">
        <f>IF([2]Entry!$R$888="","",[2]Entry!$R$888)</f>
        <v/>
      </c>
    </row>
    <row r="886">
      <c r="P886">
        <f>IF([2]Entry!$C$889="","",[2]Entry!$C$889)</f>
        <v/>
      </c>
      <c r="Q886">
        <f>IF([2]Entry!$D$889="","",[2]Entry!$D$889)</f>
        <v/>
      </c>
      <c r="R886">
        <f>IF([2]Entry!$E$889="","",[2]Entry!$E$889)</f>
        <v/>
      </c>
      <c r="S886">
        <f>IF([2]Entry!$G$889="","",[2]Entry!$G$889)</f>
        <v/>
      </c>
      <c r="T886">
        <f>IF([2]Entry!$J$889="","",[2]Entry!$J$889)</f>
        <v/>
      </c>
      <c r="U886">
        <f>IF([2]Entry!$K$889="","",[2]Entry!$K$889)</f>
        <v/>
      </c>
      <c r="V886">
        <f>IF([2]Entry!$L$889="","",[2]Entry!$L$889)</f>
        <v/>
      </c>
      <c r="W886">
        <f>IF([2]Entry!$M$889="","",[2]Entry!$M$889)</f>
        <v/>
      </c>
      <c r="X886">
        <f>IF([2]Entry!$N$889="","",[2]Entry!$N$889)</f>
        <v/>
      </c>
      <c r="Y886">
        <f>IF([2]Entry!$R$889="","",[2]Entry!$R$889)</f>
        <v/>
      </c>
    </row>
    <row r="887">
      <c r="P887">
        <f>IF([2]Entry!$C$890="","",[2]Entry!$C$890)</f>
        <v/>
      </c>
      <c r="Q887">
        <f>IF([2]Entry!$D$890="","",[2]Entry!$D$890)</f>
        <v/>
      </c>
      <c r="R887">
        <f>IF([2]Entry!$E$890="","",[2]Entry!$E$890)</f>
        <v/>
      </c>
      <c r="S887">
        <f>IF([2]Entry!$G$890="","",[2]Entry!$G$890)</f>
        <v/>
      </c>
      <c r="T887">
        <f>IF([2]Entry!$J$890="","",[2]Entry!$J$890)</f>
        <v/>
      </c>
      <c r="U887">
        <f>IF([2]Entry!$K$890="","",[2]Entry!$K$890)</f>
        <v/>
      </c>
      <c r="V887">
        <f>IF([2]Entry!$L$890="","",[2]Entry!$L$890)</f>
        <v/>
      </c>
      <c r="W887">
        <f>IF([2]Entry!$M$890="","",[2]Entry!$M$890)</f>
        <v/>
      </c>
      <c r="X887">
        <f>IF([2]Entry!$N$890="","",[2]Entry!$N$890)</f>
        <v/>
      </c>
      <c r="Y887">
        <f>IF([2]Entry!$R$890="","",[2]Entry!$R$890)</f>
        <v/>
      </c>
    </row>
    <row r="888">
      <c r="P888">
        <f>IF([2]Entry!$C$891="","",[2]Entry!$C$891)</f>
        <v/>
      </c>
      <c r="Q888">
        <f>IF([2]Entry!$D$891="","",[2]Entry!$D$891)</f>
        <v/>
      </c>
      <c r="R888">
        <f>IF([2]Entry!$E$891="","",[2]Entry!$E$891)</f>
        <v/>
      </c>
      <c r="S888">
        <f>IF([2]Entry!$G$891="","",[2]Entry!$G$891)</f>
        <v/>
      </c>
      <c r="T888">
        <f>IF([2]Entry!$J$891="","",[2]Entry!$J$891)</f>
        <v/>
      </c>
      <c r="U888">
        <f>IF([2]Entry!$K$891="","",[2]Entry!$K$891)</f>
        <v/>
      </c>
      <c r="V888">
        <f>IF([2]Entry!$L$891="","",[2]Entry!$L$891)</f>
        <v/>
      </c>
      <c r="W888">
        <f>IF([2]Entry!$M$891="","",[2]Entry!$M$891)</f>
        <v/>
      </c>
      <c r="X888">
        <f>IF([2]Entry!$N$891="","",[2]Entry!$N$891)</f>
        <v/>
      </c>
      <c r="Y888">
        <f>IF([2]Entry!$R$891="","",[2]Entry!$R$891)</f>
        <v/>
      </c>
    </row>
    <row r="889">
      <c r="P889">
        <f>IF([2]Entry!$C$892="","",[2]Entry!$C$892)</f>
        <v/>
      </c>
      <c r="Q889">
        <f>IF([2]Entry!$D$892="","",[2]Entry!$D$892)</f>
        <v/>
      </c>
      <c r="R889">
        <f>IF([2]Entry!$E$892="","",[2]Entry!$E$892)</f>
        <v/>
      </c>
      <c r="S889">
        <f>IF([2]Entry!$G$892="","",[2]Entry!$G$892)</f>
        <v/>
      </c>
      <c r="T889">
        <f>IF([2]Entry!$J$892="","",[2]Entry!$J$892)</f>
        <v/>
      </c>
      <c r="U889">
        <f>IF([2]Entry!$K$892="","",[2]Entry!$K$892)</f>
        <v/>
      </c>
      <c r="V889">
        <f>IF([2]Entry!$L$892="","",[2]Entry!$L$892)</f>
        <v/>
      </c>
      <c r="W889">
        <f>IF([2]Entry!$M$892="","",[2]Entry!$M$892)</f>
        <v/>
      </c>
      <c r="X889">
        <f>IF([2]Entry!$N$892="","",[2]Entry!$N$892)</f>
        <v/>
      </c>
      <c r="Y889">
        <f>IF([2]Entry!$R$892="","",[2]Entry!$R$892)</f>
        <v/>
      </c>
    </row>
    <row r="890">
      <c r="P890">
        <f>IF([2]Entry!$C$893="","",[2]Entry!$C$893)</f>
        <v/>
      </c>
      <c r="Q890">
        <f>IF([2]Entry!$D$893="","",[2]Entry!$D$893)</f>
        <v/>
      </c>
      <c r="R890">
        <f>IF([2]Entry!$E$893="","",[2]Entry!$E$893)</f>
        <v/>
      </c>
      <c r="S890">
        <f>IF([2]Entry!$G$893="","",[2]Entry!$G$893)</f>
        <v/>
      </c>
      <c r="T890">
        <f>IF([2]Entry!$J$893="","",[2]Entry!$J$893)</f>
        <v/>
      </c>
      <c r="U890">
        <f>IF([2]Entry!$K$893="","",[2]Entry!$K$893)</f>
        <v/>
      </c>
      <c r="V890">
        <f>IF([2]Entry!$L$893="","",[2]Entry!$L$893)</f>
        <v/>
      </c>
      <c r="W890">
        <f>IF([2]Entry!$M$893="","",[2]Entry!$M$893)</f>
        <v/>
      </c>
      <c r="X890">
        <f>IF([2]Entry!$N$893="","",[2]Entry!$N$893)</f>
        <v/>
      </c>
      <c r="Y890">
        <f>IF([2]Entry!$R$893="","",[2]Entry!$R$893)</f>
        <v/>
      </c>
    </row>
    <row r="891">
      <c r="P891">
        <f>IF([2]Entry!$C$894="","",[2]Entry!$C$894)</f>
        <v/>
      </c>
      <c r="Q891">
        <f>IF([2]Entry!$D$894="","",[2]Entry!$D$894)</f>
        <v/>
      </c>
      <c r="R891">
        <f>IF([2]Entry!$E$894="","",[2]Entry!$E$894)</f>
        <v/>
      </c>
      <c r="S891">
        <f>IF([2]Entry!$G$894="","",[2]Entry!$G$894)</f>
        <v/>
      </c>
      <c r="T891">
        <f>IF([2]Entry!$J$894="","",[2]Entry!$J$894)</f>
        <v/>
      </c>
      <c r="U891">
        <f>IF([2]Entry!$K$894="","",[2]Entry!$K$894)</f>
        <v/>
      </c>
      <c r="V891">
        <f>IF([2]Entry!$L$894="","",[2]Entry!$L$894)</f>
        <v/>
      </c>
      <c r="W891">
        <f>IF([2]Entry!$M$894="","",[2]Entry!$M$894)</f>
        <v/>
      </c>
      <c r="X891">
        <f>IF([2]Entry!$N$894="","",[2]Entry!$N$894)</f>
        <v/>
      </c>
      <c r="Y891">
        <f>IF([2]Entry!$R$894="","",[2]Entry!$R$894)</f>
        <v/>
      </c>
    </row>
    <row r="892">
      <c r="P892">
        <f>IF([2]Entry!$C$895="","",[2]Entry!$C$895)</f>
        <v/>
      </c>
      <c r="Q892">
        <f>IF([2]Entry!$D$895="","",[2]Entry!$D$895)</f>
        <v/>
      </c>
      <c r="R892">
        <f>IF([2]Entry!$E$895="","",[2]Entry!$E$895)</f>
        <v/>
      </c>
      <c r="S892">
        <f>IF([2]Entry!$G$895="","",[2]Entry!$G$895)</f>
        <v/>
      </c>
      <c r="T892">
        <f>IF([2]Entry!$J$895="","",[2]Entry!$J$895)</f>
        <v/>
      </c>
      <c r="U892">
        <f>IF([2]Entry!$K$895="","",[2]Entry!$K$895)</f>
        <v/>
      </c>
      <c r="V892">
        <f>IF([2]Entry!$L$895="","",[2]Entry!$L$895)</f>
        <v/>
      </c>
      <c r="W892">
        <f>IF([2]Entry!$M$895="","",[2]Entry!$M$895)</f>
        <v/>
      </c>
      <c r="X892">
        <f>IF([2]Entry!$N$895="","",[2]Entry!$N$895)</f>
        <v/>
      </c>
      <c r="Y892">
        <f>IF([2]Entry!$R$895="","",[2]Entry!$R$895)</f>
        <v/>
      </c>
    </row>
    <row r="893">
      <c r="P893">
        <f>IF([2]Entry!$C$896="","",[2]Entry!$C$896)</f>
        <v/>
      </c>
      <c r="Q893">
        <f>IF([2]Entry!$D$896="","",[2]Entry!$D$896)</f>
        <v/>
      </c>
      <c r="R893">
        <f>IF([2]Entry!$E$896="","",[2]Entry!$E$896)</f>
        <v/>
      </c>
      <c r="S893">
        <f>IF([2]Entry!$G$896="","",[2]Entry!$G$896)</f>
        <v/>
      </c>
      <c r="T893">
        <f>IF([2]Entry!$J$896="","",[2]Entry!$J$896)</f>
        <v/>
      </c>
      <c r="U893">
        <f>IF([2]Entry!$K$896="","",[2]Entry!$K$896)</f>
        <v/>
      </c>
      <c r="V893">
        <f>IF([2]Entry!$L$896="","",[2]Entry!$L$896)</f>
        <v/>
      </c>
      <c r="W893">
        <f>IF([2]Entry!$M$896="","",[2]Entry!$M$896)</f>
        <v/>
      </c>
      <c r="X893">
        <f>IF([2]Entry!$N$896="","",[2]Entry!$N$896)</f>
        <v/>
      </c>
      <c r="Y893">
        <f>IF([2]Entry!$R$896="","",[2]Entry!$R$896)</f>
        <v/>
      </c>
    </row>
    <row r="894">
      <c r="P894">
        <f>IF([2]Entry!$C$897="","",[2]Entry!$C$897)</f>
        <v/>
      </c>
      <c r="Q894">
        <f>IF([2]Entry!$D$897="","",[2]Entry!$D$897)</f>
        <v/>
      </c>
      <c r="R894">
        <f>IF([2]Entry!$E$897="","",[2]Entry!$E$897)</f>
        <v/>
      </c>
      <c r="S894">
        <f>IF([2]Entry!$G$897="","",[2]Entry!$G$897)</f>
        <v/>
      </c>
      <c r="T894">
        <f>IF([2]Entry!$J$897="","",[2]Entry!$J$897)</f>
        <v/>
      </c>
      <c r="U894">
        <f>IF([2]Entry!$K$897="","",[2]Entry!$K$897)</f>
        <v/>
      </c>
      <c r="V894">
        <f>IF([2]Entry!$L$897="","",[2]Entry!$L$897)</f>
        <v/>
      </c>
      <c r="W894">
        <f>IF([2]Entry!$M$897="","",[2]Entry!$M$897)</f>
        <v/>
      </c>
      <c r="X894">
        <f>IF([2]Entry!$N$897="","",[2]Entry!$N$897)</f>
        <v/>
      </c>
      <c r="Y894">
        <f>IF([2]Entry!$R$897="","",[2]Entry!$R$897)</f>
        <v/>
      </c>
    </row>
    <row r="895">
      <c r="P895">
        <f>IF([2]Entry!$C$898="","",[2]Entry!$C$898)</f>
        <v/>
      </c>
      <c r="Q895">
        <f>IF([2]Entry!$D$898="","",[2]Entry!$D$898)</f>
        <v/>
      </c>
      <c r="R895">
        <f>IF([2]Entry!$E$898="","",[2]Entry!$E$898)</f>
        <v/>
      </c>
      <c r="S895">
        <f>IF([2]Entry!$G$898="","",[2]Entry!$G$898)</f>
        <v/>
      </c>
      <c r="T895">
        <f>IF([2]Entry!$J$898="","",[2]Entry!$J$898)</f>
        <v/>
      </c>
      <c r="U895">
        <f>IF([2]Entry!$K$898="","",[2]Entry!$K$898)</f>
        <v/>
      </c>
      <c r="V895">
        <f>IF([2]Entry!$L$898="","",[2]Entry!$L$898)</f>
        <v/>
      </c>
      <c r="W895">
        <f>IF([2]Entry!$M$898="","",[2]Entry!$M$898)</f>
        <v/>
      </c>
      <c r="X895">
        <f>IF([2]Entry!$N$898="","",[2]Entry!$N$898)</f>
        <v/>
      </c>
      <c r="Y895">
        <f>IF([2]Entry!$R$898="","",[2]Entry!$R$898)</f>
        <v/>
      </c>
    </row>
    <row r="896">
      <c r="P896">
        <f>IF([2]Entry!$C$899="","",[2]Entry!$C$899)</f>
        <v/>
      </c>
      <c r="Q896">
        <f>IF([2]Entry!$D$899="","",[2]Entry!$D$899)</f>
        <v/>
      </c>
      <c r="R896">
        <f>IF([2]Entry!$E$899="","",[2]Entry!$E$899)</f>
        <v/>
      </c>
      <c r="S896">
        <f>IF([2]Entry!$G$899="","",[2]Entry!$G$899)</f>
        <v/>
      </c>
      <c r="T896">
        <f>IF([2]Entry!$J$899="","",[2]Entry!$J$899)</f>
        <v/>
      </c>
      <c r="U896">
        <f>IF([2]Entry!$K$899="","",[2]Entry!$K$899)</f>
        <v/>
      </c>
      <c r="V896">
        <f>IF([2]Entry!$L$899="","",[2]Entry!$L$899)</f>
        <v/>
      </c>
      <c r="W896">
        <f>IF([2]Entry!$M$899="","",[2]Entry!$M$899)</f>
        <v/>
      </c>
      <c r="X896">
        <f>IF([2]Entry!$N$899="","",[2]Entry!$N$899)</f>
        <v/>
      </c>
      <c r="Y896">
        <f>IF([2]Entry!$R$899="","",[2]Entry!$R$899)</f>
        <v/>
      </c>
    </row>
    <row r="897">
      <c r="P897">
        <f>IF([2]Entry!$C$900="","",[2]Entry!$C$900)</f>
        <v/>
      </c>
      <c r="Q897">
        <f>IF([2]Entry!$D$900="","",[2]Entry!$D$900)</f>
        <v/>
      </c>
      <c r="R897">
        <f>IF([2]Entry!$E$900="","",[2]Entry!$E$900)</f>
        <v/>
      </c>
      <c r="S897">
        <f>IF([2]Entry!$G$900="","",[2]Entry!$G$900)</f>
        <v/>
      </c>
      <c r="T897">
        <f>IF([2]Entry!$J$900="","",[2]Entry!$J$900)</f>
        <v/>
      </c>
      <c r="U897">
        <f>IF([2]Entry!$K$900="","",[2]Entry!$K$900)</f>
        <v/>
      </c>
      <c r="V897">
        <f>IF([2]Entry!$L$900="","",[2]Entry!$L$900)</f>
        <v/>
      </c>
      <c r="W897">
        <f>IF([2]Entry!$M$900="","",[2]Entry!$M$900)</f>
        <v/>
      </c>
      <c r="X897">
        <f>IF([2]Entry!$N$900="","",[2]Entry!$N$900)</f>
        <v/>
      </c>
      <c r="Y897">
        <f>IF([2]Entry!$R$900="","",[2]Entry!$R$900)</f>
        <v/>
      </c>
    </row>
    <row r="898">
      <c r="P898">
        <f>IF([2]Entry!$C$901="","",[2]Entry!$C$901)</f>
        <v/>
      </c>
      <c r="Q898">
        <f>IF([2]Entry!$D$901="","",[2]Entry!$D$901)</f>
        <v/>
      </c>
      <c r="R898">
        <f>IF([2]Entry!$E$901="","",[2]Entry!$E$901)</f>
        <v/>
      </c>
      <c r="S898">
        <f>IF([2]Entry!$G$901="","",[2]Entry!$G$901)</f>
        <v/>
      </c>
      <c r="T898">
        <f>IF([2]Entry!$J$901="","",[2]Entry!$J$901)</f>
        <v/>
      </c>
      <c r="U898">
        <f>IF([2]Entry!$K$901="","",[2]Entry!$K$901)</f>
        <v/>
      </c>
      <c r="V898">
        <f>IF([2]Entry!$L$901="","",[2]Entry!$L$901)</f>
        <v/>
      </c>
      <c r="W898">
        <f>IF([2]Entry!$M$901="","",[2]Entry!$M$901)</f>
        <v/>
      </c>
      <c r="X898">
        <f>IF([2]Entry!$N$901="","",[2]Entry!$N$901)</f>
        <v/>
      </c>
      <c r="Y898">
        <f>IF([2]Entry!$R$901="","",[2]Entry!$R$901)</f>
        <v/>
      </c>
    </row>
    <row r="899">
      <c r="P899">
        <f>IF([2]Entry!$C$902="","",[2]Entry!$C$902)</f>
        <v/>
      </c>
      <c r="Q899">
        <f>IF([2]Entry!$D$902="","",[2]Entry!$D$902)</f>
        <v/>
      </c>
      <c r="R899">
        <f>IF([2]Entry!$E$902="","",[2]Entry!$E$902)</f>
        <v/>
      </c>
      <c r="S899">
        <f>IF([2]Entry!$G$902="","",[2]Entry!$G$902)</f>
        <v/>
      </c>
      <c r="T899">
        <f>IF([2]Entry!$J$902="","",[2]Entry!$J$902)</f>
        <v/>
      </c>
      <c r="U899">
        <f>IF([2]Entry!$K$902="","",[2]Entry!$K$902)</f>
        <v/>
      </c>
      <c r="V899">
        <f>IF([2]Entry!$L$902="","",[2]Entry!$L$902)</f>
        <v/>
      </c>
      <c r="W899">
        <f>IF([2]Entry!$M$902="","",[2]Entry!$M$902)</f>
        <v/>
      </c>
      <c r="X899">
        <f>IF([2]Entry!$N$902="","",[2]Entry!$N$902)</f>
        <v/>
      </c>
      <c r="Y899">
        <f>IF([2]Entry!$R$902="","",[2]Entry!$R$902)</f>
        <v/>
      </c>
    </row>
    <row r="900">
      <c r="P900">
        <f>IF([2]Entry!$C$903="","",[2]Entry!$C$903)</f>
        <v/>
      </c>
      <c r="Q900">
        <f>IF([2]Entry!$D$903="","",[2]Entry!$D$903)</f>
        <v/>
      </c>
      <c r="R900">
        <f>IF([2]Entry!$E$903="","",[2]Entry!$E$903)</f>
        <v/>
      </c>
      <c r="S900">
        <f>IF([2]Entry!$G$903="","",[2]Entry!$G$903)</f>
        <v/>
      </c>
      <c r="T900">
        <f>IF([2]Entry!$J$903="","",[2]Entry!$J$903)</f>
        <v/>
      </c>
      <c r="U900">
        <f>IF([2]Entry!$K$903="","",[2]Entry!$K$903)</f>
        <v/>
      </c>
      <c r="V900">
        <f>IF([2]Entry!$L$903="","",[2]Entry!$L$903)</f>
        <v/>
      </c>
      <c r="W900">
        <f>IF([2]Entry!$M$903="","",[2]Entry!$M$903)</f>
        <v/>
      </c>
      <c r="X900">
        <f>IF([2]Entry!$N$903="","",[2]Entry!$N$903)</f>
        <v/>
      </c>
      <c r="Y900">
        <f>IF([2]Entry!$R$903="","",[2]Entry!$R$903)</f>
        <v/>
      </c>
    </row>
    <row r="901">
      <c r="P901">
        <f>IF([2]Entry!$C$904="","",[2]Entry!$C$904)</f>
        <v/>
      </c>
      <c r="Q901">
        <f>IF([2]Entry!$D$904="","",[2]Entry!$D$904)</f>
        <v/>
      </c>
      <c r="R901">
        <f>IF([2]Entry!$E$904="","",[2]Entry!$E$904)</f>
        <v/>
      </c>
      <c r="S901">
        <f>IF([2]Entry!$G$904="","",[2]Entry!$G$904)</f>
        <v/>
      </c>
      <c r="T901">
        <f>IF([2]Entry!$J$904="","",[2]Entry!$J$904)</f>
        <v/>
      </c>
      <c r="U901">
        <f>IF([2]Entry!$K$904="","",[2]Entry!$K$904)</f>
        <v/>
      </c>
      <c r="V901">
        <f>IF([2]Entry!$L$904="","",[2]Entry!$L$904)</f>
        <v/>
      </c>
      <c r="W901">
        <f>IF([2]Entry!$M$904="","",[2]Entry!$M$904)</f>
        <v/>
      </c>
      <c r="X901">
        <f>IF([2]Entry!$N$904="","",[2]Entry!$N$904)</f>
        <v/>
      </c>
      <c r="Y901">
        <f>IF([2]Entry!$R$904="","",[2]Entry!$R$904)</f>
        <v/>
      </c>
    </row>
    <row r="902">
      <c r="P902">
        <f>IF([2]Entry!$C$905="","",[2]Entry!$C$905)</f>
        <v/>
      </c>
      <c r="Q902">
        <f>IF([2]Entry!$D$905="","",[2]Entry!$D$905)</f>
        <v/>
      </c>
      <c r="R902">
        <f>IF([2]Entry!$E$905="","",[2]Entry!$E$905)</f>
        <v/>
      </c>
      <c r="S902">
        <f>IF([2]Entry!$G$905="","",[2]Entry!$G$905)</f>
        <v/>
      </c>
      <c r="T902">
        <f>IF([2]Entry!$J$905="","",[2]Entry!$J$905)</f>
        <v/>
      </c>
      <c r="U902">
        <f>IF([2]Entry!$K$905="","",[2]Entry!$K$905)</f>
        <v/>
      </c>
      <c r="V902">
        <f>IF([2]Entry!$L$905="","",[2]Entry!$L$905)</f>
        <v/>
      </c>
      <c r="W902">
        <f>IF([2]Entry!$M$905="","",[2]Entry!$M$905)</f>
        <v/>
      </c>
      <c r="X902">
        <f>IF([2]Entry!$N$905="","",[2]Entry!$N$905)</f>
        <v/>
      </c>
      <c r="Y902">
        <f>IF([2]Entry!$R$905="","",[2]Entry!$R$905)</f>
        <v/>
      </c>
    </row>
    <row r="903">
      <c r="P903">
        <f>IF([2]Entry!$C$906="","",[2]Entry!$C$906)</f>
        <v/>
      </c>
      <c r="Q903">
        <f>IF([2]Entry!$D$906="","",[2]Entry!$D$906)</f>
        <v/>
      </c>
      <c r="R903">
        <f>IF([2]Entry!$E$906="","",[2]Entry!$E$906)</f>
        <v/>
      </c>
      <c r="S903">
        <f>IF([2]Entry!$G$906="","",[2]Entry!$G$906)</f>
        <v/>
      </c>
      <c r="T903">
        <f>IF([2]Entry!$J$906="","",[2]Entry!$J$906)</f>
        <v/>
      </c>
      <c r="U903">
        <f>IF([2]Entry!$K$906="","",[2]Entry!$K$906)</f>
        <v/>
      </c>
      <c r="V903">
        <f>IF([2]Entry!$L$906="","",[2]Entry!$L$906)</f>
        <v/>
      </c>
      <c r="W903">
        <f>IF([2]Entry!$M$906="","",[2]Entry!$M$906)</f>
        <v/>
      </c>
      <c r="X903">
        <f>IF([2]Entry!$N$906="","",[2]Entry!$N$906)</f>
        <v/>
      </c>
      <c r="Y903">
        <f>IF([2]Entry!$R$906="","",[2]Entry!$R$906)</f>
        <v/>
      </c>
    </row>
    <row r="904">
      <c r="P904">
        <f>IF([2]Entry!$C$907="","",[2]Entry!$C$907)</f>
        <v/>
      </c>
      <c r="Q904">
        <f>IF([2]Entry!$D$907="","",[2]Entry!$D$907)</f>
        <v/>
      </c>
      <c r="R904">
        <f>IF([2]Entry!$E$907="","",[2]Entry!$E$907)</f>
        <v/>
      </c>
      <c r="S904">
        <f>IF([2]Entry!$G$907="","",[2]Entry!$G$907)</f>
        <v/>
      </c>
      <c r="T904">
        <f>IF([2]Entry!$J$907="","",[2]Entry!$J$907)</f>
        <v/>
      </c>
      <c r="U904">
        <f>IF([2]Entry!$K$907="","",[2]Entry!$K$907)</f>
        <v/>
      </c>
      <c r="V904">
        <f>IF([2]Entry!$L$907="","",[2]Entry!$L$907)</f>
        <v/>
      </c>
      <c r="W904">
        <f>IF([2]Entry!$M$907="","",[2]Entry!$M$907)</f>
        <v/>
      </c>
      <c r="X904">
        <f>IF([2]Entry!$N$907="","",[2]Entry!$N$907)</f>
        <v/>
      </c>
      <c r="Y904">
        <f>IF([2]Entry!$R$907="","",[2]Entry!$R$907)</f>
        <v/>
      </c>
    </row>
    <row r="905">
      <c r="P905">
        <f>IF([2]Entry!$C$908="","",[2]Entry!$C$908)</f>
        <v/>
      </c>
      <c r="Q905">
        <f>IF([2]Entry!$D$908="","",[2]Entry!$D$908)</f>
        <v/>
      </c>
      <c r="R905">
        <f>IF([2]Entry!$E$908="","",[2]Entry!$E$908)</f>
        <v/>
      </c>
      <c r="S905">
        <f>IF([2]Entry!$G$908="","",[2]Entry!$G$908)</f>
        <v/>
      </c>
      <c r="T905">
        <f>IF([2]Entry!$J$908="","",[2]Entry!$J$908)</f>
        <v/>
      </c>
      <c r="U905">
        <f>IF([2]Entry!$K$908="","",[2]Entry!$K$908)</f>
        <v/>
      </c>
      <c r="V905">
        <f>IF([2]Entry!$L$908="","",[2]Entry!$L$908)</f>
        <v/>
      </c>
      <c r="W905">
        <f>IF([2]Entry!$M$908="","",[2]Entry!$M$908)</f>
        <v/>
      </c>
      <c r="X905">
        <f>IF([2]Entry!$N$908="","",[2]Entry!$N$908)</f>
        <v/>
      </c>
      <c r="Y905">
        <f>IF([2]Entry!$R$908="","",[2]Entry!$R$908)</f>
        <v/>
      </c>
    </row>
    <row r="906">
      <c r="P906">
        <f>IF([2]Entry!$C$909="","",[2]Entry!$C$909)</f>
        <v/>
      </c>
      <c r="Q906">
        <f>IF([2]Entry!$D$909="","",[2]Entry!$D$909)</f>
        <v/>
      </c>
      <c r="R906">
        <f>IF([2]Entry!$E$909="","",[2]Entry!$E$909)</f>
        <v/>
      </c>
      <c r="S906">
        <f>IF([2]Entry!$G$909="","",[2]Entry!$G$909)</f>
        <v/>
      </c>
      <c r="T906">
        <f>IF([2]Entry!$J$909="","",[2]Entry!$J$909)</f>
        <v/>
      </c>
      <c r="U906">
        <f>IF([2]Entry!$K$909="","",[2]Entry!$K$909)</f>
        <v/>
      </c>
      <c r="V906">
        <f>IF([2]Entry!$L$909="","",[2]Entry!$L$909)</f>
        <v/>
      </c>
      <c r="W906">
        <f>IF([2]Entry!$M$909="","",[2]Entry!$M$909)</f>
        <v/>
      </c>
      <c r="X906">
        <f>IF([2]Entry!$N$909="","",[2]Entry!$N$909)</f>
        <v/>
      </c>
      <c r="Y906">
        <f>IF([2]Entry!$R$909="","",[2]Entry!$R$909)</f>
        <v/>
      </c>
    </row>
    <row r="907">
      <c r="P907">
        <f>IF([2]Entry!$C$910="","",[2]Entry!$C$910)</f>
        <v/>
      </c>
      <c r="Q907">
        <f>IF([2]Entry!$D$910="","",[2]Entry!$D$910)</f>
        <v/>
      </c>
      <c r="R907">
        <f>IF([2]Entry!$E$910="","",[2]Entry!$E$910)</f>
        <v/>
      </c>
      <c r="S907">
        <f>IF([2]Entry!$G$910="","",[2]Entry!$G$910)</f>
        <v/>
      </c>
      <c r="T907">
        <f>IF([2]Entry!$J$910="","",[2]Entry!$J$910)</f>
        <v/>
      </c>
      <c r="U907">
        <f>IF([2]Entry!$K$910="","",[2]Entry!$K$910)</f>
        <v/>
      </c>
      <c r="V907">
        <f>IF([2]Entry!$L$910="","",[2]Entry!$L$910)</f>
        <v/>
      </c>
      <c r="W907">
        <f>IF([2]Entry!$M$910="","",[2]Entry!$M$910)</f>
        <v/>
      </c>
      <c r="X907">
        <f>IF([2]Entry!$N$910="","",[2]Entry!$N$910)</f>
        <v/>
      </c>
      <c r="Y907">
        <f>IF([2]Entry!$R$910="","",[2]Entry!$R$910)</f>
        <v/>
      </c>
    </row>
    <row r="908">
      <c r="P908">
        <f>IF([2]Entry!$C$911="","",[2]Entry!$C$911)</f>
        <v/>
      </c>
      <c r="Q908">
        <f>IF([2]Entry!$D$911="","",[2]Entry!$D$911)</f>
        <v/>
      </c>
      <c r="R908">
        <f>IF([2]Entry!$E$911="","",[2]Entry!$E$911)</f>
        <v/>
      </c>
      <c r="S908">
        <f>IF([2]Entry!$G$911="","",[2]Entry!$G$911)</f>
        <v/>
      </c>
      <c r="T908">
        <f>IF([2]Entry!$J$911="","",[2]Entry!$J$911)</f>
        <v/>
      </c>
      <c r="U908">
        <f>IF([2]Entry!$K$911="","",[2]Entry!$K$911)</f>
        <v/>
      </c>
      <c r="V908">
        <f>IF([2]Entry!$L$911="","",[2]Entry!$L$911)</f>
        <v/>
      </c>
      <c r="W908">
        <f>IF([2]Entry!$M$911="","",[2]Entry!$M$911)</f>
        <v/>
      </c>
      <c r="X908">
        <f>IF([2]Entry!$N$911="","",[2]Entry!$N$911)</f>
        <v/>
      </c>
      <c r="Y908">
        <f>IF([2]Entry!$R$911="","",[2]Entry!$R$911)</f>
        <v/>
      </c>
    </row>
    <row r="909">
      <c r="P909">
        <f>IF([2]Entry!$C$912="","",[2]Entry!$C$912)</f>
        <v/>
      </c>
      <c r="Q909">
        <f>IF([2]Entry!$D$912="","",[2]Entry!$D$912)</f>
        <v/>
      </c>
      <c r="R909">
        <f>IF([2]Entry!$E$912="","",[2]Entry!$E$912)</f>
        <v/>
      </c>
      <c r="S909">
        <f>IF([2]Entry!$G$912="","",[2]Entry!$G$912)</f>
        <v/>
      </c>
      <c r="T909">
        <f>IF([2]Entry!$J$912="","",[2]Entry!$J$912)</f>
        <v/>
      </c>
      <c r="U909">
        <f>IF([2]Entry!$K$912="","",[2]Entry!$K$912)</f>
        <v/>
      </c>
      <c r="V909">
        <f>IF([2]Entry!$L$912="","",[2]Entry!$L$912)</f>
        <v/>
      </c>
      <c r="W909">
        <f>IF([2]Entry!$M$912="","",[2]Entry!$M$912)</f>
        <v/>
      </c>
      <c r="X909">
        <f>IF([2]Entry!$N$912="","",[2]Entry!$N$912)</f>
        <v/>
      </c>
      <c r="Y909">
        <f>IF([2]Entry!$R$912="","",[2]Entry!$R$912)</f>
        <v/>
      </c>
    </row>
    <row r="910">
      <c r="P910">
        <f>IF([2]Entry!$C$913="","",[2]Entry!$C$913)</f>
        <v/>
      </c>
      <c r="Q910">
        <f>IF([2]Entry!$D$913="","",[2]Entry!$D$913)</f>
        <v/>
      </c>
      <c r="R910">
        <f>IF([2]Entry!$E$913="","",[2]Entry!$E$913)</f>
        <v/>
      </c>
      <c r="S910">
        <f>IF([2]Entry!$G$913="","",[2]Entry!$G$913)</f>
        <v/>
      </c>
      <c r="T910">
        <f>IF([2]Entry!$J$913="","",[2]Entry!$J$913)</f>
        <v/>
      </c>
      <c r="U910">
        <f>IF([2]Entry!$K$913="","",[2]Entry!$K$913)</f>
        <v/>
      </c>
      <c r="V910">
        <f>IF([2]Entry!$L$913="","",[2]Entry!$L$913)</f>
        <v/>
      </c>
      <c r="W910">
        <f>IF([2]Entry!$M$913="","",[2]Entry!$M$913)</f>
        <v/>
      </c>
      <c r="X910">
        <f>IF([2]Entry!$N$913="","",[2]Entry!$N$913)</f>
        <v/>
      </c>
      <c r="Y910">
        <f>IF([2]Entry!$R$913="","",[2]Entry!$R$913)</f>
        <v/>
      </c>
    </row>
    <row r="911">
      <c r="P911">
        <f>IF([2]Entry!$C$914="","",[2]Entry!$C$914)</f>
        <v/>
      </c>
      <c r="Q911">
        <f>IF([2]Entry!$D$914="","",[2]Entry!$D$914)</f>
        <v/>
      </c>
      <c r="R911">
        <f>IF([2]Entry!$E$914="","",[2]Entry!$E$914)</f>
        <v/>
      </c>
      <c r="S911">
        <f>IF([2]Entry!$G$914="","",[2]Entry!$G$914)</f>
        <v/>
      </c>
      <c r="T911">
        <f>IF([2]Entry!$J$914="","",[2]Entry!$J$914)</f>
        <v/>
      </c>
      <c r="U911">
        <f>IF([2]Entry!$K$914="","",[2]Entry!$K$914)</f>
        <v/>
      </c>
      <c r="V911">
        <f>IF([2]Entry!$L$914="","",[2]Entry!$L$914)</f>
        <v/>
      </c>
      <c r="W911">
        <f>IF([2]Entry!$M$914="","",[2]Entry!$M$914)</f>
        <v/>
      </c>
      <c r="X911">
        <f>IF([2]Entry!$N$914="","",[2]Entry!$N$914)</f>
        <v/>
      </c>
      <c r="Y911">
        <f>IF([2]Entry!$R$914="","",[2]Entry!$R$914)</f>
        <v/>
      </c>
    </row>
    <row r="912">
      <c r="P912">
        <f>IF([2]Entry!$C$915="","",[2]Entry!$C$915)</f>
        <v/>
      </c>
      <c r="Q912">
        <f>IF([2]Entry!$D$915="","",[2]Entry!$D$915)</f>
        <v/>
      </c>
      <c r="R912">
        <f>IF([2]Entry!$E$915="","",[2]Entry!$E$915)</f>
        <v/>
      </c>
      <c r="S912">
        <f>IF([2]Entry!$G$915="","",[2]Entry!$G$915)</f>
        <v/>
      </c>
      <c r="T912">
        <f>IF([2]Entry!$J$915="","",[2]Entry!$J$915)</f>
        <v/>
      </c>
      <c r="U912">
        <f>IF([2]Entry!$K$915="","",[2]Entry!$K$915)</f>
        <v/>
      </c>
      <c r="V912">
        <f>IF([2]Entry!$L$915="","",[2]Entry!$L$915)</f>
        <v/>
      </c>
      <c r="W912">
        <f>IF([2]Entry!$M$915="","",[2]Entry!$M$915)</f>
        <v/>
      </c>
      <c r="X912">
        <f>IF([2]Entry!$N$915="","",[2]Entry!$N$915)</f>
        <v/>
      </c>
      <c r="Y912">
        <f>IF([2]Entry!$R$915="","",[2]Entry!$R$915)</f>
        <v/>
      </c>
    </row>
    <row r="913">
      <c r="P913">
        <f>IF([2]Entry!$C$916="","",[2]Entry!$C$916)</f>
        <v/>
      </c>
      <c r="Q913">
        <f>IF([2]Entry!$D$916="","",[2]Entry!$D$916)</f>
        <v/>
      </c>
      <c r="R913">
        <f>IF([2]Entry!$E$916="","",[2]Entry!$E$916)</f>
        <v/>
      </c>
      <c r="S913">
        <f>IF([2]Entry!$G$916="","",[2]Entry!$G$916)</f>
        <v/>
      </c>
      <c r="T913">
        <f>IF([2]Entry!$J$916="","",[2]Entry!$J$916)</f>
        <v/>
      </c>
      <c r="U913">
        <f>IF([2]Entry!$K$916="","",[2]Entry!$K$916)</f>
        <v/>
      </c>
      <c r="V913">
        <f>IF([2]Entry!$L$916="","",[2]Entry!$L$916)</f>
        <v/>
      </c>
      <c r="W913">
        <f>IF([2]Entry!$M$916="","",[2]Entry!$M$916)</f>
        <v/>
      </c>
      <c r="X913">
        <f>IF([2]Entry!$N$916="","",[2]Entry!$N$916)</f>
        <v/>
      </c>
      <c r="Y913">
        <f>IF([2]Entry!$R$916="","",[2]Entry!$R$916)</f>
        <v/>
      </c>
    </row>
    <row r="914">
      <c r="P914">
        <f>IF([2]Entry!$C$917="","",[2]Entry!$C$917)</f>
        <v/>
      </c>
      <c r="Q914">
        <f>IF([2]Entry!$D$917="","",[2]Entry!$D$917)</f>
        <v/>
      </c>
      <c r="R914">
        <f>IF([2]Entry!$E$917="","",[2]Entry!$E$917)</f>
        <v/>
      </c>
      <c r="S914">
        <f>IF([2]Entry!$G$917="","",[2]Entry!$G$917)</f>
        <v/>
      </c>
      <c r="T914">
        <f>IF([2]Entry!$J$917="","",[2]Entry!$J$917)</f>
        <v/>
      </c>
      <c r="U914">
        <f>IF([2]Entry!$K$917="","",[2]Entry!$K$917)</f>
        <v/>
      </c>
      <c r="V914">
        <f>IF([2]Entry!$L$917="","",[2]Entry!$L$917)</f>
        <v/>
      </c>
      <c r="W914">
        <f>IF([2]Entry!$M$917="","",[2]Entry!$M$917)</f>
        <v/>
      </c>
      <c r="X914">
        <f>IF([2]Entry!$N$917="","",[2]Entry!$N$917)</f>
        <v/>
      </c>
      <c r="Y914">
        <f>IF([2]Entry!$R$917="","",[2]Entry!$R$917)</f>
        <v/>
      </c>
    </row>
    <row r="915">
      <c r="P915">
        <f>IF([2]Entry!$C$918="","",[2]Entry!$C$918)</f>
        <v/>
      </c>
      <c r="Q915">
        <f>IF([2]Entry!$D$918="","",[2]Entry!$D$918)</f>
        <v/>
      </c>
      <c r="R915">
        <f>IF([2]Entry!$E$918="","",[2]Entry!$E$918)</f>
        <v/>
      </c>
      <c r="S915">
        <f>IF([2]Entry!$G$918="","",[2]Entry!$G$918)</f>
        <v/>
      </c>
      <c r="T915">
        <f>IF([2]Entry!$J$918="","",[2]Entry!$J$918)</f>
        <v/>
      </c>
      <c r="U915">
        <f>IF([2]Entry!$K$918="","",[2]Entry!$K$918)</f>
        <v/>
      </c>
      <c r="V915">
        <f>IF([2]Entry!$L$918="","",[2]Entry!$L$918)</f>
        <v/>
      </c>
      <c r="W915">
        <f>IF([2]Entry!$M$918="","",[2]Entry!$M$918)</f>
        <v/>
      </c>
      <c r="X915">
        <f>IF([2]Entry!$N$918="","",[2]Entry!$N$918)</f>
        <v/>
      </c>
      <c r="Y915">
        <f>IF([2]Entry!$R$918="","",[2]Entry!$R$918)</f>
        <v/>
      </c>
    </row>
    <row r="916">
      <c r="P916">
        <f>IF([2]Entry!$C$919="","",[2]Entry!$C$919)</f>
        <v/>
      </c>
      <c r="Q916">
        <f>IF([2]Entry!$D$919="","",[2]Entry!$D$919)</f>
        <v/>
      </c>
      <c r="R916">
        <f>IF([2]Entry!$E$919="","",[2]Entry!$E$919)</f>
        <v/>
      </c>
      <c r="S916">
        <f>IF([2]Entry!$G$919="","",[2]Entry!$G$919)</f>
        <v/>
      </c>
      <c r="T916">
        <f>IF([2]Entry!$J$919="","",[2]Entry!$J$919)</f>
        <v/>
      </c>
      <c r="U916">
        <f>IF([2]Entry!$K$919="","",[2]Entry!$K$919)</f>
        <v/>
      </c>
      <c r="V916">
        <f>IF([2]Entry!$L$919="","",[2]Entry!$L$919)</f>
        <v/>
      </c>
      <c r="W916">
        <f>IF([2]Entry!$M$919="","",[2]Entry!$M$919)</f>
        <v/>
      </c>
      <c r="X916">
        <f>IF([2]Entry!$N$919="","",[2]Entry!$N$919)</f>
        <v/>
      </c>
      <c r="Y916">
        <f>IF([2]Entry!$R$919="","",[2]Entry!$R$919)</f>
        <v/>
      </c>
    </row>
    <row r="917">
      <c r="P917">
        <f>IF([2]Entry!$C$920="","",[2]Entry!$C$920)</f>
        <v/>
      </c>
      <c r="Q917">
        <f>IF([2]Entry!$D$920="","",[2]Entry!$D$920)</f>
        <v/>
      </c>
      <c r="R917">
        <f>IF([2]Entry!$E$920="","",[2]Entry!$E$920)</f>
        <v/>
      </c>
      <c r="S917">
        <f>IF([2]Entry!$G$920="","",[2]Entry!$G$920)</f>
        <v/>
      </c>
      <c r="T917">
        <f>IF([2]Entry!$J$920="","",[2]Entry!$J$920)</f>
        <v/>
      </c>
      <c r="U917">
        <f>IF([2]Entry!$K$920="","",[2]Entry!$K$920)</f>
        <v/>
      </c>
      <c r="V917">
        <f>IF([2]Entry!$L$920="","",[2]Entry!$L$920)</f>
        <v/>
      </c>
      <c r="W917">
        <f>IF([2]Entry!$M$920="","",[2]Entry!$M$920)</f>
        <v/>
      </c>
      <c r="X917">
        <f>IF([2]Entry!$N$920="","",[2]Entry!$N$920)</f>
        <v/>
      </c>
      <c r="Y917">
        <f>IF([2]Entry!$R$920="","",[2]Entry!$R$920)</f>
        <v/>
      </c>
    </row>
    <row r="918">
      <c r="P918">
        <f>IF([2]Entry!$C$921="","",[2]Entry!$C$921)</f>
        <v/>
      </c>
      <c r="Q918">
        <f>IF([2]Entry!$D$921="","",[2]Entry!$D$921)</f>
        <v/>
      </c>
      <c r="R918">
        <f>IF([2]Entry!$E$921="","",[2]Entry!$E$921)</f>
        <v/>
      </c>
      <c r="S918">
        <f>IF([2]Entry!$G$921="","",[2]Entry!$G$921)</f>
        <v/>
      </c>
      <c r="T918">
        <f>IF([2]Entry!$J$921="","",[2]Entry!$J$921)</f>
        <v/>
      </c>
      <c r="U918">
        <f>IF([2]Entry!$K$921="","",[2]Entry!$K$921)</f>
        <v/>
      </c>
      <c r="V918">
        <f>IF([2]Entry!$L$921="","",[2]Entry!$L$921)</f>
        <v/>
      </c>
      <c r="W918">
        <f>IF([2]Entry!$M$921="","",[2]Entry!$M$921)</f>
        <v/>
      </c>
      <c r="X918">
        <f>IF([2]Entry!$N$921="","",[2]Entry!$N$921)</f>
        <v/>
      </c>
      <c r="Y918">
        <f>IF([2]Entry!$R$921="","",[2]Entry!$R$921)</f>
        <v/>
      </c>
    </row>
    <row r="919">
      <c r="P919">
        <f>IF([2]Entry!$C$922="","",[2]Entry!$C$922)</f>
        <v/>
      </c>
      <c r="Q919">
        <f>IF([2]Entry!$D$922="","",[2]Entry!$D$922)</f>
        <v/>
      </c>
      <c r="R919">
        <f>IF([2]Entry!$E$922="","",[2]Entry!$E$922)</f>
        <v/>
      </c>
      <c r="S919">
        <f>IF([2]Entry!$G$922="","",[2]Entry!$G$922)</f>
        <v/>
      </c>
      <c r="T919">
        <f>IF([2]Entry!$J$922="","",[2]Entry!$J$922)</f>
        <v/>
      </c>
      <c r="U919">
        <f>IF([2]Entry!$K$922="","",[2]Entry!$K$922)</f>
        <v/>
      </c>
      <c r="V919">
        <f>IF([2]Entry!$L$922="","",[2]Entry!$L$922)</f>
        <v/>
      </c>
      <c r="W919">
        <f>IF([2]Entry!$M$922="","",[2]Entry!$M$922)</f>
        <v/>
      </c>
      <c r="X919">
        <f>IF([2]Entry!$N$922="","",[2]Entry!$N$922)</f>
        <v/>
      </c>
      <c r="Y919">
        <f>IF([2]Entry!$R$922="","",[2]Entry!$R$922)</f>
        <v/>
      </c>
    </row>
    <row r="920">
      <c r="P920">
        <f>IF([2]Entry!$C$923="","",[2]Entry!$C$923)</f>
        <v/>
      </c>
      <c r="Q920">
        <f>IF([2]Entry!$D$923="","",[2]Entry!$D$923)</f>
        <v/>
      </c>
      <c r="R920">
        <f>IF([2]Entry!$E$923="","",[2]Entry!$E$923)</f>
        <v/>
      </c>
      <c r="S920">
        <f>IF([2]Entry!$G$923="","",[2]Entry!$G$923)</f>
        <v/>
      </c>
      <c r="T920">
        <f>IF([2]Entry!$J$923="","",[2]Entry!$J$923)</f>
        <v/>
      </c>
      <c r="U920">
        <f>IF([2]Entry!$K$923="","",[2]Entry!$K$923)</f>
        <v/>
      </c>
      <c r="V920">
        <f>IF([2]Entry!$L$923="","",[2]Entry!$L$923)</f>
        <v/>
      </c>
      <c r="W920">
        <f>IF([2]Entry!$M$923="","",[2]Entry!$M$923)</f>
        <v/>
      </c>
      <c r="X920">
        <f>IF([2]Entry!$N$923="","",[2]Entry!$N$923)</f>
        <v/>
      </c>
      <c r="Y920">
        <f>IF([2]Entry!$R$923="","",[2]Entry!$R$923)</f>
        <v/>
      </c>
    </row>
    <row r="921">
      <c r="P921">
        <f>IF([2]Entry!$C$924="","",[2]Entry!$C$924)</f>
        <v/>
      </c>
      <c r="Q921">
        <f>IF([2]Entry!$D$924="","",[2]Entry!$D$924)</f>
        <v/>
      </c>
      <c r="R921">
        <f>IF([2]Entry!$E$924="","",[2]Entry!$E$924)</f>
        <v/>
      </c>
      <c r="S921">
        <f>IF([2]Entry!$G$924="","",[2]Entry!$G$924)</f>
        <v/>
      </c>
      <c r="T921">
        <f>IF([2]Entry!$J$924="","",[2]Entry!$J$924)</f>
        <v/>
      </c>
      <c r="U921">
        <f>IF([2]Entry!$K$924="","",[2]Entry!$K$924)</f>
        <v/>
      </c>
      <c r="V921">
        <f>IF([2]Entry!$L$924="","",[2]Entry!$L$924)</f>
        <v/>
      </c>
      <c r="W921">
        <f>IF([2]Entry!$M$924="","",[2]Entry!$M$924)</f>
        <v/>
      </c>
      <c r="X921">
        <f>IF([2]Entry!$N$924="","",[2]Entry!$N$924)</f>
        <v/>
      </c>
      <c r="Y921">
        <f>IF([2]Entry!$R$924="","",[2]Entry!$R$924)</f>
        <v/>
      </c>
    </row>
    <row r="922">
      <c r="P922">
        <f>IF([2]Entry!$C$925="","",[2]Entry!$C$925)</f>
        <v/>
      </c>
      <c r="Q922">
        <f>IF([2]Entry!$D$925="","",[2]Entry!$D$925)</f>
        <v/>
      </c>
      <c r="R922">
        <f>IF([2]Entry!$E$925="","",[2]Entry!$E$925)</f>
        <v/>
      </c>
      <c r="S922">
        <f>IF([2]Entry!$G$925="","",[2]Entry!$G$925)</f>
        <v/>
      </c>
      <c r="T922">
        <f>IF([2]Entry!$J$925="","",[2]Entry!$J$925)</f>
        <v/>
      </c>
      <c r="U922">
        <f>IF([2]Entry!$K$925="","",[2]Entry!$K$925)</f>
        <v/>
      </c>
      <c r="V922">
        <f>IF([2]Entry!$L$925="","",[2]Entry!$L$925)</f>
        <v/>
      </c>
      <c r="W922">
        <f>IF([2]Entry!$M$925="","",[2]Entry!$M$925)</f>
        <v/>
      </c>
      <c r="X922">
        <f>IF([2]Entry!$N$925="","",[2]Entry!$N$925)</f>
        <v/>
      </c>
      <c r="Y922">
        <f>IF([2]Entry!$R$925="","",[2]Entry!$R$925)</f>
        <v/>
      </c>
    </row>
    <row r="923">
      <c r="P923">
        <f>IF([2]Entry!$C$926="","",[2]Entry!$C$926)</f>
        <v/>
      </c>
      <c r="Q923">
        <f>IF([2]Entry!$D$926="","",[2]Entry!$D$926)</f>
        <v/>
      </c>
      <c r="R923">
        <f>IF([2]Entry!$E$926="","",[2]Entry!$E$926)</f>
        <v/>
      </c>
      <c r="S923">
        <f>IF([2]Entry!$G$926="","",[2]Entry!$G$926)</f>
        <v/>
      </c>
      <c r="T923">
        <f>IF([2]Entry!$J$926="","",[2]Entry!$J$926)</f>
        <v/>
      </c>
      <c r="U923">
        <f>IF([2]Entry!$K$926="","",[2]Entry!$K$926)</f>
        <v/>
      </c>
      <c r="V923">
        <f>IF([2]Entry!$L$926="","",[2]Entry!$L$926)</f>
        <v/>
      </c>
      <c r="W923">
        <f>IF([2]Entry!$M$926="","",[2]Entry!$M$926)</f>
        <v/>
      </c>
      <c r="X923">
        <f>IF([2]Entry!$N$926="","",[2]Entry!$N$926)</f>
        <v/>
      </c>
      <c r="Y923">
        <f>IF([2]Entry!$R$926="","",[2]Entry!$R$926)</f>
        <v/>
      </c>
    </row>
    <row r="924">
      <c r="P924">
        <f>IF([2]Entry!$C$927="","",[2]Entry!$C$927)</f>
        <v/>
      </c>
      <c r="Q924">
        <f>IF([2]Entry!$D$927="","",[2]Entry!$D$927)</f>
        <v/>
      </c>
      <c r="R924">
        <f>IF([2]Entry!$E$927="","",[2]Entry!$E$927)</f>
        <v/>
      </c>
      <c r="S924">
        <f>IF([2]Entry!$G$927="","",[2]Entry!$G$927)</f>
        <v/>
      </c>
      <c r="T924">
        <f>IF([2]Entry!$J$927="","",[2]Entry!$J$927)</f>
        <v/>
      </c>
      <c r="U924">
        <f>IF([2]Entry!$K$927="","",[2]Entry!$K$927)</f>
        <v/>
      </c>
      <c r="V924">
        <f>IF([2]Entry!$L$927="","",[2]Entry!$L$927)</f>
        <v/>
      </c>
      <c r="W924">
        <f>IF([2]Entry!$M$927="","",[2]Entry!$M$927)</f>
        <v/>
      </c>
      <c r="X924">
        <f>IF([2]Entry!$N$927="","",[2]Entry!$N$927)</f>
        <v/>
      </c>
      <c r="Y924">
        <f>IF([2]Entry!$R$927="","",[2]Entry!$R$927)</f>
        <v/>
      </c>
    </row>
    <row r="925">
      <c r="P925">
        <f>IF([2]Entry!$C$928="","",[2]Entry!$C$928)</f>
        <v/>
      </c>
      <c r="Q925">
        <f>IF([2]Entry!$D$928="","",[2]Entry!$D$928)</f>
        <v/>
      </c>
      <c r="R925">
        <f>IF([2]Entry!$E$928="","",[2]Entry!$E$928)</f>
        <v/>
      </c>
      <c r="S925">
        <f>IF([2]Entry!$G$928="","",[2]Entry!$G$928)</f>
        <v/>
      </c>
      <c r="T925">
        <f>IF([2]Entry!$J$928="","",[2]Entry!$J$928)</f>
        <v/>
      </c>
      <c r="U925">
        <f>IF([2]Entry!$K$928="","",[2]Entry!$K$928)</f>
        <v/>
      </c>
      <c r="V925">
        <f>IF([2]Entry!$L$928="","",[2]Entry!$L$928)</f>
        <v/>
      </c>
      <c r="W925">
        <f>IF([2]Entry!$M$928="","",[2]Entry!$M$928)</f>
        <v/>
      </c>
      <c r="X925">
        <f>IF([2]Entry!$N$928="","",[2]Entry!$N$928)</f>
        <v/>
      </c>
      <c r="Y925">
        <f>IF([2]Entry!$R$928="","",[2]Entry!$R$928)</f>
        <v/>
      </c>
    </row>
    <row r="926">
      <c r="P926">
        <f>IF([2]Entry!$C$929="","",[2]Entry!$C$929)</f>
        <v/>
      </c>
      <c r="Q926">
        <f>IF([2]Entry!$D$929="","",[2]Entry!$D$929)</f>
        <v/>
      </c>
      <c r="R926">
        <f>IF([2]Entry!$E$929="","",[2]Entry!$E$929)</f>
        <v/>
      </c>
      <c r="S926">
        <f>IF([2]Entry!$G$929="","",[2]Entry!$G$929)</f>
        <v/>
      </c>
      <c r="T926">
        <f>IF([2]Entry!$J$929="","",[2]Entry!$J$929)</f>
        <v/>
      </c>
      <c r="U926">
        <f>IF([2]Entry!$K$929="","",[2]Entry!$K$929)</f>
        <v/>
      </c>
      <c r="V926">
        <f>IF([2]Entry!$L$929="","",[2]Entry!$L$929)</f>
        <v/>
      </c>
      <c r="W926">
        <f>IF([2]Entry!$M$929="","",[2]Entry!$M$929)</f>
        <v/>
      </c>
      <c r="X926">
        <f>IF([2]Entry!$N$929="","",[2]Entry!$N$929)</f>
        <v/>
      </c>
      <c r="Y926">
        <f>IF([2]Entry!$R$929="","",[2]Entry!$R$929)</f>
        <v/>
      </c>
    </row>
    <row r="927">
      <c r="P927">
        <f>IF([2]Entry!$C$930="","",[2]Entry!$C$930)</f>
        <v/>
      </c>
      <c r="Q927">
        <f>IF([2]Entry!$D$930="","",[2]Entry!$D$930)</f>
        <v/>
      </c>
      <c r="R927">
        <f>IF([2]Entry!$E$930="","",[2]Entry!$E$930)</f>
        <v/>
      </c>
      <c r="S927">
        <f>IF([2]Entry!$G$930="","",[2]Entry!$G$930)</f>
        <v/>
      </c>
      <c r="T927">
        <f>IF([2]Entry!$J$930="","",[2]Entry!$J$930)</f>
        <v/>
      </c>
      <c r="U927">
        <f>IF([2]Entry!$K$930="","",[2]Entry!$K$930)</f>
        <v/>
      </c>
      <c r="V927">
        <f>IF([2]Entry!$L$930="","",[2]Entry!$L$930)</f>
        <v/>
      </c>
      <c r="W927">
        <f>IF([2]Entry!$M$930="","",[2]Entry!$M$930)</f>
        <v/>
      </c>
      <c r="X927">
        <f>IF([2]Entry!$N$930="","",[2]Entry!$N$930)</f>
        <v/>
      </c>
      <c r="Y927">
        <f>IF([2]Entry!$R$930="","",[2]Entry!$R$930)</f>
        <v/>
      </c>
    </row>
    <row r="928">
      <c r="P928">
        <f>IF([2]Entry!$C$931="","",[2]Entry!$C$931)</f>
        <v/>
      </c>
      <c r="Q928">
        <f>IF([2]Entry!$D$931="","",[2]Entry!$D$931)</f>
        <v/>
      </c>
      <c r="R928">
        <f>IF([2]Entry!$E$931="","",[2]Entry!$E$931)</f>
        <v/>
      </c>
      <c r="S928">
        <f>IF([2]Entry!$G$931="","",[2]Entry!$G$931)</f>
        <v/>
      </c>
      <c r="T928">
        <f>IF([2]Entry!$J$931="","",[2]Entry!$J$931)</f>
        <v/>
      </c>
      <c r="U928">
        <f>IF([2]Entry!$K$931="","",[2]Entry!$K$931)</f>
        <v/>
      </c>
      <c r="V928">
        <f>IF([2]Entry!$L$931="","",[2]Entry!$L$931)</f>
        <v/>
      </c>
      <c r="W928">
        <f>IF([2]Entry!$M$931="","",[2]Entry!$M$931)</f>
        <v/>
      </c>
      <c r="X928">
        <f>IF([2]Entry!$N$931="","",[2]Entry!$N$931)</f>
        <v/>
      </c>
      <c r="Y928">
        <f>IF([2]Entry!$R$931="","",[2]Entry!$R$931)</f>
        <v/>
      </c>
    </row>
    <row r="929">
      <c r="P929">
        <f>IF([2]Entry!$C$932="","",[2]Entry!$C$932)</f>
        <v/>
      </c>
      <c r="Q929">
        <f>IF([2]Entry!$D$932="","",[2]Entry!$D$932)</f>
        <v/>
      </c>
      <c r="R929">
        <f>IF([2]Entry!$E$932="","",[2]Entry!$E$932)</f>
        <v/>
      </c>
      <c r="S929">
        <f>IF([2]Entry!$G$932="","",[2]Entry!$G$932)</f>
        <v/>
      </c>
      <c r="T929">
        <f>IF([2]Entry!$J$932="","",[2]Entry!$J$932)</f>
        <v/>
      </c>
      <c r="U929">
        <f>IF([2]Entry!$K$932="","",[2]Entry!$K$932)</f>
        <v/>
      </c>
      <c r="V929">
        <f>IF([2]Entry!$L$932="","",[2]Entry!$L$932)</f>
        <v/>
      </c>
      <c r="W929">
        <f>IF([2]Entry!$M$932="","",[2]Entry!$M$932)</f>
        <v/>
      </c>
      <c r="X929">
        <f>IF([2]Entry!$N$932="","",[2]Entry!$N$932)</f>
        <v/>
      </c>
      <c r="Y929">
        <f>IF([2]Entry!$R$932="","",[2]Entry!$R$932)</f>
        <v/>
      </c>
    </row>
    <row r="930">
      <c r="P930">
        <f>IF([2]Entry!$C$933="","",[2]Entry!$C$933)</f>
        <v/>
      </c>
      <c r="Q930">
        <f>IF([2]Entry!$D$933="","",[2]Entry!$D$933)</f>
        <v/>
      </c>
      <c r="R930">
        <f>IF([2]Entry!$E$933="","",[2]Entry!$E$933)</f>
        <v/>
      </c>
      <c r="S930">
        <f>IF([2]Entry!$G$933="","",[2]Entry!$G$933)</f>
        <v/>
      </c>
      <c r="T930">
        <f>IF([2]Entry!$J$933="","",[2]Entry!$J$933)</f>
        <v/>
      </c>
      <c r="U930">
        <f>IF([2]Entry!$K$933="","",[2]Entry!$K$933)</f>
        <v/>
      </c>
      <c r="V930">
        <f>IF([2]Entry!$L$933="","",[2]Entry!$L$933)</f>
        <v/>
      </c>
      <c r="W930">
        <f>IF([2]Entry!$M$933="","",[2]Entry!$M$933)</f>
        <v/>
      </c>
      <c r="X930">
        <f>IF([2]Entry!$N$933="","",[2]Entry!$N$933)</f>
        <v/>
      </c>
      <c r="Y930">
        <f>IF([2]Entry!$R$933="","",[2]Entry!$R$933)</f>
        <v/>
      </c>
    </row>
    <row r="931">
      <c r="P931">
        <f>IF([2]Entry!$C$934="","",[2]Entry!$C$934)</f>
        <v/>
      </c>
      <c r="Q931">
        <f>IF([2]Entry!$D$934="","",[2]Entry!$D$934)</f>
        <v/>
      </c>
      <c r="R931">
        <f>IF([2]Entry!$E$934="","",[2]Entry!$E$934)</f>
        <v/>
      </c>
      <c r="S931">
        <f>IF([2]Entry!$G$934="","",[2]Entry!$G$934)</f>
        <v/>
      </c>
      <c r="T931">
        <f>IF([2]Entry!$J$934="","",[2]Entry!$J$934)</f>
        <v/>
      </c>
      <c r="U931">
        <f>IF([2]Entry!$K$934="","",[2]Entry!$K$934)</f>
        <v/>
      </c>
      <c r="V931">
        <f>IF([2]Entry!$L$934="","",[2]Entry!$L$934)</f>
        <v/>
      </c>
      <c r="W931">
        <f>IF([2]Entry!$M$934="","",[2]Entry!$M$934)</f>
        <v/>
      </c>
      <c r="X931">
        <f>IF([2]Entry!$N$934="","",[2]Entry!$N$934)</f>
        <v/>
      </c>
      <c r="Y931">
        <f>IF([2]Entry!$R$934="","",[2]Entry!$R$934)</f>
        <v/>
      </c>
    </row>
    <row r="932">
      <c r="P932">
        <f>IF([2]Entry!$C$935="","",[2]Entry!$C$935)</f>
        <v/>
      </c>
      <c r="Q932">
        <f>IF([2]Entry!$D$935="","",[2]Entry!$D$935)</f>
        <v/>
      </c>
      <c r="R932">
        <f>IF([2]Entry!$E$935="","",[2]Entry!$E$935)</f>
        <v/>
      </c>
      <c r="S932">
        <f>IF([2]Entry!$G$935="","",[2]Entry!$G$935)</f>
        <v/>
      </c>
      <c r="T932">
        <f>IF([2]Entry!$J$935="","",[2]Entry!$J$935)</f>
        <v/>
      </c>
      <c r="U932">
        <f>IF([2]Entry!$K$935="","",[2]Entry!$K$935)</f>
        <v/>
      </c>
      <c r="V932">
        <f>IF([2]Entry!$L$935="","",[2]Entry!$L$935)</f>
        <v/>
      </c>
      <c r="W932">
        <f>IF([2]Entry!$M$935="","",[2]Entry!$M$935)</f>
        <v/>
      </c>
      <c r="X932">
        <f>IF([2]Entry!$N$935="","",[2]Entry!$N$935)</f>
        <v/>
      </c>
      <c r="Y932">
        <f>IF([2]Entry!$R$935="","",[2]Entry!$R$935)</f>
        <v/>
      </c>
    </row>
    <row r="933">
      <c r="P933">
        <f>IF([2]Entry!$C$936="","",[2]Entry!$C$936)</f>
        <v/>
      </c>
      <c r="Q933">
        <f>IF([2]Entry!$D$936="","",[2]Entry!$D$936)</f>
        <v/>
      </c>
      <c r="R933">
        <f>IF([2]Entry!$E$936="","",[2]Entry!$E$936)</f>
        <v/>
      </c>
      <c r="S933">
        <f>IF([2]Entry!$G$936="","",[2]Entry!$G$936)</f>
        <v/>
      </c>
      <c r="T933">
        <f>IF([2]Entry!$J$936="","",[2]Entry!$J$936)</f>
        <v/>
      </c>
      <c r="U933">
        <f>IF([2]Entry!$K$936="","",[2]Entry!$K$936)</f>
        <v/>
      </c>
      <c r="V933">
        <f>IF([2]Entry!$L$936="","",[2]Entry!$L$936)</f>
        <v/>
      </c>
      <c r="W933">
        <f>IF([2]Entry!$M$936="","",[2]Entry!$M$936)</f>
        <v/>
      </c>
      <c r="X933">
        <f>IF([2]Entry!$N$936="","",[2]Entry!$N$936)</f>
        <v/>
      </c>
      <c r="Y933">
        <f>IF([2]Entry!$R$936="","",[2]Entry!$R$936)</f>
        <v/>
      </c>
    </row>
    <row r="934">
      <c r="P934">
        <f>IF([2]Entry!$C$937="","",[2]Entry!$C$937)</f>
        <v/>
      </c>
      <c r="Q934">
        <f>IF([2]Entry!$D$937="","",[2]Entry!$D$937)</f>
        <v/>
      </c>
      <c r="R934">
        <f>IF([2]Entry!$E$937="","",[2]Entry!$E$937)</f>
        <v/>
      </c>
      <c r="S934">
        <f>IF([2]Entry!$G$937="","",[2]Entry!$G$937)</f>
        <v/>
      </c>
      <c r="T934">
        <f>IF([2]Entry!$J$937="","",[2]Entry!$J$937)</f>
        <v/>
      </c>
      <c r="U934">
        <f>IF([2]Entry!$K$937="","",[2]Entry!$K$937)</f>
        <v/>
      </c>
      <c r="V934">
        <f>IF([2]Entry!$L$937="","",[2]Entry!$L$937)</f>
        <v/>
      </c>
      <c r="W934">
        <f>IF([2]Entry!$M$937="","",[2]Entry!$M$937)</f>
        <v/>
      </c>
      <c r="X934">
        <f>IF([2]Entry!$N$937="","",[2]Entry!$N$937)</f>
        <v/>
      </c>
      <c r="Y934">
        <f>IF([2]Entry!$R$937="","",[2]Entry!$R$937)</f>
        <v/>
      </c>
    </row>
    <row r="935">
      <c r="P935">
        <f>IF([2]Entry!$C$938="","",[2]Entry!$C$938)</f>
        <v/>
      </c>
      <c r="Q935">
        <f>IF([2]Entry!$D$938="","",[2]Entry!$D$938)</f>
        <v/>
      </c>
      <c r="R935">
        <f>IF([2]Entry!$E$938="","",[2]Entry!$E$938)</f>
        <v/>
      </c>
      <c r="S935">
        <f>IF([2]Entry!$G$938="","",[2]Entry!$G$938)</f>
        <v/>
      </c>
      <c r="T935">
        <f>IF([2]Entry!$J$938="","",[2]Entry!$J$938)</f>
        <v/>
      </c>
      <c r="U935">
        <f>IF([2]Entry!$K$938="","",[2]Entry!$K$938)</f>
        <v/>
      </c>
      <c r="V935">
        <f>IF([2]Entry!$L$938="","",[2]Entry!$L$938)</f>
        <v/>
      </c>
      <c r="W935">
        <f>IF([2]Entry!$M$938="","",[2]Entry!$M$938)</f>
        <v/>
      </c>
      <c r="X935">
        <f>IF([2]Entry!$N$938="","",[2]Entry!$N$938)</f>
        <v/>
      </c>
      <c r="Y935">
        <f>IF([2]Entry!$R$938="","",[2]Entry!$R$938)</f>
        <v/>
      </c>
    </row>
    <row r="936">
      <c r="P936">
        <f>IF([2]Entry!$C$939="","",[2]Entry!$C$939)</f>
        <v/>
      </c>
      <c r="Q936">
        <f>IF([2]Entry!$D$939="","",[2]Entry!$D$939)</f>
        <v/>
      </c>
      <c r="R936">
        <f>IF([2]Entry!$E$939="","",[2]Entry!$E$939)</f>
        <v/>
      </c>
      <c r="S936">
        <f>IF([2]Entry!$G$939="","",[2]Entry!$G$939)</f>
        <v/>
      </c>
      <c r="T936">
        <f>IF([2]Entry!$J$939="","",[2]Entry!$J$939)</f>
        <v/>
      </c>
      <c r="U936">
        <f>IF([2]Entry!$K$939="","",[2]Entry!$K$939)</f>
        <v/>
      </c>
      <c r="V936">
        <f>IF([2]Entry!$L$939="","",[2]Entry!$L$939)</f>
        <v/>
      </c>
      <c r="W936">
        <f>IF([2]Entry!$M$939="","",[2]Entry!$M$939)</f>
        <v/>
      </c>
      <c r="X936">
        <f>IF([2]Entry!$N$939="","",[2]Entry!$N$939)</f>
        <v/>
      </c>
      <c r="Y936">
        <f>IF([2]Entry!$R$939="","",[2]Entry!$R$939)</f>
        <v/>
      </c>
    </row>
    <row r="937">
      <c r="P937">
        <f>IF([2]Entry!$C$940="","",[2]Entry!$C$940)</f>
        <v/>
      </c>
      <c r="Q937">
        <f>IF([2]Entry!$D$940="","",[2]Entry!$D$940)</f>
        <v/>
      </c>
      <c r="R937">
        <f>IF([2]Entry!$E$940="","",[2]Entry!$E$940)</f>
        <v/>
      </c>
      <c r="S937">
        <f>IF([2]Entry!$G$940="","",[2]Entry!$G$940)</f>
        <v/>
      </c>
      <c r="T937">
        <f>IF([2]Entry!$J$940="","",[2]Entry!$J$940)</f>
        <v/>
      </c>
      <c r="U937">
        <f>IF([2]Entry!$K$940="","",[2]Entry!$K$940)</f>
        <v/>
      </c>
      <c r="V937">
        <f>IF([2]Entry!$L$940="","",[2]Entry!$L$940)</f>
        <v/>
      </c>
      <c r="W937">
        <f>IF([2]Entry!$M$940="","",[2]Entry!$M$940)</f>
        <v/>
      </c>
      <c r="X937">
        <f>IF([2]Entry!$N$940="","",[2]Entry!$N$940)</f>
        <v/>
      </c>
      <c r="Y937">
        <f>IF([2]Entry!$R$940="","",[2]Entry!$R$940)</f>
        <v/>
      </c>
    </row>
    <row r="938">
      <c r="P938">
        <f>IF([2]Entry!$C$941="","",[2]Entry!$C$941)</f>
        <v/>
      </c>
      <c r="Q938">
        <f>IF([2]Entry!$D$941="","",[2]Entry!$D$941)</f>
        <v/>
      </c>
      <c r="R938">
        <f>IF([2]Entry!$E$941="","",[2]Entry!$E$941)</f>
        <v/>
      </c>
      <c r="S938">
        <f>IF([2]Entry!$G$941="","",[2]Entry!$G$941)</f>
        <v/>
      </c>
      <c r="T938">
        <f>IF([2]Entry!$J$941="","",[2]Entry!$J$941)</f>
        <v/>
      </c>
      <c r="U938">
        <f>IF([2]Entry!$K$941="","",[2]Entry!$K$941)</f>
        <v/>
      </c>
      <c r="V938">
        <f>IF([2]Entry!$L$941="","",[2]Entry!$L$941)</f>
        <v/>
      </c>
      <c r="W938">
        <f>IF([2]Entry!$M$941="","",[2]Entry!$M$941)</f>
        <v/>
      </c>
      <c r="X938">
        <f>IF([2]Entry!$N$941="","",[2]Entry!$N$941)</f>
        <v/>
      </c>
      <c r="Y938">
        <f>IF([2]Entry!$R$941="","",[2]Entry!$R$941)</f>
        <v/>
      </c>
    </row>
    <row r="939">
      <c r="P939">
        <f>IF([2]Entry!$C$942="","",[2]Entry!$C$942)</f>
        <v/>
      </c>
      <c r="Q939">
        <f>IF([2]Entry!$D$942="","",[2]Entry!$D$942)</f>
        <v/>
      </c>
      <c r="R939">
        <f>IF([2]Entry!$E$942="","",[2]Entry!$E$942)</f>
        <v/>
      </c>
      <c r="S939">
        <f>IF([2]Entry!$G$942="","",[2]Entry!$G$942)</f>
        <v/>
      </c>
      <c r="T939">
        <f>IF([2]Entry!$J$942="","",[2]Entry!$J$942)</f>
        <v/>
      </c>
      <c r="U939">
        <f>IF([2]Entry!$K$942="","",[2]Entry!$K$942)</f>
        <v/>
      </c>
      <c r="V939">
        <f>IF([2]Entry!$L$942="","",[2]Entry!$L$942)</f>
        <v/>
      </c>
      <c r="W939">
        <f>IF([2]Entry!$M$942="","",[2]Entry!$M$942)</f>
        <v/>
      </c>
      <c r="X939">
        <f>IF([2]Entry!$N$942="","",[2]Entry!$N$942)</f>
        <v/>
      </c>
      <c r="Y939">
        <f>IF([2]Entry!$R$942="","",[2]Entry!$R$942)</f>
        <v/>
      </c>
    </row>
    <row r="940">
      <c r="P940">
        <f>IF([2]Entry!$C$943="","",[2]Entry!$C$943)</f>
        <v/>
      </c>
      <c r="Q940">
        <f>IF([2]Entry!$D$943="","",[2]Entry!$D$943)</f>
        <v/>
      </c>
      <c r="R940">
        <f>IF([2]Entry!$E$943="","",[2]Entry!$E$943)</f>
        <v/>
      </c>
      <c r="S940">
        <f>IF([2]Entry!$G$943="","",[2]Entry!$G$943)</f>
        <v/>
      </c>
      <c r="T940">
        <f>IF([2]Entry!$J$943="","",[2]Entry!$J$943)</f>
        <v/>
      </c>
      <c r="U940">
        <f>IF([2]Entry!$K$943="","",[2]Entry!$K$943)</f>
        <v/>
      </c>
      <c r="V940">
        <f>IF([2]Entry!$L$943="","",[2]Entry!$L$943)</f>
        <v/>
      </c>
      <c r="W940">
        <f>IF([2]Entry!$M$943="","",[2]Entry!$M$943)</f>
        <v/>
      </c>
      <c r="X940">
        <f>IF([2]Entry!$N$943="","",[2]Entry!$N$943)</f>
        <v/>
      </c>
      <c r="Y940">
        <f>IF([2]Entry!$R$943="","",[2]Entry!$R$943)</f>
        <v/>
      </c>
    </row>
    <row r="941">
      <c r="P941">
        <f>IF([2]Entry!$C$944="","",[2]Entry!$C$944)</f>
        <v/>
      </c>
      <c r="Q941">
        <f>IF([2]Entry!$D$944="","",[2]Entry!$D$944)</f>
        <v/>
      </c>
      <c r="R941">
        <f>IF([2]Entry!$E$944="","",[2]Entry!$E$944)</f>
        <v/>
      </c>
      <c r="S941">
        <f>IF([2]Entry!$G$944="","",[2]Entry!$G$944)</f>
        <v/>
      </c>
      <c r="T941">
        <f>IF([2]Entry!$J$944="","",[2]Entry!$J$944)</f>
        <v/>
      </c>
      <c r="U941">
        <f>IF([2]Entry!$K$944="","",[2]Entry!$K$944)</f>
        <v/>
      </c>
      <c r="V941">
        <f>IF([2]Entry!$L$944="","",[2]Entry!$L$944)</f>
        <v/>
      </c>
      <c r="W941">
        <f>IF([2]Entry!$M$944="","",[2]Entry!$M$944)</f>
        <v/>
      </c>
      <c r="X941">
        <f>IF([2]Entry!$N$944="","",[2]Entry!$N$944)</f>
        <v/>
      </c>
      <c r="Y941">
        <f>IF([2]Entry!$R$944="","",[2]Entry!$R$944)</f>
        <v/>
      </c>
    </row>
    <row r="942">
      <c r="P942">
        <f>IF([2]Entry!$C$945="","",[2]Entry!$C$945)</f>
        <v/>
      </c>
      <c r="Q942">
        <f>IF([2]Entry!$D$945="","",[2]Entry!$D$945)</f>
        <v/>
      </c>
      <c r="R942">
        <f>IF([2]Entry!$E$945="","",[2]Entry!$E$945)</f>
        <v/>
      </c>
      <c r="S942">
        <f>IF([2]Entry!$G$945="","",[2]Entry!$G$945)</f>
        <v/>
      </c>
      <c r="T942">
        <f>IF([2]Entry!$J$945="","",[2]Entry!$J$945)</f>
        <v/>
      </c>
      <c r="U942">
        <f>IF([2]Entry!$K$945="","",[2]Entry!$K$945)</f>
        <v/>
      </c>
      <c r="V942">
        <f>IF([2]Entry!$L$945="","",[2]Entry!$L$945)</f>
        <v/>
      </c>
      <c r="W942">
        <f>IF([2]Entry!$M$945="","",[2]Entry!$M$945)</f>
        <v/>
      </c>
      <c r="X942">
        <f>IF([2]Entry!$N$945="","",[2]Entry!$N$945)</f>
        <v/>
      </c>
      <c r="Y942">
        <f>IF([2]Entry!$R$945="","",[2]Entry!$R$945)</f>
        <v/>
      </c>
    </row>
    <row r="943">
      <c r="P943">
        <f>IF([2]Entry!$C$946="","",[2]Entry!$C$946)</f>
        <v/>
      </c>
      <c r="Q943">
        <f>IF([2]Entry!$D$946="","",[2]Entry!$D$946)</f>
        <v/>
      </c>
      <c r="R943">
        <f>IF([2]Entry!$E$946="","",[2]Entry!$E$946)</f>
        <v/>
      </c>
      <c r="S943">
        <f>IF([2]Entry!$G$946="","",[2]Entry!$G$946)</f>
        <v/>
      </c>
      <c r="T943">
        <f>IF([2]Entry!$J$946="","",[2]Entry!$J$946)</f>
        <v/>
      </c>
      <c r="U943">
        <f>IF([2]Entry!$K$946="","",[2]Entry!$K$946)</f>
        <v/>
      </c>
      <c r="V943">
        <f>IF([2]Entry!$L$946="","",[2]Entry!$L$946)</f>
        <v/>
      </c>
      <c r="W943">
        <f>IF([2]Entry!$M$946="","",[2]Entry!$M$946)</f>
        <v/>
      </c>
      <c r="X943">
        <f>IF([2]Entry!$N$946="","",[2]Entry!$N$946)</f>
        <v/>
      </c>
      <c r="Y943">
        <f>IF([2]Entry!$R$946="","",[2]Entry!$R$946)</f>
        <v/>
      </c>
    </row>
    <row r="944">
      <c r="P944">
        <f>IF([2]Entry!$C$947="","",[2]Entry!$C$947)</f>
        <v/>
      </c>
      <c r="Q944">
        <f>IF([2]Entry!$D$947="","",[2]Entry!$D$947)</f>
        <v/>
      </c>
      <c r="R944">
        <f>IF([2]Entry!$E$947="","",[2]Entry!$E$947)</f>
        <v/>
      </c>
      <c r="S944">
        <f>IF([2]Entry!$G$947="","",[2]Entry!$G$947)</f>
        <v/>
      </c>
      <c r="T944">
        <f>IF([2]Entry!$J$947="","",[2]Entry!$J$947)</f>
        <v/>
      </c>
      <c r="U944">
        <f>IF([2]Entry!$K$947="","",[2]Entry!$K$947)</f>
        <v/>
      </c>
      <c r="V944">
        <f>IF([2]Entry!$L$947="","",[2]Entry!$L$947)</f>
        <v/>
      </c>
      <c r="W944">
        <f>IF([2]Entry!$M$947="","",[2]Entry!$M$947)</f>
        <v/>
      </c>
      <c r="X944">
        <f>IF([2]Entry!$N$947="","",[2]Entry!$N$947)</f>
        <v/>
      </c>
      <c r="Y944">
        <f>IF([2]Entry!$R$947="","",[2]Entry!$R$947)</f>
        <v/>
      </c>
    </row>
    <row r="945">
      <c r="P945">
        <f>IF([2]Entry!$C$948="","",[2]Entry!$C$948)</f>
        <v/>
      </c>
      <c r="Q945">
        <f>IF([2]Entry!$D$948="","",[2]Entry!$D$948)</f>
        <v/>
      </c>
      <c r="R945">
        <f>IF([2]Entry!$E$948="","",[2]Entry!$E$948)</f>
        <v/>
      </c>
      <c r="S945">
        <f>IF([2]Entry!$G$948="","",[2]Entry!$G$948)</f>
        <v/>
      </c>
      <c r="T945">
        <f>IF([2]Entry!$J$948="","",[2]Entry!$J$948)</f>
        <v/>
      </c>
      <c r="U945">
        <f>IF([2]Entry!$K$948="","",[2]Entry!$K$948)</f>
        <v/>
      </c>
      <c r="V945">
        <f>IF([2]Entry!$L$948="","",[2]Entry!$L$948)</f>
        <v/>
      </c>
      <c r="W945">
        <f>IF([2]Entry!$M$948="","",[2]Entry!$M$948)</f>
        <v/>
      </c>
      <c r="X945">
        <f>IF([2]Entry!$N$948="","",[2]Entry!$N$948)</f>
        <v/>
      </c>
      <c r="Y945">
        <f>IF([2]Entry!$R$948="","",[2]Entry!$R$948)</f>
        <v/>
      </c>
    </row>
    <row r="946">
      <c r="P946">
        <f>IF([2]Entry!$C$949="","",[2]Entry!$C$949)</f>
        <v/>
      </c>
      <c r="Q946">
        <f>IF([2]Entry!$D$949="","",[2]Entry!$D$949)</f>
        <v/>
      </c>
      <c r="R946">
        <f>IF([2]Entry!$E$949="","",[2]Entry!$E$949)</f>
        <v/>
      </c>
      <c r="S946">
        <f>IF([2]Entry!$G$949="","",[2]Entry!$G$949)</f>
        <v/>
      </c>
      <c r="T946">
        <f>IF([2]Entry!$J$949="","",[2]Entry!$J$949)</f>
        <v/>
      </c>
      <c r="U946">
        <f>IF([2]Entry!$K$949="","",[2]Entry!$K$949)</f>
        <v/>
      </c>
      <c r="V946">
        <f>IF([2]Entry!$L$949="","",[2]Entry!$L$949)</f>
        <v/>
      </c>
      <c r="W946">
        <f>IF([2]Entry!$M$949="","",[2]Entry!$M$949)</f>
        <v/>
      </c>
      <c r="X946">
        <f>IF([2]Entry!$N$949="","",[2]Entry!$N$949)</f>
        <v/>
      </c>
      <c r="Y946">
        <f>IF([2]Entry!$R$949="","",[2]Entry!$R$949)</f>
        <v/>
      </c>
    </row>
    <row r="947">
      <c r="P947">
        <f>IF([2]Entry!$C$950="","",[2]Entry!$C$950)</f>
        <v/>
      </c>
      <c r="Q947">
        <f>IF([2]Entry!$D$950="","",[2]Entry!$D$950)</f>
        <v/>
      </c>
      <c r="R947">
        <f>IF([2]Entry!$E$950="","",[2]Entry!$E$950)</f>
        <v/>
      </c>
      <c r="S947">
        <f>IF([2]Entry!$G$950="","",[2]Entry!$G$950)</f>
        <v/>
      </c>
      <c r="T947">
        <f>IF([2]Entry!$J$950="","",[2]Entry!$J$950)</f>
        <v/>
      </c>
      <c r="U947">
        <f>IF([2]Entry!$K$950="","",[2]Entry!$K$950)</f>
        <v/>
      </c>
      <c r="V947">
        <f>IF([2]Entry!$L$950="","",[2]Entry!$L$950)</f>
        <v/>
      </c>
      <c r="W947">
        <f>IF([2]Entry!$M$950="","",[2]Entry!$M$950)</f>
        <v/>
      </c>
      <c r="X947">
        <f>IF([2]Entry!$N$950="","",[2]Entry!$N$950)</f>
        <v/>
      </c>
      <c r="Y947">
        <f>IF([2]Entry!$R$950="","",[2]Entry!$R$950)</f>
        <v/>
      </c>
    </row>
    <row r="948">
      <c r="P948">
        <f>IF([2]Entry!$C$951="","",[2]Entry!$C$951)</f>
        <v/>
      </c>
      <c r="Q948">
        <f>IF([2]Entry!$D$951="","",[2]Entry!$D$951)</f>
        <v/>
      </c>
      <c r="R948">
        <f>IF([2]Entry!$E$951="","",[2]Entry!$E$951)</f>
        <v/>
      </c>
      <c r="S948">
        <f>IF([2]Entry!$G$951="","",[2]Entry!$G$951)</f>
        <v/>
      </c>
      <c r="T948">
        <f>IF([2]Entry!$J$951="","",[2]Entry!$J$951)</f>
        <v/>
      </c>
      <c r="U948">
        <f>IF([2]Entry!$K$951="","",[2]Entry!$K$951)</f>
        <v/>
      </c>
      <c r="V948">
        <f>IF([2]Entry!$L$951="","",[2]Entry!$L$951)</f>
        <v/>
      </c>
      <c r="W948">
        <f>IF([2]Entry!$M$951="","",[2]Entry!$M$951)</f>
        <v/>
      </c>
      <c r="X948">
        <f>IF([2]Entry!$N$951="","",[2]Entry!$N$951)</f>
        <v/>
      </c>
      <c r="Y948">
        <f>IF([2]Entry!$R$951="","",[2]Entry!$R$951)</f>
        <v/>
      </c>
    </row>
    <row r="949">
      <c r="P949">
        <f>IF([2]Entry!$C$952="","",[2]Entry!$C$952)</f>
        <v/>
      </c>
      <c r="Q949">
        <f>IF([2]Entry!$D$952="","",[2]Entry!$D$952)</f>
        <v/>
      </c>
      <c r="R949">
        <f>IF([2]Entry!$E$952="","",[2]Entry!$E$952)</f>
        <v/>
      </c>
      <c r="S949">
        <f>IF([2]Entry!$G$952="","",[2]Entry!$G$952)</f>
        <v/>
      </c>
      <c r="T949">
        <f>IF([2]Entry!$J$952="","",[2]Entry!$J$952)</f>
        <v/>
      </c>
      <c r="U949">
        <f>IF([2]Entry!$K$952="","",[2]Entry!$K$952)</f>
        <v/>
      </c>
      <c r="V949">
        <f>IF([2]Entry!$L$952="","",[2]Entry!$L$952)</f>
        <v/>
      </c>
      <c r="W949">
        <f>IF([2]Entry!$M$952="","",[2]Entry!$M$952)</f>
        <v/>
      </c>
      <c r="X949">
        <f>IF([2]Entry!$N$952="","",[2]Entry!$N$952)</f>
        <v/>
      </c>
      <c r="Y949">
        <f>IF([2]Entry!$R$952="","",[2]Entry!$R$952)</f>
        <v/>
      </c>
    </row>
    <row r="950">
      <c r="P950">
        <f>IF([2]Entry!$C$953="","",[2]Entry!$C$953)</f>
        <v/>
      </c>
      <c r="Q950">
        <f>IF([2]Entry!$D$953="","",[2]Entry!$D$953)</f>
        <v/>
      </c>
      <c r="R950">
        <f>IF([2]Entry!$E$953="","",[2]Entry!$E$953)</f>
        <v/>
      </c>
      <c r="S950">
        <f>IF([2]Entry!$G$953="","",[2]Entry!$G$953)</f>
        <v/>
      </c>
      <c r="T950">
        <f>IF([2]Entry!$J$953="","",[2]Entry!$J$953)</f>
        <v/>
      </c>
      <c r="U950">
        <f>IF([2]Entry!$K$953="","",[2]Entry!$K$953)</f>
        <v/>
      </c>
      <c r="V950">
        <f>IF([2]Entry!$L$953="","",[2]Entry!$L$953)</f>
        <v/>
      </c>
      <c r="W950">
        <f>IF([2]Entry!$M$953="","",[2]Entry!$M$953)</f>
        <v/>
      </c>
      <c r="X950">
        <f>IF([2]Entry!$N$953="","",[2]Entry!$N$953)</f>
        <v/>
      </c>
      <c r="Y950">
        <f>IF([2]Entry!$R$953="","",[2]Entry!$R$953)</f>
        <v/>
      </c>
    </row>
    <row r="951">
      <c r="P951">
        <f>IF([2]Entry!$C$954="","",[2]Entry!$C$954)</f>
        <v/>
      </c>
      <c r="Q951">
        <f>IF([2]Entry!$D$954="","",[2]Entry!$D$954)</f>
        <v/>
      </c>
      <c r="R951">
        <f>IF([2]Entry!$E$954="","",[2]Entry!$E$954)</f>
        <v/>
      </c>
      <c r="S951">
        <f>IF([2]Entry!$G$954="","",[2]Entry!$G$954)</f>
        <v/>
      </c>
      <c r="T951">
        <f>IF([2]Entry!$J$954="","",[2]Entry!$J$954)</f>
        <v/>
      </c>
      <c r="U951">
        <f>IF([2]Entry!$K$954="","",[2]Entry!$K$954)</f>
        <v/>
      </c>
      <c r="V951">
        <f>IF([2]Entry!$L$954="","",[2]Entry!$L$954)</f>
        <v/>
      </c>
      <c r="W951">
        <f>IF([2]Entry!$M$954="","",[2]Entry!$M$954)</f>
        <v/>
      </c>
      <c r="X951">
        <f>IF([2]Entry!$N$954="","",[2]Entry!$N$954)</f>
        <v/>
      </c>
      <c r="Y951">
        <f>IF([2]Entry!$R$954="","",[2]Entry!$R$954)</f>
        <v/>
      </c>
    </row>
    <row r="952">
      <c r="P952">
        <f>IF([2]Entry!$C$955="","",[2]Entry!$C$955)</f>
        <v/>
      </c>
      <c r="Q952">
        <f>IF([2]Entry!$D$955="","",[2]Entry!$D$955)</f>
        <v/>
      </c>
      <c r="R952">
        <f>IF([2]Entry!$E$955="","",[2]Entry!$E$955)</f>
        <v/>
      </c>
      <c r="S952">
        <f>IF([2]Entry!$G$955="","",[2]Entry!$G$955)</f>
        <v/>
      </c>
      <c r="T952">
        <f>IF([2]Entry!$J$955="","",[2]Entry!$J$955)</f>
        <v/>
      </c>
      <c r="U952">
        <f>IF([2]Entry!$K$955="","",[2]Entry!$K$955)</f>
        <v/>
      </c>
      <c r="V952">
        <f>IF([2]Entry!$L$955="","",[2]Entry!$L$955)</f>
        <v/>
      </c>
      <c r="W952">
        <f>IF([2]Entry!$M$955="","",[2]Entry!$M$955)</f>
        <v/>
      </c>
      <c r="X952">
        <f>IF([2]Entry!$N$955="","",[2]Entry!$N$955)</f>
        <v/>
      </c>
      <c r="Y952">
        <f>IF([2]Entry!$R$955="","",[2]Entry!$R$955)</f>
        <v/>
      </c>
    </row>
    <row r="953">
      <c r="P953">
        <f>IF([2]Entry!$C$956="","",[2]Entry!$C$956)</f>
        <v/>
      </c>
      <c r="Q953">
        <f>IF([2]Entry!$D$956="","",[2]Entry!$D$956)</f>
        <v/>
      </c>
      <c r="R953">
        <f>IF([2]Entry!$E$956="","",[2]Entry!$E$956)</f>
        <v/>
      </c>
      <c r="S953">
        <f>IF([2]Entry!$G$956="","",[2]Entry!$G$956)</f>
        <v/>
      </c>
      <c r="T953">
        <f>IF([2]Entry!$J$956="","",[2]Entry!$J$956)</f>
        <v/>
      </c>
      <c r="U953">
        <f>IF([2]Entry!$K$956="","",[2]Entry!$K$956)</f>
        <v/>
      </c>
      <c r="V953">
        <f>IF([2]Entry!$L$956="","",[2]Entry!$L$956)</f>
        <v/>
      </c>
      <c r="W953">
        <f>IF([2]Entry!$M$956="","",[2]Entry!$M$956)</f>
        <v/>
      </c>
      <c r="X953">
        <f>IF([2]Entry!$N$956="","",[2]Entry!$N$956)</f>
        <v/>
      </c>
      <c r="Y953">
        <f>IF([2]Entry!$R$956="","",[2]Entry!$R$956)</f>
        <v/>
      </c>
    </row>
    <row r="954">
      <c r="P954">
        <f>IF([2]Entry!$C$957="","",[2]Entry!$C$957)</f>
        <v/>
      </c>
      <c r="Q954">
        <f>IF([2]Entry!$D$957="","",[2]Entry!$D$957)</f>
        <v/>
      </c>
      <c r="R954">
        <f>IF([2]Entry!$E$957="","",[2]Entry!$E$957)</f>
        <v/>
      </c>
      <c r="S954">
        <f>IF([2]Entry!$G$957="","",[2]Entry!$G$957)</f>
        <v/>
      </c>
      <c r="T954">
        <f>IF([2]Entry!$J$957="","",[2]Entry!$J$957)</f>
        <v/>
      </c>
      <c r="U954">
        <f>IF([2]Entry!$K$957="","",[2]Entry!$K$957)</f>
        <v/>
      </c>
      <c r="V954">
        <f>IF([2]Entry!$L$957="","",[2]Entry!$L$957)</f>
        <v/>
      </c>
      <c r="W954">
        <f>IF([2]Entry!$M$957="","",[2]Entry!$M$957)</f>
        <v/>
      </c>
      <c r="X954">
        <f>IF([2]Entry!$N$957="","",[2]Entry!$N$957)</f>
        <v/>
      </c>
      <c r="Y954">
        <f>IF([2]Entry!$R$957="","",[2]Entry!$R$957)</f>
        <v/>
      </c>
    </row>
    <row r="955">
      <c r="P955">
        <f>IF([2]Entry!$C$958="","",[2]Entry!$C$958)</f>
        <v/>
      </c>
      <c r="Q955">
        <f>IF([2]Entry!$D$958="","",[2]Entry!$D$958)</f>
        <v/>
      </c>
      <c r="R955">
        <f>IF([2]Entry!$E$958="","",[2]Entry!$E$958)</f>
        <v/>
      </c>
      <c r="S955">
        <f>IF([2]Entry!$G$958="","",[2]Entry!$G$958)</f>
        <v/>
      </c>
      <c r="T955">
        <f>IF([2]Entry!$J$958="","",[2]Entry!$J$958)</f>
        <v/>
      </c>
      <c r="U955">
        <f>IF([2]Entry!$K$958="","",[2]Entry!$K$958)</f>
        <v/>
      </c>
      <c r="V955">
        <f>IF([2]Entry!$L$958="","",[2]Entry!$L$958)</f>
        <v/>
      </c>
      <c r="W955">
        <f>IF([2]Entry!$M$958="","",[2]Entry!$M$958)</f>
        <v/>
      </c>
      <c r="X955">
        <f>IF([2]Entry!$N$958="","",[2]Entry!$N$958)</f>
        <v/>
      </c>
      <c r="Y955">
        <f>IF([2]Entry!$R$958="","",[2]Entry!$R$958)</f>
        <v/>
      </c>
    </row>
    <row r="956">
      <c r="P956">
        <f>IF([2]Entry!$C$959="","",[2]Entry!$C$959)</f>
        <v/>
      </c>
      <c r="Q956">
        <f>IF([2]Entry!$D$959="","",[2]Entry!$D$959)</f>
        <v/>
      </c>
      <c r="R956">
        <f>IF([2]Entry!$E$959="","",[2]Entry!$E$959)</f>
        <v/>
      </c>
      <c r="S956">
        <f>IF([2]Entry!$G$959="","",[2]Entry!$G$959)</f>
        <v/>
      </c>
      <c r="T956">
        <f>IF([2]Entry!$J$959="","",[2]Entry!$J$959)</f>
        <v/>
      </c>
      <c r="U956">
        <f>IF([2]Entry!$K$959="","",[2]Entry!$K$959)</f>
        <v/>
      </c>
      <c r="V956">
        <f>IF([2]Entry!$L$959="","",[2]Entry!$L$959)</f>
        <v/>
      </c>
      <c r="W956">
        <f>IF([2]Entry!$M$959="","",[2]Entry!$M$959)</f>
        <v/>
      </c>
      <c r="X956">
        <f>IF([2]Entry!$N$959="","",[2]Entry!$N$959)</f>
        <v/>
      </c>
      <c r="Y956">
        <f>IF([2]Entry!$R$959="","",[2]Entry!$R$959)</f>
        <v/>
      </c>
    </row>
    <row r="957">
      <c r="P957">
        <f>IF([2]Entry!$C$960="","",[2]Entry!$C$960)</f>
        <v/>
      </c>
      <c r="Q957">
        <f>IF([2]Entry!$D$960="","",[2]Entry!$D$960)</f>
        <v/>
      </c>
      <c r="R957">
        <f>IF([2]Entry!$E$960="","",[2]Entry!$E$960)</f>
        <v/>
      </c>
      <c r="S957">
        <f>IF([2]Entry!$G$960="","",[2]Entry!$G$960)</f>
        <v/>
      </c>
      <c r="T957">
        <f>IF([2]Entry!$J$960="","",[2]Entry!$J$960)</f>
        <v/>
      </c>
      <c r="U957">
        <f>IF([2]Entry!$K$960="","",[2]Entry!$K$960)</f>
        <v/>
      </c>
      <c r="V957">
        <f>IF([2]Entry!$L$960="","",[2]Entry!$L$960)</f>
        <v/>
      </c>
      <c r="W957">
        <f>IF([2]Entry!$M$960="","",[2]Entry!$M$960)</f>
        <v/>
      </c>
      <c r="X957">
        <f>IF([2]Entry!$N$960="","",[2]Entry!$N$960)</f>
        <v/>
      </c>
      <c r="Y957">
        <f>IF([2]Entry!$R$960="","",[2]Entry!$R$960)</f>
        <v/>
      </c>
    </row>
    <row r="958">
      <c r="P958">
        <f>IF([2]Entry!$C$961="","",[2]Entry!$C$961)</f>
        <v/>
      </c>
      <c r="Q958">
        <f>IF([2]Entry!$D$961="","",[2]Entry!$D$961)</f>
        <v/>
      </c>
      <c r="R958">
        <f>IF([2]Entry!$E$961="","",[2]Entry!$E$961)</f>
        <v/>
      </c>
      <c r="S958">
        <f>IF([2]Entry!$G$961="","",[2]Entry!$G$961)</f>
        <v/>
      </c>
      <c r="T958">
        <f>IF([2]Entry!$J$961="","",[2]Entry!$J$961)</f>
        <v/>
      </c>
      <c r="U958">
        <f>IF([2]Entry!$K$961="","",[2]Entry!$K$961)</f>
        <v/>
      </c>
      <c r="V958">
        <f>IF([2]Entry!$L$961="","",[2]Entry!$L$961)</f>
        <v/>
      </c>
      <c r="W958">
        <f>IF([2]Entry!$M$961="","",[2]Entry!$M$961)</f>
        <v/>
      </c>
      <c r="X958">
        <f>IF([2]Entry!$N$961="","",[2]Entry!$N$961)</f>
        <v/>
      </c>
      <c r="Y958">
        <f>IF([2]Entry!$R$961="","",[2]Entry!$R$961)</f>
        <v/>
      </c>
    </row>
    <row r="959">
      <c r="P959">
        <f>IF([2]Entry!$C$962="","",[2]Entry!$C$962)</f>
        <v/>
      </c>
      <c r="Q959">
        <f>IF([2]Entry!$D$962="","",[2]Entry!$D$962)</f>
        <v/>
      </c>
      <c r="R959">
        <f>IF([2]Entry!$E$962="","",[2]Entry!$E$962)</f>
        <v/>
      </c>
      <c r="S959">
        <f>IF([2]Entry!$G$962="","",[2]Entry!$G$962)</f>
        <v/>
      </c>
      <c r="T959">
        <f>IF([2]Entry!$J$962="","",[2]Entry!$J$962)</f>
        <v/>
      </c>
      <c r="U959">
        <f>IF([2]Entry!$K$962="","",[2]Entry!$K$962)</f>
        <v/>
      </c>
      <c r="V959">
        <f>IF([2]Entry!$L$962="","",[2]Entry!$L$962)</f>
        <v/>
      </c>
      <c r="W959">
        <f>IF([2]Entry!$M$962="","",[2]Entry!$M$962)</f>
        <v/>
      </c>
      <c r="X959">
        <f>IF([2]Entry!$N$962="","",[2]Entry!$N$962)</f>
        <v/>
      </c>
      <c r="Y959">
        <f>IF([2]Entry!$R$962="","",[2]Entry!$R$962)</f>
        <v/>
      </c>
    </row>
    <row r="960">
      <c r="P960">
        <f>IF([2]Entry!$C$963="","",[2]Entry!$C$963)</f>
        <v/>
      </c>
      <c r="Q960">
        <f>IF([2]Entry!$D$963="","",[2]Entry!$D$963)</f>
        <v/>
      </c>
      <c r="R960">
        <f>IF([2]Entry!$E$963="","",[2]Entry!$E$963)</f>
        <v/>
      </c>
      <c r="S960">
        <f>IF([2]Entry!$G$963="","",[2]Entry!$G$963)</f>
        <v/>
      </c>
      <c r="T960">
        <f>IF([2]Entry!$J$963="","",[2]Entry!$J$963)</f>
        <v/>
      </c>
      <c r="U960">
        <f>IF([2]Entry!$K$963="","",[2]Entry!$K$963)</f>
        <v/>
      </c>
      <c r="V960">
        <f>IF([2]Entry!$L$963="","",[2]Entry!$L$963)</f>
        <v/>
      </c>
      <c r="W960">
        <f>IF([2]Entry!$M$963="","",[2]Entry!$M$963)</f>
        <v/>
      </c>
      <c r="X960">
        <f>IF([2]Entry!$N$963="","",[2]Entry!$N$963)</f>
        <v/>
      </c>
      <c r="Y960">
        <f>IF([2]Entry!$R$963="","",[2]Entry!$R$963)</f>
        <v/>
      </c>
    </row>
    <row r="961">
      <c r="P961">
        <f>IF([2]Entry!$C$964="","",[2]Entry!$C$964)</f>
        <v/>
      </c>
      <c r="Q961">
        <f>IF([2]Entry!$D$964="","",[2]Entry!$D$964)</f>
        <v/>
      </c>
      <c r="R961">
        <f>IF([2]Entry!$E$964="","",[2]Entry!$E$964)</f>
        <v/>
      </c>
      <c r="S961">
        <f>IF([2]Entry!$G$964="","",[2]Entry!$G$964)</f>
        <v/>
      </c>
      <c r="T961">
        <f>IF([2]Entry!$J$964="","",[2]Entry!$J$964)</f>
        <v/>
      </c>
      <c r="U961">
        <f>IF([2]Entry!$K$964="","",[2]Entry!$K$964)</f>
        <v/>
      </c>
      <c r="V961">
        <f>IF([2]Entry!$L$964="","",[2]Entry!$L$964)</f>
        <v/>
      </c>
      <c r="W961">
        <f>IF([2]Entry!$M$964="","",[2]Entry!$M$964)</f>
        <v/>
      </c>
      <c r="X961">
        <f>IF([2]Entry!$N$964="","",[2]Entry!$N$964)</f>
        <v/>
      </c>
      <c r="Y961">
        <f>IF([2]Entry!$R$964="","",[2]Entry!$R$964)</f>
        <v/>
      </c>
    </row>
    <row r="962">
      <c r="P962">
        <f>IF([2]Entry!$C$965="","",[2]Entry!$C$965)</f>
        <v/>
      </c>
      <c r="Q962">
        <f>IF([2]Entry!$D$965="","",[2]Entry!$D$965)</f>
        <v/>
      </c>
      <c r="R962">
        <f>IF([2]Entry!$E$965="","",[2]Entry!$E$965)</f>
        <v/>
      </c>
      <c r="S962">
        <f>IF([2]Entry!$G$965="","",[2]Entry!$G$965)</f>
        <v/>
      </c>
      <c r="T962">
        <f>IF([2]Entry!$J$965="","",[2]Entry!$J$965)</f>
        <v/>
      </c>
      <c r="U962">
        <f>IF([2]Entry!$K$965="","",[2]Entry!$K$965)</f>
        <v/>
      </c>
      <c r="V962">
        <f>IF([2]Entry!$L$965="","",[2]Entry!$L$965)</f>
        <v/>
      </c>
      <c r="W962">
        <f>IF([2]Entry!$M$965="","",[2]Entry!$M$965)</f>
        <v/>
      </c>
      <c r="X962">
        <f>IF([2]Entry!$N$965="","",[2]Entry!$N$965)</f>
        <v/>
      </c>
      <c r="Y962">
        <f>IF([2]Entry!$R$965="","",[2]Entry!$R$965)</f>
        <v/>
      </c>
    </row>
    <row r="963">
      <c r="P963">
        <f>IF([2]Entry!$C$966="","",[2]Entry!$C$966)</f>
        <v/>
      </c>
      <c r="Q963">
        <f>IF([2]Entry!$D$966="","",[2]Entry!$D$966)</f>
        <v/>
      </c>
      <c r="R963">
        <f>IF([2]Entry!$E$966="","",[2]Entry!$E$966)</f>
        <v/>
      </c>
      <c r="S963">
        <f>IF([2]Entry!$G$966="","",[2]Entry!$G$966)</f>
        <v/>
      </c>
      <c r="T963">
        <f>IF([2]Entry!$J$966="","",[2]Entry!$J$966)</f>
        <v/>
      </c>
      <c r="U963">
        <f>IF([2]Entry!$K$966="","",[2]Entry!$K$966)</f>
        <v/>
      </c>
      <c r="V963">
        <f>IF([2]Entry!$L$966="","",[2]Entry!$L$966)</f>
        <v/>
      </c>
      <c r="W963">
        <f>IF([2]Entry!$M$966="","",[2]Entry!$M$966)</f>
        <v/>
      </c>
      <c r="X963">
        <f>IF([2]Entry!$N$966="","",[2]Entry!$N$966)</f>
        <v/>
      </c>
      <c r="Y963">
        <f>IF([2]Entry!$R$966="","",[2]Entry!$R$966)</f>
        <v/>
      </c>
    </row>
    <row r="964">
      <c r="P964">
        <f>IF([2]Entry!$C$967="","",[2]Entry!$C$967)</f>
        <v/>
      </c>
      <c r="Q964">
        <f>IF([2]Entry!$D$967="","",[2]Entry!$D$967)</f>
        <v/>
      </c>
      <c r="R964">
        <f>IF([2]Entry!$E$967="","",[2]Entry!$E$967)</f>
        <v/>
      </c>
      <c r="S964">
        <f>IF([2]Entry!$G$967="","",[2]Entry!$G$967)</f>
        <v/>
      </c>
      <c r="T964">
        <f>IF([2]Entry!$J$967="","",[2]Entry!$J$967)</f>
        <v/>
      </c>
      <c r="U964">
        <f>IF([2]Entry!$K$967="","",[2]Entry!$K$967)</f>
        <v/>
      </c>
      <c r="V964">
        <f>IF([2]Entry!$L$967="","",[2]Entry!$L$967)</f>
        <v/>
      </c>
      <c r="W964">
        <f>IF([2]Entry!$M$967="","",[2]Entry!$M$967)</f>
        <v/>
      </c>
      <c r="X964">
        <f>IF([2]Entry!$N$967="","",[2]Entry!$N$967)</f>
        <v/>
      </c>
      <c r="Y964">
        <f>IF([2]Entry!$R$967="","",[2]Entry!$R$967)</f>
        <v/>
      </c>
    </row>
    <row r="965">
      <c r="P965">
        <f>IF([2]Entry!$C$968="","",[2]Entry!$C$968)</f>
        <v/>
      </c>
      <c r="Q965">
        <f>IF([2]Entry!$D$968="","",[2]Entry!$D$968)</f>
        <v/>
      </c>
      <c r="R965">
        <f>IF([2]Entry!$E$968="","",[2]Entry!$E$968)</f>
        <v/>
      </c>
      <c r="S965">
        <f>IF([2]Entry!$G$968="","",[2]Entry!$G$968)</f>
        <v/>
      </c>
      <c r="T965">
        <f>IF([2]Entry!$J$968="","",[2]Entry!$J$968)</f>
        <v/>
      </c>
      <c r="U965">
        <f>IF([2]Entry!$K$968="","",[2]Entry!$K$968)</f>
        <v/>
      </c>
      <c r="V965">
        <f>IF([2]Entry!$L$968="","",[2]Entry!$L$968)</f>
        <v/>
      </c>
      <c r="W965">
        <f>IF([2]Entry!$M$968="","",[2]Entry!$M$968)</f>
        <v/>
      </c>
      <c r="X965">
        <f>IF([2]Entry!$N$968="","",[2]Entry!$N$968)</f>
        <v/>
      </c>
      <c r="Y965">
        <f>IF([2]Entry!$R$968="","",[2]Entry!$R$968)</f>
        <v/>
      </c>
    </row>
    <row r="966">
      <c r="P966">
        <f>IF([2]Entry!$C$969="","",[2]Entry!$C$969)</f>
        <v/>
      </c>
      <c r="Q966">
        <f>IF([2]Entry!$D$969="","",[2]Entry!$D$969)</f>
        <v/>
      </c>
      <c r="R966">
        <f>IF([2]Entry!$E$969="","",[2]Entry!$E$969)</f>
        <v/>
      </c>
      <c r="S966">
        <f>IF([2]Entry!$G$969="","",[2]Entry!$G$969)</f>
        <v/>
      </c>
      <c r="T966">
        <f>IF([2]Entry!$J$969="","",[2]Entry!$J$969)</f>
        <v/>
      </c>
      <c r="U966">
        <f>IF([2]Entry!$K$969="","",[2]Entry!$K$969)</f>
        <v/>
      </c>
      <c r="V966">
        <f>IF([2]Entry!$L$969="","",[2]Entry!$L$969)</f>
        <v/>
      </c>
      <c r="W966">
        <f>IF([2]Entry!$M$969="","",[2]Entry!$M$969)</f>
        <v/>
      </c>
      <c r="X966">
        <f>IF([2]Entry!$N$969="","",[2]Entry!$N$969)</f>
        <v/>
      </c>
      <c r="Y966">
        <f>IF([2]Entry!$R$969="","",[2]Entry!$R$969)</f>
        <v/>
      </c>
    </row>
    <row r="967">
      <c r="P967">
        <f>IF([2]Entry!$C$970="","",[2]Entry!$C$970)</f>
        <v/>
      </c>
      <c r="Q967">
        <f>IF([2]Entry!$D$970="","",[2]Entry!$D$970)</f>
        <v/>
      </c>
      <c r="R967">
        <f>IF([2]Entry!$E$970="","",[2]Entry!$E$970)</f>
        <v/>
      </c>
      <c r="S967">
        <f>IF([2]Entry!$G$970="","",[2]Entry!$G$970)</f>
        <v/>
      </c>
      <c r="T967">
        <f>IF([2]Entry!$J$970="","",[2]Entry!$J$970)</f>
        <v/>
      </c>
      <c r="U967">
        <f>IF([2]Entry!$K$970="","",[2]Entry!$K$970)</f>
        <v/>
      </c>
      <c r="V967">
        <f>IF([2]Entry!$L$970="","",[2]Entry!$L$970)</f>
        <v/>
      </c>
      <c r="W967">
        <f>IF([2]Entry!$M$970="","",[2]Entry!$M$970)</f>
        <v/>
      </c>
      <c r="X967">
        <f>IF([2]Entry!$N$970="","",[2]Entry!$N$970)</f>
        <v/>
      </c>
      <c r="Y967">
        <f>IF([2]Entry!$R$970="","",[2]Entry!$R$970)</f>
        <v/>
      </c>
    </row>
    <row r="968">
      <c r="P968">
        <f>IF([2]Entry!$C$971="","",[2]Entry!$C$971)</f>
        <v/>
      </c>
      <c r="Q968">
        <f>IF([2]Entry!$D$971="","",[2]Entry!$D$971)</f>
        <v/>
      </c>
      <c r="R968">
        <f>IF([2]Entry!$E$971="","",[2]Entry!$E$971)</f>
        <v/>
      </c>
      <c r="S968">
        <f>IF([2]Entry!$G$971="","",[2]Entry!$G$971)</f>
        <v/>
      </c>
      <c r="T968">
        <f>IF([2]Entry!$J$971="","",[2]Entry!$J$971)</f>
        <v/>
      </c>
      <c r="U968">
        <f>IF([2]Entry!$K$971="","",[2]Entry!$K$971)</f>
        <v/>
      </c>
      <c r="V968">
        <f>IF([2]Entry!$L$971="","",[2]Entry!$L$971)</f>
        <v/>
      </c>
      <c r="W968">
        <f>IF([2]Entry!$M$971="","",[2]Entry!$M$971)</f>
        <v/>
      </c>
      <c r="X968">
        <f>IF([2]Entry!$N$971="","",[2]Entry!$N$971)</f>
        <v/>
      </c>
      <c r="Y968">
        <f>IF([2]Entry!$R$971="","",[2]Entry!$R$971)</f>
        <v/>
      </c>
    </row>
    <row r="969">
      <c r="P969">
        <f>IF([2]Entry!$C$972="","",[2]Entry!$C$972)</f>
        <v/>
      </c>
      <c r="Q969">
        <f>IF([2]Entry!$D$972="","",[2]Entry!$D$972)</f>
        <v/>
      </c>
      <c r="R969">
        <f>IF([2]Entry!$E$972="","",[2]Entry!$E$972)</f>
        <v/>
      </c>
      <c r="S969">
        <f>IF([2]Entry!$G$972="","",[2]Entry!$G$972)</f>
        <v/>
      </c>
      <c r="T969">
        <f>IF([2]Entry!$J$972="","",[2]Entry!$J$972)</f>
        <v/>
      </c>
      <c r="U969">
        <f>IF([2]Entry!$K$972="","",[2]Entry!$K$972)</f>
        <v/>
      </c>
      <c r="V969">
        <f>IF([2]Entry!$L$972="","",[2]Entry!$L$972)</f>
        <v/>
      </c>
      <c r="W969">
        <f>IF([2]Entry!$M$972="","",[2]Entry!$M$972)</f>
        <v/>
      </c>
      <c r="X969">
        <f>IF([2]Entry!$N$972="","",[2]Entry!$N$972)</f>
        <v/>
      </c>
      <c r="Y969">
        <f>IF([2]Entry!$R$972="","",[2]Entry!$R$972)</f>
        <v/>
      </c>
    </row>
    <row r="970">
      <c r="P970">
        <f>IF([2]Entry!$C$973="","",[2]Entry!$C$973)</f>
        <v/>
      </c>
      <c r="Q970">
        <f>IF([2]Entry!$D$973="","",[2]Entry!$D$973)</f>
        <v/>
      </c>
      <c r="R970">
        <f>IF([2]Entry!$E$973="","",[2]Entry!$E$973)</f>
        <v/>
      </c>
      <c r="S970">
        <f>IF([2]Entry!$G$973="","",[2]Entry!$G$973)</f>
        <v/>
      </c>
      <c r="T970">
        <f>IF([2]Entry!$J$973="","",[2]Entry!$J$973)</f>
        <v/>
      </c>
      <c r="U970">
        <f>IF([2]Entry!$K$973="","",[2]Entry!$K$973)</f>
        <v/>
      </c>
      <c r="V970">
        <f>IF([2]Entry!$L$973="","",[2]Entry!$L$973)</f>
        <v/>
      </c>
      <c r="W970">
        <f>IF([2]Entry!$M$973="","",[2]Entry!$M$973)</f>
        <v/>
      </c>
      <c r="X970">
        <f>IF([2]Entry!$N$973="","",[2]Entry!$N$973)</f>
        <v/>
      </c>
      <c r="Y970">
        <f>IF([2]Entry!$R$973="","",[2]Entry!$R$973)</f>
        <v/>
      </c>
    </row>
    <row r="971">
      <c r="P971">
        <f>IF([2]Entry!$C$974="","",[2]Entry!$C$974)</f>
        <v/>
      </c>
      <c r="Q971">
        <f>IF([2]Entry!$D$974="","",[2]Entry!$D$974)</f>
        <v/>
      </c>
      <c r="R971">
        <f>IF([2]Entry!$E$974="","",[2]Entry!$E$974)</f>
        <v/>
      </c>
      <c r="S971">
        <f>IF([2]Entry!$G$974="","",[2]Entry!$G$974)</f>
        <v/>
      </c>
      <c r="T971">
        <f>IF([2]Entry!$J$974="","",[2]Entry!$J$974)</f>
        <v/>
      </c>
      <c r="U971">
        <f>IF([2]Entry!$K$974="","",[2]Entry!$K$974)</f>
        <v/>
      </c>
      <c r="V971">
        <f>IF([2]Entry!$L$974="","",[2]Entry!$L$974)</f>
        <v/>
      </c>
      <c r="W971">
        <f>IF([2]Entry!$M$974="","",[2]Entry!$M$974)</f>
        <v/>
      </c>
      <c r="X971">
        <f>IF([2]Entry!$N$974="","",[2]Entry!$N$974)</f>
        <v/>
      </c>
      <c r="Y971">
        <f>IF([2]Entry!$R$974="","",[2]Entry!$R$974)</f>
        <v/>
      </c>
    </row>
    <row r="972">
      <c r="P972">
        <f>IF([2]Entry!$C$975="","",[2]Entry!$C$975)</f>
        <v/>
      </c>
      <c r="Q972">
        <f>IF([2]Entry!$D$975="","",[2]Entry!$D$975)</f>
        <v/>
      </c>
      <c r="R972">
        <f>IF([2]Entry!$E$975="","",[2]Entry!$E$975)</f>
        <v/>
      </c>
      <c r="S972">
        <f>IF([2]Entry!$G$975="","",[2]Entry!$G$975)</f>
        <v/>
      </c>
      <c r="T972">
        <f>IF([2]Entry!$J$975="","",[2]Entry!$J$975)</f>
        <v/>
      </c>
      <c r="U972">
        <f>IF([2]Entry!$K$975="","",[2]Entry!$K$975)</f>
        <v/>
      </c>
      <c r="V972">
        <f>IF([2]Entry!$L$975="","",[2]Entry!$L$975)</f>
        <v/>
      </c>
      <c r="W972">
        <f>IF([2]Entry!$M$975="","",[2]Entry!$M$975)</f>
        <v/>
      </c>
      <c r="X972">
        <f>IF([2]Entry!$N$975="","",[2]Entry!$N$975)</f>
        <v/>
      </c>
      <c r="Y972">
        <f>IF([2]Entry!$R$975="","",[2]Entry!$R$975)</f>
        <v/>
      </c>
    </row>
    <row r="973">
      <c r="P973">
        <f>IF([2]Entry!$C$976="","",[2]Entry!$C$976)</f>
        <v/>
      </c>
      <c r="Q973">
        <f>IF([2]Entry!$D$976="","",[2]Entry!$D$976)</f>
        <v/>
      </c>
      <c r="R973">
        <f>IF([2]Entry!$E$976="","",[2]Entry!$E$976)</f>
        <v/>
      </c>
      <c r="S973">
        <f>IF([2]Entry!$G$976="","",[2]Entry!$G$976)</f>
        <v/>
      </c>
      <c r="T973">
        <f>IF([2]Entry!$J$976="","",[2]Entry!$J$976)</f>
        <v/>
      </c>
      <c r="U973">
        <f>IF([2]Entry!$K$976="","",[2]Entry!$K$976)</f>
        <v/>
      </c>
      <c r="V973">
        <f>IF([2]Entry!$L$976="","",[2]Entry!$L$976)</f>
        <v/>
      </c>
      <c r="W973">
        <f>IF([2]Entry!$M$976="","",[2]Entry!$M$976)</f>
        <v/>
      </c>
      <c r="X973">
        <f>IF([2]Entry!$N$976="","",[2]Entry!$N$976)</f>
        <v/>
      </c>
      <c r="Y973">
        <f>IF([2]Entry!$R$976="","",[2]Entry!$R$976)</f>
        <v/>
      </c>
    </row>
    <row r="974">
      <c r="P974">
        <f>IF([2]Entry!$C$977="","",[2]Entry!$C$977)</f>
        <v/>
      </c>
      <c r="Q974">
        <f>IF([2]Entry!$D$977="","",[2]Entry!$D$977)</f>
        <v/>
      </c>
      <c r="R974">
        <f>IF([2]Entry!$E$977="","",[2]Entry!$E$977)</f>
        <v/>
      </c>
      <c r="S974">
        <f>IF([2]Entry!$G$977="","",[2]Entry!$G$977)</f>
        <v/>
      </c>
      <c r="T974">
        <f>IF([2]Entry!$J$977="","",[2]Entry!$J$977)</f>
        <v/>
      </c>
      <c r="U974">
        <f>IF([2]Entry!$K$977="","",[2]Entry!$K$977)</f>
        <v/>
      </c>
      <c r="V974">
        <f>IF([2]Entry!$L$977="","",[2]Entry!$L$977)</f>
        <v/>
      </c>
      <c r="W974">
        <f>IF([2]Entry!$M$977="","",[2]Entry!$M$977)</f>
        <v/>
      </c>
      <c r="X974">
        <f>IF([2]Entry!$N$977="","",[2]Entry!$N$977)</f>
        <v/>
      </c>
      <c r="Y974">
        <f>IF([2]Entry!$R$977="","",[2]Entry!$R$977)</f>
        <v/>
      </c>
    </row>
    <row r="975">
      <c r="P975">
        <f>IF([2]Entry!$C$978="","",[2]Entry!$C$978)</f>
        <v/>
      </c>
      <c r="Q975">
        <f>IF([2]Entry!$D$978="","",[2]Entry!$D$978)</f>
        <v/>
      </c>
      <c r="R975">
        <f>IF([2]Entry!$E$978="","",[2]Entry!$E$978)</f>
        <v/>
      </c>
      <c r="S975">
        <f>IF([2]Entry!$G$978="","",[2]Entry!$G$978)</f>
        <v/>
      </c>
      <c r="T975">
        <f>IF([2]Entry!$J$978="","",[2]Entry!$J$978)</f>
        <v/>
      </c>
      <c r="U975">
        <f>IF([2]Entry!$K$978="","",[2]Entry!$K$978)</f>
        <v/>
      </c>
      <c r="V975">
        <f>IF([2]Entry!$L$978="","",[2]Entry!$L$978)</f>
        <v/>
      </c>
      <c r="W975">
        <f>IF([2]Entry!$M$978="","",[2]Entry!$M$978)</f>
        <v/>
      </c>
      <c r="X975">
        <f>IF([2]Entry!$N$978="","",[2]Entry!$N$978)</f>
        <v/>
      </c>
      <c r="Y975">
        <f>IF([2]Entry!$R$978="","",[2]Entry!$R$978)</f>
        <v/>
      </c>
    </row>
    <row r="976">
      <c r="P976">
        <f>IF([2]Entry!$C$979="","",[2]Entry!$C$979)</f>
        <v/>
      </c>
      <c r="Q976">
        <f>IF([2]Entry!$D$979="","",[2]Entry!$D$979)</f>
        <v/>
      </c>
      <c r="R976">
        <f>IF([2]Entry!$E$979="","",[2]Entry!$E$979)</f>
        <v/>
      </c>
      <c r="S976">
        <f>IF([2]Entry!$G$979="","",[2]Entry!$G$979)</f>
        <v/>
      </c>
      <c r="T976">
        <f>IF([2]Entry!$J$979="","",[2]Entry!$J$979)</f>
        <v/>
      </c>
      <c r="U976">
        <f>IF([2]Entry!$K$979="","",[2]Entry!$K$979)</f>
        <v/>
      </c>
      <c r="V976">
        <f>IF([2]Entry!$L$979="","",[2]Entry!$L$979)</f>
        <v/>
      </c>
      <c r="W976">
        <f>IF([2]Entry!$M$979="","",[2]Entry!$M$979)</f>
        <v/>
      </c>
      <c r="X976">
        <f>IF([2]Entry!$N$979="","",[2]Entry!$N$979)</f>
        <v/>
      </c>
      <c r="Y976">
        <f>IF([2]Entry!$R$979="","",[2]Entry!$R$979)</f>
        <v/>
      </c>
    </row>
    <row r="977">
      <c r="P977">
        <f>IF([2]Entry!$C$980="","",[2]Entry!$C$980)</f>
        <v/>
      </c>
      <c r="Q977">
        <f>IF([2]Entry!$D$980="","",[2]Entry!$D$980)</f>
        <v/>
      </c>
      <c r="R977">
        <f>IF([2]Entry!$E$980="","",[2]Entry!$E$980)</f>
        <v/>
      </c>
      <c r="S977">
        <f>IF([2]Entry!$G$980="","",[2]Entry!$G$980)</f>
        <v/>
      </c>
      <c r="T977">
        <f>IF([2]Entry!$J$980="","",[2]Entry!$J$980)</f>
        <v/>
      </c>
      <c r="U977">
        <f>IF([2]Entry!$K$980="","",[2]Entry!$K$980)</f>
        <v/>
      </c>
      <c r="V977">
        <f>IF([2]Entry!$L$980="","",[2]Entry!$L$980)</f>
        <v/>
      </c>
      <c r="W977">
        <f>IF([2]Entry!$M$980="","",[2]Entry!$M$980)</f>
        <v/>
      </c>
      <c r="X977">
        <f>IF([2]Entry!$N$980="","",[2]Entry!$N$980)</f>
        <v/>
      </c>
      <c r="Y977">
        <f>IF([2]Entry!$R$980="","",[2]Entry!$R$980)</f>
        <v/>
      </c>
    </row>
    <row r="978">
      <c r="P978">
        <f>IF([2]Entry!$C$981="","",[2]Entry!$C$981)</f>
        <v/>
      </c>
      <c r="Q978">
        <f>IF([2]Entry!$D$981="","",[2]Entry!$D$981)</f>
        <v/>
      </c>
      <c r="R978">
        <f>IF([2]Entry!$E$981="","",[2]Entry!$E$981)</f>
        <v/>
      </c>
      <c r="S978">
        <f>IF([2]Entry!$G$981="","",[2]Entry!$G$981)</f>
        <v/>
      </c>
      <c r="T978">
        <f>IF([2]Entry!$J$981="","",[2]Entry!$J$981)</f>
        <v/>
      </c>
      <c r="U978">
        <f>IF([2]Entry!$K$981="","",[2]Entry!$K$981)</f>
        <v/>
      </c>
      <c r="V978">
        <f>IF([2]Entry!$L$981="","",[2]Entry!$L$981)</f>
        <v/>
      </c>
      <c r="W978">
        <f>IF([2]Entry!$M$981="","",[2]Entry!$M$981)</f>
        <v/>
      </c>
      <c r="X978">
        <f>IF([2]Entry!$N$981="","",[2]Entry!$N$981)</f>
        <v/>
      </c>
      <c r="Y978">
        <f>IF([2]Entry!$R$981="","",[2]Entry!$R$981)</f>
        <v/>
      </c>
    </row>
    <row r="979">
      <c r="P979">
        <f>IF([2]Entry!$C$982="","",[2]Entry!$C$982)</f>
        <v/>
      </c>
      <c r="Q979">
        <f>IF([2]Entry!$D$982="","",[2]Entry!$D$982)</f>
        <v/>
      </c>
      <c r="R979">
        <f>IF([2]Entry!$E$982="","",[2]Entry!$E$982)</f>
        <v/>
      </c>
      <c r="S979">
        <f>IF([2]Entry!$G$982="","",[2]Entry!$G$982)</f>
        <v/>
      </c>
      <c r="T979">
        <f>IF([2]Entry!$J$982="","",[2]Entry!$J$982)</f>
        <v/>
      </c>
      <c r="U979">
        <f>IF([2]Entry!$K$982="","",[2]Entry!$K$982)</f>
        <v/>
      </c>
      <c r="V979">
        <f>IF([2]Entry!$L$982="","",[2]Entry!$L$982)</f>
        <v/>
      </c>
      <c r="W979">
        <f>IF([2]Entry!$M$982="","",[2]Entry!$M$982)</f>
        <v/>
      </c>
      <c r="X979">
        <f>IF([2]Entry!$N$982="","",[2]Entry!$N$982)</f>
        <v/>
      </c>
      <c r="Y979">
        <f>IF([2]Entry!$R$982="","",[2]Entry!$R$982)</f>
        <v/>
      </c>
    </row>
    <row r="980">
      <c r="P980">
        <f>IF([2]Entry!$C$983="","",[2]Entry!$C$983)</f>
        <v/>
      </c>
      <c r="Q980">
        <f>IF([2]Entry!$D$983="","",[2]Entry!$D$983)</f>
        <v/>
      </c>
      <c r="R980">
        <f>IF([2]Entry!$E$983="","",[2]Entry!$E$983)</f>
        <v/>
      </c>
      <c r="S980">
        <f>IF([2]Entry!$G$983="","",[2]Entry!$G$983)</f>
        <v/>
      </c>
      <c r="T980">
        <f>IF([2]Entry!$J$983="","",[2]Entry!$J$983)</f>
        <v/>
      </c>
      <c r="U980">
        <f>IF([2]Entry!$K$983="","",[2]Entry!$K$983)</f>
        <v/>
      </c>
      <c r="V980">
        <f>IF([2]Entry!$L$983="","",[2]Entry!$L$983)</f>
        <v/>
      </c>
      <c r="W980">
        <f>IF([2]Entry!$M$983="","",[2]Entry!$M$983)</f>
        <v/>
      </c>
      <c r="X980">
        <f>IF([2]Entry!$N$983="","",[2]Entry!$N$983)</f>
        <v/>
      </c>
      <c r="Y980">
        <f>IF([2]Entry!$R$983="","",[2]Entry!$R$983)</f>
        <v/>
      </c>
    </row>
    <row r="981">
      <c r="P981">
        <f>IF([2]Entry!$C$984="","",[2]Entry!$C$984)</f>
        <v/>
      </c>
      <c r="Q981">
        <f>IF([2]Entry!$D$984="","",[2]Entry!$D$984)</f>
        <v/>
      </c>
      <c r="R981">
        <f>IF([2]Entry!$E$984="","",[2]Entry!$E$984)</f>
        <v/>
      </c>
      <c r="S981">
        <f>IF([2]Entry!$G$984="","",[2]Entry!$G$984)</f>
        <v/>
      </c>
      <c r="T981">
        <f>IF([2]Entry!$J$984="","",[2]Entry!$J$984)</f>
        <v/>
      </c>
      <c r="U981">
        <f>IF([2]Entry!$K$984="","",[2]Entry!$K$984)</f>
        <v/>
      </c>
      <c r="V981">
        <f>IF([2]Entry!$L$984="","",[2]Entry!$L$984)</f>
        <v/>
      </c>
      <c r="W981">
        <f>IF([2]Entry!$M$984="","",[2]Entry!$M$984)</f>
        <v/>
      </c>
      <c r="X981">
        <f>IF([2]Entry!$N$984="","",[2]Entry!$N$984)</f>
        <v/>
      </c>
      <c r="Y981">
        <f>IF([2]Entry!$R$984="","",[2]Entry!$R$984)</f>
        <v/>
      </c>
    </row>
    <row r="982">
      <c r="P982">
        <f>IF([2]Entry!$C$985="","",[2]Entry!$C$985)</f>
        <v/>
      </c>
      <c r="Q982">
        <f>IF([2]Entry!$D$985="","",[2]Entry!$D$985)</f>
        <v/>
      </c>
      <c r="R982">
        <f>IF([2]Entry!$E$985="","",[2]Entry!$E$985)</f>
        <v/>
      </c>
      <c r="S982">
        <f>IF([2]Entry!$G$985="","",[2]Entry!$G$985)</f>
        <v/>
      </c>
      <c r="T982">
        <f>IF([2]Entry!$J$985="","",[2]Entry!$J$985)</f>
        <v/>
      </c>
      <c r="U982">
        <f>IF([2]Entry!$K$985="","",[2]Entry!$K$985)</f>
        <v/>
      </c>
      <c r="V982">
        <f>IF([2]Entry!$L$985="","",[2]Entry!$L$985)</f>
        <v/>
      </c>
      <c r="W982">
        <f>IF([2]Entry!$M$985="","",[2]Entry!$M$985)</f>
        <v/>
      </c>
      <c r="X982">
        <f>IF([2]Entry!$N$985="","",[2]Entry!$N$985)</f>
        <v/>
      </c>
      <c r="Y982">
        <f>IF([2]Entry!$R$985="","",[2]Entry!$R$985)</f>
        <v/>
      </c>
    </row>
    <row r="983">
      <c r="P983">
        <f>IF([2]Entry!$C$986="","",[2]Entry!$C$986)</f>
        <v/>
      </c>
      <c r="Q983">
        <f>IF([2]Entry!$D$986="","",[2]Entry!$D$986)</f>
        <v/>
      </c>
      <c r="R983">
        <f>IF([2]Entry!$E$986="","",[2]Entry!$E$986)</f>
        <v/>
      </c>
      <c r="S983">
        <f>IF([2]Entry!$G$986="","",[2]Entry!$G$986)</f>
        <v/>
      </c>
      <c r="T983">
        <f>IF([2]Entry!$J$986="","",[2]Entry!$J$986)</f>
        <v/>
      </c>
      <c r="U983">
        <f>IF([2]Entry!$K$986="","",[2]Entry!$K$986)</f>
        <v/>
      </c>
      <c r="V983">
        <f>IF([2]Entry!$L$986="","",[2]Entry!$L$986)</f>
        <v/>
      </c>
      <c r="W983">
        <f>IF([2]Entry!$M$986="","",[2]Entry!$M$986)</f>
        <v/>
      </c>
      <c r="X983">
        <f>IF([2]Entry!$N$986="","",[2]Entry!$N$986)</f>
        <v/>
      </c>
      <c r="Y983">
        <f>IF([2]Entry!$R$986="","",[2]Entry!$R$986)</f>
        <v/>
      </c>
    </row>
    <row r="984">
      <c r="P984">
        <f>IF([2]Entry!$C$987="","",[2]Entry!$C$987)</f>
        <v/>
      </c>
      <c r="Q984">
        <f>IF([2]Entry!$D$987="","",[2]Entry!$D$987)</f>
        <v/>
      </c>
      <c r="R984">
        <f>IF([2]Entry!$E$987="","",[2]Entry!$E$987)</f>
        <v/>
      </c>
      <c r="S984">
        <f>IF([2]Entry!$G$987="","",[2]Entry!$G$987)</f>
        <v/>
      </c>
      <c r="T984">
        <f>IF([2]Entry!$J$987="","",[2]Entry!$J$987)</f>
        <v/>
      </c>
      <c r="U984">
        <f>IF([2]Entry!$K$987="","",[2]Entry!$K$987)</f>
        <v/>
      </c>
      <c r="V984">
        <f>IF([2]Entry!$L$987="","",[2]Entry!$L$987)</f>
        <v/>
      </c>
      <c r="W984">
        <f>IF([2]Entry!$M$987="","",[2]Entry!$M$987)</f>
        <v/>
      </c>
      <c r="X984">
        <f>IF([2]Entry!$N$987="","",[2]Entry!$N$987)</f>
        <v/>
      </c>
      <c r="Y984">
        <f>IF([2]Entry!$R$987="","",[2]Entry!$R$987)</f>
        <v/>
      </c>
    </row>
    <row r="985">
      <c r="P985">
        <f>IF([2]Entry!$C$988="","",[2]Entry!$C$988)</f>
        <v/>
      </c>
      <c r="Q985">
        <f>IF([2]Entry!$D$988="","",[2]Entry!$D$988)</f>
        <v/>
      </c>
      <c r="R985">
        <f>IF([2]Entry!$E$988="","",[2]Entry!$E$988)</f>
        <v/>
      </c>
      <c r="S985">
        <f>IF([2]Entry!$G$988="","",[2]Entry!$G$988)</f>
        <v/>
      </c>
      <c r="T985">
        <f>IF([2]Entry!$J$988="","",[2]Entry!$J$988)</f>
        <v/>
      </c>
      <c r="U985">
        <f>IF([2]Entry!$K$988="","",[2]Entry!$K$988)</f>
        <v/>
      </c>
      <c r="V985">
        <f>IF([2]Entry!$L$988="","",[2]Entry!$L$988)</f>
        <v/>
      </c>
      <c r="W985">
        <f>IF([2]Entry!$M$988="","",[2]Entry!$M$988)</f>
        <v/>
      </c>
      <c r="X985">
        <f>IF([2]Entry!$N$988="","",[2]Entry!$N$988)</f>
        <v/>
      </c>
      <c r="Y985">
        <f>IF([2]Entry!$R$988="","",[2]Entry!$R$988)</f>
        <v/>
      </c>
    </row>
    <row r="986">
      <c r="P986">
        <f>IF([2]Entry!$C$989="","",[2]Entry!$C$989)</f>
        <v/>
      </c>
      <c r="Q986">
        <f>IF([2]Entry!$D$989="","",[2]Entry!$D$989)</f>
        <v/>
      </c>
      <c r="R986">
        <f>IF([2]Entry!$E$989="","",[2]Entry!$E$989)</f>
        <v/>
      </c>
      <c r="S986">
        <f>IF([2]Entry!$G$989="","",[2]Entry!$G$989)</f>
        <v/>
      </c>
      <c r="T986">
        <f>IF([2]Entry!$J$989="","",[2]Entry!$J$989)</f>
        <v/>
      </c>
      <c r="U986">
        <f>IF([2]Entry!$K$989="","",[2]Entry!$K$989)</f>
        <v/>
      </c>
      <c r="V986">
        <f>IF([2]Entry!$L$989="","",[2]Entry!$L$989)</f>
        <v/>
      </c>
      <c r="W986">
        <f>IF([2]Entry!$M$989="","",[2]Entry!$M$989)</f>
        <v/>
      </c>
      <c r="X986">
        <f>IF([2]Entry!$N$989="","",[2]Entry!$N$989)</f>
        <v/>
      </c>
      <c r="Y986">
        <f>IF([2]Entry!$R$989="","",[2]Entry!$R$989)</f>
        <v/>
      </c>
    </row>
    <row r="987">
      <c r="P987">
        <f>IF([2]Entry!$C$990="","",[2]Entry!$C$990)</f>
        <v/>
      </c>
      <c r="Q987">
        <f>IF([2]Entry!$D$990="","",[2]Entry!$D$990)</f>
        <v/>
      </c>
      <c r="R987">
        <f>IF([2]Entry!$E$990="","",[2]Entry!$E$990)</f>
        <v/>
      </c>
      <c r="S987">
        <f>IF([2]Entry!$G$990="","",[2]Entry!$G$990)</f>
        <v/>
      </c>
      <c r="T987">
        <f>IF([2]Entry!$J$990="","",[2]Entry!$J$990)</f>
        <v/>
      </c>
      <c r="U987">
        <f>IF([2]Entry!$K$990="","",[2]Entry!$K$990)</f>
        <v/>
      </c>
      <c r="V987">
        <f>IF([2]Entry!$L$990="","",[2]Entry!$L$990)</f>
        <v/>
      </c>
      <c r="W987">
        <f>IF([2]Entry!$M$990="","",[2]Entry!$M$990)</f>
        <v/>
      </c>
      <c r="X987">
        <f>IF([2]Entry!$N$990="","",[2]Entry!$N$990)</f>
        <v/>
      </c>
      <c r="Y987">
        <f>IF([2]Entry!$R$990="","",[2]Entry!$R$990)</f>
        <v/>
      </c>
    </row>
    <row r="988">
      <c r="P988">
        <f>IF([2]Entry!$C$991="","",[2]Entry!$C$991)</f>
        <v/>
      </c>
      <c r="Q988">
        <f>IF([2]Entry!$D$991="","",[2]Entry!$D$991)</f>
        <v/>
      </c>
      <c r="R988">
        <f>IF([2]Entry!$E$991="","",[2]Entry!$E$991)</f>
        <v/>
      </c>
      <c r="S988">
        <f>IF([2]Entry!$G$991="","",[2]Entry!$G$991)</f>
        <v/>
      </c>
      <c r="T988">
        <f>IF([2]Entry!$J$991="","",[2]Entry!$J$991)</f>
        <v/>
      </c>
      <c r="U988">
        <f>IF([2]Entry!$K$991="","",[2]Entry!$K$991)</f>
        <v/>
      </c>
      <c r="V988">
        <f>IF([2]Entry!$L$991="","",[2]Entry!$L$991)</f>
        <v/>
      </c>
      <c r="W988">
        <f>IF([2]Entry!$M$991="","",[2]Entry!$M$991)</f>
        <v/>
      </c>
      <c r="X988">
        <f>IF([2]Entry!$N$991="","",[2]Entry!$N$991)</f>
        <v/>
      </c>
      <c r="Y988">
        <f>IF([2]Entry!$R$991="","",[2]Entry!$R$991)</f>
        <v/>
      </c>
    </row>
    <row r="989">
      <c r="P989">
        <f>IF([2]Entry!$C$992="","",[2]Entry!$C$992)</f>
        <v/>
      </c>
      <c r="Q989">
        <f>IF([2]Entry!$D$992="","",[2]Entry!$D$992)</f>
        <v/>
      </c>
      <c r="R989">
        <f>IF([2]Entry!$E$992="","",[2]Entry!$E$992)</f>
        <v/>
      </c>
      <c r="S989">
        <f>IF([2]Entry!$G$992="","",[2]Entry!$G$992)</f>
        <v/>
      </c>
      <c r="T989">
        <f>IF([2]Entry!$J$992="","",[2]Entry!$J$992)</f>
        <v/>
      </c>
      <c r="U989">
        <f>IF([2]Entry!$K$992="","",[2]Entry!$K$992)</f>
        <v/>
      </c>
      <c r="V989">
        <f>IF([2]Entry!$L$992="","",[2]Entry!$L$992)</f>
        <v/>
      </c>
      <c r="W989">
        <f>IF([2]Entry!$M$992="","",[2]Entry!$M$992)</f>
        <v/>
      </c>
      <c r="X989">
        <f>IF([2]Entry!$N$992="","",[2]Entry!$N$992)</f>
        <v/>
      </c>
      <c r="Y989">
        <f>IF([2]Entry!$R$992="","",[2]Entry!$R$992)</f>
        <v/>
      </c>
    </row>
    <row r="990">
      <c r="P990">
        <f>IF([2]Entry!$C$993="","",[2]Entry!$C$993)</f>
        <v/>
      </c>
      <c r="Q990">
        <f>IF([2]Entry!$D$993="","",[2]Entry!$D$993)</f>
        <v/>
      </c>
      <c r="R990">
        <f>IF([2]Entry!$E$993="","",[2]Entry!$E$993)</f>
        <v/>
      </c>
      <c r="S990">
        <f>IF([2]Entry!$G$993="","",[2]Entry!$G$993)</f>
        <v/>
      </c>
      <c r="T990">
        <f>IF([2]Entry!$J$993="","",[2]Entry!$J$993)</f>
        <v/>
      </c>
      <c r="U990">
        <f>IF([2]Entry!$K$993="","",[2]Entry!$K$993)</f>
        <v/>
      </c>
      <c r="V990">
        <f>IF([2]Entry!$L$993="","",[2]Entry!$L$993)</f>
        <v/>
      </c>
      <c r="W990">
        <f>IF([2]Entry!$M$993="","",[2]Entry!$M$993)</f>
        <v/>
      </c>
      <c r="X990">
        <f>IF([2]Entry!$N$993="","",[2]Entry!$N$993)</f>
        <v/>
      </c>
      <c r="Y990">
        <f>IF([2]Entry!$R$993="","",[2]Entry!$R$993)</f>
        <v/>
      </c>
    </row>
    <row r="991">
      <c r="P991">
        <f>IF([2]Entry!$C$994="","",[2]Entry!$C$994)</f>
        <v/>
      </c>
      <c r="Q991">
        <f>IF([2]Entry!$D$994="","",[2]Entry!$D$994)</f>
        <v/>
      </c>
      <c r="R991">
        <f>IF([2]Entry!$E$994="","",[2]Entry!$E$994)</f>
        <v/>
      </c>
      <c r="S991">
        <f>IF([2]Entry!$G$994="","",[2]Entry!$G$994)</f>
        <v/>
      </c>
      <c r="T991">
        <f>IF([2]Entry!$J$994="","",[2]Entry!$J$994)</f>
        <v/>
      </c>
      <c r="U991">
        <f>IF([2]Entry!$K$994="","",[2]Entry!$K$994)</f>
        <v/>
      </c>
      <c r="V991">
        <f>IF([2]Entry!$L$994="","",[2]Entry!$L$994)</f>
        <v/>
      </c>
      <c r="W991">
        <f>IF([2]Entry!$M$994="","",[2]Entry!$M$994)</f>
        <v/>
      </c>
      <c r="X991">
        <f>IF([2]Entry!$N$994="","",[2]Entry!$N$994)</f>
        <v/>
      </c>
      <c r="Y991">
        <f>IF([2]Entry!$R$994="","",[2]Entry!$R$994)</f>
        <v/>
      </c>
    </row>
    <row r="992">
      <c r="P992">
        <f>IF([2]Entry!$C$995="","",[2]Entry!$C$995)</f>
        <v/>
      </c>
      <c r="Q992">
        <f>IF([2]Entry!$D$995="","",[2]Entry!$D$995)</f>
        <v/>
      </c>
      <c r="R992">
        <f>IF([2]Entry!$E$995="","",[2]Entry!$E$995)</f>
        <v/>
      </c>
      <c r="S992">
        <f>IF([2]Entry!$G$995="","",[2]Entry!$G$995)</f>
        <v/>
      </c>
      <c r="T992">
        <f>IF([2]Entry!$J$995="","",[2]Entry!$J$995)</f>
        <v/>
      </c>
      <c r="U992">
        <f>IF([2]Entry!$K$995="","",[2]Entry!$K$995)</f>
        <v/>
      </c>
      <c r="V992">
        <f>IF([2]Entry!$L$995="","",[2]Entry!$L$995)</f>
        <v/>
      </c>
      <c r="W992">
        <f>IF([2]Entry!$M$995="","",[2]Entry!$M$995)</f>
        <v/>
      </c>
      <c r="X992">
        <f>IF([2]Entry!$N$995="","",[2]Entry!$N$995)</f>
        <v/>
      </c>
      <c r="Y992">
        <f>IF([2]Entry!$R$995="","",[2]Entry!$R$995)</f>
        <v/>
      </c>
    </row>
    <row r="993">
      <c r="P993">
        <f>IF([2]Entry!$C$996="","",[2]Entry!$C$996)</f>
        <v/>
      </c>
      <c r="Q993">
        <f>IF([2]Entry!$D$996="","",[2]Entry!$D$996)</f>
        <v/>
      </c>
      <c r="R993">
        <f>IF([2]Entry!$E$996="","",[2]Entry!$E$996)</f>
        <v/>
      </c>
      <c r="S993">
        <f>IF([2]Entry!$G$996="","",[2]Entry!$G$996)</f>
        <v/>
      </c>
      <c r="T993">
        <f>IF([2]Entry!$J$996="","",[2]Entry!$J$996)</f>
        <v/>
      </c>
      <c r="U993">
        <f>IF([2]Entry!$K$996="","",[2]Entry!$K$996)</f>
        <v/>
      </c>
      <c r="V993">
        <f>IF([2]Entry!$L$996="","",[2]Entry!$L$996)</f>
        <v/>
      </c>
      <c r="W993">
        <f>IF([2]Entry!$M$996="","",[2]Entry!$M$996)</f>
        <v/>
      </c>
      <c r="X993">
        <f>IF([2]Entry!$N$996="","",[2]Entry!$N$996)</f>
        <v/>
      </c>
      <c r="Y993">
        <f>IF([2]Entry!$R$996="","",[2]Entry!$R$996)</f>
        <v/>
      </c>
    </row>
    <row r="994">
      <c r="P994">
        <f>IF([2]Entry!$C$997="","",[2]Entry!$C$997)</f>
        <v/>
      </c>
      <c r="Q994">
        <f>IF([2]Entry!$D$997="","",[2]Entry!$D$997)</f>
        <v/>
      </c>
      <c r="R994">
        <f>IF([2]Entry!$E$997="","",[2]Entry!$E$997)</f>
        <v/>
      </c>
      <c r="S994">
        <f>IF([2]Entry!$G$997="","",[2]Entry!$G$997)</f>
        <v/>
      </c>
      <c r="T994">
        <f>IF([2]Entry!$J$997="","",[2]Entry!$J$997)</f>
        <v/>
      </c>
      <c r="U994">
        <f>IF([2]Entry!$K$997="","",[2]Entry!$K$997)</f>
        <v/>
      </c>
      <c r="V994">
        <f>IF([2]Entry!$L$997="","",[2]Entry!$L$997)</f>
        <v/>
      </c>
      <c r="W994">
        <f>IF([2]Entry!$M$997="","",[2]Entry!$M$997)</f>
        <v/>
      </c>
      <c r="X994">
        <f>IF([2]Entry!$N$997="","",[2]Entry!$N$997)</f>
        <v/>
      </c>
      <c r="Y994">
        <f>IF([2]Entry!$R$997="","",[2]Entry!$R$997)</f>
        <v/>
      </c>
    </row>
    <row r="995">
      <c r="P995">
        <f>IF([2]Entry!$C$998="","",[2]Entry!$C$998)</f>
        <v/>
      </c>
      <c r="Q995">
        <f>IF([2]Entry!$D$998="","",[2]Entry!$D$998)</f>
        <v/>
      </c>
      <c r="R995">
        <f>IF([2]Entry!$E$998="","",[2]Entry!$E$998)</f>
        <v/>
      </c>
      <c r="S995">
        <f>IF([2]Entry!$G$998="","",[2]Entry!$G$998)</f>
        <v/>
      </c>
      <c r="T995">
        <f>IF([2]Entry!$J$998="","",[2]Entry!$J$998)</f>
        <v/>
      </c>
      <c r="U995">
        <f>IF([2]Entry!$K$998="","",[2]Entry!$K$998)</f>
        <v/>
      </c>
      <c r="V995">
        <f>IF([2]Entry!$L$998="","",[2]Entry!$L$998)</f>
        <v/>
      </c>
      <c r="W995">
        <f>IF([2]Entry!$M$998="","",[2]Entry!$M$998)</f>
        <v/>
      </c>
      <c r="X995">
        <f>IF([2]Entry!$N$998="","",[2]Entry!$N$998)</f>
        <v/>
      </c>
      <c r="Y995">
        <f>IF([2]Entry!$R$998="","",[2]Entry!$R$998)</f>
        <v/>
      </c>
    </row>
    <row r="996">
      <c r="P996">
        <f>IF([2]Entry!$C$999="","",[2]Entry!$C$999)</f>
        <v/>
      </c>
      <c r="Q996">
        <f>IF([2]Entry!$D$999="","",[2]Entry!$D$999)</f>
        <v/>
      </c>
      <c r="R996">
        <f>IF([2]Entry!$E$999="","",[2]Entry!$E$999)</f>
        <v/>
      </c>
      <c r="S996">
        <f>IF([2]Entry!$G$999="","",[2]Entry!$G$999)</f>
        <v/>
      </c>
      <c r="T996">
        <f>IF([2]Entry!$J$999="","",[2]Entry!$J$999)</f>
        <v/>
      </c>
      <c r="U996">
        <f>IF([2]Entry!$K$999="","",[2]Entry!$K$999)</f>
        <v/>
      </c>
      <c r="V996">
        <f>IF([2]Entry!$L$999="","",[2]Entry!$L$999)</f>
        <v/>
      </c>
      <c r="W996">
        <f>IF([2]Entry!$M$999="","",[2]Entry!$M$999)</f>
        <v/>
      </c>
      <c r="X996">
        <f>IF([2]Entry!$N$999="","",[2]Entry!$N$999)</f>
        <v/>
      </c>
      <c r="Y996">
        <f>IF([2]Entry!$R$999="","",[2]Entry!$R$999)</f>
        <v/>
      </c>
    </row>
    <row r="997">
      <c r="P997">
        <f>IF([2]Entry!$C$1000="","",[2]Entry!$C$1000)</f>
        <v/>
      </c>
      <c r="Q997">
        <f>IF([2]Entry!$D$1000="","",[2]Entry!$D$1000)</f>
        <v/>
      </c>
      <c r="R997">
        <f>IF([2]Entry!$E$1000="","",[2]Entry!$E$1000)</f>
        <v/>
      </c>
      <c r="S997">
        <f>IF([2]Entry!$G$1000="","",[2]Entry!$G$1000)</f>
        <v/>
      </c>
      <c r="T997">
        <f>IF([2]Entry!$J$1000="","",[2]Entry!$J$1000)</f>
        <v/>
      </c>
      <c r="U997">
        <f>IF([2]Entry!$K$1000="","",[2]Entry!$K$1000)</f>
        <v/>
      </c>
      <c r="V997">
        <f>IF([2]Entry!$L$1000="","",[2]Entry!$L$1000)</f>
        <v/>
      </c>
      <c r="W997">
        <f>IF([2]Entry!$M$1000="","",[2]Entry!$M$1000)</f>
        <v/>
      </c>
      <c r="X997">
        <f>IF([2]Entry!$N$1000="","",[2]Entry!$N$1000)</f>
        <v/>
      </c>
      <c r="Y997">
        <f>IF([2]Entry!$R$1000="","",[2]Entry!$R$1000)</f>
        <v/>
      </c>
    </row>
    <row r="998">
      <c r="P998">
        <f>IF([2]Entry!$C$1001="","",[2]Entry!$C$1001)</f>
        <v/>
      </c>
      <c r="Q998">
        <f>IF([2]Entry!$D$1001="","",[2]Entry!$D$1001)</f>
        <v/>
      </c>
      <c r="R998">
        <f>IF([2]Entry!$E$1001="","",[2]Entry!$E$1001)</f>
        <v/>
      </c>
      <c r="S998">
        <f>IF([2]Entry!$G$1001="","",[2]Entry!$G$1001)</f>
        <v/>
      </c>
      <c r="T998">
        <f>IF([2]Entry!$J$1001="","",[2]Entry!$J$1001)</f>
        <v/>
      </c>
      <c r="U998">
        <f>IF([2]Entry!$K$1001="","",[2]Entry!$K$1001)</f>
        <v/>
      </c>
      <c r="V998">
        <f>IF([2]Entry!$L$1001="","",[2]Entry!$L$1001)</f>
        <v/>
      </c>
      <c r="W998">
        <f>IF([2]Entry!$M$1001="","",[2]Entry!$M$1001)</f>
        <v/>
      </c>
      <c r="X998">
        <f>IF([2]Entry!$N$1001="","",[2]Entry!$N$1001)</f>
        <v/>
      </c>
      <c r="Y998">
        <f>IF([2]Entry!$R$1001="","",[2]Entry!$R$1001)</f>
        <v/>
      </c>
    </row>
    <row r="999">
      <c r="P999">
        <f>IF([2]Entry!$C$1002="","",[2]Entry!$C$1002)</f>
        <v/>
      </c>
      <c r="Q999">
        <f>IF([2]Entry!$D$1002="","",[2]Entry!$D$1002)</f>
        <v/>
      </c>
      <c r="R999">
        <f>IF([2]Entry!$E$1002="","",[2]Entry!$E$1002)</f>
        <v/>
      </c>
      <c r="S999">
        <f>IF([2]Entry!$G$1002="","",[2]Entry!$G$1002)</f>
        <v/>
      </c>
      <c r="T999">
        <f>IF([2]Entry!$J$1002="","",[2]Entry!$J$1002)</f>
        <v/>
      </c>
      <c r="U999">
        <f>IF([2]Entry!$K$1002="","",[2]Entry!$K$1002)</f>
        <v/>
      </c>
      <c r="V999">
        <f>IF([2]Entry!$L$1002="","",[2]Entry!$L$1002)</f>
        <v/>
      </c>
      <c r="W999">
        <f>IF([2]Entry!$M$1002="","",[2]Entry!$M$1002)</f>
        <v/>
      </c>
      <c r="X999">
        <f>IF([2]Entry!$N$1002="","",[2]Entry!$N$1002)</f>
        <v/>
      </c>
      <c r="Y999">
        <f>IF([2]Entry!$R$1002="","",[2]Entry!$R$1002)</f>
        <v/>
      </c>
    </row>
    <row r="1000">
      <c r="P1000">
        <f>IF([2]Entry!$C$1003="","",[2]Entry!$C$1003)</f>
        <v/>
      </c>
      <c r="Q1000">
        <f>IF([2]Entry!$D$1003="","",[2]Entry!$D$1003)</f>
        <v/>
      </c>
      <c r="R1000">
        <f>IF([2]Entry!$E$1003="","",[2]Entry!$E$1003)</f>
        <v/>
      </c>
      <c r="S1000">
        <f>IF([2]Entry!$G$1003="","",[2]Entry!$G$1003)</f>
        <v/>
      </c>
      <c r="T1000">
        <f>IF([2]Entry!$J$1003="","",[2]Entry!$J$1003)</f>
        <v/>
      </c>
      <c r="U1000">
        <f>IF([2]Entry!$K$1003="","",[2]Entry!$K$1003)</f>
        <v/>
      </c>
      <c r="V1000">
        <f>IF([2]Entry!$L$1003="","",[2]Entry!$L$1003)</f>
        <v/>
      </c>
      <c r="W1000">
        <f>IF([2]Entry!$M$1003="","",[2]Entry!$M$1003)</f>
        <v/>
      </c>
      <c r="X1000">
        <f>IF([2]Entry!$N$1003="","",[2]Entry!$N$1003)</f>
        <v/>
      </c>
      <c r="Y1000">
        <f>IF([2]Entry!$R$1003="","",[2]Entry!$R$1003)</f>
        <v/>
      </c>
    </row>
    <row r="1001">
      <c r="P1001">
        <f>IF([2]Entry!$C$1004="","",[2]Entry!$C$1004)</f>
        <v/>
      </c>
      <c r="Q1001">
        <f>IF([2]Entry!$D$1004="","",[2]Entry!$D$1004)</f>
        <v/>
      </c>
      <c r="R1001">
        <f>IF([2]Entry!$E$1004="","",[2]Entry!$E$1004)</f>
        <v/>
      </c>
      <c r="S1001">
        <f>IF([2]Entry!$G$1004="","",[2]Entry!$G$1004)</f>
        <v/>
      </c>
      <c r="T1001">
        <f>IF([2]Entry!$J$1004="","",[2]Entry!$J$1004)</f>
        <v/>
      </c>
      <c r="U1001">
        <f>IF([2]Entry!$K$1004="","",[2]Entry!$K$1004)</f>
        <v/>
      </c>
      <c r="V1001">
        <f>IF([2]Entry!$L$1004="","",[2]Entry!$L$1004)</f>
        <v/>
      </c>
      <c r="W1001">
        <f>IF([2]Entry!$M$1004="","",[2]Entry!$M$1004)</f>
        <v/>
      </c>
      <c r="X1001">
        <f>IF([2]Entry!$N$1004="","",[2]Entry!$N$1004)</f>
        <v/>
      </c>
      <c r="Y1001">
        <f>IF([2]Entry!$R$1004="","",[2]Entry!$R$1004)</f>
        <v/>
      </c>
    </row>
    <row r="1002">
      <c r="P1002">
        <f>IF([2]Entry!$C$1005="","",[2]Entry!$C$1005)</f>
        <v/>
      </c>
      <c r="Q1002">
        <f>IF([2]Entry!$D$1005="","",[2]Entry!$D$1005)</f>
        <v/>
      </c>
      <c r="R1002">
        <f>IF([2]Entry!$E$1005="","",[2]Entry!$E$1005)</f>
        <v/>
      </c>
      <c r="S1002">
        <f>IF([2]Entry!$G$1005="","",[2]Entry!$G$1005)</f>
        <v/>
      </c>
      <c r="T1002">
        <f>IF([2]Entry!$J$1005="","",[2]Entry!$J$1005)</f>
        <v/>
      </c>
      <c r="U1002">
        <f>IF([2]Entry!$K$1005="","",[2]Entry!$K$1005)</f>
        <v/>
      </c>
      <c r="V1002">
        <f>IF([2]Entry!$L$1005="","",[2]Entry!$L$1005)</f>
        <v/>
      </c>
      <c r="W1002">
        <f>IF([2]Entry!$M$1005="","",[2]Entry!$M$1005)</f>
        <v/>
      </c>
      <c r="X1002">
        <f>IF([2]Entry!$N$1005="","",[2]Entry!$N$1005)</f>
        <v/>
      </c>
      <c r="Y1002">
        <f>IF([2]Entry!$R$1005="","",[2]Entry!$R$1005)</f>
        <v/>
      </c>
    </row>
    <row r="1003">
      <c r="P1003">
        <f>IF([2]Entry!$C$1006="","",[2]Entry!$C$1006)</f>
        <v/>
      </c>
      <c r="Q1003">
        <f>IF([2]Entry!$D$1006="","",[2]Entry!$D$1006)</f>
        <v/>
      </c>
      <c r="R1003">
        <f>IF([2]Entry!$E$1006="","",[2]Entry!$E$1006)</f>
        <v/>
      </c>
      <c r="S1003">
        <f>IF([2]Entry!$G$1006="","",[2]Entry!$G$1006)</f>
        <v/>
      </c>
      <c r="T1003">
        <f>IF([2]Entry!$J$1006="","",[2]Entry!$J$1006)</f>
        <v/>
      </c>
      <c r="U1003">
        <f>IF([2]Entry!$K$1006="","",[2]Entry!$K$1006)</f>
        <v/>
      </c>
      <c r="V1003">
        <f>IF([2]Entry!$L$1006="","",[2]Entry!$L$1006)</f>
        <v/>
      </c>
      <c r="W1003">
        <f>IF([2]Entry!$M$1006="","",[2]Entry!$M$1006)</f>
        <v/>
      </c>
      <c r="X1003">
        <f>IF([2]Entry!$N$1006="","",[2]Entry!$N$1006)</f>
        <v/>
      </c>
      <c r="Y1003">
        <f>IF([2]Entry!$R$1006="","",[2]Entry!$R$1006)</f>
        <v/>
      </c>
    </row>
    <row r="1004">
      <c r="P1004">
        <f>IF([2]Entry!$C$1007="","",[2]Entry!$C$1007)</f>
        <v/>
      </c>
      <c r="Q1004">
        <f>IF([2]Entry!$D$1007="","",[2]Entry!$D$1007)</f>
        <v/>
      </c>
      <c r="R1004">
        <f>IF([2]Entry!$E$1007="","",[2]Entry!$E$1007)</f>
        <v/>
      </c>
      <c r="S1004">
        <f>IF([2]Entry!$G$1007="","",[2]Entry!$G$1007)</f>
        <v/>
      </c>
      <c r="T1004">
        <f>IF([2]Entry!$J$1007="","",[2]Entry!$J$1007)</f>
        <v/>
      </c>
      <c r="U1004">
        <f>IF([2]Entry!$K$1007="","",[2]Entry!$K$1007)</f>
        <v/>
      </c>
      <c r="V1004">
        <f>IF([2]Entry!$L$1007="","",[2]Entry!$L$1007)</f>
        <v/>
      </c>
      <c r="W1004">
        <f>IF([2]Entry!$M$1007="","",[2]Entry!$M$1007)</f>
        <v/>
      </c>
      <c r="X1004">
        <f>IF([2]Entry!$N$1007="","",[2]Entry!$N$1007)</f>
        <v/>
      </c>
      <c r="Y1004">
        <f>IF([2]Entry!$R$1007="","",[2]Entry!$R$1007)</f>
        <v/>
      </c>
    </row>
    <row r="1005">
      <c r="P1005">
        <f>IF([2]Entry!$C$1008="","",[2]Entry!$C$1008)</f>
        <v/>
      </c>
      <c r="Q1005">
        <f>IF([2]Entry!$D$1008="","",[2]Entry!$D$1008)</f>
        <v/>
      </c>
      <c r="R1005">
        <f>IF([2]Entry!$E$1008="","",[2]Entry!$E$1008)</f>
        <v/>
      </c>
      <c r="S1005">
        <f>IF([2]Entry!$G$1008="","",[2]Entry!$G$1008)</f>
        <v/>
      </c>
      <c r="T1005">
        <f>IF([2]Entry!$J$1008="","",[2]Entry!$J$1008)</f>
        <v/>
      </c>
      <c r="U1005">
        <f>IF([2]Entry!$K$1008="","",[2]Entry!$K$1008)</f>
        <v/>
      </c>
      <c r="V1005">
        <f>IF([2]Entry!$L$1008="","",[2]Entry!$L$1008)</f>
        <v/>
      </c>
      <c r="W1005">
        <f>IF([2]Entry!$M$1008="","",[2]Entry!$M$1008)</f>
        <v/>
      </c>
      <c r="X1005">
        <f>IF([2]Entry!$N$1008="","",[2]Entry!$N$1008)</f>
        <v/>
      </c>
      <c r="Y1005">
        <f>IF([2]Entry!$R$1008="","",[2]Entry!$R$1008)</f>
        <v/>
      </c>
    </row>
    <row r="1006">
      <c r="P1006">
        <f>IF([2]Entry!$C$1009="","",[2]Entry!$C$1009)</f>
        <v/>
      </c>
      <c r="Q1006">
        <f>IF([2]Entry!$D$1009="","",[2]Entry!$D$1009)</f>
        <v/>
      </c>
      <c r="R1006">
        <f>IF([2]Entry!$E$1009="","",[2]Entry!$E$1009)</f>
        <v/>
      </c>
      <c r="S1006">
        <f>IF([2]Entry!$G$1009="","",[2]Entry!$G$1009)</f>
        <v/>
      </c>
      <c r="T1006">
        <f>IF([2]Entry!$J$1009="","",[2]Entry!$J$1009)</f>
        <v/>
      </c>
      <c r="U1006">
        <f>IF([2]Entry!$K$1009="","",[2]Entry!$K$1009)</f>
        <v/>
      </c>
      <c r="V1006">
        <f>IF([2]Entry!$L$1009="","",[2]Entry!$L$1009)</f>
        <v/>
      </c>
      <c r="W1006">
        <f>IF([2]Entry!$M$1009="","",[2]Entry!$M$1009)</f>
        <v/>
      </c>
      <c r="X1006">
        <f>IF([2]Entry!$N$1009="","",[2]Entry!$N$1009)</f>
        <v/>
      </c>
      <c r="Y1006">
        <f>IF([2]Entry!$R$1009="","",[2]Entry!$R$1009)</f>
        <v/>
      </c>
    </row>
    <row r="1007">
      <c r="P1007">
        <f>IF([2]Entry!$C$1010="","",[2]Entry!$C$1010)</f>
        <v/>
      </c>
      <c r="Q1007">
        <f>IF([2]Entry!$D$1010="","",[2]Entry!$D$1010)</f>
        <v/>
      </c>
      <c r="R1007">
        <f>IF([2]Entry!$E$1010="","",[2]Entry!$E$1010)</f>
        <v/>
      </c>
      <c r="S1007">
        <f>IF([2]Entry!$G$1010="","",[2]Entry!$G$1010)</f>
        <v/>
      </c>
      <c r="T1007">
        <f>IF([2]Entry!$J$1010="","",[2]Entry!$J$1010)</f>
        <v/>
      </c>
      <c r="U1007">
        <f>IF([2]Entry!$K$1010="","",[2]Entry!$K$1010)</f>
        <v/>
      </c>
      <c r="V1007">
        <f>IF([2]Entry!$L$1010="","",[2]Entry!$L$1010)</f>
        <v/>
      </c>
      <c r="W1007">
        <f>IF([2]Entry!$M$1010="","",[2]Entry!$M$1010)</f>
        <v/>
      </c>
      <c r="X1007">
        <f>IF([2]Entry!$N$1010="","",[2]Entry!$N$1010)</f>
        <v/>
      </c>
      <c r="Y1007">
        <f>IF([2]Entry!$R$1010="","",[2]Entry!$R$1010)</f>
        <v/>
      </c>
    </row>
    <row r="1008">
      <c r="P1008">
        <f>IF([2]Entry!$C$1011="","",[2]Entry!$C$1011)</f>
        <v/>
      </c>
      <c r="Q1008">
        <f>IF([2]Entry!$D$1011="","",[2]Entry!$D$1011)</f>
        <v/>
      </c>
      <c r="R1008">
        <f>IF([2]Entry!$E$1011="","",[2]Entry!$E$1011)</f>
        <v/>
      </c>
      <c r="S1008">
        <f>IF([2]Entry!$G$1011="","",[2]Entry!$G$1011)</f>
        <v/>
      </c>
      <c r="T1008">
        <f>IF([2]Entry!$J$1011="","",[2]Entry!$J$1011)</f>
        <v/>
      </c>
      <c r="U1008">
        <f>IF([2]Entry!$K$1011="","",[2]Entry!$K$1011)</f>
        <v/>
      </c>
      <c r="V1008">
        <f>IF([2]Entry!$L$1011="","",[2]Entry!$L$1011)</f>
        <v/>
      </c>
      <c r="W1008">
        <f>IF([2]Entry!$M$1011="","",[2]Entry!$M$1011)</f>
        <v/>
      </c>
      <c r="X1008">
        <f>IF([2]Entry!$N$1011="","",[2]Entry!$N$1011)</f>
        <v/>
      </c>
      <c r="Y1008">
        <f>IF([2]Entry!$R$1011="","",[2]Entry!$R$1011)</f>
        <v/>
      </c>
    </row>
    <row r="1009">
      <c r="P1009">
        <f>IF([2]Entry!$C$1012="","",[2]Entry!$C$1012)</f>
        <v/>
      </c>
      <c r="Q1009">
        <f>IF([2]Entry!$D$1012="","",[2]Entry!$D$1012)</f>
        <v/>
      </c>
      <c r="R1009">
        <f>IF([2]Entry!$E$1012="","",[2]Entry!$E$1012)</f>
        <v/>
      </c>
      <c r="S1009">
        <f>IF([2]Entry!$G$1012="","",[2]Entry!$G$1012)</f>
        <v/>
      </c>
      <c r="T1009">
        <f>IF([2]Entry!$J$1012="","",[2]Entry!$J$1012)</f>
        <v/>
      </c>
      <c r="U1009">
        <f>IF([2]Entry!$K$1012="","",[2]Entry!$K$1012)</f>
        <v/>
      </c>
      <c r="V1009">
        <f>IF([2]Entry!$L$1012="","",[2]Entry!$L$1012)</f>
        <v/>
      </c>
      <c r="W1009">
        <f>IF([2]Entry!$M$1012="","",[2]Entry!$M$1012)</f>
        <v/>
      </c>
      <c r="X1009">
        <f>IF([2]Entry!$N$1012="","",[2]Entry!$N$1012)</f>
        <v/>
      </c>
      <c r="Y1009">
        <f>IF([2]Entry!$R$1012="","",[2]Entry!$R$1012)</f>
        <v/>
      </c>
    </row>
    <row r="1010">
      <c r="P1010">
        <f>IF([2]Entry!$C$1013="","",[2]Entry!$C$1013)</f>
        <v/>
      </c>
      <c r="Q1010">
        <f>IF([2]Entry!$D$1013="","",[2]Entry!$D$1013)</f>
        <v/>
      </c>
      <c r="R1010">
        <f>IF([2]Entry!$E$1013="","",[2]Entry!$E$1013)</f>
        <v/>
      </c>
      <c r="S1010">
        <f>IF([2]Entry!$G$1013="","",[2]Entry!$G$1013)</f>
        <v/>
      </c>
      <c r="T1010">
        <f>IF([2]Entry!$J$1013="","",[2]Entry!$J$1013)</f>
        <v/>
      </c>
      <c r="U1010">
        <f>IF([2]Entry!$K$1013="","",[2]Entry!$K$1013)</f>
        <v/>
      </c>
      <c r="V1010">
        <f>IF([2]Entry!$L$1013="","",[2]Entry!$L$1013)</f>
        <v/>
      </c>
      <c r="W1010">
        <f>IF([2]Entry!$M$1013="","",[2]Entry!$M$1013)</f>
        <v/>
      </c>
      <c r="X1010">
        <f>IF([2]Entry!$N$1013="","",[2]Entry!$N$1013)</f>
        <v/>
      </c>
      <c r="Y1010">
        <f>IF([2]Entry!$R$1013="","",[2]Entry!$R$1013)</f>
        <v/>
      </c>
    </row>
    <row r="1011">
      <c r="P1011">
        <f>IF([2]Entry!$C$1014="","",[2]Entry!$C$1014)</f>
        <v/>
      </c>
      <c r="Q1011">
        <f>IF([2]Entry!$D$1014="","",[2]Entry!$D$1014)</f>
        <v/>
      </c>
      <c r="R1011">
        <f>IF([2]Entry!$E$1014="","",[2]Entry!$E$1014)</f>
        <v/>
      </c>
      <c r="S1011">
        <f>IF([2]Entry!$G$1014="","",[2]Entry!$G$1014)</f>
        <v/>
      </c>
      <c r="T1011">
        <f>IF([2]Entry!$J$1014="","",[2]Entry!$J$1014)</f>
        <v/>
      </c>
      <c r="U1011">
        <f>IF([2]Entry!$K$1014="","",[2]Entry!$K$1014)</f>
        <v/>
      </c>
      <c r="V1011">
        <f>IF([2]Entry!$L$1014="","",[2]Entry!$L$1014)</f>
        <v/>
      </c>
      <c r="W1011">
        <f>IF([2]Entry!$M$1014="","",[2]Entry!$M$1014)</f>
        <v/>
      </c>
      <c r="X1011">
        <f>IF([2]Entry!$N$1014="","",[2]Entry!$N$1014)</f>
        <v/>
      </c>
      <c r="Y1011">
        <f>IF([2]Entry!$R$1014="","",[2]Entry!$R$1014)</f>
        <v/>
      </c>
    </row>
    <row r="1012">
      <c r="P1012">
        <f>IF([2]Entry!$C$1015="","",[2]Entry!$C$1015)</f>
        <v/>
      </c>
      <c r="Q1012">
        <f>IF([2]Entry!$D$1015="","",[2]Entry!$D$1015)</f>
        <v/>
      </c>
      <c r="R1012">
        <f>IF([2]Entry!$E$1015="","",[2]Entry!$E$1015)</f>
        <v/>
      </c>
      <c r="S1012">
        <f>IF([2]Entry!$G$1015="","",[2]Entry!$G$1015)</f>
        <v/>
      </c>
      <c r="T1012">
        <f>IF([2]Entry!$J$1015="","",[2]Entry!$J$1015)</f>
        <v/>
      </c>
      <c r="U1012">
        <f>IF([2]Entry!$K$1015="","",[2]Entry!$K$1015)</f>
        <v/>
      </c>
      <c r="V1012">
        <f>IF([2]Entry!$L$1015="","",[2]Entry!$L$1015)</f>
        <v/>
      </c>
      <c r="W1012">
        <f>IF([2]Entry!$M$1015="","",[2]Entry!$M$1015)</f>
        <v/>
      </c>
      <c r="X1012">
        <f>IF([2]Entry!$N$1015="","",[2]Entry!$N$1015)</f>
        <v/>
      </c>
      <c r="Y1012">
        <f>IF([2]Entry!$R$1015="","",[2]Entry!$R$1015)</f>
        <v/>
      </c>
    </row>
    <row r="1013">
      <c r="P1013">
        <f>IF([2]Entry!$C$1016="","",[2]Entry!$C$1016)</f>
        <v/>
      </c>
      <c r="Q1013">
        <f>IF([2]Entry!$D$1016="","",[2]Entry!$D$1016)</f>
        <v/>
      </c>
      <c r="R1013">
        <f>IF([2]Entry!$E$1016="","",[2]Entry!$E$1016)</f>
        <v/>
      </c>
      <c r="S1013">
        <f>IF([2]Entry!$G$1016="","",[2]Entry!$G$1016)</f>
        <v/>
      </c>
      <c r="T1013">
        <f>IF([2]Entry!$J$1016="","",[2]Entry!$J$1016)</f>
        <v/>
      </c>
      <c r="U1013">
        <f>IF([2]Entry!$K$1016="","",[2]Entry!$K$1016)</f>
        <v/>
      </c>
      <c r="V1013">
        <f>IF([2]Entry!$L$1016="","",[2]Entry!$L$1016)</f>
        <v/>
      </c>
      <c r="W1013">
        <f>IF([2]Entry!$M$1016="","",[2]Entry!$M$1016)</f>
        <v/>
      </c>
      <c r="X1013">
        <f>IF([2]Entry!$N$1016="","",[2]Entry!$N$1016)</f>
        <v/>
      </c>
      <c r="Y1013">
        <f>IF([2]Entry!$R$1016="","",[2]Entry!$R$1016)</f>
        <v/>
      </c>
    </row>
    <row r="1014">
      <c r="P1014">
        <f>IF([2]Entry!$C$1017="","",[2]Entry!$C$1017)</f>
        <v/>
      </c>
      <c r="Q1014">
        <f>IF([2]Entry!$D$1017="","",[2]Entry!$D$1017)</f>
        <v/>
      </c>
      <c r="R1014">
        <f>IF([2]Entry!$E$1017="","",[2]Entry!$E$1017)</f>
        <v/>
      </c>
      <c r="S1014">
        <f>IF([2]Entry!$G$1017="","",[2]Entry!$G$1017)</f>
        <v/>
      </c>
      <c r="T1014">
        <f>IF([2]Entry!$J$1017="","",[2]Entry!$J$1017)</f>
        <v/>
      </c>
      <c r="U1014">
        <f>IF([2]Entry!$K$1017="","",[2]Entry!$K$1017)</f>
        <v/>
      </c>
      <c r="V1014">
        <f>IF([2]Entry!$L$1017="","",[2]Entry!$L$1017)</f>
        <v/>
      </c>
      <c r="W1014">
        <f>IF([2]Entry!$M$1017="","",[2]Entry!$M$1017)</f>
        <v/>
      </c>
      <c r="X1014">
        <f>IF([2]Entry!$N$1017="","",[2]Entry!$N$1017)</f>
        <v/>
      </c>
      <c r="Y1014">
        <f>IF([2]Entry!$R$1017="","",[2]Entry!$R$1017)</f>
        <v/>
      </c>
    </row>
    <row r="1015">
      <c r="P1015">
        <f>IF([2]Entry!$C$1018="","",[2]Entry!$C$1018)</f>
        <v/>
      </c>
      <c r="Q1015">
        <f>IF([2]Entry!$D$1018="","",[2]Entry!$D$1018)</f>
        <v/>
      </c>
      <c r="R1015">
        <f>IF([2]Entry!$E$1018="","",[2]Entry!$E$1018)</f>
        <v/>
      </c>
      <c r="S1015">
        <f>IF([2]Entry!$G$1018="","",[2]Entry!$G$1018)</f>
        <v/>
      </c>
      <c r="T1015">
        <f>IF([2]Entry!$J$1018="","",[2]Entry!$J$1018)</f>
        <v/>
      </c>
      <c r="U1015">
        <f>IF([2]Entry!$K$1018="","",[2]Entry!$K$1018)</f>
        <v/>
      </c>
      <c r="V1015">
        <f>IF([2]Entry!$L$1018="","",[2]Entry!$L$1018)</f>
        <v/>
      </c>
      <c r="W1015">
        <f>IF([2]Entry!$M$1018="","",[2]Entry!$M$1018)</f>
        <v/>
      </c>
      <c r="X1015">
        <f>IF([2]Entry!$N$1018="","",[2]Entry!$N$1018)</f>
        <v/>
      </c>
      <c r="Y1015">
        <f>IF([2]Entry!$R$1018="","",[2]Entry!$R$1018)</f>
        <v/>
      </c>
    </row>
    <row r="1016">
      <c r="P1016">
        <f>IF([2]Entry!$C$1019="","",[2]Entry!$C$1019)</f>
        <v/>
      </c>
      <c r="Q1016">
        <f>IF([2]Entry!$D$1019="","",[2]Entry!$D$1019)</f>
        <v/>
      </c>
      <c r="R1016">
        <f>IF([2]Entry!$E$1019="","",[2]Entry!$E$1019)</f>
        <v/>
      </c>
      <c r="S1016">
        <f>IF([2]Entry!$G$1019="","",[2]Entry!$G$1019)</f>
        <v/>
      </c>
      <c r="T1016">
        <f>IF([2]Entry!$J$1019="","",[2]Entry!$J$1019)</f>
        <v/>
      </c>
      <c r="U1016">
        <f>IF([2]Entry!$K$1019="","",[2]Entry!$K$1019)</f>
        <v/>
      </c>
      <c r="V1016">
        <f>IF([2]Entry!$L$1019="","",[2]Entry!$L$1019)</f>
        <v/>
      </c>
      <c r="W1016">
        <f>IF([2]Entry!$M$1019="","",[2]Entry!$M$1019)</f>
        <v/>
      </c>
      <c r="X1016">
        <f>IF([2]Entry!$N$1019="","",[2]Entry!$N$1019)</f>
        <v/>
      </c>
      <c r="Y1016">
        <f>IF([2]Entry!$R$1019="","",[2]Entry!$R$1019)</f>
        <v/>
      </c>
    </row>
    <row r="1017">
      <c r="P1017">
        <f>IF([2]Entry!$C$1020="","",[2]Entry!$C$1020)</f>
        <v/>
      </c>
      <c r="Q1017">
        <f>IF([2]Entry!$D$1020="","",[2]Entry!$D$1020)</f>
        <v/>
      </c>
      <c r="R1017">
        <f>IF([2]Entry!$E$1020="","",[2]Entry!$E$1020)</f>
        <v/>
      </c>
      <c r="S1017">
        <f>IF([2]Entry!$G$1020="","",[2]Entry!$G$1020)</f>
        <v/>
      </c>
      <c r="T1017">
        <f>IF([2]Entry!$J$1020="","",[2]Entry!$J$1020)</f>
        <v/>
      </c>
      <c r="U1017">
        <f>IF([2]Entry!$K$1020="","",[2]Entry!$K$1020)</f>
        <v/>
      </c>
      <c r="V1017">
        <f>IF([2]Entry!$L$1020="","",[2]Entry!$L$1020)</f>
        <v/>
      </c>
      <c r="W1017">
        <f>IF([2]Entry!$M$1020="","",[2]Entry!$M$1020)</f>
        <v/>
      </c>
      <c r="X1017">
        <f>IF([2]Entry!$N$1020="","",[2]Entry!$N$1020)</f>
        <v/>
      </c>
      <c r="Y1017">
        <f>IF([2]Entry!$R$1020="","",[2]Entry!$R$1020)</f>
        <v/>
      </c>
    </row>
    <row r="1018">
      <c r="P1018">
        <f>IF([2]Entry!$C$1021="","",[2]Entry!$C$1021)</f>
        <v/>
      </c>
      <c r="Q1018">
        <f>IF([2]Entry!$D$1021="","",[2]Entry!$D$1021)</f>
        <v/>
      </c>
      <c r="R1018">
        <f>IF([2]Entry!$E$1021="","",[2]Entry!$E$1021)</f>
        <v/>
      </c>
      <c r="S1018">
        <f>IF([2]Entry!$G$1021="","",[2]Entry!$G$1021)</f>
        <v/>
      </c>
      <c r="T1018">
        <f>IF([2]Entry!$J$1021="","",[2]Entry!$J$1021)</f>
        <v/>
      </c>
      <c r="U1018">
        <f>IF([2]Entry!$K$1021="","",[2]Entry!$K$1021)</f>
        <v/>
      </c>
      <c r="V1018">
        <f>IF([2]Entry!$L$1021="","",[2]Entry!$L$1021)</f>
        <v/>
      </c>
      <c r="W1018">
        <f>IF([2]Entry!$M$1021="","",[2]Entry!$M$1021)</f>
        <v/>
      </c>
      <c r="X1018">
        <f>IF([2]Entry!$N$1021="","",[2]Entry!$N$1021)</f>
        <v/>
      </c>
      <c r="Y1018">
        <f>IF([2]Entry!$R$1021="","",[2]Entry!$R$1021)</f>
        <v/>
      </c>
    </row>
    <row r="1019">
      <c r="P1019">
        <f>IF([2]Entry!$C$1022="","",[2]Entry!$C$1022)</f>
        <v/>
      </c>
      <c r="Q1019">
        <f>IF([2]Entry!$D$1022="","",[2]Entry!$D$1022)</f>
        <v/>
      </c>
      <c r="R1019">
        <f>IF([2]Entry!$E$1022="","",[2]Entry!$E$1022)</f>
        <v/>
      </c>
      <c r="S1019">
        <f>IF([2]Entry!$G$1022="","",[2]Entry!$G$1022)</f>
        <v/>
      </c>
      <c r="T1019">
        <f>IF([2]Entry!$J$1022="","",[2]Entry!$J$1022)</f>
        <v/>
      </c>
      <c r="U1019">
        <f>IF([2]Entry!$K$1022="","",[2]Entry!$K$1022)</f>
        <v/>
      </c>
      <c r="V1019">
        <f>IF([2]Entry!$L$1022="","",[2]Entry!$L$1022)</f>
        <v/>
      </c>
      <c r="W1019">
        <f>IF([2]Entry!$M$1022="","",[2]Entry!$M$1022)</f>
        <v/>
      </c>
      <c r="X1019">
        <f>IF([2]Entry!$N$1022="","",[2]Entry!$N$1022)</f>
        <v/>
      </c>
      <c r="Y1019">
        <f>IF([2]Entry!$R$1022="","",[2]Entry!$R$1022)</f>
        <v/>
      </c>
    </row>
    <row r="1020">
      <c r="P1020">
        <f>IF([2]Entry!$C$1023="","",[2]Entry!$C$1023)</f>
        <v/>
      </c>
      <c r="Q1020">
        <f>IF([2]Entry!$D$1023="","",[2]Entry!$D$1023)</f>
        <v/>
      </c>
      <c r="R1020">
        <f>IF([2]Entry!$E$1023="","",[2]Entry!$E$1023)</f>
        <v/>
      </c>
      <c r="S1020">
        <f>IF([2]Entry!$G$1023="","",[2]Entry!$G$1023)</f>
        <v/>
      </c>
      <c r="T1020">
        <f>IF([2]Entry!$J$1023="","",[2]Entry!$J$1023)</f>
        <v/>
      </c>
      <c r="U1020">
        <f>IF([2]Entry!$K$1023="","",[2]Entry!$K$1023)</f>
        <v/>
      </c>
      <c r="V1020">
        <f>IF([2]Entry!$L$1023="","",[2]Entry!$L$1023)</f>
        <v/>
      </c>
      <c r="W1020">
        <f>IF([2]Entry!$M$1023="","",[2]Entry!$M$1023)</f>
        <v/>
      </c>
      <c r="X1020">
        <f>IF([2]Entry!$N$1023="","",[2]Entry!$N$1023)</f>
        <v/>
      </c>
      <c r="Y1020">
        <f>IF([2]Entry!$R$1023="","",[2]Entry!$R$1023)</f>
        <v/>
      </c>
    </row>
    <row r="1021">
      <c r="P1021">
        <f>IF([2]Entry!$C$1024="","",[2]Entry!$C$1024)</f>
        <v/>
      </c>
      <c r="Q1021">
        <f>IF([2]Entry!$D$1024="","",[2]Entry!$D$1024)</f>
        <v/>
      </c>
      <c r="R1021">
        <f>IF([2]Entry!$E$1024="","",[2]Entry!$E$1024)</f>
        <v/>
      </c>
      <c r="S1021">
        <f>IF([2]Entry!$G$1024="","",[2]Entry!$G$1024)</f>
        <v/>
      </c>
      <c r="T1021">
        <f>IF([2]Entry!$J$1024="","",[2]Entry!$J$1024)</f>
        <v/>
      </c>
      <c r="U1021">
        <f>IF([2]Entry!$K$1024="","",[2]Entry!$K$1024)</f>
        <v/>
      </c>
      <c r="V1021">
        <f>IF([2]Entry!$L$1024="","",[2]Entry!$L$1024)</f>
        <v/>
      </c>
      <c r="W1021">
        <f>IF([2]Entry!$M$1024="","",[2]Entry!$M$1024)</f>
        <v/>
      </c>
      <c r="X1021">
        <f>IF([2]Entry!$N$1024="","",[2]Entry!$N$1024)</f>
        <v/>
      </c>
      <c r="Y1021">
        <f>IF([2]Entry!$R$1024="","",[2]Entry!$R$1024)</f>
        <v/>
      </c>
    </row>
    <row r="1022">
      <c r="P1022">
        <f>IF([2]Entry!$C$1025="","",[2]Entry!$C$1025)</f>
        <v/>
      </c>
      <c r="Q1022">
        <f>IF([2]Entry!$D$1025="","",[2]Entry!$D$1025)</f>
        <v/>
      </c>
      <c r="R1022">
        <f>IF([2]Entry!$E$1025="","",[2]Entry!$E$1025)</f>
        <v/>
      </c>
      <c r="S1022">
        <f>IF([2]Entry!$G$1025="","",[2]Entry!$G$1025)</f>
        <v/>
      </c>
      <c r="T1022">
        <f>IF([2]Entry!$J$1025="","",[2]Entry!$J$1025)</f>
        <v/>
      </c>
      <c r="U1022">
        <f>IF([2]Entry!$K$1025="","",[2]Entry!$K$1025)</f>
        <v/>
      </c>
      <c r="V1022">
        <f>IF([2]Entry!$L$1025="","",[2]Entry!$L$1025)</f>
        <v/>
      </c>
      <c r="W1022">
        <f>IF([2]Entry!$M$1025="","",[2]Entry!$M$1025)</f>
        <v/>
      </c>
      <c r="X1022">
        <f>IF([2]Entry!$N$1025="","",[2]Entry!$N$1025)</f>
        <v/>
      </c>
      <c r="Y1022">
        <f>IF([2]Entry!$R$1025="","",[2]Entry!$R$1025)</f>
        <v/>
      </c>
    </row>
    <row r="1023">
      <c r="P1023">
        <f>IF([2]Entry!$C$1026="","",[2]Entry!$C$1026)</f>
        <v/>
      </c>
      <c r="Q1023">
        <f>IF([2]Entry!$D$1026="","",[2]Entry!$D$1026)</f>
        <v/>
      </c>
      <c r="R1023">
        <f>IF([2]Entry!$E$1026="","",[2]Entry!$E$1026)</f>
        <v/>
      </c>
      <c r="S1023">
        <f>IF([2]Entry!$G$1026="","",[2]Entry!$G$1026)</f>
        <v/>
      </c>
      <c r="T1023">
        <f>IF([2]Entry!$J$1026="","",[2]Entry!$J$1026)</f>
        <v/>
      </c>
      <c r="U1023">
        <f>IF([2]Entry!$K$1026="","",[2]Entry!$K$1026)</f>
        <v/>
      </c>
      <c r="V1023">
        <f>IF([2]Entry!$L$1026="","",[2]Entry!$L$1026)</f>
        <v/>
      </c>
      <c r="W1023">
        <f>IF([2]Entry!$M$1026="","",[2]Entry!$M$1026)</f>
        <v/>
      </c>
      <c r="X1023">
        <f>IF([2]Entry!$N$1026="","",[2]Entry!$N$1026)</f>
        <v/>
      </c>
      <c r="Y1023">
        <f>IF([2]Entry!$R$1026="","",[2]Entry!$R$1026)</f>
        <v/>
      </c>
    </row>
    <row r="1024">
      <c r="P1024">
        <f>IF([2]Entry!$C$1027="","",[2]Entry!$C$1027)</f>
        <v/>
      </c>
      <c r="Q1024">
        <f>IF([2]Entry!$D$1027="","",[2]Entry!$D$1027)</f>
        <v/>
      </c>
      <c r="R1024">
        <f>IF([2]Entry!$E$1027="","",[2]Entry!$E$1027)</f>
        <v/>
      </c>
      <c r="S1024">
        <f>IF([2]Entry!$G$1027="","",[2]Entry!$G$1027)</f>
        <v/>
      </c>
      <c r="T1024">
        <f>IF([2]Entry!$J$1027="","",[2]Entry!$J$1027)</f>
        <v/>
      </c>
      <c r="U1024">
        <f>IF([2]Entry!$K$1027="","",[2]Entry!$K$1027)</f>
        <v/>
      </c>
      <c r="V1024">
        <f>IF([2]Entry!$L$1027="","",[2]Entry!$L$1027)</f>
        <v/>
      </c>
      <c r="W1024">
        <f>IF([2]Entry!$M$1027="","",[2]Entry!$M$1027)</f>
        <v/>
      </c>
      <c r="X1024">
        <f>IF([2]Entry!$N$1027="","",[2]Entry!$N$1027)</f>
        <v/>
      </c>
      <c r="Y1024">
        <f>IF([2]Entry!$R$1027="","",[2]Entry!$R$1027)</f>
        <v/>
      </c>
    </row>
    <row r="1025">
      <c r="P1025">
        <f>IF([2]Entry!$C$1028="","",[2]Entry!$C$1028)</f>
        <v/>
      </c>
      <c r="Q1025">
        <f>IF([2]Entry!$D$1028="","",[2]Entry!$D$1028)</f>
        <v/>
      </c>
      <c r="R1025">
        <f>IF([2]Entry!$E$1028="","",[2]Entry!$E$1028)</f>
        <v/>
      </c>
      <c r="S1025">
        <f>IF([2]Entry!$G$1028="","",[2]Entry!$G$1028)</f>
        <v/>
      </c>
      <c r="T1025">
        <f>IF([2]Entry!$J$1028="","",[2]Entry!$J$1028)</f>
        <v/>
      </c>
      <c r="U1025">
        <f>IF([2]Entry!$K$1028="","",[2]Entry!$K$1028)</f>
        <v/>
      </c>
      <c r="V1025">
        <f>IF([2]Entry!$L$1028="","",[2]Entry!$L$1028)</f>
        <v/>
      </c>
      <c r="W1025">
        <f>IF([2]Entry!$M$1028="","",[2]Entry!$M$1028)</f>
        <v/>
      </c>
      <c r="X1025">
        <f>IF([2]Entry!$N$1028="","",[2]Entry!$N$1028)</f>
        <v/>
      </c>
      <c r="Y1025">
        <f>IF([2]Entry!$R$1028="","",[2]Entry!$R$1028)</f>
        <v/>
      </c>
    </row>
    <row r="1026">
      <c r="P1026">
        <f>IF([2]Entry!$C$1029="","",[2]Entry!$C$1029)</f>
        <v/>
      </c>
      <c r="Q1026">
        <f>IF([2]Entry!$D$1029="","",[2]Entry!$D$1029)</f>
        <v/>
      </c>
      <c r="R1026">
        <f>IF([2]Entry!$E$1029="","",[2]Entry!$E$1029)</f>
        <v/>
      </c>
      <c r="S1026">
        <f>IF([2]Entry!$G$1029="","",[2]Entry!$G$1029)</f>
        <v/>
      </c>
      <c r="T1026">
        <f>IF([2]Entry!$J$1029="","",[2]Entry!$J$1029)</f>
        <v/>
      </c>
      <c r="U1026">
        <f>IF([2]Entry!$K$1029="","",[2]Entry!$K$1029)</f>
        <v/>
      </c>
      <c r="V1026">
        <f>IF([2]Entry!$L$1029="","",[2]Entry!$L$1029)</f>
        <v/>
      </c>
      <c r="W1026">
        <f>IF([2]Entry!$M$1029="","",[2]Entry!$M$1029)</f>
        <v/>
      </c>
      <c r="X1026">
        <f>IF([2]Entry!$N$1029="","",[2]Entry!$N$1029)</f>
        <v/>
      </c>
      <c r="Y1026">
        <f>IF([2]Entry!$R$1029="","",[2]Entry!$R$1029)</f>
        <v/>
      </c>
    </row>
    <row r="1027">
      <c r="P1027">
        <f>IF([2]Entry!$C$1030="","",[2]Entry!$C$1030)</f>
        <v/>
      </c>
      <c r="Q1027">
        <f>IF([2]Entry!$D$1030="","",[2]Entry!$D$1030)</f>
        <v/>
      </c>
      <c r="R1027">
        <f>IF([2]Entry!$E$1030="","",[2]Entry!$E$1030)</f>
        <v/>
      </c>
      <c r="S1027">
        <f>IF([2]Entry!$G$1030="","",[2]Entry!$G$1030)</f>
        <v/>
      </c>
      <c r="T1027">
        <f>IF([2]Entry!$J$1030="","",[2]Entry!$J$1030)</f>
        <v/>
      </c>
      <c r="U1027">
        <f>IF([2]Entry!$K$1030="","",[2]Entry!$K$1030)</f>
        <v/>
      </c>
      <c r="V1027">
        <f>IF([2]Entry!$L$1030="","",[2]Entry!$L$1030)</f>
        <v/>
      </c>
      <c r="W1027">
        <f>IF([2]Entry!$M$1030="","",[2]Entry!$M$1030)</f>
        <v/>
      </c>
      <c r="X1027">
        <f>IF([2]Entry!$N$1030="","",[2]Entry!$N$1030)</f>
        <v/>
      </c>
      <c r="Y1027">
        <f>IF([2]Entry!$R$1030="","",[2]Entry!$R$1030)</f>
        <v/>
      </c>
    </row>
    <row r="1028">
      <c r="P1028">
        <f>IF([2]Entry!$C$1031="","",[2]Entry!$C$1031)</f>
        <v/>
      </c>
      <c r="Q1028">
        <f>IF([2]Entry!$D$1031="","",[2]Entry!$D$1031)</f>
        <v/>
      </c>
      <c r="R1028">
        <f>IF([2]Entry!$E$1031="","",[2]Entry!$E$1031)</f>
        <v/>
      </c>
      <c r="S1028">
        <f>IF([2]Entry!$G$1031="","",[2]Entry!$G$1031)</f>
        <v/>
      </c>
      <c r="T1028">
        <f>IF([2]Entry!$J$1031="","",[2]Entry!$J$1031)</f>
        <v/>
      </c>
      <c r="U1028">
        <f>IF([2]Entry!$K$1031="","",[2]Entry!$K$1031)</f>
        <v/>
      </c>
      <c r="V1028">
        <f>IF([2]Entry!$L$1031="","",[2]Entry!$L$1031)</f>
        <v/>
      </c>
      <c r="W1028">
        <f>IF([2]Entry!$M$1031="","",[2]Entry!$M$1031)</f>
        <v/>
      </c>
      <c r="X1028">
        <f>IF([2]Entry!$N$1031="","",[2]Entry!$N$1031)</f>
        <v/>
      </c>
      <c r="Y1028">
        <f>IF([2]Entry!$R$1031="","",[2]Entry!$R$1031)</f>
        <v/>
      </c>
    </row>
    <row r="1029">
      <c r="P1029">
        <f>IF([2]Entry!$C$1032="","",[2]Entry!$C$1032)</f>
        <v/>
      </c>
      <c r="Q1029">
        <f>IF([2]Entry!$D$1032="","",[2]Entry!$D$1032)</f>
        <v/>
      </c>
      <c r="R1029">
        <f>IF([2]Entry!$E$1032="","",[2]Entry!$E$1032)</f>
        <v/>
      </c>
      <c r="S1029">
        <f>IF([2]Entry!$G$1032="","",[2]Entry!$G$1032)</f>
        <v/>
      </c>
      <c r="T1029">
        <f>IF([2]Entry!$J$1032="","",[2]Entry!$J$1032)</f>
        <v/>
      </c>
      <c r="U1029">
        <f>IF([2]Entry!$K$1032="","",[2]Entry!$K$1032)</f>
        <v/>
      </c>
      <c r="V1029">
        <f>IF([2]Entry!$L$1032="","",[2]Entry!$L$1032)</f>
        <v/>
      </c>
      <c r="W1029">
        <f>IF([2]Entry!$M$1032="","",[2]Entry!$M$1032)</f>
        <v/>
      </c>
      <c r="X1029">
        <f>IF([2]Entry!$N$1032="","",[2]Entry!$N$1032)</f>
        <v/>
      </c>
      <c r="Y1029">
        <f>IF([2]Entry!$R$1032="","",[2]Entry!$R$1032)</f>
        <v/>
      </c>
    </row>
    <row r="1030">
      <c r="P1030">
        <f>IF([2]Entry!$C$1033="","",[2]Entry!$C$1033)</f>
        <v/>
      </c>
      <c r="Q1030">
        <f>IF([2]Entry!$D$1033="","",[2]Entry!$D$1033)</f>
        <v/>
      </c>
      <c r="R1030">
        <f>IF([2]Entry!$E$1033="","",[2]Entry!$E$1033)</f>
        <v/>
      </c>
      <c r="S1030">
        <f>IF([2]Entry!$G$1033="","",[2]Entry!$G$1033)</f>
        <v/>
      </c>
      <c r="T1030">
        <f>IF([2]Entry!$J$1033="","",[2]Entry!$J$1033)</f>
        <v/>
      </c>
      <c r="U1030">
        <f>IF([2]Entry!$K$1033="","",[2]Entry!$K$1033)</f>
        <v/>
      </c>
      <c r="V1030">
        <f>IF([2]Entry!$L$1033="","",[2]Entry!$L$1033)</f>
        <v/>
      </c>
      <c r="W1030">
        <f>IF([2]Entry!$M$1033="","",[2]Entry!$M$1033)</f>
        <v/>
      </c>
      <c r="X1030">
        <f>IF([2]Entry!$N$1033="","",[2]Entry!$N$1033)</f>
        <v/>
      </c>
      <c r="Y1030">
        <f>IF([2]Entry!$R$1033="","",[2]Entry!$R$1033)</f>
        <v/>
      </c>
    </row>
    <row r="1031">
      <c r="P1031">
        <f>IF([2]Entry!$C$1034="","",[2]Entry!$C$1034)</f>
        <v/>
      </c>
      <c r="Q1031">
        <f>IF([2]Entry!$D$1034="","",[2]Entry!$D$1034)</f>
        <v/>
      </c>
      <c r="R1031">
        <f>IF([2]Entry!$E$1034="","",[2]Entry!$E$1034)</f>
        <v/>
      </c>
      <c r="S1031">
        <f>IF([2]Entry!$G$1034="","",[2]Entry!$G$1034)</f>
        <v/>
      </c>
      <c r="T1031">
        <f>IF([2]Entry!$J$1034="","",[2]Entry!$J$1034)</f>
        <v/>
      </c>
      <c r="U1031">
        <f>IF([2]Entry!$K$1034="","",[2]Entry!$K$1034)</f>
        <v/>
      </c>
      <c r="V1031">
        <f>IF([2]Entry!$L$1034="","",[2]Entry!$L$1034)</f>
        <v/>
      </c>
      <c r="W1031">
        <f>IF([2]Entry!$M$1034="","",[2]Entry!$M$1034)</f>
        <v/>
      </c>
      <c r="X1031">
        <f>IF([2]Entry!$N$1034="","",[2]Entry!$N$1034)</f>
        <v/>
      </c>
      <c r="Y1031">
        <f>IF([2]Entry!$R$1034="","",[2]Entry!$R$1034)</f>
        <v/>
      </c>
    </row>
    <row r="1032">
      <c r="P1032">
        <f>IF([2]Entry!$C$1035="","",[2]Entry!$C$1035)</f>
        <v/>
      </c>
      <c r="Q1032">
        <f>IF([2]Entry!$D$1035="","",[2]Entry!$D$1035)</f>
        <v/>
      </c>
      <c r="R1032">
        <f>IF([2]Entry!$E$1035="","",[2]Entry!$E$1035)</f>
        <v/>
      </c>
      <c r="S1032">
        <f>IF([2]Entry!$G$1035="","",[2]Entry!$G$1035)</f>
        <v/>
      </c>
      <c r="T1032">
        <f>IF([2]Entry!$J$1035="","",[2]Entry!$J$1035)</f>
        <v/>
      </c>
      <c r="U1032">
        <f>IF([2]Entry!$K$1035="","",[2]Entry!$K$1035)</f>
        <v/>
      </c>
      <c r="V1032">
        <f>IF([2]Entry!$L$1035="","",[2]Entry!$L$1035)</f>
        <v/>
      </c>
      <c r="W1032">
        <f>IF([2]Entry!$M$1035="","",[2]Entry!$M$1035)</f>
        <v/>
      </c>
      <c r="X1032">
        <f>IF([2]Entry!$N$1035="","",[2]Entry!$N$1035)</f>
        <v/>
      </c>
      <c r="Y1032">
        <f>IF([2]Entry!$R$1035="","",[2]Entry!$R$1035)</f>
        <v/>
      </c>
    </row>
    <row r="1033">
      <c r="P1033">
        <f>IF([2]Entry!$C$1036="","",[2]Entry!$C$1036)</f>
        <v/>
      </c>
      <c r="Q1033">
        <f>IF([2]Entry!$D$1036="","",[2]Entry!$D$1036)</f>
        <v/>
      </c>
      <c r="R1033">
        <f>IF([2]Entry!$E$1036="","",[2]Entry!$E$1036)</f>
        <v/>
      </c>
      <c r="S1033">
        <f>IF([2]Entry!$G$1036="","",[2]Entry!$G$1036)</f>
        <v/>
      </c>
      <c r="T1033">
        <f>IF([2]Entry!$J$1036="","",[2]Entry!$J$1036)</f>
        <v/>
      </c>
      <c r="U1033">
        <f>IF([2]Entry!$K$1036="","",[2]Entry!$K$1036)</f>
        <v/>
      </c>
      <c r="V1033">
        <f>IF([2]Entry!$L$1036="","",[2]Entry!$L$1036)</f>
        <v/>
      </c>
      <c r="W1033">
        <f>IF([2]Entry!$M$1036="","",[2]Entry!$M$1036)</f>
        <v/>
      </c>
      <c r="X1033">
        <f>IF([2]Entry!$N$1036="","",[2]Entry!$N$1036)</f>
        <v/>
      </c>
      <c r="Y1033">
        <f>IF([2]Entry!$R$1036="","",[2]Entry!$R$1036)</f>
        <v/>
      </c>
    </row>
    <row r="1034">
      <c r="P1034">
        <f>IF([2]Entry!$C$1037="","",[2]Entry!$C$1037)</f>
        <v/>
      </c>
      <c r="Q1034">
        <f>IF([2]Entry!$D$1037="","",[2]Entry!$D$1037)</f>
        <v/>
      </c>
      <c r="R1034">
        <f>IF([2]Entry!$E$1037="","",[2]Entry!$E$1037)</f>
        <v/>
      </c>
      <c r="S1034">
        <f>IF([2]Entry!$G$1037="","",[2]Entry!$G$1037)</f>
        <v/>
      </c>
      <c r="T1034">
        <f>IF([2]Entry!$J$1037="","",[2]Entry!$J$1037)</f>
        <v/>
      </c>
      <c r="U1034">
        <f>IF([2]Entry!$K$1037="","",[2]Entry!$K$1037)</f>
        <v/>
      </c>
      <c r="V1034">
        <f>IF([2]Entry!$L$1037="","",[2]Entry!$L$1037)</f>
        <v/>
      </c>
      <c r="W1034">
        <f>IF([2]Entry!$M$1037="","",[2]Entry!$M$1037)</f>
        <v/>
      </c>
      <c r="X1034">
        <f>IF([2]Entry!$N$1037="","",[2]Entry!$N$1037)</f>
        <v/>
      </c>
      <c r="Y1034">
        <f>IF([2]Entry!$R$1037="","",[2]Entry!$R$1037)</f>
        <v/>
      </c>
    </row>
    <row r="1035">
      <c r="P1035">
        <f>IF([2]Entry!$C$1038="","",[2]Entry!$C$1038)</f>
        <v/>
      </c>
      <c r="Q1035">
        <f>IF([2]Entry!$D$1038="","",[2]Entry!$D$1038)</f>
        <v/>
      </c>
      <c r="R1035">
        <f>IF([2]Entry!$E$1038="","",[2]Entry!$E$1038)</f>
        <v/>
      </c>
      <c r="S1035">
        <f>IF([2]Entry!$G$1038="","",[2]Entry!$G$1038)</f>
        <v/>
      </c>
      <c r="T1035">
        <f>IF([2]Entry!$J$1038="","",[2]Entry!$J$1038)</f>
        <v/>
      </c>
      <c r="U1035">
        <f>IF([2]Entry!$K$1038="","",[2]Entry!$K$1038)</f>
        <v/>
      </c>
      <c r="V1035">
        <f>IF([2]Entry!$L$1038="","",[2]Entry!$L$1038)</f>
        <v/>
      </c>
      <c r="W1035">
        <f>IF([2]Entry!$M$1038="","",[2]Entry!$M$1038)</f>
        <v/>
      </c>
      <c r="X1035">
        <f>IF([2]Entry!$N$1038="","",[2]Entry!$N$1038)</f>
        <v/>
      </c>
      <c r="Y1035">
        <f>IF([2]Entry!$R$1038="","",[2]Entry!$R$1038)</f>
        <v/>
      </c>
    </row>
    <row r="1036">
      <c r="P1036">
        <f>IF([2]Entry!$C$1039="","",[2]Entry!$C$1039)</f>
        <v/>
      </c>
      <c r="Q1036">
        <f>IF([2]Entry!$D$1039="","",[2]Entry!$D$1039)</f>
        <v/>
      </c>
      <c r="R1036">
        <f>IF([2]Entry!$E$1039="","",[2]Entry!$E$1039)</f>
        <v/>
      </c>
      <c r="S1036">
        <f>IF([2]Entry!$G$1039="","",[2]Entry!$G$1039)</f>
        <v/>
      </c>
      <c r="T1036">
        <f>IF([2]Entry!$J$1039="","",[2]Entry!$J$1039)</f>
        <v/>
      </c>
      <c r="U1036">
        <f>IF([2]Entry!$K$1039="","",[2]Entry!$K$1039)</f>
        <v/>
      </c>
      <c r="V1036">
        <f>IF([2]Entry!$L$1039="","",[2]Entry!$L$1039)</f>
        <v/>
      </c>
      <c r="W1036">
        <f>IF([2]Entry!$M$1039="","",[2]Entry!$M$1039)</f>
        <v/>
      </c>
      <c r="X1036">
        <f>IF([2]Entry!$N$1039="","",[2]Entry!$N$1039)</f>
        <v/>
      </c>
      <c r="Y1036">
        <f>IF([2]Entry!$R$1039="","",[2]Entry!$R$1039)</f>
        <v/>
      </c>
    </row>
    <row r="1037">
      <c r="P1037">
        <f>IF([2]Entry!$C$1040="","",[2]Entry!$C$1040)</f>
        <v/>
      </c>
      <c r="Q1037">
        <f>IF([2]Entry!$D$1040="","",[2]Entry!$D$1040)</f>
        <v/>
      </c>
      <c r="R1037">
        <f>IF([2]Entry!$E$1040="","",[2]Entry!$E$1040)</f>
        <v/>
      </c>
      <c r="S1037">
        <f>IF([2]Entry!$G$1040="","",[2]Entry!$G$1040)</f>
        <v/>
      </c>
      <c r="T1037">
        <f>IF([2]Entry!$J$1040="","",[2]Entry!$J$1040)</f>
        <v/>
      </c>
      <c r="U1037">
        <f>IF([2]Entry!$K$1040="","",[2]Entry!$K$1040)</f>
        <v/>
      </c>
      <c r="V1037">
        <f>IF([2]Entry!$L$1040="","",[2]Entry!$L$1040)</f>
        <v/>
      </c>
      <c r="W1037">
        <f>IF([2]Entry!$M$1040="","",[2]Entry!$M$1040)</f>
        <v/>
      </c>
      <c r="X1037">
        <f>IF([2]Entry!$N$1040="","",[2]Entry!$N$1040)</f>
        <v/>
      </c>
      <c r="Y1037">
        <f>IF([2]Entry!$R$1040="","",[2]Entry!$R$1040)</f>
        <v/>
      </c>
    </row>
    <row r="1038">
      <c r="P1038">
        <f>IF([2]Entry!$C$1041="","",[2]Entry!$C$1041)</f>
        <v/>
      </c>
      <c r="Q1038">
        <f>IF([2]Entry!$D$1041="","",[2]Entry!$D$1041)</f>
        <v/>
      </c>
      <c r="R1038">
        <f>IF([2]Entry!$E$1041="","",[2]Entry!$E$1041)</f>
        <v/>
      </c>
      <c r="S1038">
        <f>IF([2]Entry!$G$1041="","",[2]Entry!$G$1041)</f>
        <v/>
      </c>
      <c r="T1038">
        <f>IF([2]Entry!$J$1041="","",[2]Entry!$J$1041)</f>
        <v/>
      </c>
      <c r="U1038">
        <f>IF([2]Entry!$K$1041="","",[2]Entry!$K$1041)</f>
        <v/>
      </c>
      <c r="V1038">
        <f>IF([2]Entry!$L$1041="","",[2]Entry!$L$1041)</f>
        <v/>
      </c>
      <c r="W1038">
        <f>IF([2]Entry!$M$1041="","",[2]Entry!$M$1041)</f>
        <v/>
      </c>
      <c r="X1038">
        <f>IF([2]Entry!$N$1041="","",[2]Entry!$N$1041)</f>
        <v/>
      </c>
      <c r="Y1038">
        <f>IF([2]Entry!$R$1041="","",[2]Entry!$R$1041)</f>
        <v/>
      </c>
    </row>
    <row r="1039">
      <c r="P1039">
        <f>IF([2]Entry!$C$1042="","",[2]Entry!$C$1042)</f>
        <v/>
      </c>
      <c r="Q1039">
        <f>IF([2]Entry!$D$1042="","",[2]Entry!$D$1042)</f>
        <v/>
      </c>
      <c r="R1039">
        <f>IF([2]Entry!$E$1042="","",[2]Entry!$E$1042)</f>
        <v/>
      </c>
      <c r="S1039">
        <f>IF([2]Entry!$G$1042="","",[2]Entry!$G$1042)</f>
        <v/>
      </c>
      <c r="T1039">
        <f>IF([2]Entry!$J$1042="","",[2]Entry!$J$1042)</f>
        <v/>
      </c>
      <c r="U1039">
        <f>IF([2]Entry!$K$1042="","",[2]Entry!$K$1042)</f>
        <v/>
      </c>
      <c r="V1039">
        <f>IF([2]Entry!$L$1042="","",[2]Entry!$L$1042)</f>
        <v/>
      </c>
      <c r="W1039">
        <f>IF([2]Entry!$M$1042="","",[2]Entry!$M$1042)</f>
        <v/>
      </c>
      <c r="X1039">
        <f>IF([2]Entry!$N$1042="","",[2]Entry!$N$1042)</f>
        <v/>
      </c>
      <c r="Y1039">
        <f>IF([2]Entry!$R$1042="","",[2]Entry!$R$1042)</f>
        <v/>
      </c>
    </row>
    <row r="1040">
      <c r="P1040">
        <f>IF([2]Entry!$C$1043="","",[2]Entry!$C$1043)</f>
        <v/>
      </c>
      <c r="Q1040">
        <f>IF([2]Entry!$D$1043="","",[2]Entry!$D$1043)</f>
        <v/>
      </c>
      <c r="R1040">
        <f>IF([2]Entry!$E$1043="","",[2]Entry!$E$1043)</f>
        <v/>
      </c>
      <c r="S1040">
        <f>IF([2]Entry!$G$1043="","",[2]Entry!$G$1043)</f>
        <v/>
      </c>
      <c r="T1040">
        <f>IF([2]Entry!$J$1043="","",[2]Entry!$J$1043)</f>
        <v/>
      </c>
      <c r="U1040">
        <f>IF([2]Entry!$K$1043="","",[2]Entry!$K$1043)</f>
        <v/>
      </c>
      <c r="V1040">
        <f>IF([2]Entry!$L$1043="","",[2]Entry!$L$1043)</f>
        <v/>
      </c>
      <c r="W1040">
        <f>IF([2]Entry!$M$1043="","",[2]Entry!$M$1043)</f>
        <v/>
      </c>
      <c r="X1040">
        <f>IF([2]Entry!$N$1043="","",[2]Entry!$N$1043)</f>
        <v/>
      </c>
      <c r="Y1040">
        <f>IF([2]Entry!$R$1043="","",[2]Entry!$R$1043)</f>
        <v/>
      </c>
    </row>
    <row r="1041">
      <c r="P1041">
        <f>IF([2]Entry!$C$1044="","",[2]Entry!$C$1044)</f>
        <v/>
      </c>
      <c r="Q1041">
        <f>IF([2]Entry!$D$1044="","",[2]Entry!$D$1044)</f>
        <v/>
      </c>
      <c r="R1041">
        <f>IF([2]Entry!$E$1044="","",[2]Entry!$E$1044)</f>
        <v/>
      </c>
      <c r="S1041">
        <f>IF([2]Entry!$G$1044="","",[2]Entry!$G$1044)</f>
        <v/>
      </c>
      <c r="T1041">
        <f>IF([2]Entry!$J$1044="","",[2]Entry!$J$1044)</f>
        <v/>
      </c>
      <c r="U1041">
        <f>IF([2]Entry!$K$1044="","",[2]Entry!$K$1044)</f>
        <v/>
      </c>
      <c r="V1041">
        <f>IF([2]Entry!$L$1044="","",[2]Entry!$L$1044)</f>
        <v/>
      </c>
      <c r="W1041">
        <f>IF([2]Entry!$M$1044="","",[2]Entry!$M$1044)</f>
        <v/>
      </c>
      <c r="X1041">
        <f>IF([2]Entry!$N$1044="","",[2]Entry!$N$1044)</f>
        <v/>
      </c>
      <c r="Y1041">
        <f>IF([2]Entry!$R$1044="","",[2]Entry!$R$1044)</f>
        <v/>
      </c>
    </row>
    <row r="1042">
      <c r="P1042">
        <f>IF([2]Entry!$C$1045="","",[2]Entry!$C$1045)</f>
        <v/>
      </c>
      <c r="Q1042">
        <f>IF([2]Entry!$D$1045="","",[2]Entry!$D$1045)</f>
        <v/>
      </c>
      <c r="R1042">
        <f>IF([2]Entry!$E$1045="","",[2]Entry!$E$1045)</f>
        <v/>
      </c>
      <c r="S1042">
        <f>IF([2]Entry!$G$1045="","",[2]Entry!$G$1045)</f>
        <v/>
      </c>
      <c r="T1042">
        <f>IF([2]Entry!$J$1045="","",[2]Entry!$J$1045)</f>
        <v/>
      </c>
      <c r="U1042">
        <f>IF([2]Entry!$K$1045="","",[2]Entry!$K$1045)</f>
        <v/>
      </c>
      <c r="V1042">
        <f>IF([2]Entry!$L$1045="","",[2]Entry!$L$1045)</f>
        <v/>
      </c>
      <c r="W1042">
        <f>IF([2]Entry!$M$1045="","",[2]Entry!$M$1045)</f>
        <v/>
      </c>
      <c r="X1042">
        <f>IF([2]Entry!$N$1045="","",[2]Entry!$N$1045)</f>
        <v/>
      </c>
      <c r="Y1042">
        <f>IF([2]Entry!$R$1045="","",[2]Entry!$R$1045)</f>
        <v/>
      </c>
    </row>
    <row r="1043">
      <c r="P1043">
        <f>IF([2]Entry!$C$1046="","",[2]Entry!$C$1046)</f>
        <v/>
      </c>
      <c r="Q1043">
        <f>IF([2]Entry!$D$1046="","",[2]Entry!$D$1046)</f>
        <v/>
      </c>
      <c r="R1043">
        <f>IF([2]Entry!$E$1046="","",[2]Entry!$E$1046)</f>
        <v/>
      </c>
      <c r="S1043">
        <f>IF([2]Entry!$G$1046="","",[2]Entry!$G$1046)</f>
        <v/>
      </c>
      <c r="T1043">
        <f>IF([2]Entry!$J$1046="","",[2]Entry!$J$1046)</f>
        <v/>
      </c>
      <c r="U1043">
        <f>IF([2]Entry!$K$1046="","",[2]Entry!$K$1046)</f>
        <v/>
      </c>
      <c r="V1043">
        <f>IF([2]Entry!$L$1046="","",[2]Entry!$L$1046)</f>
        <v/>
      </c>
      <c r="W1043">
        <f>IF([2]Entry!$M$1046="","",[2]Entry!$M$1046)</f>
        <v/>
      </c>
      <c r="X1043">
        <f>IF([2]Entry!$N$1046="","",[2]Entry!$N$1046)</f>
        <v/>
      </c>
      <c r="Y1043">
        <f>IF([2]Entry!$R$1046="","",[2]Entry!$R$1046)</f>
        <v/>
      </c>
    </row>
    <row r="1044">
      <c r="P1044">
        <f>IF([2]Entry!$C$1047="","",[2]Entry!$C$1047)</f>
        <v/>
      </c>
      <c r="Q1044">
        <f>IF([2]Entry!$D$1047="","",[2]Entry!$D$1047)</f>
        <v/>
      </c>
      <c r="R1044">
        <f>IF([2]Entry!$E$1047="","",[2]Entry!$E$1047)</f>
        <v/>
      </c>
      <c r="S1044">
        <f>IF([2]Entry!$G$1047="","",[2]Entry!$G$1047)</f>
        <v/>
      </c>
      <c r="T1044">
        <f>IF([2]Entry!$J$1047="","",[2]Entry!$J$1047)</f>
        <v/>
      </c>
      <c r="U1044">
        <f>IF([2]Entry!$K$1047="","",[2]Entry!$K$1047)</f>
        <v/>
      </c>
      <c r="V1044">
        <f>IF([2]Entry!$L$1047="","",[2]Entry!$L$1047)</f>
        <v/>
      </c>
      <c r="W1044">
        <f>IF([2]Entry!$M$1047="","",[2]Entry!$M$1047)</f>
        <v/>
      </c>
      <c r="X1044">
        <f>IF([2]Entry!$N$1047="","",[2]Entry!$N$1047)</f>
        <v/>
      </c>
      <c r="Y1044">
        <f>IF([2]Entry!$R$1047="","",[2]Entry!$R$1047)</f>
        <v/>
      </c>
    </row>
    <row r="1045">
      <c r="P1045">
        <f>IF([2]Entry!$C$1048="","",[2]Entry!$C$1048)</f>
        <v/>
      </c>
      <c r="Q1045">
        <f>IF([2]Entry!$D$1048="","",[2]Entry!$D$1048)</f>
        <v/>
      </c>
      <c r="R1045">
        <f>IF([2]Entry!$E$1048="","",[2]Entry!$E$1048)</f>
        <v/>
      </c>
      <c r="S1045">
        <f>IF([2]Entry!$G$1048="","",[2]Entry!$G$1048)</f>
        <v/>
      </c>
      <c r="T1045">
        <f>IF([2]Entry!$J$1048="","",[2]Entry!$J$1048)</f>
        <v/>
      </c>
      <c r="U1045">
        <f>IF([2]Entry!$K$1048="","",[2]Entry!$K$1048)</f>
        <v/>
      </c>
      <c r="V1045">
        <f>IF([2]Entry!$L$1048="","",[2]Entry!$L$1048)</f>
        <v/>
      </c>
      <c r="W1045">
        <f>IF([2]Entry!$M$1048="","",[2]Entry!$M$1048)</f>
        <v/>
      </c>
      <c r="X1045">
        <f>IF([2]Entry!$N$1048="","",[2]Entry!$N$1048)</f>
        <v/>
      </c>
      <c r="Y1045">
        <f>IF([2]Entry!$R$1048="","",[2]Entry!$R$1048)</f>
        <v/>
      </c>
    </row>
    <row r="1046">
      <c r="P1046">
        <f>IF([2]Entry!$C$1049="","",[2]Entry!$C$1049)</f>
        <v/>
      </c>
      <c r="Q1046">
        <f>IF([2]Entry!$D$1049="","",[2]Entry!$D$1049)</f>
        <v/>
      </c>
      <c r="R1046">
        <f>IF([2]Entry!$E$1049="","",[2]Entry!$E$1049)</f>
        <v/>
      </c>
      <c r="S1046">
        <f>IF([2]Entry!$G$1049="","",[2]Entry!$G$1049)</f>
        <v/>
      </c>
      <c r="T1046">
        <f>IF([2]Entry!$J$1049="","",[2]Entry!$J$1049)</f>
        <v/>
      </c>
      <c r="U1046">
        <f>IF([2]Entry!$K$1049="","",[2]Entry!$K$1049)</f>
        <v/>
      </c>
      <c r="V1046">
        <f>IF([2]Entry!$L$1049="","",[2]Entry!$L$1049)</f>
        <v/>
      </c>
      <c r="W1046">
        <f>IF([2]Entry!$M$1049="","",[2]Entry!$M$1049)</f>
        <v/>
      </c>
      <c r="X1046">
        <f>IF([2]Entry!$N$1049="","",[2]Entry!$N$1049)</f>
        <v/>
      </c>
      <c r="Y1046">
        <f>IF([2]Entry!$R$1049="","",[2]Entry!$R$1049)</f>
        <v/>
      </c>
    </row>
    <row r="1047">
      <c r="P1047">
        <f>IF([2]Entry!$C$1050="","",[2]Entry!$C$1050)</f>
        <v/>
      </c>
      <c r="Q1047">
        <f>IF([2]Entry!$D$1050="","",[2]Entry!$D$1050)</f>
        <v/>
      </c>
      <c r="R1047">
        <f>IF([2]Entry!$E$1050="","",[2]Entry!$E$1050)</f>
        <v/>
      </c>
      <c r="S1047">
        <f>IF([2]Entry!$G$1050="","",[2]Entry!$G$1050)</f>
        <v/>
      </c>
      <c r="T1047">
        <f>IF([2]Entry!$J$1050="","",[2]Entry!$J$1050)</f>
        <v/>
      </c>
      <c r="U1047">
        <f>IF([2]Entry!$K$1050="","",[2]Entry!$K$1050)</f>
        <v/>
      </c>
      <c r="V1047">
        <f>IF([2]Entry!$L$1050="","",[2]Entry!$L$1050)</f>
        <v/>
      </c>
      <c r="W1047">
        <f>IF([2]Entry!$M$1050="","",[2]Entry!$M$1050)</f>
        <v/>
      </c>
      <c r="X1047">
        <f>IF([2]Entry!$N$1050="","",[2]Entry!$N$1050)</f>
        <v/>
      </c>
      <c r="Y1047">
        <f>IF([2]Entry!$R$1050="","",[2]Entry!$R$1050)</f>
        <v/>
      </c>
    </row>
    <row r="1048">
      <c r="P1048">
        <f>IF([2]Entry!$C$1051="","",[2]Entry!$C$1051)</f>
        <v/>
      </c>
      <c r="Q1048">
        <f>IF([2]Entry!$D$1051="","",[2]Entry!$D$1051)</f>
        <v/>
      </c>
      <c r="R1048">
        <f>IF([2]Entry!$E$1051="","",[2]Entry!$E$1051)</f>
        <v/>
      </c>
      <c r="S1048">
        <f>IF([2]Entry!$G$1051="","",[2]Entry!$G$1051)</f>
        <v/>
      </c>
      <c r="T1048">
        <f>IF([2]Entry!$J$1051="","",[2]Entry!$J$1051)</f>
        <v/>
      </c>
      <c r="U1048">
        <f>IF([2]Entry!$K$1051="","",[2]Entry!$K$1051)</f>
        <v/>
      </c>
      <c r="V1048">
        <f>IF([2]Entry!$L$1051="","",[2]Entry!$L$1051)</f>
        <v/>
      </c>
      <c r="W1048">
        <f>IF([2]Entry!$M$1051="","",[2]Entry!$M$1051)</f>
        <v/>
      </c>
      <c r="X1048">
        <f>IF([2]Entry!$N$1051="","",[2]Entry!$N$1051)</f>
        <v/>
      </c>
      <c r="Y1048">
        <f>IF([2]Entry!$R$1051="","",[2]Entry!$R$1051)</f>
        <v/>
      </c>
    </row>
    <row r="1049">
      <c r="P1049">
        <f>IF([2]Entry!$C$1052="","",[2]Entry!$C$1052)</f>
        <v/>
      </c>
      <c r="Q1049">
        <f>IF([2]Entry!$D$1052="","",[2]Entry!$D$1052)</f>
        <v/>
      </c>
      <c r="R1049">
        <f>IF([2]Entry!$E$1052="","",[2]Entry!$E$1052)</f>
        <v/>
      </c>
      <c r="S1049">
        <f>IF([2]Entry!$G$1052="","",[2]Entry!$G$1052)</f>
        <v/>
      </c>
      <c r="T1049">
        <f>IF([2]Entry!$J$1052="","",[2]Entry!$J$1052)</f>
        <v/>
      </c>
      <c r="U1049">
        <f>IF([2]Entry!$K$1052="","",[2]Entry!$K$1052)</f>
        <v/>
      </c>
      <c r="V1049">
        <f>IF([2]Entry!$L$1052="","",[2]Entry!$L$1052)</f>
        <v/>
      </c>
      <c r="W1049">
        <f>IF([2]Entry!$M$1052="","",[2]Entry!$M$1052)</f>
        <v/>
      </c>
      <c r="X1049">
        <f>IF([2]Entry!$N$1052="","",[2]Entry!$N$1052)</f>
        <v/>
      </c>
      <c r="Y1049">
        <f>IF([2]Entry!$R$1052="","",[2]Entry!$R$1052)</f>
        <v/>
      </c>
    </row>
    <row r="1050">
      <c r="P1050">
        <f>IF([2]Entry!$C$1053="","",[2]Entry!$C$1053)</f>
        <v/>
      </c>
      <c r="Q1050">
        <f>IF([2]Entry!$D$1053="","",[2]Entry!$D$1053)</f>
        <v/>
      </c>
      <c r="R1050">
        <f>IF([2]Entry!$E$1053="","",[2]Entry!$E$1053)</f>
        <v/>
      </c>
      <c r="S1050">
        <f>IF([2]Entry!$G$1053="","",[2]Entry!$G$1053)</f>
        <v/>
      </c>
      <c r="T1050">
        <f>IF([2]Entry!$J$1053="","",[2]Entry!$J$1053)</f>
        <v/>
      </c>
      <c r="U1050">
        <f>IF([2]Entry!$K$1053="","",[2]Entry!$K$1053)</f>
        <v/>
      </c>
      <c r="V1050">
        <f>IF([2]Entry!$L$1053="","",[2]Entry!$L$1053)</f>
        <v/>
      </c>
      <c r="W1050">
        <f>IF([2]Entry!$M$1053="","",[2]Entry!$M$1053)</f>
        <v/>
      </c>
      <c r="X1050">
        <f>IF([2]Entry!$N$1053="","",[2]Entry!$N$1053)</f>
        <v/>
      </c>
      <c r="Y1050">
        <f>IF([2]Entry!$R$1053="","",[2]Entry!$R$1053)</f>
        <v/>
      </c>
    </row>
    <row r="1051">
      <c r="P1051">
        <f>IF([2]Entry!$C$1054="","",[2]Entry!$C$1054)</f>
        <v/>
      </c>
      <c r="Q1051">
        <f>IF([2]Entry!$D$1054="","",[2]Entry!$D$1054)</f>
        <v/>
      </c>
      <c r="R1051">
        <f>IF([2]Entry!$E$1054="","",[2]Entry!$E$1054)</f>
        <v/>
      </c>
      <c r="S1051">
        <f>IF([2]Entry!$G$1054="","",[2]Entry!$G$1054)</f>
        <v/>
      </c>
      <c r="T1051">
        <f>IF([2]Entry!$J$1054="","",[2]Entry!$J$1054)</f>
        <v/>
      </c>
      <c r="U1051">
        <f>IF([2]Entry!$K$1054="","",[2]Entry!$K$1054)</f>
        <v/>
      </c>
      <c r="V1051">
        <f>IF([2]Entry!$L$1054="","",[2]Entry!$L$1054)</f>
        <v/>
      </c>
      <c r="W1051">
        <f>IF([2]Entry!$M$1054="","",[2]Entry!$M$1054)</f>
        <v/>
      </c>
      <c r="X1051">
        <f>IF([2]Entry!$N$1054="","",[2]Entry!$N$1054)</f>
        <v/>
      </c>
      <c r="Y1051">
        <f>IF([2]Entry!$R$1054="","",[2]Entry!$R$1054)</f>
        <v/>
      </c>
    </row>
    <row r="1052">
      <c r="P1052">
        <f>IF([2]Entry!$C$1055="","",[2]Entry!$C$1055)</f>
        <v/>
      </c>
      <c r="Q1052">
        <f>IF([2]Entry!$D$1055="","",[2]Entry!$D$1055)</f>
        <v/>
      </c>
      <c r="R1052">
        <f>IF([2]Entry!$E$1055="","",[2]Entry!$E$1055)</f>
        <v/>
      </c>
      <c r="S1052">
        <f>IF([2]Entry!$G$1055="","",[2]Entry!$G$1055)</f>
        <v/>
      </c>
      <c r="T1052">
        <f>IF([2]Entry!$J$1055="","",[2]Entry!$J$1055)</f>
        <v/>
      </c>
      <c r="U1052">
        <f>IF([2]Entry!$K$1055="","",[2]Entry!$K$1055)</f>
        <v/>
      </c>
      <c r="V1052">
        <f>IF([2]Entry!$L$1055="","",[2]Entry!$L$1055)</f>
        <v/>
      </c>
      <c r="W1052">
        <f>IF([2]Entry!$M$1055="","",[2]Entry!$M$1055)</f>
        <v/>
      </c>
      <c r="X1052">
        <f>IF([2]Entry!$N$1055="","",[2]Entry!$N$1055)</f>
        <v/>
      </c>
      <c r="Y1052">
        <f>IF([2]Entry!$R$1055="","",[2]Entry!$R$1055)</f>
        <v/>
      </c>
    </row>
    <row r="1053">
      <c r="P1053">
        <f>IF([2]Entry!$C$1056="","",[2]Entry!$C$1056)</f>
        <v/>
      </c>
      <c r="Q1053">
        <f>IF([2]Entry!$D$1056="","",[2]Entry!$D$1056)</f>
        <v/>
      </c>
      <c r="R1053">
        <f>IF([2]Entry!$E$1056="","",[2]Entry!$E$1056)</f>
        <v/>
      </c>
      <c r="S1053">
        <f>IF([2]Entry!$G$1056="","",[2]Entry!$G$1056)</f>
        <v/>
      </c>
      <c r="T1053">
        <f>IF([2]Entry!$J$1056="","",[2]Entry!$J$1056)</f>
        <v/>
      </c>
      <c r="U1053">
        <f>IF([2]Entry!$K$1056="","",[2]Entry!$K$1056)</f>
        <v/>
      </c>
      <c r="V1053">
        <f>IF([2]Entry!$L$1056="","",[2]Entry!$L$1056)</f>
        <v/>
      </c>
      <c r="W1053">
        <f>IF([2]Entry!$M$1056="","",[2]Entry!$M$1056)</f>
        <v/>
      </c>
      <c r="X1053">
        <f>IF([2]Entry!$N$1056="","",[2]Entry!$N$1056)</f>
        <v/>
      </c>
      <c r="Y1053">
        <f>IF([2]Entry!$R$1056="","",[2]Entry!$R$1056)</f>
        <v/>
      </c>
    </row>
    <row r="1054">
      <c r="P1054">
        <f>IF([2]Entry!$C$1057="","",[2]Entry!$C$1057)</f>
        <v/>
      </c>
      <c r="Q1054">
        <f>IF([2]Entry!$D$1057="","",[2]Entry!$D$1057)</f>
        <v/>
      </c>
      <c r="R1054">
        <f>IF([2]Entry!$E$1057="","",[2]Entry!$E$1057)</f>
        <v/>
      </c>
      <c r="S1054">
        <f>IF([2]Entry!$G$1057="","",[2]Entry!$G$1057)</f>
        <v/>
      </c>
      <c r="T1054">
        <f>IF([2]Entry!$J$1057="","",[2]Entry!$J$1057)</f>
        <v/>
      </c>
      <c r="U1054">
        <f>IF([2]Entry!$K$1057="","",[2]Entry!$K$1057)</f>
        <v/>
      </c>
      <c r="V1054">
        <f>IF([2]Entry!$L$1057="","",[2]Entry!$L$1057)</f>
        <v/>
      </c>
      <c r="W1054">
        <f>IF([2]Entry!$M$1057="","",[2]Entry!$M$1057)</f>
        <v/>
      </c>
      <c r="X1054">
        <f>IF([2]Entry!$N$1057="","",[2]Entry!$N$1057)</f>
        <v/>
      </c>
      <c r="Y1054">
        <f>IF([2]Entry!$R$1057="","",[2]Entry!$R$1057)</f>
        <v/>
      </c>
    </row>
    <row r="1055">
      <c r="P1055">
        <f>IF([2]Entry!$C$1058="","",[2]Entry!$C$1058)</f>
        <v/>
      </c>
      <c r="Q1055">
        <f>IF([2]Entry!$D$1058="","",[2]Entry!$D$1058)</f>
        <v/>
      </c>
      <c r="R1055">
        <f>IF([2]Entry!$E$1058="","",[2]Entry!$E$1058)</f>
        <v/>
      </c>
      <c r="S1055">
        <f>IF([2]Entry!$G$1058="","",[2]Entry!$G$1058)</f>
        <v/>
      </c>
      <c r="T1055">
        <f>IF([2]Entry!$J$1058="","",[2]Entry!$J$1058)</f>
        <v/>
      </c>
      <c r="U1055">
        <f>IF([2]Entry!$K$1058="","",[2]Entry!$K$1058)</f>
        <v/>
      </c>
      <c r="V1055">
        <f>IF([2]Entry!$L$1058="","",[2]Entry!$L$1058)</f>
        <v/>
      </c>
      <c r="W1055">
        <f>IF([2]Entry!$M$1058="","",[2]Entry!$M$1058)</f>
        <v/>
      </c>
      <c r="X1055">
        <f>IF([2]Entry!$N$1058="","",[2]Entry!$N$1058)</f>
        <v/>
      </c>
      <c r="Y1055">
        <f>IF([2]Entry!$R$1058="","",[2]Entry!$R$1058)</f>
        <v/>
      </c>
    </row>
    <row r="1056">
      <c r="P1056">
        <f>IF([2]Entry!$C$1059="","",[2]Entry!$C$1059)</f>
        <v/>
      </c>
      <c r="Q1056">
        <f>IF([2]Entry!$D$1059="","",[2]Entry!$D$1059)</f>
        <v/>
      </c>
      <c r="R1056">
        <f>IF([2]Entry!$E$1059="","",[2]Entry!$E$1059)</f>
        <v/>
      </c>
      <c r="S1056">
        <f>IF([2]Entry!$G$1059="","",[2]Entry!$G$1059)</f>
        <v/>
      </c>
      <c r="T1056">
        <f>IF([2]Entry!$J$1059="","",[2]Entry!$J$1059)</f>
        <v/>
      </c>
      <c r="U1056">
        <f>IF([2]Entry!$K$1059="","",[2]Entry!$K$1059)</f>
        <v/>
      </c>
      <c r="V1056">
        <f>IF([2]Entry!$L$1059="","",[2]Entry!$L$1059)</f>
        <v/>
      </c>
      <c r="W1056">
        <f>IF([2]Entry!$M$1059="","",[2]Entry!$M$1059)</f>
        <v/>
      </c>
      <c r="X1056">
        <f>IF([2]Entry!$N$1059="","",[2]Entry!$N$1059)</f>
        <v/>
      </c>
      <c r="Y1056">
        <f>IF([2]Entry!$R$1059="","",[2]Entry!$R$1059)</f>
        <v/>
      </c>
    </row>
    <row r="1057">
      <c r="P1057">
        <f>IF([2]Entry!$C$1060="","",[2]Entry!$C$1060)</f>
        <v/>
      </c>
      <c r="Q1057">
        <f>IF([2]Entry!$D$1060="","",[2]Entry!$D$1060)</f>
        <v/>
      </c>
      <c r="R1057">
        <f>IF([2]Entry!$E$1060="","",[2]Entry!$E$1060)</f>
        <v/>
      </c>
      <c r="S1057">
        <f>IF([2]Entry!$G$1060="","",[2]Entry!$G$1060)</f>
        <v/>
      </c>
      <c r="T1057">
        <f>IF([2]Entry!$J$1060="","",[2]Entry!$J$1060)</f>
        <v/>
      </c>
      <c r="U1057">
        <f>IF([2]Entry!$K$1060="","",[2]Entry!$K$1060)</f>
        <v/>
      </c>
      <c r="V1057">
        <f>IF([2]Entry!$L$1060="","",[2]Entry!$L$1060)</f>
        <v/>
      </c>
      <c r="W1057">
        <f>IF([2]Entry!$M$1060="","",[2]Entry!$M$1060)</f>
        <v/>
      </c>
      <c r="X1057">
        <f>IF([2]Entry!$N$1060="","",[2]Entry!$N$1060)</f>
        <v/>
      </c>
      <c r="Y1057">
        <f>IF([2]Entry!$R$1060="","",[2]Entry!$R$1060)</f>
        <v/>
      </c>
    </row>
    <row r="1058">
      <c r="P1058">
        <f>IF([2]Entry!$C$1061="","",[2]Entry!$C$1061)</f>
        <v/>
      </c>
      <c r="Q1058">
        <f>IF([2]Entry!$D$1061="","",[2]Entry!$D$1061)</f>
        <v/>
      </c>
      <c r="R1058">
        <f>IF([2]Entry!$E$1061="","",[2]Entry!$E$1061)</f>
        <v/>
      </c>
      <c r="S1058">
        <f>IF([2]Entry!$G$1061="","",[2]Entry!$G$1061)</f>
        <v/>
      </c>
      <c r="T1058">
        <f>IF([2]Entry!$J$1061="","",[2]Entry!$J$1061)</f>
        <v/>
      </c>
      <c r="U1058">
        <f>IF([2]Entry!$K$1061="","",[2]Entry!$K$1061)</f>
        <v/>
      </c>
      <c r="V1058">
        <f>IF([2]Entry!$L$1061="","",[2]Entry!$L$1061)</f>
        <v/>
      </c>
      <c r="W1058">
        <f>IF([2]Entry!$M$1061="","",[2]Entry!$M$1061)</f>
        <v/>
      </c>
      <c r="X1058">
        <f>IF([2]Entry!$N$1061="","",[2]Entry!$N$1061)</f>
        <v/>
      </c>
      <c r="Y1058">
        <f>IF([2]Entry!$R$1061="","",[2]Entry!$R$1061)</f>
        <v/>
      </c>
    </row>
    <row r="1059">
      <c r="P1059">
        <f>IF([2]Entry!$C$1062="","",[2]Entry!$C$1062)</f>
        <v/>
      </c>
      <c r="Q1059">
        <f>IF([2]Entry!$D$1062="","",[2]Entry!$D$1062)</f>
        <v/>
      </c>
      <c r="R1059">
        <f>IF([2]Entry!$E$1062="","",[2]Entry!$E$1062)</f>
        <v/>
      </c>
      <c r="S1059">
        <f>IF([2]Entry!$G$1062="","",[2]Entry!$G$1062)</f>
        <v/>
      </c>
      <c r="T1059">
        <f>IF([2]Entry!$J$1062="","",[2]Entry!$J$1062)</f>
        <v/>
      </c>
      <c r="U1059">
        <f>IF([2]Entry!$K$1062="","",[2]Entry!$K$1062)</f>
        <v/>
      </c>
      <c r="V1059">
        <f>IF([2]Entry!$L$1062="","",[2]Entry!$L$1062)</f>
        <v/>
      </c>
      <c r="W1059">
        <f>IF([2]Entry!$M$1062="","",[2]Entry!$M$1062)</f>
        <v/>
      </c>
      <c r="X1059">
        <f>IF([2]Entry!$N$1062="","",[2]Entry!$N$1062)</f>
        <v/>
      </c>
      <c r="Y1059">
        <f>IF([2]Entry!$R$1062="","",[2]Entry!$R$1062)</f>
        <v/>
      </c>
    </row>
    <row r="1060">
      <c r="P1060">
        <f>IF([2]Entry!$C$1063="","",[2]Entry!$C$1063)</f>
        <v/>
      </c>
      <c r="Q1060">
        <f>IF([2]Entry!$D$1063="","",[2]Entry!$D$1063)</f>
        <v/>
      </c>
      <c r="R1060">
        <f>IF([2]Entry!$E$1063="","",[2]Entry!$E$1063)</f>
        <v/>
      </c>
      <c r="S1060">
        <f>IF([2]Entry!$G$1063="","",[2]Entry!$G$1063)</f>
        <v/>
      </c>
      <c r="T1060">
        <f>IF([2]Entry!$J$1063="","",[2]Entry!$J$1063)</f>
        <v/>
      </c>
      <c r="U1060">
        <f>IF([2]Entry!$K$1063="","",[2]Entry!$K$1063)</f>
        <v/>
      </c>
      <c r="V1060">
        <f>IF([2]Entry!$L$1063="","",[2]Entry!$L$1063)</f>
        <v/>
      </c>
      <c r="W1060">
        <f>IF([2]Entry!$M$1063="","",[2]Entry!$M$1063)</f>
        <v/>
      </c>
      <c r="X1060">
        <f>IF([2]Entry!$N$1063="","",[2]Entry!$N$1063)</f>
        <v/>
      </c>
      <c r="Y1060">
        <f>IF([2]Entry!$R$1063="","",[2]Entry!$R$1063)</f>
        <v/>
      </c>
    </row>
    <row r="1061">
      <c r="P1061">
        <f>IF([2]Entry!$C$1064="","",[2]Entry!$C$1064)</f>
        <v/>
      </c>
      <c r="Q1061">
        <f>IF([2]Entry!$D$1064="","",[2]Entry!$D$1064)</f>
        <v/>
      </c>
      <c r="R1061">
        <f>IF([2]Entry!$E$1064="","",[2]Entry!$E$1064)</f>
        <v/>
      </c>
      <c r="S1061">
        <f>IF([2]Entry!$G$1064="","",[2]Entry!$G$1064)</f>
        <v/>
      </c>
      <c r="T1061">
        <f>IF([2]Entry!$J$1064="","",[2]Entry!$J$1064)</f>
        <v/>
      </c>
      <c r="U1061">
        <f>IF([2]Entry!$K$1064="","",[2]Entry!$K$1064)</f>
        <v/>
      </c>
      <c r="V1061">
        <f>IF([2]Entry!$L$1064="","",[2]Entry!$L$1064)</f>
        <v/>
      </c>
      <c r="W1061">
        <f>IF([2]Entry!$M$1064="","",[2]Entry!$M$1064)</f>
        <v/>
      </c>
      <c r="X1061">
        <f>IF([2]Entry!$N$1064="","",[2]Entry!$N$1064)</f>
        <v/>
      </c>
      <c r="Y1061">
        <f>IF([2]Entry!$R$1064="","",[2]Entry!$R$1064)</f>
        <v/>
      </c>
    </row>
    <row r="1062">
      <c r="P1062">
        <f>IF([2]Entry!$C$1065="","",[2]Entry!$C$1065)</f>
        <v/>
      </c>
      <c r="Q1062">
        <f>IF([2]Entry!$D$1065="","",[2]Entry!$D$1065)</f>
        <v/>
      </c>
      <c r="R1062">
        <f>IF([2]Entry!$E$1065="","",[2]Entry!$E$1065)</f>
        <v/>
      </c>
      <c r="S1062">
        <f>IF([2]Entry!$G$1065="","",[2]Entry!$G$1065)</f>
        <v/>
      </c>
      <c r="T1062">
        <f>IF([2]Entry!$J$1065="","",[2]Entry!$J$1065)</f>
        <v/>
      </c>
      <c r="U1062">
        <f>IF([2]Entry!$K$1065="","",[2]Entry!$K$1065)</f>
        <v/>
      </c>
      <c r="V1062">
        <f>IF([2]Entry!$L$1065="","",[2]Entry!$L$1065)</f>
        <v/>
      </c>
      <c r="W1062">
        <f>IF([2]Entry!$M$1065="","",[2]Entry!$M$1065)</f>
        <v/>
      </c>
      <c r="X1062">
        <f>IF([2]Entry!$N$1065="","",[2]Entry!$N$1065)</f>
        <v/>
      </c>
      <c r="Y1062">
        <f>IF([2]Entry!$R$1065="","",[2]Entry!$R$1065)</f>
        <v/>
      </c>
    </row>
    <row r="1063">
      <c r="P1063">
        <f>IF([2]Entry!$C$1066="","",[2]Entry!$C$1066)</f>
        <v/>
      </c>
      <c r="Q1063">
        <f>IF([2]Entry!$D$1066="","",[2]Entry!$D$1066)</f>
        <v/>
      </c>
      <c r="R1063">
        <f>IF([2]Entry!$E$1066="","",[2]Entry!$E$1066)</f>
        <v/>
      </c>
      <c r="S1063">
        <f>IF([2]Entry!$G$1066="","",[2]Entry!$G$1066)</f>
        <v/>
      </c>
      <c r="T1063">
        <f>IF([2]Entry!$J$1066="","",[2]Entry!$J$1066)</f>
        <v/>
      </c>
      <c r="U1063">
        <f>IF([2]Entry!$K$1066="","",[2]Entry!$K$1066)</f>
        <v/>
      </c>
      <c r="V1063">
        <f>IF([2]Entry!$L$1066="","",[2]Entry!$L$1066)</f>
        <v/>
      </c>
      <c r="W1063">
        <f>IF([2]Entry!$M$1066="","",[2]Entry!$M$1066)</f>
        <v/>
      </c>
      <c r="X1063">
        <f>IF([2]Entry!$N$1066="","",[2]Entry!$N$1066)</f>
        <v/>
      </c>
      <c r="Y1063">
        <f>IF([2]Entry!$R$1066="","",[2]Entry!$R$1066)</f>
        <v/>
      </c>
    </row>
    <row r="1064">
      <c r="P1064">
        <f>IF([2]Entry!$C$1067="","",[2]Entry!$C$1067)</f>
        <v/>
      </c>
      <c r="Q1064">
        <f>IF([2]Entry!$D$1067="","",[2]Entry!$D$1067)</f>
        <v/>
      </c>
      <c r="R1064">
        <f>IF([2]Entry!$E$1067="","",[2]Entry!$E$1067)</f>
        <v/>
      </c>
      <c r="S1064">
        <f>IF([2]Entry!$G$1067="","",[2]Entry!$G$1067)</f>
        <v/>
      </c>
      <c r="T1064">
        <f>IF([2]Entry!$J$1067="","",[2]Entry!$J$1067)</f>
        <v/>
      </c>
      <c r="U1064">
        <f>IF([2]Entry!$K$1067="","",[2]Entry!$K$1067)</f>
        <v/>
      </c>
      <c r="V1064">
        <f>IF([2]Entry!$L$1067="","",[2]Entry!$L$1067)</f>
        <v/>
      </c>
      <c r="W1064">
        <f>IF([2]Entry!$M$1067="","",[2]Entry!$M$1067)</f>
        <v/>
      </c>
      <c r="X1064">
        <f>IF([2]Entry!$N$1067="","",[2]Entry!$N$1067)</f>
        <v/>
      </c>
      <c r="Y1064">
        <f>IF([2]Entry!$R$1067="","",[2]Entry!$R$1067)</f>
        <v/>
      </c>
    </row>
    <row r="1065">
      <c r="P1065">
        <f>IF([2]Entry!$C$1068="","",[2]Entry!$C$1068)</f>
        <v/>
      </c>
      <c r="Q1065">
        <f>IF([2]Entry!$D$1068="","",[2]Entry!$D$1068)</f>
        <v/>
      </c>
      <c r="R1065">
        <f>IF([2]Entry!$E$1068="","",[2]Entry!$E$1068)</f>
        <v/>
      </c>
      <c r="S1065">
        <f>IF([2]Entry!$G$1068="","",[2]Entry!$G$1068)</f>
        <v/>
      </c>
      <c r="T1065">
        <f>IF([2]Entry!$J$1068="","",[2]Entry!$J$1068)</f>
        <v/>
      </c>
      <c r="U1065">
        <f>IF([2]Entry!$K$1068="","",[2]Entry!$K$1068)</f>
        <v/>
      </c>
      <c r="V1065">
        <f>IF([2]Entry!$L$1068="","",[2]Entry!$L$1068)</f>
        <v/>
      </c>
      <c r="W1065">
        <f>IF([2]Entry!$M$1068="","",[2]Entry!$M$1068)</f>
        <v/>
      </c>
      <c r="X1065">
        <f>IF([2]Entry!$N$1068="","",[2]Entry!$N$1068)</f>
        <v/>
      </c>
      <c r="Y1065">
        <f>IF([2]Entry!$R$1068="","",[2]Entry!$R$1068)</f>
        <v/>
      </c>
    </row>
    <row r="1066">
      <c r="P1066">
        <f>IF([2]Entry!$C$1069="","",[2]Entry!$C$1069)</f>
        <v/>
      </c>
      <c r="Q1066">
        <f>IF([2]Entry!$D$1069="","",[2]Entry!$D$1069)</f>
        <v/>
      </c>
      <c r="R1066">
        <f>IF([2]Entry!$E$1069="","",[2]Entry!$E$1069)</f>
        <v/>
      </c>
      <c r="S1066">
        <f>IF([2]Entry!$G$1069="","",[2]Entry!$G$1069)</f>
        <v/>
      </c>
      <c r="T1066">
        <f>IF([2]Entry!$J$1069="","",[2]Entry!$J$1069)</f>
        <v/>
      </c>
      <c r="U1066">
        <f>IF([2]Entry!$K$1069="","",[2]Entry!$K$1069)</f>
        <v/>
      </c>
      <c r="V1066">
        <f>IF([2]Entry!$L$1069="","",[2]Entry!$L$1069)</f>
        <v/>
      </c>
      <c r="W1066">
        <f>IF([2]Entry!$M$1069="","",[2]Entry!$M$1069)</f>
        <v/>
      </c>
      <c r="X1066">
        <f>IF([2]Entry!$N$1069="","",[2]Entry!$N$1069)</f>
        <v/>
      </c>
      <c r="Y1066">
        <f>IF([2]Entry!$R$1069="","",[2]Entry!$R$1069)</f>
        <v/>
      </c>
    </row>
    <row r="1067">
      <c r="P1067">
        <f>IF([2]Entry!$C$1070="","",[2]Entry!$C$1070)</f>
        <v/>
      </c>
      <c r="Q1067">
        <f>IF([2]Entry!$D$1070="","",[2]Entry!$D$1070)</f>
        <v/>
      </c>
      <c r="R1067">
        <f>IF([2]Entry!$E$1070="","",[2]Entry!$E$1070)</f>
        <v/>
      </c>
      <c r="S1067">
        <f>IF([2]Entry!$G$1070="","",[2]Entry!$G$1070)</f>
        <v/>
      </c>
      <c r="T1067">
        <f>IF([2]Entry!$J$1070="","",[2]Entry!$J$1070)</f>
        <v/>
      </c>
      <c r="U1067">
        <f>IF([2]Entry!$K$1070="","",[2]Entry!$K$1070)</f>
        <v/>
      </c>
      <c r="V1067">
        <f>IF([2]Entry!$L$1070="","",[2]Entry!$L$1070)</f>
        <v/>
      </c>
      <c r="W1067">
        <f>IF([2]Entry!$M$1070="","",[2]Entry!$M$1070)</f>
        <v/>
      </c>
      <c r="X1067">
        <f>IF([2]Entry!$N$1070="","",[2]Entry!$N$1070)</f>
        <v/>
      </c>
      <c r="Y1067">
        <f>IF([2]Entry!$R$1070="","",[2]Entry!$R$1070)</f>
        <v/>
      </c>
    </row>
    <row r="1068">
      <c r="P1068">
        <f>IF([2]Entry!$C$1071="","",[2]Entry!$C$1071)</f>
        <v/>
      </c>
      <c r="Q1068">
        <f>IF([2]Entry!$D$1071="","",[2]Entry!$D$1071)</f>
        <v/>
      </c>
      <c r="R1068">
        <f>IF([2]Entry!$E$1071="","",[2]Entry!$E$1071)</f>
        <v/>
      </c>
      <c r="S1068">
        <f>IF([2]Entry!$G$1071="","",[2]Entry!$G$1071)</f>
        <v/>
      </c>
      <c r="T1068">
        <f>IF([2]Entry!$J$1071="","",[2]Entry!$J$1071)</f>
        <v/>
      </c>
      <c r="U1068">
        <f>IF([2]Entry!$K$1071="","",[2]Entry!$K$1071)</f>
        <v/>
      </c>
      <c r="V1068">
        <f>IF([2]Entry!$L$1071="","",[2]Entry!$L$1071)</f>
        <v/>
      </c>
      <c r="W1068">
        <f>IF([2]Entry!$M$1071="","",[2]Entry!$M$1071)</f>
        <v/>
      </c>
      <c r="X1068">
        <f>IF([2]Entry!$N$1071="","",[2]Entry!$N$1071)</f>
        <v/>
      </c>
      <c r="Y1068">
        <f>IF([2]Entry!$R$1071="","",[2]Entry!$R$1071)</f>
        <v/>
      </c>
    </row>
    <row r="1069">
      <c r="P1069">
        <f>IF([2]Entry!$C$1072="","",[2]Entry!$C$1072)</f>
        <v/>
      </c>
      <c r="Q1069">
        <f>IF([2]Entry!$D$1072="","",[2]Entry!$D$1072)</f>
        <v/>
      </c>
      <c r="R1069">
        <f>IF([2]Entry!$E$1072="","",[2]Entry!$E$1072)</f>
        <v/>
      </c>
      <c r="S1069">
        <f>IF([2]Entry!$G$1072="","",[2]Entry!$G$1072)</f>
        <v/>
      </c>
      <c r="T1069">
        <f>IF([2]Entry!$J$1072="","",[2]Entry!$J$1072)</f>
        <v/>
      </c>
      <c r="U1069">
        <f>IF([2]Entry!$K$1072="","",[2]Entry!$K$1072)</f>
        <v/>
      </c>
      <c r="V1069">
        <f>IF([2]Entry!$L$1072="","",[2]Entry!$L$1072)</f>
        <v/>
      </c>
      <c r="W1069">
        <f>IF([2]Entry!$M$1072="","",[2]Entry!$M$1072)</f>
        <v/>
      </c>
      <c r="X1069">
        <f>IF([2]Entry!$N$1072="","",[2]Entry!$N$1072)</f>
        <v/>
      </c>
      <c r="Y1069">
        <f>IF([2]Entry!$R$1072="","",[2]Entry!$R$1072)</f>
        <v/>
      </c>
    </row>
    <row r="1070">
      <c r="P1070">
        <f>IF([2]Entry!$C$1073="","",[2]Entry!$C$1073)</f>
        <v/>
      </c>
      <c r="Q1070">
        <f>IF([2]Entry!$D$1073="","",[2]Entry!$D$1073)</f>
        <v/>
      </c>
      <c r="R1070">
        <f>IF([2]Entry!$E$1073="","",[2]Entry!$E$1073)</f>
        <v/>
      </c>
      <c r="S1070">
        <f>IF([2]Entry!$G$1073="","",[2]Entry!$G$1073)</f>
        <v/>
      </c>
      <c r="T1070">
        <f>IF([2]Entry!$J$1073="","",[2]Entry!$J$1073)</f>
        <v/>
      </c>
      <c r="U1070">
        <f>IF([2]Entry!$K$1073="","",[2]Entry!$K$1073)</f>
        <v/>
      </c>
      <c r="V1070">
        <f>IF([2]Entry!$L$1073="","",[2]Entry!$L$1073)</f>
        <v/>
      </c>
      <c r="W1070">
        <f>IF([2]Entry!$M$1073="","",[2]Entry!$M$1073)</f>
        <v/>
      </c>
      <c r="X1070">
        <f>IF([2]Entry!$N$1073="","",[2]Entry!$N$1073)</f>
        <v/>
      </c>
      <c r="Y1070">
        <f>IF([2]Entry!$R$1073="","",[2]Entry!$R$1073)</f>
        <v/>
      </c>
    </row>
    <row r="1071">
      <c r="P1071">
        <f>IF([2]Entry!$C$1074="","",[2]Entry!$C$1074)</f>
        <v/>
      </c>
      <c r="Q1071">
        <f>IF([2]Entry!$D$1074="","",[2]Entry!$D$1074)</f>
        <v/>
      </c>
      <c r="R1071">
        <f>IF([2]Entry!$E$1074="","",[2]Entry!$E$1074)</f>
        <v/>
      </c>
      <c r="S1071">
        <f>IF([2]Entry!$G$1074="","",[2]Entry!$G$1074)</f>
        <v/>
      </c>
      <c r="T1071">
        <f>IF([2]Entry!$J$1074="","",[2]Entry!$J$1074)</f>
        <v/>
      </c>
      <c r="U1071">
        <f>IF([2]Entry!$K$1074="","",[2]Entry!$K$1074)</f>
        <v/>
      </c>
      <c r="V1071">
        <f>IF([2]Entry!$L$1074="","",[2]Entry!$L$1074)</f>
        <v/>
      </c>
      <c r="W1071">
        <f>IF([2]Entry!$M$1074="","",[2]Entry!$M$1074)</f>
        <v/>
      </c>
      <c r="X1071">
        <f>IF([2]Entry!$N$1074="","",[2]Entry!$N$1074)</f>
        <v/>
      </c>
      <c r="Y1071">
        <f>IF([2]Entry!$R$1074="","",[2]Entry!$R$1074)</f>
        <v/>
      </c>
    </row>
    <row r="1072">
      <c r="P1072">
        <f>IF([2]Entry!$C$1075="","",[2]Entry!$C$1075)</f>
        <v/>
      </c>
      <c r="Q1072">
        <f>IF([2]Entry!$D$1075="","",[2]Entry!$D$1075)</f>
        <v/>
      </c>
      <c r="R1072">
        <f>IF([2]Entry!$E$1075="","",[2]Entry!$E$1075)</f>
        <v/>
      </c>
      <c r="S1072">
        <f>IF([2]Entry!$G$1075="","",[2]Entry!$G$1075)</f>
        <v/>
      </c>
      <c r="T1072">
        <f>IF([2]Entry!$J$1075="","",[2]Entry!$J$1075)</f>
        <v/>
      </c>
      <c r="U1072">
        <f>IF([2]Entry!$K$1075="","",[2]Entry!$K$1075)</f>
        <v/>
      </c>
      <c r="V1072">
        <f>IF([2]Entry!$L$1075="","",[2]Entry!$L$1075)</f>
        <v/>
      </c>
      <c r="W1072">
        <f>IF([2]Entry!$M$1075="","",[2]Entry!$M$1075)</f>
        <v/>
      </c>
      <c r="X1072">
        <f>IF([2]Entry!$N$1075="","",[2]Entry!$N$1075)</f>
        <v/>
      </c>
      <c r="Y1072">
        <f>IF([2]Entry!$R$1075="","",[2]Entry!$R$1075)</f>
        <v/>
      </c>
    </row>
    <row r="1073">
      <c r="P1073">
        <f>IF([2]Entry!$C$1076="","",[2]Entry!$C$1076)</f>
        <v/>
      </c>
      <c r="Q1073">
        <f>IF([2]Entry!$D$1076="","",[2]Entry!$D$1076)</f>
        <v/>
      </c>
      <c r="R1073">
        <f>IF([2]Entry!$E$1076="","",[2]Entry!$E$1076)</f>
        <v/>
      </c>
      <c r="S1073">
        <f>IF([2]Entry!$G$1076="","",[2]Entry!$G$1076)</f>
        <v/>
      </c>
      <c r="T1073">
        <f>IF([2]Entry!$J$1076="","",[2]Entry!$J$1076)</f>
        <v/>
      </c>
      <c r="U1073">
        <f>IF([2]Entry!$K$1076="","",[2]Entry!$K$1076)</f>
        <v/>
      </c>
      <c r="V1073">
        <f>IF([2]Entry!$L$1076="","",[2]Entry!$L$1076)</f>
        <v/>
      </c>
      <c r="W1073">
        <f>IF([2]Entry!$M$1076="","",[2]Entry!$M$1076)</f>
        <v/>
      </c>
      <c r="X1073">
        <f>IF([2]Entry!$N$1076="","",[2]Entry!$N$1076)</f>
        <v/>
      </c>
      <c r="Y1073">
        <f>IF([2]Entry!$R$1076="","",[2]Entry!$R$1076)</f>
        <v/>
      </c>
    </row>
    <row r="1074">
      <c r="P1074">
        <f>IF([2]Entry!$C$1077="","",[2]Entry!$C$1077)</f>
        <v/>
      </c>
      <c r="Q1074">
        <f>IF([2]Entry!$D$1077="","",[2]Entry!$D$1077)</f>
        <v/>
      </c>
      <c r="R1074">
        <f>IF([2]Entry!$E$1077="","",[2]Entry!$E$1077)</f>
        <v/>
      </c>
      <c r="S1074">
        <f>IF([2]Entry!$G$1077="","",[2]Entry!$G$1077)</f>
        <v/>
      </c>
      <c r="T1074">
        <f>IF([2]Entry!$J$1077="","",[2]Entry!$J$1077)</f>
        <v/>
      </c>
      <c r="U1074">
        <f>IF([2]Entry!$K$1077="","",[2]Entry!$K$1077)</f>
        <v/>
      </c>
      <c r="V1074">
        <f>IF([2]Entry!$L$1077="","",[2]Entry!$L$1077)</f>
        <v/>
      </c>
      <c r="W1074">
        <f>IF([2]Entry!$M$1077="","",[2]Entry!$M$1077)</f>
        <v/>
      </c>
      <c r="X1074">
        <f>IF([2]Entry!$N$1077="","",[2]Entry!$N$1077)</f>
        <v/>
      </c>
      <c r="Y1074">
        <f>IF([2]Entry!$R$1077="","",[2]Entry!$R$1077)</f>
        <v/>
      </c>
    </row>
    <row r="1075">
      <c r="P1075">
        <f>IF([2]Entry!$C$1078="","",[2]Entry!$C$1078)</f>
        <v/>
      </c>
      <c r="Q1075">
        <f>IF([2]Entry!$D$1078="","",[2]Entry!$D$1078)</f>
        <v/>
      </c>
      <c r="R1075">
        <f>IF([2]Entry!$E$1078="","",[2]Entry!$E$1078)</f>
        <v/>
      </c>
      <c r="S1075">
        <f>IF([2]Entry!$G$1078="","",[2]Entry!$G$1078)</f>
        <v/>
      </c>
      <c r="T1075">
        <f>IF([2]Entry!$J$1078="","",[2]Entry!$J$1078)</f>
        <v/>
      </c>
      <c r="U1075">
        <f>IF([2]Entry!$K$1078="","",[2]Entry!$K$1078)</f>
        <v/>
      </c>
      <c r="V1075">
        <f>IF([2]Entry!$L$1078="","",[2]Entry!$L$1078)</f>
        <v/>
      </c>
      <c r="W1075">
        <f>IF([2]Entry!$M$1078="","",[2]Entry!$M$1078)</f>
        <v/>
      </c>
      <c r="X1075">
        <f>IF([2]Entry!$N$1078="","",[2]Entry!$N$1078)</f>
        <v/>
      </c>
      <c r="Y1075">
        <f>IF([2]Entry!$R$1078="","",[2]Entry!$R$1078)</f>
        <v/>
      </c>
    </row>
    <row r="1076">
      <c r="P1076">
        <f>IF([2]Entry!$C$1079="","",[2]Entry!$C$1079)</f>
        <v/>
      </c>
      <c r="Q1076">
        <f>IF([2]Entry!$D$1079="","",[2]Entry!$D$1079)</f>
        <v/>
      </c>
      <c r="R1076">
        <f>IF([2]Entry!$E$1079="","",[2]Entry!$E$1079)</f>
        <v/>
      </c>
      <c r="S1076">
        <f>IF([2]Entry!$G$1079="","",[2]Entry!$G$1079)</f>
        <v/>
      </c>
      <c r="T1076">
        <f>IF([2]Entry!$J$1079="","",[2]Entry!$J$1079)</f>
        <v/>
      </c>
      <c r="U1076">
        <f>IF([2]Entry!$K$1079="","",[2]Entry!$K$1079)</f>
        <v/>
      </c>
      <c r="V1076">
        <f>IF([2]Entry!$L$1079="","",[2]Entry!$L$1079)</f>
        <v/>
      </c>
      <c r="W1076">
        <f>IF([2]Entry!$M$1079="","",[2]Entry!$M$1079)</f>
        <v/>
      </c>
      <c r="X1076">
        <f>IF([2]Entry!$N$1079="","",[2]Entry!$N$1079)</f>
        <v/>
      </c>
      <c r="Y1076">
        <f>IF([2]Entry!$R$1079="","",[2]Entry!$R$1079)</f>
        <v/>
      </c>
    </row>
    <row r="1077">
      <c r="P1077">
        <f>IF([2]Entry!$C$1080="","",[2]Entry!$C$1080)</f>
        <v/>
      </c>
      <c r="Q1077">
        <f>IF([2]Entry!$D$1080="","",[2]Entry!$D$1080)</f>
        <v/>
      </c>
      <c r="R1077">
        <f>IF([2]Entry!$E$1080="","",[2]Entry!$E$1080)</f>
        <v/>
      </c>
      <c r="S1077">
        <f>IF([2]Entry!$G$1080="","",[2]Entry!$G$1080)</f>
        <v/>
      </c>
      <c r="T1077">
        <f>IF([2]Entry!$J$1080="","",[2]Entry!$J$1080)</f>
        <v/>
      </c>
      <c r="U1077">
        <f>IF([2]Entry!$K$1080="","",[2]Entry!$K$1080)</f>
        <v/>
      </c>
      <c r="V1077">
        <f>IF([2]Entry!$L$1080="","",[2]Entry!$L$1080)</f>
        <v/>
      </c>
      <c r="W1077">
        <f>IF([2]Entry!$M$1080="","",[2]Entry!$M$1080)</f>
        <v/>
      </c>
      <c r="X1077">
        <f>IF([2]Entry!$N$1080="","",[2]Entry!$N$1080)</f>
        <v/>
      </c>
      <c r="Y1077">
        <f>IF([2]Entry!$R$1080="","",[2]Entry!$R$1080)</f>
        <v/>
      </c>
    </row>
    <row r="1078">
      <c r="P1078">
        <f>IF([2]Entry!$C$1081="","",[2]Entry!$C$1081)</f>
        <v/>
      </c>
      <c r="Q1078">
        <f>IF([2]Entry!$D$1081="","",[2]Entry!$D$1081)</f>
        <v/>
      </c>
      <c r="R1078">
        <f>IF([2]Entry!$E$1081="","",[2]Entry!$E$1081)</f>
        <v/>
      </c>
      <c r="S1078">
        <f>IF([2]Entry!$G$1081="","",[2]Entry!$G$1081)</f>
        <v/>
      </c>
      <c r="T1078">
        <f>IF([2]Entry!$J$1081="","",[2]Entry!$J$1081)</f>
        <v/>
      </c>
      <c r="U1078">
        <f>IF([2]Entry!$K$1081="","",[2]Entry!$K$1081)</f>
        <v/>
      </c>
      <c r="V1078">
        <f>IF([2]Entry!$L$1081="","",[2]Entry!$L$1081)</f>
        <v/>
      </c>
      <c r="W1078">
        <f>IF([2]Entry!$M$1081="","",[2]Entry!$M$1081)</f>
        <v/>
      </c>
      <c r="X1078">
        <f>IF([2]Entry!$N$1081="","",[2]Entry!$N$1081)</f>
        <v/>
      </c>
      <c r="Y1078">
        <f>IF([2]Entry!$R$1081="","",[2]Entry!$R$1081)</f>
        <v/>
      </c>
    </row>
    <row r="1079">
      <c r="P1079">
        <f>IF([2]Entry!$C$1082="","",[2]Entry!$C$1082)</f>
        <v/>
      </c>
      <c r="Q1079">
        <f>IF([2]Entry!$D$1082="","",[2]Entry!$D$1082)</f>
        <v/>
      </c>
      <c r="R1079">
        <f>IF([2]Entry!$E$1082="","",[2]Entry!$E$1082)</f>
        <v/>
      </c>
      <c r="S1079">
        <f>IF([2]Entry!$G$1082="","",[2]Entry!$G$1082)</f>
        <v/>
      </c>
      <c r="T1079">
        <f>IF([2]Entry!$J$1082="","",[2]Entry!$J$1082)</f>
        <v/>
      </c>
      <c r="U1079">
        <f>IF([2]Entry!$K$1082="","",[2]Entry!$K$1082)</f>
        <v/>
      </c>
      <c r="V1079">
        <f>IF([2]Entry!$L$1082="","",[2]Entry!$L$1082)</f>
        <v/>
      </c>
      <c r="W1079">
        <f>IF([2]Entry!$M$1082="","",[2]Entry!$M$1082)</f>
        <v/>
      </c>
      <c r="X1079">
        <f>IF([2]Entry!$N$1082="","",[2]Entry!$N$1082)</f>
        <v/>
      </c>
      <c r="Y1079">
        <f>IF([2]Entry!$R$1082="","",[2]Entry!$R$1082)</f>
        <v/>
      </c>
    </row>
    <row r="1080">
      <c r="P1080">
        <f>IF([2]Entry!$C$1083="","",[2]Entry!$C$1083)</f>
        <v/>
      </c>
      <c r="Q1080">
        <f>IF([2]Entry!$D$1083="","",[2]Entry!$D$1083)</f>
        <v/>
      </c>
      <c r="R1080">
        <f>IF([2]Entry!$E$1083="","",[2]Entry!$E$1083)</f>
        <v/>
      </c>
      <c r="S1080">
        <f>IF([2]Entry!$G$1083="","",[2]Entry!$G$1083)</f>
        <v/>
      </c>
      <c r="T1080">
        <f>IF([2]Entry!$J$1083="","",[2]Entry!$J$1083)</f>
        <v/>
      </c>
      <c r="U1080">
        <f>IF([2]Entry!$K$1083="","",[2]Entry!$K$1083)</f>
        <v/>
      </c>
      <c r="V1080">
        <f>IF([2]Entry!$L$1083="","",[2]Entry!$L$1083)</f>
        <v/>
      </c>
      <c r="W1080">
        <f>IF([2]Entry!$M$1083="","",[2]Entry!$M$1083)</f>
        <v/>
      </c>
      <c r="X1080">
        <f>IF([2]Entry!$N$1083="","",[2]Entry!$N$1083)</f>
        <v/>
      </c>
      <c r="Y1080">
        <f>IF([2]Entry!$R$1083="","",[2]Entry!$R$1083)</f>
        <v/>
      </c>
    </row>
    <row r="1081">
      <c r="P1081">
        <f>IF([2]Entry!$C$1084="","",[2]Entry!$C$1084)</f>
        <v/>
      </c>
      <c r="Q1081">
        <f>IF([2]Entry!$D$1084="","",[2]Entry!$D$1084)</f>
        <v/>
      </c>
      <c r="R1081">
        <f>IF([2]Entry!$E$1084="","",[2]Entry!$E$1084)</f>
        <v/>
      </c>
      <c r="S1081">
        <f>IF([2]Entry!$G$1084="","",[2]Entry!$G$1084)</f>
        <v/>
      </c>
      <c r="T1081">
        <f>IF([2]Entry!$J$1084="","",[2]Entry!$J$1084)</f>
        <v/>
      </c>
      <c r="U1081">
        <f>IF([2]Entry!$K$1084="","",[2]Entry!$K$1084)</f>
        <v/>
      </c>
      <c r="V1081">
        <f>IF([2]Entry!$L$1084="","",[2]Entry!$L$1084)</f>
        <v/>
      </c>
      <c r="W1081">
        <f>IF([2]Entry!$M$1084="","",[2]Entry!$M$1084)</f>
        <v/>
      </c>
      <c r="X1081">
        <f>IF([2]Entry!$N$1084="","",[2]Entry!$N$1084)</f>
        <v/>
      </c>
      <c r="Y1081">
        <f>IF([2]Entry!$R$1084="","",[2]Entry!$R$1084)</f>
        <v/>
      </c>
    </row>
    <row r="1082">
      <c r="P1082">
        <f>IF([2]Entry!$C$1085="","",[2]Entry!$C$1085)</f>
        <v/>
      </c>
      <c r="Q1082">
        <f>IF([2]Entry!$D$1085="","",[2]Entry!$D$1085)</f>
        <v/>
      </c>
      <c r="R1082">
        <f>IF([2]Entry!$E$1085="","",[2]Entry!$E$1085)</f>
        <v/>
      </c>
      <c r="S1082">
        <f>IF([2]Entry!$G$1085="","",[2]Entry!$G$1085)</f>
        <v/>
      </c>
      <c r="T1082">
        <f>IF([2]Entry!$J$1085="","",[2]Entry!$J$1085)</f>
        <v/>
      </c>
      <c r="U1082">
        <f>IF([2]Entry!$K$1085="","",[2]Entry!$K$1085)</f>
        <v/>
      </c>
      <c r="V1082">
        <f>IF([2]Entry!$L$1085="","",[2]Entry!$L$1085)</f>
        <v/>
      </c>
      <c r="W1082">
        <f>IF([2]Entry!$M$1085="","",[2]Entry!$M$1085)</f>
        <v/>
      </c>
      <c r="X1082">
        <f>IF([2]Entry!$N$1085="","",[2]Entry!$N$1085)</f>
        <v/>
      </c>
      <c r="Y1082">
        <f>IF([2]Entry!$R$1085="","",[2]Entry!$R$1085)</f>
        <v/>
      </c>
    </row>
    <row r="1083">
      <c r="P1083">
        <f>IF([2]Entry!$C$1086="","",[2]Entry!$C$1086)</f>
        <v/>
      </c>
      <c r="Q1083">
        <f>IF([2]Entry!$D$1086="","",[2]Entry!$D$1086)</f>
        <v/>
      </c>
      <c r="R1083">
        <f>IF([2]Entry!$E$1086="","",[2]Entry!$E$1086)</f>
        <v/>
      </c>
      <c r="S1083">
        <f>IF([2]Entry!$G$1086="","",[2]Entry!$G$1086)</f>
        <v/>
      </c>
      <c r="T1083">
        <f>IF([2]Entry!$J$1086="","",[2]Entry!$J$1086)</f>
        <v/>
      </c>
      <c r="U1083">
        <f>IF([2]Entry!$K$1086="","",[2]Entry!$K$1086)</f>
        <v/>
      </c>
      <c r="V1083">
        <f>IF([2]Entry!$L$1086="","",[2]Entry!$L$1086)</f>
        <v/>
      </c>
      <c r="W1083">
        <f>IF([2]Entry!$M$1086="","",[2]Entry!$M$1086)</f>
        <v/>
      </c>
      <c r="X1083">
        <f>IF([2]Entry!$N$1086="","",[2]Entry!$N$1086)</f>
        <v/>
      </c>
      <c r="Y1083">
        <f>IF([2]Entry!$R$1086="","",[2]Entry!$R$1086)</f>
        <v/>
      </c>
    </row>
    <row r="1084">
      <c r="P1084">
        <f>IF([2]Entry!$C$1087="","",[2]Entry!$C$1087)</f>
        <v/>
      </c>
      <c r="Q1084">
        <f>IF([2]Entry!$D$1087="","",[2]Entry!$D$1087)</f>
        <v/>
      </c>
      <c r="R1084">
        <f>IF([2]Entry!$E$1087="","",[2]Entry!$E$1087)</f>
        <v/>
      </c>
      <c r="S1084">
        <f>IF([2]Entry!$G$1087="","",[2]Entry!$G$1087)</f>
        <v/>
      </c>
      <c r="T1084">
        <f>IF([2]Entry!$J$1087="","",[2]Entry!$J$1087)</f>
        <v/>
      </c>
      <c r="U1084">
        <f>IF([2]Entry!$K$1087="","",[2]Entry!$K$1087)</f>
        <v/>
      </c>
      <c r="V1084">
        <f>IF([2]Entry!$L$1087="","",[2]Entry!$L$1087)</f>
        <v/>
      </c>
      <c r="W1084">
        <f>IF([2]Entry!$M$1087="","",[2]Entry!$M$1087)</f>
        <v/>
      </c>
      <c r="X1084">
        <f>IF([2]Entry!$N$1087="","",[2]Entry!$N$1087)</f>
        <v/>
      </c>
      <c r="Y1084">
        <f>IF([2]Entry!$R$1087="","",[2]Entry!$R$1087)</f>
        <v/>
      </c>
    </row>
    <row r="1085">
      <c r="P1085">
        <f>IF([2]Entry!$C$1088="","",[2]Entry!$C$1088)</f>
        <v/>
      </c>
      <c r="Q1085">
        <f>IF([2]Entry!$D$1088="","",[2]Entry!$D$1088)</f>
        <v/>
      </c>
      <c r="R1085">
        <f>IF([2]Entry!$E$1088="","",[2]Entry!$E$1088)</f>
        <v/>
      </c>
      <c r="S1085">
        <f>IF([2]Entry!$G$1088="","",[2]Entry!$G$1088)</f>
        <v/>
      </c>
      <c r="T1085">
        <f>IF([2]Entry!$J$1088="","",[2]Entry!$J$1088)</f>
        <v/>
      </c>
      <c r="U1085">
        <f>IF([2]Entry!$K$1088="","",[2]Entry!$K$1088)</f>
        <v/>
      </c>
      <c r="V1085">
        <f>IF([2]Entry!$L$1088="","",[2]Entry!$L$1088)</f>
        <v/>
      </c>
      <c r="W1085">
        <f>IF([2]Entry!$M$1088="","",[2]Entry!$M$1088)</f>
        <v/>
      </c>
      <c r="X1085">
        <f>IF([2]Entry!$N$1088="","",[2]Entry!$N$1088)</f>
        <v/>
      </c>
      <c r="Y1085">
        <f>IF([2]Entry!$R$1088="","",[2]Entry!$R$1088)</f>
        <v/>
      </c>
    </row>
    <row r="1086">
      <c r="P1086">
        <f>IF([2]Entry!$C$1089="","",[2]Entry!$C$1089)</f>
        <v/>
      </c>
      <c r="Q1086">
        <f>IF([2]Entry!$D$1089="","",[2]Entry!$D$1089)</f>
        <v/>
      </c>
      <c r="R1086">
        <f>IF([2]Entry!$E$1089="","",[2]Entry!$E$1089)</f>
        <v/>
      </c>
      <c r="S1086">
        <f>IF([2]Entry!$G$1089="","",[2]Entry!$G$1089)</f>
        <v/>
      </c>
      <c r="T1086">
        <f>IF([2]Entry!$J$1089="","",[2]Entry!$J$1089)</f>
        <v/>
      </c>
      <c r="U1086">
        <f>IF([2]Entry!$K$1089="","",[2]Entry!$K$1089)</f>
        <v/>
      </c>
      <c r="V1086">
        <f>IF([2]Entry!$L$1089="","",[2]Entry!$L$1089)</f>
        <v/>
      </c>
      <c r="W1086">
        <f>IF([2]Entry!$M$1089="","",[2]Entry!$M$1089)</f>
        <v/>
      </c>
      <c r="X1086">
        <f>IF([2]Entry!$N$1089="","",[2]Entry!$N$1089)</f>
        <v/>
      </c>
      <c r="Y1086">
        <f>IF([2]Entry!$R$1089="","",[2]Entry!$R$1089)</f>
        <v/>
      </c>
    </row>
    <row r="1087">
      <c r="P1087">
        <f>IF([2]Entry!$C$1090="","",[2]Entry!$C$1090)</f>
        <v/>
      </c>
      <c r="Q1087">
        <f>IF([2]Entry!$D$1090="","",[2]Entry!$D$1090)</f>
        <v/>
      </c>
      <c r="R1087">
        <f>IF([2]Entry!$E$1090="","",[2]Entry!$E$1090)</f>
        <v/>
      </c>
      <c r="S1087">
        <f>IF([2]Entry!$G$1090="","",[2]Entry!$G$1090)</f>
        <v/>
      </c>
      <c r="T1087">
        <f>IF([2]Entry!$J$1090="","",[2]Entry!$J$1090)</f>
        <v/>
      </c>
      <c r="U1087">
        <f>IF([2]Entry!$K$1090="","",[2]Entry!$K$1090)</f>
        <v/>
      </c>
      <c r="V1087">
        <f>IF([2]Entry!$L$1090="","",[2]Entry!$L$1090)</f>
        <v/>
      </c>
      <c r="W1087">
        <f>IF([2]Entry!$M$1090="","",[2]Entry!$M$1090)</f>
        <v/>
      </c>
      <c r="X1087">
        <f>IF([2]Entry!$N$1090="","",[2]Entry!$N$1090)</f>
        <v/>
      </c>
      <c r="Y1087">
        <f>IF([2]Entry!$R$1090="","",[2]Entry!$R$1090)</f>
        <v/>
      </c>
    </row>
    <row r="1088">
      <c r="P1088">
        <f>IF([2]Entry!$C$1091="","",[2]Entry!$C$1091)</f>
        <v/>
      </c>
      <c r="Q1088">
        <f>IF([2]Entry!$D$1091="","",[2]Entry!$D$1091)</f>
        <v/>
      </c>
      <c r="R1088">
        <f>IF([2]Entry!$E$1091="","",[2]Entry!$E$1091)</f>
        <v/>
      </c>
      <c r="S1088">
        <f>IF([2]Entry!$G$1091="","",[2]Entry!$G$1091)</f>
        <v/>
      </c>
      <c r="T1088">
        <f>IF([2]Entry!$J$1091="","",[2]Entry!$J$1091)</f>
        <v/>
      </c>
      <c r="U1088">
        <f>IF([2]Entry!$K$1091="","",[2]Entry!$K$1091)</f>
        <v/>
      </c>
      <c r="V1088">
        <f>IF([2]Entry!$L$1091="","",[2]Entry!$L$1091)</f>
        <v/>
      </c>
      <c r="W1088">
        <f>IF([2]Entry!$M$1091="","",[2]Entry!$M$1091)</f>
        <v/>
      </c>
      <c r="X1088">
        <f>IF([2]Entry!$N$1091="","",[2]Entry!$N$1091)</f>
        <v/>
      </c>
      <c r="Y1088">
        <f>IF([2]Entry!$R$1091="","",[2]Entry!$R$1091)</f>
        <v/>
      </c>
    </row>
    <row r="1089">
      <c r="P1089">
        <f>IF([2]Entry!$C$1092="","",[2]Entry!$C$1092)</f>
        <v/>
      </c>
      <c r="Q1089">
        <f>IF([2]Entry!$D$1092="","",[2]Entry!$D$1092)</f>
        <v/>
      </c>
      <c r="R1089">
        <f>IF([2]Entry!$E$1092="","",[2]Entry!$E$1092)</f>
        <v/>
      </c>
      <c r="S1089">
        <f>IF([2]Entry!$G$1092="","",[2]Entry!$G$1092)</f>
        <v/>
      </c>
      <c r="T1089">
        <f>IF([2]Entry!$J$1092="","",[2]Entry!$J$1092)</f>
        <v/>
      </c>
      <c r="U1089">
        <f>IF([2]Entry!$K$1092="","",[2]Entry!$K$1092)</f>
        <v/>
      </c>
      <c r="V1089">
        <f>IF([2]Entry!$L$1092="","",[2]Entry!$L$1092)</f>
        <v/>
      </c>
      <c r="W1089">
        <f>IF([2]Entry!$M$1092="","",[2]Entry!$M$1092)</f>
        <v/>
      </c>
      <c r="X1089">
        <f>IF([2]Entry!$N$1092="","",[2]Entry!$N$1092)</f>
        <v/>
      </c>
      <c r="Y1089">
        <f>IF([2]Entry!$R$1092="","",[2]Entry!$R$1092)</f>
        <v/>
      </c>
    </row>
    <row r="1090">
      <c r="P1090">
        <f>IF([2]Entry!$C$1093="","",[2]Entry!$C$1093)</f>
        <v/>
      </c>
      <c r="Q1090">
        <f>IF([2]Entry!$D$1093="","",[2]Entry!$D$1093)</f>
        <v/>
      </c>
      <c r="R1090">
        <f>IF([2]Entry!$E$1093="","",[2]Entry!$E$1093)</f>
        <v/>
      </c>
      <c r="S1090">
        <f>IF([2]Entry!$G$1093="","",[2]Entry!$G$1093)</f>
        <v/>
      </c>
      <c r="T1090">
        <f>IF([2]Entry!$J$1093="","",[2]Entry!$J$1093)</f>
        <v/>
      </c>
      <c r="U1090">
        <f>IF([2]Entry!$K$1093="","",[2]Entry!$K$1093)</f>
        <v/>
      </c>
      <c r="V1090">
        <f>IF([2]Entry!$L$1093="","",[2]Entry!$L$1093)</f>
        <v/>
      </c>
      <c r="W1090">
        <f>IF([2]Entry!$M$1093="","",[2]Entry!$M$1093)</f>
        <v/>
      </c>
      <c r="X1090">
        <f>IF([2]Entry!$N$1093="","",[2]Entry!$N$1093)</f>
        <v/>
      </c>
      <c r="Y1090">
        <f>IF([2]Entry!$R$1093="","",[2]Entry!$R$1093)</f>
        <v/>
      </c>
    </row>
    <row r="1091">
      <c r="P1091">
        <f>IF([2]Entry!$C$1094="","",[2]Entry!$C$1094)</f>
        <v/>
      </c>
      <c r="Q1091">
        <f>IF([2]Entry!$D$1094="","",[2]Entry!$D$1094)</f>
        <v/>
      </c>
      <c r="R1091">
        <f>IF([2]Entry!$E$1094="","",[2]Entry!$E$1094)</f>
        <v/>
      </c>
      <c r="S1091">
        <f>IF([2]Entry!$G$1094="","",[2]Entry!$G$1094)</f>
        <v/>
      </c>
      <c r="T1091">
        <f>IF([2]Entry!$J$1094="","",[2]Entry!$J$1094)</f>
        <v/>
      </c>
      <c r="U1091">
        <f>IF([2]Entry!$K$1094="","",[2]Entry!$K$1094)</f>
        <v/>
      </c>
      <c r="V1091">
        <f>IF([2]Entry!$L$1094="","",[2]Entry!$L$1094)</f>
        <v/>
      </c>
      <c r="W1091">
        <f>IF([2]Entry!$M$1094="","",[2]Entry!$M$1094)</f>
        <v/>
      </c>
      <c r="X1091">
        <f>IF([2]Entry!$N$1094="","",[2]Entry!$N$1094)</f>
        <v/>
      </c>
      <c r="Y1091">
        <f>IF([2]Entry!$R$1094="","",[2]Entry!$R$1094)</f>
        <v/>
      </c>
    </row>
    <row r="1092">
      <c r="P1092">
        <f>IF([2]Entry!$C$1095="","",[2]Entry!$C$1095)</f>
        <v/>
      </c>
      <c r="Q1092">
        <f>IF([2]Entry!$D$1095="","",[2]Entry!$D$1095)</f>
        <v/>
      </c>
      <c r="R1092">
        <f>IF([2]Entry!$E$1095="","",[2]Entry!$E$1095)</f>
        <v/>
      </c>
      <c r="S1092">
        <f>IF([2]Entry!$G$1095="","",[2]Entry!$G$1095)</f>
        <v/>
      </c>
      <c r="T1092">
        <f>IF([2]Entry!$J$1095="","",[2]Entry!$J$1095)</f>
        <v/>
      </c>
      <c r="U1092">
        <f>IF([2]Entry!$K$1095="","",[2]Entry!$K$1095)</f>
        <v/>
      </c>
      <c r="V1092">
        <f>IF([2]Entry!$L$1095="","",[2]Entry!$L$1095)</f>
        <v/>
      </c>
      <c r="W1092">
        <f>IF([2]Entry!$M$1095="","",[2]Entry!$M$1095)</f>
        <v/>
      </c>
      <c r="X1092">
        <f>IF([2]Entry!$N$1095="","",[2]Entry!$N$1095)</f>
        <v/>
      </c>
      <c r="Y1092">
        <f>IF([2]Entry!$R$1095="","",[2]Entry!$R$1095)</f>
        <v/>
      </c>
    </row>
    <row r="1093">
      <c r="P1093">
        <f>IF([2]Entry!$C$1096="","",[2]Entry!$C$1096)</f>
        <v/>
      </c>
      <c r="Q1093">
        <f>IF([2]Entry!$D$1096="","",[2]Entry!$D$1096)</f>
        <v/>
      </c>
      <c r="R1093">
        <f>IF([2]Entry!$E$1096="","",[2]Entry!$E$1096)</f>
        <v/>
      </c>
      <c r="S1093">
        <f>IF([2]Entry!$G$1096="","",[2]Entry!$G$1096)</f>
        <v/>
      </c>
      <c r="T1093">
        <f>IF([2]Entry!$J$1096="","",[2]Entry!$J$1096)</f>
        <v/>
      </c>
      <c r="U1093">
        <f>IF([2]Entry!$K$1096="","",[2]Entry!$K$1096)</f>
        <v/>
      </c>
      <c r="V1093">
        <f>IF([2]Entry!$L$1096="","",[2]Entry!$L$1096)</f>
        <v/>
      </c>
      <c r="W1093">
        <f>IF([2]Entry!$M$1096="","",[2]Entry!$M$1096)</f>
        <v/>
      </c>
      <c r="X1093">
        <f>IF([2]Entry!$N$1096="","",[2]Entry!$N$1096)</f>
        <v/>
      </c>
      <c r="Y1093">
        <f>IF([2]Entry!$R$1096="","",[2]Entry!$R$1096)</f>
        <v/>
      </c>
    </row>
    <row r="1094">
      <c r="P1094">
        <f>IF([2]Entry!$C$1097="","",[2]Entry!$C$1097)</f>
        <v/>
      </c>
      <c r="Q1094">
        <f>IF([2]Entry!$D$1097="","",[2]Entry!$D$1097)</f>
        <v/>
      </c>
      <c r="R1094">
        <f>IF([2]Entry!$E$1097="","",[2]Entry!$E$1097)</f>
        <v/>
      </c>
      <c r="S1094">
        <f>IF([2]Entry!$G$1097="","",[2]Entry!$G$1097)</f>
        <v/>
      </c>
      <c r="T1094">
        <f>IF([2]Entry!$J$1097="","",[2]Entry!$J$1097)</f>
        <v/>
      </c>
      <c r="U1094">
        <f>IF([2]Entry!$K$1097="","",[2]Entry!$K$1097)</f>
        <v/>
      </c>
      <c r="V1094">
        <f>IF([2]Entry!$L$1097="","",[2]Entry!$L$1097)</f>
        <v/>
      </c>
      <c r="W1094">
        <f>IF([2]Entry!$M$1097="","",[2]Entry!$M$1097)</f>
        <v/>
      </c>
      <c r="X1094">
        <f>IF([2]Entry!$N$1097="","",[2]Entry!$N$1097)</f>
        <v/>
      </c>
      <c r="Y1094">
        <f>IF([2]Entry!$R$1097="","",[2]Entry!$R$1097)</f>
        <v/>
      </c>
    </row>
    <row r="1095">
      <c r="P1095">
        <f>IF([2]Entry!$C$1098="","",[2]Entry!$C$1098)</f>
        <v/>
      </c>
      <c r="Q1095">
        <f>IF([2]Entry!$D$1098="","",[2]Entry!$D$1098)</f>
        <v/>
      </c>
      <c r="R1095">
        <f>IF([2]Entry!$E$1098="","",[2]Entry!$E$1098)</f>
        <v/>
      </c>
      <c r="S1095">
        <f>IF([2]Entry!$G$1098="","",[2]Entry!$G$1098)</f>
        <v/>
      </c>
      <c r="T1095">
        <f>IF([2]Entry!$J$1098="","",[2]Entry!$J$1098)</f>
        <v/>
      </c>
      <c r="U1095">
        <f>IF([2]Entry!$K$1098="","",[2]Entry!$K$1098)</f>
        <v/>
      </c>
      <c r="V1095">
        <f>IF([2]Entry!$L$1098="","",[2]Entry!$L$1098)</f>
        <v/>
      </c>
      <c r="W1095">
        <f>IF([2]Entry!$M$1098="","",[2]Entry!$M$1098)</f>
        <v/>
      </c>
      <c r="X1095">
        <f>IF([2]Entry!$N$1098="","",[2]Entry!$N$1098)</f>
        <v/>
      </c>
      <c r="Y1095">
        <f>IF([2]Entry!$R$1098="","",[2]Entry!$R$1098)</f>
        <v/>
      </c>
    </row>
    <row r="1096">
      <c r="P1096">
        <f>IF([2]Entry!$C$1099="","",[2]Entry!$C$1099)</f>
        <v/>
      </c>
      <c r="Q1096">
        <f>IF([2]Entry!$D$1099="","",[2]Entry!$D$1099)</f>
        <v/>
      </c>
      <c r="R1096">
        <f>IF([2]Entry!$E$1099="","",[2]Entry!$E$1099)</f>
        <v/>
      </c>
      <c r="S1096">
        <f>IF([2]Entry!$G$1099="","",[2]Entry!$G$1099)</f>
        <v/>
      </c>
      <c r="T1096">
        <f>IF([2]Entry!$J$1099="","",[2]Entry!$J$1099)</f>
        <v/>
      </c>
      <c r="U1096">
        <f>IF([2]Entry!$K$1099="","",[2]Entry!$K$1099)</f>
        <v/>
      </c>
      <c r="V1096">
        <f>IF([2]Entry!$L$1099="","",[2]Entry!$L$1099)</f>
        <v/>
      </c>
      <c r="W1096">
        <f>IF([2]Entry!$M$1099="","",[2]Entry!$M$1099)</f>
        <v/>
      </c>
      <c r="X1096">
        <f>IF([2]Entry!$N$1099="","",[2]Entry!$N$1099)</f>
        <v/>
      </c>
      <c r="Y1096">
        <f>IF([2]Entry!$R$1099="","",[2]Entry!$R$1099)</f>
        <v/>
      </c>
    </row>
    <row r="1097">
      <c r="P1097">
        <f>IF([2]Entry!$C$1100="","",[2]Entry!$C$1100)</f>
        <v/>
      </c>
      <c r="Q1097">
        <f>IF([2]Entry!$D$1100="","",[2]Entry!$D$1100)</f>
        <v/>
      </c>
      <c r="R1097">
        <f>IF([2]Entry!$E$1100="","",[2]Entry!$E$1100)</f>
        <v/>
      </c>
      <c r="S1097">
        <f>IF([2]Entry!$G$1100="","",[2]Entry!$G$1100)</f>
        <v/>
      </c>
      <c r="T1097">
        <f>IF([2]Entry!$J$1100="","",[2]Entry!$J$1100)</f>
        <v/>
      </c>
      <c r="U1097">
        <f>IF([2]Entry!$K$1100="","",[2]Entry!$K$1100)</f>
        <v/>
      </c>
      <c r="V1097">
        <f>IF([2]Entry!$L$1100="","",[2]Entry!$L$1100)</f>
        <v/>
      </c>
      <c r="W1097">
        <f>IF([2]Entry!$M$1100="","",[2]Entry!$M$1100)</f>
        <v/>
      </c>
      <c r="X1097">
        <f>IF([2]Entry!$N$1100="","",[2]Entry!$N$1100)</f>
        <v/>
      </c>
      <c r="Y1097">
        <f>IF([2]Entry!$R$1100="","",[2]Entry!$R$1100)</f>
        <v/>
      </c>
    </row>
    <row r="1098">
      <c r="P1098">
        <f>IF([2]Entry!$C$1101="","",[2]Entry!$C$1101)</f>
        <v/>
      </c>
      <c r="Q1098">
        <f>IF([2]Entry!$D$1101="","",[2]Entry!$D$1101)</f>
        <v/>
      </c>
      <c r="R1098">
        <f>IF([2]Entry!$E$1101="","",[2]Entry!$E$1101)</f>
        <v/>
      </c>
      <c r="S1098">
        <f>IF([2]Entry!$G$1101="","",[2]Entry!$G$1101)</f>
        <v/>
      </c>
      <c r="T1098">
        <f>IF([2]Entry!$J$1101="","",[2]Entry!$J$1101)</f>
        <v/>
      </c>
      <c r="U1098">
        <f>IF([2]Entry!$K$1101="","",[2]Entry!$K$1101)</f>
        <v/>
      </c>
      <c r="V1098">
        <f>IF([2]Entry!$L$1101="","",[2]Entry!$L$1101)</f>
        <v/>
      </c>
      <c r="W1098">
        <f>IF([2]Entry!$M$1101="","",[2]Entry!$M$1101)</f>
        <v/>
      </c>
      <c r="X1098">
        <f>IF([2]Entry!$N$1101="","",[2]Entry!$N$1101)</f>
        <v/>
      </c>
      <c r="Y1098">
        <f>IF([2]Entry!$R$1101="","",[2]Entry!$R$1101)</f>
        <v/>
      </c>
    </row>
    <row r="1099">
      <c r="P1099">
        <f>IF([2]Entry!$C$1102="","",[2]Entry!$C$1102)</f>
        <v/>
      </c>
      <c r="Q1099">
        <f>IF([2]Entry!$D$1102="","",[2]Entry!$D$1102)</f>
        <v/>
      </c>
      <c r="R1099">
        <f>IF([2]Entry!$E$1102="","",[2]Entry!$E$1102)</f>
        <v/>
      </c>
      <c r="S1099">
        <f>IF([2]Entry!$G$1102="","",[2]Entry!$G$1102)</f>
        <v/>
      </c>
      <c r="T1099">
        <f>IF([2]Entry!$J$1102="","",[2]Entry!$J$1102)</f>
        <v/>
      </c>
      <c r="U1099">
        <f>IF([2]Entry!$K$1102="","",[2]Entry!$K$1102)</f>
        <v/>
      </c>
      <c r="V1099">
        <f>IF([2]Entry!$L$1102="","",[2]Entry!$L$1102)</f>
        <v/>
      </c>
      <c r="W1099">
        <f>IF([2]Entry!$M$1102="","",[2]Entry!$M$1102)</f>
        <v/>
      </c>
      <c r="X1099">
        <f>IF([2]Entry!$N$1102="","",[2]Entry!$N$1102)</f>
        <v/>
      </c>
      <c r="Y1099">
        <f>IF([2]Entry!$R$1102="","",[2]Entry!$R$1102)</f>
        <v/>
      </c>
    </row>
    <row r="1100">
      <c r="P1100">
        <f>IF([2]Entry!$C$1103="","",[2]Entry!$C$1103)</f>
        <v/>
      </c>
      <c r="Q1100">
        <f>IF([2]Entry!$D$1103="","",[2]Entry!$D$1103)</f>
        <v/>
      </c>
      <c r="R1100">
        <f>IF([2]Entry!$E$1103="","",[2]Entry!$E$1103)</f>
        <v/>
      </c>
      <c r="S1100">
        <f>IF([2]Entry!$G$1103="","",[2]Entry!$G$1103)</f>
        <v/>
      </c>
      <c r="T1100">
        <f>IF([2]Entry!$J$1103="","",[2]Entry!$J$1103)</f>
        <v/>
      </c>
      <c r="U1100">
        <f>IF([2]Entry!$K$1103="","",[2]Entry!$K$1103)</f>
        <v/>
      </c>
      <c r="V1100">
        <f>IF([2]Entry!$L$1103="","",[2]Entry!$L$1103)</f>
        <v/>
      </c>
      <c r="W1100">
        <f>IF([2]Entry!$M$1103="","",[2]Entry!$M$1103)</f>
        <v/>
      </c>
      <c r="X1100">
        <f>IF([2]Entry!$N$1103="","",[2]Entry!$N$1103)</f>
        <v/>
      </c>
      <c r="Y1100">
        <f>IF([2]Entry!$R$1103="","",[2]Entry!$R$1103)</f>
        <v/>
      </c>
    </row>
    <row r="1101">
      <c r="P1101">
        <f>IF([2]Entry!$C$1104="","",[2]Entry!$C$1104)</f>
        <v/>
      </c>
      <c r="Q1101">
        <f>IF([2]Entry!$D$1104="","",[2]Entry!$D$1104)</f>
        <v/>
      </c>
      <c r="R1101">
        <f>IF([2]Entry!$E$1104="","",[2]Entry!$E$1104)</f>
        <v/>
      </c>
      <c r="S1101">
        <f>IF([2]Entry!$G$1104="","",[2]Entry!$G$1104)</f>
        <v/>
      </c>
      <c r="T1101">
        <f>IF([2]Entry!$J$1104="","",[2]Entry!$J$1104)</f>
        <v/>
      </c>
      <c r="U1101">
        <f>IF([2]Entry!$K$1104="","",[2]Entry!$K$1104)</f>
        <v/>
      </c>
      <c r="V1101">
        <f>IF([2]Entry!$L$1104="","",[2]Entry!$L$1104)</f>
        <v/>
      </c>
      <c r="W1101">
        <f>IF([2]Entry!$M$1104="","",[2]Entry!$M$1104)</f>
        <v/>
      </c>
      <c r="X1101">
        <f>IF([2]Entry!$N$1104="","",[2]Entry!$N$1104)</f>
        <v/>
      </c>
      <c r="Y1101">
        <f>IF([2]Entry!$R$1104="","",[2]Entry!$R$1104)</f>
        <v/>
      </c>
    </row>
    <row r="1102">
      <c r="P1102">
        <f>IF([2]Entry!$C$1105="","",[2]Entry!$C$1105)</f>
        <v/>
      </c>
      <c r="Q1102">
        <f>IF([2]Entry!$D$1105="","",[2]Entry!$D$1105)</f>
        <v/>
      </c>
      <c r="R1102">
        <f>IF([2]Entry!$E$1105="","",[2]Entry!$E$1105)</f>
        <v/>
      </c>
      <c r="S1102">
        <f>IF([2]Entry!$G$1105="","",[2]Entry!$G$1105)</f>
        <v/>
      </c>
      <c r="T1102">
        <f>IF([2]Entry!$J$1105="","",[2]Entry!$J$1105)</f>
        <v/>
      </c>
      <c r="U1102">
        <f>IF([2]Entry!$K$1105="","",[2]Entry!$K$1105)</f>
        <v/>
      </c>
      <c r="V1102">
        <f>IF([2]Entry!$L$1105="","",[2]Entry!$L$1105)</f>
        <v/>
      </c>
      <c r="W1102">
        <f>IF([2]Entry!$M$1105="","",[2]Entry!$M$1105)</f>
        <v/>
      </c>
      <c r="X1102">
        <f>IF([2]Entry!$N$1105="","",[2]Entry!$N$1105)</f>
        <v/>
      </c>
      <c r="Y1102">
        <f>IF([2]Entry!$R$1105="","",[2]Entry!$R$1105)</f>
        <v/>
      </c>
    </row>
    <row r="1103">
      <c r="P1103">
        <f>IF([2]Entry!$C$1106="","",[2]Entry!$C$1106)</f>
        <v/>
      </c>
      <c r="Q1103">
        <f>IF([2]Entry!$D$1106="","",[2]Entry!$D$1106)</f>
        <v/>
      </c>
      <c r="R1103">
        <f>IF([2]Entry!$E$1106="","",[2]Entry!$E$1106)</f>
        <v/>
      </c>
      <c r="S1103">
        <f>IF([2]Entry!$G$1106="","",[2]Entry!$G$1106)</f>
        <v/>
      </c>
      <c r="T1103">
        <f>IF([2]Entry!$J$1106="","",[2]Entry!$J$1106)</f>
        <v/>
      </c>
      <c r="U1103">
        <f>IF([2]Entry!$K$1106="","",[2]Entry!$K$1106)</f>
        <v/>
      </c>
      <c r="V1103">
        <f>IF([2]Entry!$L$1106="","",[2]Entry!$L$1106)</f>
        <v/>
      </c>
      <c r="W1103">
        <f>IF([2]Entry!$M$1106="","",[2]Entry!$M$1106)</f>
        <v/>
      </c>
      <c r="X1103">
        <f>IF([2]Entry!$N$1106="","",[2]Entry!$N$1106)</f>
        <v/>
      </c>
      <c r="Y1103">
        <f>IF([2]Entry!$R$1106="","",[2]Entry!$R$1106)</f>
        <v/>
      </c>
    </row>
    <row r="1104">
      <c r="P1104">
        <f>IF([2]Entry!$C$1107="","",[2]Entry!$C$1107)</f>
        <v/>
      </c>
      <c r="Q1104">
        <f>IF([2]Entry!$D$1107="","",[2]Entry!$D$1107)</f>
        <v/>
      </c>
      <c r="R1104">
        <f>IF([2]Entry!$E$1107="","",[2]Entry!$E$1107)</f>
        <v/>
      </c>
      <c r="S1104">
        <f>IF([2]Entry!$G$1107="","",[2]Entry!$G$1107)</f>
        <v/>
      </c>
      <c r="T1104">
        <f>IF([2]Entry!$J$1107="","",[2]Entry!$J$1107)</f>
        <v/>
      </c>
      <c r="U1104">
        <f>IF([2]Entry!$K$1107="","",[2]Entry!$K$1107)</f>
        <v/>
      </c>
      <c r="V1104">
        <f>IF([2]Entry!$L$1107="","",[2]Entry!$L$1107)</f>
        <v/>
      </c>
      <c r="W1104">
        <f>IF([2]Entry!$M$1107="","",[2]Entry!$M$1107)</f>
        <v/>
      </c>
      <c r="X1104">
        <f>IF([2]Entry!$N$1107="","",[2]Entry!$N$1107)</f>
        <v/>
      </c>
      <c r="Y1104">
        <f>IF([2]Entry!$R$1107="","",[2]Entry!$R$1107)</f>
        <v/>
      </c>
    </row>
    <row r="1105">
      <c r="P1105">
        <f>IF([2]Entry!$C$1108="","",[2]Entry!$C$1108)</f>
        <v/>
      </c>
      <c r="Q1105">
        <f>IF([2]Entry!$D$1108="","",[2]Entry!$D$1108)</f>
        <v/>
      </c>
      <c r="R1105">
        <f>IF([2]Entry!$E$1108="","",[2]Entry!$E$1108)</f>
        <v/>
      </c>
      <c r="S1105">
        <f>IF([2]Entry!$G$1108="","",[2]Entry!$G$1108)</f>
        <v/>
      </c>
      <c r="T1105">
        <f>IF([2]Entry!$J$1108="","",[2]Entry!$J$1108)</f>
        <v/>
      </c>
      <c r="U1105">
        <f>IF([2]Entry!$K$1108="","",[2]Entry!$K$1108)</f>
        <v/>
      </c>
      <c r="V1105">
        <f>IF([2]Entry!$L$1108="","",[2]Entry!$L$1108)</f>
        <v/>
      </c>
      <c r="W1105">
        <f>IF([2]Entry!$M$1108="","",[2]Entry!$M$1108)</f>
        <v/>
      </c>
      <c r="X1105">
        <f>IF([2]Entry!$N$1108="","",[2]Entry!$N$1108)</f>
        <v/>
      </c>
      <c r="Y1105">
        <f>IF([2]Entry!$R$1108="","",[2]Entry!$R$1108)</f>
        <v/>
      </c>
    </row>
    <row r="1106">
      <c r="P1106">
        <f>IF([2]Entry!$C$1109="","",[2]Entry!$C$1109)</f>
        <v/>
      </c>
      <c r="Q1106">
        <f>IF([2]Entry!$D$1109="","",[2]Entry!$D$1109)</f>
        <v/>
      </c>
      <c r="R1106">
        <f>IF([2]Entry!$E$1109="","",[2]Entry!$E$1109)</f>
        <v/>
      </c>
      <c r="S1106">
        <f>IF([2]Entry!$G$1109="","",[2]Entry!$G$1109)</f>
        <v/>
      </c>
      <c r="T1106">
        <f>IF([2]Entry!$J$1109="","",[2]Entry!$J$1109)</f>
        <v/>
      </c>
      <c r="U1106">
        <f>IF([2]Entry!$K$1109="","",[2]Entry!$K$1109)</f>
        <v/>
      </c>
      <c r="V1106">
        <f>IF([2]Entry!$L$1109="","",[2]Entry!$L$1109)</f>
        <v/>
      </c>
      <c r="W1106">
        <f>IF([2]Entry!$M$1109="","",[2]Entry!$M$1109)</f>
        <v/>
      </c>
      <c r="X1106">
        <f>IF([2]Entry!$N$1109="","",[2]Entry!$N$1109)</f>
        <v/>
      </c>
      <c r="Y1106">
        <f>IF([2]Entry!$R$1109="","",[2]Entry!$R$1109)</f>
        <v/>
      </c>
    </row>
    <row r="1107">
      <c r="P1107">
        <f>IF([2]Entry!$C$1110="","",[2]Entry!$C$1110)</f>
        <v/>
      </c>
      <c r="Q1107">
        <f>IF([2]Entry!$D$1110="","",[2]Entry!$D$1110)</f>
        <v/>
      </c>
      <c r="R1107">
        <f>IF([2]Entry!$E$1110="","",[2]Entry!$E$1110)</f>
        <v/>
      </c>
      <c r="S1107">
        <f>IF([2]Entry!$G$1110="","",[2]Entry!$G$1110)</f>
        <v/>
      </c>
      <c r="T1107">
        <f>IF([2]Entry!$J$1110="","",[2]Entry!$J$1110)</f>
        <v/>
      </c>
      <c r="U1107">
        <f>IF([2]Entry!$K$1110="","",[2]Entry!$K$1110)</f>
        <v/>
      </c>
      <c r="V1107">
        <f>IF([2]Entry!$L$1110="","",[2]Entry!$L$1110)</f>
        <v/>
      </c>
      <c r="W1107">
        <f>IF([2]Entry!$M$1110="","",[2]Entry!$M$1110)</f>
        <v/>
      </c>
      <c r="X1107">
        <f>IF([2]Entry!$N$1110="","",[2]Entry!$N$1110)</f>
        <v/>
      </c>
      <c r="Y1107">
        <f>IF([2]Entry!$R$1110="","",[2]Entry!$R$1110)</f>
        <v/>
      </c>
    </row>
    <row r="1108">
      <c r="P1108">
        <f>IF([2]Entry!$C$1111="","",[2]Entry!$C$1111)</f>
        <v/>
      </c>
      <c r="Q1108">
        <f>IF([2]Entry!$D$1111="","",[2]Entry!$D$1111)</f>
        <v/>
      </c>
      <c r="R1108">
        <f>IF([2]Entry!$E$1111="","",[2]Entry!$E$1111)</f>
        <v/>
      </c>
      <c r="S1108">
        <f>IF([2]Entry!$G$1111="","",[2]Entry!$G$1111)</f>
        <v/>
      </c>
      <c r="T1108">
        <f>IF([2]Entry!$J$1111="","",[2]Entry!$J$1111)</f>
        <v/>
      </c>
      <c r="U1108">
        <f>IF([2]Entry!$K$1111="","",[2]Entry!$K$1111)</f>
        <v/>
      </c>
      <c r="V1108">
        <f>IF([2]Entry!$L$1111="","",[2]Entry!$L$1111)</f>
        <v/>
      </c>
      <c r="W1108">
        <f>IF([2]Entry!$M$1111="","",[2]Entry!$M$1111)</f>
        <v/>
      </c>
      <c r="X1108">
        <f>IF([2]Entry!$N$1111="","",[2]Entry!$N$1111)</f>
        <v/>
      </c>
      <c r="Y1108">
        <f>IF([2]Entry!$R$1111="","",[2]Entry!$R$1111)</f>
        <v/>
      </c>
    </row>
    <row r="1109">
      <c r="P1109">
        <f>IF([2]Entry!$C$1112="","",[2]Entry!$C$1112)</f>
        <v/>
      </c>
      <c r="Q1109">
        <f>IF([2]Entry!$D$1112="","",[2]Entry!$D$1112)</f>
        <v/>
      </c>
      <c r="R1109">
        <f>IF([2]Entry!$E$1112="","",[2]Entry!$E$1112)</f>
        <v/>
      </c>
      <c r="S1109">
        <f>IF([2]Entry!$G$1112="","",[2]Entry!$G$1112)</f>
        <v/>
      </c>
      <c r="T1109">
        <f>IF([2]Entry!$J$1112="","",[2]Entry!$J$1112)</f>
        <v/>
      </c>
      <c r="U1109">
        <f>IF([2]Entry!$K$1112="","",[2]Entry!$K$1112)</f>
        <v/>
      </c>
      <c r="V1109">
        <f>IF([2]Entry!$L$1112="","",[2]Entry!$L$1112)</f>
        <v/>
      </c>
      <c r="W1109">
        <f>IF([2]Entry!$M$1112="","",[2]Entry!$M$1112)</f>
        <v/>
      </c>
      <c r="X1109">
        <f>IF([2]Entry!$N$1112="","",[2]Entry!$N$1112)</f>
        <v/>
      </c>
      <c r="Y1109">
        <f>IF([2]Entry!$R$1112="","",[2]Entry!$R$1112)</f>
        <v/>
      </c>
    </row>
    <row r="1110">
      <c r="P1110">
        <f>IF([2]Entry!$C$1113="","",[2]Entry!$C$1113)</f>
        <v/>
      </c>
      <c r="Q1110">
        <f>IF([2]Entry!$D$1113="","",[2]Entry!$D$1113)</f>
        <v/>
      </c>
      <c r="R1110">
        <f>IF([2]Entry!$E$1113="","",[2]Entry!$E$1113)</f>
        <v/>
      </c>
      <c r="S1110">
        <f>IF([2]Entry!$G$1113="","",[2]Entry!$G$1113)</f>
        <v/>
      </c>
      <c r="T1110">
        <f>IF([2]Entry!$J$1113="","",[2]Entry!$J$1113)</f>
        <v/>
      </c>
      <c r="U1110">
        <f>IF([2]Entry!$K$1113="","",[2]Entry!$K$1113)</f>
        <v/>
      </c>
      <c r="V1110">
        <f>IF([2]Entry!$L$1113="","",[2]Entry!$L$1113)</f>
        <v/>
      </c>
      <c r="W1110">
        <f>IF([2]Entry!$M$1113="","",[2]Entry!$M$1113)</f>
        <v/>
      </c>
      <c r="X1110">
        <f>IF([2]Entry!$N$1113="","",[2]Entry!$N$1113)</f>
        <v/>
      </c>
      <c r="Y1110">
        <f>IF([2]Entry!$R$1113="","",[2]Entry!$R$1113)</f>
        <v/>
      </c>
    </row>
    <row r="1111">
      <c r="P1111">
        <f>IF([2]Entry!$C$1114="","",[2]Entry!$C$1114)</f>
        <v/>
      </c>
      <c r="Q1111">
        <f>IF([2]Entry!$D$1114="","",[2]Entry!$D$1114)</f>
        <v/>
      </c>
      <c r="R1111">
        <f>IF([2]Entry!$E$1114="","",[2]Entry!$E$1114)</f>
        <v/>
      </c>
      <c r="S1111">
        <f>IF([2]Entry!$G$1114="","",[2]Entry!$G$1114)</f>
        <v/>
      </c>
      <c r="T1111">
        <f>IF([2]Entry!$J$1114="","",[2]Entry!$J$1114)</f>
        <v/>
      </c>
      <c r="U1111">
        <f>IF([2]Entry!$K$1114="","",[2]Entry!$K$1114)</f>
        <v/>
      </c>
      <c r="V1111">
        <f>IF([2]Entry!$L$1114="","",[2]Entry!$L$1114)</f>
        <v/>
      </c>
      <c r="W1111">
        <f>IF([2]Entry!$M$1114="","",[2]Entry!$M$1114)</f>
        <v/>
      </c>
      <c r="X1111">
        <f>IF([2]Entry!$N$1114="","",[2]Entry!$N$1114)</f>
        <v/>
      </c>
      <c r="Y1111">
        <f>IF([2]Entry!$R$1114="","",[2]Entry!$R$1114)</f>
        <v/>
      </c>
    </row>
    <row r="1112">
      <c r="P1112">
        <f>IF([2]Entry!$C$1115="","",[2]Entry!$C$1115)</f>
        <v/>
      </c>
      <c r="Q1112">
        <f>IF([2]Entry!$D$1115="","",[2]Entry!$D$1115)</f>
        <v/>
      </c>
      <c r="R1112">
        <f>IF([2]Entry!$E$1115="","",[2]Entry!$E$1115)</f>
        <v/>
      </c>
      <c r="S1112">
        <f>IF([2]Entry!$G$1115="","",[2]Entry!$G$1115)</f>
        <v/>
      </c>
      <c r="T1112">
        <f>IF([2]Entry!$J$1115="","",[2]Entry!$J$1115)</f>
        <v/>
      </c>
      <c r="U1112">
        <f>IF([2]Entry!$K$1115="","",[2]Entry!$K$1115)</f>
        <v/>
      </c>
      <c r="V1112">
        <f>IF([2]Entry!$L$1115="","",[2]Entry!$L$1115)</f>
        <v/>
      </c>
      <c r="W1112">
        <f>IF([2]Entry!$M$1115="","",[2]Entry!$M$1115)</f>
        <v/>
      </c>
      <c r="X1112">
        <f>IF([2]Entry!$N$1115="","",[2]Entry!$N$1115)</f>
        <v/>
      </c>
      <c r="Y1112">
        <f>IF([2]Entry!$R$1115="","",[2]Entry!$R$1115)</f>
        <v/>
      </c>
    </row>
    <row r="1113">
      <c r="P1113">
        <f>IF([2]Entry!$C$1116="","",[2]Entry!$C$1116)</f>
        <v/>
      </c>
      <c r="Q1113">
        <f>IF([2]Entry!$D$1116="","",[2]Entry!$D$1116)</f>
        <v/>
      </c>
      <c r="R1113">
        <f>IF([2]Entry!$E$1116="","",[2]Entry!$E$1116)</f>
        <v/>
      </c>
      <c r="S1113">
        <f>IF([2]Entry!$G$1116="","",[2]Entry!$G$1116)</f>
        <v/>
      </c>
      <c r="T1113">
        <f>IF([2]Entry!$J$1116="","",[2]Entry!$J$1116)</f>
        <v/>
      </c>
      <c r="U1113">
        <f>IF([2]Entry!$K$1116="","",[2]Entry!$K$1116)</f>
        <v/>
      </c>
      <c r="V1113">
        <f>IF([2]Entry!$L$1116="","",[2]Entry!$L$1116)</f>
        <v/>
      </c>
      <c r="W1113">
        <f>IF([2]Entry!$M$1116="","",[2]Entry!$M$1116)</f>
        <v/>
      </c>
      <c r="X1113">
        <f>IF([2]Entry!$N$1116="","",[2]Entry!$N$1116)</f>
        <v/>
      </c>
      <c r="Y1113">
        <f>IF([2]Entry!$R$1116="","",[2]Entry!$R$1116)</f>
        <v/>
      </c>
    </row>
    <row r="1114">
      <c r="P1114">
        <f>IF([2]Entry!$C$1117="","",[2]Entry!$C$1117)</f>
        <v/>
      </c>
      <c r="Q1114">
        <f>IF([2]Entry!$D$1117="","",[2]Entry!$D$1117)</f>
        <v/>
      </c>
      <c r="R1114">
        <f>IF([2]Entry!$E$1117="","",[2]Entry!$E$1117)</f>
        <v/>
      </c>
      <c r="S1114">
        <f>IF([2]Entry!$G$1117="","",[2]Entry!$G$1117)</f>
        <v/>
      </c>
      <c r="T1114">
        <f>IF([2]Entry!$J$1117="","",[2]Entry!$J$1117)</f>
        <v/>
      </c>
      <c r="U1114">
        <f>IF([2]Entry!$K$1117="","",[2]Entry!$K$1117)</f>
        <v/>
      </c>
      <c r="V1114">
        <f>IF([2]Entry!$L$1117="","",[2]Entry!$L$1117)</f>
        <v/>
      </c>
      <c r="W1114">
        <f>IF([2]Entry!$M$1117="","",[2]Entry!$M$1117)</f>
        <v/>
      </c>
      <c r="X1114">
        <f>IF([2]Entry!$N$1117="","",[2]Entry!$N$1117)</f>
        <v/>
      </c>
      <c r="Y1114">
        <f>IF([2]Entry!$R$1117="","",[2]Entry!$R$1117)</f>
        <v/>
      </c>
    </row>
    <row r="1115">
      <c r="P1115">
        <f>IF([2]Entry!$C$1118="","",[2]Entry!$C$1118)</f>
        <v/>
      </c>
      <c r="Q1115">
        <f>IF([2]Entry!$D$1118="","",[2]Entry!$D$1118)</f>
        <v/>
      </c>
      <c r="R1115">
        <f>IF([2]Entry!$E$1118="","",[2]Entry!$E$1118)</f>
        <v/>
      </c>
      <c r="S1115">
        <f>IF([2]Entry!$G$1118="","",[2]Entry!$G$1118)</f>
        <v/>
      </c>
      <c r="T1115">
        <f>IF([2]Entry!$J$1118="","",[2]Entry!$J$1118)</f>
        <v/>
      </c>
      <c r="U1115">
        <f>IF([2]Entry!$K$1118="","",[2]Entry!$K$1118)</f>
        <v/>
      </c>
      <c r="V1115">
        <f>IF([2]Entry!$L$1118="","",[2]Entry!$L$1118)</f>
        <v/>
      </c>
      <c r="W1115">
        <f>IF([2]Entry!$M$1118="","",[2]Entry!$M$1118)</f>
        <v/>
      </c>
      <c r="X1115">
        <f>IF([2]Entry!$N$1118="","",[2]Entry!$N$1118)</f>
        <v/>
      </c>
      <c r="Y1115">
        <f>IF([2]Entry!$R$1118="","",[2]Entry!$R$1118)</f>
        <v/>
      </c>
    </row>
    <row r="1116">
      <c r="P1116">
        <f>IF([2]Entry!$C$1119="","",[2]Entry!$C$1119)</f>
        <v/>
      </c>
      <c r="Q1116">
        <f>IF([2]Entry!$D$1119="","",[2]Entry!$D$1119)</f>
        <v/>
      </c>
      <c r="R1116">
        <f>IF([2]Entry!$E$1119="","",[2]Entry!$E$1119)</f>
        <v/>
      </c>
      <c r="S1116">
        <f>IF([2]Entry!$G$1119="","",[2]Entry!$G$1119)</f>
        <v/>
      </c>
      <c r="T1116">
        <f>IF([2]Entry!$J$1119="","",[2]Entry!$J$1119)</f>
        <v/>
      </c>
      <c r="U1116">
        <f>IF([2]Entry!$K$1119="","",[2]Entry!$K$1119)</f>
        <v/>
      </c>
      <c r="V1116">
        <f>IF([2]Entry!$L$1119="","",[2]Entry!$L$1119)</f>
        <v/>
      </c>
      <c r="W1116">
        <f>IF([2]Entry!$M$1119="","",[2]Entry!$M$1119)</f>
        <v/>
      </c>
      <c r="X1116">
        <f>IF([2]Entry!$N$1119="","",[2]Entry!$N$1119)</f>
        <v/>
      </c>
      <c r="Y1116">
        <f>IF([2]Entry!$R$1119="","",[2]Entry!$R$1119)</f>
        <v/>
      </c>
    </row>
    <row r="1117">
      <c r="P1117">
        <f>IF([2]Entry!$C$1120="","",[2]Entry!$C$1120)</f>
        <v/>
      </c>
      <c r="Q1117">
        <f>IF([2]Entry!$D$1120="","",[2]Entry!$D$1120)</f>
        <v/>
      </c>
      <c r="R1117">
        <f>IF([2]Entry!$E$1120="","",[2]Entry!$E$1120)</f>
        <v/>
      </c>
      <c r="S1117">
        <f>IF([2]Entry!$G$1120="","",[2]Entry!$G$1120)</f>
        <v/>
      </c>
      <c r="T1117">
        <f>IF([2]Entry!$J$1120="","",[2]Entry!$J$1120)</f>
        <v/>
      </c>
      <c r="U1117">
        <f>IF([2]Entry!$K$1120="","",[2]Entry!$K$1120)</f>
        <v/>
      </c>
      <c r="V1117">
        <f>IF([2]Entry!$L$1120="","",[2]Entry!$L$1120)</f>
        <v/>
      </c>
      <c r="W1117">
        <f>IF([2]Entry!$M$1120="","",[2]Entry!$M$1120)</f>
        <v/>
      </c>
      <c r="X1117">
        <f>IF([2]Entry!$N$1120="","",[2]Entry!$N$1120)</f>
        <v/>
      </c>
      <c r="Y1117">
        <f>IF([2]Entry!$R$1120="","",[2]Entry!$R$1120)</f>
        <v/>
      </c>
    </row>
    <row r="1118">
      <c r="P1118">
        <f>IF([2]Entry!$C$1121="","",[2]Entry!$C$1121)</f>
        <v/>
      </c>
      <c r="Q1118">
        <f>IF([2]Entry!$D$1121="","",[2]Entry!$D$1121)</f>
        <v/>
      </c>
      <c r="R1118">
        <f>IF([2]Entry!$E$1121="","",[2]Entry!$E$1121)</f>
        <v/>
      </c>
      <c r="S1118">
        <f>IF([2]Entry!$G$1121="","",[2]Entry!$G$1121)</f>
        <v/>
      </c>
      <c r="T1118">
        <f>IF([2]Entry!$J$1121="","",[2]Entry!$J$1121)</f>
        <v/>
      </c>
      <c r="U1118">
        <f>IF([2]Entry!$K$1121="","",[2]Entry!$K$1121)</f>
        <v/>
      </c>
      <c r="V1118">
        <f>IF([2]Entry!$L$1121="","",[2]Entry!$L$1121)</f>
        <v/>
      </c>
      <c r="W1118">
        <f>IF([2]Entry!$M$1121="","",[2]Entry!$M$1121)</f>
        <v/>
      </c>
      <c r="X1118">
        <f>IF([2]Entry!$N$1121="","",[2]Entry!$N$1121)</f>
        <v/>
      </c>
      <c r="Y1118">
        <f>IF([2]Entry!$R$1121="","",[2]Entry!$R$1121)</f>
        <v/>
      </c>
    </row>
    <row r="1119">
      <c r="P1119">
        <f>IF([2]Entry!$C$1122="","",[2]Entry!$C$1122)</f>
        <v/>
      </c>
      <c r="Q1119">
        <f>IF([2]Entry!$D$1122="","",[2]Entry!$D$1122)</f>
        <v/>
      </c>
      <c r="R1119">
        <f>IF([2]Entry!$E$1122="","",[2]Entry!$E$1122)</f>
        <v/>
      </c>
      <c r="S1119">
        <f>IF([2]Entry!$G$1122="","",[2]Entry!$G$1122)</f>
        <v/>
      </c>
      <c r="T1119">
        <f>IF([2]Entry!$J$1122="","",[2]Entry!$J$1122)</f>
        <v/>
      </c>
      <c r="U1119">
        <f>IF([2]Entry!$K$1122="","",[2]Entry!$K$1122)</f>
        <v/>
      </c>
      <c r="V1119">
        <f>IF([2]Entry!$L$1122="","",[2]Entry!$L$1122)</f>
        <v/>
      </c>
      <c r="W1119">
        <f>IF([2]Entry!$M$1122="","",[2]Entry!$M$1122)</f>
        <v/>
      </c>
      <c r="X1119">
        <f>IF([2]Entry!$N$1122="","",[2]Entry!$N$1122)</f>
        <v/>
      </c>
      <c r="Y1119">
        <f>IF([2]Entry!$R$1122="","",[2]Entry!$R$1122)</f>
        <v/>
      </c>
    </row>
    <row r="1120">
      <c r="P1120">
        <f>IF([2]Entry!$C$1123="","",[2]Entry!$C$1123)</f>
        <v/>
      </c>
      <c r="Q1120">
        <f>IF([2]Entry!$D$1123="","",[2]Entry!$D$1123)</f>
        <v/>
      </c>
      <c r="R1120">
        <f>IF([2]Entry!$E$1123="","",[2]Entry!$E$1123)</f>
        <v/>
      </c>
      <c r="S1120">
        <f>IF([2]Entry!$G$1123="","",[2]Entry!$G$1123)</f>
        <v/>
      </c>
      <c r="T1120">
        <f>IF([2]Entry!$J$1123="","",[2]Entry!$J$1123)</f>
        <v/>
      </c>
      <c r="U1120">
        <f>IF([2]Entry!$K$1123="","",[2]Entry!$K$1123)</f>
        <v/>
      </c>
      <c r="V1120">
        <f>IF([2]Entry!$L$1123="","",[2]Entry!$L$1123)</f>
        <v/>
      </c>
      <c r="W1120">
        <f>IF([2]Entry!$M$1123="","",[2]Entry!$M$1123)</f>
        <v/>
      </c>
      <c r="X1120">
        <f>IF([2]Entry!$N$1123="","",[2]Entry!$N$1123)</f>
        <v/>
      </c>
      <c r="Y1120">
        <f>IF([2]Entry!$R$1123="","",[2]Entry!$R$1123)</f>
        <v/>
      </c>
    </row>
    <row r="1121">
      <c r="P1121">
        <f>IF([2]Entry!$C$1124="","",[2]Entry!$C$1124)</f>
        <v/>
      </c>
      <c r="Q1121">
        <f>IF([2]Entry!$D$1124="","",[2]Entry!$D$1124)</f>
        <v/>
      </c>
      <c r="R1121">
        <f>IF([2]Entry!$E$1124="","",[2]Entry!$E$1124)</f>
        <v/>
      </c>
      <c r="S1121">
        <f>IF([2]Entry!$G$1124="","",[2]Entry!$G$1124)</f>
        <v/>
      </c>
      <c r="T1121">
        <f>IF([2]Entry!$J$1124="","",[2]Entry!$J$1124)</f>
        <v/>
      </c>
      <c r="U1121">
        <f>IF([2]Entry!$K$1124="","",[2]Entry!$K$1124)</f>
        <v/>
      </c>
      <c r="V1121">
        <f>IF([2]Entry!$L$1124="","",[2]Entry!$L$1124)</f>
        <v/>
      </c>
      <c r="W1121">
        <f>IF([2]Entry!$M$1124="","",[2]Entry!$M$1124)</f>
        <v/>
      </c>
      <c r="X1121">
        <f>IF([2]Entry!$N$1124="","",[2]Entry!$N$1124)</f>
        <v/>
      </c>
      <c r="Y1121">
        <f>IF([2]Entry!$R$1124="","",[2]Entry!$R$1124)</f>
        <v/>
      </c>
    </row>
    <row r="1122">
      <c r="P1122">
        <f>IF([2]Entry!$C$1125="","",[2]Entry!$C$1125)</f>
        <v/>
      </c>
      <c r="Q1122">
        <f>IF([2]Entry!$D$1125="","",[2]Entry!$D$1125)</f>
        <v/>
      </c>
      <c r="R1122">
        <f>IF([2]Entry!$E$1125="","",[2]Entry!$E$1125)</f>
        <v/>
      </c>
      <c r="S1122">
        <f>IF([2]Entry!$G$1125="","",[2]Entry!$G$1125)</f>
        <v/>
      </c>
      <c r="T1122">
        <f>IF([2]Entry!$J$1125="","",[2]Entry!$J$1125)</f>
        <v/>
      </c>
      <c r="U1122">
        <f>IF([2]Entry!$K$1125="","",[2]Entry!$K$1125)</f>
        <v/>
      </c>
      <c r="V1122">
        <f>IF([2]Entry!$L$1125="","",[2]Entry!$L$1125)</f>
        <v/>
      </c>
      <c r="W1122">
        <f>IF([2]Entry!$M$1125="","",[2]Entry!$M$1125)</f>
        <v/>
      </c>
      <c r="X1122">
        <f>IF([2]Entry!$N$1125="","",[2]Entry!$N$1125)</f>
        <v/>
      </c>
      <c r="Y1122">
        <f>IF([2]Entry!$R$1125="","",[2]Entry!$R$1125)</f>
        <v/>
      </c>
    </row>
    <row r="1123">
      <c r="P1123">
        <f>IF([2]Entry!$C$1126="","",[2]Entry!$C$1126)</f>
        <v/>
      </c>
      <c r="Q1123">
        <f>IF([2]Entry!$D$1126="","",[2]Entry!$D$1126)</f>
        <v/>
      </c>
      <c r="R1123">
        <f>IF([2]Entry!$E$1126="","",[2]Entry!$E$1126)</f>
        <v/>
      </c>
      <c r="S1123">
        <f>IF([2]Entry!$G$1126="","",[2]Entry!$G$1126)</f>
        <v/>
      </c>
      <c r="T1123">
        <f>IF([2]Entry!$J$1126="","",[2]Entry!$J$1126)</f>
        <v/>
      </c>
      <c r="U1123">
        <f>IF([2]Entry!$K$1126="","",[2]Entry!$K$1126)</f>
        <v/>
      </c>
      <c r="V1123">
        <f>IF([2]Entry!$L$1126="","",[2]Entry!$L$1126)</f>
        <v/>
      </c>
      <c r="W1123">
        <f>IF([2]Entry!$M$1126="","",[2]Entry!$M$1126)</f>
        <v/>
      </c>
      <c r="X1123">
        <f>IF([2]Entry!$N$1126="","",[2]Entry!$N$1126)</f>
        <v/>
      </c>
      <c r="Y1123">
        <f>IF([2]Entry!$R$1126="","",[2]Entry!$R$1126)</f>
        <v/>
      </c>
    </row>
    <row r="1124">
      <c r="P1124">
        <f>IF([2]Entry!$C$1127="","",[2]Entry!$C$1127)</f>
        <v/>
      </c>
      <c r="Q1124">
        <f>IF([2]Entry!$D$1127="","",[2]Entry!$D$1127)</f>
        <v/>
      </c>
      <c r="R1124">
        <f>IF([2]Entry!$E$1127="","",[2]Entry!$E$1127)</f>
        <v/>
      </c>
      <c r="S1124">
        <f>IF([2]Entry!$G$1127="","",[2]Entry!$G$1127)</f>
        <v/>
      </c>
      <c r="T1124">
        <f>IF([2]Entry!$J$1127="","",[2]Entry!$J$1127)</f>
        <v/>
      </c>
      <c r="U1124">
        <f>IF([2]Entry!$K$1127="","",[2]Entry!$K$1127)</f>
        <v/>
      </c>
      <c r="V1124">
        <f>IF([2]Entry!$L$1127="","",[2]Entry!$L$1127)</f>
        <v/>
      </c>
      <c r="W1124">
        <f>IF([2]Entry!$M$1127="","",[2]Entry!$M$1127)</f>
        <v/>
      </c>
      <c r="X1124">
        <f>IF([2]Entry!$N$1127="","",[2]Entry!$N$1127)</f>
        <v/>
      </c>
      <c r="Y1124">
        <f>IF([2]Entry!$R$1127="","",[2]Entry!$R$1127)</f>
        <v/>
      </c>
    </row>
    <row r="1125">
      <c r="P1125">
        <f>IF([2]Entry!$C$1128="","",[2]Entry!$C$1128)</f>
        <v/>
      </c>
      <c r="Q1125">
        <f>IF([2]Entry!$D$1128="","",[2]Entry!$D$1128)</f>
        <v/>
      </c>
      <c r="R1125">
        <f>IF([2]Entry!$E$1128="","",[2]Entry!$E$1128)</f>
        <v/>
      </c>
      <c r="S1125">
        <f>IF([2]Entry!$G$1128="","",[2]Entry!$G$1128)</f>
        <v/>
      </c>
      <c r="T1125">
        <f>IF([2]Entry!$J$1128="","",[2]Entry!$J$1128)</f>
        <v/>
      </c>
      <c r="U1125">
        <f>IF([2]Entry!$K$1128="","",[2]Entry!$K$1128)</f>
        <v/>
      </c>
      <c r="V1125">
        <f>IF([2]Entry!$L$1128="","",[2]Entry!$L$1128)</f>
        <v/>
      </c>
      <c r="W1125">
        <f>IF([2]Entry!$M$1128="","",[2]Entry!$M$1128)</f>
        <v/>
      </c>
      <c r="X1125">
        <f>IF([2]Entry!$N$1128="","",[2]Entry!$N$1128)</f>
        <v/>
      </c>
      <c r="Y1125">
        <f>IF([2]Entry!$R$1128="","",[2]Entry!$R$1128)</f>
        <v/>
      </c>
    </row>
    <row r="1126">
      <c r="P1126">
        <f>IF([2]Entry!$C$1129="","",[2]Entry!$C$1129)</f>
        <v/>
      </c>
      <c r="Q1126">
        <f>IF([2]Entry!$D$1129="","",[2]Entry!$D$1129)</f>
        <v/>
      </c>
      <c r="R1126">
        <f>IF([2]Entry!$E$1129="","",[2]Entry!$E$1129)</f>
        <v/>
      </c>
      <c r="S1126">
        <f>IF([2]Entry!$G$1129="","",[2]Entry!$G$1129)</f>
        <v/>
      </c>
      <c r="T1126">
        <f>IF([2]Entry!$J$1129="","",[2]Entry!$J$1129)</f>
        <v/>
      </c>
      <c r="U1126">
        <f>IF([2]Entry!$K$1129="","",[2]Entry!$K$1129)</f>
        <v/>
      </c>
      <c r="V1126">
        <f>IF([2]Entry!$L$1129="","",[2]Entry!$L$1129)</f>
        <v/>
      </c>
      <c r="W1126">
        <f>IF([2]Entry!$M$1129="","",[2]Entry!$M$1129)</f>
        <v/>
      </c>
      <c r="X1126">
        <f>IF([2]Entry!$N$1129="","",[2]Entry!$N$1129)</f>
        <v/>
      </c>
      <c r="Y1126">
        <f>IF([2]Entry!$R$1129="","",[2]Entry!$R$1129)</f>
        <v/>
      </c>
    </row>
    <row r="1127">
      <c r="P1127">
        <f>IF([2]Entry!$C$1130="","",[2]Entry!$C$1130)</f>
        <v/>
      </c>
      <c r="Q1127">
        <f>IF([2]Entry!$D$1130="","",[2]Entry!$D$1130)</f>
        <v/>
      </c>
      <c r="R1127">
        <f>IF([2]Entry!$E$1130="","",[2]Entry!$E$1130)</f>
        <v/>
      </c>
      <c r="S1127">
        <f>IF([2]Entry!$G$1130="","",[2]Entry!$G$1130)</f>
        <v/>
      </c>
      <c r="T1127">
        <f>IF([2]Entry!$J$1130="","",[2]Entry!$J$1130)</f>
        <v/>
      </c>
      <c r="U1127">
        <f>IF([2]Entry!$K$1130="","",[2]Entry!$K$1130)</f>
        <v/>
      </c>
      <c r="V1127">
        <f>IF([2]Entry!$L$1130="","",[2]Entry!$L$1130)</f>
        <v/>
      </c>
      <c r="W1127">
        <f>IF([2]Entry!$M$1130="","",[2]Entry!$M$1130)</f>
        <v/>
      </c>
      <c r="X1127">
        <f>IF([2]Entry!$N$1130="","",[2]Entry!$N$1130)</f>
        <v/>
      </c>
      <c r="Y1127">
        <f>IF([2]Entry!$R$1130="","",[2]Entry!$R$1130)</f>
        <v/>
      </c>
    </row>
    <row r="1128">
      <c r="P1128">
        <f>IF([2]Entry!$C$1131="","",[2]Entry!$C$1131)</f>
        <v/>
      </c>
      <c r="Q1128">
        <f>IF([2]Entry!$D$1131="","",[2]Entry!$D$1131)</f>
        <v/>
      </c>
      <c r="R1128">
        <f>IF([2]Entry!$E$1131="","",[2]Entry!$E$1131)</f>
        <v/>
      </c>
      <c r="S1128">
        <f>IF([2]Entry!$G$1131="","",[2]Entry!$G$1131)</f>
        <v/>
      </c>
      <c r="T1128">
        <f>IF([2]Entry!$J$1131="","",[2]Entry!$J$1131)</f>
        <v/>
      </c>
      <c r="U1128">
        <f>IF([2]Entry!$K$1131="","",[2]Entry!$K$1131)</f>
        <v/>
      </c>
      <c r="V1128">
        <f>IF([2]Entry!$L$1131="","",[2]Entry!$L$1131)</f>
        <v/>
      </c>
      <c r="W1128">
        <f>IF([2]Entry!$M$1131="","",[2]Entry!$M$1131)</f>
        <v/>
      </c>
      <c r="X1128">
        <f>IF([2]Entry!$N$1131="","",[2]Entry!$N$1131)</f>
        <v/>
      </c>
      <c r="Y1128">
        <f>IF([2]Entry!$R$1131="","",[2]Entry!$R$1131)</f>
        <v/>
      </c>
    </row>
    <row r="1129">
      <c r="P1129">
        <f>IF([2]Entry!$C$1132="","",[2]Entry!$C$1132)</f>
        <v/>
      </c>
      <c r="Q1129">
        <f>IF([2]Entry!$D$1132="","",[2]Entry!$D$1132)</f>
        <v/>
      </c>
      <c r="R1129">
        <f>IF([2]Entry!$E$1132="","",[2]Entry!$E$1132)</f>
        <v/>
      </c>
      <c r="S1129">
        <f>IF([2]Entry!$G$1132="","",[2]Entry!$G$1132)</f>
        <v/>
      </c>
      <c r="T1129">
        <f>IF([2]Entry!$J$1132="","",[2]Entry!$J$1132)</f>
        <v/>
      </c>
      <c r="U1129">
        <f>IF([2]Entry!$K$1132="","",[2]Entry!$K$1132)</f>
        <v/>
      </c>
      <c r="V1129">
        <f>IF([2]Entry!$L$1132="","",[2]Entry!$L$1132)</f>
        <v/>
      </c>
      <c r="W1129">
        <f>IF([2]Entry!$M$1132="","",[2]Entry!$M$1132)</f>
        <v/>
      </c>
      <c r="X1129">
        <f>IF([2]Entry!$N$1132="","",[2]Entry!$N$1132)</f>
        <v/>
      </c>
      <c r="Y1129">
        <f>IF([2]Entry!$R$1132="","",[2]Entry!$R$1132)</f>
        <v/>
      </c>
    </row>
    <row r="1130">
      <c r="P1130">
        <f>IF([2]Entry!$C$1133="","",[2]Entry!$C$1133)</f>
        <v/>
      </c>
      <c r="Q1130">
        <f>IF([2]Entry!$D$1133="","",[2]Entry!$D$1133)</f>
        <v/>
      </c>
      <c r="R1130">
        <f>IF([2]Entry!$E$1133="","",[2]Entry!$E$1133)</f>
        <v/>
      </c>
      <c r="S1130">
        <f>IF([2]Entry!$G$1133="","",[2]Entry!$G$1133)</f>
        <v/>
      </c>
      <c r="T1130">
        <f>IF([2]Entry!$J$1133="","",[2]Entry!$J$1133)</f>
        <v/>
      </c>
      <c r="U1130">
        <f>IF([2]Entry!$K$1133="","",[2]Entry!$K$1133)</f>
        <v/>
      </c>
      <c r="V1130">
        <f>IF([2]Entry!$L$1133="","",[2]Entry!$L$1133)</f>
        <v/>
      </c>
      <c r="W1130">
        <f>IF([2]Entry!$M$1133="","",[2]Entry!$M$1133)</f>
        <v/>
      </c>
      <c r="X1130">
        <f>IF([2]Entry!$N$1133="","",[2]Entry!$N$1133)</f>
        <v/>
      </c>
      <c r="Y1130">
        <f>IF([2]Entry!$R$1133="","",[2]Entry!$R$1133)</f>
        <v/>
      </c>
    </row>
    <row r="1131">
      <c r="P1131">
        <f>IF([2]Entry!$C$1134="","",[2]Entry!$C$1134)</f>
        <v/>
      </c>
      <c r="Q1131">
        <f>IF([2]Entry!$D$1134="","",[2]Entry!$D$1134)</f>
        <v/>
      </c>
      <c r="R1131">
        <f>IF([2]Entry!$E$1134="","",[2]Entry!$E$1134)</f>
        <v/>
      </c>
      <c r="S1131">
        <f>IF([2]Entry!$G$1134="","",[2]Entry!$G$1134)</f>
        <v/>
      </c>
      <c r="T1131">
        <f>IF([2]Entry!$J$1134="","",[2]Entry!$J$1134)</f>
        <v/>
      </c>
      <c r="U1131">
        <f>IF([2]Entry!$K$1134="","",[2]Entry!$K$1134)</f>
        <v/>
      </c>
      <c r="V1131">
        <f>IF([2]Entry!$L$1134="","",[2]Entry!$L$1134)</f>
        <v/>
      </c>
      <c r="W1131">
        <f>IF([2]Entry!$M$1134="","",[2]Entry!$M$1134)</f>
        <v/>
      </c>
      <c r="X1131">
        <f>IF([2]Entry!$N$1134="","",[2]Entry!$N$1134)</f>
        <v/>
      </c>
      <c r="Y1131">
        <f>IF([2]Entry!$R$1134="","",[2]Entry!$R$1134)</f>
        <v/>
      </c>
    </row>
    <row r="1132">
      <c r="P1132">
        <f>IF([2]Entry!$C$1135="","",[2]Entry!$C$1135)</f>
        <v/>
      </c>
      <c r="Q1132">
        <f>IF([2]Entry!$D$1135="","",[2]Entry!$D$1135)</f>
        <v/>
      </c>
      <c r="R1132">
        <f>IF([2]Entry!$E$1135="","",[2]Entry!$E$1135)</f>
        <v/>
      </c>
      <c r="S1132">
        <f>IF([2]Entry!$G$1135="","",[2]Entry!$G$1135)</f>
        <v/>
      </c>
      <c r="T1132">
        <f>IF([2]Entry!$J$1135="","",[2]Entry!$J$1135)</f>
        <v/>
      </c>
      <c r="U1132">
        <f>IF([2]Entry!$K$1135="","",[2]Entry!$K$1135)</f>
        <v/>
      </c>
      <c r="V1132">
        <f>IF([2]Entry!$L$1135="","",[2]Entry!$L$1135)</f>
        <v/>
      </c>
      <c r="W1132">
        <f>IF([2]Entry!$M$1135="","",[2]Entry!$M$1135)</f>
        <v/>
      </c>
      <c r="X1132">
        <f>IF([2]Entry!$N$1135="","",[2]Entry!$N$1135)</f>
        <v/>
      </c>
      <c r="Y1132">
        <f>IF([2]Entry!$R$1135="","",[2]Entry!$R$1135)</f>
        <v/>
      </c>
    </row>
    <row r="1133">
      <c r="P1133">
        <f>IF([2]Entry!$C$1136="","",[2]Entry!$C$1136)</f>
        <v/>
      </c>
      <c r="Q1133">
        <f>IF([2]Entry!$D$1136="","",[2]Entry!$D$1136)</f>
        <v/>
      </c>
      <c r="R1133">
        <f>IF([2]Entry!$E$1136="","",[2]Entry!$E$1136)</f>
        <v/>
      </c>
      <c r="S1133">
        <f>IF([2]Entry!$G$1136="","",[2]Entry!$G$1136)</f>
        <v/>
      </c>
      <c r="T1133">
        <f>IF([2]Entry!$J$1136="","",[2]Entry!$J$1136)</f>
        <v/>
      </c>
      <c r="U1133">
        <f>IF([2]Entry!$K$1136="","",[2]Entry!$K$1136)</f>
        <v/>
      </c>
      <c r="V1133">
        <f>IF([2]Entry!$L$1136="","",[2]Entry!$L$1136)</f>
        <v/>
      </c>
      <c r="W1133">
        <f>IF([2]Entry!$M$1136="","",[2]Entry!$M$1136)</f>
        <v/>
      </c>
      <c r="X1133">
        <f>IF([2]Entry!$N$1136="","",[2]Entry!$N$1136)</f>
        <v/>
      </c>
      <c r="Y1133">
        <f>IF([2]Entry!$R$1136="","",[2]Entry!$R$1136)</f>
        <v/>
      </c>
    </row>
    <row r="1134">
      <c r="P1134">
        <f>IF([2]Entry!$C$1137="","",[2]Entry!$C$1137)</f>
        <v/>
      </c>
      <c r="Q1134">
        <f>IF([2]Entry!$D$1137="","",[2]Entry!$D$1137)</f>
        <v/>
      </c>
      <c r="R1134">
        <f>IF([2]Entry!$E$1137="","",[2]Entry!$E$1137)</f>
        <v/>
      </c>
      <c r="S1134">
        <f>IF([2]Entry!$G$1137="","",[2]Entry!$G$1137)</f>
        <v/>
      </c>
      <c r="T1134">
        <f>IF([2]Entry!$J$1137="","",[2]Entry!$J$1137)</f>
        <v/>
      </c>
      <c r="U1134">
        <f>IF([2]Entry!$K$1137="","",[2]Entry!$K$1137)</f>
        <v/>
      </c>
      <c r="V1134">
        <f>IF([2]Entry!$L$1137="","",[2]Entry!$L$1137)</f>
        <v/>
      </c>
      <c r="W1134">
        <f>IF([2]Entry!$M$1137="","",[2]Entry!$M$1137)</f>
        <v/>
      </c>
      <c r="X1134">
        <f>IF([2]Entry!$N$1137="","",[2]Entry!$N$1137)</f>
        <v/>
      </c>
      <c r="Y1134">
        <f>IF([2]Entry!$R$1137="","",[2]Entry!$R$1137)</f>
        <v/>
      </c>
    </row>
    <row r="1135">
      <c r="P1135">
        <f>IF([2]Entry!$C$1138="","",[2]Entry!$C$1138)</f>
        <v/>
      </c>
      <c r="Q1135">
        <f>IF([2]Entry!$D$1138="","",[2]Entry!$D$1138)</f>
        <v/>
      </c>
      <c r="R1135">
        <f>IF([2]Entry!$E$1138="","",[2]Entry!$E$1138)</f>
        <v/>
      </c>
      <c r="S1135">
        <f>IF([2]Entry!$G$1138="","",[2]Entry!$G$1138)</f>
        <v/>
      </c>
      <c r="T1135">
        <f>IF([2]Entry!$J$1138="","",[2]Entry!$J$1138)</f>
        <v/>
      </c>
      <c r="U1135">
        <f>IF([2]Entry!$K$1138="","",[2]Entry!$K$1138)</f>
        <v/>
      </c>
      <c r="V1135">
        <f>IF([2]Entry!$L$1138="","",[2]Entry!$L$1138)</f>
        <v/>
      </c>
      <c r="W1135">
        <f>IF([2]Entry!$M$1138="","",[2]Entry!$M$1138)</f>
        <v/>
      </c>
      <c r="X1135">
        <f>IF([2]Entry!$N$1138="","",[2]Entry!$N$1138)</f>
        <v/>
      </c>
      <c r="Y1135">
        <f>IF([2]Entry!$R$1138="","",[2]Entry!$R$1138)</f>
        <v/>
      </c>
    </row>
    <row r="1136">
      <c r="P1136">
        <f>IF([2]Entry!$C$1139="","",[2]Entry!$C$1139)</f>
        <v/>
      </c>
      <c r="Q1136">
        <f>IF([2]Entry!$D$1139="","",[2]Entry!$D$1139)</f>
        <v/>
      </c>
      <c r="R1136">
        <f>IF([2]Entry!$E$1139="","",[2]Entry!$E$1139)</f>
        <v/>
      </c>
      <c r="S1136">
        <f>IF([2]Entry!$G$1139="","",[2]Entry!$G$1139)</f>
        <v/>
      </c>
      <c r="T1136">
        <f>IF([2]Entry!$J$1139="","",[2]Entry!$J$1139)</f>
        <v/>
      </c>
      <c r="U1136">
        <f>IF([2]Entry!$K$1139="","",[2]Entry!$K$1139)</f>
        <v/>
      </c>
      <c r="V1136">
        <f>IF([2]Entry!$L$1139="","",[2]Entry!$L$1139)</f>
        <v/>
      </c>
      <c r="W1136">
        <f>IF([2]Entry!$M$1139="","",[2]Entry!$M$1139)</f>
        <v/>
      </c>
      <c r="X1136">
        <f>IF([2]Entry!$N$1139="","",[2]Entry!$N$1139)</f>
        <v/>
      </c>
      <c r="Y1136">
        <f>IF([2]Entry!$R$1139="","",[2]Entry!$R$1139)</f>
        <v/>
      </c>
    </row>
    <row r="1137">
      <c r="P1137">
        <f>IF([2]Entry!$C$1140="","",[2]Entry!$C$1140)</f>
        <v/>
      </c>
      <c r="Q1137">
        <f>IF([2]Entry!$D$1140="","",[2]Entry!$D$1140)</f>
        <v/>
      </c>
      <c r="R1137">
        <f>IF([2]Entry!$E$1140="","",[2]Entry!$E$1140)</f>
        <v/>
      </c>
      <c r="S1137">
        <f>IF([2]Entry!$G$1140="","",[2]Entry!$G$1140)</f>
        <v/>
      </c>
      <c r="T1137">
        <f>IF([2]Entry!$J$1140="","",[2]Entry!$J$1140)</f>
        <v/>
      </c>
      <c r="U1137">
        <f>IF([2]Entry!$K$1140="","",[2]Entry!$K$1140)</f>
        <v/>
      </c>
      <c r="V1137">
        <f>IF([2]Entry!$L$1140="","",[2]Entry!$L$1140)</f>
        <v/>
      </c>
      <c r="W1137">
        <f>IF([2]Entry!$M$1140="","",[2]Entry!$M$1140)</f>
        <v/>
      </c>
      <c r="X1137">
        <f>IF([2]Entry!$N$1140="","",[2]Entry!$N$1140)</f>
        <v/>
      </c>
      <c r="Y1137">
        <f>IF([2]Entry!$R$1140="","",[2]Entry!$R$1140)</f>
        <v/>
      </c>
    </row>
    <row r="1138">
      <c r="P1138">
        <f>IF([2]Entry!$C$1141="","",[2]Entry!$C$1141)</f>
        <v/>
      </c>
      <c r="Q1138">
        <f>IF([2]Entry!$D$1141="","",[2]Entry!$D$1141)</f>
        <v/>
      </c>
      <c r="R1138">
        <f>IF([2]Entry!$E$1141="","",[2]Entry!$E$1141)</f>
        <v/>
      </c>
      <c r="S1138">
        <f>IF([2]Entry!$G$1141="","",[2]Entry!$G$1141)</f>
        <v/>
      </c>
      <c r="T1138">
        <f>IF([2]Entry!$J$1141="","",[2]Entry!$J$1141)</f>
        <v/>
      </c>
      <c r="U1138">
        <f>IF([2]Entry!$K$1141="","",[2]Entry!$K$1141)</f>
        <v/>
      </c>
      <c r="V1138">
        <f>IF([2]Entry!$L$1141="","",[2]Entry!$L$1141)</f>
        <v/>
      </c>
      <c r="W1138">
        <f>IF([2]Entry!$M$1141="","",[2]Entry!$M$1141)</f>
        <v/>
      </c>
      <c r="X1138">
        <f>IF([2]Entry!$N$1141="","",[2]Entry!$N$1141)</f>
        <v/>
      </c>
      <c r="Y1138">
        <f>IF([2]Entry!$R$1141="","",[2]Entry!$R$1141)</f>
        <v/>
      </c>
    </row>
    <row r="1139">
      <c r="P1139">
        <f>IF([2]Entry!$C$1142="","",[2]Entry!$C$1142)</f>
        <v/>
      </c>
      <c r="Q1139">
        <f>IF([2]Entry!$D$1142="","",[2]Entry!$D$1142)</f>
        <v/>
      </c>
      <c r="R1139">
        <f>IF([2]Entry!$E$1142="","",[2]Entry!$E$1142)</f>
        <v/>
      </c>
      <c r="S1139">
        <f>IF([2]Entry!$G$1142="","",[2]Entry!$G$1142)</f>
        <v/>
      </c>
      <c r="T1139">
        <f>IF([2]Entry!$J$1142="","",[2]Entry!$J$1142)</f>
        <v/>
      </c>
      <c r="U1139">
        <f>IF([2]Entry!$K$1142="","",[2]Entry!$K$1142)</f>
        <v/>
      </c>
      <c r="V1139">
        <f>IF([2]Entry!$L$1142="","",[2]Entry!$L$1142)</f>
        <v/>
      </c>
      <c r="W1139">
        <f>IF([2]Entry!$M$1142="","",[2]Entry!$M$1142)</f>
        <v/>
      </c>
      <c r="X1139">
        <f>IF([2]Entry!$N$1142="","",[2]Entry!$N$1142)</f>
        <v/>
      </c>
      <c r="Y1139">
        <f>IF([2]Entry!$R$1142="","",[2]Entry!$R$1142)</f>
        <v/>
      </c>
    </row>
    <row r="1140">
      <c r="P1140">
        <f>IF([2]Entry!$C$1143="","",[2]Entry!$C$1143)</f>
        <v/>
      </c>
      <c r="Q1140">
        <f>IF([2]Entry!$D$1143="","",[2]Entry!$D$1143)</f>
        <v/>
      </c>
      <c r="R1140">
        <f>IF([2]Entry!$E$1143="","",[2]Entry!$E$1143)</f>
        <v/>
      </c>
      <c r="S1140">
        <f>IF([2]Entry!$G$1143="","",[2]Entry!$G$1143)</f>
        <v/>
      </c>
      <c r="T1140">
        <f>IF([2]Entry!$J$1143="","",[2]Entry!$J$1143)</f>
        <v/>
      </c>
      <c r="U1140">
        <f>IF([2]Entry!$K$1143="","",[2]Entry!$K$1143)</f>
        <v/>
      </c>
      <c r="V1140">
        <f>IF([2]Entry!$L$1143="","",[2]Entry!$L$1143)</f>
        <v/>
      </c>
      <c r="W1140">
        <f>IF([2]Entry!$M$1143="","",[2]Entry!$M$1143)</f>
        <v/>
      </c>
      <c r="X1140">
        <f>IF([2]Entry!$N$1143="","",[2]Entry!$N$1143)</f>
        <v/>
      </c>
      <c r="Y1140">
        <f>IF([2]Entry!$R$1143="","",[2]Entry!$R$1143)</f>
        <v/>
      </c>
    </row>
    <row r="1141">
      <c r="P1141">
        <f>IF([2]Entry!$C$1144="","",[2]Entry!$C$1144)</f>
        <v/>
      </c>
      <c r="Q1141">
        <f>IF([2]Entry!$D$1144="","",[2]Entry!$D$1144)</f>
        <v/>
      </c>
      <c r="R1141">
        <f>IF([2]Entry!$E$1144="","",[2]Entry!$E$1144)</f>
        <v/>
      </c>
      <c r="S1141">
        <f>IF([2]Entry!$G$1144="","",[2]Entry!$G$1144)</f>
        <v/>
      </c>
      <c r="T1141">
        <f>IF([2]Entry!$J$1144="","",[2]Entry!$J$1144)</f>
        <v/>
      </c>
      <c r="U1141">
        <f>IF([2]Entry!$K$1144="","",[2]Entry!$K$1144)</f>
        <v/>
      </c>
      <c r="V1141">
        <f>IF([2]Entry!$L$1144="","",[2]Entry!$L$1144)</f>
        <v/>
      </c>
      <c r="W1141">
        <f>IF([2]Entry!$M$1144="","",[2]Entry!$M$1144)</f>
        <v/>
      </c>
      <c r="X1141">
        <f>IF([2]Entry!$N$1144="","",[2]Entry!$N$1144)</f>
        <v/>
      </c>
      <c r="Y1141">
        <f>IF([2]Entry!$R$1144="","",[2]Entry!$R$1144)</f>
        <v/>
      </c>
    </row>
    <row r="1142">
      <c r="P1142">
        <f>IF([2]Entry!$C$1145="","",[2]Entry!$C$1145)</f>
        <v/>
      </c>
      <c r="Q1142">
        <f>IF([2]Entry!$D$1145="","",[2]Entry!$D$1145)</f>
        <v/>
      </c>
      <c r="R1142">
        <f>IF([2]Entry!$E$1145="","",[2]Entry!$E$1145)</f>
        <v/>
      </c>
      <c r="S1142">
        <f>IF([2]Entry!$G$1145="","",[2]Entry!$G$1145)</f>
        <v/>
      </c>
      <c r="T1142">
        <f>IF([2]Entry!$J$1145="","",[2]Entry!$J$1145)</f>
        <v/>
      </c>
      <c r="U1142">
        <f>IF([2]Entry!$K$1145="","",[2]Entry!$K$1145)</f>
        <v/>
      </c>
      <c r="V1142">
        <f>IF([2]Entry!$L$1145="","",[2]Entry!$L$1145)</f>
        <v/>
      </c>
      <c r="W1142">
        <f>IF([2]Entry!$M$1145="","",[2]Entry!$M$1145)</f>
        <v/>
      </c>
      <c r="X1142">
        <f>IF([2]Entry!$N$1145="","",[2]Entry!$N$1145)</f>
        <v/>
      </c>
      <c r="Y1142">
        <f>IF([2]Entry!$R$1145="","",[2]Entry!$R$1145)</f>
        <v/>
      </c>
    </row>
    <row r="1143">
      <c r="P1143">
        <f>IF([2]Entry!$C$1146="","",[2]Entry!$C$1146)</f>
        <v/>
      </c>
      <c r="Q1143">
        <f>IF([2]Entry!$D$1146="","",[2]Entry!$D$1146)</f>
        <v/>
      </c>
      <c r="R1143">
        <f>IF([2]Entry!$E$1146="","",[2]Entry!$E$1146)</f>
        <v/>
      </c>
      <c r="S1143">
        <f>IF([2]Entry!$G$1146="","",[2]Entry!$G$1146)</f>
        <v/>
      </c>
      <c r="T1143">
        <f>IF([2]Entry!$J$1146="","",[2]Entry!$J$1146)</f>
        <v/>
      </c>
      <c r="U1143">
        <f>IF([2]Entry!$K$1146="","",[2]Entry!$K$1146)</f>
        <v/>
      </c>
      <c r="V1143">
        <f>IF([2]Entry!$L$1146="","",[2]Entry!$L$1146)</f>
        <v/>
      </c>
      <c r="W1143">
        <f>IF([2]Entry!$M$1146="","",[2]Entry!$M$1146)</f>
        <v/>
      </c>
      <c r="X1143">
        <f>IF([2]Entry!$N$1146="","",[2]Entry!$N$1146)</f>
        <v/>
      </c>
      <c r="Y1143">
        <f>IF([2]Entry!$R$1146="","",[2]Entry!$R$1146)</f>
        <v/>
      </c>
    </row>
    <row r="1144">
      <c r="P1144">
        <f>IF([2]Entry!$C$1147="","",[2]Entry!$C$1147)</f>
        <v/>
      </c>
      <c r="Q1144">
        <f>IF([2]Entry!$D$1147="","",[2]Entry!$D$1147)</f>
        <v/>
      </c>
      <c r="R1144">
        <f>IF([2]Entry!$E$1147="","",[2]Entry!$E$1147)</f>
        <v/>
      </c>
      <c r="S1144">
        <f>IF([2]Entry!$G$1147="","",[2]Entry!$G$1147)</f>
        <v/>
      </c>
      <c r="T1144">
        <f>IF([2]Entry!$J$1147="","",[2]Entry!$J$1147)</f>
        <v/>
      </c>
      <c r="U1144">
        <f>IF([2]Entry!$K$1147="","",[2]Entry!$K$1147)</f>
        <v/>
      </c>
      <c r="V1144">
        <f>IF([2]Entry!$L$1147="","",[2]Entry!$L$1147)</f>
        <v/>
      </c>
      <c r="W1144">
        <f>IF([2]Entry!$M$1147="","",[2]Entry!$M$1147)</f>
        <v/>
      </c>
      <c r="X1144">
        <f>IF([2]Entry!$N$1147="","",[2]Entry!$N$1147)</f>
        <v/>
      </c>
      <c r="Y1144">
        <f>IF([2]Entry!$R$1147="","",[2]Entry!$R$1147)</f>
        <v/>
      </c>
    </row>
    <row r="1145">
      <c r="P1145">
        <f>IF([2]Entry!$C$1148="","",[2]Entry!$C$1148)</f>
        <v/>
      </c>
      <c r="Q1145">
        <f>IF([2]Entry!$D$1148="","",[2]Entry!$D$1148)</f>
        <v/>
      </c>
      <c r="R1145">
        <f>IF([2]Entry!$E$1148="","",[2]Entry!$E$1148)</f>
        <v/>
      </c>
      <c r="S1145">
        <f>IF([2]Entry!$G$1148="","",[2]Entry!$G$1148)</f>
        <v/>
      </c>
      <c r="T1145">
        <f>IF([2]Entry!$J$1148="","",[2]Entry!$J$1148)</f>
        <v/>
      </c>
      <c r="U1145">
        <f>IF([2]Entry!$K$1148="","",[2]Entry!$K$1148)</f>
        <v/>
      </c>
      <c r="V1145">
        <f>IF([2]Entry!$L$1148="","",[2]Entry!$L$1148)</f>
        <v/>
      </c>
      <c r="W1145">
        <f>IF([2]Entry!$M$1148="","",[2]Entry!$M$1148)</f>
        <v/>
      </c>
      <c r="X1145">
        <f>IF([2]Entry!$N$1148="","",[2]Entry!$N$1148)</f>
        <v/>
      </c>
      <c r="Y1145">
        <f>IF([2]Entry!$R$1148="","",[2]Entry!$R$1148)</f>
        <v/>
      </c>
    </row>
    <row r="1146">
      <c r="P1146">
        <f>IF([2]Entry!$C$1149="","",[2]Entry!$C$1149)</f>
        <v/>
      </c>
      <c r="Q1146">
        <f>IF([2]Entry!$D$1149="","",[2]Entry!$D$1149)</f>
        <v/>
      </c>
      <c r="R1146">
        <f>IF([2]Entry!$E$1149="","",[2]Entry!$E$1149)</f>
        <v/>
      </c>
      <c r="S1146">
        <f>IF([2]Entry!$G$1149="","",[2]Entry!$G$1149)</f>
        <v/>
      </c>
      <c r="T1146">
        <f>IF([2]Entry!$J$1149="","",[2]Entry!$J$1149)</f>
        <v/>
      </c>
      <c r="U1146">
        <f>IF([2]Entry!$K$1149="","",[2]Entry!$K$1149)</f>
        <v/>
      </c>
      <c r="V1146">
        <f>IF([2]Entry!$L$1149="","",[2]Entry!$L$1149)</f>
        <v/>
      </c>
      <c r="W1146">
        <f>IF([2]Entry!$M$1149="","",[2]Entry!$M$1149)</f>
        <v/>
      </c>
      <c r="X1146">
        <f>IF([2]Entry!$N$1149="","",[2]Entry!$N$1149)</f>
        <v/>
      </c>
      <c r="Y1146">
        <f>IF([2]Entry!$R$1149="","",[2]Entry!$R$1149)</f>
        <v/>
      </c>
    </row>
    <row r="1147">
      <c r="P1147">
        <f>IF([2]Entry!$C$1150="","",[2]Entry!$C$1150)</f>
        <v/>
      </c>
      <c r="Q1147">
        <f>IF([2]Entry!$D$1150="","",[2]Entry!$D$1150)</f>
        <v/>
      </c>
      <c r="R1147">
        <f>IF([2]Entry!$E$1150="","",[2]Entry!$E$1150)</f>
        <v/>
      </c>
      <c r="S1147">
        <f>IF([2]Entry!$G$1150="","",[2]Entry!$G$1150)</f>
        <v/>
      </c>
      <c r="T1147">
        <f>IF([2]Entry!$J$1150="","",[2]Entry!$J$1150)</f>
        <v/>
      </c>
      <c r="U1147">
        <f>IF([2]Entry!$K$1150="","",[2]Entry!$K$1150)</f>
        <v/>
      </c>
      <c r="V1147">
        <f>IF([2]Entry!$L$1150="","",[2]Entry!$L$1150)</f>
        <v/>
      </c>
      <c r="W1147">
        <f>IF([2]Entry!$M$1150="","",[2]Entry!$M$1150)</f>
        <v/>
      </c>
      <c r="X1147">
        <f>IF([2]Entry!$N$1150="","",[2]Entry!$N$1150)</f>
        <v/>
      </c>
      <c r="Y1147">
        <f>IF([2]Entry!$R$1150="","",[2]Entry!$R$1150)</f>
        <v/>
      </c>
    </row>
    <row r="1148">
      <c r="P1148">
        <f>IF([2]Entry!$C$1151="","",[2]Entry!$C$1151)</f>
        <v/>
      </c>
      <c r="Q1148">
        <f>IF([2]Entry!$D$1151="","",[2]Entry!$D$1151)</f>
        <v/>
      </c>
      <c r="R1148">
        <f>IF([2]Entry!$E$1151="","",[2]Entry!$E$1151)</f>
        <v/>
      </c>
      <c r="S1148">
        <f>IF([2]Entry!$G$1151="","",[2]Entry!$G$1151)</f>
        <v/>
      </c>
      <c r="T1148">
        <f>IF([2]Entry!$J$1151="","",[2]Entry!$J$1151)</f>
        <v/>
      </c>
      <c r="U1148">
        <f>IF([2]Entry!$K$1151="","",[2]Entry!$K$1151)</f>
        <v/>
      </c>
      <c r="V1148">
        <f>IF([2]Entry!$L$1151="","",[2]Entry!$L$1151)</f>
        <v/>
      </c>
      <c r="W1148">
        <f>IF([2]Entry!$M$1151="","",[2]Entry!$M$1151)</f>
        <v/>
      </c>
      <c r="X1148">
        <f>IF([2]Entry!$N$1151="","",[2]Entry!$N$1151)</f>
        <v/>
      </c>
      <c r="Y1148">
        <f>IF([2]Entry!$R$1151="","",[2]Entry!$R$1151)</f>
        <v/>
      </c>
    </row>
    <row r="1149">
      <c r="P1149">
        <f>IF([2]Entry!$C$1152="","",[2]Entry!$C$1152)</f>
        <v/>
      </c>
      <c r="Q1149">
        <f>IF([2]Entry!$D$1152="","",[2]Entry!$D$1152)</f>
        <v/>
      </c>
      <c r="R1149">
        <f>IF([2]Entry!$E$1152="","",[2]Entry!$E$1152)</f>
        <v/>
      </c>
      <c r="S1149">
        <f>IF([2]Entry!$G$1152="","",[2]Entry!$G$1152)</f>
        <v/>
      </c>
      <c r="T1149">
        <f>IF([2]Entry!$J$1152="","",[2]Entry!$J$1152)</f>
        <v/>
      </c>
      <c r="U1149">
        <f>IF([2]Entry!$K$1152="","",[2]Entry!$K$1152)</f>
        <v/>
      </c>
      <c r="V1149">
        <f>IF([2]Entry!$L$1152="","",[2]Entry!$L$1152)</f>
        <v/>
      </c>
      <c r="W1149">
        <f>IF([2]Entry!$M$1152="","",[2]Entry!$M$1152)</f>
        <v/>
      </c>
      <c r="X1149">
        <f>IF([2]Entry!$N$1152="","",[2]Entry!$N$1152)</f>
        <v/>
      </c>
      <c r="Y1149">
        <f>IF([2]Entry!$R$1152="","",[2]Entry!$R$1152)</f>
        <v/>
      </c>
    </row>
    <row r="1150">
      <c r="P1150">
        <f>IF([2]Entry!$C$1153="","",[2]Entry!$C$1153)</f>
        <v/>
      </c>
      <c r="Q1150">
        <f>IF([2]Entry!$D$1153="","",[2]Entry!$D$1153)</f>
        <v/>
      </c>
      <c r="R1150">
        <f>IF([2]Entry!$E$1153="","",[2]Entry!$E$1153)</f>
        <v/>
      </c>
      <c r="S1150">
        <f>IF([2]Entry!$G$1153="","",[2]Entry!$G$1153)</f>
        <v/>
      </c>
      <c r="T1150">
        <f>IF([2]Entry!$J$1153="","",[2]Entry!$J$1153)</f>
        <v/>
      </c>
      <c r="U1150">
        <f>IF([2]Entry!$K$1153="","",[2]Entry!$K$1153)</f>
        <v/>
      </c>
      <c r="V1150">
        <f>IF([2]Entry!$L$1153="","",[2]Entry!$L$1153)</f>
        <v/>
      </c>
      <c r="W1150">
        <f>IF([2]Entry!$M$1153="","",[2]Entry!$M$1153)</f>
        <v/>
      </c>
      <c r="X1150">
        <f>IF([2]Entry!$N$1153="","",[2]Entry!$N$1153)</f>
        <v/>
      </c>
      <c r="Y1150">
        <f>IF([2]Entry!$R$1153="","",[2]Entry!$R$1153)</f>
        <v/>
      </c>
    </row>
    <row r="1151">
      <c r="P1151">
        <f>IF([2]Entry!$C$1154="","",[2]Entry!$C$1154)</f>
        <v/>
      </c>
      <c r="Q1151">
        <f>IF([2]Entry!$D$1154="","",[2]Entry!$D$1154)</f>
        <v/>
      </c>
      <c r="R1151">
        <f>IF([2]Entry!$E$1154="","",[2]Entry!$E$1154)</f>
        <v/>
      </c>
      <c r="S1151">
        <f>IF([2]Entry!$G$1154="","",[2]Entry!$G$1154)</f>
        <v/>
      </c>
      <c r="T1151">
        <f>IF([2]Entry!$J$1154="","",[2]Entry!$J$1154)</f>
        <v/>
      </c>
      <c r="U1151">
        <f>IF([2]Entry!$K$1154="","",[2]Entry!$K$1154)</f>
        <v/>
      </c>
      <c r="V1151">
        <f>IF([2]Entry!$L$1154="","",[2]Entry!$L$1154)</f>
        <v/>
      </c>
      <c r="W1151">
        <f>IF([2]Entry!$M$1154="","",[2]Entry!$M$1154)</f>
        <v/>
      </c>
      <c r="X1151">
        <f>IF([2]Entry!$N$1154="","",[2]Entry!$N$1154)</f>
        <v/>
      </c>
      <c r="Y1151">
        <f>IF([2]Entry!$R$1154="","",[2]Entry!$R$1154)</f>
        <v/>
      </c>
    </row>
    <row r="1152">
      <c r="P1152">
        <f>IF([2]Entry!$C$1155="","",[2]Entry!$C$1155)</f>
        <v/>
      </c>
      <c r="Q1152">
        <f>IF([2]Entry!$D$1155="","",[2]Entry!$D$1155)</f>
        <v/>
      </c>
      <c r="R1152">
        <f>IF([2]Entry!$E$1155="","",[2]Entry!$E$1155)</f>
        <v/>
      </c>
      <c r="S1152">
        <f>IF([2]Entry!$G$1155="","",[2]Entry!$G$1155)</f>
        <v/>
      </c>
      <c r="T1152">
        <f>IF([2]Entry!$J$1155="","",[2]Entry!$J$1155)</f>
        <v/>
      </c>
      <c r="U1152">
        <f>IF([2]Entry!$K$1155="","",[2]Entry!$K$1155)</f>
        <v/>
      </c>
      <c r="V1152">
        <f>IF([2]Entry!$L$1155="","",[2]Entry!$L$1155)</f>
        <v/>
      </c>
      <c r="W1152">
        <f>IF([2]Entry!$M$1155="","",[2]Entry!$M$1155)</f>
        <v/>
      </c>
      <c r="X1152">
        <f>IF([2]Entry!$N$1155="","",[2]Entry!$N$1155)</f>
        <v/>
      </c>
      <c r="Y1152">
        <f>IF([2]Entry!$R$1155="","",[2]Entry!$R$1155)</f>
        <v/>
      </c>
    </row>
    <row r="1153">
      <c r="P1153">
        <f>IF([2]Entry!$C$1156="","",[2]Entry!$C$1156)</f>
        <v/>
      </c>
      <c r="Q1153">
        <f>IF([2]Entry!$D$1156="","",[2]Entry!$D$1156)</f>
        <v/>
      </c>
      <c r="R1153">
        <f>IF([2]Entry!$E$1156="","",[2]Entry!$E$1156)</f>
        <v/>
      </c>
      <c r="S1153">
        <f>IF([2]Entry!$G$1156="","",[2]Entry!$G$1156)</f>
        <v/>
      </c>
      <c r="T1153">
        <f>IF([2]Entry!$J$1156="","",[2]Entry!$J$1156)</f>
        <v/>
      </c>
      <c r="U1153">
        <f>IF([2]Entry!$K$1156="","",[2]Entry!$K$1156)</f>
        <v/>
      </c>
      <c r="V1153">
        <f>IF([2]Entry!$L$1156="","",[2]Entry!$L$1156)</f>
        <v/>
      </c>
      <c r="W1153">
        <f>IF([2]Entry!$M$1156="","",[2]Entry!$M$1156)</f>
        <v/>
      </c>
      <c r="X1153">
        <f>IF([2]Entry!$N$1156="","",[2]Entry!$N$1156)</f>
        <v/>
      </c>
      <c r="Y1153">
        <f>IF([2]Entry!$R$1156="","",[2]Entry!$R$1156)</f>
        <v/>
      </c>
    </row>
    <row r="1154">
      <c r="P1154">
        <f>IF([2]Entry!$C$1157="","",[2]Entry!$C$1157)</f>
        <v/>
      </c>
      <c r="Q1154">
        <f>IF([2]Entry!$D$1157="","",[2]Entry!$D$1157)</f>
        <v/>
      </c>
      <c r="R1154">
        <f>IF([2]Entry!$E$1157="","",[2]Entry!$E$1157)</f>
        <v/>
      </c>
      <c r="S1154">
        <f>IF([2]Entry!$G$1157="","",[2]Entry!$G$1157)</f>
        <v/>
      </c>
      <c r="T1154">
        <f>IF([2]Entry!$J$1157="","",[2]Entry!$J$1157)</f>
        <v/>
      </c>
      <c r="U1154">
        <f>IF([2]Entry!$K$1157="","",[2]Entry!$K$1157)</f>
        <v/>
      </c>
      <c r="V1154">
        <f>IF([2]Entry!$L$1157="","",[2]Entry!$L$1157)</f>
        <v/>
      </c>
      <c r="W1154">
        <f>IF([2]Entry!$M$1157="","",[2]Entry!$M$1157)</f>
        <v/>
      </c>
      <c r="X1154">
        <f>IF([2]Entry!$N$1157="","",[2]Entry!$N$1157)</f>
        <v/>
      </c>
      <c r="Y1154">
        <f>IF([2]Entry!$R$1157="","",[2]Entry!$R$1157)</f>
        <v/>
      </c>
    </row>
    <row r="1155">
      <c r="P1155">
        <f>IF([2]Entry!$C$1158="","",[2]Entry!$C$1158)</f>
        <v/>
      </c>
      <c r="Q1155">
        <f>IF([2]Entry!$D$1158="","",[2]Entry!$D$1158)</f>
        <v/>
      </c>
      <c r="R1155">
        <f>IF([2]Entry!$E$1158="","",[2]Entry!$E$1158)</f>
        <v/>
      </c>
      <c r="S1155">
        <f>IF([2]Entry!$G$1158="","",[2]Entry!$G$1158)</f>
        <v/>
      </c>
      <c r="T1155">
        <f>IF([2]Entry!$J$1158="","",[2]Entry!$J$1158)</f>
        <v/>
      </c>
      <c r="U1155">
        <f>IF([2]Entry!$K$1158="","",[2]Entry!$K$1158)</f>
        <v/>
      </c>
      <c r="V1155">
        <f>IF([2]Entry!$L$1158="","",[2]Entry!$L$1158)</f>
        <v/>
      </c>
      <c r="W1155">
        <f>IF([2]Entry!$M$1158="","",[2]Entry!$M$1158)</f>
        <v/>
      </c>
      <c r="X1155">
        <f>IF([2]Entry!$N$1158="","",[2]Entry!$N$1158)</f>
        <v/>
      </c>
      <c r="Y1155">
        <f>IF([2]Entry!$R$1158="","",[2]Entry!$R$1158)</f>
        <v/>
      </c>
    </row>
    <row r="1156">
      <c r="P1156">
        <f>IF([2]Entry!$C$1159="","",[2]Entry!$C$1159)</f>
        <v/>
      </c>
      <c r="Q1156">
        <f>IF([2]Entry!$D$1159="","",[2]Entry!$D$1159)</f>
        <v/>
      </c>
      <c r="R1156">
        <f>IF([2]Entry!$E$1159="","",[2]Entry!$E$1159)</f>
        <v/>
      </c>
      <c r="S1156">
        <f>IF([2]Entry!$G$1159="","",[2]Entry!$G$1159)</f>
        <v/>
      </c>
      <c r="T1156">
        <f>IF([2]Entry!$J$1159="","",[2]Entry!$J$1159)</f>
        <v/>
      </c>
      <c r="U1156">
        <f>IF([2]Entry!$K$1159="","",[2]Entry!$K$1159)</f>
        <v/>
      </c>
      <c r="V1156">
        <f>IF([2]Entry!$L$1159="","",[2]Entry!$L$1159)</f>
        <v/>
      </c>
      <c r="W1156">
        <f>IF([2]Entry!$M$1159="","",[2]Entry!$M$1159)</f>
        <v/>
      </c>
      <c r="X1156">
        <f>IF([2]Entry!$N$1159="","",[2]Entry!$N$1159)</f>
        <v/>
      </c>
      <c r="Y1156">
        <f>IF([2]Entry!$R$1159="","",[2]Entry!$R$1159)</f>
        <v/>
      </c>
    </row>
    <row r="1157">
      <c r="P1157">
        <f>IF([2]Entry!$C$1160="","",[2]Entry!$C$1160)</f>
        <v/>
      </c>
      <c r="Q1157">
        <f>IF([2]Entry!$D$1160="","",[2]Entry!$D$1160)</f>
        <v/>
      </c>
      <c r="R1157">
        <f>IF([2]Entry!$E$1160="","",[2]Entry!$E$1160)</f>
        <v/>
      </c>
      <c r="S1157">
        <f>IF([2]Entry!$G$1160="","",[2]Entry!$G$1160)</f>
        <v/>
      </c>
      <c r="T1157">
        <f>IF([2]Entry!$J$1160="","",[2]Entry!$J$1160)</f>
        <v/>
      </c>
      <c r="U1157">
        <f>IF([2]Entry!$K$1160="","",[2]Entry!$K$1160)</f>
        <v/>
      </c>
      <c r="V1157">
        <f>IF([2]Entry!$L$1160="","",[2]Entry!$L$1160)</f>
        <v/>
      </c>
      <c r="W1157">
        <f>IF([2]Entry!$M$1160="","",[2]Entry!$M$1160)</f>
        <v/>
      </c>
      <c r="X1157">
        <f>IF([2]Entry!$N$1160="","",[2]Entry!$N$1160)</f>
        <v/>
      </c>
      <c r="Y1157">
        <f>IF([2]Entry!$R$1160="","",[2]Entry!$R$1160)</f>
        <v/>
      </c>
    </row>
    <row r="1158">
      <c r="P1158">
        <f>IF([2]Entry!$C$1161="","",[2]Entry!$C$1161)</f>
        <v/>
      </c>
      <c r="Q1158">
        <f>IF([2]Entry!$D$1161="","",[2]Entry!$D$1161)</f>
        <v/>
      </c>
      <c r="R1158">
        <f>IF([2]Entry!$E$1161="","",[2]Entry!$E$1161)</f>
        <v/>
      </c>
      <c r="S1158">
        <f>IF([2]Entry!$G$1161="","",[2]Entry!$G$1161)</f>
        <v/>
      </c>
      <c r="T1158">
        <f>IF([2]Entry!$J$1161="","",[2]Entry!$J$1161)</f>
        <v/>
      </c>
      <c r="U1158">
        <f>IF([2]Entry!$K$1161="","",[2]Entry!$K$1161)</f>
        <v/>
      </c>
      <c r="V1158">
        <f>IF([2]Entry!$L$1161="","",[2]Entry!$L$1161)</f>
        <v/>
      </c>
      <c r="W1158">
        <f>IF([2]Entry!$M$1161="","",[2]Entry!$M$1161)</f>
        <v/>
      </c>
      <c r="X1158">
        <f>IF([2]Entry!$N$1161="","",[2]Entry!$N$1161)</f>
        <v/>
      </c>
      <c r="Y1158">
        <f>IF([2]Entry!$R$1161="","",[2]Entry!$R$1161)</f>
        <v/>
      </c>
    </row>
    <row r="1159">
      <c r="P1159">
        <f>IF([2]Entry!$C$1162="","",[2]Entry!$C$1162)</f>
        <v/>
      </c>
      <c r="Q1159">
        <f>IF([2]Entry!$D$1162="","",[2]Entry!$D$1162)</f>
        <v/>
      </c>
      <c r="R1159">
        <f>IF([2]Entry!$E$1162="","",[2]Entry!$E$1162)</f>
        <v/>
      </c>
      <c r="S1159">
        <f>IF([2]Entry!$G$1162="","",[2]Entry!$G$1162)</f>
        <v/>
      </c>
      <c r="T1159">
        <f>IF([2]Entry!$J$1162="","",[2]Entry!$J$1162)</f>
        <v/>
      </c>
      <c r="U1159">
        <f>IF([2]Entry!$K$1162="","",[2]Entry!$K$1162)</f>
        <v/>
      </c>
      <c r="V1159">
        <f>IF([2]Entry!$L$1162="","",[2]Entry!$L$1162)</f>
        <v/>
      </c>
      <c r="W1159">
        <f>IF([2]Entry!$M$1162="","",[2]Entry!$M$1162)</f>
        <v/>
      </c>
      <c r="X1159">
        <f>IF([2]Entry!$N$1162="","",[2]Entry!$N$1162)</f>
        <v/>
      </c>
      <c r="Y1159">
        <f>IF([2]Entry!$R$1162="","",[2]Entry!$R$1162)</f>
        <v/>
      </c>
    </row>
    <row r="1160">
      <c r="P1160">
        <f>IF([2]Entry!$C$1163="","",[2]Entry!$C$1163)</f>
        <v/>
      </c>
      <c r="Q1160">
        <f>IF([2]Entry!$D$1163="","",[2]Entry!$D$1163)</f>
        <v/>
      </c>
      <c r="R1160">
        <f>IF([2]Entry!$E$1163="","",[2]Entry!$E$1163)</f>
        <v/>
      </c>
      <c r="S1160">
        <f>IF([2]Entry!$G$1163="","",[2]Entry!$G$1163)</f>
        <v/>
      </c>
      <c r="T1160">
        <f>IF([2]Entry!$J$1163="","",[2]Entry!$J$1163)</f>
        <v/>
      </c>
      <c r="U1160">
        <f>IF([2]Entry!$K$1163="","",[2]Entry!$K$1163)</f>
        <v/>
      </c>
      <c r="V1160">
        <f>IF([2]Entry!$L$1163="","",[2]Entry!$L$1163)</f>
        <v/>
      </c>
      <c r="W1160">
        <f>IF([2]Entry!$M$1163="","",[2]Entry!$M$1163)</f>
        <v/>
      </c>
      <c r="X1160">
        <f>IF([2]Entry!$N$1163="","",[2]Entry!$N$1163)</f>
        <v/>
      </c>
      <c r="Y1160">
        <f>IF([2]Entry!$R$1163="","",[2]Entry!$R$1163)</f>
        <v/>
      </c>
    </row>
    <row r="1161">
      <c r="P1161">
        <f>IF([2]Entry!$C$1164="","",[2]Entry!$C$1164)</f>
        <v/>
      </c>
      <c r="Q1161">
        <f>IF([2]Entry!$D$1164="","",[2]Entry!$D$1164)</f>
        <v/>
      </c>
      <c r="R1161">
        <f>IF([2]Entry!$E$1164="","",[2]Entry!$E$1164)</f>
        <v/>
      </c>
      <c r="S1161">
        <f>IF([2]Entry!$G$1164="","",[2]Entry!$G$1164)</f>
        <v/>
      </c>
      <c r="T1161">
        <f>IF([2]Entry!$J$1164="","",[2]Entry!$J$1164)</f>
        <v/>
      </c>
      <c r="U1161">
        <f>IF([2]Entry!$K$1164="","",[2]Entry!$K$1164)</f>
        <v/>
      </c>
      <c r="V1161">
        <f>IF([2]Entry!$L$1164="","",[2]Entry!$L$1164)</f>
        <v/>
      </c>
      <c r="W1161">
        <f>IF([2]Entry!$M$1164="","",[2]Entry!$M$1164)</f>
        <v/>
      </c>
      <c r="X1161">
        <f>IF([2]Entry!$N$1164="","",[2]Entry!$N$1164)</f>
        <v/>
      </c>
      <c r="Y1161">
        <f>IF([2]Entry!$R$1164="","",[2]Entry!$R$1164)</f>
        <v/>
      </c>
    </row>
    <row r="1162">
      <c r="P1162">
        <f>IF([2]Entry!$C$1165="","",[2]Entry!$C$1165)</f>
        <v/>
      </c>
      <c r="Q1162">
        <f>IF([2]Entry!$D$1165="","",[2]Entry!$D$1165)</f>
        <v/>
      </c>
      <c r="R1162">
        <f>IF([2]Entry!$E$1165="","",[2]Entry!$E$1165)</f>
        <v/>
      </c>
      <c r="S1162">
        <f>IF([2]Entry!$G$1165="","",[2]Entry!$G$1165)</f>
        <v/>
      </c>
      <c r="T1162">
        <f>IF([2]Entry!$J$1165="","",[2]Entry!$J$1165)</f>
        <v/>
      </c>
      <c r="U1162">
        <f>IF([2]Entry!$K$1165="","",[2]Entry!$K$1165)</f>
        <v/>
      </c>
      <c r="V1162">
        <f>IF([2]Entry!$L$1165="","",[2]Entry!$L$1165)</f>
        <v/>
      </c>
      <c r="W1162">
        <f>IF([2]Entry!$M$1165="","",[2]Entry!$M$1165)</f>
        <v/>
      </c>
      <c r="X1162">
        <f>IF([2]Entry!$N$1165="","",[2]Entry!$N$1165)</f>
        <v/>
      </c>
      <c r="Y1162">
        <f>IF([2]Entry!$R$1165="","",[2]Entry!$R$1165)</f>
        <v/>
      </c>
    </row>
    <row r="1163">
      <c r="P1163">
        <f>IF([2]Entry!$C$1166="","",[2]Entry!$C$1166)</f>
        <v/>
      </c>
      <c r="Q1163">
        <f>IF([2]Entry!$D$1166="","",[2]Entry!$D$1166)</f>
        <v/>
      </c>
      <c r="R1163">
        <f>IF([2]Entry!$E$1166="","",[2]Entry!$E$1166)</f>
        <v/>
      </c>
      <c r="S1163">
        <f>IF([2]Entry!$G$1166="","",[2]Entry!$G$1166)</f>
        <v/>
      </c>
      <c r="T1163">
        <f>IF([2]Entry!$J$1166="","",[2]Entry!$J$1166)</f>
        <v/>
      </c>
      <c r="U1163">
        <f>IF([2]Entry!$K$1166="","",[2]Entry!$K$1166)</f>
        <v/>
      </c>
      <c r="V1163">
        <f>IF([2]Entry!$L$1166="","",[2]Entry!$L$1166)</f>
        <v/>
      </c>
      <c r="W1163">
        <f>IF([2]Entry!$M$1166="","",[2]Entry!$M$1166)</f>
        <v/>
      </c>
      <c r="X1163">
        <f>IF([2]Entry!$N$1166="","",[2]Entry!$N$1166)</f>
        <v/>
      </c>
      <c r="Y1163">
        <f>IF([2]Entry!$R$1166="","",[2]Entry!$R$1166)</f>
        <v/>
      </c>
    </row>
    <row r="1164">
      <c r="P1164">
        <f>IF([2]Entry!$C$1167="","",[2]Entry!$C$1167)</f>
        <v/>
      </c>
      <c r="Q1164">
        <f>IF([2]Entry!$D$1167="","",[2]Entry!$D$1167)</f>
        <v/>
      </c>
      <c r="R1164">
        <f>IF([2]Entry!$E$1167="","",[2]Entry!$E$1167)</f>
        <v/>
      </c>
      <c r="S1164">
        <f>IF([2]Entry!$G$1167="","",[2]Entry!$G$1167)</f>
        <v/>
      </c>
      <c r="T1164">
        <f>IF([2]Entry!$J$1167="","",[2]Entry!$J$1167)</f>
        <v/>
      </c>
      <c r="U1164">
        <f>IF([2]Entry!$K$1167="","",[2]Entry!$K$1167)</f>
        <v/>
      </c>
      <c r="V1164">
        <f>IF([2]Entry!$L$1167="","",[2]Entry!$L$1167)</f>
        <v/>
      </c>
      <c r="W1164">
        <f>IF([2]Entry!$M$1167="","",[2]Entry!$M$1167)</f>
        <v/>
      </c>
      <c r="X1164">
        <f>IF([2]Entry!$N$1167="","",[2]Entry!$N$1167)</f>
        <v/>
      </c>
      <c r="Y1164">
        <f>IF([2]Entry!$R$1167="","",[2]Entry!$R$1167)</f>
        <v/>
      </c>
    </row>
    <row r="1165">
      <c r="P1165">
        <f>IF([2]Entry!$C$1168="","",[2]Entry!$C$1168)</f>
        <v/>
      </c>
      <c r="Q1165">
        <f>IF([2]Entry!$D$1168="","",[2]Entry!$D$1168)</f>
        <v/>
      </c>
      <c r="R1165">
        <f>IF([2]Entry!$E$1168="","",[2]Entry!$E$1168)</f>
        <v/>
      </c>
      <c r="S1165">
        <f>IF([2]Entry!$G$1168="","",[2]Entry!$G$1168)</f>
        <v/>
      </c>
      <c r="T1165">
        <f>IF([2]Entry!$J$1168="","",[2]Entry!$J$1168)</f>
        <v/>
      </c>
      <c r="U1165">
        <f>IF([2]Entry!$K$1168="","",[2]Entry!$K$1168)</f>
        <v/>
      </c>
      <c r="V1165">
        <f>IF([2]Entry!$L$1168="","",[2]Entry!$L$1168)</f>
        <v/>
      </c>
      <c r="W1165">
        <f>IF([2]Entry!$M$1168="","",[2]Entry!$M$1168)</f>
        <v/>
      </c>
      <c r="X1165">
        <f>IF([2]Entry!$N$1168="","",[2]Entry!$N$1168)</f>
        <v/>
      </c>
      <c r="Y1165">
        <f>IF([2]Entry!$R$1168="","",[2]Entry!$R$1168)</f>
        <v/>
      </c>
    </row>
    <row r="1166">
      <c r="P1166">
        <f>IF([2]Entry!$C$1169="","",[2]Entry!$C$1169)</f>
        <v/>
      </c>
      <c r="Q1166">
        <f>IF([2]Entry!$D$1169="","",[2]Entry!$D$1169)</f>
        <v/>
      </c>
      <c r="R1166">
        <f>IF([2]Entry!$E$1169="","",[2]Entry!$E$1169)</f>
        <v/>
      </c>
      <c r="S1166">
        <f>IF([2]Entry!$G$1169="","",[2]Entry!$G$1169)</f>
        <v/>
      </c>
      <c r="T1166">
        <f>IF([2]Entry!$J$1169="","",[2]Entry!$J$1169)</f>
        <v/>
      </c>
      <c r="U1166">
        <f>IF([2]Entry!$K$1169="","",[2]Entry!$K$1169)</f>
        <v/>
      </c>
      <c r="V1166">
        <f>IF([2]Entry!$L$1169="","",[2]Entry!$L$1169)</f>
        <v/>
      </c>
      <c r="W1166">
        <f>IF([2]Entry!$M$1169="","",[2]Entry!$M$1169)</f>
        <v/>
      </c>
      <c r="X1166">
        <f>IF([2]Entry!$N$1169="","",[2]Entry!$N$1169)</f>
        <v/>
      </c>
      <c r="Y1166">
        <f>IF([2]Entry!$R$1169="","",[2]Entry!$R$1169)</f>
        <v/>
      </c>
    </row>
    <row r="1167">
      <c r="P1167">
        <f>IF([2]Entry!$C$1170="","",[2]Entry!$C$1170)</f>
        <v/>
      </c>
      <c r="Q1167">
        <f>IF([2]Entry!$D$1170="","",[2]Entry!$D$1170)</f>
        <v/>
      </c>
      <c r="R1167">
        <f>IF([2]Entry!$E$1170="","",[2]Entry!$E$1170)</f>
        <v/>
      </c>
      <c r="S1167">
        <f>IF([2]Entry!$G$1170="","",[2]Entry!$G$1170)</f>
        <v/>
      </c>
      <c r="T1167">
        <f>IF([2]Entry!$J$1170="","",[2]Entry!$J$1170)</f>
        <v/>
      </c>
      <c r="U1167">
        <f>IF([2]Entry!$K$1170="","",[2]Entry!$K$1170)</f>
        <v/>
      </c>
      <c r="V1167">
        <f>IF([2]Entry!$L$1170="","",[2]Entry!$L$1170)</f>
        <v/>
      </c>
      <c r="W1167">
        <f>IF([2]Entry!$M$1170="","",[2]Entry!$M$1170)</f>
        <v/>
      </c>
      <c r="X1167">
        <f>IF([2]Entry!$N$1170="","",[2]Entry!$N$1170)</f>
        <v/>
      </c>
      <c r="Y1167">
        <f>IF([2]Entry!$R$1170="","",[2]Entry!$R$1170)</f>
        <v/>
      </c>
    </row>
    <row r="1168">
      <c r="P1168">
        <f>IF([2]Entry!$C$1171="","",[2]Entry!$C$1171)</f>
        <v/>
      </c>
      <c r="Q1168">
        <f>IF([2]Entry!$D$1171="","",[2]Entry!$D$1171)</f>
        <v/>
      </c>
      <c r="R1168">
        <f>IF([2]Entry!$E$1171="","",[2]Entry!$E$1171)</f>
        <v/>
      </c>
      <c r="S1168">
        <f>IF([2]Entry!$G$1171="","",[2]Entry!$G$1171)</f>
        <v/>
      </c>
      <c r="T1168">
        <f>IF([2]Entry!$J$1171="","",[2]Entry!$J$1171)</f>
        <v/>
      </c>
      <c r="U1168">
        <f>IF([2]Entry!$K$1171="","",[2]Entry!$K$1171)</f>
        <v/>
      </c>
      <c r="V1168">
        <f>IF([2]Entry!$L$1171="","",[2]Entry!$L$1171)</f>
        <v/>
      </c>
      <c r="W1168">
        <f>IF([2]Entry!$M$1171="","",[2]Entry!$M$1171)</f>
        <v/>
      </c>
      <c r="X1168">
        <f>IF([2]Entry!$N$1171="","",[2]Entry!$N$1171)</f>
        <v/>
      </c>
      <c r="Y1168">
        <f>IF([2]Entry!$R$1171="","",[2]Entry!$R$1171)</f>
        <v/>
      </c>
    </row>
    <row r="1169">
      <c r="P1169">
        <f>IF([2]Entry!$C$1172="","",[2]Entry!$C$1172)</f>
        <v/>
      </c>
      <c r="Q1169">
        <f>IF([2]Entry!$D$1172="","",[2]Entry!$D$1172)</f>
        <v/>
      </c>
      <c r="R1169">
        <f>IF([2]Entry!$E$1172="","",[2]Entry!$E$1172)</f>
        <v/>
      </c>
      <c r="S1169">
        <f>IF([2]Entry!$G$1172="","",[2]Entry!$G$1172)</f>
        <v/>
      </c>
      <c r="T1169">
        <f>IF([2]Entry!$J$1172="","",[2]Entry!$J$1172)</f>
        <v/>
      </c>
      <c r="U1169">
        <f>IF([2]Entry!$K$1172="","",[2]Entry!$K$1172)</f>
        <v/>
      </c>
      <c r="V1169">
        <f>IF([2]Entry!$L$1172="","",[2]Entry!$L$1172)</f>
        <v/>
      </c>
      <c r="W1169">
        <f>IF([2]Entry!$M$1172="","",[2]Entry!$M$1172)</f>
        <v/>
      </c>
      <c r="X1169">
        <f>IF([2]Entry!$N$1172="","",[2]Entry!$N$1172)</f>
        <v/>
      </c>
      <c r="Y1169">
        <f>IF([2]Entry!$R$1172="","",[2]Entry!$R$1172)</f>
        <v/>
      </c>
    </row>
    <row r="1170">
      <c r="P1170">
        <f>IF([2]Entry!$C$1173="","",[2]Entry!$C$1173)</f>
        <v/>
      </c>
      <c r="Q1170">
        <f>IF([2]Entry!$D$1173="","",[2]Entry!$D$1173)</f>
        <v/>
      </c>
      <c r="R1170">
        <f>IF([2]Entry!$E$1173="","",[2]Entry!$E$1173)</f>
        <v/>
      </c>
      <c r="S1170">
        <f>IF([2]Entry!$G$1173="","",[2]Entry!$G$1173)</f>
        <v/>
      </c>
      <c r="T1170">
        <f>IF([2]Entry!$J$1173="","",[2]Entry!$J$1173)</f>
        <v/>
      </c>
      <c r="U1170">
        <f>IF([2]Entry!$K$1173="","",[2]Entry!$K$1173)</f>
        <v/>
      </c>
      <c r="V1170">
        <f>IF([2]Entry!$L$1173="","",[2]Entry!$L$1173)</f>
        <v/>
      </c>
      <c r="W1170">
        <f>IF([2]Entry!$M$1173="","",[2]Entry!$M$1173)</f>
        <v/>
      </c>
      <c r="X1170">
        <f>IF([2]Entry!$N$1173="","",[2]Entry!$N$1173)</f>
        <v/>
      </c>
      <c r="Y1170">
        <f>IF([2]Entry!$R$1173="","",[2]Entry!$R$1173)</f>
        <v/>
      </c>
    </row>
    <row r="1171">
      <c r="P1171">
        <f>IF([2]Entry!$C$1174="","",[2]Entry!$C$1174)</f>
        <v/>
      </c>
      <c r="Q1171">
        <f>IF([2]Entry!$D$1174="","",[2]Entry!$D$1174)</f>
        <v/>
      </c>
      <c r="R1171">
        <f>IF([2]Entry!$E$1174="","",[2]Entry!$E$1174)</f>
        <v/>
      </c>
      <c r="S1171">
        <f>IF([2]Entry!$G$1174="","",[2]Entry!$G$1174)</f>
        <v/>
      </c>
      <c r="T1171">
        <f>IF([2]Entry!$J$1174="","",[2]Entry!$J$1174)</f>
        <v/>
      </c>
      <c r="U1171">
        <f>IF([2]Entry!$K$1174="","",[2]Entry!$K$1174)</f>
        <v/>
      </c>
      <c r="V1171">
        <f>IF([2]Entry!$L$1174="","",[2]Entry!$L$1174)</f>
        <v/>
      </c>
      <c r="W1171">
        <f>IF([2]Entry!$M$1174="","",[2]Entry!$M$1174)</f>
        <v/>
      </c>
      <c r="X1171">
        <f>IF([2]Entry!$N$1174="","",[2]Entry!$N$1174)</f>
        <v/>
      </c>
      <c r="Y1171">
        <f>IF([2]Entry!$R$1174="","",[2]Entry!$R$1174)</f>
        <v/>
      </c>
    </row>
    <row r="1172">
      <c r="P1172">
        <f>IF([2]Entry!$C$1175="","",[2]Entry!$C$1175)</f>
        <v/>
      </c>
      <c r="Q1172">
        <f>IF([2]Entry!$D$1175="","",[2]Entry!$D$1175)</f>
        <v/>
      </c>
      <c r="R1172">
        <f>IF([2]Entry!$E$1175="","",[2]Entry!$E$1175)</f>
        <v/>
      </c>
      <c r="S1172">
        <f>IF([2]Entry!$G$1175="","",[2]Entry!$G$1175)</f>
        <v/>
      </c>
      <c r="T1172">
        <f>IF([2]Entry!$J$1175="","",[2]Entry!$J$1175)</f>
        <v/>
      </c>
      <c r="U1172">
        <f>IF([2]Entry!$K$1175="","",[2]Entry!$K$1175)</f>
        <v/>
      </c>
      <c r="V1172">
        <f>IF([2]Entry!$L$1175="","",[2]Entry!$L$1175)</f>
        <v/>
      </c>
      <c r="W1172">
        <f>IF([2]Entry!$M$1175="","",[2]Entry!$M$1175)</f>
        <v/>
      </c>
      <c r="X1172">
        <f>IF([2]Entry!$N$1175="","",[2]Entry!$N$1175)</f>
        <v/>
      </c>
      <c r="Y1172">
        <f>IF([2]Entry!$R$1175="","",[2]Entry!$R$1175)</f>
        <v/>
      </c>
    </row>
    <row r="1173">
      <c r="P1173">
        <f>IF([2]Entry!$C$1176="","",[2]Entry!$C$1176)</f>
        <v/>
      </c>
      <c r="Q1173">
        <f>IF([2]Entry!$D$1176="","",[2]Entry!$D$1176)</f>
        <v/>
      </c>
      <c r="R1173">
        <f>IF([2]Entry!$E$1176="","",[2]Entry!$E$1176)</f>
        <v/>
      </c>
      <c r="S1173">
        <f>IF([2]Entry!$G$1176="","",[2]Entry!$G$1176)</f>
        <v/>
      </c>
      <c r="T1173">
        <f>IF([2]Entry!$J$1176="","",[2]Entry!$J$1176)</f>
        <v/>
      </c>
      <c r="U1173">
        <f>IF([2]Entry!$K$1176="","",[2]Entry!$K$1176)</f>
        <v/>
      </c>
      <c r="V1173">
        <f>IF([2]Entry!$L$1176="","",[2]Entry!$L$1176)</f>
        <v/>
      </c>
      <c r="W1173">
        <f>IF([2]Entry!$M$1176="","",[2]Entry!$M$1176)</f>
        <v/>
      </c>
      <c r="X1173">
        <f>IF([2]Entry!$N$1176="","",[2]Entry!$N$1176)</f>
        <v/>
      </c>
      <c r="Y1173">
        <f>IF([2]Entry!$R$1176="","",[2]Entry!$R$1176)</f>
        <v/>
      </c>
    </row>
    <row r="1174">
      <c r="P1174">
        <f>IF([2]Entry!$C$1177="","",[2]Entry!$C$1177)</f>
        <v/>
      </c>
      <c r="Q1174">
        <f>IF([2]Entry!$D$1177="","",[2]Entry!$D$1177)</f>
        <v/>
      </c>
      <c r="R1174">
        <f>IF([2]Entry!$E$1177="","",[2]Entry!$E$1177)</f>
        <v/>
      </c>
      <c r="S1174">
        <f>IF([2]Entry!$G$1177="","",[2]Entry!$G$1177)</f>
        <v/>
      </c>
      <c r="T1174">
        <f>IF([2]Entry!$J$1177="","",[2]Entry!$J$1177)</f>
        <v/>
      </c>
      <c r="U1174">
        <f>IF([2]Entry!$K$1177="","",[2]Entry!$K$1177)</f>
        <v/>
      </c>
      <c r="V1174">
        <f>IF([2]Entry!$L$1177="","",[2]Entry!$L$1177)</f>
        <v/>
      </c>
      <c r="W1174">
        <f>IF([2]Entry!$M$1177="","",[2]Entry!$M$1177)</f>
        <v/>
      </c>
      <c r="X1174">
        <f>IF([2]Entry!$N$1177="","",[2]Entry!$N$1177)</f>
        <v/>
      </c>
      <c r="Y1174">
        <f>IF([2]Entry!$R$1177="","",[2]Entry!$R$1177)</f>
        <v/>
      </c>
    </row>
    <row r="1175">
      <c r="P1175">
        <f>IF([2]Entry!$C$1178="","",[2]Entry!$C$1178)</f>
        <v/>
      </c>
      <c r="Q1175">
        <f>IF([2]Entry!$D$1178="","",[2]Entry!$D$1178)</f>
        <v/>
      </c>
      <c r="R1175">
        <f>IF([2]Entry!$E$1178="","",[2]Entry!$E$1178)</f>
        <v/>
      </c>
      <c r="S1175">
        <f>IF([2]Entry!$G$1178="","",[2]Entry!$G$1178)</f>
        <v/>
      </c>
      <c r="T1175">
        <f>IF([2]Entry!$J$1178="","",[2]Entry!$J$1178)</f>
        <v/>
      </c>
      <c r="U1175">
        <f>IF([2]Entry!$K$1178="","",[2]Entry!$K$1178)</f>
        <v/>
      </c>
      <c r="V1175">
        <f>IF([2]Entry!$L$1178="","",[2]Entry!$L$1178)</f>
        <v/>
      </c>
      <c r="W1175">
        <f>IF([2]Entry!$M$1178="","",[2]Entry!$M$1178)</f>
        <v/>
      </c>
      <c r="X1175">
        <f>IF([2]Entry!$N$1178="","",[2]Entry!$N$1178)</f>
        <v/>
      </c>
      <c r="Y1175">
        <f>IF([2]Entry!$R$1178="","",[2]Entry!$R$1178)</f>
        <v/>
      </c>
    </row>
    <row r="1176">
      <c r="P1176">
        <f>IF([2]Entry!$C$1179="","",[2]Entry!$C$1179)</f>
        <v/>
      </c>
      <c r="Q1176">
        <f>IF([2]Entry!$D$1179="","",[2]Entry!$D$1179)</f>
        <v/>
      </c>
      <c r="R1176">
        <f>IF([2]Entry!$E$1179="","",[2]Entry!$E$1179)</f>
        <v/>
      </c>
      <c r="S1176">
        <f>IF([2]Entry!$G$1179="","",[2]Entry!$G$1179)</f>
        <v/>
      </c>
      <c r="T1176">
        <f>IF([2]Entry!$J$1179="","",[2]Entry!$J$1179)</f>
        <v/>
      </c>
      <c r="U1176">
        <f>IF([2]Entry!$K$1179="","",[2]Entry!$K$1179)</f>
        <v/>
      </c>
      <c r="V1176">
        <f>IF([2]Entry!$L$1179="","",[2]Entry!$L$1179)</f>
        <v/>
      </c>
      <c r="W1176">
        <f>IF([2]Entry!$M$1179="","",[2]Entry!$M$1179)</f>
        <v/>
      </c>
      <c r="X1176">
        <f>IF([2]Entry!$N$1179="","",[2]Entry!$N$1179)</f>
        <v/>
      </c>
      <c r="Y1176">
        <f>IF([2]Entry!$R$1179="","",[2]Entry!$R$1179)</f>
        <v/>
      </c>
    </row>
    <row r="1177">
      <c r="P1177">
        <f>IF([2]Entry!$C$1180="","",[2]Entry!$C$1180)</f>
        <v/>
      </c>
      <c r="Q1177">
        <f>IF([2]Entry!$D$1180="","",[2]Entry!$D$1180)</f>
        <v/>
      </c>
      <c r="R1177">
        <f>IF([2]Entry!$E$1180="","",[2]Entry!$E$1180)</f>
        <v/>
      </c>
      <c r="S1177">
        <f>IF([2]Entry!$G$1180="","",[2]Entry!$G$1180)</f>
        <v/>
      </c>
      <c r="T1177">
        <f>IF([2]Entry!$J$1180="","",[2]Entry!$J$1180)</f>
        <v/>
      </c>
      <c r="U1177">
        <f>IF([2]Entry!$K$1180="","",[2]Entry!$K$1180)</f>
        <v/>
      </c>
      <c r="V1177">
        <f>IF([2]Entry!$L$1180="","",[2]Entry!$L$1180)</f>
        <v/>
      </c>
      <c r="W1177">
        <f>IF([2]Entry!$M$1180="","",[2]Entry!$M$1180)</f>
        <v/>
      </c>
      <c r="X1177">
        <f>IF([2]Entry!$N$1180="","",[2]Entry!$N$1180)</f>
        <v/>
      </c>
      <c r="Y1177">
        <f>IF([2]Entry!$R$1180="","",[2]Entry!$R$1180)</f>
        <v/>
      </c>
    </row>
    <row r="1178">
      <c r="P1178">
        <f>IF([2]Entry!$C$1181="","",[2]Entry!$C$1181)</f>
        <v/>
      </c>
      <c r="Q1178">
        <f>IF([2]Entry!$D$1181="","",[2]Entry!$D$1181)</f>
        <v/>
      </c>
      <c r="R1178">
        <f>IF([2]Entry!$E$1181="","",[2]Entry!$E$1181)</f>
        <v/>
      </c>
      <c r="S1178">
        <f>IF([2]Entry!$G$1181="","",[2]Entry!$G$1181)</f>
        <v/>
      </c>
      <c r="T1178">
        <f>IF([2]Entry!$J$1181="","",[2]Entry!$J$1181)</f>
        <v/>
      </c>
      <c r="U1178">
        <f>IF([2]Entry!$K$1181="","",[2]Entry!$K$1181)</f>
        <v/>
      </c>
      <c r="V1178">
        <f>IF([2]Entry!$L$1181="","",[2]Entry!$L$1181)</f>
        <v/>
      </c>
      <c r="W1178">
        <f>IF([2]Entry!$M$1181="","",[2]Entry!$M$1181)</f>
        <v/>
      </c>
      <c r="X1178">
        <f>IF([2]Entry!$N$1181="","",[2]Entry!$N$1181)</f>
        <v/>
      </c>
      <c r="Y1178">
        <f>IF([2]Entry!$R$1181="","",[2]Entry!$R$1181)</f>
        <v/>
      </c>
    </row>
    <row r="1179">
      <c r="P1179">
        <f>IF([2]Entry!$C$1182="","",[2]Entry!$C$1182)</f>
        <v/>
      </c>
      <c r="Q1179">
        <f>IF([2]Entry!$D$1182="","",[2]Entry!$D$1182)</f>
        <v/>
      </c>
      <c r="R1179">
        <f>IF([2]Entry!$E$1182="","",[2]Entry!$E$1182)</f>
        <v/>
      </c>
      <c r="S1179">
        <f>IF([2]Entry!$G$1182="","",[2]Entry!$G$1182)</f>
        <v/>
      </c>
      <c r="T1179">
        <f>IF([2]Entry!$J$1182="","",[2]Entry!$J$1182)</f>
        <v/>
      </c>
      <c r="U1179">
        <f>IF([2]Entry!$K$1182="","",[2]Entry!$K$1182)</f>
        <v/>
      </c>
      <c r="V1179">
        <f>IF([2]Entry!$L$1182="","",[2]Entry!$L$1182)</f>
        <v/>
      </c>
      <c r="W1179">
        <f>IF([2]Entry!$M$1182="","",[2]Entry!$M$1182)</f>
        <v/>
      </c>
      <c r="X1179">
        <f>IF([2]Entry!$N$1182="","",[2]Entry!$N$1182)</f>
        <v/>
      </c>
      <c r="Y1179">
        <f>IF([2]Entry!$R$1182="","",[2]Entry!$R$1182)</f>
        <v/>
      </c>
    </row>
    <row r="1180">
      <c r="P1180">
        <f>IF([2]Entry!$C$1183="","",[2]Entry!$C$1183)</f>
        <v/>
      </c>
      <c r="Q1180">
        <f>IF([2]Entry!$D$1183="","",[2]Entry!$D$1183)</f>
        <v/>
      </c>
      <c r="R1180">
        <f>IF([2]Entry!$E$1183="","",[2]Entry!$E$1183)</f>
        <v/>
      </c>
      <c r="S1180">
        <f>IF([2]Entry!$G$1183="","",[2]Entry!$G$1183)</f>
        <v/>
      </c>
      <c r="T1180">
        <f>IF([2]Entry!$J$1183="","",[2]Entry!$J$1183)</f>
        <v/>
      </c>
      <c r="U1180">
        <f>IF([2]Entry!$K$1183="","",[2]Entry!$K$1183)</f>
        <v/>
      </c>
      <c r="V1180">
        <f>IF([2]Entry!$L$1183="","",[2]Entry!$L$1183)</f>
        <v/>
      </c>
      <c r="W1180">
        <f>IF([2]Entry!$M$1183="","",[2]Entry!$M$1183)</f>
        <v/>
      </c>
      <c r="X1180">
        <f>IF([2]Entry!$N$1183="","",[2]Entry!$N$1183)</f>
        <v/>
      </c>
      <c r="Y1180">
        <f>IF([2]Entry!$R$1183="","",[2]Entry!$R$1183)</f>
        <v/>
      </c>
    </row>
    <row r="1181">
      <c r="P1181">
        <f>IF([2]Entry!$C$1184="","",[2]Entry!$C$1184)</f>
        <v/>
      </c>
      <c r="Q1181">
        <f>IF([2]Entry!$D$1184="","",[2]Entry!$D$1184)</f>
        <v/>
      </c>
      <c r="R1181">
        <f>IF([2]Entry!$E$1184="","",[2]Entry!$E$1184)</f>
        <v/>
      </c>
      <c r="S1181">
        <f>IF([2]Entry!$G$1184="","",[2]Entry!$G$1184)</f>
        <v/>
      </c>
      <c r="T1181">
        <f>IF([2]Entry!$J$1184="","",[2]Entry!$J$1184)</f>
        <v/>
      </c>
      <c r="U1181">
        <f>IF([2]Entry!$K$1184="","",[2]Entry!$K$1184)</f>
        <v/>
      </c>
      <c r="V1181">
        <f>IF([2]Entry!$L$1184="","",[2]Entry!$L$1184)</f>
        <v/>
      </c>
      <c r="W1181">
        <f>IF([2]Entry!$M$1184="","",[2]Entry!$M$1184)</f>
        <v/>
      </c>
      <c r="X1181">
        <f>IF([2]Entry!$N$1184="","",[2]Entry!$N$1184)</f>
        <v/>
      </c>
      <c r="Y1181">
        <f>IF([2]Entry!$R$1184="","",[2]Entry!$R$1184)</f>
        <v/>
      </c>
    </row>
    <row r="1182">
      <c r="P1182">
        <f>IF([2]Entry!$C$1185="","",[2]Entry!$C$1185)</f>
        <v/>
      </c>
      <c r="Q1182">
        <f>IF([2]Entry!$D$1185="","",[2]Entry!$D$1185)</f>
        <v/>
      </c>
      <c r="R1182">
        <f>IF([2]Entry!$E$1185="","",[2]Entry!$E$1185)</f>
        <v/>
      </c>
      <c r="S1182">
        <f>IF([2]Entry!$G$1185="","",[2]Entry!$G$1185)</f>
        <v/>
      </c>
      <c r="T1182">
        <f>IF([2]Entry!$J$1185="","",[2]Entry!$J$1185)</f>
        <v/>
      </c>
      <c r="U1182">
        <f>IF([2]Entry!$K$1185="","",[2]Entry!$K$1185)</f>
        <v/>
      </c>
      <c r="V1182">
        <f>IF([2]Entry!$L$1185="","",[2]Entry!$L$1185)</f>
        <v/>
      </c>
      <c r="W1182">
        <f>IF([2]Entry!$M$1185="","",[2]Entry!$M$1185)</f>
        <v/>
      </c>
      <c r="X1182">
        <f>IF([2]Entry!$N$1185="","",[2]Entry!$N$1185)</f>
        <v/>
      </c>
      <c r="Y1182">
        <f>IF([2]Entry!$R$1185="","",[2]Entry!$R$1185)</f>
        <v/>
      </c>
    </row>
    <row r="1183">
      <c r="P1183">
        <f>IF([2]Entry!$C$1186="","",[2]Entry!$C$1186)</f>
        <v/>
      </c>
      <c r="Q1183">
        <f>IF([2]Entry!$D$1186="","",[2]Entry!$D$1186)</f>
        <v/>
      </c>
      <c r="R1183">
        <f>IF([2]Entry!$E$1186="","",[2]Entry!$E$1186)</f>
        <v/>
      </c>
      <c r="S1183">
        <f>IF([2]Entry!$G$1186="","",[2]Entry!$G$1186)</f>
        <v/>
      </c>
      <c r="T1183">
        <f>IF([2]Entry!$J$1186="","",[2]Entry!$J$1186)</f>
        <v/>
      </c>
      <c r="U1183">
        <f>IF([2]Entry!$K$1186="","",[2]Entry!$K$1186)</f>
        <v/>
      </c>
      <c r="V1183">
        <f>IF([2]Entry!$L$1186="","",[2]Entry!$L$1186)</f>
        <v/>
      </c>
      <c r="W1183">
        <f>IF([2]Entry!$M$1186="","",[2]Entry!$M$1186)</f>
        <v/>
      </c>
      <c r="X1183">
        <f>IF([2]Entry!$N$1186="","",[2]Entry!$N$1186)</f>
        <v/>
      </c>
      <c r="Y1183">
        <f>IF([2]Entry!$R$1186="","",[2]Entry!$R$1186)</f>
        <v/>
      </c>
    </row>
    <row r="1184">
      <c r="P1184">
        <f>IF([2]Entry!$C$1187="","",[2]Entry!$C$1187)</f>
        <v/>
      </c>
      <c r="Q1184">
        <f>IF([2]Entry!$D$1187="","",[2]Entry!$D$1187)</f>
        <v/>
      </c>
      <c r="R1184">
        <f>IF([2]Entry!$E$1187="","",[2]Entry!$E$1187)</f>
        <v/>
      </c>
      <c r="S1184">
        <f>IF([2]Entry!$G$1187="","",[2]Entry!$G$1187)</f>
        <v/>
      </c>
      <c r="T1184">
        <f>IF([2]Entry!$J$1187="","",[2]Entry!$J$1187)</f>
        <v/>
      </c>
      <c r="U1184">
        <f>IF([2]Entry!$K$1187="","",[2]Entry!$K$1187)</f>
        <v/>
      </c>
      <c r="V1184">
        <f>IF([2]Entry!$L$1187="","",[2]Entry!$L$1187)</f>
        <v/>
      </c>
      <c r="W1184">
        <f>IF([2]Entry!$M$1187="","",[2]Entry!$M$1187)</f>
        <v/>
      </c>
      <c r="X1184">
        <f>IF([2]Entry!$N$1187="","",[2]Entry!$N$1187)</f>
        <v/>
      </c>
      <c r="Y1184">
        <f>IF([2]Entry!$R$1187="","",[2]Entry!$R$1187)</f>
        <v/>
      </c>
    </row>
    <row r="1185">
      <c r="P1185">
        <f>IF([2]Entry!$C$1188="","",[2]Entry!$C$1188)</f>
        <v/>
      </c>
      <c r="Q1185">
        <f>IF([2]Entry!$D$1188="","",[2]Entry!$D$1188)</f>
        <v/>
      </c>
      <c r="R1185">
        <f>IF([2]Entry!$E$1188="","",[2]Entry!$E$1188)</f>
        <v/>
      </c>
      <c r="S1185">
        <f>IF([2]Entry!$G$1188="","",[2]Entry!$G$1188)</f>
        <v/>
      </c>
      <c r="T1185">
        <f>IF([2]Entry!$J$1188="","",[2]Entry!$J$1188)</f>
        <v/>
      </c>
      <c r="U1185">
        <f>IF([2]Entry!$K$1188="","",[2]Entry!$K$1188)</f>
        <v/>
      </c>
      <c r="V1185">
        <f>IF([2]Entry!$L$1188="","",[2]Entry!$L$1188)</f>
        <v/>
      </c>
      <c r="W1185">
        <f>IF([2]Entry!$M$1188="","",[2]Entry!$M$1188)</f>
        <v/>
      </c>
      <c r="X1185">
        <f>IF([2]Entry!$N$1188="","",[2]Entry!$N$1188)</f>
        <v/>
      </c>
      <c r="Y1185">
        <f>IF([2]Entry!$R$1188="","",[2]Entry!$R$1188)</f>
        <v/>
      </c>
    </row>
    <row r="1186">
      <c r="P1186">
        <f>IF([2]Entry!$C$1189="","",[2]Entry!$C$1189)</f>
        <v/>
      </c>
      <c r="Q1186">
        <f>IF([2]Entry!$D$1189="","",[2]Entry!$D$1189)</f>
        <v/>
      </c>
      <c r="R1186">
        <f>IF([2]Entry!$E$1189="","",[2]Entry!$E$1189)</f>
        <v/>
      </c>
      <c r="S1186">
        <f>IF([2]Entry!$G$1189="","",[2]Entry!$G$1189)</f>
        <v/>
      </c>
      <c r="T1186">
        <f>IF([2]Entry!$J$1189="","",[2]Entry!$J$1189)</f>
        <v/>
      </c>
      <c r="U1186">
        <f>IF([2]Entry!$K$1189="","",[2]Entry!$K$1189)</f>
        <v/>
      </c>
      <c r="V1186">
        <f>IF([2]Entry!$L$1189="","",[2]Entry!$L$1189)</f>
        <v/>
      </c>
      <c r="W1186">
        <f>IF([2]Entry!$M$1189="","",[2]Entry!$M$1189)</f>
        <v/>
      </c>
      <c r="X1186">
        <f>IF([2]Entry!$N$1189="","",[2]Entry!$N$1189)</f>
        <v/>
      </c>
      <c r="Y1186">
        <f>IF([2]Entry!$R$1189="","",[2]Entry!$R$1189)</f>
        <v/>
      </c>
    </row>
    <row r="1187">
      <c r="P1187">
        <f>IF([2]Entry!$C$1190="","",[2]Entry!$C$1190)</f>
        <v/>
      </c>
      <c r="Q1187">
        <f>IF([2]Entry!$D$1190="","",[2]Entry!$D$1190)</f>
        <v/>
      </c>
      <c r="R1187">
        <f>IF([2]Entry!$E$1190="","",[2]Entry!$E$1190)</f>
        <v/>
      </c>
      <c r="S1187">
        <f>IF([2]Entry!$G$1190="","",[2]Entry!$G$1190)</f>
        <v/>
      </c>
      <c r="T1187">
        <f>IF([2]Entry!$J$1190="","",[2]Entry!$J$1190)</f>
        <v/>
      </c>
      <c r="U1187">
        <f>IF([2]Entry!$K$1190="","",[2]Entry!$K$1190)</f>
        <v/>
      </c>
      <c r="V1187">
        <f>IF([2]Entry!$L$1190="","",[2]Entry!$L$1190)</f>
        <v/>
      </c>
      <c r="W1187">
        <f>IF([2]Entry!$M$1190="","",[2]Entry!$M$1190)</f>
        <v/>
      </c>
      <c r="X1187">
        <f>IF([2]Entry!$N$1190="","",[2]Entry!$N$1190)</f>
        <v/>
      </c>
      <c r="Y1187">
        <f>IF([2]Entry!$R$1190="","",[2]Entry!$R$1190)</f>
        <v/>
      </c>
    </row>
    <row r="1188">
      <c r="P1188">
        <f>IF([2]Entry!$C$1191="","",[2]Entry!$C$1191)</f>
        <v/>
      </c>
      <c r="Q1188">
        <f>IF([2]Entry!$D$1191="","",[2]Entry!$D$1191)</f>
        <v/>
      </c>
      <c r="R1188">
        <f>IF([2]Entry!$E$1191="","",[2]Entry!$E$1191)</f>
        <v/>
      </c>
      <c r="S1188">
        <f>IF([2]Entry!$G$1191="","",[2]Entry!$G$1191)</f>
        <v/>
      </c>
      <c r="T1188">
        <f>IF([2]Entry!$J$1191="","",[2]Entry!$J$1191)</f>
        <v/>
      </c>
      <c r="U1188">
        <f>IF([2]Entry!$K$1191="","",[2]Entry!$K$1191)</f>
        <v/>
      </c>
      <c r="V1188">
        <f>IF([2]Entry!$L$1191="","",[2]Entry!$L$1191)</f>
        <v/>
      </c>
      <c r="W1188">
        <f>IF([2]Entry!$M$1191="","",[2]Entry!$M$1191)</f>
        <v/>
      </c>
      <c r="X1188">
        <f>IF([2]Entry!$N$1191="","",[2]Entry!$N$1191)</f>
        <v/>
      </c>
      <c r="Y1188">
        <f>IF([2]Entry!$R$1191="","",[2]Entry!$R$1191)</f>
        <v/>
      </c>
    </row>
    <row r="1189">
      <c r="P1189">
        <f>IF([2]Entry!$C$1192="","",[2]Entry!$C$1192)</f>
        <v/>
      </c>
      <c r="Q1189">
        <f>IF([2]Entry!$D$1192="","",[2]Entry!$D$1192)</f>
        <v/>
      </c>
      <c r="R1189">
        <f>IF([2]Entry!$E$1192="","",[2]Entry!$E$1192)</f>
        <v/>
      </c>
      <c r="S1189">
        <f>IF([2]Entry!$G$1192="","",[2]Entry!$G$1192)</f>
        <v/>
      </c>
      <c r="T1189">
        <f>IF([2]Entry!$J$1192="","",[2]Entry!$J$1192)</f>
        <v/>
      </c>
      <c r="U1189">
        <f>IF([2]Entry!$K$1192="","",[2]Entry!$K$1192)</f>
        <v/>
      </c>
      <c r="V1189">
        <f>IF([2]Entry!$L$1192="","",[2]Entry!$L$1192)</f>
        <v/>
      </c>
      <c r="W1189">
        <f>IF([2]Entry!$M$1192="","",[2]Entry!$M$1192)</f>
        <v/>
      </c>
      <c r="X1189">
        <f>IF([2]Entry!$N$1192="","",[2]Entry!$N$1192)</f>
        <v/>
      </c>
      <c r="Y1189">
        <f>IF([2]Entry!$R$1192="","",[2]Entry!$R$1192)</f>
        <v/>
      </c>
    </row>
    <row r="1190">
      <c r="P1190">
        <f>IF([2]Entry!$C$1193="","",[2]Entry!$C$1193)</f>
        <v/>
      </c>
      <c r="Q1190">
        <f>IF([2]Entry!$D$1193="","",[2]Entry!$D$1193)</f>
        <v/>
      </c>
      <c r="R1190">
        <f>IF([2]Entry!$E$1193="","",[2]Entry!$E$1193)</f>
        <v/>
      </c>
      <c r="S1190">
        <f>IF([2]Entry!$G$1193="","",[2]Entry!$G$1193)</f>
        <v/>
      </c>
      <c r="T1190">
        <f>IF([2]Entry!$J$1193="","",[2]Entry!$J$1193)</f>
        <v/>
      </c>
      <c r="U1190">
        <f>IF([2]Entry!$K$1193="","",[2]Entry!$K$1193)</f>
        <v/>
      </c>
      <c r="V1190">
        <f>IF([2]Entry!$L$1193="","",[2]Entry!$L$1193)</f>
        <v/>
      </c>
      <c r="W1190">
        <f>IF([2]Entry!$M$1193="","",[2]Entry!$M$1193)</f>
        <v/>
      </c>
      <c r="X1190">
        <f>IF([2]Entry!$N$1193="","",[2]Entry!$N$1193)</f>
        <v/>
      </c>
      <c r="Y1190">
        <f>IF([2]Entry!$R$1193="","",[2]Entry!$R$1193)</f>
        <v/>
      </c>
    </row>
    <row r="1191">
      <c r="P1191">
        <f>IF([2]Entry!$C$1194="","",[2]Entry!$C$1194)</f>
        <v/>
      </c>
      <c r="Q1191">
        <f>IF([2]Entry!$D$1194="","",[2]Entry!$D$1194)</f>
        <v/>
      </c>
      <c r="R1191">
        <f>IF([2]Entry!$E$1194="","",[2]Entry!$E$1194)</f>
        <v/>
      </c>
      <c r="S1191">
        <f>IF([2]Entry!$G$1194="","",[2]Entry!$G$1194)</f>
        <v/>
      </c>
      <c r="T1191">
        <f>IF([2]Entry!$J$1194="","",[2]Entry!$J$1194)</f>
        <v/>
      </c>
      <c r="U1191">
        <f>IF([2]Entry!$K$1194="","",[2]Entry!$K$1194)</f>
        <v/>
      </c>
      <c r="V1191">
        <f>IF([2]Entry!$L$1194="","",[2]Entry!$L$1194)</f>
        <v/>
      </c>
      <c r="W1191">
        <f>IF([2]Entry!$M$1194="","",[2]Entry!$M$1194)</f>
        <v/>
      </c>
      <c r="X1191">
        <f>IF([2]Entry!$N$1194="","",[2]Entry!$N$1194)</f>
        <v/>
      </c>
      <c r="Y1191">
        <f>IF([2]Entry!$R$1194="","",[2]Entry!$R$1194)</f>
        <v/>
      </c>
    </row>
    <row r="1192">
      <c r="P1192">
        <f>IF([2]Entry!$C$1195="","",[2]Entry!$C$1195)</f>
        <v/>
      </c>
      <c r="Q1192">
        <f>IF([2]Entry!$D$1195="","",[2]Entry!$D$1195)</f>
        <v/>
      </c>
      <c r="R1192">
        <f>IF([2]Entry!$E$1195="","",[2]Entry!$E$1195)</f>
        <v/>
      </c>
      <c r="S1192">
        <f>IF([2]Entry!$G$1195="","",[2]Entry!$G$1195)</f>
        <v/>
      </c>
      <c r="T1192">
        <f>IF([2]Entry!$J$1195="","",[2]Entry!$J$1195)</f>
        <v/>
      </c>
      <c r="U1192">
        <f>IF([2]Entry!$K$1195="","",[2]Entry!$K$1195)</f>
        <v/>
      </c>
      <c r="V1192">
        <f>IF([2]Entry!$L$1195="","",[2]Entry!$L$1195)</f>
        <v/>
      </c>
      <c r="W1192">
        <f>IF([2]Entry!$M$1195="","",[2]Entry!$M$1195)</f>
        <v/>
      </c>
      <c r="X1192">
        <f>IF([2]Entry!$N$1195="","",[2]Entry!$N$1195)</f>
        <v/>
      </c>
      <c r="Y1192">
        <f>IF([2]Entry!$R$1195="","",[2]Entry!$R$1195)</f>
        <v/>
      </c>
    </row>
    <row r="1193">
      <c r="P1193">
        <f>IF([2]Entry!$C$1196="","",[2]Entry!$C$1196)</f>
        <v/>
      </c>
      <c r="Q1193">
        <f>IF([2]Entry!$D$1196="","",[2]Entry!$D$1196)</f>
        <v/>
      </c>
      <c r="R1193">
        <f>IF([2]Entry!$E$1196="","",[2]Entry!$E$1196)</f>
        <v/>
      </c>
      <c r="S1193">
        <f>IF([2]Entry!$G$1196="","",[2]Entry!$G$1196)</f>
        <v/>
      </c>
      <c r="T1193">
        <f>IF([2]Entry!$J$1196="","",[2]Entry!$J$1196)</f>
        <v/>
      </c>
      <c r="U1193">
        <f>IF([2]Entry!$K$1196="","",[2]Entry!$K$1196)</f>
        <v/>
      </c>
      <c r="V1193">
        <f>IF([2]Entry!$L$1196="","",[2]Entry!$L$1196)</f>
        <v/>
      </c>
      <c r="W1193">
        <f>IF([2]Entry!$M$1196="","",[2]Entry!$M$1196)</f>
        <v/>
      </c>
      <c r="X1193">
        <f>IF([2]Entry!$N$1196="","",[2]Entry!$N$1196)</f>
        <v/>
      </c>
      <c r="Y1193">
        <f>IF([2]Entry!$R$1196="","",[2]Entry!$R$1196)</f>
        <v/>
      </c>
    </row>
    <row r="1194">
      <c r="P1194">
        <f>IF([2]Entry!$C$1197="","",[2]Entry!$C$1197)</f>
        <v/>
      </c>
      <c r="Q1194">
        <f>IF([2]Entry!$D$1197="","",[2]Entry!$D$1197)</f>
        <v/>
      </c>
      <c r="R1194">
        <f>IF([2]Entry!$E$1197="","",[2]Entry!$E$1197)</f>
        <v/>
      </c>
      <c r="S1194">
        <f>IF([2]Entry!$G$1197="","",[2]Entry!$G$1197)</f>
        <v/>
      </c>
      <c r="T1194">
        <f>IF([2]Entry!$J$1197="","",[2]Entry!$J$1197)</f>
        <v/>
      </c>
      <c r="U1194">
        <f>IF([2]Entry!$K$1197="","",[2]Entry!$K$1197)</f>
        <v/>
      </c>
      <c r="V1194">
        <f>IF([2]Entry!$L$1197="","",[2]Entry!$L$1197)</f>
        <v/>
      </c>
      <c r="W1194">
        <f>IF([2]Entry!$M$1197="","",[2]Entry!$M$1197)</f>
        <v/>
      </c>
      <c r="X1194">
        <f>IF([2]Entry!$N$1197="","",[2]Entry!$N$1197)</f>
        <v/>
      </c>
      <c r="Y1194">
        <f>IF([2]Entry!$R$1197="","",[2]Entry!$R$1197)</f>
        <v/>
      </c>
    </row>
    <row r="1195">
      <c r="P1195">
        <f>IF([2]Entry!$C$1198="","",[2]Entry!$C$1198)</f>
        <v/>
      </c>
      <c r="Q1195">
        <f>IF([2]Entry!$D$1198="","",[2]Entry!$D$1198)</f>
        <v/>
      </c>
      <c r="R1195">
        <f>IF([2]Entry!$E$1198="","",[2]Entry!$E$1198)</f>
        <v/>
      </c>
      <c r="S1195">
        <f>IF([2]Entry!$G$1198="","",[2]Entry!$G$1198)</f>
        <v/>
      </c>
      <c r="T1195">
        <f>IF([2]Entry!$J$1198="","",[2]Entry!$J$1198)</f>
        <v/>
      </c>
      <c r="U1195">
        <f>IF([2]Entry!$K$1198="","",[2]Entry!$K$1198)</f>
        <v/>
      </c>
      <c r="V1195">
        <f>IF([2]Entry!$L$1198="","",[2]Entry!$L$1198)</f>
        <v/>
      </c>
      <c r="W1195">
        <f>IF([2]Entry!$M$1198="","",[2]Entry!$M$1198)</f>
        <v/>
      </c>
      <c r="X1195">
        <f>IF([2]Entry!$N$1198="","",[2]Entry!$N$1198)</f>
        <v/>
      </c>
      <c r="Y1195">
        <f>IF([2]Entry!$R$1198="","",[2]Entry!$R$1198)</f>
        <v/>
      </c>
    </row>
    <row r="1196">
      <c r="P1196">
        <f>IF([2]Entry!$C$1199="","",[2]Entry!$C$1199)</f>
        <v/>
      </c>
      <c r="Q1196">
        <f>IF([2]Entry!$D$1199="","",[2]Entry!$D$1199)</f>
        <v/>
      </c>
      <c r="R1196">
        <f>IF([2]Entry!$E$1199="","",[2]Entry!$E$1199)</f>
        <v/>
      </c>
      <c r="S1196">
        <f>IF([2]Entry!$G$1199="","",[2]Entry!$G$1199)</f>
        <v/>
      </c>
      <c r="T1196">
        <f>IF([2]Entry!$J$1199="","",[2]Entry!$J$1199)</f>
        <v/>
      </c>
      <c r="U1196">
        <f>IF([2]Entry!$K$1199="","",[2]Entry!$K$1199)</f>
        <v/>
      </c>
      <c r="V1196">
        <f>IF([2]Entry!$L$1199="","",[2]Entry!$L$1199)</f>
        <v/>
      </c>
      <c r="W1196">
        <f>IF([2]Entry!$M$1199="","",[2]Entry!$M$1199)</f>
        <v/>
      </c>
      <c r="X1196">
        <f>IF([2]Entry!$N$1199="","",[2]Entry!$N$1199)</f>
        <v/>
      </c>
      <c r="Y1196">
        <f>IF([2]Entry!$R$1199="","",[2]Entry!$R$1199)</f>
        <v/>
      </c>
    </row>
    <row r="1197">
      <c r="P1197">
        <f>IF([2]Entry!$C$1200="","",[2]Entry!$C$1200)</f>
        <v/>
      </c>
      <c r="Q1197">
        <f>IF([2]Entry!$D$1200="","",[2]Entry!$D$1200)</f>
        <v/>
      </c>
      <c r="R1197">
        <f>IF([2]Entry!$E$1200="","",[2]Entry!$E$1200)</f>
        <v/>
      </c>
      <c r="S1197">
        <f>IF([2]Entry!$G$1200="","",[2]Entry!$G$1200)</f>
        <v/>
      </c>
      <c r="T1197">
        <f>IF([2]Entry!$J$1200="","",[2]Entry!$J$1200)</f>
        <v/>
      </c>
      <c r="U1197">
        <f>IF([2]Entry!$K$1200="","",[2]Entry!$K$1200)</f>
        <v/>
      </c>
      <c r="V1197">
        <f>IF([2]Entry!$L$1200="","",[2]Entry!$L$1200)</f>
        <v/>
      </c>
      <c r="W1197">
        <f>IF([2]Entry!$M$1200="","",[2]Entry!$M$1200)</f>
        <v/>
      </c>
      <c r="X1197">
        <f>IF([2]Entry!$N$1200="","",[2]Entry!$N$1200)</f>
        <v/>
      </c>
      <c r="Y1197">
        <f>IF([2]Entry!$R$1200="","",[2]Entry!$R$1200)</f>
        <v/>
      </c>
    </row>
    <row r="1198">
      <c r="P1198">
        <f>IF([2]Entry!$C$1201="","",[2]Entry!$C$1201)</f>
        <v/>
      </c>
      <c r="Q1198">
        <f>IF([2]Entry!$D$1201="","",[2]Entry!$D$1201)</f>
        <v/>
      </c>
      <c r="R1198">
        <f>IF([2]Entry!$E$1201="","",[2]Entry!$E$1201)</f>
        <v/>
      </c>
      <c r="S1198">
        <f>IF([2]Entry!$G$1201="","",[2]Entry!$G$1201)</f>
        <v/>
      </c>
      <c r="T1198">
        <f>IF([2]Entry!$J$1201="","",[2]Entry!$J$1201)</f>
        <v/>
      </c>
      <c r="U1198">
        <f>IF([2]Entry!$K$1201="","",[2]Entry!$K$1201)</f>
        <v/>
      </c>
      <c r="V1198">
        <f>IF([2]Entry!$L$1201="","",[2]Entry!$L$1201)</f>
        <v/>
      </c>
      <c r="W1198">
        <f>IF([2]Entry!$M$1201="","",[2]Entry!$M$1201)</f>
        <v/>
      </c>
      <c r="X1198">
        <f>IF([2]Entry!$N$1201="","",[2]Entry!$N$1201)</f>
        <v/>
      </c>
      <c r="Y1198">
        <f>IF([2]Entry!$R$1201="","",[2]Entry!$R$1201)</f>
        <v/>
      </c>
    </row>
    <row r="1199">
      <c r="P1199">
        <f>IF([2]Entry!$C$1202="","",[2]Entry!$C$1202)</f>
        <v/>
      </c>
      <c r="Q1199">
        <f>IF([2]Entry!$D$1202="","",[2]Entry!$D$1202)</f>
        <v/>
      </c>
      <c r="R1199">
        <f>IF([2]Entry!$E$1202="","",[2]Entry!$E$1202)</f>
        <v/>
      </c>
      <c r="S1199">
        <f>IF([2]Entry!$G$1202="","",[2]Entry!$G$1202)</f>
        <v/>
      </c>
      <c r="T1199">
        <f>IF([2]Entry!$J$1202="","",[2]Entry!$J$1202)</f>
        <v/>
      </c>
      <c r="U1199">
        <f>IF([2]Entry!$K$1202="","",[2]Entry!$K$1202)</f>
        <v/>
      </c>
      <c r="V1199">
        <f>IF([2]Entry!$L$1202="","",[2]Entry!$L$1202)</f>
        <v/>
      </c>
      <c r="W1199">
        <f>IF([2]Entry!$M$1202="","",[2]Entry!$M$1202)</f>
        <v/>
      </c>
      <c r="X1199">
        <f>IF([2]Entry!$N$1202="","",[2]Entry!$N$1202)</f>
        <v/>
      </c>
      <c r="Y1199">
        <f>IF([2]Entry!$R$1202="","",[2]Entry!$R$1202)</f>
        <v/>
      </c>
    </row>
    <row r="1200">
      <c r="P1200">
        <f>IF([2]Entry!$C$1203="","",[2]Entry!$C$1203)</f>
        <v/>
      </c>
      <c r="Q1200">
        <f>IF([2]Entry!$D$1203="","",[2]Entry!$D$1203)</f>
        <v/>
      </c>
      <c r="R1200">
        <f>IF([2]Entry!$E$1203="","",[2]Entry!$E$1203)</f>
        <v/>
      </c>
      <c r="S1200">
        <f>IF([2]Entry!$G$1203="","",[2]Entry!$G$1203)</f>
        <v/>
      </c>
      <c r="T1200">
        <f>IF([2]Entry!$J$1203="","",[2]Entry!$J$1203)</f>
        <v/>
      </c>
      <c r="U1200">
        <f>IF([2]Entry!$K$1203="","",[2]Entry!$K$1203)</f>
        <v/>
      </c>
      <c r="V1200">
        <f>IF([2]Entry!$L$1203="","",[2]Entry!$L$1203)</f>
        <v/>
      </c>
      <c r="W1200">
        <f>IF([2]Entry!$M$1203="","",[2]Entry!$M$1203)</f>
        <v/>
      </c>
      <c r="X1200">
        <f>IF([2]Entry!$N$1203="","",[2]Entry!$N$1203)</f>
        <v/>
      </c>
      <c r="Y1200">
        <f>IF([2]Entry!$R$1203="","",[2]Entry!$R$1203)</f>
        <v/>
      </c>
    </row>
    <row r="1201">
      <c r="P1201">
        <f>IF([2]Entry!$C$1204="","",[2]Entry!$C$1204)</f>
        <v/>
      </c>
      <c r="Q1201">
        <f>IF([2]Entry!$D$1204="","",[2]Entry!$D$1204)</f>
        <v/>
      </c>
      <c r="R1201">
        <f>IF([2]Entry!$E$1204="","",[2]Entry!$E$1204)</f>
        <v/>
      </c>
      <c r="S1201">
        <f>IF([2]Entry!$G$1204="","",[2]Entry!$G$1204)</f>
        <v/>
      </c>
      <c r="T1201">
        <f>IF([2]Entry!$J$1204="","",[2]Entry!$J$1204)</f>
        <v/>
      </c>
      <c r="U1201">
        <f>IF([2]Entry!$K$1204="","",[2]Entry!$K$1204)</f>
        <v/>
      </c>
      <c r="V1201">
        <f>IF([2]Entry!$L$1204="","",[2]Entry!$L$1204)</f>
        <v/>
      </c>
      <c r="W1201">
        <f>IF([2]Entry!$M$1204="","",[2]Entry!$M$1204)</f>
        <v/>
      </c>
      <c r="X1201">
        <f>IF([2]Entry!$N$1204="","",[2]Entry!$N$1204)</f>
        <v/>
      </c>
      <c r="Y1201">
        <f>IF([2]Entry!$R$1204="","",[2]Entry!$R$1204)</f>
        <v/>
      </c>
    </row>
    <row r="1202">
      <c r="P1202">
        <f>IF([2]Entry!$C$1205="","",[2]Entry!$C$1205)</f>
        <v/>
      </c>
      <c r="Q1202">
        <f>IF([2]Entry!$D$1205="","",[2]Entry!$D$1205)</f>
        <v/>
      </c>
      <c r="R1202">
        <f>IF([2]Entry!$E$1205="","",[2]Entry!$E$1205)</f>
        <v/>
      </c>
      <c r="S1202">
        <f>IF([2]Entry!$G$1205="","",[2]Entry!$G$1205)</f>
        <v/>
      </c>
      <c r="T1202">
        <f>IF([2]Entry!$J$1205="","",[2]Entry!$J$1205)</f>
        <v/>
      </c>
      <c r="U1202">
        <f>IF([2]Entry!$K$1205="","",[2]Entry!$K$1205)</f>
        <v/>
      </c>
      <c r="V1202">
        <f>IF([2]Entry!$L$1205="","",[2]Entry!$L$1205)</f>
        <v/>
      </c>
      <c r="W1202">
        <f>IF([2]Entry!$M$1205="","",[2]Entry!$M$1205)</f>
        <v/>
      </c>
      <c r="X1202">
        <f>IF([2]Entry!$N$1205="","",[2]Entry!$N$1205)</f>
        <v/>
      </c>
      <c r="Y1202">
        <f>IF([2]Entry!$R$1205="","",[2]Entry!$R$1205)</f>
        <v/>
      </c>
    </row>
    <row r="1203">
      <c r="P1203">
        <f>IF([2]Entry!$C$1206="","",[2]Entry!$C$1206)</f>
        <v/>
      </c>
      <c r="Q1203">
        <f>IF([2]Entry!$D$1206="","",[2]Entry!$D$1206)</f>
        <v/>
      </c>
      <c r="R1203">
        <f>IF([2]Entry!$E$1206="","",[2]Entry!$E$1206)</f>
        <v/>
      </c>
      <c r="S1203">
        <f>IF([2]Entry!$G$1206="","",[2]Entry!$G$1206)</f>
        <v/>
      </c>
      <c r="T1203">
        <f>IF([2]Entry!$J$1206="","",[2]Entry!$J$1206)</f>
        <v/>
      </c>
      <c r="U1203">
        <f>IF([2]Entry!$K$1206="","",[2]Entry!$K$1206)</f>
        <v/>
      </c>
      <c r="V1203">
        <f>IF([2]Entry!$L$1206="","",[2]Entry!$L$1206)</f>
        <v/>
      </c>
      <c r="W1203">
        <f>IF([2]Entry!$M$1206="","",[2]Entry!$M$1206)</f>
        <v/>
      </c>
      <c r="X1203">
        <f>IF([2]Entry!$N$1206="","",[2]Entry!$N$1206)</f>
        <v/>
      </c>
      <c r="Y1203">
        <f>IF([2]Entry!$R$1206="","",[2]Entry!$R$1206)</f>
        <v/>
      </c>
    </row>
    <row r="1204">
      <c r="P1204">
        <f>IF([2]Entry!$C$1207="","",[2]Entry!$C$1207)</f>
        <v/>
      </c>
      <c r="Q1204">
        <f>IF([2]Entry!$D$1207="","",[2]Entry!$D$1207)</f>
        <v/>
      </c>
      <c r="R1204">
        <f>IF([2]Entry!$E$1207="","",[2]Entry!$E$1207)</f>
        <v/>
      </c>
      <c r="S1204">
        <f>IF([2]Entry!$G$1207="","",[2]Entry!$G$1207)</f>
        <v/>
      </c>
      <c r="T1204">
        <f>IF([2]Entry!$J$1207="","",[2]Entry!$J$1207)</f>
        <v/>
      </c>
      <c r="U1204">
        <f>IF([2]Entry!$K$1207="","",[2]Entry!$K$1207)</f>
        <v/>
      </c>
      <c r="V1204">
        <f>IF([2]Entry!$L$1207="","",[2]Entry!$L$1207)</f>
        <v/>
      </c>
      <c r="W1204">
        <f>IF([2]Entry!$M$1207="","",[2]Entry!$M$1207)</f>
        <v/>
      </c>
      <c r="X1204">
        <f>IF([2]Entry!$N$1207="","",[2]Entry!$N$1207)</f>
        <v/>
      </c>
      <c r="Y1204">
        <f>IF([2]Entry!$R$1207="","",[2]Entry!$R$1207)</f>
        <v/>
      </c>
    </row>
    <row r="1205">
      <c r="P1205">
        <f>IF([2]Entry!$C$1208="","",[2]Entry!$C$1208)</f>
        <v/>
      </c>
      <c r="Q1205">
        <f>IF([2]Entry!$D$1208="","",[2]Entry!$D$1208)</f>
        <v/>
      </c>
      <c r="R1205">
        <f>IF([2]Entry!$E$1208="","",[2]Entry!$E$1208)</f>
        <v/>
      </c>
      <c r="S1205">
        <f>IF([2]Entry!$G$1208="","",[2]Entry!$G$1208)</f>
        <v/>
      </c>
      <c r="T1205">
        <f>IF([2]Entry!$J$1208="","",[2]Entry!$J$1208)</f>
        <v/>
      </c>
      <c r="U1205">
        <f>IF([2]Entry!$K$1208="","",[2]Entry!$K$1208)</f>
        <v/>
      </c>
      <c r="V1205">
        <f>IF([2]Entry!$L$1208="","",[2]Entry!$L$1208)</f>
        <v/>
      </c>
      <c r="W1205">
        <f>IF([2]Entry!$M$1208="","",[2]Entry!$M$1208)</f>
        <v/>
      </c>
      <c r="X1205">
        <f>IF([2]Entry!$N$1208="","",[2]Entry!$N$1208)</f>
        <v/>
      </c>
      <c r="Y1205">
        <f>IF([2]Entry!$R$1208="","",[2]Entry!$R$1208)</f>
        <v/>
      </c>
    </row>
    <row r="1206">
      <c r="P1206">
        <f>IF([2]Entry!$C$1209="","",[2]Entry!$C$1209)</f>
        <v/>
      </c>
      <c r="Q1206">
        <f>IF([2]Entry!$D$1209="","",[2]Entry!$D$1209)</f>
        <v/>
      </c>
      <c r="R1206">
        <f>IF([2]Entry!$E$1209="","",[2]Entry!$E$1209)</f>
        <v/>
      </c>
      <c r="S1206">
        <f>IF([2]Entry!$G$1209="","",[2]Entry!$G$1209)</f>
        <v/>
      </c>
      <c r="T1206">
        <f>IF([2]Entry!$J$1209="","",[2]Entry!$J$1209)</f>
        <v/>
      </c>
      <c r="U1206">
        <f>IF([2]Entry!$K$1209="","",[2]Entry!$K$1209)</f>
        <v/>
      </c>
      <c r="V1206">
        <f>IF([2]Entry!$L$1209="","",[2]Entry!$L$1209)</f>
        <v/>
      </c>
      <c r="W1206">
        <f>IF([2]Entry!$M$1209="","",[2]Entry!$M$1209)</f>
        <v/>
      </c>
      <c r="X1206">
        <f>IF([2]Entry!$N$1209="","",[2]Entry!$N$1209)</f>
        <v/>
      </c>
      <c r="Y1206">
        <f>IF([2]Entry!$R$1209="","",[2]Entry!$R$1209)</f>
        <v/>
      </c>
    </row>
    <row r="1207">
      <c r="P1207">
        <f>IF([2]Entry!$C$1210="","",[2]Entry!$C$1210)</f>
        <v/>
      </c>
      <c r="Q1207">
        <f>IF([2]Entry!$D$1210="","",[2]Entry!$D$1210)</f>
        <v/>
      </c>
      <c r="R1207">
        <f>IF([2]Entry!$E$1210="","",[2]Entry!$E$1210)</f>
        <v/>
      </c>
      <c r="S1207">
        <f>IF([2]Entry!$G$1210="","",[2]Entry!$G$1210)</f>
        <v/>
      </c>
      <c r="T1207">
        <f>IF([2]Entry!$J$1210="","",[2]Entry!$J$1210)</f>
        <v/>
      </c>
      <c r="U1207">
        <f>IF([2]Entry!$K$1210="","",[2]Entry!$K$1210)</f>
        <v/>
      </c>
      <c r="V1207">
        <f>IF([2]Entry!$L$1210="","",[2]Entry!$L$1210)</f>
        <v/>
      </c>
      <c r="W1207">
        <f>IF([2]Entry!$M$1210="","",[2]Entry!$M$1210)</f>
        <v/>
      </c>
      <c r="X1207">
        <f>IF([2]Entry!$N$1210="","",[2]Entry!$N$1210)</f>
        <v/>
      </c>
      <c r="Y1207">
        <f>IF([2]Entry!$R$1210="","",[2]Entry!$R$1210)</f>
        <v/>
      </c>
    </row>
    <row r="1208">
      <c r="P1208">
        <f>IF([2]Entry!$C$1211="","",[2]Entry!$C$1211)</f>
        <v/>
      </c>
      <c r="Q1208">
        <f>IF([2]Entry!$D$1211="","",[2]Entry!$D$1211)</f>
        <v/>
      </c>
      <c r="R1208">
        <f>IF([2]Entry!$E$1211="","",[2]Entry!$E$1211)</f>
        <v/>
      </c>
      <c r="S1208">
        <f>IF([2]Entry!$G$1211="","",[2]Entry!$G$1211)</f>
        <v/>
      </c>
      <c r="T1208">
        <f>IF([2]Entry!$J$1211="","",[2]Entry!$J$1211)</f>
        <v/>
      </c>
      <c r="U1208">
        <f>IF([2]Entry!$K$1211="","",[2]Entry!$K$1211)</f>
        <v/>
      </c>
      <c r="V1208">
        <f>IF([2]Entry!$L$1211="","",[2]Entry!$L$1211)</f>
        <v/>
      </c>
      <c r="W1208">
        <f>IF([2]Entry!$M$1211="","",[2]Entry!$M$1211)</f>
        <v/>
      </c>
      <c r="X1208">
        <f>IF([2]Entry!$N$1211="","",[2]Entry!$N$1211)</f>
        <v/>
      </c>
      <c r="Y1208">
        <f>IF([2]Entry!$R$1211="","",[2]Entry!$R$1211)</f>
        <v/>
      </c>
    </row>
    <row r="1209">
      <c r="P1209">
        <f>IF([2]Entry!$C$1212="","",[2]Entry!$C$1212)</f>
        <v/>
      </c>
      <c r="Q1209">
        <f>IF([2]Entry!$D$1212="","",[2]Entry!$D$1212)</f>
        <v/>
      </c>
      <c r="R1209">
        <f>IF([2]Entry!$E$1212="","",[2]Entry!$E$1212)</f>
        <v/>
      </c>
      <c r="S1209">
        <f>IF([2]Entry!$G$1212="","",[2]Entry!$G$1212)</f>
        <v/>
      </c>
      <c r="T1209">
        <f>IF([2]Entry!$J$1212="","",[2]Entry!$J$1212)</f>
        <v/>
      </c>
      <c r="U1209">
        <f>IF([2]Entry!$K$1212="","",[2]Entry!$K$1212)</f>
        <v/>
      </c>
      <c r="V1209">
        <f>IF([2]Entry!$L$1212="","",[2]Entry!$L$1212)</f>
        <v/>
      </c>
      <c r="W1209">
        <f>IF([2]Entry!$M$1212="","",[2]Entry!$M$1212)</f>
        <v/>
      </c>
      <c r="X1209">
        <f>IF([2]Entry!$N$1212="","",[2]Entry!$N$1212)</f>
        <v/>
      </c>
      <c r="Y1209">
        <f>IF([2]Entry!$R$1212="","",[2]Entry!$R$1212)</f>
        <v/>
      </c>
    </row>
    <row r="1210">
      <c r="P1210">
        <f>IF([2]Entry!$C$1213="","",[2]Entry!$C$1213)</f>
        <v/>
      </c>
      <c r="Q1210">
        <f>IF([2]Entry!$D$1213="","",[2]Entry!$D$1213)</f>
        <v/>
      </c>
      <c r="R1210">
        <f>IF([2]Entry!$E$1213="","",[2]Entry!$E$1213)</f>
        <v/>
      </c>
      <c r="S1210">
        <f>IF([2]Entry!$G$1213="","",[2]Entry!$G$1213)</f>
        <v/>
      </c>
      <c r="T1210">
        <f>IF([2]Entry!$J$1213="","",[2]Entry!$J$1213)</f>
        <v/>
      </c>
      <c r="U1210">
        <f>IF([2]Entry!$K$1213="","",[2]Entry!$K$1213)</f>
        <v/>
      </c>
      <c r="V1210">
        <f>IF([2]Entry!$L$1213="","",[2]Entry!$L$1213)</f>
        <v/>
      </c>
      <c r="W1210">
        <f>IF([2]Entry!$M$1213="","",[2]Entry!$M$1213)</f>
        <v/>
      </c>
      <c r="X1210">
        <f>IF([2]Entry!$N$1213="","",[2]Entry!$N$1213)</f>
        <v/>
      </c>
      <c r="Y1210">
        <f>IF([2]Entry!$R$1213="","",[2]Entry!$R$1213)</f>
        <v/>
      </c>
    </row>
    <row r="1211">
      <c r="P1211">
        <f>IF([2]Entry!$C$1214="","",[2]Entry!$C$1214)</f>
        <v/>
      </c>
      <c r="Q1211">
        <f>IF([2]Entry!$D$1214="","",[2]Entry!$D$1214)</f>
        <v/>
      </c>
      <c r="R1211">
        <f>IF([2]Entry!$E$1214="","",[2]Entry!$E$1214)</f>
        <v/>
      </c>
      <c r="S1211">
        <f>IF([2]Entry!$G$1214="","",[2]Entry!$G$1214)</f>
        <v/>
      </c>
      <c r="T1211">
        <f>IF([2]Entry!$J$1214="","",[2]Entry!$J$1214)</f>
        <v/>
      </c>
      <c r="U1211">
        <f>IF([2]Entry!$K$1214="","",[2]Entry!$K$1214)</f>
        <v/>
      </c>
      <c r="V1211">
        <f>IF([2]Entry!$L$1214="","",[2]Entry!$L$1214)</f>
        <v/>
      </c>
      <c r="W1211">
        <f>IF([2]Entry!$M$1214="","",[2]Entry!$M$1214)</f>
        <v/>
      </c>
      <c r="X1211">
        <f>IF([2]Entry!$N$1214="","",[2]Entry!$N$1214)</f>
        <v/>
      </c>
      <c r="Y1211">
        <f>IF([2]Entry!$R$1214="","",[2]Entry!$R$1214)</f>
        <v/>
      </c>
    </row>
    <row r="1212">
      <c r="P1212">
        <f>IF([2]Entry!$C$1215="","",[2]Entry!$C$1215)</f>
        <v/>
      </c>
      <c r="Q1212">
        <f>IF([2]Entry!$D$1215="","",[2]Entry!$D$1215)</f>
        <v/>
      </c>
      <c r="R1212">
        <f>IF([2]Entry!$E$1215="","",[2]Entry!$E$1215)</f>
        <v/>
      </c>
      <c r="S1212">
        <f>IF([2]Entry!$G$1215="","",[2]Entry!$G$1215)</f>
        <v/>
      </c>
      <c r="T1212">
        <f>IF([2]Entry!$J$1215="","",[2]Entry!$J$1215)</f>
        <v/>
      </c>
      <c r="U1212">
        <f>IF([2]Entry!$K$1215="","",[2]Entry!$K$1215)</f>
        <v/>
      </c>
      <c r="V1212">
        <f>IF([2]Entry!$L$1215="","",[2]Entry!$L$1215)</f>
        <v/>
      </c>
      <c r="W1212">
        <f>IF([2]Entry!$M$1215="","",[2]Entry!$M$1215)</f>
        <v/>
      </c>
      <c r="X1212">
        <f>IF([2]Entry!$N$1215="","",[2]Entry!$N$1215)</f>
        <v/>
      </c>
      <c r="Y1212">
        <f>IF([2]Entry!$R$1215="","",[2]Entry!$R$1215)</f>
        <v/>
      </c>
    </row>
    <row r="1213">
      <c r="P1213">
        <f>IF([2]Entry!$C$1216="","",[2]Entry!$C$1216)</f>
        <v/>
      </c>
      <c r="Q1213">
        <f>IF([2]Entry!$D$1216="","",[2]Entry!$D$1216)</f>
        <v/>
      </c>
      <c r="R1213">
        <f>IF([2]Entry!$E$1216="","",[2]Entry!$E$1216)</f>
        <v/>
      </c>
      <c r="S1213">
        <f>IF([2]Entry!$G$1216="","",[2]Entry!$G$1216)</f>
        <v/>
      </c>
      <c r="T1213">
        <f>IF([2]Entry!$J$1216="","",[2]Entry!$J$1216)</f>
        <v/>
      </c>
      <c r="U1213">
        <f>IF([2]Entry!$K$1216="","",[2]Entry!$K$1216)</f>
        <v/>
      </c>
      <c r="V1213">
        <f>IF([2]Entry!$L$1216="","",[2]Entry!$L$1216)</f>
        <v/>
      </c>
      <c r="W1213">
        <f>IF([2]Entry!$M$1216="","",[2]Entry!$M$1216)</f>
        <v/>
      </c>
      <c r="X1213">
        <f>IF([2]Entry!$N$1216="","",[2]Entry!$N$1216)</f>
        <v/>
      </c>
      <c r="Y1213">
        <f>IF([2]Entry!$R$1216="","",[2]Entry!$R$1216)</f>
        <v/>
      </c>
    </row>
    <row r="1214">
      <c r="P1214">
        <f>IF([2]Entry!$C$1217="","",[2]Entry!$C$1217)</f>
        <v/>
      </c>
      <c r="Q1214">
        <f>IF([2]Entry!$D$1217="","",[2]Entry!$D$1217)</f>
        <v/>
      </c>
      <c r="R1214">
        <f>IF([2]Entry!$E$1217="","",[2]Entry!$E$1217)</f>
        <v/>
      </c>
      <c r="S1214">
        <f>IF([2]Entry!$G$1217="","",[2]Entry!$G$1217)</f>
        <v/>
      </c>
      <c r="T1214">
        <f>IF([2]Entry!$J$1217="","",[2]Entry!$J$1217)</f>
        <v/>
      </c>
      <c r="U1214">
        <f>IF([2]Entry!$K$1217="","",[2]Entry!$K$1217)</f>
        <v/>
      </c>
      <c r="V1214">
        <f>IF([2]Entry!$L$1217="","",[2]Entry!$L$1217)</f>
        <v/>
      </c>
      <c r="W1214">
        <f>IF([2]Entry!$M$1217="","",[2]Entry!$M$1217)</f>
        <v/>
      </c>
      <c r="X1214">
        <f>IF([2]Entry!$N$1217="","",[2]Entry!$N$1217)</f>
        <v/>
      </c>
      <c r="Y1214">
        <f>IF([2]Entry!$R$1217="","",[2]Entry!$R$1217)</f>
        <v/>
      </c>
    </row>
    <row r="1215">
      <c r="P1215">
        <f>IF([2]Entry!$C$1218="","",[2]Entry!$C$1218)</f>
        <v/>
      </c>
      <c r="Q1215">
        <f>IF([2]Entry!$D$1218="","",[2]Entry!$D$1218)</f>
        <v/>
      </c>
      <c r="R1215">
        <f>IF([2]Entry!$E$1218="","",[2]Entry!$E$1218)</f>
        <v/>
      </c>
      <c r="S1215">
        <f>IF([2]Entry!$G$1218="","",[2]Entry!$G$1218)</f>
        <v/>
      </c>
      <c r="T1215">
        <f>IF([2]Entry!$J$1218="","",[2]Entry!$J$1218)</f>
        <v/>
      </c>
      <c r="U1215">
        <f>IF([2]Entry!$K$1218="","",[2]Entry!$K$1218)</f>
        <v/>
      </c>
      <c r="V1215">
        <f>IF([2]Entry!$L$1218="","",[2]Entry!$L$1218)</f>
        <v/>
      </c>
      <c r="W1215">
        <f>IF([2]Entry!$M$1218="","",[2]Entry!$M$1218)</f>
        <v/>
      </c>
      <c r="X1215">
        <f>IF([2]Entry!$N$1218="","",[2]Entry!$N$1218)</f>
        <v/>
      </c>
      <c r="Y1215">
        <f>IF([2]Entry!$R$1218="","",[2]Entry!$R$1218)</f>
        <v/>
      </c>
    </row>
    <row r="1216">
      <c r="P1216">
        <f>IF([2]Entry!$C$1219="","",[2]Entry!$C$1219)</f>
        <v/>
      </c>
      <c r="Q1216">
        <f>IF([2]Entry!$D$1219="","",[2]Entry!$D$1219)</f>
        <v/>
      </c>
      <c r="R1216">
        <f>IF([2]Entry!$E$1219="","",[2]Entry!$E$1219)</f>
        <v/>
      </c>
      <c r="S1216">
        <f>IF([2]Entry!$G$1219="","",[2]Entry!$G$1219)</f>
        <v/>
      </c>
      <c r="T1216">
        <f>IF([2]Entry!$J$1219="","",[2]Entry!$J$1219)</f>
        <v/>
      </c>
      <c r="U1216">
        <f>IF([2]Entry!$K$1219="","",[2]Entry!$K$1219)</f>
        <v/>
      </c>
      <c r="V1216">
        <f>IF([2]Entry!$L$1219="","",[2]Entry!$L$1219)</f>
        <v/>
      </c>
      <c r="W1216">
        <f>IF([2]Entry!$M$1219="","",[2]Entry!$M$1219)</f>
        <v/>
      </c>
      <c r="X1216">
        <f>IF([2]Entry!$N$1219="","",[2]Entry!$N$1219)</f>
        <v/>
      </c>
      <c r="Y1216">
        <f>IF([2]Entry!$R$1219="","",[2]Entry!$R$1219)</f>
        <v/>
      </c>
    </row>
    <row r="1217">
      <c r="P1217">
        <f>IF([2]Entry!$C$1220="","",[2]Entry!$C$1220)</f>
        <v/>
      </c>
      <c r="Q1217">
        <f>IF([2]Entry!$D$1220="","",[2]Entry!$D$1220)</f>
        <v/>
      </c>
      <c r="R1217">
        <f>IF([2]Entry!$E$1220="","",[2]Entry!$E$1220)</f>
        <v/>
      </c>
      <c r="S1217">
        <f>IF([2]Entry!$G$1220="","",[2]Entry!$G$1220)</f>
        <v/>
      </c>
      <c r="T1217">
        <f>IF([2]Entry!$J$1220="","",[2]Entry!$J$1220)</f>
        <v/>
      </c>
      <c r="U1217">
        <f>IF([2]Entry!$K$1220="","",[2]Entry!$K$1220)</f>
        <v/>
      </c>
      <c r="V1217">
        <f>IF([2]Entry!$L$1220="","",[2]Entry!$L$1220)</f>
        <v/>
      </c>
      <c r="W1217">
        <f>IF([2]Entry!$M$1220="","",[2]Entry!$M$1220)</f>
        <v/>
      </c>
      <c r="X1217">
        <f>IF([2]Entry!$N$1220="","",[2]Entry!$N$1220)</f>
        <v/>
      </c>
      <c r="Y1217">
        <f>IF([2]Entry!$R$1220="","",[2]Entry!$R$1220)</f>
        <v/>
      </c>
    </row>
    <row r="1218">
      <c r="P1218">
        <f>IF([2]Entry!$C$1221="","",[2]Entry!$C$1221)</f>
        <v/>
      </c>
      <c r="Q1218">
        <f>IF([2]Entry!$D$1221="","",[2]Entry!$D$1221)</f>
        <v/>
      </c>
      <c r="R1218">
        <f>IF([2]Entry!$E$1221="","",[2]Entry!$E$1221)</f>
        <v/>
      </c>
      <c r="S1218">
        <f>IF([2]Entry!$G$1221="","",[2]Entry!$G$1221)</f>
        <v/>
      </c>
      <c r="T1218">
        <f>IF([2]Entry!$J$1221="","",[2]Entry!$J$1221)</f>
        <v/>
      </c>
      <c r="U1218">
        <f>IF([2]Entry!$K$1221="","",[2]Entry!$K$1221)</f>
        <v/>
      </c>
      <c r="V1218">
        <f>IF([2]Entry!$L$1221="","",[2]Entry!$L$1221)</f>
        <v/>
      </c>
      <c r="W1218">
        <f>IF([2]Entry!$M$1221="","",[2]Entry!$M$1221)</f>
        <v/>
      </c>
      <c r="X1218">
        <f>IF([2]Entry!$N$1221="","",[2]Entry!$N$1221)</f>
        <v/>
      </c>
      <c r="Y1218">
        <f>IF([2]Entry!$R$1221="","",[2]Entry!$R$1221)</f>
        <v/>
      </c>
    </row>
    <row r="1219">
      <c r="P1219">
        <f>IF([2]Entry!$C$1222="","",[2]Entry!$C$1222)</f>
        <v/>
      </c>
      <c r="Q1219">
        <f>IF([2]Entry!$D$1222="","",[2]Entry!$D$1222)</f>
        <v/>
      </c>
      <c r="R1219">
        <f>IF([2]Entry!$E$1222="","",[2]Entry!$E$1222)</f>
        <v/>
      </c>
      <c r="S1219">
        <f>IF([2]Entry!$G$1222="","",[2]Entry!$G$1222)</f>
        <v/>
      </c>
      <c r="T1219">
        <f>IF([2]Entry!$J$1222="","",[2]Entry!$J$1222)</f>
        <v/>
      </c>
      <c r="U1219">
        <f>IF([2]Entry!$K$1222="","",[2]Entry!$K$1222)</f>
        <v/>
      </c>
      <c r="V1219">
        <f>IF([2]Entry!$L$1222="","",[2]Entry!$L$1222)</f>
        <v/>
      </c>
      <c r="W1219">
        <f>IF([2]Entry!$M$1222="","",[2]Entry!$M$1222)</f>
        <v/>
      </c>
      <c r="X1219">
        <f>IF([2]Entry!$N$1222="","",[2]Entry!$N$1222)</f>
        <v/>
      </c>
      <c r="Y1219">
        <f>IF([2]Entry!$R$1222="","",[2]Entry!$R$1222)</f>
        <v/>
      </c>
    </row>
    <row r="1220">
      <c r="P1220">
        <f>IF([2]Entry!$C$1223="","",[2]Entry!$C$1223)</f>
        <v/>
      </c>
      <c r="Q1220">
        <f>IF([2]Entry!$D$1223="","",[2]Entry!$D$1223)</f>
        <v/>
      </c>
      <c r="R1220">
        <f>IF([2]Entry!$E$1223="","",[2]Entry!$E$1223)</f>
        <v/>
      </c>
      <c r="S1220">
        <f>IF([2]Entry!$G$1223="","",[2]Entry!$G$1223)</f>
        <v/>
      </c>
      <c r="T1220">
        <f>IF([2]Entry!$J$1223="","",[2]Entry!$J$1223)</f>
        <v/>
      </c>
      <c r="U1220">
        <f>IF([2]Entry!$K$1223="","",[2]Entry!$K$1223)</f>
        <v/>
      </c>
      <c r="V1220">
        <f>IF([2]Entry!$L$1223="","",[2]Entry!$L$1223)</f>
        <v/>
      </c>
      <c r="W1220">
        <f>IF([2]Entry!$M$1223="","",[2]Entry!$M$1223)</f>
        <v/>
      </c>
      <c r="X1220">
        <f>IF([2]Entry!$N$1223="","",[2]Entry!$N$1223)</f>
        <v/>
      </c>
      <c r="Y1220">
        <f>IF([2]Entry!$R$1223="","",[2]Entry!$R$1223)</f>
        <v/>
      </c>
    </row>
    <row r="1221">
      <c r="P1221">
        <f>IF([2]Entry!$C$1224="","",[2]Entry!$C$1224)</f>
        <v/>
      </c>
      <c r="Q1221">
        <f>IF([2]Entry!$D$1224="","",[2]Entry!$D$1224)</f>
        <v/>
      </c>
      <c r="R1221">
        <f>IF([2]Entry!$E$1224="","",[2]Entry!$E$1224)</f>
        <v/>
      </c>
      <c r="S1221">
        <f>IF([2]Entry!$G$1224="","",[2]Entry!$G$1224)</f>
        <v/>
      </c>
      <c r="T1221">
        <f>IF([2]Entry!$J$1224="","",[2]Entry!$J$1224)</f>
        <v/>
      </c>
      <c r="U1221">
        <f>IF([2]Entry!$K$1224="","",[2]Entry!$K$1224)</f>
        <v/>
      </c>
      <c r="V1221">
        <f>IF([2]Entry!$L$1224="","",[2]Entry!$L$1224)</f>
        <v/>
      </c>
      <c r="W1221">
        <f>IF([2]Entry!$M$1224="","",[2]Entry!$M$1224)</f>
        <v/>
      </c>
      <c r="X1221">
        <f>IF([2]Entry!$N$1224="","",[2]Entry!$N$1224)</f>
        <v/>
      </c>
      <c r="Y1221">
        <f>IF([2]Entry!$R$1224="","",[2]Entry!$R$1224)</f>
        <v/>
      </c>
    </row>
    <row r="1222">
      <c r="P1222">
        <f>IF([2]Entry!$C$1225="","",[2]Entry!$C$1225)</f>
        <v/>
      </c>
      <c r="Q1222">
        <f>IF([2]Entry!$D$1225="","",[2]Entry!$D$1225)</f>
        <v/>
      </c>
      <c r="R1222">
        <f>IF([2]Entry!$E$1225="","",[2]Entry!$E$1225)</f>
        <v/>
      </c>
      <c r="S1222">
        <f>IF([2]Entry!$G$1225="","",[2]Entry!$G$1225)</f>
        <v/>
      </c>
      <c r="T1222">
        <f>IF([2]Entry!$J$1225="","",[2]Entry!$J$1225)</f>
        <v/>
      </c>
      <c r="U1222">
        <f>IF([2]Entry!$K$1225="","",[2]Entry!$K$1225)</f>
        <v/>
      </c>
      <c r="V1222">
        <f>IF([2]Entry!$L$1225="","",[2]Entry!$L$1225)</f>
        <v/>
      </c>
      <c r="W1222">
        <f>IF([2]Entry!$M$1225="","",[2]Entry!$M$1225)</f>
        <v/>
      </c>
      <c r="X1222">
        <f>IF([2]Entry!$N$1225="","",[2]Entry!$N$1225)</f>
        <v/>
      </c>
      <c r="Y1222">
        <f>IF([2]Entry!$R$1225="","",[2]Entry!$R$1225)</f>
        <v/>
      </c>
    </row>
    <row r="1223">
      <c r="P1223">
        <f>IF([2]Entry!$C$1226="","",[2]Entry!$C$1226)</f>
        <v/>
      </c>
      <c r="Q1223">
        <f>IF([2]Entry!$D$1226="","",[2]Entry!$D$1226)</f>
        <v/>
      </c>
      <c r="R1223">
        <f>IF([2]Entry!$E$1226="","",[2]Entry!$E$1226)</f>
        <v/>
      </c>
      <c r="S1223">
        <f>IF([2]Entry!$G$1226="","",[2]Entry!$G$1226)</f>
        <v/>
      </c>
      <c r="T1223">
        <f>IF([2]Entry!$J$1226="","",[2]Entry!$J$1226)</f>
        <v/>
      </c>
      <c r="U1223">
        <f>IF([2]Entry!$K$1226="","",[2]Entry!$K$1226)</f>
        <v/>
      </c>
      <c r="V1223">
        <f>IF([2]Entry!$L$1226="","",[2]Entry!$L$1226)</f>
        <v/>
      </c>
      <c r="W1223">
        <f>IF([2]Entry!$M$1226="","",[2]Entry!$M$1226)</f>
        <v/>
      </c>
      <c r="X1223">
        <f>IF([2]Entry!$N$1226="","",[2]Entry!$N$1226)</f>
        <v/>
      </c>
      <c r="Y1223">
        <f>IF([2]Entry!$R$1226="","",[2]Entry!$R$1226)</f>
        <v/>
      </c>
    </row>
    <row r="1224">
      <c r="P1224">
        <f>IF([2]Entry!$C$1227="","",[2]Entry!$C$1227)</f>
        <v/>
      </c>
      <c r="Q1224">
        <f>IF([2]Entry!$D$1227="","",[2]Entry!$D$1227)</f>
        <v/>
      </c>
      <c r="R1224">
        <f>IF([2]Entry!$E$1227="","",[2]Entry!$E$1227)</f>
        <v/>
      </c>
      <c r="S1224">
        <f>IF([2]Entry!$G$1227="","",[2]Entry!$G$1227)</f>
        <v/>
      </c>
      <c r="T1224">
        <f>IF([2]Entry!$J$1227="","",[2]Entry!$J$1227)</f>
        <v/>
      </c>
      <c r="U1224">
        <f>IF([2]Entry!$K$1227="","",[2]Entry!$K$1227)</f>
        <v/>
      </c>
      <c r="V1224">
        <f>IF([2]Entry!$L$1227="","",[2]Entry!$L$1227)</f>
        <v/>
      </c>
      <c r="W1224">
        <f>IF([2]Entry!$M$1227="","",[2]Entry!$M$1227)</f>
        <v/>
      </c>
      <c r="X1224">
        <f>IF([2]Entry!$N$1227="","",[2]Entry!$N$1227)</f>
        <v/>
      </c>
      <c r="Y1224">
        <f>IF([2]Entry!$R$1227="","",[2]Entry!$R$1227)</f>
        <v/>
      </c>
    </row>
    <row r="1225">
      <c r="P1225">
        <f>IF([2]Entry!$C$1228="","",[2]Entry!$C$1228)</f>
        <v/>
      </c>
      <c r="Q1225">
        <f>IF([2]Entry!$D$1228="","",[2]Entry!$D$1228)</f>
        <v/>
      </c>
      <c r="R1225">
        <f>IF([2]Entry!$E$1228="","",[2]Entry!$E$1228)</f>
        <v/>
      </c>
      <c r="S1225">
        <f>IF([2]Entry!$G$1228="","",[2]Entry!$G$1228)</f>
        <v/>
      </c>
      <c r="T1225">
        <f>IF([2]Entry!$J$1228="","",[2]Entry!$J$1228)</f>
        <v/>
      </c>
      <c r="U1225">
        <f>IF([2]Entry!$K$1228="","",[2]Entry!$K$1228)</f>
        <v/>
      </c>
      <c r="V1225">
        <f>IF([2]Entry!$L$1228="","",[2]Entry!$L$1228)</f>
        <v/>
      </c>
      <c r="W1225">
        <f>IF([2]Entry!$M$1228="","",[2]Entry!$M$1228)</f>
        <v/>
      </c>
      <c r="X1225">
        <f>IF([2]Entry!$N$1228="","",[2]Entry!$N$1228)</f>
        <v/>
      </c>
      <c r="Y1225">
        <f>IF([2]Entry!$R$1228="","",[2]Entry!$R$1228)</f>
        <v/>
      </c>
    </row>
    <row r="1226">
      <c r="P1226">
        <f>IF([2]Entry!$C$1229="","",[2]Entry!$C$1229)</f>
        <v/>
      </c>
      <c r="Q1226">
        <f>IF([2]Entry!$D$1229="","",[2]Entry!$D$1229)</f>
        <v/>
      </c>
      <c r="R1226">
        <f>IF([2]Entry!$E$1229="","",[2]Entry!$E$1229)</f>
        <v/>
      </c>
      <c r="S1226">
        <f>IF([2]Entry!$G$1229="","",[2]Entry!$G$1229)</f>
        <v/>
      </c>
      <c r="T1226">
        <f>IF([2]Entry!$J$1229="","",[2]Entry!$J$1229)</f>
        <v/>
      </c>
      <c r="U1226">
        <f>IF([2]Entry!$K$1229="","",[2]Entry!$K$1229)</f>
        <v/>
      </c>
      <c r="V1226">
        <f>IF([2]Entry!$L$1229="","",[2]Entry!$L$1229)</f>
        <v/>
      </c>
      <c r="W1226">
        <f>IF([2]Entry!$M$1229="","",[2]Entry!$M$1229)</f>
        <v/>
      </c>
      <c r="X1226">
        <f>IF([2]Entry!$N$1229="","",[2]Entry!$N$1229)</f>
        <v/>
      </c>
      <c r="Y1226">
        <f>IF([2]Entry!$R$1229="","",[2]Entry!$R$1229)</f>
        <v/>
      </c>
    </row>
    <row r="1227">
      <c r="P1227">
        <f>IF([2]Entry!$C$1230="","",[2]Entry!$C$1230)</f>
        <v/>
      </c>
      <c r="Q1227">
        <f>IF([2]Entry!$D$1230="","",[2]Entry!$D$1230)</f>
        <v/>
      </c>
      <c r="R1227">
        <f>IF([2]Entry!$E$1230="","",[2]Entry!$E$1230)</f>
        <v/>
      </c>
      <c r="S1227">
        <f>IF([2]Entry!$G$1230="","",[2]Entry!$G$1230)</f>
        <v/>
      </c>
      <c r="T1227">
        <f>IF([2]Entry!$J$1230="","",[2]Entry!$J$1230)</f>
        <v/>
      </c>
      <c r="U1227">
        <f>IF([2]Entry!$K$1230="","",[2]Entry!$K$1230)</f>
        <v/>
      </c>
      <c r="V1227">
        <f>IF([2]Entry!$L$1230="","",[2]Entry!$L$1230)</f>
        <v/>
      </c>
      <c r="W1227">
        <f>IF([2]Entry!$M$1230="","",[2]Entry!$M$1230)</f>
        <v/>
      </c>
      <c r="X1227">
        <f>IF([2]Entry!$N$1230="","",[2]Entry!$N$1230)</f>
        <v/>
      </c>
      <c r="Y1227">
        <f>IF([2]Entry!$R$1230="","",[2]Entry!$R$1230)</f>
        <v/>
      </c>
    </row>
    <row r="1228">
      <c r="P1228">
        <f>IF([2]Entry!$C$1231="","",[2]Entry!$C$1231)</f>
        <v/>
      </c>
      <c r="Q1228">
        <f>IF([2]Entry!$D$1231="","",[2]Entry!$D$1231)</f>
        <v/>
      </c>
      <c r="R1228">
        <f>IF([2]Entry!$E$1231="","",[2]Entry!$E$1231)</f>
        <v/>
      </c>
      <c r="S1228">
        <f>IF([2]Entry!$G$1231="","",[2]Entry!$G$1231)</f>
        <v/>
      </c>
      <c r="T1228">
        <f>IF([2]Entry!$J$1231="","",[2]Entry!$J$1231)</f>
        <v/>
      </c>
      <c r="U1228">
        <f>IF([2]Entry!$K$1231="","",[2]Entry!$K$1231)</f>
        <v/>
      </c>
      <c r="V1228">
        <f>IF([2]Entry!$L$1231="","",[2]Entry!$L$1231)</f>
        <v/>
      </c>
      <c r="W1228">
        <f>IF([2]Entry!$M$1231="","",[2]Entry!$M$1231)</f>
        <v/>
      </c>
      <c r="X1228">
        <f>IF([2]Entry!$N$1231="","",[2]Entry!$N$1231)</f>
        <v/>
      </c>
      <c r="Y1228">
        <f>IF([2]Entry!$R$1231="","",[2]Entry!$R$1231)</f>
        <v/>
      </c>
    </row>
    <row r="1229">
      <c r="P1229">
        <f>IF([2]Entry!$C$1232="","",[2]Entry!$C$1232)</f>
        <v/>
      </c>
      <c r="Q1229">
        <f>IF([2]Entry!$D$1232="","",[2]Entry!$D$1232)</f>
        <v/>
      </c>
      <c r="R1229">
        <f>IF([2]Entry!$E$1232="","",[2]Entry!$E$1232)</f>
        <v/>
      </c>
      <c r="S1229">
        <f>IF([2]Entry!$G$1232="","",[2]Entry!$G$1232)</f>
        <v/>
      </c>
      <c r="T1229">
        <f>IF([2]Entry!$J$1232="","",[2]Entry!$J$1232)</f>
        <v/>
      </c>
      <c r="U1229">
        <f>IF([2]Entry!$K$1232="","",[2]Entry!$K$1232)</f>
        <v/>
      </c>
      <c r="V1229">
        <f>IF([2]Entry!$L$1232="","",[2]Entry!$L$1232)</f>
        <v/>
      </c>
      <c r="W1229">
        <f>IF([2]Entry!$M$1232="","",[2]Entry!$M$1232)</f>
        <v/>
      </c>
      <c r="X1229">
        <f>IF([2]Entry!$N$1232="","",[2]Entry!$N$1232)</f>
        <v/>
      </c>
      <c r="Y1229">
        <f>IF([2]Entry!$R$1232="","",[2]Entry!$R$1232)</f>
        <v/>
      </c>
    </row>
    <row r="1230">
      <c r="P1230">
        <f>IF([2]Entry!$C$1233="","",[2]Entry!$C$1233)</f>
        <v/>
      </c>
      <c r="Q1230">
        <f>IF([2]Entry!$D$1233="","",[2]Entry!$D$1233)</f>
        <v/>
      </c>
      <c r="R1230">
        <f>IF([2]Entry!$E$1233="","",[2]Entry!$E$1233)</f>
        <v/>
      </c>
      <c r="S1230">
        <f>IF([2]Entry!$G$1233="","",[2]Entry!$G$1233)</f>
        <v/>
      </c>
      <c r="T1230">
        <f>IF([2]Entry!$J$1233="","",[2]Entry!$J$1233)</f>
        <v/>
      </c>
      <c r="U1230">
        <f>IF([2]Entry!$K$1233="","",[2]Entry!$K$1233)</f>
        <v/>
      </c>
      <c r="V1230">
        <f>IF([2]Entry!$L$1233="","",[2]Entry!$L$1233)</f>
        <v/>
      </c>
      <c r="W1230">
        <f>IF([2]Entry!$M$1233="","",[2]Entry!$M$1233)</f>
        <v/>
      </c>
      <c r="X1230">
        <f>IF([2]Entry!$N$1233="","",[2]Entry!$N$1233)</f>
        <v/>
      </c>
      <c r="Y1230">
        <f>IF([2]Entry!$R$1233="","",[2]Entry!$R$1233)</f>
        <v/>
      </c>
    </row>
    <row r="1231">
      <c r="P1231">
        <f>IF([2]Entry!$C$1234="","",[2]Entry!$C$1234)</f>
        <v/>
      </c>
      <c r="Q1231">
        <f>IF([2]Entry!$D$1234="","",[2]Entry!$D$1234)</f>
        <v/>
      </c>
      <c r="R1231">
        <f>IF([2]Entry!$E$1234="","",[2]Entry!$E$1234)</f>
        <v/>
      </c>
      <c r="S1231">
        <f>IF([2]Entry!$G$1234="","",[2]Entry!$G$1234)</f>
        <v/>
      </c>
      <c r="T1231">
        <f>IF([2]Entry!$J$1234="","",[2]Entry!$J$1234)</f>
        <v/>
      </c>
      <c r="U1231">
        <f>IF([2]Entry!$K$1234="","",[2]Entry!$K$1234)</f>
        <v/>
      </c>
      <c r="V1231">
        <f>IF([2]Entry!$L$1234="","",[2]Entry!$L$1234)</f>
        <v/>
      </c>
      <c r="W1231">
        <f>IF([2]Entry!$M$1234="","",[2]Entry!$M$1234)</f>
        <v/>
      </c>
      <c r="X1231">
        <f>IF([2]Entry!$N$1234="","",[2]Entry!$N$1234)</f>
        <v/>
      </c>
      <c r="Y1231">
        <f>IF([2]Entry!$R$1234="","",[2]Entry!$R$1234)</f>
        <v/>
      </c>
    </row>
    <row r="1232">
      <c r="P1232">
        <f>IF([2]Entry!$C$1235="","",[2]Entry!$C$1235)</f>
        <v/>
      </c>
      <c r="Q1232">
        <f>IF([2]Entry!$D$1235="","",[2]Entry!$D$1235)</f>
        <v/>
      </c>
      <c r="R1232">
        <f>IF([2]Entry!$E$1235="","",[2]Entry!$E$1235)</f>
        <v/>
      </c>
      <c r="S1232">
        <f>IF([2]Entry!$G$1235="","",[2]Entry!$G$1235)</f>
        <v/>
      </c>
      <c r="T1232">
        <f>IF([2]Entry!$J$1235="","",[2]Entry!$J$1235)</f>
        <v/>
      </c>
      <c r="U1232">
        <f>IF([2]Entry!$K$1235="","",[2]Entry!$K$1235)</f>
        <v/>
      </c>
      <c r="V1232">
        <f>IF([2]Entry!$L$1235="","",[2]Entry!$L$1235)</f>
        <v/>
      </c>
      <c r="W1232">
        <f>IF([2]Entry!$M$1235="","",[2]Entry!$M$1235)</f>
        <v/>
      </c>
      <c r="X1232">
        <f>IF([2]Entry!$N$1235="","",[2]Entry!$N$1235)</f>
        <v/>
      </c>
      <c r="Y1232">
        <f>IF([2]Entry!$R$1235="","",[2]Entry!$R$1235)</f>
        <v/>
      </c>
    </row>
    <row r="1233">
      <c r="P1233">
        <f>IF([2]Entry!$C$1236="","",[2]Entry!$C$1236)</f>
        <v/>
      </c>
      <c r="Q1233">
        <f>IF([2]Entry!$D$1236="","",[2]Entry!$D$1236)</f>
        <v/>
      </c>
      <c r="R1233">
        <f>IF([2]Entry!$E$1236="","",[2]Entry!$E$1236)</f>
        <v/>
      </c>
      <c r="S1233">
        <f>IF([2]Entry!$G$1236="","",[2]Entry!$G$1236)</f>
        <v/>
      </c>
      <c r="T1233">
        <f>IF([2]Entry!$J$1236="","",[2]Entry!$J$1236)</f>
        <v/>
      </c>
      <c r="U1233">
        <f>IF([2]Entry!$K$1236="","",[2]Entry!$K$1236)</f>
        <v/>
      </c>
      <c r="V1233">
        <f>IF([2]Entry!$L$1236="","",[2]Entry!$L$1236)</f>
        <v/>
      </c>
      <c r="W1233">
        <f>IF([2]Entry!$M$1236="","",[2]Entry!$M$1236)</f>
        <v/>
      </c>
      <c r="X1233">
        <f>IF([2]Entry!$N$1236="","",[2]Entry!$N$1236)</f>
        <v/>
      </c>
      <c r="Y1233">
        <f>IF([2]Entry!$R$1236="","",[2]Entry!$R$1236)</f>
        <v/>
      </c>
    </row>
    <row r="1234">
      <c r="P1234">
        <f>IF([2]Entry!$C$1237="","",[2]Entry!$C$1237)</f>
        <v/>
      </c>
      <c r="Q1234">
        <f>IF([2]Entry!$D$1237="","",[2]Entry!$D$1237)</f>
        <v/>
      </c>
      <c r="R1234">
        <f>IF([2]Entry!$E$1237="","",[2]Entry!$E$1237)</f>
        <v/>
      </c>
      <c r="S1234">
        <f>IF([2]Entry!$G$1237="","",[2]Entry!$G$1237)</f>
        <v/>
      </c>
      <c r="T1234">
        <f>IF([2]Entry!$J$1237="","",[2]Entry!$J$1237)</f>
        <v/>
      </c>
      <c r="U1234">
        <f>IF([2]Entry!$K$1237="","",[2]Entry!$K$1237)</f>
        <v/>
      </c>
      <c r="V1234">
        <f>IF([2]Entry!$L$1237="","",[2]Entry!$L$1237)</f>
        <v/>
      </c>
      <c r="W1234">
        <f>IF([2]Entry!$M$1237="","",[2]Entry!$M$1237)</f>
        <v/>
      </c>
      <c r="X1234">
        <f>IF([2]Entry!$N$1237="","",[2]Entry!$N$1237)</f>
        <v/>
      </c>
      <c r="Y1234">
        <f>IF([2]Entry!$R$1237="","",[2]Entry!$R$1237)</f>
        <v/>
      </c>
    </row>
    <row r="1235">
      <c r="P1235">
        <f>IF([2]Entry!$C$1238="","",[2]Entry!$C$1238)</f>
        <v/>
      </c>
      <c r="Q1235">
        <f>IF([2]Entry!$D$1238="","",[2]Entry!$D$1238)</f>
        <v/>
      </c>
      <c r="R1235">
        <f>IF([2]Entry!$E$1238="","",[2]Entry!$E$1238)</f>
        <v/>
      </c>
      <c r="S1235">
        <f>IF([2]Entry!$G$1238="","",[2]Entry!$G$1238)</f>
        <v/>
      </c>
      <c r="T1235">
        <f>IF([2]Entry!$J$1238="","",[2]Entry!$J$1238)</f>
        <v/>
      </c>
      <c r="U1235">
        <f>IF([2]Entry!$K$1238="","",[2]Entry!$K$1238)</f>
        <v/>
      </c>
      <c r="V1235">
        <f>IF([2]Entry!$L$1238="","",[2]Entry!$L$1238)</f>
        <v/>
      </c>
      <c r="W1235">
        <f>IF([2]Entry!$M$1238="","",[2]Entry!$M$1238)</f>
        <v/>
      </c>
      <c r="X1235">
        <f>IF([2]Entry!$N$1238="","",[2]Entry!$N$1238)</f>
        <v/>
      </c>
      <c r="Y1235">
        <f>IF([2]Entry!$R$1238="","",[2]Entry!$R$1238)</f>
        <v/>
      </c>
    </row>
    <row r="1236">
      <c r="P1236">
        <f>IF([2]Entry!$C$1239="","",[2]Entry!$C$1239)</f>
        <v/>
      </c>
      <c r="Q1236">
        <f>IF([2]Entry!$D$1239="","",[2]Entry!$D$1239)</f>
        <v/>
      </c>
      <c r="R1236">
        <f>IF([2]Entry!$E$1239="","",[2]Entry!$E$1239)</f>
        <v/>
      </c>
      <c r="S1236">
        <f>IF([2]Entry!$G$1239="","",[2]Entry!$G$1239)</f>
        <v/>
      </c>
      <c r="T1236">
        <f>IF([2]Entry!$J$1239="","",[2]Entry!$J$1239)</f>
        <v/>
      </c>
      <c r="U1236">
        <f>IF([2]Entry!$K$1239="","",[2]Entry!$K$1239)</f>
        <v/>
      </c>
      <c r="V1236">
        <f>IF([2]Entry!$L$1239="","",[2]Entry!$L$1239)</f>
        <v/>
      </c>
      <c r="W1236">
        <f>IF([2]Entry!$M$1239="","",[2]Entry!$M$1239)</f>
        <v/>
      </c>
      <c r="X1236">
        <f>IF([2]Entry!$N$1239="","",[2]Entry!$N$1239)</f>
        <v/>
      </c>
      <c r="Y1236">
        <f>IF([2]Entry!$R$1239="","",[2]Entry!$R$1239)</f>
        <v/>
      </c>
    </row>
    <row r="1237">
      <c r="P1237">
        <f>IF([2]Entry!$C$1240="","",[2]Entry!$C$1240)</f>
        <v/>
      </c>
      <c r="Q1237">
        <f>IF([2]Entry!$D$1240="","",[2]Entry!$D$1240)</f>
        <v/>
      </c>
      <c r="R1237">
        <f>IF([2]Entry!$E$1240="","",[2]Entry!$E$1240)</f>
        <v/>
      </c>
      <c r="S1237">
        <f>IF([2]Entry!$G$1240="","",[2]Entry!$G$1240)</f>
        <v/>
      </c>
      <c r="T1237">
        <f>IF([2]Entry!$J$1240="","",[2]Entry!$J$1240)</f>
        <v/>
      </c>
      <c r="U1237">
        <f>IF([2]Entry!$K$1240="","",[2]Entry!$K$1240)</f>
        <v/>
      </c>
      <c r="V1237">
        <f>IF([2]Entry!$L$1240="","",[2]Entry!$L$1240)</f>
        <v/>
      </c>
      <c r="W1237">
        <f>IF([2]Entry!$M$1240="","",[2]Entry!$M$1240)</f>
        <v/>
      </c>
      <c r="X1237">
        <f>IF([2]Entry!$N$1240="","",[2]Entry!$N$1240)</f>
        <v/>
      </c>
      <c r="Y1237">
        <f>IF([2]Entry!$R$1240="","",[2]Entry!$R$1240)</f>
        <v/>
      </c>
    </row>
    <row r="1238">
      <c r="P1238">
        <f>IF([2]Entry!$C$1241="","",[2]Entry!$C$1241)</f>
        <v/>
      </c>
      <c r="Q1238">
        <f>IF([2]Entry!$D$1241="","",[2]Entry!$D$1241)</f>
        <v/>
      </c>
      <c r="R1238">
        <f>IF([2]Entry!$E$1241="","",[2]Entry!$E$1241)</f>
        <v/>
      </c>
      <c r="S1238">
        <f>IF([2]Entry!$G$1241="","",[2]Entry!$G$1241)</f>
        <v/>
      </c>
      <c r="T1238">
        <f>IF([2]Entry!$J$1241="","",[2]Entry!$J$1241)</f>
        <v/>
      </c>
      <c r="U1238">
        <f>IF([2]Entry!$K$1241="","",[2]Entry!$K$1241)</f>
        <v/>
      </c>
      <c r="V1238">
        <f>IF([2]Entry!$L$1241="","",[2]Entry!$L$1241)</f>
        <v/>
      </c>
      <c r="W1238">
        <f>IF([2]Entry!$M$1241="","",[2]Entry!$M$1241)</f>
        <v/>
      </c>
      <c r="X1238">
        <f>IF([2]Entry!$N$1241="","",[2]Entry!$N$1241)</f>
        <v/>
      </c>
      <c r="Y1238">
        <f>IF([2]Entry!$R$1241="","",[2]Entry!$R$1241)</f>
        <v/>
      </c>
    </row>
    <row r="1239">
      <c r="P1239">
        <f>IF([2]Entry!$C$1242="","",[2]Entry!$C$1242)</f>
        <v/>
      </c>
      <c r="Q1239">
        <f>IF([2]Entry!$D$1242="","",[2]Entry!$D$1242)</f>
        <v/>
      </c>
      <c r="R1239">
        <f>IF([2]Entry!$E$1242="","",[2]Entry!$E$1242)</f>
        <v/>
      </c>
      <c r="S1239">
        <f>IF([2]Entry!$G$1242="","",[2]Entry!$G$1242)</f>
        <v/>
      </c>
      <c r="T1239">
        <f>IF([2]Entry!$J$1242="","",[2]Entry!$J$1242)</f>
        <v/>
      </c>
      <c r="U1239">
        <f>IF([2]Entry!$K$1242="","",[2]Entry!$K$1242)</f>
        <v/>
      </c>
      <c r="V1239">
        <f>IF([2]Entry!$L$1242="","",[2]Entry!$L$1242)</f>
        <v/>
      </c>
      <c r="W1239">
        <f>IF([2]Entry!$M$1242="","",[2]Entry!$M$1242)</f>
        <v/>
      </c>
      <c r="X1239">
        <f>IF([2]Entry!$N$1242="","",[2]Entry!$N$1242)</f>
        <v/>
      </c>
      <c r="Y1239">
        <f>IF([2]Entry!$R$1242="","",[2]Entry!$R$1242)</f>
        <v/>
      </c>
    </row>
    <row r="1240">
      <c r="P1240">
        <f>IF([2]Entry!$C$1243="","",[2]Entry!$C$1243)</f>
        <v/>
      </c>
      <c r="Q1240">
        <f>IF([2]Entry!$D$1243="","",[2]Entry!$D$1243)</f>
        <v/>
      </c>
      <c r="R1240">
        <f>IF([2]Entry!$E$1243="","",[2]Entry!$E$1243)</f>
        <v/>
      </c>
      <c r="S1240">
        <f>IF([2]Entry!$G$1243="","",[2]Entry!$G$1243)</f>
        <v/>
      </c>
      <c r="T1240">
        <f>IF([2]Entry!$J$1243="","",[2]Entry!$J$1243)</f>
        <v/>
      </c>
      <c r="U1240">
        <f>IF([2]Entry!$K$1243="","",[2]Entry!$K$1243)</f>
        <v/>
      </c>
      <c r="V1240">
        <f>IF([2]Entry!$L$1243="","",[2]Entry!$L$1243)</f>
        <v/>
      </c>
      <c r="W1240">
        <f>IF([2]Entry!$M$1243="","",[2]Entry!$M$1243)</f>
        <v/>
      </c>
      <c r="X1240">
        <f>IF([2]Entry!$N$1243="","",[2]Entry!$N$1243)</f>
        <v/>
      </c>
      <c r="Y1240">
        <f>IF([2]Entry!$R$1243="","",[2]Entry!$R$1243)</f>
        <v/>
      </c>
    </row>
    <row r="1241">
      <c r="P1241">
        <f>IF([2]Entry!$C$1244="","",[2]Entry!$C$1244)</f>
        <v/>
      </c>
      <c r="Q1241">
        <f>IF([2]Entry!$D$1244="","",[2]Entry!$D$1244)</f>
        <v/>
      </c>
      <c r="R1241">
        <f>IF([2]Entry!$E$1244="","",[2]Entry!$E$1244)</f>
        <v/>
      </c>
      <c r="S1241">
        <f>IF([2]Entry!$G$1244="","",[2]Entry!$G$1244)</f>
        <v/>
      </c>
      <c r="T1241">
        <f>IF([2]Entry!$J$1244="","",[2]Entry!$J$1244)</f>
        <v/>
      </c>
      <c r="U1241">
        <f>IF([2]Entry!$K$1244="","",[2]Entry!$K$1244)</f>
        <v/>
      </c>
      <c r="V1241">
        <f>IF([2]Entry!$L$1244="","",[2]Entry!$L$1244)</f>
        <v/>
      </c>
      <c r="W1241">
        <f>IF([2]Entry!$M$1244="","",[2]Entry!$M$1244)</f>
        <v/>
      </c>
      <c r="X1241">
        <f>IF([2]Entry!$N$1244="","",[2]Entry!$N$1244)</f>
        <v/>
      </c>
      <c r="Y1241">
        <f>IF([2]Entry!$R$1244="","",[2]Entry!$R$1244)</f>
        <v/>
      </c>
    </row>
    <row r="1242">
      <c r="P1242">
        <f>IF([2]Entry!$C$1245="","",[2]Entry!$C$1245)</f>
        <v/>
      </c>
      <c r="Q1242">
        <f>IF([2]Entry!$D$1245="","",[2]Entry!$D$1245)</f>
        <v/>
      </c>
      <c r="R1242">
        <f>IF([2]Entry!$E$1245="","",[2]Entry!$E$1245)</f>
        <v/>
      </c>
      <c r="S1242">
        <f>IF([2]Entry!$G$1245="","",[2]Entry!$G$1245)</f>
        <v/>
      </c>
      <c r="T1242">
        <f>IF([2]Entry!$J$1245="","",[2]Entry!$J$1245)</f>
        <v/>
      </c>
      <c r="U1242">
        <f>IF([2]Entry!$K$1245="","",[2]Entry!$K$1245)</f>
        <v/>
      </c>
      <c r="V1242">
        <f>IF([2]Entry!$L$1245="","",[2]Entry!$L$1245)</f>
        <v/>
      </c>
      <c r="W1242">
        <f>IF([2]Entry!$M$1245="","",[2]Entry!$M$1245)</f>
        <v/>
      </c>
      <c r="X1242">
        <f>IF([2]Entry!$N$1245="","",[2]Entry!$N$1245)</f>
        <v/>
      </c>
      <c r="Y1242">
        <f>IF([2]Entry!$R$1245="","",[2]Entry!$R$1245)</f>
        <v/>
      </c>
    </row>
    <row r="1243">
      <c r="P1243">
        <f>IF([2]Entry!$C$1246="","",[2]Entry!$C$1246)</f>
        <v/>
      </c>
      <c r="Q1243">
        <f>IF([2]Entry!$D$1246="","",[2]Entry!$D$1246)</f>
        <v/>
      </c>
      <c r="R1243">
        <f>IF([2]Entry!$E$1246="","",[2]Entry!$E$1246)</f>
        <v/>
      </c>
      <c r="S1243">
        <f>IF([2]Entry!$G$1246="","",[2]Entry!$G$1246)</f>
        <v/>
      </c>
      <c r="T1243">
        <f>IF([2]Entry!$J$1246="","",[2]Entry!$J$1246)</f>
        <v/>
      </c>
      <c r="U1243">
        <f>IF([2]Entry!$K$1246="","",[2]Entry!$K$1246)</f>
        <v/>
      </c>
      <c r="V1243">
        <f>IF([2]Entry!$L$1246="","",[2]Entry!$L$1246)</f>
        <v/>
      </c>
      <c r="W1243">
        <f>IF([2]Entry!$M$1246="","",[2]Entry!$M$1246)</f>
        <v/>
      </c>
      <c r="X1243">
        <f>IF([2]Entry!$N$1246="","",[2]Entry!$N$1246)</f>
        <v/>
      </c>
      <c r="Y1243">
        <f>IF([2]Entry!$R$1246="","",[2]Entry!$R$1246)</f>
        <v/>
      </c>
    </row>
    <row r="1244">
      <c r="P1244">
        <f>IF([2]Entry!$C$1247="","",[2]Entry!$C$1247)</f>
        <v/>
      </c>
      <c r="Q1244">
        <f>IF([2]Entry!$D$1247="","",[2]Entry!$D$1247)</f>
        <v/>
      </c>
      <c r="R1244">
        <f>IF([2]Entry!$E$1247="","",[2]Entry!$E$1247)</f>
        <v/>
      </c>
      <c r="S1244">
        <f>IF([2]Entry!$G$1247="","",[2]Entry!$G$1247)</f>
        <v/>
      </c>
      <c r="T1244">
        <f>IF([2]Entry!$J$1247="","",[2]Entry!$J$1247)</f>
        <v/>
      </c>
      <c r="U1244">
        <f>IF([2]Entry!$K$1247="","",[2]Entry!$K$1247)</f>
        <v/>
      </c>
      <c r="V1244">
        <f>IF([2]Entry!$L$1247="","",[2]Entry!$L$1247)</f>
        <v/>
      </c>
      <c r="W1244">
        <f>IF([2]Entry!$M$1247="","",[2]Entry!$M$1247)</f>
        <v/>
      </c>
      <c r="X1244">
        <f>IF([2]Entry!$N$1247="","",[2]Entry!$N$1247)</f>
        <v/>
      </c>
      <c r="Y1244">
        <f>IF([2]Entry!$R$1247="","",[2]Entry!$R$1247)</f>
        <v/>
      </c>
    </row>
    <row r="1245">
      <c r="P1245">
        <f>IF([2]Entry!$C$1248="","",[2]Entry!$C$1248)</f>
        <v/>
      </c>
      <c r="Q1245">
        <f>IF([2]Entry!$D$1248="","",[2]Entry!$D$1248)</f>
        <v/>
      </c>
      <c r="R1245">
        <f>IF([2]Entry!$E$1248="","",[2]Entry!$E$1248)</f>
        <v/>
      </c>
      <c r="S1245">
        <f>IF([2]Entry!$G$1248="","",[2]Entry!$G$1248)</f>
        <v/>
      </c>
      <c r="T1245">
        <f>IF([2]Entry!$J$1248="","",[2]Entry!$J$1248)</f>
        <v/>
      </c>
      <c r="U1245">
        <f>IF([2]Entry!$K$1248="","",[2]Entry!$K$1248)</f>
        <v/>
      </c>
      <c r="V1245">
        <f>IF([2]Entry!$L$1248="","",[2]Entry!$L$1248)</f>
        <v/>
      </c>
      <c r="W1245">
        <f>IF([2]Entry!$M$1248="","",[2]Entry!$M$1248)</f>
        <v/>
      </c>
      <c r="X1245">
        <f>IF([2]Entry!$N$1248="","",[2]Entry!$N$1248)</f>
        <v/>
      </c>
      <c r="Y1245">
        <f>IF([2]Entry!$R$1248="","",[2]Entry!$R$1248)</f>
        <v/>
      </c>
    </row>
    <row r="1246">
      <c r="P1246">
        <f>IF([2]Entry!$C$1249="","",[2]Entry!$C$1249)</f>
        <v/>
      </c>
      <c r="Q1246">
        <f>IF([2]Entry!$D$1249="","",[2]Entry!$D$1249)</f>
        <v/>
      </c>
      <c r="R1246">
        <f>IF([2]Entry!$E$1249="","",[2]Entry!$E$1249)</f>
        <v/>
      </c>
      <c r="S1246">
        <f>IF([2]Entry!$G$1249="","",[2]Entry!$G$1249)</f>
        <v/>
      </c>
      <c r="T1246">
        <f>IF([2]Entry!$J$1249="","",[2]Entry!$J$1249)</f>
        <v/>
      </c>
      <c r="U1246">
        <f>IF([2]Entry!$K$1249="","",[2]Entry!$K$1249)</f>
        <v/>
      </c>
      <c r="V1246">
        <f>IF([2]Entry!$L$1249="","",[2]Entry!$L$1249)</f>
        <v/>
      </c>
      <c r="W1246">
        <f>IF([2]Entry!$M$1249="","",[2]Entry!$M$1249)</f>
        <v/>
      </c>
      <c r="X1246">
        <f>IF([2]Entry!$N$1249="","",[2]Entry!$N$1249)</f>
        <v/>
      </c>
      <c r="Y1246">
        <f>IF([2]Entry!$R$1249="","",[2]Entry!$R$1249)</f>
        <v/>
      </c>
    </row>
    <row r="1247">
      <c r="P1247">
        <f>IF([2]Entry!$C$1250="","",[2]Entry!$C$1250)</f>
        <v/>
      </c>
      <c r="Q1247">
        <f>IF([2]Entry!$D$1250="","",[2]Entry!$D$1250)</f>
        <v/>
      </c>
      <c r="R1247">
        <f>IF([2]Entry!$E$1250="","",[2]Entry!$E$1250)</f>
        <v/>
      </c>
      <c r="S1247">
        <f>IF([2]Entry!$G$1250="","",[2]Entry!$G$1250)</f>
        <v/>
      </c>
      <c r="T1247">
        <f>IF([2]Entry!$J$1250="","",[2]Entry!$J$1250)</f>
        <v/>
      </c>
      <c r="U1247">
        <f>IF([2]Entry!$K$1250="","",[2]Entry!$K$1250)</f>
        <v/>
      </c>
      <c r="V1247">
        <f>IF([2]Entry!$L$1250="","",[2]Entry!$L$1250)</f>
        <v/>
      </c>
      <c r="W1247">
        <f>IF([2]Entry!$M$1250="","",[2]Entry!$M$1250)</f>
        <v/>
      </c>
      <c r="X1247">
        <f>IF([2]Entry!$N$1250="","",[2]Entry!$N$1250)</f>
        <v/>
      </c>
      <c r="Y1247">
        <f>IF([2]Entry!$R$1250="","",[2]Entry!$R$1250)</f>
        <v/>
      </c>
    </row>
    <row r="1248">
      <c r="P1248">
        <f>IF([2]Entry!$C$1251="","",[2]Entry!$C$1251)</f>
        <v/>
      </c>
      <c r="Q1248">
        <f>IF([2]Entry!$D$1251="","",[2]Entry!$D$1251)</f>
        <v/>
      </c>
      <c r="R1248">
        <f>IF([2]Entry!$E$1251="","",[2]Entry!$E$1251)</f>
        <v/>
      </c>
      <c r="S1248">
        <f>IF([2]Entry!$G$1251="","",[2]Entry!$G$1251)</f>
        <v/>
      </c>
      <c r="T1248">
        <f>IF([2]Entry!$J$1251="","",[2]Entry!$J$1251)</f>
        <v/>
      </c>
      <c r="U1248">
        <f>IF([2]Entry!$K$1251="","",[2]Entry!$K$1251)</f>
        <v/>
      </c>
      <c r="V1248">
        <f>IF([2]Entry!$L$1251="","",[2]Entry!$L$1251)</f>
        <v/>
      </c>
      <c r="W1248">
        <f>IF([2]Entry!$M$1251="","",[2]Entry!$M$1251)</f>
        <v/>
      </c>
      <c r="X1248">
        <f>IF([2]Entry!$N$1251="","",[2]Entry!$N$1251)</f>
        <v/>
      </c>
      <c r="Y1248">
        <f>IF([2]Entry!$R$1251="","",[2]Entry!$R$1251)</f>
        <v/>
      </c>
    </row>
    <row r="1249">
      <c r="P1249">
        <f>IF([2]Entry!$C$1252="","",[2]Entry!$C$1252)</f>
        <v/>
      </c>
      <c r="Q1249">
        <f>IF([2]Entry!$D$1252="","",[2]Entry!$D$1252)</f>
        <v/>
      </c>
      <c r="R1249">
        <f>IF([2]Entry!$E$1252="","",[2]Entry!$E$1252)</f>
        <v/>
      </c>
      <c r="S1249">
        <f>IF([2]Entry!$G$1252="","",[2]Entry!$G$1252)</f>
        <v/>
      </c>
      <c r="T1249">
        <f>IF([2]Entry!$J$1252="","",[2]Entry!$J$1252)</f>
        <v/>
      </c>
      <c r="U1249">
        <f>IF([2]Entry!$K$1252="","",[2]Entry!$K$1252)</f>
        <v/>
      </c>
      <c r="V1249">
        <f>IF([2]Entry!$L$1252="","",[2]Entry!$L$1252)</f>
        <v/>
      </c>
      <c r="W1249">
        <f>IF([2]Entry!$M$1252="","",[2]Entry!$M$1252)</f>
        <v/>
      </c>
      <c r="X1249">
        <f>IF([2]Entry!$N$1252="","",[2]Entry!$N$1252)</f>
        <v/>
      </c>
      <c r="Y1249">
        <f>IF([2]Entry!$R$1252="","",[2]Entry!$R$1252)</f>
        <v/>
      </c>
    </row>
    <row r="1250">
      <c r="P1250">
        <f>IF([2]Entry!$C$1253="","",[2]Entry!$C$1253)</f>
        <v/>
      </c>
      <c r="Q1250">
        <f>IF([2]Entry!$D$1253="","",[2]Entry!$D$1253)</f>
        <v/>
      </c>
      <c r="R1250">
        <f>IF([2]Entry!$E$1253="","",[2]Entry!$E$1253)</f>
        <v/>
      </c>
      <c r="S1250">
        <f>IF([2]Entry!$G$1253="","",[2]Entry!$G$1253)</f>
        <v/>
      </c>
      <c r="T1250">
        <f>IF([2]Entry!$J$1253="","",[2]Entry!$J$1253)</f>
        <v/>
      </c>
      <c r="U1250">
        <f>IF([2]Entry!$K$1253="","",[2]Entry!$K$1253)</f>
        <v/>
      </c>
      <c r="V1250">
        <f>IF([2]Entry!$L$1253="","",[2]Entry!$L$1253)</f>
        <v/>
      </c>
      <c r="W1250">
        <f>IF([2]Entry!$M$1253="","",[2]Entry!$M$1253)</f>
        <v/>
      </c>
      <c r="X1250">
        <f>IF([2]Entry!$N$1253="","",[2]Entry!$N$1253)</f>
        <v/>
      </c>
      <c r="Y1250">
        <f>IF([2]Entry!$R$1253="","",[2]Entry!$R$1253)</f>
        <v/>
      </c>
    </row>
    <row r="1251">
      <c r="P1251">
        <f>IF([2]Entry!$C$1254="","",[2]Entry!$C$1254)</f>
        <v/>
      </c>
      <c r="Q1251">
        <f>IF([2]Entry!$D$1254="","",[2]Entry!$D$1254)</f>
        <v/>
      </c>
      <c r="R1251">
        <f>IF([2]Entry!$E$1254="","",[2]Entry!$E$1254)</f>
        <v/>
      </c>
      <c r="S1251">
        <f>IF([2]Entry!$G$1254="","",[2]Entry!$G$1254)</f>
        <v/>
      </c>
      <c r="T1251">
        <f>IF([2]Entry!$J$1254="","",[2]Entry!$J$1254)</f>
        <v/>
      </c>
      <c r="U1251">
        <f>IF([2]Entry!$K$1254="","",[2]Entry!$K$1254)</f>
        <v/>
      </c>
      <c r="V1251">
        <f>IF([2]Entry!$L$1254="","",[2]Entry!$L$1254)</f>
        <v/>
      </c>
      <c r="W1251">
        <f>IF([2]Entry!$M$1254="","",[2]Entry!$M$1254)</f>
        <v/>
      </c>
      <c r="X1251">
        <f>IF([2]Entry!$N$1254="","",[2]Entry!$N$1254)</f>
        <v/>
      </c>
      <c r="Y1251">
        <f>IF([2]Entry!$R$1254="","",[2]Entry!$R$1254)</f>
        <v/>
      </c>
    </row>
    <row r="1252">
      <c r="P1252">
        <f>IF([2]Entry!$C$1255="","",[2]Entry!$C$1255)</f>
        <v/>
      </c>
      <c r="Q1252">
        <f>IF([2]Entry!$D$1255="","",[2]Entry!$D$1255)</f>
        <v/>
      </c>
      <c r="R1252">
        <f>IF([2]Entry!$E$1255="","",[2]Entry!$E$1255)</f>
        <v/>
      </c>
      <c r="S1252">
        <f>IF([2]Entry!$G$1255="","",[2]Entry!$G$1255)</f>
        <v/>
      </c>
      <c r="T1252">
        <f>IF([2]Entry!$J$1255="","",[2]Entry!$J$1255)</f>
        <v/>
      </c>
      <c r="U1252">
        <f>IF([2]Entry!$K$1255="","",[2]Entry!$K$1255)</f>
        <v/>
      </c>
      <c r="V1252">
        <f>IF([2]Entry!$L$1255="","",[2]Entry!$L$1255)</f>
        <v/>
      </c>
      <c r="W1252">
        <f>IF([2]Entry!$M$1255="","",[2]Entry!$M$1255)</f>
        <v/>
      </c>
      <c r="X1252">
        <f>IF([2]Entry!$N$1255="","",[2]Entry!$N$1255)</f>
        <v/>
      </c>
      <c r="Y1252">
        <f>IF([2]Entry!$R$1255="","",[2]Entry!$R$1255)</f>
        <v/>
      </c>
    </row>
    <row r="1253">
      <c r="P1253">
        <f>IF([2]Entry!$C$1256="","",[2]Entry!$C$1256)</f>
        <v/>
      </c>
      <c r="Q1253">
        <f>IF([2]Entry!$D$1256="","",[2]Entry!$D$1256)</f>
        <v/>
      </c>
      <c r="R1253">
        <f>IF([2]Entry!$E$1256="","",[2]Entry!$E$1256)</f>
        <v/>
      </c>
      <c r="S1253">
        <f>IF([2]Entry!$G$1256="","",[2]Entry!$G$1256)</f>
        <v/>
      </c>
      <c r="T1253">
        <f>IF([2]Entry!$J$1256="","",[2]Entry!$J$1256)</f>
        <v/>
      </c>
      <c r="U1253">
        <f>IF([2]Entry!$K$1256="","",[2]Entry!$K$1256)</f>
        <v/>
      </c>
      <c r="V1253">
        <f>IF([2]Entry!$L$1256="","",[2]Entry!$L$1256)</f>
        <v/>
      </c>
      <c r="W1253">
        <f>IF([2]Entry!$M$1256="","",[2]Entry!$M$1256)</f>
        <v/>
      </c>
      <c r="X1253">
        <f>IF([2]Entry!$N$1256="","",[2]Entry!$N$1256)</f>
        <v/>
      </c>
      <c r="Y1253">
        <f>IF([2]Entry!$R$1256="","",[2]Entry!$R$1256)</f>
        <v/>
      </c>
    </row>
    <row r="1254">
      <c r="P1254">
        <f>IF([2]Entry!$C$1257="","",[2]Entry!$C$1257)</f>
        <v/>
      </c>
      <c r="Q1254">
        <f>IF([2]Entry!$D$1257="","",[2]Entry!$D$1257)</f>
        <v/>
      </c>
      <c r="R1254">
        <f>IF([2]Entry!$E$1257="","",[2]Entry!$E$1257)</f>
        <v/>
      </c>
      <c r="S1254">
        <f>IF([2]Entry!$G$1257="","",[2]Entry!$G$1257)</f>
        <v/>
      </c>
      <c r="T1254">
        <f>IF([2]Entry!$J$1257="","",[2]Entry!$J$1257)</f>
        <v/>
      </c>
      <c r="U1254">
        <f>IF([2]Entry!$K$1257="","",[2]Entry!$K$1257)</f>
        <v/>
      </c>
      <c r="V1254">
        <f>IF([2]Entry!$L$1257="","",[2]Entry!$L$1257)</f>
        <v/>
      </c>
      <c r="W1254">
        <f>IF([2]Entry!$M$1257="","",[2]Entry!$M$1257)</f>
        <v/>
      </c>
      <c r="X1254">
        <f>IF([2]Entry!$N$1257="","",[2]Entry!$N$1257)</f>
        <v/>
      </c>
      <c r="Y1254">
        <f>IF([2]Entry!$R$1257="","",[2]Entry!$R$1257)</f>
        <v/>
      </c>
    </row>
    <row r="1255">
      <c r="P1255">
        <f>IF([2]Entry!$C$1258="","",[2]Entry!$C$1258)</f>
        <v/>
      </c>
      <c r="Q1255">
        <f>IF([2]Entry!$D$1258="","",[2]Entry!$D$1258)</f>
        <v/>
      </c>
      <c r="R1255">
        <f>IF([2]Entry!$E$1258="","",[2]Entry!$E$1258)</f>
        <v/>
      </c>
      <c r="S1255">
        <f>IF([2]Entry!$G$1258="","",[2]Entry!$G$1258)</f>
        <v/>
      </c>
      <c r="T1255">
        <f>IF([2]Entry!$J$1258="","",[2]Entry!$J$1258)</f>
        <v/>
      </c>
      <c r="U1255">
        <f>IF([2]Entry!$K$1258="","",[2]Entry!$K$1258)</f>
        <v/>
      </c>
      <c r="V1255">
        <f>IF([2]Entry!$L$1258="","",[2]Entry!$L$1258)</f>
        <v/>
      </c>
      <c r="W1255">
        <f>IF([2]Entry!$M$1258="","",[2]Entry!$M$1258)</f>
        <v/>
      </c>
      <c r="X1255">
        <f>IF([2]Entry!$N$1258="","",[2]Entry!$N$1258)</f>
        <v/>
      </c>
      <c r="Y1255">
        <f>IF([2]Entry!$R$1258="","",[2]Entry!$R$1258)</f>
        <v/>
      </c>
    </row>
    <row r="1256">
      <c r="P1256">
        <f>IF([2]Entry!$C$1259="","",[2]Entry!$C$1259)</f>
        <v/>
      </c>
      <c r="Q1256">
        <f>IF([2]Entry!$D$1259="","",[2]Entry!$D$1259)</f>
        <v/>
      </c>
      <c r="R1256">
        <f>IF([2]Entry!$E$1259="","",[2]Entry!$E$1259)</f>
        <v/>
      </c>
      <c r="S1256">
        <f>IF([2]Entry!$G$1259="","",[2]Entry!$G$1259)</f>
        <v/>
      </c>
      <c r="T1256">
        <f>IF([2]Entry!$J$1259="","",[2]Entry!$J$1259)</f>
        <v/>
      </c>
      <c r="U1256">
        <f>IF([2]Entry!$K$1259="","",[2]Entry!$K$1259)</f>
        <v/>
      </c>
      <c r="V1256">
        <f>IF([2]Entry!$L$1259="","",[2]Entry!$L$1259)</f>
        <v/>
      </c>
      <c r="W1256">
        <f>IF([2]Entry!$M$1259="","",[2]Entry!$M$1259)</f>
        <v/>
      </c>
      <c r="X1256">
        <f>IF([2]Entry!$N$1259="","",[2]Entry!$N$1259)</f>
        <v/>
      </c>
      <c r="Y1256">
        <f>IF([2]Entry!$R$1259="","",[2]Entry!$R$1259)</f>
        <v/>
      </c>
    </row>
    <row r="1257">
      <c r="P1257">
        <f>IF([2]Entry!$C$1260="","",[2]Entry!$C$1260)</f>
        <v/>
      </c>
      <c r="Q1257">
        <f>IF([2]Entry!$D$1260="","",[2]Entry!$D$1260)</f>
        <v/>
      </c>
      <c r="R1257">
        <f>IF([2]Entry!$E$1260="","",[2]Entry!$E$1260)</f>
        <v/>
      </c>
      <c r="S1257">
        <f>IF([2]Entry!$G$1260="","",[2]Entry!$G$1260)</f>
        <v/>
      </c>
      <c r="T1257">
        <f>IF([2]Entry!$J$1260="","",[2]Entry!$J$1260)</f>
        <v/>
      </c>
      <c r="U1257">
        <f>IF([2]Entry!$K$1260="","",[2]Entry!$K$1260)</f>
        <v/>
      </c>
      <c r="V1257">
        <f>IF([2]Entry!$L$1260="","",[2]Entry!$L$1260)</f>
        <v/>
      </c>
      <c r="W1257">
        <f>IF([2]Entry!$M$1260="","",[2]Entry!$M$1260)</f>
        <v/>
      </c>
      <c r="X1257">
        <f>IF([2]Entry!$N$1260="","",[2]Entry!$N$1260)</f>
        <v/>
      </c>
      <c r="Y1257">
        <f>IF([2]Entry!$R$1260="","",[2]Entry!$R$1260)</f>
        <v/>
      </c>
    </row>
    <row r="1258">
      <c r="P1258">
        <f>IF([2]Entry!$C$1261="","",[2]Entry!$C$1261)</f>
        <v/>
      </c>
      <c r="Q1258">
        <f>IF([2]Entry!$D$1261="","",[2]Entry!$D$1261)</f>
        <v/>
      </c>
      <c r="R1258">
        <f>IF([2]Entry!$E$1261="","",[2]Entry!$E$1261)</f>
        <v/>
      </c>
      <c r="S1258">
        <f>IF([2]Entry!$G$1261="","",[2]Entry!$G$1261)</f>
        <v/>
      </c>
      <c r="T1258">
        <f>IF([2]Entry!$J$1261="","",[2]Entry!$J$1261)</f>
        <v/>
      </c>
      <c r="U1258">
        <f>IF([2]Entry!$K$1261="","",[2]Entry!$K$1261)</f>
        <v/>
      </c>
      <c r="V1258">
        <f>IF([2]Entry!$L$1261="","",[2]Entry!$L$1261)</f>
        <v/>
      </c>
      <c r="W1258">
        <f>IF([2]Entry!$M$1261="","",[2]Entry!$M$1261)</f>
        <v/>
      </c>
      <c r="X1258">
        <f>IF([2]Entry!$N$1261="","",[2]Entry!$N$1261)</f>
        <v/>
      </c>
      <c r="Y1258">
        <f>IF([2]Entry!$R$1261="","",[2]Entry!$R$1261)</f>
        <v/>
      </c>
    </row>
    <row r="1259">
      <c r="P1259">
        <f>IF([2]Entry!$C$1262="","",[2]Entry!$C$1262)</f>
        <v/>
      </c>
      <c r="Q1259">
        <f>IF([2]Entry!$D$1262="","",[2]Entry!$D$1262)</f>
        <v/>
      </c>
      <c r="R1259">
        <f>IF([2]Entry!$E$1262="","",[2]Entry!$E$1262)</f>
        <v/>
      </c>
      <c r="S1259">
        <f>IF([2]Entry!$G$1262="","",[2]Entry!$G$1262)</f>
        <v/>
      </c>
      <c r="T1259">
        <f>IF([2]Entry!$J$1262="","",[2]Entry!$J$1262)</f>
        <v/>
      </c>
      <c r="U1259">
        <f>IF([2]Entry!$K$1262="","",[2]Entry!$K$1262)</f>
        <v/>
      </c>
      <c r="V1259">
        <f>IF([2]Entry!$L$1262="","",[2]Entry!$L$1262)</f>
        <v/>
      </c>
      <c r="W1259">
        <f>IF([2]Entry!$M$1262="","",[2]Entry!$M$1262)</f>
        <v/>
      </c>
      <c r="X1259">
        <f>IF([2]Entry!$N$1262="","",[2]Entry!$N$1262)</f>
        <v/>
      </c>
      <c r="Y1259">
        <f>IF([2]Entry!$R$1262="","",[2]Entry!$R$1262)</f>
        <v/>
      </c>
    </row>
    <row r="1260">
      <c r="P1260">
        <f>IF([2]Entry!$C$1263="","",[2]Entry!$C$1263)</f>
        <v/>
      </c>
      <c r="Q1260">
        <f>IF([2]Entry!$D$1263="","",[2]Entry!$D$1263)</f>
        <v/>
      </c>
      <c r="R1260">
        <f>IF([2]Entry!$E$1263="","",[2]Entry!$E$1263)</f>
        <v/>
      </c>
      <c r="S1260">
        <f>IF([2]Entry!$G$1263="","",[2]Entry!$G$1263)</f>
        <v/>
      </c>
      <c r="T1260">
        <f>IF([2]Entry!$J$1263="","",[2]Entry!$J$1263)</f>
        <v/>
      </c>
      <c r="U1260">
        <f>IF([2]Entry!$K$1263="","",[2]Entry!$K$1263)</f>
        <v/>
      </c>
      <c r="V1260">
        <f>IF([2]Entry!$L$1263="","",[2]Entry!$L$1263)</f>
        <v/>
      </c>
      <c r="W1260">
        <f>IF([2]Entry!$M$1263="","",[2]Entry!$M$1263)</f>
        <v/>
      </c>
      <c r="X1260">
        <f>IF([2]Entry!$N$1263="","",[2]Entry!$N$1263)</f>
        <v/>
      </c>
      <c r="Y1260">
        <f>IF([2]Entry!$R$1263="","",[2]Entry!$R$1263)</f>
        <v/>
      </c>
    </row>
    <row r="1261">
      <c r="P1261">
        <f>IF([2]Entry!$C$1264="","",[2]Entry!$C$1264)</f>
        <v/>
      </c>
      <c r="Q1261">
        <f>IF([2]Entry!$D$1264="","",[2]Entry!$D$1264)</f>
        <v/>
      </c>
      <c r="R1261">
        <f>IF([2]Entry!$E$1264="","",[2]Entry!$E$1264)</f>
        <v/>
      </c>
      <c r="S1261">
        <f>IF([2]Entry!$G$1264="","",[2]Entry!$G$1264)</f>
        <v/>
      </c>
      <c r="T1261">
        <f>IF([2]Entry!$J$1264="","",[2]Entry!$J$1264)</f>
        <v/>
      </c>
      <c r="U1261">
        <f>IF([2]Entry!$K$1264="","",[2]Entry!$K$1264)</f>
        <v/>
      </c>
      <c r="V1261">
        <f>IF([2]Entry!$L$1264="","",[2]Entry!$L$1264)</f>
        <v/>
      </c>
      <c r="W1261">
        <f>IF([2]Entry!$M$1264="","",[2]Entry!$M$1264)</f>
        <v/>
      </c>
      <c r="X1261">
        <f>IF([2]Entry!$N$1264="","",[2]Entry!$N$1264)</f>
        <v/>
      </c>
      <c r="Y1261">
        <f>IF([2]Entry!$R$1264="","",[2]Entry!$R$1264)</f>
        <v/>
      </c>
    </row>
    <row r="1262">
      <c r="P1262">
        <f>IF([2]Entry!$C$1265="","",[2]Entry!$C$1265)</f>
        <v/>
      </c>
      <c r="Q1262">
        <f>IF([2]Entry!$D$1265="","",[2]Entry!$D$1265)</f>
        <v/>
      </c>
      <c r="R1262">
        <f>IF([2]Entry!$E$1265="","",[2]Entry!$E$1265)</f>
        <v/>
      </c>
      <c r="S1262">
        <f>IF([2]Entry!$G$1265="","",[2]Entry!$G$1265)</f>
        <v/>
      </c>
      <c r="T1262">
        <f>IF([2]Entry!$J$1265="","",[2]Entry!$J$1265)</f>
        <v/>
      </c>
      <c r="U1262">
        <f>IF([2]Entry!$K$1265="","",[2]Entry!$K$1265)</f>
        <v/>
      </c>
      <c r="V1262">
        <f>IF([2]Entry!$L$1265="","",[2]Entry!$L$1265)</f>
        <v/>
      </c>
      <c r="W1262">
        <f>IF([2]Entry!$M$1265="","",[2]Entry!$M$1265)</f>
        <v/>
      </c>
      <c r="X1262">
        <f>IF([2]Entry!$N$1265="","",[2]Entry!$N$1265)</f>
        <v/>
      </c>
      <c r="Y1262">
        <f>IF([2]Entry!$R$1265="","",[2]Entry!$R$1265)</f>
        <v/>
      </c>
    </row>
    <row r="1263">
      <c r="P1263">
        <f>IF([2]Entry!$C$1266="","",[2]Entry!$C$1266)</f>
        <v/>
      </c>
      <c r="Q1263">
        <f>IF([2]Entry!$D$1266="","",[2]Entry!$D$1266)</f>
        <v/>
      </c>
      <c r="R1263">
        <f>IF([2]Entry!$E$1266="","",[2]Entry!$E$1266)</f>
        <v/>
      </c>
      <c r="S1263">
        <f>IF([2]Entry!$G$1266="","",[2]Entry!$G$1266)</f>
        <v/>
      </c>
      <c r="T1263">
        <f>IF([2]Entry!$J$1266="","",[2]Entry!$J$1266)</f>
        <v/>
      </c>
      <c r="U1263">
        <f>IF([2]Entry!$K$1266="","",[2]Entry!$K$1266)</f>
        <v/>
      </c>
      <c r="V1263">
        <f>IF([2]Entry!$L$1266="","",[2]Entry!$L$1266)</f>
        <v/>
      </c>
      <c r="W1263">
        <f>IF([2]Entry!$M$1266="","",[2]Entry!$M$1266)</f>
        <v/>
      </c>
      <c r="X1263">
        <f>IF([2]Entry!$N$1266="","",[2]Entry!$N$1266)</f>
        <v/>
      </c>
      <c r="Y1263">
        <f>IF([2]Entry!$R$1266="","",[2]Entry!$R$1266)</f>
        <v/>
      </c>
    </row>
    <row r="1264">
      <c r="P1264">
        <f>IF([2]Entry!$C$1267="","",[2]Entry!$C$1267)</f>
        <v/>
      </c>
      <c r="Q1264">
        <f>IF([2]Entry!$D$1267="","",[2]Entry!$D$1267)</f>
        <v/>
      </c>
      <c r="R1264">
        <f>IF([2]Entry!$E$1267="","",[2]Entry!$E$1267)</f>
        <v/>
      </c>
      <c r="S1264">
        <f>IF([2]Entry!$G$1267="","",[2]Entry!$G$1267)</f>
        <v/>
      </c>
      <c r="T1264">
        <f>IF([2]Entry!$J$1267="","",[2]Entry!$J$1267)</f>
        <v/>
      </c>
      <c r="U1264">
        <f>IF([2]Entry!$K$1267="","",[2]Entry!$K$1267)</f>
        <v/>
      </c>
      <c r="V1264">
        <f>IF([2]Entry!$L$1267="","",[2]Entry!$L$1267)</f>
        <v/>
      </c>
      <c r="W1264">
        <f>IF([2]Entry!$M$1267="","",[2]Entry!$M$1267)</f>
        <v/>
      </c>
      <c r="X1264">
        <f>IF([2]Entry!$N$1267="","",[2]Entry!$N$1267)</f>
        <v/>
      </c>
      <c r="Y1264">
        <f>IF([2]Entry!$R$1267="","",[2]Entry!$R$1267)</f>
        <v/>
      </c>
    </row>
    <row r="1265">
      <c r="P1265">
        <f>IF([2]Entry!$C$1268="","",[2]Entry!$C$1268)</f>
        <v/>
      </c>
      <c r="Q1265">
        <f>IF([2]Entry!$D$1268="","",[2]Entry!$D$1268)</f>
        <v/>
      </c>
      <c r="R1265">
        <f>IF([2]Entry!$E$1268="","",[2]Entry!$E$1268)</f>
        <v/>
      </c>
      <c r="S1265">
        <f>IF([2]Entry!$G$1268="","",[2]Entry!$G$1268)</f>
        <v/>
      </c>
      <c r="T1265">
        <f>IF([2]Entry!$J$1268="","",[2]Entry!$J$1268)</f>
        <v/>
      </c>
      <c r="U1265">
        <f>IF([2]Entry!$K$1268="","",[2]Entry!$K$1268)</f>
        <v/>
      </c>
      <c r="V1265">
        <f>IF([2]Entry!$L$1268="","",[2]Entry!$L$1268)</f>
        <v/>
      </c>
      <c r="W1265">
        <f>IF([2]Entry!$M$1268="","",[2]Entry!$M$1268)</f>
        <v/>
      </c>
      <c r="X1265">
        <f>IF([2]Entry!$N$1268="","",[2]Entry!$N$1268)</f>
        <v/>
      </c>
      <c r="Y1265">
        <f>IF([2]Entry!$R$1268="","",[2]Entry!$R$1268)</f>
        <v/>
      </c>
    </row>
    <row r="1266">
      <c r="P1266">
        <f>IF([2]Entry!$C$1269="","",[2]Entry!$C$1269)</f>
        <v/>
      </c>
      <c r="Q1266">
        <f>IF([2]Entry!$D$1269="","",[2]Entry!$D$1269)</f>
        <v/>
      </c>
      <c r="R1266">
        <f>IF([2]Entry!$E$1269="","",[2]Entry!$E$1269)</f>
        <v/>
      </c>
      <c r="S1266">
        <f>IF([2]Entry!$G$1269="","",[2]Entry!$G$1269)</f>
        <v/>
      </c>
      <c r="T1266">
        <f>IF([2]Entry!$J$1269="","",[2]Entry!$J$1269)</f>
        <v/>
      </c>
      <c r="U1266">
        <f>IF([2]Entry!$K$1269="","",[2]Entry!$K$1269)</f>
        <v/>
      </c>
      <c r="V1266">
        <f>IF([2]Entry!$L$1269="","",[2]Entry!$L$1269)</f>
        <v/>
      </c>
      <c r="W1266">
        <f>IF([2]Entry!$M$1269="","",[2]Entry!$M$1269)</f>
        <v/>
      </c>
      <c r="X1266">
        <f>IF([2]Entry!$N$1269="","",[2]Entry!$N$1269)</f>
        <v/>
      </c>
      <c r="Y1266">
        <f>IF([2]Entry!$R$1269="","",[2]Entry!$R$1269)</f>
        <v/>
      </c>
    </row>
    <row r="1267">
      <c r="P1267">
        <f>IF([2]Entry!$C$1270="","",[2]Entry!$C$1270)</f>
        <v/>
      </c>
      <c r="Q1267">
        <f>IF([2]Entry!$D$1270="","",[2]Entry!$D$1270)</f>
        <v/>
      </c>
      <c r="R1267">
        <f>IF([2]Entry!$E$1270="","",[2]Entry!$E$1270)</f>
        <v/>
      </c>
      <c r="S1267">
        <f>IF([2]Entry!$G$1270="","",[2]Entry!$G$1270)</f>
        <v/>
      </c>
      <c r="T1267">
        <f>IF([2]Entry!$J$1270="","",[2]Entry!$J$1270)</f>
        <v/>
      </c>
      <c r="U1267">
        <f>IF([2]Entry!$K$1270="","",[2]Entry!$K$1270)</f>
        <v/>
      </c>
      <c r="V1267">
        <f>IF([2]Entry!$L$1270="","",[2]Entry!$L$1270)</f>
        <v/>
      </c>
      <c r="W1267">
        <f>IF([2]Entry!$M$1270="","",[2]Entry!$M$1270)</f>
        <v/>
      </c>
      <c r="X1267">
        <f>IF([2]Entry!$N$1270="","",[2]Entry!$N$1270)</f>
        <v/>
      </c>
      <c r="Y1267">
        <f>IF([2]Entry!$R$1270="","",[2]Entry!$R$1270)</f>
        <v/>
      </c>
    </row>
    <row r="1268">
      <c r="P1268">
        <f>IF([2]Entry!$C$1271="","",[2]Entry!$C$1271)</f>
        <v/>
      </c>
      <c r="Q1268">
        <f>IF([2]Entry!$D$1271="","",[2]Entry!$D$1271)</f>
        <v/>
      </c>
      <c r="R1268">
        <f>IF([2]Entry!$E$1271="","",[2]Entry!$E$1271)</f>
        <v/>
      </c>
      <c r="S1268">
        <f>IF([2]Entry!$G$1271="","",[2]Entry!$G$1271)</f>
        <v/>
      </c>
      <c r="T1268">
        <f>IF([2]Entry!$J$1271="","",[2]Entry!$J$1271)</f>
        <v/>
      </c>
      <c r="U1268">
        <f>IF([2]Entry!$K$1271="","",[2]Entry!$K$1271)</f>
        <v/>
      </c>
      <c r="V1268">
        <f>IF([2]Entry!$L$1271="","",[2]Entry!$L$1271)</f>
        <v/>
      </c>
      <c r="W1268">
        <f>IF([2]Entry!$M$1271="","",[2]Entry!$M$1271)</f>
        <v/>
      </c>
      <c r="X1268">
        <f>IF([2]Entry!$N$1271="","",[2]Entry!$N$1271)</f>
        <v/>
      </c>
      <c r="Y1268">
        <f>IF([2]Entry!$R$1271="","",[2]Entry!$R$1271)</f>
        <v/>
      </c>
    </row>
    <row r="1269">
      <c r="P1269">
        <f>IF([2]Entry!$C$1272="","",[2]Entry!$C$1272)</f>
        <v/>
      </c>
      <c r="Q1269">
        <f>IF([2]Entry!$D$1272="","",[2]Entry!$D$1272)</f>
        <v/>
      </c>
      <c r="R1269">
        <f>IF([2]Entry!$E$1272="","",[2]Entry!$E$1272)</f>
        <v/>
      </c>
      <c r="S1269">
        <f>IF([2]Entry!$G$1272="","",[2]Entry!$G$1272)</f>
        <v/>
      </c>
      <c r="T1269">
        <f>IF([2]Entry!$J$1272="","",[2]Entry!$J$1272)</f>
        <v/>
      </c>
      <c r="U1269">
        <f>IF([2]Entry!$K$1272="","",[2]Entry!$K$1272)</f>
        <v/>
      </c>
      <c r="V1269">
        <f>IF([2]Entry!$L$1272="","",[2]Entry!$L$1272)</f>
        <v/>
      </c>
      <c r="W1269">
        <f>IF([2]Entry!$M$1272="","",[2]Entry!$M$1272)</f>
        <v/>
      </c>
      <c r="X1269">
        <f>IF([2]Entry!$N$1272="","",[2]Entry!$N$1272)</f>
        <v/>
      </c>
      <c r="Y1269">
        <f>IF([2]Entry!$R$1272="","",[2]Entry!$R$1272)</f>
        <v/>
      </c>
    </row>
    <row r="1270">
      <c r="P1270">
        <f>IF([2]Entry!$C$1273="","",[2]Entry!$C$1273)</f>
        <v/>
      </c>
      <c r="Q1270">
        <f>IF([2]Entry!$D$1273="","",[2]Entry!$D$1273)</f>
        <v/>
      </c>
      <c r="R1270">
        <f>IF([2]Entry!$E$1273="","",[2]Entry!$E$1273)</f>
        <v/>
      </c>
      <c r="S1270">
        <f>IF([2]Entry!$G$1273="","",[2]Entry!$G$1273)</f>
        <v/>
      </c>
      <c r="T1270">
        <f>IF([2]Entry!$J$1273="","",[2]Entry!$J$1273)</f>
        <v/>
      </c>
      <c r="U1270">
        <f>IF([2]Entry!$K$1273="","",[2]Entry!$K$1273)</f>
        <v/>
      </c>
      <c r="V1270">
        <f>IF([2]Entry!$L$1273="","",[2]Entry!$L$1273)</f>
        <v/>
      </c>
      <c r="W1270">
        <f>IF([2]Entry!$M$1273="","",[2]Entry!$M$1273)</f>
        <v/>
      </c>
      <c r="X1270">
        <f>IF([2]Entry!$N$1273="","",[2]Entry!$N$1273)</f>
        <v/>
      </c>
      <c r="Y1270">
        <f>IF([2]Entry!$R$1273="","",[2]Entry!$R$1273)</f>
        <v/>
      </c>
    </row>
    <row r="1271">
      <c r="P1271">
        <f>IF([2]Entry!$C$1274="","",[2]Entry!$C$1274)</f>
        <v/>
      </c>
      <c r="Q1271">
        <f>IF([2]Entry!$D$1274="","",[2]Entry!$D$1274)</f>
        <v/>
      </c>
      <c r="R1271">
        <f>IF([2]Entry!$E$1274="","",[2]Entry!$E$1274)</f>
        <v/>
      </c>
      <c r="S1271">
        <f>IF([2]Entry!$G$1274="","",[2]Entry!$G$1274)</f>
        <v/>
      </c>
      <c r="T1271">
        <f>IF([2]Entry!$J$1274="","",[2]Entry!$J$1274)</f>
        <v/>
      </c>
      <c r="U1271">
        <f>IF([2]Entry!$K$1274="","",[2]Entry!$K$1274)</f>
        <v/>
      </c>
      <c r="V1271">
        <f>IF([2]Entry!$L$1274="","",[2]Entry!$L$1274)</f>
        <v/>
      </c>
      <c r="W1271">
        <f>IF([2]Entry!$M$1274="","",[2]Entry!$M$1274)</f>
        <v/>
      </c>
      <c r="X1271">
        <f>IF([2]Entry!$N$1274="","",[2]Entry!$N$1274)</f>
        <v/>
      </c>
      <c r="Y1271">
        <f>IF([2]Entry!$R$1274="","",[2]Entry!$R$1274)</f>
        <v/>
      </c>
    </row>
    <row r="1272">
      <c r="P1272">
        <f>IF([2]Entry!$C$1275="","",[2]Entry!$C$1275)</f>
        <v/>
      </c>
      <c r="Q1272">
        <f>IF([2]Entry!$D$1275="","",[2]Entry!$D$1275)</f>
        <v/>
      </c>
      <c r="R1272">
        <f>IF([2]Entry!$E$1275="","",[2]Entry!$E$1275)</f>
        <v/>
      </c>
      <c r="S1272">
        <f>IF([2]Entry!$G$1275="","",[2]Entry!$G$1275)</f>
        <v/>
      </c>
      <c r="T1272">
        <f>IF([2]Entry!$J$1275="","",[2]Entry!$J$1275)</f>
        <v/>
      </c>
      <c r="U1272">
        <f>IF([2]Entry!$K$1275="","",[2]Entry!$K$1275)</f>
        <v/>
      </c>
      <c r="V1272">
        <f>IF([2]Entry!$L$1275="","",[2]Entry!$L$1275)</f>
        <v/>
      </c>
      <c r="W1272">
        <f>IF([2]Entry!$M$1275="","",[2]Entry!$M$1275)</f>
        <v/>
      </c>
      <c r="X1272">
        <f>IF([2]Entry!$N$1275="","",[2]Entry!$N$1275)</f>
        <v/>
      </c>
      <c r="Y1272">
        <f>IF([2]Entry!$R$1275="","",[2]Entry!$R$1275)</f>
        <v/>
      </c>
    </row>
    <row r="1273">
      <c r="P1273">
        <f>IF([2]Entry!$C$1276="","",[2]Entry!$C$1276)</f>
        <v/>
      </c>
      <c r="Q1273">
        <f>IF([2]Entry!$D$1276="","",[2]Entry!$D$1276)</f>
        <v/>
      </c>
      <c r="R1273">
        <f>IF([2]Entry!$E$1276="","",[2]Entry!$E$1276)</f>
        <v/>
      </c>
      <c r="S1273">
        <f>IF([2]Entry!$G$1276="","",[2]Entry!$G$1276)</f>
        <v/>
      </c>
      <c r="T1273">
        <f>IF([2]Entry!$J$1276="","",[2]Entry!$J$1276)</f>
        <v/>
      </c>
      <c r="U1273">
        <f>IF([2]Entry!$K$1276="","",[2]Entry!$K$1276)</f>
        <v/>
      </c>
      <c r="V1273">
        <f>IF([2]Entry!$L$1276="","",[2]Entry!$L$1276)</f>
        <v/>
      </c>
      <c r="W1273">
        <f>IF([2]Entry!$M$1276="","",[2]Entry!$M$1276)</f>
        <v/>
      </c>
      <c r="X1273">
        <f>IF([2]Entry!$N$1276="","",[2]Entry!$N$1276)</f>
        <v/>
      </c>
      <c r="Y1273">
        <f>IF([2]Entry!$R$1276="","",[2]Entry!$R$1276)</f>
        <v/>
      </c>
    </row>
    <row r="1274">
      <c r="P1274">
        <f>IF([2]Entry!$C$1277="","",[2]Entry!$C$1277)</f>
        <v/>
      </c>
      <c r="Q1274">
        <f>IF([2]Entry!$D$1277="","",[2]Entry!$D$1277)</f>
        <v/>
      </c>
      <c r="R1274">
        <f>IF([2]Entry!$E$1277="","",[2]Entry!$E$1277)</f>
        <v/>
      </c>
      <c r="S1274">
        <f>IF([2]Entry!$G$1277="","",[2]Entry!$G$1277)</f>
        <v/>
      </c>
      <c r="T1274">
        <f>IF([2]Entry!$J$1277="","",[2]Entry!$J$1277)</f>
        <v/>
      </c>
      <c r="U1274">
        <f>IF([2]Entry!$K$1277="","",[2]Entry!$K$1277)</f>
        <v/>
      </c>
      <c r="V1274">
        <f>IF([2]Entry!$L$1277="","",[2]Entry!$L$1277)</f>
        <v/>
      </c>
      <c r="W1274">
        <f>IF([2]Entry!$M$1277="","",[2]Entry!$M$1277)</f>
        <v/>
      </c>
      <c r="X1274">
        <f>IF([2]Entry!$N$1277="","",[2]Entry!$N$1277)</f>
        <v/>
      </c>
      <c r="Y1274">
        <f>IF([2]Entry!$R$1277="","",[2]Entry!$R$1277)</f>
        <v/>
      </c>
    </row>
    <row r="1275">
      <c r="P1275">
        <f>IF([2]Entry!$C$1278="","",[2]Entry!$C$1278)</f>
        <v/>
      </c>
      <c r="Q1275">
        <f>IF([2]Entry!$D$1278="","",[2]Entry!$D$1278)</f>
        <v/>
      </c>
      <c r="R1275">
        <f>IF([2]Entry!$E$1278="","",[2]Entry!$E$1278)</f>
        <v/>
      </c>
      <c r="S1275">
        <f>IF([2]Entry!$G$1278="","",[2]Entry!$G$1278)</f>
        <v/>
      </c>
      <c r="T1275">
        <f>IF([2]Entry!$J$1278="","",[2]Entry!$J$1278)</f>
        <v/>
      </c>
      <c r="U1275">
        <f>IF([2]Entry!$K$1278="","",[2]Entry!$K$1278)</f>
        <v/>
      </c>
      <c r="V1275">
        <f>IF([2]Entry!$L$1278="","",[2]Entry!$L$1278)</f>
        <v/>
      </c>
      <c r="W1275">
        <f>IF([2]Entry!$M$1278="","",[2]Entry!$M$1278)</f>
        <v/>
      </c>
      <c r="X1275">
        <f>IF([2]Entry!$N$1278="","",[2]Entry!$N$1278)</f>
        <v/>
      </c>
      <c r="Y1275">
        <f>IF([2]Entry!$R$1278="","",[2]Entry!$R$1278)</f>
        <v/>
      </c>
    </row>
    <row r="1276">
      <c r="P1276">
        <f>IF([2]Entry!$C$1279="","",[2]Entry!$C$1279)</f>
        <v/>
      </c>
      <c r="Q1276">
        <f>IF([2]Entry!$D$1279="","",[2]Entry!$D$1279)</f>
        <v/>
      </c>
      <c r="R1276">
        <f>IF([2]Entry!$E$1279="","",[2]Entry!$E$1279)</f>
        <v/>
      </c>
      <c r="S1276">
        <f>IF([2]Entry!$G$1279="","",[2]Entry!$G$1279)</f>
        <v/>
      </c>
      <c r="T1276">
        <f>IF([2]Entry!$J$1279="","",[2]Entry!$J$1279)</f>
        <v/>
      </c>
      <c r="U1276">
        <f>IF([2]Entry!$K$1279="","",[2]Entry!$K$1279)</f>
        <v/>
      </c>
      <c r="V1276">
        <f>IF([2]Entry!$L$1279="","",[2]Entry!$L$1279)</f>
        <v/>
      </c>
      <c r="W1276">
        <f>IF([2]Entry!$M$1279="","",[2]Entry!$M$1279)</f>
        <v/>
      </c>
      <c r="X1276">
        <f>IF([2]Entry!$N$1279="","",[2]Entry!$N$1279)</f>
        <v/>
      </c>
      <c r="Y1276">
        <f>IF([2]Entry!$R$1279="","",[2]Entry!$R$1279)</f>
        <v/>
      </c>
    </row>
    <row r="1277">
      <c r="P1277">
        <f>IF([2]Entry!$C$1280="","",[2]Entry!$C$1280)</f>
        <v/>
      </c>
      <c r="Q1277">
        <f>IF([2]Entry!$D$1280="","",[2]Entry!$D$1280)</f>
        <v/>
      </c>
      <c r="R1277">
        <f>IF([2]Entry!$E$1280="","",[2]Entry!$E$1280)</f>
        <v/>
      </c>
      <c r="S1277">
        <f>IF([2]Entry!$G$1280="","",[2]Entry!$G$1280)</f>
        <v/>
      </c>
      <c r="T1277">
        <f>IF([2]Entry!$J$1280="","",[2]Entry!$J$1280)</f>
        <v/>
      </c>
      <c r="U1277">
        <f>IF([2]Entry!$K$1280="","",[2]Entry!$K$1280)</f>
        <v/>
      </c>
      <c r="V1277">
        <f>IF([2]Entry!$L$1280="","",[2]Entry!$L$1280)</f>
        <v/>
      </c>
      <c r="W1277">
        <f>IF([2]Entry!$M$1280="","",[2]Entry!$M$1280)</f>
        <v/>
      </c>
      <c r="X1277">
        <f>IF([2]Entry!$N$1280="","",[2]Entry!$N$1280)</f>
        <v/>
      </c>
      <c r="Y1277">
        <f>IF([2]Entry!$R$1280="","",[2]Entry!$R$1280)</f>
        <v/>
      </c>
    </row>
    <row r="1278">
      <c r="P1278">
        <f>IF([2]Entry!$C$1281="","",[2]Entry!$C$1281)</f>
        <v/>
      </c>
      <c r="Q1278">
        <f>IF([2]Entry!$D$1281="","",[2]Entry!$D$1281)</f>
        <v/>
      </c>
      <c r="R1278">
        <f>IF([2]Entry!$E$1281="","",[2]Entry!$E$1281)</f>
        <v/>
      </c>
      <c r="S1278">
        <f>IF([2]Entry!$G$1281="","",[2]Entry!$G$1281)</f>
        <v/>
      </c>
      <c r="T1278">
        <f>IF([2]Entry!$J$1281="","",[2]Entry!$J$1281)</f>
        <v/>
      </c>
      <c r="U1278">
        <f>IF([2]Entry!$K$1281="","",[2]Entry!$K$1281)</f>
        <v/>
      </c>
      <c r="V1278">
        <f>IF([2]Entry!$L$1281="","",[2]Entry!$L$1281)</f>
        <v/>
      </c>
      <c r="W1278">
        <f>IF([2]Entry!$M$1281="","",[2]Entry!$M$1281)</f>
        <v/>
      </c>
      <c r="X1278">
        <f>IF([2]Entry!$N$1281="","",[2]Entry!$N$1281)</f>
        <v/>
      </c>
      <c r="Y1278">
        <f>IF([2]Entry!$R$1281="","",[2]Entry!$R$1281)</f>
        <v/>
      </c>
    </row>
    <row r="1279">
      <c r="P1279">
        <f>IF([2]Entry!$C$1282="","",[2]Entry!$C$1282)</f>
        <v/>
      </c>
      <c r="Q1279">
        <f>IF([2]Entry!$D$1282="","",[2]Entry!$D$1282)</f>
        <v/>
      </c>
      <c r="R1279">
        <f>IF([2]Entry!$E$1282="","",[2]Entry!$E$1282)</f>
        <v/>
      </c>
      <c r="S1279">
        <f>IF([2]Entry!$G$1282="","",[2]Entry!$G$1282)</f>
        <v/>
      </c>
      <c r="T1279">
        <f>IF([2]Entry!$J$1282="","",[2]Entry!$J$1282)</f>
        <v/>
      </c>
      <c r="U1279">
        <f>IF([2]Entry!$K$1282="","",[2]Entry!$K$1282)</f>
        <v/>
      </c>
      <c r="V1279">
        <f>IF([2]Entry!$L$1282="","",[2]Entry!$L$1282)</f>
        <v/>
      </c>
      <c r="W1279">
        <f>IF([2]Entry!$M$1282="","",[2]Entry!$M$1282)</f>
        <v/>
      </c>
      <c r="X1279">
        <f>IF([2]Entry!$N$1282="","",[2]Entry!$N$1282)</f>
        <v/>
      </c>
      <c r="Y1279">
        <f>IF([2]Entry!$R$1282="","",[2]Entry!$R$1282)</f>
        <v/>
      </c>
    </row>
    <row r="1280">
      <c r="P1280">
        <f>IF([2]Entry!$C$1283="","",[2]Entry!$C$1283)</f>
        <v/>
      </c>
      <c r="Q1280">
        <f>IF([2]Entry!$D$1283="","",[2]Entry!$D$1283)</f>
        <v/>
      </c>
      <c r="R1280">
        <f>IF([2]Entry!$E$1283="","",[2]Entry!$E$1283)</f>
        <v/>
      </c>
      <c r="S1280">
        <f>IF([2]Entry!$G$1283="","",[2]Entry!$G$1283)</f>
        <v/>
      </c>
      <c r="T1280">
        <f>IF([2]Entry!$J$1283="","",[2]Entry!$J$1283)</f>
        <v/>
      </c>
      <c r="U1280">
        <f>IF([2]Entry!$K$1283="","",[2]Entry!$K$1283)</f>
        <v/>
      </c>
      <c r="V1280">
        <f>IF([2]Entry!$L$1283="","",[2]Entry!$L$1283)</f>
        <v/>
      </c>
      <c r="W1280">
        <f>IF([2]Entry!$M$1283="","",[2]Entry!$M$1283)</f>
        <v/>
      </c>
      <c r="X1280">
        <f>IF([2]Entry!$N$1283="","",[2]Entry!$N$1283)</f>
        <v/>
      </c>
      <c r="Y1280">
        <f>IF([2]Entry!$R$1283="","",[2]Entry!$R$1283)</f>
        <v/>
      </c>
    </row>
    <row r="1281">
      <c r="P1281">
        <f>IF([2]Entry!$C$1284="","",[2]Entry!$C$1284)</f>
        <v/>
      </c>
      <c r="Q1281">
        <f>IF([2]Entry!$D$1284="","",[2]Entry!$D$1284)</f>
        <v/>
      </c>
      <c r="R1281">
        <f>IF([2]Entry!$E$1284="","",[2]Entry!$E$1284)</f>
        <v/>
      </c>
      <c r="S1281">
        <f>IF([2]Entry!$G$1284="","",[2]Entry!$G$1284)</f>
        <v/>
      </c>
      <c r="T1281">
        <f>IF([2]Entry!$J$1284="","",[2]Entry!$J$1284)</f>
        <v/>
      </c>
      <c r="U1281">
        <f>IF([2]Entry!$K$1284="","",[2]Entry!$K$1284)</f>
        <v/>
      </c>
      <c r="V1281">
        <f>IF([2]Entry!$L$1284="","",[2]Entry!$L$1284)</f>
        <v/>
      </c>
      <c r="W1281">
        <f>IF([2]Entry!$M$1284="","",[2]Entry!$M$1284)</f>
        <v/>
      </c>
      <c r="X1281">
        <f>IF([2]Entry!$N$1284="","",[2]Entry!$N$1284)</f>
        <v/>
      </c>
      <c r="Y1281">
        <f>IF([2]Entry!$R$1284="","",[2]Entry!$R$1284)</f>
        <v/>
      </c>
    </row>
    <row r="1282">
      <c r="P1282">
        <f>IF([2]Entry!$C$1285="","",[2]Entry!$C$1285)</f>
        <v/>
      </c>
      <c r="Q1282">
        <f>IF([2]Entry!$D$1285="","",[2]Entry!$D$1285)</f>
        <v/>
      </c>
      <c r="R1282">
        <f>IF([2]Entry!$E$1285="","",[2]Entry!$E$1285)</f>
        <v/>
      </c>
      <c r="S1282">
        <f>IF([2]Entry!$G$1285="","",[2]Entry!$G$1285)</f>
        <v/>
      </c>
      <c r="T1282">
        <f>IF([2]Entry!$J$1285="","",[2]Entry!$J$1285)</f>
        <v/>
      </c>
      <c r="U1282">
        <f>IF([2]Entry!$K$1285="","",[2]Entry!$K$1285)</f>
        <v/>
      </c>
      <c r="V1282">
        <f>IF([2]Entry!$L$1285="","",[2]Entry!$L$1285)</f>
        <v/>
      </c>
      <c r="W1282">
        <f>IF([2]Entry!$M$1285="","",[2]Entry!$M$1285)</f>
        <v/>
      </c>
      <c r="X1282">
        <f>IF([2]Entry!$N$1285="","",[2]Entry!$N$1285)</f>
        <v/>
      </c>
      <c r="Y1282">
        <f>IF([2]Entry!$R$1285="","",[2]Entry!$R$1285)</f>
        <v/>
      </c>
    </row>
    <row r="1283">
      <c r="P1283">
        <f>IF([2]Entry!$C$1286="","",[2]Entry!$C$1286)</f>
        <v/>
      </c>
      <c r="Q1283">
        <f>IF([2]Entry!$D$1286="","",[2]Entry!$D$1286)</f>
        <v/>
      </c>
      <c r="R1283">
        <f>IF([2]Entry!$E$1286="","",[2]Entry!$E$1286)</f>
        <v/>
      </c>
      <c r="S1283">
        <f>IF([2]Entry!$G$1286="","",[2]Entry!$G$1286)</f>
        <v/>
      </c>
      <c r="T1283">
        <f>IF([2]Entry!$J$1286="","",[2]Entry!$J$1286)</f>
        <v/>
      </c>
      <c r="U1283">
        <f>IF([2]Entry!$K$1286="","",[2]Entry!$K$1286)</f>
        <v/>
      </c>
      <c r="V1283">
        <f>IF([2]Entry!$L$1286="","",[2]Entry!$L$1286)</f>
        <v/>
      </c>
      <c r="W1283">
        <f>IF([2]Entry!$M$1286="","",[2]Entry!$M$1286)</f>
        <v/>
      </c>
      <c r="X1283">
        <f>IF([2]Entry!$N$1286="","",[2]Entry!$N$1286)</f>
        <v/>
      </c>
      <c r="Y1283">
        <f>IF([2]Entry!$R$1286="","",[2]Entry!$R$1286)</f>
        <v/>
      </c>
    </row>
    <row r="1284">
      <c r="P1284">
        <f>IF([2]Entry!$C$1287="","",[2]Entry!$C$1287)</f>
        <v/>
      </c>
      <c r="Q1284">
        <f>IF([2]Entry!$D$1287="","",[2]Entry!$D$1287)</f>
        <v/>
      </c>
      <c r="R1284">
        <f>IF([2]Entry!$E$1287="","",[2]Entry!$E$1287)</f>
        <v/>
      </c>
      <c r="S1284">
        <f>IF([2]Entry!$G$1287="","",[2]Entry!$G$1287)</f>
        <v/>
      </c>
      <c r="T1284">
        <f>IF([2]Entry!$J$1287="","",[2]Entry!$J$1287)</f>
        <v/>
      </c>
      <c r="U1284">
        <f>IF([2]Entry!$K$1287="","",[2]Entry!$K$1287)</f>
        <v/>
      </c>
      <c r="V1284">
        <f>IF([2]Entry!$L$1287="","",[2]Entry!$L$1287)</f>
        <v/>
      </c>
      <c r="W1284">
        <f>IF([2]Entry!$M$1287="","",[2]Entry!$M$1287)</f>
        <v/>
      </c>
      <c r="X1284">
        <f>IF([2]Entry!$N$1287="","",[2]Entry!$N$1287)</f>
        <v/>
      </c>
      <c r="Y1284">
        <f>IF([2]Entry!$R$1287="","",[2]Entry!$R$1287)</f>
        <v/>
      </c>
    </row>
    <row r="1285">
      <c r="P1285">
        <f>IF([2]Entry!$C$1288="","",[2]Entry!$C$1288)</f>
        <v/>
      </c>
      <c r="Q1285">
        <f>IF([2]Entry!$D$1288="","",[2]Entry!$D$1288)</f>
        <v/>
      </c>
      <c r="R1285">
        <f>IF([2]Entry!$E$1288="","",[2]Entry!$E$1288)</f>
        <v/>
      </c>
      <c r="S1285">
        <f>IF([2]Entry!$G$1288="","",[2]Entry!$G$1288)</f>
        <v/>
      </c>
      <c r="T1285">
        <f>IF([2]Entry!$J$1288="","",[2]Entry!$J$1288)</f>
        <v/>
      </c>
      <c r="U1285">
        <f>IF([2]Entry!$K$1288="","",[2]Entry!$K$1288)</f>
        <v/>
      </c>
      <c r="V1285">
        <f>IF([2]Entry!$L$1288="","",[2]Entry!$L$1288)</f>
        <v/>
      </c>
      <c r="W1285">
        <f>IF([2]Entry!$M$1288="","",[2]Entry!$M$1288)</f>
        <v/>
      </c>
      <c r="X1285">
        <f>IF([2]Entry!$N$1288="","",[2]Entry!$N$1288)</f>
        <v/>
      </c>
      <c r="Y1285">
        <f>IF([2]Entry!$R$1288="","",[2]Entry!$R$1288)</f>
        <v/>
      </c>
    </row>
    <row r="1286">
      <c r="P1286">
        <f>IF([2]Entry!$C$1289="","",[2]Entry!$C$1289)</f>
        <v/>
      </c>
      <c r="Q1286">
        <f>IF([2]Entry!$D$1289="","",[2]Entry!$D$1289)</f>
        <v/>
      </c>
      <c r="R1286">
        <f>IF([2]Entry!$E$1289="","",[2]Entry!$E$1289)</f>
        <v/>
      </c>
      <c r="S1286">
        <f>IF([2]Entry!$G$1289="","",[2]Entry!$G$1289)</f>
        <v/>
      </c>
      <c r="T1286">
        <f>IF([2]Entry!$J$1289="","",[2]Entry!$J$1289)</f>
        <v/>
      </c>
      <c r="U1286">
        <f>IF([2]Entry!$K$1289="","",[2]Entry!$K$1289)</f>
        <v/>
      </c>
      <c r="V1286">
        <f>IF([2]Entry!$L$1289="","",[2]Entry!$L$1289)</f>
        <v/>
      </c>
      <c r="W1286">
        <f>IF([2]Entry!$M$1289="","",[2]Entry!$M$1289)</f>
        <v/>
      </c>
      <c r="X1286">
        <f>IF([2]Entry!$N$1289="","",[2]Entry!$N$1289)</f>
        <v/>
      </c>
      <c r="Y1286">
        <f>IF([2]Entry!$R$1289="","",[2]Entry!$R$1289)</f>
        <v/>
      </c>
    </row>
    <row r="1287">
      <c r="P1287">
        <f>IF([2]Entry!$C$1290="","",[2]Entry!$C$1290)</f>
        <v/>
      </c>
      <c r="Q1287">
        <f>IF([2]Entry!$D$1290="","",[2]Entry!$D$1290)</f>
        <v/>
      </c>
      <c r="R1287">
        <f>IF([2]Entry!$E$1290="","",[2]Entry!$E$1290)</f>
        <v/>
      </c>
      <c r="S1287">
        <f>IF([2]Entry!$G$1290="","",[2]Entry!$G$1290)</f>
        <v/>
      </c>
      <c r="T1287">
        <f>IF([2]Entry!$J$1290="","",[2]Entry!$J$1290)</f>
        <v/>
      </c>
      <c r="U1287">
        <f>IF([2]Entry!$K$1290="","",[2]Entry!$K$1290)</f>
        <v/>
      </c>
      <c r="V1287">
        <f>IF([2]Entry!$L$1290="","",[2]Entry!$L$1290)</f>
        <v/>
      </c>
      <c r="W1287">
        <f>IF([2]Entry!$M$1290="","",[2]Entry!$M$1290)</f>
        <v/>
      </c>
      <c r="X1287">
        <f>IF([2]Entry!$N$1290="","",[2]Entry!$N$1290)</f>
        <v/>
      </c>
      <c r="Y1287">
        <f>IF([2]Entry!$R$1290="","",[2]Entry!$R$1290)</f>
        <v/>
      </c>
    </row>
    <row r="1288">
      <c r="P1288">
        <f>IF([2]Entry!$C$1291="","",[2]Entry!$C$1291)</f>
        <v/>
      </c>
      <c r="Q1288">
        <f>IF([2]Entry!$D$1291="","",[2]Entry!$D$1291)</f>
        <v/>
      </c>
      <c r="R1288">
        <f>IF([2]Entry!$E$1291="","",[2]Entry!$E$1291)</f>
        <v/>
      </c>
      <c r="S1288">
        <f>IF([2]Entry!$G$1291="","",[2]Entry!$G$1291)</f>
        <v/>
      </c>
      <c r="T1288">
        <f>IF([2]Entry!$J$1291="","",[2]Entry!$J$1291)</f>
        <v/>
      </c>
      <c r="U1288">
        <f>IF([2]Entry!$K$1291="","",[2]Entry!$K$1291)</f>
        <v/>
      </c>
      <c r="V1288">
        <f>IF([2]Entry!$L$1291="","",[2]Entry!$L$1291)</f>
        <v/>
      </c>
      <c r="W1288">
        <f>IF([2]Entry!$M$1291="","",[2]Entry!$M$1291)</f>
        <v/>
      </c>
      <c r="X1288">
        <f>IF([2]Entry!$N$1291="","",[2]Entry!$N$1291)</f>
        <v/>
      </c>
      <c r="Y1288">
        <f>IF([2]Entry!$R$1291="","",[2]Entry!$R$1291)</f>
        <v/>
      </c>
    </row>
    <row r="1289">
      <c r="P1289">
        <f>IF([2]Entry!$C$1292="","",[2]Entry!$C$1292)</f>
        <v/>
      </c>
      <c r="Q1289">
        <f>IF([2]Entry!$D$1292="","",[2]Entry!$D$1292)</f>
        <v/>
      </c>
      <c r="R1289">
        <f>IF([2]Entry!$E$1292="","",[2]Entry!$E$1292)</f>
        <v/>
      </c>
      <c r="S1289">
        <f>IF([2]Entry!$G$1292="","",[2]Entry!$G$1292)</f>
        <v/>
      </c>
      <c r="T1289">
        <f>IF([2]Entry!$J$1292="","",[2]Entry!$J$1292)</f>
        <v/>
      </c>
      <c r="U1289">
        <f>IF([2]Entry!$K$1292="","",[2]Entry!$K$1292)</f>
        <v/>
      </c>
      <c r="V1289">
        <f>IF([2]Entry!$L$1292="","",[2]Entry!$L$1292)</f>
        <v/>
      </c>
      <c r="W1289">
        <f>IF([2]Entry!$M$1292="","",[2]Entry!$M$1292)</f>
        <v/>
      </c>
      <c r="X1289">
        <f>IF([2]Entry!$N$1292="","",[2]Entry!$N$1292)</f>
        <v/>
      </c>
      <c r="Y1289">
        <f>IF([2]Entry!$R$1292="","",[2]Entry!$R$1292)</f>
        <v/>
      </c>
    </row>
    <row r="1290">
      <c r="P1290">
        <f>IF([2]Entry!$C$1293="","",[2]Entry!$C$1293)</f>
        <v/>
      </c>
      <c r="Q1290">
        <f>IF([2]Entry!$D$1293="","",[2]Entry!$D$1293)</f>
        <v/>
      </c>
      <c r="R1290">
        <f>IF([2]Entry!$E$1293="","",[2]Entry!$E$1293)</f>
        <v/>
      </c>
      <c r="S1290">
        <f>IF([2]Entry!$G$1293="","",[2]Entry!$G$1293)</f>
        <v/>
      </c>
      <c r="T1290">
        <f>IF([2]Entry!$J$1293="","",[2]Entry!$J$1293)</f>
        <v/>
      </c>
      <c r="U1290">
        <f>IF([2]Entry!$K$1293="","",[2]Entry!$K$1293)</f>
        <v/>
      </c>
      <c r="V1290">
        <f>IF([2]Entry!$L$1293="","",[2]Entry!$L$1293)</f>
        <v/>
      </c>
      <c r="W1290">
        <f>IF([2]Entry!$M$1293="","",[2]Entry!$M$1293)</f>
        <v/>
      </c>
      <c r="X1290">
        <f>IF([2]Entry!$N$1293="","",[2]Entry!$N$1293)</f>
        <v/>
      </c>
      <c r="Y1290">
        <f>IF([2]Entry!$R$1293="","",[2]Entry!$R$1293)</f>
        <v/>
      </c>
    </row>
    <row r="1291">
      <c r="P1291">
        <f>IF([2]Entry!$C$1294="","",[2]Entry!$C$1294)</f>
        <v/>
      </c>
      <c r="Q1291">
        <f>IF([2]Entry!$D$1294="","",[2]Entry!$D$1294)</f>
        <v/>
      </c>
      <c r="R1291">
        <f>IF([2]Entry!$E$1294="","",[2]Entry!$E$1294)</f>
        <v/>
      </c>
      <c r="S1291">
        <f>IF([2]Entry!$G$1294="","",[2]Entry!$G$1294)</f>
        <v/>
      </c>
      <c r="T1291">
        <f>IF([2]Entry!$J$1294="","",[2]Entry!$J$1294)</f>
        <v/>
      </c>
      <c r="U1291">
        <f>IF([2]Entry!$K$1294="","",[2]Entry!$K$1294)</f>
        <v/>
      </c>
      <c r="V1291">
        <f>IF([2]Entry!$L$1294="","",[2]Entry!$L$1294)</f>
        <v/>
      </c>
      <c r="W1291">
        <f>IF([2]Entry!$M$1294="","",[2]Entry!$M$1294)</f>
        <v/>
      </c>
      <c r="X1291">
        <f>IF([2]Entry!$N$1294="","",[2]Entry!$N$1294)</f>
        <v/>
      </c>
      <c r="Y1291">
        <f>IF([2]Entry!$R$1294="","",[2]Entry!$R$1294)</f>
        <v/>
      </c>
    </row>
    <row r="1292">
      <c r="P1292">
        <f>IF([2]Entry!$C$1295="","",[2]Entry!$C$1295)</f>
        <v/>
      </c>
      <c r="Q1292">
        <f>IF([2]Entry!$D$1295="","",[2]Entry!$D$1295)</f>
        <v/>
      </c>
      <c r="R1292">
        <f>IF([2]Entry!$E$1295="","",[2]Entry!$E$1295)</f>
        <v/>
      </c>
      <c r="S1292">
        <f>IF([2]Entry!$G$1295="","",[2]Entry!$G$1295)</f>
        <v/>
      </c>
      <c r="T1292">
        <f>IF([2]Entry!$J$1295="","",[2]Entry!$J$1295)</f>
        <v/>
      </c>
      <c r="U1292">
        <f>IF([2]Entry!$K$1295="","",[2]Entry!$K$1295)</f>
        <v/>
      </c>
      <c r="V1292">
        <f>IF([2]Entry!$L$1295="","",[2]Entry!$L$1295)</f>
        <v/>
      </c>
      <c r="W1292">
        <f>IF([2]Entry!$M$1295="","",[2]Entry!$M$1295)</f>
        <v/>
      </c>
      <c r="X1292">
        <f>IF([2]Entry!$N$1295="","",[2]Entry!$N$1295)</f>
        <v/>
      </c>
      <c r="Y1292">
        <f>IF([2]Entry!$R$1295="","",[2]Entry!$R$1295)</f>
        <v/>
      </c>
    </row>
    <row r="1293">
      <c r="P1293">
        <f>IF([2]Entry!$C$1296="","",[2]Entry!$C$1296)</f>
        <v/>
      </c>
      <c r="Q1293">
        <f>IF([2]Entry!$D$1296="","",[2]Entry!$D$1296)</f>
        <v/>
      </c>
      <c r="R1293">
        <f>IF([2]Entry!$E$1296="","",[2]Entry!$E$1296)</f>
        <v/>
      </c>
      <c r="S1293">
        <f>IF([2]Entry!$G$1296="","",[2]Entry!$G$1296)</f>
        <v/>
      </c>
      <c r="T1293">
        <f>IF([2]Entry!$J$1296="","",[2]Entry!$J$1296)</f>
        <v/>
      </c>
      <c r="U1293">
        <f>IF([2]Entry!$K$1296="","",[2]Entry!$K$1296)</f>
        <v/>
      </c>
      <c r="V1293">
        <f>IF([2]Entry!$L$1296="","",[2]Entry!$L$1296)</f>
        <v/>
      </c>
      <c r="W1293">
        <f>IF([2]Entry!$M$1296="","",[2]Entry!$M$1296)</f>
        <v/>
      </c>
      <c r="X1293">
        <f>IF([2]Entry!$N$1296="","",[2]Entry!$N$1296)</f>
        <v/>
      </c>
      <c r="Y1293">
        <f>IF([2]Entry!$R$1296="","",[2]Entry!$R$1296)</f>
        <v/>
      </c>
    </row>
    <row r="1294">
      <c r="P1294">
        <f>IF([2]Entry!$C$1297="","",[2]Entry!$C$1297)</f>
        <v/>
      </c>
      <c r="Q1294">
        <f>IF([2]Entry!$D$1297="","",[2]Entry!$D$1297)</f>
        <v/>
      </c>
      <c r="R1294">
        <f>IF([2]Entry!$E$1297="","",[2]Entry!$E$1297)</f>
        <v/>
      </c>
      <c r="S1294">
        <f>IF([2]Entry!$G$1297="","",[2]Entry!$G$1297)</f>
        <v/>
      </c>
      <c r="T1294">
        <f>IF([2]Entry!$J$1297="","",[2]Entry!$J$1297)</f>
        <v/>
      </c>
      <c r="U1294">
        <f>IF([2]Entry!$K$1297="","",[2]Entry!$K$1297)</f>
        <v/>
      </c>
      <c r="V1294">
        <f>IF([2]Entry!$L$1297="","",[2]Entry!$L$1297)</f>
        <v/>
      </c>
      <c r="W1294">
        <f>IF([2]Entry!$M$1297="","",[2]Entry!$M$1297)</f>
        <v/>
      </c>
      <c r="X1294">
        <f>IF([2]Entry!$N$1297="","",[2]Entry!$N$1297)</f>
        <v/>
      </c>
      <c r="Y1294">
        <f>IF([2]Entry!$R$1297="","",[2]Entry!$R$1297)</f>
        <v/>
      </c>
    </row>
    <row r="1295">
      <c r="P1295">
        <f>IF([2]Entry!$C$1298="","",[2]Entry!$C$1298)</f>
        <v/>
      </c>
      <c r="Q1295">
        <f>IF([2]Entry!$D$1298="","",[2]Entry!$D$1298)</f>
        <v/>
      </c>
      <c r="R1295">
        <f>IF([2]Entry!$E$1298="","",[2]Entry!$E$1298)</f>
        <v/>
      </c>
      <c r="S1295">
        <f>IF([2]Entry!$G$1298="","",[2]Entry!$G$1298)</f>
        <v/>
      </c>
      <c r="T1295">
        <f>IF([2]Entry!$J$1298="","",[2]Entry!$J$1298)</f>
        <v/>
      </c>
      <c r="U1295">
        <f>IF([2]Entry!$K$1298="","",[2]Entry!$K$1298)</f>
        <v/>
      </c>
      <c r="V1295">
        <f>IF([2]Entry!$L$1298="","",[2]Entry!$L$1298)</f>
        <v/>
      </c>
      <c r="W1295">
        <f>IF([2]Entry!$M$1298="","",[2]Entry!$M$1298)</f>
        <v/>
      </c>
      <c r="X1295">
        <f>IF([2]Entry!$N$1298="","",[2]Entry!$N$1298)</f>
        <v/>
      </c>
      <c r="Y1295">
        <f>IF([2]Entry!$R$1298="","",[2]Entry!$R$1298)</f>
        <v/>
      </c>
    </row>
    <row r="1296">
      <c r="P1296">
        <f>IF([2]Entry!$C$1299="","",[2]Entry!$C$1299)</f>
        <v/>
      </c>
      <c r="Q1296">
        <f>IF([2]Entry!$D$1299="","",[2]Entry!$D$1299)</f>
        <v/>
      </c>
      <c r="R1296">
        <f>IF([2]Entry!$E$1299="","",[2]Entry!$E$1299)</f>
        <v/>
      </c>
      <c r="S1296">
        <f>IF([2]Entry!$G$1299="","",[2]Entry!$G$1299)</f>
        <v/>
      </c>
      <c r="T1296">
        <f>IF([2]Entry!$J$1299="","",[2]Entry!$J$1299)</f>
        <v/>
      </c>
      <c r="U1296">
        <f>IF([2]Entry!$K$1299="","",[2]Entry!$K$1299)</f>
        <v/>
      </c>
      <c r="V1296">
        <f>IF([2]Entry!$L$1299="","",[2]Entry!$L$1299)</f>
        <v/>
      </c>
      <c r="W1296">
        <f>IF([2]Entry!$M$1299="","",[2]Entry!$M$1299)</f>
        <v/>
      </c>
      <c r="X1296">
        <f>IF([2]Entry!$N$1299="","",[2]Entry!$N$1299)</f>
        <v/>
      </c>
      <c r="Y1296">
        <f>IF([2]Entry!$R$1299="","",[2]Entry!$R$1299)</f>
        <v/>
      </c>
    </row>
    <row r="1297">
      <c r="P1297">
        <f>IF([2]Entry!$C$1300="","",[2]Entry!$C$1300)</f>
        <v/>
      </c>
      <c r="Q1297">
        <f>IF([2]Entry!$D$1300="","",[2]Entry!$D$1300)</f>
        <v/>
      </c>
      <c r="R1297">
        <f>IF([2]Entry!$E$1300="","",[2]Entry!$E$1300)</f>
        <v/>
      </c>
      <c r="S1297">
        <f>IF([2]Entry!$G$1300="","",[2]Entry!$G$1300)</f>
        <v/>
      </c>
      <c r="T1297">
        <f>IF([2]Entry!$J$1300="","",[2]Entry!$J$1300)</f>
        <v/>
      </c>
      <c r="U1297">
        <f>IF([2]Entry!$K$1300="","",[2]Entry!$K$1300)</f>
        <v/>
      </c>
      <c r="V1297">
        <f>IF([2]Entry!$L$1300="","",[2]Entry!$L$1300)</f>
        <v/>
      </c>
      <c r="W1297">
        <f>IF([2]Entry!$M$1300="","",[2]Entry!$M$1300)</f>
        <v/>
      </c>
      <c r="X1297">
        <f>IF([2]Entry!$N$1300="","",[2]Entry!$N$1300)</f>
        <v/>
      </c>
      <c r="Y1297">
        <f>IF([2]Entry!$R$1300="","",[2]Entry!$R$1300)</f>
        <v/>
      </c>
    </row>
    <row r="1298">
      <c r="P1298">
        <f>IF([2]Entry!$C$1301="","",[2]Entry!$C$1301)</f>
        <v/>
      </c>
      <c r="Q1298">
        <f>IF([2]Entry!$D$1301="","",[2]Entry!$D$1301)</f>
        <v/>
      </c>
      <c r="R1298">
        <f>IF([2]Entry!$E$1301="","",[2]Entry!$E$1301)</f>
        <v/>
      </c>
      <c r="S1298">
        <f>IF([2]Entry!$G$1301="","",[2]Entry!$G$1301)</f>
        <v/>
      </c>
      <c r="T1298">
        <f>IF([2]Entry!$J$1301="","",[2]Entry!$J$1301)</f>
        <v/>
      </c>
      <c r="U1298">
        <f>IF([2]Entry!$K$1301="","",[2]Entry!$K$1301)</f>
        <v/>
      </c>
      <c r="V1298">
        <f>IF([2]Entry!$L$1301="","",[2]Entry!$L$1301)</f>
        <v/>
      </c>
      <c r="W1298">
        <f>IF([2]Entry!$M$1301="","",[2]Entry!$M$1301)</f>
        <v/>
      </c>
      <c r="X1298">
        <f>IF([2]Entry!$N$1301="","",[2]Entry!$N$1301)</f>
        <v/>
      </c>
      <c r="Y1298">
        <f>IF([2]Entry!$R$1301="","",[2]Entry!$R$1301)</f>
        <v/>
      </c>
    </row>
    <row r="1299">
      <c r="P1299">
        <f>IF([2]Entry!$C$1302="","",[2]Entry!$C$1302)</f>
        <v/>
      </c>
      <c r="Q1299">
        <f>IF([2]Entry!$D$1302="","",[2]Entry!$D$1302)</f>
        <v/>
      </c>
      <c r="R1299">
        <f>IF([2]Entry!$E$1302="","",[2]Entry!$E$1302)</f>
        <v/>
      </c>
      <c r="S1299">
        <f>IF([2]Entry!$G$1302="","",[2]Entry!$G$1302)</f>
        <v/>
      </c>
      <c r="T1299">
        <f>IF([2]Entry!$J$1302="","",[2]Entry!$J$1302)</f>
        <v/>
      </c>
      <c r="U1299">
        <f>IF([2]Entry!$K$1302="","",[2]Entry!$K$1302)</f>
        <v/>
      </c>
      <c r="V1299">
        <f>IF([2]Entry!$L$1302="","",[2]Entry!$L$1302)</f>
        <v/>
      </c>
      <c r="W1299">
        <f>IF([2]Entry!$M$1302="","",[2]Entry!$M$1302)</f>
        <v/>
      </c>
      <c r="X1299">
        <f>IF([2]Entry!$N$1302="","",[2]Entry!$N$1302)</f>
        <v/>
      </c>
      <c r="Y1299">
        <f>IF([2]Entry!$R$1302="","",[2]Entry!$R$1302)</f>
        <v/>
      </c>
    </row>
    <row r="1300">
      <c r="P1300">
        <f>IF([2]Entry!$C$1303="","",[2]Entry!$C$1303)</f>
        <v/>
      </c>
      <c r="Q1300">
        <f>IF([2]Entry!$D$1303="","",[2]Entry!$D$1303)</f>
        <v/>
      </c>
      <c r="R1300">
        <f>IF([2]Entry!$E$1303="","",[2]Entry!$E$1303)</f>
        <v/>
      </c>
      <c r="S1300">
        <f>IF([2]Entry!$G$1303="","",[2]Entry!$G$1303)</f>
        <v/>
      </c>
      <c r="T1300">
        <f>IF([2]Entry!$J$1303="","",[2]Entry!$J$1303)</f>
        <v/>
      </c>
      <c r="U1300">
        <f>IF([2]Entry!$K$1303="","",[2]Entry!$K$1303)</f>
        <v/>
      </c>
      <c r="V1300">
        <f>IF([2]Entry!$L$1303="","",[2]Entry!$L$1303)</f>
        <v/>
      </c>
      <c r="W1300">
        <f>IF([2]Entry!$M$1303="","",[2]Entry!$M$1303)</f>
        <v/>
      </c>
      <c r="X1300">
        <f>IF([2]Entry!$N$1303="","",[2]Entry!$N$1303)</f>
        <v/>
      </c>
      <c r="Y1300">
        <f>IF([2]Entry!$R$1303="","",[2]Entry!$R$1303)</f>
        <v/>
      </c>
    </row>
    <row r="1301">
      <c r="P1301">
        <f>IF([2]Entry!$C$1304="","",[2]Entry!$C$1304)</f>
        <v/>
      </c>
      <c r="Q1301">
        <f>IF([2]Entry!$D$1304="","",[2]Entry!$D$1304)</f>
        <v/>
      </c>
      <c r="R1301">
        <f>IF([2]Entry!$E$1304="","",[2]Entry!$E$1304)</f>
        <v/>
      </c>
      <c r="S1301">
        <f>IF([2]Entry!$G$1304="","",[2]Entry!$G$1304)</f>
        <v/>
      </c>
      <c r="T1301">
        <f>IF([2]Entry!$J$1304="","",[2]Entry!$J$1304)</f>
        <v/>
      </c>
      <c r="U1301">
        <f>IF([2]Entry!$K$1304="","",[2]Entry!$K$1304)</f>
        <v/>
      </c>
      <c r="V1301">
        <f>IF([2]Entry!$L$1304="","",[2]Entry!$L$1304)</f>
        <v/>
      </c>
      <c r="W1301">
        <f>IF([2]Entry!$M$1304="","",[2]Entry!$M$1304)</f>
        <v/>
      </c>
      <c r="X1301">
        <f>IF([2]Entry!$N$1304="","",[2]Entry!$N$1304)</f>
        <v/>
      </c>
      <c r="Y1301">
        <f>IF([2]Entry!$R$1304="","",[2]Entry!$R$1304)</f>
        <v/>
      </c>
    </row>
    <row r="1302">
      <c r="P1302">
        <f>IF([2]Entry!$C$1305="","",[2]Entry!$C$1305)</f>
        <v/>
      </c>
      <c r="Q1302">
        <f>IF([2]Entry!$D$1305="","",[2]Entry!$D$1305)</f>
        <v/>
      </c>
      <c r="R1302">
        <f>IF([2]Entry!$E$1305="","",[2]Entry!$E$1305)</f>
        <v/>
      </c>
      <c r="S1302">
        <f>IF([2]Entry!$G$1305="","",[2]Entry!$G$1305)</f>
        <v/>
      </c>
      <c r="T1302">
        <f>IF([2]Entry!$J$1305="","",[2]Entry!$J$1305)</f>
        <v/>
      </c>
      <c r="U1302">
        <f>IF([2]Entry!$K$1305="","",[2]Entry!$K$1305)</f>
        <v/>
      </c>
      <c r="V1302">
        <f>IF([2]Entry!$L$1305="","",[2]Entry!$L$1305)</f>
        <v/>
      </c>
      <c r="W1302">
        <f>IF([2]Entry!$M$1305="","",[2]Entry!$M$1305)</f>
        <v/>
      </c>
      <c r="X1302">
        <f>IF([2]Entry!$N$1305="","",[2]Entry!$N$1305)</f>
        <v/>
      </c>
      <c r="Y1302">
        <f>IF([2]Entry!$R$1305="","",[2]Entry!$R$1305)</f>
        <v/>
      </c>
    </row>
    <row r="1303">
      <c r="P1303">
        <f>IF([2]Entry!$C$1306="","",[2]Entry!$C$1306)</f>
        <v/>
      </c>
      <c r="Q1303">
        <f>IF([2]Entry!$D$1306="","",[2]Entry!$D$1306)</f>
        <v/>
      </c>
      <c r="R1303">
        <f>IF([2]Entry!$E$1306="","",[2]Entry!$E$1306)</f>
        <v/>
      </c>
      <c r="S1303">
        <f>IF([2]Entry!$G$1306="","",[2]Entry!$G$1306)</f>
        <v/>
      </c>
      <c r="T1303">
        <f>IF([2]Entry!$J$1306="","",[2]Entry!$J$1306)</f>
        <v/>
      </c>
      <c r="U1303">
        <f>IF([2]Entry!$K$1306="","",[2]Entry!$K$1306)</f>
        <v/>
      </c>
      <c r="V1303">
        <f>IF([2]Entry!$L$1306="","",[2]Entry!$L$1306)</f>
        <v/>
      </c>
      <c r="W1303">
        <f>IF([2]Entry!$M$1306="","",[2]Entry!$M$1306)</f>
        <v/>
      </c>
      <c r="X1303">
        <f>IF([2]Entry!$N$1306="","",[2]Entry!$N$1306)</f>
        <v/>
      </c>
      <c r="Y1303">
        <f>IF([2]Entry!$R$1306="","",[2]Entry!$R$1306)</f>
        <v/>
      </c>
    </row>
    <row r="1304">
      <c r="P1304">
        <f>IF([2]Entry!$C$1307="","",[2]Entry!$C$1307)</f>
        <v/>
      </c>
      <c r="Q1304">
        <f>IF([2]Entry!$D$1307="","",[2]Entry!$D$1307)</f>
        <v/>
      </c>
      <c r="R1304">
        <f>IF([2]Entry!$E$1307="","",[2]Entry!$E$1307)</f>
        <v/>
      </c>
      <c r="S1304">
        <f>IF([2]Entry!$G$1307="","",[2]Entry!$G$1307)</f>
        <v/>
      </c>
      <c r="T1304">
        <f>IF([2]Entry!$J$1307="","",[2]Entry!$J$1307)</f>
        <v/>
      </c>
      <c r="U1304">
        <f>IF([2]Entry!$K$1307="","",[2]Entry!$K$1307)</f>
        <v/>
      </c>
      <c r="V1304">
        <f>IF([2]Entry!$L$1307="","",[2]Entry!$L$1307)</f>
        <v/>
      </c>
      <c r="W1304">
        <f>IF([2]Entry!$M$1307="","",[2]Entry!$M$1307)</f>
        <v/>
      </c>
      <c r="X1304">
        <f>IF([2]Entry!$N$1307="","",[2]Entry!$N$1307)</f>
        <v/>
      </c>
      <c r="Y1304">
        <f>IF([2]Entry!$R$1307="","",[2]Entry!$R$1307)</f>
        <v/>
      </c>
    </row>
    <row r="1305">
      <c r="P1305">
        <f>IF([2]Entry!$C$1308="","",[2]Entry!$C$1308)</f>
        <v/>
      </c>
      <c r="Q1305">
        <f>IF([2]Entry!$D$1308="","",[2]Entry!$D$1308)</f>
        <v/>
      </c>
      <c r="R1305">
        <f>IF([2]Entry!$E$1308="","",[2]Entry!$E$1308)</f>
        <v/>
      </c>
      <c r="S1305">
        <f>IF([2]Entry!$G$1308="","",[2]Entry!$G$1308)</f>
        <v/>
      </c>
      <c r="T1305">
        <f>IF([2]Entry!$J$1308="","",[2]Entry!$J$1308)</f>
        <v/>
      </c>
      <c r="U1305">
        <f>IF([2]Entry!$K$1308="","",[2]Entry!$K$1308)</f>
        <v/>
      </c>
      <c r="V1305">
        <f>IF([2]Entry!$L$1308="","",[2]Entry!$L$1308)</f>
        <v/>
      </c>
      <c r="W1305">
        <f>IF([2]Entry!$M$1308="","",[2]Entry!$M$1308)</f>
        <v/>
      </c>
      <c r="X1305">
        <f>IF([2]Entry!$N$1308="","",[2]Entry!$N$1308)</f>
        <v/>
      </c>
      <c r="Y1305">
        <f>IF([2]Entry!$R$1308="","",[2]Entry!$R$1308)</f>
        <v/>
      </c>
    </row>
    <row r="1306">
      <c r="P1306">
        <f>IF([2]Entry!$C$1309="","",[2]Entry!$C$1309)</f>
        <v/>
      </c>
      <c r="Q1306">
        <f>IF([2]Entry!$D$1309="","",[2]Entry!$D$1309)</f>
        <v/>
      </c>
      <c r="R1306">
        <f>IF([2]Entry!$E$1309="","",[2]Entry!$E$1309)</f>
        <v/>
      </c>
      <c r="S1306">
        <f>IF([2]Entry!$G$1309="","",[2]Entry!$G$1309)</f>
        <v/>
      </c>
      <c r="T1306">
        <f>IF([2]Entry!$J$1309="","",[2]Entry!$J$1309)</f>
        <v/>
      </c>
      <c r="U1306">
        <f>IF([2]Entry!$K$1309="","",[2]Entry!$K$1309)</f>
        <v/>
      </c>
      <c r="V1306">
        <f>IF([2]Entry!$L$1309="","",[2]Entry!$L$1309)</f>
        <v/>
      </c>
      <c r="W1306">
        <f>IF([2]Entry!$M$1309="","",[2]Entry!$M$1309)</f>
        <v/>
      </c>
      <c r="X1306">
        <f>IF([2]Entry!$N$1309="","",[2]Entry!$N$1309)</f>
        <v/>
      </c>
      <c r="Y1306">
        <f>IF([2]Entry!$R$1309="","",[2]Entry!$R$1309)</f>
        <v/>
      </c>
    </row>
    <row r="1307">
      <c r="P1307">
        <f>IF([2]Entry!$C$1310="","",[2]Entry!$C$1310)</f>
        <v/>
      </c>
      <c r="Q1307">
        <f>IF([2]Entry!$D$1310="","",[2]Entry!$D$1310)</f>
        <v/>
      </c>
      <c r="R1307">
        <f>IF([2]Entry!$E$1310="","",[2]Entry!$E$1310)</f>
        <v/>
      </c>
      <c r="S1307">
        <f>IF([2]Entry!$G$1310="","",[2]Entry!$G$1310)</f>
        <v/>
      </c>
      <c r="T1307">
        <f>IF([2]Entry!$J$1310="","",[2]Entry!$J$1310)</f>
        <v/>
      </c>
      <c r="U1307">
        <f>IF([2]Entry!$K$1310="","",[2]Entry!$K$1310)</f>
        <v/>
      </c>
      <c r="V1307">
        <f>IF([2]Entry!$L$1310="","",[2]Entry!$L$1310)</f>
        <v/>
      </c>
      <c r="W1307">
        <f>IF([2]Entry!$M$1310="","",[2]Entry!$M$1310)</f>
        <v/>
      </c>
      <c r="X1307">
        <f>IF([2]Entry!$N$1310="","",[2]Entry!$N$1310)</f>
        <v/>
      </c>
      <c r="Y1307">
        <f>IF([2]Entry!$R$1310="","",[2]Entry!$R$1310)</f>
        <v/>
      </c>
    </row>
    <row r="1308">
      <c r="P1308">
        <f>IF([2]Entry!$C$1311="","",[2]Entry!$C$1311)</f>
        <v/>
      </c>
      <c r="Q1308">
        <f>IF([2]Entry!$D$1311="","",[2]Entry!$D$1311)</f>
        <v/>
      </c>
      <c r="R1308">
        <f>IF([2]Entry!$E$1311="","",[2]Entry!$E$1311)</f>
        <v/>
      </c>
      <c r="S1308">
        <f>IF([2]Entry!$G$1311="","",[2]Entry!$G$1311)</f>
        <v/>
      </c>
      <c r="T1308">
        <f>IF([2]Entry!$J$1311="","",[2]Entry!$J$1311)</f>
        <v/>
      </c>
      <c r="U1308">
        <f>IF([2]Entry!$K$1311="","",[2]Entry!$K$1311)</f>
        <v/>
      </c>
      <c r="V1308">
        <f>IF([2]Entry!$L$1311="","",[2]Entry!$L$1311)</f>
        <v/>
      </c>
      <c r="W1308">
        <f>IF([2]Entry!$M$1311="","",[2]Entry!$M$1311)</f>
        <v/>
      </c>
      <c r="X1308">
        <f>IF([2]Entry!$N$1311="","",[2]Entry!$N$1311)</f>
        <v/>
      </c>
      <c r="Y1308">
        <f>IF([2]Entry!$R$1311="","",[2]Entry!$R$1311)</f>
        <v/>
      </c>
    </row>
    <row r="1309">
      <c r="P1309">
        <f>IF([2]Entry!$C$1312="","",[2]Entry!$C$1312)</f>
        <v/>
      </c>
      <c r="Q1309">
        <f>IF([2]Entry!$D$1312="","",[2]Entry!$D$1312)</f>
        <v/>
      </c>
      <c r="R1309">
        <f>IF([2]Entry!$E$1312="","",[2]Entry!$E$1312)</f>
        <v/>
      </c>
      <c r="S1309">
        <f>IF([2]Entry!$G$1312="","",[2]Entry!$G$1312)</f>
        <v/>
      </c>
      <c r="T1309">
        <f>IF([2]Entry!$J$1312="","",[2]Entry!$J$1312)</f>
        <v/>
      </c>
      <c r="U1309">
        <f>IF([2]Entry!$K$1312="","",[2]Entry!$K$1312)</f>
        <v/>
      </c>
      <c r="V1309">
        <f>IF([2]Entry!$L$1312="","",[2]Entry!$L$1312)</f>
        <v/>
      </c>
      <c r="W1309">
        <f>IF([2]Entry!$M$1312="","",[2]Entry!$M$1312)</f>
        <v/>
      </c>
      <c r="X1309">
        <f>IF([2]Entry!$N$1312="","",[2]Entry!$N$1312)</f>
        <v/>
      </c>
      <c r="Y1309">
        <f>IF([2]Entry!$R$1312="","",[2]Entry!$R$1312)</f>
        <v/>
      </c>
    </row>
    <row r="1310">
      <c r="P1310">
        <f>IF([2]Entry!$C$1313="","",[2]Entry!$C$1313)</f>
        <v/>
      </c>
      <c r="Q1310">
        <f>IF([2]Entry!$D$1313="","",[2]Entry!$D$1313)</f>
        <v/>
      </c>
      <c r="R1310">
        <f>IF([2]Entry!$E$1313="","",[2]Entry!$E$1313)</f>
        <v/>
      </c>
      <c r="S1310">
        <f>IF([2]Entry!$G$1313="","",[2]Entry!$G$1313)</f>
        <v/>
      </c>
      <c r="T1310">
        <f>IF([2]Entry!$J$1313="","",[2]Entry!$J$1313)</f>
        <v/>
      </c>
      <c r="U1310">
        <f>IF([2]Entry!$K$1313="","",[2]Entry!$K$1313)</f>
        <v/>
      </c>
      <c r="V1310">
        <f>IF([2]Entry!$L$1313="","",[2]Entry!$L$1313)</f>
        <v/>
      </c>
      <c r="W1310">
        <f>IF([2]Entry!$M$1313="","",[2]Entry!$M$1313)</f>
        <v/>
      </c>
      <c r="X1310">
        <f>IF([2]Entry!$N$1313="","",[2]Entry!$N$1313)</f>
        <v/>
      </c>
      <c r="Y1310">
        <f>IF([2]Entry!$R$1313="","",[2]Entry!$R$1313)</f>
        <v/>
      </c>
    </row>
    <row r="1311">
      <c r="P1311">
        <f>IF([2]Entry!$C$1314="","",[2]Entry!$C$1314)</f>
        <v/>
      </c>
      <c r="Q1311">
        <f>IF([2]Entry!$D$1314="","",[2]Entry!$D$1314)</f>
        <v/>
      </c>
      <c r="R1311">
        <f>IF([2]Entry!$E$1314="","",[2]Entry!$E$1314)</f>
        <v/>
      </c>
      <c r="S1311">
        <f>IF([2]Entry!$G$1314="","",[2]Entry!$G$1314)</f>
        <v/>
      </c>
      <c r="T1311">
        <f>IF([2]Entry!$J$1314="","",[2]Entry!$J$1314)</f>
        <v/>
      </c>
      <c r="U1311">
        <f>IF([2]Entry!$K$1314="","",[2]Entry!$K$1314)</f>
        <v/>
      </c>
      <c r="V1311">
        <f>IF([2]Entry!$L$1314="","",[2]Entry!$L$1314)</f>
        <v/>
      </c>
      <c r="W1311">
        <f>IF([2]Entry!$M$1314="","",[2]Entry!$M$1314)</f>
        <v/>
      </c>
      <c r="X1311">
        <f>IF([2]Entry!$N$1314="","",[2]Entry!$N$1314)</f>
        <v/>
      </c>
      <c r="Y1311">
        <f>IF([2]Entry!$R$1314="","",[2]Entry!$R$1314)</f>
        <v/>
      </c>
    </row>
    <row r="1312">
      <c r="P1312">
        <f>IF([2]Entry!$C$1315="","",[2]Entry!$C$1315)</f>
        <v/>
      </c>
      <c r="Q1312">
        <f>IF([2]Entry!$D$1315="","",[2]Entry!$D$1315)</f>
        <v/>
      </c>
      <c r="R1312">
        <f>IF([2]Entry!$E$1315="","",[2]Entry!$E$1315)</f>
        <v/>
      </c>
      <c r="S1312">
        <f>IF([2]Entry!$G$1315="","",[2]Entry!$G$1315)</f>
        <v/>
      </c>
      <c r="T1312">
        <f>IF([2]Entry!$J$1315="","",[2]Entry!$J$1315)</f>
        <v/>
      </c>
      <c r="U1312">
        <f>IF([2]Entry!$K$1315="","",[2]Entry!$K$1315)</f>
        <v/>
      </c>
      <c r="V1312">
        <f>IF([2]Entry!$L$1315="","",[2]Entry!$L$1315)</f>
        <v/>
      </c>
      <c r="W1312">
        <f>IF([2]Entry!$M$1315="","",[2]Entry!$M$1315)</f>
        <v/>
      </c>
      <c r="X1312">
        <f>IF([2]Entry!$N$1315="","",[2]Entry!$N$1315)</f>
        <v/>
      </c>
      <c r="Y1312">
        <f>IF([2]Entry!$R$1315="","",[2]Entry!$R$1315)</f>
        <v/>
      </c>
    </row>
    <row r="1313">
      <c r="P1313">
        <f>IF([2]Entry!$C$1316="","",[2]Entry!$C$1316)</f>
        <v/>
      </c>
      <c r="Q1313">
        <f>IF([2]Entry!$D$1316="","",[2]Entry!$D$1316)</f>
        <v/>
      </c>
      <c r="R1313">
        <f>IF([2]Entry!$E$1316="","",[2]Entry!$E$1316)</f>
        <v/>
      </c>
      <c r="S1313">
        <f>IF([2]Entry!$G$1316="","",[2]Entry!$G$1316)</f>
        <v/>
      </c>
      <c r="T1313">
        <f>IF([2]Entry!$J$1316="","",[2]Entry!$J$1316)</f>
        <v/>
      </c>
      <c r="U1313">
        <f>IF([2]Entry!$K$1316="","",[2]Entry!$K$1316)</f>
        <v/>
      </c>
      <c r="V1313">
        <f>IF([2]Entry!$L$1316="","",[2]Entry!$L$1316)</f>
        <v/>
      </c>
      <c r="W1313">
        <f>IF([2]Entry!$M$1316="","",[2]Entry!$M$1316)</f>
        <v/>
      </c>
      <c r="X1313">
        <f>IF([2]Entry!$N$1316="","",[2]Entry!$N$1316)</f>
        <v/>
      </c>
      <c r="Y1313">
        <f>IF([2]Entry!$R$1316="","",[2]Entry!$R$1316)</f>
        <v/>
      </c>
    </row>
    <row r="1314">
      <c r="P1314">
        <f>IF([2]Entry!$C$1317="","",[2]Entry!$C$1317)</f>
        <v/>
      </c>
      <c r="Q1314">
        <f>IF([2]Entry!$D$1317="","",[2]Entry!$D$1317)</f>
        <v/>
      </c>
      <c r="R1314">
        <f>IF([2]Entry!$E$1317="","",[2]Entry!$E$1317)</f>
        <v/>
      </c>
      <c r="S1314">
        <f>IF([2]Entry!$G$1317="","",[2]Entry!$G$1317)</f>
        <v/>
      </c>
      <c r="T1314">
        <f>IF([2]Entry!$J$1317="","",[2]Entry!$J$1317)</f>
        <v/>
      </c>
      <c r="U1314">
        <f>IF([2]Entry!$K$1317="","",[2]Entry!$K$1317)</f>
        <v/>
      </c>
      <c r="V1314">
        <f>IF([2]Entry!$L$1317="","",[2]Entry!$L$1317)</f>
        <v/>
      </c>
      <c r="W1314">
        <f>IF([2]Entry!$M$1317="","",[2]Entry!$M$1317)</f>
        <v/>
      </c>
      <c r="X1314">
        <f>IF([2]Entry!$N$1317="","",[2]Entry!$N$1317)</f>
        <v/>
      </c>
      <c r="Y1314">
        <f>IF([2]Entry!$R$1317="","",[2]Entry!$R$1317)</f>
        <v/>
      </c>
    </row>
    <row r="1315">
      <c r="P1315">
        <f>IF([2]Entry!$C$1318="","",[2]Entry!$C$1318)</f>
        <v/>
      </c>
      <c r="Q1315">
        <f>IF([2]Entry!$D$1318="","",[2]Entry!$D$1318)</f>
        <v/>
      </c>
      <c r="R1315">
        <f>IF([2]Entry!$E$1318="","",[2]Entry!$E$1318)</f>
        <v/>
      </c>
      <c r="S1315">
        <f>IF([2]Entry!$G$1318="","",[2]Entry!$G$1318)</f>
        <v/>
      </c>
      <c r="T1315">
        <f>IF([2]Entry!$J$1318="","",[2]Entry!$J$1318)</f>
        <v/>
      </c>
      <c r="U1315">
        <f>IF([2]Entry!$K$1318="","",[2]Entry!$K$1318)</f>
        <v/>
      </c>
      <c r="V1315">
        <f>IF([2]Entry!$L$1318="","",[2]Entry!$L$1318)</f>
        <v/>
      </c>
      <c r="W1315">
        <f>IF([2]Entry!$M$1318="","",[2]Entry!$M$1318)</f>
        <v/>
      </c>
      <c r="X1315">
        <f>IF([2]Entry!$N$1318="","",[2]Entry!$N$1318)</f>
        <v/>
      </c>
      <c r="Y1315">
        <f>IF([2]Entry!$R$1318="","",[2]Entry!$R$1318)</f>
        <v/>
      </c>
    </row>
    <row r="1316">
      <c r="P1316">
        <f>IF([2]Entry!$C$1319="","",[2]Entry!$C$1319)</f>
        <v/>
      </c>
      <c r="Q1316">
        <f>IF([2]Entry!$D$1319="","",[2]Entry!$D$1319)</f>
        <v/>
      </c>
      <c r="R1316">
        <f>IF([2]Entry!$E$1319="","",[2]Entry!$E$1319)</f>
        <v/>
      </c>
      <c r="S1316">
        <f>IF([2]Entry!$G$1319="","",[2]Entry!$G$1319)</f>
        <v/>
      </c>
      <c r="T1316">
        <f>IF([2]Entry!$J$1319="","",[2]Entry!$J$1319)</f>
        <v/>
      </c>
      <c r="U1316">
        <f>IF([2]Entry!$K$1319="","",[2]Entry!$K$1319)</f>
        <v/>
      </c>
      <c r="V1316">
        <f>IF([2]Entry!$L$1319="","",[2]Entry!$L$1319)</f>
        <v/>
      </c>
      <c r="W1316">
        <f>IF([2]Entry!$M$1319="","",[2]Entry!$M$1319)</f>
        <v/>
      </c>
      <c r="X1316">
        <f>IF([2]Entry!$N$1319="","",[2]Entry!$N$1319)</f>
        <v/>
      </c>
      <c r="Y1316">
        <f>IF([2]Entry!$R$1319="","",[2]Entry!$R$1319)</f>
        <v/>
      </c>
    </row>
    <row r="1317">
      <c r="P1317">
        <f>IF([2]Entry!$C$1320="","",[2]Entry!$C$1320)</f>
        <v/>
      </c>
      <c r="Q1317">
        <f>IF([2]Entry!$D$1320="","",[2]Entry!$D$1320)</f>
        <v/>
      </c>
      <c r="R1317">
        <f>IF([2]Entry!$E$1320="","",[2]Entry!$E$1320)</f>
        <v/>
      </c>
      <c r="S1317">
        <f>IF([2]Entry!$G$1320="","",[2]Entry!$G$1320)</f>
        <v/>
      </c>
      <c r="T1317">
        <f>IF([2]Entry!$J$1320="","",[2]Entry!$J$1320)</f>
        <v/>
      </c>
      <c r="U1317">
        <f>IF([2]Entry!$K$1320="","",[2]Entry!$K$1320)</f>
        <v/>
      </c>
      <c r="V1317">
        <f>IF([2]Entry!$L$1320="","",[2]Entry!$L$1320)</f>
        <v/>
      </c>
      <c r="W1317">
        <f>IF([2]Entry!$M$1320="","",[2]Entry!$M$1320)</f>
        <v/>
      </c>
      <c r="X1317">
        <f>IF([2]Entry!$N$1320="","",[2]Entry!$N$1320)</f>
        <v/>
      </c>
      <c r="Y1317">
        <f>IF([2]Entry!$R$1320="","",[2]Entry!$R$1320)</f>
        <v/>
      </c>
    </row>
    <row r="1318">
      <c r="P1318">
        <f>IF([2]Entry!$C$1321="","",[2]Entry!$C$1321)</f>
        <v/>
      </c>
      <c r="Q1318">
        <f>IF([2]Entry!$D$1321="","",[2]Entry!$D$1321)</f>
        <v/>
      </c>
      <c r="R1318">
        <f>IF([2]Entry!$E$1321="","",[2]Entry!$E$1321)</f>
        <v/>
      </c>
      <c r="S1318">
        <f>IF([2]Entry!$G$1321="","",[2]Entry!$G$1321)</f>
        <v/>
      </c>
      <c r="T1318">
        <f>IF([2]Entry!$J$1321="","",[2]Entry!$J$1321)</f>
        <v/>
      </c>
      <c r="U1318">
        <f>IF([2]Entry!$K$1321="","",[2]Entry!$K$1321)</f>
        <v/>
      </c>
      <c r="V1318">
        <f>IF([2]Entry!$L$1321="","",[2]Entry!$L$1321)</f>
        <v/>
      </c>
      <c r="W1318">
        <f>IF([2]Entry!$M$1321="","",[2]Entry!$M$1321)</f>
        <v/>
      </c>
      <c r="X1318">
        <f>IF([2]Entry!$N$1321="","",[2]Entry!$N$1321)</f>
        <v/>
      </c>
      <c r="Y1318">
        <f>IF([2]Entry!$R$1321="","",[2]Entry!$R$1321)</f>
        <v/>
      </c>
    </row>
    <row r="1319">
      <c r="P1319">
        <f>IF([2]Entry!$C$1322="","",[2]Entry!$C$1322)</f>
        <v/>
      </c>
      <c r="Q1319">
        <f>IF([2]Entry!$D$1322="","",[2]Entry!$D$1322)</f>
        <v/>
      </c>
      <c r="R1319">
        <f>IF([2]Entry!$E$1322="","",[2]Entry!$E$1322)</f>
        <v/>
      </c>
      <c r="S1319">
        <f>IF([2]Entry!$G$1322="","",[2]Entry!$G$1322)</f>
        <v/>
      </c>
      <c r="T1319">
        <f>IF([2]Entry!$J$1322="","",[2]Entry!$J$1322)</f>
        <v/>
      </c>
      <c r="U1319">
        <f>IF([2]Entry!$K$1322="","",[2]Entry!$K$1322)</f>
        <v/>
      </c>
      <c r="V1319">
        <f>IF([2]Entry!$L$1322="","",[2]Entry!$L$1322)</f>
        <v/>
      </c>
      <c r="W1319">
        <f>IF([2]Entry!$M$1322="","",[2]Entry!$M$1322)</f>
        <v/>
      </c>
      <c r="X1319">
        <f>IF([2]Entry!$N$1322="","",[2]Entry!$N$1322)</f>
        <v/>
      </c>
      <c r="Y1319">
        <f>IF([2]Entry!$R$1322="","",[2]Entry!$R$1322)</f>
        <v/>
      </c>
    </row>
    <row r="1320">
      <c r="P1320">
        <f>IF([2]Entry!$C$1323="","",[2]Entry!$C$1323)</f>
        <v/>
      </c>
      <c r="Q1320">
        <f>IF([2]Entry!$D$1323="","",[2]Entry!$D$1323)</f>
        <v/>
      </c>
      <c r="R1320">
        <f>IF([2]Entry!$E$1323="","",[2]Entry!$E$1323)</f>
        <v/>
      </c>
      <c r="S1320">
        <f>IF([2]Entry!$G$1323="","",[2]Entry!$G$1323)</f>
        <v/>
      </c>
      <c r="T1320">
        <f>IF([2]Entry!$J$1323="","",[2]Entry!$J$1323)</f>
        <v/>
      </c>
      <c r="U1320">
        <f>IF([2]Entry!$K$1323="","",[2]Entry!$K$1323)</f>
        <v/>
      </c>
      <c r="V1320">
        <f>IF([2]Entry!$L$1323="","",[2]Entry!$L$1323)</f>
        <v/>
      </c>
      <c r="W1320">
        <f>IF([2]Entry!$M$1323="","",[2]Entry!$M$1323)</f>
        <v/>
      </c>
      <c r="X1320">
        <f>IF([2]Entry!$N$1323="","",[2]Entry!$N$1323)</f>
        <v/>
      </c>
      <c r="Y1320">
        <f>IF([2]Entry!$R$1323="","",[2]Entry!$R$1323)</f>
        <v/>
      </c>
    </row>
    <row r="1321">
      <c r="P1321">
        <f>IF([2]Entry!$C$1324="","",[2]Entry!$C$1324)</f>
        <v/>
      </c>
      <c r="Q1321">
        <f>IF([2]Entry!$D$1324="","",[2]Entry!$D$1324)</f>
        <v/>
      </c>
      <c r="R1321">
        <f>IF([2]Entry!$E$1324="","",[2]Entry!$E$1324)</f>
        <v/>
      </c>
      <c r="S1321">
        <f>IF([2]Entry!$G$1324="","",[2]Entry!$G$1324)</f>
        <v/>
      </c>
      <c r="T1321">
        <f>IF([2]Entry!$J$1324="","",[2]Entry!$J$1324)</f>
        <v/>
      </c>
      <c r="U1321">
        <f>IF([2]Entry!$K$1324="","",[2]Entry!$K$1324)</f>
        <v/>
      </c>
      <c r="V1321">
        <f>IF([2]Entry!$L$1324="","",[2]Entry!$L$1324)</f>
        <v/>
      </c>
      <c r="W1321">
        <f>IF([2]Entry!$M$1324="","",[2]Entry!$M$1324)</f>
        <v/>
      </c>
      <c r="X1321">
        <f>IF([2]Entry!$N$1324="","",[2]Entry!$N$1324)</f>
        <v/>
      </c>
      <c r="Y1321">
        <f>IF([2]Entry!$R$1324="","",[2]Entry!$R$1324)</f>
        <v/>
      </c>
    </row>
    <row r="1322">
      <c r="P1322">
        <f>IF([2]Entry!$C$1325="","",[2]Entry!$C$1325)</f>
        <v/>
      </c>
      <c r="Q1322">
        <f>IF([2]Entry!$D$1325="","",[2]Entry!$D$1325)</f>
        <v/>
      </c>
      <c r="R1322">
        <f>IF([2]Entry!$E$1325="","",[2]Entry!$E$1325)</f>
        <v/>
      </c>
      <c r="S1322">
        <f>IF([2]Entry!$G$1325="","",[2]Entry!$G$1325)</f>
        <v/>
      </c>
      <c r="T1322">
        <f>IF([2]Entry!$J$1325="","",[2]Entry!$J$1325)</f>
        <v/>
      </c>
      <c r="U1322">
        <f>IF([2]Entry!$K$1325="","",[2]Entry!$K$1325)</f>
        <v/>
      </c>
      <c r="V1322">
        <f>IF([2]Entry!$L$1325="","",[2]Entry!$L$1325)</f>
        <v/>
      </c>
      <c r="W1322">
        <f>IF([2]Entry!$M$1325="","",[2]Entry!$M$1325)</f>
        <v/>
      </c>
      <c r="X1322">
        <f>IF([2]Entry!$N$1325="","",[2]Entry!$N$1325)</f>
        <v/>
      </c>
      <c r="Y1322">
        <f>IF([2]Entry!$R$1325="","",[2]Entry!$R$1325)</f>
        <v/>
      </c>
    </row>
    <row r="1323">
      <c r="P1323">
        <f>IF([2]Entry!$C$1326="","",[2]Entry!$C$1326)</f>
        <v/>
      </c>
      <c r="Q1323">
        <f>IF([2]Entry!$D$1326="","",[2]Entry!$D$1326)</f>
        <v/>
      </c>
      <c r="R1323">
        <f>IF([2]Entry!$E$1326="","",[2]Entry!$E$1326)</f>
        <v/>
      </c>
      <c r="S1323">
        <f>IF([2]Entry!$G$1326="","",[2]Entry!$G$1326)</f>
        <v/>
      </c>
      <c r="T1323">
        <f>IF([2]Entry!$J$1326="","",[2]Entry!$J$1326)</f>
        <v/>
      </c>
      <c r="U1323">
        <f>IF([2]Entry!$K$1326="","",[2]Entry!$K$1326)</f>
        <v/>
      </c>
      <c r="V1323">
        <f>IF([2]Entry!$L$1326="","",[2]Entry!$L$1326)</f>
        <v/>
      </c>
      <c r="W1323">
        <f>IF([2]Entry!$M$1326="","",[2]Entry!$M$1326)</f>
        <v/>
      </c>
      <c r="X1323">
        <f>IF([2]Entry!$N$1326="","",[2]Entry!$N$1326)</f>
        <v/>
      </c>
      <c r="Y1323">
        <f>IF([2]Entry!$R$1326="","",[2]Entry!$R$1326)</f>
        <v/>
      </c>
    </row>
    <row r="1324">
      <c r="P1324">
        <f>IF([2]Entry!$C$1327="","",[2]Entry!$C$1327)</f>
        <v/>
      </c>
      <c r="Q1324">
        <f>IF([2]Entry!$D$1327="","",[2]Entry!$D$1327)</f>
        <v/>
      </c>
      <c r="R1324">
        <f>IF([2]Entry!$E$1327="","",[2]Entry!$E$1327)</f>
        <v/>
      </c>
      <c r="S1324">
        <f>IF([2]Entry!$G$1327="","",[2]Entry!$G$1327)</f>
        <v/>
      </c>
      <c r="T1324">
        <f>IF([2]Entry!$J$1327="","",[2]Entry!$J$1327)</f>
        <v/>
      </c>
      <c r="U1324">
        <f>IF([2]Entry!$K$1327="","",[2]Entry!$K$1327)</f>
        <v/>
      </c>
      <c r="V1324">
        <f>IF([2]Entry!$L$1327="","",[2]Entry!$L$1327)</f>
        <v/>
      </c>
      <c r="W1324">
        <f>IF([2]Entry!$M$1327="","",[2]Entry!$M$1327)</f>
        <v/>
      </c>
      <c r="X1324">
        <f>IF([2]Entry!$N$1327="","",[2]Entry!$N$1327)</f>
        <v/>
      </c>
      <c r="Y1324">
        <f>IF([2]Entry!$R$1327="","",[2]Entry!$R$1327)</f>
        <v/>
      </c>
    </row>
    <row r="1325">
      <c r="P1325">
        <f>IF([2]Entry!$C$1328="","",[2]Entry!$C$1328)</f>
        <v/>
      </c>
      <c r="Q1325">
        <f>IF([2]Entry!$D$1328="","",[2]Entry!$D$1328)</f>
        <v/>
      </c>
      <c r="R1325">
        <f>IF([2]Entry!$E$1328="","",[2]Entry!$E$1328)</f>
        <v/>
      </c>
      <c r="S1325">
        <f>IF([2]Entry!$G$1328="","",[2]Entry!$G$1328)</f>
        <v/>
      </c>
      <c r="T1325">
        <f>IF([2]Entry!$J$1328="","",[2]Entry!$J$1328)</f>
        <v/>
      </c>
      <c r="U1325">
        <f>IF([2]Entry!$K$1328="","",[2]Entry!$K$1328)</f>
        <v/>
      </c>
      <c r="V1325">
        <f>IF([2]Entry!$L$1328="","",[2]Entry!$L$1328)</f>
        <v/>
      </c>
      <c r="W1325">
        <f>IF([2]Entry!$M$1328="","",[2]Entry!$M$1328)</f>
        <v/>
      </c>
      <c r="X1325">
        <f>IF([2]Entry!$N$1328="","",[2]Entry!$N$1328)</f>
        <v/>
      </c>
      <c r="Y1325">
        <f>IF([2]Entry!$R$1328="","",[2]Entry!$R$1328)</f>
        <v/>
      </c>
    </row>
    <row r="1326">
      <c r="P1326">
        <f>IF([2]Entry!$C$1329="","",[2]Entry!$C$1329)</f>
        <v/>
      </c>
      <c r="Q1326">
        <f>IF([2]Entry!$D$1329="","",[2]Entry!$D$1329)</f>
        <v/>
      </c>
      <c r="R1326">
        <f>IF([2]Entry!$E$1329="","",[2]Entry!$E$1329)</f>
        <v/>
      </c>
      <c r="S1326">
        <f>IF([2]Entry!$G$1329="","",[2]Entry!$G$1329)</f>
        <v/>
      </c>
      <c r="T1326">
        <f>IF([2]Entry!$J$1329="","",[2]Entry!$J$1329)</f>
        <v/>
      </c>
      <c r="U1326">
        <f>IF([2]Entry!$K$1329="","",[2]Entry!$K$1329)</f>
        <v/>
      </c>
      <c r="V1326">
        <f>IF([2]Entry!$L$1329="","",[2]Entry!$L$1329)</f>
        <v/>
      </c>
      <c r="W1326">
        <f>IF([2]Entry!$M$1329="","",[2]Entry!$M$1329)</f>
        <v/>
      </c>
      <c r="X1326">
        <f>IF([2]Entry!$N$1329="","",[2]Entry!$N$1329)</f>
        <v/>
      </c>
      <c r="Y1326">
        <f>IF([2]Entry!$R$1329="","",[2]Entry!$R$1329)</f>
        <v/>
      </c>
    </row>
    <row r="1327">
      <c r="P1327">
        <f>IF([2]Entry!$C$1330="","",[2]Entry!$C$1330)</f>
        <v/>
      </c>
      <c r="Q1327">
        <f>IF([2]Entry!$D$1330="","",[2]Entry!$D$1330)</f>
        <v/>
      </c>
      <c r="R1327">
        <f>IF([2]Entry!$E$1330="","",[2]Entry!$E$1330)</f>
        <v/>
      </c>
      <c r="S1327">
        <f>IF([2]Entry!$G$1330="","",[2]Entry!$G$1330)</f>
        <v/>
      </c>
      <c r="T1327">
        <f>IF([2]Entry!$J$1330="","",[2]Entry!$J$1330)</f>
        <v/>
      </c>
      <c r="U1327">
        <f>IF([2]Entry!$K$1330="","",[2]Entry!$K$1330)</f>
        <v/>
      </c>
      <c r="V1327">
        <f>IF([2]Entry!$L$1330="","",[2]Entry!$L$1330)</f>
        <v/>
      </c>
      <c r="W1327">
        <f>IF([2]Entry!$M$1330="","",[2]Entry!$M$1330)</f>
        <v/>
      </c>
      <c r="X1327">
        <f>IF([2]Entry!$N$1330="","",[2]Entry!$N$1330)</f>
        <v/>
      </c>
      <c r="Y1327">
        <f>IF([2]Entry!$R$1330="","",[2]Entry!$R$1330)</f>
        <v/>
      </c>
    </row>
    <row r="1328">
      <c r="P1328">
        <f>IF([2]Entry!$C$1331="","",[2]Entry!$C$1331)</f>
        <v/>
      </c>
      <c r="Q1328">
        <f>IF([2]Entry!$D$1331="","",[2]Entry!$D$1331)</f>
        <v/>
      </c>
      <c r="R1328">
        <f>IF([2]Entry!$E$1331="","",[2]Entry!$E$1331)</f>
        <v/>
      </c>
      <c r="S1328">
        <f>IF([2]Entry!$G$1331="","",[2]Entry!$G$1331)</f>
        <v/>
      </c>
      <c r="T1328">
        <f>IF([2]Entry!$J$1331="","",[2]Entry!$J$1331)</f>
        <v/>
      </c>
      <c r="U1328">
        <f>IF([2]Entry!$K$1331="","",[2]Entry!$K$1331)</f>
        <v/>
      </c>
      <c r="V1328">
        <f>IF([2]Entry!$L$1331="","",[2]Entry!$L$1331)</f>
        <v/>
      </c>
      <c r="W1328">
        <f>IF([2]Entry!$M$1331="","",[2]Entry!$M$1331)</f>
        <v/>
      </c>
      <c r="X1328">
        <f>IF([2]Entry!$N$1331="","",[2]Entry!$N$1331)</f>
        <v/>
      </c>
      <c r="Y1328">
        <f>IF([2]Entry!$R$1331="","",[2]Entry!$R$1331)</f>
        <v/>
      </c>
    </row>
    <row r="1329">
      <c r="P1329">
        <f>IF([2]Entry!$C$1332="","",[2]Entry!$C$1332)</f>
        <v/>
      </c>
      <c r="Q1329">
        <f>IF([2]Entry!$D$1332="","",[2]Entry!$D$1332)</f>
        <v/>
      </c>
      <c r="R1329">
        <f>IF([2]Entry!$E$1332="","",[2]Entry!$E$1332)</f>
        <v/>
      </c>
      <c r="S1329">
        <f>IF([2]Entry!$G$1332="","",[2]Entry!$G$1332)</f>
        <v/>
      </c>
      <c r="T1329">
        <f>IF([2]Entry!$J$1332="","",[2]Entry!$J$1332)</f>
        <v/>
      </c>
      <c r="U1329">
        <f>IF([2]Entry!$K$1332="","",[2]Entry!$K$1332)</f>
        <v/>
      </c>
      <c r="V1329">
        <f>IF([2]Entry!$L$1332="","",[2]Entry!$L$1332)</f>
        <v/>
      </c>
      <c r="W1329">
        <f>IF([2]Entry!$M$1332="","",[2]Entry!$M$1332)</f>
        <v/>
      </c>
      <c r="X1329">
        <f>IF([2]Entry!$N$1332="","",[2]Entry!$N$1332)</f>
        <v/>
      </c>
      <c r="Y1329">
        <f>IF([2]Entry!$R$1332="","",[2]Entry!$R$1332)</f>
        <v/>
      </c>
    </row>
    <row r="1330">
      <c r="P1330">
        <f>IF([2]Entry!$C$1333="","",[2]Entry!$C$1333)</f>
        <v/>
      </c>
      <c r="Q1330">
        <f>IF([2]Entry!$D$1333="","",[2]Entry!$D$1333)</f>
        <v/>
      </c>
      <c r="R1330">
        <f>IF([2]Entry!$E$1333="","",[2]Entry!$E$1333)</f>
        <v/>
      </c>
      <c r="S1330">
        <f>IF([2]Entry!$G$1333="","",[2]Entry!$G$1333)</f>
        <v/>
      </c>
      <c r="T1330">
        <f>IF([2]Entry!$J$1333="","",[2]Entry!$J$1333)</f>
        <v/>
      </c>
      <c r="U1330">
        <f>IF([2]Entry!$K$1333="","",[2]Entry!$K$1333)</f>
        <v/>
      </c>
      <c r="V1330">
        <f>IF([2]Entry!$L$1333="","",[2]Entry!$L$1333)</f>
        <v/>
      </c>
      <c r="W1330">
        <f>IF([2]Entry!$M$1333="","",[2]Entry!$M$1333)</f>
        <v/>
      </c>
      <c r="X1330">
        <f>IF([2]Entry!$N$1333="","",[2]Entry!$N$1333)</f>
        <v/>
      </c>
      <c r="Y1330">
        <f>IF([2]Entry!$R$1333="","",[2]Entry!$R$1333)</f>
        <v/>
      </c>
    </row>
    <row r="1331">
      <c r="P1331">
        <f>IF([2]Entry!$C$1334="","",[2]Entry!$C$1334)</f>
        <v/>
      </c>
      <c r="Q1331">
        <f>IF([2]Entry!$D$1334="","",[2]Entry!$D$1334)</f>
        <v/>
      </c>
      <c r="R1331">
        <f>IF([2]Entry!$E$1334="","",[2]Entry!$E$1334)</f>
        <v/>
      </c>
      <c r="S1331">
        <f>IF([2]Entry!$G$1334="","",[2]Entry!$G$1334)</f>
        <v/>
      </c>
      <c r="T1331">
        <f>IF([2]Entry!$J$1334="","",[2]Entry!$J$1334)</f>
        <v/>
      </c>
      <c r="U1331">
        <f>IF([2]Entry!$K$1334="","",[2]Entry!$K$1334)</f>
        <v/>
      </c>
      <c r="V1331">
        <f>IF([2]Entry!$L$1334="","",[2]Entry!$L$1334)</f>
        <v/>
      </c>
      <c r="W1331">
        <f>IF([2]Entry!$M$1334="","",[2]Entry!$M$1334)</f>
        <v/>
      </c>
      <c r="X1331">
        <f>IF([2]Entry!$N$1334="","",[2]Entry!$N$1334)</f>
        <v/>
      </c>
      <c r="Y1331">
        <f>IF([2]Entry!$R$1334="","",[2]Entry!$R$1334)</f>
        <v/>
      </c>
    </row>
    <row r="1332">
      <c r="P1332">
        <f>IF([2]Entry!$C$1335="","",[2]Entry!$C$1335)</f>
        <v/>
      </c>
      <c r="Q1332">
        <f>IF([2]Entry!$D$1335="","",[2]Entry!$D$1335)</f>
        <v/>
      </c>
      <c r="R1332">
        <f>IF([2]Entry!$E$1335="","",[2]Entry!$E$1335)</f>
        <v/>
      </c>
      <c r="S1332">
        <f>IF([2]Entry!$G$1335="","",[2]Entry!$G$1335)</f>
        <v/>
      </c>
      <c r="T1332">
        <f>IF([2]Entry!$J$1335="","",[2]Entry!$J$1335)</f>
        <v/>
      </c>
      <c r="U1332">
        <f>IF([2]Entry!$K$1335="","",[2]Entry!$K$1335)</f>
        <v/>
      </c>
      <c r="V1332">
        <f>IF([2]Entry!$L$1335="","",[2]Entry!$L$1335)</f>
        <v/>
      </c>
      <c r="W1332">
        <f>IF([2]Entry!$M$1335="","",[2]Entry!$M$1335)</f>
        <v/>
      </c>
      <c r="X1332">
        <f>IF([2]Entry!$N$1335="","",[2]Entry!$N$1335)</f>
        <v/>
      </c>
      <c r="Y1332">
        <f>IF([2]Entry!$R$1335="","",[2]Entry!$R$1335)</f>
        <v/>
      </c>
    </row>
    <row r="1333">
      <c r="P1333">
        <f>IF([2]Entry!$C$1336="","",[2]Entry!$C$1336)</f>
        <v/>
      </c>
      <c r="Q1333">
        <f>IF([2]Entry!$D$1336="","",[2]Entry!$D$1336)</f>
        <v/>
      </c>
      <c r="R1333">
        <f>IF([2]Entry!$E$1336="","",[2]Entry!$E$1336)</f>
        <v/>
      </c>
      <c r="S1333">
        <f>IF([2]Entry!$G$1336="","",[2]Entry!$G$1336)</f>
        <v/>
      </c>
      <c r="T1333">
        <f>IF([2]Entry!$J$1336="","",[2]Entry!$J$1336)</f>
        <v/>
      </c>
      <c r="U1333">
        <f>IF([2]Entry!$K$1336="","",[2]Entry!$K$1336)</f>
        <v/>
      </c>
      <c r="V1333">
        <f>IF([2]Entry!$L$1336="","",[2]Entry!$L$1336)</f>
        <v/>
      </c>
      <c r="W1333">
        <f>IF([2]Entry!$M$1336="","",[2]Entry!$M$1336)</f>
        <v/>
      </c>
      <c r="X1333">
        <f>IF([2]Entry!$N$1336="","",[2]Entry!$N$1336)</f>
        <v/>
      </c>
      <c r="Y1333">
        <f>IF([2]Entry!$R$1336="","",[2]Entry!$R$1336)</f>
        <v/>
      </c>
    </row>
    <row r="1334">
      <c r="P1334">
        <f>IF([2]Entry!$C$1337="","",[2]Entry!$C$1337)</f>
        <v/>
      </c>
      <c r="Q1334">
        <f>IF([2]Entry!$D$1337="","",[2]Entry!$D$1337)</f>
        <v/>
      </c>
      <c r="R1334">
        <f>IF([2]Entry!$E$1337="","",[2]Entry!$E$1337)</f>
        <v/>
      </c>
      <c r="S1334">
        <f>IF([2]Entry!$G$1337="","",[2]Entry!$G$1337)</f>
        <v/>
      </c>
      <c r="T1334">
        <f>IF([2]Entry!$J$1337="","",[2]Entry!$J$1337)</f>
        <v/>
      </c>
      <c r="U1334">
        <f>IF([2]Entry!$K$1337="","",[2]Entry!$K$1337)</f>
        <v/>
      </c>
      <c r="V1334">
        <f>IF([2]Entry!$L$1337="","",[2]Entry!$L$1337)</f>
        <v/>
      </c>
      <c r="W1334">
        <f>IF([2]Entry!$M$1337="","",[2]Entry!$M$1337)</f>
        <v/>
      </c>
      <c r="X1334">
        <f>IF([2]Entry!$N$1337="","",[2]Entry!$N$1337)</f>
        <v/>
      </c>
      <c r="Y1334">
        <f>IF([2]Entry!$R$1337="","",[2]Entry!$R$1337)</f>
        <v/>
      </c>
    </row>
    <row r="1335">
      <c r="P1335">
        <f>IF([2]Entry!$C$1338="","",[2]Entry!$C$1338)</f>
        <v/>
      </c>
      <c r="Q1335">
        <f>IF([2]Entry!$D$1338="","",[2]Entry!$D$1338)</f>
        <v/>
      </c>
      <c r="R1335">
        <f>IF([2]Entry!$E$1338="","",[2]Entry!$E$1338)</f>
        <v/>
      </c>
      <c r="S1335">
        <f>IF([2]Entry!$G$1338="","",[2]Entry!$G$1338)</f>
        <v/>
      </c>
      <c r="T1335">
        <f>IF([2]Entry!$J$1338="","",[2]Entry!$J$1338)</f>
        <v/>
      </c>
      <c r="U1335">
        <f>IF([2]Entry!$K$1338="","",[2]Entry!$K$1338)</f>
        <v/>
      </c>
      <c r="V1335">
        <f>IF([2]Entry!$L$1338="","",[2]Entry!$L$1338)</f>
        <v/>
      </c>
      <c r="W1335">
        <f>IF([2]Entry!$M$1338="","",[2]Entry!$M$1338)</f>
        <v/>
      </c>
      <c r="X1335">
        <f>IF([2]Entry!$N$1338="","",[2]Entry!$N$1338)</f>
        <v/>
      </c>
      <c r="Y1335">
        <f>IF([2]Entry!$R$1338="","",[2]Entry!$R$1338)</f>
        <v/>
      </c>
    </row>
    <row r="1336">
      <c r="P1336">
        <f>IF([2]Entry!$C$1339="","",[2]Entry!$C$1339)</f>
        <v/>
      </c>
      <c r="Q1336">
        <f>IF([2]Entry!$D$1339="","",[2]Entry!$D$1339)</f>
        <v/>
      </c>
      <c r="R1336">
        <f>IF([2]Entry!$E$1339="","",[2]Entry!$E$1339)</f>
        <v/>
      </c>
      <c r="S1336">
        <f>IF([2]Entry!$G$1339="","",[2]Entry!$G$1339)</f>
        <v/>
      </c>
      <c r="T1336">
        <f>IF([2]Entry!$J$1339="","",[2]Entry!$J$1339)</f>
        <v/>
      </c>
      <c r="U1336">
        <f>IF([2]Entry!$K$1339="","",[2]Entry!$K$1339)</f>
        <v/>
      </c>
      <c r="V1336">
        <f>IF([2]Entry!$L$1339="","",[2]Entry!$L$1339)</f>
        <v/>
      </c>
      <c r="W1336">
        <f>IF([2]Entry!$M$1339="","",[2]Entry!$M$1339)</f>
        <v/>
      </c>
      <c r="X1336">
        <f>IF([2]Entry!$N$1339="","",[2]Entry!$N$1339)</f>
        <v/>
      </c>
      <c r="Y1336">
        <f>IF([2]Entry!$R$1339="","",[2]Entry!$R$1339)</f>
        <v/>
      </c>
    </row>
    <row r="1337">
      <c r="P1337">
        <f>IF([2]Entry!$C$1340="","",[2]Entry!$C$1340)</f>
        <v/>
      </c>
      <c r="Q1337">
        <f>IF([2]Entry!$D$1340="","",[2]Entry!$D$1340)</f>
        <v/>
      </c>
      <c r="R1337">
        <f>IF([2]Entry!$E$1340="","",[2]Entry!$E$1340)</f>
        <v/>
      </c>
      <c r="S1337">
        <f>IF([2]Entry!$G$1340="","",[2]Entry!$G$1340)</f>
        <v/>
      </c>
      <c r="T1337">
        <f>IF([2]Entry!$J$1340="","",[2]Entry!$J$1340)</f>
        <v/>
      </c>
      <c r="U1337">
        <f>IF([2]Entry!$K$1340="","",[2]Entry!$K$1340)</f>
        <v/>
      </c>
      <c r="V1337">
        <f>IF([2]Entry!$L$1340="","",[2]Entry!$L$1340)</f>
        <v/>
      </c>
      <c r="W1337">
        <f>IF([2]Entry!$M$1340="","",[2]Entry!$M$1340)</f>
        <v/>
      </c>
      <c r="X1337">
        <f>IF([2]Entry!$N$1340="","",[2]Entry!$N$1340)</f>
        <v/>
      </c>
      <c r="Y1337">
        <f>IF([2]Entry!$R$1340="","",[2]Entry!$R$1340)</f>
        <v/>
      </c>
    </row>
    <row r="1338">
      <c r="P1338">
        <f>IF([2]Entry!$C$1341="","",[2]Entry!$C$1341)</f>
        <v/>
      </c>
      <c r="Q1338">
        <f>IF([2]Entry!$D$1341="","",[2]Entry!$D$1341)</f>
        <v/>
      </c>
      <c r="R1338">
        <f>IF([2]Entry!$E$1341="","",[2]Entry!$E$1341)</f>
        <v/>
      </c>
      <c r="S1338">
        <f>IF([2]Entry!$G$1341="","",[2]Entry!$G$1341)</f>
        <v/>
      </c>
      <c r="T1338">
        <f>IF([2]Entry!$J$1341="","",[2]Entry!$J$1341)</f>
        <v/>
      </c>
      <c r="U1338">
        <f>IF([2]Entry!$K$1341="","",[2]Entry!$K$1341)</f>
        <v/>
      </c>
      <c r="V1338">
        <f>IF([2]Entry!$L$1341="","",[2]Entry!$L$1341)</f>
        <v/>
      </c>
      <c r="W1338">
        <f>IF([2]Entry!$M$1341="","",[2]Entry!$M$1341)</f>
        <v/>
      </c>
      <c r="X1338">
        <f>IF([2]Entry!$N$1341="","",[2]Entry!$N$1341)</f>
        <v/>
      </c>
      <c r="Y1338">
        <f>IF([2]Entry!$R$1341="","",[2]Entry!$R$1341)</f>
        <v/>
      </c>
    </row>
    <row r="1339">
      <c r="P1339">
        <f>IF([2]Entry!$C$1342="","",[2]Entry!$C$1342)</f>
        <v/>
      </c>
      <c r="Q1339">
        <f>IF([2]Entry!$D$1342="","",[2]Entry!$D$1342)</f>
        <v/>
      </c>
      <c r="R1339">
        <f>IF([2]Entry!$E$1342="","",[2]Entry!$E$1342)</f>
        <v/>
      </c>
      <c r="S1339">
        <f>IF([2]Entry!$G$1342="","",[2]Entry!$G$1342)</f>
        <v/>
      </c>
      <c r="T1339">
        <f>IF([2]Entry!$J$1342="","",[2]Entry!$J$1342)</f>
        <v/>
      </c>
      <c r="U1339">
        <f>IF([2]Entry!$K$1342="","",[2]Entry!$K$1342)</f>
        <v/>
      </c>
      <c r="V1339">
        <f>IF([2]Entry!$L$1342="","",[2]Entry!$L$1342)</f>
        <v/>
      </c>
      <c r="W1339">
        <f>IF([2]Entry!$M$1342="","",[2]Entry!$M$1342)</f>
        <v/>
      </c>
      <c r="X1339">
        <f>IF([2]Entry!$N$1342="","",[2]Entry!$N$1342)</f>
        <v/>
      </c>
      <c r="Y1339">
        <f>IF([2]Entry!$R$1342="","",[2]Entry!$R$1342)</f>
        <v/>
      </c>
    </row>
    <row r="1340">
      <c r="P1340">
        <f>IF([2]Entry!$C$1343="","",[2]Entry!$C$1343)</f>
        <v/>
      </c>
      <c r="Q1340">
        <f>IF([2]Entry!$D$1343="","",[2]Entry!$D$1343)</f>
        <v/>
      </c>
      <c r="R1340">
        <f>IF([2]Entry!$E$1343="","",[2]Entry!$E$1343)</f>
        <v/>
      </c>
      <c r="S1340">
        <f>IF([2]Entry!$G$1343="","",[2]Entry!$G$1343)</f>
        <v/>
      </c>
      <c r="T1340">
        <f>IF([2]Entry!$J$1343="","",[2]Entry!$J$1343)</f>
        <v/>
      </c>
      <c r="U1340">
        <f>IF([2]Entry!$K$1343="","",[2]Entry!$K$1343)</f>
        <v/>
      </c>
      <c r="V1340">
        <f>IF([2]Entry!$L$1343="","",[2]Entry!$L$1343)</f>
        <v/>
      </c>
      <c r="W1340">
        <f>IF([2]Entry!$M$1343="","",[2]Entry!$M$1343)</f>
        <v/>
      </c>
      <c r="X1340">
        <f>IF([2]Entry!$N$1343="","",[2]Entry!$N$1343)</f>
        <v/>
      </c>
      <c r="Y1340">
        <f>IF([2]Entry!$R$1343="","",[2]Entry!$R$1343)</f>
        <v/>
      </c>
    </row>
    <row r="1341">
      <c r="P1341">
        <f>IF([2]Entry!$C$1344="","",[2]Entry!$C$1344)</f>
        <v/>
      </c>
      <c r="Q1341">
        <f>IF([2]Entry!$D$1344="","",[2]Entry!$D$1344)</f>
        <v/>
      </c>
      <c r="R1341">
        <f>IF([2]Entry!$E$1344="","",[2]Entry!$E$1344)</f>
        <v/>
      </c>
      <c r="S1341">
        <f>IF([2]Entry!$G$1344="","",[2]Entry!$G$1344)</f>
        <v/>
      </c>
      <c r="T1341">
        <f>IF([2]Entry!$J$1344="","",[2]Entry!$J$1344)</f>
        <v/>
      </c>
      <c r="U1341">
        <f>IF([2]Entry!$K$1344="","",[2]Entry!$K$1344)</f>
        <v/>
      </c>
      <c r="V1341">
        <f>IF([2]Entry!$L$1344="","",[2]Entry!$L$1344)</f>
        <v/>
      </c>
      <c r="W1341">
        <f>IF([2]Entry!$M$1344="","",[2]Entry!$M$1344)</f>
        <v/>
      </c>
      <c r="X1341">
        <f>IF([2]Entry!$N$1344="","",[2]Entry!$N$1344)</f>
        <v/>
      </c>
      <c r="Y1341">
        <f>IF([2]Entry!$R$1344="","",[2]Entry!$R$1344)</f>
        <v/>
      </c>
    </row>
    <row r="1342">
      <c r="P1342">
        <f>IF([2]Entry!$C$1345="","",[2]Entry!$C$1345)</f>
        <v/>
      </c>
      <c r="Q1342">
        <f>IF([2]Entry!$D$1345="","",[2]Entry!$D$1345)</f>
        <v/>
      </c>
      <c r="R1342">
        <f>IF([2]Entry!$E$1345="","",[2]Entry!$E$1345)</f>
        <v/>
      </c>
      <c r="S1342">
        <f>IF([2]Entry!$G$1345="","",[2]Entry!$G$1345)</f>
        <v/>
      </c>
      <c r="T1342">
        <f>IF([2]Entry!$J$1345="","",[2]Entry!$J$1345)</f>
        <v/>
      </c>
      <c r="U1342">
        <f>IF([2]Entry!$K$1345="","",[2]Entry!$K$1345)</f>
        <v/>
      </c>
      <c r="V1342">
        <f>IF([2]Entry!$L$1345="","",[2]Entry!$L$1345)</f>
        <v/>
      </c>
      <c r="W1342">
        <f>IF([2]Entry!$M$1345="","",[2]Entry!$M$1345)</f>
        <v/>
      </c>
      <c r="X1342">
        <f>IF([2]Entry!$N$1345="","",[2]Entry!$N$1345)</f>
        <v/>
      </c>
      <c r="Y1342">
        <f>IF([2]Entry!$R$1345="","",[2]Entry!$R$1345)</f>
        <v/>
      </c>
    </row>
    <row r="1343">
      <c r="P1343">
        <f>IF([2]Entry!$C$1346="","",[2]Entry!$C$1346)</f>
        <v/>
      </c>
      <c r="Q1343">
        <f>IF([2]Entry!$D$1346="","",[2]Entry!$D$1346)</f>
        <v/>
      </c>
      <c r="R1343">
        <f>IF([2]Entry!$E$1346="","",[2]Entry!$E$1346)</f>
        <v/>
      </c>
      <c r="S1343">
        <f>IF([2]Entry!$G$1346="","",[2]Entry!$G$1346)</f>
        <v/>
      </c>
      <c r="T1343">
        <f>IF([2]Entry!$J$1346="","",[2]Entry!$J$1346)</f>
        <v/>
      </c>
      <c r="U1343">
        <f>IF([2]Entry!$K$1346="","",[2]Entry!$K$1346)</f>
        <v/>
      </c>
      <c r="V1343">
        <f>IF([2]Entry!$L$1346="","",[2]Entry!$L$1346)</f>
        <v/>
      </c>
      <c r="W1343">
        <f>IF([2]Entry!$M$1346="","",[2]Entry!$M$1346)</f>
        <v/>
      </c>
      <c r="X1343">
        <f>IF([2]Entry!$N$1346="","",[2]Entry!$N$1346)</f>
        <v/>
      </c>
      <c r="Y1343">
        <f>IF([2]Entry!$R$1346="","",[2]Entry!$R$1346)</f>
        <v/>
      </c>
    </row>
    <row r="1344">
      <c r="P1344">
        <f>IF([2]Entry!$C$1347="","",[2]Entry!$C$1347)</f>
        <v/>
      </c>
      <c r="Q1344">
        <f>IF([2]Entry!$D$1347="","",[2]Entry!$D$1347)</f>
        <v/>
      </c>
      <c r="R1344">
        <f>IF([2]Entry!$E$1347="","",[2]Entry!$E$1347)</f>
        <v/>
      </c>
      <c r="S1344">
        <f>IF([2]Entry!$G$1347="","",[2]Entry!$G$1347)</f>
        <v/>
      </c>
      <c r="T1344">
        <f>IF([2]Entry!$J$1347="","",[2]Entry!$J$1347)</f>
        <v/>
      </c>
      <c r="U1344">
        <f>IF([2]Entry!$K$1347="","",[2]Entry!$K$1347)</f>
        <v/>
      </c>
      <c r="V1344">
        <f>IF([2]Entry!$L$1347="","",[2]Entry!$L$1347)</f>
        <v/>
      </c>
      <c r="W1344">
        <f>IF([2]Entry!$M$1347="","",[2]Entry!$M$1347)</f>
        <v/>
      </c>
      <c r="X1344">
        <f>IF([2]Entry!$N$1347="","",[2]Entry!$N$1347)</f>
        <v/>
      </c>
      <c r="Y1344">
        <f>IF([2]Entry!$R$1347="","",[2]Entry!$R$1347)</f>
        <v/>
      </c>
    </row>
    <row r="1345">
      <c r="P1345">
        <f>IF([2]Entry!$C$1348="","",[2]Entry!$C$1348)</f>
        <v/>
      </c>
      <c r="Q1345">
        <f>IF([2]Entry!$D$1348="","",[2]Entry!$D$1348)</f>
        <v/>
      </c>
      <c r="R1345">
        <f>IF([2]Entry!$E$1348="","",[2]Entry!$E$1348)</f>
        <v/>
      </c>
      <c r="S1345">
        <f>IF([2]Entry!$G$1348="","",[2]Entry!$G$1348)</f>
        <v/>
      </c>
      <c r="T1345">
        <f>IF([2]Entry!$J$1348="","",[2]Entry!$J$1348)</f>
        <v/>
      </c>
      <c r="U1345">
        <f>IF([2]Entry!$K$1348="","",[2]Entry!$K$1348)</f>
        <v/>
      </c>
      <c r="V1345">
        <f>IF([2]Entry!$L$1348="","",[2]Entry!$L$1348)</f>
        <v/>
      </c>
      <c r="W1345">
        <f>IF([2]Entry!$M$1348="","",[2]Entry!$M$1348)</f>
        <v/>
      </c>
      <c r="X1345">
        <f>IF([2]Entry!$N$1348="","",[2]Entry!$N$1348)</f>
        <v/>
      </c>
      <c r="Y1345">
        <f>IF([2]Entry!$R$1348="","",[2]Entry!$R$1348)</f>
        <v/>
      </c>
    </row>
    <row r="1346">
      <c r="P1346">
        <f>IF([2]Entry!$C$1349="","",[2]Entry!$C$1349)</f>
        <v/>
      </c>
      <c r="Q1346">
        <f>IF([2]Entry!$D$1349="","",[2]Entry!$D$1349)</f>
        <v/>
      </c>
      <c r="R1346">
        <f>IF([2]Entry!$E$1349="","",[2]Entry!$E$1349)</f>
        <v/>
      </c>
      <c r="S1346">
        <f>IF([2]Entry!$G$1349="","",[2]Entry!$G$1349)</f>
        <v/>
      </c>
      <c r="T1346">
        <f>IF([2]Entry!$J$1349="","",[2]Entry!$J$1349)</f>
        <v/>
      </c>
      <c r="U1346">
        <f>IF([2]Entry!$K$1349="","",[2]Entry!$K$1349)</f>
        <v/>
      </c>
      <c r="V1346">
        <f>IF([2]Entry!$L$1349="","",[2]Entry!$L$1349)</f>
        <v/>
      </c>
      <c r="W1346">
        <f>IF([2]Entry!$M$1349="","",[2]Entry!$M$1349)</f>
        <v/>
      </c>
      <c r="X1346">
        <f>IF([2]Entry!$N$1349="","",[2]Entry!$N$1349)</f>
        <v/>
      </c>
      <c r="Y1346">
        <f>IF([2]Entry!$R$1349="","",[2]Entry!$R$1349)</f>
        <v/>
      </c>
    </row>
    <row r="1347">
      <c r="P1347">
        <f>IF([2]Entry!$C$1350="","",[2]Entry!$C$1350)</f>
        <v/>
      </c>
      <c r="Q1347">
        <f>IF([2]Entry!$D$1350="","",[2]Entry!$D$1350)</f>
        <v/>
      </c>
      <c r="R1347">
        <f>IF([2]Entry!$E$1350="","",[2]Entry!$E$1350)</f>
        <v/>
      </c>
      <c r="S1347">
        <f>IF([2]Entry!$G$1350="","",[2]Entry!$G$1350)</f>
        <v/>
      </c>
      <c r="T1347">
        <f>IF([2]Entry!$J$1350="","",[2]Entry!$J$1350)</f>
        <v/>
      </c>
      <c r="U1347">
        <f>IF([2]Entry!$K$1350="","",[2]Entry!$K$1350)</f>
        <v/>
      </c>
      <c r="V1347">
        <f>IF([2]Entry!$L$1350="","",[2]Entry!$L$1350)</f>
        <v/>
      </c>
      <c r="W1347">
        <f>IF([2]Entry!$M$1350="","",[2]Entry!$M$1350)</f>
        <v/>
      </c>
      <c r="X1347">
        <f>IF([2]Entry!$N$1350="","",[2]Entry!$N$1350)</f>
        <v/>
      </c>
      <c r="Y1347">
        <f>IF([2]Entry!$R$1350="","",[2]Entry!$R$1350)</f>
        <v/>
      </c>
    </row>
    <row r="1348">
      <c r="P1348">
        <f>IF([2]Entry!$C$1351="","",[2]Entry!$C$1351)</f>
        <v/>
      </c>
      <c r="Q1348">
        <f>IF([2]Entry!$D$1351="","",[2]Entry!$D$1351)</f>
        <v/>
      </c>
      <c r="R1348">
        <f>IF([2]Entry!$E$1351="","",[2]Entry!$E$1351)</f>
        <v/>
      </c>
      <c r="S1348">
        <f>IF([2]Entry!$G$1351="","",[2]Entry!$G$1351)</f>
        <v/>
      </c>
      <c r="T1348">
        <f>IF([2]Entry!$J$1351="","",[2]Entry!$J$1351)</f>
        <v/>
      </c>
      <c r="U1348">
        <f>IF([2]Entry!$K$1351="","",[2]Entry!$K$1351)</f>
        <v/>
      </c>
      <c r="V1348">
        <f>IF([2]Entry!$L$1351="","",[2]Entry!$L$1351)</f>
        <v/>
      </c>
      <c r="W1348">
        <f>IF([2]Entry!$M$1351="","",[2]Entry!$M$1351)</f>
        <v/>
      </c>
      <c r="X1348">
        <f>IF([2]Entry!$N$1351="","",[2]Entry!$N$1351)</f>
        <v/>
      </c>
      <c r="Y1348">
        <f>IF([2]Entry!$R$1351="","",[2]Entry!$R$1351)</f>
        <v/>
      </c>
    </row>
    <row r="1349">
      <c r="P1349">
        <f>IF([2]Entry!$C$1352="","",[2]Entry!$C$1352)</f>
        <v/>
      </c>
      <c r="Q1349">
        <f>IF([2]Entry!$D$1352="","",[2]Entry!$D$1352)</f>
        <v/>
      </c>
      <c r="R1349">
        <f>IF([2]Entry!$E$1352="","",[2]Entry!$E$1352)</f>
        <v/>
      </c>
      <c r="S1349">
        <f>IF([2]Entry!$G$1352="","",[2]Entry!$G$1352)</f>
        <v/>
      </c>
      <c r="T1349">
        <f>IF([2]Entry!$J$1352="","",[2]Entry!$J$1352)</f>
        <v/>
      </c>
      <c r="U1349">
        <f>IF([2]Entry!$K$1352="","",[2]Entry!$K$1352)</f>
        <v/>
      </c>
      <c r="V1349">
        <f>IF([2]Entry!$L$1352="","",[2]Entry!$L$1352)</f>
        <v/>
      </c>
      <c r="W1349">
        <f>IF([2]Entry!$M$1352="","",[2]Entry!$M$1352)</f>
        <v/>
      </c>
      <c r="X1349">
        <f>IF([2]Entry!$N$1352="","",[2]Entry!$N$1352)</f>
        <v/>
      </c>
      <c r="Y1349">
        <f>IF([2]Entry!$R$1352="","",[2]Entry!$R$1352)</f>
        <v/>
      </c>
    </row>
    <row r="1350">
      <c r="P1350">
        <f>IF([2]Entry!$C$1353="","",[2]Entry!$C$1353)</f>
        <v/>
      </c>
      <c r="Q1350">
        <f>IF([2]Entry!$D$1353="","",[2]Entry!$D$1353)</f>
        <v/>
      </c>
      <c r="R1350">
        <f>IF([2]Entry!$E$1353="","",[2]Entry!$E$1353)</f>
        <v/>
      </c>
      <c r="S1350">
        <f>IF([2]Entry!$G$1353="","",[2]Entry!$G$1353)</f>
        <v/>
      </c>
      <c r="T1350">
        <f>IF([2]Entry!$J$1353="","",[2]Entry!$J$1353)</f>
        <v/>
      </c>
      <c r="U1350">
        <f>IF([2]Entry!$K$1353="","",[2]Entry!$K$1353)</f>
        <v/>
      </c>
      <c r="V1350">
        <f>IF([2]Entry!$L$1353="","",[2]Entry!$L$1353)</f>
        <v/>
      </c>
      <c r="W1350">
        <f>IF([2]Entry!$M$1353="","",[2]Entry!$M$1353)</f>
        <v/>
      </c>
      <c r="X1350">
        <f>IF([2]Entry!$N$1353="","",[2]Entry!$N$1353)</f>
        <v/>
      </c>
      <c r="Y1350">
        <f>IF([2]Entry!$R$1353="","",[2]Entry!$R$1353)</f>
        <v/>
      </c>
    </row>
    <row r="1351">
      <c r="P1351">
        <f>IF([2]Entry!$C$1354="","",[2]Entry!$C$1354)</f>
        <v/>
      </c>
      <c r="Q1351">
        <f>IF([2]Entry!$D$1354="","",[2]Entry!$D$1354)</f>
        <v/>
      </c>
      <c r="R1351">
        <f>IF([2]Entry!$E$1354="","",[2]Entry!$E$1354)</f>
        <v/>
      </c>
      <c r="S1351">
        <f>IF([2]Entry!$G$1354="","",[2]Entry!$G$1354)</f>
        <v/>
      </c>
      <c r="T1351">
        <f>IF([2]Entry!$J$1354="","",[2]Entry!$J$1354)</f>
        <v/>
      </c>
      <c r="U1351">
        <f>IF([2]Entry!$K$1354="","",[2]Entry!$K$1354)</f>
        <v/>
      </c>
      <c r="V1351">
        <f>IF([2]Entry!$L$1354="","",[2]Entry!$L$1354)</f>
        <v/>
      </c>
      <c r="W1351">
        <f>IF([2]Entry!$M$1354="","",[2]Entry!$M$1354)</f>
        <v/>
      </c>
      <c r="X1351">
        <f>IF([2]Entry!$N$1354="","",[2]Entry!$N$1354)</f>
        <v/>
      </c>
      <c r="Y1351">
        <f>IF([2]Entry!$R$1354="","",[2]Entry!$R$1354)</f>
        <v/>
      </c>
    </row>
    <row r="1352">
      <c r="P1352">
        <f>IF([2]Entry!$C$1355="","",[2]Entry!$C$1355)</f>
        <v/>
      </c>
      <c r="Q1352">
        <f>IF([2]Entry!$D$1355="","",[2]Entry!$D$1355)</f>
        <v/>
      </c>
      <c r="R1352">
        <f>IF([2]Entry!$E$1355="","",[2]Entry!$E$1355)</f>
        <v/>
      </c>
      <c r="S1352">
        <f>IF([2]Entry!$G$1355="","",[2]Entry!$G$1355)</f>
        <v/>
      </c>
      <c r="T1352">
        <f>IF([2]Entry!$J$1355="","",[2]Entry!$J$1355)</f>
        <v/>
      </c>
      <c r="U1352">
        <f>IF([2]Entry!$K$1355="","",[2]Entry!$K$1355)</f>
        <v/>
      </c>
      <c r="V1352">
        <f>IF([2]Entry!$L$1355="","",[2]Entry!$L$1355)</f>
        <v/>
      </c>
      <c r="W1352">
        <f>IF([2]Entry!$M$1355="","",[2]Entry!$M$1355)</f>
        <v/>
      </c>
      <c r="X1352">
        <f>IF([2]Entry!$N$1355="","",[2]Entry!$N$1355)</f>
        <v/>
      </c>
      <c r="Y1352">
        <f>IF([2]Entry!$R$1355="","",[2]Entry!$R$1355)</f>
        <v/>
      </c>
    </row>
    <row r="1353">
      <c r="P1353">
        <f>IF([2]Entry!$C$1356="","",[2]Entry!$C$1356)</f>
        <v/>
      </c>
      <c r="Q1353">
        <f>IF([2]Entry!$D$1356="","",[2]Entry!$D$1356)</f>
        <v/>
      </c>
      <c r="R1353">
        <f>IF([2]Entry!$E$1356="","",[2]Entry!$E$1356)</f>
        <v/>
      </c>
      <c r="S1353">
        <f>IF([2]Entry!$G$1356="","",[2]Entry!$G$1356)</f>
        <v/>
      </c>
      <c r="T1353">
        <f>IF([2]Entry!$J$1356="","",[2]Entry!$J$1356)</f>
        <v/>
      </c>
      <c r="U1353">
        <f>IF([2]Entry!$K$1356="","",[2]Entry!$K$1356)</f>
        <v/>
      </c>
      <c r="V1353">
        <f>IF([2]Entry!$L$1356="","",[2]Entry!$L$1356)</f>
        <v/>
      </c>
      <c r="W1353">
        <f>IF([2]Entry!$M$1356="","",[2]Entry!$M$1356)</f>
        <v/>
      </c>
      <c r="X1353">
        <f>IF([2]Entry!$N$1356="","",[2]Entry!$N$1356)</f>
        <v/>
      </c>
      <c r="Y1353">
        <f>IF([2]Entry!$R$1356="","",[2]Entry!$R$1356)</f>
        <v/>
      </c>
    </row>
    <row r="1354">
      <c r="P1354">
        <f>IF([2]Entry!$C$1357="","",[2]Entry!$C$1357)</f>
        <v/>
      </c>
      <c r="Q1354">
        <f>IF([2]Entry!$D$1357="","",[2]Entry!$D$1357)</f>
        <v/>
      </c>
      <c r="R1354">
        <f>IF([2]Entry!$E$1357="","",[2]Entry!$E$1357)</f>
        <v/>
      </c>
      <c r="S1354">
        <f>IF([2]Entry!$G$1357="","",[2]Entry!$G$1357)</f>
        <v/>
      </c>
      <c r="T1354">
        <f>IF([2]Entry!$J$1357="","",[2]Entry!$J$1357)</f>
        <v/>
      </c>
      <c r="U1354">
        <f>IF([2]Entry!$K$1357="","",[2]Entry!$K$1357)</f>
        <v/>
      </c>
      <c r="V1354">
        <f>IF([2]Entry!$L$1357="","",[2]Entry!$L$1357)</f>
        <v/>
      </c>
      <c r="W1354">
        <f>IF([2]Entry!$M$1357="","",[2]Entry!$M$1357)</f>
        <v/>
      </c>
      <c r="X1354">
        <f>IF([2]Entry!$N$1357="","",[2]Entry!$N$1357)</f>
        <v/>
      </c>
      <c r="Y1354">
        <f>IF([2]Entry!$R$1357="","",[2]Entry!$R$1357)</f>
        <v/>
      </c>
    </row>
    <row r="1355">
      <c r="P1355">
        <f>IF([2]Entry!$C$1358="","",[2]Entry!$C$1358)</f>
        <v/>
      </c>
      <c r="Q1355">
        <f>IF([2]Entry!$D$1358="","",[2]Entry!$D$1358)</f>
        <v/>
      </c>
      <c r="R1355">
        <f>IF([2]Entry!$E$1358="","",[2]Entry!$E$1358)</f>
        <v/>
      </c>
      <c r="S1355">
        <f>IF([2]Entry!$G$1358="","",[2]Entry!$G$1358)</f>
        <v/>
      </c>
      <c r="T1355">
        <f>IF([2]Entry!$J$1358="","",[2]Entry!$J$1358)</f>
        <v/>
      </c>
      <c r="U1355">
        <f>IF([2]Entry!$K$1358="","",[2]Entry!$K$1358)</f>
        <v/>
      </c>
      <c r="V1355">
        <f>IF([2]Entry!$L$1358="","",[2]Entry!$L$1358)</f>
        <v/>
      </c>
      <c r="W1355">
        <f>IF([2]Entry!$M$1358="","",[2]Entry!$M$1358)</f>
        <v/>
      </c>
      <c r="X1355">
        <f>IF([2]Entry!$N$1358="","",[2]Entry!$N$1358)</f>
        <v/>
      </c>
      <c r="Y1355">
        <f>IF([2]Entry!$R$1358="","",[2]Entry!$R$1358)</f>
        <v/>
      </c>
    </row>
    <row r="1356">
      <c r="P1356">
        <f>IF([2]Entry!$C$1359="","",[2]Entry!$C$1359)</f>
        <v/>
      </c>
      <c r="Q1356">
        <f>IF([2]Entry!$D$1359="","",[2]Entry!$D$1359)</f>
        <v/>
      </c>
      <c r="R1356">
        <f>IF([2]Entry!$E$1359="","",[2]Entry!$E$1359)</f>
        <v/>
      </c>
      <c r="S1356">
        <f>IF([2]Entry!$G$1359="","",[2]Entry!$G$1359)</f>
        <v/>
      </c>
      <c r="T1356">
        <f>IF([2]Entry!$J$1359="","",[2]Entry!$J$1359)</f>
        <v/>
      </c>
      <c r="U1356">
        <f>IF([2]Entry!$K$1359="","",[2]Entry!$K$1359)</f>
        <v/>
      </c>
      <c r="V1356">
        <f>IF([2]Entry!$L$1359="","",[2]Entry!$L$1359)</f>
        <v/>
      </c>
      <c r="W1356">
        <f>IF([2]Entry!$M$1359="","",[2]Entry!$M$1359)</f>
        <v/>
      </c>
      <c r="X1356">
        <f>IF([2]Entry!$N$1359="","",[2]Entry!$N$1359)</f>
        <v/>
      </c>
      <c r="Y1356">
        <f>IF([2]Entry!$R$1359="","",[2]Entry!$R$1359)</f>
        <v/>
      </c>
    </row>
    <row r="1357">
      <c r="P1357">
        <f>IF([2]Entry!$C$1360="","",[2]Entry!$C$1360)</f>
        <v/>
      </c>
      <c r="Q1357">
        <f>IF([2]Entry!$D$1360="","",[2]Entry!$D$1360)</f>
        <v/>
      </c>
      <c r="R1357">
        <f>IF([2]Entry!$E$1360="","",[2]Entry!$E$1360)</f>
        <v/>
      </c>
      <c r="S1357">
        <f>IF([2]Entry!$G$1360="","",[2]Entry!$G$1360)</f>
        <v/>
      </c>
      <c r="T1357">
        <f>IF([2]Entry!$J$1360="","",[2]Entry!$J$1360)</f>
        <v/>
      </c>
      <c r="U1357">
        <f>IF([2]Entry!$K$1360="","",[2]Entry!$K$1360)</f>
        <v/>
      </c>
      <c r="V1357">
        <f>IF([2]Entry!$L$1360="","",[2]Entry!$L$1360)</f>
        <v/>
      </c>
      <c r="W1357">
        <f>IF([2]Entry!$M$1360="","",[2]Entry!$M$1360)</f>
        <v/>
      </c>
      <c r="X1357">
        <f>IF([2]Entry!$N$1360="","",[2]Entry!$N$1360)</f>
        <v/>
      </c>
      <c r="Y1357">
        <f>IF([2]Entry!$R$1360="","",[2]Entry!$R$1360)</f>
        <v/>
      </c>
    </row>
    <row r="1358">
      <c r="P1358">
        <f>IF([2]Entry!$C$1361="","",[2]Entry!$C$1361)</f>
        <v/>
      </c>
      <c r="Q1358">
        <f>IF([2]Entry!$D$1361="","",[2]Entry!$D$1361)</f>
        <v/>
      </c>
      <c r="R1358">
        <f>IF([2]Entry!$E$1361="","",[2]Entry!$E$1361)</f>
        <v/>
      </c>
      <c r="S1358">
        <f>IF([2]Entry!$G$1361="","",[2]Entry!$G$1361)</f>
        <v/>
      </c>
      <c r="T1358">
        <f>IF([2]Entry!$J$1361="","",[2]Entry!$J$1361)</f>
        <v/>
      </c>
      <c r="U1358">
        <f>IF([2]Entry!$K$1361="","",[2]Entry!$K$1361)</f>
        <v/>
      </c>
      <c r="V1358">
        <f>IF([2]Entry!$L$1361="","",[2]Entry!$L$1361)</f>
        <v/>
      </c>
      <c r="W1358">
        <f>IF([2]Entry!$M$1361="","",[2]Entry!$M$1361)</f>
        <v/>
      </c>
      <c r="X1358">
        <f>IF([2]Entry!$N$1361="","",[2]Entry!$N$1361)</f>
        <v/>
      </c>
      <c r="Y1358">
        <f>IF([2]Entry!$R$1361="","",[2]Entry!$R$1361)</f>
        <v/>
      </c>
    </row>
    <row r="1359">
      <c r="P1359">
        <f>IF([2]Entry!$C$1362="","",[2]Entry!$C$1362)</f>
        <v/>
      </c>
      <c r="Q1359">
        <f>IF([2]Entry!$D$1362="","",[2]Entry!$D$1362)</f>
        <v/>
      </c>
      <c r="R1359">
        <f>IF([2]Entry!$E$1362="","",[2]Entry!$E$1362)</f>
        <v/>
      </c>
      <c r="S1359">
        <f>IF([2]Entry!$G$1362="","",[2]Entry!$G$1362)</f>
        <v/>
      </c>
      <c r="T1359">
        <f>IF([2]Entry!$J$1362="","",[2]Entry!$J$1362)</f>
        <v/>
      </c>
      <c r="U1359">
        <f>IF([2]Entry!$K$1362="","",[2]Entry!$K$1362)</f>
        <v/>
      </c>
      <c r="V1359">
        <f>IF([2]Entry!$L$1362="","",[2]Entry!$L$1362)</f>
        <v/>
      </c>
      <c r="W1359">
        <f>IF([2]Entry!$M$1362="","",[2]Entry!$M$1362)</f>
        <v/>
      </c>
      <c r="X1359">
        <f>IF([2]Entry!$N$1362="","",[2]Entry!$N$1362)</f>
        <v/>
      </c>
      <c r="Y1359">
        <f>IF([2]Entry!$R$1362="","",[2]Entry!$R$1362)</f>
        <v/>
      </c>
    </row>
    <row r="1360">
      <c r="P1360">
        <f>IF([2]Entry!$C$1363="","",[2]Entry!$C$1363)</f>
        <v/>
      </c>
      <c r="Q1360">
        <f>IF([2]Entry!$D$1363="","",[2]Entry!$D$1363)</f>
        <v/>
      </c>
      <c r="R1360">
        <f>IF([2]Entry!$E$1363="","",[2]Entry!$E$1363)</f>
        <v/>
      </c>
      <c r="S1360">
        <f>IF([2]Entry!$G$1363="","",[2]Entry!$G$1363)</f>
        <v/>
      </c>
      <c r="T1360">
        <f>IF([2]Entry!$J$1363="","",[2]Entry!$J$1363)</f>
        <v/>
      </c>
      <c r="U1360">
        <f>IF([2]Entry!$K$1363="","",[2]Entry!$K$1363)</f>
        <v/>
      </c>
      <c r="V1360">
        <f>IF([2]Entry!$L$1363="","",[2]Entry!$L$1363)</f>
        <v/>
      </c>
      <c r="W1360">
        <f>IF([2]Entry!$M$1363="","",[2]Entry!$M$1363)</f>
        <v/>
      </c>
      <c r="X1360">
        <f>IF([2]Entry!$N$1363="","",[2]Entry!$N$1363)</f>
        <v/>
      </c>
      <c r="Y1360">
        <f>IF([2]Entry!$R$1363="","",[2]Entry!$R$1363)</f>
        <v/>
      </c>
    </row>
    <row r="1361">
      <c r="P1361">
        <f>IF([2]Entry!$C$1364="","",[2]Entry!$C$1364)</f>
        <v/>
      </c>
      <c r="Q1361">
        <f>IF([2]Entry!$D$1364="","",[2]Entry!$D$1364)</f>
        <v/>
      </c>
      <c r="R1361">
        <f>IF([2]Entry!$E$1364="","",[2]Entry!$E$1364)</f>
        <v/>
      </c>
      <c r="S1361">
        <f>IF([2]Entry!$G$1364="","",[2]Entry!$G$1364)</f>
        <v/>
      </c>
      <c r="T1361">
        <f>IF([2]Entry!$J$1364="","",[2]Entry!$J$1364)</f>
        <v/>
      </c>
      <c r="U1361">
        <f>IF([2]Entry!$K$1364="","",[2]Entry!$K$1364)</f>
        <v/>
      </c>
      <c r="V1361">
        <f>IF([2]Entry!$L$1364="","",[2]Entry!$L$1364)</f>
        <v/>
      </c>
      <c r="W1361">
        <f>IF([2]Entry!$M$1364="","",[2]Entry!$M$1364)</f>
        <v/>
      </c>
      <c r="X1361">
        <f>IF([2]Entry!$N$1364="","",[2]Entry!$N$1364)</f>
        <v/>
      </c>
      <c r="Y1361">
        <f>IF([2]Entry!$R$1364="","",[2]Entry!$R$1364)</f>
        <v/>
      </c>
    </row>
    <row r="1362">
      <c r="P1362">
        <f>IF([2]Entry!$C$1365="","",[2]Entry!$C$1365)</f>
        <v/>
      </c>
      <c r="Q1362">
        <f>IF([2]Entry!$D$1365="","",[2]Entry!$D$1365)</f>
        <v/>
      </c>
      <c r="R1362">
        <f>IF([2]Entry!$E$1365="","",[2]Entry!$E$1365)</f>
        <v/>
      </c>
      <c r="S1362">
        <f>IF([2]Entry!$G$1365="","",[2]Entry!$G$1365)</f>
        <v/>
      </c>
      <c r="T1362">
        <f>IF([2]Entry!$J$1365="","",[2]Entry!$J$1365)</f>
        <v/>
      </c>
      <c r="U1362">
        <f>IF([2]Entry!$K$1365="","",[2]Entry!$K$1365)</f>
        <v/>
      </c>
      <c r="V1362">
        <f>IF([2]Entry!$L$1365="","",[2]Entry!$L$1365)</f>
        <v/>
      </c>
      <c r="W1362">
        <f>IF([2]Entry!$M$1365="","",[2]Entry!$M$1365)</f>
        <v/>
      </c>
      <c r="X1362">
        <f>IF([2]Entry!$N$1365="","",[2]Entry!$N$1365)</f>
        <v/>
      </c>
      <c r="Y1362">
        <f>IF([2]Entry!$R$1365="","",[2]Entry!$R$1365)</f>
        <v/>
      </c>
    </row>
    <row r="1363">
      <c r="P1363">
        <f>IF([2]Entry!$C$1366="","",[2]Entry!$C$1366)</f>
        <v/>
      </c>
      <c r="Q1363">
        <f>IF([2]Entry!$D$1366="","",[2]Entry!$D$1366)</f>
        <v/>
      </c>
      <c r="R1363">
        <f>IF([2]Entry!$E$1366="","",[2]Entry!$E$1366)</f>
        <v/>
      </c>
      <c r="S1363">
        <f>IF([2]Entry!$G$1366="","",[2]Entry!$G$1366)</f>
        <v/>
      </c>
      <c r="T1363">
        <f>IF([2]Entry!$J$1366="","",[2]Entry!$J$1366)</f>
        <v/>
      </c>
      <c r="U1363">
        <f>IF([2]Entry!$K$1366="","",[2]Entry!$K$1366)</f>
        <v/>
      </c>
      <c r="V1363">
        <f>IF([2]Entry!$L$1366="","",[2]Entry!$L$1366)</f>
        <v/>
      </c>
      <c r="W1363">
        <f>IF([2]Entry!$M$1366="","",[2]Entry!$M$1366)</f>
        <v/>
      </c>
      <c r="X1363">
        <f>IF([2]Entry!$N$1366="","",[2]Entry!$N$1366)</f>
        <v/>
      </c>
      <c r="Y1363">
        <f>IF([2]Entry!$R$1366="","",[2]Entry!$R$1366)</f>
        <v/>
      </c>
    </row>
    <row r="1364">
      <c r="P1364">
        <f>IF([2]Entry!$C$1367="","",[2]Entry!$C$1367)</f>
        <v/>
      </c>
      <c r="Q1364">
        <f>IF([2]Entry!$D$1367="","",[2]Entry!$D$1367)</f>
        <v/>
      </c>
      <c r="R1364">
        <f>IF([2]Entry!$E$1367="","",[2]Entry!$E$1367)</f>
        <v/>
      </c>
      <c r="S1364">
        <f>IF([2]Entry!$G$1367="","",[2]Entry!$G$1367)</f>
        <v/>
      </c>
      <c r="T1364">
        <f>IF([2]Entry!$J$1367="","",[2]Entry!$J$1367)</f>
        <v/>
      </c>
      <c r="U1364">
        <f>IF([2]Entry!$K$1367="","",[2]Entry!$K$1367)</f>
        <v/>
      </c>
      <c r="V1364">
        <f>IF([2]Entry!$L$1367="","",[2]Entry!$L$1367)</f>
        <v/>
      </c>
      <c r="W1364">
        <f>IF([2]Entry!$M$1367="","",[2]Entry!$M$1367)</f>
        <v/>
      </c>
      <c r="X1364">
        <f>IF([2]Entry!$N$1367="","",[2]Entry!$N$1367)</f>
        <v/>
      </c>
      <c r="Y1364">
        <f>IF([2]Entry!$R$1367="","",[2]Entry!$R$1367)</f>
        <v/>
      </c>
    </row>
    <row r="1365">
      <c r="P1365">
        <f>IF([2]Entry!$C$1368="","",[2]Entry!$C$1368)</f>
        <v/>
      </c>
      <c r="Q1365">
        <f>IF([2]Entry!$D$1368="","",[2]Entry!$D$1368)</f>
        <v/>
      </c>
      <c r="R1365">
        <f>IF([2]Entry!$E$1368="","",[2]Entry!$E$1368)</f>
        <v/>
      </c>
      <c r="S1365">
        <f>IF([2]Entry!$G$1368="","",[2]Entry!$G$1368)</f>
        <v/>
      </c>
      <c r="T1365">
        <f>IF([2]Entry!$J$1368="","",[2]Entry!$J$1368)</f>
        <v/>
      </c>
      <c r="U1365">
        <f>IF([2]Entry!$K$1368="","",[2]Entry!$K$1368)</f>
        <v/>
      </c>
      <c r="V1365">
        <f>IF([2]Entry!$L$1368="","",[2]Entry!$L$1368)</f>
        <v/>
      </c>
      <c r="W1365">
        <f>IF([2]Entry!$M$1368="","",[2]Entry!$M$1368)</f>
        <v/>
      </c>
      <c r="X1365">
        <f>IF([2]Entry!$N$1368="","",[2]Entry!$N$1368)</f>
        <v/>
      </c>
      <c r="Y1365">
        <f>IF([2]Entry!$R$1368="","",[2]Entry!$R$1368)</f>
        <v/>
      </c>
    </row>
    <row r="1366">
      <c r="P1366">
        <f>IF([2]Entry!$C$1369="","",[2]Entry!$C$1369)</f>
        <v/>
      </c>
      <c r="Q1366">
        <f>IF([2]Entry!$D$1369="","",[2]Entry!$D$1369)</f>
        <v/>
      </c>
      <c r="R1366">
        <f>IF([2]Entry!$E$1369="","",[2]Entry!$E$1369)</f>
        <v/>
      </c>
      <c r="S1366">
        <f>IF([2]Entry!$G$1369="","",[2]Entry!$G$1369)</f>
        <v/>
      </c>
      <c r="T1366">
        <f>IF([2]Entry!$J$1369="","",[2]Entry!$J$1369)</f>
        <v/>
      </c>
      <c r="U1366">
        <f>IF([2]Entry!$K$1369="","",[2]Entry!$K$1369)</f>
        <v/>
      </c>
      <c r="V1366">
        <f>IF([2]Entry!$L$1369="","",[2]Entry!$L$1369)</f>
        <v/>
      </c>
      <c r="W1366">
        <f>IF([2]Entry!$M$1369="","",[2]Entry!$M$1369)</f>
        <v/>
      </c>
      <c r="X1366">
        <f>IF([2]Entry!$N$1369="","",[2]Entry!$N$1369)</f>
        <v/>
      </c>
      <c r="Y1366">
        <f>IF([2]Entry!$R$1369="","",[2]Entry!$R$1369)</f>
        <v/>
      </c>
    </row>
    <row r="1367">
      <c r="P1367">
        <f>IF([2]Entry!$C$1370="","",[2]Entry!$C$1370)</f>
        <v/>
      </c>
      <c r="Q1367">
        <f>IF([2]Entry!$D$1370="","",[2]Entry!$D$1370)</f>
        <v/>
      </c>
      <c r="R1367">
        <f>IF([2]Entry!$E$1370="","",[2]Entry!$E$1370)</f>
        <v/>
      </c>
      <c r="S1367">
        <f>IF([2]Entry!$G$1370="","",[2]Entry!$G$1370)</f>
        <v/>
      </c>
      <c r="T1367">
        <f>IF([2]Entry!$J$1370="","",[2]Entry!$J$1370)</f>
        <v/>
      </c>
      <c r="U1367">
        <f>IF([2]Entry!$K$1370="","",[2]Entry!$K$1370)</f>
        <v/>
      </c>
      <c r="V1367">
        <f>IF([2]Entry!$L$1370="","",[2]Entry!$L$1370)</f>
        <v/>
      </c>
      <c r="W1367">
        <f>IF([2]Entry!$M$1370="","",[2]Entry!$M$1370)</f>
        <v/>
      </c>
      <c r="X1367">
        <f>IF([2]Entry!$N$1370="","",[2]Entry!$N$1370)</f>
        <v/>
      </c>
      <c r="Y1367">
        <f>IF([2]Entry!$R$1370="","",[2]Entry!$R$1370)</f>
        <v/>
      </c>
    </row>
    <row r="1368">
      <c r="P1368">
        <f>IF([2]Entry!$C$1371="","",[2]Entry!$C$1371)</f>
        <v/>
      </c>
      <c r="Q1368">
        <f>IF([2]Entry!$D$1371="","",[2]Entry!$D$1371)</f>
        <v/>
      </c>
      <c r="R1368">
        <f>IF([2]Entry!$E$1371="","",[2]Entry!$E$1371)</f>
        <v/>
      </c>
      <c r="S1368">
        <f>IF([2]Entry!$G$1371="","",[2]Entry!$G$1371)</f>
        <v/>
      </c>
      <c r="T1368">
        <f>IF([2]Entry!$J$1371="","",[2]Entry!$J$1371)</f>
        <v/>
      </c>
      <c r="U1368">
        <f>IF([2]Entry!$K$1371="","",[2]Entry!$K$1371)</f>
        <v/>
      </c>
      <c r="V1368">
        <f>IF([2]Entry!$L$1371="","",[2]Entry!$L$1371)</f>
        <v/>
      </c>
      <c r="W1368">
        <f>IF([2]Entry!$M$1371="","",[2]Entry!$M$1371)</f>
        <v/>
      </c>
      <c r="X1368">
        <f>IF([2]Entry!$N$1371="","",[2]Entry!$N$1371)</f>
        <v/>
      </c>
      <c r="Y1368">
        <f>IF([2]Entry!$R$1371="","",[2]Entry!$R$1371)</f>
        <v/>
      </c>
    </row>
    <row r="1369">
      <c r="P1369">
        <f>IF([2]Entry!$C$1372="","",[2]Entry!$C$1372)</f>
        <v/>
      </c>
      <c r="Q1369">
        <f>IF([2]Entry!$D$1372="","",[2]Entry!$D$1372)</f>
        <v/>
      </c>
      <c r="R1369">
        <f>IF([2]Entry!$E$1372="","",[2]Entry!$E$1372)</f>
        <v/>
      </c>
      <c r="S1369">
        <f>IF([2]Entry!$G$1372="","",[2]Entry!$G$1372)</f>
        <v/>
      </c>
      <c r="T1369">
        <f>IF([2]Entry!$J$1372="","",[2]Entry!$J$1372)</f>
        <v/>
      </c>
      <c r="U1369">
        <f>IF([2]Entry!$K$1372="","",[2]Entry!$K$1372)</f>
        <v/>
      </c>
      <c r="V1369">
        <f>IF([2]Entry!$L$1372="","",[2]Entry!$L$1372)</f>
        <v/>
      </c>
      <c r="W1369">
        <f>IF([2]Entry!$M$1372="","",[2]Entry!$M$1372)</f>
        <v/>
      </c>
      <c r="X1369">
        <f>IF([2]Entry!$N$1372="","",[2]Entry!$N$1372)</f>
        <v/>
      </c>
      <c r="Y1369">
        <f>IF([2]Entry!$R$1372="","",[2]Entry!$R$1372)</f>
        <v/>
      </c>
    </row>
    <row r="1370">
      <c r="P1370">
        <f>IF([2]Entry!$C$1373="","",[2]Entry!$C$1373)</f>
        <v/>
      </c>
      <c r="Q1370">
        <f>IF([2]Entry!$D$1373="","",[2]Entry!$D$1373)</f>
        <v/>
      </c>
      <c r="R1370">
        <f>IF([2]Entry!$E$1373="","",[2]Entry!$E$1373)</f>
        <v/>
      </c>
      <c r="S1370">
        <f>IF([2]Entry!$G$1373="","",[2]Entry!$G$1373)</f>
        <v/>
      </c>
      <c r="T1370">
        <f>IF([2]Entry!$J$1373="","",[2]Entry!$J$1373)</f>
        <v/>
      </c>
      <c r="U1370">
        <f>IF([2]Entry!$K$1373="","",[2]Entry!$K$1373)</f>
        <v/>
      </c>
      <c r="V1370">
        <f>IF([2]Entry!$L$1373="","",[2]Entry!$L$1373)</f>
        <v/>
      </c>
      <c r="W1370">
        <f>IF([2]Entry!$M$1373="","",[2]Entry!$M$1373)</f>
        <v/>
      </c>
      <c r="X1370">
        <f>IF([2]Entry!$N$1373="","",[2]Entry!$N$1373)</f>
        <v/>
      </c>
      <c r="Y1370">
        <f>IF([2]Entry!$R$1373="","",[2]Entry!$R$1373)</f>
        <v/>
      </c>
    </row>
    <row r="1371">
      <c r="P1371">
        <f>IF([2]Entry!$C$1374="","",[2]Entry!$C$1374)</f>
        <v/>
      </c>
      <c r="Q1371">
        <f>IF([2]Entry!$D$1374="","",[2]Entry!$D$1374)</f>
        <v/>
      </c>
      <c r="R1371">
        <f>IF([2]Entry!$E$1374="","",[2]Entry!$E$1374)</f>
        <v/>
      </c>
      <c r="S1371">
        <f>IF([2]Entry!$G$1374="","",[2]Entry!$G$1374)</f>
        <v/>
      </c>
      <c r="T1371">
        <f>IF([2]Entry!$J$1374="","",[2]Entry!$J$1374)</f>
        <v/>
      </c>
      <c r="U1371">
        <f>IF([2]Entry!$K$1374="","",[2]Entry!$K$1374)</f>
        <v/>
      </c>
      <c r="V1371">
        <f>IF([2]Entry!$L$1374="","",[2]Entry!$L$1374)</f>
        <v/>
      </c>
      <c r="W1371">
        <f>IF([2]Entry!$M$1374="","",[2]Entry!$M$1374)</f>
        <v/>
      </c>
      <c r="X1371">
        <f>IF([2]Entry!$N$1374="","",[2]Entry!$N$1374)</f>
        <v/>
      </c>
      <c r="Y1371">
        <f>IF([2]Entry!$R$1374="","",[2]Entry!$R$1374)</f>
        <v/>
      </c>
    </row>
    <row r="1372">
      <c r="P1372">
        <f>IF([2]Entry!$C$1375="","",[2]Entry!$C$1375)</f>
        <v/>
      </c>
      <c r="Q1372">
        <f>IF([2]Entry!$D$1375="","",[2]Entry!$D$1375)</f>
        <v/>
      </c>
      <c r="R1372">
        <f>IF([2]Entry!$E$1375="","",[2]Entry!$E$1375)</f>
        <v/>
      </c>
      <c r="S1372">
        <f>IF([2]Entry!$G$1375="","",[2]Entry!$G$1375)</f>
        <v/>
      </c>
      <c r="T1372">
        <f>IF([2]Entry!$J$1375="","",[2]Entry!$J$1375)</f>
        <v/>
      </c>
      <c r="U1372">
        <f>IF([2]Entry!$K$1375="","",[2]Entry!$K$1375)</f>
        <v/>
      </c>
      <c r="V1372">
        <f>IF([2]Entry!$L$1375="","",[2]Entry!$L$1375)</f>
        <v/>
      </c>
      <c r="W1372">
        <f>IF([2]Entry!$M$1375="","",[2]Entry!$M$1375)</f>
        <v/>
      </c>
      <c r="X1372">
        <f>IF([2]Entry!$N$1375="","",[2]Entry!$N$1375)</f>
        <v/>
      </c>
      <c r="Y1372">
        <f>IF([2]Entry!$R$1375="","",[2]Entry!$R$1375)</f>
        <v/>
      </c>
    </row>
    <row r="1373">
      <c r="P1373">
        <f>IF([2]Entry!$C$1376="","",[2]Entry!$C$1376)</f>
        <v/>
      </c>
      <c r="Q1373">
        <f>IF([2]Entry!$D$1376="","",[2]Entry!$D$1376)</f>
        <v/>
      </c>
      <c r="R1373">
        <f>IF([2]Entry!$E$1376="","",[2]Entry!$E$1376)</f>
        <v/>
      </c>
      <c r="S1373">
        <f>IF([2]Entry!$G$1376="","",[2]Entry!$G$1376)</f>
        <v/>
      </c>
      <c r="T1373">
        <f>IF([2]Entry!$J$1376="","",[2]Entry!$J$1376)</f>
        <v/>
      </c>
      <c r="U1373">
        <f>IF([2]Entry!$K$1376="","",[2]Entry!$K$1376)</f>
        <v/>
      </c>
      <c r="V1373">
        <f>IF([2]Entry!$L$1376="","",[2]Entry!$L$1376)</f>
        <v/>
      </c>
      <c r="W1373">
        <f>IF([2]Entry!$M$1376="","",[2]Entry!$M$1376)</f>
        <v/>
      </c>
      <c r="X1373">
        <f>IF([2]Entry!$N$1376="","",[2]Entry!$N$1376)</f>
        <v/>
      </c>
      <c r="Y1373">
        <f>IF([2]Entry!$R$1376="","",[2]Entry!$R$1376)</f>
        <v/>
      </c>
    </row>
    <row r="1374">
      <c r="P1374">
        <f>IF([2]Entry!$C$1377="","",[2]Entry!$C$1377)</f>
        <v/>
      </c>
      <c r="Q1374">
        <f>IF([2]Entry!$D$1377="","",[2]Entry!$D$1377)</f>
        <v/>
      </c>
      <c r="R1374">
        <f>IF([2]Entry!$E$1377="","",[2]Entry!$E$1377)</f>
        <v/>
      </c>
      <c r="S1374">
        <f>IF([2]Entry!$G$1377="","",[2]Entry!$G$1377)</f>
        <v/>
      </c>
      <c r="T1374">
        <f>IF([2]Entry!$J$1377="","",[2]Entry!$J$1377)</f>
        <v/>
      </c>
      <c r="U1374">
        <f>IF([2]Entry!$K$1377="","",[2]Entry!$K$1377)</f>
        <v/>
      </c>
      <c r="V1374">
        <f>IF([2]Entry!$L$1377="","",[2]Entry!$L$1377)</f>
        <v/>
      </c>
      <c r="W1374">
        <f>IF([2]Entry!$M$1377="","",[2]Entry!$M$1377)</f>
        <v/>
      </c>
      <c r="X1374">
        <f>IF([2]Entry!$N$1377="","",[2]Entry!$N$1377)</f>
        <v/>
      </c>
      <c r="Y1374">
        <f>IF([2]Entry!$R$1377="","",[2]Entry!$R$1377)</f>
        <v/>
      </c>
    </row>
    <row r="1375">
      <c r="P1375">
        <f>IF([2]Entry!$C$1378="","",[2]Entry!$C$1378)</f>
        <v/>
      </c>
      <c r="Q1375">
        <f>IF([2]Entry!$D$1378="","",[2]Entry!$D$1378)</f>
        <v/>
      </c>
      <c r="R1375">
        <f>IF([2]Entry!$E$1378="","",[2]Entry!$E$1378)</f>
        <v/>
      </c>
      <c r="S1375">
        <f>IF([2]Entry!$G$1378="","",[2]Entry!$G$1378)</f>
        <v/>
      </c>
      <c r="T1375">
        <f>IF([2]Entry!$J$1378="","",[2]Entry!$J$1378)</f>
        <v/>
      </c>
      <c r="U1375">
        <f>IF([2]Entry!$K$1378="","",[2]Entry!$K$1378)</f>
        <v/>
      </c>
      <c r="V1375">
        <f>IF([2]Entry!$L$1378="","",[2]Entry!$L$1378)</f>
        <v/>
      </c>
      <c r="W1375">
        <f>IF([2]Entry!$M$1378="","",[2]Entry!$M$1378)</f>
        <v/>
      </c>
      <c r="X1375">
        <f>IF([2]Entry!$N$1378="","",[2]Entry!$N$1378)</f>
        <v/>
      </c>
      <c r="Y1375">
        <f>IF([2]Entry!$R$1378="","",[2]Entry!$R$1378)</f>
        <v/>
      </c>
    </row>
    <row r="1376">
      <c r="P1376">
        <f>IF([2]Entry!$C$1379="","",[2]Entry!$C$1379)</f>
        <v/>
      </c>
      <c r="Q1376">
        <f>IF([2]Entry!$D$1379="","",[2]Entry!$D$1379)</f>
        <v/>
      </c>
      <c r="R1376">
        <f>IF([2]Entry!$E$1379="","",[2]Entry!$E$1379)</f>
        <v/>
      </c>
      <c r="S1376">
        <f>IF([2]Entry!$G$1379="","",[2]Entry!$G$1379)</f>
        <v/>
      </c>
      <c r="T1376">
        <f>IF([2]Entry!$J$1379="","",[2]Entry!$J$1379)</f>
        <v/>
      </c>
      <c r="U1376">
        <f>IF([2]Entry!$K$1379="","",[2]Entry!$K$1379)</f>
        <v/>
      </c>
      <c r="V1376">
        <f>IF([2]Entry!$L$1379="","",[2]Entry!$L$1379)</f>
        <v/>
      </c>
      <c r="W1376">
        <f>IF([2]Entry!$M$1379="","",[2]Entry!$M$1379)</f>
        <v/>
      </c>
      <c r="X1376">
        <f>IF([2]Entry!$N$1379="","",[2]Entry!$N$1379)</f>
        <v/>
      </c>
      <c r="Y1376">
        <f>IF([2]Entry!$R$1379="","",[2]Entry!$R$1379)</f>
        <v/>
      </c>
    </row>
    <row r="1377">
      <c r="P1377">
        <f>IF([2]Entry!$C$1380="","",[2]Entry!$C$1380)</f>
        <v/>
      </c>
      <c r="Q1377">
        <f>IF([2]Entry!$D$1380="","",[2]Entry!$D$1380)</f>
        <v/>
      </c>
      <c r="R1377">
        <f>IF([2]Entry!$E$1380="","",[2]Entry!$E$1380)</f>
        <v/>
      </c>
      <c r="S1377">
        <f>IF([2]Entry!$G$1380="","",[2]Entry!$G$1380)</f>
        <v/>
      </c>
      <c r="T1377">
        <f>IF([2]Entry!$J$1380="","",[2]Entry!$J$1380)</f>
        <v/>
      </c>
      <c r="U1377">
        <f>IF([2]Entry!$K$1380="","",[2]Entry!$K$1380)</f>
        <v/>
      </c>
      <c r="V1377">
        <f>IF([2]Entry!$L$1380="","",[2]Entry!$L$1380)</f>
        <v/>
      </c>
      <c r="W1377">
        <f>IF([2]Entry!$M$1380="","",[2]Entry!$M$1380)</f>
        <v/>
      </c>
      <c r="X1377">
        <f>IF([2]Entry!$N$1380="","",[2]Entry!$N$1380)</f>
        <v/>
      </c>
      <c r="Y1377">
        <f>IF([2]Entry!$R$1380="","",[2]Entry!$R$1380)</f>
        <v/>
      </c>
    </row>
    <row r="1378">
      <c r="P1378">
        <f>IF([2]Entry!$C$1381="","",[2]Entry!$C$1381)</f>
        <v/>
      </c>
      <c r="Q1378">
        <f>IF([2]Entry!$D$1381="","",[2]Entry!$D$1381)</f>
        <v/>
      </c>
      <c r="R1378">
        <f>IF([2]Entry!$E$1381="","",[2]Entry!$E$1381)</f>
        <v/>
      </c>
      <c r="S1378">
        <f>IF([2]Entry!$G$1381="","",[2]Entry!$G$1381)</f>
        <v/>
      </c>
      <c r="T1378">
        <f>IF([2]Entry!$J$1381="","",[2]Entry!$J$1381)</f>
        <v/>
      </c>
      <c r="U1378">
        <f>IF([2]Entry!$K$1381="","",[2]Entry!$K$1381)</f>
        <v/>
      </c>
      <c r="V1378">
        <f>IF([2]Entry!$L$1381="","",[2]Entry!$L$1381)</f>
        <v/>
      </c>
      <c r="W1378">
        <f>IF([2]Entry!$M$1381="","",[2]Entry!$M$1381)</f>
        <v/>
      </c>
      <c r="X1378">
        <f>IF([2]Entry!$N$1381="","",[2]Entry!$N$1381)</f>
        <v/>
      </c>
      <c r="Y1378">
        <f>IF([2]Entry!$R$1381="","",[2]Entry!$R$1381)</f>
        <v/>
      </c>
    </row>
    <row r="1379">
      <c r="P1379">
        <f>IF([2]Entry!$C$1382="","",[2]Entry!$C$1382)</f>
        <v/>
      </c>
      <c r="Q1379">
        <f>IF([2]Entry!$D$1382="","",[2]Entry!$D$1382)</f>
        <v/>
      </c>
      <c r="R1379">
        <f>IF([2]Entry!$E$1382="","",[2]Entry!$E$1382)</f>
        <v/>
      </c>
      <c r="S1379">
        <f>IF([2]Entry!$G$1382="","",[2]Entry!$G$1382)</f>
        <v/>
      </c>
      <c r="T1379">
        <f>IF([2]Entry!$J$1382="","",[2]Entry!$J$1382)</f>
        <v/>
      </c>
      <c r="U1379">
        <f>IF([2]Entry!$K$1382="","",[2]Entry!$K$1382)</f>
        <v/>
      </c>
      <c r="V1379">
        <f>IF([2]Entry!$L$1382="","",[2]Entry!$L$1382)</f>
        <v/>
      </c>
      <c r="W1379">
        <f>IF([2]Entry!$M$1382="","",[2]Entry!$M$1382)</f>
        <v/>
      </c>
      <c r="X1379">
        <f>IF([2]Entry!$N$1382="","",[2]Entry!$N$1382)</f>
        <v/>
      </c>
      <c r="Y1379">
        <f>IF([2]Entry!$R$1382="","",[2]Entry!$R$1382)</f>
        <v/>
      </c>
    </row>
    <row r="1380">
      <c r="P1380">
        <f>IF([2]Entry!$C$1383="","",[2]Entry!$C$1383)</f>
        <v/>
      </c>
      <c r="Q1380">
        <f>IF([2]Entry!$D$1383="","",[2]Entry!$D$1383)</f>
        <v/>
      </c>
      <c r="R1380">
        <f>IF([2]Entry!$E$1383="","",[2]Entry!$E$1383)</f>
        <v/>
      </c>
      <c r="S1380">
        <f>IF([2]Entry!$G$1383="","",[2]Entry!$G$1383)</f>
        <v/>
      </c>
      <c r="T1380">
        <f>IF([2]Entry!$J$1383="","",[2]Entry!$J$1383)</f>
        <v/>
      </c>
      <c r="U1380">
        <f>IF([2]Entry!$K$1383="","",[2]Entry!$K$1383)</f>
        <v/>
      </c>
      <c r="V1380">
        <f>IF([2]Entry!$L$1383="","",[2]Entry!$L$1383)</f>
        <v/>
      </c>
      <c r="W1380">
        <f>IF([2]Entry!$M$1383="","",[2]Entry!$M$1383)</f>
        <v/>
      </c>
      <c r="X1380">
        <f>IF([2]Entry!$N$1383="","",[2]Entry!$N$1383)</f>
        <v/>
      </c>
      <c r="Y1380">
        <f>IF([2]Entry!$R$1383="","",[2]Entry!$R$1383)</f>
        <v/>
      </c>
    </row>
    <row r="1381">
      <c r="P1381">
        <f>IF([2]Entry!$C$1384="","",[2]Entry!$C$1384)</f>
        <v/>
      </c>
      <c r="Q1381">
        <f>IF([2]Entry!$D$1384="","",[2]Entry!$D$1384)</f>
        <v/>
      </c>
      <c r="R1381">
        <f>IF([2]Entry!$E$1384="","",[2]Entry!$E$1384)</f>
        <v/>
      </c>
      <c r="S1381">
        <f>IF([2]Entry!$G$1384="","",[2]Entry!$G$1384)</f>
        <v/>
      </c>
      <c r="T1381">
        <f>IF([2]Entry!$J$1384="","",[2]Entry!$J$1384)</f>
        <v/>
      </c>
      <c r="U1381">
        <f>IF([2]Entry!$K$1384="","",[2]Entry!$K$1384)</f>
        <v/>
      </c>
      <c r="V1381">
        <f>IF([2]Entry!$L$1384="","",[2]Entry!$L$1384)</f>
        <v/>
      </c>
      <c r="W1381">
        <f>IF([2]Entry!$M$1384="","",[2]Entry!$M$1384)</f>
        <v/>
      </c>
      <c r="X1381">
        <f>IF([2]Entry!$N$1384="","",[2]Entry!$N$1384)</f>
        <v/>
      </c>
      <c r="Y1381">
        <f>IF([2]Entry!$R$1384="","",[2]Entry!$R$1384)</f>
        <v/>
      </c>
    </row>
    <row r="1382">
      <c r="P1382">
        <f>IF([2]Entry!$C$1385="","",[2]Entry!$C$1385)</f>
        <v/>
      </c>
      <c r="Q1382">
        <f>IF([2]Entry!$D$1385="","",[2]Entry!$D$1385)</f>
        <v/>
      </c>
      <c r="R1382">
        <f>IF([2]Entry!$E$1385="","",[2]Entry!$E$1385)</f>
        <v/>
      </c>
      <c r="S1382">
        <f>IF([2]Entry!$G$1385="","",[2]Entry!$G$1385)</f>
        <v/>
      </c>
      <c r="T1382">
        <f>IF([2]Entry!$J$1385="","",[2]Entry!$J$1385)</f>
        <v/>
      </c>
      <c r="U1382">
        <f>IF([2]Entry!$K$1385="","",[2]Entry!$K$1385)</f>
        <v/>
      </c>
      <c r="V1382">
        <f>IF([2]Entry!$L$1385="","",[2]Entry!$L$1385)</f>
        <v/>
      </c>
      <c r="W1382">
        <f>IF([2]Entry!$M$1385="","",[2]Entry!$M$1385)</f>
        <v/>
      </c>
      <c r="X1382">
        <f>IF([2]Entry!$N$1385="","",[2]Entry!$N$1385)</f>
        <v/>
      </c>
      <c r="Y1382">
        <f>IF([2]Entry!$R$1385="","",[2]Entry!$R$1385)</f>
        <v/>
      </c>
    </row>
    <row r="1383">
      <c r="P1383">
        <f>IF([2]Entry!$C$1386="","",[2]Entry!$C$1386)</f>
        <v/>
      </c>
      <c r="Q1383">
        <f>IF([2]Entry!$D$1386="","",[2]Entry!$D$1386)</f>
        <v/>
      </c>
      <c r="R1383">
        <f>IF([2]Entry!$E$1386="","",[2]Entry!$E$1386)</f>
        <v/>
      </c>
      <c r="S1383">
        <f>IF([2]Entry!$G$1386="","",[2]Entry!$G$1386)</f>
        <v/>
      </c>
      <c r="T1383">
        <f>IF([2]Entry!$J$1386="","",[2]Entry!$J$1386)</f>
        <v/>
      </c>
      <c r="U1383">
        <f>IF([2]Entry!$K$1386="","",[2]Entry!$K$1386)</f>
        <v/>
      </c>
      <c r="V1383">
        <f>IF([2]Entry!$L$1386="","",[2]Entry!$L$1386)</f>
        <v/>
      </c>
      <c r="W1383">
        <f>IF([2]Entry!$M$1386="","",[2]Entry!$M$1386)</f>
        <v/>
      </c>
      <c r="X1383">
        <f>IF([2]Entry!$N$1386="","",[2]Entry!$N$1386)</f>
        <v/>
      </c>
      <c r="Y1383">
        <f>IF([2]Entry!$R$1386="","",[2]Entry!$R$1386)</f>
        <v/>
      </c>
    </row>
    <row r="1384">
      <c r="P1384">
        <f>IF([2]Entry!$C$1387="","",[2]Entry!$C$1387)</f>
        <v/>
      </c>
      <c r="Q1384">
        <f>IF([2]Entry!$D$1387="","",[2]Entry!$D$1387)</f>
        <v/>
      </c>
      <c r="R1384">
        <f>IF([2]Entry!$E$1387="","",[2]Entry!$E$1387)</f>
        <v/>
      </c>
      <c r="S1384">
        <f>IF([2]Entry!$G$1387="","",[2]Entry!$G$1387)</f>
        <v/>
      </c>
      <c r="T1384">
        <f>IF([2]Entry!$J$1387="","",[2]Entry!$J$1387)</f>
        <v/>
      </c>
      <c r="U1384">
        <f>IF([2]Entry!$K$1387="","",[2]Entry!$K$1387)</f>
        <v/>
      </c>
      <c r="V1384">
        <f>IF([2]Entry!$L$1387="","",[2]Entry!$L$1387)</f>
        <v/>
      </c>
      <c r="W1384">
        <f>IF([2]Entry!$M$1387="","",[2]Entry!$M$1387)</f>
        <v/>
      </c>
      <c r="X1384">
        <f>IF([2]Entry!$N$1387="","",[2]Entry!$N$1387)</f>
        <v/>
      </c>
      <c r="Y1384">
        <f>IF([2]Entry!$R$1387="","",[2]Entry!$R$1387)</f>
        <v/>
      </c>
    </row>
    <row r="1385">
      <c r="P1385">
        <f>IF([2]Entry!$C$1388="","",[2]Entry!$C$1388)</f>
        <v/>
      </c>
      <c r="Q1385">
        <f>IF([2]Entry!$D$1388="","",[2]Entry!$D$1388)</f>
        <v/>
      </c>
      <c r="R1385">
        <f>IF([2]Entry!$E$1388="","",[2]Entry!$E$1388)</f>
        <v/>
      </c>
      <c r="S1385">
        <f>IF([2]Entry!$G$1388="","",[2]Entry!$G$1388)</f>
        <v/>
      </c>
      <c r="T1385">
        <f>IF([2]Entry!$J$1388="","",[2]Entry!$J$1388)</f>
        <v/>
      </c>
      <c r="U1385">
        <f>IF([2]Entry!$K$1388="","",[2]Entry!$K$1388)</f>
        <v/>
      </c>
      <c r="V1385">
        <f>IF([2]Entry!$L$1388="","",[2]Entry!$L$1388)</f>
        <v/>
      </c>
      <c r="W1385">
        <f>IF([2]Entry!$M$1388="","",[2]Entry!$M$1388)</f>
        <v/>
      </c>
      <c r="X1385">
        <f>IF([2]Entry!$N$1388="","",[2]Entry!$N$1388)</f>
        <v/>
      </c>
      <c r="Y1385">
        <f>IF([2]Entry!$R$1388="","",[2]Entry!$R$1388)</f>
        <v/>
      </c>
    </row>
    <row r="1386">
      <c r="P1386">
        <f>IF([2]Entry!$C$1389="","",[2]Entry!$C$1389)</f>
        <v/>
      </c>
      <c r="Q1386">
        <f>IF([2]Entry!$D$1389="","",[2]Entry!$D$1389)</f>
        <v/>
      </c>
      <c r="R1386">
        <f>IF([2]Entry!$E$1389="","",[2]Entry!$E$1389)</f>
        <v/>
      </c>
      <c r="S1386">
        <f>IF([2]Entry!$G$1389="","",[2]Entry!$G$1389)</f>
        <v/>
      </c>
      <c r="T1386">
        <f>IF([2]Entry!$J$1389="","",[2]Entry!$J$1389)</f>
        <v/>
      </c>
      <c r="U1386">
        <f>IF([2]Entry!$K$1389="","",[2]Entry!$K$1389)</f>
        <v/>
      </c>
      <c r="V1386">
        <f>IF([2]Entry!$L$1389="","",[2]Entry!$L$1389)</f>
        <v/>
      </c>
      <c r="W1386">
        <f>IF([2]Entry!$M$1389="","",[2]Entry!$M$1389)</f>
        <v/>
      </c>
      <c r="X1386">
        <f>IF([2]Entry!$N$1389="","",[2]Entry!$N$1389)</f>
        <v/>
      </c>
      <c r="Y1386">
        <f>IF([2]Entry!$R$1389="","",[2]Entry!$R$1389)</f>
        <v/>
      </c>
    </row>
    <row r="1387">
      <c r="P1387">
        <f>IF([2]Entry!$C$1390="","",[2]Entry!$C$1390)</f>
        <v/>
      </c>
      <c r="Q1387">
        <f>IF([2]Entry!$D$1390="","",[2]Entry!$D$1390)</f>
        <v/>
      </c>
      <c r="R1387">
        <f>IF([2]Entry!$E$1390="","",[2]Entry!$E$1390)</f>
        <v/>
      </c>
      <c r="S1387">
        <f>IF([2]Entry!$G$1390="","",[2]Entry!$G$1390)</f>
        <v/>
      </c>
      <c r="T1387">
        <f>IF([2]Entry!$J$1390="","",[2]Entry!$J$1390)</f>
        <v/>
      </c>
      <c r="U1387">
        <f>IF([2]Entry!$K$1390="","",[2]Entry!$K$1390)</f>
        <v/>
      </c>
      <c r="V1387">
        <f>IF([2]Entry!$L$1390="","",[2]Entry!$L$1390)</f>
        <v/>
      </c>
      <c r="W1387">
        <f>IF([2]Entry!$M$1390="","",[2]Entry!$M$1390)</f>
        <v/>
      </c>
      <c r="X1387">
        <f>IF([2]Entry!$N$1390="","",[2]Entry!$N$1390)</f>
        <v/>
      </c>
      <c r="Y1387">
        <f>IF([2]Entry!$R$1390="","",[2]Entry!$R$1390)</f>
        <v/>
      </c>
    </row>
    <row r="1388">
      <c r="P1388">
        <f>IF([2]Entry!$C$1391="","",[2]Entry!$C$1391)</f>
        <v/>
      </c>
      <c r="Q1388">
        <f>IF([2]Entry!$D$1391="","",[2]Entry!$D$1391)</f>
        <v/>
      </c>
      <c r="R1388">
        <f>IF([2]Entry!$E$1391="","",[2]Entry!$E$1391)</f>
        <v/>
      </c>
      <c r="S1388">
        <f>IF([2]Entry!$G$1391="","",[2]Entry!$G$1391)</f>
        <v/>
      </c>
      <c r="T1388">
        <f>IF([2]Entry!$J$1391="","",[2]Entry!$J$1391)</f>
        <v/>
      </c>
      <c r="U1388">
        <f>IF([2]Entry!$K$1391="","",[2]Entry!$K$1391)</f>
        <v/>
      </c>
      <c r="V1388">
        <f>IF([2]Entry!$L$1391="","",[2]Entry!$L$1391)</f>
        <v/>
      </c>
      <c r="W1388">
        <f>IF([2]Entry!$M$1391="","",[2]Entry!$M$1391)</f>
        <v/>
      </c>
      <c r="X1388">
        <f>IF([2]Entry!$N$1391="","",[2]Entry!$N$1391)</f>
        <v/>
      </c>
      <c r="Y1388">
        <f>IF([2]Entry!$R$1391="","",[2]Entry!$R$1391)</f>
        <v/>
      </c>
    </row>
    <row r="1389">
      <c r="P1389">
        <f>IF([2]Entry!$C$1392="","",[2]Entry!$C$1392)</f>
        <v/>
      </c>
      <c r="Q1389">
        <f>IF([2]Entry!$D$1392="","",[2]Entry!$D$1392)</f>
        <v/>
      </c>
      <c r="R1389">
        <f>IF([2]Entry!$E$1392="","",[2]Entry!$E$1392)</f>
        <v/>
      </c>
      <c r="S1389">
        <f>IF([2]Entry!$G$1392="","",[2]Entry!$G$1392)</f>
        <v/>
      </c>
      <c r="T1389">
        <f>IF([2]Entry!$J$1392="","",[2]Entry!$J$1392)</f>
        <v/>
      </c>
      <c r="U1389">
        <f>IF([2]Entry!$K$1392="","",[2]Entry!$K$1392)</f>
        <v/>
      </c>
      <c r="V1389">
        <f>IF([2]Entry!$L$1392="","",[2]Entry!$L$1392)</f>
        <v/>
      </c>
      <c r="W1389">
        <f>IF([2]Entry!$M$1392="","",[2]Entry!$M$1392)</f>
        <v/>
      </c>
      <c r="X1389">
        <f>IF([2]Entry!$N$1392="","",[2]Entry!$N$1392)</f>
        <v/>
      </c>
      <c r="Y1389">
        <f>IF([2]Entry!$R$1392="","",[2]Entry!$R$1392)</f>
        <v/>
      </c>
    </row>
    <row r="1390">
      <c r="P1390">
        <f>IF([2]Entry!$C$1393="","",[2]Entry!$C$1393)</f>
        <v/>
      </c>
      <c r="Q1390">
        <f>IF([2]Entry!$D$1393="","",[2]Entry!$D$1393)</f>
        <v/>
      </c>
      <c r="R1390">
        <f>IF([2]Entry!$E$1393="","",[2]Entry!$E$1393)</f>
        <v/>
      </c>
      <c r="S1390">
        <f>IF([2]Entry!$G$1393="","",[2]Entry!$G$1393)</f>
        <v/>
      </c>
      <c r="T1390">
        <f>IF([2]Entry!$J$1393="","",[2]Entry!$J$1393)</f>
        <v/>
      </c>
      <c r="U1390">
        <f>IF([2]Entry!$K$1393="","",[2]Entry!$K$1393)</f>
        <v/>
      </c>
      <c r="V1390">
        <f>IF([2]Entry!$L$1393="","",[2]Entry!$L$1393)</f>
        <v/>
      </c>
      <c r="W1390">
        <f>IF([2]Entry!$M$1393="","",[2]Entry!$M$1393)</f>
        <v/>
      </c>
      <c r="X1390">
        <f>IF([2]Entry!$N$1393="","",[2]Entry!$N$1393)</f>
        <v/>
      </c>
      <c r="Y1390">
        <f>IF([2]Entry!$R$1393="","",[2]Entry!$R$1393)</f>
        <v/>
      </c>
    </row>
    <row r="1391">
      <c r="P1391">
        <f>IF([2]Entry!$C$1394="","",[2]Entry!$C$1394)</f>
        <v/>
      </c>
      <c r="Q1391">
        <f>IF([2]Entry!$D$1394="","",[2]Entry!$D$1394)</f>
        <v/>
      </c>
      <c r="R1391">
        <f>IF([2]Entry!$E$1394="","",[2]Entry!$E$1394)</f>
        <v/>
      </c>
      <c r="S1391">
        <f>IF([2]Entry!$G$1394="","",[2]Entry!$G$1394)</f>
        <v/>
      </c>
      <c r="T1391">
        <f>IF([2]Entry!$J$1394="","",[2]Entry!$J$1394)</f>
        <v/>
      </c>
      <c r="U1391">
        <f>IF([2]Entry!$K$1394="","",[2]Entry!$K$1394)</f>
        <v/>
      </c>
      <c r="V1391">
        <f>IF([2]Entry!$L$1394="","",[2]Entry!$L$1394)</f>
        <v/>
      </c>
      <c r="W1391">
        <f>IF([2]Entry!$M$1394="","",[2]Entry!$M$1394)</f>
        <v/>
      </c>
      <c r="X1391">
        <f>IF([2]Entry!$N$1394="","",[2]Entry!$N$1394)</f>
        <v/>
      </c>
      <c r="Y1391">
        <f>IF([2]Entry!$R$1394="","",[2]Entry!$R$1394)</f>
        <v/>
      </c>
    </row>
    <row r="1392">
      <c r="P1392">
        <f>IF([2]Entry!$C$1395="","",[2]Entry!$C$1395)</f>
        <v/>
      </c>
      <c r="Q1392">
        <f>IF([2]Entry!$D$1395="","",[2]Entry!$D$1395)</f>
        <v/>
      </c>
      <c r="R1392">
        <f>IF([2]Entry!$E$1395="","",[2]Entry!$E$1395)</f>
        <v/>
      </c>
      <c r="S1392">
        <f>IF([2]Entry!$G$1395="","",[2]Entry!$G$1395)</f>
        <v/>
      </c>
      <c r="T1392">
        <f>IF([2]Entry!$J$1395="","",[2]Entry!$J$1395)</f>
        <v/>
      </c>
      <c r="U1392">
        <f>IF([2]Entry!$K$1395="","",[2]Entry!$K$1395)</f>
        <v/>
      </c>
      <c r="V1392">
        <f>IF([2]Entry!$L$1395="","",[2]Entry!$L$1395)</f>
        <v/>
      </c>
      <c r="W1392">
        <f>IF([2]Entry!$M$1395="","",[2]Entry!$M$1395)</f>
        <v/>
      </c>
      <c r="X1392">
        <f>IF([2]Entry!$N$1395="","",[2]Entry!$N$1395)</f>
        <v/>
      </c>
      <c r="Y1392">
        <f>IF([2]Entry!$R$1395="","",[2]Entry!$R$1395)</f>
        <v/>
      </c>
    </row>
    <row r="1393">
      <c r="P1393">
        <f>IF([2]Entry!$C$1396="","",[2]Entry!$C$1396)</f>
        <v/>
      </c>
      <c r="Q1393">
        <f>IF([2]Entry!$D$1396="","",[2]Entry!$D$1396)</f>
        <v/>
      </c>
      <c r="R1393">
        <f>IF([2]Entry!$E$1396="","",[2]Entry!$E$1396)</f>
        <v/>
      </c>
      <c r="S1393">
        <f>IF([2]Entry!$G$1396="","",[2]Entry!$G$1396)</f>
        <v/>
      </c>
      <c r="T1393">
        <f>IF([2]Entry!$J$1396="","",[2]Entry!$J$1396)</f>
        <v/>
      </c>
      <c r="U1393">
        <f>IF([2]Entry!$K$1396="","",[2]Entry!$K$1396)</f>
        <v/>
      </c>
      <c r="V1393">
        <f>IF([2]Entry!$L$1396="","",[2]Entry!$L$1396)</f>
        <v/>
      </c>
      <c r="W1393">
        <f>IF([2]Entry!$M$1396="","",[2]Entry!$M$1396)</f>
        <v/>
      </c>
      <c r="X1393">
        <f>IF([2]Entry!$N$1396="","",[2]Entry!$N$1396)</f>
        <v/>
      </c>
      <c r="Y1393">
        <f>IF([2]Entry!$R$1396="","",[2]Entry!$R$1396)</f>
        <v/>
      </c>
    </row>
    <row r="1394">
      <c r="P1394">
        <f>IF([2]Entry!$C$1397="","",[2]Entry!$C$1397)</f>
        <v/>
      </c>
      <c r="Q1394">
        <f>IF([2]Entry!$D$1397="","",[2]Entry!$D$1397)</f>
        <v/>
      </c>
      <c r="R1394">
        <f>IF([2]Entry!$E$1397="","",[2]Entry!$E$1397)</f>
        <v/>
      </c>
      <c r="S1394">
        <f>IF([2]Entry!$G$1397="","",[2]Entry!$G$1397)</f>
        <v/>
      </c>
      <c r="T1394">
        <f>IF([2]Entry!$J$1397="","",[2]Entry!$J$1397)</f>
        <v/>
      </c>
      <c r="U1394">
        <f>IF([2]Entry!$K$1397="","",[2]Entry!$K$1397)</f>
        <v/>
      </c>
      <c r="V1394">
        <f>IF([2]Entry!$L$1397="","",[2]Entry!$L$1397)</f>
        <v/>
      </c>
      <c r="W1394">
        <f>IF([2]Entry!$M$1397="","",[2]Entry!$M$1397)</f>
        <v/>
      </c>
      <c r="X1394">
        <f>IF([2]Entry!$N$1397="","",[2]Entry!$N$1397)</f>
        <v/>
      </c>
      <c r="Y1394">
        <f>IF([2]Entry!$R$1397="","",[2]Entry!$R$1397)</f>
        <v/>
      </c>
    </row>
    <row r="1395">
      <c r="P1395">
        <f>IF([2]Entry!$C$1398="","",[2]Entry!$C$1398)</f>
        <v/>
      </c>
      <c r="Q1395">
        <f>IF([2]Entry!$D$1398="","",[2]Entry!$D$1398)</f>
        <v/>
      </c>
      <c r="R1395">
        <f>IF([2]Entry!$E$1398="","",[2]Entry!$E$1398)</f>
        <v/>
      </c>
      <c r="S1395">
        <f>IF([2]Entry!$G$1398="","",[2]Entry!$G$1398)</f>
        <v/>
      </c>
      <c r="T1395">
        <f>IF([2]Entry!$J$1398="","",[2]Entry!$J$1398)</f>
        <v/>
      </c>
      <c r="U1395">
        <f>IF([2]Entry!$K$1398="","",[2]Entry!$K$1398)</f>
        <v/>
      </c>
      <c r="V1395">
        <f>IF([2]Entry!$L$1398="","",[2]Entry!$L$1398)</f>
        <v/>
      </c>
      <c r="W1395">
        <f>IF([2]Entry!$M$1398="","",[2]Entry!$M$1398)</f>
        <v/>
      </c>
      <c r="X1395">
        <f>IF([2]Entry!$N$1398="","",[2]Entry!$N$1398)</f>
        <v/>
      </c>
      <c r="Y1395">
        <f>IF([2]Entry!$R$1398="","",[2]Entry!$R$1398)</f>
        <v/>
      </c>
    </row>
    <row r="1396">
      <c r="P1396">
        <f>IF([2]Entry!$C$1399="","",[2]Entry!$C$1399)</f>
        <v/>
      </c>
      <c r="Q1396">
        <f>IF([2]Entry!$D$1399="","",[2]Entry!$D$1399)</f>
        <v/>
      </c>
      <c r="R1396">
        <f>IF([2]Entry!$E$1399="","",[2]Entry!$E$1399)</f>
        <v/>
      </c>
      <c r="S1396">
        <f>IF([2]Entry!$G$1399="","",[2]Entry!$G$1399)</f>
        <v/>
      </c>
      <c r="T1396">
        <f>IF([2]Entry!$J$1399="","",[2]Entry!$J$1399)</f>
        <v/>
      </c>
      <c r="U1396">
        <f>IF([2]Entry!$K$1399="","",[2]Entry!$K$1399)</f>
        <v/>
      </c>
      <c r="V1396">
        <f>IF([2]Entry!$L$1399="","",[2]Entry!$L$1399)</f>
        <v/>
      </c>
      <c r="W1396">
        <f>IF([2]Entry!$M$1399="","",[2]Entry!$M$1399)</f>
        <v/>
      </c>
      <c r="X1396">
        <f>IF([2]Entry!$N$1399="","",[2]Entry!$N$1399)</f>
        <v/>
      </c>
      <c r="Y1396">
        <f>IF([2]Entry!$R$1399="","",[2]Entry!$R$1399)</f>
        <v/>
      </c>
    </row>
    <row r="1397">
      <c r="P1397">
        <f>IF([2]Entry!$C$1400="","",[2]Entry!$C$1400)</f>
        <v/>
      </c>
      <c r="Q1397">
        <f>IF([2]Entry!$D$1400="","",[2]Entry!$D$1400)</f>
        <v/>
      </c>
      <c r="R1397">
        <f>IF([2]Entry!$E$1400="","",[2]Entry!$E$1400)</f>
        <v/>
      </c>
      <c r="S1397">
        <f>IF([2]Entry!$G$1400="","",[2]Entry!$G$1400)</f>
        <v/>
      </c>
      <c r="T1397">
        <f>IF([2]Entry!$J$1400="","",[2]Entry!$J$1400)</f>
        <v/>
      </c>
      <c r="U1397">
        <f>IF([2]Entry!$K$1400="","",[2]Entry!$K$1400)</f>
        <v/>
      </c>
      <c r="V1397">
        <f>IF([2]Entry!$L$1400="","",[2]Entry!$L$1400)</f>
        <v/>
      </c>
      <c r="W1397">
        <f>IF([2]Entry!$M$1400="","",[2]Entry!$M$1400)</f>
        <v/>
      </c>
      <c r="X1397">
        <f>IF([2]Entry!$N$1400="","",[2]Entry!$N$1400)</f>
        <v/>
      </c>
      <c r="Y1397">
        <f>IF([2]Entry!$R$1400="","",[2]Entry!$R$1400)</f>
        <v/>
      </c>
    </row>
    <row r="1398">
      <c r="P1398">
        <f>IF([2]Entry!$C$1401="","",[2]Entry!$C$1401)</f>
        <v/>
      </c>
      <c r="Q1398">
        <f>IF([2]Entry!$D$1401="","",[2]Entry!$D$1401)</f>
        <v/>
      </c>
      <c r="R1398">
        <f>IF([2]Entry!$E$1401="","",[2]Entry!$E$1401)</f>
        <v/>
      </c>
      <c r="S1398">
        <f>IF([2]Entry!$G$1401="","",[2]Entry!$G$1401)</f>
        <v/>
      </c>
      <c r="T1398">
        <f>IF([2]Entry!$J$1401="","",[2]Entry!$J$1401)</f>
        <v/>
      </c>
      <c r="U1398">
        <f>IF([2]Entry!$K$1401="","",[2]Entry!$K$1401)</f>
        <v/>
      </c>
      <c r="V1398">
        <f>IF([2]Entry!$L$1401="","",[2]Entry!$L$1401)</f>
        <v/>
      </c>
      <c r="W1398">
        <f>IF([2]Entry!$M$1401="","",[2]Entry!$M$1401)</f>
        <v/>
      </c>
      <c r="X1398">
        <f>IF([2]Entry!$N$1401="","",[2]Entry!$N$1401)</f>
        <v/>
      </c>
      <c r="Y1398">
        <f>IF([2]Entry!$R$1401="","",[2]Entry!$R$1401)</f>
        <v/>
      </c>
    </row>
    <row r="1399">
      <c r="P1399">
        <f>IF([2]Entry!$C$1402="","",[2]Entry!$C$1402)</f>
        <v/>
      </c>
      <c r="Q1399">
        <f>IF([2]Entry!$D$1402="","",[2]Entry!$D$1402)</f>
        <v/>
      </c>
      <c r="R1399">
        <f>IF([2]Entry!$E$1402="","",[2]Entry!$E$1402)</f>
        <v/>
      </c>
      <c r="S1399">
        <f>IF([2]Entry!$G$1402="","",[2]Entry!$G$1402)</f>
        <v/>
      </c>
      <c r="T1399">
        <f>IF([2]Entry!$J$1402="","",[2]Entry!$J$1402)</f>
        <v/>
      </c>
      <c r="U1399">
        <f>IF([2]Entry!$K$1402="","",[2]Entry!$K$1402)</f>
        <v/>
      </c>
      <c r="V1399">
        <f>IF([2]Entry!$L$1402="","",[2]Entry!$L$1402)</f>
        <v/>
      </c>
      <c r="W1399">
        <f>IF([2]Entry!$M$1402="","",[2]Entry!$M$1402)</f>
        <v/>
      </c>
      <c r="X1399">
        <f>IF([2]Entry!$N$1402="","",[2]Entry!$N$1402)</f>
        <v/>
      </c>
      <c r="Y1399">
        <f>IF([2]Entry!$R$1402="","",[2]Entry!$R$1402)</f>
        <v/>
      </c>
    </row>
    <row r="1400">
      <c r="P1400">
        <f>IF([2]Entry!$C$1403="","",[2]Entry!$C$1403)</f>
        <v/>
      </c>
      <c r="Q1400">
        <f>IF([2]Entry!$D$1403="","",[2]Entry!$D$1403)</f>
        <v/>
      </c>
      <c r="R1400">
        <f>IF([2]Entry!$E$1403="","",[2]Entry!$E$1403)</f>
        <v/>
      </c>
      <c r="S1400">
        <f>IF([2]Entry!$G$1403="","",[2]Entry!$G$1403)</f>
        <v/>
      </c>
      <c r="T1400">
        <f>IF([2]Entry!$J$1403="","",[2]Entry!$J$1403)</f>
        <v/>
      </c>
      <c r="U1400">
        <f>IF([2]Entry!$K$1403="","",[2]Entry!$K$1403)</f>
        <v/>
      </c>
      <c r="V1400">
        <f>IF([2]Entry!$L$1403="","",[2]Entry!$L$1403)</f>
        <v/>
      </c>
      <c r="W1400">
        <f>IF([2]Entry!$M$1403="","",[2]Entry!$M$1403)</f>
        <v/>
      </c>
      <c r="X1400">
        <f>IF([2]Entry!$N$1403="","",[2]Entry!$N$1403)</f>
        <v/>
      </c>
      <c r="Y1400">
        <f>IF([2]Entry!$R$1403="","",[2]Entry!$R$1403)</f>
        <v/>
      </c>
    </row>
    <row r="1401">
      <c r="P1401">
        <f>IF([2]Entry!$C$1404="","",[2]Entry!$C$1404)</f>
        <v/>
      </c>
      <c r="Q1401">
        <f>IF([2]Entry!$D$1404="","",[2]Entry!$D$1404)</f>
        <v/>
      </c>
      <c r="R1401">
        <f>IF([2]Entry!$E$1404="","",[2]Entry!$E$1404)</f>
        <v/>
      </c>
      <c r="S1401">
        <f>IF([2]Entry!$G$1404="","",[2]Entry!$G$1404)</f>
        <v/>
      </c>
      <c r="T1401">
        <f>IF([2]Entry!$J$1404="","",[2]Entry!$J$1404)</f>
        <v/>
      </c>
      <c r="U1401">
        <f>IF([2]Entry!$K$1404="","",[2]Entry!$K$1404)</f>
        <v/>
      </c>
      <c r="V1401">
        <f>IF([2]Entry!$L$1404="","",[2]Entry!$L$1404)</f>
        <v/>
      </c>
      <c r="W1401">
        <f>IF([2]Entry!$M$1404="","",[2]Entry!$M$1404)</f>
        <v/>
      </c>
      <c r="X1401">
        <f>IF([2]Entry!$N$1404="","",[2]Entry!$N$1404)</f>
        <v/>
      </c>
      <c r="Y1401">
        <f>IF([2]Entry!$R$1404="","",[2]Entry!$R$1404)</f>
        <v/>
      </c>
    </row>
    <row r="1402">
      <c r="P1402">
        <f>IF([2]Entry!$C$1405="","",[2]Entry!$C$1405)</f>
        <v/>
      </c>
      <c r="Q1402">
        <f>IF([2]Entry!$D$1405="","",[2]Entry!$D$1405)</f>
        <v/>
      </c>
      <c r="R1402">
        <f>IF([2]Entry!$E$1405="","",[2]Entry!$E$1405)</f>
        <v/>
      </c>
      <c r="S1402">
        <f>IF([2]Entry!$G$1405="","",[2]Entry!$G$1405)</f>
        <v/>
      </c>
      <c r="T1402">
        <f>IF([2]Entry!$J$1405="","",[2]Entry!$J$1405)</f>
        <v/>
      </c>
      <c r="U1402">
        <f>IF([2]Entry!$K$1405="","",[2]Entry!$K$1405)</f>
        <v/>
      </c>
      <c r="V1402">
        <f>IF([2]Entry!$L$1405="","",[2]Entry!$L$1405)</f>
        <v/>
      </c>
      <c r="W1402">
        <f>IF([2]Entry!$M$1405="","",[2]Entry!$M$1405)</f>
        <v/>
      </c>
      <c r="X1402">
        <f>IF([2]Entry!$N$1405="","",[2]Entry!$N$1405)</f>
        <v/>
      </c>
      <c r="Y1402">
        <f>IF([2]Entry!$R$1405="","",[2]Entry!$R$1405)</f>
        <v/>
      </c>
    </row>
    <row r="1403">
      <c r="P1403">
        <f>IF([2]Entry!$C$1406="","",[2]Entry!$C$1406)</f>
        <v/>
      </c>
      <c r="Q1403">
        <f>IF([2]Entry!$D$1406="","",[2]Entry!$D$1406)</f>
        <v/>
      </c>
      <c r="R1403">
        <f>IF([2]Entry!$E$1406="","",[2]Entry!$E$1406)</f>
        <v/>
      </c>
      <c r="S1403">
        <f>IF([2]Entry!$G$1406="","",[2]Entry!$G$1406)</f>
        <v/>
      </c>
      <c r="T1403">
        <f>IF([2]Entry!$J$1406="","",[2]Entry!$J$1406)</f>
        <v/>
      </c>
      <c r="U1403">
        <f>IF([2]Entry!$K$1406="","",[2]Entry!$K$1406)</f>
        <v/>
      </c>
      <c r="V1403">
        <f>IF([2]Entry!$L$1406="","",[2]Entry!$L$1406)</f>
        <v/>
      </c>
      <c r="W1403">
        <f>IF([2]Entry!$M$1406="","",[2]Entry!$M$1406)</f>
        <v/>
      </c>
      <c r="X1403">
        <f>IF([2]Entry!$N$1406="","",[2]Entry!$N$1406)</f>
        <v/>
      </c>
      <c r="Y1403">
        <f>IF([2]Entry!$R$1406="","",[2]Entry!$R$1406)</f>
        <v/>
      </c>
    </row>
    <row r="1404">
      <c r="P1404">
        <f>IF([2]Entry!$C$1407="","",[2]Entry!$C$1407)</f>
        <v/>
      </c>
      <c r="Q1404">
        <f>IF([2]Entry!$D$1407="","",[2]Entry!$D$1407)</f>
        <v/>
      </c>
      <c r="R1404">
        <f>IF([2]Entry!$E$1407="","",[2]Entry!$E$1407)</f>
        <v/>
      </c>
      <c r="S1404">
        <f>IF([2]Entry!$G$1407="","",[2]Entry!$G$1407)</f>
        <v/>
      </c>
      <c r="T1404">
        <f>IF([2]Entry!$J$1407="","",[2]Entry!$J$1407)</f>
        <v/>
      </c>
      <c r="U1404">
        <f>IF([2]Entry!$K$1407="","",[2]Entry!$K$1407)</f>
        <v/>
      </c>
      <c r="V1404">
        <f>IF([2]Entry!$L$1407="","",[2]Entry!$L$1407)</f>
        <v/>
      </c>
      <c r="W1404">
        <f>IF([2]Entry!$M$1407="","",[2]Entry!$M$1407)</f>
        <v/>
      </c>
      <c r="X1404">
        <f>IF([2]Entry!$N$1407="","",[2]Entry!$N$1407)</f>
        <v/>
      </c>
      <c r="Y1404">
        <f>IF([2]Entry!$R$1407="","",[2]Entry!$R$1407)</f>
        <v/>
      </c>
    </row>
    <row r="1405">
      <c r="P1405">
        <f>IF([2]Entry!$C$1408="","",[2]Entry!$C$1408)</f>
        <v/>
      </c>
      <c r="Q1405">
        <f>IF([2]Entry!$D$1408="","",[2]Entry!$D$1408)</f>
        <v/>
      </c>
      <c r="R1405">
        <f>IF([2]Entry!$E$1408="","",[2]Entry!$E$1408)</f>
        <v/>
      </c>
      <c r="S1405">
        <f>IF([2]Entry!$G$1408="","",[2]Entry!$G$1408)</f>
        <v/>
      </c>
      <c r="T1405">
        <f>IF([2]Entry!$J$1408="","",[2]Entry!$J$1408)</f>
        <v/>
      </c>
      <c r="U1405">
        <f>IF([2]Entry!$K$1408="","",[2]Entry!$K$1408)</f>
        <v/>
      </c>
      <c r="V1405">
        <f>IF([2]Entry!$L$1408="","",[2]Entry!$L$1408)</f>
        <v/>
      </c>
      <c r="W1405">
        <f>IF([2]Entry!$M$1408="","",[2]Entry!$M$1408)</f>
        <v/>
      </c>
      <c r="X1405">
        <f>IF([2]Entry!$N$1408="","",[2]Entry!$N$1408)</f>
        <v/>
      </c>
      <c r="Y1405">
        <f>IF([2]Entry!$R$1408="","",[2]Entry!$R$1408)</f>
        <v/>
      </c>
    </row>
    <row r="1406">
      <c r="P1406">
        <f>IF([2]Entry!$C$1409="","",[2]Entry!$C$1409)</f>
        <v/>
      </c>
      <c r="Q1406">
        <f>IF([2]Entry!$D$1409="","",[2]Entry!$D$1409)</f>
        <v/>
      </c>
      <c r="R1406">
        <f>IF([2]Entry!$E$1409="","",[2]Entry!$E$1409)</f>
        <v/>
      </c>
      <c r="S1406">
        <f>IF([2]Entry!$G$1409="","",[2]Entry!$G$1409)</f>
        <v/>
      </c>
      <c r="T1406">
        <f>IF([2]Entry!$J$1409="","",[2]Entry!$J$1409)</f>
        <v/>
      </c>
      <c r="U1406">
        <f>IF([2]Entry!$K$1409="","",[2]Entry!$K$1409)</f>
        <v/>
      </c>
      <c r="V1406">
        <f>IF([2]Entry!$L$1409="","",[2]Entry!$L$1409)</f>
        <v/>
      </c>
      <c r="W1406">
        <f>IF([2]Entry!$M$1409="","",[2]Entry!$M$1409)</f>
        <v/>
      </c>
      <c r="X1406">
        <f>IF([2]Entry!$N$1409="","",[2]Entry!$N$1409)</f>
        <v/>
      </c>
      <c r="Y1406">
        <f>IF([2]Entry!$R$1409="","",[2]Entry!$R$1409)</f>
        <v/>
      </c>
    </row>
    <row r="1407">
      <c r="P1407">
        <f>IF([2]Entry!$C$1410="","",[2]Entry!$C$1410)</f>
        <v/>
      </c>
      <c r="Q1407">
        <f>IF([2]Entry!$D$1410="","",[2]Entry!$D$1410)</f>
        <v/>
      </c>
      <c r="R1407">
        <f>IF([2]Entry!$E$1410="","",[2]Entry!$E$1410)</f>
        <v/>
      </c>
      <c r="S1407">
        <f>IF([2]Entry!$G$1410="","",[2]Entry!$G$1410)</f>
        <v/>
      </c>
      <c r="T1407">
        <f>IF([2]Entry!$J$1410="","",[2]Entry!$J$1410)</f>
        <v/>
      </c>
      <c r="U1407">
        <f>IF([2]Entry!$K$1410="","",[2]Entry!$K$1410)</f>
        <v/>
      </c>
      <c r="V1407">
        <f>IF([2]Entry!$L$1410="","",[2]Entry!$L$1410)</f>
        <v/>
      </c>
      <c r="W1407">
        <f>IF([2]Entry!$M$1410="","",[2]Entry!$M$1410)</f>
        <v/>
      </c>
      <c r="X1407">
        <f>IF([2]Entry!$N$1410="","",[2]Entry!$N$1410)</f>
        <v/>
      </c>
      <c r="Y1407">
        <f>IF([2]Entry!$R$1410="","",[2]Entry!$R$1410)</f>
        <v/>
      </c>
    </row>
    <row r="1408">
      <c r="P1408">
        <f>IF([2]Entry!$C$1411="","",[2]Entry!$C$1411)</f>
        <v/>
      </c>
      <c r="Q1408">
        <f>IF([2]Entry!$D$1411="","",[2]Entry!$D$1411)</f>
        <v/>
      </c>
      <c r="R1408">
        <f>IF([2]Entry!$E$1411="","",[2]Entry!$E$1411)</f>
        <v/>
      </c>
      <c r="S1408">
        <f>IF([2]Entry!$G$1411="","",[2]Entry!$G$1411)</f>
        <v/>
      </c>
      <c r="T1408">
        <f>IF([2]Entry!$J$1411="","",[2]Entry!$J$1411)</f>
        <v/>
      </c>
      <c r="U1408">
        <f>IF([2]Entry!$K$1411="","",[2]Entry!$K$1411)</f>
        <v/>
      </c>
      <c r="V1408">
        <f>IF([2]Entry!$L$1411="","",[2]Entry!$L$1411)</f>
        <v/>
      </c>
      <c r="W1408">
        <f>IF([2]Entry!$M$1411="","",[2]Entry!$M$1411)</f>
        <v/>
      </c>
      <c r="X1408">
        <f>IF([2]Entry!$N$1411="","",[2]Entry!$N$1411)</f>
        <v/>
      </c>
      <c r="Y1408">
        <f>IF([2]Entry!$R$1411="","",[2]Entry!$R$1411)</f>
        <v/>
      </c>
    </row>
    <row r="1409">
      <c r="P1409">
        <f>IF([2]Entry!$C$1412="","",[2]Entry!$C$1412)</f>
        <v/>
      </c>
      <c r="Q1409">
        <f>IF([2]Entry!$D$1412="","",[2]Entry!$D$1412)</f>
        <v/>
      </c>
      <c r="R1409">
        <f>IF([2]Entry!$E$1412="","",[2]Entry!$E$1412)</f>
        <v/>
      </c>
      <c r="S1409">
        <f>IF([2]Entry!$G$1412="","",[2]Entry!$G$1412)</f>
        <v/>
      </c>
      <c r="T1409">
        <f>IF([2]Entry!$J$1412="","",[2]Entry!$J$1412)</f>
        <v/>
      </c>
      <c r="U1409">
        <f>IF([2]Entry!$K$1412="","",[2]Entry!$K$1412)</f>
        <v/>
      </c>
      <c r="V1409">
        <f>IF([2]Entry!$L$1412="","",[2]Entry!$L$1412)</f>
        <v/>
      </c>
      <c r="W1409">
        <f>IF([2]Entry!$M$1412="","",[2]Entry!$M$1412)</f>
        <v/>
      </c>
      <c r="X1409">
        <f>IF([2]Entry!$N$1412="","",[2]Entry!$N$1412)</f>
        <v/>
      </c>
      <c r="Y1409">
        <f>IF([2]Entry!$R$1412="","",[2]Entry!$R$1412)</f>
        <v/>
      </c>
    </row>
    <row r="1410">
      <c r="P1410">
        <f>IF([2]Entry!$C$1413="","",[2]Entry!$C$1413)</f>
        <v/>
      </c>
      <c r="Q1410">
        <f>IF([2]Entry!$D$1413="","",[2]Entry!$D$1413)</f>
        <v/>
      </c>
      <c r="R1410">
        <f>IF([2]Entry!$E$1413="","",[2]Entry!$E$1413)</f>
        <v/>
      </c>
      <c r="S1410">
        <f>IF([2]Entry!$G$1413="","",[2]Entry!$G$1413)</f>
        <v/>
      </c>
      <c r="T1410">
        <f>IF([2]Entry!$J$1413="","",[2]Entry!$J$1413)</f>
        <v/>
      </c>
      <c r="U1410">
        <f>IF([2]Entry!$K$1413="","",[2]Entry!$K$1413)</f>
        <v/>
      </c>
      <c r="V1410">
        <f>IF([2]Entry!$L$1413="","",[2]Entry!$L$1413)</f>
        <v/>
      </c>
      <c r="W1410">
        <f>IF([2]Entry!$M$1413="","",[2]Entry!$M$1413)</f>
        <v/>
      </c>
      <c r="X1410">
        <f>IF([2]Entry!$N$1413="","",[2]Entry!$N$1413)</f>
        <v/>
      </c>
      <c r="Y1410">
        <f>IF([2]Entry!$R$1413="","",[2]Entry!$R$1413)</f>
        <v/>
      </c>
    </row>
    <row r="1411">
      <c r="P1411">
        <f>IF([2]Entry!$C$1414="","",[2]Entry!$C$1414)</f>
        <v/>
      </c>
      <c r="Q1411">
        <f>IF([2]Entry!$D$1414="","",[2]Entry!$D$1414)</f>
        <v/>
      </c>
      <c r="R1411">
        <f>IF([2]Entry!$E$1414="","",[2]Entry!$E$1414)</f>
        <v/>
      </c>
      <c r="S1411">
        <f>IF([2]Entry!$G$1414="","",[2]Entry!$G$1414)</f>
        <v/>
      </c>
      <c r="T1411">
        <f>IF([2]Entry!$J$1414="","",[2]Entry!$J$1414)</f>
        <v/>
      </c>
      <c r="U1411">
        <f>IF([2]Entry!$K$1414="","",[2]Entry!$K$1414)</f>
        <v/>
      </c>
      <c r="V1411">
        <f>IF([2]Entry!$L$1414="","",[2]Entry!$L$1414)</f>
        <v/>
      </c>
      <c r="W1411">
        <f>IF([2]Entry!$M$1414="","",[2]Entry!$M$1414)</f>
        <v/>
      </c>
      <c r="X1411">
        <f>IF([2]Entry!$N$1414="","",[2]Entry!$N$1414)</f>
        <v/>
      </c>
      <c r="Y1411">
        <f>IF([2]Entry!$R$1414="","",[2]Entry!$R$1414)</f>
        <v/>
      </c>
    </row>
    <row r="1412">
      <c r="P1412">
        <f>IF([2]Entry!$C$1415="","",[2]Entry!$C$1415)</f>
        <v/>
      </c>
      <c r="Q1412">
        <f>IF([2]Entry!$D$1415="","",[2]Entry!$D$1415)</f>
        <v/>
      </c>
      <c r="R1412">
        <f>IF([2]Entry!$E$1415="","",[2]Entry!$E$1415)</f>
        <v/>
      </c>
      <c r="S1412">
        <f>IF([2]Entry!$G$1415="","",[2]Entry!$G$1415)</f>
        <v/>
      </c>
      <c r="T1412">
        <f>IF([2]Entry!$J$1415="","",[2]Entry!$J$1415)</f>
        <v/>
      </c>
      <c r="U1412">
        <f>IF([2]Entry!$K$1415="","",[2]Entry!$K$1415)</f>
        <v/>
      </c>
      <c r="V1412">
        <f>IF([2]Entry!$L$1415="","",[2]Entry!$L$1415)</f>
        <v/>
      </c>
      <c r="W1412">
        <f>IF([2]Entry!$M$1415="","",[2]Entry!$M$1415)</f>
        <v/>
      </c>
      <c r="X1412">
        <f>IF([2]Entry!$N$1415="","",[2]Entry!$N$1415)</f>
        <v/>
      </c>
      <c r="Y1412">
        <f>IF([2]Entry!$R$1415="","",[2]Entry!$R$1415)</f>
        <v/>
      </c>
    </row>
    <row r="1413">
      <c r="P1413">
        <f>IF([2]Entry!$C$1416="","",[2]Entry!$C$1416)</f>
        <v/>
      </c>
      <c r="Q1413">
        <f>IF([2]Entry!$D$1416="","",[2]Entry!$D$1416)</f>
        <v/>
      </c>
      <c r="R1413">
        <f>IF([2]Entry!$E$1416="","",[2]Entry!$E$1416)</f>
        <v/>
      </c>
      <c r="S1413">
        <f>IF([2]Entry!$G$1416="","",[2]Entry!$G$1416)</f>
        <v/>
      </c>
      <c r="T1413">
        <f>IF([2]Entry!$J$1416="","",[2]Entry!$J$1416)</f>
        <v/>
      </c>
      <c r="U1413">
        <f>IF([2]Entry!$K$1416="","",[2]Entry!$K$1416)</f>
        <v/>
      </c>
      <c r="V1413">
        <f>IF([2]Entry!$L$1416="","",[2]Entry!$L$1416)</f>
        <v/>
      </c>
      <c r="W1413">
        <f>IF([2]Entry!$M$1416="","",[2]Entry!$M$1416)</f>
        <v/>
      </c>
      <c r="X1413">
        <f>IF([2]Entry!$N$1416="","",[2]Entry!$N$1416)</f>
        <v/>
      </c>
      <c r="Y1413">
        <f>IF([2]Entry!$R$1416="","",[2]Entry!$R$1416)</f>
        <v/>
      </c>
    </row>
    <row r="1414">
      <c r="P1414">
        <f>IF([2]Entry!$C$1417="","",[2]Entry!$C$1417)</f>
        <v/>
      </c>
      <c r="Q1414">
        <f>IF([2]Entry!$D$1417="","",[2]Entry!$D$1417)</f>
        <v/>
      </c>
      <c r="R1414">
        <f>IF([2]Entry!$E$1417="","",[2]Entry!$E$1417)</f>
        <v/>
      </c>
      <c r="S1414">
        <f>IF([2]Entry!$G$1417="","",[2]Entry!$G$1417)</f>
        <v/>
      </c>
      <c r="T1414">
        <f>IF([2]Entry!$J$1417="","",[2]Entry!$J$1417)</f>
        <v/>
      </c>
      <c r="U1414">
        <f>IF([2]Entry!$K$1417="","",[2]Entry!$K$1417)</f>
        <v/>
      </c>
      <c r="V1414">
        <f>IF([2]Entry!$L$1417="","",[2]Entry!$L$1417)</f>
        <v/>
      </c>
      <c r="W1414">
        <f>IF([2]Entry!$M$1417="","",[2]Entry!$M$1417)</f>
        <v/>
      </c>
      <c r="X1414">
        <f>IF([2]Entry!$N$1417="","",[2]Entry!$N$1417)</f>
        <v/>
      </c>
      <c r="Y1414">
        <f>IF([2]Entry!$R$1417="","",[2]Entry!$R$1417)</f>
        <v/>
      </c>
    </row>
    <row r="1415">
      <c r="P1415">
        <f>IF([2]Entry!$C$1418="","",[2]Entry!$C$1418)</f>
        <v/>
      </c>
      <c r="Q1415">
        <f>IF([2]Entry!$D$1418="","",[2]Entry!$D$1418)</f>
        <v/>
      </c>
      <c r="R1415">
        <f>IF([2]Entry!$E$1418="","",[2]Entry!$E$1418)</f>
        <v/>
      </c>
      <c r="S1415">
        <f>IF([2]Entry!$G$1418="","",[2]Entry!$G$1418)</f>
        <v/>
      </c>
      <c r="T1415">
        <f>IF([2]Entry!$J$1418="","",[2]Entry!$J$1418)</f>
        <v/>
      </c>
      <c r="U1415">
        <f>IF([2]Entry!$K$1418="","",[2]Entry!$K$1418)</f>
        <v/>
      </c>
      <c r="V1415">
        <f>IF([2]Entry!$L$1418="","",[2]Entry!$L$1418)</f>
        <v/>
      </c>
      <c r="W1415">
        <f>IF([2]Entry!$M$1418="","",[2]Entry!$M$1418)</f>
        <v/>
      </c>
      <c r="X1415">
        <f>IF([2]Entry!$N$1418="","",[2]Entry!$N$1418)</f>
        <v/>
      </c>
      <c r="Y1415">
        <f>IF([2]Entry!$R$1418="","",[2]Entry!$R$1418)</f>
        <v/>
      </c>
    </row>
    <row r="1416">
      <c r="P1416">
        <f>IF([2]Entry!$C$1419="","",[2]Entry!$C$1419)</f>
        <v/>
      </c>
      <c r="Q1416">
        <f>IF([2]Entry!$D$1419="","",[2]Entry!$D$1419)</f>
        <v/>
      </c>
      <c r="R1416">
        <f>IF([2]Entry!$E$1419="","",[2]Entry!$E$1419)</f>
        <v/>
      </c>
      <c r="S1416">
        <f>IF([2]Entry!$G$1419="","",[2]Entry!$G$1419)</f>
        <v/>
      </c>
      <c r="T1416">
        <f>IF([2]Entry!$J$1419="","",[2]Entry!$J$1419)</f>
        <v/>
      </c>
      <c r="U1416">
        <f>IF([2]Entry!$K$1419="","",[2]Entry!$K$1419)</f>
        <v/>
      </c>
      <c r="V1416">
        <f>IF([2]Entry!$L$1419="","",[2]Entry!$L$1419)</f>
        <v/>
      </c>
      <c r="W1416">
        <f>IF([2]Entry!$M$1419="","",[2]Entry!$M$1419)</f>
        <v/>
      </c>
      <c r="X1416">
        <f>IF([2]Entry!$N$1419="","",[2]Entry!$N$1419)</f>
        <v/>
      </c>
      <c r="Y1416">
        <f>IF([2]Entry!$R$1419="","",[2]Entry!$R$1419)</f>
        <v/>
      </c>
    </row>
    <row r="1417">
      <c r="P1417">
        <f>IF([2]Entry!$C$1420="","",[2]Entry!$C$1420)</f>
        <v/>
      </c>
      <c r="Q1417">
        <f>IF([2]Entry!$D$1420="","",[2]Entry!$D$1420)</f>
        <v/>
      </c>
      <c r="R1417">
        <f>IF([2]Entry!$E$1420="","",[2]Entry!$E$1420)</f>
        <v/>
      </c>
      <c r="S1417">
        <f>IF([2]Entry!$G$1420="","",[2]Entry!$G$1420)</f>
        <v/>
      </c>
      <c r="T1417">
        <f>IF([2]Entry!$J$1420="","",[2]Entry!$J$1420)</f>
        <v/>
      </c>
      <c r="U1417">
        <f>IF([2]Entry!$K$1420="","",[2]Entry!$K$1420)</f>
        <v/>
      </c>
      <c r="V1417">
        <f>IF([2]Entry!$L$1420="","",[2]Entry!$L$1420)</f>
        <v/>
      </c>
      <c r="W1417">
        <f>IF([2]Entry!$M$1420="","",[2]Entry!$M$1420)</f>
        <v/>
      </c>
      <c r="X1417">
        <f>IF([2]Entry!$N$1420="","",[2]Entry!$N$1420)</f>
        <v/>
      </c>
      <c r="Y1417">
        <f>IF([2]Entry!$R$1420="","",[2]Entry!$R$1420)</f>
        <v/>
      </c>
    </row>
    <row r="1418">
      <c r="P1418">
        <f>IF([2]Entry!$C$1421="","",[2]Entry!$C$1421)</f>
        <v/>
      </c>
      <c r="Q1418">
        <f>IF([2]Entry!$D$1421="","",[2]Entry!$D$1421)</f>
        <v/>
      </c>
      <c r="R1418">
        <f>IF([2]Entry!$E$1421="","",[2]Entry!$E$1421)</f>
        <v/>
      </c>
      <c r="S1418">
        <f>IF([2]Entry!$G$1421="","",[2]Entry!$G$1421)</f>
        <v/>
      </c>
      <c r="T1418">
        <f>IF([2]Entry!$J$1421="","",[2]Entry!$J$1421)</f>
        <v/>
      </c>
      <c r="U1418">
        <f>IF([2]Entry!$K$1421="","",[2]Entry!$K$1421)</f>
        <v/>
      </c>
      <c r="V1418">
        <f>IF([2]Entry!$L$1421="","",[2]Entry!$L$1421)</f>
        <v/>
      </c>
      <c r="W1418">
        <f>IF([2]Entry!$M$1421="","",[2]Entry!$M$1421)</f>
        <v/>
      </c>
      <c r="X1418">
        <f>IF([2]Entry!$N$1421="","",[2]Entry!$N$1421)</f>
        <v/>
      </c>
      <c r="Y1418">
        <f>IF([2]Entry!$R$1421="","",[2]Entry!$R$1421)</f>
        <v/>
      </c>
    </row>
    <row r="1419">
      <c r="P1419">
        <f>IF([2]Entry!$C$1422="","",[2]Entry!$C$1422)</f>
        <v/>
      </c>
      <c r="Q1419">
        <f>IF([2]Entry!$D$1422="","",[2]Entry!$D$1422)</f>
        <v/>
      </c>
      <c r="R1419">
        <f>IF([2]Entry!$E$1422="","",[2]Entry!$E$1422)</f>
        <v/>
      </c>
      <c r="S1419">
        <f>IF([2]Entry!$G$1422="","",[2]Entry!$G$1422)</f>
        <v/>
      </c>
      <c r="T1419">
        <f>IF([2]Entry!$J$1422="","",[2]Entry!$J$1422)</f>
        <v/>
      </c>
      <c r="U1419">
        <f>IF([2]Entry!$K$1422="","",[2]Entry!$K$1422)</f>
        <v/>
      </c>
      <c r="V1419">
        <f>IF([2]Entry!$L$1422="","",[2]Entry!$L$1422)</f>
        <v/>
      </c>
      <c r="W1419">
        <f>IF([2]Entry!$M$1422="","",[2]Entry!$M$1422)</f>
        <v/>
      </c>
      <c r="X1419">
        <f>IF([2]Entry!$N$1422="","",[2]Entry!$N$1422)</f>
        <v/>
      </c>
      <c r="Y1419">
        <f>IF([2]Entry!$R$1422="","",[2]Entry!$R$1422)</f>
        <v/>
      </c>
    </row>
    <row r="1420">
      <c r="P1420">
        <f>IF([2]Entry!$C$1423="","",[2]Entry!$C$1423)</f>
        <v/>
      </c>
      <c r="Q1420">
        <f>IF([2]Entry!$D$1423="","",[2]Entry!$D$1423)</f>
        <v/>
      </c>
      <c r="R1420">
        <f>IF([2]Entry!$E$1423="","",[2]Entry!$E$1423)</f>
        <v/>
      </c>
      <c r="S1420">
        <f>IF([2]Entry!$G$1423="","",[2]Entry!$G$1423)</f>
        <v/>
      </c>
      <c r="T1420">
        <f>IF([2]Entry!$J$1423="","",[2]Entry!$J$1423)</f>
        <v/>
      </c>
      <c r="U1420">
        <f>IF([2]Entry!$K$1423="","",[2]Entry!$K$1423)</f>
        <v/>
      </c>
      <c r="V1420">
        <f>IF([2]Entry!$L$1423="","",[2]Entry!$L$1423)</f>
        <v/>
      </c>
      <c r="W1420">
        <f>IF([2]Entry!$M$1423="","",[2]Entry!$M$1423)</f>
        <v/>
      </c>
      <c r="X1420">
        <f>IF([2]Entry!$N$1423="","",[2]Entry!$N$1423)</f>
        <v/>
      </c>
      <c r="Y1420">
        <f>IF([2]Entry!$R$1423="","",[2]Entry!$R$1423)</f>
        <v/>
      </c>
    </row>
    <row r="1421">
      <c r="P1421">
        <f>IF([2]Entry!$C$1424="","",[2]Entry!$C$1424)</f>
        <v/>
      </c>
      <c r="Q1421">
        <f>IF([2]Entry!$D$1424="","",[2]Entry!$D$1424)</f>
        <v/>
      </c>
      <c r="R1421">
        <f>IF([2]Entry!$E$1424="","",[2]Entry!$E$1424)</f>
        <v/>
      </c>
      <c r="S1421">
        <f>IF([2]Entry!$G$1424="","",[2]Entry!$G$1424)</f>
        <v/>
      </c>
      <c r="T1421">
        <f>IF([2]Entry!$J$1424="","",[2]Entry!$J$1424)</f>
        <v/>
      </c>
      <c r="U1421">
        <f>IF([2]Entry!$K$1424="","",[2]Entry!$K$1424)</f>
        <v/>
      </c>
      <c r="V1421">
        <f>IF([2]Entry!$L$1424="","",[2]Entry!$L$1424)</f>
        <v/>
      </c>
      <c r="W1421">
        <f>IF([2]Entry!$M$1424="","",[2]Entry!$M$1424)</f>
        <v/>
      </c>
      <c r="X1421">
        <f>IF([2]Entry!$N$1424="","",[2]Entry!$N$1424)</f>
        <v/>
      </c>
      <c r="Y1421">
        <f>IF([2]Entry!$R$1424="","",[2]Entry!$R$1424)</f>
        <v/>
      </c>
    </row>
    <row r="1422">
      <c r="P1422">
        <f>IF([2]Entry!$C$1425="","",[2]Entry!$C$1425)</f>
        <v/>
      </c>
      <c r="Q1422">
        <f>IF([2]Entry!$D$1425="","",[2]Entry!$D$1425)</f>
        <v/>
      </c>
      <c r="R1422">
        <f>IF([2]Entry!$E$1425="","",[2]Entry!$E$1425)</f>
        <v/>
      </c>
      <c r="S1422">
        <f>IF([2]Entry!$G$1425="","",[2]Entry!$G$1425)</f>
        <v/>
      </c>
      <c r="T1422">
        <f>IF([2]Entry!$J$1425="","",[2]Entry!$J$1425)</f>
        <v/>
      </c>
      <c r="U1422">
        <f>IF([2]Entry!$K$1425="","",[2]Entry!$K$1425)</f>
        <v/>
      </c>
      <c r="V1422">
        <f>IF([2]Entry!$L$1425="","",[2]Entry!$L$1425)</f>
        <v/>
      </c>
      <c r="W1422">
        <f>IF([2]Entry!$M$1425="","",[2]Entry!$M$1425)</f>
        <v/>
      </c>
      <c r="X1422">
        <f>IF([2]Entry!$N$1425="","",[2]Entry!$N$1425)</f>
        <v/>
      </c>
      <c r="Y1422">
        <f>IF([2]Entry!$R$1425="","",[2]Entry!$R$1425)</f>
        <v/>
      </c>
    </row>
    <row r="1423">
      <c r="P1423">
        <f>IF([2]Entry!$C$1426="","",[2]Entry!$C$1426)</f>
        <v/>
      </c>
      <c r="Q1423">
        <f>IF([2]Entry!$D$1426="","",[2]Entry!$D$1426)</f>
        <v/>
      </c>
      <c r="R1423">
        <f>IF([2]Entry!$E$1426="","",[2]Entry!$E$1426)</f>
        <v/>
      </c>
      <c r="S1423">
        <f>IF([2]Entry!$G$1426="","",[2]Entry!$G$1426)</f>
        <v/>
      </c>
      <c r="T1423">
        <f>IF([2]Entry!$J$1426="","",[2]Entry!$J$1426)</f>
        <v/>
      </c>
      <c r="U1423">
        <f>IF([2]Entry!$K$1426="","",[2]Entry!$K$1426)</f>
        <v/>
      </c>
      <c r="V1423">
        <f>IF([2]Entry!$L$1426="","",[2]Entry!$L$1426)</f>
        <v/>
      </c>
      <c r="W1423">
        <f>IF([2]Entry!$M$1426="","",[2]Entry!$M$1426)</f>
        <v/>
      </c>
      <c r="X1423">
        <f>IF([2]Entry!$N$1426="","",[2]Entry!$N$1426)</f>
        <v/>
      </c>
      <c r="Y1423">
        <f>IF([2]Entry!$R$1426="","",[2]Entry!$R$1426)</f>
        <v/>
      </c>
    </row>
    <row r="1424">
      <c r="P1424">
        <f>IF([2]Entry!$C$1427="","",[2]Entry!$C$1427)</f>
        <v/>
      </c>
      <c r="Q1424">
        <f>IF([2]Entry!$D$1427="","",[2]Entry!$D$1427)</f>
        <v/>
      </c>
      <c r="R1424">
        <f>IF([2]Entry!$E$1427="","",[2]Entry!$E$1427)</f>
        <v/>
      </c>
      <c r="S1424">
        <f>IF([2]Entry!$G$1427="","",[2]Entry!$G$1427)</f>
        <v/>
      </c>
      <c r="T1424">
        <f>IF([2]Entry!$J$1427="","",[2]Entry!$J$1427)</f>
        <v/>
      </c>
      <c r="U1424">
        <f>IF([2]Entry!$K$1427="","",[2]Entry!$K$1427)</f>
        <v/>
      </c>
      <c r="V1424">
        <f>IF([2]Entry!$L$1427="","",[2]Entry!$L$1427)</f>
        <v/>
      </c>
      <c r="W1424">
        <f>IF([2]Entry!$M$1427="","",[2]Entry!$M$1427)</f>
        <v/>
      </c>
      <c r="X1424">
        <f>IF([2]Entry!$N$1427="","",[2]Entry!$N$1427)</f>
        <v/>
      </c>
      <c r="Y1424">
        <f>IF([2]Entry!$R$1427="","",[2]Entry!$R$1427)</f>
        <v/>
      </c>
    </row>
    <row r="1425">
      <c r="P1425">
        <f>IF([2]Entry!$C$1428="","",[2]Entry!$C$1428)</f>
        <v/>
      </c>
      <c r="Q1425">
        <f>IF([2]Entry!$D$1428="","",[2]Entry!$D$1428)</f>
        <v/>
      </c>
      <c r="R1425">
        <f>IF([2]Entry!$E$1428="","",[2]Entry!$E$1428)</f>
        <v/>
      </c>
      <c r="S1425">
        <f>IF([2]Entry!$G$1428="","",[2]Entry!$G$1428)</f>
        <v/>
      </c>
      <c r="T1425">
        <f>IF([2]Entry!$J$1428="","",[2]Entry!$J$1428)</f>
        <v/>
      </c>
      <c r="U1425">
        <f>IF([2]Entry!$K$1428="","",[2]Entry!$K$1428)</f>
        <v/>
      </c>
      <c r="V1425">
        <f>IF([2]Entry!$L$1428="","",[2]Entry!$L$1428)</f>
        <v/>
      </c>
      <c r="W1425">
        <f>IF([2]Entry!$M$1428="","",[2]Entry!$M$1428)</f>
        <v/>
      </c>
      <c r="X1425">
        <f>IF([2]Entry!$N$1428="","",[2]Entry!$N$1428)</f>
        <v/>
      </c>
      <c r="Y1425">
        <f>IF([2]Entry!$R$1428="","",[2]Entry!$R$1428)</f>
        <v/>
      </c>
    </row>
    <row r="1426">
      <c r="P1426">
        <f>IF([2]Entry!$C$1429="","",[2]Entry!$C$1429)</f>
        <v/>
      </c>
      <c r="Q1426">
        <f>IF([2]Entry!$D$1429="","",[2]Entry!$D$1429)</f>
        <v/>
      </c>
      <c r="R1426">
        <f>IF([2]Entry!$E$1429="","",[2]Entry!$E$1429)</f>
        <v/>
      </c>
      <c r="S1426">
        <f>IF([2]Entry!$G$1429="","",[2]Entry!$G$1429)</f>
        <v/>
      </c>
      <c r="T1426">
        <f>IF([2]Entry!$J$1429="","",[2]Entry!$J$1429)</f>
        <v/>
      </c>
      <c r="U1426">
        <f>IF([2]Entry!$K$1429="","",[2]Entry!$K$1429)</f>
        <v/>
      </c>
      <c r="V1426">
        <f>IF([2]Entry!$L$1429="","",[2]Entry!$L$1429)</f>
        <v/>
      </c>
      <c r="W1426">
        <f>IF([2]Entry!$M$1429="","",[2]Entry!$M$1429)</f>
        <v/>
      </c>
      <c r="X1426">
        <f>IF([2]Entry!$N$1429="","",[2]Entry!$N$1429)</f>
        <v/>
      </c>
      <c r="Y1426">
        <f>IF([2]Entry!$R$1429="","",[2]Entry!$R$1429)</f>
        <v/>
      </c>
    </row>
    <row r="1427">
      <c r="P1427">
        <f>IF([2]Entry!$C$1430="","",[2]Entry!$C$1430)</f>
        <v/>
      </c>
      <c r="Q1427">
        <f>IF([2]Entry!$D$1430="","",[2]Entry!$D$1430)</f>
        <v/>
      </c>
      <c r="R1427">
        <f>IF([2]Entry!$E$1430="","",[2]Entry!$E$1430)</f>
        <v/>
      </c>
      <c r="S1427">
        <f>IF([2]Entry!$G$1430="","",[2]Entry!$G$1430)</f>
        <v/>
      </c>
      <c r="T1427">
        <f>IF([2]Entry!$J$1430="","",[2]Entry!$J$1430)</f>
        <v/>
      </c>
      <c r="U1427">
        <f>IF([2]Entry!$K$1430="","",[2]Entry!$K$1430)</f>
        <v/>
      </c>
      <c r="V1427">
        <f>IF([2]Entry!$L$1430="","",[2]Entry!$L$1430)</f>
        <v/>
      </c>
      <c r="W1427">
        <f>IF([2]Entry!$M$1430="","",[2]Entry!$M$1430)</f>
        <v/>
      </c>
      <c r="X1427">
        <f>IF([2]Entry!$N$1430="","",[2]Entry!$N$1430)</f>
        <v/>
      </c>
      <c r="Y1427">
        <f>IF([2]Entry!$R$1430="","",[2]Entry!$R$1430)</f>
        <v/>
      </c>
    </row>
    <row r="1428">
      <c r="P1428">
        <f>IF([2]Entry!$C$1431="","",[2]Entry!$C$1431)</f>
        <v/>
      </c>
      <c r="Q1428">
        <f>IF([2]Entry!$D$1431="","",[2]Entry!$D$1431)</f>
        <v/>
      </c>
      <c r="R1428">
        <f>IF([2]Entry!$E$1431="","",[2]Entry!$E$1431)</f>
        <v/>
      </c>
      <c r="S1428">
        <f>IF([2]Entry!$G$1431="","",[2]Entry!$G$1431)</f>
        <v/>
      </c>
      <c r="T1428">
        <f>IF([2]Entry!$J$1431="","",[2]Entry!$J$1431)</f>
        <v/>
      </c>
      <c r="U1428">
        <f>IF([2]Entry!$K$1431="","",[2]Entry!$K$1431)</f>
        <v/>
      </c>
      <c r="V1428">
        <f>IF([2]Entry!$L$1431="","",[2]Entry!$L$1431)</f>
        <v/>
      </c>
      <c r="W1428">
        <f>IF([2]Entry!$M$1431="","",[2]Entry!$M$1431)</f>
        <v/>
      </c>
      <c r="X1428">
        <f>IF([2]Entry!$N$1431="","",[2]Entry!$N$1431)</f>
        <v/>
      </c>
      <c r="Y1428">
        <f>IF([2]Entry!$R$1431="","",[2]Entry!$R$1431)</f>
        <v/>
      </c>
    </row>
    <row r="1429">
      <c r="P1429">
        <f>IF([2]Entry!$C$1432="","",[2]Entry!$C$1432)</f>
        <v/>
      </c>
      <c r="Q1429">
        <f>IF([2]Entry!$D$1432="","",[2]Entry!$D$1432)</f>
        <v/>
      </c>
      <c r="R1429">
        <f>IF([2]Entry!$E$1432="","",[2]Entry!$E$1432)</f>
        <v/>
      </c>
      <c r="S1429">
        <f>IF([2]Entry!$G$1432="","",[2]Entry!$G$1432)</f>
        <v/>
      </c>
      <c r="T1429">
        <f>IF([2]Entry!$J$1432="","",[2]Entry!$J$1432)</f>
        <v/>
      </c>
      <c r="U1429">
        <f>IF([2]Entry!$K$1432="","",[2]Entry!$K$1432)</f>
        <v/>
      </c>
      <c r="V1429">
        <f>IF([2]Entry!$L$1432="","",[2]Entry!$L$1432)</f>
        <v/>
      </c>
      <c r="W1429">
        <f>IF([2]Entry!$M$1432="","",[2]Entry!$M$1432)</f>
        <v/>
      </c>
      <c r="X1429">
        <f>IF([2]Entry!$N$1432="","",[2]Entry!$N$1432)</f>
        <v/>
      </c>
      <c r="Y1429">
        <f>IF([2]Entry!$R$1432="","",[2]Entry!$R$1432)</f>
        <v/>
      </c>
    </row>
    <row r="1430">
      <c r="P1430">
        <f>IF([2]Entry!$C$1433="","",[2]Entry!$C$1433)</f>
        <v/>
      </c>
      <c r="Q1430">
        <f>IF([2]Entry!$D$1433="","",[2]Entry!$D$1433)</f>
        <v/>
      </c>
      <c r="R1430">
        <f>IF([2]Entry!$E$1433="","",[2]Entry!$E$1433)</f>
        <v/>
      </c>
      <c r="S1430">
        <f>IF([2]Entry!$G$1433="","",[2]Entry!$G$1433)</f>
        <v/>
      </c>
      <c r="T1430">
        <f>IF([2]Entry!$J$1433="","",[2]Entry!$J$1433)</f>
        <v/>
      </c>
      <c r="U1430">
        <f>IF([2]Entry!$K$1433="","",[2]Entry!$K$1433)</f>
        <v/>
      </c>
      <c r="V1430">
        <f>IF([2]Entry!$L$1433="","",[2]Entry!$L$1433)</f>
        <v/>
      </c>
      <c r="W1430">
        <f>IF([2]Entry!$M$1433="","",[2]Entry!$M$1433)</f>
        <v/>
      </c>
      <c r="X1430">
        <f>IF([2]Entry!$N$1433="","",[2]Entry!$N$1433)</f>
        <v/>
      </c>
      <c r="Y1430">
        <f>IF([2]Entry!$R$1433="","",[2]Entry!$R$1433)</f>
        <v/>
      </c>
    </row>
    <row r="1431">
      <c r="P1431">
        <f>IF([2]Entry!$C$1434="","",[2]Entry!$C$1434)</f>
        <v/>
      </c>
      <c r="Q1431">
        <f>IF([2]Entry!$D$1434="","",[2]Entry!$D$1434)</f>
        <v/>
      </c>
      <c r="R1431">
        <f>IF([2]Entry!$E$1434="","",[2]Entry!$E$1434)</f>
        <v/>
      </c>
      <c r="S1431">
        <f>IF([2]Entry!$G$1434="","",[2]Entry!$G$1434)</f>
        <v/>
      </c>
      <c r="T1431">
        <f>IF([2]Entry!$J$1434="","",[2]Entry!$J$1434)</f>
        <v/>
      </c>
      <c r="U1431">
        <f>IF([2]Entry!$K$1434="","",[2]Entry!$K$1434)</f>
        <v/>
      </c>
      <c r="V1431">
        <f>IF([2]Entry!$L$1434="","",[2]Entry!$L$1434)</f>
        <v/>
      </c>
      <c r="W1431">
        <f>IF([2]Entry!$M$1434="","",[2]Entry!$M$1434)</f>
        <v/>
      </c>
      <c r="X1431">
        <f>IF([2]Entry!$N$1434="","",[2]Entry!$N$1434)</f>
        <v/>
      </c>
      <c r="Y1431">
        <f>IF([2]Entry!$R$1434="","",[2]Entry!$R$1434)</f>
        <v/>
      </c>
    </row>
    <row r="1432">
      <c r="P1432">
        <f>IF([2]Entry!$C$1435="","",[2]Entry!$C$1435)</f>
        <v/>
      </c>
      <c r="Q1432">
        <f>IF([2]Entry!$D$1435="","",[2]Entry!$D$1435)</f>
        <v/>
      </c>
      <c r="R1432">
        <f>IF([2]Entry!$E$1435="","",[2]Entry!$E$1435)</f>
        <v/>
      </c>
      <c r="S1432">
        <f>IF([2]Entry!$G$1435="","",[2]Entry!$G$1435)</f>
        <v/>
      </c>
      <c r="T1432">
        <f>IF([2]Entry!$J$1435="","",[2]Entry!$J$1435)</f>
        <v/>
      </c>
      <c r="U1432">
        <f>IF([2]Entry!$K$1435="","",[2]Entry!$K$1435)</f>
        <v/>
      </c>
      <c r="V1432">
        <f>IF([2]Entry!$L$1435="","",[2]Entry!$L$1435)</f>
        <v/>
      </c>
      <c r="W1432">
        <f>IF([2]Entry!$M$1435="","",[2]Entry!$M$1435)</f>
        <v/>
      </c>
      <c r="X1432">
        <f>IF([2]Entry!$N$1435="","",[2]Entry!$N$1435)</f>
        <v/>
      </c>
      <c r="Y1432">
        <f>IF([2]Entry!$R$1435="","",[2]Entry!$R$1435)</f>
        <v/>
      </c>
    </row>
    <row r="1433">
      <c r="P1433">
        <f>IF([2]Entry!$C$1436="","",[2]Entry!$C$1436)</f>
        <v/>
      </c>
      <c r="Q1433">
        <f>IF([2]Entry!$D$1436="","",[2]Entry!$D$1436)</f>
        <v/>
      </c>
      <c r="R1433">
        <f>IF([2]Entry!$E$1436="","",[2]Entry!$E$1436)</f>
        <v/>
      </c>
      <c r="S1433">
        <f>IF([2]Entry!$G$1436="","",[2]Entry!$G$1436)</f>
        <v/>
      </c>
      <c r="T1433">
        <f>IF([2]Entry!$J$1436="","",[2]Entry!$J$1436)</f>
        <v/>
      </c>
      <c r="U1433">
        <f>IF([2]Entry!$K$1436="","",[2]Entry!$K$1436)</f>
        <v/>
      </c>
      <c r="V1433">
        <f>IF([2]Entry!$L$1436="","",[2]Entry!$L$1436)</f>
        <v/>
      </c>
      <c r="W1433">
        <f>IF([2]Entry!$M$1436="","",[2]Entry!$M$1436)</f>
        <v/>
      </c>
      <c r="X1433">
        <f>IF([2]Entry!$N$1436="","",[2]Entry!$N$1436)</f>
        <v/>
      </c>
      <c r="Y1433">
        <f>IF([2]Entry!$R$1436="","",[2]Entry!$R$1436)</f>
        <v/>
      </c>
    </row>
    <row r="1434">
      <c r="P1434">
        <f>IF([2]Entry!$C$1437="","",[2]Entry!$C$1437)</f>
        <v/>
      </c>
      <c r="Q1434">
        <f>IF([2]Entry!$D$1437="","",[2]Entry!$D$1437)</f>
        <v/>
      </c>
      <c r="R1434">
        <f>IF([2]Entry!$E$1437="","",[2]Entry!$E$1437)</f>
        <v/>
      </c>
      <c r="S1434">
        <f>IF([2]Entry!$G$1437="","",[2]Entry!$G$1437)</f>
        <v/>
      </c>
      <c r="T1434">
        <f>IF([2]Entry!$J$1437="","",[2]Entry!$J$1437)</f>
        <v/>
      </c>
      <c r="U1434">
        <f>IF([2]Entry!$K$1437="","",[2]Entry!$K$1437)</f>
        <v/>
      </c>
      <c r="V1434">
        <f>IF([2]Entry!$L$1437="","",[2]Entry!$L$1437)</f>
        <v/>
      </c>
      <c r="W1434">
        <f>IF([2]Entry!$M$1437="","",[2]Entry!$M$1437)</f>
        <v/>
      </c>
      <c r="X1434">
        <f>IF([2]Entry!$N$1437="","",[2]Entry!$N$1437)</f>
        <v/>
      </c>
      <c r="Y1434">
        <f>IF([2]Entry!$R$1437="","",[2]Entry!$R$1437)</f>
        <v/>
      </c>
    </row>
    <row r="1435">
      <c r="P1435">
        <f>IF([2]Entry!$C$1438="","",[2]Entry!$C$1438)</f>
        <v/>
      </c>
      <c r="Q1435">
        <f>IF([2]Entry!$D$1438="","",[2]Entry!$D$1438)</f>
        <v/>
      </c>
      <c r="R1435">
        <f>IF([2]Entry!$E$1438="","",[2]Entry!$E$1438)</f>
        <v/>
      </c>
      <c r="S1435">
        <f>IF([2]Entry!$G$1438="","",[2]Entry!$G$1438)</f>
        <v/>
      </c>
      <c r="T1435">
        <f>IF([2]Entry!$J$1438="","",[2]Entry!$J$1438)</f>
        <v/>
      </c>
      <c r="U1435">
        <f>IF([2]Entry!$K$1438="","",[2]Entry!$K$1438)</f>
        <v/>
      </c>
      <c r="V1435">
        <f>IF([2]Entry!$L$1438="","",[2]Entry!$L$1438)</f>
        <v/>
      </c>
      <c r="W1435">
        <f>IF([2]Entry!$M$1438="","",[2]Entry!$M$1438)</f>
        <v/>
      </c>
      <c r="X1435">
        <f>IF([2]Entry!$N$1438="","",[2]Entry!$N$1438)</f>
        <v/>
      </c>
      <c r="Y1435">
        <f>IF([2]Entry!$R$1438="","",[2]Entry!$R$1438)</f>
        <v/>
      </c>
    </row>
    <row r="1436">
      <c r="P1436">
        <f>IF([2]Entry!$C$1439="","",[2]Entry!$C$1439)</f>
        <v/>
      </c>
      <c r="Q1436">
        <f>IF([2]Entry!$D$1439="","",[2]Entry!$D$1439)</f>
        <v/>
      </c>
      <c r="R1436">
        <f>IF([2]Entry!$E$1439="","",[2]Entry!$E$1439)</f>
        <v/>
      </c>
      <c r="S1436">
        <f>IF([2]Entry!$G$1439="","",[2]Entry!$G$1439)</f>
        <v/>
      </c>
      <c r="T1436">
        <f>IF([2]Entry!$J$1439="","",[2]Entry!$J$1439)</f>
        <v/>
      </c>
      <c r="U1436">
        <f>IF([2]Entry!$K$1439="","",[2]Entry!$K$1439)</f>
        <v/>
      </c>
      <c r="V1436">
        <f>IF([2]Entry!$L$1439="","",[2]Entry!$L$1439)</f>
        <v/>
      </c>
      <c r="W1436">
        <f>IF([2]Entry!$M$1439="","",[2]Entry!$M$1439)</f>
        <v/>
      </c>
      <c r="X1436">
        <f>IF([2]Entry!$N$1439="","",[2]Entry!$N$1439)</f>
        <v/>
      </c>
      <c r="Y1436">
        <f>IF([2]Entry!$R$1439="","",[2]Entry!$R$1439)</f>
        <v/>
      </c>
    </row>
    <row r="1437">
      <c r="P1437">
        <f>IF([2]Entry!$C$1440="","",[2]Entry!$C$1440)</f>
        <v/>
      </c>
      <c r="Q1437">
        <f>IF([2]Entry!$D$1440="","",[2]Entry!$D$1440)</f>
        <v/>
      </c>
      <c r="R1437">
        <f>IF([2]Entry!$E$1440="","",[2]Entry!$E$1440)</f>
        <v/>
      </c>
      <c r="S1437">
        <f>IF([2]Entry!$G$1440="","",[2]Entry!$G$1440)</f>
        <v/>
      </c>
      <c r="T1437">
        <f>IF([2]Entry!$J$1440="","",[2]Entry!$J$1440)</f>
        <v/>
      </c>
      <c r="U1437">
        <f>IF([2]Entry!$K$1440="","",[2]Entry!$K$1440)</f>
        <v/>
      </c>
      <c r="V1437">
        <f>IF([2]Entry!$L$1440="","",[2]Entry!$L$1440)</f>
        <v/>
      </c>
      <c r="W1437">
        <f>IF([2]Entry!$M$1440="","",[2]Entry!$M$1440)</f>
        <v/>
      </c>
      <c r="X1437">
        <f>IF([2]Entry!$N$1440="","",[2]Entry!$N$1440)</f>
        <v/>
      </c>
      <c r="Y1437">
        <f>IF([2]Entry!$R$1440="","",[2]Entry!$R$1440)</f>
        <v/>
      </c>
    </row>
    <row r="1438">
      <c r="P1438">
        <f>IF([2]Entry!$C$1441="","",[2]Entry!$C$1441)</f>
        <v/>
      </c>
      <c r="Q1438">
        <f>IF([2]Entry!$D$1441="","",[2]Entry!$D$1441)</f>
        <v/>
      </c>
      <c r="R1438">
        <f>IF([2]Entry!$E$1441="","",[2]Entry!$E$1441)</f>
        <v/>
      </c>
      <c r="S1438">
        <f>IF([2]Entry!$G$1441="","",[2]Entry!$G$1441)</f>
        <v/>
      </c>
      <c r="T1438">
        <f>IF([2]Entry!$J$1441="","",[2]Entry!$J$1441)</f>
        <v/>
      </c>
      <c r="U1438">
        <f>IF([2]Entry!$K$1441="","",[2]Entry!$K$1441)</f>
        <v/>
      </c>
      <c r="V1438">
        <f>IF([2]Entry!$L$1441="","",[2]Entry!$L$1441)</f>
        <v/>
      </c>
      <c r="W1438">
        <f>IF([2]Entry!$M$1441="","",[2]Entry!$M$1441)</f>
        <v/>
      </c>
      <c r="X1438">
        <f>IF([2]Entry!$N$1441="","",[2]Entry!$N$1441)</f>
        <v/>
      </c>
      <c r="Y1438">
        <f>IF([2]Entry!$R$1441="","",[2]Entry!$R$1441)</f>
        <v/>
      </c>
    </row>
    <row r="1439">
      <c r="P1439">
        <f>IF([2]Entry!$C$1442="","",[2]Entry!$C$1442)</f>
        <v/>
      </c>
      <c r="Q1439">
        <f>IF([2]Entry!$D$1442="","",[2]Entry!$D$1442)</f>
        <v/>
      </c>
      <c r="R1439">
        <f>IF([2]Entry!$E$1442="","",[2]Entry!$E$1442)</f>
        <v/>
      </c>
      <c r="S1439">
        <f>IF([2]Entry!$G$1442="","",[2]Entry!$G$1442)</f>
        <v/>
      </c>
      <c r="T1439">
        <f>IF([2]Entry!$J$1442="","",[2]Entry!$J$1442)</f>
        <v/>
      </c>
      <c r="U1439">
        <f>IF([2]Entry!$K$1442="","",[2]Entry!$K$1442)</f>
        <v/>
      </c>
      <c r="V1439">
        <f>IF([2]Entry!$L$1442="","",[2]Entry!$L$1442)</f>
        <v/>
      </c>
      <c r="W1439">
        <f>IF([2]Entry!$M$1442="","",[2]Entry!$M$1442)</f>
        <v/>
      </c>
      <c r="X1439">
        <f>IF([2]Entry!$N$1442="","",[2]Entry!$N$1442)</f>
        <v/>
      </c>
      <c r="Y1439">
        <f>IF([2]Entry!$R$1442="","",[2]Entry!$R$1442)</f>
        <v/>
      </c>
    </row>
    <row r="1440">
      <c r="P1440">
        <f>IF([2]Entry!$C$1443="","",[2]Entry!$C$1443)</f>
        <v/>
      </c>
      <c r="Q1440">
        <f>IF([2]Entry!$D$1443="","",[2]Entry!$D$1443)</f>
        <v/>
      </c>
      <c r="R1440">
        <f>IF([2]Entry!$E$1443="","",[2]Entry!$E$1443)</f>
        <v/>
      </c>
      <c r="S1440">
        <f>IF([2]Entry!$G$1443="","",[2]Entry!$G$1443)</f>
        <v/>
      </c>
      <c r="T1440">
        <f>IF([2]Entry!$J$1443="","",[2]Entry!$J$1443)</f>
        <v/>
      </c>
      <c r="U1440">
        <f>IF([2]Entry!$K$1443="","",[2]Entry!$K$1443)</f>
        <v/>
      </c>
      <c r="V1440">
        <f>IF([2]Entry!$L$1443="","",[2]Entry!$L$1443)</f>
        <v/>
      </c>
      <c r="W1440">
        <f>IF([2]Entry!$M$1443="","",[2]Entry!$M$1443)</f>
        <v/>
      </c>
      <c r="X1440">
        <f>IF([2]Entry!$N$1443="","",[2]Entry!$N$1443)</f>
        <v/>
      </c>
      <c r="Y1440">
        <f>IF([2]Entry!$R$1443="","",[2]Entry!$R$1443)</f>
        <v/>
      </c>
    </row>
    <row r="1441">
      <c r="P1441">
        <f>IF([2]Entry!$C$1444="","",[2]Entry!$C$1444)</f>
        <v/>
      </c>
      <c r="Q1441">
        <f>IF([2]Entry!$D$1444="","",[2]Entry!$D$1444)</f>
        <v/>
      </c>
      <c r="R1441">
        <f>IF([2]Entry!$E$1444="","",[2]Entry!$E$1444)</f>
        <v/>
      </c>
      <c r="S1441">
        <f>IF([2]Entry!$G$1444="","",[2]Entry!$G$1444)</f>
        <v/>
      </c>
      <c r="T1441">
        <f>IF([2]Entry!$J$1444="","",[2]Entry!$J$1444)</f>
        <v/>
      </c>
      <c r="U1441">
        <f>IF([2]Entry!$K$1444="","",[2]Entry!$K$1444)</f>
        <v/>
      </c>
      <c r="V1441">
        <f>IF([2]Entry!$L$1444="","",[2]Entry!$L$1444)</f>
        <v/>
      </c>
      <c r="W1441">
        <f>IF([2]Entry!$M$1444="","",[2]Entry!$M$1444)</f>
        <v/>
      </c>
      <c r="X1441">
        <f>IF([2]Entry!$N$1444="","",[2]Entry!$N$1444)</f>
        <v/>
      </c>
      <c r="Y1441">
        <f>IF([2]Entry!$R$1444="","",[2]Entry!$R$1444)</f>
        <v/>
      </c>
    </row>
    <row r="1442">
      <c r="P1442">
        <f>IF([2]Entry!$C$1445="","",[2]Entry!$C$1445)</f>
        <v/>
      </c>
      <c r="Q1442">
        <f>IF([2]Entry!$D$1445="","",[2]Entry!$D$1445)</f>
        <v/>
      </c>
      <c r="R1442">
        <f>IF([2]Entry!$E$1445="","",[2]Entry!$E$1445)</f>
        <v/>
      </c>
      <c r="S1442">
        <f>IF([2]Entry!$G$1445="","",[2]Entry!$G$1445)</f>
        <v/>
      </c>
      <c r="T1442">
        <f>IF([2]Entry!$J$1445="","",[2]Entry!$J$1445)</f>
        <v/>
      </c>
      <c r="U1442">
        <f>IF([2]Entry!$K$1445="","",[2]Entry!$K$1445)</f>
        <v/>
      </c>
      <c r="V1442">
        <f>IF([2]Entry!$L$1445="","",[2]Entry!$L$1445)</f>
        <v/>
      </c>
      <c r="W1442">
        <f>IF([2]Entry!$M$1445="","",[2]Entry!$M$1445)</f>
        <v/>
      </c>
      <c r="X1442">
        <f>IF([2]Entry!$N$1445="","",[2]Entry!$N$1445)</f>
        <v/>
      </c>
      <c r="Y1442">
        <f>IF([2]Entry!$R$1445="","",[2]Entry!$R$1445)</f>
        <v/>
      </c>
    </row>
    <row r="1443">
      <c r="P1443">
        <f>IF([2]Entry!$C$1446="","",[2]Entry!$C$1446)</f>
        <v/>
      </c>
      <c r="Q1443">
        <f>IF([2]Entry!$D$1446="","",[2]Entry!$D$1446)</f>
        <v/>
      </c>
      <c r="R1443">
        <f>IF([2]Entry!$E$1446="","",[2]Entry!$E$1446)</f>
        <v/>
      </c>
      <c r="S1443">
        <f>IF([2]Entry!$G$1446="","",[2]Entry!$G$1446)</f>
        <v/>
      </c>
      <c r="T1443">
        <f>IF([2]Entry!$J$1446="","",[2]Entry!$J$1446)</f>
        <v/>
      </c>
      <c r="U1443">
        <f>IF([2]Entry!$K$1446="","",[2]Entry!$K$1446)</f>
        <v/>
      </c>
      <c r="V1443">
        <f>IF([2]Entry!$L$1446="","",[2]Entry!$L$1446)</f>
        <v/>
      </c>
      <c r="W1443">
        <f>IF([2]Entry!$M$1446="","",[2]Entry!$M$1446)</f>
        <v/>
      </c>
      <c r="X1443">
        <f>IF([2]Entry!$N$1446="","",[2]Entry!$N$1446)</f>
        <v/>
      </c>
      <c r="Y1443">
        <f>IF([2]Entry!$R$1446="","",[2]Entry!$R$1446)</f>
        <v/>
      </c>
    </row>
    <row r="1444">
      <c r="P1444">
        <f>IF([2]Entry!$C$1447="","",[2]Entry!$C$1447)</f>
        <v/>
      </c>
      <c r="Q1444">
        <f>IF([2]Entry!$D$1447="","",[2]Entry!$D$1447)</f>
        <v/>
      </c>
      <c r="R1444">
        <f>IF([2]Entry!$E$1447="","",[2]Entry!$E$1447)</f>
        <v/>
      </c>
      <c r="S1444">
        <f>IF([2]Entry!$G$1447="","",[2]Entry!$G$1447)</f>
        <v/>
      </c>
      <c r="T1444">
        <f>IF([2]Entry!$J$1447="","",[2]Entry!$J$1447)</f>
        <v/>
      </c>
      <c r="U1444">
        <f>IF([2]Entry!$K$1447="","",[2]Entry!$K$1447)</f>
        <v/>
      </c>
      <c r="V1444">
        <f>IF([2]Entry!$L$1447="","",[2]Entry!$L$1447)</f>
        <v/>
      </c>
      <c r="W1444">
        <f>IF([2]Entry!$M$1447="","",[2]Entry!$M$1447)</f>
        <v/>
      </c>
      <c r="X1444">
        <f>IF([2]Entry!$N$1447="","",[2]Entry!$N$1447)</f>
        <v/>
      </c>
      <c r="Y1444">
        <f>IF([2]Entry!$R$1447="","",[2]Entry!$R$1447)</f>
        <v/>
      </c>
    </row>
    <row r="1445">
      <c r="P1445">
        <f>IF([2]Entry!$C$1448="","",[2]Entry!$C$1448)</f>
        <v/>
      </c>
      <c r="Q1445">
        <f>IF([2]Entry!$D$1448="","",[2]Entry!$D$1448)</f>
        <v/>
      </c>
      <c r="R1445">
        <f>IF([2]Entry!$E$1448="","",[2]Entry!$E$1448)</f>
        <v/>
      </c>
      <c r="S1445">
        <f>IF([2]Entry!$G$1448="","",[2]Entry!$G$1448)</f>
        <v/>
      </c>
      <c r="T1445">
        <f>IF([2]Entry!$J$1448="","",[2]Entry!$J$1448)</f>
        <v/>
      </c>
      <c r="U1445">
        <f>IF([2]Entry!$K$1448="","",[2]Entry!$K$1448)</f>
        <v/>
      </c>
      <c r="V1445">
        <f>IF([2]Entry!$L$1448="","",[2]Entry!$L$1448)</f>
        <v/>
      </c>
      <c r="W1445">
        <f>IF([2]Entry!$M$1448="","",[2]Entry!$M$1448)</f>
        <v/>
      </c>
      <c r="X1445">
        <f>IF([2]Entry!$N$1448="","",[2]Entry!$N$1448)</f>
        <v/>
      </c>
      <c r="Y1445">
        <f>IF([2]Entry!$R$1448="","",[2]Entry!$R$1448)</f>
        <v/>
      </c>
    </row>
    <row r="1446">
      <c r="P1446">
        <f>IF([2]Entry!$C$1449="","",[2]Entry!$C$1449)</f>
        <v/>
      </c>
      <c r="Q1446">
        <f>IF([2]Entry!$D$1449="","",[2]Entry!$D$1449)</f>
        <v/>
      </c>
      <c r="R1446">
        <f>IF([2]Entry!$E$1449="","",[2]Entry!$E$1449)</f>
        <v/>
      </c>
      <c r="S1446">
        <f>IF([2]Entry!$G$1449="","",[2]Entry!$G$1449)</f>
        <v/>
      </c>
      <c r="T1446">
        <f>IF([2]Entry!$J$1449="","",[2]Entry!$J$1449)</f>
        <v/>
      </c>
      <c r="U1446">
        <f>IF([2]Entry!$K$1449="","",[2]Entry!$K$1449)</f>
        <v/>
      </c>
      <c r="V1446">
        <f>IF([2]Entry!$L$1449="","",[2]Entry!$L$1449)</f>
        <v/>
      </c>
      <c r="W1446">
        <f>IF([2]Entry!$M$1449="","",[2]Entry!$M$1449)</f>
        <v/>
      </c>
      <c r="X1446">
        <f>IF([2]Entry!$N$1449="","",[2]Entry!$N$1449)</f>
        <v/>
      </c>
      <c r="Y1446">
        <f>IF([2]Entry!$R$1449="","",[2]Entry!$R$1449)</f>
        <v/>
      </c>
    </row>
    <row r="1447">
      <c r="P1447">
        <f>IF([2]Entry!$C$1450="","",[2]Entry!$C$1450)</f>
        <v/>
      </c>
      <c r="Q1447">
        <f>IF([2]Entry!$D$1450="","",[2]Entry!$D$1450)</f>
        <v/>
      </c>
      <c r="R1447">
        <f>IF([2]Entry!$E$1450="","",[2]Entry!$E$1450)</f>
        <v/>
      </c>
      <c r="S1447">
        <f>IF([2]Entry!$G$1450="","",[2]Entry!$G$1450)</f>
        <v/>
      </c>
      <c r="T1447">
        <f>IF([2]Entry!$J$1450="","",[2]Entry!$J$1450)</f>
        <v/>
      </c>
      <c r="U1447">
        <f>IF([2]Entry!$K$1450="","",[2]Entry!$K$1450)</f>
        <v/>
      </c>
      <c r="V1447">
        <f>IF([2]Entry!$L$1450="","",[2]Entry!$L$1450)</f>
        <v/>
      </c>
      <c r="W1447">
        <f>IF([2]Entry!$M$1450="","",[2]Entry!$M$1450)</f>
        <v/>
      </c>
      <c r="X1447">
        <f>IF([2]Entry!$N$1450="","",[2]Entry!$N$1450)</f>
        <v/>
      </c>
      <c r="Y1447">
        <f>IF([2]Entry!$R$1450="","",[2]Entry!$R$1450)</f>
        <v/>
      </c>
    </row>
    <row r="1448">
      <c r="P1448">
        <f>IF([2]Entry!$C$1451="","",[2]Entry!$C$1451)</f>
        <v/>
      </c>
      <c r="Q1448">
        <f>IF([2]Entry!$D$1451="","",[2]Entry!$D$1451)</f>
        <v/>
      </c>
      <c r="R1448">
        <f>IF([2]Entry!$E$1451="","",[2]Entry!$E$1451)</f>
        <v/>
      </c>
      <c r="S1448">
        <f>IF([2]Entry!$G$1451="","",[2]Entry!$G$1451)</f>
        <v/>
      </c>
      <c r="T1448">
        <f>IF([2]Entry!$J$1451="","",[2]Entry!$J$1451)</f>
        <v/>
      </c>
      <c r="U1448">
        <f>IF([2]Entry!$K$1451="","",[2]Entry!$K$1451)</f>
        <v/>
      </c>
      <c r="V1448">
        <f>IF([2]Entry!$L$1451="","",[2]Entry!$L$1451)</f>
        <v/>
      </c>
      <c r="W1448">
        <f>IF([2]Entry!$M$1451="","",[2]Entry!$M$1451)</f>
        <v/>
      </c>
      <c r="X1448">
        <f>IF([2]Entry!$N$1451="","",[2]Entry!$N$1451)</f>
        <v/>
      </c>
      <c r="Y1448">
        <f>IF([2]Entry!$R$1451="","",[2]Entry!$R$1451)</f>
        <v/>
      </c>
    </row>
    <row r="1449">
      <c r="P1449">
        <f>IF([2]Entry!$C$1452="","",[2]Entry!$C$1452)</f>
        <v/>
      </c>
      <c r="Q1449">
        <f>IF([2]Entry!$D$1452="","",[2]Entry!$D$1452)</f>
        <v/>
      </c>
      <c r="R1449">
        <f>IF([2]Entry!$E$1452="","",[2]Entry!$E$1452)</f>
        <v/>
      </c>
      <c r="S1449">
        <f>IF([2]Entry!$G$1452="","",[2]Entry!$G$1452)</f>
        <v/>
      </c>
      <c r="T1449">
        <f>IF([2]Entry!$J$1452="","",[2]Entry!$J$1452)</f>
        <v/>
      </c>
      <c r="U1449">
        <f>IF([2]Entry!$K$1452="","",[2]Entry!$K$1452)</f>
        <v/>
      </c>
      <c r="V1449">
        <f>IF([2]Entry!$L$1452="","",[2]Entry!$L$1452)</f>
        <v/>
      </c>
      <c r="W1449">
        <f>IF([2]Entry!$M$1452="","",[2]Entry!$M$1452)</f>
        <v/>
      </c>
      <c r="X1449">
        <f>IF([2]Entry!$N$1452="","",[2]Entry!$N$1452)</f>
        <v/>
      </c>
      <c r="Y1449">
        <f>IF([2]Entry!$R$1452="","",[2]Entry!$R$1452)</f>
        <v/>
      </c>
    </row>
    <row r="1450">
      <c r="P1450">
        <f>IF([2]Entry!$C$1453="","",[2]Entry!$C$1453)</f>
        <v/>
      </c>
      <c r="Q1450">
        <f>IF([2]Entry!$D$1453="","",[2]Entry!$D$1453)</f>
        <v/>
      </c>
      <c r="R1450">
        <f>IF([2]Entry!$E$1453="","",[2]Entry!$E$1453)</f>
        <v/>
      </c>
      <c r="S1450">
        <f>IF([2]Entry!$G$1453="","",[2]Entry!$G$1453)</f>
        <v/>
      </c>
      <c r="T1450">
        <f>IF([2]Entry!$J$1453="","",[2]Entry!$J$1453)</f>
        <v/>
      </c>
      <c r="U1450">
        <f>IF([2]Entry!$K$1453="","",[2]Entry!$K$1453)</f>
        <v/>
      </c>
      <c r="V1450">
        <f>IF([2]Entry!$L$1453="","",[2]Entry!$L$1453)</f>
        <v/>
      </c>
      <c r="W1450">
        <f>IF([2]Entry!$M$1453="","",[2]Entry!$M$1453)</f>
        <v/>
      </c>
      <c r="X1450">
        <f>IF([2]Entry!$N$1453="","",[2]Entry!$N$1453)</f>
        <v/>
      </c>
      <c r="Y1450">
        <f>IF([2]Entry!$R$1453="","",[2]Entry!$R$1453)</f>
        <v/>
      </c>
    </row>
    <row r="1451">
      <c r="P1451">
        <f>IF([2]Entry!$C$1454="","",[2]Entry!$C$1454)</f>
        <v/>
      </c>
      <c r="Q1451">
        <f>IF([2]Entry!$D$1454="","",[2]Entry!$D$1454)</f>
        <v/>
      </c>
      <c r="R1451">
        <f>IF([2]Entry!$E$1454="","",[2]Entry!$E$1454)</f>
        <v/>
      </c>
      <c r="S1451">
        <f>IF([2]Entry!$G$1454="","",[2]Entry!$G$1454)</f>
        <v/>
      </c>
      <c r="T1451">
        <f>IF([2]Entry!$J$1454="","",[2]Entry!$J$1454)</f>
        <v/>
      </c>
      <c r="U1451">
        <f>IF([2]Entry!$K$1454="","",[2]Entry!$K$1454)</f>
        <v/>
      </c>
      <c r="V1451">
        <f>IF([2]Entry!$L$1454="","",[2]Entry!$L$1454)</f>
        <v/>
      </c>
      <c r="W1451">
        <f>IF([2]Entry!$M$1454="","",[2]Entry!$M$1454)</f>
        <v/>
      </c>
      <c r="X1451">
        <f>IF([2]Entry!$N$1454="","",[2]Entry!$N$1454)</f>
        <v/>
      </c>
      <c r="Y1451">
        <f>IF([2]Entry!$R$1454="","",[2]Entry!$R$1454)</f>
        <v/>
      </c>
    </row>
    <row r="1452">
      <c r="P1452">
        <f>IF([2]Entry!$C$1455="","",[2]Entry!$C$1455)</f>
        <v/>
      </c>
      <c r="Q1452">
        <f>IF([2]Entry!$D$1455="","",[2]Entry!$D$1455)</f>
        <v/>
      </c>
      <c r="R1452">
        <f>IF([2]Entry!$E$1455="","",[2]Entry!$E$1455)</f>
        <v/>
      </c>
      <c r="S1452">
        <f>IF([2]Entry!$G$1455="","",[2]Entry!$G$1455)</f>
        <v/>
      </c>
      <c r="T1452">
        <f>IF([2]Entry!$J$1455="","",[2]Entry!$J$1455)</f>
        <v/>
      </c>
      <c r="U1452">
        <f>IF([2]Entry!$K$1455="","",[2]Entry!$K$1455)</f>
        <v/>
      </c>
      <c r="V1452">
        <f>IF([2]Entry!$L$1455="","",[2]Entry!$L$1455)</f>
        <v/>
      </c>
      <c r="W1452">
        <f>IF([2]Entry!$M$1455="","",[2]Entry!$M$1455)</f>
        <v/>
      </c>
      <c r="X1452">
        <f>IF([2]Entry!$N$1455="","",[2]Entry!$N$1455)</f>
        <v/>
      </c>
      <c r="Y1452">
        <f>IF([2]Entry!$R$1455="","",[2]Entry!$R$1455)</f>
        <v/>
      </c>
    </row>
    <row r="1453">
      <c r="P1453">
        <f>IF([2]Entry!$C$1456="","",[2]Entry!$C$1456)</f>
        <v/>
      </c>
      <c r="Q1453">
        <f>IF([2]Entry!$D$1456="","",[2]Entry!$D$1456)</f>
        <v/>
      </c>
      <c r="R1453">
        <f>IF([2]Entry!$E$1456="","",[2]Entry!$E$1456)</f>
        <v/>
      </c>
      <c r="S1453">
        <f>IF([2]Entry!$G$1456="","",[2]Entry!$G$1456)</f>
        <v/>
      </c>
      <c r="T1453">
        <f>IF([2]Entry!$J$1456="","",[2]Entry!$J$1456)</f>
        <v/>
      </c>
      <c r="U1453">
        <f>IF([2]Entry!$K$1456="","",[2]Entry!$K$1456)</f>
        <v/>
      </c>
      <c r="V1453">
        <f>IF([2]Entry!$L$1456="","",[2]Entry!$L$1456)</f>
        <v/>
      </c>
      <c r="W1453">
        <f>IF([2]Entry!$M$1456="","",[2]Entry!$M$1456)</f>
        <v/>
      </c>
      <c r="X1453">
        <f>IF([2]Entry!$N$1456="","",[2]Entry!$N$1456)</f>
        <v/>
      </c>
      <c r="Y1453">
        <f>IF([2]Entry!$R$1456="","",[2]Entry!$R$1456)</f>
        <v/>
      </c>
    </row>
    <row r="1454">
      <c r="P1454">
        <f>IF([2]Entry!$C$1457="","",[2]Entry!$C$1457)</f>
        <v/>
      </c>
      <c r="Q1454">
        <f>IF([2]Entry!$D$1457="","",[2]Entry!$D$1457)</f>
        <v/>
      </c>
      <c r="R1454">
        <f>IF([2]Entry!$E$1457="","",[2]Entry!$E$1457)</f>
        <v/>
      </c>
      <c r="S1454">
        <f>IF([2]Entry!$G$1457="","",[2]Entry!$G$1457)</f>
        <v/>
      </c>
      <c r="T1454">
        <f>IF([2]Entry!$J$1457="","",[2]Entry!$J$1457)</f>
        <v/>
      </c>
      <c r="U1454">
        <f>IF([2]Entry!$K$1457="","",[2]Entry!$K$1457)</f>
        <v/>
      </c>
      <c r="V1454">
        <f>IF([2]Entry!$L$1457="","",[2]Entry!$L$1457)</f>
        <v/>
      </c>
      <c r="W1454">
        <f>IF([2]Entry!$M$1457="","",[2]Entry!$M$1457)</f>
        <v/>
      </c>
      <c r="X1454">
        <f>IF([2]Entry!$N$1457="","",[2]Entry!$N$1457)</f>
        <v/>
      </c>
      <c r="Y1454">
        <f>IF([2]Entry!$R$1457="","",[2]Entry!$R$1457)</f>
        <v/>
      </c>
    </row>
    <row r="1455">
      <c r="P1455">
        <f>IF([2]Entry!$C$1458="","",[2]Entry!$C$1458)</f>
        <v/>
      </c>
      <c r="Q1455">
        <f>IF([2]Entry!$D$1458="","",[2]Entry!$D$1458)</f>
        <v/>
      </c>
      <c r="R1455">
        <f>IF([2]Entry!$E$1458="","",[2]Entry!$E$1458)</f>
        <v/>
      </c>
      <c r="S1455">
        <f>IF([2]Entry!$G$1458="","",[2]Entry!$G$1458)</f>
        <v/>
      </c>
      <c r="T1455">
        <f>IF([2]Entry!$J$1458="","",[2]Entry!$J$1458)</f>
        <v/>
      </c>
      <c r="U1455">
        <f>IF([2]Entry!$K$1458="","",[2]Entry!$K$1458)</f>
        <v/>
      </c>
      <c r="V1455">
        <f>IF([2]Entry!$L$1458="","",[2]Entry!$L$1458)</f>
        <v/>
      </c>
      <c r="W1455">
        <f>IF([2]Entry!$M$1458="","",[2]Entry!$M$1458)</f>
        <v/>
      </c>
      <c r="X1455">
        <f>IF([2]Entry!$N$1458="","",[2]Entry!$N$1458)</f>
        <v/>
      </c>
      <c r="Y1455">
        <f>IF([2]Entry!$R$1458="","",[2]Entry!$R$1458)</f>
        <v/>
      </c>
    </row>
    <row r="1456">
      <c r="P1456">
        <f>IF([2]Entry!$C$1459="","",[2]Entry!$C$1459)</f>
        <v/>
      </c>
      <c r="Q1456">
        <f>IF([2]Entry!$D$1459="","",[2]Entry!$D$1459)</f>
        <v/>
      </c>
      <c r="R1456">
        <f>IF([2]Entry!$E$1459="","",[2]Entry!$E$1459)</f>
        <v/>
      </c>
      <c r="S1456">
        <f>IF([2]Entry!$G$1459="","",[2]Entry!$G$1459)</f>
        <v/>
      </c>
      <c r="T1456">
        <f>IF([2]Entry!$J$1459="","",[2]Entry!$J$1459)</f>
        <v/>
      </c>
      <c r="U1456">
        <f>IF([2]Entry!$K$1459="","",[2]Entry!$K$1459)</f>
        <v/>
      </c>
      <c r="V1456">
        <f>IF([2]Entry!$L$1459="","",[2]Entry!$L$1459)</f>
        <v/>
      </c>
      <c r="W1456">
        <f>IF([2]Entry!$M$1459="","",[2]Entry!$M$1459)</f>
        <v/>
      </c>
      <c r="X1456">
        <f>IF([2]Entry!$N$1459="","",[2]Entry!$N$1459)</f>
        <v/>
      </c>
      <c r="Y1456">
        <f>IF([2]Entry!$R$1459="","",[2]Entry!$R$1459)</f>
        <v/>
      </c>
    </row>
    <row r="1457">
      <c r="P1457">
        <f>IF([2]Entry!$C$1460="","",[2]Entry!$C$1460)</f>
        <v/>
      </c>
      <c r="Q1457">
        <f>IF([2]Entry!$D$1460="","",[2]Entry!$D$1460)</f>
        <v/>
      </c>
      <c r="R1457">
        <f>IF([2]Entry!$E$1460="","",[2]Entry!$E$1460)</f>
        <v/>
      </c>
      <c r="S1457">
        <f>IF([2]Entry!$G$1460="","",[2]Entry!$G$1460)</f>
        <v/>
      </c>
      <c r="T1457">
        <f>IF([2]Entry!$J$1460="","",[2]Entry!$J$1460)</f>
        <v/>
      </c>
      <c r="U1457">
        <f>IF([2]Entry!$K$1460="","",[2]Entry!$K$1460)</f>
        <v/>
      </c>
      <c r="V1457">
        <f>IF([2]Entry!$L$1460="","",[2]Entry!$L$1460)</f>
        <v/>
      </c>
      <c r="W1457">
        <f>IF([2]Entry!$M$1460="","",[2]Entry!$M$1460)</f>
        <v/>
      </c>
      <c r="X1457">
        <f>IF([2]Entry!$N$1460="","",[2]Entry!$N$1460)</f>
        <v/>
      </c>
      <c r="Y1457">
        <f>IF([2]Entry!$R$1460="","",[2]Entry!$R$1460)</f>
        <v/>
      </c>
    </row>
    <row r="1458">
      <c r="P1458">
        <f>IF([2]Entry!$C$1461="","",[2]Entry!$C$1461)</f>
        <v/>
      </c>
      <c r="Q1458">
        <f>IF([2]Entry!$D$1461="","",[2]Entry!$D$1461)</f>
        <v/>
      </c>
      <c r="R1458">
        <f>IF([2]Entry!$E$1461="","",[2]Entry!$E$1461)</f>
        <v/>
      </c>
      <c r="S1458">
        <f>IF([2]Entry!$G$1461="","",[2]Entry!$G$1461)</f>
        <v/>
      </c>
      <c r="T1458">
        <f>IF([2]Entry!$J$1461="","",[2]Entry!$J$1461)</f>
        <v/>
      </c>
      <c r="U1458">
        <f>IF([2]Entry!$K$1461="","",[2]Entry!$K$1461)</f>
        <v/>
      </c>
      <c r="V1458">
        <f>IF([2]Entry!$L$1461="","",[2]Entry!$L$1461)</f>
        <v/>
      </c>
      <c r="W1458">
        <f>IF([2]Entry!$M$1461="","",[2]Entry!$M$1461)</f>
        <v/>
      </c>
      <c r="X1458">
        <f>IF([2]Entry!$N$1461="","",[2]Entry!$N$1461)</f>
        <v/>
      </c>
      <c r="Y1458">
        <f>IF([2]Entry!$R$1461="","",[2]Entry!$R$1461)</f>
        <v/>
      </c>
    </row>
    <row r="1459">
      <c r="P1459">
        <f>IF([2]Entry!$C$1462="","",[2]Entry!$C$1462)</f>
        <v/>
      </c>
      <c r="Q1459">
        <f>IF([2]Entry!$D$1462="","",[2]Entry!$D$1462)</f>
        <v/>
      </c>
      <c r="R1459">
        <f>IF([2]Entry!$E$1462="","",[2]Entry!$E$1462)</f>
        <v/>
      </c>
      <c r="S1459">
        <f>IF([2]Entry!$G$1462="","",[2]Entry!$G$1462)</f>
        <v/>
      </c>
      <c r="T1459">
        <f>IF([2]Entry!$J$1462="","",[2]Entry!$J$1462)</f>
        <v/>
      </c>
      <c r="U1459">
        <f>IF([2]Entry!$K$1462="","",[2]Entry!$K$1462)</f>
        <v/>
      </c>
      <c r="V1459">
        <f>IF([2]Entry!$L$1462="","",[2]Entry!$L$1462)</f>
        <v/>
      </c>
      <c r="W1459">
        <f>IF([2]Entry!$M$1462="","",[2]Entry!$M$1462)</f>
        <v/>
      </c>
      <c r="X1459">
        <f>IF([2]Entry!$N$1462="","",[2]Entry!$N$1462)</f>
        <v/>
      </c>
      <c r="Y1459">
        <f>IF([2]Entry!$R$1462="","",[2]Entry!$R$1462)</f>
        <v/>
      </c>
    </row>
    <row r="1460">
      <c r="P1460">
        <f>IF([2]Entry!$C$1463="","",[2]Entry!$C$1463)</f>
        <v/>
      </c>
      <c r="Q1460">
        <f>IF([2]Entry!$D$1463="","",[2]Entry!$D$1463)</f>
        <v/>
      </c>
      <c r="R1460">
        <f>IF([2]Entry!$E$1463="","",[2]Entry!$E$1463)</f>
        <v/>
      </c>
      <c r="S1460">
        <f>IF([2]Entry!$G$1463="","",[2]Entry!$G$1463)</f>
        <v/>
      </c>
      <c r="T1460">
        <f>IF([2]Entry!$J$1463="","",[2]Entry!$J$1463)</f>
        <v/>
      </c>
      <c r="U1460">
        <f>IF([2]Entry!$K$1463="","",[2]Entry!$K$1463)</f>
        <v/>
      </c>
      <c r="V1460">
        <f>IF([2]Entry!$L$1463="","",[2]Entry!$L$1463)</f>
        <v/>
      </c>
      <c r="W1460">
        <f>IF([2]Entry!$M$1463="","",[2]Entry!$M$1463)</f>
        <v/>
      </c>
      <c r="X1460">
        <f>IF([2]Entry!$N$1463="","",[2]Entry!$N$1463)</f>
        <v/>
      </c>
      <c r="Y1460">
        <f>IF([2]Entry!$R$1463="","",[2]Entry!$R$1463)</f>
        <v/>
      </c>
    </row>
    <row r="1461">
      <c r="P1461">
        <f>IF([2]Entry!$C$1464="","",[2]Entry!$C$1464)</f>
        <v/>
      </c>
      <c r="Q1461">
        <f>IF([2]Entry!$D$1464="","",[2]Entry!$D$1464)</f>
        <v/>
      </c>
      <c r="R1461">
        <f>IF([2]Entry!$E$1464="","",[2]Entry!$E$1464)</f>
        <v/>
      </c>
      <c r="S1461">
        <f>IF([2]Entry!$G$1464="","",[2]Entry!$G$1464)</f>
        <v/>
      </c>
      <c r="T1461">
        <f>IF([2]Entry!$J$1464="","",[2]Entry!$J$1464)</f>
        <v/>
      </c>
      <c r="U1461">
        <f>IF([2]Entry!$K$1464="","",[2]Entry!$K$1464)</f>
        <v/>
      </c>
      <c r="V1461">
        <f>IF([2]Entry!$L$1464="","",[2]Entry!$L$1464)</f>
        <v/>
      </c>
      <c r="W1461">
        <f>IF([2]Entry!$M$1464="","",[2]Entry!$M$1464)</f>
        <v/>
      </c>
      <c r="X1461">
        <f>IF([2]Entry!$N$1464="","",[2]Entry!$N$1464)</f>
        <v/>
      </c>
      <c r="Y1461">
        <f>IF([2]Entry!$R$1464="","",[2]Entry!$R$1464)</f>
        <v/>
      </c>
    </row>
    <row r="1462">
      <c r="P1462">
        <f>IF([2]Entry!$C$1465="","",[2]Entry!$C$1465)</f>
        <v/>
      </c>
      <c r="Q1462">
        <f>IF([2]Entry!$D$1465="","",[2]Entry!$D$1465)</f>
        <v/>
      </c>
      <c r="R1462">
        <f>IF([2]Entry!$E$1465="","",[2]Entry!$E$1465)</f>
        <v/>
      </c>
      <c r="S1462">
        <f>IF([2]Entry!$G$1465="","",[2]Entry!$G$1465)</f>
        <v/>
      </c>
      <c r="T1462">
        <f>IF([2]Entry!$J$1465="","",[2]Entry!$J$1465)</f>
        <v/>
      </c>
      <c r="U1462">
        <f>IF([2]Entry!$K$1465="","",[2]Entry!$K$1465)</f>
        <v/>
      </c>
      <c r="V1462">
        <f>IF([2]Entry!$L$1465="","",[2]Entry!$L$1465)</f>
        <v/>
      </c>
      <c r="W1462">
        <f>IF([2]Entry!$M$1465="","",[2]Entry!$M$1465)</f>
        <v/>
      </c>
      <c r="X1462">
        <f>IF([2]Entry!$N$1465="","",[2]Entry!$N$1465)</f>
        <v/>
      </c>
      <c r="Y1462">
        <f>IF([2]Entry!$R$1465="","",[2]Entry!$R$1465)</f>
        <v/>
      </c>
    </row>
    <row r="1463">
      <c r="P1463">
        <f>IF([2]Entry!$C$1466="","",[2]Entry!$C$1466)</f>
        <v/>
      </c>
      <c r="Q1463">
        <f>IF([2]Entry!$D$1466="","",[2]Entry!$D$1466)</f>
        <v/>
      </c>
      <c r="R1463">
        <f>IF([2]Entry!$E$1466="","",[2]Entry!$E$1466)</f>
        <v/>
      </c>
      <c r="S1463">
        <f>IF([2]Entry!$G$1466="","",[2]Entry!$G$1466)</f>
        <v/>
      </c>
      <c r="T1463">
        <f>IF([2]Entry!$J$1466="","",[2]Entry!$J$1466)</f>
        <v/>
      </c>
      <c r="U1463">
        <f>IF([2]Entry!$K$1466="","",[2]Entry!$K$1466)</f>
        <v/>
      </c>
      <c r="V1463">
        <f>IF([2]Entry!$L$1466="","",[2]Entry!$L$1466)</f>
        <v/>
      </c>
      <c r="W1463">
        <f>IF([2]Entry!$M$1466="","",[2]Entry!$M$1466)</f>
        <v/>
      </c>
      <c r="X1463">
        <f>IF([2]Entry!$N$1466="","",[2]Entry!$N$1466)</f>
        <v/>
      </c>
      <c r="Y1463">
        <f>IF([2]Entry!$R$1466="","",[2]Entry!$R$1466)</f>
        <v/>
      </c>
    </row>
    <row r="1464">
      <c r="P1464">
        <f>IF([2]Entry!$C$1467="","",[2]Entry!$C$1467)</f>
        <v/>
      </c>
      <c r="Q1464">
        <f>IF([2]Entry!$D$1467="","",[2]Entry!$D$1467)</f>
        <v/>
      </c>
      <c r="R1464">
        <f>IF([2]Entry!$E$1467="","",[2]Entry!$E$1467)</f>
        <v/>
      </c>
      <c r="S1464">
        <f>IF([2]Entry!$G$1467="","",[2]Entry!$G$1467)</f>
        <v/>
      </c>
      <c r="T1464">
        <f>IF([2]Entry!$J$1467="","",[2]Entry!$J$1467)</f>
        <v/>
      </c>
      <c r="U1464">
        <f>IF([2]Entry!$K$1467="","",[2]Entry!$K$1467)</f>
        <v/>
      </c>
      <c r="V1464">
        <f>IF([2]Entry!$L$1467="","",[2]Entry!$L$1467)</f>
        <v/>
      </c>
      <c r="W1464">
        <f>IF([2]Entry!$M$1467="","",[2]Entry!$M$1467)</f>
        <v/>
      </c>
      <c r="X1464">
        <f>IF([2]Entry!$N$1467="","",[2]Entry!$N$1467)</f>
        <v/>
      </c>
      <c r="Y1464">
        <f>IF([2]Entry!$R$1467="","",[2]Entry!$R$1467)</f>
        <v/>
      </c>
    </row>
    <row r="1465">
      <c r="P1465">
        <f>IF([2]Entry!$C$1468="","",[2]Entry!$C$1468)</f>
        <v/>
      </c>
      <c r="Q1465">
        <f>IF([2]Entry!$D$1468="","",[2]Entry!$D$1468)</f>
        <v/>
      </c>
      <c r="R1465">
        <f>IF([2]Entry!$E$1468="","",[2]Entry!$E$1468)</f>
        <v/>
      </c>
      <c r="S1465">
        <f>IF([2]Entry!$G$1468="","",[2]Entry!$G$1468)</f>
        <v/>
      </c>
      <c r="T1465">
        <f>IF([2]Entry!$J$1468="","",[2]Entry!$J$1468)</f>
        <v/>
      </c>
      <c r="U1465">
        <f>IF([2]Entry!$K$1468="","",[2]Entry!$K$1468)</f>
        <v/>
      </c>
      <c r="V1465">
        <f>IF([2]Entry!$L$1468="","",[2]Entry!$L$1468)</f>
        <v/>
      </c>
      <c r="W1465">
        <f>IF([2]Entry!$M$1468="","",[2]Entry!$M$1468)</f>
        <v/>
      </c>
      <c r="X1465">
        <f>IF([2]Entry!$N$1468="","",[2]Entry!$N$1468)</f>
        <v/>
      </c>
      <c r="Y1465">
        <f>IF([2]Entry!$R$1468="","",[2]Entry!$R$1468)</f>
        <v/>
      </c>
    </row>
    <row r="1466">
      <c r="P1466">
        <f>IF([2]Entry!$C$1469="","",[2]Entry!$C$1469)</f>
        <v/>
      </c>
      <c r="Q1466">
        <f>IF([2]Entry!$D$1469="","",[2]Entry!$D$1469)</f>
        <v/>
      </c>
      <c r="R1466">
        <f>IF([2]Entry!$E$1469="","",[2]Entry!$E$1469)</f>
        <v/>
      </c>
      <c r="S1466">
        <f>IF([2]Entry!$G$1469="","",[2]Entry!$G$1469)</f>
        <v/>
      </c>
      <c r="T1466">
        <f>IF([2]Entry!$J$1469="","",[2]Entry!$J$1469)</f>
        <v/>
      </c>
      <c r="U1466">
        <f>IF([2]Entry!$K$1469="","",[2]Entry!$K$1469)</f>
        <v/>
      </c>
      <c r="V1466">
        <f>IF([2]Entry!$L$1469="","",[2]Entry!$L$1469)</f>
        <v/>
      </c>
      <c r="W1466">
        <f>IF([2]Entry!$M$1469="","",[2]Entry!$M$1469)</f>
        <v/>
      </c>
      <c r="X1466">
        <f>IF([2]Entry!$N$1469="","",[2]Entry!$N$1469)</f>
        <v/>
      </c>
      <c r="Y1466">
        <f>IF([2]Entry!$R$1469="","",[2]Entry!$R$1469)</f>
        <v/>
      </c>
    </row>
    <row r="1467">
      <c r="P1467">
        <f>IF([2]Entry!$C$1470="","",[2]Entry!$C$1470)</f>
        <v/>
      </c>
      <c r="Q1467">
        <f>IF([2]Entry!$D$1470="","",[2]Entry!$D$1470)</f>
        <v/>
      </c>
      <c r="R1467">
        <f>IF([2]Entry!$E$1470="","",[2]Entry!$E$1470)</f>
        <v/>
      </c>
      <c r="S1467">
        <f>IF([2]Entry!$G$1470="","",[2]Entry!$G$1470)</f>
        <v/>
      </c>
      <c r="T1467">
        <f>IF([2]Entry!$J$1470="","",[2]Entry!$J$1470)</f>
        <v/>
      </c>
      <c r="U1467">
        <f>IF([2]Entry!$K$1470="","",[2]Entry!$K$1470)</f>
        <v/>
      </c>
      <c r="V1467">
        <f>IF([2]Entry!$L$1470="","",[2]Entry!$L$1470)</f>
        <v/>
      </c>
      <c r="W1467">
        <f>IF([2]Entry!$M$1470="","",[2]Entry!$M$1470)</f>
        <v/>
      </c>
      <c r="X1467">
        <f>IF([2]Entry!$N$1470="","",[2]Entry!$N$1470)</f>
        <v/>
      </c>
      <c r="Y1467">
        <f>IF([2]Entry!$R$1470="","",[2]Entry!$R$1470)</f>
        <v/>
      </c>
    </row>
    <row r="1468">
      <c r="P1468">
        <f>IF([2]Entry!$C$1471="","",[2]Entry!$C$1471)</f>
        <v/>
      </c>
      <c r="Q1468">
        <f>IF([2]Entry!$D$1471="","",[2]Entry!$D$1471)</f>
        <v/>
      </c>
      <c r="R1468">
        <f>IF([2]Entry!$E$1471="","",[2]Entry!$E$1471)</f>
        <v/>
      </c>
      <c r="S1468">
        <f>IF([2]Entry!$G$1471="","",[2]Entry!$G$1471)</f>
        <v/>
      </c>
      <c r="T1468">
        <f>IF([2]Entry!$J$1471="","",[2]Entry!$J$1471)</f>
        <v/>
      </c>
      <c r="U1468">
        <f>IF([2]Entry!$K$1471="","",[2]Entry!$K$1471)</f>
        <v/>
      </c>
      <c r="V1468">
        <f>IF([2]Entry!$L$1471="","",[2]Entry!$L$1471)</f>
        <v/>
      </c>
      <c r="W1468">
        <f>IF([2]Entry!$M$1471="","",[2]Entry!$M$1471)</f>
        <v/>
      </c>
      <c r="X1468">
        <f>IF([2]Entry!$N$1471="","",[2]Entry!$N$1471)</f>
        <v/>
      </c>
      <c r="Y1468">
        <f>IF([2]Entry!$R$1471="","",[2]Entry!$R$1471)</f>
        <v/>
      </c>
    </row>
    <row r="1469">
      <c r="P1469">
        <f>IF([2]Entry!$C$1472="","",[2]Entry!$C$1472)</f>
        <v/>
      </c>
      <c r="Q1469">
        <f>IF([2]Entry!$D$1472="","",[2]Entry!$D$1472)</f>
        <v/>
      </c>
      <c r="R1469">
        <f>IF([2]Entry!$E$1472="","",[2]Entry!$E$1472)</f>
        <v/>
      </c>
      <c r="S1469">
        <f>IF([2]Entry!$G$1472="","",[2]Entry!$G$1472)</f>
        <v/>
      </c>
      <c r="T1469">
        <f>IF([2]Entry!$J$1472="","",[2]Entry!$J$1472)</f>
        <v/>
      </c>
      <c r="U1469">
        <f>IF([2]Entry!$K$1472="","",[2]Entry!$K$1472)</f>
        <v/>
      </c>
      <c r="V1469">
        <f>IF([2]Entry!$L$1472="","",[2]Entry!$L$1472)</f>
        <v/>
      </c>
      <c r="W1469">
        <f>IF([2]Entry!$M$1472="","",[2]Entry!$M$1472)</f>
        <v/>
      </c>
      <c r="X1469">
        <f>IF([2]Entry!$N$1472="","",[2]Entry!$N$1472)</f>
        <v/>
      </c>
      <c r="Y1469">
        <f>IF([2]Entry!$R$1472="","",[2]Entry!$R$1472)</f>
        <v/>
      </c>
    </row>
    <row r="1470">
      <c r="P1470">
        <f>IF([2]Entry!$C$1473="","",[2]Entry!$C$1473)</f>
        <v/>
      </c>
      <c r="Q1470">
        <f>IF([2]Entry!$D$1473="","",[2]Entry!$D$1473)</f>
        <v/>
      </c>
      <c r="R1470">
        <f>IF([2]Entry!$E$1473="","",[2]Entry!$E$1473)</f>
        <v/>
      </c>
      <c r="S1470">
        <f>IF([2]Entry!$G$1473="","",[2]Entry!$G$1473)</f>
        <v/>
      </c>
      <c r="T1470">
        <f>IF([2]Entry!$J$1473="","",[2]Entry!$J$1473)</f>
        <v/>
      </c>
      <c r="U1470">
        <f>IF([2]Entry!$K$1473="","",[2]Entry!$K$1473)</f>
        <v/>
      </c>
      <c r="V1470">
        <f>IF([2]Entry!$L$1473="","",[2]Entry!$L$1473)</f>
        <v/>
      </c>
      <c r="W1470">
        <f>IF([2]Entry!$M$1473="","",[2]Entry!$M$1473)</f>
        <v/>
      </c>
      <c r="X1470">
        <f>IF([2]Entry!$N$1473="","",[2]Entry!$N$1473)</f>
        <v/>
      </c>
      <c r="Y1470">
        <f>IF([2]Entry!$R$1473="","",[2]Entry!$R$1473)</f>
        <v/>
      </c>
    </row>
    <row r="1471">
      <c r="P1471">
        <f>IF([2]Entry!$C$1474="","",[2]Entry!$C$1474)</f>
        <v/>
      </c>
      <c r="Q1471">
        <f>IF([2]Entry!$D$1474="","",[2]Entry!$D$1474)</f>
        <v/>
      </c>
      <c r="R1471">
        <f>IF([2]Entry!$E$1474="","",[2]Entry!$E$1474)</f>
        <v/>
      </c>
      <c r="S1471">
        <f>IF([2]Entry!$G$1474="","",[2]Entry!$G$1474)</f>
        <v/>
      </c>
      <c r="T1471">
        <f>IF([2]Entry!$J$1474="","",[2]Entry!$J$1474)</f>
        <v/>
      </c>
      <c r="U1471">
        <f>IF([2]Entry!$K$1474="","",[2]Entry!$K$1474)</f>
        <v/>
      </c>
      <c r="V1471">
        <f>IF([2]Entry!$L$1474="","",[2]Entry!$L$1474)</f>
        <v/>
      </c>
      <c r="W1471">
        <f>IF([2]Entry!$M$1474="","",[2]Entry!$M$1474)</f>
        <v/>
      </c>
      <c r="X1471">
        <f>IF([2]Entry!$N$1474="","",[2]Entry!$N$1474)</f>
        <v/>
      </c>
      <c r="Y1471">
        <f>IF([2]Entry!$R$1474="","",[2]Entry!$R$1474)</f>
        <v/>
      </c>
    </row>
    <row r="1472">
      <c r="P1472">
        <f>IF([2]Entry!$C$1475="","",[2]Entry!$C$1475)</f>
        <v/>
      </c>
      <c r="Q1472">
        <f>IF([2]Entry!$D$1475="","",[2]Entry!$D$1475)</f>
        <v/>
      </c>
      <c r="R1472">
        <f>IF([2]Entry!$E$1475="","",[2]Entry!$E$1475)</f>
        <v/>
      </c>
      <c r="S1472">
        <f>IF([2]Entry!$G$1475="","",[2]Entry!$G$1475)</f>
        <v/>
      </c>
      <c r="T1472">
        <f>IF([2]Entry!$J$1475="","",[2]Entry!$J$1475)</f>
        <v/>
      </c>
      <c r="U1472">
        <f>IF([2]Entry!$K$1475="","",[2]Entry!$K$1475)</f>
        <v/>
      </c>
      <c r="V1472">
        <f>IF([2]Entry!$L$1475="","",[2]Entry!$L$1475)</f>
        <v/>
      </c>
      <c r="W1472">
        <f>IF([2]Entry!$M$1475="","",[2]Entry!$M$1475)</f>
        <v/>
      </c>
      <c r="X1472">
        <f>IF([2]Entry!$N$1475="","",[2]Entry!$N$1475)</f>
        <v/>
      </c>
      <c r="Y1472">
        <f>IF([2]Entry!$R$1475="","",[2]Entry!$R$1475)</f>
        <v/>
      </c>
    </row>
    <row r="1473">
      <c r="P1473">
        <f>IF([2]Entry!$C$1476="","",[2]Entry!$C$1476)</f>
        <v/>
      </c>
      <c r="Q1473">
        <f>IF([2]Entry!$D$1476="","",[2]Entry!$D$1476)</f>
        <v/>
      </c>
      <c r="R1473">
        <f>IF([2]Entry!$E$1476="","",[2]Entry!$E$1476)</f>
        <v/>
      </c>
      <c r="S1473">
        <f>IF([2]Entry!$G$1476="","",[2]Entry!$G$1476)</f>
        <v/>
      </c>
      <c r="T1473">
        <f>IF([2]Entry!$J$1476="","",[2]Entry!$J$1476)</f>
        <v/>
      </c>
      <c r="U1473">
        <f>IF([2]Entry!$K$1476="","",[2]Entry!$K$1476)</f>
        <v/>
      </c>
      <c r="V1473">
        <f>IF([2]Entry!$L$1476="","",[2]Entry!$L$1476)</f>
        <v/>
      </c>
      <c r="W1473">
        <f>IF([2]Entry!$M$1476="","",[2]Entry!$M$1476)</f>
        <v/>
      </c>
      <c r="X1473">
        <f>IF([2]Entry!$N$1476="","",[2]Entry!$N$1476)</f>
        <v/>
      </c>
      <c r="Y1473">
        <f>IF([2]Entry!$R$1476="","",[2]Entry!$R$1476)</f>
        <v/>
      </c>
    </row>
    <row r="1474">
      <c r="P1474">
        <f>IF([2]Entry!$C$1477="","",[2]Entry!$C$1477)</f>
        <v/>
      </c>
      <c r="Q1474">
        <f>IF([2]Entry!$D$1477="","",[2]Entry!$D$1477)</f>
        <v/>
      </c>
      <c r="R1474">
        <f>IF([2]Entry!$E$1477="","",[2]Entry!$E$1477)</f>
        <v/>
      </c>
      <c r="S1474">
        <f>IF([2]Entry!$G$1477="","",[2]Entry!$G$1477)</f>
        <v/>
      </c>
      <c r="T1474">
        <f>IF([2]Entry!$J$1477="","",[2]Entry!$J$1477)</f>
        <v/>
      </c>
      <c r="U1474">
        <f>IF([2]Entry!$K$1477="","",[2]Entry!$K$1477)</f>
        <v/>
      </c>
      <c r="V1474">
        <f>IF([2]Entry!$L$1477="","",[2]Entry!$L$1477)</f>
        <v/>
      </c>
      <c r="W1474">
        <f>IF([2]Entry!$M$1477="","",[2]Entry!$M$1477)</f>
        <v/>
      </c>
      <c r="X1474">
        <f>IF([2]Entry!$N$1477="","",[2]Entry!$N$1477)</f>
        <v/>
      </c>
      <c r="Y1474">
        <f>IF([2]Entry!$R$1477="","",[2]Entry!$R$1477)</f>
        <v/>
      </c>
    </row>
    <row r="1475">
      <c r="P1475">
        <f>IF([2]Entry!$C$1478="","",[2]Entry!$C$1478)</f>
        <v/>
      </c>
      <c r="Q1475">
        <f>IF([2]Entry!$D$1478="","",[2]Entry!$D$1478)</f>
        <v/>
      </c>
      <c r="R1475">
        <f>IF([2]Entry!$E$1478="","",[2]Entry!$E$1478)</f>
        <v/>
      </c>
      <c r="S1475">
        <f>IF([2]Entry!$G$1478="","",[2]Entry!$G$1478)</f>
        <v/>
      </c>
      <c r="T1475">
        <f>IF([2]Entry!$J$1478="","",[2]Entry!$J$1478)</f>
        <v/>
      </c>
      <c r="U1475">
        <f>IF([2]Entry!$K$1478="","",[2]Entry!$K$1478)</f>
        <v/>
      </c>
      <c r="V1475">
        <f>IF([2]Entry!$L$1478="","",[2]Entry!$L$1478)</f>
        <v/>
      </c>
      <c r="W1475">
        <f>IF([2]Entry!$M$1478="","",[2]Entry!$M$1478)</f>
        <v/>
      </c>
      <c r="X1475">
        <f>IF([2]Entry!$N$1478="","",[2]Entry!$N$1478)</f>
        <v/>
      </c>
      <c r="Y1475">
        <f>IF([2]Entry!$R$1478="","",[2]Entry!$R$1478)</f>
        <v/>
      </c>
    </row>
    <row r="1476">
      <c r="P1476">
        <f>IF([2]Entry!$C$1479="","",[2]Entry!$C$1479)</f>
        <v/>
      </c>
      <c r="Q1476">
        <f>IF([2]Entry!$D$1479="","",[2]Entry!$D$1479)</f>
        <v/>
      </c>
      <c r="R1476">
        <f>IF([2]Entry!$E$1479="","",[2]Entry!$E$1479)</f>
        <v/>
      </c>
      <c r="S1476">
        <f>IF([2]Entry!$G$1479="","",[2]Entry!$G$1479)</f>
        <v/>
      </c>
      <c r="T1476">
        <f>IF([2]Entry!$J$1479="","",[2]Entry!$J$1479)</f>
        <v/>
      </c>
      <c r="U1476">
        <f>IF([2]Entry!$K$1479="","",[2]Entry!$K$1479)</f>
        <v/>
      </c>
      <c r="V1476">
        <f>IF([2]Entry!$L$1479="","",[2]Entry!$L$1479)</f>
        <v/>
      </c>
      <c r="W1476">
        <f>IF([2]Entry!$M$1479="","",[2]Entry!$M$1479)</f>
        <v/>
      </c>
      <c r="X1476">
        <f>IF([2]Entry!$N$1479="","",[2]Entry!$N$1479)</f>
        <v/>
      </c>
      <c r="Y1476">
        <f>IF([2]Entry!$R$1479="","",[2]Entry!$R$1479)</f>
        <v/>
      </c>
    </row>
    <row r="1477">
      <c r="P1477">
        <f>IF([2]Entry!$C$1480="","",[2]Entry!$C$1480)</f>
        <v/>
      </c>
      <c r="Q1477">
        <f>IF([2]Entry!$D$1480="","",[2]Entry!$D$1480)</f>
        <v/>
      </c>
      <c r="R1477">
        <f>IF([2]Entry!$E$1480="","",[2]Entry!$E$1480)</f>
        <v/>
      </c>
      <c r="S1477">
        <f>IF([2]Entry!$G$1480="","",[2]Entry!$G$1480)</f>
        <v/>
      </c>
      <c r="T1477">
        <f>IF([2]Entry!$J$1480="","",[2]Entry!$J$1480)</f>
        <v/>
      </c>
      <c r="U1477">
        <f>IF([2]Entry!$K$1480="","",[2]Entry!$K$1480)</f>
        <v/>
      </c>
      <c r="V1477">
        <f>IF([2]Entry!$L$1480="","",[2]Entry!$L$1480)</f>
        <v/>
      </c>
      <c r="W1477">
        <f>IF([2]Entry!$M$1480="","",[2]Entry!$M$1480)</f>
        <v/>
      </c>
      <c r="X1477">
        <f>IF([2]Entry!$N$1480="","",[2]Entry!$N$1480)</f>
        <v/>
      </c>
      <c r="Y1477">
        <f>IF([2]Entry!$R$1480="","",[2]Entry!$R$1480)</f>
        <v/>
      </c>
    </row>
    <row r="1478">
      <c r="P1478">
        <f>IF([2]Entry!$C$1481="","",[2]Entry!$C$1481)</f>
        <v/>
      </c>
      <c r="Q1478">
        <f>IF([2]Entry!$D$1481="","",[2]Entry!$D$1481)</f>
        <v/>
      </c>
      <c r="R1478">
        <f>IF([2]Entry!$E$1481="","",[2]Entry!$E$1481)</f>
        <v/>
      </c>
      <c r="S1478">
        <f>IF([2]Entry!$G$1481="","",[2]Entry!$G$1481)</f>
        <v/>
      </c>
      <c r="T1478">
        <f>IF([2]Entry!$J$1481="","",[2]Entry!$J$1481)</f>
        <v/>
      </c>
      <c r="U1478">
        <f>IF([2]Entry!$K$1481="","",[2]Entry!$K$1481)</f>
        <v/>
      </c>
      <c r="V1478">
        <f>IF([2]Entry!$L$1481="","",[2]Entry!$L$1481)</f>
        <v/>
      </c>
      <c r="W1478">
        <f>IF([2]Entry!$M$1481="","",[2]Entry!$M$1481)</f>
        <v/>
      </c>
      <c r="X1478">
        <f>IF([2]Entry!$N$1481="","",[2]Entry!$N$1481)</f>
        <v/>
      </c>
      <c r="Y1478">
        <f>IF([2]Entry!$R$1481="","",[2]Entry!$R$1481)</f>
        <v/>
      </c>
    </row>
    <row r="1479">
      <c r="P1479">
        <f>IF([2]Entry!$C$1482="","",[2]Entry!$C$1482)</f>
        <v/>
      </c>
      <c r="Q1479">
        <f>IF([2]Entry!$D$1482="","",[2]Entry!$D$1482)</f>
        <v/>
      </c>
      <c r="R1479">
        <f>IF([2]Entry!$E$1482="","",[2]Entry!$E$1482)</f>
        <v/>
      </c>
      <c r="S1479">
        <f>IF([2]Entry!$G$1482="","",[2]Entry!$G$1482)</f>
        <v/>
      </c>
      <c r="T1479">
        <f>IF([2]Entry!$J$1482="","",[2]Entry!$J$1482)</f>
        <v/>
      </c>
      <c r="U1479">
        <f>IF([2]Entry!$K$1482="","",[2]Entry!$K$1482)</f>
        <v/>
      </c>
      <c r="V1479">
        <f>IF([2]Entry!$L$1482="","",[2]Entry!$L$1482)</f>
        <v/>
      </c>
      <c r="W1479">
        <f>IF([2]Entry!$M$1482="","",[2]Entry!$M$1482)</f>
        <v/>
      </c>
      <c r="X1479">
        <f>IF([2]Entry!$N$1482="","",[2]Entry!$N$1482)</f>
        <v/>
      </c>
      <c r="Y1479">
        <f>IF([2]Entry!$R$1482="","",[2]Entry!$R$1482)</f>
        <v/>
      </c>
    </row>
    <row r="1480">
      <c r="P1480">
        <f>IF([2]Entry!$C$1483="","",[2]Entry!$C$1483)</f>
        <v/>
      </c>
      <c r="Q1480">
        <f>IF([2]Entry!$D$1483="","",[2]Entry!$D$1483)</f>
        <v/>
      </c>
      <c r="R1480">
        <f>IF([2]Entry!$E$1483="","",[2]Entry!$E$1483)</f>
        <v/>
      </c>
      <c r="S1480">
        <f>IF([2]Entry!$G$1483="","",[2]Entry!$G$1483)</f>
        <v/>
      </c>
      <c r="T1480">
        <f>IF([2]Entry!$J$1483="","",[2]Entry!$J$1483)</f>
        <v/>
      </c>
      <c r="U1480">
        <f>IF([2]Entry!$K$1483="","",[2]Entry!$K$1483)</f>
        <v/>
      </c>
      <c r="V1480">
        <f>IF([2]Entry!$L$1483="","",[2]Entry!$L$1483)</f>
        <v/>
      </c>
      <c r="W1480">
        <f>IF([2]Entry!$M$1483="","",[2]Entry!$M$1483)</f>
        <v/>
      </c>
      <c r="X1480">
        <f>IF([2]Entry!$N$1483="","",[2]Entry!$N$1483)</f>
        <v/>
      </c>
      <c r="Y1480">
        <f>IF([2]Entry!$R$1483="","",[2]Entry!$R$1483)</f>
        <v/>
      </c>
    </row>
    <row r="1481">
      <c r="P1481">
        <f>IF([2]Entry!$C$1484="","",[2]Entry!$C$1484)</f>
        <v/>
      </c>
      <c r="Q1481">
        <f>IF([2]Entry!$D$1484="","",[2]Entry!$D$1484)</f>
        <v/>
      </c>
      <c r="R1481">
        <f>IF([2]Entry!$E$1484="","",[2]Entry!$E$1484)</f>
        <v/>
      </c>
      <c r="S1481">
        <f>IF([2]Entry!$G$1484="","",[2]Entry!$G$1484)</f>
        <v/>
      </c>
      <c r="T1481">
        <f>IF([2]Entry!$J$1484="","",[2]Entry!$J$1484)</f>
        <v/>
      </c>
      <c r="U1481">
        <f>IF([2]Entry!$K$1484="","",[2]Entry!$K$1484)</f>
        <v/>
      </c>
      <c r="V1481">
        <f>IF([2]Entry!$L$1484="","",[2]Entry!$L$1484)</f>
        <v/>
      </c>
      <c r="W1481">
        <f>IF([2]Entry!$M$1484="","",[2]Entry!$M$1484)</f>
        <v/>
      </c>
      <c r="X1481">
        <f>IF([2]Entry!$N$1484="","",[2]Entry!$N$1484)</f>
        <v/>
      </c>
      <c r="Y1481">
        <f>IF([2]Entry!$R$1484="","",[2]Entry!$R$1484)</f>
        <v/>
      </c>
    </row>
    <row r="1482">
      <c r="P1482">
        <f>IF([2]Entry!$C$1485="","",[2]Entry!$C$1485)</f>
        <v/>
      </c>
      <c r="Q1482">
        <f>IF([2]Entry!$D$1485="","",[2]Entry!$D$1485)</f>
        <v/>
      </c>
      <c r="R1482">
        <f>IF([2]Entry!$E$1485="","",[2]Entry!$E$1485)</f>
        <v/>
      </c>
      <c r="S1482">
        <f>IF([2]Entry!$G$1485="","",[2]Entry!$G$1485)</f>
        <v/>
      </c>
      <c r="T1482">
        <f>IF([2]Entry!$J$1485="","",[2]Entry!$J$1485)</f>
        <v/>
      </c>
      <c r="U1482">
        <f>IF([2]Entry!$K$1485="","",[2]Entry!$K$1485)</f>
        <v/>
      </c>
      <c r="V1482">
        <f>IF([2]Entry!$L$1485="","",[2]Entry!$L$1485)</f>
        <v/>
      </c>
      <c r="W1482">
        <f>IF([2]Entry!$M$1485="","",[2]Entry!$M$1485)</f>
        <v/>
      </c>
      <c r="X1482">
        <f>IF([2]Entry!$N$1485="","",[2]Entry!$N$1485)</f>
        <v/>
      </c>
      <c r="Y1482">
        <f>IF([2]Entry!$R$1485="","",[2]Entry!$R$1485)</f>
        <v/>
      </c>
    </row>
    <row r="1483">
      <c r="P1483">
        <f>IF([2]Entry!$C$1486="","",[2]Entry!$C$1486)</f>
        <v/>
      </c>
      <c r="Q1483">
        <f>IF([2]Entry!$D$1486="","",[2]Entry!$D$1486)</f>
        <v/>
      </c>
      <c r="R1483">
        <f>IF([2]Entry!$E$1486="","",[2]Entry!$E$1486)</f>
        <v/>
      </c>
      <c r="S1483">
        <f>IF([2]Entry!$G$1486="","",[2]Entry!$G$1486)</f>
        <v/>
      </c>
      <c r="T1483">
        <f>IF([2]Entry!$J$1486="","",[2]Entry!$J$1486)</f>
        <v/>
      </c>
      <c r="U1483">
        <f>IF([2]Entry!$K$1486="","",[2]Entry!$K$1486)</f>
        <v/>
      </c>
      <c r="V1483">
        <f>IF([2]Entry!$L$1486="","",[2]Entry!$L$1486)</f>
        <v/>
      </c>
      <c r="W1483">
        <f>IF([2]Entry!$M$1486="","",[2]Entry!$M$1486)</f>
        <v/>
      </c>
      <c r="X1483">
        <f>IF([2]Entry!$N$1486="","",[2]Entry!$N$1486)</f>
        <v/>
      </c>
      <c r="Y1483">
        <f>IF([2]Entry!$R$1486="","",[2]Entry!$R$1486)</f>
        <v/>
      </c>
    </row>
    <row r="1484">
      <c r="P1484">
        <f>IF([2]Entry!$C$1487="","",[2]Entry!$C$1487)</f>
        <v/>
      </c>
      <c r="Q1484">
        <f>IF([2]Entry!$D$1487="","",[2]Entry!$D$1487)</f>
        <v/>
      </c>
      <c r="R1484">
        <f>IF([2]Entry!$E$1487="","",[2]Entry!$E$1487)</f>
        <v/>
      </c>
      <c r="S1484">
        <f>IF([2]Entry!$G$1487="","",[2]Entry!$G$1487)</f>
        <v/>
      </c>
      <c r="T1484">
        <f>IF([2]Entry!$J$1487="","",[2]Entry!$J$1487)</f>
        <v/>
      </c>
      <c r="U1484">
        <f>IF([2]Entry!$K$1487="","",[2]Entry!$K$1487)</f>
        <v/>
      </c>
      <c r="V1484">
        <f>IF([2]Entry!$L$1487="","",[2]Entry!$L$1487)</f>
        <v/>
      </c>
      <c r="W1484">
        <f>IF([2]Entry!$M$1487="","",[2]Entry!$M$1487)</f>
        <v/>
      </c>
      <c r="X1484">
        <f>IF([2]Entry!$N$1487="","",[2]Entry!$N$1487)</f>
        <v/>
      </c>
      <c r="Y1484">
        <f>IF([2]Entry!$R$1487="","",[2]Entry!$R$1487)</f>
        <v/>
      </c>
    </row>
    <row r="1485">
      <c r="P1485">
        <f>IF([2]Entry!$C$1488="","",[2]Entry!$C$1488)</f>
        <v/>
      </c>
      <c r="Q1485">
        <f>IF([2]Entry!$D$1488="","",[2]Entry!$D$1488)</f>
        <v/>
      </c>
      <c r="R1485">
        <f>IF([2]Entry!$E$1488="","",[2]Entry!$E$1488)</f>
        <v/>
      </c>
      <c r="S1485">
        <f>IF([2]Entry!$G$1488="","",[2]Entry!$G$1488)</f>
        <v/>
      </c>
      <c r="T1485">
        <f>IF([2]Entry!$J$1488="","",[2]Entry!$J$1488)</f>
        <v/>
      </c>
      <c r="U1485">
        <f>IF([2]Entry!$K$1488="","",[2]Entry!$K$1488)</f>
        <v/>
      </c>
      <c r="V1485">
        <f>IF([2]Entry!$L$1488="","",[2]Entry!$L$1488)</f>
        <v/>
      </c>
      <c r="W1485">
        <f>IF([2]Entry!$M$1488="","",[2]Entry!$M$1488)</f>
        <v/>
      </c>
      <c r="X1485">
        <f>IF([2]Entry!$N$1488="","",[2]Entry!$N$1488)</f>
        <v/>
      </c>
      <c r="Y1485">
        <f>IF([2]Entry!$R$1488="","",[2]Entry!$R$1488)</f>
        <v/>
      </c>
    </row>
    <row r="1486">
      <c r="P1486">
        <f>IF([2]Entry!$C$1489="","",[2]Entry!$C$1489)</f>
        <v/>
      </c>
      <c r="Q1486">
        <f>IF([2]Entry!$D$1489="","",[2]Entry!$D$1489)</f>
        <v/>
      </c>
      <c r="R1486">
        <f>IF([2]Entry!$E$1489="","",[2]Entry!$E$1489)</f>
        <v/>
      </c>
      <c r="S1486">
        <f>IF([2]Entry!$G$1489="","",[2]Entry!$G$1489)</f>
        <v/>
      </c>
      <c r="T1486">
        <f>IF([2]Entry!$J$1489="","",[2]Entry!$J$1489)</f>
        <v/>
      </c>
      <c r="U1486">
        <f>IF([2]Entry!$K$1489="","",[2]Entry!$K$1489)</f>
        <v/>
      </c>
      <c r="V1486">
        <f>IF([2]Entry!$L$1489="","",[2]Entry!$L$1489)</f>
        <v/>
      </c>
      <c r="W1486">
        <f>IF([2]Entry!$M$1489="","",[2]Entry!$M$1489)</f>
        <v/>
      </c>
      <c r="X1486">
        <f>IF([2]Entry!$N$1489="","",[2]Entry!$N$1489)</f>
        <v/>
      </c>
      <c r="Y1486">
        <f>IF([2]Entry!$R$1489="","",[2]Entry!$R$1489)</f>
        <v/>
      </c>
    </row>
    <row r="1487">
      <c r="P1487">
        <f>IF([2]Entry!$C$1490="","",[2]Entry!$C$1490)</f>
        <v/>
      </c>
      <c r="Q1487">
        <f>IF([2]Entry!$D$1490="","",[2]Entry!$D$1490)</f>
        <v/>
      </c>
      <c r="R1487">
        <f>IF([2]Entry!$E$1490="","",[2]Entry!$E$1490)</f>
        <v/>
      </c>
      <c r="S1487">
        <f>IF([2]Entry!$G$1490="","",[2]Entry!$G$1490)</f>
        <v/>
      </c>
      <c r="T1487">
        <f>IF([2]Entry!$J$1490="","",[2]Entry!$J$1490)</f>
        <v/>
      </c>
      <c r="U1487">
        <f>IF([2]Entry!$K$1490="","",[2]Entry!$K$1490)</f>
        <v/>
      </c>
      <c r="V1487">
        <f>IF([2]Entry!$L$1490="","",[2]Entry!$L$1490)</f>
        <v/>
      </c>
      <c r="W1487">
        <f>IF([2]Entry!$M$1490="","",[2]Entry!$M$1490)</f>
        <v/>
      </c>
      <c r="X1487">
        <f>IF([2]Entry!$N$1490="","",[2]Entry!$N$1490)</f>
        <v/>
      </c>
      <c r="Y1487">
        <f>IF([2]Entry!$R$1490="","",[2]Entry!$R$1490)</f>
        <v/>
      </c>
    </row>
    <row r="1488">
      <c r="P1488">
        <f>IF([2]Entry!$C$1491="","",[2]Entry!$C$1491)</f>
        <v/>
      </c>
      <c r="Q1488">
        <f>IF([2]Entry!$D$1491="","",[2]Entry!$D$1491)</f>
        <v/>
      </c>
      <c r="R1488">
        <f>IF([2]Entry!$E$1491="","",[2]Entry!$E$1491)</f>
        <v/>
      </c>
      <c r="S1488">
        <f>IF([2]Entry!$G$1491="","",[2]Entry!$G$1491)</f>
        <v/>
      </c>
      <c r="T1488">
        <f>IF([2]Entry!$J$1491="","",[2]Entry!$J$1491)</f>
        <v/>
      </c>
      <c r="U1488">
        <f>IF([2]Entry!$K$1491="","",[2]Entry!$K$1491)</f>
        <v/>
      </c>
      <c r="V1488">
        <f>IF([2]Entry!$L$1491="","",[2]Entry!$L$1491)</f>
        <v/>
      </c>
      <c r="W1488">
        <f>IF([2]Entry!$M$1491="","",[2]Entry!$M$1491)</f>
        <v/>
      </c>
      <c r="X1488">
        <f>IF([2]Entry!$N$1491="","",[2]Entry!$N$1491)</f>
        <v/>
      </c>
      <c r="Y1488">
        <f>IF([2]Entry!$R$1491="","",[2]Entry!$R$1491)</f>
        <v/>
      </c>
    </row>
    <row r="1489">
      <c r="P1489">
        <f>IF([2]Entry!$C$1492="","",[2]Entry!$C$1492)</f>
        <v/>
      </c>
      <c r="Q1489">
        <f>IF([2]Entry!$D$1492="","",[2]Entry!$D$1492)</f>
        <v/>
      </c>
      <c r="R1489">
        <f>IF([2]Entry!$E$1492="","",[2]Entry!$E$1492)</f>
        <v/>
      </c>
      <c r="S1489">
        <f>IF([2]Entry!$G$1492="","",[2]Entry!$G$1492)</f>
        <v/>
      </c>
      <c r="T1489">
        <f>IF([2]Entry!$J$1492="","",[2]Entry!$J$1492)</f>
        <v/>
      </c>
      <c r="U1489">
        <f>IF([2]Entry!$K$1492="","",[2]Entry!$K$1492)</f>
        <v/>
      </c>
      <c r="V1489">
        <f>IF([2]Entry!$L$1492="","",[2]Entry!$L$1492)</f>
        <v/>
      </c>
      <c r="W1489">
        <f>IF([2]Entry!$M$1492="","",[2]Entry!$M$1492)</f>
        <v/>
      </c>
      <c r="X1489">
        <f>IF([2]Entry!$N$1492="","",[2]Entry!$N$1492)</f>
        <v/>
      </c>
      <c r="Y1489">
        <f>IF([2]Entry!$R$1492="","",[2]Entry!$R$1492)</f>
        <v/>
      </c>
    </row>
    <row r="1490">
      <c r="P1490">
        <f>IF([2]Entry!$C$1493="","",[2]Entry!$C$1493)</f>
        <v/>
      </c>
      <c r="Q1490">
        <f>IF([2]Entry!$D$1493="","",[2]Entry!$D$1493)</f>
        <v/>
      </c>
      <c r="R1490">
        <f>IF([2]Entry!$E$1493="","",[2]Entry!$E$1493)</f>
        <v/>
      </c>
      <c r="S1490">
        <f>IF([2]Entry!$G$1493="","",[2]Entry!$G$1493)</f>
        <v/>
      </c>
      <c r="T1490">
        <f>IF([2]Entry!$J$1493="","",[2]Entry!$J$1493)</f>
        <v/>
      </c>
      <c r="U1490">
        <f>IF([2]Entry!$K$1493="","",[2]Entry!$K$1493)</f>
        <v/>
      </c>
      <c r="V1490">
        <f>IF([2]Entry!$L$1493="","",[2]Entry!$L$1493)</f>
        <v/>
      </c>
      <c r="W1490">
        <f>IF([2]Entry!$M$1493="","",[2]Entry!$M$1493)</f>
        <v/>
      </c>
      <c r="X1490">
        <f>IF([2]Entry!$N$1493="","",[2]Entry!$N$1493)</f>
        <v/>
      </c>
      <c r="Y1490">
        <f>IF([2]Entry!$R$1493="","",[2]Entry!$R$1493)</f>
        <v/>
      </c>
    </row>
    <row r="1491">
      <c r="P1491">
        <f>IF([2]Entry!$C$1494="","",[2]Entry!$C$1494)</f>
        <v/>
      </c>
      <c r="Q1491">
        <f>IF([2]Entry!$D$1494="","",[2]Entry!$D$1494)</f>
        <v/>
      </c>
      <c r="R1491">
        <f>IF([2]Entry!$E$1494="","",[2]Entry!$E$1494)</f>
        <v/>
      </c>
      <c r="S1491">
        <f>IF([2]Entry!$G$1494="","",[2]Entry!$G$1494)</f>
        <v/>
      </c>
      <c r="T1491">
        <f>IF([2]Entry!$J$1494="","",[2]Entry!$J$1494)</f>
        <v/>
      </c>
      <c r="U1491">
        <f>IF([2]Entry!$K$1494="","",[2]Entry!$K$1494)</f>
        <v/>
      </c>
      <c r="V1491">
        <f>IF([2]Entry!$L$1494="","",[2]Entry!$L$1494)</f>
        <v/>
      </c>
      <c r="W1491">
        <f>IF([2]Entry!$M$1494="","",[2]Entry!$M$1494)</f>
        <v/>
      </c>
      <c r="X1491">
        <f>IF([2]Entry!$N$1494="","",[2]Entry!$N$1494)</f>
        <v/>
      </c>
      <c r="Y1491">
        <f>IF([2]Entry!$R$1494="","",[2]Entry!$R$1494)</f>
        <v/>
      </c>
    </row>
    <row r="1492">
      <c r="P1492">
        <f>IF([2]Entry!$C$1495="","",[2]Entry!$C$1495)</f>
        <v/>
      </c>
      <c r="Q1492">
        <f>IF([2]Entry!$D$1495="","",[2]Entry!$D$1495)</f>
        <v/>
      </c>
      <c r="R1492">
        <f>IF([2]Entry!$E$1495="","",[2]Entry!$E$1495)</f>
        <v/>
      </c>
      <c r="S1492">
        <f>IF([2]Entry!$G$1495="","",[2]Entry!$G$1495)</f>
        <v/>
      </c>
      <c r="T1492">
        <f>IF([2]Entry!$J$1495="","",[2]Entry!$J$1495)</f>
        <v/>
      </c>
      <c r="U1492">
        <f>IF([2]Entry!$K$1495="","",[2]Entry!$K$1495)</f>
        <v/>
      </c>
      <c r="V1492">
        <f>IF([2]Entry!$L$1495="","",[2]Entry!$L$1495)</f>
        <v/>
      </c>
      <c r="W1492">
        <f>IF([2]Entry!$M$1495="","",[2]Entry!$M$1495)</f>
        <v/>
      </c>
      <c r="X1492">
        <f>IF([2]Entry!$N$1495="","",[2]Entry!$N$1495)</f>
        <v/>
      </c>
      <c r="Y1492">
        <f>IF([2]Entry!$R$1495="","",[2]Entry!$R$1495)</f>
        <v/>
      </c>
    </row>
    <row r="1493">
      <c r="P1493">
        <f>IF([2]Entry!$C$1496="","",[2]Entry!$C$1496)</f>
        <v/>
      </c>
      <c r="Q1493">
        <f>IF([2]Entry!$D$1496="","",[2]Entry!$D$1496)</f>
        <v/>
      </c>
      <c r="R1493">
        <f>IF([2]Entry!$E$1496="","",[2]Entry!$E$1496)</f>
        <v/>
      </c>
      <c r="S1493">
        <f>IF([2]Entry!$G$1496="","",[2]Entry!$G$1496)</f>
        <v/>
      </c>
      <c r="T1493">
        <f>IF([2]Entry!$J$1496="","",[2]Entry!$J$1496)</f>
        <v/>
      </c>
      <c r="U1493">
        <f>IF([2]Entry!$K$1496="","",[2]Entry!$K$1496)</f>
        <v/>
      </c>
      <c r="V1493">
        <f>IF([2]Entry!$L$1496="","",[2]Entry!$L$1496)</f>
        <v/>
      </c>
      <c r="W1493">
        <f>IF([2]Entry!$M$1496="","",[2]Entry!$M$1496)</f>
        <v/>
      </c>
      <c r="X1493">
        <f>IF([2]Entry!$N$1496="","",[2]Entry!$N$1496)</f>
        <v/>
      </c>
      <c r="Y1493">
        <f>IF([2]Entry!$R$1496="","",[2]Entry!$R$1496)</f>
        <v/>
      </c>
    </row>
    <row r="1494">
      <c r="P1494">
        <f>IF([2]Entry!$C$1497="","",[2]Entry!$C$1497)</f>
        <v/>
      </c>
      <c r="Q1494">
        <f>IF([2]Entry!$D$1497="","",[2]Entry!$D$1497)</f>
        <v/>
      </c>
      <c r="R1494">
        <f>IF([2]Entry!$E$1497="","",[2]Entry!$E$1497)</f>
        <v/>
      </c>
      <c r="S1494">
        <f>IF([2]Entry!$G$1497="","",[2]Entry!$G$1497)</f>
        <v/>
      </c>
      <c r="T1494">
        <f>IF([2]Entry!$J$1497="","",[2]Entry!$J$1497)</f>
        <v/>
      </c>
      <c r="U1494">
        <f>IF([2]Entry!$K$1497="","",[2]Entry!$K$1497)</f>
        <v/>
      </c>
      <c r="V1494">
        <f>IF([2]Entry!$L$1497="","",[2]Entry!$L$1497)</f>
        <v/>
      </c>
      <c r="W1494">
        <f>IF([2]Entry!$M$1497="","",[2]Entry!$M$1497)</f>
        <v/>
      </c>
      <c r="X1494">
        <f>IF([2]Entry!$N$1497="","",[2]Entry!$N$1497)</f>
        <v/>
      </c>
      <c r="Y1494">
        <f>IF([2]Entry!$R$1497="","",[2]Entry!$R$1497)</f>
        <v/>
      </c>
    </row>
    <row r="1495">
      <c r="P1495">
        <f>IF([2]Entry!$C$1498="","",[2]Entry!$C$1498)</f>
        <v/>
      </c>
      <c r="Q1495">
        <f>IF([2]Entry!$D$1498="","",[2]Entry!$D$1498)</f>
        <v/>
      </c>
      <c r="R1495">
        <f>IF([2]Entry!$E$1498="","",[2]Entry!$E$1498)</f>
        <v/>
      </c>
      <c r="S1495">
        <f>IF([2]Entry!$G$1498="","",[2]Entry!$G$1498)</f>
        <v/>
      </c>
      <c r="T1495">
        <f>IF([2]Entry!$J$1498="","",[2]Entry!$J$1498)</f>
        <v/>
      </c>
      <c r="U1495">
        <f>IF([2]Entry!$K$1498="","",[2]Entry!$K$1498)</f>
        <v/>
      </c>
      <c r="V1495">
        <f>IF([2]Entry!$L$1498="","",[2]Entry!$L$1498)</f>
        <v/>
      </c>
      <c r="W1495">
        <f>IF([2]Entry!$M$1498="","",[2]Entry!$M$1498)</f>
        <v/>
      </c>
      <c r="X1495">
        <f>IF([2]Entry!$N$1498="","",[2]Entry!$N$1498)</f>
        <v/>
      </c>
      <c r="Y1495">
        <f>IF([2]Entry!$R$1498="","",[2]Entry!$R$1498)</f>
        <v/>
      </c>
    </row>
    <row r="1496">
      <c r="P1496">
        <f>IF([2]Entry!$C$1499="","",[2]Entry!$C$1499)</f>
        <v/>
      </c>
      <c r="Q1496">
        <f>IF([2]Entry!$D$1499="","",[2]Entry!$D$1499)</f>
        <v/>
      </c>
      <c r="R1496">
        <f>IF([2]Entry!$E$1499="","",[2]Entry!$E$1499)</f>
        <v/>
      </c>
      <c r="S1496">
        <f>IF([2]Entry!$G$1499="","",[2]Entry!$G$1499)</f>
        <v/>
      </c>
      <c r="T1496">
        <f>IF([2]Entry!$J$1499="","",[2]Entry!$J$1499)</f>
        <v/>
      </c>
      <c r="U1496">
        <f>IF([2]Entry!$K$1499="","",[2]Entry!$K$1499)</f>
        <v/>
      </c>
      <c r="V1496">
        <f>IF([2]Entry!$L$1499="","",[2]Entry!$L$1499)</f>
        <v/>
      </c>
      <c r="W1496">
        <f>IF([2]Entry!$M$1499="","",[2]Entry!$M$1499)</f>
        <v/>
      </c>
      <c r="X1496">
        <f>IF([2]Entry!$N$1499="","",[2]Entry!$N$1499)</f>
        <v/>
      </c>
      <c r="Y1496">
        <f>IF([2]Entry!$R$1499="","",[2]Entry!$R$1499)</f>
        <v/>
      </c>
    </row>
    <row r="1497">
      <c r="P1497">
        <f>IF([2]Entry!$C$1500="","",[2]Entry!$C$1500)</f>
        <v/>
      </c>
      <c r="Q1497">
        <f>IF([2]Entry!$D$1500="","",[2]Entry!$D$1500)</f>
        <v/>
      </c>
      <c r="R1497">
        <f>IF([2]Entry!$E$1500="","",[2]Entry!$E$1500)</f>
        <v/>
      </c>
      <c r="S1497">
        <f>IF([2]Entry!$G$1500="","",[2]Entry!$G$1500)</f>
        <v/>
      </c>
      <c r="T1497">
        <f>IF([2]Entry!$J$1500="","",[2]Entry!$J$1500)</f>
        <v/>
      </c>
      <c r="U1497">
        <f>IF([2]Entry!$K$1500="","",[2]Entry!$K$1500)</f>
        <v/>
      </c>
      <c r="V1497">
        <f>IF([2]Entry!$L$1500="","",[2]Entry!$L$1500)</f>
        <v/>
      </c>
      <c r="W1497">
        <f>IF([2]Entry!$M$1500="","",[2]Entry!$M$1500)</f>
        <v/>
      </c>
      <c r="X1497">
        <f>IF([2]Entry!$N$1500="","",[2]Entry!$N$1500)</f>
        <v/>
      </c>
      <c r="Y1497">
        <f>IF([2]Entry!$R$1500="","",[2]Entry!$R$1500)</f>
        <v/>
      </c>
    </row>
    <row r="1498">
      <c r="P1498">
        <f>IF([2]Entry!$C$1501="","",[2]Entry!$C$1501)</f>
        <v/>
      </c>
      <c r="Q1498">
        <f>IF([2]Entry!$D$1501="","",[2]Entry!$D$1501)</f>
        <v/>
      </c>
      <c r="R1498">
        <f>IF([2]Entry!$E$1501="","",[2]Entry!$E$1501)</f>
        <v/>
      </c>
      <c r="S1498">
        <f>IF([2]Entry!$G$1501="","",[2]Entry!$G$1501)</f>
        <v/>
      </c>
      <c r="T1498">
        <f>IF([2]Entry!$J$1501="","",[2]Entry!$J$1501)</f>
        <v/>
      </c>
      <c r="U1498">
        <f>IF([2]Entry!$K$1501="","",[2]Entry!$K$1501)</f>
        <v/>
      </c>
      <c r="V1498">
        <f>IF([2]Entry!$L$1501="","",[2]Entry!$L$1501)</f>
        <v/>
      </c>
      <c r="W1498">
        <f>IF([2]Entry!$M$1501="","",[2]Entry!$M$1501)</f>
        <v/>
      </c>
      <c r="X1498">
        <f>IF([2]Entry!$N$1501="","",[2]Entry!$N$1501)</f>
        <v/>
      </c>
      <c r="Y1498">
        <f>IF([2]Entry!$R$1501="","",[2]Entry!$R$1501)</f>
        <v/>
      </c>
    </row>
    <row r="1499">
      <c r="P1499">
        <f>IF([2]Entry!$C$1502="","",[2]Entry!$C$1502)</f>
        <v/>
      </c>
      <c r="Q1499">
        <f>IF([2]Entry!$D$1502="","",[2]Entry!$D$1502)</f>
        <v/>
      </c>
      <c r="R1499">
        <f>IF([2]Entry!$E$1502="","",[2]Entry!$E$1502)</f>
        <v/>
      </c>
      <c r="S1499">
        <f>IF([2]Entry!$G$1502="","",[2]Entry!$G$1502)</f>
        <v/>
      </c>
      <c r="T1499">
        <f>IF([2]Entry!$J$1502="","",[2]Entry!$J$1502)</f>
        <v/>
      </c>
      <c r="U1499">
        <f>IF([2]Entry!$K$1502="","",[2]Entry!$K$1502)</f>
        <v/>
      </c>
      <c r="V1499">
        <f>IF([2]Entry!$L$1502="","",[2]Entry!$L$1502)</f>
        <v/>
      </c>
      <c r="W1499">
        <f>IF([2]Entry!$M$1502="","",[2]Entry!$M$1502)</f>
        <v/>
      </c>
      <c r="X1499">
        <f>IF([2]Entry!$N$1502="","",[2]Entry!$N$1502)</f>
        <v/>
      </c>
      <c r="Y1499">
        <f>IF([2]Entry!$R$1502="","",[2]Entry!$R$1502)</f>
        <v/>
      </c>
    </row>
    <row r="1500">
      <c r="P1500">
        <f>IF([2]Entry!$C$1503="","",[2]Entry!$C$1503)</f>
        <v/>
      </c>
      <c r="Q1500">
        <f>IF([2]Entry!$D$1503="","",[2]Entry!$D$1503)</f>
        <v/>
      </c>
      <c r="R1500">
        <f>IF([2]Entry!$E$1503="","",[2]Entry!$E$1503)</f>
        <v/>
      </c>
      <c r="S1500">
        <f>IF([2]Entry!$G$1503="","",[2]Entry!$G$1503)</f>
        <v/>
      </c>
      <c r="T1500">
        <f>IF([2]Entry!$J$1503="","",[2]Entry!$J$1503)</f>
        <v/>
      </c>
      <c r="U1500">
        <f>IF([2]Entry!$K$1503="","",[2]Entry!$K$1503)</f>
        <v/>
      </c>
      <c r="V1500">
        <f>IF([2]Entry!$L$1503="","",[2]Entry!$L$1503)</f>
        <v/>
      </c>
      <c r="W1500">
        <f>IF([2]Entry!$M$1503="","",[2]Entry!$M$1503)</f>
        <v/>
      </c>
      <c r="X1500">
        <f>IF([2]Entry!$N$1503="","",[2]Entry!$N$1503)</f>
        <v/>
      </c>
      <c r="Y1500">
        <f>IF([2]Entry!$R$1503="","",[2]Entry!$R$1503)</f>
        <v/>
      </c>
    </row>
    <row r="1501">
      <c r="P1501">
        <f>IF([2]Entry!$C$1504="","",[2]Entry!$C$1504)</f>
        <v/>
      </c>
      <c r="Q1501">
        <f>IF([2]Entry!$D$1504="","",[2]Entry!$D$1504)</f>
        <v/>
      </c>
      <c r="R1501">
        <f>IF([2]Entry!$E$1504="","",[2]Entry!$E$1504)</f>
        <v/>
      </c>
      <c r="S1501">
        <f>IF([2]Entry!$G$1504="","",[2]Entry!$G$1504)</f>
        <v/>
      </c>
      <c r="T1501">
        <f>IF([2]Entry!$J$1504="","",[2]Entry!$J$1504)</f>
        <v/>
      </c>
      <c r="U1501">
        <f>IF([2]Entry!$K$1504="","",[2]Entry!$K$1504)</f>
        <v/>
      </c>
      <c r="V1501">
        <f>IF([2]Entry!$L$1504="","",[2]Entry!$L$1504)</f>
        <v/>
      </c>
      <c r="W1501">
        <f>IF([2]Entry!$M$1504="","",[2]Entry!$M$1504)</f>
        <v/>
      </c>
      <c r="X1501">
        <f>IF([2]Entry!$N$1504="","",[2]Entry!$N$1504)</f>
        <v/>
      </c>
      <c r="Y1501">
        <f>IF([2]Entry!$R$1504="","",[2]Entry!$R$1504)</f>
        <v/>
      </c>
    </row>
    <row r="1502">
      <c r="P1502">
        <f>IF([2]Entry!$C$1505="","",[2]Entry!$C$1505)</f>
        <v/>
      </c>
      <c r="Q1502">
        <f>IF([2]Entry!$D$1505="","",[2]Entry!$D$1505)</f>
        <v/>
      </c>
      <c r="R1502">
        <f>IF([2]Entry!$E$1505="","",[2]Entry!$E$1505)</f>
        <v/>
      </c>
      <c r="S1502">
        <f>IF([2]Entry!$G$1505="","",[2]Entry!$G$1505)</f>
        <v/>
      </c>
      <c r="T1502">
        <f>IF([2]Entry!$J$1505="","",[2]Entry!$J$1505)</f>
        <v/>
      </c>
      <c r="U1502">
        <f>IF([2]Entry!$K$1505="","",[2]Entry!$K$1505)</f>
        <v/>
      </c>
      <c r="V1502">
        <f>IF([2]Entry!$L$1505="","",[2]Entry!$L$1505)</f>
        <v/>
      </c>
      <c r="W1502">
        <f>IF([2]Entry!$M$1505="","",[2]Entry!$M$1505)</f>
        <v/>
      </c>
      <c r="X1502">
        <f>IF([2]Entry!$N$1505="","",[2]Entry!$N$1505)</f>
        <v/>
      </c>
      <c r="Y1502">
        <f>IF([2]Entry!$R$1505="","",[2]Entry!$R$1505)</f>
        <v/>
      </c>
    </row>
    <row r="1503">
      <c r="P1503">
        <f>IF([2]Entry!$C$1506="","",[2]Entry!$C$1506)</f>
        <v/>
      </c>
      <c r="Q1503">
        <f>IF([2]Entry!$D$1506="","",[2]Entry!$D$1506)</f>
        <v/>
      </c>
      <c r="R1503">
        <f>IF([2]Entry!$E$1506="","",[2]Entry!$E$1506)</f>
        <v/>
      </c>
      <c r="S1503">
        <f>IF([2]Entry!$G$1506="","",[2]Entry!$G$1506)</f>
        <v/>
      </c>
      <c r="T1503">
        <f>IF([2]Entry!$J$1506="","",[2]Entry!$J$1506)</f>
        <v/>
      </c>
      <c r="U1503">
        <f>IF([2]Entry!$K$1506="","",[2]Entry!$K$1506)</f>
        <v/>
      </c>
      <c r="V1503">
        <f>IF([2]Entry!$L$1506="","",[2]Entry!$L$1506)</f>
        <v/>
      </c>
      <c r="W1503">
        <f>IF([2]Entry!$M$1506="","",[2]Entry!$M$1506)</f>
        <v/>
      </c>
      <c r="X1503">
        <f>IF([2]Entry!$N$1506="","",[2]Entry!$N$1506)</f>
        <v/>
      </c>
      <c r="Y1503">
        <f>IF([2]Entry!$R$1506="","",[2]Entry!$R$1506)</f>
        <v/>
      </c>
    </row>
    <row r="1504">
      <c r="P1504">
        <f>IF([2]Entry!$C$1507="","",[2]Entry!$C$1507)</f>
        <v/>
      </c>
      <c r="Q1504">
        <f>IF([2]Entry!$D$1507="","",[2]Entry!$D$1507)</f>
        <v/>
      </c>
      <c r="R1504">
        <f>IF([2]Entry!$E$1507="","",[2]Entry!$E$1507)</f>
        <v/>
      </c>
      <c r="S1504">
        <f>IF([2]Entry!$G$1507="","",[2]Entry!$G$1507)</f>
        <v/>
      </c>
      <c r="T1504">
        <f>IF([2]Entry!$J$1507="","",[2]Entry!$J$1507)</f>
        <v/>
      </c>
      <c r="U1504">
        <f>IF([2]Entry!$K$1507="","",[2]Entry!$K$1507)</f>
        <v/>
      </c>
      <c r="V1504">
        <f>IF([2]Entry!$L$1507="","",[2]Entry!$L$1507)</f>
        <v/>
      </c>
      <c r="W1504">
        <f>IF([2]Entry!$M$1507="","",[2]Entry!$M$1507)</f>
        <v/>
      </c>
      <c r="X1504">
        <f>IF([2]Entry!$N$1507="","",[2]Entry!$N$1507)</f>
        <v/>
      </c>
      <c r="Y1504">
        <f>IF([2]Entry!$R$1507="","",[2]Entry!$R$1507)</f>
        <v/>
      </c>
    </row>
    <row r="1505">
      <c r="P1505">
        <f>IF([2]Entry!$C$1508="","",[2]Entry!$C$1508)</f>
        <v/>
      </c>
      <c r="Q1505">
        <f>IF([2]Entry!$D$1508="","",[2]Entry!$D$1508)</f>
        <v/>
      </c>
      <c r="R1505">
        <f>IF([2]Entry!$E$1508="","",[2]Entry!$E$1508)</f>
        <v/>
      </c>
      <c r="S1505">
        <f>IF([2]Entry!$G$1508="","",[2]Entry!$G$1508)</f>
        <v/>
      </c>
      <c r="T1505">
        <f>IF([2]Entry!$J$1508="","",[2]Entry!$J$1508)</f>
        <v/>
      </c>
      <c r="U1505">
        <f>IF([2]Entry!$K$1508="","",[2]Entry!$K$1508)</f>
        <v/>
      </c>
      <c r="V1505">
        <f>IF([2]Entry!$L$1508="","",[2]Entry!$L$1508)</f>
        <v/>
      </c>
      <c r="W1505">
        <f>IF([2]Entry!$M$1508="","",[2]Entry!$M$1508)</f>
        <v/>
      </c>
      <c r="X1505">
        <f>IF([2]Entry!$N$1508="","",[2]Entry!$N$1508)</f>
        <v/>
      </c>
      <c r="Y1505">
        <f>IF([2]Entry!$R$1508="","",[2]Entry!$R$1508)</f>
        <v/>
      </c>
    </row>
    <row r="1506">
      <c r="P1506">
        <f>IF([2]Entry!$C$1509="","",[2]Entry!$C$1509)</f>
        <v/>
      </c>
      <c r="Q1506">
        <f>IF([2]Entry!$D$1509="","",[2]Entry!$D$1509)</f>
        <v/>
      </c>
      <c r="R1506">
        <f>IF([2]Entry!$E$1509="","",[2]Entry!$E$1509)</f>
        <v/>
      </c>
      <c r="S1506">
        <f>IF([2]Entry!$G$1509="","",[2]Entry!$G$1509)</f>
        <v/>
      </c>
      <c r="T1506">
        <f>IF([2]Entry!$J$1509="","",[2]Entry!$J$1509)</f>
        <v/>
      </c>
      <c r="U1506">
        <f>IF([2]Entry!$K$1509="","",[2]Entry!$K$1509)</f>
        <v/>
      </c>
      <c r="V1506">
        <f>IF([2]Entry!$L$1509="","",[2]Entry!$L$1509)</f>
        <v/>
      </c>
      <c r="W1506">
        <f>IF([2]Entry!$M$1509="","",[2]Entry!$M$1509)</f>
        <v/>
      </c>
      <c r="X1506">
        <f>IF([2]Entry!$N$1509="","",[2]Entry!$N$1509)</f>
        <v/>
      </c>
      <c r="Y1506">
        <f>IF([2]Entry!$R$1509="","",[2]Entry!$R$1509)</f>
        <v/>
      </c>
    </row>
    <row r="1507">
      <c r="P1507">
        <f>IF([2]Entry!$C$1510="","",[2]Entry!$C$1510)</f>
        <v/>
      </c>
      <c r="Q1507">
        <f>IF([2]Entry!$D$1510="","",[2]Entry!$D$1510)</f>
        <v/>
      </c>
      <c r="R1507">
        <f>IF([2]Entry!$E$1510="","",[2]Entry!$E$1510)</f>
        <v/>
      </c>
      <c r="S1507">
        <f>IF([2]Entry!$G$1510="","",[2]Entry!$G$1510)</f>
        <v/>
      </c>
      <c r="T1507">
        <f>IF([2]Entry!$J$1510="","",[2]Entry!$J$1510)</f>
        <v/>
      </c>
      <c r="U1507">
        <f>IF([2]Entry!$K$1510="","",[2]Entry!$K$1510)</f>
        <v/>
      </c>
      <c r="V1507">
        <f>IF([2]Entry!$L$1510="","",[2]Entry!$L$1510)</f>
        <v/>
      </c>
      <c r="W1507">
        <f>IF([2]Entry!$M$1510="","",[2]Entry!$M$1510)</f>
        <v/>
      </c>
      <c r="X1507">
        <f>IF([2]Entry!$N$1510="","",[2]Entry!$N$1510)</f>
        <v/>
      </c>
      <c r="Y1507">
        <f>IF([2]Entry!$R$1510="","",[2]Entry!$R$1510)</f>
        <v/>
      </c>
    </row>
    <row r="1508">
      <c r="P1508">
        <f>IF([2]Entry!$C$1511="","",[2]Entry!$C$1511)</f>
        <v/>
      </c>
      <c r="Q1508">
        <f>IF([2]Entry!$D$1511="","",[2]Entry!$D$1511)</f>
        <v/>
      </c>
      <c r="R1508">
        <f>IF([2]Entry!$E$1511="","",[2]Entry!$E$1511)</f>
        <v/>
      </c>
      <c r="S1508">
        <f>IF([2]Entry!$G$1511="","",[2]Entry!$G$1511)</f>
        <v/>
      </c>
      <c r="T1508">
        <f>IF([2]Entry!$J$1511="","",[2]Entry!$J$1511)</f>
        <v/>
      </c>
      <c r="U1508">
        <f>IF([2]Entry!$K$1511="","",[2]Entry!$K$1511)</f>
        <v/>
      </c>
      <c r="V1508">
        <f>IF([2]Entry!$L$1511="","",[2]Entry!$L$1511)</f>
        <v/>
      </c>
      <c r="W1508">
        <f>IF([2]Entry!$M$1511="","",[2]Entry!$M$1511)</f>
        <v/>
      </c>
      <c r="X1508">
        <f>IF([2]Entry!$N$1511="","",[2]Entry!$N$1511)</f>
        <v/>
      </c>
      <c r="Y1508">
        <f>IF([2]Entry!$R$1511="","",[2]Entry!$R$1511)</f>
        <v/>
      </c>
    </row>
    <row r="1509">
      <c r="P1509">
        <f>IF([2]Entry!$C$1512="","",[2]Entry!$C$1512)</f>
        <v/>
      </c>
      <c r="Q1509">
        <f>IF([2]Entry!$D$1512="","",[2]Entry!$D$1512)</f>
        <v/>
      </c>
      <c r="R1509">
        <f>IF([2]Entry!$E$1512="","",[2]Entry!$E$1512)</f>
        <v/>
      </c>
      <c r="S1509">
        <f>IF([2]Entry!$G$1512="","",[2]Entry!$G$1512)</f>
        <v/>
      </c>
      <c r="T1509">
        <f>IF([2]Entry!$J$1512="","",[2]Entry!$J$1512)</f>
        <v/>
      </c>
      <c r="U1509">
        <f>IF([2]Entry!$K$1512="","",[2]Entry!$K$1512)</f>
        <v/>
      </c>
      <c r="V1509">
        <f>IF([2]Entry!$L$1512="","",[2]Entry!$L$1512)</f>
        <v/>
      </c>
      <c r="W1509">
        <f>IF([2]Entry!$M$1512="","",[2]Entry!$M$1512)</f>
        <v/>
      </c>
      <c r="X1509">
        <f>IF([2]Entry!$N$1512="","",[2]Entry!$N$1512)</f>
        <v/>
      </c>
      <c r="Y1509">
        <f>IF([2]Entry!$R$1512="","",[2]Entry!$R$1512)</f>
        <v/>
      </c>
    </row>
    <row r="1510">
      <c r="P1510">
        <f>IF([2]Entry!$C$1513="","",[2]Entry!$C$1513)</f>
        <v/>
      </c>
      <c r="Q1510">
        <f>IF([2]Entry!$D$1513="","",[2]Entry!$D$1513)</f>
        <v/>
      </c>
      <c r="R1510">
        <f>IF([2]Entry!$E$1513="","",[2]Entry!$E$1513)</f>
        <v/>
      </c>
      <c r="S1510">
        <f>IF([2]Entry!$G$1513="","",[2]Entry!$G$1513)</f>
        <v/>
      </c>
      <c r="T1510">
        <f>IF([2]Entry!$J$1513="","",[2]Entry!$J$1513)</f>
        <v/>
      </c>
      <c r="U1510">
        <f>IF([2]Entry!$K$1513="","",[2]Entry!$K$1513)</f>
        <v/>
      </c>
      <c r="V1510">
        <f>IF([2]Entry!$L$1513="","",[2]Entry!$L$1513)</f>
        <v/>
      </c>
      <c r="W1510">
        <f>IF([2]Entry!$M$1513="","",[2]Entry!$M$1513)</f>
        <v/>
      </c>
      <c r="X1510">
        <f>IF([2]Entry!$N$1513="","",[2]Entry!$N$1513)</f>
        <v/>
      </c>
      <c r="Y1510">
        <f>IF([2]Entry!$R$1513="","",[2]Entry!$R$1513)</f>
        <v/>
      </c>
    </row>
    <row r="1511">
      <c r="P1511">
        <f>IF([2]Entry!$C$1514="","",[2]Entry!$C$1514)</f>
        <v/>
      </c>
      <c r="Q1511">
        <f>IF([2]Entry!$D$1514="","",[2]Entry!$D$1514)</f>
        <v/>
      </c>
      <c r="R1511">
        <f>IF([2]Entry!$E$1514="","",[2]Entry!$E$1514)</f>
        <v/>
      </c>
      <c r="S1511">
        <f>IF([2]Entry!$G$1514="","",[2]Entry!$G$1514)</f>
        <v/>
      </c>
      <c r="T1511">
        <f>IF([2]Entry!$J$1514="","",[2]Entry!$J$1514)</f>
        <v/>
      </c>
      <c r="U1511">
        <f>IF([2]Entry!$K$1514="","",[2]Entry!$K$1514)</f>
        <v/>
      </c>
      <c r="V1511">
        <f>IF([2]Entry!$L$1514="","",[2]Entry!$L$1514)</f>
        <v/>
      </c>
      <c r="W1511">
        <f>IF([2]Entry!$M$1514="","",[2]Entry!$M$1514)</f>
        <v/>
      </c>
      <c r="X1511">
        <f>IF([2]Entry!$N$1514="","",[2]Entry!$N$1514)</f>
        <v/>
      </c>
      <c r="Y1511">
        <f>IF([2]Entry!$R$1514="","",[2]Entry!$R$1514)</f>
        <v/>
      </c>
    </row>
    <row r="1512">
      <c r="P1512">
        <f>IF([2]Entry!$C$1515="","",[2]Entry!$C$1515)</f>
        <v/>
      </c>
      <c r="Q1512">
        <f>IF([2]Entry!$D$1515="","",[2]Entry!$D$1515)</f>
        <v/>
      </c>
      <c r="R1512">
        <f>IF([2]Entry!$E$1515="","",[2]Entry!$E$1515)</f>
        <v/>
      </c>
      <c r="S1512">
        <f>IF([2]Entry!$G$1515="","",[2]Entry!$G$1515)</f>
        <v/>
      </c>
      <c r="T1512">
        <f>IF([2]Entry!$J$1515="","",[2]Entry!$J$1515)</f>
        <v/>
      </c>
      <c r="U1512">
        <f>IF([2]Entry!$K$1515="","",[2]Entry!$K$1515)</f>
        <v/>
      </c>
      <c r="V1512">
        <f>IF([2]Entry!$L$1515="","",[2]Entry!$L$1515)</f>
        <v/>
      </c>
      <c r="W1512">
        <f>IF([2]Entry!$M$1515="","",[2]Entry!$M$1515)</f>
        <v/>
      </c>
      <c r="X1512">
        <f>IF([2]Entry!$N$1515="","",[2]Entry!$N$1515)</f>
        <v/>
      </c>
      <c r="Y1512">
        <f>IF([2]Entry!$R$1515="","",[2]Entry!$R$1515)</f>
        <v/>
      </c>
    </row>
    <row r="1513">
      <c r="P1513">
        <f>IF([2]Entry!$C$1516="","",[2]Entry!$C$1516)</f>
        <v/>
      </c>
      <c r="Q1513">
        <f>IF([2]Entry!$D$1516="","",[2]Entry!$D$1516)</f>
        <v/>
      </c>
      <c r="R1513">
        <f>IF([2]Entry!$E$1516="","",[2]Entry!$E$1516)</f>
        <v/>
      </c>
      <c r="S1513">
        <f>IF([2]Entry!$G$1516="","",[2]Entry!$G$1516)</f>
        <v/>
      </c>
      <c r="T1513">
        <f>IF([2]Entry!$J$1516="","",[2]Entry!$J$1516)</f>
        <v/>
      </c>
      <c r="U1513">
        <f>IF([2]Entry!$K$1516="","",[2]Entry!$K$1516)</f>
        <v/>
      </c>
      <c r="V1513">
        <f>IF([2]Entry!$L$1516="","",[2]Entry!$L$1516)</f>
        <v/>
      </c>
      <c r="W1513">
        <f>IF([2]Entry!$M$1516="","",[2]Entry!$M$1516)</f>
        <v/>
      </c>
      <c r="X1513">
        <f>IF([2]Entry!$N$1516="","",[2]Entry!$N$1516)</f>
        <v/>
      </c>
      <c r="Y1513">
        <f>IF([2]Entry!$R$1516="","",[2]Entry!$R$1516)</f>
        <v/>
      </c>
    </row>
    <row r="1514">
      <c r="P1514">
        <f>IF([2]Entry!$C$1517="","",[2]Entry!$C$1517)</f>
        <v/>
      </c>
      <c r="Q1514">
        <f>IF([2]Entry!$D$1517="","",[2]Entry!$D$1517)</f>
        <v/>
      </c>
      <c r="R1514">
        <f>IF([2]Entry!$E$1517="","",[2]Entry!$E$1517)</f>
        <v/>
      </c>
      <c r="S1514">
        <f>IF([2]Entry!$G$1517="","",[2]Entry!$G$1517)</f>
        <v/>
      </c>
      <c r="T1514">
        <f>IF([2]Entry!$J$1517="","",[2]Entry!$J$1517)</f>
        <v/>
      </c>
      <c r="U1514">
        <f>IF([2]Entry!$K$1517="","",[2]Entry!$K$1517)</f>
        <v/>
      </c>
      <c r="V1514">
        <f>IF([2]Entry!$L$1517="","",[2]Entry!$L$1517)</f>
        <v/>
      </c>
      <c r="W1514">
        <f>IF([2]Entry!$M$1517="","",[2]Entry!$M$1517)</f>
        <v/>
      </c>
      <c r="X1514">
        <f>IF([2]Entry!$N$1517="","",[2]Entry!$N$1517)</f>
        <v/>
      </c>
      <c r="Y1514">
        <f>IF([2]Entry!$R$1517="","",[2]Entry!$R$1517)</f>
        <v/>
      </c>
    </row>
    <row r="1515">
      <c r="P1515">
        <f>IF([2]Entry!$C$1518="","",[2]Entry!$C$1518)</f>
        <v/>
      </c>
      <c r="Q1515">
        <f>IF([2]Entry!$D$1518="","",[2]Entry!$D$1518)</f>
        <v/>
      </c>
      <c r="R1515">
        <f>IF([2]Entry!$E$1518="","",[2]Entry!$E$1518)</f>
        <v/>
      </c>
      <c r="S1515">
        <f>IF([2]Entry!$G$1518="","",[2]Entry!$G$1518)</f>
        <v/>
      </c>
      <c r="T1515">
        <f>IF([2]Entry!$J$1518="","",[2]Entry!$J$1518)</f>
        <v/>
      </c>
      <c r="U1515">
        <f>IF([2]Entry!$K$1518="","",[2]Entry!$K$1518)</f>
        <v/>
      </c>
      <c r="V1515">
        <f>IF([2]Entry!$L$1518="","",[2]Entry!$L$1518)</f>
        <v/>
      </c>
      <c r="W1515">
        <f>IF([2]Entry!$M$1518="","",[2]Entry!$M$1518)</f>
        <v/>
      </c>
      <c r="X1515">
        <f>IF([2]Entry!$N$1518="","",[2]Entry!$N$1518)</f>
        <v/>
      </c>
      <c r="Y1515">
        <f>IF([2]Entry!$R$1518="","",[2]Entry!$R$1518)</f>
        <v/>
      </c>
    </row>
    <row r="1516">
      <c r="P1516">
        <f>IF([2]Entry!$C$1519="","",[2]Entry!$C$1519)</f>
        <v/>
      </c>
      <c r="Q1516">
        <f>IF([2]Entry!$D$1519="","",[2]Entry!$D$1519)</f>
        <v/>
      </c>
      <c r="R1516">
        <f>IF([2]Entry!$E$1519="","",[2]Entry!$E$1519)</f>
        <v/>
      </c>
      <c r="S1516">
        <f>IF([2]Entry!$G$1519="","",[2]Entry!$G$1519)</f>
        <v/>
      </c>
      <c r="T1516">
        <f>IF([2]Entry!$J$1519="","",[2]Entry!$J$1519)</f>
        <v/>
      </c>
      <c r="U1516">
        <f>IF([2]Entry!$K$1519="","",[2]Entry!$K$1519)</f>
        <v/>
      </c>
      <c r="V1516">
        <f>IF([2]Entry!$L$1519="","",[2]Entry!$L$1519)</f>
        <v/>
      </c>
      <c r="W1516">
        <f>IF([2]Entry!$M$1519="","",[2]Entry!$M$1519)</f>
        <v/>
      </c>
      <c r="X1516">
        <f>IF([2]Entry!$N$1519="","",[2]Entry!$N$1519)</f>
        <v/>
      </c>
      <c r="Y1516">
        <f>IF([2]Entry!$R$1519="","",[2]Entry!$R$1519)</f>
        <v/>
      </c>
    </row>
    <row r="1517">
      <c r="P1517">
        <f>IF([2]Entry!$C$1520="","",[2]Entry!$C$1520)</f>
        <v/>
      </c>
      <c r="Q1517">
        <f>IF([2]Entry!$D$1520="","",[2]Entry!$D$1520)</f>
        <v/>
      </c>
      <c r="R1517">
        <f>IF([2]Entry!$E$1520="","",[2]Entry!$E$1520)</f>
        <v/>
      </c>
      <c r="S1517">
        <f>IF([2]Entry!$G$1520="","",[2]Entry!$G$1520)</f>
        <v/>
      </c>
      <c r="T1517">
        <f>IF([2]Entry!$J$1520="","",[2]Entry!$J$1520)</f>
        <v/>
      </c>
      <c r="U1517">
        <f>IF([2]Entry!$K$1520="","",[2]Entry!$K$1520)</f>
        <v/>
      </c>
      <c r="V1517">
        <f>IF([2]Entry!$L$1520="","",[2]Entry!$L$1520)</f>
        <v/>
      </c>
      <c r="W1517">
        <f>IF([2]Entry!$M$1520="","",[2]Entry!$M$1520)</f>
        <v/>
      </c>
      <c r="X1517">
        <f>IF([2]Entry!$N$1520="","",[2]Entry!$N$1520)</f>
        <v/>
      </c>
      <c r="Y1517">
        <f>IF([2]Entry!$R$1520="","",[2]Entry!$R$1520)</f>
        <v/>
      </c>
    </row>
    <row r="1518">
      <c r="P1518">
        <f>IF([2]Entry!$C$1521="","",[2]Entry!$C$1521)</f>
        <v/>
      </c>
      <c r="Q1518">
        <f>IF([2]Entry!$D$1521="","",[2]Entry!$D$1521)</f>
        <v/>
      </c>
      <c r="R1518">
        <f>IF([2]Entry!$E$1521="","",[2]Entry!$E$1521)</f>
        <v/>
      </c>
      <c r="S1518">
        <f>IF([2]Entry!$G$1521="","",[2]Entry!$G$1521)</f>
        <v/>
      </c>
      <c r="T1518">
        <f>IF([2]Entry!$J$1521="","",[2]Entry!$J$1521)</f>
        <v/>
      </c>
      <c r="U1518">
        <f>IF([2]Entry!$K$1521="","",[2]Entry!$K$1521)</f>
        <v/>
      </c>
      <c r="V1518">
        <f>IF([2]Entry!$L$1521="","",[2]Entry!$L$1521)</f>
        <v/>
      </c>
      <c r="W1518">
        <f>IF([2]Entry!$M$1521="","",[2]Entry!$M$1521)</f>
        <v/>
      </c>
      <c r="X1518">
        <f>IF([2]Entry!$N$1521="","",[2]Entry!$N$1521)</f>
        <v/>
      </c>
      <c r="Y1518">
        <f>IF([2]Entry!$R$1521="","",[2]Entry!$R$1521)</f>
        <v/>
      </c>
    </row>
    <row r="1519">
      <c r="P1519">
        <f>IF([2]Entry!$C$1522="","",[2]Entry!$C$1522)</f>
        <v/>
      </c>
      <c r="Q1519">
        <f>IF([2]Entry!$D$1522="","",[2]Entry!$D$1522)</f>
        <v/>
      </c>
      <c r="R1519">
        <f>IF([2]Entry!$E$1522="","",[2]Entry!$E$1522)</f>
        <v/>
      </c>
      <c r="S1519">
        <f>IF([2]Entry!$G$1522="","",[2]Entry!$G$1522)</f>
        <v/>
      </c>
      <c r="T1519">
        <f>IF([2]Entry!$J$1522="","",[2]Entry!$J$1522)</f>
        <v/>
      </c>
      <c r="U1519">
        <f>IF([2]Entry!$K$1522="","",[2]Entry!$K$1522)</f>
        <v/>
      </c>
      <c r="V1519">
        <f>IF([2]Entry!$L$1522="","",[2]Entry!$L$1522)</f>
        <v/>
      </c>
      <c r="W1519">
        <f>IF([2]Entry!$M$1522="","",[2]Entry!$M$1522)</f>
        <v/>
      </c>
      <c r="X1519">
        <f>IF([2]Entry!$N$1522="","",[2]Entry!$N$1522)</f>
        <v/>
      </c>
      <c r="Y1519">
        <f>IF([2]Entry!$R$1522="","",[2]Entry!$R$1522)</f>
        <v/>
      </c>
    </row>
    <row r="1520">
      <c r="P1520">
        <f>IF([2]Entry!$C$1523="","",[2]Entry!$C$1523)</f>
        <v/>
      </c>
      <c r="Q1520">
        <f>IF([2]Entry!$D$1523="","",[2]Entry!$D$1523)</f>
        <v/>
      </c>
      <c r="R1520">
        <f>IF([2]Entry!$E$1523="","",[2]Entry!$E$1523)</f>
        <v/>
      </c>
      <c r="S1520">
        <f>IF([2]Entry!$G$1523="","",[2]Entry!$G$1523)</f>
        <v/>
      </c>
      <c r="T1520">
        <f>IF([2]Entry!$J$1523="","",[2]Entry!$J$1523)</f>
        <v/>
      </c>
      <c r="U1520">
        <f>IF([2]Entry!$K$1523="","",[2]Entry!$K$1523)</f>
        <v/>
      </c>
      <c r="V1520">
        <f>IF([2]Entry!$L$1523="","",[2]Entry!$L$1523)</f>
        <v/>
      </c>
      <c r="W1520">
        <f>IF([2]Entry!$M$1523="","",[2]Entry!$M$1523)</f>
        <v/>
      </c>
      <c r="X1520">
        <f>IF([2]Entry!$N$1523="","",[2]Entry!$N$1523)</f>
        <v/>
      </c>
      <c r="Y1520">
        <f>IF([2]Entry!$R$1523="","",[2]Entry!$R$1523)</f>
        <v/>
      </c>
    </row>
    <row r="1521">
      <c r="P1521">
        <f>IF([2]Entry!$C$1524="","",[2]Entry!$C$1524)</f>
        <v/>
      </c>
      <c r="Q1521">
        <f>IF([2]Entry!$D$1524="","",[2]Entry!$D$1524)</f>
        <v/>
      </c>
      <c r="R1521">
        <f>IF([2]Entry!$E$1524="","",[2]Entry!$E$1524)</f>
        <v/>
      </c>
      <c r="S1521">
        <f>IF([2]Entry!$G$1524="","",[2]Entry!$G$1524)</f>
        <v/>
      </c>
      <c r="T1521">
        <f>IF([2]Entry!$J$1524="","",[2]Entry!$J$1524)</f>
        <v/>
      </c>
      <c r="U1521">
        <f>IF([2]Entry!$K$1524="","",[2]Entry!$K$1524)</f>
        <v/>
      </c>
      <c r="V1521">
        <f>IF([2]Entry!$L$1524="","",[2]Entry!$L$1524)</f>
        <v/>
      </c>
      <c r="W1521">
        <f>IF([2]Entry!$M$1524="","",[2]Entry!$M$1524)</f>
        <v/>
      </c>
      <c r="X1521">
        <f>IF([2]Entry!$N$1524="","",[2]Entry!$N$1524)</f>
        <v/>
      </c>
      <c r="Y1521">
        <f>IF([2]Entry!$R$1524="","",[2]Entry!$R$1524)</f>
        <v/>
      </c>
    </row>
    <row r="1522">
      <c r="P1522">
        <f>IF([2]Entry!$C$1525="","",[2]Entry!$C$1525)</f>
        <v/>
      </c>
      <c r="Q1522">
        <f>IF([2]Entry!$D$1525="","",[2]Entry!$D$1525)</f>
        <v/>
      </c>
      <c r="R1522">
        <f>IF([2]Entry!$E$1525="","",[2]Entry!$E$1525)</f>
        <v/>
      </c>
      <c r="S1522">
        <f>IF([2]Entry!$G$1525="","",[2]Entry!$G$1525)</f>
        <v/>
      </c>
      <c r="T1522">
        <f>IF([2]Entry!$J$1525="","",[2]Entry!$J$1525)</f>
        <v/>
      </c>
      <c r="U1522">
        <f>IF([2]Entry!$K$1525="","",[2]Entry!$K$1525)</f>
        <v/>
      </c>
      <c r="V1522">
        <f>IF([2]Entry!$L$1525="","",[2]Entry!$L$1525)</f>
        <v/>
      </c>
      <c r="W1522">
        <f>IF([2]Entry!$M$1525="","",[2]Entry!$M$1525)</f>
        <v/>
      </c>
      <c r="X1522">
        <f>IF([2]Entry!$N$1525="","",[2]Entry!$N$1525)</f>
        <v/>
      </c>
      <c r="Y1522">
        <f>IF([2]Entry!$R$1525="","",[2]Entry!$R$1525)</f>
        <v/>
      </c>
    </row>
    <row r="1523">
      <c r="P1523">
        <f>IF([2]Entry!$C$1526="","",[2]Entry!$C$1526)</f>
        <v/>
      </c>
      <c r="Q1523">
        <f>IF([2]Entry!$D$1526="","",[2]Entry!$D$1526)</f>
        <v/>
      </c>
      <c r="R1523">
        <f>IF([2]Entry!$E$1526="","",[2]Entry!$E$1526)</f>
        <v/>
      </c>
      <c r="S1523">
        <f>IF([2]Entry!$G$1526="","",[2]Entry!$G$1526)</f>
        <v/>
      </c>
      <c r="T1523">
        <f>IF([2]Entry!$J$1526="","",[2]Entry!$J$1526)</f>
        <v/>
      </c>
      <c r="U1523">
        <f>IF([2]Entry!$K$1526="","",[2]Entry!$K$1526)</f>
        <v/>
      </c>
      <c r="V1523">
        <f>IF([2]Entry!$L$1526="","",[2]Entry!$L$1526)</f>
        <v/>
      </c>
      <c r="W1523">
        <f>IF([2]Entry!$M$1526="","",[2]Entry!$M$1526)</f>
        <v/>
      </c>
      <c r="X1523">
        <f>IF([2]Entry!$N$1526="","",[2]Entry!$N$1526)</f>
        <v/>
      </c>
      <c r="Y1523">
        <f>IF([2]Entry!$R$1526="","",[2]Entry!$R$1526)</f>
        <v/>
      </c>
    </row>
    <row r="1524">
      <c r="P1524">
        <f>IF([2]Entry!$C$1527="","",[2]Entry!$C$1527)</f>
        <v/>
      </c>
      <c r="Q1524">
        <f>IF([2]Entry!$D$1527="","",[2]Entry!$D$1527)</f>
        <v/>
      </c>
      <c r="R1524">
        <f>IF([2]Entry!$E$1527="","",[2]Entry!$E$1527)</f>
        <v/>
      </c>
      <c r="S1524">
        <f>IF([2]Entry!$G$1527="","",[2]Entry!$G$1527)</f>
        <v/>
      </c>
      <c r="T1524">
        <f>IF([2]Entry!$J$1527="","",[2]Entry!$J$1527)</f>
        <v/>
      </c>
      <c r="U1524">
        <f>IF([2]Entry!$K$1527="","",[2]Entry!$K$1527)</f>
        <v/>
      </c>
      <c r="V1524">
        <f>IF([2]Entry!$L$1527="","",[2]Entry!$L$1527)</f>
        <v/>
      </c>
      <c r="W1524">
        <f>IF([2]Entry!$M$1527="","",[2]Entry!$M$1527)</f>
        <v/>
      </c>
      <c r="X1524">
        <f>IF([2]Entry!$N$1527="","",[2]Entry!$N$1527)</f>
        <v/>
      </c>
      <c r="Y1524">
        <f>IF([2]Entry!$R$1527="","",[2]Entry!$R$1527)</f>
        <v/>
      </c>
    </row>
    <row r="1525">
      <c r="P1525">
        <f>IF([2]Entry!$C$1528="","",[2]Entry!$C$1528)</f>
        <v/>
      </c>
      <c r="Q1525">
        <f>IF([2]Entry!$D$1528="","",[2]Entry!$D$1528)</f>
        <v/>
      </c>
      <c r="R1525">
        <f>IF([2]Entry!$E$1528="","",[2]Entry!$E$1528)</f>
        <v/>
      </c>
      <c r="S1525">
        <f>IF([2]Entry!$G$1528="","",[2]Entry!$G$1528)</f>
        <v/>
      </c>
      <c r="T1525">
        <f>IF([2]Entry!$J$1528="","",[2]Entry!$J$1528)</f>
        <v/>
      </c>
      <c r="U1525">
        <f>IF([2]Entry!$K$1528="","",[2]Entry!$K$1528)</f>
        <v/>
      </c>
      <c r="V1525">
        <f>IF([2]Entry!$L$1528="","",[2]Entry!$L$1528)</f>
        <v/>
      </c>
      <c r="W1525">
        <f>IF([2]Entry!$M$1528="","",[2]Entry!$M$1528)</f>
        <v/>
      </c>
      <c r="X1525">
        <f>IF([2]Entry!$N$1528="","",[2]Entry!$N$1528)</f>
        <v/>
      </c>
      <c r="Y1525">
        <f>IF([2]Entry!$R$1528="","",[2]Entry!$R$1528)</f>
        <v/>
      </c>
    </row>
    <row r="1526">
      <c r="P1526">
        <f>IF([2]Entry!$C$1529="","",[2]Entry!$C$1529)</f>
        <v/>
      </c>
      <c r="Q1526">
        <f>IF([2]Entry!$D$1529="","",[2]Entry!$D$1529)</f>
        <v/>
      </c>
      <c r="R1526">
        <f>IF([2]Entry!$E$1529="","",[2]Entry!$E$1529)</f>
        <v/>
      </c>
      <c r="S1526">
        <f>IF([2]Entry!$G$1529="","",[2]Entry!$G$1529)</f>
        <v/>
      </c>
      <c r="T1526">
        <f>IF([2]Entry!$J$1529="","",[2]Entry!$J$1529)</f>
        <v/>
      </c>
      <c r="U1526">
        <f>IF([2]Entry!$K$1529="","",[2]Entry!$K$1529)</f>
        <v/>
      </c>
      <c r="V1526">
        <f>IF([2]Entry!$L$1529="","",[2]Entry!$L$1529)</f>
        <v/>
      </c>
      <c r="W1526">
        <f>IF([2]Entry!$M$1529="","",[2]Entry!$M$1529)</f>
        <v/>
      </c>
      <c r="X1526">
        <f>IF([2]Entry!$N$1529="","",[2]Entry!$N$1529)</f>
        <v/>
      </c>
      <c r="Y1526">
        <f>IF([2]Entry!$R$1529="","",[2]Entry!$R$1529)</f>
        <v/>
      </c>
    </row>
    <row r="1527">
      <c r="P1527">
        <f>IF([2]Entry!$C$1530="","",[2]Entry!$C$1530)</f>
        <v/>
      </c>
      <c r="Q1527">
        <f>IF([2]Entry!$D$1530="","",[2]Entry!$D$1530)</f>
        <v/>
      </c>
      <c r="R1527">
        <f>IF([2]Entry!$E$1530="","",[2]Entry!$E$1530)</f>
        <v/>
      </c>
      <c r="S1527">
        <f>IF([2]Entry!$G$1530="","",[2]Entry!$G$1530)</f>
        <v/>
      </c>
      <c r="T1527">
        <f>IF([2]Entry!$J$1530="","",[2]Entry!$J$1530)</f>
        <v/>
      </c>
      <c r="U1527">
        <f>IF([2]Entry!$K$1530="","",[2]Entry!$K$1530)</f>
        <v/>
      </c>
      <c r="V1527">
        <f>IF([2]Entry!$L$1530="","",[2]Entry!$L$1530)</f>
        <v/>
      </c>
      <c r="W1527">
        <f>IF([2]Entry!$M$1530="","",[2]Entry!$M$1530)</f>
        <v/>
      </c>
      <c r="X1527">
        <f>IF([2]Entry!$N$1530="","",[2]Entry!$N$1530)</f>
        <v/>
      </c>
      <c r="Y1527">
        <f>IF([2]Entry!$R$1530="","",[2]Entry!$R$1530)</f>
        <v/>
      </c>
    </row>
    <row r="1528">
      <c r="P1528">
        <f>IF([2]Entry!$C$1531="","",[2]Entry!$C$1531)</f>
        <v/>
      </c>
      <c r="Q1528">
        <f>IF([2]Entry!$D$1531="","",[2]Entry!$D$1531)</f>
        <v/>
      </c>
      <c r="R1528">
        <f>IF([2]Entry!$E$1531="","",[2]Entry!$E$1531)</f>
        <v/>
      </c>
      <c r="S1528">
        <f>IF([2]Entry!$G$1531="","",[2]Entry!$G$1531)</f>
        <v/>
      </c>
      <c r="T1528">
        <f>IF([2]Entry!$J$1531="","",[2]Entry!$J$1531)</f>
        <v/>
      </c>
      <c r="U1528">
        <f>IF([2]Entry!$K$1531="","",[2]Entry!$K$1531)</f>
        <v/>
      </c>
      <c r="V1528">
        <f>IF([2]Entry!$L$1531="","",[2]Entry!$L$1531)</f>
        <v/>
      </c>
      <c r="W1528">
        <f>IF([2]Entry!$M$1531="","",[2]Entry!$M$1531)</f>
        <v/>
      </c>
      <c r="X1528">
        <f>IF([2]Entry!$N$1531="","",[2]Entry!$N$1531)</f>
        <v/>
      </c>
      <c r="Y1528">
        <f>IF([2]Entry!$R$1531="","",[2]Entry!$R$1531)</f>
        <v/>
      </c>
    </row>
    <row r="1529">
      <c r="P1529">
        <f>IF([2]Entry!$C$1532="","",[2]Entry!$C$1532)</f>
        <v/>
      </c>
      <c r="Q1529">
        <f>IF([2]Entry!$D$1532="","",[2]Entry!$D$1532)</f>
        <v/>
      </c>
      <c r="R1529">
        <f>IF([2]Entry!$E$1532="","",[2]Entry!$E$1532)</f>
        <v/>
      </c>
      <c r="S1529">
        <f>IF([2]Entry!$G$1532="","",[2]Entry!$G$1532)</f>
        <v/>
      </c>
      <c r="T1529">
        <f>IF([2]Entry!$J$1532="","",[2]Entry!$J$1532)</f>
        <v/>
      </c>
      <c r="U1529">
        <f>IF([2]Entry!$K$1532="","",[2]Entry!$K$1532)</f>
        <v/>
      </c>
      <c r="V1529">
        <f>IF([2]Entry!$L$1532="","",[2]Entry!$L$1532)</f>
        <v/>
      </c>
      <c r="W1529">
        <f>IF([2]Entry!$M$1532="","",[2]Entry!$M$1532)</f>
        <v/>
      </c>
      <c r="X1529">
        <f>IF([2]Entry!$N$1532="","",[2]Entry!$N$1532)</f>
        <v/>
      </c>
      <c r="Y1529">
        <f>IF([2]Entry!$R$1532="","",[2]Entry!$R$1532)</f>
        <v/>
      </c>
    </row>
    <row r="1530">
      <c r="P1530">
        <f>IF([2]Entry!$C$1533="","",[2]Entry!$C$1533)</f>
        <v/>
      </c>
      <c r="Q1530">
        <f>IF([2]Entry!$D$1533="","",[2]Entry!$D$1533)</f>
        <v/>
      </c>
      <c r="R1530">
        <f>IF([2]Entry!$E$1533="","",[2]Entry!$E$1533)</f>
        <v/>
      </c>
      <c r="S1530">
        <f>IF([2]Entry!$G$1533="","",[2]Entry!$G$1533)</f>
        <v/>
      </c>
      <c r="T1530">
        <f>IF([2]Entry!$J$1533="","",[2]Entry!$J$1533)</f>
        <v/>
      </c>
      <c r="U1530">
        <f>IF([2]Entry!$K$1533="","",[2]Entry!$K$1533)</f>
        <v/>
      </c>
      <c r="V1530">
        <f>IF([2]Entry!$L$1533="","",[2]Entry!$L$1533)</f>
        <v/>
      </c>
      <c r="W1530">
        <f>IF([2]Entry!$M$1533="","",[2]Entry!$M$1533)</f>
        <v/>
      </c>
      <c r="X1530">
        <f>IF([2]Entry!$N$1533="","",[2]Entry!$N$1533)</f>
        <v/>
      </c>
      <c r="Y1530">
        <f>IF([2]Entry!$R$1533="","",[2]Entry!$R$1533)</f>
        <v/>
      </c>
    </row>
    <row r="1531">
      <c r="P1531">
        <f>IF([2]Entry!$C$1534="","",[2]Entry!$C$1534)</f>
        <v/>
      </c>
      <c r="Q1531">
        <f>IF([2]Entry!$D$1534="","",[2]Entry!$D$1534)</f>
        <v/>
      </c>
      <c r="R1531">
        <f>IF([2]Entry!$E$1534="","",[2]Entry!$E$1534)</f>
        <v/>
      </c>
      <c r="S1531">
        <f>IF([2]Entry!$G$1534="","",[2]Entry!$G$1534)</f>
        <v/>
      </c>
      <c r="T1531">
        <f>IF([2]Entry!$J$1534="","",[2]Entry!$J$1534)</f>
        <v/>
      </c>
      <c r="U1531">
        <f>IF([2]Entry!$K$1534="","",[2]Entry!$K$1534)</f>
        <v/>
      </c>
      <c r="V1531">
        <f>IF([2]Entry!$L$1534="","",[2]Entry!$L$1534)</f>
        <v/>
      </c>
      <c r="W1531">
        <f>IF([2]Entry!$M$1534="","",[2]Entry!$M$1534)</f>
        <v/>
      </c>
      <c r="X1531">
        <f>IF([2]Entry!$N$1534="","",[2]Entry!$N$1534)</f>
        <v/>
      </c>
      <c r="Y1531">
        <f>IF([2]Entry!$R$1534="","",[2]Entry!$R$1534)</f>
        <v/>
      </c>
    </row>
    <row r="1532">
      <c r="P1532">
        <f>IF([2]Entry!$C$1535="","",[2]Entry!$C$1535)</f>
        <v/>
      </c>
      <c r="Q1532">
        <f>IF([2]Entry!$D$1535="","",[2]Entry!$D$1535)</f>
        <v/>
      </c>
      <c r="R1532">
        <f>IF([2]Entry!$E$1535="","",[2]Entry!$E$1535)</f>
        <v/>
      </c>
      <c r="S1532">
        <f>IF([2]Entry!$G$1535="","",[2]Entry!$G$1535)</f>
        <v/>
      </c>
      <c r="T1532">
        <f>IF([2]Entry!$J$1535="","",[2]Entry!$J$1535)</f>
        <v/>
      </c>
      <c r="U1532">
        <f>IF([2]Entry!$K$1535="","",[2]Entry!$K$1535)</f>
        <v/>
      </c>
      <c r="V1532">
        <f>IF([2]Entry!$L$1535="","",[2]Entry!$L$1535)</f>
        <v/>
      </c>
      <c r="W1532">
        <f>IF([2]Entry!$M$1535="","",[2]Entry!$M$1535)</f>
        <v/>
      </c>
      <c r="X1532">
        <f>IF([2]Entry!$N$1535="","",[2]Entry!$N$1535)</f>
        <v/>
      </c>
      <c r="Y1532">
        <f>IF([2]Entry!$R$1535="","",[2]Entry!$R$1535)</f>
        <v/>
      </c>
    </row>
    <row r="1533">
      <c r="P1533">
        <f>IF([2]Entry!$C$1536="","",[2]Entry!$C$1536)</f>
        <v/>
      </c>
      <c r="Q1533">
        <f>IF([2]Entry!$D$1536="","",[2]Entry!$D$1536)</f>
        <v/>
      </c>
      <c r="R1533">
        <f>IF([2]Entry!$E$1536="","",[2]Entry!$E$1536)</f>
        <v/>
      </c>
      <c r="S1533">
        <f>IF([2]Entry!$G$1536="","",[2]Entry!$G$1536)</f>
        <v/>
      </c>
      <c r="T1533">
        <f>IF([2]Entry!$J$1536="","",[2]Entry!$J$1536)</f>
        <v/>
      </c>
      <c r="U1533">
        <f>IF([2]Entry!$K$1536="","",[2]Entry!$K$1536)</f>
        <v/>
      </c>
      <c r="V1533">
        <f>IF([2]Entry!$L$1536="","",[2]Entry!$L$1536)</f>
        <v/>
      </c>
      <c r="W1533">
        <f>IF([2]Entry!$M$1536="","",[2]Entry!$M$1536)</f>
        <v/>
      </c>
      <c r="X1533">
        <f>IF([2]Entry!$N$1536="","",[2]Entry!$N$1536)</f>
        <v/>
      </c>
      <c r="Y1533">
        <f>IF([2]Entry!$R$1536="","",[2]Entry!$R$1536)</f>
        <v/>
      </c>
    </row>
    <row r="1534">
      <c r="P1534">
        <f>IF([2]Entry!$C$1537="","",[2]Entry!$C$1537)</f>
        <v/>
      </c>
      <c r="Q1534">
        <f>IF([2]Entry!$D$1537="","",[2]Entry!$D$1537)</f>
        <v/>
      </c>
      <c r="R1534">
        <f>IF([2]Entry!$E$1537="","",[2]Entry!$E$1537)</f>
        <v/>
      </c>
      <c r="S1534">
        <f>IF([2]Entry!$G$1537="","",[2]Entry!$G$1537)</f>
        <v/>
      </c>
      <c r="T1534">
        <f>IF([2]Entry!$J$1537="","",[2]Entry!$J$1537)</f>
        <v/>
      </c>
      <c r="U1534">
        <f>IF([2]Entry!$K$1537="","",[2]Entry!$K$1537)</f>
        <v/>
      </c>
      <c r="V1534">
        <f>IF([2]Entry!$L$1537="","",[2]Entry!$L$1537)</f>
        <v/>
      </c>
      <c r="W1534">
        <f>IF([2]Entry!$M$1537="","",[2]Entry!$M$1537)</f>
        <v/>
      </c>
      <c r="X1534">
        <f>IF([2]Entry!$N$1537="","",[2]Entry!$N$1537)</f>
        <v/>
      </c>
      <c r="Y1534">
        <f>IF([2]Entry!$R$1537="","",[2]Entry!$R$1537)</f>
        <v/>
      </c>
    </row>
    <row r="1535">
      <c r="P1535">
        <f>IF([2]Entry!$C$1538="","",[2]Entry!$C$1538)</f>
        <v/>
      </c>
      <c r="Q1535">
        <f>IF([2]Entry!$D$1538="","",[2]Entry!$D$1538)</f>
        <v/>
      </c>
      <c r="R1535">
        <f>IF([2]Entry!$E$1538="","",[2]Entry!$E$1538)</f>
        <v/>
      </c>
      <c r="S1535">
        <f>IF([2]Entry!$G$1538="","",[2]Entry!$G$1538)</f>
        <v/>
      </c>
      <c r="T1535">
        <f>IF([2]Entry!$J$1538="","",[2]Entry!$J$1538)</f>
        <v/>
      </c>
      <c r="U1535">
        <f>IF([2]Entry!$K$1538="","",[2]Entry!$K$1538)</f>
        <v/>
      </c>
      <c r="V1535">
        <f>IF([2]Entry!$L$1538="","",[2]Entry!$L$1538)</f>
        <v/>
      </c>
      <c r="W1535">
        <f>IF([2]Entry!$M$1538="","",[2]Entry!$M$1538)</f>
        <v/>
      </c>
      <c r="X1535">
        <f>IF([2]Entry!$N$1538="","",[2]Entry!$N$1538)</f>
        <v/>
      </c>
      <c r="Y1535">
        <f>IF([2]Entry!$R$1538="","",[2]Entry!$R$1538)</f>
        <v/>
      </c>
    </row>
    <row r="1536">
      <c r="P1536">
        <f>IF([2]Entry!$C$1539="","",[2]Entry!$C$1539)</f>
        <v/>
      </c>
      <c r="Q1536">
        <f>IF([2]Entry!$D$1539="","",[2]Entry!$D$1539)</f>
        <v/>
      </c>
      <c r="R1536">
        <f>IF([2]Entry!$E$1539="","",[2]Entry!$E$1539)</f>
        <v/>
      </c>
      <c r="S1536">
        <f>IF([2]Entry!$G$1539="","",[2]Entry!$G$1539)</f>
        <v/>
      </c>
      <c r="T1536">
        <f>IF([2]Entry!$J$1539="","",[2]Entry!$J$1539)</f>
        <v/>
      </c>
      <c r="U1536">
        <f>IF([2]Entry!$K$1539="","",[2]Entry!$K$1539)</f>
        <v/>
      </c>
      <c r="V1536">
        <f>IF([2]Entry!$L$1539="","",[2]Entry!$L$1539)</f>
        <v/>
      </c>
      <c r="W1536">
        <f>IF([2]Entry!$M$1539="","",[2]Entry!$M$1539)</f>
        <v/>
      </c>
      <c r="X1536">
        <f>IF([2]Entry!$N$1539="","",[2]Entry!$N$1539)</f>
        <v/>
      </c>
      <c r="Y1536">
        <f>IF([2]Entry!$R$1539="","",[2]Entry!$R$1539)</f>
        <v/>
      </c>
    </row>
    <row r="1537">
      <c r="P1537">
        <f>IF([2]Entry!$C$1540="","",[2]Entry!$C$1540)</f>
        <v/>
      </c>
      <c r="Q1537">
        <f>IF([2]Entry!$D$1540="","",[2]Entry!$D$1540)</f>
        <v/>
      </c>
      <c r="R1537">
        <f>IF([2]Entry!$E$1540="","",[2]Entry!$E$1540)</f>
        <v/>
      </c>
      <c r="S1537">
        <f>IF([2]Entry!$G$1540="","",[2]Entry!$G$1540)</f>
        <v/>
      </c>
      <c r="T1537">
        <f>IF([2]Entry!$J$1540="","",[2]Entry!$J$1540)</f>
        <v/>
      </c>
      <c r="U1537">
        <f>IF([2]Entry!$K$1540="","",[2]Entry!$K$1540)</f>
        <v/>
      </c>
      <c r="V1537">
        <f>IF([2]Entry!$L$1540="","",[2]Entry!$L$1540)</f>
        <v/>
      </c>
      <c r="W1537">
        <f>IF([2]Entry!$M$1540="","",[2]Entry!$M$1540)</f>
        <v/>
      </c>
      <c r="X1537">
        <f>IF([2]Entry!$N$1540="","",[2]Entry!$N$1540)</f>
        <v/>
      </c>
      <c r="Y1537">
        <f>IF([2]Entry!$R$1540="","",[2]Entry!$R$1540)</f>
        <v/>
      </c>
    </row>
    <row r="1538">
      <c r="P1538">
        <f>IF([2]Entry!$C$1541="","",[2]Entry!$C$1541)</f>
        <v/>
      </c>
      <c r="Q1538">
        <f>IF([2]Entry!$D$1541="","",[2]Entry!$D$1541)</f>
        <v/>
      </c>
      <c r="R1538">
        <f>IF([2]Entry!$E$1541="","",[2]Entry!$E$1541)</f>
        <v/>
      </c>
      <c r="S1538">
        <f>IF([2]Entry!$G$1541="","",[2]Entry!$G$1541)</f>
        <v/>
      </c>
      <c r="T1538">
        <f>IF([2]Entry!$J$1541="","",[2]Entry!$J$1541)</f>
        <v/>
      </c>
      <c r="U1538">
        <f>IF([2]Entry!$K$1541="","",[2]Entry!$K$1541)</f>
        <v/>
      </c>
      <c r="V1538">
        <f>IF([2]Entry!$L$1541="","",[2]Entry!$L$1541)</f>
        <v/>
      </c>
      <c r="W1538">
        <f>IF([2]Entry!$M$1541="","",[2]Entry!$M$1541)</f>
        <v/>
      </c>
      <c r="X1538">
        <f>IF([2]Entry!$N$1541="","",[2]Entry!$N$1541)</f>
        <v/>
      </c>
      <c r="Y1538">
        <f>IF([2]Entry!$R$1541="","",[2]Entry!$R$1541)</f>
        <v/>
      </c>
    </row>
    <row r="1539">
      <c r="P1539">
        <f>IF([2]Entry!$C$1542="","",[2]Entry!$C$1542)</f>
        <v/>
      </c>
      <c r="Q1539">
        <f>IF([2]Entry!$D$1542="","",[2]Entry!$D$1542)</f>
        <v/>
      </c>
      <c r="R1539">
        <f>IF([2]Entry!$E$1542="","",[2]Entry!$E$1542)</f>
        <v/>
      </c>
      <c r="S1539">
        <f>IF([2]Entry!$G$1542="","",[2]Entry!$G$1542)</f>
        <v/>
      </c>
      <c r="T1539">
        <f>IF([2]Entry!$J$1542="","",[2]Entry!$J$1542)</f>
        <v/>
      </c>
      <c r="U1539">
        <f>IF([2]Entry!$K$1542="","",[2]Entry!$K$1542)</f>
        <v/>
      </c>
      <c r="V1539">
        <f>IF([2]Entry!$L$1542="","",[2]Entry!$L$1542)</f>
        <v/>
      </c>
      <c r="W1539">
        <f>IF([2]Entry!$M$1542="","",[2]Entry!$M$1542)</f>
        <v/>
      </c>
      <c r="X1539">
        <f>IF([2]Entry!$N$1542="","",[2]Entry!$N$1542)</f>
        <v/>
      </c>
      <c r="Y1539">
        <f>IF([2]Entry!$R$1542="","",[2]Entry!$R$1542)</f>
        <v/>
      </c>
    </row>
    <row r="1540">
      <c r="P1540">
        <f>IF([2]Entry!$C$1543="","",[2]Entry!$C$1543)</f>
        <v/>
      </c>
      <c r="Q1540">
        <f>IF([2]Entry!$D$1543="","",[2]Entry!$D$1543)</f>
        <v/>
      </c>
      <c r="R1540">
        <f>IF([2]Entry!$E$1543="","",[2]Entry!$E$1543)</f>
        <v/>
      </c>
      <c r="S1540">
        <f>IF([2]Entry!$G$1543="","",[2]Entry!$G$1543)</f>
        <v/>
      </c>
      <c r="T1540">
        <f>IF([2]Entry!$J$1543="","",[2]Entry!$J$1543)</f>
        <v/>
      </c>
      <c r="U1540">
        <f>IF([2]Entry!$K$1543="","",[2]Entry!$K$1543)</f>
        <v/>
      </c>
      <c r="V1540">
        <f>IF([2]Entry!$L$1543="","",[2]Entry!$L$1543)</f>
        <v/>
      </c>
      <c r="W1540">
        <f>IF([2]Entry!$M$1543="","",[2]Entry!$M$1543)</f>
        <v/>
      </c>
      <c r="X1540">
        <f>IF([2]Entry!$N$1543="","",[2]Entry!$N$1543)</f>
        <v/>
      </c>
      <c r="Y1540">
        <f>IF([2]Entry!$R$1543="","",[2]Entry!$R$1543)</f>
        <v/>
      </c>
    </row>
    <row r="1541">
      <c r="P1541">
        <f>IF([2]Entry!$C$1544="","",[2]Entry!$C$1544)</f>
        <v/>
      </c>
      <c r="Q1541">
        <f>IF([2]Entry!$D$1544="","",[2]Entry!$D$1544)</f>
        <v/>
      </c>
      <c r="R1541">
        <f>IF([2]Entry!$E$1544="","",[2]Entry!$E$1544)</f>
        <v/>
      </c>
      <c r="S1541">
        <f>IF([2]Entry!$G$1544="","",[2]Entry!$G$1544)</f>
        <v/>
      </c>
      <c r="T1541">
        <f>IF([2]Entry!$J$1544="","",[2]Entry!$J$1544)</f>
        <v/>
      </c>
      <c r="U1541">
        <f>IF([2]Entry!$K$1544="","",[2]Entry!$K$1544)</f>
        <v/>
      </c>
      <c r="V1541">
        <f>IF([2]Entry!$L$1544="","",[2]Entry!$L$1544)</f>
        <v/>
      </c>
      <c r="W1541">
        <f>IF([2]Entry!$M$1544="","",[2]Entry!$M$1544)</f>
        <v/>
      </c>
      <c r="X1541">
        <f>IF([2]Entry!$N$1544="","",[2]Entry!$N$1544)</f>
        <v/>
      </c>
      <c r="Y1541">
        <f>IF([2]Entry!$R$1544="","",[2]Entry!$R$1544)</f>
        <v/>
      </c>
    </row>
    <row r="1542">
      <c r="P1542">
        <f>IF([2]Entry!$C$1545="","",[2]Entry!$C$1545)</f>
        <v/>
      </c>
      <c r="Q1542">
        <f>IF([2]Entry!$D$1545="","",[2]Entry!$D$1545)</f>
        <v/>
      </c>
      <c r="R1542">
        <f>IF([2]Entry!$E$1545="","",[2]Entry!$E$1545)</f>
        <v/>
      </c>
      <c r="S1542">
        <f>IF([2]Entry!$G$1545="","",[2]Entry!$G$1545)</f>
        <v/>
      </c>
      <c r="T1542">
        <f>IF([2]Entry!$J$1545="","",[2]Entry!$J$1545)</f>
        <v/>
      </c>
      <c r="U1542">
        <f>IF([2]Entry!$K$1545="","",[2]Entry!$K$1545)</f>
        <v/>
      </c>
      <c r="V1542">
        <f>IF([2]Entry!$L$1545="","",[2]Entry!$L$1545)</f>
        <v/>
      </c>
      <c r="W1542">
        <f>IF([2]Entry!$M$1545="","",[2]Entry!$M$1545)</f>
        <v/>
      </c>
      <c r="X1542">
        <f>IF([2]Entry!$N$1545="","",[2]Entry!$N$1545)</f>
        <v/>
      </c>
      <c r="Y1542">
        <f>IF([2]Entry!$R$1545="","",[2]Entry!$R$1545)</f>
        <v/>
      </c>
    </row>
    <row r="1543">
      <c r="P1543">
        <f>IF([2]Entry!$C$1546="","",[2]Entry!$C$1546)</f>
        <v/>
      </c>
      <c r="Q1543">
        <f>IF([2]Entry!$D$1546="","",[2]Entry!$D$1546)</f>
        <v/>
      </c>
      <c r="R1543">
        <f>IF([2]Entry!$E$1546="","",[2]Entry!$E$1546)</f>
        <v/>
      </c>
      <c r="S1543">
        <f>IF([2]Entry!$G$1546="","",[2]Entry!$G$1546)</f>
        <v/>
      </c>
      <c r="T1543">
        <f>IF([2]Entry!$J$1546="","",[2]Entry!$J$1546)</f>
        <v/>
      </c>
      <c r="U1543">
        <f>IF([2]Entry!$K$1546="","",[2]Entry!$K$1546)</f>
        <v/>
      </c>
      <c r="V1543">
        <f>IF([2]Entry!$L$1546="","",[2]Entry!$L$1546)</f>
        <v/>
      </c>
      <c r="W1543">
        <f>IF([2]Entry!$M$1546="","",[2]Entry!$M$1546)</f>
        <v/>
      </c>
      <c r="X1543">
        <f>IF([2]Entry!$N$1546="","",[2]Entry!$N$1546)</f>
        <v/>
      </c>
      <c r="Y1543">
        <f>IF([2]Entry!$R$1546="","",[2]Entry!$R$1546)</f>
        <v/>
      </c>
    </row>
    <row r="1544">
      <c r="P1544">
        <f>IF([2]Entry!$C$1547="","",[2]Entry!$C$1547)</f>
        <v/>
      </c>
      <c r="Q1544">
        <f>IF([2]Entry!$D$1547="","",[2]Entry!$D$1547)</f>
        <v/>
      </c>
      <c r="R1544">
        <f>IF([2]Entry!$E$1547="","",[2]Entry!$E$1547)</f>
        <v/>
      </c>
      <c r="S1544">
        <f>IF([2]Entry!$G$1547="","",[2]Entry!$G$1547)</f>
        <v/>
      </c>
      <c r="T1544">
        <f>IF([2]Entry!$J$1547="","",[2]Entry!$J$1547)</f>
        <v/>
      </c>
      <c r="U1544">
        <f>IF([2]Entry!$K$1547="","",[2]Entry!$K$1547)</f>
        <v/>
      </c>
      <c r="V1544">
        <f>IF([2]Entry!$L$1547="","",[2]Entry!$L$1547)</f>
        <v/>
      </c>
      <c r="W1544">
        <f>IF([2]Entry!$M$1547="","",[2]Entry!$M$1547)</f>
        <v/>
      </c>
      <c r="X1544">
        <f>IF([2]Entry!$N$1547="","",[2]Entry!$N$1547)</f>
        <v/>
      </c>
      <c r="Y1544">
        <f>IF([2]Entry!$R$1547="","",[2]Entry!$R$1547)</f>
        <v/>
      </c>
    </row>
    <row r="1545">
      <c r="P1545">
        <f>IF([2]Entry!$C$1548="","",[2]Entry!$C$1548)</f>
        <v/>
      </c>
      <c r="Q1545">
        <f>IF([2]Entry!$D$1548="","",[2]Entry!$D$1548)</f>
        <v/>
      </c>
      <c r="R1545">
        <f>IF([2]Entry!$E$1548="","",[2]Entry!$E$1548)</f>
        <v/>
      </c>
      <c r="S1545">
        <f>IF([2]Entry!$G$1548="","",[2]Entry!$G$1548)</f>
        <v/>
      </c>
      <c r="T1545">
        <f>IF([2]Entry!$J$1548="","",[2]Entry!$J$1548)</f>
        <v/>
      </c>
      <c r="U1545">
        <f>IF([2]Entry!$K$1548="","",[2]Entry!$K$1548)</f>
        <v/>
      </c>
      <c r="V1545">
        <f>IF([2]Entry!$L$1548="","",[2]Entry!$L$1548)</f>
        <v/>
      </c>
      <c r="W1545">
        <f>IF([2]Entry!$M$1548="","",[2]Entry!$M$1548)</f>
        <v/>
      </c>
      <c r="X1545">
        <f>IF([2]Entry!$N$1548="","",[2]Entry!$N$1548)</f>
        <v/>
      </c>
      <c r="Y1545">
        <f>IF([2]Entry!$R$1548="","",[2]Entry!$R$1548)</f>
        <v/>
      </c>
    </row>
    <row r="1546">
      <c r="P1546">
        <f>IF([2]Entry!$C$1549="","",[2]Entry!$C$1549)</f>
        <v/>
      </c>
      <c r="Q1546">
        <f>IF([2]Entry!$D$1549="","",[2]Entry!$D$1549)</f>
        <v/>
      </c>
      <c r="R1546">
        <f>IF([2]Entry!$E$1549="","",[2]Entry!$E$1549)</f>
        <v/>
      </c>
      <c r="S1546">
        <f>IF([2]Entry!$G$1549="","",[2]Entry!$G$1549)</f>
        <v/>
      </c>
      <c r="T1546">
        <f>IF([2]Entry!$J$1549="","",[2]Entry!$J$1549)</f>
        <v/>
      </c>
      <c r="U1546">
        <f>IF([2]Entry!$K$1549="","",[2]Entry!$K$1549)</f>
        <v/>
      </c>
      <c r="V1546">
        <f>IF([2]Entry!$L$1549="","",[2]Entry!$L$1549)</f>
        <v/>
      </c>
      <c r="W1546">
        <f>IF([2]Entry!$M$1549="","",[2]Entry!$M$1549)</f>
        <v/>
      </c>
      <c r="X1546">
        <f>IF([2]Entry!$N$1549="","",[2]Entry!$N$1549)</f>
        <v/>
      </c>
      <c r="Y1546">
        <f>IF([2]Entry!$R$1549="","",[2]Entry!$R$1549)</f>
        <v/>
      </c>
    </row>
    <row r="1547">
      <c r="P1547">
        <f>IF([2]Entry!$C$1550="","",[2]Entry!$C$1550)</f>
        <v/>
      </c>
      <c r="Q1547">
        <f>IF([2]Entry!$D$1550="","",[2]Entry!$D$1550)</f>
        <v/>
      </c>
      <c r="R1547">
        <f>IF([2]Entry!$E$1550="","",[2]Entry!$E$1550)</f>
        <v/>
      </c>
      <c r="S1547">
        <f>IF([2]Entry!$G$1550="","",[2]Entry!$G$1550)</f>
        <v/>
      </c>
      <c r="T1547">
        <f>IF([2]Entry!$J$1550="","",[2]Entry!$J$1550)</f>
        <v/>
      </c>
      <c r="U1547">
        <f>IF([2]Entry!$K$1550="","",[2]Entry!$K$1550)</f>
        <v/>
      </c>
      <c r="V1547">
        <f>IF([2]Entry!$L$1550="","",[2]Entry!$L$1550)</f>
        <v/>
      </c>
      <c r="W1547">
        <f>IF([2]Entry!$M$1550="","",[2]Entry!$M$1550)</f>
        <v/>
      </c>
      <c r="X1547">
        <f>IF([2]Entry!$N$1550="","",[2]Entry!$N$1550)</f>
        <v/>
      </c>
      <c r="Y1547">
        <f>IF([2]Entry!$R$1550="","",[2]Entry!$R$1550)</f>
        <v/>
      </c>
    </row>
    <row r="1548">
      <c r="P1548">
        <f>IF([2]Entry!$C$1551="","",[2]Entry!$C$1551)</f>
        <v/>
      </c>
      <c r="Q1548">
        <f>IF([2]Entry!$D$1551="","",[2]Entry!$D$1551)</f>
        <v/>
      </c>
      <c r="R1548">
        <f>IF([2]Entry!$E$1551="","",[2]Entry!$E$1551)</f>
        <v/>
      </c>
      <c r="S1548">
        <f>IF([2]Entry!$G$1551="","",[2]Entry!$G$1551)</f>
        <v/>
      </c>
      <c r="T1548">
        <f>IF([2]Entry!$J$1551="","",[2]Entry!$J$1551)</f>
        <v/>
      </c>
      <c r="U1548">
        <f>IF([2]Entry!$K$1551="","",[2]Entry!$K$1551)</f>
        <v/>
      </c>
      <c r="V1548">
        <f>IF([2]Entry!$L$1551="","",[2]Entry!$L$1551)</f>
        <v/>
      </c>
      <c r="W1548">
        <f>IF([2]Entry!$M$1551="","",[2]Entry!$M$1551)</f>
        <v/>
      </c>
      <c r="X1548">
        <f>IF([2]Entry!$N$1551="","",[2]Entry!$N$1551)</f>
        <v/>
      </c>
      <c r="Y1548">
        <f>IF([2]Entry!$R$1551="","",[2]Entry!$R$1551)</f>
        <v/>
      </c>
    </row>
    <row r="1549">
      <c r="P1549">
        <f>IF([2]Entry!$C$1552="","",[2]Entry!$C$1552)</f>
        <v/>
      </c>
      <c r="Q1549">
        <f>IF([2]Entry!$D$1552="","",[2]Entry!$D$1552)</f>
        <v/>
      </c>
      <c r="R1549">
        <f>IF([2]Entry!$E$1552="","",[2]Entry!$E$1552)</f>
        <v/>
      </c>
      <c r="S1549">
        <f>IF([2]Entry!$G$1552="","",[2]Entry!$G$1552)</f>
        <v/>
      </c>
      <c r="T1549">
        <f>IF([2]Entry!$J$1552="","",[2]Entry!$J$1552)</f>
        <v/>
      </c>
      <c r="U1549">
        <f>IF([2]Entry!$K$1552="","",[2]Entry!$K$1552)</f>
        <v/>
      </c>
      <c r="V1549">
        <f>IF([2]Entry!$L$1552="","",[2]Entry!$L$1552)</f>
        <v/>
      </c>
      <c r="W1549">
        <f>IF([2]Entry!$M$1552="","",[2]Entry!$M$1552)</f>
        <v/>
      </c>
      <c r="X1549">
        <f>IF([2]Entry!$N$1552="","",[2]Entry!$N$1552)</f>
        <v/>
      </c>
      <c r="Y1549">
        <f>IF([2]Entry!$R$1552="","",[2]Entry!$R$1552)</f>
        <v/>
      </c>
    </row>
    <row r="1550">
      <c r="P1550">
        <f>IF([2]Entry!$C$1553="","",[2]Entry!$C$1553)</f>
        <v/>
      </c>
      <c r="Q1550">
        <f>IF([2]Entry!$D$1553="","",[2]Entry!$D$1553)</f>
        <v/>
      </c>
      <c r="R1550">
        <f>IF([2]Entry!$E$1553="","",[2]Entry!$E$1553)</f>
        <v/>
      </c>
      <c r="S1550">
        <f>IF([2]Entry!$G$1553="","",[2]Entry!$G$1553)</f>
        <v/>
      </c>
      <c r="T1550">
        <f>IF([2]Entry!$J$1553="","",[2]Entry!$J$1553)</f>
        <v/>
      </c>
      <c r="U1550">
        <f>IF([2]Entry!$K$1553="","",[2]Entry!$K$1553)</f>
        <v/>
      </c>
      <c r="V1550">
        <f>IF([2]Entry!$L$1553="","",[2]Entry!$L$1553)</f>
        <v/>
      </c>
      <c r="W1550">
        <f>IF([2]Entry!$M$1553="","",[2]Entry!$M$1553)</f>
        <v/>
      </c>
      <c r="X1550">
        <f>IF([2]Entry!$N$1553="","",[2]Entry!$N$1553)</f>
        <v/>
      </c>
      <c r="Y1550">
        <f>IF([2]Entry!$R$1553="","",[2]Entry!$R$1553)</f>
        <v/>
      </c>
    </row>
    <row r="1551">
      <c r="P1551">
        <f>IF([2]Entry!$C$1554="","",[2]Entry!$C$1554)</f>
        <v/>
      </c>
      <c r="Q1551">
        <f>IF([2]Entry!$D$1554="","",[2]Entry!$D$1554)</f>
        <v/>
      </c>
      <c r="R1551">
        <f>IF([2]Entry!$E$1554="","",[2]Entry!$E$1554)</f>
        <v/>
      </c>
      <c r="S1551">
        <f>IF([2]Entry!$G$1554="","",[2]Entry!$G$1554)</f>
        <v/>
      </c>
      <c r="T1551">
        <f>IF([2]Entry!$J$1554="","",[2]Entry!$J$1554)</f>
        <v/>
      </c>
      <c r="U1551">
        <f>IF([2]Entry!$K$1554="","",[2]Entry!$K$1554)</f>
        <v/>
      </c>
      <c r="V1551">
        <f>IF([2]Entry!$L$1554="","",[2]Entry!$L$1554)</f>
        <v/>
      </c>
      <c r="W1551">
        <f>IF([2]Entry!$M$1554="","",[2]Entry!$M$1554)</f>
        <v/>
      </c>
      <c r="X1551">
        <f>IF([2]Entry!$N$1554="","",[2]Entry!$N$1554)</f>
        <v/>
      </c>
      <c r="Y1551">
        <f>IF([2]Entry!$R$1554="","",[2]Entry!$R$1554)</f>
        <v/>
      </c>
    </row>
    <row r="1552">
      <c r="P1552">
        <f>IF([2]Entry!$C$1555="","",[2]Entry!$C$1555)</f>
        <v/>
      </c>
      <c r="Q1552">
        <f>IF([2]Entry!$D$1555="","",[2]Entry!$D$1555)</f>
        <v/>
      </c>
      <c r="R1552">
        <f>IF([2]Entry!$E$1555="","",[2]Entry!$E$1555)</f>
        <v/>
      </c>
      <c r="S1552">
        <f>IF([2]Entry!$G$1555="","",[2]Entry!$G$1555)</f>
        <v/>
      </c>
      <c r="T1552">
        <f>IF([2]Entry!$J$1555="","",[2]Entry!$J$1555)</f>
        <v/>
      </c>
      <c r="U1552">
        <f>IF([2]Entry!$K$1555="","",[2]Entry!$K$1555)</f>
        <v/>
      </c>
      <c r="V1552">
        <f>IF([2]Entry!$L$1555="","",[2]Entry!$L$1555)</f>
        <v/>
      </c>
      <c r="W1552">
        <f>IF([2]Entry!$M$1555="","",[2]Entry!$M$1555)</f>
        <v/>
      </c>
      <c r="X1552">
        <f>IF([2]Entry!$N$1555="","",[2]Entry!$N$1555)</f>
        <v/>
      </c>
      <c r="Y1552">
        <f>IF([2]Entry!$R$1555="","",[2]Entry!$R$1555)</f>
        <v/>
      </c>
    </row>
    <row r="1553">
      <c r="P1553">
        <f>IF([2]Entry!$C$1556="","",[2]Entry!$C$1556)</f>
        <v/>
      </c>
      <c r="Q1553">
        <f>IF([2]Entry!$D$1556="","",[2]Entry!$D$1556)</f>
        <v/>
      </c>
      <c r="R1553">
        <f>IF([2]Entry!$E$1556="","",[2]Entry!$E$1556)</f>
        <v/>
      </c>
      <c r="S1553">
        <f>IF([2]Entry!$G$1556="","",[2]Entry!$G$1556)</f>
        <v/>
      </c>
      <c r="T1553">
        <f>IF([2]Entry!$J$1556="","",[2]Entry!$J$1556)</f>
        <v/>
      </c>
      <c r="U1553">
        <f>IF([2]Entry!$K$1556="","",[2]Entry!$K$1556)</f>
        <v/>
      </c>
      <c r="V1553">
        <f>IF([2]Entry!$L$1556="","",[2]Entry!$L$1556)</f>
        <v/>
      </c>
      <c r="W1553">
        <f>IF([2]Entry!$M$1556="","",[2]Entry!$M$1556)</f>
        <v/>
      </c>
      <c r="X1553">
        <f>IF([2]Entry!$N$1556="","",[2]Entry!$N$1556)</f>
        <v/>
      </c>
      <c r="Y1553">
        <f>IF([2]Entry!$R$1556="","",[2]Entry!$R$1556)</f>
        <v/>
      </c>
    </row>
    <row r="1554">
      <c r="P1554">
        <f>IF([2]Entry!$C$1557="","",[2]Entry!$C$1557)</f>
        <v/>
      </c>
      <c r="Q1554">
        <f>IF([2]Entry!$D$1557="","",[2]Entry!$D$1557)</f>
        <v/>
      </c>
      <c r="R1554">
        <f>IF([2]Entry!$E$1557="","",[2]Entry!$E$1557)</f>
        <v/>
      </c>
      <c r="S1554">
        <f>IF([2]Entry!$G$1557="","",[2]Entry!$G$1557)</f>
        <v/>
      </c>
      <c r="T1554">
        <f>IF([2]Entry!$J$1557="","",[2]Entry!$J$1557)</f>
        <v/>
      </c>
      <c r="U1554">
        <f>IF([2]Entry!$K$1557="","",[2]Entry!$K$1557)</f>
        <v/>
      </c>
      <c r="V1554">
        <f>IF([2]Entry!$L$1557="","",[2]Entry!$L$1557)</f>
        <v/>
      </c>
      <c r="W1554">
        <f>IF([2]Entry!$M$1557="","",[2]Entry!$M$1557)</f>
        <v/>
      </c>
      <c r="X1554">
        <f>IF([2]Entry!$N$1557="","",[2]Entry!$N$1557)</f>
        <v/>
      </c>
      <c r="Y1554">
        <f>IF([2]Entry!$R$1557="","",[2]Entry!$R$1557)</f>
        <v/>
      </c>
    </row>
    <row r="1555">
      <c r="P1555">
        <f>IF([2]Entry!$C$1558="","",[2]Entry!$C$1558)</f>
        <v/>
      </c>
      <c r="Q1555">
        <f>IF([2]Entry!$D$1558="","",[2]Entry!$D$1558)</f>
        <v/>
      </c>
      <c r="R1555">
        <f>IF([2]Entry!$E$1558="","",[2]Entry!$E$1558)</f>
        <v/>
      </c>
      <c r="S1555">
        <f>IF([2]Entry!$G$1558="","",[2]Entry!$G$1558)</f>
        <v/>
      </c>
      <c r="T1555">
        <f>IF([2]Entry!$J$1558="","",[2]Entry!$J$1558)</f>
        <v/>
      </c>
      <c r="U1555">
        <f>IF([2]Entry!$K$1558="","",[2]Entry!$K$1558)</f>
        <v/>
      </c>
      <c r="V1555">
        <f>IF([2]Entry!$L$1558="","",[2]Entry!$L$1558)</f>
        <v/>
      </c>
      <c r="W1555">
        <f>IF([2]Entry!$M$1558="","",[2]Entry!$M$1558)</f>
        <v/>
      </c>
      <c r="X1555">
        <f>IF([2]Entry!$N$1558="","",[2]Entry!$N$1558)</f>
        <v/>
      </c>
      <c r="Y1555">
        <f>IF([2]Entry!$R$1558="","",[2]Entry!$R$1558)</f>
        <v/>
      </c>
    </row>
    <row r="1556">
      <c r="P1556">
        <f>IF([2]Entry!$C$1559="","",[2]Entry!$C$1559)</f>
        <v/>
      </c>
      <c r="Q1556">
        <f>IF([2]Entry!$D$1559="","",[2]Entry!$D$1559)</f>
        <v/>
      </c>
      <c r="R1556">
        <f>IF([2]Entry!$E$1559="","",[2]Entry!$E$1559)</f>
        <v/>
      </c>
      <c r="S1556">
        <f>IF([2]Entry!$G$1559="","",[2]Entry!$G$1559)</f>
        <v/>
      </c>
      <c r="T1556">
        <f>IF([2]Entry!$J$1559="","",[2]Entry!$J$1559)</f>
        <v/>
      </c>
      <c r="U1556">
        <f>IF([2]Entry!$K$1559="","",[2]Entry!$K$1559)</f>
        <v/>
      </c>
      <c r="V1556">
        <f>IF([2]Entry!$L$1559="","",[2]Entry!$L$1559)</f>
        <v/>
      </c>
      <c r="W1556">
        <f>IF([2]Entry!$M$1559="","",[2]Entry!$M$1559)</f>
        <v/>
      </c>
      <c r="X1556">
        <f>IF([2]Entry!$N$1559="","",[2]Entry!$N$1559)</f>
        <v/>
      </c>
      <c r="Y1556">
        <f>IF([2]Entry!$R$1559="","",[2]Entry!$R$1559)</f>
        <v/>
      </c>
    </row>
    <row r="1557">
      <c r="P1557">
        <f>IF([2]Entry!$C$1560="","",[2]Entry!$C$1560)</f>
        <v/>
      </c>
      <c r="Q1557">
        <f>IF([2]Entry!$D$1560="","",[2]Entry!$D$1560)</f>
        <v/>
      </c>
      <c r="R1557">
        <f>IF([2]Entry!$E$1560="","",[2]Entry!$E$1560)</f>
        <v/>
      </c>
      <c r="S1557">
        <f>IF([2]Entry!$G$1560="","",[2]Entry!$G$1560)</f>
        <v/>
      </c>
      <c r="T1557">
        <f>IF([2]Entry!$J$1560="","",[2]Entry!$J$1560)</f>
        <v/>
      </c>
      <c r="U1557">
        <f>IF([2]Entry!$K$1560="","",[2]Entry!$K$1560)</f>
        <v/>
      </c>
      <c r="V1557">
        <f>IF([2]Entry!$L$1560="","",[2]Entry!$L$1560)</f>
        <v/>
      </c>
      <c r="W1557">
        <f>IF([2]Entry!$M$1560="","",[2]Entry!$M$1560)</f>
        <v/>
      </c>
      <c r="X1557">
        <f>IF([2]Entry!$N$1560="","",[2]Entry!$N$1560)</f>
        <v/>
      </c>
      <c r="Y1557">
        <f>IF([2]Entry!$R$1560="","",[2]Entry!$R$1560)</f>
        <v/>
      </c>
    </row>
    <row r="1558">
      <c r="P1558">
        <f>IF([2]Entry!$C$1561="","",[2]Entry!$C$1561)</f>
        <v/>
      </c>
      <c r="Q1558">
        <f>IF([2]Entry!$D$1561="","",[2]Entry!$D$1561)</f>
        <v/>
      </c>
      <c r="R1558">
        <f>IF([2]Entry!$E$1561="","",[2]Entry!$E$1561)</f>
        <v/>
      </c>
      <c r="S1558">
        <f>IF([2]Entry!$G$1561="","",[2]Entry!$G$1561)</f>
        <v/>
      </c>
      <c r="T1558">
        <f>IF([2]Entry!$J$1561="","",[2]Entry!$J$1561)</f>
        <v/>
      </c>
      <c r="U1558">
        <f>IF([2]Entry!$K$1561="","",[2]Entry!$K$1561)</f>
        <v/>
      </c>
      <c r="V1558">
        <f>IF([2]Entry!$L$1561="","",[2]Entry!$L$1561)</f>
        <v/>
      </c>
      <c r="W1558">
        <f>IF([2]Entry!$M$1561="","",[2]Entry!$M$1561)</f>
        <v/>
      </c>
      <c r="X1558">
        <f>IF([2]Entry!$N$1561="","",[2]Entry!$N$1561)</f>
        <v/>
      </c>
      <c r="Y1558">
        <f>IF([2]Entry!$R$1561="","",[2]Entry!$R$1561)</f>
        <v/>
      </c>
    </row>
    <row r="1559">
      <c r="P1559">
        <f>IF([2]Entry!$C$1562="","",[2]Entry!$C$1562)</f>
        <v/>
      </c>
      <c r="Q1559">
        <f>IF([2]Entry!$D$1562="","",[2]Entry!$D$1562)</f>
        <v/>
      </c>
      <c r="R1559">
        <f>IF([2]Entry!$E$1562="","",[2]Entry!$E$1562)</f>
        <v/>
      </c>
      <c r="S1559">
        <f>IF([2]Entry!$G$1562="","",[2]Entry!$G$1562)</f>
        <v/>
      </c>
      <c r="T1559">
        <f>IF([2]Entry!$J$1562="","",[2]Entry!$J$1562)</f>
        <v/>
      </c>
      <c r="U1559">
        <f>IF([2]Entry!$K$1562="","",[2]Entry!$K$1562)</f>
        <v/>
      </c>
      <c r="V1559">
        <f>IF([2]Entry!$L$1562="","",[2]Entry!$L$1562)</f>
        <v/>
      </c>
      <c r="W1559">
        <f>IF([2]Entry!$M$1562="","",[2]Entry!$M$1562)</f>
        <v/>
      </c>
      <c r="X1559">
        <f>IF([2]Entry!$N$1562="","",[2]Entry!$N$1562)</f>
        <v/>
      </c>
      <c r="Y1559">
        <f>IF([2]Entry!$R$1562="","",[2]Entry!$R$1562)</f>
        <v/>
      </c>
    </row>
    <row r="1560">
      <c r="P1560">
        <f>IF([2]Entry!$C$1563="","",[2]Entry!$C$1563)</f>
        <v/>
      </c>
      <c r="Q1560">
        <f>IF([2]Entry!$D$1563="","",[2]Entry!$D$1563)</f>
        <v/>
      </c>
      <c r="R1560">
        <f>IF([2]Entry!$E$1563="","",[2]Entry!$E$1563)</f>
        <v/>
      </c>
      <c r="S1560">
        <f>IF([2]Entry!$G$1563="","",[2]Entry!$G$1563)</f>
        <v/>
      </c>
      <c r="T1560">
        <f>IF([2]Entry!$J$1563="","",[2]Entry!$J$1563)</f>
        <v/>
      </c>
      <c r="U1560">
        <f>IF([2]Entry!$K$1563="","",[2]Entry!$K$1563)</f>
        <v/>
      </c>
      <c r="V1560">
        <f>IF([2]Entry!$L$1563="","",[2]Entry!$L$1563)</f>
        <v/>
      </c>
      <c r="W1560">
        <f>IF([2]Entry!$M$1563="","",[2]Entry!$M$1563)</f>
        <v/>
      </c>
      <c r="X1560">
        <f>IF([2]Entry!$N$1563="","",[2]Entry!$N$1563)</f>
        <v/>
      </c>
      <c r="Y1560">
        <f>IF([2]Entry!$R$1563="","",[2]Entry!$R$1563)</f>
        <v/>
      </c>
    </row>
    <row r="1561">
      <c r="P1561">
        <f>IF([2]Entry!$C$1564="","",[2]Entry!$C$1564)</f>
        <v/>
      </c>
      <c r="Q1561">
        <f>IF([2]Entry!$D$1564="","",[2]Entry!$D$1564)</f>
        <v/>
      </c>
      <c r="R1561">
        <f>IF([2]Entry!$E$1564="","",[2]Entry!$E$1564)</f>
        <v/>
      </c>
      <c r="S1561">
        <f>IF([2]Entry!$G$1564="","",[2]Entry!$G$1564)</f>
        <v/>
      </c>
      <c r="T1561">
        <f>IF([2]Entry!$J$1564="","",[2]Entry!$J$1564)</f>
        <v/>
      </c>
      <c r="U1561">
        <f>IF([2]Entry!$K$1564="","",[2]Entry!$K$1564)</f>
        <v/>
      </c>
      <c r="V1561">
        <f>IF([2]Entry!$L$1564="","",[2]Entry!$L$1564)</f>
        <v/>
      </c>
      <c r="W1561">
        <f>IF([2]Entry!$M$1564="","",[2]Entry!$M$1564)</f>
        <v/>
      </c>
      <c r="X1561">
        <f>IF([2]Entry!$N$1564="","",[2]Entry!$N$1564)</f>
        <v/>
      </c>
      <c r="Y1561">
        <f>IF([2]Entry!$R$1564="","",[2]Entry!$R$1564)</f>
        <v/>
      </c>
    </row>
    <row r="1562">
      <c r="P1562">
        <f>IF([2]Entry!$C$1565="","",[2]Entry!$C$1565)</f>
        <v/>
      </c>
      <c r="Q1562">
        <f>IF([2]Entry!$D$1565="","",[2]Entry!$D$1565)</f>
        <v/>
      </c>
      <c r="R1562">
        <f>IF([2]Entry!$E$1565="","",[2]Entry!$E$1565)</f>
        <v/>
      </c>
      <c r="S1562">
        <f>IF([2]Entry!$G$1565="","",[2]Entry!$G$1565)</f>
        <v/>
      </c>
      <c r="T1562">
        <f>IF([2]Entry!$J$1565="","",[2]Entry!$J$1565)</f>
        <v/>
      </c>
      <c r="U1562">
        <f>IF([2]Entry!$K$1565="","",[2]Entry!$K$1565)</f>
        <v/>
      </c>
      <c r="V1562">
        <f>IF([2]Entry!$L$1565="","",[2]Entry!$L$1565)</f>
        <v/>
      </c>
      <c r="W1562">
        <f>IF([2]Entry!$M$1565="","",[2]Entry!$M$1565)</f>
        <v/>
      </c>
      <c r="X1562">
        <f>IF([2]Entry!$N$1565="","",[2]Entry!$N$1565)</f>
        <v/>
      </c>
      <c r="Y1562">
        <f>IF([2]Entry!$R$1565="","",[2]Entry!$R$1565)</f>
        <v/>
      </c>
    </row>
    <row r="1563">
      <c r="P1563">
        <f>IF([2]Entry!$C$1566="","",[2]Entry!$C$1566)</f>
        <v/>
      </c>
      <c r="Q1563">
        <f>IF([2]Entry!$D$1566="","",[2]Entry!$D$1566)</f>
        <v/>
      </c>
      <c r="R1563">
        <f>IF([2]Entry!$E$1566="","",[2]Entry!$E$1566)</f>
        <v/>
      </c>
      <c r="S1563">
        <f>IF([2]Entry!$G$1566="","",[2]Entry!$G$1566)</f>
        <v/>
      </c>
      <c r="T1563">
        <f>IF([2]Entry!$J$1566="","",[2]Entry!$J$1566)</f>
        <v/>
      </c>
      <c r="U1563">
        <f>IF([2]Entry!$K$1566="","",[2]Entry!$K$1566)</f>
        <v/>
      </c>
      <c r="V1563">
        <f>IF([2]Entry!$L$1566="","",[2]Entry!$L$1566)</f>
        <v/>
      </c>
      <c r="W1563">
        <f>IF([2]Entry!$M$1566="","",[2]Entry!$M$1566)</f>
        <v/>
      </c>
      <c r="X1563">
        <f>IF([2]Entry!$N$1566="","",[2]Entry!$N$1566)</f>
        <v/>
      </c>
      <c r="Y1563">
        <f>IF([2]Entry!$R$1566="","",[2]Entry!$R$1566)</f>
        <v/>
      </c>
    </row>
    <row r="1564">
      <c r="P1564">
        <f>IF([2]Entry!$C$1567="","",[2]Entry!$C$1567)</f>
        <v/>
      </c>
      <c r="Q1564">
        <f>IF([2]Entry!$D$1567="","",[2]Entry!$D$1567)</f>
        <v/>
      </c>
      <c r="R1564">
        <f>IF([2]Entry!$E$1567="","",[2]Entry!$E$1567)</f>
        <v/>
      </c>
      <c r="S1564">
        <f>IF([2]Entry!$G$1567="","",[2]Entry!$G$1567)</f>
        <v/>
      </c>
      <c r="T1564">
        <f>IF([2]Entry!$J$1567="","",[2]Entry!$J$1567)</f>
        <v/>
      </c>
      <c r="U1564">
        <f>IF([2]Entry!$K$1567="","",[2]Entry!$K$1567)</f>
        <v/>
      </c>
      <c r="V1564">
        <f>IF([2]Entry!$L$1567="","",[2]Entry!$L$1567)</f>
        <v/>
      </c>
      <c r="W1564">
        <f>IF([2]Entry!$M$1567="","",[2]Entry!$M$1567)</f>
        <v/>
      </c>
      <c r="X1564">
        <f>IF([2]Entry!$N$1567="","",[2]Entry!$N$1567)</f>
        <v/>
      </c>
      <c r="Y1564">
        <f>IF([2]Entry!$R$1567="","",[2]Entry!$R$1567)</f>
        <v/>
      </c>
    </row>
    <row r="1565">
      <c r="P1565">
        <f>IF([2]Entry!$C$1568="","",[2]Entry!$C$1568)</f>
        <v/>
      </c>
      <c r="Q1565">
        <f>IF([2]Entry!$D$1568="","",[2]Entry!$D$1568)</f>
        <v/>
      </c>
      <c r="R1565">
        <f>IF([2]Entry!$E$1568="","",[2]Entry!$E$1568)</f>
        <v/>
      </c>
      <c r="S1565">
        <f>IF([2]Entry!$G$1568="","",[2]Entry!$G$1568)</f>
        <v/>
      </c>
      <c r="T1565">
        <f>IF([2]Entry!$J$1568="","",[2]Entry!$J$1568)</f>
        <v/>
      </c>
      <c r="U1565">
        <f>IF([2]Entry!$K$1568="","",[2]Entry!$K$1568)</f>
        <v/>
      </c>
      <c r="V1565">
        <f>IF([2]Entry!$L$1568="","",[2]Entry!$L$1568)</f>
        <v/>
      </c>
      <c r="W1565">
        <f>IF([2]Entry!$M$1568="","",[2]Entry!$M$1568)</f>
        <v/>
      </c>
      <c r="X1565">
        <f>IF([2]Entry!$N$1568="","",[2]Entry!$N$1568)</f>
        <v/>
      </c>
      <c r="Y1565">
        <f>IF([2]Entry!$R$1568="","",[2]Entry!$R$1568)</f>
        <v/>
      </c>
    </row>
    <row r="1566">
      <c r="P1566">
        <f>IF([2]Entry!$C$1569="","",[2]Entry!$C$1569)</f>
        <v/>
      </c>
      <c r="Q1566">
        <f>IF([2]Entry!$D$1569="","",[2]Entry!$D$1569)</f>
        <v/>
      </c>
      <c r="R1566">
        <f>IF([2]Entry!$E$1569="","",[2]Entry!$E$1569)</f>
        <v/>
      </c>
      <c r="S1566">
        <f>IF([2]Entry!$G$1569="","",[2]Entry!$G$1569)</f>
        <v/>
      </c>
      <c r="T1566">
        <f>IF([2]Entry!$J$1569="","",[2]Entry!$J$1569)</f>
        <v/>
      </c>
      <c r="U1566">
        <f>IF([2]Entry!$K$1569="","",[2]Entry!$K$1569)</f>
        <v/>
      </c>
      <c r="V1566">
        <f>IF([2]Entry!$L$1569="","",[2]Entry!$L$1569)</f>
        <v/>
      </c>
      <c r="W1566">
        <f>IF([2]Entry!$M$1569="","",[2]Entry!$M$1569)</f>
        <v/>
      </c>
      <c r="X1566">
        <f>IF([2]Entry!$N$1569="","",[2]Entry!$N$1569)</f>
        <v/>
      </c>
      <c r="Y1566">
        <f>IF([2]Entry!$R$1569="","",[2]Entry!$R$1569)</f>
        <v/>
      </c>
    </row>
    <row r="1567">
      <c r="P1567">
        <f>IF([2]Entry!$C$1570="","",[2]Entry!$C$1570)</f>
        <v/>
      </c>
      <c r="Q1567">
        <f>IF([2]Entry!$D$1570="","",[2]Entry!$D$1570)</f>
        <v/>
      </c>
      <c r="R1567">
        <f>IF([2]Entry!$E$1570="","",[2]Entry!$E$1570)</f>
        <v/>
      </c>
      <c r="S1567">
        <f>IF([2]Entry!$G$1570="","",[2]Entry!$G$1570)</f>
        <v/>
      </c>
      <c r="T1567">
        <f>IF([2]Entry!$J$1570="","",[2]Entry!$J$1570)</f>
        <v/>
      </c>
      <c r="U1567">
        <f>IF([2]Entry!$K$1570="","",[2]Entry!$K$1570)</f>
        <v/>
      </c>
      <c r="V1567">
        <f>IF([2]Entry!$L$1570="","",[2]Entry!$L$1570)</f>
        <v/>
      </c>
      <c r="W1567">
        <f>IF([2]Entry!$M$1570="","",[2]Entry!$M$1570)</f>
        <v/>
      </c>
      <c r="X1567">
        <f>IF([2]Entry!$N$1570="","",[2]Entry!$N$1570)</f>
        <v/>
      </c>
      <c r="Y1567">
        <f>IF([2]Entry!$R$1570="","",[2]Entry!$R$1570)</f>
        <v/>
      </c>
    </row>
    <row r="1568">
      <c r="P1568">
        <f>IF([2]Entry!$C$1571="","",[2]Entry!$C$1571)</f>
        <v/>
      </c>
      <c r="Q1568">
        <f>IF([2]Entry!$D$1571="","",[2]Entry!$D$1571)</f>
        <v/>
      </c>
      <c r="R1568">
        <f>IF([2]Entry!$E$1571="","",[2]Entry!$E$1571)</f>
        <v/>
      </c>
      <c r="S1568">
        <f>IF([2]Entry!$G$1571="","",[2]Entry!$G$1571)</f>
        <v/>
      </c>
      <c r="T1568">
        <f>IF([2]Entry!$J$1571="","",[2]Entry!$J$1571)</f>
        <v/>
      </c>
      <c r="U1568">
        <f>IF([2]Entry!$K$1571="","",[2]Entry!$K$1571)</f>
        <v/>
      </c>
      <c r="V1568">
        <f>IF([2]Entry!$L$1571="","",[2]Entry!$L$1571)</f>
        <v/>
      </c>
      <c r="W1568">
        <f>IF([2]Entry!$M$1571="","",[2]Entry!$M$1571)</f>
        <v/>
      </c>
      <c r="X1568">
        <f>IF([2]Entry!$N$1571="","",[2]Entry!$N$1571)</f>
        <v/>
      </c>
      <c r="Y1568">
        <f>IF([2]Entry!$R$1571="","",[2]Entry!$R$1571)</f>
        <v/>
      </c>
    </row>
    <row r="1569">
      <c r="P1569">
        <f>IF([2]Entry!$C$1572="","",[2]Entry!$C$1572)</f>
        <v/>
      </c>
      <c r="Q1569">
        <f>IF([2]Entry!$D$1572="","",[2]Entry!$D$1572)</f>
        <v/>
      </c>
      <c r="R1569">
        <f>IF([2]Entry!$E$1572="","",[2]Entry!$E$1572)</f>
        <v/>
      </c>
      <c r="S1569">
        <f>IF([2]Entry!$G$1572="","",[2]Entry!$G$1572)</f>
        <v/>
      </c>
      <c r="T1569">
        <f>IF([2]Entry!$J$1572="","",[2]Entry!$J$1572)</f>
        <v/>
      </c>
      <c r="U1569">
        <f>IF([2]Entry!$K$1572="","",[2]Entry!$K$1572)</f>
        <v/>
      </c>
      <c r="V1569">
        <f>IF([2]Entry!$L$1572="","",[2]Entry!$L$1572)</f>
        <v/>
      </c>
      <c r="W1569">
        <f>IF([2]Entry!$M$1572="","",[2]Entry!$M$1572)</f>
        <v/>
      </c>
      <c r="X1569">
        <f>IF([2]Entry!$N$1572="","",[2]Entry!$N$1572)</f>
        <v/>
      </c>
      <c r="Y1569">
        <f>IF([2]Entry!$R$1572="","",[2]Entry!$R$1572)</f>
        <v/>
      </c>
    </row>
    <row r="1570">
      <c r="P1570">
        <f>IF([2]Entry!$C$1573="","",[2]Entry!$C$1573)</f>
        <v/>
      </c>
      <c r="Q1570">
        <f>IF([2]Entry!$D$1573="","",[2]Entry!$D$1573)</f>
        <v/>
      </c>
      <c r="R1570">
        <f>IF([2]Entry!$E$1573="","",[2]Entry!$E$1573)</f>
        <v/>
      </c>
      <c r="S1570">
        <f>IF([2]Entry!$G$1573="","",[2]Entry!$G$1573)</f>
        <v/>
      </c>
      <c r="T1570">
        <f>IF([2]Entry!$J$1573="","",[2]Entry!$J$1573)</f>
        <v/>
      </c>
      <c r="U1570">
        <f>IF([2]Entry!$K$1573="","",[2]Entry!$K$1573)</f>
        <v/>
      </c>
      <c r="V1570">
        <f>IF([2]Entry!$L$1573="","",[2]Entry!$L$1573)</f>
        <v/>
      </c>
      <c r="W1570">
        <f>IF([2]Entry!$M$1573="","",[2]Entry!$M$1573)</f>
        <v/>
      </c>
      <c r="X1570">
        <f>IF([2]Entry!$N$1573="","",[2]Entry!$N$1573)</f>
        <v/>
      </c>
      <c r="Y1570">
        <f>IF([2]Entry!$R$1573="","",[2]Entry!$R$1573)</f>
        <v/>
      </c>
    </row>
    <row r="1571">
      <c r="P1571">
        <f>IF([2]Entry!$C$1574="","",[2]Entry!$C$1574)</f>
        <v/>
      </c>
      <c r="Q1571">
        <f>IF([2]Entry!$D$1574="","",[2]Entry!$D$1574)</f>
        <v/>
      </c>
      <c r="R1571">
        <f>IF([2]Entry!$E$1574="","",[2]Entry!$E$1574)</f>
        <v/>
      </c>
      <c r="S1571">
        <f>IF([2]Entry!$G$1574="","",[2]Entry!$G$1574)</f>
        <v/>
      </c>
      <c r="T1571">
        <f>IF([2]Entry!$J$1574="","",[2]Entry!$J$1574)</f>
        <v/>
      </c>
      <c r="U1571">
        <f>IF([2]Entry!$K$1574="","",[2]Entry!$K$1574)</f>
        <v/>
      </c>
      <c r="V1571">
        <f>IF([2]Entry!$L$1574="","",[2]Entry!$L$1574)</f>
        <v/>
      </c>
      <c r="W1571">
        <f>IF([2]Entry!$M$1574="","",[2]Entry!$M$1574)</f>
        <v/>
      </c>
      <c r="X1571">
        <f>IF([2]Entry!$N$1574="","",[2]Entry!$N$1574)</f>
        <v/>
      </c>
      <c r="Y1571">
        <f>IF([2]Entry!$R$1574="","",[2]Entry!$R$1574)</f>
        <v/>
      </c>
    </row>
    <row r="1572">
      <c r="P1572">
        <f>IF([2]Entry!$C$1575="","",[2]Entry!$C$1575)</f>
        <v/>
      </c>
      <c r="Q1572">
        <f>IF([2]Entry!$D$1575="","",[2]Entry!$D$1575)</f>
        <v/>
      </c>
      <c r="R1572">
        <f>IF([2]Entry!$E$1575="","",[2]Entry!$E$1575)</f>
        <v/>
      </c>
      <c r="S1572">
        <f>IF([2]Entry!$G$1575="","",[2]Entry!$G$1575)</f>
        <v/>
      </c>
      <c r="T1572">
        <f>IF([2]Entry!$J$1575="","",[2]Entry!$J$1575)</f>
        <v/>
      </c>
      <c r="U1572">
        <f>IF([2]Entry!$K$1575="","",[2]Entry!$K$1575)</f>
        <v/>
      </c>
      <c r="V1572">
        <f>IF([2]Entry!$L$1575="","",[2]Entry!$L$1575)</f>
        <v/>
      </c>
      <c r="W1572">
        <f>IF([2]Entry!$M$1575="","",[2]Entry!$M$1575)</f>
        <v/>
      </c>
      <c r="X1572">
        <f>IF([2]Entry!$N$1575="","",[2]Entry!$N$1575)</f>
        <v/>
      </c>
      <c r="Y1572">
        <f>IF([2]Entry!$R$1575="","",[2]Entry!$R$1575)</f>
        <v/>
      </c>
    </row>
    <row r="1573">
      <c r="P1573">
        <f>IF([2]Entry!$C$1576="","",[2]Entry!$C$1576)</f>
        <v/>
      </c>
      <c r="Q1573">
        <f>IF([2]Entry!$D$1576="","",[2]Entry!$D$1576)</f>
        <v/>
      </c>
      <c r="R1573">
        <f>IF([2]Entry!$E$1576="","",[2]Entry!$E$1576)</f>
        <v/>
      </c>
      <c r="S1573">
        <f>IF([2]Entry!$G$1576="","",[2]Entry!$G$1576)</f>
        <v/>
      </c>
      <c r="T1573">
        <f>IF([2]Entry!$J$1576="","",[2]Entry!$J$1576)</f>
        <v/>
      </c>
      <c r="U1573">
        <f>IF([2]Entry!$K$1576="","",[2]Entry!$K$1576)</f>
        <v/>
      </c>
      <c r="V1573">
        <f>IF([2]Entry!$L$1576="","",[2]Entry!$L$1576)</f>
        <v/>
      </c>
      <c r="W1573">
        <f>IF([2]Entry!$M$1576="","",[2]Entry!$M$1576)</f>
        <v/>
      </c>
      <c r="X1573">
        <f>IF([2]Entry!$N$1576="","",[2]Entry!$N$1576)</f>
        <v/>
      </c>
      <c r="Y1573">
        <f>IF([2]Entry!$R$1576="","",[2]Entry!$R$1576)</f>
        <v/>
      </c>
    </row>
    <row r="1574">
      <c r="P1574">
        <f>IF([2]Entry!$C$1577="","",[2]Entry!$C$1577)</f>
        <v/>
      </c>
      <c r="Q1574">
        <f>IF([2]Entry!$D$1577="","",[2]Entry!$D$1577)</f>
        <v/>
      </c>
      <c r="R1574">
        <f>IF([2]Entry!$E$1577="","",[2]Entry!$E$1577)</f>
        <v/>
      </c>
      <c r="S1574">
        <f>IF([2]Entry!$G$1577="","",[2]Entry!$G$1577)</f>
        <v/>
      </c>
      <c r="T1574">
        <f>IF([2]Entry!$J$1577="","",[2]Entry!$J$1577)</f>
        <v/>
      </c>
      <c r="U1574">
        <f>IF([2]Entry!$K$1577="","",[2]Entry!$K$1577)</f>
        <v/>
      </c>
      <c r="V1574">
        <f>IF([2]Entry!$L$1577="","",[2]Entry!$L$1577)</f>
        <v/>
      </c>
      <c r="W1574">
        <f>IF([2]Entry!$M$1577="","",[2]Entry!$M$1577)</f>
        <v/>
      </c>
      <c r="X1574">
        <f>IF([2]Entry!$N$1577="","",[2]Entry!$N$1577)</f>
        <v/>
      </c>
      <c r="Y1574">
        <f>IF([2]Entry!$R$1577="","",[2]Entry!$R$1577)</f>
        <v/>
      </c>
    </row>
    <row r="1575">
      <c r="P1575">
        <f>IF([2]Entry!$C$1578="","",[2]Entry!$C$1578)</f>
        <v/>
      </c>
      <c r="Q1575">
        <f>IF([2]Entry!$D$1578="","",[2]Entry!$D$1578)</f>
        <v/>
      </c>
      <c r="R1575">
        <f>IF([2]Entry!$E$1578="","",[2]Entry!$E$1578)</f>
        <v/>
      </c>
      <c r="S1575">
        <f>IF([2]Entry!$G$1578="","",[2]Entry!$G$1578)</f>
        <v/>
      </c>
      <c r="T1575">
        <f>IF([2]Entry!$J$1578="","",[2]Entry!$J$1578)</f>
        <v/>
      </c>
      <c r="U1575">
        <f>IF([2]Entry!$K$1578="","",[2]Entry!$K$1578)</f>
        <v/>
      </c>
      <c r="V1575">
        <f>IF([2]Entry!$L$1578="","",[2]Entry!$L$1578)</f>
        <v/>
      </c>
      <c r="W1575">
        <f>IF([2]Entry!$M$1578="","",[2]Entry!$M$1578)</f>
        <v/>
      </c>
      <c r="X1575">
        <f>IF([2]Entry!$N$1578="","",[2]Entry!$N$1578)</f>
        <v/>
      </c>
      <c r="Y1575">
        <f>IF([2]Entry!$R$1578="","",[2]Entry!$R$1578)</f>
        <v/>
      </c>
    </row>
    <row r="1576">
      <c r="P1576">
        <f>IF([2]Entry!$C$1579="","",[2]Entry!$C$1579)</f>
        <v/>
      </c>
      <c r="Q1576">
        <f>IF([2]Entry!$D$1579="","",[2]Entry!$D$1579)</f>
        <v/>
      </c>
      <c r="R1576">
        <f>IF([2]Entry!$E$1579="","",[2]Entry!$E$1579)</f>
        <v/>
      </c>
      <c r="S1576">
        <f>IF([2]Entry!$G$1579="","",[2]Entry!$G$1579)</f>
        <v/>
      </c>
      <c r="T1576">
        <f>IF([2]Entry!$J$1579="","",[2]Entry!$J$1579)</f>
        <v/>
      </c>
      <c r="U1576">
        <f>IF([2]Entry!$K$1579="","",[2]Entry!$K$1579)</f>
        <v/>
      </c>
      <c r="V1576">
        <f>IF([2]Entry!$L$1579="","",[2]Entry!$L$1579)</f>
        <v/>
      </c>
      <c r="W1576">
        <f>IF([2]Entry!$M$1579="","",[2]Entry!$M$1579)</f>
        <v/>
      </c>
      <c r="X1576">
        <f>IF([2]Entry!$N$1579="","",[2]Entry!$N$1579)</f>
        <v/>
      </c>
      <c r="Y1576">
        <f>IF([2]Entry!$R$1579="","",[2]Entry!$R$1579)</f>
        <v/>
      </c>
    </row>
    <row r="1577">
      <c r="P1577">
        <f>IF([2]Entry!$C$1580="","",[2]Entry!$C$1580)</f>
        <v/>
      </c>
      <c r="Q1577">
        <f>IF([2]Entry!$D$1580="","",[2]Entry!$D$1580)</f>
        <v/>
      </c>
      <c r="R1577">
        <f>IF([2]Entry!$E$1580="","",[2]Entry!$E$1580)</f>
        <v/>
      </c>
      <c r="S1577">
        <f>IF([2]Entry!$G$1580="","",[2]Entry!$G$1580)</f>
        <v/>
      </c>
      <c r="T1577">
        <f>IF([2]Entry!$J$1580="","",[2]Entry!$J$1580)</f>
        <v/>
      </c>
      <c r="U1577">
        <f>IF([2]Entry!$K$1580="","",[2]Entry!$K$1580)</f>
        <v/>
      </c>
      <c r="V1577">
        <f>IF([2]Entry!$L$1580="","",[2]Entry!$L$1580)</f>
        <v/>
      </c>
      <c r="W1577">
        <f>IF([2]Entry!$M$1580="","",[2]Entry!$M$1580)</f>
        <v/>
      </c>
      <c r="X1577">
        <f>IF([2]Entry!$N$1580="","",[2]Entry!$N$1580)</f>
        <v/>
      </c>
      <c r="Y1577">
        <f>IF([2]Entry!$R$1580="","",[2]Entry!$R$1580)</f>
        <v/>
      </c>
    </row>
    <row r="1578">
      <c r="P1578">
        <f>IF([2]Entry!$C$1581="","",[2]Entry!$C$1581)</f>
        <v/>
      </c>
      <c r="Q1578">
        <f>IF([2]Entry!$D$1581="","",[2]Entry!$D$1581)</f>
        <v/>
      </c>
      <c r="R1578">
        <f>IF([2]Entry!$E$1581="","",[2]Entry!$E$1581)</f>
        <v/>
      </c>
      <c r="S1578">
        <f>IF([2]Entry!$G$1581="","",[2]Entry!$G$1581)</f>
        <v/>
      </c>
      <c r="T1578">
        <f>IF([2]Entry!$J$1581="","",[2]Entry!$J$1581)</f>
        <v/>
      </c>
      <c r="U1578">
        <f>IF([2]Entry!$K$1581="","",[2]Entry!$K$1581)</f>
        <v/>
      </c>
      <c r="V1578">
        <f>IF([2]Entry!$L$1581="","",[2]Entry!$L$1581)</f>
        <v/>
      </c>
      <c r="W1578">
        <f>IF([2]Entry!$M$1581="","",[2]Entry!$M$1581)</f>
        <v/>
      </c>
      <c r="X1578">
        <f>IF([2]Entry!$N$1581="","",[2]Entry!$N$1581)</f>
        <v/>
      </c>
      <c r="Y1578">
        <f>IF([2]Entry!$R$1581="","",[2]Entry!$R$1581)</f>
        <v/>
      </c>
    </row>
    <row r="1579">
      <c r="P1579">
        <f>IF([2]Entry!$C$1582="","",[2]Entry!$C$1582)</f>
        <v/>
      </c>
      <c r="Q1579">
        <f>IF([2]Entry!$D$1582="","",[2]Entry!$D$1582)</f>
        <v/>
      </c>
      <c r="R1579">
        <f>IF([2]Entry!$E$1582="","",[2]Entry!$E$1582)</f>
        <v/>
      </c>
      <c r="S1579">
        <f>IF([2]Entry!$G$1582="","",[2]Entry!$G$1582)</f>
        <v/>
      </c>
      <c r="T1579">
        <f>IF([2]Entry!$J$1582="","",[2]Entry!$J$1582)</f>
        <v/>
      </c>
      <c r="U1579">
        <f>IF([2]Entry!$K$1582="","",[2]Entry!$K$1582)</f>
        <v/>
      </c>
      <c r="V1579">
        <f>IF([2]Entry!$L$1582="","",[2]Entry!$L$1582)</f>
        <v/>
      </c>
      <c r="W1579">
        <f>IF([2]Entry!$M$1582="","",[2]Entry!$M$1582)</f>
        <v/>
      </c>
      <c r="X1579">
        <f>IF([2]Entry!$N$1582="","",[2]Entry!$N$1582)</f>
        <v/>
      </c>
      <c r="Y1579">
        <f>IF([2]Entry!$R$1582="","",[2]Entry!$R$1582)</f>
        <v/>
      </c>
    </row>
    <row r="1580">
      <c r="P1580">
        <f>IF([2]Entry!$C$1583="","",[2]Entry!$C$1583)</f>
        <v/>
      </c>
      <c r="Q1580">
        <f>IF([2]Entry!$D$1583="","",[2]Entry!$D$1583)</f>
        <v/>
      </c>
      <c r="R1580">
        <f>IF([2]Entry!$E$1583="","",[2]Entry!$E$1583)</f>
        <v/>
      </c>
      <c r="S1580">
        <f>IF([2]Entry!$G$1583="","",[2]Entry!$G$1583)</f>
        <v/>
      </c>
      <c r="T1580">
        <f>IF([2]Entry!$J$1583="","",[2]Entry!$J$1583)</f>
        <v/>
      </c>
      <c r="U1580">
        <f>IF([2]Entry!$K$1583="","",[2]Entry!$K$1583)</f>
        <v/>
      </c>
      <c r="V1580">
        <f>IF([2]Entry!$L$1583="","",[2]Entry!$L$1583)</f>
        <v/>
      </c>
      <c r="W1580">
        <f>IF([2]Entry!$M$1583="","",[2]Entry!$M$1583)</f>
        <v/>
      </c>
      <c r="X1580">
        <f>IF([2]Entry!$N$1583="","",[2]Entry!$N$1583)</f>
        <v/>
      </c>
      <c r="Y1580">
        <f>IF([2]Entry!$R$1583="","",[2]Entry!$R$1583)</f>
        <v/>
      </c>
    </row>
    <row r="1581">
      <c r="P1581">
        <f>IF([2]Entry!$C$1584="","",[2]Entry!$C$1584)</f>
        <v/>
      </c>
      <c r="Q1581">
        <f>IF([2]Entry!$D$1584="","",[2]Entry!$D$1584)</f>
        <v/>
      </c>
      <c r="R1581">
        <f>IF([2]Entry!$E$1584="","",[2]Entry!$E$1584)</f>
        <v/>
      </c>
      <c r="S1581">
        <f>IF([2]Entry!$G$1584="","",[2]Entry!$G$1584)</f>
        <v/>
      </c>
      <c r="T1581">
        <f>IF([2]Entry!$J$1584="","",[2]Entry!$J$1584)</f>
        <v/>
      </c>
      <c r="U1581">
        <f>IF([2]Entry!$K$1584="","",[2]Entry!$K$1584)</f>
        <v/>
      </c>
      <c r="V1581">
        <f>IF([2]Entry!$L$1584="","",[2]Entry!$L$1584)</f>
        <v/>
      </c>
      <c r="W1581">
        <f>IF([2]Entry!$M$1584="","",[2]Entry!$M$1584)</f>
        <v/>
      </c>
      <c r="X1581">
        <f>IF([2]Entry!$N$1584="","",[2]Entry!$N$1584)</f>
        <v/>
      </c>
      <c r="Y1581">
        <f>IF([2]Entry!$R$1584="","",[2]Entry!$R$1584)</f>
        <v/>
      </c>
    </row>
    <row r="1582">
      <c r="P1582">
        <f>IF([2]Entry!$C$1585="","",[2]Entry!$C$1585)</f>
        <v/>
      </c>
      <c r="Q1582">
        <f>IF([2]Entry!$D$1585="","",[2]Entry!$D$1585)</f>
        <v/>
      </c>
      <c r="R1582">
        <f>IF([2]Entry!$E$1585="","",[2]Entry!$E$1585)</f>
        <v/>
      </c>
      <c r="S1582">
        <f>IF([2]Entry!$G$1585="","",[2]Entry!$G$1585)</f>
        <v/>
      </c>
      <c r="T1582">
        <f>IF([2]Entry!$J$1585="","",[2]Entry!$J$1585)</f>
        <v/>
      </c>
      <c r="U1582">
        <f>IF([2]Entry!$K$1585="","",[2]Entry!$K$1585)</f>
        <v/>
      </c>
      <c r="V1582">
        <f>IF([2]Entry!$L$1585="","",[2]Entry!$L$1585)</f>
        <v/>
      </c>
      <c r="W1582">
        <f>IF([2]Entry!$M$1585="","",[2]Entry!$M$1585)</f>
        <v/>
      </c>
      <c r="X1582">
        <f>IF([2]Entry!$N$1585="","",[2]Entry!$N$1585)</f>
        <v/>
      </c>
      <c r="Y1582">
        <f>IF([2]Entry!$R$1585="","",[2]Entry!$R$1585)</f>
        <v/>
      </c>
    </row>
    <row r="1583">
      <c r="P1583">
        <f>IF([2]Entry!$C$1586="","",[2]Entry!$C$1586)</f>
        <v/>
      </c>
      <c r="Q1583">
        <f>IF([2]Entry!$D$1586="","",[2]Entry!$D$1586)</f>
        <v/>
      </c>
      <c r="R1583">
        <f>IF([2]Entry!$E$1586="","",[2]Entry!$E$1586)</f>
        <v/>
      </c>
      <c r="S1583">
        <f>IF([2]Entry!$G$1586="","",[2]Entry!$G$1586)</f>
        <v/>
      </c>
      <c r="T1583">
        <f>IF([2]Entry!$J$1586="","",[2]Entry!$J$1586)</f>
        <v/>
      </c>
      <c r="U1583">
        <f>IF([2]Entry!$K$1586="","",[2]Entry!$K$1586)</f>
        <v/>
      </c>
      <c r="V1583">
        <f>IF([2]Entry!$L$1586="","",[2]Entry!$L$1586)</f>
        <v/>
      </c>
      <c r="W1583">
        <f>IF([2]Entry!$M$1586="","",[2]Entry!$M$1586)</f>
        <v/>
      </c>
      <c r="X1583">
        <f>IF([2]Entry!$N$1586="","",[2]Entry!$N$1586)</f>
        <v/>
      </c>
      <c r="Y1583">
        <f>IF([2]Entry!$R$1586="","",[2]Entry!$R$1586)</f>
        <v/>
      </c>
    </row>
    <row r="1584">
      <c r="P1584">
        <f>IF([2]Entry!$C$1587="","",[2]Entry!$C$1587)</f>
        <v/>
      </c>
      <c r="Q1584">
        <f>IF([2]Entry!$D$1587="","",[2]Entry!$D$1587)</f>
        <v/>
      </c>
      <c r="R1584">
        <f>IF([2]Entry!$E$1587="","",[2]Entry!$E$1587)</f>
        <v/>
      </c>
      <c r="S1584">
        <f>IF([2]Entry!$G$1587="","",[2]Entry!$G$1587)</f>
        <v/>
      </c>
      <c r="T1584">
        <f>IF([2]Entry!$J$1587="","",[2]Entry!$J$1587)</f>
        <v/>
      </c>
      <c r="U1584">
        <f>IF([2]Entry!$K$1587="","",[2]Entry!$K$1587)</f>
        <v/>
      </c>
      <c r="V1584">
        <f>IF([2]Entry!$L$1587="","",[2]Entry!$L$1587)</f>
        <v/>
      </c>
      <c r="W1584">
        <f>IF([2]Entry!$M$1587="","",[2]Entry!$M$1587)</f>
        <v/>
      </c>
      <c r="X1584">
        <f>IF([2]Entry!$N$1587="","",[2]Entry!$N$1587)</f>
        <v/>
      </c>
      <c r="Y1584">
        <f>IF([2]Entry!$R$1587="","",[2]Entry!$R$1587)</f>
        <v/>
      </c>
    </row>
    <row r="1585">
      <c r="P1585">
        <f>IF([2]Entry!$C$1588="","",[2]Entry!$C$1588)</f>
        <v/>
      </c>
      <c r="Q1585">
        <f>IF([2]Entry!$D$1588="","",[2]Entry!$D$1588)</f>
        <v/>
      </c>
      <c r="R1585">
        <f>IF([2]Entry!$E$1588="","",[2]Entry!$E$1588)</f>
        <v/>
      </c>
      <c r="S1585">
        <f>IF([2]Entry!$G$1588="","",[2]Entry!$G$1588)</f>
        <v/>
      </c>
      <c r="T1585">
        <f>IF([2]Entry!$J$1588="","",[2]Entry!$J$1588)</f>
        <v/>
      </c>
      <c r="U1585">
        <f>IF([2]Entry!$K$1588="","",[2]Entry!$K$1588)</f>
        <v/>
      </c>
      <c r="V1585">
        <f>IF([2]Entry!$L$1588="","",[2]Entry!$L$1588)</f>
        <v/>
      </c>
      <c r="W1585">
        <f>IF([2]Entry!$M$1588="","",[2]Entry!$M$1588)</f>
        <v/>
      </c>
      <c r="X1585">
        <f>IF([2]Entry!$N$1588="","",[2]Entry!$N$1588)</f>
        <v/>
      </c>
      <c r="Y1585">
        <f>IF([2]Entry!$R$1588="","",[2]Entry!$R$1588)</f>
        <v/>
      </c>
    </row>
    <row r="1586">
      <c r="P1586">
        <f>IF([2]Entry!$C$1589="","",[2]Entry!$C$1589)</f>
        <v/>
      </c>
      <c r="Q1586">
        <f>IF([2]Entry!$D$1589="","",[2]Entry!$D$1589)</f>
        <v/>
      </c>
      <c r="R1586">
        <f>IF([2]Entry!$E$1589="","",[2]Entry!$E$1589)</f>
        <v/>
      </c>
      <c r="S1586">
        <f>IF([2]Entry!$G$1589="","",[2]Entry!$G$1589)</f>
        <v/>
      </c>
      <c r="T1586">
        <f>IF([2]Entry!$J$1589="","",[2]Entry!$J$1589)</f>
        <v/>
      </c>
      <c r="U1586">
        <f>IF([2]Entry!$K$1589="","",[2]Entry!$K$1589)</f>
        <v/>
      </c>
      <c r="V1586">
        <f>IF([2]Entry!$L$1589="","",[2]Entry!$L$1589)</f>
        <v/>
      </c>
      <c r="W1586">
        <f>IF([2]Entry!$M$1589="","",[2]Entry!$M$1589)</f>
        <v/>
      </c>
      <c r="X1586">
        <f>IF([2]Entry!$N$1589="","",[2]Entry!$N$1589)</f>
        <v/>
      </c>
      <c r="Y1586">
        <f>IF([2]Entry!$R$1589="","",[2]Entry!$R$1589)</f>
        <v/>
      </c>
    </row>
    <row r="1587">
      <c r="P1587">
        <f>IF([2]Entry!$C$1590="","",[2]Entry!$C$1590)</f>
        <v/>
      </c>
      <c r="Q1587">
        <f>IF([2]Entry!$D$1590="","",[2]Entry!$D$1590)</f>
        <v/>
      </c>
      <c r="R1587">
        <f>IF([2]Entry!$E$1590="","",[2]Entry!$E$1590)</f>
        <v/>
      </c>
      <c r="S1587">
        <f>IF([2]Entry!$G$1590="","",[2]Entry!$G$1590)</f>
        <v/>
      </c>
      <c r="T1587">
        <f>IF([2]Entry!$J$1590="","",[2]Entry!$J$1590)</f>
        <v/>
      </c>
      <c r="U1587">
        <f>IF([2]Entry!$K$1590="","",[2]Entry!$K$1590)</f>
        <v/>
      </c>
      <c r="V1587">
        <f>IF([2]Entry!$L$1590="","",[2]Entry!$L$1590)</f>
        <v/>
      </c>
      <c r="W1587">
        <f>IF([2]Entry!$M$1590="","",[2]Entry!$M$1590)</f>
        <v/>
      </c>
      <c r="X1587">
        <f>IF([2]Entry!$N$1590="","",[2]Entry!$N$1590)</f>
        <v/>
      </c>
      <c r="Y1587">
        <f>IF([2]Entry!$R$1590="","",[2]Entry!$R$1590)</f>
        <v/>
      </c>
    </row>
    <row r="1588">
      <c r="P1588">
        <f>IF([2]Entry!$C$1591="","",[2]Entry!$C$1591)</f>
        <v/>
      </c>
      <c r="Q1588">
        <f>IF([2]Entry!$D$1591="","",[2]Entry!$D$1591)</f>
        <v/>
      </c>
      <c r="R1588">
        <f>IF([2]Entry!$E$1591="","",[2]Entry!$E$1591)</f>
        <v/>
      </c>
      <c r="S1588">
        <f>IF([2]Entry!$G$1591="","",[2]Entry!$G$1591)</f>
        <v/>
      </c>
      <c r="T1588">
        <f>IF([2]Entry!$J$1591="","",[2]Entry!$J$1591)</f>
        <v/>
      </c>
      <c r="U1588">
        <f>IF([2]Entry!$K$1591="","",[2]Entry!$K$1591)</f>
        <v/>
      </c>
      <c r="V1588">
        <f>IF([2]Entry!$L$1591="","",[2]Entry!$L$1591)</f>
        <v/>
      </c>
      <c r="W1588">
        <f>IF([2]Entry!$M$1591="","",[2]Entry!$M$1591)</f>
        <v/>
      </c>
      <c r="X1588">
        <f>IF([2]Entry!$N$1591="","",[2]Entry!$N$1591)</f>
        <v/>
      </c>
      <c r="Y1588">
        <f>IF([2]Entry!$R$1591="","",[2]Entry!$R$1591)</f>
        <v/>
      </c>
    </row>
    <row r="1589">
      <c r="P1589">
        <f>IF([2]Entry!$C$1592="","",[2]Entry!$C$1592)</f>
        <v/>
      </c>
      <c r="Q1589">
        <f>IF([2]Entry!$D$1592="","",[2]Entry!$D$1592)</f>
        <v/>
      </c>
      <c r="R1589">
        <f>IF([2]Entry!$E$1592="","",[2]Entry!$E$1592)</f>
        <v/>
      </c>
      <c r="S1589">
        <f>IF([2]Entry!$G$1592="","",[2]Entry!$G$1592)</f>
        <v/>
      </c>
      <c r="T1589">
        <f>IF([2]Entry!$J$1592="","",[2]Entry!$J$1592)</f>
        <v/>
      </c>
      <c r="U1589">
        <f>IF([2]Entry!$K$1592="","",[2]Entry!$K$1592)</f>
        <v/>
      </c>
      <c r="V1589">
        <f>IF([2]Entry!$L$1592="","",[2]Entry!$L$1592)</f>
        <v/>
      </c>
      <c r="W1589">
        <f>IF([2]Entry!$M$1592="","",[2]Entry!$M$1592)</f>
        <v/>
      </c>
      <c r="X1589">
        <f>IF([2]Entry!$N$1592="","",[2]Entry!$N$1592)</f>
        <v/>
      </c>
      <c r="Y1589">
        <f>IF([2]Entry!$R$1592="","",[2]Entry!$R$1592)</f>
        <v/>
      </c>
    </row>
    <row r="1590">
      <c r="P1590">
        <f>IF([2]Entry!$C$1593="","",[2]Entry!$C$1593)</f>
        <v/>
      </c>
      <c r="Q1590">
        <f>IF([2]Entry!$D$1593="","",[2]Entry!$D$1593)</f>
        <v/>
      </c>
      <c r="R1590">
        <f>IF([2]Entry!$E$1593="","",[2]Entry!$E$1593)</f>
        <v/>
      </c>
      <c r="S1590">
        <f>IF([2]Entry!$G$1593="","",[2]Entry!$G$1593)</f>
        <v/>
      </c>
      <c r="T1590">
        <f>IF([2]Entry!$J$1593="","",[2]Entry!$J$1593)</f>
        <v/>
      </c>
      <c r="U1590">
        <f>IF([2]Entry!$K$1593="","",[2]Entry!$K$1593)</f>
        <v/>
      </c>
      <c r="V1590">
        <f>IF([2]Entry!$L$1593="","",[2]Entry!$L$1593)</f>
        <v/>
      </c>
      <c r="W1590">
        <f>IF([2]Entry!$M$1593="","",[2]Entry!$M$1593)</f>
        <v/>
      </c>
      <c r="X1590">
        <f>IF([2]Entry!$N$1593="","",[2]Entry!$N$1593)</f>
        <v/>
      </c>
      <c r="Y1590">
        <f>IF([2]Entry!$R$1593="","",[2]Entry!$R$1593)</f>
        <v/>
      </c>
    </row>
    <row r="1591">
      <c r="P1591">
        <f>IF([2]Entry!$C$1594="","",[2]Entry!$C$1594)</f>
        <v/>
      </c>
      <c r="Q1591">
        <f>IF([2]Entry!$D$1594="","",[2]Entry!$D$1594)</f>
        <v/>
      </c>
      <c r="R1591">
        <f>IF([2]Entry!$E$1594="","",[2]Entry!$E$1594)</f>
        <v/>
      </c>
      <c r="S1591">
        <f>IF([2]Entry!$G$1594="","",[2]Entry!$G$1594)</f>
        <v/>
      </c>
      <c r="T1591">
        <f>IF([2]Entry!$J$1594="","",[2]Entry!$J$1594)</f>
        <v/>
      </c>
      <c r="U1591">
        <f>IF([2]Entry!$K$1594="","",[2]Entry!$K$1594)</f>
        <v/>
      </c>
      <c r="V1591">
        <f>IF([2]Entry!$L$1594="","",[2]Entry!$L$1594)</f>
        <v/>
      </c>
      <c r="W1591">
        <f>IF([2]Entry!$M$1594="","",[2]Entry!$M$1594)</f>
        <v/>
      </c>
      <c r="X1591">
        <f>IF([2]Entry!$N$1594="","",[2]Entry!$N$1594)</f>
        <v/>
      </c>
      <c r="Y1591">
        <f>IF([2]Entry!$R$1594="","",[2]Entry!$R$1594)</f>
        <v/>
      </c>
    </row>
    <row r="1592">
      <c r="P1592">
        <f>IF([2]Entry!$C$1595="","",[2]Entry!$C$1595)</f>
        <v/>
      </c>
      <c r="Q1592">
        <f>IF([2]Entry!$D$1595="","",[2]Entry!$D$1595)</f>
        <v/>
      </c>
      <c r="R1592">
        <f>IF([2]Entry!$E$1595="","",[2]Entry!$E$1595)</f>
        <v/>
      </c>
      <c r="S1592">
        <f>IF([2]Entry!$G$1595="","",[2]Entry!$G$1595)</f>
        <v/>
      </c>
      <c r="T1592">
        <f>IF([2]Entry!$J$1595="","",[2]Entry!$J$1595)</f>
        <v/>
      </c>
      <c r="U1592">
        <f>IF([2]Entry!$K$1595="","",[2]Entry!$K$1595)</f>
        <v/>
      </c>
      <c r="V1592">
        <f>IF([2]Entry!$L$1595="","",[2]Entry!$L$1595)</f>
        <v/>
      </c>
      <c r="W1592">
        <f>IF([2]Entry!$M$1595="","",[2]Entry!$M$1595)</f>
        <v/>
      </c>
      <c r="X1592">
        <f>IF([2]Entry!$N$1595="","",[2]Entry!$N$1595)</f>
        <v/>
      </c>
      <c r="Y1592">
        <f>IF([2]Entry!$R$1595="","",[2]Entry!$R$1595)</f>
        <v/>
      </c>
    </row>
    <row r="1593">
      <c r="P1593">
        <f>IF([2]Entry!$C$1596="","",[2]Entry!$C$1596)</f>
        <v/>
      </c>
      <c r="Q1593">
        <f>IF([2]Entry!$D$1596="","",[2]Entry!$D$1596)</f>
        <v/>
      </c>
      <c r="R1593">
        <f>IF([2]Entry!$E$1596="","",[2]Entry!$E$1596)</f>
        <v/>
      </c>
      <c r="S1593">
        <f>IF([2]Entry!$G$1596="","",[2]Entry!$G$1596)</f>
        <v/>
      </c>
      <c r="T1593">
        <f>IF([2]Entry!$J$1596="","",[2]Entry!$J$1596)</f>
        <v/>
      </c>
      <c r="U1593">
        <f>IF([2]Entry!$K$1596="","",[2]Entry!$K$1596)</f>
        <v/>
      </c>
      <c r="V1593">
        <f>IF([2]Entry!$L$1596="","",[2]Entry!$L$1596)</f>
        <v/>
      </c>
      <c r="W1593">
        <f>IF([2]Entry!$M$1596="","",[2]Entry!$M$1596)</f>
        <v/>
      </c>
      <c r="X1593">
        <f>IF([2]Entry!$N$1596="","",[2]Entry!$N$1596)</f>
        <v/>
      </c>
      <c r="Y1593">
        <f>IF([2]Entry!$R$1596="","",[2]Entry!$R$1596)</f>
        <v/>
      </c>
    </row>
    <row r="1594">
      <c r="P1594">
        <f>IF([2]Entry!$C$1597="","",[2]Entry!$C$1597)</f>
        <v/>
      </c>
      <c r="Q1594">
        <f>IF([2]Entry!$D$1597="","",[2]Entry!$D$1597)</f>
        <v/>
      </c>
      <c r="R1594">
        <f>IF([2]Entry!$E$1597="","",[2]Entry!$E$1597)</f>
        <v/>
      </c>
      <c r="S1594">
        <f>IF([2]Entry!$G$1597="","",[2]Entry!$G$1597)</f>
        <v/>
      </c>
      <c r="T1594">
        <f>IF([2]Entry!$J$1597="","",[2]Entry!$J$1597)</f>
        <v/>
      </c>
      <c r="U1594">
        <f>IF([2]Entry!$K$1597="","",[2]Entry!$K$1597)</f>
        <v/>
      </c>
      <c r="V1594">
        <f>IF([2]Entry!$L$1597="","",[2]Entry!$L$1597)</f>
        <v/>
      </c>
      <c r="W1594">
        <f>IF([2]Entry!$M$1597="","",[2]Entry!$M$1597)</f>
        <v/>
      </c>
      <c r="X1594">
        <f>IF([2]Entry!$N$1597="","",[2]Entry!$N$1597)</f>
        <v/>
      </c>
      <c r="Y1594">
        <f>IF([2]Entry!$R$1597="","",[2]Entry!$R$1597)</f>
        <v/>
      </c>
    </row>
    <row r="1595">
      <c r="P1595">
        <f>IF([2]Entry!$C$1598="","",[2]Entry!$C$1598)</f>
        <v/>
      </c>
      <c r="Q1595">
        <f>IF([2]Entry!$D$1598="","",[2]Entry!$D$1598)</f>
        <v/>
      </c>
      <c r="R1595">
        <f>IF([2]Entry!$E$1598="","",[2]Entry!$E$1598)</f>
        <v/>
      </c>
      <c r="S1595">
        <f>IF([2]Entry!$G$1598="","",[2]Entry!$G$1598)</f>
        <v/>
      </c>
      <c r="T1595">
        <f>IF([2]Entry!$J$1598="","",[2]Entry!$J$1598)</f>
        <v/>
      </c>
      <c r="U1595">
        <f>IF([2]Entry!$K$1598="","",[2]Entry!$K$1598)</f>
        <v/>
      </c>
      <c r="V1595">
        <f>IF([2]Entry!$L$1598="","",[2]Entry!$L$1598)</f>
        <v/>
      </c>
      <c r="W1595">
        <f>IF([2]Entry!$M$1598="","",[2]Entry!$M$1598)</f>
        <v/>
      </c>
      <c r="X1595">
        <f>IF([2]Entry!$N$1598="","",[2]Entry!$N$1598)</f>
        <v/>
      </c>
      <c r="Y1595">
        <f>IF([2]Entry!$R$1598="","",[2]Entry!$R$1598)</f>
        <v/>
      </c>
    </row>
    <row r="1596">
      <c r="P1596">
        <f>IF([2]Entry!$C$1599="","",[2]Entry!$C$1599)</f>
        <v/>
      </c>
      <c r="Q1596">
        <f>IF([2]Entry!$D$1599="","",[2]Entry!$D$1599)</f>
        <v/>
      </c>
      <c r="R1596">
        <f>IF([2]Entry!$E$1599="","",[2]Entry!$E$1599)</f>
        <v/>
      </c>
      <c r="S1596">
        <f>IF([2]Entry!$G$1599="","",[2]Entry!$G$1599)</f>
        <v/>
      </c>
      <c r="T1596">
        <f>IF([2]Entry!$J$1599="","",[2]Entry!$J$1599)</f>
        <v/>
      </c>
      <c r="U1596">
        <f>IF([2]Entry!$K$1599="","",[2]Entry!$K$1599)</f>
        <v/>
      </c>
      <c r="V1596">
        <f>IF([2]Entry!$L$1599="","",[2]Entry!$L$1599)</f>
        <v/>
      </c>
      <c r="W1596">
        <f>IF([2]Entry!$M$1599="","",[2]Entry!$M$1599)</f>
        <v/>
      </c>
      <c r="X1596">
        <f>IF([2]Entry!$N$1599="","",[2]Entry!$N$1599)</f>
        <v/>
      </c>
      <c r="Y1596">
        <f>IF([2]Entry!$R$1599="","",[2]Entry!$R$1599)</f>
        <v/>
      </c>
    </row>
    <row r="1597">
      <c r="P1597">
        <f>IF([2]Entry!$C$1600="","",[2]Entry!$C$1600)</f>
        <v/>
      </c>
      <c r="Q1597">
        <f>IF([2]Entry!$D$1600="","",[2]Entry!$D$1600)</f>
        <v/>
      </c>
      <c r="R1597">
        <f>IF([2]Entry!$E$1600="","",[2]Entry!$E$1600)</f>
        <v/>
      </c>
      <c r="S1597">
        <f>IF([2]Entry!$G$1600="","",[2]Entry!$G$1600)</f>
        <v/>
      </c>
      <c r="T1597">
        <f>IF([2]Entry!$J$1600="","",[2]Entry!$J$1600)</f>
        <v/>
      </c>
      <c r="U1597">
        <f>IF([2]Entry!$K$1600="","",[2]Entry!$K$1600)</f>
        <v/>
      </c>
      <c r="V1597">
        <f>IF([2]Entry!$L$1600="","",[2]Entry!$L$1600)</f>
        <v/>
      </c>
      <c r="W1597">
        <f>IF([2]Entry!$M$1600="","",[2]Entry!$M$1600)</f>
        <v/>
      </c>
      <c r="X1597">
        <f>IF([2]Entry!$N$1600="","",[2]Entry!$N$1600)</f>
        <v/>
      </c>
      <c r="Y1597">
        <f>IF([2]Entry!$R$1600="","",[2]Entry!$R$1600)</f>
        <v/>
      </c>
    </row>
    <row r="1598">
      <c r="P1598">
        <f>IF([2]Entry!$C$1601="","",[2]Entry!$C$1601)</f>
        <v/>
      </c>
      <c r="Q1598">
        <f>IF([2]Entry!$D$1601="","",[2]Entry!$D$1601)</f>
        <v/>
      </c>
      <c r="R1598">
        <f>IF([2]Entry!$E$1601="","",[2]Entry!$E$1601)</f>
        <v/>
      </c>
      <c r="S1598">
        <f>IF([2]Entry!$G$1601="","",[2]Entry!$G$1601)</f>
        <v/>
      </c>
      <c r="T1598">
        <f>IF([2]Entry!$J$1601="","",[2]Entry!$J$1601)</f>
        <v/>
      </c>
      <c r="U1598">
        <f>IF([2]Entry!$K$1601="","",[2]Entry!$K$1601)</f>
        <v/>
      </c>
      <c r="V1598">
        <f>IF([2]Entry!$L$1601="","",[2]Entry!$L$1601)</f>
        <v/>
      </c>
      <c r="W1598">
        <f>IF([2]Entry!$M$1601="","",[2]Entry!$M$1601)</f>
        <v/>
      </c>
      <c r="X1598">
        <f>IF([2]Entry!$N$1601="","",[2]Entry!$N$1601)</f>
        <v/>
      </c>
      <c r="Y1598">
        <f>IF([2]Entry!$R$1601="","",[2]Entry!$R$1601)</f>
        <v/>
      </c>
    </row>
    <row r="1599">
      <c r="P1599">
        <f>IF([2]Entry!$C$1602="","",[2]Entry!$C$1602)</f>
        <v/>
      </c>
      <c r="Q1599">
        <f>IF([2]Entry!$D$1602="","",[2]Entry!$D$1602)</f>
        <v/>
      </c>
      <c r="R1599">
        <f>IF([2]Entry!$E$1602="","",[2]Entry!$E$1602)</f>
        <v/>
      </c>
      <c r="S1599">
        <f>IF([2]Entry!$G$1602="","",[2]Entry!$G$1602)</f>
        <v/>
      </c>
      <c r="T1599">
        <f>IF([2]Entry!$J$1602="","",[2]Entry!$J$1602)</f>
        <v/>
      </c>
      <c r="U1599">
        <f>IF([2]Entry!$K$1602="","",[2]Entry!$K$1602)</f>
        <v/>
      </c>
      <c r="V1599">
        <f>IF([2]Entry!$L$1602="","",[2]Entry!$L$1602)</f>
        <v/>
      </c>
      <c r="W1599">
        <f>IF([2]Entry!$M$1602="","",[2]Entry!$M$1602)</f>
        <v/>
      </c>
      <c r="X1599">
        <f>IF([2]Entry!$N$1602="","",[2]Entry!$N$1602)</f>
        <v/>
      </c>
      <c r="Y1599">
        <f>IF([2]Entry!$R$1602="","",[2]Entry!$R$1602)</f>
        <v/>
      </c>
    </row>
    <row r="1600">
      <c r="P1600">
        <f>IF([2]Entry!$C$1603="","",[2]Entry!$C$1603)</f>
        <v/>
      </c>
      <c r="Q1600">
        <f>IF([2]Entry!$D$1603="","",[2]Entry!$D$1603)</f>
        <v/>
      </c>
      <c r="R1600">
        <f>IF([2]Entry!$E$1603="","",[2]Entry!$E$1603)</f>
        <v/>
      </c>
      <c r="S1600">
        <f>IF([2]Entry!$G$1603="","",[2]Entry!$G$1603)</f>
        <v/>
      </c>
      <c r="T1600">
        <f>IF([2]Entry!$J$1603="","",[2]Entry!$J$1603)</f>
        <v/>
      </c>
      <c r="U1600">
        <f>IF([2]Entry!$K$1603="","",[2]Entry!$K$1603)</f>
        <v/>
      </c>
      <c r="V1600">
        <f>IF([2]Entry!$L$1603="","",[2]Entry!$L$1603)</f>
        <v/>
      </c>
      <c r="W1600">
        <f>IF([2]Entry!$M$1603="","",[2]Entry!$M$1603)</f>
        <v/>
      </c>
      <c r="X1600">
        <f>IF([2]Entry!$N$1603="","",[2]Entry!$N$1603)</f>
        <v/>
      </c>
      <c r="Y1600">
        <f>IF([2]Entry!$R$1603="","",[2]Entry!$R$1603)</f>
        <v/>
      </c>
    </row>
    <row r="1601">
      <c r="P1601">
        <f>IF([2]Entry!$C$1604="","",[2]Entry!$C$1604)</f>
        <v/>
      </c>
      <c r="Q1601">
        <f>IF([2]Entry!$D$1604="","",[2]Entry!$D$1604)</f>
        <v/>
      </c>
      <c r="R1601">
        <f>IF([2]Entry!$E$1604="","",[2]Entry!$E$1604)</f>
        <v/>
      </c>
      <c r="S1601">
        <f>IF([2]Entry!$G$1604="","",[2]Entry!$G$1604)</f>
        <v/>
      </c>
      <c r="T1601">
        <f>IF([2]Entry!$J$1604="","",[2]Entry!$J$1604)</f>
        <v/>
      </c>
      <c r="U1601">
        <f>IF([2]Entry!$K$1604="","",[2]Entry!$K$1604)</f>
        <v/>
      </c>
      <c r="V1601">
        <f>IF([2]Entry!$L$1604="","",[2]Entry!$L$1604)</f>
        <v/>
      </c>
      <c r="W1601">
        <f>IF([2]Entry!$M$1604="","",[2]Entry!$M$1604)</f>
        <v/>
      </c>
      <c r="X1601">
        <f>IF([2]Entry!$N$1604="","",[2]Entry!$N$1604)</f>
        <v/>
      </c>
      <c r="Y1601">
        <f>IF([2]Entry!$R$1604="","",[2]Entry!$R$1604)</f>
        <v/>
      </c>
    </row>
    <row r="1602">
      <c r="P1602">
        <f>IF([2]Entry!$C$1605="","",[2]Entry!$C$1605)</f>
        <v/>
      </c>
      <c r="Q1602">
        <f>IF([2]Entry!$D$1605="","",[2]Entry!$D$1605)</f>
        <v/>
      </c>
      <c r="R1602">
        <f>IF([2]Entry!$E$1605="","",[2]Entry!$E$1605)</f>
        <v/>
      </c>
      <c r="S1602">
        <f>IF([2]Entry!$G$1605="","",[2]Entry!$G$1605)</f>
        <v/>
      </c>
      <c r="T1602">
        <f>IF([2]Entry!$J$1605="","",[2]Entry!$J$1605)</f>
        <v/>
      </c>
      <c r="U1602">
        <f>IF([2]Entry!$K$1605="","",[2]Entry!$K$1605)</f>
        <v/>
      </c>
      <c r="V1602">
        <f>IF([2]Entry!$L$1605="","",[2]Entry!$L$1605)</f>
        <v/>
      </c>
      <c r="W1602">
        <f>IF([2]Entry!$M$1605="","",[2]Entry!$M$1605)</f>
        <v/>
      </c>
      <c r="X1602">
        <f>IF([2]Entry!$N$1605="","",[2]Entry!$N$1605)</f>
        <v/>
      </c>
      <c r="Y1602">
        <f>IF([2]Entry!$R$1605="","",[2]Entry!$R$1605)</f>
        <v/>
      </c>
    </row>
    <row r="1603">
      <c r="P1603">
        <f>IF([2]Entry!$C$1606="","",[2]Entry!$C$1606)</f>
        <v/>
      </c>
      <c r="Q1603">
        <f>IF([2]Entry!$D$1606="","",[2]Entry!$D$1606)</f>
        <v/>
      </c>
      <c r="R1603">
        <f>IF([2]Entry!$E$1606="","",[2]Entry!$E$1606)</f>
        <v/>
      </c>
      <c r="S1603">
        <f>IF([2]Entry!$G$1606="","",[2]Entry!$G$1606)</f>
        <v/>
      </c>
      <c r="T1603">
        <f>IF([2]Entry!$J$1606="","",[2]Entry!$J$1606)</f>
        <v/>
      </c>
      <c r="U1603">
        <f>IF([2]Entry!$K$1606="","",[2]Entry!$K$1606)</f>
        <v/>
      </c>
      <c r="V1603">
        <f>IF([2]Entry!$L$1606="","",[2]Entry!$L$1606)</f>
        <v/>
      </c>
      <c r="W1603">
        <f>IF([2]Entry!$M$1606="","",[2]Entry!$M$1606)</f>
        <v/>
      </c>
      <c r="X1603">
        <f>IF([2]Entry!$N$1606="","",[2]Entry!$N$1606)</f>
        <v/>
      </c>
      <c r="Y1603">
        <f>IF([2]Entry!$R$1606="","",[2]Entry!$R$1606)</f>
        <v/>
      </c>
    </row>
    <row r="1604">
      <c r="P1604">
        <f>IF([2]Entry!$C$1607="","",[2]Entry!$C$1607)</f>
        <v/>
      </c>
      <c r="Q1604">
        <f>IF([2]Entry!$D$1607="","",[2]Entry!$D$1607)</f>
        <v/>
      </c>
      <c r="R1604">
        <f>IF([2]Entry!$E$1607="","",[2]Entry!$E$1607)</f>
        <v/>
      </c>
      <c r="S1604">
        <f>IF([2]Entry!$G$1607="","",[2]Entry!$G$1607)</f>
        <v/>
      </c>
      <c r="T1604">
        <f>IF([2]Entry!$J$1607="","",[2]Entry!$J$1607)</f>
        <v/>
      </c>
      <c r="U1604">
        <f>IF([2]Entry!$K$1607="","",[2]Entry!$K$1607)</f>
        <v/>
      </c>
      <c r="V1604">
        <f>IF([2]Entry!$L$1607="","",[2]Entry!$L$1607)</f>
        <v/>
      </c>
      <c r="W1604">
        <f>IF([2]Entry!$M$1607="","",[2]Entry!$M$1607)</f>
        <v/>
      </c>
      <c r="X1604">
        <f>IF([2]Entry!$N$1607="","",[2]Entry!$N$1607)</f>
        <v/>
      </c>
      <c r="Y1604">
        <f>IF([2]Entry!$R$1607="","",[2]Entry!$R$1607)</f>
        <v/>
      </c>
    </row>
    <row r="1605">
      <c r="P1605">
        <f>IF([2]Entry!$C$1608="","",[2]Entry!$C$1608)</f>
        <v/>
      </c>
      <c r="Q1605">
        <f>IF([2]Entry!$D$1608="","",[2]Entry!$D$1608)</f>
        <v/>
      </c>
      <c r="R1605">
        <f>IF([2]Entry!$E$1608="","",[2]Entry!$E$1608)</f>
        <v/>
      </c>
      <c r="S1605">
        <f>IF([2]Entry!$G$1608="","",[2]Entry!$G$1608)</f>
        <v/>
      </c>
      <c r="T1605">
        <f>IF([2]Entry!$J$1608="","",[2]Entry!$J$1608)</f>
        <v/>
      </c>
      <c r="U1605">
        <f>IF([2]Entry!$K$1608="","",[2]Entry!$K$1608)</f>
        <v/>
      </c>
      <c r="V1605">
        <f>IF([2]Entry!$L$1608="","",[2]Entry!$L$1608)</f>
        <v/>
      </c>
      <c r="W1605">
        <f>IF([2]Entry!$M$1608="","",[2]Entry!$M$1608)</f>
        <v/>
      </c>
      <c r="X1605">
        <f>IF([2]Entry!$N$1608="","",[2]Entry!$N$1608)</f>
        <v/>
      </c>
      <c r="Y1605">
        <f>IF([2]Entry!$R$1608="","",[2]Entry!$R$1608)</f>
        <v/>
      </c>
    </row>
    <row r="1606">
      <c r="P1606">
        <f>IF([2]Entry!$C$1609="","",[2]Entry!$C$1609)</f>
        <v/>
      </c>
      <c r="Q1606">
        <f>IF([2]Entry!$D$1609="","",[2]Entry!$D$1609)</f>
        <v/>
      </c>
      <c r="R1606">
        <f>IF([2]Entry!$E$1609="","",[2]Entry!$E$1609)</f>
        <v/>
      </c>
      <c r="S1606">
        <f>IF([2]Entry!$G$1609="","",[2]Entry!$G$1609)</f>
        <v/>
      </c>
      <c r="T1606">
        <f>IF([2]Entry!$J$1609="","",[2]Entry!$J$1609)</f>
        <v/>
      </c>
      <c r="U1606">
        <f>IF([2]Entry!$K$1609="","",[2]Entry!$K$1609)</f>
        <v/>
      </c>
      <c r="V1606">
        <f>IF([2]Entry!$L$1609="","",[2]Entry!$L$1609)</f>
        <v/>
      </c>
      <c r="W1606">
        <f>IF([2]Entry!$M$1609="","",[2]Entry!$M$1609)</f>
        <v/>
      </c>
      <c r="X1606">
        <f>IF([2]Entry!$N$1609="","",[2]Entry!$N$1609)</f>
        <v/>
      </c>
      <c r="Y1606">
        <f>IF([2]Entry!$R$1609="","",[2]Entry!$R$1609)</f>
        <v/>
      </c>
    </row>
    <row r="1607">
      <c r="P1607">
        <f>IF([2]Entry!$C$1610="","",[2]Entry!$C$1610)</f>
        <v/>
      </c>
      <c r="Q1607">
        <f>IF([2]Entry!$D$1610="","",[2]Entry!$D$1610)</f>
        <v/>
      </c>
      <c r="R1607">
        <f>IF([2]Entry!$E$1610="","",[2]Entry!$E$1610)</f>
        <v/>
      </c>
      <c r="S1607">
        <f>IF([2]Entry!$G$1610="","",[2]Entry!$G$1610)</f>
        <v/>
      </c>
      <c r="T1607">
        <f>IF([2]Entry!$J$1610="","",[2]Entry!$J$1610)</f>
        <v/>
      </c>
      <c r="U1607">
        <f>IF([2]Entry!$K$1610="","",[2]Entry!$K$1610)</f>
        <v/>
      </c>
      <c r="V1607">
        <f>IF([2]Entry!$L$1610="","",[2]Entry!$L$1610)</f>
        <v/>
      </c>
      <c r="W1607">
        <f>IF([2]Entry!$M$1610="","",[2]Entry!$M$1610)</f>
        <v/>
      </c>
      <c r="X1607">
        <f>IF([2]Entry!$N$1610="","",[2]Entry!$N$1610)</f>
        <v/>
      </c>
      <c r="Y1607">
        <f>IF([2]Entry!$R$1610="","",[2]Entry!$R$1610)</f>
        <v/>
      </c>
    </row>
    <row r="1608">
      <c r="P1608">
        <f>IF([2]Entry!$C$1611="","",[2]Entry!$C$1611)</f>
        <v/>
      </c>
      <c r="Q1608">
        <f>IF([2]Entry!$D$1611="","",[2]Entry!$D$1611)</f>
        <v/>
      </c>
      <c r="R1608">
        <f>IF([2]Entry!$E$1611="","",[2]Entry!$E$1611)</f>
        <v/>
      </c>
      <c r="S1608">
        <f>IF([2]Entry!$G$1611="","",[2]Entry!$G$1611)</f>
        <v/>
      </c>
      <c r="T1608">
        <f>IF([2]Entry!$J$1611="","",[2]Entry!$J$1611)</f>
        <v/>
      </c>
      <c r="U1608">
        <f>IF([2]Entry!$K$1611="","",[2]Entry!$K$1611)</f>
        <v/>
      </c>
      <c r="V1608">
        <f>IF([2]Entry!$L$1611="","",[2]Entry!$L$1611)</f>
        <v/>
      </c>
      <c r="W1608">
        <f>IF([2]Entry!$M$1611="","",[2]Entry!$M$1611)</f>
        <v/>
      </c>
      <c r="X1608">
        <f>IF([2]Entry!$N$1611="","",[2]Entry!$N$1611)</f>
        <v/>
      </c>
      <c r="Y1608">
        <f>IF([2]Entry!$R$1611="","",[2]Entry!$R$1611)</f>
        <v/>
      </c>
    </row>
    <row r="1609">
      <c r="P1609">
        <f>IF([2]Entry!$C$1612="","",[2]Entry!$C$1612)</f>
        <v/>
      </c>
      <c r="Q1609">
        <f>IF([2]Entry!$D$1612="","",[2]Entry!$D$1612)</f>
        <v/>
      </c>
      <c r="R1609">
        <f>IF([2]Entry!$E$1612="","",[2]Entry!$E$1612)</f>
        <v/>
      </c>
      <c r="S1609">
        <f>IF([2]Entry!$G$1612="","",[2]Entry!$G$1612)</f>
        <v/>
      </c>
      <c r="T1609">
        <f>IF([2]Entry!$J$1612="","",[2]Entry!$J$1612)</f>
        <v/>
      </c>
      <c r="U1609">
        <f>IF([2]Entry!$K$1612="","",[2]Entry!$K$1612)</f>
        <v/>
      </c>
      <c r="V1609">
        <f>IF([2]Entry!$L$1612="","",[2]Entry!$L$1612)</f>
        <v/>
      </c>
      <c r="W1609">
        <f>IF([2]Entry!$M$1612="","",[2]Entry!$M$1612)</f>
        <v/>
      </c>
      <c r="X1609">
        <f>IF([2]Entry!$N$1612="","",[2]Entry!$N$1612)</f>
        <v/>
      </c>
      <c r="Y1609">
        <f>IF([2]Entry!$R$1612="","",[2]Entry!$R$1612)</f>
        <v/>
      </c>
    </row>
    <row r="1610">
      <c r="P1610">
        <f>IF([2]Entry!$C$1613="","",[2]Entry!$C$1613)</f>
        <v/>
      </c>
      <c r="Q1610">
        <f>IF([2]Entry!$D$1613="","",[2]Entry!$D$1613)</f>
        <v/>
      </c>
      <c r="R1610">
        <f>IF([2]Entry!$E$1613="","",[2]Entry!$E$1613)</f>
        <v/>
      </c>
      <c r="S1610">
        <f>IF([2]Entry!$G$1613="","",[2]Entry!$G$1613)</f>
        <v/>
      </c>
      <c r="T1610">
        <f>IF([2]Entry!$J$1613="","",[2]Entry!$J$1613)</f>
        <v/>
      </c>
      <c r="U1610">
        <f>IF([2]Entry!$K$1613="","",[2]Entry!$K$1613)</f>
        <v/>
      </c>
      <c r="V1610">
        <f>IF([2]Entry!$L$1613="","",[2]Entry!$L$1613)</f>
        <v/>
      </c>
      <c r="W1610">
        <f>IF([2]Entry!$M$1613="","",[2]Entry!$M$1613)</f>
        <v/>
      </c>
      <c r="X1610">
        <f>IF([2]Entry!$N$1613="","",[2]Entry!$N$1613)</f>
        <v/>
      </c>
      <c r="Y1610">
        <f>IF([2]Entry!$R$1613="","",[2]Entry!$R$1613)</f>
        <v/>
      </c>
    </row>
    <row r="1611">
      <c r="P1611">
        <f>IF([2]Entry!$C$1614="","",[2]Entry!$C$1614)</f>
        <v/>
      </c>
      <c r="Q1611">
        <f>IF([2]Entry!$D$1614="","",[2]Entry!$D$1614)</f>
        <v/>
      </c>
      <c r="R1611">
        <f>IF([2]Entry!$E$1614="","",[2]Entry!$E$1614)</f>
        <v/>
      </c>
      <c r="S1611">
        <f>IF([2]Entry!$G$1614="","",[2]Entry!$G$1614)</f>
        <v/>
      </c>
      <c r="T1611">
        <f>IF([2]Entry!$J$1614="","",[2]Entry!$J$1614)</f>
        <v/>
      </c>
      <c r="U1611">
        <f>IF([2]Entry!$K$1614="","",[2]Entry!$K$1614)</f>
        <v/>
      </c>
      <c r="V1611">
        <f>IF([2]Entry!$L$1614="","",[2]Entry!$L$1614)</f>
        <v/>
      </c>
      <c r="W1611">
        <f>IF([2]Entry!$M$1614="","",[2]Entry!$M$1614)</f>
        <v/>
      </c>
      <c r="X1611">
        <f>IF([2]Entry!$N$1614="","",[2]Entry!$N$1614)</f>
        <v/>
      </c>
      <c r="Y1611">
        <f>IF([2]Entry!$R$1614="","",[2]Entry!$R$1614)</f>
        <v/>
      </c>
    </row>
    <row r="1612">
      <c r="P1612">
        <f>IF([2]Entry!$C$1615="","",[2]Entry!$C$1615)</f>
        <v/>
      </c>
      <c r="Q1612">
        <f>IF([2]Entry!$D$1615="","",[2]Entry!$D$1615)</f>
        <v/>
      </c>
      <c r="R1612">
        <f>IF([2]Entry!$E$1615="","",[2]Entry!$E$1615)</f>
        <v/>
      </c>
      <c r="S1612">
        <f>IF([2]Entry!$G$1615="","",[2]Entry!$G$1615)</f>
        <v/>
      </c>
      <c r="T1612">
        <f>IF([2]Entry!$J$1615="","",[2]Entry!$J$1615)</f>
        <v/>
      </c>
      <c r="U1612">
        <f>IF([2]Entry!$K$1615="","",[2]Entry!$K$1615)</f>
        <v/>
      </c>
      <c r="V1612">
        <f>IF([2]Entry!$L$1615="","",[2]Entry!$L$1615)</f>
        <v/>
      </c>
      <c r="W1612">
        <f>IF([2]Entry!$M$1615="","",[2]Entry!$M$1615)</f>
        <v/>
      </c>
      <c r="X1612">
        <f>IF([2]Entry!$N$1615="","",[2]Entry!$N$1615)</f>
        <v/>
      </c>
      <c r="Y1612">
        <f>IF([2]Entry!$R$1615="","",[2]Entry!$R$1615)</f>
        <v/>
      </c>
    </row>
    <row r="1613">
      <c r="P1613">
        <f>IF([2]Entry!$C$1616="","",[2]Entry!$C$1616)</f>
        <v/>
      </c>
      <c r="Q1613">
        <f>IF([2]Entry!$D$1616="","",[2]Entry!$D$1616)</f>
        <v/>
      </c>
      <c r="R1613">
        <f>IF([2]Entry!$E$1616="","",[2]Entry!$E$1616)</f>
        <v/>
      </c>
      <c r="S1613">
        <f>IF([2]Entry!$G$1616="","",[2]Entry!$G$1616)</f>
        <v/>
      </c>
      <c r="T1613">
        <f>IF([2]Entry!$J$1616="","",[2]Entry!$J$1616)</f>
        <v/>
      </c>
      <c r="U1613">
        <f>IF([2]Entry!$K$1616="","",[2]Entry!$K$1616)</f>
        <v/>
      </c>
      <c r="V1613">
        <f>IF([2]Entry!$L$1616="","",[2]Entry!$L$1616)</f>
        <v/>
      </c>
      <c r="W1613">
        <f>IF([2]Entry!$M$1616="","",[2]Entry!$M$1616)</f>
        <v/>
      </c>
      <c r="X1613">
        <f>IF([2]Entry!$N$1616="","",[2]Entry!$N$1616)</f>
        <v/>
      </c>
      <c r="Y1613">
        <f>IF([2]Entry!$R$1616="","",[2]Entry!$R$1616)</f>
        <v/>
      </c>
    </row>
    <row r="1614">
      <c r="P1614">
        <f>IF([2]Entry!$C$1617="","",[2]Entry!$C$1617)</f>
        <v/>
      </c>
      <c r="Q1614">
        <f>IF([2]Entry!$D$1617="","",[2]Entry!$D$1617)</f>
        <v/>
      </c>
      <c r="R1614">
        <f>IF([2]Entry!$E$1617="","",[2]Entry!$E$1617)</f>
        <v/>
      </c>
      <c r="S1614">
        <f>IF([2]Entry!$G$1617="","",[2]Entry!$G$1617)</f>
        <v/>
      </c>
      <c r="T1614">
        <f>IF([2]Entry!$J$1617="","",[2]Entry!$J$1617)</f>
        <v/>
      </c>
      <c r="U1614">
        <f>IF([2]Entry!$K$1617="","",[2]Entry!$K$1617)</f>
        <v/>
      </c>
      <c r="V1614">
        <f>IF([2]Entry!$L$1617="","",[2]Entry!$L$1617)</f>
        <v/>
      </c>
      <c r="W1614">
        <f>IF([2]Entry!$M$1617="","",[2]Entry!$M$1617)</f>
        <v/>
      </c>
      <c r="X1614">
        <f>IF([2]Entry!$N$1617="","",[2]Entry!$N$1617)</f>
        <v/>
      </c>
      <c r="Y1614">
        <f>IF([2]Entry!$R$1617="","",[2]Entry!$R$1617)</f>
        <v/>
      </c>
    </row>
    <row r="1615">
      <c r="P1615">
        <f>IF([2]Entry!$C$1618="","",[2]Entry!$C$1618)</f>
        <v/>
      </c>
      <c r="Q1615">
        <f>IF([2]Entry!$D$1618="","",[2]Entry!$D$1618)</f>
        <v/>
      </c>
      <c r="R1615">
        <f>IF([2]Entry!$E$1618="","",[2]Entry!$E$1618)</f>
        <v/>
      </c>
      <c r="S1615">
        <f>IF([2]Entry!$G$1618="","",[2]Entry!$G$1618)</f>
        <v/>
      </c>
      <c r="T1615">
        <f>IF([2]Entry!$J$1618="","",[2]Entry!$J$1618)</f>
        <v/>
      </c>
      <c r="U1615">
        <f>IF([2]Entry!$K$1618="","",[2]Entry!$K$1618)</f>
        <v/>
      </c>
      <c r="V1615">
        <f>IF([2]Entry!$L$1618="","",[2]Entry!$L$1618)</f>
        <v/>
      </c>
      <c r="W1615">
        <f>IF([2]Entry!$M$1618="","",[2]Entry!$M$1618)</f>
        <v/>
      </c>
      <c r="X1615">
        <f>IF([2]Entry!$N$1618="","",[2]Entry!$N$1618)</f>
        <v/>
      </c>
      <c r="Y1615">
        <f>IF([2]Entry!$R$1618="","",[2]Entry!$R$1618)</f>
        <v/>
      </c>
    </row>
    <row r="1616">
      <c r="P1616">
        <f>IF([2]Entry!$C$1619="","",[2]Entry!$C$1619)</f>
        <v/>
      </c>
      <c r="Q1616">
        <f>IF([2]Entry!$D$1619="","",[2]Entry!$D$1619)</f>
        <v/>
      </c>
      <c r="R1616">
        <f>IF([2]Entry!$E$1619="","",[2]Entry!$E$1619)</f>
        <v/>
      </c>
      <c r="S1616">
        <f>IF([2]Entry!$G$1619="","",[2]Entry!$G$1619)</f>
        <v/>
      </c>
      <c r="T1616">
        <f>IF([2]Entry!$J$1619="","",[2]Entry!$J$1619)</f>
        <v/>
      </c>
      <c r="U1616">
        <f>IF([2]Entry!$K$1619="","",[2]Entry!$K$1619)</f>
        <v/>
      </c>
      <c r="V1616">
        <f>IF([2]Entry!$L$1619="","",[2]Entry!$L$1619)</f>
        <v/>
      </c>
      <c r="W1616">
        <f>IF([2]Entry!$M$1619="","",[2]Entry!$M$1619)</f>
        <v/>
      </c>
      <c r="X1616">
        <f>IF([2]Entry!$N$1619="","",[2]Entry!$N$1619)</f>
        <v/>
      </c>
      <c r="Y1616">
        <f>IF([2]Entry!$R$1619="","",[2]Entry!$R$1619)</f>
        <v/>
      </c>
    </row>
    <row r="1617">
      <c r="P1617">
        <f>IF([2]Entry!$C$1620="","",[2]Entry!$C$1620)</f>
        <v/>
      </c>
      <c r="Q1617">
        <f>IF([2]Entry!$D$1620="","",[2]Entry!$D$1620)</f>
        <v/>
      </c>
      <c r="R1617">
        <f>IF([2]Entry!$E$1620="","",[2]Entry!$E$1620)</f>
        <v/>
      </c>
      <c r="S1617">
        <f>IF([2]Entry!$G$1620="","",[2]Entry!$G$1620)</f>
        <v/>
      </c>
      <c r="T1617">
        <f>IF([2]Entry!$J$1620="","",[2]Entry!$J$1620)</f>
        <v/>
      </c>
      <c r="U1617">
        <f>IF([2]Entry!$K$1620="","",[2]Entry!$K$1620)</f>
        <v/>
      </c>
      <c r="V1617">
        <f>IF([2]Entry!$L$1620="","",[2]Entry!$L$1620)</f>
        <v/>
      </c>
      <c r="W1617">
        <f>IF([2]Entry!$M$1620="","",[2]Entry!$M$1620)</f>
        <v/>
      </c>
      <c r="X1617">
        <f>IF([2]Entry!$N$1620="","",[2]Entry!$N$1620)</f>
        <v/>
      </c>
      <c r="Y1617">
        <f>IF([2]Entry!$R$1620="","",[2]Entry!$R$1620)</f>
        <v/>
      </c>
    </row>
    <row r="1618">
      <c r="P1618">
        <f>IF([2]Entry!$C$1621="","",[2]Entry!$C$1621)</f>
        <v/>
      </c>
      <c r="Q1618">
        <f>IF([2]Entry!$D$1621="","",[2]Entry!$D$1621)</f>
        <v/>
      </c>
      <c r="R1618">
        <f>IF([2]Entry!$E$1621="","",[2]Entry!$E$1621)</f>
        <v/>
      </c>
      <c r="S1618">
        <f>IF([2]Entry!$G$1621="","",[2]Entry!$G$1621)</f>
        <v/>
      </c>
      <c r="T1618">
        <f>IF([2]Entry!$J$1621="","",[2]Entry!$J$1621)</f>
        <v/>
      </c>
      <c r="U1618">
        <f>IF([2]Entry!$K$1621="","",[2]Entry!$K$1621)</f>
        <v/>
      </c>
      <c r="V1618">
        <f>IF([2]Entry!$L$1621="","",[2]Entry!$L$1621)</f>
        <v/>
      </c>
      <c r="W1618">
        <f>IF([2]Entry!$M$1621="","",[2]Entry!$M$1621)</f>
        <v/>
      </c>
      <c r="X1618">
        <f>IF([2]Entry!$N$1621="","",[2]Entry!$N$1621)</f>
        <v/>
      </c>
      <c r="Y1618">
        <f>IF([2]Entry!$R$1621="","",[2]Entry!$R$1621)</f>
        <v/>
      </c>
    </row>
    <row r="1619">
      <c r="P1619">
        <f>IF([2]Entry!$C$1622="","",[2]Entry!$C$1622)</f>
        <v/>
      </c>
      <c r="Q1619">
        <f>IF([2]Entry!$D$1622="","",[2]Entry!$D$1622)</f>
        <v/>
      </c>
      <c r="R1619">
        <f>IF([2]Entry!$E$1622="","",[2]Entry!$E$1622)</f>
        <v/>
      </c>
      <c r="S1619">
        <f>IF([2]Entry!$G$1622="","",[2]Entry!$G$1622)</f>
        <v/>
      </c>
      <c r="T1619">
        <f>IF([2]Entry!$J$1622="","",[2]Entry!$J$1622)</f>
        <v/>
      </c>
      <c r="U1619">
        <f>IF([2]Entry!$K$1622="","",[2]Entry!$K$1622)</f>
        <v/>
      </c>
      <c r="V1619">
        <f>IF([2]Entry!$L$1622="","",[2]Entry!$L$1622)</f>
        <v/>
      </c>
      <c r="W1619">
        <f>IF([2]Entry!$M$1622="","",[2]Entry!$M$1622)</f>
        <v/>
      </c>
      <c r="X1619">
        <f>IF([2]Entry!$N$1622="","",[2]Entry!$N$1622)</f>
        <v/>
      </c>
      <c r="Y1619">
        <f>IF([2]Entry!$R$1622="","",[2]Entry!$R$1622)</f>
        <v/>
      </c>
    </row>
    <row r="1620">
      <c r="P1620">
        <f>IF([2]Entry!$C$1623="","",[2]Entry!$C$1623)</f>
        <v/>
      </c>
      <c r="Q1620">
        <f>IF([2]Entry!$D$1623="","",[2]Entry!$D$1623)</f>
        <v/>
      </c>
      <c r="R1620">
        <f>IF([2]Entry!$E$1623="","",[2]Entry!$E$1623)</f>
        <v/>
      </c>
      <c r="S1620">
        <f>IF([2]Entry!$G$1623="","",[2]Entry!$G$1623)</f>
        <v/>
      </c>
      <c r="T1620">
        <f>IF([2]Entry!$J$1623="","",[2]Entry!$J$1623)</f>
        <v/>
      </c>
      <c r="U1620">
        <f>IF([2]Entry!$K$1623="","",[2]Entry!$K$1623)</f>
        <v/>
      </c>
      <c r="V1620">
        <f>IF([2]Entry!$L$1623="","",[2]Entry!$L$1623)</f>
        <v/>
      </c>
      <c r="W1620">
        <f>IF([2]Entry!$M$1623="","",[2]Entry!$M$1623)</f>
        <v/>
      </c>
      <c r="X1620">
        <f>IF([2]Entry!$N$1623="","",[2]Entry!$N$1623)</f>
        <v/>
      </c>
      <c r="Y1620">
        <f>IF([2]Entry!$R$1623="","",[2]Entry!$R$1623)</f>
        <v/>
      </c>
    </row>
    <row r="1621">
      <c r="P1621">
        <f>IF([2]Entry!$C$1624="","",[2]Entry!$C$1624)</f>
        <v/>
      </c>
      <c r="Q1621">
        <f>IF([2]Entry!$D$1624="","",[2]Entry!$D$1624)</f>
        <v/>
      </c>
      <c r="R1621">
        <f>IF([2]Entry!$E$1624="","",[2]Entry!$E$1624)</f>
        <v/>
      </c>
      <c r="S1621">
        <f>IF([2]Entry!$G$1624="","",[2]Entry!$G$1624)</f>
        <v/>
      </c>
      <c r="T1621">
        <f>IF([2]Entry!$J$1624="","",[2]Entry!$J$1624)</f>
        <v/>
      </c>
      <c r="U1621">
        <f>IF([2]Entry!$K$1624="","",[2]Entry!$K$1624)</f>
        <v/>
      </c>
      <c r="V1621">
        <f>IF([2]Entry!$L$1624="","",[2]Entry!$L$1624)</f>
        <v/>
      </c>
      <c r="W1621">
        <f>IF([2]Entry!$M$1624="","",[2]Entry!$M$1624)</f>
        <v/>
      </c>
      <c r="X1621">
        <f>IF([2]Entry!$N$1624="","",[2]Entry!$N$1624)</f>
        <v/>
      </c>
      <c r="Y1621">
        <f>IF([2]Entry!$R$1624="","",[2]Entry!$R$1624)</f>
        <v/>
      </c>
    </row>
    <row r="1622">
      <c r="P1622">
        <f>IF([2]Entry!$C$1625="","",[2]Entry!$C$1625)</f>
        <v/>
      </c>
      <c r="Q1622">
        <f>IF([2]Entry!$D$1625="","",[2]Entry!$D$1625)</f>
        <v/>
      </c>
      <c r="R1622">
        <f>IF([2]Entry!$E$1625="","",[2]Entry!$E$1625)</f>
        <v/>
      </c>
      <c r="S1622">
        <f>IF([2]Entry!$G$1625="","",[2]Entry!$G$1625)</f>
        <v/>
      </c>
      <c r="T1622">
        <f>IF([2]Entry!$J$1625="","",[2]Entry!$J$1625)</f>
        <v/>
      </c>
      <c r="U1622">
        <f>IF([2]Entry!$K$1625="","",[2]Entry!$K$1625)</f>
        <v/>
      </c>
      <c r="V1622">
        <f>IF([2]Entry!$L$1625="","",[2]Entry!$L$1625)</f>
        <v/>
      </c>
      <c r="W1622">
        <f>IF([2]Entry!$M$1625="","",[2]Entry!$M$1625)</f>
        <v/>
      </c>
      <c r="X1622">
        <f>IF([2]Entry!$N$1625="","",[2]Entry!$N$1625)</f>
        <v/>
      </c>
      <c r="Y1622">
        <f>IF([2]Entry!$R$1625="","",[2]Entry!$R$1625)</f>
        <v/>
      </c>
    </row>
    <row r="1623">
      <c r="P1623">
        <f>IF([2]Entry!$C$1626="","",[2]Entry!$C$1626)</f>
        <v/>
      </c>
      <c r="Q1623">
        <f>IF([2]Entry!$D$1626="","",[2]Entry!$D$1626)</f>
        <v/>
      </c>
      <c r="R1623">
        <f>IF([2]Entry!$E$1626="","",[2]Entry!$E$1626)</f>
        <v/>
      </c>
      <c r="S1623">
        <f>IF([2]Entry!$G$1626="","",[2]Entry!$G$1626)</f>
        <v/>
      </c>
      <c r="T1623">
        <f>IF([2]Entry!$J$1626="","",[2]Entry!$J$1626)</f>
        <v/>
      </c>
      <c r="U1623">
        <f>IF([2]Entry!$K$1626="","",[2]Entry!$K$1626)</f>
        <v/>
      </c>
      <c r="V1623">
        <f>IF([2]Entry!$L$1626="","",[2]Entry!$L$1626)</f>
        <v/>
      </c>
      <c r="W1623">
        <f>IF([2]Entry!$M$1626="","",[2]Entry!$M$1626)</f>
        <v/>
      </c>
      <c r="X1623">
        <f>IF([2]Entry!$N$1626="","",[2]Entry!$N$1626)</f>
        <v/>
      </c>
      <c r="Y1623">
        <f>IF([2]Entry!$R$1626="","",[2]Entry!$R$1626)</f>
        <v/>
      </c>
    </row>
    <row r="1624">
      <c r="P1624">
        <f>IF([2]Entry!$C$1627="","",[2]Entry!$C$1627)</f>
        <v/>
      </c>
      <c r="Q1624">
        <f>IF([2]Entry!$D$1627="","",[2]Entry!$D$1627)</f>
        <v/>
      </c>
      <c r="R1624">
        <f>IF([2]Entry!$E$1627="","",[2]Entry!$E$1627)</f>
        <v/>
      </c>
      <c r="S1624">
        <f>IF([2]Entry!$G$1627="","",[2]Entry!$G$1627)</f>
        <v/>
      </c>
      <c r="T1624">
        <f>IF([2]Entry!$J$1627="","",[2]Entry!$J$1627)</f>
        <v/>
      </c>
      <c r="U1624">
        <f>IF([2]Entry!$K$1627="","",[2]Entry!$K$1627)</f>
        <v/>
      </c>
      <c r="V1624">
        <f>IF([2]Entry!$L$1627="","",[2]Entry!$L$1627)</f>
        <v/>
      </c>
      <c r="W1624">
        <f>IF([2]Entry!$M$1627="","",[2]Entry!$M$1627)</f>
        <v/>
      </c>
      <c r="X1624">
        <f>IF([2]Entry!$N$1627="","",[2]Entry!$N$1627)</f>
        <v/>
      </c>
      <c r="Y1624">
        <f>IF([2]Entry!$R$1627="","",[2]Entry!$R$1627)</f>
        <v/>
      </c>
    </row>
    <row r="1625">
      <c r="P1625">
        <f>IF([2]Entry!$C$1628="","",[2]Entry!$C$1628)</f>
        <v/>
      </c>
      <c r="Q1625">
        <f>IF([2]Entry!$D$1628="","",[2]Entry!$D$1628)</f>
        <v/>
      </c>
      <c r="R1625">
        <f>IF([2]Entry!$E$1628="","",[2]Entry!$E$1628)</f>
        <v/>
      </c>
      <c r="S1625">
        <f>IF([2]Entry!$G$1628="","",[2]Entry!$G$1628)</f>
        <v/>
      </c>
      <c r="T1625">
        <f>IF([2]Entry!$J$1628="","",[2]Entry!$J$1628)</f>
        <v/>
      </c>
      <c r="U1625">
        <f>IF([2]Entry!$K$1628="","",[2]Entry!$K$1628)</f>
        <v/>
      </c>
      <c r="V1625">
        <f>IF([2]Entry!$L$1628="","",[2]Entry!$L$1628)</f>
        <v/>
      </c>
      <c r="W1625">
        <f>IF([2]Entry!$M$1628="","",[2]Entry!$M$1628)</f>
        <v/>
      </c>
      <c r="X1625">
        <f>IF([2]Entry!$N$1628="","",[2]Entry!$N$1628)</f>
        <v/>
      </c>
      <c r="Y1625">
        <f>IF([2]Entry!$R$1628="","",[2]Entry!$R$1628)</f>
        <v/>
      </c>
    </row>
    <row r="1626">
      <c r="P1626">
        <f>IF([2]Entry!$C$1629="","",[2]Entry!$C$1629)</f>
        <v/>
      </c>
      <c r="Q1626">
        <f>IF([2]Entry!$D$1629="","",[2]Entry!$D$1629)</f>
        <v/>
      </c>
      <c r="R1626">
        <f>IF([2]Entry!$E$1629="","",[2]Entry!$E$1629)</f>
        <v/>
      </c>
      <c r="S1626">
        <f>IF([2]Entry!$G$1629="","",[2]Entry!$G$1629)</f>
        <v/>
      </c>
      <c r="T1626">
        <f>IF([2]Entry!$J$1629="","",[2]Entry!$J$1629)</f>
        <v/>
      </c>
      <c r="U1626">
        <f>IF([2]Entry!$K$1629="","",[2]Entry!$K$1629)</f>
        <v/>
      </c>
      <c r="V1626">
        <f>IF([2]Entry!$L$1629="","",[2]Entry!$L$1629)</f>
        <v/>
      </c>
      <c r="W1626">
        <f>IF([2]Entry!$M$1629="","",[2]Entry!$M$1629)</f>
        <v/>
      </c>
      <c r="X1626">
        <f>IF([2]Entry!$N$1629="","",[2]Entry!$N$1629)</f>
        <v/>
      </c>
      <c r="Y1626">
        <f>IF([2]Entry!$R$1629="","",[2]Entry!$R$1629)</f>
        <v/>
      </c>
    </row>
    <row r="1627">
      <c r="P1627">
        <f>IF([2]Entry!$C$1630="","",[2]Entry!$C$1630)</f>
        <v/>
      </c>
      <c r="Q1627">
        <f>IF([2]Entry!$D$1630="","",[2]Entry!$D$1630)</f>
        <v/>
      </c>
      <c r="R1627">
        <f>IF([2]Entry!$E$1630="","",[2]Entry!$E$1630)</f>
        <v/>
      </c>
      <c r="S1627">
        <f>IF([2]Entry!$G$1630="","",[2]Entry!$G$1630)</f>
        <v/>
      </c>
      <c r="T1627">
        <f>IF([2]Entry!$J$1630="","",[2]Entry!$J$1630)</f>
        <v/>
      </c>
      <c r="U1627">
        <f>IF([2]Entry!$K$1630="","",[2]Entry!$K$1630)</f>
        <v/>
      </c>
      <c r="V1627">
        <f>IF([2]Entry!$L$1630="","",[2]Entry!$L$1630)</f>
        <v/>
      </c>
      <c r="W1627">
        <f>IF([2]Entry!$M$1630="","",[2]Entry!$M$1630)</f>
        <v/>
      </c>
      <c r="X1627">
        <f>IF([2]Entry!$N$1630="","",[2]Entry!$N$1630)</f>
        <v/>
      </c>
      <c r="Y1627">
        <f>IF([2]Entry!$R$1630="","",[2]Entry!$R$1630)</f>
        <v/>
      </c>
    </row>
    <row r="1628">
      <c r="P1628">
        <f>IF([2]Entry!$C$1631="","",[2]Entry!$C$1631)</f>
        <v/>
      </c>
      <c r="Q1628">
        <f>IF([2]Entry!$D$1631="","",[2]Entry!$D$1631)</f>
        <v/>
      </c>
      <c r="R1628">
        <f>IF([2]Entry!$E$1631="","",[2]Entry!$E$1631)</f>
        <v/>
      </c>
      <c r="S1628">
        <f>IF([2]Entry!$G$1631="","",[2]Entry!$G$1631)</f>
        <v/>
      </c>
      <c r="T1628">
        <f>IF([2]Entry!$J$1631="","",[2]Entry!$J$1631)</f>
        <v/>
      </c>
      <c r="U1628">
        <f>IF([2]Entry!$K$1631="","",[2]Entry!$K$1631)</f>
        <v/>
      </c>
      <c r="V1628">
        <f>IF([2]Entry!$L$1631="","",[2]Entry!$L$1631)</f>
        <v/>
      </c>
      <c r="W1628">
        <f>IF([2]Entry!$M$1631="","",[2]Entry!$M$1631)</f>
        <v/>
      </c>
      <c r="X1628">
        <f>IF([2]Entry!$N$1631="","",[2]Entry!$N$1631)</f>
        <v/>
      </c>
      <c r="Y1628">
        <f>IF([2]Entry!$R$1631="","",[2]Entry!$R$1631)</f>
        <v/>
      </c>
    </row>
    <row r="1629">
      <c r="P1629">
        <f>IF([2]Entry!$C$1632="","",[2]Entry!$C$1632)</f>
        <v/>
      </c>
      <c r="Q1629">
        <f>IF([2]Entry!$D$1632="","",[2]Entry!$D$1632)</f>
        <v/>
      </c>
      <c r="R1629">
        <f>IF([2]Entry!$E$1632="","",[2]Entry!$E$1632)</f>
        <v/>
      </c>
      <c r="S1629">
        <f>IF([2]Entry!$G$1632="","",[2]Entry!$G$1632)</f>
        <v/>
      </c>
      <c r="T1629">
        <f>IF([2]Entry!$J$1632="","",[2]Entry!$J$1632)</f>
        <v/>
      </c>
      <c r="U1629">
        <f>IF([2]Entry!$K$1632="","",[2]Entry!$K$1632)</f>
        <v/>
      </c>
      <c r="V1629">
        <f>IF([2]Entry!$L$1632="","",[2]Entry!$L$1632)</f>
        <v/>
      </c>
      <c r="W1629">
        <f>IF([2]Entry!$M$1632="","",[2]Entry!$M$1632)</f>
        <v/>
      </c>
      <c r="X1629">
        <f>IF([2]Entry!$N$1632="","",[2]Entry!$N$1632)</f>
        <v/>
      </c>
      <c r="Y1629">
        <f>IF([2]Entry!$R$1632="","",[2]Entry!$R$1632)</f>
        <v/>
      </c>
    </row>
    <row r="1630">
      <c r="P1630">
        <f>IF([2]Entry!$C$1633="","",[2]Entry!$C$1633)</f>
        <v/>
      </c>
      <c r="Q1630">
        <f>IF([2]Entry!$D$1633="","",[2]Entry!$D$1633)</f>
        <v/>
      </c>
      <c r="R1630">
        <f>IF([2]Entry!$E$1633="","",[2]Entry!$E$1633)</f>
        <v/>
      </c>
      <c r="S1630">
        <f>IF([2]Entry!$G$1633="","",[2]Entry!$G$1633)</f>
        <v/>
      </c>
      <c r="T1630">
        <f>IF([2]Entry!$J$1633="","",[2]Entry!$J$1633)</f>
        <v/>
      </c>
      <c r="U1630">
        <f>IF([2]Entry!$K$1633="","",[2]Entry!$K$1633)</f>
        <v/>
      </c>
      <c r="V1630">
        <f>IF([2]Entry!$L$1633="","",[2]Entry!$L$1633)</f>
        <v/>
      </c>
      <c r="W1630">
        <f>IF([2]Entry!$M$1633="","",[2]Entry!$M$1633)</f>
        <v/>
      </c>
      <c r="X1630">
        <f>IF([2]Entry!$N$1633="","",[2]Entry!$N$1633)</f>
        <v/>
      </c>
      <c r="Y1630">
        <f>IF([2]Entry!$R$1633="","",[2]Entry!$R$1633)</f>
        <v/>
      </c>
    </row>
    <row r="1631">
      <c r="P1631">
        <f>IF([2]Entry!$C$1634="","",[2]Entry!$C$1634)</f>
        <v/>
      </c>
      <c r="Q1631">
        <f>IF([2]Entry!$D$1634="","",[2]Entry!$D$1634)</f>
        <v/>
      </c>
      <c r="R1631">
        <f>IF([2]Entry!$E$1634="","",[2]Entry!$E$1634)</f>
        <v/>
      </c>
      <c r="S1631">
        <f>IF([2]Entry!$G$1634="","",[2]Entry!$G$1634)</f>
        <v/>
      </c>
      <c r="T1631">
        <f>IF([2]Entry!$J$1634="","",[2]Entry!$J$1634)</f>
        <v/>
      </c>
      <c r="U1631">
        <f>IF([2]Entry!$K$1634="","",[2]Entry!$K$1634)</f>
        <v/>
      </c>
      <c r="V1631">
        <f>IF([2]Entry!$L$1634="","",[2]Entry!$L$1634)</f>
        <v/>
      </c>
      <c r="W1631">
        <f>IF([2]Entry!$M$1634="","",[2]Entry!$M$1634)</f>
        <v/>
      </c>
      <c r="X1631">
        <f>IF([2]Entry!$N$1634="","",[2]Entry!$N$1634)</f>
        <v/>
      </c>
      <c r="Y1631">
        <f>IF([2]Entry!$R$1634="","",[2]Entry!$R$1634)</f>
        <v/>
      </c>
    </row>
    <row r="1632">
      <c r="P1632">
        <f>IF([2]Entry!$C$1635="","",[2]Entry!$C$1635)</f>
        <v/>
      </c>
      <c r="Q1632">
        <f>IF([2]Entry!$D$1635="","",[2]Entry!$D$1635)</f>
        <v/>
      </c>
      <c r="R1632">
        <f>IF([2]Entry!$E$1635="","",[2]Entry!$E$1635)</f>
        <v/>
      </c>
      <c r="S1632">
        <f>IF([2]Entry!$G$1635="","",[2]Entry!$G$1635)</f>
        <v/>
      </c>
      <c r="T1632">
        <f>IF([2]Entry!$J$1635="","",[2]Entry!$J$1635)</f>
        <v/>
      </c>
      <c r="U1632">
        <f>IF([2]Entry!$K$1635="","",[2]Entry!$K$1635)</f>
        <v/>
      </c>
      <c r="V1632">
        <f>IF([2]Entry!$L$1635="","",[2]Entry!$L$1635)</f>
        <v/>
      </c>
      <c r="W1632">
        <f>IF([2]Entry!$M$1635="","",[2]Entry!$M$1635)</f>
        <v/>
      </c>
      <c r="X1632">
        <f>IF([2]Entry!$N$1635="","",[2]Entry!$N$1635)</f>
        <v/>
      </c>
      <c r="Y1632">
        <f>IF([2]Entry!$R$1635="","",[2]Entry!$R$1635)</f>
        <v/>
      </c>
    </row>
    <row r="1633">
      <c r="P1633">
        <f>IF([2]Entry!$C$1636="","",[2]Entry!$C$1636)</f>
        <v/>
      </c>
      <c r="Q1633">
        <f>IF([2]Entry!$D$1636="","",[2]Entry!$D$1636)</f>
        <v/>
      </c>
      <c r="R1633">
        <f>IF([2]Entry!$E$1636="","",[2]Entry!$E$1636)</f>
        <v/>
      </c>
      <c r="S1633">
        <f>IF([2]Entry!$G$1636="","",[2]Entry!$G$1636)</f>
        <v/>
      </c>
      <c r="T1633">
        <f>IF([2]Entry!$J$1636="","",[2]Entry!$J$1636)</f>
        <v/>
      </c>
      <c r="U1633">
        <f>IF([2]Entry!$K$1636="","",[2]Entry!$K$1636)</f>
        <v/>
      </c>
      <c r="V1633">
        <f>IF([2]Entry!$L$1636="","",[2]Entry!$L$1636)</f>
        <v/>
      </c>
      <c r="W1633">
        <f>IF([2]Entry!$M$1636="","",[2]Entry!$M$1636)</f>
        <v/>
      </c>
      <c r="X1633">
        <f>IF([2]Entry!$N$1636="","",[2]Entry!$N$1636)</f>
        <v/>
      </c>
      <c r="Y1633">
        <f>IF([2]Entry!$R$1636="","",[2]Entry!$R$1636)</f>
        <v/>
      </c>
    </row>
    <row r="1634">
      <c r="P1634">
        <f>IF([2]Entry!$C$1637="","",[2]Entry!$C$1637)</f>
        <v/>
      </c>
      <c r="Q1634">
        <f>IF([2]Entry!$D$1637="","",[2]Entry!$D$1637)</f>
        <v/>
      </c>
      <c r="R1634">
        <f>IF([2]Entry!$E$1637="","",[2]Entry!$E$1637)</f>
        <v/>
      </c>
      <c r="S1634">
        <f>IF([2]Entry!$G$1637="","",[2]Entry!$G$1637)</f>
        <v/>
      </c>
      <c r="T1634">
        <f>IF([2]Entry!$J$1637="","",[2]Entry!$J$1637)</f>
        <v/>
      </c>
      <c r="U1634">
        <f>IF([2]Entry!$K$1637="","",[2]Entry!$K$1637)</f>
        <v/>
      </c>
      <c r="V1634">
        <f>IF([2]Entry!$L$1637="","",[2]Entry!$L$1637)</f>
        <v/>
      </c>
      <c r="W1634">
        <f>IF([2]Entry!$M$1637="","",[2]Entry!$M$1637)</f>
        <v/>
      </c>
      <c r="X1634">
        <f>IF([2]Entry!$N$1637="","",[2]Entry!$N$1637)</f>
        <v/>
      </c>
      <c r="Y1634">
        <f>IF([2]Entry!$R$1637="","",[2]Entry!$R$1637)</f>
        <v/>
      </c>
    </row>
    <row r="1635">
      <c r="P1635">
        <f>IF([2]Entry!$C$1638="","",[2]Entry!$C$1638)</f>
        <v/>
      </c>
      <c r="Q1635">
        <f>IF([2]Entry!$D$1638="","",[2]Entry!$D$1638)</f>
        <v/>
      </c>
      <c r="R1635">
        <f>IF([2]Entry!$E$1638="","",[2]Entry!$E$1638)</f>
        <v/>
      </c>
      <c r="S1635">
        <f>IF([2]Entry!$G$1638="","",[2]Entry!$G$1638)</f>
        <v/>
      </c>
      <c r="T1635">
        <f>IF([2]Entry!$J$1638="","",[2]Entry!$J$1638)</f>
        <v/>
      </c>
      <c r="U1635">
        <f>IF([2]Entry!$K$1638="","",[2]Entry!$K$1638)</f>
        <v/>
      </c>
      <c r="V1635">
        <f>IF([2]Entry!$L$1638="","",[2]Entry!$L$1638)</f>
        <v/>
      </c>
      <c r="W1635">
        <f>IF([2]Entry!$M$1638="","",[2]Entry!$M$1638)</f>
        <v/>
      </c>
      <c r="X1635">
        <f>IF([2]Entry!$N$1638="","",[2]Entry!$N$1638)</f>
        <v/>
      </c>
      <c r="Y1635">
        <f>IF([2]Entry!$R$1638="","",[2]Entry!$R$1638)</f>
        <v/>
      </c>
    </row>
    <row r="1636">
      <c r="P1636">
        <f>IF([2]Entry!$C$1639="","",[2]Entry!$C$1639)</f>
        <v/>
      </c>
      <c r="Q1636">
        <f>IF([2]Entry!$D$1639="","",[2]Entry!$D$1639)</f>
        <v/>
      </c>
      <c r="R1636">
        <f>IF([2]Entry!$E$1639="","",[2]Entry!$E$1639)</f>
        <v/>
      </c>
      <c r="S1636">
        <f>IF([2]Entry!$G$1639="","",[2]Entry!$G$1639)</f>
        <v/>
      </c>
      <c r="T1636">
        <f>IF([2]Entry!$J$1639="","",[2]Entry!$J$1639)</f>
        <v/>
      </c>
      <c r="U1636">
        <f>IF([2]Entry!$K$1639="","",[2]Entry!$K$1639)</f>
        <v/>
      </c>
      <c r="V1636">
        <f>IF([2]Entry!$L$1639="","",[2]Entry!$L$1639)</f>
        <v/>
      </c>
      <c r="W1636">
        <f>IF([2]Entry!$M$1639="","",[2]Entry!$M$1639)</f>
        <v/>
      </c>
      <c r="X1636">
        <f>IF([2]Entry!$N$1639="","",[2]Entry!$N$1639)</f>
        <v/>
      </c>
      <c r="Y1636">
        <f>IF([2]Entry!$R$1639="","",[2]Entry!$R$1639)</f>
        <v/>
      </c>
    </row>
    <row r="1637">
      <c r="P1637">
        <f>IF([2]Entry!$C$1640="","",[2]Entry!$C$1640)</f>
        <v/>
      </c>
      <c r="Q1637">
        <f>IF([2]Entry!$D$1640="","",[2]Entry!$D$1640)</f>
        <v/>
      </c>
      <c r="R1637">
        <f>IF([2]Entry!$E$1640="","",[2]Entry!$E$1640)</f>
        <v/>
      </c>
      <c r="S1637">
        <f>IF([2]Entry!$G$1640="","",[2]Entry!$G$1640)</f>
        <v/>
      </c>
      <c r="T1637">
        <f>IF([2]Entry!$J$1640="","",[2]Entry!$J$1640)</f>
        <v/>
      </c>
      <c r="U1637">
        <f>IF([2]Entry!$K$1640="","",[2]Entry!$K$1640)</f>
        <v/>
      </c>
      <c r="V1637">
        <f>IF([2]Entry!$L$1640="","",[2]Entry!$L$1640)</f>
        <v/>
      </c>
      <c r="W1637">
        <f>IF([2]Entry!$M$1640="","",[2]Entry!$M$1640)</f>
        <v/>
      </c>
      <c r="X1637">
        <f>IF([2]Entry!$N$1640="","",[2]Entry!$N$1640)</f>
        <v/>
      </c>
      <c r="Y1637">
        <f>IF([2]Entry!$R$1640="","",[2]Entry!$R$1640)</f>
        <v/>
      </c>
    </row>
    <row r="1638">
      <c r="P1638">
        <f>IF([2]Entry!$C$1641="","",[2]Entry!$C$1641)</f>
        <v/>
      </c>
      <c r="Q1638">
        <f>IF([2]Entry!$D$1641="","",[2]Entry!$D$1641)</f>
        <v/>
      </c>
      <c r="R1638">
        <f>IF([2]Entry!$E$1641="","",[2]Entry!$E$1641)</f>
        <v/>
      </c>
      <c r="S1638">
        <f>IF([2]Entry!$G$1641="","",[2]Entry!$G$1641)</f>
        <v/>
      </c>
      <c r="T1638">
        <f>IF([2]Entry!$J$1641="","",[2]Entry!$J$1641)</f>
        <v/>
      </c>
      <c r="U1638">
        <f>IF([2]Entry!$K$1641="","",[2]Entry!$K$1641)</f>
        <v/>
      </c>
      <c r="V1638">
        <f>IF([2]Entry!$L$1641="","",[2]Entry!$L$1641)</f>
        <v/>
      </c>
      <c r="W1638">
        <f>IF([2]Entry!$M$1641="","",[2]Entry!$M$1641)</f>
        <v/>
      </c>
      <c r="X1638">
        <f>IF([2]Entry!$N$1641="","",[2]Entry!$N$1641)</f>
        <v/>
      </c>
      <c r="Y1638">
        <f>IF([2]Entry!$R$1641="","",[2]Entry!$R$1641)</f>
        <v/>
      </c>
    </row>
    <row r="1639">
      <c r="P1639">
        <f>IF([2]Entry!$C$1642="","",[2]Entry!$C$1642)</f>
        <v/>
      </c>
      <c r="Q1639">
        <f>IF([2]Entry!$D$1642="","",[2]Entry!$D$1642)</f>
        <v/>
      </c>
      <c r="R1639">
        <f>IF([2]Entry!$E$1642="","",[2]Entry!$E$1642)</f>
        <v/>
      </c>
      <c r="S1639">
        <f>IF([2]Entry!$G$1642="","",[2]Entry!$G$1642)</f>
        <v/>
      </c>
      <c r="T1639">
        <f>IF([2]Entry!$J$1642="","",[2]Entry!$J$1642)</f>
        <v/>
      </c>
      <c r="U1639">
        <f>IF([2]Entry!$K$1642="","",[2]Entry!$K$1642)</f>
        <v/>
      </c>
      <c r="V1639">
        <f>IF([2]Entry!$L$1642="","",[2]Entry!$L$1642)</f>
        <v/>
      </c>
      <c r="W1639">
        <f>IF([2]Entry!$M$1642="","",[2]Entry!$M$1642)</f>
        <v/>
      </c>
      <c r="X1639">
        <f>IF([2]Entry!$N$1642="","",[2]Entry!$N$1642)</f>
        <v/>
      </c>
      <c r="Y1639">
        <f>IF([2]Entry!$R$1642="","",[2]Entry!$R$1642)</f>
        <v/>
      </c>
    </row>
    <row r="1640">
      <c r="P1640">
        <f>IF([2]Entry!$C$1643="","",[2]Entry!$C$1643)</f>
        <v/>
      </c>
      <c r="Q1640">
        <f>IF([2]Entry!$D$1643="","",[2]Entry!$D$1643)</f>
        <v/>
      </c>
      <c r="R1640">
        <f>IF([2]Entry!$E$1643="","",[2]Entry!$E$1643)</f>
        <v/>
      </c>
      <c r="S1640">
        <f>IF([2]Entry!$G$1643="","",[2]Entry!$G$1643)</f>
        <v/>
      </c>
      <c r="T1640">
        <f>IF([2]Entry!$J$1643="","",[2]Entry!$J$1643)</f>
        <v/>
      </c>
      <c r="U1640">
        <f>IF([2]Entry!$K$1643="","",[2]Entry!$K$1643)</f>
        <v/>
      </c>
      <c r="V1640">
        <f>IF([2]Entry!$L$1643="","",[2]Entry!$L$1643)</f>
        <v/>
      </c>
      <c r="W1640">
        <f>IF([2]Entry!$M$1643="","",[2]Entry!$M$1643)</f>
        <v/>
      </c>
      <c r="X1640">
        <f>IF([2]Entry!$N$1643="","",[2]Entry!$N$1643)</f>
        <v/>
      </c>
      <c r="Y1640">
        <f>IF([2]Entry!$R$1643="","",[2]Entry!$R$1643)</f>
        <v/>
      </c>
    </row>
    <row r="1641">
      <c r="P1641">
        <f>IF([2]Entry!$C$1644="","",[2]Entry!$C$1644)</f>
        <v/>
      </c>
      <c r="Q1641">
        <f>IF([2]Entry!$D$1644="","",[2]Entry!$D$1644)</f>
        <v/>
      </c>
      <c r="R1641">
        <f>IF([2]Entry!$E$1644="","",[2]Entry!$E$1644)</f>
        <v/>
      </c>
      <c r="S1641">
        <f>IF([2]Entry!$G$1644="","",[2]Entry!$G$1644)</f>
        <v/>
      </c>
      <c r="T1641">
        <f>IF([2]Entry!$J$1644="","",[2]Entry!$J$1644)</f>
        <v/>
      </c>
      <c r="U1641">
        <f>IF([2]Entry!$K$1644="","",[2]Entry!$K$1644)</f>
        <v/>
      </c>
      <c r="V1641">
        <f>IF([2]Entry!$L$1644="","",[2]Entry!$L$1644)</f>
        <v/>
      </c>
      <c r="W1641">
        <f>IF([2]Entry!$M$1644="","",[2]Entry!$M$1644)</f>
        <v/>
      </c>
      <c r="X1641">
        <f>IF([2]Entry!$N$1644="","",[2]Entry!$N$1644)</f>
        <v/>
      </c>
      <c r="Y1641">
        <f>IF([2]Entry!$R$1644="","",[2]Entry!$R$1644)</f>
        <v/>
      </c>
    </row>
    <row r="1642">
      <c r="P1642">
        <f>IF([2]Entry!$C$1645="","",[2]Entry!$C$1645)</f>
        <v/>
      </c>
      <c r="Q1642">
        <f>IF([2]Entry!$D$1645="","",[2]Entry!$D$1645)</f>
        <v/>
      </c>
      <c r="R1642">
        <f>IF([2]Entry!$E$1645="","",[2]Entry!$E$1645)</f>
        <v/>
      </c>
      <c r="S1642">
        <f>IF([2]Entry!$G$1645="","",[2]Entry!$G$1645)</f>
        <v/>
      </c>
      <c r="T1642">
        <f>IF([2]Entry!$J$1645="","",[2]Entry!$J$1645)</f>
        <v/>
      </c>
      <c r="U1642">
        <f>IF([2]Entry!$K$1645="","",[2]Entry!$K$1645)</f>
        <v/>
      </c>
      <c r="V1642">
        <f>IF([2]Entry!$L$1645="","",[2]Entry!$L$1645)</f>
        <v/>
      </c>
      <c r="W1642">
        <f>IF([2]Entry!$M$1645="","",[2]Entry!$M$1645)</f>
        <v/>
      </c>
      <c r="X1642">
        <f>IF([2]Entry!$N$1645="","",[2]Entry!$N$1645)</f>
        <v/>
      </c>
      <c r="Y1642">
        <f>IF([2]Entry!$R$1645="","",[2]Entry!$R$1645)</f>
        <v/>
      </c>
    </row>
    <row r="1643">
      <c r="P1643">
        <f>IF([2]Entry!$C$1646="","",[2]Entry!$C$1646)</f>
        <v/>
      </c>
      <c r="Q1643">
        <f>IF([2]Entry!$D$1646="","",[2]Entry!$D$1646)</f>
        <v/>
      </c>
      <c r="R1643">
        <f>IF([2]Entry!$E$1646="","",[2]Entry!$E$1646)</f>
        <v/>
      </c>
      <c r="S1643">
        <f>IF([2]Entry!$G$1646="","",[2]Entry!$G$1646)</f>
        <v/>
      </c>
      <c r="T1643">
        <f>IF([2]Entry!$J$1646="","",[2]Entry!$J$1646)</f>
        <v/>
      </c>
      <c r="U1643">
        <f>IF([2]Entry!$K$1646="","",[2]Entry!$K$1646)</f>
        <v/>
      </c>
      <c r="V1643">
        <f>IF([2]Entry!$L$1646="","",[2]Entry!$L$1646)</f>
        <v/>
      </c>
      <c r="W1643">
        <f>IF([2]Entry!$M$1646="","",[2]Entry!$M$1646)</f>
        <v/>
      </c>
      <c r="X1643">
        <f>IF([2]Entry!$N$1646="","",[2]Entry!$N$1646)</f>
        <v/>
      </c>
      <c r="Y1643">
        <f>IF([2]Entry!$R$1646="","",[2]Entry!$R$1646)</f>
        <v/>
      </c>
    </row>
    <row r="1644">
      <c r="P1644">
        <f>IF([2]Entry!$C$1647="","",[2]Entry!$C$1647)</f>
        <v/>
      </c>
      <c r="Q1644">
        <f>IF([2]Entry!$D$1647="","",[2]Entry!$D$1647)</f>
        <v/>
      </c>
      <c r="R1644">
        <f>IF([2]Entry!$E$1647="","",[2]Entry!$E$1647)</f>
        <v/>
      </c>
      <c r="S1644">
        <f>IF([2]Entry!$G$1647="","",[2]Entry!$G$1647)</f>
        <v/>
      </c>
      <c r="T1644">
        <f>IF([2]Entry!$J$1647="","",[2]Entry!$J$1647)</f>
        <v/>
      </c>
      <c r="U1644">
        <f>IF([2]Entry!$K$1647="","",[2]Entry!$K$1647)</f>
        <v/>
      </c>
      <c r="V1644">
        <f>IF([2]Entry!$L$1647="","",[2]Entry!$L$1647)</f>
        <v/>
      </c>
      <c r="W1644">
        <f>IF([2]Entry!$M$1647="","",[2]Entry!$M$1647)</f>
        <v/>
      </c>
      <c r="X1644">
        <f>IF([2]Entry!$N$1647="","",[2]Entry!$N$1647)</f>
        <v/>
      </c>
      <c r="Y1644">
        <f>IF([2]Entry!$R$1647="","",[2]Entry!$R$1647)</f>
        <v/>
      </c>
    </row>
    <row r="1645">
      <c r="P1645">
        <f>IF([2]Entry!$C$1648="","",[2]Entry!$C$1648)</f>
        <v/>
      </c>
      <c r="Q1645">
        <f>IF([2]Entry!$D$1648="","",[2]Entry!$D$1648)</f>
        <v/>
      </c>
      <c r="R1645">
        <f>IF([2]Entry!$E$1648="","",[2]Entry!$E$1648)</f>
        <v/>
      </c>
      <c r="S1645">
        <f>IF([2]Entry!$G$1648="","",[2]Entry!$G$1648)</f>
        <v/>
      </c>
      <c r="T1645">
        <f>IF([2]Entry!$J$1648="","",[2]Entry!$J$1648)</f>
        <v/>
      </c>
      <c r="U1645">
        <f>IF([2]Entry!$K$1648="","",[2]Entry!$K$1648)</f>
        <v/>
      </c>
      <c r="V1645">
        <f>IF([2]Entry!$L$1648="","",[2]Entry!$L$1648)</f>
        <v/>
      </c>
      <c r="W1645">
        <f>IF([2]Entry!$M$1648="","",[2]Entry!$M$1648)</f>
        <v/>
      </c>
      <c r="X1645">
        <f>IF([2]Entry!$N$1648="","",[2]Entry!$N$1648)</f>
        <v/>
      </c>
      <c r="Y1645">
        <f>IF([2]Entry!$R$1648="","",[2]Entry!$R$1648)</f>
        <v/>
      </c>
    </row>
    <row r="1646">
      <c r="P1646">
        <f>IF([2]Entry!$C$1649="","",[2]Entry!$C$1649)</f>
        <v/>
      </c>
      <c r="Q1646">
        <f>IF([2]Entry!$D$1649="","",[2]Entry!$D$1649)</f>
        <v/>
      </c>
      <c r="R1646">
        <f>IF([2]Entry!$E$1649="","",[2]Entry!$E$1649)</f>
        <v/>
      </c>
      <c r="S1646">
        <f>IF([2]Entry!$G$1649="","",[2]Entry!$G$1649)</f>
        <v/>
      </c>
      <c r="T1646">
        <f>IF([2]Entry!$J$1649="","",[2]Entry!$J$1649)</f>
        <v/>
      </c>
      <c r="U1646">
        <f>IF([2]Entry!$K$1649="","",[2]Entry!$K$1649)</f>
        <v/>
      </c>
      <c r="V1646">
        <f>IF([2]Entry!$L$1649="","",[2]Entry!$L$1649)</f>
        <v/>
      </c>
      <c r="W1646">
        <f>IF([2]Entry!$M$1649="","",[2]Entry!$M$1649)</f>
        <v/>
      </c>
      <c r="X1646">
        <f>IF([2]Entry!$N$1649="","",[2]Entry!$N$1649)</f>
        <v/>
      </c>
      <c r="Y1646">
        <f>IF([2]Entry!$R$1649="","",[2]Entry!$R$1649)</f>
        <v/>
      </c>
    </row>
    <row r="1647">
      <c r="P1647">
        <f>IF([2]Entry!$C$1650="","",[2]Entry!$C$1650)</f>
        <v/>
      </c>
      <c r="Q1647">
        <f>IF([2]Entry!$D$1650="","",[2]Entry!$D$1650)</f>
        <v/>
      </c>
      <c r="R1647">
        <f>IF([2]Entry!$E$1650="","",[2]Entry!$E$1650)</f>
        <v/>
      </c>
      <c r="S1647">
        <f>IF([2]Entry!$G$1650="","",[2]Entry!$G$1650)</f>
        <v/>
      </c>
      <c r="T1647">
        <f>IF([2]Entry!$J$1650="","",[2]Entry!$J$1650)</f>
        <v/>
      </c>
      <c r="U1647">
        <f>IF([2]Entry!$K$1650="","",[2]Entry!$K$1650)</f>
        <v/>
      </c>
      <c r="V1647">
        <f>IF([2]Entry!$L$1650="","",[2]Entry!$L$1650)</f>
        <v/>
      </c>
      <c r="W1647">
        <f>IF([2]Entry!$M$1650="","",[2]Entry!$M$1650)</f>
        <v/>
      </c>
      <c r="X1647">
        <f>IF([2]Entry!$N$1650="","",[2]Entry!$N$1650)</f>
        <v/>
      </c>
      <c r="Y1647">
        <f>IF([2]Entry!$R$1650="","",[2]Entry!$R$1650)</f>
        <v/>
      </c>
    </row>
    <row r="1648">
      <c r="P1648">
        <f>IF([2]Entry!$C$1651="","",[2]Entry!$C$1651)</f>
        <v/>
      </c>
      <c r="Q1648">
        <f>IF([2]Entry!$D$1651="","",[2]Entry!$D$1651)</f>
        <v/>
      </c>
      <c r="R1648">
        <f>IF([2]Entry!$E$1651="","",[2]Entry!$E$1651)</f>
        <v/>
      </c>
      <c r="S1648">
        <f>IF([2]Entry!$G$1651="","",[2]Entry!$G$1651)</f>
        <v/>
      </c>
      <c r="T1648">
        <f>IF([2]Entry!$J$1651="","",[2]Entry!$J$1651)</f>
        <v/>
      </c>
      <c r="U1648">
        <f>IF([2]Entry!$K$1651="","",[2]Entry!$K$1651)</f>
        <v/>
      </c>
      <c r="V1648">
        <f>IF([2]Entry!$L$1651="","",[2]Entry!$L$1651)</f>
        <v/>
      </c>
      <c r="W1648">
        <f>IF([2]Entry!$M$1651="","",[2]Entry!$M$1651)</f>
        <v/>
      </c>
      <c r="X1648">
        <f>IF([2]Entry!$N$1651="","",[2]Entry!$N$1651)</f>
        <v/>
      </c>
      <c r="Y1648">
        <f>IF([2]Entry!$R$1651="","",[2]Entry!$R$1651)</f>
        <v/>
      </c>
    </row>
    <row r="1649">
      <c r="P1649">
        <f>IF([2]Entry!$C$1652="","",[2]Entry!$C$1652)</f>
        <v/>
      </c>
      <c r="Q1649">
        <f>IF([2]Entry!$D$1652="","",[2]Entry!$D$1652)</f>
        <v/>
      </c>
      <c r="R1649">
        <f>IF([2]Entry!$E$1652="","",[2]Entry!$E$1652)</f>
        <v/>
      </c>
      <c r="S1649">
        <f>IF([2]Entry!$G$1652="","",[2]Entry!$G$1652)</f>
        <v/>
      </c>
      <c r="T1649">
        <f>IF([2]Entry!$J$1652="","",[2]Entry!$J$1652)</f>
        <v/>
      </c>
      <c r="U1649">
        <f>IF([2]Entry!$K$1652="","",[2]Entry!$K$1652)</f>
        <v/>
      </c>
      <c r="V1649">
        <f>IF([2]Entry!$L$1652="","",[2]Entry!$L$1652)</f>
        <v/>
      </c>
      <c r="W1649">
        <f>IF([2]Entry!$M$1652="","",[2]Entry!$M$1652)</f>
        <v/>
      </c>
      <c r="X1649">
        <f>IF([2]Entry!$N$1652="","",[2]Entry!$N$1652)</f>
        <v/>
      </c>
      <c r="Y1649">
        <f>IF([2]Entry!$R$1652="","",[2]Entry!$R$1652)</f>
        <v/>
      </c>
    </row>
    <row r="1650">
      <c r="P1650">
        <f>IF([2]Entry!$C$1653="","",[2]Entry!$C$1653)</f>
        <v/>
      </c>
      <c r="Q1650">
        <f>IF([2]Entry!$D$1653="","",[2]Entry!$D$1653)</f>
        <v/>
      </c>
      <c r="R1650">
        <f>IF([2]Entry!$E$1653="","",[2]Entry!$E$1653)</f>
        <v/>
      </c>
      <c r="S1650">
        <f>IF([2]Entry!$G$1653="","",[2]Entry!$G$1653)</f>
        <v/>
      </c>
      <c r="T1650">
        <f>IF([2]Entry!$J$1653="","",[2]Entry!$J$1653)</f>
        <v/>
      </c>
      <c r="U1650">
        <f>IF([2]Entry!$K$1653="","",[2]Entry!$K$1653)</f>
        <v/>
      </c>
      <c r="V1650">
        <f>IF([2]Entry!$L$1653="","",[2]Entry!$L$1653)</f>
        <v/>
      </c>
      <c r="W1650">
        <f>IF([2]Entry!$M$1653="","",[2]Entry!$M$1653)</f>
        <v/>
      </c>
      <c r="X1650">
        <f>IF([2]Entry!$N$1653="","",[2]Entry!$N$1653)</f>
        <v/>
      </c>
      <c r="Y1650">
        <f>IF([2]Entry!$R$1653="","",[2]Entry!$R$1653)</f>
        <v/>
      </c>
    </row>
    <row r="1651">
      <c r="P1651">
        <f>IF([2]Entry!$C$1654="","",[2]Entry!$C$1654)</f>
        <v/>
      </c>
      <c r="Q1651">
        <f>IF([2]Entry!$D$1654="","",[2]Entry!$D$1654)</f>
        <v/>
      </c>
      <c r="R1651">
        <f>IF([2]Entry!$E$1654="","",[2]Entry!$E$1654)</f>
        <v/>
      </c>
      <c r="S1651">
        <f>IF([2]Entry!$G$1654="","",[2]Entry!$G$1654)</f>
        <v/>
      </c>
      <c r="T1651">
        <f>IF([2]Entry!$J$1654="","",[2]Entry!$J$1654)</f>
        <v/>
      </c>
      <c r="U1651">
        <f>IF([2]Entry!$K$1654="","",[2]Entry!$K$1654)</f>
        <v/>
      </c>
      <c r="V1651">
        <f>IF([2]Entry!$L$1654="","",[2]Entry!$L$1654)</f>
        <v/>
      </c>
      <c r="W1651">
        <f>IF([2]Entry!$M$1654="","",[2]Entry!$M$1654)</f>
        <v/>
      </c>
      <c r="X1651">
        <f>IF([2]Entry!$N$1654="","",[2]Entry!$N$1654)</f>
        <v/>
      </c>
      <c r="Y1651">
        <f>IF([2]Entry!$R$1654="","",[2]Entry!$R$1654)</f>
        <v/>
      </c>
    </row>
    <row r="1652">
      <c r="P1652">
        <f>IF([2]Entry!$C$1655="","",[2]Entry!$C$1655)</f>
        <v/>
      </c>
      <c r="Q1652">
        <f>IF([2]Entry!$D$1655="","",[2]Entry!$D$1655)</f>
        <v/>
      </c>
      <c r="R1652">
        <f>IF([2]Entry!$E$1655="","",[2]Entry!$E$1655)</f>
        <v/>
      </c>
      <c r="S1652">
        <f>IF([2]Entry!$G$1655="","",[2]Entry!$G$1655)</f>
        <v/>
      </c>
      <c r="T1652">
        <f>IF([2]Entry!$J$1655="","",[2]Entry!$J$1655)</f>
        <v/>
      </c>
      <c r="U1652">
        <f>IF([2]Entry!$K$1655="","",[2]Entry!$K$1655)</f>
        <v/>
      </c>
      <c r="V1652">
        <f>IF([2]Entry!$L$1655="","",[2]Entry!$L$1655)</f>
        <v/>
      </c>
      <c r="W1652">
        <f>IF([2]Entry!$M$1655="","",[2]Entry!$M$1655)</f>
        <v/>
      </c>
      <c r="X1652">
        <f>IF([2]Entry!$N$1655="","",[2]Entry!$N$1655)</f>
        <v/>
      </c>
      <c r="Y1652">
        <f>IF([2]Entry!$R$1655="","",[2]Entry!$R$1655)</f>
        <v/>
      </c>
    </row>
    <row r="1653">
      <c r="P1653">
        <f>IF([2]Entry!$C$1656="","",[2]Entry!$C$1656)</f>
        <v/>
      </c>
      <c r="Q1653">
        <f>IF([2]Entry!$D$1656="","",[2]Entry!$D$1656)</f>
        <v/>
      </c>
      <c r="R1653">
        <f>IF([2]Entry!$E$1656="","",[2]Entry!$E$1656)</f>
        <v/>
      </c>
      <c r="S1653">
        <f>IF([2]Entry!$G$1656="","",[2]Entry!$G$1656)</f>
        <v/>
      </c>
      <c r="T1653">
        <f>IF([2]Entry!$J$1656="","",[2]Entry!$J$1656)</f>
        <v/>
      </c>
      <c r="U1653">
        <f>IF([2]Entry!$K$1656="","",[2]Entry!$K$1656)</f>
        <v/>
      </c>
      <c r="V1653">
        <f>IF([2]Entry!$L$1656="","",[2]Entry!$L$1656)</f>
        <v/>
      </c>
      <c r="W1653">
        <f>IF([2]Entry!$M$1656="","",[2]Entry!$M$1656)</f>
        <v/>
      </c>
      <c r="X1653">
        <f>IF([2]Entry!$N$1656="","",[2]Entry!$N$1656)</f>
        <v/>
      </c>
      <c r="Y1653">
        <f>IF([2]Entry!$R$1656="","",[2]Entry!$R$1656)</f>
        <v/>
      </c>
    </row>
    <row r="1654">
      <c r="P1654">
        <f>IF([2]Entry!$C$1657="","",[2]Entry!$C$1657)</f>
        <v/>
      </c>
      <c r="Q1654">
        <f>IF([2]Entry!$D$1657="","",[2]Entry!$D$1657)</f>
        <v/>
      </c>
      <c r="R1654">
        <f>IF([2]Entry!$E$1657="","",[2]Entry!$E$1657)</f>
        <v/>
      </c>
      <c r="S1654">
        <f>IF([2]Entry!$G$1657="","",[2]Entry!$G$1657)</f>
        <v/>
      </c>
      <c r="T1654">
        <f>IF([2]Entry!$J$1657="","",[2]Entry!$J$1657)</f>
        <v/>
      </c>
      <c r="U1654">
        <f>IF([2]Entry!$K$1657="","",[2]Entry!$K$1657)</f>
        <v/>
      </c>
      <c r="V1654">
        <f>IF([2]Entry!$L$1657="","",[2]Entry!$L$1657)</f>
        <v/>
      </c>
      <c r="W1654">
        <f>IF([2]Entry!$M$1657="","",[2]Entry!$M$1657)</f>
        <v/>
      </c>
      <c r="X1654">
        <f>IF([2]Entry!$N$1657="","",[2]Entry!$N$1657)</f>
        <v/>
      </c>
      <c r="Y1654">
        <f>IF([2]Entry!$R$1657="","",[2]Entry!$R$1657)</f>
        <v/>
      </c>
    </row>
    <row r="1655">
      <c r="P1655">
        <f>IF([2]Entry!$C$1658="","",[2]Entry!$C$1658)</f>
        <v/>
      </c>
      <c r="Q1655">
        <f>IF([2]Entry!$D$1658="","",[2]Entry!$D$1658)</f>
        <v/>
      </c>
      <c r="R1655">
        <f>IF([2]Entry!$E$1658="","",[2]Entry!$E$1658)</f>
        <v/>
      </c>
      <c r="S1655">
        <f>IF([2]Entry!$G$1658="","",[2]Entry!$G$1658)</f>
        <v/>
      </c>
      <c r="T1655">
        <f>IF([2]Entry!$J$1658="","",[2]Entry!$J$1658)</f>
        <v/>
      </c>
      <c r="U1655">
        <f>IF([2]Entry!$K$1658="","",[2]Entry!$K$1658)</f>
        <v/>
      </c>
      <c r="V1655">
        <f>IF([2]Entry!$L$1658="","",[2]Entry!$L$1658)</f>
        <v/>
      </c>
      <c r="W1655">
        <f>IF([2]Entry!$M$1658="","",[2]Entry!$M$1658)</f>
        <v/>
      </c>
      <c r="X1655">
        <f>IF([2]Entry!$N$1658="","",[2]Entry!$N$1658)</f>
        <v/>
      </c>
      <c r="Y1655">
        <f>IF([2]Entry!$R$1658="","",[2]Entry!$R$1658)</f>
        <v/>
      </c>
    </row>
    <row r="1656">
      <c r="P1656">
        <f>IF([2]Entry!$C$1659="","",[2]Entry!$C$1659)</f>
        <v/>
      </c>
      <c r="Q1656">
        <f>IF([2]Entry!$D$1659="","",[2]Entry!$D$1659)</f>
        <v/>
      </c>
      <c r="R1656">
        <f>IF([2]Entry!$E$1659="","",[2]Entry!$E$1659)</f>
        <v/>
      </c>
      <c r="S1656">
        <f>IF([2]Entry!$G$1659="","",[2]Entry!$G$1659)</f>
        <v/>
      </c>
      <c r="T1656">
        <f>IF([2]Entry!$J$1659="","",[2]Entry!$J$1659)</f>
        <v/>
      </c>
      <c r="U1656">
        <f>IF([2]Entry!$K$1659="","",[2]Entry!$K$1659)</f>
        <v/>
      </c>
      <c r="V1656">
        <f>IF([2]Entry!$L$1659="","",[2]Entry!$L$1659)</f>
        <v/>
      </c>
      <c r="W1656">
        <f>IF([2]Entry!$M$1659="","",[2]Entry!$M$1659)</f>
        <v/>
      </c>
      <c r="X1656">
        <f>IF([2]Entry!$N$1659="","",[2]Entry!$N$1659)</f>
        <v/>
      </c>
      <c r="Y1656">
        <f>IF([2]Entry!$R$1659="","",[2]Entry!$R$1659)</f>
        <v/>
      </c>
    </row>
    <row r="1657">
      <c r="P1657">
        <f>IF([2]Entry!$C$1660="","",[2]Entry!$C$1660)</f>
        <v/>
      </c>
      <c r="Q1657">
        <f>IF([2]Entry!$D$1660="","",[2]Entry!$D$1660)</f>
        <v/>
      </c>
      <c r="R1657">
        <f>IF([2]Entry!$E$1660="","",[2]Entry!$E$1660)</f>
        <v/>
      </c>
      <c r="S1657">
        <f>IF([2]Entry!$G$1660="","",[2]Entry!$G$1660)</f>
        <v/>
      </c>
      <c r="T1657">
        <f>IF([2]Entry!$J$1660="","",[2]Entry!$J$1660)</f>
        <v/>
      </c>
      <c r="U1657">
        <f>IF([2]Entry!$K$1660="","",[2]Entry!$K$1660)</f>
        <v/>
      </c>
      <c r="V1657">
        <f>IF([2]Entry!$L$1660="","",[2]Entry!$L$1660)</f>
        <v/>
      </c>
      <c r="W1657">
        <f>IF([2]Entry!$M$1660="","",[2]Entry!$M$1660)</f>
        <v/>
      </c>
      <c r="X1657">
        <f>IF([2]Entry!$N$1660="","",[2]Entry!$N$1660)</f>
        <v/>
      </c>
      <c r="Y1657">
        <f>IF([2]Entry!$R$1660="","",[2]Entry!$R$1660)</f>
        <v/>
      </c>
    </row>
    <row r="1658">
      <c r="P1658">
        <f>IF([2]Entry!$C$1661="","",[2]Entry!$C$1661)</f>
        <v/>
      </c>
      <c r="Q1658">
        <f>IF([2]Entry!$D$1661="","",[2]Entry!$D$1661)</f>
        <v/>
      </c>
      <c r="R1658">
        <f>IF([2]Entry!$E$1661="","",[2]Entry!$E$1661)</f>
        <v/>
      </c>
      <c r="S1658">
        <f>IF([2]Entry!$G$1661="","",[2]Entry!$G$1661)</f>
        <v/>
      </c>
      <c r="T1658">
        <f>IF([2]Entry!$J$1661="","",[2]Entry!$J$1661)</f>
        <v/>
      </c>
      <c r="U1658">
        <f>IF([2]Entry!$K$1661="","",[2]Entry!$K$1661)</f>
        <v/>
      </c>
      <c r="V1658">
        <f>IF([2]Entry!$L$1661="","",[2]Entry!$L$1661)</f>
        <v/>
      </c>
      <c r="W1658">
        <f>IF([2]Entry!$M$1661="","",[2]Entry!$M$1661)</f>
        <v/>
      </c>
      <c r="X1658">
        <f>IF([2]Entry!$N$1661="","",[2]Entry!$N$1661)</f>
        <v/>
      </c>
      <c r="Y1658">
        <f>IF([2]Entry!$R$1661="","",[2]Entry!$R$1661)</f>
        <v/>
      </c>
    </row>
    <row r="1659">
      <c r="P1659">
        <f>IF([2]Entry!$C$1662="","",[2]Entry!$C$1662)</f>
        <v/>
      </c>
      <c r="Q1659">
        <f>IF([2]Entry!$D$1662="","",[2]Entry!$D$1662)</f>
        <v/>
      </c>
      <c r="R1659">
        <f>IF([2]Entry!$E$1662="","",[2]Entry!$E$1662)</f>
        <v/>
      </c>
      <c r="S1659">
        <f>IF([2]Entry!$G$1662="","",[2]Entry!$G$1662)</f>
        <v/>
      </c>
      <c r="T1659">
        <f>IF([2]Entry!$J$1662="","",[2]Entry!$J$1662)</f>
        <v/>
      </c>
      <c r="U1659">
        <f>IF([2]Entry!$K$1662="","",[2]Entry!$K$1662)</f>
        <v/>
      </c>
      <c r="V1659">
        <f>IF([2]Entry!$L$1662="","",[2]Entry!$L$1662)</f>
        <v/>
      </c>
      <c r="W1659">
        <f>IF([2]Entry!$M$1662="","",[2]Entry!$M$1662)</f>
        <v/>
      </c>
      <c r="X1659">
        <f>IF([2]Entry!$N$1662="","",[2]Entry!$N$1662)</f>
        <v/>
      </c>
      <c r="Y1659">
        <f>IF([2]Entry!$R$1662="","",[2]Entry!$R$1662)</f>
        <v/>
      </c>
    </row>
    <row r="1660">
      <c r="P1660">
        <f>IF([2]Entry!$C$1663="","",[2]Entry!$C$1663)</f>
        <v/>
      </c>
      <c r="Q1660">
        <f>IF([2]Entry!$D$1663="","",[2]Entry!$D$1663)</f>
        <v/>
      </c>
      <c r="R1660">
        <f>IF([2]Entry!$E$1663="","",[2]Entry!$E$1663)</f>
        <v/>
      </c>
      <c r="S1660">
        <f>IF([2]Entry!$G$1663="","",[2]Entry!$G$1663)</f>
        <v/>
      </c>
      <c r="T1660">
        <f>IF([2]Entry!$J$1663="","",[2]Entry!$J$1663)</f>
        <v/>
      </c>
      <c r="U1660">
        <f>IF([2]Entry!$K$1663="","",[2]Entry!$K$1663)</f>
        <v/>
      </c>
      <c r="V1660">
        <f>IF([2]Entry!$L$1663="","",[2]Entry!$L$1663)</f>
        <v/>
      </c>
      <c r="W1660">
        <f>IF([2]Entry!$M$1663="","",[2]Entry!$M$1663)</f>
        <v/>
      </c>
      <c r="X1660">
        <f>IF([2]Entry!$N$1663="","",[2]Entry!$N$1663)</f>
        <v/>
      </c>
      <c r="Y1660">
        <f>IF([2]Entry!$R$1663="","",[2]Entry!$R$1663)</f>
        <v/>
      </c>
    </row>
    <row r="1661">
      <c r="P1661">
        <f>IF([2]Entry!$C$1664="","",[2]Entry!$C$1664)</f>
        <v/>
      </c>
      <c r="Q1661">
        <f>IF([2]Entry!$D$1664="","",[2]Entry!$D$1664)</f>
        <v/>
      </c>
      <c r="R1661">
        <f>IF([2]Entry!$E$1664="","",[2]Entry!$E$1664)</f>
        <v/>
      </c>
      <c r="S1661">
        <f>IF([2]Entry!$G$1664="","",[2]Entry!$G$1664)</f>
        <v/>
      </c>
      <c r="T1661">
        <f>IF([2]Entry!$J$1664="","",[2]Entry!$J$1664)</f>
        <v/>
      </c>
      <c r="U1661">
        <f>IF([2]Entry!$K$1664="","",[2]Entry!$K$1664)</f>
        <v/>
      </c>
      <c r="V1661">
        <f>IF([2]Entry!$L$1664="","",[2]Entry!$L$1664)</f>
        <v/>
      </c>
      <c r="W1661">
        <f>IF([2]Entry!$M$1664="","",[2]Entry!$M$1664)</f>
        <v/>
      </c>
      <c r="X1661">
        <f>IF([2]Entry!$N$1664="","",[2]Entry!$N$1664)</f>
        <v/>
      </c>
      <c r="Y1661">
        <f>IF([2]Entry!$R$1664="","",[2]Entry!$R$1664)</f>
        <v/>
      </c>
    </row>
    <row r="1662">
      <c r="P1662">
        <f>IF([2]Entry!$C$1665="","",[2]Entry!$C$1665)</f>
        <v/>
      </c>
      <c r="Q1662">
        <f>IF([2]Entry!$D$1665="","",[2]Entry!$D$1665)</f>
        <v/>
      </c>
      <c r="R1662">
        <f>IF([2]Entry!$E$1665="","",[2]Entry!$E$1665)</f>
        <v/>
      </c>
      <c r="S1662">
        <f>IF([2]Entry!$G$1665="","",[2]Entry!$G$1665)</f>
        <v/>
      </c>
      <c r="T1662">
        <f>IF([2]Entry!$J$1665="","",[2]Entry!$J$1665)</f>
        <v/>
      </c>
      <c r="U1662">
        <f>IF([2]Entry!$K$1665="","",[2]Entry!$K$1665)</f>
        <v/>
      </c>
      <c r="V1662">
        <f>IF([2]Entry!$L$1665="","",[2]Entry!$L$1665)</f>
        <v/>
      </c>
      <c r="W1662">
        <f>IF([2]Entry!$M$1665="","",[2]Entry!$M$1665)</f>
        <v/>
      </c>
      <c r="X1662">
        <f>IF([2]Entry!$N$1665="","",[2]Entry!$N$1665)</f>
        <v/>
      </c>
      <c r="Y1662">
        <f>IF([2]Entry!$R$1665="","",[2]Entry!$R$1665)</f>
        <v/>
      </c>
    </row>
    <row r="1663">
      <c r="P1663">
        <f>IF([2]Entry!$C$1666="","",[2]Entry!$C$1666)</f>
        <v/>
      </c>
      <c r="Q1663">
        <f>IF([2]Entry!$D$1666="","",[2]Entry!$D$1666)</f>
        <v/>
      </c>
      <c r="R1663">
        <f>IF([2]Entry!$E$1666="","",[2]Entry!$E$1666)</f>
        <v/>
      </c>
      <c r="S1663">
        <f>IF([2]Entry!$G$1666="","",[2]Entry!$G$1666)</f>
        <v/>
      </c>
      <c r="T1663">
        <f>IF([2]Entry!$J$1666="","",[2]Entry!$J$1666)</f>
        <v/>
      </c>
      <c r="U1663">
        <f>IF([2]Entry!$K$1666="","",[2]Entry!$K$1666)</f>
        <v/>
      </c>
      <c r="V1663">
        <f>IF([2]Entry!$L$1666="","",[2]Entry!$L$1666)</f>
        <v/>
      </c>
      <c r="W1663">
        <f>IF([2]Entry!$M$1666="","",[2]Entry!$M$1666)</f>
        <v/>
      </c>
      <c r="X1663">
        <f>IF([2]Entry!$N$1666="","",[2]Entry!$N$1666)</f>
        <v/>
      </c>
      <c r="Y1663">
        <f>IF([2]Entry!$R$1666="","",[2]Entry!$R$1666)</f>
        <v/>
      </c>
    </row>
    <row r="1664">
      <c r="P1664">
        <f>IF([2]Entry!$C$1667="","",[2]Entry!$C$1667)</f>
        <v/>
      </c>
      <c r="Q1664">
        <f>IF([2]Entry!$D$1667="","",[2]Entry!$D$1667)</f>
        <v/>
      </c>
      <c r="R1664">
        <f>IF([2]Entry!$E$1667="","",[2]Entry!$E$1667)</f>
        <v/>
      </c>
      <c r="S1664">
        <f>IF([2]Entry!$G$1667="","",[2]Entry!$G$1667)</f>
        <v/>
      </c>
      <c r="T1664">
        <f>IF([2]Entry!$J$1667="","",[2]Entry!$J$1667)</f>
        <v/>
      </c>
      <c r="U1664">
        <f>IF([2]Entry!$K$1667="","",[2]Entry!$K$1667)</f>
        <v/>
      </c>
      <c r="V1664">
        <f>IF([2]Entry!$L$1667="","",[2]Entry!$L$1667)</f>
        <v/>
      </c>
      <c r="W1664">
        <f>IF([2]Entry!$M$1667="","",[2]Entry!$M$1667)</f>
        <v/>
      </c>
      <c r="X1664">
        <f>IF([2]Entry!$N$1667="","",[2]Entry!$N$1667)</f>
        <v/>
      </c>
      <c r="Y1664">
        <f>IF([2]Entry!$R$1667="","",[2]Entry!$R$1667)</f>
        <v/>
      </c>
    </row>
    <row r="1665">
      <c r="P1665">
        <f>IF([2]Entry!$C$1668="","",[2]Entry!$C$1668)</f>
        <v/>
      </c>
      <c r="Q1665">
        <f>IF([2]Entry!$D$1668="","",[2]Entry!$D$1668)</f>
        <v/>
      </c>
      <c r="R1665">
        <f>IF([2]Entry!$E$1668="","",[2]Entry!$E$1668)</f>
        <v/>
      </c>
      <c r="S1665">
        <f>IF([2]Entry!$G$1668="","",[2]Entry!$G$1668)</f>
        <v/>
      </c>
      <c r="T1665">
        <f>IF([2]Entry!$J$1668="","",[2]Entry!$J$1668)</f>
        <v/>
      </c>
      <c r="U1665">
        <f>IF([2]Entry!$K$1668="","",[2]Entry!$K$1668)</f>
        <v/>
      </c>
      <c r="V1665">
        <f>IF([2]Entry!$L$1668="","",[2]Entry!$L$1668)</f>
        <v/>
      </c>
      <c r="W1665">
        <f>IF([2]Entry!$M$1668="","",[2]Entry!$M$1668)</f>
        <v/>
      </c>
      <c r="X1665">
        <f>IF([2]Entry!$N$1668="","",[2]Entry!$N$1668)</f>
        <v/>
      </c>
      <c r="Y1665">
        <f>IF([2]Entry!$R$1668="","",[2]Entry!$R$1668)</f>
        <v/>
      </c>
    </row>
    <row r="1666">
      <c r="P1666">
        <f>IF([2]Entry!$C$1669="","",[2]Entry!$C$1669)</f>
        <v/>
      </c>
      <c r="Q1666">
        <f>IF([2]Entry!$D$1669="","",[2]Entry!$D$1669)</f>
        <v/>
      </c>
      <c r="R1666">
        <f>IF([2]Entry!$E$1669="","",[2]Entry!$E$1669)</f>
        <v/>
      </c>
      <c r="S1666">
        <f>IF([2]Entry!$G$1669="","",[2]Entry!$G$1669)</f>
        <v/>
      </c>
      <c r="T1666">
        <f>IF([2]Entry!$J$1669="","",[2]Entry!$J$1669)</f>
        <v/>
      </c>
      <c r="U1666">
        <f>IF([2]Entry!$K$1669="","",[2]Entry!$K$1669)</f>
        <v/>
      </c>
      <c r="V1666">
        <f>IF([2]Entry!$L$1669="","",[2]Entry!$L$1669)</f>
        <v/>
      </c>
      <c r="W1666">
        <f>IF([2]Entry!$M$1669="","",[2]Entry!$M$1669)</f>
        <v/>
      </c>
      <c r="X1666">
        <f>IF([2]Entry!$N$1669="","",[2]Entry!$N$1669)</f>
        <v/>
      </c>
      <c r="Y1666">
        <f>IF([2]Entry!$R$1669="","",[2]Entry!$R$1669)</f>
        <v/>
      </c>
    </row>
    <row r="1667">
      <c r="P1667">
        <f>IF([2]Entry!$C$1670="","",[2]Entry!$C$1670)</f>
        <v/>
      </c>
      <c r="Q1667">
        <f>IF([2]Entry!$D$1670="","",[2]Entry!$D$1670)</f>
        <v/>
      </c>
      <c r="R1667">
        <f>IF([2]Entry!$E$1670="","",[2]Entry!$E$1670)</f>
        <v/>
      </c>
      <c r="S1667">
        <f>IF([2]Entry!$G$1670="","",[2]Entry!$G$1670)</f>
        <v/>
      </c>
      <c r="T1667">
        <f>IF([2]Entry!$J$1670="","",[2]Entry!$J$1670)</f>
        <v/>
      </c>
      <c r="U1667">
        <f>IF([2]Entry!$K$1670="","",[2]Entry!$K$1670)</f>
        <v/>
      </c>
      <c r="V1667">
        <f>IF([2]Entry!$L$1670="","",[2]Entry!$L$1670)</f>
        <v/>
      </c>
      <c r="W1667">
        <f>IF([2]Entry!$M$1670="","",[2]Entry!$M$1670)</f>
        <v/>
      </c>
      <c r="X1667">
        <f>IF([2]Entry!$N$1670="","",[2]Entry!$N$1670)</f>
        <v/>
      </c>
      <c r="Y1667">
        <f>IF([2]Entry!$R$1670="","",[2]Entry!$R$1670)</f>
        <v/>
      </c>
    </row>
    <row r="1668">
      <c r="P1668">
        <f>IF([2]Entry!$C$1671="","",[2]Entry!$C$1671)</f>
        <v/>
      </c>
      <c r="Q1668">
        <f>IF([2]Entry!$D$1671="","",[2]Entry!$D$1671)</f>
        <v/>
      </c>
      <c r="R1668">
        <f>IF([2]Entry!$E$1671="","",[2]Entry!$E$1671)</f>
        <v/>
      </c>
      <c r="S1668">
        <f>IF([2]Entry!$G$1671="","",[2]Entry!$G$1671)</f>
        <v/>
      </c>
      <c r="T1668">
        <f>IF([2]Entry!$J$1671="","",[2]Entry!$J$1671)</f>
        <v/>
      </c>
      <c r="U1668">
        <f>IF([2]Entry!$K$1671="","",[2]Entry!$K$1671)</f>
        <v/>
      </c>
      <c r="V1668">
        <f>IF([2]Entry!$L$1671="","",[2]Entry!$L$1671)</f>
        <v/>
      </c>
      <c r="W1668">
        <f>IF([2]Entry!$M$1671="","",[2]Entry!$M$1671)</f>
        <v/>
      </c>
      <c r="X1668">
        <f>IF([2]Entry!$N$1671="","",[2]Entry!$N$1671)</f>
        <v/>
      </c>
      <c r="Y1668">
        <f>IF([2]Entry!$R$1671="","",[2]Entry!$R$1671)</f>
        <v/>
      </c>
    </row>
    <row r="1669">
      <c r="P1669">
        <f>IF([2]Entry!$C$1672="","",[2]Entry!$C$1672)</f>
        <v/>
      </c>
      <c r="Q1669">
        <f>IF([2]Entry!$D$1672="","",[2]Entry!$D$1672)</f>
        <v/>
      </c>
      <c r="R1669">
        <f>IF([2]Entry!$E$1672="","",[2]Entry!$E$1672)</f>
        <v/>
      </c>
      <c r="S1669">
        <f>IF([2]Entry!$G$1672="","",[2]Entry!$G$1672)</f>
        <v/>
      </c>
      <c r="T1669">
        <f>IF([2]Entry!$J$1672="","",[2]Entry!$J$1672)</f>
        <v/>
      </c>
      <c r="U1669">
        <f>IF([2]Entry!$K$1672="","",[2]Entry!$K$1672)</f>
        <v/>
      </c>
      <c r="V1669">
        <f>IF([2]Entry!$L$1672="","",[2]Entry!$L$1672)</f>
        <v/>
      </c>
      <c r="W1669">
        <f>IF([2]Entry!$M$1672="","",[2]Entry!$M$1672)</f>
        <v/>
      </c>
      <c r="X1669">
        <f>IF([2]Entry!$N$1672="","",[2]Entry!$N$1672)</f>
        <v/>
      </c>
      <c r="Y1669">
        <f>IF([2]Entry!$R$1672="","",[2]Entry!$R$1672)</f>
        <v/>
      </c>
    </row>
    <row r="1670">
      <c r="P1670">
        <f>IF([2]Entry!$C$1673="","",[2]Entry!$C$1673)</f>
        <v/>
      </c>
      <c r="Q1670">
        <f>IF([2]Entry!$D$1673="","",[2]Entry!$D$1673)</f>
        <v/>
      </c>
      <c r="R1670">
        <f>IF([2]Entry!$E$1673="","",[2]Entry!$E$1673)</f>
        <v/>
      </c>
      <c r="S1670">
        <f>IF([2]Entry!$G$1673="","",[2]Entry!$G$1673)</f>
        <v/>
      </c>
      <c r="T1670">
        <f>IF([2]Entry!$J$1673="","",[2]Entry!$J$1673)</f>
        <v/>
      </c>
      <c r="U1670">
        <f>IF([2]Entry!$K$1673="","",[2]Entry!$K$1673)</f>
        <v/>
      </c>
      <c r="V1670">
        <f>IF([2]Entry!$L$1673="","",[2]Entry!$L$1673)</f>
        <v/>
      </c>
      <c r="W1670">
        <f>IF([2]Entry!$M$1673="","",[2]Entry!$M$1673)</f>
        <v/>
      </c>
      <c r="X1670">
        <f>IF([2]Entry!$N$1673="","",[2]Entry!$N$1673)</f>
        <v/>
      </c>
      <c r="Y1670">
        <f>IF([2]Entry!$R$1673="","",[2]Entry!$R$1673)</f>
        <v/>
      </c>
    </row>
    <row r="1671">
      <c r="P1671">
        <f>IF([2]Entry!$C$1674="","",[2]Entry!$C$1674)</f>
        <v/>
      </c>
      <c r="Q1671">
        <f>IF([2]Entry!$D$1674="","",[2]Entry!$D$1674)</f>
        <v/>
      </c>
      <c r="R1671">
        <f>IF([2]Entry!$E$1674="","",[2]Entry!$E$1674)</f>
        <v/>
      </c>
      <c r="S1671">
        <f>IF([2]Entry!$G$1674="","",[2]Entry!$G$1674)</f>
        <v/>
      </c>
      <c r="T1671">
        <f>IF([2]Entry!$J$1674="","",[2]Entry!$J$1674)</f>
        <v/>
      </c>
      <c r="U1671">
        <f>IF([2]Entry!$K$1674="","",[2]Entry!$K$1674)</f>
        <v/>
      </c>
      <c r="V1671">
        <f>IF([2]Entry!$L$1674="","",[2]Entry!$L$1674)</f>
        <v/>
      </c>
      <c r="W1671">
        <f>IF([2]Entry!$M$1674="","",[2]Entry!$M$1674)</f>
        <v/>
      </c>
      <c r="X1671">
        <f>IF([2]Entry!$N$1674="","",[2]Entry!$N$1674)</f>
        <v/>
      </c>
      <c r="Y1671">
        <f>IF([2]Entry!$R$1674="","",[2]Entry!$R$1674)</f>
        <v/>
      </c>
    </row>
    <row r="1672">
      <c r="P1672">
        <f>IF([2]Entry!$C$1675="","",[2]Entry!$C$1675)</f>
        <v/>
      </c>
      <c r="Q1672">
        <f>IF([2]Entry!$D$1675="","",[2]Entry!$D$1675)</f>
        <v/>
      </c>
      <c r="R1672">
        <f>IF([2]Entry!$E$1675="","",[2]Entry!$E$1675)</f>
        <v/>
      </c>
      <c r="S1672">
        <f>IF([2]Entry!$G$1675="","",[2]Entry!$G$1675)</f>
        <v/>
      </c>
      <c r="T1672">
        <f>IF([2]Entry!$J$1675="","",[2]Entry!$J$1675)</f>
        <v/>
      </c>
      <c r="U1672">
        <f>IF([2]Entry!$K$1675="","",[2]Entry!$K$1675)</f>
        <v/>
      </c>
      <c r="V1672">
        <f>IF([2]Entry!$L$1675="","",[2]Entry!$L$1675)</f>
        <v/>
      </c>
      <c r="W1672">
        <f>IF([2]Entry!$M$1675="","",[2]Entry!$M$1675)</f>
        <v/>
      </c>
      <c r="X1672">
        <f>IF([2]Entry!$N$1675="","",[2]Entry!$N$1675)</f>
        <v/>
      </c>
      <c r="Y1672">
        <f>IF([2]Entry!$R$1675="","",[2]Entry!$R$1675)</f>
        <v/>
      </c>
    </row>
    <row r="1673">
      <c r="P1673">
        <f>IF([2]Entry!$C$1676="","",[2]Entry!$C$1676)</f>
        <v/>
      </c>
      <c r="Q1673">
        <f>IF([2]Entry!$D$1676="","",[2]Entry!$D$1676)</f>
        <v/>
      </c>
      <c r="R1673">
        <f>IF([2]Entry!$E$1676="","",[2]Entry!$E$1676)</f>
        <v/>
      </c>
      <c r="S1673">
        <f>IF([2]Entry!$G$1676="","",[2]Entry!$G$1676)</f>
        <v/>
      </c>
      <c r="T1673">
        <f>IF([2]Entry!$J$1676="","",[2]Entry!$J$1676)</f>
        <v/>
      </c>
      <c r="U1673">
        <f>IF([2]Entry!$K$1676="","",[2]Entry!$K$1676)</f>
        <v/>
      </c>
      <c r="V1673">
        <f>IF([2]Entry!$L$1676="","",[2]Entry!$L$1676)</f>
        <v/>
      </c>
      <c r="W1673">
        <f>IF([2]Entry!$M$1676="","",[2]Entry!$M$1676)</f>
        <v/>
      </c>
      <c r="X1673">
        <f>IF([2]Entry!$N$1676="","",[2]Entry!$N$1676)</f>
        <v/>
      </c>
      <c r="Y1673">
        <f>IF([2]Entry!$R$1676="","",[2]Entry!$R$1676)</f>
        <v/>
      </c>
    </row>
    <row r="1674">
      <c r="P1674">
        <f>IF([2]Entry!$C$1677="","",[2]Entry!$C$1677)</f>
        <v/>
      </c>
      <c r="Q1674">
        <f>IF([2]Entry!$D$1677="","",[2]Entry!$D$1677)</f>
        <v/>
      </c>
      <c r="R1674">
        <f>IF([2]Entry!$E$1677="","",[2]Entry!$E$1677)</f>
        <v/>
      </c>
      <c r="S1674">
        <f>IF([2]Entry!$G$1677="","",[2]Entry!$G$1677)</f>
        <v/>
      </c>
      <c r="T1674">
        <f>IF([2]Entry!$J$1677="","",[2]Entry!$J$1677)</f>
        <v/>
      </c>
      <c r="U1674">
        <f>IF([2]Entry!$K$1677="","",[2]Entry!$K$1677)</f>
        <v/>
      </c>
      <c r="V1674">
        <f>IF([2]Entry!$L$1677="","",[2]Entry!$L$1677)</f>
        <v/>
      </c>
      <c r="W1674">
        <f>IF([2]Entry!$M$1677="","",[2]Entry!$M$1677)</f>
        <v/>
      </c>
      <c r="X1674">
        <f>IF([2]Entry!$N$1677="","",[2]Entry!$N$1677)</f>
        <v/>
      </c>
      <c r="Y1674">
        <f>IF([2]Entry!$R$1677="","",[2]Entry!$R$1677)</f>
        <v/>
      </c>
    </row>
    <row r="1675">
      <c r="P1675">
        <f>IF([2]Entry!$C$1678="","",[2]Entry!$C$1678)</f>
        <v/>
      </c>
      <c r="Q1675">
        <f>IF([2]Entry!$D$1678="","",[2]Entry!$D$1678)</f>
        <v/>
      </c>
      <c r="R1675">
        <f>IF([2]Entry!$E$1678="","",[2]Entry!$E$1678)</f>
        <v/>
      </c>
      <c r="S1675">
        <f>IF([2]Entry!$G$1678="","",[2]Entry!$G$1678)</f>
        <v/>
      </c>
      <c r="T1675">
        <f>IF([2]Entry!$J$1678="","",[2]Entry!$J$1678)</f>
        <v/>
      </c>
      <c r="U1675">
        <f>IF([2]Entry!$K$1678="","",[2]Entry!$K$1678)</f>
        <v/>
      </c>
      <c r="V1675">
        <f>IF([2]Entry!$L$1678="","",[2]Entry!$L$1678)</f>
        <v/>
      </c>
      <c r="W1675">
        <f>IF([2]Entry!$M$1678="","",[2]Entry!$M$1678)</f>
        <v/>
      </c>
      <c r="X1675">
        <f>IF([2]Entry!$N$1678="","",[2]Entry!$N$1678)</f>
        <v/>
      </c>
      <c r="Y1675">
        <f>IF([2]Entry!$R$1678="","",[2]Entry!$R$1678)</f>
        <v/>
      </c>
    </row>
    <row r="1676">
      <c r="P1676">
        <f>IF([2]Entry!$C$1679="","",[2]Entry!$C$1679)</f>
        <v/>
      </c>
      <c r="Q1676">
        <f>IF([2]Entry!$D$1679="","",[2]Entry!$D$1679)</f>
        <v/>
      </c>
      <c r="R1676">
        <f>IF([2]Entry!$E$1679="","",[2]Entry!$E$1679)</f>
        <v/>
      </c>
      <c r="S1676">
        <f>IF([2]Entry!$G$1679="","",[2]Entry!$G$1679)</f>
        <v/>
      </c>
      <c r="T1676">
        <f>IF([2]Entry!$J$1679="","",[2]Entry!$J$1679)</f>
        <v/>
      </c>
      <c r="U1676">
        <f>IF([2]Entry!$K$1679="","",[2]Entry!$K$1679)</f>
        <v/>
      </c>
      <c r="V1676">
        <f>IF([2]Entry!$L$1679="","",[2]Entry!$L$1679)</f>
        <v/>
      </c>
      <c r="W1676">
        <f>IF([2]Entry!$M$1679="","",[2]Entry!$M$1679)</f>
        <v/>
      </c>
      <c r="X1676">
        <f>IF([2]Entry!$N$1679="","",[2]Entry!$N$1679)</f>
        <v/>
      </c>
      <c r="Y1676">
        <f>IF([2]Entry!$R$1679="","",[2]Entry!$R$1679)</f>
        <v/>
      </c>
    </row>
    <row r="1677">
      <c r="P1677">
        <f>IF([2]Entry!$C$1680="","",[2]Entry!$C$1680)</f>
        <v/>
      </c>
      <c r="Q1677">
        <f>IF([2]Entry!$D$1680="","",[2]Entry!$D$1680)</f>
        <v/>
      </c>
      <c r="R1677">
        <f>IF([2]Entry!$E$1680="","",[2]Entry!$E$1680)</f>
        <v/>
      </c>
      <c r="S1677">
        <f>IF([2]Entry!$G$1680="","",[2]Entry!$G$1680)</f>
        <v/>
      </c>
      <c r="T1677">
        <f>IF([2]Entry!$J$1680="","",[2]Entry!$J$1680)</f>
        <v/>
      </c>
      <c r="U1677">
        <f>IF([2]Entry!$K$1680="","",[2]Entry!$K$1680)</f>
        <v/>
      </c>
      <c r="V1677">
        <f>IF([2]Entry!$L$1680="","",[2]Entry!$L$1680)</f>
        <v/>
      </c>
      <c r="W1677">
        <f>IF([2]Entry!$M$1680="","",[2]Entry!$M$1680)</f>
        <v/>
      </c>
      <c r="X1677">
        <f>IF([2]Entry!$N$1680="","",[2]Entry!$N$1680)</f>
        <v/>
      </c>
      <c r="Y1677">
        <f>IF([2]Entry!$R$1680="","",[2]Entry!$R$1680)</f>
        <v/>
      </c>
    </row>
    <row r="1678">
      <c r="P1678">
        <f>IF([2]Entry!$C$1681="","",[2]Entry!$C$1681)</f>
        <v/>
      </c>
      <c r="Q1678">
        <f>IF([2]Entry!$D$1681="","",[2]Entry!$D$1681)</f>
        <v/>
      </c>
      <c r="R1678">
        <f>IF([2]Entry!$E$1681="","",[2]Entry!$E$1681)</f>
        <v/>
      </c>
      <c r="S1678">
        <f>IF([2]Entry!$G$1681="","",[2]Entry!$G$1681)</f>
        <v/>
      </c>
      <c r="T1678">
        <f>IF([2]Entry!$J$1681="","",[2]Entry!$J$1681)</f>
        <v/>
      </c>
      <c r="U1678">
        <f>IF([2]Entry!$K$1681="","",[2]Entry!$K$1681)</f>
        <v/>
      </c>
      <c r="V1678">
        <f>IF([2]Entry!$L$1681="","",[2]Entry!$L$1681)</f>
        <v/>
      </c>
      <c r="W1678">
        <f>IF([2]Entry!$M$1681="","",[2]Entry!$M$1681)</f>
        <v/>
      </c>
      <c r="X1678">
        <f>IF([2]Entry!$N$1681="","",[2]Entry!$N$1681)</f>
        <v/>
      </c>
      <c r="Y1678">
        <f>IF([2]Entry!$R$1681="","",[2]Entry!$R$1681)</f>
        <v/>
      </c>
    </row>
    <row r="1679">
      <c r="P1679">
        <f>IF([2]Entry!$C$1682="","",[2]Entry!$C$1682)</f>
        <v/>
      </c>
      <c r="Q1679">
        <f>IF([2]Entry!$D$1682="","",[2]Entry!$D$1682)</f>
        <v/>
      </c>
      <c r="R1679">
        <f>IF([2]Entry!$E$1682="","",[2]Entry!$E$1682)</f>
        <v/>
      </c>
      <c r="S1679">
        <f>IF([2]Entry!$G$1682="","",[2]Entry!$G$1682)</f>
        <v/>
      </c>
      <c r="T1679">
        <f>IF([2]Entry!$J$1682="","",[2]Entry!$J$1682)</f>
        <v/>
      </c>
      <c r="U1679">
        <f>IF([2]Entry!$K$1682="","",[2]Entry!$K$1682)</f>
        <v/>
      </c>
      <c r="V1679">
        <f>IF([2]Entry!$L$1682="","",[2]Entry!$L$1682)</f>
        <v/>
      </c>
      <c r="W1679">
        <f>IF([2]Entry!$M$1682="","",[2]Entry!$M$1682)</f>
        <v/>
      </c>
      <c r="X1679">
        <f>IF([2]Entry!$N$1682="","",[2]Entry!$N$1682)</f>
        <v/>
      </c>
      <c r="Y1679">
        <f>IF([2]Entry!$R$1682="","",[2]Entry!$R$1682)</f>
        <v/>
      </c>
    </row>
    <row r="1680">
      <c r="P1680">
        <f>IF([2]Entry!$C$1683="","",[2]Entry!$C$1683)</f>
        <v/>
      </c>
      <c r="Q1680">
        <f>IF([2]Entry!$D$1683="","",[2]Entry!$D$1683)</f>
        <v/>
      </c>
      <c r="R1680">
        <f>IF([2]Entry!$E$1683="","",[2]Entry!$E$1683)</f>
        <v/>
      </c>
      <c r="S1680">
        <f>IF([2]Entry!$G$1683="","",[2]Entry!$G$1683)</f>
        <v/>
      </c>
      <c r="T1680">
        <f>IF([2]Entry!$J$1683="","",[2]Entry!$J$1683)</f>
        <v/>
      </c>
      <c r="U1680">
        <f>IF([2]Entry!$K$1683="","",[2]Entry!$K$1683)</f>
        <v/>
      </c>
      <c r="V1680">
        <f>IF([2]Entry!$L$1683="","",[2]Entry!$L$1683)</f>
        <v/>
      </c>
      <c r="W1680">
        <f>IF([2]Entry!$M$1683="","",[2]Entry!$M$1683)</f>
        <v/>
      </c>
      <c r="X1680">
        <f>IF([2]Entry!$N$1683="","",[2]Entry!$N$1683)</f>
        <v/>
      </c>
      <c r="Y1680">
        <f>IF([2]Entry!$R$1683="","",[2]Entry!$R$1683)</f>
        <v/>
      </c>
    </row>
    <row r="1681">
      <c r="P1681">
        <f>IF([2]Entry!$C$1684="","",[2]Entry!$C$1684)</f>
        <v/>
      </c>
      <c r="Q1681">
        <f>IF([2]Entry!$D$1684="","",[2]Entry!$D$1684)</f>
        <v/>
      </c>
      <c r="R1681">
        <f>IF([2]Entry!$E$1684="","",[2]Entry!$E$1684)</f>
        <v/>
      </c>
      <c r="S1681">
        <f>IF([2]Entry!$G$1684="","",[2]Entry!$G$1684)</f>
        <v/>
      </c>
      <c r="T1681">
        <f>IF([2]Entry!$J$1684="","",[2]Entry!$J$1684)</f>
        <v/>
      </c>
      <c r="U1681">
        <f>IF([2]Entry!$K$1684="","",[2]Entry!$K$1684)</f>
        <v/>
      </c>
      <c r="V1681">
        <f>IF([2]Entry!$L$1684="","",[2]Entry!$L$1684)</f>
        <v/>
      </c>
      <c r="W1681">
        <f>IF([2]Entry!$M$1684="","",[2]Entry!$M$1684)</f>
        <v/>
      </c>
      <c r="X1681">
        <f>IF([2]Entry!$N$1684="","",[2]Entry!$N$1684)</f>
        <v/>
      </c>
      <c r="Y1681">
        <f>IF([2]Entry!$R$1684="","",[2]Entry!$R$1684)</f>
        <v/>
      </c>
    </row>
    <row r="1682">
      <c r="P1682">
        <f>IF([2]Entry!$C$1685="","",[2]Entry!$C$1685)</f>
        <v/>
      </c>
      <c r="Q1682">
        <f>IF([2]Entry!$D$1685="","",[2]Entry!$D$1685)</f>
        <v/>
      </c>
      <c r="R1682">
        <f>IF([2]Entry!$E$1685="","",[2]Entry!$E$1685)</f>
        <v/>
      </c>
      <c r="S1682">
        <f>IF([2]Entry!$G$1685="","",[2]Entry!$G$1685)</f>
        <v/>
      </c>
      <c r="T1682">
        <f>IF([2]Entry!$J$1685="","",[2]Entry!$J$1685)</f>
        <v/>
      </c>
      <c r="U1682">
        <f>IF([2]Entry!$K$1685="","",[2]Entry!$K$1685)</f>
        <v/>
      </c>
      <c r="V1682">
        <f>IF([2]Entry!$L$1685="","",[2]Entry!$L$1685)</f>
        <v/>
      </c>
      <c r="W1682">
        <f>IF([2]Entry!$M$1685="","",[2]Entry!$M$1685)</f>
        <v/>
      </c>
      <c r="X1682">
        <f>IF([2]Entry!$N$1685="","",[2]Entry!$N$1685)</f>
        <v/>
      </c>
      <c r="Y1682">
        <f>IF([2]Entry!$R$1685="","",[2]Entry!$R$1685)</f>
        <v/>
      </c>
    </row>
    <row r="1683">
      <c r="P1683">
        <f>IF([2]Entry!$C$1686="","",[2]Entry!$C$1686)</f>
        <v/>
      </c>
      <c r="Q1683">
        <f>IF([2]Entry!$D$1686="","",[2]Entry!$D$1686)</f>
        <v/>
      </c>
      <c r="R1683">
        <f>IF([2]Entry!$E$1686="","",[2]Entry!$E$1686)</f>
        <v/>
      </c>
      <c r="S1683">
        <f>IF([2]Entry!$G$1686="","",[2]Entry!$G$1686)</f>
        <v/>
      </c>
      <c r="T1683">
        <f>IF([2]Entry!$J$1686="","",[2]Entry!$J$1686)</f>
        <v/>
      </c>
      <c r="U1683">
        <f>IF([2]Entry!$K$1686="","",[2]Entry!$K$1686)</f>
        <v/>
      </c>
      <c r="V1683">
        <f>IF([2]Entry!$L$1686="","",[2]Entry!$L$1686)</f>
        <v/>
      </c>
      <c r="W1683">
        <f>IF([2]Entry!$M$1686="","",[2]Entry!$M$1686)</f>
        <v/>
      </c>
      <c r="X1683">
        <f>IF([2]Entry!$N$1686="","",[2]Entry!$N$1686)</f>
        <v/>
      </c>
      <c r="Y1683">
        <f>IF([2]Entry!$R$1686="","",[2]Entry!$R$1686)</f>
        <v/>
      </c>
    </row>
    <row r="1684">
      <c r="P1684">
        <f>IF([2]Entry!$C$1687="","",[2]Entry!$C$1687)</f>
        <v/>
      </c>
      <c r="Q1684">
        <f>IF([2]Entry!$D$1687="","",[2]Entry!$D$1687)</f>
        <v/>
      </c>
      <c r="R1684">
        <f>IF([2]Entry!$E$1687="","",[2]Entry!$E$1687)</f>
        <v/>
      </c>
      <c r="S1684">
        <f>IF([2]Entry!$G$1687="","",[2]Entry!$G$1687)</f>
        <v/>
      </c>
      <c r="T1684">
        <f>IF([2]Entry!$J$1687="","",[2]Entry!$J$1687)</f>
        <v/>
      </c>
      <c r="U1684">
        <f>IF([2]Entry!$K$1687="","",[2]Entry!$K$1687)</f>
        <v/>
      </c>
      <c r="V1684">
        <f>IF([2]Entry!$L$1687="","",[2]Entry!$L$1687)</f>
        <v/>
      </c>
      <c r="W1684">
        <f>IF([2]Entry!$M$1687="","",[2]Entry!$M$1687)</f>
        <v/>
      </c>
      <c r="X1684">
        <f>IF([2]Entry!$N$1687="","",[2]Entry!$N$1687)</f>
        <v/>
      </c>
      <c r="Y1684">
        <f>IF([2]Entry!$R$1687="","",[2]Entry!$R$1687)</f>
        <v/>
      </c>
    </row>
    <row r="1685">
      <c r="P1685">
        <f>IF([2]Entry!$C$1688="","",[2]Entry!$C$1688)</f>
        <v/>
      </c>
      <c r="Q1685">
        <f>IF([2]Entry!$D$1688="","",[2]Entry!$D$1688)</f>
        <v/>
      </c>
      <c r="R1685">
        <f>IF([2]Entry!$E$1688="","",[2]Entry!$E$1688)</f>
        <v/>
      </c>
      <c r="S1685">
        <f>IF([2]Entry!$G$1688="","",[2]Entry!$G$1688)</f>
        <v/>
      </c>
      <c r="T1685">
        <f>IF([2]Entry!$J$1688="","",[2]Entry!$J$1688)</f>
        <v/>
      </c>
      <c r="U1685">
        <f>IF([2]Entry!$K$1688="","",[2]Entry!$K$1688)</f>
        <v/>
      </c>
      <c r="V1685">
        <f>IF([2]Entry!$L$1688="","",[2]Entry!$L$1688)</f>
        <v/>
      </c>
      <c r="W1685">
        <f>IF([2]Entry!$M$1688="","",[2]Entry!$M$1688)</f>
        <v/>
      </c>
      <c r="X1685">
        <f>IF([2]Entry!$N$1688="","",[2]Entry!$N$1688)</f>
        <v/>
      </c>
      <c r="Y1685">
        <f>IF([2]Entry!$R$1688="","",[2]Entry!$R$1688)</f>
        <v/>
      </c>
    </row>
    <row r="1686">
      <c r="P1686">
        <f>IF([2]Entry!$C$1689="","",[2]Entry!$C$1689)</f>
        <v/>
      </c>
      <c r="Q1686">
        <f>IF([2]Entry!$D$1689="","",[2]Entry!$D$1689)</f>
        <v/>
      </c>
      <c r="R1686">
        <f>IF([2]Entry!$E$1689="","",[2]Entry!$E$1689)</f>
        <v/>
      </c>
      <c r="S1686">
        <f>IF([2]Entry!$G$1689="","",[2]Entry!$G$1689)</f>
        <v/>
      </c>
      <c r="T1686">
        <f>IF([2]Entry!$J$1689="","",[2]Entry!$J$1689)</f>
        <v/>
      </c>
      <c r="U1686">
        <f>IF([2]Entry!$K$1689="","",[2]Entry!$K$1689)</f>
        <v/>
      </c>
      <c r="V1686">
        <f>IF([2]Entry!$L$1689="","",[2]Entry!$L$1689)</f>
        <v/>
      </c>
      <c r="W1686">
        <f>IF([2]Entry!$M$1689="","",[2]Entry!$M$1689)</f>
        <v/>
      </c>
      <c r="X1686">
        <f>IF([2]Entry!$N$1689="","",[2]Entry!$N$1689)</f>
        <v/>
      </c>
      <c r="Y1686">
        <f>IF([2]Entry!$R$1689="","",[2]Entry!$R$1689)</f>
        <v/>
      </c>
    </row>
    <row r="1687">
      <c r="P1687">
        <f>IF([2]Entry!$C$1690="","",[2]Entry!$C$1690)</f>
        <v/>
      </c>
      <c r="Q1687">
        <f>IF([2]Entry!$D$1690="","",[2]Entry!$D$1690)</f>
        <v/>
      </c>
      <c r="R1687">
        <f>IF([2]Entry!$E$1690="","",[2]Entry!$E$1690)</f>
        <v/>
      </c>
      <c r="S1687">
        <f>IF([2]Entry!$G$1690="","",[2]Entry!$G$1690)</f>
        <v/>
      </c>
      <c r="T1687">
        <f>IF([2]Entry!$J$1690="","",[2]Entry!$J$1690)</f>
        <v/>
      </c>
      <c r="U1687">
        <f>IF([2]Entry!$K$1690="","",[2]Entry!$K$1690)</f>
        <v/>
      </c>
      <c r="V1687">
        <f>IF([2]Entry!$L$1690="","",[2]Entry!$L$1690)</f>
        <v/>
      </c>
      <c r="W1687">
        <f>IF([2]Entry!$M$1690="","",[2]Entry!$M$1690)</f>
        <v/>
      </c>
      <c r="X1687">
        <f>IF([2]Entry!$N$1690="","",[2]Entry!$N$1690)</f>
        <v/>
      </c>
      <c r="Y1687">
        <f>IF([2]Entry!$R$1690="","",[2]Entry!$R$1690)</f>
        <v/>
      </c>
    </row>
    <row r="1688">
      <c r="P1688">
        <f>IF([2]Entry!$C$1691="","",[2]Entry!$C$1691)</f>
        <v/>
      </c>
      <c r="Q1688">
        <f>IF([2]Entry!$D$1691="","",[2]Entry!$D$1691)</f>
        <v/>
      </c>
      <c r="R1688">
        <f>IF([2]Entry!$E$1691="","",[2]Entry!$E$1691)</f>
        <v/>
      </c>
      <c r="S1688">
        <f>IF([2]Entry!$G$1691="","",[2]Entry!$G$1691)</f>
        <v/>
      </c>
      <c r="T1688">
        <f>IF([2]Entry!$J$1691="","",[2]Entry!$J$1691)</f>
        <v/>
      </c>
      <c r="U1688">
        <f>IF([2]Entry!$K$1691="","",[2]Entry!$K$1691)</f>
        <v/>
      </c>
      <c r="V1688">
        <f>IF([2]Entry!$L$1691="","",[2]Entry!$L$1691)</f>
        <v/>
      </c>
      <c r="W1688">
        <f>IF([2]Entry!$M$1691="","",[2]Entry!$M$1691)</f>
        <v/>
      </c>
      <c r="X1688">
        <f>IF([2]Entry!$N$1691="","",[2]Entry!$N$1691)</f>
        <v/>
      </c>
      <c r="Y1688">
        <f>IF([2]Entry!$R$1691="","",[2]Entry!$R$1691)</f>
        <v/>
      </c>
    </row>
    <row r="1689">
      <c r="P1689">
        <f>IF([2]Entry!$C$1692="","",[2]Entry!$C$1692)</f>
        <v/>
      </c>
      <c r="Q1689">
        <f>IF([2]Entry!$D$1692="","",[2]Entry!$D$1692)</f>
        <v/>
      </c>
      <c r="R1689">
        <f>IF([2]Entry!$E$1692="","",[2]Entry!$E$1692)</f>
        <v/>
      </c>
      <c r="S1689">
        <f>IF([2]Entry!$G$1692="","",[2]Entry!$G$1692)</f>
        <v/>
      </c>
      <c r="T1689">
        <f>IF([2]Entry!$J$1692="","",[2]Entry!$J$1692)</f>
        <v/>
      </c>
      <c r="U1689">
        <f>IF([2]Entry!$K$1692="","",[2]Entry!$K$1692)</f>
        <v/>
      </c>
      <c r="V1689">
        <f>IF([2]Entry!$L$1692="","",[2]Entry!$L$1692)</f>
        <v/>
      </c>
      <c r="W1689">
        <f>IF([2]Entry!$M$1692="","",[2]Entry!$M$1692)</f>
        <v/>
      </c>
      <c r="X1689">
        <f>IF([2]Entry!$N$1692="","",[2]Entry!$N$1692)</f>
        <v/>
      </c>
      <c r="Y1689">
        <f>IF([2]Entry!$R$1692="","",[2]Entry!$R$1692)</f>
        <v/>
      </c>
    </row>
    <row r="1690">
      <c r="P1690">
        <f>IF([2]Entry!$C$1693="","",[2]Entry!$C$1693)</f>
        <v/>
      </c>
      <c r="Q1690">
        <f>IF([2]Entry!$D$1693="","",[2]Entry!$D$1693)</f>
        <v/>
      </c>
      <c r="R1690">
        <f>IF([2]Entry!$E$1693="","",[2]Entry!$E$1693)</f>
        <v/>
      </c>
      <c r="S1690">
        <f>IF([2]Entry!$G$1693="","",[2]Entry!$G$1693)</f>
        <v/>
      </c>
      <c r="T1690">
        <f>IF([2]Entry!$J$1693="","",[2]Entry!$J$1693)</f>
        <v/>
      </c>
      <c r="U1690">
        <f>IF([2]Entry!$K$1693="","",[2]Entry!$K$1693)</f>
        <v/>
      </c>
      <c r="V1690">
        <f>IF([2]Entry!$L$1693="","",[2]Entry!$L$1693)</f>
        <v/>
      </c>
      <c r="W1690">
        <f>IF([2]Entry!$M$1693="","",[2]Entry!$M$1693)</f>
        <v/>
      </c>
      <c r="X1690">
        <f>IF([2]Entry!$N$1693="","",[2]Entry!$N$1693)</f>
        <v/>
      </c>
      <c r="Y1690">
        <f>IF([2]Entry!$R$1693="","",[2]Entry!$R$1693)</f>
        <v/>
      </c>
    </row>
    <row r="1691">
      <c r="P1691">
        <f>IF([2]Entry!$C$1694="","",[2]Entry!$C$1694)</f>
        <v/>
      </c>
      <c r="Q1691">
        <f>IF([2]Entry!$D$1694="","",[2]Entry!$D$1694)</f>
        <v/>
      </c>
      <c r="R1691">
        <f>IF([2]Entry!$E$1694="","",[2]Entry!$E$1694)</f>
        <v/>
      </c>
      <c r="S1691">
        <f>IF([2]Entry!$G$1694="","",[2]Entry!$G$1694)</f>
        <v/>
      </c>
      <c r="T1691">
        <f>IF([2]Entry!$J$1694="","",[2]Entry!$J$1694)</f>
        <v/>
      </c>
      <c r="U1691">
        <f>IF([2]Entry!$K$1694="","",[2]Entry!$K$1694)</f>
        <v/>
      </c>
      <c r="V1691">
        <f>IF([2]Entry!$L$1694="","",[2]Entry!$L$1694)</f>
        <v/>
      </c>
      <c r="W1691">
        <f>IF([2]Entry!$M$1694="","",[2]Entry!$M$1694)</f>
        <v/>
      </c>
      <c r="X1691">
        <f>IF([2]Entry!$N$1694="","",[2]Entry!$N$1694)</f>
        <v/>
      </c>
      <c r="Y1691">
        <f>IF([2]Entry!$R$1694="","",[2]Entry!$R$1694)</f>
        <v/>
      </c>
    </row>
    <row r="1692">
      <c r="P1692">
        <f>IF([2]Entry!$C$1695="","",[2]Entry!$C$1695)</f>
        <v/>
      </c>
      <c r="Q1692">
        <f>IF([2]Entry!$D$1695="","",[2]Entry!$D$1695)</f>
        <v/>
      </c>
      <c r="R1692">
        <f>IF([2]Entry!$E$1695="","",[2]Entry!$E$1695)</f>
        <v/>
      </c>
      <c r="S1692">
        <f>IF([2]Entry!$G$1695="","",[2]Entry!$G$1695)</f>
        <v/>
      </c>
      <c r="T1692">
        <f>IF([2]Entry!$J$1695="","",[2]Entry!$J$1695)</f>
        <v/>
      </c>
      <c r="U1692">
        <f>IF([2]Entry!$K$1695="","",[2]Entry!$K$1695)</f>
        <v/>
      </c>
      <c r="V1692">
        <f>IF([2]Entry!$L$1695="","",[2]Entry!$L$1695)</f>
        <v/>
      </c>
      <c r="W1692">
        <f>IF([2]Entry!$M$1695="","",[2]Entry!$M$1695)</f>
        <v/>
      </c>
      <c r="X1692">
        <f>IF([2]Entry!$N$1695="","",[2]Entry!$N$1695)</f>
        <v/>
      </c>
      <c r="Y1692">
        <f>IF([2]Entry!$R$1695="","",[2]Entry!$R$1695)</f>
        <v/>
      </c>
    </row>
    <row r="1693">
      <c r="P1693">
        <f>IF([2]Entry!$C$1696="","",[2]Entry!$C$1696)</f>
        <v/>
      </c>
      <c r="Q1693">
        <f>IF([2]Entry!$D$1696="","",[2]Entry!$D$1696)</f>
        <v/>
      </c>
      <c r="R1693">
        <f>IF([2]Entry!$E$1696="","",[2]Entry!$E$1696)</f>
        <v/>
      </c>
      <c r="S1693">
        <f>IF([2]Entry!$G$1696="","",[2]Entry!$G$1696)</f>
        <v/>
      </c>
      <c r="T1693">
        <f>IF([2]Entry!$J$1696="","",[2]Entry!$J$1696)</f>
        <v/>
      </c>
      <c r="U1693">
        <f>IF([2]Entry!$K$1696="","",[2]Entry!$K$1696)</f>
        <v/>
      </c>
      <c r="V1693">
        <f>IF([2]Entry!$L$1696="","",[2]Entry!$L$1696)</f>
        <v/>
      </c>
      <c r="W1693">
        <f>IF([2]Entry!$M$1696="","",[2]Entry!$M$1696)</f>
        <v/>
      </c>
      <c r="X1693">
        <f>IF([2]Entry!$N$1696="","",[2]Entry!$N$1696)</f>
        <v/>
      </c>
      <c r="Y1693">
        <f>IF([2]Entry!$R$1696="","",[2]Entry!$R$1696)</f>
        <v/>
      </c>
    </row>
    <row r="1694">
      <c r="P1694">
        <f>IF([2]Entry!$C$1697="","",[2]Entry!$C$1697)</f>
        <v/>
      </c>
      <c r="Q1694">
        <f>IF([2]Entry!$D$1697="","",[2]Entry!$D$1697)</f>
        <v/>
      </c>
      <c r="R1694">
        <f>IF([2]Entry!$E$1697="","",[2]Entry!$E$1697)</f>
        <v/>
      </c>
      <c r="S1694">
        <f>IF([2]Entry!$G$1697="","",[2]Entry!$G$1697)</f>
        <v/>
      </c>
      <c r="T1694">
        <f>IF([2]Entry!$J$1697="","",[2]Entry!$J$1697)</f>
        <v/>
      </c>
      <c r="U1694">
        <f>IF([2]Entry!$K$1697="","",[2]Entry!$K$1697)</f>
        <v/>
      </c>
      <c r="V1694">
        <f>IF([2]Entry!$L$1697="","",[2]Entry!$L$1697)</f>
        <v/>
      </c>
      <c r="W1694">
        <f>IF([2]Entry!$M$1697="","",[2]Entry!$M$1697)</f>
        <v/>
      </c>
      <c r="X1694">
        <f>IF([2]Entry!$N$1697="","",[2]Entry!$N$1697)</f>
        <v/>
      </c>
      <c r="Y1694">
        <f>IF([2]Entry!$R$1697="","",[2]Entry!$R$1697)</f>
        <v/>
      </c>
    </row>
    <row r="1695">
      <c r="P1695">
        <f>IF([2]Entry!$C$1698="","",[2]Entry!$C$1698)</f>
        <v/>
      </c>
      <c r="Q1695">
        <f>IF([2]Entry!$D$1698="","",[2]Entry!$D$1698)</f>
        <v/>
      </c>
      <c r="R1695">
        <f>IF([2]Entry!$E$1698="","",[2]Entry!$E$1698)</f>
        <v/>
      </c>
      <c r="S1695">
        <f>IF([2]Entry!$G$1698="","",[2]Entry!$G$1698)</f>
        <v/>
      </c>
      <c r="T1695">
        <f>IF([2]Entry!$J$1698="","",[2]Entry!$J$1698)</f>
        <v/>
      </c>
      <c r="U1695">
        <f>IF([2]Entry!$K$1698="","",[2]Entry!$K$1698)</f>
        <v/>
      </c>
      <c r="V1695">
        <f>IF([2]Entry!$L$1698="","",[2]Entry!$L$1698)</f>
        <v/>
      </c>
      <c r="W1695">
        <f>IF([2]Entry!$M$1698="","",[2]Entry!$M$1698)</f>
        <v/>
      </c>
      <c r="X1695">
        <f>IF([2]Entry!$N$1698="","",[2]Entry!$N$1698)</f>
        <v/>
      </c>
      <c r="Y1695">
        <f>IF([2]Entry!$R$1698="","",[2]Entry!$R$1698)</f>
        <v/>
      </c>
    </row>
    <row r="1696">
      <c r="P1696">
        <f>IF([2]Entry!$C$1699="","",[2]Entry!$C$1699)</f>
        <v/>
      </c>
      <c r="Q1696">
        <f>IF([2]Entry!$D$1699="","",[2]Entry!$D$1699)</f>
        <v/>
      </c>
      <c r="R1696">
        <f>IF([2]Entry!$E$1699="","",[2]Entry!$E$1699)</f>
        <v/>
      </c>
      <c r="S1696">
        <f>IF([2]Entry!$G$1699="","",[2]Entry!$G$1699)</f>
        <v/>
      </c>
      <c r="T1696">
        <f>IF([2]Entry!$J$1699="","",[2]Entry!$J$1699)</f>
        <v/>
      </c>
      <c r="U1696">
        <f>IF([2]Entry!$K$1699="","",[2]Entry!$K$1699)</f>
        <v/>
      </c>
      <c r="V1696">
        <f>IF([2]Entry!$L$1699="","",[2]Entry!$L$1699)</f>
        <v/>
      </c>
      <c r="W1696">
        <f>IF([2]Entry!$M$1699="","",[2]Entry!$M$1699)</f>
        <v/>
      </c>
      <c r="X1696">
        <f>IF([2]Entry!$N$1699="","",[2]Entry!$N$1699)</f>
        <v/>
      </c>
      <c r="Y1696">
        <f>IF([2]Entry!$R$1699="","",[2]Entry!$R$1699)</f>
        <v/>
      </c>
    </row>
    <row r="1697">
      <c r="P1697">
        <f>IF([2]Entry!$C$1700="","",[2]Entry!$C$1700)</f>
        <v/>
      </c>
      <c r="Q1697">
        <f>IF([2]Entry!$D$1700="","",[2]Entry!$D$1700)</f>
        <v/>
      </c>
      <c r="R1697">
        <f>IF([2]Entry!$E$1700="","",[2]Entry!$E$1700)</f>
        <v/>
      </c>
      <c r="S1697">
        <f>IF([2]Entry!$G$1700="","",[2]Entry!$G$1700)</f>
        <v/>
      </c>
      <c r="T1697">
        <f>IF([2]Entry!$J$1700="","",[2]Entry!$J$1700)</f>
        <v/>
      </c>
      <c r="U1697">
        <f>IF([2]Entry!$K$1700="","",[2]Entry!$K$1700)</f>
        <v/>
      </c>
      <c r="V1697">
        <f>IF([2]Entry!$L$1700="","",[2]Entry!$L$1700)</f>
        <v/>
      </c>
      <c r="W1697">
        <f>IF([2]Entry!$M$1700="","",[2]Entry!$M$1700)</f>
        <v/>
      </c>
      <c r="X1697">
        <f>IF([2]Entry!$N$1700="","",[2]Entry!$N$1700)</f>
        <v/>
      </c>
      <c r="Y1697">
        <f>IF([2]Entry!$R$1700="","",[2]Entry!$R$1700)</f>
        <v/>
      </c>
    </row>
    <row r="1698">
      <c r="P1698">
        <f>IF([2]Entry!$C$1701="","",[2]Entry!$C$1701)</f>
        <v/>
      </c>
      <c r="Q1698">
        <f>IF([2]Entry!$D$1701="","",[2]Entry!$D$1701)</f>
        <v/>
      </c>
      <c r="R1698">
        <f>IF([2]Entry!$E$1701="","",[2]Entry!$E$1701)</f>
        <v/>
      </c>
      <c r="S1698">
        <f>IF([2]Entry!$G$1701="","",[2]Entry!$G$1701)</f>
        <v/>
      </c>
      <c r="T1698">
        <f>IF([2]Entry!$J$1701="","",[2]Entry!$J$1701)</f>
        <v/>
      </c>
      <c r="U1698">
        <f>IF([2]Entry!$K$1701="","",[2]Entry!$K$1701)</f>
        <v/>
      </c>
      <c r="V1698">
        <f>IF([2]Entry!$L$1701="","",[2]Entry!$L$1701)</f>
        <v/>
      </c>
      <c r="W1698">
        <f>IF([2]Entry!$M$1701="","",[2]Entry!$M$1701)</f>
        <v/>
      </c>
      <c r="X1698">
        <f>IF([2]Entry!$N$1701="","",[2]Entry!$N$1701)</f>
        <v/>
      </c>
      <c r="Y1698">
        <f>IF([2]Entry!$R$1701="","",[2]Entry!$R$1701)</f>
        <v/>
      </c>
    </row>
    <row r="1699">
      <c r="P1699">
        <f>IF([2]Entry!$C$1702="","",[2]Entry!$C$1702)</f>
        <v/>
      </c>
      <c r="Q1699">
        <f>IF([2]Entry!$D$1702="","",[2]Entry!$D$1702)</f>
        <v/>
      </c>
      <c r="R1699">
        <f>IF([2]Entry!$E$1702="","",[2]Entry!$E$1702)</f>
        <v/>
      </c>
      <c r="S1699">
        <f>IF([2]Entry!$G$1702="","",[2]Entry!$G$1702)</f>
        <v/>
      </c>
      <c r="T1699">
        <f>IF([2]Entry!$J$1702="","",[2]Entry!$J$1702)</f>
        <v/>
      </c>
      <c r="U1699">
        <f>IF([2]Entry!$K$1702="","",[2]Entry!$K$1702)</f>
        <v/>
      </c>
      <c r="V1699">
        <f>IF([2]Entry!$L$1702="","",[2]Entry!$L$1702)</f>
        <v/>
      </c>
      <c r="W1699">
        <f>IF([2]Entry!$M$1702="","",[2]Entry!$M$1702)</f>
        <v/>
      </c>
      <c r="X1699">
        <f>IF([2]Entry!$N$1702="","",[2]Entry!$N$1702)</f>
        <v/>
      </c>
      <c r="Y1699">
        <f>IF([2]Entry!$R$1702="","",[2]Entry!$R$1702)</f>
        <v/>
      </c>
    </row>
    <row r="1700">
      <c r="P1700">
        <f>IF([2]Entry!$C$1703="","",[2]Entry!$C$1703)</f>
        <v/>
      </c>
      <c r="Q1700">
        <f>IF([2]Entry!$D$1703="","",[2]Entry!$D$1703)</f>
        <v/>
      </c>
      <c r="R1700">
        <f>IF([2]Entry!$E$1703="","",[2]Entry!$E$1703)</f>
        <v/>
      </c>
      <c r="S1700">
        <f>IF([2]Entry!$G$1703="","",[2]Entry!$G$1703)</f>
        <v/>
      </c>
      <c r="T1700">
        <f>IF([2]Entry!$J$1703="","",[2]Entry!$J$1703)</f>
        <v/>
      </c>
      <c r="U1700">
        <f>IF([2]Entry!$K$1703="","",[2]Entry!$K$1703)</f>
        <v/>
      </c>
      <c r="V1700">
        <f>IF([2]Entry!$L$1703="","",[2]Entry!$L$1703)</f>
        <v/>
      </c>
      <c r="W1700">
        <f>IF([2]Entry!$M$1703="","",[2]Entry!$M$1703)</f>
        <v/>
      </c>
      <c r="X1700">
        <f>IF([2]Entry!$N$1703="","",[2]Entry!$N$1703)</f>
        <v/>
      </c>
      <c r="Y1700">
        <f>IF([2]Entry!$R$1703="","",[2]Entry!$R$1703)</f>
        <v/>
      </c>
    </row>
    <row r="1701">
      <c r="P1701">
        <f>IF([2]Entry!$C$1704="","",[2]Entry!$C$1704)</f>
        <v/>
      </c>
      <c r="Q1701">
        <f>IF([2]Entry!$D$1704="","",[2]Entry!$D$1704)</f>
        <v/>
      </c>
      <c r="R1701">
        <f>IF([2]Entry!$E$1704="","",[2]Entry!$E$1704)</f>
        <v/>
      </c>
      <c r="S1701">
        <f>IF([2]Entry!$G$1704="","",[2]Entry!$G$1704)</f>
        <v/>
      </c>
      <c r="T1701">
        <f>IF([2]Entry!$J$1704="","",[2]Entry!$J$1704)</f>
        <v/>
      </c>
      <c r="U1701">
        <f>IF([2]Entry!$K$1704="","",[2]Entry!$K$1704)</f>
        <v/>
      </c>
      <c r="V1701">
        <f>IF([2]Entry!$L$1704="","",[2]Entry!$L$1704)</f>
        <v/>
      </c>
      <c r="W1701">
        <f>IF([2]Entry!$M$1704="","",[2]Entry!$M$1704)</f>
        <v/>
      </c>
      <c r="X1701">
        <f>IF([2]Entry!$N$1704="","",[2]Entry!$N$1704)</f>
        <v/>
      </c>
      <c r="Y1701">
        <f>IF([2]Entry!$R$1704="","",[2]Entry!$R$1704)</f>
        <v/>
      </c>
    </row>
    <row r="1702">
      <c r="P1702">
        <f>IF([2]Entry!$C$1705="","",[2]Entry!$C$1705)</f>
        <v/>
      </c>
      <c r="Q1702">
        <f>IF([2]Entry!$D$1705="","",[2]Entry!$D$1705)</f>
        <v/>
      </c>
      <c r="R1702">
        <f>IF([2]Entry!$E$1705="","",[2]Entry!$E$1705)</f>
        <v/>
      </c>
      <c r="S1702">
        <f>IF([2]Entry!$G$1705="","",[2]Entry!$G$1705)</f>
        <v/>
      </c>
      <c r="T1702">
        <f>IF([2]Entry!$J$1705="","",[2]Entry!$J$1705)</f>
        <v/>
      </c>
      <c r="U1702">
        <f>IF([2]Entry!$K$1705="","",[2]Entry!$K$1705)</f>
        <v/>
      </c>
      <c r="V1702">
        <f>IF([2]Entry!$L$1705="","",[2]Entry!$L$1705)</f>
        <v/>
      </c>
      <c r="W1702">
        <f>IF([2]Entry!$M$1705="","",[2]Entry!$M$1705)</f>
        <v/>
      </c>
      <c r="X1702">
        <f>IF([2]Entry!$N$1705="","",[2]Entry!$N$1705)</f>
        <v/>
      </c>
      <c r="Y1702">
        <f>IF([2]Entry!$R$1705="","",[2]Entry!$R$1705)</f>
        <v/>
      </c>
    </row>
    <row r="1703">
      <c r="P1703">
        <f>IF([2]Entry!$C$1706="","",[2]Entry!$C$1706)</f>
        <v/>
      </c>
      <c r="Q1703">
        <f>IF([2]Entry!$D$1706="","",[2]Entry!$D$1706)</f>
        <v/>
      </c>
      <c r="R1703">
        <f>IF([2]Entry!$E$1706="","",[2]Entry!$E$1706)</f>
        <v/>
      </c>
      <c r="S1703">
        <f>IF([2]Entry!$G$1706="","",[2]Entry!$G$1706)</f>
        <v/>
      </c>
      <c r="T1703">
        <f>IF([2]Entry!$J$1706="","",[2]Entry!$J$1706)</f>
        <v/>
      </c>
      <c r="U1703">
        <f>IF([2]Entry!$K$1706="","",[2]Entry!$K$1706)</f>
        <v/>
      </c>
      <c r="V1703">
        <f>IF([2]Entry!$L$1706="","",[2]Entry!$L$1706)</f>
        <v/>
      </c>
      <c r="W1703">
        <f>IF([2]Entry!$M$1706="","",[2]Entry!$M$1706)</f>
        <v/>
      </c>
      <c r="X1703">
        <f>IF([2]Entry!$N$1706="","",[2]Entry!$N$1706)</f>
        <v/>
      </c>
      <c r="Y1703">
        <f>IF([2]Entry!$R$1706="","",[2]Entry!$R$1706)</f>
        <v/>
      </c>
    </row>
    <row r="1704">
      <c r="P1704">
        <f>IF([2]Entry!$C$1707="","",[2]Entry!$C$1707)</f>
        <v/>
      </c>
      <c r="Q1704">
        <f>IF([2]Entry!$D$1707="","",[2]Entry!$D$1707)</f>
        <v/>
      </c>
      <c r="R1704">
        <f>IF([2]Entry!$E$1707="","",[2]Entry!$E$1707)</f>
        <v/>
      </c>
      <c r="S1704">
        <f>IF([2]Entry!$G$1707="","",[2]Entry!$G$1707)</f>
        <v/>
      </c>
      <c r="T1704">
        <f>IF([2]Entry!$J$1707="","",[2]Entry!$J$1707)</f>
        <v/>
      </c>
      <c r="U1704">
        <f>IF([2]Entry!$K$1707="","",[2]Entry!$K$1707)</f>
        <v/>
      </c>
      <c r="V1704">
        <f>IF([2]Entry!$L$1707="","",[2]Entry!$L$1707)</f>
        <v/>
      </c>
      <c r="W1704">
        <f>IF([2]Entry!$M$1707="","",[2]Entry!$M$1707)</f>
        <v/>
      </c>
      <c r="X1704">
        <f>IF([2]Entry!$N$1707="","",[2]Entry!$N$1707)</f>
        <v/>
      </c>
      <c r="Y1704">
        <f>IF([2]Entry!$R$1707="","",[2]Entry!$R$1707)</f>
        <v/>
      </c>
    </row>
    <row r="1705">
      <c r="P1705">
        <f>IF([2]Entry!$C$1708="","",[2]Entry!$C$1708)</f>
        <v/>
      </c>
      <c r="Q1705">
        <f>IF([2]Entry!$D$1708="","",[2]Entry!$D$1708)</f>
        <v/>
      </c>
      <c r="R1705">
        <f>IF([2]Entry!$E$1708="","",[2]Entry!$E$1708)</f>
        <v/>
      </c>
      <c r="S1705">
        <f>IF([2]Entry!$G$1708="","",[2]Entry!$G$1708)</f>
        <v/>
      </c>
      <c r="T1705">
        <f>IF([2]Entry!$J$1708="","",[2]Entry!$J$1708)</f>
        <v/>
      </c>
      <c r="U1705">
        <f>IF([2]Entry!$K$1708="","",[2]Entry!$K$1708)</f>
        <v/>
      </c>
      <c r="V1705">
        <f>IF([2]Entry!$L$1708="","",[2]Entry!$L$1708)</f>
        <v/>
      </c>
      <c r="W1705">
        <f>IF([2]Entry!$M$1708="","",[2]Entry!$M$1708)</f>
        <v/>
      </c>
      <c r="X1705">
        <f>IF([2]Entry!$N$1708="","",[2]Entry!$N$1708)</f>
        <v/>
      </c>
      <c r="Y1705">
        <f>IF([2]Entry!$R$1708="","",[2]Entry!$R$1708)</f>
        <v/>
      </c>
    </row>
    <row r="1706">
      <c r="P1706">
        <f>IF([2]Entry!$C$1709="","",[2]Entry!$C$1709)</f>
        <v/>
      </c>
      <c r="Q1706">
        <f>IF([2]Entry!$D$1709="","",[2]Entry!$D$1709)</f>
        <v/>
      </c>
      <c r="R1706">
        <f>IF([2]Entry!$E$1709="","",[2]Entry!$E$1709)</f>
        <v/>
      </c>
      <c r="S1706">
        <f>IF([2]Entry!$G$1709="","",[2]Entry!$G$1709)</f>
        <v/>
      </c>
      <c r="T1706">
        <f>IF([2]Entry!$J$1709="","",[2]Entry!$J$1709)</f>
        <v/>
      </c>
      <c r="U1706">
        <f>IF([2]Entry!$K$1709="","",[2]Entry!$K$1709)</f>
        <v/>
      </c>
      <c r="V1706">
        <f>IF([2]Entry!$L$1709="","",[2]Entry!$L$1709)</f>
        <v/>
      </c>
      <c r="W1706">
        <f>IF([2]Entry!$M$1709="","",[2]Entry!$M$1709)</f>
        <v/>
      </c>
      <c r="X1706">
        <f>IF([2]Entry!$N$1709="","",[2]Entry!$N$1709)</f>
        <v/>
      </c>
      <c r="Y1706">
        <f>IF([2]Entry!$R$1709="","",[2]Entry!$R$1709)</f>
        <v/>
      </c>
    </row>
    <row r="1707">
      <c r="P1707">
        <f>IF([2]Entry!$C$1710="","",[2]Entry!$C$1710)</f>
        <v/>
      </c>
      <c r="Q1707">
        <f>IF([2]Entry!$D$1710="","",[2]Entry!$D$1710)</f>
        <v/>
      </c>
      <c r="R1707">
        <f>IF([2]Entry!$E$1710="","",[2]Entry!$E$1710)</f>
        <v/>
      </c>
      <c r="S1707">
        <f>IF([2]Entry!$G$1710="","",[2]Entry!$G$1710)</f>
        <v/>
      </c>
      <c r="T1707">
        <f>IF([2]Entry!$J$1710="","",[2]Entry!$J$1710)</f>
        <v/>
      </c>
      <c r="U1707">
        <f>IF([2]Entry!$K$1710="","",[2]Entry!$K$1710)</f>
        <v/>
      </c>
      <c r="V1707">
        <f>IF([2]Entry!$L$1710="","",[2]Entry!$L$1710)</f>
        <v/>
      </c>
      <c r="W1707">
        <f>IF([2]Entry!$M$1710="","",[2]Entry!$M$1710)</f>
        <v/>
      </c>
      <c r="X1707">
        <f>IF([2]Entry!$N$1710="","",[2]Entry!$N$1710)</f>
        <v/>
      </c>
      <c r="Y1707">
        <f>IF([2]Entry!$R$1710="","",[2]Entry!$R$1710)</f>
        <v/>
      </c>
    </row>
    <row r="1708">
      <c r="P1708">
        <f>IF([2]Entry!$C$1711="","",[2]Entry!$C$1711)</f>
        <v/>
      </c>
      <c r="Q1708">
        <f>IF([2]Entry!$D$1711="","",[2]Entry!$D$1711)</f>
        <v/>
      </c>
      <c r="R1708">
        <f>IF([2]Entry!$E$1711="","",[2]Entry!$E$1711)</f>
        <v/>
      </c>
      <c r="S1708">
        <f>IF([2]Entry!$G$1711="","",[2]Entry!$G$1711)</f>
        <v/>
      </c>
      <c r="T1708">
        <f>IF([2]Entry!$J$1711="","",[2]Entry!$J$1711)</f>
        <v/>
      </c>
      <c r="U1708">
        <f>IF([2]Entry!$K$1711="","",[2]Entry!$K$1711)</f>
        <v/>
      </c>
      <c r="V1708">
        <f>IF([2]Entry!$L$1711="","",[2]Entry!$L$1711)</f>
        <v/>
      </c>
      <c r="W1708">
        <f>IF([2]Entry!$M$1711="","",[2]Entry!$M$1711)</f>
        <v/>
      </c>
      <c r="X1708">
        <f>IF([2]Entry!$N$1711="","",[2]Entry!$N$1711)</f>
        <v/>
      </c>
      <c r="Y1708">
        <f>IF([2]Entry!$R$1711="","",[2]Entry!$R$1711)</f>
        <v/>
      </c>
    </row>
    <row r="1709">
      <c r="P1709">
        <f>IF([2]Entry!$C$1712="","",[2]Entry!$C$1712)</f>
        <v/>
      </c>
      <c r="Q1709">
        <f>IF([2]Entry!$D$1712="","",[2]Entry!$D$1712)</f>
        <v/>
      </c>
      <c r="R1709">
        <f>IF([2]Entry!$E$1712="","",[2]Entry!$E$1712)</f>
        <v/>
      </c>
      <c r="S1709">
        <f>IF([2]Entry!$G$1712="","",[2]Entry!$G$1712)</f>
        <v/>
      </c>
      <c r="T1709">
        <f>IF([2]Entry!$J$1712="","",[2]Entry!$J$1712)</f>
        <v/>
      </c>
      <c r="U1709">
        <f>IF([2]Entry!$K$1712="","",[2]Entry!$K$1712)</f>
        <v/>
      </c>
      <c r="V1709">
        <f>IF([2]Entry!$L$1712="","",[2]Entry!$L$1712)</f>
        <v/>
      </c>
      <c r="W1709">
        <f>IF([2]Entry!$M$1712="","",[2]Entry!$M$1712)</f>
        <v/>
      </c>
      <c r="X1709">
        <f>IF([2]Entry!$N$1712="","",[2]Entry!$N$1712)</f>
        <v/>
      </c>
      <c r="Y1709">
        <f>IF([2]Entry!$R$1712="","",[2]Entry!$R$1712)</f>
        <v/>
      </c>
    </row>
    <row r="1710">
      <c r="P1710">
        <f>IF([2]Entry!$C$1713="","",[2]Entry!$C$1713)</f>
        <v/>
      </c>
      <c r="Q1710">
        <f>IF([2]Entry!$D$1713="","",[2]Entry!$D$1713)</f>
        <v/>
      </c>
      <c r="R1710">
        <f>IF([2]Entry!$E$1713="","",[2]Entry!$E$1713)</f>
        <v/>
      </c>
      <c r="S1710">
        <f>IF([2]Entry!$G$1713="","",[2]Entry!$G$1713)</f>
        <v/>
      </c>
      <c r="T1710">
        <f>IF([2]Entry!$J$1713="","",[2]Entry!$J$1713)</f>
        <v/>
      </c>
      <c r="U1710">
        <f>IF([2]Entry!$K$1713="","",[2]Entry!$K$1713)</f>
        <v/>
      </c>
      <c r="V1710">
        <f>IF([2]Entry!$L$1713="","",[2]Entry!$L$1713)</f>
        <v/>
      </c>
      <c r="W1710">
        <f>IF([2]Entry!$M$1713="","",[2]Entry!$M$1713)</f>
        <v/>
      </c>
      <c r="X1710">
        <f>IF([2]Entry!$N$1713="","",[2]Entry!$N$1713)</f>
        <v/>
      </c>
      <c r="Y1710">
        <f>IF([2]Entry!$R$1713="","",[2]Entry!$R$1713)</f>
        <v/>
      </c>
    </row>
    <row r="1711">
      <c r="P1711">
        <f>IF([2]Entry!$C$1714="","",[2]Entry!$C$1714)</f>
        <v/>
      </c>
      <c r="Q1711">
        <f>IF([2]Entry!$D$1714="","",[2]Entry!$D$1714)</f>
        <v/>
      </c>
      <c r="R1711">
        <f>IF([2]Entry!$E$1714="","",[2]Entry!$E$1714)</f>
        <v/>
      </c>
      <c r="S1711">
        <f>IF([2]Entry!$G$1714="","",[2]Entry!$G$1714)</f>
        <v/>
      </c>
      <c r="T1711">
        <f>IF([2]Entry!$J$1714="","",[2]Entry!$J$1714)</f>
        <v/>
      </c>
      <c r="U1711">
        <f>IF([2]Entry!$K$1714="","",[2]Entry!$K$1714)</f>
        <v/>
      </c>
      <c r="V1711">
        <f>IF([2]Entry!$L$1714="","",[2]Entry!$L$1714)</f>
        <v/>
      </c>
      <c r="W1711">
        <f>IF([2]Entry!$M$1714="","",[2]Entry!$M$1714)</f>
        <v/>
      </c>
      <c r="X1711">
        <f>IF([2]Entry!$N$1714="","",[2]Entry!$N$1714)</f>
        <v/>
      </c>
      <c r="Y1711">
        <f>IF([2]Entry!$R$1714="","",[2]Entry!$R$1714)</f>
        <v/>
      </c>
    </row>
    <row r="1712">
      <c r="P1712">
        <f>IF([2]Entry!$C$1715="","",[2]Entry!$C$1715)</f>
        <v/>
      </c>
      <c r="Q1712">
        <f>IF([2]Entry!$D$1715="","",[2]Entry!$D$1715)</f>
        <v/>
      </c>
      <c r="R1712">
        <f>IF([2]Entry!$E$1715="","",[2]Entry!$E$1715)</f>
        <v/>
      </c>
      <c r="S1712">
        <f>IF([2]Entry!$G$1715="","",[2]Entry!$G$1715)</f>
        <v/>
      </c>
      <c r="T1712">
        <f>IF([2]Entry!$J$1715="","",[2]Entry!$J$1715)</f>
        <v/>
      </c>
      <c r="U1712">
        <f>IF([2]Entry!$K$1715="","",[2]Entry!$K$1715)</f>
        <v/>
      </c>
      <c r="V1712">
        <f>IF([2]Entry!$L$1715="","",[2]Entry!$L$1715)</f>
        <v/>
      </c>
      <c r="W1712">
        <f>IF([2]Entry!$M$1715="","",[2]Entry!$M$1715)</f>
        <v/>
      </c>
      <c r="X1712">
        <f>IF([2]Entry!$N$1715="","",[2]Entry!$N$1715)</f>
        <v/>
      </c>
      <c r="Y1712">
        <f>IF([2]Entry!$R$1715="","",[2]Entry!$R$1715)</f>
        <v/>
      </c>
    </row>
    <row r="1713">
      <c r="P1713">
        <f>IF([2]Entry!$C$1716="","",[2]Entry!$C$1716)</f>
        <v/>
      </c>
      <c r="Q1713">
        <f>IF([2]Entry!$D$1716="","",[2]Entry!$D$1716)</f>
        <v/>
      </c>
      <c r="R1713">
        <f>IF([2]Entry!$E$1716="","",[2]Entry!$E$1716)</f>
        <v/>
      </c>
      <c r="S1713">
        <f>IF([2]Entry!$G$1716="","",[2]Entry!$G$1716)</f>
        <v/>
      </c>
      <c r="T1713">
        <f>IF([2]Entry!$J$1716="","",[2]Entry!$J$1716)</f>
        <v/>
      </c>
      <c r="U1713">
        <f>IF([2]Entry!$K$1716="","",[2]Entry!$K$1716)</f>
        <v/>
      </c>
      <c r="V1713">
        <f>IF([2]Entry!$L$1716="","",[2]Entry!$L$1716)</f>
        <v/>
      </c>
      <c r="W1713">
        <f>IF([2]Entry!$M$1716="","",[2]Entry!$M$1716)</f>
        <v/>
      </c>
      <c r="X1713">
        <f>IF([2]Entry!$N$1716="","",[2]Entry!$N$1716)</f>
        <v/>
      </c>
      <c r="Y1713">
        <f>IF([2]Entry!$R$1716="","",[2]Entry!$R$1716)</f>
        <v/>
      </c>
    </row>
    <row r="1714">
      <c r="P1714">
        <f>IF([2]Entry!$C$1717="","",[2]Entry!$C$1717)</f>
        <v/>
      </c>
      <c r="Q1714">
        <f>IF([2]Entry!$D$1717="","",[2]Entry!$D$1717)</f>
        <v/>
      </c>
      <c r="R1714">
        <f>IF([2]Entry!$E$1717="","",[2]Entry!$E$1717)</f>
        <v/>
      </c>
      <c r="S1714">
        <f>IF([2]Entry!$G$1717="","",[2]Entry!$G$1717)</f>
        <v/>
      </c>
      <c r="T1714">
        <f>IF([2]Entry!$J$1717="","",[2]Entry!$J$1717)</f>
        <v/>
      </c>
      <c r="U1714">
        <f>IF([2]Entry!$K$1717="","",[2]Entry!$K$1717)</f>
        <v/>
      </c>
      <c r="V1714">
        <f>IF([2]Entry!$L$1717="","",[2]Entry!$L$1717)</f>
        <v/>
      </c>
      <c r="W1714">
        <f>IF([2]Entry!$M$1717="","",[2]Entry!$M$1717)</f>
        <v/>
      </c>
      <c r="X1714">
        <f>IF([2]Entry!$N$1717="","",[2]Entry!$N$1717)</f>
        <v/>
      </c>
      <c r="Y1714">
        <f>IF([2]Entry!$R$1717="","",[2]Entry!$R$1717)</f>
        <v/>
      </c>
    </row>
    <row r="1715">
      <c r="P1715">
        <f>IF([2]Entry!$C$1718="","",[2]Entry!$C$1718)</f>
        <v/>
      </c>
      <c r="Q1715">
        <f>IF([2]Entry!$D$1718="","",[2]Entry!$D$1718)</f>
        <v/>
      </c>
      <c r="R1715">
        <f>IF([2]Entry!$E$1718="","",[2]Entry!$E$1718)</f>
        <v/>
      </c>
      <c r="S1715">
        <f>IF([2]Entry!$G$1718="","",[2]Entry!$G$1718)</f>
        <v/>
      </c>
      <c r="T1715">
        <f>IF([2]Entry!$J$1718="","",[2]Entry!$J$1718)</f>
        <v/>
      </c>
      <c r="U1715">
        <f>IF([2]Entry!$K$1718="","",[2]Entry!$K$1718)</f>
        <v/>
      </c>
      <c r="V1715">
        <f>IF([2]Entry!$L$1718="","",[2]Entry!$L$1718)</f>
        <v/>
      </c>
      <c r="W1715">
        <f>IF([2]Entry!$M$1718="","",[2]Entry!$M$1718)</f>
        <v/>
      </c>
      <c r="X1715">
        <f>IF([2]Entry!$N$1718="","",[2]Entry!$N$1718)</f>
        <v/>
      </c>
      <c r="Y1715">
        <f>IF([2]Entry!$R$1718="","",[2]Entry!$R$1718)</f>
        <v/>
      </c>
    </row>
    <row r="1716">
      <c r="P1716">
        <f>IF([2]Entry!$C$1719="","",[2]Entry!$C$1719)</f>
        <v/>
      </c>
      <c r="Q1716">
        <f>IF([2]Entry!$D$1719="","",[2]Entry!$D$1719)</f>
        <v/>
      </c>
      <c r="R1716">
        <f>IF([2]Entry!$E$1719="","",[2]Entry!$E$1719)</f>
        <v/>
      </c>
      <c r="S1716">
        <f>IF([2]Entry!$G$1719="","",[2]Entry!$G$1719)</f>
        <v/>
      </c>
      <c r="T1716">
        <f>IF([2]Entry!$J$1719="","",[2]Entry!$J$1719)</f>
        <v/>
      </c>
      <c r="U1716">
        <f>IF([2]Entry!$K$1719="","",[2]Entry!$K$1719)</f>
        <v/>
      </c>
      <c r="V1716">
        <f>IF([2]Entry!$L$1719="","",[2]Entry!$L$1719)</f>
        <v/>
      </c>
      <c r="W1716">
        <f>IF([2]Entry!$M$1719="","",[2]Entry!$M$1719)</f>
        <v/>
      </c>
      <c r="X1716">
        <f>IF([2]Entry!$N$1719="","",[2]Entry!$N$1719)</f>
        <v/>
      </c>
      <c r="Y1716">
        <f>IF([2]Entry!$R$1719="","",[2]Entry!$R$1719)</f>
        <v/>
      </c>
    </row>
    <row r="1717">
      <c r="P1717">
        <f>IF([2]Entry!$C$1720="","",[2]Entry!$C$1720)</f>
        <v/>
      </c>
      <c r="Q1717">
        <f>IF([2]Entry!$D$1720="","",[2]Entry!$D$1720)</f>
        <v/>
      </c>
      <c r="R1717">
        <f>IF([2]Entry!$E$1720="","",[2]Entry!$E$1720)</f>
        <v/>
      </c>
      <c r="S1717">
        <f>IF([2]Entry!$G$1720="","",[2]Entry!$G$1720)</f>
        <v/>
      </c>
      <c r="T1717">
        <f>IF([2]Entry!$J$1720="","",[2]Entry!$J$1720)</f>
        <v/>
      </c>
      <c r="U1717">
        <f>IF([2]Entry!$K$1720="","",[2]Entry!$K$1720)</f>
        <v/>
      </c>
      <c r="V1717">
        <f>IF([2]Entry!$L$1720="","",[2]Entry!$L$1720)</f>
        <v/>
      </c>
      <c r="W1717">
        <f>IF([2]Entry!$M$1720="","",[2]Entry!$M$1720)</f>
        <v/>
      </c>
      <c r="X1717">
        <f>IF([2]Entry!$N$1720="","",[2]Entry!$N$1720)</f>
        <v/>
      </c>
      <c r="Y1717">
        <f>IF([2]Entry!$R$1720="","",[2]Entry!$R$1720)</f>
        <v/>
      </c>
    </row>
    <row r="1718">
      <c r="P1718">
        <f>IF([2]Entry!$C$1721="","",[2]Entry!$C$1721)</f>
        <v/>
      </c>
      <c r="Q1718">
        <f>IF([2]Entry!$D$1721="","",[2]Entry!$D$1721)</f>
        <v/>
      </c>
      <c r="R1718">
        <f>IF([2]Entry!$E$1721="","",[2]Entry!$E$1721)</f>
        <v/>
      </c>
      <c r="S1718">
        <f>IF([2]Entry!$G$1721="","",[2]Entry!$G$1721)</f>
        <v/>
      </c>
      <c r="T1718">
        <f>IF([2]Entry!$J$1721="","",[2]Entry!$J$1721)</f>
        <v/>
      </c>
      <c r="U1718">
        <f>IF([2]Entry!$K$1721="","",[2]Entry!$K$1721)</f>
        <v/>
      </c>
      <c r="V1718">
        <f>IF([2]Entry!$L$1721="","",[2]Entry!$L$1721)</f>
        <v/>
      </c>
      <c r="W1718">
        <f>IF([2]Entry!$M$1721="","",[2]Entry!$M$1721)</f>
        <v/>
      </c>
      <c r="X1718">
        <f>IF([2]Entry!$N$1721="","",[2]Entry!$N$1721)</f>
        <v/>
      </c>
      <c r="Y1718">
        <f>IF([2]Entry!$R$1721="","",[2]Entry!$R$1721)</f>
        <v/>
      </c>
    </row>
    <row r="1719">
      <c r="P1719">
        <f>IF([2]Entry!$C$1722="","",[2]Entry!$C$1722)</f>
        <v/>
      </c>
      <c r="Q1719">
        <f>IF([2]Entry!$D$1722="","",[2]Entry!$D$1722)</f>
        <v/>
      </c>
      <c r="R1719">
        <f>IF([2]Entry!$E$1722="","",[2]Entry!$E$1722)</f>
        <v/>
      </c>
      <c r="S1719">
        <f>IF([2]Entry!$G$1722="","",[2]Entry!$G$1722)</f>
        <v/>
      </c>
      <c r="T1719">
        <f>IF([2]Entry!$J$1722="","",[2]Entry!$J$1722)</f>
        <v/>
      </c>
      <c r="U1719">
        <f>IF([2]Entry!$K$1722="","",[2]Entry!$K$1722)</f>
        <v/>
      </c>
      <c r="V1719">
        <f>IF([2]Entry!$L$1722="","",[2]Entry!$L$1722)</f>
        <v/>
      </c>
      <c r="W1719">
        <f>IF([2]Entry!$M$1722="","",[2]Entry!$M$1722)</f>
        <v/>
      </c>
      <c r="X1719">
        <f>IF([2]Entry!$N$1722="","",[2]Entry!$N$1722)</f>
        <v/>
      </c>
      <c r="Y1719">
        <f>IF([2]Entry!$R$1722="","",[2]Entry!$R$1722)</f>
        <v/>
      </c>
    </row>
    <row r="1720">
      <c r="P1720">
        <f>IF([2]Entry!$C$1723="","",[2]Entry!$C$1723)</f>
        <v/>
      </c>
      <c r="Q1720">
        <f>IF([2]Entry!$D$1723="","",[2]Entry!$D$1723)</f>
        <v/>
      </c>
      <c r="R1720">
        <f>IF([2]Entry!$E$1723="","",[2]Entry!$E$1723)</f>
        <v/>
      </c>
      <c r="S1720">
        <f>IF([2]Entry!$G$1723="","",[2]Entry!$G$1723)</f>
        <v/>
      </c>
      <c r="T1720">
        <f>IF([2]Entry!$J$1723="","",[2]Entry!$J$1723)</f>
        <v/>
      </c>
      <c r="U1720">
        <f>IF([2]Entry!$K$1723="","",[2]Entry!$K$1723)</f>
        <v/>
      </c>
      <c r="V1720">
        <f>IF([2]Entry!$L$1723="","",[2]Entry!$L$1723)</f>
        <v/>
      </c>
      <c r="W1720">
        <f>IF([2]Entry!$M$1723="","",[2]Entry!$M$1723)</f>
        <v/>
      </c>
      <c r="X1720">
        <f>IF([2]Entry!$N$1723="","",[2]Entry!$N$1723)</f>
        <v/>
      </c>
      <c r="Y1720">
        <f>IF([2]Entry!$R$1723="","",[2]Entry!$R$1723)</f>
        <v/>
      </c>
    </row>
    <row r="1721">
      <c r="P1721">
        <f>IF([2]Entry!$C$1724="","",[2]Entry!$C$1724)</f>
        <v/>
      </c>
      <c r="Q1721">
        <f>IF([2]Entry!$D$1724="","",[2]Entry!$D$1724)</f>
        <v/>
      </c>
      <c r="R1721">
        <f>IF([2]Entry!$E$1724="","",[2]Entry!$E$1724)</f>
        <v/>
      </c>
      <c r="S1721">
        <f>IF([2]Entry!$G$1724="","",[2]Entry!$G$1724)</f>
        <v/>
      </c>
      <c r="T1721">
        <f>IF([2]Entry!$J$1724="","",[2]Entry!$J$1724)</f>
        <v/>
      </c>
      <c r="U1721">
        <f>IF([2]Entry!$K$1724="","",[2]Entry!$K$1724)</f>
        <v/>
      </c>
      <c r="V1721">
        <f>IF([2]Entry!$L$1724="","",[2]Entry!$L$1724)</f>
        <v/>
      </c>
      <c r="W1721">
        <f>IF([2]Entry!$M$1724="","",[2]Entry!$M$1724)</f>
        <v/>
      </c>
      <c r="X1721">
        <f>IF([2]Entry!$N$1724="","",[2]Entry!$N$1724)</f>
        <v/>
      </c>
      <c r="Y1721">
        <f>IF([2]Entry!$R$1724="","",[2]Entry!$R$1724)</f>
        <v/>
      </c>
    </row>
    <row r="1722">
      <c r="P1722">
        <f>IF([2]Entry!$C$1725="","",[2]Entry!$C$1725)</f>
        <v/>
      </c>
      <c r="Q1722">
        <f>IF([2]Entry!$D$1725="","",[2]Entry!$D$1725)</f>
        <v/>
      </c>
      <c r="R1722">
        <f>IF([2]Entry!$E$1725="","",[2]Entry!$E$1725)</f>
        <v/>
      </c>
      <c r="S1722">
        <f>IF([2]Entry!$G$1725="","",[2]Entry!$G$1725)</f>
        <v/>
      </c>
      <c r="T1722">
        <f>IF([2]Entry!$J$1725="","",[2]Entry!$J$1725)</f>
        <v/>
      </c>
      <c r="U1722">
        <f>IF([2]Entry!$K$1725="","",[2]Entry!$K$1725)</f>
        <v/>
      </c>
      <c r="V1722">
        <f>IF([2]Entry!$L$1725="","",[2]Entry!$L$1725)</f>
        <v/>
      </c>
      <c r="W1722">
        <f>IF([2]Entry!$M$1725="","",[2]Entry!$M$1725)</f>
        <v/>
      </c>
      <c r="X1722">
        <f>IF([2]Entry!$N$1725="","",[2]Entry!$N$1725)</f>
        <v/>
      </c>
      <c r="Y1722">
        <f>IF([2]Entry!$R$1725="","",[2]Entry!$R$1725)</f>
        <v/>
      </c>
    </row>
    <row r="1723">
      <c r="P1723">
        <f>IF([2]Entry!$C$1726="","",[2]Entry!$C$1726)</f>
        <v/>
      </c>
      <c r="Q1723">
        <f>IF([2]Entry!$D$1726="","",[2]Entry!$D$1726)</f>
        <v/>
      </c>
      <c r="R1723">
        <f>IF([2]Entry!$E$1726="","",[2]Entry!$E$1726)</f>
        <v/>
      </c>
      <c r="S1723">
        <f>IF([2]Entry!$G$1726="","",[2]Entry!$G$1726)</f>
        <v/>
      </c>
      <c r="T1723">
        <f>IF([2]Entry!$J$1726="","",[2]Entry!$J$1726)</f>
        <v/>
      </c>
      <c r="U1723">
        <f>IF([2]Entry!$K$1726="","",[2]Entry!$K$1726)</f>
        <v/>
      </c>
      <c r="V1723">
        <f>IF([2]Entry!$L$1726="","",[2]Entry!$L$1726)</f>
        <v/>
      </c>
      <c r="W1723">
        <f>IF([2]Entry!$M$1726="","",[2]Entry!$M$1726)</f>
        <v/>
      </c>
      <c r="X1723">
        <f>IF([2]Entry!$N$1726="","",[2]Entry!$N$1726)</f>
        <v/>
      </c>
      <c r="Y1723">
        <f>IF([2]Entry!$R$1726="","",[2]Entry!$R$1726)</f>
        <v/>
      </c>
    </row>
    <row r="1724">
      <c r="P1724">
        <f>IF([2]Entry!$C$1727="","",[2]Entry!$C$1727)</f>
        <v/>
      </c>
      <c r="Q1724">
        <f>IF([2]Entry!$D$1727="","",[2]Entry!$D$1727)</f>
        <v/>
      </c>
      <c r="R1724">
        <f>IF([2]Entry!$E$1727="","",[2]Entry!$E$1727)</f>
        <v/>
      </c>
      <c r="S1724">
        <f>IF([2]Entry!$G$1727="","",[2]Entry!$G$1727)</f>
        <v/>
      </c>
      <c r="T1724">
        <f>IF([2]Entry!$J$1727="","",[2]Entry!$J$1727)</f>
        <v/>
      </c>
      <c r="U1724">
        <f>IF([2]Entry!$K$1727="","",[2]Entry!$K$1727)</f>
        <v/>
      </c>
      <c r="V1724">
        <f>IF([2]Entry!$L$1727="","",[2]Entry!$L$1727)</f>
        <v/>
      </c>
      <c r="W1724">
        <f>IF([2]Entry!$M$1727="","",[2]Entry!$M$1727)</f>
        <v/>
      </c>
      <c r="X1724">
        <f>IF([2]Entry!$N$1727="","",[2]Entry!$N$1727)</f>
        <v/>
      </c>
      <c r="Y1724">
        <f>IF([2]Entry!$R$1727="","",[2]Entry!$R$1727)</f>
        <v/>
      </c>
    </row>
    <row r="1725">
      <c r="P1725">
        <f>IF([2]Entry!$C$1728="","",[2]Entry!$C$1728)</f>
        <v/>
      </c>
      <c r="Q1725">
        <f>IF([2]Entry!$D$1728="","",[2]Entry!$D$1728)</f>
        <v/>
      </c>
      <c r="R1725">
        <f>IF([2]Entry!$E$1728="","",[2]Entry!$E$1728)</f>
        <v/>
      </c>
      <c r="S1725">
        <f>IF([2]Entry!$G$1728="","",[2]Entry!$G$1728)</f>
        <v/>
      </c>
      <c r="T1725">
        <f>IF([2]Entry!$J$1728="","",[2]Entry!$J$1728)</f>
        <v/>
      </c>
      <c r="U1725">
        <f>IF([2]Entry!$K$1728="","",[2]Entry!$K$1728)</f>
        <v/>
      </c>
      <c r="V1725">
        <f>IF([2]Entry!$L$1728="","",[2]Entry!$L$1728)</f>
        <v/>
      </c>
      <c r="W1725">
        <f>IF([2]Entry!$M$1728="","",[2]Entry!$M$1728)</f>
        <v/>
      </c>
      <c r="X1725">
        <f>IF([2]Entry!$N$1728="","",[2]Entry!$N$1728)</f>
        <v/>
      </c>
      <c r="Y1725">
        <f>IF([2]Entry!$R$1728="","",[2]Entry!$R$1728)</f>
        <v/>
      </c>
    </row>
    <row r="1726">
      <c r="P1726">
        <f>IF([2]Entry!$C$1729="","",[2]Entry!$C$1729)</f>
        <v/>
      </c>
      <c r="Q1726">
        <f>IF([2]Entry!$D$1729="","",[2]Entry!$D$1729)</f>
        <v/>
      </c>
      <c r="R1726">
        <f>IF([2]Entry!$E$1729="","",[2]Entry!$E$1729)</f>
        <v/>
      </c>
      <c r="S1726">
        <f>IF([2]Entry!$G$1729="","",[2]Entry!$G$1729)</f>
        <v/>
      </c>
      <c r="T1726">
        <f>IF([2]Entry!$J$1729="","",[2]Entry!$J$1729)</f>
        <v/>
      </c>
      <c r="U1726">
        <f>IF([2]Entry!$K$1729="","",[2]Entry!$K$1729)</f>
        <v/>
      </c>
      <c r="V1726">
        <f>IF([2]Entry!$L$1729="","",[2]Entry!$L$1729)</f>
        <v/>
      </c>
      <c r="W1726">
        <f>IF([2]Entry!$M$1729="","",[2]Entry!$M$1729)</f>
        <v/>
      </c>
      <c r="X1726">
        <f>IF([2]Entry!$N$1729="","",[2]Entry!$N$1729)</f>
        <v/>
      </c>
      <c r="Y1726">
        <f>IF([2]Entry!$R$1729="","",[2]Entry!$R$1729)</f>
        <v/>
      </c>
    </row>
    <row r="1727">
      <c r="P1727">
        <f>IF([2]Entry!$C$1730="","",[2]Entry!$C$1730)</f>
        <v/>
      </c>
      <c r="Q1727">
        <f>IF([2]Entry!$D$1730="","",[2]Entry!$D$1730)</f>
        <v/>
      </c>
      <c r="R1727">
        <f>IF([2]Entry!$E$1730="","",[2]Entry!$E$1730)</f>
        <v/>
      </c>
      <c r="S1727">
        <f>IF([2]Entry!$G$1730="","",[2]Entry!$G$1730)</f>
        <v/>
      </c>
      <c r="T1727">
        <f>IF([2]Entry!$J$1730="","",[2]Entry!$J$1730)</f>
        <v/>
      </c>
      <c r="U1727">
        <f>IF([2]Entry!$K$1730="","",[2]Entry!$K$1730)</f>
        <v/>
      </c>
      <c r="V1727">
        <f>IF([2]Entry!$L$1730="","",[2]Entry!$L$1730)</f>
        <v/>
      </c>
      <c r="W1727">
        <f>IF([2]Entry!$M$1730="","",[2]Entry!$M$1730)</f>
        <v/>
      </c>
      <c r="X1727">
        <f>IF([2]Entry!$N$1730="","",[2]Entry!$N$1730)</f>
        <v/>
      </c>
      <c r="Y1727">
        <f>IF([2]Entry!$R$1730="","",[2]Entry!$R$1730)</f>
        <v/>
      </c>
    </row>
    <row r="1728">
      <c r="P1728">
        <f>IF([2]Entry!$C$1731="","",[2]Entry!$C$1731)</f>
        <v/>
      </c>
      <c r="Q1728">
        <f>IF([2]Entry!$D$1731="","",[2]Entry!$D$1731)</f>
        <v/>
      </c>
      <c r="R1728">
        <f>IF([2]Entry!$E$1731="","",[2]Entry!$E$1731)</f>
        <v/>
      </c>
      <c r="S1728">
        <f>IF([2]Entry!$G$1731="","",[2]Entry!$G$1731)</f>
        <v/>
      </c>
      <c r="T1728">
        <f>IF([2]Entry!$J$1731="","",[2]Entry!$J$1731)</f>
        <v/>
      </c>
      <c r="U1728">
        <f>IF([2]Entry!$K$1731="","",[2]Entry!$K$1731)</f>
        <v/>
      </c>
      <c r="V1728">
        <f>IF([2]Entry!$L$1731="","",[2]Entry!$L$1731)</f>
        <v/>
      </c>
      <c r="W1728">
        <f>IF([2]Entry!$M$1731="","",[2]Entry!$M$1731)</f>
        <v/>
      </c>
      <c r="X1728">
        <f>IF([2]Entry!$N$1731="","",[2]Entry!$N$1731)</f>
        <v/>
      </c>
      <c r="Y1728">
        <f>IF([2]Entry!$R$1731="","",[2]Entry!$R$1731)</f>
        <v/>
      </c>
    </row>
    <row r="1729">
      <c r="P1729">
        <f>IF([2]Entry!$C$1732="","",[2]Entry!$C$1732)</f>
        <v/>
      </c>
      <c r="Q1729">
        <f>IF([2]Entry!$D$1732="","",[2]Entry!$D$1732)</f>
        <v/>
      </c>
      <c r="R1729">
        <f>IF([2]Entry!$E$1732="","",[2]Entry!$E$1732)</f>
        <v/>
      </c>
      <c r="S1729">
        <f>IF([2]Entry!$G$1732="","",[2]Entry!$G$1732)</f>
        <v/>
      </c>
      <c r="T1729">
        <f>IF([2]Entry!$J$1732="","",[2]Entry!$J$1732)</f>
        <v/>
      </c>
      <c r="U1729">
        <f>IF([2]Entry!$K$1732="","",[2]Entry!$K$1732)</f>
        <v/>
      </c>
      <c r="V1729">
        <f>IF([2]Entry!$L$1732="","",[2]Entry!$L$1732)</f>
        <v/>
      </c>
      <c r="W1729">
        <f>IF([2]Entry!$M$1732="","",[2]Entry!$M$1732)</f>
        <v/>
      </c>
      <c r="X1729">
        <f>IF([2]Entry!$N$1732="","",[2]Entry!$N$1732)</f>
        <v/>
      </c>
      <c r="Y1729">
        <f>IF([2]Entry!$R$1732="","",[2]Entry!$R$1732)</f>
        <v/>
      </c>
    </row>
    <row r="1730">
      <c r="P1730">
        <f>IF([2]Entry!$C$1733="","",[2]Entry!$C$1733)</f>
        <v/>
      </c>
      <c r="Q1730">
        <f>IF([2]Entry!$D$1733="","",[2]Entry!$D$1733)</f>
        <v/>
      </c>
      <c r="R1730">
        <f>IF([2]Entry!$E$1733="","",[2]Entry!$E$1733)</f>
        <v/>
      </c>
      <c r="S1730">
        <f>IF([2]Entry!$G$1733="","",[2]Entry!$G$1733)</f>
        <v/>
      </c>
      <c r="T1730">
        <f>IF([2]Entry!$J$1733="","",[2]Entry!$J$1733)</f>
        <v/>
      </c>
      <c r="U1730">
        <f>IF([2]Entry!$K$1733="","",[2]Entry!$K$1733)</f>
        <v/>
      </c>
      <c r="V1730">
        <f>IF([2]Entry!$L$1733="","",[2]Entry!$L$1733)</f>
        <v/>
      </c>
      <c r="W1730">
        <f>IF([2]Entry!$M$1733="","",[2]Entry!$M$1733)</f>
        <v/>
      </c>
      <c r="X1730">
        <f>IF([2]Entry!$N$1733="","",[2]Entry!$N$1733)</f>
        <v/>
      </c>
      <c r="Y1730">
        <f>IF([2]Entry!$R$1733="","",[2]Entry!$R$1733)</f>
        <v/>
      </c>
    </row>
    <row r="1731">
      <c r="P1731">
        <f>IF([2]Entry!$C$1734="","",[2]Entry!$C$1734)</f>
        <v/>
      </c>
      <c r="Q1731">
        <f>IF([2]Entry!$D$1734="","",[2]Entry!$D$1734)</f>
        <v/>
      </c>
      <c r="R1731">
        <f>IF([2]Entry!$E$1734="","",[2]Entry!$E$1734)</f>
        <v/>
      </c>
      <c r="S1731">
        <f>IF([2]Entry!$G$1734="","",[2]Entry!$G$1734)</f>
        <v/>
      </c>
      <c r="T1731">
        <f>IF([2]Entry!$J$1734="","",[2]Entry!$J$1734)</f>
        <v/>
      </c>
      <c r="U1731">
        <f>IF([2]Entry!$K$1734="","",[2]Entry!$K$1734)</f>
        <v/>
      </c>
      <c r="V1731">
        <f>IF([2]Entry!$L$1734="","",[2]Entry!$L$1734)</f>
        <v/>
      </c>
      <c r="W1731">
        <f>IF([2]Entry!$M$1734="","",[2]Entry!$M$1734)</f>
        <v/>
      </c>
      <c r="X1731">
        <f>IF([2]Entry!$N$1734="","",[2]Entry!$N$1734)</f>
        <v/>
      </c>
      <c r="Y1731">
        <f>IF([2]Entry!$R$1734="","",[2]Entry!$R$1734)</f>
        <v/>
      </c>
    </row>
    <row r="1732">
      <c r="P1732">
        <f>IF([2]Entry!$C$1735="","",[2]Entry!$C$1735)</f>
        <v/>
      </c>
      <c r="Q1732">
        <f>IF([2]Entry!$D$1735="","",[2]Entry!$D$1735)</f>
        <v/>
      </c>
      <c r="R1732">
        <f>IF([2]Entry!$E$1735="","",[2]Entry!$E$1735)</f>
        <v/>
      </c>
      <c r="S1732">
        <f>IF([2]Entry!$G$1735="","",[2]Entry!$G$1735)</f>
        <v/>
      </c>
      <c r="T1732">
        <f>IF([2]Entry!$J$1735="","",[2]Entry!$J$1735)</f>
        <v/>
      </c>
      <c r="U1732">
        <f>IF([2]Entry!$K$1735="","",[2]Entry!$K$1735)</f>
        <v/>
      </c>
      <c r="V1732">
        <f>IF([2]Entry!$L$1735="","",[2]Entry!$L$1735)</f>
        <v/>
      </c>
      <c r="W1732">
        <f>IF([2]Entry!$M$1735="","",[2]Entry!$M$1735)</f>
        <v/>
      </c>
      <c r="X1732">
        <f>IF([2]Entry!$N$1735="","",[2]Entry!$N$1735)</f>
        <v/>
      </c>
      <c r="Y1732">
        <f>IF([2]Entry!$R$1735="","",[2]Entry!$R$1735)</f>
        <v/>
      </c>
    </row>
    <row r="1733">
      <c r="P1733">
        <f>IF([2]Entry!$C$1736="","",[2]Entry!$C$1736)</f>
        <v/>
      </c>
      <c r="Q1733">
        <f>IF([2]Entry!$D$1736="","",[2]Entry!$D$1736)</f>
        <v/>
      </c>
      <c r="R1733">
        <f>IF([2]Entry!$E$1736="","",[2]Entry!$E$1736)</f>
        <v/>
      </c>
      <c r="S1733">
        <f>IF([2]Entry!$G$1736="","",[2]Entry!$G$1736)</f>
        <v/>
      </c>
      <c r="T1733">
        <f>IF([2]Entry!$J$1736="","",[2]Entry!$J$1736)</f>
        <v/>
      </c>
      <c r="U1733">
        <f>IF([2]Entry!$K$1736="","",[2]Entry!$K$1736)</f>
        <v/>
      </c>
      <c r="V1733">
        <f>IF([2]Entry!$L$1736="","",[2]Entry!$L$1736)</f>
        <v/>
      </c>
      <c r="W1733">
        <f>IF([2]Entry!$M$1736="","",[2]Entry!$M$1736)</f>
        <v/>
      </c>
      <c r="X1733">
        <f>IF([2]Entry!$N$1736="","",[2]Entry!$N$1736)</f>
        <v/>
      </c>
      <c r="Y1733">
        <f>IF([2]Entry!$R$1736="","",[2]Entry!$R$1736)</f>
        <v/>
      </c>
    </row>
    <row r="1734">
      <c r="P1734">
        <f>IF([2]Entry!$C$1737="","",[2]Entry!$C$1737)</f>
        <v/>
      </c>
      <c r="Q1734">
        <f>IF([2]Entry!$D$1737="","",[2]Entry!$D$1737)</f>
        <v/>
      </c>
      <c r="R1734">
        <f>IF([2]Entry!$E$1737="","",[2]Entry!$E$1737)</f>
        <v/>
      </c>
      <c r="S1734">
        <f>IF([2]Entry!$G$1737="","",[2]Entry!$G$1737)</f>
        <v/>
      </c>
      <c r="T1734">
        <f>IF([2]Entry!$J$1737="","",[2]Entry!$J$1737)</f>
        <v/>
      </c>
      <c r="U1734">
        <f>IF([2]Entry!$K$1737="","",[2]Entry!$K$1737)</f>
        <v/>
      </c>
      <c r="V1734">
        <f>IF([2]Entry!$L$1737="","",[2]Entry!$L$1737)</f>
        <v/>
      </c>
      <c r="W1734">
        <f>IF([2]Entry!$M$1737="","",[2]Entry!$M$1737)</f>
        <v/>
      </c>
      <c r="X1734">
        <f>IF([2]Entry!$N$1737="","",[2]Entry!$N$1737)</f>
        <v/>
      </c>
      <c r="Y1734">
        <f>IF([2]Entry!$R$1737="","",[2]Entry!$R$1737)</f>
        <v/>
      </c>
    </row>
    <row r="1735">
      <c r="P1735">
        <f>IF([2]Entry!$C$1738="","",[2]Entry!$C$1738)</f>
        <v/>
      </c>
      <c r="Q1735">
        <f>IF([2]Entry!$D$1738="","",[2]Entry!$D$1738)</f>
        <v/>
      </c>
      <c r="R1735">
        <f>IF([2]Entry!$E$1738="","",[2]Entry!$E$1738)</f>
        <v/>
      </c>
      <c r="S1735">
        <f>IF([2]Entry!$G$1738="","",[2]Entry!$G$1738)</f>
        <v/>
      </c>
      <c r="T1735">
        <f>IF([2]Entry!$J$1738="","",[2]Entry!$J$1738)</f>
        <v/>
      </c>
      <c r="U1735">
        <f>IF([2]Entry!$K$1738="","",[2]Entry!$K$1738)</f>
        <v/>
      </c>
      <c r="V1735">
        <f>IF([2]Entry!$L$1738="","",[2]Entry!$L$1738)</f>
        <v/>
      </c>
      <c r="W1735">
        <f>IF([2]Entry!$M$1738="","",[2]Entry!$M$1738)</f>
        <v/>
      </c>
      <c r="X1735">
        <f>IF([2]Entry!$N$1738="","",[2]Entry!$N$1738)</f>
        <v/>
      </c>
      <c r="Y1735">
        <f>IF([2]Entry!$R$1738="","",[2]Entry!$R$1738)</f>
        <v/>
      </c>
    </row>
    <row r="1736">
      <c r="P1736">
        <f>IF([2]Entry!$C$1739="","",[2]Entry!$C$1739)</f>
        <v/>
      </c>
      <c r="Q1736">
        <f>IF([2]Entry!$D$1739="","",[2]Entry!$D$1739)</f>
        <v/>
      </c>
      <c r="R1736">
        <f>IF([2]Entry!$E$1739="","",[2]Entry!$E$1739)</f>
        <v/>
      </c>
      <c r="S1736">
        <f>IF([2]Entry!$G$1739="","",[2]Entry!$G$1739)</f>
        <v/>
      </c>
      <c r="T1736">
        <f>IF([2]Entry!$J$1739="","",[2]Entry!$J$1739)</f>
        <v/>
      </c>
      <c r="U1736">
        <f>IF([2]Entry!$K$1739="","",[2]Entry!$K$1739)</f>
        <v/>
      </c>
      <c r="V1736">
        <f>IF([2]Entry!$L$1739="","",[2]Entry!$L$1739)</f>
        <v/>
      </c>
      <c r="W1736">
        <f>IF([2]Entry!$M$1739="","",[2]Entry!$M$1739)</f>
        <v/>
      </c>
      <c r="X1736">
        <f>IF([2]Entry!$N$1739="","",[2]Entry!$N$1739)</f>
        <v/>
      </c>
      <c r="Y1736">
        <f>IF([2]Entry!$R$1739="","",[2]Entry!$R$1739)</f>
        <v/>
      </c>
    </row>
    <row r="1737">
      <c r="P1737">
        <f>IF([2]Entry!$C$1740="","",[2]Entry!$C$1740)</f>
        <v/>
      </c>
      <c r="Q1737">
        <f>IF([2]Entry!$D$1740="","",[2]Entry!$D$1740)</f>
        <v/>
      </c>
      <c r="R1737">
        <f>IF([2]Entry!$E$1740="","",[2]Entry!$E$1740)</f>
        <v/>
      </c>
      <c r="S1737">
        <f>IF([2]Entry!$G$1740="","",[2]Entry!$G$1740)</f>
        <v/>
      </c>
      <c r="T1737">
        <f>IF([2]Entry!$J$1740="","",[2]Entry!$J$1740)</f>
        <v/>
      </c>
      <c r="U1737">
        <f>IF([2]Entry!$K$1740="","",[2]Entry!$K$1740)</f>
        <v/>
      </c>
      <c r="V1737">
        <f>IF([2]Entry!$L$1740="","",[2]Entry!$L$1740)</f>
        <v/>
      </c>
      <c r="W1737">
        <f>IF([2]Entry!$M$1740="","",[2]Entry!$M$1740)</f>
        <v/>
      </c>
      <c r="X1737">
        <f>IF([2]Entry!$N$1740="","",[2]Entry!$N$1740)</f>
        <v/>
      </c>
      <c r="Y1737">
        <f>IF([2]Entry!$R$1740="","",[2]Entry!$R$1740)</f>
        <v/>
      </c>
    </row>
    <row r="1738">
      <c r="P1738">
        <f>IF([2]Entry!$C$1741="","",[2]Entry!$C$1741)</f>
        <v/>
      </c>
      <c r="Q1738">
        <f>IF([2]Entry!$D$1741="","",[2]Entry!$D$1741)</f>
        <v/>
      </c>
      <c r="R1738">
        <f>IF([2]Entry!$E$1741="","",[2]Entry!$E$1741)</f>
        <v/>
      </c>
      <c r="S1738">
        <f>IF([2]Entry!$G$1741="","",[2]Entry!$G$1741)</f>
        <v/>
      </c>
      <c r="T1738">
        <f>IF([2]Entry!$J$1741="","",[2]Entry!$J$1741)</f>
        <v/>
      </c>
      <c r="U1738">
        <f>IF([2]Entry!$K$1741="","",[2]Entry!$K$1741)</f>
        <v/>
      </c>
      <c r="V1738">
        <f>IF([2]Entry!$L$1741="","",[2]Entry!$L$1741)</f>
        <v/>
      </c>
      <c r="W1738">
        <f>IF([2]Entry!$M$1741="","",[2]Entry!$M$1741)</f>
        <v/>
      </c>
      <c r="X1738">
        <f>IF([2]Entry!$N$1741="","",[2]Entry!$N$1741)</f>
        <v/>
      </c>
      <c r="Y1738">
        <f>IF([2]Entry!$R$1741="","",[2]Entry!$R$1741)</f>
        <v/>
      </c>
    </row>
    <row r="1739">
      <c r="P1739">
        <f>IF([2]Entry!$C$1742="","",[2]Entry!$C$1742)</f>
        <v/>
      </c>
      <c r="Q1739">
        <f>IF([2]Entry!$D$1742="","",[2]Entry!$D$1742)</f>
        <v/>
      </c>
      <c r="R1739">
        <f>IF([2]Entry!$E$1742="","",[2]Entry!$E$1742)</f>
        <v/>
      </c>
      <c r="S1739">
        <f>IF([2]Entry!$G$1742="","",[2]Entry!$G$1742)</f>
        <v/>
      </c>
      <c r="T1739">
        <f>IF([2]Entry!$J$1742="","",[2]Entry!$J$1742)</f>
        <v/>
      </c>
      <c r="U1739">
        <f>IF([2]Entry!$K$1742="","",[2]Entry!$K$1742)</f>
        <v/>
      </c>
      <c r="V1739">
        <f>IF([2]Entry!$L$1742="","",[2]Entry!$L$1742)</f>
        <v/>
      </c>
      <c r="W1739">
        <f>IF([2]Entry!$M$1742="","",[2]Entry!$M$1742)</f>
        <v/>
      </c>
      <c r="X1739">
        <f>IF([2]Entry!$N$1742="","",[2]Entry!$N$1742)</f>
        <v/>
      </c>
      <c r="Y1739">
        <f>IF([2]Entry!$R$1742="","",[2]Entry!$R$1742)</f>
        <v/>
      </c>
    </row>
    <row r="1740">
      <c r="P1740">
        <f>IF([2]Entry!$C$1743="","",[2]Entry!$C$1743)</f>
        <v/>
      </c>
      <c r="Q1740">
        <f>IF([2]Entry!$D$1743="","",[2]Entry!$D$1743)</f>
        <v/>
      </c>
      <c r="R1740">
        <f>IF([2]Entry!$E$1743="","",[2]Entry!$E$1743)</f>
        <v/>
      </c>
      <c r="S1740">
        <f>IF([2]Entry!$G$1743="","",[2]Entry!$G$1743)</f>
        <v/>
      </c>
      <c r="T1740">
        <f>IF([2]Entry!$J$1743="","",[2]Entry!$J$1743)</f>
        <v/>
      </c>
      <c r="U1740">
        <f>IF([2]Entry!$K$1743="","",[2]Entry!$K$1743)</f>
        <v/>
      </c>
      <c r="V1740">
        <f>IF([2]Entry!$L$1743="","",[2]Entry!$L$1743)</f>
        <v/>
      </c>
      <c r="W1740">
        <f>IF([2]Entry!$M$1743="","",[2]Entry!$M$1743)</f>
        <v/>
      </c>
      <c r="X1740">
        <f>IF([2]Entry!$N$1743="","",[2]Entry!$N$1743)</f>
        <v/>
      </c>
      <c r="Y1740">
        <f>IF([2]Entry!$R$1743="","",[2]Entry!$R$1743)</f>
        <v/>
      </c>
    </row>
    <row r="1741">
      <c r="P1741">
        <f>IF([2]Entry!$C$1744="","",[2]Entry!$C$1744)</f>
        <v/>
      </c>
      <c r="Q1741">
        <f>IF([2]Entry!$D$1744="","",[2]Entry!$D$1744)</f>
        <v/>
      </c>
      <c r="R1741">
        <f>IF([2]Entry!$E$1744="","",[2]Entry!$E$1744)</f>
        <v/>
      </c>
      <c r="S1741">
        <f>IF([2]Entry!$G$1744="","",[2]Entry!$G$1744)</f>
        <v/>
      </c>
      <c r="T1741">
        <f>IF([2]Entry!$J$1744="","",[2]Entry!$J$1744)</f>
        <v/>
      </c>
      <c r="U1741">
        <f>IF([2]Entry!$K$1744="","",[2]Entry!$K$1744)</f>
        <v/>
      </c>
      <c r="V1741">
        <f>IF([2]Entry!$L$1744="","",[2]Entry!$L$1744)</f>
        <v/>
      </c>
      <c r="W1741">
        <f>IF([2]Entry!$M$1744="","",[2]Entry!$M$1744)</f>
        <v/>
      </c>
      <c r="X1741">
        <f>IF([2]Entry!$N$1744="","",[2]Entry!$N$1744)</f>
        <v/>
      </c>
      <c r="Y1741">
        <f>IF([2]Entry!$R$1744="","",[2]Entry!$R$1744)</f>
        <v/>
      </c>
    </row>
    <row r="1742">
      <c r="P1742">
        <f>IF([2]Entry!$C$1745="","",[2]Entry!$C$1745)</f>
        <v/>
      </c>
      <c r="Q1742">
        <f>IF([2]Entry!$D$1745="","",[2]Entry!$D$1745)</f>
        <v/>
      </c>
      <c r="R1742">
        <f>IF([2]Entry!$E$1745="","",[2]Entry!$E$1745)</f>
        <v/>
      </c>
      <c r="S1742">
        <f>IF([2]Entry!$G$1745="","",[2]Entry!$G$1745)</f>
        <v/>
      </c>
      <c r="T1742">
        <f>IF([2]Entry!$J$1745="","",[2]Entry!$J$1745)</f>
        <v/>
      </c>
      <c r="U1742">
        <f>IF([2]Entry!$K$1745="","",[2]Entry!$K$1745)</f>
        <v/>
      </c>
      <c r="V1742">
        <f>IF([2]Entry!$L$1745="","",[2]Entry!$L$1745)</f>
        <v/>
      </c>
      <c r="W1742">
        <f>IF([2]Entry!$M$1745="","",[2]Entry!$M$1745)</f>
        <v/>
      </c>
      <c r="X1742">
        <f>IF([2]Entry!$N$1745="","",[2]Entry!$N$1745)</f>
        <v/>
      </c>
      <c r="Y1742">
        <f>IF([2]Entry!$R$1745="","",[2]Entry!$R$1745)</f>
        <v/>
      </c>
    </row>
    <row r="1743">
      <c r="P1743">
        <f>IF([2]Entry!$C$1746="","",[2]Entry!$C$1746)</f>
        <v/>
      </c>
      <c r="Q1743">
        <f>IF([2]Entry!$D$1746="","",[2]Entry!$D$1746)</f>
        <v/>
      </c>
      <c r="R1743">
        <f>IF([2]Entry!$E$1746="","",[2]Entry!$E$1746)</f>
        <v/>
      </c>
      <c r="S1743">
        <f>IF([2]Entry!$G$1746="","",[2]Entry!$G$1746)</f>
        <v/>
      </c>
      <c r="T1743">
        <f>IF([2]Entry!$J$1746="","",[2]Entry!$J$1746)</f>
        <v/>
      </c>
      <c r="U1743">
        <f>IF([2]Entry!$K$1746="","",[2]Entry!$K$1746)</f>
        <v/>
      </c>
      <c r="V1743">
        <f>IF([2]Entry!$L$1746="","",[2]Entry!$L$1746)</f>
        <v/>
      </c>
      <c r="W1743">
        <f>IF([2]Entry!$M$1746="","",[2]Entry!$M$1746)</f>
        <v/>
      </c>
      <c r="X1743">
        <f>IF([2]Entry!$N$1746="","",[2]Entry!$N$1746)</f>
        <v/>
      </c>
      <c r="Y1743">
        <f>IF([2]Entry!$R$1746="","",[2]Entry!$R$1746)</f>
        <v/>
      </c>
    </row>
    <row r="1744">
      <c r="P1744">
        <f>IF([2]Entry!$C$1747="","",[2]Entry!$C$1747)</f>
        <v/>
      </c>
      <c r="Q1744">
        <f>IF([2]Entry!$D$1747="","",[2]Entry!$D$1747)</f>
        <v/>
      </c>
      <c r="R1744">
        <f>IF([2]Entry!$E$1747="","",[2]Entry!$E$1747)</f>
        <v/>
      </c>
      <c r="S1744">
        <f>IF([2]Entry!$G$1747="","",[2]Entry!$G$1747)</f>
        <v/>
      </c>
      <c r="T1744">
        <f>IF([2]Entry!$J$1747="","",[2]Entry!$J$1747)</f>
        <v/>
      </c>
      <c r="U1744">
        <f>IF([2]Entry!$K$1747="","",[2]Entry!$K$1747)</f>
        <v/>
      </c>
      <c r="V1744">
        <f>IF([2]Entry!$L$1747="","",[2]Entry!$L$1747)</f>
        <v/>
      </c>
      <c r="W1744">
        <f>IF([2]Entry!$M$1747="","",[2]Entry!$M$1747)</f>
        <v/>
      </c>
      <c r="X1744">
        <f>IF([2]Entry!$N$1747="","",[2]Entry!$N$1747)</f>
        <v/>
      </c>
      <c r="Y1744">
        <f>IF([2]Entry!$R$1747="","",[2]Entry!$R$1747)</f>
        <v/>
      </c>
    </row>
    <row r="1745">
      <c r="P1745">
        <f>IF([2]Entry!$C$1748="","",[2]Entry!$C$1748)</f>
        <v/>
      </c>
      <c r="Q1745">
        <f>IF([2]Entry!$D$1748="","",[2]Entry!$D$1748)</f>
        <v/>
      </c>
      <c r="R1745">
        <f>IF([2]Entry!$E$1748="","",[2]Entry!$E$1748)</f>
        <v/>
      </c>
      <c r="S1745">
        <f>IF([2]Entry!$G$1748="","",[2]Entry!$G$1748)</f>
        <v/>
      </c>
      <c r="T1745">
        <f>IF([2]Entry!$J$1748="","",[2]Entry!$J$1748)</f>
        <v/>
      </c>
      <c r="U1745">
        <f>IF([2]Entry!$K$1748="","",[2]Entry!$K$1748)</f>
        <v/>
      </c>
      <c r="V1745">
        <f>IF([2]Entry!$L$1748="","",[2]Entry!$L$1748)</f>
        <v/>
      </c>
      <c r="W1745">
        <f>IF([2]Entry!$M$1748="","",[2]Entry!$M$1748)</f>
        <v/>
      </c>
      <c r="X1745">
        <f>IF([2]Entry!$N$1748="","",[2]Entry!$N$1748)</f>
        <v/>
      </c>
      <c r="Y1745">
        <f>IF([2]Entry!$R$1748="","",[2]Entry!$R$1748)</f>
        <v/>
      </c>
    </row>
    <row r="1746">
      <c r="P1746">
        <f>IF([2]Entry!$C$1749="","",[2]Entry!$C$1749)</f>
        <v/>
      </c>
      <c r="Q1746">
        <f>IF([2]Entry!$D$1749="","",[2]Entry!$D$1749)</f>
        <v/>
      </c>
      <c r="R1746">
        <f>IF([2]Entry!$E$1749="","",[2]Entry!$E$1749)</f>
        <v/>
      </c>
      <c r="S1746">
        <f>IF([2]Entry!$G$1749="","",[2]Entry!$G$1749)</f>
        <v/>
      </c>
      <c r="T1746">
        <f>IF([2]Entry!$J$1749="","",[2]Entry!$J$1749)</f>
        <v/>
      </c>
      <c r="U1746">
        <f>IF([2]Entry!$K$1749="","",[2]Entry!$K$1749)</f>
        <v/>
      </c>
      <c r="V1746">
        <f>IF([2]Entry!$L$1749="","",[2]Entry!$L$1749)</f>
        <v/>
      </c>
      <c r="W1746">
        <f>IF([2]Entry!$M$1749="","",[2]Entry!$M$1749)</f>
        <v/>
      </c>
      <c r="X1746">
        <f>IF([2]Entry!$N$1749="","",[2]Entry!$N$1749)</f>
        <v/>
      </c>
      <c r="Y1746">
        <f>IF([2]Entry!$R$1749="","",[2]Entry!$R$1749)</f>
        <v/>
      </c>
    </row>
    <row r="1747">
      <c r="P1747">
        <f>IF([2]Entry!$C$1750="","",[2]Entry!$C$1750)</f>
        <v/>
      </c>
      <c r="Q1747">
        <f>IF([2]Entry!$D$1750="","",[2]Entry!$D$1750)</f>
        <v/>
      </c>
      <c r="R1747">
        <f>IF([2]Entry!$E$1750="","",[2]Entry!$E$1750)</f>
        <v/>
      </c>
      <c r="S1747">
        <f>IF([2]Entry!$G$1750="","",[2]Entry!$G$1750)</f>
        <v/>
      </c>
      <c r="T1747">
        <f>IF([2]Entry!$J$1750="","",[2]Entry!$J$1750)</f>
        <v/>
      </c>
      <c r="U1747">
        <f>IF([2]Entry!$K$1750="","",[2]Entry!$K$1750)</f>
        <v/>
      </c>
      <c r="V1747">
        <f>IF([2]Entry!$L$1750="","",[2]Entry!$L$1750)</f>
        <v/>
      </c>
      <c r="W1747">
        <f>IF([2]Entry!$M$1750="","",[2]Entry!$M$1750)</f>
        <v/>
      </c>
      <c r="X1747">
        <f>IF([2]Entry!$N$1750="","",[2]Entry!$N$1750)</f>
        <v/>
      </c>
      <c r="Y1747">
        <f>IF([2]Entry!$R$1750="","",[2]Entry!$R$1750)</f>
        <v/>
      </c>
    </row>
    <row r="1748">
      <c r="P1748">
        <f>IF([2]Entry!$C$1751="","",[2]Entry!$C$1751)</f>
        <v/>
      </c>
      <c r="Q1748">
        <f>IF([2]Entry!$D$1751="","",[2]Entry!$D$1751)</f>
        <v/>
      </c>
      <c r="R1748">
        <f>IF([2]Entry!$E$1751="","",[2]Entry!$E$1751)</f>
        <v/>
      </c>
      <c r="S1748">
        <f>IF([2]Entry!$G$1751="","",[2]Entry!$G$1751)</f>
        <v/>
      </c>
      <c r="T1748">
        <f>IF([2]Entry!$J$1751="","",[2]Entry!$J$1751)</f>
        <v/>
      </c>
      <c r="U1748">
        <f>IF([2]Entry!$K$1751="","",[2]Entry!$K$1751)</f>
        <v/>
      </c>
      <c r="V1748">
        <f>IF([2]Entry!$L$1751="","",[2]Entry!$L$1751)</f>
        <v/>
      </c>
      <c r="W1748">
        <f>IF([2]Entry!$M$1751="","",[2]Entry!$M$1751)</f>
        <v/>
      </c>
      <c r="X1748">
        <f>IF([2]Entry!$N$1751="","",[2]Entry!$N$1751)</f>
        <v/>
      </c>
      <c r="Y1748">
        <f>IF([2]Entry!$R$1751="","",[2]Entry!$R$1751)</f>
        <v/>
      </c>
    </row>
    <row r="1749">
      <c r="P1749">
        <f>IF([2]Entry!$C$1752="","",[2]Entry!$C$1752)</f>
        <v/>
      </c>
      <c r="Q1749">
        <f>IF([2]Entry!$D$1752="","",[2]Entry!$D$1752)</f>
        <v/>
      </c>
      <c r="R1749">
        <f>IF([2]Entry!$E$1752="","",[2]Entry!$E$1752)</f>
        <v/>
      </c>
      <c r="S1749">
        <f>IF([2]Entry!$G$1752="","",[2]Entry!$G$1752)</f>
        <v/>
      </c>
      <c r="T1749">
        <f>IF([2]Entry!$J$1752="","",[2]Entry!$J$1752)</f>
        <v/>
      </c>
      <c r="U1749">
        <f>IF([2]Entry!$K$1752="","",[2]Entry!$K$1752)</f>
        <v/>
      </c>
      <c r="V1749">
        <f>IF([2]Entry!$L$1752="","",[2]Entry!$L$1752)</f>
        <v/>
      </c>
      <c r="W1749">
        <f>IF([2]Entry!$M$1752="","",[2]Entry!$M$1752)</f>
        <v/>
      </c>
      <c r="X1749">
        <f>IF([2]Entry!$N$1752="","",[2]Entry!$N$1752)</f>
        <v/>
      </c>
      <c r="Y1749">
        <f>IF([2]Entry!$R$1752="","",[2]Entry!$R$1752)</f>
        <v/>
      </c>
    </row>
    <row r="1750">
      <c r="P1750">
        <f>IF([2]Entry!$C$1753="","",[2]Entry!$C$1753)</f>
        <v/>
      </c>
      <c r="Q1750">
        <f>IF([2]Entry!$D$1753="","",[2]Entry!$D$1753)</f>
        <v/>
      </c>
      <c r="R1750">
        <f>IF([2]Entry!$E$1753="","",[2]Entry!$E$1753)</f>
        <v/>
      </c>
      <c r="S1750">
        <f>IF([2]Entry!$G$1753="","",[2]Entry!$G$1753)</f>
        <v/>
      </c>
      <c r="T1750">
        <f>IF([2]Entry!$J$1753="","",[2]Entry!$J$1753)</f>
        <v/>
      </c>
      <c r="U1750">
        <f>IF([2]Entry!$K$1753="","",[2]Entry!$K$1753)</f>
        <v/>
      </c>
      <c r="V1750">
        <f>IF([2]Entry!$L$1753="","",[2]Entry!$L$1753)</f>
        <v/>
      </c>
      <c r="W1750">
        <f>IF([2]Entry!$M$1753="","",[2]Entry!$M$1753)</f>
        <v/>
      </c>
      <c r="X1750">
        <f>IF([2]Entry!$N$1753="","",[2]Entry!$N$1753)</f>
        <v/>
      </c>
      <c r="Y1750">
        <f>IF([2]Entry!$R$1753="","",[2]Entry!$R$1753)</f>
        <v/>
      </c>
    </row>
    <row r="1751">
      <c r="P1751">
        <f>IF([2]Entry!$C$1754="","",[2]Entry!$C$1754)</f>
        <v/>
      </c>
      <c r="Q1751">
        <f>IF([2]Entry!$D$1754="","",[2]Entry!$D$1754)</f>
        <v/>
      </c>
      <c r="R1751">
        <f>IF([2]Entry!$E$1754="","",[2]Entry!$E$1754)</f>
        <v/>
      </c>
      <c r="S1751">
        <f>IF([2]Entry!$G$1754="","",[2]Entry!$G$1754)</f>
        <v/>
      </c>
      <c r="T1751">
        <f>IF([2]Entry!$J$1754="","",[2]Entry!$J$1754)</f>
        <v/>
      </c>
      <c r="U1751">
        <f>IF([2]Entry!$K$1754="","",[2]Entry!$K$1754)</f>
        <v/>
      </c>
      <c r="V1751">
        <f>IF([2]Entry!$L$1754="","",[2]Entry!$L$1754)</f>
        <v/>
      </c>
      <c r="W1751">
        <f>IF([2]Entry!$M$1754="","",[2]Entry!$M$1754)</f>
        <v/>
      </c>
      <c r="X1751">
        <f>IF([2]Entry!$N$1754="","",[2]Entry!$N$1754)</f>
        <v/>
      </c>
      <c r="Y1751">
        <f>IF([2]Entry!$R$1754="","",[2]Entry!$R$1754)</f>
        <v/>
      </c>
    </row>
    <row r="1752">
      <c r="P1752">
        <f>IF([2]Entry!$C$1755="","",[2]Entry!$C$1755)</f>
        <v/>
      </c>
      <c r="Q1752">
        <f>IF([2]Entry!$D$1755="","",[2]Entry!$D$1755)</f>
        <v/>
      </c>
      <c r="R1752">
        <f>IF([2]Entry!$E$1755="","",[2]Entry!$E$1755)</f>
        <v/>
      </c>
      <c r="S1752">
        <f>IF([2]Entry!$G$1755="","",[2]Entry!$G$1755)</f>
        <v/>
      </c>
      <c r="T1752">
        <f>IF([2]Entry!$J$1755="","",[2]Entry!$J$1755)</f>
        <v/>
      </c>
      <c r="U1752">
        <f>IF([2]Entry!$K$1755="","",[2]Entry!$K$1755)</f>
        <v/>
      </c>
      <c r="V1752">
        <f>IF([2]Entry!$L$1755="","",[2]Entry!$L$1755)</f>
        <v/>
      </c>
      <c r="W1752">
        <f>IF([2]Entry!$M$1755="","",[2]Entry!$M$1755)</f>
        <v/>
      </c>
      <c r="X1752">
        <f>IF([2]Entry!$N$1755="","",[2]Entry!$N$1755)</f>
        <v/>
      </c>
      <c r="Y1752">
        <f>IF([2]Entry!$R$1755="","",[2]Entry!$R$1755)</f>
        <v/>
      </c>
    </row>
    <row r="1753">
      <c r="P1753">
        <f>IF([2]Entry!$C$1756="","",[2]Entry!$C$1756)</f>
        <v/>
      </c>
      <c r="Q1753">
        <f>IF([2]Entry!$D$1756="","",[2]Entry!$D$1756)</f>
        <v/>
      </c>
      <c r="R1753">
        <f>IF([2]Entry!$E$1756="","",[2]Entry!$E$1756)</f>
        <v/>
      </c>
      <c r="S1753">
        <f>IF([2]Entry!$G$1756="","",[2]Entry!$G$1756)</f>
        <v/>
      </c>
      <c r="T1753">
        <f>IF([2]Entry!$J$1756="","",[2]Entry!$J$1756)</f>
        <v/>
      </c>
      <c r="U1753">
        <f>IF([2]Entry!$K$1756="","",[2]Entry!$K$1756)</f>
        <v/>
      </c>
      <c r="V1753">
        <f>IF([2]Entry!$L$1756="","",[2]Entry!$L$1756)</f>
        <v/>
      </c>
      <c r="W1753">
        <f>IF([2]Entry!$M$1756="","",[2]Entry!$M$1756)</f>
        <v/>
      </c>
      <c r="X1753">
        <f>IF([2]Entry!$N$1756="","",[2]Entry!$N$1756)</f>
        <v/>
      </c>
      <c r="Y1753">
        <f>IF([2]Entry!$R$1756="","",[2]Entry!$R$1756)</f>
        <v/>
      </c>
    </row>
    <row r="1754">
      <c r="P1754">
        <f>IF([2]Entry!$C$1757="","",[2]Entry!$C$1757)</f>
        <v/>
      </c>
      <c r="Q1754">
        <f>IF([2]Entry!$D$1757="","",[2]Entry!$D$1757)</f>
        <v/>
      </c>
      <c r="R1754">
        <f>IF([2]Entry!$E$1757="","",[2]Entry!$E$1757)</f>
        <v/>
      </c>
      <c r="S1754">
        <f>IF([2]Entry!$G$1757="","",[2]Entry!$G$1757)</f>
        <v/>
      </c>
      <c r="T1754">
        <f>IF([2]Entry!$J$1757="","",[2]Entry!$J$1757)</f>
        <v/>
      </c>
      <c r="U1754">
        <f>IF([2]Entry!$K$1757="","",[2]Entry!$K$1757)</f>
        <v/>
      </c>
      <c r="V1754">
        <f>IF([2]Entry!$L$1757="","",[2]Entry!$L$1757)</f>
        <v/>
      </c>
      <c r="W1754">
        <f>IF([2]Entry!$M$1757="","",[2]Entry!$M$1757)</f>
        <v/>
      </c>
      <c r="X1754">
        <f>IF([2]Entry!$N$1757="","",[2]Entry!$N$1757)</f>
        <v/>
      </c>
      <c r="Y1754">
        <f>IF([2]Entry!$R$1757="","",[2]Entry!$R$1757)</f>
        <v/>
      </c>
    </row>
    <row r="1755">
      <c r="P1755">
        <f>IF([2]Entry!$C$1758="","",[2]Entry!$C$1758)</f>
        <v/>
      </c>
      <c r="Q1755">
        <f>IF([2]Entry!$D$1758="","",[2]Entry!$D$1758)</f>
        <v/>
      </c>
      <c r="R1755">
        <f>IF([2]Entry!$E$1758="","",[2]Entry!$E$1758)</f>
        <v/>
      </c>
      <c r="S1755">
        <f>IF([2]Entry!$G$1758="","",[2]Entry!$G$1758)</f>
        <v/>
      </c>
      <c r="T1755">
        <f>IF([2]Entry!$J$1758="","",[2]Entry!$J$1758)</f>
        <v/>
      </c>
      <c r="U1755">
        <f>IF([2]Entry!$K$1758="","",[2]Entry!$K$1758)</f>
        <v/>
      </c>
      <c r="V1755">
        <f>IF([2]Entry!$L$1758="","",[2]Entry!$L$1758)</f>
        <v/>
      </c>
      <c r="W1755">
        <f>IF([2]Entry!$M$1758="","",[2]Entry!$M$1758)</f>
        <v/>
      </c>
      <c r="X1755">
        <f>IF([2]Entry!$N$1758="","",[2]Entry!$N$1758)</f>
        <v/>
      </c>
      <c r="Y1755">
        <f>IF([2]Entry!$R$1758="","",[2]Entry!$R$1758)</f>
        <v/>
      </c>
    </row>
    <row r="1756">
      <c r="P1756">
        <f>IF([2]Entry!$C$1759="","",[2]Entry!$C$1759)</f>
        <v/>
      </c>
      <c r="Q1756">
        <f>IF([2]Entry!$D$1759="","",[2]Entry!$D$1759)</f>
        <v/>
      </c>
      <c r="R1756">
        <f>IF([2]Entry!$E$1759="","",[2]Entry!$E$1759)</f>
        <v/>
      </c>
      <c r="S1756">
        <f>IF([2]Entry!$G$1759="","",[2]Entry!$G$1759)</f>
        <v/>
      </c>
      <c r="T1756">
        <f>IF([2]Entry!$J$1759="","",[2]Entry!$J$1759)</f>
        <v/>
      </c>
      <c r="U1756">
        <f>IF([2]Entry!$K$1759="","",[2]Entry!$K$1759)</f>
        <v/>
      </c>
      <c r="V1756">
        <f>IF([2]Entry!$L$1759="","",[2]Entry!$L$1759)</f>
        <v/>
      </c>
      <c r="W1756">
        <f>IF([2]Entry!$M$1759="","",[2]Entry!$M$1759)</f>
        <v/>
      </c>
      <c r="X1756">
        <f>IF([2]Entry!$N$1759="","",[2]Entry!$N$1759)</f>
        <v/>
      </c>
      <c r="Y1756">
        <f>IF([2]Entry!$R$1759="","",[2]Entry!$R$1759)</f>
        <v/>
      </c>
    </row>
    <row r="1757">
      <c r="P1757">
        <f>IF([2]Entry!$C$1760="","",[2]Entry!$C$1760)</f>
        <v/>
      </c>
      <c r="Q1757">
        <f>IF([2]Entry!$D$1760="","",[2]Entry!$D$1760)</f>
        <v/>
      </c>
      <c r="R1757">
        <f>IF([2]Entry!$E$1760="","",[2]Entry!$E$1760)</f>
        <v/>
      </c>
      <c r="S1757">
        <f>IF([2]Entry!$G$1760="","",[2]Entry!$G$1760)</f>
        <v/>
      </c>
      <c r="T1757">
        <f>IF([2]Entry!$J$1760="","",[2]Entry!$J$1760)</f>
        <v/>
      </c>
      <c r="U1757">
        <f>IF([2]Entry!$K$1760="","",[2]Entry!$K$1760)</f>
        <v/>
      </c>
      <c r="V1757">
        <f>IF([2]Entry!$L$1760="","",[2]Entry!$L$1760)</f>
        <v/>
      </c>
      <c r="W1757">
        <f>IF([2]Entry!$M$1760="","",[2]Entry!$M$1760)</f>
        <v/>
      </c>
      <c r="X1757">
        <f>IF([2]Entry!$N$1760="","",[2]Entry!$N$1760)</f>
        <v/>
      </c>
      <c r="Y1757">
        <f>IF([2]Entry!$R$1760="","",[2]Entry!$R$1760)</f>
        <v/>
      </c>
    </row>
    <row r="1758">
      <c r="P1758">
        <f>IF([2]Entry!$C$1761="","",[2]Entry!$C$1761)</f>
        <v/>
      </c>
      <c r="Q1758">
        <f>IF([2]Entry!$D$1761="","",[2]Entry!$D$1761)</f>
        <v/>
      </c>
      <c r="R1758">
        <f>IF([2]Entry!$E$1761="","",[2]Entry!$E$1761)</f>
        <v/>
      </c>
      <c r="S1758">
        <f>IF([2]Entry!$G$1761="","",[2]Entry!$G$1761)</f>
        <v/>
      </c>
      <c r="T1758">
        <f>IF([2]Entry!$J$1761="","",[2]Entry!$J$1761)</f>
        <v/>
      </c>
      <c r="U1758">
        <f>IF([2]Entry!$K$1761="","",[2]Entry!$K$1761)</f>
        <v/>
      </c>
      <c r="V1758">
        <f>IF([2]Entry!$L$1761="","",[2]Entry!$L$1761)</f>
        <v/>
      </c>
      <c r="W1758">
        <f>IF([2]Entry!$M$1761="","",[2]Entry!$M$1761)</f>
        <v/>
      </c>
      <c r="X1758">
        <f>IF([2]Entry!$N$1761="","",[2]Entry!$N$1761)</f>
        <v/>
      </c>
      <c r="Y1758">
        <f>IF([2]Entry!$R$1761="","",[2]Entry!$R$1761)</f>
        <v/>
      </c>
    </row>
    <row r="1759">
      <c r="P1759">
        <f>IF([2]Entry!$C$1762="","",[2]Entry!$C$1762)</f>
        <v/>
      </c>
      <c r="Q1759">
        <f>IF([2]Entry!$D$1762="","",[2]Entry!$D$1762)</f>
        <v/>
      </c>
      <c r="R1759">
        <f>IF([2]Entry!$E$1762="","",[2]Entry!$E$1762)</f>
        <v/>
      </c>
      <c r="S1759">
        <f>IF([2]Entry!$G$1762="","",[2]Entry!$G$1762)</f>
        <v/>
      </c>
      <c r="T1759">
        <f>IF([2]Entry!$J$1762="","",[2]Entry!$J$1762)</f>
        <v/>
      </c>
      <c r="U1759">
        <f>IF([2]Entry!$K$1762="","",[2]Entry!$K$1762)</f>
        <v/>
      </c>
      <c r="V1759">
        <f>IF([2]Entry!$L$1762="","",[2]Entry!$L$1762)</f>
        <v/>
      </c>
      <c r="W1759">
        <f>IF([2]Entry!$M$1762="","",[2]Entry!$M$1762)</f>
        <v/>
      </c>
      <c r="X1759">
        <f>IF([2]Entry!$N$1762="","",[2]Entry!$N$1762)</f>
        <v/>
      </c>
      <c r="Y1759">
        <f>IF([2]Entry!$R$1762="","",[2]Entry!$R$1762)</f>
        <v/>
      </c>
    </row>
    <row r="1760">
      <c r="P1760">
        <f>IF([2]Entry!$C$1763="","",[2]Entry!$C$1763)</f>
        <v/>
      </c>
      <c r="Q1760">
        <f>IF([2]Entry!$D$1763="","",[2]Entry!$D$1763)</f>
        <v/>
      </c>
      <c r="R1760">
        <f>IF([2]Entry!$E$1763="","",[2]Entry!$E$1763)</f>
        <v/>
      </c>
      <c r="S1760">
        <f>IF([2]Entry!$G$1763="","",[2]Entry!$G$1763)</f>
        <v/>
      </c>
      <c r="T1760">
        <f>IF([2]Entry!$J$1763="","",[2]Entry!$J$1763)</f>
        <v/>
      </c>
      <c r="U1760">
        <f>IF([2]Entry!$K$1763="","",[2]Entry!$K$1763)</f>
        <v/>
      </c>
      <c r="V1760">
        <f>IF([2]Entry!$L$1763="","",[2]Entry!$L$1763)</f>
        <v/>
      </c>
      <c r="W1760">
        <f>IF([2]Entry!$M$1763="","",[2]Entry!$M$1763)</f>
        <v/>
      </c>
      <c r="X1760">
        <f>IF([2]Entry!$N$1763="","",[2]Entry!$N$1763)</f>
        <v/>
      </c>
      <c r="Y1760">
        <f>IF([2]Entry!$R$1763="","",[2]Entry!$R$1763)</f>
        <v/>
      </c>
    </row>
    <row r="1761">
      <c r="P1761">
        <f>IF([2]Entry!$C$1764="","",[2]Entry!$C$1764)</f>
        <v/>
      </c>
      <c r="Q1761">
        <f>IF([2]Entry!$D$1764="","",[2]Entry!$D$1764)</f>
        <v/>
      </c>
      <c r="R1761">
        <f>IF([2]Entry!$E$1764="","",[2]Entry!$E$1764)</f>
        <v/>
      </c>
      <c r="S1761">
        <f>IF([2]Entry!$G$1764="","",[2]Entry!$G$1764)</f>
        <v/>
      </c>
      <c r="T1761">
        <f>IF([2]Entry!$J$1764="","",[2]Entry!$J$1764)</f>
        <v/>
      </c>
      <c r="U1761">
        <f>IF([2]Entry!$K$1764="","",[2]Entry!$K$1764)</f>
        <v/>
      </c>
      <c r="V1761">
        <f>IF([2]Entry!$L$1764="","",[2]Entry!$L$1764)</f>
        <v/>
      </c>
      <c r="W1761">
        <f>IF([2]Entry!$M$1764="","",[2]Entry!$M$1764)</f>
        <v/>
      </c>
      <c r="X1761">
        <f>IF([2]Entry!$N$1764="","",[2]Entry!$N$1764)</f>
        <v/>
      </c>
      <c r="Y1761">
        <f>IF([2]Entry!$R$1764="","",[2]Entry!$R$1764)</f>
        <v/>
      </c>
    </row>
    <row r="1762">
      <c r="P1762">
        <f>IF([2]Entry!$C$1765="","",[2]Entry!$C$1765)</f>
        <v/>
      </c>
      <c r="Q1762">
        <f>IF([2]Entry!$D$1765="","",[2]Entry!$D$1765)</f>
        <v/>
      </c>
      <c r="R1762">
        <f>IF([2]Entry!$E$1765="","",[2]Entry!$E$1765)</f>
        <v/>
      </c>
      <c r="S1762">
        <f>IF([2]Entry!$G$1765="","",[2]Entry!$G$1765)</f>
        <v/>
      </c>
      <c r="T1762">
        <f>IF([2]Entry!$J$1765="","",[2]Entry!$J$1765)</f>
        <v/>
      </c>
      <c r="U1762">
        <f>IF([2]Entry!$K$1765="","",[2]Entry!$K$1765)</f>
        <v/>
      </c>
      <c r="V1762">
        <f>IF([2]Entry!$L$1765="","",[2]Entry!$L$1765)</f>
        <v/>
      </c>
      <c r="W1762">
        <f>IF([2]Entry!$M$1765="","",[2]Entry!$M$1765)</f>
        <v/>
      </c>
      <c r="X1762">
        <f>IF([2]Entry!$N$1765="","",[2]Entry!$N$1765)</f>
        <v/>
      </c>
      <c r="Y1762">
        <f>IF([2]Entry!$R$1765="","",[2]Entry!$R$1765)</f>
        <v/>
      </c>
    </row>
    <row r="1763">
      <c r="P1763">
        <f>IF([2]Entry!$C$1766="","",[2]Entry!$C$1766)</f>
        <v/>
      </c>
      <c r="Q1763">
        <f>IF([2]Entry!$D$1766="","",[2]Entry!$D$1766)</f>
        <v/>
      </c>
      <c r="R1763">
        <f>IF([2]Entry!$E$1766="","",[2]Entry!$E$1766)</f>
        <v/>
      </c>
      <c r="S1763">
        <f>IF([2]Entry!$G$1766="","",[2]Entry!$G$1766)</f>
        <v/>
      </c>
      <c r="T1763">
        <f>IF([2]Entry!$J$1766="","",[2]Entry!$J$1766)</f>
        <v/>
      </c>
      <c r="U1763">
        <f>IF([2]Entry!$K$1766="","",[2]Entry!$K$1766)</f>
        <v/>
      </c>
      <c r="V1763">
        <f>IF([2]Entry!$L$1766="","",[2]Entry!$L$1766)</f>
        <v/>
      </c>
      <c r="W1763">
        <f>IF([2]Entry!$M$1766="","",[2]Entry!$M$1766)</f>
        <v/>
      </c>
      <c r="X1763">
        <f>IF([2]Entry!$N$1766="","",[2]Entry!$N$1766)</f>
        <v/>
      </c>
      <c r="Y1763">
        <f>IF([2]Entry!$R$1766="","",[2]Entry!$R$1766)</f>
        <v/>
      </c>
    </row>
    <row r="1764">
      <c r="P1764">
        <f>IF([2]Entry!$C$1767="","",[2]Entry!$C$1767)</f>
        <v/>
      </c>
      <c r="Q1764">
        <f>IF([2]Entry!$D$1767="","",[2]Entry!$D$1767)</f>
        <v/>
      </c>
      <c r="R1764">
        <f>IF([2]Entry!$E$1767="","",[2]Entry!$E$1767)</f>
        <v/>
      </c>
      <c r="S1764">
        <f>IF([2]Entry!$G$1767="","",[2]Entry!$G$1767)</f>
        <v/>
      </c>
      <c r="T1764">
        <f>IF([2]Entry!$J$1767="","",[2]Entry!$J$1767)</f>
        <v/>
      </c>
      <c r="U1764">
        <f>IF([2]Entry!$K$1767="","",[2]Entry!$K$1767)</f>
        <v/>
      </c>
      <c r="V1764">
        <f>IF([2]Entry!$L$1767="","",[2]Entry!$L$1767)</f>
        <v/>
      </c>
      <c r="W1764">
        <f>IF([2]Entry!$M$1767="","",[2]Entry!$M$1767)</f>
        <v/>
      </c>
      <c r="X1764">
        <f>IF([2]Entry!$N$1767="","",[2]Entry!$N$1767)</f>
        <v/>
      </c>
      <c r="Y1764">
        <f>IF([2]Entry!$R$1767="","",[2]Entry!$R$1767)</f>
        <v/>
      </c>
    </row>
    <row r="1765">
      <c r="P1765">
        <f>IF([2]Entry!$C$1768="","",[2]Entry!$C$1768)</f>
        <v/>
      </c>
      <c r="Q1765">
        <f>IF([2]Entry!$D$1768="","",[2]Entry!$D$1768)</f>
        <v/>
      </c>
      <c r="R1765">
        <f>IF([2]Entry!$E$1768="","",[2]Entry!$E$1768)</f>
        <v/>
      </c>
      <c r="S1765">
        <f>IF([2]Entry!$G$1768="","",[2]Entry!$G$1768)</f>
        <v/>
      </c>
      <c r="T1765">
        <f>IF([2]Entry!$J$1768="","",[2]Entry!$J$1768)</f>
        <v/>
      </c>
      <c r="U1765">
        <f>IF([2]Entry!$K$1768="","",[2]Entry!$K$1768)</f>
        <v/>
      </c>
      <c r="V1765">
        <f>IF([2]Entry!$L$1768="","",[2]Entry!$L$1768)</f>
        <v/>
      </c>
      <c r="W1765">
        <f>IF([2]Entry!$M$1768="","",[2]Entry!$M$1768)</f>
        <v/>
      </c>
      <c r="X1765">
        <f>IF([2]Entry!$N$1768="","",[2]Entry!$N$1768)</f>
        <v/>
      </c>
      <c r="Y1765">
        <f>IF([2]Entry!$R$1768="","",[2]Entry!$R$1768)</f>
        <v/>
      </c>
    </row>
    <row r="1766">
      <c r="P1766">
        <f>IF([2]Entry!$C$1769="","",[2]Entry!$C$1769)</f>
        <v/>
      </c>
      <c r="Q1766">
        <f>IF([2]Entry!$D$1769="","",[2]Entry!$D$1769)</f>
        <v/>
      </c>
      <c r="R1766">
        <f>IF([2]Entry!$E$1769="","",[2]Entry!$E$1769)</f>
        <v/>
      </c>
      <c r="S1766">
        <f>IF([2]Entry!$G$1769="","",[2]Entry!$G$1769)</f>
        <v/>
      </c>
      <c r="T1766">
        <f>IF([2]Entry!$J$1769="","",[2]Entry!$J$1769)</f>
        <v/>
      </c>
      <c r="U1766">
        <f>IF([2]Entry!$K$1769="","",[2]Entry!$K$1769)</f>
        <v/>
      </c>
      <c r="V1766">
        <f>IF([2]Entry!$L$1769="","",[2]Entry!$L$1769)</f>
        <v/>
      </c>
      <c r="W1766">
        <f>IF([2]Entry!$M$1769="","",[2]Entry!$M$1769)</f>
        <v/>
      </c>
      <c r="X1766">
        <f>IF([2]Entry!$N$1769="","",[2]Entry!$N$1769)</f>
        <v/>
      </c>
      <c r="Y1766">
        <f>IF([2]Entry!$R$1769="","",[2]Entry!$R$1769)</f>
        <v/>
      </c>
    </row>
    <row r="1767">
      <c r="P1767">
        <f>IF([2]Entry!$C$1770="","",[2]Entry!$C$1770)</f>
        <v/>
      </c>
      <c r="Q1767">
        <f>IF([2]Entry!$D$1770="","",[2]Entry!$D$1770)</f>
        <v/>
      </c>
      <c r="R1767">
        <f>IF([2]Entry!$E$1770="","",[2]Entry!$E$1770)</f>
        <v/>
      </c>
      <c r="S1767">
        <f>IF([2]Entry!$G$1770="","",[2]Entry!$G$1770)</f>
        <v/>
      </c>
      <c r="T1767">
        <f>IF([2]Entry!$J$1770="","",[2]Entry!$J$1770)</f>
        <v/>
      </c>
      <c r="U1767">
        <f>IF([2]Entry!$K$1770="","",[2]Entry!$K$1770)</f>
        <v/>
      </c>
      <c r="V1767">
        <f>IF([2]Entry!$L$1770="","",[2]Entry!$L$1770)</f>
        <v/>
      </c>
      <c r="W1767">
        <f>IF([2]Entry!$M$1770="","",[2]Entry!$M$1770)</f>
        <v/>
      </c>
      <c r="X1767">
        <f>IF([2]Entry!$N$1770="","",[2]Entry!$N$1770)</f>
        <v/>
      </c>
      <c r="Y1767">
        <f>IF([2]Entry!$R$1770="","",[2]Entry!$R$1770)</f>
        <v/>
      </c>
    </row>
    <row r="1768">
      <c r="P1768">
        <f>IF([2]Entry!$C$1771="","",[2]Entry!$C$1771)</f>
        <v/>
      </c>
      <c r="Q1768">
        <f>IF([2]Entry!$D$1771="","",[2]Entry!$D$1771)</f>
        <v/>
      </c>
      <c r="R1768">
        <f>IF([2]Entry!$E$1771="","",[2]Entry!$E$1771)</f>
        <v/>
      </c>
      <c r="S1768">
        <f>IF([2]Entry!$G$1771="","",[2]Entry!$G$1771)</f>
        <v/>
      </c>
      <c r="T1768">
        <f>IF([2]Entry!$J$1771="","",[2]Entry!$J$1771)</f>
        <v/>
      </c>
      <c r="U1768">
        <f>IF([2]Entry!$K$1771="","",[2]Entry!$K$1771)</f>
        <v/>
      </c>
      <c r="V1768">
        <f>IF([2]Entry!$L$1771="","",[2]Entry!$L$1771)</f>
        <v/>
      </c>
      <c r="W1768">
        <f>IF([2]Entry!$M$1771="","",[2]Entry!$M$1771)</f>
        <v/>
      </c>
      <c r="X1768">
        <f>IF([2]Entry!$N$1771="","",[2]Entry!$N$1771)</f>
        <v/>
      </c>
      <c r="Y1768">
        <f>IF([2]Entry!$R$1771="","",[2]Entry!$R$1771)</f>
        <v/>
      </c>
    </row>
    <row r="1769">
      <c r="P1769">
        <f>IF([2]Entry!$C$1772="","",[2]Entry!$C$1772)</f>
        <v/>
      </c>
      <c r="Q1769">
        <f>IF([2]Entry!$D$1772="","",[2]Entry!$D$1772)</f>
        <v/>
      </c>
      <c r="R1769">
        <f>IF([2]Entry!$E$1772="","",[2]Entry!$E$1772)</f>
        <v/>
      </c>
      <c r="S1769">
        <f>IF([2]Entry!$G$1772="","",[2]Entry!$G$1772)</f>
        <v/>
      </c>
      <c r="T1769">
        <f>IF([2]Entry!$J$1772="","",[2]Entry!$J$1772)</f>
        <v/>
      </c>
      <c r="U1769">
        <f>IF([2]Entry!$K$1772="","",[2]Entry!$K$1772)</f>
        <v/>
      </c>
      <c r="V1769">
        <f>IF([2]Entry!$L$1772="","",[2]Entry!$L$1772)</f>
        <v/>
      </c>
      <c r="W1769">
        <f>IF([2]Entry!$M$1772="","",[2]Entry!$M$1772)</f>
        <v/>
      </c>
      <c r="X1769">
        <f>IF([2]Entry!$N$1772="","",[2]Entry!$N$1772)</f>
        <v/>
      </c>
      <c r="Y1769">
        <f>IF([2]Entry!$R$1772="","",[2]Entry!$R$1772)</f>
        <v/>
      </c>
    </row>
    <row r="1770">
      <c r="P1770">
        <f>IF([2]Entry!$C$1773="","",[2]Entry!$C$1773)</f>
        <v/>
      </c>
      <c r="Q1770">
        <f>IF([2]Entry!$D$1773="","",[2]Entry!$D$1773)</f>
        <v/>
      </c>
      <c r="R1770">
        <f>IF([2]Entry!$E$1773="","",[2]Entry!$E$1773)</f>
        <v/>
      </c>
      <c r="S1770">
        <f>IF([2]Entry!$G$1773="","",[2]Entry!$G$1773)</f>
        <v/>
      </c>
      <c r="T1770">
        <f>IF([2]Entry!$J$1773="","",[2]Entry!$J$1773)</f>
        <v/>
      </c>
      <c r="U1770">
        <f>IF([2]Entry!$K$1773="","",[2]Entry!$K$1773)</f>
        <v/>
      </c>
      <c r="V1770">
        <f>IF([2]Entry!$L$1773="","",[2]Entry!$L$1773)</f>
        <v/>
      </c>
      <c r="W1770">
        <f>IF([2]Entry!$M$1773="","",[2]Entry!$M$1773)</f>
        <v/>
      </c>
      <c r="X1770">
        <f>IF([2]Entry!$N$1773="","",[2]Entry!$N$1773)</f>
        <v/>
      </c>
      <c r="Y1770">
        <f>IF([2]Entry!$R$1773="","",[2]Entry!$R$1773)</f>
        <v/>
      </c>
    </row>
    <row r="1771">
      <c r="P1771">
        <f>IF([2]Entry!$C$1774="","",[2]Entry!$C$1774)</f>
        <v/>
      </c>
      <c r="Q1771">
        <f>IF([2]Entry!$D$1774="","",[2]Entry!$D$1774)</f>
        <v/>
      </c>
      <c r="R1771">
        <f>IF([2]Entry!$E$1774="","",[2]Entry!$E$1774)</f>
        <v/>
      </c>
      <c r="S1771">
        <f>IF([2]Entry!$G$1774="","",[2]Entry!$G$1774)</f>
        <v/>
      </c>
      <c r="T1771">
        <f>IF([2]Entry!$J$1774="","",[2]Entry!$J$1774)</f>
        <v/>
      </c>
      <c r="U1771">
        <f>IF([2]Entry!$K$1774="","",[2]Entry!$K$1774)</f>
        <v/>
      </c>
      <c r="V1771">
        <f>IF([2]Entry!$L$1774="","",[2]Entry!$L$1774)</f>
        <v/>
      </c>
      <c r="W1771">
        <f>IF([2]Entry!$M$1774="","",[2]Entry!$M$1774)</f>
        <v/>
      </c>
      <c r="X1771">
        <f>IF([2]Entry!$N$1774="","",[2]Entry!$N$1774)</f>
        <v/>
      </c>
      <c r="Y1771">
        <f>IF([2]Entry!$R$1774="","",[2]Entry!$R$1774)</f>
        <v/>
      </c>
    </row>
    <row r="1772">
      <c r="P1772">
        <f>IF([2]Entry!$C$1775="","",[2]Entry!$C$1775)</f>
        <v/>
      </c>
      <c r="Q1772">
        <f>IF([2]Entry!$D$1775="","",[2]Entry!$D$1775)</f>
        <v/>
      </c>
      <c r="R1772">
        <f>IF([2]Entry!$E$1775="","",[2]Entry!$E$1775)</f>
        <v/>
      </c>
      <c r="S1772">
        <f>IF([2]Entry!$G$1775="","",[2]Entry!$G$1775)</f>
        <v/>
      </c>
      <c r="T1772">
        <f>IF([2]Entry!$J$1775="","",[2]Entry!$J$1775)</f>
        <v/>
      </c>
      <c r="U1772">
        <f>IF([2]Entry!$K$1775="","",[2]Entry!$K$1775)</f>
        <v/>
      </c>
      <c r="V1772">
        <f>IF([2]Entry!$L$1775="","",[2]Entry!$L$1775)</f>
        <v/>
      </c>
      <c r="W1772">
        <f>IF([2]Entry!$M$1775="","",[2]Entry!$M$1775)</f>
        <v/>
      </c>
      <c r="X1772">
        <f>IF([2]Entry!$N$1775="","",[2]Entry!$N$1775)</f>
        <v/>
      </c>
      <c r="Y1772">
        <f>IF([2]Entry!$R$1775="","",[2]Entry!$R$1775)</f>
        <v/>
      </c>
    </row>
    <row r="1773">
      <c r="P1773">
        <f>IF([2]Entry!$C$1776="","",[2]Entry!$C$1776)</f>
        <v/>
      </c>
      <c r="Q1773">
        <f>IF([2]Entry!$D$1776="","",[2]Entry!$D$1776)</f>
        <v/>
      </c>
      <c r="R1773">
        <f>IF([2]Entry!$E$1776="","",[2]Entry!$E$1776)</f>
        <v/>
      </c>
      <c r="S1773">
        <f>IF([2]Entry!$G$1776="","",[2]Entry!$G$1776)</f>
        <v/>
      </c>
      <c r="T1773">
        <f>IF([2]Entry!$J$1776="","",[2]Entry!$J$1776)</f>
        <v/>
      </c>
      <c r="U1773">
        <f>IF([2]Entry!$K$1776="","",[2]Entry!$K$1776)</f>
        <v/>
      </c>
      <c r="V1773">
        <f>IF([2]Entry!$L$1776="","",[2]Entry!$L$1776)</f>
        <v/>
      </c>
      <c r="W1773">
        <f>IF([2]Entry!$M$1776="","",[2]Entry!$M$1776)</f>
        <v/>
      </c>
      <c r="X1773">
        <f>IF([2]Entry!$N$1776="","",[2]Entry!$N$1776)</f>
        <v/>
      </c>
      <c r="Y1773">
        <f>IF([2]Entry!$R$1776="","",[2]Entry!$R$1776)</f>
        <v/>
      </c>
    </row>
    <row r="1774">
      <c r="P1774">
        <f>IF([2]Entry!$C$1777="","",[2]Entry!$C$1777)</f>
        <v/>
      </c>
      <c r="Q1774">
        <f>IF([2]Entry!$D$1777="","",[2]Entry!$D$1777)</f>
        <v/>
      </c>
      <c r="R1774">
        <f>IF([2]Entry!$E$1777="","",[2]Entry!$E$1777)</f>
        <v/>
      </c>
      <c r="S1774">
        <f>IF([2]Entry!$G$1777="","",[2]Entry!$G$1777)</f>
        <v/>
      </c>
      <c r="T1774">
        <f>IF([2]Entry!$J$1777="","",[2]Entry!$J$1777)</f>
        <v/>
      </c>
      <c r="U1774">
        <f>IF([2]Entry!$K$1777="","",[2]Entry!$K$1777)</f>
        <v/>
      </c>
      <c r="V1774">
        <f>IF([2]Entry!$L$1777="","",[2]Entry!$L$1777)</f>
        <v/>
      </c>
      <c r="W1774">
        <f>IF([2]Entry!$M$1777="","",[2]Entry!$M$1777)</f>
        <v/>
      </c>
      <c r="X1774">
        <f>IF([2]Entry!$N$1777="","",[2]Entry!$N$1777)</f>
        <v/>
      </c>
      <c r="Y1774">
        <f>IF([2]Entry!$R$1777="","",[2]Entry!$R$1777)</f>
        <v/>
      </c>
    </row>
    <row r="1775">
      <c r="P1775">
        <f>IF([2]Entry!$C$1778="","",[2]Entry!$C$1778)</f>
        <v/>
      </c>
      <c r="Q1775">
        <f>IF([2]Entry!$D$1778="","",[2]Entry!$D$1778)</f>
        <v/>
      </c>
      <c r="R1775">
        <f>IF([2]Entry!$E$1778="","",[2]Entry!$E$1778)</f>
        <v/>
      </c>
      <c r="S1775">
        <f>IF([2]Entry!$G$1778="","",[2]Entry!$G$1778)</f>
        <v/>
      </c>
      <c r="T1775">
        <f>IF([2]Entry!$J$1778="","",[2]Entry!$J$1778)</f>
        <v/>
      </c>
      <c r="U1775">
        <f>IF([2]Entry!$K$1778="","",[2]Entry!$K$1778)</f>
        <v/>
      </c>
      <c r="V1775">
        <f>IF([2]Entry!$L$1778="","",[2]Entry!$L$1778)</f>
        <v/>
      </c>
      <c r="W1775">
        <f>IF([2]Entry!$M$1778="","",[2]Entry!$M$1778)</f>
        <v/>
      </c>
      <c r="X1775">
        <f>IF([2]Entry!$N$1778="","",[2]Entry!$N$1778)</f>
        <v/>
      </c>
      <c r="Y1775">
        <f>IF([2]Entry!$R$1778="","",[2]Entry!$R$1778)</f>
        <v/>
      </c>
    </row>
    <row r="1776">
      <c r="P1776">
        <f>IF([2]Entry!$C$1779="","",[2]Entry!$C$1779)</f>
        <v/>
      </c>
      <c r="Q1776">
        <f>IF([2]Entry!$D$1779="","",[2]Entry!$D$1779)</f>
        <v/>
      </c>
      <c r="R1776">
        <f>IF([2]Entry!$E$1779="","",[2]Entry!$E$1779)</f>
        <v/>
      </c>
      <c r="S1776">
        <f>IF([2]Entry!$G$1779="","",[2]Entry!$G$1779)</f>
        <v/>
      </c>
      <c r="T1776">
        <f>IF([2]Entry!$J$1779="","",[2]Entry!$J$1779)</f>
        <v/>
      </c>
      <c r="U1776">
        <f>IF([2]Entry!$K$1779="","",[2]Entry!$K$1779)</f>
        <v/>
      </c>
      <c r="V1776">
        <f>IF([2]Entry!$L$1779="","",[2]Entry!$L$1779)</f>
        <v/>
      </c>
      <c r="W1776">
        <f>IF([2]Entry!$M$1779="","",[2]Entry!$M$1779)</f>
        <v/>
      </c>
      <c r="X1776">
        <f>IF([2]Entry!$N$1779="","",[2]Entry!$N$1779)</f>
        <v/>
      </c>
      <c r="Y1776">
        <f>IF([2]Entry!$R$1779="","",[2]Entry!$R$1779)</f>
        <v/>
      </c>
    </row>
    <row r="1777">
      <c r="P1777">
        <f>IF([2]Entry!$C$1780="","",[2]Entry!$C$1780)</f>
        <v/>
      </c>
      <c r="Q1777">
        <f>IF([2]Entry!$D$1780="","",[2]Entry!$D$1780)</f>
        <v/>
      </c>
      <c r="R1777">
        <f>IF([2]Entry!$E$1780="","",[2]Entry!$E$1780)</f>
        <v/>
      </c>
      <c r="S1777">
        <f>IF([2]Entry!$G$1780="","",[2]Entry!$G$1780)</f>
        <v/>
      </c>
      <c r="T1777">
        <f>IF([2]Entry!$J$1780="","",[2]Entry!$J$1780)</f>
        <v/>
      </c>
      <c r="U1777">
        <f>IF([2]Entry!$K$1780="","",[2]Entry!$K$1780)</f>
        <v/>
      </c>
      <c r="V1777">
        <f>IF([2]Entry!$L$1780="","",[2]Entry!$L$1780)</f>
        <v/>
      </c>
      <c r="W1777">
        <f>IF([2]Entry!$M$1780="","",[2]Entry!$M$1780)</f>
        <v/>
      </c>
      <c r="X1777">
        <f>IF([2]Entry!$N$1780="","",[2]Entry!$N$1780)</f>
        <v/>
      </c>
      <c r="Y1777">
        <f>IF([2]Entry!$R$1780="","",[2]Entry!$R$1780)</f>
        <v/>
      </c>
    </row>
    <row r="1778">
      <c r="P1778">
        <f>IF([2]Entry!$C$1781="","",[2]Entry!$C$1781)</f>
        <v/>
      </c>
      <c r="Q1778">
        <f>IF([2]Entry!$D$1781="","",[2]Entry!$D$1781)</f>
        <v/>
      </c>
      <c r="R1778">
        <f>IF([2]Entry!$E$1781="","",[2]Entry!$E$1781)</f>
        <v/>
      </c>
      <c r="S1778">
        <f>IF([2]Entry!$G$1781="","",[2]Entry!$G$1781)</f>
        <v/>
      </c>
      <c r="T1778">
        <f>IF([2]Entry!$J$1781="","",[2]Entry!$J$1781)</f>
        <v/>
      </c>
      <c r="U1778">
        <f>IF([2]Entry!$K$1781="","",[2]Entry!$K$1781)</f>
        <v/>
      </c>
      <c r="V1778">
        <f>IF([2]Entry!$L$1781="","",[2]Entry!$L$1781)</f>
        <v/>
      </c>
      <c r="W1778">
        <f>IF([2]Entry!$M$1781="","",[2]Entry!$M$1781)</f>
        <v/>
      </c>
      <c r="X1778">
        <f>IF([2]Entry!$N$1781="","",[2]Entry!$N$1781)</f>
        <v/>
      </c>
      <c r="Y1778">
        <f>IF([2]Entry!$R$1781="","",[2]Entry!$R$1781)</f>
        <v/>
      </c>
    </row>
    <row r="1779">
      <c r="P1779">
        <f>IF([2]Entry!$C$1782="","",[2]Entry!$C$1782)</f>
        <v/>
      </c>
      <c r="Q1779">
        <f>IF([2]Entry!$D$1782="","",[2]Entry!$D$1782)</f>
        <v/>
      </c>
      <c r="R1779">
        <f>IF([2]Entry!$E$1782="","",[2]Entry!$E$1782)</f>
        <v/>
      </c>
      <c r="S1779">
        <f>IF([2]Entry!$G$1782="","",[2]Entry!$G$1782)</f>
        <v/>
      </c>
      <c r="T1779">
        <f>IF([2]Entry!$J$1782="","",[2]Entry!$J$1782)</f>
        <v/>
      </c>
      <c r="U1779">
        <f>IF([2]Entry!$K$1782="","",[2]Entry!$K$1782)</f>
        <v/>
      </c>
      <c r="V1779">
        <f>IF([2]Entry!$L$1782="","",[2]Entry!$L$1782)</f>
        <v/>
      </c>
      <c r="W1779">
        <f>IF([2]Entry!$M$1782="","",[2]Entry!$M$1782)</f>
        <v/>
      </c>
      <c r="X1779">
        <f>IF([2]Entry!$N$1782="","",[2]Entry!$N$1782)</f>
        <v/>
      </c>
      <c r="Y1779">
        <f>IF([2]Entry!$R$1782="","",[2]Entry!$R$1782)</f>
        <v/>
      </c>
    </row>
    <row r="1780">
      <c r="P1780">
        <f>IF([2]Entry!$C$1783="","",[2]Entry!$C$1783)</f>
        <v/>
      </c>
      <c r="Q1780">
        <f>IF([2]Entry!$D$1783="","",[2]Entry!$D$1783)</f>
        <v/>
      </c>
      <c r="R1780">
        <f>IF([2]Entry!$E$1783="","",[2]Entry!$E$1783)</f>
        <v/>
      </c>
      <c r="S1780">
        <f>IF([2]Entry!$G$1783="","",[2]Entry!$G$1783)</f>
        <v/>
      </c>
      <c r="T1780">
        <f>IF([2]Entry!$J$1783="","",[2]Entry!$J$1783)</f>
        <v/>
      </c>
      <c r="U1780">
        <f>IF([2]Entry!$K$1783="","",[2]Entry!$K$1783)</f>
        <v/>
      </c>
      <c r="V1780">
        <f>IF([2]Entry!$L$1783="","",[2]Entry!$L$1783)</f>
        <v/>
      </c>
      <c r="W1780">
        <f>IF([2]Entry!$M$1783="","",[2]Entry!$M$1783)</f>
        <v/>
      </c>
      <c r="X1780">
        <f>IF([2]Entry!$N$1783="","",[2]Entry!$N$1783)</f>
        <v/>
      </c>
      <c r="Y1780">
        <f>IF([2]Entry!$R$1783="","",[2]Entry!$R$1783)</f>
        <v/>
      </c>
    </row>
    <row r="1781">
      <c r="P1781">
        <f>IF([2]Entry!$C$1784="","",[2]Entry!$C$1784)</f>
        <v/>
      </c>
      <c r="Q1781">
        <f>IF([2]Entry!$D$1784="","",[2]Entry!$D$1784)</f>
        <v/>
      </c>
      <c r="R1781">
        <f>IF([2]Entry!$E$1784="","",[2]Entry!$E$1784)</f>
        <v/>
      </c>
      <c r="S1781">
        <f>IF([2]Entry!$G$1784="","",[2]Entry!$G$1784)</f>
        <v/>
      </c>
      <c r="T1781">
        <f>IF([2]Entry!$J$1784="","",[2]Entry!$J$1784)</f>
        <v/>
      </c>
      <c r="U1781">
        <f>IF([2]Entry!$K$1784="","",[2]Entry!$K$1784)</f>
        <v/>
      </c>
      <c r="V1781">
        <f>IF([2]Entry!$L$1784="","",[2]Entry!$L$1784)</f>
        <v/>
      </c>
      <c r="W1781">
        <f>IF([2]Entry!$M$1784="","",[2]Entry!$M$1784)</f>
        <v/>
      </c>
      <c r="X1781">
        <f>IF([2]Entry!$N$1784="","",[2]Entry!$N$1784)</f>
        <v/>
      </c>
      <c r="Y1781">
        <f>IF([2]Entry!$R$1784="","",[2]Entry!$R$1784)</f>
        <v/>
      </c>
    </row>
    <row r="1782">
      <c r="P1782">
        <f>IF([2]Entry!$C$1785="","",[2]Entry!$C$1785)</f>
        <v/>
      </c>
      <c r="Q1782">
        <f>IF([2]Entry!$D$1785="","",[2]Entry!$D$1785)</f>
        <v/>
      </c>
      <c r="R1782">
        <f>IF([2]Entry!$E$1785="","",[2]Entry!$E$1785)</f>
        <v/>
      </c>
      <c r="S1782">
        <f>IF([2]Entry!$G$1785="","",[2]Entry!$G$1785)</f>
        <v/>
      </c>
      <c r="T1782">
        <f>IF([2]Entry!$J$1785="","",[2]Entry!$J$1785)</f>
        <v/>
      </c>
      <c r="U1782">
        <f>IF([2]Entry!$K$1785="","",[2]Entry!$K$1785)</f>
        <v/>
      </c>
      <c r="V1782">
        <f>IF([2]Entry!$L$1785="","",[2]Entry!$L$1785)</f>
        <v/>
      </c>
      <c r="W1782">
        <f>IF([2]Entry!$M$1785="","",[2]Entry!$M$1785)</f>
        <v/>
      </c>
      <c r="X1782">
        <f>IF([2]Entry!$N$1785="","",[2]Entry!$N$1785)</f>
        <v/>
      </c>
      <c r="Y1782">
        <f>IF([2]Entry!$R$1785="","",[2]Entry!$R$1785)</f>
        <v/>
      </c>
    </row>
    <row r="1783">
      <c r="P1783">
        <f>IF([2]Entry!$C$1786="","",[2]Entry!$C$1786)</f>
        <v/>
      </c>
      <c r="Q1783">
        <f>IF([2]Entry!$D$1786="","",[2]Entry!$D$1786)</f>
        <v/>
      </c>
      <c r="R1783">
        <f>IF([2]Entry!$E$1786="","",[2]Entry!$E$1786)</f>
        <v/>
      </c>
      <c r="S1783">
        <f>IF([2]Entry!$G$1786="","",[2]Entry!$G$1786)</f>
        <v/>
      </c>
      <c r="T1783">
        <f>IF([2]Entry!$J$1786="","",[2]Entry!$J$1786)</f>
        <v/>
      </c>
      <c r="U1783">
        <f>IF([2]Entry!$K$1786="","",[2]Entry!$K$1786)</f>
        <v/>
      </c>
      <c r="V1783">
        <f>IF([2]Entry!$L$1786="","",[2]Entry!$L$1786)</f>
        <v/>
      </c>
      <c r="W1783">
        <f>IF([2]Entry!$M$1786="","",[2]Entry!$M$1786)</f>
        <v/>
      </c>
      <c r="X1783">
        <f>IF([2]Entry!$N$1786="","",[2]Entry!$N$1786)</f>
        <v/>
      </c>
      <c r="Y1783">
        <f>IF([2]Entry!$R$1786="","",[2]Entry!$R$1786)</f>
        <v/>
      </c>
    </row>
    <row r="1784">
      <c r="P1784">
        <f>IF([2]Entry!$C$1787="","",[2]Entry!$C$1787)</f>
        <v/>
      </c>
      <c r="Q1784">
        <f>IF([2]Entry!$D$1787="","",[2]Entry!$D$1787)</f>
        <v/>
      </c>
      <c r="R1784">
        <f>IF([2]Entry!$E$1787="","",[2]Entry!$E$1787)</f>
        <v/>
      </c>
      <c r="S1784">
        <f>IF([2]Entry!$G$1787="","",[2]Entry!$G$1787)</f>
        <v/>
      </c>
      <c r="T1784">
        <f>IF([2]Entry!$J$1787="","",[2]Entry!$J$1787)</f>
        <v/>
      </c>
      <c r="U1784">
        <f>IF([2]Entry!$K$1787="","",[2]Entry!$K$1787)</f>
        <v/>
      </c>
      <c r="V1784">
        <f>IF([2]Entry!$L$1787="","",[2]Entry!$L$1787)</f>
        <v/>
      </c>
      <c r="W1784">
        <f>IF([2]Entry!$M$1787="","",[2]Entry!$M$1787)</f>
        <v/>
      </c>
      <c r="X1784">
        <f>IF([2]Entry!$N$1787="","",[2]Entry!$N$1787)</f>
        <v/>
      </c>
      <c r="Y1784">
        <f>IF([2]Entry!$R$1787="","",[2]Entry!$R$1787)</f>
        <v/>
      </c>
    </row>
    <row r="1785">
      <c r="P1785">
        <f>IF([2]Entry!$C$1788="","",[2]Entry!$C$1788)</f>
        <v/>
      </c>
      <c r="Q1785">
        <f>IF([2]Entry!$D$1788="","",[2]Entry!$D$1788)</f>
        <v/>
      </c>
      <c r="R1785">
        <f>IF([2]Entry!$E$1788="","",[2]Entry!$E$1788)</f>
        <v/>
      </c>
      <c r="S1785">
        <f>IF([2]Entry!$G$1788="","",[2]Entry!$G$1788)</f>
        <v/>
      </c>
      <c r="T1785">
        <f>IF([2]Entry!$J$1788="","",[2]Entry!$J$1788)</f>
        <v/>
      </c>
      <c r="U1785">
        <f>IF([2]Entry!$K$1788="","",[2]Entry!$K$1788)</f>
        <v/>
      </c>
      <c r="V1785">
        <f>IF([2]Entry!$L$1788="","",[2]Entry!$L$1788)</f>
        <v/>
      </c>
      <c r="W1785">
        <f>IF([2]Entry!$M$1788="","",[2]Entry!$M$1788)</f>
        <v/>
      </c>
      <c r="X1785">
        <f>IF([2]Entry!$N$1788="","",[2]Entry!$N$1788)</f>
        <v/>
      </c>
      <c r="Y1785">
        <f>IF([2]Entry!$R$1788="","",[2]Entry!$R$1788)</f>
        <v/>
      </c>
    </row>
    <row r="1786">
      <c r="P1786">
        <f>IF([2]Entry!$C$1789="","",[2]Entry!$C$1789)</f>
        <v/>
      </c>
      <c r="Q1786">
        <f>IF([2]Entry!$D$1789="","",[2]Entry!$D$1789)</f>
        <v/>
      </c>
      <c r="R1786">
        <f>IF([2]Entry!$E$1789="","",[2]Entry!$E$1789)</f>
        <v/>
      </c>
      <c r="S1786">
        <f>IF([2]Entry!$G$1789="","",[2]Entry!$G$1789)</f>
        <v/>
      </c>
      <c r="T1786">
        <f>IF([2]Entry!$J$1789="","",[2]Entry!$J$1789)</f>
        <v/>
      </c>
      <c r="U1786">
        <f>IF([2]Entry!$K$1789="","",[2]Entry!$K$1789)</f>
        <v/>
      </c>
      <c r="V1786">
        <f>IF([2]Entry!$L$1789="","",[2]Entry!$L$1789)</f>
        <v/>
      </c>
      <c r="W1786">
        <f>IF([2]Entry!$M$1789="","",[2]Entry!$M$1789)</f>
        <v/>
      </c>
      <c r="X1786">
        <f>IF([2]Entry!$N$1789="","",[2]Entry!$N$1789)</f>
        <v/>
      </c>
      <c r="Y1786">
        <f>IF([2]Entry!$R$1789="","",[2]Entry!$R$1789)</f>
        <v/>
      </c>
    </row>
    <row r="1787">
      <c r="P1787">
        <f>IF([2]Entry!$C$1790="","",[2]Entry!$C$1790)</f>
        <v/>
      </c>
      <c r="Q1787">
        <f>IF([2]Entry!$D$1790="","",[2]Entry!$D$1790)</f>
        <v/>
      </c>
      <c r="R1787">
        <f>IF([2]Entry!$E$1790="","",[2]Entry!$E$1790)</f>
        <v/>
      </c>
      <c r="S1787">
        <f>IF([2]Entry!$G$1790="","",[2]Entry!$G$1790)</f>
        <v/>
      </c>
      <c r="T1787">
        <f>IF([2]Entry!$J$1790="","",[2]Entry!$J$1790)</f>
        <v/>
      </c>
      <c r="U1787">
        <f>IF([2]Entry!$K$1790="","",[2]Entry!$K$1790)</f>
        <v/>
      </c>
      <c r="V1787">
        <f>IF([2]Entry!$L$1790="","",[2]Entry!$L$1790)</f>
        <v/>
      </c>
      <c r="W1787">
        <f>IF([2]Entry!$M$1790="","",[2]Entry!$M$1790)</f>
        <v/>
      </c>
      <c r="X1787">
        <f>IF([2]Entry!$N$1790="","",[2]Entry!$N$1790)</f>
        <v/>
      </c>
      <c r="Y1787">
        <f>IF([2]Entry!$R$1790="","",[2]Entry!$R$1790)</f>
        <v/>
      </c>
    </row>
    <row r="1788">
      <c r="P1788">
        <f>IF([2]Entry!$C$1791="","",[2]Entry!$C$1791)</f>
        <v/>
      </c>
      <c r="Q1788">
        <f>IF([2]Entry!$D$1791="","",[2]Entry!$D$1791)</f>
        <v/>
      </c>
      <c r="R1788">
        <f>IF([2]Entry!$E$1791="","",[2]Entry!$E$1791)</f>
        <v/>
      </c>
      <c r="S1788">
        <f>IF([2]Entry!$G$1791="","",[2]Entry!$G$1791)</f>
        <v/>
      </c>
      <c r="T1788">
        <f>IF([2]Entry!$J$1791="","",[2]Entry!$J$1791)</f>
        <v/>
      </c>
      <c r="U1788">
        <f>IF([2]Entry!$K$1791="","",[2]Entry!$K$1791)</f>
        <v/>
      </c>
      <c r="V1788">
        <f>IF([2]Entry!$L$1791="","",[2]Entry!$L$1791)</f>
        <v/>
      </c>
      <c r="W1788">
        <f>IF([2]Entry!$M$1791="","",[2]Entry!$M$1791)</f>
        <v/>
      </c>
      <c r="X1788">
        <f>IF([2]Entry!$N$1791="","",[2]Entry!$N$1791)</f>
        <v/>
      </c>
      <c r="Y1788">
        <f>IF([2]Entry!$R$1791="","",[2]Entry!$R$1791)</f>
        <v/>
      </c>
    </row>
    <row r="1789">
      <c r="P1789">
        <f>IF([2]Entry!$C$1792="","",[2]Entry!$C$1792)</f>
        <v/>
      </c>
      <c r="Q1789">
        <f>IF([2]Entry!$D$1792="","",[2]Entry!$D$1792)</f>
        <v/>
      </c>
      <c r="R1789">
        <f>IF([2]Entry!$E$1792="","",[2]Entry!$E$1792)</f>
        <v/>
      </c>
      <c r="S1789">
        <f>IF([2]Entry!$G$1792="","",[2]Entry!$G$1792)</f>
        <v/>
      </c>
      <c r="T1789">
        <f>IF([2]Entry!$J$1792="","",[2]Entry!$J$1792)</f>
        <v/>
      </c>
      <c r="U1789">
        <f>IF([2]Entry!$K$1792="","",[2]Entry!$K$1792)</f>
        <v/>
      </c>
      <c r="V1789">
        <f>IF([2]Entry!$L$1792="","",[2]Entry!$L$1792)</f>
        <v/>
      </c>
      <c r="W1789">
        <f>IF([2]Entry!$M$1792="","",[2]Entry!$M$1792)</f>
        <v/>
      </c>
      <c r="X1789">
        <f>IF([2]Entry!$N$1792="","",[2]Entry!$N$1792)</f>
        <v/>
      </c>
      <c r="Y1789">
        <f>IF([2]Entry!$R$1792="","",[2]Entry!$R$1792)</f>
        <v/>
      </c>
    </row>
    <row r="1790">
      <c r="P1790">
        <f>IF([2]Entry!$C$1793="","",[2]Entry!$C$1793)</f>
        <v/>
      </c>
      <c r="Q1790">
        <f>IF([2]Entry!$D$1793="","",[2]Entry!$D$1793)</f>
        <v/>
      </c>
      <c r="R1790">
        <f>IF([2]Entry!$E$1793="","",[2]Entry!$E$1793)</f>
        <v/>
      </c>
      <c r="S1790">
        <f>IF([2]Entry!$G$1793="","",[2]Entry!$G$1793)</f>
        <v/>
      </c>
      <c r="T1790">
        <f>IF([2]Entry!$J$1793="","",[2]Entry!$J$1793)</f>
        <v/>
      </c>
      <c r="U1790">
        <f>IF([2]Entry!$K$1793="","",[2]Entry!$K$1793)</f>
        <v/>
      </c>
      <c r="V1790">
        <f>IF([2]Entry!$L$1793="","",[2]Entry!$L$1793)</f>
        <v/>
      </c>
      <c r="W1790">
        <f>IF([2]Entry!$M$1793="","",[2]Entry!$M$1793)</f>
        <v/>
      </c>
      <c r="X1790">
        <f>IF([2]Entry!$N$1793="","",[2]Entry!$N$1793)</f>
        <v/>
      </c>
      <c r="Y1790">
        <f>IF([2]Entry!$R$1793="","",[2]Entry!$R$1793)</f>
        <v/>
      </c>
    </row>
    <row r="1791">
      <c r="P1791">
        <f>IF([2]Entry!$C$1794="","",[2]Entry!$C$1794)</f>
        <v/>
      </c>
      <c r="Q1791">
        <f>IF([2]Entry!$D$1794="","",[2]Entry!$D$1794)</f>
        <v/>
      </c>
      <c r="R1791">
        <f>IF([2]Entry!$E$1794="","",[2]Entry!$E$1794)</f>
        <v/>
      </c>
      <c r="S1791">
        <f>IF([2]Entry!$G$1794="","",[2]Entry!$G$1794)</f>
        <v/>
      </c>
      <c r="T1791">
        <f>IF([2]Entry!$J$1794="","",[2]Entry!$J$1794)</f>
        <v/>
      </c>
      <c r="U1791">
        <f>IF([2]Entry!$K$1794="","",[2]Entry!$K$1794)</f>
        <v/>
      </c>
      <c r="V1791">
        <f>IF([2]Entry!$L$1794="","",[2]Entry!$L$1794)</f>
        <v/>
      </c>
      <c r="W1791">
        <f>IF([2]Entry!$M$1794="","",[2]Entry!$M$1794)</f>
        <v/>
      </c>
      <c r="X1791">
        <f>IF([2]Entry!$N$1794="","",[2]Entry!$N$1794)</f>
        <v/>
      </c>
      <c r="Y1791">
        <f>IF([2]Entry!$R$1794="","",[2]Entry!$R$1794)</f>
        <v/>
      </c>
    </row>
    <row r="1792">
      <c r="P1792">
        <f>IF([2]Entry!$C$1795="","",[2]Entry!$C$1795)</f>
        <v/>
      </c>
      <c r="Q1792">
        <f>IF([2]Entry!$D$1795="","",[2]Entry!$D$1795)</f>
        <v/>
      </c>
      <c r="R1792">
        <f>IF([2]Entry!$E$1795="","",[2]Entry!$E$1795)</f>
        <v/>
      </c>
      <c r="S1792">
        <f>IF([2]Entry!$G$1795="","",[2]Entry!$G$1795)</f>
        <v/>
      </c>
      <c r="T1792">
        <f>IF([2]Entry!$J$1795="","",[2]Entry!$J$1795)</f>
        <v/>
      </c>
      <c r="U1792">
        <f>IF([2]Entry!$K$1795="","",[2]Entry!$K$1795)</f>
        <v/>
      </c>
      <c r="V1792">
        <f>IF([2]Entry!$L$1795="","",[2]Entry!$L$1795)</f>
        <v/>
      </c>
      <c r="W1792">
        <f>IF([2]Entry!$M$1795="","",[2]Entry!$M$1795)</f>
        <v/>
      </c>
      <c r="X1792">
        <f>IF([2]Entry!$N$1795="","",[2]Entry!$N$1795)</f>
        <v/>
      </c>
      <c r="Y1792">
        <f>IF([2]Entry!$R$1795="","",[2]Entry!$R$1795)</f>
        <v/>
      </c>
    </row>
    <row r="1793">
      <c r="P1793">
        <f>IF([2]Entry!$C$1796="","",[2]Entry!$C$1796)</f>
        <v/>
      </c>
      <c r="Q1793">
        <f>IF([2]Entry!$D$1796="","",[2]Entry!$D$1796)</f>
        <v/>
      </c>
      <c r="R1793">
        <f>IF([2]Entry!$E$1796="","",[2]Entry!$E$1796)</f>
        <v/>
      </c>
      <c r="S1793">
        <f>IF([2]Entry!$G$1796="","",[2]Entry!$G$1796)</f>
        <v/>
      </c>
      <c r="T1793">
        <f>IF([2]Entry!$J$1796="","",[2]Entry!$J$1796)</f>
        <v/>
      </c>
      <c r="U1793">
        <f>IF([2]Entry!$K$1796="","",[2]Entry!$K$1796)</f>
        <v/>
      </c>
      <c r="V1793">
        <f>IF([2]Entry!$L$1796="","",[2]Entry!$L$1796)</f>
        <v/>
      </c>
      <c r="W1793">
        <f>IF([2]Entry!$M$1796="","",[2]Entry!$M$1796)</f>
        <v/>
      </c>
      <c r="X1793">
        <f>IF([2]Entry!$N$1796="","",[2]Entry!$N$1796)</f>
        <v/>
      </c>
      <c r="Y1793">
        <f>IF([2]Entry!$R$1796="","",[2]Entry!$R$1796)</f>
        <v/>
      </c>
    </row>
    <row r="1794">
      <c r="P1794">
        <f>IF([2]Entry!$C$1797="","",[2]Entry!$C$1797)</f>
        <v/>
      </c>
      <c r="Q1794">
        <f>IF([2]Entry!$D$1797="","",[2]Entry!$D$1797)</f>
        <v/>
      </c>
      <c r="R1794">
        <f>IF([2]Entry!$E$1797="","",[2]Entry!$E$1797)</f>
        <v/>
      </c>
      <c r="S1794">
        <f>IF([2]Entry!$G$1797="","",[2]Entry!$G$1797)</f>
        <v/>
      </c>
      <c r="T1794">
        <f>IF([2]Entry!$J$1797="","",[2]Entry!$J$1797)</f>
        <v/>
      </c>
      <c r="U1794">
        <f>IF([2]Entry!$K$1797="","",[2]Entry!$K$1797)</f>
        <v/>
      </c>
      <c r="V1794">
        <f>IF([2]Entry!$L$1797="","",[2]Entry!$L$1797)</f>
        <v/>
      </c>
      <c r="W1794">
        <f>IF([2]Entry!$M$1797="","",[2]Entry!$M$1797)</f>
        <v/>
      </c>
      <c r="X1794">
        <f>IF([2]Entry!$N$1797="","",[2]Entry!$N$1797)</f>
        <v/>
      </c>
      <c r="Y1794">
        <f>IF([2]Entry!$R$1797="","",[2]Entry!$R$1797)</f>
        <v/>
      </c>
    </row>
    <row r="1795">
      <c r="P1795">
        <f>IF([2]Entry!$C$1798="","",[2]Entry!$C$1798)</f>
        <v/>
      </c>
      <c r="Q1795">
        <f>IF([2]Entry!$D$1798="","",[2]Entry!$D$1798)</f>
        <v/>
      </c>
      <c r="R1795">
        <f>IF([2]Entry!$E$1798="","",[2]Entry!$E$1798)</f>
        <v/>
      </c>
      <c r="S1795">
        <f>IF([2]Entry!$G$1798="","",[2]Entry!$G$1798)</f>
        <v/>
      </c>
      <c r="T1795">
        <f>IF([2]Entry!$J$1798="","",[2]Entry!$J$1798)</f>
        <v/>
      </c>
      <c r="U1795">
        <f>IF([2]Entry!$K$1798="","",[2]Entry!$K$1798)</f>
        <v/>
      </c>
      <c r="V1795">
        <f>IF([2]Entry!$L$1798="","",[2]Entry!$L$1798)</f>
        <v/>
      </c>
      <c r="W1795">
        <f>IF([2]Entry!$M$1798="","",[2]Entry!$M$1798)</f>
        <v/>
      </c>
      <c r="X1795">
        <f>IF([2]Entry!$N$1798="","",[2]Entry!$N$1798)</f>
        <v/>
      </c>
      <c r="Y1795">
        <f>IF([2]Entry!$R$1798="","",[2]Entry!$R$1798)</f>
        <v/>
      </c>
    </row>
    <row r="1796">
      <c r="P1796">
        <f>IF([2]Entry!$C$1799="","",[2]Entry!$C$1799)</f>
        <v/>
      </c>
      <c r="Q1796">
        <f>IF([2]Entry!$D$1799="","",[2]Entry!$D$1799)</f>
        <v/>
      </c>
      <c r="R1796">
        <f>IF([2]Entry!$E$1799="","",[2]Entry!$E$1799)</f>
        <v/>
      </c>
      <c r="S1796">
        <f>IF([2]Entry!$G$1799="","",[2]Entry!$G$1799)</f>
        <v/>
      </c>
      <c r="T1796">
        <f>IF([2]Entry!$J$1799="","",[2]Entry!$J$1799)</f>
        <v/>
      </c>
      <c r="U1796">
        <f>IF([2]Entry!$K$1799="","",[2]Entry!$K$1799)</f>
        <v/>
      </c>
      <c r="V1796">
        <f>IF([2]Entry!$L$1799="","",[2]Entry!$L$1799)</f>
        <v/>
      </c>
      <c r="W1796">
        <f>IF([2]Entry!$M$1799="","",[2]Entry!$M$1799)</f>
        <v/>
      </c>
      <c r="X1796">
        <f>IF([2]Entry!$N$1799="","",[2]Entry!$N$1799)</f>
        <v/>
      </c>
      <c r="Y1796">
        <f>IF([2]Entry!$R$1799="","",[2]Entry!$R$1799)</f>
        <v/>
      </c>
    </row>
    <row r="1797">
      <c r="P1797">
        <f>IF([2]Entry!$C$1800="","",[2]Entry!$C$1800)</f>
        <v/>
      </c>
      <c r="Q1797">
        <f>IF([2]Entry!$D$1800="","",[2]Entry!$D$1800)</f>
        <v/>
      </c>
      <c r="R1797">
        <f>IF([2]Entry!$E$1800="","",[2]Entry!$E$1800)</f>
        <v/>
      </c>
      <c r="S1797">
        <f>IF([2]Entry!$G$1800="","",[2]Entry!$G$1800)</f>
        <v/>
      </c>
      <c r="T1797">
        <f>IF([2]Entry!$J$1800="","",[2]Entry!$J$1800)</f>
        <v/>
      </c>
      <c r="U1797">
        <f>IF([2]Entry!$K$1800="","",[2]Entry!$K$1800)</f>
        <v/>
      </c>
      <c r="V1797">
        <f>IF([2]Entry!$L$1800="","",[2]Entry!$L$1800)</f>
        <v/>
      </c>
      <c r="W1797">
        <f>IF([2]Entry!$M$1800="","",[2]Entry!$M$1800)</f>
        <v/>
      </c>
      <c r="X1797">
        <f>IF([2]Entry!$N$1800="","",[2]Entry!$N$1800)</f>
        <v/>
      </c>
      <c r="Y1797">
        <f>IF([2]Entry!$R$1800="","",[2]Entry!$R$1800)</f>
        <v/>
      </c>
    </row>
    <row r="1798">
      <c r="P1798">
        <f>IF([2]Entry!$C$1801="","",[2]Entry!$C$1801)</f>
        <v/>
      </c>
      <c r="Q1798">
        <f>IF([2]Entry!$D$1801="","",[2]Entry!$D$1801)</f>
        <v/>
      </c>
      <c r="R1798">
        <f>IF([2]Entry!$E$1801="","",[2]Entry!$E$1801)</f>
        <v/>
      </c>
      <c r="S1798">
        <f>IF([2]Entry!$G$1801="","",[2]Entry!$G$1801)</f>
        <v/>
      </c>
      <c r="T1798">
        <f>IF([2]Entry!$J$1801="","",[2]Entry!$J$1801)</f>
        <v/>
      </c>
      <c r="U1798">
        <f>IF([2]Entry!$K$1801="","",[2]Entry!$K$1801)</f>
        <v/>
      </c>
      <c r="V1798">
        <f>IF([2]Entry!$L$1801="","",[2]Entry!$L$1801)</f>
        <v/>
      </c>
      <c r="W1798">
        <f>IF([2]Entry!$M$1801="","",[2]Entry!$M$1801)</f>
        <v/>
      </c>
      <c r="X1798">
        <f>IF([2]Entry!$N$1801="","",[2]Entry!$N$1801)</f>
        <v/>
      </c>
      <c r="Y1798">
        <f>IF([2]Entry!$R$1801="","",[2]Entry!$R$1801)</f>
        <v/>
      </c>
    </row>
    <row r="1799">
      <c r="P1799">
        <f>IF([2]Entry!$C$1802="","",[2]Entry!$C$1802)</f>
        <v/>
      </c>
      <c r="Q1799">
        <f>IF([2]Entry!$D$1802="","",[2]Entry!$D$1802)</f>
        <v/>
      </c>
      <c r="R1799">
        <f>IF([2]Entry!$E$1802="","",[2]Entry!$E$1802)</f>
        <v/>
      </c>
      <c r="S1799">
        <f>IF([2]Entry!$G$1802="","",[2]Entry!$G$1802)</f>
        <v/>
      </c>
      <c r="T1799">
        <f>IF([2]Entry!$J$1802="","",[2]Entry!$J$1802)</f>
        <v/>
      </c>
      <c r="U1799">
        <f>IF([2]Entry!$K$1802="","",[2]Entry!$K$1802)</f>
        <v/>
      </c>
      <c r="V1799">
        <f>IF([2]Entry!$L$1802="","",[2]Entry!$L$1802)</f>
        <v/>
      </c>
      <c r="W1799">
        <f>IF([2]Entry!$M$1802="","",[2]Entry!$M$1802)</f>
        <v/>
      </c>
      <c r="X1799">
        <f>IF([2]Entry!$N$1802="","",[2]Entry!$N$1802)</f>
        <v/>
      </c>
      <c r="Y1799">
        <f>IF([2]Entry!$R$1802="","",[2]Entry!$R$1802)</f>
        <v/>
      </c>
    </row>
    <row r="1800">
      <c r="P1800">
        <f>IF([2]Entry!$C$1803="","",[2]Entry!$C$1803)</f>
        <v/>
      </c>
      <c r="Q1800">
        <f>IF([2]Entry!$D$1803="","",[2]Entry!$D$1803)</f>
        <v/>
      </c>
      <c r="R1800">
        <f>IF([2]Entry!$E$1803="","",[2]Entry!$E$1803)</f>
        <v/>
      </c>
      <c r="S1800">
        <f>IF([2]Entry!$G$1803="","",[2]Entry!$G$1803)</f>
        <v/>
      </c>
      <c r="T1800">
        <f>IF([2]Entry!$J$1803="","",[2]Entry!$J$1803)</f>
        <v/>
      </c>
      <c r="U1800">
        <f>IF([2]Entry!$K$1803="","",[2]Entry!$K$1803)</f>
        <v/>
      </c>
      <c r="V1800">
        <f>IF([2]Entry!$L$1803="","",[2]Entry!$L$1803)</f>
        <v/>
      </c>
      <c r="W1800">
        <f>IF([2]Entry!$M$1803="","",[2]Entry!$M$1803)</f>
        <v/>
      </c>
      <c r="X1800">
        <f>IF([2]Entry!$N$1803="","",[2]Entry!$N$1803)</f>
        <v/>
      </c>
      <c r="Y1800">
        <f>IF([2]Entry!$R$1803="","",[2]Entry!$R$1803)</f>
        <v/>
      </c>
    </row>
    <row r="1801">
      <c r="P1801">
        <f>IF([2]Entry!$C$1804="","",[2]Entry!$C$1804)</f>
        <v/>
      </c>
      <c r="Q1801">
        <f>IF([2]Entry!$D$1804="","",[2]Entry!$D$1804)</f>
        <v/>
      </c>
      <c r="R1801">
        <f>IF([2]Entry!$E$1804="","",[2]Entry!$E$1804)</f>
        <v/>
      </c>
      <c r="S1801">
        <f>IF([2]Entry!$G$1804="","",[2]Entry!$G$1804)</f>
        <v/>
      </c>
      <c r="T1801">
        <f>IF([2]Entry!$J$1804="","",[2]Entry!$J$1804)</f>
        <v/>
      </c>
      <c r="U1801">
        <f>IF([2]Entry!$K$1804="","",[2]Entry!$K$1804)</f>
        <v/>
      </c>
      <c r="V1801">
        <f>IF([2]Entry!$L$1804="","",[2]Entry!$L$1804)</f>
        <v/>
      </c>
      <c r="W1801">
        <f>IF([2]Entry!$M$1804="","",[2]Entry!$M$1804)</f>
        <v/>
      </c>
      <c r="X1801">
        <f>IF([2]Entry!$N$1804="","",[2]Entry!$N$1804)</f>
        <v/>
      </c>
      <c r="Y1801">
        <f>IF([2]Entry!$R$1804="","",[2]Entry!$R$1804)</f>
        <v/>
      </c>
    </row>
    <row r="1802">
      <c r="P1802">
        <f>IF([2]Entry!$C$1805="","",[2]Entry!$C$1805)</f>
        <v/>
      </c>
      <c r="Q1802">
        <f>IF([2]Entry!$D$1805="","",[2]Entry!$D$1805)</f>
        <v/>
      </c>
      <c r="R1802">
        <f>IF([2]Entry!$E$1805="","",[2]Entry!$E$1805)</f>
        <v/>
      </c>
      <c r="S1802">
        <f>IF([2]Entry!$G$1805="","",[2]Entry!$G$1805)</f>
        <v/>
      </c>
      <c r="T1802">
        <f>IF([2]Entry!$J$1805="","",[2]Entry!$J$1805)</f>
        <v/>
      </c>
      <c r="U1802">
        <f>IF([2]Entry!$K$1805="","",[2]Entry!$K$1805)</f>
        <v/>
      </c>
      <c r="V1802">
        <f>IF([2]Entry!$L$1805="","",[2]Entry!$L$1805)</f>
        <v/>
      </c>
      <c r="W1802">
        <f>IF([2]Entry!$M$1805="","",[2]Entry!$M$1805)</f>
        <v/>
      </c>
      <c r="X1802">
        <f>IF([2]Entry!$N$1805="","",[2]Entry!$N$1805)</f>
        <v/>
      </c>
      <c r="Y1802">
        <f>IF([2]Entry!$R$1805="","",[2]Entry!$R$1805)</f>
        <v/>
      </c>
    </row>
    <row r="1803">
      <c r="P1803">
        <f>IF([2]Entry!$C$1806="","",[2]Entry!$C$1806)</f>
        <v/>
      </c>
      <c r="Q1803">
        <f>IF([2]Entry!$D$1806="","",[2]Entry!$D$1806)</f>
        <v/>
      </c>
      <c r="R1803">
        <f>IF([2]Entry!$E$1806="","",[2]Entry!$E$1806)</f>
        <v/>
      </c>
      <c r="S1803">
        <f>IF([2]Entry!$G$1806="","",[2]Entry!$G$1806)</f>
        <v/>
      </c>
      <c r="T1803">
        <f>IF([2]Entry!$J$1806="","",[2]Entry!$J$1806)</f>
        <v/>
      </c>
      <c r="U1803">
        <f>IF([2]Entry!$K$1806="","",[2]Entry!$K$1806)</f>
        <v/>
      </c>
      <c r="V1803">
        <f>IF([2]Entry!$L$1806="","",[2]Entry!$L$1806)</f>
        <v/>
      </c>
      <c r="W1803">
        <f>IF([2]Entry!$M$1806="","",[2]Entry!$M$1806)</f>
        <v/>
      </c>
      <c r="X1803">
        <f>IF([2]Entry!$N$1806="","",[2]Entry!$N$1806)</f>
        <v/>
      </c>
      <c r="Y1803">
        <f>IF([2]Entry!$R$1806="","",[2]Entry!$R$1806)</f>
        <v/>
      </c>
    </row>
    <row r="1804">
      <c r="P1804">
        <f>IF([2]Entry!$C$1807="","",[2]Entry!$C$1807)</f>
        <v/>
      </c>
      <c r="Q1804">
        <f>IF([2]Entry!$D$1807="","",[2]Entry!$D$1807)</f>
        <v/>
      </c>
      <c r="R1804">
        <f>IF([2]Entry!$E$1807="","",[2]Entry!$E$1807)</f>
        <v/>
      </c>
      <c r="S1804">
        <f>IF([2]Entry!$G$1807="","",[2]Entry!$G$1807)</f>
        <v/>
      </c>
      <c r="T1804">
        <f>IF([2]Entry!$J$1807="","",[2]Entry!$J$1807)</f>
        <v/>
      </c>
      <c r="U1804">
        <f>IF([2]Entry!$K$1807="","",[2]Entry!$K$1807)</f>
        <v/>
      </c>
      <c r="V1804">
        <f>IF([2]Entry!$L$1807="","",[2]Entry!$L$1807)</f>
        <v/>
      </c>
      <c r="W1804">
        <f>IF([2]Entry!$M$1807="","",[2]Entry!$M$1807)</f>
        <v/>
      </c>
      <c r="X1804">
        <f>IF([2]Entry!$N$1807="","",[2]Entry!$N$1807)</f>
        <v/>
      </c>
      <c r="Y1804">
        <f>IF([2]Entry!$R$1807="","",[2]Entry!$R$1807)</f>
        <v/>
      </c>
    </row>
    <row r="1805">
      <c r="P1805">
        <f>IF([2]Entry!$C$1808="","",[2]Entry!$C$1808)</f>
        <v/>
      </c>
      <c r="Q1805">
        <f>IF([2]Entry!$D$1808="","",[2]Entry!$D$1808)</f>
        <v/>
      </c>
      <c r="R1805">
        <f>IF([2]Entry!$E$1808="","",[2]Entry!$E$1808)</f>
        <v/>
      </c>
      <c r="S1805">
        <f>IF([2]Entry!$G$1808="","",[2]Entry!$G$1808)</f>
        <v/>
      </c>
      <c r="T1805">
        <f>IF([2]Entry!$J$1808="","",[2]Entry!$J$1808)</f>
        <v/>
      </c>
      <c r="U1805">
        <f>IF([2]Entry!$K$1808="","",[2]Entry!$K$1808)</f>
        <v/>
      </c>
      <c r="V1805">
        <f>IF([2]Entry!$L$1808="","",[2]Entry!$L$1808)</f>
        <v/>
      </c>
      <c r="W1805">
        <f>IF([2]Entry!$M$1808="","",[2]Entry!$M$1808)</f>
        <v/>
      </c>
      <c r="X1805">
        <f>IF([2]Entry!$N$1808="","",[2]Entry!$N$1808)</f>
        <v/>
      </c>
      <c r="Y1805">
        <f>IF([2]Entry!$R$1808="","",[2]Entry!$R$1808)</f>
        <v/>
      </c>
    </row>
    <row r="1806">
      <c r="P1806">
        <f>IF([2]Entry!$C$1809="","",[2]Entry!$C$1809)</f>
        <v/>
      </c>
      <c r="Q1806">
        <f>IF([2]Entry!$D$1809="","",[2]Entry!$D$1809)</f>
        <v/>
      </c>
      <c r="R1806">
        <f>IF([2]Entry!$E$1809="","",[2]Entry!$E$1809)</f>
        <v/>
      </c>
      <c r="S1806">
        <f>IF([2]Entry!$G$1809="","",[2]Entry!$G$1809)</f>
        <v/>
      </c>
      <c r="T1806">
        <f>IF([2]Entry!$J$1809="","",[2]Entry!$J$1809)</f>
        <v/>
      </c>
      <c r="U1806">
        <f>IF([2]Entry!$K$1809="","",[2]Entry!$K$1809)</f>
        <v/>
      </c>
      <c r="V1806">
        <f>IF([2]Entry!$L$1809="","",[2]Entry!$L$1809)</f>
        <v/>
      </c>
      <c r="W1806">
        <f>IF([2]Entry!$M$1809="","",[2]Entry!$M$1809)</f>
        <v/>
      </c>
      <c r="X1806">
        <f>IF([2]Entry!$N$1809="","",[2]Entry!$N$1809)</f>
        <v/>
      </c>
      <c r="Y1806">
        <f>IF([2]Entry!$R$1809="","",[2]Entry!$R$1809)</f>
        <v/>
      </c>
    </row>
    <row r="1807">
      <c r="P1807">
        <f>IF([2]Entry!$C$1810="","",[2]Entry!$C$1810)</f>
        <v/>
      </c>
      <c r="Q1807">
        <f>IF([2]Entry!$D$1810="","",[2]Entry!$D$1810)</f>
        <v/>
      </c>
      <c r="R1807">
        <f>IF([2]Entry!$E$1810="","",[2]Entry!$E$1810)</f>
        <v/>
      </c>
      <c r="S1807">
        <f>IF([2]Entry!$G$1810="","",[2]Entry!$G$1810)</f>
        <v/>
      </c>
      <c r="T1807">
        <f>IF([2]Entry!$J$1810="","",[2]Entry!$J$1810)</f>
        <v/>
      </c>
      <c r="U1807">
        <f>IF([2]Entry!$K$1810="","",[2]Entry!$K$1810)</f>
        <v/>
      </c>
      <c r="V1807">
        <f>IF([2]Entry!$L$1810="","",[2]Entry!$L$1810)</f>
        <v/>
      </c>
      <c r="W1807">
        <f>IF([2]Entry!$M$1810="","",[2]Entry!$M$1810)</f>
        <v/>
      </c>
      <c r="X1807">
        <f>IF([2]Entry!$N$1810="","",[2]Entry!$N$1810)</f>
        <v/>
      </c>
      <c r="Y1807">
        <f>IF([2]Entry!$R$1810="","",[2]Entry!$R$1810)</f>
        <v/>
      </c>
    </row>
    <row r="1808">
      <c r="P1808">
        <f>IF([2]Entry!$C$1811="","",[2]Entry!$C$1811)</f>
        <v/>
      </c>
      <c r="Q1808">
        <f>IF([2]Entry!$D$1811="","",[2]Entry!$D$1811)</f>
        <v/>
      </c>
      <c r="R1808">
        <f>IF([2]Entry!$E$1811="","",[2]Entry!$E$1811)</f>
        <v/>
      </c>
      <c r="S1808">
        <f>IF([2]Entry!$G$1811="","",[2]Entry!$G$1811)</f>
        <v/>
      </c>
      <c r="T1808">
        <f>IF([2]Entry!$J$1811="","",[2]Entry!$J$1811)</f>
        <v/>
      </c>
      <c r="U1808">
        <f>IF([2]Entry!$K$1811="","",[2]Entry!$K$1811)</f>
        <v/>
      </c>
      <c r="V1808">
        <f>IF([2]Entry!$L$1811="","",[2]Entry!$L$1811)</f>
        <v/>
      </c>
      <c r="W1808">
        <f>IF([2]Entry!$M$1811="","",[2]Entry!$M$1811)</f>
        <v/>
      </c>
      <c r="X1808">
        <f>IF([2]Entry!$N$1811="","",[2]Entry!$N$1811)</f>
        <v/>
      </c>
      <c r="Y1808">
        <f>IF([2]Entry!$R$1811="","",[2]Entry!$R$1811)</f>
        <v/>
      </c>
    </row>
    <row r="1809">
      <c r="P1809">
        <f>IF([2]Entry!$C$1812="","",[2]Entry!$C$1812)</f>
        <v/>
      </c>
      <c r="Q1809">
        <f>IF([2]Entry!$D$1812="","",[2]Entry!$D$1812)</f>
        <v/>
      </c>
      <c r="R1809">
        <f>IF([2]Entry!$E$1812="","",[2]Entry!$E$1812)</f>
        <v/>
      </c>
      <c r="S1809">
        <f>IF([2]Entry!$G$1812="","",[2]Entry!$G$1812)</f>
        <v/>
      </c>
      <c r="T1809">
        <f>IF([2]Entry!$J$1812="","",[2]Entry!$J$1812)</f>
        <v/>
      </c>
      <c r="U1809">
        <f>IF([2]Entry!$K$1812="","",[2]Entry!$K$1812)</f>
        <v/>
      </c>
      <c r="V1809">
        <f>IF([2]Entry!$L$1812="","",[2]Entry!$L$1812)</f>
        <v/>
      </c>
      <c r="W1809">
        <f>IF([2]Entry!$M$1812="","",[2]Entry!$M$1812)</f>
        <v/>
      </c>
      <c r="X1809">
        <f>IF([2]Entry!$N$1812="","",[2]Entry!$N$1812)</f>
        <v/>
      </c>
      <c r="Y1809">
        <f>IF([2]Entry!$R$1812="","",[2]Entry!$R$1812)</f>
        <v/>
      </c>
    </row>
    <row r="1810">
      <c r="P1810">
        <f>IF([2]Entry!$C$1813="","",[2]Entry!$C$1813)</f>
        <v/>
      </c>
      <c r="Q1810">
        <f>IF([2]Entry!$D$1813="","",[2]Entry!$D$1813)</f>
        <v/>
      </c>
      <c r="R1810">
        <f>IF([2]Entry!$E$1813="","",[2]Entry!$E$1813)</f>
        <v/>
      </c>
      <c r="S1810">
        <f>IF([2]Entry!$G$1813="","",[2]Entry!$G$1813)</f>
        <v/>
      </c>
      <c r="T1810">
        <f>IF([2]Entry!$J$1813="","",[2]Entry!$J$1813)</f>
        <v/>
      </c>
      <c r="U1810">
        <f>IF([2]Entry!$K$1813="","",[2]Entry!$K$1813)</f>
        <v/>
      </c>
      <c r="V1810">
        <f>IF([2]Entry!$L$1813="","",[2]Entry!$L$1813)</f>
        <v/>
      </c>
      <c r="W1810">
        <f>IF([2]Entry!$M$1813="","",[2]Entry!$M$1813)</f>
        <v/>
      </c>
      <c r="X1810">
        <f>IF([2]Entry!$N$1813="","",[2]Entry!$N$1813)</f>
        <v/>
      </c>
      <c r="Y1810">
        <f>IF([2]Entry!$R$1813="","",[2]Entry!$R$1813)</f>
        <v/>
      </c>
    </row>
    <row r="1811">
      <c r="P1811">
        <f>IF([2]Entry!$C$1814="","",[2]Entry!$C$1814)</f>
        <v/>
      </c>
      <c r="Q1811">
        <f>IF([2]Entry!$D$1814="","",[2]Entry!$D$1814)</f>
        <v/>
      </c>
      <c r="R1811">
        <f>IF([2]Entry!$E$1814="","",[2]Entry!$E$1814)</f>
        <v/>
      </c>
      <c r="S1811">
        <f>IF([2]Entry!$G$1814="","",[2]Entry!$G$1814)</f>
        <v/>
      </c>
      <c r="T1811">
        <f>IF([2]Entry!$J$1814="","",[2]Entry!$J$1814)</f>
        <v/>
      </c>
      <c r="U1811">
        <f>IF([2]Entry!$K$1814="","",[2]Entry!$K$1814)</f>
        <v/>
      </c>
      <c r="V1811">
        <f>IF([2]Entry!$L$1814="","",[2]Entry!$L$1814)</f>
        <v/>
      </c>
      <c r="W1811">
        <f>IF([2]Entry!$M$1814="","",[2]Entry!$M$1814)</f>
        <v/>
      </c>
      <c r="X1811">
        <f>IF([2]Entry!$N$1814="","",[2]Entry!$N$1814)</f>
        <v/>
      </c>
      <c r="Y1811">
        <f>IF([2]Entry!$R$1814="","",[2]Entry!$R$1814)</f>
        <v/>
      </c>
    </row>
    <row r="1812">
      <c r="P1812">
        <f>IF([2]Entry!$C$1815="","",[2]Entry!$C$1815)</f>
        <v/>
      </c>
      <c r="Q1812">
        <f>IF([2]Entry!$D$1815="","",[2]Entry!$D$1815)</f>
        <v/>
      </c>
      <c r="R1812">
        <f>IF([2]Entry!$E$1815="","",[2]Entry!$E$1815)</f>
        <v/>
      </c>
      <c r="S1812">
        <f>IF([2]Entry!$G$1815="","",[2]Entry!$G$1815)</f>
        <v/>
      </c>
      <c r="T1812">
        <f>IF([2]Entry!$J$1815="","",[2]Entry!$J$1815)</f>
        <v/>
      </c>
      <c r="U1812">
        <f>IF([2]Entry!$K$1815="","",[2]Entry!$K$1815)</f>
        <v/>
      </c>
      <c r="V1812">
        <f>IF([2]Entry!$L$1815="","",[2]Entry!$L$1815)</f>
        <v/>
      </c>
      <c r="W1812">
        <f>IF([2]Entry!$M$1815="","",[2]Entry!$M$1815)</f>
        <v/>
      </c>
      <c r="X1812">
        <f>IF([2]Entry!$N$1815="","",[2]Entry!$N$1815)</f>
        <v/>
      </c>
      <c r="Y1812">
        <f>IF([2]Entry!$R$1815="","",[2]Entry!$R$1815)</f>
        <v/>
      </c>
    </row>
    <row r="1813">
      <c r="P1813">
        <f>IF([2]Entry!$C$1816="","",[2]Entry!$C$1816)</f>
        <v/>
      </c>
      <c r="Q1813">
        <f>IF([2]Entry!$D$1816="","",[2]Entry!$D$1816)</f>
        <v/>
      </c>
      <c r="R1813">
        <f>IF([2]Entry!$E$1816="","",[2]Entry!$E$1816)</f>
        <v/>
      </c>
      <c r="S1813">
        <f>IF([2]Entry!$G$1816="","",[2]Entry!$G$1816)</f>
        <v/>
      </c>
      <c r="T1813">
        <f>IF([2]Entry!$J$1816="","",[2]Entry!$J$1816)</f>
        <v/>
      </c>
      <c r="U1813">
        <f>IF([2]Entry!$K$1816="","",[2]Entry!$K$1816)</f>
        <v/>
      </c>
      <c r="V1813">
        <f>IF([2]Entry!$L$1816="","",[2]Entry!$L$1816)</f>
        <v/>
      </c>
      <c r="W1813">
        <f>IF([2]Entry!$M$1816="","",[2]Entry!$M$1816)</f>
        <v/>
      </c>
      <c r="X1813">
        <f>IF([2]Entry!$N$1816="","",[2]Entry!$N$1816)</f>
        <v/>
      </c>
      <c r="Y1813">
        <f>IF([2]Entry!$R$1816="","",[2]Entry!$R$1816)</f>
        <v/>
      </c>
    </row>
    <row r="1814">
      <c r="P1814">
        <f>IF([2]Entry!$C$1817="","",[2]Entry!$C$1817)</f>
        <v/>
      </c>
      <c r="Q1814">
        <f>IF([2]Entry!$D$1817="","",[2]Entry!$D$1817)</f>
        <v/>
      </c>
      <c r="R1814">
        <f>IF([2]Entry!$E$1817="","",[2]Entry!$E$1817)</f>
        <v/>
      </c>
      <c r="S1814">
        <f>IF([2]Entry!$G$1817="","",[2]Entry!$G$1817)</f>
        <v/>
      </c>
      <c r="T1814">
        <f>IF([2]Entry!$J$1817="","",[2]Entry!$J$1817)</f>
        <v/>
      </c>
      <c r="U1814">
        <f>IF([2]Entry!$K$1817="","",[2]Entry!$K$1817)</f>
        <v/>
      </c>
      <c r="V1814">
        <f>IF([2]Entry!$L$1817="","",[2]Entry!$L$1817)</f>
        <v/>
      </c>
      <c r="W1814">
        <f>IF([2]Entry!$M$1817="","",[2]Entry!$M$1817)</f>
        <v/>
      </c>
      <c r="X1814">
        <f>IF([2]Entry!$N$1817="","",[2]Entry!$N$1817)</f>
        <v/>
      </c>
      <c r="Y1814">
        <f>IF([2]Entry!$R$1817="","",[2]Entry!$R$1817)</f>
        <v/>
      </c>
    </row>
    <row r="1815">
      <c r="P1815">
        <f>IF([2]Entry!$C$1818="","",[2]Entry!$C$1818)</f>
        <v/>
      </c>
      <c r="Q1815">
        <f>IF([2]Entry!$D$1818="","",[2]Entry!$D$1818)</f>
        <v/>
      </c>
      <c r="R1815">
        <f>IF([2]Entry!$E$1818="","",[2]Entry!$E$1818)</f>
        <v/>
      </c>
      <c r="S1815">
        <f>IF([2]Entry!$G$1818="","",[2]Entry!$G$1818)</f>
        <v/>
      </c>
      <c r="T1815">
        <f>IF([2]Entry!$J$1818="","",[2]Entry!$J$1818)</f>
        <v/>
      </c>
      <c r="U1815">
        <f>IF([2]Entry!$K$1818="","",[2]Entry!$K$1818)</f>
        <v/>
      </c>
      <c r="V1815">
        <f>IF([2]Entry!$L$1818="","",[2]Entry!$L$1818)</f>
        <v/>
      </c>
      <c r="W1815">
        <f>IF([2]Entry!$M$1818="","",[2]Entry!$M$1818)</f>
        <v/>
      </c>
      <c r="X1815">
        <f>IF([2]Entry!$N$1818="","",[2]Entry!$N$1818)</f>
        <v/>
      </c>
      <c r="Y1815">
        <f>IF([2]Entry!$R$1818="","",[2]Entry!$R$1818)</f>
        <v/>
      </c>
    </row>
    <row r="1816">
      <c r="P1816">
        <f>IF([2]Entry!$C$1819="","",[2]Entry!$C$1819)</f>
        <v/>
      </c>
      <c r="Q1816">
        <f>IF([2]Entry!$D$1819="","",[2]Entry!$D$1819)</f>
        <v/>
      </c>
      <c r="R1816">
        <f>IF([2]Entry!$E$1819="","",[2]Entry!$E$1819)</f>
        <v/>
      </c>
      <c r="S1816">
        <f>IF([2]Entry!$G$1819="","",[2]Entry!$G$1819)</f>
        <v/>
      </c>
      <c r="T1816">
        <f>IF([2]Entry!$J$1819="","",[2]Entry!$J$1819)</f>
        <v/>
      </c>
      <c r="U1816">
        <f>IF([2]Entry!$K$1819="","",[2]Entry!$K$1819)</f>
        <v/>
      </c>
      <c r="V1816">
        <f>IF([2]Entry!$L$1819="","",[2]Entry!$L$1819)</f>
        <v/>
      </c>
      <c r="W1816">
        <f>IF([2]Entry!$M$1819="","",[2]Entry!$M$1819)</f>
        <v/>
      </c>
      <c r="X1816">
        <f>IF([2]Entry!$N$1819="","",[2]Entry!$N$1819)</f>
        <v/>
      </c>
      <c r="Y1816">
        <f>IF([2]Entry!$R$1819="","",[2]Entry!$R$1819)</f>
        <v/>
      </c>
    </row>
    <row r="1817">
      <c r="P1817">
        <f>IF([2]Entry!$C$1820="","",[2]Entry!$C$1820)</f>
        <v/>
      </c>
      <c r="Q1817">
        <f>IF([2]Entry!$D$1820="","",[2]Entry!$D$1820)</f>
        <v/>
      </c>
      <c r="R1817">
        <f>IF([2]Entry!$E$1820="","",[2]Entry!$E$1820)</f>
        <v/>
      </c>
      <c r="S1817">
        <f>IF([2]Entry!$G$1820="","",[2]Entry!$G$1820)</f>
        <v/>
      </c>
      <c r="T1817">
        <f>IF([2]Entry!$J$1820="","",[2]Entry!$J$1820)</f>
        <v/>
      </c>
      <c r="U1817">
        <f>IF([2]Entry!$K$1820="","",[2]Entry!$K$1820)</f>
        <v/>
      </c>
      <c r="V1817">
        <f>IF([2]Entry!$L$1820="","",[2]Entry!$L$1820)</f>
        <v/>
      </c>
      <c r="W1817">
        <f>IF([2]Entry!$M$1820="","",[2]Entry!$M$1820)</f>
        <v/>
      </c>
      <c r="X1817">
        <f>IF([2]Entry!$N$1820="","",[2]Entry!$N$1820)</f>
        <v/>
      </c>
      <c r="Y1817">
        <f>IF([2]Entry!$R$1820="","",[2]Entry!$R$1820)</f>
        <v/>
      </c>
    </row>
    <row r="1818">
      <c r="P1818">
        <f>IF([2]Entry!$C$1821="","",[2]Entry!$C$1821)</f>
        <v/>
      </c>
      <c r="Q1818">
        <f>IF([2]Entry!$D$1821="","",[2]Entry!$D$1821)</f>
        <v/>
      </c>
      <c r="R1818">
        <f>IF([2]Entry!$E$1821="","",[2]Entry!$E$1821)</f>
        <v/>
      </c>
      <c r="S1818">
        <f>IF([2]Entry!$G$1821="","",[2]Entry!$G$1821)</f>
        <v/>
      </c>
      <c r="T1818">
        <f>IF([2]Entry!$J$1821="","",[2]Entry!$J$1821)</f>
        <v/>
      </c>
      <c r="U1818">
        <f>IF([2]Entry!$K$1821="","",[2]Entry!$K$1821)</f>
        <v/>
      </c>
      <c r="V1818">
        <f>IF([2]Entry!$L$1821="","",[2]Entry!$L$1821)</f>
        <v/>
      </c>
      <c r="W1818">
        <f>IF([2]Entry!$M$1821="","",[2]Entry!$M$1821)</f>
        <v/>
      </c>
      <c r="X1818">
        <f>IF([2]Entry!$N$1821="","",[2]Entry!$N$1821)</f>
        <v/>
      </c>
      <c r="Y1818">
        <f>IF([2]Entry!$R$1821="","",[2]Entry!$R$1821)</f>
        <v/>
      </c>
    </row>
    <row r="1819">
      <c r="P1819">
        <f>IF([2]Entry!$C$1822="","",[2]Entry!$C$1822)</f>
        <v/>
      </c>
      <c r="Q1819">
        <f>IF([2]Entry!$D$1822="","",[2]Entry!$D$1822)</f>
        <v/>
      </c>
      <c r="R1819">
        <f>IF([2]Entry!$E$1822="","",[2]Entry!$E$1822)</f>
        <v/>
      </c>
      <c r="S1819">
        <f>IF([2]Entry!$G$1822="","",[2]Entry!$G$1822)</f>
        <v/>
      </c>
      <c r="T1819">
        <f>IF([2]Entry!$J$1822="","",[2]Entry!$J$1822)</f>
        <v/>
      </c>
      <c r="U1819">
        <f>IF([2]Entry!$K$1822="","",[2]Entry!$K$1822)</f>
        <v/>
      </c>
      <c r="V1819">
        <f>IF([2]Entry!$L$1822="","",[2]Entry!$L$1822)</f>
        <v/>
      </c>
      <c r="W1819">
        <f>IF([2]Entry!$M$1822="","",[2]Entry!$M$1822)</f>
        <v/>
      </c>
      <c r="X1819">
        <f>IF([2]Entry!$N$1822="","",[2]Entry!$N$1822)</f>
        <v/>
      </c>
      <c r="Y1819">
        <f>IF([2]Entry!$R$1822="","",[2]Entry!$R$1822)</f>
        <v/>
      </c>
    </row>
    <row r="1820">
      <c r="P1820">
        <f>IF([2]Entry!$C$1823="","",[2]Entry!$C$1823)</f>
        <v/>
      </c>
      <c r="Q1820">
        <f>IF([2]Entry!$D$1823="","",[2]Entry!$D$1823)</f>
        <v/>
      </c>
      <c r="R1820">
        <f>IF([2]Entry!$E$1823="","",[2]Entry!$E$1823)</f>
        <v/>
      </c>
      <c r="S1820">
        <f>IF([2]Entry!$G$1823="","",[2]Entry!$G$1823)</f>
        <v/>
      </c>
      <c r="T1820">
        <f>IF([2]Entry!$J$1823="","",[2]Entry!$J$1823)</f>
        <v/>
      </c>
      <c r="U1820">
        <f>IF([2]Entry!$K$1823="","",[2]Entry!$K$1823)</f>
        <v/>
      </c>
      <c r="V1820">
        <f>IF([2]Entry!$L$1823="","",[2]Entry!$L$1823)</f>
        <v/>
      </c>
      <c r="W1820">
        <f>IF([2]Entry!$M$1823="","",[2]Entry!$M$1823)</f>
        <v/>
      </c>
      <c r="X1820">
        <f>IF([2]Entry!$N$1823="","",[2]Entry!$N$1823)</f>
        <v/>
      </c>
      <c r="Y1820">
        <f>IF([2]Entry!$R$1823="","",[2]Entry!$R$1823)</f>
        <v/>
      </c>
    </row>
    <row r="1821">
      <c r="P1821">
        <f>IF([2]Entry!$C$1824="","",[2]Entry!$C$1824)</f>
        <v/>
      </c>
      <c r="Q1821">
        <f>IF([2]Entry!$D$1824="","",[2]Entry!$D$1824)</f>
        <v/>
      </c>
      <c r="R1821">
        <f>IF([2]Entry!$E$1824="","",[2]Entry!$E$1824)</f>
        <v/>
      </c>
      <c r="S1821">
        <f>IF([2]Entry!$G$1824="","",[2]Entry!$G$1824)</f>
        <v/>
      </c>
      <c r="T1821">
        <f>IF([2]Entry!$J$1824="","",[2]Entry!$J$1824)</f>
        <v/>
      </c>
      <c r="U1821">
        <f>IF([2]Entry!$K$1824="","",[2]Entry!$K$1824)</f>
        <v/>
      </c>
      <c r="V1821">
        <f>IF([2]Entry!$L$1824="","",[2]Entry!$L$1824)</f>
        <v/>
      </c>
      <c r="W1821">
        <f>IF([2]Entry!$M$1824="","",[2]Entry!$M$1824)</f>
        <v/>
      </c>
      <c r="X1821">
        <f>IF([2]Entry!$N$1824="","",[2]Entry!$N$1824)</f>
        <v/>
      </c>
      <c r="Y1821">
        <f>IF([2]Entry!$R$1824="","",[2]Entry!$R$1824)</f>
        <v/>
      </c>
    </row>
    <row r="1822">
      <c r="P1822">
        <f>IF([2]Entry!$C$1825="","",[2]Entry!$C$1825)</f>
        <v/>
      </c>
      <c r="Q1822">
        <f>IF([2]Entry!$D$1825="","",[2]Entry!$D$1825)</f>
        <v/>
      </c>
      <c r="R1822">
        <f>IF([2]Entry!$E$1825="","",[2]Entry!$E$1825)</f>
        <v/>
      </c>
      <c r="S1822">
        <f>IF([2]Entry!$G$1825="","",[2]Entry!$G$1825)</f>
        <v/>
      </c>
      <c r="T1822">
        <f>IF([2]Entry!$J$1825="","",[2]Entry!$J$1825)</f>
        <v/>
      </c>
      <c r="U1822">
        <f>IF([2]Entry!$K$1825="","",[2]Entry!$K$1825)</f>
        <v/>
      </c>
      <c r="V1822">
        <f>IF([2]Entry!$L$1825="","",[2]Entry!$L$1825)</f>
        <v/>
      </c>
      <c r="W1822">
        <f>IF([2]Entry!$M$1825="","",[2]Entry!$M$1825)</f>
        <v/>
      </c>
      <c r="X1822">
        <f>IF([2]Entry!$N$1825="","",[2]Entry!$N$1825)</f>
        <v/>
      </c>
      <c r="Y1822">
        <f>IF([2]Entry!$R$1825="","",[2]Entry!$R$1825)</f>
        <v/>
      </c>
    </row>
    <row r="1823">
      <c r="P1823">
        <f>IF([2]Entry!$C$1826="","",[2]Entry!$C$1826)</f>
        <v/>
      </c>
      <c r="Q1823">
        <f>IF([2]Entry!$D$1826="","",[2]Entry!$D$1826)</f>
        <v/>
      </c>
      <c r="R1823">
        <f>IF([2]Entry!$E$1826="","",[2]Entry!$E$1826)</f>
        <v/>
      </c>
      <c r="S1823">
        <f>IF([2]Entry!$G$1826="","",[2]Entry!$G$1826)</f>
        <v/>
      </c>
      <c r="T1823">
        <f>IF([2]Entry!$J$1826="","",[2]Entry!$J$1826)</f>
        <v/>
      </c>
      <c r="U1823">
        <f>IF([2]Entry!$K$1826="","",[2]Entry!$K$1826)</f>
        <v/>
      </c>
      <c r="V1823">
        <f>IF([2]Entry!$L$1826="","",[2]Entry!$L$1826)</f>
        <v/>
      </c>
      <c r="W1823">
        <f>IF([2]Entry!$M$1826="","",[2]Entry!$M$1826)</f>
        <v/>
      </c>
      <c r="X1823">
        <f>IF([2]Entry!$N$1826="","",[2]Entry!$N$1826)</f>
        <v/>
      </c>
      <c r="Y1823">
        <f>IF([2]Entry!$R$1826="","",[2]Entry!$R$1826)</f>
        <v/>
      </c>
    </row>
    <row r="1824">
      <c r="P1824">
        <f>IF([2]Entry!$C$1827="","",[2]Entry!$C$1827)</f>
        <v/>
      </c>
      <c r="Q1824">
        <f>IF([2]Entry!$D$1827="","",[2]Entry!$D$1827)</f>
        <v/>
      </c>
      <c r="R1824">
        <f>IF([2]Entry!$E$1827="","",[2]Entry!$E$1827)</f>
        <v/>
      </c>
      <c r="S1824">
        <f>IF([2]Entry!$G$1827="","",[2]Entry!$G$1827)</f>
        <v/>
      </c>
      <c r="T1824">
        <f>IF([2]Entry!$J$1827="","",[2]Entry!$J$1827)</f>
        <v/>
      </c>
      <c r="U1824">
        <f>IF([2]Entry!$K$1827="","",[2]Entry!$K$1827)</f>
        <v/>
      </c>
      <c r="V1824">
        <f>IF([2]Entry!$L$1827="","",[2]Entry!$L$1827)</f>
        <v/>
      </c>
      <c r="W1824">
        <f>IF([2]Entry!$M$1827="","",[2]Entry!$M$1827)</f>
        <v/>
      </c>
      <c r="X1824">
        <f>IF([2]Entry!$N$1827="","",[2]Entry!$N$1827)</f>
        <v/>
      </c>
      <c r="Y1824">
        <f>IF([2]Entry!$R$1827="","",[2]Entry!$R$1827)</f>
        <v/>
      </c>
    </row>
    <row r="1825">
      <c r="P1825">
        <f>IF([2]Entry!$C$1828="","",[2]Entry!$C$1828)</f>
        <v/>
      </c>
      <c r="Q1825">
        <f>IF([2]Entry!$D$1828="","",[2]Entry!$D$1828)</f>
        <v/>
      </c>
      <c r="R1825">
        <f>IF([2]Entry!$E$1828="","",[2]Entry!$E$1828)</f>
        <v/>
      </c>
      <c r="S1825">
        <f>IF([2]Entry!$G$1828="","",[2]Entry!$G$1828)</f>
        <v/>
      </c>
      <c r="T1825">
        <f>IF([2]Entry!$J$1828="","",[2]Entry!$J$1828)</f>
        <v/>
      </c>
      <c r="U1825">
        <f>IF([2]Entry!$K$1828="","",[2]Entry!$K$1828)</f>
        <v/>
      </c>
      <c r="V1825">
        <f>IF([2]Entry!$L$1828="","",[2]Entry!$L$1828)</f>
        <v/>
      </c>
      <c r="W1825">
        <f>IF([2]Entry!$M$1828="","",[2]Entry!$M$1828)</f>
        <v/>
      </c>
      <c r="X1825">
        <f>IF([2]Entry!$N$1828="","",[2]Entry!$N$1828)</f>
        <v/>
      </c>
      <c r="Y1825">
        <f>IF([2]Entry!$R$1828="","",[2]Entry!$R$1828)</f>
        <v/>
      </c>
    </row>
    <row r="1826">
      <c r="P1826">
        <f>IF([2]Entry!$C$1829="","",[2]Entry!$C$1829)</f>
        <v/>
      </c>
      <c r="Q1826">
        <f>IF([2]Entry!$D$1829="","",[2]Entry!$D$1829)</f>
        <v/>
      </c>
      <c r="R1826">
        <f>IF([2]Entry!$E$1829="","",[2]Entry!$E$1829)</f>
        <v/>
      </c>
      <c r="S1826">
        <f>IF([2]Entry!$G$1829="","",[2]Entry!$G$1829)</f>
        <v/>
      </c>
      <c r="T1826">
        <f>IF([2]Entry!$J$1829="","",[2]Entry!$J$1829)</f>
        <v/>
      </c>
      <c r="U1826">
        <f>IF([2]Entry!$K$1829="","",[2]Entry!$K$1829)</f>
        <v/>
      </c>
      <c r="V1826">
        <f>IF([2]Entry!$L$1829="","",[2]Entry!$L$1829)</f>
        <v/>
      </c>
      <c r="W1826">
        <f>IF([2]Entry!$M$1829="","",[2]Entry!$M$1829)</f>
        <v/>
      </c>
      <c r="X1826">
        <f>IF([2]Entry!$N$1829="","",[2]Entry!$N$1829)</f>
        <v/>
      </c>
      <c r="Y1826">
        <f>IF([2]Entry!$R$1829="","",[2]Entry!$R$1829)</f>
        <v/>
      </c>
    </row>
    <row r="1827">
      <c r="P1827">
        <f>IF([2]Entry!$C$1830="","",[2]Entry!$C$1830)</f>
        <v/>
      </c>
      <c r="Q1827">
        <f>IF([2]Entry!$D$1830="","",[2]Entry!$D$1830)</f>
        <v/>
      </c>
      <c r="R1827">
        <f>IF([2]Entry!$E$1830="","",[2]Entry!$E$1830)</f>
        <v/>
      </c>
      <c r="S1827">
        <f>IF([2]Entry!$G$1830="","",[2]Entry!$G$1830)</f>
        <v/>
      </c>
      <c r="T1827">
        <f>IF([2]Entry!$J$1830="","",[2]Entry!$J$1830)</f>
        <v/>
      </c>
      <c r="U1827">
        <f>IF([2]Entry!$K$1830="","",[2]Entry!$K$1830)</f>
        <v/>
      </c>
      <c r="V1827">
        <f>IF([2]Entry!$L$1830="","",[2]Entry!$L$1830)</f>
        <v/>
      </c>
      <c r="W1827">
        <f>IF([2]Entry!$M$1830="","",[2]Entry!$M$1830)</f>
        <v/>
      </c>
      <c r="X1827">
        <f>IF([2]Entry!$N$1830="","",[2]Entry!$N$1830)</f>
        <v/>
      </c>
      <c r="Y1827">
        <f>IF([2]Entry!$R$1830="","",[2]Entry!$R$1830)</f>
        <v/>
      </c>
    </row>
    <row r="1828">
      <c r="P1828">
        <f>IF([2]Entry!$C$1831="","",[2]Entry!$C$1831)</f>
        <v/>
      </c>
      <c r="Q1828">
        <f>IF([2]Entry!$D$1831="","",[2]Entry!$D$1831)</f>
        <v/>
      </c>
      <c r="R1828">
        <f>IF([2]Entry!$E$1831="","",[2]Entry!$E$1831)</f>
        <v/>
      </c>
      <c r="S1828">
        <f>IF([2]Entry!$G$1831="","",[2]Entry!$G$1831)</f>
        <v/>
      </c>
      <c r="T1828">
        <f>IF([2]Entry!$J$1831="","",[2]Entry!$J$1831)</f>
        <v/>
      </c>
      <c r="U1828">
        <f>IF([2]Entry!$K$1831="","",[2]Entry!$K$1831)</f>
        <v/>
      </c>
      <c r="V1828">
        <f>IF([2]Entry!$L$1831="","",[2]Entry!$L$1831)</f>
        <v/>
      </c>
      <c r="W1828">
        <f>IF([2]Entry!$M$1831="","",[2]Entry!$M$1831)</f>
        <v/>
      </c>
      <c r="X1828">
        <f>IF([2]Entry!$N$1831="","",[2]Entry!$N$1831)</f>
        <v/>
      </c>
      <c r="Y1828">
        <f>IF([2]Entry!$R$1831="","",[2]Entry!$R$1831)</f>
        <v/>
      </c>
    </row>
    <row r="1829">
      <c r="P1829">
        <f>IF([2]Entry!$C$1832="","",[2]Entry!$C$1832)</f>
        <v/>
      </c>
      <c r="Q1829">
        <f>IF([2]Entry!$D$1832="","",[2]Entry!$D$1832)</f>
        <v/>
      </c>
      <c r="R1829">
        <f>IF([2]Entry!$E$1832="","",[2]Entry!$E$1832)</f>
        <v/>
      </c>
      <c r="S1829">
        <f>IF([2]Entry!$G$1832="","",[2]Entry!$G$1832)</f>
        <v/>
      </c>
      <c r="T1829">
        <f>IF([2]Entry!$J$1832="","",[2]Entry!$J$1832)</f>
        <v/>
      </c>
      <c r="U1829">
        <f>IF([2]Entry!$K$1832="","",[2]Entry!$K$1832)</f>
        <v/>
      </c>
      <c r="V1829">
        <f>IF([2]Entry!$L$1832="","",[2]Entry!$L$1832)</f>
        <v/>
      </c>
      <c r="W1829">
        <f>IF([2]Entry!$M$1832="","",[2]Entry!$M$1832)</f>
        <v/>
      </c>
      <c r="X1829">
        <f>IF([2]Entry!$N$1832="","",[2]Entry!$N$1832)</f>
        <v/>
      </c>
      <c r="Y1829">
        <f>IF([2]Entry!$R$1832="","",[2]Entry!$R$1832)</f>
        <v/>
      </c>
    </row>
    <row r="1830">
      <c r="P1830">
        <f>IF([2]Entry!$C$1833="","",[2]Entry!$C$1833)</f>
        <v/>
      </c>
      <c r="Q1830">
        <f>IF([2]Entry!$D$1833="","",[2]Entry!$D$1833)</f>
        <v/>
      </c>
      <c r="R1830">
        <f>IF([2]Entry!$E$1833="","",[2]Entry!$E$1833)</f>
        <v/>
      </c>
      <c r="S1830">
        <f>IF([2]Entry!$G$1833="","",[2]Entry!$G$1833)</f>
        <v/>
      </c>
      <c r="T1830">
        <f>IF([2]Entry!$J$1833="","",[2]Entry!$J$1833)</f>
        <v/>
      </c>
      <c r="U1830">
        <f>IF([2]Entry!$K$1833="","",[2]Entry!$K$1833)</f>
        <v/>
      </c>
      <c r="V1830">
        <f>IF([2]Entry!$L$1833="","",[2]Entry!$L$1833)</f>
        <v/>
      </c>
      <c r="W1830">
        <f>IF([2]Entry!$M$1833="","",[2]Entry!$M$1833)</f>
        <v/>
      </c>
      <c r="X1830">
        <f>IF([2]Entry!$N$1833="","",[2]Entry!$N$1833)</f>
        <v/>
      </c>
      <c r="Y1830">
        <f>IF([2]Entry!$R$1833="","",[2]Entry!$R$1833)</f>
        <v/>
      </c>
    </row>
    <row r="1831">
      <c r="P1831">
        <f>IF([2]Entry!$C$1834="","",[2]Entry!$C$1834)</f>
        <v/>
      </c>
      <c r="Q1831">
        <f>IF([2]Entry!$D$1834="","",[2]Entry!$D$1834)</f>
        <v/>
      </c>
      <c r="R1831">
        <f>IF([2]Entry!$E$1834="","",[2]Entry!$E$1834)</f>
        <v/>
      </c>
      <c r="S1831">
        <f>IF([2]Entry!$G$1834="","",[2]Entry!$G$1834)</f>
        <v/>
      </c>
      <c r="T1831">
        <f>IF([2]Entry!$J$1834="","",[2]Entry!$J$1834)</f>
        <v/>
      </c>
      <c r="U1831">
        <f>IF([2]Entry!$K$1834="","",[2]Entry!$K$1834)</f>
        <v/>
      </c>
      <c r="V1831">
        <f>IF([2]Entry!$L$1834="","",[2]Entry!$L$1834)</f>
        <v/>
      </c>
      <c r="W1831">
        <f>IF([2]Entry!$M$1834="","",[2]Entry!$M$1834)</f>
        <v/>
      </c>
      <c r="X1831">
        <f>IF([2]Entry!$N$1834="","",[2]Entry!$N$1834)</f>
        <v/>
      </c>
      <c r="Y1831">
        <f>IF([2]Entry!$R$1834="","",[2]Entry!$R$1834)</f>
        <v/>
      </c>
    </row>
    <row r="1832">
      <c r="P1832">
        <f>IF([2]Entry!$C$1835="","",[2]Entry!$C$1835)</f>
        <v/>
      </c>
      <c r="Q1832">
        <f>IF([2]Entry!$D$1835="","",[2]Entry!$D$1835)</f>
        <v/>
      </c>
      <c r="R1832">
        <f>IF([2]Entry!$E$1835="","",[2]Entry!$E$1835)</f>
        <v/>
      </c>
      <c r="S1832">
        <f>IF([2]Entry!$G$1835="","",[2]Entry!$G$1835)</f>
        <v/>
      </c>
      <c r="T1832">
        <f>IF([2]Entry!$J$1835="","",[2]Entry!$J$1835)</f>
        <v/>
      </c>
      <c r="U1832">
        <f>IF([2]Entry!$K$1835="","",[2]Entry!$K$1835)</f>
        <v/>
      </c>
      <c r="V1832">
        <f>IF([2]Entry!$L$1835="","",[2]Entry!$L$1835)</f>
        <v/>
      </c>
      <c r="W1832">
        <f>IF([2]Entry!$M$1835="","",[2]Entry!$M$1835)</f>
        <v/>
      </c>
      <c r="X1832">
        <f>IF([2]Entry!$N$1835="","",[2]Entry!$N$1835)</f>
        <v/>
      </c>
      <c r="Y1832">
        <f>IF([2]Entry!$R$1835="","",[2]Entry!$R$1835)</f>
        <v/>
      </c>
    </row>
    <row r="1833">
      <c r="P1833">
        <f>IF([2]Entry!$C$1836="","",[2]Entry!$C$1836)</f>
        <v/>
      </c>
      <c r="Q1833">
        <f>IF([2]Entry!$D$1836="","",[2]Entry!$D$1836)</f>
        <v/>
      </c>
      <c r="R1833">
        <f>IF([2]Entry!$E$1836="","",[2]Entry!$E$1836)</f>
        <v/>
      </c>
      <c r="S1833">
        <f>IF([2]Entry!$G$1836="","",[2]Entry!$G$1836)</f>
        <v/>
      </c>
      <c r="T1833">
        <f>IF([2]Entry!$J$1836="","",[2]Entry!$J$1836)</f>
        <v/>
      </c>
      <c r="U1833">
        <f>IF([2]Entry!$K$1836="","",[2]Entry!$K$1836)</f>
        <v/>
      </c>
      <c r="V1833">
        <f>IF([2]Entry!$L$1836="","",[2]Entry!$L$1836)</f>
        <v/>
      </c>
      <c r="W1833">
        <f>IF([2]Entry!$M$1836="","",[2]Entry!$M$1836)</f>
        <v/>
      </c>
      <c r="X1833">
        <f>IF([2]Entry!$N$1836="","",[2]Entry!$N$1836)</f>
        <v/>
      </c>
      <c r="Y1833">
        <f>IF([2]Entry!$R$1836="","",[2]Entry!$R$1836)</f>
        <v/>
      </c>
    </row>
    <row r="1834">
      <c r="P1834">
        <f>IF([2]Entry!$C$1837="","",[2]Entry!$C$1837)</f>
        <v/>
      </c>
      <c r="Q1834">
        <f>IF([2]Entry!$D$1837="","",[2]Entry!$D$1837)</f>
        <v/>
      </c>
      <c r="R1834">
        <f>IF([2]Entry!$E$1837="","",[2]Entry!$E$1837)</f>
        <v/>
      </c>
      <c r="S1834">
        <f>IF([2]Entry!$G$1837="","",[2]Entry!$G$1837)</f>
        <v/>
      </c>
      <c r="T1834">
        <f>IF([2]Entry!$J$1837="","",[2]Entry!$J$1837)</f>
        <v/>
      </c>
      <c r="U1834">
        <f>IF([2]Entry!$K$1837="","",[2]Entry!$K$1837)</f>
        <v/>
      </c>
      <c r="V1834">
        <f>IF([2]Entry!$L$1837="","",[2]Entry!$L$1837)</f>
        <v/>
      </c>
      <c r="W1834">
        <f>IF([2]Entry!$M$1837="","",[2]Entry!$M$1837)</f>
        <v/>
      </c>
      <c r="X1834">
        <f>IF([2]Entry!$N$1837="","",[2]Entry!$N$1837)</f>
        <v/>
      </c>
      <c r="Y1834">
        <f>IF([2]Entry!$R$1837="","",[2]Entry!$R$1837)</f>
        <v/>
      </c>
    </row>
    <row r="1835">
      <c r="P1835">
        <f>IF([2]Entry!$C$1838="","",[2]Entry!$C$1838)</f>
        <v/>
      </c>
      <c r="Q1835">
        <f>IF([2]Entry!$D$1838="","",[2]Entry!$D$1838)</f>
        <v/>
      </c>
      <c r="R1835">
        <f>IF([2]Entry!$E$1838="","",[2]Entry!$E$1838)</f>
        <v/>
      </c>
      <c r="S1835">
        <f>IF([2]Entry!$G$1838="","",[2]Entry!$G$1838)</f>
        <v/>
      </c>
      <c r="T1835">
        <f>IF([2]Entry!$J$1838="","",[2]Entry!$J$1838)</f>
        <v/>
      </c>
      <c r="U1835">
        <f>IF([2]Entry!$K$1838="","",[2]Entry!$K$1838)</f>
        <v/>
      </c>
      <c r="V1835">
        <f>IF([2]Entry!$L$1838="","",[2]Entry!$L$1838)</f>
        <v/>
      </c>
      <c r="W1835">
        <f>IF([2]Entry!$M$1838="","",[2]Entry!$M$1838)</f>
        <v/>
      </c>
      <c r="X1835">
        <f>IF([2]Entry!$N$1838="","",[2]Entry!$N$1838)</f>
        <v/>
      </c>
      <c r="Y1835">
        <f>IF([2]Entry!$R$1838="","",[2]Entry!$R$1838)</f>
        <v/>
      </c>
    </row>
    <row r="1836">
      <c r="P1836">
        <f>IF([2]Entry!$C$1839="","",[2]Entry!$C$1839)</f>
        <v/>
      </c>
      <c r="Q1836">
        <f>IF([2]Entry!$D$1839="","",[2]Entry!$D$1839)</f>
        <v/>
      </c>
      <c r="R1836">
        <f>IF([2]Entry!$E$1839="","",[2]Entry!$E$1839)</f>
        <v/>
      </c>
      <c r="S1836">
        <f>IF([2]Entry!$G$1839="","",[2]Entry!$G$1839)</f>
        <v/>
      </c>
      <c r="T1836">
        <f>IF([2]Entry!$J$1839="","",[2]Entry!$J$1839)</f>
        <v/>
      </c>
      <c r="U1836">
        <f>IF([2]Entry!$K$1839="","",[2]Entry!$K$1839)</f>
        <v/>
      </c>
      <c r="V1836">
        <f>IF([2]Entry!$L$1839="","",[2]Entry!$L$1839)</f>
        <v/>
      </c>
      <c r="W1836">
        <f>IF([2]Entry!$M$1839="","",[2]Entry!$M$1839)</f>
        <v/>
      </c>
      <c r="X1836">
        <f>IF([2]Entry!$N$1839="","",[2]Entry!$N$1839)</f>
        <v/>
      </c>
      <c r="Y1836">
        <f>IF([2]Entry!$R$1839="","",[2]Entry!$R$1839)</f>
        <v/>
      </c>
    </row>
    <row r="1837">
      <c r="P1837">
        <f>IF([2]Entry!$C$1840="","",[2]Entry!$C$1840)</f>
        <v/>
      </c>
      <c r="Q1837">
        <f>IF([2]Entry!$D$1840="","",[2]Entry!$D$1840)</f>
        <v/>
      </c>
      <c r="R1837">
        <f>IF([2]Entry!$E$1840="","",[2]Entry!$E$1840)</f>
        <v/>
      </c>
      <c r="S1837">
        <f>IF([2]Entry!$G$1840="","",[2]Entry!$G$1840)</f>
        <v/>
      </c>
      <c r="T1837">
        <f>IF([2]Entry!$J$1840="","",[2]Entry!$J$1840)</f>
        <v/>
      </c>
      <c r="U1837">
        <f>IF([2]Entry!$K$1840="","",[2]Entry!$K$1840)</f>
        <v/>
      </c>
      <c r="V1837">
        <f>IF([2]Entry!$L$1840="","",[2]Entry!$L$1840)</f>
        <v/>
      </c>
      <c r="W1837">
        <f>IF([2]Entry!$M$1840="","",[2]Entry!$M$1840)</f>
        <v/>
      </c>
      <c r="X1837">
        <f>IF([2]Entry!$N$1840="","",[2]Entry!$N$1840)</f>
        <v/>
      </c>
      <c r="Y1837">
        <f>IF([2]Entry!$R$1840="","",[2]Entry!$R$1840)</f>
        <v/>
      </c>
    </row>
    <row r="1838">
      <c r="P1838">
        <f>IF([2]Entry!$C$1841="","",[2]Entry!$C$1841)</f>
        <v/>
      </c>
      <c r="Q1838">
        <f>IF([2]Entry!$D$1841="","",[2]Entry!$D$1841)</f>
        <v/>
      </c>
      <c r="R1838">
        <f>IF([2]Entry!$E$1841="","",[2]Entry!$E$1841)</f>
        <v/>
      </c>
      <c r="S1838">
        <f>IF([2]Entry!$G$1841="","",[2]Entry!$G$1841)</f>
        <v/>
      </c>
      <c r="T1838">
        <f>IF([2]Entry!$J$1841="","",[2]Entry!$J$1841)</f>
        <v/>
      </c>
      <c r="U1838">
        <f>IF([2]Entry!$K$1841="","",[2]Entry!$K$1841)</f>
        <v/>
      </c>
      <c r="V1838">
        <f>IF([2]Entry!$L$1841="","",[2]Entry!$L$1841)</f>
        <v/>
      </c>
      <c r="W1838">
        <f>IF([2]Entry!$M$1841="","",[2]Entry!$M$1841)</f>
        <v/>
      </c>
      <c r="X1838">
        <f>IF([2]Entry!$N$1841="","",[2]Entry!$N$1841)</f>
        <v/>
      </c>
      <c r="Y1838">
        <f>IF([2]Entry!$R$1841="","",[2]Entry!$R$1841)</f>
        <v/>
      </c>
    </row>
    <row r="1839">
      <c r="P1839">
        <f>IF([2]Entry!$C$1842="","",[2]Entry!$C$1842)</f>
        <v/>
      </c>
      <c r="Q1839">
        <f>IF([2]Entry!$D$1842="","",[2]Entry!$D$1842)</f>
        <v/>
      </c>
      <c r="R1839">
        <f>IF([2]Entry!$E$1842="","",[2]Entry!$E$1842)</f>
        <v/>
      </c>
      <c r="S1839">
        <f>IF([2]Entry!$G$1842="","",[2]Entry!$G$1842)</f>
        <v/>
      </c>
      <c r="T1839">
        <f>IF([2]Entry!$J$1842="","",[2]Entry!$J$1842)</f>
        <v/>
      </c>
      <c r="U1839">
        <f>IF([2]Entry!$K$1842="","",[2]Entry!$K$1842)</f>
        <v/>
      </c>
      <c r="V1839">
        <f>IF([2]Entry!$L$1842="","",[2]Entry!$L$1842)</f>
        <v/>
      </c>
      <c r="W1839">
        <f>IF([2]Entry!$M$1842="","",[2]Entry!$M$1842)</f>
        <v/>
      </c>
      <c r="X1839">
        <f>IF([2]Entry!$N$1842="","",[2]Entry!$N$1842)</f>
        <v/>
      </c>
      <c r="Y1839">
        <f>IF([2]Entry!$R$1842="","",[2]Entry!$R$1842)</f>
        <v/>
      </c>
    </row>
    <row r="1840">
      <c r="P1840">
        <f>IF([2]Entry!$C$1843="","",[2]Entry!$C$1843)</f>
        <v/>
      </c>
      <c r="Q1840">
        <f>IF([2]Entry!$D$1843="","",[2]Entry!$D$1843)</f>
        <v/>
      </c>
      <c r="R1840">
        <f>IF([2]Entry!$E$1843="","",[2]Entry!$E$1843)</f>
        <v/>
      </c>
      <c r="S1840">
        <f>IF([2]Entry!$G$1843="","",[2]Entry!$G$1843)</f>
        <v/>
      </c>
      <c r="T1840">
        <f>IF([2]Entry!$J$1843="","",[2]Entry!$J$1843)</f>
        <v/>
      </c>
      <c r="U1840">
        <f>IF([2]Entry!$K$1843="","",[2]Entry!$K$1843)</f>
        <v/>
      </c>
      <c r="V1840">
        <f>IF([2]Entry!$L$1843="","",[2]Entry!$L$1843)</f>
        <v/>
      </c>
      <c r="W1840">
        <f>IF([2]Entry!$M$1843="","",[2]Entry!$M$1843)</f>
        <v/>
      </c>
      <c r="X1840">
        <f>IF([2]Entry!$N$1843="","",[2]Entry!$N$1843)</f>
        <v/>
      </c>
      <c r="Y1840">
        <f>IF([2]Entry!$R$1843="","",[2]Entry!$R$1843)</f>
        <v/>
      </c>
    </row>
    <row r="1841">
      <c r="P1841">
        <f>IF([2]Entry!$C$1844="","",[2]Entry!$C$1844)</f>
        <v/>
      </c>
      <c r="Q1841">
        <f>IF([2]Entry!$D$1844="","",[2]Entry!$D$1844)</f>
        <v/>
      </c>
      <c r="R1841">
        <f>IF([2]Entry!$E$1844="","",[2]Entry!$E$1844)</f>
        <v/>
      </c>
      <c r="S1841">
        <f>IF([2]Entry!$G$1844="","",[2]Entry!$G$1844)</f>
        <v/>
      </c>
      <c r="T1841">
        <f>IF([2]Entry!$J$1844="","",[2]Entry!$J$1844)</f>
        <v/>
      </c>
      <c r="U1841">
        <f>IF([2]Entry!$K$1844="","",[2]Entry!$K$1844)</f>
        <v/>
      </c>
      <c r="V1841">
        <f>IF([2]Entry!$L$1844="","",[2]Entry!$L$1844)</f>
        <v/>
      </c>
      <c r="W1841">
        <f>IF([2]Entry!$M$1844="","",[2]Entry!$M$1844)</f>
        <v/>
      </c>
      <c r="X1841">
        <f>IF([2]Entry!$N$1844="","",[2]Entry!$N$1844)</f>
        <v/>
      </c>
      <c r="Y1841">
        <f>IF([2]Entry!$R$1844="","",[2]Entry!$R$1844)</f>
        <v/>
      </c>
    </row>
    <row r="1842">
      <c r="P1842">
        <f>IF([2]Entry!$C$1845="","",[2]Entry!$C$1845)</f>
        <v/>
      </c>
      <c r="Q1842">
        <f>IF([2]Entry!$D$1845="","",[2]Entry!$D$1845)</f>
        <v/>
      </c>
      <c r="R1842">
        <f>IF([2]Entry!$E$1845="","",[2]Entry!$E$1845)</f>
        <v/>
      </c>
      <c r="S1842">
        <f>IF([2]Entry!$G$1845="","",[2]Entry!$G$1845)</f>
        <v/>
      </c>
      <c r="T1842">
        <f>IF([2]Entry!$J$1845="","",[2]Entry!$J$1845)</f>
        <v/>
      </c>
      <c r="U1842">
        <f>IF([2]Entry!$K$1845="","",[2]Entry!$K$1845)</f>
        <v/>
      </c>
      <c r="V1842">
        <f>IF([2]Entry!$L$1845="","",[2]Entry!$L$1845)</f>
        <v/>
      </c>
      <c r="W1842">
        <f>IF([2]Entry!$M$1845="","",[2]Entry!$M$1845)</f>
        <v/>
      </c>
      <c r="X1842">
        <f>IF([2]Entry!$N$1845="","",[2]Entry!$N$1845)</f>
        <v/>
      </c>
      <c r="Y1842">
        <f>IF([2]Entry!$R$1845="","",[2]Entry!$R$1845)</f>
        <v/>
      </c>
    </row>
    <row r="1843">
      <c r="P1843">
        <f>IF([2]Entry!$C$1846="","",[2]Entry!$C$1846)</f>
        <v/>
      </c>
      <c r="Q1843">
        <f>IF([2]Entry!$D$1846="","",[2]Entry!$D$1846)</f>
        <v/>
      </c>
      <c r="R1843">
        <f>IF([2]Entry!$E$1846="","",[2]Entry!$E$1846)</f>
        <v/>
      </c>
      <c r="S1843">
        <f>IF([2]Entry!$G$1846="","",[2]Entry!$G$1846)</f>
        <v/>
      </c>
      <c r="T1843">
        <f>IF([2]Entry!$J$1846="","",[2]Entry!$J$1846)</f>
        <v/>
      </c>
      <c r="U1843">
        <f>IF([2]Entry!$K$1846="","",[2]Entry!$K$1846)</f>
        <v/>
      </c>
      <c r="V1843">
        <f>IF([2]Entry!$L$1846="","",[2]Entry!$L$1846)</f>
        <v/>
      </c>
      <c r="W1843">
        <f>IF([2]Entry!$M$1846="","",[2]Entry!$M$1846)</f>
        <v/>
      </c>
      <c r="X1843">
        <f>IF([2]Entry!$N$1846="","",[2]Entry!$N$1846)</f>
        <v/>
      </c>
      <c r="Y1843">
        <f>IF([2]Entry!$R$1846="","",[2]Entry!$R$1846)</f>
        <v/>
      </c>
    </row>
    <row r="1844">
      <c r="P1844">
        <f>IF([2]Entry!$C$1847="","",[2]Entry!$C$1847)</f>
        <v/>
      </c>
      <c r="Q1844">
        <f>IF([2]Entry!$D$1847="","",[2]Entry!$D$1847)</f>
        <v/>
      </c>
      <c r="R1844">
        <f>IF([2]Entry!$E$1847="","",[2]Entry!$E$1847)</f>
        <v/>
      </c>
      <c r="S1844">
        <f>IF([2]Entry!$G$1847="","",[2]Entry!$G$1847)</f>
        <v/>
      </c>
      <c r="T1844">
        <f>IF([2]Entry!$J$1847="","",[2]Entry!$J$1847)</f>
        <v/>
      </c>
      <c r="U1844">
        <f>IF([2]Entry!$K$1847="","",[2]Entry!$K$1847)</f>
        <v/>
      </c>
      <c r="V1844">
        <f>IF([2]Entry!$L$1847="","",[2]Entry!$L$1847)</f>
        <v/>
      </c>
      <c r="W1844">
        <f>IF([2]Entry!$M$1847="","",[2]Entry!$M$1847)</f>
        <v/>
      </c>
      <c r="X1844">
        <f>IF([2]Entry!$N$1847="","",[2]Entry!$N$1847)</f>
        <v/>
      </c>
      <c r="Y1844">
        <f>IF([2]Entry!$R$1847="","",[2]Entry!$R$1847)</f>
        <v/>
      </c>
    </row>
    <row r="1845">
      <c r="P1845">
        <f>IF([2]Entry!$C$1848="","",[2]Entry!$C$1848)</f>
        <v/>
      </c>
      <c r="Q1845">
        <f>IF([2]Entry!$D$1848="","",[2]Entry!$D$1848)</f>
        <v/>
      </c>
      <c r="R1845">
        <f>IF([2]Entry!$E$1848="","",[2]Entry!$E$1848)</f>
        <v/>
      </c>
      <c r="S1845">
        <f>IF([2]Entry!$G$1848="","",[2]Entry!$G$1848)</f>
        <v/>
      </c>
      <c r="T1845">
        <f>IF([2]Entry!$J$1848="","",[2]Entry!$J$1848)</f>
        <v/>
      </c>
      <c r="U1845">
        <f>IF([2]Entry!$K$1848="","",[2]Entry!$K$1848)</f>
        <v/>
      </c>
      <c r="V1845">
        <f>IF([2]Entry!$L$1848="","",[2]Entry!$L$1848)</f>
        <v/>
      </c>
      <c r="W1845">
        <f>IF([2]Entry!$M$1848="","",[2]Entry!$M$1848)</f>
        <v/>
      </c>
      <c r="X1845">
        <f>IF([2]Entry!$N$1848="","",[2]Entry!$N$1848)</f>
        <v/>
      </c>
      <c r="Y1845">
        <f>IF([2]Entry!$R$1848="","",[2]Entry!$R$1848)</f>
        <v/>
      </c>
    </row>
    <row r="1846">
      <c r="P1846">
        <f>IF([2]Entry!$C$1849="","",[2]Entry!$C$1849)</f>
        <v/>
      </c>
      <c r="Q1846">
        <f>IF([2]Entry!$D$1849="","",[2]Entry!$D$1849)</f>
        <v/>
      </c>
      <c r="R1846">
        <f>IF([2]Entry!$E$1849="","",[2]Entry!$E$1849)</f>
        <v/>
      </c>
      <c r="S1846">
        <f>IF([2]Entry!$G$1849="","",[2]Entry!$G$1849)</f>
        <v/>
      </c>
      <c r="T1846">
        <f>IF([2]Entry!$J$1849="","",[2]Entry!$J$1849)</f>
        <v/>
      </c>
      <c r="U1846">
        <f>IF([2]Entry!$K$1849="","",[2]Entry!$K$1849)</f>
        <v/>
      </c>
      <c r="V1846">
        <f>IF([2]Entry!$L$1849="","",[2]Entry!$L$1849)</f>
        <v/>
      </c>
      <c r="W1846">
        <f>IF([2]Entry!$M$1849="","",[2]Entry!$M$1849)</f>
        <v/>
      </c>
      <c r="X1846">
        <f>IF([2]Entry!$N$1849="","",[2]Entry!$N$1849)</f>
        <v/>
      </c>
      <c r="Y1846">
        <f>IF([2]Entry!$R$1849="","",[2]Entry!$R$1849)</f>
        <v/>
      </c>
    </row>
    <row r="1847">
      <c r="P1847">
        <f>IF([2]Entry!$C$1850="","",[2]Entry!$C$1850)</f>
        <v/>
      </c>
      <c r="Q1847">
        <f>IF([2]Entry!$D$1850="","",[2]Entry!$D$1850)</f>
        <v/>
      </c>
      <c r="R1847">
        <f>IF([2]Entry!$E$1850="","",[2]Entry!$E$1850)</f>
        <v/>
      </c>
      <c r="S1847">
        <f>IF([2]Entry!$G$1850="","",[2]Entry!$G$1850)</f>
        <v/>
      </c>
      <c r="T1847">
        <f>IF([2]Entry!$J$1850="","",[2]Entry!$J$1850)</f>
        <v/>
      </c>
      <c r="U1847">
        <f>IF([2]Entry!$K$1850="","",[2]Entry!$K$1850)</f>
        <v/>
      </c>
      <c r="V1847">
        <f>IF([2]Entry!$L$1850="","",[2]Entry!$L$1850)</f>
        <v/>
      </c>
      <c r="W1847">
        <f>IF([2]Entry!$M$1850="","",[2]Entry!$M$1850)</f>
        <v/>
      </c>
      <c r="X1847">
        <f>IF([2]Entry!$N$1850="","",[2]Entry!$N$1850)</f>
        <v/>
      </c>
      <c r="Y1847">
        <f>IF([2]Entry!$R$1850="","",[2]Entry!$R$1850)</f>
        <v/>
      </c>
    </row>
    <row r="1848">
      <c r="P1848">
        <f>IF([2]Entry!$C$1851="","",[2]Entry!$C$1851)</f>
        <v/>
      </c>
      <c r="Q1848">
        <f>IF([2]Entry!$D$1851="","",[2]Entry!$D$1851)</f>
        <v/>
      </c>
      <c r="R1848">
        <f>IF([2]Entry!$E$1851="","",[2]Entry!$E$1851)</f>
        <v/>
      </c>
      <c r="S1848">
        <f>IF([2]Entry!$G$1851="","",[2]Entry!$G$1851)</f>
        <v/>
      </c>
      <c r="T1848">
        <f>IF([2]Entry!$J$1851="","",[2]Entry!$J$1851)</f>
        <v/>
      </c>
      <c r="U1848">
        <f>IF([2]Entry!$K$1851="","",[2]Entry!$K$1851)</f>
        <v/>
      </c>
      <c r="V1848">
        <f>IF([2]Entry!$L$1851="","",[2]Entry!$L$1851)</f>
        <v/>
      </c>
      <c r="W1848">
        <f>IF([2]Entry!$M$1851="","",[2]Entry!$M$1851)</f>
        <v/>
      </c>
      <c r="X1848">
        <f>IF([2]Entry!$N$1851="","",[2]Entry!$N$1851)</f>
        <v/>
      </c>
      <c r="Y1848">
        <f>IF([2]Entry!$R$1851="","",[2]Entry!$R$1851)</f>
        <v/>
      </c>
    </row>
    <row r="1849">
      <c r="P1849">
        <f>IF([2]Entry!$C$1852="","",[2]Entry!$C$1852)</f>
        <v/>
      </c>
      <c r="Q1849">
        <f>IF([2]Entry!$D$1852="","",[2]Entry!$D$1852)</f>
        <v/>
      </c>
      <c r="R1849">
        <f>IF([2]Entry!$E$1852="","",[2]Entry!$E$1852)</f>
        <v/>
      </c>
      <c r="S1849">
        <f>IF([2]Entry!$G$1852="","",[2]Entry!$G$1852)</f>
        <v/>
      </c>
      <c r="T1849">
        <f>IF([2]Entry!$J$1852="","",[2]Entry!$J$1852)</f>
        <v/>
      </c>
      <c r="U1849">
        <f>IF([2]Entry!$K$1852="","",[2]Entry!$K$1852)</f>
        <v/>
      </c>
      <c r="V1849">
        <f>IF([2]Entry!$L$1852="","",[2]Entry!$L$1852)</f>
        <v/>
      </c>
      <c r="W1849">
        <f>IF([2]Entry!$M$1852="","",[2]Entry!$M$1852)</f>
        <v/>
      </c>
      <c r="X1849">
        <f>IF([2]Entry!$N$1852="","",[2]Entry!$N$1852)</f>
        <v/>
      </c>
      <c r="Y1849">
        <f>IF([2]Entry!$R$1852="","",[2]Entry!$R$1852)</f>
        <v/>
      </c>
    </row>
    <row r="1850">
      <c r="P1850">
        <f>IF([2]Entry!$C$1853="","",[2]Entry!$C$1853)</f>
        <v/>
      </c>
      <c r="Q1850">
        <f>IF([2]Entry!$D$1853="","",[2]Entry!$D$1853)</f>
        <v/>
      </c>
      <c r="R1850">
        <f>IF([2]Entry!$E$1853="","",[2]Entry!$E$1853)</f>
        <v/>
      </c>
      <c r="S1850">
        <f>IF([2]Entry!$G$1853="","",[2]Entry!$G$1853)</f>
        <v/>
      </c>
      <c r="T1850">
        <f>IF([2]Entry!$J$1853="","",[2]Entry!$J$1853)</f>
        <v/>
      </c>
      <c r="U1850">
        <f>IF([2]Entry!$K$1853="","",[2]Entry!$K$1853)</f>
        <v/>
      </c>
      <c r="V1850">
        <f>IF([2]Entry!$L$1853="","",[2]Entry!$L$1853)</f>
        <v/>
      </c>
      <c r="W1850">
        <f>IF([2]Entry!$M$1853="","",[2]Entry!$M$1853)</f>
        <v/>
      </c>
      <c r="X1850">
        <f>IF([2]Entry!$N$1853="","",[2]Entry!$N$1853)</f>
        <v/>
      </c>
      <c r="Y1850">
        <f>IF([2]Entry!$R$1853="","",[2]Entry!$R$1853)</f>
        <v/>
      </c>
    </row>
    <row r="1851">
      <c r="P1851">
        <f>IF([2]Entry!$C$1854="","",[2]Entry!$C$1854)</f>
        <v/>
      </c>
      <c r="Q1851">
        <f>IF([2]Entry!$D$1854="","",[2]Entry!$D$1854)</f>
        <v/>
      </c>
      <c r="R1851">
        <f>IF([2]Entry!$E$1854="","",[2]Entry!$E$1854)</f>
        <v/>
      </c>
      <c r="S1851">
        <f>IF([2]Entry!$G$1854="","",[2]Entry!$G$1854)</f>
        <v/>
      </c>
      <c r="T1851">
        <f>IF([2]Entry!$J$1854="","",[2]Entry!$J$1854)</f>
        <v/>
      </c>
      <c r="U1851">
        <f>IF([2]Entry!$K$1854="","",[2]Entry!$K$1854)</f>
        <v/>
      </c>
      <c r="V1851">
        <f>IF([2]Entry!$L$1854="","",[2]Entry!$L$1854)</f>
        <v/>
      </c>
      <c r="W1851">
        <f>IF([2]Entry!$M$1854="","",[2]Entry!$M$1854)</f>
        <v/>
      </c>
      <c r="X1851">
        <f>IF([2]Entry!$N$1854="","",[2]Entry!$N$1854)</f>
        <v/>
      </c>
      <c r="Y1851">
        <f>IF([2]Entry!$R$1854="","",[2]Entry!$R$1854)</f>
        <v/>
      </c>
    </row>
    <row r="1852">
      <c r="P1852">
        <f>IF([2]Entry!$C$1855="","",[2]Entry!$C$1855)</f>
        <v/>
      </c>
      <c r="Q1852">
        <f>IF([2]Entry!$D$1855="","",[2]Entry!$D$1855)</f>
        <v/>
      </c>
      <c r="R1852">
        <f>IF([2]Entry!$E$1855="","",[2]Entry!$E$1855)</f>
        <v/>
      </c>
      <c r="S1852">
        <f>IF([2]Entry!$G$1855="","",[2]Entry!$G$1855)</f>
        <v/>
      </c>
      <c r="T1852">
        <f>IF([2]Entry!$J$1855="","",[2]Entry!$J$1855)</f>
        <v/>
      </c>
      <c r="U1852">
        <f>IF([2]Entry!$K$1855="","",[2]Entry!$K$1855)</f>
        <v/>
      </c>
      <c r="V1852">
        <f>IF([2]Entry!$L$1855="","",[2]Entry!$L$1855)</f>
        <v/>
      </c>
      <c r="W1852">
        <f>IF([2]Entry!$M$1855="","",[2]Entry!$M$1855)</f>
        <v/>
      </c>
      <c r="X1852">
        <f>IF([2]Entry!$N$1855="","",[2]Entry!$N$1855)</f>
        <v/>
      </c>
      <c r="Y1852">
        <f>IF([2]Entry!$R$1855="","",[2]Entry!$R$1855)</f>
        <v/>
      </c>
    </row>
    <row r="1853">
      <c r="P1853">
        <f>IF([2]Entry!$C$1856="","",[2]Entry!$C$1856)</f>
        <v/>
      </c>
      <c r="Q1853">
        <f>IF([2]Entry!$D$1856="","",[2]Entry!$D$1856)</f>
        <v/>
      </c>
      <c r="R1853">
        <f>IF([2]Entry!$E$1856="","",[2]Entry!$E$1856)</f>
        <v/>
      </c>
      <c r="S1853">
        <f>IF([2]Entry!$G$1856="","",[2]Entry!$G$1856)</f>
        <v/>
      </c>
      <c r="T1853">
        <f>IF([2]Entry!$J$1856="","",[2]Entry!$J$1856)</f>
        <v/>
      </c>
      <c r="U1853">
        <f>IF([2]Entry!$K$1856="","",[2]Entry!$K$1856)</f>
        <v/>
      </c>
      <c r="V1853">
        <f>IF([2]Entry!$L$1856="","",[2]Entry!$L$1856)</f>
        <v/>
      </c>
      <c r="W1853">
        <f>IF([2]Entry!$M$1856="","",[2]Entry!$M$1856)</f>
        <v/>
      </c>
      <c r="X1853">
        <f>IF([2]Entry!$N$1856="","",[2]Entry!$N$1856)</f>
        <v/>
      </c>
      <c r="Y1853">
        <f>IF([2]Entry!$R$1856="","",[2]Entry!$R$1856)</f>
        <v/>
      </c>
    </row>
    <row r="1854">
      <c r="P1854">
        <f>IF([2]Entry!$C$1857="","",[2]Entry!$C$1857)</f>
        <v/>
      </c>
      <c r="Q1854">
        <f>IF([2]Entry!$D$1857="","",[2]Entry!$D$1857)</f>
        <v/>
      </c>
      <c r="R1854">
        <f>IF([2]Entry!$E$1857="","",[2]Entry!$E$1857)</f>
        <v/>
      </c>
      <c r="S1854">
        <f>IF([2]Entry!$G$1857="","",[2]Entry!$G$1857)</f>
        <v/>
      </c>
      <c r="T1854">
        <f>IF([2]Entry!$J$1857="","",[2]Entry!$J$1857)</f>
        <v/>
      </c>
      <c r="U1854">
        <f>IF([2]Entry!$K$1857="","",[2]Entry!$K$1857)</f>
        <v/>
      </c>
      <c r="V1854">
        <f>IF([2]Entry!$L$1857="","",[2]Entry!$L$1857)</f>
        <v/>
      </c>
      <c r="W1854">
        <f>IF([2]Entry!$M$1857="","",[2]Entry!$M$1857)</f>
        <v/>
      </c>
      <c r="X1854">
        <f>IF([2]Entry!$N$1857="","",[2]Entry!$N$1857)</f>
        <v/>
      </c>
      <c r="Y1854">
        <f>IF([2]Entry!$R$1857="","",[2]Entry!$R$1857)</f>
        <v/>
      </c>
    </row>
    <row r="1855">
      <c r="P1855">
        <f>IF([2]Entry!$C$1858="","",[2]Entry!$C$1858)</f>
        <v/>
      </c>
      <c r="Q1855">
        <f>IF([2]Entry!$D$1858="","",[2]Entry!$D$1858)</f>
        <v/>
      </c>
      <c r="R1855">
        <f>IF([2]Entry!$E$1858="","",[2]Entry!$E$1858)</f>
        <v/>
      </c>
      <c r="S1855">
        <f>IF([2]Entry!$G$1858="","",[2]Entry!$G$1858)</f>
        <v/>
      </c>
      <c r="T1855">
        <f>IF([2]Entry!$J$1858="","",[2]Entry!$J$1858)</f>
        <v/>
      </c>
      <c r="U1855">
        <f>IF([2]Entry!$K$1858="","",[2]Entry!$K$1858)</f>
        <v/>
      </c>
      <c r="V1855">
        <f>IF([2]Entry!$L$1858="","",[2]Entry!$L$1858)</f>
        <v/>
      </c>
      <c r="W1855">
        <f>IF([2]Entry!$M$1858="","",[2]Entry!$M$1858)</f>
        <v/>
      </c>
      <c r="X1855">
        <f>IF([2]Entry!$N$1858="","",[2]Entry!$N$1858)</f>
        <v/>
      </c>
      <c r="Y1855">
        <f>IF([2]Entry!$R$1858="","",[2]Entry!$R$1858)</f>
        <v/>
      </c>
    </row>
    <row r="1856">
      <c r="P1856">
        <f>IF([2]Entry!$C$1859="","",[2]Entry!$C$1859)</f>
        <v/>
      </c>
      <c r="Q1856">
        <f>IF([2]Entry!$D$1859="","",[2]Entry!$D$1859)</f>
        <v/>
      </c>
      <c r="R1856">
        <f>IF([2]Entry!$E$1859="","",[2]Entry!$E$1859)</f>
        <v/>
      </c>
      <c r="S1856">
        <f>IF([2]Entry!$G$1859="","",[2]Entry!$G$1859)</f>
        <v/>
      </c>
      <c r="T1856">
        <f>IF([2]Entry!$J$1859="","",[2]Entry!$J$1859)</f>
        <v/>
      </c>
      <c r="U1856">
        <f>IF([2]Entry!$K$1859="","",[2]Entry!$K$1859)</f>
        <v/>
      </c>
      <c r="V1856">
        <f>IF([2]Entry!$L$1859="","",[2]Entry!$L$1859)</f>
        <v/>
      </c>
      <c r="W1856">
        <f>IF([2]Entry!$M$1859="","",[2]Entry!$M$1859)</f>
        <v/>
      </c>
      <c r="X1856">
        <f>IF([2]Entry!$N$1859="","",[2]Entry!$N$1859)</f>
        <v/>
      </c>
      <c r="Y1856">
        <f>IF([2]Entry!$R$1859="","",[2]Entry!$R$1859)</f>
        <v/>
      </c>
    </row>
    <row r="1857">
      <c r="P1857">
        <f>IF([2]Entry!$C$1860="","",[2]Entry!$C$1860)</f>
        <v/>
      </c>
      <c r="Q1857">
        <f>IF([2]Entry!$D$1860="","",[2]Entry!$D$1860)</f>
        <v/>
      </c>
      <c r="R1857">
        <f>IF([2]Entry!$E$1860="","",[2]Entry!$E$1860)</f>
        <v/>
      </c>
      <c r="S1857">
        <f>IF([2]Entry!$G$1860="","",[2]Entry!$G$1860)</f>
        <v/>
      </c>
      <c r="T1857">
        <f>IF([2]Entry!$J$1860="","",[2]Entry!$J$1860)</f>
        <v/>
      </c>
      <c r="U1857">
        <f>IF([2]Entry!$K$1860="","",[2]Entry!$K$1860)</f>
        <v/>
      </c>
      <c r="V1857">
        <f>IF([2]Entry!$L$1860="","",[2]Entry!$L$1860)</f>
        <v/>
      </c>
      <c r="W1857">
        <f>IF([2]Entry!$M$1860="","",[2]Entry!$M$1860)</f>
        <v/>
      </c>
      <c r="X1857">
        <f>IF([2]Entry!$N$1860="","",[2]Entry!$N$1860)</f>
        <v/>
      </c>
      <c r="Y1857">
        <f>IF([2]Entry!$R$1860="","",[2]Entry!$R$1860)</f>
        <v/>
      </c>
    </row>
    <row r="1858">
      <c r="P1858">
        <f>IF([2]Entry!$C$1861="","",[2]Entry!$C$1861)</f>
        <v/>
      </c>
      <c r="Q1858">
        <f>IF([2]Entry!$D$1861="","",[2]Entry!$D$1861)</f>
        <v/>
      </c>
      <c r="R1858">
        <f>IF([2]Entry!$E$1861="","",[2]Entry!$E$1861)</f>
        <v/>
      </c>
      <c r="S1858">
        <f>IF([2]Entry!$G$1861="","",[2]Entry!$G$1861)</f>
        <v/>
      </c>
      <c r="T1858">
        <f>IF([2]Entry!$J$1861="","",[2]Entry!$J$1861)</f>
        <v/>
      </c>
      <c r="U1858">
        <f>IF([2]Entry!$K$1861="","",[2]Entry!$K$1861)</f>
        <v/>
      </c>
      <c r="V1858">
        <f>IF([2]Entry!$L$1861="","",[2]Entry!$L$1861)</f>
        <v/>
      </c>
      <c r="W1858">
        <f>IF([2]Entry!$M$1861="","",[2]Entry!$M$1861)</f>
        <v/>
      </c>
      <c r="X1858">
        <f>IF([2]Entry!$N$1861="","",[2]Entry!$N$1861)</f>
        <v/>
      </c>
      <c r="Y1858">
        <f>IF([2]Entry!$R$1861="","",[2]Entry!$R$1861)</f>
        <v/>
      </c>
    </row>
    <row r="1859">
      <c r="P1859">
        <f>IF([2]Entry!$C$1862="","",[2]Entry!$C$1862)</f>
        <v/>
      </c>
      <c r="Q1859">
        <f>IF([2]Entry!$D$1862="","",[2]Entry!$D$1862)</f>
        <v/>
      </c>
      <c r="R1859">
        <f>IF([2]Entry!$E$1862="","",[2]Entry!$E$1862)</f>
        <v/>
      </c>
      <c r="S1859">
        <f>IF([2]Entry!$G$1862="","",[2]Entry!$G$1862)</f>
        <v/>
      </c>
      <c r="T1859">
        <f>IF([2]Entry!$J$1862="","",[2]Entry!$J$1862)</f>
        <v/>
      </c>
      <c r="U1859">
        <f>IF([2]Entry!$K$1862="","",[2]Entry!$K$1862)</f>
        <v/>
      </c>
      <c r="V1859">
        <f>IF([2]Entry!$L$1862="","",[2]Entry!$L$1862)</f>
        <v/>
      </c>
      <c r="W1859">
        <f>IF([2]Entry!$M$1862="","",[2]Entry!$M$1862)</f>
        <v/>
      </c>
      <c r="X1859">
        <f>IF([2]Entry!$N$1862="","",[2]Entry!$N$1862)</f>
        <v/>
      </c>
      <c r="Y1859">
        <f>IF([2]Entry!$R$1862="","",[2]Entry!$R$1862)</f>
        <v/>
      </c>
    </row>
    <row r="1860">
      <c r="P1860">
        <f>IF([2]Entry!$C$1863="","",[2]Entry!$C$1863)</f>
        <v/>
      </c>
      <c r="Q1860">
        <f>IF([2]Entry!$D$1863="","",[2]Entry!$D$1863)</f>
        <v/>
      </c>
      <c r="R1860">
        <f>IF([2]Entry!$E$1863="","",[2]Entry!$E$1863)</f>
        <v/>
      </c>
      <c r="S1860">
        <f>IF([2]Entry!$G$1863="","",[2]Entry!$G$1863)</f>
        <v/>
      </c>
      <c r="T1860">
        <f>IF([2]Entry!$J$1863="","",[2]Entry!$J$1863)</f>
        <v/>
      </c>
      <c r="U1860">
        <f>IF([2]Entry!$K$1863="","",[2]Entry!$K$1863)</f>
        <v/>
      </c>
      <c r="V1860">
        <f>IF([2]Entry!$L$1863="","",[2]Entry!$L$1863)</f>
        <v/>
      </c>
      <c r="W1860">
        <f>IF([2]Entry!$M$1863="","",[2]Entry!$M$1863)</f>
        <v/>
      </c>
      <c r="X1860">
        <f>IF([2]Entry!$N$1863="","",[2]Entry!$N$1863)</f>
        <v/>
      </c>
      <c r="Y1860">
        <f>IF([2]Entry!$R$1863="","",[2]Entry!$R$1863)</f>
        <v/>
      </c>
    </row>
    <row r="1861">
      <c r="P1861">
        <f>IF([2]Entry!$C$1864="","",[2]Entry!$C$1864)</f>
        <v/>
      </c>
      <c r="Q1861">
        <f>IF([2]Entry!$D$1864="","",[2]Entry!$D$1864)</f>
        <v/>
      </c>
      <c r="R1861">
        <f>IF([2]Entry!$E$1864="","",[2]Entry!$E$1864)</f>
        <v/>
      </c>
      <c r="S1861">
        <f>IF([2]Entry!$G$1864="","",[2]Entry!$G$1864)</f>
        <v/>
      </c>
      <c r="T1861">
        <f>IF([2]Entry!$J$1864="","",[2]Entry!$J$1864)</f>
        <v/>
      </c>
      <c r="U1861">
        <f>IF([2]Entry!$K$1864="","",[2]Entry!$K$1864)</f>
        <v/>
      </c>
      <c r="V1861">
        <f>IF([2]Entry!$L$1864="","",[2]Entry!$L$1864)</f>
        <v/>
      </c>
      <c r="W1861">
        <f>IF([2]Entry!$M$1864="","",[2]Entry!$M$1864)</f>
        <v/>
      </c>
      <c r="X1861">
        <f>IF([2]Entry!$N$1864="","",[2]Entry!$N$1864)</f>
        <v/>
      </c>
      <c r="Y1861">
        <f>IF([2]Entry!$R$1864="","",[2]Entry!$R$1864)</f>
        <v/>
      </c>
    </row>
    <row r="1862">
      <c r="P1862">
        <f>IF([2]Entry!$C$1865="","",[2]Entry!$C$1865)</f>
        <v/>
      </c>
      <c r="Q1862">
        <f>IF([2]Entry!$D$1865="","",[2]Entry!$D$1865)</f>
        <v/>
      </c>
      <c r="R1862">
        <f>IF([2]Entry!$E$1865="","",[2]Entry!$E$1865)</f>
        <v/>
      </c>
      <c r="S1862">
        <f>IF([2]Entry!$G$1865="","",[2]Entry!$G$1865)</f>
        <v/>
      </c>
      <c r="T1862">
        <f>IF([2]Entry!$J$1865="","",[2]Entry!$J$1865)</f>
        <v/>
      </c>
      <c r="U1862">
        <f>IF([2]Entry!$K$1865="","",[2]Entry!$K$1865)</f>
        <v/>
      </c>
      <c r="V1862">
        <f>IF([2]Entry!$L$1865="","",[2]Entry!$L$1865)</f>
        <v/>
      </c>
      <c r="W1862">
        <f>IF([2]Entry!$M$1865="","",[2]Entry!$M$1865)</f>
        <v/>
      </c>
      <c r="X1862">
        <f>IF([2]Entry!$N$1865="","",[2]Entry!$N$1865)</f>
        <v/>
      </c>
      <c r="Y1862">
        <f>IF([2]Entry!$R$1865="","",[2]Entry!$R$1865)</f>
        <v/>
      </c>
    </row>
    <row r="1863">
      <c r="P1863">
        <f>IF([2]Entry!$C$1866="","",[2]Entry!$C$1866)</f>
        <v/>
      </c>
      <c r="Q1863">
        <f>IF([2]Entry!$D$1866="","",[2]Entry!$D$1866)</f>
        <v/>
      </c>
      <c r="R1863">
        <f>IF([2]Entry!$E$1866="","",[2]Entry!$E$1866)</f>
        <v/>
      </c>
      <c r="S1863">
        <f>IF([2]Entry!$G$1866="","",[2]Entry!$G$1866)</f>
        <v/>
      </c>
      <c r="T1863">
        <f>IF([2]Entry!$J$1866="","",[2]Entry!$J$1866)</f>
        <v/>
      </c>
      <c r="U1863">
        <f>IF([2]Entry!$K$1866="","",[2]Entry!$K$1866)</f>
        <v/>
      </c>
      <c r="V1863">
        <f>IF([2]Entry!$L$1866="","",[2]Entry!$L$1866)</f>
        <v/>
      </c>
      <c r="W1863">
        <f>IF([2]Entry!$M$1866="","",[2]Entry!$M$1866)</f>
        <v/>
      </c>
      <c r="X1863">
        <f>IF([2]Entry!$N$1866="","",[2]Entry!$N$1866)</f>
        <v/>
      </c>
      <c r="Y1863">
        <f>IF([2]Entry!$R$1866="","",[2]Entry!$R$1866)</f>
        <v/>
      </c>
    </row>
    <row r="1864">
      <c r="P1864">
        <f>IF([2]Entry!$C$1867="","",[2]Entry!$C$1867)</f>
        <v/>
      </c>
      <c r="Q1864">
        <f>IF([2]Entry!$D$1867="","",[2]Entry!$D$1867)</f>
        <v/>
      </c>
      <c r="R1864">
        <f>IF([2]Entry!$E$1867="","",[2]Entry!$E$1867)</f>
        <v/>
      </c>
      <c r="S1864">
        <f>IF([2]Entry!$G$1867="","",[2]Entry!$G$1867)</f>
        <v/>
      </c>
      <c r="T1864">
        <f>IF([2]Entry!$J$1867="","",[2]Entry!$J$1867)</f>
        <v/>
      </c>
      <c r="U1864">
        <f>IF([2]Entry!$K$1867="","",[2]Entry!$K$1867)</f>
        <v/>
      </c>
      <c r="V1864">
        <f>IF([2]Entry!$L$1867="","",[2]Entry!$L$1867)</f>
        <v/>
      </c>
      <c r="W1864">
        <f>IF([2]Entry!$M$1867="","",[2]Entry!$M$1867)</f>
        <v/>
      </c>
      <c r="X1864">
        <f>IF([2]Entry!$N$1867="","",[2]Entry!$N$1867)</f>
        <v/>
      </c>
      <c r="Y1864">
        <f>IF([2]Entry!$R$1867="","",[2]Entry!$R$1867)</f>
        <v/>
      </c>
    </row>
    <row r="1865">
      <c r="P1865">
        <f>IF([2]Entry!$C$1868="","",[2]Entry!$C$1868)</f>
        <v/>
      </c>
      <c r="Q1865">
        <f>IF([2]Entry!$D$1868="","",[2]Entry!$D$1868)</f>
        <v/>
      </c>
      <c r="R1865">
        <f>IF([2]Entry!$E$1868="","",[2]Entry!$E$1868)</f>
        <v/>
      </c>
      <c r="S1865">
        <f>IF([2]Entry!$G$1868="","",[2]Entry!$G$1868)</f>
        <v/>
      </c>
      <c r="T1865">
        <f>IF([2]Entry!$J$1868="","",[2]Entry!$J$1868)</f>
        <v/>
      </c>
      <c r="U1865">
        <f>IF([2]Entry!$K$1868="","",[2]Entry!$K$1868)</f>
        <v/>
      </c>
      <c r="V1865">
        <f>IF([2]Entry!$L$1868="","",[2]Entry!$L$1868)</f>
        <v/>
      </c>
      <c r="W1865">
        <f>IF([2]Entry!$M$1868="","",[2]Entry!$M$1868)</f>
        <v/>
      </c>
      <c r="X1865">
        <f>IF([2]Entry!$N$1868="","",[2]Entry!$N$1868)</f>
        <v/>
      </c>
      <c r="Y1865">
        <f>IF([2]Entry!$R$1868="","",[2]Entry!$R$1868)</f>
        <v/>
      </c>
    </row>
    <row r="1866">
      <c r="P1866">
        <f>IF([2]Entry!$C$1869="","",[2]Entry!$C$1869)</f>
        <v/>
      </c>
      <c r="Q1866">
        <f>IF([2]Entry!$D$1869="","",[2]Entry!$D$1869)</f>
        <v/>
      </c>
      <c r="R1866">
        <f>IF([2]Entry!$E$1869="","",[2]Entry!$E$1869)</f>
        <v/>
      </c>
      <c r="S1866">
        <f>IF([2]Entry!$G$1869="","",[2]Entry!$G$1869)</f>
        <v/>
      </c>
      <c r="T1866">
        <f>IF([2]Entry!$J$1869="","",[2]Entry!$J$1869)</f>
        <v/>
      </c>
      <c r="U1866">
        <f>IF([2]Entry!$K$1869="","",[2]Entry!$K$1869)</f>
        <v/>
      </c>
      <c r="V1866">
        <f>IF([2]Entry!$L$1869="","",[2]Entry!$L$1869)</f>
        <v/>
      </c>
      <c r="W1866">
        <f>IF([2]Entry!$M$1869="","",[2]Entry!$M$1869)</f>
        <v/>
      </c>
      <c r="X1866">
        <f>IF([2]Entry!$N$1869="","",[2]Entry!$N$1869)</f>
        <v/>
      </c>
      <c r="Y1866">
        <f>IF([2]Entry!$R$1869="","",[2]Entry!$R$1869)</f>
        <v/>
      </c>
    </row>
    <row r="1867">
      <c r="P1867">
        <f>IF([2]Entry!$C$1870="","",[2]Entry!$C$1870)</f>
        <v/>
      </c>
      <c r="Q1867">
        <f>IF([2]Entry!$D$1870="","",[2]Entry!$D$1870)</f>
        <v/>
      </c>
      <c r="R1867">
        <f>IF([2]Entry!$E$1870="","",[2]Entry!$E$1870)</f>
        <v/>
      </c>
      <c r="S1867">
        <f>IF([2]Entry!$G$1870="","",[2]Entry!$G$1870)</f>
        <v/>
      </c>
      <c r="T1867">
        <f>IF([2]Entry!$J$1870="","",[2]Entry!$J$1870)</f>
        <v/>
      </c>
      <c r="U1867">
        <f>IF([2]Entry!$K$1870="","",[2]Entry!$K$1870)</f>
        <v/>
      </c>
      <c r="V1867">
        <f>IF([2]Entry!$L$1870="","",[2]Entry!$L$1870)</f>
        <v/>
      </c>
      <c r="W1867">
        <f>IF([2]Entry!$M$1870="","",[2]Entry!$M$1870)</f>
        <v/>
      </c>
      <c r="X1867">
        <f>IF([2]Entry!$N$1870="","",[2]Entry!$N$1870)</f>
        <v/>
      </c>
      <c r="Y1867">
        <f>IF([2]Entry!$R$1870="","",[2]Entry!$R$1870)</f>
        <v/>
      </c>
    </row>
    <row r="1868">
      <c r="P1868">
        <f>IF([2]Entry!$C$1871="","",[2]Entry!$C$1871)</f>
        <v/>
      </c>
      <c r="Q1868">
        <f>IF([2]Entry!$D$1871="","",[2]Entry!$D$1871)</f>
        <v/>
      </c>
      <c r="R1868">
        <f>IF([2]Entry!$E$1871="","",[2]Entry!$E$1871)</f>
        <v/>
      </c>
      <c r="S1868">
        <f>IF([2]Entry!$G$1871="","",[2]Entry!$G$1871)</f>
        <v/>
      </c>
      <c r="T1868">
        <f>IF([2]Entry!$J$1871="","",[2]Entry!$J$1871)</f>
        <v/>
      </c>
      <c r="U1868">
        <f>IF([2]Entry!$K$1871="","",[2]Entry!$K$1871)</f>
        <v/>
      </c>
      <c r="V1868">
        <f>IF([2]Entry!$L$1871="","",[2]Entry!$L$1871)</f>
        <v/>
      </c>
      <c r="W1868">
        <f>IF([2]Entry!$M$1871="","",[2]Entry!$M$1871)</f>
        <v/>
      </c>
      <c r="X1868">
        <f>IF([2]Entry!$N$1871="","",[2]Entry!$N$1871)</f>
        <v/>
      </c>
      <c r="Y1868">
        <f>IF([2]Entry!$R$1871="","",[2]Entry!$R$1871)</f>
        <v/>
      </c>
    </row>
    <row r="1869">
      <c r="P1869">
        <f>IF([2]Entry!$C$1872="","",[2]Entry!$C$1872)</f>
        <v/>
      </c>
      <c r="Q1869">
        <f>IF([2]Entry!$D$1872="","",[2]Entry!$D$1872)</f>
        <v/>
      </c>
      <c r="R1869">
        <f>IF([2]Entry!$E$1872="","",[2]Entry!$E$1872)</f>
        <v/>
      </c>
      <c r="S1869">
        <f>IF([2]Entry!$G$1872="","",[2]Entry!$G$1872)</f>
        <v/>
      </c>
      <c r="T1869">
        <f>IF([2]Entry!$J$1872="","",[2]Entry!$J$1872)</f>
        <v/>
      </c>
      <c r="U1869">
        <f>IF([2]Entry!$K$1872="","",[2]Entry!$K$1872)</f>
        <v/>
      </c>
      <c r="V1869">
        <f>IF([2]Entry!$L$1872="","",[2]Entry!$L$1872)</f>
        <v/>
      </c>
      <c r="W1869">
        <f>IF([2]Entry!$M$1872="","",[2]Entry!$M$1872)</f>
        <v/>
      </c>
      <c r="X1869">
        <f>IF([2]Entry!$N$1872="","",[2]Entry!$N$1872)</f>
        <v/>
      </c>
      <c r="Y1869">
        <f>IF([2]Entry!$R$1872="","",[2]Entry!$R$1872)</f>
        <v/>
      </c>
    </row>
    <row r="1870">
      <c r="P1870">
        <f>IF([2]Entry!$C$1873="","",[2]Entry!$C$1873)</f>
        <v/>
      </c>
      <c r="Q1870">
        <f>IF([2]Entry!$D$1873="","",[2]Entry!$D$1873)</f>
        <v/>
      </c>
      <c r="R1870">
        <f>IF([2]Entry!$E$1873="","",[2]Entry!$E$1873)</f>
        <v/>
      </c>
      <c r="S1870">
        <f>IF([2]Entry!$G$1873="","",[2]Entry!$G$1873)</f>
        <v/>
      </c>
      <c r="T1870">
        <f>IF([2]Entry!$J$1873="","",[2]Entry!$J$1873)</f>
        <v/>
      </c>
      <c r="U1870">
        <f>IF([2]Entry!$K$1873="","",[2]Entry!$K$1873)</f>
        <v/>
      </c>
      <c r="V1870">
        <f>IF([2]Entry!$L$1873="","",[2]Entry!$L$1873)</f>
        <v/>
      </c>
      <c r="W1870">
        <f>IF([2]Entry!$M$1873="","",[2]Entry!$M$1873)</f>
        <v/>
      </c>
      <c r="X1870">
        <f>IF([2]Entry!$N$1873="","",[2]Entry!$N$1873)</f>
        <v/>
      </c>
      <c r="Y1870">
        <f>IF([2]Entry!$R$1873="","",[2]Entry!$R$1873)</f>
        <v/>
      </c>
    </row>
    <row r="1871">
      <c r="P1871">
        <f>IF([2]Entry!$C$1874="","",[2]Entry!$C$1874)</f>
        <v/>
      </c>
      <c r="Q1871">
        <f>IF([2]Entry!$D$1874="","",[2]Entry!$D$1874)</f>
        <v/>
      </c>
      <c r="R1871">
        <f>IF([2]Entry!$E$1874="","",[2]Entry!$E$1874)</f>
        <v/>
      </c>
      <c r="S1871">
        <f>IF([2]Entry!$G$1874="","",[2]Entry!$G$1874)</f>
        <v/>
      </c>
      <c r="T1871">
        <f>IF([2]Entry!$J$1874="","",[2]Entry!$J$1874)</f>
        <v/>
      </c>
      <c r="U1871">
        <f>IF([2]Entry!$K$1874="","",[2]Entry!$K$1874)</f>
        <v/>
      </c>
      <c r="V1871">
        <f>IF([2]Entry!$L$1874="","",[2]Entry!$L$1874)</f>
        <v/>
      </c>
      <c r="W1871">
        <f>IF([2]Entry!$M$1874="","",[2]Entry!$M$1874)</f>
        <v/>
      </c>
      <c r="X1871">
        <f>IF([2]Entry!$N$1874="","",[2]Entry!$N$1874)</f>
        <v/>
      </c>
      <c r="Y1871">
        <f>IF([2]Entry!$R$1874="","",[2]Entry!$R$1874)</f>
        <v/>
      </c>
    </row>
    <row r="1872">
      <c r="P1872">
        <f>IF([2]Entry!$C$1875="","",[2]Entry!$C$1875)</f>
        <v/>
      </c>
      <c r="Q1872">
        <f>IF([2]Entry!$D$1875="","",[2]Entry!$D$1875)</f>
        <v/>
      </c>
      <c r="R1872">
        <f>IF([2]Entry!$E$1875="","",[2]Entry!$E$1875)</f>
        <v/>
      </c>
      <c r="S1872">
        <f>IF([2]Entry!$G$1875="","",[2]Entry!$G$1875)</f>
        <v/>
      </c>
      <c r="T1872">
        <f>IF([2]Entry!$J$1875="","",[2]Entry!$J$1875)</f>
        <v/>
      </c>
      <c r="U1872">
        <f>IF([2]Entry!$K$1875="","",[2]Entry!$K$1875)</f>
        <v/>
      </c>
      <c r="V1872">
        <f>IF([2]Entry!$L$1875="","",[2]Entry!$L$1875)</f>
        <v/>
      </c>
      <c r="W1872">
        <f>IF([2]Entry!$M$1875="","",[2]Entry!$M$1875)</f>
        <v/>
      </c>
      <c r="X1872">
        <f>IF([2]Entry!$N$1875="","",[2]Entry!$N$1875)</f>
        <v/>
      </c>
      <c r="Y1872">
        <f>IF([2]Entry!$R$1875="","",[2]Entry!$R$1875)</f>
        <v/>
      </c>
    </row>
    <row r="1873">
      <c r="P1873">
        <f>IF([2]Entry!$C$1876="","",[2]Entry!$C$1876)</f>
        <v/>
      </c>
      <c r="Q1873">
        <f>IF([2]Entry!$D$1876="","",[2]Entry!$D$1876)</f>
        <v/>
      </c>
      <c r="R1873">
        <f>IF([2]Entry!$E$1876="","",[2]Entry!$E$1876)</f>
        <v/>
      </c>
      <c r="S1873">
        <f>IF([2]Entry!$G$1876="","",[2]Entry!$G$1876)</f>
        <v/>
      </c>
      <c r="T1873">
        <f>IF([2]Entry!$J$1876="","",[2]Entry!$J$1876)</f>
        <v/>
      </c>
      <c r="U1873">
        <f>IF([2]Entry!$K$1876="","",[2]Entry!$K$1876)</f>
        <v/>
      </c>
      <c r="V1873">
        <f>IF([2]Entry!$L$1876="","",[2]Entry!$L$1876)</f>
        <v/>
      </c>
      <c r="W1873">
        <f>IF([2]Entry!$M$1876="","",[2]Entry!$M$1876)</f>
        <v/>
      </c>
      <c r="X1873">
        <f>IF([2]Entry!$N$1876="","",[2]Entry!$N$1876)</f>
        <v/>
      </c>
      <c r="Y1873">
        <f>IF([2]Entry!$R$1876="","",[2]Entry!$R$1876)</f>
        <v/>
      </c>
    </row>
    <row r="1874">
      <c r="P1874">
        <f>IF([2]Entry!$C$1877="","",[2]Entry!$C$1877)</f>
        <v/>
      </c>
      <c r="Q1874">
        <f>IF([2]Entry!$D$1877="","",[2]Entry!$D$1877)</f>
        <v/>
      </c>
      <c r="R1874">
        <f>IF([2]Entry!$E$1877="","",[2]Entry!$E$1877)</f>
        <v/>
      </c>
      <c r="S1874">
        <f>IF([2]Entry!$G$1877="","",[2]Entry!$G$1877)</f>
        <v/>
      </c>
      <c r="T1874">
        <f>IF([2]Entry!$J$1877="","",[2]Entry!$J$1877)</f>
        <v/>
      </c>
      <c r="U1874">
        <f>IF([2]Entry!$K$1877="","",[2]Entry!$K$1877)</f>
        <v/>
      </c>
      <c r="V1874">
        <f>IF([2]Entry!$L$1877="","",[2]Entry!$L$1877)</f>
        <v/>
      </c>
      <c r="W1874">
        <f>IF([2]Entry!$M$1877="","",[2]Entry!$M$1877)</f>
        <v/>
      </c>
      <c r="X1874">
        <f>IF([2]Entry!$N$1877="","",[2]Entry!$N$1877)</f>
        <v/>
      </c>
      <c r="Y1874">
        <f>IF([2]Entry!$R$1877="","",[2]Entry!$R$1877)</f>
        <v/>
      </c>
    </row>
    <row r="1875">
      <c r="P1875">
        <f>IF([2]Entry!$C$1878="","",[2]Entry!$C$1878)</f>
        <v/>
      </c>
      <c r="Q1875">
        <f>IF([2]Entry!$D$1878="","",[2]Entry!$D$1878)</f>
        <v/>
      </c>
      <c r="R1875">
        <f>IF([2]Entry!$E$1878="","",[2]Entry!$E$1878)</f>
        <v/>
      </c>
      <c r="S1875">
        <f>IF([2]Entry!$G$1878="","",[2]Entry!$G$1878)</f>
        <v/>
      </c>
      <c r="T1875">
        <f>IF([2]Entry!$J$1878="","",[2]Entry!$J$1878)</f>
        <v/>
      </c>
      <c r="U1875">
        <f>IF([2]Entry!$K$1878="","",[2]Entry!$K$1878)</f>
        <v/>
      </c>
      <c r="V1875">
        <f>IF([2]Entry!$L$1878="","",[2]Entry!$L$1878)</f>
        <v/>
      </c>
      <c r="W1875">
        <f>IF([2]Entry!$M$1878="","",[2]Entry!$M$1878)</f>
        <v/>
      </c>
      <c r="X1875">
        <f>IF([2]Entry!$N$1878="","",[2]Entry!$N$1878)</f>
        <v/>
      </c>
      <c r="Y1875">
        <f>IF([2]Entry!$R$1878="","",[2]Entry!$R$1878)</f>
        <v/>
      </c>
    </row>
    <row r="1876">
      <c r="P1876">
        <f>IF([2]Entry!$C$1879="","",[2]Entry!$C$1879)</f>
        <v/>
      </c>
      <c r="Q1876">
        <f>IF([2]Entry!$D$1879="","",[2]Entry!$D$1879)</f>
        <v/>
      </c>
      <c r="R1876">
        <f>IF([2]Entry!$E$1879="","",[2]Entry!$E$1879)</f>
        <v/>
      </c>
      <c r="S1876">
        <f>IF([2]Entry!$G$1879="","",[2]Entry!$G$1879)</f>
        <v/>
      </c>
      <c r="T1876">
        <f>IF([2]Entry!$J$1879="","",[2]Entry!$J$1879)</f>
        <v/>
      </c>
      <c r="U1876">
        <f>IF([2]Entry!$K$1879="","",[2]Entry!$K$1879)</f>
        <v/>
      </c>
      <c r="V1876">
        <f>IF([2]Entry!$L$1879="","",[2]Entry!$L$1879)</f>
        <v/>
      </c>
      <c r="W1876">
        <f>IF([2]Entry!$M$1879="","",[2]Entry!$M$1879)</f>
        <v/>
      </c>
      <c r="X1876">
        <f>IF([2]Entry!$N$1879="","",[2]Entry!$N$1879)</f>
        <v/>
      </c>
      <c r="Y1876">
        <f>IF([2]Entry!$R$1879="","",[2]Entry!$R$1879)</f>
        <v/>
      </c>
    </row>
    <row r="1877">
      <c r="P1877">
        <f>IF([2]Entry!$C$1880="","",[2]Entry!$C$1880)</f>
        <v/>
      </c>
      <c r="Q1877">
        <f>IF([2]Entry!$D$1880="","",[2]Entry!$D$1880)</f>
        <v/>
      </c>
      <c r="R1877">
        <f>IF([2]Entry!$E$1880="","",[2]Entry!$E$1880)</f>
        <v/>
      </c>
      <c r="S1877">
        <f>IF([2]Entry!$G$1880="","",[2]Entry!$G$1880)</f>
        <v/>
      </c>
      <c r="T1877">
        <f>IF([2]Entry!$J$1880="","",[2]Entry!$J$1880)</f>
        <v/>
      </c>
      <c r="U1877">
        <f>IF([2]Entry!$K$1880="","",[2]Entry!$K$1880)</f>
        <v/>
      </c>
      <c r="V1877">
        <f>IF([2]Entry!$L$1880="","",[2]Entry!$L$1880)</f>
        <v/>
      </c>
      <c r="W1877">
        <f>IF([2]Entry!$M$1880="","",[2]Entry!$M$1880)</f>
        <v/>
      </c>
      <c r="X1877">
        <f>IF([2]Entry!$N$1880="","",[2]Entry!$N$1880)</f>
        <v/>
      </c>
      <c r="Y1877">
        <f>IF([2]Entry!$R$1880="","",[2]Entry!$R$1880)</f>
        <v/>
      </c>
    </row>
    <row r="1878">
      <c r="P1878">
        <f>IF([2]Entry!$C$1881="","",[2]Entry!$C$1881)</f>
        <v/>
      </c>
      <c r="Q1878">
        <f>IF([2]Entry!$D$1881="","",[2]Entry!$D$1881)</f>
        <v/>
      </c>
      <c r="R1878">
        <f>IF([2]Entry!$E$1881="","",[2]Entry!$E$1881)</f>
        <v/>
      </c>
      <c r="S1878">
        <f>IF([2]Entry!$G$1881="","",[2]Entry!$G$1881)</f>
        <v/>
      </c>
      <c r="T1878">
        <f>IF([2]Entry!$J$1881="","",[2]Entry!$J$1881)</f>
        <v/>
      </c>
      <c r="U1878">
        <f>IF([2]Entry!$K$1881="","",[2]Entry!$K$1881)</f>
        <v/>
      </c>
      <c r="V1878">
        <f>IF([2]Entry!$L$1881="","",[2]Entry!$L$1881)</f>
        <v/>
      </c>
      <c r="W1878">
        <f>IF([2]Entry!$M$1881="","",[2]Entry!$M$1881)</f>
        <v/>
      </c>
      <c r="X1878">
        <f>IF([2]Entry!$N$1881="","",[2]Entry!$N$1881)</f>
        <v/>
      </c>
      <c r="Y1878">
        <f>IF([2]Entry!$R$1881="","",[2]Entry!$R$1881)</f>
        <v/>
      </c>
    </row>
    <row r="1879">
      <c r="P1879">
        <f>IF([2]Entry!$C$1882="","",[2]Entry!$C$1882)</f>
        <v/>
      </c>
      <c r="Q1879">
        <f>IF([2]Entry!$D$1882="","",[2]Entry!$D$1882)</f>
        <v/>
      </c>
      <c r="R1879">
        <f>IF([2]Entry!$E$1882="","",[2]Entry!$E$1882)</f>
        <v/>
      </c>
      <c r="S1879">
        <f>IF([2]Entry!$G$1882="","",[2]Entry!$G$1882)</f>
        <v/>
      </c>
      <c r="T1879">
        <f>IF([2]Entry!$J$1882="","",[2]Entry!$J$1882)</f>
        <v/>
      </c>
      <c r="U1879">
        <f>IF([2]Entry!$K$1882="","",[2]Entry!$K$1882)</f>
        <v/>
      </c>
      <c r="V1879">
        <f>IF([2]Entry!$L$1882="","",[2]Entry!$L$1882)</f>
        <v/>
      </c>
      <c r="W1879">
        <f>IF([2]Entry!$M$1882="","",[2]Entry!$M$1882)</f>
        <v/>
      </c>
      <c r="X1879">
        <f>IF([2]Entry!$N$1882="","",[2]Entry!$N$1882)</f>
        <v/>
      </c>
      <c r="Y1879">
        <f>IF([2]Entry!$R$1882="","",[2]Entry!$R$1882)</f>
        <v/>
      </c>
    </row>
    <row r="1880">
      <c r="P1880">
        <f>IF([2]Entry!$C$1883="","",[2]Entry!$C$1883)</f>
        <v/>
      </c>
      <c r="Q1880">
        <f>IF([2]Entry!$D$1883="","",[2]Entry!$D$1883)</f>
        <v/>
      </c>
      <c r="R1880">
        <f>IF([2]Entry!$E$1883="","",[2]Entry!$E$1883)</f>
        <v/>
      </c>
      <c r="S1880">
        <f>IF([2]Entry!$G$1883="","",[2]Entry!$G$1883)</f>
        <v/>
      </c>
      <c r="T1880">
        <f>IF([2]Entry!$J$1883="","",[2]Entry!$J$1883)</f>
        <v/>
      </c>
      <c r="U1880">
        <f>IF([2]Entry!$K$1883="","",[2]Entry!$K$1883)</f>
        <v/>
      </c>
      <c r="V1880">
        <f>IF([2]Entry!$L$1883="","",[2]Entry!$L$1883)</f>
        <v/>
      </c>
      <c r="W1880">
        <f>IF([2]Entry!$M$1883="","",[2]Entry!$M$1883)</f>
        <v/>
      </c>
      <c r="X1880">
        <f>IF([2]Entry!$N$1883="","",[2]Entry!$N$1883)</f>
        <v/>
      </c>
      <c r="Y1880">
        <f>IF([2]Entry!$R$1883="","",[2]Entry!$R$1883)</f>
        <v/>
      </c>
    </row>
    <row r="1881">
      <c r="P1881">
        <f>IF([2]Entry!$C$1884="","",[2]Entry!$C$1884)</f>
        <v/>
      </c>
      <c r="Q1881">
        <f>IF([2]Entry!$D$1884="","",[2]Entry!$D$1884)</f>
        <v/>
      </c>
      <c r="R1881">
        <f>IF([2]Entry!$E$1884="","",[2]Entry!$E$1884)</f>
        <v/>
      </c>
      <c r="S1881">
        <f>IF([2]Entry!$G$1884="","",[2]Entry!$G$1884)</f>
        <v/>
      </c>
      <c r="T1881">
        <f>IF([2]Entry!$J$1884="","",[2]Entry!$J$1884)</f>
        <v/>
      </c>
      <c r="U1881">
        <f>IF([2]Entry!$K$1884="","",[2]Entry!$K$1884)</f>
        <v/>
      </c>
      <c r="V1881">
        <f>IF([2]Entry!$L$1884="","",[2]Entry!$L$1884)</f>
        <v/>
      </c>
      <c r="W1881">
        <f>IF([2]Entry!$M$1884="","",[2]Entry!$M$1884)</f>
        <v/>
      </c>
      <c r="X1881">
        <f>IF([2]Entry!$N$1884="","",[2]Entry!$N$1884)</f>
        <v/>
      </c>
      <c r="Y1881">
        <f>IF([2]Entry!$R$1884="","",[2]Entry!$R$1884)</f>
        <v/>
      </c>
    </row>
    <row r="1882">
      <c r="P1882">
        <f>IF([2]Entry!$C$1885="","",[2]Entry!$C$1885)</f>
        <v/>
      </c>
      <c r="Q1882">
        <f>IF([2]Entry!$D$1885="","",[2]Entry!$D$1885)</f>
        <v/>
      </c>
      <c r="R1882">
        <f>IF([2]Entry!$E$1885="","",[2]Entry!$E$1885)</f>
        <v/>
      </c>
      <c r="S1882">
        <f>IF([2]Entry!$G$1885="","",[2]Entry!$G$1885)</f>
        <v/>
      </c>
      <c r="T1882">
        <f>IF([2]Entry!$J$1885="","",[2]Entry!$J$1885)</f>
        <v/>
      </c>
      <c r="U1882">
        <f>IF([2]Entry!$K$1885="","",[2]Entry!$K$1885)</f>
        <v/>
      </c>
      <c r="V1882">
        <f>IF([2]Entry!$L$1885="","",[2]Entry!$L$1885)</f>
        <v/>
      </c>
      <c r="W1882">
        <f>IF([2]Entry!$M$1885="","",[2]Entry!$M$1885)</f>
        <v/>
      </c>
      <c r="X1882">
        <f>IF([2]Entry!$N$1885="","",[2]Entry!$N$1885)</f>
        <v/>
      </c>
      <c r="Y1882">
        <f>IF([2]Entry!$R$1885="","",[2]Entry!$R$1885)</f>
        <v/>
      </c>
    </row>
    <row r="1883">
      <c r="P1883">
        <f>IF([2]Entry!$C$1886="","",[2]Entry!$C$1886)</f>
        <v/>
      </c>
      <c r="Q1883">
        <f>IF([2]Entry!$D$1886="","",[2]Entry!$D$1886)</f>
        <v/>
      </c>
      <c r="R1883">
        <f>IF([2]Entry!$E$1886="","",[2]Entry!$E$1886)</f>
        <v/>
      </c>
      <c r="S1883">
        <f>IF([2]Entry!$G$1886="","",[2]Entry!$G$1886)</f>
        <v/>
      </c>
      <c r="T1883">
        <f>IF([2]Entry!$J$1886="","",[2]Entry!$J$1886)</f>
        <v/>
      </c>
      <c r="U1883">
        <f>IF([2]Entry!$K$1886="","",[2]Entry!$K$1886)</f>
        <v/>
      </c>
      <c r="V1883">
        <f>IF([2]Entry!$L$1886="","",[2]Entry!$L$1886)</f>
        <v/>
      </c>
      <c r="W1883">
        <f>IF([2]Entry!$M$1886="","",[2]Entry!$M$1886)</f>
        <v/>
      </c>
      <c r="X1883">
        <f>IF([2]Entry!$N$1886="","",[2]Entry!$N$1886)</f>
        <v/>
      </c>
      <c r="Y1883">
        <f>IF([2]Entry!$R$1886="","",[2]Entry!$R$1886)</f>
        <v/>
      </c>
    </row>
    <row r="1884">
      <c r="P1884">
        <f>IF([2]Entry!$C$1887="","",[2]Entry!$C$1887)</f>
        <v/>
      </c>
      <c r="Q1884">
        <f>IF([2]Entry!$D$1887="","",[2]Entry!$D$1887)</f>
        <v/>
      </c>
      <c r="R1884">
        <f>IF([2]Entry!$E$1887="","",[2]Entry!$E$1887)</f>
        <v/>
      </c>
      <c r="S1884">
        <f>IF([2]Entry!$G$1887="","",[2]Entry!$G$1887)</f>
        <v/>
      </c>
      <c r="T1884">
        <f>IF([2]Entry!$J$1887="","",[2]Entry!$J$1887)</f>
        <v/>
      </c>
      <c r="U1884">
        <f>IF([2]Entry!$K$1887="","",[2]Entry!$K$1887)</f>
        <v/>
      </c>
      <c r="V1884">
        <f>IF([2]Entry!$L$1887="","",[2]Entry!$L$1887)</f>
        <v/>
      </c>
      <c r="W1884">
        <f>IF([2]Entry!$M$1887="","",[2]Entry!$M$1887)</f>
        <v/>
      </c>
      <c r="X1884">
        <f>IF([2]Entry!$N$1887="","",[2]Entry!$N$1887)</f>
        <v/>
      </c>
      <c r="Y1884">
        <f>IF([2]Entry!$R$1887="","",[2]Entry!$R$1887)</f>
        <v/>
      </c>
    </row>
    <row r="1885">
      <c r="P1885">
        <f>IF([2]Entry!$C$1888="","",[2]Entry!$C$1888)</f>
        <v/>
      </c>
      <c r="Q1885">
        <f>IF([2]Entry!$D$1888="","",[2]Entry!$D$1888)</f>
        <v/>
      </c>
      <c r="R1885">
        <f>IF([2]Entry!$E$1888="","",[2]Entry!$E$1888)</f>
        <v/>
      </c>
      <c r="S1885">
        <f>IF([2]Entry!$G$1888="","",[2]Entry!$G$1888)</f>
        <v/>
      </c>
      <c r="T1885">
        <f>IF([2]Entry!$J$1888="","",[2]Entry!$J$1888)</f>
        <v/>
      </c>
      <c r="U1885">
        <f>IF([2]Entry!$K$1888="","",[2]Entry!$K$1888)</f>
        <v/>
      </c>
      <c r="V1885">
        <f>IF([2]Entry!$L$1888="","",[2]Entry!$L$1888)</f>
        <v/>
      </c>
      <c r="W1885">
        <f>IF([2]Entry!$M$1888="","",[2]Entry!$M$1888)</f>
        <v/>
      </c>
      <c r="X1885">
        <f>IF([2]Entry!$N$1888="","",[2]Entry!$N$1888)</f>
        <v/>
      </c>
      <c r="Y1885">
        <f>IF([2]Entry!$R$1888="","",[2]Entry!$R$1888)</f>
        <v/>
      </c>
    </row>
    <row r="1886">
      <c r="P1886">
        <f>IF([2]Entry!$C$1889="","",[2]Entry!$C$1889)</f>
        <v/>
      </c>
      <c r="Q1886">
        <f>IF([2]Entry!$D$1889="","",[2]Entry!$D$1889)</f>
        <v/>
      </c>
      <c r="R1886">
        <f>IF([2]Entry!$E$1889="","",[2]Entry!$E$1889)</f>
        <v/>
      </c>
      <c r="S1886">
        <f>IF([2]Entry!$G$1889="","",[2]Entry!$G$1889)</f>
        <v/>
      </c>
      <c r="T1886">
        <f>IF([2]Entry!$J$1889="","",[2]Entry!$J$1889)</f>
        <v/>
      </c>
      <c r="U1886">
        <f>IF([2]Entry!$K$1889="","",[2]Entry!$K$1889)</f>
        <v/>
      </c>
      <c r="V1886">
        <f>IF([2]Entry!$L$1889="","",[2]Entry!$L$1889)</f>
        <v/>
      </c>
      <c r="W1886">
        <f>IF([2]Entry!$M$1889="","",[2]Entry!$M$1889)</f>
        <v/>
      </c>
      <c r="X1886">
        <f>IF([2]Entry!$N$1889="","",[2]Entry!$N$1889)</f>
        <v/>
      </c>
      <c r="Y1886">
        <f>IF([2]Entry!$R$1889="","",[2]Entry!$R$1889)</f>
        <v/>
      </c>
    </row>
    <row r="1887">
      <c r="P1887">
        <f>IF([2]Entry!$C$1890="","",[2]Entry!$C$1890)</f>
        <v/>
      </c>
      <c r="Q1887">
        <f>IF([2]Entry!$D$1890="","",[2]Entry!$D$1890)</f>
        <v/>
      </c>
      <c r="R1887">
        <f>IF([2]Entry!$E$1890="","",[2]Entry!$E$1890)</f>
        <v/>
      </c>
      <c r="S1887">
        <f>IF([2]Entry!$G$1890="","",[2]Entry!$G$1890)</f>
        <v/>
      </c>
      <c r="T1887">
        <f>IF([2]Entry!$J$1890="","",[2]Entry!$J$1890)</f>
        <v/>
      </c>
      <c r="U1887">
        <f>IF([2]Entry!$K$1890="","",[2]Entry!$K$1890)</f>
        <v/>
      </c>
      <c r="V1887">
        <f>IF([2]Entry!$L$1890="","",[2]Entry!$L$1890)</f>
        <v/>
      </c>
      <c r="W1887">
        <f>IF([2]Entry!$M$1890="","",[2]Entry!$M$1890)</f>
        <v/>
      </c>
      <c r="X1887">
        <f>IF([2]Entry!$N$1890="","",[2]Entry!$N$1890)</f>
        <v/>
      </c>
      <c r="Y1887">
        <f>IF([2]Entry!$R$1890="","",[2]Entry!$R$1890)</f>
        <v/>
      </c>
    </row>
    <row r="1888">
      <c r="P1888">
        <f>IF([2]Entry!$C$1891="","",[2]Entry!$C$1891)</f>
        <v/>
      </c>
      <c r="Q1888">
        <f>IF([2]Entry!$D$1891="","",[2]Entry!$D$1891)</f>
        <v/>
      </c>
      <c r="R1888">
        <f>IF([2]Entry!$E$1891="","",[2]Entry!$E$1891)</f>
        <v/>
      </c>
      <c r="S1888">
        <f>IF([2]Entry!$G$1891="","",[2]Entry!$G$1891)</f>
        <v/>
      </c>
      <c r="T1888">
        <f>IF([2]Entry!$J$1891="","",[2]Entry!$J$1891)</f>
        <v/>
      </c>
      <c r="U1888">
        <f>IF([2]Entry!$K$1891="","",[2]Entry!$K$1891)</f>
        <v/>
      </c>
      <c r="V1888">
        <f>IF([2]Entry!$L$1891="","",[2]Entry!$L$1891)</f>
        <v/>
      </c>
      <c r="W1888">
        <f>IF([2]Entry!$M$1891="","",[2]Entry!$M$1891)</f>
        <v/>
      </c>
      <c r="X1888">
        <f>IF([2]Entry!$N$1891="","",[2]Entry!$N$1891)</f>
        <v/>
      </c>
      <c r="Y1888">
        <f>IF([2]Entry!$R$1891="","",[2]Entry!$R$1891)</f>
        <v/>
      </c>
    </row>
    <row r="1889">
      <c r="P1889">
        <f>IF([2]Entry!$C$1892="","",[2]Entry!$C$1892)</f>
        <v/>
      </c>
      <c r="Q1889">
        <f>IF([2]Entry!$D$1892="","",[2]Entry!$D$1892)</f>
        <v/>
      </c>
      <c r="R1889">
        <f>IF([2]Entry!$E$1892="","",[2]Entry!$E$1892)</f>
        <v/>
      </c>
      <c r="S1889">
        <f>IF([2]Entry!$G$1892="","",[2]Entry!$G$1892)</f>
        <v/>
      </c>
      <c r="T1889">
        <f>IF([2]Entry!$J$1892="","",[2]Entry!$J$1892)</f>
        <v/>
      </c>
      <c r="U1889">
        <f>IF([2]Entry!$K$1892="","",[2]Entry!$K$1892)</f>
        <v/>
      </c>
      <c r="V1889">
        <f>IF([2]Entry!$L$1892="","",[2]Entry!$L$1892)</f>
        <v/>
      </c>
      <c r="W1889">
        <f>IF([2]Entry!$M$1892="","",[2]Entry!$M$1892)</f>
        <v/>
      </c>
      <c r="X1889">
        <f>IF([2]Entry!$N$1892="","",[2]Entry!$N$1892)</f>
        <v/>
      </c>
      <c r="Y1889">
        <f>IF([2]Entry!$R$1892="","",[2]Entry!$R$1892)</f>
        <v/>
      </c>
    </row>
    <row r="1890">
      <c r="P1890">
        <f>IF([2]Entry!$C$1893="","",[2]Entry!$C$1893)</f>
        <v/>
      </c>
      <c r="Q1890">
        <f>IF([2]Entry!$D$1893="","",[2]Entry!$D$1893)</f>
        <v/>
      </c>
      <c r="R1890">
        <f>IF([2]Entry!$E$1893="","",[2]Entry!$E$1893)</f>
        <v/>
      </c>
      <c r="S1890">
        <f>IF([2]Entry!$G$1893="","",[2]Entry!$G$1893)</f>
        <v/>
      </c>
      <c r="T1890">
        <f>IF([2]Entry!$J$1893="","",[2]Entry!$J$1893)</f>
        <v/>
      </c>
      <c r="U1890">
        <f>IF([2]Entry!$K$1893="","",[2]Entry!$K$1893)</f>
        <v/>
      </c>
      <c r="V1890">
        <f>IF([2]Entry!$L$1893="","",[2]Entry!$L$1893)</f>
        <v/>
      </c>
      <c r="W1890">
        <f>IF([2]Entry!$M$1893="","",[2]Entry!$M$1893)</f>
        <v/>
      </c>
      <c r="X1890">
        <f>IF([2]Entry!$N$1893="","",[2]Entry!$N$1893)</f>
        <v/>
      </c>
      <c r="Y1890">
        <f>IF([2]Entry!$R$1893="","",[2]Entry!$R$1893)</f>
        <v/>
      </c>
    </row>
    <row r="1891">
      <c r="P1891">
        <f>IF([2]Entry!$C$1894="","",[2]Entry!$C$1894)</f>
        <v/>
      </c>
      <c r="Q1891">
        <f>IF([2]Entry!$D$1894="","",[2]Entry!$D$1894)</f>
        <v/>
      </c>
      <c r="R1891">
        <f>IF([2]Entry!$E$1894="","",[2]Entry!$E$1894)</f>
        <v/>
      </c>
      <c r="S1891">
        <f>IF([2]Entry!$G$1894="","",[2]Entry!$G$1894)</f>
        <v/>
      </c>
      <c r="T1891">
        <f>IF([2]Entry!$J$1894="","",[2]Entry!$J$1894)</f>
        <v/>
      </c>
      <c r="U1891">
        <f>IF([2]Entry!$K$1894="","",[2]Entry!$K$1894)</f>
        <v/>
      </c>
      <c r="V1891">
        <f>IF([2]Entry!$L$1894="","",[2]Entry!$L$1894)</f>
        <v/>
      </c>
      <c r="W1891">
        <f>IF([2]Entry!$M$1894="","",[2]Entry!$M$1894)</f>
        <v/>
      </c>
      <c r="X1891">
        <f>IF([2]Entry!$N$1894="","",[2]Entry!$N$1894)</f>
        <v/>
      </c>
      <c r="Y1891">
        <f>IF([2]Entry!$R$1894="","",[2]Entry!$R$1894)</f>
        <v/>
      </c>
    </row>
    <row r="1892">
      <c r="P1892">
        <f>IF([2]Entry!$C$1895="","",[2]Entry!$C$1895)</f>
        <v/>
      </c>
      <c r="Q1892">
        <f>IF([2]Entry!$D$1895="","",[2]Entry!$D$1895)</f>
        <v/>
      </c>
      <c r="R1892">
        <f>IF([2]Entry!$E$1895="","",[2]Entry!$E$1895)</f>
        <v/>
      </c>
      <c r="S1892">
        <f>IF([2]Entry!$G$1895="","",[2]Entry!$G$1895)</f>
        <v/>
      </c>
      <c r="T1892">
        <f>IF([2]Entry!$J$1895="","",[2]Entry!$J$1895)</f>
        <v/>
      </c>
      <c r="U1892">
        <f>IF([2]Entry!$K$1895="","",[2]Entry!$K$1895)</f>
        <v/>
      </c>
      <c r="V1892">
        <f>IF([2]Entry!$L$1895="","",[2]Entry!$L$1895)</f>
        <v/>
      </c>
      <c r="W1892">
        <f>IF([2]Entry!$M$1895="","",[2]Entry!$M$1895)</f>
        <v/>
      </c>
      <c r="X1892">
        <f>IF([2]Entry!$N$1895="","",[2]Entry!$N$1895)</f>
        <v/>
      </c>
      <c r="Y1892">
        <f>IF([2]Entry!$R$1895="","",[2]Entry!$R$1895)</f>
        <v/>
      </c>
    </row>
    <row r="1893">
      <c r="P1893">
        <f>IF([2]Entry!$C$1896="","",[2]Entry!$C$1896)</f>
        <v/>
      </c>
      <c r="Q1893">
        <f>IF([2]Entry!$D$1896="","",[2]Entry!$D$1896)</f>
        <v/>
      </c>
      <c r="R1893">
        <f>IF([2]Entry!$E$1896="","",[2]Entry!$E$1896)</f>
        <v/>
      </c>
      <c r="S1893">
        <f>IF([2]Entry!$G$1896="","",[2]Entry!$G$1896)</f>
        <v/>
      </c>
      <c r="T1893">
        <f>IF([2]Entry!$J$1896="","",[2]Entry!$J$1896)</f>
        <v/>
      </c>
      <c r="U1893">
        <f>IF([2]Entry!$K$1896="","",[2]Entry!$K$1896)</f>
        <v/>
      </c>
      <c r="V1893">
        <f>IF([2]Entry!$L$1896="","",[2]Entry!$L$1896)</f>
        <v/>
      </c>
      <c r="W1893">
        <f>IF([2]Entry!$M$1896="","",[2]Entry!$M$1896)</f>
        <v/>
      </c>
      <c r="X1893">
        <f>IF([2]Entry!$N$1896="","",[2]Entry!$N$1896)</f>
        <v/>
      </c>
      <c r="Y1893">
        <f>IF([2]Entry!$R$1896="","",[2]Entry!$R$1896)</f>
        <v/>
      </c>
    </row>
    <row r="1894">
      <c r="P1894">
        <f>IF([2]Entry!$C$1897="","",[2]Entry!$C$1897)</f>
        <v/>
      </c>
      <c r="Q1894">
        <f>IF([2]Entry!$D$1897="","",[2]Entry!$D$1897)</f>
        <v/>
      </c>
      <c r="R1894">
        <f>IF([2]Entry!$E$1897="","",[2]Entry!$E$1897)</f>
        <v/>
      </c>
      <c r="S1894">
        <f>IF([2]Entry!$G$1897="","",[2]Entry!$G$1897)</f>
        <v/>
      </c>
      <c r="T1894">
        <f>IF([2]Entry!$J$1897="","",[2]Entry!$J$1897)</f>
        <v/>
      </c>
      <c r="U1894">
        <f>IF([2]Entry!$K$1897="","",[2]Entry!$K$1897)</f>
        <v/>
      </c>
      <c r="V1894">
        <f>IF([2]Entry!$L$1897="","",[2]Entry!$L$1897)</f>
        <v/>
      </c>
      <c r="W1894">
        <f>IF([2]Entry!$M$1897="","",[2]Entry!$M$1897)</f>
        <v/>
      </c>
      <c r="X1894">
        <f>IF([2]Entry!$N$1897="","",[2]Entry!$N$1897)</f>
        <v/>
      </c>
      <c r="Y1894">
        <f>IF([2]Entry!$R$1897="","",[2]Entry!$R$1897)</f>
        <v/>
      </c>
    </row>
    <row r="1895">
      <c r="P1895">
        <f>IF([2]Entry!$C$1898="","",[2]Entry!$C$1898)</f>
        <v/>
      </c>
      <c r="Q1895">
        <f>IF([2]Entry!$D$1898="","",[2]Entry!$D$1898)</f>
        <v/>
      </c>
      <c r="R1895">
        <f>IF([2]Entry!$E$1898="","",[2]Entry!$E$1898)</f>
        <v/>
      </c>
      <c r="S1895">
        <f>IF([2]Entry!$G$1898="","",[2]Entry!$G$1898)</f>
        <v/>
      </c>
      <c r="T1895">
        <f>IF([2]Entry!$J$1898="","",[2]Entry!$J$1898)</f>
        <v/>
      </c>
      <c r="U1895">
        <f>IF([2]Entry!$K$1898="","",[2]Entry!$K$1898)</f>
        <v/>
      </c>
      <c r="V1895">
        <f>IF([2]Entry!$L$1898="","",[2]Entry!$L$1898)</f>
        <v/>
      </c>
      <c r="W1895">
        <f>IF([2]Entry!$M$1898="","",[2]Entry!$M$1898)</f>
        <v/>
      </c>
      <c r="X1895">
        <f>IF([2]Entry!$N$1898="","",[2]Entry!$N$1898)</f>
        <v/>
      </c>
      <c r="Y1895">
        <f>IF([2]Entry!$R$1898="","",[2]Entry!$R$1898)</f>
        <v/>
      </c>
    </row>
    <row r="1896">
      <c r="P1896">
        <f>IF([2]Entry!$C$1899="","",[2]Entry!$C$1899)</f>
        <v/>
      </c>
      <c r="Q1896">
        <f>IF([2]Entry!$D$1899="","",[2]Entry!$D$1899)</f>
        <v/>
      </c>
      <c r="R1896">
        <f>IF([2]Entry!$E$1899="","",[2]Entry!$E$1899)</f>
        <v/>
      </c>
      <c r="S1896">
        <f>IF([2]Entry!$G$1899="","",[2]Entry!$G$1899)</f>
        <v/>
      </c>
      <c r="T1896">
        <f>IF([2]Entry!$J$1899="","",[2]Entry!$J$1899)</f>
        <v/>
      </c>
      <c r="U1896">
        <f>IF([2]Entry!$K$1899="","",[2]Entry!$K$1899)</f>
        <v/>
      </c>
      <c r="V1896">
        <f>IF([2]Entry!$L$1899="","",[2]Entry!$L$1899)</f>
        <v/>
      </c>
      <c r="W1896">
        <f>IF([2]Entry!$M$1899="","",[2]Entry!$M$1899)</f>
        <v/>
      </c>
      <c r="X1896">
        <f>IF([2]Entry!$N$1899="","",[2]Entry!$N$1899)</f>
        <v/>
      </c>
      <c r="Y1896">
        <f>IF([2]Entry!$R$1899="","",[2]Entry!$R$1899)</f>
        <v/>
      </c>
    </row>
    <row r="1897">
      <c r="P1897">
        <f>IF([2]Entry!$C$1900="","",[2]Entry!$C$1900)</f>
        <v/>
      </c>
      <c r="Q1897">
        <f>IF([2]Entry!$D$1900="","",[2]Entry!$D$1900)</f>
        <v/>
      </c>
      <c r="R1897">
        <f>IF([2]Entry!$E$1900="","",[2]Entry!$E$1900)</f>
        <v/>
      </c>
      <c r="S1897">
        <f>IF([2]Entry!$G$1900="","",[2]Entry!$G$1900)</f>
        <v/>
      </c>
      <c r="T1897">
        <f>IF([2]Entry!$J$1900="","",[2]Entry!$J$1900)</f>
        <v/>
      </c>
      <c r="U1897">
        <f>IF([2]Entry!$K$1900="","",[2]Entry!$K$1900)</f>
        <v/>
      </c>
      <c r="V1897">
        <f>IF([2]Entry!$L$1900="","",[2]Entry!$L$1900)</f>
        <v/>
      </c>
      <c r="W1897">
        <f>IF([2]Entry!$M$1900="","",[2]Entry!$M$1900)</f>
        <v/>
      </c>
      <c r="X1897">
        <f>IF([2]Entry!$N$1900="","",[2]Entry!$N$1900)</f>
        <v/>
      </c>
      <c r="Y1897">
        <f>IF([2]Entry!$R$1900="","",[2]Entry!$R$1900)</f>
        <v/>
      </c>
    </row>
    <row r="1898">
      <c r="P1898">
        <f>IF([2]Entry!$C$1901="","",[2]Entry!$C$1901)</f>
        <v/>
      </c>
      <c r="Q1898">
        <f>IF([2]Entry!$D$1901="","",[2]Entry!$D$1901)</f>
        <v/>
      </c>
      <c r="R1898">
        <f>IF([2]Entry!$E$1901="","",[2]Entry!$E$1901)</f>
        <v/>
      </c>
      <c r="S1898">
        <f>IF([2]Entry!$G$1901="","",[2]Entry!$G$1901)</f>
        <v/>
      </c>
      <c r="T1898">
        <f>IF([2]Entry!$J$1901="","",[2]Entry!$J$1901)</f>
        <v/>
      </c>
      <c r="U1898">
        <f>IF([2]Entry!$K$1901="","",[2]Entry!$K$1901)</f>
        <v/>
      </c>
      <c r="V1898">
        <f>IF([2]Entry!$L$1901="","",[2]Entry!$L$1901)</f>
        <v/>
      </c>
      <c r="W1898">
        <f>IF([2]Entry!$M$1901="","",[2]Entry!$M$1901)</f>
        <v/>
      </c>
      <c r="X1898">
        <f>IF([2]Entry!$N$1901="","",[2]Entry!$N$1901)</f>
        <v/>
      </c>
      <c r="Y1898">
        <f>IF([2]Entry!$R$1901="","",[2]Entry!$R$1901)</f>
        <v/>
      </c>
    </row>
    <row r="1899">
      <c r="P1899">
        <f>IF([2]Entry!$C$1902="","",[2]Entry!$C$1902)</f>
        <v/>
      </c>
      <c r="Q1899">
        <f>IF([2]Entry!$D$1902="","",[2]Entry!$D$1902)</f>
        <v/>
      </c>
      <c r="R1899">
        <f>IF([2]Entry!$E$1902="","",[2]Entry!$E$1902)</f>
        <v/>
      </c>
      <c r="S1899">
        <f>IF([2]Entry!$G$1902="","",[2]Entry!$G$1902)</f>
        <v/>
      </c>
      <c r="T1899">
        <f>IF([2]Entry!$J$1902="","",[2]Entry!$J$1902)</f>
        <v/>
      </c>
      <c r="U1899">
        <f>IF([2]Entry!$K$1902="","",[2]Entry!$K$1902)</f>
        <v/>
      </c>
      <c r="V1899">
        <f>IF([2]Entry!$L$1902="","",[2]Entry!$L$1902)</f>
        <v/>
      </c>
      <c r="W1899">
        <f>IF([2]Entry!$M$1902="","",[2]Entry!$M$1902)</f>
        <v/>
      </c>
      <c r="X1899">
        <f>IF([2]Entry!$N$1902="","",[2]Entry!$N$1902)</f>
        <v/>
      </c>
      <c r="Y1899">
        <f>IF([2]Entry!$R$1902="","",[2]Entry!$R$1902)</f>
        <v/>
      </c>
    </row>
    <row r="1900">
      <c r="P1900">
        <f>IF([2]Entry!$C$1903="","",[2]Entry!$C$1903)</f>
        <v/>
      </c>
      <c r="Q1900">
        <f>IF([2]Entry!$D$1903="","",[2]Entry!$D$1903)</f>
        <v/>
      </c>
      <c r="R1900">
        <f>IF([2]Entry!$E$1903="","",[2]Entry!$E$1903)</f>
        <v/>
      </c>
      <c r="S1900">
        <f>IF([2]Entry!$G$1903="","",[2]Entry!$G$1903)</f>
        <v/>
      </c>
      <c r="T1900">
        <f>IF([2]Entry!$J$1903="","",[2]Entry!$J$1903)</f>
        <v/>
      </c>
      <c r="U1900">
        <f>IF([2]Entry!$K$1903="","",[2]Entry!$K$1903)</f>
        <v/>
      </c>
      <c r="V1900">
        <f>IF([2]Entry!$L$1903="","",[2]Entry!$L$1903)</f>
        <v/>
      </c>
      <c r="W1900">
        <f>IF([2]Entry!$M$1903="","",[2]Entry!$M$1903)</f>
        <v/>
      </c>
      <c r="X1900">
        <f>IF([2]Entry!$N$1903="","",[2]Entry!$N$1903)</f>
        <v/>
      </c>
      <c r="Y1900">
        <f>IF([2]Entry!$R$1903="","",[2]Entry!$R$1903)</f>
        <v/>
      </c>
    </row>
    <row r="1901">
      <c r="P1901">
        <f>IF([2]Entry!$C$1904="","",[2]Entry!$C$1904)</f>
        <v/>
      </c>
      <c r="Q1901">
        <f>IF([2]Entry!$D$1904="","",[2]Entry!$D$1904)</f>
        <v/>
      </c>
      <c r="R1901">
        <f>IF([2]Entry!$E$1904="","",[2]Entry!$E$1904)</f>
        <v/>
      </c>
      <c r="S1901">
        <f>IF([2]Entry!$G$1904="","",[2]Entry!$G$1904)</f>
        <v/>
      </c>
      <c r="T1901">
        <f>IF([2]Entry!$J$1904="","",[2]Entry!$J$1904)</f>
        <v/>
      </c>
      <c r="U1901">
        <f>IF([2]Entry!$K$1904="","",[2]Entry!$K$1904)</f>
        <v/>
      </c>
      <c r="V1901">
        <f>IF([2]Entry!$L$1904="","",[2]Entry!$L$1904)</f>
        <v/>
      </c>
      <c r="W1901">
        <f>IF([2]Entry!$M$1904="","",[2]Entry!$M$1904)</f>
        <v/>
      </c>
      <c r="X1901">
        <f>IF([2]Entry!$N$1904="","",[2]Entry!$N$1904)</f>
        <v/>
      </c>
      <c r="Y1901">
        <f>IF([2]Entry!$R$1904="","",[2]Entry!$R$1904)</f>
        <v/>
      </c>
    </row>
    <row r="1902">
      <c r="P1902">
        <f>IF([2]Entry!$C$1905="","",[2]Entry!$C$1905)</f>
        <v/>
      </c>
      <c r="Q1902">
        <f>IF([2]Entry!$D$1905="","",[2]Entry!$D$1905)</f>
        <v/>
      </c>
      <c r="R1902">
        <f>IF([2]Entry!$E$1905="","",[2]Entry!$E$1905)</f>
        <v/>
      </c>
      <c r="S1902">
        <f>IF([2]Entry!$G$1905="","",[2]Entry!$G$1905)</f>
        <v/>
      </c>
      <c r="T1902">
        <f>IF([2]Entry!$J$1905="","",[2]Entry!$J$1905)</f>
        <v/>
      </c>
      <c r="U1902">
        <f>IF([2]Entry!$K$1905="","",[2]Entry!$K$1905)</f>
        <v/>
      </c>
      <c r="V1902">
        <f>IF([2]Entry!$L$1905="","",[2]Entry!$L$1905)</f>
        <v/>
      </c>
      <c r="W1902">
        <f>IF([2]Entry!$M$1905="","",[2]Entry!$M$1905)</f>
        <v/>
      </c>
      <c r="X1902">
        <f>IF([2]Entry!$N$1905="","",[2]Entry!$N$1905)</f>
        <v/>
      </c>
      <c r="Y1902">
        <f>IF([2]Entry!$R$1905="","",[2]Entry!$R$1905)</f>
        <v/>
      </c>
    </row>
    <row r="1903">
      <c r="P1903">
        <f>IF([2]Entry!$C$1906="","",[2]Entry!$C$1906)</f>
        <v/>
      </c>
      <c r="Q1903">
        <f>IF([2]Entry!$D$1906="","",[2]Entry!$D$1906)</f>
        <v/>
      </c>
      <c r="R1903">
        <f>IF([2]Entry!$E$1906="","",[2]Entry!$E$1906)</f>
        <v/>
      </c>
      <c r="S1903">
        <f>IF([2]Entry!$G$1906="","",[2]Entry!$G$1906)</f>
        <v/>
      </c>
      <c r="T1903">
        <f>IF([2]Entry!$J$1906="","",[2]Entry!$J$1906)</f>
        <v/>
      </c>
      <c r="U1903">
        <f>IF([2]Entry!$K$1906="","",[2]Entry!$K$1906)</f>
        <v/>
      </c>
      <c r="V1903">
        <f>IF([2]Entry!$L$1906="","",[2]Entry!$L$1906)</f>
        <v/>
      </c>
      <c r="W1903">
        <f>IF([2]Entry!$M$1906="","",[2]Entry!$M$1906)</f>
        <v/>
      </c>
      <c r="X1903">
        <f>IF([2]Entry!$N$1906="","",[2]Entry!$N$1906)</f>
        <v/>
      </c>
      <c r="Y1903">
        <f>IF([2]Entry!$R$1906="","",[2]Entry!$R$1906)</f>
        <v/>
      </c>
    </row>
    <row r="1904">
      <c r="P1904">
        <f>IF([2]Entry!$C$1907="","",[2]Entry!$C$1907)</f>
        <v/>
      </c>
      <c r="Q1904">
        <f>IF([2]Entry!$D$1907="","",[2]Entry!$D$1907)</f>
        <v/>
      </c>
      <c r="R1904">
        <f>IF([2]Entry!$E$1907="","",[2]Entry!$E$1907)</f>
        <v/>
      </c>
      <c r="S1904">
        <f>IF([2]Entry!$G$1907="","",[2]Entry!$G$1907)</f>
        <v/>
      </c>
      <c r="T1904">
        <f>IF([2]Entry!$J$1907="","",[2]Entry!$J$1907)</f>
        <v/>
      </c>
      <c r="U1904">
        <f>IF([2]Entry!$K$1907="","",[2]Entry!$K$1907)</f>
        <v/>
      </c>
      <c r="V1904">
        <f>IF([2]Entry!$L$1907="","",[2]Entry!$L$1907)</f>
        <v/>
      </c>
      <c r="W1904">
        <f>IF([2]Entry!$M$1907="","",[2]Entry!$M$1907)</f>
        <v/>
      </c>
      <c r="X1904">
        <f>IF([2]Entry!$N$1907="","",[2]Entry!$N$1907)</f>
        <v/>
      </c>
      <c r="Y1904">
        <f>IF([2]Entry!$R$1907="","",[2]Entry!$R$1907)</f>
        <v/>
      </c>
    </row>
    <row r="1905">
      <c r="P1905">
        <f>IF([2]Entry!$C$1908="","",[2]Entry!$C$1908)</f>
        <v/>
      </c>
      <c r="Q1905">
        <f>IF([2]Entry!$D$1908="","",[2]Entry!$D$1908)</f>
        <v/>
      </c>
      <c r="R1905">
        <f>IF([2]Entry!$E$1908="","",[2]Entry!$E$1908)</f>
        <v/>
      </c>
      <c r="S1905">
        <f>IF([2]Entry!$G$1908="","",[2]Entry!$G$1908)</f>
        <v/>
      </c>
      <c r="T1905">
        <f>IF([2]Entry!$J$1908="","",[2]Entry!$J$1908)</f>
        <v/>
      </c>
      <c r="U1905">
        <f>IF([2]Entry!$K$1908="","",[2]Entry!$K$1908)</f>
        <v/>
      </c>
      <c r="V1905">
        <f>IF([2]Entry!$L$1908="","",[2]Entry!$L$1908)</f>
        <v/>
      </c>
      <c r="W1905">
        <f>IF([2]Entry!$M$1908="","",[2]Entry!$M$1908)</f>
        <v/>
      </c>
      <c r="X1905">
        <f>IF([2]Entry!$N$1908="","",[2]Entry!$N$1908)</f>
        <v/>
      </c>
      <c r="Y1905">
        <f>IF([2]Entry!$R$1908="","",[2]Entry!$R$1908)</f>
        <v/>
      </c>
    </row>
    <row r="1906">
      <c r="P1906">
        <f>IF([2]Entry!$C$1909="","",[2]Entry!$C$1909)</f>
        <v/>
      </c>
      <c r="Q1906">
        <f>IF([2]Entry!$D$1909="","",[2]Entry!$D$1909)</f>
        <v/>
      </c>
      <c r="R1906">
        <f>IF([2]Entry!$E$1909="","",[2]Entry!$E$1909)</f>
        <v/>
      </c>
      <c r="S1906">
        <f>IF([2]Entry!$G$1909="","",[2]Entry!$G$1909)</f>
        <v/>
      </c>
      <c r="T1906">
        <f>IF([2]Entry!$J$1909="","",[2]Entry!$J$1909)</f>
        <v/>
      </c>
      <c r="U1906">
        <f>IF([2]Entry!$K$1909="","",[2]Entry!$K$1909)</f>
        <v/>
      </c>
      <c r="V1906">
        <f>IF([2]Entry!$L$1909="","",[2]Entry!$L$1909)</f>
        <v/>
      </c>
      <c r="W1906">
        <f>IF([2]Entry!$M$1909="","",[2]Entry!$M$1909)</f>
        <v/>
      </c>
      <c r="X1906">
        <f>IF([2]Entry!$N$1909="","",[2]Entry!$N$1909)</f>
        <v/>
      </c>
      <c r="Y1906">
        <f>IF([2]Entry!$R$1909="","",[2]Entry!$R$1909)</f>
        <v/>
      </c>
    </row>
    <row r="1907">
      <c r="P1907">
        <f>IF([2]Entry!$C$1910="","",[2]Entry!$C$1910)</f>
        <v/>
      </c>
      <c r="Q1907">
        <f>IF([2]Entry!$D$1910="","",[2]Entry!$D$1910)</f>
        <v/>
      </c>
      <c r="R1907">
        <f>IF([2]Entry!$E$1910="","",[2]Entry!$E$1910)</f>
        <v/>
      </c>
      <c r="S1907">
        <f>IF([2]Entry!$G$1910="","",[2]Entry!$G$1910)</f>
        <v/>
      </c>
      <c r="T1907">
        <f>IF([2]Entry!$J$1910="","",[2]Entry!$J$1910)</f>
        <v/>
      </c>
      <c r="U1907">
        <f>IF([2]Entry!$K$1910="","",[2]Entry!$K$1910)</f>
        <v/>
      </c>
      <c r="V1907">
        <f>IF([2]Entry!$L$1910="","",[2]Entry!$L$1910)</f>
        <v/>
      </c>
      <c r="W1907">
        <f>IF([2]Entry!$M$1910="","",[2]Entry!$M$1910)</f>
        <v/>
      </c>
      <c r="X1907">
        <f>IF([2]Entry!$N$1910="","",[2]Entry!$N$1910)</f>
        <v/>
      </c>
      <c r="Y1907">
        <f>IF([2]Entry!$R$1910="","",[2]Entry!$R$1910)</f>
        <v/>
      </c>
    </row>
    <row r="1908">
      <c r="P1908">
        <f>IF([2]Entry!$C$1911="","",[2]Entry!$C$1911)</f>
        <v/>
      </c>
      <c r="Q1908">
        <f>IF([2]Entry!$D$1911="","",[2]Entry!$D$1911)</f>
        <v/>
      </c>
      <c r="R1908">
        <f>IF([2]Entry!$E$1911="","",[2]Entry!$E$1911)</f>
        <v/>
      </c>
      <c r="S1908">
        <f>IF([2]Entry!$G$1911="","",[2]Entry!$G$1911)</f>
        <v/>
      </c>
      <c r="T1908">
        <f>IF([2]Entry!$J$1911="","",[2]Entry!$J$1911)</f>
        <v/>
      </c>
      <c r="U1908">
        <f>IF([2]Entry!$K$1911="","",[2]Entry!$K$1911)</f>
        <v/>
      </c>
      <c r="V1908">
        <f>IF([2]Entry!$L$1911="","",[2]Entry!$L$1911)</f>
        <v/>
      </c>
      <c r="W1908">
        <f>IF([2]Entry!$M$1911="","",[2]Entry!$M$1911)</f>
        <v/>
      </c>
      <c r="X1908">
        <f>IF([2]Entry!$N$1911="","",[2]Entry!$N$1911)</f>
        <v/>
      </c>
      <c r="Y1908">
        <f>IF([2]Entry!$R$1911="","",[2]Entry!$R$1911)</f>
        <v/>
      </c>
    </row>
    <row r="1909">
      <c r="P1909">
        <f>IF([2]Entry!$C$1912="","",[2]Entry!$C$1912)</f>
        <v/>
      </c>
      <c r="Q1909">
        <f>IF([2]Entry!$D$1912="","",[2]Entry!$D$1912)</f>
        <v/>
      </c>
      <c r="R1909">
        <f>IF([2]Entry!$E$1912="","",[2]Entry!$E$1912)</f>
        <v/>
      </c>
      <c r="S1909">
        <f>IF([2]Entry!$G$1912="","",[2]Entry!$G$1912)</f>
        <v/>
      </c>
      <c r="T1909">
        <f>IF([2]Entry!$J$1912="","",[2]Entry!$J$1912)</f>
        <v/>
      </c>
      <c r="U1909">
        <f>IF([2]Entry!$K$1912="","",[2]Entry!$K$1912)</f>
        <v/>
      </c>
      <c r="V1909">
        <f>IF([2]Entry!$L$1912="","",[2]Entry!$L$1912)</f>
        <v/>
      </c>
      <c r="W1909">
        <f>IF([2]Entry!$M$1912="","",[2]Entry!$M$1912)</f>
        <v/>
      </c>
      <c r="X1909">
        <f>IF([2]Entry!$N$1912="","",[2]Entry!$N$1912)</f>
        <v/>
      </c>
      <c r="Y1909">
        <f>IF([2]Entry!$R$1912="","",[2]Entry!$R$1912)</f>
        <v/>
      </c>
    </row>
    <row r="1910">
      <c r="P1910">
        <f>IF([2]Entry!$C$1913="","",[2]Entry!$C$1913)</f>
        <v/>
      </c>
      <c r="Q1910">
        <f>IF([2]Entry!$D$1913="","",[2]Entry!$D$1913)</f>
        <v/>
      </c>
      <c r="R1910">
        <f>IF([2]Entry!$E$1913="","",[2]Entry!$E$1913)</f>
        <v/>
      </c>
      <c r="S1910">
        <f>IF([2]Entry!$G$1913="","",[2]Entry!$G$1913)</f>
        <v/>
      </c>
      <c r="T1910">
        <f>IF([2]Entry!$J$1913="","",[2]Entry!$J$1913)</f>
        <v/>
      </c>
      <c r="U1910">
        <f>IF([2]Entry!$K$1913="","",[2]Entry!$K$1913)</f>
        <v/>
      </c>
      <c r="V1910">
        <f>IF([2]Entry!$L$1913="","",[2]Entry!$L$1913)</f>
        <v/>
      </c>
      <c r="W1910">
        <f>IF([2]Entry!$M$1913="","",[2]Entry!$M$1913)</f>
        <v/>
      </c>
      <c r="X1910">
        <f>IF([2]Entry!$N$1913="","",[2]Entry!$N$1913)</f>
        <v/>
      </c>
      <c r="Y1910">
        <f>IF([2]Entry!$R$1913="","",[2]Entry!$R$1913)</f>
        <v/>
      </c>
    </row>
    <row r="1911">
      <c r="P1911">
        <f>IF([2]Entry!$C$1914="","",[2]Entry!$C$1914)</f>
        <v/>
      </c>
      <c r="Q1911">
        <f>IF([2]Entry!$D$1914="","",[2]Entry!$D$1914)</f>
        <v/>
      </c>
      <c r="R1911">
        <f>IF([2]Entry!$E$1914="","",[2]Entry!$E$1914)</f>
        <v/>
      </c>
      <c r="S1911">
        <f>IF([2]Entry!$G$1914="","",[2]Entry!$G$1914)</f>
        <v/>
      </c>
      <c r="T1911">
        <f>IF([2]Entry!$J$1914="","",[2]Entry!$J$1914)</f>
        <v/>
      </c>
      <c r="U1911">
        <f>IF([2]Entry!$K$1914="","",[2]Entry!$K$1914)</f>
        <v/>
      </c>
      <c r="V1911">
        <f>IF([2]Entry!$L$1914="","",[2]Entry!$L$1914)</f>
        <v/>
      </c>
      <c r="W1911">
        <f>IF([2]Entry!$M$1914="","",[2]Entry!$M$1914)</f>
        <v/>
      </c>
      <c r="X1911">
        <f>IF([2]Entry!$N$1914="","",[2]Entry!$N$1914)</f>
        <v/>
      </c>
      <c r="Y1911">
        <f>IF([2]Entry!$R$1914="","",[2]Entry!$R$1914)</f>
        <v/>
      </c>
    </row>
    <row r="1912">
      <c r="P1912">
        <f>IF([2]Entry!$C$1915="","",[2]Entry!$C$1915)</f>
        <v/>
      </c>
      <c r="Q1912">
        <f>IF([2]Entry!$D$1915="","",[2]Entry!$D$1915)</f>
        <v/>
      </c>
      <c r="R1912">
        <f>IF([2]Entry!$E$1915="","",[2]Entry!$E$1915)</f>
        <v/>
      </c>
      <c r="S1912">
        <f>IF([2]Entry!$G$1915="","",[2]Entry!$G$1915)</f>
        <v/>
      </c>
      <c r="T1912">
        <f>IF([2]Entry!$J$1915="","",[2]Entry!$J$1915)</f>
        <v/>
      </c>
      <c r="U1912">
        <f>IF([2]Entry!$K$1915="","",[2]Entry!$K$1915)</f>
        <v/>
      </c>
      <c r="V1912">
        <f>IF([2]Entry!$L$1915="","",[2]Entry!$L$1915)</f>
        <v/>
      </c>
      <c r="W1912">
        <f>IF([2]Entry!$M$1915="","",[2]Entry!$M$1915)</f>
        <v/>
      </c>
      <c r="X1912">
        <f>IF([2]Entry!$N$1915="","",[2]Entry!$N$1915)</f>
        <v/>
      </c>
      <c r="Y1912">
        <f>IF([2]Entry!$R$1915="","",[2]Entry!$R$1915)</f>
        <v/>
      </c>
    </row>
    <row r="1913">
      <c r="P1913">
        <f>IF([2]Entry!$C$1916="","",[2]Entry!$C$1916)</f>
        <v/>
      </c>
      <c r="Q1913">
        <f>IF([2]Entry!$D$1916="","",[2]Entry!$D$1916)</f>
        <v/>
      </c>
      <c r="R1913">
        <f>IF([2]Entry!$E$1916="","",[2]Entry!$E$1916)</f>
        <v/>
      </c>
      <c r="S1913">
        <f>IF([2]Entry!$G$1916="","",[2]Entry!$G$1916)</f>
        <v/>
      </c>
      <c r="T1913">
        <f>IF([2]Entry!$J$1916="","",[2]Entry!$J$1916)</f>
        <v/>
      </c>
      <c r="U1913">
        <f>IF([2]Entry!$K$1916="","",[2]Entry!$K$1916)</f>
        <v/>
      </c>
      <c r="V1913">
        <f>IF([2]Entry!$L$1916="","",[2]Entry!$L$1916)</f>
        <v/>
      </c>
      <c r="W1913">
        <f>IF([2]Entry!$M$1916="","",[2]Entry!$M$1916)</f>
        <v/>
      </c>
      <c r="X1913">
        <f>IF([2]Entry!$N$1916="","",[2]Entry!$N$1916)</f>
        <v/>
      </c>
      <c r="Y1913">
        <f>IF([2]Entry!$R$1916="","",[2]Entry!$R$1916)</f>
        <v/>
      </c>
    </row>
    <row r="1914">
      <c r="P1914">
        <f>IF([2]Entry!$C$1917="","",[2]Entry!$C$1917)</f>
        <v/>
      </c>
      <c r="Q1914">
        <f>IF([2]Entry!$D$1917="","",[2]Entry!$D$1917)</f>
        <v/>
      </c>
      <c r="R1914">
        <f>IF([2]Entry!$E$1917="","",[2]Entry!$E$1917)</f>
        <v/>
      </c>
      <c r="S1914">
        <f>IF([2]Entry!$G$1917="","",[2]Entry!$G$1917)</f>
        <v/>
      </c>
      <c r="T1914">
        <f>IF([2]Entry!$J$1917="","",[2]Entry!$J$1917)</f>
        <v/>
      </c>
      <c r="U1914">
        <f>IF([2]Entry!$K$1917="","",[2]Entry!$K$1917)</f>
        <v/>
      </c>
      <c r="V1914">
        <f>IF([2]Entry!$L$1917="","",[2]Entry!$L$1917)</f>
        <v/>
      </c>
      <c r="W1914">
        <f>IF([2]Entry!$M$1917="","",[2]Entry!$M$1917)</f>
        <v/>
      </c>
      <c r="X1914">
        <f>IF([2]Entry!$N$1917="","",[2]Entry!$N$1917)</f>
        <v/>
      </c>
      <c r="Y1914">
        <f>IF([2]Entry!$R$1917="","",[2]Entry!$R$1917)</f>
        <v/>
      </c>
    </row>
    <row r="1915">
      <c r="P1915">
        <f>IF([2]Entry!$C$1918="","",[2]Entry!$C$1918)</f>
        <v/>
      </c>
      <c r="Q1915">
        <f>IF([2]Entry!$D$1918="","",[2]Entry!$D$1918)</f>
        <v/>
      </c>
      <c r="R1915">
        <f>IF([2]Entry!$E$1918="","",[2]Entry!$E$1918)</f>
        <v/>
      </c>
      <c r="S1915">
        <f>IF([2]Entry!$G$1918="","",[2]Entry!$G$1918)</f>
        <v/>
      </c>
      <c r="T1915">
        <f>IF([2]Entry!$J$1918="","",[2]Entry!$J$1918)</f>
        <v/>
      </c>
      <c r="U1915">
        <f>IF([2]Entry!$K$1918="","",[2]Entry!$K$1918)</f>
        <v/>
      </c>
      <c r="V1915">
        <f>IF([2]Entry!$L$1918="","",[2]Entry!$L$1918)</f>
        <v/>
      </c>
      <c r="W1915">
        <f>IF([2]Entry!$M$1918="","",[2]Entry!$M$1918)</f>
        <v/>
      </c>
      <c r="X1915">
        <f>IF([2]Entry!$N$1918="","",[2]Entry!$N$1918)</f>
        <v/>
      </c>
      <c r="Y1915">
        <f>IF([2]Entry!$R$1918="","",[2]Entry!$R$1918)</f>
        <v/>
      </c>
    </row>
    <row r="1916">
      <c r="P1916">
        <f>IF([2]Entry!$C$1919="","",[2]Entry!$C$1919)</f>
        <v/>
      </c>
      <c r="Q1916">
        <f>IF([2]Entry!$D$1919="","",[2]Entry!$D$1919)</f>
        <v/>
      </c>
      <c r="R1916">
        <f>IF([2]Entry!$E$1919="","",[2]Entry!$E$1919)</f>
        <v/>
      </c>
      <c r="S1916">
        <f>IF([2]Entry!$G$1919="","",[2]Entry!$G$1919)</f>
        <v/>
      </c>
      <c r="T1916">
        <f>IF([2]Entry!$J$1919="","",[2]Entry!$J$1919)</f>
        <v/>
      </c>
      <c r="U1916">
        <f>IF([2]Entry!$K$1919="","",[2]Entry!$K$1919)</f>
        <v/>
      </c>
      <c r="V1916">
        <f>IF([2]Entry!$L$1919="","",[2]Entry!$L$1919)</f>
        <v/>
      </c>
      <c r="W1916">
        <f>IF([2]Entry!$M$1919="","",[2]Entry!$M$1919)</f>
        <v/>
      </c>
      <c r="X1916">
        <f>IF([2]Entry!$N$1919="","",[2]Entry!$N$1919)</f>
        <v/>
      </c>
      <c r="Y1916">
        <f>IF([2]Entry!$R$1919="","",[2]Entry!$R$1919)</f>
        <v/>
      </c>
    </row>
    <row r="1917">
      <c r="P1917">
        <f>IF([2]Entry!$C$1920="","",[2]Entry!$C$1920)</f>
        <v/>
      </c>
      <c r="Q1917">
        <f>IF([2]Entry!$D$1920="","",[2]Entry!$D$1920)</f>
        <v/>
      </c>
      <c r="R1917">
        <f>IF([2]Entry!$E$1920="","",[2]Entry!$E$1920)</f>
        <v/>
      </c>
      <c r="S1917">
        <f>IF([2]Entry!$G$1920="","",[2]Entry!$G$1920)</f>
        <v/>
      </c>
      <c r="T1917">
        <f>IF([2]Entry!$J$1920="","",[2]Entry!$J$1920)</f>
        <v/>
      </c>
      <c r="U1917">
        <f>IF([2]Entry!$K$1920="","",[2]Entry!$K$1920)</f>
        <v/>
      </c>
      <c r="V1917">
        <f>IF([2]Entry!$L$1920="","",[2]Entry!$L$1920)</f>
        <v/>
      </c>
      <c r="W1917">
        <f>IF([2]Entry!$M$1920="","",[2]Entry!$M$1920)</f>
        <v/>
      </c>
      <c r="X1917">
        <f>IF([2]Entry!$N$1920="","",[2]Entry!$N$1920)</f>
        <v/>
      </c>
      <c r="Y1917">
        <f>IF([2]Entry!$R$1920="","",[2]Entry!$R$1920)</f>
        <v/>
      </c>
    </row>
    <row r="1918">
      <c r="P1918">
        <f>IF([2]Entry!$C$1921="","",[2]Entry!$C$1921)</f>
        <v/>
      </c>
      <c r="Q1918">
        <f>IF([2]Entry!$D$1921="","",[2]Entry!$D$1921)</f>
        <v/>
      </c>
      <c r="R1918">
        <f>IF([2]Entry!$E$1921="","",[2]Entry!$E$1921)</f>
        <v/>
      </c>
      <c r="S1918">
        <f>IF([2]Entry!$G$1921="","",[2]Entry!$G$1921)</f>
        <v/>
      </c>
      <c r="T1918">
        <f>IF([2]Entry!$J$1921="","",[2]Entry!$J$1921)</f>
        <v/>
      </c>
      <c r="U1918">
        <f>IF([2]Entry!$K$1921="","",[2]Entry!$K$1921)</f>
        <v/>
      </c>
      <c r="V1918">
        <f>IF([2]Entry!$L$1921="","",[2]Entry!$L$1921)</f>
        <v/>
      </c>
      <c r="W1918">
        <f>IF([2]Entry!$M$1921="","",[2]Entry!$M$1921)</f>
        <v/>
      </c>
      <c r="X1918">
        <f>IF([2]Entry!$N$1921="","",[2]Entry!$N$1921)</f>
        <v/>
      </c>
      <c r="Y1918">
        <f>IF([2]Entry!$R$1921="","",[2]Entry!$R$1921)</f>
        <v/>
      </c>
    </row>
    <row r="1919">
      <c r="P1919">
        <f>IF([2]Entry!$C$1922="","",[2]Entry!$C$1922)</f>
        <v/>
      </c>
      <c r="Q1919">
        <f>IF([2]Entry!$D$1922="","",[2]Entry!$D$1922)</f>
        <v/>
      </c>
      <c r="R1919">
        <f>IF([2]Entry!$E$1922="","",[2]Entry!$E$1922)</f>
        <v/>
      </c>
      <c r="S1919">
        <f>IF([2]Entry!$G$1922="","",[2]Entry!$G$1922)</f>
        <v/>
      </c>
      <c r="T1919">
        <f>IF([2]Entry!$J$1922="","",[2]Entry!$J$1922)</f>
        <v/>
      </c>
      <c r="U1919">
        <f>IF([2]Entry!$K$1922="","",[2]Entry!$K$1922)</f>
        <v/>
      </c>
      <c r="V1919">
        <f>IF([2]Entry!$L$1922="","",[2]Entry!$L$1922)</f>
        <v/>
      </c>
      <c r="W1919">
        <f>IF([2]Entry!$M$1922="","",[2]Entry!$M$1922)</f>
        <v/>
      </c>
      <c r="X1919">
        <f>IF([2]Entry!$N$1922="","",[2]Entry!$N$1922)</f>
        <v/>
      </c>
      <c r="Y1919">
        <f>IF([2]Entry!$R$1922="","",[2]Entry!$R$1922)</f>
        <v/>
      </c>
    </row>
    <row r="1920">
      <c r="P1920">
        <f>IF([2]Entry!$C$1923="","",[2]Entry!$C$1923)</f>
        <v/>
      </c>
      <c r="Q1920">
        <f>IF([2]Entry!$D$1923="","",[2]Entry!$D$1923)</f>
        <v/>
      </c>
      <c r="R1920">
        <f>IF([2]Entry!$E$1923="","",[2]Entry!$E$1923)</f>
        <v/>
      </c>
      <c r="S1920">
        <f>IF([2]Entry!$G$1923="","",[2]Entry!$G$1923)</f>
        <v/>
      </c>
      <c r="T1920">
        <f>IF([2]Entry!$J$1923="","",[2]Entry!$J$1923)</f>
        <v/>
      </c>
      <c r="U1920">
        <f>IF([2]Entry!$K$1923="","",[2]Entry!$K$1923)</f>
        <v/>
      </c>
      <c r="V1920">
        <f>IF([2]Entry!$L$1923="","",[2]Entry!$L$1923)</f>
        <v/>
      </c>
      <c r="W1920">
        <f>IF([2]Entry!$M$1923="","",[2]Entry!$M$1923)</f>
        <v/>
      </c>
      <c r="X1920">
        <f>IF([2]Entry!$N$1923="","",[2]Entry!$N$1923)</f>
        <v/>
      </c>
      <c r="Y1920">
        <f>IF([2]Entry!$R$1923="","",[2]Entry!$R$1923)</f>
        <v/>
      </c>
    </row>
    <row r="1921">
      <c r="P1921">
        <f>IF([2]Entry!$C$1924="","",[2]Entry!$C$1924)</f>
        <v/>
      </c>
      <c r="Q1921">
        <f>IF([2]Entry!$D$1924="","",[2]Entry!$D$1924)</f>
        <v/>
      </c>
      <c r="R1921">
        <f>IF([2]Entry!$E$1924="","",[2]Entry!$E$1924)</f>
        <v/>
      </c>
      <c r="S1921">
        <f>IF([2]Entry!$G$1924="","",[2]Entry!$G$1924)</f>
        <v/>
      </c>
      <c r="T1921">
        <f>IF([2]Entry!$J$1924="","",[2]Entry!$J$1924)</f>
        <v/>
      </c>
      <c r="U1921">
        <f>IF([2]Entry!$K$1924="","",[2]Entry!$K$1924)</f>
        <v/>
      </c>
      <c r="V1921">
        <f>IF([2]Entry!$L$1924="","",[2]Entry!$L$1924)</f>
        <v/>
      </c>
      <c r="W1921">
        <f>IF([2]Entry!$M$1924="","",[2]Entry!$M$1924)</f>
        <v/>
      </c>
      <c r="X1921">
        <f>IF([2]Entry!$N$1924="","",[2]Entry!$N$1924)</f>
        <v/>
      </c>
      <c r="Y1921">
        <f>IF([2]Entry!$R$1924="","",[2]Entry!$R$1924)</f>
        <v/>
      </c>
    </row>
    <row r="1922">
      <c r="P1922">
        <f>IF([2]Entry!$C$1925="","",[2]Entry!$C$1925)</f>
        <v/>
      </c>
      <c r="Q1922">
        <f>IF([2]Entry!$D$1925="","",[2]Entry!$D$1925)</f>
        <v/>
      </c>
      <c r="R1922">
        <f>IF([2]Entry!$E$1925="","",[2]Entry!$E$1925)</f>
        <v/>
      </c>
      <c r="S1922">
        <f>IF([2]Entry!$G$1925="","",[2]Entry!$G$1925)</f>
        <v/>
      </c>
      <c r="T1922">
        <f>IF([2]Entry!$J$1925="","",[2]Entry!$J$1925)</f>
        <v/>
      </c>
      <c r="U1922">
        <f>IF([2]Entry!$K$1925="","",[2]Entry!$K$1925)</f>
        <v/>
      </c>
      <c r="V1922">
        <f>IF([2]Entry!$L$1925="","",[2]Entry!$L$1925)</f>
        <v/>
      </c>
      <c r="W1922">
        <f>IF([2]Entry!$M$1925="","",[2]Entry!$M$1925)</f>
        <v/>
      </c>
      <c r="X1922">
        <f>IF([2]Entry!$N$1925="","",[2]Entry!$N$1925)</f>
        <v/>
      </c>
      <c r="Y1922">
        <f>IF([2]Entry!$R$1925="","",[2]Entry!$R$1925)</f>
        <v/>
      </c>
    </row>
    <row r="1923">
      <c r="P1923">
        <f>IF([2]Entry!$C$1926="","",[2]Entry!$C$1926)</f>
        <v/>
      </c>
      <c r="Q1923">
        <f>IF([2]Entry!$D$1926="","",[2]Entry!$D$1926)</f>
        <v/>
      </c>
      <c r="R1923">
        <f>IF([2]Entry!$E$1926="","",[2]Entry!$E$1926)</f>
        <v/>
      </c>
      <c r="S1923">
        <f>IF([2]Entry!$G$1926="","",[2]Entry!$G$1926)</f>
        <v/>
      </c>
      <c r="T1923">
        <f>IF([2]Entry!$J$1926="","",[2]Entry!$J$1926)</f>
        <v/>
      </c>
      <c r="U1923">
        <f>IF([2]Entry!$K$1926="","",[2]Entry!$K$1926)</f>
        <v/>
      </c>
      <c r="V1923">
        <f>IF([2]Entry!$L$1926="","",[2]Entry!$L$1926)</f>
        <v/>
      </c>
      <c r="W1923">
        <f>IF([2]Entry!$M$1926="","",[2]Entry!$M$1926)</f>
        <v/>
      </c>
      <c r="X1923">
        <f>IF([2]Entry!$N$1926="","",[2]Entry!$N$1926)</f>
        <v/>
      </c>
      <c r="Y1923">
        <f>IF([2]Entry!$R$1926="","",[2]Entry!$R$1926)</f>
        <v/>
      </c>
    </row>
    <row r="1924">
      <c r="P1924">
        <f>IF([2]Entry!$C$1927="","",[2]Entry!$C$1927)</f>
        <v/>
      </c>
      <c r="Q1924">
        <f>IF([2]Entry!$D$1927="","",[2]Entry!$D$1927)</f>
        <v/>
      </c>
      <c r="R1924">
        <f>IF([2]Entry!$E$1927="","",[2]Entry!$E$1927)</f>
        <v/>
      </c>
      <c r="S1924">
        <f>IF([2]Entry!$G$1927="","",[2]Entry!$G$1927)</f>
        <v/>
      </c>
      <c r="T1924">
        <f>IF([2]Entry!$J$1927="","",[2]Entry!$J$1927)</f>
        <v/>
      </c>
      <c r="U1924">
        <f>IF([2]Entry!$K$1927="","",[2]Entry!$K$1927)</f>
        <v/>
      </c>
      <c r="V1924">
        <f>IF([2]Entry!$L$1927="","",[2]Entry!$L$1927)</f>
        <v/>
      </c>
      <c r="W1924">
        <f>IF([2]Entry!$M$1927="","",[2]Entry!$M$1927)</f>
        <v/>
      </c>
      <c r="X1924">
        <f>IF([2]Entry!$N$1927="","",[2]Entry!$N$1927)</f>
        <v/>
      </c>
      <c r="Y1924">
        <f>IF([2]Entry!$R$1927="","",[2]Entry!$R$1927)</f>
        <v/>
      </c>
    </row>
    <row r="1925">
      <c r="P1925">
        <f>IF([2]Entry!$C$1928="","",[2]Entry!$C$1928)</f>
        <v/>
      </c>
      <c r="Q1925">
        <f>IF([2]Entry!$D$1928="","",[2]Entry!$D$1928)</f>
        <v/>
      </c>
      <c r="R1925">
        <f>IF([2]Entry!$E$1928="","",[2]Entry!$E$1928)</f>
        <v/>
      </c>
      <c r="S1925">
        <f>IF([2]Entry!$G$1928="","",[2]Entry!$G$1928)</f>
        <v/>
      </c>
      <c r="T1925">
        <f>IF([2]Entry!$J$1928="","",[2]Entry!$J$1928)</f>
        <v/>
      </c>
      <c r="U1925">
        <f>IF([2]Entry!$K$1928="","",[2]Entry!$K$1928)</f>
        <v/>
      </c>
      <c r="V1925">
        <f>IF([2]Entry!$L$1928="","",[2]Entry!$L$1928)</f>
        <v/>
      </c>
      <c r="W1925">
        <f>IF([2]Entry!$M$1928="","",[2]Entry!$M$1928)</f>
        <v/>
      </c>
      <c r="X1925">
        <f>IF([2]Entry!$N$1928="","",[2]Entry!$N$1928)</f>
        <v/>
      </c>
      <c r="Y1925">
        <f>IF([2]Entry!$R$1928="","",[2]Entry!$R$1928)</f>
        <v/>
      </c>
    </row>
    <row r="1926">
      <c r="P1926">
        <f>IF([2]Entry!$C$1929="","",[2]Entry!$C$1929)</f>
        <v/>
      </c>
      <c r="Q1926">
        <f>IF([2]Entry!$D$1929="","",[2]Entry!$D$1929)</f>
        <v/>
      </c>
      <c r="R1926">
        <f>IF([2]Entry!$E$1929="","",[2]Entry!$E$1929)</f>
        <v/>
      </c>
      <c r="S1926">
        <f>IF([2]Entry!$G$1929="","",[2]Entry!$G$1929)</f>
        <v/>
      </c>
      <c r="T1926">
        <f>IF([2]Entry!$J$1929="","",[2]Entry!$J$1929)</f>
        <v/>
      </c>
      <c r="U1926">
        <f>IF([2]Entry!$K$1929="","",[2]Entry!$K$1929)</f>
        <v/>
      </c>
      <c r="V1926">
        <f>IF([2]Entry!$L$1929="","",[2]Entry!$L$1929)</f>
        <v/>
      </c>
      <c r="W1926">
        <f>IF([2]Entry!$M$1929="","",[2]Entry!$M$1929)</f>
        <v/>
      </c>
      <c r="X1926">
        <f>IF([2]Entry!$N$1929="","",[2]Entry!$N$1929)</f>
        <v/>
      </c>
      <c r="Y1926">
        <f>IF([2]Entry!$R$1929="","",[2]Entry!$R$1929)</f>
        <v/>
      </c>
    </row>
    <row r="1927">
      <c r="P1927">
        <f>IF([2]Entry!$C$1930="","",[2]Entry!$C$1930)</f>
        <v/>
      </c>
      <c r="Q1927">
        <f>IF([2]Entry!$D$1930="","",[2]Entry!$D$1930)</f>
        <v/>
      </c>
      <c r="R1927">
        <f>IF([2]Entry!$E$1930="","",[2]Entry!$E$1930)</f>
        <v/>
      </c>
      <c r="S1927">
        <f>IF([2]Entry!$G$1930="","",[2]Entry!$G$1930)</f>
        <v/>
      </c>
      <c r="T1927">
        <f>IF([2]Entry!$J$1930="","",[2]Entry!$J$1930)</f>
        <v/>
      </c>
      <c r="U1927">
        <f>IF([2]Entry!$K$1930="","",[2]Entry!$K$1930)</f>
        <v/>
      </c>
      <c r="V1927">
        <f>IF([2]Entry!$L$1930="","",[2]Entry!$L$1930)</f>
        <v/>
      </c>
      <c r="W1927">
        <f>IF([2]Entry!$M$1930="","",[2]Entry!$M$1930)</f>
        <v/>
      </c>
      <c r="X1927">
        <f>IF([2]Entry!$N$1930="","",[2]Entry!$N$1930)</f>
        <v/>
      </c>
      <c r="Y1927">
        <f>IF([2]Entry!$R$1930="","",[2]Entry!$R$1930)</f>
        <v/>
      </c>
    </row>
    <row r="1928">
      <c r="P1928">
        <f>IF([2]Entry!$C$1931="","",[2]Entry!$C$1931)</f>
        <v/>
      </c>
      <c r="Q1928">
        <f>IF([2]Entry!$D$1931="","",[2]Entry!$D$1931)</f>
        <v/>
      </c>
      <c r="R1928">
        <f>IF([2]Entry!$E$1931="","",[2]Entry!$E$1931)</f>
        <v/>
      </c>
      <c r="S1928">
        <f>IF([2]Entry!$G$1931="","",[2]Entry!$G$1931)</f>
        <v/>
      </c>
      <c r="T1928">
        <f>IF([2]Entry!$J$1931="","",[2]Entry!$J$1931)</f>
        <v/>
      </c>
      <c r="U1928">
        <f>IF([2]Entry!$K$1931="","",[2]Entry!$K$1931)</f>
        <v/>
      </c>
      <c r="V1928">
        <f>IF([2]Entry!$L$1931="","",[2]Entry!$L$1931)</f>
        <v/>
      </c>
      <c r="W1928">
        <f>IF([2]Entry!$M$1931="","",[2]Entry!$M$1931)</f>
        <v/>
      </c>
      <c r="X1928">
        <f>IF([2]Entry!$N$1931="","",[2]Entry!$N$1931)</f>
        <v/>
      </c>
      <c r="Y1928">
        <f>IF([2]Entry!$R$1931="","",[2]Entry!$R$1931)</f>
        <v/>
      </c>
    </row>
    <row r="1929">
      <c r="P1929">
        <f>IF([2]Entry!$C$1932="","",[2]Entry!$C$1932)</f>
        <v/>
      </c>
      <c r="Q1929">
        <f>IF([2]Entry!$D$1932="","",[2]Entry!$D$1932)</f>
        <v/>
      </c>
      <c r="R1929">
        <f>IF([2]Entry!$E$1932="","",[2]Entry!$E$1932)</f>
        <v/>
      </c>
      <c r="S1929">
        <f>IF([2]Entry!$G$1932="","",[2]Entry!$G$1932)</f>
        <v/>
      </c>
      <c r="T1929">
        <f>IF([2]Entry!$J$1932="","",[2]Entry!$J$1932)</f>
        <v/>
      </c>
      <c r="U1929">
        <f>IF([2]Entry!$K$1932="","",[2]Entry!$K$1932)</f>
        <v/>
      </c>
      <c r="V1929">
        <f>IF([2]Entry!$L$1932="","",[2]Entry!$L$1932)</f>
        <v/>
      </c>
      <c r="W1929">
        <f>IF([2]Entry!$M$1932="","",[2]Entry!$M$1932)</f>
        <v/>
      </c>
      <c r="X1929">
        <f>IF([2]Entry!$N$1932="","",[2]Entry!$N$1932)</f>
        <v/>
      </c>
      <c r="Y1929">
        <f>IF([2]Entry!$R$1932="","",[2]Entry!$R$1932)</f>
        <v/>
      </c>
    </row>
    <row r="1930">
      <c r="P1930">
        <f>IF([2]Entry!$C$1933="","",[2]Entry!$C$1933)</f>
        <v/>
      </c>
      <c r="Q1930">
        <f>IF([2]Entry!$D$1933="","",[2]Entry!$D$1933)</f>
        <v/>
      </c>
      <c r="R1930">
        <f>IF([2]Entry!$E$1933="","",[2]Entry!$E$1933)</f>
        <v/>
      </c>
      <c r="S1930">
        <f>IF([2]Entry!$G$1933="","",[2]Entry!$G$1933)</f>
        <v/>
      </c>
      <c r="T1930">
        <f>IF([2]Entry!$J$1933="","",[2]Entry!$J$1933)</f>
        <v/>
      </c>
      <c r="U1930">
        <f>IF([2]Entry!$K$1933="","",[2]Entry!$K$1933)</f>
        <v/>
      </c>
      <c r="V1930">
        <f>IF([2]Entry!$L$1933="","",[2]Entry!$L$1933)</f>
        <v/>
      </c>
      <c r="W1930">
        <f>IF([2]Entry!$M$1933="","",[2]Entry!$M$1933)</f>
        <v/>
      </c>
      <c r="X1930">
        <f>IF([2]Entry!$N$1933="","",[2]Entry!$N$1933)</f>
        <v/>
      </c>
      <c r="Y1930">
        <f>IF([2]Entry!$R$1933="","",[2]Entry!$R$1933)</f>
        <v/>
      </c>
    </row>
    <row r="1931">
      <c r="P1931">
        <f>IF([2]Entry!$C$1934="","",[2]Entry!$C$1934)</f>
        <v/>
      </c>
      <c r="Q1931">
        <f>IF([2]Entry!$D$1934="","",[2]Entry!$D$1934)</f>
        <v/>
      </c>
      <c r="R1931">
        <f>IF([2]Entry!$E$1934="","",[2]Entry!$E$1934)</f>
        <v/>
      </c>
      <c r="S1931">
        <f>IF([2]Entry!$G$1934="","",[2]Entry!$G$1934)</f>
        <v/>
      </c>
      <c r="T1931">
        <f>IF([2]Entry!$J$1934="","",[2]Entry!$J$1934)</f>
        <v/>
      </c>
      <c r="U1931">
        <f>IF([2]Entry!$K$1934="","",[2]Entry!$K$1934)</f>
        <v/>
      </c>
      <c r="V1931">
        <f>IF([2]Entry!$L$1934="","",[2]Entry!$L$1934)</f>
        <v/>
      </c>
      <c r="W1931">
        <f>IF([2]Entry!$M$1934="","",[2]Entry!$M$1934)</f>
        <v/>
      </c>
      <c r="X1931">
        <f>IF([2]Entry!$N$1934="","",[2]Entry!$N$1934)</f>
        <v/>
      </c>
      <c r="Y1931">
        <f>IF([2]Entry!$R$1934="","",[2]Entry!$R$1934)</f>
        <v/>
      </c>
    </row>
    <row r="1932">
      <c r="P1932">
        <f>IF([2]Entry!$C$1935="","",[2]Entry!$C$1935)</f>
        <v/>
      </c>
      <c r="Q1932">
        <f>IF([2]Entry!$D$1935="","",[2]Entry!$D$1935)</f>
        <v/>
      </c>
      <c r="R1932">
        <f>IF([2]Entry!$E$1935="","",[2]Entry!$E$1935)</f>
        <v/>
      </c>
      <c r="S1932">
        <f>IF([2]Entry!$G$1935="","",[2]Entry!$G$1935)</f>
        <v/>
      </c>
      <c r="T1932">
        <f>IF([2]Entry!$J$1935="","",[2]Entry!$J$1935)</f>
        <v/>
      </c>
      <c r="U1932">
        <f>IF([2]Entry!$K$1935="","",[2]Entry!$K$1935)</f>
        <v/>
      </c>
      <c r="V1932">
        <f>IF([2]Entry!$L$1935="","",[2]Entry!$L$1935)</f>
        <v/>
      </c>
      <c r="W1932">
        <f>IF([2]Entry!$M$1935="","",[2]Entry!$M$1935)</f>
        <v/>
      </c>
      <c r="X1932">
        <f>IF([2]Entry!$N$1935="","",[2]Entry!$N$1935)</f>
        <v/>
      </c>
      <c r="Y1932">
        <f>IF([2]Entry!$R$1935="","",[2]Entry!$R$1935)</f>
        <v/>
      </c>
    </row>
    <row r="1933">
      <c r="P1933">
        <f>IF([2]Entry!$C$1936="","",[2]Entry!$C$1936)</f>
        <v/>
      </c>
      <c r="Q1933">
        <f>IF([2]Entry!$D$1936="","",[2]Entry!$D$1936)</f>
        <v/>
      </c>
      <c r="R1933">
        <f>IF([2]Entry!$E$1936="","",[2]Entry!$E$1936)</f>
        <v/>
      </c>
      <c r="S1933">
        <f>IF([2]Entry!$G$1936="","",[2]Entry!$G$1936)</f>
        <v/>
      </c>
      <c r="T1933">
        <f>IF([2]Entry!$J$1936="","",[2]Entry!$J$1936)</f>
        <v/>
      </c>
      <c r="U1933">
        <f>IF([2]Entry!$K$1936="","",[2]Entry!$K$1936)</f>
        <v/>
      </c>
      <c r="V1933">
        <f>IF([2]Entry!$L$1936="","",[2]Entry!$L$1936)</f>
        <v/>
      </c>
      <c r="W1933">
        <f>IF([2]Entry!$M$1936="","",[2]Entry!$M$1936)</f>
        <v/>
      </c>
      <c r="X1933">
        <f>IF([2]Entry!$N$1936="","",[2]Entry!$N$1936)</f>
        <v/>
      </c>
      <c r="Y1933">
        <f>IF([2]Entry!$R$1936="","",[2]Entry!$R$1936)</f>
        <v/>
      </c>
    </row>
    <row r="1934">
      <c r="P1934">
        <f>IF([2]Entry!$C$1937="","",[2]Entry!$C$1937)</f>
        <v/>
      </c>
      <c r="Q1934">
        <f>IF([2]Entry!$D$1937="","",[2]Entry!$D$1937)</f>
        <v/>
      </c>
      <c r="R1934">
        <f>IF([2]Entry!$E$1937="","",[2]Entry!$E$1937)</f>
        <v/>
      </c>
      <c r="S1934">
        <f>IF([2]Entry!$G$1937="","",[2]Entry!$G$1937)</f>
        <v/>
      </c>
      <c r="T1934">
        <f>IF([2]Entry!$J$1937="","",[2]Entry!$J$1937)</f>
        <v/>
      </c>
      <c r="U1934">
        <f>IF([2]Entry!$K$1937="","",[2]Entry!$K$1937)</f>
        <v/>
      </c>
      <c r="V1934">
        <f>IF([2]Entry!$L$1937="","",[2]Entry!$L$1937)</f>
        <v/>
      </c>
      <c r="W1934">
        <f>IF([2]Entry!$M$1937="","",[2]Entry!$M$1937)</f>
        <v/>
      </c>
      <c r="X1934">
        <f>IF([2]Entry!$N$1937="","",[2]Entry!$N$1937)</f>
        <v/>
      </c>
      <c r="Y1934">
        <f>IF([2]Entry!$R$1937="","",[2]Entry!$R$1937)</f>
        <v/>
      </c>
    </row>
    <row r="1935">
      <c r="P1935">
        <f>IF([2]Entry!$C$1938="","",[2]Entry!$C$1938)</f>
        <v/>
      </c>
      <c r="Q1935">
        <f>IF([2]Entry!$D$1938="","",[2]Entry!$D$1938)</f>
        <v/>
      </c>
      <c r="R1935">
        <f>IF([2]Entry!$E$1938="","",[2]Entry!$E$1938)</f>
        <v/>
      </c>
      <c r="S1935">
        <f>IF([2]Entry!$G$1938="","",[2]Entry!$G$1938)</f>
        <v/>
      </c>
      <c r="T1935">
        <f>IF([2]Entry!$J$1938="","",[2]Entry!$J$1938)</f>
        <v/>
      </c>
      <c r="U1935">
        <f>IF([2]Entry!$K$1938="","",[2]Entry!$K$1938)</f>
        <v/>
      </c>
      <c r="V1935">
        <f>IF([2]Entry!$L$1938="","",[2]Entry!$L$1938)</f>
        <v/>
      </c>
      <c r="W1935">
        <f>IF([2]Entry!$M$1938="","",[2]Entry!$M$1938)</f>
        <v/>
      </c>
      <c r="X1935">
        <f>IF([2]Entry!$N$1938="","",[2]Entry!$N$1938)</f>
        <v/>
      </c>
      <c r="Y1935">
        <f>IF([2]Entry!$R$1938="","",[2]Entry!$R$1938)</f>
        <v/>
      </c>
    </row>
    <row r="1936">
      <c r="P1936">
        <f>IF([2]Entry!$C$1939="","",[2]Entry!$C$1939)</f>
        <v/>
      </c>
      <c r="Q1936">
        <f>IF([2]Entry!$D$1939="","",[2]Entry!$D$1939)</f>
        <v/>
      </c>
      <c r="R1936">
        <f>IF([2]Entry!$E$1939="","",[2]Entry!$E$1939)</f>
        <v/>
      </c>
      <c r="S1936">
        <f>IF([2]Entry!$G$1939="","",[2]Entry!$G$1939)</f>
        <v/>
      </c>
      <c r="T1936">
        <f>IF([2]Entry!$J$1939="","",[2]Entry!$J$1939)</f>
        <v/>
      </c>
      <c r="U1936">
        <f>IF([2]Entry!$K$1939="","",[2]Entry!$K$1939)</f>
        <v/>
      </c>
      <c r="V1936">
        <f>IF([2]Entry!$L$1939="","",[2]Entry!$L$1939)</f>
        <v/>
      </c>
      <c r="W1936">
        <f>IF([2]Entry!$M$1939="","",[2]Entry!$M$1939)</f>
        <v/>
      </c>
      <c r="X1936">
        <f>IF([2]Entry!$N$1939="","",[2]Entry!$N$1939)</f>
        <v/>
      </c>
      <c r="Y1936">
        <f>IF([2]Entry!$R$1939="","",[2]Entry!$R$1939)</f>
        <v/>
      </c>
    </row>
    <row r="1937">
      <c r="P1937">
        <f>IF([2]Entry!$C$1940="","",[2]Entry!$C$1940)</f>
        <v/>
      </c>
      <c r="Q1937">
        <f>IF([2]Entry!$D$1940="","",[2]Entry!$D$1940)</f>
        <v/>
      </c>
      <c r="R1937">
        <f>IF([2]Entry!$E$1940="","",[2]Entry!$E$1940)</f>
        <v/>
      </c>
      <c r="S1937">
        <f>IF([2]Entry!$G$1940="","",[2]Entry!$G$1940)</f>
        <v/>
      </c>
      <c r="T1937">
        <f>IF([2]Entry!$J$1940="","",[2]Entry!$J$1940)</f>
        <v/>
      </c>
      <c r="U1937">
        <f>IF([2]Entry!$K$1940="","",[2]Entry!$K$1940)</f>
        <v/>
      </c>
      <c r="V1937">
        <f>IF([2]Entry!$L$1940="","",[2]Entry!$L$1940)</f>
        <v/>
      </c>
      <c r="W1937">
        <f>IF([2]Entry!$M$1940="","",[2]Entry!$M$1940)</f>
        <v/>
      </c>
      <c r="X1937">
        <f>IF([2]Entry!$N$1940="","",[2]Entry!$N$1940)</f>
        <v/>
      </c>
      <c r="Y1937">
        <f>IF([2]Entry!$R$1940="","",[2]Entry!$R$1940)</f>
        <v/>
      </c>
    </row>
    <row r="1938">
      <c r="P1938">
        <f>IF([2]Entry!$C$1941="","",[2]Entry!$C$1941)</f>
        <v/>
      </c>
      <c r="Q1938">
        <f>IF([2]Entry!$D$1941="","",[2]Entry!$D$1941)</f>
        <v/>
      </c>
      <c r="R1938">
        <f>IF([2]Entry!$E$1941="","",[2]Entry!$E$1941)</f>
        <v/>
      </c>
      <c r="S1938">
        <f>IF([2]Entry!$G$1941="","",[2]Entry!$G$1941)</f>
        <v/>
      </c>
      <c r="T1938">
        <f>IF([2]Entry!$J$1941="","",[2]Entry!$J$1941)</f>
        <v/>
      </c>
      <c r="U1938">
        <f>IF([2]Entry!$K$1941="","",[2]Entry!$K$1941)</f>
        <v/>
      </c>
      <c r="V1938">
        <f>IF([2]Entry!$L$1941="","",[2]Entry!$L$1941)</f>
        <v/>
      </c>
      <c r="W1938">
        <f>IF([2]Entry!$M$1941="","",[2]Entry!$M$1941)</f>
        <v/>
      </c>
      <c r="X1938">
        <f>IF([2]Entry!$N$1941="","",[2]Entry!$N$1941)</f>
        <v/>
      </c>
      <c r="Y1938">
        <f>IF([2]Entry!$R$1941="","",[2]Entry!$R$1941)</f>
        <v/>
      </c>
    </row>
    <row r="1939">
      <c r="P1939">
        <f>IF([2]Entry!$C$1942="","",[2]Entry!$C$1942)</f>
        <v/>
      </c>
      <c r="Q1939">
        <f>IF([2]Entry!$D$1942="","",[2]Entry!$D$1942)</f>
        <v/>
      </c>
      <c r="R1939">
        <f>IF([2]Entry!$E$1942="","",[2]Entry!$E$1942)</f>
        <v/>
      </c>
      <c r="S1939">
        <f>IF([2]Entry!$G$1942="","",[2]Entry!$G$1942)</f>
        <v/>
      </c>
      <c r="T1939">
        <f>IF([2]Entry!$J$1942="","",[2]Entry!$J$1942)</f>
        <v/>
      </c>
      <c r="U1939">
        <f>IF([2]Entry!$K$1942="","",[2]Entry!$K$1942)</f>
        <v/>
      </c>
      <c r="V1939">
        <f>IF([2]Entry!$L$1942="","",[2]Entry!$L$1942)</f>
        <v/>
      </c>
      <c r="W1939">
        <f>IF([2]Entry!$M$1942="","",[2]Entry!$M$1942)</f>
        <v/>
      </c>
      <c r="X1939">
        <f>IF([2]Entry!$N$1942="","",[2]Entry!$N$1942)</f>
        <v/>
      </c>
      <c r="Y1939">
        <f>IF([2]Entry!$R$1942="","",[2]Entry!$R$1942)</f>
        <v/>
      </c>
    </row>
    <row r="1940">
      <c r="P1940">
        <f>IF([2]Entry!$C$1943="","",[2]Entry!$C$1943)</f>
        <v/>
      </c>
      <c r="Q1940">
        <f>IF([2]Entry!$D$1943="","",[2]Entry!$D$1943)</f>
        <v/>
      </c>
      <c r="R1940">
        <f>IF([2]Entry!$E$1943="","",[2]Entry!$E$1943)</f>
        <v/>
      </c>
      <c r="S1940">
        <f>IF([2]Entry!$G$1943="","",[2]Entry!$G$1943)</f>
        <v/>
      </c>
      <c r="T1940">
        <f>IF([2]Entry!$J$1943="","",[2]Entry!$J$1943)</f>
        <v/>
      </c>
      <c r="U1940">
        <f>IF([2]Entry!$K$1943="","",[2]Entry!$K$1943)</f>
        <v/>
      </c>
      <c r="V1940">
        <f>IF([2]Entry!$L$1943="","",[2]Entry!$L$1943)</f>
        <v/>
      </c>
      <c r="W1940">
        <f>IF([2]Entry!$M$1943="","",[2]Entry!$M$1943)</f>
        <v/>
      </c>
      <c r="X1940">
        <f>IF([2]Entry!$N$1943="","",[2]Entry!$N$1943)</f>
        <v/>
      </c>
      <c r="Y1940">
        <f>IF([2]Entry!$R$1943="","",[2]Entry!$R$1943)</f>
        <v/>
      </c>
    </row>
    <row r="1941">
      <c r="P1941">
        <f>IF([2]Entry!$C$1944="","",[2]Entry!$C$1944)</f>
        <v/>
      </c>
      <c r="Q1941">
        <f>IF([2]Entry!$D$1944="","",[2]Entry!$D$1944)</f>
        <v/>
      </c>
      <c r="R1941">
        <f>IF([2]Entry!$E$1944="","",[2]Entry!$E$1944)</f>
        <v/>
      </c>
      <c r="S1941">
        <f>IF([2]Entry!$G$1944="","",[2]Entry!$G$1944)</f>
        <v/>
      </c>
      <c r="T1941">
        <f>IF([2]Entry!$J$1944="","",[2]Entry!$J$1944)</f>
        <v/>
      </c>
      <c r="U1941">
        <f>IF([2]Entry!$K$1944="","",[2]Entry!$K$1944)</f>
        <v/>
      </c>
      <c r="V1941">
        <f>IF([2]Entry!$L$1944="","",[2]Entry!$L$1944)</f>
        <v/>
      </c>
      <c r="W1941">
        <f>IF([2]Entry!$M$1944="","",[2]Entry!$M$1944)</f>
        <v/>
      </c>
      <c r="X1941">
        <f>IF([2]Entry!$N$1944="","",[2]Entry!$N$1944)</f>
        <v/>
      </c>
      <c r="Y1941">
        <f>IF([2]Entry!$R$1944="","",[2]Entry!$R$1944)</f>
        <v/>
      </c>
    </row>
    <row r="1942">
      <c r="P1942">
        <f>IF([2]Entry!$C$1945="","",[2]Entry!$C$1945)</f>
        <v/>
      </c>
      <c r="Q1942">
        <f>IF([2]Entry!$D$1945="","",[2]Entry!$D$1945)</f>
        <v/>
      </c>
      <c r="R1942">
        <f>IF([2]Entry!$E$1945="","",[2]Entry!$E$1945)</f>
        <v/>
      </c>
      <c r="S1942">
        <f>IF([2]Entry!$G$1945="","",[2]Entry!$G$1945)</f>
        <v/>
      </c>
      <c r="T1942">
        <f>IF([2]Entry!$J$1945="","",[2]Entry!$J$1945)</f>
        <v/>
      </c>
      <c r="U1942">
        <f>IF([2]Entry!$K$1945="","",[2]Entry!$K$1945)</f>
        <v/>
      </c>
      <c r="V1942">
        <f>IF([2]Entry!$L$1945="","",[2]Entry!$L$1945)</f>
        <v/>
      </c>
      <c r="W1942">
        <f>IF([2]Entry!$M$1945="","",[2]Entry!$M$1945)</f>
        <v/>
      </c>
      <c r="X1942">
        <f>IF([2]Entry!$N$1945="","",[2]Entry!$N$1945)</f>
        <v/>
      </c>
      <c r="Y1942">
        <f>IF([2]Entry!$R$1945="","",[2]Entry!$R$1945)</f>
        <v/>
      </c>
    </row>
    <row r="1943">
      <c r="P1943">
        <f>IF([2]Entry!$C$1946="","",[2]Entry!$C$1946)</f>
        <v/>
      </c>
      <c r="Q1943">
        <f>IF([2]Entry!$D$1946="","",[2]Entry!$D$1946)</f>
        <v/>
      </c>
      <c r="R1943">
        <f>IF([2]Entry!$E$1946="","",[2]Entry!$E$1946)</f>
        <v/>
      </c>
      <c r="S1943">
        <f>IF([2]Entry!$G$1946="","",[2]Entry!$G$1946)</f>
        <v/>
      </c>
      <c r="T1943">
        <f>IF([2]Entry!$J$1946="","",[2]Entry!$J$1946)</f>
        <v/>
      </c>
      <c r="U1943">
        <f>IF([2]Entry!$K$1946="","",[2]Entry!$K$1946)</f>
        <v/>
      </c>
      <c r="V1943">
        <f>IF([2]Entry!$L$1946="","",[2]Entry!$L$1946)</f>
        <v/>
      </c>
      <c r="W1943">
        <f>IF([2]Entry!$M$1946="","",[2]Entry!$M$1946)</f>
        <v/>
      </c>
      <c r="X1943">
        <f>IF([2]Entry!$N$1946="","",[2]Entry!$N$1946)</f>
        <v/>
      </c>
      <c r="Y1943">
        <f>IF([2]Entry!$R$1946="","",[2]Entry!$R$1946)</f>
        <v/>
      </c>
    </row>
    <row r="1944">
      <c r="P1944">
        <f>IF([2]Entry!$C$1947="","",[2]Entry!$C$1947)</f>
        <v/>
      </c>
      <c r="Q1944">
        <f>IF([2]Entry!$D$1947="","",[2]Entry!$D$1947)</f>
        <v/>
      </c>
      <c r="R1944">
        <f>IF([2]Entry!$E$1947="","",[2]Entry!$E$1947)</f>
        <v/>
      </c>
      <c r="S1944">
        <f>IF([2]Entry!$G$1947="","",[2]Entry!$G$1947)</f>
        <v/>
      </c>
      <c r="T1944">
        <f>IF([2]Entry!$J$1947="","",[2]Entry!$J$1947)</f>
        <v/>
      </c>
      <c r="U1944">
        <f>IF([2]Entry!$K$1947="","",[2]Entry!$K$1947)</f>
        <v/>
      </c>
      <c r="V1944">
        <f>IF([2]Entry!$L$1947="","",[2]Entry!$L$1947)</f>
        <v/>
      </c>
      <c r="W1944">
        <f>IF([2]Entry!$M$1947="","",[2]Entry!$M$1947)</f>
        <v/>
      </c>
      <c r="X1944">
        <f>IF([2]Entry!$N$1947="","",[2]Entry!$N$1947)</f>
        <v/>
      </c>
      <c r="Y1944">
        <f>IF([2]Entry!$R$1947="","",[2]Entry!$R$1947)</f>
        <v/>
      </c>
    </row>
    <row r="1945">
      <c r="P1945">
        <f>IF([2]Entry!$C$1948="","",[2]Entry!$C$1948)</f>
        <v/>
      </c>
      <c r="Q1945">
        <f>IF([2]Entry!$D$1948="","",[2]Entry!$D$1948)</f>
        <v/>
      </c>
      <c r="R1945">
        <f>IF([2]Entry!$E$1948="","",[2]Entry!$E$1948)</f>
        <v/>
      </c>
      <c r="S1945">
        <f>IF([2]Entry!$G$1948="","",[2]Entry!$G$1948)</f>
        <v/>
      </c>
      <c r="T1945">
        <f>IF([2]Entry!$J$1948="","",[2]Entry!$J$1948)</f>
        <v/>
      </c>
      <c r="U1945">
        <f>IF([2]Entry!$K$1948="","",[2]Entry!$K$1948)</f>
        <v/>
      </c>
      <c r="V1945">
        <f>IF([2]Entry!$L$1948="","",[2]Entry!$L$1948)</f>
        <v/>
      </c>
      <c r="W1945">
        <f>IF([2]Entry!$M$1948="","",[2]Entry!$M$1948)</f>
        <v/>
      </c>
      <c r="X1945">
        <f>IF([2]Entry!$N$1948="","",[2]Entry!$N$1948)</f>
        <v/>
      </c>
      <c r="Y1945">
        <f>IF([2]Entry!$R$1948="","",[2]Entry!$R$1948)</f>
        <v/>
      </c>
    </row>
    <row r="1946">
      <c r="P1946">
        <f>IF([2]Entry!$C$1949="","",[2]Entry!$C$1949)</f>
        <v/>
      </c>
      <c r="Q1946">
        <f>IF([2]Entry!$D$1949="","",[2]Entry!$D$1949)</f>
        <v/>
      </c>
      <c r="R1946">
        <f>IF([2]Entry!$E$1949="","",[2]Entry!$E$1949)</f>
        <v/>
      </c>
      <c r="S1946">
        <f>IF([2]Entry!$G$1949="","",[2]Entry!$G$1949)</f>
        <v/>
      </c>
      <c r="T1946">
        <f>IF([2]Entry!$J$1949="","",[2]Entry!$J$1949)</f>
        <v/>
      </c>
      <c r="U1946">
        <f>IF([2]Entry!$K$1949="","",[2]Entry!$K$1949)</f>
        <v/>
      </c>
      <c r="V1946">
        <f>IF([2]Entry!$L$1949="","",[2]Entry!$L$1949)</f>
        <v/>
      </c>
      <c r="W1946">
        <f>IF([2]Entry!$M$1949="","",[2]Entry!$M$1949)</f>
        <v/>
      </c>
      <c r="X1946">
        <f>IF([2]Entry!$N$1949="","",[2]Entry!$N$1949)</f>
        <v/>
      </c>
      <c r="Y1946">
        <f>IF([2]Entry!$R$1949="","",[2]Entry!$R$1949)</f>
        <v/>
      </c>
    </row>
    <row r="1947">
      <c r="P1947">
        <f>IF([2]Entry!$C$1950="","",[2]Entry!$C$1950)</f>
        <v/>
      </c>
      <c r="Q1947">
        <f>IF([2]Entry!$D$1950="","",[2]Entry!$D$1950)</f>
        <v/>
      </c>
      <c r="R1947">
        <f>IF([2]Entry!$E$1950="","",[2]Entry!$E$1950)</f>
        <v/>
      </c>
      <c r="S1947">
        <f>IF([2]Entry!$G$1950="","",[2]Entry!$G$1950)</f>
        <v/>
      </c>
      <c r="T1947">
        <f>IF([2]Entry!$J$1950="","",[2]Entry!$J$1950)</f>
        <v/>
      </c>
      <c r="U1947">
        <f>IF([2]Entry!$K$1950="","",[2]Entry!$K$1950)</f>
        <v/>
      </c>
      <c r="V1947">
        <f>IF([2]Entry!$L$1950="","",[2]Entry!$L$1950)</f>
        <v/>
      </c>
      <c r="W1947">
        <f>IF([2]Entry!$M$1950="","",[2]Entry!$M$1950)</f>
        <v/>
      </c>
      <c r="X1947">
        <f>IF([2]Entry!$N$1950="","",[2]Entry!$N$1950)</f>
        <v/>
      </c>
      <c r="Y1947">
        <f>IF([2]Entry!$R$1950="","",[2]Entry!$R$1950)</f>
        <v/>
      </c>
    </row>
    <row r="1948">
      <c r="P1948">
        <f>IF([2]Entry!$C$1951="","",[2]Entry!$C$1951)</f>
        <v/>
      </c>
      <c r="Q1948">
        <f>IF([2]Entry!$D$1951="","",[2]Entry!$D$1951)</f>
        <v/>
      </c>
      <c r="R1948">
        <f>IF([2]Entry!$E$1951="","",[2]Entry!$E$1951)</f>
        <v/>
      </c>
      <c r="S1948">
        <f>IF([2]Entry!$G$1951="","",[2]Entry!$G$1951)</f>
        <v/>
      </c>
      <c r="T1948">
        <f>IF([2]Entry!$J$1951="","",[2]Entry!$J$1951)</f>
        <v/>
      </c>
      <c r="U1948">
        <f>IF([2]Entry!$K$1951="","",[2]Entry!$K$1951)</f>
        <v/>
      </c>
      <c r="V1948">
        <f>IF([2]Entry!$L$1951="","",[2]Entry!$L$1951)</f>
        <v/>
      </c>
      <c r="W1948">
        <f>IF([2]Entry!$M$1951="","",[2]Entry!$M$1951)</f>
        <v/>
      </c>
      <c r="X1948">
        <f>IF([2]Entry!$N$1951="","",[2]Entry!$N$1951)</f>
        <v/>
      </c>
      <c r="Y1948">
        <f>IF([2]Entry!$R$1951="","",[2]Entry!$R$1951)</f>
        <v/>
      </c>
    </row>
    <row r="1949">
      <c r="P1949">
        <f>IF([2]Entry!$C$1952="","",[2]Entry!$C$1952)</f>
        <v/>
      </c>
      <c r="Q1949">
        <f>IF([2]Entry!$D$1952="","",[2]Entry!$D$1952)</f>
        <v/>
      </c>
      <c r="R1949">
        <f>IF([2]Entry!$E$1952="","",[2]Entry!$E$1952)</f>
        <v/>
      </c>
      <c r="S1949">
        <f>IF([2]Entry!$G$1952="","",[2]Entry!$G$1952)</f>
        <v/>
      </c>
      <c r="T1949">
        <f>IF([2]Entry!$J$1952="","",[2]Entry!$J$1952)</f>
        <v/>
      </c>
      <c r="U1949">
        <f>IF([2]Entry!$K$1952="","",[2]Entry!$K$1952)</f>
        <v/>
      </c>
      <c r="V1949">
        <f>IF([2]Entry!$L$1952="","",[2]Entry!$L$1952)</f>
        <v/>
      </c>
      <c r="W1949">
        <f>IF([2]Entry!$M$1952="","",[2]Entry!$M$1952)</f>
        <v/>
      </c>
      <c r="X1949">
        <f>IF([2]Entry!$N$1952="","",[2]Entry!$N$1952)</f>
        <v/>
      </c>
      <c r="Y1949">
        <f>IF([2]Entry!$R$1952="","",[2]Entry!$R$1952)</f>
        <v/>
      </c>
    </row>
    <row r="1950">
      <c r="P1950">
        <f>IF([2]Entry!$C$1953="","",[2]Entry!$C$1953)</f>
        <v/>
      </c>
      <c r="Q1950">
        <f>IF([2]Entry!$D$1953="","",[2]Entry!$D$1953)</f>
        <v/>
      </c>
      <c r="R1950">
        <f>IF([2]Entry!$E$1953="","",[2]Entry!$E$1953)</f>
        <v/>
      </c>
      <c r="S1950">
        <f>IF([2]Entry!$G$1953="","",[2]Entry!$G$1953)</f>
        <v/>
      </c>
      <c r="T1950">
        <f>IF([2]Entry!$J$1953="","",[2]Entry!$J$1953)</f>
        <v/>
      </c>
      <c r="U1950">
        <f>IF([2]Entry!$K$1953="","",[2]Entry!$K$1953)</f>
        <v/>
      </c>
      <c r="V1950">
        <f>IF([2]Entry!$L$1953="","",[2]Entry!$L$1953)</f>
        <v/>
      </c>
      <c r="W1950">
        <f>IF([2]Entry!$M$1953="","",[2]Entry!$M$1953)</f>
        <v/>
      </c>
      <c r="X1950">
        <f>IF([2]Entry!$N$1953="","",[2]Entry!$N$1953)</f>
        <v/>
      </c>
      <c r="Y1950">
        <f>IF([2]Entry!$R$1953="","",[2]Entry!$R$1953)</f>
        <v/>
      </c>
    </row>
    <row r="1951">
      <c r="P1951">
        <f>IF([2]Entry!$C$1954="","",[2]Entry!$C$1954)</f>
        <v/>
      </c>
      <c r="Q1951">
        <f>IF([2]Entry!$D$1954="","",[2]Entry!$D$1954)</f>
        <v/>
      </c>
      <c r="R1951">
        <f>IF([2]Entry!$E$1954="","",[2]Entry!$E$1954)</f>
        <v/>
      </c>
      <c r="S1951">
        <f>IF([2]Entry!$G$1954="","",[2]Entry!$G$1954)</f>
        <v/>
      </c>
      <c r="T1951">
        <f>IF([2]Entry!$J$1954="","",[2]Entry!$J$1954)</f>
        <v/>
      </c>
      <c r="U1951">
        <f>IF([2]Entry!$K$1954="","",[2]Entry!$K$1954)</f>
        <v/>
      </c>
      <c r="V1951">
        <f>IF([2]Entry!$L$1954="","",[2]Entry!$L$1954)</f>
        <v/>
      </c>
      <c r="W1951">
        <f>IF([2]Entry!$M$1954="","",[2]Entry!$M$1954)</f>
        <v/>
      </c>
      <c r="X1951">
        <f>IF([2]Entry!$N$1954="","",[2]Entry!$N$1954)</f>
        <v/>
      </c>
      <c r="Y1951">
        <f>IF([2]Entry!$R$1954="","",[2]Entry!$R$1954)</f>
        <v/>
      </c>
    </row>
    <row r="1952">
      <c r="P1952">
        <f>IF([2]Entry!$C$1955="","",[2]Entry!$C$1955)</f>
        <v/>
      </c>
      <c r="Q1952">
        <f>IF([2]Entry!$D$1955="","",[2]Entry!$D$1955)</f>
        <v/>
      </c>
      <c r="R1952">
        <f>IF([2]Entry!$E$1955="","",[2]Entry!$E$1955)</f>
        <v/>
      </c>
      <c r="S1952">
        <f>IF([2]Entry!$G$1955="","",[2]Entry!$G$1955)</f>
        <v/>
      </c>
      <c r="T1952">
        <f>IF([2]Entry!$J$1955="","",[2]Entry!$J$1955)</f>
        <v/>
      </c>
      <c r="U1952">
        <f>IF([2]Entry!$K$1955="","",[2]Entry!$K$1955)</f>
        <v/>
      </c>
      <c r="V1952">
        <f>IF([2]Entry!$L$1955="","",[2]Entry!$L$1955)</f>
        <v/>
      </c>
      <c r="W1952">
        <f>IF([2]Entry!$M$1955="","",[2]Entry!$M$1955)</f>
        <v/>
      </c>
      <c r="X1952">
        <f>IF([2]Entry!$N$1955="","",[2]Entry!$N$1955)</f>
        <v/>
      </c>
      <c r="Y1952">
        <f>IF([2]Entry!$R$1955="","",[2]Entry!$R$1955)</f>
        <v/>
      </c>
    </row>
    <row r="1953">
      <c r="P1953">
        <f>IF([2]Entry!$C$1956="","",[2]Entry!$C$1956)</f>
        <v/>
      </c>
      <c r="Q1953">
        <f>IF([2]Entry!$D$1956="","",[2]Entry!$D$1956)</f>
        <v/>
      </c>
      <c r="R1953">
        <f>IF([2]Entry!$E$1956="","",[2]Entry!$E$1956)</f>
        <v/>
      </c>
      <c r="S1953">
        <f>IF([2]Entry!$G$1956="","",[2]Entry!$G$1956)</f>
        <v/>
      </c>
      <c r="T1953">
        <f>IF([2]Entry!$J$1956="","",[2]Entry!$J$1956)</f>
        <v/>
      </c>
      <c r="U1953">
        <f>IF([2]Entry!$K$1956="","",[2]Entry!$K$1956)</f>
        <v/>
      </c>
      <c r="V1953">
        <f>IF([2]Entry!$L$1956="","",[2]Entry!$L$1956)</f>
        <v/>
      </c>
      <c r="W1953">
        <f>IF([2]Entry!$M$1956="","",[2]Entry!$M$1956)</f>
        <v/>
      </c>
      <c r="X1953">
        <f>IF([2]Entry!$N$1956="","",[2]Entry!$N$1956)</f>
        <v/>
      </c>
      <c r="Y1953">
        <f>IF([2]Entry!$R$1956="","",[2]Entry!$R$1956)</f>
        <v/>
      </c>
    </row>
    <row r="1954">
      <c r="P1954">
        <f>IF([2]Entry!$C$1957="","",[2]Entry!$C$1957)</f>
        <v/>
      </c>
      <c r="Q1954">
        <f>IF([2]Entry!$D$1957="","",[2]Entry!$D$1957)</f>
        <v/>
      </c>
      <c r="R1954">
        <f>IF([2]Entry!$E$1957="","",[2]Entry!$E$1957)</f>
        <v/>
      </c>
      <c r="S1954">
        <f>IF([2]Entry!$G$1957="","",[2]Entry!$G$1957)</f>
        <v/>
      </c>
      <c r="T1954">
        <f>IF([2]Entry!$J$1957="","",[2]Entry!$J$1957)</f>
        <v/>
      </c>
      <c r="U1954">
        <f>IF([2]Entry!$K$1957="","",[2]Entry!$K$1957)</f>
        <v/>
      </c>
      <c r="V1954">
        <f>IF([2]Entry!$L$1957="","",[2]Entry!$L$1957)</f>
        <v/>
      </c>
      <c r="W1954">
        <f>IF([2]Entry!$M$1957="","",[2]Entry!$M$1957)</f>
        <v/>
      </c>
      <c r="X1954">
        <f>IF([2]Entry!$N$1957="","",[2]Entry!$N$1957)</f>
        <v/>
      </c>
      <c r="Y1954">
        <f>IF([2]Entry!$R$1957="","",[2]Entry!$R$1957)</f>
        <v/>
      </c>
    </row>
    <row r="1955">
      <c r="P1955">
        <f>IF([2]Entry!$C$1958="","",[2]Entry!$C$1958)</f>
        <v/>
      </c>
      <c r="Q1955">
        <f>IF([2]Entry!$D$1958="","",[2]Entry!$D$1958)</f>
        <v/>
      </c>
      <c r="R1955">
        <f>IF([2]Entry!$E$1958="","",[2]Entry!$E$1958)</f>
        <v/>
      </c>
      <c r="S1955">
        <f>IF([2]Entry!$G$1958="","",[2]Entry!$G$1958)</f>
        <v/>
      </c>
      <c r="T1955">
        <f>IF([2]Entry!$J$1958="","",[2]Entry!$J$1958)</f>
        <v/>
      </c>
      <c r="U1955">
        <f>IF([2]Entry!$K$1958="","",[2]Entry!$K$1958)</f>
        <v/>
      </c>
      <c r="V1955">
        <f>IF([2]Entry!$L$1958="","",[2]Entry!$L$1958)</f>
        <v/>
      </c>
      <c r="W1955">
        <f>IF([2]Entry!$M$1958="","",[2]Entry!$M$1958)</f>
        <v/>
      </c>
      <c r="X1955">
        <f>IF([2]Entry!$N$1958="","",[2]Entry!$N$1958)</f>
        <v/>
      </c>
      <c r="Y1955">
        <f>IF([2]Entry!$R$1958="","",[2]Entry!$R$1958)</f>
        <v/>
      </c>
    </row>
    <row r="1956">
      <c r="P1956">
        <f>IF([2]Entry!$C$1959="","",[2]Entry!$C$1959)</f>
        <v/>
      </c>
      <c r="Q1956">
        <f>IF([2]Entry!$D$1959="","",[2]Entry!$D$1959)</f>
        <v/>
      </c>
      <c r="R1956">
        <f>IF([2]Entry!$E$1959="","",[2]Entry!$E$1959)</f>
        <v/>
      </c>
      <c r="S1956">
        <f>IF([2]Entry!$G$1959="","",[2]Entry!$G$1959)</f>
        <v/>
      </c>
      <c r="T1956">
        <f>IF([2]Entry!$J$1959="","",[2]Entry!$J$1959)</f>
        <v/>
      </c>
      <c r="U1956">
        <f>IF([2]Entry!$K$1959="","",[2]Entry!$K$1959)</f>
        <v/>
      </c>
      <c r="V1956">
        <f>IF([2]Entry!$L$1959="","",[2]Entry!$L$1959)</f>
        <v/>
      </c>
      <c r="W1956">
        <f>IF([2]Entry!$M$1959="","",[2]Entry!$M$1959)</f>
        <v/>
      </c>
      <c r="X1956">
        <f>IF([2]Entry!$N$1959="","",[2]Entry!$N$1959)</f>
        <v/>
      </c>
      <c r="Y1956">
        <f>IF([2]Entry!$R$1959="","",[2]Entry!$R$1959)</f>
        <v/>
      </c>
    </row>
    <row r="1957">
      <c r="P1957">
        <f>IF([2]Entry!$C$1960="","",[2]Entry!$C$1960)</f>
        <v/>
      </c>
      <c r="Q1957">
        <f>IF([2]Entry!$D$1960="","",[2]Entry!$D$1960)</f>
        <v/>
      </c>
      <c r="R1957">
        <f>IF([2]Entry!$E$1960="","",[2]Entry!$E$1960)</f>
        <v/>
      </c>
      <c r="S1957">
        <f>IF([2]Entry!$G$1960="","",[2]Entry!$G$1960)</f>
        <v/>
      </c>
      <c r="T1957">
        <f>IF([2]Entry!$J$1960="","",[2]Entry!$J$1960)</f>
        <v/>
      </c>
      <c r="U1957">
        <f>IF([2]Entry!$K$1960="","",[2]Entry!$K$1960)</f>
        <v/>
      </c>
      <c r="V1957">
        <f>IF([2]Entry!$L$1960="","",[2]Entry!$L$1960)</f>
        <v/>
      </c>
      <c r="W1957">
        <f>IF([2]Entry!$M$1960="","",[2]Entry!$M$1960)</f>
        <v/>
      </c>
      <c r="X1957">
        <f>IF([2]Entry!$N$1960="","",[2]Entry!$N$1960)</f>
        <v/>
      </c>
      <c r="Y1957">
        <f>IF([2]Entry!$R$1960="","",[2]Entry!$R$1960)</f>
        <v/>
      </c>
    </row>
    <row r="1958">
      <c r="P1958">
        <f>IF([2]Entry!$C$1961="","",[2]Entry!$C$1961)</f>
        <v/>
      </c>
      <c r="Q1958">
        <f>IF([2]Entry!$D$1961="","",[2]Entry!$D$1961)</f>
        <v/>
      </c>
      <c r="R1958">
        <f>IF([2]Entry!$E$1961="","",[2]Entry!$E$1961)</f>
        <v/>
      </c>
      <c r="S1958">
        <f>IF([2]Entry!$G$1961="","",[2]Entry!$G$1961)</f>
        <v/>
      </c>
      <c r="T1958">
        <f>IF([2]Entry!$J$1961="","",[2]Entry!$J$1961)</f>
        <v/>
      </c>
      <c r="U1958">
        <f>IF([2]Entry!$K$1961="","",[2]Entry!$K$1961)</f>
        <v/>
      </c>
      <c r="V1958">
        <f>IF([2]Entry!$L$1961="","",[2]Entry!$L$1961)</f>
        <v/>
      </c>
      <c r="W1958">
        <f>IF([2]Entry!$M$1961="","",[2]Entry!$M$1961)</f>
        <v/>
      </c>
      <c r="X1958">
        <f>IF([2]Entry!$N$1961="","",[2]Entry!$N$1961)</f>
        <v/>
      </c>
      <c r="Y1958">
        <f>IF([2]Entry!$R$1961="","",[2]Entry!$R$1961)</f>
        <v/>
      </c>
    </row>
    <row r="1959">
      <c r="P1959">
        <f>IF([2]Entry!$C$1962="","",[2]Entry!$C$1962)</f>
        <v/>
      </c>
      <c r="Q1959">
        <f>IF([2]Entry!$D$1962="","",[2]Entry!$D$1962)</f>
        <v/>
      </c>
      <c r="R1959">
        <f>IF([2]Entry!$E$1962="","",[2]Entry!$E$1962)</f>
        <v/>
      </c>
      <c r="S1959">
        <f>IF([2]Entry!$G$1962="","",[2]Entry!$G$1962)</f>
        <v/>
      </c>
      <c r="T1959">
        <f>IF([2]Entry!$J$1962="","",[2]Entry!$J$1962)</f>
        <v/>
      </c>
      <c r="U1959">
        <f>IF([2]Entry!$K$1962="","",[2]Entry!$K$1962)</f>
        <v/>
      </c>
      <c r="V1959">
        <f>IF([2]Entry!$L$1962="","",[2]Entry!$L$1962)</f>
        <v/>
      </c>
      <c r="W1959">
        <f>IF([2]Entry!$M$1962="","",[2]Entry!$M$1962)</f>
        <v/>
      </c>
      <c r="X1959">
        <f>IF([2]Entry!$N$1962="","",[2]Entry!$N$1962)</f>
        <v/>
      </c>
      <c r="Y1959">
        <f>IF([2]Entry!$R$1962="","",[2]Entry!$R$1962)</f>
        <v/>
      </c>
    </row>
    <row r="1960">
      <c r="P1960">
        <f>IF([2]Entry!$C$1963="","",[2]Entry!$C$1963)</f>
        <v/>
      </c>
      <c r="Q1960">
        <f>IF([2]Entry!$D$1963="","",[2]Entry!$D$1963)</f>
        <v/>
      </c>
      <c r="R1960">
        <f>IF([2]Entry!$E$1963="","",[2]Entry!$E$1963)</f>
        <v/>
      </c>
      <c r="S1960">
        <f>IF([2]Entry!$G$1963="","",[2]Entry!$G$1963)</f>
        <v/>
      </c>
      <c r="T1960">
        <f>IF([2]Entry!$J$1963="","",[2]Entry!$J$1963)</f>
        <v/>
      </c>
      <c r="U1960">
        <f>IF([2]Entry!$K$1963="","",[2]Entry!$K$1963)</f>
        <v/>
      </c>
      <c r="V1960">
        <f>IF([2]Entry!$L$1963="","",[2]Entry!$L$1963)</f>
        <v/>
      </c>
      <c r="W1960">
        <f>IF([2]Entry!$M$1963="","",[2]Entry!$M$1963)</f>
        <v/>
      </c>
      <c r="X1960">
        <f>IF([2]Entry!$N$1963="","",[2]Entry!$N$1963)</f>
        <v/>
      </c>
      <c r="Y1960">
        <f>IF([2]Entry!$R$1963="","",[2]Entry!$R$1963)</f>
        <v/>
      </c>
    </row>
    <row r="1961">
      <c r="P1961">
        <f>IF([2]Entry!$C$1964="","",[2]Entry!$C$1964)</f>
        <v/>
      </c>
      <c r="Q1961">
        <f>IF([2]Entry!$D$1964="","",[2]Entry!$D$1964)</f>
        <v/>
      </c>
      <c r="R1961">
        <f>IF([2]Entry!$E$1964="","",[2]Entry!$E$1964)</f>
        <v/>
      </c>
      <c r="S1961">
        <f>IF([2]Entry!$G$1964="","",[2]Entry!$G$1964)</f>
        <v/>
      </c>
      <c r="T1961">
        <f>IF([2]Entry!$J$1964="","",[2]Entry!$J$1964)</f>
        <v/>
      </c>
      <c r="U1961">
        <f>IF([2]Entry!$K$1964="","",[2]Entry!$K$1964)</f>
        <v/>
      </c>
      <c r="V1961">
        <f>IF([2]Entry!$L$1964="","",[2]Entry!$L$1964)</f>
        <v/>
      </c>
      <c r="W1961">
        <f>IF([2]Entry!$M$1964="","",[2]Entry!$M$1964)</f>
        <v/>
      </c>
      <c r="X1961">
        <f>IF([2]Entry!$N$1964="","",[2]Entry!$N$1964)</f>
        <v/>
      </c>
      <c r="Y1961">
        <f>IF([2]Entry!$R$1964="","",[2]Entry!$R$1964)</f>
        <v/>
      </c>
    </row>
    <row r="1962">
      <c r="P1962">
        <f>IF([2]Entry!$C$1965="","",[2]Entry!$C$1965)</f>
        <v/>
      </c>
      <c r="Q1962">
        <f>IF([2]Entry!$D$1965="","",[2]Entry!$D$1965)</f>
        <v/>
      </c>
      <c r="R1962">
        <f>IF([2]Entry!$E$1965="","",[2]Entry!$E$1965)</f>
        <v/>
      </c>
      <c r="S1962">
        <f>IF([2]Entry!$G$1965="","",[2]Entry!$G$1965)</f>
        <v/>
      </c>
      <c r="T1962">
        <f>IF([2]Entry!$J$1965="","",[2]Entry!$J$1965)</f>
        <v/>
      </c>
      <c r="U1962">
        <f>IF([2]Entry!$K$1965="","",[2]Entry!$K$1965)</f>
        <v/>
      </c>
      <c r="V1962">
        <f>IF([2]Entry!$L$1965="","",[2]Entry!$L$1965)</f>
        <v/>
      </c>
      <c r="W1962">
        <f>IF([2]Entry!$M$1965="","",[2]Entry!$M$1965)</f>
        <v/>
      </c>
      <c r="X1962">
        <f>IF([2]Entry!$N$1965="","",[2]Entry!$N$1965)</f>
        <v/>
      </c>
      <c r="Y1962">
        <f>IF([2]Entry!$R$1965="","",[2]Entry!$R$1965)</f>
        <v/>
      </c>
    </row>
    <row r="1963">
      <c r="P1963">
        <f>IF([2]Entry!$C$1966="","",[2]Entry!$C$1966)</f>
        <v/>
      </c>
      <c r="Q1963">
        <f>IF([2]Entry!$D$1966="","",[2]Entry!$D$1966)</f>
        <v/>
      </c>
      <c r="R1963">
        <f>IF([2]Entry!$E$1966="","",[2]Entry!$E$1966)</f>
        <v/>
      </c>
      <c r="S1963">
        <f>IF([2]Entry!$G$1966="","",[2]Entry!$G$1966)</f>
        <v/>
      </c>
      <c r="T1963">
        <f>IF([2]Entry!$J$1966="","",[2]Entry!$J$1966)</f>
        <v/>
      </c>
      <c r="U1963">
        <f>IF([2]Entry!$K$1966="","",[2]Entry!$K$1966)</f>
        <v/>
      </c>
      <c r="V1963">
        <f>IF([2]Entry!$L$1966="","",[2]Entry!$L$1966)</f>
        <v/>
      </c>
      <c r="W1963">
        <f>IF([2]Entry!$M$1966="","",[2]Entry!$M$1966)</f>
        <v/>
      </c>
      <c r="X1963">
        <f>IF([2]Entry!$N$1966="","",[2]Entry!$N$1966)</f>
        <v/>
      </c>
      <c r="Y1963">
        <f>IF([2]Entry!$R$1966="","",[2]Entry!$R$1966)</f>
        <v/>
      </c>
    </row>
    <row r="1964">
      <c r="P1964">
        <f>IF([2]Entry!$C$1967="","",[2]Entry!$C$1967)</f>
        <v/>
      </c>
      <c r="Q1964">
        <f>IF([2]Entry!$D$1967="","",[2]Entry!$D$1967)</f>
        <v/>
      </c>
      <c r="R1964">
        <f>IF([2]Entry!$E$1967="","",[2]Entry!$E$1967)</f>
        <v/>
      </c>
      <c r="S1964">
        <f>IF([2]Entry!$G$1967="","",[2]Entry!$G$1967)</f>
        <v/>
      </c>
      <c r="T1964">
        <f>IF([2]Entry!$J$1967="","",[2]Entry!$J$1967)</f>
        <v/>
      </c>
      <c r="U1964">
        <f>IF([2]Entry!$K$1967="","",[2]Entry!$K$1967)</f>
        <v/>
      </c>
      <c r="V1964">
        <f>IF([2]Entry!$L$1967="","",[2]Entry!$L$1967)</f>
        <v/>
      </c>
      <c r="W1964">
        <f>IF([2]Entry!$M$1967="","",[2]Entry!$M$1967)</f>
        <v/>
      </c>
      <c r="X1964">
        <f>IF([2]Entry!$N$1967="","",[2]Entry!$N$1967)</f>
        <v/>
      </c>
      <c r="Y1964">
        <f>IF([2]Entry!$R$1967="","",[2]Entry!$R$1967)</f>
        <v/>
      </c>
    </row>
    <row r="1965">
      <c r="P1965">
        <f>IF([2]Entry!$C$1968="","",[2]Entry!$C$1968)</f>
        <v/>
      </c>
      <c r="Q1965">
        <f>IF([2]Entry!$D$1968="","",[2]Entry!$D$1968)</f>
        <v/>
      </c>
      <c r="R1965">
        <f>IF([2]Entry!$E$1968="","",[2]Entry!$E$1968)</f>
        <v/>
      </c>
      <c r="S1965">
        <f>IF([2]Entry!$G$1968="","",[2]Entry!$G$1968)</f>
        <v/>
      </c>
      <c r="T1965">
        <f>IF([2]Entry!$J$1968="","",[2]Entry!$J$1968)</f>
        <v/>
      </c>
      <c r="U1965">
        <f>IF([2]Entry!$K$1968="","",[2]Entry!$K$1968)</f>
        <v/>
      </c>
      <c r="V1965">
        <f>IF([2]Entry!$L$1968="","",[2]Entry!$L$1968)</f>
        <v/>
      </c>
      <c r="W1965">
        <f>IF([2]Entry!$M$1968="","",[2]Entry!$M$1968)</f>
        <v/>
      </c>
      <c r="X1965">
        <f>IF([2]Entry!$N$1968="","",[2]Entry!$N$1968)</f>
        <v/>
      </c>
      <c r="Y1965">
        <f>IF([2]Entry!$R$1968="","",[2]Entry!$R$1968)</f>
        <v/>
      </c>
    </row>
    <row r="1966">
      <c r="P1966">
        <f>IF([2]Entry!$C$1969="","",[2]Entry!$C$1969)</f>
        <v/>
      </c>
      <c r="Q1966">
        <f>IF([2]Entry!$D$1969="","",[2]Entry!$D$1969)</f>
        <v/>
      </c>
      <c r="R1966">
        <f>IF([2]Entry!$E$1969="","",[2]Entry!$E$1969)</f>
        <v/>
      </c>
      <c r="S1966">
        <f>IF([2]Entry!$G$1969="","",[2]Entry!$G$1969)</f>
        <v/>
      </c>
      <c r="T1966">
        <f>IF([2]Entry!$J$1969="","",[2]Entry!$J$1969)</f>
        <v/>
      </c>
      <c r="U1966">
        <f>IF([2]Entry!$K$1969="","",[2]Entry!$K$1969)</f>
        <v/>
      </c>
      <c r="V1966">
        <f>IF([2]Entry!$L$1969="","",[2]Entry!$L$1969)</f>
        <v/>
      </c>
      <c r="W1966">
        <f>IF([2]Entry!$M$1969="","",[2]Entry!$M$1969)</f>
        <v/>
      </c>
      <c r="X1966">
        <f>IF([2]Entry!$N$1969="","",[2]Entry!$N$1969)</f>
        <v/>
      </c>
      <c r="Y1966">
        <f>IF([2]Entry!$R$1969="","",[2]Entry!$R$1969)</f>
        <v/>
      </c>
    </row>
    <row r="1967">
      <c r="P1967">
        <f>IF([2]Entry!$C$1970="","",[2]Entry!$C$1970)</f>
        <v/>
      </c>
      <c r="Q1967">
        <f>IF([2]Entry!$D$1970="","",[2]Entry!$D$1970)</f>
        <v/>
      </c>
      <c r="R1967">
        <f>IF([2]Entry!$E$1970="","",[2]Entry!$E$1970)</f>
        <v/>
      </c>
      <c r="S1967">
        <f>IF([2]Entry!$G$1970="","",[2]Entry!$G$1970)</f>
        <v/>
      </c>
      <c r="T1967">
        <f>IF([2]Entry!$J$1970="","",[2]Entry!$J$1970)</f>
        <v/>
      </c>
      <c r="U1967">
        <f>IF([2]Entry!$K$1970="","",[2]Entry!$K$1970)</f>
        <v/>
      </c>
      <c r="V1967">
        <f>IF([2]Entry!$L$1970="","",[2]Entry!$L$1970)</f>
        <v/>
      </c>
      <c r="W1967">
        <f>IF([2]Entry!$M$1970="","",[2]Entry!$M$1970)</f>
        <v/>
      </c>
      <c r="X1967">
        <f>IF([2]Entry!$N$1970="","",[2]Entry!$N$1970)</f>
        <v/>
      </c>
      <c r="Y1967">
        <f>IF([2]Entry!$R$1970="","",[2]Entry!$R$1970)</f>
        <v/>
      </c>
    </row>
    <row r="1968">
      <c r="P1968">
        <f>IF([2]Entry!$C$1971="","",[2]Entry!$C$1971)</f>
        <v/>
      </c>
      <c r="Q1968">
        <f>IF([2]Entry!$D$1971="","",[2]Entry!$D$1971)</f>
        <v/>
      </c>
      <c r="R1968">
        <f>IF([2]Entry!$E$1971="","",[2]Entry!$E$1971)</f>
        <v/>
      </c>
      <c r="S1968">
        <f>IF([2]Entry!$G$1971="","",[2]Entry!$G$1971)</f>
        <v/>
      </c>
      <c r="T1968">
        <f>IF([2]Entry!$J$1971="","",[2]Entry!$J$1971)</f>
        <v/>
      </c>
      <c r="U1968">
        <f>IF([2]Entry!$K$1971="","",[2]Entry!$K$1971)</f>
        <v/>
      </c>
      <c r="V1968">
        <f>IF([2]Entry!$L$1971="","",[2]Entry!$L$1971)</f>
        <v/>
      </c>
      <c r="W1968">
        <f>IF([2]Entry!$M$1971="","",[2]Entry!$M$1971)</f>
        <v/>
      </c>
      <c r="X1968">
        <f>IF([2]Entry!$N$1971="","",[2]Entry!$N$1971)</f>
        <v/>
      </c>
      <c r="Y1968">
        <f>IF([2]Entry!$R$1971="","",[2]Entry!$R$1971)</f>
        <v/>
      </c>
    </row>
    <row r="1969">
      <c r="P1969">
        <f>IF([2]Entry!$C$1972="","",[2]Entry!$C$1972)</f>
        <v/>
      </c>
      <c r="Q1969">
        <f>IF([2]Entry!$D$1972="","",[2]Entry!$D$1972)</f>
        <v/>
      </c>
      <c r="R1969">
        <f>IF([2]Entry!$E$1972="","",[2]Entry!$E$1972)</f>
        <v/>
      </c>
      <c r="S1969">
        <f>IF([2]Entry!$G$1972="","",[2]Entry!$G$1972)</f>
        <v/>
      </c>
      <c r="T1969">
        <f>IF([2]Entry!$J$1972="","",[2]Entry!$J$1972)</f>
        <v/>
      </c>
      <c r="U1969">
        <f>IF([2]Entry!$K$1972="","",[2]Entry!$K$1972)</f>
        <v/>
      </c>
      <c r="V1969">
        <f>IF([2]Entry!$L$1972="","",[2]Entry!$L$1972)</f>
        <v/>
      </c>
      <c r="W1969">
        <f>IF([2]Entry!$M$1972="","",[2]Entry!$M$1972)</f>
        <v/>
      </c>
      <c r="X1969">
        <f>IF([2]Entry!$N$1972="","",[2]Entry!$N$1972)</f>
        <v/>
      </c>
      <c r="Y1969">
        <f>IF([2]Entry!$R$1972="","",[2]Entry!$R$1972)</f>
        <v/>
      </c>
    </row>
    <row r="1970">
      <c r="P1970">
        <f>IF([2]Entry!$C$1973="","",[2]Entry!$C$1973)</f>
        <v/>
      </c>
      <c r="Q1970">
        <f>IF([2]Entry!$D$1973="","",[2]Entry!$D$1973)</f>
        <v/>
      </c>
      <c r="R1970">
        <f>IF([2]Entry!$E$1973="","",[2]Entry!$E$1973)</f>
        <v/>
      </c>
      <c r="S1970">
        <f>IF([2]Entry!$G$1973="","",[2]Entry!$G$1973)</f>
        <v/>
      </c>
      <c r="T1970">
        <f>IF([2]Entry!$J$1973="","",[2]Entry!$J$1973)</f>
        <v/>
      </c>
      <c r="U1970">
        <f>IF([2]Entry!$K$1973="","",[2]Entry!$K$1973)</f>
        <v/>
      </c>
      <c r="V1970">
        <f>IF([2]Entry!$L$1973="","",[2]Entry!$L$1973)</f>
        <v/>
      </c>
      <c r="W1970">
        <f>IF([2]Entry!$M$1973="","",[2]Entry!$M$1973)</f>
        <v/>
      </c>
      <c r="X1970">
        <f>IF([2]Entry!$N$1973="","",[2]Entry!$N$1973)</f>
        <v/>
      </c>
      <c r="Y1970">
        <f>IF([2]Entry!$R$1973="","",[2]Entry!$R$1973)</f>
        <v/>
      </c>
    </row>
    <row r="1971">
      <c r="P1971">
        <f>IF([2]Entry!$C$1974="","",[2]Entry!$C$1974)</f>
        <v/>
      </c>
      <c r="Q1971">
        <f>IF([2]Entry!$D$1974="","",[2]Entry!$D$1974)</f>
        <v/>
      </c>
      <c r="R1971">
        <f>IF([2]Entry!$E$1974="","",[2]Entry!$E$1974)</f>
        <v/>
      </c>
      <c r="S1971">
        <f>IF([2]Entry!$G$1974="","",[2]Entry!$G$1974)</f>
        <v/>
      </c>
      <c r="T1971">
        <f>IF([2]Entry!$J$1974="","",[2]Entry!$J$1974)</f>
        <v/>
      </c>
      <c r="U1971">
        <f>IF([2]Entry!$K$1974="","",[2]Entry!$K$1974)</f>
        <v/>
      </c>
      <c r="V1971">
        <f>IF([2]Entry!$L$1974="","",[2]Entry!$L$1974)</f>
        <v/>
      </c>
      <c r="W1971">
        <f>IF([2]Entry!$M$1974="","",[2]Entry!$M$1974)</f>
        <v/>
      </c>
      <c r="X1971">
        <f>IF([2]Entry!$N$1974="","",[2]Entry!$N$1974)</f>
        <v/>
      </c>
      <c r="Y1971">
        <f>IF([2]Entry!$R$1974="","",[2]Entry!$R$1974)</f>
        <v/>
      </c>
    </row>
    <row r="1972">
      <c r="P1972">
        <f>IF([2]Entry!$C$1975="","",[2]Entry!$C$1975)</f>
        <v/>
      </c>
      <c r="Q1972">
        <f>IF([2]Entry!$D$1975="","",[2]Entry!$D$1975)</f>
        <v/>
      </c>
      <c r="R1972">
        <f>IF([2]Entry!$E$1975="","",[2]Entry!$E$1975)</f>
        <v/>
      </c>
      <c r="S1972">
        <f>IF([2]Entry!$G$1975="","",[2]Entry!$G$1975)</f>
        <v/>
      </c>
      <c r="T1972">
        <f>IF([2]Entry!$J$1975="","",[2]Entry!$J$1975)</f>
        <v/>
      </c>
      <c r="U1972">
        <f>IF([2]Entry!$K$1975="","",[2]Entry!$K$1975)</f>
        <v/>
      </c>
      <c r="V1972">
        <f>IF([2]Entry!$L$1975="","",[2]Entry!$L$1975)</f>
        <v/>
      </c>
      <c r="W1972">
        <f>IF([2]Entry!$M$1975="","",[2]Entry!$M$1975)</f>
        <v/>
      </c>
      <c r="X1972">
        <f>IF([2]Entry!$N$1975="","",[2]Entry!$N$1975)</f>
        <v/>
      </c>
      <c r="Y1972">
        <f>IF([2]Entry!$R$1975="","",[2]Entry!$R$1975)</f>
        <v/>
      </c>
    </row>
    <row r="1973">
      <c r="P1973">
        <f>IF([2]Entry!$C$1976="","",[2]Entry!$C$1976)</f>
        <v/>
      </c>
      <c r="Q1973">
        <f>IF([2]Entry!$D$1976="","",[2]Entry!$D$1976)</f>
        <v/>
      </c>
      <c r="R1973">
        <f>IF([2]Entry!$E$1976="","",[2]Entry!$E$1976)</f>
        <v/>
      </c>
      <c r="S1973">
        <f>IF([2]Entry!$G$1976="","",[2]Entry!$G$1976)</f>
        <v/>
      </c>
      <c r="T1973">
        <f>IF([2]Entry!$J$1976="","",[2]Entry!$J$1976)</f>
        <v/>
      </c>
      <c r="U1973">
        <f>IF([2]Entry!$K$1976="","",[2]Entry!$K$1976)</f>
        <v/>
      </c>
      <c r="V1973">
        <f>IF([2]Entry!$L$1976="","",[2]Entry!$L$1976)</f>
        <v/>
      </c>
      <c r="W1973">
        <f>IF([2]Entry!$M$1976="","",[2]Entry!$M$1976)</f>
        <v/>
      </c>
      <c r="X1973">
        <f>IF([2]Entry!$N$1976="","",[2]Entry!$N$1976)</f>
        <v/>
      </c>
      <c r="Y1973">
        <f>IF([2]Entry!$R$1976="","",[2]Entry!$R$1976)</f>
        <v/>
      </c>
    </row>
    <row r="1974">
      <c r="P1974">
        <f>IF([2]Entry!$C$1977="","",[2]Entry!$C$1977)</f>
        <v/>
      </c>
      <c r="Q1974">
        <f>IF([2]Entry!$D$1977="","",[2]Entry!$D$1977)</f>
        <v/>
      </c>
      <c r="R1974">
        <f>IF([2]Entry!$E$1977="","",[2]Entry!$E$1977)</f>
        <v/>
      </c>
      <c r="S1974">
        <f>IF([2]Entry!$G$1977="","",[2]Entry!$G$1977)</f>
        <v/>
      </c>
      <c r="T1974">
        <f>IF([2]Entry!$J$1977="","",[2]Entry!$J$1977)</f>
        <v/>
      </c>
      <c r="U1974">
        <f>IF([2]Entry!$K$1977="","",[2]Entry!$K$1977)</f>
        <v/>
      </c>
      <c r="V1974">
        <f>IF([2]Entry!$L$1977="","",[2]Entry!$L$1977)</f>
        <v/>
      </c>
      <c r="W1974">
        <f>IF([2]Entry!$M$1977="","",[2]Entry!$M$1977)</f>
        <v/>
      </c>
      <c r="X1974">
        <f>IF([2]Entry!$N$1977="","",[2]Entry!$N$1977)</f>
        <v/>
      </c>
      <c r="Y1974">
        <f>IF([2]Entry!$R$1977="","",[2]Entry!$R$1977)</f>
        <v/>
      </c>
    </row>
    <row r="1975">
      <c r="P1975">
        <f>IF([2]Entry!$C$1978="","",[2]Entry!$C$1978)</f>
        <v/>
      </c>
      <c r="Q1975">
        <f>IF([2]Entry!$D$1978="","",[2]Entry!$D$1978)</f>
        <v/>
      </c>
      <c r="R1975">
        <f>IF([2]Entry!$E$1978="","",[2]Entry!$E$1978)</f>
        <v/>
      </c>
      <c r="S1975">
        <f>IF([2]Entry!$G$1978="","",[2]Entry!$G$1978)</f>
        <v/>
      </c>
      <c r="T1975">
        <f>IF([2]Entry!$J$1978="","",[2]Entry!$J$1978)</f>
        <v/>
      </c>
      <c r="U1975">
        <f>IF([2]Entry!$K$1978="","",[2]Entry!$K$1978)</f>
        <v/>
      </c>
      <c r="V1975">
        <f>IF([2]Entry!$L$1978="","",[2]Entry!$L$1978)</f>
        <v/>
      </c>
      <c r="W1975">
        <f>IF([2]Entry!$M$1978="","",[2]Entry!$M$1978)</f>
        <v/>
      </c>
      <c r="X1975">
        <f>IF([2]Entry!$N$1978="","",[2]Entry!$N$1978)</f>
        <v/>
      </c>
      <c r="Y1975">
        <f>IF([2]Entry!$R$1978="","",[2]Entry!$R$1978)</f>
        <v/>
      </c>
    </row>
    <row r="1976">
      <c r="P1976">
        <f>IF([2]Entry!$C$1979="","",[2]Entry!$C$1979)</f>
        <v/>
      </c>
      <c r="Q1976">
        <f>IF([2]Entry!$D$1979="","",[2]Entry!$D$1979)</f>
        <v/>
      </c>
      <c r="R1976">
        <f>IF([2]Entry!$E$1979="","",[2]Entry!$E$1979)</f>
        <v/>
      </c>
      <c r="S1976">
        <f>IF([2]Entry!$G$1979="","",[2]Entry!$G$1979)</f>
        <v/>
      </c>
      <c r="T1976">
        <f>IF([2]Entry!$J$1979="","",[2]Entry!$J$1979)</f>
        <v/>
      </c>
      <c r="U1976">
        <f>IF([2]Entry!$K$1979="","",[2]Entry!$K$1979)</f>
        <v/>
      </c>
      <c r="V1976">
        <f>IF([2]Entry!$L$1979="","",[2]Entry!$L$1979)</f>
        <v/>
      </c>
      <c r="W1976">
        <f>IF([2]Entry!$M$1979="","",[2]Entry!$M$1979)</f>
        <v/>
      </c>
      <c r="X1976">
        <f>IF([2]Entry!$N$1979="","",[2]Entry!$N$1979)</f>
        <v/>
      </c>
      <c r="Y1976">
        <f>IF([2]Entry!$R$1979="","",[2]Entry!$R$1979)</f>
        <v/>
      </c>
    </row>
    <row r="1977">
      <c r="P1977">
        <f>IF([2]Entry!$C$1980="","",[2]Entry!$C$1980)</f>
        <v/>
      </c>
      <c r="Q1977">
        <f>IF([2]Entry!$D$1980="","",[2]Entry!$D$1980)</f>
        <v/>
      </c>
      <c r="R1977">
        <f>IF([2]Entry!$E$1980="","",[2]Entry!$E$1980)</f>
        <v/>
      </c>
      <c r="S1977">
        <f>IF([2]Entry!$G$1980="","",[2]Entry!$G$1980)</f>
        <v/>
      </c>
      <c r="T1977">
        <f>IF([2]Entry!$J$1980="","",[2]Entry!$J$1980)</f>
        <v/>
      </c>
      <c r="U1977">
        <f>IF([2]Entry!$K$1980="","",[2]Entry!$K$1980)</f>
        <v/>
      </c>
      <c r="V1977">
        <f>IF([2]Entry!$L$1980="","",[2]Entry!$L$1980)</f>
        <v/>
      </c>
      <c r="W1977">
        <f>IF([2]Entry!$M$1980="","",[2]Entry!$M$1980)</f>
        <v/>
      </c>
      <c r="X1977">
        <f>IF([2]Entry!$N$1980="","",[2]Entry!$N$1980)</f>
        <v/>
      </c>
      <c r="Y1977">
        <f>IF([2]Entry!$R$1980="","",[2]Entry!$R$1980)</f>
        <v/>
      </c>
    </row>
    <row r="1978">
      <c r="P1978">
        <f>IF([2]Entry!$C$1981="","",[2]Entry!$C$1981)</f>
        <v/>
      </c>
      <c r="Q1978">
        <f>IF([2]Entry!$D$1981="","",[2]Entry!$D$1981)</f>
        <v/>
      </c>
      <c r="R1978">
        <f>IF([2]Entry!$E$1981="","",[2]Entry!$E$1981)</f>
        <v/>
      </c>
      <c r="S1978">
        <f>IF([2]Entry!$G$1981="","",[2]Entry!$G$1981)</f>
        <v/>
      </c>
      <c r="T1978">
        <f>IF([2]Entry!$J$1981="","",[2]Entry!$J$1981)</f>
        <v/>
      </c>
      <c r="U1978">
        <f>IF([2]Entry!$K$1981="","",[2]Entry!$K$1981)</f>
        <v/>
      </c>
      <c r="V1978">
        <f>IF([2]Entry!$L$1981="","",[2]Entry!$L$1981)</f>
        <v/>
      </c>
      <c r="W1978">
        <f>IF([2]Entry!$M$1981="","",[2]Entry!$M$1981)</f>
        <v/>
      </c>
      <c r="X1978">
        <f>IF([2]Entry!$N$1981="","",[2]Entry!$N$1981)</f>
        <v/>
      </c>
      <c r="Y1978">
        <f>IF([2]Entry!$R$1981="","",[2]Entry!$R$1981)</f>
        <v/>
      </c>
    </row>
    <row r="1979">
      <c r="P1979">
        <f>IF([2]Entry!$C$1982="","",[2]Entry!$C$1982)</f>
        <v/>
      </c>
      <c r="Q1979">
        <f>IF([2]Entry!$D$1982="","",[2]Entry!$D$1982)</f>
        <v/>
      </c>
      <c r="R1979">
        <f>IF([2]Entry!$E$1982="","",[2]Entry!$E$1982)</f>
        <v/>
      </c>
      <c r="S1979">
        <f>IF([2]Entry!$G$1982="","",[2]Entry!$G$1982)</f>
        <v/>
      </c>
      <c r="T1979">
        <f>IF([2]Entry!$J$1982="","",[2]Entry!$J$1982)</f>
        <v/>
      </c>
      <c r="U1979">
        <f>IF([2]Entry!$K$1982="","",[2]Entry!$K$1982)</f>
        <v/>
      </c>
      <c r="V1979">
        <f>IF([2]Entry!$L$1982="","",[2]Entry!$L$1982)</f>
        <v/>
      </c>
      <c r="W1979">
        <f>IF([2]Entry!$M$1982="","",[2]Entry!$M$1982)</f>
        <v/>
      </c>
      <c r="X1979">
        <f>IF([2]Entry!$N$1982="","",[2]Entry!$N$1982)</f>
        <v/>
      </c>
      <c r="Y1979">
        <f>IF([2]Entry!$R$1982="","",[2]Entry!$R$1982)</f>
        <v/>
      </c>
    </row>
    <row r="1980">
      <c r="P1980">
        <f>IF([2]Entry!$C$1983="","",[2]Entry!$C$1983)</f>
        <v/>
      </c>
      <c r="Q1980">
        <f>IF([2]Entry!$D$1983="","",[2]Entry!$D$1983)</f>
        <v/>
      </c>
      <c r="R1980">
        <f>IF([2]Entry!$E$1983="","",[2]Entry!$E$1983)</f>
        <v/>
      </c>
      <c r="S1980">
        <f>IF([2]Entry!$G$1983="","",[2]Entry!$G$1983)</f>
        <v/>
      </c>
      <c r="T1980">
        <f>IF([2]Entry!$J$1983="","",[2]Entry!$J$1983)</f>
        <v/>
      </c>
      <c r="U1980">
        <f>IF([2]Entry!$K$1983="","",[2]Entry!$K$1983)</f>
        <v/>
      </c>
      <c r="V1980">
        <f>IF([2]Entry!$L$1983="","",[2]Entry!$L$1983)</f>
        <v/>
      </c>
      <c r="W1980">
        <f>IF([2]Entry!$M$1983="","",[2]Entry!$M$1983)</f>
        <v/>
      </c>
      <c r="X1980">
        <f>IF([2]Entry!$N$1983="","",[2]Entry!$N$1983)</f>
        <v/>
      </c>
      <c r="Y1980">
        <f>IF([2]Entry!$R$1983="","",[2]Entry!$R$1983)</f>
        <v/>
      </c>
    </row>
    <row r="1981">
      <c r="P1981">
        <f>IF([2]Entry!$C$1984="","",[2]Entry!$C$1984)</f>
        <v/>
      </c>
      <c r="Q1981">
        <f>IF([2]Entry!$D$1984="","",[2]Entry!$D$1984)</f>
        <v/>
      </c>
      <c r="R1981">
        <f>IF([2]Entry!$E$1984="","",[2]Entry!$E$1984)</f>
        <v/>
      </c>
      <c r="S1981">
        <f>IF([2]Entry!$G$1984="","",[2]Entry!$G$1984)</f>
        <v/>
      </c>
      <c r="T1981">
        <f>IF([2]Entry!$J$1984="","",[2]Entry!$J$1984)</f>
        <v/>
      </c>
      <c r="U1981">
        <f>IF([2]Entry!$K$1984="","",[2]Entry!$K$1984)</f>
        <v/>
      </c>
      <c r="V1981">
        <f>IF([2]Entry!$L$1984="","",[2]Entry!$L$1984)</f>
        <v/>
      </c>
      <c r="W1981">
        <f>IF([2]Entry!$M$1984="","",[2]Entry!$M$1984)</f>
        <v/>
      </c>
      <c r="X1981">
        <f>IF([2]Entry!$N$1984="","",[2]Entry!$N$1984)</f>
        <v/>
      </c>
      <c r="Y1981">
        <f>IF([2]Entry!$R$1984="","",[2]Entry!$R$1984)</f>
        <v/>
      </c>
    </row>
    <row r="1982">
      <c r="P1982">
        <f>IF([2]Entry!$C$1985="","",[2]Entry!$C$1985)</f>
        <v/>
      </c>
      <c r="Q1982">
        <f>IF([2]Entry!$D$1985="","",[2]Entry!$D$1985)</f>
        <v/>
      </c>
      <c r="R1982">
        <f>IF([2]Entry!$E$1985="","",[2]Entry!$E$1985)</f>
        <v/>
      </c>
      <c r="S1982">
        <f>IF([2]Entry!$G$1985="","",[2]Entry!$G$1985)</f>
        <v/>
      </c>
      <c r="T1982">
        <f>IF([2]Entry!$J$1985="","",[2]Entry!$J$1985)</f>
        <v/>
      </c>
      <c r="U1982">
        <f>IF([2]Entry!$K$1985="","",[2]Entry!$K$1985)</f>
        <v/>
      </c>
      <c r="V1982">
        <f>IF([2]Entry!$L$1985="","",[2]Entry!$L$1985)</f>
        <v/>
      </c>
      <c r="W1982">
        <f>IF([2]Entry!$M$1985="","",[2]Entry!$M$1985)</f>
        <v/>
      </c>
      <c r="X1982">
        <f>IF([2]Entry!$N$1985="","",[2]Entry!$N$1985)</f>
        <v/>
      </c>
      <c r="Y1982">
        <f>IF([2]Entry!$R$1985="","",[2]Entry!$R$1985)</f>
        <v/>
      </c>
    </row>
    <row r="1983">
      <c r="P1983">
        <f>IF([2]Entry!$C$1986="","",[2]Entry!$C$1986)</f>
        <v/>
      </c>
      <c r="Q1983">
        <f>IF([2]Entry!$D$1986="","",[2]Entry!$D$1986)</f>
        <v/>
      </c>
      <c r="R1983">
        <f>IF([2]Entry!$E$1986="","",[2]Entry!$E$1986)</f>
        <v/>
      </c>
      <c r="S1983">
        <f>IF([2]Entry!$G$1986="","",[2]Entry!$G$1986)</f>
        <v/>
      </c>
      <c r="T1983">
        <f>IF([2]Entry!$J$1986="","",[2]Entry!$J$1986)</f>
        <v/>
      </c>
      <c r="U1983">
        <f>IF([2]Entry!$K$1986="","",[2]Entry!$K$1986)</f>
        <v/>
      </c>
      <c r="V1983">
        <f>IF([2]Entry!$L$1986="","",[2]Entry!$L$1986)</f>
        <v/>
      </c>
      <c r="W1983">
        <f>IF([2]Entry!$M$1986="","",[2]Entry!$M$1986)</f>
        <v/>
      </c>
      <c r="X1983">
        <f>IF([2]Entry!$N$1986="","",[2]Entry!$N$1986)</f>
        <v/>
      </c>
      <c r="Y1983">
        <f>IF([2]Entry!$R$1986="","",[2]Entry!$R$1986)</f>
        <v/>
      </c>
    </row>
    <row r="1984">
      <c r="P1984">
        <f>IF([2]Entry!$C$1987="","",[2]Entry!$C$1987)</f>
        <v/>
      </c>
      <c r="Q1984">
        <f>IF([2]Entry!$D$1987="","",[2]Entry!$D$1987)</f>
        <v/>
      </c>
      <c r="R1984">
        <f>IF([2]Entry!$E$1987="","",[2]Entry!$E$1987)</f>
        <v/>
      </c>
      <c r="S1984">
        <f>IF([2]Entry!$G$1987="","",[2]Entry!$G$1987)</f>
        <v/>
      </c>
      <c r="T1984">
        <f>IF([2]Entry!$J$1987="","",[2]Entry!$J$1987)</f>
        <v/>
      </c>
      <c r="U1984">
        <f>IF([2]Entry!$K$1987="","",[2]Entry!$K$1987)</f>
        <v/>
      </c>
      <c r="V1984">
        <f>IF([2]Entry!$L$1987="","",[2]Entry!$L$1987)</f>
        <v/>
      </c>
      <c r="W1984">
        <f>IF([2]Entry!$M$1987="","",[2]Entry!$M$1987)</f>
        <v/>
      </c>
      <c r="X1984">
        <f>IF([2]Entry!$N$1987="","",[2]Entry!$N$1987)</f>
        <v/>
      </c>
      <c r="Y1984">
        <f>IF([2]Entry!$R$1987="","",[2]Entry!$R$1987)</f>
        <v/>
      </c>
    </row>
    <row r="1985">
      <c r="P1985">
        <f>IF([2]Entry!$C$1988="","",[2]Entry!$C$1988)</f>
        <v/>
      </c>
      <c r="Q1985">
        <f>IF([2]Entry!$D$1988="","",[2]Entry!$D$1988)</f>
        <v/>
      </c>
      <c r="R1985">
        <f>IF([2]Entry!$E$1988="","",[2]Entry!$E$1988)</f>
        <v/>
      </c>
      <c r="S1985">
        <f>IF([2]Entry!$G$1988="","",[2]Entry!$G$1988)</f>
        <v/>
      </c>
      <c r="T1985">
        <f>IF([2]Entry!$J$1988="","",[2]Entry!$J$1988)</f>
        <v/>
      </c>
      <c r="U1985">
        <f>IF([2]Entry!$K$1988="","",[2]Entry!$K$1988)</f>
        <v/>
      </c>
      <c r="V1985">
        <f>IF([2]Entry!$L$1988="","",[2]Entry!$L$1988)</f>
        <v/>
      </c>
      <c r="W1985">
        <f>IF([2]Entry!$M$1988="","",[2]Entry!$M$1988)</f>
        <v/>
      </c>
      <c r="X1985">
        <f>IF([2]Entry!$N$1988="","",[2]Entry!$N$1988)</f>
        <v/>
      </c>
      <c r="Y1985">
        <f>IF([2]Entry!$R$1988="","",[2]Entry!$R$1988)</f>
        <v/>
      </c>
    </row>
    <row r="1986">
      <c r="P1986">
        <f>IF([2]Entry!$C$1989="","",[2]Entry!$C$1989)</f>
        <v/>
      </c>
      <c r="Q1986">
        <f>IF([2]Entry!$D$1989="","",[2]Entry!$D$1989)</f>
        <v/>
      </c>
      <c r="R1986">
        <f>IF([2]Entry!$E$1989="","",[2]Entry!$E$1989)</f>
        <v/>
      </c>
      <c r="S1986">
        <f>IF([2]Entry!$G$1989="","",[2]Entry!$G$1989)</f>
        <v/>
      </c>
      <c r="T1986">
        <f>IF([2]Entry!$J$1989="","",[2]Entry!$J$1989)</f>
        <v/>
      </c>
      <c r="U1986">
        <f>IF([2]Entry!$K$1989="","",[2]Entry!$K$1989)</f>
        <v/>
      </c>
      <c r="V1986">
        <f>IF([2]Entry!$L$1989="","",[2]Entry!$L$1989)</f>
        <v/>
      </c>
      <c r="W1986">
        <f>IF([2]Entry!$M$1989="","",[2]Entry!$M$1989)</f>
        <v/>
      </c>
      <c r="X1986">
        <f>IF([2]Entry!$N$1989="","",[2]Entry!$N$1989)</f>
        <v/>
      </c>
      <c r="Y1986">
        <f>IF([2]Entry!$R$1989="","",[2]Entry!$R$1989)</f>
        <v/>
      </c>
    </row>
    <row r="1987">
      <c r="P1987">
        <f>IF([2]Entry!$C$1990="","",[2]Entry!$C$1990)</f>
        <v/>
      </c>
      <c r="Q1987">
        <f>IF([2]Entry!$D$1990="","",[2]Entry!$D$1990)</f>
        <v/>
      </c>
      <c r="R1987">
        <f>IF([2]Entry!$E$1990="","",[2]Entry!$E$1990)</f>
        <v/>
      </c>
      <c r="S1987">
        <f>IF([2]Entry!$G$1990="","",[2]Entry!$G$1990)</f>
        <v/>
      </c>
      <c r="T1987">
        <f>IF([2]Entry!$J$1990="","",[2]Entry!$J$1990)</f>
        <v/>
      </c>
      <c r="U1987">
        <f>IF([2]Entry!$K$1990="","",[2]Entry!$K$1990)</f>
        <v/>
      </c>
      <c r="V1987">
        <f>IF([2]Entry!$L$1990="","",[2]Entry!$L$1990)</f>
        <v/>
      </c>
      <c r="W1987">
        <f>IF([2]Entry!$M$1990="","",[2]Entry!$M$1990)</f>
        <v/>
      </c>
      <c r="X1987">
        <f>IF([2]Entry!$N$1990="","",[2]Entry!$N$1990)</f>
        <v/>
      </c>
      <c r="Y1987">
        <f>IF([2]Entry!$R$1990="","",[2]Entry!$R$1990)</f>
        <v/>
      </c>
    </row>
    <row r="1988">
      <c r="P1988">
        <f>IF([2]Entry!$C$1991="","",[2]Entry!$C$1991)</f>
        <v/>
      </c>
      <c r="Q1988">
        <f>IF([2]Entry!$D$1991="","",[2]Entry!$D$1991)</f>
        <v/>
      </c>
      <c r="R1988">
        <f>IF([2]Entry!$E$1991="","",[2]Entry!$E$1991)</f>
        <v/>
      </c>
      <c r="S1988">
        <f>IF([2]Entry!$G$1991="","",[2]Entry!$G$1991)</f>
        <v/>
      </c>
      <c r="T1988">
        <f>IF([2]Entry!$J$1991="","",[2]Entry!$J$1991)</f>
        <v/>
      </c>
      <c r="U1988">
        <f>IF([2]Entry!$K$1991="","",[2]Entry!$K$1991)</f>
        <v/>
      </c>
      <c r="V1988">
        <f>IF([2]Entry!$L$1991="","",[2]Entry!$L$1991)</f>
        <v/>
      </c>
      <c r="W1988">
        <f>IF([2]Entry!$M$1991="","",[2]Entry!$M$1991)</f>
        <v/>
      </c>
      <c r="X1988">
        <f>IF([2]Entry!$N$1991="","",[2]Entry!$N$1991)</f>
        <v/>
      </c>
      <c r="Y1988">
        <f>IF([2]Entry!$R$1991="","",[2]Entry!$R$1991)</f>
        <v/>
      </c>
    </row>
    <row r="1989">
      <c r="P1989">
        <f>IF([2]Entry!$C$1992="","",[2]Entry!$C$1992)</f>
        <v/>
      </c>
      <c r="Q1989">
        <f>IF([2]Entry!$D$1992="","",[2]Entry!$D$1992)</f>
        <v/>
      </c>
      <c r="R1989">
        <f>IF([2]Entry!$E$1992="","",[2]Entry!$E$1992)</f>
        <v/>
      </c>
      <c r="S1989">
        <f>IF([2]Entry!$G$1992="","",[2]Entry!$G$1992)</f>
        <v/>
      </c>
      <c r="T1989">
        <f>IF([2]Entry!$J$1992="","",[2]Entry!$J$1992)</f>
        <v/>
      </c>
      <c r="U1989">
        <f>IF([2]Entry!$K$1992="","",[2]Entry!$K$1992)</f>
        <v/>
      </c>
      <c r="V1989">
        <f>IF([2]Entry!$L$1992="","",[2]Entry!$L$1992)</f>
        <v/>
      </c>
      <c r="W1989">
        <f>IF([2]Entry!$M$1992="","",[2]Entry!$M$1992)</f>
        <v/>
      </c>
      <c r="X1989">
        <f>IF([2]Entry!$N$1992="","",[2]Entry!$N$1992)</f>
        <v/>
      </c>
      <c r="Y1989">
        <f>IF([2]Entry!$R$1992="","",[2]Entry!$R$1992)</f>
        <v/>
      </c>
    </row>
    <row r="1990">
      <c r="P1990">
        <f>IF([2]Entry!$C$1993="","",[2]Entry!$C$1993)</f>
        <v/>
      </c>
      <c r="Q1990">
        <f>IF([2]Entry!$D$1993="","",[2]Entry!$D$1993)</f>
        <v/>
      </c>
      <c r="R1990">
        <f>IF([2]Entry!$E$1993="","",[2]Entry!$E$1993)</f>
        <v/>
      </c>
      <c r="S1990">
        <f>IF([2]Entry!$G$1993="","",[2]Entry!$G$1993)</f>
        <v/>
      </c>
      <c r="T1990">
        <f>IF([2]Entry!$J$1993="","",[2]Entry!$J$1993)</f>
        <v/>
      </c>
      <c r="U1990">
        <f>IF([2]Entry!$K$1993="","",[2]Entry!$K$1993)</f>
        <v/>
      </c>
      <c r="V1990">
        <f>IF([2]Entry!$L$1993="","",[2]Entry!$L$1993)</f>
        <v/>
      </c>
      <c r="W1990">
        <f>IF([2]Entry!$M$1993="","",[2]Entry!$M$1993)</f>
        <v/>
      </c>
      <c r="X1990">
        <f>IF([2]Entry!$N$1993="","",[2]Entry!$N$1993)</f>
        <v/>
      </c>
      <c r="Y1990">
        <f>IF([2]Entry!$R$1993="","",[2]Entry!$R$1993)</f>
        <v/>
      </c>
    </row>
    <row r="1991">
      <c r="P1991">
        <f>IF([2]Entry!$C$1994="","",[2]Entry!$C$1994)</f>
        <v/>
      </c>
      <c r="Q1991">
        <f>IF([2]Entry!$D$1994="","",[2]Entry!$D$1994)</f>
        <v/>
      </c>
      <c r="R1991">
        <f>IF([2]Entry!$E$1994="","",[2]Entry!$E$1994)</f>
        <v/>
      </c>
      <c r="S1991">
        <f>IF([2]Entry!$G$1994="","",[2]Entry!$G$1994)</f>
        <v/>
      </c>
      <c r="T1991">
        <f>IF([2]Entry!$J$1994="","",[2]Entry!$J$1994)</f>
        <v/>
      </c>
      <c r="U1991">
        <f>IF([2]Entry!$K$1994="","",[2]Entry!$K$1994)</f>
        <v/>
      </c>
      <c r="V1991">
        <f>IF([2]Entry!$L$1994="","",[2]Entry!$L$1994)</f>
        <v/>
      </c>
      <c r="W1991">
        <f>IF([2]Entry!$M$1994="","",[2]Entry!$M$1994)</f>
        <v/>
      </c>
      <c r="X1991">
        <f>IF([2]Entry!$N$1994="","",[2]Entry!$N$1994)</f>
        <v/>
      </c>
      <c r="Y1991">
        <f>IF([2]Entry!$R$1994="","",[2]Entry!$R$1994)</f>
        <v/>
      </c>
    </row>
    <row r="1992">
      <c r="P1992">
        <f>IF([2]Entry!$C$1995="","",[2]Entry!$C$1995)</f>
        <v/>
      </c>
      <c r="Q1992">
        <f>IF([2]Entry!$D$1995="","",[2]Entry!$D$1995)</f>
        <v/>
      </c>
      <c r="R1992">
        <f>IF([2]Entry!$E$1995="","",[2]Entry!$E$1995)</f>
        <v/>
      </c>
      <c r="S1992">
        <f>IF([2]Entry!$G$1995="","",[2]Entry!$G$1995)</f>
        <v/>
      </c>
      <c r="T1992">
        <f>IF([2]Entry!$J$1995="","",[2]Entry!$J$1995)</f>
        <v/>
      </c>
      <c r="U1992">
        <f>IF([2]Entry!$K$1995="","",[2]Entry!$K$1995)</f>
        <v/>
      </c>
      <c r="V1992">
        <f>IF([2]Entry!$L$1995="","",[2]Entry!$L$1995)</f>
        <v/>
      </c>
      <c r="W1992">
        <f>IF([2]Entry!$M$1995="","",[2]Entry!$M$1995)</f>
        <v/>
      </c>
      <c r="X1992">
        <f>IF([2]Entry!$N$1995="","",[2]Entry!$N$1995)</f>
        <v/>
      </c>
      <c r="Y1992">
        <f>IF([2]Entry!$R$1995="","",[2]Entry!$R$1995)</f>
        <v/>
      </c>
    </row>
    <row r="1993">
      <c r="P1993">
        <f>IF([2]Entry!$C$1996="","",[2]Entry!$C$1996)</f>
        <v/>
      </c>
      <c r="Q1993">
        <f>IF([2]Entry!$D$1996="","",[2]Entry!$D$1996)</f>
        <v/>
      </c>
      <c r="R1993">
        <f>IF([2]Entry!$E$1996="","",[2]Entry!$E$1996)</f>
        <v/>
      </c>
      <c r="S1993">
        <f>IF([2]Entry!$G$1996="","",[2]Entry!$G$1996)</f>
        <v/>
      </c>
      <c r="T1993">
        <f>IF([2]Entry!$J$1996="","",[2]Entry!$J$1996)</f>
        <v/>
      </c>
      <c r="U1993">
        <f>IF([2]Entry!$K$1996="","",[2]Entry!$K$1996)</f>
        <v/>
      </c>
      <c r="V1993">
        <f>IF([2]Entry!$L$1996="","",[2]Entry!$L$1996)</f>
        <v/>
      </c>
      <c r="W1993">
        <f>IF([2]Entry!$M$1996="","",[2]Entry!$M$1996)</f>
        <v/>
      </c>
      <c r="X1993">
        <f>IF([2]Entry!$N$1996="","",[2]Entry!$N$1996)</f>
        <v/>
      </c>
      <c r="Y1993">
        <f>IF([2]Entry!$R$1996="","",[2]Entry!$R$1996)</f>
        <v/>
      </c>
    </row>
    <row r="1994">
      <c r="P1994">
        <f>IF([2]Entry!$C$1997="","",[2]Entry!$C$1997)</f>
        <v/>
      </c>
      <c r="Q1994">
        <f>IF([2]Entry!$D$1997="","",[2]Entry!$D$1997)</f>
        <v/>
      </c>
      <c r="R1994">
        <f>IF([2]Entry!$E$1997="","",[2]Entry!$E$1997)</f>
        <v/>
      </c>
      <c r="S1994">
        <f>IF([2]Entry!$G$1997="","",[2]Entry!$G$1997)</f>
        <v/>
      </c>
      <c r="T1994">
        <f>IF([2]Entry!$J$1997="","",[2]Entry!$J$1997)</f>
        <v/>
      </c>
      <c r="U1994">
        <f>IF([2]Entry!$K$1997="","",[2]Entry!$K$1997)</f>
        <v/>
      </c>
      <c r="V1994">
        <f>IF([2]Entry!$L$1997="","",[2]Entry!$L$1997)</f>
        <v/>
      </c>
      <c r="W1994">
        <f>IF([2]Entry!$M$1997="","",[2]Entry!$M$1997)</f>
        <v/>
      </c>
      <c r="X1994">
        <f>IF([2]Entry!$N$1997="","",[2]Entry!$N$1997)</f>
        <v/>
      </c>
      <c r="Y1994">
        <f>IF([2]Entry!$R$1997="","",[2]Entry!$R$1997)</f>
        <v/>
      </c>
    </row>
    <row r="1995">
      <c r="P1995">
        <f>IF([2]Entry!$C$1998="","",[2]Entry!$C$1998)</f>
        <v/>
      </c>
      <c r="Q1995">
        <f>IF([2]Entry!$D$1998="","",[2]Entry!$D$1998)</f>
        <v/>
      </c>
      <c r="R1995">
        <f>IF([2]Entry!$E$1998="","",[2]Entry!$E$1998)</f>
        <v/>
      </c>
      <c r="S1995">
        <f>IF([2]Entry!$G$1998="","",[2]Entry!$G$1998)</f>
        <v/>
      </c>
      <c r="T1995">
        <f>IF([2]Entry!$J$1998="","",[2]Entry!$J$1998)</f>
        <v/>
      </c>
      <c r="U1995">
        <f>IF([2]Entry!$K$1998="","",[2]Entry!$K$1998)</f>
        <v/>
      </c>
      <c r="V1995">
        <f>IF([2]Entry!$L$1998="","",[2]Entry!$L$1998)</f>
        <v/>
      </c>
      <c r="W1995">
        <f>IF([2]Entry!$M$1998="","",[2]Entry!$M$1998)</f>
        <v/>
      </c>
      <c r="X1995">
        <f>IF([2]Entry!$N$1998="","",[2]Entry!$N$1998)</f>
        <v/>
      </c>
      <c r="Y1995">
        <f>IF([2]Entry!$R$1998="","",[2]Entry!$R$1998)</f>
        <v/>
      </c>
    </row>
    <row r="1996">
      <c r="P1996">
        <f>IF([2]Entry!$C$1999="","",[2]Entry!$C$1999)</f>
        <v/>
      </c>
      <c r="Q1996">
        <f>IF([2]Entry!$D$1999="","",[2]Entry!$D$1999)</f>
        <v/>
      </c>
      <c r="R1996">
        <f>IF([2]Entry!$E$1999="","",[2]Entry!$E$1999)</f>
        <v/>
      </c>
      <c r="S1996">
        <f>IF([2]Entry!$G$1999="","",[2]Entry!$G$1999)</f>
        <v/>
      </c>
      <c r="T1996">
        <f>IF([2]Entry!$J$1999="","",[2]Entry!$J$1999)</f>
        <v/>
      </c>
      <c r="U1996">
        <f>IF([2]Entry!$K$1999="","",[2]Entry!$K$1999)</f>
        <v/>
      </c>
      <c r="V1996">
        <f>IF([2]Entry!$L$1999="","",[2]Entry!$L$1999)</f>
        <v/>
      </c>
      <c r="W1996">
        <f>IF([2]Entry!$M$1999="","",[2]Entry!$M$1999)</f>
        <v/>
      </c>
      <c r="X1996">
        <f>IF([2]Entry!$N$1999="","",[2]Entry!$N$1999)</f>
        <v/>
      </c>
      <c r="Y1996">
        <f>IF([2]Entry!$R$1999="","",[2]Entry!$R$1999)</f>
        <v/>
      </c>
    </row>
    <row r="1997">
      <c r="P1997">
        <f>IF([2]Entry!$C$2000="","",[2]Entry!$C$2000)</f>
        <v/>
      </c>
      <c r="Q1997">
        <f>IF([2]Entry!$D$2000="","",[2]Entry!$D$2000)</f>
        <v/>
      </c>
      <c r="R1997">
        <f>IF([2]Entry!$E$2000="","",[2]Entry!$E$2000)</f>
        <v/>
      </c>
      <c r="S1997">
        <f>IF([2]Entry!$G$2000="","",[2]Entry!$G$2000)</f>
        <v/>
      </c>
      <c r="T1997">
        <f>IF([2]Entry!$J$2000="","",[2]Entry!$J$2000)</f>
        <v/>
      </c>
      <c r="U1997">
        <f>IF([2]Entry!$K$2000="","",[2]Entry!$K$2000)</f>
        <v/>
      </c>
      <c r="V1997">
        <f>IF([2]Entry!$L$2000="","",[2]Entry!$L$2000)</f>
        <v/>
      </c>
      <c r="W1997">
        <f>IF([2]Entry!$M$2000="","",[2]Entry!$M$2000)</f>
        <v/>
      </c>
      <c r="X1997">
        <f>IF([2]Entry!$N$2000="","",[2]Entry!$N$2000)</f>
        <v/>
      </c>
      <c r="Y1997">
        <f>IF([2]Entry!$R$2000="","",[2]Entry!$R$2000)</f>
        <v/>
      </c>
    </row>
    <row r="1998">
      <c r="P1998">
        <f>IF([2]Entry!$C$2001="","",[2]Entry!$C$2001)</f>
        <v/>
      </c>
      <c r="Q1998">
        <f>IF([2]Entry!$D$2001="","",[2]Entry!$D$2001)</f>
        <v/>
      </c>
      <c r="R1998">
        <f>IF([2]Entry!$E$2001="","",[2]Entry!$E$2001)</f>
        <v/>
      </c>
      <c r="S1998">
        <f>IF([2]Entry!$G$2001="","",[2]Entry!$G$2001)</f>
        <v/>
      </c>
      <c r="T1998">
        <f>IF([2]Entry!$J$2001="","",[2]Entry!$J$2001)</f>
        <v/>
      </c>
      <c r="U1998">
        <f>IF([2]Entry!$K$2001="","",[2]Entry!$K$2001)</f>
        <v/>
      </c>
      <c r="V1998">
        <f>IF([2]Entry!$L$2001="","",[2]Entry!$L$2001)</f>
        <v/>
      </c>
      <c r="W1998">
        <f>IF([2]Entry!$M$2001="","",[2]Entry!$M$2001)</f>
        <v/>
      </c>
      <c r="X1998">
        <f>IF([2]Entry!$N$2001="","",[2]Entry!$N$2001)</f>
        <v/>
      </c>
      <c r="Y1998">
        <f>IF([2]Entry!$R$2001="","",[2]Entry!$R$2001)</f>
        <v/>
      </c>
    </row>
    <row r="1999">
      <c r="P1999">
        <f>IF([2]Entry!$C$2002="","",[2]Entry!$C$2002)</f>
        <v/>
      </c>
      <c r="Q1999">
        <f>IF([2]Entry!$D$2002="","",[2]Entry!$D$2002)</f>
        <v/>
      </c>
      <c r="R1999">
        <f>IF([2]Entry!$E$2002="","",[2]Entry!$E$2002)</f>
        <v/>
      </c>
      <c r="S1999">
        <f>IF([2]Entry!$G$2002="","",[2]Entry!$G$2002)</f>
        <v/>
      </c>
      <c r="T1999">
        <f>IF([2]Entry!$J$2002="","",[2]Entry!$J$2002)</f>
        <v/>
      </c>
      <c r="U1999">
        <f>IF([2]Entry!$K$2002="","",[2]Entry!$K$2002)</f>
        <v/>
      </c>
      <c r="V1999">
        <f>IF([2]Entry!$L$2002="","",[2]Entry!$L$2002)</f>
        <v/>
      </c>
      <c r="W1999">
        <f>IF([2]Entry!$M$2002="","",[2]Entry!$M$2002)</f>
        <v/>
      </c>
      <c r="X1999">
        <f>IF([2]Entry!$N$2002="","",[2]Entry!$N$2002)</f>
        <v/>
      </c>
      <c r="Y1999">
        <f>IF([2]Entry!$R$2002="","",[2]Entry!$R$2002)</f>
        <v/>
      </c>
    </row>
    <row r="2000">
      <c r="P2000">
        <f>IF([2]Entry!$C$2003="","",[2]Entry!$C$2003)</f>
        <v/>
      </c>
      <c r="Q2000">
        <f>IF([2]Entry!$D$2003="","",[2]Entry!$D$2003)</f>
        <v/>
      </c>
      <c r="R2000">
        <f>IF([2]Entry!$E$2003="","",[2]Entry!$E$2003)</f>
        <v/>
      </c>
      <c r="S2000">
        <f>IF([2]Entry!$G$2003="","",[2]Entry!$G$2003)</f>
        <v/>
      </c>
      <c r="T2000">
        <f>IF([2]Entry!$J$2003="","",[2]Entry!$J$2003)</f>
        <v/>
      </c>
      <c r="U2000">
        <f>IF([2]Entry!$K$2003="","",[2]Entry!$K$2003)</f>
        <v/>
      </c>
      <c r="V2000">
        <f>IF([2]Entry!$L$2003="","",[2]Entry!$L$2003)</f>
        <v/>
      </c>
      <c r="W2000">
        <f>IF([2]Entry!$M$2003="","",[2]Entry!$M$2003)</f>
        <v/>
      </c>
      <c r="X2000">
        <f>IF([2]Entry!$N$2003="","",[2]Entry!$N$2003)</f>
        <v/>
      </c>
      <c r="Y2000">
        <f>IF([2]Entry!$R$2003="","",[2]Entry!$R$2003)</f>
        <v/>
      </c>
    </row>
    <row r="2001">
      <c r="P2001">
        <f>IF([2]Entry!$C$2004="","",[2]Entry!$C$2004)</f>
        <v/>
      </c>
      <c r="Q2001">
        <f>IF([2]Entry!$D$2004="","",[2]Entry!$D$2004)</f>
        <v/>
      </c>
      <c r="R2001">
        <f>IF([2]Entry!$E$2004="","",[2]Entry!$E$2004)</f>
        <v/>
      </c>
      <c r="S2001">
        <f>IF([2]Entry!$G$2004="","",[2]Entry!$G$2004)</f>
        <v/>
      </c>
      <c r="T2001">
        <f>IF([2]Entry!$J$2004="","",[2]Entry!$J$2004)</f>
        <v/>
      </c>
      <c r="U2001">
        <f>IF([2]Entry!$K$2004="","",[2]Entry!$K$2004)</f>
        <v/>
      </c>
      <c r="V2001">
        <f>IF([2]Entry!$L$2004="","",[2]Entry!$L$2004)</f>
        <v/>
      </c>
      <c r="W2001">
        <f>IF([2]Entry!$M$2004="","",[2]Entry!$M$2004)</f>
        <v/>
      </c>
      <c r="X2001">
        <f>IF([2]Entry!$N$2004="","",[2]Entry!$N$2004)</f>
        <v/>
      </c>
      <c r="Y2001">
        <f>IF([2]Entry!$R$2004="","",[2]Entry!$R$2004)</f>
        <v/>
      </c>
    </row>
    <row r="2002">
      <c r="P2002">
        <f>IF([2]Entry!$C$2005="","",[2]Entry!$C$2005)</f>
        <v/>
      </c>
      <c r="Q2002">
        <f>IF([2]Entry!$D$2005="","",[2]Entry!$D$2005)</f>
        <v/>
      </c>
      <c r="R2002">
        <f>IF([2]Entry!$E$2005="","",[2]Entry!$E$2005)</f>
        <v/>
      </c>
      <c r="S2002">
        <f>IF([2]Entry!$G$2005="","",[2]Entry!$G$2005)</f>
        <v/>
      </c>
      <c r="T2002">
        <f>IF([2]Entry!$J$2005="","",[2]Entry!$J$2005)</f>
        <v/>
      </c>
      <c r="U2002">
        <f>IF([2]Entry!$K$2005="","",[2]Entry!$K$2005)</f>
        <v/>
      </c>
      <c r="V2002">
        <f>IF([2]Entry!$L$2005="","",[2]Entry!$L$2005)</f>
        <v/>
      </c>
      <c r="W2002">
        <f>IF([2]Entry!$M$2005="","",[2]Entry!$M$2005)</f>
        <v/>
      </c>
      <c r="X2002">
        <f>IF([2]Entry!$N$2005="","",[2]Entry!$N$2005)</f>
        <v/>
      </c>
      <c r="Y2002">
        <f>IF([2]Entry!$R$2005="","",[2]Entry!$R$2005)</f>
        <v/>
      </c>
    </row>
    <row r="2003">
      <c r="P2003">
        <f>IF([2]Entry!$C$2006="","",[2]Entry!$C$2006)</f>
        <v/>
      </c>
      <c r="Q2003">
        <f>IF([2]Entry!$D$2006="","",[2]Entry!$D$2006)</f>
        <v/>
      </c>
      <c r="R2003">
        <f>IF([2]Entry!$E$2006="","",[2]Entry!$E$2006)</f>
        <v/>
      </c>
      <c r="S2003">
        <f>IF([2]Entry!$G$2006="","",[2]Entry!$G$2006)</f>
        <v/>
      </c>
      <c r="T2003">
        <f>IF([2]Entry!$J$2006="","",[2]Entry!$J$2006)</f>
        <v/>
      </c>
      <c r="U2003">
        <f>IF([2]Entry!$K$2006="","",[2]Entry!$K$2006)</f>
        <v/>
      </c>
      <c r="V2003">
        <f>IF([2]Entry!$L$2006="","",[2]Entry!$L$2006)</f>
        <v/>
      </c>
      <c r="W2003">
        <f>IF([2]Entry!$M$2006="","",[2]Entry!$M$2006)</f>
        <v/>
      </c>
      <c r="X2003">
        <f>IF([2]Entry!$N$2006="","",[2]Entry!$N$2006)</f>
        <v/>
      </c>
      <c r="Y2003">
        <f>IF([2]Entry!$R$2006="","",[2]Entry!$R$2006)</f>
        <v/>
      </c>
    </row>
    <row r="2004">
      <c r="P2004">
        <f>IF([2]Entry!$C$2007="","",[2]Entry!$C$2007)</f>
        <v/>
      </c>
      <c r="Q2004">
        <f>IF([2]Entry!$D$2007="","",[2]Entry!$D$2007)</f>
        <v/>
      </c>
      <c r="R2004">
        <f>IF([2]Entry!$E$2007="","",[2]Entry!$E$2007)</f>
        <v/>
      </c>
      <c r="S2004">
        <f>IF([2]Entry!$G$2007="","",[2]Entry!$G$2007)</f>
        <v/>
      </c>
      <c r="T2004">
        <f>IF([2]Entry!$J$2007="","",[2]Entry!$J$2007)</f>
        <v/>
      </c>
      <c r="U2004">
        <f>IF([2]Entry!$K$2007="","",[2]Entry!$K$2007)</f>
        <v/>
      </c>
      <c r="V2004">
        <f>IF([2]Entry!$L$2007="","",[2]Entry!$L$2007)</f>
        <v/>
      </c>
      <c r="W2004">
        <f>IF([2]Entry!$M$2007="","",[2]Entry!$M$2007)</f>
        <v/>
      </c>
      <c r="X2004">
        <f>IF([2]Entry!$N$2007="","",[2]Entry!$N$2007)</f>
        <v/>
      </c>
      <c r="Y2004">
        <f>IF([2]Entry!$R$2007="","",[2]Entry!$R$2007)</f>
        <v/>
      </c>
    </row>
    <row r="2005">
      <c r="P2005">
        <f>IF([2]Entry!$C$2008="","",[2]Entry!$C$2008)</f>
        <v/>
      </c>
      <c r="Q2005">
        <f>IF([2]Entry!$D$2008="","",[2]Entry!$D$2008)</f>
        <v/>
      </c>
      <c r="R2005">
        <f>IF([2]Entry!$E$2008="","",[2]Entry!$E$2008)</f>
        <v/>
      </c>
      <c r="S2005">
        <f>IF([2]Entry!$G$2008="","",[2]Entry!$G$2008)</f>
        <v/>
      </c>
      <c r="T2005">
        <f>IF([2]Entry!$J$2008="","",[2]Entry!$J$2008)</f>
        <v/>
      </c>
      <c r="U2005">
        <f>IF([2]Entry!$K$2008="","",[2]Entry!$K$2008)</f>
        <v/>
      </c>
      <c r="V2005">
        <f>IF([2]Entry!$L$2008="","",[2]Entry!$L$2008)</f>
        <v/>
      </c>
      <c r="W2005">
        <f>IF([2]Entry!$M$2008="","",[2]Entry!$M$2008)</f>
        <v/>
      </c>
      <c r="X2005">
        <f>IF([2]Entry!$N$2008="","",[2]Entry!$N$2008)</f>
        <v/>
      </c>
      <c r="Y2005">
        <f>IF([2]Entry!$R$2008="","",[2]Entry!$R$2008)</f>
        <v/>
      </c>
    </row>
  </sheetData>
  <mergeCells count="3">
    <mergeCell ref="A2:AI2"/>
    <mergeCell ref="A3:AK3"/>
    <mergeCell ref="A1:A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0A4AE"/>
    <outlinePr summaryBelow="1" summaryRight="1"/>
    <pageSetUpPr/>
  </sheetPr>
  <dimension ref="A1:AQ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7" customWidth="1" min="7" max="7"/>
    <col width="14" customWidth="1" min="9" max="9"/>
    <col width="14" customWidth="1" min="11" max="11"/>
    <col width="13" customWidth="1" min="12" max="12"/>
    <col width="9" customWidth="1" min="14" max="14"/>
    <col width="9" customWidth="1" min="16" max="16"/>
    <col width="9" customWidth="1" min="17" max="17"/>
    <col width="9" customWidth="1" min="18" max="18"/>
    <col width="11" customWidth="1" min="19" max="19"/>
    <col width="17" customWidth="1" min="20" max="20"/>
    <col width="14" customWidth="1" min="22" max="22"/>
    <col width="14" customWidth="1" min="24" max="24"/>
    <col width="13" customWidth="1" min="25" max="25"/>
    <col width="9" customWidth="1" min="31" max="31"/>
    <col width="17" customWidth="1" min="37" max="37"/>
    <col width="14" customWidth="1" min="39" max="39"/>
    <col width="12" customWidth="1" min="40" max="40"/>
    <col width="12" customWidth="1" min="41" max="41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>
      <c r="A3" s="44" t="inlineStr">
        <is>
          <t>برگه فنی — موتور گزارش دستمزد (ترکیب رویدادهای فردی، سهم‌ها و پرداخت‌های بانکی + رتبه‌بندی). فرمول‌ها را تغییر ندهید.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</row>
    <row r="5">
      <c r="A5" s="45" t="inlineStr">
        <is>
          <t>A·طرف</t>
        </is>
      </c>
      <c r="B5" s="45" t="inlineStr">
        <is>
          <t>A·نوع</t>
        </is>
      </c>
      <c r="C5" s="45" t="inlineStr">
        <is>
          <t>A·Y</t>
        </is>
      </c>
      <c r="D5" s="45" t="inlineStr">
        <is>
          <t>A·M</t>
        </is>
      </c>
      <c r="E5" s="45" t="inlineStr">
        <is>
          <t>A·D</t>
        </is>
      </c>
      <c r="F5" s="45" t="inlineStr">
        <is>
          <t>A·تاریخ</t>
        </is>
      </c>
      <c r="G5" s="45" t="inlineStr">
        <is>
          <t>A·کلید</t>
        </is>
      </c>
      <c r="H5" s="45" t="inlineStr">
        <is>
          <t>A·رتبه‌فرد</t>
        </is>
      </c>
      <c r="I5" s="45" t="inlineStr">
        <is>
          <t>A·کلیدفرد</t>
        </is>
      </c>
      <c r="J5" s="45" t="inlineStr">
        <is>
          <t>A·رتبه‌گروه</t>
        </is>
      </c>
      <c r="K5" s="45" t="inlineStr">
        <is>
          <t>A·کلیدگروه</t>
        </is>
      </c>
      <c r="L5" s="45" t="inlineStr">
        <is>
          <t>A·مبلغ</t>
        </is>
      </c>
      <c r="M5" s="45" t="inlineStr">
        <is>
          <t>A·توضیح</t>
        </is>
      </c>
      <c r="N5" s="45" t="inlineStr">
        <is>
          <t>A·شناسه</t>
        </is>
      </c>
      <c r="P5" s="46" t="inlineStr">
        <is>
          <t>B·عضو</t>
        </is>
      </c>
      <c r="Q5" s="46" t="inlineStr">
        <is>
          <t>B·شناسه</t>
        </is>
      </c>
      <c r="R5" s="46" t="inlineStr">
        <is>
          <t>B·گروه</t>
        </is>
      </c>
      <c r="S5" s="46" t="inlineStr">
        <is>
          <t>B·تاریخ</t>
        </is>
      </c>
      <c r="T5" s="46" t="inlineStr">
        <is>
          <t>B·کلید</t>
        </is>
      </c>
      <c r="U5" s="46" t="inlineStr">
        <is>
          <t>B·رتبه‌فرد</t>
        </is>
      </c>
      <c r="V5" s="46" t="inlineStr">
        <is>
          <t>B·کلیدفرد</t>
        </is>
      </c>
      <c r="W5" s="46" t="inlineStr">
        <is>
          <t>B·رتبه‌گروه</t>
        </is>
      </c>
      <c r="X5" s="46" t="inlineStr">
        <is>
          <t>B·کلیدگروه</t>
        </is>
      </c>
      <c r="Y5" s="46" t="inlineStr">
        <is>
          <t>B·مبلغ</t>
        </is>
      </c>
      <c r="Z5" s="46" t="inlineStr">
        <is>
          <t>B·توضیح</t>
        </is>
      </c>
      <c r="AE5" s="46" t="inlineStr">
        <is>
          <t>C·طرف</t>
        </is>
      </c>
      <c r="AF5" s="46" t="inlineStr">
        <is>
          <t>C·Y</t>
        </is>
      </c>
      <c r="AG5" s="46" t="inlineStr">
        <is>
          <t>C·M</t>
        </is>
      </c>
      <c r="AH5" s="46" t="inlineStr">
        <is>
          <t>C·D</t>
        </is>
      </c>
      <c r="AI5" s="46" t="inlineStr">
        <is>
          <t>C·تاریخ</t>
        </is>
      </c>
      <c r="AJ5" s="46" t="inlineStr">
        <is>
          <t>C·ساعت</t>
        </is>
      </c>
      <c r="AK5" s="46" t="inlineStr">
        <is>
          <t>C·کلید</t>
        </is>
      </c>
      <c r="AL5" s="46" t="inlineStr">
        <is>
          <t>C·رتبه‌فرد</t>
        </is>
      </c>
      <c r="AM5" s="46" t="inlineStr">
        <is>
          <t>C·کلیدفرد</t>
        </is>
      </c>
      <c r="AN5" s="46" t="inlineStr">
        <is>
          <t>C·واریز</t>
        </is>
      </c>
      <c r="AO5" s="46" t="inlineStr">
        <is>
          <t>C·برداشت</t>
        </is>
      </c>
      <c r="AP5" s="46" t="inlineStr">
        <is>
          <t>C·بانک</t>
        </is>
      </c>
      <c r="AQ5" s="46" t="inlineStr">
        <is>
          <t>C·توضیح</t>
        </is>
      </c>
    </row>
    <row r="6">
      <c r="A6">
        <f>IF(OR(Wages!$B9="",Wages!$E9=""),"",Wages!$E9)</f>
        <v/>
      </c>
      <c r="B6">
        <f>IF($A6="","",IF(Wages!$C9="دستمزد گروهی",2,1))</f>
        <v/>
      </c>
      <c r="C6">
        <f>IF($A6="","",IF(ISNUMBER(Wages!$B9),IF(AND(Wages!$B9&gt;=10000101,Wages!$B9&lt;=99991231),INT(Wages!$B9/10000),""),IFERROR(VALUE(TRIM(LEFT(Wages!$B9,FIND("/",Wages!$B9)-1))),"")))</f>
        <v/>
      </c>
      <c r="D6">
        <f>IF(OR($A6="",$C6=""),"",IF(ISNUMBER(Wages!$B9),INT(MOD(Wages!$B9,10000)/100),IFERROR(VALUE(TRIM(LEFT(MID(Wages!$B9,FIND("/",Wages!$B9)+1,20),FIND("/",MID(Wages!$B9,FIND("/",Wages!$B9)+1,20))-1))),"")))</f>
        <v/>
      </c>
      <c r="E6">
        <f>IF(OR($A6="",$C6=""),"",IF(ISNUMBER(Wages!$B9),MOD(Wages!$B9,100),IFERROR(VALUE(TRIM(MID(MID(Wages!$B9,FIND("/",Wages!$B9)+1,20),FIND("/",MID(Wages!$B9,FIND("/",Wages!$B9)+1,20))+1,20))),"")))</f>
        <v/>
      </c>
      <c r="F6">
        <f>IF($A6="","",IF(OR($C6="",$D6="",$E6="",$C6&lt;1300,$C6&gt;1500,$D6&lt;1,$D6&gt;12,$E6&lt;1,$E6&gt;31),"نامعتبر",RIGHT("0000"&amp;$C6,4)&amp;"/"&amp;RIGHT("00"&amp;$D6,2)&amp;"/"&amp;RIGHT("00"&amp;$E6,2)))</f>
        <v/>
      </c>
      <c r="G6">
        <f>IF(OR($A6="",$F6="",$F6="نامعتبر"),"",LEFT($F6,4)&amp;MID($F6,6,2)&amp;RIGHT($F6,2)&amp;"0000"&amp;"|"&amp;"1"&amp;RIGHT("00000"&amp;1,5))</f>
        <v/>
      </c>
      <c r="H6">
        <f>IF(OR($B6&lt;&gt;1,$G6=""),"",COUNTIFS(LdAParty,$A6,LdAType,1,LdAKey,"&lt;"&amp;$G6)+COUNTIFS(LdBMember,$A6,LdBKey,"&lt;"&amp;$G6)+COUNTIFS(LdCParty,$A6,LdCKey,"&lt;"&amp;$G6)+1)</f>
        <v/>
      </c>
      <c r="I6">
        <f>IF($H6="","",$A6&amp;"|"&amp;RIGHT("000000"&amp;$H6,6))</f>
        <v/>
      </c>
      <c r="J6">
        <f>IF(OR($B6&lt;&gt;2,$G6=""),"",COUNTIFS(LdAParty,$A6,LdAType,2,LdAKey,"&lt;"&amp;$G6)+1)</f>
        <v/>
      </c>
      <c r="K6">
        <f>IF($J6="","",$A6&amp;"|"&amp;RIGHT("000000"&amp;$J6,6))</f>
        <v/>
      </c>
      <c r="L6">
        <f>IF($A6="","",IF(Wages!$G9="",0,Wages!$G9))</f>
        <v/>
      </c>
      <c r="M6">
        <f>IF($A6="","",Wages!$J9)</f>
        <v/>
      </c>
      <c r="N6">
        <f>IF($A6="","",Wages!$D9)</f>
        <v/>
      </c>
      <c r="P6">
        <f>IF(OR(Shares!$B9="",Shares!$C9=""),"",Shares!$C9)</f>
        <v/>
      </c>
      <c r="Q6">
        <f>IF($P6="","",Shares!$B9)</f>
        <v/>
      </c>
      <c r="R6">
        <f>IF($P6="","",IFERROR(INDEX(WageParty,MATCH($Q6,WageIds,0)),""))</f>
        <v/>
      </c>
      <c r="S6">
        <f>IF($P6="","",IFERROR(INDEX($F$6:$F$2005,MATCH($Q6,WageIds,0)),""))</f>
        <v/>
      </c>
      <c r="T6">
        <f>IF(OR($P6="",$S6="",$S6="نامعتبر"),"",LEFT($S6,4)&amp;MID($S6,6,2)&amp;RIGHT($S6,2)&amp;"0000"&amp;"|"&amp;"2"&amp;RIGHT("00000"&amp;1,5))</f>
        <v/>
      </c>
      <c r="U6">
        <f>IF($T6="","",COUNTIFS(LdAParty,$P6,LdAType,1,LdAKey,"&lt;"&amp;$T6)+COUNTIFS(LdBMember,$P6,LdBKey,"&lt;"&amp;$T6)+COUNTIFS(LdCParty,$P6,LdCKey,"&lt;"&amp;$T6)+1)</f>
        <v/>
      </c>
      <c r="V6">
        <f>IF($U6="","",$P6&amp;"|"&amp;RIGHT("000000"&amp;$U6,6))</f>
        <v/>
      </c>
      <c r="W6">
        <f>IF($T6="","",COUNTIFS(LdBGroup,$R6,LdBKey,"&lt;"&amp;$T6)+1)</f>
        <v/>
      </c>
      <c r="X6">
        <f>IF($W6="","",$R6&amp;"|"&amp;RIGHT("000000"&amp;$W6,6))</f>
        <v/>
      </c>
      <c r="Y6">
        <f>IF($P6="","",IF(Shares!$E9="",0,Shares!$E9))</f>
        <v/>
      </c>
      <c r="Z6">
        <f>IF($P6="","",Shares!$H9)</f>
        <v/>
      </c>
      <c r="AE6">
        <f>IF(OR(Sync!$S6="",Sync!$P6=""),"",Sync!$S6)</f>
        <v/>
      </c>
      <c r="AF6">
        <f>IF($AE6="","",IF(ISNUMBER(Sync!$P6),IF(AND(Sync!$P6&gt;=10000101,Sync!$P6&lt;=99991231),INT(Sync!$P6/10000),""),IFERROR(VALUE(TRIM(LEFT(Sync!$P6,FIND("/",Sync!$P6)-1))),"")))</f>
        <v/>
      </c>
      <c r="AG6">
        <f>IF(OR($AE6="",$AF6=""),"",IF(ISNUMBER(Sync!$P6),INT(MOD(Sync!$P6,10000)/100),IFERROR(VALUE(TRIM(LEFT(MID(Sync!$P6,FIND("/",Sync!$P6)+1,20),FIND("/",MID(Sync!$P6,FIND("/",Sync!$P6)+1,20))-1))),"")))</f>
        <v/>
      </c>
      <c r="AH6">
        <f>IF(OR($AE6="",$AF6=""),"",IF(ISNUMBER(Sync!$P6),MOD(Sync!$P6,100),IFERROR(VALUE(TRIM(MID(MID(Sync!$P6,FIND("/",Sync!$P6)+1,20),FIND("/",MID(Sync!$P6,FIND("/",Sync!$P6)+1,20))+1,20))),"")))</f>
        <v/>
      </c>
      <c r="AI6">
        <f>IF($AE6="","",IF(OR($AF6="",$AG6="",$AH6="",$AF6&lt;1300,$AF6&gt;1500,$AG6&lt;1,$AG6&gt;12,$AH6&lt;1,$AH6&gt;31),"نامعتبر",RIGHT("0000"&amp;$AF6,4)&amp;"/"&amp;RIGHT("00"&amp;$AG6,2)&amp;"/"&amp;RIGHT("00"&amp;$AH6,2)))</f>
        <v/>
      </c>
      <c r="AJ6">
        <f>IF($AE6="","",IF(Sync!$Q6="","0000",IF(AND(ISNUMBER(Sync!$Q6),Sync!$Q6&gt;=0,Sync!$Q6&lt;1),RIGHT("00"&amp;HOUR(Sync!$Q6),2)&amp;RIGHT("00"&amp;MINUTE(Sync!$Q6),2),IFERROR(RIGHT("00"&amp;VALUE(LEFT(Sync!$Q6,FIND(":",Sync!$Q6)-1)),2)&amp;RIGHT("00"&amp;VALUE(MID(Sync!$Q6,FIND(":",Sync!$Q6)+1,2)),2),"0000"))))</f>
        <v/>
      </c>
      <c r="AK6">
        <f>IF(OR($AE6="",$AI6="",$AI6="نامعتبر"),"",LEFT($AI6,4)&amp;MID($AI6,6,2)&amp;RIGHT($AI6,2)&amp;$AJ6&amp;"|"&amp;"3"&amp;RIGHT("00000"&amp;1,5))</f>
        <v/>
      </c>
      <c r="AL6">
        <f>IF($AK6="","",COUNTIFS(LdAParty,$AE6,LdAType,1,LdAKey,"&lt;"&amp;$AK6)+COUNTIFS(LdBMember,$AE6,LdBKey,"&lt;"&amp;$AK6)+COUNTIFS(LdCParty,$AE6,LdCKey,"&lt;"&amp;$AK6)+1)</f>
        <v/>
      </c>
      <c r="AM6">
        <f>IF($AL6="","",$AE6&amp;"|"&amp;RIGHT("000000"&amp;$AL6,6))</f>
        <v/>
      </c>
      <c r="AN6">
        <f>IF($AE6="","",IF(Sync!$W6="",0,Sync!$W6))</f>
        <v/>
      </c>
      <c r="AO6">
        <f>IF($AE6="","",IF(Sync!$X6="",0,Sync!$X6))</f>
        <v/>
      </c>
      <c r="AP6">
        <f>IF($AE6="","",Sync!$R6)</f>
        <v/>
      </c>
      <c r="AQ6">
        <f>IF($AE6="","",Sync!$Y6)</f>
        <v/>
      </c>
    </row>
    <row r="7">
      <c r="A7">
        <f>IF(OR(Wages!$B10="",Wages!$E10=""),"",Wages!$E10)</f>
        <v/>
      </c>
      <c r="B7">
        <f>IF($A7="","",IF(Wages!$C10="دستمزد گروهی",2,1))</f>
        <v/>
      </c>
      <c r="C7">
        <f>IF($A7="","",IF(ISNUMBER(Wages!$B10),IF(AND(Wages!$B10&gt;=10000101,Wages!$B10&lt;=99991231),INT(Wages!$B10/10000),""),IFERROR(VALUE(TRIM(LEFT(Wages!$B10,FIND("/",Wages!$B10)-1))),"")))</f>
        <v/>
      </c>
      <c r="D7">
        <f>IF(OR($A7="",$C7=""),"",IF(ISNUMBER(Wages!$B10),INT(MOD(Wages!$B10,10000)/100),IFERROR(VALUE(TRIM(LEFT(MID(Wages!$B10,FIND("/",Wages!$B10)+1,20),FIND("/",MID(Wages!$B10,FIND("/",Wages!$B10)+1,20))-1))),"")))</f>
        <v/>
      </c>
      <c r="E7">
        <f>IF(OR($A7="",$C7=""),"",IF(ISNUMBER(Wages!$B10),MOD(Wages!$B10,100),IFERROR(VALUE(TRIM(MID(MID(Wages!$B10,FIND("/",Wages!$B10)+1,20),FIND("/",MID(Wages!$B10,FIND("/",Wages!$B10)+1,20))+1,20))),"")))</f>
        <v/>
      </c>
      <c r="F7">
        <f>IF($A7="","",IF(OR($C7="",$D7="",$E7="",$C7&lt;1300,$C7&gt;1500,$D7&lt;1,$D7&gt;12,$E7&lt;1,$E7&gt;31),"نامعتبر",RIGHT("0000"&amp;$C7,4)&amp;"/"&amp;RIGHT("00"&amp;$D7,2)&amp;"/"&amp;RIGHT("00"&amp;$E7,2)))</f>
        <v/>
      </c>
      <c r="G7">
        <f>IF(OR($A7="",$F7="",$F7="نامعتبر"),"",LEFT($F7,4)&amp;MID($F7,6,2)&amp;RIGHT($F7,2)&amp;"0000"&amp;"|"&amp;"1"&amp;RIGHT("00000"&amp;2,5))</f>
        <v/>
      </c>
      <c r="H7">
        <f>IF(OR($B7&lt;&gt;1,$G7=""),"",COUNTIFS(LdAParty,$A7,LdAType,1,LdAKey,"&lt;"&amp;$G7)+COUNTIFS(LdBMember,$A7,LdBKey,"&lt;"&amp;$G7)+COUNTIFS(LdCParty,$A7,LdCKey,"&lt;"&amp;$G7)+1)</f>
        <v/>
      </c>
      <c r="I7">
        <f>IF($H7="","",$A7&amp;"|"&amp;RIGHT("000000"&amp;$H7,6))</f>
        <v/>
      </c>
      <c r="J7">
        <f>IF(OR($B7&lt;&gt;2,$G7=""),"",COUNTIFS(LdAParty,$A7,LdAType,2,LdAKey,"&lt;"&amp;$G7)+1)</f>
        <v/>
      </c>
      <c r="K7">
        <f>IF($J7="","",$A7&amp;"|"&amp;RIGHT("000000"&amp;$J7,6))</f>
        <v/>
      </c>
      <c r="L7">
        <f>IF($A7="","",IF(Wages!$G10="",0,Wages!$G10))</f>
        <v/>
      </c>
      <c r="M7">
        <f>IF($A7="","",Wages!$J10)</f>
        <v/>
      </c>
      <c r="N7">
        <f>IF($A7="","",Wages!$D10)</f>
        <v/>
      </c>
      <c r="P7">
        <f>IF(OR(Shares!$B10="",Shares!$C10=""),"",Shares!$C10)</f>
        <v/>
      </c>
      <c r="Q7">
        <f>IF($P7="","",Shares!$B10)</f>
        <v/>
      </c>
      <c r="R7">
        <f>IF($P7="","",IFERROR(INDEX(WageParty,MATCH($Q7,WageIds,0)),""))</f>
        <v/>
      </c>
      <c r="S7">
        <f>IF($P7="","",IFERROR(INDEX($F$6:$F$2005,MATCH($Q7,WageIds,0)),""))</f>
        <v/>
      </c>
      <c r="T7">
        <f>IF(OR($P7="",$S7="",$S7="نامعتبر"),"",LEFT($S7,4)&amp;MID($S7,6,2)&amp;RIGHT($S7,2)&amp;"0000"&amp;"|"&amp;"2"&amp;RIGHT("00000"&amp;2,5))</f>
        <v/>
      </c>
      <c r="U7">
        <f>IF($T7="","",COUNTIFS(LdAParty,$P7,LdAType,1,LdAKey,"&lt;"&amp;$T7)+COUNTIFS(LdBMember,$P7,LdBKey,"&lt;"&amp;$T7)+COUNTIFS(LdCParty,$P7,LdCKey,"&lt;"&amp;$T7)+1)</f>
        <v/>
      </c>
      <c r="V7">
        <f>IF($U7="","",$P7&amp;"|"&amp;RIGHT("000000"&amp;$U7,6))</f>
        <v/>
      </c>
      <c r="W7">
        <f>IF($T7="","",COUNTIFS(LdBGroup,$R7,LdBKey,"&lt;"&amp;$T7)+1)</f>
        <v/>
      </c>
      <c r="X7">
        <f>IF($W7="","",$R7&amp;"|"&amp;RIGHT("000000"&amp;$W7,6))</f>
        <v/>
      </c>
      <c r="Y7">
        <f>IF($P7="","",IF(Shares!$E10="",0,Shares!$E10))</f>
        <v/>
      </c>
      <c r="Z7">
        <f>IF($P7="","",Shares!$H10)</f>
        <v/>
      </c>
      <c r="AE7">
        <f>IF(OR(Sync!$S7="",Sync!$P7=""),"",Sync!$S7)</f>
        <v/>
      </c>
      <c r="AF7">
        <f>IF($AE7="","",IF(ISNUMBER(Sync!$P7),IF(AND(Sync!$P7&gt;=10000101,Sync!$P7&lt;=99991231),INT(Sync!$P7/10000),""),IFERROR(VALUE(TRIM(LEFT(Sync!$P7,FIND("/",Sync!$P7)-1))),"")))</f>
        <v/>
      </c>
      <c r="AG7">
        <f>IF(OR($AE7="",$AF7=""),"",IF(ISNUMBER(Sync!$P7),INT(MOD(Sync!$P7,10000)/100),IFERROR(VALUE(TRIM(LEFT(MID(Sync!$P7,FIND("/",Sync!$P7)+1,20),FIND("/",MID(Sync!$P7,FIND("/",Sync!$P7)+1,20))-1))),"")))</f>
        <v/>
      </c>
      <c r="AH7">
        <f>IF(OR($AE7="",$AF7=""),"",IF(ISNUMBER(Sync!$P7),MOD(Sync!$P7,100),IFERROR(VALUE(TRIM(MID(MID(Sync!$P7,FIND("/",Sync!$P7)+1,20),FIND("/",MID(Sync!$P7,FIND("/",Sync!$P7)+1,20))+1,20))),"")))</f>
        <v/>
      </c>
      <c r="AI7">
        <f>IF($AE7="","",IF(OR($AF7="",$AG7="",$AH7="",$AF7&lt;1300,$AF7&gt;1500,$AG7&lt;1,$AG7&gt;12,$AH7&lt;1,$AH7&gt;31),"نامعتبر",RIGHT("0000"&amp;$AF7,4)&amp;"/"&amp;RIGHT("00"&amp;$AG7,2)&amp;"/"&amp;RIGHT("00"&amp;$AH7,2)))</f>
        <v/>
      </c>
      <c r="AJ7">
        <f>IF($AE7="","",IF(Sync!$Q7="","0000",IF(AND(ISNUMBER(Sync!$Q7),Sync!$Q7&gt;=0,Sync!$Q7&lt;1),RIGHT("00"&amp;HOUR(Sync!$Q7),2)&amp;RIGHT("00"&amp;MINUTE(Sync!$Q7),2),IFERROR(RIGHT("00"&amp;VALUE(LEFT(Sync!$Q7,FIND(":",Sync!$Q7)-1)),2)&amp;RIGHT("00"&amp;VALUE(MID(Sync!$Q7,FIND(":",Sync!$Q7)+1,2)),2),"0000"))))</f>
        <v/>
      </c>
      <c r="AK7">
        <f>IF(OR($AE7="",$AI7="",$AI7="نامعتبر"),"",LEFT($AI7,4)&amp;MID($AI7,6,2)&amp;RIGHT($AI7,2)&amp;$AJ7&amp;"|"&amp;"3"&amp;RIGHT("00000"&amp;2,5))</f>
        <v/>
      </c>
      <c r="AL7">
        <f>IF($AK7="","",COUNTIFS(LdAParty,$AE7,LdAType,1,LdAKey,"&lt;"&amp;$AK7)+COUNTIFS(LdBMember,$AE7,LdBKey,"&lt;"&amp;$AK7)+COUNTIFS(LdCParty,$AE7,LdCKey,"&lt;"&amp;$AK7)+1)</f>
        <v/>
      </c>
      <c r="AM7">
        <f>IF($AL7="","",$AE7&amp;"|"&amp;RIGHT("000000"&amp;$AL7,6))</f>
        <v/>
      </c>
      <c r="AN7">
        <f>IF($AE7="","",IF(Sync!$W7="",0,Sync!$W7))</f>
        <v/>
      </c>
      <c r="AO7">
        <f>IF($AE7="","",IF(Sync!$X7="",0,Sync!$X7))</f>
        <v/>
      </c>
      <c r="AP7">
        <f>IF($AE7="","",Sync!$R7)</f>
        <v/>
      </c>
      <c r="AQ7">
        <f>IF($AE7="","",Sync!$Y7)</f>
        <v/>
      </c>
    </row>
    <row r="8">
      <c r="A8">
        <f>IF(OR(Wages!$B11="",Wages!$E11=""),"",Wages!$E11)</f>
        <v/>
      </c>
      <c r="B8">
        <f>IF($A8="","",IF(Wages!$C11="دستمزد گروهی",2,1))</f>
        <v/>
      </c>
      <c r="C8">
        <f>IF($A8="","",IF(ISNUMBER(Wages!$B11),IF(AND(Wages!$B11&gt;=10000101,Wages!$B11&lt;=99991231),INT(Wages!$B11/10000),""),IFERROR(VALUE(TRIM(LEFT(Wages!$B11,FIND("/",Wages!$B11)-1))),"")))</f>
        <v/>
      </c>
      <c r="D8">
        <f>IF(OR($A8="",$C8=""),"",IF(ISNUMBER(Wages!$B11),INT(MOD(Wages!$B11,10000)/100),IFERROR(VALUE(TRIM(LEFT(MID(Wages!$B11,FIND("/",Wages!$B11)+1,20),FIND("/",MID(Wages!$B11,FIND("/",Wages!$B11)+1,20))-1))),"")))</f>
        <v/>
      </c>
      <c r="E8">
        <f>IF(OR($A8="",$C8=""),"",IF(ISNUMBER(Wages!$B11),MOD(Wages!$B11,100),IFERROR(VALUE(TRIM(MID(MID(Wages!$B11,FIND("/",Wages!$B11)+1,20),FIND("/",MID(Wages!$B11,FIND("/",Wages!$B11)+1,20))+1,20))),"")))</f>
        <v/>
      </c>
      <c r="F8">
        <f>IF($A8="","",IF(OR($C8="",$D8="",$E8="",$C8&lt;1300,$C8&gt;1500,$D8&lt;1,$D8&gt;12,$E8&lt;1,$E8&gt;31),"نامعتبر",RIGHT("0000"&amp;$C8,4)&amp;"/"&amp;RIGHT("00"&amp;$D8,2)&amp;"/"&amp;RIGHT("00"&amp;$E8,2)))</f>
        <v/>
      </c>
      <c r="G8">
        <f>IF(OR($A8="",$F8="",$F8="نامعتبر"),"",LEFT($F8,4)&amp;MID($F8,6,2)&amp;RIGHT($F8,2)&amp;"0000"&amp;"|"&amp;"1"&amp;RIGHT("00000"&amp;3,5))</f>
        <v/>
      </c>
      <c r="H8">
        <f>IF(OR($B8&lt;&gt;1,$G8=""),"",COUNTIFS(LdAParty,$A8,LdAType,1,LdAKey,"&lt;"&amp;$G8)+COUNTIFS(LdBMember,$A8,LdBKey,"&lt;"&amp;$G8)+COUNTIFS(LdCParty,$A8,LdCKey,"&lt;"&amp;$G8)+1)</f>
        <v/>
      </c>
      <c r="I8">
        <f>IF($H8="","",$A8&amp;"|"&amp;RIGHT("000000"&amp;$H8,6))</f>
        <v/>
      </c>
      <c r="J8">
        <f>IF(OR($B8&lt;&gt;2,$G8=""),"",COUNTIFS(LdAParty,$A8,LdAType,2,LdAKey,"&lt;"&amp;$G8)+1)</f>
        <v/>
      </c>
      <c r="K8">
        <f>IF($J8="","",$A8&amp;"|"&amp;RIGHT("000000"&amp;$J8,6))</f>
        <v/>
      </c>
      <c r="L8">
        <f>IF($A8="","",IF(Wages!$G11="",0,Wages!$G11))</f>
        <v/>
      </c>
      <c r="M8">
        <f>IF($A8="","",Wages!$J11)</f>
        <v/>
      </c>
      <c r="N8">
        <f>IF($A8="","",Wages!$D11)</f>
        <v/>
      </c>
      <c r="P8">
        <f>IF(OR(Shares!$B11="",Shares!$C11=""),"",Shares!$C11)</f>
        <v/>
      </c>
      <c r="Q8">
        <f>IF($P8="","",Shares!$B11)</f>
        <v/>
      </c>
      <c r="R8">
        <f>IF($P8="","",IFERROR(INDEX(WageParty,MATCH($Q8,WageIds,0)),""))</f>
        <v/>
      </c>
      <c r="S8">
        <f>IF($P8="","",IFERROR(INDEX($F$6:$F$2005,MATCH($Q8,WageIds,0)),""))</f>
        <v/>
      </c>
      <c r="T8">
        <f>IF(OR($P8="",$S8="",$S8="نامعتبر"),"",LEFT($S8,4)&amp;MID($S8,6,2)&amp;RIGHT($S8,2)&amp;"0000"&amp;"|"&amp;"2"&amp;RIGHT("00000"&amp;3,5))</f>
        <v/>
      </c>
      <c r="U8">
        <f>IF($T8="","",COUNTIFS(LdAParty,$P8,LdAType,1,LdAKey,"&lt;"&amp;$T8)+COUNTIFS(LdBMember,$P8,LdBKey,"&lt;"&amp;$T8)+COUNTIFS(LdCParty,$P8,LdCKey,"&lt;"&amp;$T8)+1)</f>
        <v/>
      </c>
      <c r="V8">
        <f>IF($U8="","",$P8&amp;"|"&amp;RIGHT("000000"&amp;$U8,6))</f>
        <v/>
      </c>
      <c r="W8">
        <f>IF($T8="","",COUNTIFS(LdBGroup,$R8,LdBKey,"&lt;"&amp;$T8)+1)</f>
        <v/>
      </c>
      <c r="X8">
        <f>IF($W8="","",$R8&amp;"|"&amp;RIGHT("000000"&amp;$W8,6))</f>
        <v/>
      </c>
      <c r="Y8">
        <f>IF($P8="","",IF(Shares!$E11="",0,Shares!$E11))</f>
        <v/>
      </c>
      <c r="Z8">
        <f>IF($P8="","",Shares!$H11)</f>
        <v/>
      </c>
      <c r="AE8">
        <f>IF(OR(Sync!$S8="",Sync!$P8=""),"",Sync!$S8)</f>
        <v/>
      </c>
      <c r="AF8">
        <f>IF($AE8="","",IF(ISNUMBER(Sync!$P8),IF(AND(Sync!$P8&gt;=10000101,Sync!$P8&lt;=99991231),INT(Sync!$P8/10000),""),IFERROR(VALUE(TRIM(LEFT(Sync!$P8,FIND("/",Sync!$P8)-1))),"")))</f>
        <v/>
      </c>
      <c r="AG8">
        <f>IF(OR($AE8="",$AF8=""),"",IF(ISNUMBER(Sync!$P8),INT(MOD(Sync!$P8,10000)/100),IFERROR(VALUE(TRIM(LEFT(MID(Sync!$P8,FIND("/",Sync!$P8)+1,20),FIND("/",MID(Sync!$P8,FIND("/",Sync!$P8)+1,20))-1))),"")))</f>
        <v/>
      </c>
      <c r="AH8">
        <f>IF(OR($AE8="",$AF8=""),"",IF(ISNUMBER(Sync!$P8),MOD(Sync!$P8,100),IFERROR(VALUE(TRIM(MID(MID(Sync!$P8,FIND("/",Sync!$P8)+1,20),FIND("/",MID(Sync!$P8,FIND("/",Sync!$P8)+1,20))+1,20))),"")))</f>
        <v/>
      </c>
      <c r="AI8">
        <f>IF($AE8="","",IF(OR($AF8="",$AG8="",$AH8="",$AF8&lt;1300,$AF8&gt;1500,$AG8&lt;1,$AG8&gt;12,$AH8&lt;1,$AH8&gt;31),"نامعتبر",RIGHT("0000"&amp;$AF8,4)&amp;"/"&amp;RIGHT("00"&amp;$AG8,2)&amp;"/"&amp;RIGHT("00"&amp;$AH8,2)))</f>
        <v/>
      </c>
      <c r="AJ8">
        <f>IF($AE8="","",IF(Sync!$Q8="","0000",IF(AND(ISNUMBER(Sync!$Q8),Sync!$Q8&gt;=0,Sync!$Q8&lt;1),RIGHT("00"&amp;HOUR(Sync!$Q8),2)&amp;RIGHT("00"&amp;MINUTE(Sync!$Q8),2),IFERROR(RIGHT("00"&amp;VALUE(LEFT(Sync!$Q8,FIND(":",Sync!$Q8)-1)),2)&amp;RIGHT("00"&amp;VALUE(MID(Sync!$Q8,FIND(":",Sync!$Q8)+1,2)),2),"0000"))))</f>
        <v/>
      </c>
      <c r="AK8">
        <f>IF(OR($AE8="",$AI8="",$AI8="نامعتبر"),"",LEFT($AI8,4)&amp;MID($AI8,6,2)&amp;RIGHT($AI8,2)&amp;$AJ8&amp;"|"&amp;"3"&amp;RIGHT("00000"&amp;3,5))</f>
        <v/>
      </c>
      <c r="AL8">
        <f>IF($AK8="","",COUNTIFS(LdAParty,$AE8,LdAType,1,LdAKey,"&lt;"&amp;$AK8)+COUNTIFS(LdBMember,$AE8,LdBKey,"&lt;"&amp;$AK8)+COUNTIFS(LdCParty,$AE8,LdCKey,"&lt;"&amp;$AK8)+1)</f>
        <v/>
      </c>
      <c r="AM8">
        <f>IF($AL8="","",$AE8&amp;"|"&amp;RIGHT("000000"&amp;$AL8,6))</f>
        <v/>
      </c>
      <c r="AN8">
        <f>IF($AE8="","",IF(Sync!$W8="",0,Sync!$W8))</f>
        <v/>
      </c>
      <c r="AO8">
        <f>IF($AE8="","",IF(Sync!$X8="",0,Sync!$X8))</f>
        <v/>
      </c>
      <c r="AP8">
        <f>IF($AE8="","",Sync!$R8)</f>
        <v/>
      </c>
      <c r="AQ8">
        <f>IF($AE8="","",Sync!$Y8)</f>
        <v/>
      </c>
    </row>
    <row r="9">
      <c r="A9">
        <f>IF(OR(Wages!$B12="",Wages!$E12=""),"",Wages!$E12)</f>
        <v/>
      </c>
      <c r="B9">
        <f>IF($A9="","",IF(Wages!$C12="دستمزد گروهی",2,1))</f>
        <v/>
      </c>
      <c r="C9">
        <f>IF($A9="","",IF(ISNUMBER(Wages!$B12),IF(AND(Wages!$B12&gt;=10000101,Wages!$B12&lt;=99991231),INT(Wages!$B12/10000),""),IFERROR(VALUE(TRIM(LEFT(Wages!$B12,FIND("/",Wages!$B12)-1))),"")))</f>
        <v/>
      </c>
      <c r="D9">
        <f>IF(OR($A9="",$C9=""),"",IF(ISNUMBER(Wages!$B12),INT(MOD(Wages!$B12,10000)/100),IFERROR(VALUE(TRIM(LEFT(MID(Wages!$B12,FIND("/",Wages!$B12)+1,20),FIND("/",MID(Wages!$B12,FIND("/",Wages!$B12)+1,20))-1))),"")))</f>
        <v/>
      </c>
      <c r="E9">
        <f>IF(OR($A9="",$C9=""),"",IF(ISNUMBER(Wages!$B12),MOD(Wages!$B12,100),IFERROR(VALUE(TRIM(MID(MID(Wages!$B12,FIND("/",Wages!$B12)+1,20),FIND("/",MID(Wages!$B12,FIND("/",Wages!$B12)+1,20))+1,20))),"")))</f>
        <v/>
      </c>
      <c r="F9">
        <f>IF($A9="","",IF(OR($C9="",$D9="",$E9="",$C9&lt;1300,$C9&gt;1500,$D9&lt;1,$D9&gt;12,$E9&lt;1,$E9&gt;31),"نامعتبر",RIGHT("0000"&amp;$C9,4)&amp;"/"&amp;RIGHT("00"&amp;$D9,2)&amp;"/"&amp;RIGHT("00"&amp;$E9,2)))</f>
        <v/>
      </c>
      <c r="G9">
        <f>IF(OR($A9="",$F9="",$F9="نامعتبر"),"",LEFT($F9,4)&amp;MID($F9,6,2)&amp;RIGHT($F9,2)&amp;"0000"&amp;"|"&amp;"1"&amp;RIGHT("00000"&amp;4,5))</f>
        <v/>
      </c>
      <c r="H9">
        <f>IF(OR($B9&lt;&gt;1,$G9=""),"",COUNTIFS(LdAParty,$A9,LdAType,1,LdAKey,"&lt;"&amp;$G9)+COUNTIFS(LdBMember,$A9,LdBKey,"&lt;"&amp;$G9)+COUNTIFS(LdCParty,$A9,LdCKey,"&lt;"&amp;$G9)+1)</f>
        <v/>
      </c>
      <c r="I9">
        <f>IF($H9="","",$A9&amp;"|"&amp;RIGHT("000000"&amp;$H9,6))</f>
        <v/>
      </c>
      <c r="J9">
        <f>IF(OR($B9&lt;&gt;2,$G9=""),"",COUNTIFS(LdAParty,$A9,LdAType,2,LdAKey,"&lt;"&amp;$G9)+1)</f>
        <v/>
      </c>
      <c r="K9">
        <f>IF($J9="","",$A9&amp;"|"&amp;RIGHT("000000"&amp;$J9,6))</f>
        <v/>
      </c>
      <c r="L9">
        <f>IF($A9="","",IF(Wages!$G12="",0,Wages!$G12))</f>
        <v/>
      </c>
      <c r="M9">
        <f>IF($A9="","",Wages!$J12)</f>
        <v/>
      </c>
      <c r="N9">
        <f>IF($A9="","",Wages!$D12)</f>
        <v/>
      </c>
      <c r="P9">
        <f>IF(OR(Shares!$B12="",Shares!$C12=""),"",Shares!$C12)</f>
        <v/>
      </c>
      <c r="Q9">
        <f>IF($P9="","",Shares!$B12)</f>
        <v/>
      </c>
      <c r="R9">
        <f>IF($P9="","",IFERROR(INDEX(WageParty,MATCH($Q9,WageIds,0)),""))</f>
        <v/>
      </c>
      <c r="S9">
        <f>IF($P9="","",IFERROR(INDEX($F$6:$F$2005,MATCH($Q9,WageIds,0)),""))</f>
        <v/>
      </c>
      <c r="T9">
        <f>IF(OR($P9="",$S9="",$S9="نامعتبر"),"",LEFT($S9,4)&amp;MID($S9,6,2)&amp;RIGHT($S9,2)&amp;"0000"&amp;"|"&amp;"2"&amp;RIGHT("00000"&amp;4,5))</f>
        <v/>
      </c>
      <c r="U9">
        <f>IF($T9="","",COUNTIFS(LdAParty,$P9,LdAType,1,LdAKey,"&lt;"&amp;$T9)+COUNTIFS(LdBMember,$P9,LdBKey,"&lt;"&amp;$T9)+COUNTIFS(LdCParty,$P9,LdCKey,"&lt;"&amp;$T9)+1)</f>
        <v/>
      </c>
      <c r="V9">
        <f>IF($U9="","",$P9&amp;"|"&amp;RIGHT("000000"&amp;$U9,6))</f>
        <v/>
      </c>
      <c r="W9">
        <f>IF($T9="","",COUNTIFS(LdBGroup,$R9,LdBKey,"&lt;"&amp;$T9)+1)</f>
        <v/>
      </c>
      <c r="X9">
        <f>IF($W9="","",$R9&amp;"|"&amp;RIGHT("000000"&amp;$W9,6))</f>
        <v/>
      </c>
      <c r="Y9">
        <f>IF($P9="","",IF(Shares!$E12="",0,Shares!$E12))</f>
        <v/>
      </c>
      <c r="Z9">
        <f>IF($P9="","",Shares!$H12)</f>
        <v/>
      </c>
      <c r="AE9">
        <f>IF(OR(Sync!$S9="",Sync!$P9=""),"",Sync!$S9)</f>
        <v/>
      </c>
      <c r="AF9">
        <f>IF($AE9="","",IF(ISNUMBER(Sync!$P9),IF(AND(Sync!$P9&gt;=10000101,Sync!$P9&lt;=99991231),INT(Sync!$P9/10000),""),IFERROR(VALUE(TRIM(LEFT(Sync!$P9,FIND("/",Sync!$P9)-1))),"")))</f>
        <v/>
      </c>
      <c r="AG9">
        <f>IF(OR($AE9="",$AF9=""),"",IF(ISNUMBER(Sync!$P9),INT(MOD(Sync!$P9,10000)/100),IFERROR(VALUE(TRIM(LEFT(MID(Sync!$P9,FIND("/",Sync!$P9)+1,20),FIND("/",MID(Sync!$P9,FIND("/",Sync!$P9)+1,20))-1))),"")))</f>
        <v/>
      </c>
      <c r="AH9">
        <f>IF(OR($AE9="",$AF9=""),"",IF(ISNUMBER(Sync!$P9),MOD(Sync!$P9,100),IFERROR(VALUE(TRIM(MID(MID(Sync!$P9,FIND("/",Sync!$P9)+1,20),FIND("/",MID(Sync!$P9,FIND("/",Sync!$P9)+1,20))+1,20))),"")))</f>
        <v/>
      </c>
      <c r="AI9">
        <f>IF($AE9="","",IF(OR($AF9="",$AG9="",$AH9="",$AF9&lt;1300,$AF9&gt;1500,$AG9&lt;1,$AG9&gt;12,$AH9&lt;1,$AH9&gt;31),"نامعتبر",RIGHT("0000"&amp;$AF9,4)&amp;"/"&amp;RIGHT("00"&amp;$AG9,2)&amp;"/"&amp;RIGHT("00"&amp;$AH9,2)))</f>
        <v/>
      </c>
      <c r="AJ9">
        <f>IF($AE9="","",IF(Sync!$Q9="","0000",IF(AND(ISNUMBER(Sync!$Q9),Sync!$Q9&gt;=0,Sync!$Q9&lt;1),RIGHT("00"&amp;HOUR(Sync!$Q9),2)&amp;RIGHT("00"&amp;MINUTE(Sync!$Q9),2),IFERROR(RIGHT("00"&amp;VALUE(LEFT(Sync!$Q9,FIND(":",Sync!$Q9)-1)),2)&amp;RIGHT("00"&amp;VALUE(MID(Sync!$Q9,FIND(":",Sync!$Q9)+1,2)),2),"0000"))))</f>
        <v/>
      </c>
      <c r="AK9">
        <f>IF(OR($AE9="",$AI9="",$AI9="نامعتبر"),"",LEFT($AI9,4)&amp;MID($AI9,6,2)&amp;RIGHT($AI9,2)&amp;$AJ9&amp;"|"&amp;"3"&amp;RIGHT("00000"&amp;4,5))</f>
        <v/>
      </c>
      <c r="AL9">
        <f>IF($AK9="","",COUNTIFS(LdAParty,$AE9,LdAType,1,LdAKey,"&lt;"&amp;$AK9)+COUNTIFS(LdBMember,$AE9,LdBKey,"&lt;"&amp;$AK9)+COUNTIFS(LdCParty,$AE9,LdCKey,"&lt;"&amp;$AK9)+1)</f>
        <v/>
      </c>
      <c r="AM9">
        <f>IF($AL9="","",$AE9&amp;"|"&amp;RIGHT("000000"&amp;$AL9,6))</f>
        <v/>
      </c>
      <c r="AN9">
        <f>IF($AE9="","",IF(Sync!$W9="",0,Sync!$W9))</f>
        <v/>
      </c>
      <c r="AO9">
        <f>IF($AE9="","",IF(Sync!$X9="",0,Sync!$X9))</f>
        <v/>
      </c>
      <c r="AP9">
        <f>IF($AE9="","",Sync!$R9)</f>
        <v/>
      </c>
      <c r="AQ9">
        <f>IF($AE9="","",Sync!$Y9)</f>
        <v/>
      </c>
    </row>
    <row r="10">
      <c r="A10">
        <f>IF(OR(Wages!$B13="",Wages!$E13=""),"",Wages!$E13)</f>
        <v/>
      </c>
      <c r="B10">
        <f>IF($A10="","",IF(Wages!$C13="دستمزد گروهی",2,1))</f>
        <v/>
      </c>
      <c r="C10">
        <f>IF($A10="","",IF(ISNUMBER(Wages!$B13),IF(AND(Wages!$B13&gt;=10000101,Wages!$B13&lt;=99991231),INT(Wages!$B13/10000),""),IFERROR(VALUE(TRIM(LEFT(Wages!$B13,FIND("/",Wages!$B13)-1))),"")))</f>
        <v/>
      </c>
      <c r="D10">
        <f>IF(OR($A10="",$C10=""),"",IF(ISNUMBER(Wages!$B13),INT(MOD(Wages!$B13,10000)/100),IFERROR(VALUE(TRIM(LEFT(MID(Wages!$B13,FIND("/",Wages!$B13)+1,20),FIND("/",MID(Wages!$B13,FIND("/",Wages!$B13)+1,20))-1))),"")))</f>
        <v/>
      </c>
      <c r="E10">
        <f>IF(OR($A10="",$C10=""),"",IF(ISNUMBER(Wages!$B13),MOD(Wages!$B13,100),IFERROR(VALUE(TRIM(MID(MID(Wages!$B13,FIND("/",Wages!$B13)+1,20),FIND("/",MID(Wages!$B13,FIND("/",Wages!$B13)+1,20))+1,20))),"")))</f>
        <v/>
      </c>
      <c r="F10">
        <f>IF($A10="","",IF(OR($C10="",$D10="",$E10="",$C10&lt;1300,$C10&gt;1500,$D10&lt;1,$D10&gt;12,$E10&lt;1,$E10&gt;31),"نامعتبر",RIGHT("0000"&amp;$C10,4)&amp;"/"&amp;RIGHT("00"&amp;$D10,2)&amp;"/"&amp;RIGHT("00"&amp;$E10,2)))</f>
        <v/>
      </c>
      <c r="G10">
        <f>IF(OR($A10="",$F10="",$F10="نامعتبر"),"",LEFT($F10,4)&amp;MID($F10,6,2)&amp;RIGHT($F10,2)&amp;"0000"&amp;"|"&amp;"1"&amp;RIGHT("00000"&amp;5,5))</f>
        <v/>
      </c>
      <c r="H10">
        <f>IF(OR($B10&lt;&gt;1,$G10=""),"",COUNTIFS(LdAParty,$A10,LdAType,1,LdAKey,"&lt;"&amp;$G10)+COUNTIFS(LdBMember,$A10,LdBKey,"&lt;"&amp;$G10)+COUNTIFS(LdCParty,$A10,LdCKey,"&lt;"&amp;$G10)+1)</f>
        <v/>
      </c>
      <c r="I10">
        <f>IF($H10="","",$A10&amp;"|"&amp;RIGHT("000000"&amp;$H10,6))</f>
        <v/>
      </c>
      <c r="J10">
        <f>IF(OR($B10&lt;&gt;2,$G10=""),"",COUNTIFS(LdAParty,$A10,LdAType,2,LdAKey,"&lt;"&amp;$G10)+1)</f>
        <v/>
      </c>
      <c r="K10">
        <f>IF($J10="","",$A10&amp;"|"&amp;RIGHT("000000"&amp;$J10,6))</f>
        <v/>
      </c>
      <c r="L10">
        <f>IF($A10="","",IF(Wages!$G13="",0,Wages!$G13))</f>
        <v/>
      </c>
      <c r="M10">
        <f>IF($A10="","",Wages!$J13)</f>
        <v/>
      </c>
      <c r="N10">
        <f>IF($A10="","",Wages!$D13)</f>
        <v/>
      </c>
      <c r="P10">
        <f>IF(OR(Shares!$B13="",Shares!$C13=""),"",Shares!$C13)</f>
        <v/>
      </c>
      <c r="Q10">
        <f>IF($P10="","",Shares!$B13)</f>
        <v/>
      </c>
      <c r="R10">
        <f>IF($P10="","",IFERROR(INDEX(WageParty,MATCH($Q10,WageIds,0)),""))</f>
        <v/>
      </c>
      <c r="S10">
        <f>IF($P10="","",IFERROR(INDEX($F$6:$F$2005,MATCH($Q10,WageIds,0)),""))</f>
        <v/>
      </c>
      <c r="T10">
        <f>IF(OR($P10="",$S10="",$S10="نامعتبر"),"",LEFT($S10,4)&amp;MID($S10,6,2)&amp;RIGHT($S10,2)&amp;"0000"&amp;"|"&amp;"2"&amp;RIGHT("00000"&amp;5,5))</f>
        <v/>
      </c>
      <c r="U10">
        <f>IF($T10="","",COUNTIFS(LdAParty,$P10,LdAType,1,LdAKey,"&lt;"&amp;$T10)+COUNTIFS(LdBMember,$P10,LdBKey,"&lt;"&amp;$T10)+COUNTIFS(LdCParty,$P10,LdCKey,"&lt;"&amp;$T10)+1)</f>
        <v/>
      </c>
      <c r="V10">
        <f>IF($U10="","",$P10&amp;"|"&amp;RIGHT("000000"&amp;$U10,6))</f>
        <v/>
      </c>
      <c r="W10">
        <f>IF($T10="","",COUNTIFS(LdBGroup,$R10,LdBKey,"&lt;"&amp;$T10)+1)</f>
        <v/>
      </c>
      <c r="X10">
        <f>IF($W10="","",$R10&amp;"|"&amp;RIGHT("000000"&amp;$W10,6))</f>
        <v/>
      </c>
      <c r="Y10">
        <f>IF($P10="","",IF(Shares!$E13="",0,Shares!$E13))</f>
        <v/>
      </c>
      <c r="Z10">
        <f>IF($P10="","",Shares!$H13)</f>
        <v/>
      </c>
      <c r="AE10">
        <f>IF(OR(Sync!$S10="",Sync!$P10=""),"",Sync!$S10)</f>
        <v/>
      </c>
      <c r="AF10">
        <f>IF($AE10="","",IF(ISNUMBER(Sync!$P10),IF(AND(Sync!$P10&gt;=10000101,Sync!$P10&lt;=99991231),INT(Sync!$P10/10000),""),IFERROR(VALUE(TRIM(LEFT(Sync!$P10,FIND("/",Sync!$P10)-1))),"")))</f>
        <v/>
      </c>
      <c r="AG10">
        <f>IF(OR($AE10="",$AF10=""),"",IF(ISNUMBER(Sync!$P10),INT(MOD(Sync!$P10,10000)/100),IFERROR(VALUE(TRIM(LEFT(MID(Sync!$P10,FIND("/",Sync!$P10)+1,20),FIND("/",MID(Sync!$P10,FIND("/",Sync!$P10)+1,20))-1))),"")))</f>
        <v/>
      </c>
      <c r="AH10">
        <f>IF(OR($AE10="",$AF10=""),"",IF(ISNUMBER(Sync!$P10),MOD(Sync!$P10,100),IFERROR(VALUE(TRIM(MID(MID(Sync!$P10,FIND("/",Sync!$P10)+1,20),FIND("/",MID(Sync!$P10,FIND("/",Sync!$P10)+1,20))+1,20))),"")))</f>
        <v/>
      </c>
      <c r="AI10">
        <f>IF($AE10="","",IF(OR($AF10="",$AG10="",$AH10="",$AF10&lt;1300,$AF10&gt;1500,$AG10&lt;1,$AG10&gt;12,$AH10&lt;1,$AH10&gt;31),"نامعتبر",RIGHT("0000"&amp;$AF10,4)&amp;"/"&amp;RIGHT("00"&amp;$AG10,2)&amp;"/"&amp;RIGHT("00"&amp;$AH10,2)))</f>
        <v/>
      </c>
      <c r="AJ10">
        <f>IF($AE10="","",IF(Sync!$Q10="","0000",IF(AND(ISNUMBER(Sync!$Q10),Sync!$Q10&gt;=0,Sync!$Q10&lt;1),RIGHT("00"&amp;HOUR(Sync!$Q10),2)&amp;RIGHT("00"&amp;MINUTE(Sync!$Q10),2),IFERROR(RIGHT("00"&amp;VALUE(LEFT(Sync!$Q10,FIND(":",Sync!$Q10)-1)),2)&amp;RIGHT("00"&amp;VALUE(MID(Sync!$Q10,FIND(":",Sync!$Q10)+1,2)),2),"0000"))))</f>
        <v/>
      </c>
      <c r="AK10">
        <f>IF(OR($AE10="",$AI10="",$AI10="نامعتبر"),"",LEFT($AI10,4)&amp;MID($AI10,6,2)&amp;RIGHT($AI10,2)&amp;$AJ10&amp;"|"&amp;"3"&amp;RIGHT("00000"&amp;5,5))</f>
        <v/>
      </c>
      <c r="AL10">
        <f>IF($AK10="","",COUNTIFS(LdAParty,$AE10,LdAType,1,LdAKey,"&lt;"&amp;$AK10)+COUNTIFS(LdBMember,$AE10,LdBKey,"&lt;"&amp;$AK10)+COUNTIFS(LdCParty,$AE10,LdCKey,"&lt;"&amp;$AK10)+1)</f>
        <v/>
      </c>
      <c r="AM10">
        <f>IF($AL10="","",$AE10&amp;"|"&amp;RIGHT("000000"&amp;$AL10,6))</f>
        <v/>
      </c>
      <c r="AN10">
        <f>IF($AE10="","",IF(Sync!$W10="",0,Sync!$W10))</f>
        <v/>
      </c>
      <c r="AO10">
        <f>IF($AE10="","",IF(Sync!$X10="",0,Sync!$X10))</f>
        <v/>
      </c>
      <c r="AP10">
        <f>IF($AE10="","",Sync!$R10)</f>
        <v/>
      </c>
      <c r="AQ10">
        <f>IF($AE10="","",Sync!$Y10)</f>
        <v/>
      </c>
    </row>
    <row r="11">
      <c r="A11">
        <f>IF(OR(Wages!$B14="",Wages!$E14=""),"",Wages!$E14)</f>
        <v/>
      </c>
      <c r="B11">
        <f>IF($A11="","",IF(Wages!$C14="دستمزد گروهی",2,1))</f>
        <v/>
      </c>
      <c r="C11">
        <f>IF($A11="","",IF(ISNUMBER(Wages!$B14),IF(AND(Wages!$B14&gt;=10000101,Wages!$B14&lt;=99991231),INT(Wages!$B14/10000),""),IFERROR(VALUE(TRIM(LEFT(Wages!$B14,FIND("/",Wages!$B14)-1))),"")))</f>
        <v/>
      </c>
      <c r="D11">
        <f>IF(OR($A11="",$C11=""),"",IF(ISNUMBER(Wages!$B14),INT(MOD(Wages!$B14,10000)/100),IFERROR(VALUE(TRIM(LEFT(MID(Wages!$B14,FIND("/",Wages!$B14)+1,20),FIND("/",MID(Wages!$B14,FIND("/",Wages!$B14)+1,20))-1))),"")))</f>
        <v/>
      </c>
      <c r="E11">
        <f>IF(OR($A11="",$C11=""),"",IF(ISNUMBER(Wages!$B14),MOD(Wages!$B14,100),IFERROR(VALUE(TRIM(MID(MID(Wages!$B14,FIND("/",Wages!$B14)+1,20),FIND("/",MID(Wages!$B14,FIND("/",Wages!$B14)+1,20))+1,20))),"")))</f>
        <v/>
      </c>
      <c r="F11">
        <f>IF($A11="","",IF(OR($C11="",$D11="",$E11="",$C11&lt;1300,$C11&gt;1500,$D11&lt;1,$D11&gt;12,$E11&lt;1,$E11&gt;31),"نامعتبر",RIGHT("0000"&amp;$C11,4)&amp;"/"&amp;RIGHT("00"&amp;$D11,2)&amp;"/"&amp;RIGHT("00"&amp;$E11,2)))</f>
        <v/>
      </c>
      <c r="G11">
        <f>IF(OR($A11="",$F11="",$F11="نامعتبر"),"",LEFT($F11,4)&amp;MID($F11,6,2)&amp;RIGHT($F11,2)&amp;"0000"&amp;"|"&amp;"1"&amp;RIGHT("00000"&amp;6,5))</f>
        <v/>
      </c>
      <c r="H11">
        <f>IF(OR($B11&lt;&gt;1,$G11=""),"",COUNTIFS(LdAParty,$A11,LdAType,1,LdAKey,"&lt;"&amp;$G11)+COUNTIFS(LdBMember,$A11,LdBKey,"&lt;"&amp;$G11)+COUNTIFS(LdCParty,$A11,LdCKey,"&lt;"&amp;$G11)+1)</f>
        <v/>
      </c>
      <c r="I11">
        <f>IF($H11="","",$A11&amp;"|"&amp;RIGHT("000000"&amp;$H11,6))</f>
        <v/>
      </c>
      <c r="J11">
        <f>IF(OR($B11&lt;&gt;2,$G11=""),"",COUNTIFS(LdAParty,$A11,LdAType,2,LdAKey,"&lt;"&amp;$G11)+1)</f>
        <v/>
      </c>
      <c r="K11">
        <f>IF($J11="","",$A11&amp;"|"&amp;RIGHT("000000"&amp;$J11,6))</f>
        <v/>
      </c>
      <c r="L11">
        <f>IF($A11="","",IF(Wages!$G14="",0,Wages!$G14))</f>
        <v/>
      </c>
      <c r="M11">
        <f>IF($A11="","",Wages!$J14)</f>
        <v/>
      </c>
      <c r="N11">
        <f>IF($A11="","",Wages!$D14)</f>
        <v/>
      </c>
      <c r="P11">
        <f>IF(OR(Shares!$B14="",Shares!$C14=""),"",Shares!$C14)</f>
        <v/>
      </c>
      <c r="Q11">
        <f>IF($P11="","",Shares!$B14)</f>
        <v/>
      </c>
      <c r="R11">
        <f>IF($P11="","",IFERROR(INDEX(WageParty,MATCH($Q11,WageIds,0)),""))</f>
        <v/>
      </c>
      <c r="S11">
        <f>IF($P11="","",IFERROR(INDEX($F$6:$F$2005,MATCH($Q11,WageIds,0)),""))</f>
        <v/>
      </c>
      <c r="T11">
        <f>IF(OR($P11="",$S11="",$S11="نامعتبر"),"",LEFT($S11,4)&amp;MID($S11,6,2)&amp;RIGHT($S11,2)&amp;"0000"&amp;"|"&amp;"2"&amp;RIGHT("00000"&amp;6,5))</f>
        <v/>
      </c>
      <c r="U11">
        <f>IF($T11="","",COUNTIFS(LdAParty,$P11,LdAType,1,LdAKey,"&lt;"&amp;$T11)+COUNTIFS(LdBMember,$P11,LdBKey,"&lt;"&amp;$T11)+COUNTIFS(LdCParty,$P11,LdCKey,"&lt;"&amp;$T11)+1)</f>
        <v/>
      </c>
      <c r="V11">
        <f>IF($U11="","",$P11&amp;"|"&amp;RIGHT("000000"&amp;$U11,6))</f>
        <v/>
      </c>
      <c r="W11">
        <f>IF($T11="","",COUNTIFS(LdBGroup,$R11,LdBKey,"&lt;"&amp;$T11)+1)</f>
        <v/>
      </c>
      <c r="X11">
        <f>IF($W11="","",$R11&amp;"|"&amp;RIGHT("000000"&amp;$W11,6))</f>
        <v/>
      </c>
      <c r="Y11">
        <f>IF($P11="","",IF(Shares!$E14="",0,Shares!$E14))</f>
        <v/>
      </c>
      <c r="Z11">
        <f>IF($P11="","",Shares!$H14)</f>
        <v/>
      </c>
      <c r="AE11">
        <f>IF(OR(Sync!$S11="",Sync!$P11=""),"",Sync!$S11)</f>
        <v/>
      </c>
      <c r="AF11">
        <f>IF($AE11="","",IF(ISNUMBER(Sync!$P11),IF(AND(Sync!$P11&gt;=10000101,Sync!$P11&lt;=99991231),INT(Sync!$P11/10000),""),IFERROR(VALUE(TRIM(LEFT(Sync!$P11,FIND("/",Sync!$P11)-1))),"")))</f>
        <v/>
      </c>
      <c r="AG11">
        <f>IF(OR($AE11="",$AF11=""),"",IF(ISNUMBER(Sync!$P11),INT(MOD(Sync!$P11,10000)/100),IFERROR(VALUE(TRIM(LEFT(MID(Sync!$P11,FIND("/",Sync!$P11)+1,20),FIND("/",MID(Sync!$P11,FIND("/",Sync!$P11)+1,20))-1))),"")))</f>
        <v/>
      </c>
      <c r="AH11">
        <f>IF(OR($AE11="",$AF11=""),"",IF(ISNUMBER(Sync!$P11),MOD(Sync!$P11,100),IFERROR(VALUE(TRIM(MID(MID(Sync!$P11,FIND("/",Sync!$P11)+1,20),FIND("/",MID(Sync!$P11,FIND("/",Sync!$P11)+1,20))+1,20))),"")))</f>
        <v/>
      </c>
      <c r="AI11">
        <f>IF($AE11="","",IF(OR($AF11="",$AG11="",$AH11="",$AF11&lt;1300,$AF11&gt;1500,$AG11&lt;1,$AG11&gt;12,$AH11&lt;1,$AH11&gt;31),"نامعتبر",RIGHT("0000"&amp;$AF11,4)&amp;"/"&amp;RIGHT("00"&amp;$AG11,2)&amp;"/"&amp;RIGHT("00"&amp;$AH11,2)))</f>
        <v/>
      </c>
      <c r="AJ11">
        <f>IF($AE11="","",IF(Sync!$Q11="","0000",IF(AND(ISNUMBER(Sync!$Q11),Sync!$Q11&gt;=0,Sync!$Q11&lt;1),RIGHT("00"&amp;HOUR(Sync!$Q11),2)&amp;RIGHT("00"&amp;MINUTE(Sync!$Q11),2),IFERROR(RIGHT("00"&amp;VALUE(LEFT(Sync!$Q11,FIND(":",Sync!$Q11)-1)),2)&amp;RIGHT("00"&amp;VALUE(MID(Sync!$Q11,FIND(":",Sync!$Q11)+1,2)),2),"0000"))))</f>
        <v/>
      </c>
      <c r="AK11">
        <f>IF(OR($AE11="",$AI11="",$AI11="نامعتبر"),"",LEFT($AI11,4)&amp;MID($AI11,6,2)&amp;RIGHT($AI11,2)&amp;$AJ11&amp;"|"&amp;"3"&amp;RIGHT("00000"&amp;6,5))</f>
        <v/>
      </c>
      <c r="AL11">
        <f>IF($AK11="","",COUNTIFS(LdAParty,$AE11,LdAType,1,LdAKey,"&lt;"&amp;$AK11)+COUNTIFS(LdBMember,$AE11,LdBKey,"&lt;"&amp;$AK11)+COUNTIFS(LdCParty,$AE11,LdCKey,"&lt;"&amp;$AK11)+1)</f>
        <v/>
      </c>
      <c r="AM11">
        <f>IF($AL11="","",$AE11&amp;"|"&amp;RIGHT("000000"&amp;$AL11,6))</f>
        <v/>
      </c>
      <c r="AN11">
        <f>IF($AE11="","",IF(Sync!$W11="",0,Sync!$W11))</f>
        <v/>
      </c>
      <c r="AO11">
        <f>IF($AE11="","",IF(Sync!$X11="",0,Sync!$X11))</f>
        <v/>
      </c>
      <c r="AP11">
        <f>IF($AE11="","",Sync!$R11)</f>
        <v/>
      </c>
      <c r="AQ11">
        <f>IF($AE11="","",Sync!$Y11)</f>
        <v/>
      </c>
    </row>
    <row r="12">
      <c r="A12">
        <f>IF(OR(Wages!$B15="",Wages!$E15=""),"",Wages!$E15)</f>
        <v/>
      </c>
      <c r="B12">
        <f>IF($A12="","",IF(Wages!$C15="دستمزد گروهی",2,1))</f>
        <v/>
      </c>
      <c r="C12">
        <f>IF($A12="","",IF(ISNUMBER(Wages!$B15),IF(AND(Wages!$B15&gt;=10000101,Wages!$B15&lt;=99991231),INT(Wages!$B15/10000),""),IFERROR(VALUE(TRIM(LEFT(Wages!$B15,FIND("/",Wages!$B15)-1))),"")))</f>
        <v/>
      </c>
      <c r="D12">
        <f>IF(OR($A12="",$C12=""),"",IF(ISNUMBER(Wages!$B15),INT(MOD(Wages!$B15,10000)/100),IFERROR(VALUE(TRIM(LEFT(MID(Wages!$B15,FIND("/",Wages!$B15)+1,20),FIND("/",MID(Wages!$B15,FIND("/",Wages!$B15)+1,20))-1))),"")))</f>
        <v/>
      </c>
      <c r="E12">
        <f>IF(OR($A12="",$C12=""),"",IF(ISNUMBER(Wages!$B15),MOD(Wages!$B15,100),IFERROR(VALUE(TRIM(MID(MID(Wages!$B15,FIND("/",Wages!$B15)+1,20),FIND("/",MID(Wages!$B15,FIND("/",Wages!$B15)+1,20))+1,20))),"")))</f>
        <v/>
      </c>
      <c r="F12">
        <f>IF($A12="","",IF(OR($C12="",$D12="",$E12="",$C12&lt;1300,$C12&gt;1500,$D12&lt;1,$D12&gt;12,$E12&lt;1,$E12&gt;31),"نامعتبر",RIGHT("0000"&amp;$C12,4)&amp;"/"&amp;RIGHT("00"&amp;$D12,2)&amp;"/"&amp;RIGHT("00"&amp;$E12,2)))</f>
        <v/>
      </c>
      <c r="G12">
        <f>IF(OR($A12="",$F12="",$F12="نامعتبر"),"",LEFT($F12,4)&amp;MID($F12,6,2)&amp;RIGHT($F12,2)&amp;"0000"&amp;"|"&amp;"1"&amp;RIGHT("00000"&amp;7,5))</f>
        <v/>
      </c>
      <c r="H12">
        <f>IF(OR($B12&lt;&gt;1,$G12=""),"",COUNTIFS(LdAParty,$A12,LdAType,1,LdAKey,"&lt;"&amp;$G12)+COUNTIFS(LdBMember,$A12,LdBKey,"&lt;"&amp;$G12)+COUNTIFS(LdCParty,$A12,LdCKey,"&lt;"&amp;$G12)+1)</f>
        <v/>
      </c>
      <c r="I12">
        <f>IF($H12="","",$A12&amp;"|"&amp;RIGHT("000000"&amp;$H12,6))</f>
        <v/>
      </c>
      <c r="J12">
        <f>IF(OR($B12&lt;&gt;2,$G12=""),"",COUNTIFS(LdAParty,$A12,LdAType,2,LdAKey,"&lt;"&amp;$G12)+1)</f>
        <v/>
      </c>
      <c r="K12">
        <f>IF($J12="","",$A12&amp;"|"&amp;RIGHT("000000"&amp;$J12,6))</f>
        <v/>
      </c>
      <c r="L12">
        <f>IF($A12="","",IF(Wages!$G15="",0,Wages!$G15))</f>
        <v/>
      </c>
      <c r="M12">
        <f>IF($A12="","",Wages!$J15)</f>
        <v/>
      </c>
      <c r="N12">
        <f>IF($A12="","",Wages!$D15)</f>
        <v/>
      </c>
      <c r="P12">
        <f>IF(OR(Shares!$B15="",Shares!$C15=""),"",Shares!$C15)</f>
        <v/>
      </c>
      <c r="Q12">
        <f>IF($P12="","",Shares!$B15)</f>
        <v/>
      </c>
      <c r="R12">
        <f>IF($P12="","",IFERROR(INDEX(WageParty,MATCH($Q12,WageIds,0)),""))</f>
        <v/>
      </c>
      <c r="S12">
        <f>IF($P12="","",IFERROR(INDEX($F$6:$F$2005,MATCH($Q12,WageIds,0)),""))</f>
        <v/>
      </c>
      <c r="T12">
        <f>IF(OR($P12="",$S12="",$S12="نامعتبر"),"",LEFT($S12,4)&amp;MID($S12,6,2)&amp;RIGHT($S12,2)&amp;"0000"&amp;"|"&amp;"2"&amp;RIGHT("00000"&amp;7,5))</f>
        <v/>
      </c>
      <c r="U12">
        <f>IF($T12="","",COUNTIFS(LdAParty,$P12,LdAType,1,LdAKey,"&lt;"&amp;$T12)+COUNTIFS(LdBMember,$P12,LdBKey,"&lt;"&amp;$T12)+COUNTIFS(LdCParty,$P12,LdCKey,"&lt;"&amp;$T12)+1)</f>
        <v/>
      </c>
      <c r="V12">
        <f>IF($U12="","",$P12&amp;"|"&amp;RIGHT("000000"&amp;$U12,6))</f>
        <v/>
      </c>
      <c r="W12">
        <f>IF($T12="","",COUNTIFS(LdBGroup,$R12,LdBKey,"&lt;"&amp;$T12)+1)</f>
        <v/>
      </c>
      <c r="X12">
        <f>IF($W12="","",$R12&amp;"|"&amp;RIGHT("000000"&amp;$W12,6))</f>
        <v/>
      </c>
      <c r="Y12">
        <f>IF($P12="","",IF(Shares!$E15="",0,Shares!$E15))</f>
        <v/>
      </c>
      <c r="Z12">
        <f>IF($P12="","",Shares!$H15)</f>
        <v/>
      </c>
      <c r="AE12">
        <f>IF(OR(Sync!$S12="",Sync!$P12=""),"",Sync!$S12)</f>
        <v/>
      </c>
      <c r="AF12">
        <f>IF($AE12="","",IF(ISNUMBER(Sync!$P12),IF(AND(Sync!$P12&gt;=10000101,Sync!$P12&lt;=99991231),INT(Sync!$P12/10000),""),IFERROR(VALUE(TRIM(LEFT(Sync!$P12,FIND("/",Sync!$P12)-1))),"")))</f>
        <v/>
      </c>
      <c r="AG12">
        <f>IF(OR($AE12="",$AF12=""),"",IF(ISNUMBER(Sync!$P12),INT(MOD(Sync!$P12,10000)/100),IFERROR(VALUE(TRIM(LEFT(MID(Sync!$P12,FIND("/",Sync!$P12)+1,20),FIND("/",MID(Sync!$P12,FIND("/",Sync!$P12)+1,20))-1))),"")))</f>
        <v/>
      </c>
      <c r="AH12">
        <f>IF(OR($AE12="",$AF12=""),"",IF(ISNUMBER(Sync!$P12),MOD(Sync!$P12,100),IFERROR(VALUE(TRIM(MID(MID(Sync!$P12,FIND("/",Sync!$P12)+1,20),FIND("/",MID(Sync!$P12,FIND("/",Sync!$P12)+1,20))+1,20))),"")))</f>
        <v/>
      </c>
      <c r="AI12">
        <f>IF($AE12="","",IF(OR($AF12="",$AG12="",$AH12="",$AF12&lt;1300,$AF12&gt;1500,$AG12&lt;1,$AG12&gt;12,$AH12&lt;1,$AH12&gt;31),"نامعتبر",RIGHT("0000"&amp;$AF12,4)&amp;"/"&amp;RIGHT("00"&amp;$AG12,2)&amp;"/"&amp;RIGHT("00"&amp;$AH12,2)))</f>
        <v/>
      </c>
      <c r="AJ12">
        <f>IF($AE12="","",IF(Sync!$Q12="","0000",IF(AND(ISNUMBER(Sync!$Q12),Sync!$Q12&gt;=0,Sync!$Q12&lt;1),RIGHT("00"&amp;HOUR(Sync!$Q12),2)&amp;RIGHT("00"&amp;MINUTE(Sync!$Q12),2),IFERROR(RIGHT("00"&amp;VALUE(LEFT(Sync!$Q12,FIND(":",Sync!$Q12)-1)),2)&amp;RIGHT("00"&amp;VALUE(MID(Sync!$Q12,FIND(":",Sync!$Q12)+1,2)),2),"0000"))))</f>
        <v/>
      </c>
      <c r="AK12">
        <f>IF(OR($AE12="",$AI12="",$AI12="نامعتبر"),"",LEFT($AI12,4)&amp;MID($AI12,6,2)&amp;RIGHT($AI12,2)&amp;$AJ12&amp;"|"&amp;"3"&amp;RIGHT("00000"&amp;7,5))</f>
        <v/>
      </c>
      <c r="AL12">
        <f>IF($AK12="","",COUNTIFS(LdAParty,$AE12,LdAType,1,LdAKey,"&lt;"&amp;$AK12)+COUNTIFS(LdBMember,$AE12,LdBKey,"&lt;"&amp;$AK12)+COUNTIFS(LdCParty,$AE12,LdCKey,"&lt;"&amp;$AK12)+1)</f>
        <v/>
      </c>
      <c r="AM12">
        <f>IF($AL12="","",$AE12&amp;"|"&amp;RIGHT("000000"&amp;$AL12,6))</f>
        <v/>
      </c>
      <c r="AN12">
        <f>IF($AE12="","",IF(Sync!$W12="",0,Sync!$W12))</f>
        <v/>
      </c>
      <c r="AO12">
        <f>IF($AE12="","",IF(Sync!$X12="",0,Sync!$X12))</f>
        <v/>
      </c>
      <c r="AP12">
        <f>IF($AE12="","",Sync!$R12)</f>
        <v/>
      </c>
      <c r="AQ12">
        <f>IF($AE12="","",Sync!$Y12)</f>
        <v/>
      </c>
    </row>
    <row r="13">
      <c r="A13">
        <f>IF(OR(Wages!$B16="",Wages!$E16=""),"",Wages!$E16)</f>
        <v/>
      </c>
      <c r="B13">
        <f>IF($A13="","",IF(Wages!$C16="دستمزد گروهی",2,1))</f>
        <v/>
      </c>
      <c r="C13">
        <f>IF($A13="","",IF(ISNUMBER(Wages!$B16),IF(AND(Wages!$B16&gt;=10000101,Wages!$B16&lt;=99991231),INT(Wages!$B16/10000),""),IFERROR(VALUE(TRIM(LEFT(Wages!$B16,FIND("/",Wages!$B16)-1))),"")))</f>
        <v/>
      </c>
      <c r="D13">
        <f>IF(OR($A13="",$C13=""),"",IF(ISNUMBER(Wages!$B16),INT(MOD(Wages!$B16,10000)/100),IFERROR(VALUE(TRIM(LEFT(MID(Wages!$B16,FIND("/",Wages!$B16)+1,20),FIND("/",MID(Wages!$B16,FIND("/",Wages!$B16)+1,20))-1))),"")))</f>
        <v/>
      </c>
      <c r="E13">
        <f>IF(OR($A13="",$C13=""),"",IF(ISNUMBER(Wages!$B16),MOD(Wages!$B16,100),IFERROR(VALUE(TRIM(MID(MID(Wages!$B16,FIND("/",Wages!$B16)+1,20),FIND("/",MID(Wages!$B16,FIND("/",Wages!$B16)+1,20))+1,20))),"")))</f>
        <v/>
      </c>
      <c r="F13">
        <f>IF($A13="","",IF(OR($C13="",$D13="",$E13="",$C13&lt;1300,$C13&gt;1500,$D13&lt;1,$D13&gt;12,$E13&lt;1,$E13&gt;31),"نامعتبر",RIGHT("0000"&amp;$C13,4)&amp;"/"&amp;RIGHT("00"&amp;$D13,2)&amp;"/"&amp;RIGHT("00"&amp;$E13,2)))</f>
        <v/>
      </c>
      <c r="G13">
        <f>IF(OR($A13="",$F13="",$F13="نامعتبر"),"",LEFT($F13,4)&amp;MID($F13,6,2)&amp;RIGHT($F13,2)&amp;"0000"&amp;"|"&amp;"1"&amp;RIGHT("00000"&amp;8,5))</f>
        <v/>
      </c>
      <c r="H13">
        <f>IF(OR($B13&lt;&gt;1,$G13=""),"",COUNTIFS(LdAParty,$A13,LdAType,1,LdAKey,"&lt;"&amp;$G13)+COUNTIFS(LdBMember,$A13,LdBKey,"&lt;"&amp;$G13)+COUNTIFS(LdCParty,$A13,LdCKey,"&lt;"&amp;$G13)+1)</f>
        <v/>
      </c>
      <c r="I13">
        <f>IF($H13="","",$A13&amp;"|"&amp;RIGHT("000000"&amp;$H13,6))</f>
        <v/>
      </c>
      <c r="J13">
        <f>IF(OR($B13&lt;&gt;2,$G13=""),"",COUNTIFS(LdAParty,$A13,LdAType,2,LdAKey,"&lt;"&amp;$G13)+1)</f>
        <v/>
      </c>
      <c r="K13">
        <f>IF($J13="","",$A13&amp;"|"&amp;RIGHT("000000"&amp;$J13,6))</f>
        <v/>
      </c>
      <c r="L13">
        <f>IF($A13="","",IF(Wages!$G16="",0,Wages!$G16))</f>
        <v/>
      </c>
      <c r="M13">
        <f>IF($A13="","",Wages!$J16)</f>
        <v/>
      </c>
      <c r="N13">
        <f>IF($A13="","",Wages!$D16)</f>
        <v/>
      </c>
      <c r="P13">
        <f>IF(OR(Shares!$B16="",Shares!$C16=""),"",Shares!$C16)</f>
        <v/>
      </c>
      <c r="Q13">
        <f>IF($P13="","",Shares!$B16)</f>
        <v/>
      </c>
      <c r="R13">
        <f>IF($P13="","",IFERROR(INDEX(WageParty,MATCH($Q13,WageIds,0)),""))</f>
        <v/>
      </c>
      <c r="S13">
        <f>IF($P13="","",IFERROR(INDEX($F$6:$F$2005,MATCH($Q13,WageIds,0)),""))</f>
        <v/>
      </c>
      <c r="T13">
        <f>IF(OR($P13="",$S13="",$S13="نامعتبر"),"",LEFT($S13,4)&amp;MID($S13,6,2)&amp;RIGHT($S13,2)&amp;"0000"&amp;"|"&amp;"2"&amp;RIGHT("00000"&amp;8,5))</f>
        <v/>
      </c>
      <c r="U13">
        <f>IF($T13="","",COUNTIFS(LdAParty,$P13,LdAType,1,LdAKey,"&lt;"&amp;$T13)+COUNTIFS(LdBMember,$P13,LdBKey,"&lt;"&amp;$T13)+COUNTIFS(LdCParty,$P13,LdCKey,"&lt;"&amp;$T13)+1)</f>
        <v/>
      </c>
      <c r="V13">
        <f>IF($U13="","",$P13&amp;"|"&amp;RIGHT("000000"&amp;$U13,6))</f>
        <v/>
      </c>
      <c r="W13">
        <f>IF($T13="","",COUNTIFS(LdBGroup,$R13,LdBKey,"&lt;"&amp;$T13)+1)</f>
        <v/>
      </c>
      <c r="X13">
        <f>IF($W13="","",$R13&amp;"|"&amp;RIGHT("000000"&amp;$W13,6))</f>
        <v/>
      </c>
      <c r="Y13">
        <f>IF($P13="","",IF(Shares!$E16="",0,Shares!$E16))</f>
        <v/>
      </c>
      <c r="Z13">
        <f>IF($P13="","",Shares!$H16)</f>
        <v/>
      </c>
      <c r="AE13">
        <f>IF(OR(Sync!$S13="",Sync!$P13=""),"",Sync!$S13)</f>
        <v/>
      </c>
      <c r="AF13">
        <f>IF($AE13="","",IF(ISNUMBER(Sync!$P13),IF(AND(Sync!$P13&gt;=10000101,Sync!$P13&lt;=99991231),INT(Sync!$P13/10000),""),IFERROR(VALUE(TRIM(LEFT(Sync!$P13,FIND("/",Sync!$P13)-1))),"")))</f>
        <v/>
      </c>
      <c r="AG13">
        <f>IF(OR($AE13="",$AF13=""),"",IF(ISNUMBER(Sync!$P13),INT(MOD(Sync!$P13,10000)/100),IFERROR(VALUE(TRIM(LEFT(MID(Sync!$P13,FIND("/",Sync!$P13)+1,20),FIND("/",MID(Sync!$P13,FIND("/",Sync!$P13)+1,20))-1))),"")))</f>
        <v/>
      </c>
      <c r="AH13">
        <f>IF(OR($AE13="",$AF13=""),"",IF(ISNUMBER(Sync!$P13),MOD(Sync!$P13,100),IFERROR(VALUE(TRIM(MID(MID(Sync!$P13,FIND("/",Sync!$P13)+1,20),FIND("/",MID(Sync!$P13,FIND("/",Sync!$P13)+1,20))+1,20))),"")))</f>
        <v/>
      </c>
      <c r="AI13">
        <f>IF($AE13="","",IF(OR($AF13="",$AG13="",$AH13="",$AF13&lt;1300,$AF13&gt;1500,$AG13&lt;1,$AG13&gt;12,$AH13&lt;1,$AH13&gt;31),"نامعتبر",RIGHT("0000"&amp;$AF13,4)&amp;"/"&amp;RIGHT("00"&amp;$AG13,2)&amp;"/"&amp;RIGHT("00"&amp;$AH13,2)))</f>
        <v/>
      </c>
      <c r="AJ13">
        <f>IF($AE13="","",IF(Sync!$Q13="","0000",IF(AND(ISNUMBER(Sync!$Q13),Sync!$Q13&gt;=0,Sync!$Q13&lt;1),RIGHT("00"&amp;HOUR(Sync!$Q13),2)&amp;RIGHT("00"&amp;MINUTE(Sync!$Q13),2),IFERROR(RIGHT("00"&amp;VALUE(LEFT(Sync!$Q13,FIND(":",Sync!$Q13)-1)),2)&amp;RIGHT("00"&amp;VALUE(MID(Sync!$Q13,FIND(":",Sync!$Q13)+1,2)),2),"0000"))))</f>
        <v/>
      </c>
      <c r="AK13">
        <f>IF(OR($AE13="",$AI13="",$AI13="نامعتبر"),"",LEFT($AI13,4)&amp;MID($AI13,6,2)&amp;RIGHT($AI13,2)&amp;$AJ13&amp;"|"&amp;"3"&amp;RIGHT("00000"&amp;8,5))</f>
        <v/>
      </c>
      <c r="AL13">
        <f>IF($AK13="","",COUNTIFS(LdAParty,$AE13,LdAType,1,LdAKey,"&lt;"&amp;$AK13)+COUNTIFS(LdBMember,$AE13,LdBKey,"&lt;"&amp;$AK13)+COUNTIFS(LdCParty,$AE13,LdCKey,"&lt;"&amp;$AK13)+1)</f>
        <v/>
      </c>
      <c r="AM13">
        <f>IF($AL13="","",$AE13&amp;"|"&amp;RIGHT("000000"&amp;$AL13,6))</f>
        <v/>
      </c>
      <c r="AN13">
        <f>IF($AE13="","",IF(Sync!$W13="",0,Sync!$W13))</f>
        <v/>
      </c>
      <c r="AO13">
        <f>IF($AE13="","",IF(Sync!$X13="",0,Sync!$X13))</f>
        <v/>
      </c>
      <c r="AP13">
        <f>IF($AE13="","",Sync!$R13)</f>
        <v/>
      </c>
      <c r="AQ13">
        <f>IF($AE13="","",Sync!$Y13)</f>
        <v/>
      </c>
    </row>
    <row r="14">
      <c r="A14">
        <f>IF(OR(Wages!$B17="",Wages!$E17=""),"",Wages!$E17)</f>
        <v/>
      </c>
      <c r="B14">
        <f>IF($A14="","",IF(Wages!$C17="دستمزد گروهی",2,1))</f>
        <v/>
      </c>
      <c r="C14">
        <f>IF($A14="","",IF(ISNUMBER(Wages!$B17),IF(AND(Wages!$B17&gt;=10000101,Wages!$B17&lt;=99991231),INT(Wages!$B17/10000),""),IFERROR(VALUE(TRIM(LEFT(Wages!$B17,FIND("/",Wages!$B17)-1))),"")))</f>
        <v/>
      </c>
      <c r="D14">
        <f>IF(OR($A14="",$C14=""),"",IF(ISNUMBER(Wages!$B17),INT(MOD(Wages!$B17,10000)/100),IFERROR(VALUE(TRIM(LEFT(MID(Wages!$B17,FIND("/",Wages!$B17)+1,20),FIND("/",MID(Wages!$B17,FIND("/",Wages!$B17)+1,20))-1))),"")))</f>
        <v/>
      </c>
      <c r="E14">
        <f>IF(OR($A14="",$C14=""),"",IF(ISNUMBER(Wages!$B17),MOD(Wages!$B17,100),IFERROR(VALUE(TRIM(MID(MID(Wages!$B17,FIND("/",Wages!$B17)+1,20),FIND("/",MID(Wages!$B17,FIND("/",Wages!$B17)+1,20))+1,20))),"")))</f>
        <v/>
      </c>
      <c r="F14">
        <f>IF($A14="","",IF(OR($C14="",$D14="",$E14="",$C14&lt;1300,$C14&gt;1500,$D14&lt;1,$D14&gt;12,$E14&lt;1,$E14&gt;31),"نامعتبر",RIGHT("0000"&amp;$C14,4)&amp;"/"&amp;RIGHT("00"&amp;$D14,2)&amp;"/"&amp;RIGHT("00"&amp;$E14,2)))</f>
        <v/>
      </c>
      <c r="G14">
        <f>IF(OR($A14="",$F14="",$F14="نامعتبر"),"",LEFT($F14,4)&amp;MID($F14,6,2)&amp;RIGHT($F14,2)&amp;"0000"&amp;"|"&amp;"1"&amp;RIGHT("00000"&amp;9,5))</f>
        <v/>
      </c>
      <c r="H14">
        <f>IF(OR($B14&lt;&gt;1,$G14=""),"",COUNTIFS(LdAParty,$A14,LdAType,1,LdAKey,"&lt;"&amp;$G14)+COUNTIFS(LdBMember,$A14,LdBKey,"&lt;"&amp;$G14)+COUNTIFS(LdCParty,$A14,LdCKey,"&lt;"&amp;$G14)+1)</f>
        <v/>
      </c>
      <c r="I14">
        <f>IF($H14="","",$A14&amp;"|"&amp;RIGHT("000000"&amp;$H14,6))</f>
        <v/>
      </c>
      <c r="J14">
        <f>IF(OR($B14&lt;&gt;2,$G14=""),"",COUNTIFS(LdAParty,$A14,LdAType,2,LdAKey,"&lt;"&amp;$G14)+1)</f>
        <v/>
      </c>
      <c r="K14">
        <f>IF($J14="","",$A14&amp;"|"&amp;RIGHT("000000"&amp;$J14,6))</f>
        <v/>
      </c>
      <c r="L14">
        <f>IF($A14="","",IF(Wages!$G17="",0,Wages!$G17))</f>
        <v/>
      </c>
      <c r="M14">
        <f>IF($A14="","",Wages!$J17)</f>
        <v/>
      </c>
      <c r="N14">
        <f>IF($A14="","",Wages!$D17)</f>
        <v/>
      </c>
      <c r="P14">
        <f>IF(OR(Shares!$B17="",Shares!$C17=""),"",Shares!$C17)</f>
        <v/>
      </c>
      <c r="Q14">
        <f>IF($P14="","",Shares!$B17)</f>
        <v/>
      </c>
      <c r="R14">
        <f>IF($P14="","",IFERROR(INDEX(WageParty,MATCH($Q14,WageIds,0)),""))</f>
        <v/>
      </c>
      <c r="S14">
        <f>IF($P14="","",IFERROR(INDEX($F$6:$F$2005,MATCH($Q14,WageIds,0)),""))</f>
        <v/>
      </c>
      <c r="T14">
        <f>IF(OR($P14="",$S14="",$S14="نامعتبر"),"",LEFT($S14,4)&amp;MID($S14,6,2)&amp;RIGHT($S14,2)&amp;"0000"&amp;"|"&amp;"2"&amp;RIGHT("00000"&amp;9,5))</f>
        <v/>
      </c>
      <c r="U14">
        <f>IF($T14="","",COUNTIFS(LdAParty,$P14,LdAType,1,LdAKey,"&lt;"&amp;$T14)+COUNTIFS(LdBMember,$P14,LdBKey,"&lt;"&amp;$T14)+COUNTIFS(LdCParty,$P14,LdCKey,"&lt;"&amp;$T14)+1)</f>
        <v/>
      </c>
      <c r="V14">
        <f>IF($U14="","",$P14&amp;"|"&amp;RIGHT("000000"&amp;$U14,6))</f>
        <v/>
      </c>
      <c r="W14">
        <f>IF($T14="","",COUNTIFS(LdBGroup,$R14,LdBKey,"&lt;"&amp;$T14)+1)</f>
        <v/>
      </c>
      <c r="X14">
        <f>IF($W14="","",$R14&amp;"|"&amp;RIGHT("000000"&amp;$W14,6))</f>
        <v/>
      </c>
      <c r="Y14">
        <f>IF($P14="","",IF(Shares!$E17="",0,Shares!$E17))</f>
        <v/>
      </c>
      <c r="Z14">
        <f>IF($P14="","",Shares!$H17)</f>
        <v/>
      </c>
      <c r="AE14">
        <f>IF(OR(Sync!$S14="",Sync!$P14=""),"",Sync!$S14)</f>
        <v/>
      </c>
      <c r="AF14">
        <f>IF($AE14="","",IF(ISNUMBER(Sync!$P14),IF(AND(Sync!$P14&gt;=10000101,Sync!$P14&lt;=99991231),INT(Sync!$P14/10000),""),IFERROR(VALUE(TRIM(LEFT(Sync!$P14,FIND("/",Sync!$P14)-1))),"")))</f>
        <v/>
      </c>
      <c r="AG14">
        <f>IF(OR($AE14="",$AF14=""),"",IF(ISNUMBER(Sync!$P14),INT(MOD(Sync!$P14,10000)/100),IFERROR(VALUE(TRIM(LEFT(MID(Sync!$P14,FIND("/",Sync!$P14)+1,20),FIND("/",MID(Sync!$P14,FIND("/",Sync!$P14)+1,20))-1))),"")))</f>
        <v/>
      </c>
      <c r="AH14">
        <f>IF(OR($AE14="",$AF14=""),"",IF(ISNUMBER(Sync!$P14),MOD(Sync!$P14,100),IFERROR(VALUE(TRIM(MID(MID(Sync!$P14,FIND("/",Sync!$P14)+1,20),FIND("/",MID(Sync!$P14,FIND("/",Sync!$P14)+1,20))+1,20))),"")))</f>
        <v/>
      </c>
      <c r="AI14">
        <f>IF($AE14="","",IF(OR($AF14="",$AG14="",$AH14="",$AF14&lt;1300,$AF14&gt;1500,$AG14&lt;1,$AG14&gt;12,$AH14&lt;1,$AH14&gt;31),"نامعتبر",RIGHT("0000"&amp;$AF14,4)&amp;"/"&amp;RIGHT("00"&amp;$AG14,2)&amp;"/"&amp;RIGHT("00"&amp;$AH14,2)))</f>
        <v/>
      </c>
      <c r="AJ14">
        <f>IF($AE14="","",IF(Sync!$Q14="","0000",IF(AND(ISNUMBER(Sync!$Q14),Sync!$Q14&gt;=0,Sync!$Q14&lt;1),RIGHT("00"&amp;HOUR(Sync!$Q14),2)&amp;RIGHT("00"&amp;MINUTE(Sync!$Q14),2),IFERROR(RIGHT("00"&amp;VALUE(LEFT(Sync!$Q14,FIND(":",Sync!$Q14)-1)),2)&amp;RIGHT("00"&amp;VALUE(MID(Sync!$Q14,FIND(":",Sync!$Q14)+1,2)),2),"0000"))))</f>
        <v/>
      </c>
      <c r="AK14">
        <f>IF(OR($AE14="",$AI14="",$AI14="نامعتبر"),"",LEFT($AI14,4)&amp;MID($AI14,6,2)&amp;RIGHT($AI14,2)&amp;$AJ14&amp;"|"&amp;"3"&amp;RIGHT("00000"&amp;9,5))</f>
        <v/>
      </c>
      <c r="AL14">
        <f>IF($AK14="","",COUNTIFS(LdAParty,$AE14,LdAType,1,LdAKey,"&lt;"&amp;$AK14)+COUNTIFS(LdBMember,$AE14,LdBKey,"&lt;"&amp;$AK14)+COUNTIFS(LdCParty,$AE14,LdCKey,"&lt;"&amp;$AK14)+1)</f>
        <v/>
      </c>
      <c r="AM14">
        <f>IF($AL14="","",$AE14&amp;"|"&amp;RIGHT("000000"&amp;$AL14,6))</f>
        <v/>
      </c>
      <c r="AN14">
        <f>IF($AE14="","",IF(Sync!$W14="",0,Sync!$W14))</f>
        <v/>
      </c>
      <c r="AO14">
        <f>IF($AE14="","",IF(Sync!$X14="",0,Sync!$X14))</f>
        <v/>
      </c>
      <c r="AP14">
        <f>IF($AE14="","",Sync!$R14)</f>
        <v/>
      </c>
      <c r="AQ14">
        <f>IF($AE14="","",Sync!$Y14)</f>
        <v/>
      </c>
    </row>
    <row r="15">
      <c r="A15">
        <f>IF(OR(Wages!$B18="",Wages!$E18=""),"",Wages!$E18)</f>
        <v/>
      </c>
      <c r="B15">
        <f>IF($A15="","",IF(Wages!$C18="دستمزد گروهی",2,1))</f>
        <v/>
      </c>
      <c r="C15">
        <f>IF($A15="","",IF(ISNUMBER(Wages!$B18),IF(AND(Wages!$B18&gt;=10000101,Wages!$B18&lt;=99991231),INT(Wages!$B18/10000),""),IFERROR(VALUE(TRIM(LEFT(Wages!$B18,FIND("/",Wages!$B18)-1))),"")))</f>
        <v/>
      </c>
      <c r="D15">
        <f>IF(OR($A15="",$C15=""),"",IF(ISNUMBER(Wages!$B18),INT(MOD(Wages!$B18,10000)/100),IFERROR(VALUE(TRIM(LEFT(MID(Wages!$B18,FIND("/",Wages!$B18)+1,20),FIND("/",MID(Wages!$B18,FIND("/",Wages!$B18)+1,20))-1))),"")))</f>
        <v/>
      </c>
      <c r="E15">
        <f>IF(OR($A15="",$C15=""),"",IF(ISNUMBER(Wages!$B18),MOD(Wages!$B18,100),IFERROR(VALUE(TRIM(MID(MID(Wages!$B18,FIND("/",Wages!$B18)+1,20),FIND("/",MID(Wages!$B18,FIND("/",Wages!$B18)+1,20))+1,20))),"")))</f>
        <v/>
      </c>
      <c r="F15">
        <f>IF($A15="","",IF(OR($C15="",$D15="",$E15="",$C15&lt;1300,$C15&gt;1500,$D15&lt;1,$D15&gt;12,$E15&lt;1,$E15&gt;31),"نامعتبر",RIGHT("0000"&amp;$C15,4)&amp;"/"&amp;RIGHT("00"&amp;$D15,2)&amp;"/"&amp;RIGHT("00"&amp;$E15,2)))</f>
        <v/>
      </c>
      <c r="G15">
        <f>IF(OR($A15="",$F15="",$F15="نامعتبر"),"",LEFT($F15,4)&amp;MID($F15,6,2)&amp;RIGHT($F15,2)&amp;"0000"&amp;"|"&amp;"1"&amp;RIGHT("00000"&amp;10,5))</f>
        <v/>
      </c>
      <c r="H15">
        <f>IF(OR($B15&lt;&gt;1,$G15=""),"",COUNTIFS(LdAParty,$A15,LdAType,1,LdAKey,"&lt;"&amp;$G15)+COUNTIFS(LdBMember,$A15,LdBKey,"&lt;"&amp;$G15)+COUNTIFS(LdCParty,$A15,LdCKey,"&lt;"&amp;$G15)+1)</f>
        <v/>
      </c>
      <c r="I15">
        <f>IF($H15="","",$A15&amp;"|"&amp;RIGHT("000000"&amp;$H15,6))</f>
        <v/>
      </c>
      <c r="J15">
        <f>IF(OR($B15&lt;&gt;2,$G15=""),"",COUNTIFS(LdAParty,$A15,LdAType,2,LdAKey,"&lt;"&amp;$G15)+1)</f>
        <v/>
      </c>
      <c r="K15">
        <f>IF($J15="","",$A15&amp;"|"&amp;RIGHT("000000"&amp;$J15,6))</f>
        <v/>
      </c>
      <c r="L15">
        <f>IF($A15="","",IF(Wages!$G18="",0,Wages!$G18))</f>
        <v/>
      </c>
      <c r="M15">
        <f>IF($A15="","",Wages!$J18)</f>
        <v/>
      </c>
      <c r="N15">
        <f>IF($A15="","",Wages!$D18)</f>
        <v/>
      </c>
      <c r="P15">
        <f>IF(OR(Shares!$B18="",Shares!$C18=""),"",Shares!$C18)</f>
        <v/>
      </c>
      <c r="Q15">
        <f>IF($P15="","",Shares!$B18)</f>
        <v/>
      </c>
      <c r="R15">
        <f>IF($P15="","",IFERROR(INDEX(WageParty,MATCH($Q15,WageIds,0)),""))</f>
        <v/>
      </c>
      <c r="S15">
        <f>IF($P15="","",IFERROR(INDEX($F$6:$F$2005,MATCH($Q15,WageIds,0)),""))</f>
        <v/>
      </c>
      <c r="T15">
        <f>IF(OR($P15="",$S15="",$S15="نامعتبر"),"",LEFT($S15,4)&amp;MID($S15,6,2)&amp;RIGHT($S15,2)&amp;"0000"&amp;"|"&amp;"2"&amp;RIGHT("00000"&amp;10,5))</f>
        <v/>
      </c>
      <c r="U15">
        <f>IF($T15="","",COUNTIFS(LdAParty,$P15,LdAType,1,LdAKey,"&lt;"&amp;$T15)+COUNTIFS(LdBMember,$P15,LdBKey,"&lt;"&amp;$T15)+COUNTIFS(LdCParty,$P15,LdCKey,"&lt;"&amp;$T15)+1)</f>
        <v/>
      </c>
      <c r="V15">
        <f>IF($U15="","",$P15&amp;"|"&amp;RIGHT("000000"&amp;$U15,6))</f>
        <v/>
      </c>
      <c r="W15">
        <f>IF($T15="","",COUNTIFS(LdBGroup,$R15,LdBKey,"&lt;"&amp;$T15)+1)</f>
        <v/>
      </c>
      <c r="X15">
        <f>IF($W15="","",$R15&amp;"|"&amp;RIGHT("000000"&amp;$W15,6))</f>
        <v/>
      </c>
      <c r="Y15">
        <f>IF($P15="","",IF(Shares!$E18="",0,Shares!$E18))</f>
        <v/>
      </c>
      <c r="Z15">
        <f>IF($P15="","",Shares!$H18)</f>
        <v/>
      </c>
      <c r="AE15">
        <f>IF(OR(Sync!$S15="",Sync!$P15=""),"",Sync!$S15)</f>
        <v/>
      </c>
      <c r="AF15">
        <f>IF($AE15="","",IF(ISNUMBER(Sync!$P15),IF(AND(Sync!$P15&gt;=10000101,Sync!$P15&lt;=99991231),INT(Sync!$P15/10000),""),IFERROR(VALUE(TRIM(LEFT(Sync!$P15,FIND("/",Sync!$P15)-1))),"")))</f>
        <v/>
      </c>
      <c r="AG15">
        <f>IF(OR($AE15="",$AF15=""),"",IF(ISNUMBER(Sync!$P15),INT(MOD(Sync!$P15,10000)/100),IFERROR(VALUE(TRIM(LEFT(MID(Sync!$P15,FIND("/",Sync!$P15)+1,20),FIND("/",MID(Sync!$P15,FIND("/",Sync!$P15)+1,20))-1))),"")))</f>
        <v/>
      </c>
      <c r="AH15">
        <f>IF(OR($AE15="",$AF15=""),"",IF(ISNUMBER(Sync!$P15),MOD(Sync!$P15,100),IFERROR(VALUE(TRIM(MID(MID(Sync!$P15,FIND("/",Sync!$P15)+1,20),FIND("/",MID(Sync!$P15,FIND("/",Sync!$P15)+1,20))+1,20))),"")))</f>
        <v/>
      </c>
      <c r="AI15">
        <f>IF($AE15="","",IF(OR($AF15="",$AG15="",$AH15="",$AF15&lt;1300,$AF15&gt;1500,$AG15&lt;1,$AG15&gt;12,$AH15&lt;1,$AH15&gt;31),"نامعتبر",RIGHT("0000"&amp;$AF15,4)&amp;"/"&amp;RIGHT("00"&amp;$AG15,2)&amp;"/"&amp;RIGHT("00"&amp;$AH15,2)))</f>
        <v/>
      </c>
      <c r="AJ15">
        <f>IF($AE15="","",IF(Sync!$Q15="","0000",IF(AND(ISNUMBER(Sync!$Q15),Sync!$Q15&gt;=0,Sync!$Q15&lt;1),RIGHT("00"&amp;HOUR(Sync!$Q15),2)&amp;RIGHT("00"&amp;MINUTE(Sync!$Q15),2),IFERROR(RIGHT("00"&amp;VALUE(LEFT(Sync!$Q15,FIND(":",Sync!$Q15)-1)),2)&amp;RIGHT("00"&amp;VALUE(MID(Sync!$Q15,FIND(":",Sync!$Q15)+1,2)),2),"0000"))))</f>
        <v/>
      </c>
      <c r="AK15">
        <f>IF(OR($AE15="",$AI15="",$AI15="نامعتبر"),"",LEFT($AI15,4)&amp;MID($AI15,6,2)&amp;RIGHT($AI15,2)&amp;$AJ15&amp;"|"&amp;"3"&amp;RIGHT("00000"&amp;10,5))</f>
        <v/>
      </c>
      <c r="AL15">
        <f>IF($AK15="","",COUNTIFS(LdAParty,$AE15,LdAType,1,LdAKey,"&lt;"&amp;$AK15)+COUNTIFS(LdBMember,$AE15,LdBKey,"&lt;"&amp;$AK15)+COUNTIFS(LdCParty,$AE15,LdCKey,"&lt;"&amp;$AK15)+1)</f>
        <v/>
      </c>
      <c r="AM15">
        <f>IF($AL15="","",$AE15&amp;"|"&amp;RIGHT("000000"&amp;$AL15,6))</f>
        <v/>
      </c>
      <c r="AN15">
        <f>IF($AE15="","",IF(Sync!$W15="",0,Sync!$W15))</f>
        <v/>
      </c>
      <c r="AO15">
        <f>IF($AE15="","",IF(Sync!$X15="",0,Sync!$X15))</f>
        <v/>
      </c>
      <c r="AP15">
        <f>IF($AE15="","",Sync!$R15)</f>
        <v/>
      </c>
      <c r="AQ15">
        <f>IF($AE15="","",Sync!$Y15)</f>
        <v/>
      </c>
    </row>
    <row r="16">
      <c r="A16">
        <f>IF(OR(Wages!$B19="",Wages!$E19=""),"",Wages!$E19)</f>
        <v/>
      </c>
      <c r="B16">
        <f>IF($A16="","",IF(Wages!$C19="دستمزد گروهی",2,1))</f>
        <v/>
      </c>
      <c r="C16">
        <f>IF($A16="","",IF(ISNUMBER(Wages!$B19),IF(AND(Wages!$B19&gt;=10000101,Wages!$B19&lt;=99991231),INT(Wages!$B19/10000),""),IFERROR(VALUE(TRIM(LEFT(Wages!$B19,FIND("/",Wages!$B19)-1))),"")))</f>
        <v/>
      </c>
      <c r="D16">
        <f>IF(OR($A16="",$C16=""),"",IF(ISNUMBER(Wages!$B19),INT(MOD(Wages!$B19,10000)/100),IFERROR(VALUE(TRIM(LEFT(MID(Wages!$B19,FIND("/",Wages!$B19)+1,20),FIND("/",MID(Wages!$B19,FIND("/",Wages!$B19)+1,20))-1))),"")))</f>
        <v/>
      </c>
      <c r="E16">
        <f>IF(OR($A16="",$C16=""),"",IF(ISNUMBER(Wages!$B19),MOD(Wages!$B19,100),IFERROR(VALUE(TRIM(MID(MID(Wages!$B19,FIND("/",Wages!$B19)+1,20),FIND("/",MID(Wages!$B19,FIND("/",Wages!$B19)+1,20))+1,20))),"")))</f>
        <v/>
      </c>
      <c r="F16">
        <f>IF($A16="","",IF(OR($C16="",$D16="",$E16="",$C16&lt;1300,$C16&gt;1500,$D16&lt;1,$D16&gt;12,$E16&lt;1,$E16&gt;31),"نامعتبر",RIGHT("0000"&amp;$C16,4)&amp;"/"&amp;RIGHT("00"&amp;$D16,2)&amp;"/"&amp;RIGHT("00"&amp;$E16,2)))</f>
        <v/>
      </c>
      <c r="G16">
        <f>IF(OR($A16="",$F16="",$F16="نامعتبر"),"",LEFT($F16,4)&amp;MID($F16,6,2)&amp;RIGHT($F16,2)&amp;"0000"&amp;"|"&amp;"1"&amp;RIGHT("00000"&amp;11,5))</f>
        <v/>
      </c>
      <c r="H16">
        <f>IF(OR($B16&lt;&gt;1,$G16=""),"",COUNTIFS(LdAParty,$A16,LdAType,1,LdAKey,"&lt;"&amp;$G16)+COUNTIFS(LdBMember,$A16,LdBKey,"&lt;"&amp;$G16)+COUNTIFS(LdCParty,$A16,LdCKey,"&lt;"&amp;$G16)+1)</f>
        <v/>
      </c>
      <c r="I16">
        <f>IF($H16="","",$A16&amp;"|"&amp;RIGHT("000000"&amp;$H16,6))</f>
        <v/>
      </c>
      <c r="J16">
        <f>IF(OR($B16&lt;&gt;2,$G16=""),"",COUNTIFS(LdAParty,$A16,LdAType,2,LdAKey,"&lt;"&amp;$G16)+1)</f>
        <v/>
      </c>
      <c r="K16">
        <f>IF($J16="","",$A16&amp;"|"&amp;RIGHT("000000"&amp;$J16,6))</f>
        <v/>
      </c>
      <c r="L16">
        <f>IF($A16="","",IF(Wages!$G19="",0,Wages!$G19))</f>
        <v/>
      </c>
      <c r="M16">
        <f>IF($A16="","",Wages!$J19)</f>
        <v/>
      </c>
      <c r="N16">
        <f>IF($A16="","",Wages!$D19)</f>
        <v/>
      </c>
      <c r="P16">
        <f>IF(OR(Shares!$B19="",Shares!$C19=""),"",Shares!$C19)</f>
        <v/>
      </c>
      <c r="Q16">
        <f>IF($P16="","",Shares!$B19)</f>
        <v/>
      </c>
      <c r="R16">
        <f>IF($P16="","",IFERROR(INDEX(WageParty,MATCH($Q16,WageIds,0)),""))</f>
        <v/>
      </c>
      <c r="S16">
        <f>IF($P16="","",IFERROR(INDEX($F$6:$F$2005,MATCH($Q16,WageIds,0)),""))</f>
        <v/>
      </c>
      <c r="T16">
        <f>IF(OR($P16="",$S16="",$S16="نامعتبر"),"",LEFT($S16,4)&amp;MID($S16,6,2)&amp;RIGHT($S16,2)&amp;"0000"&amp;"|"&amp;"2"&amp;RIGHT("00000"&amp;11,5))</f>
        <v/>
      </c>
      <c r="U16">
        <f>IF($T16="","",COUNTIFS(LdAParty,$P16,LdAType,1,LdAKey,"&lt;"&amp;$T16)+COUNTIFS(LdBMember,$P16,LdBKey,"&lt;"&amp;$T16)+COUNTIFS(LdCParty,$P16,LdCKey,"&lt;"&amp;$T16)+1)</f>
        <v/>
      </c>
      <c r="V16">
        <f>IF($U16="","",$P16&amp;"|"&amp;RIGHT("000000"&amp;$U16,6))</f>
        <v/>
      </c>
      <c r="W16">
        <f>IF($T16="","",COUNTIFS(LdBGroup,$R16,LdBKey,"&lt;"&amp;$T16)+1)</f>
        <v/>
      </c>
      <c r="X16">
        <f>IF($W16="","",$R16&amp;"|"&amp;RIGHT("000000"&amp;$W16,6))</f>
        <v/>
      </c>
      <c r="Y16">
        <f>IF($P16="","",IF(Shares!$E19="",0,Shares!$E19))</f>
        <v/>
      </c>
      <c r="Z16">
        <f>IF($P16="","",Shares!$H19)</f>
        <v/>
      </c>
      <c r="AE16">
        <f>IF(OR(Sync!$S16="",Sync!$P16=""),"",Sync!$S16)</f>
        <v/>
      </c>
      <c r="AF16">
        <f>IF($AE16="","",IF(ISNUMBER(Sync!$P16),IF(AND(Sync!$P16&gt;=10000101,Sync!$P16&lt;=99991231),INT(Sync!$P16/10000),""),IFERROR(VALUE(TRIM(LEFT(Sync!$P16,FIND("/",Sync!$P16)-1))),"")))</f>
        <v/>
      </c>
      <c r="AG16">
        <f>IF(OR($AE16="",$AF16=""),"",IF(ISNUMBER(Sync!$P16),INT(MOD(Sync!$P16,10000)/100),IFERROR(VALUE(TRIM(LEFT(MID(Sync!$P16,FIND("/",Sync!$P16)+1,20),FIND("/",MID(Sync!$P16,FIND("/",Sync!$P16)+1,20))-1))),"")))</f>
        <v/>
      </c>
      <c r="AH16">
        <f>IF(OR($AE16="",$AF16=""),"",IF(ISNUMBER(Sync!$P16),MOD(Sync!$P16,100),IFERROR(VALUE(TRIM(MID(MID(Sync!$P16,FIND("/",Sync!$P16)+1,20),FIND("/",MID(Sync!$P16,FIND("/",Sync!$P16)+1,20))+1,20))),"")))</f>
        <v/>
      </c>
      <c r="AI16">
        <f>IF($AE16="","",IF(OR($AF16="",$AG16="",$AH16="",$AF16&lt;1300,$AF16&gt;1500,$AG16&lt;1,$AG16&gt;12,$AH16&lt;1,$AH16&gt;31),"نامعتبر",RIGHT("0000"&amp;$AF16,4)&amp;"/"&amp;RIGHT("00"&amp;$AG16,2)&amp;"/"&amp;RIGHT("00"&amp;$AH16,2)))</f>
        <v/>
      </c>
      <c r="AJ16">
        <f>IF($AE16="","",IF(Sync!$Q16="","0000",IF(AND(ISNUMBER(Sync!$Q16),Sync!$Q16&gt;=0,Sync!$Q16&lt;1),RIGHT("00"&amp;HOUR(Sync!$Q16),2)&amp;RIGHT("00"&amp;MINUTE(Sync!$Q16),2),IFERROR(RIGHT("00"&amp;VALUE(LEFT(Sync!$Q16,FIND(":",Sync!$Q16)-1)),2)&amp;RIGHT("00"&amp;VALUE(MID(Sync!$Q16,FIND(":",Sync!$Q16)+1,2)),2),"0000"))))</f>
        <v/>
      </c>
      <c r="AK16">
        <f>IF(OR($AE16="",$AI16="",$AI16="نامعتبر"),"",LEFT($AI16,4)&amp;MID($AI16,6,2)&amp;RIGHT($AI16,2)&amp;$AJ16&amp;"|"&amp;"3"&amp;RIGHT("00000"&amp;11,5))</f>
        <v/>
      </c>
      <c r="AL16">
        <f>IF($AK16="","",COUNTIFS(LdAParty,$AE16,LdAType,1,LdAKey,"&lt;"&amp;$AK16)+COUNTIFS(LdBMember,$AE16,LdBKey,"&lt;"&amp;$AK16)+COUNTIFS(LdCParty,$AE16,LdCKey,"&lt;"&amp;$AK16)+1)</f>
        <v/>
      </c>
      <c r="AM16">
        <f>IF($AL16="","",$AE16&amp;"|"&amp;RIGHT("000000"&amp;$AL16,6))</f>
        <v/>
      </c>
      <c r="AN16">
        <f>IF($AE16="","",IF(Sync!$W16="",0,Sync!$W16))</f>
        <v/>
      </c>
      <c r="AO16">
        <f>IF($AE16="","",IF(Sync!$X16="",0,Sync!$X16))</f>
        <v/>
      </c>
      <c r="AP16">
        <f>IF($AE16="","",Sync!$R16)</f>
        <v/>
      </c>
      <c r="AQ16">
        <f>IF($AE16="","",Sync!$Y16)</f>
        <v/>
      </c>
    </row>
    <row r="17">
      <c r="A17">
        <f>IF(OR(Wages!$B20="",Wages!$E20=""),"",Wages!$E20)</f>
        <v/>
      </c>
      <c r="B17">
        <f>IF($A17="","",IF(Wages!$C20="دستمزد گروهی",2,1))</f>
        <v/>
      </c>
      <c r="C17">
        <f>IF($A17="","",IF(ISNUMBER(Wages!$B20),IF(AND(Wages!$B20&gt;=10000101,Wages!$B20&lt;=99991231),INT(Wages!$B20/10000),""),IFERROR(VALUE(TRIM(LEFT(Wages!$B20,FIND("/",Wages!$B20)-1))),"")))</f>
        <v/>
      </c>
      <c r="D17">
        <f>IF(OR($A17="",$C17=""),"",IF(ISNUMBER(Wages!$B20),INT(MOD(Wages!$B20,10000)/100),IFERROR(VALUE(TRIM(LEFT(MID(Wages!$B20,FIND("/",Wages!$B20)+1,20),FIND("/",MID(Wages!$B20,FIND("/",Wages!$B20)+1,20))-1))),"")))</f>
        <v/>
      </c>
      <c r="E17">
        <f>IF(OR($A17="",$C17=""),"",IF(ISNUMBER(Wages!$B20),MOD(Wages!$B20,100),IFERROR(VALUE(TRIM(MID(MID(Wages!$B20,FIND("/",Wages!$B20)+1,20),FIND("/",MID(Wages!$B20,FIND("/",Wages!$B20)+1,20))+1,20))),"")))</f>
        <v/>
      </c>
      <c r="F17">
        <f>IF($A17="","",IF(OR($C17="",$D17="",$E17="",$C17&lt;1300,$C17&gt;1500,$D17&lt;1,$D17&gt;12,$E17&lt;1,$E17&gt;31),"نامعتبر",RIGHT("0000"&amp;$C17,4)&amp;"/"&amp;RIGHT("00"&amp;$D17,2)&amp;"/"&amp;RIGHT("00"&amp;$E17,2)))</f>
        <v/>
      </c>
      <c r="G17">
        <f>IF(OR($A17="",$F17="",$F17="نامعتبر"),"",LEFT($F17,4)&amp;MID($F17,6,2)&amp;RIGHT($F17,2)&amp;"0000"&amp;"|"&amp;"1"&amp;RIGHT("00000"&amp;12,5))</f>
        <v/>
      </c>
      <c r="H17">
        <f>IF(OR($B17&lt;&gt;1,$G17=""),"",COUNTIFS(LdAParty,$A17,LdAType,1,LdAKey,"&lt;"&amp;$G17)+COUNTIFS(LdBMember,$A17,LdBKey,"&lt;"&amp;$G17)+COUNTIFS(LdCParty,$A17,LdCKey,"&lt;"&amp;$G17)+1)</f>
        <v/>
      </c>
      <c r="I17">
        <f>IF($H17="","",$A17&amp;"|"&amp;RIGHT("000000"&amp;$H17,6))</f>
        <v/>
      </c>
      <c r="J17">
        <f>IF(OR($B17&lt;&gt;2,$G17=""),"",COUNTIFS(LdAParty,$A17,LdAType,2,LdAKey,"&lt;"&amp;$G17)+1)</f>
        <v/>
      </c>
      <c r="K17">
        <f>IF($J17="","",$A17&amp;"|"&amp;RIGHT("000000"&amp;$J17,6))</f>
        <v/>
      </c>
      <c r="L17">
        <f>IF($A17="","",IF(Wages!$G20="",0,Wages!$G20))</f>
        <v/>
      </c>
      <c r="M17">
        <f>IF($A17="","",Wages!$J20)</f>
        <v/>
      </c>
      <c r="N17">
        <f>IF($A17="","",Wages!$D20)</f>
        <v/>
      </c>
      <c r="P17">
        <f>IF(OR(Shares!$B20="",Shares!$C20=""),"",Shares!$C20)</f>
        <v/>
      </c>
      <c r="Q17">
        <f>IF($P17="","",Shares!$B20)</f>
        <v/>
      </c>
      <c r="R17">
        <f>IF($P17="","",IFERROR(INDEX(WageParty,MATCH($Q17,WageIds,0)),""))</f>
        <v/>
      </c>
      <c r="S17">
        <f>IF($P17="","",IFERROR(INDEX($F$6:$F$2005,MATCH($Q17,WageIds,0)),""))</f>
        <v/>
      </c>
      <c r="T17">
        <f>IF(OR($P17="",$S17="",$S17="نامعتبر"),"",LEFT($S17,4)&amp;MID($S17,6,2)&amp;RIGHT($S17,2)&amp;"0000"&amp;"|"&amp;"2"&amp;RIGHT("00000"&amp;12,5))</f>
        <v/>
      </c>
      <c r="U17">
        <f>IF($T17="","",COUNTIFS(LdAParty,$P17,LdAType,1,LdAKey,"&lt;"&amp;$T17)+COUNTIFS(LdBMember,$P17,LdBKey,"&lt;"&amp;$T17)+COUNTIFS(LdCParty,$P17,LdCKey,"&lt;"&amp;$T17)+1)</f>
        <v/>
      </c>
      <c r="V17">
        <f>IF($U17="","",$P17&amp;"|"&amp;RIGHT("000000"&amp;$U17,6))</f>
        <v/>
      </c>
      <c r="W17">
        <f>IF($T17="","",COUNTIFS(LdBGroup,$R17,LdBKey,"&lt;"&amp;$T17)+1)</f>
        <v/>
      </c>
      <c r="X17">
        <f>IF($W17="","",$R17&amp;"|"&amp;RIGHT("000000"&amp;$W17,6))</f>
        <v/>
      </c>
      <c r="Y17">
        <f>IF($P17="","",IF(Shares!$E20="",0,Shares!$E20))</f>
        <v/>
      </c>
      <c r="Z17">
        <f>IF($P17="","",Shares!$H20)</f>
        <v/>
      </c>
      <c r="AE17">
        <f>IF(OR(Sync!$S17="",Sync!$P17=""),"",Sync!$S17)</f>
        <v/>
      </c>
      <c r="AF17">
        <f>IF($AE17="","",IF(ISNUMBER(Sync!$P17),IF(AND(Sync!$P17&gt;=10000101,Sync!$P17&lt;=99991231),INT(Sync!$P17/10000),""),IFERROR(VALUE(TRIM(LEFT(Sync!$P17,FIND("/",Sync!$P17)-1))),"")))</f>
        <v/>
      </c>
      <c r="AG17">
        <f>IF(OR($AE17="",$AF17=""),"",IF(ISNUMBER(Sync!$P17),INT(MOD(Sync!$P17,10000)/100),IFERROR(VALUE(TRIM(LEFT(MID(Sync!$P17,FIND("/",Sync!$P17)+1,20),FIND("/",MID(Sync!$P17,FIND("/",Sync!$P17)+1,20))-1))),"")))</f>
        <v/>
      </c>
      <c r="AH17">
        <f>IF(OR($AE17="",$AF17=""),"",IF(ISNUMBER(Sync!$P17),MOD(Sync!$P17,100),IFERROR(VALUE(TRIM(MID(MID(Sync!$P17,FIND("/",Sync!$P17)+1,20),FIND("/",MID(Sync!$P17,FIND("/",Sync!$P17)+1,20))+1,20))),"")))</f>
        <v/>
      </c>
      <c r="AI17">
        <f>IF($AE17="","",IF(OR($AF17="",$AG17="",$AH17="",$AF17&lt;1300,$AF17&gt;1500,$AG17&lt;1,$AG17&gt;12,$AH17&lt;1,$AH17&gt;31),"نامعتبر",RIGHT("0000"&amp;$AF17,4)&amp;"/"&amp;RIGHT("00"&amp;$AG17,2)&amp;"/"&amp;RIGHT("00"&amp;$AH17,2)))</f>
        <v/>
      </c>
      <c r="AJ17">
        <f>IF($AE17="","",IF(Sync!$Q17="","0000",IF(AND(ISNUMBER(Sync!$Q17),Sync!$Q17&gt;=0,Sync!$Q17&lt;1),RIGHT("00"&amp;HOUR(Sync!$Q17),2)&amp;RIGHT("00"&amp;MINUTE(Sync!$Q17),2),IFERROR(RIGHT("00"&amp;VALUE(LEFT(Sync!$Q17,FIND(":",Sync!$Q17)-1)),2)&amp;RIGHT("00"&amp;VALUE(MID(Sync!$Q17,FIND(":",Sync!$Q17)+1,2)),2),"0000"))))</f>
        <v/>
      </c>
      <c r="AK17">
        <f>IF(OR($AE17="",$AI17="",$AI17="نامعتبر"),"",LEFT($AI17,4)&amp;MID($AI17,6,2)&amp;RIGHT($AI17,2)&amp;$AJ17&amp;"|"&amp;"3"&amp;RIGHT("00000"&amp;12,5))</f>
        <v/>
      </c>
      <c r="AL17">
        <f>IF($AK17="","",COUNTIFS(LdAParty,$AE17,LdAType,1,LdAKey,"&lt;"&amp;$AK17)+COUNTIFS(LdBMember,$AE17,LdBKey,"&lt;"&amp;$AK17)+COUNTIFS(LdCParty,$AE17,LdCKey,"&lt;"&amp;$AK17)+1)</f>
        <v/>
      </c>
      <c r="AM17">
        <f>IF($AL17="","",$AE17&amp;"|"&amp;RIGHT("000000"&amp;$AL17,6))</f>
        <v/>
      </c>
      <c r="AN17">
        <f>IF($AE17="","",IF(Sync!$W17="",0,Sync!$W17))</f>
        <v/>
      </c>
      <c r="AO17">
        <f>IF($AE17="","",IF(Sync!$X17="",0,Sync!$X17))</f>
        <v/>
      </c>
      <c r="AP17">
        <f>IF($AE17="","",Sync!$R17)</f>
        <v/>
      </c>
      <c r="AQ17">
        <f>IF($AE17="","",Sync!$Y17)</f>
        <v/>
      </c>
    </row>
    <row r="18">
      <c r="A18">
        <f>IF(OR(Wages!$B21="",Wages!$E21=""),"",Wages!$E21)</f>
        <v/>
      </c>
      <c r="B18">
        <f>IF($A18="","",IF(Wages!$C21="دستمزد گروهی",2,1))</f>
        <v/>
      </c>
      <c r="C18">
        <f>IF($A18="","",IF(ISNUMBER(Wages!$B21),IF(AND(Wages!$B21&gt;=10000101,Wages!$B21&lt;=99991231),INT(Wages!$B21/10000),""),IFERROR(VALUE(TRIM(LEFT(Wages!$B21,FIND("/",Wages!$B21)-1))),"")))</f>
        <v/>
      </c>
      <c r="D18">
        <f>IF(OR($A18="",$C18=""),"",IF(ISNUMBER(Wages!$B21),INT(MOD(Wages!$B21,10000)/100),IFERROR(VALUE(TRIM(LEFT(MID(Wages!$B21,FIND("/",Wages!$B21)+1,20),FIND("/",MID(Wages!$B21,FIND("/",Wages!$B21)+1,20))-1))),"")))</f>
        <v/>
      </c>
      <c r="E18">
        <f>IF(OR($A18="",$C18=""),"",IF(ISNUMBER(Wages!$B21),MOD(Wages!$B21,100),IFERROR(VALUE(TRIM(MID(MID(Wages!$B21,FIND("/",Wages!$B21)+1,20),FIND("/",MID(Wages!$B21,FIND("/",Wages!$B21)+1,20))+1,20))),"")))</f>
        <v/>
      </c>
      <c r="F18">
        <f>IF($A18="","",IF(OR($C18="",$D18="",$E18="",$C18&lt;1300,$C18&gt;1500,$D18&lt;1,$D18&gt;12,$E18&lt;1,$E18&gt;31),"نامعتبر",RIGHT("0000"&amp;$C18,4)&amp;"/"&amp;RIGHT("00"&amp;$D18,2)&amp;"/"&amp;RIGHT("00"&amp;$E18,2)))</f>
        <v/>
      </c>
      <c r="G18">
        <f>IF(OR($A18="",$F18="",$F18="نامعتبر"),"",LEFT($F18,4)&amp;MID($F18,6,2)&amp;RIGHT($F18,2)&amp;"0000"&amp;"|"&amp;"1"&amp;RIGHT("00000"&amp;13,5))</f>
        <v/>
      </c>
      <c r="H18">
        <f>IF(OR($B18&lt;&gt;1,$G18=""),"",COUNTIFS(LdAParty,$A18,LdAType,1,LdAKey,"&lt;"&amp;$G18)+COUNTIFS(LdBMember,$A18,LdBKey,"&lt;"&amp;$G18)+COUNTIFS(LdCParty,$A18,LdCKey,"&lt;"&amp;$G18)+1)</f>
        <v/>
      </c>
      <c r="I18">
        <f>IF($H18="","",$A18&amp;"|"&amp;RIGHT("000000"&amp;$H18,6))</f>
        <v/>
      </c>
      <c r="J18">
        <f>IF(OR($B18&lt;&gt;2,$G18=""),"",COUNTIFS(LdAParty,$A18,LdAType,2,LdAKey,"&lt;"&amp;$G18)+1)</f>
        <v/>
      </c>
      <c r="K18">
        <f>IF($J18="","",$A18&amp;"|"&amp;RIGHT("000000"&amp;$J18,6))</f>
        <v/>
      </c>
      <c r="L18">
        <f>IF($A18="","",IF(Wages!$G21="",0,Wages!$G21))</f>
        <v/>
      </c>
      <c r="M18">
        <f>IF($A18="","",Wages!$J21)</f>
        <v/>
      </c>
      <c r="N18">
        <f>IF($A18="","",Wages!$D21)</f>
        <v/>
      </c>
      <c r="P18">
        <f>IF(OR(Shares!$B21="",Shares!$C21=""),"",Shares!$C21)</f>
        <v/>
      </c>
      <c r="Q18">
        <f>IF($P18="","",Shares!$B21)</f>
        <v/>
      </c>
      <c r="R18">
        <f>IF($P18="","",IFERROR(INDEX(WageParty,MATCH($Q18,WageIds,0)),""))</f>
        <v/>
      </c>
      <c r="S18">
        <f>IF($P18="","",IFERROR(INDEX($F$6:$F$2005,MATCH($Q18,WageIds,0)),""))</f>
        <v/>
      </c>
      <c r="T18">
        <f>IF(OR($P18="",$S18="",$S18="نامعتبر"),"",LEFT($S18,4)&amp;MID($S18,6,2)&amp;RIGHT($S18,2)&amp;"0000"&amp;"|"&amp;"2"&amp;RIGHT("00000"&amp;13,5))</f>
        <v/>
      </c>
      <c r="U18">
        <f>IF($T18="","",COUNTIFS(LdAParty,$P18,LdAType,1,LdAKey,"&lt;"&amp;$T18)+COUNTIFS(LdBMember,$P18,LdBKey,"&lt;"&amp;$T18)+COUNTIFS(LdCParty,$P18,LdCKey,"&lt;"&amp;$T18)+1)</f>
        <v/>
      </c>
      <c r="V18">
        <f>IF($U18="","",$P18&amp;"|"&amp;RIGHT("000000"&amp;$U18,6))</f>
        <v/>
      </c>
      <c r="W18">
        <f>IF($T18="","",COUNTIFS(LdBGroup,$R18,LdBKey,"&lt;"&amp;$T18)+1)</f>
        <v/>
      </c>
      <c r="X18">
        <f>IF($W18="","",$R18&amp;"|"&amp;RIGHT("000000"&amp;$W18,6))</f>
        <v/>
      </c>
      <c r="Y18">
        <f>IF($P18="","",IF(Shares!$E21="",0,Shares!$E21))</f>
        <v/>
      </c>
      <c r="Z18">
        <f>IF($P18="","",Shares!$H21)</f>
        <v/>
      </c>
      <c r="AE18">
        <f>IF(OR(Sync!$S18="",Sync!$P18=""),"",Sync!$S18)</f>
        <v/>
      </c>
      <c r="AF18">
        <f>IF($AE18="","",IF(ISNUMBER(Sync!$P18),IF(AND(Sync!$P18&gt;=10000101,Sync!$P18&lt;=99991231),INT(Sync!$P18/10000),""),IFERROR(VALUE(TRIM(LEFT(Sync!$P18,FIND("/",Sync!$P18)-1))),"")))</f>
        <v/>
      </c>
      <c r="AG18">
        <f>IF(OR($AE18="",$AF18=""),"",IF(ISNUMBER(Sync!$P18),INT(MOD(Sync!$P18,10000)/100),IFERROR(VALUE(TRIM(LEFT(MID(Sync!$P18,FIND("/",Sync!$P18)+1,20),FIND("/",MID(Sync!$P18,FIND("/",Sync!$P18)+1,20))-1))),"")))</f>
        <v/>
      </c>
      <c r="AH18">
        <f>IF(OR($AE18="",$AF18=""),"",IF(ISNUMBER(Sync!$P18),MOD(Sync!$P18,100),IFERROR(VALUE(TRIM(MID(MID(Sync!$P18,FIND("/",Sync!$P18)+1,20),FIND("/",MID(Sync!$P18,FIND("/",Sync!$P18)+1,20))+1,20))),"")))</f>
        <v/>
      </c>
      <c r="AI18">
        <f>IF($AE18="","",IF(OR($AF18="",$AG18="",$AH18="",$AF18&lt;1300,$AF18&gt;1500,$AG18&lt;1,$AG18&gt;12,$AH18&lt;1,$AH18&gt;31),"نامعتبر",RIGHT("0000"&amp;$AF18,4)&amp;"/"&amp;RIGHT("00"&amp;$AG18,2)&amp;"/"&amp;RIGHT("00"&amp;$AH18,2)))</f>
        <v/>
      </c>
      <c r="AJ18">
        <f>IF($AE18="","",IF(Sync!$Q18="","0000",IF(AND(ISNUMBER(Sync!$Q18),Sync!$Q18&gt;=0,Sync!$Q18&lt;1),RIGHT("00"&amp;HOUR(Sync!$Q18),2)&amp;RIGHT("00"&amp;MINUTE(Sync!$Q18),2),IFERROR(RIGHT("00"&amp;VALUE(LEFT(Sync!$Q18,FIND(":",Sync!$Q18)-1)),2)&amp;RIGHT("00"&amp;VALUE(MID(Sync!$Q18,FIND(":",Sync!$Q18)+1,2)),2),"0000"))))</f>
        <v/>
      </c>
      <c r="AK18">
        <f>IF(OR($AE18="",$AI18="",$AI18="نامعتبر"),"",LEFT($AI18,4)&amp;MID($AI18,6,2)&amp;RIGHT($AI18,2)&amp;$AJ18&amp;"|"&amp;"3"&amp;RIGHT("00000"&amp;13,5))</f>
        <v/>
      </c>
      <c r="AL18">
        <f>IF($AK18="","",COUNTIFS(LdAParty,$AE18,LdAType,1,LdAKey,"&lt;"&amp;$AK18)+COUNTIFS(LdBMember,$AE18,LdBKey,"&lt;"&amp;$AK18)+COUNTIFS(LdCParty,$AE18,LdCKey,"&lt;"&amp;$AK18)+1)</f>
        <v/>
      </c>
      <c r="AM18">
        <f>IF($AL18="","",$AE18&amp;"|"&amp;RIGHT("000000"&amp;$AL18,6))</f>
        <v/>
      </c>
      <c r="AN18">
        <f>IF($AE18="","",IF(Sync!$W18="",0,Sync!$W18))</f>
        <v/>
      </c>
      <c r="AO18">
        <f>IF($AE18="","",IF(Sync!$X18="",0,Sync!$X18))</f>
        <v/>
      </c>
      <c r="AP18">
        <f>IF($AE18="","",Sync!$R18)</f>
        <v/>
      </c>
      <c r="AQ18">
        <f>IF($AE18="","",Sync!$Y18)</f>
        <v/>
      </c>
    </row>
    <row r="19">
      <c r="A19">
        <f>IF(OR(Wages!$B22="",Wages!$E22=""),"",Wages!$E22)</f>
        <v/>
      </c>
      <c r="B19">
        <f>IF($A19="","",IF(Wages!$C22="دستمزد گروهی",2,1))</f>
        <v/>
      </c>
      <c r="C19">
        <f>IF($A19="","",IF(ISNUMBER(Wages!$B22),IF(AND(Wages!$B22&gt;=10000101,Wages!$B22&lt;=99991231),INT(Wages!$B22/10000),""),IFERROR(VALUE(TRIM(LEFT(Wages!$B22,FIND("/",Wages!$B22)-1))),"")))</f>
        <v/>
      </c>
      <c r="D19">
        <f>IF(OR($A19="",$C19=""),"",IF(ISNUMBER(Wages!$B22),INT(MOD(Wages!$B22,10000)/100),IFERROR(VALUE(TRIM(LEFT(MID(Wages!$B22,FIND("/",Wages!$B22)+1,20),FIND("/",MID(Wages!$B22,FIND("/",Wages!$B22)+1,20))-1))),"")))</f>
        <v/>
      </c>
      <c r="E19">
        <f>IF(OR($A19="",$C19=""),"",IF(ISNUMBER(Wages!$B22),MOD(Wages!$B22,100),IFERROR(VALUE(TRIM(MID(MID(Wages!$B22,FIND("/",Wages!$B22)+1,20),FIND("/",MID(Wages!$B22,FIND("/",Wages!$B22)+1,20))+1,20))),"")))</f>
        <v/>
      </c>
      <c r="F19">
        <f>IF($A19="","",IF(OR($C19="",$D19="",$E19="",$C19&lt;1300,$C19&gt;1500,$D19&lt;1,$D19&gt;12,$E19&lt;1,$E19&gt;31),"نامعتبر",RIGHT("0000"&amp;$C19,4)&amp;"/"&amp;RIGHT("00"&amp;$D19,2)&amp;"/"&amp;RIGHT("00"&amp;$E19,2)))</f>
        <v/>
      </c>
      <c r="G19">
        <f>IF(OR($A19="",$F19="",$F19="نامعتبر"),"",LEFT($F19,4)&amp;MID($F19,6,2)&amp;RIGHT($F19,2)&amp;"0000"&amp;"|"&amp;"1"&amp;RIGHT("00000"&amp;14,5))</f>
        <v/>
      </c>
      <c r="H19">
        <f>IF(OR($B19&lt;&gt;1,$G19=""),"",COUNTIFS(LdAParty,$A19,LdAType,1,LdAKey,"&lt;"&amp;$G19)+COUNTIFS(LdBMember,$A19,LdBKey,"&lt;"&amp;$G19)+COUNTIFS(LdCParty,$A19,LdCKey,"&lt;"&amp;$G19)+1)</f>
        <v/>
      </c>
      <c r="I19">
        <f>IF($H19="","",$A19&amp;"|"&amp;RIGHT("000000"&amp;$H19,6))</f>
        <v/>
      </c>
      <c r="J19">
        <f>IF(OR($B19&lt;&gt;2,$G19=""),"",COUNTIFS(LdAParty,$A19,LdAType,2,LdAKey,"&lt;"&amp;$G19)+1)</f>
        <v/>
      </c>
      <c r="K19">
        <f>IF($J19="","",$A19&amp;"|"&amp;RIGHT("000000"&amp;$J19,6))</f>
        <v/>
      </c>
      <c r="L19">
        <f>IF($A19="","",IF(Wages!$G22="",0,Wages!$G22))</f>
        <v/>
      </c>
      <c r="M19">
        <f>IF($A19="","",Wages!$J22)</f>
        <v/>
      </c>
      <c r="N19">
        <f>IF($A19="","",Wages!$D22)</f>
        <v/>
      </c>
      <c r="P19">
        <f>IF(OR(Shares!$B22="",Shares!$C22=""),"",Shares!$C22)</f>
        <v/>
      </c>
      <c r="Q19">
        <f>IF($P19="","",Shares!$B22)</f>
        <v/>
      </c>
      <c r="R19">
        <f>IF($P19="","",IFERROR(INDEX(WageParty,MATCH($Q19,WageIds,0)),""))</f>
        <v/>
      </c>
      <c r="S19">
        <f>IF($P19="","",IFERROR(INDEX($F$6:$F$2005,MATCH($Q19,WageIds,0)),""))</f>
        <v/>
      </c>
      <c r="T19">
        <f>IF(OR($P19="",$S19="",$S19="نامعتبر"),"",LEFT($S19,4)&amp;MID($S19,6,2)&amp;RIGHT($S19,2)&amp;"0000"&amp;"|"&amp;"2"&amp;RIGHT("00000"&amp;14,5))</f>
        <v/>
      </c>
      <c r="U19">
        <f>IF($T19="","",COUNTIFS(LdAParty,$P19,LdAType,1,LdAKey,"&lt;"&amp;$T19)+COUNTIFS(LdBMember,$P19,LdBKey,"&lt;"&amp;$T19)+COUNTIFS(LdCParty,$P19,LdCKey,"&lt;"&amp;$T19)+1)</f>
        <v/>
      </c>
      <c r="V19">
        <f>IF($U19="","",$P19&amp;"|"&amp;RIGHT("000000"&amp;$U19,6))</f>
        <v/>
      </c>
      <c r="W19">
        <f>IF($T19="","",COUNTIFS(LdBGroup,$R19,LdBKey,"&lt;"&amp;$T19)+1)</f>
        <v/>
      </c>
      <c r="X19">
        <f>IF($W19="","",$R19&amp;"|"&amp;RIGHT("000000"&amp;$W19,6))</f>
        <v/>
      </c>
      <c r="Y19">
        <f>IF($P19="","",IF(Shares!$E22="",0,Shares!$E22))</f>
        <v/>
      </c>
      <c r="Z19">
        <f>IF($P19="","",Shares!$H22)</f>
        <v/>
      </c>
      <c r="AE19">
        <f>IF(OR(Sync!$S19="",Sync!$P19=""),"",Sync!$S19)</f>
        <v/>
      </c>
      <c r="AF19">
        <f>IF($AE19="","",IF(ISNUMBER(Sync!$P19),IF(AND(Sync!$P19&gt;=10000101,Sync!$P19&lt;=99991231),INT(Sync!$P19/10000),""),IFERROR(VALUE(TRIM(LEFT(Sync!$P19,FIND("/",Sync!$P19)-1))),"")))</f>
        <v/>
      </c>
      <c r="AG19">
        <f>IF(OR($AE19="",$AF19=""),"",IF(ISNUMBER(Sync!$P19),INT(MOD(Sync!$P19,10000)/100),IFERROR(VALUE(TRIM(LEFT(MID(Sync!$P19,FIND("/",Sync!$P19)+1,20),FIND("/",MID(Sync!$P19,FIND("/",Sync!$P19)+1,20))-1))),"")))</f>
        <v/>
      </c>
      <c r="AH19">
        <f>IF(OR($AE19="",$AF19=""),"",IF(ISNUMBER(Sync!$P19),MOD(Sync!$P19,100),IFERROR(VALUE(TRIM(MID(MID(Sync!$P19,FIND("/",Sync!$P19)+1,20),FIND("/",MID(Sync!$P19,FIND("/",Sync!$P19)+1,20))+1,20))),"")))</f>
        <v/>
      </c>
      <c r="AI19">
        <f>IF($AE19="","",IF(OR($AF19="",$AG19="",$AH19="",$AF19&lt;1300,$AF19&gt;1500,$AG19&lt;1,$AG19&gt;12,$AH19&lt;1,$AH19&gt;31),"نامعتبر",RIGHT("0000"&amp;$AF19,4)&amp;"/"&amp;RIGHT("00"&amp;$AG19,2)&amp;"/"&amp;RIGHT("00"&amp;$AH19,2)))</f>
        <v/>
      </c>
      <c r="AJ19">
        <f>IF($AE19="","",IF(Sync!$Q19="","0000",IF(AND(ISNUMBER(Sync!$Q19),Sync!$Q19&gt;=0,Sync!$Q19&lt;1),RIGHT("00"&amp;HOUR(Sync!$Q19),2)&amp;RIGHT("00"&amp;MINUTE(Sync!$Q19),2),IFERROR(RIGHT("00"&amp;VALUE(LEFT(Sync!$Q19,FIND(":",Sync!$Q19)-1)),2)&amp;RIGHT("00"&amp;VALUE(MID(Sync!$Q19,FIND(":",Sync!$Q19)+1,2)),2),"0000"))))</f>
        <v/>
      </c>
      <c r="AK19">
        <f>IF(OR($AE19="",$AI19="",$AI19="نامعتبر"),"",LEFT($AI19,4)&amp;MID($AI19,6,2)&amp;RIGHT($AI19,2)&amp;$AJ19&amp;"|"&amp;"3"&amp;RIGHT("00000"&amp;14,5))</f>
        <v/>
      </c>
      <c r="AL19">
        <f>IF($AK19="","",COUNTIFS(LdAParty,$AE19,LdAType,1,LdAKey,"&lt;"&amp;$AK19)+COUNTIFS(LdBMember,$AE19,LdBKey,"&lt;"&amp;$AK19)+COUNTIFS(LdCParty,$AE19,LdCKey,"&lt;"&amp;$AK19)+1)</f>
        <v/>
      </c>
      <c r="AM19">
        <f>IF($AL19="","",$AE19&amp;"|"&amp;RIGHT("000000"&amp;$AL19,6))</f>
        <v/>
      </c>
      <c r="AN19">
        <f>IF($AE19="","",IF(Sync!$W19="",0,Sync!$W19))</f>
        <v/>
      </c>
      <c r="AO19">
        <f>IF($AE19="","",IF(Sync!$X19="",0,Sync!$X19))</f>
        <v/>
      </c>
      <c r="AP19">
        <f>IF($AE19="","",Sync!$R19)</f>
        <v/>
      </c>
      <c r="AQ19">
        <f>IF($AE19="","",Sync!$Y19)</f>
        <v/>
      </c>
    </row>
    <row r="20">
      <c r="A20">
        <f>IF(OR(Wages!$B23="",Wages!$E23=""),"",Wages!$E23)</f>
        <v/>
      </c>
      <c r="B20">
        <f>IF($A20="","",IF(Wages!$C23="دستمزد گروهی",2,1))</f>
        <v/>
      </c>
      <c r="C20">
        <f>IF($A20="","",IF(ISNUMBER(Wages!$B23),IF(AND(Wages!$B23&gt;=10000101,Wages!$B23&lt;=99991231),INT(Wages!$B23/10000),""),IFERROR(VALUE(TRIM(LEFT(Wages!$B23,FIND("/",Wages!$B23)-1))),"")))</f>
        <v/>
      </c>
      <c r="D20">
        <f>IF(OR($A20="",$C20=""),"",IF(ISNUMBER(Wages!$B23),INT(MOD(Wages!$B23,10000)/100),IFERROR(VALUE(TRIM(LEFT(MID(Wages!$B23,FIND("/",Wages!$B23)+1,20),FIND("/",MID(Wages!$B23,FIND("/",Wages!$B23)+1,20))-1))),"")))</f>
        <v/>
      </c>
      <c r="E20">
        <f>IF(OR($A20="",$C20=""),"",IF(ISNUMBER(Wages!$B23),MOD(Wages!$B23,100),IFERROR(VALUE(TRIM(MID(MID(Wages!$B23,FIND("/",Wages!$B23)+1,20),FIND("/",MID(Wages!$B23,FIND("/",Wages!$B23)+1,20))+1,20))),"")))</f>
        <v/>
      </c>
      <c r="F20">
        <f>IF($A20="","",IF(OR($C20="",$D20="",$E20="",$C20&lt;1300,$C20&gt;1500,$D20&lt;1,$D20&gt;12,$E20&lt;1,$E20&gt;31),"نامعتبر",RIGHT("0000"&amp;$C20,4)&amp;"/"&amp;RIGHT("00"&amp;$D20,2)&amp;"/"&amp;RIGHT("00"&amp;$E20,2)))</f>
        <v/>
      </c>
      <c r="G20">
        <f>IF(OR($A20="",$F20="",$F20="نامعتبر"),"",LEFT($F20,4)&amp;MID($F20,6,2)&amp;RIGHT($F20,2)&amp;"0000"&amp;"|"&amp;"1"&amp;RIGHT("00000"&amp;15,5))</f>
        <v/>
      </c>
      <c r="H20">
        <f>IF(OR($B20&lt;&gt;1,$G20=""),"",COUNTIFS(LdAParty,$A20,LdAType,1,LdAKey,"&lt;"&amp;$G20)+COUNTIFS(LdBMember,$A20,LdBKey,"&lt;"&amp;$G20)+COUNTIFS(LdCParty,$A20,LdCKey,"&lt;"&amp;$G20)+1)</f>
        <v/>
      </c>
      <c r="I20">
        <f>IF($H20="","",$A20&amp;"|"&amp;RIGHT("000000"&amp;$H20,6))</f>
        <v/>
      </c>
      <c r="J20">
        <f>IF(OR($B20&lt;&gt;2,$G20=""),"",COUNTIFS(LdAParty,$A20,LdAType,2,LdAKey,"&lt;"&amp;$G20)+1)</f>
        <v/>
      </c>
      <c r="K20">
        <f>IF($J20="","",$A20&amp;"|"&amp;RIGHT("000000"&amp;$J20,6))</f>
        <v/>
      </c>
      <c r="L20">
        <f>IF($A20="","",IF(Wages!$G23="",0,Wages!$G23))</f>
        <v/>
      </c>
      <c r="M20">
        <f>IF($A20="","",Wages!$J23)</f>
        <v/>
      </c>
      <c r="N20">
        <f>IF($A20="","",Wages!$D23)</f>
        <v/>
      </c>
      <c r="P20">
        <f>IF(OR(Shares!$B23="",Shares!$C23=""),"",Shares!$C23)</f>
        <v/>
      </c>
      <c r="Q20">
        <f>IF($P20="","",Shares!$B23)</f>
        <v/>
      </c>
      <c r="R20">
        <f>IF($P20="","",IFERROR(INDEX(WageParty,MATCH($Q20,WageIds,0)),""))</f>
        <v/>
      </c>
      <c r="S20">
        <f>IF($P20="","",IFERROR(INDEX($F$6:$F$2005,MATCH($Q20,WageIds,0)),""))</f>
        <v/>
      </c>
      <c r="T20">
        <f>IF(OR($P20="",$S20="",$S20="نامعتبر"),"",LEFT($S20,4)&amp;MID($S20,6,2)&amp;RIGHT($S20,2)&amp;"0000"&amp;"|"&amp;"2"&amp;RIGHT("00000"&amp;15,5))</f>
        <v/>
      </c>
      <c r="U20">
        <f>IF($T20="","",COUNTIFS(LdAParty,$P20,LdAType,1,LdAKey,"&lt;"&amp;$T20)+COUNTIFS(LdBMember,$P20,LdBKey,"&lt;"&amp;$T20)+COUNTIFS(LdCParty,$P20,LdCKey,"&lt;"&amp;$T20)+1)</f>
        <v/>
      </c>
      <c r="V20">
        <f>IF($U20="","",$P20&amp;"|"&amp;RIGHT("000000"&amp;$U20,6))</f>
        <v/>
      </c>
      <c r="W20">
        <f>IF($T20="","",COUNTIFS(LdBGroup,$R20,LdBKey,"&lt;"&amp;$T20)+1)</f>
        <v/>
      </c>
      <c r="X20">
        <f>IF($W20="","",$R20&amp;"|"&amp;RIGHT("000000"&amp;$W20,6))</f>
        <v/>
      </c>
      <c r="Y20">
        <f>IF($P20="","",IF(Shares!$E23="",0,Shares!$E23))</f>
        <v/>
      </c>
      <c r="Z20">
        <f>IF($P20="","",Shares!$H23)</f>
        <v/>
      </c>
      <c r="AE20">
        <f>IF(OR(Sync!$S20="",Sync!$P20=""),"",Sync!$S20)</f>
        <v/>
      </c>
      <c r="AF20">
        <f>IF($AE20="","",IF(ISNUMBER(Sync!$P20),IF(AND(Sync!$P20&gt;=10000101,Sync!$P20&lt;=99991231),INT(Sync!$P20/10000),""),IFERROR(VALUE(TRIM(LEFT(Sync!$P20,FIND("/",Sync!$P20)-1))),"")))</f>
        <v/>
      </c>
      <c r="AG20">
        <f>IF(OR($AE20="",$AF20=""),"",IF(ISNUMBER(Sync!$P20),INT(MOD(Sync!$P20,10000)/100),IFERROR(VALUE(TRIM(LEFT(MID(Sync!$P20,FIND("/",Sync!$P20)+1,20),FIND("/",MID(Sync!$P20,FIND("/",Sync!$P20)+1,20))-1))),"")))</f>
        <v/>
      </c>
      <c r="AH20">
        <f>IF(OR($AE20="",$AF20=""),"",IF(ISNUMBER(Sync!$P20),MOD(Sync!$P20,100),IFERROR(VALUE(TRIM(MID(MID(Sync!$P20,FIND("/",Sync!$P20)+1,20),FIND("/",MID(Sync!$P20,FIND("/",Sync!$P20)+1,20))+1,20))),"")))</f>
        <v/>
      </c>
      <c r="AI20">
        <f>IF($AE20="","",IF(OR($AF20="",$AG20="",$AH20="",$AF20&lt;1300,$AF20&gt;1500,$AG20&lt;1,$AG20&gt;12,$AH20&lt;1,$AH20&gt;31),"نامعتبر",RIGHT("0000"&amp;$AF20,4)&amp;"/"&amp;RIGHT("00"&amp;$AG20,2)&amp;"/"&amp;RIGHT("00"&amp;$AH20,2)))</f>
        <v/>
      </c>
      <c r="AJ20">
        <f>IF($AE20="","",IF(Sync!$Q20="","0000",IF(AND(ISNUMBER(Sync!$Q20),Sync!$Q20&gt;=0,Sync!$Q20&lt;1),RIGHT("00"&amp;HOUR(Sync!$Q20),2)&amp;RIGHT("00"&amp;MINUTE(Sync!$Q20),2),IFERROR(RIGHT("00"&amp;VALUE(LEFT(Sync!$Q20,FIND(":",Sync!$Q20)-1)),2)&amp;RIGHT("00"&amp;VALUE(MID(Sync!$Q20,FIND(":",Sync!$Q20)+1,2)),2),"0000"))))</f>
        <v/>
      </c>
      <c r="AK20">
        <f>IF(OR($AE20="",$AI20="",$AI20="نامعتبر"),"",LEFT($AI20,4)&amp;MID($AI20,6,2)&amp;RIGHT($AI20,2)&amp;$AJ20&amp;"|"&amp;"3"&amp;RIGHT("00000"&amp;15,5))</f>
        <v/>
      </c>
      <c r="AL20">
        <f>IF($AK20="","",COUNTIFS(LdAParty,$AE20,LdAType,1,LdAKey,"&lt;"&amp;$AK20)+COUNTIFS(LdBMember,$AE20,LdBKey,"&lt;"&amp;$AK20)+COUNTIFS(LdCParty,$AE20,LdCKey,"&lt;"&amp;$AK20)+1)</f>
        <v/>
      </c>
      <c r="AM20">
        <f>IF($AL20="","",$AE20&amp;"|"&amp;RIGHT("000000"&amp;$AL20,6))</f>
        <v/>
      </c>
      <c r="AN20">
        <f>IF($AE20="","",IF(Sync!$W20="",0,Sync!$W20))</f>
        <v/>
      </c>
      <c r="AO20">
        <f>IF($AE20="","",IF(Sync!$X20="",0,Sync!$X20))</f>
        <v/>
      </c>
      <c r="AP20">
        <f>IF($AE20="","",Sync!$R20)</f>
        <v/>
      </c>
      <c r="AQ20">
        <f>IF($AE20="","",Sync!$Y20)</f>
        <v/>
      </c>
    </row>
    <row r="21">
      <c r="A21">
        <f>IF(OR(Wages!$B24="",Wages!$E24=""),"",Wages!$E24)</f>
        <v/>
      </c>
      <c r="B21">
        <f>IF($A21="","",IF(Wages!$C24="دستمزد گروهی",2,1))</f>
        <v/>
      </c>
      <c r="C21">
        <f>IF($A21="","",IF(ISNUMBER(Wages!$B24),IF(AND(Wages!$B24&gt;=10000101,Wages!$B24&lt;=99991231),INT(Wages!$B24/10000),""),IFERROR(VALUE(TRIM(LEFT(Wages!$B24,FIND("/",Wages!$B24)-1))),"")))</f>
        <v/>
      </c>
      <c r="D21">
        <f>IF(OR($A21="",$C21=""),"",IF(ISNUMBER(Wages!$B24),INT(MOD(Wages!$B24,10000)/100),IFERROR(VALUE(TRIM(LEFT(MID(Wages!$B24,FIND("/",Wages!$B24)+1,20),FIND("/",MID(Wages!$B24,FIND("/",Wages!$B24)+1,20))-1))),"")))</f>
        <v/>
      </c>
      <c r="E21">
        <f>IF(OR($A21="",$C21=""),"",IF(ISNUMBER(Wages!$B24),MOD(Wages!$B24,100),IFERROR(VALUE(TRIM(MID(MID(Wages!$B24,FIND("/",Wages!$B24)+1,20),FIND("/",MID(Wages!$B24,FIND("/",Wages!$B24)+1,20))+1,20))),"")))</f>
        <v/>
      </c>
      <c r="F21">
        <f>IF($A21="","",IF(OR($C21="",$D21="",$E21="",$C21&lt;1300,$C21&gt;1500,$D21&lt;1,$D21&gt;12,$E21&lt;1,$E21&gt;31),"نامعتبر",RIGHT("0000"&amp;$C21,4)&amp;"/"&amp;RIGHT("00"&amp;$D21,2)&amp;"/"&amp;RIGHT("00"&amp;$E21,2)))</f>
        <v/>
      </c>
      <c r="G21">
        <f>IF(OR($A21="",$F21="",$F21="نامعتبر"),"",LEFT($F21,4)&amp;MID($F21,6,2)&amp;RIGHT($F21,2)&amp;"0000"&amp;"|"&amp;"1"&amp;RIGHT("00000"&amp;16,5))</f>
        <v/>
      </c>
      <c r="H21">
        <f>IF(OR($B21&lt;&gt;1,$G21=""),"",COUNTIFS(LdAParty,$A21,LdAType,1,LdAKey,"&lt;"&amp;$G21)+COUNTIFS(LdBMember,$A21,LdBKey,"&lt;"&amp;$G21)+COUNTIFS(LdCParty,$A21,LdCKey,"&lt;"&amp;$G21)+1)</f>
        <v/>
      </c>
      <c r="I21">
        <f>IF($H21="","",$A21&amp;"|"&amp;RIGHT("000000"&amp;$H21,6))</f>
        <v/>
      </c>
      <c r="J21">
        <f>IF(OR($B21&lt;&gt;2,$G21=""),"",COUNTIFS(LdAParty,$A21,LdAType,2,LdAKey,"&lt;"&amp;$G21)+1)</f>
        <v/>
      </c>
      <c r="K21">
        <f>IF($J21="","",$A21&amp;"|"&amp;RIGHT("000000"&amp;$J21,6))</f>
        <v/>
      </c>
      <c r="L21">
        <f>IF($A21="","",IF(Wages!$G24="",0,Wages!$G24))</f>
        <v/>
      </c>
      <c r="M21">
        <f>IF($A21="","",Wages!$J24)</f>
        <v/>
      </c>
      <c r="N21">
        <f>IF($A21="","",Wages!$D24)</f>
        <v/>
      </c>
      <c r="P21">
        <f>IF(OR(Shares!$B24="",Shares!$C24=""),"",Shares!$C24)</f>
        <v/>
      </c>
      <c r="Q21">
        <f>IF($P21="","",Shares!$B24)</f>
        <v/>
      </c>
      <c r="R21">
        <f>IF($P21="","",IFERROR(INDEX(WageParty,MATCH($Q21,WageIds,0)),""))</f>
        <v/>
      </c>
      <c r="S21">
        <f>IF($P21="","",IFERROR(INDEX($F$6:$F$2005,MATCH($Q21,WageIds,0)),""))</f>
        <v/>
      </c>
      <c r="T21">
        <f>IF(OR($P21="",$S21="",$S21="نامعتبر"),"",LEFT($S21,4)&amp;MID($S21,6,2)&amp;RIGHT($S21,2)&amp;"0000"&amp;"|"&amp;"2"&amp;RIGHT("00000"&amp;16,5))</f>
        <v/>
      </c>
      <c r="U21">
        <f>IF($T21="","",COUNTIFS(LdAParty,$P21,LdAType,1,LdAKey,"&lt;"&amp;$T21)+COUNTIFS(LdBMember,$P21,LdBKey,"&lt;"&amp;$T21)+COUNTIFS(LdCParty,$P21,LdCKey,"&lt;"&amp;$T21)+1)</f>
        <v/>
      </c>
      <c r="V21">
        <f>IF($U21="","",$P21&amp;"|"&amp;RIGHT("000000"&amp;$U21,6))</f>
        <v/>
      </c>
      <c r="W21">
        <f>IF($T21="","",COUNTIFS(LdBGroup,$R21,LdBKey,"&lt;"&amp;$T21)+1)</f>
        <v/>
      </c>
      <c r="X21">
        <f>IF($W21="","",$R21&amp;"|"&amp;RIGHT("000000"&amp;$W21,6))</f>
        <v/>
      </c>
      <c r="Y21">
        <f>IF($P21="","",IF(Shares!$E24="",0,Shares!$E24))</f>
        <v/>
      </c>
      <c r="Z21">
        <f>IF($P21="","",Shares!$H24)</f>
        <v/>
      </c>
      <c r="AE21">
        <f>IF(OR(Sync!$S21="",Sync!$P21=""),"",Sync!$S21)</f>
        <v/>
      </c>
      <c r="AF21">
        <f>IF($AE21="","",IF(ISNUMBER(Sync!$P21),IF(AND(Sync!$P21&gt;=10000101,Sync!$P21&lt;=99991231),INT(Sync!$P21/10000),""),IFERROR(VALUE(TRIM(LEFT(Sync!$P21,FIND("/",Sync!$P21)-1))),"")))</f>
        <v/>
      </c>
      <c r="AG21">
        <f>IF(OR($AE21="",$AF21=""),"",IF(ISNUMBER(Sync!$P21),INT(MOD(Sync!$P21,10000)/100),IFERROR(VALUE(TRIM(LEFT(MID(Sync!$P21,FIND("/",Sync!$P21)+1,20),FIND("/",MID(Sync!$P21,FIND("/",Sync!$P21)+1,20))-1))),"")))</f>
        <v/>
      </c>
      <c r="AH21">
        <f>IF(OR($AE21="",$AF21=""),"",IF(ISNUMBER(Sync!$P21),MOD(Sync!$P21,100),IFERROR(VALUE(TRIM(MID(MID(Sync!$P21,FIND("/",Sync!$P21)+1,20),FIND("/",MID(Sync!$P21,FIND("/",Sync!$P21)+1,20))+1,20))),"")))</f>
        <v/>
      </c>
      <c r="AI21">
        <f>IF($AE21="","",IF(OR($AF21="",$AG21="",$AH21="",$AF21&lt;1300,$AF21&gt;1500,$AG21&lt;1,$AG21&gt;12,$AH21&lt;1,$AH21&gt;31),"نامعتبر",RIGHT("0000"&amp;$AF21,4)&amp;"/"&amp;RIGHT("00"&amp;$AG21,2)&amp;"/"&amp;RIGHT("00"&amp;$AH21,2)))</f>
        <v/>
      </c>
      <c r="AJ21">
        <f>IF($AE21="","",IF(Sync!$Q21="","0000",IF(AND(ISNUMBER(Sync!$Q21),Sync!$Q21&gt;=0,Sync!$Q21&lt;1),RIGHT("00"&amp;HOUR(Sync!$Q21),2)&amp;RIGHT("00"&amp;MINUTE(Sync!$Q21),2),IFERROR(RIGHT("00"&amp;VALUE(LEFT(Sync!$Q21,FIND(":",Sync!$Q21)-1)),2)&amp;RIGHT("00"&amp;VALUE(MID(Sync!$Q21,FIND(":",Sync!$Q21)+1,2)),2),"0000"))))</f>
        <v/>
      </c>
      <c r="AK21">
        <f>IF(OR($AE21="",$AI21="",$AI21="نامعتبر"),"",LEFT($AI21,4)&amp;MID($AI21,6,2)&amp;RIGHT($AI21,2)&amp;$AJ21&amp;"|"&amp;"3"&amp;RIGHT("00000"&amp;16,5))</f>
        <v/>
      </c>
      <c r="AL21">
        <f>IF($AK21="","",COUNTIFS(LdAParty,$AE21,LdAType,1,LdAKey,"&lt;"&amp;$AK21)+COUNTIFS(LdBMember,$AE21,LdBKey,"&lt;"&amp;$AK21)+COUNTIFS(LdCParty,$AE21,LdCKey,"&lt;"&amp;$AK21)+1)</f>
        <v/>
      </c>
      <c r="AM21">
        <f>IF($AL21="","",$AE21&amp;"|"&amp;RIGHT("000000"&amp;$AL21,6))</f>
        <v/>
      </c>
      <c r="AN21">
        <f>IF($AE21="","",IF(Sync!$W21="",0,Sync!$W21))</f>
        <v/>
      </c>
      <c r="AO21">
        <f>IF($AE21="","",IF(Sync!$X21="",0,Sync!$X21))</f>
        <v/>
      </c>
      <c r="AP21">
        <f>IF($AE21="","",Sync!$R21)</f>
        <v/>
      </c>
      <c r="AQ21">
        <f>IF($AE21="","",Sync!$Y21)</f>
        <v/>
      </c>
    </row>
    <row r="22">
      <c r="A22">
        <f>IF(OR(Wages!$B25="",Wages!$E25=""),"",Wages!$E25)</f>
        <v/>
      </c>
      <c r="B22">
        <f>IF($A22="","",IF(Wages!$C25="دستمزد گروهی",2,1))</f>
        <v/>
      </c>
      <c r="C22">
        <f>IF($A22="","",IF(ISNUMBER(Wages!$B25),IF(AND(Wages!$B25&gt;=10000101,Wages!$B25&lt;=99991231),INT(Wages!$B25/10000),""),IFERROR(VALUE(TRIM(LEFT(Wages!$B25,FIND("/",Wages!$B25)-1))),"")))</f>
        <v/>
      </c>
      <c r="D22">
        <f>IF(OR($A22="",$C22=""),"",IF(ISNUMBER(Wages!$B25),INT(MOD(Wages!$B25,10000)/100),IFERROR(VALUE(TRIM(LEFT(MID(Wages!$B25,FIND("/",Wages!$B25)+1,20),FIND("/",MID(Wages!$B25,FIND("/",Wages!$B25)+1,20))-1))),"")))</f>
        <v/>
      </c>
      <c r="E22">
        <f>IF(OR($A22="",$C22=""),"",IF(ISNUMBER(Wages!$B25),MOD(Wages!$B25,100),IFERROR(VALUE(TRIM(MID(MID(Wages!$B25,FIND("/",Wages!$B25)+1,20),FIND("/",MID(Wages!$B25,FIND("/",Wages!$B25)+1,20))+1,20))),"")))</f>
        <v/>
      </c>
      <c r="F22">
        <f>IF($A22="","",IF(OR($C22="",$D22="",$E22="",$C22&lt;1300,$C22&gt;1500,$D22&lt;1,$D22&gt;12,$E22&lt;1,$E22&gt;31),"نامعتبر",RIGHT("0000"&amp;$C22,4)&amp;"/"&amp;RIGHT("00"&amp;$D22,2)&amp;"/"&amp;RIGHT("00"&amp;$E22,2)))</f>
        <v/>
      </c>
      <c r="G22">
        <f>IF(OR($A22="",$F22="",$F22="نامعتبر"),"",LEFT($F22,4)&amp;MID($F22,6,2)&amp;RIGHT($F22,2)&amp;"0000"&amp;"|"&amp;"1"&amp;RIGHT("00000"&amp;17,5))</f>
        <v/>
      </c>
      <c r="H22">
        <f>IF(OR($B22&lt;&gt;1,$G22=""),"",COUNTIFS(LdAParty,$A22,LdAType,1,LdAKey,"&lt;"&amp;$G22)+COUNTIFS(LdBMember,$A22,LdBKey,"&lt;"&amp;$G22)+COUNTIFS(LdCParty,$A22,LdCKey,"&lt;"&amp;$G22)+1)</f>
        <v/>
      </c>
      <c r="I22">
        <f>IF($H22="","",$A22&amp;"|"&amp;RIGHT("000000"&amp;$H22,6))</f>
        <v/>
      </c>
      <c r="J22">
        <f>IF(OR($B22&lt;&gt;2,$G22=""),"",COUNTIFS(LdAParty,$A22,LdAType,2,LdAKey,"&lt;"&amp;$G22)+1)</f>
        <v/>
      </c>
      <c r="K22">
        <f>IF($J22="","",$A22&amp;"|"&amp;RIGHT("000000"&amp;$J22,6))</f>
        <v/>
      </c>
      <c r="L22">
        <f>IF($A22="","",IF(Wages!$G25="",0,Wages!$G25))</f>
        <v/>
      </c>
      <c r="M22">
        <f>IF($A22="","",Wages!$J25)</f>
        <v/>
      </c>
      <c r="N22">
        <f>IF($A22="","",Wages!$D25)</f>
        <v/>
      </c>
      <c r="P22">
        <f>IF(OR(Shares!$B25="",Shares!$C25=""),"",Shares!$C25)</f>
        <v/>
      </c>
      <c r="Q22">
        <f>IF($P22="","",Shares!$B25)</f>
        <v/>
      </c>
      <c r="R22">
        <f>IF($P22="","",IFERROR(INDEX(WageParty,MATCH($Q22,WageIds,0)),""))</f>
        <v/>
      </c>
      <c r="S22">
        <f>IF($P22="","",IFERROR(INDEX($F$6:$F$2005,MATCH($Q22,WageIds,0)),""))</f>
        <v/>
      </c>
      <c r="T22">
        <f>IF(OR($P22="",$S22="",$S22="نامعتبر"),"",LEFT($S22,4)&amp;MID($S22,6,2)&amp;RIGHT($S22,2)&amp;"0000"&amp;"|"&amp;"2"&amp;RIGHT("00000"&amp;17,5))</f>
        <v/>
      </c>
      <c r="U22">
        <f>IF($T22="","",COUNTIFS(LdAParty,$P22,LdAType,1,LdAKey,"&lt;"&amp;$T22)+COUNTIFS(LdBMember,$P22,LdBKey,"&lt;"&amp;$T22)+COUNTIFS(LdCParty,$P22,LdCKey,"&lt;"&amp;$T22)+1)</f>
        <v/>
      </c>
      <c r="V22">
        <f>IF($U22="","",$P22&amp;"|"&amp;RIGHT("000000"&amp;$U22,6))</f>
        <v/>
      </c>
      <c r="W22">
        <f>IF($T22="","",COUNTIFS(LdBGroup,$R22,LdBKey,"&lt;"&amp;$T22)+1)</f>
        <v/>
      </c>
      <c r="X22">
        <f>IF($W22="","",$R22&amp;"|"&amp;RIGHT("000000"&amp;$W22,6))</f>
        <v/>
      </c>
      <c r="Y22">
        <f>IF($P22="","",IF(Shares!$E25="",0,Shares!$E25))</f>
        <v/>
      </c>
      <c r="Z22">
        <f>IF($P22="","",Shares!$H25)</f>
        <v/>
      </c>
      <c r="AE22">
        <f>IF(OR(Sync!$S22="",Sync!$P22=""),"",Sync!$S22)</f>
        <v/>
      </c>
      <c r="AF22">
        <f>IF($AE22="","",IF(ISNUMBER(Sync!$P22),IF(AND(Sync!$P22&gt;=10000101,Sync!$P22&lt;=99991231),INT(Sync!$P22/10000),""),IFERROR(VALUE(TRIM(LEFT(Sync!$P22,FIND("/",Sync!$P22)-1))),"")))</f>
        <v/>
      </c>
      <c r="AG22">
        <f>IF(OR($AE22="",$AF22=""),"",IF(ISNUMBER(Sync!$P22),INT(MOD(Sync!$P22,10000)/100),IFERROR(VALUE(TRIM(LEFT(MID(Sync!$P22,FIND("/",Sync!$P22)+1,20),FIND("/",MID(Sync!$P22,FIND("/",Sync!$P22)+1,20))-1))),"")))</f>
        <v/>
      </c>
      <c r="AH22">
        <f>IF(OR($AE22="",$AF22=""),"",IF(ISNUMBER(Sync!$P22),MOD(Sync!$P22,100),IFERROR(VALUE(TRIM(MID(MID(Sync!$P22,FIND("/",Sync!$P22)+1,20),FIND("/",MID(Sync!$P22,FIND("/",Sync!$P22)+1,20))+1,20))),"")))</f>
        <v/>
      </c>
      <c r="AI22">
        <f>IF($AE22="","",IF(OR($AF22="",$AG22="",$AH22="",$AF22&lt;1300,$AF22&gt;1500,$AG22&lt;1,$AG22&gt;12,$AH22&lt;1,$AH22&gt;31),"نامعتبر",RIGHT("0000"&amp;$AF22,4)&amp;"/"&amp;RIGHT("00"&amp;$AG22,2)&amp;"/"&amp;RIGHT("00"&amp;$AH22,2)))</f>
        <v/>
      </c>
      <c r="AJ22">
        <f>IF($AE22="","",IF(Sync!$Q22="","0000",IF(AND(ISNUMBER(Sync!$Q22),Sync!$Q22&gt;=0,Sync!$Q22&lt;1),RIGHT("00"&amp;HOUR(Sync!$Q22),2)&amp;RIGHT("00"&amp;MINUTE(Sync!$Q22),2),IFERROR(RIGHT("00"&amp;VALUE(LEFT(Sync!$Q22,FIND(":",Sync!$Q22)-1)),2)&amp;RIGHT("00"&amp;VALUE(MID(Sync!$Q22,FIND(":",Sync!$Q22)+1,2)),2),"0000"))))</f>
        <v/>
      </c>
      <c r="AK22">
        <f>IF(OR($AE22="",$AI22="",$AI22="نامعتبر"),"",LEFT($AI22,4)&amp;MID($AI22,6,2)&amp;RIGHT($AI22,2)&amp;$AJ22&amp;"|"&amp;"3"&amp;RIGHT("00000"&amp;17,5))</f>
        <v/>
      </c>
      <c r="AL22">
        <f>IF($AK22="","",COUNTIFS(LdAParty,$AE22,LdAType,1,LdAKey,"&lt;"&amp;$AK22)+COUNTIFS(LdBMember,$AE22,LdBKey,"&lt;"&amp;$AK22)+COUNTIFS(LdCParty,$AE22,LdCKey,"&lt;"&amp;$AK22)+1)</f>
        <v/>
      </c>
      <c r="AM22">
        <f>IF($AL22="","",$AE22&amp;"|"&amp;RIGHT("000000"&amp;$AL22,6))</f>
        <v/>
      </c>
      <c r="AN22">
        <f>IF($AE22="","",IF(Sync!$W22="",0,Sync!$W22))</f>
        <v/>
      </c>
      <c r="AO22">
        <f>IF($AE22="","",IF(Sync!$X22="",0,Sync!$X22))</f>
        <v/>
      </c>
      <c r="AP22">
        <f>IF($AE22="","",Sync!$R22)</f>
        <v/>
      </c>
      <c r="AQ22">
        <f>IF($AE22="","",Sync!$Y22)</f>
        <v/>
      </c>
    </row>
    <row r="23">
      <c r="A23">
        <f>IF(OR(Wages!$B26="",Wages!$E26=""),"",Wages!$E26)</f>
        <v/>
      </c>
      <c r="B23">
        <f>IF($A23="","",IF(Wages!$C26="دستمزد گروهی",2,1))</f>
        <v/>
      </c>
      <c r="C23">
        <f>IF($A23="","",IF(ISNUMBER(Wages!$B26),IF(AND(Wages!$B26&gt;=10000101,Wages!$B26&lt;=99991231),INT(Wages!$B26/10000),""),IFERROR(VALUE(TRIM(LEFT(Wages!$B26,FIND("/",Wages!$B26)-1))),"")))</f>
        <v/>
      </c>
      <c r="D23">
        <f>IF(OR($A23="",$C23=""),"",IF(ISNUMBER(Wages!$B26),INT(MOD(Wages!$B26,10000)/100),IFERROR(VALUE(TRIM(LEFT(MID(Wages!$B26,FIND("/",Wages!$B26)+1,20),FIND("/",MID(Wages!$B26,FIND("/",Wages!$B26)+1,20))-1))),"")))</f>
        <v/>
      </c>
      <c r="E23">
        <f>IF(OR($A23="",$C23=""),"",IF(ISNUMBER(Wages!$B26),MOD(Wages!$B26,100),IFERROR(VALUE(TRIM(MID(MID(Wages!$B26,FIND("/",Wages!$B26)+1,20),FIND("/",MID(Wages!$B26,FIND("/",Wages!$B26)+1,20))+1,20))),"")))</f>
        <v/>
      </c>
      <c r="F23">
        <f>IF($A23="","",IF(OR($C23="",$D23="",$E23="",$C23&lt;1300,$C23&gt;1500,$D23&lt;1,$D23&gt;12,$E23&lt;1,$E23&gt;31),"نامعتبر",RIGHT("0000"&amp;$C23,4)&amp;"/"&amp;RIGHT("00"&amp;$D23,2)&amp;"/"&amp;RIGHT("00"&amp;$E23,2)))</f>
        <v/>
      </c>
      <c r="G23">
        <f>IF(OR($A23="",$F23="",$F23="نامعتبر"),"",LEFT($F23,4)&amp;MID($F23,6,2)&amp;RIGHT($F23,2)&amp;"0000"&amp;"|"&amp;"1"&amp;RIGHT("00000"&amp;18,5))</f>
        <v/>
      </c>
      <c r="H23">
        <f>IF(OR($B23&lt;&gt;1,$G23=""),"",COUNTIFS(LdAParty,$A23,LdAType,1,LdAKey,"&lt;"&amp;$G23)+COUNTIFS(LdBMember,$A23,LdBKey,"&lt;"&amp;$G23)+COUNTIFS(LdCParty,$A23,LdCKey,"&lt;"&amp;$G23)+1)</f>
        <v/>
      </c>
      <c r="I23">
        <f>IF($H23="","",$A23&amp;"|"&amp;RIGHT("000000"&amp;$H23,6))</f>
        <v/>
      </c>
      <c r="J23">
        <f>IF(OR($B23&lt;&gt;2,$G23=""),"",COUNTIFS(LdAParty,$A23,LdAType,2,LdAKey,"&lt;"&amp;$G23)+1)</f>
        <v/>
      </c>
      <c r="K23">
        <f>IF($J23="","",$A23&amp;"|"&amp;RIGHT("000000"&amp;$J23,6))</f>
        <v/>
      </c>
      <c r="L23">
        <f>IF($A23="","",IF(Wages!$G26="",0,Wages!$G26))</f>
        <v/>
      </c>
      <c r="M23">
        <f>IF($A23="","",Wages!$J26)</f>
        <v/>
      </c>
      <c r="N23">
        <f>IF($A23="","",Wages!$D26)</f>
        <v/>
      </c>
      <c r="P23">
        <f>IF(OR(Shares!$B26="",Shares!$C26=""),"",Shares!$C26)</f>
        <v/>
      </c>
      <c r="Q23">
        <f>IF($P23="","",Shares!$B26)</f>
        <v/>
      </c>
      <c r="R23">
        <f>IF($P23="","",IFERROR(INDEX(WageParty,MATCH($Q23,WageIds,0)),""))</f>
        <v/>
      </c>
      <c r="S23">
        <f>IF($P23="","",IFERROR(INDEX($F$6:$F$2005,MATCH($Q23,WageIds,0)),""))</f>
        <v/>
      </c>
      <c r="T23">
        <f>IF(OR($P23="",$S23="",$S23="نامعتبر"),"",LEFT($S23,4)&amp;MID($S23,6,2)&amp;RIGHT($S23,2)&amp;"0000"&amp;"|"&amp;"2"&amp;RIGHT("00000"&amp;18,5))</f>
        <v/>
      </c>
      <c r="U23">
        <f>IF($T23="","",COUNTIFS(LdAParty,$P23,LdAType,1,LdAKey,"&lt;"&amp;$T23)+COUNTIFS(LdBMember,$P23,LdBKey,"&lt;"&amp;$T23)+COUNTIFS(LdCParty,$P23,LdCKey,"&lt;"&amp;$T23)+1)</f>
        <v/>
      </c>
      <c r="V23">
        <f>IF($U23="","",$P23&amp;"|"&amp;RIGHT("000000"&amp;$U23,6))</f>
        <v/>
      </c>
      <c r="W23">
        <f>IF($T23="","",COUNTIFS(LdBGroup,$R23,LdBKey,"&lt;"&amp;$T23)+1)</f>
        <v/>
      </c>
      <c r="X23">
        <f>IF($W23="","",$R23&amp;"|"&amp;RIGHT("000000"&amp;$W23,6))</f>
        <v/>
      </c>
      <c r="Y23">
        <f>IF($P23="","",IF(Shares!$E26="",0,Shares!$E26))</f>
        <v/>
      </c>
      <c r="Z23">
        <f>IF($P23="","",Shares!$H26)</f>
        <v/>
      </c>
      <c r="AE23">
        <f>IF(OR(Sync!$S23="",Sync!$P23=""),"",Sync!$S23)</f>
        <v/>
      </c>
      <c r="AF23">
        <f>IF($AE23="","",IF(ISNUMBER(Sync!$P23),IF(AND(Sync!$P23&gt;=10000101,Sync!$P23&lt;=99991231),INT(Sync!$P23/10000),""),IFERROR(VALUE(TRIM(LEFT(Sync!$P23,FIND("/",Sync!$P23)-1))),"")))</f>
        <v/>
      </c>
      <c r="AG23">
        <f>IF(OR($AE23="",$AF23=""),"",IF(ISNUMBER(Sync!$P23),INT(MOD(Sync!$P23,10000)/100),IFERROR(VALUE(TRIM(LEFT(MID(Sync!$P23,FIND("/",Sync!$P23)+1,20),FIND("/",MID(Sync!$P23,FIND("/",Sync!$P23)+1,20))-1))),"")))</f>
        <v/>
      </c>
      <c r="AH23">
        <f>IF(OR($AE23="",$AF23=""),"",IF(ISNUMBER(Sync!$P23),MOD(Sync!$P23,100),IFERROR(VALUE(TRIM(MID(MID(Sync!$P23,FIND("/",Sync!$P23)+1,20),FIND("/",MID(Sync!$P23,FIND("/",Sync!$P23)+1,20))+1,20))),"")))</f>
        <v/>
      </c>
      <c r="AI23">
        <f>IF($AE23="","",IF(OR($AF23="",$AG23="",$AH23="",$AF23&lt;1300,$AF23&gt;1500,$AG23&lt;1,$AG23&gt;12,$AH23&lt;1,$AH23&gt;31),"نامعتبر",RIGHT("0000"&amp;$AF23,4)&amp;"/"&amp;RIGHT("00"&amp;$AG23,2)&amp;"/"&amp;RIGHT("00"&amp;$AH23,2)))</f>
        <v/>
      </c>
      <c r="AJ23">
        <f>IF($AE23="","",IF(Sync!$Q23="","0000",IF(AND(ISNUMBER(Sync!$Q23),Sync!$Q23&gt;=0,Sync!$Q23&lt;1),RIGHT("00"&amp;HOUR(Sync!$Q23),2)&amp;RIGHT("00"&amp;MINUTE(Sync!$Q23),2),IFERROR(RIGHT("00"&amp;VALUE(LEFT(Sync!$Q23,FIND(":",Sync!$Q23)-1)),2)&amp;RIGHT("00"&amp;VALUE(MID(Sync!$Q23,FIND(":",Sync!$Q23)+1,2)),2),"0000"))))</f>
        <v/>
      </c>
      <c r="AK23">
        <f>IF(OR($AE23="",$AI23="",$AI23="نامعتبر"),"",LEFT($AI23,4)&amp;MID($AI23,6,2)&amp;RIGHT($AI23,2)&amp;$AJ23&amp;"|"&amp;"3"&amp;RIGHT("00000"&amp;18,5))</f>
        <v/>
      </c>
      <c r="AL23">
        <f>IF($AK23="","",COUNTIFS(LdAParty,$AE23,LdAType,1,LdAKey,"&lt;"&amp;$AK23)+COUNTIFS(LdBMember,$AE23,LdBKey,"&lt;"&amp;$AK23)+COUNTIFS(LdCParty,$AE23,LdCKey,"&lt;"&amp;$AK23)+1)</f>
        <v/>
      </c>
      <c r="AM23">
        <f>IF($AL23="","",$AE23&amp;"|"&amp;RIGHT("000000"&amp;$AL23,6))</f>
        <v/>
      </c>
      <c r="AN23">
        <f>IF($AE23="","",IF(Sync!$W23="",0,Sync!$W23))</f>
        <v/>
      </c>
      <c r="AO23">
        <f>IF($AE23="","",IF(Sync!$X23="",0,Sync!$X23))</f>
        <v/>
      </c>
      <c r="AP23">
        <f>IF($AE23="","",Sync!$R23)</f>
        <v/>
      </c>
      <c r="AQ23">
        <f>IF($AE23="","",Sync!$Y23)</f>
        <v/>
      </c>
    </row>
    <row r="24">
      <c r="A24">
        <f>IF(OR(Wages!$B27="",Wages!$E27=""),"",Wages!$E27)</f>
        <v/>
      </c>
      <c r="B24">
        <f>IF($A24="","",IF(Wages!$C27="دستمزد گروهی",2,1))</f>
        <v/>
      </c>
      <c r="C24">
        <f>IF($A24="","",IF(ISNUMBER(Wages!$B27),IF(AND(Wages!$B27&gt;=10000101,Wages!$B27&lt;=99991231),INT(Wages!$B27/10000),""),IFERROR(VALUE(TRIM(LEFT(Wages!$B27,FIND("/",Wages!$B27)-1))),"")))</f>
        <v/>
      </c>
      <c r="D24">
        <f>IF(OR($A24="",$C24=""),"",IF(ISNUMBER(Wages!$B27),INT(MOD(Wages!$B27,10000)/100),IFERROR(VALUE(TRIM(LEFT(MID(Wages!$B27,FIND("/",Wages!$B27)+1,20),FIND("/",MID(Wages!$B27,FIND("/",Wages!$B27)+1,20))-1))),"")))</f>
        <v/>
      </c>
      <c r="E24">
        <f>IF(OR($A24="",$C24=""),"",IF(ISNUMBER(Wages!$B27),MOD(Wages!$B27,100),IFERROR(VALUE(TRIM(MID(MID(Wages!$B27,FIND("/",Wages!$B27)+1,20),FIND("/",MID(Wages!$B27,FIND("/",Wages!$B27)+1,20))+1,20))),"")))</f>
        <v/>
      </c>
      <c r="F24">
        <f>IF($A24="","",IF(OR($C24="",$D24="",$E24="",$C24&lt;1300,$C24&gt;1500,$D24&lt;1,$D24&gt;12,$E24&lt;1,$E24&gt;31),"نامعتبر",RIGHT("0000"&amp;$C24,4)&amp;"/"&amp;RIGHT("00"&amp;$D24,2)&amp;"/"&amp;RIGHT("00"&amp;$E24,2)))</f>
        <v/>
      </c>
      <c r="G24">
        <f>IF(OR($A24="",$F24="",$F24="نامعتبر"),"",LEFT($F24,4)&amp;MID($F24,6,2)&amp;RIGHT($F24,2)&amp;"0000"&amp;"|"&amp;"1"&amp;RIGHT("00000"&amp;19,5))</f>
        <v/>
      </c>
      <c r="H24">
        <f>IF(OR($B24&lt;&gt;1,$G24=""),"",COUNTIFS(LdAParty,$A24,LdAType,1,LdAKey,"&lt;"&amp;$G24)+COUNTIFS(LdBMember,$A24,LdBKey,"&lt;"&amp;$G24)+COUNTIFS(LdCParty,$A24,LdCKey,"&lt;"&amp;$G24)+1)</f>
        <v/>
      </c>
      <c r="I24">
        <f>IF($H24="","",$A24&amp;"|"&amp;RIGHT("000000"&amp;$H24,6))</f>
        <v/>
      </c>
      <c r="J24">
        <f>IF(OR($B24&lt;&gt;2,$G24=""),"",COUNTIFS(LdAParty,$A24,LdAType,2,LdAKey,"&lt;"&amp;$G24)+1)</f>
        <v/>
      </c>
      <c r="K24">
        <f>IF($J24="","",$A24&amp;"|"&amp;RIGHT("000000"&amp;$J24,6))</f>
        <v/>
      </c>
      <c r="L24">
        <f>IF($A24="","",IF(Wages!$G27="",0,Wages!$G27))</f>
        <v/>
      </c>
      <c r="M24">
        <f>IF($A24="","",Wages!$J27)</f>
        <v/>
      </c>
      <c r="N24">
        <f>IF($A24="","",Wages!$D27)</f>
        <v/>
      </c>
      <c r="P24">
        <f>IF(OR(Shares!$B27="",Shares!$C27=""),"",Shares!$C27)</f>
        <v/>
      </c>
      <c r="Q24">
        <f>IF($P24="","",Shares!$B27)</f>
        <v/>
      </c>
      <c r="R24">
        <f>IF($P24="","",IFERROR(INDEX(WageParty,MATCH($Q24,WageIds,0)),""))</f>
        <v/>
      </c>
      <c r="S24">
        <f>IF($P24="","",IFERROR(INDEX($F$6:$F$2005,MATCH($Q24,WageIds,0)),""))</f>
        <v/>
      </c>
      <c r="T24">
        <f>IF(OR($P24="",$S24="",$S24="نامعتبر"),"",LEFT($S24,4)&amp;MID($S24,6,2)&amp;RIGHT($S24,2)&amp;"0000"&amp;"|"&amp;"2"&amp;RIGHT("00000"&amp;19,5))</f>
        <v/>
      </c>
      <c r="U24">
        <f>IF($T24="","",COUNTIFS(LdAParty,$P24,LdAType,1,LdAKey,"&lt;"&amp;$T24)+COUNTIFS(LdBMember,$P24,LdBKey,"&lt;"&amp;$T24)+COUNTIFS(LdCParty,$P24,LdCKey,"&lt;"&amp;$T24)+1)</f>
        <v/>
      </c>
      <c r="V24">
        <f>IF($U24="","",$P24&amp;"|"&amp;RIGHT("000000"&amp;$U24,6))</f>
        <v/>
      </c>
      <c r="W24">
        <f>IF($T24="","",COUNTIFS(LdBGroup,$R24,LdBKey,"&lt;"&amp;$T24)+1)</f>
        <v/>
      </c>
      <c r="X24">
        <f>IF($W24="","",$R24&amp;"|"&amp;RIGHT("000000"&amp;$W24,6))</f>
        <v/>
      </c>
      <c r="Y24">
        <f>IF($P24="","",IF(Shares!$E27="",0,Shares!$E27))</f>
        <v/>
      </c>
      <c r="Z24">
        <f>IF($P24="","",Shares!$H27)</f>
        <v/>
      </c>
      <c r="AE24">
        <f>IF(OR(Sync!$S24="",Sync!$P24=""),"",Sync!$S24)</f>
        <v/>
      </c>
      <c r="AF24">
        <f>IF($AE24="","",IF(ISNUMBER(Sync!$P24),IF(AND(Sync!$P24&gt;=10000101,Sync!$P24&lt;=99991231),INT(Sync!$P24/10000),""),IFERROR(VALUE(TRIM(LEFT(Sync!$P24,FIND("/",Sync!$P24)-1))),"")))</f>
        <v/>
      </c>
      <c r="AG24">
        <f>IF(OR($AE24="",$AF24=""),"",IF(ISNUMBER(Sync!$P24),INT(MOD(Sync!$P24,10000)/100),IFERROR(VALUE(TRIM(LEFT(MID(Sync!$P24,FIND("/",Sync!$P24)+1,20),FIND("/",MID(Sync!$P24,FIND("/",Sync!$P24)+1,20))-1))),"")))</f>
        <v/>
      </c>
      <c r="AH24">
        <f>IF(OR($AE24="",$AF24=""),"",IF(ISNUMBER(Sync!$P24),MOD(Sync!$P24,100),IFERROR(VALUE(TRIM(MID(MID(Sync!$P24,FIND("/",Sync!$P24)+1,20),FIND("/",MID(Sync!$P24,FIND("/",Sync!$P24)+1,20))+1,20))),"")))</f>
        <v/>
      </c>
      <c r="AI24">
        <f>IF($AE24="","",IF(OR($AF24="",$AG24="",$AH24="",$AF24&lt;1300,$AF24&gt;1500,$AG24&lt;1,$AG24&gt;12,$AH24&lt;1,$AH24&gt;31),"نامعتبر",RIGHT("0000"&amp;$AF24,4)&amp;"/"&amp;RIGHT("00"&amp;$AG24,2)&amp;"/"&amp;RIGHT("00"&amp;$AH24,2)))</f>
        <v/>
      </c>
      <c r="AJ24">
        <f>IF($AE24="","",IF(Sync!$Q24="","0000",IF(AND(ISNUMBER(Sync!$Q24),Sync!$Q24&gt;=0,Sync!$Q24&lt;1),RIGHT("00"&amp;HOUR(Sync!$Q24),2)&amp;RIGHT("00"&amp;MINUTE(Sync!$Q24),2),IFERROR(RIGHT("00"&amp;VALUE(LEFT(Sync!$Q24,FIND(":",Sync!$Q24)-1)),2)&amp;RIGHT("00"&amp;VALUE(MID(Sync!$Q24,FIND(":",Sync!$Q24)+1,2)),2),"0000"))))</f>
        <v/>
      </c>
      <c r="AK24">
        <f>IF(OR($AE24="",$AI24="",$AI24="نامعتبر"),"",LEFT($AI24,4)&amp;MID($AI24,6,2)&amp;RIGHT($AI24,2)&amp;$AJ24&amp;"|"&amp;"3"&amp;RIGHT("00000"&amp;19,5))</f>
        <v/>
      </c>
      <c r="AL24">
        <f>IF($AK24="","",COUNTIFS(LdAParty,$AE24,LdAType,1,LdAKey,"&lt;"&amp;$AK24)+COUNTIFS(LdBMember,$AE24,LdBKey,"&lt;"&amp;$AK24)+COUNTIFS(LdCParty,$AE24,LdCKey,"&lt;"&amp;$AK24)+1)</f>
        <v/>
      </c>
      <c r="AM24">
        <f>IF($AL24="","",$AE24&amp;"|"&amp;RIGHT("000000"&amp;$AL24,6))</f>
        <v/>
      </c>
      <c r="AN24">
        <f>IF($AE24="","",IF(Sync!$W24="",0,Sync!$W24))</f>
        <v/>
      </c>
      <c r="AO24">
        <f>IF($AE24="","",IF(Sync!$X24="",0,Sync!$X24))</f>
        <v/>
      </c>
      <c r="AP24">
        <f>IF($AE24="","",Sync!$R24)</f>
        <v/>
      </c>
      <c r="AQ24">
        <f>IF($AE24="","",Sync!$Y24)</f>
        <v/>
      </c>
    </row>
    <row r="25">
      <c r="A25">
        <f>IF(OR(Wages!$B28="",Wages!$E28=""),"",Wages!$E28)</f>
        <v/>
      </c>
      <c r="B25">
        <f>IF($A25="","",IF(Wages!$C28="دستمزد گروهی",2,1))</f>
        <v/>
      </c>
      <c r="C25">
        <f>IF($A25="","",IF(ISNUMBER(Wages!$B28),IF(AND(Wages!$B28&gt;=10000101,Wages!$B28&lt;=99991231),INT(Wages!$B28/10000),""),IFERROR(VALUE(TRIM(LEFT(Wages!$B28,FIND("/",Wages!$B28)-1))),"")))</f>
        <v/>
      </c>
      <c r="D25">
        <f>IF(OR($A25="",$C25=""),"",IF(ISNUMBER(Wages!$B28),INT(MOD(Wages!$B28,10000)/100),IFERROR(VALUE(TRIM(LEFT(MID(Wages!$B28,FIND("/",Wages!$B28)+1,20),FIND("/",MID(Wages!$B28,FIND("/",Wages!$B28)+1,20))-1))),"")))</f>
        <v/>
      </c>
      <c r="E25">
        <f>IF(OR($A25="",$C25=""),"",IF(ISNUMBER(Wages!$B28),MOD(Wages!$B28,100),IFERROR(VALUE(TRIM(MID(MID(Wages!$B28,FIND("/",Wages!$B28)+1,20),FIND("/",MID(Wages!$B28,FIND("/",Wages!$B28)+1,20))+1,20))),"")))</f>
        <v/>
      </c>
      <c r="F25">
        <f>IF($A25="","",IF(OR($C25="",$D25="",$E25="",$C25&lt;1300,$C25&gt;1500,$D25&lt;1,$D25&gt;12,$E25&lt;1,$E25&gt;31),"نامعتبر",RIGHT("0000"&amp;$C25,4)&amp;"/"&amp;RIGHT("00"&amp;$D25,2)&amp;"/"&amp;RIGHT("00"&amp;$E25,2)))</f>
        <v/>
      </c>
      <c r="G25">
        <f>IF(OR($A25="",$F25="",$F25="نامعتبر"),"",LEFT($F25,4)&amp;MID($F25,6,2)&amp;RIGHT($F25,2)&amp;"0000"&amp;"|"&amp;"1"&amp;RIGHT("00000"&amp;20,5))</f>
        <v/>
      </c>
      <c r="H25">
        <f>IF(OR($B25&lt;&gt;1,$G25=""),"",COUNTIFS(LdAParty,$A25,LdAType,1,LdAKey,"&lt;"&amp;$G25)+COUNTIFS(LdBMember,$A25,LdBKey,"&lt;"&amp;$G25)+COUNTIFS(LdCParty,$A25,LdCKey,"&lt;"&amp;$G25)+1)</f>
        <v/>
      </c>
      <c r="I25">
        <f>IF($H25="","",$A25&amp;"|"&amp;RIGHT("000000"&amp;$H25,6))</f>
        <v/>
      </c>
      <c r="J25">
        <f>IF(OR($B25&lt;&gt;2,$G25=""),"",COUNTIFS(LdAParty,$A25,LdAType,2,LdAKey,"&lt;"&amp;$G25)+1)</f>
        <v/>
      </c>
      <c r="K25">
        <f>IF($J25="","",$A25&amp;"|"&amp;RIGHT("000000"&amp;$J25,6))</f>
        <v/>
      </c>
      <c r="L25">
        <f>IF($A25="","",IF(Wages!$G28="",0,Wages!$G28))</f>
        <v/>
      </c>
      <c r="M25">
        <f>IF($A25="","",Wages!$J28)</f>
        <v/>
      </c>
      <c r="N25">
        <f>IF($A25="","",Wages!$D28)</f>
        <v/>
      </c>
      <c r="P25">
        <f>IF(OR(Shares!$B28="",Shares!$C28=""),"",Shares!$C28)</f>
        <v/>
      </c>
      <c r="Q25">
        <f>IF($P25="","",Shares!$B28)</f>
        <v/>
      </c>
      <c r="R25">
        <f>IF($P25="","",IFERROR(INDEX(WageParty,MATCH($Q25,WageIds,0)),""))</f>
        <v/>
      </c>
      <c r="S25">
        <f>IF($P25="","",IFERROR(INDEX($F$6:$F$2005,MATCH($Q25,WageIds,0)),""))</f>
        <v/>
      </c>
      <c r="T25">
        <f>IF(OR($P25="",$S25="",$S25="نامعتبر"),"",LEFT($S25,4)&amp;MID($S25,6,2)&amp;RIGHT($S25,2)&amp;"0000"&amp;"|"&amp;"2"&amp;RIGHT("00000"&amp;20,5))</f>
        <v/>
      </c>
      <c r="U25">
        <f>IF($T25="","",COUNTIFS(LdAParty,$P25,LdAType,1,LdAKey,"&lt;"&amp;$T25)+COUNTIFS(LdBMember,$P25,LdBKey,"&lt;"&amp;$T25)+COUNTIFS(LdCParty,$P25,LdCKey,"&lt;"&amp;$T25)+1)</f>
        <v/>
      </c>
      <c r="V25">
        <f>IF($U25="","",$P25&amp;"|"&amp;RIGHT("000000"&amp;$U25,6))</f>
        <v/>
      </c>
      <c r="W25">
        <f>IF($T25="","",COUNTIFS(LdBGroup,$R25,LdBKey,"&lt;"&amp;$T25)+1)</f>
        <v/>
      </c>
      <c r="X25">
        <f>IF($W25="","",$R25&amp;"|"&amp;RIGHT("000000"&amp;$W25,6))</f>
        <v/>
      </c>
      <c r="Y25">
        <f>IF($P25="","",IF(Shares!$E28="",0,Shares!$E28))</f>
        <v/>
      </c>
      <c r="Z25">
        <f>IF($P25="","",Shares!$H28)</f>
        <v/>
      </c>
      <c r="AE25">
        <f>IF(OR(Sync!$S25="",Sync!$P25=""),"",Sync!$S25)</f>
        <v/>
      </c>
      <c r="AF25">
        <f>IF($AE25="","",IF(ISNUMBER(Sync!$P25),IF(AND(Sync!$P25&gt;=10000101,Sync!$P25&lt;=99991231),INT(Sync!$P25/10000),""),IFERROR(VALUE(TRIM(LEFT(Sync!$P25,FIND("/",Sync!$P25)-1))),"")))</f>
        <v/>
      </c>
      <c r="AG25">
        <f>IF(OR($AE25="",$AF25=""),"",IF(ISNUMBER(Sync!$P25),INT(MOD(Sync!$P25,10000)/100),IFERROR(VALUE(TRIM(LEFT(MID(Sync!$P25,FIND("/",Sync!$P25)+1,20),FIND("/",MID(Sync!$P25,FIND("/",Sync!$P25)+1,20))-1))),"")))</f>
        <v/>
      </c>
      <c r="AH25">
        <f>IF(OR($AE25="",$AF25=""),"",IF(ISNUMBER(Sync!$P25),MOD(Sync!$P25,100),IFERROR(VALUE(TRIM(MID(MID(Sync!$P25,FIND("/",Sync!$P25)+1,20),FIND("/",MID(Sync!$P25,FIND("/",Sync!$P25)+1,20))+1,20))),"")))</f>
        <v/>
      </c>
      <c r="AI25">
        <f>IF($AE25="","",IF(OR($AF25="",$AG25="",$AH25="",$AF25&lt;1300,$AF25&gt;1500,$AG25&lt;1,$AG25&gt;12,$AH25&lt;1,$AH25&gt;31),"نامعتبر",RIGHT("0000"&amp;$AF25,4)&amp;"/"&amp;RIGHT("00"&amp;$AG25,2)&amp;"/"&amp;RIGHT("00"&amp;$AH25,2)))</f>
        <v/>
      </c>
      <c r="AJ25">
        <f>IF($AE25="","",IF(Sync!$Q25="","0000",IF(AND(ISNUMBER(Sync!$Q25),Sync!$Q25&gt;=0,Sync!$Q25&lt;1),RIGHT("00"&amp;HOUR(Sync!$Q25),2)&amp;RIGHT("00"&amp;MINUTE(Sync!$Q25),2),IFERROR(RIGHT("00"&amp;VALUE(LEFT(Sync!$Q25,FIND(":",Sync!$Q25)-1)),2)&amp;RIGHT("00"&amp;VALUE(MID(Sync!$Q25,FIND(":",Sync!$Q25)+1,2)),2),"0000"))))</f>
        <v/>
      </c>
      <c r="AK25">
        <f>IF(OR($AE25="",$AI25="",$AI25="نامعتبر"),"",LEFT($AI25,4)&amp;MID($AI25,6,2)&amp;RIGHT($AI25,2)&amp;$AJ25&amp;"|"&amp;"3"&amp;RIGHT("00000"&amp;20,5))</f>
        <v/>
      </c>
      <c r="AL25">
        <f>IF($AK25="","",COUNTIFS(LdAParty,$AE25,LdAType,1,LdAKey,"&lt;"&amp;$AK25)+COUNTIFS(LdBMember,$AE25,LdBKey,"&lt;"&amp;$AK25)+COUNTIFS(LdCParty,$AE25,LdCKey,"&lt;"&amp;$AK25)+1)</f>
        <v/>
      </c>
      <c r="AM25">
        <f>IF($AL25="","",$AE25&amp;"|"&amp;RIGHT("000000"&amp;$AL25,6))</f>
        <v/>
      </c>
      <c r="AN25">
        <f>IF($AE25="","",IF(Sync!$W25="",0,Sync!$W25))</f>
        <v/>
      </c>
      <c r="AO25">
        <f>IF($AE25="","",IF(Sync!$X25="",0,Sync!$X25))</f>
        <v/>
      </c>
      <c r="AP25">
        <f>IF($AE25="","",Sync!$R25)</f>
        <v/>
      </c>
      <c r="AQ25">
        <f>IF($AE25="","",Sync!$Y25)</f>
        <v/>
      </c>
    </row>
    <row r="26">
      <c r="A26">
        <f>IF(OR(Wages!$B29="",Wages!$E29=""),"",Wages!$E29)</f>
        <v/>
      </c>
      <c r="B26">
        <f>IF($A26="","",IF(Wages!$C29="دستمزد گروهی",2,1))</f>
        <v/>
      </c>
      <c r="C26">
        <f>IF($A26="","",IF(ISNUMBER(Wages!$B29),IF(AND(Wages!$B29&gt;=10000101,Wages!$B29&lt;=99991231),INT(Wages!$B29/10000),""),IFERROR(VALUE(TRIM(LEFT(Wages!$B29,FIND("/",Wages!$B29)-1))),"")))</f>
        <v/>
      </c>
      <c r="D26">
        <f>IF(OR($A26="",$C26=""),"",IF(ISNUMBER(Wages!$B29),INT(MOD(Wages!$B29,10000)/100),IFERROR(VALUE(TRIM(LEFT(MID(Wages!$B29,FIND("/",Wages!$B29)+1,20),FIND("/",MID(Wages!$B29,FIND("/",Wages!$B29)+1,20))-1))),"")))</f>
        <v/>
      </c>
      <c r="E26">
        <f>IF(OR($A26="",$C26=""),"",IF(ISNUMBER(Wages!$B29),MOD(Wages!$B29,100),IFERROR(VALUE(TRIM(MID(MID(Wages!$B29,FIND("/",Wages!$B29)+1,20),FIND("/",MID(Wages!$B29,FIND("/",Wages!$B29)+1,20))+1,20))),"")))</f>
        <v/>
      </c>
      <c r="F26">
        <f>IF($A26="","",IF(OR($C26="",$D26="",$E26="",$C26&lt;1300,$C26&gt;1500,$D26&lt;1,$D26&gt;12,$E26&lt;1,$E26&gt;31),"نامعتبر",RIGHT("0000"&amp;$C26,4)&amp;"/"&amp;RIGHT("00"&amp;$D26,2)&amp;"/"&amp;RIGHT("00"&amp;$E26,2)))</f>
        <v/>
      </c>
      <c r="G26">
        <f>IF(OR($A26="",$F26="",$F26="نامعتبر"),"",LEFT($F26,4)&amp;MID($F26,6,2)&amp;RIGHT($F26,2)&amp;"0000"&amp;"|"&amp;"1"&amp;RIGHT("00000"&amp;21,5))</f>
        <v/>
      </c>
      <c r="H26">
        <f>IF(OR($B26&lt;&gt;1,$G26=""),"",COUNTIFS(LdAParty,$A26,LdAType,1,LdAKey,"&lt;"&amp;$G26)+COUNTIFS(LdBMember,$A26,LdBKey,"&lt;"&amp;$G26)+COUNTIFS(LdCParty,$A26,LdCKey,"&lt;"&amp;$G26)+1)</f>
        <v/>
      </c>
      <c r="I26">
        <f>IF($H26="","",$A26&amp;"|"&amp;RIGHT("000000"&amp;$H26,6))</f>
        <v/>
      </c>
      <c r="J26">
        <f>IF(OR($B26&lt;&gt;2,$G26=""),"",COUNTIFS(LdAParty,$A26,LdAType,2,LdAKey,"&lt;"&amp;$G26)+1)</f>
        <v/>
      </c>
      <c r="K26">
        <f>IF($J26="","",$A26&amp;"|"&amp;RIGHT("000000"&amp;$J26,6))</f>
        <v/>
      </c>
      <c r="L26">
        <f>IF($A26="","",IF(Wages!$G29="",0,Wages!$G29))</f>
        <v/>
      </c>
      <c r="M26">
        <f>IF($A26="","",Wages!$J29)</f>
        <v/>
      </c>
      <c r="N26">
        <f>IF($A26="","",Wages!$D29)</f>
        <v/>
      </c>
      <c r="P26">
        <f>IF(OR(Shares!$B29="",Shares!$C29=""),"",Shares!$C29)</f>
        <v/>
      </c>
      <c r="Q26">
        <f>IF($P26="","",Shares!$B29)</f>
        <v/>
      </c>
      <c r="R26">
        <f>IF($P26="","",IFERROR(INDEX(WageParty,MATCH($Q26,WageIds,0)),""))</f>
        <v/>
      </c>
      <c r="S26">
        <f>IF($P26="","",IFERROR(INDEX($F$6:$F$2005,MATCH($Q26,WageIds,0)),""))</f>
        <v/>
      </c>
      <c r="T26">
        <f>IF(OR($P26="",$S26="",$S26="نامعتبر"),"",LEFT($S26,4)&amp;MID($S26,6,2)&amp;RIGHT($S26,2)&amp;"0000"&amp;"|"&amp;"2"&amp;RIGHT("00000"&amp;21,5))</f>
        <v/>
      </c>
      <c r="U26">
        <f>IF($T26="","",COUNTIFS(LdAParty,$P26,LdAType,1,LdAKey,"&lt;"&amp;$T26)+COUNTIFS(LdBMember,$P26,LdBKey,"&lt;"&amp;$T26)+COUNTIFS(LdCParty,$P26,LdCKey,"&lt;"&amp;$T26)+1)</f>
        <v/>
      </c>
      <c r="V26">
        <f>IF($U26="","",$P26&amp;"|"&amp;RIGHT("000000"&amp;$U26,6))</f>
        <v/>
      </c>
      <c r="W26">
        <f>IF($T26="","",COUNTIFS(LdBGroup,$R26,LdBKey,"&lt;"&amp;$T26)+1)</f>
        <v/>
      </c>
      <c r="X26">
        <f>IF($W26="","",$R26&amp;"|"&amp;RIGHT("000000"&amp;$W26,6))</f>
        <v/>
      </c>
      <c r="Y26">
        <f>IF($P26="","",IF(Shares!$E29="",0,Shares!$E29))</f>
        <v/>
      </c>
      <c r="Z26">
        <f>IF($P26="","",Shares!$H29)</f>
        <v/>
      </c>
      <c r="AE26">
        <f>IF(OR(Sync!$S26="",Sync!$P26=""),"",Sync!$S26)</f>
        <v/>
      </c>
      <c r="AF26">
        <f>IF($AE26="","",IF(ISNUMBER(Sync!$P26),IF(AND(Sync!$P26&gt;=10000101,Sync!$P26&lt;=99991231),INT(Sync!$P26/10000),""),IFERROR(VALUE(TRIM(LEFT(Sync!$P26,FIND("/",Sync!$P26)-1))),"")))</f>
        <v/>
      </c>
      <c r="AG26">
        <f>IF(OR($AE26="",$AF26=""),"",IF(ISNUMBER(Sync!$P26),INT(MOD(Sync!$P26,10000)/100),IFERROR(VALUE(TRIM(LEFT(MID(Sync!$P26,FIND("/",Sync!$P26)+1,20),FIND("/",MID(Sync!$P26,FIND("/",Sync!$P26)+1,20))-1))),"")))</f>
        <v/>
      </c>
      <c r="AH26">
        <f>IF(OR($AE26="",$AF26=""),"",IF(ISNUMBER(Sync!$P26),MOD(Sync!$P26,100),IFERROR(VALUE(TRIM(MID(MID(Sync!$P26,FIND("/",Sync!$P26)+1,20),FIND("/",MID(Sync!$P26,FIND("/",Sync!$P26)+1,20))+1,20))),"")))</f>
        <v/>
      </c>
      <c r="AI26">
        <f>IF($AE26="","",IF(OR($AF26="",$AG26="",$AH26="",$AF26&lt;1300,$AF26&gt;1500,$AG26&lt;1,$AG26&gt;12,$AH26&lt;1,$AH26&gt;31),"نامعتبر",RIGHT("0000"&amp;$AF26,4)&amp;"/"&amp;RIGHT("00"&amp;$AG26,2)&amp;"/"&amp;RIGHT("00"&amp;$AH26,2)))</f>
        <v/>
      </c>
      <c r="AJ26">
        <f>IF($AE26="","",IF(Sync!$Q26="","0000",IF(AND(ISNUMBER(Sync!$Q26),Sync!$Q26&gt;=0,Sync!$Q26&lt;1),RIGHT("00"&amp;HOUR(Sync!$Q26),2)&amp;RIGHT("00"&amp;MINUTE(Sync!$Q26),2),IFERROR(RIGHT("00"&amp;VALUE(LEFT(Sync!$Q26,FIND(":",Sync!$Q26)-1)),2)&amp;RIGHT("00"&amp;VALUE(MID(Sync!$Q26,FIND(":",Sync!$Q26)+1,2)),2),"0000"))))</f>
        <v/>
      </c>
      <c r="AK26">
        <f>IF(OR($AE26="",$AI26="",$AI26="نامعتبر"),"",LEFT($AI26,4)&amp;MID($AI26,6,2)&amp;RIGHT($AI26,2)&amp;$AJ26&amp;"|"&amp;"3"&amp;RIGHT("00000"&amp;21,5))</f>
        <v/>
      </c>
      <c r="AL26">
        <f>IF($AK26="","",COUNTIFS(LdAParty,$AE26,LdAType,1,LdAKey,"&lt;"&amp;$AK26)+COUNTIFS(LdBMember,$AE26,LdBKey,"&lt;"&amp;$AK26)+COUNTIFS(LdCParty,$AE26,LdCKey,"&lt;"&amp;$AK26)+1)</f>
        <v/>
      </c>
      <c r="AM26">
        <f>IF($AL26="","",$AE26&amp;"|"&amp;RIGHT("000000"&amp;$AL26,6))</f>
        <v/>
      </c>
      <c r="AN26">
        <f>IF($AE26="","",IF(Sync!$W26="",0,Sync!$W26))</f>
        <v/>
      </c>
      <c r="AO26">
        <f>IF($AE26="","",IF(Sync!$X26="",0,Sync!$X26))</f>
        <v/>
      </c>
      <c r="AP26">
        <f>IF($AE26="","",Sync!$R26)</f>
        <v/>
      </c>
      <c r="AQ26">
        <f>IF($AE26="","",Sync!$Y26)</f>
        <v/>
      </c>
    </row>
    <row r="27">
      <c r="A27">
        <f>IF(OR(Wages!$B30="",Wages!$E30=""),"",Wages!$E30)</f>
        <v/>
      </c>
      <c r="B27">
        <f>IF($A27="","",IF(Wages!$C30="دستمزد گروهی",2,1))</f>
        <v/>
      </c>
      <c r="C27">
        <f>IF($A27="","",IF(ISNUMBER(Wages!$B30),IF(AND(Wages!$B30&gt;=10000101,Wages!$B30&lt;=99991231),INT(Wages!$B30/10000),""),IFERROR(VALUE(TRIM(LEFT(Wages!$B30,FIND("/",Wages!$B30)-1))),"")))</f>
        <v/>
      </c>
      <c r="D27">
        <f>IF(OR($A27="",$C27=""),"",IF(ISNUMBER(Wages!$B30),INT(MOD(Wages!$B30,10000)/100),IFERROR(VALUE(TRIM(LEFT(MID(Wages!$B30,FIND("/",Wages!$B30)+1,20),FIND("/",MID(Wages!$B30,FIND("/",Wages!$B30)+1,20))-1))),"")))</f>
        <v/>
      </c>
      <c r="E27">
        <f>IF(OR($A27="",$C27=""),"",IF(ISNUMBER(Wages!$B30),MOD(Wages!$B30,100),IFERROR(VALUE(TRIM(MID(MID(Wages!$B30,FIND("/",Wages!$B30)+1,20),FIND("/",MID(Wages!$B30,FIND("/",Wages!$B30)+1,20))+1,20))),"")))</f>
        <v/>
      </c>
      <c r="F27">
        <f>IF($A27="","",IF(OR($C27="",$D27="",$E27="",$C27&lt;1300,$C27&gt;1500,$D27&lt;1,$D27&gt;12,$E27&lt;1,$E27&gt;31),"نامعتبر",RIGHT("0000"&amp;$C27,4)&amp;"/"&amp;RIGHT("00"&amp;$D27,2)&amp;"/"&amp;RIGHT("00"&amp;$E27,2)))</f>
        <v/>
      </c>
      <c r="G27">
        <f>IF(OR($A27="",$F27="",$F27="نامعتبر"),"",LEFT($F27,4)&amp;MID($F27,6,2)&amp;RIGHT($F27,2)&amp;"0000"&amp;"|"&amp;"1"&amp;RIGHT("00000"&amp;22,5))</f>
        <v/>
      </c>
      <c r="H27">
        <f>IF(OR($B27&lt;&gt;1,$G27=""),"",COUNTIFS(LdAParty,$A27,LdAType,1,LdAKey,"&lt;"&amp;$G27)+COUNTIFS(LdBMember,$A27,LdBKey,"&lt;"&amp;$G27)+COUNTIFS(LdCParty,$A27,LdCKey,"&lt;"&amp;$G27)+1)</f>
        <v/>
      </c>
      <c r="I27">
        <f>IF($H27="","",$A27&amp;"|"&amp;RIGHT("000000"&amp;$H27,6))</f>
        <v/>
      </c>
      <c r="J27">
        <f>IF(OR($B27&lt;&gt;2,$G27=""),"",COUNTIFS(LdAParty,$A27,LdAType,2,LdAKey,"&lt;"&amp;$G27)+1)</f>
        <v/>
      </c>
      <c r="K27">
        <f>IF($J27="","",$A27&amp;"|"&amp;RIGHT("000000"&amp;$J27,6))</f>
        <v/>
      </c>
      <c r="L27">
        <f>IF($A27="","",IF(Wages!$G30="",0,Wages!$G30))</f>
        <v/>
      </c>
      <c r="M27">
        <f>IF($A27="","",Wages!$J30)</f>
        <v/>
      </c>
      <c r="N27">
        <f>IF($A27="","",Wages!$D30)</f>
        <v/>
      </c>
      <c r="P27">
        <f>IF(OR(Shares!$B30="",Shares!$C30=""),"",Shares!$C30)</f>
        <v/>
      </c>
      <c r="Q27">
        <f>IF($P27="","",Shares!$B30)</f>
        <v/>
      </c>
      <c r="R27">
        <f>IF($P27="","",IFERROR(INDEX(WageParty,MATCH($Q27,WageIds,0)),""))</f>
        <v/>
      </c>
      <c r="S27">
        <f>IF($P27="","",IFERROR(INDEX($F$6:$F$2005,MATCH($Q27,WageIds,0)),""))</f>
        <v/>
      </c>
      <c r="T27">
        <f>IF(OR($P27="",$S27="",$S27="نامعتبر"),"",LEFT($S27,4)&amp;MID($S27,6,2)&amp;RIGHT($S27,2)&amp;"0000"&amp;"|"&amp;"2"&amp;RIGHT("00000"&amp;22,5))</f>
        <v/>
      </c>
      <c r="U27">
        <f>IF($T27="","",COUNTIFS(LdAParty,$P27,LdAType,1,LdAKey,"&lt;"&amp;$T27)+COUNTIFS(LdBMember,$P27,LdBKey,"&lt;"&amp;$T27)+COUNTIFS(LdCParty,$P27,LdCKey,"&lt;"&amp;$T27)+1)</f>
        <v/>
      </c>
      <c r="V27">
        <f>IF($U27="","",$P27&amp;"|"&amp;RIGHT("000000"&amp;$U27,6))</f>
        <v/>
      </c>
      <c r="W27">
        <f>IF($T27="","",COUNTIFS(LdBGroup,$R27,LdBKey,"&lt;"&amp;$T27)+1)</f>
        <v/>
      </c>
      <c r="X27">
        <f>IF($W27="","",$R27&amp;"|"&amp;RIGHT("000000"&amp;$W27,6))</f>
        <v/>
      </c>
      <c r="Y27">
        <f>IF($P27="","",IF(Shares!$E30="",0,Shares!$E30))</f>
        <v/>
      </c>
      <c r="Z27">
        <f>IF($P27="","",Shares!$H30)</f>
        <v/>
      </c>
      <c r="AE27">
        <f>IF(OR(Sync!$S27="",Sync!$P27=""),"",Sync!$S27)</f>
        <v/>
      </c>
      <c r="AF27">
        <f>IF($AE27="","",IF(ISNUMBER(Sync!$P27),IF(AND(Sync!$P27&gt;=10000101,Sync!$P27&lt;=99991231),INT(Sync!$P27/10000),""),IFERROR(VALUE(TRIM(LEFT(Sync!$P27,FIND("/",Sync!$P27)-1))),"")))</f>
        <v/>
      </c>
      <c r="AG27">
        <f>IF(OR($AE27="",$AF27=""),"",IF(ISNUMBER(Sync!$P27),INT(MOD(Sync!$P27,10000)/100),IFERROR(VALUE(TRIM(LEFT(MID(Sync!$P27,FIND("/",Sync!$P27)+1,20),FIND("/",MID(Sync!$P27,FIND("/",Sync!$P27)+1,20))-1))),"")))</f>
        <v/>
      </c>
      <c r="AH27">
        <f>IF(OR($AE27="",$AF27=""),"",IF(ISNUMBER(Sync!$P27),MOD(Sync!$P27,100),IFERROR(VALUE(TRIM(MID(MID(Sync!$P27,FIND("/",Sync!$P27)+1,20),FIND("/",MID(Sync!$P27,FIND("/",Sync!$P27)+1,20))+1,20))),"")))</f>
        <v/>
      </c>
      <c r="AI27">
        <f>IF($AE27="","",IF(OR($AF27="",$AG27="",$AH27="",$AF27&lt;1300,$AF27&gt;1500,$AG27&lt;1,$AG27&gt;12,$AH27&lt;1,$AH27&gt;31),"نامعتبر",RIGHT("0000"&amp;$AF27,4)&amp;"/"&amp;RIGHT("00"&amp;$AG27,2)&amp;"/"&amp;RIGHT("00"&amp;$AH27,2)))</f>
        <v/>
      </c>
      <c r="AJ27">
        <f>IF($AE27="","",IF(Sync!$Q27="","0000",IF(AND(ISNUMBER(Sync!$Q27),Sync!$Q27&gt;=0,Sync!$Q27&lt;1),RIGHT("00"&amp;HOUR(Sync!$Q27),2)&amp;RIGHT("00"&amp;MINUTE(Sync!$Q27),2),IFERROR(RIGHT("00"&amp;VALUE(LEFT(Sync!$Q27,FIND(":",Sync!$Q27)-1)),2)&amp;RIGHT("00"&amp;VALUE(MID(Sync!$Q27,FIND(":",Sync!$Q27)+1,2)),2),"0000"))))</f>
        <v/>
      </c>
      <c r="AK27">
        <f>IF(OR($AE27="",$AI27="",$AI27="نامعتبر"),"",LEFT($AI27,4)&amp;MID($AI27,6,2)&amp;RIGHT($AI27,2)&amp;$AJ27&amp;"|"&amp;"3"&amp;RIGHT("00000"&amp;22,5))</f>
        <v/>
      </c>
      <c r="AL27">
        <f>IF($AK27="","",COUNTIFS(LdAParty,$AE27,LdAType,1,LdAKey,"&lt;"&amp;$AK27)+COUNTIFS(LdBMember,$AE27,LdBKey,"&lt;"&amp;$AK27)+COUNTIFS(LdCParty,$AE27,LdCKey,"&lt;"&amp;$AK27)+1)</f>
        <v/>
      </c>
      <c r="AM27">
        <f>IF($AL27="","",$AE27&amp;"|"&amp;RIGHT("000000"&amp;$AL27,6))</f>
        <v/>
      </c>
      <c r="AN27">
        <f>IF($AE27="","",IF(Sync!$W27="",0,Sync!$W27))</f>
        <v/>
      </c>
      <c r="AO27">
        <f>IF($AE27="","",IF(Sync!$X27="",0,Sync!$X27))</f>
        <v/>
      </c>
      <c r="AP27">
        <f>IF($AE27="","",Sync!$R27)</f>
        <v/>
      </c>
      <c r="AQ27">
        <f>IF($AE27="","",Sync!$Y27)</f>
        <v/>
      </c>
    </row>
    <row r="28">
      <c r="A28">
        <f>IF(OR(Wages!$B31="",Wages!$E31=""),"",Wages!$E31)</f>
        <v/>
      </c>
      <c r="B28">
        <f>IF($A28="","",IF(Wages!$C31="دستمزد گروهی",2,1))</f>
        <v/>
      </c>
      <c r="C28">
        <f>IF($A28="","",IF(ISNUMBER(Wages!$B31),IF(AND(Wages!$B31&gt;=10000101,Wages!$B31&lt;=99991231),INT(Wages!$B31/10000),""),IFERROR(VALUE(TRIM(LEFT(Wages!$B31,FIND("/",Wages!$B31)-1))),"")))</f>
        <v/>
      </c>
      <c r="D28">
        <f>IF(OR($A28="",$C28=""),"",IF(ISNUMBER(Wages!$B31),INT(MOD(Wages!$B31,10000)/100),IFERROR(VALUE(TRIM(LEFT(MID(Wages!$B31,FIND("/",Wages!$B31)+1,20),FIND("/",MID(Wages!$B31,FIND("/",Wages!$B31)+1,20))-1))),"")))</f>
        <v/>
      </c>
      <c r="E28">
        <f>IF(OR($A28="",$C28=""),"",IF(ISNUMBER(Wages!$B31),MOD(Wages!$B31,100),IFERROR(VALUE(TRIM(MID(MID(Wages!$B31,FIND("/",Wages!$B31)+1,20),FIND("/",MID(Wages!$B31,FIND("/",Wages!$B31)+1,20))+1,20))),"")))</f>
        <v/>
      </c>
      <c r="F28">
        <f>IF($A28="","",IF(OR($C28="",$D28="",$E28="",$C28&lt;1300,$C28&gt;1500,$D28&lt;1,$D28&gt;12,$E28&lt;1,$E28&gt;31),"نامعتبر",RIGHT("0000"&amp;$C28,4)&amp;"/"&amp;RIGHT("00"&amp;$D28,2)&amp;"/"&amp;RIGHT("00"&amp;$E28,2)))</f>
        <v/>
      </c>
      <c r="G28">
        <f>IF(OR($A28="",$F28="",$F28="نامعتبر"),"",LEFT($F28,4)&amp;MID($F28,6,2)&amp;RIGHT($F28,2)&amp;"0000"&amp;"|"&amp;"1"&amp;RIGHT("00000"&amp;23,5))</f>
        <v/>
      </c>
      <c r="H28">
        <f>IF(OR($B28&lt;&gt;1,$G28=""),"",COUNTIFS(LdAParty,$A28,LdAType,1,LdAKey,"&lt;"&amp;$G28)+COUNTIFS(LdBMember,$A28,LdBKey,"&lt;"&amp;$G28)+COUNTIFS(LdCParty,$A28,LdCKey,"&lt;"&amp;$G28)+1)</f>
        <v/>
      </c>
      <c r="I28">
        <f>IF($H28="","",$A28&amp;"|"&amp;RIGHT("000000"&amp;$H28,6))</f>
        <v/>
      </c>
      <c r="J28">
        <f>IF(OR($B28&lt;&gt;2,$G28=""),"",COUNTIFS(LdAParty,$A28,LdAType,2,LdAKey,"&lt;"&amp;$G28)+1)</f>
        <v/>
      </c>
      <c r="K28">
        <f>IF($J28="","",$A28&amp;"|"&amp;RIGHT("000000"&amp;$J28,6))</f>
        <v/>
      </c>
      <c r="L28">
        <f>IF($A28="","",IF(Wages!$G31="",0,Wages!$G31))</f>
        <v/>
      </c>
      <c r="M28">
        <f>IF($A28="","",Wages!$J31)</f>
        <v/>
      </c>
      <c r="N28">
        <f>IF($A28="","",Wages!$D31)</f>
        <v/>
      </c>
      <c r="P28">
        <f>IF(OR(Shares!$B31="",Shares!$C31=""),"",Shares!$C31)</f>
        <v/>
      </c>
      <c r="Q28">
        <f>IF($P28="","",Shares!$B31)</f>
        <v/>
      </c>
      <c r="R28">
        <f>IF($P28="","",IFERROR(INDEX(WageParty,MATCH($Q28,WageIds,0)),""))</f>
        <v/>
      </c>
      <c r="S28">
        <f>IF($P28="","",IFERROR(INDEX($F$6:$F$2005,MATCH($Q28,WageIds,0)),""))</f>
        <v/>
      </c>
      <c r="T28">
        <f>IF(OR($P28="",$S28="",$S28="نامعتبر"),"",LEFT($S28,4)&amp;MID($S28,6,2)&amp;RIGHT($S28,2)&amp;"0000"&amp;"|"&amp;"2"&amp;RIGHT("00000"&amp;23,5))</f>
        <v/>
      </c>
      <c r="U28">
        <f>IF($T28="","",COUNTIFS(LdAParty,$P28,LdAType,1,LdAKey,"&lt;"&amp;$T28)+COUNTIFS(LdBMember,$P28,LdBKey,"&lt;"&amp;$T28)+COUNTIFS(LdCParty,$P28,LdCKey,"&lt;"&amp;$T28)+1)</f>
        <v/>
      </c>
      <c r="V28">
        <f>IF($U28="","",$P28&amp;"|"&amp;RIGHT("000000"&amp;$U28,6))</f>
        <v/>
      </c>
      <c r="W28">
        <f>IF($T28="","",COUNTIFS(LdBGroup,$R28,LdBKey,"&lt;"&amp;$T28)+1)</f>
        <v/>
      </c>
      <c r="X28">
        <f>IF($W28="","",$R28&amp;"|"&amp;RIGHT("000000"&amp;$W28,6))</f>
        <v/>
      </c>
      <c r="Y28">
        <f>IF($P28="","",IF(Shares!$E31="",0,Shares!$E31))</f>
        <v/>
      </c>
      <c r="Z28">
        <f>IF($P28="","",Shares!$H31)</f>
        <v/>
      </c>
      <c r="AE28">
        <f>IF(OR(Sync!$S28="",Sync!$P28=""),"",Sync!$S28)</f>
        <v/>
      </c>
      <c r="AF28">
        <f>IF($AE28="","",IF(ISNUMBER(Sync!$P28),IF(AND(Sync!$P28&gt;=10000101,Sync!$P28&lt;=99991231),INT(Sync!$P28/10000),""),IFERROR(VALUE(TRIM(LEFT(Sync!$P28,FIND("/",Sync!$P28)-1))),"")))</f>
        <v/>
      </c>
      <c r="AG28">
        <f>IF(OR($AE28="",$AF28=""),"",IF(ISNUMBER(Sync!$P28),INT(MOD(Sync!$P28,10000)/100),IFERROR(VALUE(TRIM(LEFT(MID(Sync!$P28,FIND("/",Sync!$P28)+1,20),FIND("/",MID(Sync!$P28,FIND("/",Sync!$P28)+1,20))-1))),"")))</f>
        <v/>
      </c>
      <c r="AH28">
        <f>IF(OR($AE28="",$AF28=""),"",IF(ISNUMBER(Sync!$P28),MOD(Sync!$P28,100),IFERROR(VALUE(TRIM(MID(MID(Sync!$P28,FIND("/",Sync!$P28)+1,20),FIND("/",MID(Sync!$P28,FIND("/",Sync!$P28)+1,20))+1,20))),"")))</f>
        <v/>
      </c>
      <c r="AI28">
        <f>IF($AE28="","",IF(OR($AF28="",$AG28="",$AH28="",$AF28&lt;1300,$AF28&gt;1500,$AG28&lt;1,$AG28&gt;12,$AH28&lt;1,$AH28&gt;31),"نامعتبر",RIGHT("0000"&amp;$AF28,4)&amp;"/"&amp;RIGHT("00"&amp;$AG28,2)&amp;"/"&amp;RIGHT("00"&amp;$AH28,2)))</f>
        <v/>
      </c>
      <c r="AJ28">
        <f>IF($AE28="","",IF(Sync!$Q28="","0000",IF(AND(ISNUMBER(Sync!$Q28),Sync!$Q28&gt;=0,Sync!$Q28&lt;1),RIGHT("00"&amp;HOUR(Sync!$Q28),2)&amp;RIGHT("00"&amp;MINUTE(Sync!$Q28),2),IFERROR(RIGHT("00"&amp;VALUE(LEFT(Sync!$Q28,FIND(":",Sync!$Q28)-1)),2)&amp;RIGHT("00"&amp;VALUE(MID(Sync!$Q28,FIND(":",Sync!$Q28)+1,2)),2),"0000"))))</f>
        <v/>
      </c>
      <c r="AK28">
        <f>IF(OR($AE28="",$AI28="",$AI28="نامعتبر"),"",LEFT($AI28,4)&amp;MID($AI28,6,2)&amp;RIGHT($AI28,2)&amp;$AJ28&amp;"|"&amp;"3"&amp;RIGHT("00000"&amp;23,5))</f>
        <v/>
      </c>
      <c r="AL28">
        <f>IF($AK28="","",COUNTIFS(LdAParty,$AE28,LdAType,1,LdAKey,"&lt;"&amp;$AK28)+COUNTIFS(LdBMember,$AE28,LdBKey,"&lt;"&amp;$AK28)+COUNTIFS(LdCParty,$AE28,LdCKey,"&lt;"&amp;$AK28)+1)</f>
        <v/>
      </c>
      <c r="AM28">
        <f>IF($AL28="","",$AE28&amp;"|"&amp;RIGHT("000000"&amp;$AL28,6))</f>
        <v/>
      </c>
      <c r="AN28">
        <f>IF($AE28="","",IF(Sync!$W28="",0,Sync!$W28))</f>
        <v/>
      </c>
      <c r="AO28">
        <f>IF($AE28="","",IF(Sync!$X28="",0,Sync!$X28))</f>
        <v/>
      </c>
      <c r="AP28">
        <f>IF($AE28="","",Sync!$R28)</f>
        <v/>
      </c>
      <c r="AQ28">
        <f>IF($AE28="","",Sync!$Y28)</f>
        <v/>
      </c>
    </row>
    <row r="29">
      <c r="A29">
        <f>IF(OR(Wages!$B32="",Wages!$E32=""),"",Wages!$E32)</f>
        <v/>
      </c>
      <c r="B29">
        <f>IF($A29="","",IF(Wages!$C32="دستمزد گروهی",2,1))</f>
        <v/>
      </c>
      <c r="C29">
        <f>IF($A29="","",IF(ISNUMBER(Wages!$B32),IF(AND(Wages!$B32&gt;=10000101,Wages!$B32&lt;=99991231),INT(Wages!$B32/10000),""),IFERROR(VALUE(TRIM(LEFT(Wages!$B32,FIND("/",Wages!$B32)-1))),"")))</f>
        <v/>
      </c>
      <c r="D29">
        <f>IF(OR($A29="",$C29=""),"",IF(ISNUMBER(Wages!$B32),INT(MOD(Wages!$B32,10000)/100),IFERROR(VALUE(TRIM(LEFT(MID(Wages!$B32,FIND("/",Wages!$B32)+1,20),FIND("/",MID(Wages!$B32,FIND("/",Wages!$B32)+1,20))-1))),"")))</f>
        <v/>
      </c>
      <c r="E29">
        <f>IF(OR($A29="",$C29=""),"",IF(ISNUMBER(Wages!$B32),MOD(Wages!$B32,100),IFERROR(VALUE(TRIM(MID(MID(Wages!$B32,FIND("/",Wages!$B32)+1,20),FIND("/",MID(Wages!$B32,FIND("/",Wages!$B32)+1,20))+1,20))),"")))</f>
        <v/>
      </c>
      <c r="F29">
        <f>IF($A29="","",IF(OR($C29="",$D29="",$E29="",$C29&lt;1300,$C29&gt;1500,$D29&lt;1,$D29&gt;12,$E29&lt;1,$E29&gt;31),"نامعتبر",RIGHT("0000"&amp;$C29,4)&amp;"/"&amp;RIGHT("00"&amp;$D29,2)&amp;"/"&amp;RIGHT("00"&amp;$E29,2)))</f>
        <v/>
      </c>
      <c r="G29">
        <f>IF(OR($A29="",$F29="",$F29="نامعتبر"),"",LEFT($F29,4)&amp;MID($F29,6,2)&amp;RIGHT($F29,2)&amp;"0000"&amp;"|"&amp;"1"&amp;RIGHT("00000"&amp;24,5))</f>
        <v/>
      </c>
      <c r="H29">
        <f>IF(OR($B29&lt;&gt;1,$G29=""),"",COUNTIFS(LdAParty,$A29,LdAType,1,LdAKey,"&lt;"&amp;$G29)+COUNTIFS(LdBMember,$A29,LdBKey,"&lt;"&amp;$G29)+COUNTIFS(LdCParty,$A29,LdCKey,"&lt;"&amp;$G29)+1)</f>
        <v/>
      </c>
      <c r="I29">
        <f>IF($H29="","",$A29&amp;"|"&amp;RIGHT("000000"&amp;$H29,6))</f>
        <v/>
      </c>
      <c r="J29">
        <f>IF(OR($B29&lt;&gt;2,$G29=""),"",COUNTIFS(LdAParty,$A29,LdAType,2,LdAKey,"&lt;"&amp;$G29)+1)</f>
        <v/>
      </c>
      <c r="K29">
        <f>IF($J29="","",$A29&amp;"|"&amp;RIGHT("000000"&amp;$J29,6))</f>
        <v/>
      </c>
      <c r="L29">
        <f>IF($A29="","",IF(Wages!$G32="",0,Wages!$G32))</f>
        <v/>
      </c>
      <c r="M29">
        <f>IF($A29="","",Wages!$J32)</f>
        <v/>
      </c>
      <c r="N29">
        <f>IF($A29="","",Wages!$D32)</f>
        <v/>
      </c>
      <c r="P29">
        <f>IF(OR(Shares!$B32="",Shares!$C32=""),"",Shares!$C32)</f>
        <v/>
      </c>
      <c r="Q29">
        <f>IF($P29="","",Shares!$B32)</f>
        <v/>
      </c>
      <c r="R29">
        <f>IF($P29="","",IFERROR(INDEX(WageParty,MATCH($Q29,WageIds,0)),""))</f>
        <v/>
      </c>
      <c r="S29">
        <f>IF($P29="","",IFERROR(INDEX($F$6:$F$2005,MATCH($Q29,WageIds,0)),""))</f>
        <v/>
      </c>
      <c r="T29">
        <f>IF(OR($P29="",$S29="",$S29="نامعتبر"),"",LEFT($S29,4)&amp;MID($S29,6,2)&amp;RIGHT($S29,2)&amp;"0000"&amp;"|"&amp;"2"&amp;RIGHT("00000"&amp;24,5))</f>
        <v/>
      </c>
      <c r="U29">
        <f>IF($T29="","",COUNTIFS(LdAParty,$P29,LdAType,1,LdAKey,"&lt;"&amp;$T29)+COUNTIFS(LdBMember,$P29,LdBKey,"&lt;"&amp;$T29)+COUNTIFS(LdCParty,$P29,LdCKey,"&lt;"&amp;$T29)+1)</f>
        <v/>
      </c>
      <c r="V29">
        <f>IF($U29="","",$P29&amp;"|"&amp;RIGHT("000000"&amp;$U29,6))</f>
        <v/>
      </c>
      <c r="W29">
        <f>IF($T29="","",COUNTIFS(LdBGroup,$R29,LdBKey,"&lt;"&amp;$T29)+1)</f>
        <v/>
      </c>
      <c r="X29">
        <f>IF($W29="","",$R29&amp;"|"&amp;RIGHT("000000"&amp;$W29,6))</f>
        <v/>
      </c>
      <c r="Y29">
        <f>IF($P29="","",IF(Shares!$E32="",0,Shares!$E32))</f>
        <v/>
      </c>
      <c r="Z29">
        <f>IF($P29="","",Shares!$H32)</f>
        <v/>
      </c>
      <c r="AE29">
        <f>IF(OR(Sync!$S29="",Sync!$P29=""),"",Sync!$S29)</f>
        <v/>
      </c>
      <c r="AF29">
        <f>IF($AE29="","",IF(ISNUMBER(Sync!$P29),IF(AND(Sync!$P29&gt;=10000101,Sync!$P29&lt;=99991231),INT(Sync!$P29/10000),""),IFERROR(VALUE(TRIM(LEFT(Sync!$P29,FIND("/",Sync!$P29)-1))),"")))</f>
        <v/>
      </c>
      <c r="AG29">
        <f>IF(OR($AE29="",$AF29=""),"",IF(ISNUMBER(Sync!$P29),INT(MOD(Sync!$P29,10000)/100),IFERROR(VALUE(TRIM(LEFT(MID(Sync!$P29,FIND("/",Sync!$P29)+1,20),FIND("/",MID(Sync!$P29,FIND("/",Sync!$P29)+1,20))-1))),"")))</f>
        <v/>
      </c>
      <c r="AH29">
        <f>IF(OR($AE29="",$AF29=""),"",IF(ISNUMBER(Sync!$P29),MOD(Sync!$P29,100),IFERROR(VALUE(TRIM(MID(MID(Sync!$P29,FIND("/",Sync!$P29)+1,20),FIND("/",MID(Sync!$P29,FIND("/",Sync!$P29)+1,20))+1,20))),"")))</f>
        <v/>
      </c>
      <c r="AI29">
        <f>IF($AE29="","",IF(OR($AF29="",$AG29="",$AH29="",$AF29&lt;1300,$AF29&gt;1500,$AG29&lt;1,$AG29&gt;12,$AH29&lt;1,$AH29&gt;31),"نامعتبر",RIGHT("0000"&amp;$AF29,4)&amp;"/"&amp;RIGHT("00"&amp;$AG29,2)&amp;"/"&amp;RIGHT("00"&amp;$AH29,2)))</f>
        <v/>
      </c>
      <c r="AJ29">
        <f>IF($AE29="","",IF(Sync!$Q29="","0000",IF(AND(ISNUMBER(Sync!$Q29),Sync!$Q29&gt;=0,Sync!$Q29&lt;1),RIGHT("00"&amp;HOUR(Sync!$Q29),2)&amp;RIGHT("00"&amp;MINUTE(Sync!$Q29),2),IFERROR(RIGHT("00"&amp;VALUE(LEFT(Sync!$Q29,FIND(":",Sync!$Q29)-1)),2)&amp;RIGHT("00"&amp;VALUE(MID(Sync!$Q29,FIND(":",Sync!$Q29)+1,2)),2),"0000"))))</f>
        <v/>
      </c>
      <c r="AK29">
        <f>IF(OR($AE29="",$AI29="",$AI29="نامعتبر"),"",LEFT($AI29,4)&amp;MID($AI29,6,2)&amp;RIGHT($AI29,2)&amp;$AJ29&amp;"|"&amp;"3"&amp;RIGHT("00000"&amp;24,5))</f>
        <v/>
      </c>
      <c r="AL29">
        <f>IF($AK29="","",COUNTIFS(LdAParty,$AE29,LdAType,1,LdAKey,"&lt;"&amp;$AK29)+COUNTIFS(LdBMember,$AE29,LdBKey,"&lt;"&amp;$AK29)+COUNTIFS(LdCParty,$AE29,LdCKey,"&lt;"&amp;$AK29)+1)</f>
        <v/>
      </c>
      <c r="AM29">
        <f>IF($AL29="","",$AE29&amp;"|"&amp;RIGHT("000000"&amp;$AL29,6))</f>
        <v/>
      </c>
      <c r="AN29">
        <f>IF($AE29="","",IF(Sync!$W29="",0,Sync!$W29))</f>
        <v/>
      </c>
      <c r="AO29">
        <f>IF($AE29="","",IF(Sync!$X29="",0,Sync!$X29))</f>
        <v/>
      </c>
      <c r="AP29">
        <f>IF($AE29="","",Sync!$R29)</f>
        <v/>
      </c>
      <c r="AQ29">
        <f>IF($AE29="","",Sync!$Y29)</f>
        <v/>
      </c>
    </row>
    <row r="30">
      <c r="A30">
        <f>IF(OR(Wages!$B33="",Wages!$E33=""),"",Wages!$E33)</f>
        <v/>
      </c>
      <c r="B30">
        <f>IF($A30="","",IF(Wages!$C33="دستمزد گروهی",2,1))</f>
        <v/>
      </c>
      <c r="C30">
        <f>IF($A30="","",IF(ISNUMBER(Wages!$B33),IF(AND(Wages!$B33&gt;=10000101,Wages!$B33&lt;=99991231),INT(Wages!$B33/10000),""),IFERROR(VALUE(TRIM(LEFT(Wages!$B33,FIND("/",Wages!$B33)-1))),"")))</f>
        <v/>
      </c>
      <c r="D30">
        <f>IF(OR($A30="",$C30=""),"",IF(ISNUMBER(Wages!$B33),INT(MOD(Wages!$B33,10000)/100),IFERROR(VALUE(TRIM(LEFT(MID(Wages!$B33,FIND("/",Wages!$B33)+1,20),FIND("/",MID(Wages!$B33,FIND("/",Wages!$B33)+1,20))-1))),"")))</f>
        <v/>
      </c>
      <c r="E30">
        <f>IF(OR($A30="",$C30=""),"",IF(ISNUMBER(Wages!$B33),MOD(Wages!$B33,100),IFERROR(VALUE(TRIM(MID(MID(Wages!$B33,FIND("/",Wages!$B33)+1,20),FIND("/",MID(Wages!$B33,FIND("/",Wages!$B33)+1,20))+1,20))),"")))</f>
        <v/>
      </c>
      <c r="F30">
        <f>IF($A30="","",IF(OR($C30="",$D30="",$E30="",$C30&lt;1300,$C30&gt;1500,$D30&lt;1,$D30&gt;12,$E30&lt;1,$E30&gt;31),"نامعتبر",RIGHT("0000"&amp;$C30,4)&amp;"/"&amp;RIGHT("00"&amp;$D30,2)&amp;"/"&amp;RIGHT("00"&amp;$E30,2)))</f>
        <v/>
      </c>
      <c r="G30">
        <f>IF(OR($A30="",$F30="",$F30="نامعتبر"),"",LEFT($F30,4)&amp;MID($F30,6,2)&amp;RIGHT($F30,2)&amp;"0000"&amp;"|"&amp;"1"&amp;RIGHT("00000"&amp;25,5))</f>
        <v/>
      </c>
      <c r="H30">
        <f>IF(OR($B30&lt;&gt;1,$G30=""),"",COUNTIFS(LdAParty,$A30,LdAType,1,LdAKey,"&lt;"&amp;$G30)+COUNTIFS(LdBMember,$A30,LdBKey,"&lt;"&amp;$G30)+COUNTIFS(LdCParty,$A30,LdCKey,"&lt;"&amp;$G30)+1)</f>
        <v/>
      </c>
      <c r="I30">
        <f>IF($H30="","",$A30&amp;"|"&amp;RIGHT("000000"&amp;$H30,6))</f>
        <v/>
      </c>
      <c r="J30">
        <f>IF(OR($B30&lt;&gt;2,$G30=""),"",COUNTIFS(LdAParty,$A30,LdAType,2,LdAKey,"&lt;"&amp;$G30)+1)</f>
        <v/>
      </c>
      <c r="K30">
        <f>IF($J30="","",$A30&amp;"|"&amp;RIGHT("000000"&amp;$J30,6))</f>
        <v/>
      </c>
      <c r="L30">
        <f>IF($A30="","",IF(Wages!$G33="",0,Wages!$G33))</f>
        <v/>
      </c>
      <c r="M30">
        <f>IF($A30="","",Wages!$J33)</f>
        <v/>
      </c>
      <c r="N30">
        <f>IF($A30="","",Wages!$D33)</f>
        <v/>
      </c>
      <c r="P30">
        <f>IF(OR(Shares!$B33="",Shares!$C33=""),"",Shares!$C33)</f>
        <v/>
      </c>
      <c r="Q30">
        <f>IF($P30="","",Shares!$B33)</f>
        <v/>
      </c>
      <c r="R30">
        <f>IF($P30="","",IFERROR(INDEX(WageParty,MATCH($Q30,WageIds,0)),""))</f>
        <v/>
      </c>
      <c r="S30">
        <f>IF($P30="","",IFERROR(INDEX($F$6:$F$2005,MATCH($Q30,WageIds,0)),""))</f>
        <v/>
      </c>
      <c r="T30">
        <f>IF(OR($P30="",$S30="",$S30="نامعتبر"),"",LEFT($S30,4)&amp;MID($S30,6,2)&amp;RIGHT($S30,2)&amp;"0000"&amp;"|"&amp;"2"&amp;RIGHT("00000"&amp;25,5))</f>
        <v/>
      </c>
      <c r="U30">
        <f>IF($T30="","",COUNTIFS(LdAParty,$P30,LdAType,1,LdAKey,"&lt;"&amp;$T30)+COUNTIFS(LdBMember,$P30,LdBKey,"&lt;"&amp;$T30)+COUNTIFS(LdCParty,$P30,LdCKey,"&lt;"&amp;$T30)+1)</f>
        <v/>
      </c>
      <c r="V30">
        <f>IF($U30="","",$P30&amp;"|"&amp;RIGHT("000000"&amp;$U30,6))</f>
        <v/>
      </c>
      <c r="W30">
        <f>IF($T30="","",COUNTIFS(LdBGroup,$R30,LdBKey,"&lt;"&amp;$T30)+1)</f>
        <v/>
      </c>
      <c r="X30">
        <f>IF($W30="","",$R30&amp;"|"&amp;RIGHT("000000"&amp;$W30,6))</f>
        <v/>
      </c>
      <c r="Y30">
        <f>IF($P30="","",IF(Shares!$E33="",0,Shares!$E33))</f>
        <v/>
      </c>
      <c r="Z30">
        <f>IF($P30="","",Shares!$H33)</f>
        <v/>
      </c>
      <c r="AE30">
        <f>IF(OR(Sync!$S30="",Sync!$P30=""),"",Sync!$S30)</f>
        <v/>
      </c>
      <c r="AF30">
        <f>IF($AE30="","",IF(ISNUMBER(Sync!$P30),IF(AND(Sync!$P30&gt;=10000101,Sync!$P30&lt;=99991231),INT(Sync!$P30/10000),""),IFERROR(VALUE(TRIM(LEFT(Sync!$P30,FIND("/",Sync!$P30)-1))),"")))</f>
        <v/>
      </c>
      <c r="AG30">
        <f>IF(OR($AE30="",$AF30=""),"",IF(ISNUMBER(Sync!$P30),INT(MOD(Sync!$P30,10000)/100),IFERROR(VALUE(TRIM(LEFT(MID(Sync!$P30,FIND("/",Sync!$P30)+1,20),FIND("/",MID(Sync!$P30,FIND("/",Sync!$P30)+1,20))-1))),"")))</f>
        <v/>
      </c>
      <c r="AH30">
        <f>IF(OR($AE30="",$AF30=""),"",IF(ISNUMBER(Sync!$P30),MOD(Sync!$P30,100),IFERROR(VALUE(TRIM(MID(MID(Sync!$P30,FIND("/",Sync!$P30)+1,20),FIND("/",MID(Sync!$P30,FIND("/",Sync!$P30)+1,20))+1,20))),"")))</f>
        <v/>
      </c>
      <c r="AI30">
        <f>IF($AE30="","",IF(OR($AF30="",$AG30="",$AH30="",$AF30&lt;1300,$AF30&gt;1500,$AG30&lt;1,$AG30&gt;12,$AH30&lt;1,$AH30&gt;31),"نامعتبر",RIGHT("0000"&amp;$AF30,4)&amp;"/"&amp;RIGHT("00"&amp;$AG30,2)&amp;"/"&amp;RIGHT("00"&amp;$AH30,2)))</f>
        <v/>
      </c>
      <c r="AJ30">
        <f>IF($AE30="","",IF(Sync!$Q30="","0000",IF(AND(ISNUMBER(Sync!$Q30),Sync!$Q30&gt;=0,Sync!$Q30&lt;1),RIGHT("00"&amp;HOUR(Sync!$Q30),2)&amp;RIGHT("00"&amp;MINUTE(Sync!$Q30),2),IFERROR(RIGHT("00"&amp;VALUE(LEFT(Sync!$Q30,FIND(":",Sync!$Q30)-1)),2)&amp;RIGHT("00"&amp;VALUE(MID(Sync!$Q30,FIND(":",Sync!$Q30)+1,2)),2),"0000"))))</f>
        <v/>
      </c>
      <c r="AK30">
        <f>IF(OR($AE30="",$AI30="",$AI30="نامعتبر"),"",LEFT($AI30,4)&amp;MID($AI30,6,2)&amp;RIGHT($AI30,2)&amp;$AJ30&amp;"|"&amp;"3"&amp;RIGHT("00000"&amp;25,5))</f>
        <v/>
      </c>
      <c r="AL30">
        <f>IF($AK30="","",COUNTIFS(LdAParty,$AE30,LdAType,1,LdAKey,"&lt;"&amp;$AK30)+COUNTIFS(LdBMember,$AE30,LdBKey,"&lt;"&amp;$AK30)+COUNTIFS(LdCParty,$AE30,LdCKey,"&lt;"&amp;$AK30)+1)</f>
        <v/>
      </c>
      <c r="AM30">
        <f>IF($AL30="","",$AE30&amp;"|"&amp;RIGHT("000000"&amp;$AL30,6))</f>
        <v/>
      </c>
      <c r="AN30">
        <f>IF($AE30="","",IF(Sync!$W30="",0,Sync!$W30))</f>
        <v/>
      </c>
      <c r="AO30">
        <f>IF($AE30="","",IF(Sync!$X30="",0,Sync!$X30))</f>
        <v/>
      </c>
      <c r="AP30">
        <f>IF($AE30="","",Sync!$R30)</f>
        <v/>
      </c>
      <c r="AQ30">
        <f>IF($AE30="","",Sync!$Y30)</f>
        <v/>
      </c>
    </row>
    <row r="31">
      <c r="A31">
        <f>IF(OR(Wages!$B34="",Wages!$E34=""),"",Wages!$E34)</f>
        <v/>
      </c>
      <c r="B31">
        <f>IF($A31="","",IF(Wages!$C34="دستمزد گروهی",2,1))</f>
        <v/>
      </c>
      <c r="C31">
        <f>IF($A31="","",IF(ISNUMBER(Wages!$B34),IF(AND(Wages!$B34&gt;=10000101,Wages!$B34&lt;=99991231),INT(Wages!$B34/10000),""),IFERROR(VALUE(TRIM(LEFT(Wages!$B34,FIND("/",Wages!$B34)-1))),"")))</f>
        <v/>
      </c>
      <c r="D31">
        <f>IF(OR($A31="",$C31=""),"",IF(ISNUMBER(Wages!$B34),INT(MOD(Wages!$B34,10000)/100),IFERROR(VALUE(TRIM(LEFT(MID(Wages!$B34,FIND("/",Wages!$B34)+1,20),FIND("/",MID(Wages!$B34,FIND("/",Wages!$B34)+1,20))-1))),"")))</f>
        <v/>
      </c>
      <c r="E31">
        <f>IF(OR($A31="",$C31=""),"",IF(ISNUMBER(Wages!$B34),MOD(Wages!$B34,100),IFERROR(VALUE(TRIM(MID(MID(Wages!$B34,FIND("/",Wages!$B34)+1,20),FIND("/",MID(Wages!$B34,FIND("/",Wages!$B34)+1,20))+1,20))),"")))</f>
        <v/>
      </c>
      <c r="F31">
        <f>IF($A31="","",IF(OR($C31="",$D31="",$E31="",$C31&lt;1300,$C31&gt;1500,$D31&lt;1,$D31&gt;12,$E31&lt;1,$E31&gt;31),"نامعتبر",RIGHT("0000"&amp;$C31,4)&amp;"/"&amp;RIGHT("00"&amp;$D31,2)&amp;"/"&amp;RIGHT("00"&amp;$E31,2)))</f>
        <v/>
      </c>
      <c r="G31">
        <f>IF(OR($A31="",$F31="",$F31="نامعتبر"),"",LEFT($F31,4)&amp;MID($F31,6,2)&amp;RIGHT($F31,2)&amp;"0000"&amp;"|"&amp;"1"&amp;RIGHT("00000"&amp;26,5))</f>
        <v/>
      </c>
      <c r="H31">
        <f>IF(OR($B31&lt;&gt;1,$G31=""),"",COUNTIFS(LdAParty,$A31,LdAType,1,LdAKey,"&lt;"&amp;$G31)+COUNTIFS(LdBMember,$A31,LdBKey,"&lt;"&amp;$G31)+COUNTIFS(LdCParty,$A31,LdCKey,"&lt;"&amp;$G31)+1)</f>
        <v/>
      </c>
      <c r="I31">
        <f>IF($H31="","",$A31&amp;"|"&amp;RIGHT("000000"&amp;$H31,6))</f>
        <v/>
      </c>
      <c r="J31">
        <f>IF(OR($B31&lt;&gt;2,$G31=""),"",COUNTIFS(LdAParty,$A31,LdAType,2,LdAKey,"&lt;"&amp;$G31)+1)</f>
        <v/>
      </c>
      <c r="K31">
        <f>IF($J31="","",$A31&amp;"|"&amp;RIGHT("000000"&amp;$J31,6))</f>
        <v/>
      </c>
      <c r="L31">
        <f>IF($A31="","",IF(Wages!$G34="",0,Wages!$G34))</f>
        <v/>
      </c>
      <c r="M31">
        <f>IF($A31="","",Wages!$J34)</f>
        <v/>
      </c>
      <c r="N31">
        <f>IF($A31="","",Wages!$D34)</f>
        <v/>
      </c>
      <c r="P31">
        <f>IF(OR(Shares!$B34="",Shares!$C34=""),"",Shares!$C34)</f>
        <v/>
      </c>
      <c r="Q31">
        <f>IF($P31="","",Shares!$B34)</f>
        <v/>
      </c>
      <c r="R31">
        <f>IF($P31="","",IFERROR(INDEX(WageParty,MATCH($Q31,WageIds,0)),""))</f>
        <v/>
      </c>
      <c r="S31">
        <f>IF($P31="","",IFERROR(INDEX($F$6:$F$2005,MATCH($Q31,WageIds,0)),""))</f>
        <v/>
      </c>
      <c r="T31">
        <f>IF(OR($P31="",$S31="",$S31="نامعتبر"),"",LEFT($S31,4)&amp;MID($S31,6,2)&amp;RIGHT($S31,2)&amp;"0000"&amp;"|"&amp;"2"&amp;RIGHT("00000"&amp;26,5))</f>
        <v/>
      </c>
      <c r="U31">
        <f>IF($T31="","",COUNTIFS(LdAParty,$P31,LdAType,1,LdAKey,"&lt;"&amp;$T31)+COUNTIFS(LdBMember,$P31,LdBKey,"&lt;"&amp;$T31)+COUNTIFS(LdCParty,$P31,LdCKey,"&lt;"&amp;$T31)+1)</f>
        <v/>
      </c>
      <c r="V31">
        <f>IF($U31="","",$P31&amp;"|"&amp;RIGHT("000000"&amp;$U31,6))</f>
        <v/>
      </c>
      <c r="W31">
        <f>IF($T31="","",COUNTIFS(LdBGroup,$R31,LdBKey,"&lt;"&amp;$T31)+1)</f>
        <v/>
      </c>
      <c r="X31">
        <f>IF($W31="","",$R31&amp;"|"&amp;RIGHT("000000"&amp;$W31,6))</f>
        <v/>
      </c>
      <c r="Y31">
        <f>IF($P31="","",IF(Shares!$E34="",0,Shares!$E34))</f>
        <v/>
      </c>
      <c r="Z31">
        <f>IF($P31="","",Shares!$H34)</f>
        <v/>
      </c>
      <c r="AE31">
        <f>IF(OR(Sync!$S31="",Sync!$P31=""),"",Sync!$S31)</f>
        <v/>
      </c>
      <c r="AF31">
        <f>IF($AE31="","",IF(ISNUMBER(Sync!$P31),IF(AND(Sync!$P31&gt;=10000101,Sync!$P31&lt;=99991231),INT(Sync!$P31/10000),""),IFERROR(VALUE(TRIM(LEFT(Sync!$P31,FIND("/",Sync!$P31)-1))),"")))</f>
        <v/>
      </c>
      <c r="AG31">
        <f>IF(OR($AE31="",$AF31=""),"",IF(ISNUMBER(Sync!$P31),INT(MOD(Sync!$P31,10000)/100),IFERROR(VALUE(TRIM(LEFT(MID(Sync!$P31,FIND("/",Sync!$P31)+1,20),FIND("/",MID(Sync!$P31,FIND("/",Sync!$P31)+1,20))-1))),"")))</f>
        <v/>
      </c>
      <c r="AH31">
        <f>IF(OR($AE31="",$AF31=""),"",IF(ISNUMBER(Sync!$P31),MOD(Sync!$P31,100),IFERROR(VALUE(TRIM(MID(MID(Sync!$P31,FIND("/",Sync!$P31)+1,20),FIND("/",MID(Sync!$P31,FIND("/",Sync!$P31)+1,20))+1,20))),"")))</f>
        <v/>
      </c>
      <c r="AI31">
        <f>IF($AE31="","",IF(OR($AF31="",$AG31="",$AH31="",$AF31&lt;1300,$AF31&gt;1500,$AG31&lt;1,$AG31&gt;12,$AH31&lt;1,$AH31&gt;31),"نامعتبر",RIGHT("0000"&amp;$AF31,4)&amp;"/"&amp;RIGHT("00"&amp;$AG31,2)&amp;"/"&amp;RIGHT("00"&amp;$AH31,2)))</f>
        <v/>
      </c>
      <c r="AJ31">
        <f>IF($AE31="","",IF(Sync!$Q31="","0000",IF(AND(ISNUMBER(Sync!$Q31),Sync!$Q31&gt;=0,Sync!$Q31&lt;1),RIGHT("00"&amp;HOUR(Sync!$Q31),2)&amp;RIGHT("00"&amp;MINUTE(Sync!$Q31),2),IFERROR(RIGHT("00"&amp;VALUE(LEFT(Sync!$Q31,FIND(":",Sync!$Q31)-1)),2)&amp;RIGHT("00"&amp;VALUE(MID(Sync!$Q31,FIND(":",Sync!$Q31)+1,2)),2),"0000"))))</f>
        <v/>
      </c>
      <c r="AK31">
        <f>IF(OR($AE31="",$AI31="",$AI31="نامعتبر"),"",LEFT($AI31,4)&amp;MID($AI31,6,2)&amp;RIGHT($AI31,2)&amp;$AJ31&amp;"|"&amp;"3"&amp;RIGHT("00000"&amp;26,5))</f>
        <v/>
      </c>
      <c r="AL31">
        <f>IF($AK31="","",COUNTIFS(LdAParty,$AE31,LdAType,1,LdAKey,"&lt;"&amp;$AK31)+COUNTIFS(LdBMember,$AE31,LdBKey,"&lt;"&amp;$AK31)+COUNTIFS(LdCParty,$AE31,LdCKey,"&lt;"&amp;$AK31)+1)</f>
        <v/>
      </c>
      <c r="AM31">
        <f>IF($AL31="","",$AE31&amp;"|"&amp;RIGHT("000000"&amp;$AL31,6))</f>
        <v/>
      </c>
      <c r="AN31">
        <f>IF($AE31="","",IF(Sync!$W31="",0,Sync!$W31))</f>
        <v/>
      </c>
      <c r="AO31">
        <f>IF($AE31="","",IF(Sync!$X31="",0,Sync!$X31))</f>
        <v/>
      </c>
      <c r="AP31">
        <f>IF($AE31="","",Sync!$R31)</f>
        <v/>
      </c>
      <c r="AQ31">
        <f>IF($AE31="","",Sync!$Y31)</f>
        <v/>
      </c>
    </row>
    <row r="32">
      <c r="A32">
        <f>IF(OR(Wages!$B35="",Wages!$E35=""),"",Wages!$E35)</f>
        <v/>
      </c>
      <c r="B32">
        <f>IF($A32="","",IF(Wages!$C35="دستمزد گروهی",2,1))</f>
        <v/>
      </c>
      <c r="C32">
        <f>IF($A32="","",IF(ISNUMBER(Wages!$B35),IF(AND(Wages!$B35&gt;=10000101,Wages!$B35&lt;=99991231),INT(Wages!$B35/10000),""),IFERROR(VALUE(TRIM(LEFT(Wages!$B35,FIND("/",Wages!$B35)-1))),"")))</f>
        <v/>
      </c>
      <c r="D32">
        <f>IF(OR($A32="",$C32=""),"",IF(ISNUMBER(Wages!$B35),INT(MOD(Wages!$B35,10000)/100),IFERROR(VALUE(TRIM(LEFT(MID(Wages!$B35,FIND("/",Wages!$B35)+1,20),FIND("/",MID(Wages!$B35,FIND("/",Wages!$B35)+1,20))-1))),"")))</f>
        <v/>
      </c>
      <c r="E32">
        <f>IF(OR($A32="",$C32=""),"",IF(ISNUMBER(Wages!$B35),MOD(Wages!$B35,100),IFERROR(VALUE(TRIM(MID(MID(Wages!$B35,FIND("/",Wages!$B35)+1,20),FIND("/",MID(Wages!$B35,FIND("/",Wages!$B35)+1,20))+1,20))),"")))</f>
        <v/>
      </c>
      <c r="F32">
        <f>IF($A32="","",IF(OR($C32="",$D32="",$E32="",$C32&lt;1300,$C32&gt;1500,$D32&lt;1,$D32&gt;12,$E32&lt;1,$E32&gt;31),"نامعتبر",RIGHT("0000"&amp;$C32,4)&amp;"/"&amp;RIGHT("00"&amp;$D32,2)&amp;"/"&amp;RIGHT("00"&amp;$E32,2)))</f>
        <v/>
      </c>
      <c r="G32">
        <f>IF(OR($A32="",$F32="",$F32="نامعتبر"),"",LEFT($F32,4)&amp;MID($F32,6,2)&amp;RIGHT($F32,2)&amp;"0000"&amp;"|"&amp;"1"&amp;RIGHT("00000"&amp;27,5))</f>
        <v/>
      </c>
      <c r="H32">
        <f>IF(OR($B32&lt;&gt;1,$G32=""),"",COUNTIFS(LdAParty,$A32,LdAType,1,LdAKey,"&lt;"&amp;$G32)+COUNTIFS(LdBMember,$A32,LdBKey,"&lt;"&amp;$G32)+COUNTIFS(LdCParty,$A32,LdCKey,"&lt;"&amp;$G32)+1)</f>
        <v/>
      </c>
      <c r="I32">
        <f>IF($H32="","",$A32&amp;"|"&amp;RIGHT("000000"&amp;$H32,6))</f>
        <v/>
      </c>
      <c r="J32">
        <f>IF(OR($B32&lt;&gt;2,$G32=""),"",COUNTIFS(LdAParty,$A32,LdAType,2,LdAKey,"&lt;"&amp;$G32)+1)</f>
        <v/>
      </c>
      <c r="K32">
        <f>IF($J32="","",$A32&amp;"|"&amp;RIGHT("000000"&amp;$J32,6))</f>
        <v/>
      </c>
      <c r="L32">
        <f>IF($A32="","",IF(Wages!$G35="",0,Wages!$G35))</f>
        <v/>
      </c>
      <c r="M32">
        <f>IF($A32="","",Wages!$J35)</f>
        <v/>
      </c>
      <c r="N32">
        <f>IF($A32="","",Wages!$D35)</f>
        <v/>
      </c>
      <c r="P32">
        <f>IF(OR(Shares!$B35="",Shares!$C35=""),"",Shares!$C35)</f>
        <v/>
      </c>
      <c r="Q32">
        <f>IF($P32="","",Shares!$B35)</f>
        <v/>
      </c>
      <c r="R32">
        <f>IF($P32="","",IFERROR(INDEX(WageParty,MATCH($Q32,WageIds,0)),""))</f>
        <v/>
      </c>
      <c r="S32">
        <f>IF($P32="","",IFERROR(INDEX($F$6:$F$2005,MATCH($Q32,WageIds,0)),""))</f>
        <v/>
      </c>
      <c r="T32">
        <f>IF(OR($P32="",$S32="",$S32="نامعتبر"),"",LEFT($S32,4)&amp;MID($S32,6,2)&amp;RIGHT($S32,2)&amp;"0000"&amp;"|"&amp;"2"&amp;RIGHT("00000"&amp;27,5))</f>
        <v/>
      </c>
      <c r="U32">
        <f>IF($T32="","",COUNTIFS(LdAParty,$P32,LdAType,1,LdAKey,"&lt;"&amp;$T32)+COUNTIFS(LdBMember,$P32,LdBKey,"&lt;"&amp;$T32)+COUNTIFS(LdCParty,$P32,LdCKey,"&lt;"&amp;$T32)+1)</f>
        <v/>
      </c>
      <c r="V32">
        <f>IF($U32="","",$P32&amp;"|"&amp;RIGHT("000000"&amp;$U32,6))</f>
        <v/>
      </c>
      <c r="W32">
        <f>IF($T32="","",COUNTIFS(LdBGroup,$R32,LdBKey,"&lt;"&amp;$T32)+1)</f>
        <v/>
      </c>
      <c r="X32">
        <f>IF($W32="","",$R32&amp;"|"&amp;RIGHT("000000"&amp;$W32,6))</f>
        <v/>
      </c>
      <c r="Y32">
        <f>IF($P32="","",IF(Shares!$E35="",0,Shares!$E35))</f>
        <v/>
      </c>
      <c r="Z32">
        <f>IF($P32="","",Shares!$H35)</f>
        <v/>
      </c>
      <c r="AE32">
        <f>IF(OR(Sync!$S32="",Sync!$P32=""),"",Sync!$S32)</f>
        <v/>
      </c>
      <c r="AF32">
        <f>IF($AE32="","",IF(ISNUMBER(Sync!$P32),IF(AND(Sync!$P32&gt;=10000101,Sync!$P32&lt;=99991231),INT(Sync!$P32/10000),""),IFERROR(VALUE(TRIM(LEFT(Sync!$P32,FIND("/",Sync!$P32)-1))),"")))</f>
        <v/>
      </c>
      <c r="AG32">
        <f>IF(OR($AE32="",$AF32=""),"",IF(ISNUMBER(Sync!$P32),INT(MOD(Sync!$P32,10000)/100),IFERROR(VALUE(TRIM(LEFT(MID(Sync!$P32,FIND("/",Sync!$P32)+1,20),FIND("/",MID(Sync!$P32,FIND("/",Sync!$P32)+1,20))-1))),"")))</f>
        <v/>
      </c>
      <c r="AH32">
        <f>IF(OR($AE32="",$AF32=""),"",IF(ISNUMBER(Sync!$P32),MOD(Sync!$P32,100),IFERROR(VALUE(TRIM(MID(MID(Sync!$P32,FIND("/",Sync!$P32)+1,20),FIND("/",MID(Sync!$P32,FIND("/",Sync!$P32)+1,20))+1,20))),"")))</f>
        <v/>
      </c>
      <c r="AI32">
        <f>IF($AE32="","",IF(OR($AF32="",$AG32="",$AH32="",$AF32&lt;1300,$AF32&gt;1500,$AG32&lt;1,$AG32&gt;12,$AH32&lt;1,$AH32&gt;31),"نامعتبر",RIGHT("0000"&amp;$AF32,4)&amp;"/"&amp;RIGHT("00"&amp;$AG32,2)&amp;"/"&amp;RIGHT("00"&amp;$AH32,2)))</f>
        <v/>
      </c>
      <c r="AJ32">
        <f>IF($AE32="","",IF(Sync!$Q32="","0000",IF(AND(ISNUMBER(Sync!$Q32),Sync!$Q32&gt;=0,Sync!$Q32&lt;1),RIGHT("00"&amp;HOUR(Sync!$Q32),2)&amp;RIGHT("00"&amp;MINUTE(Sync!$Q32),2),IFERROR(RIGHT("00"&amp;VALUE(LEFT(Sync!$Q32,FIND(":",Sync!$Q32)-1)),2)&amp;RIGHT("00"&amp;VALUE(MID(Sync!$Q32,FIND(":",Sync!$Q32)+1,2)),2),"0000"))))</f>
        <v/>
      </c>
      <c r="AK32">
        <f>IF(OR($AE32="",$AI32="",$AI32="نامعتبر"),"",LEFT($AI32,4)&amp;MID($AI32,6,2)&amp;RIGHT($AI32,2)&amp;$AJ32&amp;"|"&amp;"3"&amp;RIGHT("00000"&amp;27,5))</f>
        <v/>
      </c>
      <c r="AL32">
        <f>IF($AK32="","",COUNTIFS(LdAParty,$AE32,LdAType,1,LdAKey,"&lt;"&amp;$AK32)+COUNTIFS(LdBMember,$AE32,LdBKey,"&lt;"&amp;$AK32)+COUNTIFS(LdCParty,$AE32,LdCKey,"&lt;"&amp;$AK32)+1)</f>
        <v/>
      </c>
      <c r="AM32">
        <f>IF($AL32="","",$AE32&amp;"|"&amp;RIGHT("000000"&amp;$AL32,6))</f>
        <v/>
      </c>
      <c r="AN32">
        <f>IF($AE32="","",IF(Sync!$W32="",0,Sync!$W32))</f>
        <v/>
      </c>
      <c r="AO32">
        <f>IF($AE32="","",IF(Sync!$X32="",0,Sync!$X32))</f>
        <v/>
      </c>
      <c r="AP32">
        <f>IF($AE32="","",Sync!$R32)</f>
        <v/>
      </c>
      <c r="AQ32">
        <f>IF($AE32="","",Sync!$Y32)</f>
        <v/>
      </c>
    </row>
    <row r="33">
      <c r="A33">
        <f>IF(OR(Wages!$B36="",Wages!$E36=""),"",Wages!$E36)</f>
        <v/>
      </c>
      <c r="B33">
        <f>IF($A33="","",IF(Wages!$C36="دستمزد گروهی",2,1))</f>
        <v/>
      </c>
      <c r="C33">
        <f>IF($A33="","",IF(ISNUMBER(Wages!$B36),IF(AND(Wages!$B36&gt;=10000101,Wages!$B36&lt;=99991231),INT(Wages!$B36/10000),""),IFERROR(VALUE(TRIM(LEFT(Wages!$B36,FIND("/",Wages!$B36)-1))),"")))</f>
        <v/>
      </c>
      <c r="D33">
        <f>IF(OR($A33="",$C33=""),"",IF(ISNUMBER(Wages!$B36),INT(MOD(Wages!$B36,10000)/100),IFERROR(VALUE(TRIM(LEFT(MID(Wages!$B36,FIND("/",Wages!$B36)+1,20),FIND("/",MID(Wages!$B36,FIND("/",Wages!$B36)+1,20))-1))),"")))</f>
        <v/>
      </c>
      <c r="E33">
        <f>IF(OR($A33="",$C33=""),"",IF(ISNUMBER(Wages!$B36),MOD(Wages!$B36,100),IFERROR(VALUE(TRIM(MID(MID(Wages!$B36,FIND("/",Wages!$B36)+1,20),FIND("/",MID(Wages!$B36,FIND("/",Wages!$B36)+1,20))+1,20))),"")))</f>
        <v/>
      </c>
      <c r="F33">
        <f>IF($A33="","",IF(OR($C33="",$D33="",$E33="",$C33&lt;1300,$C33&gt;1500,$D33&lt;1,$D33&gt;12,$E33&lt;1,$E33&gt;31),"نامعتبر",RIGHT("0000"&amp;$C33,4)&amp;"/"&amp;RIGHT("00"&amp;$D33,2)&amp;"/"&amp;RIGHT("00"&amp;$E33,2)))</f>
        <v/>
      </c>
      <c r="G33">
        <f>IF(OR($A33="",$F33="",$F33="نامعتبر"),"",LEFT($F33,4)&amp;MID($F33,6,2)&amp;RIGHT($F33,2)&amp;"0000"&amp;"|"&amp;"1"&amp;RIGHT("00000"&amp;28,5))</f>
        <v/>
      </c>
      <c r="H33">
        <f>IF(OR($B33&lt;&gt;1,$G33=""),"",COUNTIFS(LdAParty,$A33,LdAType,1,LdAKey,"&lt;"&amp;$G33)+COUNTIFS(LdBMember,$A33,LdBKey,"&lt;"&amp;$G33)+COUNTIFS(LdCParty,$A33,LdCKey,"&lt;"&amp;$G33)+1)</f>
        <v/>
      </c>
      <c r="I33">
        <f>IF($H33="","",$A33&amp;"|"&amp;RIGHT("000000"&amp;$H33,6))</f>
        <v/>
      </c>
      <c r="J33">
        <f>IF(OR($B33&lt;&gt;2,$G33=""),"",COUNTIFS(LdAParty,$A33,LdAType,2,LdAKey,"&lt;"&amp;$G33)+1)</f>
        <v/>
      </c>
      <c r="K33">
        <f>IF($J33="","",$A33&amp;"|"&amp;RIGHT("000000"&amp;$J33,6))</f>
        <v/>
      </c>
      <c r="L33">
        <f>IF($A33="","",IF(Wages!$G36="",0,Wages!$G36))</f>
        <v/>
      </c>
      <c r="M33">
        <f>IF($A33="","",Wages!$J36)</f>
        <v/>
      </c>
      <c r="N33">
        <f>IF($A33="","",Wages!$D36)</f>
        <v/>
      </c>
      <c r="P33">
        <f>IF(OR(Shares!$B36="",Shares!$C36=""),"",Shares!$C36)</f>
        <v/>
      </c>
      <c r="Q33">
        <f>IF($P33="","",Shares!$B36)</f>
        <v/>
      </c>
      <c r="R33">
        <f>IF($P33="","",IFERROR(INDEX(WageParty,MATCH($Q33,WageIds,0)),""))</f>
        <v/>
      </c>
      <c r="S33">
        <f>IF($P33="","",IFERROR(INDEX($F$6:$F$2005,MATCH($Q33,WageIds,0)),""))</f>
        <v/>
      </c>
      <c r="T33">
        <f>IF(OR($P33="",$S33="",$S33="نامعتبر"),"",LEFT($S33,4)&amp;MID($S33,6,2)&amp;RIGHT($S33,2)&amp;"0000"&amp;"|"&amp;"2"&amp;RIGHT("00000"&amp;28,5))</f>
        <v/>
      </c>
      <c r="U33">
        <f>IF($T33="","",COUNTIFS(LdAParty,$P33,LdAType,1,LdAKey,"&lt;"&amp;$T33)+COUNTIFS(LdBMember,$P33,LdBKey,"&lt;"&amp;$T33)+COUNTIFS(LdCParty,$P33,LdCKey,"&lt;"&amp;$T33)+1)</f>
        <v/>
      </c>
      <c r="V33">
        <f>IF($U33="","",$P33&amp;"|"&amp;RIGHT("000000"&amp;$U33,6))</f>
        <v/>
      </c>
      <c r="W33">
        <f>IF($T33="","",COUNTIFS(LdBGroup,$R33,LdBKey,"&lt;"&amp;$T33)+1)</f>
        <v/>
      </c>
      <c r="X33">
        <f>IF($W33="","",$R33&amp;"|"&amp;RIGHT("000000"&amp;$W33,6))</f>
        <v/>
      </c>
      <c r="Y33">
        <f>IF($P33="","",IF(Shares!$E36="",0,Shares!$E36))</f>
        <v/>
      </c>
      <c r="Z33">
        <f>IF($P33="","",Shares!$H36)</f>
        <v/>
      </c>
      <c r="AE33">
        <f>IF(OR(Sync!$S33="",Sync!$P33=""),"",Sync!$S33)</f>
        <v/>
      </c>
      <c r="AF33">
        <f>IF($AE33="","",IF(ISNUMBER(Sync!$P33),IF(AND(Sync!$P33&gt;=10000101,Sync!$P33&lt;=99991231),INT(Sync!$P33/10000),""),IFERROR(VALUE(TRIM(LEFT(Sync!$P33,FIND("/",Sync!$P33)-1))),"")))</f>
        <v/>
      </c>
      <c r="AG33">
        <f>IF(OR($AE33="",$AF33=""),"",IF(ISNUMBER(Sync!$P33),INT(MOD(Sync!$P33,10000)/100),IFERROR(VALUE(TRIM(LEFT(MID(Sync!$P33,FIND("/",Sync!$P33)+1,20),FIND("/",MID(Sync!$P33,FIND("/",Sync!$P33)+1,20))-1))),"")))</f>
        <v/>
      </c>
      <c r="AH33">
        <f>IF(OR($AE33="",$AF33=""),"",IF(ISNUMBER(Sync!$P33),MOD(Sync!$P33,100),IFERROR(VALUE(TRIM(MID(MID(Sync!$P33,FIND("/",Sync!$P33)+1,20),FIND("/",MID(Sync!$P33,FIND("/",Sync!$P33)+1,20))+1,20))),"")))</f>
        <v/>
      </c>
      <c r="AI33">
        <f>IF($AE33="","",IF(OR($AF33="",$AG33="",$AH33="",$AF33&lt;1300,$AF33&gt;1500,$AG33&lt;1,$AG33&gt;12,$AH33&lt;1,$AH33&gt;31),"نامعتبر",RIGHT("0000"&amp;$AF33,4)&amp;"/"&amp;RIGHT("00"&amp;$AG33,2)&amp;"/"&amp;RIGHT("00"&amp;$AH33,2)))</f>
        <v/>
      </c>
      <c r="AJ33">
        <f>IF($AE33="","",IF(Sync!$Q33="","0000",IF(AND(ISNUMBER(Sync!$Q33),Sync!$Q33&gt;=0,Sync!$Q33&lt;1),RIGHT("00"&amp;HOUR(Sync!$Q33),2)&amp;RIGHT("00"&amp;MINUTE(Sync!$Q33),2),IFERROR(RIGHT("00"&amp;VALUE(LEFT(Sync!$Q33,FIND(":",Sync!$Q33)-1)),2)&amp;RIGHT("00"&amp;VALUE(MID(Sync!$Q33,FIND(":",Sync!$Q33)+1,2)),2),"0000"))))</f>
        <v/>
      </c>
      <c r="AK33">
        <f>IF(OR($AE33="",$AI33="",$AI33="نامعتبر"),"",LEFT($AI33,4)&amp;MID($AI33,6,2)&amp;RIGHT($AI33,2)&amp;$AJ33&amp;"|"&amp;"3"&amp;RIGHT("00000"&amp;28,5))</f>
        <v/>
      </c>
      <c r="AL33">
        <f>IF($AK33="","",COUNTIFS(LdAParty,$AE33,LdAType,1,LdAKey,"&lt;"&amp;$AK33)+COUNTIFS(LdBMember,$AE33,LdBKey,"&lt;"&amp;$AK33)+COUNTIFS(LdCParty,$AE33,LdCKey,"&lt;"&amp;$AK33)+1)</f>
        <v/>
      </c>
      <c r="AM33">
        <f>IF($AL33="","",$AE33&amp;"|"&amp;RIGHT("000000"&amp;$AL33,6))</f>
        <v/>
      </c>
      <c r="AN33">
        <f>IF($AE33="","",IF(Sync!$W33="",0,Sync!$W33))</f>
        <v/>
      </c>
      <c r="AO33">
        <f>IF($AE33="","",IF(Sync!$X33="",0,Sync!$X33))</f>
        <v/>
      </c>
      <c r="AP33">
        <f>IF($AE33="","",Sync!$R33)</f>
        <v/>
      </c>
      <c r="AQ33">
        <f>IF($AE33="","",Sync!$Y33)</f>
        <v/>
      </c>
    </row>
    <row r="34">
      <c r="A34">
        <f>IF(OR(Wages!$B37="",Wages!$E37=""),"",Wages!$E37)</f>
        <v/>
      </c>
      <c r="B34">
        <f>IF($A34="","",IF(Wages!$C37="دستمزد گروهی",2,1))</f>
        <v/>
      </c>
      <c r="C34">
        <f>IF($A34="","",IF(ISNUMBER(Wages!$B37),IF(AND(Wages!$B37&gt;=10000101,Wages!$B37&lt;=99991231),INT(Wages!$B37/10000),""),IFERROR(VALUE(TRIM(LEFT(Wages!$B37,FIND("/",Wages!$B37)-1))),"")))</f>
        <v/>
      </c>
      <c r="D34">
        <f>IF(OR($A34="",$C34=""),"",IF(ISNUMBER(Wages!$B37),INT(MOD(Wages!$B37,10000)/100),IFERROR(VALUE(TRIM(LEFT(MID(Wages!$B37,FIND("/",Wages!$B37)+1,20),FIND("/",MID(Wages!$B37,FIND("/",Wages!$B37)+1,20))-1))),"")))</f>
        <v/>
      </c>
      <c r="E34">
        <f>IF(OR($A34="",$C34=""),"",IF(ISNUMBER(Wages!$B37),MOD(Wages!$B37,100),IFERROR(VALUE(TRIM(MID(MID(Wages!$B37,FIND("/",Wages!$B37)+1,20),FIND("/",MID(Wages!$B37,FIND("/",Wages!$B37)+1,20))+1,20))),"")))</f>
        <v/>
      </c>
      <c r="F34">
        <f>IF($A34="","",IF(OR($C34="",$D34="",$E34="",$C34&lt;1300,$C34&gt;1500,$D34&lt;1,$D34&gt;12,$E34&lt;1,$E34&gt;31),"نامعتبر",RIGHT("0000"&amp;$C34,4)&amp;"/"&amp;RIGHT("00"&amp;$D34,2)&amp;"/"&amp;RIGHT("00"&amp;$E34,2)))</f>
        <v/>
      </c>
      <c r="G34">
        <f>IF(OR($A34="",$F34="",$F34="نامعتبر"),"",LEFT($F34,4)&amp;MID($F34,6,2)&amp;RIGHT($F34,2)&amp;"0000"&amp;"|"&amp;"1"&amp;RIGHT("00000"&amp;29,5))</f>
        <v/>
      </c>
      <c r="H34">
        <f>IF(OR($B34&lt;&gt;1,$G34=""),"",COUNTIFS(LdAParty,$A34,LdAType,1,LdAKey,"&lt;"&amp;$G34)+COUNTIFS(LdBMember,$A34,LdBKey,"&lt;"&amp;$G34)+COUNTIFS(LdCParty,$A34,LdCKey,"&lt;"&amp;$G34)+1)</f>
        <v/>
      </c>
      <c r="I34">
        <f>IF($H34="","",$A34&amp;"|"&amp;RIGHT("000000"&amp;$H34,6))</f>
        <v/>
      </c>
      <c r="J34">
        <f>IF(OR($B34&lt;&gt;2,$G34=""),"",COUNTIFS(LdAParty,$A34,LdAType,2,LdAKey,"&lt;"&amp;$G34)+1)</f>
        <v/>
      </c>
      <c r="K34">
        <f>IF($J34="","",$A34&amp;"|"&amp;RIGHT("000000"&amp;$J34,6))</f>
        <v/>
      </c>
      <c r="L34">
        <f>IF($A34="","",IF(Wages!$G37="",0,Wages!$G37))</f>
        <v/>
      </c>
      <c r="M34">
        <f>IF($A34="","",Wages!$J37)</f>
        <v/>
      </c>
      <c r="N34">
        <f>IF($A34="","",Wages!$D37)</f>
        <v/>
      </c>
      <c r="P34">
        <f>IF(OR(Shares!$B37="",Shares!$C37=""),"",Shares!$C37)</f>
        <v/>
      </c>
      <c r="Q34">
        <f>IF($P34="","",Shares!$B37)</f>
        <v/>
      </c>
      <c r="R34">
        <f>IF($P34="","",IFERROR(INDEX(WageParty,MATCH($Q34,WageIds,0)),""))</f>
        <v/>
      </c>
      <c r="S34">
        <f>IF($P34="","",IFERROR(INDEX($F$6:$F$2005,MATCH($Q34,WageIds,0)),""))</f>
        <v/>
      </c>
      <c r="T34">
        <f>IF(OR($P34="",$S34="",$S34="نامعتبر"),"",LEFT($S34,4)&amp;MID($S34,6,2)&amp;RIGHT($S34,2)&amp;"0000"&amp;"|"&amp;"2"&amp;RIGHT("00000"&amp;29,5))</f>
        <v/>
      </c>
      <c r="U34">
        <f>IF($T34="","",COUNTIFS(LdAParty,$P34,LdAType,1,LdAKey,"&lt;"&amp;$T34)+COUNTIFS(LdBMember,$P34,LdBKey,"&lt;"&amp;$T34)+COUNTIFS(LdCParty,$P34,LdCKey,"&lt;"&amp;$T34)+1)</f>
        <v/>
      </c>
      <c r="V34">
        <f>IF($U34="","",$P34&amp;"|"&amp;RIGHT("000000"&amp;$U34,6))</f>
        <v/>
      </c>
      <c r="W34">
        <f>IF($T34="","",COUNTIFS(LdBGroup,$R34,LdBKey,"&lt;"&amp;$T34)+1)</f>
        <v/>
      </c>
      <c r="X34">
        <f>IF($W34="","",$R34&amp;"|"&amp;RIGHT("000000"&amp;$W34,6))</f>
        <v/>
      </c>
      <c r="Y34">
        <f>IF($P34="","",IF(Shares!$E37="",0,Shares!$E37))</f>
        <v/>
      </c>
      <c r="Z34">
        <f>IF($P34="","",Shares!$H37)</f>
        <v/>
      </c>
      <c r="AE34">
        <f>IF(OR(Sync!$S34="",Sync!$P34=""),"",Sync!$S34)</f>
        <v/>
      </c>
      <c r="AF34">
        <f>IF($AE34="","",IF(ISNUMBER(Sync!$P34),IF(AND(Sync!$P34&gt;=10000101,Sync!$P34&lt;=99991231),INT(Sync!$P34/10000),""),IFERROR(VALUE(TRIM(LEFT(Sync!$P34,FIND("/",Sync!$P34)-1))),"")))</f>
        <v/>
      </c>
      <c r="AG34">
        <f>IF(OR($AE34="",$AF34=""),"",IF(ISNUMBER(Sync!$P34),INT(MOD(Sync!$P34,10000)/100),IFERROR(VALUE(TRIM(LEFT(MID(Sync!$P34,FIND("/",Sync!$P34)+1,20),FIND("/",MID(Sync!$P34,FIND("/",Sync!$P34)+1,20))-1))),"")))</f>
        <v/>
      </c>
      <c r="AH34">
        <f>IF(OR($AE34="",$AF34=""),"",IF(ISNUMBER(Sync!$P34),MOD(Sync!$P34,100),IFERROR(VALUE(TRIM(MID(MID(Sync!$P34,FIND("/",Sync!$P34)+1,20),FIND("/",MID(Sync!$P34,FIND("/",Sync!$P34)+1,20))+1,20))),"")))</f>
        <v/>
      </c>
      <c r="AI34">
        <f>IF($AE34="","",IF(OR($AF34="",$AG34="",$AH34="",$AF34&lt;1300,$AF34&gt;1500,$AG34&lt;1,$AG34&gt;12,$AH34&lt;1,$AH34&gt;31),"نامعتبر",RIGHT("0000"&amp;$AF34,4)&amp;"/"&amp;RIGHT("00"&amp;$AG34,2)&amp;"/"&amp;RIGHT("00"&amp;$AH34,2)))</f>
        <v/>
      </c>
      <c r="AJ34">
        <f>IF($AE34="","",IF(Sync!$Q34="","0000",IF(AND(ISNUMBER(Sync!$Q34),Sync!$Q34&gt;=0,Sync!$Q34&lt;1),RIGHT("00"&amp;HOUR(Sync!$Q34),2)&amp;RIGHT("00"&amp;MINUTE(Sync!$Q34),2),IFERROR(RIGHT("00"&amp;VALUE(LEFT(Sync!$Q34,FIND(":",Sync!$Q34)-1)),2)&amp;RIGHT("00"&amp;VALUE(MID(Sync!$Q34,FIND(":",Sync!$Q34)+1,2)),2),"0000"))))</f>
        <v/>
      </c>
      <c r="AK34">
        <f>IF(OR($AE34="",$AI34="",$AI34="نامعتبر"),"",LEFT($AI34,4)&amp;MID($AI34,6,2)&amp;RIGHT($AI34,2)&amp;$AJ34&amp;"|"&amp;"3"&amp;RIGHT("00000"&amp;29,5))</f>
        <v/>
      </c>
      <c r="AL34">
        <f>IF($AK34="","",COUNTIFS(LdAParty,$AE34,LdAType,1,LdAKey,"&lt;"&amp;$AK34)+COUNTIFS(LdBMember,$AE34,LdBKey,"&lt;"&amp;$AK34)+COUNTIFS(LdCParty,$AE34,LdCKey,"&lt;"&amp;$AK34)+1)</f>
        <v/>
      </c>
      <c r="AM34">
        <f>IF($AL34="","",$AE34&amp;"|"&amp;RIGHT("000000"&amp;$AL34,6))</f>
        <v/>
      </c>
      <c r="AN34">
        <f>IF($AE34="","",IF(Sync!$W34="",0,Sync!$W34))</f>
        <v/>
      </c>
      <c r="AO34">
        <f>IF($AE34="","",IF(Sync!$X34="",0,Sync!$X34))</f>
        <v/>
      </c>
      <c r="AP34">
        <f>IF($AE34="","",Sync!$R34)</f>
        <v/>
      </c>
      <c r="AQ34">
        <f>IF($AE34="","",Sync!$Y34)</f>
        <v/>
      </c>
    </row>
    <row r="35">
      <c r="A35">
        <f>IF(OR(Wages!$B38="",Wages!$E38=""),"",Wages!$E38)</f>
        <v/>
      </c>
      <c r="B35">
        <f>IF($A35="","",IF(Wages!$C38="دستمزد گروهی",2,1))</f>
        <v/>
      </c>
      <c r="C35">
        <f>IF($A35="","",IF(ISNUMBER(Wages!$B38),IF(AND(Wages!$B38&gt;=10000101,Wages!$B38&lt;=99991231),INT(Wages!$B38/10000),""),IFERROR(VALUE(TRIM(LEFT(Wages!$B38,FIND("/",Wages!$B38)-1))),"")))</f>
        <v/>
      </c>
      <c r="D35">
        <f>IF(OR($A35="",$C35=""),"",IF(ISNUMBER(Wages!$B38),INT(MOD(Wages!$B38,10000)/100),IFERROR(VALUE(TRIM(LEFT(MID(Wages!$B38,FIND("/",Wages!$B38)+1,20),FIND("/",MID(Wages!$B38,FIND("/",Wages!$B38)+1,20))-1))),"")))</f>
        <v/>
      </c>
      <c r="E35">
        <f>IF(OR($A35="",$C35=""),"",IF(ISNUMBER(Wages!$B38),MOD(Wages!$B38,100),IFERROR(VALUE(TRIM(MID(MID(Wages!$B38,FIND("/",Wages!$B38)+1,20),FIND("/",MID(Wages!$B38,FIND("/",Wages!$B38)+1,20))+1,20))),"")))</f>
        <v/>
      </c>
      <c r="F35">
        <f>IF($A35="","",IF(OR($C35="",$D35="",$E35="",$C35&lt;1300,$C35&gt;1500,$D35&lt;1,$D35&gt;12,$E35&lt;1,$E35&gt;31),"نامعتبر",RIGHT("0000"&amp;$C35,4)&amp;"/"&amp;RIGHT("00"&amp;$D35,2)&amp;"/"&amp;RIGHT("00"&amp;$E35,2)))</f>
        <v/>
      </c>
      <c r="G35">
        <f>IF(OR($A35="",$F35="",$F35="نامعتبر"),"",LEFT($F35,4)&amp;MID($F35,6,2)&amp;RIGHT($F35,2)&amp;"0000"&amp;"|"&amp;"1"&amp;RIGHT("00000"&amp;30,5))</f>
        <v/>
      </c>
      <c r="H35">
        <f>IF(OR($B35&lt;&gt;1,$G35=""),"",COUNTIFS(LdAParty,$A35,LdAType,1,LdAKey,"&lt;"&amp;$G35)+COUNTIFS(LdBMember,$A35,LdBKey,"&lt;"&amp;$G35)+COUNTIFS(LdCParty,$A35,LdCKey,"&lt;"&amp;$G35)+1)</f>
        <v/>
      </c>
      <c r="I35">
        <f>IF($H35="","",$A35&amp;"|"&amp;RIGHT("000000"&amp;$H35,6))</f>
        <v/>
      </c>
      <c r="J35">
        <f>IF(OR($B35&lt;&gt;2,$G35=""),"",COUNTIFS(LdAParty,$A35,LdAType,2,LdAKey,"&lt;"&amp;$G35)+1)</f>
        <v/>
      </c>
      <c r="K35">
        <f>IF($J35="","",$A35&amp;"|"&amp;RIGHT("000000"&amp;$J35,6))</f>
        <v/>
      </c>
      <c r="L35">
        <f>IF($A35="","",IF(Wages!$G38="",0,Wages!$G38))</f>
        <v/>
      </c>
      <c r="M35">
        <f>IF($A35="","",Wages!$J38)</f>
        <v/>
      </c>
      <c r="N35">
        <f>IF($A35="","",Wages!$D38)</f>
        <v/>
      </c>
      <c r="P35">
        <f>IF(OR(Shares!$B38="",Shares!$C38=""),"",Shares!$C38)</f>
        <v/>
      </c>
      <c r="Q35">
        <f>IF($P35="","",Shares!$B38)</f>
        <v/>
      </c>
      <c r="R35">
        <f>IF($P35="","",IFERROR(INDEX(WageParty,MATCH($Q35,WageIds,0)),""))</f>
        <v/>
      </c>
      <c r="S35">
        <f>IF($P35="","",IFERROR(INDEX($F$6:$F$2005,MATCH($Q35,WageIds,0)),""))</f>
        <v/>
      </c>
      <c r="T35">
        <f>IF(OR($P35="",$S35="",$S35="نامعتبر"),"",LEFT($S35,4)&amp;MID($S35,6,2)&amp;RIGHT($S35,2)&amp;"0000"&amp;"|"&amp;"2"&amp;RIGHT("00000"&amp;30,5))</f>
        <v/>
      </c>
      <c r="U35">
        <f>IF($T35="","",COUNTIFS(LdAParty,$P35,LdAType,1,LdAKey,"&lt;"&amp;$T35)+COUNTIFS(LdBMember,$P35,LdBKey,"&lt;"&amp;$T35)+COUNTIFS(LdCParty,$P35,LdCKey,"&lt;"&amp;$T35)+1)</f>
        <v/>
      </c>
      <c r="V35">
        <f>IF($U35="","",$P35&amp;"|"&amp;RIGHT("000000"&amp;$U35,6))</f>
        <v/>
      </c>
      <c r="W35">
        <f>IF($T35="","",COUNTIFS(LdBGroup,$R35,LdBKey,"&lt;"&amp;$T35)+1)</f>
        <v/>
      </c>
      <c r="X35">
        <f>IF($W35="","",$R35&amp;"|"&amp;RIGHT("000000"&amp;$W35,6))</f>
        <v/>
      </c>
      <c r="Y35">
        <f>IF($P35="","",IF(Shares!$E38="",0,Shares!$E38))</f>
        <v/>
      </c>
      <c r="Z35">
        <f>IF($P35="","",Shares!$H38)</f>
        <v/>
      </c>
      <c r="AE35">
        <f>IF(OR(Sync!$S35="",Sync!$P35=""),"",Sync!$S35)</f>
        <v/>
      </c>
      <c r="AF35">
        <f>IF($AE35="","",IF(ISNUMBER(Sync!$P35),IF(AND(Sync!$P35&gt;=10000101,Sync!$P35&lt;=99991231),INT(Sync!$P35/10000),""),IFERROR(VALUE(TRIM(LEFT(Sync!$P35,FIND("/",Sync!$P35)-1))),"")))</f>
        <v/>
      </c>
      <c r="AG35">
        <f>IF(OR($AE35="",$AF35=""),"",IF(ISNUMBER(Sync!$P35),INT(MOD(Sync!$P35,10000)/100),IFERROR(VALUE(TRIM(LEFT(MID(Sync!$P35,FIND("/",Sync!$P35)+1,20),FIND("/",MID(Sync!$P35,FIND("/",Sync!$P35)+1,20))-1))),"")))</f>
        <v/>
      </c>
      <c r="AH35">
        <f>IF(OR($AE35="",$AF35=""),"",IF(ISNUMBER(Sync!$P35),MOD(Sync!$P35,100),IFERROR(VALUE(TRIM(MID(MID(Sync!$P35,FIND("/",Sync!$P35)+1,20),FIND("/",MID(Sync!$P35,FIND("/",Sync!$P35)+1,20))+1,20))),"")))</f>
        <v/>
      </c>
      <c r="AI35">
        <f>IF($AE35="","",IF(OR($AF35="",$AG35="",$AH35="",$AF35&lt;1300,$AF35&gt;1500,$AG35&lt;1,$AG35&gt;12,$AH35&lt;1,$AH35&gt;31),"نامعتبر",RIGHT("0000"&amp;$AF35,4)&amp;"/"&amp;RIGHT("00"&amp;$AG35,2)&amp;"/"&amp;RIGHT("00"&amp;$AH35,2)))</f>
        <v/>
      </c>
      <c r="AJ35">
        <f>IF($AE35="","",IF(Sync!$Q35="","0000",IF(AND(ISNUMBER(Sync!$Q35),Sync!$Q35&gt;=0,Sync!$Q35&lt;1),RIGHT("00"&amp;HOUR(Sync!$Q35),2)&amp;RIGHT("00"&amp;MINUTE(Sync!$Q35),2),IFERROR(RIGHT("00"&amp;VALUE(LEFT(Sync!$Q35,FIND(":",Sync!$Q35)-1)),2)&amp;RIGHT("00"&amp;VALUE(MID(Sync!$Q35,FIND(":",Sync!$Q35)+1,2)),2),"0000"))))</f>
        <v/>
      </c>
      <c r="AK35">
        <f>IF(OR($AE35="",$AI35="",$AI35="نامعتبر"),"",LEFT($AI35,4)&amp;MID($AI35,6,2)&amp;RIGHT($AI35,2)&amp;$AJ35&amp;"|"&amp;"3"&amp;RIGHT("00000"&amp;30,5))</f>
        <v/>
      </c>
      <c r="AL35">
        <f>IF($AK35="","",COUNTIFS(LdAParty,$AE35,LdAType,1,LdAKey,"&lt;"&amp;$AK35)+COUNTIFS(LdBMember,$AE35,LdBKey,"&lt;"&amp;$AK35)+COUNTIFS(LdCParty,$AE35,LdCKey,"&lt;"&amp;$AK35)+1)</f>
        <v/>
      </c>
      <c r="AM35">
        <f>IF($AL35="","",$AE35&amp;"|"&amp;RIGHT("000000"&amp;$AL35,6))</f>
        <v/>
      </c>
      <c r="AN35">
        <f>IF($AE35="","",IF(Sync!$W35="",0,Sync!$W35))</f>
        <v/>
      </c>
      <c r="AO35">
        <f>IF($AE35="","",IF(Sync!$X35="",0,Sync!$X35))</f>
        <v/>
      </c>
      <c r="AP35">
        <f>IF($AE35="","",Sync!$R35)</f>
        <v/>
      </c>
      <c r="AQ35">
        <f>IF($AE35="","",Sync!$Y35)</f>
        <v/>
      </c>
    </row>
    <row r="36">
      <c r="A36">
        <f>IF(OR(Wages!$B39="",Wages!$E39=""),"",Wages!$E39)</f>
        <v/>
      </c>
      <c r="B36">
        <f>IF($A36="","",IF(Wages!$C39="دستمزد گروهی",2,1))</f>
        <v/>
      </c>
      <c r="C36">
        <f>IF($A36="","",IF(ISNUMBER(Wages!$B39),IF(AND(Wages!$B39&gt;=10000101,Wages!$B39&lt;=99991231),INT(Wages!$B39/10000),""),IFERROR(VALUE(TRIM(LEFT(Wages!$B39,FIND("/",Wages!$B39)-1))),"")))</f>
        <v/>
      </c>
      <c r="D36">
        <f>IF(OR($A36="",$C36=""),"",IF(ISNUMBER(Wages!$B39),INT(MOD(Wages!$B39,10000)/100),IFERROR(VALUE(TRIM(LEFT(MID(Wages!$B39,FIND("/",Wages!$B39)+1,20),FIND("/",MID(Wages!$B39,FIND("/",Wages!$B39)+1,20))-1))),"")))</f>
        <v/>
      </c>
      <c r="E36">
        <f>IF(OR($A36="",$C36=""),"",IF(ISNUMBER(Wages!$B39),MOD(Wages!$B39,100),IFERROR(VALUE(TRIM(MID(MID(Wages!$B39,FIND("/",Wages!$B39)+1,20),FIND("/",MID(Wages!$B39,FIND("/",Wages!$B39)+1,20))+1,20))),"")))</f>
        <v/>
      </c>
      <c r="F36">
        <f>IF($A36="","",IF(OR($C36="",$D36="",$E36="",$C36&lt;1300,$C36&gt;1500,$D36&lt;1,$D36&gt;12,$E36&lt;1,$E36&gt;31),"نامعتبر",RIGHT("0000"&amp;$C36,4)&amp;"/"&amp;RIGHT("00"&amp;$D36,2)&amp;"/"&amp;RIGHT("00"&amp;$E36,2)))</f>
        <v/>
      </c>
      <c r="G36">
        <f>IF(OR($A36="",$F36="",$F36="نامعتبر"),"",LEFT($F36,4)&amp;MID($F36,6,2)&amp;RIGHT($F36,2)&amp;"0000"&amp;"|"&amp;"1"&amp;RIGHT("00000"&amp;31,5))</f>
        <v/>
      </c>
      <c r="H36">
        <f>IF(OR($B36&lt;&gt;1,$G36=""),"",COUNTIFS(LdAParty,$A36,LdAType,1,LdAKey,"&lt;"&amp;$G36)+COUNTIFS(LdBMember,$A36,LdBKey,"&lt;"&amp;$G36)+COUNTIFS(LdCParty,$A36,LdCKey,"&lt;"&amp;$G36)+1)</f>
        <v/>
      </c>
      <c r="I36">
        <f>IF($H36="","",$A36&amp;"|"&amp;RIGHT("000000"&amp;$H36,6))</f>
        <v/>
      </c>
      <c r="J36">
        <f>IF(OR($B36&lt;&gt;2,$G36=""),"",COUNTIFS(LdAParty,$A36,LdAType,2,LdAKey,"&lt;"&amp;$G36)+1)</f>
        <v/>
      </c>
      <c r="K36">
        <f>IF($J36="","",$A36&amp;"|"&amp;RIGHT("000000"&amp;$J36,6))</f>
        <v/>
      </c>
      <c r="L36">
        <f>IF($A36="","",IF(Wages!$G39="",0,Wages!$G39))</f>
        <v/>
      </c>
      <c r="M36">
        <f>IF($A36="","",Wages!$J39)</f>
        <v/>
      </c>
      <c r="N36">
        <f>IF($A36="","",Wages!$D39)</f>
        <v/>
      </c>
      <c r="P36">
        <f>IF(OR(Shares!$B39="",Shares!$C39=""),"",Shares!$C39)</f>
        <v/>
      </c>
      <c r="Q36">
        <f>IF($P36="","",Shares!$B39)</f>
        <v/>
      </c>
      <c r="R36">
        <f>IF($P36="","",IFERROR(INDEX(WageParty,MATCH($Q36,WageIds,0)),""))</f>
        <v/>
      </c>
      <c r="S36">
        <f>IF($P36="","",IFERROR(INDEX($F$6:$F$2005,MATCH($Q36,WageIds,0)),""))</f>
        <v/>
      </c>
      <c r="T36">
        <f>IF(OR($P36="",$S36="",$S36="نامعتبر"),"",LEFT($S36,4)&amp;MID($S36,6,2)&amp;RIGHT($S36,2)&amp;"0000"&amp;"|"&amp;"2"&amp;RIGHT("00000"&amp;31,5))</f>
        <v/>
      </c>
      <c r="U36">
        <f>IF($T36="","",COUNTIFS(LdAParty,$P36,LdAType,1,LdAKey,"&lt;"&amp;$T36)+COUNTIFS(LdBMember,$P36,LdBKey,"&lt;"&amp;$T36)+COUNTIFS(LdCParty,$P36,LdCKey,"&lt;"&amp;$T36)+1)</f>
        <v/>
      </c>
      <c r="V36">
        <f>IF($U36="","",$P36&amp;"|"&amp;RIGHT("000000"&amp;$U36,6))</f>
        <v/>
      </c>
      <c r="W36">
        <f>IF($T36="","",COUNTIFS(LdBGroup,$R36,LdBKey,"&lt;"&amp;$T36)+1)</f>
        <v/>
      </c>
      <c r="X36">
        <f>IF($W36="","",$R36&amp;"|"&amp;RIGHT("000000"&amp;$W36,6))</f>
        <v/>
      </c>
      <c r="Y36">
        <f>IF($P36="","",IF(Shares!$E39="",0,Shares!$E39))</f>
        <v/>
      </c>
      <c r="Z36">
        <f>IF($P36="","",Shares!$H39)</f>
        <v/>
      </c>
      <c r="AE36">
        <f>IF(OR(Sync!$S36="",Sync!$P36=""),"",Sync!$S36)</f>
        <v/>
      </c>
      <c r="AF36">
        <f>IF($AE36="","",IF(ISNUMBER(Sync!$P36),IF(AND(Sync!$P36&gt;=10000101,Sync!$P36&lt;=99991231),INT(Sync!$P36/10000),""),IFERROR(VALUE(TRIM(LEFT(Sync!$P36,FIND("/",Sync!$P36)-1))),"")))</f>
        <v/>
      </c>
      <c r="AG36">
        <f>IF(OR($AE36="",$AF36=""),"",IF(ISNUMBER(Sync!$P36),INT(MOD(Sync!$P36,10000)/100),IFERROR(VALUE(TRIM(LEFT(MID(Sync!$P36,FIND("/",Sync!$P36)+1,20),FIND("/",MID(Sync!$P36,FIND("/",Sync!$P36)+1,20))-1))),"")))</f>
        <v/>
      </c>
      <c r="AH36">
        <f>IF(OR($AE36="",$AF36=""),"",IF(ISNUMBER(Sync!$P36),MOD(Sync!$P36,100),IFERROR(VALUE(TRIM(MID(MID(Sync!$P36,FIND("/",Sync!$P36)+1,20),FIND("/",MID(Sync!$P36,FIND("/",Sync!$P36)+1,20))+1,20))),"")))</f>
        <v/>
      </c>
      <c r="AI36">
        <f>IF($AE36="","",IF(OR($AF36="",$AG36="",$AH36="",$AF36&lt;1300,$AF36&gt;1500,$AG36&lt;1,$AG36&gt;12,$AH36&lt;1,$AH36&gt;31),"نامعتبر",RIGHT("0000"&amp;$AF36,4)&amp;"/"&amp;RIGHT("00"&amp;$AG36,2)&amp;"/"&amp;RIGHT("00"&amp;$AH36,2)))</f>
        <v/>
      </c>
      <c r="AJ36">
        <f>IF($AE36="","",IF(Sync!$Q36="","0000",IF(AND(ISNUMBER(Sync!$Q36),Sync!$Q36&gt;=0,Sync!$Q36&lt;1),RIGHT("00"&amp;HOUR(Sync!$Q36),2)&amp;RIGHT("00"&amp;MINUTE(Sync!$Q36),2),IFERROR(RIGHT("00"&amp;VALUE(LEFT(Sync!$Q36,FIND(":",Sync!$Q36)-1)),2)&amp;RIGHT("00"&amp;VALUE(MID(Sync!$Q36,FIND(":",Sync!$Q36)+1,2)),2),"0000"))))</f>
        <v/>
      </c>
      <c r="AK36">
        <f>IF(OR($AE36="",$AI36="",$AI36="نامعتبر"),"",LEFT($AI36,4)&amp;MID($AI36,6,2)&amp;RIGHT($AI36,2)&amp;$AJ36&amp;"|"&amp;"3"&amp;RIGHT("00000"&amp;31,5))</f>
        <v/>
      </c>
      <c r="AL36">
        <f>IF($AK36="","",COUNTIFS(LdAParty,$AE36,LdAType,1,LdAKey,"&lt;"&amp;$AK36)+COUNTIFS(LdBMember,$AE36,LdBKey,"&lt;"&amp;$AK36)+COUNTIFS(LdCParty,$AE36,LdCKey,"&lt;"&amp;$AK36)+1)</f>
        <v/>
      </c>
      <c r="AM36">
        <f>IF($AL36="","",$AE36&amp;"|"&amp;RIGHT("000000"&amp;$AL36,6))</f>
        <v/>
      </c>
      <c r="AN36">
        <f>IF($AE36="","",IF(Sync!$W36="",0,Sync!$W36))</f>
        <v/>
      </c>
      <c r="AO36">
        <f>IF($AE36="","",IF(Sync!$X36="",0,Sync!$X36))</f>
        <v/>
      </c>
      <c r="AP36">
        <f>IF($AE36="","",Sync!$R36)</f>
        <v/>
      </c>
      <c r="AQ36">
        <f>IF($AE36="","",Sync!$Y36)</f>
        <v/>
      </c>
    </row>
    <row r="37">
      <c r="A37">
        <f>IF(OR(Wages!$B40="",Wages!$E40=""),"",Wages!$E40)</f>
        <v/>
      </c>
      <c r="B37">
        <f>IF($A37="","",IF(Wages!$C40="دستمزد گروهی",2,1))</f>
        <v/>
      </c>
      <c r="C37">
        <f>IF($A37="","",IF(ISNUMBER(Wages!$B40),IF(AND(Wages!$B40&gt;=10000101,Wages!$B40&lt;=99991231),INT(Wages!$B40/10000),""),IFERROR(VALUE(TRIM(LEFT(Wages!$B40,FIND("/",Wages!$B40)-1))),"")))</f>
        <v/>
      </c>
      <c r="D37">
        <f>IF(OR($A37="",$C37=""),"",IF(ISNUMBER(Wages!$B40),INT(MOD(Wages!$B40,10000)/100),IFERROR(VALUE(TRIM(LEFT(MID(Wages!$B40,FIND("/",Wages!$B40)+1,20),FIND("/",MID(Wages!$B40,FIND("/",Wages!$B40)+1,20))-1))),"")))</f>
        <v/>
      </c>
      <c r="E37">
        <f>IF(OR($A37="",$C37=""),"",IF(ISNUMBER(Wages!$B40),MOD(Wages!$B40,100),IFERROR(VALUE(TRIM(MID(MID(Wages!$B40,FIND("/",Wages!$B40)+1,20),FIND("/",MID(Wages!$B40,FIND("/",Wages!$B40)+1,20))+1,20))),"")))</f>
        <v/>
      </c>
      <c r="F37">
        <f>IF($A37="","",IF(OR($C37="",$D37="",$E37="",$C37&lt;1300,$C37&gt;1500,$D37&lt;1,$D37&gt;12,$E37&lt;1,$E37&gt;31),"نامعتبر",RIGHT("0000"&amp;$C37,4)&amp;"/"&amp;RIGHT("00"&amp;$D37,2)&amp;"/"&amp;RIGHT("00"&amp;$E37,2)))</f>
        <v/>
      </c>
      <c r="G37">
        <f>IF(OR($A37="",$F37="",$F37="نامعتبر"),"",LEFT($F37,4)&amp;MID($F37,6,2)&amp;RIGHT($F37,2)&amp;"0000"&amp;"|"&amp;"1"&amp;RIGHT("00000"&amp;32,5))</f>
        <v/>
      </c>
      <c r="H37">
        <f>IF(OR($B37&lt;&gt;1,$G37=""),"",COUNTIFS(LdAParty,$A37,LdAType,1,LdAKey,"&lt;"&amp;$G37)+COUNTIFS(LdBMember,$A37,LdBKey,"&lt;"&amp;$G37)+COUNTIFS(LdCParty,$A37,LdCKey,"&lt;"&amp;$G37)+1)</f>
        <v/>
      </c>
      <c r="I37">
        <f>IF($H37="","",$A37&amp;"|"&amp;RIGHT("000000"&amp;$H37,6))</f>
        <v/>
      </c>
      <c r="J37">
        <f>IF(OR($B37&lt;&gt;2,$G37=""),"",COUNTIFS(LdAParty,$A37,LdAType,2,LdAKey,"&lt;"&amp;$G37)+1)</f>
        <v/>
      </c>
      <c r="K37">
        <f>IF($J37="","",$A37&amp;"|"&amp;RIGHT("000000"&amp;$J37,6))</f>
        <v/>
      </c>
      <c r="L37">
        <f>IF($A37="","",IF(Wages!$G40="",0,Wages!$G40))</f>
        <v/>
      </c>
      <c r="M37">
        <f>IF($A37="","",Wages!$J40)</f>
        <v/>
      </c>
      <c r="N37">
        <f>IF($A37="","",Wages!$D40)</f>
        <v/>
      </c>
      <c r="P37">
        <f>IF(OR(Shares!$B40="",Shares!$C40=""),"",Shares!$C40)</f>
        <v/>
      </c>
      <c r="Q37">
        <f>IF($P37="","",Shares!$B40)</f>
        <v/>
      </c>
      <c r="R37">
        <f>IF($P37="","",IFERROR(INDEX(WageParty,MATCH($Q37,WageIds,0)),""))</f>
        <v/>
      </c>
      <c r="S37">
        <f>IF($P37="","",IFERROR(INDEX($F$6:$F$2005,MATCH($Q37,WageIds,0)),""))</f>
        <v/>
      </c>
      <c r="T37">
        <f>IF(OR($P37="",$S37="",$S37="نامعتبر"),"",LEFT($S37,4)&amp;MID($S37,6,2)&amp;RIGHT($S37,2)&amp;"0000"&amp;"|"&amp;"2"&amp;RIGHT("00000"&amp;32,5))</f>
        <v/>
      </c>
      <c r="U37">
        <f>IF($T37="","",COUNTIFS(LdAParty,$P37,LdAType,1,LdAKey,"&lt;"&amp;$T37)+COUNTIFS(LdBMember,$P37,LdBKey,"&lt;"&amp;$T37)+COUNTIFS(LdCParty,$P37,LdCKey,"&lt;"&amp;$T37)+1)</f>
        <v/>
      </c>
      <c r="V37">
        <f>IF($U37="","",$P37&amp;"|"&amp;RIGHT("000000"&amp;$U37,6))</f>
        <v/>
      </c>
      <c r="W37">
        <f>IF($T37="","",COUNTIFS(LdBGroup,$R37,LdBKey,"&lt;"&amp;$T37)+1)</f>
        <v/>
      </c>
      <c r="X37">
        <f>IF($W37="","",$R37&amp;"|"&amp;RIGHT("000000"&amp;$W37,6))</f>
        <v/>
      </c>
      <c r="Y37">
        <f>IF($P37="","",IF(Shares!$E40="",0,Shares!$E40))</f>
        <v/>
      </c>
      <c r="Z37">
        <f>IF($P37="","",Shares!$H40)</f>
        <v/>
      </c>
      <c r="AE37">
        <f>IF(OR(Sync!$S37="",Sync!$P37=""),"",Sync!$S37)</f>
        <v/>
      </c>
      <c r="AF37">
        <f>IF($AE37="","",IF(ISNUMBER(Sync!$P37),IF(AND(Sync!$P37&gt;=10000101,Sync!$P37&lt;=99991231),INT(Sync!$P37/10000),""),IFERROR(VALUE(TRIM(LEFT(Sync!$P37,FIND("/",Sync!$P37)-1))),"")))</f>
        <v/>
      </c>
      <c r="AG37">
        <f>IF(OR($AE37="",$AF37=""),"",IF(ISNUMBER(Sync!$P37),INT(MOD(Sync!$P37,10000)/100),IFERROR(VALUE(TRIM(LEFT(MID(Sync!$P37,FIND("/",Sync!$P37)+1,20),FIND("/",MID(Sync!$P37,FIND("/",Sync!$P37)+1,20))-1))),"")))</f>
        <v/>
      </c>
      <c r="AH37">
        <f>IF(OR($AE37="",$AF37=""),"",IF(ISNUMBER(Sync!$P37),MOD(Sync!$P37,100),IFERROR(VALUE(TRIM(MID(MID(Sync!$P37,FIND("/",Sync!$P37)+1,20),FIND("/",MID(Sync!$P37,FIND("/",Sync!$P37)+1,20))+1,20))),"")))</f>
        <v/>
      </c>
      <c r="AI37">
        <f>IF($AE37="","",IF(OR($AF37="",$AG37="",$AH37="",$AF37&lt;1300,$AF37&gt;1500,$AG37&lt;1,$AG37&gt;12,$AH37&lt;1,$AH37&gt;31),"نامعتبر",RIGHT("0000"&amp;$AF37,4)&amp;"/"&amp;RIGHT("00"&amp;$AG37,2)&amp;"/"&amp;RIGHT("00"&amp;$AH37,2)))</f>
        <v/>
      </c>
      <c r="AJ37">
        <f>IF($AE37="","",IF(Sync!$Q37="","0000",IF(AND(ISNUMBER(Sync!$Q37),Sync!$Q37&gt;=0,Sync!$Q37&lt;1),RIGHT("00"&amp;HOUR(Sync!$Q37),2)&amp;RIGHT("00"&amp;MINUTE(Sync!$Q37),2),IFERROR(RIGHT("00"&amp;VALUE(LEFT(Sync!$Q37,FIND(":",Sync!$Q37)-1)),2)&amp;RIGHT("00"&amp;VALUE(MID(Sync!$Q37,FIND(":",Sync!$Q37)+1,2)),2),"0000"))))</f>
        <v/>
      </c>
      <c r="AK37">
        <f>IF(OR($AE37="",$AI37="",$AI37="نامعتبر"),"",LEFT($AI37,4)&amp;MID($AI37,6,2)&amp;RIGHT($AI37,2)&amp;$AJ37&amp;"|"&amp;"3"&amp;RIGHT("00000"&amp;32,5))</f>
        <v/>
      </c>
      <c r="AL37">
        <f>IF($AK37="","",COUNTIFS(LdAParty,$AE37,LdAType,1,LdAKey,"&lt;"&amp;$AK37)+COUNTIFS(LdBMember,$AE37,LdBKey,"&lt;"&amp;$AK37)+COUNTIFS(LdCParty,$AE37,LdCKey,"&lt;"&amp;$AK37)+1)</f>
        <v/>
      </c>
      <c r="AM37">
        <f>IF($AL37="","",$AE37&amp;"|"&amp;RIGHT("000000"&amp;$AL37,6))</f>
        <v/>
      </c>
      <c r="AN37">
        <f>IF($AE37="","",IF(Sync!$W37="",0,Sync!$W37))</f>
        <v/>
      </c>
      <c r="AO37">
        <f>IF($AE37="","",IF(Sync!$X37="",0,Sync!$X37))</f>
        <v/>
      </c>
      <c r="AP37">
        <f>IF($AE37="","",Sync!$R37)</f>
        <v/>
      </c>
      <c r="AQ37">
        <f>IF($AE37="","",Sync!$Y37)</f>
        <v/>
      </c>
    </row>
    <row r="38">
      <c r="A38">
        <f>IF(OR(Wages!$B41="",Wages!$E41=""),"",Wages!$E41)</f>
        <v/>
      </c>
      <c r="B38">
        <f>IF($A38="","",IF(Wages!$C41="دستمزد گروهی",2,1))</f>
        <v/>
      </c>
      <c r="C38">
        <f>IF($A38="","",IF(ISNUMBER(Wages!$B41),IF(AND(Wages!$B41&gt;=10000101,Wages!$B41&lt;=99991231),INT(Wages!$B41/10000),""),IFERROR(VALUE(TRIM(LEFT(Wages!$B41,FIND("/",Wages!$B41)-1))),"")))</f>
        <v/>
      </c>
      <c r="D38">
        <f>IF(OR($A38="",$C38=""),"",IF(ISNUMBER(Wages!$B41),INT(MOD(Wages!$B41,10000)/100),IFERROR(VALUE(TRIM(LEFT(MID(Wages!$B41,FIND("/",Wages!$B41)+1,20),FIND("/",MID(Wages!$B41,FIND("/",Wages!$B41)+1,20))-1))),"")))</f>
        <v/>
      </c>
      <c r="E38">
        <f>IF(OR($A38="",$C38=""),"",IF(ISNUMBER(Wages!$B41),MOD(Wages!$B41,100),IFERROR(VALUE(TRIM(MID(MID(Wages!$B41,FIND("/",Wages!$B41)+1,20),FIND("/",MID(Wages!$B41,FIND("/",Wages!$B41)+1,20))+1,20))),"")))</f>
        <v/>
      </c>
      <c r="F38">
        <f>IF($A38="","",IF(OR($C38="",$D38="",$E38="",$C38&lt;1300,$C38&gt;1500,$D38&lt;1,$D38&gt;12,$E38&lt;1,$E38&gt;31),"نامعتبر",RIGHT("0000"&amp;$C38,4)&amp;"/"&amp;RIGHT("00"&amp;$D38,2)&amp;"/"&amp;RIGHT("00"&amp;$E38,2)))</f>
        <v/>
      </c>
      <c r="G38">
        <f>IF(OR($A38="",$F38="",$F38="نامعتبر"),"",LEFT($F38,4)&amp;MID($F38,6,2)&amp;RIGHT($F38,2)&amp;"0000"&amp;"|"&amp;"1"&amp;RIGHT("00000"&amp;33,5))</f>
        <v/>
      </c>
      <c r="H38">
        <f>IF(OR($B38&lt;&gt;1,$G38=""),"",COUNTIFS(LdAParty,$A38,LdAType,1,LdAKey,"&lt;"&amp;$G38)+COUNTIFS(LdBMember,$A38,LdBKey,"&lt;"&amp;$G38)+COUNTIFS(LdCParty,$A38,LdCKey,"&lt;"&amp;$G38)+1)</f>
        <v/>
      </c>
      <c r="I38">
        <f>IF($H38="","",$A38&amp;"|"&amp;RIGHT("000000"&amp;$H38,6))</f>
        <v/>
      </c>
      <c r="J38">
        <f>IF(OR($B38&lt;&gt;2,$G38=""),"",COUNTIFS(LdAParty,$A38,LdAType,2,LdAKey,"&lt;"&amp;$G38)+1)</f>
        <v/>
      </c>
      <c r="K38">
        <f>IF($J38="","",$A38&amp;"|"&amp;RIGHT("000000"&amp;$J38,6))</f>
        <v/>
      </c>
      <c r="L38">
        <f>IF($A38="","",IF(Wages!$G41="",0,Wages!$G41))</f>
        <v/>
      </c>
      <c r="M38">
        <f>IF($A38="","",Wages!$J41)</f>
        <v/>
      </c>
      <c r="N38">
        <f>IF($A38="","",Wages!$D41)</f>
        <v/>
      </c>
      <c r="P38">
        <f>IF(OR(Shares!$B41="",Shares!$C41=""),"",Shares!$C41)</f>
        <v/>
      </c>
      <c r="Q38">
        <f>IF($P38="","",Shares!$B41)</f>
        <v/>
      </c>
      <c r="R38">
        <f>IF($P38="","",IFERROR(INDEX(WageParty,MATCH($Q38,WageIds,0)),""))</f>
        <v/>
      </c>
      <c r="S38">
        <f>IF($P38="","",IFERROR(INDEX($F$6:$F$2005,MATCH($Q38,WageIds,0)),""))</f>
        <v/>
      </c>
      <c r="T38">
        <f>IF(OR($P38="",$S38="",$S38="نامعتبر"),"",LEFT($S38,4)&amp;MID($S38,6,2)&amp;RIGHT($S38,2)&amp;"0000"&amp;"|"&amp;"2"&amp;RIGHT("00000"&amp;33,5))</f>
        <v/>
      </c>
      <c r="U38">
        <f>IF($T38="","",COUNTIFS(LdAParty,$P38,LdAType,1,LdAKey,"&lt;"&amp;$T38)+COUNTIFS(LdBMember,$P38,LdBKey,"&lt;"&amp;$T38)+COUNTIFS(LdCParty,$P38,LdCKey,"&lt;"&amp;$T38)+1)</f>
        <v/>
      </c>
      <c r="V38">
        <f>IF($U38="","",$P38&amp;"|"&amp;RIGHT("000000"&amp;$U38,6))</f>
        <v/>
      </c>
      <c r="W38">
        <f>IF($T38="","",COUNTIFS(LdBGroup,$R38,LdBKey,"&lt;"&amp;$T38)+1)</f>
        <v/>
      </c>
      <c r="X38">
        <f>IF($W38="","",$R38&amp;"|"&amp;RIGHT("000000"&amp;$W38,6))</f>
        <v/>
      </c>
      <c r="Y38">
        <f>IF($P38="","",IF(Shares!$E41="",0,Shares!$E41))</f>
        <v/>
      </c>
      <c r="Z38">
        <f>IF($P38="","",Shares!$H41)</f>
        <v/>
      </c>
      <c r="AE38">
        <f>IF(OR(Sync!$S38="",Sync!$P38=""),"",Sync!$S38)</f>
        <v/>
      </c>
      <c r="AF38">
        <f>IF($AE38="","",IF(ISNUMBER(Sync!$P38),IF(AND(Sync!$P38&gt;=10000101,Sync!$P38&lt;=99991231),INT(Sync!$P38/10000),""),IFERROR(VALUE(TRIM(LEFT(Sync!$P38,FIND("/",Sync!$P38)-1))),"")))</f>
        <v/>
      </c>
      <c r="AG38">
        <f>IF(OR($AE38="",$AF38=""),"",IF(ISNUMBER(Sync!$P38),INT(MOD(Sync!$P38,10000)/100),IFERROR(VALUE(TRIM(LEFT(MID(Sync!$P38,FIND("/",Sync!$P38)+1,20),FIND("/",MID(Sync!$P38,FIND("/",Sync!$P38)+1,20))-1))),"")))</f>
        <v/>
      </c>
      <c r="AH38">
        <f>IF(OR($AE38="",$AF38=""),"",IF(ISNUMBER(Sync!$P38),MOD(Sync!$P38,100),IFERROR(VALUE(TRIM(MID(MID(Sync!$P38,FIND("/",Sync!$P38)+1,20),FIND("/",MID(Sync!$P38,FIND("/",Sync!$P38)+1,20))+1,20))),"")))</f>
        <v/>
      </c>
      <c r="AI38">
        <f>IF($AE38="","",IF(OR($AF38="",$AG38="",$AH38="",$AF38&lt;1300,$AF38&gt;1500,$AG38&lt;1,$AG38&gt;12,$AH38&lt;1,$AH38&gt;31),"نامعتبر",RIGHT("0000"&amp;$AF38,4)&amp;"/"&amp;RIGHT("00"&amp;$AG38,2)&amp;"/"&amp;RIGHT("00"&amp;$AH38,2)))</f>
        <v/>
      </c>
      <c r="AJ38">
        <f>IF($AE38="","",IF(Sync!$Q38="","0000",IF(AND(ISNUMBER(Sync!$Q38),Sync!$Q38&gt;=0,Sync!$Q38&lt;1),RIGHT("00"&amp;HOUR(Sync!$Q38),2)&amp;RIGHT("00"&amp;MINUTE(Sync!$Q38),2),IFERROR(RIGHT("00"&amp;VALUE(LEFT(Sync!$Q38,FIND(":",Sync!$Q38)-1)),2)&amp;RIGHT("00"&amp;VALUE(MID(Sync!$Q38,FIND(":",Sync!$Q38)+1,2)),2),"0000"))))</f>
        <v/>
      </c>
      <c r="AK38">
        <f>IF(OR($AE38="",$AI38="",$AI38="نامعتبر"),"",LEFT($AI38,4)&amp;MID($AI38,6,2)&amp;RIGHT($AI38,2)&amp;$AJ38&amp;"|"&amp;"3"&amp;RIGHT("00000"&amp;33,5))</f>
        <v/>
      </c>
      <c r="AL38">
        <f>IF($AK38="","",COUNTIFS(LdAParty,$AE38,LdAType,1,LdAKey,"&lt;"&amp;$AK38)+COUNTIFS(LdBMember,$AE38,LdBKey,"&lt;"&amp;$AK38)+COUNTIFS(LdCParty,$AE38,LdCKey,"&lt;"&amp;$AK38)+1)</f>
        <v/>
      </c>
      <c r="AM38">
        <f>IF($AL38="","",$AE38&amp;"|"&amp;RIGHT("000000"&amp;$AL38,6))</f>
        <v/>
      </c>
      <c r="AN38">
        <f>IF($AE38="","",IF(Sync!$W38="",0,Sync!$W38))</f>
        <v/>
      </c>
      <c r="AO38">
        <f>IF($AE38="","",IF(Sync!$X38="",0,Sync!$X38))</f>
        <v/>
      </c>
      <c r="AP38">
        <f>IF($AE38="","",Sync!$R38)</f>
        <v/>
      </c>
      <c r="AQ38">
        <f>IF($AE38="","",Sync!$Y38)</f>
        <v/>
      </c>
    </row>
    <row r="39">
      <c r="A39">
        <f>IF(OR(Wages!$B42="",Wages!$E42=""),"",Wages!$E42)</f>
        <v/>
      </c>
      <c r="B39">
        <f>IF($A39="","",IF(Wages!$C42="دستمزد گروهی",2,1))</f>
        <v/>
      </c>
      <c r="C39">
        <f>IF($A39="","",IF(ISNUMBER(Wages!$B42),IF(AND(Wages!$B42&gt;=10000101,Wages!$B42&lt;=99991231),INT(Wages!$B42/10000),""),IFERROR(VALUE(TRIM(LEFT(Wages!$B42,FIND("/",Wages!$B42)-1))),"")))</f>
        <v/>
      </c>
      <c r="D39">
        <f>IF(OR($A39="",$C39=""),"",IF(ISNUMBER(Wages!$B42),INT(MOD(Wages!$B42,10000)/100),IFERROR(VALUE(TRIM(LEFT(MID(Wages!$B42,FIND("/",Wages!$B42)+1,20),FIND("/",MID(Wages!$B42,FIND("/",Wages!$B42)+1,20))-1))),"")))</f>
        <v/>
      </c>
      <c r="E39">
        <f>IF(OR($A39="",$C39=""),"",IF(ISNUMBER(Wages!$B42),MOD(Wages!$B42,100),IFERROR(VALUE(TRIM(MID(MID(Wages!$B42,FIND("/",Wages!$B42)+1,20),FIND("/",MID(Wages!$B42,FIND("/",Wages!$B42)+1,20))+1,20))),"")))</f>
        <v/>
      </c>
      <c r="F39">
        <f>IF($A39="","",IF(OR($C39="",$D39="",$E39="",$C39&lt;1300,$C39&gt;1500,$D39&lt;1,$D39&gt;12,$E39&lt;1,$E39&gt;31),"نامعتبر",RIGHT("0000"&amp;$C39,4)&amp;"/"&amp;RIGHT("00"&amp;$D39,2)&amp;"/"&amp;RIGHT("00"&amp;$E39,2)))</f>
        <v/>
      </c>
      <c r="G39">
        <f>IF(OR($A39="",$F39="",$F39="نامعتبر"),"",LEFT($F39,4)&amp;MID($F39,6,2)&amp;RIGHT($F39,2)&amp;"0000"&amp;"|"&amp;"1"&amp;RIGHT("00000"&amp;34,5))</f>
        <v/>
      </c>
      <c r="H39">
        <f>IF(OR($B39&lt;&gt;1,$G39=""),"",COUNTIFS(LdAParty,$A39,LdAType,1,LdAKey,"&lt;"&amp;$G39)+COUNTIFS(LdBMember,$A39,LdBKey,"&lt;"&amp;$G39)+COUNTIFS(LdCParty,$A39,LdCKey,"&lt;"&amp;$G39)+1)</f>
        <v/>
      </c>
      <c r="I39">
        <f>IF($H39="","",$A39&amp;"|"&amp;RIGHT("000000"&amp;$H39,6))</f>
        <v/>
      </c>
      <c r="J39">
        <f>IF(OR($B39&lt;&gt;2,$G39=""),"",COUNTIFS(LdAParty,$A39,LdAType,2,LdAKey,"&lt;"&amp;$G39)+1)</f>
        <v/>
      </c>
      <c r="K39">
        <f>IF($J39="","",$A39&amp;"|"&amp;RIGHT("000000"&amp;$J39,6))</f>
        <v/>
      </c>
      <c r="L39">
        <f>IF($A39="","",IF(Wages!$G42="",0,Wages!$G42))</f>
        <v/>
      </c>
      <c r="M39">
        <f>IF($A39="","",Wages!$J42)</f>
        <v/>
      </c>
      <c r="N39">
        <f>IF($A39="","",Wages!$D42)</f>
        <v/>
      </c>
      <c r="P39">
        <f>IF(OR(Shares!$B42="",Shares!$C42=""),"",Shares!$C42)</f>
        <v/>
      </c>
      <c r="Q39">
        <f>IF($P39="","",Shares!$B42)</f>
        <v/>
      </c>
      <c r="R39">
        <f>IF($P39="","",IFERROR(INDEX(WageParty,MATCH($Q39,WageIds,0)),""))</f>
        <v/>
      </c>
      <c r="S39">
        <f>IF($P39="","",IFERROR(INDEX($F$6:$F$2005,MATCH($Q39,WageIds,0)),""))</f>
        <v/>
      </c>
      <c r="T39">
        <f>IF(OR($P39="",$S39="",$S39="نامعتبر"),"",LEFT($S39,4)&amp;MID($S39,6,2)&amp;RIGHT($S39,2)&amp;"0000"&amp;"|"&amp;"2"&amp;RIGHT("00000"&amp;34,5))</f>
        <v/>
      </c>
      <c r="U39">
        <f>IF($T39="","",COUNTIFS(LdAParty,$P39,LdAType,1,LdAKey,"&lt;"&amp;$T39)+COUNTIFS(LdBMember,$P39,LdBKey,"&lt;"&amp;$T39)+COUNTIFS(LdCParty,$P39,LdCKey,"&lt;"&amp;$T39)+1)</f>
        <v/>
      </c>
      <c r="V39">
        <f>IF($U39="","",$P39&amp;"|"&amp;RIGHT("000000"&amp;$U39,6))</f>
        <v/>
      </c>
      <c r="W39">
        <f>IF($T39="","",COUNTIFS(LdBGroup,$R39,LdBKey,"&lt;"&amp;$T39)+1)</f>
        <v/>
      </c>
      <c r="X39">
        <f>IF($W39="","",$R39&amp;"|"&amp;RIGHT("000000"&amp;$W39,6))</f>
        <v/>
      </c>
      <c r="Y39">
        <f>IF($P39="","",IF(Shares!$E42="",0,Shares!$E42))</f>
        <v/>
      </c>
      <c r="Z39">
        <f>IF($P39="","",Shares!$H42)</f>
        <v/>
      </c>
      <c r="AE39">
        <f>IF(OR(Sync!$S39="",Sync!$P39=""),"",Sync!$S39)</f>
        <v/>
      </c>
      <c r="AF39">
        <f>IF($AE39="","",IF(ISNUMBER(Sync!$P39),IF(AND(Sync!$P39&gt;=10000101,Sync!$P39&lt;=99991231),INT(Sync!$P39/10000),""),IFERROR(VALUE(TRIM(LEFT(Sync!$P39,FIND("/",Sync!$P39)-1))),"")))</f>
        <v/>
      </c>
      <c r="AG39">
        <f>IF(OR($AE39="",$AF39=""),"",IF(ISNUMBER(Sync!$P39),INT(MOD(Sync!$P39,10000)/100),IFERROR(VALUE(TRIM(LEFT(MID(Sync!$P39,FIND("/",Sync!$P39)+1,20),FIND("/",MID(Sync!$P39,FIND("/",Sync!$P39)+1,20))-1))),"")))</f>
        <v/>
      </c>
      <c r="AH39">
        <f>IF(OR($AE39="",$AF39=""),"",IF(ISNUMBER(Sync!$P39),MOD(Sync!$P39,100),IFERROR(VALUE(TRIM(MID(MID(Sync!$P39,FIND("/",Sync!$P39)+1,20),FIND("/",MID(Sync!$P39,FIND("/",Sync!$P39)+1,20))+1,20))),"")))</f>
        <v/>
      </c>
      <c r="AI39">
        <f>IF($AE39="","",IF(OR($AF39="",$AG39="",$AH39="",$AF39&lt;1300,$AF39&gt;1500,$AG39&lt;1,$AG39&gt;12,$AH39&lt;1,$AH39&gt;31),"نامعتبر",RIGHT("0000"&amp;$AF39,4)&amp;"/"&amp;RIGHT("00"&amp;$AG39,2)&amp;"/"&amp;RIGHT("00"&amp;$AH39,2)))</f>
        <v/>
      </c>
      <c r="AJ39">
        <f>IF($AE39="","",IF(Sync!$Q39="","0000",IF(AND(ISNUMBER(Sync!$Q39),Sync!$Q39&gt;=0,Sync!$Q39&lt;1),RIGHT("00"&amp;HOUR(Sync!$Q39),2)&amp;RIGHT("00"&amp;MINUTE(Sync!$Q39),2),IFERROR(RIGHT("00"&amp;VALUE(LEFT(Sync!$Q39,FIND(":",Sync!$Q39)-1)),2)&amp;RIGHT("00"&amp;VALUE(MID(Sync!$Q39,FIND(":",Sync!$Q39)+1,2)),2),"0000"))))</f>
        <v/>
      </c>
      <c r="AK39">
        <f>IF(OR($AE39="",$AI39="",$AI39="نامعتبر"),"",LEFT($AI39,4)&amp;MID($AI39,6,2)&amp;RIGHT($AI39,2)&amp;$AJ39&amp;"|"&amp;"3"&amp;RIGHT("00000"&amp;34,5))</f>
        <v/>
      </c>
      <c r="AL39">
        <f>IF($AK39="","",COUNTIFS(LdAParty,$AE39,LdAType,1,LdAKey,"&lt;"&amp;$AK39)+COUNTIFS(LdBMember,$AE39,LdBKey,"&lt;"&amp;$AK39)+COUNTIFS(LdCParty,$AE39,LdCKey,"&lt;"&amp;$AK39)+1)</f>
        <v/>
      </c>
      <c r="AM39">
        <f>IF($AL39="","",$AE39&amp;"|"&amp;RIGHT("000000"&amp;$AL39,6))</f>
        <v/>
      </c>
      <c r="AN39">
        <f>IF($AE39="","",IF(Sync!$W39="",0,Sync!$W39))</f>
        <v/>
      </c>
      <c r="AO39">
        <f>IF($AE39="","",IF(Sync!$X39="",0,Sync!$X39))</f>
        <v/>
      </c>
      <c r="AP39">
        <f>IF($AE39="","",Sync!$R39)</f>
        <v/>
      </c>
      <c r="AQ39">
        <f>IF($AE39="","",Sync!$Y39)</f>
        <v/>
      </c>
    </row>
    <row r="40">
      <c r="A40">
        <f>IF(OR(Wages!$B43="",Wages!$E43=""),"",Wages!$E43)</f>
        <v/>
      </c>
      <c r="B40">
        <f>IF($A40="","",IF(Wages!$C43="دستمزد گروهی",2,1))</f>
        <v/>
      </c>
      <c r="C40">
        <f>IF($A40="","",IF(ISNUMBER(Wages!$B43),IF(AND(Wages!$B43&gt;=10000101,Wages!$B43&lt;=99991231),INT(Wages!$B43/10000),""),IFERROR(VALUE(TRIM(LEFT(Wages!$B43,FIND("/",Wages!$B43)-1))),"")))</f>
        <v/>
      </c>
      <c r="D40">
        <f>IF(OR($A40="",$C40=""),"",IF(ISNUMBER(Wages!$B43),INT(MOD(Wages!$B43,10000)/100),IFERROR(VALUE(TRIM(LEFT(MID(Wages!$B43,FIND("/",Wages!$B43)+1,20),FIND("/",MID(Wages!$B43,FIND("/",Wages!$B43)+1,20))-1))),"")))</f>
        <v/>
      </c>
      <c r="E40">
        <f>IF(OR($A40="",$C40=""),"",IF(ISNUMBER(Wages!$B43),MOD(Wages!$B43,100),IFERROR(VALUE(TRIM(MID(MID(Wages!$B43,FIND("/",Wages!$B43)+1,20),FIND("/",MID(Wages!$B43,FIND("/",Wages!$B43)+1,20))+1,20))),"")))</f>
        <v/>
      </c>
      <c r="F40">
        <f>IF($A40="","",IF(OR($C40="",$D40="",$E40="",$C40&lt;1300,$C40&gt;1500,$D40&lt;1,$D40&gt;12,$E40&lt;1,$E40&gt;31),"نامعتبر",RIGHT("0000"&amp;$C40,4)&amp;"/"&amp;RIGHT("00"&amp;$D40,2)&amp;"/"&amp;RIGHT("00"&amp;$E40,2)))</f>
        <v/>
      </c>
      <c r="G40">
        <f>IF(OR($A40="",$F40="",$F40="نامعتبر"),"",LEFT($F40,4)&amp;MID($F40,6,2)&amp;RIGHT($F40,2)&amp;"0000"&amp;"|"&amp;"1"&amp;RIGHT("00000"&amp;35,5))</f>
        <v/>
      </c>
      <c r="H40">
        <f>IF(OR($B40&lt;&gt;1,$G40=""),"",COUNTIFS(LdAParty,$A40,LdAType,1,LdAKey,"&lt;"&amp;$G40)+COUNTIFS(LdBMember,$A40,LdBKey,"&lt;"&amp;$G40)+COUNTIFS(LdCParty,$A40,LdCKey,"&lt;"&amp;$G40)+1)</f>
        <v/>
      </c>
      <c r="I40">
        <f>IF($H40="","",$A40&amp;"|"&amp;RIGHT("000000"&amp;$H40,6))</f>
        <v/>
      </c>
      <c r="J40">
        <f>IF(OR($B40&lt;&gt;2,$G40=""),"",COUNTIFS(LdAParty,$A40,LdAType,2,LdAKey,"&lt;"&amp;$G40)+1)</f>
        <v/>
      </c>
      <c r="K40">
        <f>IF($J40="","",$A40&amp;"|"&amp;RIGHT("000000"&amp;$J40,6))</f>
        <v/>
      </c>
      <c r="L40">
        <f>IF($A40="","",IF(Wages!$G43="",0,Wages!$G43))</f>
        <v/>
      </c>
      <c r="M40">
        <f>IF($A40="","",Wages!$J43)</f>
        <v/>
      </c>
      <c r="N40">
        <f>IF($A40="","",Wages!$D43)</f>
        <v/>
      </c>
      <c r="P40">
        <f>IF(OR(Shares!$B43="",Shares!$C43=""),"",Shares!$C43)</f>
        <v/>
      </c>
      <c r="Q40">
        <f>IF($P40="","",Shares!$B43)</f>
        <v/>
      </c>
      <c r="R40">
        <f>IF($P40="","",IFERROR(INDEX(WageParty,MATCH($Q40,WageIds,0)),""))</f>
        <v/>
      </c>
      <c r="S40">
        <f>IF($P40="","",IFERROR(INDEX($F$6:$F$2005,MATCH($Q40,WageIds,0)),""))</f>
        <v/>
      </c>
      <c r="T40">
        <f>IF(OR($P40="",$S40="",$S40="نامعتبر"),"",LEFT($S40,4)&amp;MID($S40,6,2)&amp;RIGHT($S40,2)&amp;"0000"&amp;"|"&amp;"2"&amp;RIGHT("00000"&amp;35,5))</f>
        <v/>
      </c>
      <c r="U40">
        <f>IF($T40="","",COUNTIFS(LdAParty,$P40,LdAType,1,LdAKey,"&lt;"&amp;$T40)+COUNTIFS(LdBMember,$P40,LdBKey,"&lt;"&amp;$T40)+COUNTIFS(LdCParty,$P40,LdCKey,"&lt;"&amp;$T40)+1)</f>
        <v/>
      </c>
      <c r="V40">
        <f>IF($U40="","",$P40&amp;"|"&amp;RIGHT("000000"&amp;$U40,6))</f>
        <v/>
      </c>
      <c r="W40">
        <f>IF($T40="","",COUNTIFS(LdBGroup,$R40,LdBKey,"&lt;"&amp;$T40)+1)</f>
        <v/>
      </c>
      <c r="X40">
        <f>IF($W40="","",$R40&amp;"|"&amp;RIGHT("000000"&amp;$W40,6))</f>
        <v/>
      </c>
      <c r="Y40">
        <f>IF($P40="","",IF(Shares!$E43="",0,Shares!$E43))</f>
        <v/>
      </c>
      <c r="Z40">
        <f>IF($P40="","",Shares!$H43)</f>
        <v/>
      </c>
      <c r="AE40">
        <f>IF(OR(Sync!$S40="",Sync!$P40=""),"",Sync!$S40)</f>
        <v/>
      </c>
      <c r="AF40">
        <f>IF($AE40="","",IF(ISNUMBER(Sync!$P40),IF(AND(Sync!$P40&gt;=10000101,Sync!$P40&lt;=99991231),INT(Sync!$P40/10000),""),IFERROR(VALUE(TRIM(LEFT(Sync!$P40,FIND("/",Sync!$P40)-1))),"")))</f>
        <v/>
      </c>
      <c r="AG40">
        <f>IF(OR($AE40="",$AF40=""),"",IF(ISNUMBER(Sync!$P40),INT(MOD(Sync!$P40,10000)/100),IFERROR(VALUE(TRIM(LEFT(MID(Sync!$P40,FIND("/",Sync!$P40)+1,20),FIND("/",MID(Sync!$P40,FIND("/",Sync!$P40)+1,20))-1))),"")))</f>
        <v/>
      </c>
      <c r="AH40">
        <f>IF(OR($AE40="",$AF40=""),"",IF(ISNUMBER(Sync!$P40),MOD(Sync!$P40,100),IFERROR(VALUE(TRIM(MID(MID(Sync!$P40,FIND("/",Sync!$P40)+1,20),FIND("/",MID(Sync!$P40,FIND("/",Sync!$P40)+1,20))+1,20))),"")))</f>
        <v/>
      </c>
      <c r="AI40">
        <f>IF($AE40="","",IF(OR($AF40="",$AG40="",$AH40="",$AF40&lt;1300,$AF40&gt;1500,$AG40&lt;1,$AG40&gt;12,$AH40&lt;1,$AH40&gt;31),"نامعتبر",RIGHT("0000"&amp;$AF40,4)&amp;"/"&amp;RIGHT("00"&amp;$AG40,2)&amp;"/"&amp;RIGHT("00"&amp;$AH40,2)))</f>
        <v/>
      </c>
      <c r="AJ40">
        <f>IF($AE40="","",IF(Sync!$Q40="","0000",IF(AND(ISNUMBER(Sync!$Q40),Sync!$Q40&gt;=0,Sync!$Q40&lt;1),RIGHT("00"&amp;HOUR(Sync!$Q40),2)&amp;RIGHT("00"&amp;MINUTE(Sync!$Q40),2),IFERROR(RIGHT("00"&amp;VALUE(LEFT(Sync!$Q40,FIND(":",Sync!$Q40)-1)),2)&amp;RIGHT("00"&amp;VALUE(MID(Sync!$Q40,FIND(":",Sync!$Q40)+1,2)),2),"0000"))))</f>
        <v/>
      </c>
      <c r="AK40">
        <f>IF(OR($AE40="",$AI40="",$AI40="نامعتبر"),"",LEFT($AI40,4)&amp;MID($AI40,6,2)&amp;RIGHT($AI40,2)&amp;$AJ40&amp;"|"&amp;"3"&amp;RIGHT("00000"&amp;35,5))</f>
        <v/>
      </c>
      <c r="AL40">
        <f>IF($AK40="","",COUNTIFS(LdAParty,$AE40,LdAType,1,LdAKey,"&lt;"&amp;$AK40)+COUNTIFS(LdBMember,$AE40,LdBKey,"&lt;"&amp;$AK40)+COUNTIFS(LdCParty,$AE40,LdCKey,"&lt;"&amp;$AK40)+1)</f>
        <v/>
      </c>
      <c r="AM40">
        <f>IF($AL40="","",$AE40&amp;"|"&amp;RIGHT("000000"&amp;$AL40,6))</f>
        <v/>
      </c>
      <c r="AN40">
        <f>IF($AE40="","",IF(Sync!$W40="",0,Sync!$W40))</f>
        <v/>
      </c>
      <c r="AO40">
        <f>IF($AE40="","",IF(Sync!$X40="",0,Sync!$X40))</f>
        <v/>
      </c>
      <c r="AP40">
        <f>IF($AE40="","",Sync!$R40)</f>
        <v/>
      </c>
      <c r="AQ40">
        <f>IF($AE40="","",Sync!$Y40)</f>
        <v/>
      </c>
    </row>
    <row r="41">
      <c r="A41">
        <f>IF(OR(Wages!$B44="",Wages!$E44=""),"",Wages!$E44)</f>
        <v/>
      </c>
      <c r="B41">
        <f>IF($A41="","",IF(Wages!$C44="دستمزد گروهی",2,1))</f>
        <v/>
      </c>
      <c r="C41">
        <f>IF($A41="","",IF(ISNUMBER(Wages!$B44),IF(AND(Wages!$B44&gt;=10000101,Wages!$B44&lt;=99991231),INT(Wages!$B44/10000),""),IFERROR(VALUE(TRIM(LEFT(Wages!$B44,FIND("/",Wages!$B44)-1))),"")))</f>
        <v/>
      </c>
      <c r="D41">
        <f>IF(OR($A41="",$C41=""),"",IF(ISNUMBER(Wages!$B44),INT(MOD(Wages!$B44,10000)/100),IFERROR(VALUE(TRIM(LEFT(MID(Wages!$B44,FIND("/",Wages!$B44)+1,20),FIND("/",MID(Wages!$B44,FIND("/",Wages!$B44)+1,20))-1))),"")))</f>
        <v/>
      </c>
      <c r="E41">
        <f>IF(OR($A41="",$C41=""),"",IF(ISNUMBER(Wages!$B44),MOD(Wages!$B44,100),IFERROR(VALUE(TRIM(MID(MID(Wages!$B44,FIND("/",Wages!$B44)+1,20),FIND("/",MID(Wages!$B44,FIND("/",Wages!$B44)+1,20))+1,20))),"")))</f>
        <v/>
      </c>
      <c r="F41">
        <f>IF($A41="","",IF(OR($C41="",$D41="",$E41="",$C41&lt;1300,$C41&gt;1500,$D41&lt;1,$D41&gt;12,$E41&lt;1,$E41&gt;31),"نامعتبر",RIGHT("0000"&amp;$C41,4)&amp;"/"&amp;RIGHT("00"&amp;$D41,2)&amp;"/"&amp;RIGHT("00"&amp;$E41,2)))</f>
        <v/>
      </c>
      <c r="G41">
        <f>IF(OR($A41="",$F41="",$F41="نامعتبر"),"",LEFT($F41,4)&amp;MID($F41,6,2)&amp;RIGHT($F41,2)&amp;"0000"&amp;"|"&amp;"1"&amp;RIGHT("00000"&amp;36,5))</f>
        <v/>
      </c>
      <c r="H41">
        <f>IF(OR($B41&lt;&gt;1,$G41=""),"",COUNTIFS(LdAParty,$A41,LdAType,1,LdAKey,"&lt;"&amp;$G41)+COUNTIFS(LdBMember,$A41,LdBKey,"&lt;"&amp;$G41)+COUNTIFS(LdCParty,$A41,LdCKey,"&lt;"&amp;$G41)+1)</f>
        <v/>
      </c>
      <c r="I41">
        <f>IF($H41="","",$A41&amp;"|"&amp;RIGHT("000000"&amp;$H41,6))</f>
        <v/>
      </c>
      <c r="J41">
        <f>IF(OR($B41&lt;&gt;2,$G41=""),"",COUNTIFS(LdAParty,$A41,LdAType,2,LdAKey,"&lt;"&amp;$G41)+1)</f>
        <v/>
      </c>
      <c r="K41">
        <f>IF($J41="","",$A41&amp;"|"&amp;RIGHT("000000"&amp;$J41,6))</f>
        <v/>
      </c>
      <c r="L41">
        <f>IF($A41="","",IF(Wages!$G44="",0,Wages!$G44))</f>
        <v/>
      </c>
      <c r="M41">
        <f>IF($A41="","",Wages!$J44)</f>
        <v/>
      </c>
      <c r="N41">
        <f>IF($A41="","",Wages!$D44)</f>
        <v/>
      </c>
      <c r="P41">
        <f>IF(OR(Shares!$B44="",Shares!$C44=""),"",Shares!$C44)</f>
        <v/>
      </c>
      <c r="Q41">
        <f>IF($P41="","",Shares!$B44)</f>
        <v/>
      </c>
      <c r="R41">
        <f>IF($P41="","",IFERROR(INDEX(WageParty,MATCH($Q41,WageIds,0)),""))</f>
        <v/>
      </c>
      <c r="S41">
        <f>IF($P41="","",IFERROR(INDEX($F$6:$F$2005,MATCH($Q41,WageIds,0)),""))</f>
        <v/>
      </c>
      <c r="T41">
        <f>IF(OR($P41="",$S41="",$S41="نامعتبر"),"",LEFT($S41,4)&amp;MID($S41,6,2)&amp;RIGHT($S41,2)&amp;"0000"&amp;"|"&amp;"2"&amp;RIGHT("00000"&amp;36,5))</f>
        <v/>
      </c>
      <c r="U41">
        <f>IF($T41="","",COUNTIFS(LdAParty,$P41,LdAType,1,LdAKey,"&lt;"&amp;$T41)+COUNTIFS(LdBMember,$P41,LdBKey,"&lt;"&amp;$T41)+COUNTIFS(LdCParty,$P41,LdCKey,"&lt;"&amp;$T41)+1)</f>
        <v/>
      </c>
      <c r="V41">
        <f>IF($U41="","",$P41&amp;"|"&amp;RIGHT("000000"&amp;$U41,6))</f>
        <v/>
      </c>
      <c r="W41">
        <f>IF($T41="","",COUNTIFS(LdBGroup,$R41,LdBKey,"&lt;"&amp;$T41)+1)</f>
        <v/>
      </c>
      <c r="X41">
        <f>IF($W41="","",$R41&amp;"|"&amp;RIGHT("000000"&amp;$W41,6))</f>
        <v/>
      </c>
      <c r="Y41">
        <f>IF($P41="","",IF(Shares!$E44="",0,Shares!$E44))</f>
        <v/>
      </c>
      <c r="Z41">
        <f>IF($P41="","",Shares!$H44)</f>
        <v/>
      </c>
      <c r="AE41">
        <f>IF(OR(Sync!$S41="",Sync!$P41=""),"",Sync!$S41)</f>
        <v/>
      </c>
      <c r="AF41">
        <f>IF($AE41="","",IF(ISNUMBER(Sync!$P41),IF(AND(Sync!$P41&gt;=10000101,Sync!$P41&lt;=99991231),INT(Sync!$P41/10000),""),IFERROR(VALUE(TRIM(LEFT(Sync!$P41,FIND("/",Sync!$P41)-1))),"")))</f>
        <v/>
      </c>
      <c r="AG41">
        <f>IF(OR($AE41="",$AF41=""),"",IF(ISNUMBER(Sync!$P41),INT(MOD(Sync!$P41,10000)/100),IFERROR(VALUE(TRIM(LEFT(MID(Sync!$P41,FIND("/",Sync!$P41)+1,20),FIND("/",MID(Sync!$P41,FIND("/",Sync!$P41)+1,20))-1))),"")))</f>
        <v/>
      </c>
      <c r="AH41">
        <f>IF(OR($AE41="",$AF41=""),"",IF(ISNUMBER(Sync!$P41),MOD(Sync!$P41,100),IFERROR(VALUE(TRIM(MID(MID(Sync!$P41,FIND("/",Sync!$P41)+1,20),FIND("/",MID(Sync!$P41,FIND("/",Sync!$P41)+1,20))+1,20))),"")))</f>
        <v/>
      </c>
      <c r="AI41">
        <f>IF($AE41="","",IF(OR($AF41="",$AG41="",$AH41="",$AF41&lt;1300,$AF41&gt;1500,$AG41&lt;1,$AG41&gt;12,$AH41&lt;1,$AH41&gt;31),"نامعتبر",RIGHT("0000"&amp;$AF41,4)&amp;"/"&amp;RIGHT("00"&amp;$AG41,2)&amp;"/"&amp;RIGHT("00"&amp;$AH41,2)))</f>
        <v/>
      </c>
      <c r="AJ41">
        <f>IF($AE41="","",IF(Sync!$Q41="","0000",IF(AND(ISNUMBER(Sync!$Q41),Sync!$Q41&gt;=0,Sync!$Q41&lt;1),RIGHT("00"&amp;HOUR(Sync!$Q41),2)&amp;RIGHT("00"&amp;MINUTE(Sync!$Q41),2),IFERROR(RIGHT("00"&amp;VALUE(LEFT(Sync!$Q41,FIND(":",Sync!$Q41)-1)),2)&amp;RIGHT("00"&amp;VALUE(MID(Sync!$Q41,FIND(":",Sync!$Q41)+1,2)),2),"0000"))))</f>
        <v/>
      </c>
      <c r="AK41">
        <f>IF(OR($AE41="",$AI41="",$AI41="نامعتبر"),"",LEFT($AI41,4)&amp;MID($AI41,6,2)&amp;RIGHT($AI41,2)&amp;$AJ41&amp;"|"&amp;"3"&amp;RIGHT("00000"&amp;36,5))</f>
        <v/>
      </c>
      <c r="AL41">
        <f>IF($AK41="","",COUNTIFS(LdAParty,$AE41,LdAType,1,LdAKey,"&lt;"&amp;$AK41)+COUNTIFS(LdBMember,$AE41,LdBKey,"&lt;"&amp;$AK41)+COUNTIFS(LdCParty,$AE41,LdCKey,"&lt;"&amp;$AK41)+1)</f>
        <v/>
      </c>
      <c r="AM41">
        <f>IF($AL41="","",$AE41&amp;"|"&amp;RIGHT("000000"&amp;$AL41,6))</f>
        <v/>
      </c>
      <c r="AN41">
        <f>IF($AE41="","",IF(Sync!$W41="",0,Sync!$W41))</f>
        <v/>
      </c>
      <c r="AO41">
        <f>IF($AE41="","",IF(Sync!$X41="",0,Sync!$X41))</f>
        <v/>
      </c>
      <c r="AP41">
        <f>IF($AE41="","",Sync!$R41)</f>
        <v/>
      </c>
      <c r="AQ41">
        <f>IF($AE41="","",Sync!$Y41)</f>
        <v/>
      </c>
    </row>
    <row r="42">
      <c r="A42">
        <f>IF(OR(Wages!$B45="",Wages!$E45=""),"",Wages!$E45)</f>
        <v/>
      </c>
      <c r="B42">
        <f>IF($A42="","",IF(Wages!$C45="دستمزد گروهی",2,1))</f>
        <v/>
      </c>
      <c r="C42">
        <f>IF($A42="","",IF(ISNUMBER(Wages!$B45),IF(AND(Wages!$B45&gt;=10000101,Wages!$B45&lt;=99991231),INT(Wages!$B45/10000),""),IFERROR(VALUE(TRIM(LEFT(Wages!$B45,FIND("/",Wages!$B45)-1))),"")))</f>
        <v/>
      </c>
      <c r="D42">
        <f>IF(OR($A42="",$C42=""),"",IF(ISNUMBER(Wages!$B45),INT(MOD(Wages!$B45,10000)/100),IFERROR(VALUE(TRIM(LEFT(MID(Wages!$B45,FIND("/",Wages!$B45)+1,20),FIND("/",MID(Wages!$B45,FIND("/",Wages!$B45)+1,20))-1))),"")))</f>
        <v/>
      </c>
      <c r="E42">
        <f>IF(OR($A42="",$C42=""),"",IF(ISNUMBER(Wages!$B45),MOD(Wages!$B45,100),IFERROR(VALUE(TRIM(MID(MID(Wages!$B45,FIND("/",Wages!$B45)+1,20),FIND("/",MID(Wages!$B45,FIND("/",Wages!$B45)+1,20))+1,20))),"")))</f>
        <v/>
      </c>
      <c r="F42">
        <f>IF($A42="","",IF(OR($C42="",$D42="",$E42="",$C42&lt;1300,$C42&gt;1500,$D42&lt;1,$D42&gt;12,$E42&lt;1,$E42&gt;31),"نامعتبر",RIGHT("0000"&amp;$C42,4)&amp;"/"&amp;RIGHT("00"&amp;$D42,2)&amp;"/"&amp;RIGHT("00"&amp;$E42,2)))</f>
        <v/>
      </c>
      <c r="G42">
        <f>IF(OR($A42="",$F42="",$F42="نامعتبر"),"",LEFT($F42,4)&amp;MID($F42,6,2)&amp;RIGHT($F42,2)&amp;"0000"&amp;"|"&amp;"1"&amp;RIGHT("00000"&amp;37,5))</f>
        <v/>
      </c>
      <c r="H42">
        <f>IF(OR($B42&lt;&gt;1,$G42=""),"",COUNTIFS(LdAParty,$A42,LdAType,1,LdAKey,"&lt;"&amp;$G42)+COUNTIFS(LdBMember,$A42,LdBKey,"&lt;"&amp;$G42)+COUNTIFS(LdCParty,$A42,LdCKey,"&lt;"&amp;$G42)+1)</f>
        <v/>
      </c>
      <c r="I42">
        <f>IF($H42="","",$A42&amp;"|"&amp;RIGHT("000000"&amp;$H42,6))</f>
        <v/>
      </c>
      <c r="J42">
        <f>IF(OR($B42&lt;&gt;2,$G42=""),"",COUNTIFS(LdAParty,$A42,LdAType,2,LdAKey,"&lt;"&amp;$G42)+1)</f>
        <v/>
      </c>
      <c r="K42">
        <f>IF($J42="","",$A42&amp;"|"&amp;RIGHT("000000"&amp;$J42,6))</f>
        <v/>
      </c>
      <c r="L42">
        <f>IF($A42="","",IF(Wages!$G45="",0,Wages!$G45))</f>
        <v/>
      </c>
      <c r="M42">
        <f>IF($A42="","",Wages!$J45)</f>
        <v/>
      </c>
      <c r="N42">
        <f>IF($A42="","",Wages!$D45)</f>
        <v/>
      </c>
      <c r="P42">
        <f>IF(OR(Shares!$B45="",Shares!$C45=""),"",Shares!$C45)</f>
        <v/>
      </c>
      <c r="Q42">
        <f>IF($P42="","",Shares!$B45)</f>
        <v/>
      </c>
      <c r="R42">
        <f>IF($P42="","",IFERROR(INDEX(WageParty,MATCH($Q42,WageIds,0)),""))</f>
        <v/>
      </c>
      <c r="S42">
        <f>IF($P42="","",IFERROR(INDEX($F$6:$F$2005,MATCH($Q42,WageIds,0)),""))</f>
        <v/>
      </c>
      <c r="T42">
        <f>IF(OR($P42="",$S42="",$S42="نامعتبر"),"",LEFT($S42,4)&amp;MID($S42,6,2)&amp;RIGHT($S42,2)&amp;"0000"&amp;"|"&amp;"2"&amp;RIGHT("00000"&amp;37,5))</f>
        <v/>
      </c>
      <c r="U42">
        <f>IF($T42="","",COUNTIFS(LdAParty,$P42,LdAType,1,LdAKey,"&lt;"&amp;$T42)+COUNTIFS(LdBMember,$P42,LdBKey,"&lt;"&amp;$T42)+COUNTIFS(LdCParty,$P42,LdCKey,"&lt;"&amp;$T42)+1)</f>
        <v/>
      </c>
      <c r="V42">
        <f>IF($U42="","",$P42&amp;"|"&amp;RIGHT("000000"&amp;$U42,6))</f>
        <v/>
      </c>
      <c r="W42">
        <f>IF($T42="","",COUNTIFS(LdBGroup,$R42,LdBKey,"&lt;"&amp;$T42)+1)</f>
        <v/>
      </c>
      <c r="X42">
        <f>IF($W42="","",$R42&amp;"|"&amp;RIGHT("000000"&amp;$W42,6))</f>
        <v/>
      </c>
      <c r="Y42">
        <f>IF($P42="","",IF(Shares!$E45="",0,Shares!$E45))</f>
        <v/>
      </c>
      <c r="Z42">
        <f>IF($P42="","",Shares!$H45)</f>
        <v/>
      </c>
      <c r="AE42">
        <f>IF(OR(Sync!$S42="",Sync!$P42=""),"",Sync!$S42)</f>
        <v/>
      </c>
      <c r="AF42">
        <f>IF($AE42="","",IF(ISNUMBER(Sync!$P42),IF(AND(Sync!$P42&gt;=10000101,Sync!$P42&lt;=99991231),INT(Sync!$P42/10000),""),IFERROR(VALUE(TRIM(LEFT(Sync!$P42,FIND("/",Sync!$P42)-1))),"")))</f>
        <v/>
      </c>
      <c r="AG42">
        <f>IF(OR($AE42="",$AF42=""),"",IF(ISNUMBER(Sync!$P42),INT(MOD(Sync!$P42,10000)/100),IFERROR(VALUE(TRIM(LEFT(MID(Sync!$P42,FIND("/",Sync!$P42)+1,20),FIND("/",MID(Sync!$P42,FIND("/",Sync!$P42)+1,20))-1))),"")))</f>
        <v/>
      </c>
      <c r="AH42">
        <f>IF(OR($AE42="",$AF42=""),"",IF(ISNUMBER(Sync!$P42),MOD(Sync!$P42,100),IFERROR(VALUE(TRIM(MID(MID(Sync!$P42,FIND("/",Sync!$P42)+1,20),FIND("/",MID(Sync!$P42,FIND("/",Sync!$P42)+1,20))+1,20))),"")))</f>
        <v/>
      </c>
      <c r="AI42">
        <f>IF($AE42="","",IF(OR($AF42="",$AG42="",$AH42="",$AF42&lt;1300,$AF42&gt;1500,$AG42&lt;1,$AG42&gt;12,$AH42&lt;1,$AH42&gt;31),"نامعتبر",RIGHT("0000"&amp;$AF42,4)&amp;"/"&amp;RIGHT("00"&amp;$AG42,2)&amp;"/"&amp;RIGHT("00"&amp;$AH42,2)))</f>
        <v/>
      </c>
      <c r="AJ42">
        <f>IF($AE42="","",IF(Sync!$Q42="","0000",IF(AND(ISNUMBER(Sync!$Q42),Sync!$Q42&gt;=0,Sync!$Q42&lt;1),RIGHT("00"&amp;HOUR(Sync!$Q42),2)&amp;RIGHT("00"&amp;MINUTE(Sync!$Q42),2),IFERROR(RIGHT("00"&amp;VALUE(LEFT(Sync!$Q42,FIND(":",Sync!$Q42)-1)),2)&amp;RIGHT("00"&amp;VALUE(MID(Sync!$Q42,FIND(":",Sync!$Q42)+1,2)),2),"0000"))))</f>
        <v/>
      </c>
      <c r="AK42">
        <f>IF(OR($AE42="",$AI42="",$AI42="نامعتبر"),"",LEFT($AI42,4)&amp;MID($AI42,6,2)&amp;RIGHT($AI42,2)&amp;$AJ42&amp;"|"&amp;"3"&amp;RIGHT("00000"&amp;37,5))</f>
        <v/>
      </c>
      <c r="AL42">
        <f>IF($AK42="","",COUNTIFS(LdAParty,$AE42,LdAType,1,LdAKey,"&lt;"&amp;$AK42)+COUNTIFS(LdBMember,$AE42,LdBKey,"&lt;"&amp;$AK42)+COUNTIFS(LdCParty,$AE42,LdCKey,"&lt;"&amp;$AK42)+1)</f>
        <v/>
      </c>
      <c r="AM42">
        <f>IF($AL42="","",$AE42&amp;"|"&amp;RIGHT("000000"&amp;$AL42,6))</f>
        <v/>
      </c>
      <c r="AN42">
        <f>IF($AE42="","",IF(Sync!$W42="",0,Sync!$W42))</f>
        <v/>
      </c>
      <c r="AO42">
        <f>IF($AE42="","",IF(Sync!$X42="",0,Sync!$X42))</f>
        <v/>
      </c>
      <c r="AP42">
        <f>IF($AE42="","",Sync!$R42)</f>
        <v/>
      </c>
      <c r="AQ42">
        <f>IF($AE42="","",Sync!$Y42)</f>
        <v/>
      </c>
    </row>
    <row r="43">
      <c r="A43">
        <f>IF(OR(Wages!$B46="",Wages!$E46=""),"",Wages!$E46)</f>
        <v/>
      </c>
      <c r="B43">
        <f>IF($A43="","",IF(Wages!$C46="دستمزد گروهی",2,1))</f>
        <v/>
      </c>
      <c r="C43">
        <f>IF($A43="","",IF(ISNUMBER(Wages!$B46),IF(AND(Wages!$B46&gt;=10000101,Wages!$B46&lt;=99991231),INT(Wages!$B46/10000),""),IFERROR(VALUE(TRIM(LEFT(Wages!$B46,FIND("/",Wages!$B46)-1))),"")))</f>
        <v/>
      </c>
      <c r="D43">
        <f>IF(OR($A43="",$C43=""),"",IF(ISNUMBER(Wages!$B46),INT(MOD(Wages!$B46,10000)/100),IFERROR(VALUE(TRIM(LEFT(MID(Wages!$B46,FIND("/",Wages!$B46)+1,20),FIND("/",MID(Wages!$B46,FIND("/",Wages!$B46)+1,20))-1))),"")))</f>
        <v/>
      </c>
      <c r="E43">
        <f>IF(OR($A43="",$C43=""),"",IF(ISNUMBER(Wages!$B46),MOD(Wages!$B46,100),IFERROR(VALUE(TRIM(MID(MID(Wages!$B46,FIND("/",Wages!$B46)+1,20),FIND("/",MID(Wages!$B46,FIND("/",Wages!$B46)+1,20))+1,20))),"")))</f>
        <v/>
      </c>
      <c r="F43">
        <f>IF($A43="","",IF(OR($C43="",$D43="",$E43="",$C43&lt;1300,$C43&gt;1500,$D43&lt;1,$D43&gt;12,$E43&lt;1,$E43&gt;31),"نامعتبر",RIGHT("0000"&amp;$C43,4)&amp;"/"&amp;RIGHT("00"&amp;$D43,2)&amp;"/"&amp;RIGHT("00"&amp;$E43,2)))</f>
        <v/>
      </c>
      <c r="G43">
        <f>IF(OR($A43="",$F43="",$F43="نامعتبر"),"",LEFT($F43,4)&amp;MID($F43,6,2)&amp;RIGHT($F43,2)&amp;"0000"&amp;"|"&amp;"1"&amp;RIGHT("00000"&amp;38,5))</f>
        <v/>
      </c>
      <c r="H43">
        <f>IF(OR($B43&lt;&gt;1,$G43=""),"",COUNTIFS(LdAParty,$A43,LdAType,1,LdAKey,"&lt;"&amp;$G43)+COUNTIFS(LdBMember,$A43,LdBKey,"&lt;"&amp;$G43)+COUNTIFS(LdCParty,$A43,LdCKey,"&lt;"&amp;$G43)+1)</f>
        <v/>
      </c>
      <c r="I43">
        <f>IF($H43="","",$A43&amp;"|"&amp;RIGHT("000000"&amp;$H43,6))</f>
        <v/>
      </c>
      <c r="J43">
        <f>IF(OR($B43&lt;&gt;2,$G43=""),"",COUNTIFS(LdAParty,$A43,LdAType,2,LdAKey,"&lt;"&amp;$G43)+1)</f>
        <v/>
      </c>
      <c r="K43">
        <f>IF($J43="","",$A43&amp;"|"&amp;RIGHT("000000"&amp;$J43,6))</f>
        <v/>
      </c>
      <c r="L43">
        <f>IF($A43="","",IF(Wages!$G46="",0,Wages!$G46))</f>
        <v/>
      </c>
      <c r="M43">
        <f>IF($A43="","",Wages!$J46)</f>
        <v/>
      </c>
      <c r="N43">
        <f>IF($A43="","",Wages!$D46)</f>
        <v/>
      </c>
      <c r="P43">
        <f>IF(OR(Shares!$B46="",Shares!$C46=""),"",Shares!$C46)</f>
        <v/>
      </c>
      <c r="Q43">
        <f>IF($P43="","",Shares!$B46)</f>
        <v/>
      </c>
      <c r="R43">
        <f>IF($P43="","",IFERROR(INDEX(WageParty,MATCH($Q43,WageIds,0)),""))</f>
        <v/>
      </c>
      <c r="S43">
        <f>IF($P43="","",IFERROR(INDEX($F$6:$F$2005,MATCH($Q43,WageIds,0)),""))</f>
        <v/>
      </c>
      <c r="T43">
        <f>IF(OR($P43="",$S43="",$S43="نامعتبر"),"",LEFT($S43,4)&amp;MID($S43,6,2)&amp;RIGHT($S43,2)&amp;"0000"&amp;"|"&amp;"2"&amp;RIGHT("00000"&amp;38,5))</f>
        <v/>
      </c>
      <c r="U43">
        <f>IF($T43="","",COUNTIFS(LdAParty,$P43,LdAType,1,LdAKey,"&lt;"&amp;$T43)+COUNTIFS(LdBMember,$P43,LdBKey,"&lt;"&amp;$T43)+COUNTIFS(LdCParty,$P43,LdCKey,"&lt;"&amp;$T43)+1)</f>
        <v/>
      </c>
      <c r="V43">
        <f>IF($U43="","",$P43&amp;"|"&amp;RIGHT("000000"&amp;$U43,6))</f>
        <v/>
      </c>
      <c r="W43">
        <f>IF($T43="","",COUNTIFS(LdBGroup,$R43,LdBKey,"&lt;"&amp;$T43)+1)</f>
        <v/>
      </c>
      <c r="X43">
        <f>IF($W43="","",$R43&amp;"|"&amp;RIGHT("000000"&amp;$W43,6))</f>
        <v/>
      </c>
      <c r="Y43">
        <f>IF($P43="","",IF(Shares!$E46="",0,Shares!$E46))</f>
        <v/>
      </c>
      <c r="Z43">
        <f>IF($P43="","",Shares!$H46)</f>
        <v/>
      </c>
      <c r="AE43">
        <f>IF(OR(Sync!$S43="",Sync!$P43=""),"",Sync!$S43)</f>
        <v/>
      </c>
      <c r="AF43">
        <f>IF($AE43="","",IF(ISNUMBER(Sync!$P43),IF(AND(Sync!$P43&gt;=10000101,Sync!$P43&lt;=99991231),INT(Sync!$P43/10000),""),IFERROR(VALUE(TRIM(LEFT(Sync!$P43,FIND("/",Sync!$P43)-1))),"")))</f>
        <v/>
      </c>
      <c r="AG43">
        <f>IF(OR($AE43="",$AF43=""),"",IF(ISNUMBER(Sync!$P43),INT(MOD(Sync!$P43,10000)/100),IFERROR(VALUE(TRIM(LEFT(MID(Sync!$P43,FIND("/",Sync!$P43)+1,20),FIND("/",MID(Sync!$P43,FIND("/",Sync!$P43)+1,20))-1))),"")))</f>
        <v/>
      </c>
      <c r="AH43">
        <f>IF(OR($AE43="",$AF43=""),"",IF(ISNUMBER(Sync!$P43),MOD(Sync!$P43,100),IFERROR(VALUE(TRIM(MID(MID(Sync!$P43,FIND("/",Sync!$P43)+1,20),FIND("/",MID(Sync!$P43,FIND("/",Sync!$P43)+1,20))+1,20))),"")))</f>
        <v/>
      </c>
      <c r="AI43">
        <f>IF($AE43="","",IF(OR($AF43="",$AG43="",$AH43="",$AF43&lt;1300,$AF43&gt;1500,$AG43&lt;1,$AG43&gt;12,$AH43&lt;1,$AH43&gt;31),"نامعتبر",RIGHT("0000"&amp;$AF43,4)&amp;"/"&amp;RIGHT("00"&amp;$AG43,2)&amp;"/"&amp;RIGHT("00"&amp;$AH43,2)))</f>
        <v/>
      </c>
      <c r="AJ43">
        <f>IF($AE43="","",IF(Sync!$Q43="","0000",IF(AND(ISNUMBER(Sync!$Q43),Sync!$Q43&gt;=0,Sync!$Q43&lt;1),RIGHT("00"&amp;HOUR(Sync!$Q43),2)&amp;RIGHT("00"&amp;MINUTE(Sync!$Q43),2),IFERROR(RIGHT("00"&amp;VALUE(LEFT(Sync!$Q43,FIND(":",Sync!$Q43)-1)),2)&amp;RIGHT("00"&amp;VALUE(MID(Sync!$Q43,FIND(":",Sync!$Q43)+1,2)),2),"0000"))))</f>
        <v/>
      </c>
      <c r="AK43">
        <f>IF(OR($AE43="",$AI43="",$AI43="نامعتبر"),"",LEFT($AI43,4)&amp;MID($AI43,6,2)&amp;RIGHT($AI43,2)&amp;$AJ43&amp;"|"&amp;"3"&amp;RIGHT("00000"&amp;38,5))</f>
        <v/>
      </c>
      <c r="AL43">
        <f>IF($AK43="","",COUNTIFS(LdAParty,$AE43,LdAType,1,LdAKey,"&lt;"&amp;$AK43)+COUNTIFS(LdBMember,$AE43,LdBKey,"&lt;"&amp;$AK43)+COUNTIFS(LdCParty,$AE43,LdCKey,"&lt;"&amp;$AK43)+1)</f>
        <v/>
      </c>
      <c r="AM43">
        <f>IF($AL43="","",$AE43&amp;"|"&amp;RIGHT("000000"&amp;$AL43,6))</f>
        <v/>
      </c>
      <c r="AN43">
        <f>IF($AE43="","",IF(Sync!$W43="",0,Sync!$W43))</f>
        <v/>
      </c>
      <c r="AO43">
        <f>IF($AE43="","",IF(Sync!$X43="",0,Sync!$X43))</f>
        <v/>
      </c>
      <c r="AP43">
        <f>IF($AE43="","",Sync!$R43)</f>
        <v/>
      </c>
      <c r="AQ43">
        <f>IF($AE43="","",Sync!$Y43)</f>
        <v/>
      </c>
    </row>
    <row r="44">
      <c r="A44">
        <f>IF(OR(Wages!$B47="",Wages!$E47=""),"",Wages!$E47)</f>
        <v/>
      </c>
      <c r="B44">
        <f>IF($A44="","",IF(Wages!$C47="دستمزد گروهی",2,1))</f>
        <v/>
      </c>
      <c r="C44">
        <f>IF($A44="","",IF(ISNUMBER(Wages!$B47),IF(AND(Wages!$B47&gt;=10000101,Wages!$B47&lt;=99991231),INT(Wages!$B47/10000),""),IFERROR(VALUE(TRIM(LEFT(Wages!$B47,FIND("/",Wages!$B47)-1))),"")))</f>
        <v/>
      </c>
      <c r="D44">
        <f>IF(OR($A44="",$C44=""),"",IF(ISNUMBER(Wages!$B47),INT(MOD(Wages!$B47,10000)/100),IFERROR(VALUE(TRIM(LEFT(MID(Wages!$B47,FIND("/",Wages!$B47)+1,20),FIND("/",MID(Wages!$B47,FIND("/",Wages!$B47)+1,20))-1))),"")))</f>
        <v/>
      </c>
      <c r="E44">
        <f>IF(OR($A44="",$C44=""),"",IF(ISNUMBER(Wages!$B47),MOD(Wages!$B47,100),IFERROR(VALUE(TRIM(MID(MID(Wages!$B47,FIND("/",Wages!$B47)+1,20),FIND("/",MID(Wages!$B47,FIND("/",Wages!$B47)+1,20))+1,20))),"")))</f>
        <v/>
      </c>
      <c r="F44">
        <f>IF($A44="","",IF(OR($C44="",$D44="",$E44="",$C44&lt;1300,$C44&gt;1500,$D44&lt;1,$D44&gt;12,$E44&lt;1,$E44&gt;31),"نامعتبر",RIGHT("0000"&amp;$C44,4)&amp;"/"&amp;RIGHT("00"&amp;$D44,2)&amp;"/"&amp;RIGHT("00"&amp;$E44,2)))</f>
        <v/>
      </c>
      <c r="G44">
        <f>IF(OR($A44="",$F44="",$F44="نامعتبر"),"",LEFT($F44,4)&amp;MID($F44,6,2)&amp;RIGHT($F44,2)&amp;"0000"&amp;"|"&amp;"1"&amp;RIGHT("00000"&amp;39,5))</f>
        <v/>
      </c>
      <c r="H44">
        <f>IF(OR($B44&lt;&gt;1,$G44=""),"",COUNTIFS(LdAParty,$A44,LdAType,1,LdAKey,"&lt;"&amp;$G44)+COUNTIFS(LdBMember,$A44,LdBKey,"&lt;"&amp;$G44)+COUNTIFS(LdCParty,$A44,LdCKey,"&lt;"&amp;$G44)+1)</f>
        <v/>
      </c>
      <c r="I44">
        <f>IF($H44="","",$A44&amp;"|"&amp;RIGHT("000000"&amp;$H44,6))</f>
        <v/>
      </c>
      <c r="J44">
        <f>IF(OR($B44&lt;&gt;2,$G44=""),"",COUNTIFS(LdAParty,$A44,LdAType,2,LdAKey,"&lt;"&amp;$G44)+1)</f>
        <v/>
      </c>
      <c r="K44">
        <f>IF($J44="","",$A44&amp;"|"&amp;RIGHT("000000"&amp;$J44,6))</f>
        <v/>
      </c>
      <c r="L44">
        <f>IF($A44="","",IF(Wages!$G47="",0,Wages!$G47))</f>
        <v/>
      </c>
      <c r="M44">
        <f>IF($A44="","",Wages!$J47)</f>
        <v/>
      </c>
      <c r="N44">
        <f>IF($A44="","",Wages!$D47)</f>
        <v/>
      </c>
      <c r="P44">
        <f>IF(OR(Shares!$B47="",Shares!$C47=""),"",Shares!$C47)</f>
        <v/>
      </c>
      <c r="Q44">
        <f>IF($P44="","",Shares!$B47)</f>
        <v/>
      </c>
      <c r="R44">
        <f>IF($P44="","",IFERROR(INDEX(WageParty,MATCH($Q44,WageIds,0)),""))</f>
        <v/>
      </c>
      <c r="S44">
        <f>IF($P44="","",IFERROR(INDEX($F$6:$F$2005,MATCH($Q44,WageIds,0)),""))</f>
        <v/>
      </c>
      <c r="T44">
        <f>IF(OR($P44="",$S44="",$S44="نامعتبر"),"",LEFT($S44,4)&amp;MID($S44,6,2)&amp;RIGHT($S44,2)&amp;"0000"&amp;"|"&amp;"2"&amp;RIGHT("00000"&amp;39,5))</f>
        <v/>
      </c>
      <c r="U44">
        <f>IF($T44="","",COUNTIFS(LdAParty,$P44,LdAType,1,LdAKey,"&lt;"&amp;$T44)+COUNTIFS(LdBMember,$P44,LdBKey,"&lt;"&amp;$T44)+COUNTIFS(LdCParty,$P44,LdCKey,"&lt;"&amp;$T44)+1)</f>
        <v/>
      </c>
      <c r="V44">
        <f>IF($U44="","",$P44&amp;"|"&amp;RIGHT("000000"&amp;$U44,6))</f>
        <v/>
      </c>
      <c r="W44">
        <f>IF($T44="","",COUNTIFS(LdBGroup,$R44,LdBKey,"&lt;"&amp;$T44)+1)</f>
        <v/>
      </c>
      <c r="X44">
        <f>IF($W44="","",$R44&amp;"|"&amp;RIGHT("000000"&amp;$W44,6))</f>
        <v/>
      </c>
      <c r="Y44">
        <f>IF($P44="","",IF(Shares!$E47="",0,Shares!$E47))</f>
        <v/>
      </c>
      <c r="Z44">
        <f>IF($P44="","",Shares!$H47)</f>
        <v/>
      </c>
      <c r="AE44">
        <f>IF(OR(Sync!$S44="",Sync!$P44=""),"",Sync!$S44)</f>
        <v/>
      </c>
      <c r="AF44">
        <f>IF($AE44="","",IF(ISNUMBER(Sync!$P44),IF(AND(Sync!$P44&gt;=10000101,Sync!$P44&lt;=99991231),INT(Sync!$P44/10000),""),IFERROR(VALUE(TRIM(LEFT(Sync!$P44,FIND("/",Sync!$P44)-1))),"")))</f>
        <v/>
      </c>
      <c r="AG44">
        <f>IF(OR($AE44="",$AF44=""),"",IF(ISNUMBER(Sync!$P44),INT(MOD(Sync!$P44,10000)/100),IFERROR(VALUE(TRIM(LEFT(MID(Sync!$P44,FIND("/",Sync!$P44)+1,20),FIND("/",MID(Sync!$P44,FIND("/",Sync!$P44)+1,20))-1))),"")))</f>
        <v/>
      </c>
      <c r="AH44">
        <f>IF(OR($AE44="",$AF44=""),"",IF(ISNUMBER(Sync!$P44),MOD(Sync!$P44,100),IFERROR(VALUE(TRIM(MID(MID(Sync!$P44,FIND("/",Sync!$P44)+1,20),FIND("/",MID(Sync!$P44,FIND("/",Sync!$P44)+1,20))+1,20))),"")))</f>
        <v/>
      </c>
      <c r="AI44">
        <f>IF($AE44="","",IF(OR($AF44="",$AG44="",$AH44="",$AF44&lt;1300,$AF44&gt;1500,$AG44&lt;1,$AG44&gt;12,$AH44&lt;1,$AH44&gt;31),"نامعتبر",RIGHT("0000"&amp;$AF44,4)&amp;"/"&amp;RIGHT("00"&amp;$AG44,2)&amp;"/"&amp;RIGHT("00"&amp;$AH44,2)))</f>
        <v/>
      </c>
      <c r="AJ44">
        <f>IF($AE44="","",IF(Sync!$Q44="","0000",IF(AND(ISNUMBER(Sync!$Q44),Sync!$Q44&gt;=0,Sync!$Q44&lt;1),RIGHT("00"&amp;HOUR(Sync!$Q44),2)&amp;RIGHT("00"&amp;MINUTE(Sync!$Q44),2),IFERROR(RIGHT("00"&amp;VALUE(LEFT(Sync!$Q44,FIND(":",Sync!$Q44)-1)),2)&amp;RIGHT("00"&amp;VALUE(MID(Sync!$Q44,FIND(":",Sync!$Q44)+1,2)),2),"0000"))))</f>
        <v/>
      </c>
      <c r="AK44">
        <f>IF(OR($AE44="",$AI44="",$AI44="نامعتبر"),"",LEFT($AI44,4)&amp;MID($AI44,6,2)&amp;RIGHT($AI44,2)&amp;$AJ44&amp;"|"&amp;"3"&amp;RIGHT("00000"&amp;39,5))</f>
        <v/>
      </c>
      <c r="AL44">
        <f>IF($AK44="","",COUNTIFS(LdAParty,$AE44,LdAType,1,LdAKey,"&lt;"&amp;$AK44)+COUNTIFS(LdBMember,$AE44,LdBKey,"&lt;"&amp;$AK44)+COUNTIFS(LdCParty,$AE44,LdCKey,"&lt;"&amp;$AK44)+1)</f>
        <v/>
      </c>
      <c r="AM44">
        <f>IF($AL44="","",$AE44&amp;"|"&amp;RIGHT("000000"&amp;$AL44,6))</f>
        <v/>
      </c>
      <c r="AN44">
        <f>IF($AE44="","",IF(Sync!$W44="",0,Sync!$W44))</f>
        <v/>
      </c>
      <c r="AO44">
        <f>IF($AE44="","",IF(Sync!$X44="",0,Sync!$X44))</f>
        <v/>
      </c>
      <c r="AP44">
        <f>IF($AE44="","",Sync!$R44)</f>
        <v/>
      </c>
      <c r="AQ44">
        <f>IF($AE44="","",Sync!$Y44)</f>
        <v/>
      </c>
    </row>
    <row r="45">
      <c r="A45">
        <f>IF(OR(Wages!$B48="",Wages!$E48=""),"",Wages!$E48)</f>
        <v/>
      </c>
      <c r="B45">
        <f>IF($A45="","",IF(Wages!$C48="دستمزد گروهی",2,1))</f>
        <v/>
      </c>
      <c r="C45">
        <f>IF($A45="","",IF(ISNUMBER(Wages!$B48),IF(AND(Wages!$B48&gt;=10000101,Wages!$B48&lt;=99991231),INT(Wages!$B48/10000),""),IFERROR(VALUE(TRIM(LEFT(Wages!$B48,FIND("/",Wages!$B48)-1))),"")))</f>
        <v/>
      </c>
      <c r="D45">
        <f>IF(OR($A45="",$C45=""),"",IF(ISNUMBER(Wages!$B48),INT(MOD(Wages!$B48,10000)/100),IFERROR(VALUE(TRIM(LEFT(MID(Wages!$B48,FIND("/",Wages!$B48)+1,20),FIND("/",MID(Wages!$B48,FIND("/",Wages!$B48)+1,20))-1))),"")))</f>
        <v/>
      </c>
      <c r="E45">
        <f>IF(OR($A45="",$C45=""),"",IF(ISNUMBER(Wages!$B48),MOD(Wages!$B48,100),IFERROR(VALUE(TRIM(MID(MID(Wages!$B48,FIND("/",Wages!$B48)+1,20),FIND("/",MID(Wages!$B48,FIND("/",Wages!$B48)+1,20))+1,20))),"")))</f>
        <v/>
      </c>
      <c r="F45">
        <f>IF($A45="","",IF(OR($C45="",$D45="",$E45="",$C45&lt;1300,$C45&gt;1500,$D45&lt;1,$D45&gt;12,$E45&lt;1,$E45&gt;31),"نامعتبر",RIGHT("0000"&amp;$C45,4)&amp;"/"&amp;RIGHT("00"&amp;$D45,2)&amp;"/"&amp;RIGHT("00"&amp;$E45,2)))</f>
        <v/>
      </c>
      <c r="G45">
        <f>IF(OR($A45="",$F45="",$F45="نامعتبر"),"",LEFT($F45,4)&amp;MID($F45,6,2)&amp;RIGHT($F45,2)&amp;"0000"&amp;"|"&amp;"1"&amp;RIGHT("00000"&amp;40,5))</f>
        <v/>
      </c>
      <c r="H45">
        <f>IF(OR($B45&lt;&gt;1,$G45=""),"",COUNTIFS(LdAParty,$A45,LdAType,1,LdAKey,"&lt;"&amp;$G45)+COUNTIFS(LdBMember,$A45,LdBKey,"&lt;"&amp;$G45)+COUNTIFS(LdCParty,$A45,LdCKey,"&lt;"&amp;$G45)+1)</f>
        <v/>
      </c>
      <c r="I45">
        <f>IF($H45="","",$A45&amp;"|"&amp;RIGHT("000000"&amp;$H45,6))</f>
        <v/>
      </c>
      <c r="J45">
        <f>IF(OR($B45&lt;&gt;2,$G45=""),"",COUNTIFS(LdAParty,$A45,LdAType,2,LdAKey,"&lt;"&amp;$G45)+1)</f>
        <v/>
      </c>
      <c r="K45">
        <f>IF($J45="","",$A45&amp;"|"&amp;RIGHT("000000"&amp;$J45,6))</f>
        <v/>
      </c>
      <c r="L45">
        <f>IF($A45="","",IF(Wages!$G48="",0,Wages!$G48))</f>
        <v/>
      </c>
      <c r="M45">
        <f>IF($A45="","",Wages!$J48)</f>
        <v/>
      </c>
      <c r="N45">
        <f>IF($A45="","",Wages!$D48)</f>
        <v/>
      </c>
      <c r="P45">
        <f>IF(OR(Shares!$B48="",Shares!$C48=""),"",Shares!$C48)</f>
        <v/>
      </c>
      <c r="Q45">
        <f>IF($P45="","",Shares!$B48)</f>
        <v/>
      </c>
      <c r="R45">
        <f>IF($P45="","",IFERROR(INDEX(WageParty,MATCH($Q45,WageIds,0)),""))</f>
        <v/>
      </c>
      <c r="S45">
        <f>IF($P45="","",IFERROR(INDEX($F$6:$F$2005,MATCH($Q45,WageIds,0)),""))</f>
        <v/>
      </c>
      <c r="T45">
        <f>IF(OR($P45="",$S45="",$S45="نامعتبر"),"",LEFT($S45,4)&amp;MID($S45,6,2)&amp;RIGHT($S45,2)&amp;"0000"&amp;"|"&amp;"2"&amp;RIGHT("00000"&amp;40,5))</f>
        <v/>
      </c>
      <c r="U45">
        <f>IF($T45="","",COUNTIFS(LdAParty,$P45,LdAType,1,LdAKey,"&lt;"&amp;$T45)+COUNTIFS(LdBMember,$P45,LdBKey,"&lt;"&amp;$T45)+COUNTIFS(LdCParty,$P45,LdCKey,"&lt;"&amp;$T45)+1)</f>
        <v/>
      </c>
      <c r="V45">
        <f>IF($U45="","",$P45&amp;"|"&amp;RIGHT("000000"&amp;$U45,6))</f>
        <v/>
      </c>
      <c r="W45">
        <f>IF($T45="","",COUNTIFS(LdBGroup,$R45,LdBKey,"&lt;"&amp;$T45)+1)</f>
        <v/>
      </c>
      <c r="X45">
        <f>IF($W45="","",$R45&amp;"|"&amp;RIGHT("000000"&amp;$W45,6))</f>
        <v/>
      </c>
      <c r="Y45">
        <f>IF($P45="","",IF(Shares!$E48="",0,Shares!$E48))</f>
        <v/>
      </c>
      <c r="Z45">
        <f>IF($P45="","",Shares!$H48)</f>
        <v/>
      </c>
      <c r="AE45">
        <f>IF(OR(Sync!$S45="",Sync!$P45=""),"",Sync!$S45)</f>
        <v/>
      </c>
      <c r="AF45">
        <f>IF($AE45="","",IF(ISNUMBER(Sync!$P45),IF(AND(Sync!$P45&gt;=10000101,Sync!$P45&lt;=99991231),INT(Sync!$P45/10000),""),IFERROR(VALUE(TRIM(LEFT(Sync!$P45,FIND("/",Sync!$P45)-1))),"")))</f>
        <v/>
      </c>
      <c r="AG45">
        <f>IF(OR($AE45="",$AF45=""),"",IF(ISNUMBER(Sync!$P45),INT(MOD(Sync!$P45,10000)/100),IFERROR(VALUE(TRIM(LEFT(MID(Sync!$P45,FIND("/",Sync!$P45)+1,20),FIND("/",MID(Sync!$P45,FIND("/",Sync!$P45)+1,20))-1))),"")))</f>
        <v/>
      </c>
      <c r="AH45">
        <f>IF(OR($AE45="",$AF45=""),"",IF(ISNUMBER(Sync!$P45),MOD(Sync!$P45,100),IFERROR(VALUE(TRIM(MID(MID(Sync!$P45,FIND("/",Sync!$P45)+1,20),FIND("/",MID(Sync!$P45,FIND("/",Sync!$P45)+1,20))+1,20))),"")))</f>
        <v/>
      </c>
      <c r="AI45">
        <f>IF($AE45="","",IF(OR($AF45="",$AG45="",$AH45="",$AF45&lt;1300,$AF45&gt;1500,$AG45&lt;1,$AG45&gt;12,$AH45&lt;1,$AH45&gt;31),"نامعتبر",RIGHT("0000"&amp;$AF45,4)&amp;"/"&amp;RIGHT("00"&amp;$AG45,2)&amp;"/"&amp;RIGHT("00"&amp;$AH45,2)))</f>
        <v/>
      </c>
      <c r="AJ45">
        <f>IF($AE45="","",IF(Sync!$Q45="","0000",IF(AND(ISNUMBER(Sync!$Q45),Sync!$Q45&gt;=0,Sync!$Q45&lt;1),RIGHT("00"&amp;HOUR(Sync!$Q45),2)&amp;RIGHT("00"&amp;MINUTE(Sync!$Q45),2),IFERROR(RIGHT("00"&amp;VALUE(LEFT(Sync!$Q45,FIND(":",Sync!$Q45)-1)),2)&amp;RIGHT("00"&amp;VALUE(MID(Sync!$Q45,FIND(":",Sync!$Q45)+1,2)),2),"0000"))))</f>
        <v/>
      </c>
      <c r="AK45">
        <f>IF(OR($AE45="",$AI45="",$AI45="نامعتبر"),"",LEFT($AI45,4)&amp;MID($AI45,6,2)&amp;RIGHT($AI45,2)&amp;$AJ45&amp;"|"&amp;"3"&amp;RIGHT("00000"&amp;40,5))</f>
        <v/>
      </c>
      <c r="AL45">
        <f>IF($AK45="","",COUNTIFS(LdAParty,$AE45,LdAType,1,LdAKey,"&lt;"&amp;$AK45)+COUNTIFS(LdBMember,$AE45,LdBKey,"&lt;"&amp;$AK45)+COUNTIFS(LdCParty,$AE45,LdCKey,"&lt;"&amp;$AK45)+1)</f>
        <v/>
      </c>
      <c r="AM45">
        <f>IF($AL45="","",$AE45&amp;"|"&amp;RIGHT("000000"&amp;$AL45,6))</f>
        <v/>
      </c>
      <c r="AN45">
        <f>IF($AE45="","",IF(Sync!$W45="",0,Sync!$W45))</f>
        <v/>
      </c>
      <c r="AO45">
        <f>IF($AE45="","",IF(Sync!$X45="",0,Sync!$X45))</f>
        <v/>
      </c>
      <c r="AP45">
        <f>IF($AE45="","",Sync!$R45)</f>
        <v/>
      </c>
      <c r="AQ45">
        <f>IF($AE45="","",Sync!$Y45)</f>
        <v/>
      </c>
    </row>
    <row r="46">
      <c r="A46">
        <f>IF(OR(Wages!$B49="",Wages!$E49=""),"",Wages!$E49)</f>
        <v/>
      </c>
      <c r="B46">
        <f>IF($A46="","",IF(Wages!$C49="دستمزد گروهی",2,1))</f>
        <v/>
      </c>
      <c r="C46">
        <f>IF($A46="","",IF(ISNUMBER(Wages!$B49),IF(AND(Wages!$B49&gt;=10000101,Wages!$B49&lt;=99991231),INT(Wages!$B49/10000),""),IFERROR(VALUE(TRIM(LEFT(Wages!$B49,FIND("/",Wages!$B49)-1))),"")))</f>
        <v/>
      </c>
      <c r="D46">
        <f>IF(OR($A46="",$C46=""),"",IF(ISNUMBER(Wages!$B49),INT(MOD(Wages!$B49,10000)/100),IFERROR(VALUE(TRIM(LEFT(MID(Wages!$B49,FIND("/",Wages!$B49)+1,20),FIND("/",MID(Wages!$B49,FIND("/",Wages!$B49)+1,20))-1))),"")))</f>
        <v/>
      </c>
      <c r="E46">
        <f>IF(OR($A46="",$C46=""),"",IF(ISNUMBER(Wages!$B49),MOD(Wages!$B49,100),IFERROR(VALUE(TRIM(MID(MID(Wages!$B49,FIND("/",Wages!$B49)+1,20),FIND("/",MID(Wages!$B49,FIND("/",Wages!$B49)+1,20))+1,20))),"")))</f>
        <v/>
      </c>
      <c r="F46">
        <f>IF($A46="","",IF(OR($C46="",$D46="",$E46="",$C46&lt;1300,$C46&gt;1500,$D46&lt;1,$D46&gt;12,$E46&lt;1,$E46&gt;31),"نامعتبر",RIGHT("0000"&amp;$C46,4)&amp;"/"&amp;RIGHT("00"&amp;$D46,2)&amp;"/"&amp;RIGHT("00"&amp;$E46,2)))</f>
        <v/>
      </c>
      <c r="G46">
        <f>IF(OR($A46="",$F46="",$F46="نامعتبر"),"",LEFT($F46,4)&amp;MID($F46,6,2)&amp;RIGHT($F46,2)&amp;"0000"&amp;"|"&amp;"1"&amp;RIGHT("00000"&amp;41,5))</f>
        <v/>
      </c>
      <c r="H46">
        <f>IF(OR($B46&lt;&gt;1,$G46=""),"",COUNTIFS(LdAParty,$A46,LdAType,1,LdAKey,"&lt;"&amp;$G46)+COUNTIFS(LdBMember,$A46,LdBKey,"&lt;"&amp;$G46)+COUNTIFS(LdCParty,$A46,LdCKey,"&lt;"&amp;$G46)+1)</f>
        <v/>
      </c>
      <c r="I46">
        <f>IF($H46="","",$A46&amp;"|"&amp;RIGHT("000000"&amp;$H46,6))</f>
        <v/>
      </c>
      <c r="J46">
        <f>IF(OR($B46&lt;&gt;2,$G46=""),"",COUNTIFS(LdAParty,$A46,LdAType,2,LdAKey,"&lt;"&amp;$G46)+1)</f>
        <v/>
      </c>
      <c r="K46">
        <f>IF($J46="","",$A46&amp;"|"&amp;RIGHT("000000"&amp;$J46,6))</f>
        <v/>
      </c>
      <c r="L46">
        <f>IF($A46="","",IF(Wages!$G49="",0,Wages!$G49))</f>
        <v/>
      </c>
      <c r="M46">
        <f>IF($A46="","",Wages!$J49)</f>
        <v/>
      </c>
      <c r="N46">
        <f>IF($A46="","",Wages!$D49)</f>
        <v/>
      </c>
      <c r="P46">
        <f>IF(OR(Shares!$B49="",Shares!$C49=""),"",Shares!$C49)</f>
        <v/>
      </c>
      <c r="Q46">
        <f>IF($P46="","",Shares!$B49)</f>
        <v/>
      </c>
      <c r="R46">
        <f>IF($P46="","",IFERROR(INDEX(WageParty,MATCH($Q46,WageIds,0)),""))</f>
        <v/>
      </c>
      <c r="S46">
        <f>IF($P46="","",IFERROR(INDEX($F$6:$F$2005,MATCH($Q46,WageIds,0)),""))</f>
        <v/>
      </c>
      <c r="T46">
        <f>IF(OR($P46="",$S46="",$S46="نامعتبر"),"",LEFT($S46,4)&amp;MID($S46,6,2)&amp;RIGHT($S46,2)&amp;"0000"&amp;"|"&amp;"2"&amp;RIGHT("00000"&amp;41,5))</f>
        <v/>
      </c>
      <c r="U46">
        <f>IF($T46="","",COUNTIFS(LdAParty,$P46,LdAType,1,LdAKey,"&lt;"&amp;$T46)+COUNTIFS(LdBMember,$P46,LdBKey,"&lt;"&amp;$T46)+COUNTIFS(LdCParty,$P46,LdCKey,"&lt;"&amp;$T46)+1)</f>
        <v/>
      </c>
      <c r="V46">
        <f>IF($U46="","",$P46&amp;"|"&amp;RIGHT("000000"&amp;$U46,6))</f>
        <v/>
      </c>
      <c r="W46">
        <f>IF($T46="","",COUNTIFS(LdBGroup,$R46,LdBKey,"&lt;"&amp;$T46)+1)</f>
        <v/>
      </c>
      <c r="X46">
        <f>IF($W46="","",$R46&amp;"|"&amp;RIGHT("000000"&amp;$W46,6))</f>
        <v/>
      </c>
      <c r="Y46">
        <f>IF($P46="","",IF(Shares!$E49="",0,Shares!$E49))</f>
        <v/>
      </c>
      <c r="Z46">
        <f>IF($P46="","",Shares!$H49)</f>
        <v/>
      </c>
      <c r="AE46">
        <f>IF(OR(Sync!$S46="",Sync!$P46=""),"",Sync!$S46)</f>
        <v/>
      </c>
      <c r="AF46">
        <f>IF($AE46="","",IF(ISNUMBER(Sync!$P46),IF(AND(Sync!$P46&gt;=10000101,Sync!$P46&lt;=99991231),INT(Sync!$P46/10000),""),IFERROR(VALUE(TRIM(LEFT(Sync!$P46,FIND("/",Sync!$P46)-1))),"")))</f>
        <v/>
      </c>
      <c r="AG46">
        <f>IF(OR($AE46="",$AF46=""),"",IF(ISNUMBER(Sync!$P46),INT(MOD(Sync!$P46,10000)/100),IFERROR(VALUE(TRIM(LEFT(MID(Sync!$P46,FIND("/",Sync!$P46)+1,20),FIND("/",MID(Sync!$P46,FIND("/",Sync!$P46)+1,20))-1))),"")))</f>
        <v/>
      </c>
      <c r="AH46">
        <f>IF(OR($AE46="",$AF46=""),"",IF(ISNUMBER(Sync!$P46),MOD(Sync!$P46,100),IFERROR(VALUE(TRIM(MID(MID(Sync!$P46,FIND("/",Sync!$P46)+1,20),FIND("/",MID(Sync!$P46,FIND("/",Sync!$P46)+1,20))+1,20))),"")))</f>
        <v/>
      </c>
      <c r="AI46">
        <f>IF($AE46="","",IF(OR($AF46="",$AG46="",$AH46="",$AF46&lt;1300,$AF46&gt;1500,$AG46&lt;1,$AG46&gt;12,$AH46&lt;1,$AH46&gt;31),"نامعتبر",RIGHT("0000"&amp;$AF46,4)&amp;"/"&amp;RIGHT("00"&amp;$AG46,2)&amp;"/"&amp;RIGHT("00"&amp;$AH46,2)))</f>
        <v/>
      </c>
      <c r="AJ46">
        <f>IF($AE46="","",IF(Sync!$Q46="","0000",IF(AND(ISNUMBER(Sync!$Q46),Sync!$Q46&gt;=0,Sync!$Q46&lt;1),RIGHT("00"&amp;HOUR(Sync!$Q46),2)&amp;RIGHT("00"&amp;MINUTE(Sync!$Q46),2),IFERROR(RIGHT("00"&amp;VALUE(LEFT(Sync!$Q46,FIND(":",Sync!$Q46)-1)),2)&amp;RIGHT("00"&amp;VALUE(MID(Sync!$Q46,FIND(":",Sync!$Q46)+1,2)),2),"0000"))))</f>
        <v/>
      </c>
      <c r="AK46">
        <f>IF(OR($AE46="",$AI46="",$AI46="نامعتبر"),"",LEFT($AI46,4)&amp;MID($AI46,6,2)&amp;RIGHT($AI46,2)&amp;$AJ46&amp;"|"&amp;"3"&amp;RIGHT("00000"&amp;41,5))</f>
        <v/>
      </c>
      <c r="AL46">
        <f>IF($AK46="","",COUNTIFS(LdAParty,$AE46,LdAType,1,LdAKey,"&lt;"&amp;$AK46)+COUNTIFS(LdBMember,$AE46,LdBKey,"&lt;"&amp;$AK46)+COUNTIFS(LdCParty,$AE46,LdCKey,"&lt;"&amp;$AK46)+1)</f>
        <v/>
      </c>
      <c r="AM46">
        <f>IF($AL46="","",$AE46&amp;"|"&amp;RIGHT("000000"&amp;$AL46,6))</f>
        <v/>
      </c>
      <c r="AN46">
        <f>IF($AE46="","",IF(Sync!$W46="",0,Sync!$W46))</f>
        <v/>
      </c>
      <c r="AO46">
        <f>IF($AE46="","",IF(Sync!$X46="",0,Sync!$X46))</f>
        <v/>
      </c>
      <c r="AP46">
        <f>IF($AE46="","",Sync!$R46)</f>
        <v/>
      </c>
      <c r="AQ46">
        <f>IF($AE46="","",Sync!$Y46)</f>
        <v/>
      </c>
    </row>
    <row r="47">
      <c r="A47">
        <f>IF(OR(Wages!$B50="",Wages!$E50=""),"",Wages!$E50)</f>
        <v/>
      </c>
      <c r="B47">
        <f>IF($A47="","",IF(Wages!$C50="دستمزد گروهی",2,1))</f>
        <v/>
      </c>
      <c r="C47">
        <f>IF($A47="","",IF(ISNUMBER(Wages!$B50),IF(AND(Wages!$B50&gt;=10000101,Wages!$B50&lt;=99991231),INT(Wages!$B50/10000),""),IFERROR(VALUE(TRIM(LEFT(Wages!$B50,FIND("/",Wages!$B50)-1))),"")))</f>
        <v/>
      </c>
      <c r="D47">
        <f>IF(OR($A47="",$C47=""),"",IF(ISNUMBER(Wages!$B50),INT(MOD(Wages!$B50,10000)/100),IFERROR(VALUE(TRIM(LEFT(MID(Wages!$B50,FIND("/",Wages!$B50)+1,20),FIND("/",MID(Wages!$B50,FIND("/",Wages!$B50)+1,20))-1))),"")))</f>
        <v/>
      </c>
      <c r="E47">
        <f>IF(OR($A47="",$C47=""),"",IF(ISNUMBER(Wages!$B50),MOD(Wages!$B50,100),IFERROR(VALUE(TRIM(MID(MID(Wages!$B50,FIND("/",Wages!$B50)+1,20),FIND("/",MID(Wages!$B50,FIND("/",Wages!$B50)+1,20))+1,20))),"")))</f>
        <v/>
      </c>
      <c r="F47">
        <f>IF($A47="","",IF(OR($C47="",$D47="",$E47="",$C47&lt;1300,$C47&gt;1500,$D47&lt;1,$D47&gt;12,$E47&lt;1,$E47&gt;31),"نامعتبر",RIGHT("0000"&amp;$C47,4)&amp;"/"&amp;RIGHT("00"&amp;$D47,2)&amp;"/"&amp;RIGHT("00"&amp;$E47,2)))</f>
        <v/>
      </c>
      <c r="G47">
        <f>IF(OR($A47="",$F47="",$F47="نامعتبر"),"",LEFT($F47,4)&amp;MID($F47,6,2)&amp;RIGHT($F47,2)&amp;"0000"&amp;"|"&amp;"1"&amp;RIGHT("00000"&amp;42,5))</f>
        <v/>
      </c>
      <c r="H47">
        <f>IF(OR($B47&lt;&gt;1,$G47=""),"",COUNTIFS(LdAParty,$A47,LdAType,1,LdAKey,"&lt;"&amp;$G47)+COUNTIFS(LdBMember,$A47,LdBKey,"&lt;"&amp;$G47)+COUNTIFS(LdCParty,$A47,LdCKey,"&lt;"&amp;$G47)+1)</f>
        <v/>
      </c>
      <c r="I47">
        <f>IF($H47="","",$A47&amp;"|"&amp;RIGHT("000000"&amp;$H47,6))</f>
        <v/>
      </c>
      <c r="J47">
        <f>IF(OR($B47&lt;&gt;2,$G47=""),"",COUNTIFS(LdAParty,$A47,LdAType,2,LdAKey,"&lt;"&amp;$G47)+1)</f>
        <v/>
      </c>
      <c r="K47">
        <f>IF($J47="","",$A47&amp;"|"&amp;RIGHT("000000"&amp;$J47,6))</f>
        <v/>
      </c>
      <c r="L47">
        <f>IF($A47="","",IF(Wages!$G50="",0,Wages!$G50))</f>
        <v/>
      </c>
      <c r="M47">
        <f>IF($A47="","",Wages!$J50)</f>
        <v/>
      </c>
      <c r="N47">
        <f>IF($A47="","",Wages!$D50)</f>
        <v/>
      </c>
      <c r="P47">
        <f>IF(OR(Shares!$B50="",Shares!$C50=""),"",Shares!$C50)</f>
        <v/>
      </c>
      <c r="Q47">
        <f>IF($P47="","",Shares!$B50)</f>
        <v/>
      </c>
      <c r="R47">
        <f>IF($P47="","",IFERROR(INDEX(WageParty,MATCH($Q47,WageIds,0)),""))</f>
        <v/>
      </c>
      <c r="S47">
        <f>IF($P47="","",IFERROR(INDEX($F$6:$F$2005,MATCH($Q47,WageIds,0)),""))</f>
        <v/>
      </c>
      <c r="T47">
        <f>IF(OR($P47="",$S47="",$S47="نامعتبر"),"",LEFT($S47,4)&amp;MID($S47,6,2)&amp;RIGHT($S47,2)&amp;"0000"&amp;"|"&amp;"2"&amp;RIGHT("00000"&amp;42,5))</f>
        <v/>
      </c>
      <c r="U47">
        <f>IF($T47="","",COUNTIFS(LdAParty,$P47,LdAType,1,LdAKey,"&lt;"&amp;$T47)+COUNTIFS(LdBMember,$P47,LdBKey,"&lt;"&amp;$T47)+COUNTIFS(LdCParty,$P47,LdCKey,"&lt;"&amp;$T47)+1)</f>
        <v/>
      </c>
      <c r="V47">
        <f>IF($U47="","",$P47&amp;"|"&amp;RIGHT("000000"&amp;$U47,6))</f>
        <v/>
      </c>
      <c r="W47">
        <f>IF($T47="","",COUNTIFS(LdBGroup,$R47,LdBKey,"&lt;"&amp;$T47)+1)</f>
        <v/>
      </c>
      <c r="X47">
        <f>IF($W47="","",$R47&amp;"|"&amp;RIGHT("000000"&amp;$W47,6))</f>
        <v/>
      </c>
      <c r="Y47">
        <f>IF($P47="","",IF(Shares!$E50="",0,Shares!$E50))</f>
        <v/>
      </c>
      <c r="Z47">
        <f>IF($P47="","",Shares!$H50)</f>
        <v/>
      </c>
      <c r="AE47">
        <f>IF(OR(Sync!$S47="",Sync!$P47=""),"",Sync!$S47)</f>
        <v/>
      </c>
      <c r="AF47">
        <f>IF($AE47="","",IF(ISNUMBER(Sync!$P47),IF(AND(Sync!$P47&gt;=10000101,Sync!$P47&lt;=99991231),INT(Sync!$P47/10000),""),IFERROR(VALUE(TRIM(LEFT(Sync!$P47,FIND("/",Sync!$P47)-1))),"")))</f>
        <v/>
      </c>
      <c r="AG47">
        <f>IF(OR($AE47="",$AF47=""),"",IF(ISNUMBER(Sync!$P47),INT(MOD(Sync!$P47,10000)/100),IFERROR(VALUE(TRIM(LEFT(MID(Sync!$P47,FIND("/",Sync!$P47)+1,20),FIND("/",MID(Sync!$P47,FIND("/",Sync!$P47)+1,20))-1))),"")))</f>
        <v/>
      </c>
      <c r="AH47">
        <f>IF(OR($AE47="",$AF47=""),"",IF(ISNUMBER(Sync!$P47),MOD(Sync!$P47,100),IFERROR(VALUE(TRIM(MID(MID(Sync!$P47,FIND("/",Sync!$P47)+1,20),FIND("/",MID(Sync!$P47,FIND("/",Sync!$P47)+1,20))+1,20))),"")))</f>
        <v/>
      </c>
      <c r="AI47">
        <f>IF($AE47="","",IF(OR($AF47="",$AG47="",$AH47="",$AF47&lt;1300,$AF47&gt;1500,$AG47&lt;1,$AG47&gt;12,$AH47&lt;1,$AH47&gt;31),"نامعتبر",RIGHT("0000"&amp;$AF47,4)&amp;"/"&amp;RIGHT("00"&amp;$AG47,2)&amp;"/"&amp;RIGHT("00"&amp;$AH47,2)))</f>
        <v/>
      </c>
      <c r="AJ47">
        <f>IF($AE47="","",IF(Sync!$Q47="","0000",IF(AND(ISNUMBER(Sync!$Q47),Sync!$Q47&gt;=0,Sync!$Q47&lt;1),RIGHT("00"&amp;HOUR(Sync!$Q47),2)&amp;RIGHT("00"&amp;MINUTE(Sync!$Q47),2),IFERROR(RIGHT("00"&amp;VALUE(LEFT(Sync!$Q47,FIND(":",Sync!$Q47)-1)),2)&amp;RIGHT("00"&amp;VALUE(MID(Sync!$Q47,FIND(":",Sync!$Q47)+1,2)),2),"0000"))))</f>
        <v/>
      </c>
      <c r="AK47">
        <f>IF(OR($AE47="",$AI47="",$AI47="نامعتبر"),"",LEFT($AI47,4)&amp;MID($AI47,6,2)&amp;RIGHT($AI47,2)&amp;$AJ47&amp;"|"&amp;"3"&amp;RIGHT("00000"&amp;42,5))</f>
        <v/>
      </c>
      <c r="AL47">
        <f>IF($AK47="","",COUNTIFS(LdAParty,$AE47,LdAType,1,LdAKey,"&lt;"&amp;$AK47)+COUNTIFS(LdBMember,$AE47,LdBKey,"&lt;"&amp;$AK47)+COUNTIFS(LdCParty,$AE47,LdCKey,"&lt;"&amp;$AK47)+1)</f>
        <v/>
      </c>
      <c r="AM47">
        <f>IF($AL47="","",$AE47&amp;"|"&amp;RIGHT("000000"&amp;$AL47,6))</f>
        <v/>
      </c>
      <c r="AN47">
        <f>IF($AE47="","",IF(Sync!$W47="",0,Sync!$W47))</f>
        <v/>
      </c>
      <c r="AO47">
        <f>IF($AE47="","",IF(Sync!$X47="",0,Sync!$X47))</f>
        <v/>
      </c>
      <c r="AP47">
        <f>IF($AE47="","",Sync!$R47)</f>
        <v/>
      </c>
      <c r="AQ47">
        <f>IF($AE47="","",Sync!$Y47)</f>
        <v/>
      </c>
    </row>
    <row r="48">
      <c r="A48">
        <f>IF(OR(Wages!$B51="",Wages!$E51=""),"",Wages!$E51)</f>
        <v/>
      </c>
      <c r="B48">
        <f>IF($A48="","",IF(Wages!$C51="دستمزد گروهی",2,1))</f>
        <v/>
      </c>
      <c r="C48">
        <f>IF($A48="","",IF(ISNUMBER(Wages!$B51),IF(AND(Wages!$B51&gt;=10000101,Wages!$B51&lt;=99991231),INT(Wages!$B51/10000),""),IFERROR(VALUE(TRIM(LEFT(Wages!$B51,FIND("/",Wages!$B51)-1))),"")))</f>
        <v/>
      </c>
      <c r="D48">
        <f>IF(OR($A48="",$C48=""),"",IF(ISNUMBER(Wages!$B51),INT(MOD(Wages!$B51,10000)/100),IFERROR(VALUE(TRIM(LEFT(MID(Wages!$B51,FIND("/",Wages!$B51)+1,20),FIND("/",MID(Wages!$B51,FIND("/",Wages!$B51)+1,20))-1))),"")))</f>
        <v/>
      </c>
      <c r="E48">
        <f>IF(OR($A48="",$C48=""),"",IF(ISNUMBER(Wages!$B51),MOD(Wages!$B51,100),IFERROR(VALUE(TRIM(MID(MID(Wages!$B51,FIND("/",Wages!$B51)+1,20),FIND("/",MID(Wages!$B51,FIND("/",Wages!$B51)+1,20))+1,20))),"")))</f>
        <v/>
      </c>
      <c r="F48">
        <f>IF($A48="","",IF(OR($C48="",$D48="",$E48="",$C48&lt;1300,$C48&gt;1500,$D48&lt;1,$D48&gt;12,$E48&lt;1,$E48&gt;31),"نامعتبر",RIGHT("0000"&amp;$C48,4)&amp;"/"&amp;RIGHT("00"&amp;$D48,2)&amp;"/"&amp;RIGHT("00"&amp;$E48,2)))</f>
        <v/>
      </c>
      <c r="G48">
        <f>IF(OR($A48="",$F48="",$F48="نامعتبر"),"",LEFT($F48,4)&amp;MID($F48,6,2)&amp;RIGHT($F48,2)&amp;"0000"&amp;"|"&amp;"1"&amp;RIGHT("00000"&amp;43,5))</f>
        <v/>
      </c>
      <c r="H48">
        <f>IF(OR($B48&lt;&gt;1,$G48=""),"",COUNTIFS(LdAParty,$A48,LdAType,1,LdAKey,"&lt;"&amp;$G48)+COUNTIFS(LdBMember,$A48,LdBKey,"&lt;"&amp;$G48)+COUNTIFS(LdCParty,$A48,LdCKey,"&lt;"&amp;$G48)+1)</f>
        <v/>
      </c>
      <c r="I48">
        <f>IF($H48="","",$A48&amp;"|"&amp;RIGHT("000000"&amp;$H48,6))</f>
        <v/>
      </c>
      <c r="J48">
        <f>IF(OR($B48&lt;&gt;2,$G48=""),"",COUNTIFS(LdAParty,$A48,LdAType,2,LdAKey,"&lt;"&amp;$G48)+1)</f>
        <v/>
      </c>
      <c r="K48">
        <f>IF($J48="","",$A48&amp;"|"&amp;RIGHT("000000"&amp;$J48,6))</f>
        <v/>
      </c>
      <c r="L48">
        <f>IF($A48="","",IF(Wages!$G51="",0,Wages!$G51))</f>
        <v/>
      </c>
      <c r="M48">
        <f>IF($A48="","",Wages!$J51)</f>
        <v/>
      </c>
      <c r="N48">
        <f>IF($A48="","",Wages!$D51)</f>
        <v/>
      </c>
      <c r="P48">
        <f>IF(OR(Shares!$B51="",Shares!$C51=""),"",Shares!$C51)</f>
        <v/>
      </c>
      <c r="Q48">
        <f>IF($P48="","",Shares!$B51)</f>
        <v/>
      </c>
      <c r="R48">
        <f>IF($P48="","",IFERROR(INDEX(WageParty,MATCH($Q48,WageIds,0)),""))</f>
        <v/>
      </c>
      <c r="S48">
        <f>IF($P48="","",IFERROR(INDEX($F$6:$F$2005,MATCH($Q48,WageIds,0)),""))</f>
        <v/>
      </c>
      <c r="T48">
        <f>IF(OR($P48="",$S48="",$S48="نامعتبر"),"",LEFT($S48,4)&amp;MID($S48,6,2)&amp;RIGHT($S48,2)&amp;"0000"&amp;"|"&amp;"2"&amp;RIGHT("00000"&amp;43,5))</f>
        <v/>
      </c>
      <c r="U48">
        <f>IF($T48="","",COUNTIFS(LdAParty,$P48,LdAType,1,LdAKey,"&lt;"&amp;$T48)+COUNTIFS(LdBMember,$P48,LdBKey,"&lt;"&amp;$T48)+COUNTIFS(LdCParty,$P48,LdCKey,"&lt;"&amp;$T48)+1)</f>
        <v/>
      </c>
      <c r="V48">
        <f>IF($U48="","",$P48&amp;"|"&amp;RIGHT("000000"&amp;$U48,6))</f>
        <v/>
      </c>
      <c r="W48">
        <f>IF($T48="","",COUNTIFS(LdBGroup,$R48,LdBKey,"&lt;"&amp;$T48)+1)</f>
        <v/>
      </c>
      <c r="X48">
        <f>IF($W48="","",$R48&amp;"|"&amp;RIGHT("000000"&amp;$W48,6))</f>
        <v/>
      </c>
      <c r="Y48">
        <f>IF($P48="","",IF(Shares!$E51="",0,Shares!$E51))</f>
        <v/>
      </c>
      <c r="Z48">
        <f>IF($P48="","",Shares!$H51)</f>
        <v/>
      </c>
      <c r="AE48">
        <f>IF(OR(Sync!$S48="",Sync!$P48=""),"",Sync!$S48)</f>
        <v/>
      </c>
      <c r="AF48">
        <f>IF($AE48="","",IF(ISNUMBER(Sync!$P48),IF(AND(Sync!$P48&gt;=10000101,Sync!$P48&lt;=99991231),INT(Sync!$P48/10000),""),IFERROR(VALUE(TRIM(LEFT(Sync!$P48,FIND("/",Sync!$P48)-1))),"")))</f>
        <v/>
      </c>
      <c r="AG48">
        <f>IF(OR($AE48="",$AF48=""),"",IF(ISNUMBER(Sync!$P48),INT(MOD(Sync!$P48,10000)/100),IFERROR(VALUE(TRIM(LEFT(MID(Sync!$P48,FIND("/",Sync!$P48)+1,20),FIND("/",MID(Sync!$P48,FIND("/",Sync!$P48)+1,20))-1))),"")))</f>
        <v/>
      </c>
      <c r="AH48">
        <f>IF(OR($AE48="",$AF48=""),"",IF(ISNUMBER(Sync!$P48),MOD(Sync!$P48,100),IFERROR(VALUE(TRIM(MID(MID(Sync!$P48,FIND("/",Sync!$P48)+1,20),FIND("/",MID(Sync!$P48,FIND("/",Sync!$P48)+1,20))+1,20))),"")))</f>
        <v/>
      </c>
      <c r="AI48">
        <f>IF($AE48="","",IF(OR($AF48="",$AG48="",$AH48="",$AF48&lt;1300,$AF48&gt;1500,$AG48&lt;1,$AG48&gt;12,$AH48&lt;1,$AH48&gt;31),"نامعتبر",RIGHT("0000"&amp;$AF48,4)&amp;"/"&amp;RIGHT("00"&amp;$AG48,2)&amp;"/"&amp;RIGHT("00"&amp;$AH48,2)))</f>
        <v/>
      </c>
      <c r="AJ48">
        <f>IF($AE48="","",IF(Sync!$Q48="","0000",IF(AND(ISNUMBER(Sync!$Q48),Sync!$Q48&gt;=0,Sync!$Q48&lt;1),RIGHT("00"&amp;HOUR(Sync!$Q48),2)&amp;RIGHT("00"&amp;MINUTE(Sync!$Q48),2),IFERROR(RIGHT("00"&amp;VALUE(LEFT(Sync!$Q48,FIND(":",Sync!$Q48)-1)),2)&amp;RIGHT("00"&amp;VALUE(MID(Sync!$Q48,FIND(":",Sync!$Q48)+1,2)),2),"0000"))))</f>
        <v/>
      </c>
      <c r="AK48">
        <f>IF(OR($AE48="",$AI48="",$AI48="نامعتبر"),"",LEFT($AI48,4)&amp;MID($AI48,6,2)&amp;RIGHT($AI48,2)&amp;$AJ48&amp;"|"&amp;"3"&amp;RIGHT("00000"&amp;43,5))</f>
        <v/>
      </c>
      <c r="AL48">
        <f>IF($AK48="","",COUNTIFS(LdAParty,$AE48,LdAType,1,LdAKey,"&lt;"&amp;$AK48)+COUNTIFS(LdBMember,$AE48,LdBKey,"&lt;"&amp;$AK48)+COUNTIFS(LdCParty,$AE48,LdCKey,"&lt;"&amp;$AK48)+1)</f>
        <v/>
      </c>
      <c r="AM48">
        <f>IF($AL48="","",$AE48&amp;"|"&amp;RIGHT("000000"&amp;$AL48,6))</f>
        <v/>
      </c>
      <c r="AN48">
        <f>IF($AE48="","",IF(Sync!$W48="",0,Sync!$W48))</f>
        <v/>
      </c>
      <c r="AO48">
        <f>IF($AE48="","",IF(Sync!$X48="",0,Sync!$X48))</f>
        <v/>
      </c>
      <c r="AP48">
        <f>IF($AE48="","",Sync!$R48)</f>
        <v/>
      </c>
      <c r="AQ48">
        <f>IF($AE48="","",Sync!$Y48)</f>
        <v/>
      </c>
    </row>
    <row r="49">
      <c r="A49">
        <f>IF(OR(Wages!$B52="",Wages!$E52=""),"",Wages!$E52)</f>
        <v/>
      </c>
      <c r="B49">
        <f>IF($A49="","",IF(Wages!$C52="دستمزد گروهی",2,1))</f>
        <v/>
      </c>
      <c r="C49">
        <f>IF($A49="","",IF(ISNUMBER(Wages!$B52),IF(AND(Wages!$B52&gt;=10000101,Wages!$B52&lt;=99991231),INT(Wages!$B52/10000),""),IFERROR(VALUE(TRIM(LEFT(Wages!$B52,FIND("/",Wages!$B52)-1))),"")))</f>
        <v/>
      </c>
      <c r="D49">
        <f>IF(OR($A49="",$C49=""),"",IF(ISNUMBER(Wages!$B52),INT(MOD(Wages!$B52,10000)/100),IFERROR(VALUE(TRIM(LEFT(MID(Wages!$B52,FIND("/",Wages!$B52)+1,20),FIND("/",MID(Wages!$B52,FIND("/",Wages!$B52)+1,20))-1))),"")))</f>
        <v/>
      </c>
      <c r="E49">
        <f>IF(OR($A49="",$C49=""),"",IF(ISNUMBER(Wages!$B52),MOD(Wages!$B52,100),IFERROR(VALUE(TRIM(MID(MID(Wages!$B52,FIND("/",Wages!$B52)+1,20),FIND("/",MID(Wages!$B52,FIND("/",Wages!$B52)+1,20))+1,20))),"")))</f>
        <v/>
      </c>
      <c r="F49">
        <f>IF($A49="","",IF(OR($C49="",$D49="",$E49="",$C49&lt;1300,$C49&gt;1500,$D49&lt;1,$D49&gt;12,$E49&lt;1,$E49&gt;31),"نامعتبر",RIGHT("0000"&amp;$C49,4)&amp;"/"&amp;RIGHT("00"&amp;$D49,2)&amp;"/"&amp;RIGHT("00"&amp;$E49,2)))</f>
        <v/>
      </c>
      <c r="G49">
        <f>IF(OR($A49="",$F49="",$F49="نامعتبر"),"",LEFT($F49,4)&amp;MID($F49,6,2)&amp;RIGHT($F49,2)&amp;"0000"&amp;"|"&amp;"1"&amp;RIGHT("00000"&amp;44,5))</f>
        <v/>
      </c>
      <c r="H49">
        <f>IF(OR($B49&lt;&gt;1,$G49=""),"",COUNTIFS(LdAParty,$A49,LdAType,1,LdAKey,"&lt;"&amp;$G49)+COUNTIFS(LdBMember,$A49,LdBKey,"&lt;"&amp;$G49)+COUNTIFS(LdCParty,$A49,LdCKey,"&lt;"&amp;$G49)+1)</f>
        <v/>
      </c>
      <c r="I49">
        <f>IF($H49="","",$A49&amp;"|"&amp;RIGHT("000000"&amp;$H49,6))</f>
        <v/>
      </c>
      <c r="J49">
        <f>IF(OR($B49&lt;&gt;2,$G49=""),"",COUNTIFS(LdAParty,$A49,LdAType,2,LdAKey,"&lt;"&amp;$G49)+1)</f>
        <v/>
      </c>
      <c r="K49">
        <f>IF($J49="","",$A49&amp;"|"&amp;RIGHT("000000"&amp;$J49,6))</f>
        <v/>
      </c>
      <c r="L49">
        <f>IF($A49="","",IF(Wages!$G52="",0,Wages!$G52))</f>
        <v/>
      </c>
      <c r="M49">
        <f>IF($A49="","",Wages!$J52)</f>
        <v/>
      </c>
      <c r="N49">
        <f>IF($A49="","",Wages!$D52)</f>
        <v/>
      </c>
      <c r="P49">
        <f>IF(OR(Shares!$B52="",Shares!$C52=""),"",Shares!$C52)</f>
        <v/>
      </c>
      <c r="Q49">
        <f>IF($P49="","",Shares!$B52)</f>
        <v/>
      </c>
      <c r="R49">
        <f>IF($P49="","",IFERROR(INDEX(WageParty,MATCH($Q49,WageIds,0)),""))</f>
        <v/>
      </c>
      <c r="S49">
        <f>IF($P49="","",IFERROR(INDEX($F$6:$F$2005,MATCH($Q49,WageIds,0)),""))</f>
        <v/>
      </c>
      <c r="T49">
        <f>IF(OR($P49="",$S49="",$S49="نامعتبر"),"",LEFT($S49,4)&amp;MID($S49,6,2)&amp;RIGHT($S49,2)&amp;"0000"&amp;"|"&amp;"2"&amp;RIGHT("00000"&amp;44,5))</f>
        <v/>
      </c>
      <c r="U49">
        <f>IF($T49="","",COUNTIFS(LdAParty,$P49,LdAType,1,LdAKey,"&lt;"&amp;$T49)+COUNTIFS(LdBMember,$P49,LdBKey,"&lt;"&amp;$T49)+COUNTIFS(LdCParty,$P49,LdCKey,"&lt;"&amp;$T49)+1)</f>
        <v/>
      </c>
      <c r="V49">
        <f>IF($U49="","",$P49&amp;"|"&amp;RIGHT("000000"&amp;$U49,6))</f>
        <v/>
      </c>
      <c r="W49">
        <f>IF($T49="","",COUNTIFS(LdBGroup,$R49,LdBKey,"&lt;"&amp;$T49)+1)</f>
        <v/>
      </c>
      <c r="X49">
        <f>IF($W49="","",$R49&amp;"|"&amp;RIGHT("000000"&amp;$W49,6))</f>
        <v/>
      </c>
      <c r="Y49">
        <f>IF($P49="","",IF(Shares!$E52="",0,Shares!$E52))</f>
        <v/>
      </c>
      <c r="Z49">
        <f>IF($P49="","",Shares!$H52)</f>
        <v/>
      </c>
      <c r="AE49">
        <f>IF(OR(Sync!$S49="",Sync!$P49=""),"",Sync!$S49)</f>
        <v/>
      </c>
      <c r="AF49">
        <f>IF($AE49="","",IF(ISNUMBER(Sync!$P49),IF(AND(Sync!$P49&gt;=10000101,Sync!$P49&lt;=99991231),INT(Sync!$P49/10000),""),IFERROR(VALUE(TRIM(LEFT(Sync!$P49,FIND("/",Sync!$P49)-1))),"")))</f>
        <v/>
      </c>
      <c r="AG49">
        <f>IF(OR($AE49="",$AF49=""),"",IF(ISNUMBER(Sync!$P49),INT(MOD(Sync!$P49,10000)/100),IFERROR(VALUE(TRIM(LEFT(MID(Sync!$P49,FIND("/",Sync!$P49)+1,20),FIND("/",MID(Sync!$P49,FIND("/",Sync!$P49)+1,20))-1))),"")))</f>
        <v/>
      </c>
      <c r="AH49">
        <f>IF(OR($AE49="",$AF49=""),"",IF(ISNUMBER(Sync!$P49),MOD(Sync!$P49,100),IFERROR(VALUE(TRIM(MID(MID(Sync!$P49,FIND("/",Sync!$P49)+1,20),FIND("/",MID(Sync!$P49,FIND("/",Sync!$P49)+1,20))+1,20))),"")))</f>
        <v/>
      </c>
      <c r="AI49">
        <f>IF($AE49="","",IF(OR($AF49="",$AG49="",$AH49="",$AF49&lt;1300,$AF49&gt;1500,$AG49&lt;1,$AG49&gt;12,$AH49&lt;1,$AH49&gt;31),"نامعتبر",RIGHT("0000"&amp;$AF49,4)&amp;"/"&amp;RIGHT("00"&amp;$AG49,2)&amp;"/"&amp;RIGHT("00"&amp;$AH49,2)))</f>
        <v/>
      </c>
      <c r="AJ49">
        <f>IF($AE49="","",IF(Sync!$Q49="","0000",IF(AND(ISNUMBER(Sync!$Q49),Sync!$Q49&gt;=0,Sync!$Q49&lt;1),RIGHT("00"&amp;HOUR(Sync!$Q49),2)&amp;RIGHT("00"&amp;MINUTE(Sync!$Q49),2),IFERROR(RIGHT("00"&amp;VALUE(LEFT(Sync!$Q49,FIND(":",Sync!$Q49)-1)),2)&amp;RIGHT("00"&amp;VALUE(MID(Sync!$Q49,FIND(":",Sync!$Q49)+1,2)),2),"0000"))))</f>
        <v/>
      </c>
      <c r="AK49">
        <f>IF(OR($AE49="",$AI49="",$AI49="نامعتبر"),"",LEFT($AI49,4)&amp;MID($AI49,6,2)&amp;RIGHT($AI49,2)&amp;$AJ49&amp;"|"&amp;"3"&amp;RIGHT("00000"&amp;44,5))</f>
        <v/>
      </c>
      <c r="AL49">
        <f>IF($AK49="","",COUNTIFS(LdAParty,$AE49,LdAType,1,LdAKey,"&lt;"&amp;$AK49)+COUNTIFS(LdBMember,$AE49,LdBKey,"&lt;"&amp;$AK49)+COUNTIFS(LdCParty,$AE49,LdCKey,"&lt;"&amp;$AK49)+1)</f>
        <v/>
      </c>
      <c r="AM49">
        <f>IF($AL49="","",$AE49&amp;"|"&amp;RIGHT("000000"&amp;$AL49,6))</f>
        <v/>
      </c>
      <c r="AN49">
        <f>IF($AE49="","",IF(Sync!$W49="",0,Sync!$W49))</f>
        <v/>
      </c>
      <c r="AO49">
        <f>IF($AE49="","",IF(Sync!$X49="",0,Sync!$X49))</f>
        <v/>
      </c>
      <c r="AP49">
        <f>IF($AE49="","",Sync!$R49)</f>
        <v/>
      </c>
      <c r="AQ49">
        <f>IF($AE49="","",Sync!$Y49)</f>
        <v/>
      </c>
    </row>
    <row r="50">
      <c r="A50">
        <f>IF(OR(Wages!$B53="",Wages!$E53=""),"",Wages!$E53)</f>
        <v/>
      </c>
      <c r="B50">
        <f>IF($A50="","",IF(Wages!$C53="دستمزد گروهی",2,1))</f>
        <v/>
      </c>
      <c r="C50">
        <f>IF($A50="","",IF(ISNUMBER(Wages!$B53),IF(AND(Wages!$B53&gt;=10000101,Wages!$B53&lt;=99991231),INT(Wages!$B53/10000),""),IFERROR(VALUE(TRIM(LEFT(Wages!$B53,FIND("/",Wages!$B53)-1))),"")))</f>
        <v/>
      </c>
      <c r="D50">
        <f>IF(OR($A50="",$C50=""),"",IF(ISNUMBER(Wages!$B53),INT(MOD(Wages!$B53,10000)/100),IFERROR(VALUE(TRIM(LEFT(MID(Wages!$B53,FIND("/",Wages!$B53)+1,20),FIND("/",MID(Wages!$B53,FIND("/",Wages!$B53)+1,20))-1))),"")))</f>
        <v/>
      </c>
      <c r="E50">
        <f>IF(OR($A50="",$C50=""),"",IF(ISNUMBER(Wages!$B53),MOD(Wages!$B53,100),IFERROR(VALUE(TRIM(MID(MID(Wages!$B53,FIND("/",Wages!$B53)+1,20),FIND("/",MID(Wages!$B53,FIND("/",Wages!$B53)+1,20))+1,20))),"")))</f>
        <v/>
      </c>
      <c r="F50">
        <f>IF($A50="","",IF(OR($C50="",$D50="",$E50="",$C50&lt;1300,$C50&gt;1500,$D50&lt;1,$D50&gt;12,$E50&lt;1,$E50&gt;31),"نامعتبر",RIGHT("0000"&amp;$C50,4)&amp;"/"&amp;RIGHT("00"&amp;$D50,2)&amp;"/"&amp;RIGHT("00"&amp;$E50,2)))</f>
        <v/>
      </c>
      <c r="G50">
        <f>IF(OR($A50="",$F50="",$F50="نامعتبر"),"",LEFT($F50,4)&amp;MID($F50,6,2)&amp;RIGHT($F50,2)&amp;"0000"&amp;"|"&amp;"1"&amp;RIGHT("00000"&amp;45,5))</f>
        <v/>
      </c>
      <c r="H50">
        <f>IF(OR($B50&lt;&gt;1,$G50=""),"",COUNTIFS(LdAParty,$A50,LdAType,1,LdAKey,"&lt;"&amp;$G50)+COUNTIFS(LdBMember,$A50,LdBKey,"&lt;"&amp;$G50)+COUNTIFS(LdCParty,$A50,LdCKey,"&lt;"&amp;$G50)+1)</f>
        <v/>
      </c>
      <c r="I50">
        <f>IF($H50="","",$A50&amp;"|"&amp;RIGHT("000000"&amp;$H50,6))</f>
        <v/>
      </c>
      <c r="J50">
        <f>IF(OR($B50&lt;&gt;2,$G50=""),"",COUNTIFS(LdAParty,$A50,LdAType,2,LdAKey,"&lt;"&amp;$G50)+1)</f>
        <v/>
      </c>
      <c r="K50">
        <f>IF($J50="","",$A50&amp;"|"&amp;RIGHT("000000"&amp;$J50,6))</f>
        <v/>
      </c>
      <c r="L50">
        <f>IF($A50="","",IF(Wages!$G53="",0,Wages!$G53))</f>
        <v/>
      </c>
      <c r="M50">
        <f>IF($A50="","",Wages!$J53)</f>
        <v/>
      </c>
      <c r="N50">
        <f>IF($A50="","",Wages!$D53)</f>
        <v/>
      </c>
      <c r="P50">
        <f>IF(OR(Shares!$B53="",Shares!$C53=""),"",Shares!$C53)</f>
        <v/>
      </c>
      <c r="Q50">
        <f>IF($P50="","",Shares!$B53)</f>
        <v/>
      </c>
      <c r="R50">
        <f>IF($P50="","",IFERROR(INDEX(WageParty,MATCH($Q50,WageIds,0)),""))</f>
        <v/>
      </c>
      <c r="S50">
        <f>IF($P50="","",IFERROR(INDEX($F$6:$F$2005,MATCH($Q50,WageIds,0)),""))</f>
        <v/>
      </c>
      <c r="T50">
        <f>IF(OR($P50="",$S50="",$S50="نامعتبر"),"",LEFT($S50,4)&amp;MID($S50,6,2)&amp;RIGHT($S50,2)&amp;"0000"&amp;"|"&amp;"2"&amp;RIGHT("00000"&amp;45,5))</f>
        <v/>
      </c>
      <c r="U50">
        <f>IF($T50="","",COUNTIFS(LdAParty,$P50,LdAType,1,LdAKey,"&lt;"&amp;$T50)+COUNTIFS(LdBMember,$P50,LdBKey,"&lt;"&amp;$T50)+COUNTIFS(LdCParty,$P50,LdCKey,"&lt;"&amp;$T50)+1)</f>
        <v/>
      </c>
      <c r="V50">
        <f>IF($U50="","",$P50&amp;"|"&amp;RIGHT("000000"&amp;$U50,6))</f>
        <v/>
      </c>
      <c r="W50">
        <f>IF($T50="","",COUNTIFS(LdBGroup,$R50,LdBKey,"&lt;"&amp;$T50)+1)</f>
        <v/>
      </c>
      <c r="X50">
        <f>IF($W50="","",$R50&amp;"|"&amp;RIGHT("000000"&amp;$W50,6))</f>
        <v/>
      </c>
      <c r="Y50">
        <f>IF($P50="","",IF(Shares!$E53="",0,Shares!$E53))</f>
        <v/>
      </c>
      <c r="Z50">
        <f>IF($P50="","",Shares!$H53)</f>
        <v/>
      </c>
      <c r="AE50">
        <f>IF(OR(Sync!$S50="",Sync!$P50=""),"",Sync!$S50)</f>
        <v/>
      </c>
      <c r="AF50">
        <f>IF($AE50="","",IF(ISNUMBER(Sync!$P50),IF(AND(Sync!$P50&gt;=10000101,Sync!$P50&lt;=99991231),INT(Sync!$P50/10000),""),IFERROR(VALUE(TRIM(LEFT(Sync!$P50,FIND("/",Sync!$P50)-1))),"")))</f>
        <v/>
      </c>
      <c r="AG50">
        <f>IF(OR($AE50="",$AF50=""),"",IF(ISNUMBER(Sync!$P50),INT(MOD(Sync!$P50,10000)/100),IFERROR(VALUE(TRIM(LEFT(MID(Sync!$P50,FIND("/",Sync!$P50)+1,20),FIND("/",MID(Sync!$P50,FIND("/",Sync!$P50)+1,20))-1))),"")))</f>
        <v/>
      </c>
      <c r="AH50">
        <f>IF(OR($AE50="",$AF50=""),"",IF(ISNUMBER(Sync!$P50),MOD(Sync!$P50,100),IFERROR(VALUE(TRIM(MID(MID(Sync!$P50,FIND("/",Sync!$P50)+1,20),FIND("/",MID(Sync!$P50,FIND("/",Sync!$P50)+1,20))+1,20))),"")))</f>
        <v/>
      </c>
      <c r="AI50">
        <f>IF($AE50="","",IF(OR($AF50="",$AG50="",$AH50="",$AF50&lt;1300,$AF50&gt;1500,$AG50&lt;1,$AG50&gt;12,$AH50&lt;1,$AH50&gt;31),"نامعتبر",RIGHT("0000"&amp;$AF50,4)&amp;"/"&amp;RIGHT("00"&amp;$AG50,2)&amp;"/"&amp;RIGHT("00"&amp;$AH50,2)))</f>
        <v/>
      </c>
      <c r="AJ50">
        <f>IF($AE50="","",IF(Sync!$Q50="","0000",IF(AND(ISNUMBER(Sync!$Q50),Sync!$Q50&gt;=0,Sync!$Q50&lt;1),RIGHT("00"&amp;HOUR(Sync!$Q50),2)&amp;RIGHT("00"&amp;MINUTE(Sync!$Q50),2),IFERROR(RIGHT("00"&amp;VALUE(LEFT(Sync!$Q50,FIND(":",Sync!$Q50)-1)),2)&amp;RIGHT("00"&amp;VALUE(MID(Sync!$Q50,FIND(":",Sync!$Q50)+1,2)),2),"0000"))))</f>
        <v/>
      </c>
      <c r="AK50">
        <f>IF(OR($AE50="",$AI50="",$AI50="نامعتبر"),"",LEFT($AI50,4)&amp;MID($AI50,6,2)&amp;RIGHT($AI50,2)&amp;$AJ50&amp;"|"&amp;"3"&amp;RIGHT("00000"&amp;45,5))</f>
        <v/>
      </c>
      <c r="AL50">
        <f>IF($AK50="","",COUNTIFS(LdAParty,$AE50,LdAType,1,LdAKey,"&lt;"&amp;$AK50)+COUNTIFS(LdBMember,$AE50,LdBKey,"&lt;"&amp;$AK50)+COUNTIFS(LdCParty,$AE50,LdCKey,"&lt;"&amp;$AK50)+1)</f>
        <v/>
      </c>
      <c r="AM50">
        <f>IF($AL50="","",$AE50&amp;"|"&amp;RIGHT("000000"&amp;$AL50,6))</f>
        <v/>
      </c>
      <c r="AN50">
        <f>IF($AE50="","",IF(Sync!$W50="",0,Sync!$W50))</f>
        <v/>
      </c>
      <c r="AO50">
        <f>IF($AE50="","",IF(Sync!$X50="",0,Sync!$X50))</f>
        <v/>
      </c>
      <c r="AP50">
        <f>IF($AE50="","",Sync!$R50)</f>
        <v/>
      </c>
      <c r="AQ50">
        <f>IF($AE50="","",Sync!$Y50)</f>
        <v/>
      </c>
    </row>
    <row r="51">
      <c r="A51">
        <f>IF(OR(Wages!$B54="",Wages!$E54=""),"",Wages!$E54)</f>
        <v/>
      </c>
      <c r="B51">
        <f>IF($A51="","",IF(Wages!$C54="دستمزد گروهی",2,1))</f>
        <v/>
      </c>
      <c r="C51">
        <f>IF($A51="","",IF(ISNUMBER(Wages!$B54),IF(AND(Wages!$B54&gt;=10000101,Wages!$B54&lt;=99991231),INT(Wages!$B54/10000),""),IFERROR(VALUE(TRIM(LEFT(Wages!$B54,FIND("/",Wages!$B54)-1))),"")))</f>
        <v/>
      </c>
      <c r="D51">
        <f>IF(OR($A51="",$C51=""),"",IF(ISNUMBER(Wages!$B54),INT(MOD(Wages!$B54,10000)/100),IFERROR(VALUE(TRIM(LEFT(MID(Wages!$B54,FIND("/",Wages!$B54)+1,20),FIND("/",MID(Wages!$B54,FIND("/",Wages!$B54)+1,20))-1))),"")))</f>
        <v/>
      </c>
      <c r="E51">
        <f>IF(OR($A51="",$C51=""),"",IF(ISNUMBER(Wages!$B54),MOD(Wages!$B54,100),IFERROR(VALUE(TRIM(MID(MID(Wages!$B54,FIND("/",Wages!$B54)+1,20),FIND("/",MID(Wages!$B54,FIND("/",Wages!$B54)+1,20))+1,20))),"")))</f>
        <v/>
      </c>
      <c r="F51">
        <f>IF($A51="","",IF(OR($C51="",$D51="",$E51="",$C51&lt;1300,$C51&gt;1500,$D51&lt;1,$D51&gt;12,$E51&lt;1,$E51&gt;31),"نامعتبر",RIGHT("0000"&amp;$C51,4)&amp;"/"&amp;RIGHT("00"&amp;$D51,2)&amp;"/"&amp;RIGHT("00"&amp;$E51,2)))</f>
        <v/>
      </c>
      <c r="G51">
        <f>IF(OR($A51="",$F51="",$F51="نامعتبر"),"",LEFT($F51,4)&amp;MID($F51,6,2)&amp;RIGHT($F51,2)&amp;"0000"&amp;"|"&amp;"1"&amp;RIGHT("00000"&amp;46,5))</f>
        <v/>
      </c>
      <c r="H51">
        <f>IF(OR($B51&lt;&gt;1,$G51=""),"",COUNTIFS(LdAParty,$A51,LdAType,1,LdAKey,"&lt;"&amp;$G51)+COUNTIFS(LdBMember,$A51,LdBKey,"&lt;"&amp;$G51)+COUNTIFS(LdCParty,$A51,LdCKey,"&lt;"&amp;$G51)+1)</f>
        <v/>
      </c>
      <c r="I51">
        <f>IF($H51="","",$A51&amp;"|"&amp;RIGHT("000000"&amp;$H51,6))</f>
        <v/>
      </c>
      <c r="J51">
        <f>IF(OR($B51&lt;&gt;2,$G51=""),"",COUNTIFS(LdAParty,$A51,LdAType,2,LdAKey,"&lt;"&amp;$G51)+1)</f>
        <v/>
      </c>
      <c r="K51">
        <f>IF($J51="","",$A51&amp;"|"&amp;RIGHT("000000"&amp;$J51,6))</f>
        <v/>
      </c>
      <c r="L51">
        <f>IF($A51="","",IF(Wages!$G54="",0,Wages!$G54))</f>
        <v/>
      </c>
      <c r="M51">
        <f>IF($A51="","",Wages!$J54)</f>
        <v/>
      </c>
      <c r="N51">
        <f>IF($A51="","",Wages!$D54)</f>
        <v/>
      </c>
      <c r="P51">
        <f>IF(OR(Shares!$B54="",Shares!$C54=""),"",Shares!$C54)</f>
        <v/>
      </c>
      <c r="Q51">
        <f>IF($P51="","",Shares!$B54)</f>
        <v/>
      </c>
      <c r="R51">
        <f>IF($P51="","",IFERROR(INDEX(WageParty,MATCH($Q51,WageIds,0)),""))</f>
        <v/>
      </c>
      <c r="S51">
        <f>IF($P51="","",IFERROR(INDEX($F$6:$F$2005,MATCH($Q51,WageIds,0)),""))</f>
        <v/>
      </c>
      <c r="T51">
        <f>IF(OR($P51="",$S51="",$S51="نامعتبر"),"",LEFT($S51,4)&amp;MID($S51,6,2)&amp;RIGHT($S51,2)&amp;"0000"&amp;"|"&amp;"2"&amp;RIGHT("00000"&amp;46,5))</f>
        <v/>
      </c>
      <c r="U51">
        <f>IF($T51="","",COUNTIFS(LdAParty,$P51,LdAType,1,LdAKey,"&lt;"&amp;$T51)+COUNTIFS(LdBMember,$P51,LdBKey,"&lt;"&amp;$T51)+COUNTIFS(LdCParty,$P51,LdCKey,"&lt;"&amp;$T51)+1)</f>
        <v/>
      </c>
      <c r="V51">
        <f>IF($U51="","",$P51&amp;"|"&amp;RIGHT("000000"&amp;$U51,6))</f>
        <v/>
      </c>
      <c r="W51">
        <f>IF($T51="","",COUNTIFS(LdBGroup,$R51,LdBKey,"&lt;"&amp;$T51)+1)</f>
        <v/>
      </c>
      <c r="X51">
        <f>IF($W51="","",$R51&amp;"|"&amp;RIGHT("000000"&amp;$W51,6))</f>
        <v/>
      </c>
      <c r="Y51">
        <f>IF($P51="","",IF(Shares!$E54="",0,Shares!$E54))</f>
        <v/>
      </c>
      <c r="Z51">
        <f>IF($P51="","",Shares!$H54)</f>
        <v/>
      </c>
      <c r="AE51">
        <f>IF(OR(Sync!$S51="",Sync!$P51=""),"",Sync!$S51)</f>
        <v/>
      </c>
      <c r="AF51">
        <f>IF($AE51="","",IF(ISNUMBER(Sync!$P51),IF(AND(Sync!$P51&gt;=10000101,Sync!$P51&lt;=99991231),INT(Sync!$P51/10000),""),IFERROR(VALUE(TRIM(LEFT(Sync!$P51,FIND("/",Sync!$P51)-1))),"")))</f>
        <v/>
      </c>
      <c r="AG51">
        <f>IF(OR($AE51="",$AF51=""),"",IF(ISNUMBER(Sync!$P51),INT(MOD(Sync!$P51,10000)/100),IFERROR(VALUE(TRIM(LEFT(MID(Sync!$P51,FIND("/",Sync!$P51)+1,20),FIND("/",MID(Sync!$P51,FIND("/",Sync!$P51)+1,20))-1))),"")))</f>
        <v/>
      </c>
      <c r="AH51">
        <f>IF(OR($AE51="",$AF51=""),"",IF(ISNUMBER(Sync!$P51),MOD(Sync!$P51,100),IFERROR(VALUE(TRIM(MID(MID(Sync!$P51,FIND("/",Sync!$P51)+1,20),FIND("/",MID(Sync!$P51,FIND("/",Sync!$P51)+1,20))+1,20))),"")))</f>
        <v/>
      </c>
      <c r="AI51">
        <f>IF($AE51="","",IF(OR($AF51="",$AG51="",$AH51="",$AF51&lt;1300,$AF51&gt;1500,$AG51&lt;1,$AG51&gt;12,$AH51&lt;1,$AH51&gt;31),"نامعتبر",RIGHT("0000"&amp;$AF51,4)&amp;"/"&amp;RIGHT("00"&amp;$AG51,2)&amp;"/"&amp;RIGHT("00"&amp;$AH51,2)))</f>
        <v/>
      </c>
      <c r="AJ51">
        <f>IF($AE51="","",IF(Sync!$Q51="","0000",IF(AND(ISNUMBER(Sync!$Q51),Sync!$Q51&gt;=0,Sync!$Q51&lt;1),RIGHT("00"&amp;HOUR(Sync!$Q51),2)&amp;RIGHT("00"&amp;MINUTE(Sync!$Q51),2),IFERROR(RIGHT("00"&amp;VALUE(LEFT(Sync!$Q51,FIND(":",Sync!$Q51)-1)),2)&amp;RIGHT("00"&amp;VALUE(MID(Sync!$Q51,FIND(":",Sync!$Q51)+1,2)),2),"0000"))))</f>
        <v/>
      </c>
      <c r="AK51">
        <f>IF(OR($AE51="",$AI51="",$AI51="نامعتبر"),"",LEFT($AI51,4)&amp;MID($AI51,6,2)&amp;RIGHT($AI51,2)&amp;$AJ51&amp;"|"&amp;"3"&amp;RIGHT("00000"&amp;46,5))</f>
        <v/>
      </c>
      <c r="AL51">
        <f>IF($AK51="","",COUNTIFS(LdAParty,$AE51,LdAType,1,LdAKey,"&lt;"&amp;$AK51)+COUNTIFS(LdBMember,$AE51,LdBKey,"&lt;"&amp;$AK51)+COUNTIFS(LdCParty,$AE51,LdCKey,"&lt;"&amp;$AK51)+1)</f>
        <v/>
      </c>
      <c r="AM51">
        <f>IF($AL51="","",$AE51&amp;"|"&amp;RIGHT("000000"&amp;$AL51,6))</f>
        <v/>
      </c>
      <c r="AN51">
        <f>IF($AE51="","",IF(Sync!$W51="",0,Sync!$W51))</f>
        <v/>
      </c>
      <c r="AO51">
        <f>IF($AE51="","",IF(Sync!$X51="",0,Sync!$X51))</f>
        <v/>
      </c>
      <c r="AP51">
        <f>IF($AE51="","",Sync!$R51)</f>
        <v/>
      </c>
      <c r="AQ51">
        <f>IF($AE51="","",Sync!$Y51)</f>
        <v/>
      </c>
    </row>
    <row r="52">
      <c r="A52">
        <f>IF(OR(Wages!$B55="",Wages!$E55=""),"",Wages!$E55)</f>
        <v/>
      </c>
      <c r="B52">
        <f>IF($A52="","",IF(Wages!$C55="دستمزد گروهی",2,1))</f>
        <v/>
      </c>
      <c r="C52">
        <f>IF($A52="","",IF(ISNUMBER(Wages!$B55),IF(AND(Wages!$B55&gt;=10000101,Wages!$B55&lt;=99991231),INT(Wages!$B55/10000),""),IFERROR(VALUE(TRIM(LEFT(Wages!$B55,FIND("/",Wages!$B55)-1))),"")))</f>
        <v/>
      </c>
      <c r="D52">
        <f>IF(OR($A52="",$C52=""),"",IF(ISNUMBER(Wages!$B55),INT(MOD(Wages!$B55,10000)/100),IFERROR(VALUE(TRIM(LEFT(MID(Wages!$B55,FIND("/",Wages!$B55)+1,20),FIND("/",MID(Wages!$B55,FIND("/",Wages!$B55)+1,20))-1))),"")))</f>
        <v/>
      </c>
      <c r="E52">
        <f>IF(OR($A52="",$C52=""),"",IF(ISNUMBER(Wages!$B55),MOD(Wages!$B55,100),IFERROR(VALUE(TRIM(MID(MID(Wages!$B55,FIND("/",Wages!$B55)+1,20),FIND("/",MID(Wages!$B55,FIND("/",Wages!$B55)+1,20))+1,20))),"")))</f>
        <v/>
      </c>
      <c r="F52">
        <f>IF($A52="","",IF(OR($C52="",$D52="",$E52="",$C52&lt;1300,$C52&gt;1500,$D52&lt;1,$D52&gt;12,$E52&lt;1,$E52&gt;31),"نامعتبر",RIGHT("0000"&amp;$C52,4)&amp;"/"&amp;RIGHT("00"&amp;$D52,2)&amp;"/"&amp;RIGHT("00"&amp;$E52,2)))</f>
        <v/>
      </c>
      <c r="G52">
        <f>IF(OR($A52="",$F52="",$F52="نامعتبر"),"",LEFT($F52,4)&amp;MID($F52,6,2)&amp;RIGHT($F52,2)&amp;"0000"&amp;"|"&amp;"1"&amp;RIGHT("00000"&amp;47,5))</f>
        <v/>
      </c>
      <c r="H52">
        <f>IF(OR($B52&lt;&gt;1,$G52=""),"",COUNTIFS(LdAParty,$A52,LdAType,1,LdAKey,"&lt;"&amp;$G52)+COUNTIFS(LdBMember,$A52,LdBKey,"&lt;"&amp;$G52)+COUNTIFS(LdCParty,$A52,LdCKey,"&lt;"&amp;$G52)+1)</f>
        <v/>
      </c>
      <c r="I52">
        <f>IF($H52="","",$A52&amp;"|"&amp;RIGHT("000000"&amp;$H52,6))</f>
        <v/>
      </c>
      <c r="J52">
        <f>IF(OR($B52&lt;&gt;2,$G52=""),"",COUNTIFS(LdAParty,$A52,LdAType,2,LdAKey,"&lt;"&amp;$G52)+1)</f>
        <v/>
      </c>
      <c r="K52">
        <f>IF($J52="","",$A52&amp;"|"&amp;RIGHT("000000"&amp;$J52,6))</f>
        <v/>
      </c>
      <c r="L52">
        <f>IF($A52="","",IF(Wages!$G55="",0,Wages!$G55))</f>
        <v/>
      </c>
      <c r="M52">
        <f>IF($A52="","",Wages!$J55)</f>
        <v/>
      </c>
      <c r="N52">
        <f>IF($A52="","",Wages!$D55)</f>
        <v/>
      </c>
      <c r="P52">
        <f>IF(OR(Shares!$B55="",Shares!$C55=""),"",Shares!$C55)</f>
        <v/>
      </c>
      <c r="Q52">
        <f>IF($P52="","",Shares!$B55)</f>
        <v/>
      </c>
      <c r="R52">
        <f>IF($P52="","",IFERROR(INDEX(WageParty,MATCH($Q52,WageIds,0)),""))</f>
        <v/>
      </c>
      <c r="S52">
        <f>IF($P52="","",IFERROR(INDEX($F$6:$F$2005,MATCH($Q52,WageIds,0)),""))</f>
        <v/>
      </c>
      <c r="T52">
        <f>IF(OR($P52="",$S52="",$S52="نامعتبر"),"",LEFT($S52,4)&amp;MID($S52,6,2)&amp;RIGHT($S52,2)&amp;"0000"&amp;"|"&amp;"2"&amp;RIGHT("00000"&amp;47,5))</f>
        <v/>
      </c>
      <c r="U52">
        <f>IF($T52="","",COUNTIFS(LdAParty,$P52,LdAType,1,LdAKey,"&lt;"&amp;$T52)+COUNTIFS(LdBMember,$P52,LdBKey,"&lt;"&amp;$T52)+COUNTIFS(LdCParty,$P52,LdCKey,"&lt;"&amp;$T52)+1)</f>
        <v/>
      </c>
      <c r="V52">
        <f>IF($U52="","",$P52&amp;"|"&amp;RIGHT("000000"&amp;$U52,6))</f>
        <v/>
      </c>
      <c r="W52">
        <f>IF($T52="","",COUNTIFS(LdBGroup,$R52,LdBKey,"&lt;"&amp;$T52)+1)</f>
        <v/>
      </c>
      <c r="X52">
        <f>IF($W52="","",$R52&amp;"|"&amp;RIGHT("000000"&amp;$W52,6))</f>
        <v/>
      </c>
      <c r="Y52">
        <f>IF($P52="","",IF(Shares!$E55="",0,Shares!$E55))</f>
        <v/>
      </c>
      <c r="Z52">
        <f>IF($P52="","",Shares!$H55)</f>
        <v/>
      </c>
      <c r="AE52">
        <f>IF(OR(Sync!$S52="",Sync!$P52=""),"",Sync!$S52)</f>
        <v/>
      </c>
      <c r="AF52">
        <f>IF($AE52="","",IF(ISNUMBER(Sync!$P52),IF(AND(Sync!$P52&gt;=10000101,Sync!$P52&lt;=99991231),INT(Sync!$P52/10000),""),IFERROR(VALUE(TRIM(LEFT(Sync!$P52,FIND("/",Sync!$P52)-1))),"")))</f>
        <v/>
      </c>
      <c r="AG52">
        <f>IF(OR($AE52="",$AF52=""),"",IF(ISNUMBER(Sync!$P52),INT(MOD(Sync!$P52,10000)/100),IFERROR(VALUE(TRIM(LEFT(MID(Sync!$P52,FIND("/",Sync!$P52)+1,20),FIND("/",MID(Sync!$P52,FIND("/",Sync!$P52)+1,20))-1))),"")))</f>
        <v/>
      </c>
      <c r="AH52">
        <f>IF(OR($AE52="",$AF52=""),"",IF(ISNUMBER(Sync!$P52),MOD(Sync!$P52,100),IFERROR(VALUE(TRIM(MID(MID(Sync!$P52,FIND("/",Sync!$P52)+1,20),FIND("/",MID(Sync!$P52,FIND("/",Sync!$P52)+1,20))+1,20))),"")))</f>
        <v/>
      </c>
      <c r="AI52">
        <f>IF($AE52="","",IF(OR($AF52="",$AG52="",$AH52="",$AF52&lt;1300,$AF52&gt;1500,$AG52&lt;1,$AG52&gt;12,$AH52&lt;1,$AH52&gt;31),"نامعتبر",RIGHT("0000"&amp;$AF52,4)&amp;"/"&amp;RIGHT("00"&amp;$AG52,2)&amp;"/"&amp;RIGHT("00"&amp;$AH52,2)))</f>
        <v/>
      </c>
      <c r="AJ52">
        <f>IF($AE52="","",IF(Sync!$Q52="","0000",IF(AND(ISNUMBER(Sync!$Q52),Sync!$Q52&gt;=0,Sync!$Q52&lt;1),RIGHT("00"&amp;HOUR(Sync!$Q52),2)&amp;RIGHT("00"&amp;MINUTE(Sync!$Q52),2),IFERROR(RIGHT("00"&amp;VALUE(LEFT(Sync!$Q52,FIND(":",Sync!$Q52)-1)),2)&amp;RIGHT("00"&amp;VALUE(MID(Sync!$Q52,FIND(":",Sync!$Q52)+1,2)),2),"0000"))))</f>
        <v/>
      </c>
      <c r="AK52">
        <f>IF(OR($AE52="",$AI52="",$AI52="نامعتبر"),"",LEFT($AI52,4)&amp;MID($AI52,6,2)&amp;RIGHT($AI52,2)&amp;$AJ52&amp;"|"&amp;"3"&amp;RIGHT("00000"&amp;47,5))</f>
        <v/>
      </c>
      <c r="AL52">
        <f>IF($AK52="","",COUNTIFS(LdAParty,$AE52,LdAType,1,LdAKey,"&lt;"&amp;$AK52)+COUNTIFS(LdBMember,$AE52,LdBKey,"&lt;"&amp;$AK52)+COUNTIFS(LdCParty,$AE52,LdCKey,"&lt;"&amp;$AK52)+1)</f>
        <v/>
      </c>
      <c r="AM52">
        <f>IF($AL52="","",$AE52&amp;"|"&amp;RIGHT("000000"&amp;$AL52,6))</f>
        <v/>
      </c>
      <c r="AN52">
        <f>IF($AE52="","",IF(Sync!$W52="",0,Sync!$W52))</f>
        <v/>
      </c>
      <c r="AO52">
        <f>IF($AE52="","",IF(Sync!$X52="",0,Sync!$X52))</f>
        <v/>
      </c>
      <c r="AP52">
        <f>IF($AE52="","",Sync!$R52)</f>
        <v/>
      </c>
      <c r="AQ52">
        <f>IF($AE52="","",Sync!$Y52)</f>
        <v/>
      </c>
    </row>
    <row r="53">
      <c r="A53">
        <f>IF(OR(Wages!$B56="",Wages!$E56=""),"",Wages!$E56)</f>
        <v/>
      </c>
      <c r="B53">
        <f>IF($A53="","",IF(Wages!$C56="دستمزد گروهی",2,1))</f>
        <v/>
      </c>
      <c r="C53">
        <f>IF($A53="","",IF(ISNUMBER(Wages!$B56),IF(AND(Wages!$B56&gt;=10000101,Wages!$B56&lt;=99991231),INT(Wages!$B56/10000),""),IFERROR(VALUE(TRIM(LEFT(Wages!$B56,FIND("/",Wages!$B56)-1))),"")))</f>
        <v/>
      </c>
      <c r="D53">
        <f>IF(OR($A53="",$C53=""),"",IF(ISNUMBER(Wages!$B56),INT(MOD(Wages!$B56,10000)/100),IFERROR(VALUE(TRIM(LEFT(MID(Wages!$B56,FIND("/",Wages!$B56)+1,20),FIND("/",MID(Wages!$B56,FIND("/",Wages!$B56)+1,20))-1))),"")))</f>
        <v/>
      </c>
      <c r="E53">
        <f>IF(OR($A53="",$C53=""),"",IF(ISNUMBER(Wages!$B56),MOD(Wages!$B56,100),IFERROR(VALUE(TRIM(MID(MID(Wages!$B56,FIND("/",Wages!$B56)+1,20),FIND("/",MID(Wages!$B56,FIND("/",Wages!$B56)+1,20))+1,20))),"")))</f>
        <v/>
      </c>
      <c r="F53">
        <f>IF($A53="","",IF(OR($C53="",$D53="",$E53="",$C53&lt;1300,$C53&gt;1500,$D53&lt;1,$D53&gt;12,$E53&lt;1,$E53&gt;31),"نامعتبر",RIGHT("0000"&amp;$C53,4)&amp;"/"&amp;RIGHT("00"&amp;$D53,2)&amp;"/"&amp;RIGHT("00"&amp;$E53,2)))</f>
        <v/>
      </c>
      <c r="G53">
        <f>IF(OR($A53="",$F53="",$F53="نامعتبر"),"",LEFT($F53,4)&amp;MID($F53,6,2)&amp;RIGHT($F53,2)&amp;"0000"&amp;"|"&amp;"1"&amp;RIGHT("00000"&amp;48,5))</f>
        <v/>
      </c>
      <c r="H53">
        <f>IF(OR($B53&lt;&gt;1,$G53=""),"",COUNTIFS(LdAParty,$A53,LdAType,1,LdAKey,"&lt;"&amp;$G53)+COUNTIFS(LdBMember,$A53,LdBKey,"&lt;"&amp;$G53)+COUNTIFS(LdCParty,$A53,LdCKey,"&lt;"&amp;$G53)+1)</f>
        <v/>
      </c>
      <c r="I53">
        <f>IF($H53="","",$A53&amp;"|"&amp;RIGHT("000000"&amp;$H53,6))</f>
        <v/>
      </c>
      <c r="J53">
        <f>IF(OR($B53&lt;&gt;2,$G53=""),"",COUNTIFS(LdAParty,$A53,LdAType,2,LdAKey,"&lt;"&amp;$G53)+1)</f>
        <v/>
      </c>
      <c r="K53">
        <f>IF($J53="","",$A53&amp;"|"&amp;RIGHT("000000"&amp;$J53,6))</f>
        <v/>
      </c>
      <c r="L53">
        <f>IF($A53="","",IF(Wages!$G56="",0,Wages!$G56))</f>
        <v/>
      </c>
      <c r="M53">
        <f>IF($A53="","",Wages!$J56)</f>
        <v/>
      </c>
      <c r="N53">
        <f>IF($A53="","",Wages!$D56)</f>
        <v/>
      </c>
      <c r="P53">
        <f>IF(OR(Shares!$B56="",Shares!$C56=""),"",Shares!$C56)</f>
        <v/>
      </c>
      <c r="Q53">
        <f>IF($P53="","",Shares!$B56)</f>
        <v/>
      </c>
      <c r="R53">
        <f>IF($P53="","",IFERROR(INDEX(WageParty,MATCH($Q53,WageIds,0)),""))</f>
        <v/>
      </c>
      <c r="S53">
        <f>IF($P53="","",IFERROR(INDEX($F$6:$F$2005,MATCH($Q53,WageIds,0)),""))</f>
        <v/>
      </c>
      <c r="T53">
        <f>IF(OR($P53="",$S53="",$S53="نامعتبر"),"",LEFT($S53,4)&amp;MID($S53,6,2)&amp;RIGHT($S53,2)&amp;"0000"&amp;"|"&amp;"2"&amp;RIGHT("00000"&amp;48,5))</f>
        <v/>
      </c>
      <c r="U53">
        <f>IF($T53="","",COUNTIFS(LdAParty,$P53,LdAType,1,LdAKey,"&lt;"&amp;$T53)+COUNTIFS(LdBMember,$P53,LdBKey,"&lt;"&amp;$T53)+COUNTIFS(LdCParty,$P53,LdCKey,"&lt;"&amp;$T53)+1)</f>
        <v/>
      </c>
      <c r="V53">
        <f>IF($U53="","",$P53&amp;"|"&amp;RIGHT("000000"&amp;$U53,6))</f>
        <v/>
      </c>
      <c r="W53">
        <f>IF($T53="","",COUNTIFS(LdBGroup,$R53,LdBKey,"&lt;"&amp;$T53)+1)</f>
        <v/>
      </c>
      <c r="X53">
        <f>IF($W53="","",$R53&amp;"|"&amp;RIGHT("000000"&amp;$W53,6))</f>
        <v/>
      </c>
      <c r="Y53">
        <f>IF($P53="","",IF(Shares!$E56="",0,Shares!$E56))</f>
        <v/>
      </c>
      <c r="Z53">
        <f>IF($P53="","",Shares!$H56)</f>
        <v/>
      </c>
      <c r="AE53">
        <f>IF(OR(Sync!$S53="",Sync!$P53=""),"",Sync!$S53)</f>
        <v/>
      </c>
      <c r="AF53">
        <f>IF($AE53="","",IF(ISNUMBER(Sync!$P53),IF(AND(Sync!$P53&gt;=10000101,Sync!$P53&lt;=99991231),INT(Sync!$P53/10000),""),IFERROR(VALUE(TRIM(LEFT(Sync!$P53,FIND("/",Sync!$P53)-1))),"")))</f>
        <v/>
      </c>
      <c r="AG53">
        <f>IF(OR($AE53="",$AF53=""),"",IF(ISNUMBER(Sync!$P53),INT(MOD(Sync!$P53,10000)/100),IFERROR(VALUE(TRIM(LEFT(MID(Sync!$P53,FIND("/",Sync!$P53)+1,20),FIND("/",MID(Sync!$P53,FIND("/",Sync!$P53)+1,20))-1))),"")))</f>
        <v/>
      </c>
      <c r="AH53">
        <f>IF(OR($AE53="",$AF53=""),"",IF(ISNUMBER(Sync!$P53),MOD(Sync!$P53,100),IFERROR(VALUE(TRIM(MID(MID(Sync!$P53,FIND("/",Sync!$P53)+1,20),FIND("/",MID(Sync!$P53,FIND("/",Sync!$P53)+1,20))+1,20))),"")))</f>
        <v/>
      </c>
      <c r="AI53">
        <f>IF($AE53="","",IF(OR($AF53="",$AG53="",$AH53="",$AF53&lt;1300,$AF53&gt;1500,$AG53&lt;1,$AG53&gt;12,$AH53&lt;1,$AH53&gt;31),"نامعتبر",RIGHT("0000"&amp;$AF53,4)&amp;"/"&amp;RIGHT("00"&amp;$AG53,2)&amp;"/"&amp;RIGHT("00"&amp;$AH53,2)))</f>
        <v/>
      </c>
      <c r="AJ53">
        <f>IF($AE53="","",IF(Sync!$Q53="","0000",IF(AND(ISNUMBER(Sync!$Q53),Sync!$Q53&gt;=0,Sync!$Q53&lt;1),RIGHT("00"&amp;HOUR(Sync!$Q53),2)&amp;RIGHT("00"&amp;MINUTE(Sync!$Q53),2),IFERROR(RIGHT("00"&amp;VALUE(LEFT(Sync!$Q53,FIND(":",Sync!$Q53)-1)),2)&amp;RIGHT("00"&amp;VALUE(MID(Sync!$Q53,FIND(":",Sync!$Q53)+1,2)),2),"0000"))))</f>
        <v/>
      </c>
      <c r="AK53">
        <f>IF(OR($AE53="",$AI53="",$AI53="نامعتبر"),"",LEFT($AI53,4)&amp;MID($AI53,6,2)&amp;RIGHT($AI53,2)&amp;$AJ53&amp;"|"&amp;"3"&amp;RIGHT("00000"&amp;48,5))</f>
        <v/>
      </c>
      <c r="AL53">
        <f>IF($AK53="","",COUNTIFS(LdAParty,$AE53,LdAType,1,LdAKey,"&lt;"&amp;$AK53)+COUNTIFS(LdBMember,$AE53,LdBKey,"&lt;"&amp;$AK53)+COUNTIFS(LdCParty,$AE53,LdCKey,"&lt;"&amp;$AK53)+1)</f>
        <v/>
      </c>
      <c r="AM53">
        <f>IF($AL53="","",$AE53&amp;"|"&amp;RIGHT("000000"&amp;$AL53,6))</f>
        <v/>
      </c>
      <c r="AN53">
        <f>IF($AE53="","",IF(Sync!$W53="",0,Sync!$W53))</f>
        <v/>
      </c>
      <c r="AO53">
        <f>IF($AE53="","",IF(Sync!$X53="",0,Sync!$X53))</f>
        <v/>
      </c>
      <c r="AP53">
        <f>IF($AE53="","",Sync!$R53)</f>
        <v/>
      </c>
      <c r="AQ53">
        <f>IF($AE53="","",Sync!$Y53)</f>
        <v/>
      </c>
    </row>
    <row r="54">
      <c r="A54">
        <f>IF(OR(Wages!$B57="",Wages!$E57=""),"",Wages!$E57)</f>
        <v/>
      </c>
      <c r="B54">
        <f>IF($A54="","",IF(Wages!$C57="دستمزد گروهی",2,1))</f>
        <v/>
      </c>
      <c r="C54">
        <f>IF($A54="","",IF(ISNUMBER(Wages!$B57),IF(AND(Wages!$B57&gt;=10000101,Wages!$B57&lt;=99991231),INT(Wages!$B57/10000),""),IFERROR(VALUE(TRIM(LEFT(Wages!$B57,FIND("/",Wages!$B57)-1))),"")))</f>
        <v/>
      </c>
      <c r="D54">
        <f>IF(OR($A54="",$C54=""),"",IF(ISNUMBER(Wages!$B57),INT(MOD(Wages!$B57,10000)/100),IFERROR(VALUE(TRIM(LEFT(MID(Wages!$B57,FIND("/",Wages!$B57)+1,20),FIND("/",MID(Wages!$B57,FIND("/",Wages!$B57)+1,20))-1))),"")))</f>
        <v/>
      </c>
      <c r="E54">
        <f>IF(OR($A54="",$C54=""),"",IF(ISNUMBER(Wages!$B57),MOD(Wages!$B57,100),IFERROR(VALUE(TRIM(MID(MID(Wages!$B57,FIND("/",Wages!$B57)+1,20),FIND("/",MID(Wages!$B57,FIND("/",Wages!$B57)+1,20))+1,20))),"")))</f>
        <v/>
      </c>
      <c r="F54">
        <f>IF($A54="","",IF(OR($C54="",$D54="",$E54="",$C54&lt;1300,$C54&gt;1500,$D54&lt;1,$D54&gt;12,$E54&lt;1,$E54&gt;31),"نامعتبر",RIGHT("0000"&amp;$C54,4)&amp;"/"&amp;RIGHT("00"&amp;$D54,2)&amp;"/"&amp;RIGHT("00"&amp;$E54,2)))</f>
        <v/>
      </c>
      <c r="G54">
        <f>IF(OR($A54="",$F54="",$F54="نامعتبر"),"",LEFT($F54,4)&amp;MID($F54,6,2)&amp;RIGHT($F54,2)&amp;"0000"&amp;"|"&amp;"1"&amp;RIGHT("00000"&amp;49,5))</f>
        <v/>
      </c>
      <c r="H54">
        <f>IF(OR($B54&lt;&gt;1,$G54=""),"",COUNTIFS(LdAParty,$A54,LdAType,1,LdAKey,"&lt;"&amp;$G54)+COUNTIFS(LdBMember,$A54,LdBKey,"&lt;"&amp;$G54)+COUNTIFS(LdCParty,$A54,LdCKey,"&lt;"&amp;$G54)+1)</f>
        <v/>
      </c>
      <c r="I54">
        <f>IF($H54="","",$A54&amp;"|"&amp;RIGHT("000000"&amp;$H54,6))</f>
        <v/>
      </c>
      <c r="J54">
        <f>IF(OR($B54&lt;&gt;2,$G54=""),"",COUNTIFS(LdAParty,$A54,LdAType,2,LdAKey,"&lt;"&amp;$G54)+1)</f>
        <v/>
      </c>
      <c r="K54">
        <f>IF($J54="","",$A54&amp;"|"&amp;RIGHT("000000"&amp;$J54,6))</f>
        <v/>
      </c>
      <c r="L54">
        <f>IF($A54="","",IF(Wages!$G57="",0,Wages!$G57))</f>
        <v/>
      </c>
      <c r="M54">
        <f>IF($A54="","",Wages!$J57)</f>
        <v/>
      </c>
      <c r="N54">
        <f>IF($A54="","",Wages!$D57)</f>
        <v/>
      </c>
      <c r="P54">
        <f>IF(OR(Shares!$B57="",Shares!$C57=""),"",Shares!$C57)</f>
        <v/>
      </c>
      <c r="Q54">
        <f>IF($P54="","",Shares!$B57)</f>
        <v/>
      </c>
      <c r="R54">
        <f>IF($P54="","",IFERROR(INDEX(WageParty,MATCH($Q54,WageIds,0)),""))</f>
        <v/>
      </c>
      <c r="S54">
        <f>IF($P54="","",IFERROR(INDEX($F$6:$F$2005,MATCH($Q54,WageIds,0)),""))</f>
        <v/>
      </c>
      <c r="T54">
        <f>IF(OR($P54="",$S54="",$S54="نامعتبر"),"",LEFT($S54,4)&amp;MID($S54,6,2)&amp;RIGHT($S54,2)&amp;"0000"&amp;"|"&amp;"2"&amp;RIGHT("00000"&amp;49,5))</f>
        <v/>
      </c>
      <c r="U54">
        <f>IF($T54="","",COUNTIFS(LdAParty,$P54,LdAType,1,LdAKey,"&lt;"&amp;$T54)+COUNTIFS(LdBMember,$P54,LdBKey,"&lt;"&amp;$T54)+COUNTIFS(LdCParty,$P54,LdCKey,"&lt;"&amp;$T54)+1)</f>
        <v/>
      </c>
      <c r="V54">
        <f>IF($U54="","",$P54&amp;"|"&amp;RIGHT("000000"&amp;$U54,6))</f>
        <v/>
      </c>
      <c r="W54">
        <f>IF($T54="","",COUNTIFS(LdBGroup,$R54,LdBKey,"&lt;"&amp;$T54)+1)</f>
        <v/>
      </c>
      <c r="X54">
        <f>IF($W54="","",$R54&amp;"|"&amp;RIGHT("000000"&amp;$W54,6))</f>
        <v/>
      </c>
      <c r="Y54">
        <f>IF($P54="","",IF(Shares!$E57="",0,Shares!$E57))</f>
        <v/>
      </c>
      <c r="Z54">
        <f>IF($P54="","",Shares!$H57)</f>
        <v/>
      </c>
      <c r="AE54">
        <f>IF(OR(Sync!$S54="",Sync!$P54=""),"",Sync!$S54)</f>
        <v/>
      </c>
      <c r="AF54">
        <f>IF($AE54="","",IF(ISNUMBER(Sync!$P54),IF(AND(Sync!$P54&gt;=10000101,Sync!$P54&lt;=99991231),INT(Sync!$P54/10000),""),IFERROR(VALUE(TRIM(LEFT(Sync!$P54,FIND("/",Sync!$P54)-1))),"")))</f>
        <v/>
      </c>
      <c r="AG54">
        <f>IF(OR($AE54="",$AF54=""),"",IF(ISNUMBER(Sync!$P54),INT(MOD(Sync!$P54,10000)/100),IFERROR(VALUE(TRIM(LEFT(MID(Sync!$P54,FIND("/",Sync!$P54)+1,20),FIND("/",MID(Sync!$P54,FIND("/",Sync!$P54)+1,20))-1))),"")))</f>
        <v/>
      </c>
      <c r="AH54">
        <f>IF(OR($AE54="",$AF54=""),"",IF(ISNUMBER(Sync!$P54),MOD(Sync!$P54,100),IFERROR(VALUE(TRIM(MID(MID(Sync!$P54,FIND("/",Sync!$P54)+1,20),FIND("/",MID(Sync!$P54,FIND("/",Sync!$P54)+1,20))+1,20))),"")))</f>
        <v/>
      </c>
      <c r="AI54">
        <f>IF($AE54="","",IF(OR($AF54="",$AG54="",$AH54="",$AF54&lt;1300,$AF54&gt;1500,$AG54&lt;1,$AG54&gt;12,$AH54&lt;1,$AH54&gt;31),"نامعتبر",RIGHT("0000"&amp;$AF54,4)&amp;"/"&amp;RIGHT("00"&amp;$AG54,2)&amp;"/"&amp;RIGHT("00"&amp;$AH54,2)))</f>
        <v/>
      </c>
      <c r="AJ54">
        <f>IF($AE54="","",IF(Sync!$Q54="","0000",IF(AND(ISNUMBER(Sync!$Q54),Sync!$Q54&gt;=0,Sync!$Q54&lt;1),RIGHT("00"&amp;HOUR(Sync!$Q54),2)&amp;RIGHT("00"&amp;MINUTE(Sync!$Q54),2),IFERROR(RIGHT("00"&amp;VALUE(LEFT(Sync!$Q54,FIND(":",Sync!$Q54)-1)),2)&amp;RIGHT("00"&amp;VALUE(MID(Sync!$Q54,FIND(":",Sync!$Q54)+1,2)),2),"0000"))))</f>
        <v/>
      </c>
      <c r="AK54">
        <f>IF(OR($AE54="",$AI54="",$AI54="نامعتبر"),"",LEFT($AI54,4)&amp;MID($AI54,6,2)&amp;RIGHT($AI54,2)&amp;$AJ54&amp;"|"&amp;"3"&amp;RIGHT("00000"&amp;49,5))</f>
        <v/>
      </c>
      <c r="AL54">
        <f>IF($AK54="","",COUNTIFS(LdAParty,$AE54,LdAType,1,LdAKey,"&lt;"&amp;$AK54)+COUNTIFS(LdBMember,$AE54,LdBKey,"&lt;"&amp;$AK54)+COUNTIFS(LdCParty,$AE54,LdCKey,"&lt;"&amp;$AK54)+1)</f>
        <v/>
      </c>
      <c r="AM54">
        <f>IF($AL54="","",$AE54&amp;"|"&amp;RIGHT("000000"&amp;$AL54,6))</f>
        <v/>
      </c>
      <c r="AN54">
        <f>IF($AE54="","",IF(Sync!$W54="",0,Sync!$W54))</f>
        <v/>
      </c>
      <c r="AO54">
        <f>IF($AE54="","",IF(Sync!$X54="",0,Sync!$X54))</f>
        <v/>
      </c>
      <c r="AP54">
        <f>IF($AE54="","",Sync!$R54)</f>
        <v/>
      </c>
      <c r="AQ54">
        <f>IF($AE54="","",Sync!$Y54)</f>
        <v/>
      </c>
    </row>
    <row r="55">
      <c r="A55">
        <f>IF(OR(Wages!$B58="",Wages!$E58=""),"",Wages!$E58)</f>
        <v/>
      </c>
      <c r="B55">
        <f>IF($A55="","",IF(Wages!$C58="دستمزد گروهی",2,1))</f>
        <v/>
      </c>
      <c r="C55">
        <f>IF($A55="","",IF(ISNUMBER(Wages!$B58),IF(AND(Wages!$B58&gt;=10000101,Wages!$B58&lt;=99991231),INT(Wages!$B58/10000),""),IFERROR(VALUE(TRIM(LEFT(Wages!$B58,FIND("/",Wages!$B58)-1))),"")))</f>
        <v/>
      </c>
      <c r="D55">
        <f>IF(OR($A55="",$C55=""),"",IF(ISNUMBER(Wages!$B58),INT(MOD(Wages!$B58,10000)/100),IFERROR(VALUE(TRIM(LEFT(MID(Wages!$B58,FIND("/",Wages!$B58)+1,20),FIND("/",MID(Wages!$B58,FIND("/",Wages!$B58)+1,20))-1))),"")))</f>
        <v/>
      </c>
      <c r="E55">
        <f>IF(OR($A55="",$C55=""),"",IF(ISNUMBER(Wages!$B58),MOD(Wages!$B58,100),IFERROR(VALUE(TRIM(MID(MID(Wages!$B58,FIND("/",Wages!$B58)+1,20),FIND("/",MID(Wages!$B58,FIND("/",Wages!$B58)+1,20))+1,20))),"")))</f>
        <v/>
      </c>
      <c r="F55">
        <f>IF($A55="","",IF(OR($C55="",$D55="",$E55="",$C55&lt;1300,$C55&gt;1500,$D55&lt;1,$D55&gt;12,$E55&lt;1,$E55&gt;31),"نامعتبر",RIGHT("0000"&amp;$C55,4)&amp;"/"&amp;RIGHT("00"&amp;$D55,2)&amp;"/"&amp;RIGHT("00"&amp;$E55,2)))</f>
        <v/>
      </c>
      <c r="G55">
        <f>IF(OR($A55="",$F55="",$F55="نامعتبر"),"",LEFT($F55,4)&amp;MID($F55,6,2)&amp;RIGHT($F55,2)&amp;"0000"&amp;"|"&amp;"1"&amp;RIGHT("00000"&amp;50,5))</f>
        <v/>
      </c>
      <c r="H55">
        <f>IF(OR($B55&lt;&gt;1,$G55=""),"",COUNTIFS(LdAParty,$A55,LdAType,1,LdAKey,"&lt;"&amp;$G55)+COUNTIFS(LdBMember,$A55,LdBKey,"&lt;"&amp;$G55)+COUNTIFS(LdCParty,$A55,LdCKey,"&lt;"&amp;$G55)+1)</f>
        <v/>
      </c>
      <c r="I55">
        <f>IF($H55="","",$A55&amp;"|"&amp;RIGHT("000000"&amp;$H55,6))</f>
        <v/>
      </c>
      <c r="J55">
        <f>IF(OR($B55&lt;&gt;2,$G55=""),"",COUNTIFS(LdAParty,$A55,LdAType,2,LdAKey,"&lt;"&amp;$G55)+1)</f>
        <v/>
      </c>
      <c r="K55">
        <f>IF($J55="","",$A55&amp;"|"&amp;RIGHT("000000"&amp;$J55,6))</f>
        <v/>
      </c>
      <c r="L55">
        <f>IF($A55="","",IF(Wages!$G58="",0,Wages!$G58))</f>
        <v/>
      </c>
      <c r="M55">
        <f>IF($A55="","",Wages!$J58)</f>
        <v/>
      </c>
      <c r="N55">
        <f>IF($A55="","",Wages!$D58)</f>
        <v/>
      </c>
      <c r="P55">
        <f>IF(OR(Shares!$B58="",Shares!$C58=""),"",Shares!$C58)</f>
        <v/>
      </c>
      <c r="Q55">
        <f>IF($P55="","",Shares!$B58)</f>
        <v/>
      </c>
      <c r="R55">
        <f>IF($P55="","",IFERROR(INDEX(WageParty,MATCH($Q55,WageIds,0)),""))</f>
        <v/>
      </c>
      <c r="S55">
        <f>IF($P55="","",IFERROR(INDEX($F$6:$F$2005,MATCH($Q55,WageIds,0)),""))</f>
        <v/>
      </c>
      <c r="T55">
        <f>IF(OR($P55="",$S55="",$S55="نامعتبر"),"",LEFT($S55,4)&amp;MID($S55,6,2)&amp;RIGHT($S55,2)&amp;"0000"&amp;"|"&amp;"2"&amp;RIGHT("00000"&amp;50,5))</f>
        <v/>
      </c>
      <c r="U55">
        <f>IF($T55="","",COUNTIFS(LdAParty,$P55,LdAType,1,LdAKey,"&lt;"&amp;$T55)+COUNTIFS(LdBMember,$P55,LdBKey,"&lt;"&amp;$T55)+COUNTIFS(LdCParty,$P55,LdCKey,"&lt;"&amp;$T55)+1)</f>
        <v/>
      </c>
      <c r="V55">
        <f>IF($U55="","",$P55&amp;"|"&amp;RIGHT("000000"&amp;$U55,6))</f>
        <v/>
      </c>
      <c r="W55">
        <f>IF($T55="","",COUNTIFS(LdBGroup,$R55,LdBKey,"&lt;"&amp;$T55)+1)</f>
        <v/>
      </c>
      <c r="X55">
        <f>IF($W55="","",$R55&amp;"|"&amp;RIGHT("000000"&amp;$W55,6))</f>
        <v/>
      </c>
      <c r="Y55">
        <f>IF($P55="","",IF(Shares!$E58="",0,Shares!$E58))</f>
        <v/>
      </c>
      <c r="Z55">
        <f>IF($P55="","",Shares!$H58)</f>
        <v/>
      </c>
      <c r="AE55">
        <f>IF(OR(Sync!$S55="",Sync!$P55=""),"",Sync!$S55)</f>
        <v/>
      </c>
      <c r="AF55">
        <f>IF($AE55="","",IF(ISNUMBER(Sync!$P55),IF(AND(Sync!$P55&gt;=10000101,Sync!$P55&lt;=99991231),INT(Sync!$P55/10000),""),IFERROR(VALUE(TRIM(LEFT(Sync!$P55,FIND("/",Sync!$P55)-1))),"")))</f>
        <v/>
      </c>
      <c r="AG55">
        <f>IF(OR($AE55="",$AF55=""),"",IF(ISNUMBER(Sync!$P55),INT(MOD(Sync!$P55,10000)/100),IFERROR(VALUE(TRIM(LEFT(MID(Sync!$P55,FIND("/",Sync!$P55)+1,20),FIND("/",MID(Sync!$P55,FIND("/",Sync!$P55)+1,20))-1))),"")))</f>
        <v/>
      </c>
      <c r="AH55">
        <f>IF(OR($AE55="",$AF55=""),"",IF(ISNUMBER(Sync!$P55),MOD(Sync!$P55,100),IFERROR(VALUE(TRIM(MID(MID(Sync!$P55,FIND("/",Sync!$P55)+1,20),FIND("/",MID(Sync!$P55,FIND("/",Sync!$P55)+1,20))+1,20))),"")))</f>
        <v/>
      </c>
      <c r="AI55">
        <f>IF($AE55="","",IF(OR($AF55="",$AG55="",$AH55="",$AF55&lt;1300,$AF55&gt;1500,$AG55&lt;1,$AG55&gt;12,$AH55&lt;1,$AH55&gt;31),"نامعتبر",RIGHT("0000"&amp;$AF55,4)&amp;"/"&amp;RIGHT("00"&amp;$AG55,2)&amp;"/"&amp;RIGHT("00"&amp;$AH55,2)))</f>
        <v/>
      </c>
      <c r="AJ55">
        <f>IF($AE55="","",IF(Sync!$Q55="","0000",IF(AND(ISNUMBER(Sync!$Q55),Sync!$Q55&gt;=0,Sync!$Q55&lt;1),RIGHT("00"&amp;HOUR(Sync!$Q55),2)&amp;RIGHT("00"&amp;MINUTE(Sync!$Q55),2),IFERROR(RIGHT("00"&amp;VALUE(LEFT(Sync!$Q55,FIND(":",Sync!$Q55)-1)),2)&amp;RIGHT("00"&amp;VALUE(MID(Sync!$Q55,FIND(":",Sync!$Q55)+1,2)),2),"0000"))))</f>
        <v/>
      </c>
      <c r="AK55">
        <f>IF(OR($AE55="",$AI55="",$AI55="نامعتبر"),"",LEFT($AI55,4)&amp;MID($AI55,6,2)&amp;RIGHT($AI55,2)&amp;$AJ55&amp;"|"&amp;"3"&amp;RIGHT("00000"&amp;50,5))</f>
        <v/>
      </c>
      <c r="AL55">
        <f>IF($AK55="","",COUNTIFS(LdAParty,$AE55,LdAType,1,LdAKey,"&lt;"&amp;$AK55)+COUNTIFS(LdBMember,$AE55,LdBKey,"&lt;"&amp;$AK55)+COUNTIFS(LdCParty,$AE55,LdCKey,"&lt;"&amp;$AK55)+1)</f>
        <v/>
      </c>
      <c r="AM55">
        <f>IF($AL55="","",$AE55&amp;"|"&amp;RIGHT("000000"&amp;$AL55,6))</f>
        <v/>
      </c>
      <c r="AN55">
        <f>IF($AE55="","",IF(Sync!$W55="",0,Sync!$W55))</f>
        <v/>
      </c>
      <c r="AO55">
        <f>IF($AE55="","",IF(Sync!$X55="",0,Sync!$X55))</f>
        <v/>
      </c>
      <c r="AP55">
        <f>IF($AE55="","",Sync!$R55)</f>
        <v/>
      </c>
      <c r="AQ55">
        <f>IF($AE55="","",Sync!$Y55)</f>
        <v/>
      </c>
    </row>
    <row r="56">
      <c r="A56">
        <f>IF(OR(Wages!$B59="",Wages!$E59=""),"",Wages!$E59)</f>
        <v/>
      </c>
      <c r="B56">
        <f>IF($A56="","",IF(Wages!$C59="دستمزد گروهی",2,1))</f>
        <v/>
      </c>
      <c r="C56">
        <f>IF($A56="","",IF(ISNUMBER(Wages!$B59),IF(AND(Wages!$B59&gt;=10000101,Wages!$B59&lt;=99991231),INT(Wages!$B59/10000),""),IFERROR(VALUE(TRIM(LEFT(Wages!$B59,FIND("/",Wages!$B59)-1))),"")))</f>
        <v/>
      </c>
      <c r="D56">
        <f>IF(OR($A56="",$C56=""),"",IF(ISNUMBER(Wages!$B59),INT(MOD(Wages!$B59,10000)/100),IFERROR(VALUE(TRIM(LEFT(MID(Wages!$B59,FIND("/",Wages!$B59)+1,20),FIND("/",MID(Wages!$B59,FIND("/",Wages!$B59)+1,20))-1))),"")))</f>
        <v/>
      </c>
      <c r="E56">
        <f>IF(OR($A56="",$C56=""),"",IF(ISNUMBER(Wages!$B59),MOD(Wages!$B59,100),IFERROR(VALUE(TRIM(MID(MID(Wages!$B59,FIND("/",Wages!$B59)+1,20),FIND("/",MID(Wages!$B59,FIND("/",Wages!$B59)+1,20))+1,20))),"")))</f>
        <v/>
      </c>
      <c r="F56">
        <f>IF($A56="","",IF(OR($C56="",$D56="",$E56="",$C56&lt;1300,$C56&gt;1500,$D56&lt;1,$D56&gt;12,$E56&lt;1,$E56&gt;31),"نامعتبر",RIGHT("0000"&amp;$C56,4)&amp;"/"&amp;RIGHT("00"&amp;$D56,2)&amp;"/"&amp;RIGHT("00"&amp;$E56,2)))</f>
        <v/>
      </c>
      <c r="G56">
        <f>IF(OR($A56="",$F56="",$F56="نامعتبر"),"",LEFT($F56,4)&amp;MID($F56,6,2)&amp;RIGHT($F56,2)&amp;"0000"&amp;"|"&amp;"1"&amp;RIGHT("00000"&amp;51,5))</f>
        <v/>
      </c>
      <c r="H56">
        <f>IF(OR($B56&lt;&gt;1,$G56=""),"",COUNTIFS(LdAParty,$A56,LdAType,1,LdAKey,"&lt;"&amp;$G56)+COUNTIFS(LdBMember,$A56,LdBKey,"&lt;"&amp;$G56)+COUNTIFS(LdCParty,$A56,LdCKey,"&lt;"&amp;$G56)+1)</f>
        <v/>
      </c>
      <c r="I56">
        <f>IF($H56="","",$A56&amp;"|"&amp;RIGHT("000000"&amp;$H56,6))</f>
        <v/>
      </c>
      <c r="J56">
        <f>IF(OR($B56&lt;&gt;2,$G56=""),"",COUNTIFS(LdAParty,$A56,LdAType,2,LdAKey,"&lt;"&amp;$G56)+1)</f>
        <v/>
      </c>
      <c r="K56">
        <f>IF($J56="","",$A56&amp;"|"&amp;RIGHT("000000"&amp;$J56,6))</f>
        <v/>
      </c>
      <c r="L56">
        <f>IF($A56="","",IF(Wages!$G59="",0,Wages!$G59))</f>
        <v/>
      </c>
      <c r="M56">
        <f>IF($A56="","",Wages!$J59)</f>
        <v/>
      </c>
      <c r="N56">
        <f>IF($A56="","",Wages!$D59)</f>
        <v/>
      </c>
      <c r="P56">
        <f>IF(OR(Shares!$B59="",Shares!$C59=""),"",Shares!$C59)</f>
        <v/>
      </c>
      <c r="Q56">
        <f>IF($P56="","",Shares!$B59)</f>
        <v/>
      </c>
      <c r="R56">
        <f>IF($P56="","",IFERROR(INDEX(WageParty,MATCH($Q56,WageIds,0)),""))</f>
        <v/>
      </c>
      <c r="S56">
        <f>IF($P56="","",IFERROR(INDEX($F$6:$F$2005,MATCH($Q56,WageIds,0)),""))</f>
        <v/>
      </c>
      <c r="T56">
        <f>IF(OR($P56="",$S56="",$S56="نامعتبر"),"",LEFT($S56,4)&amp;MID($S56,6,2)&amp;RIGHT($S56,2)&amp;"0000"&amp;"|"&amp;"2"&amp;RIGHT("00000"&amp;51,5))</f>
        <v/>
      </c>
      <c r="U56">
        <f>IF($T56="","",COUNTIFS(LdAParty,$P56,LdAType,1,LdAKey,"&lt;"&amp;$T56)+COUNTIFS(LdBMember,$P56,LdBKey,"&lt;"&amp;$T56)+COUNTIFS(LdCParty,$P56,LdCKey,"&lt;"&amp;$T56)+1)</f>
        <v/>
      </c>
      <c r="V56">
        <f>IF($U56="","",$P56&amp;"|"&amp;RIGHT("000000"&amp;$U56,6))</f>
        <v/>
      </c>
      <c r="W56">
        <f>IF($T56="","",COUNTIFS(LdBGroup,$R56,LdBKey,"&lt;"&amp;$T56)+1)</f>
        <v/>
      </c>
      <c r="X56">
        <f>IF($W56="","",$R56&amp;"|"&amp;RIGHT("000000"&amp;$W56,6))</f>
        <v/>
      </c>
      <c r="Y56">
        <f>IF($P56="","",IF(Shares!$E59="",0,Shares!$E59))</f>
        <v/>
      </c>
      <c r="Z56">
        <f>IF($P56="","",Shares!$H59)</f>
        <v/>
      </c>
      <c r="AE56">
        <f>IF(OR(Sync!$S56="",Sync!$P56=""),"",Sync!$S56)</f>
        <v/>
      </c>
      <c r="AF56">
        <f>IF($AE56="","",IF(ISNUMBER(Sync!$P56),IF(AND(Sync!$P56&gt;=10000101,Sync!$P56&lt;=99991231),INT(Sync!$P56/10000),""),IFERROR(VALUE(TRIM(LEFT(Sync!$P56,FIND("/",Sync!$P56)-1))),"")))</f>
        <v/>
      </c>
      <c r="AG56">
        <f>IF(OR($AE56="",$AF56=""),"",IF(ISNUMBER(Sync!$P56),INT(MOD(Sync!$P56,10000)/100),IFERROR(VALUE(TRIM(LEFT(MID(Sync!$P56,FIND("/",Sync!$P56)+1,20),FIND("/",MID(Sync!$P56,FIND("/",Sync!$P56)+1,20))-1))),"")))</f>
        <v/>
      </c>
      <c r="AH56">
        <f>IF(OR($AE56="",$AF56=""),"",IF(ISNUMBER(Sync!$P56),MOD(Sync!$P56,100),IFERROR(VALUE(TRIM(MID(MID(Sync!$P56,FIND("/",Sync!$P56)+1,20),FIND("/",MID(Sync!$P56,FIND("/",Sync!$P56)+1,20))+1,20))),"")))</f>
        <v/>
      </c>
      <c r="AI56">
        <f>IF($AE56="","",IF(OR($AF56="",$AG56="",$AH56="",$AF56&lt;1300,$AF56&gt;1500,$AG56&lt;1,$AG56&gt;12,$AH56&lt;1,$AH56&gt;31),"نامعتبر",RIGHT("0000"&amp;$AF56,4)&amp;"/"&amp;RIGHT("00"&amp;$AG56,2)&amp;"/"&amp;RIGHT("00"&amp;$AH56,2)))</f>
        <v/>
      </c>
      <c r="AJ56">
        <f>IF($AE56="","",IF(Sync!$Q56="","0000",IF(AND(ISNUMBER(Sync!$Q56),Sync!$Q56&gt;=0,Sync!$Q56&lt;1),RIGHT("00"&amp;HOUR(Sync!$Q56),2)&amp;RIGHT("00"&amp;MINUTE(Sync!$Q56),2),IFERROR(RIGHT("00"&amp;VALUE(LEFT(Sync!$Q56,FIND(":",Sync!$Q56)-1)),2)&amp;RIGHT("00"&amp;VALUE(MID(Sync!$Q56,FIND(":",Sync!$Q56)+1,2)),2),"0000"))))</f>
        <v/>
      </c>
      <c r="AK56">
        <f>IF(OR($AE56="",$AI56="",$AI56="نامعتبر"),"",LEFT($AI56,4)&amp;MID($AI56,6,2)&amp;RIGHT($AI56,2)&amp;$AJ56&amp;"|"&amp;"3"&amp;RIGHT("00000"&amp;51,5))</f>
        <v/>
      </c>
      <c r="AL56">
        <f>IF($AK56="","",COUNTIFS(LdAParty,$AE56,LdAType,1,LdAKey,"&lt;"&amp;$AK56)+COUNTIFS(LdBMember,$AE56,LdBKey,"&lt;"&amp;$AK56)+COUNTIFS(LdCParty,$AE56,LdCKey,"&lt;"&amp;$AK56)+1)</f>
        <v/>
      </c>
      <c r="AM56">
        <f>IF($AL56="","",$AE56&amp;"|"&amp;RIGHT("000000"&amp;$AL56,6))</f>
        <v/>
      </c>
      <c r="AN56">
        <f>IF($AE56="","",IF(Sync!$W56="",0,Sync!$W56))</f>
        <v/>
      </c>
      <c r="AO56">
        <f>IF($AE56="","",IF(Sync!$X56="",0,Sync!$X56))</f>
        <v/>
      </c>
      <c r="AP56">
        <f>IF($AE56="","",Sync!$R56)</f>
        <v/>
      </c>
      <c r="AQ56">
        <f>IF($AE56="","",Sync!$Y56)</f>
        <v/>
      </c>
    </row>
    <row r="57">
      <c r="A57">
        <f>IF(OR(Wages!$B60="",Wages!$E60=""),"",Wages!$E60)</f>
        <v/>
      </c>
      <c r="B57">
        <f>IF($A57="","",IF(Wages!$C60="دستمزد گروهی",2,1))</f>
        <v/>
      </c>
      <c r="C57">
        <f>IF($A57="","",IF(ISNUMBER(Wages!$B60),IF(AND(Wages!$B60&gt;=10000101,Wages!$B60&lt;=99991231),INT(Wages!$B60/10000),""),IFERROR(VALUE(TRIM(LEFT(Wages!$B60,FIND("/",Wages!$B60)-1))),"")))</f>
        <v/>
      </c>
      <c r="D57">
        <f>IF(OR($A57="",$C57=""),"",IF(ISNUMBER(Wages!$B60),INT(MOD(Wages!$B60,10000)/100),IFERROR(VALUE(TRIM(LEFT(MID(Wages!$B60,FIND("/",Wages!$B60)+1,20),FIND("/",MID(Wages!$B60,FIND("/",Wages!$B60)+1,20))-1))),"")))</f>
        <v/>
      </c>
      <c r="E57">
        <f>IF(OR($A57="",$C57=""),"",IF(ISNUMBER(Wages!$B60),MOD(Wages!$B60,100),IFERROR(VALUE(TRIM(MID(MID(Wages!$B60,FIND("/",Wages!$B60)+1,20),FIND("/",MID(Wages!$B60,FIND("/",Wages!$B60)+1,20))+1,20))),"")))</f>
        <v/>
      </c>
      <c r="F57">
        <f>IF($A57="","",IF(OR($C57="",$D57="",$E57="",$C57&lt;1300,$C57&gt;1500,$D57&lt;1,$D57&gt;12,$E57&lt;1,$E57&gt;31),"نامعتبر",RIGHT("0000"&amp;$C57,4)&amp;"/"&amp;RIGHT("00"&amp;$D57,2)&amp;"/"&amp;RIGHT("00"&amp;$E57,2)))</f>
        <v/>
      </c>
      <c r="G57">
        <f>IF(OR($A57="",$F57="",$F57="نامعتبر"),"",LEFT($F57,4)&amp;MID($F57,6,2)&amp;RIGHT($F57,2)&amp;"0000"&amp;"|"&amp;"1"&amp;RIGHT("00000"&amp;52,5))</f>
        <v/>
      </c>
      <c r="H57">
        <f>IF(OR($B57&lt;&gt;1,$G57=""),"",COUNTIFS(LdAParty,$A57,LdAType,1,LdAKey,"&lt;"&amp;$G57)+COUNTIFS(LdBMember,$A57,LdBKey,"&lt;"&amp;$G57)+COUNTIFS(LdCParty,$A57,LdCKey,"&lt;"&amp;$G57)+1)</f>
        <v/>
      </c>
      <c r="I57">
        <f>IF($H57="","",$A57&amp;"|"&amp;RIGHT("000000"&amp;$H57,6))</f>
        <v/>
      </c>
      <c r="J57">
        <f>IF(OR($B57&lt;&gt;2,$G57=""),"",COUNTIFS(LdAParty,$A57,LdAType,2,LdAKey,"&lt;"&amp;$G57)+1)</f>
        <v/>
      </c>
      <c r="K57">
        <f>IF($J57="","",$A57&amp;"|"&amp;RIGHT("000000"&amp;$J57,6))</f>
        <v/>
      </c>
      <c r="L57">
        <f>IF($A57="","",IF(Wages!$G60="",0,Wages!$G60))</f>
        <v/>
      </c>
      <c r="M57">
        <f>IF($A57="","",Wages!$J60)</f>
        <v/>
      </c>
      <c r="N57">
        <f>IF($A57="","",Wages!$D60)</f>
        <v/>
      </c>
      <c r="P57">
        <f>IF(OR(Shares!$B60="",Shares!$C60=""),"",Shares!$C60)</f>
        <v/>
      </c>
      <c r="Q57">
        <f>IF($P57="","",Shares!$B60)</f>
        <v/>
      </c>
      <c r="R57">
        <f>IF($P57="","",IFERROR(INDEX(WageParty,MATCH($Q57,WageIds,0)),""))</f>
        <v/>
      </c>
      <c r="S57">
        <f>IF($P57="","",IFERROR(INDEX($F$6:$F$2005,MATCH($Q57,WageIds,0)),""))</f>
        <v/>
      </c>
      <c r="T57">
        <f>IF(OR($P57="",$S57="",$S57="نامعتبر"),"",LEFT($S57,4)&amp;MID($S57,6,2)&amp;RIGHT($S57,2)&amp;"0000"&amp;"|"&amp;"2"&amp;RIGHT("00000"&amp;52,5))</f>
        <v/>
      </c>
      <c r="U57">
        <f>IF($T57="","",COUNTIFS(LdAParty,$P57,LdAType,1,LdAKey,"&lt;"&amp;$T57)+COUNTIFS(LdBMember,$P57,LdBKey,"&lt;"&amp;$T57)+COUNTIFS(LdCParty,$P57,LdCKey,"&lt;"&amp;$T57)+1)</f>
        <v/>
      </c>
      <c r="V57">
        <f>IF($U57="","",$P57&amp;"|"&amp;RIGHT("000000"&amp;$U57,6))</f>
        <v/>
      </c>
      <c r="W57">
        <f>IF($T57="","",COUNTIFS(LdBGroup,$R57,LdBKey,"&lt;"&amp;$T57)+1)</f>
        <v/>
      </c>
      <c r="X57">
        <f>IF($W57="","",$R57&amp;"|"&amp;RIGHT("000000"&amp;$W57,6))</f>
        <v/>
      </c>
      <c r="Y57">
        <f>IF($P57="","",IF(Shares!$E60="",0,Shares!$E60))</f>
        <v/>
      </c>
      <c r="Z57">
        <f>IF($P57="","",Shares!$H60)</f>
        <v/>
      </c>
      <c r="AE57">
        <f>IF(OR(Sync!$S57="",Sync!$P57=""),"",Sync!$S57)</f>
        <v/>
      </c>
      <c r="AF57">
        <f>IF($AE57="","",IF(ISNUMBER(Sync!$P57),IF(AND(Sync!$P57&gt;=10000101,Sync!$P57&lt;=99991231),INT(Sync!$P57/10000),""),IFERROR(VALUE(TRIM(LEFT(Sync!$P57,FIND("/",Sync!$P57)-1))),"")))</f>
        <v/>
      </c>
      <c r="AG57">
        <f>IF(OR($AE57="",$AF57=""),"",IF(ISNUMBER(Sync!$P57),INT(MOD(Sync!$P57,10000)/100),IFERROR(VALUE(TRIM(LEFT(MID(Sync!$P57,FIND("/",Sync!$P57)+1,20),FIND("/",MID(Sync!$P57,FIND("/",Sync!$P57)+1,20))-1))),"")))</f>
        <v/>
      </c>
      <c r="AH57">
        <f>IF(OR($AE57="",$AF57=""),"",IF(ISNUMBER(Sync!$P57),MOD(Sync!$P57,100),IFERROR(VALUE(TRIM(MID(MID(Sync!$P57,FIND("/",Sync!$P57)+1,20),FIND("/",MID(Sync!$P57,FIND("/",Sync!$P57)+1,20))+1,20))),"")))</f>
        <v/>
      </c>
      <c r="AI57">
        <f>IF($AE57="","",IF(OR($AF57="",$AG57="",$AH57="",$AF57&lt;1300,$AF57&gt;1500,$AG57&lt;1,$AG57&gt;12,$AH57&lt;1,$AH57&gt;31),"نامعتبر",RIGHT("0000"&amp;$AF57,4)&amp;"/"&amp;RIGHT("00"&amp;$AG57,2)&amp;"/"&amp;RIGHT("00"&amp;$AH57,2)))</f>
        <v/>
      </c>
      <c r="AJ57">
        <f>IF($AE57="","",IF(Sync!$Q57="","0000",IF(AND(ISNUMBER(Sync!$Q57),Sync!$Q57&gt;=0,Sync!$Q57&lt;1),RIGHT("00"&amp;HOUR(Sync!$Q57),2)&amp;RIGHT("00"&amp;MINUTE(Sync!$Q57),2),IFERROR(RIGHT("00"&amp;VALUE(LEFT(Sync!$Q57,FIND(":",Sync!$Q57)-1)),2)&amp;RIGHT("00"&amp;VALUE(MID(Sync!$Q57,FIND(":",Sync!$Q57)+1,2)),2),"0000"))))</f>
        <v/>
      </c>
      <c r="AK57">
        <f>IF(OR($AE57="",$AI57="",$AI57="نامعتبر"),"",LEFT($AI57,4)&amp;MID($AI57,6,2)&amp;RIGHT($AI57,2)&amp;$AJ57&amp;"|"&amp;"3"&amp;RIGHT("00000"&amp;52,5))</f>
        <v/>
      </c>
      <c r="AL57">
        <f>IF($AK57="","",COUNTIFS(LdAParty,$AE57,LdAType,1,LdAKey,"&lt;"&amp;$AK57)+COUNTIFS(LdBMember,$AE57,LdBKey,"&lt;"&amp;$AK57)+COUNTIFS(LdCParty,$AE57,LdCKey,"&lt;"&amp;$AK57)+1)</f>
        <v/>
      </c>
      <c r="AM57">
        <f>IF($AL57="","",$AE57&amp;"|"&amp;RIGHT("000000"&amp;$AL57,6))</f>
        <v/>
      </c>
      <c r="AN57">
        <f>IF($AE57="","",IF(Sync!$W57="",0,Sync!$W57))</f>
        <v/>
      </c>
      <c r="AO57">
        <f>IF($AE57="","",IF(Sync!$X57="",0,Sync!$X57))</f>
        <v/>
      </c>
      <c r="AP57">
        <f>IF($AE57="","",Sync!$R57)</f>
        <v/>
      </c>
      <c r="AQ57">
        <f>IF($AE57="","",Sync!$Y57)</f>
        <v/>
      </c>
    </row>
    <row r="58">
      <c r="A58">
        <f>IF(OR(Wages!$B61="",Wages!$E61=""),"",Wages!$E61)</f>
        <v/>
      </c>
      <c r="B58">
        <f>IF($A58="","",IF(Wages!$C61="دستمزد گروهی",2,1))</f>
        <v/>
      </c>
      <c r="C58">
        <f>IF($A58="","",IF(ISNUMBER(Wages!$B61),IF(AND(Wages!$B61&gt;=10000101,Wages!$B61&lt;=99991231),INT(Wages!$B61/10000),""),IFERROR(VALUE(TRIM(LEFT(Wages!$B61,FIND("/",Wages!$B61)-1))),"")))</f>
        <v/>
      </c>
      <c r="D58">
        <f>IF(OR($A58="",$C58=""),"",IF(ISNUMBER(Wages!$B61),INT(MOD(Wages!$B61,10000)/100),IFERROR(VALUE(TRIM(LEFT(MID(Wages!$B61,FIND("/",Wages!$B61)+1,20),FIND("/",MID(Wages!$B61,FIND("/",Wages!$B61)+1,20))-1))),"")))</f>
        <v/>
      </c>
      <c r="E58">
        <f>IF(OR($A58="",$C58=""),"",IF(ISNUMBER(Wages!$B61),MOD(Wages!$B61,100),IFERROR(VALUE(TRIM(MID(MID(Wages!$B61,FIND("/",Wages!$B61)+1,20),FIND("/",MID(Wages!$B61,FIND("/",Wages!$B61)+1,20))+1,20))),"")))</f>
        <v/>
      </c>
      <c r="F58">
        <f>IF($A58="","",IF(OR($C58="",$D58="",$E58="",$C58&lt;1300,$C58&gt;1500,$D58&lt;1,$D58&gt;12,$E58&lt;1,$E58&gt;31),"نامعتبر",RIGHT("0000"&amp;$C58,4)&amp;"/"&amp;RIGHT("00"&amp;$D58,2)&amp;"/"&amp;RIGHT("00"&amp;$E58,2)))</f>
        <v/>
      </c>
      <c r="G58">
        <f>IF(OR($A58="",$F58="",$F58="نامعتبر"),"",LEFT($F58,4)&amp;MID($F58,6,2)&amp;RIGHT($F58,2)&amp;"0000"&amp;"|"&amp;"1"&amp;RIGHT("00000"&amp;53,5))</f>
        <v/>
      </c>
      <c r="H58">
        <f>IF(OR($B58&lt;&gt;1,$G58=""),"",COUNTIFS(LdAParty,$A58,LdAType,1,LdAKey,"&lt;"&amp;$G58)+COUNTIFS(LdBMember,$A58,LdBKey,"&lt;"&amp;$G58)+COUNTIFS(LdCParty,$A58,LdCKey,"&lt;"&amp;$G58)+1)</f>
        <v/>
      </c>
      <c r="I58">
        <f>IF($H58="","",$A58&amp;"|"&amp;RIGHT("000000"&amp;$H58,6))</f>
        <v/>
      </c>
      <c r="J58">
        <f>IF(OR($B58&lt;&gt;2,$G58=""),"",COUNTIFS(LdAParty,$A58,LdAType,2,LdAKey,"&lt;"&amp;$G58)+1)</f>
        <v/>
      </c>
      <c r="K58">
        <f>IF($J58="","",$A58&amp;"|"&amp;RIGHT("000000"&amp;$J58,6))</f>
        <v/>
      </c>
      <c r="L58">
        <f>IF($A58="","",IF(Wages!$G61="",0,Wages!$G61))</f>
        <v/>
      </c>
      <c r="M58">
        <f>IF($A58="","",Wages!$J61)</f>
        <v/>
      </c>
      <c r="N58">
        <f>IF($A58="","",Wages!$D61)</f>
        <v/>
      </c>
      <c r="P58">
        <f>IF(OR(Shares!$B61="",Shares!$C61=""),"",Shares!$C61)</f>
        <v/>
      </c>
      <c r="Q58">
        <f>IF($P58="","",Shares!$B61)</f>
        <v/>
      </c>
      <c r="R58">
        <f>IF($P58="","",IFERROR(INDEX(WageParty,MATCH($Q58,WageIds,0)),""))</f>
        <v/>
      </c>
      <c r="S58">
        <f>IF($P58="","",IFERROR(INDEX($F$6:$F$2005,MATCH($Q58,WageIds,0)),""))</f>
        <v/>
      </c>
      <c r="T58">
        <f>IF(OR($P58="",$S58="",$S58="نامعتبر"),"",LEFT($S58,4)&amp;MID($S58,6,2)&amp;RIGHT($S58,2)&amp;"0000"&amp;"|"&amp;"2"&amp;RIGHT("00000"&amp;53,5))</f>
        <v/>
      </c>
      <c r="U58">
        <f>IF($T58="","",COUNTIFS(LdAParty,$P58,LdAType,1,LdAKey,"&lt;"&amp;$T58)+COUNTIFS(LdBMember,$P58,LdBKey,"&lt;"&amp;$T58)+COUNTIFS(LdCParty,$P58,LdCKey,"&lt;"&amp;$T58)+1)</f>
        <v/>
      </c>
      <c r="V58">
        <f>IF($U58="","",$P58&amp;"|"&amp;RIGHT("000000"&amp;$U58,6))</f>
        <v/>
      </c>
      <c r="W58">
        <f>IF($T58="","",COUNTIFS(LdBGroup,$R58,LdBKey,"&lt;"&amp;$T58)+1)</f>
        <v/>
      </c>
      <c r="X58">
        <f>IF($W58="","",$R58&amp;"|"&amp;RIGHT("000000"&amp;$W58,6))</f>
        <v/>
      </c>
      <c r="Y58">
        <f>IF($P58="","",IF(Shares!$E61="",0,Shares!$E61))</f>
        <v/>
      </c>
      <c r="Z58">
        <f>IF($P58="","",Shares!$H61)</f>
        <v/>
      </c>
      <c r="AE58">
        <f>IF(OR(Sync!$S58="",Sync!$P58=""),"",Sync!$S58)</f>
        <v/>
      </c>
      <c r="AF58">
        <f>IF($AE58="","",IF(ISNUMBER(Sync!$P58),IF(AND(Sync!$P58&gt;=10000101,Sync!$P58&lt;=99991231),INT(Sync!$P58/10000),""),IFERROR(VALUE(TRIM(LEFT(Sync!$P58,FIND("/",Sync!$P58)-1))),"")))</f>
        <v/>
      </c>
      <c r="AG58">
        <f>IF(OR($AE58="",$AF58=""),"",IF(ISNUMBER(Sync!$P58),INT(MOD(Sync!$P58,10000)/100),IFERROR(VALUE(TRIM(LEFT(MID(Sync!$P58,FIND("/",Sync!$P58)+1,20),FIND("/",MID(Sync!$P58,FIND("/",Sync!$P58)+1,20))-1))),"")))</f>
        <v/>
      </c>
      <c r="AH58">
        <f>IF(OR($AE58="",$AF58=""),"",IF(ISNUMBER(Sync!$P58),MOD(Sync!$P58,100),IFERROR(VALUE(TRIM(MID(MID(Sync!$P58,FIND("/",Sync!$P58)+1,20),FIND("/",MID(Sync!$P58,FIND("/",Sync!$P58)+1,20))+1,20))),"")))</f>
        <v/>
      </c>
      <c r="AI58">
        <f>IF($AE58="","",IF(OR($AF58="",$AG58="",$AH58="",$AF58&lt;1300,$AF58&gt;1500,$AG58&lt;1,$AG58&gt;12,$AH58&lt;1,$AH58&gt;31),"نامعتبر",RIGHT("0000"&amp;$AF58,4)&amp;"/"&amp;RIGHT("00"&amp;$AG58,2)&amp;"/"&amp;RIGHT("00"&amp;$AH58,2)))</f>
        <v/>
      </c>
      <c r="AJ58">
        <f>IF($AE58="","",IF(Sync!$Q58="","0000",IF(AND(ISNUMBER(Sync!$Q58),Sync!$Q58&gt;=0,Sync!$Q58&lt;1),RIGHT("00"&amp;HOUR(Sync!$Q58),2)&amp;RIGHT("00"&amp;MINUTE(Sync!$Q58),2),IFERROR(RIGHT("00"&amp;VALUE(LEFT(Sync!$Q58,FIND(":",Sync!$Q58)-1)),2)&amp;RIGHT("00"&amp;VALUE(MID(Sync!$Q58,FIND(":",Sync!$Q58)+1,2)),2),"0000"))))</f>
        <v/>
      </c>
      <c r="AK58">
        <f>IF(OR($AE58="",$AI58="",$AI58="نامعتبر"),"",LEFT($AI58,4)&amp;MID($AI58,6,2)&amp;RIGHT($AI58,2)&amp;$AJ58&amp;"|"&amp;"3"&amp;RIGHT("00000"&amp;53,5))</f>
        <v/>
      </c>
      <c r="AL58">
        <f>IF($AK58="","",COUNTIFS(LdAParty,$AE58,LdAType,1,LdAKey,"&lt;"&amp;$AK58)+COUNTIFS(LdBMember,$AE58,LdBKey,"&lt;"&amp;$AK58)+COUNTIFS(LdCParty,$AE58,LdCKey,"&lt;"&amp;$AK58)+1)</f>
        <v/>
      </c>
      <c r="AM58">
        <f>IF($AL58="","",$AE58&amp;"|"&amp;RIGHT("000000"&amp;$AL58,6))</f>
        <v/>
      </c>
      <c r="AN58">
        <f>IF($AE58="","",IF(Sync!$W58="",0,Sync!$W58))</f>
        <v/>
      </c>
      <c r="AO58">
        <f>IF($AE58="","",IF(Sync!$X58="",0,Sync!$X58))</f>
        <v/>
      </c>
      <c r="AP58">
        <f>IF($AE58="","",Sync!$R58)</f>
        <v/>
      </c>
      <c r="AQ58">
        <f>IF($AE58="","",Sync!$Y58)</f>
        <v/>
      </c>
    </row>
    <row r="59">
      <c r="A59">
        <f>IF(OR(Wages!$B62="",Wages!$E62=""),"",Wages!$E62)</f>
        <v/>
      </c>
      <c r="B59">
        <f>IF($A59="","",IF(Wages!$C62="دستمزد گروهی",2,1))</f>
        <v/>
      </c>
      <c r="C59">
        <f>IF($A59="","",IF(ISNUMBER(Wages!$B62),IF(AND(Wages!$B62&gt;=10000101,Wages!$B62&lt;=99991231),INT(Wages!$B62/10000),""),IFERROR(VALUE(TRIM(LEFT(Wages!$B62,FIND("/",Wages!$B62)-1))),"")))</f>
        <v/>
      </c>
      <c r="D59">
        <f>IF(OR($A59="",$C59=""),"",IF(ISNUMBER(Wages!$B62),INT(MOD(Wages!$B62,10000)/100),IFERROR(VALUE(TRIM(LEFT(MID(Wages!$B62,FIND("/",Wages!$B62)+1,20),FIND("/",MID(Wages!$B62,FIND("/",Wages!$B62)+1,20))-1))),"")))</f>
        <v/>
      </c>
      <c r="E59">
        <f>IF(OR($A59="",$C59=""),"",IF(ISNUMBER(Wages!$B62),MOD(Wages!$B62,100),IFERROR(VALUE(TRIM(MID(MID(Wages!$B62,FIND("/",Wages!$B62)+1,20),FIND("/",MID(Wages!$B62,FIND("/",Wages!$B62)+1,20))+1,20))),"")))</f>
        <v/>
      </c>
      <c r="F59">
        <f>IF($A59="","",IF(OR($C59="",$D59="",$E59="",$C59&lt;1300,$C59&gt;1500,$D59&lt;1,$D59&gt;12,$E59&lt;1,$E59&gt;31),"نامعتبر",RIGHT("0000"&amp;$C59,4)&amp;"/"&amp;RIGHT("00"&amp;$D59,2)&amp;"/"&amp;RIGHT("00"&amp;$E59,2)))</f>
        <v/>
      </c>
      <c r="G59">
        <f>IF(OR($A59="",$F59="",$F59="نامعتبر"),"",LEFT($F59,4)&amp;MID($F59,6,2)&amp;RIGHT($F59,2)&amp;"0000"&amp;"|"&amp;"1"&amp;RIGHT("00000"&amp;54,5))</f>
        <v/>
      </c>
      <c r="H59">
        <f>IF(OR($B59&lt;&gt;1,$G59=""),"",COUNTIFS(LdAParty,$A59,LdAType,1,LdAKey,"&lt;"&amp;$G59)+COUNTIFS(LdBMember,$A59,LdBKey,"&lt;"&amp;$G59)+COUNTIFS(LdCParty,$A59,LdCKey,"&lt;"&amp;$G59)+1)</f>
        <v/>
      </c>
      <c r="I59">
        <f>IF($H59="","",$A59&amp;"|"&amp;RIGHT("000000"&amp;$H59,6))</f>
        <v/>
      </c>
      <c r="J59">
        <f>IF(OR($B59&lt;&gt;2,$G59=""),"",COUNTIFS(LdAParty,$A59,LdAType,2,LdAKey,"&lt;"&amp;$G59)+1)</f>
        <v/>
      </c>
      <c r="K59">
        <f>IF($J59="","",$A59&amp;"|"&amp;RIGHT("000000"&amp;$J59,6))</f>
        <v/>
      </c>
      <c r="L59">
        <f>IF($A59="","",IF(Wages!$G62="",0,Wages!$G62))</f>
        <v/>
      </c>
      <c r="M59">
        <f>IF($A59="","",Wages!$J62)</f>
        <v/>
      </c>
      <c r="N59">
        <f>IF($A59="","",Wages!$D62)</f>
        <v/>
      </c>
      <c r="P59">
        <f>IF(OR(Shares!$B62="",Shares!$C62=""),"",Shares!$C62)</f>
        <v/>
      </c>
      <c r="Q59">
        <f>IF($P59="","",Shares!$B62)</f>
        <v/>
      </c>
      <c r="R59">
        <f>IF($P59="","",IFERROR(INDEX(WageParty,MATCH($Q59,WageIds,0)),""))</f>
        <v/>
      </c>
      <c r="S59">
        <f>IF($P59="","",IFERROR(INDEX($F$6:$F$2005,MATCH($Q59,WageIds,0)),""))</f>
        <v/>
      </c>
      <c r="T59">
        <f>IF(OR($P59="",$S59="",$S59="نامعتبر"),"",LEFT($S59,4)&amp;MID($S59,6,2)&amp;RIGHT($S59,2)&amp;"0000"&amp;"|"&amp;"2"&amp;RIGHT("00000"&amp;54,5))</f>
        <v/>
      </c>
      <c r="U59">
        <f>IF($T59="","",COUNTIFS(LdAParty,$P59,LdAType,1,LdAKey,"&lt;"&amp;$T59)+COUNTIFS(LdBMember,$P59,LdBKey,"&lt;"&amp;$T59)+COUNTIFS(LdCParty,$P59,LdCKey,"&lt;"&amp;$T59)+1)</f>
        <v/>
      </c>
      <c r="V59">
        <f>IF($U59="","",$P59&amp;"|"&amp;RIGHT("000000"&amp;$U59,6))</f>
        <v/>
      </c>
      <c r="W59">
        <f>IF($T59="","",COUNTIFS(LdBGroup,$R59,LdBKey,"&lt;"&amp;$T59)+1)</f>
        <v/>
      </c>
      <c r="X59">
        <f>IF($W59="","",$R59&amp;"|"&amp;RIGHT("000000"&amp;$W59,6))</f>
        <v/>
      </c>
      <c r="Y59">
        <f>IF($P59="","",IF(Shares!$E62="",0,Shares!$E62))</f>
        <v/>
      </c>
      <c r="Z59">
        <f>IF($P59="","",Shares!$H62)</f>
        <v/>
      </c>
      <c r="AE59">
        <f>IF(OR(Sync!$S59="",Sync!$P59=""),"",Sync!$S59)</f>
        <v/>
      </c>
      <c r="AF59">
        <f>IF($AE59="","",IF(ISNUMBER(Sync!$P59),IF(AND(Sync!$P59&gt;=10000101,Sync!$P59&lt;=99991231),INT(Sync!$P59/10000),""),IFERROR(VALUE(TRIM(LEFT(Sync!$P59,FIND("/",Sync!$P59)-1))),"")))</f>
        <v/>
      </c>
      <c r="AG59">
        <f>IF(OR($AE59="",$AF59=""),"",IF(ISNUMBER(Sync!$P59),INT(MOD(Sync!$P59,10000)/100),IFERROR(VALUE(TRIM(LEFT(MID(Sync!$P59,FIND("/",Sync!$P59)+1,20),FIND("/",MID(Sync!$P59,FIND("/",Sync!$P59)+1,20))-1))),"")))</f>
        <v/>
      </c>
      <c r="AH59">
        <f>IF(OR($AE59="",$AF59=""),"",IF(ISNUMBER(Sync!$P59),MOD(Sync!$P59,100),IFERROR(VALUE(TRIM(MID(MID(Sync!$P59,FIND("/",Sync!$P59)+1,20),FIND("/",MID(Sync!$P59,FIND("/",Sync!$P59)+1,20))+1,20))),"")))</f>
        <v/>
      </c>
      <c r="AI59">
        <f>IF($AE59="","",IF(OR($AF59="",$AG59="",$AH59="",$AF59&lt;1300,$AF59&gt;1500,$AG59&lt;1,$AG59&gt;12,$AH59&lt;1,$AH59&gt;31),"نامعتبر",RIGHT("0000"&amp;$AF59,4)&amp;"/"&amp;RIGHT("00"&amp;$AG59,2)&amp;"/"&amp;RIGHT("00"&amp;$AH59,2)))</f>
        <v/>
      </c>
      <c r="AJ59">
        <f>IF($AE59="","",IF(Sync!$Q59="","0000",IF(AND(ISNUMBER(Sync!$Q59),Sync!$Q59&gt;=0,Sync!$Q59&lt;1),RIGHT("00"&amp;HOUR(Sync!$Q59),2)&amp;RIGHT("00"&amp;MINUTE(Sync!$Q59),2),IFERROR(RIGHT("00"&amp;VALUE(LEFT(Sync!$Q59,FIND(":",Sync!$Q59)-1)),2)&amp;RIGHT("00"&amp;VALUE(MID(Sync!$Q59,FIND(":",Sync!$Q59)+1,2)),2),"0000"))))</f>
        <v/>
      </c>
      <c r="AK59">
        <f>IF(OR($AE59="",$AI59="",$AI59="نامعتبر"),"",LEFT($AI59,4)&amp;MID($AI59,6,2)&amp;RIGHT($AI59,2)&amp;$AJ59&amp;"|"&amp;"3"&amp;RIGHT("00000"&amp;54,5))</f>
        <v/>
      </c>
      <c r="AL59">
        <f>IF($AK59="","",COUNTIFS(LdAParty,$AE59,LdAType,1,LdAKey,"&lt;"&amp;$AK59)+COUNTIFS(LdBMember,$AE59,LdBKey,"&lt;"&amp;$AK59)+COUNTIFS(LdCParty,$AE59,LdCKey,"&lt;"&amp;$AK59)+1)</f>
        <v/>
      </c>
      <c r="AM59">
        <f>IF($AL59="","",$AE59&amp;"|"&amp;RIGHT("000000"&amp;$AL59,6))</f>
        <v/>
      </c>
      <c r="AN59">
        <f>IF($AE59="","",IF(Sync!$W59="",0,Sync!$W59))</f>
        <v/>
      </c>
      <c r="AO59">
        <f>IF($AE59="","",IF(Sync!$X59="",0,Sync!$X59))</f>
        <v/>
      </c>
      <c r="AP59">
        <f>IF($AE59="","",Sync!$R59)</f>
        <v/>
      </c>
      <c r="AQ59">
        <f>IF($AE59="","",Sync!$Y59)</f>
        <v/>
      </c>
    </row>
    <row r="60">
      <c r="A60">
        <f>IF(OR(Wages!$B63="",Wages!$E63=""),"",Wages!$E63)</f>
        <v/>
      </c>
      <c r="B60">
        <f>IF($A60="","",IF(Wages!$C63="دستمزد گروهی",2,1))</f>
        <v/>
      </c>
      <c r="C60">
        <f>IF($A60="","",IF(ISNUMBER(Wages!$B63),IF(AND(Wages!$B63&gt;=10000101,Wages!$B63&lt;=99991231),INT(Wages!$B63/10000),""),IFERROR(VALUE(TRIM(LEFT(Wages!$B63,FIND("/",Wages!$B63)-1))),"")))</f>
        <v/>
      </c>
      <c r="D60">
        <f>IF(OR($A60="",$C60=""),"",IF(ISNUMBER(Wages!$B63),INT(MOD(Wages!$B63,10000)/100),IFERROR(VALUE(TRIM(LEFT(MID(Wages!$B63,FIND("/",Wages!$B63)+1,20),FIND("/",MID(Wages!$B63,FIND("/",Wages!$B63)+1,20))-1))),"")))</f>
        <v/>
      </c>
      <c r="E60">
        <f>IF(OR($A60="",$C60=""),"",IF(ISNUMBER(Wages!$B63),MOD(Wages!$B63,100),IFERROR(VALUE(TRIM(MID(MID(Wages!$B63,FIND("/",Wages!$B63)+1,20),FIND("/",MID(Wages!$B63,FIND("/",Wages!$B63)+1,20))+1,20))),"")))</f>
        <v/>
      </c>
      <c r="F60">
        <f>IF($A60="","",IF(OR($C60="",$D60="",$E60="",$C60&lt;1300,$C60&gt;1500,$D60&lt;1,$D60&gt;12,$E60&lt;1,$E60&gt;31),"نامعتبر",RIGHT("0000"&amp;$C60,4)&amp;"/"&amp;RIGHT("00"&amp;$D60,2)&amp;"/"&amp;RIGHT("00"&amp;$E60,2)))</f>
        <v/>
      </c>
      <c r="G60">
        <f>IF(OR($A60="",$F60="",$F60="نامعتبر"),"",LEFT($F60,4)&amp;MID($F60,6,2)&amp;RIGHT($F60,2)&amp;"0000"&amp;"|"&amp;"1"&amp;RIGHT("00000"&amp;55,5))</f>
        <v/>
      </c>
      <c r="H60">
        <f>IF(OR($B60&lt;&gt;1,$G60=""),"",COUNTIFS(LdAParty,$A60,LdAType,1,LdAKey,"&lt;"&amp;$G60)+COUNTIFS(LdBMember,$A60,LdBKey,"&lt;"&amp;$G60)+COUNTIFS(LdCParty,$A60,LdCKey,"&lt;"&amp;$G60)+1)</f>
        <v/>
      </c>
      <c r="I60">
        <f>IF($H60="","",$A60&amp;"|"&amp;RIGHT("000000"&amp;$H60,6))</f>
        <v/>
      </c>
      <c r="J60">
        <f>IF(OR($B60&lt;&gt;2,$G60=""),"",COUNTIFS(LdAParty,$A60,LdAType,2,LdAKey,"&lt;"&amp;$G60)+1)</f>
        <v/>
      </c>
      <c r="K60">
        <f>IF($J60="","",$A60&amp;"|"&amp;RIGHT("000000"&amp;$J60,6))</f>
        <v/>
      </c>
      <c r="L60">
        <f>IF($A60="","",IF(Wages!$G63="",0,Wages!$G63))</f>
        <v/>
      </c>
      <c r="M60">
        <f>IF($A60="","",Wages!$J63)</f>
        <v/>
      </c>
      <c r="N60">
        <f>IF($A60="","",Wages!$D63)</f>
        <v/>
      </c>
      <c r="P60">
        <f>IF(OR(Shares!$B63="",Shares!$C63=""),"",Shares!$C63)</f>
        <v/>
      </c>
      <c r="Q60">
        <f>IF($P60="","",Shares!$B63)</f>
        <v/>
      </c>
      <c r="R60">
        <f>IF($P60="","",IFERROR(INDEX(WageParty,MATCH($Q60,WageIds,0)),""))</f>
        <v/>
      </c>
      <c r="S60">
        <f>IF($P60="","",IFERROR(INDEX($F$6:$F$2005,MATCH($Q60,WageIds,0)),""))</f>
        <v/>
      </c>
      <c r="T60">
        <f>IF(OR($P60="",$S60="",$S60="نامعتبر"),"",LEFT($S60,4)&amp;MID($S60,6,2)&amp;RIGHT($S60,2)&amp;"0000"&amp;"|"&amp;"2"&amp;RIGHT("00000"&amp;55,5))</f>
        <v/>
      </c>
      <c r="U60">
        <f>IF($T60="","",COUNTIFS(LdAParty,$P60,LdAType,1,LdAKey,"&lt;"&amp;$T60)+COUNTIFS(LdBMember,$P60,LdBKey,"&lt;"&amp;$T60)+COUNTIFS(LdCParty,$P60,LdCKey,"&lt;"&amp;$T60)+1)</f>
        <v/>
      </c>
      <c r="V60">
        <f>IF($U60="","",$P60&amp;"|"&amp;RIGHT("000000"&amp;$U60,6))</f>
        <v/>
      </c>
      <c r="W60">
        <f>IF($T60="","",COUNTIFS(LdBGroup,$R60,LdBKey,"&lt;"&amp;$T60)+1)</f>
        <v/>
      </c>
      <c r="X60">
        <f>IF($W60="","",$R60&amp;"|"&amp;RIGHT("000000"&amp;$W60,6))</f>
        <v/>
      </c>
      <c r="Y60">
        <f>IF($P60="","",IF(Shares!$E63="",0,Shares!$E63))</f>
        <v/>
      </c>
      <c r="Z60">
        <f>IF($P60="","",Shares!$H63)</f>
        <v/>
      </c>
      <c r="AE60">
        <f>IF(OR(Sync!$S60="",Sync!$P60=""),"",Sync!$S60)</f>
        <v/>
      </c>
      <c r="AF60">
        <f>IF($AE60="","",IF(ISNUMBER(Sync!$P60),IF(AND(Sync!$P60&gt;=10000101,Sync!$P60&lt;=99991231),INT(Sync!$P60/10000),""),IFERROR(VALUE(TRIM(LEFT(Sync!$P60,FIND("/",Sync!$P60)-1))),"")))</f>
        <v/>
      </c>
      <c r="AG60">
        <f>IF(OR($AE60="",$AF60=""),"",IF(ISNUMBER(Sync!$P60),INT(MOD(Sync!$P60,10000)/100),IFERROR(VALUE(TRIM(LEFT(MID(Sync!$P60,FIND("/",Sync!$P60)+1,20),FIND("/",MID(Sync!$P60,FIND("/",Sync!$P60)+1,20))-1))),"")))</f>
        <v/>
      </c>
      <c r="AH60">
        <f>IF(OR($AE60="",$AF60=""),"",IF(ISNUMBER(Sync!$P60),MOD(Sync!$P60,100),IFERROR(VALUE(TRIM(MID(MID(Sync!$P60,FIND("/",Sync!$P60)+1,20),FIND("/",MID(Sync!$P60,FIND("/",Sync!$P60)+1,20))+1,20))),"")))</f>
        <v/>
      </c>
      <c r="AI60">
        <f>IF($AE60="","",IF(OR($AF60="",$AG60="",$AH60="",$AF60&lt;1300,$AF60&gt;1500,$AG60&lt;1,$AG60&gt;12,$AH60&lt;1,$AH60&gt;31),"نامعتبر",RIGHT("0000"&amp;$AF60,4)&amp;"/"&amp;RIGHT("00"&amp;$AG60,2)&amp;"/"&amp;RIGHT("00"&amp;$AH60,2)))</f>
        <v/>
      </c>
      <c r="AJ60">
        <f>IF($AE60="","",IF(Sync!$Q60="","0000",IF(AND(ISNUMBER(Sync!$Q60),Sync!$Q60&gt;=0,Sync!$Q60&lt;1),RIGHT("00"&amp;HOUR(Sync!$Q60),2)&amp;RIGHT("00"&amp;MINUTE(Sync!$Q60),2),IFERROR(RIGHT("00"&amp;VALUE(LEFT(Sync!$Q60,FIND(":",Sync!$Q60)-1)),2)&amp;RIGHT("00"&amp;VALUE(MID(Sync!$Q60,FIND(":",Sync!$Q60)+1,2)),2),"0000"))))</f>
        <v/>
      </c>
      <c r="AK60">
        <f>IF(OR($AE60="",$AI60="",$AI60="نامعتبر"),"",LEFT($AI60,4)&amp;MID($AI60,6,2)&amp;RIGHT($AI60,2)&amp;$AJ60&amp;"|"&amp;"3"&amp;RIGHT("00000"&amp;55,5))</f>
        <v/>
      </c>
      <c r="AL60">
        <f>IF($AK60="","",COUNTIFS(LdAParty,$AE60,LdAType,1,LdAKey,"&lt;"&amp;$AK60)+COUNTIFS(LdBMember,$AE60,LdBKey,"&lt;"&amp;$AK60)+COUNTIFS(LdCParty,$AE60,LdCKey,"&lt;"&amp;$AK60)+1)</f>
        <v/>
      </c>
      <c r="AM60">
        <f>IF($AL60="","",$AE60&amp;"|"&amp;RIGHT("000000"&amp;$AL60,6))</f>
        <v/>
      </c>
      <c r="AN60">
        <f>IF($AE60="","",IF(Sync!$W60="",0,Sync!$W60))</f>
        <v/>
      </c>
      <c r="AO60">
        <f>IF($AE60="","",IF(Sync!$X60="",0,Sync!$X60))</f>
        <v/>
      </c>
      <c r="AP60">
        <f>IF($AE60="","",Sync!$R60)</f>
        <v/>
      </c>
      <c r="AQ60">
        <f>IF($AE60="","",Sync!$Y60)</f>
        <v/>
      </c>
    </row>
    <row r="61">
      <c r="A61">
        <f>IF(OR(Wages!$B64="",Wages!$E64=""),"",Wages!$E64)</f>
        <v/>
      </c>
      <c r="B61">
        <f>IF($A61="","",IF(Wages!$C64="دستمزد گروهی",2,1))</f>
        <v/>
      </c>
      <c r="C61">
        <f>IF($A61="","",IF(ISNUMBER(Wages!$B64),IF(AND(Wages!$B64&gt;=10000101,Wages!$B64&lt;=99991231),INT(Wages!$B64/10000),""),IFERROR(VALUE(TRIM(LEFT(Wages!$B64,FIND("/",Wages!$B64)-1))),"")))</f>
        <v/>
      </c>
      <c r="D61">
        <f>IF(OR($A61="",$C61=""),"",IF(ISNUMBER(Wages!$B64),INT(MOD(Wages!$B64,10000)/100),IFERROR(VALUE(TRIM(LEFT(MID(Wages!$B64,FIND("/",Wages!$B64)+1,20),FIND("/",MID(Wages!$B64,FIND("/",Wages!$B64)+1,20))-1))),"")))</f>
        <v/>
      </c>
      <c r="E61">
        <f>IF(OR($A61="",$C61=""),"",IF(ISNUMBER(Wages!$B64),MOD(Wages!$B64,100),IFERROR(VALUE(TRIM(MID(MID(Wages!$B64,FIND("/",Wages!$B64)+1,20),FIND("/",MID(Wages!$B64,FIND("/",Wages!$B64)+1,20))+1,20))),"")))</f>
        <v/>
      </c>
      <c r="F61">
        <f>IF($A61="","",IF(OR($C61="",$D61="",$E61="",$C61&lt;1300,$C61&gt;1500,$D61&lt;1,$D61&gt;12,$E61&lt;1,$E61&gt;31),"نامعتبر",RIGHT("0000"&amp;$C61,4)&amp;"/"&amp;RIGHT("00"&amp;$D61,2)&amp;"/"&amp;RIGHT("00"&amp;$E61,2)))</f>
        <v/>
      </c>
      <c r="G61">
        <f>IF(OR($A61="",$F61="",$F61="نامعتبر"),"",LEFT($F61,4)&amp;MID($F61,6,2)&amp;RIGHT($F61,2)&amp;"0000"&amp;"|"&amp;"1"&amp;RIGHT("00000"&amp;56,5))</f>
        <v/>
      </c>
      <c r="H61">
        <f>IF(OR($B61&lt;&gt;1,$G61=""),"",COUNTIFS(LdAParty,$A61,LdAType,1,LdAKey,"&lt;"&amp;$G61)+COUNTIFS(LdBMember,$A61,LdBKey,"&lt;"&amp;$G61)+COUNTIFS(LdCParty,$A61,LdCKey,"&lt;"&amp;$G61)+1)</f>
        <v/>
      </c>
      <c r="I61">
        <f>IF($H61="","",$A61&amp;"|"&amp;RIGHT("000000"&amp;$H61,6))</f>
        <v/>
      </c>
      <c r="J61">
        <f>IF(OR($B61&lt;&gt;2,$G61=""),"",COUNTIFS(LdAParty,$A61,LdAType,2,LdAKey,"&lt;"&amp;$G61)+1)</f>
        <v/>
      </c>
      <c r="K61">
        <f>IF($J61="","",$A61&amp;"|"&amp;RIGHT("000000"&amp;$J61,6))</f>
        <v/>
      </c>
      <c r="L61">
        <f>IF($A61="","",IF(Wages!$G64="",0,Wages!$G64))</f>
        <v/>
      </c>
      <c r="M61">
        <f>IF($A61="","",Wages!$J64)</f>
        <v/>
      </c>
      <c r="N61">
        <f>IF($A61="","",Wages!$D64)</f>
        <v/>
      </c>
      <c r="P61">
        <f>IF(OR(Shares!$B64="",Shares!$C64=""),"",Shares!$C64)</f>
        <v/>
      </c>
      <c r="Q61">
        <f>IF($P61="","",Shares!$B64)</f>
        <v/>
      </c>
      <c r="R61">
        <f>IF($P61="","",IFERROR(INDEX(WageParty,MATCH($Q61,WageIds,0)),""))</f>
        <v/>
      </c>
      <c r="S61">
        <f>IF($P61="","",IFERROR(INDEX($F$6:$F$2005,MATCH($Q61,WageIds,0)),""))</f>
        <v/>
      </c>
      <c r="T61">
        <f>IF(OR($P61="",$S61="",$S61="نامعتبر"),"",LEFT($S61,4)&amp;MID($S61,6,2)&amp;RIGHT($S61,2)&amp;"0000"&amp;"|"&amp;"2"&amp;RIGHT("00000"&amp;56,5))</f>
        <v/>
      </c>
      <c r="U61">
        <f>IF($T61="","",COUNTIFS(LdAParty,$P61,LdAType,1,LdAKey,"&lt;"&amp;$T61)+COUNTIFS(LdBMember,$P61,LdBKey,"&lt;"&amp;$T61)+COUNTIFS(LdCParty,$P61,LdCKey,"&lt;"&amp;$T61)+1)</f>
        <v/>
      </c>
      <c r="V61">
        <f>IF($U61="","",$P61&amp;"|"&amp;RIGHT("000000"&amp;$U61,6))</f>
        <v/>
      </c>
      <c r="W61">
        <f>IF($T61="","",COUNTIFS(LdBGroup,$R61,LdBKey,"&lt;"&amp;$T61)+1)</f>
        <v/>
      </c>
      <c r="X61">
        <f>IF($W61="","",$R61&amp;"|"&amp;RIGHT("000000"&amp;$W61,6))</f>
        <v/>
      </c>
      <c r="Y61">
        <f>IF($P61="","",IF(Shares!$E64="",0,Shares!$E64))</f>
        <v/>
      </c>
      <c r="Z61">
        <f>IF($P61="","",Shares!$H64)</f>
        <v/>
      </c>
      <c r="AE61">
        <f>IF(OR(Sync!$S61="",Sync!$P61=""),"",Sync!$S61)</f>
        <v/>
      </c>
      <c r="AF61">
        <f>IF($AE61="","",IF(ISNUMBER(Sync!$P61),IF(AND(Sync!$P61&gt;=10000101,Sync!$P61&lt;=99991231),INT(Sync!$P61/10000),""),IFERROR(VALUE(TRIM(LEFT(Sync!$P61,FIND("/",Sync!$P61)-1))),"")))</f>
        <v/>
      </c>
      <c r="AG61">
        <f>IF(OR($AE61="",$AF61=""),"",IF(ISNUMBER(Sync!$P61),INT(MOD(Sync!$P61,10000)/100),IFERROR(VALUE(TRIM(LEFT(MID(Sync!$P61,FIND("/",Sync!$P61)+1,20),FIND("/",MID(Sync!$P61,FIND("/",Sync!$P61)+1,20))-1))),"")))</f>
        <v/>
      </c>
      <c r="AH61">
        <f>IF(OR($AE61="",$AF61=""),"",IF(ISNUMBER(Sync!$P61),MOD(Sync!$P61,100),IFERROR(VALUE(TRIM(MID(MID(Sync!$P61,FIND("/",Sync!$P61)+1,20),FIND("/",MID(Sync!$P61,FIND("/",Sync!$P61)+1,20))+1,20))),"")))</f>
        <v/>
      </c>
      <c r="AI61">
        <f>IF($AE61="","",IF(OR($AF61="",$AG61="",$AH61="",$AF61&lt;1300,$AF61&gt;1500,$AG61&lt;1,$AG61&gt;12,$AH61&lt;1,$AH61&gt;31),"نامعتبر",RIGHT("0000"&amp;$AF61,4)&amp;"/"&amp;RIGHT("00"&amp;$AG61,2)&amp;"/"&amp;RIGHT("00"&amp;$AH61,2)))</f>
        <v/>
      </c>
      <c r="AJ61">
        <f>IF($AE61="","",IF(Sync!$Q61="","0000",IF(AND(ISNUMBER(Sync!$Q61),Sync!$Q61&gt;=0,Sync!$Q61&lt;1),RIGHT("00"&amp;HOUR(Sync!$Q61),2)&amp;RIGHT("00"&amp;MINUTE(Sync!$Q61),2),IFERROR(RIGHT("00"&amp;VALUE(LEFT(Sync!$Q61,FIND(":",Sync!$Q61)-1)),2)&amp;RIGHT("00"&amp;VALUE(MID(Sync!$Q61,FIND(":",Sync!$Q61)+1,2)),2),"0000"))))</f>
        <v/>
      </c>
      <c r="AK61">
        <f>IF(OR($AE61="",$AI61="",$AI61="نامعتبر"),"",LEFT($AI61,4)&amp;MID($AI61,6,2)&amp;RIGHT($AI61,2)&amp;$AJ61&amp;"|"&amp;"3"&amp;RIGHT("00000"&amp;56,5))</f>
        <v/>
      </c>
      <c r="AL61">
        <f>IF($AK61="","",COUNTIFS(LdAParty,$AE61,LdAType,1,LdAKey,"&lt;"&amp;$AK61)+COUNTIFS(LdBMember,$AE61,LdBKey,"&lt;"&amp;$AK61)+COUNTIFS(LdCParty,$AE61,LdCKey,"&lt;"&amp;$AK61)+1)</f>
        <v/>
      </c>
      <c r="AM61">
        <f>IF($AL61="","",$AE61&amp;"|"&amp;RIGHT("000000"&amp;$AL61,6))</f>
        <v/>
      </c>
      <c r="AN61">
        <f>IF($AE61="","",IF(Sync!$W61="",0,Sync!$W61))</f>
        <v/>
      </c>
      <c r="AO61">
        <f>IF($AE61="","",IF(Sync!$X61="",0,Sync!$X61))</f>
        <v/>
      </c>
      <c r="AP61">
        <f>IF($AE61="","",Sync!$R61)</f>
        <v/>
      </c>
      <c r="AQ61">
        <f>IF($AE61="","",Sync!$Y61)</f>
        <v/>
      </c>
    </row>
    <row r="62">
      <c r="A62">
        <f>IF(OR(Wages!$B65="",Wages!$E65=""),"",Wages!$E65)</f>
        <v/>
      </c>
      <c r="B62">
        <f>IF($A62="","",IF(Wages!$C65="دستمزد گروهی",2,1))</f>
        <v/>
      </c>
      <c r="C62">
        <f>IF($A62="","",IF(ISNUMBER(Wages!$B65),IF(AND(Wages!$B65&gt;=10000101,Wages!$B65&lt;=99991231),INT(Wages!$B65/10000),""),IFERROR(VALUE(TRIM(LEFT(Wages!$B65,FIND("/",Wages!$B65)-1))),"")))</f>
        <v/>
      </c>
      <c r="D62">
        <f>IF(OR($A62="",$C62=""),"",IF(ISNUMBER(Wages!$B65),INT(MOD(Wages!$B65,10000)/100),IFERROR(VALUE(TRIM(LEFT(MID(Wages!$B65,FIND("/",Wages!$B65)+1,20),FIND("/",MID(Wages!$B65,FIND("/",Wages!$B65)+1,20))-1))),"")))</f>
        <v/>
      </c>
      <c r="E62">
        <f>IF(OR($A62="",$C62=""),"",IF(ISNUMBER(Wages!$B65),MOD(Wages!$B65,100),IFERROR(VALUE(TRIM(MID(MID(Wages!$B65,FIND("/",Wages!$B65)+1,20),FIND("/",MID(Wages!$B65,FIND("/",Wages!$B65)+1,20))+1,20))),"")))</f>
        <v/>
      </c>
      <c r="F62">
        <f>IF($A62="","",IF(OR($C62="",$D62="",$E62="",$C62&lt;1300,$C62&gt;1500,$D62&lt;1,$D62&gt;12,$E62&lt;1,$E62&gt;31),"نامعتبر",RIGHT("0000"&amp;$C62,4)&amp;"/"&amp;RIGHT("00"&amp;$D62,2)&amp;"/"&amp;RIGHT("00"&amp;$E62,2)))</f>
        <v/>
      </c>
      <c r="G62">
        <f>IF(OR($A62="",$F62="",$F62="نامعتبر"),"",LEFT($F62,4)&amp;MID($F62,6,2)&amp;RIGHT($F62,2)&amp;"0000"&amp;"|"&amp;"1"&amp;RIGHT("00000"&amp;57,5))</f>
        <v/>
      </c>
      <c r="H62">
        <f>IF(OR($B62&lt;&gt;1,$G62=""),"",COUNTIFS(LdAParty,$A62,LdAType,1,LdAKey,"&lt;"&amp;$G62)+COUNTIFS(LdBMember,$A62,LdBKey,"&lt;"&amp;$G62)+COUNTIFS(LdCParty,$A62,LdCKey,"&lt;"&amp;$G62)+1)</f>
        <v/>
      </c>
      <c r="I62">
        <f>IF($H62="","",$A62&amp;"|"&amp;RIGHT("000000"&amp;$H62,6))</f>
        <v/>
      </c>
      <c r="J62">
        <f>IF(OR($B62&lt;&gt;2,$G62=""),"",COUNTIFS(LdAParty,$A62,LdAType,2,LdAKey,"&lt;"&amp;$G62)+1)</f>
        <v/>
      </c>
      <c r="K62">
        <f>IF($J62="","",$A62&amp;"|"&amp;RIGHT("000000"&amp;$J62,6))</f>
        <v/>
      </c>
      <c r="L62">
        <f>IF($A62="","",IF(Wages!$G65="",0,Wages!$G65))</f>
        <v/>
      </c>
      <c r="M62">
        <f>IF($A62="","",Wages!$J65)</f>
        <v/>
      </c>
      <c r="N62">
        <f>IF($A62="","",Wages!$D65)</f>
        <v/>
      </c>
      <c r="P62">
        <f>IF(OR(Shares!$B65="",Shares!$C65=""),"",Shares!$C65)</f>
        <v/>
      </c>
      <c r="Q62">
        <f>IF($P62="","",Shares!$B65)</f>
        <v/>
      </c>
      <c r="R62">
        <f>IF($P62="","",IFERROR(INDEX(WageParty,MATCH($Q62,WageIds,0)),""))</f>
        <v/>
      </c>
      <c r="S62">
        <f>IF($P62="","",IFERROR(INDEX($F$6:$F$2005,MATCH($Q62,WageIds,0)),""))</f>
        <v/>
      </c>
      <c r="T62">
        <f>IF(OR($P62="",$S62="",$S62="نامعتبر"),"",LEFT($S62,4)&amp;MID($S62,6,2)&amp;RIGHT($S62,2)&amp;"0000"&amp;"|"&amp;"2"&amp;RIGHT("00000"&amp;57,5))</f>
        <v/>
      </c>
      <c r="U62">
        <f>IF($T62="","",COUNTIFS(LdAParty,$P62,LdAType,1,LdAKey,"&lt;"&amp;$T62)+COUNTIFS(LdBMember,$P62,LdBKey,"&lt;"&amp;$T62)+COUNTIFS(LdCParty,$P62,LdCKey,"&lt;"&amp;$T62)+1)</f>
        <v/>
      </c>
      <c r="V62">
        <f>IF($U62="","",$P62&amp;"|"&amp;RIGHT("000000"&amp;$U62,6))</f>
        <v/>
      </c>
      <c r="W62">
        <f>IF($T62="","",COUNTIFS(LdBGroup,$R62,LdBKey,"&lt;"&amp;$T62)+1)</f>
        <v/>
      </c>
      <c r="X62">
        <f>IF($W62="","",$R62&amp;"|"&amp;RIGHT("000000"&amp;$W62,6))</f>
        <v/>
      </c>
      <c r="Y62">
        <f>IF($P62="","",IF(Shares!$E65="",0,Shares!$E65))</f>
        <v/>
      </c>
      <c r="Z62">
        <f>IF($P62="","",Shares!$H65)</f>
        <v/>
      </c>
      <c r="AE62">
        <f>IF(OR(Sync!$S62="",Sync!$P62=""),"",Sync!$S62)</f>
        <v/>
      </c>
      <c r="AF62">
        <f>IF($AE62="","",IF(ISNUMBER(Sync!$P62),IF(AND(Sync!$P62&gt;=10000101,Sync!$P62&lt;=99991231),INT(Sync!$P62/10000),""),IFERROR(VALUE(TRIM(LEFT(Sync!$P62,FIND("/",Sync!$P62)-1))),"")))</f>
        <v/>
      </c>
      <c r="AG62">
        <f>IF(OR($AE62="",$AF62=""),"",IF(ISNUMBER(Sync!$P62),INT(MOD(Sync!$P62,10000)/100),IFERROR(VALUE(TRIM(LEFT(MID(Sync!$P62,FIND("/",Sync!$P62)+1,20),FIND("/",MID(Sync!$P62,FIND("/",Sync!$P62)+1,20))-1))),"")))</f>
        <v/>
      </c>
      <c r="AH62">
        <f>IF(OR($AE62="",$AF62=""),"",IF(ISNUMBER(Sync!$P62),MOD(Sync!$P62,100),IFERROR(VALUE(TRIM(MID(MID(Sync!$P62,FIND("/",Sync!$P62)+1,20),FIND("/",MID(Sync!$P62,FIND("/",Sync!$P62)+1,20))+1,20))),"")))</f>
        <v/>
      </c>
      <c r="AI62">
        <f>IF($AE62="","",IF(OR($AF62="",$AG62="",$AH62="",$AF62&lt;1300,$AF62&gt;1500,$AG62&lt;1,$AG62&gt;12,$AH62&lt;1,$AH62&gt;31),"نامعتبر",RIGHT("0000"&amp;$AF62,4)&amp;"/"&amp;RIGHT("00"&amp;$AG62,2)&amp;"/"&amp;RIGHT("00"&amp;$AH62,2)))</f>
        <v/>
      </c>
      <c r="AJ62">
        <f>IF($AE62="","",IF(Sync!$Q62="","0000",IF(AND(ISNUMBER(Sync!$Q62),Sync!$Q62&gt;=0,Sync!$Q62&lt;1),RIGHT("00"&amp;HOUR(Sync!$Q62),2)&amp;RIGHT("00"&amp;MINUTE(Sync!$Q62),2),IFERROR(RIGHT("00"&amp;VALUE(LEFT(Sync!$Q62,FIND(":",Sync!$Q62)-1)),2)&amp;RIGHT("00"&amp;VALUE(MID(Sync!$Q62,FIND(":",Sync!$Q62)+1,2)),2),"0000"))))</f>
        <v/>
      </c>
      <c r="AK62">
        <f>IF(OR($AE62="",$AI62="",$AI62="نامعتبر"),"",LEFT($AI62,4)&amp;MID($AI62,6,2)&amp;RIGHT($AI62,2)&amp;$AJ62&amp;"|"&amp;"3"&amp;RIGHT("00000"&amp;57,5))</f>
        <v/>
      </c>
      <c r="AL62">
        <f>IF($AK62="","",COUNTIFS(LdAParty,$AE62,LdAType,1,LdAKey,"&lt;"&amp;$AK62)+COUNTIFS(LdBMember,$AE62,LdBKey,"&lt;"&amp;$AK62)+COUNTIFS(LdCParty,$AE62,LdCKey,"&lt;"&amp;$AK62)+1)</f>
        <v/>
      </c>
      <c r="AM62">
        <f>IF($AL62="","",$AE62&amp;"|"&amp;RIGHT("000000"&amp;$AL62,6))</f>
        <v/>
      </c>
      <c r="AN62">
        <f>IF($AE62="","",IF(Sync!$W62="",0,Sync!$W62))</f>
        <v/>
      </c>
      <c r="AO62">
        <f>IF($AE62="","",IF(Sync!$X62="",0,Sync!$X62))</f>
        <v/>
      </c>
      <c r="AP62">
        <f>IF($AE62="","",Sync!$R62)</f>
        <v/>
      </c>
      <c r="AQ62">
        <f>IF($AE62="","",Sync!$Y62)</f>
        <v/>
      </c>
    </row>
    <row r="63">
      <c r="A63">
        <f>IF(OR(Wages!$B66="",Wages!$E66=""),"",Wages!$E66)</f>
        <v/>
      </c>
      <c r="B63">
        <f>IF($A63="","",IF(Wages!$C66="دستمزد گروهی",2,1))</f>
        <v/>
      </c>
      <c r="C63">
        <f>IF($A63="","",IF(ISNUMBER(Wages!$B66),IF(AND(Wages!$B66&gt;=10000101,Wages!$B66&lt;=99991231),INT(Wages!$B66/10000),""),IFERROR(VALUE(TRIM(LEFT(Wages!$B66,FIND("/",Wages!$B66)-1))),"")))</f>
        <v/>
      </c>
      <c r="D63">
        <f>IF(OR($A63="",$C63=""),"",IF(ISNUMBER(Wages!$B66),INT(MOD(Wages!$B66,10000)/100),IFERROR(VALUE(TRIM(LEFT(MID(Wages!$B66,FIND("/",Wages!$B66)+1,20),FIND("/",MID(Wages!$B66,FIND("/",Wages!$B66)+1,20))-1))),"")))</f>
        <v/>
      </c>
      <c r="E63">
        <f>IF(OR($A63="",$C63=""),"",IF(ISNUMBER(Wages!$B66),MOD(Wages!$B66,100),IFERROR(VALUE(TRIM(MID(MID(Wages!$B66,FIND("/",Wages!$B66)+1,20),FIND("/",MID(Wages!$B66,FIND("/",Wages!$B66)+1,20))+1,20))),"")))</f>
        <v/>
      </c>
      <c r="F63">
        <f>IF($A63="","",IF(OR($C63="",$D63="",$E63="",$C63&lt;1300,$C63&gt;1500,$D63&lt;1,$D63&gt;12,$E63&lt;1,$E63&gt;31),"نامعتبر",RIGHT("0000"&amp;$C63,4)&amp;"/"&amp;RIGHT("00"&amp;$D63,2)&amp;"/"&amp;RIGHT("00"&amp;$E63,2)))</f>
        <v/>
      </c>
      <c r="G63">
        <f>IF(OR($A63="",$F63="",$F63="نامعتبر"),"",LEFT($F63,4)&amp;MID($F63,6,2)&amp;RIGHT($F63,2)&amp;"0000"&amp;"|"&amp;"1"&amp;RIGHT("00000"&amp;58,5))</f>
        <v/>
      </c>
      <c r="H63">
        <f>IF(OR($B63&lt;&gt;1,$G63=""),"",COUNTIFS(LdAParty,$A63,LdAType,1,LdAKey,"&lt;"&amp;$G63)+COUNTIFS(LdBMember,$A63,LdBKey,"&lt;"&amp;$G63)+COUNTIFS(LdCParty,$A63,LdCKey,"&lt;"&amp;$G63)+1)</f>
        <v/>
      </c>
      <c r="I63">
        <f>IF($H63="","",$A63&amp;"|"&amp;RIGHT("000000"&amp;$H63,6))</f>
        <v/>
      </c>
      <c r="J63">
        <f>IF(OR($B63&lt;&gt;2,$G63=""),"",COUNTIFS(LdAParty,$A63,LdAType,2,LdAKey,"&lt;"&amp;$G63)+1)</f>
        <v/>
      </c>
      <c r="K63">
        <f>IF($J63="","",$A63&amp;"|"&amp;RIGHT("000000"&amp;$J63,6))</f>
        <v/>
      </c>
      <c r="L63">
        <f>IF($A63="","",IF(Wages!$G66="",0,Wages!$G66))</f>
        <v/>
      </c>
      <c r="M63">
        <f>IF($A63="","",Wages!$J66)</f>
        <v/>
      </c>
      <c r="N63">
        <f>IF($A63="","",Wages!$D66)</f>
        <v/>
      </c>
      <c r="P63">
        <f>IF(OR(Shares!$B66="",Shares!$C66=""),"",Shares!$C66)</f>
        <v/>
      </c>
      <c r="Q63">
        <f>IF($P63="","",Shares!$B66)</f>
        <v/>
      </c>
      <c r="R63">
        <f>IF($P63="","",IFERROR(INDEX(WageParty,MATCH($Q63,WageIds,0)),""))</f>
        <v/>
      </c>
      <c r="S63">
        <f>IF($P63="","",IFERROR(INDEX($F$6:$F$2005,MATCH($Q63,WageIds,0)),""))</f>
        <v/>
      </c>
      <c r="T63">
        <f>IF(OR($P63="",$S63="",$S63="نامعتبر"),"",LEFT($S63,4)&amp;MID($S63,6,2)&amp;RIGHT($S63,2)&amp;"0000"&amp;"|"&amp;"2"&amp;RIGHT("00000"&amp;58,5))</f>
        <v/>
      </c>
      <c r="U63">
        <f>IF($T63="","",COUNTIFS(LdAParty,$P63,LdAType,1,LdAKey,"&lt;"&amp;$T63)+COUNTIFS(LdBMember,$P63,LdBKey,"&lt;"&amp;$T63)+COUNTIFS(LdCParty,$P63,LdCKey,"&lt;"&amp;$T63)+1)</f>
        <v/>
      </c>
      <c r="V63">
        <f>IF($U63="","",$P63&amp;"|"&amp;RIGHT("000000"&amp;$U63,6))</f>
        <v/>
      </c>
      <c r="W63">
        <f>IF($T63="","",COUNTIFS(LdBGroup,$R63,LdBKey,"&lt;"&amp;$T63)+1)</f>
        <v/>
      </c>
      <c r="X63">
        <f>IF($W63="","",$R63&amp;"|"&amp;RIGHT("000000"&amp;$W63,6))</f>
        <v/>
      </c>
      <c r="Y63">
        <f>IF($P63="","",IF(Shares!$E66="",0,Shares!$E66))</f>
        <v/>
      </c>
      <c r="Z63">
        <f>IF($P63="","",Shares!$H66)</f>
        <v/>
      </c>
      <c r="AE63">
        <f>IF(OR(Sync!$S63="",Sync!$P63=""),"",Sync!$S63)</f>
        <v/>
      </c>
      <c r="AF63">
        <f>IF($AE63="","",IF(ISNUMBER(Sync!$P63),IF(AND(Sync!$P63&gt;=10000101,Sync!$P63&lt;=99991231),INT(Sync!$P63/10000),""),IFERROR(VALUE(TRIM(LEFT(Sync!$P63,FIND("/",Sync!$P63)-1))),"")))</f>
        <v/>
      </c>
      <c r="AG63">
        <f>IF(OR($AE63="",$AF63=""),"",IF(ISNUMBER(Sync!$P63),INT(MOD(Sync!$P63,10000)/100),IFERROR(VALUE(TRIM(LEFT(MID(Sync!$P63,FIND("/",Sync!$P63)+1,20),FIND("/",MID(Sync!$P63,FIND("/",Sync!$P63)+1,20))-1))),"")))</f>
        <v/>
      </c>
      <c r="AH63">
        <f>IF(OR($AE63="",$AF63=""),"",IF(ISNUMBER(Sync!$P63),MOD(Sync!$P63,100),IFERROR(VALUE(TRIM(MID(MID(Sync!$P63,FIND("/",Sync!$P63)+1,20),FIND("/",MID(Sync!$P63,FIND("/",Sync!$P63)+1,20))+1,20))),"")))</f>
        <v/>
      </c>
      <c r="AI63">
        <f>IF($AE63="","",IF(OR($AF63="",$AG63="",$AH63="",$AF63&lt;1300,$AF63&gt;1500,$AG63&lt;1,$AG63&gt;12,$AH63&lt;1,$AH63&gt;31),"نامعتبر",RIGHT("0000"&amp;$AF63,4)&amp;"/"&amp;RIGHT("00"&amp;$AG63,2)&amp;"/"&amp;RIGHT("00"&amp;$AH63,2)))</f>
        <v/>
      </c>
      <c r="AJ63">
        <f>IF($AE63="","",IF(Sync!$Q63="","0000",IF(AND(ISNUMBER(Sync!$Q63),Sync!$Q63&gt;=0,Sync!$Q63&lt;1),RIGHT("00"&amp;HOUR(Sync!$Q63),2)&amp;RIGHT("00"&amp;MINUTE(Sync!$Q63),2),IFERROR(RIGHT("00"&amp;VALUE(LEFT(Sync!$Q63,FIND(":",Sync!$Q63)-1)),2)&amp;RIGHT("00"&amp;VALUE(MID(Sync!$Q63,FIND(":",Sync!$Q63)+1,2)),2),"0000"))))</f>
        <v/>
      </c>
      <c r="AK63">
        <f>IF(OR($AE63="",$AI63="",$AI63="نامعتبر"),"",LEFT($AI63,4)&amp;MID($AI63,6,2)&amp;RIGHT($AI63,2)&amp;$AJ63&amp;"|"&amp;"3"&amp;RIGHT("00000"&amp;58,5))</f>
        <v/>
      </c>
      <c r="AL63">
        <f>IF($AK63="","",COUNTIFS(LdAParty,$AE63,LdAType,1,LdAKey,"&lt;"&amp;$AK63)+COUNTIFS(LdBMember,$AE63,LdBKey,"&lt;"&amp;$AK63)+COUNTIFS(LdCParty,$AE63,LdCKey,"&lt;"&amp;$AK63)+1)</f>
        <v/>
      </c>
      <c r="AM63">
        <f>IF($AL63="","",$AE63&amp;"|"&amp;RIGHT("000000"&amp;$AL63,6))</f>
        <v/>
      </c>
      <c r="AN63">
        <f>IF($AE63="","",IF(Sync!$W63="",0,Sync!$W63))</f>
        <v/>
      </c>
      <c r="AO63">
        <f>IF($AE63="","",IF(Sync!$X63="",0,Sync!$X63))</f>
        <v/>
      </c>
      <c r="AP63">
        <f>IF($AE63="","",Sync!$R63)</f>
        <v/>
      </c>
      <c r="AQ63">
        <f>IF($AE63="","",Sync!$Y63)</f>
        <v/>
      </c>
    </row>
    <row r="64">
      <c r="A64">
        <f>IF(OR(Wages!$B67="",Wages!$E67=""),"",Wages!$E67)</f>
        <v/>
      </c>
      <c r="B64">
        <f>IF($A64="","",IF(Wages!$C67="دستمزد گروهی",2,1))</f>
        <v/>
      </c>
      <c r="C64">
        <f>IF($A64="","",IF(ISNUMBER(Wages!$B67),IF(AND(Wages!$B67&gt;=10000101,Wages!$B67&lt;=99991231),INT(Wages!$B67/10000),""),IFERROR(VALUE(TRIM(LEFT(Wages!$B67,FIND("/",Wages!$B67)-1))),"")))</f>
        <v/>
      </c>
      <c r="D64">
        <f>IF(OR($A64="",$C64=""),"",IF(ISNUMBER(Wages!$B67),INT(MOD(Wages!$B67,10000)/100),IFERROR(VALUE(TRIM(LEFT(MID(Wages!$B67,FIND("/",Wages!$B67)+1,20),FIND("/",MID(Wages!$B67,FIND("/",Wages!$B67)+1,20))-1))),"")))</f>
        <v/>
      </c>
      <c r="E64">
        <f>IF(OR($A64="",$C64=""),"",IF(ISNUMBER(Wages!$B67),MOD(Wages!$B67,100),IFERROR(VALUE(TRIM(MID(MID(Wages!$B67,FIND("/",Wages!$B67)+1,20),FIND("/",MID(Wages!$B67,FIND("/",Wages!$B67)+1,20))+1,20))),"")))</f>
        <v/>
      </c>
      <c r="F64">
        <f>IF($A64="","",IF(OR($C64="",$D64="",$E64="",$C64&lt;1300,$C64&gt;1500,$D64&lt;1,$D64&gt;12,$E64&lt;1,$E64&gt;31),"نامعتبر",RIGHT("0000"&amp;$C64,4)&amp;"/"&amp;RIGHT("00"&amp;$D64,2)&amp;"/"&amp;RIGHT("00"&amp;$E64,2)))</f>
        <v/>
      </c>
      <c r="G64">
        <f>IF(OR($A64="",$F64="",$F64="نامعتبر"),"",LEFT($F64,4)&amp;MID($F64,6,2)&amp;RIGHT($F64,2)&amp;"0000"&amp;"|"&amp;"1"&amp;RIGHT("00000"&amp;59,5))</f>
        <v/>
      </c>
      <c r="H64">
        <f>IF(OR($B64&lt;&gt;1,$G64=""),"",COUNTIFS(LdAParty,$A64,LdAType,1,LdAKey,"&lt;"&amp;$G64)+COUNTIFS(LdBMember,$A64,LdBKey,"&lt;"&amp;$G64)+COUNTIFS(LdCParty,$A64,LdCKey,"&lt;"&amp;$G64)+1)</f>
        <v/>
      </c>
      <c r="I64">
        <f>IF($H64="","",$A64&amp;"|"&amp;RIGHT("000000"&amp;$H64,6))</f>
        <v/>
      </c>
      <c r="J64">
        <f>IF(OR($B64&lt;&gt;2,$G64=""),"",COUNTIFS(LdAParty,$A64,LdAType,2,LdAKey,"&lt;"&amp;$G64)+1)</f>
        <v/>
      </c>
      <c r="K64">
        <f>IF($J64="","",$A64&amp;"|"&amp;RIGHT("000000"&amp;$J64,6))</f>
        <v/>
      </c>
      <c r="L64">
        <f>IF($A64="","",IF(Wages!$G67="",0,Wages!$G67))</f>
        <v/>
      </c>
      <c r="M64">
        <f>IF($A64="","",Wages!$J67)</f>
        <v/>
      </c>
      <c r="N64">
        <f>IF($A64="","",Wages!$D67)</f>
        <v/>
      </c>
      <c r="P64">
        <f>IF(OR(Shares!$B67="",Shares!$C67=""),"",Shares!$C67)</f>
        <v/>
      </c>
      <c r="Q64">
        <f>IF($P64="","",Shares!$B67)</f>
        <v/>
      </c>
      <c r="R64">
        <f>IF($P64="","",IFERROR(INDEX(WageParty,MATCH($Q64,WageIds,0)),""))</f>
        <v/>
      </c>
      <c r="S64">
        <f>IF($P64="","",IFERROR(INDEX($F$6:$F$2005,MATCH($Q64,WageIds,0)),""))</f>
        <v/>
      </c>
      <c r="T64">
        <f>IF(OR($P64="",$S64="",$S64="نامعتبر"),"",LEFT($S64,4)&amp;MID($S64,6,2)&amp;RIGHT($S64,2)&amp;"0000"&amp;"|"&amp;"2"&amp;RIGHT("00000"&amp;59,5))</f>
        <v/>
      </c>
      <c r="U64">
        <f>IF($T64="","",COUNTIFS(LdAParty,$P64,LdAType,1,LdAKey,"&lt;"&amp;$T64)+COUNTIFS(LdBMember,$P64,LdBKey,"&lt;"&amp;$T64)+COUNTIFS(LdCParty,$P64,LdCKey,"&lt;"&amp;$T64)+1)</f>
        <v/>
      </c>
      <c r="V64">
        <f>IF($U64="","",$P64&amp;"|"&amp;RIGHT("000000"&amp;$U64,6))</f>
        <v/>
      </c>
      <c r="W64">
        <f>IF($T64="","",COUNTIFS(LdBGroup,$R64,LdBKey,"&lt;"&amp;$T64)+1)</f>
        <v/>
      </c>
      <c r="X64">
        <f>IF($W64="","",$R64&amp;"|"&amp;RIGHT("000000"&amp;$W64,6))</f>
        <v/>
      </c>
      <c r="Y64">
        <f>IF($P64="","",IF(Shares!$E67="",0,Shares!$E67))</f>
        <v/>
      </c>
      <c r="Z64">
        <f>IF($P64="","",Shares!$H67)</f>
        <v/>
      </c>
      <c r="AE64">
        <f>IF(OR(Sync!$S64="",Sync!$P64=""),"",Sync!$S64)</f>
        <v/>
      </c>
      <c r="AF64">
        <f>IF($AE64="","",IF(ISNUMBER(Sync!$P64),IF(AND(Sync!$P64&gt;=10000101,Sync!$P64&lt;=99991231),INT(Sync!$P64/10000),""),IFERROR(VALUE(TRIM(LEFT(Sync!$P64,FIND("/",Sync!$P64)-1))),"")))</f>
        <v/>
      </c>
      <c r="AG64">
        <f>IF(OR($AE64="",$AF64=""),"",IF(ISNUMBER(Sync!$P64),INT(MOD(Sync!$P64,10000)/100),IFERROR(VALUE(TRIM(LEFT(MID(Sync!$P64,FIND("/",Sync!$P64)+1,20),FIND("/",MID(Sync!$P64,FIND("/",Sync!$P64)+1,20))-1))),"")))</f>
        <v/>
      </c>
      <c r="AH64">
        <f>IF(OR($AE64="",$AF64=""),"",IF(ISNUMBER(Sync!$P64),MOD(Sync!$P64,100),IFERROR(VALUE(TRIM(MID(MID(Sync!$P64,FIND("/",Sync!$P64)+1,20),FIND("/",MID(Sync!$P64,FIND("/",Sync!$P64)+1,20))+1,20))),"")))</f>
        <v/>
      </c>
      <c r="AI64">
        <f>IF($AE64="","",IF(OR($AF64="",$AG64="",$AH64="",$AF64&lt;1300,$AF64&gt;1500,$AG64&lt;1,$AG64&gt;12,$AH64&lt;1,$AH64&gt;31),"نامعتبر",RIGHT("0000"&amp;$AF64,4)&amp;"/"&amp;RIGHT("00"&amp;$AG64,2)&amp;"/"&amp;RIGHT("00"&amp;$AH64,2)))</f>
        <v/>
      </c>
      <c r="AJ64">
        <f>IF($AE64="","",IF(Sync!$Q64="","0000",IF(AND(ISNUMBER(Sync!$Q64),Sync!$Q64&gt;=0,Sync!$Q64&lt;1),RIGHT("00"&amp;HOUR(Sync!$Q64),2)&amp;RIGHT("00"&amp;MINUTE(Sync!$Q64),2),IFERROR(RIGHT("00"&amp;VALUE(LEFT(Sync!$Q64,FIND(":",Sync!$Q64)-1)),2)&amp;RIGHT("00"&amp;VALUE(MID(Sync!$Q64,FIND(":",Sync!$Q64)+1,2)),2),"0000"))))</f>
        <v/>
      </c>
      <c r="AK64">
        <f>IF(OR($AE64="",$AI64="",$AI64="نامعتبر"),"",LEFT($AI64,4)&amp;MID($AI64,6,2)&amp;RIGHT($AI64,2)&amp;$AJ64&amp;"|"&amp;"3"&amp;RIGHT("00000"&amp;59,5))</f>
        <v/>
      </c>
      <c r="AL64">
        <f>IF($AK64="","",COUNTIFS(LdAParty,$AE64,LdAType,1,LdAKey,"&lt;"&amp;$AK64)+COUNTIFS(LdBMember,$AE64,LdBKey,"&lt;"&amp;$AK64)+COUNTIFS(LdCParty,$AE64,LdCKey,"&lt;"&amp;$AK64)+1)</f>
        <v/>
      </c>
      <c r="AM64">
        <f>IF($AL64="","",$AE64&amp;"|"&amp;RIGHT("000000"&amp;$AL64,6))</f>
        <v/>
      </c>
      <c r="AN64">
        <f>IF($AE64="","",IF(Sync!$W64="",0,Sync!$W64))</f>
        <v/>
      </c>
      <c r="AO64">
        <f>IF($AE64="","",IF(Sync!$X64="",0,Sync!$X64))</f>
        <v/>
      </c>
      <c r="AP64">
        <f>IF($AE64="","",Sync!$R64)</f>
        <v/>
      </c>
      <c r="AQ64">
        <f>IF($AE64="","",Sync!$Y64)</f>
        <v/>
      </c>
    </row>
    <row r="65">
      <c r="A65">
        <f>IF(OR(Wages!$B68="",Wages!$E68=""),"",Wages!$E68)</f>
        <v/>
      </c>
      <c r="B65">
        <f>IF($A65="","",IF(Wages!$C68="دستمزد گروهی",2,1))</f>
        <v/>
      </c>
      <c r="C65">
        <f>IF($A65="","",IF(ISNUMBER(Wages!$B68),IF(AND(Wages!$B68&gt;=10000101,Wages!$B68&lt;=99991231),INT(Wages!$B68/10000),""),IFERROR(VALUE(TRIM(LEFT(Wages!$B68,FIND("/",Wages!$B68)-1))),"")))</f>
        <v/>
      </c>
      <c r="D65">
        <f>IF(OR($A65="",$C65=""),"",IF(ISNUMBER(Wages!$B68),INT(MOD(Wages!$B68,10000)/100),IFERROR(VALUE(TRIM(LEFT(MID(Wages!$B68,FIND("/",Wages!$B68)+1,20),FIND("/",MID(Wages!$B68,FIND("/",Wages!$B68)+1,20))-1))),"")))</f>
        <v/>
      </c>
      <c r="E65">
        <f>IF(OR($A65="",$C65=""),"",IF(ISNUMBER(Wages!$B68),MOD(Wages!$B68,100),IFERROR(VALUE(TRIM(MID(MID(Wages!$B68,FIND("/",Wages!$B68)+1,20),FIND("/",MID(Wages!$B68,FIND("/",Wages!$B68)+1,20))+1,20))),"")))</f>
        <v/>
      </c>
      <c r="F65">
        <f>IF($A65="","",IF(OR($C65="",$D65="",$E65="",$C65&lt;1300,$C65&gt;1500,$D65&lt;1,$D65&gt;12,$E65&lt;1,$E65&gt;31),"نامعتبر",RIGHT("0000"&amp;$C65,4)&amp;"/"&amp;RIGHT("00"&amp;$D65,2)&amp;"/"&amp;RIGHT("00"&amp;$E65,2)))</f>
        <v/>
      </c>
      <c r="G65">
        <f>IF(OR($A65="",$F65="",$F65="نامعتبر"),"",LEFT($F65,4)&amp;MID($F65,6,2)&amp;RIGHT($F65,2)&amp;"0000"&amp;"|"&amp;"1"&amp;RIGHT("00000"&amp;60,5))</f>
        <v/>
      </c>
      <c r="H65">
        <f>IF(OR($B65&lt;&gt;1,$G65=""),"",COUNTIFS(LdAParty,$A65,LdAType,1,LdAKey,"&lt;"&amp;$G65)+COUNTIFS(LdBMember,$A65,LdBKey,"&lt;"&amp;$G65)+COUNTIFS(LdCParty,$A65,LdCKey,"&lt;"&amp;$G65)+1)</f>
        <v/>
      </c>
      <c r="I65">
        <f>IF($H65="","",$A65&amp;"|"&amp;RIGHT("000000"&amp;$H65,6))</f>
        <v/>
      </c>
      <c r="J65">
        <f>IF(OR($B65&lt;&gt;2,$G65=""),"",COUNTIFS(LdAParty,$A65,LdAType,2,LdAKey,"&lt;"&amp;$G65)+1)</f>
        <v/>
      </c>
      <c r="K65">
        <f>IF($J65="","",$A65&amp;"|"&amp;RIGHT("000000"&amp;$J65,6))</f>
        <v/>
      </c>
      <c r="L65">
        <f>IF($A65="","",IF(Wages!$G68="",0,Wages!$G68))</f>
        <v/>
      </c>
      <c r="M65">
        <f>IF($A65="","",Wages!$J68)</f>
        <v/>
      </c>
      <c r="N65">
        <f>IF($A65="","",Wages!$D68)</f>
        <v/>
      </c>
      <c r="P65">
        <f>IF(OR(Shares!$B68="",Shares!$C68=""),"",Shares!$C68)</f>
        <v/>
      </c>
      <c r="Q65">
        <f>IF($P65="","",Shares!$B68)</f>
        <v/>
      </c>
      <c r="R65">
        <f>IF($P65="","",IFERROR(INDEX(WageParty,MATCH($Q65,WageIds,0)),""))</f>
        <v/>
      </c>
      <c r="S65">
        <f>IF($P65="","",IFERROR(INDEX($F$6:$F$2005,MATCH($Q65,WageIds,0)),""))</f>
        <v/>
      </c>
      <c r="T65">
        <f>IF(OR($P65="",$S65="",$S65="نامعتبر"),"",LEFT($S65,4)&amp;MID($S65,6,2)&amp;RIGHT($S65,2)&amp;"0000"&amp;"|"&amp;"2"&amp;RIGHT("00000"&amp;60,5))</f>
        <v/>
      </c>
      <c r="U65">
        <f>IF($T65="","",COUNTIFS(LdAParty,$P65,LdAType,1,LdAKey,"&lt;"&amp;$T65)+COUNTIFS(LdBMember,$P65,LdBKey,"&lt;"&amp;$T65)+COUNTIFS(LdCParty,$P65,LdCKey,"&lt;"&amp;$T65)+1)</f>
        <v/>
      </c>
      <c r="V65">
        <f>IF($U65="","",$P65&amp;"|"&amp;RIGHT("000000"&amp;$U65,6))</f>
        <v/>
      </c>
      <c r="W65">
        <f>IF($T65="","",COUNTIFS(LdBGroup,$R65,LdBKey,"&lt;"&amp;$T65)+1)</f>
        <v/>
      </c>
      <c r="X65">
        <f>IF($W65="","",$R65&amp;"|"&amp;RIGHT("000000"&amp;$W65,6))</f>
        <v/>
      </c>
      <c r="Y65">
        <f>IF($P65="","",IF(Shares!$E68="",0,Shares!$E68))</f>
        <v/>
      </c>
      <c r="Z65">
        <f>IF($P65="","",Shares!$H68)</f>
        <v/>
      </c>
      <c r="AE65">
        <f>IF(OR(Sync!$S65="",Sync!$P65=""),"",Sync!$S65)</f>
        <v/>
      </c>
      <c r="AF65">
        <f>IF($AE65="","",IF(ISNUMBER(Sync!$P65),IF(AND(Sync!$P65&gt;=10000101,Sync!$P65&lt;=99991231),INT(Sync!$P65/10000),""),IFERROR(VALUE(TRIM(LEFT(Sync!$P65,FIND("/",Sync!$P65)-1))),"")))</f>
        <v/>
      </c>
      <c r="AG65">
        <f>IF(OR($AE65="",$AF65=""),"",IF(ISNUMBER(Sync!$P65),INT(MOD(Sync!$P65,10000)/100),IFERROR(VALUE(TRIM(LEFT(MID(Sync!$P65,FIND("/",Sync!$P65)+1,20),FIND("/",MID(Sync!$P65,FIND("/",Sync!$P65)+1,20))-1))),"")))</f>
        <v/>
      </c>
      <c r="AH65">
        <f>IF(OR($AE65="",$AF65=""),"",IF(ISNUMBER(Sync!$P65),MOD(Sync!$P65,100),IFERROR(VALUE(TRIM(MID(MID(Sync!$P65,FIND("/",Sync!$P65)+1,20),FIND("/",MID(Sync!$P65,FIND("/",Sync!$P65)+1,20))+1,20))),"")))</f>
        <v/>
      </c>
      <c r="AI65">
        <f>IF($AE65="","",IF(OR($AF65="",$AG65="",$AH65="",$AF65&lt;1300,$AF65&gt;1500,$AG65&lt;1,$AG65&gt;12,$AH65&lt;1,$AH65&gt;31),"نامعتبر",RIGHT("0000"&amp;$AF65,4)&amp;"/"&amp;RIGHT("00"&amp;$AG65,2)&amp;"/"&amp;RIGHT("00"&amp;$AH65,2)))</f>
        <v/>
      </c>
      <c r="AJ65">
        <f>IF($AE65="","",IF(Sync!$Q65="","0000",IF(AND(ISNUMBER(Sync!$Q65),Sync!$Q65&gt;=0,Sync!$Q65&lt;1),RIGHT("00"&amp;HOUR(Sync!$Q65),2)&amp;RIGHT("00"&amp;MINUTE(Sync!$Q65),2),IFERROR(RIGHT("00"&amp;VALUE(LEFT(Sync!$Q65,FIND(":",Sync!$Q65)-1)),2)&amp;RIGHT("00"&amp;VALUE(MID(Sync!$Q65,FIND(":",Sync!$Q65)+1,2)),2),"0000"))))</f>
        <v/>
      </c>
      <c r="AK65">
        <f>IF(OR($AE65="",$AI65="",$AI65="نامعتبر"),"",LEFT($AI65,4)&amp;MID($AI65,6,2)&amp;RIGHT($AI65,2)&amp;$AJ65&amp;"|"&amp;"3"&amp;RIGHT("00000"&amp;60,5))</f>
        <v/>
      </c>
      <c r="AL65">
        <f>IF($AK65="","",COUNTIFS(LdAParty,$AE65,LdAType,1,LdAKey,"&lt;"&amp;$AK65)+COUNTIFS(LdBMember,$AE65,LdBKey,"&lt;"&amp;$AK65)+COUNTIFS(LdCParty,$AE65,LdCKey,"&lt;"&amp;$AK65)+1)</f>
        <v/>
      </c>
      <c r="AM65">
        <f>IF($AL65="","",$AE65&amp;"|"&amp;RIGHT("000000"&amp;$AL65,6))</f>
        <v/>
      </c>
      <c r="AN65">
        <f>IF($AE65="","",IF(Sync!$W65="",0,Sync!$W65))</f>
        <v/>
      </c>
      <c r="AO65">
        <f>IF($AE65="","",IF(Sync!$X65="",0,Sync!$X65))</f>
        <v/>
      </c>
      <c r="AP65">
        <f>IF($AE65="","",Sync!$R65)</f>
        <v/>
      </c>
      <c r="AQ65">
        <f>IF($AE65="","",Sync!$Y65)</f>
        <v/>
      </c>
    </row>
    <row r="66">
      <c r="A66">
        <f>IF(OR(Wages!$B69="",Wages!$E69=""),"",Wages!$E69)</f>
        <v/>
      </c>
      <c r="B66">
        <f>IF($A66="","",IF(Wages!$C69="دستمزد گروهی",2,1))</f>
        <v/>
      </c>
      <c r="C66">
        <f>IF($A66="","",IF(ISNUMBER(Wages!$B69),IF(AND(Wages!$B69&gt;=10000101,Wages!$B69&lt;=99991231),INT(Wages!$B69/10000),""),IFERROR(VALUE(TRIM(LEFT(Wages!$B69,FIND("/",Wages!$B69)-1))),"")))</f>
        <v/>
      </c>
      <c r="D66">
        <f>IF(OR($A66="",$C66=""),"",IF(ISNUMBER(Wages!$B69),INT(MOD(Wages!$B69,10000)/100),IFERROR(VALUE(TRIM(LEFT(MID(Wages!$B69,FIND("/",Wages!$B69)+1,20),FIND("/",MID(Wages!$B69,FIND("/",Wages!$B69)+1,20))-1))),"")))</f>
        <v/>
      </c>
      <c r="E66">
        <f>IF(OR($A66="",$C66=""),"",IF(ISNUMBER(Wages!$B69),MOD(Wages!$B69,100),IFERROR(VALUE(TRIM(MID(MID(Wages!$B69,FIND("/",Wages!$B69)+1,20),FIND("/",MID(Wages!$B69,FIND("/",Wages!$B69)+1,20))+1,20))),"")))</f>
        <v/>
      </c>
      <c r="F66">
        <f>IF($A66="","",IF(OR($C66="",$D66="",$E66="",$C66&lt;1300,$C66&gt;1500,$D66&lt;1,$D66&gt;12,$E66&lt;1,$E66&gt;31),"نامعتبر",RIGHT("0000"&amp;$C66,4)&amp;"/"&amp;RIGHT("00"&amp;$D66,2)&amp;"/"&amp;RIGHT("00"&amp;$E66,2)))</f>
        <v/>
      </c>
      <c r="G66">
        <f>IF(OR($A66="",$F66="",$F66="نامعتبر"),"",LEFT($F66,4)&amp;MID($F66,6,2)&amp;RIGHT($F66,2)&amp;"0000"&amp;"|"&amp;"1"&amp;RIGHT("00000"&amp;61,5))</f>
        <v/>
      </c>
      <c r="H66">
        <f>IF(OR($B66&lt;&gt;1,$G66=""),"",COUNTIFS(LdAParty,$A66,LdAType,1,LdAKey,"&lt;"&amp;$G66)+COUNTIFS(LdBMember,$A66,LdBKey,"&lt;"&amp;$G66)+COUNTIFS(LdCParty,$A66,LdCKey,"&lt;"&amp;$G66)+1)</f>
        <v/>
      </c>
      <c r="I66">
        <f>IF($H66="","",$A66&amp;"|"&amp;RIGHT("000000"&amp;$H66,6))</f>
        <v/>
      </c>
      <c r="J66">
        <f>IF(OR($B66&lt;&gt;2,$G66=""),"",COUNTIFS(LdAParty,$A66,LdAType,2,LdAKey,"&lt;"&amp;$G66)+1)</f>
        <v/>
      </c>
      <c r="K66">
        <f>IF($J66="","",$A66&amp;"|"&amp;RIGHT("000000"&amp;$J66,6))</f>
        <v/>
      </c>
      <c r="L66">
        <f>IF($A66="","",IF(Wages!$G69="",0,Wages!$G69))</f>
        <v/>
      </c>
      <c r="M66">
        <f>IF($A66="","",Wages!$J69)</f>
        <v/>
      </c>
      <c r="N66">
        <f>IF($A66="","",Wages!$D69)</f>
        <v/>
      </c>
      <c r="P66">
        <f>IF(OR(Shares!$B69="",Shares!$C69=""),"",Shares!$C69)</f>
        <v/>
      </c>
      <c r="Q66">
        <f>IF($P66="","",Shares!$B69)</f>
        <v/>
      </c>
      <c r="R66">
        <f>IF($P66="","",IFERROR(INDEX(WageParty,MATCH($Q66,WageIds,0)),""))</f>
        <v/>
      </c>
      <c r="S66">
        <f>IF($P66="","",IFERROR(INDEX($F$6:$F$2005,MATCH($Q66,WageIds,0)),""))</f>
        <v/>
      </c>
      <c r="T66">
        <f>IF(OR($P66="",$S66="",$S66="نامعتبر"),"",LEFT($S66,4)&amp;MID($S66,6,2)&amp;RIGHT($S66,2)&amp;"0000"&amp;"|"&amp;"2"&amp;RIGHT("00000"&amp;61,5))</f>
        <v/>
      </c>
      <c r="U66">
        <f>IF($T66="","",COUNTIFS(LdAParty,$P66,LdAType,1,LdAKey,"&lt;"&amp;$T66)+COUNTIFS(LdBMember,$P66,LdBKey,"&lt;"&amp;$T66)+COUNTIFS(LdCParty,$P66,LdCKey,"&lt;"&amp;$T66)+1)</f>
        <v/>
      </c>
      <c r="V66">
        <f>IF($U66="","",$P66&amp;"|"&amp;RIGHT("000000"&amp;$U66,6))</f>
        <v/>
      </c>
      <c r="W66">
        <f>IF($T66="","",COUNTIFS(LdBGroup,$R66,LdBKey,"&lt;"&amp;$T66)+1)</f>
        <v/>
      </c>
      <c r="X66">
        <f>IF($W66="","",$R66&amp;"|"&amp;RIGHT("000000"&amp;$W66,6))</f>
        <v/>
      </c>
      <c r="Y66">
        <f>IF($P66="","",IF(Shares!$E69="",0,Shares!$E69))</f>
        <v/>
      </c>
      <c r="Z66">
        <f>IF($P66="","",Shares!$H69)</f>
        <v/>
      </c>
      <c r="AE66">
        <f>IF(OR(Sync!$S66="",Sync!$P66=""),"",Sync!$S66)</f>
        <v/>
      </c>
      <c r="AF66">
        <f>IF($AE66="","",IF(ISNUMBER(Sync!$P66),IF(AND(Sync!$P66&gt;=10000101,Sync!$P66&lt;=99991231),INT(Sync!$P66/10000),""),IFERROR(VALUE(TRIM(LEFT(Sync!$P66,FIND("/",Sync!$P66)-1))),"")))</f>
        <v/>
      </c>
      <c r="AG66">
        <f>IF(OR($AE66="",$AF66=""),"",IF(ISNUMBER(Sync!$P66),INT(MOD(Sync!$P66,10000)/100),IFERROR(VALUE(TRIM(LEFT(MID(Sync!$P66,FIND("/",Sync!$P66)+1,20),FIND("/",MID(Sync!$P66,FIND("/",Sync!$P66)+1,20))-1))),"")))</f>
        <v/>
      </c>
      <c r="AH66">
        <f>IF(OR($AE66="",$AF66=""),"",IF(ISNUMBER(Sync!$P66),MOD(Sync!$P66,100),IFERROR(VALUE(TRIM(MID(MID(Sync!$P66,FIND("/",Sync!$P66)+1,20),FIND("/",MID(Sync!$P66,FIND("/",Sync!$P66)+1,20))+1,20))),"")))</f>
        <v/>
      </c>
      <c r="AI66">
        <f>IF($AE66="","",IF(OR($AF66="",$AG66="",$AH66="",$AF66&lt;1300,$AF66&gt;1500,$AG66&lt;1,$AG66&gt;12,$AH66&lt;1,$AH66&gt;31),"نامعتبر",RIGHT("0000"&amp;$AF66,4)&amp;"/"&amp;RIGHT("00"&amp;$AG66,2)&amp;"/"&amp;RIGHT("00"&amp;$AH66,2)))</f>
        <v/>
      </c>
      <c r="AJ66">
        <f>IF($AE66="","",IF(Sync!$Q66="","0000",IF(AND(ISNUMBER(Sync!$Q66),Sync!$Q66&gt;=0,Sync!$Q66&lt;1),RIGHT("00"&amp;HOUR(Sync!$Q66),2)&amp;RIGHT("00"&amp;MINUTE(Sync!$Q66),2),IFERROR(RIGHT("00"&amp;VALUE(LEFT(Sync!$Q66,FIND(":",Sync!$Q66)-1)),2)&amp;RIGHT("00"&amp;VALUE(MID(Sync!$Q66,FIND(":",Sync!$Q66)+1,2)),2),"0000"))))</f>
        <v/>
      </c>
      <c r="AK66">
        <f>IF(OR($AE66="",$AI66="",$AI66="نامعتبر"),"",LEFT($AI66,4)&amp;MID($AI66,6,2)&amp;RIGHT($AI66,2)&amp;$AJ66&amp;"|"&amp;"3"&amp;RIGHT("00000"&amp;61,5))</f>
        <v/>
      </c>
      <c r="AL66">
        <f>IF($AK66="","",COUNTIFS(LdAParty,$AE66,LdAType,1,LdAKey,"&lt;"&amp;$AK66)+COUNTIFS(LdBMember,$AE66,LdBKey,"&lt;"&amp;$AK66)+COUNTIFS(LdCParty,$AE66,LdCKey,"&lt;"&amp;$AK66)+1)</f>
        <v/>
      </c>
      <c r="AM66">
        <f>IF($AL66="","",$AE66&amp;"|"&amp;RIGHT("000000"&amp;$AL66,6))</f>
        <v/>
      </c>
      <c r="AN66">
        <f>IF($AE66="","",IF(Sync!$W66="",0,Sync!$W66))</f>
        <v/>
      </c>
      <c r="AO66">
        <f>IF($AE66="","",IF(Sync!$X66="",0,Sync!$X66))</f>
        <v/>
      </c>
      <c r="AP66">
        <f>IF($AE66="","",Sync!$R66)</f>
        <v/>
      </c>
      <c r="AQ66">
        <f>IF($AE66="","",Sync!$Y66)</f>
        <v/>
      </c>
    </row>
    <row r="67">
      <c r="A67">
        <f>IF(OR(Wages!$B70="",Wages!$E70=""),"",Wages!$E70)</f>
        <v/>
      </c>
      <c r="B67">
        <f>IF($A67="","",IF(Wages!$C70="دستمزد گروهی",2,1))</f>
        <v/>
      </c>
      <c r="C67">
        <f>IF($A67="","",IF(ISNUMBER(Wages!$B70),IF(AND(Wages!$B70&gt;=10000101,Wages!$B70&lt;=99991231),INT(Wages!$B70/10000),""),IFERROR(VALUE(TRIM(LEFT(Wages!$B70,FIND("/",Wages!$B70)-1))),"")))</f>
        <v/>
      </c>
      <c r="D67">
        <f>IF(OR($A67="",$C67=""),"",IF(ISNUMBER(Wages!$B70),INT(MOD(Wages!$B70,10000)/100),IFERROR(VALUE(TRIM(LEFT(MID(Wages!$B70,FIND("/",Wages!$B70)+1,20),FIND("/",MID(Wages!$B70,FIND("/",Wages!$B70)+1,20))-1))),"")))</f>
        <v/>
      </c>
      <c r="E67">
        <f>IF(OR($A67="",$C67=""),"",IF(ISNUMBER(Wages!$B70),MOD(Wages!$B70,100),IFERROR(VALUE(TRIM(MID(MID(Wages!$B70,FIND("/",Wages!$B70)+1,20),FIND("/",MID(Wages!$B70,FIND("/",Wages!$B70)+1,20))+1,20))),"")))</f>
        <v/>
      </c>
      <c r="F67">
        <f>IF($A67="","",IF(OR($C67="",$D67="",$E67="",$C67&lt;1300,$C67&gt;1500,$D67&lt;1,$D67&gt;12,$E67&lt;1,$E67&gt;31),"نامعتبر",RIGHT("0000"&amp;$C67,4)&amp;"/"&amp;RIGHT("00"&amp;$D67,2)&amp;"/"&amp;RIGHT("00"&amp;$E67,2)))</f>
        <v/>
      </c>
      <c r="G67">
        <f>IF(OR($A67="",$F67="",$F67="نامعتبر"),"",LEFT($F67,4)&amp;MID($F67,6,2)&amp;RIGHT($F67,2)&amp;"0000"&amp;"|"&amp;"1"&amp;RIGHT("00000"&amp;62,5))</f>
        <v/>
      </c>
      <c r="H67">
        <f>IF(OR($B67&lt;&gt;1,$G67=""),"",COUNTIFS(LdAParty,$A67,LdAType,1,LdAKey,"&lt;"&amp;$G67)+COUNTIFS(LdBMember,$A67,LdBKey,"&lt;"&amp;$G67)+COUNTIFS(LdCParty,$A67,LdCKey,"&lt;"&amp;$G67)+1)</f>
        <v/>
      </c>
      <c r="I67">
        <f>IF($H67="","",$A67&amp;"|"&amp;RIGHT("000000"&amp;$H67,6))</f>
        <v/>
      </c>
      <c r="J67">
        <f>IF(OR($B67&lt;&gt;2,$G67=""),"",COUNTIFS(LdAParty,$A67,LdAType,2,LdAKey,"&lt;"&amp;$G67)+1)</f>
        <v/>
      </c>
      <c r="K67">
        <f>IF($J67="","",$A67&amp;"|"&amp;RIGHT("000000"&amp;$J67,6))</f>
        <v/>
      </c>
      <c r="L67">
        <f>IF($A67="","",IF(Wages!$G70="",0,Wages!$G70))</f>
        <v/>
      </c>
      <c r="M67">
        <f>IF($A67="","",Wages!$J70)</f>
        <v/>
      </c>
      <c r="N67">
        <f>IF($A67="","",Wages!$D70)</f>
        <v/>
      </c>
      <c r="P67">
        <f>IF(OR(Shares!$B70="",Shares!$C70=""),"",Shares!$C70)</f>
        <v/>
      </c>
      <c r="Q67">
        <f>IF($P67="","",Shares!$B70)</f>
        <v/>
      </c>
      <c r="R67">
        <f>IF($P67="","",IFERROR(INDEX(WageParty,MATCH($Q67,WageIds,0)),""))</f>
        <v/>
      </c>
      <c r="S67">
        <f>IF($P67="","",IFERROR(INDEX($F$6:$F$2005,MATCH($Q67,WageIds,0)),""))</f>
        <v/>
      </c>
      <c r="T67">
        <f>IF(OR($P67="",$S67="",$S67="نامعتبر"),"",LEFT($S67,4)&amp;MID($S67,6,2)&amp;RIGHT($S67,2)&amp;"0000"&amp;"|"&amp;"2"&amp;RIGHT("00000"&amp;62,5))</f>
        <v/>
      </c>
      <c r="U67">
        <f>IF($T67="","",COUNTIFS(LdAParty,$P67,LdAType,1,LdAKey,"&lt;"&amp;$T67)+COUNTIFS(LdBMember,$P67,LdBKey,"&lt;"&amp;$T67)+COUNTIFS(LdCParty,$P67,LdCKey,"&lt;"&amp;$T67)+1)</f>
        <v/>
      </c>
      <c r="V67">
        <f>IF($U67="","",$P67&amp;"|"&amp;RIGHT("000000"&amp;$U67,6))</f>
        <v/>
      </c>
      <c r="W67">
        <f>IF($T67="","",COUNTIFS(LdBGroup,$R67,LdBKey,"&lt;"&amp;$T67)+1)</f>
        <v/>
      </c>
      <c r="X67">
        <f>IF($W67="","",$R67&amp;"|"&amp;RIGHT("000000"&amp;$W67,6))</f>
        <v/>
      </c>
      <c r="Y67">
        <f>IF($P67="","",IF(Shares!$E70="",0,Shares!$E70))</f>
        <v/>
      </c>
      <c r="Z67">
        <f>IF($P67="","",Shares!$H70)</f>
        <v/>
      </c>
      <c r="AE67">
        <f>IF(OR(Sync!$S67="",Sync!$P67=""),"",Sync!$S67)</f>
        <v/>
      </c>
      <c r="AF67">
        <f>IF($AE67="","",IF(ISNUMBER(Sync!$P67),IF(AND(Sync!$P67&gt;=10000101,Sync!$P67&lt;=99991231),INT(Sync!$P67/10000),""),IFERROR(VALUE(TRIM(LEFT(Sync!$P67,FIND("/",Sync!$P67)-1))),"")))</f>
        <v/>
      </c>
      <c r="AG67">
        <f>IF(OR($AE67="",$AF67=""),"",IF(ISNUMBER(Sync!$P67),INT(MOD(Sync!$P67,10000)/100),IFERROR(VALUE(TRIM(LEFT(MID(Sync!$P67,FIND("/",Sync!$P67)+1,20),FIND("/",MID(Sync!$P67,FIND("/",Sync!$P67)+1,20))-1))),"")))</f>
        <v/>
      </c>
      <c r="AH67">
        <f>IF(OR($AE67="",$AF67=""),"",IF(ISNUMBER(Sync!$P67),MOD(Sync!$P67,100),IFERROR(VALUE(TRIM(MID(MID(Sync!$P67,FIND("/",Sync!$P67)+1,20),FIND("/",MID(Sync!$P67,FIND("/",Sync!$P67)+1,20))+1,20))),"")))</f>
        <v/>
      </c>
      <c r="AI67">
        <f>IF($AE67="","",IF(OR($AF67="",$AG67="",$AH67="",$AF67&lt;1300,$AF67&gt;1500,$AG67&lt;1,$AG67&gt;12,$AH67&lt;1,$AH67&gt;31),"نامعتبر",RIGHT("0000"&amp;$AF67,4)&amp;"/"&amp;RIGHT("00"&amp;$AG67,2)&amp;"/"&amp;RIGHT("00"&amp;$AH67,2)))</f>
        <v/>
      </c>
      <c r="AJ67">
        <f>IF($AE67="","",IF(Sync!$Q67="","0000",IF(AND(ISNUMBER(Sync!$Q67),Sync!$Q67&gt;=0,Sync!$Q67&lt;1),RIGHT("00"&amp;HOUR(Sync!$Q67),2)&amp;RIGHT("00"&amp;MINUTE(Sync!$Q67),2),IFERROR(RIGHT("00"&amp;VALUE(LEFT(Sync!$Q67,FIND(":",Sync!$Q67)-1)),2)&amp;RIGHT("00"&amp;VALUE(MID(Sync!$Q67,FIND(":",Sync!$Q67)+1,2)),2),"0000"))))</f>
        <v/>
      </c>
      <c r="AK67">
        <f>IF(OR($AE67="",$AI67="",$AI67="نامعتبر"),"",LEFT($AI67,4)&amp;MID($AI67,6,2)&amp;RIGHT($AI67,2)&amp;$AJ67&amp;"|"&amp;"3"&amp;RIGHT("00000"&amp;62,5))</f>
        <v/>
      </c>
      <c r="AL67">
        <f>IF($AK67="","",COUNTIFS(LdAParty,$AE67,LdAType,1,LdAKey,"&lt;"&amp;$AK67)+COUNTIFS(LdBMember,$AE67,LdBKey,"&lt;"&amp;$AK67)+COUNTIFS(LdCParty,$AE67,LdCKey,"&lt;"&amp;$AK67)+1)</f>
        <v/>
      </c>
      <c r="AM67">
        <f>IF($AL67="","",$AE67&amp;"|"&amp;RIGHT("000000"&amp;$AL67,6))</f>
        <v/>
      </c>
      <c r="AN67">
        <f>IF($AE67="","",IF(Sync!$W67="",0,Sync!$W67))</f>
        <v/>
      </c>
      <c r="AO67">
        <f>IF($AE67="","",IF(Sync!$X67="",0,Sync!$X67))</f>
        <v/>
      </c>
      <c r="AP67">
        <f>IF($AE67="","",Sync!$R67)</f>
        <v/>
      </c>
      <c r="AQ67">
        <f>IF($AE67="","",Sync!$Y67)</f>
        <v/>
      </c>
    </row>
    <row r="68">
      <c r="A68">
        <f>IF(OR(Wages!$B71="",Wages!$E71=""),"",Wages!$E71)</f>
        <v/>
      </c>
      <c r="B68">
        <f>IF($A68="","",IF(Wages!$C71="دستمزد گروهی",2,1))</f>
        <v/>
      </c>
      <c r="C68">
        <f>IF($A68="","",IF(ISNUMBER(Wages!$B71),IF(AND(Wages!$B71&gt;=10000101,Wages!$B71&lt;=99991231),INT(Wages!$B71/10000),""),IFERROR(VALUE(TRIM(LEFT(Wages!$B71,FIND("/",Wages!$B71)-1))),"")))</f>
        <v/>
      </c>
      <c r="D68">
        <f>IF(OR($A68="",$C68=""),"",IF(ISNUMBER(Wages!$B71),INT(MOD(Wages!$B71,10000)/100),IFERROR(VALUE(TRIM(LEFT(MID(Wages!$B71,FIND("/",Wages!$B71)+1,20),FIND("/",MID(Wages!$B71,FIND("/",Wages!$B71)+1,20))-1))),"")))</f>
        <v/>
      </c>
      <c r="E68">
        <f>IF(OR($A68="",$C68=""),"",IF(ISNUMBER(Wages!$B71),MOD(Wages!$B71,100),IFERROR(VALUE(TRIM(MID(MID(Wages!$B71,FIND("/",Wages!$B71)+1,20),FIND("/",MID(Wages!$B71,FIND("/",Wages!$B71)+1,20))+1,20))),"")))</f>
        <v/>
      </c>
      <c r="F68">
        <f>IF($A68="","",IF(OR($C68="",$D68="",$E68="",$C68&lt;1300,$C68&gt;1500,$D68&lt;1,$D68&gt;12,$E68&lt;1,$E68&gt;31),"نامعتبر",RIGHT("0000"&amp;$C68,4)&amp;"/"&amp;RIGHT("00"&amp;$D68,2)&amp;"/"&amp;RIGHT("00"&amp;$E68,2)))</f>
        <v/>
      </c>
      <c r="G68">
        <f>IF(OR($A68="",$F68="",$F68="نامعتبر"),"",LEFT($F68,4)&amp;MID($F68,6,2)&amp;RIGHT($F68,2)&amp;"0000"&amp;"|"&amp;"1"&amp;RIGHT("00000"&amp;63,5))</f>
        <v/>
      </c>
      <c r="H68">
        <f>IF(OR($B68&lt;&gt;1,$G68=""),"",COUNTIFS(LdAParty,$A68,LdAType,1,LdAKey,"&lt;"&amp;$G68)+COUNTIFS(LdBMember,$A68,LdBKey,"&lt;"&amp;$G68)+COUNTIFS(LdCParty,$A68,LdCKey,"&lt;"&amp;$G68)+1)</f>
        <v/>
      </c>
      <c r="I68">
        <f>IF($H68="","",$A68&amp;"|"&amp;RIGHT("000000"&amp;$H68,6))</f>
        <v/>
      </c>
      <c r="J68">
        <f>IF(OR($B68&lt;&gt;2,$G68=""),"",COUNTIFS(LdAParty,$A68,LdAType,2,LdAKey,"&lt;"&amp;$G68)+1)</f>
        <v/>
      </c>
      <c r="K68">
        <f>IF($J68="","",$A68&amp;"|"&amp;RIGHT("000000"&amp;$J68,6))</f>
        <v/>
      </c>
      <c r="L68">
        <f>IF($A68="","",IF(Wages!$G71="",0,Wages!$G71))</f>
        <v/>
      </c>
      <c r="M68">
        <f>IF($A68="","",Wages!$J71)</f>
        <v/>
      </c>
      <c r="N68">
        <f>IF($A68="","",Wages!$D71)</f>
        <v/>
      </c>
      <c r="P68">
        <f>IF(OR(Shares!$B71="",Shares!$C71=""),"",Shares!$C71)</f>
        <v/>
      </c>
      <c r="Q68">
        <f>IF($P68="","",Shares!$B71)</f>
        <v/>
      </c>
      <c r="R68">
        <f>IF($P68="","",IFERROR(INDEX(WageParty,MATCH($Q68,WageIds,0)),""))</f>
        <v/>
      </c>
      <c r="S68">
        <f>IF($P68="","",IFERROR(INDEX($F$6:$F$2005,MATCH($Q68,WageIds,0)),""))</f>
        <v/>
      </c>
      <c r="T68">
        <f>IF(OR($P68="",$S68="",$S68="نامعتبر"),"",LEFT($S68,4)&amp;MID($S68,6,2)&amp;RIGHT($S68,2)&amp;"0000"&amp;"|"&amp;"2"&amp;RIGHT("00000"&amp;63,5))</f>
        <v/>
      </c>
      <c r="U68">
        <f>IF($T68="","",COUNTIFS(LdAParty,$P68,LdAType,1,LdAKey,"&lt;"&amp;$T68)+COUNTIFS(LdBMember,$P68,LdBKey,"&lt;"&amp;$T68)+COUNTIFS(LdCParty,$P68,LdCKey,"&lt;"&amp;$T68)+1)</f>
        <v/>
      </c>
      <c r="V68">
        <f>IF($U68="","",$P68&amp;"|"&amp;RIGHT("000000"&amp;$U68,6))</f>
        <v/>
      </c>
      <c r="W68">
        <f>IF($T68="","",COUNTIFS(LdBGroup,$R68,LdBKey,"&lt;"&amp;$T68)+1)</f>
        <v/>
      </c>
      <c r="X68">
        <f>IF($W68="","",$R68&amp;"|"&amp;RIGHT("000000"&amp;$W68,6))</f>
        <v/>
      </c>
      <c r="Y68">
        <f>IF($P68="","",IF(Shares!$E71="",0,Shares!$E71))</f>
        <v/>
      </c>
      <c r="Z68">
        <f>IF($P68="","",Shares!$H71)</f>
        <v/>
      </c>
      <c r="AE68">
        <f>IF(OR(Sync!$S68="",Sync!$P68=""),"",Sync!$S68)</f>
        <v/>
      </c>
      <c r="AF68">
        <f>IF($AE68="","",IF(ISNUMBER(Sync!$P68),IF(AND(Sync!$P68&gt;=10000101,Sync!$P68&lt;=99991231),INT(Sync!$P68/10000),""),IFERROR(VALUE(TRIM(LEFT(Sync!$P68,FIND("/",Sync!$P68)-1))),"")))</f>
        <v/>
      </c>
      <c r="AG68">
        <f>IF(OR($AE68="",$AF68=""),"",IF(ISNUMBER(Sync!$P68),INT(MOD(Sync!$P68,10000)/100),IFERROR(VALUE(TRIM(LEFT(MID(Sync!$P68,FIND("/",Sync!$P68)+1,20),FIND("/",MID(Sync!$P68,FIND("/",Sync!$P68)+1,20))-1))),"")))</f>
        <v/>
      </c>
      <c r="AH68">
        <f>IF(OR($AE68="",$AF68=""),"",IF(ISNUMBER(Sync!$P68),MOD(Sync!$P68,100),IFERROR(VALUE(TRIM(MID(MID(Sync!$P68,FIND("/",Sync!$P68)+1,20),FIND("/",MID(Sync!$P68,FIND("/",Sync!$P68)+1,20))+1,20))),"")))</f>
        <v/>
      </c>
      <c r="AI68">
        <f>IF($AE68="","",IF(OR($AF68="",$AG68="",$AH68="",$AF68&lt;1300,$AF68&gt;1500,$AG68&lt;1,$AG68&gt;12,$AH68&lt;1,$AH68&gt;31),"نامعتبر",RIGHT("0000"&amp;$AF68,4)&amp;"/"&amp;RIGHT("00"&amp;$AG68,2)&amp;"/"&amp;RIGHT("00"&amp;$AH68,2)))</f>
        <v/>
      </c>
      <c r="AJ68">
        <f>IF($AE68="","",IF(Sync!$Q68="","0000",IF(AND(ISNUMBER(Sync!$Q68),Sync!$Q68&gt;=0,Sync!$Q68&lt;1),RIGHT("00"&amp;HOUR(Sync!$Q68),2)&amp;RIGHT("00"&amp;MINUTE(Sync!$Q68),2),IFERROR(RIGHT("00"&amp;VALUE(LEFT(Sync!$Q68,FIND(":",Sync!$Q68)-1)),2)&amp;RIGHT("00"&amp;VALUE(MID(Sync!$Q68,FIND(":",Sync!$Q68)+1,2)),2),"0000"))))</f>
        <v/>
      </c>
      <c r="AK68">
        <f>IF(OR($AE68="",$AI68="",$AI68="نامعتبر"),"",LEFT($AI68,4)&amp;MID($AI68,6,2)&amp;RIGHT($AI68,2)&amp;$AJ68&amp;"|"&amp;"3"&amp;RIGHT("00000"&amp;63,5))</f>
        <v/>
      </c>
      <c r="AL68">
        <f>IF($AK68="","",COUNTIFS(LdAParty,$AE68,LdAType,1,LdAKey,"&lt;"&amp;$AK68)+COUNTIFS(LdBMember,$AE68,LdBKey,"&lt;"&amp;$AK68)+COUNTIFS(LdCParty,$AE68,LdCKey,"&lt;"&amp;$AK68)+1)</f>
        <v/>
      </c>
      <c r="AM68">
        <f>IF($AL68="","",$AE68&amp;"|"&amp;RIGHT("000000"&amp;$AL68,6))</f>
        <v/>
      </c>
      <c r="AN68">
        <f>IF($AE68="","",IF(Sync!$W68="",0,Sync!$W68))</f>
        <v/>
      </c>
      <c r="AO68">
        <f>IF($AE68="","",IF(Sync!$X68="",0,Sync!$X68))</f>
        <v/>
      </c>
      <c r="AP68">
        <f>IF($AE68="","",Sync!$R68)</f>
        <v/>
      </c>
      <c r="AQ68">
        <f>IF($AE68="","",Sync!$Y68)</f>
        <v/>
      </c>
    </row>
    <row r="69">
      <c r="A69">
        <f>IF(OR(Wages!$B72="",Wages!$E72=""),"",Wages!$E72)</f>
        <v/>
      </c>
      <c r="B69">
        <f>IF($A69="","",IF(Wages!$C72="دستمزد گروهی",2,1))</f>
        <v/>
      </c>
      <c r="C69">
        <f>IF($A69="","",IF(ISNUMBER(Wages!$B72),IF(AND(Wages!$B72&gt;=10000101,Wages!$B72&lt;=99991231),INT(Wages!$B72/10000),""),IFERROR(VALUE(TRIM(LEFT(Wages!$B72,FIND("/",Wages!$B72)-1))),"")))</f>
        <v/>
      </c>
      <c r="D69">
        <f>IF(OR($A69="",$C69=""),"",IF(ISNUMBER(Wages!$B72),INT(MOD(Wages!$B72,10000)/100),IFERROR(VALUE(TRIM(LEFT(MID(Wages!$B72,FIND("/",Wages!$B72)+1,20),FIND("/",MID(Wages!$B72,FIND("/",Wages!$B72)+1,20))-1))),"")))</f>
        <v/>
      </c>
      <c r="E69">
        <f>IF(OR($A69="",$C69=""),"",IF(ISNUMBER(Wages!$B72),MOD(Wages!$B72,100),IFERROR(VALUE(TRIM(MID(MID(Wages!$B72,FIND("/",Wages!$B72)+1,20),FIND("/",MID(Wages!$B72,FIND("/",Wages!$B72)+1,20))+1,20))),"")))</f>
        <v/>
      </c>
      <c r="F69">
        <f>IF($A69="","",IF(OR($C69="",$D69="",$E69="",$C69&lt;1300,$C69&gt;1500,$D69&lt;1,$D69&gt;12,$E69&lt;1,$E69&gt;31),"نامعتبر",RIGHT("0000"&amp;$C69,4)&amp;"/"&amp;RIGHT("00"&amp;$D69,2)&amp;"/"&amp;RIGHT("00"&amp;$E69,2)))</f>
        <v/>
      </c>
      <c r="G69">
        <f>IF(OR($A69="",$F69="",$F69="نامعتبر"),"",LEFT($F69,4)&amp;MID($F69,6,2)&amp;RIGHT($F69,2)&amp;"0000"&amp;"|"&amp;"1"&amp;RIGHT("00000"&amp;64,5))</f>
        <v/>
      </c>
      <c r="H69">
        <f>IF(OR($B69&lt;&gt;1,$G69=""),"",COUNTIFS(LdAParty,$A69,LdAType,1,LdAKey,"&lt;"&amp;$G69)+COUNTIFS(LdBMember,$A69,LdBKey,"&lt;"&amp;$G69)+COUNTIFS(LdCParty,$A69,LdCKey,"&lt;"&amp;$G69)+1)</f>
        <v/>
      </c>
      <c r="I69">
        <f>IF($H69="","",$A69&amp;"|"&amp;RIGHT("000000"&amp;$H69,6))</f>
        <v/>
      </c>
      <c r="J69">
        <f>IF(OR($B69&lt;&gt;2,$G69=""),"",COUNTIFS(LdAParty,$A69,LdAType,2,LdAKey,"&lt;"&amp;$G69)+1)</f>
        <v/>
      </c>
      <c r="K69">
        <f>IF($J69="","",$A69&amp;"|"&amp;RIGHT("000000"&amp;$J69,6))</f>
        <v/>
      </c>
      <c r="L69">
        <f>IF($A69="","",IF(Wages!$G72="",0,Wages!$G72))</f>
        <v/>
      </c>
      <c r="M69">
        <f>IF($A69="","",Wages!$J72)</f>
        <v/>
      </c>
      <c r="N69">
        <f>IF($A69="","",Wages!$D72)</f>
        <v/>
      </c>
      <c r="P69">
        <f>IF(OR(Shares!$B72="",Shares!$C72=""),"",Shares!$C72)</f>
        <v/>
      </c>
      <c r="Q69">
        <f>IF($P69="","",Shares!$B72)</f>
        <v/>
      </c>
      <c r="R69">
        <f>IF($P69="","",IFERROR(INDEX(WageParty,MATCH($Q69,WageIds,0)),""))</f>
        <v/>
      </c>
      <c r="S69">
        <f>IF($P69="","",IFERROR(INDEX($F$6:$F$2005,MATCH($Q69,WageIds,0)),""))</f>
        <v/>
      </c>
      <c r="T69">
        <f>IF(OR($P69="",$S69="",$S69="نامعتبر"),"",LEFT($S69,4)&amp;MID($S69,6,2)&amp;RIGHT($S69,2)&amp;"0000"&amp;"|"&amp;"2"&amp;RIGHT("00000"&amp;64,5))</f>
        <v/>
      </c>
      <c r="U69">
        <f>IF($T69="","",COUNTIFS(LdAParty,$P69,LdAType,1,LdAKey,"&lt;"&amp;$T69)+COUNTIFS(LdBMember,$P69,LdBKey,"&lt;"&amp;$T69)+COUNTIFS(LdCParty,$P69,LdCKey,"&lt;"&amp;$T69)+1)</f>
        <v/>
      </c>
      <c r="V69">
        <f>IF($U69="","",$P69&amp;"|"&amp;RIGHT("000000"&amp;$U69,6))</f>
        <v/>
      </c>
      <c r="W69">
        <f>IF($T69="","",COUNTIFS(LdBGroup,$R69,LdBKey,"&lt;"&amp;$T69)+1)</f>
        <v/>
      </c>
      <c r="X69">
        <f>IF($W69="","",$R69&amp;"|"&amp;RIGHT("000000"&amp;$W69,6))</f>
        <v/>
      </c>
      <c r="Y69">
        <f>IF($P69="","",IF(Shares!$E72="",0,Shares!$E72))</f>
        <v/>
      </c>
      <c r="Z69">
        <f>IF($P69="","",Shares!$H72)</f>
        <v/>
      </c>
      <c r="AE69">
        <f>IF(OR(Sync!$S69="",Sync!$P69=""),"",Sync!$S69)</f>
        <v/>
      </c>
      <c r="AF69">
        <f>IF($AE69="","",IF(ISNUMBER(Sync!$P69),IF(AND(Sync!$P69&gt;=10000101,Sync!$P69&lt;=99991231),INT(Sync!$P69/10000),""),IFERROR(VALUE(TRIM(LEFT(Sync!$P69,FIND("/",Sync!$P69)-1))),"")))</f>
        <v/>
      </c>
      <c r="AG69">
        <f>IF(OR($AE69="",$AF69=""),"",IF(ISNUMBER(Sync!$P69),INT(MOD(Sync!$P69,10000)/100),IFERROR(VALUE(TRIM(LEFT(MID(Sync!$P69,FIND("/",Sync!$P69)+1,20),FIND("/",MID(Sync!$P69,FIND("/",Sync!$P69)+1,20))-1))),"")))</f>
        <v/>
      </c>
      <c r="AH69">
        <f>IF(OR($AE69="",$AF69=""),"",IF(ISNUMBER(Sync!$P69),MOD(Sync!$P69,100),IFERROR(VALUE(TRIM(MID(MID(Sync!$P69,FIND("/",Sync!$P69)+1,20),FIND("/",MID(Sync!$P69,FIND("/",Sync!$P69)+1,20))+1,20))),"")))</f>
        <v/>
      </c>
      <c r="AI69">
        <f>IF($AE69="","",IF(OR($AF69="",$AG69="",$AH69="",$AF69&lt;1300,$AF69&gt;1500,$AG69&lt;1,$AG69&gt;12,$AH69&lt;1,$AH69&gt;31),"نامعتبر",RIGHT("0000"&amp;$AF69,4)&amp;"/"&amp;RIGHT("00"&amp;$AG69,2)&amp;"/"&amp;RIGHT("00"&amp;$AH69,2)))</f>
        <v/>
      </c>
      <c r="AJ69">
        <f>IF($AE69="","",IF(Sync!$Q69="","0000",IF(AND(ISNUMBER(Sync!$Q69),Sync!$Q69&gt;=0,Sync!$Q69&lt;1),RIGHT("00"&amp;HOUR(Sync!$Q69),2)&amp;RIGHT("00"&amp;MINUTE(Sync!$Q69),2),IFERROR(RIGHT("00"&amp;VALUE(LEFT(Sync!$Q69,FIND(":",Sync!$Q69)-1)),2)&amp;RIGHT("00"&amp;VALUE(MID(Sync!$Q69,FIND(":",Sync!$Q69)+1,2)),2),"0000"))))</f>
        <v/>
      </c>
      <c r="AK69">
        <f>IF(OR($AE69="",$AI69="",$AI69="نامعتبر"),"",LEFT($AI69,4)&amp;MID($AI69,6,2)&amp;RIGHT($AI69,2)&amp;$AJ69&amp;"|"&amp;"3"&amp;RIGHT("00000"&amp;64,5))</f>
        <v/>
      </c>
      <c r="AL69">
        <f>IF($AK69="","",COUNTIFS(LdAParty,$AE69,LdAType,1,LdAKey,"&lt;"&amp;$AK69)+COUNTIFS(LdBMember,$AE69,LdBKey,"&lt;"&amp;$AK69)+COUNTIFS(LdCParty,$AE69,LdCKey,"&lt;"&amp;$AK69)+1)</f>
        <v/>
      </c>
      <c r="AM69">
        <f>IF($AL69="","",$AE69&amp;"|"&amp;RIGHT("000000"&amp;$AL69,6))</f>
        <v/>
      </c>
      <c r="AN69">
        <f>IF($AE69="","",IF(Sync!$W69="",0,Sync!$W69))</f>
        <v/>
      </c>
      <c r="AO69">
        <f>IF($AE69="","",IF(Sync!$X69="",0,Sync!$X69))</f>
        <v/>
      </c>
      <c r="AP69">
        <f>IF($AE69="","",Sync!$R69)</f>
        <v/>
      </c>
      <c r="AQ69">
        <f>IF($AE69="","",Sync!$Y69)</f>
        <v/>
      </c>
    </row>
    <row r="70">
      <c r="A70">
        <f>IF(OR(Wages!$B73="",Wages!$E73=""),"",Wages!$E73)</f>
        <v/>
      </c>
      <c r="B70">
        <f>IF($A70="","",IF(Wages!$C73="دستمزد گروهی",2,1))</f>
        <v/>
      </c>
      <c r="C70">
        <f>IF($A70="","",IF(ISNUMBER(Wages!$B73),IF(AND(Wages!$B73&gt;=10000101,Wages!$B73&lt;=99991231),INT(Wages!$B73/10000),""),IFERROR(VALUE(TRIM(LEFT(Wages!$B73,FIND("/",Wages!$B73)-1))),"")))</f>
        <v/>
      </c>
      <c r="D70">
        <f>IF(OR($A70="",$C70=""),"",IF(ISNUMBER(Wages!$B73),INT(MOD(Wages!$B73,10000)/100),IFERROR(VALUE(TRIM(LEFT(MID(Wages!$B73,FIND("/",Wages!$B73)+1,20),FIND("/",MID(Wages!$B73,FIND("/",Wages!$B73)+1,20))-1))),"")))</f>
        <v/>
      </c>
      <c r="E70">
        <f>IF(OR($A70="",$C70=""),"",IF(ISNUMBER(Wages!$B73),MOD(Wages!$B73,100),IFERROR(VALUE(TRIM(MID(MID(Wages!$B73,FIND("/",Wages!$B73)+1,20),FIND("/",MID(Wages!$B73,FIND("/",Wages!$B73)+1,20))+1,20))),"")))</f>
        <v/>
      </c>
      <c r="F70">
        <f>IF($A70="","",IF(OR($C70="",$D70="",$E70="",$C70&lt;1300,$C70&gt;1500,$D70&lt;1,$D70&gt;12,$E70&lt;1,$E70&gt;31),"نامعتبر",RIGHT("0000"&amp;$C70,4)&amp;"/"&amp;RIGHT("00"&amp;$D70,2)&amp;"/"&amp;RIGHT("00"&amp;$E70,2)))</f>
        <v/>
      </c>
      <c r="G70">
        <f>IF(OR($A70="",$F70="",$F70="نامعتبر"),"",LEFT($F70,4)&amp;MID($F70,6,2)&amp;RIGHT($F70,2)&amp;"0000"&amp;"|"&amp;"1"&amp;RIGHT("00000"&amp;65,5))</f>
        <v/>
      </c>
      <c r="H70">
        <f>IF(OR($B70&lt;&gt;1,$G70=""),"",COUNTIFS(LdAParty,$A70,LdAType,1,LdAKey,"&lt;"&amp;$G70)+COUNTIFS(LdBMember,$A70,LdBKey,"&lt;"&amp;$G70)+COUNTIFS(LdCParty,$A70,LdCKey,"&lt;"&amp;$G70)+1)</f>
        <v/>
      </c>
      <c r="I70">
        <f>IF($H70="","",$A70&amp;"|"&amp;RIGHT("000000"&amp;$H70,6))</f>
        <v/>
      </c>
      <c r="J70">
        <f>IF(OR($B70&lt;&gt;2,$G70=""),"",COUNTIFS(LdAParty,$A70,LdAType,2,LdAKey,"&lt;"&amp;$G70)+1)</f>
        <v/>
      </c>
      <c r="K70">
        <f>IF($J70="","",$A70&amp;"|"&amp;RIGHT("000000"&amp;$J70,6))</f>
        <v/>
      </c>
      <c r="L70">
        <f>IF($A70="","",IF(Wages!$G73="",0,Wages!$G73))</f>
        <v/>
      </c>
      <c r="M70">
        <f>IF($A70="","",Wages!$J73)</f>
        <v/>
      </c>
      <c r="N70">
        <f>IF($A70="","",Wages!$D73)</f>
        <v/>
      </c>
      <c r="P70">
        <f>IF(OR(Shares!$B73="",Shares!$C73=""),"",Shares!$C73)</f>
        <v/>
      </c>
      <c r="Q70">
        <f>IF($P70="","",Shares!$B73)</f>
        <v/>
      </c>
      <c r="R70">
        <f>IF($P70="","",IFERROR(INDEX(WageParty,MATCH($Q70,WageIds,0)),""))</f>
        <v/>
      </c>
      <c r="S70">
        <f>IF($P70="","",IFERROR(INDEX($F$6:$F$2005,MATCH($Q70,WageIds,0)),""))</f>
        <v/>
      </c>
      <c r="T70">
        <f>IF(OR($P70="",$S70="",$S70="نامعتبر"),"",LEFT($S70,4)&amp;MID($S70,6,2)&amp;RIGHT($S70,2)&amp;"0000"&amp;"|"&amp;"2"&amp;RIGHT("00000"&amp;65,5))</f>
        <v/>
      </c>
      <c r="U70">
        <f>IF($T70="","",COUNTIFS(LdAParty,$P70,LdAType,1,LdAKey,"&lt;"&amp;$T70)+COUNTIFS(LdBMember,$P70,LdBKey,"&lt;"&amp;$T70)+COUNTIFS(LdCParty,$P70,LdCKey,"&lt;"&amp;$T70)+1)</f>
        <v/>
      </c>
      <c r="V70">
        <f>IF($U70="","",$P70&amp;"|"&amp;RIGHT("000000"&amp;$U70,6))</f>
        <v/>
      </c>
      <c r="W70">
        <f>IF($T70="","",COUNTIFS(LdBGroup,$R70,LdBKey,"&lt;"&amp;$T70)+1)</f>
        <v/>
      </c>
      <c r="X70">
        <f>IF($W70="","",$R70&amp;"|"&amp;RIGHT("000000"&amp;$W70,6))</f>
        <v/>
      </c>
      <c r="Y70">
        <f>IF($P70="","",IF(Shares!$E73="",0,Shares!$E73))</f>
        <v/>
      </c>
      <c r="Z70">
        <f>IF($P70="","",Shares!$H73)</f>
        <v/>
      </c>
      <c r="AE70">
        <f>IF(OR(Sync!$S70="",Sync!$P70=""),"",Sync!$S70)</f>
        <v/>
      </c>
      <c r="AF70">
        <f>IF($AE70="","",IF(ISNUMBER(Sync!$P70),IF(AND(Sync!$P70&gt;=10000101,Sync!$P70&lt;=99991231),INT(Sync!$P70/10000),""),IFERROR(VALUE(TRIM(LEFT(Sync!$P70,FIND("/",Sync!$P70)-1))),"")))</f>
        <v/>
      </c>
      <c r="AG70">
        <f>IF(OR($AE70="",$AF70=""),"",IF(ISNUMBER(Sync!$P70),INT(MOD(Sync!$P70,10000)/100),IFERROR(VALUE(TRIM(LEFT(MID(Sync!$P70,FIND("/",Sync!$P70)+1,20),FIND("/",MID(Sync!$P70,FIND("/",Sync!$P70)+1,20))-1))),"")))</f>
        <v/>
      </c>
      <c r="AH70">
        <f>IF(OR($AE70="",$AF70=""),"",IF(ISNUMBER(Sync!$P70),MOD(Sync!$P70,100),IFERROR(VALUE(TRIM(MID(MID(Sync!$P70,FIND("/",Sync!$P70)+1,20),FIND("/",MID(Sync!$P70,FIND("/",Sync!$P70)+1,20))+1,20))),"")))</f>
        <v/>
      </c>
      <c r="AI70">
        <f>IF($AE70="","",IF(OR($AF70="",$AG70="",$AH70="",$AF70&lt;1300,$AF70&gt;1500,$AG70&lt;1,$AG70&gt;12,$AH70&lt;1,$AH70&gt;31),"نامعتبر",RIGHT("0000"&amp;$AF70,4)&amp;"/"&amp;RIGHT("00"&amp;$AG70,2)&amp;"/"&amp;RIGHT("00"&amp;$AH70,2)))</f>
        <v/>
      </c>
      <c r="AJ70">
        <f>IF($AE70="","",IF(Sync!$Q70="","0000",IF(AND(ISNUMBER(Sync!$Q70),Sync!$Q70&gt;=0,Sync!$Q70&lt;1),RIGHT("00"&amp;HOUR(Sync!$Q70),2)&amp;RIGHT("00"&amp;MINUTE(Sync!$Q70),2),IFERROR(RIGHT("00"&amp;VALUE(LEFT(Sync!$Q70,FIND(":",Sync!$Q70)-1)),2)&amp;RIGHT("00"&amp;VALUE(MID(Sync!$Q70,FIND(":",Sync!$Q70)+1,2)),2),"0000"))))</f>
        <v/>
      </c>
      <c r="AK70">
        <f>IF(OR($AE70="",$AI70="",$AI70="نامعتبر"),"",LEFT($AI70,4)&amp;MID($AI70,6,2)&amp;RIGHT($AI70,2)&amp;$AJ70&amp;"|"&amp;"3"&amp;RIGHT("00000"&amp;65,5))</f>
        <v/>
      </c>
      <c r="AL70">
        <f>IF($AK70="","",COUNTIFS(LdAParty,$AE70,LdAType,1,LdAKey,"&lt;"&amp;$AK70)+COUNTIFS(LdBMember,$AE70,LdBKey,"&lt;"&amp;$AK70)+COUNTIFS(LdCParty,$AE70,LdCKey,"&lt;"&amp;$AK70)+1)</f>
        <v/>
      </c>
      <c r="AM70">
        <f>IF($AL70="","",$AE70&amp;"|"&amp;RIGHT("000000"&amp;$AL70,6))</f>
        <v/>
      </c>
      <c r="AN70">
        <f>IF($AE70="","",IF(Sync!$W70="",0,Sync!$W70))</f>
        <v/>
      </c>
      <c r="AO70">
        <f>IF($AE70="","",IF(Sync!$X70="",0,Sync!$X70))</f>
        <v/>
      </c>
      <c r="AP70">
        <f>IF($AE70="","",Sync!$R70)</f>
        <v/>
      </c>
      <c r="AQ70">
        <f>IF($AE70="","",Sync!$Y70)</f>
        <v/>
      </c>
    </row>
    <row r="71">
      <c r="A71">
        <f>IF(OR(Wages!$B74="",Wages!$E74=""),"",Wages!$E74)</f>
        <v/>
      </c>
      <c r="B71">
        <f>IF($A71="","",IF(Wages!$C74="دستمزد گروهی",2,1))</f>
        <v/>
      </c>
      <c r="C71">
        <f>IF($A71="","",IF(ISNUMBER(Wages!$B74),IF(AND(Wages!$B74&gt;=10000101,Wages!$B74&lt;=99991231),INT(Wages!$B74/10000),""),IFERROR(VALUE(TRIM(LEFT(Wages!$B74,FIND("/",Wages!$B74)-1))),"")))</f>
        <v/>
      </c>
      <c r="D71">
        <f>IF(OR($A71="",$C71=""),"",IF(ISNUMBER(Wages!$B74),INT(MOD(Wages!$B74,10000)/100),IFERROR(VALUE(TRIM(LEFT(MID(Wages!$B74,FIND("/",Wages!$B74)+1,20),FIND("/",MID(Wages!$B74,FIND("/",Wages!$B74)+1,20))-1))),"")))</f>
        <v/>
      </c>
      <c r="E71">
        <f>IF(OR($A71="",$C71=""),"",IF(ISNUMBER(Wages!$B74),MOD(Wages!$B74,100),IFERROR(VALUE(TRIM(MID(MID(Wages!$B74,FIND("/",Wages!$B74)+1,20),FIND("/",MID(Wages!$B74,FIND("/",Wages!$B74)+1,20))+1,20))),"")))</f>
        <v/>
      </c>
      <c r="F71">
        <f>IF($A71="","",IF(OR($C71="",$D71="",$E71="",$C71&lt;1300,$C71&gt;1500,$D71&lt;1,$D71&gt;12,$E71&lt;1,$E71&gt;31),"نامعتبر",RIGHT("0000"&amp;$C71,4)&amp;"/"&amp;RIGHT("00"&amp;$D71,2)&amp;"/"&amp;RIGHT("00"&amp;$E71,2)))</f>
        <v/>
      </c>
      <c r="G71">
        <f>IF(OR($A71="",$F71="",$F71="نامعتبر"),"",LEFT($F71,4)&amp;MID($F71,6,2)&amp;RIGHT($F71,2)&amp;"0000"&amp;"|"&amp;"1"&amp;RIGHT("00000"&amp;66,5))</f>
        <v/>
      </c>
      <c r="H71">
        <f>IF(OR($B71&lt;&gt;1,$G71=""),"",COUNTIFS(LdAParty,$A71,LdAType,1,LdAKey,"&lt;"&amp;$G71)+COUNTIFS(LdBMember,$A71,LdBKey,"&lt;"&amp;$G71)+COUNTIFS(LdCParty,$A71,LdCKey,"&lt;"&amp;$G71)+1)</f>
        <v/>
      </c>
      <c r="I71">
        <f>IF($H71="","",$A71&amp;"|"&amp;RIGHT("000000"&amp;$H71,6))</f>
        <v/>
      </c>
      <c r="J71">
        <f>IF(OR($B71&lt;&gt;2,$G71=""),"",COUNTIFS(LdAParty,$A71,LdAType,2,LdAKey,"&lt;"&amp;$G71)+1)</f>
        <v/>
      </c>
      <c r="K71">
        <f>IF($J71="","",$A71&amp;"|"&amp;RIGHT("000000"&amp;$J71,6))</f>
        <v/>
      </c>
      <c r="L71">
        <f>IF($A71="","",IF(Wages!$G74="",0,Wages!$G74))</f>
        <v/>
      </c>
      <c r="M71">
        <f>IF($A71="","",Wages!$J74)</f>
        <v/>
      </c>
      <c r="N71">
        <f>IF($A71="","",Wages!$D74)</f>
        <v/>
      </c>
      <c r="P71">
        <f>IF(OR(Shares!$B74="",Shares!$C74=""),"",Shares!$C74)</f>
        <v/>
      </c>
      <c r="Q71">
        <f>IF($P71="","",Shares!$B74)</f>
        <v/>
      </c>
      <c r="R71">
        <f>IF($P71="","",IFERROR(INDEX(WageParty,MATCH($Q71,WageIds,0)),""))</f>
        <v/>
      </c>
      <c r="S71">
        <f>IF($P71="","",IFERROR(INDEX($F$6:$F$2005,MATCH($Q71,WageIds,0)),""))</f>
        <v/>
      </c>
      <c r="T71">
        <f>IF(OR($P71="",$S71="",$S71="نامعتبر"),"",LEFT($S71,4)&amp;MID($S71,6,2)&amp;RIGHT($S71,2)&amp;"0000"&amp;"|"&amp;"2"&amp;RIGHT("00000"&amp;66,5))</f>
        <v/>
      </c>
      <c r="U71">
        <f>IF($T71="","",COUNTIFS(LdAParty,$P71,LdAType,1,LdAKey,"&lt;"&amp;$T71)+COUNTIFS(LdBMember,$P71,LdBKey,"&lt;"&amp;$T71)+COUNTIFS(LdCParty,$P71,LdCKey,"&lt;"&amp;$T71)+1)</f>
        <v/>
      </c>
      <c r="V71">
        <f>IF($U71="","",$P71&amp;"|"&amp;RIGHT("000000"&amp;$U71,6))</f>
        <v/>
      </c>
      <c r="W71">
        <f>IF($T71="","",COUNTIFS(LdBGroup,$R71,LdBKey,"&lt;"&amp;$T71)+1)</f>
        <v/>
      </c>
      <c r="X71">
        <f>IF($W71="","",$R71&amp;"|"&amp;RIGHT("000000"&amp;$W71,6))</f>
        <v/>
      </c>
      <c r="Y71">
        <f>IF($P71="","",IF(Shares!$E74="",0,Shares!$E74))</f>
        <v/>
      </c>
      <c r="Z71">
        <f>IF($P71="","",Shares!$H74)</f>
        <v/>
      </c>
      <c r="AE71">
        <f>IF(OR(Sync!$S71="",Sync!$P71=""),"",Sync!$S71)</f>
        <v/>
      </c>
      <c r="AF71">
        <f>IF($AE71="","",IF(ISNUMBER(Sync!$P71),IF(AND(Sync!$P71&gt;=10000101,Sync!$P71&lt;=99991231),INT(Sync!$P71/10000),""),IFERROR(VALUE(TRIM(LEFT(Sync!$P71,FIND("/",Sync!$P71)-1))),"")))</f>
        <v/>
      </c>
      <c r="AG71">
        <f>IF(OR($AE71="",$AF71=""),"",IF(ISNUMBER(Sync!$P71),INT(MOD(Sync!$P71,10000)/100),IFERROR(VALUE(TRIM(LEFT(MID(Sync!$P71,FIND("/",Sync!$P71)+1,20),FIND("/",MID(Sync!$P71,FIND("/",Sync!$P71)+1,20))-1))),"")))</f>
        <v/>
      </c>
      <c r="AH71">
        <f>IF(OR($AE71="",$AF71=""),"",IF(ISNUMBER(Sync!$P71),MOD(Sync!$P71,100),IFERROR(VALUE(TRIM(MID(MID(Sync!$P71,FIND("/",Sync!$P71)+1,20),FIND("/",MID(Sync!$P71,FIND("/",Sync!$P71)+1,20))+1,20))),"")))</f>
        <v/>
      </c>
      <c r="AI71">
        <f>IF($AE71="","",IF(OR($AF71="",$AG71="",$AH71="",$AF71&lt;1300,$AF71&gt;1500,$AG71&lt;1,$AG71&gt;12,$AH71&lt;1,$AH71&gt;31),"نامعتبر",RIGHT("0000"&amp;$AF71,4)&amp;"/"&amp;RIGHT("00"&amp;$AG71,2)&amp;"/"&amp;RIGHT("00"&amp;$AH71,2)))</f>
        <v/>
      </c>
      <c r="AJ71">
        <f>IF($AE71="","",IF(Sync!$Q71="","0000",IF(AND(ISNUMBER(Sync!$Q71),Sync!$Q71&gt;=0,Sync!$Q71&lt;1),RIGHT("00"&amp;HOUR(Sync!$Q71),2)&amp;RIGHT("00"&amp;MINUTE(Sync!$Q71),2),IFERROR(RIGHT("00"&amp;VALUE(LEFT(Sync!$Q71,FIND(":",Sync!$Q71)-1)),2)&amp;RIGHT("00"&amp;VALUE(MID(Sync!$Q71,FIND(":",Sync!$Q71)+1,2)),2),"0000"))))</f>
        <v/>
      </c>
      <c r="AK71">
        <f>IF(OR($AE71="",$AI71="",$AI71="نامعتبر"),"",LEFT($AI71,4)&amp;MID($AI71,6,2)&amp;RIGHT($AI71,2)&amp;$AJ71&amp;"|"&amp;"3"&amp;RIGHT("00000"&amp;66,5))</f>
        <v/>
      </c>
      <c r="AL71">
        <f>IF($AK71="","",COUNTIFS(LdAParty,$AE71,LdAType,1,LdAKey,"&lt;"&amp;$AK71)+COUNTIFS(LdBMember,$AE71,LdBKey,"&lt;"&amp;$AK71)+COUNTIFS(LdCParty,$AE71,LdCKey,"&lt;"&amp;$AK71)+1)</f>
        <v/>
      </c>
      <c r="AM71">
        <f>IF($AL71="","",$AE71&amp;"|"&amp;RIGHT("000000"&amp;$AL71,6))</f>
        <v/>
      </c>
      <c r="AN71">
        <f>IF($AE71="","",IF(Sync!$W71="",0,Sync!$W71))</f>
        <v/>
      </c>
      <c r="AO71">
        <f>IF($AE71="","",IF(Sync!$X71="",0,Sync!$X71))</f>
        <v/>
      </c>
      <c r="AP71">
        <f>IF($AE71="","",Sync!$R71)</f>
        <v/>
      </c>
      <c r="AQ71">
        <f>IF($AE71="","",Sync!$Y71)</f>
        <v/>
      </c>
    </row>
    <row r="72">
      <c r="A72">
        <f>IF(OR(Wages!$B75="",Wages!$E75=""),"",Wages!$E75)</f>
        <v/>
      </c>
      <c r="B72">
        <f>IF($A72="","",IF(Wages!$C75="دستمزد گروهی",2,1))</f>
        <v/>
      </c>
      <c r="C72">
        <f>IF($A72="","",IF(ISNUMBER(Wages!$B75),IF(AND(Wages!$B75&gt;=10000101,Wages!$B75&lt;=99991231),INT(Wages!$B75/10000),""),IFERROR(VALUE(TRIM(LEFT(Wages!$B75,FIND("/",Wages!$B75)-1))),"")))</f>
        <v/>
      </c>
      <c r="D72">
        <f>IF(OR($A72="",$C72=""),"",IF(ISNUMBER(Wages!$B75),INT(MOD(Wages!$B75,10000)/100),IFERROR(VALUE(TRIM(LEFT(MID(Wages!$B75,FIND("/",Wages!$B75)+1,20),FIND("/",MID(Wages!$B75,FIND("/",Wages!$B75)+1,20))-1))),"")))</f>
        <v/>
      </c>
      <c r="E72">
        <f>IF(OR($A72="",$C72=""),"",IF(ISNUMBER(Wages!$B75),MOD(Wages!$B75,100),IFERROR(VALUE(TRIM(MID(MID(Wages!$B75,FIND("/",Wages!$B75)+1,20),FIND("/",MID(Wages!$B75,FIND("/",Wages!$B75)+1,20))+1,20))),"")))</f>
        <v/>
      </c>
      <c r="F72">
        <f>IF($A72="","",IF(OR($C72="",$D72="",$E72="",$C72&lt;1300,$C72&gt;1500,$D72&lt;1,$D72&gt;12,$E72&lt;1,$E72&gt;31),"نامعتبر",RIGHT("0000"&amp;$C72,4)&amp;"/"&amp;RIGHT("00"&amp;$D72,2)&amp;"/"&amp;RIGHT("00"&amp;$E72,2)))</f>
        <v/>
      </c>
      <c r="G72">
        <f>IF(OR($A72="",$F72="",$F72="نامعتبر"),"",LEFT($F72,4)&amp;MID($F72,6,2)&amp;RIGHT($F72,2)&amp;"0000"&amp;"|"&amp;"1"&amp;RIGHT("00000"&amp;67,5))</f>
        <v/>
      </c>
      <c r="H72">
        <f>IF(OR($B72&lt;&gt;1,$G72=""),"",COUNTIFS(LdAParty,$A72,LdAType,1,LdAKey,"&lt;"&amp;$G72)+COUNTIFS(LdBMember,$A72,LdBKey,"&lt;"&amp;$G72)+COUNTIFS(LdCParty,$A72,LdCKey,"&lt;"&amp;$G72)+1)</f>
        <v/>
      </c>
      <c r="I72">
        <f>IF($H72="","",$A72&amp;"|"&amp;RIGHT("000000"&amp;$H72,6))</f>
        <v/>
      </c>
      <c r="J72">
        <f>IF(OR($B72&lt;&gt;2,$G72=""),"",COUNTIFS(LdAParty,$A72,LdAType,2,LdAKey,"&lt;"&amp;$G72)+1)</f>
        <v/>
      </c>
      <c r="K72">
        <f>IF($J72="","",$A72&amp;"|"&amp;RIGHT("000000"&amp;$J72,6))</f>
        <v/>
      </c>
      <c r="L72">
        <f>IF($A72="","",IF(Wages!$G75="",0,Wages!$G75))</f>
        <v/>
      </c>
      <c r="M72">
        <f>IF($A72="","",Wages!$J75)</f>
        <v/>
      </c>
      <c r="N72">
        <f>IF($A72="","",Wages!$D75)</f>
        <v/>
      </c>
      <c r="P72">
        <f>IF(OR(Shares!$B75="",Shares!$C75=""),"",Shares!$C75)</f>
        <v/>
      </c>
      <c r="Q72">
        <f>IF($P72="","",Shares!$B75)</f>
        <v/>
      </c>
      <c r="R72">
        <f>IF($P72="","",IFERROR(INDEX(WageParty,MATCH($Q72,WageIds,0)),""))</f>
        <v/>
      </c>
      <c r="S72">
        <f>IF($P72="","",IFERROR(INDEX($F$6:$F$2005,MATCH($Q72,WageIds,0)),""))</f>
        <v/>
      </c>
      <c r="T72">
        <f>IF(OR($P72="",$S72="",$S72="نامعتبر"),"",LEFT($S72,4)&amp;MID($S72,6,2)&amp;RIGHT($S72,2)&amp;"0000"&amp;"|"&amp;"2"&amp;RIGHT("00000"&amp;67,5))</f>
        <v/>
      </c>
      <c r="U72">
        <f>IF($T72="","",COUNTIFS(LdAParty,$P72,LdAType,1,LdAKey,"&lt;"&amp;$T72)+COUNTIFS(LdBMember,$P72,LdBKey,"&lt;"&amp;$T72)+COUNTIFS(LdCParty,$P72,LdCKey,"&lt;"&amp;$T72)+1)</f>
        <v/>
      </c>
      <c r="V72">
        <f>IF($U72="","",$P72&amp;"|"&amp;RIGHT("000000"&amp;$U72,6))</f>
        <v/>
      </c>
      <c r="W72">
        <f>IF($T72="","",COUNTIFS(LdBGroup,$R72,LdBKey,"&lt;"&amp;$T72)+1)</f>
        <v/>
      </c>
      <c r="X72">
        <f>IF($W72="","",$R72&amp;"|"&amp;RIGHT("000000"&amp;$W72,6))</f>
        <v/>
      </c>
      <c r="Y72">
        <f>IF($P72="","",IF(Shares!$E75="",0,Shares!$E75))</f>
        <v/>
      </c>
      <c r="Z72">
        <f>IF($P72="","",Shares!$H75)</f>
        <v/>
      </c>
      <c r="AE72">
        <f>IF(OR(Sync!$S72="",Sync!$P72=""),"",Sync!$S72)</f>
        <v/>
      </c>
      <c r="AF72">
        <f>IF($AE72="","",IF(ISNUMBER(Sync!$P72),IF(AND(Sync!$P72&gt;=10000101,Sync!$P72&lt;=99991231),INT(Sync!$P72/10000),""),IFERROR(VALUE(TRIM(LEFT(Sync!$P72,FIND("/",Sync!$P72)-1))),"")))</f>
        <v/>
      </c>
      <c r="AG72">
        <f>IF(OR($AE72="",$AF72=""),"",IF(ISNUMBER(Sync!$P72),INT(MOD(Sync!$P72,10000)/100),IFERROR(VALUE(TRIM(LEFT(MID(Sync!$P72,FIND("/",Sync!$P72)+1,20),FIND("/",MID(Sync!$P72,FIND("/",Sync!$P72)+1,20))-1))),"")))</f>
        <v/>
      </c>
      <c r="AH72">
        <f>IF(OR($AE72="",$AF72=""),"",IF(ISNUMBER(Sync!$P72),MOD(Sync!$P72,100),IFERROR(VALUE(TRIM(MID(MID(Sync!$P72,FIND("/",Sync!$P72)+1,20),FIND("/",MID(Sync!$P72,FIND("/",Sync!$P72)+1,20))+1,20))),"")))</f>
        <v/>
      </c>
      <c r="AI72">
        <f>IF($AE72="","",IF(OR($AF72="",$AG72="",$AH72="",$AF72&lt;1300,$AF72&gt;1500,$AG72&lt;1,$AG72&gt;12,$AH72&lt;1,$AH72&gt;31),"نامعتبر",RIGHT("0000"&amp;$AF72,4)&amp;"/"&amp;RIGHT("00"&amp;$AG72,2)&amp;"/"&amp;RIGHT("00"&amp;$AH72,2)))</f>
        <v/>
      </c>
      <c r="AJ72">
        <f>IF($AE72="","",IF(Sync!$Q72="","0000",IF(AND(ISNUMBER(Sync!$Q72),Sync!$Q72&gt;=0,Sync!$Q72&lt;1),RIGHT("00"&amp;HOUR(Sync!$Q72),2)&amp;RIGHT("00"&amp;MINUTE(Sync!$Q72),2),IFERROR(RIGHT("00"&amp;VALUE(LEFT(Sync!$Q72,FIND(":",Sync!$Q72)-1)),2)&amp;RIGHT("00"&amp;VALUE(MID(Sync!$Q72,FIND(":",Sync!$Q72)+1,2)),2),"0000"))))</f>
        <v/>
      </c>
      <c r="AK72">
        <f>IF(OR($AE72="",$AI72="",$AI72="نامعتبر"),"",LEFT($AI72,4)&amp;MID($AI72,6,2)&amp;RIGHT($AI72,2)&amp;$AJ72&amp;"|"&amp;"3"&amp;RIGHT("00000"&amp;67,5))</f>
        <v/>
      </c>
      <c r="AL72">
        <f>IF($AK72="","",COUNTIFS(LdAParty,$AE72,LdAType,1,LdAKey,"&lt;"&amp;$AK72)+COUNTIFS(LdBMember,$AE72,LdBKey,"&lt;"&amp;$AK72)+COUNTIFS(LdCParty,$AE72,LdCKey,"&lt;"&amp;$AK72)+1)</f>
        <v/>
      </c>
      <c r="AM72">
        <f>IF($AL72="","",$AE72&amp;"|"&amp;RIGHT("000000"&amp;$AL72,6))</f>
        <v/>
      </c>
      <c r="AN72">
        <f>IF($AE72="","",IF(Sync!$W72="",0,Sync!$W72))</f>
        <v/>
      </c>
      <c r="AO72">
        <f>IF($AE72="","",IF(Sync!$X72="",0,Sync!$X72))</f>
        <v/>
      </c>
      <c r="AP72">
        <f>IF($AE72="","",Sync!$R72)</f>
        <v/>
      </c>
      <c r="AQ72">
        <f>IF($AE72="","",Sync!$Y72)</f>
        <v/>
      </c>
    </row>
    <row r="73">
      <c r="A73">
        <f>IF(OR(Wages!$B76="",Wages!$E76=""),"",Wages!$E76)</f>
        <v/>
      </c>
      <c r="B73">
        <f>IF($A73="","",IF(Wages!$C76="دستمزد گروهی",2,1))</f>
        <v/>
      </c>
      <c r="C73">
        <f>IF($A73="","",IF(ISNUMBER(Wages!$B76),IF(AND(Wages!$B76&gt;=10000101,Wages!$B76&lt;=99991231),INT(Wages!$B76/10000),""),IFERROR(VALUE(TRIM(LEFT(Wages!$B76,FIND("/",Wages!$B76)-1))),"")))</f>
        <v/>
      </c>
      <c r="D73">
        <f>IF(OR($A73="",$C73=""),"",IF(ISNUMBER(Wages!$B76),INT(MOD(Wages!$B76,10000)/100),IFERROR(VALUE(TRIM(LEFT(MID(Wages!$B76,FIND("/",Wages!$B76)+1,20),FIND("/",MID(Wages!$B76,FIND("/",Wages!$B76)+1,20))-1))),"")))</f>
        <v/>
      </c>
      <c r="E73">
        <f>IF(OR($A73="",$C73=""),"",IF(ISNUMBER(Wages!$B76),MOD(Wages!$B76,100),IFERROR(VALUE(TRIM(MID(MID(Wages!$B76,FIND("/",Wages!$B76)+1,20),FIND("/",MID(Wages!$B76,FIND("/",Wages!$B76)+1,20))+1,20))),"")))</f>
        <v/>
      </c>
      <c r="F73">
        <f>IF($A73="","",IF(OR($C73="",$D73="",$E73="",$C73&lt;1300,$C73&gt;1500,$D73&lt;1,$D73&gt;12,$E73&lt;1,$E73&gt;31),"نامعتبر",RIGHT("0000"&amp;$C73,4)&amp;"/"&amp;RIGHT("00"&amp;$D73,2)&amp;"/"&amp;RIGHT("00"&amp;$E73,2)))</f>
        <v/>
      </c>
      <c r="G73">
        <f>IF(OR($A73="",$F73="",$F73="نامعتبر"),"",LEFT($F73,4)&amp;MID($F73,6,2)&amp;RIGHT($F73,2)&amp;"0000"&amp;"|"&amp;"1"&amp;RIGHT("00000"&amp;68,5))</f>
        <v/>
      </c>
      <c r="H73">
        <f>IF(OR($B73&lt;&gt;1,$G73=""),"",COUNTIFS(LdAParty,$A73,LdAType,1,LdAKey,"&lt;"&amp;$G73)+COUNTIFS(LdBMember,$A73,LdBKey,"&lt;"&amp;$G73)+COUNTIFS(LdCParty,$A73,LdCKey,"&lt;"&amp;$G73)+1)</f>
        <v/>
      </c>
      <c r="I73">
        <f>IF($H73="","",$A73&amp;"|"&amp;RIGHT("000000"&amp;$H73,6))</f>
        <v/>
      </c>
      <c r="J73">
        <f>IF(OR($B73&lt;&gt;2,$G73=""),"",COUNTIFS(LdAParty,$A73,LdAType,2,LdAKey,"&lt;"&amp;$G73)+1)</f>
        <v/>
      </c>
      <c r="K73">
        <f>IF($J73="","",$A73&amp;"|"&amp;RIGHT("000000"&amp;$J73,6))</f>
        <v/>
      </c>
      <c r="L73">
        <f>IF($A73="","",IF(Wages!$G76="",0,Wages!$G76))</f>
        <v/>
      </c>
      <c r="M73">
        <f>IF($A73="","",Wages!$J76)</f>
        <v/>
      </c>
      <c r="N73">
        <f>IF($A73="","",Wages!$D76)</f>
        <v/>
      </c>
      <c r="P73">
        <f>IF(OR(Shares!$B76="",Shares!$C76=""),"",Shares!$C76)</f>
        <v/>
      </c>
      <c r="Q73">
        <f>IF($P73="","",Shares!$B76)</f>
        <v/>
      </c>
      <c r="R73">
        <f>IF($P73="","",IFERROR(INDEX(WageParty,MATCH($Q73,WageIds,0)),""))</f>
        <v/>
      </c>
      <c r="S73">
        <f>IF($P73="","",IFERROR(INDEX($F$6:$F$2005,MATCH($Q73,WageIds,0)),""))</f>
        <v/>
      </c>
      <c r="T73">
        <f>IF(OR($P73="",$S73="",$S73="نامعتبر"),"",LEFT($S73,4)&amp;MID($S73,6,2)&amp;RIGHT($S73,2)&amp;"0000"&amp;"|"&amp;"2"&amp;RIGHT("00000"&amp;68,5))</f>
        <v/>
      </c>
      <c r="U73">
        <f>IF($T73="","",COUNTIFS(LdAParty,$P73,LdAType,1,LdAKey,"&lt;"&amp;$T73)+COUNTIFS(LdBMember,$P73,LdBKey,"&lt;"&amp;$T73)+COUNTIFS(LdCParty,$P73,LdCKey,"&lt;"&amp;$T73)+1)</f>
        <v/>
      </c>
      <c r="V73">
        <f>IF($U73="","",$P73&amp;"|"&amp;RIGHT("000000"&amp;$U73,6))</f>
        <v/>
      </c>
      <c r="W73">
        <f>IF($T73="","",COUNTIFS(LdBGroup,$R73,LdBKey,"&lt;"&amp;$T73)+1)</f>
        <v/>
      </c>
      <c r="X73">
        <f>IF($W73="","",$R73&amp;"|"&amp;RIGHT("000000"&amp;$W73,6))</f>
        <v/>
      </c>
      <c r="Y73">
        <f>IF($P73="","",IF(Shares!$E76="",0,Shares!$E76))</f>
        <v/>
      </c>
      <c r="Z73">
        <f>IF($P73="","",Shares!$H76)</f>
        <v/>
      </c>
      <c r="AE73">
        <f>IF(OR(Sync!$S73="",Sync!$P73=""),"",Sync!$S73)</f>
        <v/>
      </c>
      <c r="AF73">
        <f>IF($AE73="","",IF(ISNUMBER(Sync!$P73),IF(AND(Sync!$P73&gt;=10000101,Sync!$P73&lt;=99991231),INT(Sync!$P73/10000),""),IFERROR(VALUE(TRIM(LEFT(Sync!$P73,FIND("/",Sync!$P73)-1))),"")))</f>
        <v/>
      </c>
      <c r="AG73">
        <f>IF(OR($AE73="",$AF73=""),"",IF(ISNUMBER(Sync!$P73),INT(MOD(Sync!$P73,10000)/100),IFERROR(VALUE(TRIM(LEFT(MID(Sync!$P73,FIND("/",Sync!$P73)+1,20),FIND("/",MID(Sync!$P73,FIND("/",Sync!$P73)+1,20))-1))),"")))</f>
        <v/>
      </c>
      <c r="AH73">
        <f>IF(OR($AE73="",$AF73=""),"",IF(ISNUMBER(Sync!$P73),MOD(Sync!$P73,100),IFERROR(VALUE(TRIM(MID(MID(Sync!$P73,FIND("/",Sync!$P73)+1,20),FIND("/",MID(Sync!$P73,FIND("/",Sync!$P73)+1,20))+1,20))),"")))</f>
        <v/>
      </c>
      <c r="AI73">
        <f>IF($AE73="","",IF(OR($AF73="",$AG73="",$AH73="",$AF73&lt;1300,$AF73&gt;1500,$AG73&lt;1,$AG73&gt;12,$AH73&lt;1,$AH73&gt;31),"نامعتبر",RIGHT("0000"&amp;$AF73,4)&amp;"/"&amp;RIGHT("00"&amp;$AG73,2)&amp;"/"&amp;RIGHT("00"&amp;$AH73,2)))</f>
        <v/>
      </c>
      <c r="AJ73">
        <f>IF($AE73="","",IF(Sync!$Q73="","0000",IF(AND(ISNUMBER(Sync!$Q73),Sync!$Q73&gt;=0,Sync!$Q73&lt;1),RIGHT("00"&amp;HOUR(Sync!$Q73),2)&amp;RIGHT("00"&amp;MINUTE(Sync!$Q73),2),IFERROR(RIGHT("00"&amp;VALUE(LEFT(Sync!$Q73,FIND(":",Sync!$Q73)-1)),2)&amp;RIGHT("00"&amp;VALUE(MID(Sync!$Q73,FIND(":",Sync!$Q73)+1,2)),2),"0000"))))</f>
        <v/>
      </c>
      <c r="AK73">
        <f>IF(OR($AE73="",$AI73="",$AI73="نامعتبر"),"",LEFT($AI73,4)&amp;MID($AI73,6,2)&amp;RIGHT($AI73,2)&amp;$AJ73&amp;"|"&amp;"3"&amp;RIGHT("00000"&amp;68,5))</f>
        <v/>
      </c>
      <c r="AL73">
        <f>IF($AK73="","",COUNTIFS(LdAParty,$AE73,LdAType,1,LdAKey,"&lt;"&amp;$AK73)+COUNTIFS(LdBMember,$AE73,LdBKey,"&lt;"&amp;$AK73)+COUNTIFS(LdCParty,$AE73,LdCKey,"&lt;"&amp;$AK73)+1)</f>
        <v/>
      </c>
      <c r="AM73">
        <f>IF($AL73="","",$AE73&amp;"|"&amp;RIGHT("000000"&amp;$AL73,6))</f>
        <v/>
      </c>
      <c r="AN73">
        <f>IF($AE73="","",IF(Sync!$W73="",0,Sync!$W73))</f>
        <v/>
      </c>
      <c r="AO73">
        <f>IF($AE73="","",IF(Sync!$X73="",0,Sync!$X73))</f>
        <v/>
      </c>
      <c r="AP73">
        <f>IF($AE73="","",Sync!$R73)</f>
        <v/>
      </c>
      <c r="AQ73">
        <f>IF($AE73="","",Sync!$Y73)</f>
        <v/>
      </c>
    </row>
    <row r="74">
      <c r="A74">
        <f>IF(OR(Wages!$B77="",Wages!$E77=""),"",Wages!$E77)</f>
        <v/>
      </c>
      <c r="B74">
        <f>IF($A74="","",IF(Wages!$C77="دستمزد گروهی",2,1))</f>
        <v/>
      </c>
      <c r="C74">
        <f>IF($A74="","",IF(ISNUMBER(Wages!$B77),IF(AND(Wages!$B77&gt;=10000101,Wages!$B77&lt;=99991231),INT(Wages!$B77/10000),""),IFERROR(VALUE(TRIM(LEFT(Wages!$B77,FIND("/",Wages!$B77)-1))),"")))</f>
        <v/>
      </c>
      <c r="D74">
        <f>IF(OR($A74="",$C74=""),"",IF(ISNUMBER(Wages!$B77),INT(MOD(Wages!$B77,10000)/100),IFERROR(VALUE(TRIM(LEFT(MID(Wages!$B77,FIND("/",Wages!$B77)+1,20),FIND("/",MID(Wages!$B77,FIND("/",Wages!$B77)+1,20))-1))),"")))</f>
        <v/>
      </c>
      <c r="E74">
        <f>IF(OR($A74="",$C74=""),"",IF(ISNUMBER(Wages!$B77),MOD(Wages!$B77,100),IFERROR(VALUE(TRIM(MID(MID(Wages!$B77,FIND("/",Wages!$B77)+1,20),FIND("/",MID(Wages!$B77,FIND("/",Wages!$B77)+1,20))+1,20))),"")))</f>
        <v/>
      </c>
      <c r="F74">
        <f>IF($A74="","",IF(OR($C74="",$D74="",$E74="",$C74&lt;1300,$C74&gt;1500,$D74&lt;1,$D74&gt;12,$E74&lt;1,$E74&gt;31),"نامعتبر",RIGHT("0000"&amp;$C74,4)&amp;"/"&amp;RIGHT("00"&amp;$D74,2)&amp;"/"&amp;RIGHT("00"&amp;$E74,2)))</f>
        <v/>
      </c>
      <c r="G74">
        <f>IF(OR($A74="",$F74="",$F74="نامعتبر"),"",LEFT($F74,4)&amp;MID($F74,6,2)&amp;RIGHT($F74,2)&amp;"0000"&amp;"|"&amp;"1"&amp;RIGHT("00000"&amp;69,5))</f>
        <v/>
      </c>
      <c r="H74">
        <f>IF(OR($B74&lt;&gt;1,$G74=""),"",COUNTIFS(LdAParty,$A74,LdAType,1,LdAKey,"&lt;"&amp;$G74)+COUNTIFS(LdBMember,$A74,LdBKey,"&lt;"&amp;$G74)+COUNTIFS(LdCParty,$A74,LdCKey,"&lt;"&amp;$G74)+1)</f>
        <v/>
      </c>
      <c r="I74">
        <f>IF($H74="","",$A74&amp;"|"&amp;RIGHT("000000"&amp;$H74,6))</f>
        <v/>
      </c>
      <c r="J74">
        <f>IF(OR($B74&lt;&gt;2,$G74=""),"",COUNTIFS(LdAParty,$A74,LdAType,2,LdAKey,"&lt;"&amp;$G74)+1)</f>
        <v/>
      </c>
      <c r="K74">
        <f>IF($J74="","",$A74&amp;"|"&amp;RIGHT("000000"&amp;$J74,6))</f>
        <v/>
      </c>
      <c r="L74">
        <f>IF($A74="","",IF(Wages!$G77="",0,Wages!$G77))</f>
        <v/>
      </c>
      <c r="M74">
        <f>IF($A74="","",Wages!$J77)</f>
        <v/>
      </c>
      <c r="N74">
        <f>IF($A74="","",Wages!$D77)</f>
        <v/>
      </c>
      <c r="P74">
        <f>IF(OR(Shares!$B77="",Shares!$C77=""),"",Shares!$C77)</f>
        <v/>
      </c>
      <c r="Q74">
        <f>IF($P74="","",Shares!$B77)</f>
        <v/>
      </c>
      <c r="R74">
        <f>IF($P74="","",IFERROR(INDEX(WageParty,MATCH($Q74,WageIds,0)),""))</f>
        <v/>
      </c>
      <c r="S74">
        <f>IF($P74="","",IFERROR(INDEX($F$6:$F$2005,MATCH($Q74,WageIds,0)),""))</f>
        <v/>
      </c>
      <c r="T74">
        <f>IF(OR($P74="",$S74="",$S74="نامعتبر"),"",LEFT($S74,4)&amp;MID($S74,6,2)&amp;RIGHT($S74,2)&amp;"0000"&amp;"|"&amp;"2"&amp;RIGHT("00000"&amp;69,5))</f>
        <v/>
      </c>
      <c r="U74">
        <f>IF($T74="","",COUNTIFS(LdAParty,$P74,LdAType,1,LdAKey,"&lt;"&amp;$T74)+COUNTIFS(LdBMember,$P74,LdBKey,"&lt;"&amp;$T74)+COUNTIFS(LdCParty,$P74,LdCKey,"&lt;"&amp;$T74)+1)</f>
        <v/>
      </c>
      <c r="V74">
        <f>IF($U74="","",$P74&amp;"|"&amp;RIGHT("000000"&amp;$U74,6))</f>
        <v/>
      </c>
      <c r="W74">
        <f>IF($T74="","",COUNTIFS(LdBGroup,$R74,LdBKey,"&lt;"&amp;$T74)+1)</f>
        <v/>
      </c>
      <c r="X74">
        <f>IF($W74="","",$R74&amp;"|"&amp;RIGHT("000000"&amp;$W74,6))</f>
        <v/>
      </c>
      <c r="Y74">
        <f>IF($P74="","",IF(Shares!$E77="",0,Shares!$E77))</f>
        <v/>
      </c>
      <c r="Z74">
        <f>IF($P74="","",Shares!$H77)</f>
        <v/>
      </c>
      <c r="AE74">
        <f>IF(OR(Sync!$S74="",Sync!$P74=""),"",Sync!$S74)</f>
        <v/>
      </c>
      <c r="AF74">
        <f>IF($AE74="","",IF(ISNUMBER(Sync!$P74),IF(AND(Sync!$P74&gt;=10000101,Sync!$P74&lt;=99991231),INT(Sync!$P74/10000),""),IFERROR(VALUE(TRIM(LEFT(Sync!$P74,FIND("/",Sync!$P74)-1))),"")))</f>
        <v/>
      </c>
      <c r="AG74">
        <f>IF(OR($AE74="",$AF74=""),"",IF(ISNUMBER(Sync!$P74),INT(MOD(Sync!$P74,10000)/100),IFERROR(VALUE(TRIM(LEFT(MID(Sync!$P74,FIND("/",Sync!$P74)+1,20),FIND("/",MID(Sync!$P74,FIND("/",Sync!$P74)+1,20))-1))),"")))</f>
        <v/>
      </c>
      <c r="AH74">
        <f>IF(OR($AE74="",$AF74=""),"",IF(ISNUMBER(Sync!$P74),MOD(Sync!$P74,100),IFERROR(VALUE(TRIM(MID(MID(Sync!$P74,FIND("/",Sync!$P74)+1,20),FIND("/",MID(Sync!$P74,FIND("/",Sync!$P74)+1,20))+1,20))),"")))</f>
        <v/>
      </c>
      <c r="AI74">
        <f>IF($AE74="","",IF(OR($AF74="",$AG74="",$AH74="",$AF74&lt;1300,$AF74&gt;1500,$AG74&lt;1,$AG74&gt;12,$AH74&lt;1,$AH74&gt;31),"نامعتبر",RIGHT("0000"&amp;$AF74,4)&amp;"/"&amp;RIGHT("00"&amp;$AG74,2)&amp;"/"&amp;RIGHT("00"&amp;$AH74,2)))</f>
        <v/>
      </c>
      <c r="AJ74">
        <f>IF($AE74="","",IF(Sync!$Q74="","0000",IF(AND(ISNUMBER(Sync!$Q74),Sync!$Q74&gt;=0,Sync!$Q74&lt;1),RIGHT("00"&amp;HOUR(Sync!$Q74),2)&amp;RIGHT("00"&amp;MINUTE(Sync!$Q74),2),IFERROR(RIGHT("00"&amp;VALUE(LEFT(Sync!$Q74,FIND(":",Sync!$Q74)-1)),2)&amp;RIGHT("00"&amp;VALUE(MID(Sync!$Q74,FIND(":",Sync!$Q74)+1,2)),2),"0000"))))</f>
        <v/>
      </c>
      <c r="AK74">
        <f>IF(OR($AE74="",$AI74="",$AI74="نامعتبر"),"",LEFT($AI74,4)&amp;MID($AI74,6,2)&amp;RIGHT($AI74,2)&amp;$AJ74&amp;"|"&amp;"3"&amp;RIGHT("00000"&amp;69,5))</f>
        <v/>
      </c>
      <c r="AL74">
        <f>IF($AK74="","",COUNTIFS(LdAParty,$AE74,LdAType,1,LdAKey,"&lt;"&amp;$AK74)+COUNTIFS(LdBMember,$AE74,LdBKey,"&lt;"&amp;$AK74)+COUNTIFS(LdCParty,$AE74,LdCKey,"&lt;"&amp;$AK74)+1)</f>
        <v/>
      </c>
      <c r="AM74">
        <f>IF($AL74="","",$AE74&amp;"|"&amp;RIGHT("000000"&amp;$AL74,6))</f>
        <v/>
      </c>
      <c r="AN74">
        <f>IF($AE74="","",IF(Sync!$W74="",0,Sync!$W74))</f>
        <v/>
      </c>
      <c r="AO74">
        <f>IF($AE74="","",IF(Sync!$X74="",0,Sync!$X74))</f>
        <v/>
      </c>
      <c r="AP74">
        <f>IF($AE74="","",Sync!$R74)</f>
        <v/>
      </c>
      <c r="AQ74">
        <f>IF($AE74="","",Sync!$Y74)</f>
        <v/>
      </c>
    </row>
    <row r="75">
      <c r="A75">
        <f>IF(OR(Wages!$B78="",Wages!$E78=""),"",Wages!$E78)</f>
        <v/>
      </c>
      <c r="B75">
        <f>IF($A75="","",IF(Wages!$C78="دستمزد گروهی",2,1))</f>
        <v/>
      </c>
      <c r="C75">
        <f>IF($A75="","",IF(ISNUMBER(Wages!$B78),IF(AND(Wages!$B78&gt;=10000101,Wages!$B78&lt;=99991231),INT(Wages!$B78/10000),""),IFERROR(VALUE(TRIM(LEFT(Wages!$B78,FIND("/",Wages!$B78)-1))),"")))</f>
        <v/>
      </c>
      <c r="D75">
        <f>IF(OR($A75="",$C75=""),"",IF(ISNUMBER(Wages!$B78),INT(MOD(Wages!$B78,10000)/100),IFERROR(VALUE(TRIM(LEFT(MID(Wages!$B78,FIND("/",Wages!$B78)+1,20),FIND("/",MID(Wages!$B78,FIND("/",Wages!$B78)+1,20))-1))),"")))</f>
        <v/>
      </c>
      <c r="E75">
        <f>IF(OR($A75="",$C75=""),"",IF(ISNUMBER(Wages!$B78),MOD(Wages!$B78,100),IFERROR(VALUE(TRIM(MID(MID(Wages!$B78,FIND("/",Wages!$B78)+1,20),FIND("/",MID(Wages!$B78,FIND("/",Wages!$B78)+1,20))+1,20))),"")))</f>
        <v/>
      </c>
      <c r="F75">
        <f>IF($A75="","",IF(OR($C75="",$D75="",$E75="",$C75&lt;1300,$C75&gt;1500,$D75&lt;1,$D75&gt;12,$E75&lt;1,$E75&gt;31),"نامعتبر",RIGHT("0000"&amp;$C75,4)&amp;"/"&amp;RIGHT("00"&amp;$D75,2)&amp;"/"&amp;RIGHT("00"&amp;$E75,2)))</f>
        <v/>
      </c>
      <c r="G75">
        <f>IF(OR($A75="",$F75="",$F75="نامعتبر"),"",LEFT($F75,4)&amp;MID($F75,6,2)&amp;RIGHT($F75,2)&amp;"0000"&amp;"|"&amp;"1"&amp;RIGHT("00000"&amp;70,5))</f>
        <v/>
      </c>
      <c r="H75">
        <f>IF(OR($B75&lt;&gt;1,$G75=""),"",COUNTIFS(LdAParty,$A75,LdAType,1,LdAKey,"&lt;"&amp;$G75)+COUNTIFS(LdBMember,$A75,LdBKey,"&lt;"&amp;$G75)+COUNTIFS(LdCParty,$A75,LdCKey,"&lt;"&amp;$G75)+1)</f>
        <v/>
      </c>
      <c r="I75">
        <f>IF($H75="","",$A75&amp;"|"&amp;RIGHT("000000"&amp;$H75,6))</f>
        <v/>
      </c>
      <c r="J75">
        <f>IF(OR($B75&lt;&gt;2,$G75=""),"",COUNTIFS(LdAParty,$A75,LdAType,2,LdAKey,"&lt;"&amp;$G75)+1)</f>
        <v/>
      </c>
      <c r="K75">
        <f>IF($J75="","",$A75&amp;"|"&amp;RIGHT("000000"&amp;$J75,6))</f>
        <v/>
      </c>
      <c r="L75">
        <f>IF($A75="","",IF(Wages!$G78="",0,Wages!$G78))</f>
        <v/>
      </c>
      <c r="M75">
        <f>IF($A75="","",Wages!$J78)</f>
        <v/>
      </c>
      <c r="N75">
        <f>IF($A75="","",Wages!$D78)</f>
        <v/>
      </c>
      <c r="P75">
        <f>IF(OR(Shares!$B78="",Shares!$C78=""),"",Shares!$C78)</f>
        <v/>
      </c>
      <c r="Q75">
        <f>IF($P75="","",Shares!$B78)</f>
        <v/>
      </c>
      <c r="R75">
        <f>IF($P75="","",IFERROR(INDEX(WageParty,MATCH($Q75,WageIds,0)),""))</f>
        <v/>
      </c>
      <c r="S75">
        <f>IF($P75="","",IFERROR(INDEX($F$6:$F$2005,MATCH($Q75,WageIds,0)),""))</f>
        <v/>
      </c>
      <c r="T75">
        <f>IF(OR($P75="",$S75="",$S75="نامعتبر"),"",LEFT($S75,4)&amp;MID($S75,6,2)&amp;RIGHT($S75,2)&amp;"0000"&amp;"|"&amp;"2"&amp;RIGHT("00000"&amp;70,5))</f>
        <v/>
      </c>
      <c r="U75">
        <f>IF($T75="","",COUNTIFS(LdAParty,$P75,LdAType,1,LdAKey,"&lt;"&amp;$T75)+COUNTIFS(LdBMember,$P75,LdBKey,"&lt;"&amp;$T75)+COUNTIFS(LdCParty,$P75,LdCKey,"&lt;"&amp;$T75)+1)</f>
        <v/>
      </c>
      <c r="V75">
        <f>IF($U75="","",$P75&amp;"|"&amp;RIGHT("000000"&amp;$U75,6))</f>
        <v/>
      </c>
      <c r="W75">
        <f>IF($T75="","",COUNTIFS(LdBGroup,$R75,LdBKey,"&lt;"&amp;$T75)+1)</f>
        <v/>
      </c>
      <c r="X75">
        <f>IF($W75="","",$R75&amp;"|"&amp;RIGHT("000000"&amp;$W75,6))</f>
        <v/>
      </c>
      <c r="Y75">
        <f>IF($P75="","",IF(Shares!$E78="",0,Shares!$E78))</f>
        <v/>
      </c>
      <c r="Z75">
        <f>IF($P75="","",Shares!$H78)</f>
        <v/>
      </c>
      <c r="AE75">
        <f>IF(OR(Sync!$S75="",Sync!$P75=""),"",Sync!$S75)</f>
        <v/>
      </c>
      <c r="AF75">
        <f>IF($AE75="","",IF(ISNUMBER(Sync!$P75),IF(AND(Sync!$P75&gt;=10000101,Sync!$P75&lt;=99991231),INT(Sync!$P75/10000),""),IFERROR(VALUE(TRIM(LEFT(Sync!$P75,FIND("/",Sync!$P75)-1))),"")))</f>
        <v/>
      </c>
      <c r="AG75">
        <f>IF(OR($AE75="",$AF75=""),"",IF(ISNUMBER(Sync!$P75),INT(MOD(Sync!$P75,10000)/100),IFERROR(VALUE(TRIM(LEFT(MID(Sync!$P75,FIND("/",Sync!$P75)+1,20),FIND("/",MID(Sync!$P75,FIND("/",Sync!$P75)+1,20))-1))),"")))</f>
        <v/>
      </c>
      <c r="AH75">
        <f>IF(OR($AE75="",$AF75=""),"",IF(ISNUMBER(Sync!$P75),MOD(Sync!$P75,100),IFERROR(VALUE(TRIM(MID(MID(Sync!$P75,FIND("/",Sync!$P75)+1,20),FIND("/",MID(Sync!$P75,FIND("/",Sync!$P75)+1,20))+1,20))),"")))</f>
        <v/>
      </c>
      <c r="AI75">
        <f>IF($AE75="","",IF(OR($AF75="",$AG75="",$AH75="",$AF75&lt;1300,$AF75&gt;1500,$AG75&lt;1,$AG75&gt;12,$AH75&lt;1,$AH75&gt;31),"نامعتبر",RIGHT("0000"&amp;$AF75,4)&amp;"/"&amp;RIGHT("00"&amp;$AG75,2)&amp;"/"&amp;RIGHT("00"&amp;$AH75,2)))</f>
        <v/>
      </c>
      <c r="AJ75">
        <f>IF($AE75="","",IF(Sync!$Q75="","0000",IF(AND(ISNUMBER(Sync!$Q75),Sync!$Q75&gt;=0,Sync!$Q75&lt;1),RIGHT("00"&amp;HOUR(Sync!$Q75),2)&amp;RIGHT("00"&amp;MINUTE(Sync!$Q75),2),IFERROR(RIGHT("00"&amp;VALUE(LEFT(Sync!$Q75,FIND(":",Sync!$Q75)-1)),2)&amp;RIGHT("00"&amp;VALUE(MID(Sync!$Q75,FIND(":",Sync!$Q75)+1,2)),2),"0000"))))</f>
        <v/>
      </c>
      <c r="AK75">
        <f>IF(OR($AE75="",$AI75="",$AI75="نامعتبر"),"",LEFT($AI75,4)&amp;MID($AI75,6,2)&amp;RIGHT($AI75,2)&amp;$AJ75&amp;"|"&amp;"3"&amp;RIGHT("00000"&amp;70,5))</f>
        <v/>
      </c>
      <c r="AL75">
        <f>IF($AK75="","",COUNTIFS(LdAParty,$AE75,LdAType,1,LdAKey,"&lt;"&amp;$AK75)+COUNTIFS(LdBMember,$AE75,LdBKey,"&lt;"&amp;$AK75)+COUNTIFS(LdCParty,$AE75,LdCKey,"&lt;"&amp;$AK75)+1)</f>
        <v/>
      </c>
      <c r="AM75">
        <f>IF($AL75="","",$AE75&amp;"|"&amp;RIGHT("000000"&amp;$AL75,6))</f>
        <v/>
      </c>
      <c r="AN75">
        <f>IF($AE75="","",IF(Sync!$W75="",0,Sync!$W75))</f>
        <v/>
      </c>
      <c r="AO75">
        <f>IF($AE75="","",IF(Sync!$X75="",0,Sync!$X75))</f>
        <v/>
      </c>
      <c r="AP75">
        <f>IF($AE75="","",Sync!$R75)</f>
        <v/>
      </c>
      <c r="AQ75">
        <f>IF($AE75="","",Sync!$Y75)</f>
        <v/>
      </c>
    </row>
    <row r="76">
      <c r="A76">
        <f>IF(OR(Wages!$B79="",Wages!$E79=""),"",Wages!$E79)</f>
        <v/>
      </c>
      <c r="B76">
        <f>IF($A76="","",IF(Wages!$C79="دستمزد گروهی",2,1))</f>
        <v/>
      </c>
      <c r="C76">
        <f>IF($A76="","",IF(ISNUMBER(Wages!$B79),IF(AND(Wages!$B79&gt;=10000101,Wages!$B79&lt;=99991231),INT(Wages!$B79/10000),""),IFERROR(VALUE(TRIM(LEFT(Wages!$B79,FIND("/",Wages!$B79)-1))),"")))</f>
        <v/>
      </c>
      <c r="D76">
        <f>IF(OR($A76="",$C76=""),"",IF(ISNUMBER(Wages!$B79),INT(MOD(Wages!$B79,10000)/100),IFERROR(VALUE(TRIM(LEFT(MID(Wages!$B79,FIND("/",Wages!$B79)+1,20),FIND("/",MID(Wages!$B79,FIND("/",Wages!$B79)+1,20))-1))),"")))</f>
        <v/>
      </c>
      <c r="E76">
        <f>IF(OR($A76="",$C76=""),"",IF(ISNUMBER(Wages!$B79),MOD(Wages!$B79,100),IFERROR(VALUE(TRIM(MID(MID(Wages!$B79,FIND("/",Wages!$B79)+1,20),FIND("/",MID(Wages!$B79,FIND("/",Wages!$B79)+1,20))+1,20))),"")))</f>
        <v/>
      </c>
      <c r="F76">
        <f>IF($A76="","",IF(OR($C76="",$D76="",$E76="",$C76&lt;1300,$C76&gt;1500,$D76&lt;1,$D76&gt;12,$E76&lt;1,$E76&gt;31),"نامعتبر",RIGHT("0000"&amp;$C76,4)&amp;"/"&amp;RIGHT("00"&amp;$D76,2)&amp;"/"&amp;RIGHT("00"&amp;$E76,2)))</f>
        <v/>
      </c>
      <c r="G76">
        <f>IF(OR($A76="",$F76="",$F76="نامعتبر"),"",LEFT($F76,4)&amp;MID($F76,6,2)&amp;RIGHT($F76,2)&amp;"0000"&amp;"|"&amp;"1"&amp;RIGHT("00000"&amp;71,5))</f>
        <v/>
      </c>
      <c r="H76">
        <f>IF(OR($B76&lt;&gt;1,$G76=""),"",COUNTIFS(LdAParty,$A76,LdAType,1,LdAKey,"&lt;"&amp;$G76)+COUNTIFS(LdBMember,$A76,LdBKey,"&lt;"&amp;$G76)+COUNTIFS(LdCParty,$A76,LdCKey,"&lt;"&amp;$G76)+1)</f>
        <v/>
      </c>
      <c r="I76">
        <f>IF($H76="","",$A76&amp;"|"&amp;RIGHT("000000"&amp;$H76,6))</f>
        <v/>
      </c>
      <c r="J76">
        <f>IF(OR($B76&lt;&gt;2,$G76=""),"",COUNTIFS(LdAParty,$A76,LdAType,2,LdAKey,"&lt;"&amp;$G76)+1)</f>
        <v/>
      </c>
      <c r="K76">
        <f>IF($J76="","",$A76&amp;"|"&amp;RIGHT("000000"&amp;$J76,6))</f>
        <v/>
      </c>
      <c r="L76">
        <f>IF($A76="","",IF(Wages!$G79="",0,Wages!$G79))</f>
        <v/>
      </c>
      <c r="M76">
        <f>IF($A76="","",Wages!$J79)</f>
        <v/>
      </c>
      <c r="N76">
        <f>IF($A76="","",Wages!$D79)</f>
        <v/>
      </c>
      <c r="P76">
        <f>IF(OR(Shares!$B79="",Shares!$C79=""),"",Shares!$C79)</f>
        <v/>
      </c>
      <c r="Q76">
        <f>IF($P76="","",Shares!$B79)</f>
        <v/>
      </c>
      <c r="R76">
        <f>IF($P76="","",IFERROR(INDEX(WageParty,MATCH($Q76,WageIds,0)),""))</f>
        <v/>
      </c>
      <c r="S76">
        <f>IF($P76="","",IFERROR(INDEX($F$6:$F$2005,MATCH($Q76,WageIds,0)),""))</f>
        <v/>
      </c>
      <c r="T76">
        <f>IF(OR($P76="",$S76="",$S76="نامعتبر"),"",LEFT($S76,4)&amp;MID($S76,6,2)&amp;RIGHT($S76,2)&amp;"0000"&amp;"|"&amp;"2"&amp;RIGHT("00000"&amp;71,5))</f>
        <v/>
      </c>
      <c r="U76">
        <f>IF($T76="","",COUNTIFS(LdAParty,$P76,LdAType,1,LdAKey,"&lt;"&amp;$T76)+COUNTIFS(LdBMember,$P76,LdBKey,"&lt;"&amp;$T76)+COUNTIFS(LdCParty,$P76,LdCKey,"&lt;"&amp;$T76)+1)</f>
        <v/>
      </c>
      <c r="V76">
        <f>IF($U76="","",$P76&amp;"|"&amp;RIGHT("000000"&amp;$U76,6))</f>
        <v/>
      </c>
      <c r="W76">
        <f>IF($T76="","",COUNTIFS(LdBGroup,$R76,LdBKey,"&lt;"&amp;$T76)+1)</f>
        <v/>
      </c>
      <c r="X76">
        <f>IF($W76="","",$R76&amp;"|"&amp;RIGHT("000000"&amp;$W76,6))</f>
        <v/>
      </c>
      <c r="Y76">
        <f>IF($P76="","",IF(Shares!$E79="",0,Shares!$E79))</f>
        <v/>
      </c>
      <c r="Z76">
        <f>IF($P76="","",Shares!$H79)</f>
        <v/>
      </c>
      <c r="AE76">
        <f>IF(OR(Sync!$S76="",Sync!$P76=""),"",Sync!$S76)</f>
        <v/>
      </c>
      <c r="AF76">
        <f>IF($AE76="","",IF(ISNUMBER(Sync!$P76),IF(AND(Sync!$P76&gt;=10000101,Sync!$P76&lt;=99991231),INT(Sync!$P76/10000),""),IFERROR(VALUE(TRIM(LEFT(Sync!$P76,FIND("/",Sync!$P76)-1))),"")))</f>
        <v/>
      </c>
      <c r="AG76">
        <f>IF(OR($AE76="",$AF76=""),"",IF(ISNUMBER(Sync!$P76),INT(MOD(Sync!$P76,10000)/100),IFERROR(VALUE(TRIM(LEFT(MID(Sync!$P76,FIND("/",Sync!$P76)+1,20),FIND("/",MID(Sync!$P76,FIND("/",Sync!$P76)+1,20))-1))),"")))</f>
        <v/>
      </c>
      <c r="AH76">
        <f>IF(OR($AE76="",$AF76=""),"",IF(ISNUMBER(Sync!$P76),MOD(Sync!$P76,100),IFERROR(VALUE(TRIM(MID(MID(Sync!$P76,FIND("/",Sync!$P76)+1,20),FIND("/",MID(Sync!$P76,FIND("/",Sync!$P76)+1,20))+1,20))),"")))</f>
        <v/>
      </c>
      <c r="AI76">
        <f>IF($AE76="","",IF(OR($AF76="",$AG76="",$AH76="",$AF76&lt;1300,$AF76&gt;1500,$AG76&lt;1,$AG76&gt;12,$AH76&lt;1,$AH76&gt;31),"نامعتبر",RIGHT("0000"&amp;$AF76,4)&amp;"/"&amp;RIGHT("00"&amp;$AG76,2)&amp;"/"&amp;RIGHT("00"&amp;$AH76,2)))</f>
        <v/>
      </c>
      <c r="AJ76">
        <f>IF($AE76="","",IF(Sync!$Q76="","0000",IF(AND(ISNUMBER(Sync!$Q76),Sync!$Q76&gt;=0,Sync!$Q76&lt;1),RIGHT("00"&amp;HOUR(Sync!$Q76),2)&amp;RIGHT("00"&amp;MINUTE(Sync!$Q76),2),IFERROR(RIGHT("00"&amp;VALUE(LEFT(Sync!$Q76,FIND(":",Sync!$Q76)-1)),2)&amp;RIGHT("00"&amp;VALUE(MID(Sync!$Q76,FIND(":",Sync!$Q76)+1,2)),2),"0000"))))</f>
        <v/>
      </c>
      <c r="AK76">
        <f>IF(OR($AE76="",$AI76="",$AI76="نامعتبر"),"",LEFT($AI76,4)&amp;MID($AI76,6,2)&amp;RIGHT($AI76,2)&amp;$AJ76&amp;"|"&amp;"3"&amp;RIGHT("00000"&amp;71,5))</f>
        <v/>
      </c>
      <c r="AL76">
        <f>IF($AK76="","",COUNTIFS(LdAParty,$AE76,LdAType,1,LdAKey,"&lt;"&amp;$AK76)+COUNTIFS(LdBMember,$AE76,LdBKey,"&lt;"&amp;$AK76)+COUNTIFS(LdCParty,$AE76,LdCKey,"&lt;"&amp;$AK76)+1)</f>
        <v/>
      </c>
      <c r="AM76">
        <f>IF($AL76="","",$AE76&amp;"|"&amp;RIGHT("000000"&amp;$AL76,6))</f>
        <v/>
      </c>
      <c r="AN76">
        <f>IF($AE76="","",IF(Sync!$W76="",0,Sync!$W76))</f>
        <v/>
      </c>
      <c r="AO76">
        <f>IF($AE76="","",IF(Sync!$X76="",0,Sync!$X76))</f>
        <v/>
      </c>
      <c r="AP76">
        <f>IF($AE76="","",Sync!$R76)</f>
        <v/>
      </c>
      <c r="AQ76">
        <f>IF($AE76="","",Sync!$Y76)</f>
        <v/>
      </c>
    </row>
    <row r="77">
      <c r="A77">
        <f>IF(OR(Wages!$B80="",Wages!$E80=""),"",Wages!$E80)</f>
        <v/>
      </c>
      <c r="B77">
        <f>IF($A77="","",IF(Wages!$C80="دستمزد گروهی",2,1))</f>
        <v/>
      </c>
      <c r="C77">
        <f>IF($A77="","",IF(ISNUMBER(Wages!$B80),IF(AND(Wages!$B80&gt;=10000101,Wages!$B80&lt;=99991231),INT(Wages!$B80/10000),""),IFERROR(VALUE(TRIM(LEFT(Wages!$B80,FIND("/",Wages!$B80)-1))),"")))</f>
        <v/>
      </c>
      <c r="D77">
        <f>IF(OR($A77="",$C77=""),"",IF(ISNUMBER(Wages!$B80),INT(MOD(Wages!$B80,10000)/100),IFERROR(VALUE(TRIM(LEFT(MID(Wages!$B80,FIND("/",Wages!$B80)+1,20),FIND("/",MID(Wages!$B80,FIND("/",Wages!$B80)+1,20))-1))),"")))</f>
        <v/>
      </c>
      <c r="E77">
        <f>IF(OR($A77="",$C77=""),"",IF(ISNUMBER(Wages!$B80),MOD(Wages!$B80,100),IFERROR(VALUE(TRIM(MID(MID(Wages!$B80,FIND("/",Wages!$B80)+1,20),FIND("/",MID(Wages!$B80,FIND("/",Wages!$B80)+1,20))+1,20))),"")))</f>
        <v/>
      </c>
      <c r="F77">
        <f>IF($A77="","",IF(OR($C77="",$D77="",$E77="",$C77&lt;1300,$C77&gt;1500,$D77&lt;1,$D77&gt;12,$E77&lt;1,$E77&gt;31),"نامعتبر",RIGHT("0000"&amp;$C77,4)&amp;"/"&amp;RIGHT("00"&amp;$D77,2)&amp;"/"&amp;RIGHT("00"&amp;$E77,2)))</f>
        <v/>
      </c>
      <c r="G77">
        <f>IF(OR($A77="",$F77="",$F77="نامعتبر"),"",LEFT($F77,4)&amp;MID($F77,6,2)&amp;RIGHT($F77,2)&amp;"0000"&amp;"|"&amp;"1"&amp;RIGHT("00000"&amp;72,5))</f>
        <v/>
      </c>
      <c r="H77">
        <f>IF(OR($B77&lt;&gt;1,$G77=""),"",COUNTIFS(LdAParty,$A77,LdAType,1,LdAKey,"&lt;"&amp;$G77)+COUNTIFS(LdBMember,$A77,LdBKey,"&lt;"&amp;$G77)+COUNTIFS(LdCParty,$A77,LdCKey,"&lt;"&amp;$G77)+1)</f>
        <v/>
      </c>
      <c r="I77">
        <f>IF($H77="","",$A77&amp;"|"&amp;RIGHT("000000"&amp;$H77,6))</f>
        <v/>
      </c>
      <c r="J77">
        <f>IF(OR($B77&lt;&gt;2,$G77=""),"",COUNTIFS(LdAParty,$A77,LdAType,2,LdAKey,"&lt;"&amp;$G77)+1)</f>
        <v/>
      </c>
      <c r="K77">
        <f>IF($J77="","",$A77&amp;"|"&amp;RIGHT("000000"&amp;$J77,6))</f>
        <v/>
      </c>
      <c r="L77">
        <f>IF($A77="","",IF(Wages!$G80="",0,Wages!$G80))</f>
        <v/>
      </c>
      <c r="M77">
        <f>IF($A77="","",Wages!$J80)</f>
        <v/>
      </c>
      <c r="N77">
        <f>IF($A77="","",Wages!$D80)</f>
        <v/>
      </c>
      <c r="P77">
        <f>IF(OR(Shares!$B80="",Shares!$C80=""),"",Shares!$C80)</f>
        <v/>
      </c>
      <c r="Q77">
        <f>IF($P77="","",Shares!$B80)</f>
        <v/>
      </c>
      <c r="R77">
        <f>IF($P77="","",IFERROR(INDEX(WageParty,MATCH($Q77,WageIds,0)),""))</f>
        <v/>
      </c>
      <c r="S77">
        <f>IF($P77="","",IFERROR(INDEX($F$6:$F$2005,MATCH($Q77,WageIds,0)),""))</f>
        <v/>
      </c>
      <c r="T77">
        <f>IF(OR($P77="",$S77="",$S77="نامعتبر"),"",LEFT($S77,4)&amp;MID($S77,6,2)&amp;RIGHT($S77,2)&amp;"0000"&amp;"|"&amp;"2"&amp;RIGHT("00000"&amp;72,5))</f>
        <v/>
      </c>
      <c r="U77">
        <f>IF($T77="","",COUNTIFS(LdAParty,$P77,LdAType,1,LdAKey,"&lt;"&amp;$T77)+COUNTIFS(LdBMember,$P77,LdBKey,"&lt;"&amp;$T77)+COUNTIFS(LdCParty,$P77,LdCKey,"&lt;"&amp;$T77)+1)</f>
        <v/>
      </c>
      <c r="V77">
        <f>IF($U77="","",$P77&amp;"|"&amp;RIGHT("000000"&amp;$U77,6))</f>
        <v/>
      </c>
      <c r="W77">
        <f>IF($T77="","",COUNTIFS(LdBGroup,$R77,LdBKey,"&lt;"&amp;$T77)+1)</f>
        <v/>
      </c>
      <c r="X77">
        <f>IF($W77="","",$R77&amp;"|"&amp;RIGHT("000000"&amp;$W77,6))</f>
        <v/>
      </c>
      <c r="Y77">
        <f>IF($P77="","",IF(Shares!$E80="",0,Shares!$E80))</f>
        <v/>
      </c>
      <c r="Z77">
        <f>IF($P77="","",Shares!$H80)</f>
        <v/>
      </c>
      <c r="AE77">
        <f>IF(OR(Sync!$S77="",Sync!$P77=""),"",Sync!$S77)</f>
        <v/>
      </c>
      <c r="AF77">
        <f>IF($AE77="","",IF(ISNUMBER(Sync!$P77),IF(AND(Sync!$P77&gt;=10000101,Sync!$P77&lt;=99991231),INT(Sync!$P77/10000),""),IFERROR(VALUE(TRIM(LEFT(Sync!$P77,FIND("/",Sync!$P77)-1))),"")))</f>
        <v/>
      </c>
      <c r="AG77">
        <f>IF(OR($AE77="",$AF77=""),"",IF(ISNUMBER(Sync!$P77),INT(MOD(Sync!$P77,10000)/100),IFERROR(VALUE(TRIM(LEFT(MID(Sync!$P77,FIND("/",Sync!$P77)+1,20),FIND("/",MID(Sync!$P77,FIND("/",Sync!$P77)+1,20))-1))),"")))</f>
        <v/>
      </c>
      <c r="AH77">
        <f>IF(OR($AE77="",$AF77=""),"",IF(ISNUMBER(Sync!$P77),MOD(Sync!$P77,100),IFERROR(VALUE(TRIM(MID(MID(Sync!$P77,FIND("/",Sync!$P77)+1,20),FIND("/",MID(Sync!$P77,FIND("/",Sync!$P77)+1,20))+1,20))),"")))</f>
        <v/>
      </c>
      <c r="AI77">
        <f>IF($AE77="","",IF(OR($AF77="",$AG77="",$AH77="",$AF77&lt;1300,$AF77&gt;1500,$AG77&lt;1,$AG77&gt;12,$AH77&lt;1,$AH77&gt;31),"نامعتبر",RIGHT("0000"&amp;$AF77,4)&amp;"/"&amp;RIGHT("00"&amp;$AG77,2)&amp;"/"&amp;RIGHT("00"&amp;$AH77,2)))</f>
        <v/>
      </c>
      <c r="AJ77">
        <f>IF($AE77="","",IF(Sync!$Q77="","0000",IF(AND(ISNUMBER(Sync!$Q77),Sync!$Q77&gt;=0,Sync!$Q77&lt;1),RIGHT("00"&amp;HOUR(Sync!$Q77),2)&amp;RIGHT("00"&amp;MINUTE(Sync!$Q77),2),IFERROR(RIGHT("00"&amp;VALUE(LEFT(Sync!$Q77,FIND(":",Sync!$Q77)-1)),2)&amp;RIGHT("00"&amp;VALUE(MID(Sync!$Q77,FIND(":",Sync!$Q77)+1,2)),2),"0000"))))</f>
        <v/>
      </c>
      <c r="AK77">
        <f>IF(OR($AE77="",$AI77="",$AI77="نامعتبر"),"",LEFT($AI77,4)&amp;MID($AI77,6,2)&amp;RIGHT($AI77,2)&amp;$AJ77&amp;"|"&amp;"3"&amp;RIGHT("00000"&amp;72,5))</f>
        <v/>
      </c>
      <c r="AL77">
        <f>IF($AK77="","",COUNTIFS(LdAParty,$AE77,LdAType,1,LdAKey,"&lt;"&amp;$AK77)+COUNTIFS(LdBMember,$AE77,LdBKey,"&lt;"&amp;$AK77)+COUNTIFS(LdCParty,$AE77,LdCKey,"&lt;"&amp;$AK77)+1)</f>
        <v/>
      </c>
      <c r="AM77">
        <f>IF($AL77="","",$AE77&amp;"|"&amp;RIGHT("000000"&amp;$AL77,6))</f>
        <v/>
      </c>
      <c r="AN77">
        <f>IF($AE77="","",IF(Sync!$W77="",0,Sync!$W77))</f>
        <v/>
      </c>
      <c r="AO77">
        <f>IF($AE77="","",IF(Sync!$X77="",0,Sync!$X77))</f>
        <v/>
      </c>
      <c r="AP77">
        <f>IF($AE77="","",Sync!$R77)</f>
        <v/>
      </c>
      <c r="AQ77">
        <f>IF($AE77="","",Sync!$Y77)</f>
        <v/>
      </c>
    </row>
    <row r="78">
      <c r="A78">
        <f>IF(OR(Wages!$B81="",Wages!$E81=""),"",Wages!$E81)</f>
        <v/>
      </c>
      <c r="B78">
        <f>IF($A78="","",IF(Wages!$C81="دستمزد گروهی",2,1))</f>
        <v/>
      </c>
      <c r="C78">
        <f>IF($A78="","",IF(ISNUMBER(Wages!$B81),IF(AND(Wages!$B81&gt;=10000101,Wages!$B81&lt;=99991231),INT(Wages!$B81/10000),""),IFERROR(VALUE(TRIM(LEFT(Wages!$B81,FIND("/",Wages!$B81)-1))),"")))</f>
        <v/>
      </c>
      <c r="D78">
        <f>IF(OR($A78="",$C78=""),"",IF(ISNUMBER(Wages!$B81),INT(MOD(Wages!$B81,10000)/100),IFERROR(VALUE(TRIM(LEFT(MID(Wages!$B81,FIND("/",Wages!$B81)+1,20),FIND("/",MID(Wages!$B81,FIND("/",Wages!$B81)+1,20))-1))),"")))</f>
        <v/>
      </c>
      <c r="E78">
        <f>IF(OR($A78="",$C78=""),"",IF(ISNUMBER(Wages!$B81),MOD(Wages!$B81,100),IFERROR(VALUE(TRIM(MID(MID(Wages!$B81,FIND("/",Wages!$B81)+1,20),FIND("/",MID(Wages!$B81,FIND("/",Wages!$B81)+1,20))+1,20))),"")))</f>
        <v/>
      </c>
      <c r="F78">
        <f>IF($A78="","",IF(OR($C78="",$D78="",$E78="",$C78&lt;1300,$C78&gt;1500,$D78&lt;1,$D78&gt;12,$E78&lt;1,$E78&gt;31),"نامعتبر",RIGHT("0000"&amp;$C78,4)&amp;"/"&amp;RIGHT("00"&amp;$D78,2)&amp;"/"&amp;RIGHT("00"&amp;$E78,2)))</f>
        <v/>
      </c>
      <c r="G78">
        <f>IF(OR($A78="",$F78="",$F78="نامعتبر"),"",LEFT($F78,4)&amp;MID($F78,6,2)&amp;RIGHT($F78,2)&amp;"0000"&amp;"|"&amp;"1"&amp;RIGHT("00000"&amp;73,5))</f>
        <v/>
      </c>
      <c r="H78">
        <f>IF(OR($B78&lt;&gt;1,$G78=""),"",COUNTIFS(LdAParty,$A78,LdAType,1,LdAKey,"&lt;"&amp;$G78)+COUNTIFS(LdBMember,$A78,LdBKey,"&lt;"&amp;$G78)+COUNTIFS(LdCParty,$A78,LdCKey,"&lt;"&amp;$G78)+1)</f>
        <v/>
      </c>
      <c r="I78">
        <f>IF($H78="","",$A78&amp;"|"&amp;RIGHT("000000"&amp;$H78,6))</f>
        <v/>
      </c>
      <c r="J78">
        <f>IF(OR($B78&lt;&gt;2,$G78=""),"",COUNTIFS(LdAParty,$A78,LdAType,2,LdAKey,"&lt;"&amp;$G78)+1)</f>
        <v/>
      </c>
      <c r="K78">
        <f>IF($J78="","",$A78&amp;"|"&amp;RIGHT("000000"&amp;$J78,6))</f>
        <v/>
      </c>
      <c r="L78">
        <f>IF($A78="","",IF(Wages!$G81="",0,Wages!$G81))</f>
        <v/>
      </c>
      <c r="M78">
        <f>IF($A78="","",Wages!$J81)</f>
        <v/>
      </c>
      <c r="N78">
        <f>IF($A78="","",Wages!$D81)</f>
        <v/>
      </c>
      <c r="P78">
        <f>IF(OR(Shares!$B81="",Shares!$C81=""),"",Shares!$C81)</f>
        <v/>
      </c>
      <c r="Q78">
        <f>IF($P78="","",Shares!$B81)</f>
        <v/>
      </c>
      <c r="R78">
        <f>IF($P78="","",IFERROR(INDEX(WageParty,MATCH($Q78,WageIds,0)),""))</f>
        <v/>
      </c>
      <c r="S78">
        <f>IF($P78="","",IFERROR(INDEX($F$6:$F$2005,MATCH($Q78,WageIds,0)),""))</f>
        <v/>
      </c>
      <c r="T78">
        <f>IF(OR($P78="",$S78="",$S78="نامعتبر"),"",LEFT($S78,4)&amp;MID($S78,6,2)&amp;RIGHT($S78,2)&amp;"0000"&amp;"|"&amp;"2"&amp;RIGHT("00000"&amp;73,5))</f>
        <v/>
      </c>
      <c r="U78">
        <f>IF($T78="","",COUNTIFS(LdAParty,$P78,LdAType,1,LdAKey,"&lt;"&amp;$T78)+COUNTIFS(LdBMember,$P78,LdBKey,"&lt;"&amp;$T78)+COUNTIFS(LdCParty,$P78,LdCKey,"&lt;"&amp;$T78)+1)</f>
        <v/>
      </c>
      <c r="V78">
        <f>IF($U78="","",$P78&amp;"|"&amp;RIGHT("000000"&amp;$U78,6))</f>
        <v/>
      </c>
      <c r="W78">
        <f>IF($T78="","",COUNTIFS(LdBGroup,$R78,LdBKey,"&lt;"&amp;$T78)+1)</f>
        <v/>
      </c>
      <c r="X78">
        <f>IF($W78="","",$R78&amp;"|"&amp;RIGHT("000000"&amp;$W78,6))</f>
        <v/>
      </c>
      <c r="Y78">
        <f>IF($P78="","",IF(Shares!$E81="",0,Shares!$E81))</f>
        <v/>
      </c>
      <c r="Z78">
        <f>IF($P78="","",Shares!$H81)</f>
        <v/>
      </c>
      <c r="AE78">
        <f>IF(OR(Sync!$S78="",Sync!$P78=""),"",Sync!$S78)</f>
        <v/>
      </c>
      <c r="AF78">
        <f>IF($AE78="","",IF(ISNUMBER(Sync!$P78),IF(AND(Sync!$P78&gt;=10000101,Sync!$P78&lt;=99991231),INT(Sync!$P78/10000),""),IFERROR(VALUE(TRIM(LEFT(Sync!$P78,FIND("/",Sync!$P78)-1))),"")))</f>
        <v/>
      </c>
      <c r="AG78">
        <f>IF(OR($AE78="",$AF78=""),"",IF(ISNUMBER(Sync!$P78),INT(MOD(Sync!$P78,10000)/100),IFERROR(VALUE(TRIM(LEFT(MID(Sync!$P78,FIND("/",Sync!$P78)+1,20),FIND("/",MID(Sync!$P78,FIND("/",Sync!$P78)+1,20))-1))),"")))</f>
        <v/>
      </c>
      <c r="AH78">
        <f>IF(OR($AE78="",$AF78=""),"",IF(ISNUMBER(Sync!$P78),MOD(Sync!$P78,100),IFERROR(VALUE(TRIM(MID(MID(Sync!$P78,FIND("/",Sync!$P78)+1,20),FIND("/",MID(Sync!$P78,FIND("/",Sync!$P78)+1,20))+1,20))),"")))</f>
        <v/>
      </c>
      <c r="AI78">
        <f>IF($AE78="","",IF(OR($AF78="",$AG78="",$AH78="",$AF78&lt;1300,$AF78&gt;1500,$AG78&lt;1,$AG78&gt;12,$AH78&lt;1,$AH78&gt;31),"نامعتبر",RIGHT("0000"&amp;$AF78,4)&amp;"/"&amp;RIGHT("00"&amp;$AG78,2)&amp;"/"&amp;RIGHT("00"&amp;$AH78,2)))</f>
        <v/>
      </c>
      <c r="AJ78">
        <f>IF($AE78="","",IF(Sync!$Q78="","0000",IF(AND(ISNUMBER(Sync!$Q78),Sync!$Q78&gt;=0,Sync!$Q78&lt;1),RIGHT("00"&amp;HOUR(Sync!$Q78),2)&amp;RIGHT("00"&amp;MINUTE(Sync!$Q78),2),IFERROR(RIGHT("00"&amp;VALUE(LEFT(Sync!$Q78,FIND(":",Sync!$Q78)-1)),2)&amp;RIGHT("00"&amp;VALUE(MID(Sync!$Q78,FIND(":",Sync!$Q78)+1,2)),2),"0000"))))</f>
        <v/>
      </c>
      <c r="AK78">
        <f>IF(OR($AE78="",$AI78="",$AI78="نامعتبر"),"",LEFT($AI78,4)&amp;MID($AI78,6,2)&amp;RIGHT($AI78,2)&amp;$AJ78&amp;"|"&amp;"3"&amp;RIGHT("00000"&amp;73,5))</f>
        <v/>
      </c>
      <c r="AL78">
        <f>IF($AK78="","",COUNTIFS(LdAParty,$AE78,LdAType,1,LdAKey,"&lt;"&amp;$AK78)+COUNTIFS(LdBMember,$AE78,LdBKey,"&lt;"&amp;$AK78)+COUNTIFS(LdCParty,$AE78,LdCKey,"&lt;"&amp;$AK78)+1)</f>
        <v/>
      </c>
      <c r="AM78">
        <f>IF($AL78="","",$AE78&amp;"|"&amp;RIGHT("000000"&amp;$AL78,6))</f>
        <v/>
      </c>
      <c r="AN78">
        <f>IF($AE78="","",IF(Sync!$W78="",0,Sync!$W78))</f>
        <v/>
      </c>
      <c r="AO78">
        <f>IF($AE78="","",IF(Sync!$X78="",0,Sync!$X78))</f>
        <v/>
      </c>
      <c r="AP78">
        <f>IF($AE78="","",Sync!$R78)</f>
        <v/>
      </c>
      <c r="AQ78">
        <f>IF($AE78="","",Sync!$Y78)</f>
        <v/>
      </c>
    </row>
    <row r="79">
      <c r="A79">
        <f>IF(OR(Wages!$B82="",Wages!$E82=""),"",Wages!$E82)</f>
        <v/>
      </c>
      <c r="B79">
        <f>IF($A79="","",IF(Wages!$C82="دستمزد گروهی",2,1))</f>
        <v/>
      </c>
      <c r="C79">
        <f>IF($A79="","",IF(ISNUMBER(Wages!$B82),IF(AND(Wages!$B82&gt;=10000101,Wages!$B82&lt;=99991231),INT(Wages!$B82/10000),""),IFERROR(VALUE(TRIM(LEFT(Wages!$B82,FIND("/",Wages!$B82)-1))),"")))</f>
        <v/>
      </c>
      <c r="D79">
        <f>IF(OR($A79="",$C79=""),"",IF(ISNUMBER(Wages!$B82),INT(MOD(Wages!$B82,10000)/100),IFERROR(VALUE(TRIM(LEFT(MID(Wages!$B82,FIND("/",Wages!$B82)+1,20),FIND("/",MID(Wages!$B82,FIND("/",Wages!$B82)+1,20))-1))),"")))</f>
        <v/>
      </c>
      <c r="E79">
        <f>IF(OR($A79="",$C79=""),"",IF(ISNUMBER(Wages!$B82),MOD(Wages!$B82,100),IFERROR(VALUE(TRIM(MID(MID(Wages!$B82,FIND("/",Wages!$B82)+1,20),FIND("/",MID(Wages!$B82,FIND("/",Wages!$B82)+1,20))+1,20))),"")))</f>
        <v/>
      </c>
      <c r="F79">
        <f>IF($A79="","",IF(OR($C79="",$D79="",$E79="",$C79&lt;1300,$C79&gt;1500,$D79&lt;1,$D79&gt;12,$E79&lt;1,$E79&gt;31),"نامعتبر",RIGHT("0000"&amp;$C79,4)&amp;"/"&amp;RIGHT("00"&amp;$D79,2)&amp;"/"&amp;RIGHT("00"&amp;$E79,2)))</f>
        <v/>
      </c>
      <c r="G79">
        <f>IF(OR($A79="",$F79="",$F79="نامعتبر"),"",LEFT($F79,4)&amp;MID($F79,6,2)&amp;RIGHT($F79,2)&amp;"0000"&amp;"|"&amp;"1"&amp;RIGHT("00000"&amp;74,5))</f>
        <v/>
      </c>
      <c r="H79">
        <f>IF(OR($B79&lt;&gt;1,$G79=""),"",COUNTIFS(LdAParty,$A79,LdAType,1,LdAKey,"&lt;"&amp;$G79)+COUNTIFS(LdBMember,$A79,LdBKey,"&lt;"&amp;$G79)+COUNTIFS(LdCParty,$A79,LdCKey,"&lt;"&amp;$G79)+1)</f>
        <v/>
      </c>
      <c r="I79">
        <f>IF($H79="","",$A79&amp;"|"&amp;RIGHT("000000"&amp;$H79,6))</f>
        <v/>
      </c>
      <c r="J79">
        <f>IF(OR($B79&lt;&gt;2,$G79=""),"",COUNTIFS(LdAParty,$A79,LdAType,2,LdAKey,"&lt;"&amp;$G79)+1)</f>
        <v/>
      </c>
      <c r="K79">
        <f>IF($J79="","",$A79&amp;"|"&amp;RIGHT("000000"&amp;$J79,6))</f>
        <v/>
      </c>
      <c r="L79">
        <f>IF($A79="","",IF(Wages!$G82="",0,Wages!$G82))</f>
        <v/>
      </c>
      <c r="M79">
        <f>IF($A79="","",Wages!$J82)</f>
        <v/>
      </c>
      <c r="N79">
        <f>IF($A79="","",Wages!$D82)</f>
        <v/>
      </c>
      <c r="P79">
        <f>IF(OR(Shares!$B82="",Shares!$C82=""),"",Shares!$C82)</f>
        <v/>
      </c>
      <c r="Q79">
        <f>IF($P79="","",Shares!$B82)</f>
        <v/>
      </c>
      <c r="R79">
        <f>IF($P79="","",IFERROR(INDEX(WageParty,MATCH($Q79,WageIds,0)),""))</f>
        <v/>
      </c>
      <c r="S79">
        <f>IF($P79="","",IFERROR(INDEX($F$6:$F$2005,MATCH($Q79,WageIds,0)),""))</f>
        <v/>
      </c>
      <c r="T79">
        <f>IF(OR($P79="",$S79="",$S79="نامعتبر"),"",LEFT($S79,4)&amp;MID($S79,6,2)&amp;RIGHT($S79,2)&amp;"0000"&amp;"|"&amp;"2"&amp;RIGHT("00000"&amp;74,5))</f>
        <v/>
      </c>
      <c r="U79">
        <f>IF($T79="","",COUNTIFS(LdAParty,$P79,LdAType,1,LdAKey,"&lt;"&amp;$T79)+COUNTIFS(LdBMember,$P79,LdBKey,"&lt;"&amp;$T79)+COUNTIFS(LdCParty,$P79,LdCKey,"&lt;"&amp;$T79)+1)</f>
        <v/>
      </c>
      <c r="V79">
        <f>IF($U79="","",$P79&amp;"|"&amp;RIGHT("000000"&amp;$U79,6))</f>
        <v/>
      </c>
      <c r="W79">
        <f>IF($T79="","",COUNTIFS(LdBGroup,$R79,LdBKey,"&lt;"&amp;$T79)+1)</f>
        <v/>
      </c>
      <c r="X79">
        <f>IF($W79="","",$R79&amp;"|"&amp;RIGHT("000000"&amp;$W79,6))</f>
        <v/>
      </c>
      <c r="Y79">
        <f>IF($P79="","",IF(Shares!$E82="",0,Shares!$E82))</f>
        <v/>
      </c>
      <c r="Z79">
        <f>IF($P79="","",Shares!$H82)</f>
        <v/>
      </c>
      <c r="AE79">
        <f>IF(OR(Sync!$S79="",Sync!$P79=""),"",Sync!$S79)</f>
        <v/>
      </c>
      <c r="AF79">
        <f>IF($AE79="","",IF(ISNUMBER(Sync!$P79),IF(AND(Sync!$P79&gt;=10000101,Sync!$P79&lt;=99991231),INT(Sync!$P79/10000),""),IFERROR(VALUE(TRIM(LEFT(Sync!$P79,FIND("/",Sync!$P79)-1))),"")))</f>
        <v/>
      </c>
      <c r="AG79">
        <f>IF(OR($AE79="",$AF79=""),"",IF(ISNUMBER(Sync!$P79),INT(MOD(Sync!$P79,10000)/100),IFERROR(VALUE(TRIM(LEFT(MID(Sync!$P79,FIND("/",Sync!$P79)+1,20),FIND("/",MID(Sync!$P79,FIND("/",Sync!$P79)+1,20))-1))),"")))</f>
        <v/>
      </c>
      <c r="AH79">
        <f>IF(OR($AE79="",$AF79=""),"",IF(ISNUMBER(Sync!$P79),MOD(Sync!$P79,100),IFERROR(VALUE(TRIM(MID(MID(Sync!$P79,FIND("/",Sync!$P79)+1,20),FIND("/",MID(Sync!$P79,FIND("/",Sync!$P79)+1,20))+1,20))),"")))</f>
        <v/>
      </c>
      <c r="AI79">
        <f>IF($AE79="","",IF(OR($AF79="",$AG79="",$AH79="",$AF79&lt;1300,$AF79&gt;1500,$AG79&lt;1,$AG79&gt;12,$AH79&lt;1,$AH79&gt;31),"نامعتبر",RIGHT("0000"&amp;$AF79,4)&amp;"/"&amp;RIGHT("00"&amp;$AG79,2)&amp;"/"&amp;RIGHT("00"&amp;$AH79,2)))</f>
        <v/>
      </c>
      <c r="AJ79">
        <f>IF($AE79="","",IF(Sync!$Q79="","0000",IF(AND(ISNUMBER(Sync!$Q79),Sync!$Q79&gt;=0,Sync!$Q79&lt;1),RIGHT("00"&amp;HOUR(Sync!$Q79),2)&amp;RIGHT("00"&amp;MINUTE(Sync!$Q79),2),IFERROR(RIGHT("00"&amp;VALUE(LEFT(Sync!$Q79,FIND(":",Sync!$Q79)-1)),2)&amp;RIGHT("00"&amp;VALUE(MID(Sync!$Q79,FIND(":",Sync!$Q79)+1,2)),2),"0000"))))</f>
        <v/>
      </c>
      <c r="AK79">
        <f>IF(OR($AE79="",$AI79="",$AI79="نامعتبر"),"",LEFT($AI79,4)&amp;MID($AI79,6,2)&amp;RIGHT($AI79,2)&amp;$AJ79&amp;"|"&amp;"3"&amp;RIGHT("00000"&amp;74,5))</f>
        <v/>
      </c>
      <c r="AL79">
        <f>IF($AK79="","",COUNTIFS(LdAParty,$AE79,LdAType,1,LdAKey,"&lt;"&amp;$AK79)+COUNTIFS(LdBMember,$AE79,LdBKey,"&lt;"&amp;$AK79)+COUNTIFS(LdCParty,$AE79,LdCKey,"&lt;"&amp;$AK79)+1)</f>
        <v/>
      </c>
      <c r="AM79">
        <f>IF($AL79="","",$AE79&amp;"|"&amp;RIGHT("000000"&amp;$AL79,6))</f>
        <v/>
      </c>
      <c r="AN79">
        <f>IF($AE79="","",IF(Sync!$W79="",0,Sync!$W79))</f>
        <v/>
      </c>
      <c r="AO79">
        <f>IF($AE79="","",IF(Sync!$X79="",0,Sync!$X79))</f>
        <v/>
      </c>
      <c r="AP79">
        <f>IF($AE79="","",Sync!$R79)</f>
        <v/>
      </c>
      <c r="AQ79">
        <f>IF($AE79="","",Sync!$Y79)</f>
        <v/>
      </c>
    </row>
    <row r="80">
      <c r="A80">
        <f>IF(OR(Wages!$B83="",Wages!$E83=""),"",Wages!$E83)</f>
        <v/>
      </c>
      <c r="B80">
        <f>IF($A80="","",IF(Wages!$C83="دستمزد گروهی",2,1))</f>
        <v/>
      </c>
      <c r="C80">
        <f>IF($A80="","",IF(ISNUMBER(Wages!$B83),IF(AND(Wages!$B83&gt;=10000101,Wages!$B83&lt;=99991231),INT(Wages!$B83/10000),""),IFERROR(VALUE(TRIM(LEFT(Wages!$B83,FIND("/",Wages!$B83)-1))),"")))</f>
        <v/>
      </c>
      <c r="D80">
        <f>IF(OR($A80="",$C80=""),"",IF(ISNUMBER(Wages!$B83),INT(MOD(Wages!$B83,10000)/100),IFERROR(VALUE(TRIM(LEFT(MID(Wages!$B83,FIND("/",Wages!$B83)+1,20),FIND("/",MID(Wages!$B83,FIND("/",Wages!$B83)+1,20))-1))),"")))</f>
        <v/>
      </c>
      <c r="E80">
        <f>IF(OR($A80="",$C80=""),"",IF(ISNUMBER(Wages!$B83),MOD(Wages!$B83,100),IFERROR(VALUE(TRIM(MID(MID(Wages!$B83,FIND("/",Wages!$B83)+1,20),FIND("/",MID(Wages!$B83,FIND("/",Wages!$B83)+1,20))+1,20))),"")))</f>
        <v/>
      </c>
      <c r="F80">
        <f>IF($A80="","",IF(OR($C80="",$D80="",$E80="",$C80&lt;1300,$C80&gt;1500,$D80&lt;1,$D80&gt;12,$E80&lt;1,$E80&gt;31),"نامعتبر",RIGHT("0000"&amp;$C80,4)&amp;"/"&amp;RIGHT("00"&amp;$D80,2)&amp;"/"&amp;RIGHT("00"&amp;$E80,2)))</f>
        <v/>
      </c>
      <c r="G80">
        <f>IF(OR($A80="",$F80="",$F80="نامعتبر"),"",LEFT($F80,4)&amp;MID($F80,6,2)&amp;RIGHT($F80,2)&amp;"0000"&amp;"|"&amp;"1"&amp;RIGHT("00000"&amp;75,5))</f>
        <v/>
      </c>
      <c r="H80">
        <f>IF(OR($B80&lt;&gt;1,$G80=""),"",COUNTIFS(LdAParty,$A80,LdAType,1,LdAKey,"&lt;"&amp;$G80)+COUNTIFS(LdBMember,$A80,LdBKey,"&lt;"&amp;$G80)+COUNTIFS(LdCParty,$A80,LdCKey,"&lt;"&amp;$G80)+1)</f>
        <v/>
      </c>
      <c r="I80">
        <f>IF($H80="","",$A80&amp;"|"&amp;RIGHT("000000"&amp;$H80,6))</f>
        <v/>
      </c>
      <c r="J80">
        <f>IF(OR($B80&lt;&gt;2,$G80=""),"",COUNTIFS(LdAParty,$A80,LdAType,2,LdAKey,"&lt;"&amp;$G80)+1)</f>
        <v/>
      </c>
      <c r="K80">
        <f>IF($J80="","",$A80&amp;"|"&amp;RIGHT("000000"&amp;$J80,6))</f>
        <v/>
      </c>
      <c r="L80">
        <f>IF($A80="","",IF(Wages!$G83="",0,Wages!$G83))</f>
        <v/>
      </c>
      <c r="M80">
        <f>IF($A80="","",Wages!$J83)</f>
        <v/>
      </c>
      <c r="N80">
        <f>IF($A80="","",Wages!$D83)</f>
        <v/>
      </c>
      <c r="P80">
        <f>IF(OR(Shares!$B83="",Shares!$C83=""),"",Shares!$C83)</f>
        <v/>
      </c>
      <c r="Q80">
        <f>IF($P80="","",Shares!$B83)</f>
        <v/>
      </c>
      <c r="R80">
        <f>IF($P80="","",IFERROR(INDEX(WageParty,MATCH($Q80,WageIds,0)),""))</f>
        <v/>
      </c>
      <c r="S80">
        <f>IF($P80="","",IFERROR(INDEX($F$6:$F$2005,MATCH($Q80,WageIds,0)),""))</f>
        <v/>
      </c>
      <c r="T80">
        <f>IF(OR($P80="",$S80="",$S80="نامعتبر"),"",LEFT($S80,4)&amp;MID($S80,6,2)&amp;RIGHT($S80,2)&amp;"0000"&amp;"|"&amp;"2"&amp;RIGHT("00000"&amp;75,5))</f>
        <v/>
      </c>
      <c r="U80">
        <f>IF($T80="","",COUNTIFS(LdAParty,$P80,LdAType,1,LdAKey,"&lt;"&amp;$T80)+COUNTIFS(LdBMember,$P80,LdBKey,"&lt;"&amp;$T80)+COUNTIFS(LdCParty,$P80,LdCKey,"&lt;"&amp;$T80)+1)</f>
        <v/>
      </c>
      <c r="V80">
        <f>IF($U80="","",$P80&amp;"|"&amp;RIGHT("000000"&amp;$U80,6))</f>
        <v/>
      </c>
      <c r="W80">
        <f>IF($T80="","",COUNTIFS(LdBGroup,$R80,LdBKey,"&lt;"&amp;$T80)+1)</f>
        <v/>
      </c>
      <c r="X80">
        <f>IF($W80="","",$R80&amp;"|"&amp;RIGHT("000000"&amp;$W80,6))</f>
        <v/>
      </c>
      <c r="Y80">
        <f>IF($P80="","",IF(Shares!$E83="",0,Shares!$E83))</f>
        <v/>
      </c>
      <c r="Z80">
        <f>IF($P80="","",Shares!$H83)</f>
        <v/>
      </c>
      <c r="AE80">
        <f>IF(OR(Sync!$S80="",Sync!$P80=""),"",Sync!$S80)</f>
        <v/>
      </c>
      <c r="AF80">
        <f>IF($AE80="","",IF(ISNUMBER(Sync!$P80),IF(AND(Sync!$P80&gt;=10000101,Sync!$P80&lt;=99991231),INT(Sync!$P80/10000),""),IFERROR(VALUE(TRIM(LEFT(Sync!$P80,FIND("/",Sync!$P80)-1))),"")))</f>
        <v/>
      </c>
      <c r="AG80">
        <f>IF(OR($AE80="",$AF80=""),"",IF(ISNUMBER(Sync!$P80),INT(MOD(Sync!$P80,10000)/100),IFERROR(VALUE(TRIM(LEFT(MID(Sync!$P80,FIND("/",Sync!$P80)+1,20),FIND("/",MID(Sync!$P80,FIND("/",Sync!$P80)+1,20))-1))),"")))</f>
        <v/>
      </c>
      <c r="AH80">
        <f>IF(OR($AE80="",$AF80=""),"",IF(ISNUMBER(Sync!$P80),MOD(Sync!$P80,100),IFERROR(VALUE(TRIM(MID(MID(Sync!$P80,FIND("/",Sync!$P80)+1,20),FIND("/",MID(Sync!$P80,FIND("/",Sync!$P80)+1,20))+1,20))),"")))</f>
        <v/>
      </c>
      <c r="AI80">
        <f>IF($AE80="","",IF(OR($AF80="",$AG80="",$AH80="",$AF80&lt;1300,$AF80&gt;1500,$AG80&lt;1,$AG80&gt;12,$AH80&lt;1,$AH80&gt;31),"نامعتبر",RIGHT("0000"&amp;$AF80,4)&amp;"/"&amp;RIGHT("00"&amp;$AG80,2)&amp;"/"&amp;RIGHT("00"&amp;$AH80,2)))</f>
        <v/>
      </c>
      <c r="AJ80">
        <f>IF($AE80="","",IF(Sync!$Q80="","0000",IF(AND(ISNUMBER(Sync!$Q80),Sync!$Q80&gt;=0,Sync!$Q80&lt;1),RIGHT("00"&amp;HOUR(Sync!$Q80),2)&amp;RIGHT("00"&amp;MINUTE(Sync!$Q80),2),IFERROR(RIGHT("00"&amp;VALUE(LEFT(Sync!$Q80,FIND(":",Sync!$Q80)-1)),2)&amp;RIGHT("00"&amp;VALUE(MID(Sync!$Q80,FIND(":",Sync!$Q80)+1,2)),2),"0000"))))</f>
        <v/>
      </c>
      <c r="AK80">
        <f>IF(OR($AE80="",$AI80="",$AI80="نامعتبر"),"",LEFT($AI80,4)&amp;MID($AI80,6,2)&amp;RIGHT($AI80,2)&amp;$AJ80&amp;"|"&amp;"3"&amp;RIGHT("00000"&amp;75,5))</f>
        <v/>
      </c>
      <c r="AL80">
        <f>IF($AK80="","",COUNTIFS(LdAParty,$AE80,LdAType,1,LdAKey,"&lt;"&amp;$AK80)+COUNTIFS(LdBMember,$AE80,LdBKey,"&lt;"&amp;$AK80)+COUNTIFS(LdCParty,$AE80,LdCKey,"&lt;"&amp;$AK80)+1)</f>
        <v/>
      </c>
      <c r="AM80">
        <f>IF($AL80="","",$AE80&amp;"|"&amp;RIGHT("000000"&amp;$AL80,6))</f>
        <v/>
      </c>
      <c r="AN80">
        <f>IF($AE80="","",IF(Sync!$W80="",0,Sync!$W80))</f>
        <v/>
      </c>
      <c r="AO80">
        <f>IF($AE80="","",IF(Sync!$X80="",0,Sync!$X80))</f>
        <v/>
      </c>
      <c r="AP80">
        <f>IF($AE80="","",Sync!$R80)</f>
        <v/>
      </c>
      <c r="AQ80">
        <f>IF($AE80="","",Sync!$Y80)</f>
        <v/>
      </c>
    </row>
    <row r="81">
      <c r="A81">
        <f>IF(OR(Wages!$B84="",Wages!$E84=""),"",Wages!$E84)</f>
        <v/>
      </c>
      <c r="B81">
        <f>IF($A81="","",IF(Wages!$C84="دستمزد گروهی",2,1))</f>
        <v/>
      </c>
      <c r="C81">
        <f>IF($A81="","",IF(ISNUMBER(Wages!$B84),IF(AND(Wages!$B84&gt;=10000101,Wages!$B84&lt;=99991231),INT(Wages!$B84/10000),""),IFERROR(VALUE(TRIM(LEFT(Wages!$B84,FIND("/",Wages!$B84)-1))),"")))</f>
        <v/>
      </c>
      <c r="D81">
        <f>IF(OR($A81="",$C81=""),"",IF(ISNUMBER(Wages!$B84),INT(MOD(Wages!$B84,10000)/100),IFERROR(VALUE(TRIM(LEFT(MID(Wages!$B84,FIND("/",Wages!$B84)+1,20),FIND("/",MID(Wages!$B84,FIND("/",Wages!$B84)+1,20))-1))),"")))</f>
        <v/>
      </c>
      <c r="E81">
        <f>IF(OR($A81="",$C81=""),"",IF(ISNUMBER(Wages!$B84),MOD(Wages!$B84,100),IFERROR(VALUE(TRIM(MID(MID(Wages!$B84,FIND("/",Wages!$B84)+1,20),FIND("/",MID(Wages!$B84,FIND("/",Wages!$B84)+1,20))+1,20))),"")))</f>
        <v/>
      </c>
      <c r="F81">
        <f>IF($A81="","",IF(OR($C81="",$D81="",$E81="",$C81&lt;1300,$C81&gt;1500,$D81&lt;1,$D81&gt;12,$E81&lt;1,$E81&gt;31),"نامعتبر",RIGHT("0000"&amp;$C81,4)&amp;"/"&amp;RIGHT("00"&amp;$D81,2)&amp;"/"&amp;RIGHT("00"&amp;$E81,2)))</f>
        <v/>
      </c>
      <c r="G81">
        <f>IF(OR($A81="",$F81="",$F81="نامعتبر"),"",LEFT($F81,4)&amp;MID($F81,6,2)&amp;RIGHT($F81,2)&amp;"0000"&amp;"|"&amp;"1"&amp;RIGHT("00000"&amp;76,5))</f>
        <v/>
      </c>
      <c r="H81">
        <f>IF(OR($B81&lt;&gt;1,$G81=""),"",COUNTIFS(LdAParty,$A81,LdAType,1,LdAKey,"&lt;"&amp;$G81)+COUNTIFS(LdBMember,$A81,LdBKey,"&lt;"&amp;$G81)+COUNTIFS(LdCParty,$A81,LdCKey,"&lt;"&amp;$G81)+1)</f>
        <v/>
      </c>
      <c r="I81">
        <f>IF($H81="","",$A81&amp;"|"&amp;RIGHT("000000"&amp;$H81,6))</f>
        <v/>
      </c>
      <c r="J81">
        <f>IF(OR($B81&lt;&gt;2,$G81=""),"",COUNTIFS(LdAParty,$A81,LdAType,2,LdAKey,"&lt;"&amp;$G81)+1)</f>
        <v/>
      </c>
      <c r="K81">
        <f>IF($J81="","",$A81&amp;"|"&amp;RIGHT("000000"&amp;$J81,6))</f>
        <v/>
      </c>
      <c r="L81">
        <f>IF($A81="","",IF(Wages!$G84="",0,Wages!$G84))</f>
        <v/>
      </c>
      <c r="M81">
        <f>IF($A81="","",Wages!$J84)</f>
        <v/>
      </c>
      <c r="N81">
        <f>IF($A81="","",Wages!$D84)</f>
        <v/>
      </c>
      <c r="P81">
        <f>IF(OR(Shares!$B84="",Shares!$C84=""),"",Shares!$C84)</f>
        <v/>
      </c>
      <c r="Q81">
        <f>IF($P81="","",Shares!$B84)</f>
        <v/>
      </c>
      <c r="R81">
        <f>IF($P81="","",IFERROR(INDEX(WageParty,MATCH($Q81,WageIds,0)),""))</f>
        <v/>
      </c>
      <c r="S81">
        <f>IF($P81="","",IFERROR(INDEX($F$6:$F$2005,MATCH($Q81,WageIds,0)),""))</f>
        <v/>
      </c>
      <c r="T81">
        <f>IF(OR($P81="",$S81="",$S81="نامعتبر"),"",LEFT($S81,4)&amp;MID($S81,6,2)&amp;RIGHT($S81,2)&amp;"0000"&amp;"|"&amp;"2"&amp;RIGHT("00000"&amp;76,5))</f>
        <v/>
      </c>
      <c r="U81">
        <f>IF($T81="","",COUNTIFS(LdAParty,$P81,LdAType,1,LdAKey,"&lt;"&amp;$T81)+COUNTIFS(LdBMember,$P81,LdBKey,"&lt;"&amp;$T81)+COUNTIFS(LdCParty,$P81,LdCKey,"&lt;"&amp;$T81)+1)</f>
        <v/>
      </c>
      <c r="V81">
        <f>IF($U81="","",$P81&amp;"|"&amp;RIGHT("000000"&amp;$U81,6))</f>
        <v/>
      </c>
      <c r="W81">
        <f>IF($T81="","",COUNTIFS(LdBGroup,$R81,LdBKey,"&lt;"&amp;$T81)+1)</f>
        <v/>
      </c>
      <c r="X81">
        <f>IF($W81="","",$R81&amp;"|"&amp;RIGHT("000000"&amp;$W81,6))</f>
        <v/>
      </c>
      <c r="Y81">
        <f>IF($P81="","",IF(Shares!$E84="",0,Shares!$E84))</f>
        <v/>
      </c>
      <c r="Z81">
        <f>IF($P81="","",Shares!$H84)</f>
        <v/>
      </c>
      <c r="AE81">
        <f>IF(OR(Sync!$S81="",Sync!$P81=""),"",Sync!$S81)</f>
        <v/>
      </c>
      <c r="AF81">
        <f>IF($AE81="","",IF(ISNUMBER(Sync!$P81),IF(AND(Sync!$P81&gt;=10000101,Sync!$P81&lt;=99991231),INT(Sync!$P81/10000),""),IFERROR(VALUE(TRIM(LEFT(Sync!$P81,FIND("/",Sync!$P81)-1))),"")))</f>
        <v/>
      </c>
      <c r="AG81">
        <f>IF(OR($AE81="",$AF81=""),"",IF(ISNUMBER(Sync!$P81),INT(MOD(Sync!$P81,10000)/100),IFERROR(VALUE(TRIM(LEFT(MID(Sync!$P81,FIND("/",Sync!$P81)+1,20),FIND("/",MID(Sync!$P81,FIND("/",Sync!$P81)+1,20))-1))),"")))</f>
        <v/>
      </c>
      <c r="AH81">
        <f>IF(OR($AE81="",$AF81=""),"",IF(ISNUMBER(Sync!$P81),MOD(Sync!$P81,100),IFERROR(VALUE(TRIM(MID(MID(Sync!$P81,FIND("/",Sync!$P81)+1,20),FIND("/",MID(Sync!$P81,FIND("/",Sync!$P81)+1,20))+1,20))),"")))</f>
        <v/>
      </c>
      <c r="AI81">
        <f>IF($AE81="","",IF(OR($AF81="",$AG81="",$AH81="",$AF81&lt;1300,$AF81&gt;1500,$AG81&lt;1,$AG81&gt;12,$AH81&lt;1,$AH81&gt;31),"نامعتبر",RIGHT("0000"&amp;$AF81,4)&amp;"/"&amp;RIGHT("00"&amp;$AG81,2)&amp;"/"&amp;RIGHT("00"&amp;$AH81,2)))</f>
        <v/>
      </c>
      <c r="AJ81">
        <f>IF($AE81="","",IF(Sync!$Q81="","0000",IF(AND(ISNUMBER(Sync!$Q81),Sync!$Q81&gt;=0,Sync!$Q81&lt;1),RIGHT("00"&amp;HOUR(Sync!$Q81),2)&amp;RIGHT("00"&amp;MINUTE(Sync!$Q81),2),IFERROR(RIGHT("00"&amp;VALUE(LEFT(Sync!$Q81,FIND(":",Sync!$Q81)-1)),2)&amp;RIGHT("00"&amp;VALUE(MID(Sync!$Q81,FIND(":",Sync!$Q81)+1,2)),2),"0000"))))</f>
        <v/>
      </c>
      <c r="AK81">
        <f>IF(OR($AE81="",$AI81="",$AI81="نامعتبر"),"",LEFT($AI81,4)&amp;MID($AI81,6,2)&amp;RIGHT($AI81,2)&amp;$AJ81&amp;"|"&amp;"3"&amp;RIGHT("00000"&amp;76,5))</f>
        <v/>
      </c>
      <c r="AL81">
        <f>IF($AK81="","",COUNTIFS(LdAParty,$AE81,LdAType,1,LdAKey,"&lt;"&amp;$AK81)+COUNTIFS(LdBMember,$AE81,LdBKey,"&lt;"&amp;$AK81)+COUNTIFS(LdCParty,$AE81,LdCKey,"&lt;"&amp;$AK81)+1)</f>
        <v/>
      </c>
      <c r="AM81">
        <f>IF($AL81="","",$AE81&amp;"|"&amp;RIGHT("000000"&amp;$AL81,6))</f>
        <v/>
      </c>
      <c r="AN81">
        <f>IF($AE81="","",IF(Sync!$W81="",0,Sync!$W81))</f>
        <v/>
      </c>
      <c r="AO81">
        <f>IF($AE81="","",IF(Sync!$X81="",0,Sync!$X81))</f>
        <v/>
      </c>
      <c r="AP81">
        <f>IF($AE81="","",Sync!$R81)</f>
        <v/>
      </c>
      <c r="AQ81">
        <f>IF($AE81="","",Sync!$Y81)</f>
        <v/>
      </c>
    </row>
    <row r="82">
      <c r="A82">
        <f>IF(OR(Wages!$B85="",Wages!$E85=""),"",Wages!$E85)</f>
        <v/>
      </c>
      <c r="B82">
        <f>IF($A82="","",IF(Wages!$C85="دستمزد گروهی",2,1))</f>
        <v/>
      </c>
      <c r="C82">
        <f>IF($A82="","",IF(ISNUMBER(Wages!$B85),IF(AND(Wages!$B85&gt;=10000101,Wages!$B85&lt;=99991231),INT(Wages!$B85/10000),""),IFERROR(VALUE(TRIM(LEFT(Wages!$B85,FIND("/",Wages!$B85)-1))),"")))</f>
        <v/>
      </c>
      <c r="D82">
        <f>IF(OR($A82="",$C82=""),"",IF(ISNUMBER(Wages!$B85),INT(MOD(Wages!$B85,10000)/100),IFERROR(VALUE(TRIM(LEFT(MID(Wages!$B85,FIND("/",Wages!$B85)+1,20),FIND("/",MID(Wages!$B85,FIND("/",Wages!$B85)+1,20))-1))),"")))</f>
        <v/>
      </c>
      <c r="E82">
        <f>IF(OR($A82="",$C82=""),"",IF(ISNUMBER(Wages!$B85),MOD(Wages!$B85,100),IFERROR(VALUE(TRIM(MID(MID(Wages!$B85,FIND("/",Wages!$B85)+1,20),FIND("/",MID(Wages!$B85,FIND("/",Wages!$B85)+1,20))+1,20))),"")))</f>
        <v/>
      </c>
      <c r="F82">
        <f>IF($A82="","",IF(OR($C82="",$D82="",$E82="",$C82&lt;1300,$C82&gt;1500,$D82&lt;1,$D82&gt;12,$E82&lt;1,$E82&gt;31),"نامعتبر",RIGHT("0000"&amp;$C82,4)&amp;"/"&amp;RIGHT("00"&amp;$D82,2)&amp;"/"&amp;RIGHT("00"&amp;$E82,2)))</f>
        <v/>
      </c>
      <c r="G82">
        <f>IF(OR($A82="",$F82="",$F82="نامعتبر"),"",LEFT($F82,4)&amp;MID($F82,6,2)&amp;RIGHT($F82,2)&amp;"0000"&amp;"|"&amp;"1"&amp;RIGHT("00000"&amp;77,5))</f>
        <v/>
      </c>
      <c r="H82">
        <f>IF(OR($B82&lt;&gt;1,$G82=""),"",COUNTIFS(LdAParty,$A82,LdAType,1,LdAKey,"&lt;"&amp;$G82)+COUNTIFS(LdBMember,$A82,LdBKey,"&lt;"&amp;$G82)+COUNTIFS(LdCParty,$A82,LdCKey,"&lt;"&amp;$G82)+1)</f>
        <v/>
      </c>
      <c r="I82">
        <f>IF($H82="","",$A82&amp;"|"&amp;RIGHT("000000"&amp;$H82,6))</f>
        <v/>
      </c>
      <c r="J82">
        <f>IF(OR($B82&lt;&gt;2,$G82=""),"",COUNTIFS(LdAParty,$A82,LdAType,2,LdAKey,"&lt;"&amp;$G82)+1)</f>
        <v/>
      </c>
      <c r="K82">
        <f>IF($J82="","",$A82&amp;"|"&amp;RIGHT("000000"&amp;$J82,6))</f>
        <v/>
      </c>
      <c r="L82">
        <f>IF($A82="","",IF(Wages!$G85="",0,Wages!$G85))</f>
        <v/>
      </c>
      <c r="M82">
        <f>IF($A82="","",Wages!$J85)</f>
        <v/>
      </c>
      <c r="N82">
        <f>IF($A82="","",Wages!$D85)</f>
        <v/>
      </c>
      <c r="P82">
        <f>IF(OR(Shares!$B85="",Shares!$C85=""),"",Shares!$C85)</f>
        <v/>
      </c>
      <c r="Q82">
        <f>IF($P82="","",Shares!$B85)</f>
        <v/>
      </c>
      <c r="R82">
        <f>IF($P82="","",IFERROR(INDEX(WageParty,MATCH($Q82,WageIds,0)),""))</f>
        <v/>
      </c>
      <c r="S82">
        <f>IF($P82="","",IFERROR(INDEX($F$6:$F$2005,MATCH($Q82,WageIds,0)),""))</f>
        <v/>
      </c>
      <c r="T82">
        <f>IF(OR($P82="",$S82="",$S82="نامعتبر"),"",LEFT($S82,4)&amp;MID($S82,6,2)&amp;RIGHT($S82,2)&amp;"0000"&amp;"|"&amp;"2"&amp;RIGHT("00000"&amp;77,5))</f>
        <v/>
      </c>
      <c r="U82">
        <f>IF($T82="","",COUNTIFS(LdAParty,$P82,LdAType,1,LdAKey,"&lt;"&amp;$T82)+COUNTIFS(LdBMember,$P82,LdBKey,"&lt;"&amp;$T82)+COUNTIFS(LdCParty,$P82,LdCKey,"&lt;"&amp;$T82)+1)</f>
        <v/>
      </c>
      <c r="V82">
        <f>IF($U82="","",$P82&amp;"|"&amp;RIGHT("000000"&amp;$U82,6))</f>
        <v/>
      </c>
      <c r="W82">
        <f>IF($T82="","",COUNTIFS(LdBGroup,$R82,LdBKey,"&lt;"&amp;$T82)+1)</f>
        <v/>
      </c>
      <c r="X82">
        <f>IF($W82="","",$R82&amp;"|"&amp;RIGHT("000000"&amp;$W82,6))</f>
        <v/>
      </c>
      <c r="Y82">
        <f>IF($P82="","",IF(Shares!$E85="",0,Shares!$E85))</f>
        <v/>
      </c>
      <c r="Z82">
        <f>IF($P82="","",Shares!$H85)</f>
        <v/>
      </c>
      <c r="AE82">
        <f>IF(OR(Sync!$S82="",Sync!$P82=""),"",Sync!$S82)</f>
        <v/>
      </c>
      <c r="AF82">
        <f>IF($AE82="","",IF(ISNUMBER(Sync!$P82),IF(AND(Sync!$P82&gt;=10000101,Sync!$P82&lt;=99991231),INT(Sync!$P82/10000),""),IFERROR(VALUE(TRIM(LEFT(Sync!$P82,FIND("/",Sync!$P82)-1))),"")))</f>
        <v/>
      </c>
      <c r="AG82">
        <f>IF(OR($AE82="",$AF82=""),"",IF(ISNUMBER(Sync!$P82),INT(MOD(Sync!$P82,10000)/100),IFERROR(VALUE(TRIM(LEFT(MID(Sync!$P82,FIND("/",Sync!$P82)+1,20),FIND("/",MID(Sync!$P82,FIND("/",Sync!$P82)+1,20))-1))),"")))</f>
        <v/>
      </c>
      <c r="AH82">
        <f>IF(OR($AE82="",$AF82=""),"",IF(ISNUMBER(Sync!$P82),MOD(Sync!$P82,100),IFERROR(VALUE(TRIM(MID(MID(Sync!$P82,FIND("/",Sync!$P82)+1,20),FIND("/",MID(Sync!$P82,FIND("/",Sync!$P82)+1,20))+1,20))),"")))</f>
        <v/>
      </c>
      <c r="AI82">
        <f>IF($AE82="","",IF(OR($AF82="",$AG82="",$AH82="",$AF82&lt;1300,$AF82&gt;1500,$AG82&lt;1,$AG82&gt;12,$AH82&lt;1,$AH82&gt;31),"نامعتبر",RIGHT("0000"&amp;$AF82,4)&amp;"/"&amp;RIGHT("00"&amp;$AG82,2)&amp;"/"&amp;RIGHT("00"&amp;$AH82,2)))</f>
        <v/>
      </c>
      <c r="AJ82">
        <f>IF($AE82="","",IF(Sync!$Q82="","0000",IF(AND(ISNUMBER(Sync!$Q82),Sync!$Q82&gt;=0,Sync!$Q82&lt;1),RIGHT("00"&amp;HOUR(Sync!$Q82),2)&amp;RIGHT("00"&amp;MINUTE(Sync!$Q82),2),IFERROR(RIGHT("00"&amp;VALUE(LEFT(Sync!$Q82,FIND(":",Sync!$Q82)-1)),2)&amp;RIGHT("00"&amp;VALUE(MID(Sync!$Q82,FIND(":",Sync!$Q82)+1,2)),2),"0000"))))</f>
        <v/>
      </c>
      <c r="AK82">
        <f>IF(OR($AE82="",$AI82="",$AI82="نامعتبر"),"",LEFT($AI82,4)&amp;MID($AI82,6,2)&amp;RIGHT($AI82,2)&amp;$AJ82&amp;"|"&amp;"3"&amp;RIGHT("00000"&amp;77,5))</f>
        <v/>
      </c>
      <c r="AL82">
        <f>IF($AK82="","",COUNTIFS(LdAParty,$AE82,LdAType,1,LdAKey,"&lt;"&amp;$AK82)+COUNTIFS(LdBMember,$AE82,LdBKey,"&lt;"&amp;$AK82)+COUNTIFS(LdCParty,$AE82,LdCKey,"&lt;"&amp;$AK82)+1)</f>
        <v/>
      </c>
      <c r="AM82">
        <f>IF($AL82="","",$AE82&amp;"|"&amp;RIGHT("000000"&amp;$AL82,6))</f>
        <v/>
      </c>
      <c r="AN82">
        <f>IF($AE82="","",IF(Sync!$W82="",0,Sync!$W82))</f>
        <v/>
      </c>
      <c r="AO82">
        <f>IF($AE82="","",IF(Sync!$X82="",0,Sync!$X82))</f>
        <v/>
      </c>
      <c r="AP82">
        <f>IF($AE82="","",Sync!$R82)</f>
        <v/>
      </c>
      <c r="AQ82">
        <f>IF($AE82="","",Sync!$Y82)</f>
        <v/>
      </c>
    </row>
    <row r="83">
      <c r="A83">
        <f>IF(OR(Wages!$B86="",Wages!$E86=""),"",Wages!$E86)</f>
        <v/>
      </c>
      <c r="B83">
        <f>IF($A83="","",IF(Wages!$C86="دستمزد گروهی",2,1))</f>
        <v/>
      </c>
      <c r="C83">
        <f>IF($A83="","",IF(ISNUMBER(Wages!$B86),IF(AND(Wages!$B86&gt;=10000101,Wages!$B86&lt;=99991231),INT(Wages!$B86/10000),""),IFERROR(VALUE(TRIM(LEFT(Wages!$B86,FIND("/",Wages!$B86)-1))),"")))</f>
        <v/>
      </c>
      <c r="D83">
        <f>IF(OR($A83="",$C83=""),"",IF(ISNUMBER(Wages!$B86),INT(MOD(Wages!$B86,10000)/100),IFERROR(VALUE(TRIM(LEFT(MID(Wages!$B86,FIND("/",Wages!$B86)+1,20),FIND("/",MID(Wages!$B86,FIND("/",Wages!$B86)+1,20))-1))),"")))</f>
        <v/>
      </c>
      <c r="E83">
        <f>IF(OR($A83="",$C83=""),"",IF(ISNUMBER(Wages!$B86),MOD(Wages!$B86,100),IFERROR(VALUE(TRIM(MID(MID(Wages!$B86,FIND("/",Wages!$B86)+1,20),FIND("/",MID(Wages!$B86,FIND("/",Wages!$B86)+1,20))+1,20))),"")))</f>
        <v/>
      </c>
      <c r="F83">
        <f>IF($A83="","",IF(OR($C83="",$D83="",$E83="",$C83&lt;1300,$C83&gt;1500,$D83&lt;1,$D83&gt;12,$E83&lt;1,$E83&gt;31),"نامعتبر",RIGHT("0000"&amp;$C83,4)&amp;"/"&amp;RIGHT("00"&amp;$D83,2)&amp;"/"&amp;RIGHT("00"&amp;$E83,2)))</f>
        <v/>
      </c>
      <c r="G83">
        <f>IF(OR($A83="",$F83="",$F83="نامعتبر"),"",LEFT($F83,4)&amp;MID($F83,6,2)&amp;RIGHT($F83,2)&amp;"0000"&amp;"|"&amp;"1"&amp;RIGHT("00000"&amp;78,5))</f>
        <v/>
      </c>
      <c r="H83">
        <f>IF(OR($B83&lt;&gt;1,$G83=""),"",COUNTIFS(LdAParty,$A83,LdAType,1,LdAKey,"&lt;"&amp;$G83)+COUNTIFS(LdBMember,$A83,LdBKey,"&lt;"&amp;$G83)+COUNTIFS(LdCParty,$A83,LdCKey,"&lt;"&amp;$G83)+1)</f>
        <v/>
      </c>
      <c r="I83">
        <f>IF($H83="","",$A83&amp;"|"&amp;RIGHT("000000"&amp;$H83,6))</f>
        <v/>
      </c>
      <c r="J83">
        <f>IF(OR($B83&lt;&gt;2,$G83=""),"",COUNTIFS(LdAParty,$A83,LdAType,2,LdAKey,"&lt;"&amp;$G83)+1)</f>
        <v/>
      </c>
      <c r="K83">
        <f>IF($J83="","",$A83&amp;"|"&amp;RIGHT("000000"&amp;$J83,6))</f>
        <v/>
      </c>
      <c r="L83">
        <f>IF($A83="","",IF(Wages!$G86="",0,Wages!$G86))</f>
        <v/>
      </c>
      <c r="M83">
        <f>IF($A83="","",Wages!$J86)</f>
        <v/>
      </c>
      <c r="N83">
        <f>IF($A83="","",Wages!$D86)</f>
        <v/>
      </c>
      <c r="P83">
        <f>IF(OR(Shares!$B86="",Shares!$C86=""),"",Shares!$C86)</f>
        <v/>
      </c>
      <c r="Q83">
        <f>IF($P83="","",Shares!$B86)</f>
        <v/>
      </c>
      <c r="R83">
        <f>IF($P83="","",IFERROR(INDEX(WageParty,MATCH($Q83,WageIds,0)),""))</f>
        <v/>
      </c>
      <c r="S83">
        <f>IF($P83="","",IFERROR(INDEX($F$6:$F$2005,MATCH($Q83,WageIds,0)),""))</f>
        <v/>
      </c>
      <c r="T83">
        <f>IF(OR($P83="",$S83="",$S83="نامعتبر"),"",LEFT($S83,4)&amp;MID($S83,6,2)&amp;RIGHT($S83,2)&amp;"0000"&amp;"|"&amp;"2"&amp;RIGHT("00000"&amp;78,5))</f>
        <v/>
      </c>
      <c r="U83">
        <f>IF($T83="","",COUNTIFS(LdAParty,$P83,LdAType,1,LdAKey,"&lt;"&amp;$T83)+COUNTIFS(LdBMember,$P83,LdBKey,"&lt;"&amp;$T83)+COUNTIFS(LdCParty,$P83,LdCKey,"&lt;"&amp;$T83)+1)</f>
        <v/>
      </c>
      <c r="V83">
        <f>IF($U83="","",$P83&amp;"|"&amp;RIGHT("000000"&amp;$U83,6))</f>
        <v/>
      </c>
      <c r="W83">
        <f>IF($T83="","",COUNTIFS(LdBGroup,$R83,LdBKey,"&lt;"&amp;$T83)+1)</f>
        <v/>
      </c>
      <c r="X83">
        <f>IF($W83="","",$R83&amp;"|"&amp;RIGHT("000000"&amp;$W83,6))</f>
        <v/>
      </c>
      <c r="Y83">
        <f>IF($P83="","",IF(Shares!$E86="",0,Shares!$E86))</f>
        <v/>
      </c>
      <c r="Z83">
        <f>IF($P83="","",Shares!$H86)</f>
        <v/>
      </c>
      <c r="AE83">
        <f>IF(OR(Sync!$S83="",Sync!$P83=""),"",Sync!$S83)</f>
        <v/>
      </c>
      <c r="AF83">
        <f>IF($AE83="","",IF(ISNUMBER(Sync!$P83),IF(AND(Sync!$P83&gt;=10000101,Sync!$P83&lt;=99991231),INT(Sync!$P83/10000),""),IFERROR(VALUE(TRIM(LEFT(Sync!$P83,FIND("/",Sync!$P83)-1))),"")))</f>
        <v/>
      </c>
      <c r="AG83">
        <f>IF(OR($AE83="",$AF83=""),"",IF(ISNUMBER(Sync!$P83),INT(MOD(Sync!$P83,10000)/100),IFERROR(VALUE(TRIM(LEFT(MID(Sync!$P83,FIND("/",Sync!$P83)+1,20),FIND("/",MID(Sync!$P83,FIND("/",Sync!$P83)+1,20))-1))),"")))</f>
        <v/>
      </c>
      <c r="AH83">
        <f>IF(OR($AE83="",$AF83=""),"",IF(ISNUMBER(Sync!$P83),MOD(Sync!$P83,100),IFERROR(VALUE(TRIM(MID(MID(Sync!$P83,FIND("/",Sync!$P83)+1,20),FIND("/",MID(Sync!$P83,FIND("/",Sync!$P83)+1,20))+1,20))),"")))</f>
        <v/>
      </c>
      <c r="AI83">
        <f>IF($AE83="","",IF(OR($AF83="",$AG83="",$AH83="",$AF83&lt;1300,$AF83&gt;1500,$AG83&lt;1,$AG83&gt;12,$AH83&lt;1,$AH83&gt;31),"نامعتبر",RIGHT("0000"&amp;$AF83,4)&amp;"/"&amp;RIGHT("00"&amp;$AG83,2)&amp;"/"&amp;RIGHT("00"&amp;$AH83,2)))</f>
        <v/>
      </c>
      <c r="AJ83">
        <f>IF($AE83="","",IF(Sync!$Q83="","0000",IF(AND(ISNUMBER(Sync!$Q83),Sync!$Q83&gt;=0,Sync!$Q83&lt;1),RIGHT("00"&amp;HOUR(Sync!$Q83),2)&amp;RIGHT("00"&amp;MINUTE(Sync!$Q83),2),IFERROR(RIGHT("00"&amp;VALUE(LEFT(Sync!$Q83,FIND(":",Sync!$Q83)-1)),2)&amp;RIGHT("00"&amp;VALUE(MID(Sync!$Q83,FIND(":",Sync!$Q83)+1,2)),2),"0000"))))</f>
        <v/>
      </c>
      <c r="AK83">
        <f>IF(OR($AE83="",$AI83="",$AI83="نامعتبر"),"",LEFT($AI83,4)&amp;MID($AI83,6,2)&amp;RIGHT($AI83,2)&amp;$AJ83&amp;"|"&amp;"3"&amp;RIGHT("00000"&amp;78,5))</f>
        <v/>
      </c>
      <c r="AL83">
        <f>IF($AK83="","",COUNTIFS(LdAParty,$AE83,LdAType,1,LdAKey,"&lt;"&amp;$AK83)+COUNTIFS(LdBMember,$AE83,LdBKey,"&lt;"&amp;$AK83)+COUNTIFS(LdCParty,$AE83,LdCKey,"&lt;"&amp;$AK83)+1)</f>
        <v/>
      </c>
      <c r="AM83">
        <f>IF($AL83="","",$AE83&amp;"|"&amp;RIGHT("000000"&amp;$AL83,6))</f>
        <v/>
      </c>
      <c r="AN83">
        <f>IF($AE83="","",IF(Sync!$W83="",0,Sync!$W83))</f>
        <v/>
      </c>
      <c r="AO83">
        <f>IF($AE83="","",IF(Sync!$X83="",0,Sync!$X83))</f>
        <v/>
      </c>
      <c r="AP83">
        <f>IF($AE83="","",Sync!$R83)</f>
        <v/>
      </c>
      <c r="AQ83">
        <f>IF($AE83="","",Sync!$Y83)</f>
        <v/>
      </c>
    </row>
    <row r="84">
      <c r="A84">
        <f>IF(OR(Wages!$B87="",Wages!$E87=""),"",Wages!$E87)</f>
        <v/>
      </c>
      <c r="B84">
        <f>IF($A84="","",IF(Wages!$C87="دستمزد گروهی",2,1))</f>
        <v/>
      </c>
      <c r="C84">
        <f>IF($A84="","",IF(ISNUMBER(Wages!$B87),IF(AND(Wages!$B87&gt;=10000101,Wages!$B87&lt;=99991231),INT(Wages!$B87/10000),""),IFERROR(VALUE(TRIM(LEFT(Wages!$B87,FIND("/",Wages!$B87)-1))),"")))</f>
        <v/>
      </c>
      <c r="D84">
        <f>IF(OR($A84="",$C84=""),"",IF(ISNUMBER(Wages!$B87),INT(MOD(Wages!$B87,10000)/100),IFERROR(VALUE(TRIM(LEFT(MID(Wages!$B87,FIND("/",Wages!$B87)+1,20),FIND("/",MID(Wages!$B87,FIND("/",Wages!$B87)+1,20))-1))),"")))</f>
        <v/>
      </c>
      <c r="E84">
        <f>IF(OR($A84="",$C84=""),"",IF(ISNUMBER(Wages!$B87),MOD(Wages!$B87,100),IFERROR(VALUE(TRIM(MID(MID(Wages!$B87,FIND("/",Wages!$B87)+1,20),FIND("/",MID(Wages!$B87,FIND("/",Wages!$B87)+1,20))+1,20))),"")))</f>
        <v/>
      </c>
      <c r="F84">
        <f>IF($A84="","",IF(OR($C84="",$D84="",$E84="",$C84&lt;1300,$C84&gt;1500,$D84&lt;1,$D84&gt;12,$E84&lt;1,$E84&gt;31),"نامعتبر",RIGHT("0000"&amp;$C84,4)&amp;"/"&amp;RIGHT("00"&amp;$D84,2)&amp;"/"&amp;RIGHT("00"&amp;$E84,2)))</f>
        <v/>
      </c>
      <c r="G84">
        <f>IF(OR($A84="",$F84="",$F84="نامعتبر"),"",LEFT($F84,4)&amp;MID($F84,6,2)&amp;RIGHT($F84,2)&amp;"0000"&amp;"|"&amp;"1"&amp;RIGHT("00000"&amp;79,5))</f>
        <v/>
      </c>
      <c r="H84">
        <f>IF(OR($B84&lt;&gt;1,$G84=""),"",COUNTIFS(LdAParty,$A84,LdAType,1,LdAKey,"&lt;"&amp;$G84)+COUNTIFS(LdBMember,$A84,LdBKey,"&lt;"&amp;$G84)+COUNTIFS(LdCParty,$A84,LdCKey,"&lt;"&amp;$G84)+1)</f>
        <v/>
      </c>
      <c r="I84">
        <f>IF($H84="","",$A84&amp;"|"&amp;RIGHT("000000"&amp;$H84,6))</f>
        <v/>
      </c>
      <c r="J84">
        <f>IF(OR($B84&lt;&gt;2,$G84=""),"",COUNTIFS(LdAParty,$A84,LdAType,2,LdAKey,"&lt;"&amp;$G84)+1)</f>
        <v/>
      </c>
      <c r="K84">
        <f>IF($J84="","",$A84&amp;"|"&amp;RIGHT("000000"&amp;$J84,6))</f>
        <v/>
      </c>
      <c r="L84">
        <f>IF($A84="","",IF(Wages!$G87="",0,Wages!$G87))</f>
        <v/>
      </c>
      <c r="M84">
        <f>IF($A84="","",Wages!$J87)</f>
        <v/>
      </c>
      <c r="N84">
        <f>IF($A84="","",Wages!$D87)</f>
        <v/>
      </c>
      <c r="P84">
        <f>IF(OR(Shares!$B87="",Shares!$C87=""),"",Shares!$C87)</f>
        <v/>
      </c>
      <c r="Q84">
        <f>IF($P84="","",Shares!$B87)</f>
        <v/>
      </c>
      <c r="R84">
        <f>IF($P84="","",IFERROR(INDEX(WageParty,MATCH($Q84,WageIds,0)),""))</f>
        <v/>
      </c>
      <c r="S84">
        <f>IF($P84="","",IFERROR(INDEX($F$6:$F$2005,MATCH($Q84,WageIds,0)),""))</f>
        <v/>
      </c>
      <c r="T84">
        <f>IF(OR($P84="",$S84="",$S84="نامعتبر"),"",LEFT($S84,4)&amp;MID($S84,6,2)&amp;RIGHT($S84,2)&amp;"0000"&amp;"|"&amp;"2"&amp;RIGHT("00000"&amp;79,5))</f>
        <v/>
      </c>
      <c r="U84">
        <f>IF($T84="","",COUNTIFS(LdAParty,$P84,LdAType,1,LdAKey,"&lt;"&amp;$T84)+COUNTIFS(LdBMember,$P84,LdBKey,"&lt;"&amp;$T84)+COUNTIFS(LdCParty,$P84,LdCKey,"&lt;"&amp;$T84)+1)</f>
        <v/>
      </c>
      <c r="V84">
        <f>IF($U84="","",$P84&amp;"|"&amp;RIGHT("000000"&amp;$U84,6))</f>
        <v/>
      </c>
      <c r="W84">
        <f>IF($T84="","",COUNTIFS(LdBGroup,$R84,LdBKey,"&lt;"&amp;$T84)+1)</f>
        <v/>
      </c>
      <c r="X84">
        <f>IF($W84="","",$R84&amp;"|"&amp;RIGHT("000000"&amp;$W84,6))</f>
        <v/>
      </c>
      <c r="Y84">
        <f>IF($P84="","",IF(Shares!$E87="",0,Shares!$E87))</f>
        <v/>
      </c>
      <c r="Z84">
        <f>IF($P84="","",Shares!$H87)</f>
        <v/>
      </c>
      <c r="AE84">
        <f>IF(OR(Sync!$S84="",Sync!$P84=""),"",Sync!$S84)</f>
        <v/>
      </c>
      <c r="AF84">
        <f>IF($AE84="","",IF(ISNUMBER(Sync!$P84),IF(AND(Sync!$P84&gt;=10000101,Sync!$P84&lt;=99991231),INT(Sync!$P84/10000),""),IFERROR(VALUE(TRIM(LEFT(Sync!$P84,FIND("/",Sync!$P84)-1))),"")))</f>
        <v/>
      </c>
      <c r="AG84">
        <f>IF(OR($AE84="",$AF84=""),"",IF(ISNUMBER(Sync!$P84),INT(MOD(Sync!$P84,10000)/100),IFERROR(VALUE(TRIM(LEFT(MID(Sync!$P84,FIND("/",Sync!$P84)+1,20),FIND("/",MID(Sync!$P84,FIND("/",Sync!$P84)+1,20))-1))),"")))</f>
        <v/>
      </c>
      <c r="AH84">
        <f>IF(OR($AE84="",$AF84=""),"",IF(ISNUMBER(Sync!$P84),MOD(Sync!$P84,100),IFERROR(VALUE(TRIM(MID(MID(Sync!$P84,FIND("/",Sync!$P84)+1,20),FIND("/",MID(Sync!$P84,FIND("/",Sync!$P84)+1,20))+1,20))),"")))</f>
        <v/>
      </c>
      <c r="AI84">
        <f>IF($AE84="","",IF(OR($AF84="",$AG84="",$AH84="",$AF84&lt;1300,$AF84&gt;1500,$AG84&lt;1,$AG84&gt;12,$AH84&lt;1,$AH84&gt;31),"نامعتبر",RIGHT("0000"&amp;$AF84,4)&amp;"/"&amp;RIGHT("00"&amp;$AG84,2)&amp;"/"&amp;RIGHT("00"&amp;$AH84,2)))</f>
        <v/>
      </c>
      <c r="AJ84">
        <f>IF($AE84="","",IF(Sync!$Q84="","0000",IF(AND(ISNUMBER(Sync!$Q84),Sync!$Q84&gt;=0,Sync!$Q84&lt;1),RIGHT("00"&amp;HOUR(Sync!$Q84),2)&amp;RIGHT("00"&amp;MINUTE(Sync!$Q84),2),IFERROR(RIGHT("00"&amp;VALUE(LEFT(Sync!$Q84,FIND(":",Sync!$Q84)-1)),2)&amp;RIGHT("00"&amp;VALUE(MID(Sync!$Q84,FIND(":",Sync!$Q84)+1,2)),2),"0000"))))</f>
        <v/>
      </c>
      <c r="AK84">
        <f>IF(OR($AE84="",$AI84="",$AI84="نامعتبر"),"",LEFT($AI84,4)&amp;MID($AI84,6,2)&amp;RIGHT($AI84,2)&amp;$AJ84&amp;"|"&amp;"3"&amp;RIGHT("00000"&amp;79,5))</f>
        <v/>
      </c>
      <c r="AL84">
        <f>IF($AK84="","",COUNTIFS(LdAParty,$AE84,LdAType,1,LdAKey,"&lt;"&amp;$AK84)+COUNTIFS(LdBMember,$AE84,LdBKey,"&lt;"&amp;$AK84)+COUNTIFS(LdCParty,$AE84,LdCKey,"&lt;"&amp;$AK84)+1)</f>
        <v/>
      </c>
      <c r="AM84">
        <f>IF($AL84="","",$AE84&amp;"|"&amp;RIGHT("000000"&amp;$AL84,6))</f>
        <v/>
      </c>
      <c r="AN84">
        <f>IF($AE84="","",IF(Sync!$W84="",0,Sync!$W84))</f>
        <v/>
      </c>
      <c r="AO84">
        <f>IF($AE84="","",IF(Sync!$X84="",0,Sync!$X84))</f>
        <v/>
      </c>
      <c r="AP84">
        <f>IF($AE84="","",Sync!$R84)</f>
        <v/>
      </c>
      <c r="AQ84">
        <f>IF($AE84="","",Sync!$Y84)</f>
        <v/>
      </c>
    </row>
    <row r="85">
      <c r="A85">
        <f>IF(OR(Wages!$B88="",Wages!$E88=""),"",Wages!$E88)</f>
        <v/>
      </c>
      <c r="B85">
        <f>IF($A85="","",IF(Wages!$C88="دستمزد گروهی",2,1))</f>
        <v/>
      </c>
      <c r="C85">
        <f>IF($A85="","",IF(ISNUMBER(Wages!$B88),IF(AND(Wages!$B88&gt;=10000101,Wages!$B88&lt;=99991231),INT(Wages!$B88/10000),""),IFERROR(VALUE(TRIM(LEFT(Wages!$B88,FIND("/",Wages!$B88)-1))),"")))</f>
        <v/>
      </c>
      <c r="D85">
        <f>IF(OR($A85="",$C85=""),"",IF(ISNUMBER(Wages!$B88),INT(MOD(Wages!$B88,10000)/100),IFERROR(VALUE(TRIM(LEFT(MID(Wages!$B88,FIND("/",Wages!$B88)+1,20),FIND("/",MID(Wages!$B88,FIND("/",Wages!$B88)+1,20))-1))),"")))</f>
        <v/>
      </c>
      <c r="E85">
        <f>IF(OR($A85="",$C85=""),"",IF(ISNUMBER(Wages!$B88),MOD(Wages!$B88,100),IFERROR(VALUE(TRIM(MID(MID(Wages!$B88,FIND("/",Wages!$B88)+1,20),FIND("/",MID(Wages!$B88,FIND("/",Wages!$B88)+1,20))+1,20))),"")))</f>
        <v/>
      </c>
      <c r="F85">
        <f>IF($A85="","",IF(OR($C85="",$D85="",$E85="",$C85&lt;1300,$C85&gt;1500,$D85&lt;1,$D85&gt;12,$E85&lt;1,$E85&gt;31),"نامعتبر",RIGHT("0000"&amp;$C85,4)&amp;"/"&amp;RIGHT("00"&amp;$D85,2)&amp;"/"&amp;RIGHT("00"&amp;$E85,2)))</f>
        <v/>
      </c>
      <c r="G85">
        <f>IF(OR($A85="",$F85="",$F85="نامعتبر"),"",LEFT($F85,4)&amp;MID($F85,6,2)&amp;RIGHT($F85,2)&amp;"0000"&amp;"|"&amp;"1"&amp;RIGHT("00000"&amp;80,5))</f>
        <v/>
      </c>
      <c r="H85">
        <f>IF(OR($B85&lt;&gt;1,$G85=""),"",COUNTIFS(LdAParty,$A85,LdAType,1,LdAKey,"&lt;"&amp;$G85)+COUNTIFS(LdBMember,$A85,LdBKey,"&lt;"&amp;$G85)+COUNTIFS(LdCParty,$A85,LdCKey,"&lt;"&amp;$G85)+1)</f>
        <v/>
      </c>
      <c r="I85">
        <f>IF($H85="","",$A85&amp;"|"&amp;RIGHT("000000"&amp;$H85,6))</f>
        <v/>
      </c>
      <c r="J85">
        <f>IF(OR($B85&lt;&gt;2,$G85=""),"",COUNTIFS(LdAParty,$A85,LdAType,2,LdAKey,"&lt;"&amp;$G85)+1)</f>
        <v/>
      </c>
      <c r="K85">
        <f>IF($J85="","",$A85&amp;"|"&amp;RIGHT("000000"&amp;$J85,6))</f>
        <v/>
      </c>
      <c r="L85">
        <f>IF($A85="","",IF(Wages!$G88="",0,Wages!$G88))</f>
        <v/>
      </c>
      <c r="M85">
        <f>IF($A85="","",Wages!$J88)</f>
        <v/>
      </c>
      <c r="N85">
        <f>IF($A85="","",Wages!$D88)</f>
        <v/>
      </c>
      <c r="P85">
        <f>IF(OR(Shares!$B88="",Shares!$C88=""),"",Shares!$C88)</f>
        <v/>
      </c>
      <c r="Q85">
        <f>IF($P85="","",Shares!$B88)</f>
        <v/>
      </c>
      <c r="R85">
        <f>IF($P85="","",IFERROR(INDEX(WageParty,MATCH($Q85,WageIds,0)),""))</f>
        <v/>
      </c>
      <c r="S85">
        <f>IF($P85="","",IFERROR(INDEX($F$6:$F$2005,MATCH($Q85,WageIds,0)),""))</f>
        <v/>
      </c>
      <c r="T85">
        <f>IF(OR($P85="",$S85="",$S85="نامعتبر"),"",LEFT($S85,4)&amp;MID($S85,6,2)&amp;RIGHT($S85,2)&amp;"0000"&amp;"|"&amp;"2"&amp;RIGHT("00000"&amp;80,5))</f>
        <v/>
      </c>
      <c r="U85">
        <f>IF($T85="","",COUNTIFS(LdAParty,$P85,LdAType,1,LdAKey,"&lt;"&amp;$T85)+COUNTIFS(LdBMember,$P85,LdBKey,"&lt;"&amp;$T85)+COUNTIFS(LdCParty,$P85,LdCKey,"&lt;"&amp;$T85)+1)</f>
        <v/>
      </c>
      <c r="V85">
        <f>IF($U85="","",$P85&amp;"|"&amp;RIGHT("000000"&amp;$U85,6))</f>
        <v/>
      </c>
      <c r="W85">
        <f>IF($T85="","",COUNTIFS(LdBGroup,$R85,LdBKey,"&lt;"&amp;$T85)+1)</f>
        <v/>
      </c>
      <c r="X85">
        <f>IF($W85="","",$R85&amp;"|"&amp;RIGHT("000000"&amp;$W85,6))</f>
        <v/>
      </c>
      <c r="Y85">
        <f>IF($P85="","",IF(Shares!$E88="",0,Shares!$E88))</f>
        <v/>
      </c>
      <c r="Z85">
        <f>IF($P85="","",Shares!$H88)</f>
        <v/>
      </c>
      <c r="AE85">
        <f>IF(OR(Sync!$S85="",Sync!$P85=""),"",Sync!$S85)</f>
        <v/>
      </c>
      <c r="AF85">
        <f>IF($AE85="","",IF(ISNUMBER(Sync!$P85),IF(AND(Sync!$P85&gt;=10000101,Sync!$P85&lt;=99991231),INT(Sync!$P85/10000),""),IFERROR(VALUE(TRIM(LEFT(Sync!$P85,FIND("/",Sync!$P85)-1))),"")))</f>
        <v/>
      </c>
      <c r="AG85">
        <f>IF(OR($AE85="",$AF85=""),"",IF(ISNUMBER(Sync!$P85),INT(MOD(Sync!$P85,10000)/100),IFERROR(VALUE(TRIM(LEFT(MID(Sync!$P85,FIND("/",Sync!$P85)+1,20),FIND("/",MID(Sync!$P85,FIND("/",Sync!$P85)+1,20))-1))),"")))</f>
        <v/>
      </c>
      <c r="AH85">
        <f>IF(OR($AE85="",$AF85=""),"",IF(ISNUMBER(Sync!$P85),MOD(Sync!$P85,100),IFERROR(VALUE(TRIM(MID(MID(Sync!$P85,FIND("/",Sync!$P85)+1,20),FIND("/",MID(Sync!$P85,FIND("/",Sync!$P85)+1,20))+1,20))),"")))</f>
        <v/>
      </c>
      <c r="AI85">
        <f>IF($AE85="","",IF(OR($AF85="",$AG85="",$AH85="",$AF85&lt;1300,$AF85&gt;1500,$AG85&lt;1,$AG85&gt;12,$AH85&lt;1,$AH85&gt;31),"نامعتبر",RIGHT("0000"&amp;$AF85,4)&amp;"/"&amp;RIGHT("00"&amp;$AG85,2)&amp;"/"&amp;RIGHT("00"&amp;$AH85,2)))</f>
        <v/>
      </c>
      <c r="AJ85">
        <f>IF($AE85="","",IF(Sync!$Q85="","0000",IF(AND(ISNUMBER(Sync!$Q85),Sync!$Q85&gt;=0,Sync!$Q85&lt;1),RIGHT("00"&amp;HOUR(Sync!$Q85),2)&amp;RIGHT("00"&amp;MINUTE(Sync!$Q85),2),IFERROR(RIGHT("00"&amp;VALUE(LEFT(Sync!$Q85,FIND(":",Sync!$Q85)-1)),2)&amp;RIGHT("00"&amp;VALUE(MID(Sync!$Q85,FIND(":",Sync!$Q85)+1,2)),2),"0000"))))</f>
        <v/>
      </c>
      <c r="AK85">
        <f>IF(OR($AE85="",$AI85="",$AI85="نامعتبر"),"",LEFT($AI85,4)&amp;MID($AI85,6,2)&amp;RIGHT($AI85,2)&amp;$AJ85&amp;"|"&amp;"3"&amp;RIGHT("00000"&amp;80,5))</f>
        <v/>
      </c>
      <c r="AL85">
        <f>IF($AK85="","",COUNTIFS(LdAParty,$AE85,LdAType,1,LdAKey,"&lt;"&amp;$AK85)+COUNTIFS(LdBMember,$AE85,LdBKey,"&lt;"&amp;$AK85)+COUNTIFS(LdCParty,$AE85,LdCKey,"&lt;"&amp;$AK85)+1)</f>
        <v/>
      </c>
      <c r="AM85">
        <f>IF($AL85="","",$AE85&amp;"|"&amp;RIGHT("000000"&amp;$AL85,6))</f>
        <v/>
      </c>
      <c r="AN85">
        <f>IF($AE85="","",IF(Sync!$W85="",0,Sync!$W85))</f>
        <v/>
      </c>
      <c r="AO85">
        <f>IF($AE85="","",IF(Sync!$X85="",0,Sync!$X85))</f>
        <v/>
      </c>
      <c r="AP85">
        <f>IF($AE85="","",Sync!$R85)</f>
        <v/>
      </c>
      <c r="AQ85">
        <f>IF($AE85="","",Sync!$Y85)</f>
        <v/>
      </c>
    </row>
    <row r="86">
      <c r="A86">
        <f>IF(OR(Wages!$B89="",Wages!$E89=""),"",Wages!$E89)</f>
        <v/>
      </c>
      <c r="B86">
        <f>IF($A86="","",IF(Wages!$C89="دستمزد گروهی",2,1))</f>
        <v/>
      </c>
      <c r="C86">
        <f>IF($A86="","",IF(ISNUMBER(Wages!$B89),IF(AND(Wages!$B89&gt;=10000101,Wages!$B89&lt;=99991231),INT(Wages!$B89/10000),""),IFERROR(VALUE(TRIM(LEFT(Wages!$B89,FIND("/",Wages!$B89)-1))),"")))</f>
        <v/>
      </c>
      <c r="D86">
        <f>IF(OR($A86="",$C86=""),"",IF(ISNUMBER(Wages!$B89),INT(MOD(Wages!$B89,10000)/100),IFERROR(VALUE(TRIM(LEFT(MID(Wages!$B89,FIND("/",Wages!$B89)+1,20),FIND("/",MID(Wages!$B89,FIND("/",Wages!$B89)+1,20))-1))),"")))</f>
        <v/>
      </c>
      <c r="E86">
        <f>IF(OR($A86="",$C86=""),"",IF(ISNUMBER(Wages!$B89),MOD(Wages!$B89,100),IFERROR(VALUE(TRIM(MID(MID(Wages!$B89,FIND("/",Wages!$B89)+1,20),FIND("/",MID(Wages!$B89,FIND("/",Wages!$B89)+1,20))+1,20))),"")))</f>
        <v/>
      </c>
      <c r="F86">
        <f>IF($A86="","",IF(OR($C86="",$D86="",$E86="",$C86&lt;1300,$C86&gt;1500,$D86&lt;1,$D86&gt;12,$E86&lt;1,$E86&gt;31),"نامعتبر",RIGHT("0000"&amp;$C86,4)&amp;"/"&amp;RIGHT("00"&amp;$D86,2)&amp;"/"&amp;RIGHT("00"&amp;$E86,2)))</f>
        <v/>
      </c>
      <c r="G86">
        <f>IF(OR($A86="",$F86="",$F86="نامعتبر"),"",LEFT($F86,4)&amp;MID($F86,6,2)&amp;RIGHT($F86,2)&amp;"0000"&amp;"|"&amp;"1"&amp;RIGHT("00000"&amp;81,5))</f>
        <v/>
      </c>
      <c r="H86">
        <f>IF(OR($B86&lt;&gt;1,$G86=""),"",COUNTIFS(LdAParty,$A86,LdAType,1,LdAKey,"&lt;"&amp;$G86)+COUNTIFS(LdBMember,$A86,LdBKey,"&lt;"&amp;$G86)+COUNTIFS(LdCParty,$A86,LdCKey,"&lt;"&amp;$G86)+1)</f>
        <v/>
      </c>
      <c r="I86">
        <f>IF($H86="","",$A86&amp;"|"&amp;RIGHT("000000"&amp;$H86,6))</f>
        <v/>
      </c>
      <c r="J86">
        <f>IF(OR($B86&lt;&gt;2,$G86=""),"",COUNTIFS(LdAParty,$A86,LdAType,2,LdAKey,"&lt;"&amp;$G86)+1)</f>
        <v/>
      </c>
      <c r="K86">
        <f>IF($J86="","",$A86&amp;"|"&amp;RIGHT("000000"&amp;$J86,6))</f>
        <v/>
      </c>
      <c r="L86">
        <f>IF($A86="","",IF(Wages!$G89="",0,Wages!$G89))</f>
        <v/>
      </c>
      <c r="M86">
        <f>IF($A86="","",Wages!$J89)</f>
        <v/>
      </c>
      <c r="N86">
        <f>IF($A86="","",Wages!$D89)</f>
        <v/>
      </c>
      <c r="P86">
        <f>IF(OR(Shares!$B89="",Shares!$C89=""),"",Shares!$C89)</f>
        <v/>
      </c>
      <c r="Q86">
        <f>IF($P86="","",Shares!$B89)</f>
        <v/>
      </c>
      <c r="R86">
        <f>IF($P86="","",IFERROR(INDEX(WageParty,MATCH($Q86,WageIds,0)),""))</f>
        <v/>
      </c>
      <c r="S86">
        <f>IF($P86="","",IFERROR(INDEX($F$6:$F$2005,MATCH($Q86,WageIds,0)),""))</f>
        <v/>
      </c>
      <c r="T86">
        <f>IF(OR($P86="",$S86="",$S86="نامعتبر"),"",LEFT($S86,4)&amp;MID($S86,6,2)&amp;RIGHT($S86,2)&amp;"0000"&amp;"|"&amp;"2"&amp;RIGHT("00000"&amp;81,5))</f>
        <v/>
      </c>
      <c r="U86">
        <f>IF($T86="","",COUNTIFS(LdAParty,$P86,LdAType,1,LdAKey,"&lt;"&amp;$T86)+COUNTIFS(LdBMember,$P86,LdBKey,"&lt;"&amp;$T86)+COUNTIFS(LdCParty,$P86,LdCKey,"&lt;"&amp;$T86)+1)</f>
        <v/>
      </c>
      <c r="V86">
        <f>IF($U86="","",$P86&amp;"|"&amp;RIGHT("000000"&amp;$U86,6))</f>
        <v/>
      </c>
      <c r="W86">
        <f>IF($T86="","",COUNTIFS(LdBGroup,$R86,LdBKey,"&lt;"&amp;$T86)+1)</f>
        <v/>
      </c>
      <c r="X86">
        <f>IF($W86="","",$R86&amp;"|"&amp;RIGHT("000000"&amp;$W86,6))</f>
        <v/>
      </c>
      <c r="Y86">
        <f>IF($P86="","",IF(Shares!$E89="",0,Shares!$E89))</f>
        <v/>
      </c>
      <c r="Z86">
        <f>IF($P86="","",Shares!$H89)</f>
        <v/>
      </c>
      <c r="AE86">
        <f>IF(OR(Sync!$S86="",Sync!$P86=""),"",Sync!$S86)</f>
        <v/>
      </c>
      <c r="AF86">
        <f>IF($AE86="","",IF(ISNUMBER(Sync!$P86),IF(AND(Sync!$P86&gt;=10000101,Sync!$P86&lt;=99991231),INT(Sync!$P86/10000),""),IFERROR(VALUE(TRIM(LEFT(Sync!$P86,FIND("/",Sync!$P86)-1))),"")))</f>
        <v/>
      </c>
      <c r="AG86">
        <f>IF(OR($AE86="",$AF86=""),"",IF(ISNUMBER(Sync!$P86),INT(MOD(Sync!$P86,10000)/100),IFERROR(VALUE(TRIM(LEFT(MID(Sync!$P86,FIND("/",Sync!$P86)+1,20),FIND("/",MID(Sync!$P86,FIND("/",Sync!$P86)+1,20))-1))),"")))</f>
        <v/>
      </c>
      <c r="AH86">
        <f>IF(OR($AE86="",$AF86=""),"",IF(ISNUMBER(Sync!$P86),MOD(Sync!$P86,100),IFERROR(VALUE(TRIM(MID(MID(Sync!$P86,FIND("/",Sync!$P86)+1,20),FIND("/",MID(Sync!$P86,FIND("/",Sync!$P86)+1,20))+1,20))),"")))</f>
        <v/>
      </c>
      <c r="AI86">
        <f>IF($AE86="","",IF(OR($AF86="",$AG86="",$AH86="",$AF86&lt;1300,$AF86&gt;1500,$AG86&lt;1,$AG86&gt;12,$AH86&lt;1,$AH86&gt;31),"نامعتبر",RIGHT("0000"&amp;$AF86,4)&amp;"/"&amp;RIGHT("00"&amp;$AG86,2)&amp;"/"&amp;RIGHT("00"&amp;$AH86,2)))</f>
        <v/>
      </c>
      <c r="AJ86">
        <f>IF($AE86="","",IF(Sync!$Q86="","0000",IF(AND(ISNUMBER(Sync!$Q86),Sync!$Q86&gt;=0,Sync!$Q86&lt;1),RIGHT("00"&amp;HOUR(Sync!$Q86),2)&amp;RIGHT("00"&amp;MINUTE(Sync!$Q86),2),IFERROR(RIGHT("00"&amp;VALUE(LEFT(Sync!$Q86,FIND(":",Sync!$Q86)-1)),2)&amp;RIGHT("00"&amp;VALUE(MID(Sync!$Q86,FIND(":",Sync!$Q86)+1,2)),2),"0000"))))</f>
        <v/>
      </c>
      <c r="AK86">
        <f>IF(OR($AE86="",$AI86="",$AI86="نامعتبر"),"",LEFT($AI86,4)&amp;MID($AI86,6,2)&amp;RIGHT($AI86,2)&amp;$AJ86&amp;"|"&amp;"3"&amp;RIGHT("00000"&amp;81,5))</f>
        <v/>
      </c>
      <c r="AL86">
        <f>IF($AK86="","",COUNTIFS(LdAParty,$AE86,LdAType,1,LdAKey,"&lt;"&amp;$AK86)+COUNTIFS(LdBMember,$AE86,LdBKey,"&lt;"&amp;$AK86)+COUNTIFS(LdCParty,$AE86,LdCKey,"&lt;"&amp;$AK86)+1)</f>
        <v/>
      </c>
      <c r="AM86">
        <f>IF($AL86="","",$AE86&amp;"|"&amp;RIGHT("000000"&amp;$AL86,6))</f>
        <v/>
      </c>
      <c r="AN86">
        <f>IF($AE86="","",IF(Sync!$W86="",0,Sync!$W86))</f>
        <v/>
      </c>
      <c r="AO86">
        <f>IF($AE86="","",IF(Sync!$X86="",0,Sync!$X86))</f>
        <v/>
      </c>
      <c r="AP86">
        <f>IF($AE86="","",Sync!$R86)</f>
        <v/>
      </c>
      <c r="AQ86">
        <f>IF($AE86="","",Sync!$Y86)</f>
        <v/>
      </c>
    </row>
    <row r="87">
      <c r="A87">
        <f>IF(OR(Wages!$B90="",Wages!$E90=""),"",Wages!$E90)</f>
        <v/>
      </c>
      <c r="B87">
        <f>IF($A87="","",IF(Wages!$C90="دستمزد گروهی",2,1))</f>
        <v/>
      </c>
      <c r="C87">
        <f>IF($A87="","",IF(ISNUMBER(Wages!$B90),IF(AND(Wages!$B90&gt;=10000101,Wages!$B90&lt;=99991231),INT(Wages!$B90/10000),""),IFERROR(VALUE(TRIM(LEFT(Wages!$B90,FIND("/",Wages!$B90)-1))),"")))</f>
        <v/>
      </c>
      <c r="D87">
        <f>IF(OR($A87="",$C87=""),"",IF(ISNUMBER(Wages!$B90),INT(MOD(Wages!$B90,10000)/100),IFERROR(VALUE(TRIM(LEFT(MID(Wages!$B90,FIND("/",Wages!$B90)+1,20),FIND("/",MID(Wages!$B90,FIND("/",Wages!$B90)+1,20))-1))),"")))</f>
        <v/>
      </c>
      <c r="E87">
        <f>IF(OR($A87="",$C87=""),"",IF(ISNUMBER(Wages!$B90),MOD(Wages!$B90,100),IFERROR(VALUE(TRIM(MID(MID(Wages!$B90,FIND("/",Wages!$B90)+1,20),FIND("/",MID(Wages!$B90,FIND("/",Wages!$B90)+1,20))+1,20))),"")))</f>
        <v/>
      </c>
      <c r="F87">
        <f>IF($A87="","",IF(OR($C87="",$D87="",$E87="",$C87&lt;1300,$C87&gt;1500,$D87&lt;1,$D87&gt;12,$E87&lt;1,$E87&gt;31),"نامعتبر",RIGHT("0000"&amp;$C87,4)&amp;"/"&amp;RIGHT("00"&amp;$D87,2)&amp;"/"&amp;RIGHT("00"&amp;$E87,2)))</f>
        <v/>
      </c>
      <c r="G87">
        <f>IF(OR($A87="",$F87="",$F87="نامعتبر"),"",LEFT($F87,4)&amp;MID($F87,6,2)&amp;RIGHT($F87,2)&amp;"0000"&amp;"|"&amp;"1"&amp;RIGHT("00000"&amp;82,5))</f>
        <v/>
      </c>
      <c r="H87">
        <f>IF(OR($B87&lt;&gt;1,$G87=""),"",COUNTIFS(LdAParty,$A87,LdAType,1,LdAKey,"&lt;"&amp;$G87)+COUNTIFS(LdBMember,$A87,LdBKey,"&lt;"&amp;$G87)+COUNTIFS(LdCParty,$A87,LdCKey,"&lt;"&amp;$G87)+1)</f>
        <v/>
      </c>
      <c r="I87">
        <f>IF($H87="","",$A87&amp;"|"&amp;RIGHT("000000"&amp;$H87,6))</f>
        <v/>
      </c>
      <c r="J87">
        <f>IF(OR($B87&lt;&gt;2,$G87=""),"",COUNTIFS(LdAParty,$A87,LdAType,2,LdAKey,"&lt;"&amp;$G87)+1)</f>
        <v/>
      </c>
      <c r="K87">
        <f>IF($J87="","",$A87&amp;"|"&amp;RIGHT("000000"&amp;$J87,6))</f>
        <v/>
      </c>
      <c r="L87">
        <f>IF($A87="","",IF(Wages!$G90="",0,Wages!$G90))</f>
        <v/>
      </c>
      <c r="M87">
        <f>IF($A87="","",Wages!$J90)</f>
        <v/>
      </c>
      <c r="N87">
        <f>IF($A87="","",Wages!$D90)</f>
        <v/>
      </c>
      <c r="P87">
        <f>IF(OR(Shares!$B90="",Shares!$C90=""),"",Shares!$C90)</f>
        <v/>
      </c>
      <c r="Q87">
        <f>IF($P87="","",Shares!$B90)</f>
        <v/>
      </c>
      <c r="R87">
        <f>IF($P87="","",IFERROR(INDEX(WageParty,MATCH($Q87,WageIds,0)),""))</f>
        <v/>
      </c>
      <c r="S87">
        <f>IF($P87="","",IFERROR(INDEX($F$6:$F$2005,MATCH($Q87,WageIds,0)),""))</f>
        <v/>
      </c>
      <c r="T87">
        <f>IF(OR($P87="",$S87="",$S87="نامعتبر"),"",LEFT($S87,4)&amp;MID($S87,6,2)&amp;RIGHT($S87,2)&amp;"0000"&amp;"|"&amp;"2"&amp;RIGHT("00000"&amp;82,5))</f>
        <v/>
      </c>
      <c r="U87">
        <f>IF($T87="","",COUNTIFS(LdAParty,$P87,LdAType,1,LdAKey,"&lt;"&amp;$T87)+COUNTIFS(LdBMember,$P87,LdBKey,"&lt;"&amp;$T87)+COUNTIFS(LdCParty,$P87,LdCKey,"&lt;"&amp;$T87)+1)</f>
        <v/>
      </c>
      <c r="V87">
        <f>IF($U87="","",$P87&amp;"|"&amp;RIGHT("000000"&amp;$U87,6))</f>
        <v/>
      </c>
      <c r="W87">
        <f>IF($T87="","",COUNTIFS(LdBGroup,$R87,LdBKey,"&lt;"&amp;$T87)+1)</f>
        <v/>
      </c>
      <c r="X87">
        <f>IF($W87="","",$R87&amp;"|"&amp;RIGHT("000000"&amp;$W87,6))</f>
        <v/>
      </c>
      <c r="Y87">
        <f>IF($P87="","",IF(Shares!$E90="",0,Shares!$E90))</f>
        <v/>
      </c>
      <c r="Z87">
        <f>IF($P87="","",Shares!$H90)</f>
        <v/>
      </c>
      <c r="AE87">
        <f>IF(OR(Sync!$S87="",Sync!$P87=""),"",Sync!$S87)</f>
        <v/>
      </c>
      <c r="AF87">
        <f>IF($AE87="","",IF(ISNUMBER(Sync!$P87),IF(AND(Sync!$P87&gt;=10000101,Sync!$P87&lt;=99991231),INT(Sync!$P87/10000),""),IFERROR(VALUE(TRIM(LEFT(Sync!$P87,FIND("/",Sync!$P87)-1))),"")))</f>
        <v/>
      </c>
      <c r="AG87">
        <f>IF(OR($AE87="",$AF87=""),"",IF(ISNUMBER(Sync!$P87),INT(MOD(Sync!$P87,10000)/100),IFERROR(VALUE(TRIM(LEFT(MID(Sync!$P87,FIND("/",Sync!$P87)+1,20),FIND("/",MID(Sync!$P87,FIND("/",Sync!$P87)+1,20))-1))),"")))</f>
        <v/>
      </c>
      <c r="AH87">
        <f>IF(OR($AE87="",$AF87=""),"",IF(ISNUMBER(Sync!$P87),MOD(Sync!$P87,100),IFERROR(VALUE(TRIM(MID(MID(Sync!$P87,FIND("/",Sync!$P87)+1,20),FIND("/",MID(Sync!$P87,FIND("/",Sync!$P87)+1,20))+1,20))),"")))</f>
        <v/>
      </c>
      <c r="AI87">
        <f>IF($AE87="","",IF(OR($AF87="",$AG87="",$AH87="",$AF87&lt;1300,$AF87&gt;1500,$AG87&lt;1,$AG87&gt;12,$AH87&lt;1,$AH87&gt;31),"نامعتبر",RIGHT("0000"&amp;$AF87,4)&amp;"/"&amp;RIGHT("00"&amp;$AG87,2)&amp;"/"&amp;RIGHT("00"&amp;$AH87,2)))</f>
        <v/>
      </c>
      <c r="AJ87">
        <f>IF($AE87="","",IF(Sync!$Q87="","0000",IF(AND(ISNUMBER(Sync!$Q87),Sync!$Q87&gt;=0,Sync!$Q87&lt;1),RIGHT("00"&amp;HOUR(Sync!$Q87),2)&amp;RIGHT("00"&amp;MINUTE(Sync!$Q87),2),IFERROR(RIGHT("00"&amp;VALUE(LEFT(Sync!$Q87,FIND(":",Sync!$Q87)-1)),2)&amp;RIGHT("00"&amp;VALUE(MID(Sync!$Q87,FIND(":",Sync!$Q87)+1,2)),2),"0000"))))</f>
        <v/>
      </c>
      <c r="AK87">
        <f>IF(OR($AE87="",$AI87="",$AI87="نامعتبر"),"",LEFT($AI87,4)&amp;MID($AI87,6,2)&amp;RIGHT($AI87,2)&amp;$AJ87&amp;"|"&amp;"3"&amp;RIGHT("00000"&amp;82,5))</f>
        <v/>
      </c>
      <c r="AL87">
        <f>IF($AK87="","",COUNTIFS(LdAParty,$AE87,LdAType,1,LdAKey,"&lt;"&amp;$AK87)+COUNTIFS(LdBMember,$AE87,LdBKey,"&lt;"&amp;$AK87)+COUNTIFS(LdCParty,$AE87,LdCKey,"&lt;"&amp;$AK87)+1)</f>
        <v/>
      </c>
      <c r="AM87">
        <f>IF($AL87="","",$AE87&amp;"|"&amp;RIGHT("000000"&amp;$AL87,6))</f>
        <v/>
      </c>
      <c r="AN87">
        <f>IF($AE87="","",IF(Sync!$W87="",0,Sync!$W87))</f>
        <v/>
      </c>
      <c r="AO87">
        <f>IF($AE87="","",IF(Sync!$X87="",0,Sync!$X87))</f>
        <v/>
      </c>
      <c r="AP87">
        <f>IF($AE87="","",Sync!$R87)</f>
        <v/>
      </c>
      <c r="AQ87">
        <f>IF($AE87="","",Sync!$Y87)</f>
        <v/>
      </c>
    </row>
    <row r="88">
      <c r="A88">
        <f>IF(OR(Wages!$B91="",Wages!$E91=""),"",Wages!$E91)</f>
        <v/>
      </c>
      <c r="B88">
        <f>IF($A88="","",IF(Wages!$C91="دستمزد گروهی",2,1))</f>
        <v/>
      </c>
      <c r="C88">
        <f>IF($A88="","",IF(ISNUMBER(Wages!$B91),IF(AND(Wages!$B91&gt;=10000101,Wages!$B91&lt;=99991231),INT(Wages!$B91/10000),""),IFERROR(VALUE(TRIM(LEFT(Wages!$B91,FIND("/",Wages!$B91)-1))),"")))</f>
        <v/>
      </c>
      <c r="D88">
        <f>IF(OR($A88="",$C88=""),"",IF(ISNUMBER(Wages!$B91),INT(MOD(Wages!$B91,10000)/100),IFERROR(VALUE(TRIM(LEFT(MID(Wages!$B91,FIND("/",Wages!$B91)+1,20),FIND("/",MID(Wages!$B91,FIND("/",Wages!$B91)+1,20))-1))),"")))</f>
        <v/>
      </c>
      <c r="E88">
        <f>IF(OR($A88="",$C88=""),"",IF(ISNUMBER(Wages!$B91),MOD(Wages!$B91,100),IFERROR(VALUE(TRIM(MID(MID(Wages!$B91,FIND("/",Wages!$B91)+1,20),FIND("/",MID(Wages!$B91,FIND("/",Wages!$B91)+1,20))+1,20))),"")))</f>
        <v/>
      </c>
      <c r="F88">
        <f>IF($A88="","",IF(OR($C88="",$D88="",$E88="",$C88&lt;1300,$C88&gt;1500,$D88&lt;1,$D88&gt;12,$E88&lt;1,$E88&gt;31),"نامعتبر",RIGHT("0000"&amp;$C88,4)&amp;"/"&amp;RIGHT("00"&amp;$D88,2)&amp;"/"&amp;RIGHT("00"&amp;$E88,2)))</f>
        <v/>
      </c>
      <c r="G88">
        <f>IF(OR($A88="",$F88="",$F88="نامعتبر"),"",LEFT($F88,4)&amp;MID($F88,6,2)&amp;RIGHT($F88,2)&amp;"0000"&amp;"|"&amp;"1"&amp;RIGHT("00000"&amp;83,5))</f>
        <v/>
      </c>
      <c r="H88">
        <f>IF(OR($B88&lt;&gt;1,$G88=""),"",COUNTIFS(LdAParty,$A88,LdAType,1,LdAKey,"&lt;"&amp;$G88)+COUNTIFS(LdBMember,$A88,LdBKey,"&lt;"&amp;$G88)+COUNTIFS(LdCParty,$A88,LdCKey,"&lt;"&amp;$G88)+1)</f>
        <v/>
      </c>
      <c r="I88">
        <f>IF($H88="","",$A88&amp;"|"&amp;RIGHT("000000"&amp;$H88,6))</f>
        <v/>
      </c>
      <c r="J88">
        <f>IF(OR($B88&lt;&gt;2,$G88=""),"",COUNTIFS(LdAParty,$A88,LdAType,2,LdAKey,"&lt;"&amp;$G88)+1)</f>
        <v/>
      </c>
      <c r="K88">
        <f>IF($J88="","",$A88&amp;"|"&amp;RIGHT("000000"&amp;$J88,6))</f>
        <v/>
      </c>
      <c r="L88">
        <f>IF($A88="","",IF(Wages!$G91="",0,Wages!$G91))</f>
        <v/>
      </c>
      <c r="M88">
        <f>IF($A88="","",Wages!$J91)</f>
        <v/>
      </c>
      <c r="N88">
        <f>IF($A88="","",Wages!$D91)</f>
        <v/>
      </c>
      <c r="P88">
        <f>IF(OR(Shares!$B91="",Shares!$C91=""),"",Shares!$C91)</f>
        <v/>
      </c>
      <c r="Q88">
        <f>IF($P88="","",Shares!$B91)</f>
        <v/>
      </c>
      <c r="R88">
        <f>IF($P88="","",IFERROR(INDEX(WageParty,MATCH($Q88,WageIds,0)),""))</f>
        <v/>
      </c>
      <c r="S88">
        <f>IF($P88="","",IFERROR(INDEX($F$6:$F$2005,MATCH($Q88,WageIds,0)),""))</f>
        <v/>
      </c>
      <c r="T88">
        <f>IF(OR($P88="",$S88="",$S88="نامعتبر"),"",LEFT($S88,4)&amp;MID($S88,6,2)&amp;RIGHT($S88,2)&amp;"0000"&amp;"|"&amp;"2"&amp;RIGHT("00000"&amp;83,5))</f>
        <v/>
      </c>
      <c r="U88">
        <f>IF($T88="","",COUNTIFS(LdAParty,$P88,LdAType,1,LdAKey,"&lt;"&amp;$T88)+COUNTIFS(LdBMember,$P88,LdBKey,"&lt;"&amp;$T88)+COUNTIFS(LdCParty,$P88,LdCKey,"&lt;"&amp;$T88)+1)</f>
        <v/>
      </c>
      <c r="V88">
        <f>IF($U88="","",$P88&amp;"|"&amp;RIGHT("000000"&amp;$U88,6))</f>
        <v/>
      </c>
      <c r="W88">
        <f>IF($T88="","",COUNTIFS(LdBGroup,$R88,LdBKey,"&lt;"&amp;$T88)+1)</f>
        <v/>
      </c>
      <c r="X88">
        <f>IF($W88="","",$R88&amp;"|"&amp;RIGHT("000000"&amp;$W88,6))</f>
        <v/>
      </c>
      <c r="Y88">
        <f>IF($P88="","",IF(Shares!$E91="",0,Shares!$E91))</f>
        <v/>
      </c>
      <c r="Z88">
        <f>IF($P88="","",Shares!$H91)</f>
        <v/>
      </c>
      <c r="AE88">
        <f>IF(OR(Sync!$S88="",Sync!$P88=""),"",Sync!$S88)</f>
        <v/>
      </c>
      <c r="AF88">
        <f>IF($AE88="","",IF(ISNUMBER(Sync!$P88),IF(AND(Sync!$P88&gt;=10000101,Sync!$P88&lt;=99991231),INT(Sync!$P88/10000),""),IFERROR(VALUE(TRIM(LEFT(Sync!$P88,FIND("/",Sync!$P88)-1))),"")))</f>
        <v/>
      </c>
      <c r="AG88">
        <f>IF(OR($AE88="",$AF88=""),"",IF(ISNUMBER(Sync!$P88),INT(MOD(Sync!$P88,10000)/100),IFERROR(VALUE(TRIM(LEFT(MID(Sync!$P88,FIND("/",Sync!$P88)+1,20),FIND("/",MID(Sync!$P88,FIND("/",Sync!$P88)+1,20))-1))),"")))</f>
        <v/>
      </c>
      <c r="AH88">
        <f>IF(OR($AE88="",$AF88=""),"",IF(ISNUMBER(Sync!$P88),MOD(Sync!$P88,100),IFERROR(VALUE(TRIM(MID(MID(Sync!$P88,FIND("/",Sync!$P88)+1,20),FIND("/",MID(Sync!$P88,FIND("/",Sync!$P88)+1,20))+1,20))),"")))</f>
        <v/>
      </c>
      <c r="AI88">
        <f>IF($AE88="","",IF(OR($AF88="",$AG88="",$AH88="",$AF88&lt;1300,$AF88&gt;1500,$AG88&lt;1,$AG88&gt;12,$AH88&lt;1,$AH88&gt;31),"نامعتبر",RIGHT("0000"&amp;$AF88,4)&amp;"/"&amp;RIGHT("00"&amp;$AG88,2)&amp;"/"&amp;RIGHT("00"&amp;$AH88,2)))</f>
        <v/>
      </c>
      <c r="AJ88">
        <f>IF($AE88="","",IF(Sync!$Q88="","0000",IF(AND(ISNUMBER(Sync!$Q88),Sync!$Q88&gt;=0,Sync!$Q88&lt;1),RIGHT("00"&amp;HOUR(Sync!$Q88),2)&amp;RIGHT("00"&amp;MINUTE(Sync!$Q88),2),IFERROR(RIGHT("00"&amp;VALUE(LEFT(Sync!$Q88,FIND(":",Sync!$Q88)-1)),2)&amp;RIGHT("00"&amp;VALUE(MID(Sync!$Q88,FIND(":",Sync!$Q88)+1,2)),2),"0000"))))</f>
        <v/>
      </c>
      <c r="AK88">
        <f>IF(OR($AE88="",$AI88="",$AI88="نامعتبر"),"",LEFT($AI88,4)&amp;MID($AI88,6,2)&amp;RIGHT($AI88,2)&amp;$AJ88&amp;"|"&amp;"3"&amp;RIGHT("00000"&amp;83,5))</f>
        <v/>
      </c>
      <c r="AL88">
        <f>IF($AK88="","",COUNTIFS(LdAParty,$AE88,LdAType,1,LdAKey,"&lt;"&amp;$AK88)+COUNTIFS(LdBMember,$AE88,LdBKey,"&lt;"&amp;$AK88)+COUNTIFS(LdCParty,$AE88,LdCKey,"&lt;"&amp;$AK88)+1)</f>
        <v/>
      </c>
      <c r="AM88">
        <f>IF($AL88="","",$AE88&amp;"|"&amp;RIGHT("000000"&amp;$AL88,6))</f>
        <v/>
      </c>
      <c r="AN88">
        <f>IF($AE88="","",IF(Sync!$W88="",0,Sync!$W88))</f>
        <v/>
      </c>
      <c r="AO88">
        <f>IF($AE88="","",IF(Sync!$X88="",0,Sync!$X88))</f>
        <v/>
      </c>
      <c r="AP88">
        <f>IF($AE88="","",Sync!$R88)</f>
        <v/>
      </c>
      <c r="AQ88">
        <f>IF($AE88="","",Sync!$Y88)</f>
        <v/>
      </c>
    </row>
    <row r="89">
      <c r="A89">
        <f>IF(OR(Wages!$B92="",Wages!$E92=""),"",Wages!$E92)</f>
        <v/>
      </c>
      <c r="B89">
        <f>IF($A89="","",IF(Wages!$C92="دستمزد گروهی",2,1))</f>
        <v/>
      </c>
      <c r="C89">
        <f>IF($A89="","",IF(ISNUMBER(Wages!$B92),IF(AND(Wages!$B92&gt;=10000101,Wages!$B92&lt;=99991231),INT(Wages!$B92/10000),""),IFERROR(VALUE(TRIM(LEFT(Wages!$B92,FIND("/",Wages!$B92)-1))),"")))</f>
        <v/>
      </c>
      <c r="D89">
        <f>IF(OR($A89="",$C89=""),"",IF(ISNUMBER(Wages!$B92),INT(MOD(Wages!$B92,10000)/100),IFERROR(VALUE(TRIM(LEFT(MID(Wages!$B92,FIND("/",Wages!$B92)+1,20),FIND("/",MID(Wages!$B92,FIND("/",Wages!$B92)+1,20))-1))),"")))</f>
        <v/>
      </c>
      <c r="E89">
        <f>IF(OR($A89="",$C89=""),"",IF(ISNUMBER(Wages!$B92),MOD(Wages!$B92,100),IFERROR(VALUE(TRIM(MID(MID(Wages!$B92,FIND("/",Wages!$B92)+1,20),FIND("/",MID(Wages!$B92,FIND("/",Wages!$B92)+1,20))+1,20))),"")))</f>
        <v/>
      </c>
      <c r="F89">
        <f>IF($A89="","",IF(OR($C89="",$D89="",$E89="",$C89&lt;1300,$C89&gt;1500,$D89&lt;1,$D89&gt;12,$E89&lt;1,$E89&gt;31),"نامعتبر",RIGHT("0000"&amp;$C89,4)&amp;"/"&amp;RIGHT("00"&amp;$D89,2)&amp;"/"&amp;RIGHT("00"&amp;$E89,2)))</f>
        <v/>
      </c>
      <c r="G89">
        <f>IF(OR($A89="",$F89="",$F89="نامعتبر"),"",LEFT($F89,4)&amp;MID($F89,6,2)&amp;RIGHT($F89,2)&amp;"0000"&amp;"|"&amp;"1"&amp;RIGHT("00000"&amp;84,5))</f>
        <v/>
      </c>
      <c r="H89">
        <f>IF(OR($B89&lt;&gt;1,$G89=""),"",COUNTIFS(LdAParty,$A89,LdAType,1,LdAKey,"&lt;"&amp;$G89)+COUNTIFS(LdBMember,$A89,LdBKey,"&lt;"&amp;$G89)+COUNTIFS(LdCParty,$A89,LdCKey,"&lt;"&amp;$G89)+1)</f>
        <v/>
      </c>
      <c r="I89">
        <f>IF($H89="","",$A89&amp;"|"&amp;RIGHT("000000"&amp;$H89,6))</f>
        <v/>
      </c>
      <c r="J89">
        <f>IF(OR($B89&lt;&gt;2,$G89=""),"",COUNTIFS(LdAParty,$A89,LdAType,2,LdAKey,"&lt;"&amp;$G89)+1)</f>
        <v/>
      </c>
      <c r="K89">
        <f>IF($J89="","",$A89&amp;"|"&amp;RIGHT("000000"&amp;$J89,6))</f>
        <v/>
      </c>
      <c r="L89">
        <f>IF($A89="","",IF(Wages!$G92="",0,Wages!$G92))</f>
        <v/>
      </c>
      <c r="M89">
        <f>IF($A89="","",Wages!$J92)</f>
        <v/>
      </c>
      <c r="N89">
        <f>IF($A89="","",Wages!$D92)</f>
        <v/>
      </c>
      <c r="P89">
        <f>IF(OR(Shares!$B92="",Shares!$C92=""),"",Shares!$C92)</f>
        <v/>
      </c>
      <c r="Q89">
        <f>IF($P89="","",Shares!$B92)</f>
        <v/>
      </c>
      <c r="R89">
        <f>IF($P89="","",IFERROR(INDEX(WageParty,MATCH($Q89,WageIds,0)),""))</f>
        <v/>
      </c>
      <c r="S89">
        <f>IF($P89="","",IFERROR(INDEX($F$6:$F$2005,MATCH($Q89,WageIds,0)),""))</f>
        <v/>
      </c>
      <c r="T89">
        <f>IF(OR($P89="",$S89="",$S89="نامعتبر"),"",LEFT($S89,4)&amp;MID($S89,6,2)&amp;RIGHT($S89,2)&amp;"0000"&amp;"|"&amp;"2"&amp;RIGHT("00000"&amp;84,5))</f>
        <v/>
      </c>
      <c r="U89">
        <f>IF($T89="","",COUNTIFS(LdAParty,$P89,LdAType,1,LdAKey,"&lt;"&amp;$T89)+COUNTIFS(LdBMember,$P89,LdBKey,"&lt;"&amp;$T89)+COUNTIFS(LdCParty,$P89,LdCKey,"&lt;"&amp;$T89)+1)</f>
        <v/>
      </c>
      <c r="V89">
        <f>IF($U89="","",$P89&amp;"|"&amp;RIGHT("000000"&amp;$U89,6))</f>
        <v/>
      </c>
      <c r="W89">
        <f>IF($T89="","",COUNTIFS(LdBGroup,$R89,LdBKey,"&lt;"&amp;$T89)+1)</f>
        <v/>
      </c>
      <c r="X89">
        <f>IF($W89="","",$R89&amp;"|"&amp;RIGHT("000000"&amp;$W89,6))</f>
        <v/>
      </c>
      <c r="Y89">
        <f>IF($P89="","",IF(Shares!$E92="",0,Shares!$E92))</f>
        <v/>
      </c>
      <c r="Z89">
        <f>IF($P89="","",Shares!$H92)</f>
        <v/>
      </c>
      <c r="AE89">
        <f>IF(OR(Sync!$S89="",Sync!$P89=""),"",Sync!$S89)</f>
        <v/>
      </c>
      <c r="AF89">
        <f>IF($AE89="","",IF(ISNUMBER(Sync!$P89),IF(AND(Sync!$P89&gt;=10000101,Sync!$P89&lt;=99991231),INT(Sync!$P89/10000),""),IFERROR(VALUE(TRIM(LEFT(Sync!$P89,FIND("/",Sync!$P89)-1))),"")))</f>
        <v/>
      </c>
      <c r="AG89">
        <f>IF(OR($AE89="",$AF89=""),"",IF(ISNUMBER(Sync!$P89),INT(MOD(Sync!$P89,10000)/100),IFERROR(VALUE(TRIM(LEFT(MID(Sync!$P89,FIND("/",Sync!$P89)+1,20),FIND("/",MID(Sync!$P89,FIND("/",Sync!$P89)+1,20))-1))),"")))</f>
        <v/>
      </c>
      <c r="AH89">
        <f>IF(OR($AE89="",$AF89=""),"",IF(ISNUMBER(Sync!$P89),MOD(Sync!$P89,100),IFERROR(VALUE(TRIM(MID(MID(Sync!$P89,FIND("/",Sync!$P89)+1,20),FIND("/",MID(Sync!$P89,FIND("/",Sync!$P89)+1,20))+1,20))),"")))</f>
        <v/>
      </c>
      <c r="AI89">
        <f>IF($AE89="","",IF(OR($AF89="",$AG89="",$AH89="",$AF89&lt;1300,$AF89&gt;1500,$AG89&lt;1,$AG89&gt;12,$AH89&lt;1,$AH89&gt;31),"نامعتبر",RIGHT("0000"&amp;$AF89,4)&amp;"/"&amp;RIGHT("00"&amp;$AG89,2)&amp;"/"&amp;RIGHT("00"&amp;$AH89,2)))</f>
        <v/>
      </c>
      <c r="AJ89">
        <f>IF($AE89="","",IF(Sync!$Q89="","0000",IF(AND(ISNUMBER(Sync!$Q89),Sync!$Q89&gt;=0,Sync!$Q89&lt;1),RIGHT("00"&amp;HOUR(Sync!$Q89),2)&amp;RIGHT("00"&amp;MINUTE(Sync!$Q89),2),IFERROR(RIGHT("00"&amp;VALUE(LEFT(Sync!$Q89,FIND(":",Sync!$Q89)-1)),2)&amp;RIGHT("00"&amp;VALUE(MID(Sync!$Q89,FIND(":",Sync!$Q89)+1,2)),2),"0000"))))</f>
        <v/>
      </c>
      <c r="AK89">
        <f>IF(OR($AE89="",$AI89="",$AI89="نامعتبر"),"",LEFT($AI89,4)&amp;MID($AI89,6,2)&amp;RIGHT($AI89,2)&amp;$AJ89&amp;"|"&amp;"3"&amp;RIGHT("00000"&amp;84,5))</f>
        <v/>
      </c>
      <c r="AL89">
        <f>IF($AK89="","",COUNTIFS(LdAParty,$AE89,LdAType,1,LdAKey,"&lt;"&amp;$AK89)+COUNTIFS(LdBMember,$AE89,LdBKey,"&lt;"&amp;$AK89)+COUNTIFS(LdCParty,$AE89,LdCKey,"&lt;"&amp;$AK89)+1)</f>
        <v/>
      </c>
      <c r="AM89">
        <f>IF($AL89="","",$AE89&amp;"|"&amp;RIGHT("000000"&amp;$AL89,6))</f>
        <v/>
      </c>
      <c r="AN89">
        <f>IF($AE89="","",IF(Sync!$W89="",0,Sync!$W89))</f>
        <v/>
      </c>
      <c r="AO89">
        <f>IF($AE89="","",IF(Sync!$X89="",0,Sync!$X89))</f>
        <v/>
      </c>
      <c r="AP89">
        <f>IF($AE89="","",Sync!$R89)</f>
        <v/>
      </c>
      <c r="AQ89">
        <f>IF($AE89="","",Sync!$Y89)</f>
        <v/>
      </c>
    </row>
    <row r="90">
      <c r="A90">
        <f>IF(OR(Wages!$B93="",Wages!$E93=""),"",Wages!$E93)</f>
        <v/>
      </c>
      <c r="B90">
        <f>IF($A90="","",IF(Wages!$C93="دستمزد گروهی",2,1))</f>
        <v/>
      </c>
      <c r="C90">
        <f>IF($A90="","",IF(ISNUMBER(Wages!$B93),IF(AND(Wages!$B93&gt;=10000101,Wages!$B93&lt;=99991231),INT(Wages!$B93/10000),""),IFERROR(VALUE(TRIM(LEFT(Wages!$B93,FIND("/",Wages!$B93)-1))),"")))</f>
        <v/>
      </c>
      <c r="D90">
        <f>IF(OR($A90="",$C90=""),"",IF(ISNUMBER(Wages!$B93),INT(MOD(Wages!$B93,10000)/100),IFERROR(VALUE(TRIM(LEFT(MID(Wages!$B93,FIND("/",Wages!$B93)+1,20),FIND("/",MID(Wages!$B93,FIND("/",Wages!$B93)+1,20))-1))),"")))</f>
        <v/>
      </c>
      <c r="E90">
        <f>IF(OR($A90="",$C90=""),"",IF(ISNUMBER(Wages!$B93),MOD(Wages!$B93,100),IFERROR(VALUE(TRIM(MID(MID(Wages!$B93,FIND("/",Wages!$B93)+1,20),FIND("/",MID(Wages!$B93,FIND("/",Wages!$B93)+1,20))+1,20))),"")))</f>
        <v/>
      </c>
      <c r="F90">
        <f>IF($A90="","",IF(OR($C90="",$D90="",$E90="",$C90&lt;1300,$C90&gt;1500,$D90&lt;1,$D90&gt;12,$E90&lt;1,$E90&gt;31),"نامعتبر",RIGHT("0000"&amp;$C90,4)&amp;"/"&amp;RIGHT("00"&amp;$D90,2)&amp;"/"&amp;RIGHT("00"&amp;$E90,2)))</f>
        <v/>
      </c>
      <c r="G90">
        <f>IF(OR($A90="",$F90="",$F90="نامعتبر"),"",LEFT($F90,4)&amp;MID($F90,6,2)&amp;RIGHT($F90,2)&amp;"0000"&amp;"|"&amp;"1"&amp;RIGHT("00000"&amp;85,5))</f>
        <v/>
      </c>
      <c r="H90">
        <f>IF(OR($B90&lt;&gt;1,$G90=""),"",COUNTIFS(LdAParty,$A90,LdAType,1,LdAKey,"&lt;"&amp;$G90)+COUNTIFS(LdBMember,$A90,LdBKey,"&lt;"&amp;$G90)+COUNTIFS(LdCParty,$A90,LdCKey,"&lt;"&amp;$G90)+1)</f>
        <v/>
      </c>
      <c r="I90">
        <f>IF($H90="","",$A90&amp;"|"&amp;RIGHT("000000"&amp;$H90,6))</f>
        <v/>
      </c>
      <c r="J90">
        <f>IF(OR($B90&lt;&gt;2,$G90=""),"",COUNTIFS(LdAParty,$A90,LdAType,2,LdAKey,"&lt;"&amp;$G90)+1)</f>
        <v/>
      </c>
      <c r="K90">
        <f>IF($J90="","",$A90&amp;"|"&amp;RIGHT("000000"&amp;$J90,6))</f>
        <v/>
      </c>
      <c r="L90">
        <f>IF($A90="","",IF(Wages!$G93="",0,Wages!$G93))</f>
        <v/>
      </c>
      <c r="M90">
        <f>IF($A90="","",Wages!$J93)</f>
        <v/>
      </c>
      <c r="N90">
        <f>IF($A90="","",Wages!$D93)</f>
        <v/>
      </c>
      <c r="P90">
        <f>IF(OR(Shares!$B93="",Shares!$C93=""),"",Shares!$C93)</f>
        <v/>
      </c>
      <c r="Q90">
        <f>IF($P90="","",Shares!$B93)</f>
        <v/>
      </c>
      <c r="R90">
        <f>IF($P90="","",IFERROR(INDEX(WageParty,MATCH($Q90,WageIds,0)),""))</f>
        <v/>
      </c>
      <c r="S90">
        <f>IF($P90="","",IFERROR(INDEX($F$6:$F$2005,MATCH($Q90,WageIds,0)),""))</f>
        <v/>
      </c>
      <c r="T90">
        <f>IF(OR($P90="",$S90="",$S90="نامعتبر"),"",LEFT($S90,4)&amp;MID($S90,6,2)&amp;RIGHT($S90,2)&amp;"0000"&amp;"|"&amp;"2"&amp;RIGHT("00000"&amp;85,5))</f>
        <v/>
      </c>
      <c r="U90">
        <f>IF($T90="","",COUNTIFS(LdAParty,$P90,LdAType,1,LdAKey,"&lt;"&amp;$T90)+COUNTIFS(LdBMember,$P90,LdBKey,"&lt;"&amp;$T90)+COUNTIFS(LdCParty,$P90,LdCKey,"&lt;"&amp;$T90)+1)</f>
        <v/>
      </c>
      <c r="V90">
        <f>IF($U90="","",$P90&amp;"|"&amp;RIGHT("000000"&amp;$U90,6))</f>
        <v/>
      </c>
      <c r="W90">
        <f>IF($T90="","",COUNTIFS(LdBGroup,$R90,LdBKey,"&lt;"&amp;$T90)+1)</f>
        <v/>
      </c>
      <c r="X90">
        <f>IF($W90="","",$R90&amp;"|"&amp;RIGHT("000000"&amp;$W90,6))</f>
        <v/>
      </c>
      <c r="Y90">
        <f>IF($P90="","",IF(Shares!$E93="",0,Shares!$E93))</f>
        <v/>
      </c>
      <c r="Z90">
        <f>IF($P90="","",Shares!$H93)</f>
        <v/>
      </c>
      <c r="AE90">
        <f>IF(OR(Sync!$S90="",Sync!$P90=""),"",Sync!$S90)</f>
        <v/>
      </c>
      <c r="AF90">
        <f>IF($AE90="","",IF(ISNUMBER(Sync!$P90),IF(AND(Sync!$P90&gt;=10000101,Sync!$P90&lt;=99991231),INT(Sync!$P90/10000),""),IFERROR(VALUE(TRIM(LEFT(Sync!$P90,FIND("/",Sync!$P90)-1))),"")))</f>
        <v/>
      </c>
      <c r="AG90">
        <f>IF(OR($AE90="",$AF90=""),"",IF(ISNUMBER(Sync!$P90),INT(MOD(Sync!$P90,10000)/100),IFERROR(VALUE(TRIM(LEFT(MID(Sync!$P90,FIND("/",Sync!$P90)+1,20),FIND("/",MID(Sync!$P90,FIND("/",Sync!$P90)+1,20))-1))),"")))</f>
        <v/>
      </c>
      <c r="AH90">
        <f>IF(OR($AE90="",$AF90=""),"",IF(ISNUMBER(Sync!$P90),MOD(Sync!$P90,100),IFERROR(VALUE(TRIM(MID(MID(Sync!$P90,FIND("/",Sync!$P90)+1,20),FIND("/",MID(Sync!$P90,FIND("/",Sync!$P90)+1,20))+1,20))),"")))</f>
        <v/>
      </c>
      <c r="AI90">
        <f>IF($AE90="","",IF(OR($AF90="",$AG90="",$AH90="",$AF90&lt;1300,$AF90&gt;1500,$AG90&lt;1,$AG90&gt;12,$AH90&lt;1,$AH90&gt;31),"نامعتبر",RIGHT("0000"&amp;$AF90,4)&amp;"/"&amp;RIGHT("00"&amp;$AG90,2)&amp;"/"&amp;RIGHT("00"&amp;$AH90,2)))</f>
        <v/>
      </c>
      <c r="AJ90">
        <f>IF($AE90="","",IF(Sync!$Q90="","0000",IF(AND(ISNUMBER(Sync!$Q90),Sync!$Q90&gt;=0,Sync!$Q90&lt;1),RIGHT("00"&amp;HOUR(Sync!$Q90),2)&amp;RIGHT("00"&amp;MINUTE(Sync!$Q90),2),IFERROR(RIGHT("00"&amp;VALUE(LEFT(Sync!$Q90,FIND(":",Sync!$Q90)-1)),2)&amp;RIGHT("00"&amp;VALUE(MID(Sync!$Q90,FIND(":",Sync!$Q90)+1,2)),2),"0000"))))</f>
        <v/>
      </c>
      <c r="AK90">
        <f>IF(OR($AE90="",$AI90="",$AI90="نامعتبر"),"",LEFT($AI90,4)&amp;MID($AI90,6,2)&amp;RIGHT($AI90,2)&amp;$AJ90&amp;"|"&amp;"3"&amp;RIGHT("00000"&amp;85,5))</f>
        <v/>
      </c>
      <c r="AL90">
        <f>IF($AK90="","",COUNTIFS(LdAParty,$AE90,LdAType,1,LdAKey,"&lt;"&amp;$AK90)+COUNTIFS(LdBMember,$AE90,LdBKey,"&lt;"&amp;$AK90)+COUNTIFS(LdCParty,$AE90,LdCKey,"&lt;"&amp;$AK90)+1)</f>
        <v/>
      </c>
      <c r="AM90">
        <f>IF($AL90="","",$AE90&amp;"|"&amp;RIGHT("000000"&amp;$AL90,6))</f>
        <v/>
      </c>
      <c r="AN90">
        <f>IF($AE90="","",IF(Sync!$W90="",0,Sync!$W90))</f>
        <v/>
      </c>
      <c r="AO90">
        <f>IF($AE90="","",IF(Sync!$X90="",0,Sync!$X90))</f>
        <v/>
      </c>
      <c r="AP90">
        <f>IF($AE90="","",Sync!$R90)</f>
        <v/>
      </c>
      <c r="AQ90">
        <f>IF($AE90="","",Sync!$Y90)</f>
        <v/>
      </c>
    </row>
    <row r="91">
      <c r="A91">
        <f>IF(OR(Wages!$B94="",Wages!$E94=""),"",Wages!$E94)</f>
        <v/>
      </c>
      <c r="B91">
        <f>IF($A91="","",IF(Wages!$C94="دستمزد گروهی",2,1))</f>
        <v/>
      </c>
      <c r="C91">
        <f>IF($A91="","",IF(ISNUMBER(Wages!$B94),IF(AND(Wages!$B94&gt;=10000101,Wages!$B94&lt;=99991231),INT(Wages!$B94/10000),""),IFERROR(VALUE(TRIM(LEFT(Wages!$B94,FIND("/",Wages!$B94)-1))),"")))</f>
        <v/>
      </c>
      <c r="D91">
        <f>IF(OR($A91="",$C91=""),"",IF(ISNUMBER(Wages!$B94),INT(MOD(Wages!$B94,10000)/100),IFERROR(VALUE(TRIM(LEFT(MID(Wages!$B94,FIND("/",Wages!$B94)+1,20),FIND("/",MID(Wages!$B94,FIND("/",Wages!$B94)+1,20))-1))),"")))</f>
        <v/>
      </c>
      <c r="E91">
        <f>IF(OR($A91="",$C91=""),"",IF(ISNUMBER(Wages!$B94),MOD(Wages!$B94,100),IFERROR(VALUE(TRIM(MID(MID(Wages!$B94,FIND("/",Wages!$B94)+1,20),FIND("/",MID(Wages!$B94,FIND("/",Wages!$B94)+1,20))+1,20))),"")))</f>
        <v/>
      </c>
      <c r="F91">
        <f>IF($A91="","",IF(OR($C91="",$D91="",$E91="",$C91&lt;1300,$C91&gt;1500,$D91&lt;1,$D91&gt;12,$E91&lt;1,$E91&gt;31),"نامعتبر",RIGHT("0000"&amp;$C91,4)&amp;"/"&amp;RIGHT("00"&amp;$D91,2)&amp;"/"&amp;RIGHT("00"&amp;$E91,2)))</f>
        <v/>
      </c>
      <c r="G91">
        <f>IF(OR($A91="",$F91="",$F91="نامعتبر"),"",LEFT($F91,4)&amp;MID($F91,6,2)&amp;RIGHT($F91,2)&amp;"0000"&amp;"|"&amp;"1"&amp;RIGHT("00000"&amp;86,5))</f>
        <v/>
      </c>
      <c r="H91">
        <f>IF(OR($B91&lt;&gt;1,$G91=""),"",COUNTIFS(LdAParty,$A91,LdAType,1,LdAKey,"&lt;"&amp;$G91)+COUNTIFS(LdBMember,$A91,LdBKey,"&lt;"&amp;$G91)+COUNTIFS(LdCParty,$A91,LdCKey,"&lt;"&amp;$G91)+1)</f>
        <v/>
      </c>
      <c r="I91">
        <f>IF($H91="","",$A91&amp;"|"&amp;RIGHT("000000"&amp;$H91,6))</f>
        <v/>
      </c>
      <c r="J91">
        <f>IF(OR($B91&lt;&gt;2,$G91=""),"",COUNTIFS(LdAParty,$A91,LdAType,2,LdAKey,"&lt;"&amp;$G91)+1)</f>
        <v/>
      </c>
      <c r="K91">
        <f>IF($J91="","",$A91&amp;"|"&amp;RIGHT("000000"&amp;$J91,6))</f>
        <v/>
      </c>
      <c r="L91">
        <f>IF($A91="","",IF(Wages!$G94="",0,Wages!$G94))</f>
        <v/>
      </c>
      <c r="M91">
        <f>IF($A91="","",Wages!$J94)</f>
        <v/>
      </c>
      <c r="N91">
        <f>IF($A91="","",Wages!$D94)</f>
        <v/>
      </c>
      <c r="P91">
        <f>IF(OR(Shares!$B94="",Shares!$C94=""),"",Shares!$C94)</f>
        <v/>
      </c>
      <c r="Q91">
        <f>IF($P91="","",Shares!$B94)</f>
        <v/>
      </c>
      <c r="R91">
        <f>IF($P91="","",IFERROR(INDEX(WageParty,MATCH($Q91,WageIds,0)),""))</f>
        <v/>
      </c>
      <c r="S91">
        <f>IF($P91="","",IFERROR(INDEX($F$6:$F$2005,MATCH($Q91,WageIds,0)),""))</f>
        <v/>
      </c>
      <c r="T91">
        <f>IF(OR($P91="",$S91="",$S91="نامعتبر"),"",LEFT($S91,4)&amp;MID($S91,6,2)&amp;RIGHT($S91,2)&amp;"0000"&amp;"|"&amp;"2"&amp;RIGHT("00000"&amp;86,5))</f>
        <v/>
      </c>
      <c r="U91">
        <f>IF($T91="","",COUNTIFS(LdAParty,$P91,LdAType,1,LdAKey,"&lt;"&amp;$T91)+COUNTIFS(LdBMember,$P91,LdBKey,"&lt;"&amp;$T91)+COUNTIFS(LdCParty,$P91,LdCKey,"&lt;"&amp;$T91)+1)</f>
        <v/>
      </c>
      <c r="V91">
        <f>IF($U91="","",$P91&amp;"|"&amp;RIGHT("000000"&amp;$U91,6))</f>
        <v/>
      </c>
      <c r="W91">
        <f>IF($T91="","",COUNTIFS(LdBGroup,$R91,LdBKey,"&lt;"&amp;$T91)+1)</f>
        <v/>
      </c>
      <c r="X91">
        <f>IF($W91="","",$R91&amp;"|"&amp;RIGHT("000000"&amp;$W91,6))</f>
        <v/>
      </c>
      <c r="Y91">
        <f>IF($P91="","",IF(Shares!$E94="",0,Shares!$E94))</f>
        <v/>
      </c>
      <c r="Z91">
        <f>IF($P91="","",Shares!$H94)</f>
        <v/>
      </c>
      <c r="AE91">
        <f>IF(OR(Sync!$S91="",Sync!$P91=""),"",Sync!$S91)</f>
        <v/>
      </c>
      <c r="AF91">
        <f>IF($AE91="","",IF(ISNUMBER(Sync!$P91),IF(AND(Sync!$P91&gt;=10000101,Sync!$P91&lt;=99991231),INT(Sync!$P91/10000),""),IFERROR(VALUE(TRIM(LEFT(Sync!$P91,FIND("/",Sync!$P91)-1))),"")))</f>
        <v/>
      </c>
      <c r="AG91">
        <f>IF(OR($AE91="",$AF91=""),"",IF(ISNUMBER(Sync!$P91),INT(MOD(Sync!$P91,10000)/100),IFERROR(VALUE(TRIM(LEFT(MID(Sync!$P91,FIND("/",Sync!$P91)+1,20),FIND("/",MID(Sync!$P91,FIND("/",Sync!$P91)+1,20))-1))),"")))</f>
        <v/>
      </c>
      <c r="AH91">
        <f>IF(OR($AE91="",$AF91=""),"",IF(ISNUMBER(Sync!$P91),MOD(Sync!$P91,100),IFERROR(VALUE(TRIM(MID(MID(Sync!$P91,FIND("/",Sync!$P91)+1,20),FIND("/",MID(Sync!$P91,FIND("/",Sync!$P91)+1,20))+1,20))),"")))</f>
        <v/>
      </c>
      <c r="AI91">
        <f>IF($AE91="","",IF(OR($AF91="",$AG91="",$AH91="",$AF91&lt;1300,$AF91&gt;1500,$AG91&lt;1,$AG91&gt;12,$AH91&lt;1,$AH91&gt;31),"نامعتبر",RIGHT("0000"&amp;$AF91,4)&amp;"/"&amp;RIGHT("00"&amp;$AG91,2)&amp;"/"&amp;RIGHT("00"&amp;$AH91,2)))</f>
        <v/>
      </c>
      <c r="AJ91">
        <f>IF($AE91="","",IF(Sync!$Q91="","0000",IF(AND(ISNUMBER(Sync!$Q91),Sync!$Q91&gt;=0,Sync!$Q91&lt;1),RIGHT("00"&amp;HOUR(Sync!$Q91),2)&amp;RIGHT("00"&amp;MINUTE(Sync!$Q91),2),IFERROR(RIGHT("00"&amp;VALUE(LEFT(Sync!$Q91,FIND(":",Sync!$Q91)-1)),2)&amp;RIGHT("00"&amp;VALUE(MID(Sync!$Q91,FIND(":",Sync!$Q91)+1,2)),2),"0000"))))</f>
        <v/>
      </c>
      <c r="AK91">
        <f>IF(OR($AE91="",$AI91="",$AI91="نامعتبر"),"",LEFT($AI91,4)&amp;MID($AI91,6,2)&amp;RIGHT($AI91,2)&amp;$AJ91&amp;"|"&amp;"3"&amp;RIGHT("00000"&amp;86,5))</f>
        <v/>
      </c>
      <c r="AL91">
        <f>IF($AK91="","",COUNTIFS(LdAParty,$AE91,LdAType,1,LdAKey,"&lt;"&amp;$AK91)+COUNTIFS(LdBMember,$AE91,LdBKey,"&lt;"&amp;$AK91)+COUNTIFS(LdCParty,$AE91,LdCKey,"&lt;"&amp;$AK91)+1)</f>
        <v/>
      </c>
      <c r="AM91">
        <f>IF($AL91="","",$AE91&amp;"|"&amp;RIGHT("000000"&amp;$AL91,6))</f>
        <v/>
      </c>
      <c r="AN91">
        <f>IF($AE91="","",IF(Sync!$W91="",0,Sync!$W91))</f>
        <v/>
      </c>
      <c r="AO91">
        <f>IF($AE91="","",IF(Sync!$X91="",0,Sync!$X91))</f>
        <v/>
      </c>
      <c r="AP91">
        <f>IF($AE91="","",Sync!$R91)</f>
        <v/>
      </c>
      <c r="AQ91">
        <f>IF($AE91="","",Sync!$Y91)</f>
        <v/>
      </c>
    </row>
    <row r="92">
      <c r="A92">
        <f>IF(OR(Wages!$B95="",Wages!$E95=""),"",Wages!$E95)</f>
        <v/>
      </c>
      <c r="B92">
        <f>IF($A92="","",IF(Wages!$C95="دستمزد گروهی",2,1))</f>
        <v/>
      </c>
      <c r="C92">
        <f>IF($A92="","",IF(ISNUMBER(Wages!$B95),IF(AND(Wages!$B95&gt;=10000101,Wages!$B95&lt;=99991231),INT(Wages!$B95/10000),""),IFERROR(VALUE(TRIM(LEFT(Wages!$B95,FIND("/",Wages!$B95)-1))),"")))</f>
        <v/>
      </c>
      <c r="D92">
        <f>IF(OR($A92="",$C92=""),"",IF(ISNUMBER(Wages!$B95),INT(MOD(Wages!$B95,10000)/100),IFERROR(VALUE(TRIM(LEFT(MID(Wages!$B95,FIND("/",Wages!$B95)+1,20),FIND("/",MID(Wages!$B95,FIND("/",Wages!$B95)+1,20))-1))),"")))</f>
        <v/>
      </c>
      <c r="E92">
        <f>IF(OR($A92="",$C92=""),"",IF(ISNUMBER(Wages!$B95),MOD(Wages!$B95,100),IFERROR(VALUE(TRIM(MID(MID(Wages!$B95,FIND("/",Wages!$B95)+1,20),FIND("/",MID(Wages!$B95,FIND("/",Wages!$B95)+1,20))+1,20))),"")))</f>
        <v/>
      </c>
      <c r="F92">
        <f>IF($A92="","",IF(OR($C92="",$D92="",$E92="",$C92&lt;1300,$C92&gt;1500,$D92&lt;1,$D92&gt;12,$E92&lt;1,$E92&gt;31),"نامعتبر",RIGHT("0000"&amp;$C92,4)&amp;"/"&amp;RIGHT("00"&amp;$D92,2)&amp;"/"&amp;RIGHT("00"&amp;$E92,2)))</f>
        <v/>
      </c>
      <c r="G92">
        <f>IF(OR($A92="",$F92="",$F92="نامعتبر"),"",LEFT($F92,4)&amp;MID($F92,6,2)&amp;RIGHT($F92,2)&amp;"0000"&amp;"|"&amp;"1"&amp;RIGHT("00000"&amp;87,5))</f>
        <v/>
      </c>
      <c r="H92">
        <f>IF(OR($B92&lt;&gt;1,$G92=""),"",COUNTIFS(LdAParty,$A92,LdAType,1,LdAKey,"&lt;"&amp;$G92)+COUNTIFS(LdBMember,$A92,LdBKey,"&lt;"&amp;$G92)+COUNTIFS(LdCParty,$A92,LdCKey,"&lt;"&amp;$G92)+1)</f>
        <v/>
      </c>
      <c r="I92">
        <f>IF($H92="","",$A92&amp;"|"&amp;RIGHT("000000"&amp;$H92,6))</f>
        <v/>
      </c>
      <c r="J92">
        <f>IF(OR($B92&lt;&gt;2,$G92=""),"",COUNTIFS(LdAParty,$A92,LdAType,2,LdAKey,"&lt;"&amp;$G92)+1)</f>
        <v/>
      </c>
      <c r="K92">
        <f>IF($J92="","",$A92&amp;"|"&amp;RIGHT("000000"&amp;$J92,6))</f>
        <v/>
      </c>
      <c r="L92">
        <f>IF($A92="","",IF(Wages!$G95="",0,Wages!$G95))</f>
        <v/>
      </c>
      <c r="M92">
        <f>IF($A92="","",Wages!$J95)</f>
        <v/>
      </c>
      <c r="N92">
        <f>IF($A92="","",Wages!$D95)</f>
        <v/>
      </c>
      <c r="P92">
        <f>IF(OR(Shares!$B95="",Shares!$C95=""),"",Shares!$C95)</f>
        <v/>
      </c>
      <c r="Q92">
        <f>IF($P92="","",Shares!$B95)</f>
        <v/>
      </c>
      <c r="R92">
        <f>IF($P92="","",IFERROR(INDEX(WageParty,MATCH($Q92,WageIds,0)),""))</f>
        <v/>
      </c>
      <c r="S92">
        <f>IF($P92="","",IFERROR(INDEX($F$6:$F$2005,MATCH($Q92,WageIds,0)),""))</f>
        <v/>
      </c>
      <c r="T92">
        <f>IF(OR($P92="",$S92="",$S92="نامعتبر"),"",LEFT($S92,4)&amp;MID($S92,6,2)&amp;RIGHT($S92,2)&amp;"0000"&amp;"|"&amp;"2"&amp;RIGHT("00000"&amp;87,5))</f>
        <v/>
      </c>
      <c r="U92">
        <f>IF($T92="","",COUNTIFS(LdAParty,$P92,LdAType,1,LdAKey,"&lt;"&amp;$T92)+COUNTIFS(LdBMember,$P92,LdBKey,"&lt;"&amp;$T92)+COUNTIFS(LdCParty,$P92,LdCKey,"&lt;"&amp;$T92)+1)</f>
        <v/>
      </c>
      <c r="V92">
        <f>IF($U92="","",$P92&amp;"|"&amp;RIGHT("000000"&amp;$U92,6))</f>
        <v/>
      </c>
      <c r="W92">
        <f>IF($T92="","",COUNTIFS(LdBGroup,$R92,LdBKey,"&lt;"&amp;$T92)+1)</f>
        <v/>
      </c>
      <c r="X92">
        <f>IF($W92="","",$R92&amp;"|"&amp;RIGHT("000000"&amp;$W92,6))</f>
        <v/>
      </c>
      <c r="Y92">
        <f>IF($P92="","",IF(Shares!$E95="",0,Shares!$E95))</f>
        <v/>
      </c>
      <c r="Z92">
        <f>IF($P92="","",Shares!$H95)</f>
        <v/>
      </c>
      <c r="AE92">
        <f>IF(OR(Sync!$S92="",Sync!$P92=""),"",Sync!$S92)</f>
        <v/>
      </c>
      <c r="AF92">
        <f>IF($AE92="","",IF(ISNUMBER(Sync!$P92),IF(AND(Sync!$P92&gt;=10000101,Sync!$P92&lt;=99991231),INT(Sync!$P92/10000),""),IFERROR(VALUE(TRIM(LEFT(Sync!$P92,FIND("/",Sync!$P92)-1))),"")))</f>
        <v/>
      </c>
      <c r="AG92">
        <f>IF(OR($AE92="",$AF92=""),"",IF(ISNUMBER(Sync!$P92),INT(MOD(Sync!$P92,10000)/100),IFERROR(VALUE(TRIM(LEFT(MID(Sync!$P92,FIND("/",Sync!$P92)+1,20),FIND("/",MID(Sync!$P92,FIND("/",Sync!$P92)+1,20))-1))),"")))</f>
        <v/>
      </c>
      <c r="AH92">
        <f>IF(OR($AE92="",$AF92=""),"",IF(ISNUMBER(Sync!$P92),MOD(Sync!$P92,100),IFERROR(VALUE(TRIM(MID(MID(Sync!$P92,FIND("/",Sync!$P92)+1,20),FIND("/",MID(Sync!$P92,FIND("/",Sync!$P92)+1,20))+1,20))),"")))</f>
        <v/>
      </c>
      <c r="AI92">
        <f>IF($AE92="","",IF(OR($AF92="",$AG92="",$AH92="",$AF92&lt;1300,$AF92&gt;1500,$AG92&lt;1,$AG92&gt;12,$AH92&lt;1,$AH92&gt;31),"نامعتبر",RIGHT("0000"&amp;$AF92,4)&amp;"/"&amp;RIGHT("00"&amp;$AG92,2)&amp;"/"&amp;RIGHT("00"&amp;$AH92,2)))</f>
        <v/>
      </c>
      <c r="AJ92">
        <f>IF($AE92="","",IF(Sync!$Q92="","0000",IF(AND(ISNUMBER(Sync!$Q92),Sync!$Q92&gt;=0,Sync!$Q92&lt;1),RIGHT("00"&amp;HOUR(Sync!$Q92),2)&amp;RIGHT("00"&amp;MINUTE(Sync!$Q92),2),IFERROR(RIGHT("00"&amp;VALUE(LEFT(Sync!$Q92,FIND(":",Sync!$Q92)-1)),2)&amp;RIGHT("00"&amp;VALUE(MID(Sync!$Q92,FIND(":",Sync!$Q92)+1,2)),2),"0000"))))</f>
        <v/>
      </c>
      <c r="AK92">
        <f>IF(OR($AE92="",$AI92="",$AI92="نامعتبر"),"",LEFT($AI92,4)&amp;MID($AI92,6,2)&amp;RIGHT($AI92,2)&amp;$AJ92&amp;"|"&amp;"3"&amp;RIGHT("00000"&amp;87,5))</f>
        <v/>
      </c>
      <c r="AL92">
        <f>IF($AK92="","",COUNTIFS(LdAParty,$AE92,LdAType,1,LdAKey,"&lt;"&amp;$AK92)+COUNTIFS(LdBMember,$AE92,LdBKey,"&lt;"&amp;$AK92)+COUNTIFS(LdCParty,$AE92,LdCKey,"&lt;"&amp;$AK92)+1)</f>
        <v/>
      </c>
      <c r="AM92">
        <f>IF($AL92="","",$AE92&amp;"|"&amp;RIGHT("000000"&amp;$AL92,6))</f>
        <v/>
      </c>
      <c r="AN92">
        <f>IF($AE92="","",IF(Sync!$W92="",0,Sync!$W92))</f>
        <v/>
      </c>
      <c r="AO92">
        <f>IF($AE92="","",IF(Sync!$X92="",0,Sync!$X92))</f>
        <v/>
      </c>
      <c r="AP92">
        <f>IF($AE92="","",Sync!$R92)</f>
        <v/>
      </c>
      <c r="AQ92">
        <f>IF($AE92="","",Sync!$Y92)</f>
        <v/>
      </c>
    </row>
    <row r="93">
      <c r="A93">
        <f>IF(OR(Wages!$B96="",Wages!$E96=""),"",Wages!$E96)</f>
        <v/>
      </c>
      <c r="B93">
        <f>IF($A93="","",IF(Wages!$C96="دستمزد گروهی",2,1))</f>
        <v/>
      </c>
      <c r="C93">
        <f>IF($A93="","",IF(ISNUMBER(Wages!$B96),IF(AND(Wages!$B96&gt;=10000101,Wages!$B96&lt;=99991231),INT(Wages!$B96/10000),""),IFERROR(VALUE(TRIM(LEFT(Wages!$B96,FIND("/",Wages!$B96)-1))),"")))</f>
        <v/>
      </c>
      <c r="D93">
        <f>IF(OR($A93="",$C93=""),"",IF(ISNUMBER(Wages!$B96),INT(MOD(Wages!$B96,10000)/100),IFERROR(VALUE(TRIM(LEFT(MID(Wages!$B96,FIND("/",Wages!$B96)+1,20),FIND("/",MID(Wages!$B96,FIND("/",Wages!$B96)+1,20))-1))),"")))</f>
        <v/>
      </c>
      <c r="E93">
        <f>IF(OR($A93="",$C93=""),"",IF(ISNUMBER(Wages!$B96),MOD(Wages!$B96,100),IFERROR(VALUE(TRIM(MID(MID(Wages!$B96,FIND("/",Wages!$B96)+1,20),FIND("/",MID(Wages!$B96,FIND("/",Wages!$B96)+1,20))+1,20))),"")))</f>
        <v/>
      </c>
      <c r="F93">
        <f>IF($A93="","",IF(OR($C93="",$D93="",$E93="",$C93&lt;1300,$C93&gt;1500,$D93&lt;1,$D93&gt;12,$E93&lt;1,$E93&gt;31),"نامعتبر",RIGHT("0000"&amp;$C93,4)&amp;"/"&amp;RIGHT("00"&amp;$D93,2)&amp;"/"&amp;RIGHT("00"&amp;$E93,2)))</f>
        <v/>
      </c>
      <c r="G93">
        <f>IF(OR($A93="",$F93="",$F93="نامعتبر"),"",LEFT($F93,4)&amp;MID($F93,6,2)&amp;RIGHT($F93,2)&amp;"0000"&amp;"|"&amp;"1"&amp;RIGHT("00000"&amp;88,5))</f>
        <v/>
      </c>
      <c r="H93">
        <f>IF(OR($B93&lt;&gt;1,$G93=""),"",COUNTIFS(LdAParty,$A93,LdAType,1,LdAKey,"&lt;"&amp;$G93)+COUNTIFS(LdBMember,$A93,LdBKey,"&lt;"&amp;$G93)+COUNTIFS(LdCParty,$A93,LdCKey,"&lt;"&amp;$G93)+1)</f>
        <v/>
      </c>
      <c r="I93">
        <f>IF($H93="","",$A93&amp;"|"&amp;RIGHT("000000"&amp;$H93,6))</f>
        <v/>
      </c>
      <c r="J93">
        <f>IF(OR($B93&lt;&gt;2,$G93=""),"",COUNTIFS(LdAParty,$A93,LdAType,2,LdAKey,"&lt;"&amp;$G93)+1)</f>
        <v/>
      </c>
      <c r="K93">
        <f>IF($J93="","",$A93&amp;"|"&amp;RIGHT("000000"&amp;$J93,6))</f>
        <v/>
      </c>
      <c r="L93">
        <f>IF($A93="","",IF(Wages!$G96="",0,Wages!$G96))</f>
        <v/>
      </c>
      <c r="M93">
        <f>IF($A93="","",Wages!$J96)</f>
        <v/>
      </c>
      <c r="N93">
        <f>IF($A93="","",Wages!$D96)</f>
        <v/>
      </c>
      <c r="P93">
        <f>IF(OR(Shares!$B96="",Shares!$C96=""),"",Shares!$C96)</f>
        <v/>
      </c>
      <c r="Q93">
        <f>IF($P93="","",Shares!$B96)</f>
        <v/>
      </c>
      <c r="R93">
        <f>IF($P93="","",IFERROR(INDEX(WageParty,MATCH($Q93,WageIds,0)),""))</f>
        <v/>
      </c>
      <c r="S93">
        <f>IF($P93="","",IFERROR(INDEX($F$6:$F$2005,MATCH($Q93,WageIds,0)),""))</f>
        <v/>
      </c>
      <c r="T93">
        <f>IF(OR($P93="",$S93="",$S93="نامعتبر"),"",LEFT($S93,4)&amp;MID($S93,6,2)&amp;RIGHT($S93,2)&amp;"0000"&amp;"|"&amp;"2"&amp;RIGHT("00000"&amp;88,5))</f>
        <v/>
      </c>
      <c r="U93">
        <f>IF($T93="","",COUNTIFS(LdAParty,$P93,LdAType,1,LdAKey,"&lt;"&amp;$T93)+COUNTIFS(LdBMember,$P93,LdBKey,"&lt;"&amp;$T93)+COUNTIFS(LdCParty,$P93,LdCKey,"&lt;"&amp;$T93)+1)</f>
        <v/>
      </c>
      <c r="V93">
        <f>IF($U93="","",$P93&amp;"|"&amp;RIGHT("000000"&amp;$U93,6))</f>
        <v/>
      </c>
      <c r="W93">
        <f>IF($T93="","",COUNTIFS(LdBGroup,$R93,LdBKey,"&lt;"&amp;$T93)+1)</f>
        <v/>
      </c>
      <c r="X93">
        <f>IF($W93="","",$R93&amp;"|"&amp;RIGHT("000000"&amp;$W93,6))</f>
        <v/>
      </c>
      <c r="Y93">
        <f>IF($P93="","",IF(Shares!$E96="",0,Shares!$E96))</f>
        <v/>
      </c>
      <c r="Z93">
        <f>IF($P93="","",Shares!$H96)</f>
        <v/>
      </c>
      <c r="AE93">
        <f>IF(OR(Sync!$S93="",Sync!$P93=""),"",Sync!$S93)</f>
        <v/>
      </c>
      <c r="AF93">
        <f>IF($AE93="","",IF(ISNUMBER(Sync!$P93),IF(AND(Sync!$P93&gt;=10000101,Sync!$P93&lt;=99991231),INT(Sync!$P93/10000),""),IFERROR(VALUE(TRIM(LEFT(Sync!$P93,FIND("/",Sync!$P93)-1))),"")))</f>
        <v/>
      </c>
      <c r="AG93">
        <f>IF(OR($AE93="",$AF93=""),"",IF(ISNUMBER(Sync!$P93),INT(MOD(Sync!$P93,10000)/100),IFERROR(VALUE(TRIM(LEFT(MID(Sync!$P93,FIND("/",Sync!$P93)+1,20),FIND("/",MID(Sync!$P93,FIND("/",Sync!$P93)+1,20))-1))),"")))</f>
        <v/>
      </c>
      <c r="AH93">
        <f>IF(OR($AE93="",$AF93=""),"",IF(ISNUMBER(Sync!$P93),MOD(Sync!$P93,100),IFERROR(VALUE(TRIM(MID(MID(Sync!$P93,FIND("/",Sync!$P93)+1,20),FIND("/",MID(Sync!$P93,FIND("/",Sync!$P93)+1,20))+1,20))),"")))</f>
        <v/>
      </c>
      <c r="AI93">
        <f>IF($AE93="","",IF(OR($AF93="",$AG93="",$AH93="",$AF93&lt;1300,$AF93&gt;1500,$AG93&lt;1,$AG93&gt;12,$AH93&lt;1,$AH93&gt;31),"نامعتبر",RIGHT("0000"&amp;$AF93,4)&amp;"/"&amp;RIGHT("00"&amp;$AG93,2)&amp;"/"&amp;RIGHT("00"&amp;$AH93,2)))</f>
        <v/>
      </c>
      <c r="AJ93">
        <f>IF($AE93="","",IF(Sync!$Q93="","0000",IF(AND(ISNUMBER(Sync!$Q93),Sync!$Q93&gt;=0,Sync!$Q93&lt;1),RIGHT("00"&amp;HOUR(Sync!$Q93),2)&amp;RIGHT("00"&amp;MINUTE(Sync!$Q93),2),IFERROR(RIGHT("00"&amp;VALUE(LEFT(Sync!$Q93,FIND(":",Sync!$Q93)-1)),2)&amp;RIGHT("00"&amp;VALUE(MID(Sync!$Q93,FIND(":",Sync!$Q93)+1,2)),2),"0000"))))</f>
        <v/>
      </c>
      <c r="AK93">
        <f>IF(OR($AE93="",$AI93="",$AI93="نامعتبر"),"",LEFT($AI93,4)&amp;MID($AI93,6,2)&amp;RIGHT($AI93,2)&amp;$AJ93&amp;"|"&amp;"3"&amp;RIGHT("00000"&amp;88,5))</f>
        <v/>
      </c>
      <c r="AL93">
        <f>IF($AK93="","",COUNTIFS(LdAParty,$AE93,LdAType,1,LdAKey,"&lt;"&amp;$AK93)+COUNTIFS(LdBMember,$AE93,LdBKey,"&lt;"&amp;$AK93)+COUNTIFS(LdCParty,$AE93,LdCKey,"&lt;"&amp;$AK93)+1)</f>
        <v/>
      </c>
      <c r="AM93">
        <f>IF($AL93="","",$AE93&amp;"|"&amp;RIGHT("000000"&amp;$AL93,6))</f>
        <v/>
      </c>
      <c r="AN93">
        <f>IF($AE93="","",IF(Sync!$W93="",0,Sync!$W93))</f>
        <v/>
      </c>
      <c r="AO93">
        <f>IF($AE93="","",IF(Sync!$X93="",0,Sync!$X93))</f>
        <v/>
      </c>
      <c r="AP93">
        <f>IF($AE93="","",Sync!$R93)</f>
        <v/>
      </c>
      <c r="AQ93">
        <f>IF($AE93="","",Sync!$Y93)</f>
        <v/>
      </c>
    </row>
    <row r="94">
      <c r="A94">
        <f>IF(OR(Wages!$B97="",Wages!$E97=""),"",Wages!$E97)</f>
        <v/>
      </c>
      <c r="B94">
        <f>IF($A94="","",IF(Wages!$C97="دستمزد گروهی",2,1))</f>
        <v/>
      </c>
      <c r="C94">
        <f>IF($A94="","",IF(ISNUMBER(Wages!$B97),IF(AND(Wages!$B97&gt;=10000101,Wages!$B97&lt;=99991231),INT(Wages!$B97/10000),""),IFERROR(VALUE(TRIM(LEFT(Wages!$B97,FIND("/",Wages!$B97)-1))),"")))</f>
        <v/>
      </c>
      <c r="D94">
        <f>IF(OR($A94="",$C94=""),"",IF(ISNUMBER(Wages!$B97),INT(MOD(Wages!$B97,10000)/100),IFERROR(VALUE(TRIM(LEFT(MID(Wages!$B97,FIND("/",Wages!$B97)+1,20),FIND("/",MID(Wages!$B97,FIND("/",Wages!$B97)+1,20))-1))),"")))</f>
        <v/>
      </c>
      <c r="E94">
        <f>IF(OR($A94="",$C94=""),"",IF(ISNUMBER(Wages!$B97),MOD(Wages!$B97,100),IFERROR(VALUE(TRIM(MID(MID(Wages!$B97,FIND("/",Wages!$B97)+1,20),FIND("/",MID(Wages!$B97,FIND("/",Wages!$B97)+1,20))+1,20))),"")))</f>
        <v/>
      </c>
      <c r="F94">
        <f>IF($A94="","",IF(OR($C94="",$D94="",$E94="",$C94&lt;1300,$C94&gt;1500,$D94&lt;1,$D94&gt;12,$E94&lt;1,$E94&gt;31),"نامعتبر",RIGHT("0000"&amp;$C94,4)&amp;"/"&amp;RIGHT("00"&amp;$D94,2)&amp;"/"&amp;RIGHT("00"&amp;$E94,2)))</f>
        <v/>
      </c>
      <c r="G94">
        <f>IF(OR($A94="",$F94="",$F94="نامعتبر"),"",LEFT($F94,4)&amp;MID($F94,6,2)&amp;RIGHT($F94,2)&amp;"0000"&amp;"|"&amp;"1"&amp;RIGHT("00000"&amp;89,5))</f>
        <v/>
      </c>
      <c r="H94">
        <f>IF(OR($B94&lt;&gt;1,$G94=""),"",COUNTIFS(LdAParty,$A94,LdAType,1,LdAKey,"&lt;"&amp;$G94)+COUNTIFS(LdBMember,$A94,LdBKey,"&lt;"&amp;$G94)+COUNTIFS(LdCParty,$A94,LdCKey,"&lt;"&amp;$G94)+1)</f>
        <v/>
      </c>
      <c r="I94">
        <f>IF($H94="","",$A94&amp;"|"&amp;RIGHT("000000"&amp;$H94,6))</f>
        <v/>
      </c>
      <c r="J94">
        <f>IF(OR($B94&lt;&gt;2,$G94=""),"",COUNTIFS(LdAParty,$A94,LdAType,2,LdAKey,"&lt;"&amp;$G94)+1)</f>
        <v/>
      </c>
      <c r="K94">
        <f>IF($J94="","",$A94&amp;"|"&amp;RIGHT("000000"&amp;$J94,6))</f>
        <v/>
      </c>
      <c r="L94">
        <f>IF($A94="","",IF(Wages!$G97="",0,Wages!$G97))</f>
        <v/>
      </c>
      <c r="M94">
        <f>IF($A94="","",Wages!$J97)</f>
        <v/>
      </c>
      <c r="N94">
        <f>IF($A94="","",Wages!$D97)</f>
        <v/>
      </c>
      <c r="P94">
        <f>IF(OR(Shares!$B97="",Shares!$C97=""),"",Shares!$C97)</f>
        <v/>
      </c>
      <c r="Q94">
        <f>IF($P94="","",Shares!$B97)</f>
        <v/>
      </c>
      <c r="R94">
        <f>IF($P94="","",IFERROR(INDEX(WageParty,MATCH($Q94,WageIds,0)),""))</f>
        <v/>
      </c>
      <c r="S94">
        <f>IF($P94="","",IFERROR(INDEX($F$6:$F$2005,MATCH($Q94,WageIds,0)),""))</f>
        <v/>
      </c>
      <c r="T94">
        <f>IF(OR($P94="",$S94="",$S94="نامعتبر"),"",LEFT($S94,4)&amp;MID($S94,6,2)&amp;RIGHT($S94,2)&amp;"0000"&amp;"|"&amp;"2"&amp;RIGHT("00000"&amp;89,5))</f>
        <v/>
      </c>
      <c r="U94">
        <f>IF($T94="","",COUNTIFS(LdAParty,$P94,LdAType,1,LdAKey,"&lt;"&amp;$T94)+COUNTIFS(LdBMember,$P94,LdBKey,"&lt;"&amp;$T94)+COUNTIFS(LdCParty,$P94,LdCKey,"&lt;"&amp;$T94)+1)</f>
        <v/>
      </c>
      <c r="V94">
        <f>IF($U94="","",$P94&amp;"|"&amp;RIGHT("000000"&amp;$U94,6))</f>
        <v/>
      </c>
      <c r="W94">
        <f>IF($T94="","",COUNTIFS(LdBGroup,$R94,LdBKey,"&lt;"&amp;$T94)+1)</f>
        <v/>
      </c>
      <c r="X94">
        <f>IF($W94="","",$R94&amp;"|"&amp;RIGHT("000000"&amp;$W94,6))</f>
        <v/>
      </c>
      <c r="Y94">
        <f>IF($P94="","",IF(Shares!$E97="",0,Shares!$E97))</f>
        <v/>
      </c>
      <c r="Z94">
        <f>IF($P94="","",Shares!$H97)</f>
        <v/>
      </c>
      <c r="AE94">
        <f>IF(OR(Sync!$S94="",Sync!$P94=""),"",Sync!$S94)</f>
        <v/>
      </c>
      <c r="AF94">
        <f>IF($AE94="","",IF(ISNUMBER(Sync!$P94),IF(AND(Sync!$P94&gt;=10000101,Sync!$P94&lt;=99991231),INT(Sync!$P94/10000),""),IFERROR(VALUE(TRIM(LEFT(Sync!$P94,FIND("/",Sync!$P94)-1))),"")))</f>
        <v/>
      </c>
      <c r="AG94">
        <f>IF(OR($AE94="",$AF94=""),"",IF(ISNUMBER(Sync!$P94),INT(MOD(Sync!$P94,10000)/100),IFERROR(VALUE(TRIM(LEFT(MID(Sync!$P94,FIND("/",Sync!$P94)+1,20),FIND("/",MID(Sync!$P94,FIND("/",Sync!$P94)+1,20))-1))),"")))</f>
        <v/>
      </c>
      <c r="AH94">
        <f>IF(OR($AE94="",$AF94=""),"",IF(ISNUMBER(Sync!$P94),MOD(Sync!$P94,100),IFERROR(VALUE(TRIM(MID(MID(Sync!$P94,FIND("/",Sync!$P94)+1,20),FIND("/",MID(Sync!$P94,FIND("/",Sync!$P94)+1,20))+1,20))),"")))</f>
        <v/>
      </c>
      <c r="AI94">
        <f>IF($AE94="","",IF(OR($AF94="",$AG94="",$AH94="",$AF94&lt;1300,$AF94&gt;1500,$AG94&lt;1,$AG94&gt;12,$AH94&lt;1,$AH94&gt;31),"نامعتبر",RIGHT("0000"&amp;$AF94,4)&amp;"/"&amp;RIGHT("00"&amp;$AG94,2)&amp;"/"&amp;RIGHT("00"&amp;$AH94,2)))</f>
        <v/>
      </c>
      <c r="AJ94">
        <f>IF($AE94="","",IF(Sync!$Q94="","0000",IF(AND(ISNUMBER(Sync!$Q94),Sync!$Q94&gt;=0,Sync!$Q94&lt;1),RIGHT("00"&amp;HOUR(Sync!$Q94),2)&amp;RIGHT("00"&amp;MINUTE(Sync!$Q94),2),IFERROR(RIGHT("00"&amp;VALUE(LEFT(Sync!$Q94,FIND(":",Sync!$Q94)-1)),2)&amp;RIGHT("00"&amp;VALUE(MID(Sync!$Q94,FIND(":",Sync!$Q94)+1,2)),2),"0000"))))</f>
        <v/>
      </c>
      <c r="AK94">
        <f>IF(OR($AE94="",$AI94="",$AI94="نامعتبر"),"",LEFT($AI94,4)&amp;MID($AI94,6,2)&amp;RIGHT($AI94,2)&amp;$AJ94&amp;"|"&amp;"3"&amp;RIGHT("00000"&amp;89,5))</f>
        <v/>
      </c>
      <c r="AL94">
        <f>IF($AK94="","",COUNTIFS(LdAParty,$AE94,LdAType,1,LdAKey,"&lt;"&amp;$AK94)+COUNTIFS(LdBMember,$AE94,LdBKey,"&lt;"&amp;$AK94)+COUNTIFS(LdCParty,$AE94,LdCKey,"&lt;"&amp;$AK94)+1)</f>
        <v/>
      </c>
      <c r="AM94">
        <f>IF($AL94="","",$AE94&amp;"|"&amp;RIGHT("000000"&amp;$AL94,6))</f>
        <v/>
      </c>
      <c r="AN94">
        <f>IF($AE94="","",IF(Sync!$W94="",0,Sync!$W94))</f>
        <v/>
      </c>
      <c r="AO94">
        <f>IF($AE94="","",IF(Sync!$X94="",0,Sync!$X94))</f>
        <v/>
      </c>
      <c r="AP94">
        <f>IF($AE94="","",Sync!$R94)</f>
        <v/>
      </c>
      <c r="AQ94">
        <f>IF($AE94="","",Sync!$Y94)</f>
        <v/>
      </c>
    </row>
    <row r="95">
      <c r="A95">
        <f>IF(OR(Wages!$B98="",Wages!$E98=""),"",Wages!$E98)</f>
        <v/>
      </c>
      <c r="B95">
        <f>IF($A95="","",IF(Wages!$C98="دستمزد گروهی",2,1))</f>
        <v/>
      </c>
      <c r="C95">
        <f>IF($A95="","",IF(ISNUMBER(Wages!$B98),IF(AND(Wages!$B98&gt;=10000101,Wages!$B98&lt;=99991231),INT(Wages!$B98/10000),""),IFERROR(VALUE(TRIM(LEFT(Wages!$B98,FIND("/",Wages!$B98)-1))),"")))</f>
        <v/>
      </c>
      <c r="D95">
        <f>IF(OR($A95="",$C95=""),"",IF(ISNUMBER(Wages!$B98),INT(MOD(Wages!$B98,10000)/100),IFERROR(VALUE(TRIM(LEFT(MID(Wages!$B98,FIND("/",Wages!$B98)+1,20),FIND("/",MID(Wages!$B98,FIND("/",Wages!$B98)+1,20))-1))),"")))</f>
        <v/>
      </c>
      <c r="E95">
        <f>IF(OR($A95="",$C95=""),"",IF(ISNUMBER(Wages!$B98),MOD(Wages!$B98,100),IFERROR(VALUE(TRIM(MID(MID(Wages!$B98,FIND("/",Wages!$B98)+1,20),FIND("/",MID(Wages!$B98,FIND("/",Wages!$B98)+1,20))+1,20))),"")))</f>
        <v/>
      </c>
      <c r="F95">
        <f>IF($A95="","",IF(OR($C95="",$D95="",$E95="",$C95&lt;1300,$C95&gt;1500,$D95&lt;1,$D95&gt;12,$E95&lt;1,$E95&gt;31),"نامعتبر",RIGHT("0000"&amp;$C95,4)&amp;"/"&amp;RIGHT("00"&amp;$D95,2)&amp;"/"&amp;RIGHT("00"&amp;$E95,2)))</f>
        <v/>
      </c>
      <c r="G95">
        <f>IF(OR($A95="",$F95="",$F95="نامعتبر"),"",LEFT($F95,4)&amp;MID($F95,6,2)&amp;RIGHT($F95,2)&amp;"0000"&amp;"|"&amp;"1"&amp;RIGHT("00000"&amp;90,5))</f>
        <v/>
      </c>
      <c r="H95">
        <f>IF(OR($B95&lt;&gt;1,$G95=""),"",COUNTIFS(LdAParty,$A95,LdAType,1,LdAKey,"&lt;"&amp;$G95)+COUNTIFS(LdBMember,$A95,LdBKey,"&lt;"&amp;$G95)+COUNTIFS(LdCParty,$A95,LdCKey,"&lt;"&amp;$G95)+1)</f>
        <v/>
      </c>
      <c r="I95">
        <f>IF($H95="","",$A95&amp;"|"&amp;RIGHT("000000"&amp;$H95,6))</f>
        <v/>
      </c>
      <c r="J95">
        <f>IF(OR($B95&lt;&gt;2,$G95=""),"",COUNTIFS(LdAParty,$A95,LdAType,2,LdAKey,"&lt;"&amp;$G95)+1)</f>
        <v/>
      </c>
      <c r="K95">
        <f>IF($J95="","",$A95&amp;"|"&amp;RIGHT("000000"&amp;$J95,6))</f>
        <v/>
      </c>
      <c r="L95">
        <f>IF($A95="","",IF(Wages!$G98="",0,Wages!$G98))</f>
        <v/>
      </c>
      <c r="M95">
        <f>IF($A95="","",Wages!$J98)</f>
        <v/>
      </c>
      <c r="N95">
        <f>IF($A95="","",Wages!$D98)</f>
        <v/>
      </c>
      <c r="P95">
        <f>IF(OR(Shares!$B98="",Shares!$C98=""),"",Shares!$C98)</f>
        <v/>
      </c>
      <c r="Q95">
        <f>IF($P95="","",Shares!$B98)</f>
        <v/>
      </c>
      <c r="R95">
        <f>IF($P95="","",IFERROR(INDEX(WageParty,MATCH($Q95,WageIds,0)),""))</f>
        <v/>
      </c>
      <c r="S95">
        <f>IF($P95="","",IFERROR(INDEX($F$6:$F$2005,MATCH($Q95,WageIds,0)),""))</f>
        <v/>
      </c>
      <c r="T95">
        <f>IF(OR($P95="",$S95="",$S95="نامعتبر"),"",LEFT($S95,4)&amp;MID($S95,6,2)&amp;RIGHT($S95,2)&amp;"0000"&amp;"|"&amp;"2"&amp;RIGHT("00000"&amp;90,5))</f>
        <v/>
      </c>
      <c r="U95">
        <f>IF($T95="","",COUNTIFS(LdAParty,$P95,LdAType,1,LdAKey,"&lt;"&amp;$T95)+COUNTIFS(LdBMember,$P95,LdBKey,"&lt;"&amp;$T95)+COUNTIFS(LdCParty,$P95,LdCKey,"&lt;"&amp;$T95)+1)</f>
        <v/>
      </c>
      <c r="V95">
        <f>IF($U95="","",$P95&amp;"|"&amp;RIGHT("000000"&amp;$U95,6))</f>
        <v/>
      </c>
      <c r="W95">
        <f>IF($T95="","",COUNTIFS(LdBGroup,$R95,LdBKey,"&lt;"&amp;$T95)+1)</f>
        <v/>
      </c>
      <c r="X95">
        <f>IF($W95="","",$R95&amp;"|"&amp;RIGHT("000000"&amp;$W95,6))</f>
        <v/>
      </c>
      <c r="Y95">
        <f>IF($P95="","",IF(Shares!$E98="",0,Shares!$E98))</f>
        <v/>
      </c>
      <c r="Z95">
        <f>IF($P95="","",Shares!$H98)</f>
        <v/>
      </c>
      <c r="AE95">
        <f>IF(OR(Sync!$S95="",Sync!$P95=""),"",Sync!$S95)</f>
        <v/>
      </c>
      <c r="AF95">
        <f>IF($AE95="","",IF(ISNUMBER(Sync!$P95),IF(AND(Sync!$P95&gt;=10000101,Sync!$P95&lt;=99991231),INT(Sync!$P95/10000),""),IFERROR(VALUE(TRIM(LEFT(Sync!$P95,FIND("/",Sync!$P95)-1))),"")))</f>
        <v/>
      </c>
      <c r="AG95">
        <f>IF(OR($AE95="",$AF95=""),"",IF(ISNUMBER(Sync!$P95),INT(MOD(Sync!$P95,10000)/100),IFERROR(VALUE(TRIM(LEFT(MID(Sync!$P95,FIND("/",Sync!$P95)+1,20),FIND("/",MID(Sync!$P95,FIND("/",Sync!$P95)+1,20))-1))),"")))</f>
        <v/>
      </c>
      <c r="AH95">
        <f>IF(OR($AE95="",$AF95=""),"",IF(ISNUMBER(Sync!$P95),MOD(Sync!$P95,100),IFERROR(VALUE(TRIM(MID(MID(Sync!$P95,FIND("/",Sync!$P95)+1,20),FIND("/",MID(Sync!$P95,FIND("/",Sync!$P95)+1,20))+1,20))),"")))</f>
        <v/>
      </c>
      <c r="AI95">
        <f>IF($AE95="","",IF(OR($AF95="",$AG95="",$AH95="",$AF95&lt;1300,$AF95&gt;1500,$AG95&lt;1,$AG95&gt;12,$AH95&lt;1,$AH95&gt;31),"نامعتبر",RIGHT("0000"&amp;$AF95,4)&amp;"/"&amp;RIGHT("00"&amp;$AG95,2)&amp;"/"&amp;RIGHT("00"&amp;$AH95,2)))</f>
        <v/>
      </c>
      <c r="AJ95">
        <f>IF($AE95="","",IF(Sync!$Q95="","0000",IF(AND(ISNUMBER(Sync!$Q95),Sync!$Q95&gt;=0,Sync!$Q95&lt;1),RIGHT("00"&amp;HOUR(Sync!$Q95),2)&amp;RIGHT("00"&amp;MINUTE(Sync!$Q95),2),IFERROR(RIGHT("00"&amp;VALUE(LEFT(Sync!$Q95,FIND(":",Sync!$Q95)-1)),2)&amp;RIGHT("00"&amp;VALUE(MID(Sync!$Q95,FIND(":",Sync!$Q95)+1,2)),2),"0000"))))</f>
        <v/>
      </c>
      <c r="AK95">
        <f>IF(OR($AE95="",$AI95="",$AI95="نامعتبر"),"",LEFT($AI95,4)&amp;MID($AI95,6,2)&amp;RIGHT($AI95,2)&amp;$AJ95&amp;"|"&amp;"3"&amp;RIGHT("00000"&amp;90,5))</f>
        <v/>
      </c>
      <c r="AL95">
        <f>IF($AK95="","",COUNTIFS(LdAParty,$AE95,LdAType,1,LdAKey,"&lt;"&amp;$AK95)+COUNTIFS(LdBMember,$AE95,LdBKey,"&lt;"&amp;$AK95)+COUNTIFS(LdCParty,$AE95,LdCKey,"&lt;"&amp;$AK95)+1)</f>
        <v/>
      </c>
      <c r="AM95">
        <f>IF($AL95="","",$AE95&amp;"|"&amp;RIGHT("000000"&amp;$AL95,6))</f>
        <v/>
      </c>
      <c r="AN95">
        <f>IF($AE95="","",IF(Sync!$W95="",0,Sync!$W95))</f>
        <v/>
      </c>
      <c r="AO95">
        <f>IF($AE95="","",IF(Sync!$X95="",0,Sync!$X95))</f>
        <v/>
      </c>
      <c r="AP95">
        <f>IF($AE95="","",Sync!$R95)</f>
        <v/>
      </c>
      <c r="AQ95">
        <f>IF($AE95="","",Sync!$Y95)</f>
        <v/>
      </c>
    </row>
    <row r="96">
      <c r="A96">
        <f>IF(OR(Wages!$B99="",Wages!$E99=""),"",Wages!$E99)</f>
        <v/>
      </c>
      <c r="B96">
        <f>IF($A96="","",IF(Wages!$C99="دستمزد گروهی",2,1))</f>
        <v/>
      </c>
      <c r="C96">
        <f>IF($A96="","",IF(ISNUMBER(Wages!$B99),IF(AND(Wages!$B99&gt;=10000101,Wages!$B99&lt;=99991231),INT(Wages!$B99/10000),""),IFERROR(VALUE(TRIM(LEFT(Wages!$B99,FIND("/",Wages!$B99)-1))),"")))</f>
        <v/>
      </c>
      <c r="D96">
        <f>IF(OR($A96="",$C96=""),"",IF(ISNUMBER(Wages!$B99),INT(MOD(Wages!$B99,10000)/100),IFERROR(VALUE(TRIM(LEFT(MID(Wages!$B99,FIND("/",Wages!$B99)+1,20),FIND("/",MID(Wages!$B99,FIND("/",Wages!$B99)+1,20))-1))),"")))</f>
        <v/>
      </c>
      <c r="E96">
        <f>IF(OR($A96="",$C96=""),"",IF(ISNUMBER(Wages!$B99),MOD(Wages!$B99,100),IFERROR(VALUE(TRIM(MID(MID(Wages!$B99,FIND("/",Wages!$B99)+1,20),FIND("/",MID(Wages!$B99,FIND("/",Wages!$B99)+1,20))+1,20))),"")))</f>
        <v/>
      </c>
      <c r="F96">
        <f>IF($A96="","",IF(OR($C96="",$D96="",$E96="",$C96&lt;1300,$C96&gt;1500,$D96&lt;1,$D96&gt;12,$E96&lt;1,$E96&gt;31),"نامعتبر",RIGHT("0000"&amp;$C96,4)&amp;"/"&amp;RIGHT("00"&amp;$D96,2)&amp;"/"&amp;RIGHT("00"&amp;$E96,2)))</f>
        <v/>
      </c>
      <c r="G96">
        <f>IF(OR($A96="",$F96="",$F96="نامعتبر"),"",LEFT($F96,4)&amp;MID($F96,6,2)&amp;RIGHT($F96,2)&amp;"0000"&amp;"|"&amp;"1"&amp;RIGHT("00000"&amp;91,5))</f>
        <v/>
      </c>
      <c r="H96">
        <f>IF(OR($B96&lt;&gt;1,$G96=""),"",COUNTIFS(LdAParty,$A96,LdAType,1,LdAKey,"&lt;"&amp;$G96)+COUNTIFS(LdBMember,$A96,LdBKey,"&lt;"&amp;$G96)+COUNTIFS(LdCParty,$A96,LdCKey,"&lt;"&amp;$G96)+1)</f>
        <v/>
      </c>
      <c r="I96">
        <f>IF($H96="","",$A96&amp;"|"&amp;RIGHT("000000"&amp;$H96,6))</f>
        <v/>
      </c>
      <c r="J96">
        <f>IF(OR($B96&lt;&gt;2,$G96=""),"",COUNTIFS(LdAParty,$A96,LdAType,2,LdAKey,"&lt;"&amp;$G96)+1)</f>
        <v/>
      </c>
      <c r="K96">
        <f>IF($J96="","",$A96&amp;"|"&amp;RIGHT("000000"&amp;$J96,6))</f>
        <v/>
      </c>
      <c r="L96">
        <f>IF($A96="","",IF(Wages!$G99="",0,Wages!$G99))</f>
        <v/>
      </c>
      <c r="M96">
        <f>IF($A96="","",Wages!$J99)</f>
        <v/>
      </c>
      <c r="N96">
        <f>IF($A96="","",Wages!$D99)</f>
        <v/>
      </c>
      <c r="P96">
        <f>IF(OR(Shares!$B99="",Shares!$C99=""),"",Shares!$C99)</f>
        <v/>
      </c>
      <c r="Q96">
        <f>IF($P96="","",Shares!$B99)</f>
        <v/>
      </c>
      <c r="R96">
        <f>IF($P96="","",IFERROR(INDEX(WageParty,MATCH($Q96,WageIds,0)),""))</f>
        <v/>
      </c>
      <c r="S96">
        <f>IF($P96="","",IFERROR(INDEX($F$6:$F$2005,MATCH($Q96,WageIds,0)),""))</f>
        <v/>
      </c>
      <c r="T96">
        <f>IF(OR($P96="",$S96="",$S96="نامعتبر"),"",LEFT($S96,4)&amp;MID($S96,6,2)&amp;RIGHT($S96,2)&amp;"0000"&amp;"|"&amp;"2"&amp;RIGHT("00000"&amp;91,5))</f>
        <v/>
      </c>
      <c r="U96">
        <f>IF($T96="","",COUNTIFS(LdAParty,$P96,LdAType,1,LdAKey,"&lt;"&amp;$T96)+COUNTIFS(LdBMember,$P96,LdBKey,"&lt;"&amp;$T96)+COUNTIFS(LdCParty,$P96,LdCKey,"&lt;"&amp;$T96)+1)</f>
        <v/>
      </c>
      <c r="V96">
        <f>IF($U96="","",$P96&amp;"|"&amp;RIGHT("000000"&amp;$U96,6))</f>
        <v/>
      </c>
      <c r="W96">
        <f>IF($T96="","",COUNTIFS(LdBGroup,$R96,LdBKey,"&lt;"&amp;$T96)+1)</f>
        <v/>
      </c>
      <c r="X96">
        <f>IF($W96="","",$R96&amp;"|"&amp;RIGHT("000000"&amp;$W96,6))</f>
        <v/>
      </c>
      <c r="Y96">
        <f>IF($P96="","",IF(Shares!$E99="",0,Shares!$E99))</f>
        <v/>
      </c>
      <c r="Z96">
        <f>IF($P96="","",Shares!$H99)</f>
        <v/>
      </c>
      <c r="AE96">
        <f>IF(OR(Sync!$S96="",Sync!$P96=""),"",Sync!$S96)</f>
        <v/>
      </c>
      <c r="AF96">
        <f>IF($AE96="","",IF(ISNUMBER(Sync!$P96),IF(AND(Sync!$P96&gt;=10000101,Sync!$P96&lt;=99991231),INT(Sync!$P96/10000),""),IFERROR(VALUE(TRIM(LEFT(Sync!$P96,FIND("/",Sync!$P96)-1))),"")))</f>
        <v/>
      </c>
      <c r="AG96">
        <f>IF(OR($AE96="",$AF96=""),"",IF(ISNUMBER(Sync!$P96),INT(MOD(Sync!$P96,10000)/100),IFERROR(VALUE(TRIM(LEFT(MID(Sync!$P96,FIND("/",Sync!$P96)+1,20),FIND("/",MID(Sync!$P96,FIND("/",Sync!$P96)+1,20))-1))),"")))</f>
        <v/>
      </c>
      <c r="AH96">
        <f>IF(OR($AE96="",$AF96=""),"",IF(ISNUMBER(Sync!$P96),MOD(Sync!$P96,100),IFERROR(VALUE(TRIM(MID(MID(Sync!$P96,FIND("/",Sync!$P96)+1,20),FIND("/",MID(Sync!$P96,FIND("/",Sync!$P96)+1,20))+1,20))),"")))</f>
        <v/>
      </c>
      <c r="AI96">
        <f>IF($AE96="","",IF(OR($AF96="",$AG96="",$AH96="",$AF96&lt;1300,$AF96&gt;1500,$AG96&lt;1,$AG96&gt;12,$AH96&lt;1,$AH96&gt;31),"نامعتبر",RIGHT("0000"&amp;$AF96,4)&amp;"/"&amp;RIGHT("00"&amp;$AG96,2)&amp;"/"&amp;RIGHT("00"&amp;$AH96,2)))</f>
        <v/>
      </c>
      <c r="AJ96">
        <f>IF($AE96="","",IF(Sync!$Q96="","0000",IF(AND(ISNUMBER(Sync!$Q96),Sync!$Q96&gt;=0,Sync!$Q96&lt;1),RIGHT("00"&amp;HOUR(Sync!$Q96),2)&amp;RIGHT("00"&amp;MINUTE(Sync!$Q96),2),IFERROR(RIGHT("00"&amp;VALUE(LEFT(Sync!$Q96,FIND(":",Sync!$Q96)-1)),2)&amp;RIGHT("00"&amp;VALUE(MID(Sync!$Q96,FIND(":",Sync!$Q96)+1,2)),2),"0000"))))</f>
        <v/>
      </c>
      <c r="AK96">
        <f>IF(OR($AE96="",$AI96="",$AI96="نامعتبر"),"",LEFT($AI96,4)&amp;MID($AI96,6,2)&amp;RIGHT($AI96,2)&amp;$AJ96&amp;"|"&amp;"3"&amp;RIGHT("00000"&amp;91,5))</f>
        <v/>
      </c>
      <c r="AL96">
        <f>IF($AK96="","",COUNTIFS(LdAParty,$AE96,LdAType,1,LdAKey,"&lt;"&amp;$AK96)+COUNTIFS(LdBMember,$AE96,LdBKey,"&lt;"&amp;$AK96)+COUNTIFS(LdCParty,$AE96,LdCKey,"&lt;"&amp;$AK96)+1)</f>
        <v/>
      </c>
      <c r="AM96">
        <f>IF($AL96="","",$AE96&amp;"|"&amp;RIGHT("000000"&amp;$AL96,6))</f>
        <v/>
      </c>
      <c r="AN96">
        <f>IF($AE96="","",IF(Sync!$W96="",0,Sync!$W96))</f>
        <v/>
      </c>
      <c r="AO96">
        <f>IF($AE96="","",IF(Sync!$X96="",0,Sync!$X96))</f>
        <v/>
      </c>
      <c r="AP96">
        <f>IF($AE96="","",Sync!$R96)</f>
        <v/>
      </c>
      <c r="AQ96">
        <f>IF($AE96="","",Sync!$Y96)</f>
        <v/>
      </c>
    </row>
    <row r="97">
      <c r="A97">
        <f>IF(OR(Wages!$B100="",Wages!$E100=""),"",Wages!$E100)</f>
        <v/>
      </c>
      <c r="B97">
        <f>IF($A97="","",IF(Wages!$C100="دستمزد گروهی",2,1))</f>
        <v/>
      </c>
      <c r="C97">
        <f>IF($A97="","",IF(ISNUMBER(Wages!$B100),IF(AND(Wages!$B100&gt;=10000101,Wages!$B100&lt;=99991231),INT(Wages!$B100/10000),""),IFERROR(VALUE(TRIM(LEFT(Wages!$B100,FIND("/",Wages!$B100)-1))),"")))</f>
        <v/>
      </c>
      <c r="D97">
        <f>IF(OR($A97="",$C97=""),"",IF(ISNUMBER(Wages!$B100),INT(MOD(Wages!$B100,10000)/100),IFERROR(VALUE(TRIM(LEFT(MID(Wages!$B100,FIND("/",Wages!$B100)+1,20),FIND("/",MID(Wages!$B100,FIND("/",Wages!$B100)+1,20))-1))),"")))</f>
        <v/>
      </c>
      <c r="E97">
        <f>IF(OR($A97="",$C97=""),"",IF(ISNUMBER(Wages!$B100),MOD(Wages!$B100,100),IFERROR(VALUE(TRIM(MID(MID(Wages!$B100,FIND("/",Wages!$B100)+1,20),FIND("/",MID(Wages!$B100,FIND("/",Wages!$B100)+1,20))+1,20))),"")))</f>
        <v/>
      </c>
      <c r="F97">
        <f>IF($A97="","",IF(OR($C97="",$D97="",$E97="",$C97&lt;1300,$C97&gt;1500,$D97&lt;1,$D97&gt;12,$E97&lt;1,$E97&gt;31),"نامعتبر",RIGHT("0000"&amp;$C97,4)&amp;"/"&amp;RIGHT("00"&amp;$D97,2)&amp;"/"&amp;RIGHT("00"&amp;$E97,2)))</f>
        <v/>
      </c>
      <c r="G97">
        <f>IF(OR($A97="",$F97="",$F97="نامعتبر"),"",LEFT($F97,4)&amp;MID($F97,6,2)&amp;RIGHT($F97,2)&amp;"0000"&amp;"|"&amp;"1"&amp;RIGHT("00000"&amp;92,5))</f>
        <v/>
      </c>
      <c r="H97">
        <f>IF(OR($B97&lt;&gt;1,$G97=""),"",COUNTIFS(LdAParty,$A97,LdAType,1,LdAKey,"&lt;"&amp;$G97)+COUNTIFS(LdBMember,$A97,LdBKey,"&lt;"&amp;$G97)+COUNTIFS(LdCParty,$A97,LdCKey,"&lt;"&amp;$G97)+1)</f>
        <v/>
      </c>
      <c r="I97">
        <f>IF($H97="","",$A97&amp;"|"&amp;RIGHT("000000"&amp;$H97,6))</f>
        <v/>
      </c>
      <c r="J97">
        <f>IF(OR($B97&lt;&gt;2,$G97=""),"",COUNTIFS(LdAParty,$A97,LdAType,2,LdAKey,"&lt;"&amp;$G97)+1)</f>
        <v/>
      </c>
      <c r="K97">
        <f>IF($J97="","",$A97&amp;"|"&amp;RIGHT("000000"&amp;$J97,6))</f>
        <v/>
      </c>
      <c r="L97">
        <f>IF($A97="","",IF(Wages!$G100="",0,Wages!$G100))</f>
        <v/>
      </c>
      <c r="M97">
        <f>IF($A97="","",Wages!$J100)</f>
        <v/>
      </c>
      <c r="N97">
        <f>IF($A97="","",Wages!$D100)</f>
        <v/>
      </c>
      <c r="P97">
        <f>IF(OR(Shares!$B100="",Shares!$C100=""),"",Shares!$C100)</f>
        <v/>
      </c>
      <c r="Q97">
        <f>IF($P97="","",Shares!$B100)</f>
        <v/>
      </c>
      <c r="R97">
        <f>IF($P97="","",IFERROR(INDEX(WageParty,MATCH($Q97,WageIds,0)),""))</f>
        <v/>
      </c>
      <c r="S97">
        <f>IF($P97="","",IFERROR(INDEX($F$6:$F$2005,MATCH($Q97,WageIds,0)),""))</f>
        <v/>
      </c>
      <c r="T97">
        <f>IF(OR($P97="",$S97="",$S97="نامعتبر"),"",LEFT($S97,4)&amp;MID($S97,6,2)&amp;RIGHT($S97,2)&amp;"0000"&amp;"|"&amp;"2"&amp;RIGHT("00000"&amp;92,5))</f>
        <v/>
      </c>
      <c r="U97">
        <f>IF($T97="","",COUNTIFS(LdAParty,$P97,LdAType,1,LdAKey,"&lt;"&amp;$T97)+COUNTIFS(LdBMember,$P97,LdBKey,"&lt;"&amp;$T97)+COUNTIFS(LdCParty,$P97,LdCKey,"&lt;"&amp;$T97)+1)</f>
        <v/>
      </c>
      <c r="V97">
        <f>IF($U97="","",$P97&amp;"|"&amp;RIGHT("000000"&amp;$U97,6))</f>
        <v/>
      </c>
      <c r="W97">
        <f>IF($T97="","",COUNTIFS(LdBGroup,$R97,LdBKey,"&lt;"&amp;$T97)+1)</f>
        <v/>
      </c>
      <c r="X97">
        <f>IF($W97="","",$R97&amp;"|"&amp;RIGHT("000000"&amp;$W97,6))</f>
        <v/>
      </c>
      <c r="Y97">
        <f>IF($P97="","",IF(Shares!$E100="",0,Shares!$E100))</f>
        <v/>
      </c>
      <c r="Z97">
        <f>IF($P97="","",Shares!$H100)</f>
        <v/>
      </c>
      <c r="AE97">
        <f>IF(OR(Sync!$S97="",Sync!$P97=""),"",Sync!$S97)</f>
        <v/>
      </c>
      <c r="AF97">
        <f>IF($AE97="","",IF(ISNUMBER(Sync!$P97),IF(AND(Sync!$P97&gt;=10000101,Sync!$P97&lt;=99991231),INT(Sync!$P97/10000),""),IFERROR(VALUE(TRIM(LEFT(Sync!$P97,FIND("/",Sync!$P97)-1))),"")))</f>
        <v/>
      </c>
      <c r="AG97">
        <f>IF(OR($AE97="",$AF97=""),"",IF(ISNUMBER(Sync!$P97),INT(MOD(Sync!$P97,10000)/100),IFERROR(VALUE(TRIM(LEFT(MID(Sync!$P97,FIND("/",Sync!$P97)+1,20),FIND("/",MID(Sync!$P97,FIND("/",Sync!$P97)+1,20))-1))),"")))</f>
        <v/>
      </c>
      <c r="AH97">
        <f>IF(OR($AE97="",$AF97=""),"",IF(ISNUMBER(Sync!$P97),MOD(Sync!$P97,100),IFERROR(VALUE(TRIM(MID(MID(Sync!$P97,FIND("/",Sync!$P97)+1,20),FIND("/",MID(Sync!$P97,FIND("/",Sync!$P97)+1,20))+1,20))),"")))</f>
        <v/>
      </c>
      <c r="AI97">
        <f>IF($AE97="","",IF(OR($AF97="",$AG97="",$AH97="",$AF97&lt;1300,$AF97&gt;1500,$AG97&lt;1,$AG97&gt;12,$AH97&lt;1,$AH97&gt;31),"نامعتبر",RIGHT("0000"&amp;$AF97,4)&amp;"/"&amp;RIGHT("00"&amp;$AG97,2)&amp;"/"&amp;RIGHT("00"&amp;$AH97,2)))</f>
        <v/>
      </c>
      <c r="AJ97">
        <f>IF($AE97="","",IF(Sync!$Q97="","0000",IF(AND(ISNUMBER(Sync!$Q97),Sync!$Q97&gt;=0,Sync!$Q97&lt;1),RIGHT("00"&amp;HOUR(Sync!$Q97),2)&amp;RIGHT("00"&amp;MINUTE(Sync!$Q97),2),IFERROR(RIGHT("00"&amp;VALUE(LEFT(Sync!$Q97,FIND(":",Sync!$Q97)-1)),2)&amp;RIGHT("00"&amp;VALUE(MID(Sync!$Q97,FIND(":",Sync!$Q97)+1,2)),2),"0000"))))</f>
        <v/>
      </c>
      <c r="AK97">
        <f>IF(OR($AE97="",$AI97="",$AI97="نامعتبر"),"",LEFT($AI97,4)&amp;MID($AI97,6,2)&amp;RIGHT($AI97,2)&amp;$AJ97&amp;"|"&amp;"3"&amp;RIGHT("00000"&amp;92,5))</f>
        <v/>
      </c>
      <c r="AL97">
        <f>IF($AK97="","",COUNTIFS(LdAParty,$AE97,LdAType,1,LdAKey,"&lt;"&amp;$AK97)+COUNTIFS(LdBMember,$AE97,LdBKey,"&lt;"&amp;$AK97)+COUNTIFS(LdCParty,$AE97,LdCKey,"&lt;"&amp;$AK97)+1)</f>
        <v/>
      </c>
      <c r="AM97">
        <f>IF($AL97="","",$AE97&amp;"|"&amp;RIGHT("000000"&amp;$AL97,6))</f>
        <v/>
      </c>
      <c r="AN97">
        <f>IF($AE97="","",IF(Sync!$W97="",0,Sync!$W97))</f>
        <v/>
      </c>
      <c r="AO97">
        <f>IF($AE97="","",IF(Sync!$X97="",0,Sync!$X97))</f>
        <v/>
      </c>
      <c r="AP97">
        <f>IF($AE97="","",Sync!$R97)</f>
        <v/>
      </c>
      <c r="AQ97">
        <f>IF($AE97="","",Sync!$Y97)</f>
        <v/>
      </c>
    </row>
    <row r="98">
      <c r="A98">
        <f>IF(OR(Wages!$B101="",Wages!$E101=""),"",Wages!$E101)</f>
        <v/>
      </c>
      <c r="B98">
        <f>IF($A98="","",IF(Wages!$C101="دستمزد گروهی",2,1))</f>
        <v/>
      </c>
      <c r="C98">
        <f>IF($A98="","",IF(ISNUMBER(Wages!$B101),IF(AND(Wages!$B101&gt;=10000101,Wages!$B101&lt;=99991231),INT(Wages!$B101/10000),""),IFERROR(VALUE(TRIM(LEFT(Wages!$B101,FIND("/",Wages!$B101)-1))),"")))</f>
        <v/>
      </c>
      <c r="D98">
        <f>IF(OR($A98="",$C98=""),"",IF(ISNUMBER(Wages!$B101),INT(MOD(Wages!$B101,10000)/100),IFERROR(VALUE(TRIM(LEFT(MID(Wages!$B101,FIND("/",Wages!$B101)+1,20),FIND("/",MID(Wages!$B101,FIND("/",Wages!$B101)+1,20))-1))),"")))</f>
        <v/>
      </c>
      <c r="E98">
        <f>IF(OR($A98="",$C98=""),"",IF(ISNUMBER(Wages!$B101),MOD(Wages!$B101,100),IFERROR(VALUE(TRIM(MID(MID(Wages!$B101,FIND("/",Wages!$B101)+1,20),FIND("/",MID(Wages!$B101,FIND("/",Wages!$B101)+1,20))+1,20))),"")))</f>
        <v/>
      </c>
      <c r="F98">
        <f>IF($A98="","",IF(OR($C98="",$D98="",$E98="",$C98&lt;1300,$C98&gt;1500,$D98&lt;1,$D98&gt;12,$E98&lt;1,$E98&gt;31),"نامعتبر",RIGHT("0000"&amp;$C98,4)&amp;"/"&amp;RIGHT("00"&amp;$D98,2)&amp;"/"&amp;RIGHT("00"&amp;$E98,2)))</f>
        <v/>
      </c>
      <c r="G98">
        <f>IF(OR($A98="",$F98="",$F98="نامعتبر"),"",LEFT($F98,4)&amp;MID($F98,6,2)&amp;RIGHT($F98,2)&amp;"0000"&amp;"|"&amp;"1"&amp;RIGHT("00000"&amp;93,5))</f>
        <v/>
      </c>
      <c r="H98">
        <f>IF(OR($B98&lt;&gt;1,$G98=""),"",COUNTIFS(LdAParty,$A98,LdAType,1,LdAKey,"&lt;"&amp;$G98)+COUNTIFS(LdBMember,$A98,LdBKey,"&lt;"&amp;$G98)+COUNTIFS(LdCParty,$A98,LdCKey,"&lt;"&amp;$G98)+1)</f>
        <v/>
      </c>
      <c r="I98">
        <f>IF($H98="","",$A98&amp;"|"&amp;RIGHT("000000"&amp;$H98,6))</f>
        <v/>
      </c>
      <c r="J98">
        <f>IF(OR($B98&lt;&gt;2,$G98=""),"",COUNTIFS(LdAParty,$A98,LdAType,2,LdAKey,"&lt;"&amp;$G98)+1)</f>
        <v/>
      </c>
      <c r="K98">
        <f>IF($J98="","",$A98&amp;"|"&amp;RIGHT("000000"&amp;$J98,6))</f>
        <v/>
      </c>
      <c r="L98">
        <f>IF($A98="","",IF(Wages!$G101="",0,Wages!$G101))</f>
        <v/>
      </c>
      <c r="M98">
        <f>IF($A98="","",Wages!$J101)</f>
        <v/>
      </c>
      <c r="N98">
        <f>IF($A98="","",Wages!$D101)</f>
        <v/>
      </c>
      <c r="P98">
        <f>IF(OR(Shares!$B101="",Shares!$C101=""),"",Shares!$C101)</f>
        <v/>
      </c>
      <c r="Q98">
        <f>IF($P98="","",Shares!$B101)</f>
        <v/>
      </c>
      <c r="R98">
        <f>IF($P98="","",IFERROR(INDEX(WageParty,MATCH($Q98,WageIds,0)),""))</f>
        <v/>
      </c>
      <c r="S98">
        <f>IF($P98="","",IFERROR(INDEX($F$6:$F$2005,MATCH($Q98,WageIds,0)),""))</f>
        <v/>
      </c>
      <c r="T98">
        <f>IF(OR($P98="",$S98="",$S98="نامعتبر"),"",LEFT($S98,4)&amp;MID($S98,6,2)&amp;RIGHT($S98,2)&amp;"0000"&amp;"|"&amp;"2"&amp;RIGHT("00000"&amp;93,5))</f>
        <v/>
      </c>
      <c r="U98">
        <f>IF($T98="","",COUNTIFS(LdAParty,$P98,LdAType,1,LdAKey,"&lt;"&amp;$T98)+COUNTIFS(LdBMember,$P98,LdBKey,"&lt;"&amp;$T98)+COUNTIFS(LdCParty,$P98,LdCKey,"&lt;"&amp;$T98)+1)</f>
        <v/>
      </c>
      <c r="V98">
        <f>IF($U98="","",$P98&amp;"|"&amp;RIGHT("000000"&amp;$U98,6))</f>
        <v/>
      </c>
      <c r="W98">
        <f>IF($T98="","",COUNTIFS(LdBGroup,$R98,LdBKey,"&lt;"&amp;$T98)+1)</f>
        <v/>
      </c>
      <c r="X98">
        <f>IF($W98="","",$R98&amp;"|"&amp;RIGHT("000000"&amp;$W98,6))</f>
        <v/>
      </c>
      <c r="Y98">
        <f>IF($P98="","",IF(Shares!$E101="",0,Shares!$E101))</f>
        <v/>
      </c>
      <c r="Z98">
        <f>IF($P98="","",Shares!$H101)</f>
        <v/>
      </c>
      <c r="AE98">
        <f>IF(OR(Sync!$S98="",Sync!$P98=""),"",Sync!$S98)</f>
        <v/>
      </c>
      <c r="AF98">
        <f>IF($AE98="","",IF(ISNUMBER(Sync!$P98),IF(AND(Sync!$P98&gt;=10000101,Sync!$P98&lt;=99991231),INT(Sync!$P98/10000),""),IFERROR(VALUE(TRIM(LEFT(Sync!$P98,FIND("/",Sync!$P98)-1))),"")))</f>
        <v/>
      </c>
      <c r="AG98">
        <f>IF(OR($AE98="",$AF98=""),"",IF(ISNUMBER(Sync!$P98),INT(MOD(Sync!$P98,10000)/100),IFERROR(VALUE(TRIM(LEFT(MID(Sync!$P98,FIND("/",Sync!$P98)+1,20),FIND("/",MID(Sync!$P98,FIND("/",Sync!$P98)+1,20))-1))),"")))</f>
        <v/>
      </c>
      <c r="AH98">
        <f>IF(OR($AE98="",$AF98=""),"",IF(ISNUMBER(Sync!$P98),MOD(Sync!$P98,100),IFERROR(VALUE(TRIM(MID(MID(Sync!$P98,FIND("/",Sync!$P98)+1,20),FIND("/",MID(Sync!$P98,FIND("/",Sync!$P98)+1,20))+1,20))),"")))</f>
        <v/>
      </c>
      <c r="AI98">
        <f>IF($AE98="","",IF(OR($AF98="",$AG98="",$AH98="",$AF98&lt;1300,$AF98&gt;1500,$AG98&lt;1,$AG98&gt;12,$AH98&lt;1,$AH98&gt;31),"نامعتبر",RIGHT("0000"&amp;$AF98,4)&amp;"/"&amp;RIGHT("00"&amp;$AG98,2)&amp;"/"&amp;RIGHT("00"&amp;$AH98,2)))</f>
        <v/>
      </c>
      <c r="AJ98">
        <f>IF($AE98="","",IF(Sync!$Q98="","0000",IF(AND(ISNUMBER(Sync!$Q98),Sync!$Q98&gt;=0,Sync!$Q98&lt;1),RIGHT("00"&amp;HOUR(Sync!$Q98),2)&amp;RIGHT("00"&amp;MINUTE(Sync!$Q98),2),IFERROR(RIGHT("00"&amp;VALUE(LEFT(Sync!$Q98,FIND(":",Sync!$Q98)-1)),2)&amp;RIGHT("00"&amp;VALUE(MID(Sync!$Q98,FIND(":",Sync!$Q98)+1,2)),2),"0000"))))</f>
        <v/>
      </c>
      <c r="AK98">
        <f>IF(OR($AE98="",$AI98="",$AI98="نامعتبر"),"",LEFT($AI98,4)&amp;MID($AI98,6,2)&amp;RIGHT($AI98,2)&amp;$AJ98&amp;"|"&amp;"3"&amp;RIGHT("00000"&amp;93,5))</f>
        <v/>
      </c>
      <c r="AL98">
        <f>IF($AK98="","",COUNTIFS(LdAParty,$AE98,LdAType,1,LdAKey,"&lt;"&amp;$AK98)+COUNTIFS(LdBMember,$AE98,LdBKey,"&lt;"&amp;$AK98)+COUNTIFS(LdCParty,$AE98,LdCKey,"&lt;"&amp;$AK98)+1)</f>
        <v/>
      </c>
      <c r="AM98">
        <f>IF($AL98="","",$AE98&amp;"|"&amp;RIGHT("000000"&amp;$AL98,6))</f>
        <v/>
      </c>
      <c r="AN98">
        <f>IF($AE98="","",IF(Sync!$W98="",0,Sync!$W98))</f>
        <v/>
      </c>
      <c r="AO98">
        <f>IF($AE98="","",IF(Sync!$X98="",0,Sync!$X98))</f>
        <v/>
      </c>
      <c r="AP98">
        <f>IF($AE98="","",Sync!$R98)</f>
        <v/>
      </c>
      <c r="AQ98">
        <f>IF($AE98="","",Sync!$Y98)</f>
        <v/>
      </c>
    </row>
    <row r="99">
      <c r="A99">
        <f>IF(OR(Wages!$B102="",Wages!$E102=""),"",Wages!$E102)</f>
        <v/>
      </c>
      <c r="B99">
        <f>IF($A99="","",IF(Wages!$C102="دستمزد گروهی",2,1))</f>
        <v/>
      </c>
      <c r="C99">
        <f>IF($A99="","",IF(ISNUMBER(Wages!$B102),IF(AND(Wages!$B102&gt;=10000101,Wages!$B102&lt;=99991231),INT(Wages!$B102/10000),""),IFERROR(VALUE(TRIM(LEFT(Wages!$B102,FIND("/",Wages!$B102)-1))),"")))</f>
        <v/>
      </c>
      <c r="D99">
        <f>IF(OR($A99="",$C99=""),"",IF(ISNUMBER(Wages!$B102),INT(MOD(Wages!$B102,10000)/100),IFERROR(VALUE(TRIM(LEFT(MID(Wages!$B102,FIND("/",Wages!$B102)+1,20),FIND("/",MID(Wages!$B102,FIND("/",Wages!$B102)+1,20))-1))),"")))</f>
        <v/>
      </c>
      <c r="E99">
        <f>IF(OR($A99="",$C99=""),"",IF(ISNUMBER(Wages!$B102),MOD(Wages!$B102,100),IFERROR(VALUE(TRIM(MID(MID(Wages!$B102,FIND("/",Wages!$B102)+1,20),FIND("/",MID(Wages!$B102,FIND("/",Wages!$B102)+1,20))+1,20))),"")))</f>
        <v/>
      </c>
      <c r="F99">
        <f>IF($A99="","",IF(OR($C99="",$D99="",$E99="",$C99&lt;1300,$C99&gt;1500,$D99&lt;1,$D99&gt;12,$E99&lt;1,$E99&gt;31),"نامعتبر",RIGHT("0000"&amp;$C99,4)&amp;"/"&amp;RIGHT("00"&amp;$D99,2)&amp;"/"&amp;RIGHT("00"&amp;$E99,2)))</f>
        <v/>
      </c>
      <c r="G99">
        <f>IF(OR($A99="",$F99="",$F99="نامعتبر"),"",LEFT($F99,4)&amp;MID($F99,6,2)&amp;RIGHT($F99,2)&amp;"0000"&amp;"|"&amp;"1"&amp;RIGHT("00000"&amp;94,5))</f>
        <v/>
      </c>
      <c r="H99">
        <f>IF(OR($B99&lt;&gt;1,$G99=""),"",COUNTIFS(LdAParty,$A99,LdAType,1,LdAKey,"&lt;"&amp;$G99)+COUNTIFS(LdBMember,$A99,LdBKey,"&lt;"&amp;$G99)+COUNTIFS(LdCParty,$A99,LdCKey,"&lt;"&amp;$G99)+1)</f>
        <v/>
      </c>
      <c r="I99">
        <f>IF($H99="","",$A99&amp;"|"&amp;RIGHT("000000"&amp;$H99,6))</f>
        <v/>
      </c>
      <c r="J99">
        <f>IF(OR($B99&lt;&gt;2,$G99=""),"",COUNTIFS(LdAParty,$A99,LdAType,2,LdAKey,"&lt;"&amp;$G99)+1)</f>
        <v/>
      </c>
      <c r="K99">
        <f>IF($J99="","",$A99&amp;"|"&amp;RIGHT("000000"&amp;$J99,6))</f>
        <v/>
      </c>
      <c r="L99">
        <f>IF($A99="","",IF(Wages!$G102="",0,Wages!$G102))</f>
        <v/>
      </c>
      <c r="M99">
        <f>IF($A99="","",Wages!$J102)</f>
        <v/>
      </c>
      <c r="N99">
        <f>IF($A99="","",Wages!$D102)</f>
        <v/>
      </c>
      <c r="P99">
        <f>IF(OR(Shares!$B102="",Shares!$C102=""),"",Shares!$C102)</f>
        <v/>
      </c>
      <c r="Q99">
        <f>IF($P99="","",Shares!$B102)</f>
        <v/>
      </c>
      <c r="R99">
        <f>IF($P99="","",IFERROR(INDEX(WageParty,MATCH($Q99,WageIds,0)),""))</f>
        <v/>
      </c>
      <c r="S99">
        <f>IF($P99="","",IFERROR(INDEX($F$6:$F$2005,MATCH($Q99,WageIds,0)),""))</f>
        <v/>
      </c>
      <c r="T99">
        <f>IF(OR($P99="",$S99="",$S99="نامعتبر"),"",LEFT($S99,4)&amp;MID($S99,6,2)&amp;RIGHT($S99,2)&amp;"0000"&amp;"|"&amp;"2"&amp;RIGHT("00000"&amp;94,5))</f>
        <v/>
      </c>
      <c r="U99">
        <f>IF($T99="","",COUNTIFS(LdAParty,$P99,LdAType,1,LdAKey,"&lt;"&amp;$T99)+COUNTIFS(LdBMember,$P99,LdBKey,"&lt;"&amp;$T99)+COUNTIFS(LdCParty,$P99,LdCKey,"&lt;"&amp;$T99)+1)</f>
        <v/>
      </c>
      <c r="V99">
        <f>IF($U99="","",$P99&amp;"|"&amp;RIGHT("000000"&amp;$U99,6))</f>
        <v/>
      </c>
      <c r="W99">
        <f>IF($T99="","",COUNTIFS(LdBGroup,$R99,LdBKey,"&lt;"&amp;$T99)+1)</f>
        <v/>
      </c>
      <c r="X99">
        <f>IF($W99="","",$R99&amp;"|"&amp;RIGHT("000000"&amp;$W99,6))</f>
        <v/>
      </c>
      <c r="Y99">
        <f>IF($P99="","",IF(Shares!$E102="",0,Shares!$E102))</f>
        <v/>
      </c>
      <c r="Z99">
        <f>IF($P99="","",Shares!$H102)</f>
        <v/>
      </c>
      <c r="AE99">
        <f>IF(OR(Sync!$S99="",Sync!$P99=""),"",Sync!$S99)</f>
        <v/>
      </c>
      <c r="AF99">
        <f>IF($AE99="","",IF(ISNUMBER(Sync!$P99),IF(AND(Sync!$P99&gt;=10000101,Sync!$P99&lt;=99991231),INT(Sync!$P99/10000),""),IFERROR(VALUE(TRIM(LEFT(Sync!$P99,FIND("/",Sync!$P99)-1))),"")))</f>
        <v/>
      </c>
      <c r="AG99">
        <f>IF(OR($AE99="",$AF99=""),"",IF(ISNUMBER(Sync!$P99),INT(MOD(Sync!$P99,10000)/100),IFERROR(VALUE(TRIM(LEFT(MID(Sync!$P99,FIND("/",Sync!$P99)+1,20),FIND("/",MID(Sync!$P99,FIND("/",Sync!$P99)+1,20))-1))),"")))</f>
        <v/>
      </c>
      <c r="AH99">
        <f>IF(OR($AE99="",$AF99=""),"",IF(ISNUMBER(Sync!$P99),MOD(Sync!$P99,100),IFERROR(VALUE(TRIM(MID(MID(Sync!$P99,FIND("/",Sync!$P99)+1,20),FIND("/",MID(Sync!$P99,FIND("/",Sync!$P99)+1,20))+1,20))),"")))</f>
        <v/>
      </c>
      <c r="AI99">
        <f>IF($AE99="","",IF(OR($AF99="",$AG99="",$AH99="",$AF99&lt;1300,$AF99&gt;1500,$AG99&lt;1,$AG99&gt;12,$AH99&lt;1,$AH99&gt;31),"نامعتبر",RIGHT("0000"&amp;$AF99,4)&amp;"/"&amp;RIGHT("00"&amp;$AG99,2)&amp;"/"&amp;RIGHT("00"&amp;$AH99,2)))</f>
        <v/>
      </c>
      <c r="AJ99">
        <f>IF($AE99="","",IF(Sync!$Q99="","0000",IF(AND(ISNUMBER(Sync!$Q99),Sync!$Q99&gt;=0,Sync!$Q99&lt;1),RIGHT("00"&amp;HOUR(Sync!$Q99),2)&amp;RIGHT("00"&amp;MINUTE(Sync!$Q99),2),IFERROR(RIGHT("00"&amp;VALUE(LEFT(Sync!$Q99,FIND(":",Sync!$Q99)-1)),2)&amp;RIGHT("00"&amp;VALUE(MID(Sync!$Q99,FIND(":",Sync!$Q99)+1,2)),2),"0000"))))</f>
        <v/>
      </c>
      <c r="AK99">
        <f>IF(OR($AE99="",$AI99="",$AI99="نامعتبر"),"",LEFT($AI99,4)&amp;MID($AI99,6,2)&amp;RIGHT($AI99,2)&amp;$AJ99&amp;"|"&amp;"3"&amp;RIGHT("00000"&amp;94,5))</f>
        <v/>
      </c>
      <c r="AL99">
        <f>IF($AK99="","",COUNTIFS(LdAParty,$AE99,LdAType,1,LdAKey,"&lt;"&amp;$AK99)+COUNTIFS(LdBMember,$AE99,LdBKey,"&lt;"&amp;$AK99)+COUNTIFS(LdCParty,$AE99,LdCKey,"&lt;"&amp;$AK99)+1)</f>
        <v/>
      </c>
      <c r="AM99">
        <f>IF($AL99="","",$AE99&amp;"|"&amp;RIGHT("000000"&amp;$AL99,6))</f>
        <v/>
      </c>
      <c r="AN99">
        <f>IF($AE99="","",IF(Sync!$W99="",0,Sync!$W99))</f>
        <v/>
      </c>
      <c r="AO99">
        <f>IF($AE99="","",IF(Sync!$X99="",0,Sync!$X99))</f>
        <v/>
      </c>
      <c r="AP99">
        <f>IF($AE99="","",Sync!$R99)</f>
        <v/>
      </c>
      <c r="AQ99">
        <f>IF($AE99="","",Sync!$Y99)</f>
        <v/>
      </c>
    </row>
    <row r="100">
      <c r="A100">
        <f>IF(OR(Wages!$B103="",Wages!$E103=""),"",Wages!$E103)</f>
        <v/>
      </c>
      <c r="B100">
        <f>IF($A100="","",IF(Wages!$C103="دستمزد گروهی",2,1))</f>
        <v/>
      </c>
      <c r="C100">
        <f>IF($A100="","",IF(ISNUMBER(Wages!$B103),IF(AND(Wages!$B103&gt;=10000101,Wages!$B103&lt;=99991231),INT(Wages!$B103/10000),""),IFERROR(VALUE(TRIM(LEFT(Wages!$B103,FIND("/",Wages!$B103)-1))),"")))</f>
        <v/>
      </c>
      <c r="D100">
        <f>IF(OR($A100="",$C100=""),"",IF(ISNUMBER(Wages!$B103),INT(MOD(Wages!$B103,10000)/100),IFERROR(VALUE(TRIM(LEFT(MID(Wages!$B103,FIND("/",Wages!$B103)+1,20),FIND("/",MID(Wages!$B103,FIND("/",Wages!$B103)+1,20))-1))),"")))</f>
        <v/>
      </c>
      <c r="E100">
        <f>IF(OR($A100="",$C100=""),"",IF(ISNUMBER(Wages!$B103),MOD(Wages!$B103,100),IFERROR(VALUE(TRIM(MID(MID(Wages!$B103,FIND("/",Wages!$B103)+1,20),FIND("/",MID(Wages!$B103,FIND("/",Wages!$B103)+1,20))+1,20))),"")))</f>
        <v/>
      </c>
      <c r="F100">
        <f>IF($A100="","",IF(OR($C100="",$D100="",$E100="",$C100&lt;1300,$C100&gt;1500,$D100&lt;1,$D100&gt;12,$E100&lt;1,$E100&gt;31),"نامعتبر",RIGHT("0000"&amp;$C100,4)&amp;"/"&amp;RIGHT("00"&amp;$D100,2)&amp;"/"&amp;RIGHT("00"&amp;$E100,2)))</f>
        <v/>
      </c>
      <c r="G100">
        <f>IF(OR($A100="",$F100="",$F100="نامعتبر"),"",LEFT($F100,4)&amp;MID($F100,6,2)&amp;RIGHT($F100,2)&amp;"0000"&amp;"|"&amp;"1"&amp;RIGHT("00000"&amp;95,5))</f>
        <v/>
      </c>
      <c r="H100">
        <f>IF(OR($B100&lt;&gt;1,$G100=""),"",COUNTIFS(LdAParty,$A100,LdAType,1,LdAKey,"&lt;"&amp;$G100)+COUNTIFS(LdBMember,$A100,LdBKey,"&lt;"&amp;$G100)+COUNTIFS(LdCParty,$A100,LdCKey,"&lt;"&amp;$G100)+1)</f>
        <v/>
      </c>
      <c r="I100">
        <f>IF($H100="","",$A100&amp;"|"&amp;RIGHT("000000"&amp;$H100,6))</f>
        <v/>
      </c>
      <c r="J100">
        <f>IF(OR($B100&lt;&gt;2,$G100=""),"",COUNTIFS(LdAParty,$A100,LdAType,2,LdAKey,"&lt;"&amp;$G100)+1)</f>
        <v/>
      </c>
      <c r="K100">
        <f>IF($J100="","",$A100&amp;"|"&amp;RIGHT("000000"&amp;$J100,6))</f>
        <v/>
      </c>
      <c r="L100">
        <f>IF($A100="","",IF(Wages!$G103="",0,Wages!$G103))</f>
        <v/>
      </c>
      <c r="M100">
        <f>IF($A100="","",Wages!$J103)</f>
        <v/>
      </c>
      <c r="N100">
        <f>IF($A100="","",Wages!$D103)</f>
        <v/>
      </c>
      <c r="P100">
        <f>IF(OR(Shares!$B103="",Shares!$C103=""),"",Shares!$C103)</f>
        <v/>
      </c>
      <c r="Q100">
        <f>IF($P100="","",Shares!$B103)</f>
        <v/>
      </c>
      <c r="R100">
        <f>IF($P100="","",IFERROR(INDEX(WageParty,MATCH($Q100,WageIds,0)),""))</f>
        <v/>
      </c>
      <c r="S100">
        <f>IF($P100="","",IFERROR(INDEX($F$6:$F$2005,MATCH($Q100,WageIds,0)),""))</f>
        <v/>
      </c>
      <c r="T100">
        <f>IF(OR($P100="",$S100="",$S100="نامعتبر"),"",LEFT($S100,4)&amp;MID($S100,6,2)&amp;RIGHT($S100,2)&amp;"0000"&amp;"|"&amp;"2"&amp;RIGHT("00000"&amp;95,5))</f>
        <v/>
      </c>
      <c r="U100">
        <f>IF($T100="","",COUNTIFS(LdAParty,$P100,LdAType,1,LdAKey,"&lt;"&amp;$T100)+COUNTIFS(LdBMember,$P100,LdBKey,"&lt;"&amp;$T100)+COUNTIFS(LdCParty,$P100,LdCKey,"&lt;"&amp;$T100)+1)</f>
        <v/>
      </c>
      <c r="V100">
        <f>IF($U100="","",$P100&amp;"|"&amp;RIGHT("000000"&amp;$U100,6))</f>
        <v/>
      </c>
      <c r="W100">
        <f>IF($T100="","",COUNTIFS(LdBGroup,$R100,LdBKey,"&lt;"&amp;$T100)+1)</f>
        <v/>
      </c>
      <c r="X100">
        <f>IF($W100="","",$R100&amp;"|"&amp;RIGHT("000000"&amp;$W100,6))</f>
        <v/>
      </c>
      <c r="Y100">
        <f>IF($P100="","",IF(Shares!$E103="",0,Shares!$E103))</f>
        <v/>
      </c>
      <c r="Z100">
        <f>IF($P100="","",Shares!$H103)</f>
        <v/>
      </c>
      <c r="AE100">
        <f>IF(OR(Sync!$S100="",Sync!$P100=""),"",Sync!$S100)</f>
        <v/>
      </c>
      <c r="AF100">
        <f>IF($AE100="","",IF(ISNUMBER(Sync!$P100),IF(AND(Sync!$P100&gt;=10000101,Sync!$P100&lt;=99991231),INT(Sync!$P100/10000),""),IFERROR(VALUE(TRIM(LEFT(Sync!$P100,FIND("/",Sync!$P100)-1))),"")))</f>
        <v/>
      </c>
      <c r="AG100">
        <f>IF(OR($AE100="",$AF100=""),"",IF(ISNUMBER(Sync!$P100),INT(MOD(Sync!$P100,10000)/100),IFERROR(VALUE(TRIM(LEFT(MID(Sync!$P100,FIND("/",Sync!$P100)+1,20),FIND("/",MID(Sync!$P100,FIND("/",Sync!$P100)+1,20))-1))),"")))</f>
        <v/>
      </c>
      <c r="AH100">
        <f>IF(OR($AE100="",$AF100=""),"",IF(ISNUMBER(Sync!$P100),MOD(Sync!$P100,100),IFERROR(VALUE(TRIM(MID(MID(Sync!$P100,FIND("/",Sync!$P100)+1,20),FIND("/",MID(Sync!$P100,FIND("/",Sync!$P100)+1,20))+1,20))),"")))</f>
        <v/>
      </c>
      <c r="AI100">
        <f>IF($AE100="","",IF(OR($AF100="",$AG100="",$AH100="",$AF100&lt;1300,$AF100&gt;1500,$AG100&lt;1,$AG100&gt;12,$AH100&lt;1,$AH100&gt;31),"نامعتبر",RIGHT("0000"&amp;$AF100,4)&amp;"/"&amp;RIGHT("00"&amp;$AG100,2)&amp;"/"&amp;RIGHT("00"&amp;$AH100,2)))</f>
        <v/>
      </c>
      <c r="AJ100">
        <f>IF($AE100="","",IF(Sync!$Q100="","0000",IF(AND(ISNUMBER(Sync!$Q100),Sync!$Q100&gt;=0,Sync!$Q100&lt;1),RIGHT("00"&amp;HOUR(Sync!$Q100),2)&amp;RIGHT("00"&amp;MINUTE(Sync!$Q100),2),IFERROR(RIGHT("00"&amp;VALUE(LEFT(Sync!$Q100,FIND(":",Sync!$Q100)-1)),2)&amp;RIGHT("00"&amp;VALUE(MID(Sync!$Q100,FIND(":",Sync!$Q100)+1,2)),2),"0000"))))</f>
        <v/>
      </c>
      <c r="AK100">
        <f>IF(OR($AE100="",$AI100="",$AI100="نامعتبر"),"",LEFT($AI100,4)&amp;MID($AI100,6,2)&amp;RIGHT($AI100,2)&amp;$AJ100&amp;"|"&amp;"3"&amp;RIGHT("00000"&amp;95,5))</f>
        <v/>
      </c>
      <c r="AL100">
        <f>IF($AK100="","",COUNTIFS(LdAParty,$AE100,LdAType,1,LdAKey,"&lt;"&amp;$AK100)+COUNTIFS(LdBMember,$AE100,LdBKey,"&lt;"&amp;$AK100)+COUNTIFS(LdCParty,$AE100,LdCKey,"&lt;"&amp;$AK100)+1)</f>
        <v/>
      </c>
      <c r="AM100">
        <f>IF($AL100="","",$AE100&amp;"|"&amp;RIGHT("000000"&amp;$AL100,6))</f>
        <v/>
      </c>
      <c r="AN100">
        <f>IF($AE100="","",IF(Sync!$W100="",0,Sync!$W100))</f>
        <v/>
      </c>
      <c r="AO100">
        <f>IF($AE100="","",IF(Sync!$X100="",0,Sync!$X100))</f>
        <v/>
      </c>
      <c r="AP100">
        <f>IF($AE100="","",Sync!$R100)</f>
        <v/>
      </c>
      <c r="AQ100">
        <f>IF($AE100="","",Sync!$Y100)</f>
        <v/>
      </c>
    </row>
    <row r="101">
      <c r="A101">
        <f>IF(OR(Wages!$B104="",Wages!$E104=""),"",Wages!$E104)</f>
        <v/>
      </c>
      <c r="B101">
        <f>IF($A101="","",IF(Wages!$C104="دستمزد گروهی",2,1))</f>
        <v/>
      </c>
      <c r="C101">
        <f>IF($A101="","",IF(ISNUMBER(Wages!$B104),IF(AND(Wages!$B104&gt;=10000101,Wages!$B104&lt;=99991231),INT(Wages!$B104/10000),""),IFERROR(VALUE(TRIM(LEFT(Wages!$B104,FIND("/",Wages!$B104)-1))),"")))</f>
        <v/>
      </c>
      <c r="D101">
        <f>IF(OR($A101="",$C101=""),"",IF(ISNUMBER(Wages!$B104),INT(MOD(Wages!$B104,10000)/100),IFERROR(VALUE(TRIM(LEFT(MID(Wages!$B104,FIND("/",Wages!$B104)+1,20),FIND("/",MID(Wages!$B104,FIND("/",Wages!$B104)+1,20))-1))),"")))</f>
        <v/>
      </c>
      <c r="E101">
        <f>IF(OR($A101="",$C101=""),"",IF(ISNUMBER(Wages!$B104),MOD(Wages!$B104,100),IFERROR(VALUE(TRIM(MID(MID(Wages!$B104,FIND("/",Wages!$B104)+1,20),FIND("/",MID(Wages!$B104,FIND("/",Wages!$B104)+1,20))+1,20))),"")))</f>
        <v/>
      </c>
      <c r="F101">
        <f>IF($A101="","",IF(OR($C101="",$D101="",$E101="",$C101&lt;1300,$C101&gt;1500,$D101&lt;1,$D101&gt;12,$E101&lt;1,$E101&gt;31),"نامعتبر",RIGHT("0000"&amp;$C101,4)&amp;"/"&amp;RIGHT("00"&amp;$D101,2)&amp;"/"&amp;RIGHT("00"&amp;$E101,2)))</f>
        <v/>
      </c>
      <c r="G101">
        <f>IF(OR($A101="",$F101="",$F101="نامعتبر"),"",LEFT($F101,4)&amp;MID($F101,6,2)&amp;RIGHT($F101,2)&amp;"0000"&amp;"|"&amp;"1"&amp;RIGHT("00000"&amp;96,5))</f>
        <v/>
      </c>
      <c r="H101">
        <f>IF(OR($B101&lt;&gt;1,$G101=""),"",COUNTIFS(LdAParty,$A101,LdAType,1,LdAKey,"&lt;"&amp;$G101)+COUNTIFS(LdBMember,$A101,LdBKey,"&lt;"&amp;$G101)+COUNTIFS(LdCParty,$A101,LdCKey,"&lt;"&amp;$G101)+1)</f>
        <v/>
      </c>
      <c r="I101">
        <f>IF($H101="","",$A101&amp;"|"&amp;RIGHT("000000"&amp;$H101,6))</f>
        <v/>
      </c>
      <c r="J101">
        <f>IF(OR($B101&lt;&gt;2,$G101=""),"",COUNTIFS(LdAParty,$A101,LdAType,2,LdAKey,"&lt;"&amp;$G101)+1)</f>
        <v/>
      </c>
      <c r="K101">
        <f>IF($J101="","",$A101&amp;"|"&amp;RIGHT("000000"&amp;$J101,6))</f>
        <v/>
      </c>
      <c r="L101">
        <f>IF($A101="","",IF(Wages!$G104="",0,Wages!$G104))</f>
        <v/>
      </c>
      <c r="M101">
        <f>IF($A101="","",Wages!$J104)</f>
        <v/>
      </c>
      <c r="N101">
        <f>IF($A101="","",Wages!$D104)</f>
        <v/>
      </c>
      <c r="P101">
        <f>IF(OR(Shares!$B104="",Shares!$C104=""),"",Shares!$C104)</f>
        <v/>
      </c>
      <c r="Q101">
        <f>IF($P101="","",Shares!$B104)</f>
        <v/>
      </c>
      <c r="R101">
        <f>IF($P101="","",IFERROR(INDEX(WageParty,MATCH($Q101,WageIds,0)),""))</f>
        <v/>
      </c>
      <c r="S101">
        <f>IF($P101="","",IFERROR(INDEX($F$6:$F$2005,MATCH($Q101,WageIds,0)),""))</f>
        <v/>
      </c>
      <c r="T101">
        <f>IF(OR($P101="",$S101="",$S101="نامعتبر"),"",LEFT($S101,4)&amp;MID($S101,6,2)&amp;RIGHT($S101,2)&amp;"0000"&amp;"|"&amp;"2"&amp;RIGHT("00000"&amp;96,5))</f>
        <v/>
      </c>
      <c r="U101">
        <f>IF($T101="","",COUNTIFS(LdAParty,$P101,LdAType,1,LdAKey,"&lt;"&amp;$T101)+COUNTIFS(LdBMember,$P101,LdBKey,"&lt;"&amp;$T101)+COUNTIFS(LdCParty,$P101,LdCKey,"&lt;"&amp;$T101)+1)</f>
        <v/>
      </c>
      <c r="V101">
        <f>IF($U101="","",$P101&amp;"|"&amp;RIGHT("000000"&amp;$U101,6))</f>
        <v/>
      </c>
      <c r="W101">
        <f>IF($T101="","",COUNTIFS(LdBGroup,$R101,LdBKey,"&lt;"&amp;$T101)+1)</f>
        <v/>
      </c>
      <c r="X101">
        <f>IF($W101="","",$R101&amp;"|"&amp;RIGHT("000000"&amp;$W101,6))</f>
        <v/>
      </c>
      <c r="Y101">
        <f>IF($P101="","",IF(Shares!$E104="",0,Shares!$E104))</f>
        <v/>
      </c>
      <c r="Z101">
        <f>IF($P101="","",Shares!$H104)</f>
        <v/>
      </c>
      <c r="AE101">
        <f>IF(OR(Sync!$S101="",Sync!$P101=""),"",Sync!$S101)</f>
        <v/>
      </c>
      <c r="AF101">
        <f>IF($AE101="","",IF(ISNUMBER(Sync!$P101),IF(AND(Sync!$P101&gt;=10000101,Sync!$P101&lt;=99991231),INT(Sync!$P101/10000),""),IFERROR(VALUE(TRIM(LEFT(Sync!$P101,FIND("/",Sync!$P101)-1))),"")))</f>
        <v/>
      </c>
      <c r="AG101">
        <f>IF(OR($AE101="",$AF101=""),"",IF(ISNUMBER(Sync!$P101),INT(MOD(Sync!$P101,10000)/100),IFERROR(VALUE(TRIM(LEFT(MID(Sync!$P101,FIND("/",Sync!$P101)+1,20),FIND("/",MID(Sync!$P101,FIND("/",Sync!$P101)+1,20))-1))),"")))</f>
        <v/>
      </c>
      <c r="AH101">
        <f>IF(OR($AE101="",$AF101=""),"",IF(ISNUMBER(Sync!$P101),MOD(Sync!$P101,100),IFERROR(VALUE(TRIM(MID(MID(Sync!$P101,FIND("/",Sync!$P101)+1,20),FIND("/",MID(Sync!$P101,FIND("/",Sync!$P101)+1,20))+1,20))),"")))</f>
        <v/>
      </c>
      <c r="AI101">
        <f>IF($AE101="","",IF(OR($AF101="",$AG101="",$AH101="",$AF101&lt;1300,$AF101&gt;1500,$AG101&lt;1,$AG101&gt;12,$AH101&lt;1,$AH101&gt;31),"نامعتبر",RIGHT("0000"&amp;$AF101,4)&amp;"/"&amp;RIGHT("00"&amp;$AG101,2)&amp;"/"&amp;RIGHT("00"&amp;$AH101,2)))</f>
        <v/>
      </c>
      <c r="AJ101">
        <f>IF($AE101="","",IF(Sync!$Q101="","0000",IF(AND(ISNUMBER(Sync!$Q101),Sync!$Q101&gt;=0,Sync!$Q101&lt;1),RIGHT("00"&amp;HOUR(Sync!$Q101),2)&amp;RIGHT("00"&amp;MINUTE(Sync!$Q101),2),IFERROR(RIGHT("00"&amp;VALUE(LEFT(Sync!$Q101,FIND(":",Sync!$Q101)-1)),2)&amp;RIGHT("00"&amp;VALUE(MID(Sync!$Q101,FIND(":",Sync!$Q101)+1,2)),2),"0000"))))</f>
        <v/>
      </c>
      <c r="AK101">
        <f>IF(OR($AE101="",$AI101="",$AI101="نامعتبر"),"",LEFT($AI101,4)&amp;MID($AI101,6,2)&amp;RIGHT($AI101,2)&amp;$AJ101&amp;"|"&amp;"3"&amp;RIGHT("00000"&amp;96,5))</f>
        <v/>
      </c>
      <c r="AL101">
        <f>IF($AK101="","",COUNTIFS(LdAParty,$AE101,LdAType,1,LdAKey,"&lt;"&amp;$AK101)+COUNTIFS(LdBMember,$AE101,LdBKey,"&lt;"&amp;$AK101)+COUNTIFS(LdCParty,$AE101,LdCKey,"&lt;"&amp;$AK101)+1)</f>
        <v/>
      </c>
      <c r="AM101">
        <f>IF($AL101="","",$AE101&amp;"|"&amp;RIGHT("000000"&amp;$AL101,6))</f>
        <v/>
      </c>
      <c r="AN101">
        <f>IF($AE101="","",IF(Sync!$W101="",0,Sync!$W101))</f>
        <v/>
      </c>
      <c r="AO101">
        <f>IF($AE101="","",IF(Sync!$X101="",0,Sync!$X101))</f>
        <v/>
      </c>
      <c r="AP101">
        <f>IF($AE101="","",Sync!$R101)</f>
        <v/>
      </c>
      <c r="AQ101">
        <f>IF($AE101="","",Sync!$Y101)</f>
        <v/>
      </c>
    </row>
    <row r="102">
      <c r="A102">
        <f>IF(OR(Wages!$B105="",Wages!$E105=""),"",Wages!$E105)</f>
        <v/>
      </c>
      <c r="B102">
        <f>IF($A102="","",IF(Wages!$C105="دستمزد گروهی",2,1))</f>
        <v/>
      </c>
      <c r="C102">
        <f>IF($A102="","",IF(ISNUMBER(Wages!$B105),IF(AND(Wages!$B105&gt;=10000101,Wages!$B105&lt;=99991231),INT(Wages!$B105/10000),""),IFERROR(VALUE(TRIM(LEFT(Wages!$B105,FIND("/",Wages!$B105)-1))),"")))</f>
        <v/>
      </c>
      <c r="D102">
        <f>IF(OR($A102="",$C102=""),"",IF(ISNUMBER(Wages!$B105),INT(MOD(Wages!$B105,10000)/100),IFERROR(VALUE(TRIM(LEFT(MID(Wages!$B105,FIND("/",Wages!$B105)+1,20),FIND("/",MID(Wages!$B105,FIND("/",Wages!$B105)+1,20))-1))),"")))</f>
        <v/>
      </c>
      <c r="E102">
        <f>IF(OR($A102="",$C102=""),"",IF(ISNUMBER(Wages!$B105),MOD(Wages!$B105,100),IFERROR(VALUE(TRIM(MID(MID(Wages!$B105,FIND("/",Wages!$B105)+1,20),FIND("/",MID(Wages!$B105,FIND("/",Wages!$B105)+1,20))+1,20))),"")))</f>
        <v/>
      </c>
      <c r="F102">
        <f>IF($A102="","",IF(OR($C102="",$D102="",$E102="",$C102&lt;1300,$C102&gt;1500,$D102&lt;1,$D102&gt;12,$E102&lt;1,$E102&gt;31),"نامعتبر",RIGHT("0000"&amp;$C102,4)&amp;"/"&amp;RIGHT("00"&amp;$D102,2)&amp;"/"&amp;RIGHT("00"&amp;$E102,2)))</f>
        <v/>
      </c>
      <c r="G102">
        <f>IF(OR($A102="",$F102="",$F102="نامعتبر"),"",LEFT($F102,4)&amp;MID($F102,6,2)&amp;RIGHT($F102,2)&amp;"0000"&amp;"|"&amp;"1"&amp;RIGHT("00000"&amp;97,5))</f>
        <v/>
      </c>
      <c r="H102">
        <f>IF(OR($B102&lt;&gt;1,$G102=""),"",COUNTIFS(LdAParty,$A102,LdAType,1,LdAKey,"&lt;"&amp;$G102)+COUNTIFS(LdBMember,$A102,LdBKey,"&lt;"&amp;$G102)+COUNTIFS(LdCParty,$A102,LdCKey,"&lt;"&amp;$G102)+1)</f>
        <v/>
      </c>
      <c r="I102">
        <f>IF($H102="","",$A102&amp;"|"&amp;RIGHT("000000"&amp;$H102,6))</f>
        <v/>
      </c>
      <c r="J102">
        <f>IF(OR($B102&lt;&gt;2,$G102=""),"",COUNTIFS(LdAParty,$A102,LdAType,2,LdAKey,"&lt;"&amp;$G102)+1)</f>
        <v/>
      </c>
      <c r="K102">
        <f>IF($J102="","",$A102&amp;"|"&amp;RIGHT("000000"&amp;$J102,6))</f>
        <v/>
      </c>
      <c r="L102">
        <f>IF($A102="","",IF(Wages!$G105="",0,Wages!$G105))</f>
        <v/>
      </c>
      <c r="M102">
        <f>IF($A102="","",Wages!$J105)</f>
        <v/>
      </c>
      <c r="N102">
        <f>IF($A102="","",Wages!$D105)</f>
        <v/>
      </c>
      <c r="P102">
        <f>IF(OR(Shares!$B105="",Shares!$C105=""),"",Shares!$C105)</f>
        <v/>
      </c>
      <c r="Q102">
        <f>IF($P102="","",Shares!$B105)</f>
        <v/>
      </c>
      <c r="R102">
        <f>IF($P102="","",IFERROR(INDEX(WageParty,MATCH($Q102,WageIds,0)),""))</f>
        <v/>
      </c>
      <c r="S102">
        <f>IF($P102="","",IFERROR(INDEX($F$6:$F$2005,MATCH($Q102,WageIds,0)),""))</f>
        <v/>
      </c>
      <c r="T102">
        <f>IF(OR($P102="",$S102="",$S102="نامعتبر"),"",LEFT($S102,4)&amp;MID($S102,6,2)&amp;RIGHT($S102,2)&amp;"0000"&amp;"|"&amp;"2"&amp;RIGHT("00000"&amp;97,5))</f>
        <v/>
      </c>
      <c r="U102">
        <f>IF($T102="","",COUNTIFS(LdAParty,$P102,LdAType,1,LdAKey,"&lt;"&amp;$T102)+COUNTIFS(LdBMember,$P102,LdBKey,"&lt;"&amp;$T102)+COUNTIFS(LdCParty,$P102,LdCKey,"&lt;"&amp;$T102)+1)</f>
        <v/>
      </c>
      <c r="V102">
        <f>IF($U102="","",$P102&amp;"|"&amp;RIGHT("000000"&amp;$U102,6))</f>
        <v/>
      </c>
      <c r="W102">
        <f>IF($T102="","",COUNTIFS(LdBGroup,$R102,LdBKey,"&lt;"&amp;$T102)+1)</f>
        <v/>
      </c>
      <c r="X102">
        <f>IF($W102="","",$R102&amp;"|"&amp;RIGHT("000000"&amp;$W102,6))</f>
        <v/>
      </c>
      <c r="Y102">
        <f>IF($P102="","",IF(Shares!$E105="",0,Shares!$E105))</f>
        <v/>
      </c>
      <c r="Z102">
        <f>IF($P102="","",Shares!$H105)</f>
        <v/>
      </c>
      <c r="AE102">
        <f>IF(OR(Sync!$S102="",Sync!$P102=""),"",Sync!$S102)</f>
        <v/>
      </c>
      <c r="AF102">
        <f>IF($AE102="","",IF(ISNUMBER(Sync!$P102),IF(AND(Sync!$P102&gt;=10000101,Sync!$P102&lt;=99991231),INT(Sync!$P102/10000),""),IFERROR(VALUE(TRIM(LEFT(Sync!$P102,FIND("/",Sync!$P102)-1))),"")))</f>
        <v/>
      </c>
      <c r="AG102">
        <f>IF(OR($AE102="",$AF102=""),"",IF(ISNUMBER(Sync!$P102),INT(MOD(Sync!$P102,10000)/100),IFERROR(VALUE(TRIM(LEFT(MID(Sync!$P102,FIND("/",Sync!$P102)+1,20),FIND("/",MID(Sync!$P102,FIND("/",Sync!$P102)+1,20))-1))),"")))</f>
        <v/>
      </c>
      <c r="AH102">
        <f>IF(OR($AE102="",$AF102=""),"",IF(ISNUMBER(Sync!$P102),MOD(Sync!$P102,100),IFERROR(VALUE(TRIM(MID(MID(Sync!$P102,FIND("/",Sync!$P102)+1,20),FIND("/",MID(Sync!$P102,FIND("/",Sync!$P102)+1,20))+1,20))),"")))</f>
        <v/>
      </c>
      <c r="AI102">
        <f>IF($AE102="","",IF(OR($AF102="",$AG102="",$AH102="",$AF102&lt;1300,$AF102&gt;1500,$AG102&lt;1,$AG102&gt;12,$AH102&lt;1,$AH102&gt;31),"نامعتبر",RIGHT("0000"&amp;$AF102,4)&amp;"/"&amp;RIGHT("00"&amp;$AG102,2)&amp;"/"&amp;RIGHT("00"&amp;$AH102,2)))</f>
        <v/>
      </c>
      <c r="AJ102">
        <f>IF($AE102="","",IF(Sync!$Q102="","0000",IF(AND(ISNUMBER(Sync!$Q102),Sync!$Q102&gt;=0,Sync!$Q102&lt;1),RIGHT("00"&amp;HOUR(Sync!$Q102),2)&amp;RIGHT("00"&amp;MINUTE(Sync!$Q102),2),IFERROR(RIGHT("00"&amp;VALUE(LEFT(Sync!$Q102,FIND(":",Sync!$Q102)-1)),2)&amp;RIGHT("00"&amp;VALUE(MID(Sync!$Q102,FIND(":",Sync!$Q102)+1,2)),2),"0000"))))</f>
        <v/>
      </c>
      <c r="AK102">
        <f>IF(OR($AE102="",$AI102="",$AI102="نامعتبر"),"",LEFT($AI102,4)&amp;MID($AI102,6,2)&amp;RIGHT($AI102,2)&amp;$AJ102&amp;"|"&amp;"3"&amp;RIGHT("00000"&amp;97,5))</f>
        <v/>
      </c>
      <c r="AL102">
        <f>IF($AK102="","",COUNTIFS(LdAParty,$AE102,LdAType,1,LdAKey,"&lt;"&amp;$AK102)+COUNTIFS(LdBMember,$AE102,LdBKey,"&lt;"&amp;$AK102)+COUNTIFS(LdCParty,$AE102,LdCKey,"&lt;"&amp;$AK102)+1)</f>
        <v/>
      </c>
      <c r="AM102">
        <f>IF($AL102="","",$AE102&amp;"|"&amp;RIGHT("000000"&amp;$AL102,6))</f>
        <v/>
      </c>
      <c r="AN102">
        <f>IF($AE102="","",IF(Sync!$W102="",0,Sync!$W102))</f>
        <v/>
      </c>
      <c r="AO102">
        <f>IF($AE102="","",IF(Sync!$X102="",0,Sync!$X102))</f>
        <v/>
      </c>
      <c r="AP102">
        <f>IF($AE102="","",Sync!$R102)</f>
        <v/>
      </c>
      <c r="AQ102">
        <f>IF($AE102="","",Sync!$Y102)</f>
        <v/>
      </c>
    </row>
    <row r="103">
      <c r="A103">
        <f>IF(OR(Wages!$B106="",Wages!$E106=""),"",Wages!$E106)</f>
        <v/>
      </c>
      <c r="B103">
        <f>IF($A103="","",IF(Wages!$C106="دستمزد گروهی",2,1))</f>
        <v/>
      </c>
      <c r="C103">
        <f>IF($A103="","",IF(ISNUMBER(Wages!$B106),IF(AND(Wages!$B106&gt;=10000101,Wages!$B106&lt;=99991231),INT(Wages!$B106/10000),""),IFERROR(VALUE(TRIM(LEFT(Wages!$B106,FIND("/",Wages!$B106)-1))),"")))</f>
        <v/>
      </c>
      <c r="D103">
        <f>IF(OR($A103="",$C103=""),"",IF(ISNUMBER(Wages!$B106),INT(MOD(Wages!$B106,10000)/100),IFERROR(VALUE(TRIM(LEFT(MID(Wages!$B106,FIND("/",Wages!$B106)+1,20),FIND("/",MID(Wages!$B106,FIND("/",Wages!$B106)+1,20))-1))),"")))</f>
        <v/>
      </c>
      <c r="E103">
        <f>IF(OR($A103="",$C103=""),"",IF(ISNUMBER(Wages!$B106),MOD(Wages!$B106,100),IFERROR(VALUE(TRIM(MID(MID(Wages!$B106,FIND("/",Wages!$B106)+1,20),FIND("/",MID(Wages!$B106,FIND("/",Wages!$B106)+1,20))+1,20))),"")))</f>
        <v/>
      </c>
      <c r="F103">
        <f>IF($A103="","",IF(OR($C103="",$D103="",$E103="",$C103&lt;1300,$C103&gt;1500,$D103&lt;1,$D103&gt;12,$E103&lt;1,$E103&gt;31),"نامعتبر",RIGHT("0000"&amp;$C103,4)&amp;"/"&amp;RIGHT("00"&amp;$D103,2)&amp;"/"&amp;RIGHT("00"&amp;$E103,2)))</f>
        <v/>
      </c>
      <c r="G103">
        <f>IF(OR($A103="",$F103="",$F103="نامعتبر"),"",LEFT($F103,4)&amp;MID($F103,6,2)&amp;RIGHT($F103,2)&amp;"0000"&amp;"|"&amp;"1"&amp;RIGHT("00000"&amp;98,5))</f>
        <v/>
      </c>
      <c r="H103">
        <f>IF(OR($B103&lt;&gt;1,$G103=""),"",COUNTIFS(LdAParty,$A103,LdAType,1,LdAKey,"&lt;"&amp;$G103)+COUNTIFS(LdBMember,$A103,LdBKey,"&lt;"&amp;$G103)+COUNTIFS(LdCParty,$A103,LdCKey,"&lt;"&amp;$G103)+1)</f>
        <v/>
      </c>
      <c r="I103">
        <f>IF($H103="","",$A103&amp;"|"&amp;RIGHT("000000"&amp;$H103,6))</f>
        <v/>
      </c>
      <c r="J103">
        <f>IF(OR($B103&lt;&gt;2,$G103=""),"",COUNTIFS(LdAParty,$A103,LdAType,2,LdAKey,"&lt;"&amp;$G103)+1)</f>
        <v/>
      </c>
      <c r="K103">
        <f>IF($J103="","",$A103&amp;"|"&amp;RIGHT("000000"&amp;$J103,6))</f>
        <v/>
      </c>
      <c r="L103">
        <f>IF($A103="","",IF(Wages!$G106="",0,Wages!$G106))</f>
        <v/>
      </c>
      <c r="M103">
        <f>IF($A103="","",Wages!$J106)</f>
        <v/>
      </c>
      <c r="N103">
        <f>IF($A103="","",Wages!$D106)</f>
        <v/>
      </c>
      <c r="P103">
        <f>IF(OR(Shares!$B106="",Shares!$C106=""),"",Shares!$C106)</f>
        <v/>
      </c>
      <c r="Q103">
        <f>IF($P103="","",Shares!$B106)</f>
        <v/>
      </c>
      <c r="R103">
        <f>IF($P103="","",IFERROR(INDEX(WageParty,MATCH($Q103,WageIds,0)),""))</f>
        <v/>
      </c>
      <c r="S103">
        <f>IF($P103="","",IFERROR(INDEX($F$6:$F$2005,MATCH($Q103,WageIds,0)),""))</f>
        <v/>
      </c>
      <c r="T103">
        <f>IF(OR($P103="",$S103="",$S103="نامعتبر"),"",LEFT($S103,4)&amp;MID($S103,6,2)&amp;RIGHT($S103,2)&amp;"0000"&amp;"|"&amp;"2"&amp;RIGHT("00000"&amp;98,5))</f>
        <v/>
      </c>
      <c r="U103">
        <f>IF($T103="","",COUNTIFS(LdAParty,$P103,LdAType,1,LdAKey,"&lt;"&amp;$T103)+COUNTIFS(LdBMember,$P103,LdBKey,"&lt;"&amp;$T103)+COUNTIFS(LdCParty,$P103,LdCKey,"&lt;"&amp;$T103)+1)</f>
        <v/>
      </c>
      <c r="V103">
        <f>IF($U103="","",$P103&amp;"|"&amp;RIGHT("000000"&amp;$U103,6))</f>
        <v/>
      </c>
      <c r="W103">
        <f>IF($T103="","",COUNTIFS(LdBGroup,$R103,LdBKey,"&lt;"&amp;$T103)+1)</f>
        <v/>
      </c>
      <c r="X103">
        <f>IF($W103="","",$R103&amp;"|"&amp;RIGHT("000000"&amp;$W103,6))</f>
        <v/>
      </c>
      <c r="Y103">
        <f>IF($P103="","",IF(Shares!$E106="",0,Shares!$E106))</f>
        <v/>
      </c>
      <c r="Z103">
        <f>IF($P103="","",Shares!$H106)</f>
        <v/>
      </c>
      <c r="AE103">
        <f>IF(OR(Sync!$S103="",Sync!$P103=""),"",Sync!$S103)</f>
        <v/>
      </c>
      <c r="AF103">
        <f>IF($AE103="","",IF(ISNUMBER(Sync!$P103),IF(AND(Sync!$P103&gt;=10000101,Sync!$P103&lt;=99991231),INT(Sync!$P103/10000),""),IFERROR(VALUE(TRIM(LEFT(Sync!$P103,FIND("/",Sync!$P103)-1))),"")))</f>
        <v/>
      </c>
      <c r="AG103">
        <f>IF(OR($AE103="",$AF103=""),"",IF(ISNUMBER(Sync!$P103),INT(MOD(Sync!$P103,10000)/100),IFERROR(VALUE(TRIM(LEFT(MID(Sync!$P103,FIND("/",Sync!$P103)+1,20),FIND("/",MID(Sync!$P103,FIND("/",Sync!$P103)+1,20))-1))),"")))</f>
        <v/>
      </c>
      <c r="AH103">
        <f>IF(OR($AE103="",$AF103=""),"",IF(ISNUMBER(Sync!$P103),MOD(Sync!$P103,100),IFERROR(VALUE(TRIM(MID(MID(Sync!$P103,FIND("/",Sync!$P103)+1,20),FIND("/",MID(Sync!$P103,FIND("/",Sync!$P103)+1,20))+1,20))),"")))</f>
        <v/>
      </c>
      <c r="AI103">
        <f>IF($AE103="","",IF(OR($AF103="",$AG103="",$AH103="",$AF103&lt;1300,$AF103&gt;1500,$AG103&lt;1,$AG103&gt;12,$AH103&lt;1,$AH103&gt;31),"نامعتبر",RIGHT("0000"&amp;$AF103,4)&amp;"/"&amp;RIGHT("00"&amp;$AG103,2)&amp;"/"&amp;RIGHT("00"&amp;$AH103,2)))</f>
        <v/>
      </c>
      <c r="AJ103">
        <f>IF($AE103="","",IF(Sync!$Q103="","0000",IF(AND(ISNUMBER(Sync!$Q103),Sync!$Q103&gt;=0,Sync!$Q103&lt;1),RIGHT("00"&amp;HOUR(Sync!$Q103),2)&amp;RIGHT("00"&amp;MINUTE(Sync!$Q103),2),IFERROR(RIGHT("00"&amp;VALUE(LEFT(Sync!$Q103,FIND(":",Sync!$Q103)-1)),2)&amp;RIGHT("00"&amp;VALUE(MID(Sync!$Q103,FIND(":",Sync!$Q103)+1,2)),2),"0000"))))</f>
        <v/>
      </c>
      <c r="AK103">
        <f>IF(OR($AE103="",$AI103="",$AI103="نامعتبر"),"",LEFT($AI103,4)&amp;MID($AI103,6,2)&amp;RIGHT($AI103,2)&amp;$AJ103&amp;"|"&amp;"3"&amp;RIGHT("00000"&amp;98,5))</f>
        <v/>
      </c>
      <c r="AL103">
        <f>IF($AK103="","",COUNTIFS(LdAParty,$AE103,LdAType,1,LdAKey,"&lt;"&amp;$AK103)+COUNTIFS(LdBMember,$AE103,LdBKey,"&lt;"&amp;$AK103)+COUNTIFS(LdCParty,$AE103,LdCKey,"&lt;"&amp;$AK103)+1)</f>
        <v/>
      </c>
      <c r="AM103">
        <f>IF($AL103="","",$AE103&amp;"|"&amp;RIGHT("000000"&amp;$AL103,6))</f>
        <v/>
      </c>
      <c r="AN103">
        <f>IF($AE103="","",IF(Sync!$W103="",0,Sync!$W103))</f>
        <v/>
      </c>
      <c r="AO103">
        <f>IF($AE103="","",IF(Sync!$X103="",0,Sync!$X103))</f>
        <v/>
      </c>
      <c r="AP103">
        <f>IF($AE103="","",Sync!$R103)</f>
        <v/>
      </c>
      <c r="AQ103">
        <f>IF($AE103="","",Sync!$Y103)</f>
        <v/>
      </c>
    </row>
    <row r="104">
      <c r="A104">
        <f>IF(OR(Wages!$B107="",Wages!$E107=""),"",Wages!$E107)</f>
        <v/>
      </c>
      <c r="B104">
        <f>IF($A104="","",IF(Wages!$C107="دستمزد گروهی",2,1))</f>
        <v/>
      </c>
      <c r="C104">
        <f>IF($A104="","",IF(ISNUMBER(Wages!$B107),IF(AND(Wages!$B107&gt;=10000101,Wages!$B107&lt;=99991231),INT(Wages!$B107/10000),""),IFERROR(VALUE(TRIM(LEFT(Wages!$B107,FIND("/",Wages!$B107)-1))),"")))</f>
        <v/>
      </c>
      <c r="D104">
        <f>IF(OR($A104="",$C104=""),"",IF(ISNUMBER(Wages!$B107),INT(MOD(Wages!$B107,10000)/100),IFERROR(VALUE(TRIM(LEFT(MID(Wages!$B107,FIND("/",Wages!$B107)+1,20),FIND("/",MID(Wages!$B107,FIND("/",Wages!$B107)+1,20))-1))),"")))</f>
        <v/>
      </c>
      <c r="E104">
        <f>IF(OR($A104="",$C104=""),"",IF(ISNUMBER(Wages!$B107),MOD(Wages!$B107,100),IFERROR(VALUE(TRIM(MID(MID(Wages!$B107,FIND("/",Wages!$B107)+1,20),FIND("/",MID(Wages!$B107,FIND("/",Wages!$B107)+1,20))+1,20))),"")))</f>
        <v/>
      </c>
      <c r="F104">
        <f>IF($A104="","",IF(OR($C104="",$D104="",$E104="",$C104&lt;1300,$C104&gt;1500,$D104&lt;1,$D104&gt;12,$E104&lt;1,$E104&gt;31),"نامعتبر",RIGHT("0000"&amp;$C104,4)&amp;"/"&amp;RIGHT("00"&amp;$D104,2)&amp;"/"&amp;RIGHT("00"&amp;$E104,2)))</f>
        <v/>
      </c>
      <c r="G104">
        <f>IF(OR($A104="",$F104="",$F104="نامعتبر"),"",LEFT($F104,4)&amp;MID($F104,6,2)&amp;RIGHT($F104,2)&amp;"0000"&amp;"|"&amp;"1"&amp;RIGHT("00000"&amp;99,5))</f>
        <v/>
      </c>
      <c r="H104">
        <f>IF(OR($B104&lt;&gt;1,$G104=""),"",COUNTIFS(LdAParty,$A104,LdAType,1,LdAKey,"&lt;"&amp;$G104)+COUNTIFS(LdBMember,$A104,LdBKey,"&lt;"&amp;$G104)+COUNTIFS(LdCParty,$A104,LdCKey,"&lt;"&amp;$G104)+1)</f>
        <v/>
      </c>
      <c r="I104">
        <f>IF($H104="","",$A104&amp;"|"&amp;RIGHT("000000"&amp;$H104,6))</f>
        <v/>
      </c>
      <c r="J104">
        <f>IF(OR($B104&lt;&gt;2,$G104=""),"",COUNTIFS(LdAParty,$A104,LdAType,2,LdAKey,"&lt;"&amp;$G104)+1)</f>
        <v/>
      </c>
      <c r="K104">
        <f>IF($J104="","",$A104&amp;"|"&amp;RIGHT("000000"&amp;$J104,6))</f>
        <v/>
      </c>
      <c r="L104">
        <f>IF($A104="","",IF(Wages!$G107="",0,Wages!$G107))</f>
        <v/>
      </c>
      <c r="M104">
        <f>IF($A104="","",Wages!$J107)</f>
        <v/>
      </c>
      <c r="N104">
        <f>IF($A104="","",Wages!$D107)</f>
        <v/>
      </c>
      <c r="P104">
        <f>IF(OR(Shares!$B107="",Shares!$C107=""),"",Shares!$C107)</f>
        <v/>
      </c>
      <c r="Q104">
        <f>IF($P104="","",Shares!$B107)</f>
        <v/>
      </c>
      <c r="R104">
        <f>IF($P104="","",IFERROR(INDEX(WageParty,MATCH($Q104,WageIds,0)),""))</f>
        <v/>
      </c>
      <c r="S104">
        <f>IF($P104="","",IFERROR(INDEX($F$6:$F$2005,MATCH($Q104,WageIds,0)),""))</f>
        <v/>
      </c>
      <c r="T104">
        <f>IF(OR($P104="",$S104="",$S104="نامعتبر"),"",LEFT($S104,4)&amp;MID($S104,6,2)&amp;RIGHT($S104,2)&amp;"0000"&amp;"|"&amp;"2"&amp;RIGHT("00000"&amp;99,5))</f>
        <v/>
      </c>
      <c r="U104">
        <f>IF($T104="","",COUNTIFS(LdAParty,$P104,LdAType,1,LdAKey,"&lt;"&amp;$T104)+COUNTIFS(LdBMember,$P104,LdBKey,"&lt;"&amp;$T104)+COUNTIFS(LdCParty,$P104,LdCKey,"&lt;"&amp;$T104)+1)</f>
        <v/>
      </c>
      <c r="V104">
        <f>IF($U104="","",$P104&amp;"|"&amp;RIGHT("000000"&amp;$U104,6))</f>
        <v/>
      </c>
      <c r="W104">
        <f>IF($T104="","",COUNTIFS(LdBGroup,$R104,LdBKey,"&lt;"&amp;$T104)+1)</f>
        <v/>
      </c>
      <c r="X104">
        <f>IF($W104="","",$R104&amp;"|"&amp;RIGHT("000000"&amp;$W104,6))</f>
        <v/>
      </c>
      <c r="Y104">
        <f>IF($P104="","",IF(Shares!$E107="",0,Shares!$E107))</f>
        <v/>
      </c>
      <c r="Z104">
        <f>IF($P104="","",Shares!$H107)</f>
        <v/>
      </c>
      <c r="AE104">
        <f>IF(OR(Sync!$S104="",Sync!$P104=""),"",Sync!$S104)</f>
        <v/>
      </c>
      <c r="AF104">
        <f>IF($AE104="","",IF(ISNUMBER(Sync!$P104),IF(AND(Sync!$P104&gt;=10000101,Sync!$P104&lt;=99991231),INT(Sync!$P104/10000),""),IFERROR(VALUE(TRIM(LEFT(Sync!$P104,FIND("/",Sync!$P104)-1))),"")))</f>
        <v/>
      </c>
      <c r="AG104">
        <f>IF(OR($AE104="",$AF104=""),"",IF(ISNUMBER(Sync!$P104),INT(MOD(Sync!$P104,10000)/100),IFERROR(VALUE(TRIM(LEFT(MID(Sync!$P104,FIND("/",Sync!$P104)+1,20),FIND("/",MID(Sync!$P104,FIND("/",Sync!$P104)+1,20))-1))),"")))</f>
        <v/>
      </c>
      <c r="AH104">
        <f>IF(OR($AE104="",$AF104=""),"",IF(ISNUMBER(Sync!$P104),MOD(Sync!$P104,100),IFERROR(VALUE(TRIM(MID(MID(Sync!$P104,FIND("/",Sync!$P104)+1,20),FIND("/",MID(Sync!$P104,FIND("/",Sync!$P104)+1,20))+1,20))),"")))</f>
        <v/>
      </c>
      <c r="AI104">
        <f>IF($AE104="","",IF(OR($AF104="",$AG104="",$AH104="",$AF104&lt;1300,$AF104&gt;1500,$AG104&lt;1,$AG104&gt;12,$AH104&lt;1,$AH104&gt;31),"نامعتبر",RIGHT("0000"&amp;$AF104,4)&amp;"/"&amp;RIGHT("00"&amp;$AG104,2)&amp;"/"&amp;RIGHT("00"&amp;$AH104,2)))</f>
        <v/>
      </c>
      <c r="AJ104">
        <f>IF($AE104="","",IF(Sync!$Q104="","0000",IF(AND(ISNUMBER(Sync!$Q104),Sync!$Q104&gt;=0,Sync!$Q104&lt;1),RIGHT("00"&amp;HOUR(Sync!$Q104),2)&amp;RIGHT("00"&amp;MINUTE(Sync!$Q104),2),IFERROR(RIGHT("00"&amp;VALUE(LEFT(Sync!$Q104,FIND(":",Sync!$Q104)-1)),2)&amp;RIGHT("00"&amp;VALUE(MID(Sync!$Q104,FIND(":",Sync!$Q104)+1,2)),2),"0000"))))</f>
        <v/>
      </c>
      <c r="AK104">
        <f>IF(OR($AE104="",$AI104="",$AI104="نامعتبر"),"",LEFT($AI104,4)&amp;MID($AI104,6,2)&amp;RIGHT($AI104,2)&amp;$AJ104&amp;"|"&amp;"3"&amp;RIGHT("00000"&amp;99,5))</f>
        <v/>
      </c>
      <c r="AL104">
        <f>IF($AK104="","",COUNTIFS(LdAParty,$AE104,LdAType,1,LdAKey,"&lt;"&amp;$AK104)+COUNTIFS(LdBMember,$AE104,LdBKey,"&lt;"&amp;$AK104)+COUNTIFS(LdCParty,$AE104,LdCKey,"&lt;"&amp;$AK104)+1)</f>
        <v/>
      </c>
      <c r="AM104">
        <f>IF($AL104="","",$AE104&amp;"|"&amp;RIGHT("000000"&amp;$AL104,6))</f>
        <v/>
      </c>
      <c r="AN104">
        <f>IF($AE104="","",IF(Sync!$W104="",0,Sync!$W104))</f>
        <v/>
      </c>
      <c r="AO104">
        <f>IF($AE104="","",IF(Sync!$X104="",0,Sync!$X104))</f>
        <v/>
      </c>
      <c r="AP104">
        <f>IF($AE104="","",Sync!$R104)</f>
        <v/>
      </c>
      <c r="AQ104">
        <f>IF($AE104="","",Sync!$Y104)</f>
        <v/>
      </c>
    </row>
    <row r="105">
      <c r="A105">
        <f>IF(OR(Wages!$B108="",Wages!$E108=""),"",Wages!$E108)</f>
        <v/>
      </c>
      <c r="B105">
        <f>IF($A105="","",IF(Wages!$C108="دستمزد گروهی",2,1))</f>
        <v/>
      </c>
      <c r="C105">
        <f>IF($A105="","",IF(ISNUMBER(Wages!$B108),IF(AND(Wages!$B108&gt;=10000101,Wages!$B108&lt;=99991231),INT(Wages!$B108/10000),""),IFERROR(VALUE(TRIM(LEFT(Wages!$B108,FIND("/",Wages!$B108)-1))),"")))</f>
        <v/>
      </c>
      <c r="D105">
        <f>IF(OR($A105="",$C105=""),"",IF(ISNUMBER(Wages!$B108),INT(MOD(Wages!$B108,10000)/100),IFERROR(VALUE(TRIM(LEFT(MID(Wages!$B108,FIND("/",Wages!$B108)+1,20),FIND("/",MID(Wages!$B108,FIND("/",Wages!$B108)+1,20))-1))),"")))</f>
        <v/>
      </c>
      <c r="E105">
        <f>IF(OR($A105="",$C105=""),"",IF(ISNUMBER(Wages!$B108),MOD(Wages!$B108,100),IFERROR(VALUE(TRIM(MID(MID(Wages!$B108,FIND("/",Wages!$B108)+1,20),FIND("/",MID(Wages!$B108,FIND("/",Wages!$B108)+1,20))+1,20))),"")))</f>
        <v/>
      </c>
      <c r="F105">
        <f>IF($A105="","",IF(OR($C105="",$D105="",$E105="",$C105&lt;1300,$C105&gt;1500,$D105&lt;1,$D105&gt;12,$E105&lt;1,$E105&gt;31),"نامعتبر",RIGHT("0000"&amp;$C105,4)&amp;"/"&amp;RIGHT("00"&amp;$D105,2)&amp;"/"&amp;RIGHT("00"&amp;$E105,2)))</f>
        <v/>
      </c>
      <c r="G105">
        <f>IF(OR($A105="",$F105="",$F105="نامعتبر"),"",LEFT($F105,4)&amp;MID($F105,6,2)&amp;RIGHT($F105,2)&amp;"0000"&amp;"|"&amp;"1"&amp;RIGHT("00000"&amp;100,5))</f>
        <v/>
      </c>
      <c r="H105">
        <f>IF(OR($B105&lt;&gt;1,$G105=""),"",COUNTIFS(LdAParty,$A105,LdAType,1,LdAKey,"&lt;"&amp;$G105)+COUNTIFS(LdBMember,$A105,LdBKey,"&lt;"&amp;$G105)+COUNTIFS(LdCParty,$A105,LdCKey,"&lt;"&amp;$G105)+1)</f>
        <v/>
      </c>
      <c r="I105">
        <f>IF($H105="","",$A105&amp;"|"&amp;RIGHT("000000"&amp;$H105,6))</f>
        <v/>
      </c>
      <c r="J105">
        <f>IF(OR($B105&lt;&gt;2,$G105=""),"",COUNTIFS(LdAParty,$A105,LdAType,2,LdAKey,"&lt;"&amp;$G105)+1)</f>
        <v/>
      </c>
      <c r="K105">
        <f>IF($J105="","",$A105&amp;"|"&amp;RIGHT("000000"&amp;$J105,6))</f>
        <v/>
      </c>
      <c r="L105">
        <f>IF($A105="","",IF(Wages!$G108="",0,Wages!$G108))</f>
        <v/>
      </c>
      <c r="M105">
        <f>IF($A105="","",Wages!$J108)</f>
        <v/>
      </c>
      <c r="N105">
        <f>IF($A105="","",Wages!$D108)</f>
        <v/>
      </c>
      <c r="P105">
        <f>IF(OR(Shares!$B108="",Shares!$C108=""),"",Shares!$C108)</f>
        <v/>
      </c>
      <c r="Q105">
        <f>IF($P105="","",Shares!$B108)</f>
        <v/>
      </c>
      <c r="R105">
        <f>IF($P105="","",IFERROR(INDEX(WageParty,MATCH($Q105,WageIds,0)),""))</f>
        <v/>
      </c>
      <c r="S105">
        <f>IF($P105="","",IFERROR(INDEX($F$6:$F$2005,MATCH($Q105,WageIds,0)),""))</f>
        <v/>
      </c>
      <c r="T105">
        <f>IF(OR($P105="",$S105="",$S105="نامعتبر"),"",LEFT($S105,4)&amp;MID($S105,6,2)&amp;RIGHT($S105,2)&amp;"0000"&amp;"|"&amp;"2"&amp;RIGHT("00000"&amp;100,5))</f>
        <v/>
      </c>
      <c r="U105">
        <f>IF($T105="","",COUNTIFS(LdAParty,$P105,LdAType,1,LdAKey,"&lt;"&amp;$T105)+COUNTIFS(LdBMember,$P105,LdBKey,"&lt;"&amp;$T105)+COUNTIFS(LdCParty,$P105,LdCKey,"&lt;"&amp;$T105)+1)</f>
        <v/>
      </c>
      <c r="V105">
        <f>IF($U105="","",$P105&amp;"|"&amp;RIGHT("000000"&amp;$U105,6))</f>
        <v/>
      </c>
      <c r="W105">
        <f>IF($T105="","",COUNTIFS(LdBGroup,$R105,LdBKey,"&lt;"&amp;$T105)+1)</f>
        <v/>
      </c>
      <c r="X105">
        <f>IF($W105="","",$R105&amp;"|"&amp;RIGHT("000000"&amp;$W105,6))</f>
        <v/>
      </c>
      <c r="Y105">
        <f>IF($P105="","",IF(Shares!$E108="",0,Shares!$E108))</f>
        <v/>
      </c>
      <c r="Z105">
        <f>IF($P105="","",Shares!$H108)</f>
        <v/>
      </c>
      <c r="AE105">
        <f>IF(OR(Sync!$S105="",Sync!$P105=""),"",Sync!$S105)</f>
        <v/>
      </c>
      <c r="AF105">
        <f>IF($AE105="","",IF(ISNUMBER(Sync!$P105),IF(AND(Sync!$P105&gt;=10000101,Sync!$P105&lt;=99991231),INT(Sync!$P105/10000),""),IFERROR(VALUE(TRIM(LEFT(Sync!$P105,FIND("/",Sync!$P105)-1))),"")))</f>
        <v/>
      </c>
      <c r="AG105">
        <f>IF(OR($AE105="",$AF105=""),"",IF(ISNUMBER(Sync!$P105),INT(MOD(Sync!$P105,10000)/100),IFERROR(VALUE(TRIM(LEFT(MID(Sync!$P105,FIND("/",Sync!$P105)+1,20),FIND("/",MID(Sync!$P105,FIND("/",Sync!$P105)+1,20))-1))),"")))</f>
        <v/>
      </c>
      <c r="AH105">
        <f>IF(OR($AE105="",$AF105=""),"",IF(ISNUMBER(Sync!$P105),MOD(Sync!$P105,100),IFERROR(VALUE(TRIM(MID(MID(Sync!$P105,FIND("/",Sync!$P105)+1,20),FIND("/",MID(Sync!$P105,FIND("/",Sync!$P105)+1,20))+1,20))),"")))</f>
        <v/>
      </c>
      <c r="AI105">
        <f>IF($AE105="","",IF(OR($AF105="",$AG105="",$AH105="",$AF105&lt;1300,$AF105&gt;1500,$AG105&lt;1,$AG105&gt;12,$AH105&lt;1,$AH105&gt;31),"نامعتبر",RIGHT("0000"&amp;$AF105,4)&amp;"/"&amp;RIGHT("00"&amp;$AG105,2)&amp;"/"&amp;RIGHT("00"&amp;$AH105,2)))</f>
        <v/>
      </c>
      <c r="AJ105">
        <f>IF($AE105="","",IF(Sync!$Q105="","0000",IF(AND(ISNUMBER(Sync!$Q105),Sync!$Q105&gt;=0,Sync!$Q105&lt;1),RIGHT("00"&amp;HOUR(Sync!$Q105),2)&amp;RIGHT("00"&amp;MINUTE(Sync!$Q105),2),IFERROR(RIGHT("00"&amp;VALUE(LEFT(Sync!$Q105,FIND(":",Sync!$Q105)-1)),2)&amp;RIGHT("00"&amp;VALUE(MID(Sync!$Q105,FIND(":",Sync!$Q105)+1,2)),2),"0000"))))</f>
        <v/>
      </c>
      <c r="AK105">
        <f>IF(OR($AE105="",$AI105="",$AI105="نامعتبر"),"",LEFT($AI105,4)&amp;MID($AI105,6,2)&amp;RIGHT($AI105,2)&amp;$AJ105&amp;"|"&amp;"3"&amp;RIGHT("00000"&amp;100,5))</f>
        <v/>
      </c>
      <c r="AL105">
        <f>IF($AK105="","",COUNTIFS(LdAParty,$AE105,LdAType,1,LdAKey,"&lt;"&amp;$AK105)+COUNTIFS(LdBMember,$AE105,LdBKey,"&lt;"&amp;$AK105)+COUNTIFS(LdCParty,$AE105,LdCKey,"&lt;"&amp;$AK105)+1)</f>
        <v/>
      </c>
      <c r="AM105">
        <f>IF($AL105="","",$AE105&amp;"|"&amp;RIGHT("000000"&amp;$AL105,6))</f>
        <v/>
      </c>
      <c r="AN105">
        <f>IF($AE105="","",IF(Sync!$W105="",0,Sync!$W105))</f>
        <v/>
      </c>
      <c r="AO105">
        <f>IF($AE105="","",IF(Sync!$X105="",0,Sync!$X105))</f>
        <v/>
      </c>
      <c r="AP105">
        <f>IF($AE105="","",Sync!$R105)</f>
        <v/>
      </c>
      <c r="AQ105">
        <f>IF($AE105="","",Sync!$Y105)</f>
        <v/>
      </c>
    </row>
    <row r="106">
      <c r="A106">
        <f>IF(OR(Wages!$B109="",Wages!$E109=""),"",Wages!$E109)</f>
        <v/>
      </c>
      <c r="B106">
        <f>IF($A106="","",IF(Wages!$C109="دستمزد گروهی",2,1))</f>
        <v/>
      </c>
      <c r="C106">
        <f>IF($A106="","",IF(ISNUMBER(Wages!$B109),IF(AND(Wages!$B109&gt;=10000101,Wages!$B109&lt;=99991231),INT(Wages!$B109/10000),""),IFERROR(VALUE(TRIM(LEFT(Wages!$B109,FIND("/",Wages!$B109)-1))),"")))</f>
        <v/>
      </c>
      <c r="D106">
        <f>IF(OR($A106="",$C106=""),"",IF(ISNUMBER(Wages!$B109),INT(MOD(Wages!$B109,10000)/100),IFERROR(VALUE(TRIM(LEFT(MID(Wages!$B109,FIND("/",Wages!$B109)+1,20),FIND("/",MID(Wages!$B109,FIND("/",Wages!$B109)+1,20))-1))),"")))</f>
        <v/>
      </c>
      <c r="E106">
        <f>IF(OR($A106="",$C106=""),"",IF(ISNUMBER(Wages!$B109),MOD(Wages!$B109,100),IFERROR(VALUE(TRIM(MID(MID(Wages!$B109,FIND("/",Wages!$B109)+1,20),FIND("/",MID(Wages!$B109,FIND("/",Wages!$B109)+1,20))+1,20))),"")))</f>
        <v/>
      </c>
      <c r="F106">
        <f>IF($A106="","",IF(OR($C106="",$D106="",$E106="",$C106&lt;1300,$C106&gt;1500,$D106&lt;1,$D106&gt;12,$E106&lt;1,$E106&gt;31),"نامعتبر",RIGHT("0000"&amp;$C106,4)&amp;"/"&amp;RIGHT("00"&amp;$D106,2)&amp;"/"&amp;RIGHT("00"&amp;$E106,2)))</f>
        <v/>
      </c>
      <c r="G106">
        <f>IF(OR($A106="",$F106="",$F106="نامعتبر"),"",LEFT($F106,4)&amp;MID($F106,6,2)&amp;RIGHT($F106,2)&amp;"0000"&amp;"|"&amp;"1"&amp;RIGHT("00000"&amp;101,5))</f>
        <v/>
      </c>
      <c r="H106">
        <f>IF(OR($B106&lt;&gt;1,$G106=""),"",COUNTIFS(LdAParty,$A106,LdAType,1,LdAKey,"&lt;"&amp;$G106)+COUNTIFS(LdBMember,$A106,LdBKey,"&lt;"&amp;$G106)+COUNTIFS(LdCParty,$A106,LdCKey,"&lt;"&amp;$G106)+1)</f>
        <v/>
      </c>
      <c r="I106">
        <f>IF($H106="","",$A106&amp;"|"&amp;RIGHT("000000"&amp;$H106,6))</f>
        <v/>
      </c>
      <c r="J106">
        <f>IF(OR($B106&lt;&gt;2,$G106=""),"",COUNTIFS(LdAParty,$A106,LdAType,2,LdAKey,"&lt;"&amp;$G106)+1)</f>
        <v/>
      </c>
      <c r="K106">
        <f>IF($J106="","",$A106&amp;"|"&amp;RIGHT("000000"&amp;$J106,6))</f>
        <v/>
      </c>
      <c r="L106">
        <f>IF($A106="","",IF(Wages!$G109="",0,Wages!$G109))</f>
        <v/>
      </c>
      <c r="M106">
        <f>IF($A106="","",Wages!$J109)</f>
        <v/>
      </c>
      <c r="N106">
        <f>IF($A106="","",Wages!$D109)</f>
        <v/>
      </c>
      <c r="P106">
        <f>IF(OR(Shares!$B109="",Shares!$C109=""),"",Shares!$C109)</f>
        <v/>
      </c>
      <c r="Q106">
        <f>IF($P106="","",Shares!$B109)</f>
        <v/>
      </c>
      <c r="R106">
        <f>IF($P106="","",IFERROR(INDEX(WageParty,MATCH($Q106,WageIds,0)),""))</f>
        <v/>
      </c>
      <c r="S106">
        <f>IF($P106="","",IFERROR(INDEX($F$6:$F$2005,MATCH($Q106,WageIds,0)),""))</f>
        <v/>
      </c>
      <c r="T106">
        <f>IF(OR($P106="",$S106="",$S106="نامعتبر"),"",LEFT($S106,4)&amp;MID($S106,6,2)&amp;RIGHT($S106,2)&amp;"0000"&amp;"|"&amp;"2"&amp;RIGHT("00000"&amp;101,5))</f>
        <v/>
      </c>
      <c r="U106">
        <f>IF($T106="","",COUNTIFS(LdAParty,$P106,LdAType,1,LdAKey,"&lt;"&amp;$T106)+COUNTIFS(LdBMember,$P106,LdBKey,"&lt;"&amp;$T106)+COUNTIFS(LdCParty,$P106,LdCKey,"&lt;"&amp;$T106)+1)</f>
        <v/>
      </c>
      <c r="V106">
        <f>IF($U106="","",$P106&amp;"|"&amp;RIGHT("000000"&amp;$U106,6))</f>
        <v/>
      </c>
      <c r="W106">
        <f>IF($T106="","",COUNTIFS(LdBGroup,$R106,LdBKey,"&lt;"&amp;$T106)+1)</f>
        <v/>
      </c>
      <c r="X106">
        <f>IF($W106="","",$R106&amp;"|"&amp;RIGHT("000000"&amp;$W106,6))</f>
        <v/>
      </c>
      <c r="Y106">
        <f>IF($P106="","",IF(Shares!$E109="",0,Shares!$E109))</f>
        <v/>
      </c>
      <c r="Z106">
        <f>IF($P106="","",Shares!$H109)</f>
        <v/>
      </c>
      <c r="AE106">
        <f>IF(OR(Sync!$S106="",Sync!$P106=""),"",Sync!$S106)</f>
        <v/>
      </c>
      <c r="AF106">
        <f>IF($AE106="","",IF(ISNUMBER(Sync!$P106),IF(AND(Sync!$P106&gt;=10000101,Sync!$P106&lt;=99991231),INT(Sync!$P106/10000),""),IFERROR(VALUE(TRIM(LEFT(Sync!$P106,FIND("/",Sync!$P106)-1))),"")))</f>
        <v/>
      </c>
      <c r="AG106">
        <f>IF(OR($AE106="",$AF106=""),"",IF(ISNUMBER(Sync!$P106),INT(MOD(Sync!$P106,10000)/100),IFERROR(VALUE(TRIM(LEFT(MID(Sync!$P106,FIND("/",Sync!$P106)+1,20),FIND("/",MID(Sync!$P106,FIND("/",Sync!$P106)+1,20))-1))),"")))</f>
        <v/>
      </c>
      <c r="AH106">
        <f>IF(OR($AE106="",$AF106=""),"",IF(ISNUMBER(Sync!$P106),MOD(Sync!$P106,100),IFERROR(VALUE(TRIM(MID(MID(Sync!$P106,FIND("/",Sync!$P106)+1,20),FIND("/",MID(Sync!$P106,FIND("/",Sync!$P106)+1,20))+1,20))),"")))</f>
        <v/>
      </c>
      <c r="AI106">
        <f>IF($AE106="","",IF(OR($AF106="",$AG106="",$AH106="",$AF106&lt;1300,$AF106&gt;1500,$AG106&lt;1,$AG106&gt;12,$AH106&lt;1,$AH106&gt;31),"نامعتبر",RIGHT("0000"&amp;$AF106,4)&amp;"/"&amp;RIGHT("00"&amp;$AG106,2)&amp;"/"&amp;RIGHT("00"&amp;$AH106,2)))</f>
        <v/>
      </c>
      <c r="AJ106">
        <f>IF($AE106="","",IF(Sync!$Q106="","0000",IF(AND(ISNUMBER(Sync!$Q106),Sync!$Q106&gt;=0,Sync!$Q106&lt;1),RIGHT("00"&amp;HOUR(Sync!$Q106),2)&amp;RIGHT("00"&amp;MINUTE(Sync!$Q106),2),IFERROR(RIGHT("00"&amp;VALUE(LEFT(Sync!$Q106,FIND(":",Sync!$Q106)-1)),2)&amp;RIGHT("00"&amp;VALUE(MID(Sync!$Q106,FIND(":",Sync!$Q106)+1,2)),2),"0000"))))</f>
        <v/>
      </c>
      <c r="AK106">
        <f>IF(OR($AE106="",$AI106="",$AI106="نامعتبر"),"",LEFT($AI106,4)&amp;MID($AI106,6,2)&amp;RIGHT($AI106,2)&amp;$AJ106&amp;"|"&amp;"3"&amp;RIGHT("00000"&amp;101,5))</f>
        <v/>
      </c>
      <c r="AL106">
        <f>IF($AK106="","",COUNTIFS(LdAParty,$AE106,LdAType,1,LdAKey,"&lt;"&amp;$AK106)+COUNTIFS(LdBMember,$AE106,LdBKey,"&lt;"&amp;$AK106)+COUNTIFS(LdCParty,$AE106,LdCKey,"&lt;"&amp;$AK106)+1)</f>
        <v/>
      </c>
      <c r="AM106">
        <f>IF($AL106="","",$AE106&amp;"|"&amp;RIGHT("000000"&amp;$AL106,6))</f>
        <v/>
      </c>
      <c r="AN106">
        <f>IF($AE106="","",IF(Sync!$W106="",0,Sync!$W106))</f>
        <v/>
      </c>
      <c r="AO106">
        <f>IF($AE106="","",IF(Sync!$X106="",0,Sync!$X106))</f>
        <v/>
      </c>
      <c r="AP106">
        <f>IF($AE106="","",Sync!$R106)</f>
        <v/>
      </c>
      <c r="AQ106">
        <f>IF($AE106="","",Sync!$Y106)</f>
        <v/>
      </c>
    </row>
    <row r="107">
      <c r="A107">
        <f>IF(OR(Wages!$B110="",Wages!$E110=""),"",Wages!$E110)</f>
        <v/>
      </c>
      <c r="B107">
        <f>IF($A107="","",IF(Wages!$C110="دستمزد گروهی",2,1))</f>
        <v/>
      </c>
      <c r="C107">
        <f>IF($A107="","",IF(ISNUMBER(Wages!$B110),IF(AND(Wages!$B110&gt;=10000101,Wages!$B110&lt;=99991231),INT(Wages!$B110/10000),""),IFERROR(VALUE(TRIM(LEFT(Wages!$B110,FIND("/",Wages!$B110)-1))),"")))</f>
        <v/>
      </c>
      <c r="D107">
        <f>IF(OR($A107="",$C107=""),"",IF(ISNUMBER(Wages!$B110),INT(MOD(Wages!$B110,10000)/100),IFERROR(VALUE(TRIM(LEFT(MID(Wages!$B110,FIND("/",Wages!$B110)+1,20),FIND("/",MID(Wages!$B110,FIND("/",Wages!$B110)+1,20))-1))),"")))</f>
        <v/>
      </c>
      <c r="E107">
        <f>IF(OR($A107="",$C107=""),"",IF(ISNUMBER(Wages!$B110),MOD(Wages!$B110,100),IFERROR(VALUE(TRIM(MID(MID(Wages!$B110,FIND("/",Wages!$B110)+1,20),FIND("/",MID(Wages!$B110,FIND("/",Wages!$B110)+1,20))+1,20))),"")))</f>
        <v/>
      </c>
      <c r="F107">
        <f>IF($A107="","",IF(OR($C107="",$D107="",$E107="",$C107&lt;1300,$C107&gt;1500,$D107&lt;1,$D107&gt;12,$E107&lt;1,$E107&gt;31),"نامعتبر",RIGHT("0000"&amp;$C107,4)&amp;"/"&amp;RIGHT("00"&amp;$D107,2)&amp;"/"&amp;RIGHT("00"&amp;$E107,2)))</f>
        <v/>
      </c>
      <c r="G107">
        <f>IF(OR($A107="",$F107="",$F107="نامعتبر"),"",LEFT($F107,4)&amp;MID($F107,6,2)&amp;RIGHT($F107,2)&amp;"0000"&amp;"|"&amp;"1"&amp;RIGHT("00000"&amp;102,5))</f>
        <v/>
      </c>
      <c r="H107">
        <f>IF(OR($B107&lt;&gt;1,$G107=""),"",COUNTIFS(LdAParty,$A107,LdAType,1,LdAKey,"&lt;"&amp;$G107)+COUNTIFS(LdBMember,$A107,LdBKey,"&lt;"&amp;$G107)+COUNTIFS(LdCParty,$A107,LdCKey,"&lt;"&amp;$G107)+1)</f>
        <v/>
      </c>
      <c r="I107">
        <f>IF($H107="","",$A107&amp;"|"&amp;RIGHT("000000"&amp;$H107,6))</f>
        <v/>
      </c>
      <c r="J107">
        <f>IF(OR($B107&lt;&gt;2,$G107=""),"",COUNTIFS(LdAParty,$A107,LdAType,2,LdAKey,"&lt;"&amp;$G107)+1)</f>
        <v/>
      </c>
      <c r="K107">
        <f>IF($J107="","",$A107&amp;"|"&amp;RIGHT("000000"&amp;$J107,6))</f>
        <v/>
      </c>
      <c r="L107">
        <f>IF($A107="","",IF(Wages!$G110="",0,Wages!$G110))</f>
        <v/>
      </c>
      <c r="M107">
        <f>IF($A107="","",Wages!$J110)</f>
        <v/>
      </c>
      <c r="N107">
        <f>IF($A107="","",Wages!$D110)</f>
        <v/>
      </c>
      <c r="P107">
        <f>IF(OR(Shares!$B110="",Shares!$C110=""),"",Shares!$C110)</f>
        <v/>
      </c>
      <c r="Q107">
        <f>IF($P107="","",Shares!$B110)</f>
        <v/>
      </c>
      <c r="R107">
        <f>IF($P107="","",IFERROR(INDEX(WageParty,MATCH($Q107,WageIds,0)),""))</f>
        <v/>
      </c>
      <c r="S107">
        <f>IF($P107="","",IFERROR(INDEX($F$6:$F$2005,MATCH($Q107,WageIds,0)),""))</f>
        <v/>
      </c>
      <c r="T107">
        <f>IF(OR($P107="",$S107="",$S107="نامعتبر"),"",LEFT($S107,4)&amp;MID($S107,6,2)&amp;RIGHT($S107,2)&amp;"0000"&amp;"|"&amp;"2"&amp;RIGHT("00000"&amp;102,5))</f>
        <v/>
      </c>
      <c r="U107">
        <f>IF($T107="","",COUNTIFS(LdAParty,$P107,LdAType,1,LdAKey,"&lt;"&amp;$T107)+COUNTIFS(LdBMember,$P107,LdBKey,"&lt;"&amp;$T107)+COUNTIFS(LdCParty,$P107,LdCKey,"&lt;"&amp;$T107)+1)</f>
        <v/>
      </c>
      <c r="V107">
        <f>IF($U107="","",$P107&amp;"|"&amp;RIGHT("000000"&amp;$U107,6))</f>
        <v/>
      </c>
      <c r="W107">
        <f>IF($T107="","",COUNTIFS(LdBGroup,$R107,LdBKey,"&lt;"&amp;$T107)+1)</f>
        <v/>
      </c>
      <c r="X107">
        <f>IF($W107="","",$R107&amp;"|"&amp;RIGHT("000000"&amp;$W107,6))</f>
        <v/>
      </c>
      <c r="Y107">
        <f>IF($P107="","",IF(Shares!$E110="",0,Shares!$E110))</f>
        <v/>
      </c>
      <c r="Z107">
        <f>IF($P107="","",Shares!$H110)</f>
        <v/>
      </c>
      <c r="AE107">
        <f>IF(OR(Sync!$S107="",Sync!$P107=""),"",Sync!$S107)</f>
        <v/>
      </c>
      <c r="AF107">
        <f>IF($AE107="","",IF(ISNUMBER(Sync!$P107),IF(AND(Sync!$P107&gt;=10000101,Sync!$P107&lt;=99991231),INT(Sync!$P107/10000),""),IFERROR(VALUE(TRIM(LEFT(Sync!$P107,FIND("/",Sync!$P107)-1))),"")))</f>
        <v/>
      </c>
      <c r="AG107">
        <f>IF(OR($AE107="",$AF107=""),"",IF(ISNUMBER(Sync!$P107),INT(MOD(Sync!$P107,10000)/100),IFERROR(VALUE(TRIM(LEFT(MID(Sync!$P107,FIND("/",Sync!$P107)+1,20),FIND("/",MID(Sync!$P107,FIND("/",Sync!$P107)+1,20))-1))),"")))</f>
        <v/>
      </c>
      <c r="AH107">
        <f>IF(OR($AE107="",$AF107=""),"",IF(ISNUMBER(Sync!$P107),MOD(Sync!$P107,100),IFERROR(VALUE(TRIM(MID(MID(Sync!$P107,FIND("/",Sync!$P107)+1,20),FIND("/",MID(Sync!$P107,FIND("/",Sync!$P107)+1,20))+1,20))),"")))</f>
        <v/>
      </c>
      <c r="AI107">
        <f>IF($AE107="","",IF(OR($AF107="",$AG107="",$AH107="",$AF107&lt;1300,$AF107&gt;1500,$AG107&lt;1,$AG107&gt;12,$AH107&lt;1,$AH107&gt;31),"نامعتبر",RIGHT("0000"&amp;$AF107,4)&amp;"/"&amp;RIGHT("00"&amp;$AG107,2)&amp;"/"&amp;RIGHT("00"&amp;$AH107,2)))</f>
        <v/>
      </c>
      <c r="AJ107">
        <f>IF($AE107="","",IF(Sync!$Q107="","0000",IF(AND(ISNUMBER(Sync!$Q107),Sync!$Q107&gt;=0,Sync!$Q107&lt;1),RIGHT("00"&amp;HOUR(Sync!$Q107),2)&amp;RIGHT("00"&amp;MINUTE(Sync!$Q107),2),IFERROR(RIGHT("00"&amp;VALUE(LEFT(Sync!$Q107,FIND(":",Sync!$Q107)-1)),2)&amp;RIGHT("00"&amp;VALUE(MID(Sync!$Q107,FIND(":",Sync!$Q107)+1,2)),2),"0000"))))</f>
        <v/>
      </c>
      <c r="AK107">
        <f>IF(OR($AE107="",$AI107="",$AI107="نامعتبر"),"",LEFT($AI107,4)&amp;MID($AI107,6,2)&amp;RIGHT($AI107,2)&amp;$AJ107&amp;"|"&amp;"3"&amp;RIGHT("00000"&amp;102,5))</f>
        <v/>
      </c>
      <c r="AL107">
        <f>IF($AK107="","",COUNTIFS(LdAParty,$AE107,LdAType,1,LdAKey,"&lt;"&amp;$AK107)+COUNTIFS(LdBMember,$AE107,LdBKey,"&lt;"&amp;$AK107)+COUNTIFS(LdCParty,$AE107,LdCKey,"&lt;"&amp;$AK107)+1)</f>
        <v/>
      </c>
      <c r="AM107">
        <f>IF($AL107="","",$AE107&amp;"|"&amp;RIGHT("000000"&amp;$AL107,6))</f>
        <v/>
      </c>
      <c r="AN107">
        <f>IF($AE107="","",IF(Sync!$W107="",0,Sync!$W107))</f>
        <v/>
      </c>
      <c r="AO107">
        <f>IF($AE107="","",IF(Sync!$X107="",0,Sync!$X107))</f>
        <v/>
      </c>
      <c r="AP107">
        <f>IF($AE107="","",Sync!$R107)</f>
        <v/>
      </c>
      <c r="AQ107">
        <f>IF($AE107="","",Sync!$Y107)</f>
        <v/>
      </c>
    </row>
    <row r="108">
      <c r="A108">
        <f>IF(OR(Wages!$B111="",Wages!$E111=""),"",Wages!$E111)</f>
        <v/>
      </c>
      <c r="B108">
        <f>IF($A108="","",IF(Wages!$C111="دستمزد گروهی",2,1))</f>
        <v/>
      </c>
      <c r="C108">
        <f>IF($A108="","",IF(ISNUMBER(Wages!$B111),IF(AND(Wages!$B111&gt;=10000101,Wages!$B111&lt;=99991231),INT(Wages!$B111/10000),""),IFERROR(VALUE(TRIM(LEFT(Wages!$B111,FIND("/",Wages!$B111)-1))),"")))</f>
        <v/>
      </c>
      <c r="D108">
        <f>IF(OR($A108="",$C108=""),"",IF(ISNUMBER(Wages!$B111),INT(MOD(Wages!$B111,10000)/100),IFERROR(VALUE(TRIM(LEFT(MID(Wages!$B111,FIND("/",Wages!$B111)+1,20),FIND("/",MID(Wages!$B111,FIND("/",Wages!$B111)+1,20))-1))),"")))</f>
        <v/>
      </c>
      <c r="E108">
        <f>IF(OR($A108="",$C108=""),"",IF(ISNUMBER(Wages!$B111),MOD(Wages!$B111,100),IFERROR(VALUE(TRIM(MID(MID(Wages!$B111,FIND("/",Wages!$B111)+1,20),FIND("/",MID(Wages!$B111,FIND("/",Wages!$B111)+1,20))+1,20))),"")))</f>
        <v/>
      </c>
      <c r="F108">
        <f>IF($A108="","",IF(OR($C108="",$D108="",$E108="",$C108&lt;1300,$C108&gt;1500,$D108&lt;1,$D108&gt;12,$E108&lt;1,$E108&gt;31),"نامعتبر",RIGHT("0000"&amp;$C108,4)&amp;"/"&amp;RIGHT("00"&amp;$D108,2)&amp;"/"&amp;RIGHT("00"&amp;$E108,2)))</f>
        <v/>
      </c>
      <c r="G108">
        <f>IF(OR($A108="",$F108="",$F108="نامعتبر"),"",LEFT($F108,4)&amp;MID($F108,6,2)&amp;RIGHT($F108,2)&amp;"0000"&amp;"|"&amp;"1"&amp;RIGHT("00000"&amp;103,5))</f>
        <v/>
      </c>
      <c r="H108">
        <f>IF(OR($B108&lt;&gt;1,$G108=""),"",COUNTIFS(LdAParty,$A108,LdAType,1,LdAKey,"&lt;"&amp;$G108)+COUNTIFS(LdBMember,$A108,LdBKey,"&lt;"&amp;$G108)+COUNTIFS(LdCParty,$A108,LdCKey,"&lt;"&amp;$G108)+1)</f>
        <v/>
      </c>
      <c r="I108">
        <f>IF($H108="","",$A108&amp;"|"&amp;RIGHT("000000"&amp;$H108,6))</f>
        <v/>
      </c>
      <c r="J108">
        <f>IF(OR($B108&lt;&gt;2,$G108=""),"",COUNTIFS(LdAParty,$A108,LdAType,2,LdAKey,"&lt;"&amp;$G108)+1)</f>
        <v/>
      </c>
      <c r="K108">
        <f>IF($J108="","",$A108&amp;"|"&amp;RIGHT("000000"&amp;$J108,6))</f>
        <v/>
      </c>
      <c r="L108">
        <f>IF($A108="","",IF(Wages!$G111="",0,Wages!$G111))</f>
        <v/>
      </c>
      <c r="M108">
        <f>IF($A108="","",Wages!$J111)</f>
        <v/>
      </c>
      <c r="N108">
        <f>IF($A108="","",Wages!$D111)</f>
        <v/>
      </c>
      <c r="P108">
        <f>IF(OR(Shares!$B111="",Shares!$C111=""),"",Shares!$C111)</f>
        <v/>
      </c>
      <c r="Q108">
        <f>IF($P108="","",Shares!$B111)</f>
        <v/>
      </c>
      <c r="R108">
        <f>IF($P108="","",IFERROR(INDEX(WageParty,MATCH($Q108,WageIds,0)),""))</f>
        <v/>
      </c>
      <c r="S108">
        <f>IF($P108="","",IFERROR(INDEX($F$6:$F$2005,MATCH($Q108,WageIds,0)),""))</f>
        <v/>
      </c>
      <c r="T108">
        <f>IF(OR($P108="",$S108="",$S108="نامعتبر"),"",LEFT($S108,4)&amp;MID($S108,6,2)&amp;RIGHT($S108,2)&amp;"0000"&amp;"|"&amp;"2"&amp;RIGHT("00000"&amp;103,5))</f>
        <v/>
      </c>
      <c r="U108">
        <f>IF($T108="","",COUNTIFS(LdAParty,$P108,LdAType,1,LdAKey,"&lt;"&amp;$T108)+COUNTIFS(LdBMember,$P108,LdBKey,"&lt;"&amp;$T108)+COUNTIFS(LdCParty,$P108,LdCKey,"&lt;"&amp;$T108)+1)</f>
        <v/>
      </c>
      <c r="V108">
        <f>IF($U108="","",$P108&amp;"|"&amp;RIGHT("000000"&amp;$U108,6))</f>
        <v/>
      </c>
      <c r="W108">
        <f>IF($T108="","",COUNTIFS(LdBGroup,$R108,LdBKey,"&lt;"&amp;$T108)+1)</f>
        <v/>
      </c>
      <c r="X108">
        <f>IF($W108="","",$R108&amp;"|"&amp;RIGHT("000000"&amp;$W108,6))</f>
        <v/>
      </c>
      <c r="Y108">
        <f>IF($P108="","",IF(Shares!$E111="",0,Shares!$E111))</f>
        <v/>
      </c>
      <c r="Z108">
        <f>IF($P108="","",Shares!$H111)</f>
        <v/>
      </c>
      <c r="AE108">
        <f>IF(OR(Sync!$S108="",Sync!$P108=""),"",Sync!$S108)</f>
        <v/>
      </c>
      <c r="AF108">
        <f>IF($AE108="","",IF(ISNUMBER(Sync!$P108),IF(AND(Sync!$P108&gt;=10000101,Sync!$P108&lt;=99991231),INT(Sync!$P108/10000),""),IFERROR(VALUE(TRIM(LEFT(Sync!$P108,FIND("/",Sync!$P108)-1))),"")))</f>
        <v/>
      </c>
      <c r="AG108">
        <f>IF(OR($AE108="",$AF108=""),"",IF(ISNUMBER(Sync!$P108),INT(MOD(Sync!$P108,10000)/100),IFERROR(VALUE(TRIM(LEFT(MID(Sync!$P108,FIND("/",Sync!$P108)+1,20),FIND("/",MID(Sync!$P108,FIND("/",Sync!$P108)+1,20))-1))),"")))</f>
        <v/>
      </c>
      <c r="AH108">
        <f>IF(OR($AE108="",$AF108=""),"",IF(ISNUMBER(Sync!$P108),MOD(Sync!$P108,100),IFERROR(VALUE(TRIM(MID(MID(Sync!$P108,FIND("/",Sync!$P108)+1,20),FIND("/",MID(Sync!$P108,FIND("/",Sync!$P108)+1,20))+1,20))),"")))</f>
        <v/>
      </c>
      <c r="AI108">
        <f>IF($AE108="","",IF(OR($AF108="",$AG108="",$AH108="",$AF108&lt;1300,$AF108&gt;1500,$AG108&lt;1,$AG108&gt;12,$AH108&lt;1,$AH108&gt;31),"نامعتبر",RIGHT("0000"&amp;$AF108,4)&amp;"/"&amp;RIGHT("00"&amp;$AG108,2)&amp;"/"&amp;RIGHT("00"&amp;$AH108,2)))</f>
        <v/>
      </c>
      <c r="AJ108">
        <f>IF($AE108="","",IF(Sync!$Q108="","0000",IF(AND(ISNUMBER(Sync!$Q108),Sync!$Q108&gt;=0,Sync!$Q108&lt;1),RIGHT("00"&amp;HOUR(Sync!$Q108),2)&amp;RIGHT("00"&amp;MINUTE(Sync!$Q108),2),IFERROR(RIGHT("00"&amp;VALUE(LEFT(Sync!$Q108,FIND(":",Sync!$Q108)-1)),2)&amp;RIGHT("00"&amp;VALUE(MID(Sync!$Q108,FIND(":",Sync!$Q108)+1,2)),2),"0000"))))</f>
        <v/>
      </c>
      <c r="AK108">
        <f>IF(OR($AE108="",$AI108="",$AI108="نامعتبر"),"",LEFT($AI108,4)&amp;MID($AI108,6,2)&amp;RIGHT($AI108,2)&amp;$AJ108&amp;"|"&amp;"3"&amp;RIGHT("00000"&amp;103,5))</f>
        <v/>
      </c>
      <c r="AL108">
        <f>IF($AK108="","",COUNTIFS(LdAParty,$AE108,LdAType,1,LdAKey,"&lt;"&amp;$AK108)+COUNTIFS(LdBMember,$AE108,LdBKey,"&lt;"&amp;$AK108)+COUNTIFS(LdCParty,$AE108,LdCKey,"&lt;"&amp;$AK108)+1)</f>
        <v/>
      </c>
      <c r="AM108">
        <f>IF($AL108="","",$AE108&amp;"|"&amp;RIGHT("000000"&amp;$AL108,6))</f>
        <v/>
      </c>
      <c r="AN108">
        <f>IF($AE108="","",IF(Sync!$W108="",0,Sync!$W108))</f>
        <v/>
      </c>
      <c r="AO108">
        <f>IF($AE108="","",IF(Sync!$X108="",0,Sync!$X108))</f>
        <v/>
      </c>
      <c r="AP108">
        <f>IF($AE108="","",Sync!$R108)</f>
        <v/>
      </c>
      <c r="AQ108">
        <f>IF($AE108="","",Sync!$Y108)</f>
        <v/>
      </c>
    </row>
    <row r="109">
      <c r="A109">
        <f>IF(OR(Wages!$B112="",Wages!$E112=""),"",Wages!$E112)</f>
        <v/>
      </c>
      <c r="B109">
        <f>IF($A109="","",IF(Wages!$C112="دستمزد گروهی",2,1))</f>
        <v/>
      </c>
      <c r="C109">
        <f>IF($A109="","",IF(ISNUMBER(Wages!$B112),IF(AND(Wages!$B112&gt;=10000101,Wages!$B112&lt;=99991231),INT(Wages!$B112/10000),""),IFERROR(VALUE(TRIM(LEFT(Wages!$B112,FIND("/",Wages!$B112)-1))),"")))</f>
        <v/>
      </c>
      <c r="D109">
        <f>IF(OR($A109="",$C109=""),"",IF(ISNUMBER(Wages!$B112),INT(MOD(Wages!$B112,10000)/100),IFERROR(VALUE(TRIM(LEFT(MID(Wages!$B112,FIND("/",Wages!$B112)+1,20),FIND("/",MID(Wages!$B112,FIND("/",Wages!$B112)+1,20))-1))),"")))</f>
        <v/>
      </c>
      <c r="E109">
        <f>IF(OR($A109="",$C109=""),"",IF(ISNUMBER(Wages!$B112),MOD(Wages!$B112,100),IFERROR(VALUE(TRIM(MID(MID(Wages!$B112,FIND("/",Wages!$B112)+1,20),FIND("/",MID(Wages!$B112,FIND("/",Wages!$B112)+1,20))+1,20))),"")))</f>
        <v/>
      </c>
      <c r="F109">
        <f>IF($A109="","",IF(OR($C109="",$D109="",$E109="",$C109&lt;1300,$C109&gt;1500,$D109&lt;1,$D109&gt;12,$E109&lt;1,$E109&gt;31),"نامعتبر",RIGHT("0000"&amp;$C109,4)&amp;"/"&amp;RIGHT("00"&amp;$D109,2)&amp;"/"&amp;RIGHT("00"&amp;$E109,2)))</f>
        <v/>
      </c>
      <c r="G109">
        <f>IF(OR($A109="",$F109="",$F109="نامعتبر"),"",LEFT($F109,4)&amp;MID($F109,6,2)&amp;RIGHT($F109,2)&amp;"0000"&amp;"|"&amp;"1"&amp;RIGHT("00000"&amp;104,5))</f>
        <v/>
      </c>
      <c r="H109">
        <f>IF(OR($B109&lt;&gt;1,$G109=""),"",COUNTIFS(LdAParty,$A109,LdAType,1,LdAKey,"&lt;"&amp;$G109)+COUNTIFS(LdBMember,$A109,LdBKey,"&lt;"&amp;$G109)+COUNTIFS(LdCParty,$A109,LdCKey,"&lt;"&amp;$G109)+1)</f>
        <v/>
      </c>
      <c r="I109">
        <f>IF($H109="","",$A109&amp;"|"&amp;RIGHT("000000"&amp;$H109,6))</f>
        <v/>
      </c>
      <c r="J109">
        <f>IF(OR($B109&lt;&gt;2,$G109=""),"",COUNTIFS(LdAParty,$A109,LdAType,2,LdAKey,"&lt;"&amp;$G109)+1)</f>
        <v/>
      </c>
      <c r="K109">
        <f>IF($J109="","",$A109&amp;"|"&amp;RIGHT("000000"&amp;$J109,6))</f>
        <v/>
      </c>
      <c r="L109">
        <f>IF($A109="","",IF(Wages!$G112="",0,Wages!$G112))</f>
        <v/>
      </c>
      <c r="M109">
        <f>IF($A109="","",Wages!$J112)</f>
        <v/>
      </c>
      <c r="N109">
        <f>IF($A109="","",Wages!$D112)</f>
        <v/>
      </c>
      <c r="P109">
        <f>IF(OR(Shares!$B112="",Shares!$C112=""),"",Shares!$C112)</f>
        <v/>
      </c>
      <c r="Q109">
        <f>IF($P109="","",Shares!$B112)</f>
        <v/>
      </c>
      <c r="R109">
        <f>IF($P109="","",IFERROR(INDEX(WageParty,MATCH($Q109,WageIds,0)),""))</f>
        <v/>
      </c>
      <c r="S109">
        <f>IF($P109="","",IFERROR(INDEX($F$6:$F$2005,MATCH($Q109,WageIds,0)),""))</f>
        <v/>
      </c>
      <c r="T109">
        <f>IF(OR($P109="",$S109="",$S109="نامعتبر"),"",LEFT($S109,4)&amp;MID($S109,6,2)&amp;RIGHT($S109,2)&amp;"0000"&amp;"|"&amp;"2"&amp;RIGHT("00000"&amp;104,5))</f>
        <v/>
      </c>
      <c r="U109">
        <f>IF($T109="","",COUNTIFS(LdAParty,$P109,LdAType,1,LdAKey,"&lt;"&amp;$T109)+COUNTIFS(LdBMember,$P109,LdBKey,"&lt;"&amp;$T109)+COUNTIFS(LdCParty,$P109,LdCKey,"&lt;"&amp;$T109)+1)</f>
        <v/>
      </c>
      <c r="V109">
        <f>IF($U109="","",$P109&amp;"|"&amp;RIGHT("000000"&amp;$U109,6))</f>
        <v/>
      </c>
      <c r="W109">
        <f>IF($T109="","",COUNTIFS(LdBGroup,$R109,LdBKey,"&lt;"&amp;$T109)+1)</f>
        <v/>
      </c>
      <c r="X109">
        <f>IF($W109="","",$R109&amp;"|"&amp;RIGHT("000000"&amp;$W109,6))</f>
        <v/>
      </c>
      <c r="Y109">
        <f>IF($P109="","",IF(Shares!$E112="",0,Shares!$E112))</f>
        <v/>
      </c>
      <c r="Z109">
        <f>IF($P109="","",Shares!$H112)</f>
        <v/>
      </c>
      <c r="AE109">
        <f>IF(OR(Sync!$S109="",Sync!$P109=""),"",Sync!$S109)</f>
        <v/>
      </c>
      <c r="AF109">
        <f>IF($AE109="","",IF(ISNUMBER(Sync!$P109),IF(AND(Sync!$P109&gt;=10000101,Sync!$P109&lt;=99991231),INT(Sync!$P109/10000),""),IFERROR(VALUE(TRIM(LEFT(Sync!$P109,FIND("/",Sync!$P109)-1))),"")))</f>
        <v/>
      </c>
      <c r="AG109">
        <f>IF(OR($AE109="",$AF109=""),"",IF(ISNUMBER(Sync!$P109),INT(MOD(Sync!$P109,10000)/100),IFERROR(VALUE(TRIM(LEFT(MID(Sync!$P109,FIND("/",Sync!$P109)+1,20),FIND("/",MID(Sync!$P109,FIND("/",Sync!$P109)+1,20))-1))),"")))</f>
        <v/>
      </c>
      <c r="AH109">
        <f>IF(OR($AE109="",$AF109=""),"",IF(ISNUMBER(Sync!$P109),MOD(Sync!$P109,100),IFERROR(VALUE(TRIM(MID(MID(Sync!$P109,FIND("/",Sync!$P109)+1,20),FIND("/",MID(Sync!$P109,FIND("/",Sync!$P109)+1,20))+1,20))),"")))</f>
        <v/>
      </c>
      <c r="AI109">
        <f>IF($AE109="","",IF(OR($AF109="",$AG109="",$AH109="",$AF109&lt;1300,$AF109&gt;1500,$AG109&lt;1,$AG109&gt;12,$AH109&lt;1,$AH109&gt;31),"نامعتبر",RIGHT("0000"&amp;$AF109,4)&amp;"/"&amp;RIGHT("00"&amp;$AG109,2)&amp;"/"&amp;RIGHT("00"&amp;$AH109,2)))</f>
        <v/>
      </c>
      <c r="AJ109">
        <f>IF($AE109="","",IF(Sync!$Q109="","0000",IF(AND(ISNUMBER(Sync!$Q109),Sync!$Q109&gt;=0,Sync!$Q109&lt;1),RIGHT("00"&amp;HOUR(Sync!$Q109),2)&amp;RIGHT("00"&amp;MINUTE(Sync!$Q109),2),IFERROR(RIGHT("00"&amp;VALUE(LEFT(Sync!$Q109,FIND(":",Sync!$Q109)-1)),2)&amp;RIGHT("00"&amp;VALUE(MID(Sync!$Q109,FIND(":",Sync!$Q109)+1,2)),2),"0000"))))</f>
        <v/>
      </c>
      <c r="AK109">
        <f>IF(OR($AE109="",$AI109="",$AI109="نامعتبر"),"",LEFT($AI109,4)&amp;MID($AI109,6,2)&amp;RIGHT($AI109,2)&amp;$AJ109&amp;"|"&amp;"3"&amp;RIGHT("00000"&amp;104,5))</f>
        <v/>
      </c>
      <c r="AL109">
        <f>IF($AK109="","",COUNTIFS(LdAParty,$AE109,LdAType,1,LdAKey,"&lt;"&amp;$AK109)+COUNTIFS(LdBMember,$AE109,LdBKey,"&lt;"&amp;$AK109)+COUNTIFS(LdCParty,$AE109,LdCKey,"&lt;"&amp;$AK109)+1)</f>
        <v/>
      </c>
      <c r="AM109">
        <f>IF($AL109="","",$AE109&amp;"|"&amp;RIGHT("000000"&amp;$AL109,6))</f>
        <v/>
      </c>
      <c r="AN109">
        <f>IF($AE109="","",IF(Sync!$W109="",0,Sync!$W109))</f>
        <v/>
      </c>
      <c r="AO109">
        <f>IF($AE109="","",IF(Sync!$X109="",0,Sync!$X109))</f>
        <v/>
      </c>
      <c r="AP109">
        <f>IF($AE109="","",Sync!$R109)</f>
        <v/>
      </c>
      <c r="AQ109">
        <f>IF($AE109="","",Sync!$Y109)</f>
        <v/>
      </c>
    </row>
    <row r="110">
      <c r="A110">
        <f>IF(OR(Wages!$B113="",Wages!$E113=""),"",Wages!$E113)</f>
        <v/>
      </c>
      <c r="B110">
        <f>IF($A110="","",IF(Wages!$C113="دستمزد گروهی",2,1))</f>
        <v/>
      </c>
      <c r="C110">
        <f>IF($A110="","",IF(ISNUMBER(Wages!$B113),IF(AND(Wages!$B113&gt;=10000101,Wages!$B113&lt;=99991231),INT(Wages!$B113/10000),""),IFERROR(VALUE(TRIM(LEFT(Wages!$B113,FIND("/",Wages!$B113)-1))),"")))</f>
        <v/>
      </c>
      <c r="D110">
        <f>IF(OR($A110="",$C110=""),"",IF(ISNUMBER(Wages!$B113),INT(MOD(Wages!$B113,10000)/100),IFERROR(VALUE(TRIM(LEFT(MID(Wages!$B113,FIND("/",Wages!$B113)+1,20),FIND("/",MID(Wages!$B113,FIND("/",Wages!$B113)+1,20))-1))),"")))</f>
        <v/>
      </c>
      <c r="E110">
        <f>IF(OR($A110="",$C110=""),"",IF(ISNUMBER(Wages!$B113),MOD(Wages!$B113,100),IFERROR(VALUE(TRIM(MID(MID(Wages!$B113,FIND("/",Wages!$B113)+1,20),FIND("/",MID(Wages!$B113,FIND("/",Wages!$B113)+1,20))+1,20))),"")))</f>
        <v/>
      </c>
      <c r="F110">
        <f>IF($A110="","",IF(OR($C110="",$D110="",$E110="",$C110&lt;1300,$C110&gt;1500,$D110&lt;1,$D110&gt;12,$E110&lt;1,$E110&gt;31),"نامعتبر",RIGHT("0000"&amp;$C110,4)&amp;"/"&amp;RIGHT("00"&amp;$D110,2)&amp;"/"&amp;RIGHT("00"&amp;$E110,2)))</f>
        <v/>
      </c>
      <c r="G110">
        <f>IF(OR($A110="",$F110="",$F110="نامعتبر"),"",LEFT($F110,4)&amp;MID($F110,6,2)&amp;RIGHT($F110,2)&amp;"0000"&amp;"|"&amp;"1"&amp;RIGHT("00000"&amp;105,5))</f>
        <v/>
      </c>
      <c r="H110">
        <f>IF(OR($B110&lt;&gt;1,$G110=""),"",COUNTIFS(LdAParty,$A110,LdAType,1,LdAKey,"&lt;"&amp;$G110)+COUNTIFS(LdBMember,$A110,LdBKey,"&lt;"&amp;$G110)+COUNTIFS(LdCParty,$A110,LdCKey,"&lt;"&amp;$G110)+1)</f>
        <v/>
      </c>
      <c r="I110">
        <f>IF($H110="","",$A110&amp;"|"&amp;RIGHT("000000"&amp;$H110,6))</f>
        <v/>
      </c>
      <c r="J110">
        <f>IF(OR($B110&lt;&gt;2,$G110=""),"",COUNTIFS(LdAParty,$A110,LdAType,2,LdAKey,"&lt;"&amp;$G110)+1)</f>
        <v/>
      </c>
      <c r="K110">
        <f>IF($J110="","",$A110&amp;"|"&amp;RIGHT("000000"&amp;$J110,6))</f>
        <v/>
      </c>
      <c r="L110">
        <f>IF($A110="","",IF(Wages!$G113="",0,Wages!$G113))</f>
        <v/>
      </c>
      <c r="M110">
        <f>IF($A110="","",Wages!$J113)</f>
        <v/>
      </c>
      <c r="N110">
        <f>IF($A110="","",Wages!$D113)</f>
        <v/>
      </c>
      <c r="P110">
        <f>IF(OR(Shares!$B113="",Shares!$C113=""),"",Shares!$C113)</f>
        <v/>
      </c>
      <c r="Q110">
        <f>IF($P110="","",Shares!$B113)</f>
        <v/>
      </c>
      <c r="R110">
        <f>IF($P110="","",IFERROR(INDEX(WageParty,MATCH($Q110,WageIds,0)),""))</f>
        <v/>
      </c>
      <c r="S110">
        <f>IF($P110="","",IFERROR(INDEX($F$6:$F$2005,MATCH($Q110,WageIds,0)),""))</f>
        <v/>
      </c>
      <c r="T110">
        <f>IF(OR($P110="",$S110="",$S110="نامعتبر"),"",LEFT($S110,4)&amp;MID($S110,6,2)&amp;RIGHT($S110,2)&amp;"0000"&amp;"|"&amp;"2"&amp;RIGHT("00000"&amp;105,5))</f>
        <v/>
      </c>
      <c r="U110">
        <f>IF($T110="","",COUNTIFS(LdAParty,$P110,LdAType,1,LdAKey,"&lt;"&amp;$T110)+COUNTIFS(LdBMember,$P110,LdBKey,"&lt;"&amp;$T110)+COUNTIFS(LdCParty,$P110,LdCKey,"&lt;"&amp;$T110)+1)</f>
        <v/>
      </c>
      <c r="V110">
        <f>IF($U110="","",$P110&amp;"|"&amp;RIGHT("000000"&amp;$U110,6))</f>
        <v/>
      </c>
      <c r="W110">
        <f>IF($T110="","",COUNTIFS(LdBGroup,$R110,LdBKey,"&lt;"&amp;$T110)+1)</f>
        <v/>
      </c>
      <c r="X110">
        <f>IF($W110="","",$R110&amp;"|"&amp;RIGHT("000000"&amp;$W110,6))</f>
        <v/>
      </c>
      <c r="Y110">
        <f>IF($P110="","",IF(Shares!$E113="",0,Shares!$E113))</f>
        <v/>
      </c>
      <c r="Z110">
        <f>IF($P110="","",Shares!$H113)</f>
        <v/>
      </c>
      <c r="AE110">
        <f>IF(OR(Sync!$S110="",Sync!$P110=""),"",Sync!$S110)</f>
        <v/>
      </c>
      <c r="AF110">
        <f>IF($AE110="","",IF(ISNUMBER(Sync!$P110),IF(AND(Sync!$P110&gt;=10000101,Sync!$P110&lt;=99991231),INT(Sync!$P110/10000),""),IFERROR(VALUE(TRIM(LEFT(Sync!$P110,FIND("/",Sync!$P110)-1))),"")))</f>
        <v/>
      </c>
      <c r="AG110">
        <f>IF(OR($AE110="",$AF110=""),"",IF(ISNUMBER(Sync!$P110),INT(MOD(Sync!$P110,10000)/100),IFERROR(VALUE(TRIM(LEFT(MID(Sync!$P110,FIND("/",Sync!$P110)+1,20),FIND("/",MID(Sync!$P110,FIND("/",Sync!$P110)+1,20))-1))),"")))</f>
        <v/>
      </c>
      <c r="AH110">
        <f>IF(OR($AE110="",$AF110=""),"",IF(ISNUMBER(Sync!$P110),MOD(Sync!$P110,100),IFERROR(VALUE(TRIM(MID(MID(Sync!$P110,FIND("/",Sync!$P110)+1,20),FIND("/",MID(Sync!$P110,FIND("/",Sync!$P110)+1,20))+1,20))),"")))</f>
        <v/>
      </c>
      <c r="AI110">
        <f>IF($AE110="","",IF(OR($AF110="",$AG110="",$AH110="",$AF110&lt;1300,$AF110&gt;1500,$AG110&lt;1,$AG110&gt;12,$AH110&lt;1,$AH110&gt;31),"نامعتبر",RIGHT("0000"&amp;$AF110,4)&amp;"/"&amp;RIGHT("00"&amp;$AG110,2)&amp;"/"&amp;RIGHT("00"&amp;$AH110,2)))</f>
        <v/>
      </c>
      <c r="AJ110">
        <f>IF($AE110="","",IF(Sync!$Q110="","0000",IF(AND(ISNUMBER(Sync!$Q110),Sync!$Q110&gt;=0,Sync!$Q110&lt;1),RIGHT("00"&amp;HOUR(Sync!$Q110),2)&amp;RIGHT("00"&amp;MINUTE(Sync!$Q110),2),IFERROR(RIGHT("00"&amp;VALUE(LEFT(Sync!$Q110,FIND(":",Sync!$Q110)-1)),2)&amp;RIGHT("00"&amp;VALUE(MID(Sync!$Q110,FIND(":",Sync!$Q110)+1,2)),2),"0000"))))</f>
        <v/>
      </c>
      <c r="AK110">
        <f>IF(OR($AE110="",$AI110="",$AI110="نامعتبر"),"",LEFT($AI110,4)&amp;MID($AI110,6,2)&amp;RIGHT($AI110,2)&amp;$AJ110&amp;"|"&amp;"3"&amp;RIGHT("00000"&amp;105,5))</f>
        <v/>
      </c>
      <c r="AL110">
        <f>IF($AK110="","",COUNTIFS(LdAParty,$AE110,LdAType,1,LdAKey,"&lt;"&amp;$AK110)+COUNTIFS(LdBMember,$AE110,LdBKey,"&lt;"&amp;$AK110)+COUNTIFS(LdCParty,$AE110,LdCKey,"&lt;"&amp;$AK110)+1)</f>
        <v/>
      </c>
      <c r="AM110">
        <f>IF($AL110="","",$AE110&amp;"|"&amp;RIGHT("000000"&amp;$AL110,6))</f>
        <v/>
      </c>
      <c r="AN110">
        <f>IF($AE110="","",IF(Sync!$W110="",0,Sync!$W110))</f>
        <v/>
      </c>
      <c r="AO110">
        <f>IF($AE110="","",IF(Sync!$X110="",0,Sync!$X110))</f>
        <v/>
      </c>
      <c r="AP110">
        <f>IF($AE110="","",Sync!$R110)</f>
        <v/>
      </c>
      <c r="AQ110">
        <f>IF($AE110="","",Sync!$Y110)</f>
        <v/>
      </c>
    </row>
    <row r="111">
      <c r="A111">
        <f>IF(OR(Wages!$B114="",Wages!$E114=""),"",Wages!$E114)</f>
        <v/>
      </c>
      <c r="B111">
        <f>IF($A111="","",IF(Wages!$C114="دستمزد گروهی",2,1))</f>
        <v/>
      </c>
      <c r="C111">
        <f>IF($A111="","",IF(ISNUMBER(Wages!$B114),IF(AND(Wages!$B114&gt;=10000101,Wages!$B114&lt;=99991231),INT(Wages!$B114/10000),""),IFERROR(VALUE(TRIM(LEFT(Wages!$B114,FIND("/",Wages!$B114)-1))),"")))</f>
        <v/>
      </c>
      <c r="D111">
        <f>IF(OR($A111="",$C111=""),"",IF(ISNUMBER(Wages!$B114),INT(MOD(Wages!$B114,10000)/100),IFERROR(VALUE(TRIM(LEFT(MID(Wages!$B114,FIND("/",Wages!$B114)+1,20),FIND("/",MID(Wages!$B114,FIND("/",Wages!$B114)+1,20))-1))),"")))</f>
        <v/>
      </c>
      <c r="E111">
        <f>IF(OR($A111="",$C111=""),"",IF(ISNUMBER(Wages!$B114),MOD(Wages!$B114,100),IFERROR(VALUE(TRIM(MID(MID(Wages!$B114,FIND("/",Wages!$B114)+1,20),FIND("/",MID(Wages!$B114,FIND("/",Wages!$B114)+1,20))+1,20))),"")))</f>
        <v/>
      </c>
      <c r="F111">
        <f>IF($A111="","",IF(OR($C111="",$D111="",$E111="",$C111&lt;1300,$C111&gt;1500,$D111&lt;1,$D111&gt;12,$E111&lt;1,$E111&gt;31),"نامعتبر",RIGHT("0000"&amp;$C111,4)&amp;"/"&amp;RIGHT("00"&amp;$D111,2)&amp;"/"&amp;RIGHT("00"&amp;$E111,2)))</f>
        <v/>
      </c>
      <c r="G111">
        <f>IF(OR($A111="",$F111="",$F111="نامعتبر"),"",LEFT($F111,4)&amp;MID($F111,6,2)&amp;RIGHT($F111,2)&amp;"0000"&amp;"|"&amp;"1"&amp;RIGHT("00000"&amp;106,5))</f>
        <v/>
      </c>
      <c r="H111">
        <f>IF(OR($B111&lt;&gt;1,$G111=""),"",COUNTIFS(LdAParty,$A111,LdAType,1,LdAKey,"&lt;"&amp;$G111)+COUNTIFS(LdBMember,$A111,LdBKey,"&lt;"&amp;$G111)+COUNTIFS(LdCParty,$A111,LdCKey,"&lt;"&amp;$G111)+1)</f>
        <v/>
      </c>
      <c r="I111">
        <f>IF($H111="","",$A111&amp;"|"&amp;RIGHT("000000"&amp;$H111,6))</f>
        <v/>
      </c>
      <c r="J111">
        <f>IF(OR($B111&lt;&gt;2,$G111=""),"",COUNTIFS(LdAParty,$A111,LdAType,2,LdAKey,"&lt;"&amp;$G111)+1)</f>
        <v/>
      </c>
      <c r="K111">
        <f>IF($J111="","",$A111&amp;"|"&amp;RIGHT("000000"&amp;$J111,6))</f>
        <v/>
      </c>
      <c r="L111">
        <f>IF($A111="","",IF(Wages!$G114="",0,Wages!$G114))</f>
        <v/>
      </c>
      <c r="M111">
        <f>IF($A111="","",Wages!$J114)</f>
        <v/>
      </c>
      <c r="N111">
        <f>IF($A111="","",Wages!$D114)</f>
        <v/>
      </c>
      <c r="P111">
        <f>IF(OR(Shares!$B114="",Shares!$C114=""),"",Shares!$C114)</f>
        <v/>
      </c>
      <c r="Q111">
        <f>IF($P111="","",Shares!$B114)</f>
        <v/>
      </c>
      <c r="R111">
        <f>IF($P111="","",IFERROR(INDEX(WageParty,MATCH($Q111,WageIds,0)),""))</f>
        <v/>
      </c>
      <c r="S111">
        <f>IF($P111="","",IFERROR(INDEX($F$6:$F$2005,MATCH($Q111,WageIds,0)),""))</f>
        <v/>
      </c>
      <c r="T111">
        <f>IF(OR($P111="",$S111="",$S111="نامعتبر"),"",LEFT($S111,4)&amp;MID($S111,6,2)&amp;RIGHT($S111,2)&amp;"0000"&amp;"|"&amp;"2"&amp;RIGHT("00000"&amp;106,5))</f>
        <v/>
      </c>
      <c r="U111">
        <f>IF($T111="","",COUNTIFS(LdAParty,$P111,LdAType,1,LdAKey,"&lt;"&amp;$T111)+COUNTIFS(LdBMember,$P111,LdBKey,"&lt;"&amp;$T111)+COUNTIFS(LdCParty,$P111,LdCKey,"&lt;"&amp;$T111)+1)</f>
        <v/>
      </c>
      <c r="V111">
        <f>IF($U111="","",$P111&amp;"|"&amp;RIGHT("000000"&amp;$U111,6))</f>
        <v/>
      </c>
      <c r="W111">
        <f>IF($T111="","",COUNTIFS(LdBGroup,$R111,LdBKey,"&lt;"&amp;$T111)+1)</f>
        <v/>
      </c>
      <c r="X111">
        <f>IF($W111="","",$R111&amp;"|"&amp;RIGHT("000000"&amp;$W111,6))</f>
        <v/>
      </c>
      <c r="Y111">
        <f>IF($P111="","",IF(Shares!$E114="",0,Shares!$E114))</f>
        <v/>
      </c>
      <c r="Z111">
        <f>IF($P111="","",Shares!$H114)</f>
        <v/>
      </c>
      <c r="AE111">
        <f>IF(OR(Sync!$S111="",Sync!$P111=""),"",Sync!$S111)</f>
        <v/>
      </c>
      <c r="AF111">
        <f>IF($AE111="","",IF(ISNUMBER(Sync!$P111),IF(AND(Sync!$P111&gt;=10000101,Sync!$P111&lt;=99991231),INT(Sync!$P111/10000),""),IFERROR(VALUE(TRIM(LEFT(Sync!$P111,FIND("/",Sync!$P111)-1))),"")))</f>
        <v/>
      </c>
      <c r="AG111">
        <f>IF(OR($AE111="",$AF111=""),"",IF(ISNUMBER(Sync!$P111),INT(MOD(Sync!$P111,10000)/100),IFERROR(VALUE(TRIM(LEFT(MID(Sync!$P111,FIND("/",Sync!$P111)+1,20),FIND("/",MID(Sync!$P111,FIND("/",Sync!$P111)+1,20))-1))),"")))</f>
        <v/>
      </c>
      <c r="AH111">
        <f>IF(OR($AE111="",$AF111=""),"",IF(ISNUMBER(Sync!$P111),MOD(Sync!$P111,100),IFERROR(VALUE(TRIM(MID(MID(Sync!$P111,FIND("/",Sync!$P111)+1,20),FIND("/",MID(Sync!$P111,FIND("/",Sync!$P111)+1,20))+1,20))),"")))</f>
        <v/>
      </c>
      <c r="AI111">
        <f>IF($AE111="","",IF(OR($AF111="",$AG111="",$AH111="",$AF111&lt;1300,$AF111&gt;1500,$AG111&lt;1,$AG111&gt;12,$AH111&lt;1,$AH111&gt;31),"نامعتبر",RIGHT("0000"&amp;$AF111,4)&amp;"/"&amp;RIGHT("00"&amp;$AG111,2)&amp;"/"&amp;RIGHT("00"&amp;$AH111,2)))</f>
        <v/>
      </c>
      <c r="AJ111">
        <f>IF($AE111="","",IF(Sync!$Q111="","0000",IF(AND(ISNUMBER(Sync!$Q111),Sync!$Q111&gt;=0,Sync!$Q111&lt;1),RIGHT("00"&amp;HOUR(Sync!$Q111),2)&amp;RIGHT("00"&amp;MINUTE(Sync!$Q111),2),IFERROR(RIGHT("00"&amp;VALUE(LEFT(Sync!$Q111,FIND(":",Sync!$Q111)-1)),2)&amp;RIGHT("00"&amp;VALUE(MID(Sync!$Q111,FIND(":",Sync!$Q111)+1,2)),2),"0000"))))</f>
        <v/>
      </c>
      <c r="AK111">
        <f>IF(OR($AE111="",$AI111="",$AI111="نامعتبر"),"",LEFT($AI111,4)&amp;MID($AI111,6,2)&amp;RIGHT($AI111,2)&amp;$AJ111&amp;"|"&amp;"3"&amp;RIGHT("00000"&amp;106,5))</f>
        <v/>
      </c>
      <c r="AL111">
        <f>IF($AK111="","",COUNTIFS(LdAParty,$AE111,LdAType,1,LdAKey,"&lt;"&amp;$AK111)+COUNTIFS(LdBMember,$AE111,LdBKey,"&lt;"&amp;$AK111)+COUNTIFS(LdCParty,$AE111,LdCKey,"&lt;"&amp;$AK111)+1)</f>
        <v/>
      </c>
      <c r="AM111">
        <f>IF($AL111="","",$AE111&amp;"|"&amp;RIGHT("000000"&amp;$AL111,6))</f>
        <v/>
      </c>
      <c r="AN111">
        <f>IF($AE111="","",IF(Sync!$W111="",0,Sync!$W111))</f>
        <v/>
      </c>
      <c r="AO111">
        <f>IF($AE111="","",IF(Sync!$X111="",0,Sync!$X111))</f>
        <v/>
      </c>
      <c r="AP111">
        <f>IF($AE111="","",Sync!$R111)</f>
        <v/>
      </c>
      <c r="AQ111">
        <f>IF($AE111="","",Sync!$Y111)</f>
        <v/>
      </c>
    </row>
    <row r="112">
      <c r="A112">
        <f>IF(OR(Wages!$B115="",Wages!$E115=""),"",Wages!$E115)</f>
        <v/>
      </c>
      <c r="B112">
        <f>IF($A112="","",IF(Wages!$C115="دستمزد گروهی",2,1))</f>
        <v/>
      </c>
      <c r="C112">
        <f>IF($A112="","",IF(ISNUMBER(Wages!$B115),IF(AND(Wages!$B115&gt;=10000101,Wages!$B115&lt;=99991231),INT(Wages!$B115/10000),""),IFERROR(VALUE(TRIM(LEFT(Wages!$B115,FIND("/",Wages!$B115)-1))),"")))</f>
        <v/>
      </c>
      <c r="D112">
        <f>IF(OR($A112="",$C112=""),"",IF(ISNUMBER(Wages!$B115),INT(MOD(Wages!$B115,10000)/100),IFERROR(VALUE(TRIM(LEFT(MID(Wages!$B115,FIND("/",Wages!$B115)+1,20),FIND("/",MID(Wages!$B115,FIND("/",Wages!$B115)+1,20))-1))),"")))</f>
        <v/>
      </c>
      <c r="E112">
        <f>IF(OR($A112="",$C112=""),"",IF(ISNUMBER(Wages!$B115),MOD(Wages!$B115,100),IFERROR(VALUE(TRIM(MID(MID(Wages!$B115,FIND("/",Wages!$B115)+1,20),FIND("/",MID(Wages!$B115,FIND("/",Wages!$B115)+1,20))+1,20))),"")))</f>
        <v/>
      </c>
      <c r="F112">
        <f>IF($A112="","",IF(OR($C112="",$D112="",$E112="",$C112&lt;1300,$C112&gt;1500,$D112&lt;1,$D112&gt;12,$E112&lt;1,$E112&gt;31),"نامعتبر",RIGHT("0000"&amp;$C112,4)&amp;"/"&amp;RIGHT("00"&amp;$D112,2)&amp;"/"&amp;RIGHT("00"&amp;$E112,2)))</f>
        <v/>
      </c>
      <c r="G112">
        <f>IF(OR($A112="",$F112="",$F112="نامعتبر"),"",LEFT($F112,4)&amp;MID($F112,6,2)&amp;RIGHT($F112,2)&amp;"0000"&amp;"|"&amp;"1"&amp;RIGHT("00000"&amp;107,5))</f>
        <v/>
      </c>
      <c r="H112">
        <f>IF(OR($B112&lt;&gt;1,$G112=""),"",COUNTIFS(LdAParty,$A112,LdAType,1,LdAKey,"&lt;"&amp;$G112)+COUNTIFS(LdBMember,$A112,LdBKey,"&lt;"&amp;$G112)+COUNTIFS(LdCParty,$A112,LdCKey,"&lt;"&amp;$G112)+1)</f>
        <v/>
      </c>
      <c r="I112">
        <f>IF($H112="","",$A112&amp;"|"&amp;RIGHT("000000"&amp;$H112,6))</f>
        <v/>
      </c>
      <c r="J112">
        <f>IF(OR($B112&lt;&gt;2,$G112=""),"",COUNTIFS(LdAParty,$A112,LdAType,2,LdAKey,"&lt;"&amp;$G112)+1)</f>
        <v/>
      </c>
      <c r="K112">
        <f>IF($J112="","",$A112&amp;"|"&amp;RIGHT("000000"&amp;$J112,6))</f>
        <v/>
      </c>
      <c r="L112">
        <f>IF($A112="","",IF(Wages!$G115="",0,Wages!$G115))</f>
        <v/>
      </c>
      <c r="M112">
        <f>IF($A112="","",Wages!$J115)</f>
        <v/>
      </c>
      <c r="N112">
        <f>IF($A112="","",Wages!$D115)</f>
        <v/>
      </c>
      <c r="P112">
        <f>IF(OR(Shares!$B115="",Shares!$C115=""),"",Shares!$C115)</f>
        <v/>
      </c>
      <c r="Q112">
        <f>IF($P112="","",Shares!$B115)</f>
        <v/>
      </c>
      <c r="R112">
        <f>IF($P112="","",IFERROR(INDEX(WageParty,MATCH($Q112,WageIds,0)),""))</f>
        <v/>
      </c>
      <c r="S112">
        <f>IF($P112="","",IFERROR(INDEX($F$6:$F$2005,MATCH($Q112,WageIds,0)),""))</f>
        <v/>
      </c>
      <c r="T112">
        <f>IF(OR($P112="",$S112="",$S112="نامعتبر"),"",LEFT($S112,4)&amp;MID($S112,6,2)&amp;RIGHT($S112,2)&amp;"0000"&amp;"|"&amp;"2"&amp;RIGHT("00000"&amp;107,5))</f>
        <v/>
      </c>
      <c r="U112">
        <f>IF($T112="","",COUNTIFS(LdAParty,$P112,LdAType,1,LdAKey,"&lt;"&amp;$T112)+COUNTIFS(LdBMember,$P112,LdBKey,"&lt;"&amp;$T112)+COUNTIFS(LdCParty,$P112,LdCKey,"&lt;"&amp;$T112)+1)</f>
        <v/>
      </c>
      <c r="V112">
        <f>IF($U112="","",$P112&amp;"|"&amp;RIGHT("000000"&amp;$U112,6))</f>
        <v/>
      </c>
      <c r="W112">
        <f>IF($T112="","",COUNTIFS(LdBGroup,$R112,LdBKey,"&lt;"&amp;$T112)+1)</f>
        <v/>
      </c>
      <c r="X112">
        <f>IF($W112="","",$R112&amp;"|"&amp;RIGHT("000000"&amp;$W112,6))</f>
        <v/>
      </c>
      <c r="Y112">
        <f>IF($P112="","",IF(Shares!$E115="",0,Shares!$E115))</f>
        <v/>
      </c>
      <c r="Z112">
        <f>IF($P112="","",Shares!$H115)</f>
        <v/>
      </c>
      <c r="AE112">
        <f>IF(OR(Sync!$S112="",Sync!$P112=""),"",Sync!$S112)</f>
        <v/>
      </c>
      <c r="AF112">
        <f>IF($AE112="","",IF(ISNUMBER(Sync!$P112),IF(AND(Sync!$P112&gt;=10000101,Sync!$P112&lt;=99991231),INT(Sync!$P112/10000),""),IFERROR(VALUE(TRIM(LEFT(Sync!$P112,FIND("/",Sync!$P112)-1))),"")))</f>
        <v/>
      </c>
      <c r="AG112">
        <f>IF(OR($AE112="",$AF112=""),"",IF(ISNUMBER(Sync!$P112),INT(MOD(Sync!$P112,10000)/100),IFERROR(VALUE(TRIM(LEFT(MID(Sync!$P112,FIND("/",Sync!$P112)+1,20),FIND("/",MID(Sync!$P112,FIND("/",Sync!$P112)+1,20))-1))),"")))</f>
        <v/>
      </c>
      <c r="AH112">
        <f>IF(OR($AE112="",$AF112=""),"",IF(ISNUMBER(Sync!$P112),MOD(Sync!$P112,100),IFERROR(VALUE(TRIM(MID(MID(Sync!$P112,FIND("/",Sync!$P112)+1,20),FIND("/",MID(Sync!$P112,FIND("/",Sync!$P112)+1,20))+1,20))),"")))</f>
        <v/>
      </c>
      <c r="AI112">
        <f>IF($AE112="","",IF(OR($AF112="",$AG112="",$AH112="",$AF112&lt;1300,$AF112&gt;1500,$AG112&lt;1,$AG112&gt;12,$AH112&lt;1,$AH112&gt;31),"نامعتبر",RIGHT("0000"&amp;$AF112,4)&amp;"/"&amp;RIGHT("00"&amp;$AG112,2)&amp;"/"&amp;RIGHT("00"&amp;$AH112,2)))</f>
        <v/>
      </c>
      <c r="AJ112">
        <f>IF($AE112="","",IF(Sync!$Q112="","0000",IF(AND(ISNUMBER(Sync!$Q112),Sync!$Q112&gt;=0,Sync!$Q112&lt;1),RIGHT("00"&amp;HOUR(Sync!$Q112),2)&amp;RIGHT("00"&amp;MINUTE(Sync!$Q112),2),IFERROR(RIGHT("00"&amp;VALUE(LEFT(Sync!$Q112,FIND(":",Sync!$Q112)-1)),2)&amp;RIGHT("00"&amp;VALUE(MID(Sync!$Q112,FIND(":",Sync!$Q112)+1,2)),2),"0000"))))</f>
        <v/>
      </c>
      <c r="AK112">
        <f>IF(OR($AE112="",$AI112="",$AI112="نامعتبر"),"",LEFT($AI112,4)&amp;MID($AI112,6,2)&amp;RIGHT($AI112,2)&amp;$AJ112&amp;"|"&amp;"3"&amp;RIGHT("00000"&amp;107,5))</f>
        <v/>
      </c>
      <c r="AL112">
        <f>IF($AK112="","",COUNTIFS(LdAParty,$AE112,LdAType,1,LdAKey,"&lt;"&amp;$AK112)+COUNTIFS(LdBMember,$AE112,LdBKey,"&lt;"&amp;$AK112)+COUNTIFS(LdCParty,$AE112,LdCKey,"&lt;"&amp;$AK112)+1)</f>
        <v/>
      </c>
      <c r="AM112">
        <f>IF($AL112="","",$AE112&amp;"|"&amp;RIGHT("000000"&amp;$AL112,6))</f>
        <v/>
      </c>
      <c r="AN112">
        <f>IF($AE112="","",IF(Sync!$W112="",0,Sync!$W112))</f>
        <v/>
      </c>
      <c r="AO112">
        <f>IF($AE112="","",IF(Sync!$X112="",0,Sync!$X112))</f>
        <v/>
      </c>
      <c r="AP112">
        <f>IF($AE112="","",Sync!$R112)</f>
        <v/>
      </c>
      <c r="AQ112">
        <f>IF($AE112="","",Sync!$Y112)</f>
        <v/>
      </c>
    </row>
    <row r="113">
      <c r="A113">
        <f>IF(OR(Wages!$B116="",Wages!$E116=""),"",Wages!$E116)</f>
        <v/>
      </c>
      <c r="B113">
        <f>IF($A113="","",IF(Wages!$C116="دستمزد گروهی",2,1))</f>
        <v/>
      </c>
      <c r="C113">
        <f>IF($A113="","",IF(ISNUMBER(Wages!$B116),IF(AND(Wages!$B116&gt;=10000101,Wages!$B116&lt;=99991231),INT(Wages!$B116/10000),""),IFERROR(VALUE(TRIM(LEFT(Wages!$B116,FIND("/",Wages!$B116)-1))),"")))</f>
        <v/>
      </c>
      <c r="D113">
        <f>IF(OR($A113="",$C113=""),"",IF(ISNUMBER(Wages!$B116),INT(MOD(Wages!$B116,10000)/100),IFERROR(VALUE(TRIM(LEFT(MID(Wages!$B116,FIND("/",Wages!$B116)+1,20),FIND("/",MID(Wages!$B116,FIND("/",Wages!$B116)+1,20))-1))),"")))</f>
        <v/>
      </c>
      <c r="E113">
        <f>IF(OR($A113="",$C113=""),"",IF(ISNUMBER(Wages!$B116),MOD(Wages!$B116,100),IFERROR(VALUE(TRIM(MID(MID(Wages!$B116,FIND("/",Wages!$B116)+1,20),FIND("/",MID(Wages!$B116,FIND("/",Wages!$B116)+1,20))+1,20))),"")))</f>
        <v/>
      </c>
      <c r="F113">
        <f>IF($A113="","",IF(OR($C113="",$D113="",$E113="",$C113&lt;1300,$C113&gt;1500,$D113&lt;1,$D113&gt;12,$E113&lt;1,$E113&gt;31),"نامعتبر",RIGHT("0000"&amp;$C113,4)&amp;"/"&amp;RIGHT("00"&amp;$D113,2)&amp;"/"&amp;RIGHT("00"&amp;$E113,2)))</f>
        <v/>
      </c>
      <c r="G113">
        <f>IF(OR($A113="",$F113="",$F113="نامعتبر"),"",LEFT($F113,4)&amp;MID($F113,6,2)&amp;RIGHT($F113,2)&amp;"0000"&amp;"|"&amp;"1"&amp;RIGHT("00000"&amp;108,5))</f>
        <v/>
      </c>
      <c r="H113">
        <f>IF(OR($B113&lt;&gt;1,$G113=""),"",COUNTIFS(LdAParty,$A113,LdAType,1,LdAKey,"&lt;"&amp;$G113)+COUNTIFS(LdBMember,$A113,LdBKey,"&lt;"&amp;$G113)+COUNTIFS(LdCParty,$A113,LdCKey,"&lt;"&amp;$G113)+1)</f>
        <v/>
      </c>
      <c r="I113">
        <f>IF($H113="","",$A113&amp;"|"&amp;RIGHT("000000"&amp;$H113,6))</f>
        <v/>
      </c>
      <c r="J113">
        <f>IF(OR($B113&lt;&gt;2,$G113=""),"",COUNTIFS(LdAParty,$A113,LdAType,2,LdAKey,"&lt;"&amp;$G113)+1)</f>
        <v/>
      </c>
      <c r="K113">
        <f>IF($J113="","",$A113&amp;"|"&amp;RIGHT("000000"&amp;$J113,6))</f>
        <v/>
      </c>
      <c r="L113">
        <f>IF($A113="","",IF(Wages!$G116="",0,Wages!$G116))</f>
        <v/>
      </c>
      <c r="M113">
        <f>IF($A113="","",Wages!$J116)</f>
        <v/>
      </c>
      <c r="N113">
        <f>IF($A113="","",Wages!$D116)</f>
        <v/>
      </c>
      <c r="P113">
        <f>IF(OR(Shares!$B116="",Shares!$C116=""),"",Shares!$C116)</f>
        <v/>
      </c>
      <c r="Q113">
        <f>IF($P113="","",Shares!$B116)</f>
        <v/>
      </c>
      <c r="R113">
        <f>IF($P113="","",IFERROR(INDEX(WageParty,MATCH($Q113,WageIds,0)),""))</f>
        <v/>
      </c>
      <c r="S113">
        <f>IF($P113="","",IFERROR(INDEX($F$6:$F$2005,MATCH($Q113,WageIds,0)),""))</f>
        <v/>
      </c>
      <c r="T113">
        <f>IF(OR($P113="",$S113="",$S113="نامعتبر"),"",LEFT($S113,4)&amp;MID($S113,6,2)&amp;RIGHT($S113,2)&amp;"0000"&amp;"|"&amp;"2"&amp;RIGHT("00000"&amp;108,5))</f>
        <v/>
      </c>
      <c r="U113">
        <f>IF($T113="","",COUNTIFS(LdAParty,$P113,LdAType,1,LdAKey,"&lt;"&amp;$T113)+COUNTIFS(LdBMember,$P113,LdBKey,"&lt;"&amp;$T113)+COUNTIFS(LdCParty,$P113,LdCKey,"&lt;"&amp;$T113)+1)</f>
        <v/>
      </c>
      <c r="V113">
        <f>IF($U113="","",$P113&amp;"|"&amp;RIGHT("000000"&amp;$U113,6))</f>
        <v/>
      </c>
      <c r="W113">
        <f>IF($T113="","",COUNTIFS(LdBGroup,$R113,LdBKey,"&lt;"&amp;$T113)+1)</f>
        <v/>
      </c>
      <c r="X113">
        <f>IF($W113="","",$R113&amp;"|"&amp;RIGHT("000000"&amp;$W113,6))</f>
        <v/>
      </c>
      <c r="Y113">
        <f>IF($P113="","",IF(Shares!$E116="",0,Shares!$E116))</f>
        <v/>
      </c>
      <c r="Z113">
        <f>IF($P113="","",Shares!$H116)</f>
        <v/>
      </c>
      <c r="AE113">
        <f>IF(OR(Sync!$S113="",Sync!$P113=""),"",Sync!$S113)</f>
        <v/>
      </c>
      <c r="AF113">
        <f>IF($AE113="","",IF(ISNUMBER(Sync!$P113),IF(AND(Sync!$P113&gt;=10000101,Sync!$P113&lt;=99991231),INT(Sync!$P113/10000),""),IFERROR(VALUE(TRIM(LEFT(Sync!$P113,FIND("/",Sync!$P113)-1))),"")))</f>
        <v/>
      </c>
      <c r="AG113">
        <f>IF(OR($AE113="",$AF113=""),"",IF(ISNUMBER(Sync!$P113),INT(MOD(Sync!$P113,10000)/100),IFERROR(VALUE(TRIM(LEFT(MID(Sync!$P113,FIND("/",Sync!$P113)+1,20),FIND("/",MID(Sync!$P113,FIND("/",Sync!$P113)+1,20))-1))),"")))</f>
        <v/>
      </c>
      <c r="AH113">
        <f>IF(OR($AE113="",$AF113=""),"",IF(ISNUMBER(Sync!$P113),MOD(Sync!$P113,100),IFERROR(VALUE(TRIM(MID(MID(Sync!$P113,FIND("/",Sync!$P113)+1,20),FIND("/",MID(Sync!$P113,FIND("/",Sync!$P113)+1,20))+1,20))),"")))</f>
        <v/>
      </c>
      <c r="AI113">
        <f>IF($AE113="","",IF(OR($AF113="",$AG113="",$AH113="",$AF113&lt;1300,$AF113&gt;1500,$AG113&lt;1,$AG113&gt;12,$AH113&lt;1,$AH113&gt;31),"نامعتبر",RIGHT("0000"&amp;$AF113,4)&amp;"/"&amp;RIGHT("00"&amp;$AG113,2)&amp;"/"&amp;RIGHT("00"&amp;$AH113,2)))</f>
        <v/>
      </c>
      <c r="AJ113">
        <f>IF($AE113="","",IF(Sync!$Q113="","0000",IF(AND(ISNUMBER(Sync!$Q113),Sync!$Q113&gt;=0,Sync!$Q113&lt;1),RIGHT("00"&amp;HOUR(Sync!$Q113),2)&amp;RIGHT("00"&amp;MINUTE(Sync!$Q113),2),IFERROR(RIGHT("00"&amp;VALUE(LEFT(Sync!$Q113,FIND(":",Sync!$Q113)-1)),2)&amp;RIGHT("00"&amp;VALUE(MID(Sync!$Q113,FIND(":",Sync!$Q113)+1,2)),2),"0000"))))</f>
        <v/>
      </c>
      <c r="AK113">
        <f>IF(OR($AE113="",$AI113="",$AI113="نامعتبر"),"",LEFT($AI113,4)&amp;MID($AI113,6,2)&amp;RIGHT($AI113,2)&amp;$AJ113&amp;"|"&amp;"3"&amp;RIGHT("00000"&amp;108,5))</f>
        <v/>
      </c>
      <c r="AL113">
        <f>IF($AK113="","",COUNTIFS(LdAParty,$AE113,LdAType,1,LdAKey,"&lt;"&amp;$AK113)+COUNTIFS(LdBMember,$AE113,LdBKey,"&lt;"&amp;$AK113)+COUNTIFS(LdCParty,$AE113,LdCKey,"&lt;"&amp;$AK113)+1)</f>
        <v/>
      </c>
      <c r="AM113">
        <f>IF($AL113="","",$AE113&amp;"|"&amp;RIGHT("000000"&amp;$AL113,6))</f>
        <v/>
      </c>
      <c r="AN113">
        <f>IF($AE113="","",IF(Sync!$W113="",0,Sync!$W113))</f>
        <v/>
      </c>
      <c r="AO113">
        <f>IF($AE113="","",IF(Sync!$X113="",0,Sync!$X113))</f>
        <v/>
      </c>
      <c r="AP113">
        <f>IF($AE113="","",Sync!$R113)</f>
        <v/>
      </c>
      <c r="AQ113">
        <f>IF($AE113="","",Sync!$Y113)</f>
        <v/>
      </c>
    </row>
    <row r="114">
      <c r="A114">
        <f>IF(OR(Wages!$B117="",Wages!$E117=""),"",Wages!$E117)</f>
        <v/>
      </c>
      <c r="B114">
        <f>IF($A114="","",IF(Wages!$C117="دستمزد گروهی",2,1))</f>
        <v/>
      </c>
      <c r="C114">
        <f>IF($A114="","",IF(ISNUMBER(Wages!$B117),IF(AND(Wages!$B117&gt;=10000101,Wages!$B117&lt;=99991231),INT(Wages!$B117/10000),""),IFERROR(VALUE(TRIM(LEFT(Wages!$B117,FIND("/",Wages!$B117)-1))),"")))</f>
        <v/>
      </c>
      <c r="D114">
        <f>IF(OR($A114="",$C114=""),"",IF(ISNUMBER(Wages!$B117),INT(MOD(Wages!$B117,10000)/100),IFERROR(VALUE(TRIM(LEFT(MID(Wages!$B117,FIND("/",Wages!$B117)+1,20),FIND("/",MID(Wages!$B117,FIND("/",Wages!$B117)+1,20))-1))),"")))</f>
        <v/>
      </c>
      <c r="E114">
        <f>IF(OR($A114="",$C114=""),"",IF(ISNUMBER(Wages!$B117),MOD(Wages!$B117,100),IFERROR(VALUE(TRIM(MID(MID(Wages!$B117,FIND("/",Wages!$B117)+1,20),FIND("/",MID(Wages!$B117,FIND("/",Wages!$B117)+1,20))+1,20))),"")))</f>
        <v/>
      </c>
      <c r="F114">
        <f>IF($A114="","",IF(OR($C114="",$D114="",$E114="",$C114&lt;1300,$C114&gt;1500,$D114&lt;1,$D114&gt;12,$E114&lt;1,$E114&gt;31),"نامعتبر",RIGHT("0000"&amp;$C114,4)&amp;"/"&amp;RIGHT("00"&amp;$D114,2)&amp;"/"&amp;RIGHT("00"&amp;$E114,2)))</f>
        <v/>
      </c>
      <c r="G114">
        <f>IF(OR($A114="",$F114="",$F114="نامعتبر"),"",LEFT($F114,4)&amp;MID($F114,6,2)&amp;RIGHT($F114,2)&amp;"0000"&amp;"|"&amp;"1"&amp;RIGHT("00000"&amp;109,5))</f>
        <v/>
      </c>
      <c r="H114">
        <f>IF(OR($B114&lt;&gt;1,$G114=""),"",COUNTIFS(LdAParty,$A114,LdAType,1,LdAKey,"&lt;"&amp;$G114)+COUNTIFS(LdBMember,$A114,LdBKey,"&lt;"&amp;$G114)+COUNTIFS(LdCParty,$A114,LdCKey,"&lt;"&amp;$G114)+1)</f>
        <v/>
      </c>
      <c r="I114">
        <f>IF($H114="","",$A114&amp;"|"&amp;RIGHT("000000"&amp;$H114,6))</f>
        <v/>
      </c>
      <c r="J114">
        <f>IF(OR($B114&lt;&gt;2,$G114=""),"",COUNTIFS(LdAParty,$A114,LdAType,2,LdAKey,"&lt;"&amp;$G114)+1)</f>
        <v/>
      </c>
      <c r="K114">
        <f>IF($J114="","",$A114&amp;"|"&amp;RIGHT("000000"&amp;$J114,6))</f>
        <v/>
      </c>
      <c r="L114">
        <f>IF($A114="","",IF(Wages!$G117="",0,Wages!$G117))</f>
        <v/>
      </c>
      <c r="M114">
        <f>IF($A114="","",Wages!$J117)</f>
        <v/>
      </c>
      <c r="N114">
        <f>IF($A114="","",Wages!$D117)</f>
        <v/>
      </c>
      <c r="P114">
        <f>IF(OR(Shares!$B117="",Shares!$C117=""),"",Shares!$C117)</f>
        <v/>
      </c>
      <c r="Q114">
        <f>IF($P114="","",Shares!$B117)</f>
        <v/>
      </c>
      <c r="R114">
        <f>IF($P114="","",IFERROR(INDEX(WageParty,MATCH($Q114,WageIds,0)),""))</f>
        <v/>
      </c>
      <c r="S114">
        <f>IF($P114="","",IFERROR(INDEX($F$6:$F$2005,MATCH($Q114,WageIds,0)),""))</f>
        <v/>
      </c>
      <c r="T114">
        <f>IF(OR($P114="",$S114="",$S114="نامعتبر"),"",LEFT($S114,4)&amp;MID($S114,6,2)&amp;RIGHT($S114,2)&amp;"0000"&amp;"|"&amp;"2"&amp;RIGHT("00000"&amp;109,5))</f>
        <v/>
      </c>
      <c r="U114">
        <f>IF($T114="","",COUNTIFS(LdAParty,$P114,LdAType,1,LdAKey,"&lt;"&amp;$T114)+COUNTIFS(LdBMember,$P114,LdBKey,"&lt;"&amp;$T114)+COUNTIFS(LdCParty,$P114,LdCKey,"&lt;"&amp;$T114)+1)</f>
        <v/>
      </c>
      <c r="V114">
        <f>IF($U114="","",$P114&amp;"|"&amp;RIGHT("000000"&amp;$U114,6))</f>
        <v/>
      </c>
      <c r="W114">
        <f>IF($T114="","",COUNTIFS(LdBGroup,$R114,LdBKey,"&lt;"&amp;$T114)+1)</f>
        <v/>
      </c>
      <c r="X114">
        <f>IF($W114="","",$R114&amp;"|"&amp;RIGHT("000000"&amp;$W114,6))</f>
        <v/>
      </c>
      <c r="Y114">
        <f>IF($P114="","",IF(Shares!$E117="",0,Shares!$E117))</f>
        <v/>
      </c>
      <c r="Z114">
        <f>IF($P114="","",Shares!$H117)</f>
        <v/>
      </c>
      <c r="AE114">
        <f>IF(OR(Sync!$S114="",Sync!$P114=""),"",Sync!$S114)</f>
        <v/>
      </c>
      <c r="AF114">
        <f>IF($AE114="","",IF(ISNUMBER(Sync!$P114),IF(AND(Sync!$P114&gt;=10000101,Sync!$P114&lt;=99991231),INT(Sync!$P114/10000),""),IFERROR(VALUE(TRIM(LEFT(Sync!$P114,FIND("/",Sync!$P114)-1))),"")))</f>
        <v/>
      </c>
      <c r="AG114">
        <f>IF(OR($AE114="",$AF114=""),"",IF(ISNUMBER(Sync!$P114),INT(MOD(Sync!$P114,10000)/100),IFERROR(VALUE(TRIM(LEFT(MID(Sync!$P114,FIND("/",Sync!$P114)+1,20),FIND("/",MID(Sync!$P114,FIND("/",Sync!$P114)+1,20))-1))),"")))</f>
        <v/>
      </c>
      <c r="AH114">
        <f>IF(OR($AE114="",$AF114=""),"",IF(ISNUMBER(Sync!$P114),MOD(Sync!$P114,100),IFERROR(VALUE(TRIM(MID(MID(Sync!$P114,FIND("/",Sync!$P114)+1,20),FIND("/",MID(Sync!$P114,FIND("/",Sync!$P114)+1,20))+1,20))),"")))</f>
        <v/>
      </c>
      <c r="AI114">
        <f>IF($AE114="","",IF(OR($AF114="",$AG114="",$AH114="",$AF114&lt;1300,$AF114&gt;1500,$AG114&lt;1,$AG114&gt;12,$AH114&lt;1,$AH114&gt;31),"نامعتبر",RIGHT("0000"&amp;$AF114,4)&amp;"/"&amp;RIGHT("00"&amp;$AG114,2)&amp;"/"&amp;RIGHT("00"&amp;$AH114,2)))</f>
        <v/>
      </c>
      <c r="AJ114">
        <f>IF($AE114="","",IF(Sync!$Q114="","0000",IF(AND(ISNUMBER(Sync!$Q114),Sync!$Q114&gt;=0,Sync!$Q114&lt;1),RIGHT("00"&amp;HOUR(Sync!$Q114),2)&amp;RIGHT("00"&amp;MINUTE(Sync!$Q114),2),IFERROR(RIGHT("00"&amp;VALUE(LEFT(Sync!$Q114,FIND(":",Sync!$Q114)-1)),2)&amp;RIGHT("00"&amp;VALUE(MID(Sync!$Q114,FIND(":",Sync!$Q114)+1,2)),2),"0000"))))</f>
        <v/>
      </c>
      <c r="AK114">
        <f>IF(OR($AE114="",$AI114="",$AI114="نامعتبر"),"",LEFT($AI114,4)&amp;MID($AI114,6,2)&amp;RIGHT($AI114,2)&amp;$AJ114&amp;"|"&amp;"3"&amp;RIGHT("00000"&amp;109,5))</f>
        <v/>
      </c>
      <c r="AL114">
        <f>IF($AK114="","",COUNTIFS(LdAParty,$AE114,LdAType,1,LdAKey,"&lt;"&amp;$AK114)+COUNTIFS(LdBMember,$AE114,LdBKey,"&lt;"&amp;$AK114)+COUNTIFS(LdCParty,$AE114,LdCKey,"&lt;"&amp;$AK114)+1)</f>
        <v/>
      </c>
      <c r="AM114">
        <f>IF($AL114="","",$AE114&amp;"|"&amp;RIGHT("000000"&amp;$AL114,6))</f>
        <v/>
      </c>
      <c r="AN114">
        <f>IF($AE114="","",IF(Sync!$W114="",0,Sync!$W114))</f>
        <v/>
      </c>
      <c r="AO114">
        <f>IF($AE114="","",IF(Sync!$X114="",0,Sync!$X114))</f>
        <v/>
      </c>
      <c r="AP114">
        <f>IF($AE114="","",Sync!$R114)</f>
        <v/>
      </c>
      <c r="AQ114">
        <f>IF($AE114="","",Sync!$Y114)</f>
        <v/>
      </c>
    </row>
    <row r="115">
      <c r="A115">
        <f>IF(OR(Wages!$B118="",Wages!$E118=""),"",Wages!$E118)</f>
        <v/>
      </c>
      <c r="B115">
        <f>IF($A115="","",IF(Wages!$C118="دستمزد گروهی",2,1))</f>
        <v/>
      </c>
      <c r="C115">
        <f>IF($A115="","",IF(ISNUMBER(Wages!$B118),IF(AND(Wages!$B118&gt;=10000101,Wages!$B118&lt;=99991231),INT(Wages!$B118/10000),""),IFERROR(VALUE(TRIM(LEFT(Wages!$B118,FIND("/",Wages!$B118)-1))),"")))</f>
        <v/>
      </c>
      <c r="D115">
        <f>IF(OR($A115="",$C115=""),"",IF(ISNUMBER(Wages!$B118),INT(MOD(Wages!$B118,10000)/100),IFERROR(VALUE(TRIM(LEFT(MID(Wages!$B118,FIND("/",Wages!$B118)+1,20),FIND("/",MID(Wages!$B118,FIND("/",Wages!$B118)+1,20))-1))),"")))</f>
        <v/>
      </c>
      <c r="E115">
        <f>IF(OR($A115="",$C115=""),"",IF(ISNUMBER(Wages!$B118),MOD(Wages!$B118,100),IFERROR(VALUE(TRIM(MID(MID(Wages!$B118,FIND("/",Wages!$B118)+1,20),FIND("/",MID(Wages!$B118,FIND("/",Wages!$B118)+1,20))+1,20))),"")))</f>
        <v/>
      </c>
      <c r="F115">
        <f>IF($A115="","",IF(OR($C115="",$D115="",$E115="",$C115&lt;1300,$C115&gt;1500,$D115&lt;1,$D115&gt;12,$E115&lt;1,$E115&gt;31),"نامعتبر",RIGHT("0000"&amp;$C115,4)&amp;"/"&amp;RIGHT("00"&amp;$D115,2)&amp;"/"&amp;RIGHT("00"&amp;$E115,2)))</f>
        <v/>
      </c>
      <c r="G115">
        <f>IF(OR($A115="",$F115="",$F115="نامعتبر"),"",LEFT($F115,4)&amp;MID($F115,6,2)&amp;RIGHT($F115,2)&amp;"0000"&amp;"|"&amp;"1"&amp;RIGHT("00000"&amp;110,5))</f>
        <v/>
      </c>
      <c r="H115">
        <f>IF(OR($B115&lt;&gt;1,$G115=""),"",COUNTIFS(LdAParty,$A115,LdAType,1,LdAKey,"&lt;"&amp;$G115)+COUNTIFS(LdBMember,$A115,LdBKey,"&lt;"&amp;$G115)+COUNTIFS(LdCParty,$A115,LdCKey,"&lt;"&amp;$G115)+1)</f>
        <v/>
      </c>
      <c r="I115">
        <f>IF($H115="","",$A115&amp;"|"&amp;RIGHT("000000"&amp;$H115,6))</f>
        <v/>
      </c>
      <c r="J115">
        <f>IF(OR($B115&lt;&gt;2,$G115=""),"",COUNTIFS(LdAParty,$A115,LdAType,2,LdAKey,"&lt;"&amp;$G115)+1)</f>
        <v/>
      </c>
      <c r="K115">
        <f>IF($J115="","",$A115&amp;"|"&amp;RIGHT("000000"&amp;$J115,6))</f>
        <v/>
      </c>
      <c r="L115">
        <f>IF($A115="","",IF(Wages!$G118="",0,Wages!$G118))</f>
        <v/>
      </c>
      <c r="M115">
        <f>IF($A115="","",Wages!$J118)</f>
        <v/>
      </c>
      <c r="N115">
        <f>IF($A115="","",Wages!$D118)</f>
        <v/>
      </c>
      <c r="P115">
        <f>IF(OR(Shares!$B118="",Shares!$C118=""),"",Shares!$C118)</f>
        <v/>
      </c>
      <c r="Q115">
        <f>IF($P115="","",Shares!$B118)</f>
        <v/>
      </c>
      <c r="R115">
        <f>IF($P115="","",IFERROR(INDEX(WageParty,MATCH($Q115,WageIds,0)),""))</f>
        <v/>
      </c>
      <c r="S115">
        <f>IF($P115="","",IFERROR(INDEX($F$6:$F$2005,MATCH($Q115,WageIds,0)),""))</f>
        <v/>
      </c>
      <c r="T115">
        <f>IF(OR($P115="",$S115="",$S115="نامعتبر"),"",LEFT($S115,4)&amp;MID($S115,6,2)&amp;RIGHT($S115,2)&amp;"0000"&amp;"|"&amp;"2"&amp;RIGHT("00000"&amp;110,5))</f>
        <v/>
      </c>
      <c r="U115">
        <f>IF($T115="","",COUNTIFS(LdAParty,$P115,LdAType,1,LdAKey,"&lt;"&amp;$T115)+COUNTIFS(LdBMember,$P115,LdBKey,"&lt;"&amp;$T115)+COUNTIFS(LdCParty,$P115,LdCKey,"&lt;"&amp;$T115)+1)</f>
        <v/>
      </c>
      <c r="V115">
        <f>IF($U115="","",$P115&amp;"|"&amp;RIGHT("000000"&amp;$U115,6))</f>
        <v/>
      </c>
      <c r="W115">
        <f>IF($T115="","",COUNTIFS(LdBGroup,$R115,LdBKey,"&lt;"&amp;$T115)+1)</f>
        <v/>
      </c>
      <c r="X115">
        <f>IF($W115="","",$R115&amp;"|"&amp;RIGHT("000000"&amp;$W115,6))</f>
        <v/>
      </c>
      <c r="Y115">
        <f>IF($P115="","",IF(Shares!$E118="",0,Shares!$E118))</f>
        <v/>
      </c>
      <c r="Z115">
        <f>IF($P115="","",Shares!$H118)</f>
        <v/>
      </c>
      <c r="AE115">
        <f>IF(OR(Sync!$S115="",Sync!$P115=""),"",Sync!$S115)</f>
        <v/>
      </c>
      <c r="AF115">
        <f>IF($AE115="","",IF(ISNUMBER(Sync!$P115),IF(AND(Sync!$P115&gt;=10000101,Sync!$P115&lt;=99991231),INT(Sync!$P115/10000),""),IFERROR(VALUE(TRIM(LEFT(Sync!$P115,FIND("/",Sync!$P115)-1))),"")))</f>
        <v/>
      </c>
      <c r="AG115">
        <f>IF(OR($AE115="",$AF115=""),"",IF(ISNUMBER(Sync!$P115),INT(MOD(Sync!$P115,10000)/100),IFERROR(VALUE(TRIM(LEFT(MID(Sync!$P115,FIND("/",Sync!$P115)+1,20),FIND("/",MID(Sync!$P115,FIND("/",Sync!$P115)+1,20))-1))),"")))</f>
        <v/>
      </c>
      <c r="AH115">
        <f>IF(OR($AE115="",$AF115=""),"",IF(ISNUMBER(Sync!$P115),MOD(Sync!$P115,100),IFERROR(VALUE(TRIM(MID(MID(Sync!$P115,FIND("/",Sync!$P115)+1,20),FIND("/",MID(Sync!$P115,FIND("/",Sync!$P115)+1,20))+1,20))),"")))</f>
        <v/>
      </c>
      <c r="AI115">
        <f>IF($AE115="","",IF(OR($AF115="",$AG115="",$AH115="",$AF115&lt;1300,$AF115&gt;1500,$AG115&lt;1,$AG115&gt;12,$AH115&lt;1,$AH115&gt;31),"نامعتبر",RIGHT("0000"&amp;$AF115,4)&amp;"/"&amp;RIGHT("00"&amp;$AG115,2)&amp;"/"&amp;RIGHT("00"&amp;$AH115,2)))</f>
        <v/>
      </c>
      <c r="AJ115">
        <f>IF($AE115="","",IF(Sync!$Q115="","0000",IF(AND(ISNUMBER(Sync!$Q115),Sync!$Q115&gt;=0,Sync!$Q115&lt;1),RIGHT("00"&amp;HOUR(Sync!$Q115),2)&amp;RIGHT("00"&amp;MINUTE(Sync!$Q115),2),IFERROR(RIGHT("00"&amp;VALUE(LEFT(Sync!$Q115,FIND(":",Sync!$Q115)-1)),2)&amp;RIGHT("00"&amp;VALUE(MID(Sync!$Q115,FIND(":",Sync!$Q115)+1,2)),2),"0000"))))</f>
        <v/>
      </c>
      <c r="AK115">
        <f>IF(OR($AE115="",$AI115="",$AI115="نامعتبر"),"",LEFT($AI115,4)&amp;MID($AI115,6,2)&amp;RIGHT($AI115,2)&amp;$AJ115&amp;"|"&amp;"3"&amp;RIGHT("00000"&amp;110,5))</f>
        <v/>
      </c>
      <c r="AL115">
        <f>IF($AK115="","",COUNTIFS(LdAParty,$AE115,LdAType,1,LdAKey,"&lt;"&amp;$AK115)+COUNTIFS(LdBMember,$AE115,LdBKey,"&lt;"&amp;$AK115)+COUNTIFS(LdCParty,$AE115,LdCKey,"&lt;"&amp;$AK115)+1)</f>
        <v/>
      </c>
      <c r="AM115">
        <f>IF($AL115="","",$AE115&amp;"|"&amp;RIGHT("000000"&amp;$AL115,6))</f>
        <v/>
      </c>
      <c r="AN115">
        <f>IF($AE115="","",IF(Sync!$W115="",0,Sync!$W115))</f>
        <v/>
      </c>
      <c r="AO115">
        <f>IF($AE115="","",IF(Sync!$X115="",0,Sync!$X115))</f>
        <v/>
      </c>
      <c r="AP115">
        <f>IF($AE115="","",Sync!$R115)</f>
        <v/>
      </c>
      <c r="AQ115">
        <f>IF($AE115="","",Sync!$Y115)</f>
        <v/>
      </c>
    </row>
    <row r="116">
      <c r="A116">
        <f>IF(OR(Wages!$B119="",Wages!$E119=""),"",Wages!$E119)</f>
        <v/>
      </c>
      <c r="B116">
        <f>IF($A116="","",IF(Wages!$C119="دستمزد گروهی",2,1))</f>
        <v/>
      </c>
      <c r="C116">
        <f>IF($A116="","",IF(ISNUMBER(Wages!$B119),IF(AND(Wages!$B119&gt;=10000101,Wages!$B119&lt;=99991231),INT(Wages!$B119/10000),""),IFERROR(VALUE(TRIM(LEFT(Wages!$B119,FIND("/",Wages!$B119)-1))),"")))</f>
        <v/>
      </c>
      <c r="D116">
        <f>IF(OR($A116="",$C116=""),"",IF(ISNUMBER(Wages!$B119),INT(MOD(Wages!$B119,10000)/100),IFERROR(VALUE(TRIM(LEFT(MID(Wages!$B119,FIND("/",Wages!$B119)+1,20),FIND("/",MID(Wages!$B119,FIND("/",Wages!$B119)+1,20))-1))),"")))</f>
        <v/>
      </c>
      <c r="E116">
        <f>IF(OR($A116="",$C116=""),"",IF(ISNUMBER(Wages!$B119),MOD(Wages!$B119,100),IFERROR(VALUE(TRIM(MID(MID(Wages!$B119,FIND("/",Wages!$B119)+1,20),FIND("/",MID(Wages!$B119,FIND("/",Wages!$B119)+1,20))+1,20))),"")))</f>
        <v/>
      </c>
      <c r="F116">
        <f>IF($A116="","",IF(OR($C116="",$D116="",$E116="",$C116&lt;1300,$C116&gt;1500,$D116&lt;1,$D116&gt;12,$E116&lt;1,$E116&gt;31),"نامعتبر",RIGHT("0000"&amp;$C116,4)&amp;"/"&amp;RIGHT("00"&amp;$D116,2)&amp;"/"&amp;RIGHT("00"&amp;$E116,2)))</f>
        <v/>
      </c>
      <c r="G116">
        <f>IF(OR($A116="",$F116="",$F116="نامعتبر"),"",LEFT($F116,4)&amp;MID($F116,6,2)&amp;RIGHT($F116,2)&amp;"0000"&amp;"|"&amp;"1"&amp;RIGHT("00000"&amp;111,5))</f>
        <v/>
      </c>
      <c r="H116">
        <f>IF(OR($B116&lt;&gt;1,$G116=""),"",COUNTIFS(LdAParty,$A116,LdAType,1,LdAKey,"&lt;"&amp;$G116)+COUNTIFS(LdBMember,$A116,LdBKey,"&lt;"&amp;$G116)+COUNTIFS(LdCParty,$A116,LdCKey,"&lt;"&amp;$G116)+1)</f>
        <v/>
      </c>
      <c r="I116">
        <f>IF($H116="","",$A116&amp;"|"&amp;RIGHT("000000"&amp;$H116,6))</f>
        <v/>
      </c>
      <c r="J116">
        <f>IF(OR($B116&lt;&gt;2,$G116=""),"",COUNTIFS(LdAParty,$A116,LdAType,2,LdAKey,"&lt;"&amp;$G116)+1)</f>
        <v/>
      </c>
      <c r="K116">
        <f>IF($J116="","",$A116&amp;"|"&amp;RIGHT("000000"&amp;$J116,6))</f>
        <v/>
      </c>
      <c r="L116">
        <f>IF($A116="","",IF(Wages!$G119="",0,Wages!$G119))</f>
        <v/>
      </c>
      <c r="M116">
        <f>IF($A116="","",Wages!$J119)</f>
        <v/>
      </c>
      <c r="N116">
        <f>IF($A116="","",Wages!$D119)</f>
        <v/>
      </c>
      <c r="P116">
        <f>IF(OR(Shares!$B119="",Shares!$C119=""),"",Shares!$C119)</f>
        <v/>
      </c>
      <c r="Q116">
        <f>IF($P116="","",Shares!$B119)</f>
        <v/>
      </c>
      <c r="R116">
        <f>IF($P116="","",IFERROR(INDEX(WageParty,MATCH($Q116,WageIds,0)),""))</f>
        <v/>
      </c>
      <c r="S116">
        <f>IF($P116="","",IFERROR(INDEX($F$6:$F$2005,MATCH($Q116,WageIds,0)),""))</f>
        <v/>
      </c>
      <c r="T116">
        <f>IF(OR($P116="",$S116="",$S116="نامعتبر"),"",LEFT($S116,4)&amp;MID($S116,6,2)&amp;RIGHT($S116,2)&amp;"0000"&amp;"|"&amp;"2"&amp;RIGHT("00000"&amp;111,5))</f>
        <v/>
      </c>
      <c r="U116">
        <f>IF($T116="","",COUNTIFS(LdAParty,$P116,LdAType,1,LdAKey,"&lt;"&amp;$T116)+COUNTIFS(LdBMember,$P116,LdBKey,"&lt;"&amp;$T116)+COUNTIFS(LdCParty,$P116,LdCKey,"&lt;"&amp;$T116)+1)</f>
        <v/>
      </c>
      <c r="V116">
        <f>IF($U116="","",$P116&amp;"|"&amp;RIGHT("000000"&amp;$U116,6))</f>
        <v/>
      </c>
      <c r="W116">
        <f>IF($T116="","",COUNTIFS(LdBGroup,$R116,LdBKey,"&lt;"&amp;$T116)+1)</f>
        <v/>
      </c>
      <c r="X116">
        <f>IF($W116="","",$R116&amp;"|"&amp;RIGHT("000000"&amp;$W116,6))</f>
        <v/>
      </c>
      <c r="Y116">
        <f>IF($P116="","",IF(Shares!$E119="",0,Shares!$E119))</f>
        <v/>
      </c>
      <c r="Z116">
        <f>IF($P116="","",Shares!$H119)</f>
        <v/>
      </c>
      <c r="AE116">
        <f>IF(OR(Sync!$S116="",Sync!$P116=""),"",Sync!$S116)</f>
        <v/>
      </c>
      <c r="AF116">
        <f>IF($AE116="","",IF(ISNUMBER(Sync!$P116),IF(AND(Sync!$P116&gt;=10000101,Sync!$P116&lt;=99991231),INT(Sync!$P116/10000),""),IFERROR(VALUE(TRIM(LEFT(Sync!$P116,FIND("/",Sync!$P116)-1))),"")))</f>
        <v/>
      </c>
      <c r="AG116">
        <f>IF(OR($AE116="",$AF116=""),"",IF(ISNUMBER(Sync!$P116),INT(MOD(Sync!$P116,10000)/100),IFERROR(VALUE(TRIM(LEFT(MID(Sync!$P116,FIND("/",Sync!$P116)+1,20),FIND("/",MID(Sync!$P116,FIND("/",Sync!$P116)+1,20))-1))),"")))</f>
        <v/>
      </c>
      <c r="AH116">
        <f>IF(OR($AE116="",$AF116=""),"",IF(ISNUMBER(Sync!$P116),MOD(Sync!$P116,100),IFERROR(VALUE(TRIM(MID(MID(Sync!$P116,FIND("/",Sync!$P116)+1,20),FIND("/",MID(Sync!$P116,FIND("/",Sync!$P116)+1,20))+1,20))),"")))</f>
        <v/>
      </c>
      <c r="AI116">
        <f>IF($AE116="","",IF(OR($AF116="",$AG116="",$AH116="",$AF116&lt;1300,$AF116&gt;1500,$AG116&lt;1,$AG116&gt;12,$AH116&lt;1,$AH116&gt;31),"نامعتبر",RIGHT("0000"&amp;$AF116,4)&amp;"/"&amp;RIGHT("00"&amp;$AG116,2)&amp;"/"&amp;RIGHT("00"&amp;$AH116,2)))</f>
        <v/>
      </c>
      <c r="AJ116">
        <f>IF($AE116="","",IF(Sync!$Q116="","0000",IF(AND(ISNUMBER(Sync!$Q116),Sync!$Q116&gt;=0,Sync!$Q116&lt;1),RIGHT("00"&amp;HOUR(Sync!$Q116),2)&amp;RIGHT("00"&amp;MINUTE(Sync!$Q116),2),IFERROR(RIGHT("00"&amp;VALUE(LEFT(Sync!$Q116,FIND(":",Sync!$Q116)-1)),2)&amp;RIGHT("00"&amp;VALUE(MID(Sync!$Q116,FIND(":",Sync!$Q116)+1,2)),2),"0000"))))</f>
        <v/>
      </c>
      <c r="AK116">
        <f>IF(OR($AE116="",$AI116="",$AI116="نامعتبر"),"",LEFT($AI116,4)&amp;MID($AI116,6,2)&amp;RIGHT($AI116,2)&amp;$AJ116&amp;"|"&amp;"3"&amp;RIGHT("00000"&amp;111,5))</f>
        <v/>
      </c>
      <c r="AL116">
        <f>IF($AK116="","",COUNTIFS(LdAParty,$AE116,LdAType,1,LdAKey,"&lt;"&amp;$AK116)+COUNTIFS(LdBMember,$AE116,LdBKey,"&lt;"&amp;$AK116)+COUNTIFS(LdCParty,$AE116,LdCKey,"&lt;"&amp;$AK116)+1)</f>
        <v/>
      </c>
      <c r="AM116">
        <f>IF($AL116="","",$AE116&amp;"|"&amp;RIGHT("000000"&amp;$AL116,6))</f>
        <v/>
      </c>
      <c r="AN116">
        <f>IF($AE116="","",IF(Sync!$W116="",0,Sync!$W116))</f>
        <v/>
      </c>
      <c r="AO116">
        <f>IF($AE116="","",IF(Sync!$X116="",0,Sync!$X116))</f>
        <v/>
      </c>
      <c r="AP116">
        <f>IF($AE116="","",Sync!$R116)</f>
        <v/>
      </c>
      <c r="AQ116">
        <f>IF($AE116="","",Sync!$Y116)</f>
        <v/>
      </c>
    </row>
    <row r="117">
      <c r="A117">
        <f>IF(OR(Wages!$B120="",Wages!$E120=""),"",Wages!$E120)</f>
        <v/>
      </c>
      <c r="B117">
        <f>IF($A117="","",IF(Wages!$C120="دستمزد گروهی",2,1))</f>
        <v/>
      </c>
      <c r="C117">
        <f>IF($A117="","",IF(ISNUMBER(Wages!$B120),IF(AND(Wages!$B120&gt;=10000101,Wages!$B120&lt;=99991231),INT(Wages!$B120/10000),""),IFERROR(VALUE(TRIM(LEFT(Wages!$B120,FIND("/",Wages!$B120)-1))),"")))</f>
        <v/>
      </c>
      <c r="D117">
        <f>IF(OR($A117="",$C117=""),"",IF(ISNUMBER(Wages!$B120),INT(MOD(Wages!$B120,10000)/100),IFERROR(VALUE(TRIM(LEFT(MID(Wages!$B120,FIND("/",Wages!$B120)+1,20),FIND("/",MID(Wages!$B120,FIND("/",Wages!$B120)+1,20))-1))),"")))</f>
        <v/>
      </c>
      <c r="E117">
        <f>IF(OR($A117="",$C117=""),"",IF(ISNUMBER(Wages!$B120),MOD(Wages!$B120,100),IFERROR(VALUE(TRIM(MID(MID(Wages!$B120,FIND("/",Wages!$B120)+1,20),FIND("/",MID(Wages!$B120,FIND("/",Wages!$B120)+1,20))+1,20))),"")))</f>
        <v/>
      </c>
      <c r="F117">
        <f>IF($A117="","",IF(OR($C117="",$D117="",$E117="",$C117&lt;1300,$C117&gt;1500,$D117&lt;1,$D117&gt;12,$E117&lt;1,$E117&gt;31),"نامعتبر",RIGHT("0000"&amp;$C117,4)&amp;"/"&amp;RIGHT("00"&amp;$D117,2)&amp;"/"&amp;RIGHT("00"&amp;$E117,2)))</f>
        <v/>
      </c>
      <c r="G117">
        <f>IF(OR($A117="",$F117="",$F117="نامعتبر"),"",LEFT($F117,4)&amp;MID($F117,6,2)&amp;RIGHT($F117,2)&amp;"0000"&amp;"|"&amp;"1"&amp;RIGHT("00000"&amp;112,5))</f>
        <v/>
      </c>
      <c r="H117">
        <f>IF(OR($B117&lt;&gt;1,$G117=""),"",COUNTIFS(LdAParty,$A117,LdAType,1,LdAKey,"&lt;"&amp;$G117)+COUNTIFS(LdBMember,$A117,LdBKey,"&lt;"&amp;$G117)+COUNTIFS(LdCParty,$A117,LdCKey,"&lt;"&amp;$G117)+1)</f>
        <v/>
      </c>
      <c r="I117">
        <f>IF($H117="","",$A117&amp;"|"&amp;RIGHT("000000"&amp;$H117,6))</f>
        <v/>
      </c>
      <c r="J117">
        <f>IF(OR($B117&lt;&gt;2,$G117=""),"",COUNTIFS(LdAParty,$A117,LdAType,2,LdAKey,"&lt;"&amp;$G117)+1)</f>
        <v/>
      </c>
      <c r="K117">
        <f>IF($J117="","",$A117&amp;"|"&amp;RIGHT("000000"&amp;$J117,6))</f>
        <v/>
      </c>
      <c r="L117">
        <f>IF($A117="","",IF(Wages!$G120="",0,Wages!$G120))</f>
        <v/>
      </c>
      <c r="M117">
        <f>IF($A117="","",Wages!$J120)</f>
        <v/>
      </c>
      <c r="N117">
        <f>IF($A117="","",Wages!$D120)</f>
        <v/>
      </c>
      <c r="P117">
        <f>IF(OR(Shares!$B120="",Shares!$C120=""),"",Shares!$C120)</f>
        <v/>
      </c>
      <c r="Q117">
        <f>IF($P117="","",Shares!$B120)</f>
        <v/>
      </c>
      <c r="R117">
        <f>IF($P117="","",IFERROR(INDEX(WageParty,MATCH($Q117,WageIds,0)),""))</f>
        <v/>
      </c>
      <c r="S117">
        <f>IF($P117="","",IFERROR(INDEX($F$6:$F$2005,MATCH($Q117,WageIds,0)),""))</f>
        <v/>
      </c>
      <c r="T117">
        <f>IF(OR($P117="",$S117="",$S117="نامعتبر"),"",LEFT($S117,4)&amp;MID($S117,6,2)&amp;RIGHT($S117,2)&amp;"0000"&amp;"|"&amp;"2"&amp;RIGHT("00000"&amp;112,5))</f>
        <v/>
      </c>
      <c r="U117">
        <f>IF($T117="","",COUNTIFS(LdAParty,$P117,LdAType,1,LdAKey,"&lt;"&amp;$T117)+COUNTIFS(LdBMember,$P117,LdBKey,"&lt;"&amp;$T117)+COUNTIFS(LdCParty,$P117,LdCKey,"&lt;"&amp;$T117)+1)</f>
        <v/>
      </c>
      <c r="V117">
        <f>IF($U117="","",$P117&amp;"|"&amp;RIGHT("000000"&amp;$U117,6))</f>
        <v/>
      </c>
      <c r="W117">
        <f>IF($T117="","",COUNTIFS(LdBGroup,$R117,LdBKey,"&lt;"&amp;$T117)+1)</f>
        <v/>
      </c>
      <c r="X117">
        <f>IF($W117="","",$R117&amp;"|"&amp;RIGHT("000000"&amp;$W117,6))</f>
        <v/>
      </c>
      <c r="Y117">
        <f>IF($P117="","",IF(Shares!$E120="",0,Shares!$E120))</f>
        <v/>
      </c>
      <c r="Z117">
        <f>IF($P117="","",Shares!$H120)</f>
        <v/>
      </c>
      <c r="AE117">
        <f>IF(OR(Sync!$S117="",Sync!$P117=""),"",Sync!$S117)</f>
        <v/>
      </c>
      <c r="AF117">
        <f>IF($AE117="","",IF(ISNUMBER(Sync!$P117),IF(AND(Sync!$P117&gt;=10000101,Sync!$P117&lt;=99991231),INT(Sync!$P117/10000),""),IFERROR(VALUE(TRIM(LEFT(Sync!$P117,FIND("/",Sync!$P117)-1))),"")))</f>
        <v/>
      </c>
      <c r="AG117">
        <f>IF(OR($AE117="",$AF117=""),"",IF(ISNUMBER(Sync!$P117),INT(MOD(Sync!$P117,10000)/100),IFERROR(VALUE(TRIM(LEFT(MID(Sync!$P117,FIND("/",Sync!$P117)+1,20),FIND("/",MID(Sync!$P117,FIND("/",Sync!$P117)+1,20))-1))),"")))</f>
        <v/>
      </c>
      <c r="AH117">
        <f>IF(OR($AE117="",$AF117=""),"",IF(ISNUMBER(Sync!$P117),MOD(Sync!$P117,100),IFERROR(VALUE(TRIM(MID(MID(Sync!$P117,FIND("/",Sync!$P117)+1,20),FIND("/",MID(Sync!$P117,FIND("/",Sync!$P117)+1,20))+1,20))),"")))</f>
        <v/>
      </c>
      <c r="AI117">
        <f>IF($AE117="","",IF(OR($AF117="",$AG117="",$AH117="",$AF117&lt;1300,$AF117&gt;1500,$AG117&lt;1,$AG117&gt;12,$AH117&lt;1,$AH117&gt;31),"نامعتبر",RIGHT("0000"&amp;$AF117,4)&amp;"/"&amp;RIGHT("00"&amp;$AG117,2)&amp;"/"&amp;RIGHT("00"&amp;$AH117,2)))</f>
        <v/>
      </c>
      <c r="AJ117">
        <f>IF($AE117="","",IF(Sync!$Q117="","0000",IF(AND(ISNUMBER(Sync!$Q117),Sync!$Q117&gt;=0,Sync!$Q117&lt;1),RIGHT("00"&amp;HOUR(Sync!$Q117),2)&amp;RIGHT("00"&amp;MINUTE(Sync!$Q117),2),IFERROR(RIGHT("00"&amp;VALUE(LEFT(Sync!$Q117,FIND(":",Sync!$Q117)-1)),2)&amp;RIGHT("00"&amp;VALUE(MID(Sync!$Q117,FIND(":",Sync!$Q117)+1,2)),2),"0000"))))</f>
        <v/>
      </c>
      <c r="AK117">
        <f>IF(OR($AE117="",$AI117="",$AI117="نامعتبر"),"",LEFT($AI117,4)&amp;MID($AI117,6,2)&amp;RIGHT($AI117,2)&amp;$AJ117&amp;"|"&amp;"3"&amp;RIGHT("00000"&amp;112,5))</f>
        <v/>
      </c>
      <c r="AL117">
        <f>IF($AK117="","",COUNTIFS(LdAParty,$AE117,LdAType,1,LdAKey,"&lt;"&amp;$AK117)+COUNTIFS(LdBMember,$AE117,LdBKey,"&lt;"&amp;$AK117)+COUNTIFS(LdCParty,$AE117,LdCKey,"&lt;"&amp;$AK117)+1)</f>
        <v/>
      </c>
      <c r="AM117">
        <f>IF($AL117="","",$AE117&amp;"|"&amp;RIGHT("000000"&amp;$AL117,6))</f>
        <v/>
      </c>
      <c r="AN117">
        <f>IF($AE117="","",IF(Sync!$W117="",0,Sync!$W117))</f>
        <v/>
      </c>
      <c r="AO117">
        <f>IF($AE117="","",IF(Sync!$X117="",0,Sync!$X117))</f>
        <v/>
      </c>
      <c r="AP117">
        <f>IF($AE117="","",Sync!$R117)</f>
        <v/>
      </c>
      <c r="AQ117">
        <f>IF($AE117="","",Sync!$Y117)</f>
        <v/>
      </c>
    </row>
    <row r="118">
      <c r="A118">
        <f>IF(OR(Wages!$B121="",Wages!$E121=""),"",Wages!$E121)</f>
        <v/>
      </c>
      <c r="B118">
        <f>IF($A118="","",IF(Wages!$C121="دستمزد گروهی",2,1))</f>
        <v/>
      </c>
      <c r="C118">
        <f>IF($A118="","",IF(ISNUMBER(Wages!$B121),IF(AND(Wages!$B121&gt;=10000101,Wages!$B121&lt;=99991231),INT(Wages!$B121/10000),""),IFERROR(VALUE(TRIM(LEFT(Wages!$B121,FIND("/",Wages!$B121)-1))),"")))</f>
        <v/>
      </c>
      <c r="D118">
        <f>IF(OR($A118="",$C118=""),"",IF(ISNUMBER(Wages!$B121),INT(MOD(Wages!$B121,10000)/100),IFERROR(VALUE(TRIM(LEFT(MID(Wages!$B121,FIND("/",Wages!$B121)+1,20),FIND("/",MID(Wages!$B121,FIND("/",Wages!$B121)+1,20))-1))),"")))</f>
        <v/>
      </c>
      <c r="E118">
        <f>IF(OR($A118="",$C118=""),"",IF(ISNUMBER(Wages!$B121),MOD(Wages!$B121,100),IFERROR(VALUE(TRIM(MID(MID(Wages!$B121,FIND("/",Wages!$B121)+1,20),FIND("/",MID(Wages!$B121,FIND("/",Wages!$B121)+1,20))+1,20))),"")))</f>
        <v/>
      </c>
      <c r="F118">
        <f>IF($A118="","",IF(OR($C118="",$D118="",$E118="",$C118&lt;1300,$C118&gt;1500,$D118&lt;1,$D118&gt;12,$E118&lt;1,$E118&gt;31),"نامعتبر",RIGHT("0000"&amp;$C118,4)&amp;"/"&amp;RIGHT("00"&amp;$D118,2)&amp;"/"&amp;RIGHT("00"&amp;$E118,2)))</f>
        <v/>
      </c>
      <c r="G118">
        <f>IF(OR($A118="",$F118="",$F118="نامعتبر"),"",LEFT($F118,4)&amp;MID($F118,6,2)&amp;RIGHT($F118,2)&amp;"0000"&amp;"|"&amp;"1"&amp;RIGHT("00000"&amp;113,5))</f>
        <v/>
      </c>
      <c r="H118">
        <f>IF(OR($B118&lt;&gt;1,$G118=""),"",COUNTIFS(LdAParty,$A118,LdAType,1,LdAKey,"&lt;"&amp;$G118)+COUNTIFS(LdBMember,$A118,LdBKey,"&lt;"&amp;$G118)+COUNTIFS(LdCParty,$A118,LdCKey,"&lt;"&amp;$G118)+1)</f>
        <v/>
      </c>
      <c r="I118">
        <f>IF($H118="","",$A118&amp;"|"&amp;RIGHT("000000"&amp;$H118,6))</f>
        <v/>
      </c>
      <c r="J118">
        <f>IF(OR($B118&lt;&gt;2,$G118=""),"",COUNTIFS(LdAParty,$A118,LdAType,2,LdAKey,"&lt;"&amp;$G118)+1)</f>
        <v/>
      </c>
      <c r="K118">
        <f>IF($J118="","",$A118&amp;"|"&amp;RIGHT("000000"&amp;$J118,6))</f>
        <v/>
      </c>
      <c r="L118">
        <f>IF($A118="","",IF(Wages!$G121="",0,Wages!$G121))</f>
        <v/>
      </c>
      <c r="M118">
        <f>IF($A118="","",Wages!$J121)</f>
        <v/>
      </c>
      <c r="N118">
        <f>IF($A118="","",Wages!$D121)</f>
        <v/>
      </c>
      <c r="P118">
        <f>IF(OR(Shares!$B121="",Shares!$C121=""),"",Shares!$C121)</f>
        <v/>
      </c>
      <c r="Q118">
        <f>IF($P118="","",Shares!$B121)</f>
        <v/>
      </c>
      <c r="R118">
        <f>IF($P118="","",IFERROR(INDEX(WageParty,MATCH($Q118,WageIds,0)),""))</f>
        <v/>
      </c>
      <c r="S118">
        <f>IF($P118="","",IFERROR(INDEX($F$6:$F$2005,MATCH($Q118,WageIds,0)),""))</f>
        <v/>
      </c>
      <c r="T118">
        <f>IF(OR($P118="",$S118="",$S118="نامعتبر"),"",LEFT($S118,4)&amp;MID($S118,6,2)&amp;RIGHT($S118,2)&amp;"0000"&amp;"|"&amp;"2"&amp;RIGHT("00000"&amp;113,5))</f>
        <v/>
      </c>
      <c r="U118">
        <f>IF($T118="","",COUNTIFS(LdAParty,$P118,LdAType,1,LdAKey,"&lt;"&amp;$T118)+COUNTIFS(LdBMember,$P118,LdBKey,"&lt;"&amp;$T118)+COUNTIFS(LdCParty,$P118,LdCKey,"&lt;"&amp;$T118)+1)</f>
        <v/>
      </c>
      <c r="V118">
        <f>IF($U118="","",$P118&amp;"|"&amp;RIGHT("000000"&amp;$U118,6))</f>
        <v/>
      </c>
      <c r="W118">
        <f>IF($T118="","",COUNTIFS(LdBGroup,$R118,LdBKey,"&lt;"&amp;$T118)+1)</f>
        <v/>
      </c>
      <c r="X118">
        <f>IF($W118="","",$R118&amp;"|"&amp;RIGHT("000000"&amp;$W118,6))</f>
        <v/>
      </c>
      <c r="Y118">
        <f>IF($P118="","",IF(Shares!$E121="",0,Shares!$E121))</f>
        <v/>
      </c>
      <c r="Z118">
        <f>IF($P118="","",Shares!$H121)</f>
        <v/>
      </c>
      <c r="AE118">
        <f>IF(OR(Sync!$S118="",Sync!$P118=""),"",Sync!$S118)</f>
        <v/>
      </c>
      <c r="AF118">
        <f>IF($AE118="","",IF(ISNUMBER(Sync!$P118),IF(AND(Sync!$P118&gt;=10000101,Sync!$P118&lt;=99991231),INT(Sync!$P118/10000),""),IFERROR(VALUE(TRIM(LEFT(Sync!$P118,FIND("/",Sync!$P118)-1))),"")))</f>
        <v/>
      </c>
      <c r="AG118">
        <f>IF(OR($AE118="",$AF118=""),"",IF(ISNUMBER(Sync!$P118),INT(MOD(Sync!$P118,10000)/100),IFERROR(VALUE(TRIM(LEFT(MID(Sync!$P118,FIND("/",Sync!$P118)+1,20),FIND("/",MID(Sync!$P118,FIND("/",Sync!$P118)+1,20))-1))),"")))</f>
        <v/>
      </c>
      <c r="AH118">
        <f>IF(OR($AE118="",$AF118=""),"",IF(ISNUMBER(Sync!$P118),MOD(Sync!$P118,100),IFERROR(VALUE(TRIM(MID(MID(Sync!$P118,FIND("/",Sync!$P118)+1,20),FIND("/",MID(Sync!$P118,FIND("/",Sync!$P118)+1,20))+1,20))),"")))</f>
        <v/>
      </c>
      <c r="AI118">
        <f>IF($AE118="","",IF(OR($AF118="",$AG118="",$AH118="",$AF118&lt;1300,$AF118&gt;1500,$AG118&lt;1,$AG118&gt;12,$AH118&lt;1,$AH118&gt;31),"نامعتبر",RIGHT("0000"&amp;$AF118,4)&amp;"/"&amp;RIGHT("00"&amp;$AG118,2)&amp;"/"&amp;RIGHT("00"&amp;$AH118,2)))</f>
        <v/>
      </c>
      <c r="AJ118">
        <f>IF($AE118="","",IF(Sync!$Q118="","0000",IF(AND(ISNUMBER(Sync!$Q118),Sync!$Q118&gt;=0,Sync!$Q118&lt;1),RIGHT("00"&amp;HOUR(Sync!$Q118),2)&amp;RIGHT("00"&amp;MINUTE(Sync!$Q118),2),IFERROR(RIGHT("00"&amp;VALUE(LEFT(Sync!$Q118,FIND(":",Sync!$Q118)-1)),2)&amp;RIGHT("00"&amp;VALUE(MID(Sync!$Q118,FIND(":",Sync!$Q118)+1,2)),2),"0000"))))</f>
        <v/>
      </c>
      <c r="AK118">
        <f>IF(OR($AE118="",$AI118="",$AI118="نامعتبر"),"",LEFT($AI118,4)&amp;MID($AI118,6,2)&amp;RIGHT($AI118,2)&amp;$AJ118&amp;"|"&amp;"3"&amp;RIGHT("00000"&amp;113,5))</f>
        <v/>
      </c>
      <c r="AL118">
        <f>IF($AK118="","",COUNTIFS(LdAParty,$AE118,LdAType,1,LdAKey,"&lt;"&amp;$AK118)+COUNTIFS(LdBMember,$AE118,LdBKey,"&lt;"&amp;$AK118)+COUNTIFS(LdCParty,$AE118,LdCKey,"&lt;"&amp;$AK118)+1)</f>
        <v/>
      </c>
      <c r="AM118">
        <f>IF($AL118="","",$AE118&amp;"|"&amp;RIGHT("000000"&amp;$AL118,6))</f>
        <v/>
      </c>
      <c r="AN118">
        <f>IF($AE118="","",IF(Sync!$W118="",0,Sync!$W118))</f>
        <v/>
      </c>
      <c r="AO118">
        <f>IF($AE118="","",IF(Sync!$X118="",0,Sync!$X118))</f>
        <v/>
      </c>
      <c r="AP118">
        <f>IF($AE118="","",Sync!$R118)</f>
        <v/>
      </c>
      <c r="AQ118">
        <f>IF($AE118="","",Sync!$Y118)</f>
        <v/>
      </c>
    </row>
    <row r="119">
      <c r="A119">
        <f>IF(OR(Wages!$B122="",Wages!$E122=""),"",Wages!$E122)</f>
        <v/>
      </c>
      <c r="B119">
        <f>IF($A119="","",IF(Wages!$C122="دستمزد گروهی",2,1))</f>
        <v/>
      </c>
      <c r="C119">
        <f>IF($A119="","",IF(ISNUMBER(Wages!$B122),IF(AND(Wages!$B122&gt;=10000101,Wages!$B122&lt;=99991231),INT(Wages!$B122/10000),""),IFERROR(VALUE(TRIM(LEFT(Wages!$B122,FIND("/",Wages!$B122)-1))),"")))</f>
        <v/>
      </c>
      <c r="D119">
        <f>IF(OR($A119="",$C119=""),"",IF(ISNUMBER(Wages!$B122),INT(MOD(Wages!$B122,10000)/100),IFERROR(VALUE(TRIM(LEFT(MID(Wages!$B122,FIND("/",Wages!$B122)+1,20),FIND("/",MID(Wages!$B122,FIND("/",Wages!$B122)+1,20))-1))),"")))</f>
        <v/>
      </c>
      <c r="E119">
        <f>IF(OR($A119="",$C119=""),"",IF(ISNUMBER(Wages!$B122),MOD(Wages!$B122,100),IFERROR(VALUE(TRIM(MID(MID(Wages!$B122,FIND("/",Wages!$B122)+1,20),FIND("/",MID(Wages!$B122,FIND("/",Wages!$B122)+1,20))+1,20))),"")))</f>
        <v/>
      </c>
      <c r="F119">
        <f>IF($A119="","",IF(OR($C119="",$D119="",$E119="",$C119&lt;1300,$C119&gt;1500,$D119&lt;1,$D119&gt;12,$E119&lt;1,$E119&gt;31),"نامعتبر",RIGHT("0000"&amp;$C119,4)&amp;"/"&amp;RIGHT("00"&amp;$D119,2)&amp;"/"&amp;RIGHT("00"&amp;$E119,2)))</f>
        <v/>
      </c>
      <c r="G119">
        <f>IF(OR($A119="",$F119="",$F119="نامعتبر"),"",LEFT($F119,4)&amp;MID($F119,6,2)&amp;RIGHT($F119,2)&amp;"0000"&amp;"|"&amp;"1"&amp;RIGHT("00000"&amp;114,5))</f>
        <v/>
      </c>
      <c r="H119">
        <f>IF(OR($B119&lt;&gt;1,$G119=""),"",COUNTIFS(LdAParty,$A119,LdAType,1,LdAKey,"&lt;"&amp;$G119)+COUNTIFS(LdBMember,$A119,LdBKey,"&lt;"&amp;$G119)+COUNTIFS(LdCParty,$A119,LdCKey,"&lt;"&amp;$G119)+1)</f>
        <v/>
      </c>
      <c r="I119">
        <f>IF($H119="","",$A119&amp;"|"&amp;RIGHT("000000"&amp;$H119,6))</f>
        <v/>
      </c>
      <c r="J119">
        <f>IF(OR($B119&lt;&gt;2,$G119=""),"",COUNTIFS(LdAParty,$A119,LdAType,2,LdAKey,"&lt;"&amp;$G119)+1)</f>
        <v/>
      </c>
      <c r="K119">
        <f>IF($J119="","",$A119&amp;"|"&amp;RIGHT("000000"&amp;$J119,6))</f>
        <v/>
      </c>
      <c r="L119">
        <f>IF($A119="","",IF(Wages!$G122="",0,Wages!$G122))</f>
        <v/>
      </c>
      <c r="M119">
        <f>IF($A119="","",Wages!$J122)</f>
        <v/>
      </c>
      <c r="N119">
        <f>IF($A119="","",Wages!$D122)</f>
        <v/>
      </c>
      <c r="P119">
        <f>IF(OR(Shares!$B122="",Shares!$C122=""),"",Shares!$C122)</f>
        <v/>
      </c>
      <c r="Q119">
        <f>IF($P119="","",Shares!$B122)</f>
        <v/>
      </c>
      <c r="R119">
        <f>IF($P119="","",IFERROR(INDEX(WageParty,MATCH($Q119,WageIds,0)),""))</f>
        <v/>
      </c>
      <c r="S119">
        <f>IF($P119="","",IFERROR(INDEX($F$6:$F$2005,MATCH($Q119,WageIds,0)),""))</f>
        <v/>
      </c>
      <c r="T119">
        <f>IF(OR($P119="",$S119="",$S119="نامعتبر"),"",LEFT($S119,4)&amp;MID($S119,6,2)&amp;RIGHT($S119,2)&amp;"0000"&amp;"|"&amp;"2"&amp;RIGHT("00000"&amp;114,5))</f>
        <v/>
      </c>
      <c r="U119">
        <f>IF($T119="","",COUNTIFS(LdAParty,$P119,LdAType,1,LdAKey,"&lt;"&amp;$T119)+COUNTIFS(LdBMember,$P119,LdBKey,"&lt;"&amp;$T119)+COUNTIFS(LdCParty,$P119,LdCKey,"&lt;"&amp;$T119)+1)</f>
        <v/>
      </c>
      <c r="V119">
        <f>IF($U119="","",$P119&amp;"|"&amp;RIGHT("000000"&amp;$U119,6))</f>
        <v/>
      </c>
      <c r="W119">
        <f>IF($T119="","",COUNTIFS(LdBGroup,$R119,LdBKey,"&lt;"&amp;$T119)+1)</f>
        <v/>
      </c>
      <c r="X119">
        <f>IF($W119="","",$R119&amp;"|"&amp;RIGHT("000000"&amp;$W119,6))</f>
        <v/>
      </c>
      <c r="Y119">
        <f>IF($P119="","",IF(Shares!$E122="",0,Shares!$E122))</f>
        <v/>
      </c>
      <c r="Z119">
        <f>IF($P119="","",Shares!$H122)</f>
        <v/>
      </c>
      <c r="AE119">
        <f>IF(OR(Sync!$S119="",Sync!$P119=""),"",Sync!$S119)</f>
        <v/>
      </c>
      <c r="AF119">
        <f>IF($AE119="","",IF(ISNUMBER(Sync!$P119),IF(AND(Sync!$P119&gt;=10000101,Sync!$P119&lt;=99991231),INT(Sync!$P119/10000),""),IFERROR(VALUE(TRIM(LEFT(Sync!$P119,FIND("/",Sync!$P119)-1))),"")))</f>
        <v/>
      </c>
      <c r="AG119">
        <f>IF(OR($AE119="",$AF119=""),"",IF(ISNUMBER(Sync!$P119),INT(MOD(Sync!$P119,10000)/100),IFERROR(VALUE(TRIM(LEFT(MID(Sync!$P119,FIND("/",Sync!$P119)+1,20),FIND("/",MID(Sync!$P119,FIND("/",Sync!$P119)+1,20))-1))),"")))</f>
        <v/>
      </c>
      <c r="AH119">
        <f>IF(OR($AE119="",$AF119=""),"",IF(ISNUMBER(Sync!$P119),MOD(Sync!$P119,100),IFERROR(VALUE(TRIM(MID(MID(Sync!$P119,FIND("/",Sync!$P119)+1,20),FIND("/",MID(Sync!$P119,FIND("/",Sync!$P119)+1,20))+1,20))),"")))</f>
        <v/>
      </c>
      <c r="AI119">
        <f>IF($AE119="","",IF(OR($AF119="",$AG119="",$AH119="",$AF119&lt;1300,$AF119&gt;1500,$AG119&lt;1,$AG119&gt;12,$AH119&lt;1,$AH119&gt;31),"نامعتبر",RIGHT("0000"&amp;$AF119,4)&amp;"/"&amp;RIGHT("00"&amp;$AG119,2)&amp;"/"&amp;RIGHT("00"&amp;$AH119,2)))</f>
        <v/>
      </c>
      <c r="AJ119">
        <f>IF($AE119="","",IF(Sync!$Q119="","0000",IF(AND(ISNUMBER(Sync!$Q119),Sync!$Q119&gt;=0,Sync!$Q119&lt;1),RIGHT("00"&amp;HOUR(Sync!$Q119),2)&amp;RIGHT("00"&amp;MINUTE(Sync!$Q119),2),IFERROR(RIGHT("00"&amp;VALUE(LEFT(Sync!$Q119,FIND(":",Sync!$Q119)-1)),2)&amp;RIGHT("00"&amp;VALUE(MID(Sync!$Q119,FIND(":",Sync!$Q119)+1,2)),2),"0000"))))</f>
        <v/>
      </c>
      <c r="AK119">
        <f>IF(OR($AE119="",$AI119="",$AI119="نامعتبر"),"",LEFT($AI119,4)&amp;MID($AI119,6,2)&amp;RIGHT($AI119,2)&amp;$AJ119&amp;"|"&amp;"3"&amp;RIGHT("00000"&amp;114,5))</f>
        <v/>
      </c>
      <c r="AL119">
        <f>IF($AK119="","",COUNTIFS(LdAParty,$AE119,LdAType,1,LdAKey,"&lt;"&amp;$AK119)+COUNTIFS(LdBMember,$AE119,LdBKey,"&lt;"&amp;$AK119)+COUNTIFS(LdCParty,$AE119,LdCKey,"&lt;"&amp;$AK119)+1)</f>
        <v/>
      </c>
      <c r="AM119">
        <f>IF($AL119="","",$AE119&amp;"|"&amp;RIGHT("000000"&amp;$AL119,6))</f>
        <v/>
      </c>
      <c r="AN119">
        <f>IF($AE119="","",IF(Sync!$W119="",0,Sync!$W119))</f>
        <v/>
      </c>
      <c r="AO119">
        <f>IF($AE119="","",IF(Sync!$X119="",0,Sync!$X119))</f>
        <v/>
      </c>
      <c r="AP119">
        <f>IF($AE119="","",Sync!$R119)</f>
        <v/>
      </c>
      <c r="AQ119">
        <f>IF($AE119="","",Sync!$Y119)</f>
        <v/>
      </c>
    </row>
    <row r="120">
      <c r="A120">
        <f>IF(OR(Wages!$B123="",Wages!$E123=""),"",Wages!$E123)</f>
        <v/>
      </c>
      <c r="B120">
        <f>IF($A120="","",IF(Wages!$C123="دستمزد گروهی",2,1))</f>
        <v/>
      </c>
      <c r="C120">
        <f>IF($A120="","",IF(ISNUMBER(Wages!$B123),IF(AND(Wages!$B123&gt;=10000101,Wages!$B123&lt;=99991231),INT(Wages!$B123/10000),""),IFERROR(VALUE(TRIM(LEFT(Wages!$B123,FIND("/",Wages!$B123)-1))),"")))</f>
        <v/>
      </c>
      <c r="D120">
        <f>IF(OR($A120="",$C120=""),"",IF(ISNUMBER(Wages!$B123),INT(MOD(Wages!$B123,10000)/100),IFERROR(VALUE(TRIM(LEFT(MID(Wages!$B123,FIND("/",Wages!$B123)+1,20),FIND("/",MID(Wages!$B123,FIND("/",Wages!$B123)+1,20))-1))),"")))</f>
        <v/>
      </c>
      <c r="E120">
        <f>IF(OR($A120="",$C120=""),"",IF(ISNUMBER(Wages!$B123),MOD(Wages!$B123,100),IFERROR(VALUE(TRIM(MID(MID(Wages!$B123,FIND("/",Wages!$B123)+1,20),FIND("/",MID(Wages!$B123,FIND("/",Wages!$B123)+1,20))+1,20))),"")))</f>
        <v/>
      </c>
      <c r="F120">
        <f>IF($A120="","",IF(OR($C120="",$D120="",$E120="",$C120&lt;1300,$C120&gt;1500,$D120&lt;1,$D120&gt;12,$E120&lt;1,$E120&gt;31),"نامعتبر",RIGHT("0000"&amp;$C120,4)&amp;"/"&amp;RIGHT("00"&amp;$D120,2)&amp;"/"&amp;RIGHT("00"&amp;$E120,2)))</f>
        <v/>
      </c>
      <c r="G120">
        <f>IF(OR($A120="",$F120="",$F120="نامعتبر"),"",LEFT($F120,4)&amp;MID($F120,6,2)&amp;RIGHT($F120,2)&amp;"0000"&amp;"|"&amp;"1"&amp;RIGHT("00000"&amp;115,5))</f>
        <v/>
      </c>
      <c r="H120">
        <f>IF(OR($B120&lt;&gt;1,$G120=""),"",COUNTIFS(LdAParty,$A120,LdAType,1,LdAKey,"&lt;"&amp;$G120)+COUNTIFS(LdBMember,$A120,LdBKey,"&lt;"&amp;$G120)+COUNTIFS(LdCParty,$A120,LdCKey,"&lt;"&amp;$G120)+1)</f>
        <v/>
      </c>
      <c r="I120">
        <f>IF($H120="","",$A120&amp;"|"&amp;RIGHT("000000"&amp;$H120,6))</f>
        <v/>
      </c>
      <c r="J120">
        <f>IF(OR($B120&lt;&gt;2,$G120=""),"",COUNTIFS(LdAParty,$A120,LdAType,2,LdAKey,"&lt;"&amp;$G120)+1)</f>
        <v/>
      </c>
      <c r="K120">
        <f>IF($J120="","",$A120&amp;"|"&amp;RIGHT("000000"&amp;$J120,6))</f>
        <v/>
      </c>
      <c r="L120">
        <f>IF($A120="","",IF(Wages!$G123="",0,Wages!$G123))</f>
        <v/>
      </c>
      <c r="M120">
        <f>IF($A120="","",Wages!$J123)</f>
        <v/>
      </c>
      <c r="N120">
        <f>IF($A120="","",Wages!$D123)</f>
        <v/>
      </c>
      <c r="P120">
        <f>IF(OR(Shares!$B123="",Shares!$C123=""),"",Shares!$C123)</f>
        <v/>
      </c>
      <c r="Q120">
        <f>IF($P120="","",Shares!$B123)</f>
        <v/>
      </c>
      <c r="R120">
        <f>IF($P120="","",IFERROR(INDEX(WageParty,MATCH($Q120,WageIds,0)),""))</f>
        <v/>
      </c>
      <c r="S120">
        <f>IF($P120="","",IFERROR(INDEX($F$6:$F$2005,MATCH($Q120,WageIds,0)),""))</f>
        <v/>
      </c>
      <c r="T120">
        <f>IF(OR($P120="",$S120="",$S120="نامعتبر"),"",LEFT($S120,4)&amp;MID($S120,6,2)&amp;RIGHT($S120,2)&amp;"0000"&amp;"|"&amp;"2"&amp;RIGHT("00000"&amp;115,5))</f>
        <v/>
      </c>
      <c r="U120">
        <f>IF($T120="","",COUNTIFS(LdAParty,$P120,LdAType,1,LdAKey,"&lt;"&amp;$T120)+COUNTIFS(LdBMember,$P120,LdBKey,"&lt;"&amp;$T120)+COUNTIFS(LdCParty,$P120,LdCKey,"&lt;"&amp;$T120)+1)</f>
        <v/>
      </c>
      <c r="V120">
        <f>IF($U120="","",$P120&amp;"|"&amp;RIGHT("000000"&amp;$U120,6))</f>
        <v/>
      </c>
      <c r="W120">
        <f>IF($T120="","",COUNTIFS(LdBGroup,$R120,LdBKey,"&lt;"&amp;$T120)+1)</f>
        <v/>
      </c>
      <c r="X120">
        <f>IF($W120="","",$R120&amp;"|"&amp;RIGHT("000000"&amp;$W120,6))</f>
        <v/>
      </c>
      <c r="Y120">
        <f>IF($P120="","",IF(Shares!$E123="",0,Shares!$E123))</f>
        <v/>
      </c>
      <c r="Z120">
        <f>IF($P120="","",Shares!$H123)</f>
        <v/>
      </c>
      <c r="AE120">
        <f>IF(OR(Sync!$S120="",Sync!$P120=""),"",Sync!$S120)</f>
        <v/>
      </c>
      <c r="AF120">
        <f>IF($AE120="","",IF(ISNUMBER(Sync!$P120),IF(AND(Sync!$P120&gt;=10000101,Sync!$P120&lt;=99991231),INT(Sync!$P120/10000),""),IFERROR(VALUE(TRIM(LEFT(Sync!$P120,FIND("/",Sync!$P120)-1))),"")))</f>
        <v/>
      </c>
      <c r="AG120">
        <f>IF(OR($AE120="",$AF120=""),"",IF(ISNUMBER(Sync!$P120),INT(MOD(Sync!$P120,10000)/100),IFERROR(VALUE(TRIM(LEFT(MID(Sync!$P120,FIND("/",Sync!$P120)+1,20),FIND("/",MID(Sync!$P120,FIND("/",Sync!$P120)+1,20))-1))),"")))</f>
        <v/>
      </c>
      <c r="AH120">
        <f>IF(OR($AE120="",$AF120=""),"",IF(ISNUMBER(Sync!$P120),MOD(Sync!$P120,100),IFERROR(VALUE(TRIM(MID(MID(Sync!$P120,FIND("/",Sync!$P120)+1,20),FIND("/",MID(Sync!$P120,FIND("/",Sync!$P120)+1,20))+1,20))),"")))</f>
        <v/>
      </c>
      <c r="AI120">
        <f>IF($AE120="","",IF(OR($AF120="",$AG120="",$AH120="",$AF120&lt;1300,$AF120&gt;1500,$AG120&lt;1,$AG120&gt;12,$AH120&lt;1,$AH120&gt;31),"نامعتبر",RIGHT("0000"&amp;$AF120,4)&amp;"/"&amp;RIGHT("00"&amp;$AG120,2)&amp;"/"&amp;RIGHT("00"&amp;$AH120,2)))</f>
        <v/>
      </c>
      <c r="AJ120">
        <f>IF($AE120="","",IF(Sync!$Q120="","0000",IF(AND(ISNUMBER(Sync!$Q120),Sync!$Q120&gt;=0,Sync!$Q120&lt;1),RIGHT("00"&amp;HOUR(Sync!$Q120),2)&amp;RIGHT("00"&amp;MINUTE(Sync!$Q120),2),IFERROR(RIGHT("00"&amp;VALUE(LEFT(Sync!$Q120,FIND(":",Sync!$Q120)-1)),2)&amp;RIGHT("00"&amp;VALUE(MID(Sync!$Q120,FIND(":",Sync!$Q120)+1,2)),2),"0000"))))</f>
        <v/>
      </c>
      <c r="AK120">
        <f>IF(OR($AE120="",$AI120="",$AI120="نامعتبر"),"",LEFT($AI120,4)&amp;MID($AI120,6,2)&amp;RIGHT($AI120,2)&amp;$AJ120&amp;"|"&amp;"3"&amp;RIGHT("00000"&amp;115,5))</f>
        <v/>
      </c>
      <c r="AL120">
        <f>IF($AK120="","",COUNTIFS(LdAParty,$AE120,LdAType,1,LdAKey,"&lt;"&amp;$AK120)+COUNTIFS(LdBMember,$AE120,LdBKey,"&lt;"&amp;$AK120)+COUNTIFS(LdCParty,$AE120,LdCKey,"&lt;"&amp;$AK120)+1)</f>
        <v/>
      </c>
      <c r="AM120">
        <f>IF($AL120="","",$AE120&amp;"|"&amp;RIGHT("000000"&amp;$AL120,6))</f>
        <v/>
      </c>
      <c r="AN120">
        <f>IF($AE120="","",IF(Sync!$W120="",0,Sync!$W120))</f>
        <v/>
      </c>
      <c r="AO120">
        <f>IF($AE120="","",IF(Sync!$X120="",0,Sync!$X120))</f>
        <v/>
      </c>
      <c r="AP120">
        <f>IF($AE120="","",Sync!$R120)</f>
        <v/>
      </c>
      <c r="AQ120">
        <f>IF($AE120="","",Sync!$Y120)</f>
        <v/>
      </c>
    </row>
    <row r="121">
      <c r="A121">
        <f>IF(OR(Wages!$B124="",Wages!$E124=""),"",Wages!$E124)</f>
        <v/>
      </c>
      <c r="B121">
        <f>IF($A121="","",IF(Wages!$C124="دستمزد گروهی",2,1))</f>
        <v/>
      </c>
      <c r="C121">
        <f>IF($A121="","",IF(ISNUMBER(Wages!$B124),IF(AND(Wages!$B124&gt;=10000101,Wages!$B124&lt;=99991231),INT(Wages!$B124/10000),""),IFERROR(VALUE(TRIM(LEFT(Wages!$B124,FIND("/",Wages!$B124)-1))),"")))</f>
        <v/>
      </c>
      <c r="D121">
        <f>IF(OR($A121="",$C121=""),"",IF(ISNUMBER(Wages!$B124),INT(MOD(Wages!$B124,10000)/100),IFERROR(VALUE(TRIM(LEFT(MID(Wages!$B124,FIND("/",Wages!$B124)+1,20),FIND("/",MID(Wages!$B124,FIND("/",Wages!$B124)+1,20))-1))),"")))</f>
        <v/>
      </c>
      <c r="E121">
        <f>IF(OR($A121="",$C121=""),"",IF(ISNUMBER(Wages!$B124),MOD(Wages!$B124,100),IFERROR(VALUE(TRIM(MID(MID(Wages!$B124,FIND("/",Wages!$B124)+1,20),FIND("/",MID(Wages!$B124,FIND("/",Wages!$B124)+1,20))+1,20))),"")))</f>
        <v/>
      </c>
      <c r="F121">
        <f>IF($A121="","",IF(OR($C121="",$D121="",$E121="",$C121&lt;1300,$C121&gt;1500,$D121&lt;1,$D121&gt;12,$E121&lt;1,$E121&gt;31),"نامعتبر",RIGHT("0000"&amp;$C121,4)&amp;"/"&amp;RIGHT("00"&amp;$D121,2)&amp;"/"&amp;RIGHT("00"&amp;$E121,2)))</f>
        <v/>
      </c>
      <c r="G121">
        <f>IF(OR($A121="",$F121="",$F121="نامعتبر"),"",LEFT($F121,4)&amp;MID($F121,6,2)&amp;RIGHT($F121,2)&amp;"0000"&amp;"|"&amp;"1"&amp;RIGHT("00000"&amp;116,5))</f>
        <v/>
      </c>
      <c r="H121">
        <f>IF(OR($B121&lt;&gt;1,$G121=""),"",COUNTIFS(LdAParty,$A121,LdAType,1,LdAKey,"&lt;"&amp;$G121)+COUNTIFS(LdBMember,$A121,LdBKey,"&lt;"&amp;$G121)+COUNTIFS(LdCParty,$A121,LdCKey,"&lt;"&amp;$G121)+1)</f>
        <v/>
      </c>
      <c r="I121">
        <f>IF($H121="","",$A121&amp;"|"&amp;RIGHT("000000"&amp;$H121,6))</f>
        <v/>
      </c>
      <c r="J121">
        <f>IF(OR($B121&lt;&gt;2,$G121=""),"",COUNTIFS(LdAParty,$A121,LdAType,2,LdAKey,"&lt;"&amp;$G121)+1)</f>
        <v/>
      </c>
      <c r="K121">
        <f>IF($J121="","",$A121&amp;"|"&amp;RIGHT("000000"&amp;$J121,6))</f>
        <v/>
      </c>
      <c r="L121">
        <f>IF($A121="","",IF(Wages!$G124="",0,Wages!$G124))</f>
        <v/>
      </c>
      <c r="M121">
        <f>IF($A121="","",Wages!$J124)</f>
        <v/>
      </c>
      <c r="N121">
        <f>IF($A121="","",Wages!$D124)</f>
        <v/>
      </c>
      <c r="P121">
        <f>IF(OR(Shares!$B124="",Shares!$C124=""),"",Shares!$C124)</f>
        <v/>
      </c>
      <c r="Q121">
        <f>IF($P121="","",Shares!$B124)</f>
        <v/>
      </c>
      <c r="R121">
        <f>IF($P121="","",IFERROR(INDEX(WageParty,MATCH($Q121,WageIds,0)),""))</f>
        <v/>
      </c>
      <c r="S121">
        <f>IF($P121="","",IFERROR(INDEX($F$6:$F$2005,MATCH($Q121,WageIds,0)),""))</f>
        <v/>
      </c>
      <c r="T121">
        <f>IF(OR($P121="",$S121="",$S121="نامعتبر"),"",LEFT($S121,4)&amp;MID($S121,6,2)&amp;RIGHT($S121,2)&amp;"0000"&amp;"|"&amp;"2"&amp;RIGHT("00000"&amp;116,5))</f>
        <v/>
      </c>
      <c r="U121">
        <f>IF($T121="","",COUNTIFS(LdAParty,$P121,LdAType,1,LdAKey,"&lt;"&amp;$T121)+COUNTIFS(LdBMember,$P121,LdBKey,"&lt;"&amp;$T121)+COUNTIFS(LdCParty,$P121,LdCKey,"&lt;"&amp;$T121)+1)</f>
        <v/>
      </c>
      <c r="V121">
        <f>IF($U121="","",$P121&amp;"|"&amp;RIGHT("000000"&amp;$U121,6))</f>
        <v/>
      </c>
      <c r="W121">
        <f>IF($T121="","",COUNTIFS(LdBGroup,$R121,LdBKey,"&lt;"&amp;$T121)+1)</f>
        <v/>
      </c>
      <c r="X121">
        <f>IF($W121="","",$R121&amp;"|"&amp;RIGHT("000000"&amp;$W121,6))</f>
        <v/>
      </c>
      <c r="Y121">
        <f>IF($P121="","",IF(Shares!$E124="",0,Shares!$E124))</f>
        <v/>
      </c>
      <c r="Z121">
        <f>IF($P121="","",Shares!$H124)</f>
        <v/>
      </c>
      <c r="AE121">
        <f>IF(OR(Sync!$S121="",Sync!$P121=""),"",Sync!$S121)</f>
        <v/>
      </c>
      <c r="AF121">
        <f>IF($AE121="","",IF(ISNUMBER(Sync!$P121),IF(AND(Sync!$P121&gt;=10000101,Sync!$P121&lt;=99991231),INT(Sync!$P121/10000),""),IFERROR(VALUE(TRIM(LEFT(Sync!$P121,FIND("/",Sync!$P121)-1))),"")))</f>
        <v/>
      </c>
      <c r="AG121">
        <f>IF(OR($AE121="",$AF121=""),"",IF(ISNUMBER(Sync!$P121),INT(MOD(Sync!$P121,10000)/100),IFERROR(VALUE(TRIM(LEFT(MID(Sync!$P121,FIND("/",Sync!$P121)+1,20),FIND("/",MID(Sync!$P121,FIND("/",Sync!$P121)+1,20))-1))),"")))</f>
        <v/>
      </c>
      <c r="AH121">
        <f>IF(OR($AE121="",$AF121=""),"",IF(ISNUMBER(Sync!$P121),MOD(Sync!$P121,100),IFERROR(VALUE(TRIM(MID(MID(Sync!$P121,FIND("/",Sync!$P121)+1,20),FIND("/",MID(Sync!$P121,FIND("/",Sync!$P121)+1,20))+1,20))),"")))</f>
        <v/>
      </c>
      <c r="AI121">
        <f>IF($AE121="","",IF(OR($AF121="",$AG121="",$AH121="",$AF121&lt;1300,$AF121&gt;1500,$AG121&lt;1,$AG121&gt;12,$AH121&lt;1,$AH121&gt;31),"نامعتبر",RIGHT("0000"&amp;$AF121,4)&amp;"/"&amp;RIGHT("00"&amp;$AG121,2)&amp;"/"&amp;RIGHT("00"&amp;$AH121,2)))</f>
        <v/>
      </c>
      <c r="AJ121">
        <f>IF($AE121="","",IF(Sync!$Q121="","0000",IF(AND(ISNUMBER(Sync!$Q121),Sync!$Q121&gt;=0,Sync!$Q121&lt;1),RIGHT("00"&amp;HOUR(Sync!$Q121),2)&amp;RIGHT("00"&amp;MINUTE(Sync!$Q121),2),IFERROR(RIGHT("00"&amp;VALUE(LEFT(Sync!$Q121,FIND(":",Sync!$Q121)-1)),2)&amp;RIGHT("00"&amp;VALUE(MID(Sync!$Q121,FIND(":",Sync!$Q121)+1,2)),2),"0000"))))</f>
        <v/>
      </c>
      <c r="AK121">
        <f>IF(OR($AE121="",$AI121="",$AI121="نامعتبر"),"",LEFT($AI121,4)&amp;MID($AI121,6,2)&amp;RIGHT($AI121,2)&amp;$AJ121&amp;"|"&amp;"3"&amp;RIGHT("00000"&amp;116,5))</f>
        <v/>
      </c>
      <c r="AL121">
        <f>IF($AK121="","",COUNTIFS(LdAParty,$AE121,LdAType,1,LdAKey,"&lt;"&amp;$AK121)+COUNTIFS(LdBMember,$AE121,LdBKey,"&lt;"&amp;$AK121)+COUNTIFS(LdCParty,$AE121,LdCKey,"&lt;"&amp;$AK121)+1)</f>
        <v/>
      </c>
      <c r="AM121">
        <f>IF($AL121="","",$AE121&amp;"|"&amp;RIGHT("000000"&amp;$AL121,6))</f>
        <v/>
      </c>
      <c r="AN121">
        <f>IF($AE121="","",IF(Sync!$W121="",0,Sync!$W121))</f>
        <v/>
      </c>
      <c r="AO121">
        <f>IF($AE121="","",IF(Sync!$X121="",0,Sync!$X121))</f>
        <v/>
      </c>
      <c r="AP121">
        <f>IF($AE121="","",Sync!$R121)</f>
        <v/>
      </c>
      <c r="AQ121">
        <f>IF($AE121="","",Sync!$Y121)</f>
        <v/>
      </c>
    </row>
    <row r="122">
      <c r="A122">
        <f>IF(OR(Wages!$B125="",Wages!$E125=""),"",Wages!$E125)</f>
        <v/>
      </c>
      <c r="B122">
        <f>IF($A122="","",IF(Wages!$C125="دستمزد گروهی",2,1))</f>
        <v/>
      </c>
      <c r="C122">
        <f>IF($A122="","",IF(ISNUMBER(Wages!$B125),IF(AND(Wages!$B125&gt;=10000101,Wages!$B125&lt;=99991231),INT(Wages!$B125/10000),""),IFERROR(VALUE(TRIM(LEFT(Wages!$B125,FIND("/",Wages!$B125)-1))),"")))</f>
        <v/>
      </c>
      <c r="D122">
        <f>IF(OR($A122="",$C122=""),"",IF(ISNUMBER(Wages!$B125),INT(MOD(Wages!$B125,10000)/100),IFERROR(VALUE(TRIM(LEFT(MID(Wages!$B125,FIND("/",Wages!$B125)+1,20),FIND("/",MID(Wages!$B125,FIND("/",Wages!$B125)+1,20))-1))),"")))</f>
        <v/>
      </c>
      <c r="E122">
        <f>IF(OR($A122="",$C122=""),"",IF(ISNUMBER(Wages!$B125),MOD(Wages!$B125,100),IFERROR(VALUE(TRIM(MID(MID(Wages!$B125,FIND("/",Wages!$B125)+1,20),FIND("/",MID(Wages!$B125,FIND("/",Wages!$B125)+1,20))+1,20))),"")))</f>
        <v/>
      </c>
      <c r="F122">
        <f>IF($A122="","",IF(OR($C122="",$D122="",$E122="",$C122&lt;1300,$C122&gt;1500,$D122&lt;1,$D122&gt;12,$E122&lt;1,$E122&gt;31),"نامعتبر",RIGHT("0000"&amp;$C122,4)&amp;"/"&amp;RIGHT("00"&amp;$D122,2)&amp;"/"&amp;RIGHT("00"&amp;$E122,2)))</f>
        <v/>
      </c>
      <c r="G122">
        <f>IF(OR($A122="",$F122="",$F122="نامعتبر"),"",LEFT($F122,4)&amp;MID($F122,6,2)&amp;RIGHT($F122,2)&amp;"0000"&amp;"|"&amp;"1"&amp;RIGHT("00000"&amp;117,5))</f>
        <v/>
      </c>
      <c r="H122">
        <f>IF(OR($B122&lt;&gt;1,$G122=""),"",COUNTIFS(LdAParty,$A122,LdAType,1,LdAKey,"&lt;"&amp;$G122)+COUNTIFS(LdBMember,$A122,LdBKey,"&lt;"&amp;$G122)+COUNTIFS(LdCParty,$A122,LdCKey,"&lt;"&amp;$G122)+1)</f>
        <v/>
      </c>
      <c r="I122">
        <f>IF($H122="","",$A122&amp;"|"&amp;RIGHT("000000"&amp;$H122,6))</f>
        <v/>
      </c>
      <c r="J122">
        <f>IF(OR($B122&lt;&gt;2,$G122=""),"",COUNTIFS(LdAParty,$A122,LdAType,2,LdAKey,"&lt;"&amp;$G122)+1)</f>
        <v/>
      </c>
      <c r="K122">
        <f>IF($J122="","",$A122&amp;"|"&amp;RIGHT("000000"&amp;$J122,6))</f>
        <v/>
      </c>
      <c r="L122">
        <f>IF($A122="","",IF(Wages!$G125="",0,Wages!$G125))</f>
        <v/>
      </c>
      <c r="M122">
        <f>IF($A122="","",Wages!$J125)</f>
        <v/>
      </c>
      <c r="N122">
        <f>IF($A122="","",Wages!$D125)</f>
        <v/>
      </c>
      <c r="P122">
        <f>IF(OR(Shares!$B125="",Shares!$C125=""),"",Shares!$C125)</f>
        <v/>
      </c>
      <c r="Q122">
        <f>IF($P122="","",Shares!$B125)</f>
        <v/>
      </c>
      <c r="R122">
        <f>IF($P122="","",IFERROR(INDEX(WageParty,MATCH($Q122,WageIds,0)),""))</f>
        <v/>
      </c>
      <c r="S122">
        <f>IF($P122="","",IFERROR(INDEX($F$6:$F$2005,MATCH($Q122,WageIds,0)),""))</f>
        <v/>
      </c>
      <c r="T122">
        <f>IF(OR($P122="",$S122="",$S122="نامعتبر"),"",LEFT($S122,4)&amp;MID($S122,6,2)&amp;RIGHT($S122,2)&amp;"0000"&amp;"|"&amp;"2"&amp;RIGHT("00000"&amp;117,5))</f>
        <v/>
      </c>
      <c r="U122">
        <f>IF($T122="","",COUNTIFS(LdAParty,$P122,LdAType,1,LdAKey,"&lt;"&amp;$T122)+COUNTIFS(LdBMember,$P122,LdBKey,"&lt;"&amp;$T122)+COUNTIFS(LdCParty,$P122,LdCKey,"&lt;"&amp;$T122)+1)</f>
        <v/>
      </c>
      <c r="V122">
        <f>IF($U122="","",$P122&amp;"|"&amp;RIGHT("000000"&amp;$U122,6))</f>
        <v/>
      </c>
      <c r="W122">
        <f>IF($T122="","",COUNTIFS(LdBGroup,$R122,LdBKey,"&lt;"&amp;$T122)+1)</f>
        <v/>
      </c>
      <c r="X122">
        <f>IF($W122="","",$R122&amp;"|"&amp;RIGHT("000000"&amp;$W122,6))</f>
        <v/>
      </c>
      <c r="Y122">
        <f>IF($P122="","",IF(Shares!$E125="",0,Shares!$E125))</f>
        <v/>
      </c>
      <c r="Z122">
        <f>IF($P122="","",Shares!$H125)</f>
        <v/>
      </c>
      <c r="AE122">
        <f>IF(OR(Sync!$S122="",Sync!$P122=""),"",Sync!$S122)</f>
        <v/>
      </c>
      <c r="AF122">
        <f>IF($AE122="","",IF(ISNUMBER(Sync!$P122),IF(AND(Sync!$P122&gt;=10000101,Sync!$P122&lt;=99991231),INT(Sync!$P122/10000),""),IFERROR(VALUE(TRIM(LEFT(Sync!$P122,FIND("/",Sync!$P122)-1))),"")))</f>
        <v/>
      </c>
      <c r="AG122">
        <f>IF(OR($AE122="",$AF122=""),"",IF(ISNUMBER(Sync!$P122),INT(MOD(Sync!$P122,10000)/100),IFERROR(VALUE(TRIM(LEFT(MID(Sync!$P122,FIND("/",Sync!$P122)+1,20),FIND("/",MID(Sync!$P122,FIND("/",Sync!$P122)+1,20))-1))),"")))</f>
        <v/>
      </c>
      <c r="AH122">
        <f>IF(OR($AE122="",$AF122=""),"",IF(ISNUMBER(Sync!$P122),MOD(Sync!$P122,100),IFERROR(VALUE(TRIM(MID(MID(Sync!$P122,FIND("/",Sync!$P122)+1,20),FIND("/",MID(Sync!$P122,FIND("/",Sync!$P122)+1,20))+1,20))),"")))</f>
        <v/>
      </c>
      <c r="AI122">
        <f>IF($AE122="","",IF(OR($AF122="",$AG122="",$AH122="",$AF122&lt;1300,$AF122&gt;1500,$AG122&lt;1,$AG122&gt;12,$AH122&lt;1,$AH122&gt;31),"نامعتبر",RIGHT("0000"&amp;$AF122,4)&amp;"/"&amp;RIGHT("00"&amp;$AG122,2)&amp;"/"&amp;RIGHT("00"&amp;$AH122,2)))</f>
        <v/>
      </c>
      <c r="AJ122">
        <f>IF($AE122="","",IF(Sync!$Q122="","0000",IF(AND(ISNUMBER(Sync!$Q122),Sync!$Q122&gt;=0,Sync!$Q122&lt;1),RIGHT("00"&amp;HOUR(Sync!$Q122),2)&amp;RIGHT("00"&amp;MINUTE(Sync!$Q122),2),IFERROR(RIGHT("00"&amp;VALUE(LEFT(Sync!$Q122,FIND(":",Sync!$Q122)-1)),2)&amp;RIGHT("00"&amp;VALUE(MID(Sync!$Q122,FIND(":",Sync!$Q122)+1,2)),2),"0000"))))</f>
        <v/>
      </c>
      <c r="AK122">
        <f>IF(OR($AE122="",$AI122="",$AI122="نامعتبر"),"",LEFT($AI122,4)&amp;MID($AI122,6,2)&amp;RIGHT($AI122,2)&amp;$AJ122&amp;"|"&amp;"3"&amp;RIGHT("00000"&amp;117,5))</f>
        <v/>
      </c>
      <c r="AL122">
        <f>IF($AK122="","",COUNTIFS(LdAParty,$AE122,LdAType,1,LdAKey,"&lt;"&amp;$AK122)+COUNTIFS(LdBMember,$AE122,LdBKey,"&lt;"&amp;$AK122)+COUNTIFS(LdCParty,$AE122,LdCKey,"&lt;"&amp;$AK122)+1)</f>
        <v/>
      </c>
      <c r="AM122">
        <f>IF($AL122="","",$AE122&amp;"|"&amp;RIGHT("000000"&amp;$AL122,6))</f>
        <v/>
      </c>
      <c r="AN122">
        <f>IF($AE122="","",IF(Sync!$W122="",0,Sync!$W122))</f>
        <v/>
      </c>
      <c r="AO122">
        <f>IF($AE122="","",IF(Sync!$X122="",0,Sync!$X122))</f>
        <v/>
      </c>
      <c r="AP122">
        <f>IF($AE122="","",Sync!$R122)</f>
        <v/>
      </c>
      <c r="AQ122">
        <f>IF($AE122="","",Sync!$Y122)</f>
        <v/>
      </c>
    </row>
    <row r="123">
      <c r="A123">
        <f>IF(OR(Wages!$B126="",Wages!$E126=""),"",Wages!$E126)</f>
        <v/>
      </c>
      <c r="B123">
        <f>IF($A123="","",IF(Wages!$C126="دستمزد گروهی",2,1))</f>
        <v/>
      </c>
      <c r="C123">
        <f>IF($A123="","",IF(ISNUMBER(Wages!$B126),IF(AND(Wages!$B126&gt;=10000101,Wages!$B126&lt;=99991231),INT(Wages!$B126/10000),""),IFERROR(VALUE(TRIM(LEFT(Wages!$B126,FIND("/",Wages!$B126)-1))),"")))</f>
        <v/>
      </c>
      <c r="D123">
        <f>IF(OR($A123="",$C123=""),"",IF(ISNUMBER(Wages!$B126),INT(MOD(Wages!$B126,10000)/100),IFERROR(VALUE(TRIM(LEFT(MID(Wages!$B126,FIND("/",Wages!$B126)+1,20),FIND("/",MID(Wages!$B126,FIND("/",Wages!$B126)+1,20))-1))),"")))</f>
        <v/>
      </c>
      <c r="E123">
        <f>IF(OR($A123="",$C123=""),"",IF(ISNUMBER(Wages!$B126),MOD(Wages!$B126,100),IFERROR(VALUE(TRIM(MID(MID(Wages!$B126,FIND("/",Wages!$B126)+1,20),FIND("/",MID(Wages!$B126,FIND("/",Wages!$B126)+1,20))+1,20))),"")))</f>
        <v/>
      </c>
      <c r="F123">
        <f>IF($A123="","",IF(OR($C123="",$D123="",$E123="",$C123&lt;1300,$C123&gt;1500,$D123&lt;1,$D123&gt;12,$E123&lt;1,$E123&gt;31),"نامعتبر",RIGHT("0000"&amp;$C123,4)&amp;"/"&amp;RIGHT("00"&amp;$D123,2)&amp;"/"&amp;RIGHT("00"&amp;$E123,2)))</f>
        <v/>
      </c>
      <c r="G123">
        <f>IF(OR($A123="",$F123="",$F123="نامعتبر"),"",LEFT($F123,4)&amp;MID($F123,6,2)&amp;RIGHT($F123,2)&amp;"0000"&amp;"|"&amp;"1"&amp;RIGHT("00000"&amp;118,5))</f>
        <v/>
      </c>
      <c r="H123">
        <f>IF(OR($B123&lt;&gt;1,$G123=""),"",COUNTIFS(LdAParty,$A123,LdAType,1,LdAKey,"&lt;"&amp;$G123)+COUNTIFS(LdBMember,$A123,LdBKey,"&lt;"&amp;$G123)+COUNTIFS(LdCParty,$A123,LdCKey,"&lt;"&amp;$G123)+1)</f>
        <v/>
      </c>
      <c r="I123">
        <f>IF($H123="","",$A123&amp;"|"&amp;RIGHT("000000"&amp;$H123,6))</f>
        <v/>
      </c>
      <c r="J123">
        <f>IF(OR($B123&lt;&gt;2,$G123=""),"",COUNTIFS(LdAParty,$A123,LdAType,2,LdAKey,"&lt;"&amp;$G123)+1)</f>
        <v/>
      </c>
      <c r="K123">
        <f>IF($J123="","",$A123&amp;"|"&amp;RIGHT("000000"&amp;$J123,6))</f>
        <v/>
      </c>
      <c r="L123">
        <f>IF($A123="","",IF(Wages!$G126="",0,Wages!$G126))</f>
        <v/>
      </c>
      <c r="M123">
        <f>IF($A123="","",Wages!$J126)</f>
        <v/>
      </c>
      <c r="N123">
        <f>IF($A123="","",Wages!$D126)</f>
        <v/>
      </c>
      <c r="P123">
        <f>IF(OR(Shares!$B126="",Shares!$C126=""),"",Shares!$C126)</f>
        <v/>
      </c>
      <c r="Q123">
        <f>IF($P123="","",Shares!$B126)</f>
        <v/>
      </c>
      <c r="R123">
        <f>IF($P123="","",IFERROR(INDEX(WageParty,MATCH($Q123,WageIds,0)),""))</f>
        <v/>
      </c>
      <c r="S123">
        <f>IF($P123="","",IFERROR(INDEX($F$6:$F$2005,MATCH($Q123,WageIds,0)),""))</f>
        <v/>
      </c>
      <c r="T123">
        <f>IF(OR($P123="",$S123="",$S123="نامعتبر"),"",LEFT($S123,4)&amp;MID($S123,6,2)&amp;RIGHT($S123,2)&amp;"0000"&amp;"|"&amp;"2"&amp;RIGHT("00000"&amp;118,5))</f>
        <v/>
      </c>
      <c r="U123">
        <f>IF($T123="","",COUNTIFS(LdAParty,$P123,LdAType,1,LdAKey,"&lt;"&amp;$T123)+COUNTIFS(LdBMember,$P123,LdBKey,"&lt;"&amp;$T123)+COUNTIFS(LdCParty,$P123,LdCKey,"&lt;"&amp;$T123)+1)</f>
        <v/>
      </c>
      <c r="V123">
        <f>IF($U123="","",$P123&amp;"|"&amp;RIGHT("000000"&amp;$U123,6))</f>
        <v/>
      </c>
      <c r="W123">
        <f>IF($T123="","",COUNTIFS(LdBGroup,$R123,LdBKey,"&lt;"&amp;$T123)+1)</f>
        <v/>
      </c>
      <c r="X123">
        <f>IF($W123="","",$R123&amp;"|"&amp;RIGHT("000000"&amp;$W123,6))</f>
        <v/>
      </c>
      <c r="Y123">
        <f>IF($P123="","",IF(Shares!$E126="",0,Shares!$E126))</f>
        <v/>
      </c>
      <c r="Z123">
        <f>IF($P123="","",Shares!$H126)</f>
        <v/>
      </c>
      <c r="AE123">
        <f>IF(OR(Sync!$S123="",Sync!$P123=""),"",Sync!$S123)</f>
        <v/>
      </c>
      <c r="AF123">
        <f>IF($AE123="","",IF(ISNUMBER(Sync!$P123),IF(AND(Sync!$P123&gt;=10000101,Sync!$P123&lt;=99991231),INT(Sync!$P123/10000),""),IFERROR(VALUE(TRIM(LEFT(Sync!$P123,FIND("/",Sync!$P123)-1))),"")))</f>
        <v/>
      </c>
      <c r="AG123">
        <f>IF(OR($AE123="",$AF123=""),"",IF(ISNUMBER(Sync!$P123),INT(MOD(Sync!$P123,10000)/100),IFERROR(VALUE(TRIM(LEFT(MID(Sync!$P123,FIND("/",Sync!$P123)+1,20),FIND("/",MID(Sync!$P123,FIND("/",Sync!$P123)+1,20))-1))),"")))</f>
        <v/>
      </c>
      <c r="AH123">
        <f>IF(OR($AE123="",$AF123=""),"",IF(ISNUMBER(Sync!$P123),MOD(Sync!$P123,100),IFERROR(VALUE(TRIM(MID(MID(Sync!$P123,FIND("/",Sync!$P123)+1,20),FIND("/",MID(Sync!$P123,FIND("/",Sync!$P123)+1,20))+1,20))),"")))</f>
        <v/>
      </c>
      <c r="AI123">
        <f>IF($AE123="","",IF(OR($AF123="",$AG123="",$AH123="",$AF123&lt;1300,$AF123&gt;1500,$AG123&lt;1,$AG123&gt;12,$AH123&lt;1,$AH123&gt;31),"نامعتبر",RIGHT("0000"&amp;$AF123,4)&amp;"/"&amp;RIGHT("00"&amp;$AG123,2)&amp;"/"&amp;RIGHT("00"&amp;$AH123,2)))</f>
        <v/>
      </c>
      <c r="AJ123">
        <f>IF($AE123="","",IF(Sync!$Q123="","0000",IF(AND(ISNUMBER(Sync!$Q123),Sync!$Q123&gt;=0,Sync!$Q123&lt;1),RIGHT("00"&amp;HOUR(Sync!$Q123),2)&amp;RIGHT("00"&amp;MINUTE(Sync!$Q123),2),IFERROR(RIGHT("00"&amp;VALUE(LEFT(Sync!$Q123,FIND(":",Sync!$Q123)-1)),2)&amp;RIGHT("00"&amp;VALUE(MID(Sync!$Q123,FIND(":",Sync!$Q123)+1,2)),2),"0000"))))</f>
        <v/>
      </c>
      <c r="AK123">
        <f>IF(OR($AE123="",$AI123="",$AI123="نامعتبر"),"",LEFT($AI123,4)&amp;MID($AI123,6,2)&amp;RIGHT($AI123,2)&amp;$AJ123&amp;"|"&amp;"3"&amp;RIGHT("00000"&amp;118,5))</f>
        <v/>
      </c>
      <c r="AL123">
        <f>IF($AK123="","",COUNTIFS(LdAParty,$AE123,LdAType,1,LdAKey,"&lt;"&amp;$AK123)+COUNTIFS(LdBMember,$AE123,LdBKey,"&lt;"&amp;$AK123)+COUNTIFS(LdCParty,$AE123,LdCKey,"&lt;"&amp;$AK123)+1)</f>
        <v/>
      </c>
      <c r="AM123">
        <f>IF($AL123="","",$AE123&amp;"|"&amp;RIGHT("000000"&amp;$AL123,6))</f>
        <v/>
      </c>
      <c r="AN123">
        <f>IF($AE123="","",IF(Sync!$W123="",0,Sync!$W123))</f>
        <v/>
      </c>
      <c r="AO123">
        <f>IF($AE123="","",IF(Sync!$X123="",0,Sync!$X123))</f>
        <v/>
      </c>
      <c r="AP123">
        <f>IF($AE123="","",Sync!$R123)</f>
        <v/>
      </c>
      <c r="AQ123">
        <f>IF($AE123="","",Sync!$Y123)</f>
        <v/>
      </c>
    </row>
    <row r="124">
      <c r="A124">
        <f>IF(OR(Wages!$B127="",Wages!$E127=""),"",Wages!$E127)</f>
        <v/>
      </c>
      <c r="B124">
        <f>IF($A124="","",IF(Wages!$C127="دستمزد گروهی",2,1))</f>
        <v/>
      </c>
      <c r="C124">
        <f>IF($A124="","",IF(ISNUMBER(Wages!$B127),IF(AND(Wages!$B127&gt;=10000101,Wages!$B127&lt;=99991231),INT(Wages!$B127/10000),""),IFERROR(VALUE(TRIM(LEFT(Wages!$B127,FIND("/",Wages!$B127)-1))),"")))</f>
        <v/>
      </c>
      <c r="D124">
        <f>IF(OR($A124="",$C124=""),"",IF(ISNUMBER(Wages!$B127),INT(MOD(Wages!$B127,10000)/100),IFERROR(VALUE(TRIM(LEFT(MID(Wages!$B127,FIND("/",Wages!$B127)+1,20),FIND("/",MID(Wages!$B127,FIND("/",Wages!$B127)+1,20))-1))),"")))</f>
        <v/>
      </c>
      <c r="E124">
        <f>IF(OR($A124="",$C124=""),"",IF(ISNUMBER(Wages!$B127),MOD(Wages!$B127,100),IFERROR(VALUE(TRIM(MID(MID(Wages!$B127,FIND("/",Wages!$B127)+1,20),FIND("/",MID(Wages!$B127,FIND("/",Wages!$B127)+1,20))+1,20))),"")))</f>
        <v/>
      </c>
      <c r="F124">
        <f>IF($A124="","",IF(OR($C124="",$D124="",$E124="",$C124&lt;1300,$C124&gt;1500,$D124&lt;1,$D124&gt;12,$E124&lt;1,$E124&gt;31),"نامعتبر",RIGHT("0000"&amp;$C124,4)&amp;"/"&amp;RIGHT("00"&amp;$D124,2)&amp;"/"&amp;RIGHT("00"&amp;$E124,2)))</f>
        <v/>
      </c>
      <c r="G124">
        <f>IF(OR($A124="",$F124="",$F124="نامعتبر"),"",LEFT($F124,4)&amp;MID($F124,6,2)&amp;RIGHT($F124,2)&amp;"0000"&amp;"|"&amp;"1"&amp;RIGHT("00000"&amp;119,5))</f>
        <v/>
      </c>
      <c r="H124">
        <f>IF(OR($B124&lt;&gt;1,$G124=""),"",COUNTIFS(LdAParty,$A124,LdAType,1,LdAKey,"&lt;"&amp;$G124)+COUNTIFS(LdBMember,$A124,LdBKey,"&lt;"&amp;$G124)+COUNTIFS(LdCParty,$A124,LdCKey,"&lt;"&amp;$G124)+1)</f>
        <v/>
      </c>
      <c r="I124">
        <f>IF($H124="","",$A124&amp;"|"&amp;RIGHT("000000"&amp;$H124,6))</f>
        <v/>
      </c>
      <c r="J124">
        <f>IF(OR($B124&lt;&gt;2,$G124=""),"",COUNTIFS(LdAParty,$A124,LdAType,2,LdAKey,"&lt;"&amp;$G124)+1)</f>
        <v/>
      </c>
      <c r="K124">
        <f>IF($J124="","",$A124&amp;"|"&amp;RIGHT("000000"&amp;$J124,6))</f>
        <v/>
      </c>
      <c r="L124">
        <f>IF($A124="","",IF(Wages!$G127="",0,Wages!$G127))</f>
        <v/>
      </c>
      <c r="M124">
        <f>IF($A124="","",Wages!$J127)</f>
        <v/>
      </c>
      <c r="N124">
        <f>IF($A124="","",Wages!$D127)</f>
        <v/>
      </c>
      <c r="P124">
        <f>IF(OR(Shares!$B127="",Shares!$C127=""),"",Shares!$C127)</f>
        <v/>
      </c>
      <c r="Q124">
        <f>IF($P124="","",Shares!$B127)</f>
        <v/>
      </c>
      <c r="R124">
        <f>IF($P124="","",IFERROR(INDEX(WageParty,MATCH($Q124,WageIds,0)),""))</f>
        <v/>
      </c>
      <c r="S124">
        <f>IF($P124="","",IFERROR(INDEX($F$6:$F$2005,MATCH($Q124,WageIds,0)),""))</f>
        <v/>
      </c>
      <c r="T124">
        <f>IF(OR($P124="",$S124="",$S124="نامعتبر"),"",LEFT($S124,4)&amp;MID($S124,6,2)&amp;RIGHT($S124,2)&amp;"0000"&amp;"|"&amp;"2"&amp;RIGHT("00000"&amp;119,5))</f>
        <v/>
      </c>
      <c r="U124">
        <f>IF($T124="","",COUNTIFS(LdAParty,$P124,LdAType,1,LdAKey,"&lt;"&amp;$T124)+COUNTIFS(LdBMember,$P124,LdBKey,"&lt;"&amp;$T124)+COUNTIFS(LdCParty,$P124,LdCKey,"&lt;"&amp;$T124)+1)</f>
        <v/>
      </c>
      <c r="V124">
        <f>IF($U124="","",$P124&amp;"|"&amp;RIGHT("000000"&amp;$U124,6))</f>
        <v/>
      </c>
      <c r="W124">
        <f>IF($T124="","",COUNTIFS(LdBGroup,$R124,LdBKey,"&lt;"&amp;$T124)+1)</f>
        <v/>
      </c>
      <c r="X124">
        <f>IF($W124="","",$R124&amp;"|"&amp;RIGHT("000000"&amp;$W124,6))</f>
        <v/>
      </c>
      <c r="Y124">
        <f>IF($P124="","",IF(Shares!$E127="",0,Shares!$E127))</f>
        <v/>
      </c>
      <c r="Z124">
        <f>IF($P124="","",Shares!$H127)</f>
        <v/>
      </c>
      <c r="AE124">
        <f>IF(OR(Sync!$S124="",Sync!$P124=""),"",Sync!$S124)</f>
        <v/>
      </c>
      <c r="AF124">
        <f>IF($AE124="","",IF(ISNUMBER(Sync!$P124),IF(AND(Sync!$P124&gt;=10000101,Sync!$P124&lt;=99991231),INT(Sync!$P124/10000),""),IFERROR(VALUE(TRIM(LEFT(Sync!$P124,FIND("/",Sync!$P124)-1))),"")))</f>
        <v/>
      </c>
      <c r="AG124">
        <f>IF(OR($AE124="",$AF124=""),"",IF(ISNUMBER(Sync!$P124),INT(MOD(Sync!$P124,10000)/100),IFERROR(VALUE(TRIM(LEFT(MID(Sync!$P124,FIND("/",Sync!$P124)+1,20),FIND("/",MID(Sync!$P124,FIND("/",Sync!$P124)+1,20))-1))),"")))</f>
        <v/>
      </c>
      <c r="AH124">
        <f>IF(OR($AE124="",$AF124=""),"",IF(ISNUMBER(Sync!$P124),MOD(Sync!$P124,100),IFERROR(VALUE(TRIM(MID(MID(Sync!$P124,FIND("/",Sync!$P124)+1,20),FIND("/",MID(Sync!$P124,FIND("/",Sync!$P124)+1,20))+1,20))),"")))</f>
        <v/>
      </c>
      <c r="AI124">
        <f>IF($AE124="","",IF(OR($AF124="",$AG124="",$AH124="",$AF124&lt;1300,$AF124&gt;1500,$AG124&lt;1,$AG124&gt;12,$AH124&lt;1,$AH124&gt;31),"نامعتبر",RIGHT("0000"&amp;$AF124,4)&amp;"/"&amp;RIGHT("00"&amp;$AG124,2)&amp;"/"&amp;RIGHT("00"&amp;$AH124,2)))</f>
        <v/>
      </c>
      <c r="AJ124">
        <f>IF($AE124="","",IF(Sync!$Q124="","0000",IF(AND(ISNUMBER(Sync!$Q124),Sync!$Q124&gt;=0,Sync!$Q124&lt;1),RIGHT("00"&amp;HOUR(Sync!$Q124),2)&amp;RIGHT("00"&amp;MINUTE(Sync!$Q124),2),IFERROR(RIGHT("00"&amp;VALUE(LEFT(Sync!$Q124,FIND(":",Sync!$Q124)-1)),2)&amp;RIGHT("00"&amp;VALUE(MID(Sync!$Q124,FIND(":",Sync!$Q124)+1,2)),2),"0000"))))</f>
        <v/>
      </c>
      <c r="AK124">
        <f>IF(OR($AE124="",$AI124="",$AI124="نامعتبر"),"",LEFT($AI124,4)&amp;MID($AI124,6,2)&amp;RIGHT($AI124,2)&amp;$AJ124&amp;"|"&amp;"3"&amp;RIGHT("00000"&amp;119,5))</f>
        <v/>
      </c>
      <c r="AL124">
        <f>IF($AK124="","",COUNTIFS(LdAParty,$AE124,LdAType,1,LdAKey,"&lt;"&amp;$AK124)+COUNTIFS(LdBMember,$AE124,LdBKey,"&lt;"&amp;$AK124)+COUNTIFS(LdCParty,$AE124,LdCKey,"&lt;"&amp;$AK124)+1)</f>
        <v/>
      </c>
      <c r="AM124">
        <f>IF($AL124="","",$AE124&amp;"|"&amp;RIGHT("000000"&amp;$AL124,6))</f>
        <v/>
      </c>
      <c r="AN124">
        <f>IF($AE124="","",IF(Sync!$W124="",0,Sync!$W124))</f>
        <v/>
      </c>
      <c r="AO124">
        <f>IF($AE124="","",IF(Sync!$X124="",0,Sync!$X124))</f>
        <v/>
      </c>
      <c r="AP124">
        <f>IF($AE124="","",Sync!$R124)</f>
        <v/>
      </c>
      <c r="AQ124">
        <f>IF($AE124="","",Sync!$Y124)</f>
        <v/>
      </c>
    </row>
    <row r="125">
      <c r="A125">
        <f>IF(OR(Wages!$B128="",Wages!$E128=""),"",Wages!$E128)</f>
        <v/>
      </c>
      <c r="B125">
        <f>IF($A125="","",IF(Wages!$C128="دستمزد گروهی",2,1))</f>
        <v/>
      </c>
      <c r="C125">
        <f>IF($A125="","",IF(ISNUMBER(Wages!$B128),IF(AND(Wages!$B128&gt;=10000101,Wages!$B128&lt;=99991231),INT(Wages!$B128/10000),""),IFERROR(VALUE(TRIM(LEFT(Wages!$B128,FIND("/",Wages!$B128)-1))),"")))</f>
        <v/>
      </c>
      <c r="D125">
        <f>IF(OR($A125="",$C125=""),"",IF(ISNUMBER(Wages!$B128),INT(MOD(Wages!$B128,10000)/100),IFERROR(VALUE(TRIM(LEFT(MID(Wages!$B128,FIND("/",Wages!$B128)+1,20),FIND("/",MID(Wages!$B128,FIND("/",Wages!$B128)+1,20))-1))),"")))</f>
        <v/>
      </c>
      <c r="E125">
        <f>IF(OR($A125="",$C125=""),"",IF(ISNUMBER(Wages!$B128),MOD(Wages!$B128,100),IFERROR(VALUE(TRIM(MID(MID(Wages!$B128,FIND("/",Wages!$B128)+1,20),FIND("/",MID(Wages!$B128,FIND("/",Wages!$B128)+1,20))+1,20))),"")))</f>
        <v/>
      </c>
      <c r="F125">
        <f>IF($A125="","",IF(OR($C125="",$D125="",$E125="",$C125&lt;1300,$C125&gt;1500,$D125&lt;1,$D125&gt;12,$E125&lt;1,$E125&gt;31),"نامعتبر",RIGHT("0000"&amp;$C125,4)&amp;"/"&amp;RIGHT("00"&amp;$D125,2)&amp;"/"&amp;RIGHT("00"&amp;$E125,2)))</f>
        <v/>
      </c>
      <c r="G125">
        <f>IF(OR($A125="",$F125="",$F125="نامعتبر"),"",LEFT($F125,4)&amp;MID($F125,6,2)&amp;RIGHT($F125,2)&amp;"0000"&amp;"|"&amp;"1"&amp;RIGHT("00000"&amp;120,5))</f>
        <v/>
      </c>
      <c r="H125">
        <f>IF(OR($B125&lt;&gt;1,$G125=""),"",COUNTIFS(LdAParty,$A125,LdAType,1,LdAKey,"&lt;"&amp;$G125)+COUNTIFS(LdBMember,$A125,LdBKey,"&lt;"&amp;$G125)+COUNTIFS(LdCParty,$A125,LdCKey,"&lt;"&amp;$G125)+1)</f>
        <v/>
      </c>
      <c r="I125">
        <f>IF($H125="","",$A125&amp;"|"&amp;RIGHT("000000"&amp;$H125,6))</f>
        <v/>
      </c>
      <c r="J125">
        <f>IF(OR($B125&lt;&gt;2,$G125=""),"",COUNTIFS(LdAParty,$A125,LdAType,2,LdAKey,"&lt;"&amp;$G125)+1)</f>
        <v/>
      </c>
      <c r="K125">
        <f>IF($J125="","",$A125&amp;"|"&amp;RIGHT("000000"&amp;$J125,6))</f>
        <v/>
      </c>
      <c r="L125">
        <f>IF($A125="","",IF(Wages!$G128="",0,Wages!$G128))</f>
        <v/>
      </c>
      <c r="M125">
        <f>IF($A125="","",Wages!$J128)</f>
        <v/>
      </c>
      <c r="N125">
        <f>IF($A125="","",Wages!$D128)</f>
        <v/>
      </c>
      <c r="P125">
        <f>IF(OR(Shares!$B128="",Shares!$C128=""),"",Shares!$C128)</f>
        <v/>
      </c>
      <c r="Q125">
        <f>IF($P125="","",Shares!$B128)</f>
        <v/>
      </c>
      <c r="R125">
        <f>IF($P125="","",IFERROR(INDEX(WageParty,MATCH($Q125,WageIds,0)),""))</f>
        <v/>
      </c>
      <c r="S125">
        <f>IF($P125="","",IFERROR(INDEX($F$6:$F$2005,MATCH($Q125,WageIds,0)),""))</f>
        <v/>
      </c>
      <c r="T125">
        <f>IF(OR($P125="",$S125="",$S125="نامعتبر"),"",LEFT($S125,4)&amp;MID($S125,6,2)&amp;RIGHT($S125,2)&amp;"0000"&amp;"|"&amp;"2"&amp;RIGHT("00000"&amp;120,5))</f>
        <v/>
      </c>
      <c r="U125">
        <f>IF($T125="","",COUNTIFS(LdAParty,$P125,LdAType,1,LdAKey,"&lt;"&amp;$T125)+COUNTIFS(LdBMember,$P125,LdBKey,"&lt;"&amp;$T125)+COUNTIFS(LdCParty,$P125,LdCKey,"&lt;"&amp;$T125)+1)</f>
        <v/>
      </c>
      <c r="V125">
        <f>IF($U125="","",$P125&amp;"|"&amp;RIGHT("000000"&amp;$U125,6))</f>
        <v/>
      </c>
      <c r="W125">
        <f>IF($T125="","",COUNTIFS(LdBGroup,$R125,LdBKey,"&lt;"&amp;$T125)+1)</f>
        <v/>
      </c>
      <c r="X125">
        <f>IF($W125="","",$R125&amp;"|"&amp;RIGHT("000000"&amp;$W125,6))</f>
        <v/>
      </c>
      <c r="Y125">
        <f>IF($P125="","",IF(Shares!$E128="",0,Shares!$E128))</f>
        <v/>
      </c>
      <c r="Z125">
        <f>IF($P125="","",Shares!$H128)</f>
        <v/>
      </c>
      <c r="AE125">
        <f>IF(OR(Sync!$S125="",Sync!$P125=""),"",Sync!$S125)</f>
        <v/>
      </c>
      <c r="AF125">
        <f>IF($AE125="","",IF(ISNUMBER(Sync!$P125),IF(AND(Sync!$P125&gt;=10000101,Sync!$P125&lt;=99991231),INT(Sync!$P125/10000),""),IFERROR(VALUE(TRIM(LEFT(Sync!$P125,FIND("/",Sync!$P125)-1))),"")))</f>
        <v/>
      </c>
      <c r="AG125">
        <f>IF(OR($AE125="",$AF125=""),"",IF(ISNUMBER(Sync!$P125),INT(MOD(Sync!$P125,10000)/100),IFERROR(VALUE(TRIM(LEFT(MID(Sync!$P125,FIND("/",Sync!$P125)+1,20),FIND("/",MID(Sync!$P125,FIND("/",Sync!$P125)+1,20))-1))),"")))</f>
        <v/>
      </c>
      <c r="AH125">
        <f>IF(OR($AE125="",$AF125=""),"",IF(ISNUMBER(Sync!$P125),MOD(Sync!$P125,100),IFERROR(VALUE(TRIM(MID(MID(Sync!$P125,FIND("/",Sync!$P125)+1,20),FIND("/",MID(Sync!$P125,FIND("/",Sync!$P125)+1,20))+1,20))),"")))</f>
        <v/>
      </c>
      <c r="AI125">
        <f>IF($AE125="","",IF(OR($AF125="",$AG125="",$AH125="",$AF125&lt;1300,$AF125&gt;1500,$AG125&lt;1,$AG125&gt;12,$AH125&lt;1,$AH125&gt;31),"نامعتبر",RIGHT("0000"&amp;$AF125,4)&amp;"/"&amp;RIGHT("00"&amp;$AG125,2)&amp;"/"&amp;RIGHT("00"&amp;$AH125,2)))</f>
        <v/>
      </c>
      <c r="AJ125">
        <f>IF($AE125="","",IF(Sync!$Q125="","0000",IF(AND(ISNUMBER(Sync!$Q125),Sync!$Q125&gt;=0,Sync!$Q125&lt;1),RIGHT("00"&amp;HOUR(Sync!$Q125),2)&amp;RIGHT("00"&amp;MINUTE(Sync!$Q125),2),IFERROR(RIGHT("00"&amp;VALUE(LEFT(Sync!$Q125,FIND(":",Sync!$Q125)-1)),2)&amp;RIGHT("00"&amp;VALUE(MID(Sync!$Q125,FIND(":",Sync!$Q125)+1,2)),2),"0000"))))</f>
        <v/>
      </c>
      <c r="AK125">
        <f>IF(OR($AE125="",$AI125="",$AI125="نامعتبر"),"",LEFT($AI125,4)&amp;MID($AI125,6,2)&amp;RIGHT($AI125,2)&amp;$AJ125&amp;"|"&amp;"3"&amp;RIGHT("00000"&amp;120,5))</f>
        <v/>
      </c>
      <c r="AL125">
        <f>IF($AK125="","",COUNTIFS(LdAParty,$AE125,LdAType,1,LdAKey,"&lt;"&amp;$AK125)+COUNTIFS(LdBMember,$AE125,LdBKey,"&lt;"&amp;$AK125)+COUNTIFS(LdCParty,$AE125,LdCKey,"&lt;"&amp;$AK125)+1)</f>
        <v/>
      </c>
      <c r="AM125">
        <f>IF($AL125="","",$AE125&amp;"|"&amp;RIGHT("000000"&amp;$AL125,6))</f>
        <v/>
      </c>
      <c r="AN125">
        <f>IF($AE125="","",IF(Sync!$W125="",0,Sync!$W125))</f>
        <v/>
      </c>
      <c r="AO125">
        <f>IF($AE125="","",IF(Sync!$X125="",0,Sync!$X125))</f>
        <v/>
      </c>
      <c r="AP125">
        <f>IF($AE125="","",Sync!$R125)</f>
        <v/>
      </c>
      <c r="AQ125">
        <f>IF($AE125="","",Sync!$Y125)</f>
        <v/>
      </c>
    </row>
    <row r="126">
      <c r="A126">
        <f>IF(OR(Wages!$B129="",Wages!$E129=""),"",Wages!$E129)</f>
        <v/>
      </c>
      <c r="B126">
        <f>IF($A126="","",IF(Wages!$C129="دستمزد گروهی",2,1))</f>
        <v/>
      </c>
      <c r="C126">
        <f>IF($A126="","",IF(ISNUMBER(Wages!$B129),IF(AND(Wages!$B129&gt;=10000101,Wages!$B129&lt;=99991231),INT(Wages!$B129/10000),""),IFERROR(VALUE(TRIM(LEFT(Wages!$B129,FIND("/",Wages!$B129)-1))),"")))</f>
        <v/>
      </c>
      <c r="D126">
        <f>IF(OR($A126="",$C126=""),"",IF(ISNUMBER(Wages!$B129),INT(MOD(Wages!$B129,10000)/100),IFERROR(VALUE(TRIM(LEFT(MID(Wages!$B129,FIND("/",Wages!$B129)+1,20),FIND("/",MID(Wages!$B129,FIND("/",Wages!$B129)+1,20))-1))),"")))</f>
        <v/>
      </c>
      <c r="E126">
        <f>IF(OR($A126="",$C126=""),"",IF(ISNUMBER(Wages!$B129),MOD(Wages!$B129,100),IFERROR(VALUE(TRIM(MID(MID(Wages!$B129,FIND("/",Wages!$B129)+1,20),FIND("/",MID(Wages!$B129,FIND("/",Wages!$B129)+1,20))+1,20))),"")))</f>
        <v/>
      </c>
      <c r="F126">
        <f>IF($A126="","",IF(OR($C126="",$D126="",$E126="",$C126&lt;1300,$C126&gt;1500,$D126&lt;1,$D126&gt;12,$E126&lt;1,$E126&gt;31),"نامعتبر",RIGHT("0000"&amp;$C126,4)&amp;"/"&amp;RIGHT("00"&amp;$D126,2)&amp;"/"&amp;RIGHT("00"&amp;$E126,2)))</f>
        <v/>
      </c>
      <c r="G126">
        <f>IF(OR($A126="",$F126="",$F126="نامعتبر"),"",LEFT($F126,4)&amp;MID($F126,6,2)&amp;RIGHT($F126,2)&amp;"0000"&amp;"|"&amp;"1"&amp;RIGHT("00000"&amp;121,5))</f>
        <v/>
      </c>
      <c r="H126">
        <f>IF(OR($B126&lt;&gt;1,$G126=""),"",COUNTIFS(LdAParty,$A126,LdAType,1,LdAKey,"&lt;"&amp;$G126)+COUNTIFS(LdBMember,$A126,LdBKey,"&lt;"&amp;$G126)+COUNTIFS(LdCParty,$A126,LdCKey,"&lt;"&amp;$G126)+1)</f>
        <v/>
      </c>
      <c r="I126">
        <f>IF($H126="","",$A126&amp;"|"&amp;RIGHT("000000"&amp;$H126,6))</f>
        <v/>
      </c>
      <c r="J126">
        <f>IF(OR($B126&lt;&gt;2,$G126=""),"",COUNTIFS(LdAParty,$A126,LdAType,2,LdAKey,"&lt;"&amp;$G126)+1)</f>
        <v/>
      </c>
      <c r="K126">
        <f>IF($J126="","",$A126&amp;"|"&amp;RIGHT("000000"&amp;$J126,6))</f>
        <v/>
      </c>
      <c r="L126">
        <f>IF($A126="","",IF(Wages!$G129="",0,Wages!$G129))</f>
        <v/>
      </c>
      <c r="M126">
        <f>IF($A126="","",Wages!$J129)</f>
        <v/>
      </c>
      <c r="N126">
        <f>IF($A126="","",Wages!$D129)</f>
        <v/>
      </c>
      <c r="P126">
        <f>IF(OR(Shares!$B129="",Shares!$C129=""),"",Shares!$C129)</f>
        <v/>
      </c>
      <c r="Q126">
        <f>IF($P126="","",Shares!$B129)</f>
        <v/>
      </c>
      <c r="R126">
        <f>IF($P126="","",IFERROR(INDEX(WageParty,MATCH($Q126,WageIds,0)),""))</f>
        <v/>
      </c>
      <c r="S126">
        <f>IF($P126="","",IFERROR(INDEX($F$6:$F$2005,MATCH($Q126,WageIds,0)),""))</f>
        <v/>
      </c>
      <c r="T126">
        <f>IF(OR($P126="",$S126="",$S126="نامعتبر"),"",LEFT($S126,4)&amp;MID($S126,6,2)&amp;RIGHT($S126,2)&amp;"0000"&amp;"|"&amp;"2"&amp;RIGHT("00000"&amp;121,5))</f>
        <v/>
      </c>
      <c r="U126">
        <f>IF($T126="","",COUNTIFS(LdAParty,$P126,LdAType,1,LdAKey,"&lt;"&amp;$T126)+COUNTIFS(LdBMember,$P126,LdBKey,"&lt;"&amp;$T126)+COUNTIFS(LdCParty,$P126,LdCKey,"&lt;"&amp;$T126)+1)</f>
        <v/>
      </c>
      <c r="V126">
        <f>IF($U126="","",$P126&amp;"|"&amp;RIGHT("000000"&amp;$U126,6))</f>
        <v/>
      </c>
      <c r="W126">
        <f>IF($T126="","",COUNTIFS(LdBGroup,$R126,LdBKey,"&lt;"&amp;$T126)+1)</f>
        <v/>
      </c>
      <c r="X126">
        <f>IF($W126="","",$R126&amp;"|"&amp;RIGHT("000000"&amp;$W126,6))</f>
        <v/>
      </c>
      <c r="Y126">
        <f>IF($P126="","",IF(Shares!$E129="",0,Shares!$E129))</f>
        <v/>
      </c>
      <c r="Z126">
        <f>IF($P126="","",Shares!$H129)</f>
        <v/>
      </c>
      <c r="AE126">
        <f>IF(OR(Sync!$S126="",Sync!$P126=""),"",Sync!$S126)</f>
        <v/>
      </c>
      <c r="AF126">
        <f>IF($AE126="","",IF(ISNUMBER(Sync!$P126),IF(AND(Sync!$P126&gt;=10000101,Sync!$P126&lt;=99991231),INT(Sync!$P126/10000),""),IFERROR(VALUE(TRIM(LEFT(Sync!$P126,FIND("/",Sync!$P126)-1))),"")))</f>
        <v/>
      </c>
      <c r="AG126">
        <f>IF(OR($AE126="",$AF126=""),"",IF(ISNUMBER(Sync!$P126),INT(MOD(Sync!$P126,10000)/100),IFERROR(VALUE(TRIM(LEFT(MID(Sync!$P126,FIND("/",Sync!$P126)+1,20),FIND("/",MID(Sync!$P126,FIND("/",Sync!$P126)+1,20))-1))),"")))</f>
        <v/>
      </c>
      <c r="AH126">
        <f>IF(OR($AE126="",$AF126=""),"",IF(ISNUMBER(Sync!$P126),MOD(Sync!$P126,100),IFERROR(VALUE(TRIM(MID(MID(Sync!$P126,FIND("/",Sync!$P126)+1,20),FIND("/",MID(Sync!$P126,FIND("/",Sync!$P126)+1,20))+1,20))),"")))</f>
        <v/>
      </c>
      <c r="AI126">
        <f>IF($AE126="","",IF(OR($AF126="",$AG126="",$AH126="",$AF126&lt;1300,$AF126&gt;1500,$AG126&lt;1,$AG126&gt;12,$AH126&lt;1,$AH126&gt;31),"نامعتبر",RIGHT("0000"&amp;$AF126,4)&amp;"/"&amp;RIGHT("00"&amp;$AG126,2)&amp;"/"&amp;RIGHT("00"&amp;$AH126,2)))</f>
        <v/>
      </c>
      <c r="AJ126">
        <f>IF($AE126="","",IF(Sync!$Q126="","0000",IF(AND(ISNUMBER(Sync!$Q126),Sync!$Q126&gt;=0,Sync!$Q126&lt;1),RIGHT("00"&amp;HOUR(Sync!$Q126),2)&amp;RIGHT("00"&amp;MINUTE(Sync!$Q126),2),IFERROR(RIGHT("00"&amp;VALUE(LEFT(Sync!$Q126,FIND(":",Sync!$Q126)-1)),2)&amp;RIGHT("00"&amp;VALUE(MID(Sync!$Q126,FIND(":",Sync!$Q126)+1,2)),2),"0000"))))</f>
        <v/>
      </c>
      <c r="AK126">
        <f>IF(OR($AE126="",$AI126="",$AI126="نامعتبر"),"",LEFT($AI126,4)&amp;MID($AI126,6,2)&amp;RIGHT($AI126,2)&amp;$AJ126&amp;"|"&amp;"3"&amp;RIGHT("00000"&amp;121,5))</f>
        <v/>
      </c>
      <c r="AL126">
        <f>IF($AK126="","",COUNTIFS(LdAParty,$AE126,LdAType,1,LdAKey,"&lt;"&amp;$AK126)+COUNTIFS(LdBMember,$AE126,LdBKey,"&lt;"&amp;$AK126)+COUNTIFS(LdCParty,$AE126,LdCKey,"&lt;"&amp;$AK126)+1)</f>
        <v/>
      </c>
      <c r="AM126">
        <f>IF($AL126="","",$AE126&amp;"|"&amp;RIGHT("000000"&amp;$AL126,6))</f>
        <v/>
      </c>
      <c r="AN126">
        <f>IF($AE126="","",IF(Sync!$W126="",0,Sync!$W126))</f>
        <v/>
      </c>
      <c r="AO126">
        <f>IF($AE126="","",IF(Sync!$X126="",0,Sync!$X126))</f>
        <v/>
      </c>
      <c r="AP126">
        <f>IF($AE126="","",Sync!$R126)</f>
        <v/>
      </c>
      <c r="AQ126">
        <f>IF($AE126="","",Sync!$Y126)</f>
        <v/>
      </c>
    </row>
    <row r="127">
      <c r="A127">
        <f>IF(OR(Wages!$B130="",Wages!$E130=""),"",Wages!$E130)</f>
        <v/>
      </c>
      <c r="B127">
        <f>IF($A127="","",IF(Wages!$C130="دستمزد گروهی",2,1))</f>
        <v/>
      </c>
      <c r="C127">
        <f>IF($A127="","",IF(ISNUMBER(Wages!$B130),IF(AND(Wages!$B130&gt;=10000101,Wages!$B130&lt;=99991231),INT(Wages!$B130/10000),""),IFERROR(VALUE(TRIM(LEFT(Wages!$B130,FIND("/",Wages!$B130)-1))),"")))</f>
        <v/>
      </c>
      <c r="D127">
        <f>IF(OR($A127="",$C127=""),"",IF(ISNUMBER(Wages!$B130),INT(MOD(Wages!$B130,10000)/100),IFERROR(VALUE(TRIM(LEFT(MID(Wages!$B130,FIND("/",Wages!$B130)+1,20),FIND("/",MID(Wages!$B130,FIND("/",Wages!$B130)+1,20))-1))),"")))</f>
        <v/>
      </c>
      <c r="E127">
        <f>IF(OR($A127="",$C127=""),"",IF(ISNUMBER(Wages!$B130),MOD(Wages!$B130,100),IFERROR(VALUE(TRIM(MID(MID(Wages!$B130,FIND("/",Wages!$B130)+1,20),FIND("/",MID(Wages!$B130,FIND("/",Wages!$B130)+1,20))+1,20))),"")))</f>
        <v/>
      </c>
      <c r="F127">
        <f>IF($A127="","",IF(OR($C127="",$D127="",$E127="",$C127&lt;1300,$C127&gt;1500,$D127&lt;1,$D127&gt;12,$E127&lt;1,$E127&gt;31),"نامعتبر",RIGHT("0000"&amp;$C127,4)&amp;"/"&amp;RIGHT("00"&amp;$D127,2)&amp;"/"&amp;RIGHT("00"&amp;$E127,2)))</f>
        <v/>
      </c>
      <c r="G127">
        <f>IF(OR($A127="",$F127="",$F127="نامعتبر"),"",LEFT($F127,4)&amp;MID($F127,6,2)&amp;RIGHT($F127,2)&amp;"0000"&amp;"|"&amp;"1"&amp;RIGHT("00000"&amp;122,5))</f>
        <v/>
      </c>
      <c r="H127">
        <f>IF(OR($B127&lt;&gt;1,$G127=""),"",COUNTIFS(LdAParty,$A127,LdAType,1,LdAKey,"&lt;"&amp;$G127)+COUNTIFS(LdBMember,$A127,LdBKey,"&lt;"&amp;$G127)+COUNTIFS(LdCParty,$A127,LdCKey,"&lt;"&amp;$G127)+1)</f>
        <v/>
      </c>
      <c r="I127">
        <f>IF($H127="","",$A127&amp;"|"&amp;RIGHT("000000"&amp;$H127,6))</f>
        <v/>
      </c>
      <c r="J127">
        <f>IF(OR($B127&lt;&gt;2,$G127=""),"",COUNTIFS(LdAParty,$A127,LdAType,2,LdAKey,"&lt;"&amp;$G127)+1)</f>
        <v/>
      </c>
      <c r="K127">
        <f>IF($J127="","",$A127&amp;"|"&amp;RIGHT("000000"&amp;$J127,6))</f>
        <v/>
      </c>
      <c r="L127">
        <f>IF($A127="","",IF(Wages!$G130="",0,Wages!$G130))</f>
        <v/>
      </c>
      <c r="M127">
        <f>IF($A127="","",Wages!$J130)</f>
        <v/>
      </c>
      <c r="N127">
        <f>IF($A127="","",Wages!$D130)</f>
        <v/>
      </c>
      <c r="P127">
        <f>IF(OR(Shares!$B130="",Shares!$C130=""),"",Shares!$C130)</f>
        <v/>
      </c>
      <c r="Q127">
        <f>IF($P127="","",Shares!$B130)</f>
        <v/>
      </c>
      <c r="R127">
        <f>IF($P127="","",IFERROR(INDEX(WageParty,MATCH($Q127,WageIds,0)),""))</f>
        <v/>
      </c>
      <c r="S127">
        <f>IF($P127="","",IFERROR(INDEX($F$6:$F$2005,MATCH($Q127,WageIds,0)),""))</f>
        <v/>
      </c>
      <c r="T127">
        <f>IF(OR($P127="",$S127="",$S127="نامعتبر"),"",LEFT($S127,4)&amp;MID($S127,6,2)&amp;RIGHT($S127,2)&amp;"0000"&amp;"|"&amp;"2"&amp;RIGHT("00000"&amp;122,5))</f>
        <v/>
      </c>
      <c r="U127">
        <f>IF($T127="","",COUNTIFS(LdAParty,$P127,LdAType,1,LdAKey,"&lt;"&amp;$T127)+COUNTIFS(LdBMember,$P127,LdBKey,"&lt;"&amp;$T127)+COUNTIFS(LdCParty,$P127,LdCKey,"&lt;"&amp;$T127)+1)</f>
        <v/>
      </c>
      <c r="V127">
        <f>IF($U127="","",$P127&amp;"|"&amp;RIGHT("000000"&amp;$U127,6))</f>
        <v/>
      </c>
      <c r="W127">
        <f>IF($T127="","",COUNTIFS(LdBGroup,$R127,LdBKey,"&lt;"&amp;$T127)+1)</f>
        <v/>
      </c>
      <c r="X127">
        <f>IF($W127="","",$R127&amp;"|"&amp;RIGHT("000000"&amp;$W127,6))</f>
        <v/>
      </c>
      <c r="Y127">
        <f>IF($P127="","",IF(Shares!$E130="",0,Shares!$E130))</f>
        <v/>
      </c>
      <c r="Z127">
        <f>IF($P127="","",Shares!$H130)</f>
        <v/>
      </c>
      <c r="AE127">
        <f>IF(OR(Sync!$S127="",Sync!$P127=""),"",Sync!$S127)</f>
        <v/>
      </c>
      <c r="AF127">
        <f>IF($AE127="","",IF(ISNUMBER(Sync!$P127),IF(AND(Sync!$P127&gt;=10000101,Sync!$P127&lt;=99991231),INT(Sync!$P127/10000),""),IFERROR(VALUE(TRIM(LEFT(Sync!$P127,FIND("/",Sync!$P127)-1))),"")))</f>
        <v/>
      </c>
      <c r="AG127">
        <f>IF(OR($AE127="",$AF127=""),"",IF(ISNUMBER(Sync!$P127),INT(MOD(Sync!$P127,10000)/100),IFERROR(VALUE(TRIM(LEFT(MID(Sync!$P127,FIND("/",Sync!$P127)+1,20),FIND("/",MID(Sync!$P127,FIND("/",Sync!$P127)+1,20))-1))),"")))</f>
        <v/>
      </c>
      <c r="AH127">
        <f>IF(OR($AE127="",$AF127=""),"",IF(ISNUMBER(Sync!$P127),MOD(Sync!$P127,100),IFERROR(VALUE(TRIM(MID(MID(Sync!$P127,FIND("/",Sync!$P127)+1,20),FIND("/",MID(Sync!$P127,FIND("/",Sync!$P127)+1,20))+1,20))),"")))</f>
        <v/>
      </c>
      <c r="AI127">
        <f>IF($AE127="","",IF(OR($AF127="",$AG127="",$AH127="",$AF127&lt;1300,$AF127&gt;1500,$AG127&lt;1,$AG127&gt;12,$AH127&lt;1,$AH127&gt;31),"نامعتبر",RIGHT("0000"&amp;$AF127,4)&amp;"/"&amp;RIGHT("00"&amp;$AG127,2)&amp;"/"&amp;RIGHT("00"&amp;$AH127,2)))</f>
        <v/>
      </c>
      <c r="AJ127">
        <f>IF($AE127="","",IF(Sync!$Q127="","0000",IF(AND(ISNUMBER(Sync!$Q127),Sync!$Q127&gt;=0,Sync!$Q127&lt;1),RIGHT("00"&amp;HOUR(Sync!$Q127),2)&amp;RIGHT("00"&amp;MINUTE(Sync!$Q127),2),IFERROR(RIGHT("00"&amp;VALUE(LEFT(Sync!$Q127,FIND(":",Sync!$Q127)-1)),2)&amp;RIGHT("00"&amp;VALUE(MID(Sync!$Q127,FIND(":",Sync!$Q127)+1,2)),2),"0000"))))</f>
        <v/>
      </c>
      <c r="AK127">
        <f>IF(OR($AE127="",$AI127="",$AI127="نامعتبر"),"",LEFT($AI127,4)&amp;MID($AI127,6,2)&amp;RIGHT($AI127,2)&amp;$AJ127&amp;"|"&amp;"3"&amp;RIGHT("00000"&amp;122,5))</f>
        <v/>
      </c>
      <c r="AL127">
        <f>IF($AK127="","",COUNTIFS(LdAParty,$AE127,LdAType,1,LdAKey,"&lt;"&amp;$AK127)+COUNTIFS(LdBMember,$AE127,LdBKey,"&lt;"&amp;$AK127)+COUNTIFS(LdCParty,$AE127,LdCKey,"&lt;"&amp;$AK127)+1)</f>
        <v/>
      </c>
      <c r="AM127">
        <f>IF($AL127="","",$AE127&amp;"|"&amp;RIGHT("000000"&amp;$AL127,6))</f>
        <v/>
      </c>
      <c r="AN127">
        <f>IF($AE127="","",IF(Sync!$W127="",0,Sync!$W127))</f>
        <v/>
      </c>
      <c r="AO127">
        <f>IF($AE127="","",IF(Sync!$X127="",0,Sync!$X127))</f>
        <v/>
      </c>
      <c r="AP127">
        <f>IF($AE127="","",Sync!$R127)</f>
        <v/>
      </c>
      <c r="AQ127">
        <f>IF($AE127="","",Sync!$Y127)</f>
        <v/>
      </c>
    </row>
    <row r="128">
      <c r="A128">
        <f>IF(OR(Wages!$B131="",Wages!$E131=""),"",Wages!$E131)</f>
        <v/>
      </c>
      <c r="B128">
        <f>IF($A128="","",IF(Wages!$C131="دستمزد گروهی",2,1))</f>
        <v/>
      </c>
      <c r="C128">
        <f>IF($A128="","",IF(ISNUMBER(Wages!$B131),IF(AND(Wages!$B131&gt;=10000101,Wages!$B131&lt;=99991231),INT(Wages!$B131/10000),""),IFERROR(VALUE(TRIM(LEFT(Wages!$B131,FIND("/",Wages!$B131)-1))),"")))</f>
        <v/>
      </c>
      <c r="D128">
        <f>IF(OR($A128="",$C128=""),"",IF(ISNUMBER(Wages!$B131),INT(MOD(Wages!$B131,10000)/100),IFERROR(VALUE(TRIM(LEFT(MID(Wages!$B131,FIND("/",Wages!$B131)+1,20),FIND("/",MID(Wages!$B131,FIND("/",Wages!$B131)+1,20))-1))),"")))</f>
        <v/>
      </c>
      <c r="E128">
        <f>IF(OR($A128="",$C128=""),"",IF(ISNUMBER(Wages!$B131),MOD(Wages!$B131,100),IFERROR(VALUE(TRIM(MID(MID(Wages!$B131,FIND("/",Wages!$B131)+1,20),FIND("/",MID(Wages!$B131,FIND("/",Wages!$B131)+1,20))+1,20))),"")))</f>
        <v/>
      </c>
      <c r="F128">
        <f>IF($A128="","",IF(OR($C128="",$D128="",$E128="",$C128&lt;1300,$C128&gt;1500,$D128&lt;1,$D128&gt;12,$E128&lt;1,$E128&gt;31),"نامعتبر",RIGHT("0000"&amp;$C128,4)&amp;"/"&amp;RIGHT("00"&amp;$D128,2)&amp;"/"&amp;RIGHT("00"&amp;$E128,2)))</f>
        <v/>
      </c>
      <c r="G128">
        <f>IF(OR($A128="",$F128="",$F128="نامعتبر"),"",LEFT($F128,4)&amp;MID($F128,6,2)&amp;RIGHT($F128,2)&amp;"0000"&amp;"|"&amp;"1"&amp;RIGHT("00000"&amp;123,5))</f>
        <v/>
      </c>
      <c r="H128">
        <f>IF(OR($B128&lt;&gt;1,$G128=""),"",COUNTIFS(LdAParty,$A128,LdAType,1,LdAKey,"&lt;"&amp;$G128)+COUNTIFS(LdBMember,$A128,LdBKey,"&lt;"&amp;$G128)+COUNTIFS(LdCParty,$A128,LdCKey,"&lt;"&amp;$G128)+1)</f>
        <v/>
      </c>
      <c r="I128">
        <f>IF($H128="","",$A128&amp;"|"&amp;RIGHT("000000"&amp;$H128,6))</f>
        <v/>
      </c>
      <c r="J128">
        <f>IF(OR($B128&lt;&gt;2,$G128=""),"",COUNTIFS(LdAParty,$A128,LdAType,2,LdAKey,"&lt;"&amp;$G128)+1)</f>
        <v/>
      </c>
      <c r="K128">
        <f>IF($J128="","",$A128&amp;"|"&amp;RIGHT("000000"&amp;$J128,6))</f>
        <v/>
      </c>
      <c r="L128">
        <f>IF($A128="","",IF(Wages!$G131="",0,Wages!$G131))</f>
        <v/>
      </c>
      <c r="M128">
        <f>IF($A128="","",Wages!$J131)</f>
        <v/>
      </c>
      <c r="N128">
        <f>IF($A128="","",Wages!$D131)</f>
        <v/>
      </c>
      <c r="P128">
        <f>IF(OR(Shares!$B131="",Shares!$C131=""),"",Shares!$C131)</f>
        <v/>
      </c>
      <c r="Q128">
        <f>IF($P128="","",Shares!$B131)</f>
        <v/>
      </c>
      <c r="R128">
        <f>IF($P128="","",IFERROR(INDEX(WageParty,MATCH($Q128,WageIds,0)),""))</f>
        <v/>
      </c>
      <c r="S128">
        <f>IF($P128="","",IFERROR(INDEX($F$6:$F$2005,MATCH($Q128,WageIds,0)),""))</f>
        <v/>
      </c>
      <c r="T128">
        <f>IF(OR($P128="",$S128="",$S128="نامعتبر"),"",LEFT($S128,4)&amp;MID($S128,6,2)&amp;RIGHT($S128,2)&amp;"0000"&amp;"|"&amp;"2"&amp;RIGHT("00000"&amp;123,5))</f>
        <v/>
      </c>
      <c r="U128">
        <f>IF($T128="","",COUNTIFS(LdAParty,$P128,LdAType,1,LdAKey,"&lt;"&amp;$T128)+COUNTIFS(LdBMember,$P128,LdBKey,"&lt;"&amp;$T128)+COUNTIFS(LdCParty,$P128,LdCKey,"&lt;"&amp;$T128)+1)</f>
        <v/>
      </c>
      <c r="V128">
        <f>IF($U128="","",$P128&amp;"|"&amp;RIGHT("000000"&amp;$U128,6))</f>
        <v/>
      </c>
      <c r="W128">
        <f>IF($T128="","",COUNTIFS(LdBGroup,$R128,LdBKey,"&lt;"&amp;$T128)+1)</f>
        <v/>
      </c>
      <c r="X128">
        <f>IF($W128="","",$R128&amp;"|"&amp;RIGHT("000000"&amp;$W128,6))</f>
        <v/>
      </c>
      <c r="Y128">
        <f>IF($P128="","",IF(Shares!$E131="",0,Shares!$E131))</f>
        <v/>
      </c>
      <c r="Z128">
        <f>IF($P128="","",Shares!$H131)</f>
        <v/>
      </c>
      <c r="AE128">
        <f>IF(OR(Sync!$S128="",Sync!$P128=""),"",Sync!$S128)</f>
        <v/>
      </c>
      <c r="AF128">
        <f>IF($AE128="","",IF(ISNUMBER(Sync!$P128),IF(AND(Sync!$P128&gt;=10000101,Sync!$P128&lt;=99991231),INT(Sync!$P128/10000),""),IFERROR(VALUE(TRIM(LEFT(Sync!$P128,FIND("/",Sync!$P128)-1))),"")))</f>
        <v/>
      </c>
      <c r="AG128">
        <f>IF(OR($AE128="",$AF128=""),"",IF(ISNUMBER(Sync!$P128),INT(MOD(Sync!$P128,10000)/100),IFERROR(VALUE(TRIM(LEFT(MID(Sync!$P128,FIND("/",Sync!$P128)+1,20),FIND("/",MID(Sync!$P128,FIND("/",Sync!$P128)+1,20))-1))),"")))</f>
        <v/>
      </c>
      <c r="AH128">
        <f>IF(OR($AE128="",$AF128=""),"",IF(ISNUMBER(Sync!$P128),MOD(Sync!$P128,100),IFERROR(VALUE(TRIM(MID(MID(Sync!$P128,FIND("/",Sync!$P128)+1,20),FIND("/",MID(Sync!$P128,FIND("/",Sync!$P128)+1,20))+1,20))),"")))</f>
        <v/>
      </c>
      <c r="AI128">
        <f>IF($AE128="","",IF(OR($AF128="",$AG128="",$AH128="",$AF128&lt;1300,$AF128&gt;1500,$AG128&lt;1,$AG128&gt;12,$AH128&lt;1,$AH128&gt;31),"نامعتبر",RIGHT("0000"&amp;$AF128,4)&amp;"/"&amp;RIGHT("00"&amp;$AG128,2)&amp;"/"&amp;RIGHT("00"&amp;$AH128,2)))</f>
        <v/>
      </c>
      <c r="AJ128">
        <f>IF($AE128="","",IF(Sync!$Q128="","0000",IF(AND(ISNUMBER(Sync!$Q128),Sync!$Q128&gt;=0,Sync!$Q128&lt;1),RIGHT("00"&amp;HOUR(Sync!$Q128),2)&amp;RIGHT("00"&amp;MINUTE(Sync!$Q128),2),IFERROR(RIGHT("00"&amp;VALUE(LEFT(Sync!$Q128,FIND(":",Sync!$Q128)-1)),2)&amp;RIGHT("00"&amp;VALUE(MID(Sync!$Q128,FIND(":",Sync!$Q128)+1,2)),2),"0000"))))</f>
        <v/>
      </c>
      <c r="AK128">
        <f>IF(OR($AE128="",$AI128="",$AI128="نامعتبر"),"",LEFT($AI128,4)&amp;MID($AI128,6,2)&amp;RIGHT($AI128,2)&amp;$AJ128&amp;"|"&amp;"3"&amp;RIGHT("00000"&amp;123,5))</f>
        <v/>
      </c>
      <c r="AL128">
        <f>IF($AK128="","",COUNTIFS(LdAParty,$AE128,LdAType,1,LdAKey,"&lt;"&amp;$AK128)+COUNTIFS(LdBMember,$AE128,LdBKey,"&lt;"&amp;$AK128)+COUNTIFS(LdCParty,$AE128,LdCKey,"&lt;"&amp;$AK128)+1)</f>
        <v/>
      </c>
      <c r="AM128">
        <f>IF($AL128="","",$AE128&amp;"|"&amp;RIGHT("000000"&amp;$AL128,6))</f>
        <v/>
      </c>
      <c r="AN128">
        <f>IF($AE128="","",IF(Sync!$W128="",0,Sync!$W128))</f>
        <v/>
      </c>
      <c r="AO128">
        <f>IF($AE128="","",IF(Sync!$X128="",0,Sync!$X128))</f>
        <v/>
      </c>
      <c r="AP128">
        <f>IF($AE128="","",Sync!$R128)</f>
        <v/>
      </c>
      <c r="AQ128">
        <f>IF($AE128="","",Sync!$Y128)</f>
        <v/>
      </c>
    </row>
    <row r="129">
      <c r="A129">
        <f>IF(OR(Wages!$B132="",Wages!$E132=""),"",Wages!$E132)</f>
        <v/>
      </c>
      <c r="B129">
        <f>IF($A129="","",IF(Wages!$C132="دستمزد گروهی",2,1))</f>
        <v/>
      </c>
      <c r="C129">
        <f>IF($A129="","",IF(ISNUMBER(Wages!$B132),IF(AND(Wages!$B132&gt;=10000101,Wages!$B132&lt;=99991231),INT(Wages!$B132/10000),""),IFERROR(VALUE(TRIM(LEFT(Wages!$B132,FIND("/",Wages!$B132)-1))),"")))</f>
        <v/>
      </c>
      <c r="D129">
        <f>IF(OR($A129="",$C129=""),"",IF(ISNUMBER(Wages!$B132),INT(MOD(Wages!$B132,10000)/100),IFERROR(VALUE(TRIM(LEFT(MID(Wages!$B132,FIND("/",Wages!$B132)+1,20),FIND("/",MID(Wages!$B132,FIND("/",Wages!$B132)+1,20))-1))),"")))</f>
        <v/>
      </c>
      <c r="E129">
        <f>IF(OR($A129="",$C129=""),"",IF(ISNUMBER(Wages!$B132),MOD(Wages!$B132,100),IFERROR(VALUE(TRIM(MID(MID(Wages!$B132,FIND("/",Wages!$B132)+1,20),FIND("/",MID(Wages!$B132,FIND("/",Wages!$B132)+1,20))+1,20))),"")))</f>
        <v/>
      </c>
      <c r="F129">
        <f>IF($A129="","",IF(OR($C129="",$D129="",$E129="",$C129&lt;1300,$C129&gt;1500,$D129&lt;1,$D129&gt;12,$E129&lt;1,$E129&gt;31),"نامعتبر",RIGHT("0000"&amp;$C129,4)&amp;"/"&amp;RIGHT("00"&amp;$D129,2)&amp;"/"&amp;RIGHT("00"&amp;$E129,2)))</f>
        <v/>
      </c>
      <c r="G129">
        <f>IF(OR($A129="",$F129="",$F129="نامعتبر"),"",LEFT($F129,4)&amp;MID($F129,6,2)&amp;RIGHT($F129,2)&amp;"0000"&amp;"|"&amp;"1"&amp;RIGHT("00000"&amp;124,5))</f>
        <v/>
      </c>
      <c r="H129">
        <f>IF(OR($B129&lt;&gt;1,$G129=""),"",COUNTIFS(LdAParty,$A129,LdAType,1,LdAKey,"&lt;"&amp;$G129)+COUNTIFS(LdBMember,$A129,LdBKey,"&lt;"&amp;$G129)+COUNTIFS(LdCParty,$A129,LdCKey,"&lt;"&amp;$G129)+1)</f>
        <v/>
      </c>
      <c r="I129">
        <f>IF($H129="","",$A129&amp;"|"&amp;RIGHT("000000"&amp;$H129,6))</f>
        <v/>
      </c>
      <c r="J129">
        <f>IF(OR($B129&lt;&gt;2,$G129=""),"",COUNTIFS(LdAParty,$A129,LdAType,2,LdAKey,"&lt;"&amp;$G129)+1)</f>
        <v/>
      </c>
      <c r="K129">
        <f>IF($J129="","",$A129&amp;"|"&amp;RIGHT("000000"&amp;$J129,6))</f>
        <v/>
      </c>
      <c r="L129">
        <f>IF($A129="","",IF(Wages!$G132="",0,Wages!$G132))</f>
        <v/>
      </c>
      <c r="M129">
        <f>IF($A129="","",Wages!$J132)</f>
        <v/>
      </c>
      <c r="N129">
        <f>IF($A129="","",Wages!$D132)</f>
        <v/>
      </c>
      <c r="P129">
        <f>IF(OR(Shares!$B132="",Shares!$C132=""),"",Shares!$C132)</f>
        <v/>
      </c>
      <c r="Q129">
        <f>IF($P129="","",Shares!$B132)</f>
        <v/>
      </c>
      <c r="R129">
        <f>IF($P129="","",IFERROR(INDEX(WageParty,MATCH($Q129,WageIds,0)),""))</f>
        <v/>
      </c>
      <c r="S129">
        <f>IF($P129="","",IFERROR(INDEX($F$6:$F$2005,MATCH($Q129,WageIds,0)),""))</f>
        <v/>
      </c>
      <c r="T129">
        <f>IF(OR($P129="",$S129="",$S129="نامعتبر"),"",LEFT($S129,4)&amp;MID($S129,6,2)&amp;RIGHT($S129,2)&amp;"0000"&amp;"|"&amp;"2"&amp;RIGHT("00000"&amp;124,5))</f>
        <v/>
      </c>
      <c r="U129">
        <f>IF($T129="","",COUNTIFS(LdAParty,$P129,LdAType,1,LdAKey,"&lt;"&amp;$T129)+COUNTIFS(LdBMember,$P129,LdBKey,"&lt;"&amp;$T129)+COUNTIFS(LdCParty,$P129,LdCKey,"&lt;"&amp;$T129)+1)</f>
        <v/>
      </c>
      <c r="V129">
        <f>IF($U129="","",$P129&amp;"|"&amp;RIGHT("000000"&amp;$U129,6))</f>
        <v/>
      </c>
      <c r="W129">
        <f>IF($T129="","",COUNTIFS(LdBGroup,$R129,LdBKey,"&lt;"&amp;$T129)+1)</f>
        <v/>
      </c>
      <c r="X129">
        <f>IF($W129="","",$R129&amp;"|"&amp;RIGHT("000000"&amp;$W129,6))</f>
        <v/>
      </c>
      <c r="Y129">
        <f>IF($P129="","",IF(Shares!$E132="",0,Shares!$E132))</f>
        <v/>
      </c>
      <c r="Z129">
        <f>IF($P129="","",Shares!$H132)</f>
        <v/>
      </c>
      <c r="AE129">
        <f>IF(OR(Sync!$S129="",Sync!$P129=""),"",Sync!$S129)</f>
        <v/>
      </c>
      <c r="AF129">
        <f>IF($AE129="","",IF(ISNUMBER(Sync!$P129),IF(AND(Sync!$P129&gt;=10000101,Sync!$P129&lt;=99991231),INT(Sync!$P129/10000),""),IFERROR(VALUE(TRIM(LEFT(Sync!$P129,FIND("/",Sync!$P129)-1))),"")))</f>
        <v/>
      </c>
      <c r="AG129">
        <f>IF(OR($AE129="",$AF129=""),"",IF(ISNUMBER(Sync!$P129),INT(MOD(Sync!$P129,10000)/100),IFERROR(VALUE(TRIM(LEFT(MID(Sync!$P129,FIND("/",Sync!$P129)+1,20),FIND("/",MID(Sync!$P129,FIND("/",Sync!$P129)+1,20))-1))),"")))</f>
        <v/>
      </c>
      <c r="AH129">
        <f>IF(OR($AE129="",$AF129=""),"",IF(ISNUMBER(Sync!$P129),MOD(Sync!$P129,100),IFERROR(VALUE(TRIM(MID(MID(Sync!$P129,FIND("/",Sync!$P129)+1,20),FIND("/",MID(Sync!$P129,FIND("/",Sync!$P129)+1,20))+1,20))),"")))</f>
        <v/>
      </c>
      <c r="AI129">
        <f>IF($AE129="","",IF(OR($AF129="",$AG129="",$AH129="",$AF129&lt;1300,$AF129&gt;1500,$AG129&lt;1,$AG129&gt;12,$AH129&lt;1,$AH129&gt;31),"نامعتبر",RIGHT("0000"&amp;$AF129,4)&amp;"/"&amp;RIGHT("00"&amp;$AG129,2)&amp;"/"&amp;RIGHT("00"&amp;$AH129,2)))</f>
        <v/>
      </c>
      <c r="AJ129">
        <f>IF($AE129="","",IF(Sync!$Q129="","0000",IF(AND(ISNUMBER(Sync!$Q129),Sync!$Q129&gt;=0,Sync!$Q129&lt;1),RIGHT("00"&amp;HOUR(Sync!$Q129),2)&amp;RIGHT("00"&amp;MINUTE(Sync!$Q129),2),IFERROR(RIGHT("00"&amp;VALUE(LEFT(Sync!$Q129,FIND(":",Sync!$Q129)-1)),2)&amp;RIGHT("00"&amp;VALUE(MID(Sync!$Q129,FIND(":",Sync!$Q129)+1,2)),2),"0000"))))</f>
        <v/>
      </c>
      <c r="AK129">
        <f>IF(OR($AE129="",$AI129="",$AI129="نامعتبر"),"",LEFT($AI129,4)&amp;MID($AI129,6,2)&amp;RIGHT($AI129,2)&amp;$AJ129&amp;"|"&amp;"3"&amp;RIGHT("00000"&amp;124,5))</f>
        <v/>
      </c>
      <c r="AL129">
        <f>IF($AK129="","",COUNTIFS(LdAParty,$AE129,LdAType,1,LdAKey,"&lt;"&amp;$AK129)+COUNTIFS(LdBMember,$AE129,LdBKey,"&lt;"&amp;$AK129)+COUNTIFS(LdCParty,$AE129,LdCKey,"&lt;"&amp;$AK129)+1)</f>
        <v/>
      </c>
      <c r="AM129">
        <f>IF($AL129="","",$AE129&amp;"|"&amp;RIGHT("000000"&amp;$AL129,6))</f>
        <v/>
      </c>
      <c r="AN129">
        <f>IF($AE129="","",IF(Sync!$W129="",0,Sync!$W129))</f>
        <v/>
      </c>
      <c r="AO129">
        <f>IF($AE129="","",IF(Sync!$X129="",0,Sync!$X129))</f>
        <v/>
      </c>
      <c r="AP129">
        <f>IF($AE129="","",Sync!$R129)</f>
        <v/>
      </c>
      <c r="AQ129">
        <f>IF($AE129="","",Sync!$Y129)</f>
        <v/>
      </c>
    </row>
    <row r="130">
      <c r="A130">
        <f>IF(OR(Wages!$B133="",Wages!$E133=""),"",Wages!$E133)</f>
        <v/>
      </c>
      <c r="B130">
        <f>IF($A130="","",IF(Wages!$C133="دستمزد گروهی",2,1))</f>
        <v/>
      </c>
      <c r="C130">
        <f>IF($A130="","",IF(ISNUMBER(Wages!$B133),IF(AND(Wages!$B133&gt;=10000101,Wages!$B133&lt;=99991231),INT(Wages!$B133/10000),""),IFERROR(VALUE(TRIM(LEFT(Wages!$B133,FIND("/",Wages!$B133)-1))),"")))</f>
        <v/>
      </c>
      <c r="D130">
        <f>IF(OR($A130="",$C130=""),"",IF(ISNUMBER(Wages!$B133),INT(MOD(Wages!$B133,10000)/100),IFERROR(VALUE(TRIM(LEFT(MID(Wages!$B133,FIND("/",Wages!$B133)+1,20),FIND("/",MID(Wages!$B133,FIND("/",Wages!$B133)+1,20))-1))),"")))</f>
        <v/>
      </c>
      <c r="E130">
        <f>IF(OR($A130="",$C130=""),"",IF(ISNUMBER(Wages!$B133),MOD(Wages!$B133,100),IFERROR(VALUE(TRIM(MID(MID(Wages!$B133,FIND("/",Wages!$B133)+1,20),FIND("/",MID(Wages!$B133,FIND("/",Wages!$B133)+1,20))+1,20))),"")))</f>
        <v/>
      </c>
      <c r="F130">
        <f>IF($A130="","",IF(OR($C130="",$D130="",$E130="",$C130&lt;1300,$C130&gt;1500,$D130&lt;1,$D130&gt;12,$E130&lt;1,$E130&gt;31),"نامعتبر",RIGHT("0000"&amp;$C130,4)&amp;"/"&amp;RIGHT("00"&amp;$D130,2)&amp;"/"&amp;RIGHT("00"&amp;$E130,2)))</f>
        <v/>
      </c>
      <c r="G130">
        <f>IF(OR($A130="",$F130="",$F130="نامعتبر"),"",LEFT($F130,4)&amp;MID($F130,6,2)&amp;RIGHT($F130,2)&amp;"0000"&amp;"|"&amp;"1"&amp;RIGHT("00000"&amp;125,5))</f>
        <v/>
      </c>
      <c r="H130">
        <f>IF(OR($B130&lt;&gt;1,$G130=""),"",COUNTIFS(LdAParty,$A130,LdAType,1,LdAKey,"&lt;"&amp;$G130)+COUNTIFS(LdBMember,$A130,LdBKey,"&lt;"&amp;$G130)+COUNTIFS(LdCParty,$A130,LdCKey,"&lt;"&amp;$G130)+1)</f>
        <v/>
      </c>
      <c r="I130">
        <f>IF($H130="","",$A130&amp;"|"&amp;RIGHT("000000"&amp;$H130,6))</f>
        <v/>
      </c>
      <c r="J130">
        <f>IF(OR($B130&lt;&gt;2,$G130=""),"",COUNTIFS(LdAParty,$A130,LdAType,2,LdAKey,"&lt;"&amp;$G130)+1)</f>
        <v/>
      </c>
      <c r="K130">
        <f>IF($J130="","",$A130&amp;"|"&amp;RIGHT("000000"&amp;$J130,6))</f>
        <v/>
      </c>
      <c r="L130">
        <f>IF($A130="","",IF(Wages!$G133="",0,Wages!$G133))</f>
        <v/>
      </c>
      <c r="M130">
        <f>IF($A130="","",Wages!$J133)</f>
        <v/>
      </c>
      <c r="N130">
        <f>IF($A130="","",Wages!$D133)</f>
        <v/>
      </c>
      <c r="P130">
        <f>IF(OR(Shares!$B133="",Shares!$C133=""),"",Shares!$C133)</f>
        <v/>
      </c>
      <c r="Q130">
        <f>IF($P130="","",Shares!$B133)</f>
        <v/>
      </c>
      <c r="R130">
        <f>IF($P130="","",IFERROR(INDEX(WageParty,MATCH($Q130,WageIds,0)),""))</f>
        <v/>
      </c>
      <c r="S130">
        <f>IF($P130="","",IFERROR(INDEX($F$6:$F$2005,MATCH($Q130,WageIds,0)),""))</f>
        <v/>
      </c>
      <c r="T130">
        <f>IF(OR($P130="",$S130="",$S130="نامعتبر"),"",LEFT($S130,4)&amp;MID($S130,6,2)&amp;RIGHT($S130,2)&amp;"0000"&amp;"|"&amp;"2"&amp;RIGHT("00000"&amp;125,5))</f>
        <v/>
      </c>
      <c r="U130">
        <f>IF($T130="","",COUNTIFS(LdAParty,$P130,LdAType,1,LdAKey,"&lt;"&amp;$T130)+COUNTIFS(LdBMember,$P130,LdBKey,"&lt;"&amp;$T130)+COUNTIFS(LdCParty,$P130,LdCKey,"&lt;"&amp;$T130)+1)</f>
        <v/>
      </c>
      <c r="V130">
        <f>IF($U130="","",$P130&amp;"|"&amp;RIGHT("000000"&amp;$U130,6))</f>
        <v/>
      </c>
      <c r="W130">
        <f>IF($T130="","",COUNTIFS(LdBGroup,$R130,LdBKey,"&lt;"&amp;$T130)+1)</f>
        <v/>
      </c>
      <c r="X130">
        <f>IF($W130="","",$R130&amp;"|"&amp;RIGHT("000000"&amp;$W130,6))</f>
        <v/>
      </c>
      <c r="Y130">
        <f>IF($P130="","",IF(Shares!$E133="",0,Shares!$E133))</f>
        <v/>
      </c>
      <c r="Z130">
        <f>IF($P130="","",Shares!$H133)</f>
        <v/>
      </c>
      <c r="AE130">
        <f>IF(OR(Sync!$S130="",Sync!$P130=""),"",Sync!$S130)</f>
        <v/>
      </c>
      <c r="AF130">
        <f>IF($AE130="","",IF(ISNUMBER(Sync!$P130),IF(AND(Sync!$P130&gt;=10000101,Sync!$P130&lt;=99991231),INT(Sync!$P130/10000),""),IFERROR(VALUE(TRIM(LEFT(Sync!$P130,FIND("/",Sync!$P130)-1))),"")))</f>
        <v/>
      </c>
      <c r="AG130">
        <f>IF(OR($AE130="",$AF130=""),"",IF(ISNUMBER(Sync!$P130),INT(MOD(Sync!$P130,10000)/100),IFERROR(VALUE(TRIM(LEFT(MID(Sync!$P130,FIND("/",Sync!$P130)+1,20),FIND("/",MID(Sync!$P130,FIND("/",Sync!$P130)+1,20))-1))),"")))</f>
        <v/>
      </c>
      <c r="AH130">
        <f>IF(OR($AE130="",$AF130=""),"",IF(ISNUMBER(Sync!$P130),MOD(Sync!$P130,100),IFERROR(VALUE(TRIM(MID(MID(Sync!$P130,FIND("/",Sync!$P130)+1,20),FIND("/",MID(Sync!$P130,FIND("/",Sync!$P130)+1,20))+1,20))),"")))</f>
        <v/>
      </c>
      <c r="AI130">
        <f>IF($AE130="","",IF(OR($AF130="",$AG130="",$AH130="",$AF130&lt;1300,$AF130&gt;1500,$AG130&lt;1,$AG130&gt;12,$AH130&lt;1,$AH130&gt;31),"نامعتبر",RIGHT("0000"&amp;$AF130,4)&amp;"/"&amp;RIGHT("00"&amp;$AG130,2)&amp;"/"&amp;RIGHT("00"&amp;$AH130,2)))</f>
        <v/>
      </c>
      <c r="AJ130">
        <f>IF($AE130="","",IF(Sync!$Q130="","0000",IF(AND(ISNUMBER(Sync!$Q130),Sync!$Q130&gt;=0,Sync!$Q130&lt;1),RIGHT("00"&amp;HOUR(Sync!$Q130),2)&amp;RIGHT("00"&amp;MINUTE(Sync!$Q130),2),IFERROR(RIGHT("00"&amp;VALUE(LEFT(Sync!$Q130,FIND(":",Sync!$Q130)-1)),2)&amp;RIGHT("00"&amp;VALUE(MID(Sync!$Q130,FIND(":",Sync!$Q130)+1,2)),2),"0000"))))</f>
        <v/>
      </c>
      <c r="AK130">
        <f>IF(OR($AE130="",$AI130="",$AI130="نامعتبر"),"",LEFT($AI130,4)&amp;MID($AI130,6,2)&amp;RIGHT($AI130,2)&amp;$AJ130&amp;"|"&amp;"3"&amp;RIGHT("00000"&amp;125,5))</f>
        <v/>
      </c>
      <c r="AL130">
        <f>IF($AK130="","",COUNTIFS(LdAParty,$AE130,LdAType,1,LdAKey,"&lt;"&amp;$AK130)+COUNTIFS(LdBMember,$AE130,LdBKey,"&lt;"&amp;$AK130)+COUNTIFS(LdCParty,$AE130,LdCKey,"&lt;"&amp;$AK130)+1)</f>
        <v/>
      </c>
      <c r="AM130">
        <f>IF($AL130="","",$AE130&amp;"|"&amp;RIGHT("000000"&amp;$AL130,6))</f>
        <v/>
      </c>
      <c r="AN130">
        <f>IF($AE130="","",IF(Sync!$W130="",0,Sync!$W130))</f>
        <v/>
      </c>
      <c r="AO130">
        <f>IF($AE130="","",IF(Sync!$X130="",0,Sync!$X130))</f>
        <v/>
      </c>
      <c r="AP130">
        <f>IF($AE130="","",Sync!$R130)</f>
        <v/>
      </c>
      <c r="AQ130">
        <f>IF($AE130="","",Sync!$Y130)</f>
        <v/>
      </c>
    </row>
    <row r="131">
      <c r="A131">
        <f>IF(OR(Wages!$B134="",Wages!$E134=""),"",Wages!$E134)</f>
        <v/>
      </c>
      <c r="B131">
        <f>IF($A131="","",IF(Wages!$C134="دستمزد گروهی",2,1))</f>
        <v/>
      </c>
      <c r="C131">
        <f>IF($A131="","",IF(ISNUMBER(Wages!$B134),IF(AND(Wages!$B134&gt;=10000101,Wages!$B134&lt;=99991231),INT(Wages!$B134/10000),""),IFERROR(VALUE(TRIM(LEFT(Wages!$B134,FIND("/",Wages!$B134)-1))),"")))</f>
        <v/>
      </c>
      <c r="D131">
        <f>IF(OR($A131="",$C131=""),"",IF(ISNUMBER(Wages!$B134),INT(MOD(Wages!$B134,10000)/100),IFERROR(VALUE(TRIM(LEFT(MID(Wages!$B134,FIND("/",Wages!$B134)+1,20),FIND("/",MID(Wages!$B134,FIND("/",Wages!$B134)+1,20))-1))),"")))</f>
        <v/>
      </c>
      <c r="E131">
        <f>IF(OR($A131="",$C131=""),"",IF(ISNUMBER(Wages!$B134),MOD(Wages!$B134,100),IFERROR(VALUE(TRIM(MID(MID(Wages!$B134,FIND("/",Wages!$B134)+1,20),FIND("/",MID(Wages!$B134,FIND("/",Wages!$B134)+1,20))+1,20))),"")))</f>
        <v/>
      </c>
      <c r="F131">
        <f>IF($A131="","",IF(OR($C131="",$D131="",$E131="",$C131&lt;1300,$C131&gt;1500,$D131&lt;1,$D131&gt;12,$E131&lt;1,$E131&gt;31),"نامعتبر",RIGHT("0000"&amp;$C131,4)&amp;"/"&amp;RIGHT("00"&amp;$D131,2)&amp;"/"&amp;RIGHT("00"&amp;$E131,2)))</f>
        <v/>
      </c>
      <c r="G131">
        <f>IF(OR($A131="",$F131="",$F131="نامعتبر"),"",LEFT($F131,4)&amp;MID($F131,6,2)&amp;RIGHT($F131,2)&amp;"0000"&amp;"|"&amp;"1"&amp;RIGHT("00000"&amp;126,5))</f>
        <v/>
      </c>
      <c r="H131">
        <f>IF(OR($B131&lt;&gt;1,$G131=""),"",COUNTIFS(LdAParty,$A131,LdAType,1,LdAKey,"&lt;"&amp;$G131)+COUNTIFS(LdBMember,$A131,LdBKey,"&lt;"&amp;$G131)+COUNTIFS(LdCParty,$A131,LdCKey,"&lt;"&amp;$G131)+1)</f>
        <v/>
      </c>
      <c r="I131">
        <f>IF($H131="","",$A131&amp;"|"&amp;RIGHT("000000"&amp;$H131,6))</f>
        <v/>
      </c>
      <c r="J131">
        <f>IF(OR($B131&lt;&gt;2,$G131=""),"",COUNTIFS(LdAParty,$A131,LdAType,2,LdAKey,"&lt;"&amp;$G131)+1)</f>
        <v/>
      </c>
      <c r="K131">
        <f>IF($J131="","",$A131&amp;"|"&amp;RIGHT("000000"&amp;$J131,6))</f>
        <v/>
      </c>
      <c r="L131">
        <f>IF($A131="","",IF(Wages!$G134="",0,Wages!$G134))</f>
        <v/>
      </c>
      <c r="M131">
        <f>IF($A131="","",Wages!$J134)</f>
        <v/>
      </c>
      <c r="N131">
        <f>IF($A131="","",Wages!$D134)</f>
        <v/>
      </c>
      <c r="P131">
        <f>IF(OR(Shares!$B134="",Shares!$C134=""),"",Shares!$C134)</f>
        <v/>
      </c>
      <c r="Q131">
        <f>IF($P131="","",Shares!$B134)</f>
        <v/>
      </c>
      <c r="R131">
        <f>IF($P131="","",IFERROR(INDEX(WageParty,MATCH($Q131,WageIds,0)),""))</f>
        <v/>
      </c>
      <c r="S131">
        <f>IF($P131="","",IFERROR(INDEX($F$6:$F$2005,MATCH($Q131,WageIds,0)),""))</f>
        <v/>
      </c>
      <c r="T131">
        <f>IF(OR($P131="",$S131="",$S131="نامعتبر"),"",LEFT($S131,4)&amp;MID($S131,6,2)&amp;RIGHT($S131,2)&amp;"0000"&amp;"|"&amp;"2"&amp;RIGHT("00000"&amp;126,5))</f>
        <v/>
      </c>
      <c r="U131">
        <f>IF($T131="","",COUNTIFS(LdAParty,$P131,LdAType,1,LdAKey,"&lt;"&amp;$T131)+COUNTIFS(LdBMember,$P131,LdBKey,"&lt;"&amp;$T131)+COUNTIFS(LdCParty,$P131,LdCKey,"&lt;"&amp;$T131)+1)</f>
        <v/>
      </c>
      <c r="V131">
        <f>IF($U131="","",$P131&amp;"|"&amp;RIGHT("000000"&amp;$U131,6))</f>
        <v/>
      </c>
      <c r="W131">
        <f>IF($T131="","",COUNTIFS(LdBGroup,$R131,LdBKey,"&lt;"&amp;$T131)+1)</f>
        <v/>
      </c>
      <c r="X131">
        <f>IF($W131="","",$R131&amp;"|"&amp;RIGHT("000000"&amp;$W131,6))</f>
        <v/>
      </c>
      <c r="Y131">
        <f>IF($P131="","",IF(Shares!$E134="",0,Shares!$E134))</f>
        <v/>
      </c>
      <c r="Z131">
        <f>IF($P131="","",Shares!$H134)</f>
        <v/>
      </c>
      <c r="AE131">
        <f>IF(OR(Sync!$S131="",Sync!$P131=""),"",Sync!$S131)</f>
        <v/>
      </c>
      <c r="AF131">
        <f>IF($AE131="","",IF(ISNUMBER(Sync!$P131),IF(AND(Sync!$P131&gt;=10000101,Sync!$P131&lt;=99991231),INT(Sync!$P131/10000),""),IFERROR(VALUE(TRIM(LEFT(Sync!$P131,FIND("/",Sync!$P131)-1))),"")))</f>
        <v/>
      </c>
      <c r="AG131">
        <f>IF(OR($AE131="",$AF131=""),"",IF(ISNUMBER(Sync!$P131),INT(MOD(Sync!$P131,10000)/100),IFERROR(VALUE(TRIM(LEFT(MID(Sync!$P131,FIND("/",Sync!$P131)+1,20),FIND("/",MID(Sync!$P131,FIND("/",Sync!$P131)+1,20))-1))),"")))</f>
        <v/>
      </c>
      <c r="AH131">
        <f>IF(OR($AE131="",$AF131=""),"",IF(ISNUMBER(Sync!$P131),MOD(Sync!$P131,100),IFERROR(VALUE(TRIM(MID(MID(Sync!$P131,FIND("/",Sync!$P131)+1,20),FIND("/",MID(Sync!$P131,FIND("/",Sync!$P131)+1,20))+1,20))),"")))</f>
        <v/>
      </c>
      <c r="AI131">
        <f>IF($AE131="","",IF(OR($AF131="",$AG131="",$AH131="",$AF131&lt;1300,$AF131&gt;1500,$AG131&lt;1,$AG131&gt;12,$AH131&lt;1,$AH131&gt;31),"نامعتبر",RIGHT("0000"&amp;$AF131,4)&amp;"/"&amp;RIGHT("00"&amp;$AG131,2)&amp;"/"&amp;RIGHT("00"&amp;$AH131,2)))</f>
        <v/>
      </c>
      <c r="AJ131">
        <f>IF($AE131="","",IF(Sync!$Q131="","0000",IF(AND(ISNUMBER(Sync!$Q131),Sync!$Q131&gt;=0,Sync!$Q131&lt;1),RIGHT("00"&amp;HOUR(Sync!$Q131),2)&amp;RIGHT("00"&amp;MINUTE(Sync!$Q131),2),IFERROR(RIGHT("00"&amp;VALUE(LEFT(Sync!$Q131,FIND(":",Sync!$Q131)-1)),2)&amp;RIGHT("00"&amp;VALUE(MID(Sync!$Q131,FIND(":",Sync!$Q131)+1,2)),2),"0000"))))</f>
        <v/>
      </c>
      <c r="AK131">
        <f>IF(OR($AE131="",$AI131="",$AI131="نامعتبر"),"",LEFT($AI131,4)&amp;MID($AI131,6,2)&amp;RIGHT($AI131,2)&amp;$AJ131&amp;"|"&amp;"3"&amp;RIGHT("00000"&amp;126,5))</f>
        <v/>
      </c>
      <c r="AL131">
        <f>IF($AK131="","",COUNTIFS(LdAParty,$AE131,LdAType,1,LdAKey,"&lt;"&amp;$AK131)+COUNTIFS(LdBMember,$AE131,LdBKey,"&lt;"&amp;$AK131)+COUNTIFS(LdCParty,$AE131,LdCKey,"&lt;"&amp;$AK131)+1)</f>
        <v/>
      </c>
      <c r="AM131">
        <f>IF($AL131="","",$AE131&amp;"|"&amp;RIGHT("000000"&amp;$AL131,6))</f>
        <v/>
      </c>
      <c r="AN131">
        <f>IF($AE131="","",IF(Sync!$W131="",0,Sync!$W131))</f>
        <v/>
      </c>
      <c r="AO131">
        <f>IF($AE131="","",IF(Sync!$X131="",0,Sync!$X131))</f>
        <v/>
      </c>
      <c r="AP131">
        <f>IF($AE131="","",Sync!$R131)</f>
        <v/>
      </c>
      <c r="AQ131">
        <f>IF($AE131="","",Sync!$Y131)</f>
        <v/>
      </c>
    </row>
    <row r="132">
      <c r="A132">
        <f>IF(OR(Wages!$B135="",Wages!$E135=""),"",Wages!$E135)</f>
        <v/>
      </c>
      <c r="B132">
        <f>IF($A132="","",IF(Wages!$C135="دستمزد گروهی",2,1))</f>
        <v/>
      </c>
      <c r="C132">
        <f>IF($A132="","",IF(ISNUMBER(Wages!$B135),IF(AND(Wages!$B135&gt;=10000101,Wages!$B135&lt;=99991231),INT(Wages!$B135/10000),""),IFERROR(VALUE(TRIM(LEFT(Wages!$B135,FIND("/",Wages!$B135)-1))),"")))</f>
        <v/>
      </c>
      <c r="D132">
        <f>IF(OR($A132="",$C132=""),"",IF(ISNUMBER(Wages!$B135),INT(MOD(Wages!$B135,10000)/100),IFERROR(VALUE(TRIM(LEFT(MID(Wages!$B135,FIND("/",Wages!$B135)+1,20),FIND("/",MID(Wages!$B135,FIND("/",Wages!$B135)+1,20))-1))),"")))</f>
        <v/>
      </c>
      <c r="E132">
        <f>IF(OR($A132="",$C132=""),"",IF(ISNUMBER(Wages!$B135),MOD(Wages!$B135,100),IFERROR(VALUE(TRIM(MID(MID(Wages!$B135,FIND("/",Wages!$B135)+1,20),FIND("/",MID(Wages!$B135,FIND("/",Wages!$B135)+1,20))+1,20))),"")))</f>
        <v/>
      </c>
      <c r="F132">
        <f>IF($A132="","",IF(OR($C132="",$D132="",$E132="",$C132&lt;1300,$C132&gt;1500,$D132&lt;1,$D132&gt;12,$E132&lt;1,$E132&gt;31),"نامعتبر",RIGHT("0000"&amp;$C132,4)&amp;"/"&amp;RIGHT("00"&amp;$D132,2)&amp;"/"&amp;RIGHT("00"&amp;$E132,2)))</f>
        <v/>
      </c>
      <c r="G132">
        <f>IF(OR($A132="",$F132="",$F132="نامعتبر"),"",LEFT($F132,4)&amp;MID($F132,6,2)&amp;RIGHT($F132,2)&amp;"0000"&amp;"|"&amp;"1"&amp;RIGHT("00000"&amp;127,5))</f>
        <v/>
      </c>
      <c r="H132">
        <f>IF(OR($B132&lt;&gt;1,$G132=""),"",COUNTIFS(LdAParty,$A132,LdAType,1,LdAKey,"&lt;"&amp;$G132)+COUNTIFS(LdBMember,$A132,LdBKey,"&lt;"&amp;$G132)+COUNTIFS(LdCParty,$A132,LdCKey,"&lt;"&amp;$G132)+1)</f>
        <v/>
      </c>
      <c r="I132">
        <f>IF($H132="","",$A132&amp;"|"&amp;RIGHT("000000"&amp;$H132,6))</f>
        <v/>
      </c>
      <c r="J132">
        <f>IF(OR($B132&lt;&gt;2,$G132=""),"",COUNTIFS(LdAParty,$A132,LdAType,2,LdAKey,"&lt;"&amp;$G132)+1)</f>
        <v/>
      </c>
      <c r="K132">
        <f>IF($J132="","",$A132&amp;"|"&amp;RIGHT("000000"&amp;$J132,6))</f>
        <v/>
      </c>
      <c r="L132">
        <f>IF($A132="","",IF(Wages!$G135="",0,Wages!$G135))</f>
        <v/>
      </c>
      <c r="M132">
        <f>IF($A132="","",Wages!$J135)</f>
        <v/>
      </c>
      <c r="N132">
        <f>IF($A132="","",Wages!$D135)</f>
        <v/>
      </c>
      <c r="P132">
        <f>IF(OR(Shares!$B135="",Shares!$C135=""),"",Shares!$C135)</f>
        <v/>
      </c>
      <c r="Q132">
        <f>IF($P132="","",Shares!$B135)</f>
        <v/>
      </c>
      <c r="R132">
        <f>IF($P132="","",IFERROR(INDEX(WageParty,MATCH($Q132,WageIds,0)),""))</f>
        <v/>
      </c>
      <c r="S132">
        <f>IF($P132="","",IFERROR(INDEX($F$6:$F$2005,MATCH($Q132,WageIds,0)),""))</f>
        <v/>
      </c>
      <c r="T132">
        <f>IF(OR($P132="",$S132="",$S132="نامعتبر"),"",LEFT($S132,4)&amp;MID($S132,6,2)&amp;RIGHT($S132,2)&amp;"0000"&amp;"|"&amp;"2"&amp;RIGHT("00000"&amp;127,5))</f>
        <v/>
      </c>
      <c r="U132">
        <f>IF($T132="","",COUNTIFS(LdAParty,$P132,LdAType,1,LdAKey,"&lt;"&amp;$T132)+COUNTIFS(LdBMember,$P132,LdBKey,"&lt;"&amp;$T132)+COUNTIFS(LdCParty,$P132,LdCKey,"&lt;"&amp;$T132)+1)</f>
        <v/>
      </c>
      <c r="V132">
        <f>IF($U132="","",$P132&amp;"|"&amp;RIGHT("000000"&amp;$U132,6))</f>
        <v/>
      </c>
      <c r="W132">
        <f>IF($T132="","",COUNTIFS(LdBGroup,$R132,LdBKey,"&lt;"&amp;$T132)+1)</f>
        <v/>
      </c>
      <c r="X132">
        <f>IF($W132="","",$R132&amp;"|"&amp;RIGHT("000000"&amp;$W132,6))</f>
        <v/>
      </c>
      <c r="Y132">
        <f>IF($P132="","",IF(Shares!$E135="",0,Shares!$E135))</f>
        <v/>
      </c>
      <c r="Z132">
        <f>IF($P132="","",Shares!$H135)</f>
        <v/>
      </c>
      <c r="AE132">
        <f>IF(OR(Sync!$S132="",Sync!$P132=""),"",Sync!$S132)</f>
        <v/>
      </c>
      <c r="AF132">
        <f>IF($AE132="","",IF(ISNUMBER(Sync!$P132),IF(AND(Sync!$P132&gt;=10000101,Sync!$P132&lt;=99991231),INT(Sync!$P132/10000),""),IFERROR(VALUE(TRIM(LEFT(Sync!$P132,FIND("/",Sync!$P132)-1))),"")))</f>
        <v/>
      </c>
      <c r="AG132">
        <f>IF(OR($AE132="",$AF132=""),"",IF(ISNUMBER(Sync!$P132),INT(MOD(Sync!$P132,10000)/100),IFERROR(VALUE(TRIM(LEFT(MID(Sync!$P132,FIND("/",Sync!$P132)+1,20),FIND("/",MID(Sync!$P132,FIND("/",Sync!$P132)+1,20))-1))),"")))</f>
        <v/>
      </c>
      <c r="AH132">
        <f>IF(OR($AE132="",$AF132=""),"",IF(ISNUMBER(Sync!$P132),MOD(Sync!$P132,100),IFERROR(VALUE(TRIM(MID(MID(Sync!$P132,FIND("/",Sync!$P132)+1,20),FIND("/",MID(Sync!$P132,FIND("/",Sync!$P132)+1,20))+1,20))),"")))</f>
        <v/>
      </c>
      <c r="AI132">
        <f>IF($AE132="","",IF(OR($AF132="",$AG132="",$AH132="",$AF132&lt;1300,$AF132&gt;1500,$AG132&lt;1,$AG132&gt;12,$AH132&lt;1,$AH132&gt;31),"نامعتبر",RIGHT("0000"&amp;$AF132,4)&amp;"/"&amp;RIGHT("00"&amp;$AG132,2)&amp;"/"&amp;RIGHT("00"&amp;$AH132,2)))</f>
        <v/>
      </c>
      <c r="AJ132">
        <f>IF($AE132="","",IF(Sync!$Q132="","0000",IF(AND(ISNUMBER(Sync!$Q132),Sync!$Q132&gt;=0,Sync!$Q132&lt;1),RIGHT("00"&amp;HOUR(Sync!$Q132),2)&amp;RIGHT("00"&amp;MINUTE(Sync!$Q132),2),IFERROR(RIGHT("00"&amp;VALUE(LEFT(Sync!$Q132,FIND(":",Sync!$Q132)-1)),2)&amp;RIGHT("00"&amp;VALUE(MID(Sync!$Q132,FIND(":",Sync!$Q132)+1,2)),2),"0000"))))</f>
        <v/>
      </c>
      <c r="AK132">
        <f>IF(OR($AE132="",$AI132="",$AI132="نامعتبر"),"",LEFT($AI132,4)&amp;MID($AI132,6,2)&amp;RIGHT($AI132,2)&amp;$AJ132&amp;"|"&amp;"3"&amp;RIGHT("00000"&amp;127,5))</f>
        <v/>
      </c>
      <c r="AL132">
        <f>IF($AK132="","",COUNTIFS(LdAParty,$AE132,LdAType,1,LdAKey,"&lt;"&amp;$AK132)+COUNTIFS(LdBMember,$AE132,LdBKey,"&lt;"&amp;$AK132)+COUNTIFS(LdCParty,$AE132,LdCKey,"&lt;"&amp;$AK132)+1)</f>
        <v/>
      </c>
      <c r="AM132">
        <f>IF($AL132="","",$AE132&amp;"|"&amp;RIGHT("000000"&amp;$AL132,6))</f>
        <v/>
      </c>
      <c r="AN132">
        <f>IF($AE132="","",IF(Sync!$W132="",0,Sync!$W132))</f>
        <v/>
      </c>
      <c r="AO132">
        <f>IF($AE132="","",IF(Sync!$X132="",0,Sync!$X132))</f>
        <v/>
      </c>
      <c r="AP132">
        <f>IF($AE132="","",Sync!$R132)</f>
        <v/>
      </c>
      <c r="AQ132">
        <f>IF($AE132="","",Sync!$Y132)</f>
        <v/>
      </c>
    </row>
    <row r="133">
      <c r="A133">
        <f>IF(OR(Wages!$B136="",Wages!$E136=""),"",Wages!$E136)</f>
        <v/>
      </c>
      <c r="B133">
        <f>IF($A133="","",IF(Wages!$C136="دستمزد گروهی",2,1))</f>
        <v/>
      </c>
      <c r="C133">
        <f>IF($A133="","",IF(ISNUMBER(Wages!$B136),IF(AND(Wages!$B136&gt;=10000101,Wages!$B136&lt;=99991231),INT(Wages!$B136/10000),""),IFERROR(VALUE(TRIM(LEFT(Wages!$B136,FIND("/",Wages!$B136)-1))),"")))</f>
        <v/>
      </c>
      <c r="D133">
        <f>IF(OR($A133="",$C133=""),"",IF(ISNUMBER(Wages!$B136),INT(MOD(Wages!$B136,10000)/100),IFERROR(VALUE(TRIM(LEFT(MID(Wages!$B136,FIND("/",Wages!$B136)+1,20),FIND("/",MID(Wages!$B136,FIND("/",Wages!$B136)+1,20))-1))),"")))</f>
        <v/>
      </c>
      <c r="E133">
        <f>IF(OR($A133="",$C133=""),"",IF(ISNUMBER(Wages!$B136),MOD(Wages!$B136,100),IFERROR(VALUE(TRIM(MID(MID(Wages!$B136,FIND("/",Wages!$B136)+1,20),FIND("/",MID(Wages!$B136,FIND("/",Wages!$B136)+1,20))+1,20))),"")))</f>
        <v/>
      </c>
      <c r="F133">
        <f>IF($A133="","",IF(OR($C133="",$D133="",$E133="",$C133&lt;1300,$C133&gt;1500,$D133&lt;1,$D133&gt;12,$E133&lt;1,$E133&gt;31),"نامعتبر",RIGHT("0000"&amp;$C133,4)&amp;"/"&amp;RIGHT("00"&amp;$D133,2)&amp;"/"&amp;RIGHT("00"&amp;$E133,2)))</f>
        <v/>
      </c>
      <c r="G133">
        <f>IF(OR($A133="",$F133="",$F133="نامعتبر"),"",LEFT($F133,4)&amp;MID($F133,6,2)&amp;RIGHT($F133,2)&amp;"0000"&amp;"|"&amp;"1"&amp;RIGHT("00000"&amp;128,5))</f>
        <v/>
      </c>
      <c r="H133">
        <f>IF(OR($B133&lt;&gt;1,$G133=""),"",COUNTIFS(LdAParty,$A133,LdAType,1,LdAKey,"&lt;"&amp;$G133)+COUNTIFS(LdBMember,$A133,LdBKey,"&lt;"&amp;$G133)+COUNTIFS(LdCParty,$A133,LdCKey,"&lt;"&amp;$G133)+1)</f>
        <v/>
      </c>
      <c r="I133">
        <f>IF($H133="","",$A133&amp;"|"&amp;RIGHT("000000"&amp;$H133,6))</f>
        <v/>
      </c>
      <c r="J133">
        <f>IF(OR($B133&lt;&gt;2,$G133=""),"",COUNTIFS(LdAParty,$A133,LdAType,2,LdAKey,"&lt;"&amp;$G133)+1)</f>
        <v/>
      </c>
      <c r="K133">
        <f>IF($J133="","",$A133&amp;"|"&amp;RIGHT("000000"&amp;$J133,6))</f>
        <v/>
      </c>
      <c r="L133">
        <f>IF($A133="","",IF(Wages!$G136="",0,Wages!$G136))</f>
        <v/>
      </c>
      <c r="M133">
        <f>IF($A133="","",Wages!$J136)</f>
        <v/>
      </c>
      <c r="N133">
        <f>IF($A133="","",Wages!$D136)</f>
        <v/>
      </c>
      <c r="P133">
        <f>IF(OR(Shares!$B136="",Shares!$C136=""),"",Shares!$C136)</f>
        <v/>
      </c>
      <c r="Q133">
        <f>IF($P133="","",Shares!$B136)</f>
        <v/>
      </c>
      <c r="R133">
        <f>IF($P133="","",IFERROR(INDEX(WageParty,MATCH($Q133,WageIds,0)),""))</f>
        <v/>
      </c>
      <c r="S133">
        <f>IF($P133="","",IFERROR(INDEX($F$6:$F$2005,MATCH($Q133,WageIds,0)),""))</f>
        <v/>
      </c>
      <c r="T133">
        <f>IF(OR($P133="",$S133="",$S133="نامعتبر"),"",LEFT($S133,4)&amp;MID($S133,6,2)&amp;RIGHT($S133,2)&amp;"0000"&amp;"|"&amp;"2"&amp;RIGHT("00000"&amp;128,5))</f>
        <v/>
      </c>
      <c r="U133">
        <f>IF($T133="","",COUNTIFS(LdAParty,$P133,LdAType,1,LdAKey,"&lt;"&amp;$T133)+COUNTIFS(LdBMember,$P133,LdBKey,"&lt;"&amp;$T133)+COUNTIFS(LdCParty,$P133,LdCKey,"&lt;"&amp;$T133)+1)</f>
        <v/>
      </c>
      <c r="V133">
        <f>IF($U133="","",$P133&amp;"|"&amp;RIGHT("000000"&amp;$U133,6))</f>
        <v/>
      </c>
      <c r="W133">
        <f>IF($T133="","",COUNTIFS(LdBGroup,$R133,LdBKey,"&lt;"&amp;$T133)+1)</f>
        <v/>
      </c>
      <c r="X133">
        <f>IF($W133="","",$R133&amp;"|"&amp;RIGHT("000000"&amp;$W133,6))</f>
        <v/>
      </c>
      <c r="Y133">
        <f>IF($P133="","",IF(Shares!$E136="",0,Shares!$E136))</f>
        <v/>
      </c>
      <c r="Z133">
        <f>IF($P133="","",Shares!$H136)</f>
        <v/>
      </c>
      <c r="AE133">
        <f>IF(OR(Sync!$S133="",Sync!$P133=""),"",Sync!$S133)</f>
        <v/>
      </c>
      <c r="AF133">
        <f>IF($AE133="","",IF(ISNUMBER(Sync!$P133),IF(AND(Sync!$P133&gt;=10000101,Sync!$P133&lt;=99991231),INT(Sync!$P133/10000),""),IFERROR(VALUE(TRIM(LEFT(Sync!$P133,FIND("/",Sync!$P133)-1))),"")))</f>
        <v/>
      </c>
      <c r="AG133">
        <f>IF(OR($AE133="",$AF133=""),"",IF(ISNUMBER(Sync!$P133),INT(MOD(Sync!$P133,10000)/100),IFERROR(VALUE(TRIM(LEFT(MID(Sync!$P133,FIND("/",Sync!$P133)+1,20),FIND("/",MID(Sync!$P133,FIND("/",Sync!$P133)+1,20))-1))),"")))</f>
        <v/>
      </c>
      <c r="AH133">
        <f>IF(OR($AE133="",$AF133=""),"",IF(ISNUMBER(Sync!$P133),MOD(Sync!$P133,100),IFERROR(VALUE(TRIM(MID(MID(Sync!$P133,FIND("/",Sync!$P133)+1,20),FIND("/",MID(Sync!$P133,FIND("/",Sync!$P133)+1,20))+1,20))),"")))</f>
        <v/>
      </c>
      <c r="AI133">
        <f>IF($AE133="","",IF(OR($AF133="",$AG133="",$AH133="",$AF133&lt;1300,$AF133&gt;1500,$AG133&lt;1,$AG133&gt;12,$AH133&lt;1,$AH133&gt;31),"نامعتبر",RIGHT("0000"&amp;$AF133,4)&amp;"/"&amp;RIGHT("00"&amp;$AG133,2)&amp;"/"&amp;RIGHT("00"&amp;$AH133,2)))</f>
        <v/>
      </c>
      <c r="AJ133">
        <f>IF($AE133="","",IF(Sync!$Q133="","0000",IF(AND(ISNUMBER(Sync!$Q133),Sync!$Q133&gt;=0,Sync!$Q133&lt;1),RIGHT("00"&amp;HOUR(Sync!$Q133),2)&amp;RIGHT("00"&amp;MINUTE(Sync!$Q133),2),IFERROR(RIGHT("00"&amp;VALUE(LEFT(Sync!$Q133,FIND(":",Sync!$Q133)-1)),2)&amp;RIGHT("00"&amp;VALUE(MID(Sync!$Q133,FIND(":",Sync!$Q133)+1,2)),2),"0000"))))</f>
        <v/>
      </c>
      <c r="AK133">
        <f>IF(OR($AE133="",$AI133="",$AI133="نامعتبر"),"",LEFT($AI133,4)&amp;MID($AI133,6,2)&amp;RIGHT($AI133,2)&amp;$AJ133&amp;"|"&amp;"3"&amp;RIGHT("00000"&amp;128,5))</f>
        <v/>
      </c>
      <c r="AL133">
        <f>IF($AK133="","",COUNTIFS(LdAParty,$AE133,LdAType,1,LdAKey,"&lt;"&amp;$AK133)+COUNTIFS(LdBMember,$AE133,LdBKey,"&lt;"&amp;$AK133)+COUNTIFS(LdCParty,$AE133,LdCKey,"&lt;"&amp;$AK133)+1)</f>
        <v/>
      </c>
      <c r="AM133">
        <f>IF($AL133="","",$AE133&amp;"|"&amp;RIGHT("000000"&amp;$AL133,6))</f>
        <v/>
      </c>
      <c r="AN133">
        <f>IF($AE133="","",IF(Sync!$W133="",0,Sync!$W133))</f>
        <v/>
      </c>
      <c r="AO133">
        <f>IF($AE133="","",IF(Sync!$X133="",0,Sync!$X133))</f>
        <v/>
      </c>
      <c r="AP133">
        <f>IF($AE133="","",Sync!$R133)</f>
        <v/>
      </c>
      <c r="AQ133">
        <f>IF($AE133="","",Sync!$Y133)</f>
        <v/>
      </c>
    </row>
    <row r="134">
      <c r="A134">
        <f>IF(OR(Wages!$B137="",Wages!$E137=""),"",Wages!$E137)</f>
        <v/>
      </c>
      <c r="B134">
        <f>IF($A134="","",IF(Wages!$C137="دستمزد گروهی",2,1))</f>
        <v/>
      </c>
      <c r="C134">
        <f>IF($A134="","",IF(ISNUMBER(Wages!$B137),IF(AND(Wages!$B137&gt;=10000101,Wages!$B137&lt;=99991231),INT(Wages!$B137/10000),""),IFERROR(VALUE(TRIM(LEFT(Wages!$B137,FIND("/",Wages!$B137)-1))),"")))</f>
        <v/>
      </c>
      <c r="D134">
        <f>IF(OR($A134="",$C134=""),"",IF(ISNUMBER(Wages!$B137),INT(MOD(Wages!$B137,10000)/100),IFERROR(VALUE(TRIM(LEFT(MID(Wages!$B137,FIND("/",Wages!$B137)+1,20),FIND("/",MID(Wages!$B137,FIND("/",Wages!$B137)+1,20))-1))),"")))</f>
        <v/>
      </c>
      <c r="E134">
        <f>IF(OR($A134="",$C134=""),"",IF(ISNUMBER(Wages!$B137),MOD(Wages!$B137,100),IFERROR(VALUE(TRIM(MID(MID(Wages!$B137,FIND("/",Wages!$B137)+1,20),FIND("/",MID(Wages!$B137,FIND("/",Wages!$B137)+1,20))+1,20))),"")))</f>
        <v/>
      </c>
      <c r="F134">
        <f>IF($A134="","",IF(OR($C134="",$D134="",$E134="",$C134&lt;1300,$C134&gt;1500,$D134&lt;1,$D134&gt;12,$E134&lt;1,$E134&gt;31),"نامعتبر",RIGHT("0000"&amp;$C134,4)&amp;"/"&amp;RIGHT("00"&amp;$D134,2)&amp;"/"&amp;RIGHT("00"&amp;$E134,2)))</f>
        <v/>
      </c>
      <c r="G134">
        <f>IF(OR($A134="",$F134="",$F134="نامعتبر"),"",LEFT($F134,4)&amp;MID($F134,6,2)&amp;RIGHT($F134,2)&amp;"0000"&amp;"|"&amp;"1"&amp;RIGHT("00000"&amp;129,5))</f>
        <v/>
      </c>
      <c r="H134">
        <f>IF(OR($B134&lt;&gt;1,$G134=""),"",COUNTIFS(LdAParty,$A134,LdAType,1,LdAKey,"&lt;"&amp;$G134)+COUNTIFS(LdBMember,$A134,LdBKey,"&lt;"&amp;$G134)+COUNTIFS(LdCParty,$A134,LdCKey,"&lt;"&amp;$G134)+1)</f>
        <v/>
      </c>
      <c r="I134">
        <f>IF($H134="","",$A134&amp;"|"&amp;RIGHT("000000"&amp;$H134,6))</f>
        <v/>
      </c>
      <c r="J134">
        <f>IF(OR($B134&lt;&gt;2,$G134=""),"",COUNTIFS(LdAParty,$A134,LdAType,2,LdAKey,"&lt;"&amp;$G134)+1)</f>
        <v/>
      </c>
      <c r="K134">
        <f>IF($J134="","",$A134&amp;"|"&amp;RIGHT("000000"&amp;$J134,6))</f>
        <v/>
      </c>
      <c r="L134">
        <f>IF($A134="","",IF(Wages!$G137="",0,Wages!$G137))</f>
        <v/>
      </c>
      <c r="M134">
        <f>IF($A134="","",Wages!$J137)</f>
        <v/>
      </c>
      <c r="N134">
        <f>IF($A134="","",Wages!$D137)</f>
        <v/>
      </c>
      <c r="P134">
        <f>IF(OR(Shares!$B137="",Shares!$C137=""),"",Shares!$C137)</f>
        <v/>
      </c>
      <c r="Q134">
        <f>IF($P134="","",Shares!$B137)</f>
        <v/>
      </c>
      <c r="R134">
        <f>IF($P134="","",IFERROR(INDEX(WageParty,MATCH($Q134,WageIds,0)),""))</f>
        <v/>
      </c>
      <c r="S134">
        <f>IF($P134="","",IFERROR(INDEX($F$6:$F$2005,MATCH($Q134,WageIds,0)),""))</f>
        <v/>
      </c>
      <c r="T134">
        <f>IF(OR($P134="",$S134="",$S134="نامعتبر"),"",LEFT($S134,4)&amp;MID($S134,6,2)&amp;RIGHT($S134,2)&amp;"0000"&amp;"|"&amp;"2"&amp;RIGHT("00000"&amp;129,5))</f>
        <v/>
      </c>
      <c r="U134">
        <f>IF($T134="","",COUNTIFS(LdAParty,$P134,LdAType,1,LdAKey,"&lt;"&amp;$T134)+COUNTIFS(LdBMember,$P134,LdBKey,"&lt;"&amp;$T134)+COUNTIFS(LdCParty,$P134,LdCKey,"&lt;"&amp;$T134)+1)</f>
        <v/>
      </c>
      <c r="V134">
        <f>IF($U134="","",$P134&amp;"|"&amp;RIGHT("000000"&amp;$U134,6))</f>
        <v/>
      </c>
      <c r="W134">
        <f>IF($T134="","",COUNTIFS(LdBGroup,$R134,LdBKey,"&lt;"&amp;$T134)+1)</f>
        <v/>
      </c>
      <c r="X134">
        <f>IF($W134="","",$R134&amp;"|"&amp;RIGHT("000000"&amp;$W134,6))</f>
        <v/>
      </c>
      <c r="Y134">
        <f>IF($P134="","",IF(Shares!$E137="",0,Shares!$E137))</f>
        <v/>
      </c>
      <c r="Z134">
        <f>IF($P134="","",Shares!$H137)</f>
        <v/>
      </c>
      <c r="AE134">
        <f>IF(OR(Sync!$S134="",Sync!$P134=""),"",Sync!$S134)</f>
        <v/>
      </c>
      <c r="AF134">
        <f>IF($AE134="","",IF(ISNUMBER(Sync!$P134),IF(AND(Sync!$P134&gt;=10000101,Sync!$P134&lt;=99991231),INT(Sync!$P134/10000),""),IFERROR(VALUE(TRIM(LEFT(Sync!$P134,FIND("/",Sync!$P134)-1))),"")))</f>
        <v/>
      </c>
      <c r="AG134">
        <f>IF(OR($AE134="",$AF134=""),"",IF(ISNUMBER(Sync!$P134),INT(MOD(Sync!$P134,10000)/100),IFERROR(VALUE(TRIM(LEFT(MID(Sync!$P134,FIND("/",Sync!$P134)+1,20),FIND("/",MID(Sync!$P134,FIND("/",Sync!$P134)+1,20))-1))),"")))</f>
        <v/>
      </c>
      <c r="AH134">
        <f>IF(OR($AE134="",$AF134=""),"",IF(ISNUMBER(Sync!$P134),MOD(Sync!$P134,100),IFERROR(VALUE(TRIM(MID(MID(Sync!$P134,FIND("/",Sync!$P134)+1,20),FIND("/",MID(Sync!$P134,FIND("/",Sync!$P134)+1,20))+1,20))),"")))</f>
        <v/>
      </c>
      <c r="AI134">
        <f>IF($AE134="","",IF(OR($AF134="",$AG134="",$AH134="",$AF134&lt;1300,$AF134&gt;1500,$AG134&lt;1,$AG134&gt;12,$AH134&lt;1,$AH134&gt;31),"نامعتبر",RIGHT("0000"&amp;$AF134,4)&amp;"/"&amp;RIGHT("00"&amp;$AG134,2)&amp;"/"&amp;RIGHT("00"&amp;$AH134,2)))</f>
        <v/>
      </c>
      <c r="AJ134">
        <f>IF($AE134="","",IF(Sync!$Q134="","0000",IF(AND(ISNUMBER(Sync!$Q134),Sync!$Q134&gt;=0,Sync!$Q134&lt;1),RIGHT("00"&amp;HOUR(Sync!$Q134),2)&amp;RIGHT("00"&amp;MINUTE(Sync!$Q134),2),IFERROR(RIGHT("00"&amp;VALUE(LEFT(Sync!$Q134,FIND(":",Sync!$Q134)-1)),2)&amp;RIGHT("00"&amp;VALUE(MID(Sync!$Q134,FIND(":",Sync!$Q134)+1,2)),2),"0000"))))</f>
        <v/>
      </c>
      <c r="AK134">
        <f>IF(OR($AE134="",$AI134="",$AI134="نامعتبر"),"",LEFT($AI134,4)&amp;MID($AI134,6,2)&amp;RIGHT($AI134,2)&amp;$AJ134&amp;"|"&amp;"3"&amp;RIGHT("00000"&amp;129,5))</f>
        <v/>
      </c>
      <c r="AL134">
        <f>IF($AK134="","",COUNTIFS(LdAParty,$AE134,LdAType,1,LdAKey,"&lt;"&amp;$AK134)+COUNTIFS(LdBMember,$AE134,LdBKey,"&lt;"&amp;$AK134)+COUNTIFS(LdCParty,$AE134,LdCKey,"&lt;"&amp;$AK134)+1)</f>
        <v/>
      </c>
      <c r="AM134">
        <f>IF($AL134="","",$AE134&amp;"|"&amp;RIGHT("000000"&amp;$AL134,6))</f>
        <v/>
      </c>
      <c r="AN134">
        <f>IF($AE134="","",IF(Sync!$W134="",0,Sync!$W134))</f>
        <v/>
      </c>
      <c r="AO134">
        <f>IF($AE134="","",IF(Sync!$X134="",0,Sync!$X134))</f>
        <v/>
      </c>
      <c r="AP134">
        <f>IF($AE134="","",Sync!$R134)</f>
        <v/>
      </c>
      <c r="AQ134">
        <f>IF($AE134="","",Sync!$Y134)</f>
        <v/>
      </c>
    </row>
    <row r="135">
      <c r="A135">
        <f>IF(OR(Wages!$B138="",Wages!$E138=""),"",Wages!$E138)</f>
        <v/>
      </c>
      <c r="B135">
        <f>IF($A135="","",IF(Wages!$C138="دستمزد گروهی",2,1))</f>
        <v/>
      </c>
      <c r="C135">
        <f>IF($A135="","",IF(ISNUMBER(Wages!$B138),IF(AND(Wages!$B138&gt;=10000101,Wages!$B138&lt;=99991231),INT(Wages!$B138/10000),""),IFERROR(VALUE(TRIM(LEFT(Wages!$B138,FIND("/",Wages!$B138)-1))),"")))</f>
        <v/>
      </c>
      <c r="D135">
        <f>IF(OR($A135="",$C135=""),"",IF(ISNUMBER(Wages!$B138),INT(MOD(Wages!$B138,10000)/100),IFERROR(VALUE(TRIM(LEFT(MID(Wages!$B138,FIND("/",Wages!$B138)+1,20),FIND("/",MID(Wages!$B138,FIND("/",Wages!$B138)+1,20))-1))),"")))</f>
        <v/>
      </c>
      <c r="E135">
        <f>IF(OR($A135="",$C135=""),"",IF(ISNUMBER(Wages!$B138),MOD(Wages!$B138,100),IFERROR(VALUE(TRIM(MID(MID(Wages!$B138,FIND("/",Wages!$B138)+1,20),FIND("/",MID(Wages!$B138,FIND("/",Wages!$B138)+1,20))+1,20))),"")))</f>
        <v/>
      </c>
      <c r="F135">
        <f>IF($A135="","",IF(OR($C135="",$D135="",$E135="",$C135&lt;1300,$C135&gt;1500,$D135&lt;1,$D135&gt;12,$E135&lt;1,$E135&gt;31),"نامعتبر",RIGHT("0000"&amp;$C135,4)&amp;"/"&amp;RIGHT("00"&amp;$D135,2)&amp;"/"&amp;RIGHT("00"&amp;$E135,2)))</f>
        <v/>
      </c>
      <c r="G135">
        <f>IF(OR($A135="",$F135="",$F135="نامعتبر"),"",LEFT($F135,4)&amp;MID($F135,6,2)&amp;RIGHT($F135,2)&amp;"0000"&amp;"|"&amp;"1"&amp;RIGHT("00000"&amp;130,5))</f>
        <v/>
      </c>
      <c r="H135">
        <f>IF(OR($B135&lt;&gt;1,$G135=""),"",COUNTIFS(LdAParty,$A135,LdAType,1,LdAKey,"&lt;"&amp;$G135)+COUNTIFS(LdBMember,$A135,LdBKey,"&lt;"&amp;$G135)+COUNTIFS(LdCParty,$A135,LdCKey,"&lt;"&amp;$G135)+1)</f>
        <v/>
      </c>
      <c r="I135">
        <f>IF($H135="","",$A135&amp;"|"&amp;RIGHT("000000"&amp;$H135,6))</f>
        <v/>
      </c>
      <c r="J135">
        <f>IF(OR($B135&lt;&gt;2,$G135=""),"",COUNTIFS(LdAParty,$A135,LdAType,2,LdAKey,"&lt;"&amp;$G135)+1)</f>
        <v/>
      </c>
      <c r="K135">
        <f>IF($J135="","",$A135&amp;"|"&amp;RIGHT("000000"&amp;$J135,6))</f>
        <v/>
      </c>
      <c r="L135">
        <f>IF($A135="","",IF(Wages!$G138="",0,Wages!$G138))</f>
        <v/>
      </c>
      <c r="M135">
        <f>IF($A135="","",Wages!$J138)</f>
        <v/>
      </c>
      <c r="N135">
        <f>IF($A135="","",Wages!$D138)</f>
        <v/>
      </c>
      <c r="P135">
        <f>IF(OR(Shares!$B138="",Shares!$C138=""),"",Shares!$C138)</f>
        <v/>
      </c>
      <c r="Q135">
        <f>IF($P135="","",Shares!$B138)</f>
        <v/>
      </c>
      <c r="R135">
        <f>IF($P135="","",IFERROR(INDEX(WageParty,MATCH($Q135,WageIds,0)),""))</f>
        <v/>
      </c>
      <c r="S135">
        <f>IF($P135="","",IFERROR(INDEX($F$6:$F$2005,MATCH($Q135,WageIds,0)),""))</f>
        <v/>
      </c>
      <c r="T135">
        <f>IF(OR($P135="",$S135="",$S135="نامعتبر"),"",LEFT($S135,4)&amp;MID($S135,6,2)&amp;RIGHT($S135,2)&amp;"0000"&amp;"|"&amp;"2"&amp;RIGHT("00000"&amp;130,5))</f>
        <v/>
      </c>
      <c r="U135">
        <f>IF($T135="","",COUNTIFS(LdAParty,$P135,LdAType,1,LdAKey,"&lt;"&amp;$T135)+COUNTIFS(LdBMember,$P135,LdBKey,"&lt;"&amp;$T135)+COUNTIFS(LdCParty,$P135,LdCKey,"&lt;"&amp;$T135)+1)</f>
        <v/>
      </c>
      <c r="V135">
        <f>IF($U135="","",$P135&amp;"|"&amp;RIGHT("000000"&amp;$U135,6))</f>
        <v/>
      </c>
      <c r="W135">
        <f>IF($T135="","",COUNTIFS(LdBGroup,$R135,LdBKey,"&lt;"&amp;$T135)+1)</f>
        <v/>
      </c>
      <c r="X135">
        <f>IF($W135="","",$R135&amp;"|"&amp;RIGHT("000000"&amp;$W135,6))</f>
        <v/>
      </c>
      <c r="Y135">
        <f>IF($P135="","",IF(Shares!$E138="",0,Shares!$E138))</f>
        <v/>
      </c>
      <c r="Z135">
        <f>IF($P135="","",Shares!$H138)</f>
        <v/>
      </c>
      <c r="AE135">
        <f>IF(OR(Sync!$S135="",Sync!$P135=""),"",Sync!$S135)</f>
        <v/>
      </c>
      <c r="AF135">
        <f>IF($AE135="","",IF(ISNUMBER(Sync!$P135),IF(AND(Sync!$P135&gt;=10000101,Sync!$P135&lt;=99991231),INT(Sync!$P135/10000),""),IFERROR(VALUE(TRIM(LEFT(Sync!$P135,FIND("/",Sync!$P135)-1))),"")))</f>
        <v/>
      </c>
      <c r="AG135">
        <f>IF(OR($AE135="",$AF135=""),"",IF(ISNUMBER(Sync!$P135),INT(MOD(Sync!$P135,10000)/100),IFERROR(VALUE(TRIM(LEFT(MID(Sync!$P135,FIND("/",Sync!$P135)+1,20),FIND("/",MID(Sync!$P135,FIND("/",Sync!$P135)+1,20))-1))),"")))</f>
        <v/>
      </c>
      <c r="AH135">
        <f>IF(OR($AE135="",$AF135=""),"",IF(ISNUMBER(Sync!$P135),MOD(Sync!$P135,100),IFERROR(VALUE(TRIM(MID(MID(Sync!$P135,FIND("/",Sync!$P135)+1,20),FIND("/",MID(Sync!$P135,FIND("/",Sync!$P135)+1,20))+1,20))),"")))</f>
        <v/>
      </c>
      <c r="AI135">
        <f>IF($AE135="","",IF(OR($AF135="",$AG135="",$AH135="",$AF135&lt;1300,$AF135&gt;1500,$AG135&lt;1,$AG135&gt;12,$AH135&lt;1,$AH135&gt;31),"نامعتبر",RIGHT("0000"&amp;$AF135,4)&amp;"/"&amp;RIGHT("00"&amp;$AG135,2)&amp;"/"&amp;RIGHT("00"&amp;$AH135,2)))</f>
        <v/>
      </c>
      <c r="AJ135">
        <f>IF($AE135="","",IF(Sync!$Q135="","0000",IF(AND(ISNUMBER(Sync!$Q135),Sync!$Q135&gt;=0,Sync!$Q135&lt;1),RIGHT("00"&amp;HOUR(Sync!$Q135),2)&amp;RIGHT("00"&amp;MINUTE(Sync!$Q135),2),IFERROR(RIGHT("00"&amp;VALUE(LEFT(Sync!$Q135,FIND(":",Sync!$Q135)-1)),2)&amp;RIGHT("00"&amp;VALUE(MID(Sync!$Q135,FIND(":",Sync!$Q135)+1,2)),2),"0000"))))</f>
        <v/>
      </c>
      <c r="AK135">
        <f>IF(OR($AE135="",$AI135="",$AI135="نامعتبر"),"",LEFT($AI135,4)&amp;MID($AI135,6,2)&amp;RIGHT($AI135,2)&amp;$AJ135&amp;"|"&amp;"3"&amp;RIGHT("00000"&amp;130,5))</f>
        <v/>
      </c>
      <c r="AL135">
        <f>IF($AK135="","",COUNTIFS(LdAParty,$AE135,LdAType,1,LdAKey,"&lt;"&amp;$AK135)+COUNTIFS(LdBMember,$AE135,LdBKey,"&lt;"&amp;$AK135)+COUNTIFS(LdCParty,$AE135,LdCKey,"&lt;"&amp;$AK135)+1)</f>
        <v/>
      </c>
      <c r="AM135">
        <f>IF($AL135="","",$AE135&amp;"|"&amp;RIGHT("000000"&amp;$AL135,6))</f>
        <v/>
      </c>
      <c r="AN135">
        <f>IF($AE135="","",IF(Sync!$W135="",0,Sync!$W135))</f>
        <v/>
      </c>
      <c r="AO135">
        <f>IF($AE135="","",IF(Sync!$X135="",0,Sync!$X135))</f>
        <v/>
      </c>
      <c r="AP135">
        <f>IF($AE135="","",Sync!$R135)</f>
        <v/>
      </c>
      <c r="AQ135">
        <f>IF($AE135="","",Sync!$Y135)</f>
        <v/>
      </c>
    </row>
    <row r="136">
      <c r="A136">
        <f>IF(OR(Wages!$B139="",Wages!$E139=""),"",Wages!$E139)</f>
        <v/>
      </c>
      <c r="B136">
        <f>IF($A136="","",IF(Wages!$C139="دستمزد گروهی",2,1))</f>
        <v/>
      </c>
      <c r="C136">
        <f>IF($A136="","",IF(ISNUMBER(Wages!$B139),IF(AND(Wages!$B139&gt;=10000101,Wages!$B139&lt;=99991231),INT(Wages!$B139/10000),""),IFERROR(VALUE(TRIM(LEFT(Wages!$B139,FIND("/",Wages!$B139)-1))),"")))</f>
        <v/>
      </c>
      <c r="D136">
        <f>IF(OR($A136="",$C136=""),"",IF(ISNUMBER(Wages!$B139),INT(MOD(Wages!$B139,10000)/100),IFERROR(VALUE(TRIM(LEFT(MID(Wages!$B139,FIND("/",Wages!$B139)+1,20),FIND("/",MID(Wages!$B139,FIND("/",Wages!$B139)+1,20))-1))),"")))</f>
        <v/>
      </c>
      <c r="E136">
        <f>IF(OR($A136="",$C136=""),"",IF(ISNUMBER(Wages!$B139),MOD(Wages!$B139,100),IFERROR(VALUE(TRIM(MID(MID(Wages!$B139,FIND("/",Wages!$B139)+1,20),FIND("/",MID(Wages!$B139,FIND("/",Wages!$B139)+1,20))+1,20))),"")))</f>
        <v/>
      </c>
      <c r="F136">
        <f>IF($A136="","",IF(OR($C136="",$D136="",$E136="",$C136&lt;1300,$C136&gt;1500,$D136&lt;1,$D136&gt;12,$E136&lt;1,$E136&gt;31),"نامعتبر",RIGHT("0000"&amp;$C136,4)&amp;"/"&amp;RIGHT("00"&amp;$D136,2)&amp;"/"&amp;RIGHT("00"&amp;$E136,2)))</f>
        <v/>
      </c>
      <c r="G136">
        <f>IF(OR($A136="",$F136="",$F136="نامعتبر"),"",LEFT($F136,4)&amp;MID($F136,6,2)&amp;RIGHT($F136,2)&amp;"0000"&amp;"|"&amp;"1"&amp;RIGHT("00000"&amp;131,5))</f>
        <v/>
      </c>
      <c r="H136">
        <f>IF(OR($B136&lt;&gt;1,$G136=""),"",COUNTIFS(LdAParty,$A136,LdAType,1,LdAKey,"&lt;"&amp;$G136)+COUNTIFS(LdBMember,$A136,LdBKey,"&lt;"&amp;$G136)+COUNTIFS(LdCParty,$A136,LdCKey,"&lt;"&amp;$G136)+1)</f>
        <v/>
      </c>
      <c r="I136">
        <f>IF($H136="","",$A136&amp;"|"&amp;RIGHT("000000"&amp;$H136,6))</f>
        <v/>
      </c>
      <c r="J136">
        <f>IF(OR($B136&lt;&gt;2,$G136=""),"",COUNTIFS(LdAParty,$A136,LdAType,2,LdAKey,"&lt;"&amp;$G136)+1)</f>
        <v/>
      </c>
      <c r="K136">
        <f>IF($J136="","",$A136&amp;"|"&amp;RIGHT("000000"&amp;$J136,6))</f>
        <v/>
      </c>
      <c r="L136">
        <f>IF($A136="","",IF(Wages!$G139="",0,Wages!$G139))</f>
        <v/>
      </c>
      <c r="M136">
        <f>IF($A136="","",Wages!$J139)</f>
        <v/>
      </c>
      <c r="N136">
        <f>IF($A136="","",Wages!$D139)</f>
        <v/>
      </c>
      <c r="P136">
        <f>IF(OR(Shares!$B139="",Shares!$C139=""),"",Shares!$C139)</f>
        <v/>
      </c>
      <c r="Q136">
        <f>IF($P136="","",Shares!$B139)</f>
        <v/>
      </c>
      <c r="R136">
        <f>IF($P136="","",IFERROR(INDEX(WageParty,MATCH($Q136,WageIds,0)),""))</f>
        <v/>
      </c>
      <c r="S136">
        <f>IF($P136="","",IFERROR(INDEX($F$6:$F$2005,MATCH($Q136,WageIds,0)),""))</f>
        <v/>
      </c>
      <c r="T136">
        <f>IF(OR($P136="",$S136="",$S136="نامعتبر"),"",LEFT($S136,4)&amp;MID($S136,6,2)&amp;RIGHT($S136,2)&amp;"0000"&amp;"|"&amp;"2"&amp;RIGHT("00000"&amp;131,5))</f>
        <v/>
      </c>
      <c r="U136">
        <f>IF($T136="","",COUNTIFS(LdAParty,$P136,LdAType,1,LdAKey,"&lt;"&amp;$T136)+COUNTIFS(LdBMember,$P136,LdBKey,"&lt;"&amp;$T136)+COUNTIFS(LdCParty,$P136,LdCKey,"&lt;"&amp;$T136)+1)</f>
        <v/>
      </c>
      <c r="V136">
        <f>IF($U136="","",$P136&amp;"|"&amp;RIGHT("000000"&amp;$U136,6))</f>
        <v/>
      </c>
      <c r="W136">
        <f>IF($T136="","",COUNTIFS(LdBGroup,$R136,LdBKey,"&lt;"&amp;$T136)+1)</f>
        <v/>
      </c>
      <c r="X136">
        <f>IF($W136="","",$R136&amp;"|"&amp;RIGHT("000000"&amp;$W136,6))</f>
        <v/>
      </c>
      <c r="Y136">
        <f>IF($P136="","",IF(Shares!$E139="",0,Shares!$E139))</f>
        <v/>
      </c>
      <c r="Z136">
        <f>IF($P136="","",Shares!$H139)</f>
        <v/>
      </c>
      <c r="AE136">
        <f>IF(OR(Sync!$S136="",Sync!$P136=""),"",Sync!$S136)</f>
        <v/>
      </c>
      <c r="AF136">
        <f>IF($AE136="","",IF(ISNUMBER(Sync!$P136),IF(AND(Sync!$P136&gt;=10000101,Sync!$P136&lt;=99991231),INT(Sync!$P136/10000),""),IFERROR(VALUE(TRIM(LEFT(Sync!$P136,FIND("/",Sync!$P136)-1))),"")))</f>
        <v/>
      </c>
      <c r="AG136">
        <f>IF(OR($AE136="",$AF136=""),"",IF(ISNUMBER(Sync!$P136),INT(MOD(Sync!$P136,10000)/100),IFERROR(VALUE(TRIM(LEFT(MID(Sync!$P136,FIND("/",Sync!$P136)+1,20),FIND("/",MID(Sync!$P136,FIND("/",Sync!$P136)+1,20))-1))),"")))</f>
        <v/>
      </c>
      <c r="AH136">
        <f>IF(OR($AE136="",$AF136=""),"",IF(ISNUMBER(Sync!$P136),MOD(Sync!$P136,100),IFERROR(VALUE(TRIM(MID(MID(Sync!$P136,FIND("/",Sync!$P136)+1,20),FIND("/",MID(Sync!$P136,FIND("/",Sync!$P136)+1,20))+1,20))),"")))</f>
        <v/>
      </c>
      <c r="AI136">
        <f>IF($AE136="","",IF(OR($AF136="",$AG136="",$AH136="",$AF136&lt;1300,$AF136&gt;1500,$AG136&lt;1,$AG136&gt;12,$AH136&lt;1,$AH136&gt;31),"نامعتبر",RIGHT("0000"&amp;$AF136,4)&amp;"/"&amp;RIGHT("00"&amp;$AG136,2)&amp;"/"&amp;RIGHT("00"&amp;$AH136,2)))</f>
        <v/>
      </c>
      <c r="AJ136">
        <f>IF($AE136="","",IF(Sync!$Q136="","0000",IF(AND(ISNUMBER(Sync!$Q136),Sync!$Q136&gt;=0,Sync!$Q136&lt;1),RIGHT("00"&amp;HOUR(Sync!$Q136),2)&amp;RIGHT("00"&amp;MINUTE(Sync!$Q136),2),IFERROR(RIGHT("00"&amp;VALUE(LEFT(Sync!$Q136,FIND(":",Sync!$Q136)-1)),2)&amp;RIGHT("00"&amp;VALUE(MID(Sync!$Q136,FIND(":",Sync!$Q136)+1,2)),2),"0000"))))</f>
        <v/>
      </c>
      <c r="AK136">
        <f>IF(OR($AE136="",$AI136="",$AI136="نامعتبر"),"",LEFT($AI136,4)&amp;MID($AI136,6,2)&amp;RIGHT($AI136,2)&amp;$AJ136&amp;"|"&amp;"3"&amp;RIGHT("00000"&amp;131,5))</f>
        <v/>
      </c>
      <c r="AL136">
        <f>IF($AK136="","",COUNTIFS(LdAParty,$AE136,LdAType,1,LdAKey,"&lt;"&amp;$AK136)+COUNTIFS(LdBMember,$AE136,LdBKey,"&lt;"&amp;$AK136)+COUNTIFS(LdCParty,$AE136,LdCKey,"&lt;"&amp;$AK136)+1)</f>
        <v/>
      </c>
      <c r="AM136">
        <f>IF($AL136="","",$AE136&amp;"|"&amp;RIGHT("000000"&amp;$AL136,6))</f>
        <v/>
      </c>
      <c r="AN136">
        <f>IF($AE136="","",IF(Sync!$W136="",0,Sync!$W136))</f>
        <v/>
      </c>
      <c r="AO136">
        <f>IF($AE136="","",IF(Sync!$X136="",0,Sync!$X136))</f>
        <v/>
      </c>
      <c r="AP136">
        <f>IF($AE136="","",Sync!$R136)</f>
        <v/>
      </c>
      <c r="AQ136">
        <f>IF($AE136="","",Sync!$Y136)</f>
        <v/>
      </c>
    </row>
    <row r="137">
      <c r="A137">
        <f>IF(OR(Wages!$B140="",Wages!$E140=""),"",Wages!$E140)</f>
        <v/>
      </c>
      <c r="B137">
        <f>IF($A137="","",IF(Wages!$C140="دستمزد گروهی",2,1))</f>
        <v/>
      </c>
      <c r="C137">
        <f>IF($A137="","",IF(ISNUMBER(Wages!$B140),IF(AND(Wages!$B140&gt;=10000101,Wages!$B140&lt;=99991231),INT(Wages!$B140/10000),""),IFERROR(VALUE(TRIM(LEFT(Wages!$B140,FIND("/",Wages!$B140)-1))),"")))</f>
        <v/>
      </c>
      <c r="D137">
        <f>IF(OR($A137="",$C137=""),"",IF(ISNUMBER(Wages!$B140),INT(MOD(Wages!$B140,10000)/100),IFERROR(VALUE(TRIM(LEFT(MID(Wages!$B140,FIND("/",Wages!$B140)+1,20),FIND("/",MID(Wages!$B140,FIND("/",Wages!$B140)+1,20))-1))),"")))</f>
        <v/>
      </c>
      <c r="E137">
        <f>IF(OR($A137="",$C137=""),"",IF(ISNUMBER(Wages!$B140),MOD(Wages!$B140,100),IFERROR(VALUE(TRIM(MID(MID(Wages!$B140,FIND("/",Wages!$B140)+1,20),FIND("/",MID(Wages!$B140,FIND("/",Wages!$B140)+1,20))+1,20))),"")))</f>
        <v/>
      </c>
      <c r="F137">
        <f>IF($A137="","",IF(OR($C137="",$D137="",$E137="",$C137&lt;1300,$C137&gt;1500,$D137&lt;1,$D137&gt;12,$E137&lt;1,$E137&gt;31),"نامعتبر",RIGHT("0000"&amp;$C137,4)&amp;"/"&amp;RIGHT("00"&amp;$D137,2)&amp;"/"&amp;RIGHT("00"&amp;$E137,2)))</f>
        <v/>
      </c>
      <c r="G137">
        <f>IF(OR($A137="",$F137="",$F137="نامعتبر"),"",LEFT($F137,4)&amp;MID($F137,6,2)&amp;RIGHT($F137,2)&amp;"0000"&amp;"|"&amp;"1"&amp;RIGHT("00000"&amp;132,5))</f>
        <v/>
      </c>
      <c r="H137">
        <f>IF(OR($B137&lt;&gt;1,$G137=""),"",COUNTIFS(LdAParty,$A137,LdAType,1,LdAKey,"&lt;"&amp;$G137)+COUNTIFS(LdBMember,$A137,LdBKey,"&lt;"&amp;$G137)+COUNTIFS(LdCParty,$A137,LdCKey,"&lt;"&amp;$G137)+1)</f>
        <v/>
      </c>
      <c r="I137">
        <f>IF($H137="","",$A137&amp;"|"&amp;RIGHT("000000"&amp;$H137,6))</f>
        <v/>
      </c>
      <c r="J137">
        <f>IF(OR($B137&lt;&gt;2,$G137=""),"",COUNTIFS(LdAParty,$A137,LdAType,2,LdAKey,"&lt;"&amp;$G137)+1)</f>
        <v/>
      </c>
      <c r="K137">
        <f>IF($J137="","",$A137&amp;"|"&amp;RIGHT("000000"&amp;$J137,6))</f>
        <v/>
      </c>
      <c r="L137">
        <f>IF($A137="","",IF(Wages!$G140="",0,Wages!$G140))</f>
        <v/>
      </c>
      <c r="M137">
        <f>IF($A137="","",Wages!$J140)</f>
        <v/>
      </c>
      <c r="N137">
        <f>IF($A137="","",Wages!$D140)</f>
        <v/>
      </c>
      <c r="P137">
        <f>IF(OR(Shares!$B140="",Shares!$C140=""),"",Shares!$C140)</f>
        <v/>
      </c>
      <c r="Q137">
        <f>IF($P137="","",Shares!$B140)</f>
        <v/>
      </c>
      <c r="R137">
        <f>IF($P137="","",IFERROR(INDEX(WageParty,MATCH($Q137,WageIds,0)),""))</f>
        <v/>
      </c>
      <c r="S137">
        <f>IF($P137="","",IFERROR(INDEX($F$6:$F$2005,MATCH($Q137,WageIds,0)),""))</f>
        <v/>
      </c>
      <c r="T137">
        <f>IF(OR($P137="",$S137="",$S137="نامعتبر"),"",LEFT($S137,4)&amp;MID($S137,6,2)&amp;RIGHT($S137,2)&amp;"0000"&amp;"|"&amp;"2"&amp;RIGHT("00000"&amp;132,5))</f>
        <v/>
      </c>
      <c r="U137">
        <f>IF($T137="","",COUNTIFS(LdAParty,$P137,LdAType,1,LdAKey,"&lt;"&amp;$T137)+COUNTIFS(LdBMember,$P137,LdBKey,"&lt;"&amp;$T137)+COUNTIFS(LdCParty,$P137,LdCKey,"&lt;"&amp;$T137)+1)</f>
        <v/>
      </c>
      <c r="V137">
        <f>IF($U137="","",$P137&amp;"|"&amp;RIGHT("000000"&amp;$U137,6))</f>
        <v/>
      </c>
      <c r="W137">
        <f>IF($T137="","",COUNTIFS(LdBGroup,$R137,LdBKey,"&lt;"&amp;$T137)+1)</f>
        <v/>
      </c>
      <c r="X137">
        <f>IF($W137="","",$R137&amp;"|"&amp;RIGHT("000000"&amp;$W137,6))</f>
        <v/>
      </c>
      <c r="Y137">
        <f>IF($P137="","",IF(Shares!$E140="",0,Shares!$E140))</f>
        <v/>
      </c>
      <c r="Z137">
        <f>IF($P137="","",Shares!$H140)</f>
        <v/>
      </c>
      <c r="AE137">
        <f>IF(OR(Sync!$S137="",Sync!$P137=""),"",Sync!$S137)</f>
        <v/>
      </c>
      <c r="AF137">
        <f>IF($AE137="","",IF(ISNUMBER(Sync!$P137),IF(AND(Sync!$P137&gt;=10000101,Sync!$P137&lt;=99991231),INT(Sync!$P137/10000),""),IFERROR(VALUE(TRIM(LEFT(Sync!$P137,FIND("/",Sync!$P137)-1))),"")))</f>
        <v/>
      </c>
      <c r="AG137">
        <f>IF(OR($AE137="",$AF137=""),"",IF(ISNUMBER(Sync!$P137),INT(MOD(Sync!$P137,10000)/100),IFERROR(VALUE(TRIM(LEFT(MID(Sync!$P137,FIND("/",Sync!$P137)+1,20),FIND("/",MID(Sync!$P137,FIND("/",Sync!$P137)+1,20))-1))),"")))</f>
        <v/>
      </c>
      <c r="AH137">
        <f>IF(OR($AE137="",$AF137=""),"",IF(ISNUMBER(Sync!$P137),MOD(Sync!$P137,100),IFERROR(VALUE(TRIM(MID(MID(Sync!$P137,FIND("/",Sync!$P137)+1,20),FIND("/",MID(Sync!$P137,FIND("/",Sync!$P137)+1,20))+1,20))),"")))</f>
        <v/>
      </c>
      <c r="AI137">
        <f>IF($AE137="","",IF(OR($AF137="",$AG137="",$AH137="",$AF137&lt;1300,$AF137&gt;1500,$AG137&lt;1,$AG137&gt;12,$AH137&lt;1,$AH137&gt;31),"نامعتبر",RIGHT("0000"&amp;$AF137,4)&amp;"/"&amp;RIGHT("00"&amp;$AG137,2)&amp;"/"&amp;RIGHT("00"&amp;$AH137,2)))</f>
        <v/>
      </c>
      <c r="AJ137">
        <f>IF($AE137="","",IF(Sync!$Q137="","0000",IF(AND(ISNUMBER(Sync!$Q137),Sync!$Q137&gt;=0,Sync!$Q137&lt;1),RIGHT("00"&amp;HOUR(Sync!$Q137),2)&amp;RIGHT("00"&amp;MINUTE(Sync!$Q137),2),IFERROR(RIGHT("00"&amp;VALUE(LEFT(Sync!$Q137,FIND(":",Sync!$Q137)-1)),2)&amp;RIGHT("00"&amp;VALUE(MID(Sync!$Q137,FIND(":",Sync!$Q137)+1,2)),2),"0000"))))</f>
        <v/>
      </c>
      <c r="AK137">
        <f>IF(OR($AE137="",$AI137="",$AI137="نامعتبر"),"",LEFT($AI137,4)&amp;MID($AI137,6,2)&amp;RIGHT($AI137,2)&amp;$AJ137&amp;"|"&amp;"3"&amp;RIGHT("00000"&amp;132,5))</f>
        <v/>
      </c>
      <c r="AL137">
        <f>IF($AK137="","",COUNTIFS(LdAParty,$AE137,LdAType,1,LdAKey,"&lt;"&amp;$AK137)+COUNTIFS(LdBMember,$AE137,LdBKey,"&lt;"&amp;$AK137)+COUNTIFS(LdCParty,$AE137,LdCKey,"&lt;"&amp;$AK137)+1)</f>
        <v/>
      </c>
      <c r="AM137">
        <f>IF($AL137="","",$AE137&amp;"|"&amp;RIGHT("000000"&amp;$AL137,6))</f>
        <v/>
      </c>
      <c r="AN137">
        <f>IF($AE137="","",IF(Sync!$W137="",0,Sync!$W137))</f>
        <v/>
      </c>
      <c r="AO137">
        <f>IF($AE137="","",IF(Sync!$X137="",0,Sync!$X137))</f>
        <v/>
      </c>
      <c r="AP137">
        <f>IF($AE137="","",Sync!$R137)</f>
        <v/>
      </c>
      <c r="AQ137">
        <f>IF($AE137="","",Sync!$Y137)</f>
        <v/>
      </c>
    </row>
    <row r="138">
      <c r="A138">
        <f>IF(OR(Wages!$B141="",Wages!$E141=""),"",Wages!$E141)</f>
        <v/>
      </c>
      <c r="B138">
        <f>IF($A138="","",IF(Wages!$C141="دستمزد گروهی",2,1))</f>
        <v/>
      </c>
      <c r="C138">
        <f>IF($A138="","",IF(ISNUMBER(Wages!$B141),IF(AND(Wages!$B141&gt;=10000101,Wages!$B141&lt;=99991231),INT(Wages!$B141/10000),""),IFERROR(VALUE(TRIM(LEFT(Wages!$B141,FIND("/",Wages!$B141)-1))),"")))</f>
        <v/>
      </c>
      <c r="D138">
        <f>IF(OR($A138="",$C138=""),"",IF(ISNUMBER(Wages!$B141),INT(MOD(Wages!$B141,10000)/100),IFERROR(VALUE(TRIM(LEFT(MID(Wages!$B141,FIND("/",Wages!$B141)+1,20),FIND("/",MID(Wages!$B141,FIND("/",Wages!$B141)+1,20))-1))),"")))</f>
        <v/>
      </c>
      <c r="E138">
        <f>IF(OR($A138="",$C138=""),"",IF(ISNUMBER(Wages!$B141),MOD(Wages!$B141,100),IFERROR(VALUE(TRIM(MID(MID(Wages!$B141,FIND("/",Wages!$B141)+1,20),FIND("/",MID(Wages!$B141,FIND("/",Wages!$B141)+1,20))+1,20))),"")))</f>
        <v/>
      </c>
      <c r="F138">
        <f>IF($A138="","",IF(OR($C138="",$D138="",$E138="",$C138&lt;1300,$C138&gt;1500,$D138&lt;1,$D138&gt;12,$E138&lt;1,$E138&gt;31),"نامعتبر",RIGHT("0000"&amp;$C138,4)&amp;"/"&amp;RIGHT("00"&amp;$D138,2)&amp;"/"&amp;RIGHT("00"&amp;$E138,2)))</f>
        <v/>
      </c>
      <c r="G138">
        <f>IF(OR($A138="",$F138="",$F138="نامعتبر"),"",LEFT($F138,4)&amp;MID($F138,6,2)&amp;RIGHT($F138,2)&amp;"0000"&amp;"|"&amp;"1"&amp;RIGHT("00000"&amp;133,5))</f>
        <v/>
      </c>
      <c r="H138">
        <f>IF(OR($B138&lt;&gt;1,$G138=""),"",COUNTIFS(LdAParty,$A138,LdAType,1,LdAKey,"&lt;"&amp;$G138)+COUNTIFS(LdBMember,$A138,LdBKey,"&lt;"&amp;$G138)+COUNTIFS(LdCParty,$A138,LdCKey,"&lt;"&amp;$G138)+1)</f>
        <v/>
      </c>
      <c r="I138">
        <f>IF($H138="","",$A138&amp;"|"&amp;RIGHT("000000"&amp;$H138,6))</f>
        <v/>
      </c>
      <c r="J138">
        <f>IF(OR($B138&lt;&gt;2,$G138=""),"",COUNTIFS(LdAParty,$A138,LdAType,2,LdAKey,"&lt;"&amp;$G138)+1)</f>
        <v/>
      </c>
      <c r="K138">
        <f>IF($J138="","",$A138&amp;"|"&amp;RIGHT("000000"&amp;$J138,6))</f>
        <v/>
      </c>
      <c r="L138">
        <f>IF($A138="","",IF(Wages!$G141="",0,Wages!$G141))</f>
        <v/>
      </c>
      <c r="M138">
        <f>IF($A138="","",Wages!$J141)</f>
        <v/>
      </c>
      <c r="N138">
        <f>IF($A138="","",Wages!$D141)</f>
        <v/>
      </c>
      <c r="P138">
        <f>IF(OR(Shares!$B141="",Shares!$C141=""),"",Shares!$C141)</f>
        <v/>
      </c>
      <c r="Q138">
        <f>IF($P138="","",Shares!$B141)</f>
        <v/>
      </c>
      <c r="R138">
        <f>IF($P138="","",IFERROR(INDEX(WageParty,MATCH($Q138,WageIds,0)),""))</f>
        <v/>
      </c>
      <c r="S138">
        <f>IF($P138="","",IFERROR(INDEX($F$6:$F$2005,MATCH($Q138,WageIds,0)),""))</f>
        <v/>
      </c>
      <c r="T138">
        <f>IF(OR($P138="",$S138="",$S138="نامعتبر"),"",LEFT($S138,4)&amp;MID($S138,6,2)&amp;RIGHT($S138,2)&amp;"0000"&amp;"|"&amp;"2"&amp;RIGHT("00000"&amp;133,5))</f>
        <v/>
      </c>
      <c r="U138">
        <f>IF($T138="","",COUNTIFS(LdAParty,$P138,LdAType,1,LdAKey,"&lt;"&amp;$T138)+COUNTIFS(LdBMember,$P138,LdBKey,"&lt;"&amp;$T138)+COUNTIFS(LdCParty,$P138,LdCKey,"&lt;"&amp;$T138)+1)</f>
        <v/>
      </c>
      <c r="V138">
        <f>IF($U138="","",$P138&amp;"|"&amp;RIGHT("000000"&amp;$U138,6))</f>
        <v/>
      </c>
      <c r="W138">
        <f>IF($T138="","",COUNTIFS(LdBGroup,$R138,LdBKey,"&lt;"&amp;$T138)+1)</f>
        <v/>
      </c>
      <c r="X138">
        <f>IF($W138="","",$R138&amp;"|"&amp;RIGHT("000000"&amp;$W138,6))</f>
        <v/>
      </c>
      <c r="Y138">
        <f>IF($P138="","",IF(Shares!$E141="",0,Shares!$E141))</f>
        <v/>
      </c>
      <c r="Z138">
        <f>IF($P138="","",Shares!$H141)</f>
        <v/>
      </c>
      <c r="AE138">
        <f>IF(OR(Sync!$S138="",Sync!$P138=""),"",Sync!$S138)</f>
        <v/>
      </c>
      <c r="AF138">
        <f>IF($AE138="","",IF(ISNUMBER(Sync!$P138),IF(AND(Sync!$P138&gt;=10000101,Sync!$P138&lt;=99991231),INT(Sync!$P138/10000),""),IFERROR(VALUE(TRIM(LEFT(Sync!$P138,FIND("/",Sync!$P138)-1))),"")))</f>
        <v/>
      </c>
      <c r="AG138">
        <f>IF(OR($AE138="",$AF138=""),"",IF(ISNUMBER(Sync!$P138),INT(MOD(Sync!$P138,10000)/100),IFERROR(VALUE(TRIM(LEFT(MID(Sync!$P138,FIND("/",Sync!$P138)+1,20),FIND("/",MID(Sync!$P138,FIND("/",Sync!$P138)+1,20))-1))),"")))</f>
        <v/>
      </c>
      <c r="AH138">
        <f>IF(OR($AE138="",$AF138=""),"",IF(ISNUMBER(Sync!$P138),MOD(Sync!$P138,100),IFERROR(VALUE(TRIM(MID(MID(Sync!$P138,FIND("/",Sync!$P138)+1,20),FIND("/",MID(Sync!$P138,FIND("/",Sync!$P138)+1,20))+1,20))),"")))</f>
        <v/>
      </c>
      <c r="AI138">
        <f>IF($AE138="","",IF(OR($AF138="",$AG138="",$AH138="",$AF138&lt;1300,$AF138&gt;1500,$AG138&lt;1,$AG138&gt;12,$AH138&lt;1,$AH138&gt;31),"نامعتبر",RIGHT("0000"&amp;$AF138,4)&amp;"/"&amp;RIGHT("00"&amp;$AG138,2)&amp;"/"&amp;RIGHT("00"&amp;$AH138,2)))</f>
        <v/>
      </c>
      <c r="AJ138">
        <f>IF($AE138="","",IF(Sync!$Q138="","0000",IF(AND(ISNUMBER(Sync!$Q138),Sync!$Q138&gt;=0,Sync!$Q138&lt;1),RIGHT("00"&amp;HOUR(Sync!$Q138),2)&amp;RIGHT("00"&amp;MINUTE(Sync!$Q138),2),IFERROR(RIGHT("00"&amp;VALUE(LEFT(Sync!$Q138,FIND(":",Sync!$Q138)-1)),2)&amp;RIGHT("00"&amp;VALUE(MID(Sync!$Q138,FIND(":",Sync!$Q138)+1,2)),2),"0000"))))</f>
        <v/>
      </c>
      <c r="AK138">
        <f>IF(OR($AE138="",$AI138="",$AI138="نامعتبر"),"",LEFT($AI138,4)&amp;MID($AI138,6,2)&amp;RIGHT($AI138,2)&amp;$AJ138&amp;"|"&amp;"3"&amp;RIGHT("00000"&amp;133,5))</f>
        <v/>
      </c>
      <c r="AL138">
        <f>IF($AK138="","",COUNTIFS(LdAParty,$AE138,LdAType,1,LdAKey,"&lt;"&amp;$AK138)+COUNTIFS(LdBMember,$AE138,LdBKey,"&lt;"&amp;$AK138)+COUNTIFS(LdCParty,$AE138,LdCKey,"&lt;"&amp;$AK138)+1)</f>
        <v/>
      </c>
      <c r="AM138">
        <f>IF($AL138="","",$AE138&amp;"|"&amp;RIGHT("000000"&amp;$AL138,6))</f>
        <v/>
      </c>
      <c r="AN138">
        <f>IF($AE138="","",IF(Sync!$W138="",0,Sync!$W138))</f>
        <v/>
      </c>
      <c r="AO138">
        <f>IF($AE138="","",IF(Sync!$X138="",0,Sync!$X138))</f>
        <v/>
      </c>
      <c r="AP138">
        <f>IF($AE138="","",Sync!$R138)</f>
        <v/>
      </c>
      <c r="AQ138">
        <f>IF($AE138="","",Sync!$Y138)</f>
        <v/>
      </c>
    </row>
    <row r="139">
      <c r="A139">
        <f>IF(OR(Wages!$B142="",Wages!$E142=""),"",Wages!$E142)</f>
        <v/>
      </c>
      <c r="B139">
        <f>IF($A139="","",IF(Wages!$C142="دستمزد گروهی",2,1))</f>
        <v/>
      </c>
      <c r="C139">
        <f>IF($A139="","",IF(ISNUMBER(Wages!$B142),IF(AND(Wages!$B142&gt;=10000101,Wages!$B142&lt;=99991231),INT(Wages!$B142/10000),""),IFERROR(VALUE(TRIM(LEFT(Wages!$B142,FIND("/",Wages!$B142)-1))),"")))</f>
        <v/>
      </c>
      <c r="D139">
        <f>IF(OR($A139="",$C139=""),"",IF(ISNUMBER(Wages!$B142),INT(MOD(Wages!$B142,10000)/100),IFERROR(VALUE(TRIM(LEFT(MID(Wages!$B142,FIND("/",Wages!$B142)+1,20),FIND("/",MID(Wages!$B142,FIND("/",Wages!$B142)+1,20))-1))),"")))</f>
        <v/>
      </c>
      <c r="E139">
        <f>IF(OR($A139="",$C139=""),"",IF(ISNUMBER(Wages!$B142),MOD(Wages!$B142,100),IFERROR(VALUE(TRIM(MID(MID(Wages!$B142,FIND("/",Wages!$B142)+1,20),FIND("/",MID(Wages!$B142,FIND("/",Wages!$B142)+1,20))+1,20))),"")))</f>
        <v/>
      </c>
      <c r="F139">
        <f>IF($A139="","",IF(OR($C139="",$D139="",$E139="",$C139&lt;1300,$C139&gt;1500,$D139&lt;1,$D139&gt;12,$E139&lt;1,$E139&gt;31),"نامعتبر",RIGHT("0000"&amp;$C139,4)&amp;"/"&amp;RIGHT("00"&amp;$D139,2)&amp;"/"&amp;RIGHT("00"&amp;$E139,2)))</f>
        <v/>
      </c>
      <c r="G139">
        <f>IF(OR($A139="",$F139="",$F139="نامعتبر"),"",LEFT($F139,4)&amp;MID($F139,6,2)&amp;RIGHT($F139,2)&amp;"0000"&amp;"|"&amp;"1"&amp;RIGHT("00000"&amp;134,5))</f>
        <v/>
      </c>
      <c r="H139">
        <f>IF(OR($B139&lt;&gt;1,$G139=""),"",COUNTIFS(LdAParty,$A139,LdAType,1,LdAKey,"&lt;"&amp;$G139)+COUNTIFS(LdBMember,$A139,LdBKey,"&lt;"&amp;$G139)+COUNTIFS(LdCParty,$A139,LdCKey,"&lt;"&amp;$G139)+1)</f>
        <v/>
      </c>
      <c r="I139">
        <f>IF($H139="","",$A139&amp;"|"&amp;RIGHT("000000"&amp;$H139,6))</f>
        <v/>
      </c>
      <c r="J139">
        <f>IF(OR($B139&lt;&gt;2,$G139=""),"",COUNTIFS(LdAParty,$A139,LdAType,2,LdAKey,"&lt;"&amp;$G139)+1)</f>
        <v/>
      </c>
      <c r="K139">
        <f>IF($J139="","",$A139&amp;"|"&amp;RIGHT("000000"&amp;$J139,6))</f>
        <v/>
      </c>
      <c r="L139">
        <f>IF($A139="","",IF(Wages!$G142="",0,Wages!$G142))</f>
        <v/>
      </c>
      <c r="M139">
        <f>IF($A139="","",Wages!$J142)</f>
        <v/>
      </c>
      <c r="N139">
        <f>IF($A139="","",Wages!$D142)</f>
        <v/>
      </c>
      <c r="P139">
        <f>IF(OR(Shares!$B142="",Shares!$C142=""),"",Shares!$C142)</f>
        <v/>
      </c>
      <c r="Q139">
        <f>IF($P139="","",Shares!$B142)</f>
        <v/>
      </c>
      <c r="R139">
        <f>IF($P139="","",IFERROR(INDEX(WageParty,MATCH($Q139,WageIds,0)),""))</f>
        <v/>
      </c>
      <c r="S139">
        <f>IF($P139="","",IFERROR(INDEX($F$6:$F$2005,MATCH($Q139,WageIds,0)),""))</f>
        <v/>
      </c>
      <c r="T139">
        <f>IF(OR($P139="",$S139="",$S139="نامعتبر"),"",LEFT($S139,4)&amp;MID($S139,6,2)&amp;RIGHT($S139,2)&amp;"0000"&amp;"|"&amp;"2"&amp;RIGHT("00000"&amp;134,5))</f>
        <v/>
      </c>
      <c r="U139">
        <f>IF($T139="","",COUNTIFS(LdAParty,$P139,LdAType,1,LdAKey,"&lt;"&amp;$T139)+COUNTIFS(LdBMember,$P139,LdBKey,"&lt;"&amp;$T139)+COUNTIFS(LdCParty,$P139,LdCKey,"&lt;"&amp;$T139)+1)</f>
        <v/>
      </c>
      <c r="V139">
        <f>IF($U139="","",$P139&amp;"|"&amp;RIGHT("000000"&amp;$U139,6))</f>
        <v/>
      </c>
      <c r="W139">
        <f>IF($T139="","",COUNTIFS(LdBGroup,$R139,LdBKey,"&lt;"&amp;$T139)+1)</f>
        <v/>
      </c>
      <c r="X139">
        <f>IF($W139="","",$R139&amp;"|"&amp;RIGHT("000000"&amp;$W139,6))</f>
        <v/>
      </c>
      <c r="Y139">
        <f>IF($P139="","",IF(Shares!$E142="",0,Shares!$E142))</f>
        <v/>
      </c>
      <c r="Z139">
        <f>IF($P139="","",Shares!$H142)</f>
        <v/>
      </c>
      <c r="AE139">
        <f>IF(OR(Sync!$S139="",Sync!$P139=""),"",Sync!$S139)</f>
        <v/>
      </c>
      <c r="AF139">
        <f>IF($AE139="","",IF(ISNUMBER(Sync!$P139),IF(AND(Sync!$P139&gt;=10000101,Sync!$P139&lt;=99991231),INT(Sync!$P139/10000),""),IFERROR(VALUE(TRIM(LEFT(Sync!$P139,FIND("/",Sync!$P139)-1))),"")))</f>
        <v/>
      </c>
      <c r="AG139">
        <f>IF(OR($AE139="",$AF139=""),"",IF(ISNUMBER(Sync!$P139),INT(MOD(Sync!$P139,10000)/100),IFERROR(VALUE(TRIM(LEFT(MID(Sync!$P139,FIND("/",Sync!$P139)+1,20),FIND("/",MID(Sync!$P139,FIND("/",Sync!$P139)+1,20))-1))),"")))</f>
        <v/>
      </c>
      <c r="AH139">
        <f>IF(OR($AE139="",$AF139=""),"",IF(ISNUMBER(Sync!$P139),MOD(Sync!$P139,100),IFERROR(VALUE(TRIM(MID(MID(Sync!$P139,FIND("/",Sync!$P139)+1,20),FIND("/",MID(Sync!$P139,FIND("/",Sync!$P139)+1,20))+1,20))),"")))</f>
        <v/>
      </c>
      <c r="AI139">
        <f>IF($AE139="","",IF(OR($AF139="",$AG139="",$AH139="",$AF139&lt;1300,$AF139&gt;1500,$AG139&lt;1,$AG139&gt;12,$AH139&lt;1,$AH139&gt;31),"نامعتبر",RIGHT("0000"&amp;$AF139,4)&amp;"/"&amp;RIGHT("00"&amp;$AG139,2)&amp;"/"&amp;RIGHT("00"&amp;$AH139,2)))</f>
        <v/>
      </c>
      <c r="AJ139">
        <f>IF($AE139="","",IF(Sync!$Q139="","0000",IF(AND(ISNUMBER(Sync!$Q139),Sync!$Q139&gt;=0,Sync!$Q139&lt;1),RIGHT("00"&amp;HOUR(Sync!$Q139),2)&amp;RIGHT("00"&amp;MINUTE(Sync!$Q139),2),IFERROR(RIGHT("00"&amp;VALUE(LEFT(Sync!$Q139,FIND(":",Sync!$Q139)-1)),2)&amp;RIGHT("00"&amp;VALUE(MID(Sync!$Q139,FIND(":",Sync!$Q139)+1,2)),2),"0000"))))</f>
        <v/>
      </c>
      <c r="AK139">
        <f>IF(OR($AE139="",$AI139="",$AI139="نامعتبر"),"",LEFT($AI139,4)&amp;MID($AI139,6,2)&amp;RIGHT($AI139,2)&amp;$AJ139&amp;"|"&amp;"3"&amp;RIGHT("00000"&amp;134,5))</f>
        <v/>
      </c>
      <c r="AL139">
        <f>IF($AK139="","",COUNTIFS(LdAParty,$AE139,LdAType,1,LdAKey,"&lt;"&amp;$AK139)+COUNTIFS(LdBMember,$AE139,LdBKey,"&lt;"&amp;$AK139)+COUNTIFS(LdCParty,$AE139,LdCKey,"&lt;"&amp;$AK139)+1)</f>
        <v/>
      </c>
      <c r="AM139">
        <f>IF($AL139="","",$AE139&amp;"|"&amp;RIGHT("000000"&amp;$AL139,6))</f>
        <v/>
      </c>
      <c r="AN139">
        <f>IF($AE139="","",IF(Sync!$W139="",0,Sync!$W139))</f>
        <v/>
      </c>
      <c r="AO139">
        <f>IF($AE139="","",IF(Sync!$X139="",0,Sync!$X139))</f>
        <v/>
      </c>
      <c r="AP139">
        <f>IF($AE139="","",Sync!$R139)</f>
        <v/>
      </c>
      <c r="AQ139">
        <f>IF($AE139="","",Sync!$Y139)</f>
        <v/>
      </c>
    </row>
    <row r="140">
      <c r="A140">
        <f>IF(OR(Wages!$B143="",Wages!$E143=""),"",Wages!$E143)</f>
        <v/>
      </c>
      <c r="B140">
        <f>IF($A140="","",IF(Wages!$C143="دستمزد گروهی",2,1))</f>
        <v/>
      </c>
      <c r="C140">
        <f>IF($A140="","",IF(ISNUMBER(Wages!$B143),IF(AND(Wages!$B143&gt;=10000101,Wages!$B143&lt;=99991231),INT(Wages!$B143/10000),""),IFERROR(VALUE(TRIM(LEFT(Wages!$B143,FIND("/",Wages!$B143)-1))),"")))</f>
        <v/>
      </c>
      <c r="D140">
        <f>IF(OR($A140="",$C140=""),"",IF(ISNUMBER(Wages!$B143),INT(MOD(Wages!$B143,10000)/100),IFERROR(VALUE(TRIM(LEFT(MID(Wages!$B143,FIND("/",Wages!$B143)+1,20),FIND("/",MID(Wages!$B143,FIND("/",Wages!$B143)+1,20))-1))),"")))</f>
        <v/>
      </c>
      <c r="E140">
        <f>IF(OR($A140="",$C140=""),"",IF(ISNUMBER(Wages!$B143),MOD(Wages!$B143,100),IFERROR(VALUE(TRIM(MID(MID(Wages!$B143,FIND("/",Wages!$B143)+1,20),FIND("/",MID(Wages!$B143,FIND("/",Wages!$B143)+1,20))+1,20))),"")))</f>
        <v/>
      </c>
      <c r="F140">
        <f>IF($A140="","",IF(OR($C140="",$D140="",$E140="",$C140&lt;1300,$C140&gt;1500,$D140&lt;1,$D140&gt;12,$E140&lt;1,$E140&gt;31),"نامعتبر",RIGHT("0000"&amp;$C140,4)&amp;"/"&amp;RIGHT("00"&amp;$D140,2)&amp;"/"&amp;RIGHT("00"&amp;$E140,2)))</f>
        <v/>
      </c>
      <c r="G140">
        <f>IF(OR($A140="",$F140="",$F140="نامعتبر"),"",LEFT($F140,4)&amp;MID($F140,6,2)&amp;RIGHT($F140,2)&amp;"0000"&amp;"|"&amp;"1"&amp;RIGHT("00000"&amp;135,5))</f>
        <v/>
      </c>
      <c r="H140">
        <f>IF(OR($B140&lt;&gt;1,$G140=""),"",COUNTIFS(LdAParty,$A140,LdAType,1,LdAKey,"&lt;"&amp;$G140)+COUNTIFS(LdBMember,$A140,LdBKey,"&lt;"&amp;$G140)+COUNTIFS(LdCParty,$A140,LdCKey,"&lt;"&amp;$G140)+1)</f>
        <v/>
      </c>
      <c r="I140">
        <f>IF($H140="","",$A140&amp;"|"&amp;RIGHT("000000"&amp;$H140,6))</f>
        <v/>
      </c>
      <c r="J140">
        <f>IF(OR($B140&lt;&gt;2,$G140=""),"",COUNTIFS(LdAParty,$A140,LdAType,2,LdAKey,"&lt;"&amp;$G140)+1)</f>
        <v/>
      </c>
      <c r="K140">
        <f>IF($J140="","",$A140&amp;"|"&amp;RIGHT("000000"&amp;$J140,6))</f>
        <v/>
      </c>
      <c r="L140">
        <f>IF($A140="","",IF(Wages!$G143="",0,Wages!$G143))</f>
        <v/>
      </c>
      <c r="M140">
        <f>IF($A140="","",Wages!$J143)</f>
        <v/>
      </c>
      <c r="N140">
        <f>IF($A140="","",Wages!$D143)</f>
        <v/>
      </c>
      <c r="P140">
        <f>IF(OR(Shares!$B143="",Shares!$C143=""),"",Shares!$C143)</f>
        <v/>
      </c>
      <c r="Q140">
        <f>IF($P140="","",Shares!$B143)</f>
        <v/>
      </c>
      <c r="R140">
        <f>IF($P140="","",IFERROR(INDEX(WageParty,MATCH($Q140,WageIds,0)),""))</f>
        <v/>
      </c>
      <c r="S140">
        <f>IF($P140="","",IFERROR(INDEX($F$6:$F$2005,MATCH($Q140,WageIds,0)),""))</f>
        <v/>
      </c>
      <c r="T140">
        <f>IF(OR($P140="",$S140="",$S140="نامعتبر"),"",LEFT($S140,4)&amp;MID($S140,6,2)&amp;RIGHT($S140,2)&amp;"0000"&amp;"|"&amp;"2"&amp;RIGHT("00000"&amp;135,5))</f>
        <v/>
      </c>
      <c r="U140">
        <f>IF($T140="","",COUNTIFS(LdAParty,$P140,LdAType,1,LdAKey,"&lt;"&amp;$T140)+COUNTIFS(LdBMember,$P140,LdBKey,"&lt;"&amp;$T140)+COUNTIFS(LdCParty,$P140,LdCKey,"&lt;"&amp;$T140)+1)</f>
        <v/>
      </c>
      <c r="V140">
        <f>IF($U140="","",$P140&amp;"|"&amp;RIGHT("000000"&amp;$U140,6))</f>
        <v/>
      </c>
      <c r="W140">
        <f>IF($T140="","",COUNTIFS(LdBGroup,$R140,LdBKey,"&lt;"&amp;$T140)+1)</f>
        <v/>
      </c>
      <c r="X140">
        <f>IF($W140="","",$R140&amp;"|"&amp;RIGHT("000000"&amp;$W140,6))</f>
        <v/>
      </c>
      <c r="Y140">
        <f>IF($P140="","",IF(Shares!$E143="",0,Shares!$E143))</f>
        <v/>
      </c>
      <c r="Z140">
        <f>IF($P140="","",Shares!$H143)</f>
        <v/>
      </c>
      <c r="AE140">
        <f>IF(OR(Sync!$S140="",Sync!$P140=""),"",Sync!$S140)</f>
        <v/>
      </c>
      <c r="AF140">
        <f>IF($AE140="","",IF(ISNUMBER(Sync!$P140),IF(AND(Sync!$P140&gt;=10000101,Sync!$P140&lt;=99991231),INT(Sync!$P140/10000),""),IFERROR(VALUE(TRIM(LEFT(Sync!$P140,FIND("/",Sync!$P140)-1))),"")))</f>
        <v/>
      </c>
      <c r="AG140">
        <f>IF(OR($AE140="",$AF140=""),"",IF(ISNUMBER(Sync!$P140),INT(MOD(Sync!$P140,10000)/100),IFERROR(VALUE(TRIM(LEFT(MID(Sync!$P140,FIND("/",Sync!$P140)+1,20),FIND("/",MID(Sync!$P140,FIND("/",Sync!$P140)+1,20))-1))),"")))</f>
        <v/>
      </c>
      <c r="AH140">
        <f>IF(OR($AE140="",$AF140=""),"",IF(ISNUMBER(Sync!$P140),MOD(Sync!$P140,100),IFERROR(VALUE(TRIM(MID(MID(Sync!$P140,FIND("/",Sync!$P140)+1,20),FIND("/",MID(Sync!$P140,FIND("/",Sync!$P140)+1,20))+1,20))),"")))</f>
        <v/>
      </c>
      <c r="AI140">
        <f>IF($AE140="","",IF(OR($AF140="",$AG140="",$AH140="",$AF140&lt;1300,$AF140&gt;1500,$AG140&lt;1,$AG140&gt;12,$AH140&lt;1,$AH140&gt;31),"نامعتبر",RIGHT("0000"&amp;$AF140,4)&amp;"/"&amp;RIGHT("00"&amp;$AG140,2)&amp;"/"&amp;RIGHT("00"&amp;$AH140,2)))</f>
        <v/>
      </c>
      <c r="AJ140">
        <f>IF($AE140="","",IF(Sync!$Q140="","0000",IF(AND(ISNUMBER(Sync!$Q140),Sync!$Q140&gt;=0,Sync!$Q140&lt;1),RIGHT("00"&amp;HOUR(Sync!$Q140),2)&amp;RIGHT("00"&amp;MINUTE(Sync!$Q140),2),IFERROR(RIGHT("00"&amp;VALUE(LEFT(Sync!$Q140,FIND(":",Sync!$Q140)-1)),2)&amp;RIGHT("00"&amp;VALUE(MID(Sync!$Q140,FIND(":",Sync!$Q140)+1,2)),2),"0000"))))</f>
        <v/>
      </c>
      <c r="AK140">
        <f>IF(OR($AE140="",$AI140="",$AI140="نامعتبر"),"",LEFT($AI140,4)&amp;MID($AI140,6,2)&amp;RIGHT($AI140,2)&amp;$AJ140&amp;"|"&amp;"3"&amp;RIGHT("00000"&amp;135,5))</f>
        <v/>
      </c>
      <c r="AL140">
        <f>IF($AK140="","",COUNTIFS(LdAParty,$AE140,LdAType,1,LdAKey,"&lt;"&amp;$AK140)+COUNTIFS(LdBMember,$AE140,LdBKey,"&lt;"&amp;$AK140)+COUNTIFS(LdCParty,$AE140,LdCKey,"&lt;"&amp;$AK140)+1)</f>
        <v/>
      </c>
      <c r="AM140">
        <f>IF($AL140="","",$AE140&amp;"|"&amp;RIGHT("000000"&amp;$AL140,6))</f>
        <v/>
      </c>
      <c r="AN140">
        <f>IF($AE140="","",IF(Sync!$W140="",0,Sync!$W140))</f>
        <v/>
      </c>
      <c r="AO140">
        <f>IF($AE140="","",IF(Sync!$X140="",0,Sync!$X140))</f>
        <v/>
      </c>
      <c r="AP140">
        <f>IF($AE140="","",Sync!$R140)</f>
        <v/>
      </c>
      <c r="AQ140">
        <f>IF($AE140="","",Sync!$Y140)</f>
        <v/>
      </c>
    </row>
    <row r="141">
      <c r="A141">
        <f>IF(OR(Wages!$B144="",Wages!$E144=""),"",Wages!$E144)</f>
        <v/>
      </c>
      <c r="B141">
        <f>IF($A141="","",IF(Wages!$C144="دستمزد گروهی",2,1))</f>
        <v/>
      </c>
      <c r="C141">
        <f>IF($A141="","",IF(ISNUMBER(Wages!$B144),IF(AND(Wages!$B144&gt;=10000101,Wages!$B144&lt;=99991231),INT(Wages!$B144/10000),""),IFERROR(VALUE(TRIM(LEFT(Wages!$B144,FIND("/",Wages!$B144)-1))),"")))</f>
        <v/>
      </c>
      <c r="D141">
        <f>IF(OR($A141="",$C141=""),"",IF(ISNUMBER(Wages!$B144),INT(MOD(Wages!$B144,10000)/100),IFERROR(VALUE(TRIM(LEFT(MID(Wages!$B144,FIND("/",Wages!$B144)+1,20),FIND("/",MID(Wages!$B144,FIND("/",Wages!$B144)+1,20))-1))),"")))</f>
        <v/>
      </c>
      <c r="E141">
        <f>IF(OR($A141="",$C141=""),"",IF(ISNUMBER(Wages!$B144),MOD(Wages!$B144,100),IFERROR(VALUE(TRIM(MID(MID(Wages!$B144,FIND("/",Wages!$B144)+1,20),FIND("/",MID(Wages!$B144,FIND("/",Wages!$B144)+1,20))+1,20))),"")))</f>
        <v/>
      </c>
      <c r="F141">
        <f>IF($A141="","",IF(OR($C141="",$D141="",$E141="",$C141&lt;1300,$C141&gt;1500,$D141&lt;1,$D141&gt;12,$E141&lt;1,$E141&gt;31),"نامعتبر",RIGHT("0000"&amp;$C141,4)&amp;"/"&amp;RIGHT("00"&amp;$D141,2)&amp;"/"&amp;RIGHT("00"&amp;$E141,2)))</f>
        <v/>
      </c>
      <c r="G141">
        <f>IF(OR($A141="",$F141="",$F141="نامعتبر"),"",LEFT($F141,4)&amp;MID($F141,6,2)&amp;RIGHT($F141,2)&amp;"0000"&amp;"|"&amp;"1"&amp;RIGHT("00000"&amp;136,5))</f>
        <v/>
      </c>
      <c r="H141">
        <f>IF(OR($B141&lt;&gt;1,$G141=""),"",COUNTIFS(LdAParty,$A141,LdAType,1,LdAKey,"&lt;"&amp;$G141)+COUNTIFS(LdBMember,$A141,LdBKey,"&lt;"&amp;$G141)+COUNTIFS(LdCParty,$A141,LdCKey,"&lt;"&amp;$G141)+1)</f>
        <v/>
      </c>
      <c r="I141">
        <f>IF($H141="","",$A141&amp;"|"&amp;RIGHT("000000"&amp;$H141,6))</f>
        <v/>
      </c>
      <c r="J141">
        <f>IF(OR($B141&lt;&gt;2,$G141=""),"",COUNTIFS(LdAParty,$A141,LdAType,2,LdAKey,"&lt;"&amp;$G141)+1)</f>
        <v/>
      </c>
      <c r="K141">
        <f>IF($J141="","",$A141&amp;"|"&amp;RIGHT("000000"&amp;$J141,6))</f>
        <v/>
      </c>
      <c r="L141">
        <f>IF($A141="","",IF(Wages!$G144="",0,Wages!$G144))</f>
        <v/>
      </c>
      <c r="M141">
        <f>IF($A141="","",Wages!$J144)</f>
        <v/>
      </c>
      <c r="N141">
        <f>IF($A141="","",Wages!$D144)</f>
        <v/>
      </c>
      <c r="P141">
        <f>IF(OR(Shares!$B144="",Shares!$C144=""),"",Shares!$C144)</f>
        <v/>
      </c>
      <c r="Q141">
        <f>IF($P141="","",Shares!$B144)</f>
        <v/>
      </c>
      <c r="R141">
        <f>IF($P141="","",IFERROR(INDEX(WageParty,MATCH($Q141,WageIds,0)),""))</f>
        <v/>
      </c>
      <c r="S141">
        <f>IF($P141="","",IFERROR(INDEX($F$6:$F$2005,MATCH($Q141,WageIds,0)),""))</f>
        <v/>
      </c>
      <c r="T141">
        <f>IF(OR($P141="",$S141="",$S141="نامعتبر"),"",LEFT($S141,4)&amp;MID($S141,6,2)&amp;RIGHT($S141,2)&amp;"0000"&amp;"|"&amp;"2"&amp;RIGHT("00000"&amp;136,5))</f>
        <v/>
      </c>
      <c r="U141">
        <f>IF($T141="","",COUNTIFS(LdAParty,$P141,LdAType,1,LdAKey,"&lt;"&amp;$T141)+COUNTIFS(LdBMember,$P141,LdBKey,"&lt;"&amp;$T141)+COUNTIFS(LdCParty,$P141,LdCKey,"&lt;"&amp;$T141)+1)</f>
        <v/>
      </c>
      <c r="V141">
        <f>IF($U141="","",$P141&amp;"|"&amp;RIGHT("000000"&amp;$U141,6))</f>
        <v/>
      </c>
      <c r="W141">
        <f>IF($T141="","",COUNTIFS(LdBGroup,$R141,LdBKey,"&lt;"&amp;$T141)+1)</f>
        <v/>
      </c>
      <c r="X141">
        <f>IF($W141="","",$R141&amp;"|"&amp;RIGHT("000000"&amp;$W141,6))</f>
        <v/>
      </c>
      <c r="Y141">
        <f>IF($P141="","",IF(Shares!$E144="",0,Shares!$E144))</f>
        <v/>
      </c>
      <c r="Z141">
        <f>IF($P141="","",Shares!$H144)</f>
        <v/>
      </c>
      <c r="AE141">
        <f>IF(OR(Sync!$S141="",Sync!$P141=""),"",Sync!$S141)</f>
        <v/>
      </c>
      <c r="AF141">
        <f>IF($AE141="","",IF(ISNUMBER(Sync!$P141),IF(AND(Sync!$P141&gt;=10000101,Sync!$P141&lt;=99991231),INT(Sync!$P141/10000),""),IFERROR(VALUE(TRIM(LEFT(Sync!$P141,FIND("/",Sync!$P141)-1))),"")))</f>
        <v/>
      </c>
      <c r="AG141">
        <f>IF(OR($AE141="",$AF141=""),"",IF(ISNUMBER(Sync!$P141),INT(MOD(Sync!$P141,10000)/100),IFERROR(VALUE(TRIM(LEFT(MID(Sync!$P141,FIND("/",Sync!$P141)+1,20),FIND("/",MID(Sync!$P141,FIND("/",Sync!$P141)+1,20))-1))),"")))</f>
        <v/>
      </c>
      <c r="AH141">
        <f>IF(OR($AE141="",$AF141=""),"",IF(ISNUMBER(Sync!$P141),MOD(Sync!$P141,100),IFERROR(VALUE(TRIM(MID(MID(Sync!$P141,FIND("/",Sync!$P141)+1,20),FIND("/",MID(Sync!$P141,FIND("/",Sync!$P141)+1,20))+1,20))),"")))</f>
        <v/>
      </c>
      <c r="AI141">
        <f>IF($AE141="","",IF(OR($AF141="",$AG141="",$AH141="",$AF141&lt;1300,$AF141&gt;1500,$AG141&lt;1,$AG141&gt;12,$AH141&lt;1,$AH141&gt;31),"نامعتبر",RIGHT("0000"&amp;$AF141,4)&amp;"/"&amp;RIGHT("00"&amp;$AG141,2)&amp;"/"&amp;RIGHT("00"&amp;$AH141,2)))</f>
        <v/>
      </c>
      <c r="AJ141">
        <f>IF($AE141="","",IF(Sync!$Q141="","0000",IF(AND(ISNUMBER(Sync!$Q141),Sync!$Q141&gt;=0,Sync!$Q141&lt;1),RIGHT("00"&amp;HOUR(Sync!$Q141),2)&amp;RIGHT("00"&amp;MINUTE(Sync!$Q141),2),IFERROR(RIGHT("00"&amp;VALUE(LEFT(Sync!$Q141,FIND(":",Sync!$Q141)-1)),2)&amp;RIGHT("00"&amp;VALUE(MID(Sync!$Q141,FIND(":",Sync!$Q141)+1,2)),2),"0000"))))</f>
        <v/>
      </c>
      <c r="AK141">
        <f>IF(OR($AE141="",$AI141="",$AI141="نامعتبر"),"",LEFT($AI141,4)&amp;MID($AI141,6,2)&amp;RIGHT($AI141,2)&amp;$AJ141&amp;"|"&amp;"3"&amp;RIGHT("00000"&amp;136,5))</f>
        <v/>
      </c>
      <c r="AL141">
        <f>IF($AK141="","",COUNTIFS(LdAParty,$AE141,LdAType,1,LdAKey,"&lt;"&amp;$AK141)+COUNTIFS(LdBMember,$AE141,LdBKey,"&lt;"&amp;$AK141)+COUNTIFS(LdCParty,$AE141,LdCKey,"&lt;"&amp;$AK141)+1)</f>
        <v/>
      </c>
      <c r="AM141">
        <f>IF($AL141="","",$AE141&amp;"|"&amp;RIGHT("000000"&amp;$AL141,6))</f>
        <v/>
      </c>
      <c r="AN141">
        <f>IF($AE141="","",IF(Sync!$W141="",0,Sync!$W141))</f>
        <v/>
      </c>
      <c r="AO141">
        <f>IF($AE141="","",IF(Sync!$X141="",0,Sync!$X141))</f>
        <v/>
      </c>
      <c r="AP141">
        <f>IF($AE141="","",Sync!$R141)</f>
        <v/>
      </c>
      <c r="AQ141">
        <f>IF($AE141="","",Sync!$Y141)</f>
        <v/>
      </c>
    </row>
    <row r="142">
      <c r="A142">
        <f>IF(OR(Wages!$B145="",Wages!$E145=""),"",Wages!$E145)</f>
        <v/>
      </c>
      <c r="B142">
        <f>IF($A142="","",IF(Wages!$C145="دستمزد گروهی",2,1))</f>
        <v/>
      </c>
      <c r="C142">
        <f>IF($A142="","",IF(ISNUMBER(Wages!$B145),IF(AND(Wages!$B145&gt;=10000101,Wages!$B145&lt;=99991231),INT(Wages!$B145/10000),""),IFERROR(VALUE(TRIM(LEFT(Wages!$B145,FIND("/",Wages!$B145)-1))),"")))</f>
        <v/>
      </c>
      <c r="D142">
        <f>IF(OR($A142="",$C142=""),"",IF(ISNUMBER(Wages!$B145),INT(MOD(Wages!$B145,10000)/100),IFERROR(VALUE(TRIM(LEFT(MID(Wages!$B145,FIND("/",Wages!$B145)+1,20),FIND("/",MID(Wages!$B145,FIND("/",Wages!$B145)+1,20))-1))),"")))</f>
        <v/>
      </c>
      <c r="E142">
        <f>IF(OR($A142="",$C142=""),"",IF(ISNUMBER(Wages!$B145),MOD(Wages!$B145,100),IFERROR(VALUE(TRIM(MID(MID(Wages!$B145,FIND("/",Wages!$B145)+1,20),FIND("/",MID(Wages!$B145,FIND("/",Wages!$B145)+1,20))+1,20))),"")))</f>
        <v/>
      </c>
      <c r="F142">
        <f>IF($A142="","",IF(OR($C142="",$D142="",$E142="",$C142&lt;1300,$C142&gt;1500,$D142&lt;1,$D142&gt;12,$E142&lt;1,$E142&gt;31),"نامعتبر",RIGHT("0000"&amp;$C142,4)&amp;"/"&amp;RIGHT("00"&amp;$D142,2)&amp;"/"&amp;RIGHT("00"&amp;$E142,2)))</f>
        <v/>
      </c>
      <c r="G142">
        <f>IF(OR($A142="",$F142="",$F142="نامعتبر"),"",LEFT($F142,4)&amp;MID($F142,6,2)&amp;RIGHT($F142,2)&amp;"0000"&amp;"|"&amp;"1"&amp;RIGHT("00000"&amp;137,5))</f>
        <v/>
      </c>
      <c r="H142">
        <f>IF(OR($B142&lt;&gt;1,$G142=""),"",COUNTIFS(LdAParty,$A142,LdAType,1,LdAKey,"&lt;"&amp;$G142)+COUNTIFS(LdBMember,$A142,LdBKey,"&lt;"&amp;$G142)+COUNTIFS(LdCParty,$A142,LdCKey,"&lt;"&amp;$G142)+1)</f>
        <v/>
      </c>
      <c r="I142">
        <f>IF($H142="","",$A142&amp;"|"&amp;RIGHT("000000"&amp;$H142,6))</f>
        <v/>
      </c>
      <c r="J142">
        <f>IF(OR($B142&lt;&gt;2,$G142=""),"",COUNTIFS(LdAParty,$A142,LdAType,2,LdAKey,"&lt;"&amp;$G142)+1)</f>
        <v/>
      </c>
      <c r="K142">
        <f>IF($J142="","",$A142&amp;"|"&amp;RIGHT("000000"&amp;$J142,6))</f>
        <v/>
      </c>
      <c r="L142">
        <f>IF($A142="","",IF(Wages!$G145="",0,Wages!$G145))</f>
        <v/>
      </c>
      <c r="M142">
        <f>IF($A142="","",Wages!$J145)</f>
        <v/>
      </c>
      <c r="N142">
        <f>IF($A142="","",Wages!$D145)</f>
        <v/>
      </c>
      <c r="P142">
        <f>IF(OR(Shares!$B145="",Shares!$C145=""),"",Shares!$C145)</f>
        <v/>
      </c>
      <c r="Q142">
        <f>IF($P142="","",Shares!$B145)</f>
        <v/>
      </c>
      <c r="R142">
        <f>IF($P142="","",IFERROR(INDEX(WageParty,MATCH($Q142,WageIds,0)),""))</f>
        <v/>
      </c>
      <c r="S142">
        <f>IF($P142="","",IFERROR(INDEX($F$6:$F$2005,MATCH($Q142,WageIds,0)),""))</f>
        <v/>
      </c>
      <c r="T142">
        <f>IF(OR($P142="",$S142="",$S142="نامعتبر"),"",LEFT($S142,4)&amp;MID($S142,6,2)&amp;RIGHT($S142,2)&amp;"0000"&amp;"|"&amp;"2"&amp;RIGHT("00000"&amp;137,5))</f>
        <v/>
      </c>
      <c r="U142">
        <f>IF($T142="","",COUNTIFS(LdAParty,$P142,LdAType,1,LdAKey,"&lt;"&amp;$T142)+COUNTIFS(LdBMember,$P142,LdBKey,"&lt;"&amp;$T142)+COUNTIFS(LdCParty,$P142,LdCKey,"&lt;"&amp;$T142)+1)</f>
        <v/>
      </c>
      <c r="V142">
        <f>IF($U142="","",$P142&amp;"|"&amp;RIGHT("000000"&amp;$U142,6))</f>
        <v/>
      </c>
      <c r="W142">
        <f>IF($T142="","",COUNTIFS(LdBGroup,$R142,LdBKey,"&lt;"&amp;$T142)+1)</f>
        <v/>
      </c>
      <c r="X142">
        <f>IF($W142="","",$R142&amp;"|"&amp;RIGHT("000000"&amp;$W142,6))</f>
        <v/>
      </c>
      <c r="Y142">
        <f>IF($P142="","",IF(Shares!$E145="",0,Shares!$E145))</f>
        <v/>
      </c>
      <c r="Z142">
        <f>IF($P142="","",Shares!$H145)</f>
        <v/>
      </c>
      <c r="AE142">
        <f>IF(OR(Sync!$S142="",Sync!$P142=""),"",Sync!$S142)</f>
        <v/>
      </c>
      <c r="AF142">
        <f>IF($AE142="","",IF(ISNUMBER(Sync!$P142),IF(AND(Sync!$P142&gt;=10000101,Sync!$P142&lt;=99991231),INT(Sync!$P142/10000),""),IFERROR(VALUE(TRIM(LEFT(Sync!$P142,FIND("/",Sync!$P142)-1))),"")))</f>
        <v/>
      </c>
      <c r="AG142">
        <f>IF(OR($AE142="",$AF142=""),"",IF(ISNUMBER(Sync!$P142),INT(MOD(Sync!$P142,10000)/100),IFERROR(VALUE(TRIM(LEFT(MID(Sync!$P142,FIND("/",Sync!$P142)+1,20),FIND("/",MID(Sync!$P142,FIND("/",Sync!$P142)+1,20))-1))),"")))</f>
        <v/>
      </c>
      <c r="AH142">
        <f>IF(OR($AE142="",$AF142=""),"",IF(ISNUMBER(Sync!$P142),MOD(Sync!$P142,100),IFERROR(VALUE(TRIM(MID(MID(Sync!$P142,FIND("/",Sync!$P142)+1,20),FIND("/",MID(Sync!$P142,FIND("/",Sync!$P142)+1,20))+1,20))),"")))</f>
        <v/>
      </c>
      <c r="AI142">
        <f>IF($AE142="","",IF(OR($AF142="",$AG142="",$AH142="",$AF142&lt;1300,$AF142&gt;1500,$AG142&lt;1,$AG142&gt;12,$AH142&lt;1,$AH142&gt;31),"نامعتبر",RIGHT("0000"&amp;$AF142,4)&amp;"/"&amp;RIGHT("00"&amp;$AG142,2)&amp;"/"&amp;RIGHT("00"&amp;$AH142,2)))</f>
        <v/>
      </c>
      <c r="AJ142">
        <f>IF($AE142="","",IF(Sync!$Q142="","0000",IF(AND(ISNUMBER(Sync!$Q142),Sync!$Q142&gt;=0,Sync!$Q142&lt;1),RIGHT("00"&amp;HOUR(Sync!$Q142),2)&amp;RIGHT("00"&amp;MINUTE(Sync!$Q142),2),IFERROR(RIGHT("00"&amp;VALUE(LEFT(Sync!$Q142,FIND(":",Sync!$Q142)-1)),2)&amp;RIGHT("00"&amp;VALUE(MID(Sync!$Q142,FIND(":",Sync!$Q142)+1,2)),2),"0000"))))</f>
        <v/>
      </c>
      <c r="AK142">
        <f>IF(OR($AE142="",$AI142="",$AI142="نامعتبر"),"",LEFT($AI142,4)&amp;MID($AI142,6,2)&amp;RIGHT($AI142,2)&amp;$AJ142&amp;"|"&amp;"3"&amp;RIGHT("00000"&amp;137,5))</f>
        <v/>
      </c>
      <c r="AL142">
        <f>IF($AK142="","",COUNTIFS(LdAParty,$AE142,LdAType,1,LdAKey,"&lt;"&amp;$AK142)+COUNTIFS(LdBMember,$AE142,LdBKey,"&lt;"&amp;$AK142)+COUNTIFS(LdCParty,$AE142,LdCKey,"&lt;"&amp;$AK142)+1)</f>
        <v/>
      </c>
      <c r="AM142">
        <f>IF($AL142="","",$AE142&amp;"|"&amp;RIGHT("000000"&amp;$AL142,6))</f>
        <v/>
      </c>
      <c r="AN142">
        <f>IF($AE142="","",IF(Sync!$W142="",0,Sync!$W142))</f>
        <v/>
      </c>
      <c r="AO142">
        <f>IF($AE142="","",IF(Sync!$X142="",0,Sync!$X142))</f>
        <v/>
      </c>
      <c r="AP142">
        <f>IF($AE142="","",Sync!$R142)</f>
        <v/>
      </c>
      <c r="AQ142">
        <f>IF($AE142="","",Sync!$Y142)</f>
        <v/>
      </c>
    </row>
    <row r="143">
      <c r="A143">
        <f>IF(OR(Wages!$B146="",Wages!$E146=""),"",Wages!$E146)</f>
        <v/>
      </c>
      <c r="B143">
        <f>IF($A143="","",IF(Wages!$C146="دستمزد گروهی",2,1))</f>
        <v/>
      </c>
      <c r="C143">
        <f>IF($A143="","",IF(ISNUMBER(Wages!$B146),IF(AND(Wages!$B146&gt;=10000101,Wages!$B146&lt;=99991231),INT(Wages!$B146/10000),""),IFERROR(VALUE(TRIM(LEFT(Wages!$B146,FIND("/",Wages!$B146)-1))),"")))</f>
        <v/>
      </c>
      <c r="D143">
        <f>IF(OR($A143="",$C143=""),"",IF(ISNUMBER(Wages!$B146),INT(MOD(Wages!$B146,10000)/100),IFERROR(VALUE(TRIM(LEFT(MID(Wages!$B146,FIND("/",Wages!$B146)+1,20),FIND("/",MID(Wages!$B146,FIND("/",Wages!$B146)+1,20))-1))),"")))</f>
        <v/>
      </c>
      <c r="E143">
        <f>IF(OR($A143="",$C143=""),"",IF(ISNUMBER(Wages!$B146),MOD(Wages!$B146,100),IFERROR(VALUE(TRIM(MID(MID(Wages!$B146,FIND("/",Wages!$B146)+1,20),FIND("/",MID(Wages!$B146,FIND("/",Wages!$B146)+1,20))+1,20))),"")))</f>
        <v/>
      </c>
      <c r="F143">
        <f>IF($A143="","",IF(OR($C143="",$D143="",$E143="",$C143&lt;1300,$C143&gt;1500,$D143&lt;1,$D143&gt;12,$E143&lt;1,$E143&gt;31),"نامعتبر",RIGHT("0000"&amp;$C143,4)&amp;"/"&amp;RIGHT("00"&amp;$D143,2)&amp;"/"&amp;RIGHT("00"&amp;$E143,2)))</f>
        <v/>
      </c>
      <c r="G143">
        <f>IF(OR($A143="",$F143="",$F143="نامعتبر"),"",LEFT($F143,4)&amp;MID($F143,6,2)&amp;RIGHT($F143,2)&amp;"0000"&amp;"|"&amp;"1"&amp;RIGHT("00000"&amp;138,5))</f>
        <v/>
      </c>
      <c r="H143">
        <f>IF(OR($B143&lt;&gt;1,$G143=""),"",COUNTIFS(LdAParty,$A143,LdAType,1,LdAKey,"&lt;"&amp;$G143)+COUNTIFS(LdBMember,$A143,LdBKey,"&lt;"&amp;$G143)+COUNTIFS(LdCParty,$A143,LdCKey,"&lt;"&amp;$G143)+1)</f>
        <v/>
      </c>
      <c r="I143">
        <f>IF($H143="","",$A143&amp;"|"&amp;RIGHT("000000"&amp;$H143,6))</f>
        <v/>
      </c>
      <c r="J143">
        <f>IF(OR($B143&lt;&gt;2,$G143=""),"",COUNTIFS(LdAParty,$A143,LdAType,2,LdAKey,"&lt;"&amp;$G143)+1)</f>
        <v/>
      </c>
      <c r="K143">
        <f>IF($J143="","",$A143&amp;"|"&amp;RIGHT("000000"&amp;$J143,6))</f>
        <v/>
      </c>
      <c r="L143">
        <f>IF($A143="","",IF(Wages!$G146="",0,Wages!$G146))</f>
        <v/>
      </c>
      <c r="M143">
        <f>IF($A143="","",Wages!$J146)</f>
        <v/>
      </c>
      <c r="N143">
        <f>IF($A143="","",Wages!$D146)</f>
        <v/>
      </c>
      <c r="P143">
        <f>IF(OR(Shares!$B146="",Shares!$C146=""),"",Shares!$C146)</f>
        <v/>
      </c>
      <c r="Q143">
        <f>IF($P143="","",Shares!$B146)</f>
        <v/>
      </c>
      <c r="R143">
        <f>IF($P143="","",IFERROR(INDEX(WageParty,MATCH($Q143,WageIds,0)),""))</f>
        <v/>
      </c>
      <c r="S143">
        <f>IF($P143="","",IFERROR(INDEX($F$6:$F$2005,MATCH($Q143,WageIds,0)),""))</f>
        <v/>
      </c>
      <c r="T143">
        <f>IF(OR($P143="",$S143="",$S143="نامعتبر"),"",LEFT($S143,4)&amp;MID($S143,6,2)&amp;RIGHT($S143,2)&amp;"0000"&amp;"|"&amp;"2"&amp;RIGHT("00000"&amp;138,5))</f>
        <v/>
      </c>
      <c r="U143">
        <f>IF($T143="","",COUNTIFS(LdAParty,$P143,LdAType,1,LdAKey,"&lt;"&amp;$T143)+COUNTIFS(LdBMember,$P143,LdBKey,"&lt;"&amp;$T143)+COUNTIFS(LdCParty,$P143,LdCKey,"&lt;"&amp;$T143)+1)</f>
        <v/>
      </c>
      <c r="V143">
        <f>IF($U143="","",$P143&amp;"|"&amp;RIGHT("000000"&amp;$U143,6))</f>
        <v/>
      </c>
      <c r="W143">
        <f>IF($T143="","",COUNTIFS(LdBGroup,$R143,LdBKey,"&lt;"&amp;$T143)+1)</f>
        <v/>
      </c>
      <c r="X143">
        <f>IF($W143="","",$R143&amp;"|"&amp;RIGHT("000000"&amp;$W143,6))</f>
        <v/>
      </c>
      <c r="Y143">
        <f>IF($P143="","",IF(Shares!$E146="",0,Shares!$E146))</f>
        <v/>
      </c>
      <c r="Z143">
        <f>IF($P143="","",Shares!$H146)</f>
        <v/>
      </c>
      <c r="AE143">
        <f>IF(OR(Sync!$S143="",Sync!$P143=""),"",Sync!$S143)</f>
        <v/>
      </c>
      <c r="AF143">
        <f>IF($AE143="","",IF(ISNUMBER(Sync!$P143),IF(AND(Sync!$P143&gt;=10000101,Sync!$P143&lt;=99991231),INT(Sync!$P143/10000),""),IFERROR(VALUE(TRIM(LEFT(Sync!$P143,FIND("/",Sync!$P143)-1))),"")))</f>
        <v/>
      </c>
      <c r="AG143">
        <f>IF(OR($AE143="",$AF143=""),"",IF(ISNUMBER(Sync!$P143),INT(MOD(Sync!$P143,10000)/100),IFERROR(VALUE(TRIM(LEFT(MID(Sync!$P143,FIND("/",Sync!$P143)+1,20),FIND("/",MID(Sync!$P143,FIND("/",Sync!$P143)+1,20))-1))),"")))</f>
        <v/>
      </c>
      <c r="AH143">
        <f>IF(OR($AE143="",$AF143=""),"",IF(ISNUMBER(Sync!$P143),MOD(Sync!$P143,100),IFERROR(VALUE(TRIM(MID(MID(Sync!$P143,FIND("/",Sync!$P143)+1,20),FIND("/",MID(Sync!$P143,FIND("/",Sync!$P143)+1,20))+1,20))),"")))</f>
        <v/>
      </c>
      <c r="AI143">
        <f>IF($AE143="","",IF(OR($AF143="",$AG143="",$AH143="",$AF143&lt;1300,$AF143&gt;1500,$AG143&lt;1,$AG143&gt;12,$AH143&lt;1,$AH143&gt;31),"نامعتبر",RIGHT("0000"&amp;$AF143,4)&amp;"/"&amp;RIGHT("00"&amp;$AG143,2)&amp;"/"&amp;RIGHT("00"&amp;$AH143,2)))</f>
        <v/>
      </c>
      <c r="AJ143">
        <f>IF($AE143="","",IF(Sync!$Q143="","0000",IF(AND(ISNUMBER(Sync!$Q143),Sync!$Q143&gt;=0,Sync!$Q143&lt;1),RIGHT("00"&amp;HOUR(Sync!$Q143),2)&amp;RIGHT("00"&amp;MINUTE(Sync!$Q143),2),IFERROR(RIGHT("00"&amp;VALUE(LEFT(Sync!$Q143,FIND(":",Sync!$Q143)-1)),2)&amp;RIGHT("00"&amp;VALUE(MID(Sync!$Q143,FIND(":",Sync!$Q143)+1,2)),2),"0000"))))</f>
        <v/>
      </c>
      <c r="AK143">
        <f>IF(OR($AE143="",$AI143="",$AI143="نامعتبر"),"",LEFT($AI143,4)&amp;MID($AI143,6,2)&amp;RIGHT($AI143,2)&amp;$AJ143&amp;"|"&amp;"3"&amp;RIGHT("00000"&amp;138,5))</f>
        <v/>
      </c>
      <c r="AL143">
        <f>IF($AK143="","",COUNTIFS(LdAParty,$AE143,LdAType,1,LdAKey,"&lt;"&amp;$AK143)+COUNTIFS(LdBMember,$AE143,LdBKey,"&lt;"&amp;$AK143)+COUNTIFS(LdCParty,$AE143,LdCKey,"&lt;"&amp;$AK143)+1)</f>
        <v/>
      </c>
      <c r="AM143">
        <f>IF($AL143="","",$AE143&amp;"|"&amp;RIGHT("000000"&amp;$AL143,6))</f>
        <v/>
      </c>
      <c r="AN143">
        <f>IF($AE143="","",IF(Sync!$W143="",0,Sync!$W143))</f>
        <v/>
      </c>
      <c r="AO143">
        <f>IF($AE143="","",IF(Sync!$X143="",0,Sync!$X143))</f>
        <v/>
      </c>
      <c r="AP143">
        <f>IF($AE143="","",Sync!$R143)</f>
        <v/>
      </c>
      <c r="AQ143">
        <f>IF($AE143="","",Sync!$Y143)</f>
        <v/>
      </c>
    </row>
    <row r="144">
      <c r="A144">
        <f>IF(OR(Wages!$B147="",Wages!$E147=""),"",Wages!$E147)</f>
        <v/>
      </c>
      <c r="B144">
        <f>IF($A144="","",IF(Wages!$C147="دستمزد گروهی",2,1))</f>
        <v/>
      </c>
      <c r="C144">
        <f>IF($A144="","",IF(ISNUMBER(Wages!$B147),IF(AND(Wages!$B147&gt;=10000101,Wages!$B147&lt;=99991231),INT(Wages!$B147/10000),""),IFERROR(VALUE(TRIM(LEFT(Wages!$B147,FIND("/",Wages!$B147)-1))),"")))</f>
        <v/>
      </c>
      <c r="D144">
        <f>IF(OR($A144="",$C144=""),"",IF(ISNUMBER(Wages!$B147),INT(MOD(Wages!$B147,10000)/100),IFERROR(VALUE(TRIM(LEFT(MID(Wages!$B147,FIND("/",Wages!$B147)+1,20),FIND("/",MID(Wages!$B147,FIND("/",Wages!$B147)+1,20))-1))),"")))</f>
        <v/>
      </c>
      <c r="E144">
        <f>IF(OR($A144="",$C144=""),"",IF(ISNUMBER(Wages!$B147),MOD(Wages!$B147,100),IFERROR(VALUE(TRIM(MID(MID(Wages!$B147,FIND("/",Wages!$B147)+1,20),FIND("/",MID(Wages!$B147,FIND("/",Wages!$B147)+1,20))+1,20))),"")))</f>
        <v/>
      </c>
      <c r="F144">
        <f>IF($A144="","",IF(OR($C144="",$D144="",$E144="",$C144&lt;1300,$C144&gt;1500,$D144&lt;1,$D144&gt;12,$E144&lt;1,$E144&gt;31),"نامعتبر",RIGHT("0000"&amp;$C144,4)&amp;"/"&amp;RIGHT("00"&amp;$D144,2)&amp;"/"&amp;RIGHT("00"&amp;$E144,2)))</f>
        <v/>
      </c>
      <c r="G144">
        <f>IF(OR($A144="",$F144="",$F144="نامعتبر"),"",LEFT($F144,4)&amp;MID($F144,6,2)&amp;RIGHT($F144,2)&amp;"0000"&amp;"|"&amp;"1"&amp;RIGHT("00000"&amp;139,5))</f>
        <v/>
      </c>
      <c r="H144">
        <f>IF(OR($B144&lt;&gt;1,$G144=""),"",COUNTIFS(LdAParty,$A144,LdAType,1,LdAKey,"&lt;"&amp;$G144)+COUNTIFS(LdBMember,$A144,LdBKey,"&lt;"&amp;$G144)+COUNTIFS(LdCParty,$A144,LdCKey,"&lt;"&amp;$G144)+1)</f>
        <v/>
      </c>
      <c r="I144">
        <f>IF($H144="","",$A144&amp;"|"&amp;RIGHT("000000"&amp;$H144,6))</f>
        <v/>
      </c>
      <c r="J144">
        <f>IF(OR($B144&lt;&gt;2,$G144=""),"",COUNTIFS(LdAParty,$A144,LdAType,2,LdAKey,"&lt;"&amp;$G144)+1)</f>
        <v/>
      </c>
      <c r="K144">
        <f>IF($J144="","",$A144&amp;"|"&amp;RIGHT("000000"&amp;$J144,6))</f>
        <v/>
      </c>
      <c r="L144">
        <f>IF($A144="","",IF(Wages!$G147="",0,Wages!$G147))</f>
        <v/>
      </c>
      <c r="M144">
        <f>IF($A144="","",Wages!$J147)</f>
        <v/>
      </c>
      <c r="N144">
        <f>IF($A144="","",Wages!$D147)</f>
        <v/>
      </c>
      <c r="P144">
        <f>IF(OR(Shares!$B147="",Shares!$C147=""),"",Shares!$C147)</f>
        <v/>
      </c>
      <c r="Q144">
        <f>IF($P144="","",Shares!$B147)</f>
        <v/>
      </c>
      <c r="R144">
        <f>IF($P144="","",IFERROR(INDEX(WageParty,MATCH($Q144,WageIds,0)),""))</f>
        <v/>
      </c>
      <c r="S144">
        <f>IF($P144="","",IFERROR(INDEX($F$6:$F$2005,MATCH($Q144,WageIds,0)),""))</f>
        <v/>
      </c>
      <c r="T144">
        <f>IF(OR($P144="",$S144="",$S144="نامعتبر"),"",LEFT($S144,4)&amp;MID($S144,6,2)&amp;RIGHT($S144,2)&amp;"0000"&amp;"|"&amp;"2"&amp;RIGHT("00000"&amp;139,5))</f>
        <v/>
      </c>
      <c r="U144">
        <f>IF($T144="","",COUNTIFS(LdAParty,$P144,LdAType,1,LdAKey,"&lt;"&amp;$T144)+COUNTIFS(LdBMember,$P144,LdBKey,"&lt;"&amp;$T144)+COUNTIFS(LdCParty,$P144,LdCKey,"&lt;"&amp;$T144)+1)</f>
        <v/>
      </c>
      <c r="V144">
        <f>IF($U144="","",$P144&amp;"|"&amp;RIGHT("000000"&amp;$U144,6))</f>
        <v/>
      </c>
      <c r="W144">
        <f>IF($T144="","",COUNTIFS(LdBGroup,$R144,LdBKey,"&lt;"&amp;$T144)+1)</f>
        <v/>
      </c>
      <c r="X144">
        <f>IF($W144="","",$R144&amp;"|"&amp;RIGHT("000000"&amp;$W144,6))</f>
        <v/>
      </c>
      <c r="Y144">
        <f>IF($P144="","",IF(Shares!$E147="",0,Shares!$E147))</f>
        <v/>
      </c>
      <c r="Z144">
        <f>IF($P144="","",Shares!$H147)</f>
        <v/>
      </c>
      <c r="AE144">
        <f>IF(OR(Sync!$S144="",Sync!$P144=""),"",Sync!$S144)</f>
        <v/>
      </c>
      <c r="AF144">
        <f>IF($AE144="","",IF(ISNUMBER(Sync!$P144),IF(AND(Sync!$P144&gt;=10000101,Sync!$P144&lt;=99991231),INT(Sync!$P144/10000),""),IFERROR(VALUE(TRIM(LEFT(Sync!$P144,FIND("/",Sync!$P144)-1))),"")))</f>
        <v/>
      </c>
      <c r="AG144">
        <f>IF(OR($AE144="",$AF144=""),"",IF(ISNUMBER(Sync!$P144),INT(MOD(Sync!$P144,10000)/100),IFERROR(VALUE(TRIM(LEFT(MID(Sync!$P144,FIND("/",Sync!$P144)+1,20),FIND("/",MID(Sync!$P144,FIND("/",Sync!$P144)+1,20))-1))),"")))</f>
        <v/>
      </c>
      <c r="AH144">
        <f>IF(OR($AE144="",$AF144=""),"",IF(ISNUMBER(Sync!$P144),MOD(Sync!$P144,100),IFERROR(VALUE(TRIM(MID(MID(Sync!$P144,FIND("/",Sync!$P144)+1,20),FIND("/",MID(Sync!$P144,FIND("/",Sync!$P144)+1,20))+1,20))),"")))</f>
        <v/>
      </c>
      <c r="AI144">
        <f>IF($AE144="","",IF(OR($AF144="",$AG144="",$AH144="",$AF144&lt;1300,$AF144&gt;1500,$AG144&lt;1,$AG144&gt;12,$AH144&lt;1,$AH144&gt;31),"نامعتبر",RIGHT("0000"&amp;$AF144,4)&amp;"/"&amp;RIGHT("00"&amp;$AG144,2)&amp;"/"&amp;RIGHT("00"&amp;$AH144,2)))</f>
        <v/>
      </c>
      <c r="AJ144">
        <f>IF($AE144="","",IF(Sync!$Q144="","0000",IF(AND(ISNUMBER(Sync!$Q144),Sync!$Q144&gt;=0,Sync!$Q144&lt;1),RIGHT("00"&amp;HOUR(Sync!$Q144),2)&amp;RIGHT("00"&amp;MINUTE(Sync!$Q144),2),IFERROR(RIGHT("00"&amp;VALUE(LEFT(Sync!$Q144,FIND(":",Sync!$Q144)-1)),2)&amp;RIGHT("00"&amp;VALUE(MID(Sync!$Q144,FIND(":",Sync!$Q144)+1,2)),2),"0000"))))</f>
        <v/>
      </c>
      <c r="AK144">
        <f>IF(OR($AE144="",$AI144="",$AI144="نامعتبر"),"",LEFT($AI144,4)&amp;MID($AI144,6,2)&amp;RIGHT($AI144,2)&amp;$AJ144&amp;"|"&amp;"3"&amp;RIGHT("00000"&amp;139,5))</f>
        <v/>
      </c>
      <c r="AL144">
        <f>IF($AK144="","",COUNTIFS(LdAParty,$AE144,LdAType,1,LdAKey,"&lt;"&amp;$AK144)+COUNTIFS(LdBMember,$AE144,LdBKey,"&lt;"&amp;$AK144)+COUNTIFS(LdCParty,$AE144,LdCKey,"&lt;"&amp;$AK144)+1)</f>
        <v/>
      </c>
      <c r="AM144">
        <f>IF($AL144="","",$AE144&amp;"|"&amp;RIGHT("000000"&amp;$AL144,6))</f>
        <v/>
      </c>
      <c r="AN144">
        <f>IF($AE144="","",IF(Sync!$W144="",0,Sync!$W144))</f>
        <v/>
      </c>
      <c r="AO144">
        <f>IF($AE144="","",IF(Sync!$X144="",0,Sync!$X144))</f>
        <v/>
      </c>
      <c r="AP144">
        <f>IF($AE144="","",Sync!$R144)</f>
        <v/>
      </c>
      <c r="AQ144">
        <f>IF($AE144="","",Sync!$Y144)</f>
        <v/>
      </c>
    </row>
    <row r="145">
      <c r="A145">
        <f>IF(OR(Wages!$B148="",Wages!$E148=""),"",Wages!$E148)</f>
        <v/>
      </c>
      <c r="B145">
        <f>IF($A145="","",IF(Wages!$C148="دستمزد گروهی",2,1))</f>
        <v/>
      </c>
      <c r="C145">
        <f>IF($A145="","",IF(ISNUMBER(Wages!$B148),IF(AND(Wages!$B148&gt;=10000101,Wages!$B148&lt;=99991231),INT(Wages!$B148/10000),""),IFERROR(VALUE(TRIM(LEFT(Wages!$B148,FIND("/",Wages!$B148)-1))),"")))</f>
        <v/>
      </c>
      <c r="D145">
        <f>IF(OR($A145="",$C145=""),"",IF(ISNUMBER(Wages!$B148),INT(MOD(Wages!$B148,10000)/100),IFERROR(VALUE(TRIM(LEFT(MID(Wages!$B148,FIND("/",Wages!$B148)+1,20),FIND("/",MID(Wages!$B148,FIND("/",Wages!$B148)+1,20))-1))),"")))</f>
        <v/>
      </c>
      <c r="E145">
        <f>IF(OR($A145="",$C145=""),"",IF(ISNUMBER(Wages!$B148),MOD(Wages!$B148,100),IFERROR(VALUE(TRIM(MID(MID(Wages!$B148,FIND("/",Wages!$B148)+1,20),FIND("/",MID(Wages!$B148,FIND("/",Wages!$B148)+1,20))+1,20))),"")))</f>
        <v/>
      </c>
      <c r="F145">
        <f>IF($A145="","",IF(OR($C145="",$D145="",$E145="",$C145&lt;1300,$C145&gt;1500,$D145&lt;1,$D145&gt;12,$E145&lt;1,$E145&gt;31),"نامعتبر",RIGHT("0000"&amp;$C145,4)&amp;"/"&amp;RIGHT("00"&amp;$D145,2)&amp;"/"&amp;RIGHT("00"&amp;$E145,2)))</f>
        <v/>
      </c>
      <c r="G145">
        <f>IF(OR($A145="",$F145="",$F145="نامعتبر"),"",LEFT($F145,4)&amp;MID($F145,6,2)&amp;RIGHT($F145,2)&amp;"0000"&amp;"|"&amp;"1"&amp;RIGHT("00000"&amp;140,5))</f>
        <v/>
      </c>
      <c r="H145">
        <f>IF(OR($B145&lt;&gt;1,$G145=""),"",COUNTIFS(LdAParty,$A145,LdAType,1,LdAKey,"&lt;"&amp;$G145)+COUNTIFS(LdBMember,$A145,LdBKey,"&lt;"&amp;$G145)+COUNTIFS(LdCParty,$A145,LdCKey,"&lt;"&amp;$G145)+1)</f>
        <v/>
      </c>
      <c r="I145">
        <f>IF($H145="","",$A145&amp;"|"&amp;RIGHT("000000"&amp;$H145,6))</f>
        <v/>
      </c>
      <c r="J145">
        <f>IF(OR($B145&lt;&gt;2,$G145=""),"",COUNTIFS(LdAParty,$A145,LdAType,2,LdAKey,"&lt;"&amp;$G145)+1)</f>
        <v/>
      </c>
      <c r="K145">
        <f>IF($J145="","",$A145&amp;"|"&amp;RIGHT("000000"&amp;$J145,6))</f>
        <v/>
      </c>
      <c r="L145">
        <f>IF($A145="","",IF(Wages!$G148="",0,Wages!$G148))</f>
        <v/>
      </c>
      <c r="M145">
        <f>IF($A145="","",Wages!$J148)</f>
        <v/>
      </c>
      <c r="N145">
        <f>IF($A145="","",Wages!$D148)</f>
        <v/>
      </c>
      <c r="P145">
        <f>IF(OR(Shares!$B148="",Shares!$C148=""),"",Shares!$C148)</f>
        <v/>
      </c>
      <c r="Q145">
        <f>IF($P145="","",Shares!$B148)</f>
        <v/>
      </c>
      <c r="R145">
        <f>IF($P145="","",IFERROR(INDEX(WageParty,MATCH($Q145,WageIds,0)),""))</f>
        <v/>
      </c>
      <c r="S145">
        <f>IF($P145="","",IFERROR(INDEX($F$6:$F$2005,MATCH($Q145,WageIds,0)),""))</f>
        <v/>
      </c>
      <c r="T145">
        <f>IF(OR($P145="",$S145="",$S145="نامعتبر"),"",LEFT($S145,4)&amp;MID($S145,6,2)&amp;RIGHT($S145,2)&amp;"0000"&amp;"|"&amp;"2"&amp;RIGHT("00000"&amp;140,5))</f>
        <v/>
      </c>
      <c r="U145">
        <f>IF($T145="","",COUNTIFS(LdAParty,$P145,LdAType,1,LdAKey,"&lt;"&amp;$T145)+COUNTIFS(LdBMember,$P145,LdBKey,"&lt;"&amp;$T145)+COUNTIFS(LdCParty,$P145,LdCKey,"&lt;"&amp;$T145)+1)</f>
        <v/>
      </c>
      <c r="V145">
        <f>IF($U145="","",$P145&amp;"|"&amp;RIGHT("000000"&amp;$U145,6))</f>
        <v/>
      </c>
      <c r="W145">
        <f>IF($T145="","",COUNTIFS(LdBGroup,$R145,LdBKey,"&lt;"&amp;$T145)+1)</f>
        <v/>
      </c>
      <c r="X145">
        <f>IF($W145="","",$R145&amp;"|"&amp;RIGHT("000000"&amp;$W145,6))</f>
        <v/>
      </c>
      <c r="Y145">
        <f>IF($P145="","",IF(Shares!$E148="",0,Shares!$E148))</f>
        <v/>
      </c>
      <c r="Z145">
        <f>IF($P145="","",Shares!$H148)</f>
        <v/>
      </c>
      <c r="AE145">
        <f>IF(OR(Sync!$S145="",Sync!$P145=""),"",Sync!$S145)</f>
        <v/>
      </c>
      <c r="AF145">
        <f>IF($AE145="","",IF(ISNUMBER(Sync!$P145),IF(AND(Sync!$P145&gt;=10000101,Sync!$P145&lt;=99991231),INT(Sync!$P145/10000),""),IFERROR(VALUE(TRIM(LEFT(Sync!$P145,FIND("/",Sync!$P145)-1))),"")))</f>
        <v/>
      </c>
      <c r="AG145">
        <f>IF(OR($AE145="",$AF145=""),"",IF(ISNUMBER(Sync!$P145),INT(MOD(Sync!$P145,10000)/100),IFERROR(VALUE(TRIM(LEFT(MID(Sync!$P145,FIND("/",Sync!$P145)+1,20),FIND("/",MID(Sync!$P145,FIND("/",Sync!$P145)+1,20))-1))),"")))</f>
        <v/>
      </c>
      <c r="AH145">
        <f>IF(OR($AE145="",$AF145=""),"",IF(ISNUMBER(Sync!$P145),MOD(Sync!$P145,100),IFERROR(VALUE(TRIM(MID(MID(Sync!$P145,FIND("/",Sync!$P145)+1,20),FIND("/",MID(Sync!$P145,FIND("/",Sync!$P145)+1,20))+1,20))),"")))</f>
        <v/>
      </c>
      <c r="AI145">
        <f>IF($AE145="","",IF(OR($AF145="",$AG145="",$AH145="",$AF145&lt;1300,$AF145&gt;1500,$AG145&lt;1,$AG145&gt;12,$AH145&lt;1,$AH145&gt;31),"نامعتبر",RIGHT("0000"&amp;$AF145,4)&amp;"/"&amp;RIGHT("00"&amp;$AG145,2)&amp;"/"&amp;RIGHT("00"&amp;$AH145,2)))</f>
        <v/>
      </c>
      <c r="AJ145">
        <f>IF($AE145="","",IF(Sync!$Q145="","0000",IF(AND(ISNUMBER(Sync!$Q145),Sync!$Q145&gt;=0,Sync!$Q145&lt;1),RIGHT("00"&amp;HOUR(Sync!$Q145),2)&amp;RIGHT("00"&amp;MINUTE(Sync!$Q145),2),IFERROR(RIGHT("00"&amp;VALUE(LEFT(Sync!$Q145,FIND(":",Sync!$Q145)-1)),2)&amp;RIGHT("00"&amp;VALUE(MID(Sync!$Q145,FIND(":",Sync!$Q145)+1,2)),2),"0000"))))</f>
        <v/>
      </c>
      <c r="AK145">
        <f>IF(OR($AE145="",$AI145="",$AI145="نامعتبر"),"",LEFT($AI145,4)&amp;MID($AI145,6,2)&amp;RIGHT($AI145,2)&amp;$AJ145&amp;"|"&amp;"3"&amp;RIGHT("00000"&amp;140,5))</f>
        <v/>
      </c>
      <c r="AL145">
        <f>IF($AK145="","",COUNTIFS(LdAParty,$AE145,LdAType,1,LdAKey,"&lt;"&amp;$AK145)+COUNTIFS(LdBMember,$AE145,LdBKey,"&lt;"&amp;$AK145)+COUNTIFS(LdCParty,$AE145,LdCKey,"&lt;"&amp;$AK145)+1)</f>
        <v/>
      </c>
      <c r="AM145">
        <f>IF($AL145="","",$AE145&amp;"|"&amp;RIGHT("000000"&amp;$AL145,6))</f>
        <v/>
      </c>
      <c r="AN145">
        <f>IF($AE145="","",IF(Sync!$W145="",0,Sync!$W145))</f>
        <v/>
      </c>
      <c r="AO145">
        <f>IF($AE145="","",IF(Sync!$X145="",0,Sync!$X145))</f>
        <v/>
      </c>
      <c r="AP145">
        <f>IF($AE145="","",Sync!$R145)</f>
        <v/>
      </c>
      <c r="AQ145">
        <f>IF($AE145="","",Sync!$Y145)</f>
        <v/>
      </c>
    </row>
    <row r="146">
      <c r="A146">
        <f>IF(OR(Wages!$B149="",Wages!$E149=""),"",Wages!$E149)</f>
        <v/>
      </c>
      <c r="B146">
        <f>IF($A146="","",IF(Wages!$C149="دستمزد گروهی",2,1))</f>
        <v/>
      </c>
      <c r="C146">
        <f>IF($A146="","",IF(ISNUMBER(Wages!$B149),IF(AND(Wages!$B149&gt;=10000101,Wages!$B149&lt;=99991231),INT(Wages!$B149/10000),""),IFERROR(VALUE(TRIM(LEFT(Wages!$B149,FIND("/",Wages!$B149)-1))),"")))</f>
        <v/>
      </c>
      <c r="D146">
        <f>IF(OR($A146="",$C146=""),"",IF(ISNUMBER(Wages!$B149),INT(MOD(Wages!$B149,10000)/100),IFERROR(VALUE(TRIM(LEFT(MID(Wages!$B149,FIND("/",Wages!$B149)+1,20),FIND("/",MID(Wages!$B149,FIND("/",Wages!$B149)+1,20))-1))),"")))</f>
        <v/>
      </c>
      <c r="E146">
        <f>IF(OR($A146="",$C146=""),"",IF(ISNUMBER(Wages!$B149),MOD(Wages!$B149,100),IFERROR(VALUE(TRIM(MID(MID(Wages!$B149,FIND("/",Wages!$B149)+1,20),FIND("/",MID(Wages!$B149,FIND("/",Wages!$B149)+1,20))+1,20))),"")))</f>
        <v/>
      </c>
      <c r="F146">
        <f>IF($A146="","",IF(OR($C146="",$D146="",$E146="",$C146&lt;1300,$C146&gt;1500,$D146&lt;1,$D146&gt;12,$E146&lt;1,$E146&gt;31),"نامعتبر",RIGHT("0000"&amp;$C146,4)&amp;"/"&amp;RIGHT("00"&amp;$D146,2)&amp;"/"&amp;RIGHT("00"&amp;$E146,2)))</f>
        <v/>
      </c>
      <c r="G146">
        <f>IF(OR($A146="",$F146="",$F146="نامعتبر"),"",LEFT($F146,4)&amp;MID($F146,6,2)&amp;RIGHT($F146,2)&amp;"0000"&amp;"|"&amp;"1"&amp;RIGHT("00000"&amp;141,5))</f>
        <v/>
      </c>
      <c r="H146">
        <f>IF(OR($B146&lt;&gt;1,$G146=""),"",COUNTIFS(LdAParty,$A146,LdAType,1,LdAKey,"&lt;"&amp;$G146)+COUNTIFS(LdBMember,$A146,LdBKey,"&lt;"&amp;$G146)+COUNTIFS(LdCParty,$A146,LdCKey,"&lt;"&amp;$G146)+1)</f>
        <v/>
      </c>
      <c r="I146">
        <f>IF($H146="","",$A146&amp;"|"&amp;RIGHT("000000"&amp;$H146,6))</f>
        <v/>
      </c>
      <c r="J146">
        <f>IF(OR($B146&lt;&gt;2,$G146=""),"",COUNTIFS(LdAParty,$A146,LdAType,2,LdAKey,"&lt;"&amp;$G146)+1)</f>
        <v/>
      </c>
      <c r="K146">
        <f>IF($J146="","",$A146&amp;"|"&amp;RIGHT("000000"&amp;$J146,6))</f>
        <v/>
      </c>
      <c r="L146">
        <f>IF($A146="","",IF(Wages!$G149="",0,Wages!$G149))</f>
        <v/>
      </c>
      <c r="M146">
        <f>IF($A146="","",Wages!$J149)</f>
        <v/>
      </c>
      <c r="N146">
        <f>IF($A146="","",Wages!$D149)</f>
        <v/>
      </c>
      <c r="P146">
        <f>IF(OR(Shares!$B149="",Shares!$C149=""),"",Shares!$C149)</f>
        <v/>
      </c>
      <c r="Q146">
        <f>IF($P146="","",Shares!$B149)</f>
        <v/>
      </c>
      <c r="R146">
        <f>IF($P146="","",IFERROR(INDEX(WageParty,MATCH($Q146,WageIds,0)),""))</f>
        <v/>
      </c>
      <c r="S146">
        <f>IF($P146="","",IFERROR(INDEX($F$6:$F$2005,MATCH($Q146,WageIds,0)),""))</f>
        <v/>
      </c>
      <c r="T146">
        <f>IF(OR($P146="",$S146="",$S146="نامعتبر"),"",LEFT($S146,4)&amp;MID($S146,6,2)&amp;RIGHT($S146,2)&amp;"0000"&amp;"|"&amp;"2"&amp;RIGHT("00000"&amp;141,5))</f>
        <v/>
      </c>
      <c r="U146">
        <f>IF($T146="","",COUNTIFS(LdAParty,$P146,LdAType,1,LdAKey,"&lt;"&amp;$T146)+COUNTIFS(LdBMember,$P146,LdBKey,"&lt;"&amp;$T146)+COUNTIFS(LdCParty,$P146,LdCKey,"&lt;"&amp;$T146)+1)</f>
        <v/>
      </c>
      <c r="V146">
        <f>IF($U146="","",$P146&amp;"|"&amp;RIGHT("000000"&amp;$U146,6))</f>
        <v/>
      </c>
      <c r="W146">
        <f>IF($T146="","",COUNTIFS(LdBGroup,$R146,LdBKey,"&lt;"&amp;$T146)+1)</f>
        <v/>
      </c>
      <c r="X146">
        <f>IF($W146="","",$R146&amp;"|"&amp;RIGHT("000000"&amp;$W146,6))</f>
        <v/>
      </c>
      <c r="Y146">
        <f>IF($P146="","",IF(Shares!$E149="",0,Shares!$E149))</f>
        <v/>
      </c>
      <c r="Z146">
        <f>IF($P146="","",Shares!$H149)</f>
        <v/>
      </c>
      <c r="AE146">
        <f>IF(OR(Sync!$S146="",Sync!$P146=""),"",Sync!$S146)</f>
        <v/>
      </c>
      <c r="AF146">
        <f>IF($AE146="","",IF(ISNUMBER(Sync!$P146),IF(AND(Sync!$P146&gt;=10000101,Sync!$P146&lt;=99991231),INT(Sync!$P146/10000),""),IFERROR(VALUE(TRIM(LEFT(Sync!$P146,FIND("/",Sync!$P146)-1))),"")))</f>
        <v/>
      </c>
      <c r="AG146">
        <f>IF(OR($AE146="",$AF146=""),"",IF(ISNUMBER(Sync!$P146),INT(MOD(Sync!$P146,10000)/100),IFERROR(VALUE(TRIM(LEFT(MID(Sync!$P146,FIND("/",Sync!$P146)+1,20),FIND("/",MID(Sync!$P146,FIND("/",Sync!$P146)+1,20))-1))),"")))</f>
        <v/>
      </c>
      <c r="AH146">
        <f>IF(OR($AE146="",$AF146=""),"",IF(ISNUMBER(Sync!$P146),MOD(Sync!$P146,100),IFERROR(VALUE(TRIM(MID(MID(Sync!$P146,FIND("/",Sync!$P146)+1,20),FIND("/",MID(Sync!$P146,FIND("/",Sync!$P146)+1,20))+1,20))),"")))</f>
        <v/>
      </c>
      <c r="AI146">
        <f>IF($AE146="","",IF(OR($AF146="",$AG146="",$AH146="",$AF146&lt;1300,$AF146&gt;1500,$AG146&lt;1,$AG146&gt;12,$AH146&lt;1,$AH146&gt;31),"نامعتبر",RIGHT("0000"&amp;$AF146,4)&amp;"/"&amp;RIGHT("00"&amp;$AG146,2)&amp;"/"&amp;RIGHT("00"&amp;$AH146,2)))</f>
        <v/>
      </c>
      <c r="AJ146">
        <f>IF($AE146="","",IF(Sync!$Q146="","0000",IF(AND(ISNUMBER(Sync!$Q146),Sync!$Q146&gt;=0,Sync!$Q146&lt;1),RIGHT("00"&amp;HOUR(Sync!$Q146),2)&amp;RIGHT("00"&amp;MINUTE(Sync!$Q146),2),IFERROR(RIGHT("00"&amp;VALUE(LEFT(Sync!$Q146,FIND(":",Sync!$Q146)-1)),2)&amp;RIGHT("00"&amp;VALUE(MID(Sync!$Q146,FIND(":",Sync!$Q146)+1,2)),2),"0000"))))</f>
        <v/>
      </c>
      <c r="AK146">
        <f>IF(OR($AE146="",$AI146="",$AI146="نامعتبر"),"",LEFT($AI146,4)&amp;MID($AI146,6,2)&amp;RIGHT($AI146,2)&amp;$AJ146&amp;"|"&amp;"3"&amp;RIGHT("00000"&amp;141,5))</f>
        <v/>
      </c>
      <c r="AL146">
        <f>IF($AK146="","",COUNTIFS(LdAParty,$AE146,LdAType,1,LdAKey,"&lt;"&amp;$AK146)+COUNTIFS(LdBMember,$AE146,LdBKey,"&lt;"&amp;$AK146)+COUNTIFS(LdCParty,$AE146,LdCKey,"&lt;"&amp;$AK146)+1)</f>
        <v/>
      </c>
      <c r="AM146">
        <f>IF($AL146="","",$AE146&amp;"|"&amp;RIGHT("000000"&amp;$AL146,6))</f>
        <v/>
      </c>
      <c r="AN146">
        <f>IF($AE146="","",IF(Sync!$W146="",0,Sync!$W146))</f>
        <v/>
      </c>
      <c r="AO146">
        <f>IF($AE146="","",IF(Sync!$X146="",0,Sync!$X146))</f>
        <v/>
      </c>
      <c r="AP146">
        <f>IF($AE146="","",Sync!$R146)</f>
        <v/>
      </c>
      <c r="AQ146">
        <f>IF($AE146="","",Sync!$Y146)</f>
        <v/>
      </c>
    </row>
    <row r="147">
      <c r="A147">
        <f>IF(OR(Wages!$B150="",Wages!$E150=""),"",Wages!$E150)</f>
        <v/>
      </c>
      <c r="B147">
        <f>IF($A147="","",IF(Wages!$C150="دستمزد گروهی",2,1))</f>
        <v/>
      </c>
      <c r="C147">
        <f>IF($A147="","",IF(ISNUMBER(Wages!$B150),IF(AND(Wages!$B150&gt;=10000101,Wages!$B150&lt;=99991231),INT(Wages!$B150/10000),""),IFERROR(VALUE(TRIM(LEFT(Wages!$B150,FIND("/",Wages!$B150)-1))),"")))</f>
        <v/>
      </c>
      <c r="D147">
        <f>IF(OR($A147="",$C147=""),"",IF(ISNUMBER(Wages!$B150),INT(MOD(Wages!$B150,10000)/100),IFERROR(VALUE(TRIM(LEFT(MID(Wages!$B150,FIND("/",Wages!$B150)+1,20),FIND("/",MID(Wages!$B150,FIND("/",Wages!$B150)+1,20))-1))),"")))</f>
        <v/>
      </c>
      <c r="E147">
        <f>IF(OR($A147="",$C147=""),"",IF(ISNUMBER(Wages!$B150),MOD(Wages!$B150,100),IFERROR(VALUE(TRIM(MID(MID(Wages!$B150,FIND("/",Wages!$B150)+1,20),FIND("/",MID(Wages!$B150,FIND("/",Wages!$B150)+1,20))+1,20))),"")))</f>
        <v/>
      </c>
      <c r="F147">
        <f>IF($A147="","",IF(OR($C147="",$D147="",$E147="",$C147&lt;1300,$C147&gt;1500,$D147&lt;1,$D147&gt;12,$E147&lt;1,$E147&gt;31),"نامعتبر",RIGHT("0000"&amp;$C147,4)&amp;"/"&amp;RIGHT("00"&amp;$D147,2)&amp;"/"&amp;RIGHT("00"&amp;$E147,2)))</f>
        <v/>
      </c>
      <c r="G147">
        <f>IF(OR($A147="",$F147="",$F147="نامعتبر"),"",LEFT($F147,4)&amp;MID($F147,6,2)&amp;RIGHT($F147,2)&amp;"0000"&amp;"|"&amp;"1"&amp;RIGHT("00000"&amp;142,5))</f>
        <v/>
      </c>
      <c r="H147">
        <f>IF(OR($B147&lt;&gt;1,$G147=""),"",COUNTIFS(LdAParty,$A147,LdAType,1,LdAKey,"&lt;"&amp;$G147)+COUNTIFS(LdBMember,$A147,LdBKey,"&lt;"&amp;$G147)+COUNTIFS(LdCParty,$A147,LdCKey,"&lt;"&amp;$G147)+1)</f>
        <v/>
      </c>
      <c r="I147">
        <f>IF($H147="","",$A147&amp;"|"&amp;RIGHT("000000"&amp;$H147,6))</f>
        <v/>
      </c>
      <c r="J147">
        <f>IF(OR($B147&lt;&gt;2,$G147=""),"",COUNTIFS(LdAParty,$A147,LdAType,2,LdAKey,"&lt;"&amp;$G147)+1)</f>
        <v/>
      </c>
      <c r="K147">
        <f>IF($J147="","",$A147&amp;"|"&amp;RIGHT("000000"&amp;$J147,6))</f>
        <v/>
      </c>
      <c r="L147">
        <f>IF($A147="","",IF(Wages!$G150="",0,Wages!$G150))</f>
        <v/>
      </c>
      <c r="M147">
        <f>IF($A147="","",Wages!$J150)</f>
        <v/>
      </c>
      <c r="N147">
        <f>IF($A147="","",Wages!$D150)</f>
        <v/>
      </c>
      <c r="P147">
        <f>IF(OR(Shares!$B150="",Shares!$C150=""),"",Shares!$C150)</f>
        <v/>
      </c>
      <c r="Q147">
        <f>IF($P147="","",Shares!$B150)</f>
        <v/>
      </c>
      <c r="R147">
        <f>IF($P147="","",IFERROR(INDEX(WageParty,MATCH($Q147,WageIds,0)),""))</f>
        <v/>
      </c>
      <c r="S147">
        <f>IF($P147="","",IFERROR(INDEX($F$6:$F$2005,MATCH($Q147,WageIds,0)),""))</f>
        <v/>
      </c>
      <c r="T147">
        <f>IF(OR($P147="",$S147="",$S147="نامعتبر"),"",LEFT($S147,4)&amp;MID($S147,6,2)&amp;RIGHT($S147,2)&amp;"0000"&amp;"|"&amp;"2"&amp;RIGHT("00000"&amp;142,5))</f>
        <v/>
      </c>
      <c r="U147">
        <f>IF($T147="","",COUNTIFS(LdAParty,$P147,LdAType,1,LdAKey,"&lt;"&amp;$T147)+COUNTIFS(LdBMember,$P147,LdBKey,"&lt;"&amp;$T147)+COUNTIFS(LdCParty,$P147,LdCKey,"&lt;"&amp;$T147)+1)</f>
        <v/>
      </c>
      <c r="V147">
        <f>IF($U147="","",$P147&amp;"|"&amp;RIGHT("000000"&amp;$U147,6))</f>
        <v/>
      </c>
      <c r="W147">
        <f>IF($T147="","",COUNTIFS(LdBGroup,$R147,LdBKey,"&lt;"&amp;$T147)+1)</f>
        <v/>
      </c>
      <c r="X147">
        <f>IF($W147="","",$R147&amp;"|"&amp;RIGHT("000000"&amp;$W147,6))</f>
        <v/>
      </c>
      <c r="Y147">
        <f>IF($P147="","",IF(Shares!$E150="",0,Shares!$E150))</f>
        <v/>
      </c>
      <c r="Z147">
        <f>IF($P147="","",Shares!$H150)</f>
        <v/>
      </c>
      <c r="AE147">
        <f>IF(OR(Sync!$S147="",Sync!$P147=""),"",Sync!$S147)</f>
        <v/>
      </c>
      <c r="AF147">
        <f>IF($AE147="","",IF(ISNUMBER(Sync!$P147),IF(AND(Sync!$P147&gt;=10000101,Sync!$P147&lt;=99991231),INT(Sync!$P147/10000),""),IFERROR(VALUE(TRIM(LEFT(Sync!$P147,FIND("/",Sync!$P147)-1))),"")))</f>
        <v/>
      </c>
      <c r="AG147">
        <f>IF(OR($AE147="",$AF147=""),"",IF(ISNUMBER(Sync!$P147),INT(MOD(Sync!$P147,10000)/100),IFERROR(VALUE(TRIM(LEFT(MID(Sync!$P147,FIND("/",Sync!$P147)+1,20),FIND("/",MID(Sync!$P147,FIND("/",Sync!$P147)+1,20))-1))),"")))</f>
        <v/>
      </c>
      <c r="AH147">
        <f>IF(OR($AE147="",$AF147=""),"",IF(ISNUMBER(Sync!$P147),MOD(Sync!$P147,100),IFERROR(VALUE(TRIM(MID(MID(Sync!$P147,FIND("/",Sync!$P147)+1,20),FIND("/",MID(Sync!$P147,FIND("/",Sync!$P147)+1,20))+1,20))),"")))</f>
        <v/>
      </c>
      <c r="AI147">
        <f>IF($AE147="","",IF(OR($AF147="",$AG147="",$AH147="",$AF147&lt;1300,$AF147&gt;1500,$AG147&lt;1,$AG147&gt;12,$AH147&lt;1,$AH147&gt;31),"نامعتبر",RIGHT("0000"&amp;$AF147,4)&amp;"/"&amp;RIGHT("00"&amp;$AG147,2)&amp;"/"&amp;RIGHT("00"&amp;$AH147,2)))</f>
        <v/>
      </c>
      <c r="AJ147">
        <f>IF($AE147="","",IF(Sync!$Q147="","0000",IF(AND(ISNUMBER(Sync!$Q147),Sync!$Q147&gt;=0,Sync!$Q147&lt;1),RIGHT("00"&amp;HOUR(Sync!$Q147),2)&amp;RIGHT("00"&amp;MINUTE(Sync!$Q147),2),IFERROR(RIGHT("00"&amp;VALUE(LEFT(Sync!$Q147,FIND(":",Sync!$Q147)-1)),2)&amp;RIGHT("00"&amp;VALUE(MID(Sync!$Q147,FIND(":",Sync!$Q147)+1,2)),2),"0000"))))</f>
        <v/>
      </c>
      <c r="AK147">
        <f>IF(OR($AE147="",$AI147="",$AI147="نامعتبر"),"",LEFT($AI147,4)&amp;MID($AI147,6,2)&amp;RIGHT($AI147,2)&amp;$AJ147&amp;"|"&amp;"3"&amp;RIGHT("00000"&amp;142,5))</f>
        <v/>
      </c>
      <c r="AL147">
        <f>IF($AK147="","",COUNTIFS(LdAParty,$AE147,LdAType,1,LdAKey,"&lt;"&amp;$AK147)+COUNTIFS(LdBMember,$AE147,LdBKey,"&lt;"&amp;$AK147)+COUNTIFS(LdCParty,$AE147,LdCKey,"&lt;"&amp;$AK147)+1)</f>
        <v/>
      </c>
      <c r="AM147">
        <f>IF($AL147="","",$AE147&amp;"|"&amp;RIGHT("000000"&amp;$AL147,6))</f>
        <v/>
      </c>
      <c r="AN147">
        <f>IF($AE147="","",IF(Sync!$W147="",0,Sync!$W147))</f>
        <v/>
      </c>
      <c r="AO147">
        <f>IF($AE147="","",IF(Sync!$X147="",0,Sync!$X147))</f>
        <v/>
      </c>
      <c r="AP147">
        <f>IF($AE147="","",Sync!$R147)</f>
        <v/>
      </c>
      <c r="AQ147">
        <f>IF($AE147="","",Sync!$Y147)</f>
        <v/>
      </c>
    </row>
    <row r="148">
      <c r="A148">
        <f>IF(OR(Wages!$B151="",Wages!$E151=""),"",Wages!$E151)</f>
        <v/>
      </c>
      <c r="B148">
        <f>IF($A148="","",IF(Wages!$C151="دستمزد گروهی",2,1))</f>
        <v/>
      </c>
      <c r="C148">
        <f>IF($A148="","",IF(ISNUMBER(Wages!$B151),IF(AND(Wages!$B151&gt;=10000101,Wages!$B151&lt;=99991231),INT(Wages!$B151/10000),""),IFERROR(VALUE(TRIM(LEFT(Wages!$B151,FIND("/",Wages!$B151)-1))),"")))</f>
        <v/>
      </c>
      <c r="D148">
        <f>IF(OR($A148="",$C148=""),"",IF(ISNUMBER(Wages!$B151),INT(MOD(Wages!$B151,10000)/100),IFERROR(VALUE(TRIM(LEFT(MID(Wages!$B151,FIND("/",Wages!$B151)+1,20),FIND("/",MID(Wages!$B151,FIND("/",Wages!$B151)+1,20))-1))),"")))</f>
        <v/>
      </c>
      <c r="E148">
        <f>IF(OR($A148="",$C148=""),"",IF(ISNUMBER(Wages!$B151),MOD(Wages!$B151,100),IFERROR(VALUE(TRIM(MID(MID(Wages!$B151,FIND("/",Wages!$B151)+1,20),FIND("/",MID(Wages!$B151,FIND("/",Wages!$B151)+1,20))+1,20))),"")))</f>
        <v/>
      </c>
      <c r="F148">
        <f>IF($A148="","",IF(OR($C148="",$D148="",$E148="",$C148&lt;1300,$C148&gt;1500,$D148&lt;1,$D148&gt;12,$E148&lt;1,$E148&gt;31),"نامعتبر",RIGHT("0000"&amp;$C148,4)&amp;"/"&amp;RIGHT("00"&amp;$D148,2)&amp;"/"&amp;RIGHT("00"&amp;$E148,2)))</f>
        <v/>
      </c>
      <c r="G148">
        <f>IF(OR($A148="",$F148="",$F148="نامعتبر"),"",LEFT($F148,4)&amp;MID($F148,6,2)&amp;RIGHT($F148,2)&amp;"0000"&amp;"|"&amp;"1"&amp;RIGHT("00000"&amp;143,5))</f>
        <v/>
      </c>
      <c r="H148">
        <f>IF(OR($B148&lt;&gt;1,$G148=""),"",COUNTIFS(LdAParty,$A148,LdAType,1,LdAKey,"&lt;"&amp;$G148)+COUNTIFS(LdBMember,$A148,LdBKey,"&lt;"&amp;$G148)+COUNTIFS(LdCParty,$A148,LdCKey,"&lt;"&amp;$G148)+1)</f>
        <v/>
      </c>
      <c r="I148">
        <f>IF($H148="","",$A148&amp;"|"&amp;RIGHT("000000"&amp;$H148,6))</f>
        <v/>
      </c>
      <c r="J148">
        <f>IF(OR($B148&lt;&gt;2,$G148=""),"",COUNTIFS(LdAParty,$A148,LdAType,2,LdAKey,"&lt;"&amp;$G148)+1)</f>
        <v/>
      </c>
      <c r="K148">
        <f>IF($J148="","",$A148&amp;"|"&amp;RIGHT("000000"&amp;$J148,6))</f>
        <v/>
      </c>
      <c r="L148">
        <f>IF($A148="","",IF(Wages!$G151="",0,Wages!$G151))</f>
        <v/>
      </c>
      <c r="M148">
        <f>IF($A148="","",Wages!$J151)</f>
        <v/>
      </c>
      <c r="N148">
        <f>IF($A148="","",Wages!$D151)</f>
        <v/>
      </c>
      <c r="P148">
        <f>IF(OR(Shares!$B151="",Shares!$C151=""),"",Shares!$C151)</f>
        <v/>
      </c>
      <c r="Q148">
        <f>IF($P148="","",Shares!$B151)</f>
        <v/>
      </c>
      <c r="R148">
        <f>IF($P148="","",IFERROR(INDEX(WageParty,MATCH($Q148,WageIds,0)),""))</f>
        <v/>
      </c>
      <c r="S148">
        <f>IF($P148="","",IFERROR(INDEX($F$6:$F$2005,MATCH($Q148,WageIds,0)),""))</f>
        <v/>
      </c>
      <c r="T148">
        <f>IF(OR($P148="",$S148="",$S148="نامعتبر"),"",LEFT($S148,4)&amp;MID($S148,6,2)&amp;RIGHT($S148,2)&amp;"0000"&amp;"|"&amp;"2"&amp;RIGHT("00000"&amp;143,5))</f>
        <v/>
      </c>
      <c r="U148">
        <f>IF($T148="","",COUNTIFS(LdAParty,$P148,LdAType,1,LdAKey,"&lt;"&amp;$T148)+COUNTIFS(LdBMember,$P148,LdBKey,"&lt;"&amp;$T148)+COUNTIFS(LdCParty,$P148,LdCKey,"&lt;"&amp;$T148)+1)</f>
        <v/>
      </c>
      <c r="V148">
        <f>IF($U148="","",$P148&amp;"|"&amp;RIGHT("000000"&amp;$U148,6))</f>
        <v/>
      </c>
      <c r="W148">
        <f>IF($T148="","",COUNTIFS(LdBGroup,$R148,LdBKey,"&lt;"&amp;$T148)+1)</f>
        <v/>
      </c>
      <c r="X148">
        <f>IF($W148="","",$R148&amp;"|"&amp;RIGHT("000000"&amp;$W148,6))</f>
        <v/>
      </c>
      <c r="Y148">
        <f>IF($P148="","",IF(Shares!$E151="",0,Shares!$E151))</f>
        <v/>
      </c>
      <c r="Z148">
        <f>IF($P148="","",Shares!$H151)</f>
        <v/>
      </c>
      <c r="AE148">
        <f>IF(OR(Sync!$S148="",Sync!$P148=""),"",Sync!$S148)</f>
        <v/>
      </c>
      <c r="AF148">
        <f>IF($AE148="","",IF(ISNUMBER(Sync!$P148),IF(AND(Sync!$P148&gt;=10000101,Sync!$P148&lt;=99991231),INT(Sync!$P148/10000),""),IFERROR(VALUE(TRIM(LEFT(Sync!$P148,FIND("/",Sync!$P148)-1))),"")))</f>
        <v/>
      </c>
      <c r="AG148">
        <f>IF(OR($AE148="",$AF148=""),"",IF(ISNUMBER(Sync!$P148),INT(MOD(Sync!$P148,10000)/100),IFERROR(VALUE(TRIM(LEFT(MID(Sync!$P148,FIND("/",Sync!$P148)+1,20),FIND("/",MID(Sync!$P148,FIND("/",Sync!$P148)+1,20))-1))),"")))</f>
        <v/>
      </c>
      <c r="AH148">
        <f>IF(OR($AE148="",$AF148=""),"",IF(ISNUMBER(Sync!$P148),MOD(Sync!$P148,100),IFERROR(VALUE(TRIM(MID(MID(Sync!$P148,FIND("/",Sync!$P148)+1,20),FIND("/",MID(Sync!$P148,FIND("/",Sync!$P148)+1,20))+1,20))),"")))</f>
        <v/>
      </c>
      <c r="AI148">
        <f>IF($AE148="","",IF(OR($AF148="",$AG148="",$AH148="",$AF148&lt;1300,$AF148&gt;1500,$AG148&lt;1,$AG148&gt;12,$AH148&lt;1,$AH148&gt;31),"نامعتبر",RIGHT("0000"&amp;$AF148,4)&amp;"/"&amp;RIGHT("00"&amp;$AG148,2)&amp;"/"&amp;RIGHT("00"&amp;$AH148,2)))</f>
        <v/>
      </c>
      <c r="AJ148">
        <f>IF($AE148="","",IF(Sync!$Q148="","0000",IF(AND(ISNUMBER(Sync!$Q148),Sync!$Q148&gt;=0,Sync!$Q148&lt;1),RIGHT("00"&amp;HOUR(Sync!$Q148),2)&amp;RIGHT("00"&amp;MINUTE(Sync!$Q148),2),IFERROR(RIGHT("00"&amp;VALUE(LEFT(Sync!$Q148,FIND(":",Sync!$Q148)-1)),2)&amp;RIGHT("00"&amp;VALUE(MID(Sync!$Q148,FIND(":",Sync!$Q148)+1,2)),2),"0000"))))</f>
        <v/>
      </c>
      <c r="AK148">
        <f>IF(OR($AE148="",$AI148="",$AI148="نامعتبر"),"",LEFT($AI148,4)&amp;MID($AI148,6,2)&amp;RIGHT($AI148,2)&amp;$AJ148&amp;"|"&amp;"3"&amp;RIGHT("00000"&amp;143,5))</f>
        <v/>
      </c>
      <c r="AL148">
        <f>IF($AK148="","",COUNTIFS(LdAParty,$AE148,LdAType,1,LdAKey,"&lt;"&amp;$AK148)+COUNTIFS(LdBMember,$AE148,LdBKey,"&lt;"&amp;$AK148)+COUNTIFS(LdCParty,$AE148,LdCKey,"&lt;"&amp;$AK148)+1)</f>
        <v/>
      </c>
      <c r="AM148">
        <f>IF($AL148="","",$AE148&amp;"|"&amp;RIGHT("000000"&amp;$AL148,6))</f>
        <v/>
      </c>
      <c r="AN148">
        <f>IF($AE148="","",IF(Sync!$W148="",0,Sync!$W148))</f>
        <v/>
      </c>
      <c r="AO148">
        <f>IF($AE148="","",IF(Sync!$X148="",0,Sync!$X148))</f>
        <v/>
      </c>
      <c r="AP148">
        <f>IF($AE148="","",Sync!$R148)</f>
        <v/>
      </c>
      <c r="AQ148">
        <f>IF($AE148="","",Sync!$Y148)</f>
        <v/>
      </c>
    </row>
    <row r="149">
      <c r="A149">
        <f>IF(OR(Wages!$B152="",Wages!$E152=""),"",Wages!$E152)</f>
        <v/>
      </c>
      <c r="B149">
        <f>IF($A149="","",IF(Wages!$C152="دستمزد گروهی",2,1))</f>
        <v/>
      </c>
      <c r="C149">
        <f>IF($A149="","",IF(ISNUMBER(Wages!$B152),IF(AND(Wages!$B152&gt;=10000101,Wages!$B152&lt;=99991231),INT(Wages!$B152/10000),""),IFERROR(VALUE(TRIM(LEFT(Wages!$B152,FIND("/",Wages!$B152)-1))),"")))</f>
        <v/>
      </c>
      <c r="D149">
        <f>IF(OR($A149="",$C149=""),"",IF(ISNUMBER(Wages!$B152),INT(MOD(Wages!$B152,10000)/100),IFERROR(VALUE(TRIM(LEFT(MID(Wages!$B152,FIND("/",Wages!$B152)+1,20),FIND("/",MID(Wages!$B152,FIND("/",Wages!$B152)+1,20))-1))),"")))</f>
        <v/>
      </c>
      <c r="E149">
        <f>IF(OR($A149="",$C149=""),"",IF(ISNUMBER(Wages!$B152),MOD(Wages!$B152,100),IFERROR(VALUE(TRIM(MID(MID(Wages!$B152,FIND("/",Wages!$B152)+1,20),FIND("/",MID(Wages!$B152,FIND("/",Wages!$B152)+1,20))+1,20))),"")))</f>
        <v/>
      </c>
      <c r="F149">
        <f>IF($A149="","",IF(OR($C149="",$D149="",$E149="",$C149&lt;1300,$C149&gt;1500,$D149&lt;1,$D149&gt;12,$E149&lt;1,$E149&gt;31),"نامعتبر",RIGHT("0000"&amp;$C149,4)&amp;"/"&amp;RIGHT("00"&amp;$D149,2)&amp;"/"&amp;RIGHT("00"&amp;$E149,2)))</f>
        <v/>
      </c>
      <c r="G149">
        <f>IF(OR($A149="",$F149="",$F149="نامعتبر"),"",LEFT($F149,4)&amp;MID($F149,6,2)&amp;RIGHT($F149,2)&amp;"0000"&amp;"|"&amp;"1"&amp;RIGHT("00000"&amp;144,5))</f>
        <v/>
      </c>
      <c r="H149">
        <f>IF(OR($B149&lt;&gt;1,$G149=""),"",COUNTIFS(LdAParty,$A149,LdAType,1,LdAKey,"&lt;"&amp;$G149)+COUNTIFS(LdBMember,$A149,LdBKey,"&lt;"&amp;$G149)+COUNTIFS(LdCParty,$A149,LdCKey,"&lt;"&amp;$G149)+1)</f>
        <v/>
      </c>
      <c r="I149">
        <f>IF($H149="","",$A149&amp;"|"&amp;RIGHT("000000"&amp;$H149,6))</f>
        <v/>
      </c>
      <c r="J149">
        <f>IF(OR($B149&lt;&gt;2,$G149=""),"",COUNTIFS(LdAParty,$A149,LdAType,2,LdAKey,"&lt;"&amp;$G149)+1)</f>
        <v/>
      </c>
      <c r="K149">
        <f>IF($J149="","",$A149&amp;"|"&amp;RIGHT("000000"&amp;$J149,6))</f>
        <v/>
      </c>
      <c r="L149">
        <f>IF($A149="","",IF(Wages!$G152="",0,Wages!$G152))</f>
        <v/>
      </c>
      <c r="M149">
        <f>IF($A149="","",Wages!$J152)</f>
        <v/>
      </c>
      <c r="N149">
        <f>IF($A149="","",Wages!$D152)</f>
        <v/>
      </c>
      <c r="P149">
        <f>IF(OR(Shares!$B152="",Shares!$C152=""),"",Shares!$C152)</f>
        <v/>
      </c>
      <c r="Q149">
        <f>IF($P149="","",Shares!$B152)</f>
        <v/>
      </c>
      <c r="R149">
        <f>IF($P149="","",IFERROR(INDEX(WageParty,MATCH($Q149,WageIds,0)),""))</f>
        <v/>
      </c>
      <c r="S149">
        <f>IF($P149="","",IFERROR(INDEX($F$6:$F$2005,MATCH($Q149,WageIds,0)),""))</f>
        <v/>
      </c>
      <c r="T149">
        <f>IF(OR($P149="",$S149="",$S149="نامعتبر"),"",LEFT($S149,4)&amp;MID($S149,6,2)&amp;RIGHT($S149,2)&amp;"0000"&amp;"|"&amp;"2"&amp;RIGHT("00000"&amp;144,5))</f>
        <v/>
      </c>
      <c r="U149">
        <f>IF($T149="","",COUNTIFS(LdAParty,$P149,LdAType,1,LdAKey,"&lt;"&amp;$T149)+COUNTIFS(LdBMember,$P149,LdBKey,"&lt;"&amp;$T149)+COUNTIFS(LdCParty,$P149,LdCKey,"&lt;"&amp;$T149)+1)</f>
        <v/>
      </c>
      <c r="V149">
        <f>IF($U149="","",$P149&amp;"|"&amp;RIGHT("000000"&amp;$U149,6))</f>
        <v/>
      </c>
      <c r="W149">
        <f>IF($T149="","",COUNTIFS(LdBGroup,$R149,LdBKey,"&lt;"&amp;$T149)+1)</f>
        <v/>
      </c>
      <c r="X149">
        <f>IF($W149="","",$R149&amp;"|"&amp;RIGHT("000000"&amp;$W149,6))</f>
        <v/>
      </c>
      <c r="Y149">
        <f>IF($P149="","",IF(Shares!$E152="",0,Shares!$E152))</f>
        <v/>
      </c>
      <c r="Z149">
        <f>IF($P149="","",Shares!$H152)</f>
        <v/>
      </c>
      <c r="AE149">
        <f>IF(OR(Sync!$S149="",Sync!$P149=""),"",Sync!$S149)</f>
        <v/>
      </c>
      <c r="AF149">
        <f>IF($AE149="","",IF(ISNUMBER(Sync!$P149),IF(AND(Sync!$P149&gt;=10000101,Sync!$P149&lt;=99991231),INT(Sync!$P149/10000),""),IFERROR(VALUE(TRIM(LEFT(Sync!$P149,FIND("/",Sync!$P149)-1))),"")))</f>
        <v/>
      </c>
      <c r="AG149">
        <f>IF(OR($AE149="",$AF149=""),"",IF(ISNUMBER(Sync!$P149),INT(MOD(Sync!$P149,10000)/100),IFERROR(VALUE(TRIM(LEFT(MID(Sync!$P149,FIND("/",Sync!$P149)+1,20),FIND("/",MID(Sync!$P149,FIND("/",Sync!$P149)+1,20))-1))),"")))</f>
        <v/>
      </c>
      <c r="AH149">
        <f>IF(OR($AE149="",$AF149=""),"",IF(ISNUMBER(Sync!$P149),MOD(Sync!$P149,100),IFERROR(VALUE(TRIM(MID(MID(Sync!$P149,FIND("/",Sync!$P149)+1,20),FIND("/",MID(Sync!$P149,FIND("/",Sync!$P149)+1,20))+1,20))),"")))</f>
        <v/>
      </c>
      <c r="AI149">
        <f>IF($AE149="","",IF(OR($AF149="",$AG149="",$AH149="",$AF149&lt;1300,$AF149&gt;1500,$AG149&lt;1,$AG149&gt;12,$AH149&lt;1,$AH149&gt;31),"نامعتبر",RIGHT("0000"&amp;$AF149,4)&amp;"/"&amp;RIGHT("00"&amp;$AG149,2)&amp;"/"&amp;RIGHT("00"&amp;$AH149,2)))</f>
        <v/>
      </c>
      <c r="AJ149">
        <f>IF($AE149="","",IF(Sync!$Q149="","0000",IF(AND(ISNUMBER(Sync!$Q149),Sync!$Q149&gt;=0,Sync!$Q149&lt;1),RIGHT("00"&amp;HOUR(Sync!$Q149),2)&amp;RIGHT("00"&amp;MINUTE(Sync!$Q149),2),IFERROR(RIGHT("00"&amp;VALUE(LEFT(Sync!$Q149,FIND(":",Sync!$Q149)-1)),2)&amp;RIGHT("00"&amp;VALUE(MID(Sync!$Q149,FIND(":",Sync!$Q149)+1,2)),2),"0000"))))</f>
        <v/>
      </c>
      <c r="AK149">
        <f>IF(OR($AE149="",$AI149="",$AI149="نامعتبر"),"",LEFT($AI149,4)&amp;MID($AI149,6,2)&amp;RIGHT($AI149,2)&amp;$AJ149&amp;"|"&amp;"3"&amp;RIGHT("00000"&amp;144,5))</f>
        <v/>
      </c>
      <c r="AL149">
        <f>IF($AK149="","",COUNTIFS(LdAParty,$AE149,LdAType,1,LdAKey,"&lt;"&amp;$AK149)+COUNTIFS(LdBMember,$AE149,LdBKey,"&lt;"&amp;$AK149)+COUNTIFS(LdCParty,$AE149,LdCKey,"&lt;"&amp;$AK149)+1)</f>
        <v/>
      </c>
      <c r="AM149">
        <f>IF($AL149="","",$AE149&amp;"|"&amp;RIGHT("000000"&amp;$AL149,6))</f>
        <v/>
      </c>
      <c r="AN149">
        <f>IF($AE149="","",IF(Sync!$W149="",0,Sync!$W149))</f>
        <v/>
      </c>
      <c r="AO149">
        <f>IF($AE149="","",IF(Sync!$X149="",0,Sync!$X149))</f>
        <v/>
      </c>
      <c r="AP149">
        <f>IF($AE149="","",Sync!$R149)</f>
        <v/>
      </c>
      <c r="AQ149">
        <f>IF($AE149="","",Sync!$Y149)</f>
        <v/>
      </c>
    </row>
    <row r="150">
      <c r="A150">
        <f>IF(OR(Wages!$B153="",Wages!$E153=""),"",Wages!$E153)</f>
        <v/>
      </c>
      <c r="B150">
        <f>IF($A150="","",IF(Wages!$C153="دستمزد گروهی",2,1))</f>
        <v/>
      </c>
      <c r="C150">
        <f>IF($A150="","",IF(ISNUMBER(Wages!$B153),IF(AND(Wages!$B153&gt;=10000101,Wages!$B153&lt;=99991231),INT(Wages!$B153/10000),""),IFERROR(VALUE(TRIM(LEFT(Wages!$B153,FIND("/",Wages!$B153)-1))),"")))</f>
        <v/>
      </c>
      <c r="D150">
        <f>IF(OR($A150="",$C150=""),"",IF(ISNUMBER(Wages!$B153),INT(MOD(Wages!$B153,10000)/100),IFERROR(VALUE(TRIM(LEFT(MID(Wages!$B153,FIND("/",Wages!$B153)+1,20),FIND("/",MID(Wages!$B153,FIND("/",Wages!$B153)+1,20))-1))),"")))</f>
        <v/>
      </c>
      <c r="E150">
        <f>IF(OR($A150="",$C150=""),"",IF(ISNUMBER(Wages!$B153),MOD(Wages!$B153,100),IFERROR(VALUE(TRIM(MID(MID(Wages!$B153,FIND("/",Wages!$B153)+1,20),FIND("/",MID(Wages!$B153,FIND("/",Wages!$B153)+1,20))+1,20))),"")))</f>
        <v/>
      </c>
      <c r="F150">
        <f>IF($A150="","",IF(OR($C150="",$D150="",$E150="",$C150&lt;1300,$C150&gt;1500,$D150&lt;1,$D150&gt;12,$E150&lt;1,$E150&gt;31),"نامعتبر",RIGHT("0000"&amp;$C150,4)&amp;"/"&amp;RIGHT("00"&amp;$D150,2)&amp;"/"&amp;RIGHT("00"&amp;$E150,2)))</f>
        <v/>
      </c>
      <c r="G150">
        <f>IF(OR($A150="",$F150="",$F150="نامعتبر"),"",LEFT($F150,4)&amp;MID($F150,6,2)&amp;RIGHT($F150,2)&amp;"0000"&amp;"|"&amp;"1"&amp;RIGHT("00000"&amp;145,5))</f>
        <v/>
      </c>
      <c r="H150">
        <f>IF(OR($B150&lt;&gt;1,$G150=""),"",COUNTIFS(LdAParty,$A150,LdAType,1,LdAKey,"&lt;"&amp;$G150)+COUNTIFS(LdBMember,$A150,LdBKey,"&lt;"&amp;$G150)+COUNTIFS(LdCParty,$A150,LdCKey,"&lt;"&amp;$G150)+1)</f>
        <v/>
      </c>
      <c r="I150">
        <f>IF($H150="","",$A150&amp;"|"&amp;RIGHT("000000"&amp;$H150,6))</f>
        <v/>
      </c>
      <c r="J150">
        <f>IF(OR($B150&lt;&gt;2,$G150=""),"",COUNTIFS(LdAParty,$A150,LdAType,2,LdAKey,"&lt;"&amp;$G150)+1)</f>
        <v/>
      </c>
      <c r="K150">
        <f>IF($J150="","",$A150&amp;"|"&amp;RIGHT("000000"&amp;$J150,6))</f>
        <v/>
      </c>
      <c r="L150">
        <f>IF($A150="","",IF(Wages!$G153="",0,Wages!$G153))</f>
        <v/>
      </c>
      <c r="M150">
        <f>IF($A150="","",Wages!$J153)</f>
        <v/>
      </c>
      <c r="N150">
        <f>IF($A150="","",Wages!$D153)</f>
        <v/>
      </c>
      <c r="P150">
        <f>IF(OR(Shares!$B153="",Shares!$C153=""),"",Shares!$C153)</f>
        <v/>
      </c>
      <c r="Q150">
        <f>IF($P150="","",Shares!$B153)</f>
        <v/>
      </c>
      <c r="R150">
        <f>IF($P150="","",IFERROR(INDEX(WageParty,MATCH($Q150,WageIds,0)),""))</f>
        <v/>
      </c>
      <c r="S150">
        <f>IF($P150="","",IFERROR(INDEX($F$6:$F$2005,MATCH($Q150,WageIds,0)),""))</f>
        <v/>
      </c>
      <c r="T150">
        <f>IF(OR($P150="",$S150="",$S150="نامعتبر"),"",LEFT($S150,4)&amp;MID($S150,6,2)&amp;RIGHT($S150,2)&amp;"0000"&amp;"|"&amp;"2"&amp;RIGHT("00000"&amp;145,5))</f>
        <v/>
      </c>
      <c r="U150">
        <f>IF($T150="","",COUNTIFS(LdAParty,$P150,LdAType,1,LdAKey,"&lt;"&amp;$T150)+COUNTIFS(LdBMember,$P150,LdBKey,"&lt;"&amp;$T150)+COUNTIFS(LdCParty,$P150,LdCKey,"&lt;"&amp;$T150)+1)</f>
        <v/>
      </c>
      <c r="V150">
        <f>IF($U150="","",$P150&amp;"|"&amp;RIGHT("000000"&amp;$U150,6))</f>
        <v/>
      </c>
      <c r="W150">
        <f>IF($T150="","",COUNTIFS(LdBGroup,$R150,LdBKey,"&lt;"&amp;$T150)+1)</f>
        <v/>
      </c>
      <c r="X150">
        <f>IF($W150="","",$R150&amp;"|"&amp;RIGHT("000000"&amp;$W150,6))</f>
        <v/>
      </c>
      <c r="Y150">
        <f>IF($P150="","",IF(Shares!$E153="",0,Shares!$E153))</f>
        <v/>
      </c>
      <c r="Z150">
        <f>IF($P150="","",Shares!$H153)</f>
        <v/>
      </c>
      <c r="AE150">
        <f>IF(OR(Sync!$S150="",Sync!$P150=""),"",Sync!$S150)</f>
        <v/>
      </c>
      <c r="AF150">
        <f>IF($AE150="","",IF(ISNUMBER(Sync!$P150),IF(AND(Sync!$P150&gt;=10000101,Sync!$P150&lt;=99991231),INT(Sync!$P150/10000),""),IFERROR(VALUE(TRIM(LEFT(Sync!$P150,FIND("/",Sync!$P150)-1))),"")))</f>
        <v/>
      </c>
      <c r="AG150">
        <f>IF(OR($AE150="",$AF150=""),"",IF(ISNUMBER(Sync!$P150),INT(MOD(Sync!$P150,10000)/100),IFERROR(VALUE(TRIM(LEFT(MID(Sync!$P150,FIND("/",Sync!$P150)+1,20),FIND("/",MID(Sync!$P150,FIND("/",Sync!$P150)+1,20))-1))),"")))</f>
        <v/>
      </c>
      <c r="AH150">
        <f>IF(OR($AE150="",$AF150=""),"",IF(ISNUMBER(Sync!$P150),MOD(Sync!$P150,100),IFERROR(VALUE(TRIM(MID(MID(Sync!$P150,FIND("/",Sync!$P150)+1,20),FIND("/",MID(Sync!$P150,FIND("/",Sync!$P150)+1,20))+1,20))),"")))</f>
        <v/>
      </c>
      <c r="AI150">
        <f>IF($AE150="","",IF(OR($AF150="",$AG150="",$AH150="",$AF150&lt;1300,$AF150&gt;1500,$AG150&lt;1,$AG150&gt;12,$AH150&lt;1,$AH150&gt;31),"نامعتبر",RIGHT("0000"&amp;$AF150,4)&amp;"/"&amp;RIGHT("00"&amp;$AG150,2)&amp;"/"&amp;RIGHT("00"&amp;$AH150,2)))</f>
        <v/>
      </c>
      <c r="AJ150">
        <f>IF($AE150="","",IF(Sync!$Q150="","0000",IF(AND(ISNUMBER(Sync!$Q150),Sync!$Q150&gt;=0,Sync!$Q150&lt;1),RIGHT("00"&amp;HOUR(Sync!$Q150),2)&amp;RIGHT("00"&amp;MINUTE(Sync!$Q150),2),IFERROR(RIGHT("00"&amp;VALUE(LEFT(Sync!$Q150,FIND(":",Sync!$Q150)-1)),2)&amp;RIGHT("00"&amp;VALUE(MID(Sync!$Q150,FIND(":",Sync!$Q150)+1,2)),2),"0000"))))</f>
        <v/>
      </c>
      <c r="AK150">
        <f>IF(OR($AE150="",$AI150="",$AI150="نامعتبر"),"",LEFT($AI150,4)&amp;MID($AI150,6,2)&amp;RIGHT($AI150,2)&amp;$AJ150&amp;"|"&amp;"3"&amp;RIGHT("00000"&amp;145,5))</f>
        <v/>
      </c>
      <c r="AL150">
        <f>IF($AK150="","",COUNTIFS(LdAParty,$AE150,LdAType,1,LdAKey,"&lt;"&amp;$AK150)+COUNTIFS(LdBMember,$AE150,LdBKey,"&lt;"&amp;$AK150)+COUNTIFS(LdCParty,$AE150,LdCKey,"&lt;"&amp;$AK150)+1)</f>
        <v/>
      </c>
      <c r="AM150">
        <f>IF($AL150="","",$AE150&amp;"|"&amp;RIGHT("000000"&amp;$AL150,6))</f>
        <v/>
      </c>
      <c r="AN150">
        <f>IF($AE150="","",IF(Sync!$W150="",0,Sync!$W150))</f>
        <v/>
      </c>
      <c r="AO150">
        <f>IF($AE150="","",IF(Sync!$X150="",0,Sync!$X150))</f>
        <v/>
      </c>
      <c r="AP150">
        <f>IF($AE150="","",Sync!$R150)</f>
        <v/>
      </c>
      <c r="AQ150">
        <f>IF($AE150="","",Sync!$Y150)</f>
        <v/>
      </c>
    </row>
    <row r="151">
      <c r="A151">
        <f>IF(OR(Wages!$B154="",Wages!$E154=""),"",Wages!$E154)</f>
        <v/>
      </c>
      <c r="B151">
        <f>IF($A151="","",IF(Wages!$C154="دستمزد گروهی",2,1))</f>
        <v/>
      </c>
      <c r="C151">
        <f>IF($A151="","",IF(ISNUMBER(Wages!$B154),IF(AND(Wages!$B154&gt;=10000101,Wages!$B154&lt;=99991231),INT(Wages!$B154/10000),""),IFERROR(VALUE(TRIM(LEFT(Wages!$B154,FIND("/",Wages!$B154)-1))),"")))</f>
        <v/>
      </c>
      <c r="D151">
        <f>IF(OR($A151="",$C151=""),"",IF(ISNUMBER(Wages!$B154),INT(MOD(Wages!$B154,10000)/100),IFERROR(VALUE(TRIM(LEFT(MID(Wages!$B154,FIND("/",Wages!$B154)+1,20),FIND("/",MID(Wages!$B154,FIND("/",Wages!$B154)+1,20))-1))),"")))</f>
        <v/>
      </c>
      <c r="E151">
        <f>IF(OR($A151="",$C151=""),"",IF(ISNUMBER(Wages!$B154),MOD(Wages!$B154,100),IFERROR(VALUE(TRIM(MID(MID(Wages!$B154,FIND("/",Wages!$B154)+1,20),FIND("/",MID(Wages!$B154,FIND("/",Wages!$B154)+1,20))+1,20))),"")))</f>
        <v/>
      </c>
      <c r="F151">
        <f>IF($A151="","",IF(OR($C151="",$D151="",$E151="",$C151&lt;1300,$C151&gt;1500,$D151&lt;1,$D151&gt;12,$E151&lt;1,$E151&gt;31),"نامعتبر",RIGHT("0000"&amp;$C151,4)&amp;"/"&amp;RIGHT("00"&amp;$D151,2)&amp;"/"&amp;RIGHT("00"&amp;$E151,2)))</f>
        <v/>
      </c>
      <c r="G151">
        <f>IF(OR($A151="",$F151="",$F151="نامعتبر"),"",LEFT($F151,4)&amp;MID($F151,6,2)&amp;RIGHT($F151,2)&amp;"0000"&amp;"|"&amp;"1"&amp;RIGHT("00000"&amp;146,5))</f>
        <v/>
      </c>
      <c r="H151">
        <f>IF(OR($B151&lt;&gt;1,$G151=""),"",COUNTIFS(LdAParty,$A151,LdAType,1,LdAKey,"&lt;"&amp;$G151)+COUNTIFS(LdBMember,$A151,LdBKey,"&lt;"&amp;$G151)+COUNTIFS(LdCParty,$A151,LdCKey,"&lt;"&amp;$G151)+1)</f>
        <v/>
      </c>
      <c r="I151">
        <f>IF($H151="","",$A151&amp;"|"&amp;RIGHT("000000"&amp;$H151,6))</f>
        <v/>
      </c>
      <c r="J151">
        <f>IF(OR($B151&lt;&gt;2,$G151=""),"",COUNTIFS(LdAParty,$A151,LdAType,2,LdAKey,"&lt;"&amp;$G151)+1)</f>
        <v/>
      </c>
      <c r="K151">
        <f>IF($J151="","",$A151&amp;"|"&amp;RIGHT("000000"&amp;$J151,6))</f>
        <v/>
      </c>
      <c r="L151">
        <f>IF($A151="","",IF(Wages!$G154="",0,Wages!$G154))</f>
        <v/>
      </c>
      <c r="M151">
        <f>IF($A151="","",Wages!$J154)</f>
        <v/>
      </c>
      <c r="N151">
        <f>IF($A151="","",Wages!$D154)</f>
        <v/>
      </c>
      <c r="P151">
        <f>IF(OR(Shares!$B154="",Shares!$C154=""),"",Shares!$C154)</f>
        <v/>
      </c>
      <c r="Q151">
        <f>IF($P151="","",Shares!$B154)</f>
        <v/>
      </c>
      <c r="R151">
        <f>IF($P151="","",IFERROR(INDEX(WageParty,MATCH($Q151,WageIds,0)),""))</f>
        <v/>
      </c>
      <c r="S151">
        <f>IF($P151="","",IFERROR(INDEX($F$6:$F$2005,MATCH($Q151,WageIds,0)),""))</f>
        <v/>
      </c>
      <c r="T151">
        <f>IF(OR($P151="",$S151="",$S151="نامعتبر"),"",LEFT($S151,4)&amp;MID($S151,6,2)&amp;RIGHT($S151,2)&amp;"0000"&amp;"|"&amp;"2"&amp;RIGHT("00000"&amp;146,5))</f>
        <v/>
      </c>
      <c r="U151">
        <f>IF($T151="","",COUNTIFS(LdAParty,$P151,LdAType,1,LdAKey,"&lt;"&amp;$T151)+COUNTIFS(LdBMember,$P151,LdBKey,"&lt;"&amp;$T151)+COUNTIFS(LdCParty,$P151,LdCKey,"&lt;"&amp;$T151)+1)</f>
        <v/>
      </c>
      <c r="V151">
        <f>IF($U151="","",$P151&amp;"|"&amp;RIGHT("000000"&amp;$U151,6))</f>
        <v/>
      </c>
      <c r="W151">
        <f>IF($T151="","",COUNTIFS(LdBGroup,$R151,LdBKey,"&lt;"&amp;$T151)+1)</f>
        <v/>
      </c>
      <c r="X151">
        <f>IF($W151="","",$R151&amp;"|"&amp;RIGHT("000000"&amp;$W151,6))</f>
        <v/>
      </c>
      <c r="Y151">
        <f>IF($P151="","",IF(Shares!$E154="",0,Shares!$E154))</f>
        <v/>
      </c>
      <c r="Z151">
        <f>IF($P151="","",Shares!$H154)</f>
        <v/>
      </c>
      <c r="AE151">
        <f>IF(OR(Sync!$S151="",Sync!$P151=""),"",Sync!$S151)</f>
        <v/>
      </c>
      <c r="AF151">
        <f>IF($AE151="","",IF(ISNUMBER(Sync!$P151),IF(AND(Sync!$P151&gt;=10000101,Sync!$P151&lt;=99991231),INT(Sync!$P151/10000),""),IFERROR(VALUE(TRIM(LEFT(Sync!$P151,FIND("/",Sync!$P151)-1))),"")))</f>
        <v/>
      </c>
      <c r="AG151">
        <f>IF(OR($AE151="",$AF151=""),"",IF(ISNUMBER(Sync!$P151),INT(MOD(Sync!$P151,10000)/100),IFERROR(VALUE(TRIM(LEFT(MID(Sync!$P151,FIND("/",Sync!$P151)+1,20),FIND("/",MID(Sync!$P151,FIND("/",Sync!$P151)+1,20))-1))),"")))</f>
        <v/>
      </c>
      <c r="AH151">
        <f>IF(OR($AE151="",$AF151=""),"",IF(ISNUMBER(Sync!$P151),MOD(Sync!$P151,100),IFERROR(VALUE(TRIM(MID(MID(Sync!$P151,FIND("/",Sync!$P151)+1,20),FIND("/",MID(Sync!$P151,FIND("/",Sync!$P151)+1,20))+1,20))),"")))</f>
        <v/>
      </c>
      <c r="AI151">
        <f>IF($AE151="","",IF(OR($AF151="",$AG151="",$AH151="",$AF151&lt;1300,$AF151&gt;1500,$AG151&lt;1,$AG151&gt;12,$AH151&lt;1,$AH151&gt;31),"نامعتبر",RIGHT("0000"&amp;$AF151,4)&amp;"/"&amp;RIGHT("00"&amp;$AG151,2)&amp;"/"&amp;RIGHT("00"&amp;$AH151,2)))</f>
        <v/>
      </c>
      <c r="AJ151">
        <f>IF($AE151="","",IF(Sync!$Q151="","0000",IF(AND(ISNUMBER(Sync!$Q151),Sync!$Q151&gt;=0,Sync!$Q151&lt;1),RIGHT("00"&amp;HOUR(Sync!$Q151),2)&amp;RIGHT("00"&amp;MINUTE(Sync!$Q151),2),IFERROR(RIGHT("00"&amp;VALUE(LEFT(Sync!$Q151,FIND(":",Sync!$Q151)-1)),2)&amp;RIGHT("00"&amp;VALUE(MID(Sync!$Q151,FIND(":",Sync!$Q151)+1,2)),2),"0000"))))</f>
        <v/>
      </c>
      <c r="AK151">
        <f>IF(OR($AE151="",$AI151="",$AI151="نامعتبر"),"",LEFT($AI151,4)&amp;MID($AI151,6,2)&amp;RIGHT($AI151,2)&amp;$AJ151&amp;"|"&amp;"3"&amp;RIGHT("00000"&amp;146,5))</f>
        <v/>
      </c>
      <c r="AL151">
        <f>IF($AK151="","",COUNTIFS(LdAParty,$AE151,LdAType,1,LdAKey,"&lt;"&amp;$AK151)+COUNTIFS(LdBMember,$AE151,LdBKey,"&lt;"&amp;$AK151)+COUNTIFS(LdCParty,$AE151,LdCKey,"&lt;"&amp;$AK151)+1)</f>
        <v/>
      </c>
      <c r="AM151">
        <f>IF($AL151="","",$AE151&amp;"|"&amp;RIGHT("000000"&amp;$AL151,6))</f>
        <v/>
      </c>
      <c r="AN151">
        <f>IF($AE151="","",IF(Sync!$W151="",0,Sync!$W151))</f>
        <v/>
      </c>
      <c r="AO151">
        <f>IF($AE151="","",IF(Sync!$X151="",0,Sync!$X151))</f>
        <v/>
      </c>
      <c r="AP151">
        <f>IF($AE151="","",Sync!$R151)</f>
        <v/>
      </c>
      <c r="AQ151">
        <f>IF($AE151="","",Sync!$Y151)</f>
        <v/>
      </c>
    </row>
    <row r="152">
      <c r="A152">
        <f>IF(OR(Wages!$B155="",Wages!$E155=""),"",Wages!$E155)</f>
        <v/>
      </c>
      <c r="B152">
        <f>IF($A152="","",IF(Wages!$C155="دستمزد گروهی",2,1))</f>
        <v/>
      </c>
      <c r="C152">
        <f>IF($A152="","",IF(ISNUMBER(Wages!$B155),IF(AND(Wages!$B155&gt;=10000101,Wages!$B155&lt;=99991231),INT(Wages!$B155/10000),""),IFERROR(VALUE(TRIM(LEFT(Wages!$B155,FIND("/",Wages!$B155)-1))),"")))</f>
        <v/>
      </c>
      <c r="D152">
        <f>IF(OR($A152="",$C152=""),"",IF(ISNUMBER(Wages!$B155),INT(MOD(Wages!$B155,10000)/100),IFERROR(VALUE(TRIM(LEFT(MID(Wages!$B155,FIND("/",Wages!$B155)+1,20),FIND("/",MID(Wages!$B155,FIND("/",Wages!$B155)+1,20))-1))),"")))</f>
        <v/>
      </c>
      <c r="E152">
        <f>IF(OR($A152="",$C152=""),"",IF(ISNUMBER(Wages!$B155),MOD(Wages!$B155,100),IFERROR(VALUE(TRIM(MID(MID(Wages!$B155,FIND("/",Wages!$B155)+1,20),FIND("/",MID(Wages!$B155,FIND("/",Wages!$B155)+1,20))+1,20))),"")))</f>
        <v/>
      </c>
      <c r="F152">
        <f>IF($A152="","",IF(OR($C152="",$D152="",$E152="",$C152&lt;1300,$C152&gt;1500,$D152&lt;1,$D152&gt;12,$E152&lt;1,$E152&gt;31),"نامعتبر",RIGHT("0000"&amp;$C152,4)&amp;"/"&amp;RIGHT("00"&amp;$D152,2)&amp;"/"&amp;RIGHT("00"&amp;$E152,2)))</f>
        <v/>
      </c>
      <c r="G152">
        <f>IF(OR($A152="",$F152="",$F152="نامعتبر"),"",LEFT($F152,4)&amp;MID($F152,6,2)&amp;RIGHT($F152,2)&amp;"0000"&amp;"|"&amp;"1"&amp;RIGHT("00000"&amp;147,5))</f>
        <v/>
      </c>
      <c r="H152">
        <f>IF(OR($B152&lt;&gt;1,$G152=""),"",COUNTIFS(LdAParty,$A152,LdAType,1,LdAKey,"&lt;"&amp;$G152)+COUNTIFS(LdBMember,$A152,LdBKey,"&lt;"&amp;$G152)+COUNTIFS(LdCParty,$A152,LdCKey,"&lt;"&amp;$G152)+1)</f>
        <v/>
      </c>
      <c r="I152">
        <f>IF($H152="","",$A152&amp;"|"&amp;RIGHT("000000"&amp;$H152,6))</f>
        <v/>
      </c>
      <c r="J152">
        <f>IF(OR($B152&lt;&gt;2,$G152=""),"",COUNTIFS(LdAParty,$A152,LdAType,2,LdAKey,"&lt;"&amp;$G152)+1)</f>
        <v/>
      </c>
      <c r="K152">
        <f>IF($J152="","",$A152&amp;"|"&amp;RIGHT("000000"&amp;$J152,6))</f>
        <v/>
      </c>
      <c r="L152">
        <f>IF($A152="","",IF(Wages!$G155="",0,Wages!$G155))</f>
        <v/>
      </c>
      <c r="M152">
        <f>IF($A152="","",Wages!$J155)</f>
        <v/>
      </c>
      <c r="N152">
        <f>IF($A152="","",Wages!$D155)</f>
        <v/>
      </c>
      <c r="P152">
        <f>IF(OR(Shares!$B155="",Shares!$C155=""),"",Shares!$C155)</f>
        <v/>
      </c>
      <c r="Q152">
        <f>IF($P152="","",Shares!$B155)</f>
        <v/>
      </c>
      <c r="R152">
        <f>IF($P152="","",IFERROR(INDEX(WageParty,MATCH($Q152,WageIds,0)),""))</f>
        <v/>
      </c>
      <c r="S152">
        <f>IF($P152="","",IFERROR(INDEX($F$6:$F$2005,MATCH($Q152,WageIds,0)),""))</f>
        <v/>
      </c>
      <c r="T152">
        <f>IF(OR($P152="",$S152="",$S152="نامعتبر"),"",LEFT($S152,4)&amp;MID($S152,6,2)&amp;RIGHT($S152,2)&amp;"0000"&amp;"|"&amp;"2"&amp;RIGHT("00000"&amp;147,5))</f>
        <v/>
      </c>
      <c r="U152">
        <f>IF($T152="","",COUNTIFS(LdAParty,$P152,LdAType,1,LdAKey,"&lt;"&amp;$T152)+COUNTIFS(LdBMember,$P152,LdBKey,"&lt;"&amp;$T152)+COUNTIFS(LdCParty,$P152,LdCKey,"&lt;"&amp;$T152)+1)</f>
        <v/>
      </c>
      <c r="V152">
        <f>IF($U152="","",$P152&amp;"|"&amp;RIGHT("000000"&amp;$U152,6))</f>
        <v/>
      </c>
      <c r="W152">
        <f>IF($T152="","",COUNTIFS(LdBGroup,$R152,LdBKey,"&lt;"&amp;$T152)+1)</f>
        <v/>
      </c>
      <c r="X152">
        <f>IF($W152="","",$R152&amp;"|"&amp;RIGHT("000000"&amp;$W152,6))</f>
        <v/>
      </c>
      <c r="Y152">
        <f>IF($P152="","",IF(Shares!$E155="",0,Shares!$E155))</f>
        <v/>
      </c>
      <c r="Z152">
        <f>IF($P152="","",Shares!$H155)</f>
        <v/>
      </c>
      <c r="AE152">
        <f>IF(OR(Sync!$S152="",Sync!$P152=""),"",Sync!$S152)</f>
        <v/>
      </c>
      <c r="AF152">
        <f>IF($AE152="","",IF(ISNUMBER(Sync!$P152),IF(AND(Sync!$P152&gt;=10000101,Sync!$P152&lt;=99991231),INT(Sync!$P152/10000),""),IFERROR(VALUE(TRIM(LEFT(Sync!$P152,FIND("/",Sync!$P152)-1))),"")))</f>
        <v/>
      </c>
      <c r="AG152">
        <f>IF(OR($AE152="",$AF152=""),"",IF(ISNUMBER(Sync!$P152),INT(MOD(Sync!$P152,10000)/100),IFERROR(VALUE(TRIM(LEFT(MID(Sync!$P152,FIND("/",Sync!$P152)+1,20),FIND("/",MID(Sync!$P152,FIND("/",Sync!$P152)+1,20))-1))),"")))</f>
        <v/>
      </c>
      <c r="AH152">
        <f>IF(OR($AE152="",$AF152=""),"",IF(ISNUMBER(Sync!$P152),MOD(Sync!$P152,100),IFERROR(VALUE(TRIM(MID(MID(Sync!$P152,FIND("/",Sync!$P152)+1,20),FIND("/",MID(Sync!$P152,FIND("/",Sync!$P152)+1,20))+1,20))),"")))</f>
        <v/>
      </c>
      <c r="AI152">
        <f>IF($AE152="","",IF(OR($AF152="",$AG152="",$AH152="",$AF152&lt;1300,$AF152&gt;1500,$AG152&lt;1,$AG152&gt;12,$AH152&lt;1,$AH152&gt;31),"نامعتبر",RIGHT("0000"&amp;$AF152,4)&amp;"/"&amp;RIGHT("00"&amp;$AG152,2)&amp;"/"&amp;RIGHT("00"&amp;$AH152,2)))</f>
        <v/>
      </c>
      <c r="AJ152">
        <f>IF($AE152="","",IF(Sync!$Q152="","0000",IF(AND(ISNUMBER(Sync!$Q152),Sync!$Q152&gt;=0,Sync!$Q152&lt;1),RIGHT("00"&amp;HOUR(Sync!$Q152),2)&amp;RIGHT("00"&amp;MINUTE(Sync!$Q152),2),IFERROR(RIGHT("00"&amp;VALUE(LEFT(Sync!$Q152,FIND(":",Sync!$Q152)-1)),2)&amp;RIGHT("00"&amp;VALUE(MID(Sync!$Q152,FIND(":",Sync!$Q152)+1,2)),2),"0000"))))</f>
        <v/>
      </c>
      <c r="AK152">
        <f>IF(OR($AE152="",$AI152="",$AI152="نامعتبر"),"",LEFT($AI152,4)&amp;MID($AI152,6,2)&amp;RIGHT($AI152,2)&amp;$AJ152&amp;"|"&amp;"3"&amp;RIGHT("00000"&amp;147,5))</f>
        <v/>
      </c>
      <c r="AL152">
        <f>IF($AK152="","",COUNTIFS(LdAParty,$AE152,LdAType,1,LdAKey,"&lt;"&amp;$AK152)+COUNTIFS(LdBMember,$AE152,LdBKey,"&lt;"&amp;$AK152)+COUNTIFS(LdCParty,$AE152,LdCKey,"&lt;"&amp;$AK152)+1)</f>
        <v/>
      </c>
      <c r="AM152">
        <f>IF($AL152="","",$AE152&amp;"|"&amp;RIGHT("000000"&amp;$AL152,6))</f>
        <v/>
      </c>
      <c r="AN152">
        <f>IF($AE152="","",IF(Sync!$W152="",0,Sync!$W152))</f>
        <v/>
      </c>
      <c r="AO152">
        <f>IF($AE152="","",IF(Sync!$X152="",0,Sync!$X152))</f>
        <v/>
      </c>
      <c r="AP152">
        <f>IF($AE152="","",Sync!$R152)</f>
        <v/>
      </c>
      <c r="AQ152">
        <f>IF($AE152="","",Sync!$Y152)</f>
        <v/>
      </c>
    </row>
    <row r="153">
      <c r="A153">
        <f>IF(OR(Wages!$B156="",Wages!$E156=""),"",Wages!$E156)</f>
        <v/>
      </c>
      <c r="B153">
        <f>IF($A153="","",IF(Wages!$C156="دستمزد گروهی",2,1))</f>
        <v/>
      </c>
      <c r="C153">
        <f>IF($A153="","",IF(ISNUMBER(Wages!$B156),IF(AND(Wages!$B156&gt;=10000101,Wages!$B156&lt;=99991231),INT(Wages!$B156/10000),""),IFERROR(VALUE(TRIM(LEFT(Wages!$B156,FIND("/",Wages!$B156)-1))),"")))</f>
        <v/>
      </c>
      <c r="D153">
        <f>IF(OR($A153="",$C153=""),"",IF(ISNUMBER(Wages!$B156),INT(MOD(Wages!$B156,10000)/100),IFERROR(VALUE(TRIM(LEFT(MID(Wages!$B156,FIND("/",Wages!$B156)+1,20),FIND("/",MID(Wages!$B156,FIND("/",Wages!$B156)+1,20))-1))),"")))</f>
        <v/>
      </c>
      <c r="E153">
        <f>IF(OR($A153="",$C153=""),"",IF(ISNUMBER(Wages!$B156),MOD(Wages!$B156,100),IFERROR(VALUE(TRIM(MID(MID(Wages!$B156,FIND("/",Wages!$B156)+1,20),FIND("/",MID(Wages!$B156,FIND("/",Wages!$B156)+1,20))+1,20))),"")))</f>
        <v/>
      </c>
      <c r="F153">
        <f>IF($A153="","",IF(OR($C153="",$D153="",$E153="",$C153&lt;1300,$C153&gt;1500,$D153&lt;1,$D153&gt;12,$E153&lt;1,$E153&gt;31),"نامعتبر",RIGHT("0000"&amp;$C153,4)&amp;"/"&amp;RIGHT("00"&amp;$D153,2)&amp;"/"&amp;RIGHT("00"&amp;$E153,2)))</f>
        <v/>
      </c>
      <c r="G153">
        <f>IF(OR($A153="",$F153="",$F153="نامعتبر"),"",LEFT($F153,4)&amp;MID($F153,6,2)&amp;RIGHT($F153,2)&amp;"0000"&amp;"|"&amp;"1"&amp;RIGHT("00000"&amp;148,5))</f>
        <v/>
      </c>
      <c r="H153">
        <f>IF(OR($B153&lt;&gt;1,$G153=""),"",COUNTIFS(LdAParty,$A153,LdAType,1,LdAKey,"&lt;"&amp;$G153)+COUNTIFS(LdBMember,$A153,LdBKey,"&lt;"&amp;$G153)+COUNTIFS(LdCParty,$A153,LdCKey,"&lt;"&amp;$G153)+1)</f>
        <v/>
      </c>
      <c r="I153">
        <f>IF($H153="","",$A153&amp;"|"&amp;RIGHT("000000"&amp;$H153,6))</f>
        <v/>
      </c>
      <c r="J153">
        <f>IF(OR($B153&lt;&gt;2,$G153=""),"",COUNTIFS(LdAParty,$A153,LdAType,2,LdAKey,"&lt;"&amp;$G153)+1)</f>
        <v/>
      </c>
      <c r="K153">
        <f>IF($J153="","",$A153&amp;"|"&amp;RIGHT("000000"&amp;$J153,6))</f>
        <v/>
      </c>
      <c r="L153">
        <f>IF($A153="","",IF(Wages!$G156="",0,Wages!$G156))</f>
        <v/>
      </c>
      <c r="M153">
        <f>IF($A153="","",Wages!$J156)</f>
        <v/>
      </c>
      <c r="N153">
        <f>IF($A153="","",Wages!$D156)</f>
        <v/>
      </c>
      <c r="P153">
        <f>IF(OR(Shares!$B156="",Shares!$C156=""),"",Shares!$C156)</f>
        <v/>
      </c>
      <c r="Q153">
        <f>IF($P153="","",Shares!$B156)</f>
        <v/>
      </c>
      <c r="R153">
        <f>IF($P153="","",IFERROR(INDEX(WageParty,MATCH($Q153,WageIds,0)),""))</f>
        <v/>
      </c>
      <c r="S153">
        <f>IF($P153="","",IFERROR(INDEX($F$6:$F$2005,MATCH($Q153,WageIds,0)),""))</f>
        <v/>
      </c>
      <c r="T153">
        <f>IF(OR($P153="",$S153="",$S153="نامعتبر"),"",LEFT($S153,4)&amp;MID($S153,6,2)&amp;RIGHT($S153,2)&amp;"0000"&amp;"|"&amp;"2"&amp;RIGHT("00000"&amp;148,5))</f>
        <v/>
      </c>
      <c r="U153">
        <f>IF($T153="","",COUNTIFS(LdAParty,$P153,LdAType,1,LdAKey,"&lt;"&amp;$T153)+COUNTIFS(LdBMember,$P153,LdBKey,"&lt;"&amp;$T153)+COUNTIFS(LdCParty,$P153,LdCKey,"&lt;"&amp;$T153)+1)</f>
        <v/>
      </c>
      <c r="V153">
        <f>IF($U153="","",$P153&amp;"|"&amp;RIGHT("000000"&amp;$U153,6))</f>
        <v/>
      </c>
      <c r="W153">
        <f>IF($T153="","",COUNTIFS(LdBGroup,$R153,LdBKey,"&lt;"&amp;$T153)+1)</f>
        <v/>
      </c>
      <c r="X153">
        <f>IF($W153="","",$R153&amp;"|"&amp;RIGHT("000000"&amp;$W153,6))</f>
        <v/>
      </c>
      <c r="Y153">
        <f>IF($P153="","",IF(Shares!$E156="",0,Shares!$E156))</f>
        <v/>
      </c>
      <c r="Z153">
        <f>IF($P153="","",Shares!$H156)</f>
        <v/>
      </c>
      <c r="AE153">
        <f>IF(OR(Sync!$S153="",Sync!$P153=""),"",Sync!$S153)</f>
        <v/>
      </c>
      <c r="AF153">
        <f>IF($AE153="","",IF(ISNUMBER(Sync!$P153),IF(AND(Sync!$P153&gt;=10000101,Sync!$P153&lt;=99991231),INT(Sync!$P153/10000),""),IFERROR(VALUE(TRIM(LEFT(Sync!$P153,FIND("/",Sync!$P153)-1))),"")))</f>
        <v/>
      </c>
      <c r="AG153">
        <f>IF(OR($AE153="",$AF153=""),"",IF(ISNUMBER(Sync!$P153),INT(MOD(Sync!$P153,10000)/100),IFERROR(VALUE(TRIM(LEFT(MID(Sync!$P153,FIND("/",Sync!$P153)+1,20),FIND("/",MID(Sync!$P153,FIND("/",Sync!$P153)+1,20))-1))),"")))</f>
        <v/>
      </c>
      <c r="AH153">
        <f>IF(OR($AE153="",$AF153=""),"",IF(ISNUMBER(Sync!$P153),MOD(Sync!$P153,100),IFERROR(VALUE(TRIM(MID(MID(Sync!$P153,FIND("/",Sync!$P153)+1,20),FIND("/",MID(Sync!$P153,FIND("/",Sync!$P153)+1,20))+1,20))),"")))</f>
        <v/>
      </c>
      <c r="AI153">
        <f>IF($AE153="","",IF(OR($AF153="",$AG153="",$AH153="",$AF153&lt;1300,$AF153&gt;1500,$AG153&lt;1,$AG153&gt;12,$AH153&lt;1,$AH153&gt;31),"نامعتبر",RIGHT("0000"&amp;$AF153,4)&amp;"/"&amp;RIGHT("00"&amp;$AG153,2)&amp;"/"&amp;RIGHT("00"&amp;$AH153,2)))</f>
        <v/>
      </c>
      <c r="AJ153">
        <f>IF($AE153="","",IF(Sync!$Q153="","0000",IF(AND(ISNUMBER(Sync!$Q153),Sync!$Q153&gt;=0,Sync!$Q153&lt;1),RIGHT("00"&amp;HOUR(Sync!$Q153),2)&amp;RIGHT("00"&amp;MINUTE(Sync!$Q153),2),IFERROR(RIGHT("00"&amp;VALUE(LEFT(Sync!$Q153,FIND(":",Sync!$Q153)-1)),2)&amp;RIGHT("00"&amp;VALUE(MID(Sync!$Q153,FIND(":",Sync!$Q153)+1,2)),2),"0000"))))</f>
        <v/>
      </c>
      <c r="AK153">
        <f>IF(OR($AE153="",$AI153="",$AI153="نامعتبر"),"",LEFT($AI153,4)&amp;MID($AI153,6,2)&amp;RIGHT($AI153,2)&amp;$AJ153&amp;"|"&amp;"3"&amp;RIGHT("00000"&amp;148,5))</f>
        <v/>
      </c>
      <c r="AL153">
        <f>IF($AK153="","",COUNTIFS(LdAParty,$AE153,LdAType,1,LdAKey,"&lt;"&amp;$AK153)+COUNTIFS(LdBMember,$AE153,LdBKey,"&lt;"&amp;$AK153)+COUNTIFS(LdCParty,$AE153,LdCKey,"&lt;"&amp;$AK153)+1)</f>
        <v/>
      </c>
      <c r="AM153">
        <f>IF($AL153="","",$AE153&amp;"|"&amp;RIGHT("000000"&amp;$AL153,6))</f>
        <v/>
      </c>
      <c r="AN153">
        <f>IF($AE153="","",IF(Sync!$W153="",0,Sync!$W153))</f>
        <v/>
      </c>
      <c r="AO153">
        <f>IF($AE153="","",IF(Sync!$X153="",0,Sync!$X153))</f>
        <v/>
      </c>
      <c r="AP153">
        <f>IF($AE153="","",Sync!$R153)</f>
        <v/>
      </c>
      <c r="AQ153">
        <f>IF($AE153="","",Sync!$Y153)</f>
        <v/>
      </c>
    </row>
    <row r="154">
      <c r="A154">
        <f>IF(OR(Wages!$B157="",Wages!$E157=""),"",Wages!$E157)</f>
        <v/>
      </c>
      <c r="B154">
        <f>IF($A154="","",IF(Wages!$C157="دستمزد گروهی",2,1))</f>
        <v/>
      </c>
      <c r="C154">
        <f>IF($A154="","",IF(ISNUMBER(Wages!$B157),IF(AND(Wages!$B157&gt;=10000101,Wages!$B157&lt;=99991231),INT(Wages!$B157/10000),""),IFERROR(VALUE(TRIM(LEFT(Wages!$B157,FIND("/",Wages!$B157)-1))),"")))</f>
        <v/>
      </c>
      <c r="D154">
        <f>IF(OR($A154="",$C154=""),"",IF(ISNUMBER(Wages!$B157),INT(MOD(Wages!$B157,10000)/100),IFERROR(VALUE(TRIM(LEFT(MID(Wages!$B157,FIND("/",Wages!$B157)+1,20),FIND("/",MID(Wages!$B157,FIND("/",Wages!$B157)+1,20))-1))),"")))</f>
        <v/>
      </c>
      <c r="E154">
        <f>IF(OR($A154="",$C154=""),"",IF(ISNUMBER(Wages!$B157),MOD(Wages!$B157,100),IFERROR(VALUE(TRIM(MID(MID(Wages!$B157,FIND("/",Wages!$B157)+1,20),FIND("/",MID(Wages!$B157,FIND("/",Wages!$B157)+1,20))+1,20))),"")))</f>
        <v/>
      </c>
      <c r="F154">
        <f>IF($A154="","",IF(OR($C154="",$D154="",$E154="",$C154&lt;1300,$C154&gt;1500,$D154&lt;1,$D154&gt;12,$E154&lt;1,$E154&gt;31),"نامعتبر",RIGHT("0000"&amp;$C154,4)&amp;"/"&amp;RIGHT("00"&amp;$D154,2)&amp;"/"&amp;RIGHT("00"&amp;$E154,2)))</f>
        <v/>
      </c>
      <c r="G154">
        <f>IF(OR($A154="",$F154="",$F154="نامعتبر"),"",LEFT($F154,4)&amp;MID($F154,6,2)&amp;RIGHT($F154,2)&amp;"0000"&amp;"|"&amp;"1"&amp;RIGHT("00000"&amp;149,5))</f>
        <v/>
      </c>
      <c r="H154">
        <f>IF(OR($B154&lt;&gt;1,$G154=""),"",COUNTIFS(LdAParty,$A154,LdAType,1,LdAKey,"&lt;"&amp;$G154)+COUNTIFS(LdBMember,$A154,LdBKey,"&lt;"&amp;$G154)+COUNTIFS(LdCParty,$A154,LdCKey,"&lt;"&amp;$G154)+1)</f>
        <v/>
      </c>
      <c r="I154">
        <f>IF($H154="","",$A154&amp;"|"&amp;RIGHT("000000"&amp;$H154,6))</f>
        <v/>
      </c>
      <c r="J154">
        <f>IF(OR($B154&lt;&gt;2,$G154=""),"",COUNTIFS(LdAParty,$A154,LdAType,2,LdAKey,"&lt;"&amp;$G154)+1)</f>
        <v/>
      </c>
      <c r="K154">
        <f>IF($J154="","",$A154&amp;"|"&amp;RIGHT("000000"&amp;$J154,6))</f>
        <v/>
      </c>
      <c r="L154">
        <f>IF($A154="","",IF(Wages!$G157="",0,Wages!$G157))</f>
        <v/>
      </c>
      <c r="M154">
        <f>IF($A154="","",Wages!$J157)</f>
        <v/>
      </c>
      <c r="N154">
        <f>IF($A154="","",Wages!$D157)</f>
        <v/>
      </c>
      <c r="P154">
        <f>IF(OR(Shares!$B157="",Shares!$C157=""),"",Shares!$C157)</f>
        <v/>
      </c>
      <c r="Q154">
        <f>IF($P154="","",Shares!$B157)</f>
        <v/>
      </c>
      <c r="R154">
        <f>IF($P154="","",IFERROR(INDEX(WageParty,MATCH($Q154,WageIds,0)),""))</f>
        <v/>
      </c>
      <c r="S154">
        <f>IF($P154="","",IFERROR(INDEX($F$6:$F$2005,MATCH($Q154,WageIds,0)),""))</f>
        <v/>
      </c>
      <c r="T154">
        <f>IF(OR($P154="",$S154="",$S154="نامعتبر"),"",LEFT($S154,4)&amp;MID($S154,6,2)&amp;RIGHT($S154,2)&amp;"0000"&amp;"|"&amp;"2"&amp;RIGHT("00000"&amp;149,5))</f>
        <v/>
      </c>
      <c r="U154">
        <f>IF($T154="","",COUNTIFS(LdAParty,$P154,LdAType,1,LdAKey,"&lt;"&amp;$T154)+COUNTIFS(LdBMember,$P154,LdBKey,"&lt;"&amp;$T154)+COUNTIFS(LdCParty,$P154,LdCKey,"&lt;"&amp;$T154)+1)</f>
        <v/>
      </c>
      <c r="V154">
        <f>IF($U154="","",$P154&amp;"|"&amp;RIGHT("000000"&amp;$U154,6))</f>
        <v/>
      </c>
      <c r="W154">
        <f>IF($T154="","",COUNTIFS(LdBGroup,$R154,LdBKey,"&lt;"&amp;$T154)+1)</f>
        <v/>
      </c>
      <c r="X154">
        <f>IF($W154="","",$R154&amp;"|"&amp;RIGHT("000000"&amp;$W154,6))</f>
        <v/>
      </c>
      <c r="Y154">
        <f>IF($P154="","",IF(Shares!$E157="",0,Shares!$E157))</f>
        <v/>
      </c>
      <c r="Z154">
        <f>IF($P154="","",Shares!$H157)</f>
        <v/>
      </c>
      <c r="AE154">
        <f>IF(OR(Sync!$S154="",Sync!$P154=""),"",Sync!$S154)</f>
        <v/>
      </c>
      <c r="AF154">
        <f>IF($AE154="","",IF(ISNUMBER(Sync!$P154),IF(AND(Sync!$P154&gt;=10000101,Sync!$P154&lt;=99991231),INT(Sync!$P154/10000),""),IFERROR(VALUE(TRIM(LEFT(Sync!$P154,FIND("/",Sync!$P154)-1))),"")))</f>
        <v/>
      </c>
      <c r="AG154">
        <f>IF(OR($AE154="",$AF154=""),"",IF(ISNUMBER(Sync!$P154),INT(MOD(Sync!$P154,10000)/100),IFERROR(VALUE(TRIM(LEFT(MID(Sync!$P154,FIND("/",Sync!$P154)+1,20),FIND("/",MID(Sync!$P154,FIND("/",Sync!$P154)+1,20))-1))),"")))</f>
        <v/>
      </c>
      <c r="AH154">
        <f>IF(OR($AE154="",$AF154=""),"",IF(ISNUMBER(Sync!$P154),MOD(Sync!$P154,100),IFERROR(VALUE(TRIM(MID(MID(Sync!$P154,FIND("/",Sync!$P154)+1,20),FIND("/",MID(Sync!$P154,FIND("/",Sync!$P154)+1,20))+1,20))),"")))</f>
        <v/>
      </c>
      <c r="AI154">
        <f>IF($AE154="","",IF(OR($AF154="",$AG154="",$AH154="",$AF154&lt;1300,$AF154&gt;1500,$AG154&lt;1,$AG154&gt;12,$AH154&lt;1,$AH154&gt;31),"نامعتبر",RIGHT("0000"&amp;$AF154,4)&amp;"/"&amp;RIGHT("00"&amp;$AG154,2)&amp;"/"&amp;RIGHT("00"&amp;$AH154,2)))</f>
        <v/>
      </c>
      <c r="AJ154">
        <f>IF($AE154="","",IF(Sync!$Q154="","0000",IF(AND(ISNUMBER(Sync!$Q154),Sync!$Q154&gt;=0,Sync!$Q154&lt;1),RIGHT("00"&amp;HOUR(Sync!$Q154),2)&amp;RIGHT("00"&amp;MINUTE(Sync!$Q154),2),IFERROR(RIGHT("00"&amp;VALUE(LEFT(Sync!$Q154,FIND(":",Sync!$Q154)-1)),2)&amp;RIGHT("00"&amp;VALUE(MID(Sync!$Q154,FIND(":",Sync!$Q154)+1,2)),2),"0000"))))</f>
        <v/>
      </c>
      <c r="AK154">
        <f>IF(OR($AE154="",$AI154="",$AI154="نامعتبر"),"",LEFT($AI154,4)&amp;MID($AI154,6,2)&amp;RIGHT($AI154,2)&amp;$AJ154&amp;"|"&amp;"3"&amp;RIGHT("00000"&amp;149,5))</f>
        <v/>
      </c>
      <c r="AL154">
        <f>IF($AK154="","",COUNTIFS(LdAParty,$AE154,LdAType,1,LdAKey,"&lt;"&amp;$AK154)+COUNTIFS(LdBMember,$AE154,LdBKey,"&lt;"&amp;$AK154)+COUNTIFS(LdCParty,$AE154,LdCKey,"&lt;"&amp;$AK154)+1)</f>
        <v/>
      </c>
      <c r="AM154">
        <f>IF($AL154="","",$AE154&amp;"|"&amp;RIGHT("000000"&amp;$AL154,6))</f>
        <v/>
      </c>
      <c r="AN154">
        <f>IF($AE154="","",IF(Sync!$W154="",0,Sync!$W154))</f>
        <v/>
      </c>
      <c r="AO154">
        <f>IF($AE154="","",IF(Sync!$X154="",0,Sync!$X154))</f>
        <v/>
      </c>
      <c r="AP154">
        <f>IF($AE154="","",Sync!$R154)</f>
        <v/>
      </c>
      <c r="AQ154">
        <f>IF($AE154="","",Sync!$Y154)</f>
        <v/>
      </c>
    </row>
    <row r="155">
      <c r="A155">
        <f>IF(OR(Wages!$B158="",Wages!$E158=""),"",Wages!$E158)</f>
        <v/>
      </c>
      <c r="B155">
        <f>IF($A155="","",IF(Wages!$C158="دستمزد گروهی",2,1))</f>
        <v/>
      </c>
      <c r="C155">
        <f>IF($A155="","",IF(ISNUMBER(Wages!$B158),IF(AND(Wages!$B158&gt;=10000101,Wages!$B158&lt;=99991231),INT(Wages!$B158/10000),""),IFERROR(VALUE(TRIM(LEFT(Wages!$B158,FIND("/",Wages!$B158)-1))),"")))</f>
        <v/>
      </c>
      <c r="D155">
        <f>IF(OR($A155="",$C155=""),"",IF(ISNUMBER(Wages!$B158),INT(MOD(Wages!$B158,10000)/100),IFERROR(VALUE(TRIM(LEFT(MID(Wages!$B158,FIND("/",Wages!$B158)+1,20),FIND("/",MID(Wages!$B158,FIND("/",Wages!$B158)+1,20))-1))),"")))</f>
        <v/>
      </c>
      <c r="E155">
        <f>IF(OR($A155="",$C155=""),"",IF(ISNUMBER(Wages!$B158),MOD(Wages!$B158,100),IFERROR(VALUE(TRIM(MID(MID(Wages!$B158,FIND("/",Wages!$B158)+1,20),FIND("/",MID(Wages!$B158,FIND("/",Wages!$B158)+1,20))+1,20))),"")))</f>
        <v/>
      </c>
      <c r="F155">
        <f>IF($A155="","",IF(OR($C155="",$D155="",$E155="",$C155&lt;1300,$C155&gt;1500,$D155&lt;1,$D155&gt;12,$E155&lt;1,$E155&gt;31),"نامعتبر",RIGHT("0000"&amp;$C155,4)&amp;"/"&amp;RIGHT("00"&amp;$D155,2)&amp;"/"&amp;RIGHT("00"&amp;$E155,2)))</f>
        <v/>
      </c>
      <c r="G155">
        <f>IF(OR($A155="",$F155="",$F155="نامعتبر"),"",LEFT($F155,4)&amp;MID($F155,6,2)&amp;RIGHT($F155,2)&amp;"0000"&amp;"|"&amp;"1"&amp;RIGHT("00000"&amp;150,5))</f>
        <v/>
      </c>
      <c r="H155">
        <f>IF(OR($B155&lt;&gt;1,$G155=""),"",COUNTIFS(LdAParty,$A155,LdAType,1,LdAKey,"&lt;"&amp;$G155)+COUNTIFS(LdBMember,$A155,LdBKey,"&lt;"&amp;$G155)+COUNTIFS(LdCParty,$A155,LdCKey,"&lt;"&amp;$G155)+1)</f>
        <v/>
      </c>
      <c r="I155">
        <f>IF($H155="","",$A155&amp;"|"&amp;RIGHT("000000"&amp;$H155,6))</f>
        <v/>
      </c>
      <c r="J155">
        <f>IF(OR($B155&lt;&gt;2,$G155=""),"",COUNTIFS(LdAParty,$A155,LdAType,2,LdAKey,"&lt;"&amp;$G155)+1)</f>
        <v/>
      </c>
      <c r="K155">
        <f>IF($J155="","",$A155&amp;"|"&amp;RIGHT("000000"&amp;$J155,6))</f>
        <v/>
      </c>
      <c r="L155">
        <f>IF($A155="","",IF(Wages!$G158="",0,Wages!$G158))</f>
        <v/>
      </c>
      <c r="M155">
        <f>IF($A155="","",Wages!$J158)</f>
        <v/>
      </c>
      <c r="N155">
        <f>IF($A155="","",Wages!$D158)</f>
        <v/>
      </c>
      <c r="P155">
        <f>IF(OR(Shares!$B158="",Shares!$C158=""),"",Shares!$C158)</f>
        <v/>
      </c>
      <c r="Q155">
        <f>IF($P155="","",Shares!$B158)</f>
        <v/>
      </c>
      <c r="R155">
        <f>IF($P155="","",IFERROR(INDEX(WageParty,MATCH($Q155,WageIds,0)),""))</f>
        <v/>
      </c>
      <c r="S155">
        <f>IF($P155="","",IFERROR(INDEX($F$6:$F$2005,MATCH($Q155,WageIds,0)),""))</f>
        <v/>
      </c>
      <c r="T155">
        <f>IF(OR($P155="",$S155="",$S155="نامعتبر"),"",LEFT($S155,4)&amp;MID($S155,6,2)&amp;RIGHT($S155,2)&amp;"0000"&amp;"|"&amp;"2"&amp;RIGHT("00000"&amp;150,5))</f>
        <v/>
      </c>
      <c r="U155">
        <f>IF($T155="","",COUNTIFS(LdAParty,$P155,LdAType,1,LdAKey,"&lt;"&amp;$T155)+COUNTIFS(LdBMember,$P155,LdBKey,"&lt;"&amp;$T155)+COUNTIFS(LdCParty,$P155,LdCKey,"&lt;"&amp;$T155)+1)</f>
        <v/>
      </c>
      <c r="V155">
        <f>IF($U155="","",$P155&amp;"|"&amp;RIGHT("000000"&amp;$U155,6))</f>
        <v/>
      </c>
      <c r="W155">
        <f>IF($T155="","",COUNTIFS(LdBGroup,$R155,LdBKey,"&lt;"&amp;$T155)+1)</f>
        <v/>
      </c>
      <c r="X155">
        <f>IF($W155="","",$R155&amp;"|"&amp;RIGHT("000000"&amp;$W155,6))</f>
        <v/>
      </c>
      <c r="Y155">
        <f>IF($P155="","",IF(Shares!$E158="",0,Shares!$E158))</f>
        <v/>
      </c>
      <c r="Z155">
        <f>IF($P155="","",Shares!$H158)</f>
        <v/>
      </c>
      <c r="AE155">
        <f>IF(OR(Sync!$S155="",Sync!$P155=""),"",Sync!$S155)</f>
        <v/>
      </c>
      <c r="AF155">
        <f>IF($AE155="","",IF(ISNUMBER(Sync!$P155),IF(AND(Sync!$P155&gt;=10000101,Sync!$P155&lt;=99991231),INT(Sync!$P155/10000),""),IFERROR(VALUE(TRIM(LEFT(Sync!$P155,FIND("/",Sync!$P155)-1))),"")))</f>
        <v/>
      </c>
      <c r="AG155">
        <f>IF(OR($AE155="",$AF155=""),"",IF(ISNUMBER(Sync!$P155),INT(MOD(Sync!$P155,10000)/100),IFERROR(VALUE(TRIM(LEFT(MID(Sync!$P155,FIND("/",Sync!$P155)+1,20),FIND("/",MID(Sync!$P155,FIND("/",Sync!$P155)+1,20))-1))),"")))</f>
        <v/>
      </c>
      <c r="AH155">
        <f>IF(OR($AE155="",$AF155=""),"",IF(ISNUMBER(Sync!$P155),MOD(Sync!$P155,100),IFERROR(VALUE(TRIM(MID(MID(Sync!$P155,FIND("/",Sync!$P155)+1,20),FIND("/",MID(Sync!$P155,FIND("/",Sync!$P155)+1,20))+1,20))),"")))</f>
        <v/>
      </c>
      <c r="AI155">
        <f>IF($AE155="","",IF(OR($AF155="",$AG155="",$AH155="",$AF155&lt;1300,$AF155&gt;1500,$AG155&lt;1,$AG155&gt;12,$AH155&lt;1,$AH155&gt;31),"نامعتبر",RIGHT("0000"&amp;$AF155,4)&amp;"/"&amp;RIGHT("00"&amp;$AG155,2)&amp;"/"&amp;RIGHT("00"&amp;$AH155,2)))</f>
        <v/>
      </c>
      <c r="AJ155">
        <f>IF($AE155="","",IF(Sync!$Q155="","0000",IF(AND(ISNUMBER(Sync!$Q155),Sync!$Q155&gt;=0,Sync!$Q155&lt;1),RIGHT("00"&amp;HOUR(Sync!$Q155),2)&amp;RIGHT("00"&amp;MINUTE(Sync!$Q155),2),IFERROR(RIGHT("00"&amp;VALUE(LEFT(Sync!$Q155,FIND(":",Sync!$Q155)-1)),2)&amp;RIGHT("00"&amp;VALUE(MID(Sync!$Q155,FIND(":",Sync!$Q155)+1,2)),2),"0000"))))</f>
        <v/>
      </c>
      <c r="AK155">
        <f>IF(OR($AE155="",$AI155="",$AI155="نامعتبر"),"",LEFT($AI155,4)&amp;MID($AI155,6,2)&amp;RIGHT($AI155,2)&amp;$AJ155&amp;"|"&amp;"3"&amp;RIGHT("00000"&amp;150,5))</f>
        <v/>
      </c>
      <c r="AL155">
        <f>IF($AK155="","",COUNTIFS(LdAParty,$AE155,LdAType,1,LdAKey,"&lt;"&amp;$AK155)+COUNTIFS(LdBMember,$AE155,LdBKey,"&lt;"&amp;$AK155)+COUNTIFS(LdCParty,$AE155,LdCKey,"&lt;"&amp;$AK155)+1)</f>
        <v/>
      </c>
      <c r="AM155">
        <f>IF($AL155="","",$AE155&amp;"|"&amp;RIGHT("000000"&amp;$AL155,6))</f>
        <v/>
      </c>
      <c r="AN155">
        <f>IF($AE155="","",IF(Sync!$W155="",0,Sync!$W155))</f>
        <v/>
      </c>
      <c r="AO155">
        <f>IF($AE155="","",IF(Sync!$X155="",0,Sync!$X155))</f>
        <v/>
      </c>
      <c r="AP155">
        <f>IF($AE155="","",Sync!$R155)</f>
        <v/>
      </c>
      <c r="AQ155">
        <f>IF($AE155="","",Sync!$Y155)</f>
        <v/>
      </c>
    </row>
    <row r="156">
      <c r="A156">
        <f>IF(OR(Wages!$B159="",Wages!$E159=""),"",Wages!$E159)</f>
        <v/>
      </c>
      <c r="B156">
        <f>IF($A156="","",IF(Wages!$C159="دستمزد گروهی",2,1))</f>
        <v/>
      </c>
      <c r="C156">
        <f>IF($A156="","",IF(ISNUMBER(Wages!$B159),IF(AND(Wages!$B159&gt;=10000101,Wages!$B159&lt;=99991231),INT(Wages!$B159/10000),""),IFERROR(VALUE(TRIM(LEFT(Wages!$B159,FIND("/",Wages!$B159)-1))),"")))</f>
        <v/>
      </c>
      <c r="D156">
        <f>IF(OR($A156="",$C156=""),"",IF(ISNUMBER(Wages!$B159),INT(MOD(Wages!$B159,10000)/100),IFERROR(VALUE(TRIM(LEFT(MID(Wages!$B159,FIND("/",Wages!$B159)+1,20),FIND("/",MID(Wages!$B159,FIND("/",Wages!$B159)+1,20))-1))),"")))</f>
        <v/>
      </c>
      <c r="E156">
        <f>IF(OR($A156="",$C156=""),"",IF(ISNUMBER(Wages!$B159),MOD(Wages!$B159,100),IFERROR(VALUE(TRIM(MID(MID(Wages!$B159,FIND("/",Wages!$B159)+1,20),FIND("/",MID(Wages!$B159,FIND("/",Wages!$B159)+1,20))+1,20))),"")))</f>
        <v/>
      </c>
      <c r="F156">
        <f>IF($A156="","",IF(OR($C156="",$D156="",$E156="",$C156&lt;1300,$C156&gt;1500,$D156&lt;1,$D156&gt;12,$E156&lt;1,$E156&gt;31),"نامعتبر",RIGHT("0000"&amp;$C156,4)&amp;"/"&amp;RIGHT("00"&amp;$D156,2)&amp;"/"&amp;RIGHT("00"&amp;$E156,2)))</f>
        <v/>
      </c>
      <c r="G156">
        <f>IF(OR($A156="",$F156="",$F156="نامعتبر"),"",LEFT($F156,4)&amp;MID($F156,6,2)&amp;RIGHT($F156,2)&amp;"0000"&amp;"|"&amp;"1"&amp;RIGHT("00000"&amp;151,5))</f>
        <v/>
      </c>
      <c r="H156">
        <f>IF(OR($B156&lt;&gt;1,$G156=""),"",COUNTIFS(LdAParty,$A156,LdAType,1,LdAKey,"&lt;"&amp;$G156)+COUNTIFS(LdBMember,$A156,LdBKey,"&lt;"&amp;$G156)+COUNTIFS(LdCParty,$A156,LdCKey,"&lt;"&amp;$G156)+1)</f>
        <v/>
      </c>
      <c r="I156">
        <f>IF($H156="","",$A156&amp;"|"&amp;RIGHT("000000"&amp;$H156,6))</f>
        <v/>
      </c>
      <c r="J156">
        <f>IF(OR($B156&lt;&gt;2,$G156=""),"",COUNTIFS(LdAParty,$A156,LdAType,2,LdAKey,"&lt;"&amp;$G156)+1)</f>
        <v/>
      </c>
      <c r="K156">
        <f>IF($J156="","",$A156&amp;"|"&amp;RIGHT("000000"&amp;$J156,6))</f>
        <v/>
      </c>
      <c r="L156">
        <f>IF($A156="","",IF(Wages!$G159="",0,Wages!$G159))</f>
        <v/>
      </c>
      <c r="M156">
        <f>IF($A156="","",Wages!$J159)</f>
        <v/>
      </c>
      <c r="N156">
        <f>IF($A156="","",Wages!$D159)</f>
        <v/>
      </c>
      <c r="P156">
        <f>IF(OR(Shares!$B159="",Shares!$C159=""),"",Shares!$C159)</f>
        <v/>
      </c>
      <c r="Q156">
        <f>IF($P156="","",Shares!$B159)</f>
        <v/>
      </c>
      <c r="R156">
        <f>IF($P156="","",IFERROR(INDEX(WageParty,MATCH($Q156,WageIds,0)),""))</f>
        <v/>
      </c>
      <c r="S156">
        <f>IF($P156="","",IFERROR(INDEX($F$6:$F$2005,MATCH($Q156,WageIds,0)),""))</f>
        <v/>
      </c>
      <c r="T156">
        <f>IF(OR($P156="",$S156="",$S156="نامعتبر"),"",LEFT($S156,4)&amp;MID($S156,6,2)&amp;RIGHT($S156,2)&amp;"0000"&amp;"|"&amp;"2"&amp;RIGHT("00000"&amp;151,5))</f>
        <v/>
      </c>
      <c r="U156">
        <f>IF($T156="","",COUNTIFS(LdAParty,$P156,LdAType,1,LdAKey,"&lt;"&amp;$T156)+COUNTIFS(LdBMember,$P156,LdBKey,"&lt;"&amp;$T156)+COUNTIFS(LdCParty,$P156,LdCKey,"&lt;"&amp;$T156)+1)</f>
        <v/>
      </c>
      <c r="V156">
        <f>IF($U156="","",$P156&amp;"|"&amp;RIGHT("000000"&amp;$U156,6))</f>
        <v/>
      </c>
      <c r="W156">
        <f>IF($T156="","",COUNTIFS(LdBGroup,$R156,LdBKey,"&lt;"&amp;$T156)+1)</f>
        <v/>
      </c>
      <c r="X156">
        <f>IF($W156="","",$R156&amp;"|"&amp;RIGHT("000000"&amp;$W156,6))</f>
        <v/>
      </c>
      <c r="Y156">
        <f>IF($P156="","",IF(Shares!$E159="",0,Shares!$E159))</f>
        <v/>
      </c>
      <c r="Z156">
        <f>IF($P156="","",Shares!$H159)</f>
        <v/>
      </c>
      <c r="AE156">
        <f>IF(OR(Sync!$S156="",Sync!$P156=""),"",Sync!$S156)</f>
        <v/>
      </c>
      <c r="AF156">
        <f>IF($AE156="","",IF(ISNUMBER(Sync!$P156),IF(AND(Sync!$P156&gt;=10000101,Sync!$P156&lt;=99991231),INT(Sync!$P156/10000),""),IFERROR(VALUE(TRIM(LEFT(Sync!$P156,FIND("/",Sync!$P156)-1))),"")))</f>
        <v/>
      </c>
      <c r="AG156">
        <f>IF(OR($AE156="",$AF156=""),"",IF(ISNUMBER(Sync!$P156),INT(MOD(Sync!$P156,10000)/100),IFERROR(VALUE(TRIM(LEFT(MID(Sync!$P156,FIND("/",Sync!$P156)+1,20),FIND("/",MID(Sync!$P156,FIND("/",Sync!$P156)+1,20))-1))),"")))</f>
        <v/>
      </c>
      <c r="AH156">
        <f>IF(OR($AE156="",$AF156=""),"",IF(ISNUMBER(Sync!$P156),MOD(Sync!$P156,100),IFERROR(VALUE(TRIM(MID(MID(Sync!$P156,FIND("/",Sync!$P156)+1,20),FIND("/",MID(Sync!$P156,FIND("/",Sync!$P156)+1,20))+1,20))),"")))</f>
        <v/>
      </c>
      <c r="AI156">
        <f>IF($AE156="","",IF(OR($AF156="",$AG156="",$AH156="",$AF156&lt;1300,$AF156&gt;1500,$AG156&lt;1,$AG156&gt;12,$AH156&lt;1,$AH156&gt;31),"نامعتبر",RIGHT("0000"&amp;$AF156,4)&amp;"/"&amp;RIGHT("00"&amp;$AG156,2)&amp;"/"&amp;RIGHT("00"&amp;$AH156,2)))</f>
        <v/>
      </c>
      <c r="AJ156">
        <f>IF($AE156="","",IF(Sync!$Q156="","0000",IF(AND(ISNUMBER(Sync!$Q156),Sync!$Q156&gt;=0,Sync!$Q156&lt;1),RIGHT("00"&amp;HOUR(Sync!$Q156),2)&amp;RIGHT("00"&amp;MINUTE(Sync!$Q156),2),IFERROR(RIGHT("00"&amp;VALUE(LEFT(Sync!$Q156,FIND(":",Sync!$Q156)-1)),2)&amp;RIGHT("00"&amp;VALUE(MID(Sync!$Q156,FIND(":",Sync!$Q156)+1,2)),2),"0000"))))</f>
        <v/>
      </c>
      <c r="AK156">
        <f>IF(OR($AE156="",$AI156="",$AI156="نامعتبر"),"",LEFT($AI156,4)&amp;MID($AI156,6,2)&amp;RIGHT($AI156,2)&amp;$AJ156&amp;"|"&amp;"3"&amp;RIGHT("00000"&amp;151,5))</f>
        <v/>
      </c>
      <c r="AL156">
        <f>IF($AK156="","",COUNTIFS(LdAParty,$AE156,LdAType,1,LdAKey,"&lt;"&amp;$AK156)+COUNTIFS(LdBMember,$AE156,LdBKey,"&lt;"&amp;$AK156)+COUNTIFS(LdCParty,$AE156,LdCKey,"&lt;"&amp;$AK156)+1)</f>
        <v/>
      </c>
      <c r="AM156">
        <f>IF($AL156="","",$AE156&amp;"|"&amp;RIGHT("000000"&amp;$AL156,6))</f>
        <v/>
      </c>
      <c r="AN156">
        <f>IF($AE156="","",IF(Sync!$W156="",0,Sync!$W156))</f>
        <v/>
      </c>
      <c r="AO156">
        <f>IF($AE156="","",IF(Sync!$X156="",0,Sync!$X156))</f>
        <v/>
      </c>
      <c r="AP156">
        <f>IF($AE156="","",Sync!$R156)</f>
        <v/>
      </c>
      <c r="AQ156">
        <f>IF($AE156="","",Sync!$Y156)</f>
        <v/>
      </c>
    </row>
    <row r="157">
      <c r="A157">
        <f>IF(OR(Wages!$B160="",Wages!$E160=""),"",Wages!$E160)</f>
        <v/>
      </c>
      <c r="B157">
        <f>IF($A157="","",IF(Wages!$C160="دستمزد گروهی",2,1))</f>
        <v/>
      </c>
      <c r="C157">
        <f>IF($A157="","",IF(ISNUMBER(Wages!$B160),IF(AND(Wages!$B160&gt;=10000101,Wages!$B160&lt;=99991231),INT(Wages!$B160/10000),""),IFERROR(VALUE(TRIM(LEFT(Wages!$B160,FIND("/",Wages!$B160)-1))),"")))</f>
        <v/>
      </c>
      <c r="D157">
        <f>IF(OR($A157="",$C157=""),"",IF(ISNUMBER(Wages!$B160),INT(MOD(Wages!$B160,10000)/100),IFERROR(VALUE(TRIM(LEFT(MID(Wages!$B160,FIND("/",Wages!$B160)+1,20),FIND("/",MID(Wages!$B160,FIND("/",Wages!$B160)+1,20))-1))),"")))</f>
        <v/>
      </c>
      <c r="E157">
        <f>IF(OR($A157="",$C157=""),"",IF(ISNUMBER(Wages!$B160),MOD(Wages!$B160,100),IFERROR(VALUE(TRIM(MID(MID(Wages!$B160,FIND("/",Wages!$B160)+1,20),FIND("/",MID(Wages!$B160,FIND("/",Wages!$B160)+1,20))+1,20))),"")))</f>
        <v/>
      </c>
      <c r="F157">
        <f>IF($A157="","",IF(OR($C157="",$D157="",$E157="",$C157&lt;1300,$C157&gt;1500,$D157&lt;1,$D157&gt;12,$E157&lt;1,$E157&gt;31),"نامعتبر",RIGHT("0000"&amp;$C157,4)&amp;"/"&amp;RIGHT("00"&amp;$D157,2)&amp;"/"&amp;RIGHT("00"&amp;$E157,2)))</f>
        <v/>
      </c>
      <c r="G157">
        <f>IF(OR($A157="",$F157="",$F157="نامعتبر"),"",LEFT($F157,4)&amp;MID($F157,6,2)&amp;RIGHT($F157,2)&amp;"0000"&amp;"|"&amp;"1"&amp;RIGHT("00000"&amp;152,5))</f>
        <v/>
      </c>
      <c r="H157">
        <f>IF(OR($B157&lt;&gt;1,$G157=""),"",COUNTIFS(LdAParty,$A157,LdAType,1,LdAKey,"&lt;"&amp;$G157)+COUNTIFS(LdBMember,$A157,LdBKey,"&lt;"&amp;$G157)+COUNTIFS(LdCParty,$A157,LdCKey,"&lt;"&amp;$G157)+1)</f>
        <v/>
      </c>
      <c r="I157">
        <f>IF($H157="","",$A157&amp;"|"&amp;RIGHT("000000"&amp;$H157,6))</f>
        <v/>
      </c>
      <c r="J157">
        <f>IF(OR($B157&lt;&gt;2,$G157=""),"",COUNTIFS(LdAParty,$A157,LdAType,2,LdAKey,"&lt;"&amp;$G157)+1)</f>
        <v/>
      </c>
      <c r="K157">
        <f>IF($J157="","",$A157&amp;"|"&amp;RIGHT("000000"&amp;$J157,6))</f>
        <v/>
      </c>
      <c r="L157">
        <f>IF($A157="","",IF(Wages!$G160="",0,Wages!$G160))</f>
        <v/>
      </c>
      <c r="M157">
        <f>IF($A157="","",Wages!$J160)</f>
        <v/>
      </c>
      <c r="N157">
        <f>IF($A157="","",Wages!$D160)</f>
        <v/>
      </c>
      <c r="P157">
        <f>IF(OR(Shares!$B160="",Shares!$C160=""),"",Shares!$C160)</f>
        <v/>
      </c>
      <c r="Q157">
        <f>IF($P157="","",Shares!$B160)</f>
        <v/>
      </c>
      <c r="R157">
        <f>IF($P157="","",IFERROR(INDEX(WageParty,MATCH($Q157,WageIds,0)),""))</f>
        <v/>
      </c>
      <c r="S157">
        <f>IF($P157="","",IFERROR(INDEX($F$6:$F$2005,MATCH($Q157,WageIds,0)),""))</f>
        <v/>
      </c>
      <c r="T157">
        <f>IF(OR($P157="",$S157="",$S157="نامعتبر"),"",LEFT($S157,4)&amp;MID($S157,6,2)&amp;RIGHT($S157,2)&amp;"0000"&amp;"|"&amp;"2"&amp;RIGHT("00000"&amp;152,5))</f>
        <v/>
      </c>
      <c r="U157">
        <f>IF($T157="","",COUNTIFS(LdAParty,$P157,LdAType,1,LdAKey,"&lt;"&amp;$T157)+COUNTIFS(LdBMember,$P157,LdBKey,"&lt;"&amp;$T157)+COUNTIFS(LdCParty,$P157,LdCKey,"&lt;"&amp;$T157)+1)</f>
        <v/>
      </c>
      <c r="V157">
        <f>IF($U157="","",$P157&amp;"|"&amp;RIGHT("000000"&amp;$U157,6))</f>
        <v/>
      </c>
      <c r="W157">
        <f>IF($T157="","",COUNTIFS(LdBGroup,$R157,LdBKey,"&lt;"&amp;$T157)+1)</f>
        <v/>
      </c>
      <c r="X157">
        <f>IF($W157="","",$R157&amp;"|"&amp;RIGHT("000000"&amp;$W157,6))</f>
        <v/>
      </c>
      <c r="Y157">
        <f>IF($P157="","",IF(Shares!$E160="",0,Shares!$E160))</f>
        <v/>
      </c>
      <c r="Z157">
        <f>IF($P157="","",Shares!$H160)</f>
        <v/>
      </c>
      <c r="AE157">
        <f>IF(OR(Sync!$S157="",Sync!$P157=""),"",Sync!$S157)</f>
        <v/>
      </c>
      <c r="AF157">
        <f>IF($AE157="","",IF(ISNUMBER(Sync!$P157),IF(AND(Sync!$P157&gt;=10000101,Sync!$P157&lt;=99991231),INT(Sync!$P157/10000),""),IFERROR(VALUE(TRIM(LEFT(Sync!$P157,FIND("/",Sync!$P157)-1))),"")))</f>
        <v/>
      </c>
      <c r="AG157">
        <f>IF(OR($AE157="",$AF157=""),"",IF(ISNUMBER(Sync!$P157),INT(MOD(Sync!$P157,10000)/100),IFERROR(VALUE(TRIM(LEFT(MID(Sync!$P157,FIND("/",Sync!$P157)+1,20),FIND("/",MID(Sync!$P157,FIND("/",Sync!$P157)+1,20))-1))),"")))</f>
        <v/>
      </c>
      <c r="AH157">
        <f>IF(OR($AE157="",$AF157=""),"",IF(ISNUMBER(Sync!$P157),MOD(Sync!$P157,100),IFERROR(VALUE(TRIM(MID(MID(Sync!$P157,FIND("/",Sync!$P157)+1,20),FIND("/",MID(Sync!$P157,FIND("/",Sync!$P157)+1,20))+1,20))),"")))</f>
        <v/>
      </c>
      <c r="AI157">
        <f>IF($AE157="","",IF(OR($AF157="",$AG157="",$AH157="",$AF157&lt;1300,$AF157&gt;1500,$AG157&lt;1,$AG157&gt;12,$AH157&lt;1,$AH157&gt;31),"نامعتبر",RIGHT("0000"&amp;$AF157,4)&amp;"/"&amp;RIGHT("00"&amp;$AG157,2)&amp;"/"&amp;RIGHT("00"&amp;$AH157,2)))</f>
        <v/>
      </c>
      <c r="AJ157">
        <f>IF($AE157="","",IF(Sync!$Q157="","0000",IF(AND(ISNUMBER(Sync!$Q157),Sync!$Q157&gt;=0,Sync!$Q157&lt;1),RIGHT("00"&amp;HOUR(Sync!$Q157),2)&amp;RIGHT("00"&amp;MINUTE(Sync!$Q157),2),IFERROR(RIGHT("00"&amp;VALUE(LEFT(Sync!$Q157,FIND(":",Sync!$Q157)-1)),2)&amp;RIGHT("00"&amp;VALUE(MID(Sync!$Q157,FIND(":",Sync!$Q157)+1,2)),2),"0000"))))</f>
        <v/>
      </c>
      <c r="AK157">
        <f>IF(OR($AE157="",$AI157="",$AI157="نامعتبر"),"",LEFT($AI157,4)&amp;MID($AI157,6,2)&amp;RIGHT($AI157,2)&amp;$AJ157&amp;"|"&amp;"3"&amp;RIGHT("00000"&amp;152,5))</f>
        <v/>
      </c>
      <c r="AL157">
        <f>IF($AK157="","",COUNTIFS(LdAParty,$AE157,LdAType,1,LdAKey,"&lt;"&amp;$AK157)+COUNTIFS(LdBMember,$AE157,LdBKey,"&lt;"&amp;$AK157)+COUNTIFS(LdCParty,$AE157,LdCKey,"&lt;"&amp;$AK157)+1)</f>
        <v/>
      </c>
      <c r="AM157">
        <f>IF($AL157="","",$AE157&amp;"|"&amp;RIGHT("000000"&amp;$AL157,6))</f>
        <v/>
      </c>
      <c r="AN157">
        <f>IF($AE157="","",IF(Sync!$W157="",0,Sync!$W157))</f>
        <v/>
      </c>
      <c r="AO157">
        <f>IF($AE157="","",IF(Sync!$X157="",0,Sync!$X157))</f>
        <v/>
      </c>
      <c r="AP157">
        <f>IF($AE157="","",Sync!$R157)</f>
        <v/>
      </c>
      <c r="AQ157">
        <f>IF($AE157="","",Sync!$Y157)</f>
        <v/>
      </c>
    </row>
    <row r="158">
      <c r="A158">
        <f>IF(OR(Wages!$B161="",Wages!$E161=""),"",Wages!$E161)</f>
        <v/>
      </c>
      <c r="B158">
        <f>IF($A158="","",IF(Wages!$C161="دستمزد گروهی",2,1))</f>
        <v/>
      </c>
      <c r="C158">
        <f>IF($A158="","",IF(ISNUMBER(Wages!$B161),IF(AND(Wages!$B161&gt;=10000101,Wages!$B161&lt;=99991231),INT(Wages!$B161/10000),""),IFERROR(VALUE(TRIM(LEFT(Wages!$B161,FIND("/",Wages!$B161)-1))),"")))</f>
        <v/>
      </c>
      <c r="D158">
        <f>IF(OR($A158="",$C158=""),"",IF(ISNUMBER(Wages!$B161),INT(MOD(Wages!$B161,10000)/100),IFERROR(VALUE(TRIM(LEFT(MID(Wages!$B161,FIND("/",Wages!$B161)+1,20),FIND("/",MID(Wages!$B161,FIND("/",Wages!$B161)+1,20))-1))),"")))</f>
        <v/>
      </c>
      <c r="E158">
        <f>IF(OR($A158="",$C158=""),"",IF(ISNUMBER(Wages!$B161),MOD(Wages!$B161,100),IFERROR(VALUE(TRIM(MID(MID(Wages!$B161,FIND("/",Wages!$B161)+1,20),FIND("/",MID(Wages!$B161,FIND("/",Wages!$B161)+1,20))+1,20))),"")))</f>
        <v/>
      </c>
      <c r="F158">
        <f>IF($A158="","",IF(OR($C158="",$D158="",$E158="",$C158&lt;1300,$C158&gt;1500,$D158&lt;1,$D158&gt;12,$E158&lt;1,$E158&gt;31),"نامعتبر",RIGHT("0000"&amp;$C158,4)&amp;"/"&amp;RIGHT("00"&amp;$D158,2)&amp;"/"&amp;RIGHT("00"&amp;$E158,2)))</f>
        <v/>
      </c>
      <c r="G158">
        <f>IF(OR($A158="",$F158="",$F158="نامعتبر"),"",LEFT($F158,4)&amp;MID($F158,6,2)&amp;RIGHT($F158,2)&amp;"0000"&amp;"|"&amp;"1"&amp;RIGHT("00000"&amp;153,5))</f>
        <v/>
      </c>
      <c r="H158">
        <f>IF(OR($B158&lt;&gt;1,$G158=""),"",COUNTIFS(LdAParty,$A158,LdAType,1,LdAKey,"&lt;"&amp;$G158)+COUNTIFS(LdBMember,$A158,LdBKey,"&lt;"&amp;$G158)+COUNTIFS(LdCParty,$A158,LdCKey,"&lt;"&amp;$G158)+1)</f>
        <v/>
      </c>
      <c r="I158">
        <f>IF($H158="","",$A158&amp;"|"&amp;RIGHT("000000"&amp;$H158,6))</f>
        <v/>
      </c>
      <c r="J158">
        <f>IF(OR($B158&lt;&gt;2,$G158=""),"",COUNTIFS(LdAParty,$A158,LdAType,2,LdAKey,"&lt;"&amp;$G158)+1)</f>
        <v/>
      </c>
      <c r="K158">
        <f>IF($J158="","",$A158&amp;"|"&amp;RIGHT("000000"&amp;$J158,6))</f>
        <v/>
      </c>
      <c r="L158">
        <f>IF($A158="","",IF(Wages!$G161="",0,Wages!$G161))</f>
        <v/>
      </c>
      <c r="M158">
        <f>IF($A158="","",Wages!$J161)</f>
        <v/>
      </c>
      <c r="N158">
        <f>IF($A158="","",Wages!$D161)</f>
        <v/>
      </c>
      <c r="P158">
        <f>IF(OR(Shares!$B161="",Shares!$C161=""),"",Shares!$C161)</f>
        <v/>
      </c>
      <c r="Q158">
        <f>IF($P158="","",Shares!$B161)</f>
        <v/>
      </c>
      <c r="R158">
        <f>IF($P158="","",IFERROR(INDEX(WageParty,MATCH($Q158,WageIds,0)),""))</f>
        <v/>
      </c>
      <c r="S158">
        <f>IF($P158="","",IFERROR(INDEX($F$6:$F$2005,MATCH($Q158,WageIds,0)),""))</f>
        <v/>
      </c>
      <c r="T158">
        <f>IF(OR($P158="",$S158="",$S158="نامعتبر"),"",LEFT($S158,4)&amp;MID($S158,6,2)&amp;RIGHT($S158,2)&amp;"0000"&amp;"|"&amp;"2"&amp;RIGHT("00000"&amp;153,5))</f>
        <v/>
      </c>
      <c r="U158">
        <f>IF($T158="","",COUNTIFS(LdAParty,$P158,LdAType,1,LdAKey,"&lt;"&amp;$T158)+COUNTIFS(LdBMember,$P158,LdBKey,"&lt;"&amp;$T158)+COUNTIFS(LdCParty,$P158,LdCKey,"&lt;"&amp;$T158)+1)</f>
        <v/>
      </c>
      <c r="V158">
        <f>IF($U158="","",$P158&amp;"|"&amp;RIGHT("000000"&amp;$U158,6))</f>
        <v/>
      </c>
      <c r="W158">
        <f>IF($T158="","",COUNTIFS(LdBGroup,$R158,LdBKey,"&lt;"&amp;$T158)+1)</f>
        <v/>
      </c>
      <c r="X158">
        <f>IF($W158="","",$R158&amp;"|"&amp;RIGHT("000000"&amp;$W158,6))</f>
        <v/>
      </c>
      <c r="Y158">
        <f>IF($P158="","",IF(Shares!$E161="",0,Shares!$E161))</f>
        <v/>
      </c>
      <c r="Z158">
        <f>IF($P158="","",Shares!$H161)</f>
        <v/>
      </c>
      <c r="AE158">
        <f>IF(OR(Sync!$S158="",Sync!$P158=""),"",Sync!$S158)</f>
        <v/>
      </c>
      <c r="AF158">
        <f>IF($AE158="","",IF(ISNUMBER(Sync!$P158),IF(AND(Sync!$P158&gt;=10000101,Sync!$P158&lt;=99991231),INT(Sync!$P158/10000),""),IFERROR(VALUE(TRIM(LEFT(Sync!$P158,FIND("/",Sync!$P158)-1))),"")))</f>
        <v/>
      </c>
      <c r="AG158">
        <f>IF(OR($AE158="",$AF158=""),"",IF(ISNUMBER(Sync!$P158),INT(MOD(Sync!$P158,10000)/100),IFERROR(VALUE(TRIM(LEFT(MID(Sync!$P158,FIND("/",Sync!$P158)+1,20),FIND("/",MID(Sync!$P158,FIND("/",Sync!$P158)+1,20))-1))),"")))</f>
        <v/>
      </c>
      <c r="AH158">
        <f>IF(OR($AE158="",$AF158=""),"",IF(ISNUMBER(Sync!$P158),MOD(Sync!$P158,100),IFERROR(VALUE(TRIM(MID(MID(Sync!$P158,FIND("/",Sync!$P158)+1,20),FIND("/",MID(Sync!$P158,FIND("/",Sync!$P158)+1,20))+1,20))),"")))</f>
        <v/>
      </c>
      <c r="AI158">
        <f>IF($AE158="","",IF(OR($AF158="",$AG158="",$AH158="",$AF158&lt;1300,$AF158&gt;1500,$AG158&lt;1,$AG158&gt;12,$AH158&lt;1,$AH158&gt;31),"نامعتبر",RIGHT("0000"&amp;$AF158,4)&amp;"/"&amp;RIGHT("00"&amp;$AG158,2)&amp;"/"&amp;RIGHT("00"&amp;$AH158,2)))</f>
        <v/>
      </c>
      <c r="AJ158">
        <f>IF($AE158="","",IF(Sync!$Q158="","0000",IF(AND(ISNUMBER(Sync!$Q158),Sync!$Q158&gt;=0,Sync!$Q158&lt;1),RIGHT("00"&amp;HOUR(Sync!$Q158),2)&amp;RIGHT("00"&amp;MINUTE(Sync!$Q158),2),IFERROR(RIGHT("00"&amp;VALUE(LEFT(Sync!$Q158,FIND(":",Sync!$Q158)-1)),2)&amp;RIGHT("00"&amp;VALUE(MID(Sync!$Q158,FIND(":",Sync!$Q158)+1,2)),2),"0000"))))</f>
        <v/>
      </c>
      <c r="AK158">
        <f>IF(OR($AE158="",$AI158="",$AI158="نامعتبر"),"",LEFT($AI158,4)&amp;MID($AI158,6,2)&amp;RIGHT($AI158,2)&amp;$AJ158&amp;"|"&amp;"3"&amp;RIGHT("00000"&amp;153,5))</f>
        <v/>
      </c>
      <c r="AL158">
        <f>IF($AK158="","",COUNTIFS(LdAParty,$AE158,LdAType,1,LdAKey,"&lt;"&amp;$AK158)+COUNTIFS(LdBMember,$AE158,LdBKey,"&lt;"&amp;$AK158)+COUNTIFS(LdCParty,$AE158,LdCKey,"&lt;"&amp;$AK158)+1)</f>
        <v/>
      </c>
      <c r="AM158">
        <f>IF($AL158="","",$AE158&amp;"|"&amp;RIGHT("000000"&amp;$AL158,6))</f>
        <v/>
      </c>
      <c r="AN158">
        <f>IF($AE158="","",IF(Sync!$W158="",0,Sync!$W158))</f>
        <v/>
      </c>
      <c r="AO158">
        <f>IF($AE158="","",IF(Sync!$X158="",0,Sync!$X158))</f>
        <v/>
      </c>
      <c r="AP158">
        <f>IF($AE158="","",Sync!$R158)</f>
        <v/>
      </c>
      <c r="AQ158">
        <f>IF($AE158="","",Sync!$Y158)</f>
        <v/>
      </c>
    </row>
    <row r="159">
      <c r="A159">
        <f>IF(OR(Wages!$B162="",Wages!$E162=""),"",Wages!$E162)</f>
        <v/>
      </c>
      <c r="B159">
        <f>IF($A159="","",IF(Wages!$C162="دستمزد گروهی",2,1))</f>
        <v/>
      </c>
      <c r="C159">
        <f>IF($A159="","",IF(ISNUMBER(Wages!$B162),IF(AND(Wages!$B162&gt;=10000101,Wages!$B162&lt;=99991231),INT(Wages!$B162/10000),""),IFERROR(VALUE(TRIM(LEFT(Wages!$B162,FIND("/",Wages!$B162)-1))),"")))</f>
        <v/>
      </c>
      <c r="D159">
        <f>IF(OR($A159="",$C159=""),"",IF(ISNUMBER(Wages!$B162),INT(MOD(Wages!$B162,10000)/100),IFERROR(VALUE(TRIM(LEFT(MID(Wages!$B162,FIND("/",Wages!$B162)+1,20),FIND("/",MID(Wages!$B162,FIND("/",Wages!$B162)+1,20))-1))),"")))</f>
        <v/>
      </c>
      <c r="E159">
        <f>IF(OR($A159="",$C159=""),"",IF(ISNUMBER(Wages!$B162),MOD(Wages!$B162,100),IFERROR(VALUE(TRIM(MID(MID(Wages!$B162,FIND("/",Wages!$B162)+1,20),FIND("/",MID(Wages!$B162,FIND("/",Wages!$B162)+1,20))+1,20))),"")))</f>
        <v/>
      </c>
      <c r="F159">
        <f>IF($A159="","",IF(OR($C159="",$D159="",$E159="",$C159&lt;1300,$C159&gt;1500,$D159&lt;1,$D159&gt;12,$E159&lt;1,$E159&gt;31),"نامعتبر",RIGHT("0000"&amp;$C159,4)&amp;"/"&amp;RIGHT("00"&amp;$D159,2)&amp;"/"&amp;RIGHT("00"&amp;$E159,2)))</f>
        <v/>
      </c>
      <c r="G159">
        <f>IF(OR($A159="",$F159="",$F159="نامعتبر"),"",LEFT($F159,4)&amp;MID($F159,6,2)&amp;RIGHT($F159,2)&amp;"0000"&amp;"|"&amp;"1"&amp;RIGHT("00000"&amp;154,5))</f>
        <v/>
      </c>
      <c r="H159">
        <f>IF(OR($B159&lt;&gt;1,$G159=""),"",COUNTIFS(LdAParty,$A159,LdAType,1,LdAKey,"&lt;"&amp;$G159)+COUNTIFS(LdBMember,$A159,LdBKey,"&lt;"&amp;$G159)+COUNTIFS(LdCParty,$A159,LdCKey,"&lt;"&amp;$G159)+1)</f>
        <v/>
      </c>
      <c r="I159">
        <f>IF($H159="","",$A159&amp;"|"&amp;RIGHT("000000"&amp;$H159,6))</f>
        <v/>
      </c>
      <c r="J159">
        <f>IF(OR($B159&lt;&gt;2,$G159=""),"",COUNTIFS(LdAParty,$A159,LdAType,2,LdAKey,"&lt;"&amp;$G159)+1)</f>
        <v/>
      </c>
      <c r="K159">
        <f>IF($J159="","",$A159&amp;"|"&amp;RIGHT("000000"&amp;$J159,6))</f>
        <v/>
      </c>
      <c r="L159">
        <f>IF($A159="","",IF(Wages!$G162="",0,Wages!$G162))</f>
        <v/>
      </c>
      <c r="M159">
        <f>IF($A159="","",Wages!$J162)</f>
        <v/>
      </c>
      <c r="N159">
        <f>IF($A159="","",Wages!$D162)</f>
        <v/>
      </c>
      <c r="P159">
        <f>IF(OR(Shares!$B162="",Shares!$C162=""),"",Shares!$C162)</f>
        <v/>
      </c>
      <c r="Q159">
        <f>IF($P159="","",Shares!$B162)</f>
        <v/>
      </c>
      <c r="R159">
        <f>IF($P159="","",IFERROR(INDEX(WageParty,MATCH($Q159,WageIds,0)),""))</f>
        <v/>
      </c>
      <c r="S159">
        <f>IF($P159="","",IFERROR(INDEX($F$6:$F$2005,MATCH($Q159,WageIds,0)),""))</f>
        <v/>
      </c>
      <c r="T159">
        <f>IF(OR($P159="",$S159="",$S159="نامعتبر"),"",LEFT($S159,4)&amp;MID($S159,6,2)&amp;RIGHT($S159,2)&amp;"0000"&amp;"|"&amp;"2"&amp;RIGHT("00000"&amp;154,5))</f>
        <v/>
      </c>
      <c r="U159">
        <f>IF($T159="","",COUNTIFS(LdAParty,$P159,LdAType,1,LdAKey,"&lt;"&amp;$T159)+COUNTIFS(LdBMember,$P159,LdBKey,"&lt;"&amp;$T159)+COUNTIFS(LdCParty,$P159,LdCKey,"&lt;"&amp;$T159)+1)</f>
        <v/>
      </c>
      <c r="V159">
        <f>IF($U159="","",$P159&amp;"|"&amp;RIGHT("000000"&amp;$U159,6))</f>
        <v/>
      </c>
      <c r="W159">
        <f>IF($T159="","",COUNTIFS(LdBGroup,$R159,LdBKey,"&lt;"&amp;$T159)+1)</f>
        <v/>
      </c>
      <c r="X159">
        <f>IF($W159="","",$R159&amp;"|"&amp;RIGHT("000000"&amp;$W159,6))</f>
        <v/>
      </c>
      <c r="Y159">
        <f>IF($P159="","",IF(Shares!$E162="",0,Shares!$E162))</f>
        <v/>
      </c>
      <c r="Z159">
        <f>IF($P159="","",Shares!$H162)</f>
        <v/>
      </c>
      <c r="AE159">
        <f>IF(OR(Sync!$S159="",Sync!$P159=""),"",Sync!$S159)</f>
        <v/>
      </c>
      <c r="AF159">
        <f>IF($AE159="","",IF(ISNUMBER(Sync!$P159),IF(AND(Sync!$P159&gt;=10000101,Sync!$P159&lt;=99991231),INT(Sync!$P159/10000),""),IFERROR(VALUE(TRIM(LEFT(Sync!$P159,FIND("/",Sync!$P159)-1))),"")))</f>
        <v/>
      </c>
      <c r="AG159">
        <f>IF(OR($AE159="",$AF159=""),"",IF(ISNUMBER(Sync!$P159),INT(MOD(Sync!$P159,10000)/100),IFERROR(VALUE(TRIM(LEFT(MID(Sync!$P159,FIND("/",Sync!$P159)+1,20),FIND("/",MID(Sync!$P159,FIND("/",Sync!$P159)+1,20))-1))),"")))</f>
        <v/>
      </c>
      <c r="AH159">
        <f>IF(OR($AE159="",$AF159=""),"",IF(ISNUMBER(Sync!$P159),MOD(Sync!$P159,100),IFERROR(VALUE(TRIM(MID(MID(Sync!$P159,FIND("/",Sync!$P159)+1,20),FIND("/",MID(Sync!$P159,FIND("/",Sync!$P159)+1,20))+1,20))),"")))</f>
        <v/>
      </c>
      <c r="AI159">
        <f>IF($AE159="","",IF(OR($AF159="",$AG159="",$AH159="",$AF159&lt;1300,$AF159&gt;1500,$AG159&lt;1,$AG159&gt;12,$AH159&lt;1,$AH159&gt;31),"نامعتبر",RIGHT("0000"&amp;$AF159,4)&amp;"/"&amp;RIGHT("00"&amp;$AG159,2)&amp;"/"&amp;RIGHT("00"&amp;$AH159,2)))</f>
        <v/>
      </c>
      <c r="AJ159">
        <f>IF($AE159="","",IF(Sync!$Q159="","0000",IF(AND(ISNUMBER(Sync!$Q159),Sync!$Q159&gt;=0,Sync!$Q159&lt;1),RIGHT("00"&amp;HOUR(Sync!$Q159),2)&amp;RIGHT("00"&amp;MINUTE(Sync!$Q159),2),IFERROR(RIGHT("00"&amp;VALUE(LEFT(Sync!$Q159,FIND(":",Sync!$Q159)-1)),2)&amp;RIGHT("00"&amp;VALUE(MID(Sync!$Q159,FIND(":",Sync!$Q159)+1,2)),2),"0000"))))</f>
        <v/>
      </c>
      <c r="AK159">
        <f>IF(OR($AE159="",$AI159="",$AI159="نامعتبر"),"",LEFT($AI159,4)&amp;MID($AI159,6,2)&amp;RIGHT($AI159,2)&amp;$AJ159&amp;"|"&amp;"3"&amp;RIGHT("00000"&amp;154,5))</f>
        <v/>
      </c>
      <c r="AL159">
        <f>IF($AK159="","",COUNTIFS(LdAParty,$AE159,LdAType,1,LdAKey,"&lt;"&amp;$AK159)+COUNTIFS(LdBMember,$AE159,LdBKey,"&lt;"&amp;$AK159)+COUNTIFS(LdCParty,$AE159,LdCKey,"&lt;"&amp;$AK159)+1)</f>
        <v/>
      </c>
      <c r="AM159">
        <f>IF($AL159="","",$AE159&amp;"|"&amp;RIGHT("000000"&amp;$AL159,6))</f>
        <v/>
      </c>
      <c r="AN159">
        <f>IF($AE159="","",IF(Sync!$W159="",0,Sync!$W159))</f>
        <v/>
      </c>
      <c r="AO159">
        <f>IF($AE159="","",IF(Sync!$X159="",0,Sync!$X159))</f>
        <v/>
      </c>
      <c r="AP159">
        <f>IF($AE159="","",Sync!$R159)</f>
        <v/>
      </c>
      <c r="AQ159">
        <f>IF($AE159="","",Sync!$Y159)</f>
        <v/>
      </c>
    </row>
    <row r="160">
      <c r="A160">
        <f>IF(OR(Wages!$B163="",Wages!$E163=""),"",Wages!$E163)</f>
        <v/>
      </c>
      <c r="B160">
        <f>IF($A160="","",IF(Wages!$C163="دستمزد گروهی",2,1))</f>
        <v/>
      </c>
      <c r="C160">
        <f>IF($A160="","",IF(ISNUMBER(Wages!$B163),IF(AND(Wages!$B163&gt;=10000101,Wages!$B163&lt;=99991231),INT(Wages!$B163/10000),""),IFERROR(VALUE(TRIM(LEFT(Wages!$B163,FIND("/",Wages!$B163)-1))),"")))</f>
        <v/>
      </c>
      <c r="D160">
        <f>IF(OR($A160="",$C160=""),"",IF(ISNUMBER(Wages!$B163),INT(MOD(Wages!$B163,10000)/100),IFERROR(VALUE(TRIM(LEFT(MID(Wages!$B163,FIND("/",Wages!$B163)+1,20),FIND("/",MID(Wages!$B163,FIND("/",Wages!$B163)+1,20))-1))),"")))</f>
        <v/>
      </c>
      <c r="E160">
        <f>IF(OR($A160="",$C160=""),"",IF(ISNUMBER(Wages!$B163),MOD(Wages!$B163,100),IFERROR(VALUE(TRIM(MID(MID(Wages!$B163,FIND("/",Wages!$B163)+1,20),FIND("/",MID(Wages!$B163,FIND("/",Wages!$B163)+1,20))+1,20))),"")))</f>
        <v/>
      </c>
      <c r="F160">
        <f>IF($A160="","",IF(OR($C160="",$D160="",$E160="",$C160&lt;1300,$C160&gt;1500,$D160&lt;1,$D160&gt;12,$E160&lt;1,$E160&gt;31),"نامعتبر",RIGHT("0000"&amp;$C160,4)&amp;"/"&amp;RIGHT("00"&amp;$D160,2)&amp;"/"&amp;RIGHT("00"&amp;$E160,2)))</f>
        <v/>
      </c>
      <c r="G160">
        <f>IF(OR($A160="",$F160="",$F160="نامعتبر"),"",LEFT($F160,4)&amp;MID($F160,6,2)&amp;RIGHT($F160,2)&amp;"0000"&amp;"|"&amp;"1"&amp;RIGHT("00000"&amp;155,5))</f>
        <v/>
      </c>
      <c r="H160">
        <f>IF(OR($B160&lt;&gt;1,$G160=""),"",COUNTIFS(LdAParty,$A160,LdAType,1,LdAKey,"&lt;"&amp;$G160)+COUNTIFS(LdBMember,$A160,LdBKey,"&lt;"&amp;$G160)+COUNTIFS(LdCParty,$A160,LdCKey,"&lt;"&amp;$G160)+1)</f>
        <v/>
      </c>
      <c r="I160">
        <f>IF($H160="","",$A160&amp;"|"&amp;RIGHT("000000"&amp;$H160,6))</f>
        <v/>
      </c>
      <c r="J160">
        <f>IF(OR($B160&lt;&gt;2,$G160=""),"",COUNTIFS(LdAParty,$A160,LdAType,2,LdAKey,"&lt;"&amp;$G160)+1)</f>
        <v/>
      </c>
      <c r="K160">
        <f>IF($J160="","",$A160&amp;"|"&amp;RIGHT("000000"&amp;$J160,6))</f>
        <v/>
      </c>
      <c r="L160">
        <f>IF($A160="","",IF(Wages!$G163="",0,Wages!$G163))</f>
        <v/>
      </c>
      <c r="M160">
        <f>IF($A160="","",Wages!$J163)</f>
        <v/>
      </c>
      <c r="N160">
        <f>IF($A160="","",Wages!$D163)</f>
        <v/>
      </c>
      <c r="P160">
        <f>IF(OR(Shares!$B163="",Shares!$C163=""),"",Shares!$C163)</f>
        <v/>
      </c>
      <c r="Q160">
        <f>IF($P160="","",Shares!$B163)</f>
        <v/>
      </c>
      <c r="R160">
        <f>IF($P160="","",IFERROR(INDEX(WageParty,MATCH($Q160,WageIds,0)),""))</f>
        <v/>
      </c>
      <c r="S160">
        <f>IF($P160="","",IFERROR(INDEX($F$6:$F$2005,MATCH($Q160,WageIds,0)),""))</f>
        <v/>
      </c>
      <c r="T160">
        <f>IF(OR($P160="",$S160="",$S160="نامعتبر"),"",LEFT($S160,4)&amp;MID($S160,6,2)&amp;RIGHT($S160,2)&amp;"0000"&amp;"|"&amp;"2"&amp;RIGHT("00000"&amp;155,5))</f>
        <v/>
      </c>
      <c r="U160">
        <f>IF($T160="","",COUNTIFS(LdAParty,$P160,LdAType,1,LdAKey,"&lt;"&amp;$T160)+COUNTIFS(LdBMember,$P160,LdBKey,"&lt;"&amp;$T160)+COUNTIFS(LdCParty,$P160,LdCKey,"&lt;"&amp;$T160)+1)</f>
        <v/>
      </c>
      <c r="V160">
        <f>IF($U160="","",$P160&amp;"|"&amp;RIGHT("000000"&amp;$U160,6))</f>
        <v/>
      </c>
      <c r="W160">
        <f>IF($T160="","",COUNTIFS(LdBGroup,$R160,LdBKey,"&lt;"&amp;$T160)+1)</f>
        <v/>
      </c>
      <c r="X160">
        <f>IF($W160="","",$R160&amp;"|"&amp;RIGHT("000000"&amp;$W160,6))</f>
        <v/>
      </c>
      <c r="Y160">
        <f>IF($P160="","",IF(Shares!$E163="",0,Shares!$E163))</f>
        <v/>
      </c>
      <c r="Z160">
        <f>IF($P160="","",Shares!$H163)</f>
        <v/>
      </c>
      <c r="AE160">
        <f>IF(OR(Sync!$S160="",Sync!$P160=""),"",Sync!$S160)</f>
        <v/>
      </c>
      <c r="AF160">
        <f>IF($AE160="","",IF(ISNUMBER(Sync!$P160),IF(AND(Sync!$P160&gt;=10000101,Sync!$P160&lt;=99991231),INT(Sync!$P160/10000),""),IFERROR(VALUE(TRIM(LEFT(Sync!$P160,FIND("/",Sync!$P160)-1))),"")))</f>
        <v/>
      </c>
      <c r="AG160">
        <f>IF(OR($AE160="",$AF160=""),"",IF(ISNUMBER(Sync!$P160),INT(MOD(Sync!$P160,10000)/100),IFERROR(VALUE(TRIM(LEFT(MID(Sync!$P160,FIND("/",Sync!$P160)+1,20),FIND("/",MID(Sync!$P160,FIND("/",Sync!$P160)+1,20))-1))),"")))</f>
        <v/>
      </c>
      <c r="AH160">
        <f>IF(OR($AE160="",$AF160=""),"",IF(ISNUMBER(Sync!$P160),MOD(Sync!$P160,100),IFERROR(VALUE(TRIM(MID(MID(Sync!$P160,FIND("/",Sync!$P160)+1,20),FIND("/",MID(Sync!$P160,FIND("/",Sync!$P160)+1,20))+1,20))),"")))</f>
        <v/>
      </c>
      <c r="AI160">
        <f>IF($AE160="","",IF(OR($AF160="",$AG160="",$AH160="",$AF160&lt;1300,$AF160&gt;1500,$AG160&lt;1,$AG160&gt;12,$AH160&lt;1,$AH160&gt;31),"نامعتبر",RIGHT("0000"&amp;$AF160,4)&amp;"/"&amp;RIGHT("00"&amp;$AG160,2)&amp;"/"&amp;RIGHT("00"&amp;$AH160,2)))</f>
        <v/>
      </c>
      <c r="AJ160">
        <f>IF($AE160="","",IF(Sync!$Q160="","0000",IF(AND(ISNUMBER(Sync!$Q160),Sync!$Q160&gt;=0,Sync!$Q160&lt;1),RIGHT("00"&amp;HOUR(Sync!$Q160),2)&amp;RIGHT("00"&amp;MINUTE(Sync!$Q160),2),IFERROR(RIGHT("00"&amp;VALUE(LEFT(Sync!$Q160,FIND(":",Sync!$Q160)-1)),2)&amp;RIGHT("00"&amp;VALUE(MID(Sync!$Q160,FIND(":",Sync!$Q160)+1,2)),2),"0000"))))</f>
        <v/>
      </c>
      <c r="AK160">
        <f>IF(OR($AE160="",$AI160="",$AI160="نامعتبر"),"",LEFT($AI160,4)&amp;MID($AI160,6,2)&amp;RIGHT($AI160,2)&amp;$AJ160&amp;"|"&amp;"3"&amp;RIGHT("00000"&amp;155,5))</f>
        <v/>
      </c>
      <c r="AL160">
        <f>IF($AK160="","",COUNTIFS(LdAParty,$AE160,LdAType,1,LdAKey,"&lt;"&amp;$AK160)+COUNTIFS(LdBMember,$AE160,LdBKey,"&lt;"&amp;$AK160)+COUNTIFS(LdCParty,$AE160,LdCKey,"&lt;"&amp;$AK160)+1)</f>
        <v/>
      </c>
      <c r="AM160">
        <f>IF($AL160="","",$AE160&amp;"|"&amp;RIGHT("000000"&amp;$AL160,6))</f>
        <v/>
      </c>
      <c r="AN160">
        <f>IF($AE160="","",IF(Sync!$W160="",0,Sync!$W160))</f>
        <v/>
      </c>
      <c r="AO160">
        <f>IF($AE160="","",IF(Sync!$X160="",0,Sync!$X160))</f>
        <v/>
      </c>
      <c r="AP160">
        <f>IF($AE160="","",Sync!$R160)</f>
        <v/>
      </c>
      <c r="AQ160">
        <f>IF($AE160="","",Sync!$Y160)</f>
        <v/>
      </c>
    </row>
    <row r="161">
      <c r="A161">
        <f>IF(OR(Wages!$B164="",Wages!$E164=""),"",Wages!$E164)</f>
        <v/>
      </c>
      <c r="B161">
        <f>IF($A161="","",IF(Wages!$C164="دستمزد گروهی",2,1))</f>
        <v/>
      </c>
      <c r="C161">
        <f>IF($A161="","",IF(ISNUMBER(Wages!$B164),IF(AND(Wages!$B164&gt;=10000101,Wages!$B164&lt;=99991231),INT(Wages!$B164/10000),""),IFERROR(VALUE(TRIM(LEFT(Wages!$B164,FIND("/",Wages!$B164)-1))),"")))</f>
        <v/>
      </c>
      <c r="D161">
        <f>IF(OR($A161="",$C161=""),"",IF(ISNUMBER(Wages!$B164),INT(MOD(Wages!$B164,10000)/100),IFERROR(VALUE(TRIM(LEFT(MID(Wages!$B164,FIND("/",Wages!$B164)+1,20),FIND("/",MID(Wages!$B164,FIND("/",Wages!$B164)+1,20))-1))),"")))</f>
        <v/>
      </c>
      <c r="E161">
        <f>IF(OR($A161="",$C161=""),"",IF(ISNUMBER(Wages!$B164),MOD(Wages!$B164,100),IFERROR(VALUE(TRIM(MID(MID(Wages!$B164,FIND("/",Wages!$B164)+1,20),FIND("/",MID(Wages!$B164,FIND("/",Wages!$B164)+1,20))+1,20))),"")))</f>
        <v/>
      </c>
      <c r="F161">
        <f>IF($A161="","",IF(OR($C161="",$D161="",$E161="",$C161&lt;1300,$C161&gt;1500,$D161&lt;1,$D161&gt;12,$E161&lt;1,$E161&gt;31),"نامعتبر",RIGHT("0000"&amp;$C161,4)&amp;"/"&amp;RIGHT("00"&amp;$D161,2)&amp;"/"&amp;RIGHT("00"&amp;$E161,2)))</f>
        <v/>
      </c>
      <c r="G161">
        <f>IF(OR($A161="",$F161="",$F161="نامعتبر"),"",LEFT($F161,4)&amp;MID($F161,6,2)&amp;RIGHT($F161,2)&amp;"0000"&amp;"|"&amp;"1"&amp;RIGHT("00000"&amp;156,5))</f>
        <v/>
      </c>
      <c r="H161">
        <f>IF(OR($B161&lt;&gt;1,$G161=""),"",COUNTIFS(LdAParty,$A161,LdAType,1,LdAKey,"&lt;"&amp;$G161)+COUNTIFS(LdBMember,$A161,LdBKey,"&lt;"&amp;$G161)+COUNTIFS(LdCParty,$A161,LdCKey,"&lt;"&amp;$G161)+1)</f>
        <v/>
      </c>
      <c r="I161">
        <f>IF($H161="","",$A161&amp;"|"&amp;RIGHT("000000"&amp;$H161,6))</f>
        <v/>
      </c>
      <c r="J161">
        <f>IF(OR($B161&lt;&gt;2,$G161=""),"",COUNTIFS(LdAParty,$A161,LdAType,2,LdAKey,"&lt;"&amp;$G161)+1)</f>
        <v/>
      </c>
      <c r="K161">
        <f>IF($J161="","",$A161&amp;"|"&amp;RIGHT("000000"&amp;$J161,6))</f>
        <v/>
      </c>
      <c r="L161">
        <f>IF($A161="","",IF(Wages!$G164="",0,Wages!$G164))</f>
        <v/>
      </c>
      <c r="M161">
        <f>IF($A161="","",Wages!$J164)</f>
        <v/>
      </c>
      <c r="N161">
        <f>IF($A161="","",Wages!$D164)</f>
        <v/>
      </c>
      <c r="P161">
        <f>IF(OR(Shares!$B164="",Shares!$C164=""),"",Shares!$C164)</f>
        <v/>
      </c>
      <c r="Q161">
        <f>IF($P161="","",Shares!$B164)</f>
        <v/>
      </c>
      <c r="R161">
        <f>IF($P161="","",IFERROR(INDEX(WageParty,MATCH($Q161,WageIds,0)),""))</f>
        <v/>
      </c>
      <c r="S161">
        <f>IF($P161="","",IFERROR(INDEX($F$6:$F$2005,MATCH($Q161,WageIds,0)),""))</f>
        <v/>
      </c>
      <c r="T161">
        <f>IF(OR($P161="",$S161="",$S161="نامعتبر"),"",LEFT($S161,4)&amp;MID($S161,6,2)&amp;RIGHT($S161,2)&amp;"0000"&amp;"|"&amp;"2"&amp;RIGHT("00000"&amp;156,5))</f>
        <v/>
      </c>
      <c r="U161">
        <f>IF($T161="","",COUNTIFS(LdAParty,$P161,LdAType,1,LdAKey,"&lt;"&amp;$T161)+COUNTIFS(LdBMember,$P161,LdBKey,"&lt;"&amp;$T161)+COUNTIFS(LdCParty,$P161,LdCKey,"&lt;"&amp;$T161)+1)</f>
        <v/>
      </c>
      <c r="V161">
        <f>IF($U161="","",$P161&amp;"|"&amp;RIGHT("000000"&amp;$U161,6))</f>
        <v/>
      </c>
      <c r="W161">
        <f>IF($T161="","",COUNTIFS(LdBGroup,$R161,LdBKey,"&lt;"&amp;$T161)+1)</f>
        <v/>
      </c>
      <c r="X161">
        <f>IF($W161="","",$R161&amp;"|"&amp;RIGHT("000000"&amp;$W161,6))</f>
        <v/>
      </c>
      <c r="Y161">
        <f>IF($P161="","",IF(Shares!$E164="",0,Shares!$E164))</f>
        <v/>
      </c>
      <c r="Z161">
        <f>IF($P161="","",Shares!$H164)</f>
        <v/>
      </c>
      <c r="AE161">
        <f>IF(OR(Sync!$S161="",Sync!$P161=""),"",Sync!$S161)</f>
        <v/>
      </c>
      <c r="AF161">
        <f>IF($AE161="","",IF(ISNUMBER(Sync!$P161),IF(AND(Sync!$P161&gt;=10000101,Sync!$P161&lt;=99991231),INT(Sync!$P161/10000),""),IFERROR(VALUE(TRIM(LEFT(Sync!$P161,FIND("/",Sync!$P161)-1))),"")))</f>
        <v/>
      </c>
      <c r="AG161">
        <f>IF(OR($AE161="",$AF161=""),"",IF(ISNUMBER(Sync!$P161),INT(MOD(Sync!$P161,10000)/100),IFERROR(VALUE(TRIM(LEFT(MID(Sync!$P161,FIND("/",Sync!$P161)+1,20),FIND("/",MID(Sync!$P161,FIND("/",Sync!$P161)+1,20))-1))),"")))</f>
        <v/>
      </c>
      <c r="AH161">
        <f>IF(OR($AE161="",$AF161=""),"",IF(ISNUMBER(Sync!$P161),MOD(Sync!$P161,100),IFERROR(VALUE(TRIM(MID(MID(Sync!$P161,FIND("/",Sync!$P161)+1,20),FIND("/",MID(Sync!$P161,FIND("/",Sync!$P161)+1,20))+1,20))),"")))</f>
        <v/>
      </c>
      <c r="AI161">
        <f>IF($AE161="","",IF(OR($AF161="",$AG161="",$AH161="",$AF161&lt;1300,$AF161&gt;1500,$AG161&lt;1,$AG161&gt;12,$AH161&lt;1,$AH161&gt;31),"نامعتبر",RIGHT("0000"&amp;$AF161,4)&amp;"/"&amp;RIGHT("00"&amp;$AG161,2)&amp;"/"&amp;RIGHT("00"&amp;$AH161,2)))</f>
        <v/>
      </c>
      <c r="AJ161">
        <f>IF($AE161="","",IF(Sync!$Q161="","0000",IF(AND(ISNUMBER(Sync!$Q161),Sync!$Q161&gt;=0,Sync!$Q161&lt;1),RIGHT("00"&amp;HOUR(Sync!$Q161),2)&amp;RIGHT("00"&amp;MINUTE(Sync!$Q161),2),IFERROR(RIGHT("00"&amp;VALUE(LEFT(Sync!$Q161,FIND(":",Sync!$Q161)-1)),2)&amp;RIGHT("00"&amp;VALUE(MID(Sync!$Q161,FIND(":",Sync!$Q161)+1,2)),2),"0000"))))</f>
        <v/>
      </c>
      <c r="AK161">
        <f>IF(OR($AE161="",$AI161="",$AI161="نامعتبر"),"",LEFT($AI161,4)&amp;MID($AI161,6,2)&amp;RIGHT($AI161,2)&amp;$AJ161&amp;"|"&amp;"3"&amp;RIGHT("00000"&amp;156,5))</f>
        <v/>
      </c>
      <c r="AL161">
        <f>IF($AK161="","",COUNTIFS(LdAParty,$AE161,LdAType,1,LdAKey,"&lt;"&amp;$AK161)+COUNTIFS(LdBMember,$AE161,LdBKey,"&lt;"&amp;$AK161)+COUNTIFS(LdCParty,$AE161,LdCKey,"&lt;"&amp;$AK161)+1)</f>
        <v/>
      </c>
      <c r="AM161">
        <f>IF($AL161="","",$AE161&amp;"|"&amp;RIGHT("000000"&amp;$AL161,6))</f>
        <v/>
      </c>
      <c r="AN161">
        <f>IF($AE161="","",IF(Sync!$W161="",0,Sync!$W161))</f>
        <v/>
      </c>
      <c r="AO161">
        <f>IF($AE161="","",IF(Sync!$X161="",0,Sync!$X161))</f>
        <v/>
      </c>
      <c r="AP161">
        <f>IF($AE161="","",Sync!$R161)</f>
        <v/>
      </c>
      <c r="AQ161">
        <f>IF($AE161="","",Sync!$Y161)</f>
        <v/>
      </c>
    </row>
    <row r="162">
      <c r="A162">
        <f>IF(OR(Wages!$B165="",Wages!$E165=""),"",Wages!$E165)</f>
        <v/>
      </c>
      <c r="B162">
        <f>IF($A162="","",IF(Wages!$C165="دستمزد گروهی",2,1))</f>
        <v/>
      </c>
      <c r="C162">
        <f>IF($A162="","",IF(ISNUMBER(Wages!$B165),IF(AND(Wages!$B165&gt;=10000101,Wages!$B165&lt;=99991231),INT(Wages!$B165/10000),""),IFERROR(VALUE(TRIM(LEFT(Wages!$B165,FIND("/",Wages!$B165)-1))),"")))</f>
        <v/>
      </c>
      <c r="D162">
        <f>IF(OR($A162="",$C162=""),"",IF(ISNUMBER(Wages!$B165),INT(MOD(Wages!$B165,10000)/100),IFERROR(VALUE(TRIM(LEFT(MID(Wages!$B165,FIND("/",Wages!$B165)+1,20),FIND("/",MID(Wages!$B165,FIND("/",Wages!$B165)+1,20))-1))),"")))</f>
        <v/>
      </c>
      <c r="E162">
        <f>IF(OR($A162="",$C162=""),"",IF(ISNUMBER(Wages!$B165),MOD(Wages!$B165,100),IFERROR(VALUE(TRIM(MID(MID(Wages!$B165,FIND("/",Wages!$B165)+1,20),FIND("/",MID(Wages!$B165,FIND("/",Wages!$B165)+1,20))+1,20))),"")))</f>
        <v/>
      </c>
      <c r="F162">
        <f>IF($A162="","",IF(OR($C162="",$D162="",$E162="",$C162&lt;1300,$C162&gt;1500,$D162&lt;1,$D162&gt;12,$E162&lt;1,$E162&gt;31),"نامعتبر",RIGHT("0000"&amp;$C162,4)&amp;"/"&amp;RIGHT("00"&amp;$D162,2)&amp;"/"&amp;RIGHT("00"&amp;$E162,2)))</f>
        <v/>
      </c>
      <c r="G162">
        <f>IF(OR($A162="",$F162="",$F162="نامعتبر"),"",LEFT($F162,4)&amp;MID($F162,6,2)&amp;RIGHT($F162,2)&amp;"0000"&amp;"|"&amp;"1"&amp;RIGHT("00000"&amp;157,5))</f>
        <v/>
      </c>
      <c r="H162">
        <f>IF(OR($B162&lt;&gt;1,$G162=""),"",COUNTIFS(LdAParty,$A162,LdAType,1,LdAKey,"&lt;"&amp;$G162)+COUNTIFS(LdBMember,$A162,LdBKey,"&lt;"&amp;$G162)+COUNTIFS(LdCParty,$A162,LdCKey,"&lt;"&amp;$G162)+1)</f>
        <v/>
      </c>
      <c r="I162">
        <f>IF($H162="","",$A162&amp;"|"&amp;RIGHT("000000"&amp;$H162,6))</f>
        <v/>
      </c>
      <c r="J162">
        <f>IF(OR($B162&lt;&gt;2,$G162=""),"",COUNTIFS(LdAParty,$A162,LdAType,2,LdAKey,"&lt;"&amp;$G162)+1)</f>
        <v/>
      </c>
      <c r="K162">
        <f>IF($J162="","",$A162&amp;"|"&amp;RIGHT("000000"&amp;$J162,6))</f>
        <v/>
      </c>
      <c r="L162">
        <f>IF($A162="","",IF(Wages!$G165="",0,Wages!$G165))</f>
        <v/>
      </c>
      <c r="M162">
        <f>IF($A162="","",Wages!$J165)</f>
        <v/>
      </c>
      <c r="N162">
        <f>IF($A162="","",Wages!$D165)</f>
        <v/>
      </c>
      <c r="P162">
        <f>IF(OR(Shares!$B165="",Shares!$C165=""),"",Shares!$C165)</f>
        <v/>
      </c>
      <c r="Q162">
        <f>IF($P162="","",Shares!$B165)</f>
        <v/>
      </c>
      <c r="R162">
        <f>IF($P162="","",IFERROR(INDEX(WageParty,MATCH($Q162,WageIds,0)),""))</f>
        <v/>
      </c>
      <c r="S162">
        <f>IF($P162="","",IFERROR(INDEX($F$6:$F$2005,MATCH($Q162,WageIds,0)),""))</f>
        <v/>
      </c>
      <c r="T162">
        <f>IF(OR($P162="",$S162="",$S162="نامعتبر"),"",LEFT($S162,4)&amp;MID($S162,6,2)&amp;RIGHT($S162,2)&amp;"0000"&amp;"|"&amp;"2"&amp;RIGHT("00000"&amp;157,5))</f>
        <v/>
      </c>
      <c r="U162">
        <f>IF($T162="","",COUNTIFS(LdAParty,$P162,LdAType,1,LdAKey,"&lt;"&amp;$T162)+COUNTIFS(LdBMember,$P162,LdBKey,"&lt;"&amp;$T162)+COUNTIFS(LdCParty,$P162,LdCKey,"&lt;"&amp;$T162)+1)</f>
        <v/>
      </c>
      <c r="V162">
        <f>IF($U162="","",$P162&amp;"|"&amp;RIGHT("000000"&amp;$U162,6))</f>
        <v/>
      </c>
      <c r="W162">
        <f>IF($T162="","",COUNTIFS(LdBGroup,$R162,LdBKey,"&lt;"&amp;$T162)+1)</f>
        <v/>
      </c>
      <c r="X162">
        <f>IF($W162="","",$R162&amp;"|"&amp;RIGHT("000000"&amp;$W162,6))</f>
        <v/>
      </c>
      <c r="Y162">
        <f>IF($P162="","",IF(Shares!$E165="",0,Shares!$E165))</f>
        <v/>
      </c>
      <c r="Z162">
        <f>IF($P162="","",Shares!$H165)</f>
        <v/>
      </c>
      <c r="AE162">
        <f>IF(OR(Sync!$S162="",Sync!$P162=""),"",Sync!$S162)</f>
        <v/>
      </c>
      <c r="AF162">
        <f>IF($AE162="","",IF(ISNUMBER(Sync!$P162),IF(AND(Sync!$P162&gt;=10000101,Sync!$P162&lt;=99991231),INT(Sync!$P162/10000),""),IFERROR(VALUE(TRIM(LEFT(Sync!$P162,FIND("/",Sync!$P162)-1))),"")))</f>
        <v/>
      </c>
      <c r="AG162">
        <f>IF(OR($AE162="",$AF162=""),"",IF(ISNUMBER(Sync!$P162),INT(MOD(Sync!$P162,10000)/100),IFERROR(VALUE(TRIM(LEFT(MID(Sync!$P162,FIND("/",Sync!$P162)+1,20),FIND("/",MID(Sync!$P162,FIND("/",Sync!$P162)+1,20))-1))),"")))</f>
        <v/>
      </c>
      <c r="AH162">
        <f>IF(OR($AE162="",$AF162=""),"",IF(ISNUMBER(Sync!$P162),MOD(Sync!$P162,100),IFERROR(VALUE(TRIM(MID(MID(Sync!$P162,FIND("/",Sync!$P162)+1,20),FIND("/",MID(Sync!$P162,FIND("/",Sync!$P162)+1,20))+1,20))),"")))</f>
        <v/>
      </c>
      <c r="AI162">
        <f>IF($AE162="","",IF(OR($AF162="",$AG162="",$AH162="",$AF162&lt;1300,$AF162&gt;1500,$AG162&lt;1,$AG162&gt;12,$AH162&lt;1,$AH162&gt;31),"نامعتبر",RIGHT("0000"&amp;$AF162,4)&amp;"/"&amp;RIGHT("00"&amp;$AG162,2)&amp;"/"&amp;RIGHT("00"&amp;$AH162,2)))</f>
        <v/>
      </c>
      <c r="AJ162">
        <f>IF($AE162="","",IF(Sync!$Q162="","0000",IF(AND(ISNUMBER(Sync!$Q162),Sync!$Q162&gt;=0,Sync!$Q162&lt;1),RIGHT("00"&amp;HOUR(Sync!$Q162),2)&amp;RIGHT("00"&amp;MINUTE(Sync!$Q162),2),IFERROR(RIGHT("00"&amp;VALUE(LEFT(Sync!$Q162,FIND(":",Sync!$Q162)-1)),2)&amp;RIGHT("00"&amp;VALUE(MID(Sync!$Q162,FIND(":",Sync!$Q162)+1,2)),2),"0000"))))</f>
        <v/>
      </c>
      <c r="AK162">
        <f>IF(OR($AE162="",$AI162="",$AI162="نامعتبر"),"",LEFT($AI162,4)&amp;MID($AI162,6,2)&amp;RIGHT($AI162,2)&amp;$AJ162&amp;"|"&amp;"3"&amp;RIGHT("00000"&amp;157,5))</f>
        <v/>
      </c>
      <c r="AL162">
        <f>IF($AK162="","",COUNTIFS(LdAParty,$AE162,LdAType,1,LdAKey,"&lt;"&amp;$AK162)+COUNTIFS(LdBMember,$AE162,LdBKey,"&lt;"&amp;$AK162)+COUNTIFS(LdCParty,$AE162,LdCKey,"&lt;"&amp;$AK162)+1)</f>
        <v/>
      </c>
      <c r="AM162">
        <f>IF($AL162="","",$AE162&amp;"|"&amp;RIGHT("000000"&amp;$AL162,6))</f>
        <v/>
      </c>
      <c r="AN162">
        <f>IF($AE162="","",IF(Sync!$W162="",0,Sync!$W162))</f>
        <v/>
      </c>
      <c r="AO162">
        <f>IF($AE162="","",IF(Sync!$X162="",0,Sync!$X162))</f>
        <v/>
      </c>
      <c r="AP162">
        <f>IF($AE162="","",Sync!$R162)</f>
        <v/>
      </c>
      <c r="AQ162">
        <f>IF($AE162="","",Sync!$Y162)</f>
        <v/>
      </c>
    </row>
    <row r="163">
      <c r="A163">
        <f>IF(OR(Wages!$B166="",Wages!$E166=""),"",Wages!$E166)</f>
        <v/>
      </c>
      <c r="B163">
        <f>IF($A163="","",IF(Wages!$C166="دستمزد گروهی",2,1))</f>
        <v/>
      </c>
      <c r="C163">
        <f>IF($A163="","",IF(ISNUMBER(Wages!$B166),IF(AND(Wages!$B166&gt;=10000101,Wages!$B166&lt;=99991231),INT(Wages!$B166/10000),""),IFERROR(VALUE(TRIM(LEFT(Wages!$B166,FIND("/",Wages!$B166)-1))),"")))</f>
        <v/>
      </c>
      <c r="D163">
        <f>IF(OR($A163="",$C163=""),"",IF(ISNUMBER(Wages!$B166),INT(MOD(Wages!$B166,10000)/100),IFERROR(VALUE(TRIM(LEFT(MID(Wages!$B166,FIND("/",Wages!$B166)+1,20),FIND("/",MID(Wages!$B166,FIND("/",Wages!$B166)+1,20))-1))),"")))</f>
        <v/>
      </c>
      <c r="E163">
        <f>IF(OR($A163="",$C163=""),"",IF(ISNUMBER(Wages!$B166),MOD(Wages!$B166,100),IFERROR(VALUE(TRIM(MID(MID(Wages!$B166,FIND("/",Wages!$B166)+1,20),FIND("/",MID(Wages!$B166,FIND("/",Wages!$B166)+1,20))+1,20))),"")))</f>
        <v/>
      </c>
      <c r="F163">
        <f>IF($A163="","",IF(OR($C163="",$D163="",$E163="",$C163&lt;1300,$C163&gt;1500,$D163&lt;1,$D163&gt;12,$E163&lt;1,$E163&gt;31),"نامعتبر",RIGHT("0000"&amp;$C163,4)&amp;"/"&amp;RIGHT("00"&amp;$D163,2)&amp;"/"&amp;RIGHT("00"&amp;$E163,2)))</f>
        <v/>
      </c>
      <c r="G163">
        <f>IF(OR($A163="",$F163="",$F163="نامعتبر"),"",LEFT($F163,4)&amp;MID($F163,6,2)&amp;RIGHT($F163,2)&amp;"0000"&amp;"|"&amp;"1"&amp;RIGHT("00000"&amp;158,5))</f>
        <v/>
      </c>
      <c r="H163">
        <f>IF(OR($B163&lt;&gt;1,$G163=""),"",COUNTIFS(LdAParty,$A163,LdAType,1,LdAKey,"&lt;"&amp;$G163)+COUNTIFS(LdBMember,$A163,LdBKey,"&lt;"&amp;$G163)+COUNTIFS(LdCParty,$A163,LdCKey,"&lt;"&amp;$G163)+1)</f>
        <v/>
      </c>
      <c r="I163">
        <f>IF($H163="","",$A163&amp;"|"&amp;RIGHT("000000"&amp;$H163,6))</f>
        <v/>
      </c>
      <c r="J163">
        <f>IF(OR($B163&lt;&gt;2,$G163=""),"",COUNTIFS(LdAParty,$A163,LdAType,2,LdAKey,"&lt;"&amp;$G163)+1)</f>
        <v/>
      </c>
      <c r="K163">
        <f>IF($J163="","",$A163&amp;"|"&amp;RIGHT("000000"&amp;$J163,6))</f>
        <v/>
      </c>
      <c r="L163">
        <f>IF($A163="","",IF(Wages!$G166="",0,Wages!$G166))</f>
        <v/>
      </c>
      <c r="M163">
        <f>IF($A163="","",Wages!$J166)</f>
        <v/>
      </c>
      <c r="N163">
        <f>IF($A163="","",Wages!$D166)</f>
        <v/>
      </c>
      <c r="P163">
        <f>IF(OR(Shares!$B166="",Shares!$C166=""),"",Shares!$C166)</f>
        <v/>
      </c>
      <c r="Q163">
        <f>IF($P163="","",Shares!$B166)</f>
        <v/>
      </c>
      <c r="R163">
        <f>IF($P163="","",IFERROR(INDEX(WageParty,MATCH($Q163,WageIds,0)),""))</f>
        <v/>
      </c>
      <c r="S163">
        <f>IF($P163="","",IFERROR(INDEX($F$6:$F$2005,MATCH($Q163,WageIds,0)),""))</f>
        <v/>
      </c>
      <c r="T163">
        <f>IF(OR($P163="",$S163="",$S163="نامعتبر"),"",LEFT($S163,4)&amp;MID($S163,6,2)&amp;RIGHT($S163,2)&amp;"0000"&amp;"|"&amp;"2"&amp;RIGHT("00000"&amp;158,5))</f>
        <v/>
      </c>
      <c r="U163">
        <f>IF($T163="","",COUNTIFS(LdAParty,$P163,LdAType,1,LdAKey,"&lt;"&amp;$T163)+COUNTIFS(LdBMember,$P163,LdBKey,"&lt;"&amp;$T163)+COUNTIFS(LdCParty,$P163,LdCKey,"&lt;"&amp;$T163)+1)</f>
        <v/>
      </c>
      <c r="V163">
        <f>IF($U163="","",$P163&amp;"|"&amp;RIGHT("000000"&amp;$U163,6))</f>
        <v/>
      </c>
      <c r="W163">
        <f>IF($T163="","",COUNTIFS(LdBGroup,$R163,LdBKey,"&lt;"&amp;$T163)+1)</f>
        <v/>
      </c>
      <c r="X163">
        <f>IF($W163="","",$R163&amp;"|"&amp;RIGHT("000000"&amp;$W163,6))</f>
        <v/>
      </c>
      <c r="Y163">
        <f>IF($P163="","",IF(Shares!$E166="",0,Shares!$E166))</f>
        <v/>
      </c>
      <c r="Z163">
        <f>IF($P163="","",Shares!$H166)</f>
        <v/>
      </c>
      <c r="AE163">
        <f>IF(OR(Sync!$S163="",Sync!$P163=""),"",Sync!$S163)</f>
        <v/>
      </c>
      <c r="AF163">
        <f>IF($AE163="","",IF(ISNUMBER(Sync!$P163),IF(AND(Sync!$P163&gt;=10000101,Sync!$P163&lt;=99991231),INT(Sync!$P163/10000),""),IFERROR(VALUE(TRIM(LEFT(Sync!$P163,FIND("/",Sync!$P163)-1))),"")))</f>
        <v/>
      </c>
      <c r="AG163">
        <f>IF(OR($AE163="",$AF163=""),"",IF(ISNUMBER(Sync!$P163),INT(MOD(Sync!$P163,10000)/100),IFERROR(VALUE(TRIM(LEFT(MID(Sync!$P163,FIND("/",Sync!$P163)+1,20),FIND("/",MID(Sync!$P163,FIND("/",Sync!$P163)+1,20))-1))),"")))</f>
        <v/>
      </c>
      <c r="AH163">
        <f>IF(OR($AE163="",$AF163=""),"",IF(ISNUMBER(Sync!$P163),MOD(Sync!$P163,100),IFERROR(VALUE(TRIM(MID(MID(Sync!$P163,FIND("/",Sync!$P163)+1,20),FIND("/",MID(Sync!$P163,FIND("/",Sync!$P163)+1,20))+1,20))),"")))</f>
        <v/>
      </c>
      <c r="AI163">
        <f>IF($AE163="","",IF(OR($AF163="",$AG163="",$AH163="",$AF163&lt;1300,$AF163&gt;1500,$AG163&lt;1,$AG163&gt;12,$AH163&lt;1,$AH163&gt;31),"نامعتبر",RIGHT("0000"&amp;$AF163,4)&amp;"/"&amp;RIGHT("00"&amp;$AG163,2)&amp;"/"&amp;RIGHT("00"&amp;$AH163,2)))</f>
        <v/>
      </c>
      <c r="AJ163">
        <f>IF($AE163="","",IF(Sync!$Q163="","0000",IF(AND(ISNUMBER(Sync!$Q163),Sync!$Q163&gt;=0,Sync!$Q163&lt;1),RIGHT("00"&amp;HOUR(Sync!$Q163),2)&amp;RIGHT("00"&amp;MINUTE(Sync!$Q163),2),IFERROR(RIGHT("00"&amp;VALUE(LEFT(Sync!$Q163,FIND(":",Sync!$Q163)-1)),2)&amp;RIGHT("00"&amp;VALUE(MID(Sync!$Q163,FIND(":",Sync!$Q163)+1,2)),2),"0000"))))</f>
        <v/>
      </c>
      <c r="AK163">
        <f>IF(OR($AE163="",$AI163="",$AI163="نامعتبر"),"",LEFT($AI163,4)&amp;MID($AI163,6,2)&amp;RIGHT($AI163,2)&amp;$AJ163&amp;"|"&amp;"3"&amp;RIGHT("00000"&amp;158,5))</f>
        <v/>
      </c>
      <c r="AL163">
        <f>IF($AK163="","",COUNTIFS(LdAParty,$AE163,LdAType,1,LdAKey,"&lt;"&amp;$AK163)+COUNTIFS(LdBMember,$AE163,LdBKey,"&lt;"&amp;$AK163)+COUNTIFS(LdCParty,$AE163,LdCKey,"&lt;"&amp;$AK163)+1)</f>
        <v/>
      </c>
      <c r="AM163">
        <f>IF($AL163="","",$AE163&amp;"|"&amp;RIGHT("000000"&amp;$AL163,6))</f>
        <v/>
      </c>
      <c r="AN163">
        <f>IF($AE163="","",IF(Sync!$W163="",0,Sync!$W163))</f>
        <v/>
      </c>
      <c r="AO163">
        <f>IF($AE163="","",IF(Sync!$X163="",0,Sync!$X163))</f>
        <v/>
      </c>
      <c r="AP163">
        <f>IF($AE163="","",Sync!$R163)</f>
        <v/>
      </c>
      <c r="AQ163">
        <f>IF($AE163="","",Sync!$Y163)</f>
        <v/>
      </c>
    </row>
    <row r="164">
      <c r="A164">
        <f>IF(OR(Wages!$B167="",Wages!$E167=""),"",Wages!$E167)</f>
        <v/>
      </c>
      <c r="B164">
        <f>IF($A164="","",IF(Wages!$C167="دستمزد گروهی",2,1))</f>
        <v/>
      </c>
      <c r="C164">
        <f>IF($A164="","",IF(ISNUMBER(Wages!$B167),IF(AND(Wages!$B167&gt;=10000101,Wages!$B167&lt;=99991231),INT(Wages!$B167/10000),""),IFERROR(VALUE(TRIM(LEFT(Wages!$B167,FIND("/",Wages!$B167)-1))),"")))</f>
        <v/>
      </c>
      <c r="D164">
        <f>IF(OR($A164="",$C164=""),"",IF(ISNUMBER(Wages!$B167),INT(MOD(Wages!$B167,10000)/100),IFERROR(VALUE(TRIM(LEFT(MID(Wages!$B167,FIND("/",Wages!$B167)+1,20),FIND("/",MID(Wages!$B167,FIND("/",Wages!$B167)+1,20))-1))),"")))</f>
        <v/>
      </c>
      <c r="E164">
        <f>IF(OR($A164="",$C164=""),"",IF(ISNUMBER(Wages!$B167),MOD(Wages!$B167,100),IFERROR(VALUE(TRIM(MID(MID(Wages!$B167,FIND("/",Wages!$B167)+1,20),FIND("/",MID(Wages!$B167,FIND("/",Wages!$B167)+1,20))+1,20))),"")))</f>
        <v/>
      </c>
      <c r="F164">
        <f>IF($A164="","",IF(OR($C164="",$D164="",$E164="",$C164&lt;1300,$C164&gt;1500,$D164&lt;1,$D164&gt;12,$E164&lt;1,$E164&gt;31),"نامعتبر",RIGHT("0000"&amp;$C164,4)&amp;"/"&amp;RIGHT("00"&amp;$D164,2)&amp;"/"&amp;RIGHT("00"&amp;$E164,2)))</f>
        <v/>
      </c>
      <c r="G164">
        <f>IF(OR($A164="",$F164="",$F164="نامعتبر"),"",LEFT($F164,4)&amp;MID($F164,6,2)&amp;RIGHT($F164,2)&amp;"0000"&amp;"|"&amp;"1"&amp;RIGHT("00000"&amp;159,5))</f>
        <v/>
      </c>
      <c r="H164">
        <f>IF(OR($B164&lt;&gt;1,$G164=""),"",COUNTIFS(LdAParty,$A164,LdAType,1,LdAKey,"&lt;"&amp;$G164)+COUNTIFS(LdBMember,$A164,LdBKey,"&lt;"&amp;$G164)+COUNTIFS(LdCParty,$A164,LdCKey,"&lt;"&amp;$G164)+1)</f>
        <v/>
      </c>
      <c r="I164">
        <f>IF($H164="","",$A164&amp;"|"&amp;RIGHT("000000"&amp;$H164,6))</f>
        <v/>
      </c>
      <c r="J164">
        <f>IF(OR($B164&lt;&gt;2,$G164=""),"",COUNTIFS(LdAParty,$A164,LdAType,2,LdAKey,"&lt;"&amp;$G164)+1)</f>
        <v/>
      </c>
      <c r="K164">
        <f>IF($J164="","",$A164&amp;"|"&amp;RIGHT("000000"&amp;$J164,6))</f>
        <v/>
      </c>
      <c r="L164">
        <f>IF($A164="","",IF(Wages!$G167="",0,Wages!$G167))</f>
        <v/>
      </c>
      <c r="M164">
        <f>IF($A164="","",Wages!$J167)</f>
        <v/>
      </c>
      <c r="N164">
        <f>IF($A164="","",Wages!$D167)</f>
        <v/>
      </c>
      <c r="P164">
        <f>IF(OR(Shares!$B167="",Shares!$C167=""),"",Shares!$C167)</f>
        <v/>
      </c>
      <c r="Q164">
        <f>IF($P164="","",Shares!$B167)</f>
        <v/>
      </c>
      <c r="R164">
        <f>IF($P164="","",IFERROR(INDEX(WageParty,MATCH($Q164,WageIds,0)),""))</f>
        <v/>
      </c>
      <c r="S164">
        <f>IF($P164="","",IFERROR(INDEX($F$6:$F$2005,MATCH($Q164,WageIds,0)),""))</f>
        <v/>
      </c>
      <c r="T164">
        <f>IF(OR($P164="",$S164="",$S164="نامعتبر"),"",LEFT($S164,4)&amp;MID($S164,6,2)&amp;RIGHT($S164,2)&amp;"0000"&amp;"|"&amp;"2"&amp;RIGHT("00000"&amp;159,5))</f>
        <v/>
      </c>
      <c r="U164">
        <f>IF($T164="","",COUNTIFS(LdAParty,$P164,LdAType,1,LdAKey,"&lt;"&amp;$T164)+COUNTIFS(LdBMember,$P164,LdBKey,"&lt;"&amp;$T164)+COUNTIFS(LdCParty,$P164,LdCKey,"&lt;"&amp;$T164)+1)</f>
        <v/>
      </c>
      <c r="V164">
        <f>IF($U164="","",$P164&amp;"|"&amp;RIGHT("000000"&amp;$U164,6))</f>
        <v/>
      </c>
      <c r="W164">
        <f>IF($T164="","",COUNTIFS(LdBGroup,$R164,LdBKey,"&lt;"&amp;$T164)+1)</f>
        <v/>
      </c>
      <c r="X164">
        <f>IF($W164="","",$R164&amp;"|"&amp;RIGHT("000000"&amp;$W164,6))</f>
        <v/>
      </c>
      <c r="Y164">
        <f>IF($P164="","",IF(Shares!$E167="",0,Shares!$E167))</f>
        <v/>
      </c>
      <c r="Z164">
        <f>IF($P164="","",Shares!$H167)</f>
        <v/>
      </c>
      <c r="AE164">
        <f>IF(OR(Sync!$S164="",Sync!$P164=""),"",Sync!$S164)</f>
        <v/>
      </c>
      <c r="AF164">
        <f>IF($AE164="","",IF(ISNUMBER(Sync!$P164),IF(AND(Sync!$P164&gt;=10000101,Sync!$P164&lt;=99991231),INT(Sync!$P164/10000),""),IFERROR(VALUE(TRIM(LEFT(Sync!$P164,FIND("/",Sync!$P164)-1))),"")))</f>
        <v/>
      </c>
      <c r="AG164">
        <f>IF(OR($AE164="",$AF164=""),"",IF(ISNUMBER(Sync!$P164),INT(MOD(Sync!$P164,10000)/100),IFERROR(VALUE(TRIM(LEFT(MID(Sync!$P164,FIND("/",Sync!$P164)+1,20),FIND("/",MID(Sync!$P164,FIND("/",Sync!$P164)+1,20))-1))),"")))</f>
        <v/>
      </c>
      <c r="AH164">
        <f>IF(OR($AE164="",$AF164=""),"",IF(ISNUMBER(Sync!$P164),MOD(Sync!$P164,100),IFERROR(VALUE(TRIM(MID(MID(Sync!$P164,FIND("/",Sync!$P164)+1,20),FIND("/",MID(Sync!$P164,FIND("/",Sync!$P164)+1,20))+1,20))),"")))</f>
        <v/>
      </c>
      <c r="AI164">
        <f>IF($AE164="","",IF(OR($AF164="",$AG164="",$AH164="",$AF164&lt;1300,$AF164&gt;1500,$AG164&lt;1,$AG164&gt;12,$AH164&lt;1,$AH164&gt;31),"نامعتبر",RIGHT("0000"&amp;$AF164,4)&amp;"/"&amp;RIGHT("00"&amp;$AG164,2)&amp;"/"&amp;RIGHT("00"&amp;$AH164,2)))</f>
        <v/>
      </c>
      <c r="AJ164">
        <f>IF($AE164="","",IF(Sync!$Q164="","0000",IF(AND(ISNUMBER(Sync!$Q164),Sync!$Q164&gt;=0,Sync!$Q164&lt;1),RIGHT("00"&amp;HOUR(Sync!$Q164),2)&amp;RIGHT("00"&amp;MINUTE(Sync!$Q164),2),IFERROR(RIGHT("00"&amp;VALUE(LEFT(Sync!$Q164,FIND(":",Sync!$Q164)-1)),2)&amp;RIGHT("00"&amp;VALUE(MID(Sync!$Q164,FIND(":",Sync!$Q164)+1,2)),2),"0000"))))</f>
        <v/>
      </c>
      <c r="AK164">
        <f>IF(OR($AE164="",$AI164="",$AI164="نامعتبر"),"",LEFT($AI164,4)&amp;MID($AI164,6,2)&amp;RIGHT($AI164,2)&amp;$AJ164&amp;"|"&amp;"3"&amp;RIGHT("00000"&amp;159,5))</f>
        <v/>
      </c>
      <c r="AL164">
        <f>IF($AK164="","",COUNTIFS(LdAParty,$AE164,LdAType,1,LdAKey,"&lt;"&amp;$AK164)+COUNTIFS(LdBMember,$AE164,LdBKey,"&lt;"&amp;$AK164)+COUNTIFS(LdCParty,$AE164,LdCKey,"&lt;"&amp;$AK164)+1)</f>
        <v/>
      </c>
      <c r="AM164">
        <f>IF($AL164="","",$AE164&amp;"|"&amp;RIGHT("000000"&amp;$AL164,6))</f>
        <v/>
      </c>
      <c r="AN164">
        <f>IF($AE164="","",IF(Sync!$W164="",0,Sync!$W164))</f>
        <v/>
      </c>
      <c r="AO164">
        <f>IF($AE164="","",IF(Sync!$X164="",0,Sync!$X164))</f>
        <v/>
      </c>
      <c r="AP164">
        <f>IF($AE164="","",Sync!$R164)</f>
        <v/>
      </c>
      <c r="AQ164">
        <f>IF($AE164="","",Sync!$Y164)</f>
        <v/>
      </c>
    </row>
    <row r="165">
      <c r="A165">
        <f>IF(OR(Wages!$B168="",Wages!$E168=""),"",Wages!$E168)</f>
        <v/>
      </c>
      <c r="B165">
        <f>IF($A165="","",IF(Wages!$C168="دستمزد گروهی",2,1))</f>
        <v/>
      </c>
      <c r="C165">
        <f>IF($A165="","",IF(ISNUMBER(Wages!$B168),IF(AND(Wages!$B168&gt;=10000101,Wages!$B168&lt;=99991231),INT(Wages!$B168/10000),""),IFERROR(VALUE(TRIM(LEFT(Wages!$B168,FIND("/",Wages!$B168)-1))),"")))</f>
        <v/>
      </c>
      <c r="D165">
        <f>IF(OR($A165="",$C165=""),"",IF(ISNUMBER(Wages!$B168),INT(MOD(Wages!$B168,10000)/100),IFERROR(VALUE(TRIM(LEFT(MID(Wages!$B168,FIND("/",Wages!$B168)+1,20),FIND("/",MID(Wages!$B168,FIND("/",Wages!$B168)+1,20))-1))),"")))</f>
        <v/>
      </c>
      <c r="E165">
        <f>IF(OR($A165="",$C165=""),"",IF(ISNUMBER(Wages!$B168),MOD(Wages!$B168,100),IFERROR(VALUE(TRIM(MID(MID(Wages!$B168,FIND("/",Wages!$B168)+1,20),FIND("/",MID(Wages!$B168,FIND("/",Wages!$B168)+1,20))+1,20))),"")))</f>
        <v/>
      </c>
      <c r="F165">
        <f>IF($A165="","",IF(OR($C165="",$D165="",$E165="",$C165&lt;1300,$C165&gt;1500,$D165&lt;1,$D165&gt;12,$E165&lt;1,$E165&gt;31),"نامعتبر",RIGHT("0000"&amp;$C165,4)&amp;"/"&amp;RIGHT("00"&amp;$D165,2)&amp;"/"&amp;RIGHT("00"&amp;$E165,2)))</f>
        <v/>
      </c>
      <c r="G165">
        <f>IF(OR($A165="",$F165="",$F165="نامعتبر"),"",LEFT($F165,4)&amp;MID($F165,6,2)&amp;RIGHT($F165,2)&amp;"0000"&amp;"|"&amp;"1"&amp;RIGHT("00000"&amp;160,5))</f>
        <v/>
      </c>
      <c r="H165">
        <f>IF(OR($B165&lt;&gt;1,$G165=""),"",COUNTIFS(LdAParty,$A165,LdAType,1,LdAKey,"&lt;"&amp;$G165)+COUNTIFS(LdBMember,$A165,LdBKey,"&lt;"&amp;$G165)+COUNTIFS(LdCParty,$A165,LdCKey,"&lt;"&amp;$G165)+1)</f>
        <v/>
      </c>
      <c r="I165">
        <f>IF($H165="","",$A165&amp;"|"&amp;RIGHT("000000"&amp;$H165,6))</f>
        <v/>
      </c>
      <c r="J165">
        <f>IF(OR($B165&lt;&gt;2,$G165=""),"",COUNTIFS(LdAParty,$A165,LdAType,2,LdAKey,"&lt;"&amp;$G165)+1)</f>
        <v/>
      </c>
      <c r="K165">
        <f>IF($J165="","",$A165&amp;"|"&amp;RIGHT("000000"&amp;$J165,6))</f>
        <v/>
      </c>
      <c r="L165">
        <f>IF($A165="","",IF(Wages!$G168="",0,Wages!$G168))</f>
        <v/>
      </c>
      <c r="M165">
        <f>IF($A165="","",Wages!$J168)</f>
        <v/>
      </c>
      <c r="N165">
        <f>IF($A165="","",Wages!$D168)</f>
        <v/>
      </c>
      <c r="P165">
        <f>IF(OR(Shares!$B168="",Shares!$C168=""),"",Shares!$C168)</f>
        <v/>
      </c>
      <c r="Q165">
        <f>IF($P165="","",Shares!$B168)</f>
        <v/>
      </c>
      <c r="R165">
        <f>IF($P165="","",IFERROR(INDEX(WageParty,MATCH($Q165,WageIds,0)),""))</f>
        <v/>
      </c>
      <c r="S165">
        <f>IF($P165="","",IFERROR(INDEX($F$6:$F$2005,MATCH($Q165,WageIds,0)),""))</f>
        <v/>
      </c>
      <c r="T165">
        <f>IF(OR($P165="",$S165="",$S165="نامعتبر"),"",LEFT($S165,4)&amp;MID($S165,6,2)&amp;RIGHT($S165,2)&amp;"0000"&amp;"|"&amp;"2"&amp;RIGHT("00000"&amp;160,5))</f>
        <v/>
      </c>
      <c r="U165">
        <f>IF($T165="","",COUNTIFS(LdAParty,$P165,LdAType,1,LdAKey,"&lt;"&amp;$T165)+COUNTIFS(LdBMember,$P165,LdBKey,"&lt;"&amp;$T165)+COUNTIFS(LdCParty,$P165,LdCKey,"&lt;"&amp;$T165)+1)</f>
        <v/>
      </c>
      <c r="V165">
        <f>IF($U165="","",$P165&amp;"|"&amp;RIGHT("000000"&amp;$U165,6))</f>
        <v/>
      </c>
      <c r="W165">
        <f>IF($T165="","",COUNTIFS(LdBGroup,$R165,LdBKey,"&lt;"&amp;$T165)+1)</f>
        <v/>
      </c>
      <c r="X165">
        <f>IF($W165="","",$R165&amp;"|"&amp;RIGHT("000000"&amp;$W165,6))</f>
        <v/>
      </c>
      <c r="Y165">
        <f>IF($P165="","",IF(Shares!$E168="",0,Shares!$E168))</f>
        <v/>
      </c>
      <c r="Z165">
        <f>IF($P165="","",Shares!$H168)</f>
        <v/>
      </c>
      <c r="AE165">
        <f>IF(OR(Sync!$S165="",Sync!$P165=""),"",Sync!$S165)</f>
        <v/>
      </c>
      <c r="AF165">
        <f>IF($AE165="","",IF(ISNUMBER(Sync!$P165),IF(AND(Sync!$P165&gt;=10000101,Sync!$P165&lt;=99991231),INT(Sync!$P165/10000),""),IFERROR(VALUE(TRIM(LEFT(Sync!$P165,FIND("/",Sync!$P165)-1))),"")))</f>
        <v/>
      </c>
      <c r="AG165">
        <f>IF(OR($AE165="",$AF165=""),"",IF(ISNUMBER(Sync!$P165),INT(MOD(Sync!$P165,10000)/100),IFERROR(VALUE(TRIM(LEFT(MID(Sync!$P165,FIND("/",Sync!$P165)+1,20),FIND("/",MID(Sync!$P165,FIND("/",Sync!$P165)+1,20))-1))),"")))</f>
        <v/>
      </c>
      <c r="AH165">
        <f>IF(OR($AE165="",$AF165=""),"",IF(ISNUMBER(Sync!$P165),MOD(Sync!$P165,100),IFERROR(VALUE(TRIM(MID(MID(Sync!$P165,FIND("/",Sync!$P165)+1,20),FIND("/",MID(Sync!$P165,FIND("/",Sync!$P165)+1,20))+1,20))),"")))</f>
        <v/>
      </c>
      <c r="AI165">
        <f>IF($AE165="","",IF(OR($AF165="",$AG165="",$AH165="",$AF165&lt;1300,$AF165&gt;1500,$AG165&lt;1,$AG165&gt;12,$AH165&lt;1,$AH165&gt;31),"نامعتبر",RIGHT("0000"&amp;$AF165,4)&amp;"/"&amp;RIGHT("00"&amp;$AG165,2)&amp;"/"&amp;RIGHT("00"&amp;$AH165,2)))</f>
        <v/>
      </c>
      <c r="AJ165">
        <f>IF($AE165="","",IF(Sync!$Q165="","0000",IF(AND(ISNUMBER(Sync!$Q165),Sync!$Q165&gt;=0,Sync!$Q165&lt;1),RIGHT("00"&amp;HOUR(Sync!$Q165),2)&amp;RIGHT("00"&amp;MINUTE(Sync!$Q165),2),IFERROR(RIGHT("00"&amp;VALUE(LEFT(Sync!$Q165,FIND(":",Sync!$Q165)-1)),2)&amp;RIGHT("00"&amp;VALUE(MID(Sync!$Q165,FIND(":",Sync!$Q165)+1,2)),2),"0000"))))</f>
        <v/>
      </c>
      <c r="AK165">
        <f>IF(OR($AE165="",$AI165="",$AI165="نامعتبر"),"",LEFT($AI165,4)&amp;MID($AI165,6,2)&amp;RIGHT($AI165,2)&amp;$AJ165&amp;"|"&amp;"3"&amp;RIGHT("00000"&amp;160,5))</f>
        <v/>
      </c>
      <c r="AL165">
        <f>IF($AK165="","",COUNTIFS(LdAParty,$AE165,LdAType,1,LdAKey,"&lt;"&amp;$AK165)+COUNTIFS(LdBMember,$AE165,LdBKey,"&lt;"&amp;$AK165)+COUNTIFS(LdCParty,$AE165,LdCKey,"&lt;"&amp;$AK165)+1)</f>
        <v/>
      </c>
      <c r="AM165">
        <f>IF($AL165="","",$AE165&amp;"|"&amp;RIGHT("000000"&amp;$AL165,6))</f>
        <v/>
      </c>
      <c r="AN165">
        <f>IF($AE165="","",IF(Sync!$W165="",0,Sync!$W165))</f>
        <v/>
      </c>
      <c r="AO165">
        <f>IF($AE165="","",IF(Sync!$X165="",0,Sync!$X165))</f>
        <v/>
      </c>
      <c r="AP165">
        <f>IF($AE165="","",Sync!$R165)</f>
        <v/>
      </c>
      <c r="AQ165">
        <f>IF($AE165="","",Sync!$Y165)</f>
        <v/>
      </c>
    </row>
    <row r="166">
      <c r="A166">
        <f>IF(OR(Wages!$B169="",Wages!$E169=""),"",Wages!$E169)</f>
        <v/>
      </c>
      <c r="B166">
        <f>IF($A166="","",IF(Wages!$C169="دستمزد گروهی",2,1))</f>
        <v/>
      </c>
      <c r="C166">
        <f>IF($A166="","",IF(ISNUMBER(Wages!$B169),IF(AND(Wages!$B169&gt;=10000101,Wages!$B169&lt;=99991231),INT(Wages!$B169/10000),""),IFERROR(VALUE(TRIM(LEFT(Wages!$B169,FIND("/",Wages!$B169)-1))),"")))</f>
        <v/>
      </c>
      <c r="D166">
        <f>IF(OR($A166="",$C166=""),"",IF(ISNUMBER(Wages!$B169),INT(MOD(Wages!$B169,10000)/100),IFERROR(VALUE(TRIM(LEFT(MID(Wages!$B169,FIND("/",Wages!$B169)+1,20),FIND("/",MID(Wages!$B169,FIND("/",Wages!$B169)+1,20))-1))),"")))</f>
        <v/>
      </c>
      <c r="E166">
        <f>IF(OR($A166="",$C166=""),"",IF(ISNUMBER(Wages!$B169),MOD(Wages!$B169,100),IFERROR(VALUE(TRIM(MID(MID(Wages!$B169,FIND("/",Wages!$B169)+1,20),FIND("/",MID(Wages!$B169,FIND("/",Wages!$B169)+1,20))+1,20))),"")))</f>
        <v/>
      </c>
      <c r="F166">
        <f>IF($A166="","",IF(OR($C166="",$D166="",$E166="",$C166&lt;1300,$C166&gt;1500,$D166&lt;1,$D166&gt;12,$E166&lt;1,$E166&gt;31),"نامعتبر",RIGHT("0000"&amp;$C166,4)&amp;"/"&amp;RIGHT("00"&amp;$D166,2)&amp;"/"&amp;RIGHT("00"&amp;$E166,2)))</f>
        <v/>
      </c>
      <c r="G166">
        <f>IF(OR($A166="",$F166="",$F166="نامعتبر"),"",LEFT($F166,4)&amp;MID($F166,6,2)&amp;RIGHT($F166,2)&amp;"0000"&amp;"|"&amp;"1"&amp;RIGHT("00000"&amp;161,5))</f>
        <v/>
      </c>
      <c r="H166">
        <f>IF(OR($B166&lt;&gt;1,$G166=""),"",COUNTIFS(LdAParty,$A166,LdAType,1,LdAKey,"&lt;"&amp;$G166)+COUNTIFS(LdBMember,$A166,LdBKey,"&lt;"&amp;$G166)+COUNTIFS(LdCParty,$A166,LdCKey,"&lt;"&amp;$G166)+1)</f>
        <v/>
      </c>
      <c r="I166">
        <f>IF($H166="","",$A166&amp;"|"&amp;RIGHT("000000"&amp;$H166,6))</f>
        <v/>
      </c>
      <c r="J166">
        <f>IF(OR($B166&lt;&gt;2,$G166=""),"",COUNTIFS(LdAParty,$A166,LdAType,2,LdAKey,"&lt;"&amp;$G166)+1)</f>
        <v/>
      </c>
      <c r="K166">
        <f>IF($J166="","",$A166&amp;"|"&amp;RIGHT("000000"&amp;$J166,6))</f>
        <v/>
      </c>
      <c r="L166">
        <f>IF($A166="","",IF(Wages!$G169="",0,Wages!$G169))</f>
        <v/>
      </c>
      <c r="M166">
        <f>IF($A166="","",Wages!$J169)</f>
        <v/>
      </c>
      <c r="N166">
        <f>IF($A166="","",Wages!$D169)</f>
        <v/>
      </c>
      <c r="P166">
        <f>IF(OR(Shares!$B169="",Shares!$C169=""),"",Shares!$C169)</f>
        <v/>
      </c>
      <c r="Q166">
        <f>IF($P166="","",Shares!$B169)</f>
        <v/>
      </c>
      <c r="R166">
        <f>IF($P166="","",IFERROR(INDEX(WageParty,MATCH($Q166,WageIds,0)),""))</f>
        <v/>
      </c>
      <c r="S166">
        <f>IF($P166="","",IFERROR(INDEX($F$6:$F$2005,MATCH($Q166,WageIds,0)),""))</f>
        <v/>
      </c>
      <c r="T166">
        <f>IF(OR($P166="",$S166="",$S166="نامعتبر"),"",LEFT($S166,4)&amp;MID($S166,6,2)&amp;RIGHT($S166,2)&amp;"0000"&amp;"|"&amp;"2"&amp;RIGHT("00000"&amp;161,5))</f>
        <v/>
      </c>
      <c r="U166">
        <f>IF($T166="","",COUNTIFS(LdAParty,$P166,LdAType,1,LdAKey,"&lt;"&amp;$T166)+COUNTIFS(LdBMember,$P166,LdBKey,"&lt;"&amp;$T166)+COUNTIFS(LdCParty,$P166,LdCKey,"&lt;"&amp;$T166)+1)</f>
        <v/>
      </c>
      <c r="V166">
        <f>IF($U166="","",$P166&amp;"|"&amp;RIGHT("000000"&amp;$U166,6))</f>
        <v/>
      </c>
      <c r="W166">
        <f>IF($T166="","",COUNTIFS(LdBGroup,$R166,LdBKey,"&lt;"&amp;$T166)+1)</f>
        <v/>
      </c>
      <c r="X166">
        <f>IF($W166="","",$R166&amp;"|"&amp;RIGHT("000000"&amp;$W166,6))</f>
        <v/>
      </c>
      <c r="Y166">
        <f>IF($P166="","",IF(Shares!$E169="",0,Shares!$E169))</f>
        <v/>
      </c>
      <c r="Z166">
        <f>IF($P166="","",Shares!$H169)</f>
        <v/>
      </c>
      <c r="AE166">
        <f>IF(OR(Sync!$S166="",Sync!$P166=""),"",Sync!$S166)</f>
        <v/>
      </c>
      <c r="AF166">
        <f>IF($AE166="","",IF(ISNUMBER(Sync!$P166),IF(AND(Sync!$P166&gt;=10000101,Sync!$P166&lt;=99991231),INT(Sync!$P166/10000),""),IFERROR(VALUE(TRIM(LEFT(Sync!$P166,FIND("/",Sync!$P166)-1))),"")))</f>
        <v/>
      </c>
      <c r="AG166">
        <f>IF(OR($AE166="",$AF166=""),"",IF(ISNUMBER(Sync!$P166),INT(MOD(Sync!$P166,10000)/100),IFERROR(VALUE(TRIM(LEFT(MID(Sync!$P166,FIND("/",Sync!$P166)+1,20),FIND("/",MID(Sync!$P166,FIND("/",Sync!$P166)+1,20))-1))),"")))</f>
        <v/>
      </c>
      <c r="AH166">
        <f>IF(OR($AE166="",$AF166=""),"",IF(ISNUMBER(Sync!$P166),MOD(Sync!$P166,100),IFERROR(VALUE(TRIM(MID(MID(Sync!$P166,FIND("/",Sync!$P166)+1,20),FIND("/",MID(Sync!$P166,FIND("/",Sync!$P166)+1,20))+1,20))),"")))</f>
        <v/>
      </c>
      <c r="AI166">
        <f>IF($AE166="","",IF(OR($AF166="",$AG166="",$AH166="",$AF166&lt;1300,$AF166&gt;1500,$AG166&lt;1,$AG166&gt;12,$AH166&lt;1,$AH166&gt;31),"نامعتبر",RIGHT("0000"&amp;$AF166,4)&amp;"/"&amp;RIGHT("00"&amp;$AG166,2)&amp;"/"&amp;RIGHT("00"&amp;$AH166,2)))</f>
        <v/>
      </c>
      <c r="AJ166">
        <f>IF($AE166="","",IF(Sync!$Q166="","0000",IF(AND(ISNUMBER(Sync!$Q166),Sync!$Q166&gt;=0,Sync!$Q166&lt;1),RIGHT("00"&amp;HOUR(Sync!$Q166),2)&amp;RIGHT("00"&amp;MINUTE(Sync!$Q166),2),IFERROR(RIGHT("00"&amp;VALUE(LEFT(Sync!$Q166,FIND(":",Sync!$Q166)-1)),2)&amp;RIGHT("00"&amp;VALUE(MID(Sync!$Q166,FIND(":",Sync!$Q166)+1,2)),2),"0000"))))</f>
        <v/>
      </c>
      <c r="AK166">
        <f>IF(OR($AE166="",$AI166="",$AI166="نامعتبر"),"",LEFT($AI166,4)&amp;MID($AI166,6,2)&amp;RIGHT($AI166,2)&amp;$AJ166&amp;"|"&amp;"3"&amp;RIGHT("00000"&amp;161,5))</f>
        <v/>
      </c>
      <c r="AL166">
        <f>IF($AK166="","",COUNTIFS(LdAParty,$AE166,LdAType,1,LdAKey,"&lt;"&amp;$AK166)+COUNTIFS(LdBMember,$AE166,LdBKey,"&lt;"&amp;$AK166)+COUNTIFS(LdCParty,$AE166,LdCKey,"&lt;"&amp;$AK166)+1)</f>
        <v/>
      </c>
      <c r="AM166">
        <f>IF($AL166="","",$AE166&amp;"|"&amp;RIGHT("000000"&amp;$AL166,6))</f>
        <v/>
      </c>
      <c r="AN166">
        <f>IF($AE166="","",IF(Sync!$W166="",0,Sync!$W166))</f>
        <v/>
      </c>
      <c r="AO166">
        <f>IF($AE166="","",IF(Sync!$X166="",0,Sync!$X166))</f>
        <v/>
      </c>
      <c r="AP166">
        <f>IF($AE166="","",Sync!$R166)</f>
        <v/>
      </c>
      <c r="AQ166">
        <f>IF($AE166="","",Sync!$Y166)</f>
        <v/>
      </c>
    </row>
    <row r="167">
      <c r="A167">
        <f>IF(OR(Wages!$B170="",Wages!$E170=""),"",Wages!$E170)</f>
        <v/>
      </c>
      <c r="B167">
        <f>IF($A167="","",IF(Wages!$C170="دستمزد گروهی",2,1))</f>
        <v/>
      </c>
      <c r="C167">
        <f>IF($A167="","",IF(ISNUMBER(Wages!$B170),IF(AND(Wages!$B170&gt;=10000101,Wages!$B170&lt;=99991231),INT(Wages!$B170/10000),""),IFERROR(VALUE(TRIM(LEFT(Wages!$B170,FIND("/",Wages!$B170)-1))),"")))</f>
        <v/>
      </c>
      <c r="D167">
        <f>IF(OR($A167="",$C167=""),"",IF(ISNUMBER(Wages!$B170),INT(MOD(Wages!$B170,10000)/100),IFERROR(VALUE(TRIM(LEFT(MID(Wages!$B170,FIND("/",Wages!$B170)+1,20),FIND("/",MID(Wages!$B170,FIND("/",Wages!$B170)+1,20))-1))),"")))</f>
        <v/>
      </c>
      <c r="E167">
        <f>IF(OR($A167="",$C167=""),"",IF(ISNUMBER(Wages!$B170),MOD(Wages!$B170,100),IFERROR(VALUE(TRIM(MID(MID(Wages!$B170,FIND("/",Wages!$B170)+1,20),FIND("/",MID(Wages!$B170,FIND("/",Wages!$B170)+1,20))+1,20))),"")))</f>
        <v/>
      </c>
      <c r="F167">
        <f>IF($A167="","",IF(OR($C167="",$D167="",$E167="",$C167&lt;1300,$C167&gt;1500,$D167&lt;1,$D167&gt;12,$E167&lt;1,$E167&gt;31),"نامعتبر",RIGHT("0000"&amp;$C167,4)&amp;"/"&amp;RIGHT("00"&amp;$D167,2)&amp;"/"&amp;RIGHT("00"&amp;$E167,2)))</f>
        <v/>
      </c>
      <c r="G167">
        <f>IF(OR($A167="",$F167="",$F167="نامعتبر"),"",LEFT($F167,4)&amp;MID($F167,6,2)&amp;RIGHT($F167,2)&amp;"0000"&amp;"|"&amp;"1"&amp;RIGHT("00000"&amp;162,5))</f>
        <v/>
      </c>
      <c r="H167">
        <f>IF(OR($B167&lt;&gt;1,$G167=""),"",COUNTIFS(LdAParty,$A167,LdAType,1,LdAKey,"&lt;"&amp;$G167)+COUNTIFS(LdBMember,$A167,LdBKey,"&lt;"&amp;$G167)+COUNTIFS(LdCParty,$A167,LdCKey,"&lt;"&amp;$G167)+1)</f>
        <v/>
      </c>
      <c r="I167">
        <f>IF($H167="","",$A167&amp;"|"&amp;RIGHT("000000"&amp;$H167,6))</f>
        <v/>
      </c>
      <c r="J167">
        <f>IF(OR($B167&lt;&gt;2,$G167=""),"",COUNTIFS(LdAParty,$A167,LdAType,2,LdAKey,"&lt;"&amp;$G167)+1)</f>
        <v/>
      </c>
      <c r="K167">
        <f>IF($J167="","",$A167&amp;"|"&amp;RIGHT("000000"&amp;$J167,6))</f>
        <v/>
      </c>
      <c r="L167">
        <f>IF($A167="","",IF(Wages!$G170="",0,Wages!$G170))</f>
        <v/>
      </c>
      <c r="M167">
        <f>IF($A167="","",Wages!$J170)</f>
        <v/>
      </c>
      <c r="N167">
        <f>IF($A167="","",Wages!$D170)</f>
        <v/>
      </c>
      <c r="P167">
        <f>IF(OR(Shares!$B170="",Shares!$C170=""),"",Shares!$C170)</f>
        <v/>
      </c>
      <c r="Q167">
        <f>IF($P167="","",Shares!$B170)</f>
        <v/>
      </c>
      <c r="R167">
        <f>IF($P167="","",IFERROR(INDEX(WageParty,MATCH($Q167,WageIds,0)),""))</f>
        <v/>
      </c>
      <c r="S167">
        <f>IF($P167="","",IFERROR(INDEX($F$6:$F$2005,MATCH($Q167,WageIds,0)),""))</f>
        <v/>
      </c>
      <c r="T167">
        <f>IF(OR($P167="",$S167="",$S167="نامعتبر"),"",LEFT($S167,4)&amp;MID($S167,6,2)&amp;RIGHT($S167,2)&amp;"0000"&amp;"|"&amp;"2"&amp;RIGHT("00000"&amp;162,5))</f>
        <v/>
      </c>
      <c r="U167">
        <f>IF($T167="","",COUNTIFS(LdAParty,$P167,LdAType,1,LdAKey,"&lt;"&amp;$T167)+COUNTIFS(LdBMember,$P167,LdBKey,"&lt;"&amp;$T167)+COUNTIFS(LdCParty,$P167,LdCKey,"&lt;"&amp;$T167)+1)</f>
        <v/>
      </c>
      <c r="V167">
        <f>IF($U167="","",$P167&amp;"|"&amp;RIGHT("000000"&amp;$U167,6))</f>
        <v/>
      </c>
      <c r="W167">
        <f>IF($T167="","",COUNTIFS(LdBGroup,$R167,LdBKey,"&lt;"&amp;$T167)+1)</f>
        <v/>
      </c>
      <c r="X167">
        <f>IF($W167="","",$R167&amp;"|"&amp;RIGHT("000000"&amp;$W167,6))</f>
        <v/>
      </c>
      <c r="Y167">
        <f>IF($P167="","",IF(Shares!$E170="",0,Shares!$E170))</f>
        <v/>
      </c>
      <c r="Z167">
        <f>IF($P167="","",Shares!$H170)</f>
        <v/>
      </c>
      <c r="AE167">
        <f>IF(OR(Sync!$S167="",Sync!$P167=""),"",Sync!$S167)</f>
        <v/>
      </c>
      <c r="AF167">
        <f>IF($AE167="","",IF(ISNUMBER(Sync!$P167),IF(AND(Sync!$P167&gt;=10000101,Sync!$P167&lt;=99991231),INT(Sync!$P167/10000),""),IFERROR(VALUE(TRIM(LEFT(Sync!$P167,FIND("/",Sync!$P167)-1))),"")))</f>
        <v/>
      </c>
      <c r="AG167">
        <f>IF(OR($AE167="",$AF167=""),"",IF(ISNUMBER(Sync!$P167),INT(MOD(Sync!$P167,10000)/100),IFERROR(VALUE(TRIM(LEFT(MID(Sync!$P167,FIND("/",Sync!$P167)+1,20),FIND("/",MID(Sync!$P167,FIND("/",Sync!$P167)+1,20))-1))),"")))</f>
        <v/>
      </c>
      <c r="AH167">
        <f>IF(OR($AE167="",$AF167=""),"",IF(ISNUMBER(Sync!$P167),MOD(Sync!$P167,100),IFERROR(VALUE(TRIM(MID(MID(Sync!$P167,FIND("/",Sync!$P167)+1,20),FIND("/",MID(Sync!$P167,FIND("/",Sync!$P167)+1,20))+1,20))),"")))</f>
        <v/>
      </c>
      <c r="AI167">
        <f>IF($AE167="","",IF(OR($AF167="",$AG167="",$AH167="",$AF167&lt;1300,$AF167&gt;1500,$AG167&lt;1,$AG167&gt;12,$AH167&lt;1,$AH167&gt;31),"نامعتبر",RIGHT("0000"&amp;$AF167,4)&amp;"/"&amp;RIGHT("00"&amp;$AG167,2)&amp;"/"&amp;RIGHT("00"&amp;$AH167,2)))</f>
        <v/>
      </c>
      <c r="AJ167">
        <f>IF($AE167="","",IF(Sync!$Q167="","0000",IF(AND(ISNUMBER(Sync!$Q167),Sync!$Q167&gt;=0,Sync!$Q167&lt;1),RIGHT("00"&amp;HOUR(Sync!$Q167),2)&amp;RIGHT("00"&amp;MINUTE(Sync!$Q167),2),IFERROR(RIGHT("00"&amp;VALUE(LEFT(Sync!$Q167,FIND(":",Sync!$Q167)-1)),2)&amp;RIGHT("00"&amp;VALUE(MID(Sync!$Q167,FIND(":",Sync!$Q167)+1,2)),2),"0000"))))</f>
        <v/>
      </c>
      <c r="AK167">
        <f>IF(OR($AE167="",$AI167="",$AI167="نامعتبر"),"",LEFT($AI167,4)&amp;MID($AI167,6,2)&amp;RIGHT($AI167,2)&amp;$AJ167&amp;"|"&amp;"3"&amp;RIGHT("00000"&amp;162,5))</f>
        <v/>
      </c>
      <c r="AL167">
        <f>IF($AK167="","",COUNTIFS(LdAParty,$AE167,LdAType,1,LdAKey,"&lt;"&amp;$AK167)+COUNTIFS(LdBMember,$AE167,LdBKey,"&lt;"&amp;$AK167)+COUNTIFS(LdCParty,$AE167,LdCKey,"&lt;"&amp;$AK167)+1)</f>
        <v/>
      </c>
      <c r="AM167">
        <f>IF($AL167="","",$AE167&amp;"|"&amp;RIGHT("000000"&amp;$AL167,6))</f>
        <v/>
      </c>
      <c r="AN167">
        <f>IF($AE167="","",IF(Sync!$W167="",0,Sync!$W167))</f>
        <v/>
      </c>
      <c r="AO167">
        <f>IF($AE167="","",IF(Sync!$X167="",0,Sync!$X167))</f>
        <v/>
      </c>
      <c r="AP167">
        <f>IF($AE167="","",Sync!$R167)</f>
        <v/>
      </c>
      <c r="AQ167">
        <f>IF($AE167="","",Sync!$Y167)</f>
        <v/>
      </c>
    </row>
    <row r="168">
      <c r="A168">
        <f>IF(OR(Wages!$B171="",Wages!$E171=""),"",Wages!$E171)</f>
        <v/>
      </c>
      <c r="B168">
        <f>IF($A168="","",IF(Wages!$C171="دستمزد گروهی",2,1))</f>
        <v/>
      </c>
      <c r="C168">
        <f>IF($A168="","",IF(ISNUMBER(Wages!$B171),IF(AND(Wages!$B171&gt;=10000101,Wages!$B171&lt;=99991231),INT(Wages!$B171/10000),""),IFERROR(VALUE(TRIM(LEFT(Wages!$B171,FIND("/",Wages!$B171)-1))),"")))</f>
        <v/>
      </c>
      <c r="D168">
        <f>IF(OR($A168="",$C168=""),"",IF(ISNUMBER(Wages!$B171),INT(MOD(Wages!$B171,10000)/100),IFERROR(VALUE(TRIM(LEFT(MID(Wages!$B171,FIND("/",Wages!$B171)+1,20),FIND("/",MID(Wages!$B171,FIND("/",Wages!$B171)+1,20))-1))),"")))</f>
        <v/>
      </c>
      <c r="E168">
        <f>IF(OR($A168="",$C168=""),"",IF(ISNUMBER(Wages!$B171),MOD(Wages!$B171,100),IFERROR(VALUE(TRIM(MID(MID(Wages!$B171,FIND("/",Wages!$B171)+1,20),FIND("/",MID(Wages!$B171,FIND("/",Wages!$B171)+1,20))+1,20))),"")))</f>
        <v/>
      </c>
      <c r="F168">
        <f>IF($A168="","",IF(OR($C168="",$D168="",$E168="",$C168&lt;1300,$C168&gt;1500,$D168&lt;1,$D168&gt;12,$E168&lt;1,$E168&gt;31),"نامعتبر",RIGHT("0000"&amp;$C168,4)&amp;"/"&amp;RIGHT("00"&amp;$D168,2)&amp;"/"&amp;RIGHT("00"&amp;$E168,2)))</f>
        <v/>
      </c>
      <c r="G168">
        <f>IF(OR($A168="",$F168="",$F168="نامعتبر"),"",LEFT($F168,4)&amp;MID($F168,6,2)&amp;RIGHT($F168,2)&amp;"0000"&amp;"|"&amp;"1"&amp;RIGHT("00000"&amp;163,5))</f>
        <v/>
      </c>
      <c r="H168">
        <f>IF(OR($B168&lt;&gt;1,$G168=""),"",COUNTIFS(LdAParty,$A168,LdAType,1,LdAKey,"&lt;"&amp;$G168)+COUNTIFS(LdBMember,$A168,LdBKey,"&lt;"&amp;$G168)+COUNTIFS(LdCParty,$A168,LdCKey,"&lt;"&amp;$G168)+1)</f>
        <v/>
      </c>
      <c r="I168">
        <f>IF($H168="","",$A168&amp;"|"&amp;RIGHT("000000"&amp;$H168,6))</f>
        <v/>
      </c>
      <c r="J168">
        <f>IF(OR($B168&lt;&gt;2,$G168=""),"",COUNTIFS(LdAParty,$A168,LdAType,2,LdAKey,"&lt;"&amp;$G168)+1)</f>
        <v/>
      </c>
      <c r="K168">
        <f>IF($J168="","",$A168&amp;"|"&amp;RIGHT("000000"&amp;$J168,6))</f>
        <v/>
      </c>
      <c r="L168">
        <f>IF($A168="","",IF(Wages!$G171="",0,Wages!$G171))</f>
        <v/>
      </c>
      <c r="M168">
        <f>IF($A168="","",Wages!$J171)</f>
        <v/>
      </c>
      <c r="N168">
        <f>IF($A168="","",Wages!$D171)</f>
        <v/>
      </c>
      <c r="P168">
        <f>IF(OR(Shares!$B171="",Shares!$C171=""),"",Shares!$C171)</f>
        <v/>
      </c>
      <c r="Q168">
        <f>IF($P168="","",Shares!$B171)</f>
        <v/>
      </c>
      <c r="R168">
        <f>IF($P168="","",IFERROR(INDEX(WageParty,MATCH($Q168,WageIds,0)),""))</f>
        <v/>
      </c>
      <c r="S168">
        <f>IF($P168="","",IFERROR(INDEX($F$6:$F$2005,MATCH($Q168,WageIds,0)),""))</f>
        <v/>
      </c>
      <c r="T168">
        <f>IF(OR($P168="",$S168="",$S168="نامعتبر"),"",LEFT($S168,4)&amp;MID($S168,6,2)&amp;RIGHT($S168,2)&amp;"0000"&amp;"|"&amp;"2"&amp;RIGHT("00000"&amp;163,5))</f>
        <v/>
      </c>
      <c r="U168">
        <f>IF($T168="","",COUNTIFS(LdAParty,$P168,LdAType,1,LdAKey,"&lt;"&amp;$T168)+COUNTIFS(LdBMember,$P168,LdBKey,"&lt;"&amp;$T168)+COUNTIFS(LdCParty,$P168,LdCKey,"&lt;"&amp;$T168)+1)</f>
        <v/>
      </c>
      <c r="V168">
        <f>IF($U168="","",$P168&amp;"|"&amp;RIGHT("000000"&amp;$U168,6))</f>
        <v/>
      </c>
      <c r="W168">
        <f>IF($T168="","",COUNTIFS(LdBGroup,$R168,LdBKey,"&lt;"&amp;$T168)+1)</f>
        <v/>
      </c>
      <c r="X168">
        <f>IF($W168="","",$R168&amp;"|"&amp;RIGHT("000000"&amp;$W168,6))</f>
        <v/>
      </c>
      <c r="Y168">
        <f>IF($P168="","",IF(Shares!$E171="",0,Shares!$E171))</f>
        <v/>
      </c>
      <c r="Z168">
        <f>IF($P168="","",Shares!$H171)</f>
        <v/>
      </c>
      <c r="AE168">
        <f>IF(OR(Sync!$S168="",Sync!$P168=""),"",Sync!$S168)</f>
        <v/>
      </c>
      <c r="AF168">
        <f>IF($AE168="","",IF(ISNUMBER(Sync!$P168),IF(AND(Sync!$P168&gt;=10000101,Sync!$P168&lt;=99991231),INT(Sync!$P168/10000),""),IFERROR(VALUE(TRIM(LEFT(Sync!$P168,FIND("/",Sync!$P168)-1))),"")))</f>
        <v/>
      </c>
      <c r="AG168">
        <f>IF(OR($AE168="",$AF168=""),"",IF(ISNUMBER(Sync!$P168),INT(MOD(Sync!$P168,10000)/100),IFERROR(VALUE(TRIM(LEFT(MID(Sync!$P168,FIND("/",Sync!$P168)+1,20),FIND("/",MID(Sync!$P168,FIND("/",Sync!$P168)+1,20))-1))),"")))</f>
        <v/>
      </c>
      <c r="AH168">
        <f>IF(OR($AE168="",$AF168=""),"",IF(ISNUMBER(Sync!$P168),MOD(Sync!$P168,100),IFERROR(VALUE(TRIM(MID(MID(Sync!$P168,FIND("/",Sync!$P168)+1,20),FIND("/",MID(Sync!$P168,FIND("/",Sync!$P168)+1,20))+1,20))),"")))</f>
        <v/>
      </c>
      <c r="AI168">
        <f>IF($AE168="","",IF(OR($AF168="",$AG168="",$AH168="",$AF168&lt;1300,$AF168&gt;1500,$AG168&lt;1,$AG168&gt;12,$AH168&lt;1,$AH168&gt;31),"نامعتبر",RIGHT("0000"&amp;$AF168,4)&amp;"/"&amp;RIGHT("00"&amp;$AG168,2)&amp;"/"&amp;RIGHT("00"&amp;$AH168,2)))</f>
        <v/>
      </c>
      <c r="AJ168">
        <f>IF($AE168="","",IF(Sync!$Q168="","0000",IF(AND(ISNUMBER(Sync!$Q168),Sync!$Q168&gt;=0,Sync!$Q168&lt;1),RIGHT("00"&amp;HOUR(Sync!$Q168),2)&amp;RIGHT("00"&amp;MINUTE(Sync!$Q168),2),IFERROR(RIGHT("00"&amp;VALUE(LEFT(Sync!$Q168,FIND(":",Sync!$Q168)-1)),2)&amp;RIGHT("00"&amp;VALUE(MID(Sync!$Q168,FIND(":",Sync!$Q168)+1,2)),2),"0000"))))</f>
        <v/>
      </c>
      <c r="AK168">
        <f>IF(OR($AE168="",$AI168="",$AI168="نامعتبر"),"",LEFT($AI168,4)&amp;MID($AI168,6,2)&amp;RIGHT($AI168,2)&amp;$AJ168&amp;"|"&amp;"3"&amp;RIGHT("00000"&amp;163,5))</f>
        <v/>
      </c>
      <c r="AL168">
        <f>IF($AK168="","",COUNTIFS(LdAParty,$AE168,LdAType,1,LdAKey,"&lt;"&amp;$AK168)+COUNTIFS(LdBMember,$AE168,LdBKey,"&lt;"&amp;$AK168)+COUNTIFS(LdCParty,$AE168,LdCKey,"&lt;"&amp;$AK168)+1)</f>
        <v/>
      </c>
      <c r="AM168">
        <f>IF($AL168="","",$AE168&amp;"|"&amp;RIGHT("000000"&amp;$AL168,6))</f>
        <v/>
      </c>
      <c r="AN168">
        <f>IF($AE168="","",IF(Sync!$W168="",0,Sync!$W168))</f>
        <v/>
      </c>
      <c r="AO168">
        <f>IF($AE168="","",IF(Sync!$X168="",0,Sync!$X168))</f>
        <v/>
      </c>
      <c r="AP168">
        <f>IF($AE168="","",Sync!$R168)</f>
        <v/>
      </c>
      <c r="AQ168">
        <f>IF($AE168="","",Sync!$Y168)</f>
        <v/>
      </c>
    </row>
    <row r="169">
      <c r="A169">
        <f>IF(OR(Wages!$B172="",Wages!$E172=""),"",Wages!$E172)</f>
        <v/>
      </c>
      <c r="B169">
        <f>IF($A169="","",IF(Wages!$C172="دستمزد گروهی",2,1))</f>
        <v/>
      </c>
      <c r="C169">
        <f>IF($A169="","",IF(ISNUMBER(Wages!$B172),IF(AND(Wages!$B172&gt;=10000101,Wages!$B172&lt;=99991231),INT(Wages!$B172/10000),""),IFERROR(VALUE(TRIM(LEFT(Wages!$B172,FIND("/",Wages!$B172)-1))),"")))</f>
        <v/>
      </c>
      <c r="D169">
        <f>IF(OR($A169="",$C169=""),"",IF(ISNUMBER(Wages!$B172),INT(MOD(Wages!$B172,10000)/100),IFERROR(VALUE(TRIM(LEFT(MID(Wages!$B172,FIND("/",Wages!$B172)+1,20),FIND("/",MID(Wages!$B172,FIND("/",Wages!$B172)+1,20))-1))),"")))</f>
        <v/>
      </c>
      <c r="E169">
        <f>IF(OR($A169="",$C169=""),"",IF(ISNUMBER(Wages!$B172),MOD(Wages!$B172,100),IFERROR(VALUE(TRIM(MID(MID(Wages!$B172,FIND("/",Wages!$B172)+1,20),FIND("/",MID(Wages!$B172,FIND("/",Wages!$B172)+1,20))+1,20))),"")))</f>
        <v/>
      </c>
      <c r="F169">
        <f>IF($A169="","",IF(OR($C169="",$D169="",$E169="",$C169&lt;1300,$C169&gt;1500,$D169&lt;1,$D169&gt;12,$E169&lt;1,$E169&gt;31),"نامعتبر",RIGHT("0000"&amp;$C169,4)&amp;"/"&amp;RIGHT("00"&amp;$D169,2)&amp;"/"&amp;RIGHT("00"&amp;$E169,2)))</f>
        <v/>
      </c>
      <c r="G169">
        <f>IF(OR($A169="",$F169="",$F169="نامعتبر"),"",LEFT($F169,4)&amp;MID($F169,6,2)&amp;RIGHT($F169,2)&amp;"0000"&amp;"|"&amp;"1"&amp;RIGHT("00000"&amp;164,5))</f>
        <v/>
      </c>
      <c r="H169">
        <f>IF(OR($B169&lt;&gt;1,$G169=""),"",COUNTIFS(LdAParty,$A169,LdAType,1,LdAKey,"&lt;"&amp;$G169)+COUNTIFS(LdBMember,$A169,LdBKey,"&lt;"&amp;$G169)+COUNTIFS(LdCParty,$A169,LdCKey,"&lt;"&amp;$G169)+1)</f>
        <v/>
      </c>
      <c r="I169">
        <f>IF($H169="","",$A169&amp;"|"&amp;RIGHT("000000"&amp;$H169,6))</f>
        <v/>
      </c>
      <c r="J169">
        <f>IF(OR($B169&lt;&gt;2,$G169=""),"",COUNTIFS(LdAParty,$A169,LdAType,2,LdAKey,"&lt;"&amp;$G169)+1)</f>
        <v/>
      </c>
      <c r="K169">
        <f>IF($J169="","",$A169&amp;"|"&amp;RIGHT("000000"&amp;$J169,6))</f>
        <v/>
      </c>
      <c r="L169">
        <f>IF($A169="","",IF(Wages!$G172="",0,Wages!$G172))</f>
        <v/>
      </c>
      <c r="M169">
        <f>IF($A169="","",Wages!$J172)</f>
        <v/>
      </c>
      <c r="N169">
        <f>IF($A169="","",Wages!$D172)</f>
        <v/>
      </c>
      <c r="P169">
        <f>IF(OR(Shares!$B172="",Shares!$C172=""),"",Shares!$C172)</f>
        <v/>
      </c>
      <c r="Q169">
        <f>IF($P169="","",Shares!$B172)</f>
        <v/>
      </c>
      <c r="R169">
        <f>IF($P169="","",IFERROR(INDEX(WageParty,MATCH($Q169,WageIds,0)),""))</f>
        <v/>
      </c>
      <c r="S169">
        <f>IF($P169="","",IFERROR(INDEX($F$6:$F$2005,MATCH($Q169,WageIds,0)),""))</f>
        <v/>
      </c>
      <c r="T169">
        <f>IF(OR($P169="",$S169="",$S169="نامعتبر"),"",LEFT($S169,4)&amp;MID($S169,6,2)&amp;RIGHT($S169,2)&amp;"0000"&amp;"|"&amp;"2"&amp;RIGHT("00000"&amp;164,5))</f>
        <v/>
      </c>
      <c r="U169">
        <f>IF($T169="","",COUNTIFS(LdAParty,$P169,LdAType,1,LdAKey,"&lt;"&amp;$T169)+COUNTIFS(LdBMember,$P169,LdBKey,"&lt;"&amp;$T169)+COUNTIFS(LdCParty,$P169,LdCKey,"&lt;"&amp;$T169)+1)</f>
        <v/>
      </c>
      <c r="V169">
        <f>IF($U169="","",$P169&amp;"|"&amp;RIGHT("000000"&amp;$U169,6))</f>
        <v/>
      </c>
      <c r="W169">
        <f>IF($T169="","",COUNTIFS(LdBGroup,$R169,LdBKey,"&lt;"&amp;$T169)+1)</f>
        <v/>
      </c>
      <c r="X169">
        <f>IF($W169="","",$R169&amp;"|"&amp;RIGHT("000000"&amp;$W169,6))</f>
        <v/>
      </c>
      <c r="Y169">
        <f>IF($P169="","",IF(Shares!$E172="",0,Shares!$E172))</f>
        <v/>
      </c>
      <c r="Z169">
        <f>IF($P169="","",Shares!$H172)</f>
        <v/>
      </c>
      <c r="AE169">
        <f>IF(OR(Sync!$S169="",Sync!$P169=""),"",Sync!$S169)</f>
        <v/>
      </c>
      <c r="AF169">
        <f>IF($AE169="","",IF(ISNUMBER(Sync!$P169),IF(AND(Sync!$P169&gt;=10000101,Sync!$P169&lt;=99991231),INT(Sync!$P169/10000),""),IFERROR(VALUE(TRIM(LEFT(Sync!$P169,FIND("/",Sync!$P169)-1))),"")))</f>
        <v/>
      </c>
      <c r="AG169">
        <f>IF(OR($AE169="",$AF169=""),"",IF(ISNUMBER(Sync!$P169),INT(MOD(Sync!$P169,10000)/100),IFERROR(VALUE(TRIM(LEFT(MID(Sync!$P169,FIND("/",Sync!$P169)+1,20),FIND("/",MID(Sync!$P169,FIND("/",Sync!$P169)+1,20))-1))),"")))</f>
        <v/>
      </c>
      <c r="AH169">
        <f>IF(OR($AE169="",$AF169=""),"",IF(ISNUMBER(Sync!$P169),MOD(Sync!$P169,100),IFERROR(VALUE(TRIM(MID(MID(Sync!$P169,FIND("/",Sync!$P169)+1,20),FIND("/",MID(Sync!$P169,FIND("/",Sync!$P169)+1,20))+1,20))),"")))</f>
        <v/>
      </c>
      <c r="AI169">
        <f>IF($AE169="","",IF(OR($AF169="",$AG169="",$AH169="",$AF169&lt;1300,$AF169&gt;1500,$AG169&lt;1,$AG169&gt;12,$AH169&lt;1,$AH169&gt;31),"نامعتبر",RIGHT("0000"&amp;$AF169,4)&amp;"/"&amp;RIGHT("00"&amp;$AG169,2)&amp;"/"&amp;RIGHT("00"&amp;$AH169,2)))</f>
        <v/>
      </c>
      <c r="AJ169">
        <f>IF($AE169="","",IF(Sync!$Q169="","0000",IF(AND(ISNUMBER(Sync!$Q169),Sync!$Q169&gt;=0,Sync!$Q169&lt;1),RIGHT("00"&amp;HOUR(Sync!$Q169),2)&amp;RIGHT("00"&amp;MINUTE(Sync!$Q169),2),IFERROR(RIGHT("00"&amp;VALUE(LEFT(Sync!$Q169,FIND(":",Sync!$Q169)-1)),2)&amp;RIGHT("00"&amp;VALUE(MID(Sync!$Q169,FIND(":",Sync!$Q169)+1,2)),2),"0000"))))</f>
        <v/>
      </c>
      <c r="AK169">
        <f>IF(OR($AE169="",$AI169="",$AI169="نامعتبر"),"",LEFT($AI169,4)&amp;MID($AI169,6,2)&amp;RIGHT($AI169,2)&amp;$AJ169&amp;"|"&amp;"3"&amp;RIGHT("00000"&amp;164,5))</f>
        <v/>
      </c>
      <c r="AL169">
        <f>IF($AK169="","",COUNTIFS(LdAParty,$AE169,LdAType,1,LdAKey,"&lt;"&amp;$AK169)+COUNTIFS(LdBMember,$AE169,LdBKey,"&lt;"&amp;$AK169)+COUNTIFS(LdCParty,$AE169,LdCKey,"&lt;"&amp;$AK169)+1)</f>
        <v/>
      </c>
      <c r="AM169">
        <f>IF($AL169="","",$AE169&amp;"|"&amp;RIGHT("000000"&amp;$AL169,6))</f>
        <v/>
      </c>
      <c r="AN169">
        <f>IF($AE169="","",IF(Sync!$W169="",0,Sync!$W169))</f>
        <v/>
      </c>
      <c r="AO169">
        <f>IF($AE169="","",IF(Sync!$X169="",0,Sync!$X169))</f>
        <v/>
      </c>
      <c r="AP169">
        <f>IF($AE169="","",Sync!$R169)</f>
        <v/>
      </c>
      <c r="AQ169">
        <f>IF($AE169="","",Sync!$Y169)</f>
        <v/>
      </c>
    </row>
    <row r="170">
      <c r="A170">
        <f>IF(OR(Wages!$B173="",Wages!$E173=""),"",Wages!$E173)</f>
        <v/>
      </c>
      <c r="B170">
        <f>IF($A170="","",IF(Wages!$C173="دستمزد گروهی",2,1))</f>
        <v/>
      </c>
      <c r="C170">
        <f>IF($A170="","",IF(ISNUMBER(Wages!$B173),IF(AND(Wages!$B173&gt;=10000101,Wages!$B173&lt;=99991231),INT(Wages!$B173/10000),""),IFERROR(VALUE(TRIM(LEFT(Wages!$B173,FIND("/",Wages!$B173)-1))),"")))</f>
        <v/>
      </c>
      <c r="D170">
        <f>IF(OR($A170="",$C170=""),"",IF(ISNUMBER(Wages!$B173),INT(MOD(Wages!$B173,10000)/100),IFERROR(VALUE(TRIM(LEFT(MID(Wages!$B173,FIND("/",Wages!$B173)+1,20),FIND("/",MID(Wages!$B173,FIND("/",Wages!$B173)+1,20))-1))),"")))</f>
        <v/>
      </c>
      <c r="E170">
        <f>IF(OR($A170="",$C170=""),"",IF(ISNUMBER(Wages!$B173),MOD(Wages!$B173,100),IFERROR(VALUE(TRIM(MID(MID(Wages!$B173,FIND("/",Wages!$B173)+1,20),FIND("/",MID(Wages!$B173,FIND("/",Wages!$B173)+1,20))+1,20))),"")))</f>
        <v/>
      </c>
      <c r="F170">
        <f>IF($A170="","",IF(OR($C170="",$D170="",$E170="",$C170&lt;1300,$C170&gt;1500,$D170&lt;1,$D170&gt;12,$E170&lt;1,$E170&gt;31),"نامعتبر",RIGHT("0000"&amp;$C170,4)&amp;"/"&amp;RIGHT("00"&amp;$D170,2)&amp;"/"&amp;RIGHT("00"&amp;$E170,2)))</f>
        <v/>
      </c>
      <c r="G170">
        <f>IF(OR($A170="",$F170="",$F170="نامعتبر"),"",LEFT($F170,4)&amp;MID($F170,6,2)&amp;RIGHT($F170,2)&amp;"0000"&amp;"|"&amp;"1"&amp;RIGHT("00000"&amp;165,5))</f>
        <v/>
      </c>
      <c r="H170">
        <f>IF(OR($B170&lt;&gt;1,$G170=""),"",COUNTIFS(LdAParty,$A170,LdAType,1,LdAKey,"&lt;"&amp;$G170)+COUNTIFS(LdBMember,$A170,LdBKey,"&lt;"&amp;$G170)+COUNTIFS(LdCParty,$A170,LdCKey,"&lt;"&amp;$G170)+1)</f>
        <v/>
      </c>
      <c r="I170">
        <f>IF($H170="","",$A170&amp;"|"&amp;RIGHT("000000"&amp;$H170,6))</f>
        <v/>
      </c>
      <c r="J170">
        <f>IF(OR($B170&lt;&gt;2,$G170=""),"",COUNTIFS(LdAParty,$A170,LdAType,2,LdAKey,"&lt;"&amp;$G170)+1)</f>
        <v/>
      </c>
      <c r="K170">
        <f>IF($J170="","",$A170&amp;"|"&amp;RIGHT("000000"&amp;$J170,6))</f>
        <v/>
      </c>
      <c r="L170">
        <f>IF($A170="","",IF(Wages!$G173="",0,Wages!$G173))</f>
        <v/>
      </c>
      <c r="M170">
        <f>IF($A170="","",Wages!$J173)</f>
        <v/>
      </c>
      <c r="N170">
        <f>IF($A170="","",Wages!$D173)</f>
        <v/>
      </c>
      <c r="P170">
        <f>IF(OR(Shares!$B173="",Shares!$C173=""),"",Shares!$C173)</f>
        <v/>
      </c>
      <c r="Q170">
        <f>IF($P170="","",Shares!$B173)</f>
        <v/>
      </c>
      <c r="R170">
        <f>IF($P170="","",IFERROR(INDEX(WageParty,MATCH($Q170,WageIds,0)),""))</f>
        <v/>
      </c>
      <c r="S170">
        <f>IF($P170="","",IFERROR(INDEX($F$6:$F$2005,MATCH($Q170,WageIds,0)),""))</f>
        <v/>
      </c>
      <c r="T170">
        <f>IF(OR($P170="",$S170="",$S170="نامعتبر"),"",LEFT($S170,4)&amp;MID($S170,6,2)&amp;RIGHT($S170,2)&amp;"0000"&amp;"|"&amp;"2"&amp;RIGHT("00000"&amp;165,5))</f>
        <v/>
      </c>
      <c r="U170">
        <f>IF($T170="","",COUNTIFS(LdAParty,$P170,LdAType,1,LdAKey,"&lt;"&amp;$T170)+COUNTIFS(LdBMember,$P170,LdBKey,"&lt;"&amp;$T170)+COUNTIFS(LdCParty,$P170,LdCKey,"&lt;"&amp;$T170)+1)</f>
        <v/>
      </c>
      <c r="V170">
        <f>IF($U170="","",$P170&amp;"|"&amp;RIGHT("000000"&amp;$U170,6))</f>
        <v/>
      </c>
      <c r="W170">
        <f>IF($T170="","",COUNTIFS(LdBGroup,$R170,LdBKey,"&lt;"&amp;$T170)+1)</f>
        <v/>
      </c>
      <c r="X170">
        <f>IF($W170="","",$R170&amp;"|"&amp;RIGHT("000000"&amp;$W170,6))</f>
        <v/>
      </c>
      <c r="Y170">
        <f>IF($P170="","",IF(Shares!$E173="",0,Shares!$E173))</f>
        <v/>
      </c>
      <c r="Z170">
        <f>IF($P170="","",Shares!$H173)</f>
        <v/>
      </c>
      <c r="AE170">
        <f>IF(OR(Sync!$S170="",Sync!$P170=""),"",Sync!$S170)</f>
        <v/>
      </c>
      <c r="AF170">
        <f>IF($AE170="","",IF(ISNUMBER(Sync!$P170),IF(AND(Sync!$P170&gt;=10000101,Sync!$P170&lt;=99991231),INT(Sync!$P170/10000),""),IFERROR(VALUE(TRIM(LEFT(Sync!$P170,FIND("/",Sync!$P170)-1))),"")))</f>
        <v/>
      </c>
      <c r="AG170">
        <f>IF(OR($AE170="",$AF170=""),"",IF(ISNUMBER(Sync!$P170),INT(MOD(Sync!$P170,10000)/100),IFERROR(VALUE(TRIM(LEFT(MID(Sync!$P170,FIND("/",Sync!$P170)+1,20),FIND("/",MID(Sync!$P170,FIND("/",Sync!$P170)+1,20))-1))),"")))</f>
        <v/>
      </c>
      <c r="AH170">
        <f>IF(OR($AE170="",$AF170=""),"",IF(ISNUMBER(Sync!$P170),MOD(Sync!$P170,100),IFERROR(VALUE(TRIM(MID(MID(Sync!$P170,FIND("/",Sync!$P170)+1,20),FIND("/",MID(Sync!$P170,FIND("/",Sync!$P170)+1,20))+1,20))),"")))</f>
        <v/>
      </c>
      <c r="AI170">
        <f>IF($AE170="","",IF(OR($AF170="",$AG170="",$AH170="",$AF170&lt;1300,$AF170&gt;1500,$AG170&lt;1,$AG170&gt;12,$AH170&lt;1,$AH170&gt;31),"نامعتبر",RIGHT("0000"&amp;$AF170,4)&amp;"/"&amp;RIGHT("00"&amp;$AG170,2)&amp;"/"&amp;RIGHT("00"&amp;$AH170,2)))</f>
        <v/>
      </c>
      <c r="AJ170">
        <f>IF($AE170="","",IF(Sync!$Q170="","0000",IF(AND(ISNUMBER(Sync!$Q170),Sync!$Q170&gt;=0,Sync!$Q170&lt;1),RIGHT("00"&amp;HOUR(Sync!$Q170),2)&amp;RIGHT("00"&amp;MINUTE(Sync!$Q170),2),IFERROR(RIGHT("00"&amp;VALUE(LEFT(Sync!$Q170,FIND(":",Sync!$Q170)-1)),2)&amp;RIGHT("00"&amp;VALUE(MID(Sync!$Q170,FIND(":",Sync!$Q170)+1,2)),2),"0000"))))</f>
        <v/>
      </c>
      <c r="AK170">
        <f>IF(OR($AE170="",$AI170="",$AI170="نامعتبر"),"",LEFT($AI170,4)&amp;MID($AI170,6,2)&amp;RIGHT($AI170,2)&amp;$AJ170&amp;"|"&amp;"3"&amp;RIGHT("00000"&amp;165,5))</f>
        <v/>
      </c>
      <c r="AL170">
        <f>IF($AK170="","",COUNTIFS(LdAParty,$AE170,LdAType,1,LdAKey,"&lt;"&amp;$AK170)+COUNTIFS(LdBMember,$AE170,LdBKey,"&lt;"&amp;$AK170)+COUNTIFS(LdCParty,$AE170,LdCKey,"&lt;"&amp;$AK170)+1)</f>
        <v/>
      </c>
      <c r="AM170">
        <f>IF($AL170="","",$AE170&amp;"|"&amp;RIGHT("000000"&amp;$AL170,6))</f>
        <v/>
      </c>
      <c r="AN170">
        <f>IF($AE170="","",IF(Sync!$W170="",0,Sync!$W170))</f>
        <v/>
      </c>
      <c r="AO170">
        <f>IF($AE170="","",IF(Sync!$X170="",0,Sync!$X170))</f>
        <v/>
      </c>
      <c r="AP170">
        <f>IF($AE170="","",Sync!$R170)</f>
        <v/>
      </c>
      <c r="AQ170">
        <f>IF($AE170="","",Sync!$Y170)</f>
        <v/>
      </c>
    </row>
    <row r="171">
      <c r="A171">
        <f>IF(OR(Wages!$B174="",Wages!$E174=""),"",Wages!$E174)</f>
        <v/>
      </c>
      <c r="B171">
        <f>IF($A171="","",IF(Wages!$C174="دستمزد گروهی",2,1))</f>
        <v/>
      </c>
      <c r="C171">
        <f>IF($A171="","",IF(ISNUMBER(Wages!$B174),IF(AND(Wages!$B174&gt;=10000101,Wages!$B174&lt;=99991231),INT(Wages!$B174/10000),""),IFERROR(VALUE(TRIM(LEFT(Wages!$B174,FIND("/",Wages!$B174)-1))),"")))</f>
        <v/>
      </c>
      <c r="D171">
        <f>IF(OR($A171="",$C171=""),"",IF(ISNUMBER(Wages!$B174),INT(MOD(Wages!$B174,10000)/100),IFERROR(VALUE(TRIM(LEFT(MID(Wages!$B174,FIND("/",Wages!$B174)+1,20),FIND("/",MID(Wages!$B174,FIND("/",Wages!$B174)+1,20))-1))),"")))</f>
        <v/>
      </c>
      <c r="E171">
        <f>IF(OR($A171="",$C171=""),"",IF(ISNUMBER(Wages!$B174),MOD(Wages!$B174,100),IFERROR(VALUE(TRIM(MID(MID(Wages!$B174,FIND("/",Wages!$B174)+1,20),FIND("/",MID(Wages!$B174,FIND("/",Wages!$B174)+1,20))+1,20))),"")))</f>
        <v/>
      </c>
      <c r="F171">
        <f>IF($A171="","",IF(OR($C171="",$D171="",$E171="",$C171&lt;1300,$C171&gt;1500,$D171&lt;1,$D171&gt;12,$E171&lt;1,$E171&gt;31),"نامعتبر",RIGHT("0000"&amp;$C171,4)&amp;"/"&amp;RIGHT("00"&amp;$D171,2)&amp;"/"&amp;RIGHT("00"&amp;$E171,2)))</f>
        <v/>
      </c>
      <c r="G171">
        <f>IF(OR($A171="",$F171="",$F171="نامعتبر"),"",LEFT($F171,4)&amp;MID($F171,6,2)&amp;RIGHT($F171,2)&amp;"0000"&amp;"|"&amp;"1"&amp;RIGHT("00000"&amp;166,5))</f>
        <v/>
      </c>
      <c r="H171">
        <f>IF(OR($B171&lt;&gt;1,$G171=""),"",COUNTIFS(LdAParty,$A171,LdAType,1,LdAKey,"&lt;"&amp;$G171)+COUNTIFS(LdBMember,$A171,LdBKey,"&lt;"&amp;$G171)+COUNTIFS(LdCParty,$A171,LdCKey,"&lt;"&amp;$G171)+1)</f>
        <v/>
      </c>
      <c r="I171">
        <f>IF($H171="","",$A171&amp;"|"&amp;RIGHT("000000"&amp;$H171,6))</f>
        <v/>
      </c>
      <c r="J171">
        <f>IF(OR($B171&lt;&gt;2,$G171=""),"",COUNTIFS(LdAParty,$A171,LdAType,2,LdAKey,"&lt;"&amp;$G171)+1)</f>
        <v/>
      </c>
      <c r="K171">
        <f>IF($J171="","",$A171&amp;"|"&amp;RIGHT("000000"&amp;$J171,6))</f>
        <v/>
      </c>
      <c r="L171">
        <f>IF($A171="","",IF(Wages!$G174="",0,Wages!$G174))</f>
        <v/>
      </c>
      <c r="M171">
        <f>IF($A171="","",Wages!$J174)</f>
        <v/>
      </c>
      <c r="N171">
        <f>IF($A171="","",Wages!$D174)</f>
        <v/>
      </c>
      <c r="P171">
        <f>IF(OR(Shares!$B174="",Shares!$C174=""),"",Shares!$C174)</f>
        <v/>
      </c>
      <c r="Q171">
        <f>IF($P171="","",Shares!$B174)</f>
        <v/>
      </c>
      <c r="R171">
        <f>IF($P171="","",IFERROR(INDEX(WageParty,MATCH($Q171,WageIds,0)),""))</f>
        <v/>
      </c>
      <c r="S171">
        <f>IF($P171="","",IFERROR(INDEX($F$6:$F$2005,MATCH($Q171,WageIds,0)),""))</f>
        <v/>
      </c>
      <c r="T171">
        <f>IF(OR($P171="",$S171="",$S171="نامعتبر"),"",LEFT($S171,4)&amp;MID($S171,6,2)&amp;RIGHT($S171,2)&amp;"0000"&amp;"|"&amp;"2"&amp;RIGHT("00000"&amp;166,5))</f>
        <v/>
      </c>
      <c r="U171">
        <f>IF($T171="","",COUNTIFS(LdAParty,$P171,LdAType,1,LdAKey,"&lt;"&amp;$T171)+COUNTIFS(LdBMember,$P171,LdBKey,"&lt;"&amp;$T171)+COUNTIFS(LdCParty,$P171,LdCKey,"&lt;"&amp;$T171)+1)</f>
        <v/>
      </c>
      <c r="V171">
        <f>IF($U171="","",$P171&amp;"|"&amp;RIGHT("000000"&amp;$U171,6))</f>
        <v/>
      </c>
      <c r="W171">
        <f>IF($T171="","",COUNTIFS(LdBGroup,$R171,LdBKey,"&lt;"&amp;$T171)+1)</f>
        <v/>
      </c>
      <c r="X171">
        <f>IF($W171="","",$R171&amp;"|"&amp;RIGHT("000000"&amp;$W171,6))</f>
        <v/>
      </c>
      <c r="Y171">
        <f>IF($P171="","",IF(Shares!$E174="",0,Shares!$E174))</f>
        <v/>
      </c>
      <c r="Z171">
        <f>IF($P171="","",Shares!$H174)</f>
        <v/>
      </c>
      <c r="AE171">
        <f>IF(OR(Sync!$S171="",Sync!$P171=""),"",Sync!$S171)</f>
        <v/>
      </c>
      <c r="AF171">
        <f>IF($AE171="","",IF(ISNUMBER(Sync!$P171),IF(AND(Sync!$P171&gt;=10000101,Sync!$P171&lt;=99991231),INT(Sync!$P171/10000),""),IFERROR(VALUE(TRIM(LEFT(Sync!$P171,FIND("/",Sync!$P171)-1))),"")))</f>
        <v/>
      </c>
      <c r="AG171">
        <f>IF(OR($AE171="",$AF171=""),"",IF(ISNUMBER(Sync!$P171),INT(MOD(Sync!$P171,10000)/100),IFERROR(VALUE(TRIM(LEFT(MID(Sync!$P171,FIND("/",Sync!$P171)+1,20),FIND("/",MID(Sync!$P171,FIND("/",Sync!$P171)+1,20))-1))),"")))</f>
        <v/>
      </c>
      <c r="AH171">
        <f>IF(OR($AE171="",$AF171=""),"",IF(ISNUMBER(Sync!$P171),MOD(Sync!$P171,100),IFERROR(VALUE(TRIM(MID(MID(Sync!$P171,FIND("/",Sync!$P171)+1,20),FIND("/",MID(Sync!$P171,FIND("/",Sync!$P171)+1,20))+1,20))),"")))</f>
        <v/>
      </c>
      <c r="AI171">
        <f>IF($AE171="","",IF(OR($AF171="",$AG171="",$AH171="",$AF171&lt;1300,$AF171&gt;1500,$AG171&lt;1,$AG171&gt;12,$AH171&lt;1,$AH171&gt;31),"نامعتبر",RIGHT("0000"&amp;$AF171,4)&amp;"/"&amp;RIGHT("00"&amp;$AG171,2)&amp;"/"&amp;RIGHT("00"&amp;$AH171,2)))</f>
        <v/>
      </c>
      <c r="AJ171">
        <f>IF($AE171="","",IF(Sync!$Q171="","0000",IF(AND(ISNUMBER(Sync!$Q171),Sync!$Q171&gt;=0,Sync!$Q171&lt;1),RIGHT("00"&amp;HOUR(Sync!$Q171),2)&amp;RIGHT("00"&amp;MINUTE(Sync!$Q171),2),IFERROR(RIGHT("00"&amp;VALUE(LEFT(Sync!$Q171,FIND(":",Sync!$Q171)-1)),2)&amp;RIGHT("00"&amp;VALUE(MID(Sync!$Q171,FIND(":",Sync!$Q171)+1,2)),2),"0000"))))</f>
        <v/>
      </c>
      <c r="AK171">
        <f>IF(OR($AE171="",$AI171="",$AI171="نامعتبر"),"",LEFT($AI171,4)&amp;MID($AI171,6,2)&amp;RIGHT($AI171,2)&amp;$AJ171&amp;"|"&amp;"3"&amp;RIGHT("00000"&amp;166,5))</f>
        <v/>
      </c>
      <c r="AL171">
        <f>IF($AK171="","",COUNTIFS(LdAParty,$AE171,LdAType,1,LdAKey,"&lt;"&amp;$AK171)+COUNTIFS(LdBMember,$AE171,LdBKey,"&lt;"&amp;$AK171)+COUNTIFS(LdCParty,$AE171,LdCKey,"&lt;"&amp;$AK171)+1)</f>
        <v/>
      </c>
      <c r="AM171">
        <f>IF($AL171="","",$AE171&amp;"|"&amp;RIGHT("000000"&amp;$AL171,6))</f>
        <v/>
      </c>
      <c r="AN171">
        <f>IF($AE171="","",IF(Sync!$W171="",0,Sync!$W171))</f>
        <v/>
      </c>
      <c r="AO171">
        <f>IF($AE171="","",IF(Sync!$X171="",0,Sync!$X171))</f>
        <v/>
      </c>
      <c r="AP171">
        <f>IF($AE171="","",Sync!$R171)</f>
        <v/>
      </c>
      <c r="AQ171">
        <f>IF($AE171="","",Sync!$Y171)</f>
        <v/>
      </c>
    </row>
    <row r="172">
      <c r="A172">
        <f>IF(OR(Wages!$B175="",Wages!$E175=""),"",Wages!$E175)</f>
        <v/>
      </c>
      <c r="B172">
        <f>IF($A172="","",IF(Wages!$C175="دستمزد گروهی",2,1))</f>
        <v/>
      </c>
      <c r="C172">
        <f>IF($A172="","",IF(ISNUMBER(Wages!$B175),IF(AND(Wages!$B175&gt;=10000101,Wages!$B175&lt;=99991231),INT(Wages!$B175/10000),""),IFERROR(VALUE(TRIM(LEFT(Wages!$B175,FIND("/",Wages!$B175)-1))),"")))</f>
        <v/>
      </c>
      <c r="D172">
        <f>IF(OR($A172="",$C172=""),"",IF(ISNUMBER(Wages!$B175),INT(MOD(Wages!$B175,10000)/100),IFERROR(VALUE(TRIM(LEFT(MID(Wages!$B175,FIND("/",Wages!$B175)+1,20),FIND("/",MID(Wages!$B175,FIND("/",Wages!$B175)+1,20))-1))),"")))</f>
        <v/>
      </c>
      <c r="E172">
        <f>IF(OR($A172="",$C172=""),"",IF(ISNUMBER(Wages!$B175),MOD(Wages!$B175,100),IFERROR(VALUE(TRIM(MID(MID(Wages!$B175,FIND("/",Wages!$B175)+1,20),FIND("/",MID(Wages!$B175,FIND("/",Wages!$B175)+1,20))+1,20))),"")))</f>
        <v/>
      </c>
      <c r="F172">
        <f>IF($A172="","",IF(OR($C172="",$D172="",$E172="",$C172&lt;1300,$C172&gt;1500,$D172&lt;1,$D172&gt;12,$E172&lt;1,$E172&gt;31),"نامعتبر",RIGHT("0000"&amp;$C172,4)&amp;"/"&amp;RIGHT("00"&amp;$D172,2)&amp;"/"&amp;RIGHT("00"&amp;$E172,2)))</f>
        <v/>
      </c>
      <c r="G172">
        <f>IF(OR($A172="",$F172="",$F172="نامعتبر"),"",LEFT($F172,4)&amp;MID($F172,6,2)&amp;RIGHT($F172,2)&amp;"0000"&amp;"|"&amp;"1"&amp;RIGHT("00000"&amp;167,5))</f>
        <v/>
      </c>
      <c r="H172">
        <f>IF(OR($B172&lt;&gt;1,$G172=""),"",COUNTIFS(LdAParty,$A172,LdAType,1,LdAKey,"&lt;"&amp;$G172)+COUNTIFS(LdBMember,$A172,LdBKey,"&lt;"&amp;$G172)+COUNTIFS(LdCParty,$A172,LdCKey,"&lt;"&amp;$G172)+1)</f>
        <v/>
      </c>
      <c r="I172">
        <f>IF($H172="","",$A172&amp;"|"&amp;RIGHT("000000"&amp;$H172,6))</f>
        <v/>
      </c>
      <c r="J172">
        <f>IF(OR($B172&lt;&gt;2,$G172=""),"",COUNTIFS(LdAParty,$A172,LdAType,2,LdAKey,"&lt;"&amp;$G172)+1)</f>
        <v/>
      </c>
      <c r="K172">
        <f>IF($J172="","",$A172&amp;"|"&amp;RIGHT("000000"&amp;$J172,6))</f>
        <v/>
      </c>
      <c r="L172">
        <f>IF($A172="","",IF(Wages!$G175="",0,Wages!$G175))</f>
        <v/>
      </c>
      <c r="M172">
        <f>IF($A172="","",Wages!$J175)</f>
        <v/>
      </c>
      <c r="N172">
        <f>IF($A172="","",Wages!$D175)</f>
        <v/>
      </c>
      <c r="P172">
        <f>IF(OR(Shares!$B175="",Shares!$C175=""),"",Shares!$C175)</f>
        <v/>
      </c>
      <c r="Q172">
        <f>IF($P172="","",Shares!$B175)</f>
        <v/>
      </c>
      <c r="R172">
        <f>IF($P172="","",IFERROR(INDEX(WageParty,MATCH($Q172,WageIds,0)),""))</f>
        <v/>
      </c>
      <c r="S172">
        <f>IF($P172="","",IFERROR(INDEX($F$6:$F$2005,MATCH($Q172,WageIds,0)),""))</f>
        <v/>
      </c>
      <c r="T172">
        <f>IF(OR($P172="",$S172="",$S172="نامعتبر"),"",LEFT($S172,4)&amp;MID($S172,6,2)&amp;RIGHT($S172,2)&amp;"0000"&amp;"|"&amp;"2"&amp;RIGHT("00000"&amp;167,5))</f>
        <v/>
      </c>
      <c r="U172">
        <f>IF($T172="","",COUNTIFS(LdAParty,$P172,LdAType,1,LdAKey,"&lt;"&amp;$T172)+COUNTIFS(LdBMember,$P172,LdBKey,"&lt;"&amp;$T172)+COUNTIFS(LdCParty,$P172,LdCKey,"&lt;"&amp;$T172)+1)</f>
        <v/>
      </c>
      <c r="V172">
        <f>IF($U172="","",$P172&amp;"|"&amp;RIGHT("000000"&amp;$U172,6))</f>
        <v/>
      </c>
      <c r="W172">
        <f>IF($T172="","",COUNTIFS(LdBGroup,$R172,LdBKey,"&lt;"&amp;$T172)+1)</f>
        <v/>
      </c>
      <c r="X172">
        <f>IF($W172="","",$R172&amp;"|"&amp;RIGHT("000000"&amp;$W172,6))</f>
        <v/>
      </c>
      <c r="Y172">
        <f>IF($P172="","",IF(Shares!$E175="",0,Shares!$E175))</f>
        <v/>
      </c>
      <c r="Z172">
        <f>IF($P172="","",Shares!$H175)</f>
        <v/>
      </c>
      <c r="AE172">
        <f>IF(OR(Sync!$S172="",Sync!$P172=""),"",Sync!$S172)</f>
        <v/>
      </c>
      <c r="AF172">
        <f>IF($AE172="","",IF(ISNUMBER(Sync!$P172),IF(AND(Sync!$P172&gt;=10000101,Sync!$P172&lt;=99991231),INT(Sync!$P172/10000),""),IFERROR(VALUE(TRIM(LEFT(Sync!$P172,FIND("/",Sync!$P172)-1))),"")))</f>
        <v/>
      </c>
      <c r="AG172">
        <f>IF(OR($AE172="",$AF172=""),"",IF(ISNUMBER(Sync!$P172),INT(MOD(Sync!$P172,10000)/100),IFERROR(VALUE(TRIM(LEFT(MID(Sync!$P172,FIND("/",Sync!$P172)+1,20),FIND("/",MID(Sync!$P172,FIND("/",Sync!$P172)+1,20))-1))),"")))</f>
        <v/>
      </c>
      <c r="AH172">
        <f>IF(OR($AE172="",$AF172=""),"",IF(ISNUMBER(Sync!$P172),MOD(Sync!$P172,100),IFERROR(VALUE(TRIM(MID(MID(Sync!$P172,FIND("/",Sync!$P172)+1,20),FIND("/",MID(Sync!$P172,FIND("/",Sync!$P172)+1,20))+1,20))),"")))</f>
        <v/>
      </c>
      <c r="AI172">
        <f>IF($AE172="","",IF(OR($AF172="",$AG172="",$AH172="",$AF172&lt;1300,$AF172&gt;1500,$AG172&lt;1,$AG172&gt;12,$AH172&lt;1,$AH172&gt;31),"نامعتبر",RIGHT("0000"&amp;$AF172,4)&amp;"/"&amp;RIGHT("00"&amp;$AG172,2)&amp;"/"&amp;RIGHT("00"&amp;$AH172,2)))</f>
        <v/>
      </c>
      <c r="AJ172">
        <f>IF($AE172="","",IF(Sync!$Q172="","0000",IF(AND(ISNUMBER(Sync!$Q172),Sync!$Q172&gt;=0,Sync!$Q172&lt;1),RIGHT("00"&amp;HOUR(Sync!$Q172),2)&amp;RIGHT("00"&amp;MINUTE(Sync!$Q172),2),IFERROR(RIGHT("00"&amp;VALUE(LEFT(Sync!$Q172,FIND(":",Sync!$Q172)-1)),2)&amp;RIGHT("00"&amp;VALUE(MID(Sync!$Q172,FIND(":",Sync!$Q172)+1,2)),2),"0000"))))</f>
        <v/>
      </c>
      <c r="AK172">
        <f>IF(OR($AE172="",$AI172="",$AI172="نامعتبر"),"",LEFT($AI172,4)&amp;MID($AI172,6,2)&amp;RIGHT($AI172,2)&amp;$AJ172&amp;"|"&amp;"3"&amp;RIGHT("00000"&amp;167,5))</f>
        <v/>
      </c>
      <c r="AL172">
        <f>IF($AK172="","",COUNTIFS(LdAParty,$AE172,LdAType,1,LdAKey,"&lt;"&amp;$AK172)+COUNTIFS(LdBMember,$AE172,LdBKey,"&lt;"&amp;$AK172)+COUNTIFS(LdCParty,$AE172,LdCKey,"&lt;"&amp;$AK172)+1)</f>
        <v/>
      </c>
      <c r="AM172">
        <f>IF($AL172="","",$AE172&amp;"|"&amp;RIGHT("000000"&amp;$AL172,6))</f>
        <v/>
      </c>
      <c r="AN172">
        <f>IF($AE172="","",IF(Sync!$W172="",0,Sync!$W172))</f>
        <v/>
      </c>
      <c r="AO172">
        <f>IF($AE172="","",IF(Sync!$X172="",0,Sync!$X172))</f>
        <v/>
      </c>
      <c r="AP172">
        <f>IF($AE172="","",Sync!$R172)</f>
        <v/>
      </c>
      <c r="AQ172">
        <f>IF($AE172="","",Sync!$Y172)</f>
        <v/>
      </c>
    </row>
    <row r="173">
      <c r="A173">
        <f>IF(OR(Wages!$B176="",Wages!$E176=""),"",Wages!$E176)</f>
        <v/>
      </c>
      <c r="B173">
        <f>IF($A173="","",IF(Wages!$C176="دستمزد گروهی",2,1))</f>
        <v/>
      </c>
      <c r="C173">
        <f>IF($A173="","",IF(ISNUMBER(Wages!$B176),IF(AND(Wages!$B176&gt;=10000101,Wages!$B176&lt;=99991231),INT(Wages!$B176/10000),""),IFERROR(VALUE(TRIM(LEFT(Wages!$B176,FIND("/",Wages!$B176)-1))),"")))</f>
        <v/>
      </c>
      <c r="D173">
        <f>IF(OR($A173="",$C173=""),"",IF(ISNUMBER(Wages!$B176),INT(MOD(Wages!$B176,10000)/100),IFERROR(VALUE(TRIM(LEFT(MID(Wages!$B176,FIND("/",Wages!$B176)+1,20),FIND("/",MID(Wages!$B176,FIND("/",Wages!$B176)+1,20))-1))),"")))</f>
        <v/>
      </c>
      <c r="E173">
        <f>IF(OR($A173="",$C173=""),"",IF(ISNUMBER(Wages!$B176),MOD(Wages!$B176,100),IFERROR(VALUE(TRIM(MID(MID(Wages!$B176,FIND("/",Wages!$B176)+1,20),FIND("/",MID(Wages!$B176,FIND("/",Wages!$B176)+1,20))+1,20))),"")))</f>
        <v/>
      </c>
      <c r="F173">
        <f>IF($A173="","",IF(OR($C173="",$D173="",$E173="",$C173&lt;1300,$C173&gt;1500,$D173&lt;1,$D173&gt;12,$E173&lt;1,$E173&gt;31),"نامعتبر",RIGHT("0000"&amp;$C173,4)&amp;"/"&amp;RIGHT("00"&amp;$D173,2)&amp;"/"&amp;RIGHT("00"&amp;$E173,2)))</f>
        <v/>
      </c>
      <c r="G173">
        <f>IF(OR($A173="",$F173="",$F173="نامعتبر"),"",LEFT($F173,4)&amp;MID($F173,6,2)&amp;RIGHT($F173,2)&amp;"0000"&amp;"|"&amp;"1"&amp;RIGHT("00000"&amp;168,5))</f>
        <v/>
      </c>
      <c r="H173">
        <f>IF(OR($B173&lt;&gt;1,$G173=""),"",COUNTIFS(LdAParty,$A173,LdAType,1,LdAKey,"&lt;"&amp;$G173)+COUNTIFS(LdBMember,$A173,LdBKey,"&lt;"&amp;$G173)+COUNTIFS(LdCParty,$A173,LdCKey,"&lt;"&amp;$G173)+1)</f>
        <v/>
      </c>
      <c r="I173">
        <f>IF($H173="","",$A173&amp;"|"&amp;RIGHT("000000"&amp;$H173,6))</f>
        <v/>
      </c>
      <c r="J173">
        <f>IF(OR($B173&lt;&gt;2,$G173=""),"",COUNTIFS(LdAParty,$A173,LdAType,2,LdAKey,"&lt;"&amp;$G173)+1)</f>
        <v/>
      </c>
      <c r="K173">
        <f>IF($J173="","",$A173&amp;"|"&amp;RIGHT("000000"&amp;$J173,6))</f>
        <v/>
      </c>
      <c r="L173">
        <f>IF($A173="","",IF(Wages!$G176="",0,Wages!$G176))</f>
        <v/>
      </c>
      <c r="M173">
        <f>IF($A173="","",Wages!$J176)</f>
        <v/>
      </c>
      <c r="N173">
        <f>IF($A173="","",Wages!$D176)</f>
        <v/>
      </c>
      <c r="P173">
        <f>IF(OR(Shares!$B176="",Shares!$C176=""),"",Shares!$C176)</f>
        <v/>
      </c>
      <c r="Q173">
        <f>IF($P173="","",Shares!$B176)</f>
        <v/>
      </c>
      <c r="R173">
        <f>IF($P173="","",IFERROR(INDEX(WageParty,MATCH($Q173,WageIds,0)),""))</f>
        <v/>
      </c>
      <c r="S173">
        <f>IF($P173="","",IFERROR(INDEX($F$6:$F$2005,MATCH($Q173,WageIds,0)),""))</f>
        <v/>
      </c>
      <c r="T173">
        <f>IF(OR($P173="",$S173="",$S173="نامعتبر"),"",LEFT($S173,4)&amp;MID($S173,6,2)&amp;RIGHT($S173,2)&amp;"0000"&amp;"|"&amp;"2"&amp;RIGHT("00000"&amp;168,5))</f>
        <v/>
      </c>
      <c r="U173">
        <f>IF($T173="","",COUNTIFS(LdAParty,$P173,LdAType,1,LdAKey,"&lt;"&amp;$T173)+COUNTIFS(LdBMember,$P173,LdBKey,"&lt;"&amp;$T173)+COUNTIFS(LdCParty,$P173,LdCKey,"&lt;"&amp;$T173)+1)</f>
        <v/>
      </c>
      <c r="V173">
        <f>IF($U173="","",$P173&amp;"|"&amp;RIGHT("000000"&amp;$U173,6))</f>
        <v/>
      </c>
      <c r="W173">
        <f>IF($T173="","",COUNTIFS(LdBGroup,$R173,LdBKey,"&lt;"&amp;$T173)+1)</f>
        <v/>
      </c>
      <c r="X173">
        <f>IF($W173="","",$R173&amp;"|"&amp;RIGHT("000000"&amp;$W173,6))</f>
        <v/>
      </c>
      <c r="Y173">
        <f>IF($P173="","",IF(Shares!$E176="",0,Shares!$E176))</f>
        <v/>
      </c>
      <c r="Z173">
        <f>IF($P173="","",Shares!$H176)</f>
        <v/>
      </c>
      <c r="AE173">
        <f>IF(OR(Sync!$S173="",Sync!$P173=""),"",Sync!$S173)</f>
        <v/>
      </c>
      <c r="AF173">
        <f>IF($AE173="","",IF(ISNUMBER(Sync!$P173),IF(AND(Sync!$P173&gt;=10000101,Sync!$P173&lt;=99991231),INT(Sync!$P173/10000),""),IFERROR(VALUE(TRIM(LEFT(Sync!$P173,FIND("/",Sync!$P173)-1))),"")))</f>
        <v/>
      </c>
      <c r="AG173">
        <f>IF(OR($AE173="",$AF173=""),"",IF(ISNUMBER(Sync!$P173),INT(MOD(Sync!$P173,10000)/100),IFERROR(VALUE(TRIM(LEFT(MID(Sync!$P173,FIND("/",Sync!$P173)+1,20),FIND("/",MID(Sync!$P173,FIND("/",Sync!$P173)+1,20))-1))),"")))</f>
        <v/>
      </c>
      <c r="AH173">
        <f>IF(OR($AE173="",$AF173=""),"",IF(ISNUMBER(Sync!$P173),MOD(Sync!$P173,100),IFERROR(VALUE(TRIM(MID(MID(Sync!$P173,FIND("/",Sync!$P173)+1,20),FIND("/",MID(Sync!$P173,FIND("/",Sync!$P173)+1,20))+1,20))),"")))</f>
        <v/>
      </c>
      <c r="AI173">
        <f>IF($AE173="","",IF(OR($AF173="",$AG173="",$AH173="",$AF173&lt;1300,$AF173&gt;1500,$AG173&lt;1,$AG173&gt;12,$AH173&lt;1,$AH173&gt;31),"نامعتبر",RIGHT("0000"&amp;$AF173,4)&amp;"/"&amp;RIGHT("00"&amp;$AG173,2)&amp;"/"&amp;RIGHT("00"&amp;$AH173,2)))</f>
        <v/>
      </c>
      <c r="AJ173">
        <f>IF($AE173="","",IF(Sync!$Q173="","0000",IF(AND(ISNUMBER(Sync!$Q173),Sync!$Q173&gt;=0,Sync!$Q173&lt;1),RIGHT("00"&amp;HOUR(Sync!$Q173),2)&amp;RIGHT("00"&amp;MINUTE(Sync!$Q173),2),IFERROR(RIGHT("00"&amp;VALUE(LEFT(Sync!$Q173,FIND(":",Sync!$Q173)-1)),2)&amp;RIGHT("00"&amp;VALUE(MID(Sync!$Q173,FIND(":",Sync!$Q173)+1,2)),2),"0000"))))</f>
        <v/>
      </c>
      <c r="AK173">
        <f>IF(OR($AE173="",$AI173="",$AI173="نامعتبر"),"",LEFT($AI173,4)&amp;MID($AI173,6,2)&amp;RIGHT($AI173,2)&amp;$AJ173&amp;"|"&amp;"3"&amp;RIGHT("00000"&amp;168,5))</f>
        <v/>
      </c>
      <c r="AL173">
        <f>IF($AK173="","",COUNTIFS(LdAParty,$AE173,LdAType,1,LdAKey,"&lt;"&amp;$AK173)+COUNTIFS(LdBMember,$AE173,LdBKey,"&lt;"&amp;$AK173)+COUNTIFS(LdCParty,$AE173,LdCKey,"&lt;"&amp;$AK173)+1)</f>
        <v/>
      </c>
      <c r="AM173">
        <f>IF($AL173="","",$AE173&amp;"|"&amp;RIGHT("000000"&amp;$AL173,6))</f>
        <v/>
      </c>
      <c r="AN173">
        <f>IF($AE173="","",IF(Sync!$W173="",0,Sync!$W173))</f>
        <v/>
      </c>
      <c r="AO173">
        <f>IF($AE173="","",IF(Sync!$X173="",0,Sync!$X173))</f>
        <v/>
      </c>
      <c r="AP173">
        <f>IF($AE173="","",Sync!$R173)</f>
        <v/>
      </c>
      <c r="AQ173">
        <f>IF($AE173="","",Sync!$Y173)</f>
        <v/>
      </c>
    </row>
    <row r="174">
      <c r="A174">
        <f>IF(OR(Wages!$B177="",Wages!$E177=""),"",Wages!$E177)</f>
        <v/>
      </c>
      <c r="B174">
        <f>IF($A174="","",IF(Wages!$C177="دستمزد گروهی",2,1))</f>
        <v/>
      </c>
      <c r="C174">
        <f>IF($A174="","",IF(ISNUMBER(Wages!$B177),IF(AND(Wages!$B177&gt;=10000101,Wages!$B177&lt;=99991231),INT(Wages!$B177/10000),""),IFERROR(VALUE(TRIM(LEFT(Wages!$B177,FIND("/",Wages!$B177)-1))),"")))</f>
        <v/>
      </c>
      <c r="D174">
        <f>IF(OR($A174="",$C174=""),"",IF(ISNUMBER(Wages!$B177),INT(MOD(Wages!$B177,10000)/100),IFERROR(VALUE(TRIM(LEFT(MID(Wages!$B177,FIND("/",Wages!$B177)+1,20),FIND("/",MID(Wages!$B177,FIND("/",Wages!$B177)+1,20))-1))),"")))</f>
        <v/>
      </c>
      <c r="E174">
        <f>IF(OR($A174="",$C174=""),"",IF(ISNUMBER(Wages!$B177),MOD(Wages!$B177,100),IFERROR(VALUE(TRIM(MID(MID(Wages!$B177,FIND("/",Wages!$B177)+1,20),FIND("/",MID(Wages!$B177,FIND("/",Wages!$B177)+1,20))+1,20))),"")))</f>
        <v/>
      </c>
      <c r="F174">
        <f>IF($A174="","",IF(OR($C174="",$D174="",$E174="",$C174&lt;1300,$C174&gt;1500,$D174&lt;1,$D174&gt;12,$E174&lt;1,$E174&gt;31),"نامعتبر",RIGHT("0000"&amp;$C174,4)&amp;"/"&amp;RIGHT("00"&amp;$D174,2)&amp;"/"&amp;RIGHT("00"&amp;$E174,2)))</f>
        <v/>
      </c>
      <c r="G174">
        <f>IF(OR($A174="",$F174="",$F174="نامعتبر"),"",LEFT($F174,4)&amp;MID($F174,6,2)&amp;RIGHT($F174,2)&amp;"0000"&amp;"|"&amp;"1"&amp;RIGHT("00000"&amp;169,5))</f>
        <v/>
      </c>
      <c r="H174">
        <f>IF(OR($B174&lt;&gt;1,$G174=""),"",COUNTIFS(LdAParty,$A174,LdAType,1,LdAKey,"&lt;"&amp;$G174)+COUNTIFS(LdBMember,$A174,LdBKey,"&lt;"&amp;$G174)+COUNTIFS(LdCParty,$A174,LdCKey,"&lt;"&amp;$G174)+1)</f>
        <v/>
      </c>
      <c r="I174">
        <f>IF($H174="","",$A174&amp;"|"&amp;RIGHT("000000"&amp;$H174,6))</f>
        <v/>
      </c>
      <c r="J174">
        <f>IF(OR($B174&lt;&gt;2,$G174=""),"",COUNTIFS(LdAParty,$A174,LdAType,2,LdAKey,"&lt;"&amp;$G174)+1)</f>
        <v/>
      </c>
      <c r="K174">
        <f>IF($J174="","",$A174&amp;"|"&amp;RIGHT("000000"&amp;$J174,6))</f>
        <v/>
      </c>
      <c r="L174">
        <f>IF($A174="","",IF(Wages!$G177="",0,Wages!$G177))</f>
        <v/>
      </c>
      <c r="M174">
        <f>IF($A174="","",Wages!$J177)</f>
        <v/>
      </c>
      <c r="N174">
        <f>IF($A174="","",Wages!$D177)</f>
        <v/>
      </c>
      <c r="P174">
        <f>IF(OR(Shares!$B177="",Shares!$C177=""),"",Shares!$C177)</f>
        <v/>
      </c>
      <c r="Q174">
        <f>IF($P174="","",Shares!$B177)</f>
        <v/>
      </c>
      <c r="R174">
        <f>IF($P174="","",IFERROR(INDEX(WageParty,MATCH($Q174,WageIds,0)),""))</f>
        <v/>
      </c>
      <c r="S174">
        <f>IF($P174="","",IFERROR(INDEX($F$6:$F$2005,MATCH($Q174,WageIds,0)),""))</f>
        <v/>
      </c>
      <c r="T174">
        <f>IF(OR($P174="",$S174="",$S174="نامعتبر"),"",LEFT($S174,4)&amp;MID($S174,6,2)&amp;RIGHT($S174,2)&amp;"0000"&amp;"|"&amp;"2"&amp;RIGHT("00000"&amp;169,5))</f>
        <v/>
      </c>
      <c r="U174">
        <f>IF($T174="","",COUNTIFS(LdAParty,$P174,LdAType,1,LdAKey,"&lt;"&amp;$T174)+COUNTIFS(LdBMember,$P174,LdBKey,"&lt;"&amp;$T174)+COUNTIFS(LdCParty,$P174,LdCKey,"&lt;"&amp;$T174)+1)</f>
        <v/>
      </c>
      <c r="V174">
        <f>IF($U174="","",$P174&amp;"|"&amp;RIGHT("000000"&amp;$U174,6))</f>
        <v/>
      </c>
      <c r="W174">
        <f>IF($T174="","",COUNTIFS(LdBGroup,$R174,LdBKey,"&lt;"&amp;$T174)+1)</f>
        <v/>
      </c>
      <c r="X174">
        <f>IF($W174="","",$R174&amp;"|"&amp;RIGHT("000000"&amp;$W174,6))</f>
        <v/>
      </c>
      <c r="Y174">
        <f>IF($P174="","",IF(Shares!$E177="",0,Shares!$E177))</f>
        <v/>
      </c>
      <c r="Z174">
        <f>IF($P174="","",Shares!$H177)</f>
        <v/>
      </c>
      <c r="AE174">
        <f>IF(OR(Sync!$S174="",Sync!$P174=""),"",Sync!$S174)</f>
        <v/>
      </c>
      <c r="AF174">
        <f>IF($AE174="","",IF(ISNUMBER(Sync!$P174),IF(AND(Sync!$P174&gt;=10000101,Sync!$P174&lt;=99991231),INT(Sync!$P174/10000),""),IFERROR(VALUE(TRIM(LEFT(Sync!$P174,FIND("/",Sync!$P174)-1))),"")))</f>
        <v/>
      </c>
      <c r="AG174">
        <f>IF(OR($AE174="",$AF174=""),"",IF(ISNUMBER(Sync!$P174),INT(MOD(Sync!$P174,10000)/100),IFERROR(VALUE(TRIM(LEFT(MID(Sync!$P174,FIND("/",Sync!$P174)+1,20),FIND("/",MID(Sync!$P174,FIND("/",Sync!$P174)+1,20))-1))),"")))</f>
        <v/>
      </c>
      <c r="AH174">
        <f>IF(OR($AE174="",$AF174=""),"",IF(ISNUMBER(Sync!$P174),MOD(Sync!$P174,100),IFERROR(VALUE(TRIM(MID(MID(Sync!$P174,FIND("/",Sync!$P174)+1,20),FIND("/",MID(Sync!$P174,FIND("/",Sync!$P174)+1,20))+1,20))),"")))</f>
        <v/>
      </c>
      <c r="AI174">
        <f>IF($AE174="","",IF(OR($AF174="",$AG174="",$AH174="",$AF174&lt;1300,$AF174&gt;1500,$AG174&lt;1,$AG174&gt;12,$AH174&lt;1,$AH174&gt;31),"نامعتبر",RIGHT("0000"&amp;$AF174,4)&amp;"/"&amp;RIGHT("00"&amp;$AG174,2)&amp;"/"&amp;RIGHT("00"&amp;$AH174,2)))</f>
        <v/>
      </c>
      <c r="AJ174">
        <f>IF($AE174="","",IF(Sync!$Q174="","0000",IF(AND(ISNUMBER(Sync!$Q174),Sync!$Q174&gt;=0,Sync!$Q174&lt;1),RIGHT("00"&amp;HOUR(Sync!$Q174),2)&amp;RIGHT("00"&amp;MINUTE(Sync!$Q174),2),IFERROR(RIGHT("00"&amp;VALUE(LEFT(Sync!$Q174,FIND(":",Sync!$Q174)-1)),2)&amp;RIGHT("00"&amp;VALUE(MID(Sync!$Q174,FIND(":",Sync!$Q174)+1,2)),2),"0000"))))</f>
        <v/>
      </c>
      <c r="AK174">
        <f>IF(OR($AE174="",$AI174="",$AI174="نامعتبر"),"",LEFT($AI174,4)&amp;MID($AI174,6,2)&amp;RIGHT($AI174,2)&amp;$AJ174&amp;"|"&amp;"3"&amp;RIGHT("00000"&amp;169,5))</f>
        <v/>
      </c>
      <c r="AL174">
        <f>IF($AK174="","",COUNTIFS(LdAParty,$AE174,LdAType,1,LdAKey,"&lt;"&amp;$AK174)+COUNTIFS(LdBMember,$AE174,LdBKey,"&lt;"&amp;$AK174)+COUNTIFS(LdCParty,$AE174,LdCKey,"&lt;"&amp;$AK174)+1)</f>
        <v/>
      </c>
      <c r="AM174">
        <f>IF($AL174="","",$AE174&amp;"|"&amp;RIGHT("000000"&amp;$AL174,6))</f>
        <v/>
      </c>
      <c r="AN174">
        <f>IF($AE174="","",IF(Sync!$W174="",0,Sync!$W174))</f>
        <v/>
      </c>
      <c r="AO174">
        <f>IF($AE174="","",IF(Sync!$X174="",0,Sync!$X174))</f>
        <v/>
      </c>
      <c r="AP174">
        <f>IF($AE174="","",Sync!$R174)</f>
        <v/>
      </c>
      <c r="AQ174">
        <f>IF($AE174="","",Sync!$Y174)</f>
        <v/>
      </c>
    </row>
    <row r="175">
      <c r="A175">
        <f>IF(OR(Wages!$B178="",Wages!$E178=""),"",Wages!$E178)</f>
        <v/>
      </c>
      <c r="B175">
        <f>IF($A175="","",IF(Wages!$C178="دستمزد گروهی",2,1))</f>
        <v/>
      </c>
      <c r="C175">
        <f>IF($A175="","",IF(ISNUMBER(Wages!$B178),IF(AND(Wages!$B178&gt;=10000101,Wages!$B178&lt;=99991231),INT(Wages!$B178/10000),""),IFERROR(VALUE(TRIM(LEFT(Wages!$B178,FIND("/",Wages!$B178)-1))),"")))</f>
        <v/>
      </c>
      <c r="D175">
        <f>IF(OR($A175="",$C175=""),"",IF(ISNUMBER(Wages!$B178),INT(MOD(Wages!$B178,10000)/100),IFERROR(VALUE(TRIM(LEFT(MID(Wages!$B178,FIND("/",Wages!$B178)+1,20),FIND("/",MID(Wages!$B178,FIND("/",Wages!$B178)+1,20))-1))),"")))</f>
        <v/>
      </c>
      <c r="E175">
        <f>IF(OR($A175="",$C175=""),"",IF(ISNUMBER(Wages!$B178),MOD(Wages!$B178,100),IFERROR(VALUE(TRIM(MID(MID(Wages!$B178,FIND("/",Wages!$B178)+1,20),FIND("/",MID(Wages!$B178,FIND("/",Wages!$B178)+1,20))+1,20))),"")))</f>
        <v/>
      </c>
      <c r="F175">
        <f>IF($A175="","",IF(OR($C175="",$D175="",$E175="",$C175&lt;1300,$C175&gt;1500,$D175&lt;1,$D175&gt;12,$E175&lt;1,$E175&gt;31),"نامعتبر",RIGHT("0000"&amp;$C175,4)&amp;"/"&amp;RIGHT("00"&amp;$D175,2)&amp;"/"&amp;RIGHT("00"&amp;$E175,2)))</f>
        <v/>
      </c>
      <c r="G175">
        <f>IF(OR($A175="",$F175="",$F175="نامعتبر"),"",LEFT($F175,4)&amp;MID($F175,6,2)&amp;RIGHT($F175,2)&amp;"0000"&amp;"|"&amp;"1"&amp;RIGHT("00000"&amp;170,5))</f>
        <v/>
      </c>
      <c r="H175">
        <f>IF(OR($B175&lt;&gt;1,$G175=""),"",COUNTIFS(LdAParty,$A175,LdAType,1,LdAKey,"&lt;"&amp;$G175)+COUNTIFS(LdBMember,$A175,LdBKey,"&lt;"&amp;$G175)+COUNTIFS(LdCParty,$A175,LdCKey,"&lt;"&amp;$G175)+1)</f>
        <v/>
      </c>
      <c r="I175">
        <f>IF($H175="","",$A175&amp;"|"&amp;RIGHT("000000"&amp;$H175,6))</f>
        <v/>
      </c>
      <c r="J175">
        <f>IF(OR($B175&lt;&gt;2,$G175=""),"",COUNTIFS(LdAParty,$A175,LdAType,2,LdAKey,"&lt;"&amp;$G175)+1)</f>
        <v/>
      </c>
      <c r="K175">
        <f>IF($J175="","",$A175&amp;"|"&amp;RIGHT("000000"&amp;$J175,6))</f>
        <v/>
      </c>
      <c r="L175">
        <f>IF($A175="","",IF(Wages!$G178="",0,Wages!$G178))</f>
        <v/>
      </c>
      <c r="M175">
        <f>IF($A175="","",Wages!$J178)</f>
        <v/>
      </c>
      <c r="N175">
        <f>IF($A175="","",Wages!$D178)</f>
        <v/>
      </c>
      <c r="P175">
        <f>IF(OR(Shares!$B178="",Shares!$C178=""),"",Shares!$C178)</f>
        <v/>
      </c>
      <c r="Q175">
        <f>IF($P175="","",Shares!$B178)</f>
        <v/>
      </c>
      <c r="R175">
        <f>IF($P175="","",IFERROR(INDEX(WageParty,MATCH($Q175,WageIds,0)),""))</f>
        <v/>
      </c>
      <c r="S175">
        <f>IF($P175="","",IFERROR(INDEX($F$6:$F$2005,MATCH($Q175,WageIds,0)),""))</f>
        <v/>
      </c>
      <c r="T175">
        <f>IF(OR($P175="",$S175="",$S175="نامعتبر"),"",LEFT($S175,4)&amp;MID($S175,6,2)&amp;RIGHT($S175,2)&amp;"0000"&amp;"|"&amp;"2"&amp;RIGHT("00000"&amp;170,5))</f>
        <v/>
      </c>
      <c r="U175">
        <f>IF($T175="","",COUNTIFS(LdAParty,$P175,LdAType,1,LdAKey,"&lt;"&amp;$T175)+COUNTIFS(LdBMember,$P175,LdBKey,"&lt;"&amp;$T175)+COUNTIFS(LdCParty,$P175,LdCKey,"&lt;"&amp;$T175)+1)</f>
        <v/>
      </c>
      <c r="V175">
        <f>IF($U175="","",$P175&amp;"|"&amp;RIGHT("000000"&amp;$U175,6))</f>
        <v/>
      </c>
      <c r="W175">
        <f>IF($T175="","",COUNTIFS(LdBGroup,$R175,LdBKey,"&lt;"&amp;$T175)+1)</f>
        <v/>
      </c>
      <c r="X175">
        <f>IF($W175="","",$R175&amp;"|"&amp;RIGHT("000000"&amp;$W175,6))</f>
        <v/>
      </c>
      <c r="Y175">
        <f>IF($P175="","",IF(Shares!$E178="",0,Shares!$E178))</f>
        <v/>
      </c>
      <c r="Z175">
        <f>IF($P175="","",Shares!$H178)</f>
        <v/>
      </c>
      <c r="AE175">
        <f>IF(OR(Sync!$S175="",Sync!$P175=""),"",Sync!$S175)</f>
        <v/>
      </c>
      <c r="AF175">
        <f>IF($AE175="","",IF(ISNUMBER(Sync!$P175),IF(AND(Sync!$P175&gt;=10000101,Sync!$P175&lt;=99991231),INT(Sync!$P175/10000),""),IFERROR(VALUE(TRIM(LEFT(Sync!$P175,FIND("/",Sync!$P175)-1))),"")))</f>
        <v/>
      </c>
      <c r="AG175">
        <f>IF(OR($AE175="",$AF175=""),"",IF(ISNUMBER(Sync!$P175),INT(MOD(Sync!$P175,10000)/100),IFERROR(VALUE(TRIM(LEFT(MID(Sync!$P175,FIND("/",Sync!$P175)+1,20),FIND("/",MID(Sync!$P175,FIND("/",Sync!$P175)+1,20))-1))),"")))</f>
        <v/>
      </c>
      <c r="AH175">
        <f>IF(OR($AE175="",$AF175=""),"",IF(ISNUMBER(Sync!$P175),MOD(Sync!$P175,100),IFERROR(VALUE(TRIM(MID(MID(Sync!$P175,FIND("/",Sync!$P175)+1,20),FIND("/",MID(Sync!$P175,FIND("/",Sync!$P175)+1,20))+1,20))),"")))</f>
        <v/>
      </c>
      <c r="AI175">
        <f>IF($AE175="","",IF(OR($AF175="",$AG175="",$AH175="",$AF175&lt;1300,$AF175&gt;1500,$AG175&lt;1,$AG175&gt;12,$AH175&lt;1,$AH175&gt;31),"نامعتبر",RIGHT("0000"&amp;$AF175,4)&amp;"/"&amp;RIGHT("00"&amp;$AG175,2)&amp;"/"&amp;RIGHT("00"&amp;$AH175,2)))</f>
        <v/>
      </c>
      <c r="AJ175">
        <f>IF($AE175="","",IF(Sync!$Q175="","0000",IF(AND(ISNUMBER(Sync!$Q175),Sync!$Q175&gt;=0,Sync!$Q175&lt;1),RIGHT("00"&amp;HOUR(Sync!$Q175),2)&amp;RIGHT("00"&amp;MINUTE(Sync!$Q175),2),IFERROR(RIGHT("00"&amp;VALUE(LEFT(Sync!$Q175,FIND(":",Sync!$Q175)-1)),2)&amp;RIGHT("00"&amp;VALUE(MID(Sync!$Q175,FIND(":",Sync!$Q175)+1,2)),2),"0000"))))</f>
        <v/>
      </c>
      <c r="AK175">
        <f>IF(OR($AE175="",$AI175="",$AI175="نامعتبر"),"",LEFT($AI175,4)&amp;MID($AI175,6,2)&amp;RIGHT($AI175,2)&amp;$AJ175&amp;"|"&amp;"3"&amp;RIGHT("00000"&amp;170,5))</f>
        <v/>
      </c>
      <c r="AL175">
        <f>IF($AK175="","",COUNTIFS(LdAParty,$AE175,LdAType,1,LdAKey,"&lt;"&amp;$AK175)+COUNTIFS(LdBMember,$AE175,LdBKey,"&lt;"&amp;$AK175)+COUNTIFS(LdCParty,$AE175,LdCKey,"&lt;"&amp;$AK175)+1)</f>
        <v/>
      </c>
      <c r="AM175">
        <f>IF($AL175="","",$AE175&amp;"|"&amp;RIGHT("000000"&amp;$AL175,6))</f>
        <v/>
      </c>
      <c r="AN175">
        <f>IF($AE175="","",IF(Sync!$W175="",0,Sync!$W175))</f>
        <v/>
      </c>
      <c r="AO175">
        <f>IF($AE175="","",IF(Sync!$X175="",0,Sync!$X175))</f>
        <v/>
      </c>
      <c r="AP175">
        <f>IF($AE175="","",Sync!$R175)</f>
        <v/>
      </c>
      <c r="AQ175">
        <f>IF($AE175="","",Sync!$Y175)</f>
        <v/>
      </c>
    </row>
    <row r="176">
      <c r="A176">
        <f>IF(OR(Wages!$B179="",Wages!$E179=""),"",Wages!$E179)</f>
        <v/>
      </c>
      <c r="B176">
        <f>IF($A176="","",IF(Wages!$C179="دستمزد گروهی",2,1))</f>
        <v/>
      </c>
      <c r="C176">
        <f>IF($A176="","",IF(ISNUMBER(Wages!$B179),IF(AND(Wages!$B179&gt;=10000101,Wages!$B179&lt;=99991231),INT(Wages!$B179/10000),""),IFERROR(VALUE(TRIM(LEFT(Wages!$B179,FIND("/",Wages!$B179)-1))),"")))</f>
        <v/>
      </c>
      <c r="D176">
        <f>IF(OR($A176="",$C176=""),"",IF(ISNUMBER(Wages!$B179),INT(MOD(Wages!$B179,10000)/100),IFERROR(VALUE(TRIM(LEFT(MID(Wages!$B179,FIND("/",Wages!$B179)+1,20),FIND("/",MID(Wages!$B179,FIND("/",Wages!$B179)+1,20))-1))),"")))</f>
        <v/>
      </c>
      <c r="E176">
        <f>IF(OR($A176="",$C176=""),"",IF(ISNUMBER(Wages!$B179),MOD(Wages!$B179,100),IFERROR(VALUE(TRIM(MID(MID(Wages!$B179,FIND("/",Wages!$B179)+1,20),FIND("/",MID(Wages!$B179,FIND("/",Wages!$B179)+1,20))+1,20))),"")))</f>
        <v/>
      </c>
      <c r="F176">
        <f>IF($A176="","",IF(OR($C176="",$D176="",$E176="",$C176&lt;1300,$C176&gt;1500,$D176&lt;1,$D176&gt;12,$E176&lt;1,$E176&gt;31),"نامعتبر",RIGHT("0000"&amp;$C176,4)&amp;"/"&amp;RIGHT("00"&amp;$D176,2)&amp;"/"&amp;RIGHT("00"&amp;$E176,2)))</f>
        <v/>
      </c>
      <c r="G176">
        <f>IF(OR($A176="",$F176="",$F176="نامعتبر"),"",LEFT($F176,4)&amp;MID($F176,6,2)&amp;RIGHT($F176,2)&amp;"0000"&amp;"|"&amp;"1"&amp;RIGHT("00000"&amp;171,5))</f>
        <v/>
      </c>
      <c r="H176">
        <f>IF(OR($B176&lt;&gt;1,$G176=""),"",COUNTIFS(LdAParty,$A176,LdAType,1,LdAKey,"&lt;"&amp;$G176)+COUNTIFS(LdBMember,$A176,LdBKey,"&lt;"&amp;$G176)+COUNTIFS(LdCParty,$A176,LdCKey,"&lt;"&amp;$G176)+1)</f>
        <v/>
      </c>
      <c r="I176">
        <f>IF($H176="","",$A176&amp;"|"&amp;RIGHT("000000"&amp;$H176,6))</f>
        <v/>
      </c>
      <c r="J176">
        <f>IF(OR($B176&lt;&gt;2,$G176=""),"",COUNTIFS(LdAParty,$A176,LdAType,2,LdAKey,"&lt;"&amp;$G176)+1)</f>
        <v/>
      </c>
      <c r="K176">
        <f>IF($J176="","",$A176&amp;"|"&amp;RIGHT("000000"&amp;$J176,6))</f>
        <v/>
      </c>
      <c r="L176">
        <f>IF($A176="","",IF(Wages!$G179="",0,Wages!$G179))</f>
        <v/>
      </c>
      <c r="M176">
        <f>IF($A176="","",Wages!$J179)</f>
        <v/>
      </c>
      <c r="N176">
        <f>IF($A176="","",Wages!$D179)</f>
        <v/>
      </c>
      <c r="P176">
        <f>IF(OR(Shares!$B179="",Shares!$C179=""),"",Shares!$C179)</f>
        <v/>
      </c>
      <c r="Q176">
        <f>IF($P176="","",Shares!$B179)</f>
        <v/>
      </c>
      <c r="R176">
        <f>IF($P176="","",IFERROR(INDEX(WageParty,MATCH($Q176,WageIds,0)),""))</f>
        <v/>
      </c>
      <c r="S176">
        <f>IF($P176="","",IFERROR(INDEX($F$6:$F$2005,MATCH($Q176,WageIds,0)),""))</f>
        <v/>
      </c>
      <c r="T176">
        <f>IF(OR($P176="",$S176="",$S176="نامعتبر"),"",LEFT($S176,4)&amp;MID($S176,6,2)&amp;RIGHT($S176,2)&amp;"0000"&amp;"|"&amp;"2"&amp;RIGHT("00000"&amp;171,5))</f>
        <v/>
      </c>
      <c r="U176">
        <f>IF($T176="","",COUNTIFS(LdAParty,$P176,LdAType,1,LdAKey,"&lt;"&amp;$T176)+COUNTIFS(LdBMember,$P176,LdBKey,"&lt;"&amp;$T176)+COUNTIFS(LdCParty,$P176,LdCKey,"&lt;"&amp;$T176)+1)</f>
        <v/>
      </c>
      <c r="V176">
        <f>IF($U176="","",$P176&amp;"|"&amp;RIGHT("000000"&amp;$U176,6))</f>
        <v/>
      </c>
      <c r="W176">
        <f>IF($T176="","",COUNTIFS(LdBGroup,$R176,LdBKey,"&lt;"&amp;$T176)+1)</f>
        <v/>
      </c>
      <c r="X176">
        <f>IF($W176="","",$R176&amp;"|"&amp;RIGHT("000000"&amp;$W176,6))</f>
        <v/>
      </c>
      <c r="Y176">
        <f>IF($P176="","",IF(Shares!$E179="",0,Shares!$E179))</f>
        <v/>
      </c>
      <c r="Z176">
        <f>IF($P176="","",Shares!$H179)</f>
        <v/>
      </c>
      <c r="AE176">
        <f>IF(OR(Sync!$S176="",Sync!$P176=""),"",Sync!$S176)</f>
        <v/>
      </c>
      <c r="AF176">
        <f>IF($AE176="","",IF(ISNUMBER(Sync!$P176),IF(AND(Sync!$P176&gt;=10000101,Sync!$P176&lt;=99991231),INT(Sync!$P176/10000),""),IFERROR(VALUE(TRIM(LEFT(Sync!$P176,FIND("/",Sync!$P176)-1))),"")))</f>
        <v/>
      </c>
      <c r="AG176">
        <f>IF(OR($AE176="",$AF176=""),"",IF(ISNUMBER(Sync!$P176),INT(MOD(Sync!$P176,10000)/100),IFERROR(VALUE(TRIM(LEFT(MID(Sync!$P176,FIND("/",Sync!$P176)+1,20),FIND("/",MID(Sync!$P176,FIND("/",Sync!$P176)+1,20))-1))),"")))</f>
        <v/>
      </c>
      <c r="AH176">
        <f>IF(OR($AE176="",$AF176=""),"",IF(ISNUMBER(Sync!$P176),MOD(Sync!$P176,100),IFERROR(VALUE(TRIM(MID(MID(Sync!$P176,FIND("/",Sync!$P176)+1,20),FIND("/",MID(Sync!$P176,FIND("/",Sync!$P176)+1,20))+1,20))),"")))</f>
        <v/>
      </c>
      <c r="AI176">
        <f>IF($AE176="","",IF(OR($AF176="",$AG176="",$AH176="",$AF176&lt;1300,$AF176&gt;1500,$AG176&lt;1,$AG176&gt;12,$AH176&lt;1,$AH176&gt;31),"نامعتبر",RIGHT("0000"&amp;$AF176,4)&amp;"/"&amp;RIGHT("00"&amp;$AG176,2)&amp;"/"&amp;RIGHT("00"&amp;$AH176,2)))</f>
        <v/>
      </c>
      <c r="AJ176">
        <f>IF($AE176="","",IF(Sync!$Q176="","0000",IF(AND(ISNUMBER(Sync!$Q176),Sync!$Q176&gt;=0,Sync!$Q176&lt;1),RIGHT("00"&amp;HOUR(Sync!$Q176),2)&amp;RIGHT("00"&amp;MINUTE(Sync!$Q176),2),IFERROR(RIGHT("00"&amp;VALUE(LEFT(Sync!$Q176,FIND(":",Sync!$Q176)-1)),2)&amp;RIGHT("00"&amp;VALUE(MID(Sync!$Q176,FIND(":",Sync!$Q176)+1,2)),2),"0000"))))</f>
        <v/>
      </c>
      <c r="AK176">
        <f>IF(OR($AE176="",$AI176="",$AI176="نامعتبر"),"",LEFT($AI176,4)&amp;MID($AI176,6,2)&amp;RIGHT($AI176,2)&amp;$AJ176&amp;"|"&amp;"3"&amp;RIGHT("00000"&amp;171,5))</f>
        <v/>
      </c>
      <c r="AL176">
        <f>IF($AK176="","",COUNTIFS(LdAParty,$AE176,LdAType,1,LdAKey,"&lt;"&amp;$AK176)+COUNTIFS(LdBMember,$AE176,LdBKey,"&lt;"&amp;$AK176)+COUNTIFS(LdCParty,$AE176,LdCKey,"&lt;"&amp;$AK176)+1)</f>
        <v/>
      </c>
      <c r="AM176">
        <f>IF($AL176="","",$AE176&amp;"|"&amp;RIGHT("000000"&amp;$AL176,6))</f>
        <v/>
      </c>
      <c r="AN176">
        <f>IF($AE176="","",IF(Sync!$W176="",0,Sync!$W176))</f>
        <v/>
      </c>
      <c r="AO176">
        <f>IF($AE176="","",IF(Sync!$X176="",0,Sync!$X176))</f>
        <v/>
      </c>
      <c r="AP176">
        <f>IF($AE176="","",Sync!$R176)</f>
        <v/>
      </c>
      <c r="AQ176">
        <f>IF($AE176="","",Sync!$Y176)</f>
        <v/>
      </c>
    </row>
    <row r="177">
      <c r="A177">
        <f>IF(OR(Wages!$B180="",Wages!$E180=""),"",Wages!$E180)</f>
        <v/>
      </c>
      <c r="B177">
        <f>IF($A177="","",IF(Wages!$C180="دستمزد گروهی",2,1))</f>
        <v/>
      </c>
      <c r="C177">
        <f>IF($A177="","",IF(ISNUMBER(Wages!$B180),IF(AND(Wages!$B180&gt;=10000101,Wages!$B180&lt;=99991231),INT(Wages!$B180/10000),""),IFERROR(VALUE(TRIM(LEFT(Wages!$B180,FIND("/",Wages!$B180)-1))),"")))</f>
        <v/>
      </c>
      <c r="D177">
        <f>IF(OR($A177="",$C177=""),"",IF(ISNUMBER(Wages!$B180),INT(MOD(Wages!$B180,10000)/100),IFERROR(VALUE(TRIM(LEFT(MID(Wages!$B180,FIND("/",Wages!$B180)+1,20),FIND("/",MID(Wages!$B180,FIND("/",Wages!$B180)+1,20))-1))),"")))</f>
        <v/>
      </c>
      <c r="E177">
        <f>IF(OR($A177="",$C177=""),"",IF(ISNUMBER(Wages!$B180),MOD(Wages!$B180,100),IFERROR(VALUE(TRIM(MID(MID(Wages!$B180,FIND("/",Wages!$B180)+1,20),FIND("/",MID(Wages!$B180,FIND("/",Wages!$B180)+1,20))+1,20))),"")))</f>
        <v/>
      </c>
      <c r="F177">
        <f>IF($A177="","",IF(OR($C177="",$D177="",$E177="",$C177&lt;1300,$C177&gt;1500,$D177&lt;1,$D177&gt;12,$E177&lt;1,$E177&gt;31),"نامعتبر",RIGHT("0000"&amp;$C177,4)&amp;"/"&amp;RIGHT("00"&amp;$D177,2)&amp;"/"&amp;RIGHT("00"&amp;$E177,2)))</f>
        <v/>
      </c>
      <c r="G177">
        <f>IF(OR($A177="",$F177="",$F177="نامعتبر"),"",LEFT($F177,4)&amp;MID($F177,6,2)&amp;RIGHT($F177,2)&amp;"0000"&amp;"|"&amp;"1"&amp;RIGHT("00000"&amp;172,5))</f>
        <v/>
      </c>
      <c r="H177">
        <f>IF(OR($B177&lt;&gt;1,$G177=""),"",COUNTIFS(LdAParty,$A177,LdAType,1,LdAKey,"&lt;"&amp;$G177)+COUNTIFS(LdBMember,$A177,LdBKey,"&lt;"&amp;$G177)+COUNTIFS(LdCParty,$A177,LdCKey,"&lt;"&amp;$G177)+1)</f>
        <v/>
      </c>
      <c r="I177">
        <f>IF($H177="","",$A177&amp;"|"&amp;RIGHT("000000"&amp;$H177,6))</f>
        <v/>
      </c>
      <c r="J177">
        <f>IF(OR($B177&lt;&gt;2,$G177=""),"",COUNTIFS(LdAParty,$A177,LdAType,2,LdAKey,"&lt;"&amp;$G177)+1)</f>
        <v/>
      </c>
      <c r="K177">
        <f>IF($J177="","",$A177&amp;"|"&amp;RIGHT("000000"&amp;$J177,6))</f>
        <v/>
      </c>
      <c r="L177">
        <f>IF($A177="","",IF(Wages!$G180="",0,Wages!$G180))</f>
        <v/>
      </c>
      <c r="M177">
        <f>IF($A177="","",Wages!$J180)</f>
        <v/>
      </c>
      <c r="N177">
        <f>IF($A177="","",Wages!$D180)</f>
        <v/>
      </c>
      <c r="P177">
        <f>IF(OR(Shares!$B180="",Shares!$C180=""),"",Shares!$C180)</f>
        <v/>
      </c>
      <c r="Q177">
        <f>IF($P177="","",Shares!$B180)</f>
        <v/>
      </c>
      <c r="R177">
        <f>IF($P177="","",IFERROR(INDEX(WageParty,MATCH($Q177,WageIds,0)),""))</f>
        <v/>
      </c>
      <c r="S177">
        <f>IF($P177="","",IFERROR(INDEX($F$6:$F$2005,MATCH($Q177,WageIds,0)),""))</f>
        <v/>
      </c>
      <c r="T177">
        <f>IF(OR($P177="",$S177="",$S177="نامعتبر"),"",LEFT($S177,4)&amp;MID($S177,6,2)&amp;RIGHT($S177,2)&amp;"0000"&amp;"|"&amp;"2"&amp;RIGHT("00000"&amp;172,5))</f>
        <v/>
      </c>
      <c r="U177">
        <f>IF($T177="","",COUNTIFS(LdAParty,$P177,LdAType,1,LdAKey,"&lt;"&amp;$T177)+COUNTIFS(LdBMember,$P177,LdBKey,"&lt;"&amp;$T177)+COUNTIFS(LdCParty,$P177,LdCKey,"&lt;"&amp;$T177)+1)</f>
        <v/>
      </c>
      <c r="V177">
        <f>IF($U177="","",$P177&amp;"|"&amp;RIGHT("000000"&amp;$U177,6))</f>
        <v/>
      </c>
      <c r="W177">
        <f>IF($T177="","",COUNTIFS(LdBGroup,$R177,LdBKey,"&lt;"&amp;$T177)+1)</f>
        <v/>
      </c>
      <c r="X177">
        <f>IF($W177="","",$R177&amp;"|"&amp;RIGHT("000000"&amp;$W177,6))</f>
        <v/>
      </c>
      <c r="Y177">
        <f>IF($P177="","",IF(Shares!$E180="",0,Shares!$E180))</f>
        <v/>
      </c>
      <c r="Z177">
        <f>IF($P177="","",Shares!$H180)</f>
        <v/>
      </c>
      <c r="AE177">
        <f>IF(OR(Sync!$S177="",Sync!$P177=""),"",Sync!$S177)</f>
        <v/>
      </c>
      <c r="AF177">
        <f>IF($AE177="","",IF(ISNUMBER(Sync!$P177),IF(AND(Sync!$P177&gt;=10000101,Sync!$P177&lt;=99991231),INT(Sync!$P177/10000),""),IFERROR(VALUE(TRIM(LEFT(Sync!$P177,FIND("/",Sync!$P177)-1))),"")))</f>
        <v/>
      </c>
      <c r="AG177">
        <f>IF(OR($AE177="",$AF177=""),"",IF(ISNUMBER(Sync!$P177),INT(MOD(Sync!$P177,10000)/100),IFERROR(VALUE(TRIM(LEFT(MID(Sync!$P177,FIND("/",Sync!$P177)+1,20),FIND("/",MID(Sync!$P177,FIND("/",Sync!$P177)+1,20))-1))),"")))</f>
        <v/>
      </c>
      <c r="AH177">
        <f>IF(OR($AE177="",$AF177=""),"",IF(ISNUMBER(Sync!$P177),MOD(Sync!$P177,100),IFERROR(VALUE(TRIM(MID(MID(Sync!$P177,FIND("/",Sync!$P177)+1,20),FIND("/",MID(Sync!$P177,FIND("/",Sync!$P177)+1,20))+1,20))),"")))</f>
        <v/>
      </c>
      <c r="AI177">
        <f>IF($AE177="","",IF(OR($AF177="",$AG177="",$AH177="",$AF177&lt;1300,$AF177&gt;1500,$AG177&lt;1,$AG177&gt;12,$AH177&lt;1,$AH177&gt;31),"نامعتبر",RIGHT("0000"&amp;$AF177,4)&amp;"/"&amp;RIGHT("00"&amp;$AG177,2)&amp;"/"&amp;RIGHT("00"&amp;$AH177,2)))</f>
        <v/>
      </c>
      <c r="AJ177">
        <f>IF($AE177="","",IF(Sync!$Q177="","0000",IF(AND(ISNUMBER(Sync!$Q177),Sync!$Q177&gt;=0,Sync!$Q177&lt;1),RIGHT("00"&amp;HOUR(Sync!$Q177),2)&amp;RIGHT("00"&amp;MINUTE(Sync!$Q177),2),IFERROR(RIGHT("00"&amp;VALUE(LEFT(Sync!$Q177,FIND(":",Sync!$Q177)-1)),2)&amp;RIGHT("00"&amp;VALUE(MID(Sync!$Q177,FIND(":",Sync!$Q177)+1,2)),2),"0000"))))</f>
        <v/>
      </c>
      <c r="AK177">
        <f>IF(OR($AE177="",$AI177="",$AI177="نامعتبر"),"",LEFT($AI177,4)&amp;MID($AI177,6,2)&amp;RIGHT($AI177,2)&amp;$AJ177&amp;"|"&amp;"3"&amp;RIGHT("00000"&amp;172,5))</f>
        <v/>
      </c>
      <c r="AL177">
        <f>IF($AK177="","",COUNTIFS(LdAParty,$AE177,LdAType,1,LdAKey,"&lt;"&amp;$AK177)+COUNTIFS(LdBMember,$AE177,LdBKey,"&lt;"&amp;$AK177)+COUNTIFS(LdCParty,$AE177,LdCKey,"&lt;"&amp;$AK177)+1)</f>
        <v/>
      </c>
      <c r="AM177">
        <f>IF($AL177="","",$AE177&amp;"|"&amp;RIGHT("000000"&amp;$AL177,6))</f>
        <v/>
      </c>
      <c r="AN177">
        <f>IF($AE177="","",IF(Sync!$W177="",0,Sync!$W177))</f>
        <v/>
      </c>
      <c r="AO177">
        <f>IF($AE177="","",IF(Sync!$X177="",0,Sync!$X177))</f>
        <v/>
      </c>
      <c r="AP177">
        <f>IF($AE177="","",Sync!$R177)</f>
        <v/>
      </c>
      <c r="AQ177">
        <f>IF($AE177="","",Sync!$Y177)</f>
        <v/>
      </c>
    </row>
    <row r="178">
      <c r="A178">
        <f>IF(OR(Wages!$B181="",Wages!$E181=""),"",Wages!$E181)</f>
        <v/>
      </c>
      <c r="B178">
        <f>IF($A178="","",IF(Wages!$C181="دستمزد گروهی",2,1))</f>
        <v/>
      </c>
      <c r="C178">
        <f>IF($A178="","",IF(ISNUMBER(Wages!$B181),IF(AND(Wages!$B181&gt;=10000101,Wages!$B181&lt;=99991231),INT(Wages!$B181/10000),""),IFERROR(VALUE(TRIM(LEFT(Wages!$B181,FIND("/",Wages!$B181)-1))),"")))</f>
        <v/>
      </c>
      <c r="D178">
        <f>IF(OR($A178="",$C178=""),"",IF(ISNUMBER(Wages!$B181),INT(MOD(Wages!$B181,10000)/100),IFERROR(VALUE(TRIM(LEFT(MID(Wages!$B181,FIND("/",Wages!$B181)+1,20),FIND("/",MID(Wages!$B181,FIND("/",Wages!$B181)+1,20))-1))),"")))</f>
        <v/>
      </c>
      <c r="E178">
        <f>IF(OR($A178="",$C178=""),"",IF(ISNUMBER(Wages!$B181),MOD(Wages!$B181,100),IFERROR(VALUE(TRIM(MID(MID(Wages!$B181,FIND("/",Wages!$B181)+1,20),FIND("/",MID(Wages!$B181,FIND("/",Wages!$B181)+1,20))+1,20))),"")))</f>
        <v/>
      </c>
      <c r="F178">
        <f>IF($A178="","",IF(OR($C178="",$D178="",$E178="",$C178&lt;1300,$C178&gt;1500,$D178&lt;1,$D178&gt;12,$E178&lt;1,$E178&gt;31),"نامعتبر",RIGHT("0000"&amp;$C178,4)&amp;"/"&amp;RIGHT("00"&amp;$D178,2)&amp;"/"&amp;RIGHT("00"&amp;$E178,2)))</f>
        <v/>
      </c>
      <c r="G178">
        <f>IF(OR($A178="",$F178="",$F178="نامعتبر"),"",LEFT($F178,4)&amp;MID($F178,6,2)&amp;RIGHT($F178,2)&amp;"0000"&amp;"|"&amp;"1"&amp;RIGHT("00000"&amp;173,5))</f>
        <v/>
      </c>
      <c r="H178">
        <f>IF(OR($B178&lt;&gt;1,$G178=""),"",COUNTIFS(LdAParty,$A178,LdAType,1,LdAKey,"&lt;"&amp;$G178)+COUNTIFS(LdBMember,$A178,LdBKey,"&lt;"&amp;$G178)+COUNTIFS(LdCParty,$A178,LdCKey,"&lt;"&amp;$G178)+1)</f>
        <v/>
      </c>
      <c r="I178">
        <f>IF($H178="","",$A178&amp;"|"&amp;RIGHT("000000"&amp;$H178,6))</f>
        <v/>
      </c>
      <c r="J178">
        <f>IF(OR($B178&lt;&gt;2,$G178=""),"",COUNTIFS(LdAParty,$A178,LdAType,2,LdAKey,"&lt;"&amp;$G178)+1)</f>
        <v/>
      </c>
      <c r="K178">
        <f>IF($J178="","",$A178&amp;"|"&amp;RIGHT("000000"&amp;$J178,6))</f>
        <v/>
      </c>
      <c r="L178">
        <f>IF($A178="","",IF(Wages!$G181="",0,Wages!$G181))</f>
        <v/>
      </c>
      <c r="M178">
        <f>IF($A178="","",Wages!$J181)</f>
        <v/>
      </c>
      <c r="N178">
        <f>IF($A178="","",Wages!$D181)</f>
        <v/>
      </c>
      <c r="P178">
        <f>IF(OR(Shares!$B181="",Shares!$C181=""),"",Shares!$C181)</f>
        <v/>
      </c>
      <c r="Q178">
        <f>IF($P178="","",Shares!$B181)</f>
        <v/>
      </c>
      <c r="R178">
        <f>IF($P178="","",IFERROR(INDEX(WageParty,MATCH($Q178,WageIds,0)),""))</f>
        <v/>
      </c>
      <c r="S178">
        <f>IF($P178="","",IFERROR(INDEX($F$6:$F$2005,MATCH($Q178,WageIds,0)),""))</f>
        <v/>
      </c>
      <c r="T178">
        <f>IF(OR($P178="",$S178="",$S178="نامعتبر"),"",LEFT($S178,4)&amp;MID($S178,6,2)&amp;RIGHT($S178,2)&amp;"0000"&amp;"|"&amp;"2"&amp;RIGHT("00000"&amp;173,5))</f>
        <v/>
      </c>
      <c r="U178">
        <f>IF($T178="","",COUNTIFS(LdAParty,$P178,LdAType,1,LdAKey,"&lt;"&amp;$T178)+COUNTIFS(LdBMember,$P178,LdBKey,"&lt;"&amp;$T178)+COUNTIFS(LdCParty,$P178,LdCKey,"&lt;"&amp;$T178)+1)</f>
        <v/>
      </c>
      <c r="V178">
        <f>IF($U178="","",$P178&amp;"|"&amp;RIGHT("000000"&amp;$U178,6))</f>
        <v/>
      </c>
      <c r="W178">
        <f>IF($T178="","",COUNTIFS(LdBGroup,$R178,LdBKey,"&lt;"&amp;$T178)+1)</f>
        <v/>
      </c>
      <c r="X178">
        <f>IF($W178="","",$R178&amp;"|"&amp;RIGHT("000000"&amp;$W178,6))</f>
        <v/>
      </c>
      <c r="Y178">
        <f>IF($P178="","",IF(Shares!$E181="",0,Shares!$E181))</f>
        <v/>
      </c>
      <c r="Z178">
        <f>IF($P178="","",Shares!$H181)</f>
        <v/>
      </c>
      <c r="AE178">
        <f>IF(OR(Sync!$S178="",Sync!$P178=""),"",Sync!$S178)</f>
        <v/>
      </c>
      <c r="AF178">
        <f>IF($AE178="","",IF(ISNUMBER(Sync!$P178),IF(AND(Sync!$P178&gt;=10000101,Sync!$P178&lt;=99991231),INT(Sync!$P178/10000),""),IFERROR(VALUE(TRIM(LEFT(Sync!$P178,FIND("/",Sync!$P178)-1))),"")))</f>
        <v/>
      </c>
      <c r="AG178">
        <f>IF(OR($AE178="",$AF178=""),"",IF(ISNUMBER(Sync!$P178),INT(MOD(Sync!$P178,10000)/100),IFERROR(VALUE(TRIM(LEFT(MID(Sync!$P178,FIND("/",Sync!$P178)+1,20),FIND("/",MID(Sync!$P178,FIND("/",Sync!$P178)+1,20))-1))),"")))</f>
        <v/>
      </c>
      <c r="AH178">
        <f>IF(OR($AE178="",$AF178=""),"",IF(ISNUMBER(Sync!$P178),MOD(Sync!$P178,100),IFERROR(VALUE(TRIM(MID(MID(Sync!$P178,FIND("/",Sync!$P178)+1,20),FIND("/",MID(Sync!$P178,FIND("/",Sync!$P178)+1,20))+1,20))),"")))</f>
        <v/>
      </c>
      <c r="AI178">
        <f>IF($AE178="","",IF(OR($AF178="",$AG178="",$AH178="",$AF178&lt;1300,$AF178&gt;1500,$AG178&lt;1,$AG178&gt;12,$AH178&lt;1,$AH178&gt;31),"نامعتبر",RIGHT("0000"&amp;$AF178,4)&amp;"/"&amp;RIGHT("00"&amp;$AG178,2)&amp;"/"&amp;RIGHT("00"&amp;$AH178,2)))</f>
        <v/>
      </c>
      <c r="AJ178">
        <f>IF($AE178="","",IF(Sync!$Q178="","0000",IF(AND(ISNUMBER(Sync!$Q178),Sync!$Q178&gt;=0,Sync!$Q178&lt;1),RIGHT("00"&amp;HOUR(Sync!$Q178),2)&amp;RIGHT("00"&amp;MINUTE(Sync!$Q178),2),IFERROR(RIGHT("00"&amp;VALUE(LEFT(Sync!$Q178,FIND(":",Sync!$Q178)-1)),2)&amp;RIGHT("00"&amp;VALUE(MID(Sync!$Q178,FIND(":",Sync!$Q178)+1,2)),2),"0000"))))</f>
        <v/>
      </c>
      <c r="AK178">
        <f>IF(OR($AE178="",$AI178="",$AI178="نامعتبر"),"",LEFT($AI178,4)&amp;MID($AI178,6,2)&amp;RIGHT($AI178,2)&amp;$AJ178&amp;"|"&amp;"3"&amp;RIGHT("00000"&amp;173,5))</f>
        <v/>
      </c>
      <c r="AL178">
        <f>IF($AK178="","",COUNTIFS(LdAParty,$AE178,LdAType,1,LdAKey,"&lt;"&amp;$AK178)+COUNTIFS(LdBMember,$AE178,LdBKey,"&lt;"&amp;$AK178)+COUNTIFS(LdCParty,$AE178,LdCKey,"&lt;"&amp;$AK178)+1)</f>
        <v/>
      </c>
      <c r="AM178">
        <f>IF($AL178="","",$AE178&amp;"|"&amp;RIGHT("000000"&amp;$AL178,6))</f>
        <v/>
      </c>
      <c r="AN178">
        <f>IF($AE178="","",IF(Sync!$W178="",0,Sync!$W178))</f>
        <v/>
      </c>
      <c r="AO178">
        <f>IF($AE178="","",IF(Sync!$X178="",0,Sync!$X178))</f>
        <v/>
      </c>
      <c r="AP178">
        <f>IF($AE178="","",Sync!$R178)</f>
        <v/>
      </c>
      <c r="AQ178">
        <f>IF($AE178="","",Sync!$Y178)</f>
        <v/>
      </c>
    </row>
    <row r="179">
      <c r="A179">
        <f>IF(OR(Wages!$B182="",Wages!$E182=""),"",Wages!$E182)</f>
        <v/>
      </c>
      <c r="B179">
        <f>IF($A179="","",IF(Wages!$C182="دستمزد گروهی",2,1))</f>
        <v/>
      </c>
      <c r="C179">
        <f>IF($A179="","",IF(ISNUMBER(Wages!$B182),IF(AND(Wages!$B182&gt;=10000101,Wages!$B182&lt;=99991231),INT(Wages!$B182/10000),""),IFERROR(VALUE(TRIM(LEFT(Wages!$B182,FIND("/",Wages!$B182)-1))),"")))</f>
        <v/>
      </c>
      <c r="D179">
        <f>IF(OR($A179="",$C179=""),"",IF(ISNUMBER(Wages!$B182),INT(MOD(Wages!$B182,10000)/100),IFERROR(VALUE(TRIM(LEFT(MID(Wages!$B182,FIND("/",Wages!$B182)+1,20),FIND("/",MID(Wages!$B182,FIND("/",Wages!$B182)+1,20))-1))),"")))</f>
        <v/>
      </c>
      <c r="E179">
        <f>IF(OR($A179="",$C179=""),"",IF(ISNUMBER(Wages!$B182),MOD(Wages!$B182,100),IFERROR(VALUE(TRIM(MID(MID(Wages!$B182,FIND("/",Wages!$B182)+1,20),FIND("/",MID(Wages!$B182,FIND("/",Wages!$B182)+1,20))+1,20))),"")))</f>
        <v/>
      </c>
      <c r="F179">
        <f>IF($A179="","",IF(OR($C179="",$D179="",$E179="",$C179&lt;1300,$C179&gt;1500,$D179&lt;1,$D179&gt;12,$E179&lt;1,$E179&gt;31),"نامعتبر",RIGHT("0000"&amp;$C179,4)&amp;"/"&amp;RIGHT("00"&amp;$D179,2)&amp;"/"&amp;RIGHT("00"&amp;$E179,2)))</f>
        <v/>
      </c>
      <c r="G179">
        <f>IF(OR($A179="",$F179="",$F179="نامعتبر"),"",LEFT($F179,4)&amp;MID($F179,6,2)&amp;RIGHT($F179,2)&amp;"0000"&amp;"|"&amp;"1"&amp;RIGHT("00000"&amp;174,5))</f>
        <v/>
      </c>
      <c r="H179">
        <f>IF(OR($B179&lt;&gt;1,$G179=""),"",COUNTIFS(LdAParty,$A179,LdAType,1,LdAKey,"&lt;"&amp;$G179)+COUNTIFS(LdBMember,$A179,LdBKey,"&lt;"&amp;$G179)+COUNTIFS(LdCParty,$A179,LdCKey,"&lt;"&amp;$G179)+1)</f>
        <v/>
      </c>
      <c r="I179">
        <f>IF($H179="","",$A179&amp;"|"&amp;RIGHT("000000"&amp;$H179,6))</f>
        <v/>
      </c>
      <c r="J179">
        <f>IF(OR($B179&lt;&gt;2,$G179=""),"",COUNTIFS(LdAParty,$A179,LdAType,2,LdAKey,"&lt;"&amp;$G179)+1)</f>
        <v/>
      </c>
      <c r="K179">
        <f>IF($J179="","",$A179&amp;"|"&amp;RIGHT("000000"&amp;$J179,6))</f>
        <v/>
      </c>
      <c r="L179">
        <f>IF($A179="","",IF(Wages!$G182="",0,Wages!$G182))</f>
        <v/>
      </c>
      <c r="M179">
        <f>IF($A179="","",Wages!$J182)</f>
        <v/>
      </c>
      <c r="N179">
        <f>IF($A179="","",Wages!$D182)</f>
        <v/>
      </c>
      <c r="P179">
        <f>IF(OR(Shares!$B182="",Shares!$C182=""),"",Shares!$C182)</f>
        <v/>
      </c>
      <c r="Q179">
        <f>IF($P179="","",Shares!$B182)</f>
        <v/>
      </c>
      <c r="R179">
        <f>IF($P179="","",IFERROR(INDEX(WageParty,MATCH($Q179,WageIds,0)),""))</f>
        <v/>
      </c>
      <c r="S179">
        <f>IF($P179="","",IFERROR(INDEX($F$6:$F$2005,MATCH($Q179,WageIds,0)),""))</f>
        <v/>
      </c>
      <c r="T179">
        <f>IF(OR($P179="",$S179="",$S179="نامعتبر"),"",LEFT($S179,4)&amp;MID($S179,6,2)&amp;RIGHT($S179,2)&amp;"0000"&amp;"|"&amp;"2"&amp;RIGHT("00000"&amp;174,5))</f>
        <v/>
      </c>
      <c r="U179">
        <f>IF($T179="","",COUNTIFS(LdAParty,$P179,LdAType,1,LdAKey,"&lt;"&amp;$T179)+COUNTIFS(LdBMember,$P179,LdBKey,"&lt;"&amp;$T179)+COUNTIFS(LdCParty,$P179,LdCKey,"&lt;"&amp;$T179)+1)</f>
        <v/>
      </c>
      <c r="V179">
        <f>IF($U179="","",$P179&amp;"|"&amp;RIGHT("000000"&amp;$U179,6))</f>
        <v/>
      </c>
      <c r="W179">
        <f>IF($T179="","",COUNTIFS(LdBGroup,$R179,LdBKey,"&lt;"&amp;$T179)+1)</f>
        <v/>
      </c>
      <c r="X179">
        <f>IF($W179="","",$R179&amp;"|"&amp;RIGHT("000000"&amp;$W179,6))</f>
        <v/>
      </c>
      <c r="Y179">
        <f>IF($P179="","",IF(Shares!$E182="",0,Shares!$E182))</f>
        <v/>
      </c>
      <c r="Z179">
        <f>IF($P179="","",Shares!$H182)</f>
        <v/>
      </c>
      <c r="AE179">
        <f>IF(OR(Sync!$S179="",Sync!$P179=""),"",Sync!$S179)</f>
        <v/>
      </c>
      <c r="AF179">
        <f>IF($AE179="","",IF(ISNUMBER(Sync!$P179),IF(AND(Sync!$P179&gt;=10000101,Sync!$P179&lt;=99991231),INT(Sync!$P179/10000),""),IFERROR(VALUE(TRIM(LEFT(Sync!$P179,FIND("/",Sync!$P179)-1))),"")))</f>
        <v/>
      </c>
      <c r="AG179">
        <f>IF(OR($AE179="",$AF179=""),"",IF(ISNUMBER(Sync!$P179),INT(MOD(Sync!$P179,10000)/100),IFERROR(VALUE(TRIM(LEFT(MID(Sync!$P179,FIND("/",Sync!$P179)+1,20),FIND("/",MID(Sync!$P179,FIND("/",Sync!$P179)+1,20))-1))),"")))</f>
        <v/>
      </c>
      <c r="AH179">
        <f>IF(OR($AE179="",$AF179=""),"",IF(ISNUMBER(Sync!$P179),MOD(Sync!$P179,100),IFERROR(VALUE(TRIM(MID(MID(Sync!$P179,FIND("/",Sync!$P179)+1,20),FIND("/",MID(Sync!$P179,FIND("/",Sync!$P179)+1,20))+1,20))),"")))</f>
        <v/>
      </c>
      <c r="AI179">
        <f>IF($AE179="","",IF(OR($AF179="",$AG179="",$AH179="",$AF179&lt;1300,$AF179&gt;1500,$AG179&lt;1,$AG179&gt;12,$AH179&lt;1,$AH179&gt;31),"نامعتبر",RIGHT("0000"&amp;$AF179,4)&amp;"/"&amp;RIGHT("00"&amp;$AG179,2)&amp;"/"&amp;RIGHT("00"&amp;$AH179,2)))</f>
        <v/>
      </c>
      <c r="AJ179">
        <f>IF($AE179="","",IF(Sync!$Q179="","0000",IF(AND(ISNUMBER(Sync!$Q179),Sync!$Q179&gt;=0,Sync!$Q179&lt;1),RIGHT("00"&amp;HOUR(Sync!$Q179),2)&amp;RIGHT("00"&amp;MINUTE(Sync!$Q179),2),IFERROR(RIGHT("00"&amp;VALUE(LEFT(Sync!$Q179,FIND(":",Sync!$Q179)-1)),2)&amp;RIGHT("00"&amp;VALUE(MID(Sync!$Q179,FIND(":",Sync!$Q179)+1,2)),2),"0000"))))</f>
        <v/>
      </c>
      <c r="AK179">
        <f>IF(OR($AE179="",$AI179="",$AI179="نامعتبر"),"",LEFT($AI179,4)&amp;MID($AI179,6,2)&amp;RIGHT($AI179,2)&amp;$AJ179&amp;"|"&amp;"3"&amp;RIGHT("00000"&amp;174,5))</f>
        <v/>
      </c>
      <c r="AL179">
        <f>IF($AK179="","",COUNTIFS(LdAParty,$AE179,LdAType,1,LdAKey,"&lt;"&amp;$AK179)+COUNTIFS(LdBMember,$AE179,LdBKey,"&lt;"&amp;$AK179)+COUNTIFS(LdCParty,$AE179,LdCKey,"&lt;"&amp;$AK179)+1)</f>
        <v/>
      </c>
      <c r="AM179">
        <f>IF($AL179="","",$AE179&amp;"|"&amp;RIGHT("000000"&amp;$AL179,6))</f>
        <v/>
      </c>
      <c r="AN179">
        <f>IF($AE179="","",IF(Sync!$W179="",0,Sync!$W179))</f>
        <v/>
      </c>
      <c r="AO179">
        <f>IF($AE179="","",IF(Sync!$X179="",0,Sync!$X179))</f>
        <v/>
      </c>
      <c r="AP179">
        <f>IF($AE179="","",Sync!$R179)</f>
        <v/>
      </c>
      <c r="AQ179">
        <f>IF($AE179="","",Sync!$Y179)</f>
        <v/>
      </c>
    </row>
    <row r="180">
      <c r="A180">
        <f>IF(OR(Wages!$B183="",Wages!$E183=""),"",Wages!$E183)</f>
        <v/>
      </c>
      <c r="B180">
        <f>IF($A180="","",IF(Wages!$C183="دستمزد گروهی",2,1))</f>
        <v/>
      </c>
      <c r="C180">
        <f>IF($A180="","",IF(ISNUMBER(Wages!$B183),IF(AND(Wages!$B183&gt;=10000101,Wages!$B183&lt;=99991231),INT(Wages!$B183/10000),""),IFERROR(VALUE(TRIM(LEFT(Wages!$B183,FIND("/",Wages!$B183)-1))),"")))</f>
        <v/>
      </c>
      <c r="D180">
        <f>IF(OR($A180="",$C180=""),"",IF(ISNUMBER(Wages!$B183),INT(MOD(Wages!$B183,10000)/100),IFERROR(VALUE(TRIM(LEFT(MID(Wages!$B183,FIND("/",Wages!$B183)+1,20),FIND("/",MID(Wages!$B183,FIND("/",Wages!$B183)+1,20))-1))),"")))</f>
        <v/>
      </c>
      <c r="E180">
        <f>IF(OR($A180="",$C180=""),"",IF(ISNUMBER(Wages!$B183),MOD(Wages!$B183,100),IFERROR(VALUE(TRIM(MID(MID(Wages!$B183,FIND("/",Wages!$B183)+1,20),FIND("/",MID(Wages!$B183,FIND("/",Wages!$B183)+1,20))+1,20))),"")))</f>
        <v/>
      </c>
      <c r="F180">
        <f>IF($A180="","",IF(OR($C180="",$D180="",$E180="",$C180&lt;1300,$C180&gt;1500,$D180&lt;1,$D180&gt;12,$E180&lt;1,$E180&gt;31),"نامعتبر",RIGHT("0000"&amp;$C180,4)&amp;"/"&amp;RIGHT("00"&amp;$D180,2)&amp;"/"&amp;RIGHT("00"&amp;$E180,2)))</f>
        <v/>
      </c>
      <c r="G180">
        <f>IF(OR($A180="",$F180="",$F180="نامعتبر"),"",LEFT($F180,4)&amp;MID($F180,6,2)&amp;RIGHT($F180,2)&amp;"0000"&amp;"|"&amp;"1"&amp;RIGHT("00000"&amp;175,5))</f>
        <v/>
      </c>
      <c r="H180">
        <f>IF(OR($B180&lt;&gt;1,$G180=""),"",COUNTIFS(LdAParty,$A180,LdAType,1,LdAKey,"&lt;"&amp;$G180)+COUNTIFS(LdBMember,$A180,LdBKey,"&lt;"&amp;$G180)+COUNTIFS(LdCParty,$A180,LdCKey,"&lt;"&amp;$G180)+1)</f>
        <v/>
      </c>
      <c r="I180">
        <f>IF($H180="","",$A180&amp;"|"&amp;RIGHT("000000"&amp;$H180,6))</f>
        <v/>
      </c>
      <c r="J180">
        <f>IF(OR($B180&lt;&gt;2,$G180=""),"",COUNTIFS(LdAParty,$A180,LdAType,2,LdAKey,"&lt;"&amp;$G180)+1)</f>
        <v/>
      </c>
      <c r="K180">
        <f>IF($J180="","",$A180&amp;"|"&amp;RIGHT("000000"&amp;$J180,6))</f>
        <v/>
      </c>
      <c r="L180">
        <f>IF($A180="","",IF(Wages!$G183="",0,Wages!$G183))</f>
        <v/>
      </c>
      <c r="M180">
        <f>IF($A180="","",Wages!$J183)</f>
        <v/>
      </c>
      <c r="N180">
        <f>IF($A180="","",Wages!$D183)</f>
        <v/>
      </c>
      <c r="P180">
        <f>IF(OR(Shares!$B183="",Shares!$C183=""),"",Shares!$C183)</f>
        <v/>
      </c>
      <c r="Q180">
        <f>IF($P180="","",Shares!$B183)</f>
        <v/>
      </c>
      <c r="R180">
        <f>IF($P180="","",IFERROR(INDEX(WageParty,MATCH($Q180,WageIds,0)),""))</f>
        <v/>
      </c>
      <c r="S180">
        <f>IF($P180="","",IFERROR(INDEX($F$6:$F$2005,MATCH($Q180,WageIds,0)),""))</f>
        <v/>
      </c>
      <c r="T180">
        <f>IF(OR($P180="",$S180="",$S180="نامعتبر"),"",LEFT($S180,4)&amp;MID($S180,6,2)&amp;RIGHT($S180,2)&amp;"0000"&amp;"|"&amp;"2"&amp;RIGHT("00000"&amp;175,5))</f>
        <v/>
      </c>
      <c r="U180">
        <f>IF($T180="","",COUNTIFS(LdAParty,$P180,LdAType,1,LdAKey,"&lt;"&amp;$T180)+COUNTIFS(LdBMember,$P180,LdBKey,"&lt;"&amp;$T180)+COUNTIFS(LdCParty,$P180,LdCKey,"&lt;"&amp;$T180)+1)</f>
        <v/>
      </c>
      <c r="V180">
        <f>IF($U180="","",$P180&amp;"|"&amp;RIGHT("000000"&amp;$U180,6))</f>
        <v/>
      </c>
      <c r="W180">
        <f>IF($T180="","",COUNTIFS(LdBGroup,$R180,LdBKey,"&lt;"&amp;$T180)+1)</f>
        <v/>
      </c>
      <c r="X180">
        <f>IF($W180="","",$R180&amp;"|"&amp;RIGHT("000000"&amp;$W180,6))</f>
        <v/>
      </c>
      <c r="Y180">
        <f>IF($P180="","",IF(Shares!$E183="",0,Shares!$E183))</f>
        <v/>
      </c>
      <c r="Z180">
        <f>IF($P180="","",Shares!$H183)</f>
        <v/>
      </c>
      <c r="AE180">
        <f>IF(OR(Sync!$S180="",Sync!$P180=""),"",Sync!$S180)</f>
        <v/>
      </c>
      <c r="AF180">
        <f>IF($AE180="","",IF(ISNUMBER(Sync!$P180),IF(AND(Sync!$P180&gt;=10000101,Sync!$P180&lt;=99991231),INT(Sync!$P180/10000),""),IFERROR(VALUE(TRIM(LEFT(Sync!$P180,FIND("/",Sync!$P180)-1))),"")))</f>
        <v/>
      </c>
      <c r="AG180">
        <f>IF(OR($AE180="",$AF180=""),"",IF(ISNUMBER(Sync!$P180),INT(MOD(Sync!$P180,10000)/100),IFERROR(VALUE(TRIM(LEFT(MID(Sync!$P180,FIND("/",Sync!$P180)+1,20),FIND("/",MID(Sync!$P180,FIND("/",Sync!$P180)+1,20))-1))),"")))</f>
        <v/>
      </c>
      <c r="AH180">
        <f>IF(OR($AE180="",$AF180=""),"",IF(ISNUMBER(Sync!$P180),MOD(Sync!$P180,100),IFERROR(VALUE(TRIM(MID(MID(Sync!$P180,FIND("/",Sync!$P180)+1,20),FIND("/",MID(Sync!$P180,FIND("/",Sync!$P180)+1,20))+1,20))),"")))</f>
        <v/>
      </c>
      <c r="AI180">
        <f>IF($AE180="","",IF(OR($AF180="",$AG180="",$AH180="",$AF180&lt;1300,$AF180&gt;1500,$AG180&lt;1,$AG180&gt;12,$AH180&lt;1,$AH180&gt;31),"نامعتبر",RIGHT("0000"&amp;$AF180,4)&amp;"/"&amp;RIGHT("00"&amp;$AG180,2)&amp;"/"&amp;RIGHT("00"&amp;$AH180,2)))</f>
        <v/>
      </c>
      <c r="AJ180">
        <f>IF($AE180="","",IF(Sync!$Q180="","0000",IF(AND(ISNUMBER(Sync!$Q180),Sync!$Q180&gt;=0,Sync!$Q180&lt;1),RIGHT("00"&amp;HOUR(Sync!$Q180),2)&amp;RIGHT("00"&amp;MINUTE(Sync!$Q180),2),IFERROR(RIGHT("00"&amp;VALUE(LEFT(Sync!$Q180,FIND(":",Sync!$Q180)-1)),2)&amp;RIGHT("00"&amp;VALUE(MID(Sync!$Q180,FIND(":",Sync!$Q180)+1,2)),2),"0000"))))</f>
        <v/>
      </c>
      <c r="AK180">
        <f>IF(OR($AE180="",$AI180="",$AI180="نامعتبر"),"",LEFT($AI180,4)&amp;MID($AI180,6,2)&amp;RIGHT($AI180,2)&amp;$AJ180&amp;"|"&amp;"3"&amp;RIGHT("00000"&amp;175,5))</f>
        <v/>
      </c>
      <c r="AL180">
        <f>IF($AK180="","",COUNTIFS(LdAParty,$AE180,LdAType,1,LdAKey,"&lt;"&amp;$AK180)+COUNTIFS(LdBMember,$AE180,LdBKey,"&lt;"&amp;$AK180)+COUNTIFS(LdCParty,$AE180,LdCKey,"&lt;"&amp;$AK180)+1)</f>
        <v/>
      </c>
      <c r="AM180">
        <f>IF($AL180="","",$AE180&amp;"|"&amp;RIGHT("000000"&amp;$AL180,6))</f>
        <v/>
      </c>
      <c r="AN180">
        <f>IF($AE180="","",IF(Sync!$W180="",0,Sync!$W180))</f>
        <v/>
      </c>
      <c r="AO180">
        <f>IF($AE180="","",IF(Sync!$X180="",0,Sync!$X180))</f>
        <v/>
      </c>
      <c r="AP180">
        <f>IF($AE180="","",Sync!$R180)</f>
        <v/>
      </c>
      <c r="AQ180">
        <f>IF($AE180="","",Sync!$Y180)</f>
        <v/>
      </c>
    </row>
    <row r="181">
      <c r="A181">
        <f>IF(OR(Wages!$B184="",Wages!$E184=""),"",Wages!$E184)</f>
        <v/>
      </c>
      <c r="B181">
        <f>IF($A181="","",IF(Wages!$C184="دستمزد گروهی",2,1))</f>
        <v/>
      </c>
      <c r="C181">
        <f>IF($A181="","",IF(ISNUMBER(Wages!$B184),IF(AND(Wages!$B184&gt;=10000101,Wages!$B184&lt;=99991231),INT(Wages!$B184/10000),""),IFERROR(VALUE(TRIM(LEFT(Wages!$B184,FIND("/",Wages!$B184)-1))),"")))</f>
        <v/>
      </c>
      <c r="D181">
        <f>IF(OR($A181="",$C181=""),"",IF(ISNUMBER(Wages!$B184),INT(MOD(Wages!$B184,10000)/100),IFERROR(VALUE(TRIM(LEFT(MID(Wages!$B184,FIND("/",Wages!$B184)+1,20),FIND("/",MID(Wages!$B184,FIND("/",Wages!$B184)+1,20))-1))),"")))</f>
        <v/>
      </c>
      <c r="E181">
        <f>IF(OR($A181="",$C181=""),"",IF(ISNUMBER(Wages!$B184),MOD(Wages!$B184,100),IFERROR(VALUE(TRIM(MID(MID(Wages!$B184,FIND("/",Wages!$B184)+1,20),FIND("/",MID(Wages!$B184,FIND("/",Wages!$B184)+1,20))+1,20))),"")))</f>
        <v/>
      </c>
      <c r="F181">
        <f>IF($A181="","",IF(OR($C181="",$D181="",$E181="",$C181&lt;1300,$C181&gt;1500,$D181&lt;1,$D181&gt;12,$E181&lt;1,$E181&gt;31),"نامعتبر",RIGHT("0000"&amp;$C181,4)&amp;"/"&amp;RIGHT("00"&amp;$D181,2)&amp;"/"&amp;RIGHT("00"&amp;$E181,2)))</f>
        <v/>
      </c>
      <c r="G181">
        <f>IF(OR($A181="",$F181="",$F181="نامعتبر"),"",LEFT($F181,4)&amp;MID($F181,6,2)&amp;RIGHT($F181,2)&amp;"0000"&amp;"|"&amp;"1"&amp;RIGHT("00000"&amp;176,5))</f>
        <v/>
      </c>
      <c r="H181">
        <f>IF(OR($B181&lt;&gt;1,$G181=""),"",COUNTIFS(LdAParty,$A181,LdAType,1,LdAKey,"&lt;"&amp;$G181)+COUNTIFS(LdBMember,$A181,LdBKey,"&lt;"&amp;$G181)+COUNTIFS(LdCParty,$A181,LdCKey,"&lt;"&amp;$G181)+1)</f>
        <v/>
      </c>
      <c r="I181">
        <f>IF($H181="","",$A181&amp;"|"&amp;RIGHT("000000"&amp;$H181,6))</f>
        <v/>
      </c>
      <c r="J181">
        <f>IF(OR($B181&lt;&gt;2,$G181=""),"",COUNTIFS(LdAParty,$A181,LdAType,2,LdAKey,"&lt;"&amp;$G181)+1)</f>
        <v/>
      </c>
      <c r="K181">
        <f>IF($J181="","",$A181&amp;"|"&amp;RIGHT("000000"&amp;$J181,6))</f>
        <v/>
      </c>
      <c r="L181">
        <f>IF($A181="","",IF(Wages!$G184="",0,Wages!$G184))</f>
        <v/>
      </c>
      <c r="M181">
        <f>IF($A181="","",Wages!$J184)</f>
        <v/>
      </c>
      <c r="N181">
        <f>IF($A181="","",Wages!$D184)</f>
        <v/>
      </c>
      <c r="P181">
        <f>IF(OR(Shares!$B184="",Shares!$C184=""),"",Shares!$C184)</f>
        <v/>
      </c>
      <c r="Q181">
        <f>IF($P181="","",Shares!$B184)</f>
        <v/>
      </c>
      <c r="R181">
        <f>IF($P181="","",IFERROR(INDEX(WageParty,MATCH($Q181,WageIds,0)),""))</f>
        <v/>
      </c>
      <c r="S181">
        <f>IF($P181="","",IFERROR(INDEX($F$6:$F$2005,MATCH($Q181,WageIds,0)),""))</f>
        <v/>
      </c>
      <c r="T181">
        <f>IF(OR($P181="",$S181="",$S181="نامعتبر"),"",LEFT($S181,4)&amp;MID($S181,6,2)&amp;RIGHT($S181,2)&amp;"0000"&amp;"|"&amp;"2"&amp;RIGHT("00000"&amp;176,5))</f>
        <v/>
      </c>
      <c r="U181">
        <f>IF($T181="","",COUNTIFS(LdAParty,$P181,LdAType,1,LdAKey,"&lt;"&amp;$T181)+COUNTIFS(LdBMember,$P181,LdBKey,"&lt;"&amp;$T181)+COUNTIFS(LdCParty,$P181,LdCKey,"&lt;"&amp;$T181)+1)</f>
        <v/>
      </c>
      <c r="V181">
        <f>IF($U181="","",$P181&amp;"|"&amp;RIGHT("000000"&amp;$U181,6))</f>
        <v/>
      </c>
      <c r="W181">
        <f>IF($T181="","",COUNTIFS(LdBGroup,$R181,LdBKey,"&lt;"&amp;$T181)+1)</f>
        <v/>
      </c>
      <c r="X181">
        <f>IF($W181="","",$R181&amp;"|"&amp;RIGHT("000000"&amp;$W181,6))</f>
        <v/>
      </c>
      <c r="Y181">
        <f>IF($P181="","",IF(Shares!$E184="",0,Shares!$E184))</f>
        <v/>
      </c>
      <c r="Z181">
        <f>IF($P181="","",Shares!$H184)</f>
        <v/>
      </c>
      <c r="AE181">
        <f>IF(OR(Sync!$S181="",Sync!$P181=""),"",Sync!$S181)</f>
        <v/>
      </c>
      <c r="AF181">
        <f>IF($AE181="","",IF(ISNUMBER(Sync!$P181),IF(AND(Sync!$P181&gt;=10000101,Sync!$P181&lt;=99991231),INT(Sync!$P181/10000),""),IFERROR(VALUE(TRIM(LEFT(Sync!$P181,FIND("/",Sync!$P181)-1))),"")))</f>
        <v/>
      </c>
      <c r="AG181">
        <f>IF(OR($AE181="",$AF181=""),"",IF(ISNUMBER(Sync!$P181),INT(MOD(Sync!$P181,10000)/100),IFERROR(VALUE(TRIM(LEFT(MID(Sync!$P181,FIND("/",Sync!$P181)+1,20),FIND("/",MID(Sync!$P181,FIND("/",Sync!$P181)+1,20))-1))),"")))</f>
        <v/>
      </c>
      <c r="AH181">
        <f>IF(OR($AE181="",$AF181=""),"",IF(ISNUMBER(Sync!$P181),MOD(Sync!$P181,100),IFERROR(VALUE(TRIM(MID(MID(Sync!$P181,FIND("/",Sync!$P181)+1,20),FIND("/",MID(Sync!$P181,FIND("/",Sync!$P181)+1,20))+1,20))),"")))</f>
        <v/>
      </c>
      <c r="AI181">
        <f>IF($AE181="","",IF(OR($AF181="",$AG181="",$AH181="",$AF181&lt;1300,$AF181&gt;1500,$AG181&lt;1,$AG181&gt;12,$AH181&lt;1,$AH181&gt;31),"نامعتبر",RIGHT("0000"&amp;$AF181,4)&amp;"/"&amp;RIGHT("00"&amp;$AG181,2)&amp;"/"&amp;RIGHT("00"&amp;$AH181,2)))</f>
        <v/>
      </c>
      <c r="AJ181">
        <f>IF($AE181="","",IF(Sync!$Q181="","0000",IF(AND(ISNUMBER(Sync!$Q181),Sync!$Q181&gt;=0,Sync!$Q181&lt;1),RIGHT("00"&amp;HOUR(Sync!$Q181),2)&amp;RIGHT("00"&amp;MINUTE(Sync!$Q181),2),IFERROR(RIGHT("00"&amp;VALUE(LEFT(Sync!$Q181,FIND(":",Sync!$Q181)-1)),2)&amp;RIGHT("00"&amp;VALUE(MID(Sync!$Q181,FIND(":",Sync!$Q181)+1,2)),2),"0000"))))</f>
        <v/>
      </c>
      <c r="AK181">
        <f>IF(OR($AE181="",$AI181="",$AI181="نامعتبر"),"",LEFT($AI181,4)&amp;MID($AI181,6,2)&amp;RIGHT($AI181,2)&amp;$AJ181&amp;"|"&amp;"3"&amp;RIGHT("00000"&amp;176,5))</f>
        <v/>
      </c>
      <c r="AL181">
        <f>IF($AK181="","",COUNTIFS(LdAParty,$AE181,LdAType,1,LdAKey,"&lt;"&amp;$AK181)+COUNTIFS(LdBMember,$AE181,LdBKey,"&lt;"&amp;$AK181)+COUNTIFS(LdCParty,$AE181,LdCKey,"&lt;"&amp;$AK181)+1)</f>
        <v/>
      </c>
      <c r="AM181">
        <f>IF($AL181="","",$AE181&amp;"|"&amp;RIGHT("000000"&amp;$AL181,6))</f>
        <v/>
      </c>
      <c r="AN181">
        <f>IF($AE181="","",IF(Sync!$W181="",0,Sync!$W181))</f>
        <v/>
      </c>
      <c r="AO181">
        <f>IF($AE181="","",IF(Sync!$X181="",0,Sync!$X181))</f>
        <v/>
      </c>
      <c r="AP181">
        <f>IF($AE181="","",Sync!$R181)</f>
        <v/>
      </c>
      <c r="AQ181">
        <f>IF($AE181="","",Sync!$Y181)</f>
        <v/>
      </c>
    </row>
    <row r="182">
      <c r="A182">
        <f>IF(OR(Wages!$B185="",Wages!$E185=""),"",Wages!$E185)</f>
        <v/>
      </c>
      <c r="B182">
        <f>IF($A182="","",IF(Wages!$C185="دستمزد گروهی",2,1))</f>
        <v/>
      </c>
      <c r="C182">
        <f>IF($A182="","",IF(ISNUMBER(Wages!$B185),IF(AND(Wages!$B185&gt;=10000101,Wages!$B185&lt;=99991231),INT(Wages!$B185/10000),""),IFERROR(VALUE(TRIM(LEFT(Wages!$B185,FIND("/",Wages!$B185)-1))),"")))</f>
        <v/>
      </c>
      <c r="D182">
        <f>IF(OR($A182="",$C182=""),"",IF(ISNUMBER(Wages!$B185),INT(MOD(Wages!$B185,10000)/100),IFERROR(VALUE(TRIM(LEFT(MID(Wages!$B185,FIND("/",Wages!$B185)+1,20),FIND("/",MID(Wages!$B185,FIND("/",Wages!$B185)+1,20))-1))),"")))</f>
        <v/>
      </c>
      <c r="E182">
        <f>IF(OR($A182="",$C182=""),"",IF(ISNUMBER(Wages!$B185),MOD(Wages!$B185,100),IFERROR(VALUE(TRIM(MID(MID(Wages!$B185,FIND("/",Wages!$B185)+1,20),FIND("/",MID(Wages!$B185,FIND("/",Wages!$B185)+1,20))+1,20))),"")))</f>
        <v/>
      </c>
      <c r="F182">
        <f>IF($A182="","",IF(OR($C182="",$D182="",$E182="",$C182&lt;1300,$C182&gt;1500,$D182&lt;1,$D182&gt;12,$E182&lt;1,$E182&gt;31),"نامعتبر",RIGHT("0000"&amp;$C182,4)&amp;"/"&amp;RIGHT("00"&amp;$D182,2)&amp;"/"&amp;RIGHT("00"&amp;$E182,2)))</f>
        <v/>
      </c>
      <c r="G182">
        <f>IF(OR($A182="",$F182="",$F182="نامعتبر"),"",LEFT($F182,4)&amp;MID($F182,6,2)&amp;RIGHT($F182,2)&amp;"0000"&amp;"|"&amp;"1"&amp;RIGHT("00000"&amp;177,5))</f>
        <v/>
      </c>
      <c r="H182">
        <f>IF(OR($B182&lt;&gt;1,$G182=""),"",COUNTIFS(LdAParty,$A182,LdAType,1,LdAKey,"&lt;"&amp;$G182)+COUNTIFS(LdBMember,$A182,LdBKey,"&lt;"&amp;$G182)+COUNTIFS(LdCParty,$A182,LdCKey,"&lt;"&amp;$G182)+1)</f>
        <v/>
      </c>
      <c r="I182">
        <f>IF($H182="","",$A182&amp;"|"&amp;RIGHT("000000"&amp;$H182,6))</f>
        <v/>
      </c>
      <c r="J182">
        <f>IF(OR($B182&lt;&gt;2,$G182=""),"",COUNTIFS(LdAParty,$A182,LdAType,2,LdAKey,"&lt;"&amp;$G182)+1)</f>
        <v/>
      </c>
      <c r="K182">
        <f>IF($J182="","",$A182&amp;"|"&amp;RIGHT("000000"&amp;$J182,6))</f>
        <v/>
      </c>
      <c r="L182">
        <f>IF($A182="","",IF(Wages!$G185="",0,Wages!$G185))</f>
        <v/>
      </c>
      <c r="M182">
        <f>IF($A182="","",Wages!$J185)</f>
        <v/>
      </c>
      <c r="N182">
        <f>IF($A182="","",Wages!$D185)</f>
        <v/>
      </c>
      <c r="P182">
        <f>IF(OR(Shares!$B185="",Shares!$C185=""),"",Shares!$C185)</f>
        <v/>
      </c>
      <c r="Q182">
        <f>IF($P182="","",Shares!$B185)</f>
        <v/>
      </c>
      <c r="R182">
        <f>IF($P182="","",IFERROR(INDEX(WageParty,MATCH($Q182,WageIds,0)),""))</f>
        <v/>
      </c>
      <c r="S182">
        <f>IF($P182="","",IFERROR(INDEX($F$6:$F$2005,MATCH($Q182,WageIds,0)),""))</f>
        <v/>
      </c>
      <c r="T182">
        <f>IF(OR($P182="",$S182="",$S182="نامعتبر"),"",LEFT($S182,4)&amp;MID($S182,6,2)&amp;RIGHT($S182,2)&amp;"0000"&amp;"|"&amp;"2"&amp;RIGHT("00000"&amp;177,5))</f>
        <v/>
      </c>
      <c r="U182">
        <f>IF($T182="","",COUNTIFS(LdAParty,$P182,LdAType,1,LdAKey,"&lt;"&amp;$T182)+COUNTIFS(LdBMember,$P182,LdBKey,"&lt;"&amp;$T182)+COUNTIFS(LdCParty,$P182,LdCKey,"&lt;"&amp;$T182)+1)</f>
        <v/>
      </c>
      <c r="V182">
        <f>IF($U182="","",$P182&amp;"|"&amp;RIGHT("000000"&amp;$U182,6))</f>
        <v/>
      </c>
      <c r="W182">
        <f>IF($T182="","",COUNTIFS(LdBGroup,$R182,LdBKey,"&lt;"&amp;$T182)+1)</f>
        <v/>
      </c>
      <c r="X182">
        <f>IF($W182="","",$R182&amp;"|"&amp;RIGHT("000000"&amp;$W182,6))</f>
        <v/>
      </c>
      <c r="Y182">
        <f>IF($P182="","",IF(Shares!$E185="",0,Shares!$E185))</f>
        <v/>
      </c>
      <c r="Z182">
        <f>IF($P182="","",Shares!$H185)</f>
        <v/>
      </c>
      <c r="AE182">
        <f>IF(OR(Sync!$S182="",Sync!$P182=""),"",Sync!$S182)</f>
        <v/>
      </c>
      <c r="AF182">
        <f>IF($AE182="","",IF(ISNUMBER(Sync!$P182),IF(AND(Sync!$P182&gt;=10000101,Sync!$P182&lt;=99991231),INT(Sync!$P182/10000),""),IFERROR(VALUE(TRIM(LEFT(Sync!$P182,FIND("/",Sync!$P182)-1))),"")))</f>
        <v/>
      </c>
      <c r="AG182">
        <f>IF(OR($AE182="",$AF182=""),"",IF(ISNUMBER(Sync!$P182),INT(MOD(Sync!$P182,10000)/100),IFERROR(VALUE(TRIM(LEFT(MID(Sync!$P182,FIND("/",Sync!$P182)+1,20),FIND("/",MID(Sync!$P182,FIND("/",Sync!$P182)+1,20))-1))),"")))</f>
        <v/>
      </c>
      <c r="AH182">
        <f>IF(OR($AE182="",$AF182=""),"",IF(ISNUMBER(Sync!$P182),MOD(Sync!$P182,100),IFERROR(VALUE(TRIM(MID(MID(Sync!$P182,FIND("/",Sync!$P182)+1,20),FIND("/",MID(Sync!$P182,FIND("/",Sync!$P182)+1,20))+1,20))),"")))</f>
        <v/>
      </c>
      <c r="AI182">
        <f>IF($AE182="","",IF(OR($AF182="",$AG182="",$AH182="",$AF182&lt;1300,$AF182&gt;1500,$AG182&lt;1,$AG182&gt;12,$AH182&lt;1,$AH182&gt;31),"نامعتبر",RIGHT("0000"&amp;$AF182,4)&amp;"/"&amp;RIGHT("00"&amp;$AG182,2)&amp;"/"&amp;RIGHT("00"&amp;$AH182,2)))</f>
        <v/>
      </c>
      <c r="AJ182">
        <f>IF($AE182="","",IF(Sync!$Q182="","0000",IF(AND(ISNUMBER(Sync!$Q182),Sync!$Q182&gt;=0,Sync!$Q182&lt;1),RIGHT("00"&amp;HOUR(Sync!$Q182),2)&amp;RIGHT("00"&amp;MINUTE(Sync!$Q182),2),IFERROR(RIGHT("00"&amp;VALUE(LEFT(Sync!$Q182,FIND(":",Sync!$Q182)-1)),2)&amp;RIGHT("00"&amp;VALUE(MID(Sync!$Q182,FIND(":",Sync!$Q182)+1,2)),2),"0000"))))</f>
        <v/>
      </c>
      <c r="AK182">
        <f>IF(OR($AE182="",$AI182="",$AI182="نامعتبر"),"",LEFT($AI182,4)&amp;MID($AI182,6,2)&amp;RIGHT($AI182,2)&amp;$AJ182&amp;"|"&amp;"3"&amp;RIGHT("00000"&amp;177,5))</f>
        <v/>
      </c>
      <c r="AL182">
        <f>IF($AK182="","",COUNTIFS(LdAParty,$AE182,LdAType,1,LdAKey,"&lt;"&amp;$AK182)+COUNTIFS(LdBMember,$AE182,LdBKey,"&lt;"&amp;$AK182)+COUNTIFS(LdCParty,$AE182,LdCKey,"&lt;"&amp;$AK182)+1)</f>
        <v/>
      </c>
      <c r="AM182">
        <f>IF($AL182="","",$AE182&amp;"|"&amp;RIGHT("000000"&amp;$AL182,6))</f>
        <v/>
      </c>
      <c r="AN182">
        <f>IF($AE182="","",IF(Sync!$W182="",0,Sync!$W182))</f>
        <v/>
      </c>
      <c r="AO182">
        <f>IF($AE182="","",IF(Sync!$X182="",0,Sync!$X182))</f>
        <v/>
      </c>
      <c r="AP182">
        <f>IF($AE182="","",Sync!$R182)</f>
        <v/>
      </c>
      <c r="AQ182">
        <f>IF($AE182="","",Sync!$Y182)</f>
        <v/>
      </c>
    </row>
    <row r="183">
      <c r="A183">
        <f>IF(OR(Wages!$B186="",Wages!$E186=""),"",Wages!$E186)</f>
        <v/>
      </c>
      <c r="B183">
        <f>IF($A183="","",IF(Wages!$C186="دستمزد گروهی",2,1))</f>
        <v/>
      </c>
      <c r="C183">
        <f>IF($A183="","",IF(ISNUMBER(Wages!$B186),IF(AND(Wages!$B186&gt;=10000101,Wages!$B186&lt;=99991231),INT(Wages!$B186/10000),""),IFERROR(VALUE(TRIM(LEFT(Wages!$B186,FIND("/",Wages!$B186)-1))),"")))</f>
        <v/>
      </c>
      <c r="D183">
        <f>IF(OR($A183="",$C183=""),"",IF(ISNUMBER(Wages!$B186),INT(MOD(Wages!$B186,10000)/100),IFERROR(VALUE(TRIM(LEFT(MID(Wages!$B186,FIND("/",Wages!$B186)+1,20),FIND("/",MID(Wages!$B186,FIND("/",Wages!$B186)+1,20))-1))),"")))</f>
        <v/>
      </c>
      <c r="E183">
        <f>IF(OR($A183="",$C183=""),"",IF(ISNUMBER(Wages!$B186),MOD(Wages!$B186,100),IFERROR(VALUE(TRIM(MID(MID(Wages!$B186,FIND("/",Wages!$B186)+1,20),FIND("/",MID(Wages!$B186,FIND("/",Wages!$B186)+1,20))+1,20))),"")))</f>
        <v/>
      </c>
      <c r="F183">
        <f>IF($A183="","",IF(OR($C183="",$D183="",$E183="",$C183&lt;1300,$C183&gt;1500,$D183&lt;1,$D183&gt;12,$E183&lt;1,$E183&gt;31),"نامعتبر",RIGHT("0000"&amp;$C183,4)&amp;"/"&amp;RIGHT("00"&amp;$D183,2)&amp;"/"&amp;RIGHT("00"&amp;$E183,2)))</f>
        <v/>
      </c>
      <c r="G183">
        <f>IF(OR($A183="",$F183="",$F183="نامعتبر"),"",LEFT($F183,4)&amp;MID($F183,6,2)&amp;RIGHT($F183,2)&amp;"0000"&amp;"|"&amp;"1"&amp;RIGHT("00000"&amp;178,5))</f>
        <v/>
      </c>
      <c r="H183">
        <f>IF(OR($B183&lt;&gt;1,$G183=""),"",COUNTIFS(LdAParty,$A183,LdAType,1,LdAKey,"&lt;"&amp;$G183)+COUNTIFS(LdBMember,$A183,LdBKey,"&lt;"&amp;$G183)+COUNTIFS(LdCParty,$A183,LdCKey,"&lt;"&amp;$G183)+1)</f>
        <v/>
      </c>
      <c r="I183">
        <f>IF($H183="","",$A183&amp;"|"&amp;RIGHT("000000"&amp;$H183,6))</f>
        <v/>
      </c>
      <c r="J183">
        <f>IF(OR($B183&lt;&gt;2,$G183=""),"",COUNTIFS(LdAParty,$A183,LdAType,2,LdAKey,"&lt;"&amp;$G183)+1)</f>
        <v/>
      </c>
      <c r="K183">
        <f>IF($J183="","",$A183&amp;"|"&amp;RIGHT("000000"&amp;$J183,6))</f>
        <v/>
      </c>
      <c r="L183">
        <f>IF($A183="","",IF(Wages!$G186="",0,Wages!$G186))</f>
        <v/>
      </c>
      <c r="M183">
        <f>IF($A183="","",Wages!$J186)</f>
        <v/>
      </c>
      <c r="N183">
        <f>IF($A183="","",Wages!$D186)</f>
        <v/>
      </c>
      <c r="P183">
        <f>IF(OR(Shares!$B186="",Shares!$C186=""),"",Shares!$C186)</f>
        <v/>
      </c>
      <c r="Q183">
        <f>IF($P183="","",Shares!$B186)</f>
        <v/>
      </c>
      <c r="R183">
        <f>IF($P183="","",IFERROR(INDEX(WageParty,MATCH($Q183,WageIds,0)),""))</f>
        <v/>
      </c>
      <c r="S183">
        <f>IF($P183="","",IFERROR(INDEX($F$6:$F$2005,MATCH($Q183,WageIds,0)),""))</f>
        <v/>
      </c>
      <c r="T183">
        <f>IF(OR($P183="",$S183="",$S183="نامعتبر"),"",LEFT($S183,4)&amp;MID($S183,6,2)&amp;RIGHT($S183,2)&amp;"0000"&amp;"|"&amp;"2"&amp;RIGHT("00000"&amp;178,5))</f>
        <v/>
      </c>
      <c r="U183">
        <f>IF($T183="","",COUNTIFS(LdAParty,$P183,LdAType,1,LdAKey,"&lt;"&amp;$T183)+COUNTIFS(LdBMember,$P183,LdBKey,"&lt;"&amp;$T183)+COUNTIFS(LdCParty,$P183,LdCKey,"&lt;"&amp;$T183)+1)</f>
        <v/>
      </c>
      <c r="V183">
        <f>IF($U183="","",$P183&amp;"|"&amp;RIGHT("000000"&amp;$U183,6))</f>
        <v/>
      </c>
      <c r="W183">
        <f>IF($T183="","",COUNTIFS(LdBGroup,$R183,LdBKey,"&lt;"&amp;$T183)+1)</f>
        <v/>
      </c>
      <c r="X183">
        <f>IF($W183="","",$R183&amp;"|"&amp;RIGHT("000000"&amp;$W183,6))</f>
        <v/>
      </c>
      <c r="Y183">
        <f>IF($P183="","",IF(Shares!$E186="",0,Shares!$E186))</f>
        <v/>
      </c>
      <c r="Z183">
        <f>IF($P183="","",Shares!$H186)</f>
        <v/>
      </c>
      <c r="AE183">
        <f>IF(OR(Sync!$S183="",Sync!$P183=""),"",Sync!$S183)</f>
        <v/>
      </c>
      <c r="AF183">
        <f>IF($AE183="","",IF(ISNUMBER(Sync!$P183),IF(AND(Sync!$P183&gt;=10000101,Sync!$P183&lt;=99991231),INT(Sync!$P183/10000),""),IFERROR(VALUE(TRIM(LEFT(Sync!$P183,FIND("/",Sync!$P183)-1))),"")))</f>
        <v/>
      </c>
      <c r="AG183">
        <f>IF(OR($AE183="",$AF183=""),"",IF(ISNUMBER(Sync!$P183),INT(MOD(Sync!$P183,10000)/100),IFERROR(VALUE(TRIM(LEFT(MID(Sync!$P183,FIND("/",Sync!$P183)+1,20),FIND("/",MID(Sync!$P183,FIND("/",Sync!$P183)+1,20))-1))),"")))</f>
        <v/>
      </c>
      <c r="AH183">
        <f>IF(OR($AE183="",$AF183=""),"",IF(ISNUMBER(Sync!$P183),MOD(Sync!$P183,100),IFERROR(VALUE(TRIM(MID(MID(Sync!$P183,FIND("/",Sync!$P183)+1,20),FIND("/",MID(Sync!$P183,FIND("/",Sync!$P183)+1,20))+1,20))),"")))</f>
        <v/>
      </c>
      <c r="AI183">
        <f>IF($AE183="","",IF(OR($AF183="",$AG183="",$AH183="",$AF183&lt;1300,$AF183&gt;1500,$AG183&lt;1,$AG183&gt;12,$AH183&lt;1,$AH183&gt;31),"نامعتبر",RIGHT("0000"&amp;$AF183,4)&amp;"/"&amp;RIGHT("00"&amp;$AG183,2)&amp;"/"&amp;RIGHT("00"&amp;$AH183,2)))</f>
        <v/>
      </c>
      <c r="AJ183">
        <f>IF($AE183="","",IF(Sync!$Q183="","0000",IF(AND(ISNUMBER(Sync!$Q183),Sync!$Q183&gt;=0,Sync!$Q183&lt;1),RIGHT("00"&amp;HOUR(Sync!$Q183),2)&amp;RIGHT("00"&amp;MINUTE(Sync!$Q183),2),IFERROR(RIGHT("00"&amp;VALUE(LEFT(Sync!$Q183,FIND(":",Sync!$Q183)-1)),2)&amp;RIGHT("00"&amp;VALUE(MID(Sync!$Q183,FIND(":",Sync!$Q183)+1,2)),2),"0000"))))</f>
        <v/>
      </c>
      <c r="AK183">
        <f>IF(OR($AE183="",$AI183="",$AI183="نامعتبر"),"",LEFT($AI183,4)&amp;MID($AI183,6,2)&amp;RIGHT($AI183,2)&amp;$AJ183&amp;"|"&amp;"3"&amp;RIGHT("00000"&amp;178,5))</f>
        <v/>
      </c>
      <c r="AL183">
        <f>IF($AK183="","",COUNTIFS(LdAParty,$AE183,LdAType,1,LdAKey,"&lt;"&amp;$AK183)+COUNTIFS(LdBMember,$AE183,LdBKey,"&lt;"&amp;$AK183)+COUNTIFS(LdCParty,$AE183,LdCKey,"&lt;"&amp;$AK183)+1)</f>
        <v/>
      </c>
      <c r="AM183">
        <f>IF($AL183="","",$AE183&amp;"|"&amp;RIGHT("000000"&amp;$AL183,6))</f>
        <v/>
      </c>
      <c r="AN183">
        <f>IF($AE183="","",IF(Sync!$W183="",0,Sync!$W183))</f>
        <v/>
      </c>
      <c r="AO183">
        <f>IF($AE183="","",IF(Sync!$X183="",0,Sync!$X183))</f>
        <v/>
      </c>
      <c r="AP183">
        <f>IF($AE183="","",Sync!$R183)</f>
        <v/>
      </c>
      <c r="AQ183">
        <f>IF($AE183="","",Sync!$Y183)</f>
        <v/>
      </c>
    </row>
    <row r="184">
      <c r="A184">
        <f>IF(OR(Wages!$B187="",Wages!$E187=""),"",Wages!$E187)</f>
        <v/>
      </c>
      <c r="B184">
        <f>IF($A184="","",IF(Wages!$C187="دستمزد گروهی",2,1))</f>
        <v/>
      </c>
      <c r="C184">
        <f>IF($A184="","",IF(ISNUMBER(Wages!$B187),IF(AND(Wages!$B187&gt;=10000101,Wages!$B187&lt;=99991231),INT(Wages!$B187/10000),""),IFERROR(VALUE(TRIM(LEFT(Wages!$B187,FIND("/",Wages!$B187)-1))),"")))</f>
        <v/>
      </c>
      <c r="D184">
        <f>IF(OR($A184="",$C184=""),"",IF(ISNUMBER(Wages!$B187),INT(MOD(Wages!$B187,10000)/100),IFERROR(VALUE(TRIM(LEFT(MID(Wages!$B187,FIND("/",Wages!$B187)+1,20),FIND("/",MID(Wages!$B187,FIND("/",Wages!$B187)+1,20))-1))),"")))</f>
        <v/>
      </c>
      <c r="E184">
        <f>IF(OR($A184="",$C184=""),"",IF(ISNUMBER(Wages!$B187),MOD(Wages!$B187,100),IFERROR(VALUE(TRIM(MID(MID(Wages!$B187,FIND("/",Wages!$B187)+1,20),FIND("/",MID(Wages!$B187,FIND("/",Wages!$B187)+1,20))+1,20))),"")))</f>
        <v/>
      </c>
      <c r="F184">
        <f>IF($A184="","",IF(OR($C184="",$D184="",$E184="",$C184&lt;1300,$C184&gt;1500,$D184&lt;1,$D184&gt;12,$E184&lt;1,$E184&gt;31),"نامعتبر",RIGHT("0000"&amp;$C184,4)&amp;"/"&amp;RIGHT("00"&amp;$D184,2)&amp;"/"&amp;RIGHT("00"&amp;$E184,2)))</f>
        <v/>
      </c>
      <c r="G184">
        <f>IF(OR($A184="",$F184="",$F184="نامعتبر"),"",LEFT($F184,4)&amp;MID($F184,6,2)&amp;RIGHT($F184,2)&amp;"0000"&amp;"|"&amp;"1"&amp;RIGHT("00000"&amp;179,5))</f>
        <v/>
      </c>
      <c r="H184">
        <f>IF(OR($B184&lt;&gt;1,$G184=""),"",COUNTIFS(LdAParty,$A184,LdAType,1,LdAKey,"&lt;"&amp;$G184)+COUNTIFS(LdBMember,$A184,LdBKey,"&lt;"&amp;$G184)+COUNTIFS(LdCParty,$A184,LdCKey,"&lt;"&amp;$G184)+1)</f>
        <v/>
      </c>
      <c r="I184">
        <f>IF($H184="","",$A184&amp;"|"&amp;RIGHT("000000"&amp;$H184,6))</f>
        <v/>
      </c>
      <c r="J184">
        <f>IF(OR($B184&lt;&gt;2,$G184=""),"",COUNTIFS(LdAParty,$A184,LdAType,2,LdAKey,"&lt;"&amp;$G184)+1)</f>
        <v/>
      </c>
      <c r="K184">
        <f>IF($J184="","",$A184&amp;"|"&amp;RIGHT("000000"&amp;$J184,6))</f>
        <v/>
      </c>
      <c r="L184">
        <f>IF($A184="","",IF(Wages!$G187="",0,Wages!$G187))</f>
        <v/>
      </c>
      <c r="M184">
        <f>IF($A184="","",Wages!$J187)</f>
        <v/>
      </c>
      <c r="N184">
        <f>IF($A184="","",Wages!$D187)</f>
        <v/>
      </c>
      <c r="P184">
        <f>IF(OR(Shares!$B187="",Shares!$C187=""),"",Shares!$C187)</f>
        <v/>
      </c>
      <c r="Q184">
        <f>IF($P184="","",Shares!$B187)</f>
        <v/>
      </c>
      <c r="R184">
        <f>IF($P184="","",IFERROR(INDEX(WageParty,MATCH($Q184,WageIds,0)),""))</f>
        <v/>
      </c>
      <c r="S184">
        <f>IF($P184="","",IFERROR(INDEX($F$6:$F$2005,MATCH($Q184,WageIds,0)),""))</f>
        <v/>
      </c>
      <c r="T184">
        <f>IF(OR($P184="",$S184="",$S184="نامعتبر"),"",LEFT($S184,4)&amp;MID($S184,6,2)&amp;RIGHT($S184,2)&amp;"0000"&amp;"|"&amp;"2"&amp;RIGHT("00000"&amp;179,5))</f>
        <v/>
      </c>
      <c r="U184">
        <f>IF($T184="","",COUNTIFS(LdAParty,$P184,LdAType,1,LdAKey,"&lt;"&amp;$T184)+COUNTIFS(LdBMember,$P184,LdBKey,"&lt;"&amp;$T184)+COUNTIFS(LdCParty,$P184,LdCKey,"&lt;"&amp;$T184)+1)</f>
        <v/>
      </c>
      <c r="V184">
        <f>IF($U184="","",$P184&amp;"|"&amp;RIGHT("000000"&amp;$U184,6))</f>
        <v/>
      </c>
      <c r="W184">
        <f>IF($T184="","",COUNTIFS(LdBGroup,$R184,LdBKey,"&lt;"&amp;$T184)+1)</f>
        <v/>
      </c>
      <c r="X184">
        <f>IF($W184="","",$R184&amp;"|"&amp;RIGHT("000000"&amp;$W184,6))</f>
        <v/>
      </c>
      <c r="Y184">
        <f>IF($P184="","",IF(Shares!$E187="",0,Shares!$E187))</f>
        <v/>
      </c>
      <c r="Z184">
        <f>IF($P184="","",Shares!$H187)</f>
        <v/>
      </c>
      <c r="AE184">
        <f>IF(OR(Sync!$S184="",Sync!$P184=""),"",Sync!$S184)</f>
        <v/>
      </c>
      <c r="AF184">
        <f>IF($AE184="","",IF(ISNUMBER(Sync!$P184),IF(AND(Sync!$P184&gt;=10000101,Sync!$P184&lt;=99991231),INT(Sync!$P184/10000),""),IFERROR(VALUE(TRIM(LEFT(Sync!$P184,FIND("/",Sync!$P184)-1))),"")))</f>
        <v/>
      </c>
      <c r="AG184">
        <f>IF(OR($AE184="",$AF184=""),"",IF(ISNUMBER(Sync!$P184),INT(MOD(Sync!$P184,10000)/100),IFERROR(VALUE(TRIM(LEFT(MID(Sync!$P184,FIND("/",Sync!$P184)+1,20),FIND("/",MID(Sync!$P184,FIND("/",Sync!$P184)+1,20))-1))),"")))</f>
        <v/>
      </c>
      <c r="AH184">
        <f>IF(OR($AE184="",$AF184=""),"",IF(ISNUMBER(Sync!$P184),MOD(Sync!$P184,100),IFERROR(VALUE(TRIM(MID(MID(Sync!$P184,FIND("/",Sync!$P184)+1,20),FIND("/",MID(Sync!$P184,FIND("/",Sync!$P184)+1,20))+1,20))),"")))</f>
        <v/>
      </c>
      <c r="AI184">
        <f>IF($AE184="","",IF(OR($AF184="",$AG184="",$AH184="",$AF184&lt;1300,$AF184&gt;1500,$AG184&lt;1,$AG184&gt;12,$AH184&lt;1,$AH184&gt;31),"نامعتبر",RIGHT("0000"&amp;$AF184,4)&amp;"/"&amp;RIGHT("00"&amp;$AG184,2)&amp;"/"&amp;RIGHT("00"&amp;$AH184,2)))</f>
        <v/>
      </c>
      <c r="AJ184">
        <f>IF($AE184="","",IF(Sync!$Q184="","0000",IF(AND(ISNUMBER(Sync!$Q184),Sync!$Q184&gt;=0,Sync!$Q184&lt;1),RIGHT("00"&amp;HOUR(Sync!$Q184),2)&amp;RIGHT("00"&amp;MINUTE(Sync!$Q184),2),IFERROR(RIGHT("00"&amp;VALUE(LEFT(Sync!$Q184,FIND(":",Sync!$Q184)-1)),2)&amp;RIGHT("00"&amp;VALUE(MID(Sync!$Q184,FIND(":",Sync!$Q184)+1,2)),2),"0000"))))</f>
        <v/>
      </c>
      <c r="AK184">
        <f>IF(OR($AE184="",$AI184="",$AI184="نامعتبر"),"",LEFT($AI184,4)&amp;MID($AI184,6,2)&amp;RIGHT($AI184,2)&amp;$AJ184&amp;"|"&amp;"3"&amp;RIGHT("00000"&amp;179,5))</f>
        <v/>
      </c>
      <c r="AL184">
        <f>IF($AK184="","",COUNTIFS(LdAParty,$AE184,LdAType,1,LdAKey,"&lt;"&amp;$AK184)+COUNTIFS(LdBMember,$AE184,LdBKey,"&lt;"&amp;$AK184)+COUNTIFS(LdCParty,$AE184,LdCKey,"&lt;"&amp;$AK184)+1)</f>
        <v/>
      </c>
      <c r="AM184">
        <f>IF($AL184="","",$AE184&amp;"|"&amp;RIGHT("000000"&amp;$AL184,6))</f>
        <v/>
      </c>
      <c r="AN184">
        <f>IF($AE184="","",IF(Sync!$W184="",0,Sync!$W184))</f>
        <v/>
      </c>
      <c r="AO184">
        <f>IF($AE184="","",IF(Sync!$X184="",0,Sync!$X184))</f>
        <v/>
      </c>
      <c r="AP184">
        <f>IF($AE184="","",Sync!$R184)</f>
        <v/>
      </c>
      <c r="AQ184">
        <f>IF($AE184="","",Sync!$Y184)</f>
        <v/>
      </c>
    </row>
    <row r="185">
      <c r="A185">
        <f>IF(OR(Wages!$B188="",Wages!$E188=""),"",Wages!$E188)</f>
        <v/>
      </c>
      <c r="B185">
        <f>IF($A185="","",IF(Wages!$C188="دستمزد گروهی",2,1))</f>
        <v/>
      </c>
      <c r="C185">
        <f>IF($A185="","",IF(ISNUMBER(Wages!$B188),IF(AND(Wages!$B188&gt;=10000101,Wages!$B188&lt;=99991231),INT(Wages!$B188/10000),""),IFERROR(VALUE(TRIM(LEFT(Wages!$B188,FIND("/",Wages!$B188)-1))),"")))</f>
        <v/>
      </c>
      <c r="D185">
        <f>IF(OR($A185="",$C185=""),"",IF(ISNUMBER(Wages!$B188),INT(MOD(Wages!$B188,10000)/100),IFERROR(VALUE(TRIM(LEFT(MID(Wages!$B188,FIND("/",Wages!$B188)+1,20),FIND("/",MID(Wages!$B188,FIND("/",Wages!$B188)+1,20))-1))),"")))</f>
        <v/>
      </c>
      <c r="E185">
        <f>IF(OR($A185="",$C185=""),"",IF(ISNUMBER(Wages!$B188),MOD(Wages!$B188,100),IFERROR(VALUE(TRIM(MID(MID(Wages!$B188,FIND("/",Wages!$B188)+1,20),FIND("/",MID(Wages!$B188,FIND("/",Wages!$B188)+1,20))+1,20))),"")))</f>
        <v/>
      </c>
      <c r="F185">
        <f>IF($A185="","",IF(OR($C185="",$D185="",$E185="",$C185&lt;1300,$C185&gt;1500,$D185&lt;1,$D185&gt;12,$E185&lt;1,$E185&gt;31),"نامعتبر",RIGHT("0000"&amp;$C185,4)&amp;"/"&amp;RIGHT("00"&amp;$D185,2)&amp;"/"&amp;RIGHT("00"&amp;$E185,2)))</f>
        <v/>
      </c>
      <c r="G185">
        <f>IF(OR($A185="",$F185="",$F185="نامعتبر"),"",LEFT($F185,4)&amp;MID($F185,6,2)&amp;RIGHT($F185,2)&amp;"0000"&amp;"|"&amp;"1"&amp;RIGHT("00000"&amp;180,5))</f>
        <v/>
      </c>
      <c r="H185">
        <f>IF(OR($B185&lt;&gt;1,$G185=""),"",COUNTIFS(LdAParty,$A185,LdAType,1,LdAKey,"&lt;"&amp;$G185)+COUNTIFS(LdBMember,$A185,LdBKey,"&lt;"&amp;$G185)+COUNTIFS(LdCParty,$A185,LdCKey,"&lt;"&amp;$G185)+1)</f>
        <v/>
      </c>
      <c r="I185">
        <f>IF($H185="","",$A185&amp;"|"&amp;RIGHT("000000"&amp;$H185,6))</f>
        <v/>
      </c>
      <c r="J185">
        <f>IF(OR($B185&lt;&gt;2,$G185=""),"",COUNTIFS(LdAParty,$A185,LdAType,2,LdAKey,"&lt;"&amp;$G185)+1)</f>
        <v/>
      </c>
      <c r="K185">
        <f>IF($J185="","",$A185&amp;"|"&amp;RIGHT("000000"&amp;$J185,6))</f>
        <v/>
      </c>
      <c r="L185">
        <f>IF($A185="","",IF(Wages!$G188="",0,Wages!$G188))</f>
        <v/>
      </c>
      <c r="M185">
        <f>IF($A185="","",Wages!$J188)</f>
        <v/>
      </c>
      <c r="N185">
        <f>IF($A185="","",Wages!$D188)</f>
        <v/>
      </c>
      <c r="P185">
        <f>IF(OR(Shares!$B188="",Shares!$C188=""),"",Shares!$C188)</f>
        <v/>
      </c>
      <c r="Q185">
        <f>IF($P185="","",Shares!$B188)</f>
        <v/>
      </c>
      <c r="R185">
        <f>IF($P185="","",IFERROR(INDEX(WageParty,MATCH($Q185,WageIds,0)),""))</f>
        <v/>
      </c>
      <c r="S185">
        <f>IF($P185="","",IFERROR(INDEX($F$6:$F$2005,MATCH($Q185,WageIds,0)),""))</f>
        <v/>
      </c>
      <c r="T185">
        <f>IF(OR($P185="",$S185="",$S185="نامعتبر"),"",LEFT($S185,4)&amp;MID($S185,6,2)&amp;RIGHT($S185,2)&amp;"0000"&amp;"|"&amp;"2"&amp;RIGHT("00000"&amp;180,5))</f>
        <v/>
      </c>
      <c r="U185">
        <f>IF($T185="","",COUNTIFS(LdAParty,$P185,LdAType,1,LdAKey,"&lt;"&amp;$T185)+COUNTIFS(LdBMember,$P185,LdBKey,"&lt;"&amp;$T185)+COUNTIFS(LdCParty,$P185,LdCKey,"&lt;"&amp;$T185)+1)</f>
        <v/>
      </c>
      <c r="V185">
        <f>IF($U185="","",$P185&amp;"|"&amp;RIGHT("000000"&amp;$U185,6))</f>
        <v/>
      </c>
      <c r="W185">
        <f>IF($T185="","",COUNTIFS(LdBGroup,$R185,LdBKey,"&lt;"&amp;$T185)+1)</f>
        <v/>
      </c>
      <c r="X185">
        <f>IF($W185="","",$R185&amp;"|"&amp;RIGHT("000000"&amp;$W185,6))</f>
        <v/>
      </c>
      <c r="Y185">
        <f>IF($P185="","",IF(Shares!$E188="",0,Shares!$E188))</f>
        <v/>
      </c>
      <c r="Z185">
        <f>IF($P185="","",Shares!$H188)</f>
        <v/>
      </c>
      <c r="AE185">
        <f>IF(OR(Sync!$S185="",Sync!$P185=""),"",Sync!$S185)</f>
        <v/>
      </c>
      <c r="AF185">
        <f>IF($AE185="","",IF(ISNUMBER(Sync!$P185),IF(AND(Sync!$P185&gt;=10000101,Sync!$P185&lt;=99991231),INT(Sync!$P185/10000),""),IFERROR(VALUE(TRIM(LEFT(Sync!$P185,FIND("/",Sync!$P185)-1))),"")))</f>
        <v/>
      </c>
      <c r="AG185">
        <f>IF(OR($AE185="",$AF185=""),"",IF(ISNUMBER(Sync!$P185),INT(MOD(Sync!$P185,10000)/100),IFERROR(VALUE(TRIM(LEFT(MID(Sync!$P185,FIND("/",Sync!$P185)+1,20),FIND("/",MID(Sync!$P185,FIND("/",Sync!$P185)+1,20))-1))),"")))</f>
        <v/>
      </c>
      <c r="AH185">
        <f>IF(OR($AE185="",$AF185=""),"",IF(ISNUMBER(Sync!$P185),MOD(Sync!$P185,100),IFERROR(VALUE(TRIM(MID(MID(Sync!$P185,FIND("/",Sync!$P185)+1,20),FIND("/",MID(Sync!$P185,FIND("/",Sync!$P185)+1,20))+1,20))),"")))</f>
        <v/>
      </c>
      <c r="AI185">
        <f>IF($AE185="","",IF(OR($AF185="",$AG185="",$AH185="",$AF185&lt;1300,$AF185&gt;1500,$AG185&lt;1,$AG185&gt;12,$AH185&lt;1,$AH185&gt;31),"نامعتبر",RIGHT("0000"&amp;$AF185,4)&amp;"/"&amp;RIGHT("00"&amp;$AG185,2)&amp;"/"&amp;RIGHT("00"&amp;$AH185,2)))</f>
        <v/>
      </c>
      <c r="AJ185">
        <f>IF($AE185="","",IF(Sync!$Q185="","0000",IF(AND(ISNUMBER(Sync!$Q185),Sync!$Q185&gt;=0,Sync!$Q185&lt;1),RIGHT("00"&amp;HOUR(Sync!$Q185),2)&amp;RIGHT("00"&amp;MINUTE(Sync!$Q185),2),IFERROR(RIGHT("00"&amp;VALUE(LEFT(Sync!$Q185,FIND(":",Sync!$Q185)-1)),2)&amp;RIGHT("00"&amp;VALUE(MID(Sync!$Q185,FIND(":",Sync!$Q185)+1,2)),2),"0000"))))</f>
        <v/>
      </c>
      <c r="AK185">
        <f>IF(OR($AE185="",$AI185="",$AI185="نامعتبر"),"",LEFT($AI185,4)&amp;MID($AI185,6,2)&amp;RIGHT($AI185,2)&amp;$AJ185&amp;"|"&amp;"3"&amp;RIGHT("00000"&amp;180,5))</f>
        <v/>
      </c>
      <c r="AL185">
        <f>IF($AK185="","",COUNTIFS(LdAParty,$AE185,LdAType,1,LdAKey,"&lt;"&amp;$AK185)+COUNTIFS(LdBMember,$AE185,LdBKey,"&lt;"&amp;$AK185)+COUNTIFS(LdCParty,$AE185,LdCKey,"&lt;"&amp;$AK185)+1)</f>
        <v/>
      </c>
      <c r="AM185">
        <f>IF($AL185="","",$AE185&amp;"|"&amp;RIGHT("000000"&amp;$AL185,6))</f>
        <v/>
      </c>
      <c r="AN185">
        <f>IF($AE185="","",IF(Sync!$W185="",0,Sync!$W185))</f>
        <v/>
      </c>
      <c r="AO185">
        <f>IF($AE185="","",IF(Sync!$X185="",0,Sync!$X185))</f>
        <v/>
      </c>
      <c r="AP185">
        <f>IF($AE185="","",Sync!$R185)</f>
        <v/>
      </c>
      <c r="AQ185">
        <f>IF($AE185="","",Sync!$Y185)</f>
        <v/>
      </c>
    </row>
    <row r="186">
      <c r="A186">
        <f>IF(OR(Wages!$B189="",Wages!$E189=""),"",Wages!$E189)</f>
        <v/>
      </c>
      <c r="B186">
        <f>IF($A186="","",IF(Wages!$C189="دستمزد گروهی",2,1))</f>
        <v/>
      </c>
      <c r="C186">
        <f>IF($A186="","",IF(ISNUMBER(Wages!$B189),IF(AND(Wages!$B189&gt;=10000101,Wages!$B189&lt;=99991231),INT(Wages!$B189/10000),""),IFERROR(VALUE(TRIM(LEFT(Wages!$B189,FIND("/",Wages!$B189)-1))),"")))</f>
        <v/>
      </c>
      <c r="D186">
        <f>IF(OR($A186="",$C186=""),"",IF(ISNUMBER(Wages!$B189),INT(MOD(Wages!$B189,10000)/100),IFERROR(VALUE(TRIM(LEFT(MID(Wages!$B189,FIND("/",Wages!$B189)+1,20),FIND("/",MID(Wages!$B189,FIND("/",Wages!$B189)+1,20))-1))),"")))</f>
        <v/>
      </c>
      <c r="E186">
        <f>IF(OR($A186="",$C186=""),"",IF(ISNUMBER(Wages!$B189),MOD(Wages!$B189,100),IFERROR(VALUE(TRIM(MID(MID(Wages!$B189,FIND("/",Wages!$B189)+1,20),FIND("/",MID(Wages!$B189,FIND("/",Wages!$B189)+1,20))+1,20))),"")))</f>
        <v/>
      </c>
      <c r="F186">
        <f>IF($A186="","",IF(OR($C186="",$D186="",$E186="",$C186&lt;1300,$C186&gt;1500,$D186&lt;1,$D186&gt;12,$E186&lt;1,$E186&gt;31),"نامعتبر",RIGHT("0000"&amp;$C186,4)&amp;"/"&amp;RIGHT("00"&amp;$D186,2)&amp;"/"&amp;RIGHT("00"&amp;$E186,2)))</f>
        <v/>
      </c>
      <c r="G186">
        <f>IF(OR($A186="",$F186="",$F186="نامعتبر"),"",LEFT($F186,4)&amp;MID($F186,6,2)&amp;RIGHT($F186,2)&amp;"0000"&amp;"|"&amp;"1"&amp;RIGHT("00000"&amp;181,5))</f>
        <v/>
      </c>
      <c r="H186">
        <f>IF(OR($B186&lt;&gt;1,$G186=""),"",COUNTIFS(LdAParty,$A186,LdAType,1,LdAKey,"&lt;"&amp;$G186)+COUNTIFS(LdBMember,$A186,LdBKey,"&lt;"&amp;$G186)+COUNTIFS(LdCParty,$A186,LdCKey,"&lt;"&amp;$G186)+1)</f>
        <v/>
      </c>
      <c r="I186">
        <f>IF($H186="","",$A186&amp;"|"&amp;RIGHT("000000"&amp;$H186,6))</f>
        <v/>
      </c>
      <c r="J186">
        <f>IF(OR($B186&lt;&gt;2,$G186=""),"",COUNTIFS(LdAParty,$A186,LdAType,2,LdAKey,"&lt;"&amp;$G186)+1)</f>
        <v/>
      </c>
      <c r="K186">
        <f>IF($J186="","",$A186&amp;"|"&amp;RIGHT("000000"&amp;$J186,6))</f>
        <v/>
      </c>
      <c r="L186">
        <f>IF($A186="","",IF(Wages!$G189="",0,Wages!$G189))</f>
        <v/>
      </c>
      <c r="M186">
        <f>IF($A186="","",Wages!$J189)</f>
        <v/>
      </c>
      <c r="N186">
        <f>IF($A186="","",Wages!$D189)</f>
        <v/>
      </c>
      <c r="P186">
        <f>IF(OR(Shares!$B189="",Shares!$C189=""),"",Shares!$C189)</f>
        <v/>
      </c>
      <c r="Q186">
        <f>IF($P186="","",Shares!$B189)</f>
        <v/>
      </c>
      <c r="R186">
        <f>IF($P186="","",IFERROR(INDEX(WageParty,MATCH($Q186,WageIds,0)),""))</f>
        <v/>
      </c>
      <c r="S186">
        <f>IF($P186="","",IFERROR(INDEX($F$6:$F$2005,MATCH($Q186,WageIds,0)),""))</f>
        <v/>
      </c>
      <c r="T186">
        <f>IF(OR($P186="",$S186="",$S186="نامعتبر"),"",LEFT($S186,4)&amp;MID($S186,6,2)&amp;RIGHT($S186,2)&amp;"0000"&amp;"|"&amp;"2"&amp;RIGHT("00000"&amp;181,5))</f>
        <v/>
      </c>
      <c r="U186">
        <f>IF($T186="","",COUNTIFS(LdAParty,$P186,LdAType,1,LdAKey,"&lt;"&amp;$T186)+COUNTIFS(LdBMember,$P186,LdBKey,"&lt;"&amp;$T186)+COUNTIFS(LdCParty,$P186,LdCKey,"&lt;"&amp;$T186)+1)</f>
        <v/>
      </c>
      <c r="V186">
        <f>IF($U186="","",$P186&amp;"|"&amp;RIGHT("000000"&amp;$U186,6))</f>
        <v/>
      </c>
      <c r="W186">
        <f>IF($T186="","",COUNTIFS(LdBGroup,$R186,LdBKey,"&lt;"&amp;$T186)+1)</f>
        <v/>
      </c>
      <c r="X186">
        <f>IF($W186="","",$R186&amp;"|"&amp;RIGHT("000000"&amp;$W186,6))</f>
        <v/>
      </c>
      <c r="Y186">
        <f>IF($P186="","",IF(Shares!$E189="",0,Shares!$E189))</f>
        <v/>
      </c>
      <c r="Z186">
        <f>IF($P186="","",Shares!$H189)</f>
        <v/>
      </c>
      <c r="AE186">
        <f>IF(OR(Sync!$S186="",Sync!$P186=""),"",Sync!$S186)</f>
        <v/>
      </c>
      <c r="AF186">
        <f>IF($AE186="","",IF(ISNUMBER(Sync!$P186),IF(AND(Sync!$P186&gt;=10000101,Sync!$P186&lt;=99991231),INT(Sync!$P186/10000),""),IFERROR(VALUE(TRIM(LEFT(Sync!$P186,FIND("/",Sync!$P186)-1))),"")))</f>
        <v/>
      </c>
      <c r="AG186">
        <f>IF(OR($AE186="",$AF186=""),"",IF(ISNUMBER(Sync!$P186),INT(MOD(Sync!$P186,10000)/100),IFERROR(VALUE(TRIM(LEFT(MID(Sync!$P186,FIND("/",Sync!$P186)+1,20),FIND("/",MID(Sync!$P186,FIND("/",Sync!$P186)+1,20))-1))),"")))</f>
        <v/>
      </c>
      <c r="AH186">
        <f>IF(OR($AE186="",$AF186=""),"",IF(ISNUMBER(Sync!$P186),MOD(Sync!$P186,100),IFERROR(VALUE(TRIM(MID(MID(Sync!$P186,FIND("/",Sync!$P186)+1,20),FIND("/",MID(Sync!$P186,FIND("/",Sync!$P186)+1,20))+1,20))),"")))</f>
        <v/>
      </c>
      <c r="AI186">
        <f>IF($AE186="","",IF(OR($AF186="",$AG186="",$AH186="",$AF186&lt;1300,$AF186&gt;1500,$AG186&lt;1,$AG186&gt;12,$AH186&lt;1,$AH186&gt;31),"نامعتبر",RIGHT("0000"&amp;$AF186,4)&amp;"/"&amp;RIGHT("00"&amp;$AG186,2)&amp;"/"&amp;RIGHT("00"&amp;$AH186,2)))</f>
        <v/>
      </c>
      <c r="AJ186">
        <f>IF($AE186="","",IF(Sync!$Q186="","0000",IF(AND(ISNUMBER(Sync!$Q186),Sync!$Q186&gt;=0,Sync!$Q186&lt;1),RIGHT("00"&amp;HOUR(Sync!$Q186),2)&amp;RIGHT("00"&amp;MINUTE(Sync!$Q186),2),IFERROR(RIGHT("00"&amp;VALUE(LEFT(Sync!$Q186,FIND(":",Sync!$Q186)-1)),2)&amp;RIGHT("00"&amp;VALUE(MID(Sync!$Q186,FIND(":",Sync!$Q186)+1,2)),2),"0000"))))</f>
        <v/>
      </c>
      <c r="AK186">
        <f>IF(OR($AE186="",$AI186="",$AI186="نامعتبر"),"",LEFT($AI186,4)&amp;MID($AI186,6,2)&amp;RIGHT($AI186,2)&amp;$AJ186&amp;"|"&amp;"3"&amp;RIGHT("00000"&amp;181,5))</f>
        <v/>
      </c>
      <c r="AL186">
        <f>IF($AK186="","",COUNTIFS(LdAParty,$AE186,LdAType,1,LdAKey,"&lt;"&amp;$AK186)+COUNTIFS(LdBMember,$AE186,LdBKey,"&lt;"&amp;$AK186)+COUNTIFS(LdCParty,$AE186,LdCKey,"&lt;"&amp;$AK186)+1)</f>
        <v/>
      </c>
      <c r="AM186">
        <f>IF($AL186="","",$AE186&amp;"|"&amp;RIGHT("000000"&amp;$AL186,6))</f>
        <v/>
      </c>
      <c r="AN186">
        <f>IF($AE186="","",IF(Sync!$W186="",0,Sync!$W186))</f>
        <v/>
      </c>
      <c r="AO186">
        <f>IF($AE186="","",IF(Sync!$X186="",0,Sync!$X186))</f>
        <v/>
      </c>
      <c r="AP186">
        <f>IF($AE186="","",Sync!$R186)</f>
        <v/>
      </c>
      <c r="AQ186">
        <f>IF($AE186="","",Sync!$Y186)</f>
        <v/>
      </c>
    </row>
    <row r="187">
      <c r="A187">
        <f>IF(OR(Wages!$B190="",Wages!$E190=""),"",Wages!$E190)</f>
        <v/>
      </c>
      <c r="B187">
        <f>IF($A187="","",IF(Wages!$C190="دستمزد گروهی",2,1))</f>
        <v/>
      </c>
      <c r="C187">
        <f>IF($A187="","",IF(ISNUMBER(Wages!$B190),IF(AND(Wages!$B190&gt;=10000101,Wages!$B190&lt;=99991231),INT(Wages!$B190/10000),""),IFERROR(VALUE(TRIM(LEFT(Wages!$B190,FIND("/",Wages!$B190)-1))),"")))</f>
        <v/>
      </c>
      <c r="D187">
        <f>IF(OR($A187="",$C187=""),"",IF(ISNUMBER(Wages!$B190),INT(MOD(Wages!$B190,10000)/100),IFERROR(VALUE(TRIM(LEFT(MID(Wages!$B190,FIND("/",Wages!$B190)+1,20),FIND("/",MID(Wages!$B190,FIND("/",Wages!$B190)+1,20))-1))),"")))</f>
        <v/>
      </c>
      <c r="E187">
        <f>IF(OR($A187="",$C187=""),"",IF(ISNUMBER(Wages!$B190),MOD(Wages!$B190,100),IFERROR(VALUE(TRIM(MID(MID(Wages!$B190,FIND("/",Wages!$B190)+1,20),FIND("/",MID(Wages!$B190,FIND("/",Wages!$B190)+1,20))+1,20))),"")))</f>
        <v/>
      </c>
      <c r="F187">
        <f>IF($A187="","",IF(OR($C187="",$D187="",$E187="",$C187&lt;1300,$C187&gt;1500,$D187&lt;1,$D187&gt;12,$E187&lt;1,$E187&gt;31),"نامعتبر",RIGHT("0000"&amp;$C187,4)&amp;"/"&amp;RIGHT("00"&amp;$D187,2)&amp;"/"&amp;RIGHT("00"&amp;$E187,2)))</f>
        <v/>
      </c>
      <c r="G187">
        <f>IF(OR($A187="",$F187="",$F187="نامعتبر"),"",LEFT($F187,4)&amp;MID($F187,6,2)&amp;RIGHT($F187,2)&amp;"0000"&amp;"|"&amp;"1"&amp;RIGHT("00000"&amp;182,5))</f>
        <v/>
      </c>
      <c r="H187">
        <f>IF(OR($B187&lt;&gt;1,$G187=""),"",COUNTIFS(LdAParty,$A187,LdAType,1,LdAKey,"&lt;"&amp;$G187)+COUNTIFS(LdBMember,$A187,LdBKey,"&lt;"&amp;$G187)+COUNTIFS(LdCParty,$A187,LdCKey,"&lt;"&amp;$G187)+1)</f>
        <v/>
      </c>
      <c r="I187">
        <f>IF($H187="","",$A187&amp;"|"&amp;RIGHT("000000"&amp;$H187,6))</f>
        <v/>
      </c>
      <c r="J187">
        <f>IF(OR($B187&lt;&gt;2,$G187=""),"",COUNTIFS(LdAParty,$A187,LdAType,2,LdAKey,"&lt;"&amp;$G187)+1)</f>
        <v/>
      </c>
      <c r="K187">
        <f>IF($J187="","",$A187&amp;"|"&amp;RIGHT("000000"&amp;$J187,6))</f>
        <v/>
      </c>
      <c r="L187">
        <f>IF($A187="","",IF(Wages!$G190="",0,Wages!$G190))</f>
        <v/>
      </c>
      <c r="M187">
        <f>IF($A187="","",Wages!$J190)</f>
        <v/>
      </c>
      <c r="N187">
        <f>IF($A187="","",Wages!$D190)</f>
        <v/>
      </c>
      <c r="P187">
        <f>IF(OR(Shares!$B190="",Shares!$C190=""),"",Shares!$C190)</f>
        <v/>
      </c>
      <c r="Q187">
        <f>IF($P187="","",Shares!$B190)</f>
        <v/>
      </c>
      <c r="R187">
        <f>IF($P187="","",IFERROR(INDEX(WageParty,MATCH($Q187,WageIds,0)),""))</f>
        <v/>
      </c>
      <c r="S187">
        <f>IF($P187="","",IFERROR(INDEX($F$6:$F$2005,MATCH($Q187,WageIds,0)),""))</f>
        <v/>
      </c>
      <c r="T187">
        <f>IF(OR($P187="",$S187="",$S187="نامعتبر"),"",LEFT($S187,4)&amp;MID($S187,6,2)&amp;RIGHT($S187,2)&amp;"0000"&amp;"|"&amp;"2"&amp;RIGHT("00000"&amp;182,5))</f>
        <v/>
      </c>
      <c r="U187">
        <f>IF($T187="","",COUNTIFS(LdAParty,$P187,LdAType,1,LdAKey,"&lt;"&amp;$T187)+COUNTIFS(LdBMember,$P187,LdBKey,"&lt;"&amp;$T187)+COUNTIFS(LdCParty,$P187,LdCKey,"&lt;"&amp;$T187)+1)</f>
        <v/>
      </c>
      <c r="V187">
        <f>IF($U187="","",$P187&amp;"|"&amp;RIGHT("000000"&amp;$U187,6))</f>
        <v/>
      </c>
      <c r="W187">
        <f>IF($T187="","",COUNTIFS(LdBGroup,$R187,LdBKey,"&lt;"&amp;$T187)+1)</f>
        <v/>
      </c>
      <c r="X187">
        <f>IF($W187="","",$R187&amp;"|"&amp;RIGHT("000000"&amp;$W187,6))</f>
        <v/>
      </c>
      <c r="Y187">
        <f>IF($P187="","",IF(Shares!$E190="",0,Shares!$E190))</f>
        <v/>
      </c>
      <c r="Z187">
        <f>IF($P187="","",Shares!$H190)</f>
        <v/>
      </c>
      <c r="AE187">
        <f>IF(OR(Sync!$S187="",Sync!$P187=""),"",Sync!$S187)</f>
        <v/>
      </c>
      <c r="AF187">
        <f>IF($AE187="","",IF(ISNUMBER(Sync!$P187),IF(AND(Sync!$P187&gt;=10000101,Sync!$P187&lt;=99991231),INT(Sync!$P187/10000),""),IFERROR(VALUE(TRIM(LEFT(Sync!$P187,FIND("/",Sync!$P187)-1))),"")))</f>
        <v/>
      </c>
      <c r="AG187">
        <f>IF(OR($AE187="",$AF187=""),"",IF(ISNUMBER(Sync!$P187),INT(MOD(Sync!$P187,10000)/100),IFERROR(VALUE(TRIM(LEFT(MID(Sync!$P187,FIND("/",Sync!$P187)+1,20),FIND("/",MID(Sync!$P187,FIND("/",Sync!$P187)+1,20))-1))),"")))</f>
        <v/>
      </c>
      <c r="AH187">
        <f>IF(OR($AE187="",$AF187=""),"",IF(ISNUMBER(Sync!$P187),MOD(Sync!$P187,100),IFERROR(VALUE(TRIM(MID(MID(Sync!$P187,FIND("/",Sync!$P187)+1,20),FIND("/",MID(Sync!$P187,FIND("/",Sync!$P187)+1,20))+1,20))),"")))</f>
        <v/>
      </c>
      <c r="AI187">
        <f>IF($AE187="","",IF(OR($AF187="",$AG187="",$AH187="",$AF187&lt;1300,$AF187&gt;1500,$AG187&lt;1,$AG187&gt;12,$AH187&lt;1,$AH187&gt;31),"نامعتبر",RIGHT("0000"&amp;$AF187,4)&amp;"/"&amp;RIGHT("00"&amp;$AG187,2)&amp;"/"&amp;RIGHT("00"&amp;$AH187,2)))</f>
        <v/>
      </c>
      <c r="AJ187">
        <f>IF($AE187="","",IF(Sync!$Q187="","0000",IF(AND(ISNUMBER(Sync!$Q187),Sync!$Q187&gt;=0,Sync!$Q187&lt;1),RIGHT("00"&amp;HOUR(Sync!$Q187),2)&amp;RIGHT("00"&amp;MINUTE(Sync!$Q187),2),IFERROR(RIGHT("00"&amp;VALUE(LEFT(Sync!$Q187,FIND(":",Sync!$Q187)-1)),2)&amp;RIGHT("00"&amp;VALUE(MID(Sync!$Q187,FIND(":",Sync!$Q187)+1,2)),2),"0000"))))</f>
        <v/>
      </c>
      <c r="AK187">
        <f>IF(OR($AE187="",$AI187="",$AI187="نامعتبر"),"",LEFT($AI187,4)&amp;MID($AI187,6,2)&amp;RIGHT($AI187,2)&amp;$AJ187&amp;"|"&amp;"3"&amp;RIGHT("00000"&amp;182,5))</f>
        <v/>
      </c>
      <c r="AL187">
        <f>IF($AK187="","",COUNTIFS(LdAParty,$AE187,LdAType,1,LdAKey,"&lt;"&amp;$AK187)+COUNTIFS(LdBMember,$AE187,LdBKey,"&lt;"&amp;$AK187)+COUNTIFS(LdCParty,$AE187,LdCKey,"&lt;"&amp;$AK187)+1)</f>
        <v/>
      </c>
      <c r="AM187">
        <f>IF($AL187="","",$AE187&amp;"|"&amp;RIGHT("000000"&amp;$AL187,6))</f>
        <v/>
      </c>
      <c r="AN187">
        <f>IF($AE187="","",IF(Sync!$W187="",0,Sync!$W187))</f>
        <v/>
      </c>
      <c r="AO187">
        <f>IF($AE187="","",IF(Sync!$X187="",0,Sync!$X187))</f>
        <v/>
      </c>
      <c r="AP187">
        <f>IF($AE187="","",Sync!$R187)</f>
        <v/>
      </c>
      <c r="AQ187">
        <f>IF($AE187="","",Sync!$Y187)</f>
        <v/>
      </c>
    </row>
    <row r="188">
      <c r="A188">
        <f>IF(OR(Wages!$B191="",Wages!$E191=""),"",Wages!$E191)</f>
        <v/>
      </c>
      <c r="B188">
        <f>IF($A188="","",IF(Wages!$C191="دستمزد گروهی",2,1))</f>
        <v/>
      </c>
      <c r="C188">
        <f>IF($A188="","",IF(ISNUMBER(Wages!$B191),IF(AND(Wages!$B191&gt;=10000101,Wages!$B191&lt;=99991231),INT(Wages!$B191/10000),""),IFERROR(VALUE(TRIM(LEFT(Wages!$B191,FIND("/",Wages!$B191)-1))),"")))</f>
        <v/>
      </c>
      <c r="D188">
        <f>IF(OR($A188="",$C188=""),"",IF(ISNUMBER(Wages!$B191),INT(MOD(Wages!$B191,10000)/100),IFERROR(VALUE(TRIM(LEFT(MID(Wages!$B191,FIND("/",Wages!$B191)+1,20),FIND("/",MID(Wages!$B191,FIND("/",Wages!$B191)+1,20))-1))),"")))</f>
        <v/>
      </c>
      <c r="E188">
        <f>IF(OR($A188="",$C188=""),"",IF(ISNUMBER(Wages!$B191),MOD(Wages!$B191,100),IFERROR(VALUE(TRIM(MID(MID(Wages!$B191,FIND("/",Wages!$B191)+1,20),FIND("/",MID(Wages!$B191,FIND("/",Wages!$B191)+1,20))+1,20))),"")))</f>
        <v/>
      </c>
      <c r="F188">
        <f>IF($A188="","",IF(OR($C188="",$D188="",$E188="",$C188&lt;1300,$C188&gt;1500,$D188&lt;1,$D188&gt;12,$E188&lt;1,$E188&gt;31),"نامعتبر",RIGHT("0000"&amp;$C188,4)&amp;"/"&amp;RIGHT("00"&amp;$D188,2)&amp;"/"&amp;RIGHT("00"&amp;$E188,2)))</f>
        <v/>
      </c>
      <c r="G188">
        <f>IF(OR($A188="",$F188="",$F188="نامعتبر"),"",LEFT($F188,4)&amp;MID($F188,6,2)&amp;RIGHT($F188,2)&amp;"0000"&amp;"|"&amp;"1"&amp;RIGHT("00000"&amp;183,5))</f>
        <v/>
      </c>
      <c r="H188">
        <f>IF(OR($B188&lt;&gt;1,$G188=""),"",COUNTIFS(LdAParty,$A188,LdAType,1,LdAKey,"&lt;"&amp;$G188)+COUNTIFS(LdBMember,$A188,LdBKey,"&lt;"&amp;$G188)+COUNTIFS(LdCParty,$A188,LdCKey,"&lt;"&amp;$G188)+1)</f>
        <v/>
      </c>
      <c r="I188">
        <f>IF($H188="","",$A188&amp;"|"&amp;RIGHT("000000"&amp;$H188,6))</f>
        <v/>
      </c>
      <c r="J188">
        <f>IF(OR($B188&lt;&gt;2,$G188=""),"",COUNTIFS(LdAParty,$A188,LdAType,2,LdAKey,"&lt;"&amp;$G188)+1)</f>
        <v/>
      </c>
      <c r="K188">
        <f>IF($J188="","",$A188&amp;"|"&amp;RIGHT("000000"&amp;$J188,6))</f>
        <v/>
      </c>
      <c r="L188">
        <f>IF($A188="","",IF(Wages!$G191="",0,Wages!$G191))</f>
        <v/>
      </c>
      <c r="M188">
        <f>IF($A188="","",Wages!$J191)</f>
        <v/>
      </c>
      <c r="N188">
        <f>IF($A188="","",Wages!$D191)</f>
        <v/>
      </c>
      <c r="P188">
        <f>IF(OR(Shares!$B191="",Shares!$C191=""),"",Shares!$C191)</f>
        <v/>
      </c>
      <c r="Q188">
        <f>IF($P188="","",Shares!$B191)</f>
        <v/>
      </c>
      <c r="R188">
        <f>IF($P188="","",IFERROR(INDEX(WageParty,MATCH($Q188,WageIds,0)),""))</f>
        <v/>
      </c>
      <c r="S188">
        <f>IF($P188="","",IFERROR(INDEX($F$6:$F$2005,MATCH($Q188,WageIds,0)),""))</f>
        <v/>
      </c>
      <c r="T188">
        <f>IF(OR($P188="",$S188="",$S188="نامعتبر"),"",LEFT($S188,4)&amp;MID($S188,6,2)&amp;RIGHT($S188,2)&amp;"0000"&amp;"|"&amp;"2"&amp;RIGHT("00000"&amp;183,5))</f>
        <v/>
      </c>
      <c r="U188">
        <f>IF($T188="","",COUNTIFS(LdAParty,$P188,LdAType,1,LdAKey,"&lt;"&amp;$T188)+COUNTIFS(LdBMember,$P188,LdBKey,"&lt;"&amp;$T188)+COUNTIFS(LdCParty,$P188,LdCKey,"&lt;"&amp;$T188)+1)</f>
        <v/>
      </c>
      <c r="V188">
        <f>IF($U188="","",$P188&amp;"|"&amp;RIGHT("000000"&amp;$U188,6))</f>
        <v/>
      </c>
      <c r="W188">
        <f>IF($T188="","",COUNTIFS(LdBGroup,$R188,LdBKey,"&lt;"&amp;$T188)+1)</f>
        <v/>
      </c>
      <c r="X188">
        <f>IF($W188="","",$R188&amp;"|"&amp;RIGHT("000000"&amp;$W188,6))</f>
        <v/>
      </c>
      <c r="Y188">
        <f>IF($P188="","",IF(Shares!$E191="",0,Shares!$E191))</f>
        <v/>
      </c>
      <c r="Z188">
        <f>IF($P188="","",Shares!$H191)</f>
        <v/>
      </c>
      <c r="AE188">
        <f>IF(OR(Sync!$S188="",Sync!$P188=""),"",Sync!$S188)</f>
        <v/>
      </c>
      <c r="AF188">
        <f>IF($AE188="","",IF(ISNUMBER(Sync!$P188),IF(AND(Sync!$P188&gt;=10000101,Sync!$P188&lt;=99991231),INT(Sync!$P188/10000),""),IFERROR(VALUE(TRIM(LEFT(Sync!$P188,FIND("/",Sync!$P188)-1))),"")))</f>
        <v/>
      </c>
      <c r="AG188">
        <f>IF(OR($AE188="",$AF188=""),"",IF(ISNUMBER(Sync!$P188),INT(MOD(Sync!$P188,10000)/100),IFERROR(VALUE(TRIM(LEFT(MID(Sync!$P188,FIND("/",Sync!$P188)+1,20),FIND("/",MID(Sync!$P188,FIND("/",Sync!$P188)+1,20))-1))),"")))</f>
        <v/>
      </c>
      <c r="AH188">
        <f>IF(OR($AE188="",$AF188=""),"",IF(ISNUMBER(Sync!$P188),MOD(Sync!$P188,100),IFERROR(VALUE(TRIM(MID(MID(Sync!$P188,FIND("/",Sync!$P188)+1,20),FIND("/",MID(Sync!$P188,FIND("/",Sync!$P188)+1,20))+1,20))),"")))</f>
        <v/>
      </c>
      <c r="AI188">
        <f>IF($AE188="","",IF(OR($AF188="",$AG188="",$AH188="",$AF188&lt;1300,$AF188&gt;1500,$AG188&lt;1,$AG188&gt;12,$AH188&lt;1,$AH188&gt;31),"نامعتبر",RIGHT("0000"&amp;$AF188,4)&amp;"/"&amp;RIGHT("00"&amp;$AG188,2)&amp;"/"&amp;RIGHT("00"&amp;$AH188,2)))</f>
        <v/>
      </c>
      <c r="AJ188">
        <f>IF($AE188="","",IF(Sync!$Q188="","0000",IF(AND(ISNUMBER(Sync!$Q188),Sync!$Q188&gt;=0,Sync!$Q188&lt;1),RIGHT("00"&amp;HOUR(Sync!$Q188),2)&amp;RIGHT("00"&amp;MINUTE(Sync!$Q188),2),IFERROR(RIGHT("00"&amp;VALUE(LEFT(Sync!$Q188,FIND(":",Sync!$Q188)-1)),2)&amp;RIGHT("00"&amp;VALUE(MID(Sync!$Q188,FIND(":",Sync!$Q188)+1,2)),2),"0000"))))</f>
        <v/>
      </c>
      <c r="AK188">
        <f>IF(OR($AE188="",$AI188="",$AI188="نامعتبر"),"",LEFT($AI188,4)&amp;MID($AI188,6,2)&amp;RIGHT($AI188,2)&amp;$AJ188&amp;"|"&amp;"3"&amp;RIGHT("00000"&amp;183,5))</f>
        <v/>
      </c>
      <c r="AL188">
        <f>IF($AK188="","",COUNTIFS(LdAParty,$AE188,LdAType,1,LdAKey,"&lt;"&amp;$AK188)+COUNTIFS(LdBMember,$AE188,LdBKey,"&lt;"&amp;$AK188)+COUNTIFS(LdCParty,$AE188,LdCKey,"&lt;"&amp;$AK188)+1)</f>
        <v/>
      </c>
      <c r="AM188">
        <f>IF($AL188="","",$AE188&amp;"|"&amp;RIGHT("000000"&amp;$AL188,6))</f>
        <v/>
      </c>
      <c r="AN188">
        <f>IF($AE188="","",IF(Sync!$W188="",0,Sync!$W188))</f>
        <v/>
      </c>
      <c r="AO188">
        <f>IF($AE188="","",IF(Sync!$X188="",0,Sync!$X188))</f>
        <v/>
      </c>
      <c r="AP188">
        <f>IF($AE188="","",Sync!$R188)</f>
        <v/>
      </c>
      <c r="AQ188">
        <f>IF($AE188="","",Sync!$Y188)</f>
        <v/>
      </c>
    </row>
    <row r="189">
      <c r="A189">
        <f>IF(OR(Wages!$B192="",Wages!$E192=""),"",Wages!$E192)</f>
        <v/>
      </c>
      <c r="B189">
        <f>IF($A189="","",IF(Wages!$C192="دستمزد گروهی",2,1))</f>
        <v/>
      </c>
      <c r="C189">
        <f>IF($A189="","",IF(ISNUMBER(Wages!$B192),IF(AND(Wages!$B192&gt;=10000101,Wages!$B192&lt;=99991231),INT(Wages!$B192/10000),""),IFERROR(VALUE(TRIM(LEFT(Wages!$B192,FIND("/",Wages!$B192)-1))),"")))</f>
        <v/>
      </c>
      <c r="D189">
        <f>IF(OR($A189="",$C189=""),"",IF(ISNUMBER(Wages!$B192),INT(MOD(Wages!$B192,10000)/100),IFERROR(VALUE(TRIM(LEFT(MID(Wages!$B192,FIND("/",Wages!$B192)+1,20),FIND("/",MID(Wages!$B192,FIND("/",Wages!$B192)+1,20))-1))),"")))</f>
        <v/>
      </c>
      <c r="E189">
        <f>IF(OR($A189="",$C189=""),"",IF(ISNUMBER(Wages!$B192),MOD(Wages!$B192,100),IFERROR(VALUE(TRIM(MID(MID(Wages!$B192,FIND("/",Wages!$B192)+1,20),FIND("/",MID(Wages!$B192,FIND("/",Wages!$B192)+1,20))+1,20))),"")))</f>
        <v/>
      </c>
      <c r="F189">
        <f>IF($A189="","",IF(OR($C189="",$D189="",$E189="",$C189&lt;1300,$C189&gt;1500,$D189&lt;1,$D189&gt;12,$E189&lt;1,$E189&gt;31),"نامعتبر",RIGHT("0000"&amp;$C189,4)&amp;"/"&amp;RIGHT("00"&amp;$D189,2)&amp;"/"&amp;RIGHT("00"&amp;$E189,2)))</f>
        <v/>
      </c>
      <c r="G189">
        <f>IF(OR($A189="",$F189="",$F189="نامعتبر"),"",LEFT($F189,4)&amp;MID($F189,6,2)&amp;RIGHT($F189,2)&amp;"0000"&amp;"|"&amp;"1"&amp;RIGHT("00000"&amp;184,5))</f>
        <v/>
      </c>
      <c r="H189">
        <f>IF(OR($B189&lt;&gt;1,$G189=""),"",COUNTIFS(LdAParty,$A189,LdAType,1,LdAKey,"&lt;"&amp;$G189)+COUNTIFS(LdBMember,$A189,LdBKey,"&lt;"&amp;$G189)+COUNTIFS(LdCParty,$A189,LdCKey,"&lt;"&amp;$G189)+1)</f>
        <v/>
      </c>
      <c r="I189">
        <f>IF($H189="","",$A189&amp;"|"&amp;RIGHT("000000"&amp;$H189,6))</f>
        <v/>
      </c>
      <c r="J189">
        <f>IF(OR($B189&lt;&gt;2,$G189=""),"",COUNTIFS(LdAParty,$A189,LdAType,2,LdAKey,"&lt;"&amp;$G189)+1)</f>
        <v/>
      </c>
      <c r="K189">
        <f>IF($J189="","",$A189&amp;"|"&amp;RIGHT("000000"&amp;$J189,6))</f>
        <v/>
      </c>
      <c r="L189">
        <f>IF($A189="","",IF(Wages!$G192="",0,Wages!$G192))</f>
        <v/>
      </c>
      <c r="M189">
        <f>IF($A189="","",Wages!$J192)</f>
        <v/>
      </c>
      <c r="N189">
        <f>IF($A189="","",Wages!$D192)</f>
        <v/>
      </c>
      <c r="P189">
        <f>IF(OR(Shares!$B192="",Shares!$C192=""),"",Shares!$C192)</f>
        <v/>
      </c>
      <c r="Q189">
        <f>IF($P189="","",Shares!$B192)</f>
        <v/>
      </c>
      <c r="R189">
        <f>IF($P189="","",IFERROR(INDEX(WageParty,MATCH($Q189,WageIds,0)),""))</f>
        <v/>
      </c>
      <c r="S189">
        <f>IF($P189="","",IFERROR(INDEX($F$6:$F$2005,MATCH($Q189,WageIds,0)),""))</f>
        <v/>
      </c>
      <c r="T189">
        <f>IF(OR($P189="",$S189="",$S189="نامعتبر"),"",LEFT($S189,4)&amp;MID($S189,6,2)&amp;RIGHT($S189,2)&amp;"0000"&amp;"|"&amp;"2"&amp;RIGHT("00000"&amp;184,5))</f>
        <v/>
      </c>
      <c r="U189">
        <f>IF($T189="","",COUNTIFS(LdAParty,$P189,LdAType,1,LdAKey,"&lt;"&amp;$T189)+COUNTIFS(LdBMember,$P189,LdBKey,"&lt;"&amp;$T189)+COUNTIFS(LdCParty,$P189,LdCKey,"&lt;"&amp;$T189)+1)</f>
        <v/>
      </c>
      <c r="V189">
        <f>IF($U189="","",$P189&amp;"|"&amp;RIGHT("000000"&amp;$U189,6))</f>
        <v/>
      </c>
      <c r="W189">
        <f>IF($T189="","",COUNTIFS(LdBGroup,$R189,LdBKey,"&lt;"&amp;$T189)+1)</f>
        <v/>
      </c>
      <c r="X189">
        <f>IF($W189="","",$R189&amp;"|"&amp;RIGHT("000000"&amp;$W189,6))</f>
        <v/>
      </c>
      <c r="Y189">
        <f>IF($P189="","",IF(Shares!$E192="",0,Shares!$E192))</f>
        <v/>
      </c>
      <c r="Z189">
        <f>IF($P189="","",Shares!$H192)</f>
        <v/>
      </c>
      <c r="AE189">
        <f>IF(OR(Sync!$S189="",Sync!$P189=""),"",Sync!$S189)</f>
        <v/>
      </c>
      <c r="AF189">
        <f>IF($AE189="","",IF(ISNUMBER(Sync!$P189),IF(AND(Sync!$P189&gt;=10000101,Sync!$P189&lt;=99991231),INT(Sync!$P189/10000),""),IFERROR(VALUE(TRIM(LEFT(Sync!$P189,FIND("/",Sync!$P189)-1))),"")))</f>
        <v/>
      </c>
      <c r="AG189">
        <f>IF(OR($AE189="",$AF189=""),"",IF(ISNUMBER(Sync!$P189),INT(MOD(Sync!$P189,10000)/100),IFERROR(VALUE(TRIM(LEFT(MID(Sync!$P189,FIND("/",Sync!$P189)+1,20),FIND("/",MID(Sync!$P189,FIND("/",Sync!$P189)+1,20))-1))),"")))</f>
        <v/>
      </c>
      <c r="AH189">
        <f>IF(OR($AE189="",$AF189=""),"",IF(ISNUMBER(Sync!$P189),MOD(Sync!$P189,100),IFERROR(VALUE(TRIM(MID(MID(Sync!$P189,FIND("/",Sync!$P189)+1,20),FIND("/",MID(Sync!$P189,FIND("/",Sync!$P189)+1,20))+1,20))),"")))</f>
        <v/>
      </c>
      <c r="AI189">
        <f>IF($AE189="","",IF(OR($AF189="",$AG189="",$AH189="",$AF189&lt;1300,$AF189&gt;1500,$AG189&lt;1,$AG189&gt;12,$AH189&lt;1,$AH189&gt;31),"نامعتبر",RIGHT("0000"&amp;$AF189,4)&amp;"/"&amp;RIGHT("00"&amp;$AG189,2)&amp;"/"&amp;RIGHT("00"&amp;$AH189,2)))</f>
        <v/>
      </c>
      <c r="AJ189">
        <f>IF($AE189="","",IF(Sync!$Q189="","0000",IF(AND(ISNUMBER(Sync!$Q189),Sync!$Q189&gt;=0,Sync!$Q189&lt;1),RIGHT("00"&amp;HOUR(Sync!$Q189),2)&amp;RIGHT("00"&amp;MINUTE(Sync!$Q189),2),IFERROR(RIGHT("00"&amp;VALUE(LEFT(Sync!$Q189,FIND(":",Sync!$Q189)-1)),2)&amp;RIGHT("00"&amp;VALUE(MID(Sync!$Q189,FIND(":",Sync!$Q189)+1,2)),2),"0000"))))</f>
        <v/>
      </c>
      <c r="AK189">
        <f>IF(OR($AE189="",$AI189="",$AI189="نامعتبر"),"",LEFT($AI189,4)&amp;MID($AI189,6,2)&amp;RIGHT($AI189,2)&amp;$AJ189&amp;"|"&amp;"3"&amp;RIGHT("00000"&amp;184,5))</f>
        <v/>
      </c>
      <c r="AL189">
        <f>IF($AK189="","",COUNTIFS(LdAParty,$AE189,LdAType,1,LdAKey,"&lt;"&amp;$AK189)+COUNTIFS(LdBMember,$AE189,LdBKey,"&lt;"&amp;$AK189)+COUNTIFS(LdCParty,$AE189,LdCKey,"&lt;"&amp;$AK189)+1)</f>
        <v/>
      </c>
      <c r="AM189">
        <f>IF($AL189="","",$AE189&amp;"|"&amp;RIGHT("000000"&amp;$AL189,6))</f>
        <v/>
      </c>
      <c r="AN189">
        <f>IF($AE189="","",IF(Sync!$W189="",0,Sync!$W189))</f>
        <v/>
      </c>
      <c r="AO189">
        <f>IF($AE189="","",IF(Sync!$X189="",0,Sync!$X189))</f>
        <v/>
      </c>
      <c r="AP189">
        <f>IF($AE189="","",Sync!$R189)</f>
        <v/>
      </c>
      <c r="AQ189">
        <f>IF($AE189="","",Sync!$Y189)</f>
        <v/>
      </c>
    </row>
    <row r="190">
      <c r="A190">
        <f>IF(OR(Wages!$B193="",Wages!$E193=""),"",Wages!$E193)</f>
        <v/>
      </c>
      <c r="B190">
        <f>IF($A190="","",IF(Wages!$C193="دستمزد گروهی",2,1))</f>
        <v/>
      </c>
      <c r="C190">
        <f>IF($A190="","",IF(ISNUMBER(Wages!$B193),IF(AND(Wages!$B193&gt;=10000101,Wages!$B193&lt;=99991231),INT(Wages!$B193/10000),""),IFERROR(VALUE(TRIM(LEFT(Wages!$B193,FIND("/",Wages!$B193)-1))),"")))</f>
        <v/>
      </c>
      <c r="D190">
        <f>IF(OR($A190="",$C190=""),"",IF(ISNUMBER(Wages!$B193),INT(MOD(Wages!$B193,10000)/100),IFERROR(VALUE(TRIM(LEFT(MID(Wages!$B193,FIND("/",Wages!$B193)+1,20),FIND("/",MID(Wages!$B193,FIND("/",Wages!$B193)+1,20))-1))),"")))</f>
        <v/>
      </c>
      <c r="E190">
        <f>IF(OR($A190="",$C190=""),"",IF(ISNUMBER(Wages!$B193),MOD(Wages!$B193,100),IFERROR(VALUE(TRIM(MID(MID(Wages!$B193,FIND("/",Wages!$B193)+1,20),FIND("/",MID(Wages!$B193,FIND("/",Wages!$B193)+1,20))+1,20))),"")))</f>
        <v/>
      </c>
      <c r="F190">
        <f>IF($A190="","",IF(OR($C190="",$D190="",$E190="",$C190&lt;1300,$C190&gt;1500,$D190&lt;1,$D190&gt;12,$E190&lt;1,$E190&gt;31),"نامعتبر",RIGHT("0000"&amp;$C190,4)&amp;"/"&amp;RIGHT("00"&amp;$D190,2)&amp;"/"&amp;RIGHT("00"&amp;$E190,2)))</f>
        <v/>
      </c>
      <c r="G190">
        <f>IF(OR($A190="",$F190="",$F190="نامعتبر"),"",LEFT($F190,4)&amp;MID($F190,6,2)&amp;RIGHT($F190,2)&amp;"0000"&amp;"|"&amp;"1"&amp;RIGHT("00000"&amp;185,5))</f>
        <v/>
      </c>
      <c r="H190">
        <f>IF(OR($B190&lt;&gt;1,$G190=""),"",COUNTIFS(LdAParty,$A190,LdAType,1,LdAKey,"&lt;"&amp;$G190)+COUNTIFS(LdBMember,$A190,LdBKey,"&lt;"&amp;$G190)+COUNTIFS(LdCParty,$A190,LdCKey,"&lt;"&amp;$G190)+1)</f>
        <v/>
      </c>
      <c r="I190">
        <f>IF($H190="","",$A190&amp;"|"&amp;RIGHT("000000"&amp;$H190,6))</f>
        <v/>
      </c>
      <c r="J190">
        <f>IF(OR($B190&lt;&gt;2,$G190=""),"",COUNTIFS(LdAParty,$A190,LdAType,2,LdAKey,"&lt;"&amp;$G190)+1)</f>
        <v/>
      </c>
      <c r="K190">
        <f>IF($J190="","",$A190&amp;"|"&amp;RIGHT("000000"&amp;$J190,6))</f>
        <v/>
      </c>
      <c r="L190">
        <f>IF($A190="","",IF(Wages!$G193="",0,Wages!$G193))</f>
        <v/>
      </c>
      <c r="M190">
        <f>IF($A190="","",Wages!$J193)</f>
        <v/>
      </c>
      <c r="N190">
        <f>IF($A190="","",Wages!$D193)</f>
        <v/>
      </c>
      <c r="P190">
        <f>IF(OR(Shares!$B193="",Shares!$C193=""),"",Shares!$C193)</f>
        <v/>
      </c>
      <c r="Q190">
        <f>IF($P190="","",Shares!$B193)</f>
        <v/>
      </c>
      <c r="R190">
        <f>IF($P190="","",IFERROR(INDEX(WageParty,MATCH($Q190,WageIds,0)),""))</f>
        <v/>
      </c>
      <c r="S190">
        <f>IF($P190="","",IFERROR(INDEX($F$6:$F$2005,MATCH($Q190,WageIds,0)),""))</f>
        <v/>
      </c>
      <c r="T190">
        <f>IF(OR($P190="",$S190="",$S190="نامعتبر"),"",LEFT($S190,4)&amp;MID($S190,6,2)&amp;RIGHT($S190,2)&amp;"0000"&amp;"|"&amp;"2"&amp;RIGHT("00000"&amp;185,5))</f>
        <v/>
      </c>
      <c r="U190">
        <f>IF($T190="","",COUNTIFS(LdAParty,$P190,LdAType,1,LdAKey,"&lt;"&amp;$T190)+COUNTIFS(LdBMember,$P190,LdBKey,"&lt;"&amp;$T190)+COUNTIFS(LdCParty,$P190,LdCKey,"&lt;"&amp;$T190)+1)</f>
        <v/>
      </c>
      <c r="V190">
        <f>IF($U190="","",$P190&amp;"|"&amp;RIGHT("000000"&amp;$U190,6))</f>
        <v/>
      </c>
      <c r="W190">
        <f>IF($T190="","",COUNTIFS(LdBGroup,$R190,LdBKey,"&lt;"&amp;$T190)+1)</f>
        <v/>
      </c>
      <c r="X190">
        <f>IF($W190="","",$R190&amp;"|"&amp;RIGHT("000000"&amp;$W190,6))</f>
        <v/>
      </c>
      <c r="Y190">
        <f>IF($P190="","",IF(Shares!$E193="",0,Shares!$E193))</f>
        <v/>
      </c>
      <c r="Z190">
        <f>IF($P190="","",Shares!$H193)</f>
        <v/>
      </c>
      <c r="AE190">
        <f>IF(OR(Sync!$S190="",Sync!$P190=""),"",Sync!$S190)</f>
        <v/>
      </c>
      <c r="AF190">
        <f>IF($AE190="","",IF(ISNUMBER(Sync!$P190),IF(AND(Sync!$P190&gt;=10000101,Sync!$P190&lt;=99991231),INT(Sync!$P190/10000),""),IFERROR(VALUE(TRIM(LEFT(Sync!$P190,FIND("/",Sync!$P190)-1))),"")))</f>
        <v/>
      </c>
      <c r="AG190">
        <f>IF(OR($AE190="",$AF190=""),"",IF(ISNUMBER(Sync!$P190),INT(MOD(Sync!$P190,10000)/100),IFERROR(VALUE(TRIM(LEFT(MID(Sync!$P190,FIND("/",Sync!$P190)+1,20),FIND("/",MID(Sync!$P190,FIND("/",Sync!$P190)+1,20))-1))),"")))</f>
        <v/>
      </c>
      <c r="AH190">
        <f>IF(OR($AE190="",$AF190=""),"",IF(ISNUMBER(Sync!$P190),MOD(Sync!$P190,100),IFERROR(VALUE(TRIM(MID(MID(Sync!$P190,FIND("/",Sync!$P190)+1,20),FIND("/",MID(Sync!$P190,FIND("/",Sync!$P190)+1,20))+1,20))),"")))</f>
        <v/>
      </c>
      <c r="AI190">
        <f>IF($AE190="","",IF(OR($AF190="",$AG190="",$AH190="",$AF190&lt;1300,$AF190&gt;1500,$AG190&lt;1,$AG190&gt;12,$AH190&lt;1,$AH190&gt;31),"نامعتبر",RIGHT("0000"&amp;$AF190,4)&amp;"/"&amp;RIGHT("00"&amp;$AG190,2)&amp;"/"&amp;RIGHT("00"&amp;$AH190,2)))</f>
        <v/>
      </c>
      <c r="AJ190">
        <f>IF($AE190="","",IF(Sync!$Q190="","0000",IF(AND(ISNUMBER(Sync!$Q190),Sync!$Q190&gt;=0,Sync!$Q190&lt;1),RIGHT("00"&amp;HOUR(Sync!$Q190),2)&amp;RIGHT("00"&amp;MINUTE(Sync!$Q190),2),IFERROR(RIGHT("00"&amp;VALUE(LEFT(Sync!$Q190,FIND(":",Sync!$Q190)-1)),2)&amp;RIGHT("00"&amp;VALUE(MID(Sync!$Q190,FIND(":",Sync!$Q190)+1,2)),2),"0000"))))</f>
        <v/>
      </c>
      <c r="AK190">
        <f>IF(OR($AE190="",$AI190="",$AI190="نامعتبر"),"",LEFT($AI190,4)&amp;MID($AI190,6,2)&amp;RIGHT($AI190,2)&amp;$AJ190&amp;"|"&amp;"3"&amp;RIGHT("00000"&amp;185,5))</f>
        <v/>
      </c>
      <c r="AL190">
        <f>IF($AK190="","",COUNTIFS(LdAParty,$AE190,LdAType,1,LdAKey,"&lt;"&amp;$AK190)+COUNTIFS(LdBMember,$AE190,LdBKey,"&lt;"&amp;$AK190)+COUNTIFS(LdCParty,$AE190,LdCKey,"&lt;"&amp;$AK190)+1)</f>
        <v/>
      </c>
      <c r="AM190">
        <f>IF($AL190="","",$AE190&amp;"|"&amp;RIGHT("000000"&amp;$AL190,6))</f>
        <v/>
      </c>
      <c r="AN190">
        <f>IF($AE190="","",IF(Sync!$W190="",0,Sync!$W190))</f>
        <v/>
      </c>
      <c r="AO190">
        <f>IF($AE190="","",IF(Sync!$X190="",0,Sync!$X190))</f>
        <v/>
      </c>
      <c r="AP190">
        <f>IF($AE190="","",Sync!$R190)</f>
        <v/>
      </c>
      <c r="AQ190">
        <f>IF($AE190="","",Sync!$Y190)</f>
        <v/>
      </c>
    </row>
    <row r="191">
      <c r="A191">
        <f>IF(OR(Wages!$B194="",Wages!$E194=""),"",Wages!$E194)</f>
        <v/>
      </c>
      <c r="B191">
        <f>IF($A191="","",IF(Wages!$C194="دستمزد گروهی",2,1))</f>
        <v/>
      </c>
      <c r="C191">
        <f>IF($A191="","",IF(ISNUMBER(Wages!$B194),IF(AND(Wages!$B194&gt;=10000101,Wages!$B194&lt;=99991231),INT(Wages!$B194/10000),""),IFERROR(VALUE(TRIM(LEFT(Wages!$B194,FIND("/",Wages!$B194)-1))),"")))</f>
        <v/>
      </c>
      <c r="D191">
        <f>IF(OR($A191="",$C191=""),"",IF(ISNUMBER(Wages!$B194),INT(MOD(Wages!$B194,10000)/100),IFERROR(VALUE(TRIM(LEFT(MID(Wages!$B194,FIND("/",Wages!$B194)+1,20),FIND("/",MID(Wages!$B194,FIND("/",Wages!$B194)+1,20))-1))),"")))</f>
        <v/>
      </c>
      <c r="E191">
        <f>IF(OR($A191="",$C191=""),"",IF(ISNUMBER(Wages!$B194),MOD(Wages!$B194,100),IFERROR(VALUE(TRIM(MID(MID(Wages!$B194,FIND("/",Wages!$B194)+1,20),FIND("/",MID(Wages!$B194,FIND("/",Wages!$B194)+1,20))+1,20))),"")))</f>
        <v/>
      </c>
      <c r="F191">
        <f>IF($A191="","",IF(OR($C191="",$D191="",$E191="",$C191&lt;1300,$C191&gt;1500,$D191&lt;1,$D191&gt;12,$E191&lt;1,$E191&gt;31),"نامعتبر",RIGHT("0000"&amp;$C191,4)&amp;"/"&amp;RIGHT("00"&amp;$D191,2)&amp;"/"&amp;RIGHT("00"&amp;$E191,2)))</f>
        <v/>
      </c>
      <c r="G191">
        <f>IF(OR($A191="",$F191="",$F191="نامعتبر"),"",LEFT($F191,4)&amp;MID($F191,6,2)&amp;RIGHT($F191,2)&amp;"0000"&amp;"|"&amp;"1"&amp;RIGHT("00000"&amp;186,5))</f>
        <v/>
      </c>
      <c r="H191">
        <f>IF(OR($B191&lt;&gt;1,$G191=""),"",COUNTIFS(LdAParty,$A191,LdAType,1,LdAKey,"&lt;"&amp;$G191)+COUNTIFS(LdBMember,$A191,LdBKey,"&lt;"&amp;$G191)+COUNTIFS(LdCParty,$A191,LdCKey,"&lt;"&amp;$G191)+1)</f>
        <v/>
      </c>
      <c r="I191">
        <f>IF($H191="","",$A191&amp;"|"&amp;RIGHT("000000"&amp;$H191,6))</f>
        <v/>
      </c>
      <c r="J191">
        <f>IF(OR($B191&lt;&gt;2,$G191=""),"",COUNTIFS(LdAParty,$A191,LdAType,2,LdAKey,"&lt;"&amp;$G191)+1)</f>
        <v/>
      </c>
      <c r="K191">
        <f>IF($J191="","",$A191&amp;"|"&amp;RIGHT("000000"&amp;$J191,6))</f>
        <v/>
      </c>
      <c r="L191">
        <f>IF($A191="","",IF(Wages!$G194="",0,Wages!$G194))</f>
        <v/>
      </c>
      <c r="M191">
        <f>IF($A191="","",Wages!$J194)</f>
        <v/>
      </c>
      <c r="N191">
        <f>IF($A191="","",Wages!$D194)</f>
        <v/>
      </c>
      <c r="P191">
        <f>IF(OR(Shares!$B194="",Shares!$C194=""),"",Shares!$C194)</f>
        <v/>
      </c>
      <c r="Q191">
        <f>IF($P191="","",Shares!$B194)</f>
        <v/>
      </c>
      <c r="R191">
        <f>IF($P191="","",IFERROR(INDEX(WageParty,MATCH($Q191,WageIds,0)),""))</f>
        <v/>
      </c>
      <c r="S191">
        <f>IF($P191="","",IFERROR(INDEX($F$6:$F$2005,MATCH($Q191,WageIds,0)),""))</f>
        <v/>
      </c>
      <c r="T191">
        <f>IF(OR($P191="",$S191="",$S191="نامعتبر"),"",LEFT($S191,4)&amp;MID($S191,6,2)&amp;RIGHT($S191,2)&amp;"0000"&amp;"|"&amp;"2"&amp;RIGHT("00000"&amp;186,5))</f>
        <v/>
      </c>
      <c r="U191">
        <f>IF($T191="","",COUNTIFS(LdAParty,$P191,LdAType,1,LdAKey,"&lt;"&amp;$T191)+COUNTIFS(LdBMember,$P191,LdBKey,"&lt;"&amp;$T191)+COUNTIFS(LdCParty,$P191,LdCKey,"&lt;"&amp;$T191)+1)</f>
        <v/>
      </c>
      <c r="V191">
        <f>IF($U191="","",$P191&amp;"|"&amp;RIGHT("000000"&amp;$U191,6))</f>
        <v/>
      </c>
      <c r="W191">
        <f>IF($T191="","",COUNTIFS(LdBGroup,$R191,LdBKey,"&lt;"&amp;$T191)+1)</f>
        <v/>
      </c>
      <c r="X191">
        <f>IF($W191="","",$R191&amp;"|"&amp;RIGHT("000000"&amp;$W191,6))</f>
        <v/>
      </c>
      <c r="Y191">
        <f>IF($P191="","",IF(Shares!$E194="",0,Shares!$E194))</f>
        <v/>
      </c>
      <c r="Z191">
        <f>IF($P191="","",Shares!$H194)</f>
        <v/>
      </c>
      <c r="AE191">
        <f>IF(OR(Sync!$S191="",Sync!$P191=""),"",Sync!$S191)</f>
        <v/>
      </c>
      <c r="AF191">
        <f>IF($AE191="","",IF(ISNUMBER(Sync!$P191),IF(AND(Sync!$P191&gt;=10000101,Sync!$P191&lt;=99991231),INT(Sync!$P191/10000),""),IFERROR(VALUE(TRIM(LEFT(Sync!$P191,FIND("/",Sync!$P191)-1))),"")))</f>
        <v/>
      </c>
      <c r="AG191">
        <f>IF(OR($AE191="",$AF191=""),"",IF(ISNUMBER(Sync!$P191),INT(MOD(Sync!$P191,10000)/100),IFERROR(VALUE(TRIM(LEFT(MID(Sync!$P191,FIND("/",Sync!$P191)+1,20),FIND("/",MID(Sync!$P191,FIND("/",Sync!$P191)+1,20))-1))),"")))</f>
        <v/>
      </c>
      <c r="AH191">
        <f>IF(OR($AE191="",$AF191=""),"",IF(ISNUMBER(Sync!$P191),MOD(Sync!$P191,100),IFERROR(VALUE(TRIM(MID(MID(Sync!$P191,FIND("/",Sync!$P191)+1,20),FIND("/",MID(Sync!$P191,FIND("/",Sync!$P191)+1,20))+1,20))),"")))</f>
        <v/>
      </c>
      <c r="AI191">
        <f>IF($AE191="","",IF(OR($AF191="",$AG191="",$AH191="",$AF191&lt;1300,$AF191&gt;1500,$AG191&lt;1,$AG191&gt;12,$AH191&lt;1,$AH191&gt;31),"نامعتبر",RIGHT("0000"&amp;$AF191,4)&amp;"/"&amp;RIGHT("00"&amp;$AG191,2)&amp;"/"&amp;RIGHT("00"&amp;$AH191,2)))</f>
        <v/>
      </c>
      <c r="AJ191">
        <f>IF($AE191="","",IF(Sync!$Q191="","0000",IF(AND(ISNUMBER(Sync!$Q191),Sync!$Q191&gt;=0,Sync!$Q191&lt;1),RIGHT("00"&amp;HOUR(Sync!$Q191),2)&amp;RIGHT("00"&amp;MINUTE(Sync!$Q191),2),IFERROR(RIGHT("00"&amp;VALUE(LEFT(Sync!$Q191,FIND(":",Sync!$Q191)-1)),2)&amp;RIGHT("00"&amp;VALUE(MID(Sync!$Q191,FIND(":",Sync!$Q191)+1,2)),2),"0000"))))</f>
        <v/>
      </c>
      <c r="AK191">
        <f>IF(OR($AE191="",$AI191="",$AI191="نامعتبر"),"",LEFT($AI191,4)&amp;MID($AI191,6,2)&amp;RIGHT($AI191,2)&amp;$AJ191&amp;"|"&amp;"3"&amp;RIGHT("00000"&amp;186,5))</f>
        <v/>
      </c>
      <c r="AL191">
        <f>IF($AK191="","",COUNTIFS(LdAParty,$AE191,LdAType,1,LdAKey,"&lt;"&amp;$AK191)+COUNTIFS(LdBMember,$AE191,LdBKey,"&lt;"&amp;$AK191)+COUNTIFS(LdCParty,$AE191,LdCKey,"&lt;"&amp;$AK191)+1)</f>
        <v/>
      </c>
      <c r="AM191">
        <f>IF($AL191="","",$AE191&amp;"|"&amp;RIGHT("000000"&amp;$AL191,6))</f>
        <v/>
      </c>
      <c r="AN191">
        <f>IF($AE191="","",IF(Sync!$W191="",0,Sync!$W191))</f>
        <v/>
      </c>
      <c r="AO191">
        <f>IF($AE191="","",IF(Sync!$X191="",0,Sync!$X191))</f>
        <v/>
      </c>
      <c r="AP191">
        <f>IF($AE191="","",Sync!$R191)</f>
        <v/>
      </c>
      <c r="AQ191">
        <f>IF($AE191="","",Sync!$Y191)</f>
        <v/>
      </c>
    </row>
    <row r="192">
      <c r="A192">
        <f>IF(OR(Wages!$B195="",Wages!$E195=""),"",Wages!$E195)</f>
        <v/>
      </c>
      <c r="B192">
        <f>IF($A192="","",IF(Wages!$C195="دستمزد گروهی",2,1))</f>
        <v/>
      </c>
      <c r="C192">
        <f>IF($A192="","",IF(ISNUMBER(Wages!$B195),IF(AND(Wages!$B195&gt;=10000101,Wages!$B195&lt;=99991231),INT(Wages!$B195/10000),""),IFERROR(VALUE(TRIM(LEFT(Wages!$B195,FIND("/",Wages!$B195)-1))),"")))</f>
        <v/>
      </c>
      <c r="D192">
        <f>IF(OR($A192="",$C192=""),"",IF(ISNUMBER(Wages!$B195),INT(MOD(Wages!$B195,10000)/100),IFERROR(VALUE(TRIM(LEFT(MID(Wages!$B195,FIND("/",Wages!$B195)+1,20),FIND("/",MID(Wages!$B195,FIND("/",Wages!$B195)+1,20))-1))),"")))</f>
        <v/>
      </c>
      <c r="E192">
        <f>IF(OR($A192="",$C192=""),"",IF(ISNUMBER(Wages!$B195),MOD(Wages!$B195,100),IFERROR(VALUE(TRIM(MID(MID(Wages!$B195,FIND("/",Wages!$B195)+1,20),FIND("/",MID(Wages!$B195,FIND("/",Wages!$B195)+1,20))+1,20))),"")))</f>
        <v/>
      </c>
      <c r="F192">
        <f>IF($A192="","",IF(OR($C192="",$D192="",$E192="",$C192&lt;1300,$C192&gt;1500,$D192&lt;1,$D192&gt;12,$E192&lt;1,$E192&gt;31),"نامعتبر",RIGHT("0000"&amp;$C192,4)&amp;"/"&amp;RIGHT("00"&amp;$D192,2)&amp;"/"&amp;RIGHT("00"&amp;$E192,2)))</f>
        <v/>
      </c>
      <c r="G192">
        <f>IF(OR($A192="",$F192="",$F192="نامعتبر"),"",LEFT($F192,4)&amp;MID($F192,6,2)&amp;RIGHT($F192,2)&amp;"0000"&amp;"|"&amp;"1"&amp;RIGHT("00000"&amp;187,5))</f>
        <v/>
      </c>
      <c r="H192">
        <f>IF(OR($B192&lt;&gt;1,$G192=""),"",COUNTIFS(LdAParty,$A192,LdAType,1,LdAKey,"&lt;"&amp;$G192)+COUNTIFS(LdBMember,$A192,LdBKey,"&lt;"&amp;$G192)+COUNTIFS(LdCParty,$A192,LdCKey,"&lt;"&amp;$G192)+1)</f>
        <v/>
      </c>
      <c r="I192">
        <f>IF($H192="","",$A192&amp;"|"&amp;RIGHT("000000"&amp;$H192,6))</f>
        <v/>
      </c>
      <c r="J192">
        <f>IF(OR($B192&lt;&gt;2,$G192=""),"",COUNTIFS(LdAParty,$A192,LdAType,2,LdAKey,"&lt;"&amp;$G192)+1)</f>
        <v/>
      </c>
      <c r="K192">
        <f>IF($J192="","",$A192&amp;"|"&amp;RIGHT("000000"&amp;$J192,6))</f>
        <v/>
      </c>
      <c r="L192">
        <f>IF($A192="","",IF(Wages!$G195="",0,Wages!$G195))</f>
        <v/>
      </c>
      <c r="M192">
        <f>IF($A192="","",Wages!$J195)</f>
        <v/>
      </c>
      <c r="N192">
        <f>IF($A192="","",Wages!$D195)</f>
        <v/>
      </c>
      <c r="P192">
        <f>IF(OR(Shares!$B195="",Shares!$C195=""),"",Shares!$C195)</f>
        <v/>
      </c>
      <c r="Q192">
        <f>IF($P192="","",Shares!$B195)</f>
        <v/>
      </c>
      <c r="R192">
        <f>IF($P192="","",IFERROR(INDEX(WageParty,MATCH($Q192,WageIds,0)),""))</f>
        <v/>
      </c>
      <c r="S192">
        <f>IF($P192="","",IFERROR(INDEX($F$6:$F$2005,MATCH($Q192,WageIds,0)),""))</f>
        <v/>
      </c>
      <c r="T192">
        <f>IF(OR($P192="",$S192="",$S192="نامعتبر"),"",LEFT($S192,4)&amp;MID($S192,6,2)&amp;RIGHT($S192,2)&amp;"0000"&amp;"|"&amp;"2"&amp;RIGHT("00000"&amp;187,5))</f>
        <v/>
      </c>
      <c r="U192">
        <f>IF($T192="","",COUNTIFS(LdAParty,$P192,LdAType,1,LdAKey,"&lt;"&amp;$T192)+COUNTIFS(LdBMember,$P192,LdBKey,"&lt;"&amp;$T192)+COUNTIFS(LdCParty,$P192,LdCKey,"&lt;"&amp;$T192)+1)</f>
        <v/>
      </c>
      <c r="V192">
        <f>IF($U192="","",$P192&amp;"|"&amp;RIGHT("000000"&amp;$U192,6))</f>
        <v/>
      </c>
      <c r="W192">
        <f>IF($T192="","",COUNTIFS(LdBGroup,$R192,LdBKey,"&lt;"&amp;$T192)+1)</f>
        <v/>
      </c>
      <c r="X192">
        <f>IF($W192="","",$R192&amp;"|"&amp;RIGHT("000000"&amp;$W192,6))</f>
        <v/>
      </c>
      <c r="Y192">
        <f>IF($P192="","",IF(Shares!$E195="",0,Shares!$E195))</f>
        <v/>
      </c>
      <c r="Z192">
        <f>IF($P192="","",Shares!$H195)</f>
        <v/>
      </c>
      <c r="AE192">
        <f>IF(OR(Sync!$S192="",Sync!$P192=""),"",Sync!$S192)</f>
        <v/>
      </c>
      <c r="AF192">
        <f>IF($AE192="","",IF(ISNUMBER(Sync!$P192),IF(AND(Sync!$P192&gt;=10000101,Sync!$P192&lt;=99991231),INT(Sync!$P192/10000),""),IFERROR(VALUE(TRIM(LEFT(Sync!$P192,FIND("/",Sync!$P192)-1))),"")))</f>
        <v/>
      </c>
      <c r="AG192">
        <f>IF(OR($AE192="",$AF192=""),"",IF(ISNUMBER(Sync!$P192),INT(MOD(Sync!$P192,10000)/100),IFERROR(VALUE(TRIM(LEFT(MID(Sync!$P192,FIND("/",Sync!$P192)+1,20),FIND("/",MID(Sync!$P192,FIND("/",Sync!$P192)+1,20))-1))),"")))</f>
        <v/>
      </c>
      <c r="AH192">
        <f>IF(OR($AE192="",$AF192=""),"",IF(ISNUMBER(Sync!$P192),MOD(Sync!$P192,100),IFERROR(VALUE(TRIM(MID(MID(Sync!$P192,FIND("/",Sync!$P192)+1,20),FIND("/",MID(Sync!$P192,FIND("/",Sync!$P192)+1,20))+1,20))),"")))</f>
        <v/>
      </c>
      <c r="AI192">
        <f>IF($AE192="","",IF(OR($AF192="",$AG192="",$AH192="",$AF192&lt;1300,$AF192&gt;1500,$AG192&lt;1,$AG192&gt;12,$AH192&lt;1,$AH192&gt;31),"نامعتبر",RIGHT("0000"&amp;$AF192,4)&amp;"/"&amp;RIGHT("00"&amp;$AG192,2)&amp;"/"&amp;RIGHT("00"&amp;$AH192,2)))</f>
        <v/>
      </c>
      <c r="AJ192">
        <f>IF($AE192="","",IF(Sync!$Q192="","0000",IF(AND(ISNUMBER(Sync!$Q192),Sync!$Q192&gt;=0,Sync!$Q192&lt;1),RIGHT("00"&amp;HOUR(Sync!$Q192),2)&amp;RIGHT("00"&amp;MINUTE(Sync!$Q192),2),IFERROR(RIGHT("00"&amp;VALUE(LEFT(Sync!$Q192,FIND(":",Sync!$Q192)-1)),2)&amp;RIGHT("00"&amp;VALUE(MID(Sync!$Q192,FIND(":",Sync!$Q192)+1,2)),2),"0000"))))</f>
        <v/>
      </c>
      <c r="AK192">
        <f>IF(OR($AE192="",$AI192="",$AI192="نامعتبر"),"",LEFT($AI192,4)&amp;MID($AI192,6,2)&amp;RIGHT($AI192,2)&amp;$AJ192&amp;"|"&amp;"3"&amp;RIGHT("00000"&amp;187,5))</f>
        <v/>
      </c>
      <c r="AL192">
        <f>IF($AK192="","",COUNTIFS(LdAParty,$AE192,LdAType,1,LdAKey,"&lt;"&amp;$AK192)+COUNTIFS(LdBMember,$AE192,LdBKey,"&lt;"&amp;$AK192)+COUNTIFS(LdCParty,$AE192,LdCKey,"&lt;"&amp;$AK192)+1)</f>
        <v/>
      </c>
      <c r="AM192">
        <f>IF($AL192="","",$AE192&amp;"|"&amp;RIGHT("000000"&amp;$AL192,6))</f>
        <v/>
      </c>
      <c r="AN192">
        <f>IF($AE192="","",IF(Sync!$W192="",0,Sync!$W192))</f>
        <v/>
      </c>
      <c r="AO192">
        <f>IF($AE192="","",IF(Sync!$X192="",0,Sync!$X192))</f>
        <v/>
      </c>
      <c r="AP192">
        <f>IF($AE192="","",Sync!$R192)</f>
        <v/>
      </c>
      <c r="AQ192">
        <f>IF($AE192="","",Sync!$Y192)</f>
        <v/>
      </c>
    </row>
    <row r="193">
      <c r="A193">
        <f>IF(OR(Wages!$B196="",Wages!$E196=""),"",Wages!$E196)</f>
        <v/>
      </c>
      <c r="B193">
        <f>IF($A193="","",IF(Wages!$C196="دستمزد گروهی",2,1))</f>
        <v/>
      </c>
      <c r="C193">
        <f>IF($A193="","",IF(ISNUMBER(Wages!$B196),IF(AND(Wages!$B196&gt;=10000101,Wages!$B196&lt;=99991231),INT(Wages!$B196/10000),""),IFERROR(VALUE(TRIM(LEFT(Wages!$B196,FIND("/",Wages!$B196)-1))),"")))</f>
        <v/>
      </c>
      <c r="D193">
        <f>IF(OR($A193="",$C193=""),"",IF(ISNUMBER(Wages!$B196),INT(MOD(Wages!$B196,10000)/100),IFERROR(VALUE(TRIM(LEFT(MID(Wages!$B196,FIND("/",Wages!$B196)+1,20),FIND("/",MID(Wages!$B196,FIND("/",Wages!$B196)+1,20))-1))),"")))</f>
        <v/>
      </c>
      <c r="E193">
        <f>IF(OR($A193="",$C193=""),"",IF(ISNUMBER(Wages!$B196),MOD(Wages!$B196,100),IFERROR(VALUE(TRIM(MID(MID(Wages!$B196,FIND("/",Wages!$B196)+1,20),FIND("/",MID(Wages!$B196,FIND("/",Wages!$B196)+1,20))+1,20))),"")))</f>
        <v/>
      </c>
      <c r="F193">
        <f>IF($A193="","",IF(OR($C193="",$D193="",$E193="",$C193&lt;1300,$C193&gt;1500,$D193&lt;1,$D193&gt;12,$E193&lt;1,$E193&gt;31),"نامعتبر",RIGHT("0000"&amp;$C193,4)&amp;"/"&amp;RIGHT("00"&amp;$D193,2)&amp;"/"&amp;RIGHT("00"&amp;$E193,2)))</f>
        <v/>
      </c>
      <c r="G193">
        <f>IF(OR($A193="",$F193="",$F193="نامعتبر"),"",LEFT($F193,4)&amp;MID($F193,6,2)&amp;RIGHT($F193,2)&amp;"0000"&amp;"|"&amp;"1"&amp;RIGHT("00000"&amp;188,5))</f>
        <v/>
      </c>
      <c r="H193">
        <f>IF(OR($B193&lt;&gt;1,$G193=""),"",COUNTIFS(LdAParty,$A193,LdAType,1,LdAKey,"&lt;"&amp;$G193)+COUNTIFS(LdBMember,$A193,LdBKey,"&lt;"&amp;$G193)+COUNTIFS(LdCParty,$A193,LdCKey,"&lt;"&amp;$G193)+1)</f>
        <v/>
      </c>
      <c r="I193">
        <f>IF($H193="","",$A193&amp;"|"&amp;RIGHT("000000"&amp;$H193,6))</f>
        <v/>
      </c>
      <c r="J193">
        <f>IF(OR($B193&lt;&gt;2,$G193=""),"",COUNTIFS(LdAParty,$A193,LdAType,2,LdAKey,"&lt;"&amp;$G193)+1)</f>
        <v/>
      </c>
      <c r="K193">
        <f>IF($J193="","",$A193&amp;"|"&amp;RIGHT("000000"&amp;$J193,6))</f>
        <v/>
      </c>
      <c r="L193">
        <f>IF($A193="","",IF(Wages!$G196="",0,Wages!$G196))</f>
        <v/>
      </c>
      <c r="M193">
        <f>IF($A193="","",Wages!$J196)</f>
        <v/>
      </c>
      <c r="N193">
        <f>IF($A193="","",Wages!$D196)</f>
        <v/>
      </c>
      <c r="P193">
        <f>IF(OR(Shares!$B196="",Shares!$C196=""),"",Shares!$C196)</f>
        <v/>
      </c>
      <c r="Q193">
        <f>IF($P193="","",Shares!$B196)</f>
        <v/>
      </c>
      <c r="R193">
        <f>IF($P193="","",IFERROR(INDEX(WageParty,MATCH($Q193,WageIds,0)),""))</f>
        <v/>
      </c>
      <c r="S193">
        <f>IF($P193="","",IFERROR(INDEX($F$6:$F$2005,MATCH($Q193,WageIds,0)),""))</f>
        <v/>
      </c>
      <c r="T193">
        <f>IF(OR($P193="",$S193="",$S193="نامعتبر"),"",LEFT($S193,4)&amp;MID($S193,6,2)&amp;RIGHT($S193,2)&amp;"0000"&amp;"|"&amp;"2"&amp;RIGHT("00000"&amp;188,5))</f>
        <v/>
      </c>
      <c r="U193">
        <f>IF($T193="","",COUNTIFS(LdAParty,$P193,LdAType,1,LdAKey,"&lt;"&amp;$T193)+COUNTIFS(LdBMember,$P193,LdBKey,"&lt;"&amp;$T193)+COUNTIFS(LdCParty,$P193,LdCKey,"&lt;"&amp;$T193)+1)</f>
        <v/>
      </c>
      <c r="V193">
        <f>IF($U193="","",$P193&amp;"|"&amp;RIGHT("000000"&amp;$U193,6))</f>
        <v/>
      </c>
      <c r="W193">
        <f>IF($T193="","",COUNTIFS(LdBGroup,$R193,LdBKey,"&lt;"&amp;$T193)+1)</f>
        <v/>
      </c>
      <c r="X193">
        <f>IF($W193="","",$R193&amp;"|"&amp;RIGHT("000000"&amp;$W193,6))</f>
        <v/>
      </c>
      <c r="Y193">
        <f>IF($P193="","",IF(Shares!$E196="",0,Shares!$E196))</f>
        <v/>
      </c>
      <c r="Z193">
        <f>IF($P193="","",Shares!$H196)</f>
        <v/>
      </c>
      <c r="AE193">
        <f>IF(OR(Sync!$S193="",Sync!$P193=""),"",Sync!$S193)</f>
        <v/>
      </c>
      <c r="AF193">
        <f>IF($AE193="","",IF(ISNUMBER(Sync!$P193),IF(AND(Sync!$P193&gt;=10000101,Sync!$P193&lt;=99991231),INT(Sync!$P193/10000),""),IFERROR(VALUE(TRIM(LEFT(Sync!$P193,FIND("/",Sync!$P193)-1))),"")))</f>
        <v/>
      </c>
      <c r="AG193">
        <f>IF(OR($AE193="",$AF193=""),"",IF(ISNUMBER(Sync!$P193),INT(MOD(Sync!$P193,10000)/100),IFERROR(VALUE(TRIM(LEFT(MID(Sync!$P193,FIND("/",Sync!$P193)+1,20),FIND("/",MID(Sync!$P193,FIND("/",Sync!$P193)+1,20))-1))),"")))</f>
        <v/>
      </c>
      <c r="AH193">
        <f>IF(OR($AE193="",$AF193=""),"",IF(ISNUMBER(Sync!$P193),MOD(Sync!$P193,100),IFERROR(VALUE(TRIM(MID(MID(Sync!$P193,FIND("/",Sync!$P193)+1,20),FIND("/",MID(Sync!$P193,FIND("/",Sync!$P193)+1,20))+1,20))),"")))</f>
        <v/>
      </c>
      <c r="AI193">
        <f>IF($AE193="","",IF(OR($AF193="",$AG193="",$AH193="",$AF193&lt;1300,$AF193&gt;1500,$AG193&lt;1,$AG193&gt;12,$AH193&lt;1,$AH193&gt;31),"نامعتبر",RIGHT("0000"&amp;$AF193,4)&amp;"/"&amp;RIGHT("00"&amp;$AG193,2)&amp;"/"&amp;RIGHT("00"&amp;$AH193,2)))</f>
        <v/>
      </c>
      <c r="AJ193">
        <f>IF($AE193="","",IF(Sync!$Q193="","0000",IF(AND(ISNUMBER(Sync!$Q193),Sync!$Q193&gt;=0,Sync!$Q193&lt;1),RIGHT("00"&amp;HOUR(Sync!$Q193),2)&amp;RIGHT("00"&amp;MINUTE(Sync!$Q193),2),IFERROR(RIGHT("00"&amp;VALUE(LEFT(Sync!$Q193,FIND(":",Sync!$Q193)-1)),2)&amp;RIGHT("00"&amp;VALUE(MID(Sync!$Q193,FIND(":",Sync!$Q193)+1,2)),2),"0000"))))</f>
        <v/>
      </c>
      <c r="AK193">
        <f>IF(OR($AE193="",$AI193="",$AI193="نامعتبر"),"",LEFT($AI193,4)&amp;MID($AI193,6,2)&amp;RIGHT($AI193,2)&amp;$AJ193&amp;"|"&amp;"3"&amp;RIGHT("00000"&amp;188,5))</f>
        <v/>
      </c>
      <c r="AL193">
        <f>IF($AK193="","",COUNTIFS(LdAParty,$AE193,LdAType,1,LdAKey,"&lt;"&amp;$AK193)+COUNTIFS(LdBMember,$AE193,LdBKey,"&lt;"&amp;$AK193)+COUNTIFS(LdCParty,$AE193,LdCKey,"&lt;"&amp;$AK193)+1)</f>
        <v/>
      </c>
      <c r="AM193">
        <f>IF($AL193="","",$AE193&amp;"|"&amp;RIGHT("000000"&amp;$AL193,6))</f>
        <v/>
      </c>
      <c r="AN193">
        <f>IF($AE193="","",IF(Sync!$W193="",0,Sync!$W193))</f>
        <v/>
      </c>
      <c r="AO193">
        <f>IF($AE193="","",IF(Sync!$X193="",0,Sync!$X193))</f>
        <v/>
      </c>
      <c r="AP193">
        <f>IF($AE193="","",Sync!$R193)</f>
        <v/>
      </c>
      <c r="AQ193">
        <f>IF($AE193="","",Sync!$Y193)</f>
        <v/>
      </c>
    </row>
    <row r="194">
      <c r="A194">
        <f>IF(OR(Wages!$B197="",Wages!$E197=""),"",Wages!$E197)</f>
        <v/>
      </c>
      <c r="B194">
        <f>IF($A194="","",IF(Wages!$C197="دستمزد گروهی",2,1))</f>
        <v/>
      </c>
      <c r="C194">
        <f>IF($A194="","",IF(ISNUMBER(Wages!$B197),IF(AND(Wages!$B197&gt;=10000101,Wages!$B197&lt;=99991231),INT(Wages!$B197/10000),""),IFERROR(VALUE(TRIM(LEFT(Wages!$B197,FIND("/",Wages!$B197)-1))),"")))</f>
        <v/>
      </c>
      <c r="D194">
        <f>IF(OR($A194="",$C194=""),"",IF(ISNUMBER(Wages!$B197),INT(MOD(Wages!$B197,10000)/100),IFERROR(VALUE(TRIM(LEFT(MID(Wages!$B197,FIND("/",Wages!$B197)+1,20),FIND("/",MID(Wages!$B197,FIND("/",Wages!$B197)+1,20))-1))),"")))</f>
        <v/>
      </c>
      <c r="E194">
        <f>IF(OR($A194="",$C194=""),"",IF(ISNUMBER(Wages!$B197),MOD(Wages!$B197,100),IFERROR(VALUE(TRIM(MID(MID(Wages!$B197,FIND("/",Wages!$B197)+1,20),FIND("/",MID(Wages!$B197,FIND("/",Wages!$B197)+1,20))+1,20))),"")))</f>
        <v/>
      </c>
      <c r="F194">
        <f>IF($A194="","",IF(OR($C194="",$D194="",$E194="",$C194&lt;1300,$C194&gt;1500,$D194&lt;1,$D194&gt;12,$E194&lt;1,$E194&gt;31),"نامعتبر",RIGHT("0000"&amp;$C194,4)&amp;"/"&amp;RIGHT("00"&amp;$D194,2)&amp;"/"&amp;RIGHT("00"&amp;$E194,2)))</f>
        <v/>
      </c>
      <c r="G194">
        <f>IF(OR($A194="",$F194="",$F194="نامعتبر"),"",LEFT($F194,4)&amp;MID($F194,6,2)&amp;RIGHT($F194,2)&amp;"0000"&amp;"|"&amp;"1"&amp;RIGHT("00000"&amp;189,5))</f>
        <v/>
      </c>
      <c r="H194">
        <f>IF(OR($B194&lt;&gt;1,$G194=""),"",COUNTIFS(LdAParty,$A194,LdAType,1,LdAKey,"&lt;"&amp;$G194)+COUNTIFS(LdBMember,$A194,LdBKey,"&lt;"&amp;$G194)+COUNTIFS(LdCParty,$A194,LdCKey,"&lt;"&amp;$G194)+1)</f>
        <v/>
      </c>
      <c r="I194">
        <f>IF($H194="","",$A194&amp;"|"&amp;RIGHT("000000"&amp;$H194,6))</f>
        <v/>
      </c>
      <c r="J194">
        <f>IF(OR($B194&lt;&gt;2,$G194=""),"",COUNTIFS(LdAParty,$A194,LdAType,2,LdAKey,"&lt;"&amp;$G194)+1)</f>
        <v/>
      </c>
      <c r="K194">
        <f>IF($J194="","",$A194&amp;"|"&amp;RIGHT("000000"&amp;$J194,6))</f>
        <v/>
      </c>
      <c r="L194">
        <f>IF($A194="","",IF(Wages!$G197="",0,Wages!$G197))</f>
        <v/>
      </c>
      <c r="M194">
        <f>IF($A194="","",Wages!$J197)</f>
        <v/>
      </c>
      <c r="N194">
        <f>IF($A194="","",Wages!$D197)</f>
        <v/>
      </c>
      <c r="P194">
        <f>IF(OR(Shares!$B197="",Shares!$C197=""),"",Shares!$C197)</f>
        <v/>
      </c>
      <c r="Q194">
        <f>IF($P194="","",Shares!$B197)</f>
        <v/>
      </c>
      <c r="R194">
        <f>IF($P194="","",IFERROR(INDEX(WageParty,MATCH($Q194,WageIds,0)),""))</f>
        <v/>
      </c>
      <c r="S194">
        <f>IF($P194="","",IFERROR(INDEX($F$6:$F$2005,MATCH($Q194,WageIds,0)),""))</f>
        <v/>
      </c>
      <c r="T194">
        <f>IF(OR($P194="",$S194="",$S194="نامعتبر"),"",LEFT($S194,4)&amp;MID($S194,6,2)&amp;RIGHT($S194,2)&amp;"0000"&amp;"|"&amp;"2"&amp;RIGHT("00000"&amp;189,5))</f>
        <v/>
      </c>
      <c r="U194">
        <f>IF($T194="","",COUNTIFS(LdAParty,$P194,LdAType,1,LdAKey,"&lt;"&amp;$T194)+COUNTIFS(LdBMember,$P194,LdBKey,"&lt;"&amp;$T194)+COUNTIFS(LdCParty,$P194,LdCKey,"&lt;"&amp;$T194)+1)</f>
        <v/>
      </c>
      <c r="V194">
        <f>IF($U194="","",$P194&amp;"|"&amp;RIGHT("000000"&amp;$U194,6))</f>
        <v/>
      </c>
      <c r="W194">
        <f>IF($T194="","",COUNTIFS(LdBGroup,$R194,LdBKey,"&lt;"&amp;$T194)+1)</f>
        <v/>
      </c>
      <c r="X194">
        <f>IF($W194="","",$R194&amp;"|"&amp;RIGHT("000000"&amp;$W194,6))</f>
        <v/>
      </c>
      <c r="Y194">
        <f>IF($P194="","",IF(Shares!$E197="",0,Shares!$E197))</f>
        <v/>
      </c>
      <c r="Z194">
        <f>IF($P194="","",Shares!$H197)</f>
        <v/>
      </c>
      <c r="AE194">
        <f>IF(OR(Sync!$S194="",Sync!$P194=""),"",Sync!$S194)</f>
        <v/>
      </c>
      <c r="AF194">
        <f>IF($AE194="","",IF(ISNUMBER(Sync!$P194),IF(AND(Sync!$P194&gt;=10000101,Sync!$P194&lt;=99991231),INT(Sync!$P194/10000),""),IFERROR(VALUE(TRIM(LEFT(Sync!$P194,FIND("/",Sync!$P194)-1))),"")))</f>
        <v/>
      </c>
      <c r="AG194">
        <f>IF(OR($AE194="",$AF194=""),"",IF(ISNUMBER(Sync!$P194),INT(MOD(Sync!$P194,10000)/100),IFERROR(VALUE(TRIM(LEFT(MID(Sync!$P194,FIND("/",Sync!$P194)+1,20),FIND("/",MID(Sync!$P194,FIND("/",Sync!$P194)+1,20))-1))),"")))</f>
        <v/>
      </c>
      <c r="AH194">
        <f>IF(OR($AE194="",$AF194=""),"",IF(ISNUMBER(Sync!$P194),MOD(Sync!$P194,100),IFERROR(VALUE(TRIM(MID(MID(Sync!$P194,FIND("/",Sync!$P194)+1,20),FIND("/",MID(Sync!$P194,FIND("/",Sync!$P194)+1,20))+1,20))),"")))</f>
        <v/>
      </c>
      <c r="AI194">
        <f>IF($AE194="","",IF(OR($AF194="",$AG194="",$AH194="",$AF194&lt;1300,$AF194&gt;1500,$AG194&lt;1,$AG194&gt;12,$AH194&lt;1,$AH194&gt;31),"نامعتبر",RIGHT("0000"&amp;$AF194,4)&amp;"/"&amp;RIGHT("00"&amp;$AG194,2)&amp;"/"&amp;RIGHT("00"&amp;$AH194,2)))</f>
        <v/>
      </c>
      <c r="AJ194">
        <f>IF($AE194="","",IF(Sync!$Q194="","0000",IF(AND(ISNUMBER(Sync!$Q194),Sync!$Q194&gt;=0,Sync!$Q194&lt;1),RIGHT("00"&amp;HOUR(Sync!$Q194),2)&amp;RIGHT("00"&amp;MINUTE(Sync!$Q194),2),IFERROR(RIGHT("00"&amp;VALUE(LEFT(Sync!$Q194,FIND(":",Sync!$Q194)-1)),2)&amp;RIGHT("00"&amp;VALUE(MID(Sync!$Q194,FIND(":",Sync!$Q194)+1,2)),2),"0000"))))</f>
        <v/>
      </c>
      <c r="AK194">
        <f>IF(OR($AE194="",$AI194="",$AI194="نامعتبر"),"",LEFT($AI194,4)&amp;MID($AI194,6,2)&amp;RIGHT($AI194,2)&amp;$AJ194&amp;"|"&amp;"3"&amp;RIGHT("00000"&amp;189,5))</f>
        <v/>
      </c>
      <c r="AL194">
        <f>IF($AK194="","",COUNTIFS(LdAParty,$AE194,LdAType,1,LdAKey,"&lt;"&amp;$AK194)+COUNTIFS(LdBMember,$AE194,LdBKey,"&lt;"&amp;$AK194)+COUNTIFS(LdCParty,$AE194,LdCKey,"&lt;"&amp;$AK194)+1)</f>
        <v/>
      </c>
      <c r="AM194">
        <f>IF($AL194="","",$AE194&amp;"|"&amp;RIGHT("000000"&amp;$AL194,6))</f>
        <v/>
      </c>
      <c r="AN194">
        <f>IF($AE194="","",IF(Sync!$W194="",0,Sync!$W194))</f>
        <v/>
      </c>
      <c r="AO194">
        <f>IF($AE194="","",IF(Sync!$X194="",0,Sync!$X194))</f>
        <v/>
      </c>
      <c r="AP194">
        <f>IF($AE194="","",Sync!$R194)</f>
        <v/>
      </c>
      <c r="AQ194">
        <f>IF($AE194="","",Sync!$Y194)</f>
        <v/>
      </c>
    </row>
    <row r="195">
      <c r="A195">
        <f>IF(OR(Wages!$B198="",Wages!$E198=""),"",Wages!$E198)</f>
        <v/>
      </c>
      <c r="B195">
        <f>IF($A195="","",IF(Wages!$C198="دستمزد گروهی",2,1))</f>
        <v/>
      </c>
      <c r="C195">
        <f>IF($A195="","",IF(ISNUMBER(Wages!$B198),IF(AND(Wages!$B198&gt;=10000101,Wages!$B198&lt;=99991231),INT(Wages!$B198/10000),""),IFERROR(VALUE(TRIM(LEFT(Wages!$B198,FIND("/",Wages!$B198)-1))),"")))</f>
        <v/>
      </c>
      <c r="D195">
        <f>IF(OR($A195="",$C195=""),"",IF(ISNUMBER(Wages!$B198),INT(MOD(Wages!$B198,10000)/100),IFERROR(VALUE(TRIM(LEFT(MID(Wages!$B198,FIND("/",Wages!$B198)+1,20),FIND("/",MID(Wages!$B198,FIND("/",Wages!$B198)+1,20))-1))),"")))</f>
        <v/>
      </c>
      <c r="E195">
        <f>IF(OR($A195="",$C195=""),"",IF(ISNUMBER(Wages!$B198),MOD(Wages!$B198,100),IFERROR(VALUE(TRIM(MID(MID(Wages!$B198,FIND("/",Wages!$B198)+1,20),FIND("/",MID(Wages!$B198,FIND("/",Wages!$B198)+1,20))+1,20))),"")))</f>
        <v/>
      </c>
      <c r="F195">
        <f>IF($A195="","",IF(OR($C195="",$D195="",$E195="",$C195&lt;1300,$C195&gt;1500,$D195&lt;1,$D195&gt;12,$E195&lt;1,$E195&gt;31),"نامعتبر",RIGHT("0000"&amp;$C195,4)&amp;"/"&amp;RIGHT("00"&amp;$D195,2)&amp;"/"&amp;RIGHT("00"&amp;$E195,2)))</f>
        <v/>
      </c>
      <c r="G195">
        <f>IF(OR($A195="",$F195="",$F195="نامعتبر"),"",LEFT($F195,4)&amp;MID($F195,6,2)&amp;RIGHT($F195,2)&amp;"0000"&amp;"|"&amp;"1"&amp;RIGHT("00000"&amp;190,5))</f>
        <v/>
      </c>
      <c r="H195">
        <f>IF(OR($B195&lt;&gt;1,$G195=""),"",COUNTIFS(LdAParty,$A195,LdAType,1,LdAKey,"&lt;"&amp;$G195)+COUNTIFS(LdBMember,$A195,LdBKey,"&lt;"&amp;$G195)+COUNTIFS(LdCParty,$A195,LdCKey,"&lt;"&amp;$G195)+1)</f>
        <v/>
      </c>
      <c r="I195">
        <f>IF($H195="","",$A195&amp;"|"&amp;RIGHT("000000"&amp;$H195,6))</f>
        <v/>
      </c>
      <c r="J195">
        <f>IF(OR($B195&lt;&gt;2,$G195=""),"",COUNTIFS(LdAParty,$A195,LdAType,2,LdAKey,"&lt;"&amp;$G195)+1)</f>
        <v/>
      </c>
      <c r="K195">
        <f>IF($J195="","",$A195&amp;"|"&amp;RIGHT("000000"&amp;$J195,6))</f>
        <v/>
      </c>
      <c r="L195">
        <f>IF($A195="","",IF(Wages!$G198="",0,Wages!$G198))</f>
        <v/>
      </c>
      <c r="M195">
        <f>IF($A195="","",Wages!$J198)</f>
        <v/>
      </c>
      <c r="N195">
        <f>IF($A195="","",Wages!$D198)</f>
        <v/>
      </c>
      <c r="P195">
        <f>IF(OR(Shares!$B198="",Shares!$C198=""),"",Shares!$C198)</f>
        <v/>
      </c>
      <c r="Q195">
        <f>IF($P195="","",Shares!$B198)</f>
        <v/>
      </c>
      <c r="R195">
        <f>IF($P195="","",IFERROR(INDEX(WageParty,MATCH($Q195,WageIds,0)),""))</f>
        <v/>
      </c>
      <c r="S195">
        <f>IF($P195="","",IFERROR(INDEX($F$6:$F$2005,MATCH($Q195,WageIds,0)),""))</f>
        <v/>
      </c>
      <c r="T195">
        <f>IF(OR($P195="",$S195="",$S195="نامعتبر"),"",LEFT($S195,4)&amp;MID($S195,6,2)&amp;RIGHT($S195,2)&amp;"0000"&amp;"|"&amp;"2"&amp;RIGHT("00000"&amp;190,5))</f>
        <v/>
      </c>
      <c r="U195">
        <f>IF($T195="","",COUNTIFS(LdAParty,$P195,LdAType,1,LdAKey,"&lt;"&amp;$T195)+COUNTIFS(LdBMember,$P195,LdBKey,"&lt;"&amp;$T195)+COUNTIFS(LdCParty,$P195,LdCKey,"&lt;"&amp;$T195)+1)</f>
        <v/>
      </c>
      <c r="V195">
        <f>IF($U195="","",$P195&amp;"|"&amp;RIGHT("000000"&amp;$U195,6))</f>
        <v/>
      </c>
      <c r="W195">
        <f>IF($T195="","",COUNTIFS(LdBGroup,$R195,LdBKey,"&lt;"&amp;$T195)+1)</f>
        <v/>
      </c>
      <c r="X195">
        <f>IF($W195="","",$R195&amp;"|"&amp;RIGHT("000000"&amp;$W195,6))</f>
        <v/>
      </c>
      <c r="Y195">
        <f>IF($P195="","",IF(Shares!$E198="",0,Shares!$E198))</f>
        <v/>
      </c>
      <c r="Z195">
        <f>IF($P195="","",Shares!$H198)</f>
        <v/>
      </c>
      <c r="AE195">
        <f>IF(OR(Sync!$S195="",Sync!$P195=""),"",Sync!$S195)</f>
        <v/>
      </c>
      <c r="AF195">
        <f>IF($AE195="","",IF(ISNUMBER(Sync!$P195),IF(AND(Sync!$P195&gt;=10000101,Sync!$P195&lt;=99991231),INT(Sync!$P195/10000),""),IFERROR(VALUE(TRIM(LEFT(Sync!$P195,FIND("/",Sync!$P195)-1))),"")))</f>
        <v/>
      </c>
      <c r="AG195">
        <f>IF(OR($AE195="",$AF195=""),"",IF(ISNUMBER(Sync!$P195),INT(MOD(Sync!$P195,10000)/100),IFERROR(VALUE(TRIM(LEFT(MID(Sync!$P195,FIND("/",Sync!$P195)+1,20),FIND("/",MID(Sync!$P195,FIND("/",Sync!$P195)+1,20))-1))),"")))</f>
        <v/>
      </c>
      <c r="AH195">
        <f>IF(OR($AE195="",$AF195=""),"",IF(ISNUMBER(Sync!$P195),MOD(Sync!$P195,100),IFERROR(VALUE(TRIM(MID(MID(Sync!$P195,FIND("/",Sync!$P195)+1,20),FIND("/",MID(Sync!$P195,FIND("/",Sync!$P195)+1,20))+1,20))),"")))</f>
        <v/>
      </c>
      <c r="AI195">
        <f>IF($AE195="","",IF(OR($AF195="",$AG195="",$AH195="",$AF195&lt;1300,$AF195&gt;1500,$AG195&lt;1,$AG195&gt;12,$AH195&lt;1,$AH195&gt;31),"نامعتبر",RIGHT("0000"&amp;$AF195,4)&amp;"/"&amp;RIGHT("00"&amp;$AG195,2)&amp;"/"&amp;RIGHT("00"&amp;$AH195,2)))</f>
        <v/>
      </c>
      <c r="AJ195">
        <f>IF($AE195="","",IF(Sync!$Q195="","0000",IF(AND(ISNUMBER(Sync!$Q195),Sync!$Q195&gt;=0,Sync!$Q195&lt;1),RIGHT("00"&amp;HOUR(Sync!$Q195),2)&amp;RIGHT("00"&amp;MINUTE(Sync!$Q195),2),IFERROR(RIGHT("00"&amp;VALUE(LEFT(Sync!$Q195,FIND(":",Sync!$Q195)-1)),2)&amp;RIGHT("00"&amp;VALUE(MID(Sync!$Q195,FIND(":",Sync!$Q195)+1,2)),2),"0000"))))</f>
        <v/>
      </c>
      <c r="AK195">
        <f>IF(OR($AE195="",$AI195="",$AI195="نامعتبر"),"",LEFT($AI195,4)&amp;MID($AI195,6,2)&amp;RIGHT($AI195,2)&amp;$AJ195&amp;"|"&amp;"3"&amp;RIGHT("00000"&amp;190,5))</f>
        <v/>
      </c>
      <c r="AL195">
        <f>IF($AK195="","",COUNTIFS(LdAParty,$AE195,LdAType,1,LdAKey,"&lt;"&amp;$AK195)+COUNTIFS(LdBMember,$AE195,LdBKey,"&lt;"&amp;$AK195)+COUNTIFS(LdCParty,$AE195,LdCKey,"&lt;"&amp;$AK195)+1)</f>
        <v/>
      </c>
      <c r="AM195">
        <f>IF($AL195="","",$AE195&amp;"|"&amp;RIGHT("000000"&amp;$AL195,6))</f>
        <v/>
      </c>
      <c r="AN195">
        <f>IF($AE195="","",IF(Sync!$W195="",0,Sync!$W195))</f>
        <v/>
      </c>
      <c r="AO195">
        <f>IF($AE195="","",IF(Sync!$X195="",0,Sync!$X195))</f>
        <v/>
      </c>
      <c r="AP195">
        <f>IF($AE195="","",Sync!$R195)</f>
        <v/>
      </c>
      <c r="AQ195">
        <f>IF($AE195="","",Sync!$Y195)</f>
        <v/>
      </c>
    </row>
    <row r="196">
      <c r="A196">
        <f>IF(OR(Wages!$B199="",Wages!$E199=""),"",Wages!$E199)</f>
        <v/>
      </c>
      <c r="B196">
        <f>IF($A196="","",IF(Wages!$C199="دستمزد گروهی",2,1))</f>
        <v/>
      </c>
      <c r="C196">
        <f>IF($A196="","",IF(ISNUMBER(Wages!$B199),IF(AND(Wages!$B199&gt;=10000101,Wages!$B199&lt;=99991231),INT(Wages!$B199/10000),""),IFERROR(VALUE(TRIM(LEFT(Wages!$B199,FIND("/",Wages!$B199)-1))),"")))</f>
        <v/>
      </c>
      <c r="D196">
        <f>IF(OR($A196="",$C196=""),"",IF(ISNUMBER(Wages!$B199),INT(MOD(Wages!$B199,10000)/100),IFERROR(VALUE(TRIM(LEFT(MID(Wages!$B199,FIND("/",Wages!$B199)+1,20),FIND("/",MID(Wages!$B199,FIND("/",Wages!$B199)+1,20))-1))),"")))</f>
        <v/>
      </c>
      <c r="E196">
        <f>IF(OR($A196="",$C196=""),"",IF(ISNUMBER(Wages!$B199),MOD(Wages!$B199,100),IFERROR(VALUE(TRIM(MID(MID(Wages!$B199,FIND("/",Wages!$B199)+1,20),FIND("/",MID(Wages!$B199,FIND("/",Wages!$B199)+1,20))+1,20))),"")))</f>
        <v/>
      </c>
      <c r="F196">
        <f>IF($A196="","",IF(OR($C196="",$D196="",$E196="",$C196&lt;1300,$C196&gt;1500,$D196&lt;1,$D196&gt;12,$E196&lt;1,$E196&gt;31),"نامعتبر",RIGHT("0000"&amp;$C196,4)&amp;"/"&amp;RIGHT("00"&amp;$D196,2)&amp;"/"&amp;RIGHT("00"&amp;$E196,2)))</f>
        <v/>
      </c>
      <c r="G196">
        <f>IF(OR($A196="",$F196="",$F196="نامعتبر"),"",LEFT($F196,4)&amp;MID($F196,6,2)&amp;RIGHT($F196,2)&amp;"0000"&amp;"|"&amp;"1"&amp;RIGHT("00000"&amp;191,5))</f>
        <v/>
      </c>
      <c r="H196">
        <f>IF(OR($B196&lt;&gt;1,$G196=""),"",COUNTIFS(LdAParty,$A196,LdAType,1,LdAKey,"&lt;"&amp;$G196)+COUNTIFS(LdBMember,$A196,LdBKey,"&lt;"&amp;$G196)+COUNTIFS(LdCParty,$A196,LdCKey,"&lt;"&amp;$G196)+1)</f>
        <v/>
      </c>
      <c r="I196">
        <f>IF($H196="","",$A196&amp;"|"&amp;RIGHT("000000"&amp;$H196,6))</f>
        <v/>
      </c>
      <c r="J196">
        <f>IF(OR($B196&lt;&gt;2,$G196=""),"",COUNTIFS(LdAParty,$A196,LdAType,2,LdAKey,"&lt;"&amp;$G196)+1)</f>
        <v/>
      </c>
      <c r="K196">
        <f>IF($J196="","",$A196&amp;"|"&amp;RIGHT("000000"&amp;$J196,6))</f>
        <v/>
      </c>
      <c r="L196">
        <f>IF($A196="","",IF(Wages!$G199="",0,Wages!$G199))</f>
        <v/>
      </c>
      <c r="M196">
        <f>IF($A196="","",Wages!$J199)</f>
        <v/>
      </c>
      <c r="N196">
        <f>IF($A196="","",Wages!$D199)</f>
        <v/>
      </c>
      <c r="P196">
        <f>IF(OR(Shares!$B199="",Shares!$C199=""),"",Shares!$C199)</f>
        <v/>
      </c>
      <c r="Q196">
        <f>IF($P196="","",Shares!$B199)</f>
        <v/>
      </c>
      <c r="R196">
        <f>IF($P196="","",IFERROR(INDEX(WageParty,MATCH($Q196,WageIds,0)),""))</f>
        <v/>
      </c>
      <c r="S196">
        <f>IF($P196="","",IFERROR(INDEX($F$6:$F$2005,MATCH($Q196,WageIds,0)),""))</f>
        <v/>
      </c>
      <c r="T196">
        <f>IF(OR($P196="",$S196="",$S196="نامعتبر"),"",LEFT($S196,4)&amp;MID($S196,6,2)&amp;RIGHT($S196,2)&amp;"0000"&amp;"|"&amp;"2"&amp;RIGHT("00000"&amp;191,5))</f>
        <v/>
      </c>
      <c r="U196">
        <f>IF($T196="","",COUNTIFS(LdAParty,$P196,LdAType,1,LdAKey,"&lt;"&amp;$T196)+COUNTIFS(LdBMember,$P196,LdBKey,"&lt;"&amp;$T196)+COUNTIFS(LdCParty,$P196,LdCKey,"&lt;"&amp;$T196)+1)</f>
        <v/>
      </c>
      <c r="V196">
        <f>IF($U196="","",$P196&amp;"|"&amp;RIGHT("000000"&amp;$U196,6))</f>
        <v/>
      </c>
      <c r="W196">
        <f>IF($T196="","",COUNTIFS(LdBGroup,$R196,LdBKey,"&lt;"&amp;$T196)+1)</f>
        <v/>
      </c>
      <c r="X196">
        <f>IF($W196="","",$R196&amp;"|"&amp;RIGHT("000000"&amp;$W196,6))</f>
        <v/>
      </c>
      <c r="Y196">
        <f>IF($P196="","",IF(Shares!$E199="",0,Shares!$E199))</f>
        <v/>
      </c>
      <c r="Z196">
        <f>IF($P196="","",Shares!$H199)</f>
        <v/>
      </c>
      <c r="AE196">
        <f>IF(OR(Sync!$S196="",Sync!$P196=""),"",Sync!$S196)</f>
        <v/>
      </c>
      <c r="AF196">
        <f>IF($AE196="","",IF(ISNUMBER(Sync!$P196),IF(AND(Sync!$P196&gt;=10000101,Sync!$P196&lt;=99991231),INT(Sync!$P196/10000),""),IFERROR(VALUE(TRIM(LEFT(Sync!$P196,FIND("/",Sync!$P196)-1))),"")))</f>
        <v/>
      </c>
      <c r="AG196">
        <f>IF(OR($AE196="",$AF196=""),"",IF(ISNUMBER(Sync!$P196),INT(MOD(Sync!$P196,10000)/100),IFERROR(VALUE(TRIM(LEFT(MID(Sync!$P196,FIND("/",Sync!$P196)+1,20),FIND("/",MID(Sync!$P196,FIND("/",Sync!$P196)+1,20))-1))),"")))</f>
        <v/>
      </c>
      <c r="AH196">
        <f>IF(OR($AE196="",$AF196=""),"",IF(ISNUMBER(Sync!$P196),MOD(Sync!$P196,100),IFERROR(VALUE(TRIM(MID(MID(Sync!$P196,FIND("/",Sync!$P196)+1,20),FIND("/",MID(Sync!$P196,FIND("/",Sync!$P196)+1,20))+1,20))),"")))</f>
        <v/>
      </c>
      <c r="AI196">
        <f>IF($AE196="","",IF(OR($AF196="",$AG196="",$AH196="",$AF196&lt;1300,$AF196&gt;1500,$AG196&lt;1,$AG196&gt;12,$AH196&lt;1,$AH196&gt;31),"نامعتبر",RIGHT("0000"&amp;$AF196,4)&amp;"/"&amp;RIGHT("00"&amp;$AG196,2)&amp;"/"&amp;RIGHT("00"&amp;$AH196,2)))</f>
        <v/>
      </c>
      <c r="AJ196">
        <f>IF($AE196="","",IF(Sync!$Q196="","0000",IF(AND(ISNUMBER(Sync!$Q196),Sync!$Q196&gt;=0,Sync!$Q196&lt;1),RIGHT("00"&amp;HOUR(Sync!$Q196),2)&amp;RIGHT("00"&amp;MINUTE(Sync!$Q196),2),IFERROR(RIGHT("00"&amp;VALUE(LEFT(Sync!$Q196,FIND(":",Sync!$Q196)-1)),2)&amp;RIGHT("00"&amp;VALUE(MID(Sync!$Q196,FIND(":",Sync!$Q196)+1,2)),2),"0000"))))</f>
        <v/>
      </c>
      <c r="AK196">
        <f>IF(OR($AE196="",$AI196="",$AI196="نامعتبر"),"",LEFT($AI196,4)&amp;MID($AI196,6,2)&amp;RIGHT($AI196,2)&amp;$AJ196&amp;"|"&amp;"3"&amp;RIGHT("00000"&amp;191,5))</f>
        <v/>
      </c>
      <c r="AL196">
        <f>IF($AK196="","",COUNTIFS(LdAParty,$AE196,LdAType,1,LdAKey,"&lt;"&amp;$AK196)+COUNTIFS(LdBMember,$AE196,LdBKey,"&lt;"&amp;$AK196)+COUNTIFS(LdCParty,$AE196,LdCKey,"&lt;"&amp;$AK196)+1)</f>
        <v/>
      </c>
      <c r="AM196">
        <f>IF($AL196="","",$AE196&amp;"|"&amp;RIGHT("000000"&amp;$AL196,6))</f>
        <v/>
      </c>
      <c r="AN196">
        <f>IF($AE196="","",IF(Sync!$W196="",0,Sync!$W196))</f>
        <v/>
      </c>
      <c r="AO196">
        <f>IF($AE196="","",IF(Sync!$X196="",0,Sync!$X196))</f>
        <v/>
      </c>
      <c r="AP196">
        <f>IF($AE196="","",Sync!$R196)</f>
        <v/>
      </c>
      <c r="AQ196">
        <f>IF($AE196="","",Sync!$Y196)</f>
        <v/>
      </c>
    </row>
    <row r="197">
      <c r="A197">
        <f>IF(OR(Wages!$B200="",Wages!$E200=""),"",Wages!$E200)</f>
        <v/>
      </c>
      <c r="B197">
        <f>IF($A197="","",IF(Wages!$C200="دستمزد گروهی",2,1))</f>
        <v/>
      </c>
      <c r="C197">
        <f>IF($A197="","",IF(ISNUMBER(Wages!$B200),IF(AND(Wages!$B200&gt;=10000101,Wages!$B200&lt;=99991231),INT(Wages!$B200/10000),""),IFERROR(VALUE(TRIM(LEFT(Wages!$B200,FIND("/",Wages!$B200)-1))),"")))</f>
        <v/>
      </c>
      <c r="D197">
        <f>IF(OR($A197="",$C197=""),"",IF(ISNUMBER(Wages!$B200),INT(MOD(Wages!$B200,10000)/100),IFERROR(VALUE(TRIM(LEFT(MID(Wages!$B200,FIND("/",Wages!$B200)+1,20),FIND("/",MID(Wages!$B200,FIND("/",Wages!$B200)+1,20))-1))),"")))</f>
        <v/>
      </c>
      <c r="E197">
        <f>IF(OR($A197="",$C197=""),"",IF(ISNUMBER(Wages!$B200),MOD(Wages!$B200,100),IFERROR(VALUE(TRIM(MID(MID(Wages!$B200,FIND("/",Wages!$B200)+1,20),FIND("/",MID(Wages!$B200,FIND("/",Wages!$B200)+1,20))+1,20))),"")))</f>
        <v/>
      </c>
      <c r="F197">
        <f>IF($A197="","",IF(OR($C197="",$D197="",$E197="",$C197&lt;1300,$C197&gt;1500,$D197&lt;1,$D197&gt;12,$E197&lt;1,$E197&gt;31),"نامعتبر",RIGHT("0000"&amp;$C197,4)&amp;"/"&amp;RIGHT("00"&amp;$D197,2)&amp;"/"&amp;RIGHT("00"&amp;$E197,2)))</f>
        <v/>
      </c>
      <c r="G197">
        <f>IF(OR($A197="",$F197="",$F197="نامعتبر"),"",LEFT($F197,4)&amp;MID($F197,6,2)&amp;RIGHT($F197,2)&amp;"0000"&amp;"|"&amp;"1"&amp;RIGHT("00000"&amp;192,5))</f>
        <v/>
      </c>
      <c r="H197">
        <f>IF(OR($B197&lt;&gt;1,$G197=""),"",COUNTIFS(LdAParty,$A197,LdAType,1,LdAKey,"&lt;"&amp;$G197)+COUNTIFS(LdBMember,$A197,LdBKey,"&lt;"&amp;$G197)+COUNTIFS(LdCParty,$A197,LdCKey,"&lt;"&amp;$G197)+1)</f>
        <v/>
      </c>
      <c r="I197">
        <f>IF($H197="","",$A197&amp;"|"&amp;RIGHT("000000"&amp;$H197,6))</f>
        <v/>
      </c>
      <c r="J197">
        <f>IF(OR($B197&lt;&gt;2,$G197=""),"",COUNTIFS(LdAParty,$A197,LdAType,2,LdAKey,"&lt;"&amp;$G197)+1)</f>
        <v/>
      </c>
      <c r="K197">
        <f>IF($J197="","",$A197&amp;"|"&amp;RIGHT("000000"&amp;$J197,6))</f>
        <v/>
      </c>
      <c r="L197">
        <f>IF($A197="","",IF(Wages!$G200="",0,Wages!$G200))</f>
        <v/>
      </c>
      <c r="M197">
        <f>IF($A197="","",Wages!$J200)</f>
        <v/>
      </c>
      <c r="N197">
        <f>IF($A197="","",Wages!$D200)</f>
        <v/>
      </c>
      <c r="P197">
        <f>IF(OR(Shares!$B200="",Shares!$C200=""),"",Shares!$C200)</f>
        <v/>
      </c>
      <c r="Q197">
        <f>IF($P197="","",Shares!$B200)</f>
        <v/>
      </c>
      <c r="R197">
        <f>IF($P197="","",IFERROR(INDEX(WageParty,MATCH($Q197,WageIds,0)),""))</f>
        <v/>
      </c>
      <c r="S197">
        <f>IF($P197="","",IFERROR(INDEX($F$6:$F$2005,MATCH($Q197,WageIds,0)),""))</f>
        <v/>
      </c>
      <c r="T197">
        <f>IF(OR($P197="",$S197="",$S197="نامعتبر"),"",LEFT($S197,4)&amp;MID($S197,6,2)&amp;RIGHT($S197,2)&amp;"0000"&amp;"|"&amp;"2"&amp;RIGHT("00000"&amp;192,5))</f>
        <v/>
      </c>
      <c r="U197">
        <f>IF($T197="","",COUNTIFS(LdAParty,$P197,LdAType,1,LdAKey,"&lt;"&amp;$T197)+COUNTIFS(LdBMember,$P197,LdBKey,"&lt;"&amp;$T197)+COUNTIFS(LdCParty,$P197,LdCKey,"&lt;"&amp;$T197)+1)</f>
        <v/>
      </c>
      <c r="V197">
        <f>IF($U197="","",$P197&amp;"|"&amp;RIGHT("000000"&amp;$U197,6))</f>
        <v/>
      </c>
      <c r="W197">
        <f>IF($T197="","",COUNTIFS(LdBGroup,$R197,LdBKey,"&lt;"&amp;$T197)+1)</f>
        <v/>
      </c>
      <c r="X197">
        <f>IF($W197="","",$R197&amp;"|"&amp;RIGHT("000000"&amp;$W197,6))</f>
        <v/>
      </c>
      <c r="Y197">
        <f>IF($P197="","",IF(Shares!$E200="",0,Shares!$E200))</f>
        <v/>
      </c>
      <c r="Z197">
        <f>IF($P197="","",Shares!$H200)</f>
        <v/>
      </c>
      <c r="AE197">
        <f>IF(OR(Sync!$S197="",Sync!$P197=""),"",Sync!$S197)</f>
        <v/>
      </c>
      <c r="AF197">
        <f>IF($AE197="","",IF(ISNUMBER(Sync!$P197),IF(AND(Sync!$P197&gt;=10000101,Sync!$P197&lt;=99991231),INT(Sync!$P197/10000),""),IFERROR(VALUE(TRIM(LEFT(Sync!$P197,FIND("/",Sync!$P197)-1))),"")))</f>
        <v/>
      </c>
      <c r="AG197">
        <f>IF(OR($AE197="",$AF197=""),"",IF(ISNUMBER(Sync!$P197),INT(MOD(Sync!$P197,10000)/100),IFERROR(VALUE(TRIM(LEFT(MID(Sync!$P197,FIND("/",Sync!$P197)+1,20),FIND("/",MID(Sync!$P197,FIND("/",Sync!$P197)+1,20))-1))),"")))</f>
        <v/>
      </c>
      <c r="AH197">
        <f>IF(OR($AE197="",$AF197=""),"",IF(ISNUMBER(Sync!$P197),MOD(Sync!$P197,100),IFERROR(VALUE(TRIM(MID(MID(Sync!$P197,FIND("/",Sync!$P197)+1,20),FIND("/",MID(Sync!$P197,FIND("/",Sync!$P197)+1,20))+1,20))),"")))</f>
        <v/>
      </c>
      <c r="AI197">
        <f>IF($AE197="","",IF(OR($AF197="",$AG197="",$AH197="",$AF197&lt;1300,$AF197&gt;1500,$AG197&lt;1,$AG197&gt;12,$AH197&lt;1,$AH197&gt;31),"نامعتبر",RIGHT("0000"&amp;$AF197,4)&amp;"/"&amp;RIGHT("00"&amp;$AG197,2)&amp;"/"&amp;RIGHT("00"&amp;$AH197,2)))</f>
        <v/>
      </c>
      <c r="AJ197">
        <f>IF($AE197="","",IF(Sync!$Q197="","0000",IF(AND(ISNUMBER(Sync!$Q197),Sync!$Q197&gt;=0,Sync!$Q197&lt;1),RIGHT("00"&amp;HOUR(Sync!$Q197),2)&amp;RIGHT("00"&amp;MINUTE(Sync!$Q197),2),IFERROR(RIGHT("00"&amp;VALUE(LEFT(Sync!$Q197,FIND(":",Sync!$Q197)-1)),2)&amp;RIGHT("00"&amp;VALUE(MID(Sync!$Q197,FIND(":",Sync!$Q197)+1,2)),2),"0000"))))</f>
        <v/>
      </c>
      <c r="AK197">
        <f>IF(OR($AE197="",$AI197="",$AI197="نامعتبر"),"",LEFT($AI197,4)&amp;MID($AI197,6,2)&amp;RIGHT($AI197,2)&amp;$AJ197&amp;"|"&amp;"3"&amp;RIGHT("00000"&amp;192,5))</f>
        <v/>
      </c>
      <c r="AL197">
        <f>IF($AK197="","",COUNTIFS(LdAParty,$AE197,LdAType,1,LdAKey,"&lt;"&amp;$AK197)+COUNTIFS(LdBMember,$AE197,LdBKey,"&lt;"&amp;$AK197)+COUNTIFS(LdCParty,$AE197,LdCKey,"&lt;"&amp;$AK197)+1)</f>
        <v/>
      </c>
      <c r="AM197">
        <f>IF($AL197="","",$AE197&amp;"|"&amp;RIGHT("000000"&amp;$AL197,6))</f>
        <v/>
      </c>
      <c r="AN197">
        <f>IF($AE197="","",IF(Sync!$W197="",0,Sync!$W197))</f>
        <v/>
      </c>
      <c r="AO197">
        <f>IF($AE197="","",IF(Sync!$X197="",0,Sync!$X197))</f>
        <v/>
      </c>
      <c r="AP197">
        <f>IF($AE197="","",Sync!$R197)</f>
        <v/>
      </c>
      <c r="AQ197">
        <f>IF($AE197="","",Sync!$Y197)</f>
        <v/>
      </c>
    </row>
    <row r="198">
      <c r="A198">
        <f>IF(OR(Wages!$B201="",Wages!$E201=""),"",Wages!$E201)</f>
        <v/>
      </c>
      <c r="B198">
        <f>IF($A198="","",IF(Wages!$C201="دستمزد گروهی",2,1))</f>
        <v/>
      </c>
      <c r="C198">
        <f>IF($A198="","",IF(ISNUMBER(Wages!$B201),IF(AND(Wages!$B201&gt;=10000101,Wages!$B201&lt;=99991231),INT(Wages!$B201/10000),""),IFERROR(VALUE(TRIM(LEFT(Wages!$B201,FIND("/",Wages!$B201)-1))),"")))</f>
        <v/>
      </c>
      <c r="D198">
        <f>IF(OR($A198="",$C198=""),"",IF(ISNUMBER(Wages!$B201),INT(MOD(Wages!$B201,10000)/100),IFERROR(VALUE(TRIM(LEFT(MID(Wages!$B201,FIND("/",Wages!$B201)+1,20),FIND("/",MID(Wages!$B201,FIND("/",Wages!$B201)+1,20))-1))),"")))</f>
        <v/>
      </c>
      <c r="E198">
        <f>IF(OR($A198="",$C198=""),"",IF(ISNUMBER(Wages!$B201),MOD(Wages!$B201,100),IFERROR(VALUE(TRIM(MID(MID(Wages!$B201,FIND("/",Wages!$B201)+1,20),FIND("/",MID(Wages!$B201,FIND("/",Wages!$B201)+1,20))+1,20))),"")))</f>
        <v/>
      </c>
      <c r="F198">
        <f>IF($A198="","",IF(OR($C198="",$D198="",$E198="",$C198&lt;1300,$C198&gt;1500,$D198&lt;1,$D198&gt;12,$E198&lt;1,$E198&gt;31),"نامعتبر",RIGHT("0000"&amp;$C198,4)&amp;"/"&amp;RIGHT("00"&amp;$D198,2)&amp;"/"&amp;RIGHT("00"&amp;$E198,2)))</f>
        <v/>
      </c>
      <c r="G198">
        <f>IF(OR($A198="",$F198="",$F198="نامعتبر"),"",LEFT($F198,4)&amp;MID($F198,6,2)&amp;RIGHT($F198,2)&amp;"0000"&amp;"|"&amp;"1"&amp;RIGHT("00000"&amp;193,5))</f>
        <v/>
      </c>
      <c r="H198">
        <f>IF(OR($B198&lt;&gt;1,$G198=""),"",COUNTIFS(LdAParty,$A198,LdAType,1,LdAKey,"&lt;"&amp;$G198)+COUNTIFS(LdBMember,$A198,LdBKey,"&lt;"&amp;$G198)+COUNTIFS(LdCParty,$A198,LdCKey,"&lt;"&amp;$G198)+1)</f>
        <v/>
      </c>
      <c r="I198">
        <f>IF($H198="","",$A198&amp;"|"&amp;RIGHT("000000"&amp;$H198,6))</f>
        <v/>
      </c>
      <c r="J198">
        <f>IF(OR($B198&lt;&gt;2,$G198=""),"",COUNTIFS(LdAParty,$A198,LdAType,2,LdAKey,"&lt;"&amp;$G198)+1)</f>
        <v/>
      </c>
      <c r="K198">
        <f>IF($J198="","",$A198&amp;"|"&amp;RIGHT("000000"&amp;$J198,6))</f>
        <v/>
      </c>
      <c r="L198">
        <f>IF($A198="","",IF(Wages!$G201="",0,Wages!$G201))</f>
        <v/>
      </c>
      <c r="M198">
        <f>IF($A198="","",Wages!$J201)</f>
        <v/>
      </c>
      <c r="N198">
        <f>IF($A198="","",Wages!$D201)</f>
        <v/>
      </c>
      <c r="P198">
        <f>IF(OR(Shares!$B201="",Shares!$C201=""),"",Shares!$C201)</f>
        <v/>
      </c>
      <c r="Q198">
        <f>IF($P198="","",Shares!$B201)</f>
        <v/>
      </c>
      <c r="R198">
        <f>IF($P198="","",IFERROR(INDEX(WageParty,MATCH($Q198,WageIds,0)),""))</f>
        <v/>
      </c>
      <c r="S198">
        <f>IF($P198="","",IFERROR(INDEX($F$6:$F$2005,MATCH($Q198,WageIds,0)),""))</f>
        <v/>
      </c>
      <c r="T198">
        <f>IF(OR($P198="",$S198="",$S198="نامعتبر"),"",LEFT($S198,4)&amp;MID($S198,6,2)&amp;RIGHT($S198,2)&amp;"0000"&amp;"|"&amp;"2"&amp;RIGHT("00000"&amp;193,5))</f>
        <v/>
      </c>
      <c r="U198">
        <f>IF($T198="","",COUNTIFS(LdAParty,$P198,LdAType,1,LdAKey,"&lt;"&amp;$T198)+COUNTIFS(LdBMember,$P198,LdBKey,"&lt;"&amp;$T198)+COUNTIFS(LdCParty,$P198,LdCKey,"&lt;"&amp;$T198)+1)</f>
        <v/>
      </c>
      <c r="V198">
        <f>IF($U198="","",$P198&amp;"|"&amp;RIGHT("000000"&amp;$U198,6))</f>
        <v/>
      </c>
      <c r="W198">
        <f>IF($T198="","",COUNTIFS(LdBGroup,$R198,LdBKey,"&lt;"&amp;$T198)+1)</f>
        <v/>
      </c>
      <c r="X198">
        <f>IF($W198="","",$R198&amp;"|"&amp;RIGHT("000000"&amp;$W198,6))</f>
        <v/>
      </c>
      <c r="Y198">
        <f>IF($P198="","",IF(Shares!$E201="",0,Shares!$E201))</f>
        <v/>
      </c>
      <c r="Z198">
        <f>IF($P198="","",Shares!$H201)</f>
        <v/>
      </c>
      <c r="AE198">
        <f>IF(OR(Sync!$S198="",Sync!$P198=""),"",Sync!$S198)</f>
        <v/>
      </c>
      <c r="AF198">
        <f>IF($AE198="","",IF(ISNUMBER(Sync!$P198),IF(AND(Sync!$P198&gt;=10000101,Sync!$P198&lt;=99991231),INT(Sync!$P198/10000),""),IFERROR(VALUE(TRIM(LEFT(Sync!$P198,FIND("/",Sync!$P198)-1))),"")))</f>
        <v/>
      </c>
      <c r="AG198">
        <f>IF(OR($AE198="",$AF198=""),"",IF(ISNUMBER(Sync!$P198),INT(MOD(Sync!$P198,10000)/100),IFERROR(VALUE(TRIM(LEFT(MID(Sync!$P198,FIND("/",Sync!$P198)+1,20),FIND("/",MID(Sync!$P198,FIND("/",Sync!$P198)+1,20))-1))),"")))</f>
        <v/>
      </c>
      <c r="AH198">
        <f>IF(OR($AE198="",$AF198=""),"",IF(ISNUMBER(Sync!$P198),MOD(Sync!$P198,100),IFERROR(VALUE(TRIM(MID(MID(Sync!$P198,FIND("/",Sync!$P198)+1,20),FIND("/",MID(Sync!$P198,FIND("/",Sync!$P198)+1,20))+1,20))),"")))</f>
        <v/>
      </c>
      <c r="AI198">
        <f>IF($AE198="","",IF(OR($AF198="",$AG198="",$AH198="",$AF198&lt;1300,$AF198&gt;1500,$AG198&lt;1,$AG198&gt;12,$AH198&lt;1,$AH198&gt;31),"نامعتبر",RIGHT("0000"&amp;$AF198,4)&amp;"/"&amp;RIGHT("00"&amp;$AG198,2)&amp;"/"&amp;RIGHT("00"&amp;$AH198,2)))</f>
        <v/>
      </c>
      <c r="AJ198">
        <f>IF($AE198="","",IF(Sync!$Q198="","0000",IF(AND(ISNUMBER(Sync!$Q198),Sync!$Q198&gt;=0,Sync!$Q198&lt;1),RIGHT("00"&amp;HOUR(Sync!$Q198),2)&amp;RIGHT("00"&amp;MINUTE(Sync!$Q198),2),IFERROR(RIGHT("00"&amp;VALUE(LEFT(Sync!$Q198,FIND(":",Sync!$Q198)-1)),2)&amp;RIGHT("00"&amp;VALUE(MID(Sync!$Q198,FIND(":",Sync!$Q198)+1,2)),2),"0000"))))</f>
        <v/>
      </c>
      <c r="AK198">
        <f>IF(OR($AE198="",$AI198="",$AI198="نامعتبر"),"",LEFT($AI198,4)&amp;MID($AI198,6,2)&amp;RIGHT($AI198,2)&amp;$AJ198&amp;"|"&amp;"3"&amp;RIGHT("00000"&amp;193,5))</f>
        <v/>
      </c>
      <c r="AL198">
        <f>IF($AK198="","",COUNTIFS(LdAParty,$AE198,LdAType,1,LdAKey,"&lt;"&amp;$AK198)+COUNTIFS(LdBMember,$AE198,LdBKey,"&lt;"&amp;$AK198)+COUNTIFS(LdCParty,$AE198,LdCKey,"&lt;"&amp;$AK198)+1)</f>
        <v/>
      </c>
      <c r="AM198">
        <f>IF($AL198="","",$AE198&amp;"|"&amp;RIGHT("000000"&amp;$AL198,6))</f>
        <v/>
      </c>
      <c r="AN198">
        <f>IF($AE198="","",IF(Sync!$W198="",0,Sync!$W198))</f>
        <v/>
      </c>
      <c r="AO198">
        <f>IF($AE198="","",IF(Sync!$X198="",0,Sync!$X198))</f>
        <v/>
      </c>
      <c r="AP198">
        <f>IF($AE198="","",Sync!$R198)</f>
        <v/>
      </c>
      <c r="AQ198">
        <f>IF($AE198="","",Sync!$Y198)</f>
        <v/>
      </c>
    </row>
    <row r="199">
      <c r="A199">
        <f>IF(OR(Wages!$B202="",Wages!$E202=""),"",Wages!$E202)</f>
        <v/>
      </c>
      <c r="B199">
        <f>IF($A199="","",IF(Wages!$C202="دستمزد گروهی",2,1))</f>
        <v/>
      </c>
      <c r="C199">
        <f>IF($A199="","",IF(ISNUMBER(Wages!$B202),IF(AND(Wages!$B202&gt;=10000101,Wages!$B202&lt;=99991231),INT(Wages!$B202/10000),""),IFERROR(VALUE(TRIM(LEFT(Wages!$B202,FIND("/",Wages!$B202)-1))),"")))</f>
        <v/>
      </c>
      <c r="D199">
        <f>IF(OR($A199="",$C199=""),"",IF(ISNUMBER(Wages!$B202),INT(MOD(Wages!$B202,10000)/100),IFERROR(VALUE(TRIM(LEFT(MID(Wages!$B202,FIND("/",Wages!$B202)+1,20),FIND("/",MID(Wages!$B202,FIND("/",Wages!$B202)+1,20))-1))),"")))</f>
        <v/>
      </c>
      <c r="E199">
        <f>IF(OR($A199="",$C199=""),"",IF(ISNUMBER(Wages!$B202),MOD(Wages!$B202,100),IFERROR(VALUE(TRIM(MID(MID(Wages!$B202,FIND("/",Wages!$B202)+1,20),FIND("/",MID(Wages!$B202,FIND("/",Wages!$B202)+1,20))+1,20))),"")))</f>
        <v/>
      </c>
      <c r="F199">
        <f>IF($A199="","",IF(OR($C199="",$D199="",$E199="",$C199&lt;1300,$C199&gt;1500,$D199&lt;1,$D199&gt;12,$E199&lt;1,$E199&gt;31),"نامعتبر",RIGHT("0000"&amp;$C199,4)&amp;"/"&amp;RIGHT("00"&amp;$D199,2)&amp;"/"&amp;RIGHT("00"&amp;$E199,2)))</f>
        <v/>
      </c>
      <c r="G199">
        <f>IF(OR($A199="",$F199="",$F199="نامعتبر"),"",LEFT($F199,4)&amp;MID($F199,6,2)&amp;RIGHT($F199,2)&amp;"0000"&amp;"|"&amp;"1"&amp;RIGHT("00000"&amp;194,5))</f>
        <v/>
      </c>
      <c r="H199">
        <f>IF(OR($B199&lt;&gt;1,$G199=""),"",COUNTIFS(LdAParty,$A199,LdAType,1,LdAKey,"&lt;"&amp;$G199)+COUNTIFS(LdBMember,$A199,LdBKey,"&lt;"&amp;$G199)+COUNTIFS(LdCParty,$A199,LdCKey,"&lt;"&amp;$G199)+1)</f>
        <v/>
      </c>
      <c r="I199">
        <f>IF($H199="","",$A199&amp;"|"&amp;RIGHT("000000"&amp;$H199,6))</f>
        <v/>
      </c>
      <c r="J199">
        <f>IF(OR($B199&lt;&gt;2,$G199=""),"",COUNTIFS(LdAParty,$A199,LdAType,2,LdAKey,"&lt;"&amp;$G199)+1)</f>
        <v/>
      </c>
      <c r="K199">
        <f>IF($J199="","",$A199&amp;"|"&amp;RIGHT("000000"&amp;$J199,6))</f>
        <v/>
      </c>
      <c r="L199">
        <f>IF($A199="","",IF(Wages!$G202="",0,Wages!$G202))</f>
        <v/>
      </c>
      <c r="M199">
        <f>IF($A199="","",Wages!$J202)</f>
        <v/>
      </c>
      <c r="N199">
        <f>IF($A199="","",Wages!$D202)</f>
        <v/>
      </c>
      <c r="P199">
        <f>IF(OR(Shares!$B202="",Shares!$C202=""),"",Shares!$C202)</f>
        <v/>
      </c>
      <c r="Q199">
        <f>IF($P199="","",Shares!$B202)</f>
        <v/>
      </c>
      <c r="R199">
        <f>IF($P199="","",IFERROR(INDEX(WageParty,MATCH($Q199,WageIds,0)),""))</f>
        <v/>
      </c>
      <c r="S199">
        <f>IF($P199="","",IFERROR(INDEX($F$6:$F$2005,MATCH($Q199,WageIds,0)),""))</f>
        <v/>
      </c>
      <c r="T199">
        <f>IF(OR($P199="",$S199="",$S199="نامعتبر"),"",LEFT($S199,4)&amp;MID($S199,6,2)&amp;RIGHT($S199,2)&amp;"0000"&amp;"|"&amp;"2"&amp;RIGHT("00000"&amp;194,5))</f>
        <v/>
      </c>
      <c r="U199">
        <f>IF($T199="","",COUNTIFS(LdAParty,$P199,LdAType,1,LdAKey,"&lt;"&amp;$T199)+COUNTIFS(LdBMember,$P199,LdBKey,"&lt;"&amp;$T199)+COUNTIFS(LdCParty,$P199,LdCKey,"&lt;"&amp;$T199)+1)</f>
        <v/>
      </c>
      <c r="V199">
        <f>IF($U199="","",$P199&amp;"|"&amp;RIGHT("000000"&amp;$U199,6))</f>
        <v/>
      </c>
      <c r="W199">
        <f>IF($T199="","",COUNTIFS(LdBGroup,$R199,LdBKey,"&lt;"&amp;$T199)+1)</f>
        <v/>
      </c>
      <c r="X199">
        <f>IF($W199="","",$R199&amp;"|"&amp;RIGHT("000000"&amp;$W199,6))</f>
        <v/>
      </c>
      <c r="Y199">
        <f>IF($P199="","",IF(Shares!$E202="",0,Shares!$E202))</f>
        <v/>
      </c>
      <c r="Z199">
        <f>IF($P199="","",Shares!$H202)</f>
        <v/>
      </c>
      <c r="AE199">
        <f>IF(OR(Sync!$S199="",Sync!$P199=""),"",Sync!$S199)</f>
        <v/>
      </c>
      <c r="AF199">
        <f>IF($AE199="","",IF(ISNUMBER(Sync!$P199),IF(AND(Sync!$P199&gt;=10000101,Sync!$P199&lt;=99991231),INT(Sync!$P199/10000),""),IFERROR(VALUE(TRIM(LEFT(Sync!$P199,FIND("/",Sync!$P199)-1))),"")))</f>
        <v/>
      </c>
      <c r="AG199">
        <f>IF(OR($AE199="",$AF199=""),"",IF(ISNUMBER(Sync!$P199),INT(MOD(Sync!$P199,10000)/100),IFERROR(VALUE(TRIM(LEFT(MID(Sync!$P199,FIND("/",Sync!$P199)+1,20),FIND("/",MID(Sync!$P199,FIND("/",Sync!$P199)+1,20))-1))),"")))</f>
        <v/>
      </c>
      <c r="AH199">
        <f>IF(OR($AE199="",$AF199=""),"",IF(ISNUMBER(Sync!$P199),MOD(Sync!$P199,100),IFERROR(VALUE(TRIM(MID(MID(Sync!$P199,FIND("/",Sync!$P199)+1,20),FIND("/",MID(Sync!$P199,FIND("/",Sync!$P199)+1,20))+1,20))),"")))</f>
        <v/>
      </c>
      <c r="AI199">
        <f>IF($AE199="","",IF(OR($AF199="",$AG199="",$AH199="",$AF199&lt;1300,$AF199&gt;1500,$AG199&lt;1,$AG199&gt;12,$AH199&lt;1,$AH199&gt;31),"نامعتبر",RIGHT("0000"&amp;$AF199,4)&amp;"/"&amp;RIGHT("00"&amp;$AG199,2)&amp;"/"&amp;RIGHT("00"&amp;$AH199,2)))</f>
        <v/>
      </c>
      <c r="AJ199">
        <f>IF($AE199="","",IF(Sync!$Q199="","0000",IF(AND(ISNUMBER(Sync!$Q199),Sync!$Q199&gt;=0,Sync!$Q199&lt;1),RIGHT("00"&amp;HOUR(Sync!$Q199),2)&amp;RIGHT("00"&amp;MINUTE(Sync!$Q199),2),IFERROR(RIGHT("00"&amp;VALUE(LEFT(Sync!$Q199,FIND(":",Sync!$Q199)-1)),2)&amp;RIGHT("00"&amp;VALUE(MID(Sync!$Q199,FIND(":",Sync!$Q199)+1,2)),2),"0000"))))</f>
        <v/>
      </c>
      <c r="AK199">
        <f>IF(OR($AE199="",$AI199="",$AI199="نامعتبر"),"",LEFT($AI199,4)&amp;MID($AI199,6,2)&amp;RIGHT($AI199,2)&amp;$AJ199&amp;"|"&amp;"3"&amp;RIGHT("00000"&amp;194,5))</f>
        <v/>
      </c>
      <c r="AL199">
        <f>IF($AK199="","",COUNTIFS(LdAParty,$AE199,LdAType,1,LdAKey,"&lt;"&amp;$AK199)+COUNTIFS(LdBMember,$AE199,LdBKey,"&lt;"&amp;$AK199)+COUNTIFS(LdCParty,$AE199,LdCKey,"&lt;"&amp;$AK199)+1)</f>
        <v/>
      </c>
      <c r="AM199">
        <f>IF($AL199="","",$AE199&amp;"|"&amp;RIGHT("000000"&amp;$AL199,6))</f>
        <v/>
      </c>
      <c r="AN199">
        <f>IF($AE199="","",IF(Sync!$W199="",0,Sync!$W199))</f>
        <v/>
      </c>
      <c r="AO199">
        <f>IF($AE199="","",IF(Sync!$X199="",0,Sync!$X199))</f>
        <v/>
      </c>
      <c r="AP199">
        <f>IF($AE199="","",Sync!$R199)</f>
        <v/>
      </c>
      <c r="AQ199">
        <f>IF($AE199="","",Sync!$Y199)</f>
        <v/>
      </c>
    </row>
    <row r="200">
      <c r="A200">
        <f>IF(OR(Wages!$B203="",Wages!$E203=""),"",Wages!$E203)</f>
        <v/>
      </c>
      <c r="B200">
        <f>IF($A200="","",IF(Wages!$C203="دستمزد گروهی",2,1))</f>
        <v/>
      </c>
      <c r="C200">
        <f>IF($A200="","",IF(ISNUMBER(Wages!$B203),IF(AND(Wages!$B203&gt;=10000101,Wages!$B203&lt;=99991231),INT(Wages!$B203/10000),""),IFERROR(VALUE(TRIM(LEFT(Wages!$B203,FIND("/",Wages!$B203)-1))),"")))</f>
        <v/>
      </c>
      <c r="D200">
        <f>IF(OR($A200="",$C200=""),"",IF(ISNUMBER(Wages!$B203),INT(MOD(Wages!$B203,10000)/100),IFERROR(VALUE(TRIM(LEFT(MID(Wages!$B203,FIND("/",Wages!$B203)+1,20),FIND("/",MID(Wages!$B203,FIND("/",Wages!$B203)+1,20))-1))),"")))</f>
        <v/>
      </c>
      <c r="E200">
        <f>IF(OR($A200="",$C200=""),"",IF(ISNUMBER(Wages!$B203),MOD(Wages!$B203,100),IFERROR(VALUE(TRIM(MID(MID(Wages!$B203,FIND("/",Wages!$B203)+1,20),FIND("/",MID(Wages!$B203,FIND("/",Wages!$B203)+1,20))+1,20))),"")))</f>
        <v/>
      </c>
      <c r="F200">
        <f>IF($A200="","",IF(OR($C200="",$D200="",$E200="",$C200&lt;1300,$C200&gt;1500,$D200&lt;1,$D200&gt;12,$E200&lt;1,$E200&gt;31),"نامعتبر",RIGHT("0000"&amp;$C200,4)&amp;"/"&amp;RIGHT("00"&amp;$D200,2)&amp;"/"&amp;RIGHT("00"&amp;$E200,2)))</f>
        <v/>
      </c>
      <c r="G200">
        <f>IF(OR($A200="",$F200="",$F200="نامعتبر"),"",LEFT($F200,4)&amp;MID($F200,6,2)&amp;RIGHT($F200,2)&amp;"0000"&amp;"|"&amp;"1"&amp;RIGHT("00000"&amp;195,5))</f>
        <v/>
      </c>
      <c r="H200">
        <f>IF(OR($B200&lt;&gt;1,$G200=""),"",COUNTIFS(LdAParty,$A200,LdAType,1,LdAKey,"&lt;"&amp;$G200)+COUNTIFS(LdBMember,$A200,LdBKey,"&lt;"&amp;$G200)+COUNTIFS(LdCParty,$A200,LdCKey,"&lt;"&amp;$G200)+1)</f>
        <v/>
      </c>
      <c r="I200">
        <f>IF($H200="","",$A200&amp;"|"&amp;RIGHT("000000"&amp;$H200,6))</f>
        <v/>
      </c>
      <c r="J200">
        <f>IF(OR($B200&lt;&gt;2,$G200=""),"",COUNTIFS(LdAParty,$A200,LdAType,2,LdAKey,"&lt;"&amp;$G200)+1)</f>
        <v/>
      </c>
      <c r="K200">
        <f>IF($J200="","",$A200&amp;"|"&amp;RIGHT("000000"&amp;$J200,6))</f>
        <v/>
      </c>
      <c r="L200">
        <f>IF($A200="","",IF(Wages!$G203="",0,Wages!$G203))</f>
        <v/>
      </c>
      <c r="M200">
        <f>IF($A200="","",Wages!$J203)</f>
        <v/>
      </c>
      <c r="N200">
        <f>IF($A200="","",Wages!$D203)</f>
        <v/>
      </c>
      <c r="P200">
        <f>IF(OR(Shares!$B203="",Shares!$C203=""),"",Shares!$C203)</f>
        <v/>
      </c>
      <c r="Q200">
        <f>IF($P200="","",Shares!$B203)</f>
        <v/>
      </c>
      <c r="R200">
        <f>IF($P200="","",IFERROR(INDEX(WageParty,MATCH($Q200,WageIds,0)),""))</f>
        <v/>
      </c>
      <c r="S200">
        <f>IF($P200="","",IFERROR(INDEX($F$6:$F$2005,MATCH($Q200,WageIds,0)),""))</f>
        <v/>
      </c>
      <c r="T200">
        <f>IF(OR($P200="",$S200="",$S200="نامعتبر"),"",LEFT($S200,4)&amp;MID($S200,6,2)&amp;RIGHT($S200,2)&amp;"0000"&amp;"|"&amp;"2"&amp;RIGHT("00000"&amp;195,5))</f>
        <v/>
      </c>
      <c r="U200">
        <f>IF($T200="","",COUNTIFS(LdAParty,$P200,LdAType,1,LdAKey,"&lt;"&amp;$T200)+COUNTIFS(LdBMember,$P200,LdBKey,"&lt;"&amp;$T200)+COUNTIFS(LdCParty,$P200,LdCKey,"&lt;"&amp;$T200)+1)</f>
        <v/>
      </c>
      <c r="V200">
        <f>IF($U200="","",$P200&amp;"|"&amp;RIGHT("000000"&amp;$U200,6))</f>
        <v/>
      </c>
      <c r="W200">
        <f>IF($T200="","",COUNTIFS(LdBGroup,$R200,LdBKey,"&lt;"&amp;$T200)+1)</f>
        <v/>
      </c>
      <c r="X200">
        <f>IF($W200="","",$R200&amp;"|"&amp;RIGHT("000000"&amp;$W200,6))</f>
        <v/>
      </c>
      <c r="Y200">
        <f>IF($P200="","",IF(Shares!$E203="",0,Shares!$E203))</f>
        <v/>
      </c>
      <c r="Z200">
        <f>IF($P200="","",Shares!$H203)</f>
        <v/>
      </c>
      <c r="AE200">
        <f>IF(OR(Sync!$S200="",Sync!$P200=""),"",Sync!$S200)</f>
        <v/>
      </c>
      <c r="AF200">
        <f>IF($AE200="","",IF(ISNUMBER(Sync!$P200),IF(AND(Sync!$P200&gt;=10000101,Sync!$P200&lt;=99991231),INT(Sync!$P200/10000),""),IFERROR(VALUE(TRIM(LEFT(Sync!$P200,FIND("/",Sync!$P200)-1))),"")))</f>
        <v/>
      </c>
      <c r="AG200">
        <f>IF(OR($AE200="",$AF200=""),"",IF(ISNUMBER(Sync!$P200),INT(MOD(Sync!$P200,10000)/100),IFERROR(VALUE(TRIM(LEFT(MID(Sync!$P200,FIND("/",Sync!$P200)+1,20),FIND("/",MID(Sync!$P200,FIND("/",Sync!$P200)+1,20))-1))),"")))</f>
        <v/>
      </c>
      <c r="AH200">
        <f>IF(OR($AE200="",$AF200=""),"",IF(ISNUMBER(Sync!$P200),MOD(Sync!$P200,100),IFERROR(VALUE(TRIM(MID(MID(Sync!$P200,FIND("/",Sync!$P200)+1,20),FIND("/",MID(Sync!$P200,FIND("/",Sync!$P200)+1,20))+1,20))),"")))</f>
        <v/>
      </c>
      <c r="AI200">
        <f>IF($AE200="","",IF(OR($AF200="",$AG200="",$AH200="",$AF200&lt;1300,$AF200&gt;1500,$AG200&lt;1,$AG200&gt;12,$AH200&lt;1,$AH200&gt;31),"نامعتبر",RIGHT("0000"&amp;$AF200,4)&amp;"/"&amp;RIGHT("00"&amp;$AG200,2)&amp;"/"&amp;RIGHT("00"&amp;$AH200,2)))</f>
        <v/>
      </c>
      <c r="AJ200">
        <f>IF($AE200="","",IF(Sync!$Q200="","0000",IF(AND(ISNUMBER(Sync!$Q200),Sync!$Q200&gt;=0,Sync!$Q200&lt;1),RIGHT("00"&amp;HOUR(Sync!$Q200),2)&amp;RIGHT("00"&amp;MINUTE(Sync!$Q200),2),IFERROR(RIGHT("00"&amp;VALUE(LEFT(Sync!$Q200,FIND(":",Sync!$Q200)-1)),2)&amp;RIGHT("00"&amp;VALUE(MID(Sync!$Q200,FIND(":",Sync!$Q200)+1,2)),2),"0000"))))</f>
        <v/>
      </c>
      <c r="AK200">
        <f>IF(OR($AE200="",$AI200="",$AI200="نامعتبر"),"",LEFT($AI200,4)&amp;MID($AI200,6,2)&amp;RIGHT($AI200,2)&amp;$AJ200&amp;"|"&amp;"3"&amp;RIGHT("00000"&amp;195,5))</f>
        <v/>
      </c>
      <c r="AL200">
        <f>IF($AK200="","",COUNTIFS(LdAParty,$AE200,LdAType,1,LdAKey,"&lt;"&amp;$AK200)+COUNTIFS(LdBMember,$AE200,LdBKey,"&lt;"&amp;$AK200)+COUNTIFS(LdCParty,$AE200,LdCKey,"&lt;"&amp;$AK200)+1)</f>
        <v/>
      </c>
      <c r="AM200">
        <f>IF($AL200="","",$AE200&amp;"|"&amp;RIGHT("000000"&amp;$AL200,6))</f>
        <v/>
      </c>
      <c r="AN200">
        <f>IF($AE200="","",IF(Sync!$W200="",0,Sync!$W200))</f>
        <v/>
      </c>
      <c r="AO200">
        <f>IF($AE200="","",IF(Sync!$X200="",0,Sync!$X200))</f>
        <v/>
      </c>
      <c r="AP200">
        <f>IF($AE200="","",Sync!$R200)</f>
        <v/>
      </c>
      <c r="AQ200">
        <f>IF($AE200="","",Sync!$Y200)</f>
        <v/>
      </c>
    </row>
    <row r="201">
      <c r="A201">
        <f>IF(OR(Wages!$B204="",Wages!$E204=""),"",Wages!$E204)</f>
        <v/>
      </c>
      <c r="B201">
        <f>IF($A201="","",IF(Wages!$C204="دستمزد گروهی",2,1))</f>
        <v/>
      </c>
      <c r="C201">
        <f>IF($A201="","",IF(ISNUMBER(Wages!$B204),IF(AND(Wages!$B204&gt;=10000101,Wages!$B204&lt;=99991231),INT(Wages!$B204/10000),""),IFERROR(VALUE(TRIM(LEFT(Wages!$B204,FIND("/",Wages!$B204)-1))),"")))</f>
        <v/>
      </c>
      <c r="D201">
        <f>IF(OR($A201="",$C201=""),"",IF(ISNUMBER(Wages!$B204),INT(MOD(Wages!$B204,10000)/100),IFERROR(VALUE(TRIM(LEFT(MID(Wages!$B204,FIND("/",Wages!$B204)+1,20),FIND("/",MID(Wages!$B204,FIND("/",Wages!$B204)+1,20))-1))),"")))</f>
        <v/>
      </c>
      <c r="E201">
        <f>IF(OR($A201="",$C201=""),"",IF(ISNUMBER(Wages!$B204),MOD(Wages!$B204,100),IFERROR(VALUE(TRIM(MID(MID(Wages!$B204,FIND("/",Wages!$B204)+1,20),FIND("/",MID(Wages!$B204,FIND("/",Wages!$B204)+1,20))+1,20))),"")))</f>
        <v/>
      </c>
      <c r="F201">
        <f>IF($A201="","",IF(OR($C201="",$D201="",$E201="",$C201&lt;1300,$C201&gt;1500,$D201&lt;1,$D201&gt;12,$E201&lt;1,$E201&gt;31),"نامعتبر",RIGHT("0000"&amp;$C201,4)&amp;"/"&amp;RIGHT("00"&amp;$D201,2)&amp;"/"&amp;RIGHT("00"&amp;$E201,2)))</f>
        <v/>
      </c>
      <c r="G201">
        <f>IF(OR($A201="",$F201="",$F201="نامعتبر"),"",LEFT($F201,4)&amp;MID($F201,6,2)&amp;RIGHT($F201,2)&amp;"0000"&amp;"|"&amp;"1"&amp;RIGHT("00000"&amp;196,5))</f>
        <v/>
      </c>
      <c r="H201">
        <f>IF(OR($B201&lt;&gt;1,$G201=""),"",COUNTIFS(LdAParty,$A201,LdAType,1,LdAKey,"&lt;"&amp;$G201)+COUNTIFS(LdBMember,$A201,LdBKey,"&lt;"&amp;$G201)+COUNTIFS(LdCParty,$A201,LdCKey,"&lt;"&amp;$G201)+1)</f>
        <v/>
      </c>
      <c r="I201">
        <f>IF($H201="","",$A201&amp;"|"&amp;RIGHT("000000"&amp;$H201,6))</f>
        <v/>
      </c>
      <c r="J201">
        <f>IF(OR($B201&lt;&gt;2,$G201=""),"",COUNTIFS(LdAParty,$A201,LdAType,2,LdAKey,"&lt;"&amp;$G201)+1)</f>
        <v/>
      </c>
      <c r="K201">
        <f>IF($J201="","",$A201&amp;"|"&amp;RIGHT("000000"&amp;$J201,6))</f>
        <v/>
      </c>
      <c r="L201">
        <f>IF($A201="","",IF(Wages!$G204="",0,Wages!$G204))</f>
        <v/>
      </c>
      <c r="M201">
        <f>IF($A201="","",Wages!$J204)</f>
        <v/>
      </c>
      <c r="N201">
        <f>IF($A201="","",Wages!$D204)</f>
        <v/>
      </c>
      <c r="P201">
        <f>IF(OR(Shares!$B204="",Shares!$C204=""),"",Shares!$C204)</f>
        <v/>
      </c>
      <c r="Q201">
        <f>IF($P201="","",Shares!$B204)</f>
        <v/>
      </c>
      <c r="R201">
        <f>IF($P201="","",IFERROR(INDEX(WageParty,MATCH($Q201,WageIds,0)),""))</f>
        <v/>
      </c>
      <c r="S201">
        <f>IF($P201="","",IFERROR(INDEX($F$6:$F$2005,MATCH($Q201,WageIds,0)),""))</f>
        <v/>
      </c>
      <c r="T201">
        <f>IF(OR($P201="",$S201="",$S201="نامعتبر"),"",LEFT($S201,4)&amp;MID($S201,6,2)&amp;RIGHT($S201,2)&amp;"0000"&amp;"|"&amp;"2"&amp;RIGHT("00000"&amp;196,5))</f>
        <v/>
      </c>
      <c r="U201">
        <f>IF($T201="","",COUNTIFS(LdAParty,$P201,LdAType,1,LdAKey,"&lt;"&amp;$T201)+COUNTIFS(LdBMember,$P201,LdBKey,"&lt;"&amp;$T201)+COUNTIFS(LdCParty,$P201,LdCKey,"&lt;"&amp;$T201)+1)</f>
        <v/>
      </c>
      <c r="V201">
        <f>IF($U201="","",$P201&amp;"|"&amp;RIGHT("000000"&amp;$U201,6))</f>
        <v/>
      </c>
      <c r="W201">
        <f>IF($T201="","",COUNTIFS(LdBGroup,$R201,LdBKey,"&lt;"&amp;$T201)+1)</f>
        <v/>
      </c>
      <c r="X201">
        <f>IF($W201="","",$R201&amp;"|"&amp;RIGHT("000000"&amp;$W201,6))</f>
        <v/>
      </c>
      <c r="Y201">
        <f>IF($P201="","",IF(Shares!$E204="",0,Shares!$E204))</f>
        <v/>
      </c>
      <c r="Z201">
        <f>IF($P201="","",Shares!$H204)</f>
        <v/>
      </c>
      <c r="AE201">
        <f>IF(OR(Sync!$S201="",Sync!$P201=""),"",Sync!$S201)</f>
        <v/>
      </c>
      <c r="AF201">
        <f>IF($AE201="","",IF(ISNUMBER(Sync!$P201),IF(AND(Sync!$P201&gt;=10000101,Sync!$P201&lt;=99991231),INT(Sync!$P201/10000),""),IFERROR(VALUE(TRIM(LEFT(Sync!$P201,FIND("/",Sync!$P201)-1))),"")))</f>
        <v/>
      </c>
      <c r="AG201">
        <f>IF(OR($AE201="",$AF201=""),"",IF(ISNUMBER(Sync!$P201),INT(MOD(Sync!$P201,10000)/100),IFERROR(VALUE(TRIM(LEFT(MID(Sync!$P201,FIND("/",Sync!$P201)+1,20),FIND("/",MID(Sync!$P201,FIND("/",Sync!$P201)+1,20))-1))),"")))</f>
        <v/>
      </c>
      <c r="AH201">
        <f>IF(OR($AE201="",$AF201=""),"",IF(ISNUMBER(Sync!$P201),MOD(Sync!$P201,100),IFERROR(VALUE(TRIM(MID(MID(Sync!$P201,FIND("/",Sync!$P201)+1,20),FIND("/",MID(Sync!$P201,FIND("/",Sync!$P201)+1,20))+1,20))),"")))</f>
        <v/>
      </c>
      <c r="AI201">
        <f>IF($AE201="","",IF(OR($AF201="",$AG201="",$AH201="",$AF201&lt;1300,$AF201&gt;1500,$AG201&lt;1,$AG201&gt;12,$AH201&lt;1,$AH201&gt;31),"نامعتبر",RIGHT("0000"&amp;$AF201,4)&amp;"/"&amp;RIGHT("00"&amp;$AG201,2)&amp;"/"&amp;RIGHT("00"&amp;$AH201,2)))</f>
        <v/>
      </c>
      <c r="AJ201">
        <f>IF($AE201="","",IF(Sync!$Q201="","0000",IF(AND(ISNUMBER(Sync!$Q201),Sync!$Q201&gt;=0,Sync!$Q201&lt;1),RIGHT("00"&amp;HOUR(Sync!$Q201),2)&amp;RIGHT("00"&amp;MINUTE(Sync!$Q201),2),IFERROR(RIGHT("00"&amp;VALUE(LEFT(Sync!$Q201,FIND(":",Sync!$Q201)-1)),2)&amp;RIGHT("00"&amp;VALUE(MID(Sync!$Q201,FIND(":",Sync!$Q201)+1,2)),2),"0000"))))</f>
        <v/>
      </c>
      <c r="AK201">
        <f>IF(OR($AE201="",$AI201="",$AI201="نامعتبر"),"",LEFT($AI201,4)&amp;MID($AI201,6,2)&amp;RIGHT($AI201,2)&amp;$AJ201&amp;"|"&amp;"3"&amp;RIGHT("00000"&amp;196,5))</f>
        <v/>
      </c>
      <c r="AL201">
        <f>IF($AK201="","",COUNTIFS(LdAParty,$AE201,LdAType,1,LdAKey,"&lt;"&amp;$AK201)+COUNTIFS(LdBMember,$AE201,LdBKey,"&lt;"&amp;$AK201)+COUNTIFS(LdCParty,$AE201,LdCKey,"&lt;"&amp;$AK201)+1)</f>
        <v/>
      </c>
      <c r="AM201">
        <f>IF($AL201="","",$AE201&amp;"|"&amp;RIGHT("000000"&amp;$AL201,6))</f>
        <v/>
      </c>
      <c r="AN201">
        <f>IF($AE201="","",IF(Sync!$W201="",0,Sync!$W201))</f>
        <v/>
      </c>
      <c r="AO201">
        <f>IF($AE201="","",IF(Sync!$X201="",0,Sync!$X201))</f>
        <v/>
      </c>
      <c r="AP201">
        <f>IF($AE201="","",Sync!$R201)</f>
        <v/>
      </c>
      <c r="AQ201">
        <f>IF($AE201="","",Sync!$Y201)</f>
        <v/>
      </c>
    </row>
    <row r="202">
      <c r="A202">
        <f>IF(OR(Wages!$B205="",Wages!$E205=""),"",Wages!$E205)</f>
        <v/>
      </c>
      <c r="B202">
        <f>IF($A202="","",IF(Wages!$C205="دستمزد گروهی",2,1))</f>
        <v/>
      </c>
      <c r="C202">
        <f>IF($A202="","",IF(ISNUMBER(Wages!$B205),IF(AND(Wages!$B205&gt;=10000101,Wages!$B205&lt;=99991231),INT(Wages!$B205/10000),""),IFERROR(VALUE(TRIM(LEFT(Wages!$B205,FIND("/",Wages!$B205)-1))),"")))</f>
        <v/>
      </c>
      <c r="D202">
        <f>IF(OR($A202="",$C202=""),"",IF(ISNUMBER(Wages!$B205),INT(MOD(Wages!$B205,10000)/100),IFERROR(VALUE(TRIM(LEFT(MID(Wages!$B205,FIND("/",Wages!$B205)+1,20),FIND("/",MID(Wages!$B205,FIND("/",Wages!$B205)+1,20))-1))),"")))</f>
        <v/>
      </c>
      <c r="E202">
        <f>IF(OR($A202="",$C202=""),"",IF(ISNUMBER(Wages!$B205),MOD(Wages!$B205,100),IFERROR(VALUE(TRIM(MID(MID(Wages!$B205,FIND("/",Wages!$B205)+1,20),FIND("/",MID(Wages!$B205,FIND("/",Wages!$B205)+1,20))+1,20))),"")))</f>
        <v/>
      </c>
      <c r="F202">
        <f>IF($A202="","",IF(OR($C202="",$D202="",$E202="",$C202&lt;1300,$C202&gt;1500,$D202&lt;1,$D202&gt;12,$E202&lt;1,$E202&gt;31),"نامعتبر",RIGHT("0000"&amp;$C202,4)&amp;"/"&amp;RIGHT("00"&amp;$D202,2)&amp;"/"&amp;RIGHT("00"&amp;$E202,2)))</f>
        <v/>
      </c>
      <c r="G202">
        <f>IF(OR($A202="",$F202="",$F202="نامعتبر"),"",LEFT($F202,4)&amp;MID($F202,6,2)&amp;RIGHT($F202,2)&amp;"0000"&amp;"|"&amp;"1"&amp;RIGHT("00000"&amp;197,5))</f>
        <v/>
      </c>
      <c r="H202">
        <f>IF(OR($B202&lt;&gt;1,$G202=""),"",COUNTIFS(LdAParty,$A202,LdAType,1,LdAKey,"&lt;"&amp;$G202)+COUNTIFS(LdBMember,$A202,LdBKey,"&lt;"&amp;$G202)+COUNTIFS(LdCParty,$A202,LdCKey,"&lt;"&amp;$G202)+1)</f>
        <v/>
      </c>
      <c r="I202">
        <f>IF($H202="","",$A202&amp;"|"&amp;RIGHT("000000"&amp;$H202,6))</f>
        <v/>
      </c>
      <c r="J202">
        <f>IF(OR($B202&lt;&gt;2,$G202=""),"",COUNTIFS(LdAParty,$A202,LdAType,2,LdAKey,"&lt;"&amp;$G202)+1)</f>
        <v/>
      </c>
      <c r="K202">
        <f>IF($J202="","",$A202&amp;"|"&amp;RIGHT("000000"&amp;$J202,6))</f>
        <v/>
      </c>
      <c r="L202">
        <f>IF($A202="","",IF(Wages!$G205="",0,Wages!$G205))</f>
        <v/>
      </c>
      <c r="M202">
        <f>IF($A202="","",Wages!$J205)</f>
        <v/>
      </c>
      <c r="N202">
        <f>IF($A202="","",Wages!$D205)</f>
        <v/>
      </c>
      <c r="P202">
        <f>IF(OR(Shares!$B205="",Shares!$C205=""),"",Shares!$C205)</f>
        <v/>
      </c>
      <c r="Q202">
        <f>IF($P202="","",Shares!$B205)</f>
        <v/>
      </c>
      <c r="R202">
        <f>IF($P202="","",IFERROR(INDEX(WageParty,MATCH($Q202,WageIds,0)),""))</f>
        <v/>
      </c>
      <c r="S202">
        <f>IF($P202="","",IFERROR(INDEX($F$6:$F$2005,MATCH($Q202,WageIds,0)),""))</f>
        <v/>
      </c>
      <c r="T202">
        <f>IF(OR($P202="",$S202="",$S202="نامعتبر"),"",LEFT($S202,4)&amp;MID($S202,6,2)&amp;RIGHT($S202,2)&amp;"0000"&amp;"|"&amp;"2"&amp;RIGHT("00000"&amp;197,5))</f>
        <v/>
      </c>
      <c r="U202">
        <f>IF($T202="","",COUNTIFS(LdAParty,$P202,LdAType,1,LdAKey,"&lt;"&amp;$T202)+COUNTIFS(LdBMember,$P202,LdBKey,"&lt;"&amp;$T202)+COUNTIFS(LdCParty,$P202,LdCKey,"&lt;"&amp;$T202)+1)</f>
        <v/>
      </c>
      <c r="V202">
        <f>IF($U202="","",$P202&amp;"|"&amp;RIGHT("000000"&amp;$U202,6))</f>
        <v/>
      </c>
      <c r="W202">
        <f>IF($T202="","",COUNTIFS(LdBGroup,$R202,LdBKey,"&lt;"&amp;$T202)+1)</f>
        <v/>
      </c>
      <c r="X202">
        <f>IF($W202="","",$R202&amp;"|"&amp;RIGHT("000000"&amp;$W202,6))</f>
        <v/>
      </c>
      <c r="Y202">
        <f>IF($P202="","",IF(Shares!$E205="",0,Shares!$E205))</f>
        <v/>
      </c>
      <c r="Z202">
        <f>IF($P202="","",Shares!$H205)</f>
        <v/>
      </c>
      <c r="AE202">
        <f>IF(OR(Sync!$S202="",Sync!$P202=""),"",Sync!$S202)</f>
        <v/>
      </c>
      <c r="AF202">
        <f>IF($AE202="","",IF(ISNUMBER(Sync!$P202),IF(AND(Sync!$P202&gt;=10000101,Sync!$P202&lt;=99991231),INT(Sync!$P202/10000),""),IFERROR(VALUE(TRIM(LEFT(Sync!$P202,FIND("/",Sync!$P202)-1))),"")))</f>
        <v/>
      </c>
      <c r="AG202">
        <f>IF(OR($AE202="",$AF202=""),"",IF(ISNUMBER(Sync!$P202),INT(MOD(Sync!$P202,10000)/100),IFERROR(VALUE(TRIM(LEFT(MID(Sync!$P202,FIND("/",Sync!$P202)+1,20),FIND("/",MID(Sync!$P202,FIND("/",Sync!$P202)+1,20))-1))),"")))</f>
        <v/>
      </c>
      <c r="AH202">
        <f>IF(OR($AE202="",$AF202=""),"",IF(ISNUMBER(Sync!$P202),MOD(Sync!$P202,100),IFERROR(VALUE(TRIM(MID(MID(Sync!$P202,FIND("/",Sync!$P202)+1,20),FIND("/",MID(Sync!$P202,FIND("/",Sync!$P202)+1,20))+1,20))),"")))</f>
        <v/>
      </c>
      <c r="AI202">
        <f>IF($AE202="","",IF(OR($AF202="",$AG202="",$AH202="",$AF202&lt;1300,$AF202&gt;1500,$AG202&lt;1,$AG202&gt;12,$AH202&lt;1,$AH202&gt;31),"نامعتبر",RIGHT("0000"&amp;$AF202,4)&amp;"/"&amp;RIGHT("00"&amp;$AG202,2)&amp;"/"&amp;RIGHT("00"&amp;$AH202,2)))</f>
        <v/>
      </c>
      <c r="AJ202">
        <f>IF($AE202="","",IF(Sync!$Q202="","0000",IF(AND(ISNUMBER(Sync!$Q202),Sync!$Q202&gt;=0,Sync!$Q202&lt;1),RIGHT("00"&amp;HOUR(Sync!$Q202),2)&amp;RIGHT("00"&amp;MINUTE(Sync!$Q202),2),IFERROR(RIGHT("00"&amp;VALUE(LEFT(Sync!$Q202,FIND(":",Sync!$Q202)-1)),2)&amp;RIGHT("00"&amp;VALUE(MID(Sync!$Q202,FIND(":",Sync!$Q202)+1,2)),2),"0000"))))</f>
        <v/>
      </c>
      <c r="AK202">
        <f>IF(OR($AE202="",$AI202="",$AI202="نامعتبر"),"",LEFT($AI202,4)&amp;MID($AI202,6,2)&amp;RIGHT($AI202,2)&amp;$AJ202&amp;"|"&amp;"3"&amp;RIGHT("00000"&amp;197,5))</f>
        <v/>
      </c>
      <c r="AL202">
        <f>IF($AK202="","",COUNTIFS(LdAParty,$AE202,LdAType,1,LdAKey,"&lt;"&amp;$AK202)+COUNTIFS(LdBMember,$AE202,LdBKey,"&lt;"&amp;$AK202)+COUNTIFS(LdCParty,$AE202,LdCKey,"&lt;"&amp;$AK202)+1)</f>
        <v/>
      </c>
      <c r="AM202">
        <f>IF($AL202="","",$AE202&amp;"|"&amp;RIGHT("000000"&amp;$AL202,6))</f>
        <v/>
      </c>
      <c r="AN202">
        <f>IF($AE202="","",IF(Sync!$W202="",0,Sync!$W202))</f>
        <v/>
      </c>
      <c r="AO202">
        <f>IF($AE202="","",IF(Sync!$X202="",0,Sync!$X202))</f>
        <v/>
      </c>
      <c r="AP202">
        <f>IF($AE202="","",Sync!$R202)</f>
        <v/>
      </c>
      <c r="AQ202">
        <f>IF($AE202="","",Sync!$Y202)</f>
        <v/>
      </c>
    </row>
    <row r="203">
      <c r="A203">
        <f>IF(OR(Wages!$B206="",Wages!$E206=""),"",Wages!$E206)</f>
        <v/>
      </c>
      <c r="B203">
        <f>IF($A203="","",IF(Wages!$C206="دستمزد گروهی",2,1))</f>
        <v/>
      </c>
      <c r="C203">
        <f>IF($A203="","",IF(ISNUMBER(Wages!$B206),IF(AND(Wages!$B206&gt;=10000101,Wages!$B206&lt;=99991231),INT(Wages!$B206/10000),""),IFERROR(VALUE(TRIM(LEFT(Wages!$B206,FIND("/",Wages!$B206)-1))),"")))</f>
        <v/>
      </c>
      <c r="D203">
        <f>IF(OR($A203="",$C203=""),"",IF(ISNUMBER(Wages!$B206),INT(MOD(Wages!$B206,10000)/100),IFERROR(VALUE(TRIM(LEFT(MID(Wages!$B206,FIND("/",Wages!$B206)+1,20),FIND("/",MID(Wages!$B206,FIND("/",Wages!$B206)+1,20))-1))),"")))</f>
        <v/>
      </c>
      <c r="E203">
        <f>IF(OR($A203="",$C203=""),"",IF(ISNUMBER(Wages!$B206),MOD(Wages!$B206,100),IFERROR(VALUE(TRIM(MID(MID(Wages!$B206,FIND("/",Wages!$B206)+1,20),FIND("/",MID(Wages!$B206,FIND("/",Wages!$B206)+1,20))+1,20))),"")))</f>
        <v/>
      </c>
      <c r="F203">
        <f>IF($A203="","",IF(OR($C203="",$D203="",$E203="",$C203&lt;1300,$C203&gt;1500,$D203&lt;1,$D203&gt;12,$E203&lt;1,$E203&gt;31),"نامعتبر",RIGHT("0000"&amp;$C203,4)&amp;"/"&amp;RIGHT("00"&amp;$D203,2)&amp;"/"&amp;RIGHT("00"&amp;$E203,2)))</f>
        <v/>
      </c>
      <c r="G203">
        <f>IF(OR($A203="",$F203="",$F203="نامعتبر"),"",LEFT($F203,4)&amp;MID($F203,6,2)&amp;RIGHT($F203,2)&amp;"0000"&amp;"|"&amp;"1"&amp;RIGHT("00000"&amp;198,5))</f>
        <v/>
      </c>
      <c r="H203">
        <f>IF(OR($B203&lt;&gt;1,$G203=""),"",COUNTIFS(LdAParty,$A203,LdAType,1,LdAKey,"&lt;"&amp;$G203)+COUNTIFS(LdBMember,$A203,LdBKey,"&lt;"&amp;$G203)+COUNTIFS(LdCParty,$A203,LdCKey,"&lt;"&amp;$G203)+1)</f>
        <v/>
      </c>
      <c r="I203">
        <f>IF($H203="","",$A203&amp;"|"&amp;RIGHT("000000"&amp;$H203,6))</f>
        <v/>
      </c>
      <c r="J203">
        <f>IF(OR($B203&lt;&gt;2,$G203=""),"",COUNTIFS(LdAParty,$A203,LdAType,2,LdAKey,"&lt;"&amp;$G203)+1)</f>
        <v/>
      </c>
      <c r="K203">
        <f>IF($J203="","",$A203&amp;"|"&amp;RIGHT("000000"&amp;$J203,6))</f>
        <v/>
      </c>
      <c r="L203">
        <f>IF($A203="","",IF(Wages!$G206="",0,Wages!$G206))</f>
        <v/>
      </c>
      <c r="M203">
        <f>IF($A203="","",Wages!$J206)</f>
        <v/>
      </c>
      <c r="N203">
        <f>IF($A203="","",Wages!$D206)</f>
        <v/>
      </c>
      <c r="P203">
        <f>IF(OR(Shares!$B206="",Shares!$C206=""),"",Shares!$C206)</f>
        <v/>
      </c>
      <c r="Q203">
        <f>IF($P203="","",Shares!$B206)</f>
        <v/>
      </c>
      <c r="R203">
        <f>IF($P203="","",IFERROR(INDEX(WageParty,MATCH($Q203,WageIds,0)),""))</f>
        <v/>
      </c>
      <c r="S203">
        <f>IF($P203="","",IFERROR(INDEX($F$6:$F$2005,MATCH($Q203,WageIds,0)),""))</f>
        <v/>
      </c>
      <c r="T203">
        <f>IF(OR($P203="",$S203="",$S203="نامعتبر"),"",LEFT($S203,4)&amp;MID($S203,6,2)&amp;RIGHT($S203,2)&amp;"0000"&amp;"|"&amp;"2"&amp;RIGHT("00000"&amp;198,5))</f>
        <v/>
      </c>
      <c r="U203">
        <f>IF($T203="","",COUNTIFS(LdAParty,$P203,LdAType,1,LdAKey,"&lt;"&amp;$T203)+COUNTIFS(LdBMember,$P203,LdBKey,"&lt;"&amp;$T203)+COUNTIFS(LdCParty,$P203,LdCKey,"&lt;"&amp;$T203)+1)</f>
        <v/>
      </c>
      <c r="V203">
        <f>IF($U203="","",$P203&amp;"|"&amp;RIGHT("000000"&amp;$U203,6))</f>
        <v/>
      </c>
      <c r="W203">
        <f>IF($T203="","",COUNTIFS(LdBGroup,$R203,LdBKey,"&lt;"&amp;$T203)+1)</f>
        <v/>
      </c>
      <c r="X203">
        <f>IF($W203="","",$R203&amp;"|"&amp;RIGHT("000000"&amp;$W203,6))</f>
        <v/>
      </c>
      <c r="Y203">
        <f>IF($P203="","",IF(Shares!$E206="",0,Shares!$E206))</f>
        <v/>
      </c>
      <c r="Z203">
        <f>IF($P203="","",Shares!$H206)</f>
        <v/>
      </c>
      <c r="AE203">
        <f>IF(OR(Sync!$S203="",Sync!$P203=""),"",Sync!$S203)</f>
        <v/>
      </c>
      <c r="AF203">
        <f>IF($AE203="","",IF(ISNUMBER(Sync!$P203),IF(AND(Sync!$P203&gt;=10000101,Sync!$P203&lt;=99991231),INT(Sync!$P203/10000),""),IFERROR(VALUE(TRIM(LEFT(Sync!$P203,FIND("/",Sync!$P203)-1))),"")))</f>
        <v/>
      </c>
      <c r="AG203">
        <f>IF(OR($AE203="",$AF203=""),"",IF(ISNUMBER(Sync!$P203),INT(MOD(Sync!$P203,10000)/100),IFERROR(VALUE(TRIM(LEFT(MID(Sync!$P203,FIND("/",Sync!$P203)+1,20),FIND("/",MID(Sync!$P203,FIND("/",Sync!$P203)+1,20))-1))),"")))</f>
        <v/>
      </c>
      <c r="AH203">
        <f>IF(OR($AE203="",$AF203=""),"",IF(ISNUMBER(Sync!$P203),MOD(Sync!$P203,100),IFERROR(VALUE(TRIM(MID(MID(Sync!$P203,FIND("/",Sync!$P203)+1,20),FIND("/",MID(Sync!$P203,FIND("/",Sync!$P203)+1,20))+1,20))),"")))</f>
        <v/>
      </c>
      <c r="AI203">
        <f>IF($AE203="","",IF(OR($AF203="",$AG203="",$AH203="",$AF203&lt;1300,$AF203&gt;1500,$AG203&lt;1,$AG203&gt;12,$AH203&lt;1,$AH203&gt;31),"نامعتبر",RIGHT("0000"&amp;$AF203,4)&amp;"/"&amp;RIGHT("00"&amp;$AG203,2)&amp;"/"&amp;RIGHT("00"&amp;$AH203,2)))</f>
        <v/>
      </c>
      <c r="AJ203">
        <f>IF($AE203="","",IF(Sync!$Q203="","0000",IF(AND(ISNUMBER(Sync!$Q203),Sync!$Q203&gt;=0,Sync!$Q203&lt;1),RIGHT("00"&amp;HOUR(Sync!$Q203),2)&amp;RIGHT("00"&amp;MINUTE(Sync!$Q203),2),IFERROR(RIGHT("00"&amp;VALUE(LEFT(Sync!$Q203,FIND(":",Sync!$Q203)-1)),2)&amp;RIGHT("00"&amp;VALUE(MID(Sync!$Q203,FIND(":",Sync!$Q203)+1,2)),2),"0000"))))</f>
        <v/>
      </c>
      <c r="AK203">
        <f>IF(OR($AE203="",$AI203="",$AI203="نامعتبر"),"",LEFT($AI203,4)&amp;MID($AI203,6,2)&amp;RIGHT($AI203,2)&amp;$AJ203&amp;"|"&amp;"3"&amp;RIGHT("00000"&amp;198,5))</f>
        <v/>
      </c>
      <c r="AL203">
        <f>IF($AK203="","",COUNTIFS(LdAParty,$AE203,LdAType,1,LdAKey,"&lt;"&amp;$AK203)+COUNTIFS(LdBMember,$AE203,LdBKey,"&lt;"&amp;$AK203)+COUNTIFS(LdCParty,$AE203,LdCKey,"&lt;"&amp;$AK203)+1)</f>
        <v/>
      </c>
      <c r="AM203">
        <f>IF($AL203="","",$AE203&amp;"|"&amp;RIGHT("000000"&amp;$AL203,6))</f>
        <v/>
      </c>
      <c r="AN203">
        <f>IF($AE203="","",IF(Sync!$W203="",0,Sync!$W203))</f>
        <v/>
      </c>
      <c r="AO203">
        <f>IF($AE203="","",IF(Sync!$X203="",0,Sync!$X203))</f>
        <v/>
      </c>
      <c r="AP203">
        <f>IF($AE203="","",Sync!$R203)</f>
        <v/>
      </c>
      <c r="AQ203">
        <f>IF($AE203="","",Sync!$Y203)</f>
        <v/>
      </c>
    </row>
    <row r="204">
      <c r="A204">
        <f>IF(OR(Wages!$B207="",Wages!$E207=""),"",Wages!$E207)</f>
        <v/>
      </c>
      <c r="B204">
        <f>IF($A204="","",IF(Wages!$C207="دستمزد گروهی",2,1))</f>
        <v/>
      </c>
      <c r="C204">
        <f>IF($A204="","",IF(ISNUMBER(Wages!$B207),IF(AND(Wages!$B207&gt;=10000101,Wages!$B207&lt;=99991231),INT(Wages!$B207/10000),""),IFERROR(VALUE(TRIM(LEFT(Wages!$B207,FIND("/",Wages!$B207)-1))),"")))</f>
        <v/>
      </c>
      <c r="D204">
        <f>IF(OR($A204="",$C204=""),"",IF(ISNUMBER(Wages!$B207),INT(MOD(Wages!$B207,10000)/100),IFERROR(VALUE(TRIM(LEFT(MID(Wages!$B207,FIND("/",Wages!$B207)+1,20),FIND("/",MID(Wages!$B207,FIND("/",Wages!$B207)+1,20))-1))),"")))</f>
        <v/>
      </c>
      <c r="E204">
        <f>IF(OR($A204="",$C204=""),"",IF(ISNUMBER(Wages!$B207),MOD(Wages!$B207,100),IFERROR(VALUE(TRIM(MID(MID(Wages!$B207,FIND("/",Wages!$B207)+1,20),FIND("/",MID(Wages!$B207,FIND("/",Wages!$B207)+1,20))+1,20))),"")))</f>
        <v/>
      </c>
      <c r="F204">
        <f>IF($A204="","",IF(OR($C204="",$D204="",$E204="",$C204&lt;1300,$C204&gt;1500,$D204&lt;1,$D204&gt;12,$E204&lt;1,$E204&gt;31),"نامعتبر",RIGHT("0000"&amp;$C204,4)&amp;"/"&amp;RIGHT("00"&amp;$D204,2)&amp;"/"&amp;RIGHT("00"&amp;$E204,2)))</f>
        <v/>
      </c>
      <c r="G204">
        <f>IF(OR($A204="",$F204="",$F204="نامعتبر"),"",LEFT($F204,4)&amp;MID($F204,6,2)&amp;RIGHT($F204,2)&amp;"0000"&amp;"|"&amp;"1"&amp;RIGHT("00000"&amp;199,5))</f>
        <v/>
      </c>
      <c r="H204">
        <f>IF(OR($B204&lt;&gt;1,$G204=""),"",COUNTIFS(LdAParty,$A204,LdAType,1,LdAKey,"&lt;"&amp;$G204)+COUNTIFS(LdBMember,$A204,LdBKey,"&lt;"&amp;$G204)+COUNTIFS(LdCParty,$A204,LdCKey,"&lt;"&amp;$G204)+1)</f>
        <v/>
      </c>
      <c r="I204">
        <f>IF($H204="","",$A204&amp;"|"&amp;RIGHT("000000"&amp;$H204,6))</f>
        <v/>
      </c>
      <c r="J204">
        <f>IF(OR($B204&lt;&gt;2,$G204=""),"",COUNTIFS(LdAParty,$A204,LdAType,2,LdAKey,"&lt;"&amp;$G204)+1)</f>
        <v/>
      </c>
      <c r="K204">
        <f>IF($J204="","",$A204&amp;"|"&amp;RIGHT("000000"&amp;$J204,6))</f>
        <v/>
      </c>
      <c r="L204">
        <f>IF($A204="","",IF(Wages!$G207="",0,Wages!$G207))</f>
        <v/>
      </c>
      <c r="M204">
        <f>IF($A204="","",Wages!$J207)</f>
        <v/>
      </c>
      <c r="N204">
        <f>IF($A204="","",Wages!$D207)</f>
        <v/>
      </c>
      <c r="P204">
        <f>IF(OR(Shares!$B207="",Shares!$C207=""),"",Shares!$C207)</f>
        <v/>
      </c>
      <c r="Q204">
        <f>IF($P204="","",Shares!$B207)</f>
        <v/>
      </c>
      <c r="R204">
        <f>IF($P204="","",IFERROR(INDEX(WageParty,MATCH($Q204,WageIds,0)),""))</f>
        <v/>
      </c>
      <c r="S204">
        <f>IF($P204="","",IFERROR(INDEX($F$6:$F$2005,MATCH($Q204,WageIds,0)),""))</f>
        <v/>
      </c>
      <c r="T204">
        <f>IF(OR($P204="",$S204="",$S204="نامعتبر"),"",LEFT($S204,4)&amp;MID($S204,6,2)&amp;RIGHT($S204,2)&amp;"0000"&amp;"|"&amp;"2"&amp;RIGHT("00000"&amp;199,5))</f>
        <v/>
      </c>
      <c r="U204">
        <f>IF($T204="","",COUNTIFS(LdAParty,$P204,LdAType,1,LdAKey,"&lt;"&amp;$T204)+COUNTIFS(LdBMember,$P204,LdBKey,"&lt;"&amp;$T204)+COUNTIFS(LdCParty,$P204,LdCKey,"&lt;"&amp;$T204)+1)</f>
        <v/>
      </c>
      <c r="V204">
        <f>IF($U204="","",$P204&amp;"|"&amp;RIGHT("000000"&amp;$U204,6))</f>
        <v/>
      </c>
      <c r="W204">
        <f>IF($T204="","",COUNTIFS(LdBGroup,$R204,LdBKey,"&lt;"&amp;$T204)+1)</f>
        <v/>
      </c>
      <c r="X204">
        <f>IF($W204="","",$R204&amp;"|"&amp;RIGHT("000000"&amp;$W204,6))</f>
        <v/>
      </c>
      <c r="Y204">
        <f>IF($P204="","",IF(Shares!$E207="",0,Shares!$E207))</f>
        <v/>
      </c>
      <c r="Z204">
        <f>IF($P204="","",Shares!$H207)</f>
        <v/>
      </c>
      <c r="AE204">
        <f>IF(OR(Sync!$S204="",Sync!$P204=""),"",Sync!$S204)</f>
        <v/>
      </c>
      <c r="AF204">
        <f>IF($AE204="","",IF(ISNUMBER(Sync!$P204),IF(AND(Sync!$P204&gt;=10000101,Sync!$P204&lt;=99991231),INT(Sync!$P204/10000),""),IFERROR(VALUE(TRIM(LEFT(Sync!$P204,FIND("/",Sync!$P204)-1))),"")))</f>
        <v/>
      </c>
      <c r="AG204">
        <f>IF(OR($AE204="",$AF204=""),"",IF(ISNUMBER(Sync!$P204),INT(MOD(Sync!$P204,10000)/100),IFERROR(VALUE(TRIM(LEFT(MID(Sync!$P204,FIND("/",Sync!$P204)+1,20),FIND("/",MID(Sync!$P204,FIND("/",Sync!$P204)+1,20))-1))),"")))</f>
        <v/>
      </c>
      <c r="AH204">
        <f>IF(OR($AE204="",$AF204=""),"",IF(ISNUMBER(Sync!$P204),MOD(Sync!$P204,100),IFERROR(VALUE(TRIM(MID(MID(Sync!$P204,FIND("/",Sync!$P204)+1,20),FIND("/",MID(Sync!$P204,FIND("/",Sync!$P204)+1,20))+1,20))),"")))</f>
        <v/>
      </c>
      <c r="AI204">
        <f>IF($AE204="","",IF(OR($AF204="",$AG204="",$AH204="",$AF204&lt;1300,$AF204&gt;1500,$AG204&lt;1,$AG204&gt;12,$AH204&lt;1,$AH204&gt;31),"نامعتبر",RIGHT("0000"&amp;$AF204,4)&amp;"/"&amp;RIGHT("00"&amp;$AG204,2)&amp;"/"&amp;RIGHT("00"&amp;$AH204,2)))</f>
        <v/>
      </c>
      <c r="AJ204">
        <f>IF($AE204="","",IF(Sync!$Q204="","0000",IF(AND(ISNUMBER(Sync!$Q204),Sync!$Q204&gt;=0,Sync!$Q204&lt;1),RIGHT("00"&amp;HOUR(Sync!$Q204),2)&amp;RIGHT("00"&amp;MINUTE(Sync!$Q204),2),IFERROR(RIGHT("00"&amp;VALUE(LEFT(Sync!$Q204,FIND(":",Sync!$Q204)-1)),2)&amp;RIGHT("00"&amp;VALUE(MID(Sync!$Q204,FIND(":",Sync!$Q204)+1,2)),2),"0000"))))</f>
        <v/>
      </c>
      <c r="AK204">
        <f>IF(OR($AE204="",$AI204="",$AI204="نامعتبر"),"",LEFT($AI204,4)&amp;MID($AI204,6,2)&amp;RIGHT($AI204,2)&amp;$AJ204&amp;"|"&amp;"3"&amp;RIGHT("00000"&amp;199,5))</f>
        <v/>
      </c>
      <c r="AL204">
        <f>IF($AK204="","",COUNTIFS(LdAParty,$AE204,LdAType,1,LdAKey,"&lt;"&amp;$AK204)+COUNTIFS(LdBMember,$AE204,LdBKey,"&lt;"&amp;$AK204)+COUNTIFS(LdCParty,$AE204,LdCKey,"&lt;"&amp;$AK204)+1)</f>
        <v/>
      </c>
      <c r="AM204">
        <f>IF($AL204="","",$AE204&amp;"|"&amp;RIGHT("000000"&amp;$AL204,6))</f>
        <v/>
      </c>
      <c r="AN204">
        <f>IF($AE204="","",IF(Sync!$W204="",0,Sync!$W204))</f>
        <v/>
      </c>
      <c r="AO204">
        <f>IF($AE204="","",IF(Sync!$X204="",0,Sync!$X204))</f>
        <v/>
      </c>
      <c r="AP204">
        <f>IF($AE204="","",Sync!$R204)</f>
        <v/>
      </c>
      <c r="AQ204">
        <f>IF($AE204="","",Sync!$Y204)</f>
        <v/>
      </c>
    </row>
    <row r="205">
      <c r="A205">
        <f>IF(OR(Wages!$B208="",Wages!$E208=""),"",Wages!$E208)</f>
        <v/>
      </c>
      <c r="B205">
        <f>IF($A205="","",IF(Wages!$C208="دستمزد گروهی",2,1))</f>
        <v/>
      </c>
      <c r="C205">
        <f>IF($A205="","",IF(ISNUMBER(Wages!$B208),IF(AND(Wages!$B208&gt;=10000101,Wages!$B208&lt;=99991231),INT(Wages!$B208/10000),""),IFERROR(VALUE(TRIM(LEFT(Wages!$B208,FIND("/",Wages!$B208)-1))),"")))</f>
        <v/>
      </c>
      <c r="D205">
        <f>IF(OR($A205="",$C205=""),"",IF(ISNUMBER(Wages!$B208),INT(MOD(Wages!$B208,10000)/100),IFERROR(VALUE(TRIM(LEFT(MID(Wages!$B208,FIND("/",Wages!$B208)+1,20),FIND("/",MID(Wages!$B208,FIND("/",Wages!$B208)+1,20))-1))),"")))</f>
        <v/>
      </c>
      <c r="E205">
        <f>IF(OR($A205="",$C205=""),"",IF(ISNUMBER(Wages!$B208),MOD(Wages!$B208,100),IFERROR(VALUE(TRIM(MID(MID(Wages!$B208,FIND("/",Wages!$B208)+1,20),FIND("/",MID(Wages!$B208,FIND("/",Wages!$B208)+1,20))+1,20))),"")))</f>
        <v/>
      </c>
      <c r="F205">
        <f>IF($A205="","",IF(OR($C205="",$D205="",$E205="",$C205&lt;1300,$C205&gt;1500,$D205&lt;1,$D205&gt;12,$E205&lt;1,$E205&gt;31),"نامعتبر",RIGHT("0000"&amp;$C205,4)&amp;"/"&amp;RIGHT("00"&amp;$D205,2)&amp;"/"&amp;RIGHT("00"&amp;$E205,2)))</f>
        <v/>
      </c>
      <c r="G205">
        <f>IF(OR($A205="",$F205="",$F205="نامعتبر"),"",LEFT($F205,4)&amp;MID($F205,6,2)&amp;RIGHT($F205,2)&amp;"0000"&amp;"|"&amp;"1"&amp;RIGHT("00000"&amp;200,5))</f>
        <v/>
      </c>
      <c r="H205">
        <f>IF(OR($B205&lt;&gt;1,$G205=""),"",COUNTIFS(LdAParty,$A205,LdAType,1,LdAKey,"&lt;"&amp;$G205)+COUNTIFS(LdBMember,$A205,LdBKey,"&lt;"&amp;$G205)+COUNTIFS(LdCParty,$A205,LdCKey,"&lt;"&amp;$G205)+1)</f>
        <v/>
      </c>
      <c r="I205">
        <f>IF($H205="","",$A205&amp;"|"&amp;RIGHT("000000"&amp;$H205,6))</f>
        <v/>
      </c>
      <c r="J205">
        <f>IF(OR($B205&lt;&gt;2,$G205=""),"",COUNTIFS(LdAParty,$A205,LdAType,2,LdAKey,"&lt;"&amp;$G205)+1)</f>
        <v/>
      </c>
      <c r="K205">
        <f>IF($J205="","",$A205&amp;"|"&amp;RIGHT("000000"&amp;$J205,6))</f>
        <v/>
      </c>
      <c r="L205">
        <f>IF($A205="","",IF(Wages!$G208="",0,Wages!$G208))</f>
        <v/>
      </c>
      <c r="M205">
        <f>IF($A205="","",Wages!$J208)</f>
        <v/>
      </c>
      <c r="N205">
        <f>IF($A205="","",Wages!$D208)</f>
        <v/>
      </c>
      <c r="P205">
        <f>IF(OR(Shares!$B208="",Shares!$C208=""),"",Shares!$C208)</f>
        <v/>
      </c>
      <c r="Q205">
        <f>IF($P205="","",Shares!$B208)</f>
        <v/>
      </c>
      <c r="R205">
        <f>IF($P205="","",IFERROR(INDEX(WageParty,MATCH($Q205,WageIds,0)),""))</f>
        <v/>
      </c>
      <c r="S205">
        <f>IF($P205="","",IFERROR(INDEX($F$6:$F$2005,MATCH($Q205,WageIds,0)),""))</f>
        <v/>
      </c>
      <c r="T205">
        <f>IF(OR($P205="",$S205="",$S205="نامعتبر"),"",LEFT($S205,4)&amp;MID($S205,6,2)&amp;RIGHT($S205,2)&amp;"0000"&amp;"|"&amp;"2"&amp;RIGHT("00000"&amp;200,5))</f>
        <v/>
      </c>
      <c r="U205">
        <f>IF($T205="","",COUNTIFS(LdAParty,$P205,LdAType,1,LdAKey,"&lt;"&amp;$T205)+COUNTIFS(LdBMember,$P205,LdBKey,"&lt;"&amp;$T205)+COUNTIFS(LdCParty,$P205,LdCKey,"&lt;"&amp;$T205)+1)</f>
        <v/>
      </c>
      <c r="V205">
        <f>IF($U205="","",$P205&amp;"|"&amp;RIGHT("000000"&amp;$U205,6))</f>
        <v/>
      </c>
      <c r="W205">
        <f>IF($T205="","",COUNTIFS(LdBGroup,$R205,LdBKey,"&lt;"&amp;$T205)+1)</f>
        <v/>
      </c>
      <c r="X205">
        <f>IF($W205="","",$R205&amp;"|"&amp;RIGHT("000000"&amp;$W205,6))</f>
        <v/>
      </c>
      <c r="Y205">
        <f>IF($P205="","",IF(Shares!$E208="",0,Shares!$E208))</f>
        <v/>
      </c>
      <c r="Z205">
        <f>IF($P205="","",Shares!$H208)</f>
        <v/>
      </c>
      <c r="AE205">
        <f>IF(OR(Sync!$S205="",Sync!$P205=""),"",Sync!$S205)</f>
        <v/>
      </c>
      <c r="AF205">
        <f>IF($AE205="","",IF(ISNUMBER(Sync!$P205),IF(AND(Sync!$P205&gt;=10000101,Sync!$P205&lt;=99991231),INT(Sync!$P205/10000),""),IFERROR(VALUE(TRIM(LEFT(Sync!$P205,FIND("/",Sync!$P205)-1))),"")))</f>
        <v/>
      </c>
      <c r="AG205">
        <f>IF(OR($AE205="",$AF205=""),"",IF(ISNUMBER(Sync!$P205),INT(MOD(Sync!$P205,10000)/100),IFERROR(VALUE(TRIM(LEFT(MID(Sync!$P205,FIND("/",Sync!$P205)+1,20),FIND("/",MID(Sync!$P205,FIND("/",Sync!$P205)+1,20))-1))),"")))</f>
        <v/>
      </c>
      <c r="AH205">
        <f>IF(OR($AE205="",$AF205=""),"",IF(ISNUMBER(Sync!$P205),MOD(Sync!$P205,100),IFERROR(VALUE(TRIM(MID(MID(Sync!$P205,FIND("/",Sync!$P205)+1,20),FIND("/",MID(Sync!$P205,FIND("/",Sync!$P205)+1,20))+1,20))),"")))</f>
        <v/>
      </c>
      <c r="AI205">
        <f>IF($AE205="","",IF(OR($AF205="",$AG205="",$AH205="",$AF205&lt;1300,$AF205&gt;1500,$AG205&lt;1,$AG205&gt;12,$AH205&lt;1,$AH205&gt;31),"نامعتبر",RIGHT("0000"&amp;$AF205,4)&amp;"/"&amp;RIGHT("00"&amp;$AG205,2)&amp;"/"&amp;RIGHT("00"&amp;$AH205,2)))</f>
        <v/>
      </c>
      <c r="AJ205">
        <f>IF($AE205="","",IF(Sync!$Q205="","0000",IF(AND(ISNUMBER(Sync!$Q205),Sync!$Q205&gt;=0,Sync!$Q205&lt;1),RIGHT("00"&amp;HOUR(Sync!$Q205),2)&amp;RIGHT("00"&amp;MINUTE(Sync!$Q205),2),IFERROR(RIGHT("00"&amp;VALUE(LEFT(Sync!$Q205,FIND(":",Sync!$Q205)-1)),2)&amp;RIGHT("00"&amp;VALUE(MID(Sync!$Q205,FIND(":",Sync!$Q205)+1,2)),2),"0000"))))</f>
        <v/>
      </c>
      <c r="AK205">
        <f>IF(OR($AE205="",$AI205="",$AI205="نامعتبر"),"",LEFT($AI205,4)&amp;MID($AI205,6,2)&amp;RIGHT($AI205,2)&amp;$AJ205&amp;"|"&amp;"3"&amp;RIGHT("00000"&amp;200,5))</f>
        <v/>
      </c>
      <c r="AL205">
        <f>IF($AK205="","",COUNTIFS(LdAParty,$AE205,LdAType,1,LdAKey,"&lt;"&amp;$AK205)+COUNTIFS(LdBMember,$AE205,LdBKey,"&lt;"&amp;$AK205)+COUNTIFS(LdCParty,$AE205,LdCKey,"&lt;"&amp;$AK205)+1)</f>
        <v/>
      </c>
      <c r="AM205">
        <f>IF($AL205="","",$AE205&amp;"|"&amp;RIGHT("000000"&amp;$AL205,6))</f>
        <v/>
      </c>
      <c r="AN205">
        <f>IF($AE205="","",IF(Sync!$W205="",0,Sync!$W205))</f>
        <v/>
      </c>
      <c r="AO205">
        <f>IF($AE205="","",IF(Sync!$X205="",0,Sync!$X205))</f>
        <v/>
      </c>
      <c r="AP205">
        <f>IF($AE205="","",Sync!$R205)</f>
        <v/>
      </c>
      <c r="AQ205">
        <f>IF($AE205="","",Sync!$Y205)</f>
        <v/>
      </c>
    </row>
    <row r="206">
      <c r="A206">
        <f>IF(OR(Wages!$B209="",Wages!$E209=""),"",Wages!$E209)</f>
        <v/>
      </c>
      <c r="B206">
        <f>IF($A206="","",IF(Wages!$C209="دستمزد گروهی",2,1))</f>
        <v/>
      </c>
      <c r="C206">
        <f>IF($A206="","",IF(ISNUMBER(Wages!$B209),IF(AND(Wages!$B209&gt;=10000101,Wages!$B209&lt;=99991231),INT(Wages!$B209/10000),""),IFERROR(VALUE(TRIM(LEFT(Wages!$B209,FIND("/",Wages!$B209)-1))),"")))</f>
        <v/>
      </c>
      <c r="D206">
        <f>IF(OR($A206="",$C206=""),"",IF(ISNUMBER(Wages!$B209),INT(MOD(Wages!$B209,10000)/100),IFERROR(VALUE(TRIM(LEFT(MID(Wages!$B209,FIND("/",Wages!$B209)+1,20),FIND("/",MID(Wages!$B209,FIND("/",Wages!$B209)+1,20))-1))),"")))</f>
        <v/>
      </c>
      <c r="E206">
        <f>IF(OR($A206="",$C206=""),"",IF(ISNUMBER(Wages!$B209),MOD(Wages!$B209,100),IFERROR(VALUE(TRIM(MID(MID(Wages!$B209,FIND("/",Wages!$B209)+1,20),FIND("/",MID(Wages!$B209,FIND("/",Wages!$B209)+1,20))+1,20))),"")))</f>
        <v/>
      </c>
      <c r="F206">
        <f>IF($A206="","",IF(OR($C206="",$D206="",$E206="",$C206&lt;1300,$C206&gt;1500,$D206&lt;1,$D206&gt;12,$E206&lt;1,$E206&gt;31),"نامعتبر",RIGHT("0000"&amp;$C206,4)&amp;"/"&amp;RIGHT("00"&amp;$D206,2)&amp;"/"&amp;RIGHT("00"&amp;$E206,2)))</f>
        <v/>
      </c>
      <c r="G206">
        <f>IF(OR($A206="",$F206="",$F206="نامعتبر"),"",LEFT($F206,4)&amp;MID($F206,6,2)&amp;RIGHT($F206,2)&amp;"0000"&amp;"|"&amp;"1"&amp;RIGHT("00000"&amp;201,5))</f>
        <v/>
      </c>
      <c r="H206">
        <f>IF(OR($B206&lt;&gt;1,$G206=""),"",COUNTIFS(LdAParty,$A206,LdAType,1,LdAKey,"&lt;"&amp;$G206)+COUNTIFS(LdBMember,$A206,LdBKey,"&lt;"&amp;$G206)+COUNTIFS(LdCParty,$A206,LdCKey,"&lt;"&amp;$G206)+1)</f>
        <v/>
      </c>
      <c r="I206">
        <f>IF($H206="","",$A206&amp;"|"&amp;RIGHT("000000"&amp;$H206,6))</f>
        <v/>
      </c>
      <c r="J206">
        <f>IF(OR($B206&lt;&gt;2,$G206=""),"",COUNTIFS(LdAParty,$A206,LdAType,2,LdAKey,"&lt;"&amp;$G206)+1)</f>
        <v/>
      </c>
      <c r="K206">
        <f>IF($J206="","",$A206&amp;"|"&amp;RIGHT("000000"&amp;$J206,6))</f>
        <v/>
      </c>
      <c r="L206">
        <f>IF($A206="","",IF(Wages!$G209="",0,Wages!$G209))</f>
        <v/>
      </c>
      <c r="M206">
        <f>IF($A206="","",Wages!$J209)</f>
        <v/>
      </c>
      <c r="N206">
        <f>IF($A206="","",Wages!$D209)</f>
        <v/>
      </c>
      <c r="P206">
        <f>IF(OR(Shares!$B209="",Shares!$C209=""),"",Shares!$C209)</f>
        <v/>
      </c>
      <c r="Q206">
        <f>IF($P206="","",Shares!$B209)</f>
        <v/>
      </c>
      <c r="R206">
        <f>IF($P206="","",IFERROR(INDEX(WageParty,MATCH($Q206,WageIds,0)),""))</f>
        <v/>
      </c>
      <c r="S206">
        <f>IF($P206="","",IFERROR(INDEX($F$6:$F$2005,MATCH($Q206,WageIds,0)),""))</f>
        <v/>
      </c>
      <c r="T206">
        <f>IF(OR($P206="",$S206="",$S206="نامعتبر"),"",LEFT($S206,4)&amp;MID($S206,6,2)&amp;RIGHT($S206,2)&amp;"0000"&amp;"|"&amp;"2"&amp;RIGHT("00000"&amp;201,5))</f>
        <v/>
      </c>
      <c r="U206">
        <f>IF($T206="","",COUNTIFS(LdAParty,$P206,LdAType,1,LdAKey,"&lt;"&amp;$T206)+COUNTIFS(LdBMember,$P206,LdBKey,"&lt;"&amp;$T206)+COUNTIFS(LdCParty,$P206,LdCKey,"&lt;"&amp;$T206)+1)</f>
        <v/>
      </c>
      <c r="V206">
        <f>IF($U206="","",$P206&amp;"|"&amp;RIGHT("000000"&amp;$U206,6))</f>
        <v/>
      </c>
      <c r="W206">
        <f>IF($T206="","",COUNTIFS(LdBGroup,$R206,LdBKey,"&lt;"&amp;$T206)+1)</f>
        <v/>
      </c>
      <c r="X206">
        <f>IF($W206="","",$R206&amp;"|"&amp;RIGHT("000000"&amp;$W206,6))</f>
        <v/>
      </c>
      <c r="Y206">
        <f>IF($P206="","",IF(Shares!$E209="",0,Shares!$E209))</f>
        <v/>
      </c>
      <c r="Z206">
        <f>IF($P206="","",Shares!$H209)</f>
        <v/>
      </c>
      <c r="AE206">
        <f>IF(OR(Sync!$S206="",Sync!$P206=""),"",Sync!$S206)</f>
        <v/>
      </c>
      <c r="AF206">
        <f>IF($AE206="","",IF(ISNUMBER(Sync!$P206),IF(AND(Sync!$P206&gt;=10000101,Sync!$P206&lt;=99991231),INT(Sync!$P206/10000),""),IFERROR(VALUE(TRIM(LEFT(Sync!$P206,FIND("/",Sync!$P206)-1))),"")))</f>
        <v/>
      </c>
      <c r="AG206">
        <f>IF(OR($AE206="",$AF206=""),"",IF(ISNUMBER(Sync!$P206),INT(MOD(Sync!$P206,10000)/100),IFERROR(VALUE(TRIM(LEFT(MID(Sync!$P206,FIND("/",Sync!$P206)+1,20),FIND("/",MID(Sync!$P206,FIND("/",Sync!$P206)+1,20))-1))),"")))</f>
        <v/>
      </c>
      <c r="AH206">
        <f>IF(OR($AE206="",$AF206=""),"",IF(ISNUMBER(Sync!$P206),MOD(Sync!$P206,100),IFERROR(VALUE(TRIM(MID(MID(Sync!$P206,FIND("/",Sync!$P206)+1,20),FIND("/",MID(Sync!$P206,FIND("/",Sync!$P206)+1,20))+1,20))),"")))</f>
        <v/>
      </c>
      <c r="AI206">
        <f>IF($AE206="","",IF(OR($AF206="",$AG206="",$AH206="",$AF206&lt;1300,$AF206&gt;1500,$AG206&lt;1,$AG206&gt;12,$AH206&lt;1,$AH206&gt;31),"نامعتبر",RIGHT("0000"&amp;$AF206,4)&amp;"/"&amp;RIGHT("00"&amp;$AG206,2)&amp;"/"&amp;RIGHT("00"&amp;$AH206,2)))</f>
        <v/>
      </c>
      <c r="AJ206">
        <f>IF($AE206="","",IF(Sync!$Q206="","0000",IF(AND(ISNUMBER(Sync!$Q206),Sync!$Q206&gt;=0,Sync!$Q206&lt;1),RIGHT("00"&amp;HOUR(Sync!$Q206),2)&amp;RIGHT("00"&amp;MINUTE(Sync!$Q206),2),IFERROR(RIGHT("00"&amp;VALUE(LEFT(Sync!$Q206,FIND(":",Sync!$Q206)-1)),2)&amp;RIGHT("00"&amp;VALUE(MID(Sync!$Q206,FIND(":",Sync!$Q206)+1,2)),2),"0000"))))</f>
        <v/>
      </c>
      <c r="AK206">
        <f>IF(OR($AE206="",$AI206="",$AI206="نامعتبر"),"",LEFT($AI206,4)&amp;MID($AI206,6,2)&amp;RIGHT($AI206,2)&amp;$AJ206&amp;"|"&amp;"3"&amp;RIGHT("00000"&amp;201,5))</f>
        <v/>
      </c>
      <c r="AL206">
        <f>IF($AK206="","",COUNTIFS(LdAParty,$AE206,LdAType,1,LdAKey,"&lt;"&amp;$AK206)+COUNTIFS(LdBMember,$AE206,LdBKey,"&lt;"&amp;$AK206)+COUNTIFS(LdCParty,$AE206,LdCKey,"&lt;"&amp;$AK206)+1)</f>
        <v/>
      </c>
      <c r="AM206">
        <f>IF($AL206="","",$AE206&amp;"|"&amp;RIGHT("000000"&amp;$AL206,6))</f>
        <v/>
      </c>
      <c r="AN206">
        <f>IF($AE206="","",IF(Sync!$W206="",0,Sync!$W206))</f>
        <v/>
      </c>
      <c r="AO206">
        <f>IF($AE206="","",IF(Sync!$X206="",0,Sync!$X206))</f>
        <v/>
      </c>
      <c r="AP206">
        <f>IF($AE206="","",Sync!$R206)</f>
        <v/>
      </c>
      <c r="AQ206">
        <f>IF($AE206="","",Sync!$Y206)</f>
        <v/>
      </c>
    </row>
    <row r="207">
      <c r="A207">
        <f>IF(OR(Wages!$B210="",Wages!$E210=""),"",Wages!$E210)</f>
        <v/>
      </c>
      <c r="B207">
        <f>IF($A207="","",IF(Wages!$C210="دستمزد گروهی",2,1))</f>
        <v/>
      </c>
      <c r="C207">
        <f>IF($A207="","",IF(ISNUMBER(Wages!$B210),IF(AND(Wages!$B210&gt;=10000101,Wages!$B210&lt;=99991231),INT(Wages!$B210/10000),""),IFERROR(VALUE(TRIM(LEFT(Wages!$B210,FIND("/",Wages!$B210)-1))),"")))</f>
        <v/>
      </c>
      <c r="D207">
        <f>IF(OR($A207="",$C207=""),"",IF(ISNUMBER(Wages!$B210),INT(MOD(Wages!$B210,10000)/100),IFERROR(VALUE(TRIM(LEFT(MID(Wages!$B210,FIND("/",Wages!$B210)+1,20),FIND("/",MID(Wages!$B210,FIND("/",Wages!$B210)+1,20))-1))),"")))</f>
        <v/>
      </c>
      <c r="E207">
        <f>IF(OR($A207="",$C207=""),"",IF(ISNUMBER(Wages!$B210),MOD(Wages!$B210,100),IFERROR(VALUE(TRIM(MID(MID(Wages!$B210,FIND("/",Wages!$B210)+1,20),FIND("/",MID(Wages!$B210,FIND("/",Wages!$B210)+1,20))+1,20))),"")))</f>
        <v/>
      </c>
      <c r="F207">
        <f>IF($A207="","",IF(OR($C207="",$D207="",$E207="",$C207&lt;1300,$C207&gt;1500,$D207&lt;1,$D207&gt;12,$E207&lt;1,$E207&gt;31),"نامعتبر",RIGHT("0000"&amp;$C207,4)&amp;"/"&amp;RIGHT("00"&amp;$D207,2)&amp;"/"&amp;RIGHT("00"&amp;$E207,2)))</f>
        <v/>
      </c>
      <c r="G207">
        <f>IF(OR($A207="",$F207="",$F207="نامعتبر"),"",LEFT($F207,4)&amp;MID($F207,6,2)&amp;RIGHT($F207,2)&amp;"0000"&amp;"|"&amp;"1"&amp;RIGHT("00000"&amp;202,5))</f>
        <v/>
      </c>
      <c r="H207">
        <f>IF(OR($B207&lt;&gt;1,$G207=""),"",COUNTIFS(LdAParty,$A207,LdAType,1,LdAKey,"&lt;"&amp;$G207)+COUNTIFS(LdBMember,$A207,LdBKey,"&lt;"&amp;$G207)+COUNTIFS(LdCParty,$A207,LdCKey,"&lt;"&amp;$G207)+1)</f>
        <v/>
      </c>
      <c r="I207">
        <f>IF($H207="","",$A207&amp;"|"&amp;RIGHT("000000"&amp;$H207,6))</f>
        <v/>
      </c>
      <c r="J207">
        <f>IF(OR($B207&lt;&gt;2,$G207=""),"",COUNTIFS(LdAParty,$A207,LdAType,2,LdAKey,"&lt;"&amp;$G207)+1)</f>
        <v/>
      </c>
      <c r="K207">
        <f>IF($J207="","",$A207&amp;"|"&amp;RIGHT("000000"&amp;$J207,6))</f>
        <v/>
      </c>
      <c r="L207">
        <f>IF($A207="","",IF(Wages!$G210="",0,Wages!$G210))</f>
        <v/>
      </c>
      <c r="M207">
        <f>IF($A207="","",Wages!$J210)</f>
        <v/>
      </c>
      <c r="N207">
        <f>IF($A207="","",Wages!$D210)</f>
        <v/>
      </c>
      <c r="P207">
        <f>IF(OR(Shares!$B210="",Shares!$C210=""),"",Shares!$C210)</f>
        <v/>
      </c>
      <c r="Q207">
        <f>IF($P207="","",Shares!$B210)</f>
        <v/>
      </c>
      <c r="R207">
        <f>IF($P207="","",IFERROR(INDEX(WageParty,MATCH($Q207,WageIds,0)),""))</f>
        <v/>
      </c>
      <c r="S207">
        <f>IF($P207="","",IFERROR(INDEX($F$6:$F$2005,MATCH($Q207,WageIds,0)),""))</f>
        <v/>
      </c>
      <c r="T207">
        <f>IF(OR($P207="",$S207="",$S207="نامعتبر"),"",LEFT($S207,4)&amp;MID($S207,6,2)&amp;RIGHT($S207,2)&amp;"0000"&amp;"|"&amp;"2"&amp;RIGHT("00000"&amp;202,5))</f>
        <v/>
      </c>
      <c r="U207">
        <f>IF($T207="","",COUNTIFS(LdAParty,$P207,LdAType,1,LdAKey,"&lt;"&amp;$T207)+COUNTIFS(LdBMember,$P207,LdBKey,"&lt;"&amp;$T207)+COUNTIFS(LdCParty,$P207,LdCKey,"&lt;"&amp;$T207)+1)</f>
        <v/>
      </c>
      <c r="V207">
        <f>IF($U207="","",$P207&amp;"|"&amp;RIGHT("000000"&amp;$U207,6))</f>
        <v/>
      </c>
      <c r="W207">
        <f>IF($T207="","",COUNTIFS(LdBGroup,$R207,LdBKey,"&lt;"&amp;$T207)+1)</f>
        <v/>
      </c>
      <c r="X207">
        <f>IF($W207="","",$R207&amp;"|"&amp;RIGHT("000000"&amp;$W207,6))</f>
        <v/>
      </c>
      <c r="Y207">
        <f>IF($P207="","",IF(Shares!$E210="",0,Shares!$E210))</f>
        <v/>
      </c>
      <c r="Z207">
        <f>IF($P207="","",Shares!$H210)</f>
        <v/>
      </c>
      <c r="AE207">
        <f>IF(OR(Sync!$S207="",Sync!$P207=""),"",Sync!$S207)</f>
        <v/>
      </c>
      <c r="AF207">
        <f>IF($AE207="","",IF(ISNUMBER(Sync!$P207),IF(AND(Sync!$P207&gt;=10000101,Sync!$P207&lt;=99991231),INT(Sync!$P207/10000),""),IFERROR(VALUE(TRIM(LEFT(Sync!$P207,FIND("/",Sync!$P207)-1))),"")))</f>
        <v/>
      </c>
      <c r="AG207">
        <f>IF(OR($AE207="",$AF207=""),"",IF(ISNUMBER(Sync!$P207),INT(MOD(Sync!$P207,10000)/100),IFERROR(VALUE(TRIM(LEFT(MID(Sync!$P207,FIND("/",Sync!$P207)+1,20),FIND("/",MID(Sync!$P207,FIND("/",Sync!$P207)+1,20))-1))),"")))</f>
        <v/>
      </c>
      <c r="AH207">
        <f>IF(OR($AE207="",$AF207=""),"",IF(ISNUMBER(Sync!$P207),MOD(Sync!$P207,100),IFERROR(VALUE(TRIM(MID(MID(Sync!$P207,FIND("/",Sync!$P207)+1,20),FIND("/",MID(Sync!$P207,FIND("/",Sync!$P207)+1,20))+1,20))),"")))</f>
        <v/>
      </c>
      <c r="AI207">
        <f>IF($AE207="","",IF(OR($AF207="",$AG207="",$AH207="",$AF207&lt;1300,$AF207&gt;1500,$AG207&lt;1,$AG207&gt;12,$AH207&lt;1,$AH207&gt;31),"نامعتبر",RIGHT("0000"&amp;$AF207,4)&amp;"/"&amp;RIGHT("00"&amp;$AG207,2)&amp;"/"&amp;RIGHT("00"&amp;$AH207,2)))</f>
        <v/>
      </c>
      <c r="AJ207">
        <f>IF($AE207="","",IF(Sync!$Q207="","0000",IF(AND(ISNUMBER(Sync!$Q207),Sync!$Q207&gt;=0,Sync!$Q207&lt;1),RIGHT("00"&amp;HOUR(Sync!$Q207),2)&amp;RIGHT("00"&amp;MINUTE(Sync!$Q207),2),IFERROR(RIGHT("00"&amp;VALUE(LEFT(Sync!$Q207,FIND(":",Sync!$Q207)-1)),2)&amp;RIGHT("00"&amp;VALUE(MID(Sync!$Q207,FIND(":",Sync!$Q207)+1,2)),2),"0000"))))</f>
        <v/>
      </c>
      <c r="AK207">
        <f>IF(OR($AE207="",$AI207="",$AI207="نامعتبر"),"",LEFT($AI207,4)&amp;MID($AI207,6,2)&amp;RIGHT($AI207,2)&amp;$AJ207&amp;"|"&amp;"3"&amp;RIGHT("00000"&amp;202,5))</f>
        <v/>
      </c>
      <c r="AL207">
        <f>IF($AK207="","",COUNTIFS(LdAParty,$AE207,LdAType,1,LdAKey,"&lt;"&amp;$AK207)+COUNTIFS(LdBMember,$AE207,LdBKey,"&lt;"&amp;$AK207)+COUNTIFS(LdCParty,$AE207,LdCKey,"&lt;"&amp;$AK207)+1)</f>
        <v/>
      </c>
      <c r="AM207">
        <f>IF($AL207="","",$AE207&amp;"|"&amp;RIGHT("000000"&amp;$AL207,6))</f>
        <v/>
      </c>
      <c r="AN207">
        <f>IF($AE207="","",IF(Sync!$W207="",0,Sync!$W207))</f>
        <v/>
      </c>
      <c r="AO207">
        <f>IF($AE207="","",IF(Sync!$X207="",0,Sync!$X207))</f>
        <v/>
      </c>
      <c r="AP207">
        <f>IF($AE207="","",Sync!$R207)</f>
        <v/>
      </c>
      <c r="AQ207">
        <f>IF($AE207="","",Sync!$Y207)</f>
        <v/>
      </c>
    </row>
    <row r="208">
      <c r="A208">
        <f>IF(OR(Wages!$B211="",Wages!$E211=""),"",Wages!$E211)</f>
        <v/>
      </c>
      <c r="B208">
        <f>IF($A208="","",IF(Wages!$C211="دستمزد گروهی",2,1))</f>
        <v/>
      </c>
      <c r="C208">
        <f>IF($A208="","",IF(ISNUMBER(Wages!$B211),IF(AND(Wages!$B211&gt;=10000101,Wages!$B211&lt;=99991231),INT(Wages!$B211/10000),""),IFERROR(VALUE(TRIM(LEFT(Wages!$B211,FIND("/",Wages!$B211)-1))),"")))</f>
        <v/>
      </c>
      <c r="D208">
        <f>IF(OR($A208="",$C208=""),"",IF(ISNUMBER(Wages!$B211),INT(MOD(Wages!$B211,10000)/100),IFERROR(VALUE(TRIM(LEFT(MID(Wages!$B211,FIND("/",Wages!$B211)+1,20),FIND("/",MID(Wages!$B211,FIND("/",Wages!$B211)+1,20))-1))),"")))</f>
        <v/>
      </c>
      <c r="E208">
        <f>IF(OR($A208="",$C208=""),"",IF(ISNUMBER(Wages!$B211),MOD(Wages!$B211,100),IFERROR(VALUE(TRIM(MID(MID(Wages!$B211,FIND("/",Wages!$B211)+1,20),FIND("/",MID(Wages!$B211,FIND("/",Wages!$B211)+1,20))+1,20))),"")))</f>
        <v/>
      </c>
      <c r="F208">
        <f>IF($A208="","",IF(OR($C208="",$D208="",$E208="",$C208&lt;1300,$C208&gt;1500,$D208&lt;1,$D208&gt;12,$E208&lt;1,$E208&gt;31),"نامعتبر",RIGHT("0000"&amp;$C208,4)&amp;"/"&amp;RIGHT("00"&amp;$D208,2)&amp;"/"&amp;RIGHT("00"&amp;$E208,2)))</f>
        <v/>
      </c>
      <c r="G208">
        <f>IF(OR($A208="",$F208="",$F208="نامعتبر"),"",LEFT($F208,4)&amp;MID($F208,6,2)&amp;RIGHT($F208,2)&amp;"0000"&amp;"|"&amp;"1"&amp;RIGHT("00000"&amp;203,5))</f>
        <v/>
      </c>
      <c r="H208">
        <f>IF(OR($B208&lt;&gt;1,$G208=""),"",COUNTIFS(LdAParty,$A208,LdAType,1,LdAKey,"&lt;"&amp;$G208)+COUNTIFS(LdBMember,$A208,LdBKey,"&lt;"&amp;$G208)+COUNTIFS(LdCParty,$A208,LdCKey,"&lt;"&amp;$G208)+1)</f>
        <v/>
      </c>
      <c r="I208">
        <f>IF($H208="","",$A208&amp;"|"&amp;RIGHT("000000"&amp;$H208,6))</f>
        <v/>
      </c>
      <c r="J208">
        <f>IF(OR($B208&lt;&gt;2,$G208=""),"",COUNTIFS(LdAParty,$A208,LdAType,2,LdAKey,"&lt;"&amp;$G208)+1)</f>
        <v/>
      </c>
      <c r="K208">
        <f>IF($J208="","",$A208&amp;"|"&amp;RIGHT("000000"&amp;$J208,6))</f>
        <v/>
      </c>
      <c r="L208">
        <f>IF($A208="","",IF(Wages!$G211="",0,Wages!$G211))</f>
        <v/>
      </c>
      <c r="M208">
        <f>IF($A208="","",Wages!$J211)</f>
        <v/>
      </c>
      <c r="N208">
        <f>IF($A208="","",Wages!$D211)</f>
        <v/>
      </c>
      <c r="P208">
        <f>IF(OR(Shares!$B211="",Shares!$C211=""),"",Shares!$C211)</f>
        <v/>
      </c>
      <c r="Q208">
        <f>IF($P208="","",Shares!$B211)</f>
        <v/>
      </c>
      <c r="R208">
        <f>IF($P208="","",IFERROR(INDEX(WageParty,MATCH($Q208,WageIds,0)),""))</f>
        <v/>
      </c>
      <c r="S208">
        <f>IF($P208="","",IFERROR(INDEX($F$6:$F$2005,MATCH($Q208,WageIds,0)),""))</f>
        <v/>
      </c>
      <c r="T208">
        <f>IF(OR($P208="",$S208="",$S208="نامعتبر"),"",LEFT($S208,4)&amp;MID($S208,6,2)&amp;RIGHT($S208,2)&amp;"0000"&amp;"|"&amp;"2"&amp;RIGHT("00000"&amp;203,5))</f>
        <v/>
      </c>
      <c r="U208">
        <f>IF($T208="","",COUNTIFS(LdAParty,$P208,LdAType,1,LdAKey,"&lt;"&amp;$T208)+COUNTIFS(LdBMember,$P208,LdBKey,"&lt;"&amp;$T208)+COUNTIFS(LdCParty,$P208,LdCKey,"&lt;"&amp;$T208)+1)</f>
        <v/>
      </c>
      <c r="V208">
        <f>IF($U208="","",$P208&amp;"|"&amp;RIGHT("000000"&amp;$U208,6))</f>
        <v/>
      </c>
      <c r="W208">
        <f>IF($T208="","",COUNTIFS(LdBGroup,$R208,LdBKey,"&lt;"&amp;$T208)+1)</f>
        <v/>
      </c>
      <c r="X208">
        <f>IF($W208="","",$R208&amp;"|"&amp;RIGHT("000000"&amp;$W208,6))</f>
        <v/>
      </c>
      <c r="Y208">
        <f>IF($P208="","",IF(Shares!$E211="",0,Shares!$E211))</f>
        <v/>
      </c>
      <c r="Z208">
        <f>IF($P208="","",Shares!$H211)</f>
        <v/>
      </c>
      <c r="AE208">
        <f>IF(OR(Sync!$S208="",Sync!$P208=""),"",Sync!$S208)</f>
        <v/>
      </c>
      <c r="AF208">
        <f>IF($AE208="","",IF(ISNUMBER(Sync!$P208),IF(AND(Sync!$P208&gt;=10000101,Sync!$P208&lt;=99991231),INT(Sync!$P208/10000),""),IFERROR(VALUE(TRIM(LEFT(Sync!$P208,FIND("/",Sync!$P208)-1))),"")))</f>
        <v/>
      </c>
      <c r="AG208">
        <f>IF(OR($AE208="",$AF208=""),"",IF(ISNUMBER(Sync!$P208),INT(MOD(Sync!$P208,10000)/100),IFERROR(VALUE(TRIM(LEFT(MID(Sync!$P208,FIND("/",Sync!$P208)+1,20),FIND("/",MID(Sync!$P208,FIND("/",Sync!$P208)+1,20))-1))),"")))</f>
        <v/>
      </c>
      <c r="AH208">
        <f>IF(OR($AE208="",$AF208=""),"",IF(ISNUMBER(Sync!$P208),MOD(Sync!$P208,100),IFERROR(VALUE(TRIM(MID(MID(Sync!$P208,FIND("/",Sync!$P208)+1,20),FIND("/",MID(Sync!$P208,FIND("/",Sync!$P208)+1,20))+1,20))),"")))</f>
        <v/>
      </c>
      <c r="AI208">
        <f>IF($AE208="","",IF(OR($AF208="",$AG208="",$AH208="",$AF208&lt;1300,$AF208&gt;1500,$AG208&lt;1,$AG208&gt;12,$AH208&lt;1,$AH208&gt;31),"نامعتبر",RIGHT("0000"&amp;$AF208,4)&amp;"/"&amp;RIGHT("00"&amp;$AG208,2)&amp;"/"&amp;RIGHT("00"&amp;$AH208,2)))</f>
        <v/>
      </c>
      <c r="AJ208">
        <f>IF($AE208="","",IF(Sync!$Q208="","0000",IF(AND(ISNUMBER(Sync!$Q208),Sync!$Q208&gt;=0,Sync!$Q208&lt;1),RIGHT("00"&amp;HOUR(Sync!$Q208),2)&amp;RIGHT("00"&amp;MINUTE(Sync!$Q208),2),IFERROR(RIGHT("00"&amp;VALUE(LEFT(Sync!$Q208,FIND(":",Sync!$Q208)-1)),2)&amp;RIGHT("00"&amp;VALUE(MID(Sync!$Q208,FIND(":",Sync!$Q208)+1,2)),2),"0000"))))</f>
        <v/>
      </c>
      <c r="AK208">
        <f>IF(OR($AE208="",$AI208="",$AI208="نامعتبر"),"",LEFT($AI208,4)&amp;MID($AI208,6,2)&amp;RIGHT($AI208,2)&amp;$AJ208&amp;"|"&amp;"3"&amp;RIGHT("00000"&amp;203,5))</f>
        <v/>
      </c>
      <c r="AL208">
        <f>IF($AK208="","",COUNTIFS(LdAParty,$AE208,LdAType,1,LdAKey,"&lt;"&amp;$AK208)+COUNTIFS(LdBMember,$AE208,LdBKey,"&lt;"&amp;$AK208)+COUNTIFS(LdCParty,$AE208,LdCKey,"&lt;"&amp;$AK208)+1)</f>
        <v/>
      </c>
      <c r="AM208">
        <f>IF($AL208="","",$AE208&amp;"|"&amp;RIGHT("000000"&amp;$AL208,6))</f>
        <v/>
      </c>
      <c r="AN208">
        <f>IF($AE208="","",IF(Sync!$W208="",0,Sync!$W208))</f>
        <v/>
      </c>
      <c r="AO208">
        <f>IF($AE208="","",IF(Sync!$X208="",0,Sync!$X208))</f>
        <v/>
      </c>
      <c r="AP208">
        <f>IF($AE208="","",Sync!$R208)</f>
        <v/>
      </c>
      <c r="AQ208">
        <f>IF($AE208="","",Sync!$Y208)</f>
        <v/>
      </c>
    </row>
    <row r="209">
      <c r="A209">
        <f>IF(OR(Wages!$B212="",Wages!$E212=""),"",Wages!$E212)</f>
        <v/>
      </c>
      <c r="B209">
        <f>IF($A209="","",IF(Wages!$C212="دستمزد گروهی",2,1))</f>
        <v/>
      </c>
      <c r="C209">
        <f>IF($A209="","",IF(ISNUMBER(Wages!$B212),IF(AND(Wages!$B212&gt;=10000101,Wages!$B212&lt;=99991231),INT(Wages!$B212/10000),""),IFERROR(VALUE(TRIM(LEFT(Wages!$B212,FIND("/",Wages!$B212)-1))),"")))</f>
        <v/>
      </c>
      <c r="D209">
        <f>IF(OR($A209="",$C209=""),"",IF(ISNUMBER(Wages!$B212),INT(MOD(Wages!$B212,10000)/100),IFERROR(VALUE(TRIM(LEFT(MID(Wages!$B212,FIND("/",Wages!$B212)+1,20),FIND("/",MID(Wages!$B212,FIND("/",Wages!$B212)+1,20))-1))),"")))</f>
        <v/>
      </c>
      <c r="E209">
        <f>IF(OR($A209="",$C209=""),"",IF(ISNUMBER(Wages!$B212),MOD(Wages!$B212,100),IFERROR(VALUE(TRIM(MID(MID(Wages!$B212,FIND("/",Wages!$B212)+1,20),FIND("/",MID(Wages!$B212,FIND("/",Wages!$B212)+1,20))+1,20))),"")))</f>
        <v/>
      </c>
      <c r="F209">
        <f>IF($A209="","",IF(OR($C209="",$D209="",$E209="",$C209&lt;1300,$C209&gt;1500,$D209&lt;1,$D209&gt;12,$E209&lt;1,$E209&gt;31),"نامعتبر",RIGHT("0000"&amp;$C209,4)&amp;"/"&amp;RIGHT("00"&amp;$D209,2)&amp;"/"&amp;RIGHT("00"&amp;$E209,2)))</f>
        <v/>
      </c>
      <c r="G209">
        <f>IF(OR($A209="",$F209="",$F209="نامعتبر"),"",LEFT($F209,4)&amp;MID($F209,6,2)&amp;RIGHT($F209,2)&amp;"0000"&amp;"|"&amp;"1"&amp;RIGHT("00000"&amp;204,5))</f>
        <v/>
      </c>
      <c r="H209">
        <f>IF(OR($B209&lt;&gt;1,$G209=""),"",COUNTIFS(LdAParty,$A209,LdAType,1,LdAKey,"&lt;"&amp;$G209)+COUNTIFS(LdBMember,$A209,LdBKey,"&lt;"&amp;$G209)+COUNTIFS(LdCParty,$A209,LdCKey,"&lt;"&amp;$G209)+1)</f>
        <v/>
      </c>
      <c r="I209">
        <f>IF($H209="","",$A209&amp;"|"&amp;RIGHT("000000"&amp;$H209,6))</f>
        <v/>
      </c>
      <c r="J209">
        <f>IF(OR($B209&lt;&gt;2,$G209=""),"",COUNTIFS(LdAParty,$A209,LdAType,2,LdAKey,"&lt;"&amp;$G209)+1)</f>
        <v/>
      </c>
      <c r="K209">
        <f>IF($J209="","",$A209&amp;"|"&amp;RIGHT("000000"&amp;$J209,6))</f>
        <v/>
      </c>
      <c r="L209">
        <f>IF($A209="","",IF(Wages!$G212="",0,Wages!$G212))</f>
        <v/>
      </c>
      <c r="M209">
        <f>IF($A209="","",Wages!$J212)</f>
        <v/>
      </c>
      <c r="N209">
        <f>IF($A209="","",Wages!$D212)</f>
        <v/>
      </c>
      <c r="P209">
        <f>IF(OR(Shares!$B212="",Shares!$C212=""),"",Shares!$C212)</f>
        <v/>
      </c>
      <c r="Q209">
        <f>IF($P209="","",Shares!$B212)</f>
        <v/>
      </c>
      <c r="R209">
        <f>IF($P209="","",IFERROR(INDEX(WageParty,MATCH($Q209,WageIds,0)),""))</f>
        <v/>
      </c>
      <c r="S209">
        <f>IF($P209="","",IFERROR(INDEX($F$6:$F$2005,MATCH($Q209,WageIds,0)),""))</f>
        <v/>
      </c>
      <c r="T209">
        <f>IF(OR($P209="",$S209="",$S209="نامعتبر"),"",LEFT($S209,4)&amp;MID($S209,6,2)&amp;RIGHT($S209,2)&amp;"0000"&amp;"|"&amp;"2"&amp;RIGHT("00000"&amp;204,5))</f>
        <v/>
      </c>
      <c r="U209">
        <f>IF($T209="","",COUNTIFS(LdAParty,$P209,LdAType,1,LdAKey,"&lt;"&amp;$T209)+COUNTIFS(LdBMember,$P209,LdBKey,"&lt;"&amp;$T209)+COUNTIFS(LdCParty,$P209,LdCKey,"&lt;"&amp;$T209)+1)</f>
        <v/>
      </c>
      <c r="V209">
        <f>IF($U209="","",$P209&amp;"|"&amp;RIGHT("000000"&amp;$U209,6))</f>
        <v/>
      </c>
      <c r="W209">
        <f>IF($T209="","",COUNTIFS(LdBGroup,$R209,LdBKey,"&lt;"&amp;$T209)+1)</f>
        <v/>
      </c>
      <c r="X209">
        <f>IF($W209="","",$R209&amp;"|"&amp;RIGHT("000000"&amp;$W209,6))</f>
        <v/>
      </c>
      <c r="Y209">
        <f>IF($P209="","",IF(Shares!$E212="",0,Shares!$E212))</f>
        <v/>
      </c>
      <c r="Z209">
        <f>IF($P209="","",Shares!$H212)</f>
        <v/>
      </c>
      <c r="AE209">
        <f>IF(OR(Sync!$S209="",Sync!$P209=""),"",Sync!$S209)</f>
        <v/>
      </c>
      <c r="AF209">
        <f>IF($AE209="","",IF(ISNUMBER(Sync!$P209),IF(AND(Sync!$P209&gt;=10000101,Sync!$P209&lt;=99991231),INT(Sync!$P209/10000),""),IFERROR(VALUE(TRIM(LEFT(Sync!$P209,FIND("/",Sync!$P209)-1))),"")))</f>
        <v/>
      </c>
      <c r="AG209">
        <f>IF(OR($AE209="",$AF209=""),"",IF(ISNUMBER(Sync!$P209),INT(MOD(Sync!$P209,10000)/100),IFERROR(VALUE(TRIM(LEFT(MID(Sync!$P209,FIND("/",Sync!$P209)+1,20),FIND("/",MID(Sync!$P209,FIND("/",Sync!$P209)+1,20))-1))),"")))</f>
        <v/>
      </c>
      <c r="AH209">
        <f>IF(OR($AE209="",$AF209=""),"",IF(ISNUMBER(Sync!$P209),MOD(Sync!$P209,100),IFERROR(VALUE(TRIM(MID(MID(Sync!$P209,FIND("/",Sync!$P209)+1,20),FIND("/",MID(Sync!$P209,FIND("/",Sync!$P209)+1,20))+1,20))),"")))</f>
        <v/>
      </c>
      <c r="AI209">
        <f>IF($AE209="","",IF(OR($AF209="",$AG209="",$AH209="",$AF209&lt;1300,$AF209&gt;1500,$AG209&lt;1,$AG209&gt;12,$AH209&lt;1,$AH209&gt;31),"نامعتبر",RIGHT("0000"&amp;$AF209,4)&amp;"/"&amp;RIGHT("00"&amp;$AG209,2)&amp;"/"&amp;RIGHT("00"&amp;$AH209,2)))</f>
        <v/>
      </c>
      <c r="AJ209">
        <f>IF($AE209="","",IF(Sync!$Q209="","0000",IF(AND(ISNUMBER(Sync!$Q209),Sync!$Q209&gt;=0,Sync!$Q209&lt;1),RIGHT("00"&amp;HOUR(Sync!$Q209),2)&amp;RIGHT("00"&amp;MINUTE(Sync!$Q209),2),IFERROR(RIGHT("00"&amp;VALUE(LEFT(Sync!$Q209,FIND(":",Sync!$Q209)-1)),2)&amp;RIGHT("00"&amp;VALUE(MID(Sync!$Q209,FIND(":",Sync!$Q209)+1,2)),2),"0000"))))</f>
        <v/>
      </c>
      <c r="AK209">
        <f>IF(OR($AE209="",$AI209="",$AI209="نامعتبر"),"",LEFT($AI209,4)&amp;MID($AI209,6,2)&amp;RIGHT($AI209,2)&amp;$AJ209&amp;"|"&amp;"3"&amp;RIGHT("00000"&amp;204,5))</f>
        <v/>
      </c>
      <c r="AL209">
        <f>IF($AK209="","",COUNTIFS(LdAParty,$AE209,LdAType,1,LdAKey,"&lt;"&amp;$AK209)+COUNTIFS(LdBMember,$AE209,LdBKey,"&lt;"&amp;$AK209)+COUNTIFS(LdCParty,$AE209,LdCKey,"&lt;"&amp;$AK209)+1)</f>
        <v/>
      </c>
      <c r="AM209">
        <f>IF($AL209="","",$AE209&amp;"|"&amp;RIGHT("000000"&amp;$AL209,6))</f>
        <v/>
      </c>
      <c r="AN209">
        <f>IF($AE209="","",IF(Sync!$W209="",0,Sync!$W209))</f>
        <v/>
      </c>
      <c r="AO209">
        <f>IF($AE209="","",IF(Sync!$X209="",0,Sync!$X209))</f>
        <v/>
      </c>
      <c r="AP209">
        <f>IF($AE209="","",Sync!$R209)</f>
        <v/>
      </c>
      <c r="AQ209">
        <f>IF($AE209="","",Sync!$Y209)</f>
        <v/>
      </c>
    </row>
    <row r="210">
      <c r="A210">
        <f>IF(OR(Wages!$B213="",Wages!$E213=""),"",Wages!$E213)</f>
        <v/>
      </c>
      <c r="B210">
        <f>IF($A210="","",IF(Wages!$C213="دستمزد گروهی",2,1))</f>
        <v/>
      </c>
      <c r="C210">
        <f>IF($A210="","",IF(ISNUMBER(Wages!$B213),IF(AND(Wages!$B213&gt;=10000101,Wages!$B213&lt;=99991231),INT(Wages!$B213/10000),""),IFERROR(VALUE(TRIM(LEFT(Wages!$B213,FIND("/",Wages!$B213)-1))),"")))</f>
        <v/>
      </c>
      <c r="D210">
        <f>IF(OR($A210="",$C210=""),"",IF(ISNUMBER(Wages!$B213),INT(MOD(Wages!$B213,10000)/100),IFERROR(VALUE(TRIM(LEFT(MID(Wages!$B213,FIND("/",Wages!$B213)+1,20),FIND("/",MID(Wages!$B213,FIND("/",Wages!$B213)+1,20))-1))),"")))</f>
        <v/>
      </c>
      <c r="E210">
        <f>IF(OR($A210="",$C210=""),"",IF(ISNUMBER(Wages!$B213),MOD(Wages!$B213,100),IFERROR(VALUE(TRIM(MID(MID(Wages!$B213,FIND("/",Wages!$B213)+1,20),FIND("/",MID(Wages!$B213,FIND("/",Wages!$B213)+1,20))+1,20))),"")))</f>
        <v/>
      </c>
      <c r="F210">
        <f>IF($A210="","",IF(OR($C210="",$D210="",$E210="",$C210&lt;1300,$C210&gt;1500,$D210&lt;1,$D210&gt;12,$E210&lt;1,$E210&gt;31),"نامعتبر",RIGHT("0000"&amp;$C210,4)&amp;"/"&amp;RIGHT("00"&amp;$D210,2)&amp;"/"&amp;RIGHT("00"&amp;$E210,2)))</f>
        <v/>
      </c>
      <c r="G210">
        <f>IF(OR($A210="",$F210="",$F210="نامعتبر"),"",LEFT($F210,4)&amp;MID($F210,6,2)&amp;RIGHT($F210,2)&amp;"0000"&amp;"|"&amp;"1"&amp;RIGHT("00000"&amp;205,5))</f>
        <v/>
      </c>
      <c r="H210">
        <f>IF(OR($B210&lt;&gt;1,$G210=""),"",COUNTIFS(LdAParty,$A210,LdAType,1,LdAKey,"&lt;"&amp;$G210)+COUNTIFS(LdBMember,$A210,LdBKey,"&lt;"&amp;$G210)+COUNTIFS(LdCParty,$A210,LdCKey,"&lt;"&amp;$G210)+1)</f>
        <v/>
      </c>
      <c r="I210">
        <f>IF($H210="","",$A210&amp;"|"&amp;RIGHT("000000"&amp;$H210,6))</f>
        <v/>
      </c>
      <c r="J210">
        <f>IF(OR($B210&lt;&gt;2,$G210=""),"",COUNTIFS(LdAParty,$A210,LdAType,2,LdAKey,"&lt;"&amp;$G210)+1)</f>
        <v/>
      </c>
      <c r="K210">
        <f>IF($J210="","",$A210&amp;"|"&amp;RIGHT("000000"&amp;$J210,6))</f>
        <v/>
      </c>
      <c r="L210">
        <f>IF($A210="","",IF(Wages!$G213="",0,Wages!$G213))</f>
        <v/>
      </c>
      <c r="M210">
        <f>IF($A210="","",Wages!$J213)</f>
        <v/>
      </c>
      <c r="N210">
        <f>IF($A210="","",Wages!$D213)</f>
        <v/>
      </c>
      <c r="P210">
        <f>IF(OR(Shares!$B213="",Shares!$C213=""),"",Shares!$C213)</f>
        <v/>
      </c>
      <c r="Q210">
        <f>IF($P210="","",Shares!$B213)</f>
        <v/>
      </c>
      <c r="R210">
        <f>IF($P210="","",IFERROR(INDEX(WageParty,MATCH($Q210,WageIds,0)),""))</f>
        <v/>
      </c>
      <c r="S210">
        <f>IF($P210="","",IFERROR(INDEX($F$6:$F$2005,MATCH($Q210,WageIds,0)),""))</f>
        <v/>
      </c>
      <c r="T210">
        <f>IF(OR($P210="",$S210="",$S210="نامعتبر"),"",LEFT($S210,4)&amp;MID($S210,6,2)&amp;RIGHT($S210,2)&amp;"0000"&amp;"|"&amp;"2"&amp;RIGHT("00000"&amp;205,5))</f>
        <v/>
      </c>
      <c r="U210">
        <f>IF($T210="","",COUNTIFS(LdAParty,$P210,LdAType,1,LdAKey,"&lt;"&amp;$T210)+COUNTIFS(LdBMember,$P210,LdBKey,"&lt;"&amp;$T210)+COUNTIFS(LdCParty,$P210,LdCKey,"&lt;"&amp;$T210)+1)</f>
        <v/>
      </c>
      <c r="V210">
        <f>IF($U210="","",$P210&amp;"|"&amp;RIGHT("000000"&amp;$U210,6))</f>
        <v/>
      </c>
      <c r="W210">
        <f>IF($T210="","",COUNTIFS(LdBGroup,$R210,LdBKey,"&lt;"&amp;$T210)+1)</f>
        <v/>
      </c>
      <c r="X210">
        <f>IF($W210="","",$R210&amp;"|"&amp;RIGHT("000000"&amp;$W210,6))</f>
        <v/>
      </c>
      <c r="Y210">
        <f>IF($P210="","",IF(Shares!$E213="",0,Shares!$E213))</f>
        <v/>
      </c>
      <c r="Z210">
        <f>IF($P210="","",Shares!$H213)</f>
        <v/>
      </c>
      <c r="AE210">
        <f>IF(OR(Sync!$S210="",Sync!$P210=""),"",Sync!$S210)</f>
        <v/>
      </c>
      <c r="AF210">
        <f>IF($AE210="","",IF(ISNUMBER(Sync!$P210),IF(AND(Sync!$P210&gt;=10000101,Sync!$P210&lt;=99991231),INT(Sync!$P210/10000),""),IFERROR(VALUE(TRIM(LEFT(Sync!$P210,FIND("/",Sync!$P210)-1))),"")))</f>
        <v/>
      </c>
      <c r="AG210">
        <f>IF(OR($AE210="",$AF210=""),"",IF(ISNUMBER(Sync!$P210),INT(MOD(Sync!$P210,10000)/100),IFERROR(VALUE(TRIM(LEFT(MID(Sync!$P210,FIND("/",Sync!$P210)+1,20),FIND("/",MID(Sync!$P210,FIND("/",Sync!$P210)+1,20))-1))),"")))</f>
        <v/>
      </c>
      <c r="AH210">
        <f>IF(OR($AE210="",$AF210=""),"",IF(ISNUMBER(Sync!$P210),MOD(Sync!$P210,100),IFERROR(VALUE(TRIM(MID(MID(Sync!$P210,FIND("/",Sync!$P210)+1,20),FIND("/",MID(Sync!$P210,FIND("/",Sync!$P210)+1,20))+1,20))),"")))</f>
        <v/>
      </c>
      <c r="AI210">
        <f>IF($AE210="","",IF(OR($AF210="",$AG210="",$AH210="",$AF210&lt;1300,$AF210&gt;1500,$AG210&lt;1,$AG210&gt;12,$AH210&lt;1,$AH210&gt;31),"نامعتبر",RIGHT("0000"&amp;$AF210,4)&amp;"/"&amp;RIGHT("00"&amp;$AG210,2)&amp;"/"&amp;RIGHT("00"&amp;$AH210,2)))</f>
        <v/>
      </c>
      <c r="AJ210">
        <f>IF($AE210="","",IF(Sync!$Q210="","0000",IF(AND(ISNUMBER(Sync!$Q210),Sync!$Q210&gt;=0,Sync!$Q210&lt;1),RIGHT("00"&amp;HOUR(Sync!$Q210),2)&amp;RIGHT("00"&amp;MINUTE(Sync!$Q210),2),IFERROR(RIGHT("00"&amp;VALUE(LEFT(Sync!$Q210,FIND(":",Sync!$Q210)-1)),2)&amp;RIGHT("00"&amp;VALUE(MID(Sync!$Q210,FIND(":",Sync!$Q210)+1,2)),2),"0000"))))</f>
        <v/>
      </c>
      <c r="AK210">
        <f>IF(OR($AE210="",$AI210="",$AI210="نامعتبر"),"",LEFT($AI210,4)&amp;MID($AI210,6,2)&amp;RIGHT($AI210,2)&amp;$AJ210&amp;"|"&amp;"3"&amp;RIGHT("00000"&amp;205,5))</f>
        <v/>
      </c>
      <c r="AL210">
        <f>IF($AK210="","",COUNTIFS(LdAParty,$AE210,LdAType,1,LdAKey,"&lt;"&amp;$AK210)+COUNTIFS(LdBMember,$AE210,LdBKey,"&lt;"&amp;$AK210)+COUNTIFS(LdCParty,$AE210,LdCKey,"&lt;"&amp;$AK210)+1)</f>
        <v/>
      </c>
      <c r="AM210">
        <f>IF($AL210="","",$AE210&amp;"|"&amp;RIGHT("000000"&amp;$AL210,6))</f>
        <v/>
      </c>
      <c r="AN210">
        <f>IF($AE210="","",IF(Sync!$W210="",0,Sync!$W210))</f>
        <v/>
      </c>
      <c r="AO210">
        <f>IF($AE210="","",IF(Sync!$X210="",0,Sync!$X210))</f>
        <v/>
      </c>
      <c r="AP210">
        <f>IF($AE210="","",Sync!$R210)</f>
        <v/>
      </c>
      <c r="AQ210">
        <f>IF($AE210="","",Sync!$Y210)</f>
        <v/>
      </c>
    </row>
    <row r="211">
      <c r="A211">
        <f>IF(OR(Wages!$B214="",Wages!$E214=""),"",Wages!$E214)</f>
        <v/>
      </c>
      <c r="B211">
        <f>IF($A211="","",IF(Wages!$C214="دستمزد گروهی",2,1))</f>
        <v/>
      </c>
      <c r="C211">
        <f>IF($A211="","",IF(ISNUMBER(Wages!$B214),IF(AND(Wages!$B214&gt;=10000101,Wages!$B214&lt;=99991231),INT(Wages!$B214/10000),""),IFERROR(VALUE(TRIM(LEFT(Wages!$B214,FIND("/",Wages!$B214)-1))),"")))</f>
        <v/>
      </c>
      <c r="D211">
        <f>IF(OR($A211="",$C211=""),"",IF(ISNUMBER(Wages!$B214),INT(MOD(Wages!$B214,10000)/100),IFERROR(VALUE(TRIM(LEFT(MID(Wages!$B214,FIND("/",Wages!$B214)+1,20),FIND("/",MID(Wages!$B214,FIND("/",Wages!$B214)+1,20))-1))),"")))</f>
        <v/>
      </c>
      <c r="E211">
        <f>IF(OR($A211="",$C211=""),"",IF(ISNUMBER(Wages!$B214),MOD(Wages!$B214,100),IFERROR(VALUE(TRIM(MID(MID(Wages!$B214,FIND("/",Wages!$B214)+1,20),FIND("/",MID(Wages!$B214,FIND("/",Wages!$B214)+1,20))+1,20))),"")))</f>
        <v/>
      </c>
      <c r="F211">
        <f>IF($A211="","",IF(OR($C211="",$D211="",$E211="",$C211&lt;1300,$C211&gt;1500,$D211&lt;1,$D211&gt;12,$E211&lt;1,$E211&gt;31),"نامعتبر",RIGHT("0000"&amp;$C211,4)&amp;"/"&amp;RIGHT("00"&amp;$D211,2)&amp;"/"&amp;RIGHT("00"&amp;$E211,2)))</f>
        <v/>
      </c>
      <c r="G211">
        <f>IF(OR($A211="",$F211="",$F211="نامعتبر"),"",LEFT($F211,4)&amp;MID($F211,6,2)&amp;RIGHT($F211,2)&amp;"0000"&amp;"|"&amp;"1"&amp;RIGHT("00000"&amp;206,5))</f>
        <v/>
      </c>
      <c r="H211">
        <f>IF(OR($B211&lt;&gt;1,$G211=""),"",COUNTIFS(LdAParty,$A211,LdAType,1,LdAKey,"&lt;"&amp;$G211)+COUNTIFS(LdBMember,$A211,LdBKey,"&lt;"&amp;$G211)+COUNTIFS(LdCParty,$A211,LdCKey,"&lt;"&amp;$G211)+1)</f>
        <v/>
      </c>
      <c r="I211">
        <f>IF($H211="","",$A211&amp;"|"&amp;RIGHT("000000"&amp;$H211,6))</f>
        <v/>
      </c>
      <c r="J211">
        <f>IF(OR($B211&lt;&gt;2,$G211=""),"",COUNTIFS(LdAParty,$A211,LdAType,2,LdAKey,"&lt;"&amp;$G211)+1)</f>
        <v/>
      </c>
      <c r="K211">
        <f>IF($J211="","",$A211&amp;"|"&amp;RIGHT("000000"&amp;$J211,6))</f>
        <v/>
      </c>
      <c r="L211">
        <f>IF($A211="","",IF(Wages!$G214="",0,Wages!$G214))</f>
        <v/>
      </c>
      <c r="M211">
        <f>IF($A211="","",Wages!$J214)</f>
        <v/>
      </c>
      <c r="N211">
        <f>IF($A211="","",Wages!$D214)</f>
        <v/>
      </c>
      <c r="P211">
        <f>IF(OR(Shares!$B214="",Shares!$C214=""),"",Shares!$C214)</f>
        <v/>
      </c>
      <c r="Q211">
        <f>IF($P211="","",Shares!$B214)</f>
        <v/>
      </c>
      <c r="R211">
        <f>IF($P211="","",IFERROR(INDEX(WageParty,MATCH($Q211,WageIds,0)),""))</f>
        <v/>
      </c>
      <c r="S211">
        <f>IF($P211="","",IFERROR(INDEX($F$6:$F$2005,MATCH($Q211,WageIds,0)),""))</f>
        <v/>
      </c>
      <c r="T211">
        <f>IF(OR($P211="",$S211="",$S211="نامعتبر"),"",LEFT($S211,4)&amp;MID($S211,6,2)&amp;RIGHT($S211,2)&amp;"0000"&amp;"|"&amp;"2"&amp;RIGHT("00000"&amp;206,5))</f>
        <v/>
      </c>
      <c r="U211">
        <f>IF($T211="","",COUNTIFS(LdAParty,$P211,LdAType,1,LdAKey,"&lt;"&amp;$T211)+COUNTIFS(LdBMember,$P211,LdBKey,"&lt;"&amp;$T211)+COUNTIFS(LdCParty,$P211,LdCKey,"&lt;"&amp;$T211)+1)</f>
        <v/>
      </c>
      <c r="V211">
        <f>IF($U211="","",$P211&amp;"|"&amp;RIGHT("000000"&amp;$U211,6))</f>
        <v/>
      </c>
      <c r="W211">
        <f>IF($T211="","",COUNTIFS(LdBGroup,$R211,LdBKey,"&lt;"&amp;$T211)+1)</f>
        <v/>
      </c>
      <c r="X211">
        <f>IF($W211="","",$R211&amp;"|"&amp;RIGHT("000000"&amp;$W211,6))</f>
        <v/>
      </c>
      <c r="Y211">
        <f>IF($P211="","",IF(Shares!$E214="",0,Shares!$E214))</f>
        <v/>
      </c>
      <c r="Z211">
        <f>IF($P211="","",Shares!$H214)</f>
        <v/>
      </c>
      <c r="AE211">
        <f>IF(OR(Sync!$S211="",Sync!$P211=""),"",Sync!$S211)</f>
        <v/>
      </c>
      <c r="AF211">
        <f>IF($AE211="","",IF(ISNUMBER(Sync!$P211),IF(AND(Sync!$P211&gt;=10000101,Sync!$P211&lt;=99991231),INT(Sync!$P211/10000),""),IFERROR(VALUE(TRIM(LEFT(Sync!$P211,FIND("/",Sync!$P211)-1))),"")))</f>
        <v/>
      </c>
      <c r="AG211">
        <f>IF(OR($AE211="",$AF211=""),"",IF(ISNUMBER(Sync!$P211),INT(MOD(Sync!$P211,10000)/100),IFERROR(VALUE(TRIM(LEFT(MID(Sync!$P211,FIND("/",Sync!$P211)+1,20),FIND("/",MID(Sync!$P211,FIND("/",Sync!$P211)+1,20))-1))),"")))</f>
        <v/>
      </c>
      <c r="AH211">
        <f>IF(OR($AE211="",$AF211=""),"",IF(ISNUMBER(Sync!$P211),MOD(Sync!$P211,100),IFERROR(VALUE(TRIM(MID(MID(Sync!$P211,FIND("/",Sync!$P211)+1,20),FIND("/",MID(Sync!$P211,FIND("/",Sync!$P211)+1,20))+1,20))),"")))</f>
        <v/>
      </c>
      <c r="AI211">
        <f>IF($AE211="","",IF(OR($AF211="",$AG211="",$AH211="",$AF211&lt;1300,$AF211&gt;1500,$AG211&lt;1,$AG211&gt;12,$AH211&lt;1,$AH211&gt;31),"نامعتبر",RIGHT("0000"&amp;$AF211,4)&amp;"/"&amp;RIGHT("00"&amp;$AG211,2)&amp;"/"&amp;RIGHT("00"&amp;$AH211,2)))</f>
        <v/>
      </c>
      <c r="AJ211">
        <f>IF($AE211="","",IF(Sync!$Q211="","0000",IF(AND(ISNUMBER(Sync!$Q211),Sync!$Q211&gt;=0,Sync!$Q211&lt;1),RIGHT("00"&amp;HOUR(Sync!$Q211),2)&amp;RIGHT("00"&amp;MINUTE(Sync!$Q211),2),IFERROR(RIGHT("00"&amp;VALUE(LEFT(Sync!$Q211,FIND(":",Sync!$Q211)-1)),2)&amp;RIGHT("00"&amp;VALUE(MID(Sync!$Q211,FIND(":",Sync!$Q211)+1,2)),2),"0000"))))</f>
        <v/>
      </c>
      <c r="AK211">
        <f>IF(OR($AE211="",$AI211="",$AI211="نامعتبر"),"",LEFT($AI211,4)&amp;MID($AI211,6,2)&amp;RIGHT($AI211,2)&amp;$AJ211&amp;"|"&amp;"3"&amp;RIGHT("00000"&amp;206,5))</f>
        <v/>
      </c>
      <c r="AL211">
        <f>IF($AK211="","",COUNTIFS(LdAParty,$AE211,LdAType,1,LdAKey,"&lt;"&amp;$AK211)+COUNTIFS(LdBMember,$AE211,LdBKey,"&lt;"&amp;$AK211)+COUNTIFS(LdCParty,$AE211,LdCKey,"&lt;"&amp;$AK211)+1)</f>
        <v/>
      </c>
      <c r="AM211">
        <f>IF($AL211="","",$AE211&amp;"|"&amp;RIGHT("000000"&amp;$AL211,6))</f>
        <v/>
      </c>
      <c r="AN211">
        <f>IF($AE211="","",IF(Sync!$W211="",0,Sync!$W211))</f>
        <v/>
      </c>
      <c r="AO211">
        <f>IF($AE211="","",IF(Sync!$X211="",0,Sync!$X211))</f>
        <v/>
      </c>
      <c r="AP211">
        <f>IF($AE211="","",Sync!$R211)</f>
        <v/>
      </c>
      <c r="AQ211">
        <f>IF($AE211="","",Sync!$Y211)</f>
        <v/>
      </c>
    </row>
    <row r="212">
      <c r="A212">
        <f>IF(OR(Wages!$B215="",Wages!$E215=""),"",Wages!$E215)</f>
        <v/>
      </c>
      <c r="B212">
        <f>IF($A212="","",IF(Wages!$C215="دستمزد گروهی",2,1))</f>
        <v/>
      </c>
      <c r="C212">
        <f>IF($A212="","",IF(ISNUMBER(Wages!$B215),IF(AND(Wages!$B215&gt;=10000101,Wages!$B215&lt;=99991231),INT(Wages!$B215/10000),""),IFERROR(VALUE(TRIM(LEFT(Wages!$B215,FIND("/",Wages!$B215)-1))),"")))</f>
        <v/>
      </c>
      <c r="D212">
        <f>IF(OR($A212="",$C212=""),"",IF(ISNUMBER(Wages!$B215),INT(MOD(Wages!$B215,10000)/100),IFERROR(VALUE(TRIM(LEFT(MID(Wages!$B215,FIND("/",Wages!$B215)+1,20),FIND("/",MID(Wages!$B215,FIND("/",Wages!$B215)+1,20))-1))),"")))</f>
        <v/>
      </c>
      <c r="E212">
        <f>IF(OR($A212="",$C212=""),"",IF(ISNUMBER(Wages!$B215),MOD(Wages!$B215,100),IFERROR(VALUE(TRIM(MID(MID(Wages!$B215,FIND("/",Wages!$B215)+1,20),FIND("/",MID(Wages!$B215,FIND("/",Wages!$B215)+1,20))+1,20))),"")))</f>
        <v/>
      </c>
      <c r="F212">
        <f>IF($A212="","",IF(OR($C212="",$D212="",$E212="",$C212&lt;1300,$C212&gt;1500,$D212&lt;1,$D212&gt;12,$E212&lt;1,$E212&gt;31),"نامعتبر",RIGHT("0000"&amp;$C212,4)&amp;"/"&amp;RIGHT("00"&amp;$D212,2)&amp;"/"&amp;RIGHT("00"&amp;$E212,2)))</f>
        <v/>
      </c>
      <c r="G212">
        <f>IF(OR($A212="",$F212="",$F212="نامعتبر"),"",LEFT($F212,4)&amp;MID($F212,6,2)&amp;RIGHT($F212,2)&amp;"0000"&amp;"|"&amp;"1"&amp;RIGHT("00000"&amp;207,5))</f>
        <v/>
      </c>
      <c r="H212">
        <f>IF(OR($B212&lt;&gt;1,$G212=""),"",COUNTIFS(LdAParty,$A212,LdAType,1,LdAKey,"&lt;"&amp;$G212)+COUNTIFS(LdBMember,$A212,LdBKey,"&lt;"&amp;$G212)+COUNTIFS(LdCParty,$A212,LdCKey,"&lt;"&amp;$G212)+1)</f>
        <v/>
      </c>
      <c r="I212">
        <f>IF($H212="","",$A212&amp;"|"&amp;RIGHT("000000"&amp;$H212,6))</f>
        <v/>
      </c>
      <c r="J212">
        <f>IF(OR($B212&lt;&gt;2,$G212=""),"",COUNTIFS(LdAParty,$A212,LdAType,2,LdAKey,"&lt;"&amp;$G212)+1)</f>
        <v/>
      </c>
      <c r="K212">
        <f>IF($J212="","",$A212&amp;"|"&amp;RIGHT("000000"&amp;$J212,6))</f>
        <v/>
      </c>
      <c r="L212">
        <f>IF($A212="","",IF(Wages!$G215="",0,Wages!$G215))</f>
        <v/>
      </c>
      <c r="M212">
        <f>IF($A212="","",Wages!$J215)</f>
        <v/>
      </c>
      <c r="N212">
        <f>IF($A212="","",Wages!$D215)</f>
        <v/>
      </c>
      <c r="P212">
        <f>IF(OR(Shares!$B215="",Shares!$C215=""),"",Shares!$C215)</f>
        <v/>
      </c>
      <c r="Q212">
        <f>IF($P212="","",Shares!$B215)</f>
        <v/>
      </c>
      <c r="R212">
        <f>IF($P212="","",IFERROR(INDEX(WageParty,MATCH($Q212,WageIds,0)),""))</f>
        <v/>
      </c>
      <c r="S212">
        <f>IF($P212="","",IFERROR(INDEX($F$6:$F$2005,MATCH($Q212,WageIds,0)),""))</f>
        <v/>
      </c>
      <c r="T212">
        <f>IF(OR($P212="",$S212="",$S212="نامعتبر"),"",LEFT($S212,4)&amp;MID($S212,6,2)&amp;RIGHT($S212,2)&amp;"0000"&amp;"|"&amp;"2"&amp;RIGHT("00000"&amp;207,5))</f>
        <v/>
      </c>
      <c r="U212">
        <f>IF($T212="","",COUNTIFS(LdAParty,$P212,LdAType,1,LdAKey,"&lt;"&amp;$T212)+COUNTIFS(LdBMember,$P212,LdBKey,"&lt;"&amp;$T212)+COUNTIFS(LdCParty,$P212,LdCKey,"&lt;"&amp;$T212)+1)</f>
        <v/>
      </c>
      <c r="V212">
        <f>IF($U212="","",$P212&amp;"|"&amp;RIGHT("000000"&amp;$U212,6))</f>
        <v/>
      </c>
      <c r="W212">
        <f>IF($T212="","",COUNTIFS(LdBGroup,$R212,LdBKey,"&lt;"&amp;$T212)+1)</f>
        <v/>
      </c>
      <c r="X212">
        <f>IF($W212="","",$R212&amp;"|"&amp;RIGHT("000000"&amp;$W212,6))</f>
        <v/>
      </c>
      <c r="Y212">
        <f>IF($P212="","",IF(Shares!$E215="",0,Shares!$E215))</f>
        <v/>
      </c>
      <c r="Z212">
        <f>IF($P212="","",Shares!$H215)</f>
        <v/>
      </c>
      <c r="AE212">
        <f>IF(OR(Sync!$S212="",Sync!$P212=""),"",Sync!$S212)</f>
        <v/>
      </c>
      <c r="AF212">
        <f>IF($AE212="","",IF(ISNUMBER(Sync!$P212),IF(AND(Sync!$P212&gt;=10000101,Sync!$P212&lt;=99991231),INT(Sync!$P212/10000),""),IFERROR(VALUE(TRIM(LEFT(Sync!$P212,FIND("/",Sync!$P212)-1))),"")))</f>
        <v/>
      </c>
      <c r="AG212">
        <f>IF(OR($AE212="",$AF212=""),"",IF(ISNUMBER(Sync!$P212),INT(MOD(Sync!$P212,10000)/100),IFERROR(VALUE(TRIM(LEFT(MID(Sync!$P212,FIND("/",Sync!$P212)+1,20),FIND("/",MID(Sync!$P212,FIND("/",Sync!$P212)+1,20))-1))),"")))</f>
        <v/>
      </c>
      <c r="AH212">
        <f>IF(OR($AE212="",$AF212=""),"",IF(ISNUMBER(Sync!$P212),MOD(Sync!$P212,100),IFERROR(VALUE(TRIM(MID(MID(Sync!$P212,FIND("/",Sync!$P212)+1,20),FIND("/",MID(Sync!$P212,FIND("/",Sync!$P212)+1,20))+1,20))),"")))</f>
        <v/>
      </c>
      <c r="AI212">
        <f>IF($AE212="","",IF(OR($AF212="",$AG212="",$AH212="",$AF212&lt;1300,$AF212&gt;1500,$AG212&lt;1,$AG212&gt;12,$AH212&lt;1,$AH212&gt;31),"نامعتبر",RIGHT("0000"&amp;$AF212,4)&amp;"/"&amp;RIGHT("00"&amp;$AG212,2)&amp;"/"&amp;RIGHT("00"&amp;$AH212,2)))</f>
        <v/>
      </c>
      <c r="AJ212">
        <f>IF($AE212="","",IF(Sync!$Q212="","0000",IF(AND(ISNUMBER(Sync!$Q212),Sync!$Q212&gt;=0,Sync!$Q212&lt;1),RIGHT("00"&amp;HOUR(Sync!$Q212),2)&amp;RIGHT("00"&amp;MINUTE(Sync!$Q212),2),IFERROR(RIGHT("00"&amp;VALUE(LEFT(Sync!$Q212,FIND(":",Sync!$Q212)-1)),2)&amp;RIGHT("00"&amp;VALUE(MID(Sync!$Q212,FIND(":",Sync!$Q212)+1,2)),2),"0000"))))</f>
        <v/>
      </c>
      <c r="AK212">
        <f>IF(OR($AE212="",$AI212="",$AI212="نامعتبر"),"",LEFT($AI212,4)&amp;MID($AI212,6,2)&amp;RIGHT($AI212,2)&amp;$AJ212&amp;"|"&amp;"3"&amp;RIGHT("00000"&amp;207,5))</f>
        <v/>
      </c>
      <c r="AL212">
        <f>IF($AK212="","",COUNTIFS(LdAParty,$AE212,LdAType,1,LdAKey,"&lt;"&amp;$AK212)+COUNTIFS(LdBMember,$AE212,LdBKey,"&lt;"&amp;$AK212)+COUNTIFS(LdCParty,$AE212,LdCKey,"&lt;"&amp;$AK212)+1)</f>
        <v/>
      </c>
      <c r="AM212">
        <f>IF($AL212="","",$AE212&amp;"|"&amp;RIGHT("000000"&amp;$AL212,6))</f>
        <v/>
      </c>
      <c r="AN212">
        <f>IF($AE212="","",IF(Sync!$W212="",0,Sync!$W212))</f>
        <v/>
      </c>
      <c r="AO212">
        <f>IF($AE212="","",IF(Sync!$X212="",0,Sync!$X212))</f>
        <v/>
      </c>
      <c r="AP212">
        <f>IF($AE212="","",Sync!$R212)</f>
        <v/>
      </c>
      <c r="AQ212">
        <f>IF($AE212="","",Sync!$Y212)</f>
        <v/>
      </c>
    </row>
    <row r="213">
      <c r="A213">
        <f>IF(OR(Wages!$B216="",Wages!$E216=""),"",Wages!$E216)</f>
        <v/>
      </c>
      <c r="B213">
        <f>IF($A213="","",IF(Wages!$C216="دستمزد گروهی",2,1))</f>
        <v/>
      </c>
      <c r="C213">
        <f>IF($A213="","",IF(ISNUMBER(Wages!$B216),IF(AND(Wages!$B216&gt;=10000101,Wages!$B216&lt;=99991231),INT(Wages!$B216/10000),""),IFERROR(VALUE(TRIM(LEFT(Wages!$B216,FIND("/",Wages!$B216)-1))),"")))</f>
        <v/>
      </c>
      <c r="D213">
        <f>IF(OR($A213="",$C213=""),"",IF(ISNUMBER(Wages!$B216),INT(MOD(Wages!$B216,10000)/100),IFERROR(VALUE(TRIM(LEFT(MID(Wages!$B216,FIND("/",Wages!$B216)+1,20),FIND("/",MID(Wages!$B216,FIND("/",Wages!$B216)+1,20))-1))),"")))</f>
        <v/>
      </c>
      <c r="E213">
        <f>IF(OR($A213="",$C213=""),"",IF(ISNUMBER(Wages!$B216),MOD(Wages!$B216,100),IFERROR(VALUE(TRIM(MID(MID(Wages!$B216,FIND("/",Wages!$B216)+1,20),FIND("/",MID(Wages!$B216,FIND("/",Wages!$B216)+1,20))+1,20))),"")))</f>
        <v/>
      </c>
      <c r="F213">
        <f>IF($A213="","",IF(OR($C213="",$D213="",$E213="",$C213&lt;1300,$C213&gt;1500,$D213&lt;1,$D213&gt;12,$E213&lt;1,$E213&gt;31),"نامعتبر",RIGHT("0000"&amp;$C213,4)&amp;"/"&amp;RIGHT("00"&amp;$D213,2)&amp;"/"&amp;RIGHT("00"&amp;$E213,2)))</f>
        <v/>
      </c>
      <c r="G213">
        <f>IF(OR($A213="",$F213="",$F213="نامعتبر"),"",LEFT($F213,4)&amp;MID($F213,6,2)&amp;RIGHT($F213,2)&amp;"0000"&amp;"|"&amp;"1"&amp;RIGHT("00000"&amp;208,5))</f>
        <v/>
      </c>
      <c r="H213">
        <f>IF(OR($B213&lt;&gt;1,$G213=""),"",COUNTIFS(LdAParty,$A213,LdAType,1,LdAKey,"&lt;"&amp;$G213)+COUNTIFS(LdBMember,$A213,LdBKey,"&lt;"&amp;$G213)+COUNTIFS(LdCParty,$A213,LdCKey,"&lt;"&amp;$G213)+1)</f>
        <v/>
      </c>
      <c r="I213">
        <f>IF($H213="","",$A213&amp;"|"&amp;RIGHT("000000"&amp;$H213,6))</f>
        <v/>
      </c>
      <c r="J213">
        <f>IF(OR($B213&lt;&gt;2,$G213=""),"",COUNTIFS(LdAParty,$A213,LdAType,2,LdAKey,"&lt;"&amp;$G213)+1)</f>
        <v/>
      </c>
      <c r="K213">
        <f>IF($J213="","",$A213&amp;"|"&amp;RIGHT("000000"&amp;$J213,6))</f>
        <v/>
      </c>
      <c r="L213">
        <f>IF($A213="","",IF(Wages!$G216="",0,Wages!$G216))</f>
        <v/>
      </c>
      <c r="M213">
        <f>IF($A213="","",Wages!$J216)</f>
        <v/>
      </c>
      <c r="N213">
        <f>IF($A213="","",Wages!$D216)</f>
        <v/>
      </c>
      <c r="P213">
        <f>IF(OR(Shares!$B216="",Shares!$C216=""),"",Shares!$C216)</f>
        <v/>
      </c>
      <c r="Q213">
        <f>IF($P213="","",Shares!$B216)</f>
        <v/>
      </c>
      <c r="R213">
        <f>IF($P213="","",IFERROR(INDEX(WageParty,MATCH($Q213,WageIds,0)),""))</f>
        <v/>
      </c>
      <c r="S213">
        <f>IF($P213="","",IFERROR(INDEX($F$6:$F$2005,MATCH($Q213,WageIds,0)),""))</f>
        <v/>
      </c>
      <c r="T213">
        <f>IF(OR($P213="",$S213="",$S213="نامعتبر"),"",LEFT($S213,4)&amp;MID($S213,6,2)&amp;RIGHT($S213,2)&amp;"0000"&amp;"|"&amp;"2"&amp;RIGHT("00000"&amp;208,5))</f>
        <v/>
      </c>
      <c r="U213">
        <f>IF($T213="","",COUNTIFS(LdAParty,$P213,LdAType,1,LdAKey,"&lt;"&amp;$T213)+COUNTIFS(LdBMember,$P213,LdBKey,"&lt;"&amp;$T213)+COUNTIFS(LdCParty,$P213,LdCKey,"&lt;"&amp;$T213)+1)</f>
        <v/>
      </c>
      <c r="V213">
        <f>IF($U213="","",$P213&amp;"|"&amp;RIGHT("000000"&amp;$U213,6))</f>
        <v/>
      </c>
      <c r="W213">
        <f>IF($T213="","",COUNTIFS(LdBGroup,$R213,LdBKey,"&lt;"&amp;$T213)+1)</f>
        <v/>
      </c>
      <c r="X213">
        <f>IF($W213="","",$R213&amp;"|"&amp;RIGHT("000000"&amp;$W213,6))</f>
        <v/>
      </c>
      <c r="Y213">
        <f>IF($P213="","",IF(Shares!$E216="",0,Shares!$E216))</f>
        <v/>
      </c>
      <c r="Z213">
        <f>IF($P213="","",Shares!$H216)</f>
        <v/>
      </c>
      <c r="AE213">
        <f>IF(OR(Sync!$S213="",Sync!$P213=""),"",Sync!$S213)</f>
        <v/>
      </c>
      <c r="AF213">
        <f>IF($AE213="","",IF(ISNUMBER(Sync!$P213),IF(AND(Sync!$P213&gt;=10000101,Sync!$P213&lt;=99991231),INT(Sync!$P213/10000),""),IFERROR(VALUE(TRIM(LEFT(Sync!$P213,FIND("/",Sync!$P213)-1))),"")))</f>
        <v/>
      </c>
      <c r="AG213">
        <f>IF(OR($AE213="",$AF213=""),"",IF(ISNUMBER(Sync!$P213),INT(MOD(Sync!$P213,10000)/100),IFERROR(VALUE(TRIM(LEFT(MID(Sync!$P213,FIND("/",Sync!$P213)+1,20),FIND("/",MID(Sync!$P213,FIND("/",Sync!$P213)+1,20))-1))),"")))</f>
        <v/>
      </c>
      <c r="AH213">
        <f>IF(OR($AE213="",$AF213=""),"",IF(ISNUMBER(Sync!$P213),MOD(Sync!$P213,100),IFERROR(VALUE(TRIM(MID(MID(Sync!$P213,FIND("/",Sync!$P213)+1,20),FIND("/",MID(Sync!$P213,FIND("/",Sync!$P213)+1,20))+1,20))),"")))</f>
        <v/>
      </c>
      <c r="AI213">
        <f>IF($AE213="","",IF(OR($AF213="",$AG213="",$AH213="",$AF213&lt;1300,$AF213&gt;1500,$AG213&lt;1,$AG213&gt;12,$AH213&lt;1,$AH213&gt;31),"نامعتبر",RIGHT("0000"&amp;$AF213,4)&amp;"/"&amp;RIGHT("00"&amp;$AG213,2)&amp;"/"&amp;RIGHT("00"&amp;$AH213,2)))</f>
        <v/>
      </c>
      <c r="AJ213">
        <f>IF($AE213="","",IF(Sync!$Q213="","0000",IF(AND(ISNUMBER(Sync!$Q213),Sync!$Q213&gt;=0,Sync!$Q213&lt;1),RIGHT("00"&amp;HOUR(Sync!$Q213),2)&amp;RIGHT("00"&amp;MINUTE(Sync!$Q213),2),IFERROR(RIGHT("00"&amp;VALUE(LEFT(Sync!$Q213,FIND(":",Sync!$Q213)-1)),2)&amp;RIGHT("00"&amp;VALUE(MID(Sync!$Q213,FIND(":",Sync!$Q213)+1,2)),2),"0000"))))</f>
        <v/>
      </c>
      <c r="AK213">
        <f>IF(OR($AE213="",$AI213="",$AI213="نامعتبر"),"",LEFT($AI213,4)&amp;MID($AI213,6,2)&amp;RIGHT($AI213,2)&amp;$AJ213&amp;"|"&amp;"3"&amp;RIGHT("00000"&amp;208,5))</f>
        <v/>
      </c>
      <c r="AL213">
        <f>IF($AK213="","",COUNTIFS(LdAParty,$AE213,LdAType,1,LdAKey,"&lt;"&amp;$AK213)+COUNTIFS(LdBMember,$AE213,LdBKey,"&lt;"&amp;$AK213)+COUNTIFS(LdCParty,$AE213,LdCKey,"&lt;"&amp;$AK213)+1)</f>
        <v/>
      </c>
      <c r="AM213">
        <f>IF($AL213="","",$AE213&amp;"|"&amp;RIGHT("000000"&amp;$AL213,6))</f>
        <v/>
      </c>
      <c r="AN213">
        <f>IF($AE213="","",IF(Sync!$W213="",0,Sync!$W213))</f>
        <v/>
      </c>
      <c r="AO213">
        <f>IF($AE213="","",IF(Sync!$X213="",0,Sync!$X213))</f>
        <v/>
      </c>
      <c r="AP213">
        <f>IF($AE213="","",Sync!$R213)</f>
        <v/>
      </c>
      <c r="AQ213">
        <f>IF($AE213="","",Sync!$Y213)</f>
        <v/>
      </c>
    </row>
    <row r="214">
      <c r="A214">
        <f>IF(OR(Wages!$B217="",Wages!$E217=""),"",Wages!$E217)</f>
        <v/>
      </c>
      <c r="B214">
        <f>IF($A214="","",IF(Wages!$C217="دستمزد گروهی",2,1))</f>
        <v/>
      </c>
      <c r="C214">
        <f>IF($A214="","",IF(ISNUMBER(Wages!$B217),IF(AND(Wages!$B217&gt;=10000101,Wages!$B217&lt;=99991231),INT(Wages!$B217/10000),""),IFERROR(VALUE(TRIM(LEFT(Wages!$B217,FIND("/",Wages!$B217)-1))),"")))</f>
        <v/>
      </c>
      <c r="D214">
        <f>IF(OR($A214="",$C214=""),"",IF(ISNUMBER(Wages!$B217),INT(MOD(Wages!$B217,10000)/100),IFERROR(VALUE(TRIM(LEFT(MID(Wages!$B217,FIND("/",Wages!$B217)+1,20),FIND("/",MID(Wages!$B217,FIND("/",Wages!$B217)+1,20))-1))),"")))</f>
        <v/>
      </c>
      <c r="E214">
        <f>IF(OR($A214="",$C214=""),"",IF(ISNUMBER(Wages!$B217),MOD(Wages!$B217,100),IFERROR(VALUE(TRIM(MID(MID(Wages!$B217,FIND("/",Wages!$B217)+1,20),FIND("/",MID(Wages!$B217,FIND("/",Wages!$B217)+1,20))+1,20))),"")))</f>
        <v/>
      </c>
      <c r="F214">
        <f>IF($A214="","",IF(OR($C214="",$D214="",$E214="",$C214&lt;1300,$C214&gt;1500,$D214&lt;1,$D214&gt;12,$E214&lt;1,$E214&gt;31),"نامعتبر",RIGHT("0000"&amp;$C214,4)&amp;"/"&amp;RIGHT("00"&amp;$D214,2)&amp;"/"&amp;RIGHT("00"&amp;$E214,2)))</f>
        <v/>
      </c>
      <c r="G214">
        <f>IF(OR($A214="",$F214="",$F214="نامعتبر"),"",LEFT($F214,4)&amp;MID($F214,6,2)&amp;RIGHT($F214,2)&amp;"0000"&amp;"|"&amp;"1"&amp;RIGHT("00000"&amp;209,5))</f>
        <v/>
      </c>
      <c r="H214">
        <f>IF(OR($B214&lt;&gt;1,$G214=""),"",COUNTIFS(LdAParty,$A214,LdAType,1,LdAKey,"&lt;"&amp;$G214)+COUNTIFS(LdBMember,$A214,LdBKey,"&lt;"&amp;$G214)+COUNTIFS(LdCParty,$A214,LdCKey,"&lt;"&amp;$G214)+1)</f>
        <v/>
      </c>
      <c r="I214">
        <f>IF($H214="","",$A214&amp;"|"&amp;RIGHT("000000"&amp;$H214,6))</f>
        <v/>
      </c>
      <c r="J214">
        <f>IF(OR($B214&lt;&gt;2,$G214=""),"",COUNTIFS(LdAParty,$A214,LdAType,2,LdAKey,"&lt;"&amp;$G214)+1)</f>
        <v/>
      </c>
      <c r="K214">
        <f>IF($J214="","",$A214&amp;"|"&amp;RIGHT("000000"&amp;$J214,6))</f>
        <v/>
      </c>
      <c r="L214">
        <f>IF($A214="","",IF(Wages!$G217="",0,Wages!$G217))</f>
        <v/>
      </c>
      <c r="M214">
        <f>IF($A214="","",Wages!$J217)</f>
        <v/>
      </c>
      <c r="N214">
        <f>IF($A214="","",Wages!$D217)</f>
        <v/>
      </c>
      <c r="P214">
        <f>IF(OR(Shares!$B217="",Shares!$C217=""),"",Shares!$C217)</f>
        <v/>
      </c>
      <c r="Q214">
        <f>IF($P214="","",Shares!$B217)</f>
        <v/>
      </c>
      <c r="R214">
        <f>IF($P214="","",IFERROR(INDEX(WageParty,MATCH($Q214,WageIds,0)),""))</f>
        <v/>
      </c>
      <c r="S214">
        <f>IF($P214="","",IFERROR(INDEX($F$6:$F$2005,MATCH($Q214,WageIds,0)),""))</f>
        <v/>
      </c>
      <c r="T214">
        <f>IF(OR($P214="",$S214="",$S214="نامعتبر"),"",LEFT($S214,4)&amp;MID($S214,6,2)&amp;RIGHT($S214,2)&amp;"0000"&amp;"|"&amp;"2"&amp;RIGHT("00000"&amp;209,5))</f>
        <v/>
      </c>
      <c r="U214">
        <f>IF($T214="","",COUNTIFS(LdAParty,$P214,LdAType,1,LdAKey,"&lt;"&amp;$T214)+COUNTIFS(LdBMember,$P214,LdBKey,"&lt;"&amp;$T214)+COUNTIFS(LdCParty,$P214,LdCKey,"&lt;"&amp;$T214)+1)</f>
        <v/>
      </c>
      <c r="V214">
        <f>IF($U214="","",$P214&amp;"|"&amp;RIGHT("000000"&amp;$U214,6))</f>
        <v/>
      </c>
      <c r="W214">
        <f>IF($T214="","",COUNTIFS(LdBGroup,$R214,LdBKey,"&lt;"&amp;$T214)+1)</f>
        <v/>
      </c>
      <c r="X214">
        <f>IF($W214="","",$R214&amp;"|"&amp;RIGHT("000000"&amp;$W214,6))</f>
        <v/>
      </c>
      <c r="Y214">
        <f>IF($P214="","",IF(Shares!$E217="",0,Shares!$E217))</f>
        <v/>
      </c>
      <c r="Z214">
        <f>IF($P214="","",Shares!$H217)</f>
        <v/>
      </c>
      <c r="AE214">
        <f>IF(OR(Sync!$S214="",Sync!$P214=""),"",Sync!$S214)</f>
        <v/>
      </c>
      <c r="AF214">
        <f>IF($AE214="","",IF(ISNUMBER(Sync!$P214),IF(AND(Sync!$P214&gt;=10000101,Sync!$P214&lt;=99991231),INT(Sync!$P214/10000),""),IFERROR(VALUE(TRIM(LEFT(Sync!$P214,FIND("/",Sync!$P214)-1))),"")))</f>
        <v/>
      </c>
      <c r="AG214">
        <f>IF(OR($AE214="",$AF214=""),"",IF(ISNUMBER(Sync!$P214),INT(MOD(Sync!$P214,10000)/100),IFERROR(VALUE(TRIM(LEFT(MID(Sync!$P214,FIND("/",Sync!$P214)+1,20),FIND("/",MID(Sync!$P214,FIND("/",Sync!$P214)+1,20))-1))),"")))</f>
        <v/>
      </c>
      <c r="AH214">
        <f>IF(OR($AE214="",$AF214=""),"",IF(ISNUMBER(Sync!$P214),MOD(Sync!$P214,100),IFERROR(VALUE(TRIM(MID(MID(Sync!$P214,FIND("/",Sync!$P214)+1,20),FIND("/",MID(Sync!$P214,FIND("/",Sync!$P214)+1,20))+1,20))),"")))</f>
        <v/>
      </c>
      <c r="AI214">
        <f>IF($AE214="","",IF(OR($AF214="",$AG214="",$AH214="",$AF214&lt;1300,$AF214&gt;1500,$AG214&lt;1,$AG214&gt;12,$AH214&lt;1,$AH214&gt;31),"نامعتبر",RIGHT("0000"&amp;$AF214,4)&amp;"/"&amp;RIGHT("00"&amp;$AG214,2)&amp;"/"&amp;RIGHT("00"&amp;$AH214,2)))</f>
        <v/>
      </c>
      <c r="AJ214">
        <f>IF($AE214="","",IF(Sync!$Q214="","0000",IF(AND(ISNUMBER(Sync!$Q214),Sync!$Q214&gt;=0,Sync!$Q214&lt;1),RIGHT("00"&amp;HOUR(Sync!$Q214),2)&amp;RIGHT("00"&amp;MINUTE(Sync!$Q214),2),IFERROR(RIGHT("00"&amp;VALUE(LEFT(Sync!$Q214,FIND(":",Sync!$Q214)-1)),2)&amp;RIGHT("00"&amp;VALUE(MID(Sync!$Q214,FIND(":",Sync!$Q214)+1,2)),2),"0000"))))</f>
        <v/>
      </c>
      <c r="AK214">
        <f>IF(OR($AE214="",$AI214="",$AI214="نامعتبر"),"",LEFT($AI214,4)&amp;MID($AI214,6,2)&amp;RIGHT($AI214,2)&amp;$AJ214&amp;"|"&amp;"3"&amp;RIGHT("00000"&amp;209,5))</f>
        <v/>
      </c>
      <c r="AL214">
        <f>IF($AK214="","",COUNTIFS(LdAParty,$AE214,LdAType,1,LdAKey,"&lt;"&amp;$AK214)+COUNTIFS(LdBMember,$AE214,LdBKey,"&lt;"&amp;$AK214)+COUNTIFS(LdCParty,$AE214,LdCKey,"&lt;"&amp;$AK214)+1)</f>
        <v/>
      </c>
      <c r="AM214">
        <f>IF($AL214="","",$AE214&amp;"|"&amp;RIGHT("000000"&amp;$AL214,6))</f>
        <v/>
      </c>
      <c r="AN214">
        <f>IF($AE214="","",IF(Sync!$W214="",0,Sync!$W214))</f>
        <v/>
      </c>
      <c r="AO214">
        <f>IF($AE214="","",IF(Sync!$X214="",0,Sync!$X214))</f>
        <v/>
      </c>
      <c r="AP214">
        <f>IF($AE214="","",Sync!$R214)</f>
        <v/>
      </c>
      <c r="AQ214">
        <f>IF($AE214="","",Sync!$Y214)</f>
        <v/>
      </c>
    </row>
    <row r="215">
      <c r="A215">
        <f>IF(OR(Wages!$B218="",Wages!$E218=""),"",Wages!$E218)</f>
        <v/>
      </c>
      <c r="B215">
        <f>IF($A215="","",IF(Wages!$C218="دستمزد گروهی",2,1))</f>
        <v/>
      </c>
      <c r="C215">
        <f>IF($A215="","",IF(ISNUMBER(Wages!$B218),IF(AND(Wages!$B218&gt;=10000101,Wages!$B218&lt;=99991231),INT(Wages!$B218/10000),""),IFERROR(VALUE(TRIM(LEFT(Wages!$B218,FIND("/",Wages!$B218)-1))),"")))</f>
        <v/>
      </c>
      <c r="D215">
        <f>IF(OR($A215="",$C215=""),"",IF(ISNUMBER(Wages!$B218),INT(MOD(Wages!$B218,10000)/100),IFERROR(VALUE(TRIM(LEFT(MID(Wages!$B218,FIND("/",Wages!$B218)+1,20),FIND("/",MID(Wages!$B218,FIND("/",Wages!$B218)+1,20))-1))),"")))</f>
        <v/>
      </c>
      <c r="E215">
        <f>IF(OR($A215="",$C215=""),"",IF(ISNUMBER(Wages!$B218),MOD(Wages!$B218,100),IFERROR(VALUE(TRIM(MID(MID(Wages!$B218,FIND("/",Wages!$B218)+1,20),FIND("/",MID(Wages!$B218,FIND("/",Wages!$B218)+1,20))+1,20))),"")))</f>
        <v/>
      </c>
      <c r="F215">
        <f>IF($A215="","",IF(OR($C215="",$D215="",$E215="",$C215&lt;1300,$C215&gt;1500,$D215&lt;1,$D215&gt;12,$E215&lt;1,$E215&gt;31),"نامعتبر",RIGHT("0000"&amp;$C215,4)&amp;"/"&amp;RIGHT("00"&amp;$D215,2)&amp;"/"&amp;RIGHT("00"&amp;$E215,2)))</f>
        <v/>
      </c>
      <c r="G215">
        <f>IF(OR($A215="",$F215="",$F215="نامعتبر"),"",LEFT($F215,4)&amp;MID($F215,6,2)&amp;RIGHT($F215,2)&amp;"0000"&amp;"|"&amp;"1"&amp;RIGHT("00000"&amp;210,5))</f>
        <v/>
      </c>
      <c r="H215">
        <f>IF(OR($B215&lt;&gt;1,$G215=""),"",COUNTIFS(LdAParty,$A215,LdAType,1,LdAKey,"&lt;"&amp;$G215)+COUNTIFS(LdBMember,$A215,LdBKey,"&lt;"&amp;$G215)+COUNTIFS(LdCParty,$A215,LdCKey,"&lt;"&amp;$G215)+1)</f>
        <v/>
      </c>
      <c r="I215">
        <f>IF($H215="","",$A215&amp;"|"&amp;RIGHT("000000"&amp;$H215,6))</f>
        <v/>
      </c>
      <c r="J215">
        <f>IF(OR($B215&lt;&gt;2,$G215=""),"",COUNTIFS(LdAParty,$A215,LdAType,2,LdAKey,"&lt;"&amp;$G215)+1)</f>
        <v/>
      </c>
      <c r="K215">
        <f>IF($J215="","",$A215&amp;"|"&amp;RIGHT("000000"&amp;$J215,6))</f>
        <v/>
      </c>
      <c r="L215">
        <f>IF($A215="","",IF(Wages!$G218="",0,Wages!$G218))</f>
        <v/>
      </c>
      <c r="M215">
        <f>IF($A215="","",Wages!$J218)</f>
        <v/>
      </c>
      <c r="N215">
        <f>IF($A215="","",Wages!$D218)</f>
        <v/>
      </c>
      <c r="P215">
        <f>IF(OR(Shares!$B218="",Shares!$C218=""),"",Shares!$C218)</f>
        <v/>
      </c>
      <c r="Q215">
        <f>IF($P215="","",Shares!$B218)</f>
        <v/>
      </c>
      <c r="R215">
        <f>IF($P215="","",IFERROR(INDEX(WageParty,MATCH($Q215,WageIds,0)),""))</f>
        <v/>
      </c>
      <c r="S215">
        <f>IF($P215="","",IFERROR(INDEX($F$6:$F$2005,MATCH($Q215,WageIds,0)),""))</f>
        <v/>
      </c>
      <c r="T215">
        <f>IF(OR($P215="",$S215="",$S215="نامعتبر"),"",LEFT($S215,4)&amp;MID($S215,6,2)&amp;RIGHT($S215,2)&amp;"0000"&amp;"|"&amp;"2"&amp;RIGHT("00000"&amp;210,5))</f>
        <v/>
      </c>
      <c r="U215">
        <f>IF($T215="","",COUNTIFS(LdAParty,$P215,LdAType,1,LdAKey,"&lt;"&amp;$T215)+COUNTIFS(LdBMember,$P215,LdBKey,"&lt;"&amp;$T215)+COUNTIFS(LdCParty,$P215,LdCKey,"&lt;"&amp;$T215)+1)</f>
        <v/>
      </c>
      <c r="V215">
        <f>IF($U215="","",$P215&amp;"|"&amp;RIGHT("000000"&amp;$U215,6))</f>
        <v/>
      </c>
      <c r="W215">
        <f>IF($T215="","",COUNTIFS(LdBGroup,$R215,LdBKey,"&lt;"&amp;$T215)+1)</f>
        <v/>
      </c>
      <c r="X215">
        <f>IF($W215="","",$R215&amp;"|"&amp;RIGHT("000000"&amp;$W215,6))</f>
        <v/>
      </c>
      <c r="Y215">
        <f>IF($P215="","",IF(Shares!$E218="",0,Shares!$E218))</f>
        <v/>
      </c>
      <c r="Z215">
        <f>IF($P215="","",Shares!$H218)</f>
        <v/>
      </c>
      <c r="AE215">
        <f>IF(OR(Sync!$S215="",Sync!$P215=""),"",Sync!$S215)</f>
        <v/>
      </c>
      <c r="AF215">
        <f>IF($AE215="","",IF(ISNUMBER(Sync!$P215),IF(AND(Sync!$P215&gt;=10000101,Sync!$P215&lt;=99991231),INT(Sync!$P215/10000),""),IFERROR(VALUE(TRIM(LEFT(Sync!$P215,FIND("/",Sync!$P215)-1))),"")))</f>
        <v/>
      </c>
      <c r="AG215">
        <f>IF(OR($AE215="",$AF215=""),"",IF(ISNUMBER(Sync!$P215),INT(MOD(Sync!$P215,10000)/100),IFERROR(VALUE(TRIM(LEFT(MID(Sync!$P215,FIND("/",Sync!$P215)+1,20),FIND("/",MID(Sync!$P215,FIND("/",Sync!$P215)+1,20))-1))),"")))</f>
        <v/>
      </c>
      <c r="AH215">
        <f>IF(OR($AE215="",$AF215=""),"",IF(ISNUMBER(Sync!$P215),MOD(Sync!$P215,100),IFERROR(VALUE(TRIM(MID(MID(Sync!$P215,FIND("/",Sync!$P215)+1,20),FIND("/",MID(Sync!$P215,FIND("/",Sync!$P215)+1,20))+1,20))),"")))</f>
        <v/>
      </c>
      <c r="AI215">
        <f>IF($AE215="","",IF(OR($AF215="",$AG215="",$AH215="",$AF215&lt;1300,$AF215&gt;1500,$AG215&lt;1,$AG215&gt;12,$AH215&lt;1,$AH215&gt;31),"نامعتبر",RIGHT("0000"&amp;$AF215,4)&amp;"/"&amp;RIGHT("00"&amp;$AG215,2)&amp;"/"&amp;RIGHT("00"&amp;$AH215,2)))</f>
        <v/>
      </c>
      <c r="AJ215">
        <f>IF($AE215="","",IF(Sync!$Q215="","0000",IF(AND(ISNUMBER(Sync!$Q215),Sync!$Q215&gt;=0,Sync!$Q215&lt;1),RIGHT("00"&amp;HOUR(Sync!$Q215),2)&amp;RIGHT("00"&amp;MINUTE(Sync!$Q215),2),IFERROR(RIGHT("00"&amp;VALUE(LEFT(Sync!$Q215,FIND(":",Sync!$Q215)-1)),2)&amp;RIGHT("00"&amp;VALUE(MID(Sync!$Q215,FIND(":",Sync!$Q215)+1,2)),2),"0000"))))</f>
        <v/>
      </c>
      <c r="AK215">
        <f>IF(OR($AE215="",$AI215="",$AI215="نامعتبر"),"",LEFT($AI215,4)&amp;MID($AI215,6,2)&amp;RIGHT($AI215,2)&amp;$AJ215&amp;"|"&amp;"3"&amp;RIGHT("00000"&amp;210,5))</f>
        <v/>
      </c>
      <c r="AL215">
        <f>IF($AK215="","",COUNTIFS(LdAParty,$AE215,LdAType,1,LdAKey,"&lt;"&amp;$AK215)+COUNTIFS(LdBMember,$AE215,LdBKey,"&lt;"&amp;$AK215)+COUNTIFS(LdCParty,$AE215,LdCKey,"&lt;"&amp;$AK215)+1)</f>
        <v/>
      </c>
      <c r="AM215">
        <f>IF($AL215="","",$AE215&amp;"|"&amp;RIGHT("000000"&amp;$AL215,6))</f>
        <v/>
      </c>
      <c r="AN215">
        <f>IF($AE215="","",IF(Sync!$W215="",0,Sync!$W215))</f>
        <v/>
      </c>
      <c r="AO215">
        <f>IF($AE215="","",IF(Sync!$X215="",0,Sync!$X215))</f>
        <v/>
      </c>
      <c r="AP215">
        <f>IF($AE215="","",Sync!$R215)</f>
        <v/>
      </c>
      <c r="AQ215">
        <f>IF($AE215="","",Sync!$Y215)</f>
        <v/>
      </c>
    </row>
    <row r="216">
      <c r="A216">
        <f>IF(OR(Wages!$B219="",Wages!$E219=""),"",Wages!$E219)</f>
        <v/>
      </c>
      <c r="B216">
        <f>IF($A216="","",IF(Wages!$C219="دستمزد گروهی",2,1))</f>
        <v/>
      </c>
      <c r="C216">
        <f>IF($A216="","",IF(ISNUMBER(Wages!$B219),IF(AND(Wages!$B219&gt;=10000101,Wages!$B219&lt;=99991231),INT(Wages!$B219/10000),""),IFERROR(VALUE(TRIM(LEFT(Wages!$B219,FIND("/",Wages!$B219)-1))),"")))</f>
        <v/>
      </c>
      <c r="D216">
        <f>IF(OR($A216="",$C216=""),"",IF(ISNUMBER(Wages!$B219),INT(MOD(Wages!$B219,10000)/100),IFERROR(VALUE(TRIM(LEFT(MID(Wages!$B219,FIND("/",Wages!$B219)+1,20),FIND("/",MID(Wages!$B219,FIND("/",Wages!$B219)+1,20))-1))),"")))</f>
        <v/>
      </c>
      <c r="E216">
        <f>IF(OR($A216="",$C216=""),"",IF(ISNUMBER(Wages!$B219),MOD(Wages!$B219,100),IFERROR(VALUE(TRIM(MID(MID(Wages!$B219,FIND("/",Wages!$B219)+1,20),FIND("/",MID(Wages!$B219,FIND("/",Wages!$B219)+1,20))+1,20))),"")))</f>
        <v/>
      </c>
      <c r="F216">
        <f>IF($A216="","",IF(OR($C216="",$D216="",$E216="",$C216&lt;1300,$C216&gt;1500,$D216&lt;1,$D216&gt;12,$E216&lt;1,$E216&gt;31),"نامعتبر",RIGHT("0000"&amp;$C216,4)&amp;"/"&amp;RIGHT("00"&amp;$D216,2)&amp;"/"&amp;RIGHT("00"&amp;$E216,2)))</f>
        <v/>
      </c>
      <c r="G216">
        <f>IF(OR($A216="",$F216="",$F216="نامعتبر"),"",LEFT($F216,4)&amp;MID($F216,6,2)&amp;RIGHT($F216,2)&amp;"0000"&amp;"|"&amp;"1"&amp;RIGHT("00000"&amp;211,5))</f>
        <v/>
      </c>
      <c r="H216">
        <f>IF(OR($B216&lt;&gt;1,$G216=""),"",COUNTIFS(LdAParty,$A216,LdAType,1,LdAKey,"&lt;"&amp;$G216)+COUNTIFS(LdBMember,$A216,LdBKey,"&lt;"&amp;$G216)+COUNTIFS(LdCParty,$A216,LdCKey,"&lt;"&amp;$G216)+1)</f>
        <v/>
      </c>
      <c r="I216">
        <f>IF($H216="","",$A216&amp;"|"&amp;RIGHT("000000"&amp;$H216,6))</f>
        <v/>
      </c>
      <c r="J216">
        <f>IF(OR($B216&lt;&gt;2,$G216=""),"",COUNTIFS(LdAParty,$A216,LdAType,2,LdAKey,"&lt;"&amp;$G216)+1)</f>
        <v/>
      </c>
      <c r="K216">
        <f>IF($J216="","",$A216&amp;"|"&amp;RIGHT("000000"&amp;$J216,6))</f>
        <v/>
      </c>
      <c r="L216">
        <f>IF($A216="","",IF(Wages!$G219="",0,Wages!$G219))</f>
        <v/>
      </c>
      <c r="M216">
        <f>IF($A216="","",Wages!$J219)</f>
        <v/>
      </c>
      <c r="N216">
        <f>IF($A216="","",Wages!$D219)</f>
        <v/>
      </c>
      <c r="P216">
        <f>IF(OR(Shares!$B219="",Shares!$C219=""),"",Shares!$C219)</f>
        <v/>
      </c>
      <c r="Q216">
        <f>IF($P216="","",Shares!$B219)</f>
        <v/>
      </c>
      <c r="R216">
        <f>IF($P216="","",IFERROR(INDEX(WageParty,MATCH($Q216,WageIds,0)),""))</f>
        <v/>
      </c>
      <c r="S216">
        <f>IF($P216="","",IFERROR(INDEX($F$6:$F$2005,MATCH($Q216,WageIds,0)),""))</f>
        <v/>
      </c>
      <c r="T216">
        <f>IF(OR($P216="",$S216="",$S216="نامعتبر"),"",LEFT($S216,4)&amp;MID($S216,6,2)&amp;RIGHT($S216,2)&amp;"0000"&amp;"|"&amp;"2"&amp;RIGHT("00000"&amp;211,5))</f>
        <v/>
      </c>
      <c r="U216">
        <f>IF($T216="","",COUNTIFS(LdAParty,$P216,LdAType,1,LdAKey,"&lt;"&amp;$T216)+COUNTIFS(LdBMember,$P216,LdBKey,"&lt;"&amp;$T216)+COUNTIFS(LdCParty,$P216,LdCKey,"&lt;"&amp;$T216)+1)</f>
        <v/>
      </c>
      <c r="V216">
        <f>IF($U216="","",$P216&amp;"|"&amp;RIGHT("000000"&amp;$U216,6))</f>
        <v/>
      </c>
      <c r="W216">
        <f>IF($T216="","",COUNTIFS(LdBGroup,$R216,LdBKey,"&lt;"&amp;$T216)+1)</f>
        <v/>
      </c>
      <c r="X216">
        <f>IF($W216="","",$R216&amp;"|"&amp;RIGHT("000000"&amp;$W216,6))</f>
        <v/>
      </c>
      <c r="Y216">
        <f>IF($P216="","",IF(Shares!$E219="",0,Shares!$E219))</f>
        <v/>
      </c>
      <c r="Z216">
        <f>IF($P216="","",Shares!$H219)</f>
        <v/>
      </c>
      <c r="AE216">
        <f>IF(OR(Sync!$S216="",Sync!$P216=""),"",Sync!$S216)</f>
        <v/>
      </c>
      <c r="AF216">
        <f>IF($AE216="","",IF(ISNUMBER(Sync!$P216),IF(AND(Sync!$P216&gt;=10000101,Sync!$P216&lt;=99991231),INT(Sync!$P216/10000),""),IFERROR(VALUE(TRIM(LEFT(Sync!$P216,FIND("/",Sync!$P216)-1))),"")))</f>
        <v/>
      </c>
      <c r="AG216">
        <f>IF(OR($AE216="",$AF216=""),"",IF(ISNUMBER(Sync!$P216),INT(MOD(Sync!$P216,10000)/100),IFERROR(VALUE(TRIM(LEFT(MID(Sync!$P216,FIND("/",Sync!$P216)+1,20),FIND("/",MID(Sync!$P216,FIND("/",Sync!$P216)+1,20))-1))),"")))</f>
        <v/>
      </c>
      <c r="AH216">
        <f>IF(OR($AE216="",$AF216=""),"",IF(ISNUMBER(Sync!$P216),MOD(Sync!$P216,100),IFERROR(VALUE(TRIM(MID(MID(Sync!$P216,FIND("/",Sync!$P216)+1,20),FIND("/",MID(Sync!$P216,FIND("/",Sync!$P216)+1,20))+1,20))),"")))</f>
        <v/>
      </c>
      <c r="AI216">
        <f>IF($AE216="","",IF(OR($AF216="",$AG216="",$AH216="",$AF216&lt;1300,$AF216&gt;1500,$AG216&lt;1,$AG216&gt;12,$AH216&lt;1,$AH216&gt;31),"نامعتبر",RIGHT("0000"&amp;$AF216,4)&amp;"/"&amp;RIGHT("00"&amp;$AG216,2)&amp;"/"&amp;RIGHT("00"&amp;$AH216,2)))</f>
        <v/>
      </c>
      <c r="AJ216">
        <f>IF($AE216="","",IF(Sync!$Q216="","0000",IF(AND(ISNUMBER(Sync!$Q216),Sync!$Q216&gt;=0,Sync!$Q216&lt;1),RIGHT("00"&amp;HOUR(Sync!$Q216),2)&amp;RIGHT("00"&amp;MINUTE(Sync!$Q216),2),IFERROR(RIGHT("00"&amp;VALUE(LEFT(Sync!$Q216,FIND(":",Sync!$Q216)-1)),2)&amp;RIGHT("00"&amp;VALUE(MID(Sync!$Q216,FIND(":",Sync!$Q216)+1,2)),2),"0000"))))</f>
        <v/>
      </c>
      <c r="AK216">
        <f>IF(OR($AE216="",$AI216="",$AI216="نامعتبر"),"",LEFT($AI216,4)&amp;MID($AI216,6,2)&amp;RIGHT($AI216,2)&amp;$AJ216&amp;"|"&amp;"3"&amp;RIGHT("00000"&amp;211,5))</f>
        <v/>
      </c>
      <c r="AL216">
        <f>IF($AK216="","",COUNTIFS(LdAParty,$AE216,LdAType,1,LdAKey,"&lt;"&amp;$AK216)+COUNTIFS(LdBMember,$AE216,LdBKey,"&lt;"&amp;$AK216)+COUNTIFS(LdCParty,$AE216,LdCKey,"&lt;"&amp;$AK216)+1)</f>
        <v/>
      </c>
      <c r="AM216">
        <f>IF($AL216="","",$AE216&amp;"|"&amp;RIGHT("000000"&amp;$AL216,6))</f>
        <v/>
      </c>
      <c r="AN216">
        <f>IF($AE216="","",IF(Sync!$W216="",0,Sync!$W216))</f>
        <v/>
      </c>
      <c r="AO216">
        <f>IF($AE216="","",IF(Sync!$X216="",0,Sync!$X216))</f>
        <v/>
      </c>
      <c r="AP216">
        <f>IF($AE216="","",Sync!$R216)</f>
        <v/>
      </c>
      <c r="AQ216">
        <f>IF($AE216="","",Sync!$Y216)</f>
        <v/>
      </c>
    </row>
    <row r="217">
      <c r="A217">
        <f>IF(OR(Wages!$B220="",Wages!$E220=""),"",Wages!$E220)</f>
        <v/>
      </c>
      <c r="B217">
        <f>IF($A217="","",IF(Wages!$C220="دستمزد گروهی",2,1))</f>
        <v/>
      </c>
      <c r="C217">
        <f>IF($A217="","",IF(ISNUMBER(Wages!$B220),IF(AND(Wages!$B220&gt;=10000101,Wages!$B220&lt;=99991231),INT(Wages!$B220/10000),""),IFERROR(VALUE(TRIM(LEFT(Wages!$B220,FIND("/",Wages!$B220)-1))),"")))</f>
        <v/>
      </c>
      <c r="D217">
        <f>IF(OR($A217="",$C217=""),"",IF(ISNUMBER(Wages!$B220),INT(MOD(Wages!$B220,10000)/100),IFERROR(VALUE(TRIM(LEFT(MID(Wages!$B220,FIND("/",Wages!$B220)+1,20),FIND("/",MID(Wages!$B220,FIND("/",Wages!$B220)+1,20))-1))),"")))</f>
        <v/>
      </c>
      <c r="E217">
        <f>IF(OR($A217="",$C217=""),"",IF(ISNUMBER(Wages!$B220),MOD(Wages!$B220,100),IFERROR(VALUE(TRIM(MID(MID(Wages!$B220,FIND("/",Wages!$B220)+1,20),FIND("/",MID(Wages!$B220,FIND("/",Wages!$B220)+1,20))+1,20))),"")))</f>
        <v/>
      </c>
      <c r="F217">
        <f>IF($A217="","",IF(OR($C217="",$D217="",$E217="",$C217&lt;1300,$C217&gt;1500,$D217&lt;1,$D217&gt;12,$E217&lt;1,$E217&gt;31),"نامعتبر",RIGHT("0000"&amp;$C217,4)&amp;"/"&amp;RIGHT("00"&amp;$D217,2)&amp;"/"&amp;RIGHT("00"&amp;$E217,2)))</f>
        <v/>
      </c>
      <c r="G217">
        <f>IF(OR($A217="",$F217="",$F217="نامعتبر"),"",LEFT($F217,4)&amp;MID($F217,6,2)&amp;RIGHT($F217,2)&amp;"0000"&amp;"|"&amp;"1"&amp;RIGHT("00000"&amp;212,5))</f>
        <v/>
      </c>
      <c r="H217">
        <f>IF(OR($B217&lt;&gt;1,$G217=""),"",COUNTIFS(LdAParty,$A217,LdAType,1,LdAKey,"&lt;"&amp;$G217)+COUNTIFS(LdBMember,$A217,LdBKey,"&lt;"&amp;$G217)+COUNTIFS(LdCParty,$A217,LdCKey,"&lt;"&amp;$G217)+1)</f>
        <v/>
      </c>
      <c r="I217">
        <f>IF($H217="","",$A217&amp;"|"&amp;RIGHT("000000"&amp;$H217,6))</f>
        <v/>
      </c>
      <c r="J217">
        <f>IF(OR($B217&lt;&gt;2,$G217=""),"",COUNTIFS(LdAParty,$A217,LdAType,2,LdAKey,"&lt;"&amp;$G217)+1)</f>
        <v/>
      </c>
      <c r="K217">
        <f>IF($J217="","",$A217&amp;"|"&amp;RIGHT("000000"&amp;$J217,6))</f>
        <v/>
      </c>
      <c r="L217">
        <f>IF($A217="","",IF(Wages!$G220="",0,Wages!$G220))</f>
        <v/>
      </c>
      <c r="M217">
        <f>IF($A217="","",Wages!$J220)</f>
        <v/>
      </c>
      <c r="N217">
        <f>IF($A217="","",Wages!$D220)</f>
        <v/>
      </c>
      <c r="P217">
        <f>IF(OR(Shares!$B220="",Shares!$C220=""),"",Shares!$C220)</f>
        <v/>
      </c>
      <c r="Q217">
        <f>IF($P217="","",Shares!$B220)</f>
        <v/>
      </c>
      <c r="R217">
        <f>IF($P217="","",IFERROR(INDEX(WageParty,MATCH($Q217,WageIds,0)),""))</f>
        <v/>
      </c>
      <c r="S217">
        <f>IF($P217="","",IFERROR(INDEX($F$6:$F$2005,MATCH($Q217,WageIds,0)),""))</f>
        <v/>
      </c>
      <c r="T217">
        <f>IF(OR($P217="",$S217="",$S217="نامعتبر"),"",LEFT($S217,4)&amp;MID($S217,6,2)&amp;RIGHT($S217,2)&amp;"0000"&amp;"|"&amp;"2"&amp;RIGHT("00000"&amp;212,5))</f>
        <v/>
      </c>
      <c r="U217">
        <f>IF($T217="","",COUNTIFS(LdAParty,$P217,LdAType,1,LdAKey,"&lt;"&amp;$T217)+COUNTIFS(LdBMember,$P217,LdBKey,"&lt;"&amp;$T217)+COUNTIFS(LdCParty,$P217,LdCKey,"&lt;"&amp;$T217)+1)</f>
        <v/>
      </c>
      <c r="V217">
        <f>IF($U217="","",$P217&amp;"|"&amp;RIGHT("000000"&amp;$U217,6))</f>
        <v/>
      </c>
      <c r="W217">
        <f>IF($T217="","",COUNTIFS(LdBGroup,$R217,LdBKey,"&lt;"&amp;$T217)+1)</f>
        <v/>
      </c>
      <c r="X217">
        <f>IF($W217="","",$R217&amp;"|"&amp;RIGHT("000000"&amp;$W217,6))</f>
        <v/>
      </c>
      <c r="Y217">
        <f>IF($P217="","",IF(Shares!$E220="",0,Shares!$E220))</f>
        <v/>
      </c>
      <c r="Z217">
        <f>IF($P217="","",Shares!$H220)</f>
        <v/>
      </c>
      <c r="AE217">
        <f>IF(OR(Sync!$S217="",Sync!$P217=""),"",Sync!$S217)</f>
        <v/>
      </c>
      <c r="AF217">
        <f>IF($AE217="","",IF(ISNUMBER(Sync!$P217),IF(AND(Sync!$P217&gt;=10000101,Sync!$P217&lt;=99991231),INT(Sync!$P217/10000),""),IFERROR(VALUE(TRIM(LEFT(Sync!$P217,FIND("/",Sync!$P217)-1))),"")))</f>
        <v/>
      </c>
      <c r="AG217">
        <f>IF(OR($AE217="",$AF217=""),"",IF(ISNUMBER(Sync!$P217),INT(MOD(Sync!$P217,10000)/100),IFERROR(VALUE(TRIM(LEFT(MID(Sync!$P217,FIND("/",Sync!$P217)+1,20),FIND("/",MID(Sync!$P217,FIND("/",Sync!$P217)+1,20))-1))),"")))</f>
        <v/>
      </c>
      <c r="AH217">
        <f>IF(OR($AE217="",$AF217=""),"",IF(ISNUMBER(Sync!$P217),MOD(Sync!$P217,100),IFERROR(VALUE(TRIM(MID(MID(Sync!$P217,FIND("/",Sync!$P217)+1,20),FIND("/",MID(Sync!$P217,FIND("/",Sync!$P217)+1,20))+1,20))),"")))</f>
        <v/>
      </c>
      <c r="AI217">
        <f>IF($AE217="","",IF(OR($AF217="",$AG217="",$AH217="",$AF217&lt;1300,$AF217&gt;1500,$AG217&lt;1,$AG217&gt;12,$AH217&lt;1,$AH217&gt;31),"نامعتبر",RIGHT("0000"&amp;$AF217,4)&amp;"/"&amp;RIGHT("00"&amp;$AG217,2)&amp;"/"&amp;RIGHT("00"&amp;$AH217,2)))</f>
        <v/>
      </c>
      <c r="AJ217">
        <f>IF($AE217="","",IF(Sync!$Q217="","0000",IF(AND(ISNUMBER(Sync!$Q217),Sync!$Q217&gt;=0,Sync!$Q217&lt;1),RIGHT("00"&amp;HOUR(Sync!$Q217),2)&amp;RIGHT("00"&amp;MINUTE(Sync!$Q217),2),IFERROR(RIGHT("00"&amp;VALUE(LEFT(Sync!$Q217,FIND(":",Sync!$Q217)-1)),2)&amp;RIGHT("00"&amp;VALUE(MID(Sync!$Q217,FIND(":",Sync!$Q217)+1,2)),2),"0000"))))</f>
        <v/>
      </c>
      <c r="AK217">
        <f>IF(OR($AE217="",$AI217="",$AI217="نامعتبر"),"",LEFT($AI217,4)&amp;MID($AI217,6,2)&amp;RIGHT($AI217,2)&amp;$AJ217&amp;"|"&amp;"3"&amp;RIGHT("00000"&amp;212,5))</f>
        <v/>
      </c>
      <c r="AL217">
        <f>IF($AK217="","",COUNTIFS(LdAParty,$AE217,LdAType,1,LdAKey,"&lt;"&amp;$AK217)+COUNTIFS(LdBMember,$AE217,LdBKey,"&lt;"&amp;$AK217)+COUNTIFS(LdCParty,$AE217,LdCKey,"&lt;"&amp;$AK217)+1)</f>
        <v/>
      </c>
      <c r="AM217">
        <f>IF($AL217="","",$AE217&amp;"|"&amp;RIGHT("000000"&amp;$AL217,6))</f>
        <v/>
      </c>
      <c r="AN217">
        <f>IF($AE217="","",IF(Sync!$W217="",0,Sync!$W217))</f>
        <v/>
      </c>
      <c r="AO217">
        <f>IF($AE217="","",IF(Sync!$X217="",0,Sync!$X217))</f>
        <v/>
      </c>
      <c r="AP217">
        <f>IF($AE217="","",Sync!$R217)</f>
        <v/>
      </c>
      <c r="AQ217">
        <f>IF($AE217="","",Sync!$Y217)</f>
        <v/>
      </c>
    </row>
    <row r="218">
      <c r="A218">
        <f>IF(OR(Wages!$B221="",Wages!$E221=""),"",Wages!$E221)</f>
        <v/>
      </c>
      <c r="B218">
        <f>IF($A218="","",IF(Wages!$C221="دستمزد گروهی",2,1))</f>
        <v/>
      </c>
      <c r="C218">
        <f>IF($A218="","",IF(ISNUMBER(Wages!$B221),IF(AND(Wages!$B221&gt;=10000101,Wages!$B221&lt;=99991231),INT(Wages!$B221/10000),""),IFERROR(VALUE(TRIM(LEFT(Wages!$B221,FIND("/",Wages!$B221)-1))),"")))</f>
        <v/>
      </c>
      <c r="D218">
        <f>IF(OR($A218="",$C218=""),"",IF(ISNUMBER(Wages!$B221),INT(MOD(Wages!$B221,10000)/100),IFERROR(VALUE(TRIM(LEFT(MID(Wages!$B221,FIND("/",Wages!$B221)+1,20),FIND("/",MID(Wages!$B221,FIND("/",Wages!$B221)+1,20))-1))),"")))</f>
        <v/>
      </c>
      <c r="E218">
        <f>IF(OR($A218="",$C218=""),"",IF(ISNUMBER(Wages!$B221),MOD(Wages!$B221,100),IFERROR(VALUE(TRIM(MID(MID(Wages!$B221,FIND("/",Wages!$B221)+1,20),FIND("/",MID(Wages!$B221,FIND("/",Wages!$B221)+1,20))+1,20))),"")))</f>
        <v/>
      </c>
      <c r="F218">
        <f>IF($A218="","",IF(OR($C218="",$D218="",$E218="",$C218&lt;1300,$C218&gt;1500,$D218&lt;1,$D218&gt;12,$E218&lt;1,$E218&gt;31),"نامعتبر",RIGHT("0000"&amp;$C218,4)&amp;"/"&amp;RIGHT("00"&amp;$D218,2)&amp;"/"&amp;RIGHT("00"&amp;$E218,2)))</f>
        <v/>
      </c>
      <c r="G218">
        <f>IF(OR($A218="",$F218="",$F218="نامعتبر"),"",LEFT($F218,4)&amp;MID($F218,6,2)&amp;RIGHT($F218,2)&amp;"0000"&amp;"|"&amp;"1"&amp;RIGHT("00000"&amp;213,5))</f>
        <v/>
      </c>
      <c r="H218">
        <f>IF(OR($B218&lt;&gt;1,$G218=""),"",COUNTIFS(LdAParty,$A218,LdAType,1,LdAKey,"&lt;"&amp;$G218)+COUNTIFS(LdBMember,$A218,LdBKey,"&lt;"&amp;$G218)+COUNTIFS(LdCParty,$A218,LdCKey,"&lt;"&amp;$G218)+1)</f>
        <v/>
      </c>
      <c r="I218">
        <f>IF($H218="","",$A218&amp;"|"&amp;RIGHT("000000"&amp;$H218,6))</f>
        <v/>
      </c>
      <c r="J218">
        <f>IF(OR($B218&lt;&gt;2,$G218=""),"",COUNTIFS(LdAParty,$A218,LdAType,2,LdAKey,"&lt;"&amp;$G218)+1)</f>
        <v/>
      </c>
      <c r="K218">
        <f>IF($J218="","",$A218&amp;"|"&amp;RIGHT("000000"&amp;$J218,6))</f>
        <v/>
      </c>
      <c r="L218">
        <f>IF($A218="","",IF(Wages!$G221="",0,Wages!$G221))</f>
        <v/>
      </c>
      <c r="M218">
        <f>IF($A218="","",Wages!$J221)</f>
        <v/>
      </c>
      <c r="N218">
        <f>IF($A218="","",Wages!$D221)</f>
        <v/>
      </c>
      <c r="P218">
        <f>IF(OR(Shares!$B221="",Shares!$C221=""),"",Shares!$C221)</f>
        <v/>
      </c>
      <c r="Q218">
        <f>IF($P218="","",Shares!$B221)</f>
        <v/>
      </c>
      <c r="R218">
        <f>IF($P218="","",IFERROR(INDEX(WageParty,MATCH($Q218,WageIds,0)),""))</f>
        <v/>
      </c>
      <c r="S218">
        <f>IF($P218="","",IFERROR(INDEX($F$6:$F$2005,MATCH($Q218,WageIds,0)),""))</f>
        <v/>
      </c>
      <c r="T218">
        <f>IF(OR($P218="",$S218="",$S218="نامعتبر"),"",LEFT($S218,4)&amp;MID($S218,6,2)&amp;RIGHT($S218,2)&amp;"0000"&amp;"|"&amp;"2"&amp;RIGHT("00000"&amp;213,5))</f>
        <v/>
      </c>
      <c r="U218">
        <f>IF($T218="","",COUNTIFS(LdAParty,$P218,LdAType,1,LdAKey,"&lt;"&amp;$T218)+COUNTIFS(LdBMember,$P218,LdBKey,"&lt;"&amp;$T218)+COUNTIFS(LdCParty,$P218,LdCKey,"&lt;"&amp;$T218)+1)</f>
        <v/>
      </c>
      <c r="V218">
        <f>IF($U218="","",$P218&amp;"|"&amp;RIGHT("000000"&amp;$U218,6))</f>
        <v/>
      </c>
      <c r="W218">
        <f>IF($T218="","",COUNTIFS(LdBGroup,$R218,LdBKey,"&lt;"&amp;$T218)+1)</f>
        <v/>
      </c>
      <c r="X218">
        <f>IF($W218="","",$R218&amp;"|"&amp;RIGHT("000000"&amp;$W218,6))</f>
        <v/>
      </c>
      <c r="Y218">
        <f>IF($P218="","",IF(Shares!$E221="",0,Shares!$E221))</f>
        <v/>
      </c>
      <c r="Z218">
        <f>IF($P218="","",Shares!$H221)</f>
        <v/>
      </c>
      <c r="AE218">
        <f>IF(OR(Sync!$S218="",Sync!$P218=""),"",Sync!$S218)</f>
        <v/>
      </c>
      <c r="AF218">
        <f>IF($AE218="","",IF(ISNUMBER(Sync!$P218),IF(AND(Sync!$P218&gt;=10000101,Sync!$P218&lt;=99991231),INT(Sync!$P218/10000),""),IFERROR(VALUE(TRIM(LEFT(Sync!$P218,FIND("/",Sync!$P218)-1))),"")))</f>
        <v/>
      </c>
      <c r="AG218">
        <f>IF(OR($AE218="",$AF218=""),"",IF(ISNUMBER(Sync!$P218),INT(MOD(Sync!$P218,10000)/100),IFERROR(VALUE(TRIM(LEFT(MID(Sync!$P218,FIND("/",Sync!$P218)+1,20),FIND("/",MID(Sync!$P218,FIND("/",Sync!$P218)+1,20))-1))),"")))</f>
        <v/>
      </c>
      <c r="AH218">
        <f>IF(OR($AE218="",$AF218=""),"",IF(ISNUMBER(Sync!$P218),MOD(Sync!$P218,100),IFERROR(VALUE(TRIM(MID(MID(Sync!$P218,FIND("/",Sync!$P218)+1,20),FIND("/",MID(Sync!$P218,FIND("/",Sync!$P218)+1,20))+1,20))),"")))</f>
        <v/>
      </c>
      <c r="AI218">
        <f>IF($AE218="","",IF(OR($AF218="",$AG218="",$AH218="",$AF218&lt;1300,$AF218&gt;1500,$AG218&lt;1,$AG218&gt;12,$AH218&lt;1,$AH218&gt;31),"نامعتبر",RIGHT("0000"&amp;$AF218,4)&amp;"/"&amp;RIGHT("00"&amp;$AG218,2)&amp;"/"&amp;RIGHT("00"&amp;$AH218,2)))</f>
        <v/>
      </c>
      <c r="AJ218">
        <f>IF($AE218="","",IF(Sync!$Q218="","0000",IF(AND(ISNUMBER(Sync!$Q218),Sync!$Q218&gt;=0,Sync!$Q218&lt;1),RIGHT("00"&amp;HOUR(Sync!$Q218),2)&amp;RIGHT("00"&amp;MINUTE(Sync!$Q218),2),IFERROR(RIGHT("00"&amp;VALUE(LEFT(Sync!$Q218,FIND(":",Sync!$Q218)-1)),2)&amp;RIGHT("00"&amp;VALUE(MID(Sync!$Q218,FIND(":",Sync!$Q218)+1,2)),2),"0000"))))</f>
        <v/>
      </c>
      <c r="AK218">
        <f>IF(OR($AE218="",$AI218="",$AI218="نامعتبر"),"",LEFT($AI218,4)&amp;MID($AI218,6,2)&amp;RIGHT($AI218,2)&amp;$AJ218&amp;"|"&amp;"3"&amp;RIGHT("00000"&amp;213,5))</f>
        <v/>
      </c>
      <c r="AL218">
        <f>IF($AK218="","",COUNTIFS(LdAParty,$AE218,LdAType,1,LdAKey,"&lt;"&amp;$AK218)+COUNTIFS(LdBMember,$AE218,LdBKey,"&lt;"&amp;$AK218)+COUNTIFS(LdCParty,$AE218,LdCKey,"&lt;"&amp;$AK218)+1)</f>
        <v/>
      </c>
      <c r="AM218">
        <f>IF($AL218="","",$AE218&amp;"|"&amp;RIGHT("000000"&amp;$AL218,6))</f>
        <v/>
      </c>
      <c r="AN218">
        <f>IF($AE218="","",IF(Sync!$W218="",0,Sync!$W218))</f>
        <v/>
      </c>
      <c r="AO218">
        <f>IF($AE218="","",IF(Sync!$X218="",0,Sync!$X218))</f>
        <v/>
      </c>
      <c r="AP218">
        <f>IF($AE218="","",Sync!$R218)</f>
        <v/>
      </c>
      <c r="AQ218">
        <f>IF($AE218="","",Sync!$Y218)</f>
        <v/>
      </c>
    </row>
    <row r="219">
      <c r="A219">
        <f>IF(OR(Wages!$B222="",Wages!$E222=""),"",Wages!$E222)</f>
        <v/>
      </c>
      <c r="B219">
        <f>IF($A219="","",IF(Wages!$C222="دستمزد گروهی",2,1))</f>
        <v/>
      </c>
      <c r="C219">
        <f>IF($A219="","",IF(ISNUMBER(Wages!$B222),IF(AND(Wages!$B222&gt;=10000101,Wages!$B222&lt;=99991231),INT(Wages!$B222/10000),""),IFERROR(VALUE(TRIM(LEFT(Wages!$B222,FIND("/",Wages!$B222)-1))),"")))</f>
        <v/>
      </c>
      <c r="D219">
        <f>IF(OR($A219="",$C219=""),"",IF(ISNUMBER(Wages!$B222),INT(MOD(Wages!$B222,10000)/100),IFERROR(VALUE(TRIM(LEFT(MID(Wages!$B222,FIND("/",Wages!$B222)+1,20),FIND("/",MID(Wages!$B222,FIND("/",Wages!$B222)+1,20))-1))),"")))</f>
        <v/>
      </c>
      <c r="E219">
        <f>IF(OR($A219="",$C219=""),"",IF(ISNUMBER(Wages!$B222),MOD(Wages!$B222,100),IFERROR(VALUE(TRIM(MID(MID(Wages!$B222,FIND("/",Wages!$B222)+1,20),FIND("/",MID(Wages!$B222,FIND("/",Wages!$B222)+1,20))+1,20))),"")))</f>
        <v/>
      </c>
      <c r="F219">
        <f>IF($A219="","",IF(OR($C219="",$D219="",$E219="",$C219&lt;1300,$C219&gt;1500,$D219&lt;1,$D219&gt;12,$E219&lt;1,$E219&gt;31),"نامعتبر",RIGHT("0000"&amp;$C219,4)&amp;"/"&amp;RIGHT("00"&amp;$D219,2)&amp;"/"&amp;RIGHT("00"&amp;$E219,2)))</f>
        <v/>
      </c>
      <c r="G219">
        <f>IF(OR($A219="",$F219="",$F219="نامعتبر"),"",LEFT($F219,4)&amp;MID($F219,6,2)&amp;RIGHT($F219,2)&amp;"0000"&amp;"|"&amp;"1"&amp;RIGHT("00000"&amp;214,5))</f>
        <v/>
      </c>
      <c r="H219">
        <f>IF(OR($B219&lt;&gt;1,$G219=""),"",COUNTIFS(LdAParty,$A219,LdAType,1,LdAKey,"&lt;"&amp;$G219)+COUNTIFS(LdBMember,$A219,LdBKey,"&lt;"&amp;$G219)+COUNTIFS(LdCParty,$A219,LdCKey,"&lt;"&amp;$G219)+1)</f>
        <v/>
      </c>
      <c r="I219">
        <f>IF($H219="","",$A219&amp;"|"&amp;RIGHT("000000"&amp;$H219,6))</f>
        <v/>
      </c>
      <c r="J219">
        <f>IF(OR($B219&lt;&gt;2,$G219=""),"",COUNTIFS(LdAParty,$A219,LdAType,2,LdAKey,"&lt;"&amp;$G219)+1)</f>
        <v/>
      </c>
      <c r="K219">
        <f>IF($J219="","",$A219&amp;"|"&amp;RIGHT("000000"&amp;$J219,6))</f>
        <v/>
      </c>
      <c r="L219">
        <f>IF($A219="","",IF(Wages!$G222="",0,Wages!$G222))</f>
        <v/>
      </c>
      <c r="M219">
        <f>IF($A219="","",Wages!$J222)</f>
        <v/>
      </c>
      <c r="N219">
        <f>IF($A219="","",Wages!$D222)</f>
        <v/>
      </c>
      <c r="P219">
        <f>IF(OR(Shares!$B222="",Shares!$C222=""),"",Shares!$C222)</f>
        <v/>
      </c>
      <c r="Q219">
        <f>IF($P219="","",Shares!$B222)</f>
        <v/>
      </c>
      <c r="R219">
        <f>IF($P219="","",IFERROR(INDEX(WageParty,MATCH($Q219,WageIds,0)),""))</f>
        <v/>
      </c>
      <c r="S219">
        <f>IF($P219="","",IFERROR(INDEX($F$6:$F$2005,MATCH($Q219,WageIds,0)),""))</f>
        <v/>
      </c>
      <c r="T219">
        <f>IF(OR($P219="",$S219="",$S219="نامعتبر"),"",LEFT($S219,4)&amp;MID($S219,6,2)&amp;RIGHT($S219,2)&amp;"0000"&amp;"|"&amp;"2"&amp;RIGHT("00000"&amp;214,5))</f>
        <v/>
      </c>
      <c r="U219">
        <f>IF($T219="","",COUNTIFS(LdAParty,$P219,LdAType,1,LdAKey,"&lt;"&amp;$T219)+COUNTIFS(LdBMember,$P219,LdBKey,"&lt;"&amp;$T219)+COUNTIFS(LdCParty,$P219,LdCKey,"&lt;"&amp;$T219)+1)</f>
        <v/>
      </c>
      <c r="V219">
        <f>IF($U219="","",$P219&amp;"|"&amp;RIGHT("000000"&amp;$U219,6))</f>
        <v/>
      </c>
      <c r="W219">
        <f>IF($T219="","",COUNTIFS(LdBGroup,$R219,LdBKey,"&lt;"&amp;$T219)+1)</f>
        <v/>
      </c>
      <c r="X219">
        <f>IF($W219="","",$R219&amp;"|"&amp;RIGHT("000000"&amp;$W219,6))</f>
        <v/>
      </c>
      <c r="Y219">
        <f>IF($P219="","",IF(Shares!$E222="",0,Shares!$E222))</f>
        <v/>
      </c>
      <c r="Z219">
        <f>IF($P219="","",Shares!$H222)</f>
        <v/>
      </c>
      <c r="AE219">
        <f>IF(OR(Sync!$S219="",Sync!$P219=""),"",Sync!$S219)</f>
        <v/>
      </c>
      <c r="AF219">
        <f>IF($AE219="","",IF(ISNUMBER(Sync!$P219),IF(AND(Sync!$P219&gt;=10000101,Sync!$P219&lt;=99991231),INT(Sync!$P219/10000),""),IFERROR(VALUE(TRIM(LEFT(Sync!$P219,FIND("/",Sync!$P219)-1))),"")))</f>
        <v/>
      </c>
      <c r="AG219">
        <f>IF(OR($AE219="",$AF219=""),"",IF(ISNUMBER(Sync!$P219),INT(MOD(Sync!$P219,10000)/100),IFERROR(VALUE(TRIM(LEFT(MID(Sync!$P219,FIND("/",Sync!$P219)+1,20),FIND("/",MID(Sync!$P219,FIND("/",Sync!$P219)+1,20))-1))),"")))</f>
        <v/>
      </c>
      <c r="AH219">
        <f>IF(OR($AE219="",$AF219=""),"",IF(ISNUMBER(Sync!$P219),MOD(Sync!$P219,100),IFERROR(VALUE(TRIM(MID(MID(Sync!$P219,FIND("/",Sync!$P219)+1,20),FIND("/",MID(Sync!$P219,FIND("/",Sync!$P219)+1,20))+1,20))),"")))</f>
        <v/>
      </c>
      <c r="AI219">
        <f>IF($AE219="","",IF(OR($AF219="",$AG219="",$AH219="",$AF219&lt;1300,$AF219&gt;1500,$AG219&lt;1,$AG219&gt;12,$AH219&lt;1,$AH219&gt;31),"نامعتبر",RIGHT("0000"&amp;$AF219,4)&amp;"/"&amp;RIGHT("00"&amp;$AG219,2)&amp;"/"&amp;RIGHT("00"&amp;$AH219,2)))</f>
        <v/>
      </c>
      <c r="AJ219">
        <f>IF($AE219="","",IF(Sync!$Q219="","0000",IF(AND(ISNUMBER(Sync!$Q219),Sync!$Q219&gt;=0,Sync!$Q219&lt;1),RIGHT("00"&amp;HOUR(Sync!$Q219),2)&amp;RIGHT("00"&amp;MINUTE(Sync!$Q219),2),IFERROR(RIGHT("00"&amp;VALUE(LEFT(Sync!$Q219,FIND(":",Sync!$Q219)-1)),2)&amp;RIGHT("00"&amp;VALUE(MID(Sync!$Q219,FIND(":",Sync!$Q219)+1,2)),2),"0000"))))</f>
        <v/>
      </c>
      <c r="AK219">
        <f>IF(OR($AE219="",$AI219="",$AI219="نامعتبر"),"",LEFT($AI219,4)&amp;MID($AI219,6,2)&amp;RIGHT($AI219,2)&amp;$AJ219&amp;"|"&amp;"3"&amp;RIGHT("00000"&amp;214,5))</f>
        <v/>
      </c>
      <c r="AL219">
        <f>IF($AK219="","",COUNTIFS(LdAParty,$AE219,LdAType,1,LdAKey,"&lt;"&amp;$AK219)+COUNTIFS(LdBMember,$AE219,LdBKey,"&lt;"&amp;$AK219)+COUNTIFS(LdCParty,$AE219,LdCKey,"&lt;"&amp;$AK219)+1)</f>
        <v/>
      </c>
      <c r="AM219">
        <f>IF($AL219="","",$AE219&amp;"|"&amp;RIGHT("000000"&amp;$AL219,6))</f>
        <v/>
      </c>
      <c r="AN219">
        <f>IF($AE219="","",IF(Sync!$W219="",0,Sync!$W219))</f>
        <v/>
      </c>
      <c r="AO219">
        <f>IF($AE219="","",IF(Sync!$X219="",0,Sync!$X219))</f>
        <v/>
      </c>
      <c r="AP219">
        <f>IF($AE219="","",Sync!$R219)</f>
        <v/>
      </c>
      <c r="AQ219">
        <f>IF($AE219="","",Sync!$Y219)</f>
        <v/>
      </c>
    </row>
    <row r="220">
      <c r="A220">
        <f>IF(OR(Wages!$B223="",Wages!$E223=""),"",Wages!$E223)</f>
        <v/>
      </c>
      <c r="B220">
        <f>IF($A220="","",IF(Wages!$C223="دستمزد گروهی",2,1))</f>
        <v/>
      </c>
      <c r="C220">
        <f>IF($A220="","",IF(ISNUMBER(Wages!$B223),IF(AND(Wages!$B223&gt;=10000101,Wages!$B223&lt;=99991231),INT(Wages!$B223/10000),""),IFERROR(VALUE(TRIM(LEFT(Wages!$B223,FIND("/",Wages!$B223)-1))),"")))</f>
        <v/>
      </c>
      <c r="D220">
        <f>IF(OR($A220="",$C220=""),"",IF(ISNUMBER(Wages!$B223),INT(MOD(Wages!$B223,10000)/100),IFERROR(VALUE(TRIM(LEFT(MID(Wages!$B223,FIND("/",Wages!$B223)+1,20),FIND("/",MID(Wages!$B223,FIND("/",Wages!$B223)+1,20))-1))),"")))</f>
        <v/>
      </c>
      <c r="E220">
        <f>IF(OR($A220="",$C220=""),"",IF(ISNUMBER(Wages!$B223),MOD(Wages!$B223,100),IFERROR(VALUE(TRIM(MID(MID(Wages!$B223,FIND("/",Wages!$B223)+1,20),FIND("/",MID(Wages!$B223,FIND("/",Wages!$B223)+1,20))+1,20))),"")))</f>
        <v/>
      </c>
      <c r="F220">
        <f>IF($A220="","",IF(OR($C220="",$D220="",$E220="",$C220&lt;1300,$C220&gt;1500,$D220&lt;1,$D220&gt;12,$E220&lt;1,$E220&gt;31),"نامعتبر",RIGHT("0000"&amp;$C220,4)&amp;"/"&amp;RIGHT("00"&amp;$D220,2)&amp;"/"&amp;RIGHT("00"&amp;$E220,2)))</f>
        <v/>
      </c>
      <c r="G220">
        <f>IF(OR($A220="",$F220="",$F220="نامعتبر"),"",LEFT($F220,4)&amp;MID($F220,6,2)&amp;RIGHT($F220,2)&amp;"0000"&amp;"|"&amp;"1"&amp;RIGHT("00000"&amp;215,5))</f>
        <v/>
      </c>
      <c r="H220">
        <f>IF(OR($B220&lt;&gt;1,$G220=""),"",COUNTIFS(LdAParty,$A220,LdAType,1,LdAKey,"&lt;"&amp;$G220)+COUNTIFS(LdBMember,$A220,LdBKey,"&lt;"&amp;$G220)+COUNTIFS(LdCParty,$A220,LdCKey,"&lt;"&amp;$G220)+1)</f>
        <v/>
      </c>
      <c r="I220">
        <f>IF($H220="","",$A220&amp;"|"&amp;RIGHT("000000"&amp;$H220,6))</f>
        <v/>
      </c>
      <c r="J220">
        <f>IF(OR($B220&lt;&gt;2,$G220=""),"",COUNTIFS(LdAParty,$A220,LdAType,2,LdAKey,"&lt;"&amp;$G220)+1)</f>
        <v/>
      </c>
      <c r="K220">
        <f>IF($J220="","",$A220&amp;"|"&amp;RIGHT("000000"&amp;$J220,6))</f>
        <v/>
      </c>
      <c r="L220">
        <f>IF($A220="","",IF(Wages!$G223="",0,Wages!$G223))</f>
        <v/>
      </c>
      <c r="M220">
        <f>IF($A220="","",Wages!$J223)</f>
        <v/>
      </c>
      <c r="N220">
        <f>IF($A220="","",Wages!$D223)</f>
        <v/>
      </c>
      <c r="P220">
        <f>IF(OR(Shares!$B223="",Shares!$C223=""),"",Shares!$C223)</f>
        <v/>
      </c>
      <c r="Q220">
        <f>IF($P220="","",Shares!$B223)</f>
        <v/>
      </c>
      <c r="R220">
        <f>IF($P220="","",IFERROR(INDEX(WageParty,MATCH($Q220,WageIds,0)),""))</f>
        <v/>
      </c>
      <c r="S220">
        <f>IF($P220="","",IFERROR(INDEX($F$6:$F$2005,MATCH($Q220,WageIds,0)),""))</f>
        <v/>
      </c>
      <c r="T220">
        <f>IF(OR($P220="",$S220="",$S220="نامعتبر"),"",LEFT($S220,4)&amp;MID($S220,6,2)&amp;RIGHT($S220,2)&amp;"0000"&amp;"|"&amp;"2"&amp;RIGHT("00000"&amp;215,5))</f>
        <v/>
      </c>
      <c r="U220">
        <f>IF($T220="","",COUNTIFS(LdAParty,$P220,LdAType,1,LdAKey,"&lt;"&amp;$T220)+COUNTIFS(LdBMember,$P220,LdBKey,"&lt;"&amp;$T220)+COUNTIFS(LdCParty,$P220,LdCKey,"&lt;"&amp;$T220)+1)</f>
        <v/>
      </c>
      <c r="V220">
        <f>IF($U220="","",$P220&amp;"|"&amp;RIGHT("000000"&amp;$U220,6))</f>
        <v/>
      </c>
      <c r="W220">
        <f>IF($T220="","",COUNTIFS(LdBGroup,$R220,LdBKey,"&lt;"&amp;$T220)+1)</f>
        <v/>
      </c>
      <c r="X220">
        <f>IF($W220="","",$R220&amp;"|"&amp;RIGHT("000000"&amp;$W220,6))</f>
        <v/>
      </c>
      <c r="Y220">
        <f>IF($P220="","",IF(Shares!$E223="",0,Shares!$E223))</f>
        <v/>
      </c>
      <c r="Z220">
        <f>IF($P220="","",Shares!$H223)</f>
        <v/>
      </c>
      <c r="AE220">
        <f>IF(OR(Sync!$S220="",Sync!$P220=""),"",Sync!$S220)</f>
        <v/>
      </c>
      <c r="AF220">
        <f>IF($AE220="","",IF(ISNUMBER(Sync!$P220),IF(AND(Sync!$P220&gt;=10000101,Sync!$P220&lt;=99991231),INT(Sync!$P220/10000),""),IFERROR(VALUE(TRIM(LEFT(Sync!$P220,FIND("/",Sync!$P220)-1))),"")))</f>
        <v/>
      </c>
      <c r="AG220">
        <f>IF(OR($AE220="",$AF220=""),"",IF(ISNUMBER(Sync!$P220),INT(MOD(Sync!$P220,10000)/100),IFERROR(VALUE(TRIM(LEFT(MID(Sync!$P220,FIND("/",Sync!$P220)+1,20),FIND("/",MID(Sync!$P220,FIND("/",Sync!$P220)+1,20))-1))),"")))</f>
        <v/>
      </c>
      <c r="AH220">
        <f>IF(OR($AE220="",$AF220=""),"",IF(ISNUMBER(Sync!$P220),MOD(Sync!$P220,100),IFERROR(VALUE(TRIM(MID(MID(Sync!$P220,FIND("/",Sync!$P220)+1,20),FIND("/",MID(Sync!$P220,FIND("/",Sync!$P220)+1,20))+1,20))),"")))</f>
        <v/>
      </c>
      <c r="AI220">
        <f>IF($AE220="","",IF(OR($AF220="",$AG220="",$AH220="",$AF220&lt;1300,$AF220&gt;1500,$AG220&lt;1,$AG220&gt;12,$AH220&lt;1,$AH220&gt;31),"نامعتبر",RIGHT("0000"&amp;$AF220,4)&amp;"/"&amp;RIGHT("00"&amp;$AG220,2)&amp;"/"&amp;RIGHT("00"&amp;$AH220,2)))</f>
        <v/>
      </c>
      <c r="AJ220">
        <f>IF($AE220="","",IF(Sync!$Q220="","0000",IF(AND(ISNUMBER(Sync!$Q220),Sync!$Q220&gt;=0,Sync!$Q220&lt;1),RIGHT("00"&amp;HOUR(Sync!$Q220),2)&amp;RIGHT("00"&amp;MINUTE(Sync!$Q220),2),IFERROR(RIGHT("00"&amp;VALUE(LEFT(Sync!$Q220,FIND(":",Sync!$Q220)-1)),2)&amp;RIGHT("00"&amp;VALUE(MID(Sync!$Q220,FIND(":",Sync!$Q220)+1,2)),2),"0000"))))</f>
        <v/>
      </c>
      <c r="AK220">
        <f>IF(OR($AE220="",$AI220="",$AI220="نامعتبر"),"",LEFT($AI220,4)&amp;MID($AI220,6,2)&amp;RIGHT($AI220,2)&amp;$AJ220&amp;"|"&amp;"3"&amp;RIGHT("00000"&amp;215,5))</f>
        <v/>
      </c>
      <c r="AL220">
        <f>IF($AK220="","",COUNTIFS(LdAParty,$AE220,LdAType,1,LdAKey,"&lt;"&amp;$AK220)+COUNTIFS(LdBMember,$AE220,LdBKey,"&lt;"&amp;$AK220)+COUNTIFS(LdCParty,$AE220,LdCKey,"&lt;"&amp;$AK220)+1)</f>
        <v/>
      </c>
      <c r="AM220">
        <f>IF($AL220="","",$AE220&amp;"|"&amp;RIGHT("000000"&amp;$AL220,6))</f>
        <v/>
      </c>
      <c r="AN220">
        <f>IF($AE220="","",IF(Sync!$W220="",0,Sync!$W220))</f>
        <v/>
      </c>
      <c r="AO220">
        <f>IF($AE220="","",IF(Sync!$X220="",0,Sync!$X220))</f>
        <v/>
      </c>
      <c r="AP220">
        <f>IF($AE220="","",Sync!$R220)</f>
        <v/>
      </c>
      <c r="AQ220">
        <f>IF($AE220="","",Sync!$Y220)</f>
        <v/>
      </c>
    </row>
    <row r="221">
      <c r="A221">
        <f>IF(OR(Wages!$B224="",Wages!$E224=""),"",Wages!$E224)</f>
        <v/>
      </c>
      <c r="B221">
        <f>IF($A221="","",IF(Wages!$C224="دستمزد گروهی",2,1))</f>
        <v/>
      </c>
      <c r="C221">
        <f>IF($A221="","",IF(ISNUMBER(Wages!$B224),IF(AND(Wages!$B224&gt;=10000101,Wages!$B224&lt;=99991231),INT(Wages!$B224/10000),""),IFERROR(VALUE(TRIM(LEFT(Wages!$B224,FIND("/",Wages!$B224)-1))),"")))</f>
        <v/>
      </c>
      <c r="D221">
        <f>IF(OR($A221="",$C221=""),"",IF(ISNUMBER(Wages!$B224),INT(MOD(Wages!$B224,10000)/100),IFERROR(VALUE(TRIM(LEFT(MID(Wages!$B224,FIND("/",Wages!$B224)+1,20),FIND("/",MID(Wages!$B224,FIND("/",Wages!$B224)+1,20))-1))),"")))</f>
        <v/>
      </c>
      <c r="E221">
        <f>IF(OR($A221="",$C221=""),"",IF(ISNUMBER(Wages!$B224),MOD(Wages!$B224,100),IFERROR(VALUE(TRIM(MID(MID(Wages!$B224,FIND("/",Wages!$B224)+1,20),FIND("/",MID(Wages!$B224,FIND("/",Wages!$B224)+1,20))+1,20))),"")))</f>
        <v/>
      </c>
      <c r="F221">
        <f>IF($A221="","",IF(OR($C221="",$D221="",$E221="",$C221&lt;1300,$C221&gt;1500,$D221&lt;1,$D221&gt;12,$E221&lt;1,$E221&gt;31),"نامعتبر",RIGHT("0000"&amp;$C221,4)&amp;"/"&amp;RIGHT("00"&amp;$D221,2)&amp;"/"&amp;RIGHT("00"&amp;$E221,2)))</f>
        <v/>
      </c>
      <c r="G221">
        <f>IF(OR($A221="",$F221="",$F221="نامعتبر"),"",LEFT($F221,4)&amp;MID($F221,6,2)&amp;RIGHT($F221,2)&amp;"0000"&amp;"|"&amp;"1"&amp;RIGHT("00000"&amp;216,5))</f>
        <v/>
      </c>
      <c r="H221">
        <f>IF(OR($B221&lt;&gt;1,$G221=""),"",COUNTIFS(LdAParty,$A221,LdAType,1,LdAKey,"&lt;"&amp;$G221)+COUNTIFS(LdBMember,$A221,LdBKey,"&lt;"&amp;$G221)+COUNTIFS(LdCParty,$A221,LdCKey,"&lt;"&amp;$G221)+1)</f>
        <v/>
      </c>
      <c r="I221">
        <f>IF($H221="","",$A221&amp;"|"&amp;RIGHT("000000"&amp;$H221,6))</f>
        <v/>
      </c>
      <c r="J221">
        <f>IF(OR($B221&lt;&gt;2,$G221=""),"",COUNTIFS(LdAParty,$A221,LdAType,2,LdAKey,"&lt;"&amp;$G221)+1)</f>
        <v/>
      </c>
      <c r="K221">
        <f>IF($J221="","",$A221&amp;"|"&amp;RIGHT("000000"&amp;$J221,6))</f>
        <v/>
      </c>
      <c r="L221">
        <f>IF($A221="","",IF(Wages!$G224="",0,Wages!$G224))</f>
        <v/>
      </c>
      <c r="M221">
        <f>IF($A221="","",Wages!$J224)</f>
        <v/>
      </c>
      <c r="N221">
        <f>IF($A221="","",Wages!$D224)</f>
        <v/>
      </c>
      <c r="P221">
        <f>IF(OR(Shares!$B224="",Shares!$C224=""),"",Shares!$C224)</f>
        <v/>
      </c>
      <c r="Q221">
        <f>IF($P221="","",Shares!$B224)</f>
        <v/>
      </c>
      <c r="R221">
        <f>IF($P221="","",IFERROR(INDEX(WageParty,MATCH($Q221,WageIds,0)),""))</f>
        <v/>
      </c>
      <c r="S221">
        <f>IF($P221="","",IFERROR(INDEX($F$6:$F$2005,MATCH($Q221,WageIds,0)),""))</f>
        <v/>
      </c>
      <c r="T221">
        <f>IF(OR($P221="",$S221="",$S221="نامعتبر"),"",LEFT($S221,4)&amp;MID($S221,6,2)&amp;RIGHT($S221,2)&amp;"0000"&amp;"|"&amp;"2"&amp;RIGHT("00000"&amp;216,5))</f>
        <v/>
      </c>
      <c r="U221">
        <f>IF($T221="","",COUNTIFS(LdAParty,$P221,LdAType,1,LdAKey,"&lt;"&amp;$T221)+COUNTIFS(LdBMember,$P221,LdBKey,"&lt;"&amp;$T221)+COUNTIFS(LdCParty,$P221,LdCKey,"&lt;"&amp;$T221)+1)</f>
        <v/>
      </c>
      <c r="V221">
        <f>IF($U221="","",$P221&amp;"|"&amp;RIGHT("000000"&amp;$U221,6))</f>
        <v/>
      </c>
      <c r="W221">
        <f>IF($T221="","",COUNTIFS(LdBGroup,$R221,LdBKey,"&lt;"&amp;$T221)+1)</f>
        <v/>
      </c>
      <c r="X221">
        <f>IF($W221="","",$R221&amp;"|"&amp;RIGHT("000000"&amp;$W221,6))</f>
        <v/>
      </c>
      <c r="Y221">
        <f>IF($P221="","",IF(Shares!$E224="",0,Shares!$E224))</f>
        <v/>
      </c>
      <c r="Z221">
        <f>IF($P221="","",Shares!$H224)</f>
        <v/>
      </c>
      <c r="AE221">
        <f>IF(OR(Sync!$S221="",Sync!$P221=""),"",Sync!$S221)</f>
        <v/>
      </c>
      <c r="AF221">
        <f>IF($AE221="","",IF(ISNUMBER(Sync!$P221),IF(AND(Sync!$P221&gt;=10000101,Sync!$P221&lt;=99991231),INT(Sync!$P221/10000),""),IFERROR(VALUE(TRIM(LEFT(Sync!$P221,FIND("/",Sync!$P221)-1))),"")))</f>
        <v/>
      </c>
      <c r="AG221">
        <f>IF(OR($AE221="",$AF221=""),"",IF(ISNUMBER(Sync!$P221),INT(MOD(Sync!$P221,10000)/100),IFERROR(VALUE(TRIM(LEFT(MID(Sync!$P221,FIND("/",Sync!$P221)+1,20),FIND("/",MID(Sync!$P221,FIND("/",Sync!$P221)+1,20))-1))),"")))</f>
        <v/>
      </c>
      <c r="AH221">
        <f>IF(OR($AE221="",$AF221=""),"",IF(ISNUMBER(Sync!$P221),MOD(Sync!$P221,100),IFERROR(VALUE(TRIM(MID(MID(Sync!$P221,FIND("/",Sync!$P221)+1,20),FIND("/",MID(Sync!$P221,FIND("/",Sync!$P221)+1,20))+1,20))),"")))</f>
        <v/>
      </c>
      <c r="AI221">
        <f>IF($AE221="","",IF(OR($AF221="",$AG221="",$AH221="",$AF221&lt;1300,$AF221&gt;1500,$AG221&lt;1,$AG221&gt;12,$AH221&lt;1,$AH221&gt;31),"نامعتبر",RIGHT("0000"&amp;$AF221,4)&amp;"/"&amp;RIGHT("00"&amp;$AG221,2)&amp;"/"&amp;RIGHT("00"&amp;$AH221,2)))</f>
        <v/>
      </c>
      <c r="AJ221">
        <f>IF($AE221="","",IF(Sync!$Q221="","0000",IF(AND(ISNUMBER(Sync!$Q221),Sync!$Q221&gt;=0,Sync!$Q221&lt;1),RIGHT("00"&amp;HOUR(Sync!$Q221),2)&amp;RIGHT("00"&amp;MINUTE(Sync!$Q221),2),IFERROR(RIGHT("00"&amp;VALUE(LEFT(Sync!$Q221,FIND(":",Sync!$Q221)-1)),2)&amp;RIGHT("00"&amp;VALUE(MID(Sync!$Q221,FIND(":",Sync!$Q221)+1,2)),2),"0000"))))</f>
        <v/>
      </c>
      <c r="AK221">
        <f>IF(OR($AE221="",$AI221="",$AI221="نامعتبر"),"",LEFT($AI221,4)&amp;MID($AI221,6,2)&amp;RIGHT($AI221,2)&amp;$AJ221&amp;"|"&amp;"3"&amp;RIGHT("00000"&amp;216,5))</f>
        <v/>
      </c>
      <c r="AL221">
        <f>IF($AK221="","",COUNTIFS(LdAParty,$AE221,LdAType,1,LdAKey,"&lt;"&amp;$AK221)+COUNTIFS(LdBMember,$AE221,LdBKey,"&lt;"&amp;$AK221)+COUNTIFS(LdCParty,$AE221,LdCKey,"&lt;"&amp;$AK221)+1)</f>
        <v/>
      </c>
      <c r="AM221">
        <f>IF($AL221="","",$AE221&amp;"|"&amp;RIGHT("000000"&amp;$AL221,6))</f>
        <v/>
      </c>
      <c r="AN221">
        <f>IF($AE221="","",IF(Sync!$W221="",0,Sync!$W221))</f>
        <v/>
      </c>
      <c r="AO221">
        <f>IF($AE221="","",IF(Sync!$X221="",0,Sync!$X221))</f>
        <v/>
      </c>
      <c r="AP221">
        <f>IF($AE221="","",Sync!$R221)</f>
        <v/>
      </c>
      <c r="AQ221">
        <f>IF($AE221="","",Sync!$Y221)</f>
        <v/>
      </c>
    </row>
    <row r="222">
      <c r="A222">
        <f>IF(OR(Wages!$B225="",Wages!$E225=""),"",Wages!$E225)</f>
        <v/>
      </c>
      <c r="B222">
        <f>IF($A222="","",IF(Wages!$C225="دستمزد گروهی",2,1))</f>
        <v/>
      </c>
      <c r="C222">
        <f>IF($A222="","",IF(ISNUMBER(Wages!$B225),IF(AND(Wages!$B225&gt;=10000101,Wages!$B225&lt;=99991231),INT(Wages!$B225/10000),""),IFERROR(VALUE(TRIM(LEFT(Wages!$B225,FIND("/",Wages!$B225)-1))),"")))</f>
        <v/>
      </c>
      <c r="D222">
        <f>IF(OR($A222="",$C222=""),"",IF(ISNUMBER(Wages!$B225),INT(MOD(Wages!$B225,10000)/100),IFERROR(VALUE(TRIM(LEFT(MID(Wages!$B225,FIND("/",Wages!$B225)+1,20),FIND("/",MID(Wages!$B225,FIND("/",Wages!$B225)+1,20))-1))),"")))</f>
        <v/>
      </c>
      <c r="E222">
        <f>IF(OR($A222="",$C222=""),"",IF(ISNUMBER(Wages!$B225),MOD(Wages!$B225,100),IFERROR(VALUE(TRIM(MID(MID(Wages!$B225,FIND("/",Wages!$B225)+1,20),FIND("/",MID(Wages!$B225,FIND("/",Wages!$B225)+1,20))+1,20))),"")))</f>
        <v/>
      </c>
      <c r="F222">
        <f>IF($A222="","",IF(OR($C222="",$D222="",$E222="",$C222&lt;1300,$C222&gt;1500,$D222&lt;1,$D222&gt;12,$E222&lt;1,$E222&gt;31),"نامعتبر",RIGHT("0000"&amp;$C222,4)&amp;"/"&amp;RIGHT("00"&amp;$D222,2)&amp;"/"&amp;RIGHT("00"&amp;$E222,2)))</f>
        <v/>
      </c>
      <c r="G222">
        <f>IF(OR($A222="",$F222="",$F222="نامعتبر"),"",LEFT($F222,4)&amp;MID($F222,6,2)&amp;RIGHT($F222,2)&amp;"0000"&amp;"|"&amp;"1"&amp;RIGHT("00000"&amp;217,5))</f>
        <v/>
      </c>
      <c r="H222">
        <f>IF(OR($B222&lt;&gt;1,$G222=""),"",COUNTIFS(LdAParty,$A222,LdAType,1,LdAKey,"&lt;"&amp;$G222)+COUNTIFS(LdBMember,$A222,LdBKey,"&lt;"&amp;$G222)+COUNTIFS(LdCParty,$A222,LdCKey,"&lt;"&amp;$G222)+1)</f>
        <v/>
      </c>
      <c r="I222">
        <f>IF($H222="","",$A222&amp;"|"&amp;RIGHT("000000"&amp;$H222,6))</f>
        <v/>
      </c>
      <c r="J222">
        <f>IF(OR($B222&lt;&gt;2,$G222=""),"",COUNTIFS(LdAParty,$A222,LdAType,2,LdAKey,"&lt;"&amp;$G222)+1)</f>
        <v/>
      </c>
      <c r="K222">
        <f>IF($J222="","",$A222&amp;"|"&amp;RIGHT("000000"&amp;$J222,6))</f>
        <v/>
      </c>
      <c r="L222">
        <f>IF($A222="","",IF(Wages!$G225="",0,Wages!$G225))</f>
        <v/>
      </c>
      <c r="M222">
        <f>IF($A222="","",Wages!$J225)</f>
        <v/>
      </c>
      <c r="N222">
        <f>IF($A222="","",Wages!$D225)</f>
        <v/>
      </c>
      <c r="P222">
        <f>IF(OR(Shares!$B225="",Shares!$C225=""),"",Shares!$C225)</f>
        <v/>
      </c>
      <c r="Q222">
        <f>IF($P222="","",Shares!$B225)</f>
        <v/>
      </c>
      <c r="R222">
        <f>IF($P222="","",IFERROR(INDEX(WageParty,MATCH($Q222,WageIds,0)),""))</f>
        <v/>
      </c>
      <c r="S222">
        <f>IF($P222="","",IFERROR(INDEX($F$6:$F$2005,MATCH($Q222,WageIds,0)),""))</f>
        <v/>
      </c>
      <c r="T222">
        <f>IF(OR($P222="",$S222="",$S222="نامعتبر"),"",LEFT($S222,4)&amp;MID($S222,6,2)&amp;RIGHT($S222,2)&amp;"0000"&amp;"|"&amp;"2"&amp;RIGHT("00000"&amp;217,5))</f>
        <v/>
      </c>
      <c r="U222">
        <f>IF($T222="","",COUNTIFS(LdAParty,$P222,LdAType,1,LdAKey,"&lt;"&amp;$T222)+COUNTIFS(LdBMember,$P222,LdBKey,"&lt;"&amp;$T222)+COUNTIFS(LdCParty,$P222,LdCKey,"&lt;"&amp;$T222)+1)</f>
        <v/>
      </c>
      <c r="V222">
        <f>IF($U222="","",$P222&amp;"|"&amp;RIGHT("000000"&amp;$U222,6))</f>
        <v/>
      </c>
      <c r="W222">
        <f>IF($T222="","",COUNTIFS(LdBGroup,$R222,LdBKey,"&lt;"&amp;$T222)+1)</f>
        <v/>
      </c>
      <c r="X222">
        <f>IF($W222="","",$R222&amp;"|"&amp;RIGHT("000000"&amp;$W222,6))</f>
        <v/>
      </c>
      <c r="Y222">
        <f>IF($P222="","",IF(Shares!$E225="",0,Shares!$E225))</f>
        <v/>
      </c>
      <c r="Z222">
        <f>IF($P222="","",Shares!$H225)</f>
        <v/>
      </c>
      <c r="AE222">
        <f>IF(OR(Sync!$S222="",Sync!$P222=""),"",Sync!$S222)</f>
        <v/>
      </c>
      <c r="AF222">
        <f>IF($AE222="","",IF(ISNUMBER(Sync!$P222),IF(AND(Sync!$P222&gt;=10000101,Sync!$P222&lt;=99991231),INT(Sync!$P222/10000),""),IFERROR(VALUE(TRIM(LEFT(Sync!$P222,FIND("/",Sync!$P222)-1))),"")))</f>
        <v/>
      </c>
      <c r="AG222">
        <f>IF(OR($AE222="",$AF222=""),"",IF(ISNUMBER(Sync!$P222),INT(MOD(Sync!$P222,10000)/100),IFERROR(VALUE(TRIM(LEFT(MID(Sync!$P222,FIND("/",Sync!$P222)+1,20),FIND("/",MID(Sync!$P222,FIND("/",Sync!$P222)+1,20))-1))),"")))</f>
        <v/>
      </c>
      <c r="AH222">
        <f>IF(OR($AE222="",$AF222=""),"",IF(ISNUMBER(Sync!$P222),MOD(Sync!$P222,100),IFERROR(VALUE(TRIM(MID(MID(Sync!$P222,FIND("/",Sync!$P222)+1,20),FIND("/",MID(Sync!$P222,FIND("/",Sync!$P222)+1,20))+1,20))),"")))</f>
        <v/>
      </c>
      <c r="AI222">
        <f>IF($AE222="","",IF(OR($AF222="",$AG222="",$AH222="",$AF222&lt;1300,$AF222&gt;1500,$AG222&lt;1,$AG222&gt;12,$AH222&lt;1,$AH222&gt;31),"نامعتبر",RIGHT("0000"&amp;$AF222,4)&amp;"/"&amp;RIGHT("00"&amp;$AG222,2)&amp;"/"&amp;RIGHT("00"&amp;$AH222,2)))</f>
        <v/>
      </c>
      <c r="AJ222">
        <f>IF($AE222="","",IF(Sync!$Q222="","0000",IF(AND(ISNUMBER(Sync!$Q222),Sync!$Q222&gt;=0,Sync!$Q222&lt;1),RIGHT("00"&amp;HOUR(Sync!$Q222),2)&amp;RIGHT("00"&amp;MINUTE(Sync!$Q222),2),IFERROR(RIGHT("00"&amp;VALUE(LEFT(Sync!$Q222,FIND(":",Sync!$Q222)-1)),2)&amp;RIGHT("00"&amp;VALUE(MID(Sync!$Q222,FIND(":",Sync!$Q222)+1,2)),2),"0000"))))</f>
        <v/>
      </c>
      <c r="AK222">
        <f>IF(OR($AE222="",$AI222="",$AI222="نامعتبر"),"",LEFT($AI222,4)&amp;MID($AI222,6,2)&amp;RIGHT($AI222,2)&amp;$AJ222&amp;"|"&amp;"3"&amp;RIGHT("00000"&amp;217,5))</f>
        <v/>
      </c>
      <c r="AL222">
        <f>IF($AK222="","",COUNTIFS(LdAParty,$AE222,LdAType,1,LdAKey,"&lt;"&amp;$AK222)+COUNTIFS(LdBMember,$AE222,LdBKey,"&lt;"&amp;$AK222)+COUNTIFS(LdCParty,$AE222,LdCKey,"&lt;"&amp;$AK222)+1)</f>
        <v/>
      </c>
      <c r="AM222">
        <f>IF($AL222="","",$AE222&amp;"|"&amp;RIGHT("000000"&amp;$AL222,6))</f>
        <v/>
      </c>
      <c r="AN222">
        <f>IF($AE222="","",IF(Sync!$W222="",0,Sync!$W222))</f>
        <v/>
      </c>
      <c r="AO222">
        <f>IF($AE222="","",IF(Sync!$X222="",0,Sync!$X222))</f>
        <v/>
      </c>
      <c r="AP222">
        <f>IF($AE222="","",Sync!$R222)</f>
        <v/>
      </c>
      <c r="AQ222">
        <f>IF($AE222="","",Sync!$Y222)</f>
        <v/>
      </c>
    </row>
    <row r="223">
      <c r="A223">
        <f>IF(OR(Wages!$B226="",Wages!$E226=""),"",Wages!$E226)</f>
        <v/>
      </c>
      <c r="B223">
        <f>IF($A223="","",IF(Wages!$C226="دستمزد گروهی",2,1))</f>
        <v/>
      </c>
      <c r="C223">
        <f>IF($A223="","",IF(ISNUMBER(Wages!$B226),IF(AND(Wages!$B226&gt;=10000101,Wages!$B226&lt;=99991231),INT(Wages!$B226/10000),""),IFERROR(VALUE(TRIM(LEFT(Wages!$B226,FIND("/",Wages!$B226)-1))),"")))</f>
        <v/>
      </c>
      <c r="D223">
        <f>IF(OR($A223="",$C223=""),"",IF(ISNUMBER(Wages!$B226),INT(MOD(Wages!$B226,10000)/100),IFERROR(VALUE(TRIM(LEFT(MID(Wages!$B226,FIND("/",Wages!$B226)+1,20),FIND("/",MID(Wages!$B226,FIND("/",Wages!$B226)+1,20))-1))),"")))</f>
        <v/>
      </c>
      <c r="E223">
        <f>IF(OR($A223="",$C223=""),"",IF(ISNUMBER(Wages!$B226),MOD(Wages!$B226,100),IFERROR(VALUE(TRIM(MID(MID(Wages!$B226,FIND("/",Wages!$B226)+1,20),FIND("/",MID(Wages!$B226,FIND("/",Wages!$B226)+1,20))+1,20))),"")))</f>
        <v/>
      </c>
      <c r="F223">
        <f>IF($A223="","",IF(OR($C223="",$D223="",$E223="",$C223&lt;1300,$C223&gt;1500,$D223&lt;1,$D223&gt;12,$E223&lt;1,$E223&gt;31),"نامعتبر",RIGHT("0000"&amp;$C223,4)&amp;"/"&amp;RIGHT("00"&amp;$D223,2)&amp;"/"&amp;RIGHT("00"&amp;$E223,2)))</f>
        <v/>
      </c>
      <c r="G223">
        <f>IF(OR($A223="",$F223="",$F223="نامعتبر"),"",LEFT($F223,4)&amp;MID($F223,6,2)&amp;RIGHT($F223,2)&amp;"0000"&amp;"|"&amp;"1"&amp;RIGHT("00000"&amp;218,5))</f>
        <v/>
      </c>
      <c r="H223">
        <f>IF(OR($B223&lt;&gt;1,$G223=""),"",COUNTIFS(LdAParty,$A223,LdAType,1,LdAKey,"&lt;"&amp;$G223)+COUNTIFS(LdBMember,$A223,LdBKey,"&lt;"&amp;$G223)+COUNTIFS(LdCParty,$A223,LdCKey,"&lt;"&amp;$G223)+1)</f>
        <v/>
      </c>
      <c r="I223">
        <f>IF($H223="","",$A223&amp;"|"&amp;RIGHT("000000"&amp;$H223,6))</f>
        <v/>
      </c>
      <c r="J223">
        <f>IF(OR($B223&lt;&gt;2,$G223=""),"",COUNTIFS(LdAParty,$A223,LdAType,2,LdAKey,"&lt;"&amp;$G223)+1)</f>
        <v/>
      </c>
      <c r="K223">
        <f>IF($J223="","",$A223&amp;"|"&amp;RIGHT("000000"&amp;$J223,6))</f>
        <v/>
      </c>
      <c r="L223">
        <f>IF($A223="","",IF(Wages!$G226="",0,Wages!$G226))</f>
        <v/>
      </c>
      <c r="M223">
        <f>IF($A223="","",Wages!$J226)</f>
        <v/>
      </c>
      <c r="N223">
        <f>IF($A223="","",Wages!$D226)</f>
        <v/>
      </c>
      <c r="P223">
        <f>IF(OR(Shares!$B226="",Shares!$C226=""),"",Shares!$C226)</f>
        <v/>
      </c>
      <c r="Q223">
        <f>IF($P223="","",Shares!$B226)</f>
        <v/>
      </c>
      <c r="R223">
        <f>IF($P223="","",IFERROR(INDEX(WageParty,MATCH($Q223,WageIds,0)),""))</f>
        <v/>
      </c>
      <c r="S223">
        <f>IF($P223="","",IFERROR(INDEX($F$6:$F$2005,MATCH($Q223,WageIds,0)),""))</f>
        <v/>
      </c>
      <c r="T223">
        <f>IF(OR($P223="",$S223="",$S223="نامعتبر"),"",LEFT($S223,4)&amp;MID($S223,6,2)&amp;RIGHT($S223,2)&amp;"0000"&amp;"|"&amp;"2"&amp;RIGHT("00000"&amp;218,5))</f>
        <v/>
      </c>
      <c r="U223">
        <f>IF($T223="","",COUNTIFS(LdAParty,$P223,LdAType,1,LdAKey,"&lt;"&amp;$T223)+COUNTIFS(LdBMember,$P223,LdBKey,"&lt;"&amp;$T223)+COUNTIFS(LdCParty,$P223,LdCKey,"&lt;"&amp;$T223)+1)</f>
        <v/>
      </c>
      <c r="V223">
        <f>IF($U223="","",$P223&amp;"|"&amp;RIGHT("000000"&amp;$U223,6))</f>
        <v/>
      </c>
      <c r="W223">
        <f>IF($T223="","",COUNTIFS(LdBGroup,$R223,LdBKey,"&lt;"&amp;$T223)+1)</f>
        <v/>
      </c>
      <c r="X223">
        <f>IF($W223="","",$R223&amp;"|"&amp;RIGHT("000000"&amp;$W223,6))</f>
        <v/>
      </c>
      <c r="Y223">
        <f>IF($P223="","",IF(Shares!$E226="",0,Shares!$E226))</f>
        <v/>
      </c>
      <c r="Z223">
        <f>IF($P223="","",Shares!$H226)</f>
        <v/>
      </c>
      <c r="AE223">
        <f>IF(OR(Sync!$S223="",Sync!$P223=""),"",Sync!$S223)</f>
        <v/>
      </c>
      <c r="AF223">
        <f>IF($AE223="","",IF(ISNUMBER(Sync!$P223),IF(AND(Sync!$P223&gt;=10000101,Sync!$P223&lt;=99991231),INT(Sync!$P223/10000),""),IFERROR(VALUE(TRIM(LEFT(Sync!$P223,FIND("/",Sync!$P223)-1))),"")))</f>
        <v/>
      </c>
      <c r="AG223">
        <f>IF(OR($AE223="",$AF223=""),"",IF(ISNUMBER(Sync!$P223),INT(MOD(Sync!$P223,10000)/100),IFERROR(VALUE(TRIM(LEFT(MID(Sync!$P223,FIND("/",Sync!$P223)+1,20),FIND("/",MID(Sync!$P223,FIND("/",Sync!$P223)+1,20))-1))),"")))</f>
        <v/>
      </c>
      <c r="AH223">
        <f>IF(OR($AE223="",$AF223=""),"",IF(ISNUMBER(Sync!$P223),MOD(Sync!$P223,100),IFERROR(VALUE(TRIM(MID(MID(Sync!$P223,FIND("/",Sync!$P223)+1,20),FIND("/",MID(Sync!$P223,FIND("/",Sync!$P223)+1,20))+1,20))),"")))</f>
        <v/>
      </c>
      <c r="AI223">
        <f>IF($AE223="","",IF(OR($AF223="",$AG223="",$AH223="",$AF223&lt;1300,$AF223&gt;1500,$AG223&lt;1,$AG223&gt;12,$AH223&lt;1,$AH223&gt;31),"نامعتبر",RIGHT("0000"&amp;$AF223,4)&amp;"/"&amp;RIGHT("00"&amp;$AG223,2)&amp;"/"&amp;RIGHT("00"&amp;$AH223,2)))</f>
        <v/>
      </c>
      <c r="AJ223">
        <f>IF($AE223="","",IF(Sync!$Q223="","0000",IF(AND(ISNUMBER(Sync!$Q223),Sync!$Q223&gt;=0,Sync!$Q223&lt;1),RIGHT("00"&amp;HOUR(Sync!$Q223),2)&amp;RIGHT("00"&amp;MINUTE(Sync!$Q223),2),IFERROR(RIGHT("00"&amp;VALUE(LEFT(Sync!$Q223,FIND(":",Sync!$Q223)-1)),2)&amp;RIGHT("00"&amp;VALUE(MID(Sync!$Q223,FIND(":",Sync!$Q223)+1,2)),2),"0000"))))</f>
        <v/>
      </c>
      <c r="AK223">
        <f>IF(OR($AE223="",$AI223="",$AI223="نامعتبر"),"",LEFT($AI223,4)&amp;MID($AI223,6,2)&amp;RIGHT($AI223,2)&amp;$AJ223&amp;"|"&amp;"3"&amp;RIGHT("00000"&amp;218,5))</f>
        <v/>
      </c>
      <c r="AL223">
        <f>IF($AK223="","",COUNTIFS(LdAParty,$AE223,LdAType,1,LdAKey,"&lt;"&amp;$AK223)+COUNTIFS(LdBMember,$AE223,LdBKey,"&lt;"&amp;$AK223)+COUNTIFS(LdCParty,$AE223,LdCKey,"&lt;"&amp;$AK223)+1)</f>
        <v/>
      </c>
      <c r="AM223">
        <f>IF($AL223="","",$AE223&amp;"|"&amp;RIGHT("000000"&amp;$AL223,6))</f>
        <v/>
      </c>
      <c r="AN223">
        <f>IF($AE223="","",IF(Sync!$W223="",0,Sync!$W223))</f>
        <v/>
      </c>
      <c r="AO223">
        <f>IF($AE223="","",IF(Sync!$X223="",0,Sync!$X223))</f>
        <v/>
      </c>
      <c r="AP223">
        <f>IF($AE223="","",Sync!$R223)</f>
        <v/>
      </c>
      <c r="AQ223">
        <f>IF($AE223="","",Sync!$Y223)</f>
        <v/>
      </c>
    </row>
    <row r="224">
      <c r="A224">
        <f>IF(OR(Wages!$B227="",Wages!$E227=""),"",Wages!$E227)</f>
        <v/>
      </c>
      <c r="B224">
        <f>IF($A224="","",IF(Wages!$C227="دستمزد گروهی",2,1))</f>
        <v/>
      </c>
      <c r="C224">
        <f>IF($A224="","",IF(ISNUMBER(Wages!$B227),IF(AND(Wages!$B227&gt;=10000101,Wages!$B227&lt;=99991231),INT(Wages!$B227/10000),""),IFERROR(VALUE(TRIM(LEFT(Wages!$B227,FIND("/",Wages!$B227)-1))),"")))</f>
        <v/>
      </c>
      <c r="D224">
        <f>IF(OR($A224="",$C224=""),"",IF(ISNUMBER(Wages!$B227),INT(MOD(Wages!$B227,10000)/100),IFERROR(VALUE(TRIM(LEFT(MID(Wages!$B227,FIND("/",Wages!$B227)+1,20),FIND("/",MID(Wages!$B227,FIND("/",Wages!$B227)+1,20))-1))),"")))</f>
        <v/>
      </c>
      <c r="E224">
        <f>IF(OR($A224="",$C224=""),"",IF(ISNUMBER(Wages!$B227),MOD(Wages!$B227,100),IFERROR(VALUE(TRIM(MID(MID(Wages!$B227,FIND("/",Wages!$B227)+1,20),FIND("/",MID(Wages!$B227,FIND("/",Wages!$B227)+1,20))+1,20))),"")))</f>
        <v/>
      </c>
      <c r="F224">
        <f>IF($A224="","",IF(OR($C224="",$D224="",$E224="",$C224&lt;1300,$C224&gt;1500,$D224&lt;1,$D224&gt;12,$E224&lt;1,$E224&gt;31),"نامعتبر",RIGHT("0000"&amp;$C224,4)&amp;"/"&amp;RIGHT("00"&amp;$D224,2)&amp;"/"&amp;RIGHT("00"&amp;$E224,2)))</f>
        <v/>
      </c>
      <c r="G224">
        <f>IF(OR($A224="",$F224="",$F224="نامعتبر"),"",LEFT($F224,4)&amp;MID($F224,6,2)&amp;RIGHT($F224,2)&amp;"0000"&amp;"|"&amp;"1"&amp;RIGHT("00000"&amp;219,5))</f>
        <v/>
      </c>
      <c r="H224">
        <f>IF(OR($B224&lt;&gt;1,$G224=""),"",COUNTIFS(LdAParty,$A224,LdAType,1,LdAKey,"&lt;"&amp;$G224)+COUNTIFS(LdBMember,$A224,LdBKey,"&lt;"&amp;$G224)+COUNTIFS(LdCParty,$A224,LdCKey,"&lt;"&amp;$G224)+1)</f>
        <v/>
      </c>
      <c r="I224">
        <f>IF($H224="","",$A224&amp;"|"&amp;RIGHT("000000"&amp;$H224,6))</f>
        <v/>
      </c>
      <c r="J224">
        <f>IF(OR($B224&lt;&gt;2,$G224=""),"",COUNTIFS(LdAParty,$A224,LdAType,2,LdAKey,"&lt;"&amp;$G224)+1)</f>
        <v/>
      </c>
      <c r="K224">
        <f>IF($J224="","",$A224&amp;"|"&amp;RIGHT("000000"&amp;$J224,6))</f>
        <v/>
      </c>
      <c r="L224">
        <f>IF($A224="","",IF(Wages!$G227="",0,Wages!$G227))</f>
        <v/>
      </c>
      <c r="M224">
        <f>IF($A224="","",Wages!$J227)</f>
        <v/>
      </c>
      <c r="N224">
        <f>IF($A224="","",Wages!$D227)</f>
        <v/>
      </c>
      <c r="P224">
        <f>IF(OR(Shares!$B227="",Shares!$C227=""),"",Shares!$C227)</f>
        <v/>
      </c>
      <c r="Q224">
        <f>IF($P224="","",Shares!$B227)</f>
        <v/>
      </c>
      <c r="R224">
        <f>IF($P224="","",IFERROR(INDEX(WageParty,MATCH($Q224,WageIds,0)),""))</f>
        <v/>
      </c>
      <c r="S224">
        <f>IF($P224="","",IFERROR(INDEX($F$6:$F$2005,MATCH($Q224,WageIds,0)),""))</f>
        <v/>
      </c>
      <c r="T224">
        <f>IF(OR($P224="",$S224="",$S224="نامعتبر"),"",LEFT($S224,4)&amp;MID($S224,6,2)&amp;RIGHT($S224,2)&amp;"0000"&amp;"|"&amp;"2"&amp;RIGHT("00000"&amp;219,5))</f>
        <v/>
      </c>
      <c r="U224">
        <f>IF($T224="","",COUNTIFS(LdAParty,$P224,LdAType,1,LdAKey,"&lt;"&amp;$T224)+COUNTIFS(LdBMember,$P224,LdBKey,"&lt;"&amp;$T224)+COUNTIFS(LdCParty,$P224,LdCKey,"&lt;"&amp;$T224)+1)</f>
        <v/>
      </c>
      <c r="V224">
        <f>IF($U224="","",$P224&amp;"|"&amp;RIGHT("000000"&amp;$U224,6))</f>
        <v/>
      </c>
      <c r="W224">
        <f>IF($T224="","",COUNTIFS(LdBGroup,$R224,LdBKey,"&lt;"&amp;$T224)+1)</f>
        <v/>
      </c>
      <c r="X224">
        <f>IF($W224="","",$R224&amp;"|"&amp;RIGHT("000000"&amp;$W224,6))</f>
        <v/>
      </c>
      <c r="Y224">
        <f>IF($P224="","",IF(Shares!$E227="",0,Shares!$E227))</f>
        <v/>
      </c>
      <c r="Z224">
        <f>IF($P224="","",Shares!$H227)</f>
        <v/>
      </c>
      <c r="AE224">
        <f>IF(OR(Sync!$S224="",Sync!$P224=""),"",Sync!$S224)</f>
        <v/>
      </c>
      <c r="AF224">
        <f>IF($AE224="","",IF(ISNUMBER(Sync!$P224),IF(AND(Sync!$P224&gt;=10000101,Sync!$P224&lt;=99991231),INT(Sync!$P224/10000),""),IFERROR(VALUE(TRIM(LEFT(Sync!$P224,FIND("/",Sync!$P224)-1))),"")))</f>
        <v/>
      </c>
      <c r="AG224">
        <f>IF(OR($AE224="",$AF224=""),"",IF(ISNUMBER(Sync!$P224),INT(MOD(Sync!$P224,10000)/100),IFERROR(VALUE(TRIM(LEFT(MID(Sync!$P224,FIND("/",Sync!$P224)+1,20),FIND("/",MID(Sync!$P224,FIND("/",Sync!$P224)+1,20))-1))),"")))</f>
        <v/>
      </c>
      <c r="AH224">
        <f>IF(OR($AE224="",$AF224=""),"",IF(ISNUMBER(Sync!$P224),MOD(Sync!$P224,100),IFERROR(VALUE(TRIM(MID(MID(Sync!$P224,FIND("/",Sync!$P224)+1,20),FIND("/",MID(Sync!$P224,FIND("/",Sync!$P224)+1,20))+1,20))),"")))</f>
        <v/>
      </c>
      <c r="AI224">
        <f>IF($AE224="","",IF(OR($AF224="",$AG224="",$AH224="",$AF224&lt;1300,$AF224&gt;1500,$AG224&lt;1,$AG224&gt;12,$AH224&lt;1,$AH224&gt;31),"نامعتبر",RIGHT("0000"&amp;$AF224,4)&amp;"/"&amp;RIGHT("00"&amp;$AG224,2)&amp;"/"&amp;RIGHT("00"&amp;$AH224,2)))</f>
        <v/>
      </c>
      <c r="AJ224">
        <f>IF($AE224="","",IF(Sync!$Q224="","0000",IF(AND(ISNUMBER(Sync!$Q224),Sync!$Q224&gt;=0,Sync!$Q224&lt;1),RIGHT("00"&amp;HOUR(Sync!$Q224),2)&amp;RIGHT("00"&amp;MINUTE(Sync!$Q224),2),IFERROR(RIGHT("00"&amp;VALUE(LEFT(Sync!$Q224,FIND(":",Sync!$Q224)-1)),2)&amp;RIGHT("00"&amp;VALUE(MID(Sync!$Q224,FIND(":",Sync!$Q224)+1,2)),2),"0000"))))</f>
        <v/>
      </c>
      <c r="AK224">
        <f>IF(OR($AE224="",$AI224="",$AI224="نامعتبر"),"",LEFT($AI224,4)&amp;MID($AI224,6,2)&amp;RIGHT($AI224,2)&amp;$AJ224&amp;"|"&amp;"3"&amp;RIGHT("00000"&amp;219,5))</f>
        <v/>
      </c>
      <c r="AL224">
        <f>IF($AK224="","",COUNTIFS(LdAParty,$AE224,LdAType,1,LdAKey,"&lt;"&amp;$AK224)+COUNTIFS(LdBMember,$AE224,LdBKey,"&lt;"&amp;$AK224)+COUNTIFS(LdCParty,$AE224,LdCKey,"&lt;"&amp;$AK224)+1)</f>
        <v/>
      </c>
      <c r="AM224">
        <f>IF($AL224="","",$AE224&amp;"|"&amp;RIGHT("000000"&amp;$AL224,6))</f>
        <v/>
      </c>
      <c r="AN224">
        <f>IF($AE224="","",IF(Sync!$W224="",0,Sync!$W224))</f>
        <v/>
      </c>
      <c r="AO224">
        <f>IF($AE224="","",IF(Sync!$X224="",0,Sync!$X224))</f>
        <v/>
      </c>
      <c r="AP224">
        <f>IF($AE224="","",Sync!$R224)</f>
        <v/>
      </c>
      <c r="AQ224">
        <f>IF($AE224="","",Sync!$Y224)</f>
        <v/>
      </c>
    </row>
    <row r="225">
      <c r="A225">
        <f>IF(OR(Wages!$B228="",Wages!$E228=""),"",Wages!$E228)</f>
        <v/>
      </c>
      <c r="B225">
        <f>IF($A225="","",IF(Wages!$C228="دستمزد گروهی",2,1))</f>
        <v/>
      </c>
      <c r="C225">
        <f>IF($A225="","",IF(ISNUMBER(Wages!$B228),IF(AND(Wages!$B228&gt;=10000101,Wages!$B228&lt;=99991231),INT(Wages!$B228/10000),""),IFERROR(VALUE(TRIM(LEFT(Wages!$B228,FIND("/",Wages!$B228)-1))),"")))</f>
        <v/>
      </c>
      <c r="D225">
        <f>IF(OR($A225="",$C225=""),"",IF(ISNUMBER(Wages!$B228),INT(MOD(Wages!$B228,10000)/100),IFERROR(VALUE(TRIM(LEFT(MID(Wages!$B228,FIND("/",Wages!$B228)+1,20),FIND("/",MID(Wages!$B228,FIND("/",Wages!$B228)+1,20))-1))),"")))</f>
        <v/>
      </c>
      <c r="E225">
        <f>IF(OR($A225="",$C225=""),"",IF(ISNUMBER(Wages!$B228),MOD(Wages!$B228,100),IFERROR(VALUE(TRIM(MID(MID(Wages!$B228,FIND("/",Wages!$B228)+1,20),FIND("/",MID(Wages!$B228,FIND("/",Wages!$B228)+1,20))+1,20))),"")))</f>
        <v/>
      </c>
      <c r="F225">
        <f>IF($A225="","",IF(OR($C225="",$D225="",$E225="",$C225&lt;1300,$C225&gt;1500,$D225&lt;1,$D225&gt;12,$E225&lt;1,$E225&gt;31),"نامعتبر",RIGHT("0000"&amp;$C225,4)&amp;"/"&amp;RIGHT("00"&amp;$D225,2)&amp;"/"&amp;RIGHT("00"&amp;$E225,2)))</f>
        <v/>
      </c>
      <c r="G225">
        <f>IF(OR($A225="",$F225="",$F225="نامعتبر"),"",LEFT($F225,4)&amp;MID($F225,6,2)&amp;RIGHT($F225,2)&amp;"0000"&amp;"|"&amp;"1"&amp;RIGHT("00000"&amp;220,5))</f>
        <v/>
      </c>
      <c r="H225">
        <f>IF(OR($B225&lt;&gt;1,$G225=""),"",COUNTIFS(LdAParty,$A225,LdAType,1,LdAKey,"&lt;"&amp;$G225)+COUNTIFS(LdBMember,$A225,LdBKey,"&lt;"&amp;$G225)+COUNTIFS(LdCParty,$A225,LdCKey,"&lt;"&amp;$G225)+1)</f>
        <v/>
      </c>
      <c r="I225">
        <f>IF($H225="","",$A225&amp;"|"&amp;RIGHT("000000"&amp;$H225,6))</f>
        <v/>
      </c>
      <c r="J225">
        <f>IF(OR($B225&lt;&gt;2,$G225=""),"",COUNTIFS(LdAParty,$A225,LdAType,2,LdAKey,"&lt;"&amp;$G225)+1)</f>
        <v/>
      </c>
      <c r="K225">
        <f>IF($J225="","",$A225&amp;"|"&amp;RIGHT("000000"&amp;$J225,6))</f>
        <v/>
      </c>
      <c r="L225">
        <f>IF($A225="","",IF(Wages!$G228="",0,Wages!$G228))</f>
        <v/>
      </c>
      <c r="M225">
        <f>IF($A225="","",Wages!$J228)</f>
        <v/>
      </c>
      <c r="N225">
        <f>IF($A225="","",Wages!$D228)</f>
        <v/>
      </c>
      <c r="P225">
        <f>IF(OR(Shares!$B228="",Shares!$C228=""),"",Shares!$C228)</f>
        <v/>
      </c>
      <c r="Q225">
        <f>IF($P225="","",Shares!$B228)</f>
        <v/>
      </c>
      <c r="R225">
        <f>IF($P225="","",IFERROR(INDEX(WageParty,MATCH($Q225,WageIds,0)),""))</f>
        <v/>
      </c>
      <c r="S225">
        <f>IF($P225="","",IFERROR(INDEX($F$6:$F$2005,MATCH($Q225,WageIds,0)),""))</f>
        <v/>
      </c>
      <c r="T225">
        <f>IF(OR($P225="",$S225="",$S225="نامعتبر"),"",LEFT($S225,4)&amp;MID($S225,6,2)&amp;RIGHT($S225,2)&amp;"0000"&amp;"|"&amp;"2"&amp;RIGHT("00000"&amp;220,5))</f>
        <v/>
      </c>
      <c r="U225">
        <f>IF($T225="","",COUNTIFS(LdAParty,$P225,LdAType,1,LdAKey,"&lt;"&amp;$T225)+COUNTIFS(LdBMember,$P225,LdBKey,"&lt;"&amp;$T225)+COUNTIFS(LdCParty,$P225,LdCKey,"&lt;"&amp;$T225)+1)</f>
        <v/>
      </c>
      <c r="V225">
        <f>IF($U225="","",$P225&amp;"|"&amp;RIGHT("000000"&amp;$U225,6))</f>
        <v/>
      </c>
      <c r="W225">
        <f>IF($T225="","",COUNTIFS(LdBGroup,$R225,LdBKey,"&lt;"&amp;$T225)+1)</f>
        <v/>
      </c>
      <c r="X225">
        <f>IF($W225="","",$R225&amp;"|"&amp;RIGHT("000000"&amp;$W225,6))</f>
        <v/>
      </c>
      <c r="Y225">
        <f>IF($P225="","",IF(Shares!$E228="",0,Shares!$E228))</f>
        <v/>
      </c>
      <c r="Z225">
        <f>IF($P225="","",Shares!$H228)</f>
        <v/>
      </c>
      <c r="AE225">
        <f>IF(OR(Sync!$S225="",Sync!$P225=""),"",Sync!$S225)</f>
        <v/>
      </c>
      <c r="AF225">
        <f>IF($AE225="","",IF(ISNUMBER(Sync!$P225),IF(AND(Sync!$P225&gt;=10000101,Sync!$P225&lt;=99991231),INT(Sync!$P225/10000),""),IFERROR(VALUE(TRIM(LEFT(Sync!$P225,FIND("/",Sync!$P225)-1))),"")))</f>
        <v/>
      </c>
      <c r="AG225">
        <f>IF(OR($AE225="",$AF225=""),"",IF(ISNUMBER(Sync!$P225),INT(MOD(Sync!$P225,10000)/100),IFERROR(VALUE(TRIM(LEFT(MID(Sync!$P225,FIND("/",Sync!$P225)+1,20),FIND("/",MID(Sync!$P225,FIND("/",Sync!$P225)+1,20))-1))),"")))</f>
        <v/>
      </c>
      <c r="AH225">
        <f>IF(OR($AE225="",$AF225=""),"",IF(ISNUMBER(Sync!$P225),MOD(Sync!$P225,100),IFERROR(VALUE(TRIM(MID(MID(Sync!$P225,FIND("/",Sync!$P225)+1,20),FIND("/",MID(Sync!$P225,FIND("/",Sync!$P225)+1,20))+1,20))),"")))</f>
        <v/>
      </c>
      <c r="AI225">
        <f>IF($AE225="","",IF(OR($AF225="",$AG225="",$AH225="",$AF225&lt;1300,$AF225&gt;1500,$AG225&lt;1,$AG225&gt;12,$AH225&lt;1,$AH225&gt;31),"نامعتبر",RIGHT("0000"&amp;$AF225,4)&amp;"/"&amp;RIGHT("00"&amp;$AG225,2)&amp;"/"&amp;RIGHT("00"&amp;$AH225,2)))</f>
        <v/>
      </c>
      <c r="AJ225">
        <f>IF($AE225="","",IF(Sync!$Q225="","0000",IF(AND(ISNUMBER(Sync!$Q225),Sync!$Q225&gt;=0,Sync!$Q225&lt;1),RIGHT("00"&amp;HOUR(Sync!$Q225),2)&amp;RIGHT("00"&amp;MINUTE(Sync!$Q225),2),IFERROR(RIGHT("00"&amp;VALUE(LEFT(Sync!$Q225,FIND(":",Sync!$Q225)-1)),2)&amp;RIGHT("00"&amp;VALUE(MID(Sync!$Q225,FIND(":",Sync!$Q225)+1,2)),2),"0000"))))</f>
        <v/>
      </c>
      <c r="AK225">
        <f>IF(OR($AE225="",$AI225="",$AI225="نامعتبر"),"",LEFT($AI225,4)&amp;MID($AI225,6,2)&amp;RIGHT($AI225,2)&amp;$AJ225&amp;"|"&amp;"3"&amp;RIGHT("00000"&amp;220,5))</f>
        <v/>
      </c>
      <c r="AL225">
        <f>IF($AK225="","",COUNTIFS(LdAParty,$AE225,LdAType,1,LdAKey,"&lt;"&amp;$AK225)+COUNTIFS(LdBMember,$AE225,LdBKey,"&lt;"&amp;$AK225)+COUNTIFS(LdCParty,$AE225,LdCKey,"&lt;"&amp;$AK225)+1)</f>
        <v/>
      </c>
      <c r="AM225">
        <f>IF($AL225="","",$AE225&amp;"|"&amp;RIGHT("000000"&amp;$AL225,6))</f>
        <v/>
      </c>
      <c r="AN225">
        <f>IF($AE225="","",IF(Sync!$W225="",0,Sync!$W225))</f>
        <v/>
      </c>
      <c r="AO225">
        <f>IF($AE225="","",IF(Sync!$X225="",0,Sync!$X225))</f>
        <v/>
      </c>
      <c r="AP225">
        <f>IF($AE225="","",Sync!$R225)</f>
        <v/>
      </c>
      <c r="AQ225">
        <f>IF($AE225="","",Sync!$Y225)</f>
        <v/>
      </c>
    </row>
    <row r="226">
      <c r="A226">
        <f>IF(OR(Wages!$B229="",Wages!$E229=""),"",Wages!$E229)</f>
        <v/>
      </c>
      <c r="B226">
        <f>IF($A226="","",IF(Wages!$C229="دستمزد گروهی",2,1))</f>
        <v/>
      </c>
      <c r="C226">
        <f>IF($A226="","",IF(ISNUMBER(Wages!$B229),IF(AND(Wages!$B229&gt;=10000101,Wages!$B229&lt;=99991231),INT(Wages!$B229/10000),""),IFERROR(VALUE(TRIM(LEFT(Wages!$B229,FIND("/",Wages!$B229)-1))),"")))</f>
        <v/>
      </c>
      <c r="D226">
        <f>IF(OR($A226="",$C226=""),"",IF(ISNUMBER(Wages!$B229),INT(MOD(Wages!$B229,10000)/100),IFERROR(VALUE(TRIM(LEFT(MID(Wages!$B229,FIND("/",Wages!$B229)+1,20),FIND("/",MID(Wages!$B229,FIND("/",Wages!$B229)+1,20))-1))),"")))</f>
        <v/>
      </c>
      <c r="E226">
        <f>IF(OR($A226="",$C226=""),"",IF(ISNUMBER(Wages!$B229),MOD(Wages!$B229,100),IFERROR(VALUE(TRIM(MID(MID(Wages!$B229,FIND("/",Wages!$B229)+1,20),FIND("/",MID(Wages!$B229,FIND("/",Wages!$B229)+1,20))+1,20))),"")))</f>
        <v/>
      </c>
      <c r="F226">
        <f>IF($A226="","",IF(OR($C226="",$D226="",$E226="",$C226&lt;1300,$C226&gt;1500,$D226&lt;1,$D226&gt;12,$E226&lt;1,$E226&gt;31),"نامعتبر",RIGHT("0000"&amp;$C226,4)&amp;"/"&amp;RIGHT("00"&amp;$D226,2)&amp;"/"&amp;RIGHT("00"&amp;$E226,2)))</f>
        <v/>
      </c>
      <c r="G226">
        <f>IF(OR($A226="",$F226="",$F226="نامعتبر"),"",LEFT($F226,4)&amp;MID($F226,6,2)&amp;RIGHT($F226,2)&amp;"0000"&amp;"|"&amp;"1"&amp;RIGHT("00000"&amp;221,5))</f>
        <v/>
      </c>
      <c r="H226">
        <f>IF(OR($B226&lt;&gt;1,$G226=""),"",COUNTIFS(LdAParty,$A226,LdAType,1,LdAKey,"&lt;"&amp;$G226)+COUNTIFS(LdBMember,$A226,LdBKey,"&lt;"&amp;$G226)+COUNTIFS(LdCParty,$A226,LdCKey,"&lt;"&amp;$G226)+1)</f>
        <v/>
      </c>
      <c r="I226">
        <f>IF($H226="","",$A226&amp;"|"&amp;RIGHT("000000"&amp;$H226,6))</f>
        <v/>
      </c>
      <c r="J226">
        <f>IF(OR($B226&lt;&gt;2,$G226=""),"",COUNTIFS(LdAParty,$A226,LdAType,2,LdAKey,"&lt;"&amp;$G226)+1)</f>
        <v/>
      </c>
      <c r="K226">
        <f>IF($J226="","",$A226&amp;"|"&amp;RIGHT("000000"&amp;$J226,6))</f>
        <v/>
      </c>
      <c r="L226">
        <f>IF($A226="","",IF(Wages!$G229="",0,Wages!$G229))</f>
        <v/>
      </c>
      <c r="M226">
        <f>IF($A226="","",Wages!$J229)</f>
        <v/>
      </c>
      <c r="N226">
        <f>IF($A226="","",Wages!$D229)</f>
        <v/>
      </c>
      <c r="P226">
        <f>IF(OR(Shares!$B229="",Shares!$C229=""),"",Shares!$C229)</f>
        <v/>
      </c>
      <c r="Q226">
        <f>IF($P226="","",Shares!$B229)</f>
        <v/>
      </c>
      <c r="R226">
        <f>IF($P226="","",IFERROR(INDEX(WageParty,MATCH($Q226,WageIds,0)),""))</f>
        <v/>
      </c>
      <c r="S226">
        <f>IF($P226="","",IFERROR(INDEX($F$6:$F$2005,MATCH($Q226,WageIds,0)),""))</f>
        <v/>
      </c>
      <c r="T226">
        <f>IF(OR($P226="",$S226="",$S226="نامعتبر"),"",LEFT($S226,4)&amp;MID($S226,6,2)&amp;RIGHT($S226,2)&amp;"0000"&amp;"|"&amp;"2"&amp;RIGHT("00000"&amp;221,5))</f>
        <v/>
      </c>
      <c r="U226">
        <f>IF($T226="","",COUNTIFS(LdAParty,$P226,LdAType,1,LdAKey,"&lt;"&amp;$T226)+COUNTIFS(LdBMember,$P226,LdBKey,"&lt;"&amp;$T226)+COUNTIFS(LdCParty,$P226,LdCKey,"&lt;"&amp;$T226)+1)</f>
        <v/>
      </c>
      <c r="V226">
        <f>IF($U226="","",$P226&amp;"|"&amp;RIGHT("000000"&amp;$U226,6))</f>
        <v/>
      </c>
      <c r="W226">
        <f>IF($T226="","",COUNTIFS(LdBGroup,$R226,LdBKey,"&lt;"&amp;$T226)+1)</f>
        <v/>
      </c>
      <c r="X226">
        <f>IF($W226="","",$R226&amp;"|"&amp;RIGHT("000000"&amp;$W226,6))</f>
        <v/>
      </c>
      <c r="Y226">
        <f>IF($P226="","",IF(Shares!$E229="",0,Shares!$E229))</f>
        <v/>
      </c>
      <c r="Z226">
        <f>IF($P226="","",Shares!$H229)</f>
        <v/>
      </c>
      <c r="AE226">
        <f>IF(OR(Sync!$S226="",Sync!$P226=""),"",Sync!$S226)</f>
        <v/>
      </c>
      <c r="AF226">
        <f>IF($AE226="","",IF(ISNUMBER(Sync!$P226),IF(AND(Sync!$P226&gt;=10000101,Sync!$P226&lt;=99991231),INT(Sync!$P226/10000),""),IFERROR(VALUE(TRIM(LEFT(Sync!$P226,FIND("/",Sync!$P226)-1))),"")))</f>
        <v/>
      </c>
      <c r="AG226">
        <f>IF(OR($AE226="",$AF226=""),"",IF(ISNUMBER(Sync!$P226),INT(MOD(Sync!$P226,10000)/100),IFERROR(VALUE(TRIM(LEFT(MID(Sync!$P226,FIND("/",Sync!$P226)+1,20),FIND("/",MID(Sync!$P226,FIND("/",Sync!$P226)+1,20))-1))),"")))</f>
        <v/>
      </c>
      <c r="AH226">
        <f>IF(OR($AE226="",$AF226=""),"",IF(ISNUMBER(Sync!$P226),MOD(Sync!$P226,100),IFERROR(VALUE(TRIM(MID(MID(Sync!$P226,FIND("/",Sync!$P226)+1,20),FIND("/",MID(Sync!$P226,FIND("/",Sync!$P226)+1,20))+1,20))),"")))</f>
        <v/>
      </c>
      <c r="AI226">
        <f>IF($AE226="","",IF(OR($AF226="",$AG226="",$AH226="",$AF226&lt;1300,$AF226&gt;1500,$AG226&lt;1,$AG226&gt;12,$AH226&lt;1,$AH226&gt;31),"نامعتبر",RIGHT("0000"&amp;$AF226,4)&amp;"/"&amp;RIGHT("00"&amp;$AG226,2)&amp;"/"&amp;RIGHT("00"&amp;$AH226,2)))</f>
        <v/>
      </c>
      <c r="AJ226">
        <f>IF($AE226="","",IF(Sync!$Q226="","0000",IF(AND(ISNUMBER(Sync!$Q226),Sync!$Q226&gt;=0,Sync!$Q226&lt;1),RIGHT("00"&amp;HOUR(Sync!$Q226),2)&amp;RIGHT("00"&amp;MINUTE(Sync!$Q226),2),IFERROR(RIGHT("00"&amp;VALUE(LEFT(Sync!$Q226,FIND(":",Sync!$Q226)-1)),2)&amp;RIGHT("00"&amp;VALUE(MID(Sync!$Q226,FIND(":",Sync!$Q226)+1,2)),2),"0000"))))</f>
        <v/>
      </c>
      <c r="AK226">
        <f>IF(OR($AE226="",$AI226="",$AI226="نامعتبر"),"",LEFT($AI226,4)&amp;MID($AI226,6,2)&amp;RIGHT($AI226,2)&amp;$AJ226&amp;"|"&amp;"3"&amp;RIGHT("00000"&amp;221,5))</f>
        <v/>
      </c>
      <c r="AL226">
        <f>IF($AK226="","",COUNTIFS(LdAParty,$AE226,LdAType,1,LdAKey,"&lt;"&amp;$AK226)+COUNTIFS(LdBMember,$AE226,LdBKey,"&lt;"&amp;$AK226)+COUNTIFS(LdCParty,$AE226,LdCKey,"&lt;"&amp;$AK226)+1)</f>
        <v/>
      </c>
      <c r="AM226">
        <f>IF($AL226="","",$AE226&amp;"|"&amp;RIGHT("000000"&amp;$AL226,6))</f>
        <v/>
      </c>
      <c r="AN226">
        <f>IF($AE226="","",IF(Sync!$W226="",0,Sync!$W226))</f>
        <v/>
      </c>
      <c r="AO226">
        <f>IF($AE226="","",IF(Sync!$X226="",0,Sync!$X226))</f>
        <v/>
      </c>
      <c r="AP226">
        <f>IF($AE226="","",Sync!$R226)</f>
        <v/>
      </c>
      <c r="AQ226">
        <f>IF($AE226="","",Sync!$Y226)</f>
        <v/>
      </c>
    </row>
    <row r="227">
      <c r="A227">
        <f>IF(OR(Wages!$B230="",Wages!$E230=""),"",Wages!$E230)</f>
        <v/>
      </c>
      <c r="B227">
        <f>IF($A227="","",IF(Wages!$C230="دستمزد گروهی",2,1))</f>
        <v/>
      </c>
      <c r="C227">
        <f>IF($A227="","",IF(ISNUMBER(Wages!$B230),IF(AND(Wages!$B230&gt;=10000101,Wages!$B230&lt;=99991231),INT(Wages!$B230/10000),""),IFERROR(VALUE(TRIM(LEFT(Wages!$B230,FIND("/",Wages!$B230)-1))),"")))</f>
        <v/>
      </c>
      <c r="D227">
        <f>IF(OR($A227="",$C227=""),"",IF(ISNUMBER(Wages!$B230),INT(MOD(Wages!$B230,10000)/100),IFERROR(VALUE(TRIM(LEFT(MID(Wages!$B230,FIND("/",Wages!$B230)+1,20),FIND("/",MID(Wages!$B230,FIND("/",Wages!$B230)+1,20))-1))),"")))</f>
        <v/>
      </c>
      <c r="E227">
        <f>IF(OR($A227="",$C227=""),"",IF(ISNUMBER(Wages!$B230),MOD(Wages!$B230,100),IFERROR(VALUE(TRIM(MID(MID(Wages!$B230,FIND("/",Wages!$B230)+1,20),FIND("/",MID(Wages!$B230,FIND("/",Wages!$B230)+1,20))+1,20))),"")))</f>
        <v/>
      </c>
      <c r="F227">
        <f>IF($A227="","",IF(OR($C227="",$D227="",$E227="",$C227&lt;1300,$C227&gt;1500,$D227&lt;1,$D227&gt;12,$E227&lt;1,$E227&gt;31),"نامعتبر",RIGHT("0000"&amp;$C227,4)&amp;"/"&amp;RIGHT("00"&amp;$D227,2)&amp;"/"&amp;RIGHT("00"&amp;$E227,2)))</f>
        <v/>
      </c>
      <c r="G227">
        <f>IF(OR($A227="",$F227="",$F227="نامعتبر"),"",LEFT($F227,4)&amp;MID($F227,6,2)&amp;RIGHT($F227,2)&amp;"0000"&amp;"|"&amp;"1"&amp;RIGHT("00000"&amp;222,5))</f>
        <v/>
      </c>
      <c r="H227">
        <f>IF(OR($B227&lt;&gt;1,$G227=""),"",COUNTIFS(LdAParty,$A227,LdAType,1,LdAKey,"&lt;"&amp;$G227)+COUNTIFS(LdBMember,$A227,LdBKey,"&lt;"&amp;$G227)+COUNTIFS(LdCParty,$A227,LdCKey,"&lt;"&amp;$G227)+1)</f>
        <v/>
      </c>
      <c r="I227">
        <f>IF($H227="","",$A227&amp;"|"&amp;RIGHT("000000"&amp;$H227,6))</f>
        <v/>
      </c>
      <c r="J227">
        <f>IF(OR($B227&lt;&gt;2,$G227=""),"",COUNTIFS(LdAParty,$A227,LdAType,2,LdAKey,"&lt;"&amp;$G227)+1)</f>
        <v/>
      </c>
      <c r="K227">
        <f>IF($J227="","",$A227&amp;"|"&amp;RIGHT("000000"&amp;$J227,6))</f>
        <v/>
      </c>
      <c r="L227">
        <f>IF($A227="","",IF(Wages!$G230="",0,Wages!$G230))</f>
        <v/>
      </c>
      <c r="M227">
        <f>IF($A227="","",Wages!$J230)</f>
        <v/>
      </c>
      <c r="N227">
        <f>IF($A227="","",Wages!$D230)</f>
        <v/>
      </c>
      <c r="P227">
        <f>IF(OR(Shares!$B230="",Shares!$C230=""),"",Shares!$C230)</f>
        <v/>
      </c>
      <c r="Q227">
        <f>IF($P227="","",Shares!$B230)</f>
        <v/>
      </c>
      <c r="R227">
        <f>IF($P227="","",IFERROR(INDEX(WageParty,MATCH($Q227,WageIds,0)),""))</f>
        <v/>
      </c>
      <c r="S227">
        <f>IF($P227="","",IFERROR(INDEX($F$6:$F$2005,MATCH($Q227,WageIds,0)),""))</f>
        <v/>
      </c>
      <c r="T227">
        <f>IF(OR($P227="",$S227="",$S227="نامعتبر"),"",LEFT($S227,4)&amp;MID($S227,6,2)&amp;RIGHT($S227,2)&amp;"0000"&amp;"|"&amp;"2"&amp;RIGHT("00000"&amp;222,5))</f>
        <v/>
      </c>
      <c r="U227">
        <f>IF($T227="","",COUNTIFS(LdAParty,$P227,LdAType,1,LdAKey,"&lt;"&amp;$T227)+COUNTIFS(LdBMember,$P227,LdBKey,"&lt;"&amp;$T227)+COUNTIFS(LdCParty,$P227,LdCKey,"&lt;"&amp;$T227)+1)</f>
        <v/>
      </c>
      <c r="V227">
        <f>IF($U227="","",$P227&amp;"|"&amp;RIGHT("000000"&amp;$U227,6))</f>
        <v/>
      </c>
      <c r="W227">
        <f>IF($T227="","",COUNTIFS(LdBGroup,$R227,LdBKey,"&lt;"&amp;$T227)+1)</f>
        <v/>
      </c>
      <c r="X227">
        <f>IF($W227="","",$R227&amp;"|"&amp;RIGHT("000000"&amp;$W227,6))</f>
        <v/>
      </c>
      <c r="Y227">
        <f>IF($P227="","",IF(Shares!$E230="",0,Shares!$E230))</f>
        <v/>
      </c>
      <c r="Z227">
        <f>IF($P227="","",Shares!$H230)</f>
        <v/>
      </c>
      <c r="AE227">
        <f>IF(OR(Sync!$S227="",Sync!$P227=""),"",Sync!$S227)</f>
        <v/>
      </c>
      <c r="AF227">
        <f>IF($AE227="","",IF(ISNUMBER(Sync!$P227),IF(AND(Sync!$P227&gt;=10000101,Sync!$P227&lt;=99991231),INT(Sync!$P227/10000),""),IFERROR(VALUE(TRIM(LEFT(Sync!$P227,FIND("/",Sync!$P227)-1))),"")))</f>
        <v/>
      </c>
      <c r="AG227">
        <f>IF(OR($AE227="",$AF227=""),"",IF(ISNUMBER(Sync!$P227),INT(MOD(Sync!$P227,10000)/100),IFERROR(VALUE(TRIM(LEFT(MID(Sync!$P227,FIND("/",Sync!$P227)+1,20),FIND("/",MID(Sync!$P227,FIND("/",Sync!$P227)+1,20))-1))),"")))</f>
        <v/>
      </c>
      <c r="AH227">
        <f>IF(OR($AE227="",$AF227=""),"",IF(ISNUMBER(Sync!$P227),MOD(Sync!$P227,100),IFERROR(VALUE(TRIM(MID(MID(Sync!$P227,FIND("/",Sync!$P227)+1,20),FIND("/",MID(Sync!$P227,FIND("/",Sync!$P227)+1,20))+1,20))),"")))</f>
        <v/>
      </c>
      <c r="AI227">
        <f>IF($AE227="","",IF(OR($AF227="",$AG227="",$AH227="",$AF227&lt;1300,$AF227&gt;1500,$AG227&lt;1,$AG227&gt;12,$AH227&lt;1,$AH227&gt;31),"نامعتبر",RIGHT("0000"&amp;$AF227,4)&amp;"/"&amp;RIGHT("00"&amp;$AG227,2)&amp;"/"&amp;RIGHT("00"&amp;$AH227,2)))</f>
        <v/>
      </c>
      <c r="AJ227">
        <f>IF($AE227="","",IF(Sync!$Q227="","0000",IF(AND(ISNUMBER(Sync!$Q227),Sync!$Q227&gt;=0,Sync!$Q227&lt;1),RIGHT("00"&amp;HOUR(Sync!$Q227),2)&amp;RIGHT("00"&amp;MINUTE(Sync!$Q227),2),IFERROR(RIGHT("00"&amp;VALUE(LEFT(Sync!$Q227,FIND(":",Sync!$Q227)-1)),2)&amp;RIGHT("00"&amp;VALUE(MID(Sync!$Q227,FIND(":",Sync!$Q227)+1,2)),2),"0000"))))</f>
        <v/>
      </c>
      <c r="AK227">
        <f>IF(OR($AE227="",$AI227="",$AI227="نامعتبر"),"",LEFT($AI227,4)&amp;MID($AI227,6,2)&amp;RIGHT($AI227,2)&amp;$AJ227&amp;"|"&amp;"3"&amp;RIGHT("00000"&amp;222,5))</f>
        <v/>
      </c>
      <c r="AL227">
        <f>IF($AK227="","",COUNTIFS(LdAParty,$AE227,LdAType,1,LdAKey,"&lt;"&amp;$AK227)+COUNTIFS(LdBMember,$AE227,LdBKey,"&lt;"&amp;$AK227)+COUNTIFS(LdCParty,$AE227,LdCKey,"&lt;"&amp;$AK227)+1)</f>
        <v/>
      </c>
      <c r="AM227">
        <f>IF($AL227="","",$AE227&amp;"|"&amp;RIGHT("000000"&amp;$AL227,6))</f>
        <v/>
      </c>
      <c r="AN227">
        <f>IF($AE227="","",IF(Sync!$W227="",0,Sync!$W227))</f>
        <v/>
      </c>
      <c r="AO227">
        <f>IF($AE227="","",IF(Sync!$X227="",0,Sync!$X227))</f>
        <v/>
      </c>
      <c r="AP227">
        <f>IF($AE227="","",Sync!$R227)</f>
        <v/>
      </c>
      <c r="AQ227">
        <f>IF($AE227="","",Sync!$Y227)</f>
        <v/>
      </c>
    </row>
    <row r="228">
      <c r="A228">
        <f>IF(OR(Wages!$B231="",Wages!$E231=""),"",Wages!$E231)</f>
        <v/>
      </c>
      <c r="B228">
        <f>IF($A228="","",IF(Wages!$C231="دستمزد گروهی",2,1))</f>
        <v/>
      </c>
      <c r="C228">
        <f>IF($A228="","",IF(ISNUMBER(Wages!$B231),IF(AND(Wages!$B231&gt;=10000101,Wages!$B231&lt;=99991231),INT(Wages!$B231/10000),""),IFERROR(VALUE(TRIM(LEFT(Wages!$B231,FIND("/",Wages!$B231)-1))),"")))</f>
        <v/>
      </c>
      <c r="D228">
        <f>IF(OR($A228="",$C228=""),"",IF(ISNUMBER(Wages!$B231),INT(MOD(Wages!$B231,10000)/100),IFERROR(VALUE(TRIM(LEFT(MID(Wages!$B231,FIND("/",Wages!$B231)+1,20),FIND("/",MID(Wages!$B231,FIND("/",Wages!$B231)+1,20))-1))),"")))</f>
        <v/>
      </c>
      <c r="E228">
        <f>IF(OR($A228="",$C228=""),"",IF(ISNUMBER(Wages!$B231),MOD(Wages!$B231,100),IFERROR(VALUE(TRIM(MID(MID(Wages!$B231,FIND("/",Wages!$B231)+1,20),FIND("/",MID(Wages!$B231,FIND("/",Wages!$B231)+1,20))+1,20))),"")))</f>
        <v/>
      </c>
      <c r="F228">
        <f>IF($A228="","",IF(OR($C228="",$D228="",$E228="",$C228&lt;1300,$C228&gt;1500,$D228&lt;1,$D228&gt;12,$E228&lt;1,$E228&gt;31),"نامعتبر",RIGHT("0000"&amp;$C228,4)&amp;"/"&amp;RIGHT("00"&amp;$D228,2)&amp;"/"&amp;RIGHT("00"&amp;$E228,2)))</f>
        <v/>
      </c>
      <c r="G228">
        <f>IF(OR($A228="",$F228="",$F228="نامعتبر"),"",LEFT($F228,4)&amp;MID($F228,6,2)&amp;RIGHT($F228,2)&amp;"0000"&amp;"|"&amp;"1"&amp;RIGHT("00000"&amp;223,5))</f>
        <v/>
      </c>
      <c r="H228">
        <f>IF(OR($B228&lt;&gt;1,$G228=""),"",COUNTIFS(LdAParty,$A228,LdAType,1,LdAKey,"&lt;"&amp;$G228)+COUNTIFS(LdBMember,$A228,LdBKey,"&lt;"&amp;$G228)+COUNTIFS(LdCParty,$A228,LdCKey,"&lt;"&amp;$G228)+1)</f>
        <v/>
      </c>
      <c r="I228">
        <f>IF($H228="","",$A228&amp;"|"&amp;RIGHT("000000"&amp;$H228,6))</f>
        <v/>
      </c>
      <c r="J228">
        <f>IF(OR($B228&lt;&gt;2,$G228=""),"",COUNTIFS(LdAParty,$A228,LdAType,2,LdAKey,"&lt;"&amp;$G228)+1)</f>
        <v/>
      </c>
      <c r="K228">
        <f>IF($J228="","",$A228&amp;"|"&amp;RIGHT("000000"&amp;$J228,6))</f>
        <v/>
      </c>
      <c r="L228">
        <f>IF($A228="","",IF(Wages!$G231="",0,Wages!$G231))</f>
        <v/>
      </c>
      <c r="M228">
        <f>IF($A228="","",Wages!$J231)</f>
        <v/>
      </c>
      <c r="N228">
        <f>IF($A228="","",Wages!$D231)</f>
        <v/>
      </c>
      <c r="P228">
        <f>IF(OR(Shares!$B231="",Shares!$C231=""),"",Shares!$C231)</f>
        <v/>
      </c>
      <c r="Q228">
        <f>IF($P228="","",Shares!$B231)</f>
        <v/>
      </c>
      <c r="R228">
        <f>IF($P228="","",IFERROR(INDEX(WageParty,MATCH($Q228,WageIds,0)),""))</f>
        <v/>
      </c>
      <c r="S228">
        <f>IF($P228="","",IFERROR(INDEX($F$6:$F$2005,MATCH($Q228,WageIds,0)),""))</f>
        <v/>
      </c>
      <c r="T228">
        <f>IF(OR($P228="",$S228="",$S228="نامعتبر"),"",LEFT($S228,4)&amp;MID($S228,6,2)&amp;RIGHT($S228,2)&amp;"0000"&amp;"|"&amp;"2"&amp;RIGHT("00000"&amp;223,5))</f>
        <v/>
      </c>
      <c r="U228">
        <f>IF($T228="","",COUNTIFS(LdAParty,$P228,LdAType,1,LdAKey,"&lt;"&amp;$T228)+COUNTIFS(LdBMember,$P228,LdBKey,"&lt;"&amp;$T228)+COUNTIFS(LdCParty,$P228,LdCKey,"&lt;"&amp;$T228)+1)</f>
        <v/>
      </c>
      <c r="V228">
        <f>IF($U228="","",$P228&amp;"|"&amp;RIGHT("000000"&amp;$U228,6))</f>
        <v/>
      </c>
      <c r="W228">
        <f>IF($T228="","",COUNTIFS(LdBGroup,$R228,LdBKey,"&lt;"&amp;$T228)+1)</f>
        <v/>
      </c>
      <c r="X228">
        <f>IF($W228="","",$R228&amp;"|"&amp;RIGHT("000000"&amp;$W228,6))</f>
        <v/>
      </c>
      <c r="Y228">
        <f>IF($P228="","",IF(Shares!$E231="",0,Shares!$E231))</f>
        <v/>
      </c>
      <c r="Z228">
        <f>IF($P228="","",Shares!$H231)</f>
        <v/>
      </c>
      <c r="AE228">
        <f>IF(OR(Sync!$S228="",Sync!$P228=""),"",Sync!$S228)</f>
        <v/>
      </c>
      <c r="AF228">
        <f>IF($AE228="","",IF(ISNUMBER(Sync!$P228),IF(AND(Sync!$P228&gt;=10000101,Sync!$P228&lt;=99991231),INT(Sync!$P228/10000),""),IFERROR(VALUE(TRIM(LEFT(Sync!$P228,FIND("/",Sync!$P228)-1))),"")))</f>
        <v/>
      </c>
      <c r="AG228">
        <f>IF(OR($AE228="",$AF228=""),"",IF(ISNUMBER(Sync!$P228),INT(MOD(Sync!$P228,10000)/100),IFERROR(VALUE(TRIM(LEFT(MID(Sync!$P228,FIND("/",Sync!$P228)+1,20),FIND("/",MID(Sync!$P228,FIND("/",Sync!$P228)+1,20))-1))),"")))</f>
        <v/>
      </c>
      <c r="AH228">
        <f>IF(OR($AE228="",$AF228=""),"",IF(ISNUMBER(Sync!$P228),MOD(Sync!$P228,100),IFERROR(VALUE(TRIM(MID(MID(Sync!$P228,FIND("/",Sync!$P228)+1,20),FIND("/",MID(Sync!$P228,FIND("/",Sync!$P228)+1,20))+1,20))),"")))</f>
        <v/>
      </c>
      <c r="AI228">
        <f>IF($AE228="","",IF(OR($AF228="",$AG228="",$AH228="",$AF228&lt;1300,$AF228&gt;1500,$AG228&lt;1,$AG228&gt;12,$AH228&lt;1,$AH228&gt;31),"نامعتبر",RIGHT("0000"&amp;$AF228,4)&amp;"/"&amp;RIGHT("00"&amp;$AG228,2)&amp;"/"&amp;RIGHT("00"&amp;$AH228,2)))</f>
        <v/>
      </c>
      <c r="AJ228">
        <f>IF($AE228="","",IF(Sync!$Q228="","0000",IF(AND(ISNUMBER(Sync!$Q228),Sync!$Q228&gt;=0,Sync!$Q228&lt;1),RIGHT("00"&amp;HOUR(Sync!$Q228),2)&amp;RIGHT("00"&amp;MINUTE(Sync!$Q228),2),IFERROR(RIGHT("00"&amp;VALUE(LEFT(Sync!$Q228,FIND(":",Sync!$Q228)-1)),2)&amp;RIGHT("00"&amp;VALUE(MID(Sync!$Q228,FIND(":",Sync!$Q228)+1,2)),2),"0000"))))</f>
        <v/>
      </c>
      <c r="AK228">
        <f>IF(OR($AE228="",$AI228="",$AI228="نامعتبر"),"",LEFT($AI228,4)&amp;MID($AI228,6,2)&amp;RIGHT($AI228,2)&amp;$AJ228&amp;"|"&amp;"3"&amp;RIGHT("00000"&amp;223,5))</f>
        <v/>
      </c>
      <c r="AL228">
        <f>IF($AK228="","",COUNTIFS(LdAParty,$AE228,LdAType,1,LdAKey,"&lt;"&amp;$AK228)+COUNTIFS(LdBMember,$AE228,LdBKey,"&lt;"&amp;$AK228)+COUNTIFS(LdCParty,$AE228,LdCKey,"&lt;"&amp;$AK228)+1)</f>
        <v/>
      </c>
      <c r="AM228">
        <f>IF($AL228="","",$AE228&amp;"|"&amp;RIGHT("000000"&amp;$AL228,6))</f>
        <v/>
      </c>
      <c r="AN228">
        <f>IF($AE228="","",IF(Sync!$W228="",0,Sync!$W228))</f>
        <v/>
      </c>
      <c r="AO228">
        <f>IF($AE228="","",IF(Sync!$X228="",0,Sync!$X228))</f>
        <v/>
      </c>
      <c r="AP228">
        <f>IF($AE228="","",Sync!$R228)</f>
        <v/>
      </c>
      <c r="AQ228">
        <f>IF($AE228="","",Sync!$Y228)</f>
        <v/>
      </c>
    </row>
    <row r="229">
      <c r="A229">
        <f>IF(OR(Wages!$B232="",Wages!$E232=""),"",Wages!$E232)</f>
        <v/>
      </c>
      <c r="B229">
        <f>IF($A229="","",IF(Wages!$C232="دستمزد گروهی",2,1))</f>
        <v/>
      </c>
      <c r="C229">
        <f>IF($A229="","",IF(ISNUMBER(Wages!$B232),IF(AND(Wages!$B232&gt;=10000101,Wages!$B232&lt;=99991231),INT(Wages!$B232/10000),""),IFERROR(VALUE(TRIM(LEFT(Wages!$B232,FIND("/",Wages!$B232)-1))),"")))</f>
        <v/>
      </c>
      <c r="D229">
        <f>IF(OR($A229="",$C229=""),"",IF(ISNUMBER(Wages!$B232),INT(MOD(Wages!$B232,10000)/100),IFERROR(VALUE(TRIM(LEFT(MID(Wages!$B232,FIND("/",Wages!$B232)+1,20),FIND("/",MID(Wages!$B232,FIND("/",Wages!$B232)+1,20))-1))),"")))</f>
        <v/>
      </c>
      <c r="E229">
        <f>IF(OR($A229="",$C229=""),"",IF(ISNUMBER(Wages!$B232),MOD(Wages!$B232,100),IFERROR(VALUE(TRIM(MID(MID(Wages!$B232,FIND("/",Wages!$B232)+1,20),FIND("/",MID(Wages!$B232,FIND("/",Wages!$B232)+1,20))+1,20))),"")))</f>
        <v/>
      </c>
      <c r="F229">
        <f>IF($A229="","",IF(OR($C229="",$D229="",$E229="",$C229&lt;1300,$C229&gt;1500,$D229&lt;1,$D229&gt;12,$E229&lt;1,$E229&gt;31),"نامعتبر",RIGHT("0000"&amp;$C229,4)&amp;"/"&amp;RIGHT("00"&amp;$D229,2)&amp;"/"&amp;RIGHT("00"&amp;$E229,2)))</f>
        <v/>
      </c>
      <c r="G229">
        <f>IF(OR($A229="",$F229="",$F229="نامعتبر"),"",LEFT($F229,4)&amp;MID($F229,6,2)&amp;RIGHT($F229,2)&amp;"0000"&amp;"|"&amp;"1"&amp;RIGHT("00000"&amp;224,5))</f>
        <v/>
      </c>
      <c r="H229">
        <f>IF(OR($B229&lt;&gt;1,$G229=""),"",COUNTIFS(LdAParty,$A229,LdAType,1,LdAKey,"&lt;"&amp;$G229)+COUNTIFS(LdBMember,$A229,LdBKey,"&lt;"&amp;$G229)+COUNTIFS(LdCParty,$A229,LdCKey,"&lt;"&amp;$G229)+1)</f>
        <v/>
      </c>
      <c r="I229">
        <f>IF($H229="","",$A229&amp;"|"&amp;RIGHT("000000"&amp;$H229,6))</f>
        <v/>
      </c>
      <c r="J229">
        <f>IF(OR($B229&lt;&gt;2,$G229=""),"",COUNTIFS(LdAParty,$A229,LdAType,2,LdAKey,"&lt;"&amp;$G229)+1)</f>
        <v/>
      </c>
      <c r="K229">
        <f>IF($J229="","",$A229&amp;"|"&amp;RIGHT("000000"&amp;$J229,6))</f>
        <v/>
      </c>
      <c r="L229">
        <f>IF($A229="","",IF(Wages!$G232="",0,Wages!$G232))</f>
        <v/>
      </c>
      <c r="M229">
        <f>IF($A229="","",Wages!$J232)</f>
        <v/>
      </c>
      <c r="N229">
        <f>IF($A229="","",Wages!$D232)</f>
        <v/>
      </c>
      <c r="P229">
        <f>IF(OR(Shares!$B232="",Shares!$C232=""),"",Shares!$C232)</f>
        <v/>
      </c>
      <c r="Q229">
        <f>IF($P229="","",Shares!$B232)</f>
        <v/>
      </c>
      <c r="R229">
        <f>IF($P229="","",IFERROR(INDEX(WageParty,MATCH($Q229,WageIds,0)),""))</f>
        <v/>
      </c>
      <c r="S229">
        <f>IF($P229="","",IFERROR(INDEX($F$6:$F$2005,MATCH($Q229,WageIds,0)),""))</f>
        <v/>
      </c>
      <c r="T229">
        <f>IF(OR($P229="",$S229="",$S229="نامعتبر"),"",LEFT($S229,4)&amp;MID($S229,6,2)&amp;RIGHT($S229,2)&amp;"0000"&amp;"|"&amp;"2"&amp;RIGHT("00000"&amp;224,5))</f>
        <v/>
      </c>
      <c r="U229">
        <f>IF($T229="","",COUNTIFS(LdAParty,$P229,LdAType,1,LdAKey,"&lt;"&amp;$T229)+COUNTIFS(LdBMember,$P229,LdBKey,"&lt;"&amp;$T229)+COUNTIFS(LdCParty,$P229,LdCKey,"&lt;"&amp;$T229)+1)</f>
        <v/>
      </c>
      <c r="V229">
        <f>IF($U229="","",$P229&amp;"|"&amp;RIGHT("000000"&amp;$U229,6))</f>
        <v/>
      </c>
      <c r="W229">
        <f>IF($T229="","",COUNTIFS(LdBGroup,$R229,LdBKey,"&lt;"&amp;$T229)+1)</f>
        <v/>
      </c>
      <c r="X229">
        <f>IF($W229="","",$R229&amp;"|"&amp;RIGHT("000000"&amp;$W229,6))</f>
        <v/>
      </c>
      <c r="Y229">
        <f>IF($P229="","",IF(Shares!$E232="",0,Shares!$E232))</f>
        <v/>
      </c>
      <c r="Z229">
        <f>IF($P229="","",Shares!$H232)</f>
        <v/>
      </c>
      <c r="AE229">
        <f>IF(OR(Sync!$S229="",Sync!$P229=""),"",Sync!$S229)</f>
        <v/>
      </c>
      <c r="AF229">
        <f>IF($AE229="","",IF(ISNUMBER(Sync!$P229),IF(AND(Sync!$P229&gt;=10000101,Sync!$P229&lt;=99991231),INT(Sync!$P229/10000),""),IFERROR(VALUE(TRIM(LEFT(Sync!$P229,FIND("/",Sync!$P229)-1))),"")))</f>
        <v/>
      </c>
      <c r="AG229">
        <f>IF(OR($AE229="",$AF229=""),"",IF(ISNUMBER(Sync!$P229),INT(MOD(Sync!$P229,10000)/100),IFERROR(VALUE(TRIM(LEFT(MID(Sync!$P229,FIND("/",Sync!$P229)+1,20),FIND("/",MID(Sync!$P229,FIND("/",Sync!$P229)+1,20))-1))),"")))</f>
        <v/>
      </c>
      <c r="AH229">
        <f>IF(OR($AE229="",$AF229=""),"",IF(ISNUMBER(Sync!$P229),MOD(Sync!$P229,100),IFERROR(VALUE(TRIM(MID(MID(Sync!$P229,FIND("/",Sync!$P229)+1,20),FIND("/",MID(Sync!$P229,FIND("/",Sync!$P229)+1,20))+1,20))),"")))</f>
        <v/>
      </c>
      <c r="AI229">
        <f>IF($AE229="","",IF(OR($AF229="",$AG229="",$AH229="",$AF229&lt;1300,$AF229&gt;1500,$AG229&lt;1,$AG229&gt;12,$AH229&lt;1,$AH229&gt;31),"نامعتبر",RIGHT("0000"&amp;$AF229,4)&amp;"/"&amp;RIGHT("00"&amp;$AG229,2)&amp;"/"&amp;RIGHT("00"&amp;$AH229,2)))</f>
        <v/>
      </c>
      <c r="AJ229">
        <f>IF($AE229="","",IF(Sync!$Q229="","0000",IF(AND(ISNUMBER(Sync!$Q229),Sync!$Q229&gt;=0,Sync!$Q229&lt;1),RIGHT("00"&amp;HOUR(Sync!$Q229),2)&amp;RIGHT("00"&amp;MINUTE(Sync!$Q229),2),IFERROR(RIGHT("00"&amp;VALUE(LEFT(Sync!$Q229,FIND(":",Sync!$Q229)-1)),2)&amp;RIGHT("00"&amp;VALUE(MID(Sync!$Q229,FIND(":",Sync!$Q229)+1,2)),2),"0000"))))</f>
        <v/>
      </c>
      <c r="AK229">
        <f>IF(OR($AE229="",$AI229="",$AI229="نامعتبر"),"",LEFT($AI229,4)&amp;MID($AI229,6,2)&amp;RIGHT($AI229,2)&amp;$AJ229&amp;"|"&amp;"3"&amp;RIGHT("00000"&amp;224,5))</f>
        <v/>
      </c>
      <c r="AL229">
        <f>IF($AK229="","",COUNTIFS(LdAParty,$AE229,LdAType,1,LdAKey,"&lt;"&amp;$AK229)+COUNTIFS(LdBMember,$AE229,LdBKey,"&lt;"&amp;$AK229)+COUNTIFS(LdCParty,$AE229,LdCKey,"&lt;"&amp;$AK229)+1)</f>
        <v/>
      </c>
      <c r="AM229">
        <f>IF($AL229="","",$AE229&amp;"|"&amp;RIGHT("000000"&amp;$AL229,6))</f>
        <v/>
      </c>
      <c r="AN229">
        <f>IF($AE229="","",IF(Sync!$W229="",0,Sync!$W229))</f>
        <v/>
      </c>
      <c r="AO229">
        <f>IF($AE229="","",IF(Sync!$X229="",0,Sync!$X229))</f>
        <v/>
      </c>
      <c r="AP229">
        <f>IF($AE229="","",Sync!$R229)</f>
        <v/>
      </c>
      <c r="AQ229">
        <f>IF($AE229="","",Sync!$Y229)</f>
        <v/>
      </c>
    </row>
    <row r="230">
      <c r="A230">
        <f>IF(OR(Wages!$B233="",Wages!$E233=""),"",Wages!$E233)</f>
        <v/>
      </c>
      <c r="B230">
        <f>IF($A230="","",IF(Wages!$C233="دستمزد گروهی",2,1))</f>
        <v/>
      </c>
      <c r="C230">
        <f>IF($A230="","",IF(ISNUMBER(Wages!$B233),IF(AND(Wages!$B233&gt;=10000101,Wages!$B233&lt;=99991231),INT(Wages!$B233/10000),""),IFERROR(VALUE(TRIM(LEFT(Wages!$B233,FIND("/",Wages!$B233)-1))),"")))</f>
        <v/>
      </c>
      <c r="D230">
        <f>IF(OR($A230="",$C230=""),"",IF(ISNUMBER(Wages!$B233),INT(MOD(Wages!$B233,10000)/100),IFERROR(VALUE(TRIM(LEFT(MID(Wages!$B233,FIND("/",Wages!$B233)+1,20),FIND("/",MID(Wages!$B233,FIND("/",Wages!$B233)+1,20))-1))),"")))</f>
        <v/>
      </c>
      <c r="E230">
        <f>IF(OR($A230="",$C230=""),"",IF(ISNUMBER(Wages!$B233),MOD(Wages!$B233,100),IFERROR(VALUE(TRIM(MID(MID(Wages!$B233,FIND("/",Wages!$B233)+1,20),FIND("/",MID(Wages!$B233,FIND("/",Wages!$B233)+1,20))+1,20))),"")))</f>
        <v/>
      </c>
      <c r="F230">
        <f>IF($A230="","",IF(OR($C230="",$D230="",$E230="",$C230&lt;1300,$C230&gt;1500,$D230&lt;1,$D230&gt;12,$E230&lt;1,$E230&gt;31),"نامعتبر",RIGHT("0000"&amp;$C230,4)&amp;"/"&amp;RIGHT("00"&amp;$D230,2)&amp;"/"&amp;RIGHT("00"&amp;$E230,2)))</f>
        <v/>
      </c>
      <c r="G230">
        <f>IF(OR($A230="",$F230="",$F230="نامعتبر"),"",LEFT($F230,4)&amp;MID($F230,6,2)&amp;RIGHT($F230,2)&amp;"0000"&amp;"|"&amp;"1"&amp;RIGHT("00000"&amp;225,5))</f>
        <v/>
      </c>
      <c r="H230">
        <f>IF(OR($B230&lt;&gt;1,$G230=""),"",COUNTIFS(LdAParty,$A230,LdAType,1,LdAKey,"&lt;"&amp;$G230)+COUNTIFS(LdBMember,$A230,LdBKey,"&lt;"&amp;$G230)+COUNTIFS(LdCParty,$A230,LdCKey,"&lt;"&amp;$G230)+1)</f>
        <v/>
      </c>
      <c r="I230">
        <f>IF($H230="","",$A230&amp;"|"&amp;RIGHT("000000"&amp;$H230,6))</f>
        <v/>
      </c>
      <c r="J230">
        <f>IF(OR($B230&lt;&gt;2,$G230=""),"",COUNTIFS(LdAParty,$A230,LdAType,2,LdAKey,"&lt;"&amp;$G230)+1)</f>
        <v/>
      </c>
      <c r="K230">
        <f>IF($J230="","",$A230&amp;"|"&amp;RIGHT("000000"&amp;$J230,6))</f>
        <v/>
      </c>
      <c r="L230">
        <f>IF($A230="","",IF(Wages!$G233="",0,Wages!$G233))</f>
        <v/>
      </c>
      <c r="M230">
        <f>IF($A230="","",Wages!$J233)</f>
        <v/>
      </c>
      <c r="N230">
        <f>IF($A230="","",Wages!$D233)</f>
        <v/>
      </c>
      <c r="P230">
        <f>IF(OR(Shares!$B233="",Shares!$C233=""),"",Shares!$C233)</f>
        <v/>
      </c>
      <c r="Q230">
        <f>IF($P230="","",Shares!$B233)</f>
        <v/>
      </c>
      <c r="R230">
        <f>IF($P230="","",IFERROR(INDEX(WageParty,MATCH($Q230,WageIds,0)),""))</f>
        <v/>
      </c>
      <c r="S230">
        <f>IF($P230="","",IFERROR(INDEX($F$6:$F$2005,MATCH($Q230,WageIds,0)),""))</f>
        <v/>
      </c>
      <c r="T230">
        <f>IF(OR($P230="",$S230="",$S230="نامعتبر"),"",LEFT($S230,4)&amp;MID($S230,6,2)&amp;RIGHT($S230,2)&amp;"0000"&amp;"|"&amp;"2"&amp;RIGHT("00000"&amp;225,5))</f>
        <v/>
      </c>
      <c r="U230">
        <f>IF($T230="","",COUNTIFS(LdAParty,$P230,LdAType,1,LdAKey,"&lt;"&amp;$T230)+COUNTIFS(LdBMember,$P230,LdBKey,"&lt;"&amp;$T230)+COUNTIFS(LdCParty,$P230,LdCKey,"&lt;"&amp;$T230)+1)</f>
        <v/>
      </c>
      <c r="V230">
        <f>IF($U230="","",$P230&amp;"|"&amp;RIGHT("000000"&amp;$U230,6))</f>
        <v/>
      </c>
      <c r="W230">
        <f>IF($T230="","",COUNTIFS(LdBGroup,$R230,LdBKey,"&lt;"&amp;$T230)+1)</f>
        <v/>
      </c>
      <c r="X230">
        <f>IF($W230="","",$R230&amp;"|"&amp;RIGHT("000000"&amp;$W230,6))</f>
        <v/>
      </c>
      <c r="Y230">
        <f>IF($P230="","",IF(Shares!$E233="",0,Shares!$E233))</f>
        <v/>
      </c>
      <c r="Z230">
        <f>IF($P230="","",Shares!$H233)</f>
        <v/>
      </c>
      <c r="AE230">
        <f>IF(OR(Sync!$S230="",Sync!$P230=""),"",Sync!$S230)</f>
        <v/>
      </c>
      <c r="AF230">
        <f>IF($AE230="","",IF(ISNUMBER(Sync!$P230),IF(AND(Sync!$P230&gt;=10000101,Sync!$P230&lt;=99991231),INT(Sync!$P230/10000),""),IFERROR(VALUE(TRIM(LEFT(Sync!$P230,FIND("/",Sync!$P230)-1))),"")))</f>
        <v/>
      </c>
      <c r="AG230">
        <f>IF(OR($AE230="",$AF230=""),"",IF(ISNUMBER(Sync!$P230),INT(MOD(Sync!$P230,10000)/100),IFERROR(VALUE(TRIM(LEFT(MID(Sync!$P230,FIND("/",Sync!$P230)+1,20),FIND("/",MID(Sync!$P230,FIND("/",Sync!$P230)+1,20))-1))),"")))</f>
        <v/>
      </c>
      <c r="AH230">
        <f>IF(OR($AE230="",$AF230=""),"",IF(ISNUMBER(Sync!$P230),MOD(Sync!$P230,100),IFERROR(VALUE(TRIM(MID(MID(Sync!$P230,FIND("/",Sync!$P230)+1,20),FIND("/",MID(Sync!$P230,FIND("/",Sync!$P230)+1,20))+1,20))),"")))</f>
        <v/>
      </c>
      <c r="AI230">
        <f>IF($AE230="","",IF(OR($AF230="",$AG230="",$AH230="",$AF230&lt;1300,$AF230&gt;1500,$AG230&lt;1,$AG230&gt;12,$AH230&lt;1,$AH230&gt;31),"نامعتبر",RIGHT("0000"&amp;$AF230,4)&amp;"/"&amp;RIGHT("00"&amp;$AG230,2)&amp;"/"&amp;RIGHT("00"&amp;$AH230,2)))</f>
        <v/>
      </c>
      <c r="AJ230">
        <f>IF($AE230="","",IF(Sync!$Q230="","0000",IF(AND(ISNUMBER(Sync!$Q230),Sync!$Q230&gt;=0,Sync!$Q230&lt;1),RIGHT("00"&amp;HOUR(Sync!$Q230),2)&amp;RIGHT("00"&amp;MINUTE(Sync!$Q230),2),IFERROR(RIGHT("00"&amp;VALUE(LEFT(Sync!$Q230,FIND(":",Sync!$Q230)-1)),2)&amp;RIGHT("00"&amp;VALUE(MID(Sync!$Q230,FIND(":",Sync!$Q230)+1,2)),2),"0000"))))</f>
        <v/>
      </c>
      <c r="AK230">
        <f>IF(OR($AE230="",$AI230="",$AI230="نامعتبر"),"",LEFT($AI230,4)&amp;MID($AI230,6,2)&amp;RIGHT($AI230,2)&amp;$AJ230&amp;"|"&amp;"3"&amp;RIGHT("00000"&amp;225,5))</f>
        <v/>
      </c>
      <c r="AL230">
        <f>IF($AK230="","",COUNTIFS(LdAParty,$AE230,LdAType,1,LdAKey,"&lt;"&amp;$AK230)+COUNTIFS(LdBMember,$AE230,LdBKey,"&lt;"&amp;$AK230)+COUNTIFS(LdCParty,$AE230,LdCKey,"&lt;"&amp;$AK230)+1)</f>
        <v/>
      </c>
      <c r="AM230">
        <f>IF($AL230="","",$AE230&amp;"|"&amp;RIGHT("000000"&amp;$AL230,6))</f>
        <v/>
      </c>
      <c r="AN230">
        <f>IF($AE230="","",IF(Sync!$W230="",0,Sync!$W230))</f>
        <v/>
      </c>
      <c r="AO230">
        <f>IF($AE230="","",IF(Sync!$X230="",0,Sync!$X230))</f>
        <v/>
      </c>
      <c r="AP230">
        <f>IF($AE230="","",Sync!$R230)</f>
        <v/>
      </c>
      <c r="AQ230">
        <f>IF($AE230="","",Sync!$Y230)</f>
        <v/>
      </c>
    </row>
    <row r="231">
      <c r="A231">
        <f>IF(OR(Wages!$B234="",Wages!$E234=""),"",Wages!$E234)</f>
        <v/>
      </c>
      <c r="B231">
        <f>IF($A231="","",IF(Wages!$C234="دستمزد گروهی",2,1))</f>
        <v/>
      </c>
      <c r="C231">
        <f>IF($A231="","",IF(ISNUMBER(Wages!$B234),IF(AND(Wages!$B234&gt;=10000101,Wages!$B234&lt;=99991231),INT(Wages!$B234/10000),""),IFERROR(VALUE(TRIM(LEFT(Wages!$B234,FIND("/",Wages!$B234)-1))),"")))</f>
        <v/>
      </c>
      <c r="D231">
        <f>IF(OR($A231="",$C231=""),"",IF(ISNUMBER(Wages!$B234),INT(MOD(Wages!$B234,10000)/100),IFERROR(VALUE(TRIM(LEFT(MID(Wages!$B234,FIND("/",Wages!$B234)+1,20),FIND("/",MID(Wages!$B234,FIND("/",Wages!$B234)+1,20))-1))),"")))</f>
        <v/>
      </c>
      <c r="E231">
        <f>IF(OR($A231="",$C231=""),"",IF(ISNUMBER(Wages!$B234),MOD(Wages!$B234,100),IFERROR(VALUE(TRIM(MID(MID(Wages!$B234,FIND("/",Wages!$B234)+1,20),FIND("/",MID(Wages!$B234,FIND("/",Wages!$B234)+1,20))+1,20))),"")))</f>
        <v/>
      </c>
      <c r="F231">
        <f>IF($A231="","",IF(OR($C231="",$D231="",$E231="",$C231&lt;1300,$C231&gt;1500,$D231&lt;1,$D231&gt;12,$E231&lt;1,$E231&gt;31),"نامعتبر",RIGHT("0000"&amp;$C231,4)&amp;"/"&amp;RIGHT("00"&amp;$D231,2)&amp;"/"&amp;RIGHT("00"&amp;$E231,2)))</f>
        <v/>
      </c>
      <c r="G231">
        <f>IF(OR($A231="",$F231="",$F231="نامعتبر"),"",LEFT($F231,4)&amp;MID($F231,6,2)&amp;RIGHT($F231,2)&amp;"0000"&amp;"|"&amp;"1"&amp;RIGHT("00000"&amp;226,5))</f>
        <v/>
      </c>
      <c r="H231">
        <f>IF(OR($B231&lt;&gt;1,$G231=""),"",COUNTIFS(LdAParty,$A231,LdAType,1,LdAKey,"&lt;"&amp;$G231)+COUNTIFS(LdBMember,$A231,LdBKey,"&lt;"&amp;$G231)+COUNTIFS(LdCParty,$A231,LdCKey,"&lt;"&amp;$G231)+1)</f>
        <v/>
      </c>
      <c r="I231">
        <f>IF($H231="","",$A231&amp;"|"&amp;RIGHT("000000"&amp;$H231,6))</f>
        <v/>
      </c>
      <c r="J231">
        <f>IF(OR($B231&lt;&gt;2,$G231=""),"",COUNTIFS(LdAParty,$A231,LdAType,2,LdAKey,"&lt;"&amp;$G231)+1)</f>
        <v/>
      </c>
      <c r="K231">
        <f>IF($J231="","",$A231&amp;"|"&amp;RIGHT("000000"&amp;$J231,6))</f>
        <v/>
      </c>
      <c r="L231">
        <f>IF($A231="","",IF(Wages!$G234="",0,Wages!$G234))</f>
        <v/>
      </c>
      <c r="M231">
        <f>IF($A231="","",Wages!$J234)</f>
        <v/>
      </c>
      <c r="N231">
        <f>IF($A231="","",Wages!$D234)</f>
        <v/>
      </c>
      <c r="P231">
        <f>IF(OR(Shares!$B234="",Shares!$C234=""),"",Shares!$C234)</f>
        <v/>
      </c>
      <c r="Q231">
        <f>IF($P231="","",Shares!$B234)</f>
        <v/>
      </c>
      <c r="R231">
        <f>IF($P231="","",IFERROR(INDEX(WageParty,MATCH($Q231,WageIds,0)),""))</f>
        <v/>
      </c>
      <c r="S231">
        <f>IF($P231="","",IFERROR(INDEX($F$6:$F$2005,MATCH($Q231,WageIds,0)),""))</f>
        <v/>
      </c>
      <c r="T231">
        <f>IF(OR($P231="",$S231="",$S231="نامعتبر"),"",LEFT($S231,4)&amp;MID($S231,6,2)&amp;RIGHT($S231,2)&amp;"0000"&amp;"|"&amp;"2"&amp;RIGHT("00000"&amp;226,5))</f>
        <v/>
      </c>
      <c r="U231">
        <f>IF($T231="","",COUNTIFS(LdAParty,$P231,LdAType,1,LdAKey,"&lt;"&amp;$T231)+COUNTIFS(LdBMember,$P231,LdBKey,"&lt;"&amp;$T231)+COUNTIFS(LdCParty,$P231,LdCKey,"&lt;"&amp;$T231)+1)</f>
        <v/>
      </c>
      <c r="V231">
        <f>IF($U231="","",$P231&amp;"|"&amp;RIGHT("000000"&amp;$U231,6))</f>
        <v/>
      </c>
      <c r="W231">
        <f>IF($T231="","",COUNTIFS(LdBGroup,$R231,LdBKey,"&lt;"&amp;$T231)+1)</f>
        <v/>
      </c>
      <c r="X231">
        <f>IF($W231="","",$R231&amp;"|"&amp;RIGHT("000000"&amp;$W231,6))</f>
        <v/>
      </c>
      <c r="Y231">
        <f>IF($P231="","",IF(Shares!$E234="",0,Shares!$E234))</f>
        <v/>
      </c>
      <c r="Z231">
        <f>IF($P231="","",Shares!$H234)</f>
        <v/>
      </c>
      <c r="AE231">
        <f>IF(OR(Sync!$S231="",Sync!$P231=""),"",Sync!$S231)</f>
        <v/>
      </c>
      <c r="AF231">
        <f>IF($AE231="","",IF(ISNUMBER(Sync!$P231),IF(AND(Sync!$P231&gt;=10000101,Sync!$P231&lt;=99991231),INT(Sync!$P231/10000),""),IFERROR(VALUE(TRIM(LEFT(Sync!$P231,FIND("/",Sync!$P231)-1))),"")))</f>
        <v/>
      </c>
      <c r="AG231">
        <f>IF(OR($AE231="",$AF231=""),"",IF(ISNUMBER(Sync!$P231),INT(MOD(Sync!$P231,10000)/100),IFERROR(VALUE(TRIM(LEFT(MID(Sync!$P231,FIND("/",Sync!$P231)+1,20),FIND("/",MID(Sync!$P231,FIND("/",Sync!$P231)+1,20))-1))),"")))</f>
        <v/>
      </c>
      <c r="AH231">
        <f>IF(OR($AE231="",$AF231=""),"",IF(ISNUMBER(Sync!$P231),MOD(Sync!$P231,100),IFERROR(VALUE(TRIM(MID(MID(Sync!$P231,FIND("/",Sync!$P231)+1,20),FIND("/",MID(Sync!$P231,FIND("/",Sync!$P231)+1,20))+1,20))),"")))</f>
        <v/>
      </c>
      <c r="AI231">
        <f>IF($AE231="","",IF(OR($AF231="",$AG231="",$AH231="",$AF231&lt;1300,$AF231&gt;1500,$AG231&lt;1,$AG231&gt;12,$AH231&lt;1,$AH231&gt;31),"نامعتبر",RIGHT("0000"&amp;$AF231,4)&amp;"/"&amp;RIGHT("00"&amp;$AG231,2)&amp;"/"&amp;RIGHT("00"&amp;$AH231,2)))</f>
        <v/>
      </c>
      <c r="AJ231">
        <f>IF($AE231="","",IF(Sync!$Q231="","0000",IF(AND(ISNUMBER(Sync!$Q231),Sync!$Q231&gt;=0,Sync!$Q231&lt;1),RIGHT("00"&amp;HOUR(Sync!$Q231),2)&amp;RIGHT("00"&amp;MINUTE(Sync!$Q231),2),IFERROR(RIGHT("00"&amp;VALUE(LEFT(Sync!$Q231,FIND(":",Sync!$Q231)-1)),2)&amp;RIGHT("00"&amp;VALUE(MID(Sync!$Q231,FIND(":",Sync!$Q231)+1,2)),2),"0000"))))</f>
        <v/>
      </c>
      <c r="AK231">
        <f>IF(OR($AE231="",$AI231="",$AI231="نامعتبر"),"",LEFT($AI231,4)&amp;MID($AI231,6,2)&amp;RIGHT($AI231,2)&amp;$AJ231&amp;"|"&amp;"3"&amp;RIGHT("00000"&amp;226,5))</f>
        <v/>
      </c>
      <c r="AL231">
        <f>IF($AK231="","",COUNTIFS(LdAParty,$AE231,LdAType,1,LdAKey,"&lt;"&amp;$AK231)+COUNTIFS(LdBMember,$AE231,LdBKey,"&lt;"&amp;$AK231)+COUNTIFS(LdCParty,$AE231,LdCKey,"&lt;"&amp;$AK231)+1)</f>
        <v/>
      </c>
      <c r="AM231">
        <f>IF($AL231="","",$AE231&amp;"|"&amp;RIGHT("000000"&amp;$AL231,6))</f>
        <v/>
      </c>
      <c r="AN231">
        <f>IF($AE231="","",IF(Sync!$W231="",0,Sync!$W231))</f>
        <v/>
      </c>
      <c r="AO231">
        <f>IF($AE231="","",IF(Sync!$X231="",0,Sync!$X231))</f>
        <v/>
      </c>
      <c r="AP231">
        <f>IF($AE231="","",Sync!$R231)</f>
        <v/>
      </c>
      <c r="AQ231">
        <f>IF($AE231="","",Sync!$Y231)</f>
        <v/>
      </c>
    </row>
    <row r="232">
      <c r="A232">
        <f>IF(OR(Wages!$B235="",Wages!$E235=""),"",Wages!$E235)</f>
        <v/>
      </c>
      <c r="B232">
        <f>IF($A232="","",IF(Wages!$C235="دستمزد گروهی",2,1))</f>
        <v/>
      </c>
      <c r="C232">
        <f>IF($A232="","",IF(ISNUMBER(Wages!$B235),IF(AND(Wages!$B235&gt;=10000101,Wages!$B235&lt;=99991231),INT(Wages!$B235/10000),""),IFERROR(VALUE(TRIM(LEFT(Wages!$B235,FIND("/",Wages!$B235)-1))),"")))</f>
        <v/>
      </c>
      <c r="D232">
        <f>IF(OR($A232="",$C232=""),"",IF(ISNUMBER(Wages!$B235),INT(MOD(Wages!$B235,10000)/100),IFERROR(VALUE(TRIM(LEFT(MID(Wages!$B235,FIND("/",Wages!$B235)+1,20),FIND("/",MID(Wages!$B235,FIND("/",Wages!$B235)+1,20))-1))),"")))</f>
        <v/>
      </c>
      <c r="E232">
        <f>IF(OR($A232="",$C232=""),"",IF(ISNUMBER(Wages!$B235),MOD(Wages!$B235,100),IFERROR(VALUE(TRIM(MID(MID(Wages!$B235,FIND("/",Wages!$B235)+1,20),FIND("/",MID(Wages!$B235,FIND("/",Wages!$B235)+1,20))+1,20))),"")))</f>
        <v/>
      </c>
      <c r="F232">
        <f>IF($A232="","",IF(OR($C232="",$D232="",$E232="",$C232&lt;1300,$C232&gt;1500,$D232&lt;1,$D232&gt;12,$E232&lt;1,$E232&gt;31),"نامعتبر",RIGHT("0000"&amp;$C232,4)&amp;"/"&amp;RIGHT("00"&amp;$D232,2)&amp;"/"&amp;RIGHT("00"&amp;$E232,2)))</f>
        <v/>
      </c>
      <c r="G232">
        <f>IF(OR($A232="",$F232="",$F232="نامعتبر"),"",LEFT($F232,4)&amp;MID($F232,6,2)&amp;RIGHT($F232,2)&amp;"0000"&amp;"|"&amp;"1"&amp;RIGHT("00000"&amp;227,5))</f>
        <v/>
      </c>
      <c r="H232">
        <f>IF(OR($B232&lt;&gt;1,$G232=""),"",COUNTIFS(LdAParty,$A232,LdAType,1,LdAKey,"&lt;"&amp;$G232)+COUNTIFS(LdBMember,$A232,LdBKey,"&lt;"&amp;$G232)+COUNTIFS(LdCParty,$A232,LdCKey,"&lt;"&amp;$G232)+1)</f>
        <v/>
      </c>
      <c r="I232">
        <f>IF($H232="","",$A232&amp;"|"&amp;RIGHT("000000"&amp;$H232,6))</f>
        <v/>
      </c>
      <c r="J232">
        <f>IF(OR($B232&lt;&gt;2,$G232=""),"",COUNTIFS(LdAParty,$A232,LdAType,2,LdAKey,"&lt;"&amp;$G232)+1)</f>
        <v/>
      </c>
      <c r="K232">
        <f>IF($J232="","",$A232&amp;"|"&amp;RIGHT("000000"&amp;$J232,6))</f>
        <v/>
      </c>
      <c r="L232">
        <f>IF($A232="","",IF(Wages!$G235="",0,Wages!$G235))</f>
        <v/>
      </c>
      <c r="M232">
        <f>IF($A232="","",Wages!$J235)</f>
        <v/>
      </c>
      <c r="N232">
        <f>IF($A232="","",Wages!$D235)</f>
        <v/>
      </c>
      <c r="P232">
        <f>IF(OR(Shares!$B235="",Shares!$C235=""),"",Shares!$C235)</f>
        <v/>
      </c>
      <c r="Q232">
        <f>IF($P232="","",Shares!$B235)</f>
        <v/>
      </c>
      <c r="R232">
        <f>IF($P232="","",IFERROR(INDEX(WageParty,MATCH($Q232,WageIds,0)),""))</f>
        <v/>
      </c>
      <c r="S232">
        <f>IF($P232="","",IFERROR(INDEX($F$6:$F$2005,MATCH($Q232,WageIds,0)),""))</f>
        <v/>
      </c>
      <c r="T232">
        <f>IF(OR($P232="",$S232="",$S232="نامعتبر"),"",LEFT($S232,4)&amp;MID($S232,6,2)&amp;RIGHT($S232,2)&amp;"0000"&amp;"|"&amp;"2"&amp;RIGHT("00000"&amp;227,5))</f>
        <v/>
      </c>
      <c r="U232">
        <f>IF($T232="","",COUNTIFS(LdAParty,$P232,LdAType,1,LdAKey,"&lt;"&amp;$T232)+COUNTIFS(LdBMember,$P232,LdBKey,"&lt;"&amp;$T232)+COUNTIFS(LdCParty,$P232,LdCKey,"&lt;"&amp;$T232)+1)</f>
        <v/>
      </c>
      <c r="V232">
        <f>IF($U232="","",$P232&amp;"|"&amp;RIGHT("000000"&amp;$U232,6))</f>
        <v/>
      </c>
      <c r="W232">
        <f>IF($T232="","",COUNTIFS(LdBGroup,$R232,LdBKey,"&lt;"&amp;$T232)+1)</f>
        <v/>
      </c>
      <c r="X232">
        <f>IF($W232="","",$R232&amp;"|"&amp;RIGHT("000000"&amp;$W232,6))</f>
        <v/>
      </c>
      <c r="Y232">
        <f>IF($P232="","",IF(Shares!$E235="",0,Shares!$E235))</f>
        <v/>
      </c>
      <c r="Z232">
        <f>IF($P232="","",Shares!$H235)</f>
        <v/>
      </c>
      <c r="AE232">
        <f>IF(OR(Sync!$S232="",Sync!$P232=""),"",Sync!$S232)</f>
        <v/>
      </c>
      <c r="AF232">
        <f>IF($AE232="","",IF(ISNUMBER(Sync!$P232),IF(AND(Sync!$P232&gt;=10000101,Sync!$P232&lt;=99991231),INT(Sync!$P232/10000),""),IFERROR(VALUE(TRIM(LEFT(Sync!$P232,FIND("/",Sync!$P232)-1))),"")))</f>
        <v/>
      </c>
      <c r="AG232">
        <f>IF(OR($AE232="",$AF232=""),"",IF(ISNUMBER(Sync!$P232),INT(MOD(Sync!$P232,10000)/100),IFERROR(VALUE(TRIM(LEFT(MID(Sync!$P232,FIND("/",Sync!$P232)+1,20),FIND("/",MID(Sync!$P232,FIND("/",Sync!$P232)+1,20))-1))),"")))</f>
        <v/>
      </c>
      <c r="AH232">
        <f>IF(OR($AE232="",$AF232=""),"",IF(ISNUMBER(Sync!$P232),MOD(Sync!$P232,100),IFERROR(VALUE(TRIM(MID(MID(Sync!$P232,FIND("/",Sync!$P232)+1,20),FIND("/",MID(Sync!$P232,FIND("/",Sync!$P232)+1,20))+1,20))),"")))</f>
        <v/>
      </c>
      <c r="AI232">
        <f>IF($AE232="","",IF(OR($AF232="",$AG232="",$AH232="",$AF232&lt;1300,$AF232&gt;1500,$AG232&lt;1,$AG232&gt;12,$AH232&lt;1,$AH232&gt;31),"نامعتبر",RIGHT("0000"&amp;$AF232,4)&amp;"/"&amp;RIGHT("00"&amp;$AG232,2)&amp;"/"&amp;RIGHT("00"&amp;$AH232,2)))</f>
        <v/>
      </c>
      <c r="AJ232">
        <f>IF($AE232="","",IF(Sync!$Q232="","0000",IF(AND(ISNUMBER(Sync!$Q232),Sync!$Q232&gt;=0,Sync!$Q232&lt;1),RIGHT("00"&amp;HOUR(Sync!$Q232),2)&amp;RIGHT("00"&amp;MINUTE(Sync!$Q232),2),IFERROR(RIGHT("00"&amp;VALUE(LEFT(Sync!$Q232,FIND(":",Sync!$Q232)-1)),2)&amp;RIGHT("00"&amp;VALUE(MID(Sync!$Q232,FIND(":",Sync!$Q232)+1,2)),2),"0000"))))</f>
        <v/>
      </c>
      <c r="AK232">
        <f>IF(OR($AE232="",$AI232="",$AI232="نامعتبر"),"",LEFT($AI232,4)&amp;MID($AI232,6,2)&amp;RIGHT($AI232,2)&amp;$AJ232&amp;"|"&amp;"3"&amp;RIGHT("00000"&amp;227,5))</f>
        <v/>
      </c>
      <c r="AL232">
        <f>IF($AK232="","",COUNTIFS(LdAParty,$AE232,LdAType,1,LdAKey,"&lt;"&amp;$AK232)+COUNTIFS(LdBMember,$AE232,LdBKey,"&lt;"&amp;$AK232)+COUNTIFS(LdCParty,$AE232,LdCKey,"&lt;"&amp;$AK232)+1)</f>
        <v/>
      </c>
      <c r="AM232">
        <f>IF($AL232="","",$AE232&amp;"|"&amp;RIGHT("000000"&amp;$AL232,6))</f>
        <v/>
      </c>
      <c r="AN232">
        <f>IF($AE232="","",IF(Sync!$W232="",0,Sync!$W232))</f>
        <v/>
      </c>
      <c r="AO232">
        <f>IF($AE232="","",IF(Sync!$X232="",0,Sync!$X232))</f>
        <v/>
      </c>
      <c r="AP232">
        <f>IF($AE232="","",Sync!$R232)</f>
        <v/>
      </c>
      <c r="AQ232">
        <f>IF($AE232="","",Sync!$Y232)</f>
        <v/>
      </c>
    </row>
    <row r="233">
      <c r="A233">
        <f>IF(OR(Wages!$B236="",Wages!$E236=""),"",Wages!$E236)</f>
        <v/>
      </c>
      <c r="B233">
        <f>IF($A233="","",IF(Wages!$C236="دستمزد گروهی",2,1))</f>
        <v/>
      </c>
      <c r="C233">
        <f>IF($A233="","",IF(ISNUMBER(Wages!$B236),IF(AND(Wages!$B236&gt;=10000101,Wages!$B236&lt;=99991231),INT(Wages!$B236/10000),""),IFERROR(VALUE(TRIM(LEFT(Wages!$B236,FIND("/",Wages!$B236)-1))),"")))</f>
        <v/>
      </c>
      <c r="D233">
        <f>IF(OR($A233="",$C233=""),"",IF(ISNUMBER(Wages!$B236),INT(MOD(Wages!$B236,10000)/100),IFERROR(VALUE(TRIM(LEFT(MID(Wages!$B236,FIND("/",Wages!$B236)+1,20),FIND("/",MID(Wages!$B236,FIND("/",Wages!$B236)+1,20))-1))),"")))</f>
        <v/>
      </c>
      <c r="E233">
        <f>IF(OR($A233="",$C233=""),"",IF(ISNUMBER(Wages!$B236),MOD(Wages!$B236,100),IFERROR(VALUE(TRIM(MID(MID(Wages!$B236,FIND("/",Wages!$B236)+1,20),FIND("/",MID(Wages!$B236,FIND("/",Wages!$B236)+1,20))+1,20))),"")))</f>
        <v/>
      </c>
      <c r="F233">
        <f>IF($A233="","",IF(OR($C233="",$D233="",$E233="",$C233&lt;1300,$C233&gt;1500,$D233&lt;1,$D233&gt;12,$E233&lt;1,$E233&gt;31),"نامعتبر",RIGHT("0000"&amp;$C233,4)&amp;"/"&amp;RIGHT("00"&amp;$D233,2)&amp;"/"&amp;RIGHT("00"&amp;$E233,2)))</f>
        <v/>
      </c>
      <c r="G233">
        <f>IF(OR($A233="",$F233="",$F233="نامعتبر"),"",LEFT($F233,4)&amp;MID($F233,6,2)&amp;RIGHT($F233,2)&amp;"0000"&amp;"|"&amp;"1"&amp;RIGHT("00000"&amp;228,5))</f>
        <v/>
      </c>
      <c r="H233">
        <f>IF(OR($B233&lt;&gt;1,$G233=""),"",COUNTIFS(LdAParty,$A233,LdAType,1,LdAKey,"&lt;"&amp;$G233)+COUNTIFS(LdBMember,$A233,LdBKey,"&lt;"&amp;$G233)+COUNTIFS(LdCParty,$A233,LdCKey,"&lt;"&amp;$G233)+1)</f>
        <v/>
      </c>
      <c r="I233">
        <f>IF($H233="","",$A233&amp;"|"&amp;RIGHT("000000"&amp;$H233,6))</f>
        <v/>
      </c>
      <c r="J233">
        <f>IF(OR($B233&lt;&gt;2,$G233=""),"",COUNTIFS(LdAParty,$A233,LdAType,2,LdAKey,"&lt;"&amp;$G233)+1)</f>
        <v/>
      </c>
      <c r="K233">
        <f>IF($J233="","",$A233&amp;"|"&amp;RIGHT("000000"&amp;$J233,6))</f>
        <v/>
      </c>
      <c r="L233">
        <f>IF($A233="","",IF(Wages!$G236="",0,Wages!$G236))</f>
        <v/>
      </c>
      <c r="M233">
        <f>IF($A233="","",Wages!$J236)</f>
        <v/>
      </c>
      <c r="N233">
        <f>IF($A233="","",Wages!$D236)</f>
        <v/>
      </c>
      <c r="P233">
        <f>IF(OR(Shares!$B236="",Shares!$C236=""),"",Shares!$C236)</f>
        <v/>
      </c>
      <c r="Q233">
        <f>IF($P233="","",Shares!$B236)</f>
        <v/>
      </c>
      <c r="R233">
        <f>IF($P233="","",IFERROR(INDEX(WageParty,MATCH($Q233,WageIds,0)),""))</f>
        <v/>
      </c>
      <c r="S233">
        <f>IF($P233="","",IFERROR(INDEX($F$6:$F$2005,MATCH($Q233,WageIds,0)),""))</f>
        <v/>
      </c>
      <c r="T233">
        <f>IF(OR($P233="",$S233="",$S233="نامعتبر"),"",LEFT($S233,4)&amp;MID($S233,6,2)&amp;RIGHT($S233,2)&amp;"0000"&amp;"|"&amp;"2"&amp;RIGHT("00000"&amp;228,5))</f>
        <v/>
      </c>
      <c r="U233">
        <f>IF($T233="","",COUNTIFS(LdAParty,$P233,LdAType,1,LdAKey,"&lt;"&amp;$T233)+COUNTIFS(LdBMember,$P233,LdBKey,"&lt;"&amp;$T233)+COUNTIFS(LdCParty,$P233,LdCKey,"&lt;"&amp;$T233)+1)</f>
        <v/>
      </c>
      <c r="V233">
        <f>IF($U233="","",$P233&amp;"|"&amp;RIGHT("000000"&amp;$U233,6))</f>
        <v/>
      </c>
      <c r="W233">
        <f>IF($T233="","",COUNTIFS(LdBGroup,$R233,LdBKey,"&lt;"&amp;$T233)+1)</f>
        <v/>
      </c>
      <c r="X233">
        <f>IF($W233="","",$R233&amp;"|"&amp;RIGHT("000000"&amp;$W233,6))</f>
        <v/>
      </c>
      <c r="Y233">
        <f>IF($P233="","",IF(Shares!$E236="",0,Shares!$E236))</f>
        <v/>
      </c>
      <c r="Z233">
        <f>IF($P233="","",Shares!$H236)</f>
        <v/>
      </c>
      <c r="AE233">
        <f>IF(OR(Sync!$S233="",Sync!$P233=""),"",Sync!$S233)</f>
        <v/>
      </c>
      <c r="AF233">
        <f>IF($AE233="","",IF(ISNUMBER(Sync!$P233),IF(AND(Sync!$P233&gt;=10000101,Sync!$P233&lt;=99991231),INT(Sync!$P233/10000),""),IFERROR(VALUE(TRIM(LEFT(Sync!$P233,FIND("/",Sync!$P233)-1))),"")))</f>
        <v/>
      </c>
      <c r="AG233">
        <f>IF(OR($AE233="",$AF233=""),"",IF(ISNUMBER(Sync!$P233),INT(MOD(Sync!$P233,10000)/100),IFERROR(VALUE(TRIM(LEFT(MID(Sync!$P233,FIND("/",Sync!$P233)+1,20),FIND("/",MID(Sync!$P233,FIND("/",Sync!$P233)+1,20))-1))),"")))</f>
        <v/>
      </c>
      <c r="AH233">
        <f>IF(OR($AE233="",$AF233=""),"",IF(ISNUMBER(Sync!$P233),MOD(Sync!$P233,100),IFERROR(VALUE(TRIM(MID(MID(Sync!$P233,FIND("/",Sync!$P233)+1,20),FIND("/",MID(Sync!$P233,FIND("/",Sync!$P233)+1,20))+1,20))),"")))</f>
        <v/>
      </c>
      <c r="AI233">
        <f>IF($AE233="","",IF(OR($AF233="",$AG233="",$AH233="",$AF233&lt;1300,$AF233&gt;1500,$AG233&lt;1,$AG233&gt;12,$AH233&lt;1,$AH233&gt;31),"نامعتبر",RIGHT("0000"&amp;$AF233,4)&amp;"/"&amp;RIGHT("00"&amp;$AG233,2)&amp;"/"&amp;RIGHT("00"&amp;$AH233,2)))</f>
        <v/>
      </c>
      <c r="AJ233">
        <f>IF($AE233="","",IF(Sync!$Q233="","0000",IF(AND(ISNUMBER(Sync!$Q233),Sync!$Q233&gt;=0,Sync!$Q233&lt;1),RIGHT("00"&amp;HOUR(Sync!$Q233),2)&amp;RIGHT("00"&amp;MINUTE(Sync!$Q233),2),IFERROR(RIGHT("00"&amp;VALUE(LEFT(Sync!$Q233,FIND(":",Sync!$Q233)-1)),2)&amp;RIGHT("00"&amp;VALUE(MID(Sync!$Q233,FIND(":",Sync!$Q233)+1,2)),2),"0000"))))</f>
        <v/>
      </c>
      <c r="AK233">
        <f>IF(OR($AE233="",$AI233="",$AI233="نامعتبر"),"",LEFT($AI233,4)&amp;MID($AI233,6,2)&amp;RIGHT($AI233,2)&amp;$AJ233&amp;"|"&amp;"3"&amp;RIGHT("00000"&amp;228,5))</f>
        <v/>
      </c>
      <c r="AL233">
        <f>IF($AK233="","",COUNTIFS(LdAParty,$AE233,LdAType,1,LdAKey,"&lt;"&amp;$AK233)+COUNTIFS(LdBMember,$AE233,LdBKey,"&lt;"&amp;$AK233)+COUNTIFS(LdCParty,$AE233,LdCKey,"&lt;"&amp;$AK233)+1)</f>
        <v/>
      </c>
      <c r="AM233">
        <f>IF($AL233="","",$AE233&amp;"|"&amp;RIGHT("000000"&amp;$AL233,6))</f>
        <v/>
      </c>
      <c r="AN233">
        <f>IF($AE233="","",IF(Sync!$W233="",0,Sync!$W233))</f>
        <v/>
      </c>
      <c r="AO233">
        <f>IF($AE233="","",IF(Sync!$X233="",0,Sync!$X233))</f>
        <v/>
      </c>
      <c r="AP233">
        <f>IF($AE233="","",Sync!$R233)</f>
        <v/>
      </c>
      <c r="AQ233">
        <f>IF($AE233="","",Sync!$Y233)</f>
        <v/>
      </c>
    </row>
    <row r="234">
      <c r="A234">
        <f>IF(OR(Wages!$B237="",Wages!$E237=""),"",Wages!$E237)</f>
        <v/>
      </c>
      <c r="B234">
        <f>IF($A234="","",IF(Wages!$C237="دستمزد گروهی",2,1))</f>
        <v/>
      </c>
      <c r="C234">
        <f>IF($A234="","",IF(ISNUMBER(Wages!$B237),IF(AND(Wages!$B237&gt;=10000101,Wages!$B237&lt;=99991231),INT(Wages!$B237/10000),""),IFERROR(VALUE(TRIM(LEFT(Wages!$B237,FIND("/",Wages!$B237)-1))),"")))</f>
        <v/>
      </c>
      <c r="D234">
        <f>IF(OR($A234="",$C234=""),"",IF(ISNUMBER(Wages!$B237),INT(MOD(Wages!$B237,10000)/100),IFERROR(VALUE(TRIM(LEFT(MID(Wages!$B237,FIND("/",Wages!$B237)+1,20),FIND("/",MID(Wages!$B237,FIND("/",Wages!$B237)+1,20))-1))),"")))</f>
        <v/>
      </c>
      <c r="E234">
        <f>IF(OR($A234="",$C234=""),"",IF(ISNUMBER(Wages!$B237),MOD(Wages!$B237,100),IFERROR(VALUE(TRIM(MID(MID(Wages!$B237,FIND("/",Wages!$B237)+1,20),FIND("/",MID(Wages!$B237,FIND("/",Wages!$B237)+1,20))+1,20))),"")))</f>
        <v/>
      </c>
      <c r="F234">
        <f>IF($A234="","",IF(OR($C234="",$D234="",$E234="",$C234&lt;1300,$C234&gt;1500,$D234&lt;1,$D234&gt;12,$E234&lt;1,$E234&gt;31),"نامعتبر",RIGHT("0000"&amp;$C234,4)&amp;"/"&amp;RIGHT("00"&amp;$D234,2)&amp;"/"&amp;RIGHT("00"&amp;$E234,2)))</f>
        <v/>
      </c>
      <c r="G234">
        <f>IF(OR($A234="",$F234="",$F234="نامعتبر"),"",LEFT($F234,4)&amp;MID($F234,6,2)&amp;RIGHT($F234,2)&amp;"0000"&amp;"|"&amp;"1"&amp;RIGHT("00000"&amp;229,5))</f>
        <v/>
      </c>
      <c r="H234">
        <f>IF(OR($B234&lt;&gt;1,$G234=""),"",COUNTIFS(LdAParty,$A234,LdAType,1,LdAKey,"&lt;"&amp;$G234)+COUNTIFS(LdBMember,$A234,LdBKey,"&lt;"&amp;$G234)+COUNTIFS(LdCParty,$A234,LdCKey,"&lt;"&amp;$G234)+1)</f>
        <v/>
      </c>
      <c r="I234">
        <f>IF($H234="","",$A234&amp;"|"&amp;RIGHT("000000"&amp;$H234,6))</f>
        <v/>
      </c>
      <c r="J234">
        <f>IF(OR($B234&lt;&gt;2,$G234=""),"",COUNTIFS(LdAParty,$A234,LdAType,2,LdAKey,"&lt;"&amp;$G234)+1)</f>
        <v/>
      </c>
      <c r="K234">
        <f>IF($J234="","",$A234&amp;"|"&amp;RIGHT("000000"&amp;$J234,6))</f>
        <v/>
      </c>
      <c r="L234">
        <f>IF($A234="","",IF(Wages!$G237="",0,Wages!$G237))</f>
        <v/>
      </c>
      <c r="M234">
        <f>IF($A234="","",Wages!$J237)</f>
        <v/>
      </c>
      <c r="N234">
        <f>IF($A234="","",Wages!$D237)</f>
        <v/>
      </c>
      <c r="P234">
        <f>IF(OR(Shares!$B237="",Shares!$C237=""),"",Shares!$C237)</f>
        <v/>
      </c>
      <c r="Q234">
        <f>IF($P234="","",Shares!$B237)</f>
        <v/>
      </c>
      <c r="R234">
        <f>IF($P234="","",IFERROR(INDEX(WageParty,MATCH($Q234,WageIds,0)),""))</f>
        <v/>
      </c>
      <c r="S234">
        <f>IF($P234="","",IFERROR(INDEX($F$6:$F$2005,MATCH($Q234,WageIds,0)),""))</f>
        <v/>
      </c>
      <c r="T234">
        <f>IF(OR($P234="",$S234="",$S234="نامعتبر"),"",LEFT($S234,4)&amp;MID($S234,6,2)&amp;RIGHT($S234,2)&amp;"0000"&amp;"|"&amp;"2"&amp;RIGHT("00000"&amp;229,5))</f>
        <v/>
      </c>
      <c r="U234">
        <f>IF($T234="","",COUNTIFS(LdAParty,$P234,LdAType,1,LdAKey,"&lt;"&amp;$T234)+COUNTIFS(LdBMember,$P234,LdBKey,"&lt;"&amp;$T234)+COUNTIFS(LdCParty,$P234,LdCKey,"&lt;"&amp;$T234)+1)</f>
        <v/>
      </c>
      <c r="V234">
        <f>IF($U234="","",$P234&amp;"|"&amp;RIGHT("000000"&amp;$U234,6))</f>
        <v/>
      </c>
      <c r="W234">
        <f>IF($T234="","",COUNTIFS(LdBGroup,$R234,LdBKey,"&lt;"&amp;$T234)+1)</f>
        <v/>
      </c>
      <c r="X234">
        <f>IF($W234="","",$R234&amp;"|"&amp;RIGHT("000000"&amp;$W234,6))</f>
        <v/>
      </c>
      <c r="Y234">
        <f>IF($P234="","",IF(Shares!$E237="",0,Shares!$E237))</f>
        <v/>
      </c>
      <c r="Z234">
        <f>IF($P234="","",Shares!$H237)</f>
        <v/>
      </c>
      <c r="AE234">
        <f>IF(OR(Sync!$S234="",Sync!$P234=""),"",Sync!$S234)</f>
        <v/>
      </c>
      <c r="AF234">
        <f>IF($AE234="","",IF(ISNUMBER(Sync!$P234),IF(AND(Sync!$P234&gt;=10000101,Sync!$P234&lt;=99991231),INT(Sync!$P234/10000),""),IFERROR(VALUE(TRIM(LEFT(Sync!$P234,FIND("/",Sync!$P234)-1))),"")))</f>
        <v/>
      </c>
      <c r="AG234">
        <f>IF(OR($AE234="",$AF234=""),"",IF(ISNUMBER(Sync!$P234),INT(MOD(Sync!$P234,10000)/100),IFERROR(VALUE(TRIM(LEFT(MID(Sync!$P234,FIND("/",Sync!$P234)+1,20),FIND("/",MID(Sync!$P234,FIND("/",Sync!$P234)+1,20))-1))),"")))</f>
        <v/>
      </c>
      <c r="AH234">
        <f>IF(OR($AE234="",$AF234=""),"",IF(ISNUMBER(Sync!$P234),MOD(Sync!$P234,100),IFERROR(VALUE(TRIM(MID(MID(Sync!$P234,FIND("/",Sync!$P234)+1,20),FIND("/",MID(Sync!$P234,FIND("/",Sync!$P234)+1,20))+1,20))),"")))</f>
        <v/>
      </c>
      <c r="AI234">
        <f>IF($AE234="","",IF(OR($AF234="",$AG234="",$AH234="",$AF234&lt;1300,$AF234&gt;1500,$AG234&lt;1,$AG234&gt;12,$AH234&lt;1,$AH234&gt;31),"نامعتبر",RIGHT("0000"&amp;$AF234,4)&amp;"/"&amp;RIGHT("00"&amp;$AG234,2)&amp;"/"&amp;RIGHT("00"&amp;$AH234,2)))</f>
        <v/>
      </c>
      <c r="AJ234">
        <f>IF($AE234="","",IF(Sync!$Q234="","0000",IF(AND(ISNUMBER(Sync!$Q234),Sync!$Q234&gt;=0,Sync!$Q234&lt;1),RIGHT("00"&amp;HOUR(Sync!$Q234),2)&amp;RIGHT("00"&amp;MINUTE(Sync!$Q234),2),IFERROR(RIGHT("00"&amp;VALUE(LEFT(Sync!$Q234,FIND(":",Sync!$Q234)-1)),2)&amp;RIGHT("00"&amp;VALUE(MID(Sync!$Q234,FIND(":",Sync!$Q234)+1,2)),2),"0000"))))</f>
        <v/>
      </c>
      <c r="AK234">
        <f>IF(OR($AE234="",$AI234="",$AI234="نامعتبر"),"",LEFT($AI234,4)&amp;MID($AI234,6,2)&amp;RIGHT($AI234,2)&amp;$AJ234&amp;"|"&amp;"3"&amp;RIGHT("00000"&amp;229,5))</f>
        <v/>
      </c>
      <c r="AL234">
        <f>IF($AK234="","",COUNTIFS(LdAParty,$AE234,LdAType,1,LdAKey,"&lt;"&amp;$AK234)+COUNTIFS(LdBMember,$AE234,LdBKey,"&lt;"&amp;$AK234)+COUNTIFS(LdCParty,$AE234,LdCKey,"&lt;"&amp;$AK234)+1)</f>
        <v/>
      </c>
      <c r="AM234">
        <f>IF($AL234="","",$AE234&amp;"|"&amp;RIGHT("000000"&amp;$AL234,6))</f>
        <v/>
      </c>
      <c r="AN234">
        <f>IF($AE234="","",IF(Sync!$W234="",0,Sync!$W234))</f>
        <v/>
      </c>
      <c r="AO234">
        <f>IF($AE234="","",IF(Sync!$X234="",0,Sync!$X234))</f>
        <v/>
      </c>
      <c r="AP234">
        <f>IF($AE234="","",Sync!$R234)</f>
        <v/>
      </c>
      <c r="AQ234">
        <f>IF($AE234="","",Sync!$Y234)</f>
        <v/>
      </c>
    </row>
    <row r="235">
      <c r="A235">
        <f>IF(OR(Wages!$B238="",Wages!$E238=""),"",Wages!$E238)</f>
        <v/>
      </c>
      <c r="B235">
        <f>IF($A235="","",IF(Wages!$C238="دستمزد گروهی",2,1))</f>
        <v/>
      </c>
      <c r="C235">
        <f>IF($A235="","",IF(ISNUMBER(Wages!$B238),IF(AND(Wages!$B238&gt;=10000101,Wages!$B238&lt;=99991231),INT(Wages!$B238/10000),""),IFERROR(VALUE(TRIM(LEFT(Wages!$B238,FIND("/",Wages!$B238)-1))),"")))</f>
        <v/>
      </c>
      <c r="D235">
        <f>IF(OR($A235="",$C235=""),"",IF(ISNUMBER(Wages!$B238),INT(MOD(Wages!$B238,10000)/100),IFERROR(VALUE(TRIM(LEFT(MID(Wages!$B238,FIND("/",Wages!$B238)+1,20),FIND("/",MID(Wages!$B238,FIND("/",Wages!$B238)+1,20))-1))),"")))</f>
        <v/>
      </c>
      <c r="E235">
        <f>IF(OR($A235="",$C235=""),"",IF(ISNUMBER(Wages!$B238),MOD(Wages!$B238,100),IFERROR(VALUE(TRIM(MID(MID(Wages!$B238,FIND("/",Wages!$B238)+1,20),FIND("/",MID(Wages!$B238,FIND("/",Wages!$B238)+1,20))+1,20))),"")))</f>
        <v/>
      </c>
      <c r="F235">
        <f>IF($A235="","",IF(OR($C235="",$D235="",$E235="",$C235&lt;1300,$C235&gt;1500,$D235&lt;1,$D235&gt;12,$E235&lt;1,$E235&gt;31),"نامعتبر",RIGHT("0000"&amp;$C235,4)&amp;"/"&amp;RIGHT("00"&amp;$D235,2)&amp;"/"&amp;RIGHT("00"&amp;$E235,2)))</f>
        <v/>
      </c>
      <c r="G235">
        <f>IF(OR($A235="",$F235="",$F235="نامعتبر"),"",LEFT($F235,4)&amp;MID($F235,6,2)&amp;RIGHT($F235,2)&amp;"0000"&amp;"|"&amp;"1"&amp;RIGHT("00000"&amp;230,5))</f>
        <v/>
      </c>
      <c r="H235">
        <f>IF(OR($B235&lt;&gt;1,$G235=""),"",COUNTIFS(LdAParty,$A235,LdAType,1,LdAKey,"&lt;"&amp;$G235)+COUNTIFS(LdBMember,$A235,LdBKey,"&lt;"&amp;$G235)+COUNTIFS(LdCParty,$A235,LdCKey,"&lt;"&amp;$G235)+1)</f>
        <v/>
      </c>
      <c r="I235">
        <f>IF($H235="","",$A235&amp;"|"&amp;RIGHT("000000"&amp;$H235,6))</f>
        <v/>
      </c>
      <c r="J235">
        <f>IF(OR($B235&lt;&gt;2,$G235=""),"",COUNTIFS(LdAParty,$A235,LdAType,2,LdAKey,"&lt;"&amp;$G235)+1)</f>
        <v/>
      </c>
      <c r="K235">
        <f>IF($J235="","",$A235&amp;"|"&amp;RIGHT("000000"&amp;$J235,6))</f>
        <v/>
      </c>
      <c r="L235">
        <f>IF($A235="","",IF(Wages!$G238="",0,Wages!$G238))</f>
        <v/>
      </c>
      <c r="M235">
        <f>IF($A235="","",Wages!$J238)</f>
        <v/>
      </c>
      <c r="N235">
        <f>IF($A235="","",Wages!$D238)</f>
        <v/>
      </c>
      <c r="P235">
        <f>IF(OR(Shares!$B238="",Shares!$C238=""),"",Shares!$C238)</f>
        <v/>
      </c>
      <c r="Q235">
        <f>IF($P235="","",Shares!$B238)</f>
        <v/>
      </c>
      <c r="R235">
        <f>IF($P235="","",IFERROR(INDEX(WageParty,MATCH($Q235,WageIds,0)),""))</f>
        <v/>
      </c>
      <c r="S235">
        <f>IF($P235="","",IFERROR(INDEX($F$6:$F$2005,MATCH($Q235,WageIds,0)),""))</f>
        <v/>
      </c>
      <c r="T235">
        <f>IF(OR($P235="",$S235="",$S235="نامعتبر"),"",LEFT($S235,4)&amp;MID($S235,6,2)&amp;RIGHT($S235,2)&amp;"0000"&amp;"|"&amp;"2"&amp;RIGHT("00000"&amp;230,5))</f>
        <v/>
      </c>
      <c r="U235">
        <f>IF($T235="","",COUNTIFS(LdAParty,$P235,LdAType,1,LdAKey,"&lt;"&amp;$T235)+COUNTIFS(LdBMember,$P235,LdBKey,"&lt;"&amp;$T235)+COUNTIFS(LdCParty,$P235,LdCKey,"&lt;"&amp;$T235)+1)</f>
        <v/>
      </c>
      <c r="V235">
        <f>IF($U235="","",$P235&amp;"|"&amp;RIGHT("000000"&amp;$U235,6))</f>
        <v/>
      </c>
      <c r="W235">
        <f>IF($T235="","",COUNTIFS(LdBGroup,$R235,LdBKey,"&lt;"&amp;$T235)+1)</f>
        <v/>
      </c>
      <c r="X235">
        <f>IF($W235="","",$R235&amp;"|"&amp;RIGHT("000000"&amp;$W235,6))</f>
        <v/>
      </c>
      <c r="Y235">
        <f>IF($P235="","",IF(Shares!$E238="",0,Shares!$E238))</f>
        <v/>
      </c>
      <c r="Z235">
        <f>IF($P235="","",Shares!$H238)</f>
        <v/>
      </c>
      <c r="AE235">
        <f>IF(OR(Sync!$S235="",Sync!$P235=""),"",Sync!$S235)</f>
        <v/>
      </c>
      <c r="AF235">
        <f>IF($AE235="","",IF(ISNUMBER(Sync!$P235),IF(AND(Sync!$P235&gt;=10000101,Sync!$P235&lt;=99991231),INT(Sync!$P235/10000),""),IFERROR(VALUE(TRIM(LEFT(Sync!$P235,FIND("/",Sync!$P235)-1))),"")))</f>
        <v/>
      </c>
      <c r="AG235">
        <f>IF(OR($AE235="",$AF235=""),"",IF(ISNUMBER(Sync!$P235),INT(MOD(Sync!$P235,10000)/100),IFERROR(VALUE(TRIM(LEFT(MID(Sync!$P235,FIND("/",Sync!$P235)+1,20),FIND("/",MID(Sync!$P235,FIND("/",Sync!$P235)+1,20))-1))),"")))</f>
        <v/>
      </c>
      <c r="AH235">
        <f>IF(OR($AE235="",$AF235=""),"",IF(ISNUMBER(Sync!$P235),MOD(Sync!$P235,100),IFERROR(VALUE(TRIM(MID(MID(Sync!$P235,FIND("/",Sync!$P235)+1,20),FIND("/",MID(Sync!$P235,FIND("/",Sync!$P235)+1,20))+1,20))),"")))</f>
        <v/>
      </c>
      <c r="AI235">
        <f>IF($AE235="","",IF(OR($AF235="",$AG235="",$AH235="",$AF235&lt;1300,$AF235&gt;1500,$AG235&lt;1,$AG235&gt;12,$AH235&lt;1,$AH235&gt;31),"نامعتبر",RIGHT("0000"&amp;$AF235,4)&amp;"/"&amp;RIGHT("00"&amp;$AG235,2)&amp;"/"&amp;RIGHT("00"&amp;$AH235,2)))</f>
        <v/>
      </c>
      <c r="AJ235">
        <f>IF($AE235="","",IF(Sync!$Q235="","0000",IF(AND(ISNUMBER(Sync!$Q235),Sync!$Q235&gt;=0,Sync!$Q235&lt;1),RIGHT("00"&amp;HOUR(Sync!$Q235),2)&amp;RIGHT("00"&amp;MINUTE(Sync!$Q235),2),IFERROR(RIGHT("00"&amp;VALUE(LEFT(Sync!$Q235,FIND(":",Sync!$Q235)-1)),2)&amp;RIGHT("00"&amp;VALUE(MID(Sync!$Q235,FIND(":",Sync!$Q235)+1,2)),2),"0000"))))</f>
        <v/>
      </c>
      <c r="AK235">
        <f>IF(OR($AE235="",$AI235="",$AI235="نامعتبر"),"",LEFT($AI235,4)&amp;MID($AI235,6,2)&amp;RIGHT($AI235,2)&amp;$AJ235&amp;"|"&amp;"3"&amp;RIGHT("00000"&amp;230,5))</f>
        <v/>
      </c>
      <c r="AL235">
        <f>IF($AK235="","",COUNTIFS(LdAParty,$AE235,LdAType,1,LdAKey,"&lt;"&amp;$AK235)+COUNTIFS(LdBMember,$AE235,LdBKey,"&lt;"&amp;$AK235)+COUNTIFS(LdCParty,$AE235,LdCKey,"&lt;"&amp;$AK235)+1)</f>
        <v/>
      </c>
      <c r="AM235">
        <f>IF($AL235="","",$AE235&amp;"|"&amp;RIGHT("000000"&amp;$AL235,6))</f>
        <v/>
      </c>
      <c r="AN235">
        <f>IF($AE235="","",IF(Sync!$W235="",0,Sync!$W235))</f>
        <v/>
      </c>
      <c r="AO235">
        <f>IF($AE235="","",IF(Sync!$X235="",0,Sync!$X235))</f>
        <v/>
      </c>
      <c r="AP235">
        <f>IF($AE235="","",Sync!$R235)</f>
        <v/>
      </c>
      <c r="AQ235">
        <f>IF($AE235="","",Sync!$Y235)</f>
        <v/>
      </c>
    </row>
    <row r="236">
      <c r="A236">
        <f>IF(OR(Wages!$B239="",Wages!$E239=""),"",Wages!$E239)</f>
        <v/>
      </c>
      <c r="B236">
        <f>IF($A236="","",IF(Wages!$C239="دستمزد گروهی",2,1))</f>
        <v/>
      </c>
      <c r="C236">
        <f>IF($A236="","",IF(ISNUMBER(Wages!$B239),IF(AND(Wages!$B239&gt;=10000101,Wages!$B239&lt;=99991231),INT(Wages!$B239/10000),""),IFERROR(VALUE(TRIM(LEFT(Wages!$B239,FIND("/",Wages!$B239)-1))),"")))</f>
        <v/>
      </c>
      <c r="D236">
        <f>IF(OR($A236="",$C236=""),"",IF(ISNUMBER(Wages!$B239),INT(MOD(Wages!$B239,10000)/100),IFERROR(VALUE(TRIM(LEFT(MID(Wages!$B239,FIND("/",Wages!$B239)+1,20),FIND("/",MID(Wages!$B239,FIND("/",Wages!$B239)+1,20))-1))),"")))</f>
        <v/>
      </c>
      <c r="E236">
        <f>IF(OR($A236="",$C236=""),"",IF(ISNUMBER(Wages!$B239),MOD(Wages!$B239,100),IFERROR(VALUE(TRIM(MID(MID(Wages!$B239,FIND("/",Wages!$B239)+1,20),FIND("/",MID(Wages!$B239,FIND("/",Wages!$B239)+1,20))+1,20))),"")))</f>
        <v/>
      </c>
      <c r="F236">
        <f>IF($A236="","",IF(OR($C236="",$D236="",$E236="",$C236&lt;1300,$C236&gt;1500,$D236&lt;1,$D236&gt;12,$E236&lt;1,$E236&gt;31),"نامعتبر",RIGHT("0000"&amp;$C236,4)&amp;"/"&amp;RIGHT("00"&amp;$D236,2)&amp;"/"&amp;RIGHT("00"&amp;$E236,2)))</f>
        <v/>
      </c>
      <c r="G236">
        <f>IF(OR($A236="",$F236="",$F236="نامعتبر"),"",LEFT($F236,4)&amp;MID($F236,6,2)&amp;RIGHT($F236,2)&amp;"0000"&amp;"|"&amp;"1"&amp;RIGHT("00000"&amp;231,5))</f>
        <v/>
      </c>
      <c r="H236">
        <f>IF(OR($B236&lt;&gt;1,$G236=""),"",COUNTIFS(LdAParty,$A236,LdAType,1,LdAKey,"&lt;"&amp;$G236)+COUNTIFS(LdBMember,$A236,LdBKey,"&lt;"&amp;$G236)+COUNTIFS(LdCParty,$A236,LdCKey,"&lt;"&amp;$G236)+1)</f>
        <v/>
      </c>
      <c r="I236">
        <f>IF($H236="","",$A236&amp;"|"&amp;RIGHT("000000"&amp;$H236,6))</f>
        <v/>
      </c>
      <c r="J236">
        <f>IF(OR($B236&lt;&gt;2,$G236=""),"",COUNTIFS(LdAParty,$A236,LdAType,2,LdAKey,"&lt;"&amp;$G236)+1)</f>
        <v/>
      </c>
      <c r="K236">
        <f>IF($J236="","",$A236&amp;"|"&amp;RIGHT("000000"&amp;$J236,6))</f>
        <v/>
      </c>
      <c r="L236">
        <f>IF($A236="","",IF(Wages!$G239="",0,Wages!$G239))</f>
        <v/>
      </c>
      <c r="M236">
        <f>IF($A236="","",Wages!$J239)</f>
        <v/>
      </c>
      <c r="N236">
        <f>IF($A236="","",Wages!$D239)</f>
        <v/>
      </c>
      <c r="P236">
        <f>IF(OR(Shares!$B239="",Shares!$C239=""),"",Shares!$C239)</f>
        <v/>
      </c>
      <c r="Q236">
        <f>IF($P236="","",Shares!$B239)</f>
        <v/>
      </c>
      <c r="R236">
        <f>IF($P236="","",IFERROR(INDEX(WageParty,MATCH($Q236,WageIds,0)),""))</f>
        <v/>
      </c>
      <c r="S236">
        <f>IF($P236="","",IFERROR(INDEX($F$6:$F$2005,MATCH($Q236,WageIds,0)),""))</f>
        <v/>
      </c>
      <c r="T236">
        <f>IF(OR($P236="",$S236="",$S236="نامعتبر"),"",LEFT($S236,4)&amp;MID($S236,6,2)&amp;RIGHT($S236,2)&amp;"0000"&amp;"|"&amp;"2"&amp;RIGHT("00000"&amp;231,5))</f>
        <v/>
      </c>
      <c r="U236">
        <f>IF($T236="","",COUNTIFS(LdAParty,$P236,LdAType,1,LdAKey,"&lt;"&amp;$T236)+COUNTIFS(LdBMember,$P236,LdBKey,"&lt;"&amp;$T236)+COUNTIFS(LdCParty,$P236,LdCKey,"&lt;"&amp;$T236)+1)</f>
        <v/>
      </c>
      <c r="V236">
        <f>IF($U236="","",$P236&amp;"|"&amp;RIGHT("000000"&amp;$U236,6))</f>
        <v/>
      </c>
      <c r="W236">
        <f>IF($T236="","",COUNTIFS(LdBGroup,$R236,LdBKey,"&lt;"&amp;$T236)+1)</f>
        <v/>
      </c>
      <c r="X236">
        <f>IF($W236="","",$R236&amp;"|"&amp;RIGHT("000000"&amp;$W236,6))</f>
        <v/>
      </c>
      <c r="Y236">
        <f>IF($P236="","",IF(Shares!$E239="",0,Shares!$E239))</f>
        <v/>
      </c>
      <c r="Z236">
        <f>IF($P236="","",Shares!$H239)</f>
        <v/>
      </c>
      <c r="AE236">
        <f>IF(OR(Sync!$S236="",Sync!$P236=""),"",Sync!$S236)</f>
        <v/>
      </c>
      <c r="AF236">
        <f>IF($AE236="","",IF(ISNUMBER(Sync!$P236),IF(AND(Sync!$P236&gt;=10000101,Sync!$P236&lt;=99991231),INT(Sync!$P236/10000),""),IFERROR(VALUE(TRIM(LEFT(Sync!$P236,FIND("/",Sync!$P236)-1))),"")))</f>
        <v/>
      </c>
      <c r="AG236">
        <f>IF(OR($AE236="",$AF236=""),"",IF(ISNUMBER(Sync!$P236),INT(MOD(Sync!$P236,10000)/100),IFERROR(VALUE(TRIM(LEFT(MID(Sync!$P236,FIND("/",Sync!$P236)+1,20),FIND("/",MID(Sync!$P236,FIND("/",Sync!$P236)+1,20))-1))),"")))</f>
        <v/>
      </c>
      <c r="AH236">
        <f>IF(OR($AE236="",$AF236=""),"",IF(ISNUMBER(Sync!$P236),MOD(Sync!$P236,100),IFERROR(VALUE(TRIM(MID(MID(Sync!$P236,FIND("/",Sync!$P236)+1,20),FIND("/",MID(Sync!$P236,FIND("/",Sync!$P236)+1,20))+1,20))),"")))</f>
        <v/>
      </c>
      <c r="AI236">
        <f>IF($AE236="","",IF(OR($AF236="",$AG236="",$AH236="",$AF236&lt;1300,$AF236&gt;1500,$AG236&lt;1,$AG236&gt;12,$AH236&lt;1,$AH236&gt;31),"نامعتبر",RIGHT("0000"&amp;$AF236,4)&amp;"/"&amp;RIGHT("00"&amp;$AG236,2)&amp;"/"&amp;RIGHT("00"&amp;$AH236,2)))</f>
        <v/>
      </c>
      <c r="AJ236">
        <f>IF($AE236="","",IF(Sync!$Q236="","0000",IF(AND(ISNUMBER(Sync!$Q236),Sync!$Q236&gt;=0,Sync!$Q236&lt;1),RIGHT("00"&amp;HOUR(Sync!$Q236),2)&amp;RIGHT("00"&amp;MINUTE(Sync!$Q236),2),IFERROR(RIGHT("00"&amp;VALUE(LEFT(Sync!$Q236,FIND(":",Sync!$Q236)-1)),2)&amp;RIGHT("00"&amp;VALUE(MID(Sync!$Q236,FIND(":",Sync!$Q236)+1,2)),2),"0000"))))</f>
        <v/>
      </c>
      <c r="AK236">
        <f>IF(OR($AE236="",$AI236="",$AI236="نامعتبر"),"",LEFT($AI236,4)&amp;MID($AI236,6,2)&amp;RIGHT($AI236,2)&amp;$AJ236&amp;"|"&amp;"3"&amp;RIGHT("00000"&amp;231,5))</f>
        <v/>
      </c>
      <c r="AL236">
        <f>IF($AK236="","",COUNTIFS(LdAParty,$AE236,LdAType,1,LdAKey,"&lt;"&amp;$AK236)+COUNTIFS(LdBMember,$AE236,LdBKey,"&lt;"&amp;$AK236)+COUNTIFS(LdCParty,$AE236,LdCKey,"&lt;"&amp;$AK236)+1)</f>
        <v/>
      </c>
      <c r="AM236">
        <f>IF($AL236="","",$AE236&amp;"|"&amp;RIGHT("000000"&amp;$AL236,6))</f>
        <v/>
      </c>
      <c r="AN236">
        <f>IF($AE236="","",IF(Sync!$W236="",0,Sync!$W236))</f>
        <v/>
      </c>
      <c r="AO236">
        <f>IF($AE236="","",IF(Sync!$X236="",0,Sync!$X236))</f>
        <v/>
      </c>
      <c r="AP236">
        <f>IF($AE236="","",Sync!$R236)</f>
        <v/>
      </c>
      <c r="AQ236">
        <f>IF($AE236="","",Sync!$Y236)</f>
        <v/>
      </c>
    </row>
    <row r="237">
      <c r="A237">
        <f>IF(OR(Wages!$B240="",Wages!$E240=""),"",Wages!$E240)</f>
        <v/>
      </c>
      <c r="B237">
        <f>IF($A237="","",IF(Wages!$C240="دستمزد گروهی",2,1))</f>
        <v/>
      </c>
      <c r="C237">
        <f>IF($A237="","",IF(ISNUMBER(Wages!$B240),IF(AND(Wages!$B240&gt;=10000101,Wages!$B240&lt;=99991231),INT(Wages!$B240/10000),""),IFERROR(VALUE(TRIM(LEFT(Wages!$B240,FIND("/",Wages!$B240)-1))),"")))</f>
        <v/>
      </c>
      <c r="D237">
        <f>IF(OR($A237="",$C237=""),"",IF(ISNUMBER(Wages!$B240),INT(MOD(Wages!$B240,10000)/100),IFERROR(VALUE(TRIM(LEFT(MID(Wages!$B240,FIND("/",Wages!$B240)+1,20),FIND("/",MID(Wages!$B240,FIND("/",Wages!$B240)+1,20))-1))),"")))</f>
        <v/>
      </c>
      <c r="E237">
        <f>IF(OR($A237="",$C237=""),"",IF(ISNUMBER(Wages!$B240),MOD(Wages!$B240,100),IFERROR(VALUE(TRIM(MID(MID(Wages!$B240,FIND("/",Wages!$B240)+1,20),FIND("/",MID(Wages!$B240,FIND("/",Wages!$B240)+1,20))+1,20))),"")))</f>
        <v/>
      </c>
      <c r="F237">
        <f>IF($A237="","",IF(OR($C237="",$D237="",$E237="",$C237&lt;1300,$C237&gt;1500,$D237&lt;1,$D237&gt;12,$E237&lt;1,$E237&gt;31),"نامعتبر",RIGHT("0000"&amp;$C237,4)&amp;"/"&amp;RIGHT("00"&amp;$D237,2)&amp;"/"&amp;RIGHT("00"&amp;$E237,2)))</f>
        <v/>
      </c>
      <c r="G237">
        <f>IF(OR($A237="",$F237="",$F237="نامعتبر"),"",LEFT($F237,4)&amp;MID($F237,6,2)&amp;RIGHT($F237,2)&amp;"0000"&amp;"|"&amp;"1"&amp;RIGHT("00000"&amp;232,5))</f>
        <v/>
      </c>
      <c r="H237">
        <f>IF(OR($B237&lt;&gt;1,$G237=""),"",COUNTIFS(LdAParty,$A237,LdAType,1,LdAKey,"&lt;"&amp;$G237)+COUNTIFS(LdBMember,$A237,LdBKey,"&lt;"&amp;$G237)+COUNTIFS(LdCParty,$A237,LdCKey,"&lt;"&amp;$G237)+1)</f>
        <v/>
      </c>
      <c r="I237">
        <f>IF($H237="","",$A237&amp;"|"&amp;RIGHT("000000"&amp;$H237,6))</f>
        <v/>
      </c>
      <c r="J237">
        <f>IF(OR($B237&lt;&gt;2,$G237=""),"",COUNTIFS(LdAParty,$A237,LdAType,2,LdAKey,"&lt;"&amp;$G237)+1)</f>
        <v/>
      </c>
      <c r="K237">
        <f>IF($J237="","",$A237&amp;"|"&amp;RIGHT("000000"&amp;$J237,6))</f>
        <v/>
      </c>
      <c r="L237">
        <f>IF($A237="","",IF(Wages!$G240="",0,Wages!$G240))</f>
        <v/>
      </c>
      <c r="M237">
        <f>IF($A237="","",Wages!$J240)</f>
        <v/>
      </c>
      <c r="N237">
        <f>IF($A237="","",Wages!$D240)</f>
        <v/>
      </c>
      <c r="P237">
        <f>IF(OR(Shares!$B240="",Shares!$C240=""),"",Shares!$C240)</f>
        <v/>
      </c>
      <c r="Q237">
        <f>IF($P237="","",Shares!$B240)</f>
        <v/>
      </c>
      <c r="R237">
        <f>IF($P237="","",IFERROR(INDEX(WageParty,MATCH($Q237,WageIds,0)),""))</f>
        <v/>
      </c>
      <c r="S237">
        <f>IF($P237="","",IFERROR(INDEX($F$6:$F$2005,MATCH($Q237,WageIds,0)),""))</f>
        <v/>
      </c>
      <c r="T237">
        <f>IF(OR($P237="",$S237="",$S237="نامعتبر"),"",LEFT($S237,4)&amp;MID($S237,6,2)&amp;RIGHT($S237,2)&amp;"0000"&amp;"|"&amp;"2"&amp;RIGHT("00000"&amp;232,5))</f>
        <v/>
      </c>
      <c r="U237">
        <f>IF($T237="","",COUNTIFS(LdAParty,$P237,LdAType,1,LdAKey,"&lt;"&amp;$T237)+COUNTIFS(LdBMember,$P237,LdBKey,"&lt;"&amp;$T237)+COUNTIFS(LdCParty,$P237,LdCKey,"&lt;"&amp;$T237)+1)</f>
        <v/>
      </c>
      <c r="V237">
        <f>IF($U237="","",$P237&amp;"|"&amp;RIGHT("000000"&amp;$U237,6))</f>
        <v/>
      </c>
      <c r="W237">
        <f>IF($T237="","",COUNTIFS(LdBGroup,$R237,LdBKey,"&lt;"&amp;$T237)+1)</f>
        <v/>
      </c>
      <c r="X237">
        <f>IF($W237="","",$R237&amp;"|"&amp;RIGHT("000000"&amp;$W237,6))</f>
        <v/>
      </c>
      <c r="Y237">
        <f>IF($P237="","",IF(Shares!$E240="",0,Shares!$E240))</f>
        <v/>
      </c>
      <c r="Z237">
        <f>IF($P237="","",Shares!$H240)</f>
        <v/>
      </c>
      <c r="AE237">
        <f>IF(OR(Sync!$S237="",Sync!$P237=""),"",Sync!$S237)</f>
        <v/>
      </c>
      <c r="AF237">
        <f>IF($AE237="","",IF(ISNUMBER(Sync!$P237),IF(AND(Sync!$P237&gt;=10000101,Sync!$P237&lt;=99991231),INT(Sync!$P237/10000),""),IFERROR(VALUE(TRIM(LEFT(Sync!$P237,FIND("/",Sync!$P237)-1))),"")))</f>
        <v/>
      </c>
      <c r="AG237">
        <f>IF(OR($AE237="",$AF237=""),"",IF(ISNUMBER(Sync!$P237),INT(MOD(Sync!$P237,10000)/100),IFERROR(VALUE(TRIM(LEFT(MID(Sync!$P237,FIND("/",Sync!$P237)+1,20),FIND("/",MID(Sync!$P237,FIND("/",Sync!$P237)+1,20))-1))),"")))</f>
        <v/>
      </c>
      <c r="AH237">
        <f>IF(OR($AE237="",$AF237=""),"",IF(ISNUMBER(Sync!$P237),MOD(Sync!$P237,100),IFERROR(VALUE(TRIM(MID(MID(Sync!$P237,FIND("/",Sync!$P237)+1,20),FIND("/",MID(Sync!$P237,FIND("/",Sync!$P237)+1,20))+1,20))),"")))</f>
        <v/>
      </c>
      <c r="AI237">
        <f>IF($AE237="","",IF(OR($AF237="",$AG237="",$AH237="",$AF237&lt;1300,$AF237&gt;1500,$AG237&lt;1,$AG237&gt;12,$AH237&lt;1,$AH237&gt;31),"نامعتبر",RIGHT("0000"&amp;$AF237,4)&amp;"/"&amp;RIGHT("00"&amp;$AG237,2)&amp;"/"&amp;RIGHT("00"&amp;$AH237,2)))</f>
        <v/>
      </c>
      <c r="AJ237">
        <f>IF($AE237="","",IF(Sync!$Q237="","0000",IF(AND(ISNUMBER(Sync!$Q237),Sync!$Q237&gt;=0,Sync!$Q237&lt;1),RIGHT("00"&amp;HOUR(Sync!$Q237),2)&amp;RIGHT("00"&amp;MINUTE(Sync!$Q237),2),IFERROR(RIGHT("00"&amp;VALUE(LEFT(Sync!$Q237,FIND(":",Sync!$Q237)-1)),2)&amp;RIGHT("00"&amp;VALUE(MID(Sync!$Q237,FIND(":",Sync!$Q237)+1,2)),2),"0000"))))</f>
        <v/>
      </c>
      <c r="AK237">
        <f>IF(OR($AE237="",$AI237="",$AI237="نامعتبر"),"",LEFT($AI237,4)&amp;MID($AI237,6,2)&amp;RIGHT($AI237,2)&amp;$AJ237&amp;"|"&amp;"3"&amp;RIGHT("00000"&amp;232,5))</f>
        <v/>
      </c>
      <c r="AL237">
        <f>IF($AK237="","",COUNTIFS(LdAParty,$AE237,LdAType,1,LdAKey,"&lt;"&amp;$AK237)+COUNTIFS(LdBMember,$AE237,LdBKey,"&lt;"&amp;$AK237)+COUNTIFS(LdCParty,$AE237,LdCKey,"&lt;"&amp;$AK237)+1)</f>
        <v/>
      </c>
      <c r="AM237">
        <f>IF($AL237="","",$AE237&amp;"|"&amp;RIGHT("000000"&amp;$AL237,6))</f>
        <v/>
      </c>
      <c r="AN237">
        <f>IF($AE237="","",IF(Sync!$W237="",0,Sync!$W237))</f>
        <v/>
      </c>
      <c r="AO237">
        <f>IF($AE237="","",IF(Sync!$X237="",0,Sync!$X237))</f>
        <v/>
      </c>
      <c r="AP237">
        <f>IF($AE237="","",Sync!$R237)</f>
        <v/>
      </c>
      <c r="AQ237">
        <f>IF($AE237="","",Sync!$Y237)</f>
        <v/>
      </c>
    </row>
    <row r="238">
      <c r="A238">
        <f>IF(OR(Wages!$B241="",Wages!$E241=""),"",Wages!$E241)</f>
        <v/>
      </c>
      <c r="B238">
        <f>IF($A238="","",IF(Wages!$C241="دستمزد گروهی",2,1))</f>
        <v/>
      </c>
      <c r="C238">
        <f>IF($A238="","",IF(ISNUMBER(Wages!$B241),IF(AND(Wages!$B241&gt;=10000101,Wages!$B241&lt;=99991231),INT(Wages!$B241/10000),""),IFERROR(VALUE(TRIM(LEFT(Wages!$B241,FIND("/",Wages!$B241)-1))),"")))</f>
        <v/>
      </c>
      <c r="D238">
        <f>IF(OR($A238="",$C238=""),"",IF(ISNUMBER(Wages!$B241),INT(MOD(Wages!$B241,10000)/100),IFERROR(VALUE(TRIM(LEFT(MID(Wages!$B241,FIND("/",Wages!$B241)+1,20),FIND("/",MID(Wages!$B241,FIND("/",Wages!$B241)+1,20))-1))),"")))</f>
        <v/>
      </c>
      <c r="E238">
        <f>IF(OR($A238="",$C238=""),"",IF(ISNUMBER(Wages!$B241),MOD(Wages!$B241,100),IFERROR(VALUE(TRIM(MID(MID(Wages!$B241,FIND("/",Wages!$B241)+1,20),FIND("/",MID(Wages!$B241,FIND("/",Wages!$B241)+1,20))+1,20))),"")))</f>
        <v/>
      </c>
      <c r="F238">
        <f>IF($A238="","",IF(OR($C238="",$D238="",$E238="",$C238&lt;1300,$C238&gt;1500,$D238&lt;1,$D238&gt;12,$E238&lt;1,$E238&gt;31),"نامعتبر",RIGHT("0000"&amp;$C238,4)&amp;"/"&amp;RIGHT("00"&amp;$D238,2)&amp;"/"&amp;RIGHT("00"&amp;$E238,2)))</f>
        <v/>
      </c>
      <c r="G238">
        <f>IF(OR($A238="",$F238="",$F238="نامعتبر"),"",LEFT($F238,4)&amp;MID($F238,6,2)&amp;RIGHT($F238,2)&amp;"0000"&amp;"|"&amp;"1"&amp;RIGHT("00000"&amp;233,5))</f>
        <v/>
      </c>
      <c r="H238">
        <f>IF(OR($B238&lt;&gt;1,$G238=""),"",COUNTIFS(LdAParty,$A238,LdAType,1,LdAKey,"&lt;"&amp;$G238)+COUNTIFS(LdBMember,$A238,LdBKey,"&lt;"&amp;$G238)+COUNTIFS(LdCParty,$A238,LdCKey,"&lt;"&amp;$G238)+1)</f>
        <v/>
      </c>
      <c r="I238">
        <f>IF($H238="","",$A238&amp;"|"&amp;RIGHT("000000"&amp;$H238,6))</f>
        <v/>
      </c>
      <c r="J238">
        <f>IF(OR($B238&lt;&gt;2,$G238=""),"",COUNTIFS(LdAParty,$A238,LdAType,2,LdAKey,"&lt;"&amp;$G238)+1)</f>
        <v/>
      </c>
      <c r="K238">
        <f>IF($J238="","",$A238&amp;"|"&amp;RIGHT("000000"&amp;$J238,6))</f>
        <v/>
      </c>
      <c r="L238">
        <f>IF($A238="","",IF(Wages!$G241="",0,Wages!$G241))</f>
        <v/>
      </c>
      <c r="M238">
        <f>IF($A238="","",Wages!$J241)</f>
        <v/>
      </c>
      <c r="N238">
        <f>IF($A238="","",Wages!$D241)</f>
        <v/>
      </c>
      <c r="P238">
        <f>IF(OR(Shares!$B241="",Shares!$C241=""),"",Shares!$C241)</f>
        <v/>
      </c>
      <c r="Q238">
        <f>IF($P238="","",Shares!$B241)</f>
        <v/>
      </c>
      <c r="R238">
        <f>IF($P238="","",IFERROR(INDEX(WageParty,MATCH($Q238,WageIds,0)),""))</f>
        <v/>
      </c>
      <c r="S238">
        <f>IF($P238="","",IFERROR(INDEX($F$6:$F$2005,MATCH($Q238,WageIds,0)),""))</f>
        <v/>
      </c>
      <c r="T238">
        <f>IF(OR($P238="",$S238="",$S238="نامعتبر"),"",LEFT($S238,4)&amp;MID($S238,6,2)&amp;RIGHT($S238,2)&amp;"0000"&amp;"|"&amp;"2"&amp;RIGHT("00000"&amp;233,5))</f>
        <v/>
      </c>
      <c r="U238">
        <f>IF($T238="","",COUNTIFS(LdAParty,$P238,LdAType,1,LdAKey,"&lt;"&amp;$T238)+COUNTIFS(LdBMember,$P238,LdBKey,"&lt;"&amp;$T238)+COUNTIFS(LdCParty,$P238,LdCKey,"&lt;"&amp;$T238)+1)</f>
        <v/>
      </c>
      <c r="V238">
        <f>IF($U238="","",$P238&amp;"|"&amp;RIGHT("000000"&amp;$U238,6))</f>
        <v/>
      </c>
      <c r="W238">
        <f>IF($T238="","",COUNTIFS(LdBGroup,$R238,LdBKey,"&lt;"&amp;$T238)+1)</f>
        <v/>
      </c>
      <c r="X238">
        <f>IF($W238="","",$R238&amp;"|"&amp;RIGHT("000000"&amp;$W238,6))</f>
        <v/>
      </c>
      <c r="Y238">
        <f>IF($P238="","",IF(Shares!$E241="",0,Shares!$E241))</f>
        <v/>
      </c>
      <c r="Z238">
        <f>IF($P238="","",Shares!$H241)</f>
        <v/>
      </c>
      <c r="AE238">
        <f>IF(OR(Sync!$S238="",Sync!$P238=""),"",Sync!$S238)</f>
        <v/>
      </c>
      <c r="AF238">
        <f>IF($AE238="","",IF(ISNUMBER(Sync!$P238),IF(AND(Sync!$P238&gt;=10000101,Sync!$P238&lt;=99991231),INT(Sync!$P238/10000),""),IFERROR(VALUE(TRIM(LEFT(Sync!$P238,FIND("/",Sync!$P238)-1))),"")))</f>
        <v/>
      </c>
      <c r="AG238">
        <f>IF(OR($AE238="",$AF238=""),"",IF(ISNUMBER(Sync!$P238),INT(MOD(Sync!$P238,10000)/100),IFERROR(VALUE(TRIM(LEFT(MID(Sync!$P238,FIND("/",Sync!$P238)+1,20),FIND("/",MID(Sync!$P238,FIND("/",Sync!$P238)+1,20))-1))),"")))</f>
        <v/>
      </c>
      <c r="AH238">
        <f>IF(OR($AE238="",$AF238=""),"",IF(ISNUMBER(Sync!$P238),MOD(Sync!$P238,100),IFERROR(VALUE(TRIM(MID(MID(Sync!$P238,FIND("/",Sync!$P238)+1,20),FIND("/",MID(Sync!$P238,FIND("/",Sync!$P238)+1,20))+1,20))),"")))</f>
        <v/>
      </c>
      <c r="AI238">
        <f>IF($AE238="","",IF(OR($AF238="",$AG238="",$AH238="",$AF238&lt;1300,$AF238&gt;1500,$AG238&lt;1,$AG238&gt;12,$AH238&lt;1,$AH238&gt;31),"نامعتبر",RIGHT("0000"&amp;$AF238,4)&amp;"/"&amp;RIGHT("00"&amp;$AG238,2)&amp;"/"&amp;RIGHT("00"&amp;$AH238,2)))</f>
        <v/>
      </c>
      <c r="AJ238">
        <f>IF($AE238="","",IF(Sync!$Q238="","0000",IF(AND(ISNUMBER(Sync!$Q238),Sync!$Q238&gt;=0,Sync!$Q238&lt;1),RIGHT("00"&amp;HOUR(Sync!$Q238),2)&amp;RIGHT("00"&amp;MINUTE(Sync!$Q238),2),IFERROR(RIGHT("00"&amp;VALUE(LEFT(Sync!$Q238,FIND(":",Sync!$Q238)-1)),2)&amp;RIGHT("00"&amp;VALUE(MID(Sync!$Q238,FIND(":",Sync!$Q238)+1,2)),2),"0000"))))</f>
        <v/>
      </c>
      <c r="AK238">
        <f>IF(OR($AE238="",$AI238="",$AI238="نامعتبر"),"",LEFT($AI238,4)&amp;MID($AI238,6,2)&amp;RIGHT($AI238,2)&amp;$AJ238&amp;"|"&amp;"3"&amp;RIGHT("00000"&amp;233,5))</f>
        <v/>
      </c>
      <c r="AL238">
        <f>IF($AK238="","",COUNTIFS(LdAParty,$AE238,LdAType,1,LdAKey,"&lt;"&amp;$AK238)+COUNTIFS(LdBMember,$AE238,LdBKey,"&lt;"&amp;$AK238)+COUNTIFS(LdCParty,$AE238,LdCKey,"&lt;"&amp;$AK238)+1)</f>
        <v/>
      </c>
      <c r="AM238">
        <f>IF($AL238="","",$AE238&amp;"|"&amp;RIGHT("000000"&amp;$AL238,6))</f>
        <v/>
      </c>
      <c r="AN238">
        <f>IF($AE238="","",IF(Sync!$W238="",0,Sync!$W238))</f>
        <v/>
      </c>
      <c r="AO238">
        <f>IF($AE238="","",IF(Sync!$X238="",0,Sync!$X238))</f>
        <v/>
      </c>
      <c r="AP238">
        <f>IF($AE238="","",Sync!$R238)</f>
        <v/>
      </c>
      <c r="AQ238">
        <f>IF($AE238="","",Sync!$Y238)</f>
        <v/>
      </c>
    </row>
    <row r="239">
      <c r="A239">
        <f>IF(OR(Wages!$B242="",Wages!$E242=""),"",Wages!$E242)</f>
        <v/>
      </c>
      <c r="B239">
        <f>IF($A239="","",IF(Wages!$C242="دستمزد گروهی",2,1))</f>
        <v/>
      </c>
      <c r="C239">
        <f>IF($A239="","",IF(ISNUMBER(Wages!$B242),IF(AND(Wages!$B242&gt;=10000101,Wages!$B242&lt;=99991231),INT(Wages!$B242/10000),""),IFERROR(VALUE(TRIM(LEFT(Wages!$B242,FIND("/",Wages!$B242)-1))),"")))</f>
        <v/>
      </c>
      <c r="D239">
        <f>IF(OR($A239="",$C239=""),"",IF(ISNUMBER(Wages!$B242),INT(MOD(Wages!$B242,10000)/100),IFERROR(VALUE(TRIM(LEFT(MID(Wages!$B242,FIND("/",Wages!$B242)+1,20),FIND("/",MID(Wages!$B242,FIND("/",Wages!$B242)+1,20))-1))),"")))</f>
        <v/>
      </c>
      <c r="E239">
        <f>IF(OR($A239="",$C239=""),"",IF(ISNUMBER(Wages!$B242),MOD(Wages!$B242,100),IFERROR(VALUE(TRIM(MID(MID(Wages!$B242,FIND("/",Wages!$B242)+1,20),FIND("/",MID(Wages!$B242,FIND("/",Wages!$B242)+1,20))+1,20))),"")))</f>
        <v/>
      </c>
      <c r="F239">
        <f>IF($A239="","",IF(OR($C239="",$D239="",$E239="",$C239&lt;1300,$C239&gt;1500,$D239&lt;1,$D239&gt;12,$E239&lt;1,$E239&gt;31),"نامعتبر",RIGHT("0000"&amp;$C239,4)&amp;"/"&amp;RIGHT("00"&amp;$D239,2)&amp;"/"&amp;RIGHT("00"&amp;$E239,2)))</f>
        <v/>
      </c>
      <c r="G239">
        <f>IF(OR($A239="",$F239="",$F239="نامعتبر"),"",LEFT($F239,4)&amp;MID($F239,6,2)&amp;RIGHT($F239,2)&amp;"0000"&amp;"|"&amp;"1"&amp;RIGHT("00000"&amp;234,5))</f>
        <v/>
      </c>
      <c r="H239">
        <f>IF(OR($B239&lt;&gt;1,$G239=""),"",COUNTIFS(LdAParty,$A239,LdAType,1,LdAKey,"&lt;"&amp;$G239)+COUNTIFS(LdBMember,$A239,LdBKey,"&lt;"&amp;$G239)+COUNTIFS(LdCParty,$A239,LdCKey,"&lt;"&amp;$G239)+1)</f>
        <v/>
      </c>
      <c r="I239">
        <f>IF($H239="","",$A239&amp;"|"&amp;RIGHT("000000"&amp;$H239,6))</f>
        <v/>
      </c>
      <c r="J239">
        <f>IF(OR($B239&lt;&gt;2,$G239=""),"",COUNTIFS(LdAParty,$A239,LdAType,2,LdAKey,"&lt;"&amp;$G239)+1)</f>
        <v/>
      </c>
      <c r="K239">
        <f>IF($J239="","",$A239&amp;"|"&amp;RIGHT("000000"&amp;$J239,6))</f>
        <v/>
      </c>
      <c r="L239">
        <f>IF($A239="","",IF(Wages!$G242="",0,Wages!$G242))</f>
        <v/>
      </c>
      <c r="M239">
        <f>IF($A239="","",Wages!$J242)</f>
        <v/>
      </c>
      <c r="N239">
        <f>IF($A239="","",Wages!$D242)</f>
        <v/>
      </c>
      <c r="P239">
        <f>IF(OR(Shares!$B242="",Shares!$C242=""),"",Shares!$C242)</f>
        <v/>
      </c>
      <c r="Q239">
        <f>IF($P239="","",Shares!$B242)</f>
        <v/>
      </c>
      <c r="R239">
        <f>IF($P239="","",IFERROR(INDEX(WageParty,MATCH($Q239,WageIds,0)),""))</f>
        <v/>
      </c>
      <c r="S239">
        <f>IF($P239="","",IFERROR(INDEX($F$6:$F$2005,MATCH($Q239,WageIds,0)),""))</f>
        <v/>
      </c>
      <c r="T239">
        <f>IF(OR($P239="",$S239="",$S239="نامعتبر"),"",LEFT($S239,4)&amp;MID($S239,6,2)&amp;RIGHT($S239,2)&amp;"0000"&amp;"|"&amp;"2"&amp;RIGHT("00000"&amp;234,5))</f>
        <v/>
      </c>
      <c r="U239">
        <f>IF($T239="","",COUNTIFS(LdAParty,$P239,LdAType,1,LdAKey,"&lt;"&amp;$T239)+COUNTIFS(LdBMember,$P239,LdBKey,"&lt;"&amp;$T239)+COUNTIFS(LdCParty,$P239,LdCKey,"&lt;"&amp;$T239)+1)</f>
        <v/>
      </c>
      <c r="V239">
        <f>IF($U239="","",$P239&amp;"|"&amp;RIGHT("000000"&amp;$U239,6))</f>
        <v/>
      </c>
      <c r="W239">
        <f>IF($T239="","",COUNTIFS(LdBGroup,$R239,LdBKey,"&lt;"&amp;$T239)+1)</f>
        <v/>
      </c>
      <c r="X239">
        <f>IF($W239="","",$R239&amp;"|"&amp;RIGHT("000000"&amp;$W239,6))</f>
        <v/>
      </c>
      <c r="Y239">
        <f>IF($P239="","",IF(Shares!$E242="",0,Shares!$E242))</f>
        <v/>
      </c>
      <c r="Z239">
        <f>IF($P239="","",Shares!$H242)</f>
        <v/>
      </c>
      <c r="AE239">
        <f>IF(OR(Sync!$S239="",Sync!$P239=""),"",Sync!$S239)</f>
        <v/>
      </c>
      <c r="AF239">
        <f>IF($AE239="","",IF(ISNUMBER(Sync!$P239),IF(AND(Sync!$P239&gt;=10000101,Sync!$P239&lt;=99991231),INT(Sync!$P239/10000),""),IFERROR(VALUE(TRIM(LEFT(Sync!$P239,FIND("/",Sync!$P239)-1))),"")))</f>
        <v/>
      </c>
      <c r="AG239">
        <f>IF(OR($AE239="",$AF239=""),"",IF(ISNUMBER(Sync!$P239),INT(MOD(Sync!$P239,10000)/100),IFERROR(VALUE(TRIM(LEFT(MID(Sync!$P239,FIND("/",Sync!$P239)+1,20),FIND("/",MID(Sync!$P239,FIND("/",Sync!$P239)+1,20))-1))),"")))</f>
        <v/>
      </c>
      <c r="AH239">
        <f>IF(OR($AE239="",$AF239=""),"",IF(ISNUMBER(Sync!$P239),MOD(Sync!$P239,100),IFERROR(VALUE(TRIM(MID(MID(Sync!$P239,FIND("/",Sync!$P239)+1,20),FIND("/",MID(Sync!$P239,FIND("/",Sync!$P239)+1,20))+1,20))),"")))</f>
        <v/>
      </c>
      <c r="AI239">
        <f>IF($AE239="","",IF(OR($AF239="",$AG239="",$AH239="",$AF239&lt;1300,$AF239&gt;1500,$AG239&lt;1,$AG239&gt;12,$AH239&lt;1,$AH239&gt;31),"نامعتبر",RIGHT("0000"&amp;$AF239,4)&amp;"/"&amp;RIGHT("00"&amp;$AG239,2)&amp;"/"&amp;RIGHT("00"&amp;$AH239,2)))</f>
        <v/>
      </c>
      <c r="AJ239">
        <f>IF($AE239="","",IF(Sync!$Q239="","0000",IF(AND(ISNUMBER(Sync!$Q239),Sync!$Q239&gt;=0,Sync!$Q239&lt;1),RIGHT("00"&amp;HOUR(Sync!$Q239),2)&amp;RIGHT("00"&amp;MINUTE(Sync!$Q239),2),IFERROR(RIGHT("00"&amp;VALUE(LEFT(Sync!$Q239,FIND(":",Sync!$Q239)-1)),2)&amp;RIGHT("00"&amp;VALUE(MID(Sync!$Q239,FIND(":",Sync!$Q239)+1,2)),2),"0000"))))</f>
        <v/>
      </c>
      <c r="AK239">
        <f>IF(OR($AE239="",$AI239="",$AI239="نامعتبر"),"",LEFT($AI239,4)&amp;MID($AI239,6,2)&amp;RIGHT($AI239,2)&amp;$AJ239&amp;"|"&amp;"3"&amp;RIGHT("00000"&amp;234,5))</f>
        <v/>
      </c>
      <c r="AL239">
        <f>IF($AK239="","",COUNTIFS(LdAParty,$AE239,LdAType,1,LdAKey,"&lt;"&amp;$AK239)+COUNTIFS(LdBMember,$AE239,LdBKey,"&lt;"&amp;$AK239)+COUNTIFS(LdCParty,$AE239,LdCKey,"&lt;"&amp;$AK239)+1)</f>
        <v/>
      </c>
      <c r="AM239">
        <f>IF($AL239="","",$AE239&amp;"|"&amp;RIGHT("000000"&amp;$AL239,6))</f>
        <v/>
      </c>
      <c r="AN239">
        <f>IF($AE239="","",IF(Sync!$W239="",0,Sync!$W239))</f>
        <v/>
      </c>
      <c r="AO239">
        <f>IF($AE239="","",IF(Sync!$X239="",0,Sync!$X239))</f>
        <v/>
      </c>
      <c r="AP239">
        <f>IF($AE239="","",Sync!$R239)</f>
        <v/>
      </c>
      <c r="AQ239">
        <f>IF($AE239="","",Sync!$Y239)</f>
        <v/>
      </c>
    </row>
    <row r="240">
      <c r="A240">
        <f>IF(OR(Wages!$B243="",Wages!$E243=""),"",Wages!$E243)</f>
        <v/>
      </c>
      <c r="B240">
        <f>IF($A240="","",IF(Wages!$C243="دستمزد گروهی",2,1))</f>
        <v/>
      </c>
      <c r="C240">
        <f>IF($A240="","",IF(ISNUMBER(Wages!$B243),IF(AND(Wages!$B243&gt;=10000101,Wages!$B243&lt;=99991231),INT(Wages!$B243/10000),""),IFERROR(VALUE(TRIM(LEFT(Wages!$B243,FIND("/",Wages!$B243)-1))),"")))</f>
        <v/>
      </c>
      <c r="D240">
        <f>IF(OR($A240="",$C240=""),"",IF(ISNUMBER(Wages!$B243),INT(MOD(Wages!$B243,10000)/100),IFERROR(VALUE(TRIM(LEFT(MID(Wages!$B243,FIND("/",Wages!$B243)+1,20),FIND("/",MID(Wages!$B243,FIND("/",Wages!$B243)+1,20))-1))),"")))</f>
        <v/>
      </c>
      <c r="E240">
        <f>IF(OR($A240="",$C240=""),"",IF(ISNUMBER(Wages!$B243),MOD(Wages!$B243,100),IFERROR(VALUE(TRIM(MID(MID(Wages!$B243,FIND("/",Wages!$B243)+1,20),FIND("/",MID(Wages!$B243,FIND("/",Wages!$B243)+1,20))+1,20))),"")))</f>
        <v/>
      </c>
      <c r="F240">
        <f>IF($A240="","",IF(OR($C240="",$D240="",$E240="",$C240&lt;1300,$C240&gt;1500,$D240&lt;1,$D240&gt;12,$E240&lt;1,$E240&gt;31),"نامعتبر",RIGHT("0000"&amp;$C240,4)&amp;"/"&amp;RIGHT("00"&amp;$D240,2)&amp;"/"&amp;RIGHT("00"&amp;$E240,2)))</f>
        <v/>
      </c>
      <c r="G240">
        <f>IF(OR($A240="",$F240="",$F240="نامعتبر"),"",LEFT($F240,4)&amp;MID($F240,6,2)&amp;RIGHT($F240,2)&amp;"0000"&amp;"|"&amp;"1"&amp;RIGHT("00000"&amp;235,5))</f>
        <v/>
      </c>
      <c r="H240">
        <f>IF(OR($B240&lt;&gt;1,$G240=""),"",COUNTIFS(LdAParty,$A240,LdAType,1,LdAKey,"&lt;"&amp;$G240)+COUNTIFS(LdBMember,$A240,LdBKey,"&lt;"&amp;$G240)+COUNTIFS(LdCParty,$A240,LdCKey,"&lt;"&amp;$G240)+1)</f>
        <v/>
      </c>
      <c r="I240">
        <f>IF($H240="","",$A240&amp;"|"&amp;RIGHT("000000"&amp;$H240,6))</f>
        <v/>
      </c>
      <c r="J240">
        <f>IF(OR($B240&lt;&gt;2,$G240=""),"",COUNTIFS(LdAParty,$A240,LdAType,2,LdAKey,"&lt;"&amp;$G240)+1)</f>
        <v/>
      </c>
      <c r="K240">
        <f>IF($J240="","",$A240&amp;"|"&amp;RIGHT("000000"&amp;$J240,6))</f>
        <v/>
      </c>
      <c r="L240">
        <f>IF($A240="","",IF(Wages!$G243="",0,Wages!$G243))</f>
        <v/>
      </c>
      <c r="M240">
        <f>IF($A240="","",Wages!$J243)</f>
        <v/>
      </c>
      <c r="N240">
        <f>IF($A240="","",Wages!$D243)</f>
        <v/>
      </c>
      <c r="P240">
        <f>IF(OR(Shares!$B243="",Shares!$C243=""),"",Shares!$C243)</f>
        <v/>
      </c>
      <c r="Q240">
        <f>IF($P240="","",Shares!$B243)</f>
        <v/>
      </c>
      <c r="R240">
        <f>IF($P240="","",IFERROR(INDEX(WageParty,MATCH($Q240,WageIds,0)),""))</f>
        <v/>
      </c>
      <c r="S240">
        <f>IF($P240="","",IFERROR(INDEX($F$6:$F$2005,MATCH($Q240,WageIds,0)),""))</f>
        <v/>
      </c>
      <c r="T240">
        <f>IF(OR($P240="",$S240="",$S240="نامعتبر"),"",LEFT($S240,4)&amp;MID($S240,6,2)&amp;RIGHT($S240,2)&amp;"0000"&amp;"|"&amp;"2"&amp;RIGHT("00000"&amp;235,5))</f>
        <v/>
      </c>
      <c r="U240">
        <f>IF($T240="","",COUNTIFS(LdAParty,$P240,LdAType,1,LdAKey,"&lt;"&amp;$T240)+COUNTIFS(LdBMember,$P240,LdBKey,"&lt;"&amp;$T240)+COUNTIFS(LdCParty,$P240,LdCKey,"&lt;"&amp;$T240)+1)</f>
        <v/>
      </c>
      <c r="V240">
        <f>IF($U240="","",$P240&amp;"|"&amp;RIGHT("000000"&amp;$U240,6))</f>
        <v/>
      </c>
      <c r="W240">
        <f>IF($T240="","",COUNTIFS(LdBGroup,$R240,LdBKey,"&lt;"&amp;$T240)+1)</f>
        <v/>
      </c>
      <c r="X240">
        <f>IF($W240="","",$R240&amp;"|"&amp;RIGHT("000000"&amp;$W240,6))</f>
        <v/>
      </c>
      <c r="Y240">
        <f>IF($P240="","",IF(Shares!$E243="",0,Shares!$E243))</f>
        <v/>
      </c>
      <c r="Z240">
        <f>IF($P240="","",Shares!$H243)</f>
        <v/>
      </c>
      <c r="AE240">
        <f>IF(OR(Sync!$S240="",Sync!$P240=""),"",Sync!$S240)</f>
        <v/>
      </c>
      <c r="AF240">
        <f>IF($AE240="","",IF(ISNUMBER(Sync!$P240),IF(AND(Sync!$P240&gt;=10000101,Sync!$P240&lt;=99991231),INT(Sync!$P240/10000),""),IFERROR(VALUE(TRIM(LEFT(Sync!$P240,FIND("/",Sync!$P240)-1))),"")))</f>
        <v/>
      </c>
      <c r="AG240">
        <f>IF(OR($AE240="",$AF240=""),"",IF(ISNUMBER(Sync!$P240),INT(MOD(Sync!$P240,10000)/100),IFERROR(VALUE(TRIM(LEFT(MID(Sync!$P240,FIND("/",Sync!$P240)+1,20),FIND("/",MID(Sync!$P240,FIND("/",Sync!$P240)+1,20))-1))),"")))</f>
        <v/>
      </c>
      <c r="AH240">
        <f>IF(OR($AE240="",$AF240=""),"",IF(ISNUMBER(Sync!$P240),MOD(Sync!$P240,100),IFERROR(VALUE(TRIM(MID(MID(Sync!$P240,FIND("/",Sync!$P240)+1,20),FIND("/",MID(Sync!$P240,FIND("/",Sync!$P240)+1,20))+1,20))),"")))</f>
        <v/>
      </c>
      <c r="AI240">
        <f>IF($AE240="","",IF(OR($AF240="",$AG240="",$AH240="",$AF240&lt;1300,$AF240&gt;1500,$AG240&lt;1,$AG240&gt;12,$AH240&lt;1,$AH240&gt;31),"نامعتبر",RIGHT("0000"&amp;$AF240,4)&amp;"/"&amp;RIGHT("00"&amp;$AG240,2)&amp;"/"&amp;RIGHT("00"&amp;$AH240,2)))</f>
        <v/>
      </c>
      <c r="AJ240">
        <f>IF($AE240="","",IF(Sync!$Q240="","0000",IF(AND(ISNUMBER(Sync!$Q240),Sync!$Q240&gt;=0,Sync!$Q240&lt;1),RIGHT("00"&amp;HOUR(Sync!$Q240),2)&amp;RIGHT("00"&amp;MINUTE(Sync!$Q240),2),IFERROR(RIGHT("00"&amp;VALUE(LEFT(Sync!$Q240,FIND(":",Sync!$Q240)-1)),2)&amp;RIGHT("00"&amp;VALUE(MID(Sync!$Q240,FIND(":",Sync!$Q240)+1,2)),2),"0000"))))</f>
        <v/>
      </c>
      <c r="AK240">
        <f>IF(OR($AE240="",$AI240="",$AI240="نامعتبر"),"",LEFT($AI240,4)&amp;MID($AI240,6,2)&amp;RIGHT($AI240,2)&amp;$AJ240&amp;"|"&amp;"3"&amp;RIGHT("00000"&amp;235,5))</f>
        <v/>
      </c>
      <c r="AL240">
        <f>IF($AK240="","",COUNTIFS(LdAParty,$AE240,LdAType,1,LdAKey,"&lt;"&amp;$AK240)+COUNTIFS(LdBMember,$AE240,LdBKey,"&lt;"&amp;$AK240)+COUNTIFS(LdCParty,$AE240,LdCKey,"&lt;"&amp;$AK240)+1)</f>
        <v/>
      </c>
      <c r="AM240">
        <f>IF($AL240="","",$AE240&amp;"|"&amp;RIGHT("000000"&amp;$AL240,6))</f>
        <v/>
      </c>
      <c r="AN240">
        <f>IF($AE240="","",IF(Sync!$W240="",0,Sync!$W240))</f>
        <v/>
      </c>
      <c r="AO240">
        <f>IF($AE240="","",IF(Sync!$X240="",0,Sync!$X240))</f>
        <v/>
      </c>
      <c r="AP240">
        <f>IF($AE240="","",Sync!$R240)</f>
        <v/>
      </c>
      <c r="AQ240">
        <f>IF($AE240="","",Sync!$Y240)</f>
        <v/>
      </c>
    </row>
    <row r="241">
      <c r="A241">
        <f>IF(OR(Wages!$B244="",Wages!$E244=""),"",Wages!$E244)</f>
        <v/>
      </c>
      <c r="B241">
        <f>IF($A241="","",IF(Wages!$C244="دستمزد گروهی",2,1))</f>
        <v/>
      </c>
      <c r="C241">
        <f>IF($A241="","",IF(ISNUMBER(Wages!$B244),IF(AND(Wages!$B244&gt;=10000101,Wages!$B244&lt;=99991231),INT(Wages!$B244/10000),""),IFERROR(VALUE(TRIM(LEFT(Wages!$B244,FIND("/",Wages!$B244)-1))),"")))</f>
        <v/>
      </c>
      <c r="D241">
        <f>IF(OR($A241="",$C241=""),"",IF(ISNUMBER(Wages!$B244),INT(MOD(Wages!$B244,10000)/100),IFERROR(VALUE(TRIM(LEFT(MID(Wages!$B244,FIND("/",Wages!$B244)+1,20),FIND("/",MID(Wages!$B244,FIND("/",Wages!$B244)+1,20))-1))),"")))</f>
        <v/>
      </c>
      <c r="E241">
        <f>IF(OR($A241="",$C241=""),"",IF(ISNUMBER(Wages!$B244),MOD(Wages!$B244,100),IFERROR(VALUE(TRIM(MID(MID(Wages!$B244,FIND("/",Wages!$B244)+1,20),FIND("/",MID(Wages!$B244,FIND("/",Wages!$B244)+1,20))+1,20))),"")))</f>
        <v/>
      </c>
      <c r="F241">
        <f>IF($A241="","",IF(OR($C241="",$D241="",$E241="",$C241&lt;1300,$C241&gt;1500,$D241&lt;1,$D241&gt;12,$E241&lt;1,$E241&gt;31),"نامعتبر",RIGHT("0000"&amp;$C241,4)&amp;"/"&amp;RIGHT("00"&amp;$D241,2)&amp;"/"&amp;RIGHT("00"&amp;$E241,2)))</f>
        <v/>
      </c>
      <c r="G241">
        <f>IF(OR($A241="",$F241="",$F241="نامعتبر"),"",LEFT($F241,4)&amp;MID($F241,6,2)&amp;RIGHT($F241,2)&amp;"0000"&amp;"|"&amp;"1"&amp;RIGHT("00000"&amp;236,5))</f>
        <v/>
      </c>
      <c r="H241">
        <f>IF(OR($B241&lt;&gt;1,$G241=""),"",COUNTIFS(LdAParty,$A241,LdAType,1,LdAKey,"&lt;"&amp;$G241)+COUNTIFS(LdBMember,$A241,LdBKey,"&lt;"&amp;$G241)+COUNTIFS(LdCParty,$A241,LdCKey,"&lt;"&amp;$G241)+1)</f>
        <v/>
      </c>
      <c r="I241">
        <f>IF($H241="","",$A241&amp;"|"&amp;RIGHT("000000"&amp;$H241,6))</f>
        <v/>
      </c>
      <c r="J241">
        <f>IF(OR($B241&lt;&gt;2,$G241=""),"",COUNTIFS(LdAParty,$A241,LdAType,2,LdAKey,"&lt;"&amp;$G241)+1)</f>
        <v/>
      </c>
      <c r="K241">
        <f>IF($J241="","",$A241&amp;"|"&amp;RIGHT("000000"&amp;$J241,6))</f>
        <v/>
      </c>
      <c r="L241">
        <f>IF($A241="","",IF(Wages!$G244="",0,Wages!$G244))</f>
        <v/>
      </c>
      <c r="M241">
        <f>IF($A241="","",Wages!$J244)</f>
        <v/>
      </c>
      <c r="N241">
        <f>IF($A241="","",Wages!$D244)</f>
        <v/>
      </c>
      <c r="P241">
        <f>IF(OR(Shares!$B244="",Shares!$C244=""),"",Shares!$C244)</f>
        <v/>
      </c>
      <c r="Q241">
        <f>IF($P241="","",Shares!$B244)</f>
        <v/>
      </c>
      <c r="R241">
        <f>IF($P241="","",IFERROR(INDEX(WageParty,MATCH($Q241,WageIds,0)),""))</f>
        <v/>
      </c>
      <c r="S241">
        <f>IF($P241="","",IFERROR(INDEX($F$6:$F$2005,MATCH($Q241,WageIds,0)),""))</f>
        <v/>
      </c>
      <c r="T241">
        <f>IF(OR($P241="",$S241="",$S241="نامعتبر"),"",LEFT($S241,4)&amp;MID($S241,6,2)&amp;RIGHT($S241,2)&amp;"0000"&amp;"|"&amp;"2"&amp;RIGHT("00000"&amp;236,5))</f>
        <v/>
      </c>
      <c r="U241">
        <f>IF($T241="","",COUNTIFS(LdAParty,$P241,LdAType,1,LdAKey,"&lt;"&amp;$T241)+COUNTIFS(LdBMember,$P241,LdBKey,"&lt;"&amp;$T241)+COUNTIFS(LdCParty,$P241,LdCKey,"&lt;"&amp;$T241)+1)</f>
        <v/>
      </c>
      <c r="V241">
        <f>IF($U241="","",$P241&amp;"|"&amp;RIGHT("000000"&amp;$U241,6))</f>
        <v/>
      </c>
      <c r="W241">
        <f>IF($T241="","",COUNTIFS(LdBGroup,$R241,LdBKey,"&lt;"&amp;$T241)+1)</f>
        <v/>
      </c>
      <c r="X241">
        <f>IF($W241="","",$R241&amp;"|"&amp;RIGHT("000000"&amp;$W241,6))</f>
        <v/>
      </c>
      <c r="Y241">
        <f>IF($P241="","",IF(Shares!$E244="",0,Shares!$E244))</f>
        <v/>
      </c>
      <c r="Z241">
        <f>IF($P241="","",Shares!$H244)</f>
        <v/>
      </c>
      <c r="AE241">
        <f>IF(OR(Sync!$S241="",Sync!$P241=""),"",Sync!$S241)</f>
        <v/>
      </c>
      <c r="AF241">
        <f>IF($AE241="","",IF(ISNUMBER(Sync!$P241),IF(AND(Sync!$P241&gt;=10000101,Sync!$P241&lt;=99991231),INT(Sync!$P241/10000),""),IFERROR(VALUE(TRIM(LEFT(Sync!$P241,FIND("/",Sync!$P241)-1))),"")))</f>
        <v/>
      </c>
      <c r="AG241">
        <f>IF(OR($AE241="",$AF241=""),"",IF(ISNUMBER(Sync!$P241),INT(MOD(Sync!$P241,10000)/100),IFERROR(VALUE(TRIM(LEFT(MID(Sync!$P241,FIND("/",Sync!$P241)+1,20),FIND("/",MID(Sync!$P241,FIND("/",Sync!$P241)+1,20))-1))),"")))</f>
        <v/>
      </c>
      <c r="AH241">
        <f>IF(OR($AE241="",$AF241=""),"",IF(ISNUMBER(Sync!$P241),MOD(Sync!$P241,100),IFERROR(VALUE(TRIM(MID(MID(Sync!$P241,FIND("/",Sync!$P241)+1,20),FIND("/",MID(Sync!$P241,FIND("/",Sync!$P241)+1,20))+1,20))),"")))</f>
        <v/>
      </c>
      <c r="AI241">
        <f>IF($AE241="","",IF(OR($AF241="",$AG241="",$AH241="",$AF241&lt;1300,$AF241&gt;1500,$AG241&lt;1,$AG241&gt;12,$AH241&lt;1,$AH241&gt;31),"نامعتبر",RIGHT("0000"&amp;$AF241,4)&amp;"/"&amp;RIGHT("00"&amp;$AG241,2)&amp;"/"&amp;RIGHT("00"&amp;$AH241,2)))</f>
        <v/>
      </c>
      <c r="AJ241">
        <f>IF($AE241="","",IF(Sync!$Q241="","0000",IF(AND(ISNUMBER(Sync!$Q241),Sync!$Q241&gt;=0,Sync!$Q241&lt;1),RIGHT("00"&amp;HOUR(Sync!$Q241),2)&amp;RIGHT("00"&amp;MINUTE(Sync!$Q241),2),IFERROR(RIGHT("00"&amp;VALUE(LEFT(Sync!$Q241,FIND(":",Sync!$Q241)-1)),2)&amp;RIGHT("00"&amp;VALUE(MID(Sync!$Q241,FIND(":",Sync!$Q241)+1,2)),2),"0000"))))</f>
        <v/>
      </c>
      <c r="AK241">
        <f>IF(OR($AE241="",$AI241="",$AI241="نامعتبر"),"",LEFT($AI241,4)&amp;MID($AI241,6,2)&amp;RIGHT($AI241,2)&amp;$AJ241&amp;"|"&amp;"3"&amp;RIGHT("00000"&amp;236,5))</f>
        <v/>
      </c>
      <c r="AL241">
        <f>IF($AK241="","",COUNTIFS(LdAParty,$AE241,LdAType,1,LdAKey,"&lt;"&amp;$AK241)+COUNTIFS(LdBMember,$AE241,LdBKey,"&lt;"&amp;$AK241)+COUNTIFS(LdCParty,$AE241,LdCKey,"&lt;"&amp;$AK241)+1)</f>
        <v/>
      </c>
      <c r="AM241">
        <f>IF($AL241="","",$AE241&amp;"|"&amp;RIGHT("000000"&amp;$AL241,6))</f>
        <v/>
      </c>
      <c r="AN241">
        <f>IF($AE241="","",IF(Sync!$W241="",0,Sync!$W241))</f>
        <v/>
      </c>
      <c r="AO241">
        <f>IF($AE241="","",IF(Sync!$X241="",0,Sync!$X241))</f>
        <v/>
      </c>
      <c r="AP241">
        <f>IF($AE241="","",Sync!$R241)</f>
        <v/>
      </c>
      <c r="AQ241">
        <f>IF($AE241="","",Sync!$Y241)</f>
        <v/>
      </c>
    </row>
    <row r="242">
      <c r="A242">
        <f>IF(OR(Wages!$B245="",Wages!$E245=""),"",Wages!$E245)</f>
        <v/>
      </c>
      <c r="B242">
        <f>IF($A242="","",IF(Wages!$C245="دستمزد گروهی",2,1))</f>
        <v/>
      </c>
      <c r="C242">
        <f>IF($A242="","",IF(ISNUMBER(Wages!$B245),IF(AND(Wages!$B245&gt;=10000101,Wages!$B245&lt;=99991231),INT(Wages!$B245/10000),""),IFERROR(VALUE(TRIM(LEFT(Wages!$B245,FIND("/",Wages!$B245)-1))),"")))</f>
        <v/>
      </c>
      <c r="D242">
        <f>IF(OR($A242="",$C242=""),"",IF(ISNUMBER(Wages!$B245),INT(MOD(Wages!$B245,10000)/100),IFERROR(VALUE(TRIM(LEFT(MID(Wages!$B245,FIND("/",Wages!$B245)+1,20),FIND("/",MID(Wages!$B245,FIND("/",Wages!$B245)+1,20))-1))),"")))</f>
        <v/>
      </c>
      <c r="E242">
        <f>IF(OR($A242="",$C242=""),"",IF(ISNUMBER(Wages!$B245),MOD(Wages!$B245,100),IFERROR(VALUE(TRIM(MID(MID(Wages!$B245,FIND("/",Wages!$B245)+1,20),FIND("/",MID(Wages!$B245,FIND("/",Wages!$B245)+1,20))+1,20))),"")))</f>
        <v/>
      </c>
      <c r="F242">
        <f>IF($A242="","",IF(OR($C242="",$D242="",$E242="",$C242&lt;1300,$C242&gt;1500,$D242&lt;1,$D242&gt;12,$E242&lt;1,$E242&gt;31),"نامعتبر",RIGHT("0000"&amp;$C242,4)&amp;"/"&amp;RIGHT("00"&amp;$D242,2)&amp;"/"&amp;RIGHT("00"&amp;$E242,2)))</f>
        <v/>
      </c>
      <c r="G242">
        <f>IF(OR($A242="",$F242="",$F242="نامعتبر"),"",LEFT($F242,4)&amp;MID($F242,6,2)&amp;RIGHT($F242,2)&amp;"0000"&amp;"|"&amp;"1"&amp;RIGHT("00000"&amp;237,5))</f>
        <v/>
      </c>
      <c r="H242">
        <f>IF(OR($B242&lt;&gt;1,$G242=""),"",COUNTIFS(LdAParty,$A242,LdAType,1,LdAKey,"&lt;"&amp;$G242)+COUNTIFS(LdBMember,$A242,LdBKey,"&lt;"&amp;$G242)+COUNTIFS(LdCParty,$A242,LdCKey,"&lt;"&amp;$G242)+1)</f>
        <v/>
      </c>
      <c r="I242">
        <f>IF($H242="","",$A242&amp;"|"&amp;RIGHT("000000"&amp;$H242,6))</f>
        <v/>
      </c>
      <c r="J242">
        <f>IF(OR($B242&lt;&gt;2,$G242=""),"",COUNTIFS(LdAParty,$A242,LdAType,2,LdAKey,"&lt;"&amp;$G242)+1)</f>
        <v/>
      </c>
      <c r="K242">
        <f>IF($J242="","",$A242&amp;"|"&amp;RIGHT("000000"&amp;$J242,6))</f>
        <v/>
      </c>
      <c r="L242">
        <f>IF($A242="","",IF(Wages!$G245="",0,Wages!$G245))</f>
        <v/>
      </c>
      <c r="M242">
        <f>IF($A242="","",Wages!$J245)</f>
        <v/>
      </c>
      <c r="N242">
        <f>IF($A242="","",Wages!$D245)</f>
        <v/>
      </c>
      <c r="P242">
        <f>IF(OR(Shares!$B245="",Shares!$C245=""),"",Shares!$C245)</f>
        <v/>
      </c>
      <c r="Q242">
        <f>IF($P242="","",Shares!$B245)</f>
        <v/>
      </c>
      <c r="R242">
        <f>IF($P242="","",IFERROR(INDEX(WageParty,MATCH($Q242,WageIds,0)),""))</f>
        <v/>
      </c>
      <c r="S242">
        <f>IF($P242="","",IFERROR(INDEX($F$6:$F$2005,MATCH($Q242,WageIds,0)),""))</f>
        <v/>
      </c>
      <c r="T242">
        <f>IF(OR($P242="",$S242="",$S242="نامعتبر"),"",LEFT($S242,4)&amp;MID($S242,6,2)&amp;RIGHT($S242,2)&amp;"0000"&amp;"|"&amp;"2"&amp;RIGHT("00000"&amp;237,5))</f>
        <v/>
      </c>
      <c r="U242">
        <f>IF($T242="","",COUNTIFS(LdAParty,$P242,LdAType,1,LdAKey,"&lt;"&amp;$T242)+COUNTIFS(LdBMember,$P242,LdBKey,"&lt;"&amp;$T242)+COUNTIFS(LdCParty,$P242,LdCKey,"&lt;"&amp;$T242)+1)</f>
        <v/>
      </c>
      <c r="V242">
        <f>IF($U242="","",$P242&amp;"|"&amp;RIGHT("000000"&amp;$U242,6))</f>
        <v/>
      </c>
      <c r="W242">
        <f>IF($T242="","",COUNTIFS(LdBGroup,$R242,LdBKey,"&lt;"&amp;$T242)+1)</f>
        <v/>
      </c>
      <c r="X242">
        <f>IF($W242="","",$R242&amp;"|"&amp;RIGHT("000000"&amp;$W242,6))</f>
        <v/>
      </c>
      <c r="Y242">
        <f>IF($P242="","",IF(Shares!$E245="",0,Shares!$E245))</f>
        <v/>
      </c>
      <c r="Z242">
        <f>IF($P242="","",Shares!$H245)</f>
        <v/>
      </c>
      <c r="AE242">
        <f>IF(OR(Sync!$S242="",Sync!$P242=""),"",Sync!$S242)</f>
        <v/>
      </c>
      <c r="AF242">
        <f>IF($AE242="","",IF(ISNUMBER(Sync!$P242),IF(AND(Sync!$P242&gt;=10000101,Sync!$P242&lt;=99991231),INT(Sync!$P242/10000),""),IFERROR(VALUE(TRIM(LEFT(Sync!$P242,FIND("/",Sync!$P242)-1))),"")))</f>
        <v/>
      </c>
      <c r="AG242">
        <f>IF(OR($AE242="",$AF242=""),"",IF(ISNUMBER(Sync!$P242),INT(MOD(Sync!$P242,10000)/100),IFERROR(VALUE(TRIM(LEFT(MID(Sync!$P242,FIND("/",Sync!$P242)+1,20),FIND("/",MID(Sync!$P242,FIND("/",Sync!$P242)+1,20))-1))),"")))</f>
        <v/>
      </c>
      <c r="AH242">
        <f>IF(OR($AE242="",$AF242=""),"",IF(ISNUMBER(Sync!$P242),MOD(Sync!$P242,100),IFERROR(VALUE(TRIM(MID(MID(Sync!$P242,FIND("/",Sync!$P242)+1,20),FIND("/",MID(Sync!$P242,FIND("/",Sync!$P242)+1,20))+1,20))),"")))</f>
        <v/>
      </c>
      <c r="AI242">
        <f>IF($AE242="","",IF(OR($AF242="",$AG242="",$AH242="",$AF242&lt;1300,$AF242&gt;1500,$AG242&lt;1,$AG242&gt;12,$AH242&lt;1,$AH242&gt;31),"نامعتبر",RIGHT("0000"&amp;$AF242,4)&amp;"/"&amp;RIGHT("00"&amp;$AG242,2)&amp;"/"&amp;RIGHT("00"&amp;$AH242,2)))</f>
        <v/>
      </c>
      <c r="AJ242">
        <f>IF($AE242="","",IF(Sync!$Q242="","0000",IF(AND(ISNUMBER(Sync!$Q242),Sync!$Q242&gt;=0,Sync!$Q242&lt;1),RIGHT("00"&amp;HOUR(Sync!$Q242),2)&amp;RIGHT("00"&amp;MINUTE(Sync!$Q242),2),IFERROR(RIGHT("00"&amp;VALUE(LEFT(Sync!$Q242,FIND(":",Sync!$Q242)-1)),2)&amp;RIGHT("00"&amp;VALUE(MID(Sync!$Q242,FIND(":",Sync!$Q242)+1,2)),2),"0000"))))</f>
        <v/>
      </c>
      <c r="AK242">
        <f>IF(OR($AE242="",$AI242="",$AI242="نامعتبر"),"",LEFT($AI242,4)&amp;MID($AI242,6,2)&amp;RIGHT($AI242,2)&amp;$AJ242&amp;"|"&amp;"3"&amp;RIGHT("00000"&amp;237,5))</f>
        <v/>
      </c>
      <c r="AL242">
        <f>IF($AK242="","",COUNTIFS(LdAParty,$AE242,LdAType,1,LdAKey,"&lt;"&amp;$AK242)+COUNTIFS(LdBMember,$AE242,LdBKey,"&lt;"&amp;$AK242)+COUNTIFS(LdCParty,$AE242,LdCKey,"&lt;"&amp;$AK242)+1)</f>
        <v/>
      </c>
      <c r="AM242">
        <f>IF($AL242="","",$AE242&amp;"|"&amp;RIGHT("000000"&amp;$AL242,6))</f>
        <v/>
      </c>
      <c r="AN242">
        <f>IF($AE242="","",IF(Sync!$W242="",0,Sync!$W242))</f>
        <v/>
      </c>
      <c r="AO242">
        <f>IF($AE242="","",IF(Sync!$X242="",0,Sync!$X242))</f>
        <v/>
      </c>
      <c r="AP242">
        <f>IF($AE242="","",Sync!$R242)</f>
        <v/>
      </c>
      <c r="AQ242">
        <f>IF($AE242="","",Sync!$Y242)</f>
        <v/>
      </c>
    </row>
    <row r="243">
      <c r="A243">
        <f>IF(OR(Wages!$B246="",Wages!$E246=""),"",Wages!$E246)</f>
        <v/>
      </c>
      <c r="B243">
        <f>IF($A243="","",IF(Wages!$C246="دستمزد گروهی",2,1))</f>
        <v/>
      </c>
      <c r="C243">
        <f>IF($A243="","",IF(ISNUMBER(Wages!$B246),IF(AND(Wages!$B246&gt;=10000101,Wages!$B246&lt;=99991231),INT(Wages!$B246/10000),""),IFERROR(VALUE(TRIM(LEFT(Wages!$B246,FIND("/",Wages!$B246)-1))),"")))</f>
        <v/>
      </c>
      <c r="D243">
        <f>IF(OR($A243="",$C243=""),"",IF(ISNUMBER(Wages!$B246),INT(MOD(Wages!$B246,10000)/100),IFERROR(VALUE(TRIM(LEFT(MID(Wages!$B246,FIND("/",Wages!$B246)+1,20),FIND("/",MID(Wages!$B246,FIND("/",Wages!$B246)+1,20))-1))),"")))</f>
        <v/>
      </c>
      <c r="E243">
        <f>IF(OR($A243="",$C243=""),"",IF(ISNUMBER(Wages!$B246),MOD(Wages!$B246,100),IFERROR(VALUE(TRIM(MID(MID(Wages!$B246,FIND("/",Wages!$B246)+1,20),FIND("/",MID(Wages!$B246,FIND("/",Wages!$B246)+1,20))+1,20))),"")))</f>
        <v/>
      </c>
      <c r="F243">
        <f>IF($A243="","",IF(OR($C243="",$D243="",$E243="",$C243&lt;1300,$C243&gt;1500,$D243&lt;1,$D243&gt;12,$E243&lt;1,$E243&gt;31),"نامعتبر",RIGHT("0000"&amp;$C243,4)&amp;"/"&amp;RIGHT("00"&amp;$D243,2)&amp;"/"&amp;RIGHT("00"&amp;$E243,2)))</f>
        <v/>
      </c>
      <c r="G243">
        <f>IF(OR($A243="",$F243="",$F243="نامعتبر"),"",LEFT($F243,4)&amp;MID($F243,6,2)&amp;RIGHT($F243,2)&amp;"0000"&amp;"|"&amp;"1"&amp;RIGHT("00000"&amp;238,5))</f>
        <v/>
      </c>
      <c r="H243">
        <f>IF(OR($B243&lt;&gt;1,$G243=""),"",COUNTIFS(LdAParty,$A243,LdAType,1,LdAKey,"&lt;"&amp;$G243)+COUNTIFS(LdBMember,$A243,LdBKey,"&lt;"&amp;$G243)+COUNTIFS(LdCParty,$A243,LdCKey,"&lt;"&amp;$G243)+1)</f>
        <v/>
      </c>
      <c r="I243">
        <f>IF($H243="","",$A243&amp;"|"&amp;RIGHT("000000"&amp;$H243,6))</f>
        <v/>
      </c>
      <c r="J243">
        <f>IF(OR($B243&lt;&gt;2,$G243=""),"",COUNTIFS(LdAParty,$A243,LdAType,2,LdAKey,"&lt;"&amp;$G243)+1)</f>
        <v/>
      </c>
      <c r="K243">
        <f>IF($J243="","",$A243&amp;"|"&amp;RIGHT("000000"&amp;$J243,6))</f>
        <v/>
      </c>
      <c r="L243">
        <f>IF($A243="","",IF(Wages!$G246="",0,Wages!$G246))</f>
        <v/>
      </c>
      <c r="M243">
        <f>IF($A243="","",Wages!$J246)</f>
        <v/>
      </c>
      <c r="N243">
        <f>IF($A243="","",Wages!$D246)</f>
        <v/>
      </c>
      <c r="P243">
        <f>IF(OR(Shares!$B246="",Shares!$C246=""),"",Shares!$C246)</f>
        <v/>
      </c>
      <c r="Q243">
        <f>IF($P243="","",Shares!$B246)</f>
        <v/>
      </c>
      <c r="R243">
        <f>IF($P243="","",IFERROR(INDEX(WageParty,MATCH($Q243,WageIds,0)),""))</f>
        <v/>
      </c>
      <c r="S243">
        <f>IF($P243="","",IFERROR(INDEX($F$6:$F$2005,MATCH($Q243,WageIds,0)),""))</f>
        <v/>
      </c>
      <c r="T243">
        <f>IF(OR($P243="",$S243="",$S243="نامعتبر"),"",LEFT($S243,4)&amp;MID($S243,6,2)&amp;RIGHT($S243,2)&amp;"0000"&amp;"|"&amp;"2"&amp;RIGHT("00000"&amp;238,5))</f>
        <v/>
      </c>
      <c r="U243">
        <f>IF($T243="","",COUNTIFS(LdAParty,$P243,LdAType,1,LdAKey,"&lt;"&amp;$T243)+COUNTIFS(LdBMember,$P243,LdBKey,"&lt;"&amp;$T243)+COUNTIFS(LdCParty,$P243,LdCKey,"&lt;"&amp;$T243)+1)</f>
        <v/>
      </c>
      <c r="V243">
        <f>IF($U243="","",$P243&amp;"|"&amp;RIGHT("000000"&amp;$U243,6))</f>
        <v/>
      </c>
      <c r="W243">
        <f>IF($T243="","",COUNTIFS(LdBGroup,$R243,LdBKey,"&lt;"&amp;$T243)+1)</f>
        <v/>
      </c>
      <c r="X243">
        <f>IF($W243="","",$R243&amp;"|"&amp;RIGHT("000000"&amp;$W243,6))</f>
        <v/>
      </c>
      <c r="Y243">
        <f>IF($P243="","",IF(Shares!$E246="",0,Shares!$E246))</f>
        <v/>
      </c>
      <c r="Z243">
        <f>IF($P243="","",Shares!$H246)</f>
        <v/>
      </c>
      <c r="AE243">
        <f>IF(OR(Sync!$S243="",Sync!$P243=""),"",Sync!$S243)</f>
        <v/>
      </c>
      <c r="AF243">
        <f>IF($AE243="","",IF(ISNUMBER(Sync!$P243),IF(AND(Sync!$P243&gt;=10000101,Sync!$P243&lt;=99991231),INT(Sync!$P243/10000),""),IFERROR(VALUE(TRIM(LEFT(Sync!$P243,FIND("/",Sync!$P243)-1))),"")))</f>
        <v/>
      </c>
      <c r="AG243">
        <f>IF(OR($AE243="",$AF243=""),"",IF(ISNUMBER(Sync!$P243),INT(MOD(Sync!$P243,10000)/100),IFERROR(VALUE(TRIM(LEFT(MID(Sync!$P243,FIND("/",Sync!$P243)+1,20),FIND("/",MID(Sync!$P243,FIND("/",Sync!$P243)+1,20))-1))),"")))</f>
        <v/>
      </c>
      <c r="AH243">
        <f>IF(OR($AE243="",$AF243=""),"",IF(ISNUMBER(Sync!$P243),MOD(Sync!$P243,100),IFERROR(VALUE(TRIM(MID(MID(Sync!$P243,FIND("/",Sync!$P243)+1,20),FIND("/",MID(Sync!$P243,FIND("/",Sync!$P243)+1,20))+1,20))),"")))</f>
        <v/>
      </c>
      <c r="AI243">
        <f>IF($AE243="","",IF(OR($AF243="",$AG243="",$AH243="",$AF243&lt;1300,$AF243&gt;1500,$AG243&lt;1,$AG243&gt;12,$AH243&lt;1,$AH243&gt;31),"نامعتبر",RIGHT("0000"&amp;$AF243,4)&amp;"/"&amp;RIGHT("00"&amp;$AG243,2)&amp;"/"&amp;RIGHT("00"&amp;$AH243,2)))</f>
        <v/>
      </c>
      <c r="AJ243">
        <f>IF($AE243="","",IF(Sync!$Q243="","0000",IF(AND(ISNUMBER(Sync!$Q243),Sync!$Q243&gt;=0,Sync!$Q243&lt;1),RIGHT("00"&amp;HOUR(Sync!$Q243),2)&amp;RIGHT("00"&amp;MINUTE(Sync!$Q243),2),IFERROR(RIGHT("00"&amp;VALUE(LEFT(Sync!$Q243,FIND(":",Sync!$Q243)-1)),2)&amp;RIGHT("00"&amp;VALUE(MID(Sync!$Q243,FIND(":",Sync!$Q243)+1,2)),2),"0000"))))</f>
        <v/>
      </c>
      <c r="AK243">
        <f>IF(OR($AE243="",$AI243="",$AI243="نامعتبر"),"",LEFT($AI243,4)&amp;MID($AI243,6,2)&amp;RIGHT($AI243,2)&amp;$AJ243&amp;"|"&amp;"3"&amp;RIGHT("00000"&amp;238,5))</f>
        <v/>
      </c>
      <c r="AL243">
        <f>IF($AK243="","",COUNTIFS(LdAParty,$AE243,LdAType,1,LdAKey,"&lt;"&amp;$AK243)+COUNTIFS(LdBMember,$AE243,LdBKey,"&lt;"&amp;$AK243)+COUNTIFS(LdCParty,$AE243,LdCKey,"&lt;"&amp;$AK243)+1)</f>
        <v/>
      </c>
      <c r="AM243">
        <f>IF($AL243="","",$AE243&amp;"|"&amp;RIGHT("000000"&amp;$AL243,6))</f>
        <v/>
      </c>
      <c r="AN243">
        <f>IF($AE243="","",IF(Sync!$W243="",0,Sync!$W243))</f>
        <v/>
      </c>
      <c r="AO243">
        <f>IF($AE243="","",IF(Sync!$X243="",0,Sync!$X243))</f>
        <v/>
      </c>
      <c r="AP243">
        <f>IF($AE243="","",Sync!$R243)</f>
        <v/>
      </c>
      <c r="AQ243">
        <f>IF($AE243="","",Sync!$Y243)</f>
        <v/>
      </c>
    </row>
    <row r="244">
      <c r="A244">
        <f>IF(OR(Wages!$B247="",Wages!$E247=""),"",Wages!$E247)</f>
        <v/>
      </c>
      <c r="B244">
        <f>IF($A244="","",IF(Wages!$C247="دستمزد گروهی",2,1))</f>
        <v/>
      </c>
      <c r="C244">
        <f>IF($A244="","",IF(ISNUMBER(Wages!$B247),IF(AND(Wages!$B247&gt;=10000101,Wages!$B247&lt;=99991231),INT(Wages!$B247/10000),""),IFERROR(VALUE(TRIM(LEFT(Wages!$B247,FIND("/",Wages!$B247)-1))),"")))</f>
        <v/>
      </c>
      <c r="D244">
        <f>IF(OR($A244="",$C244=""),"",IF(ISNUMBER(Wages!$B247),INT(MOD(Wages!$B247,10000)/100),IFERROR(VALUE(TRIM(LEFT(MID(Wages!$B247,FIND("/",Wages!$B247)+1,20),FIND("/",MID(Wages!$B247,FIND("/",Wages!$B247)+1,20))-1))),"")))</f>
        <v/>
      </c>
      <c r="E244">
        <f>IF(OR($A244="",$C244=""),"",IF(ISNUMBER(Wages!$B247),MOD(Wages!$B247,100),IFERROR(VALUE(TRIM(MID(MID(Wages!$B247,FIND("/",Wages!$B247)+1,20),FIND("/",MID(Wages!$B247,FIND("/",Wages!$B247)+1,20))+1,20))),"")))</f>
        <v/>
      </c>
      <c r="F244">
        <f>IF($A244="","",IF(OR($C244="",$D244="",$E244="",$C244&lt;1300,$C244&gt;1500,$D244&lt;1,$D244&gt;12,$E244&lt;1,$E244&gt;31),"نامعتبر",RIGHT("0000"&amp;$C244,4)&amp;"/"&amp;RIGHT("00"&amp;$D244,2)&amp;"/"&amp;RIGHT("00"&amp;$E244,2)))</f>
        <v/>
      </c>
      <c r="G244">
        <f>IF(OR($A244="",$F244="",$F244="نامعتبر"),"",LEFT($F244,4)&amp;MID($F244,6,2)&amp;RIGHT($F244,2)&amp;"0000"&amp;"|"&amp;"1"&amp;RIGHT("00000"&amp;239,5))</f>
        <v/>
      </c>
      <c r="H244">
        <f>IF(OR($B244&lt;&gt;1,$G244=""),"",COUNTIFS(LdAParty,$A244,LdAType,1,LdAKey,"&lt;"&amp;$G244)+COUNTIFS(LdBMember,$A244,LdBKey,"&lt;"&amp;$G244)+COUNTIFS(LdCParty,$A244,LdCKey,"&lt;"&amp;$G244)+1)</f>
        <v/>
      </c>
      <c r="I244">
        <f>IF($H244="","",$A244&amp;"|"&amp;RIGHT("000000"&amp;$H244,6))</f>
        <v/>
      </c>
      <c r="J244">
        <f>IF(OR($B244&lt;&gt;2,$G244=""),"",COUNTIFS(LdAParty,$A244,LdAType,2,LdAKey,"&lt;"&amp;$G244)+1)</f>
        <v/>
      </c>
      <c r="K244">
        <f>IF($J244="","",$A244&amp;"|"&amp;RIGHT("000000"&amp;$J244,6))</f>
        <v/>
      </c>
      <c r="L244">
        <f>IF($A244="","",IF(Wages!$G247="",0,Wages!$G247))</f>
        <v/>
      </c>
      <c r="M244">
        <f>IF($A244="","",Wages!$J247)</f>
        <v/>
      </c>
      <c r="N244">
        <f>IF($A244="","",Wages!$D247)</f>
        <v/>
      </c>
      <c r="P244">
        <f>IF(OR(Shares!$B247="",Shares!$C247=""),"",Shares!$C247)</f>
        <v/>
      </c>
      <c r="Q244">
        <f>IF($P244="","",Shares!$B247)</f>
        <v/>
      </c>
      <c r="R244">
        <f>IF($P244="","",IFERROR(INDEX(WageParty,MATCH($Q244,WageIds,0)),""))</f>
        <v/>
      </c>
      <c r="S244">
        <f>IF($P244="","",IFERROR(INDEX($F$6:$F$2005,MATCH($Q244,WageIds,0)),""))</f>
        <v/>
      </c>
      <c r="T244">
        <f>IF(OR($P244="",$S244="",$S244="نامعتبر"),"",LEFT($S244,4)&amp;MID($S244,6,2)&amp;RIGHT($S244,2)&amp;"0000"&amp;"|"&amp;"2"&amp;RIGHT("00000"&amp;239,5))</f>
        <v/>
      </c>
      <c r="U244">
        <f>IF($T244="","",COUNTIFS(LdAParty,$P244,LdAType,1,LdAKey,"&lt;"&amp;$T244)+COUNTIFS(LdBMember,$P244,LdBKey,"&lt;"&amp;$T244)+COUNTIFS(LdCParty,$P244,LdCKey,"&lt;"&amp;$T244)+1)</f>
        <v/>
      </c>
      <c r="V244">
        <f>IF($U244="","",$P244&amp;"|"&amp;RIGHT("000000"&amp;$U244,6))</f>
        <v/>
      </c>
      <c r="W244">
        <f>IF($T244="","",COUNTIFS(LdBGroup,$R244,LdBKey,"&lt;"&amp;$T244)+1)</f>
        <v/>
      </c>
      <c r="X244">
        <f>IF($W244="","",$R244&amp;"|"&amp;RIGHT("000000"&amp;$W244,6))</f>
        <v/>
      </c>
      <c r="Y244">
        <f>IF($P244="","",IF(Shares!$E247="",0,Shares!$E247))</f>
        <v/>
      </c>
      <c r="Z244">
        <f>IF($P244="","",Shares!$H247)</f>
        <v/>
      </c>
      <c r="AE244">
        <f>IF(OR(Sync!$S244="",Sync!$P244=""),"",Sync!$S244)</f>
        <v/>
      </c>
      <c r="AF244">
        <f>IF($AE244="","",IF(ISNUMBER(Sync!$P244),IF(AND(Sync!$P244&gt;=10000101,Sync!$P244&lt;=99991231),INT(Sync!$P244/10000),""),IFERROR(VALUE(TRIM(LEFT(Sync!$P244,FIND("/",Sync!$P244)-1))),"")))</f>
        <v/>
      </c>
      <c r="AG244">
        <f>IF(OR($AE244="",$AF244=""),"",IF(ISNUMBER(Sync!$P244),INT(MOD(Sync!$P244,10000)/100),IFERROR(VALUE(TRIM(LEFT(MID(Sync!$P244,FIND("/",Sync!$P244)+1,20),FIND("/",MID(Sync!$P244,FIND("/",Sync!$P244)+1,20))-1))),"")))</f>
        <v/>
      </c>
      <c r="AH244">
        <f>IF(OR($AE244="",$AF244=""),"",IF(ISNUMBER(Sync!$P244),MOD(Sync!$P244,100),IFERROR(VALUE(TRIM(MID(MID(Sync!$P244,FIND("/",Sync!$P244)+1,20),FIND("/",MID(Sync!$P244,FIND("/",Sync!$P244)+1,20))+1,20))),"")))</f>
        <v/>
      </c>
      <c r="AI244">
        <f>IF($AE244="","",IF(OR($AF244="",$AG244="",$AH244="",$AF244&lt;1300,$AF244&gt;1500,$AG244&lt;1,$AG244&gt;12,$AH244&lt;1,$AH244&gt;31),"نامعتبر",RIGHT("0000"&amp;$AF244,4)&amp;"/"&amp;RIGHT("00"&amp;$AG244,2)&amp;"/"&amp;RIGHT("00"&amp;$AH244,2)))</f>
        <v/>
      </c>
      <c r="AJ244">
        <f>IF($AE244="","",IF(Sync!$Q244="","0000",IF(AND(ISNUMBER(Sync!$Q244),Sync!$Q244&gt;=0,Sync!$Q244&lt;1),RIGHT("00"&amp;HOUR(Sync!$Q244),2)&amp;RIGHT("00"&amp;MINUTE(Sync!$Q244),2),IFERROR(RIGHT("00"&amp;VALUE(LEFT(Sync!$Q244,FIND(":",Sync!$Q244)-1)),2)&amp;RIGHT("00"&amp;VALUE(MID(Sync!$Q244,FIND(":",Sync!$Q244)+1,2)),2),"0000"))))</f>
        <v/>
      </c>
      <c r="AK244">
        <f>IF(OR($AE244="",$AI244="",$AI244="نامعتبر"),"",LEFT($AI244,4)&amp;MID($AI244,6,2)&amp;RIGHT($AI244,2)&amp;$AJ244&amp;"|"&amp;"3"&amp;RIGHT("00000"&amp;239,5))</f>
        <v/>
      </c>
      <c r="AL244">
        <f>IF($AK244="","",COUNTIFS(LdAParty,$AE244,LdAType,1,LdAKey,"&lt;"&amp;$AK244)+COUNTIFS(LdBMember,$AE244,LdBKey,"&lt;"&amp;$AK244)+COUNTIFS(LdCParty,$AE244,LdCKey,"&lt;"&amp;$AK244)+1)</f>
        <v/>
      </c>
      <c r="AM244">
        <f>IF($AL244="","",$AE244&amp;"|"&amp;RIGHT("000000"&amp;$AL244,6))</f>
        <v/>
      </c>
      <c r="AN244">
        <f>IF($AE244="","",IF(Sync!$W244="",0,Sync!$W244))</f>
        <v/>
      </c>
      <c r="AO244">
        <f>IF($AE244="","",IF(Sync!$X244="",0,Sync!$X244))</f>
        <v/>
      </c>
      <c r="AP244">
        <f>IF($AE244="","",Sync!$R244)</f>
        <v/>
      </c>
      <c r="AQ244">
        <f>IF($AE244="","",Sync!$Y244)</f>
        <v/>
      </c>
    </row>
    <row r="245">
      <c r="A245">
        <f>IF(OR(Wages!$B248="",Wages!$E248=""),"",Wages!$E248)</f>
        <v/>
      </c>
      <c r="B245">
        <f>IF($A245="","",IF(Wages!$C248="دستمزد گروهی",2,1))</f>
        <v/>
      </c>
      <c r="C245">
        <f>IF($A245="","",IF(ISNUMBER(Wages!$B248),IF(AND(Wages!$B248&gt;=10000101,Wages!$B248&lt;=99991231),INT(Wages!$B248/10000),""),IFERROR(VALUE(TRIM(LEFT(Wages!$B248,FIND("/",Wages!$B248)-1))),"")))</f>
        <v/>
      </c>
      <c r="D245">
        <f>IF(OR($A245="",$C245=""),"",IF(ISNUMBER(Wages!$B248),INT(MOD(Wages!$B248,10000)/100),IFERROR(VALUE(TRIM(LEFT(MID(Wages!$B248,FIND("/",Wages!$B248)+1,20),FIND("/",MID(Wages!$B248,FIND("/",Wages!$B248)+1,20))-1))),"")))</f>
        <v/>
      </c>
      <c r="E245">
        <f>IF(OR($A245="",$C245=""),"",IF(ISNUMBER(Wages!$B248),MOD(Wages!$B248,100),IFERROR(VALUE(TRIM(MID(MID(Wages!$B248,FIND("/",Wages!$B248)+1,20),FIND("/",MID(Wages!$B248,FIND("/",Wages!$B248)+1,20))+1,20))),"")))</f>
        <v/>
      </c>
      <c r="F245">
        <f>IF($A245="","",IF(OR($C245="",$D245="",$E245="",$C245&lt;1300,$C245&gt;1500,$D245&lt;1,$D245&gt;12,$E245&lt;1,$E245&gt;31),"نامعتبر",RIGHT("0000"&amp;$C245,4)&amp;"/"&amp;RIGHT("00"&amp;$D245,2)&amp;"/"&amp;RIGHT("00"&amp;$E245,2)))</f>
        <v/>
      </c>
      <c r="G245">
        <f>IF(OR($A245="",$F245="",$F245="نامعتبر"),"",LEFT($F245,4)&amp;MID($F245,6,2)&amp;RIGHT($F245,2)&amp;"0000"&amp;"|"&amp;"1"&amp;RIGHT("00000"&amp;240,5))</f>
        <v/>
      </c>
      <c r="H245">
        <f>IF(OR($B245&lt;&gt;1,$G245=""),"",COUNTIFS(LdAParty,$A245,LdAType,1,LdAKey,"&lt;"&amp;$G245)+COUNTIFS(LdBMember,$A245,LdBKey,"&lt;"&amp;$G245)+COUNTIFS(LdCParty,$A245,LdCKey,"&lt;"&amp;$G245)+1)</f>
        <v/>
      </c>
      <c r="I245">
        <f>IF($H245="","",$A245&amp;"|"&amp;RIGHT("000000"&amp;$H245,6))</f>
        <v/>
      </c>
      <c r="J245">
        <f>IF(OR($B245&lt;&gt;2,$G245=""),"",COUNTIFS(LdAParty,$A245,LdAType,2,LdAKey,"&lt;"&amp;$G245)+1)</f>
        <v/>
      </c>
      <c r="K245">
        <f>IF($J245="","",$A245&amp;"|"&amp;RIGHT("000000"&amp;$J245,6))</f>
        <v/>
      </c>
      <c r="L245">
        <f>IF($A245="","",IF(Wages!$G248="",0,Wages!$G248))</f>
        <v/>
      </c>
      <c r="M245">
        <f>IF($A245="","",Wages!$J248)</f>
        <v/>
      </c>
      <c r="N245">
        <f>IF($A245="","",Wages!$D248)</f>
        <v/>
      </c>
      <c r="P245">
        <f>IF(OR(Shares!$B248="",Shares!$C248=""),"",Shares!$C248)</f>
        <v/>
      </c>
      <c r="Q245">
        <f>IF($P245="","",Shares!$B248)</f>
        <v/>
      </c>
      <c r="R245">
        <f>IF($P245="","",IFERROR(INDEX(WageParty,MATCH($Q245,WageIds,0)),""))</f>
        <v/>
      </c>
      <c r="S245">
        <f>IF($P245="","",IFERROR(INDEX($F$6:$F$2005,MATCH($Q245,WageIds,0)),""))</f>
        <v/>
      </c>
      <c r="T245">
        <f>IF(OR($P245="",$S245="",$S245="نامعتبر"),"",LEFT($S245,4)&amp;MID($S245,6,2)&amp;RIGHT($S245,2)&amp;"0000"&amp;"|"&amp;"2"&amp;RIGHT("00000"&amp;240,5))</f>
        <v/>
      </c>
      <c r="U245">
        <f>IF($T245="","",COUNTIFS(LdAParty,$P245,LdAType,1,LdAKey,"&lt;"&amp;$T245)+COUNTIFS(LdBMember,$P245,LdBKey,"&lt;"&amp;$T245)+COUNTIFS(LdCParty,$P245,LdCKey,"&lt;"&amp;$T245)+1)</f>
        <v/>
      </c>
      <c r="V245">
        <f>IF($U245="","",$P245&amp;"|"&amp;RIGHT("000000"&amp;$U245,6))</f>
        <v/>
      </c>
      <c r="W245">
        <f>IF($T245="","",COUNTIFS(LdBGroup,$R245,LdBKey,"&lt;"&amp;$T245)+1)</f>
        <v/>
      </c>
      <c r="X245">
        <f>IF($W245="","",$R245&amp;"|"&amp;RIGHT("000000"&amp;$W245,6))</f>
        <v/>
      </c>
      <c r="Y245">
        <f>IF($P245="","",IF(Shares!$E248="",0,Shares!$E248))</f>
        <v/>
      </c>
      <c r="Z245">
        <f>IF($P245="","",Shares!$H248)</f>
        <v/>
      </c>
      <c r="AE245">
        <f>IF(OR(Sync!$S245="",Sync!$P245=""),"",Sync!$S245)</f>
        <v/>
      </c>
      <c r="AF245">
        <f>IF($AE245="","",IF(ISNUMBER(Sync!$P245),IF(AND(Sync!$P245&gt;=10000101,Sync!$P245&lt;=99991231),INT(Sync!$P245/10000),""),IFERROR(VALUE(TRIM(LEFT(Sync!$P245,FIND("/",Sync!$P245)-1))),"")))</f>
        <v/>
      </c>
      <c r="AG245">
        <f>IF(OR($AE245="",$AF245=""),"",IF(ISNUMBER(Sync!$P245),INT(MOD(Sync!$P245,10000)/100),IFERROR(VALUE(TRIM(LEFT(MID(Sync!$P245,FIND("/",Sync!$P245)+1,20),FIND("/",MID(Sync!$P245,FIND("/",Sync!$P245)+1,20))-1))),"")))</f>
        <v/>
      </c>
      <c r="AH245">
        <f>IF(OR($AE245="",$AF245=""),"",IF(ISNUMBER(Sync!$P245),MOD(Sync!$P245,100),IFERROR(VALUE(TRIM(MID(MID(Sync!$P245,FIND("/",Sync!$P245)+1,20),FIND("/",MID(Sync!$P245,FIND("/",Sync!$P245)+1,20))+1,20))),"")))</f>
        <v/>
      </c>
      <c r="AI245">
        <f>IF($AE245="","",IF(OR($AF245="",$AG245="",$AH245="",$AF245&lt;1300,$AF245&gt;1500,$AG245&lt;1,$AG245&gt;12,$AH245&lt;1,$AH245&gt;31),"نامعتبر",RIGHT("0000"&amp;$AF245,4)&amp;"/"&amp;RIGHT("00"&amp;$AG245,2)&amp;"/"&amp;RIGHT("00"&amp;$AH245,2)))</f>
        <v/>
      </c>
      <c r="AJ245">
        <f>IF($AE245="","",IF(Sync!$Q245="","0000",IF(AND(ISNUMBER(Sync!$Q245),Sync!$Q245&gt;=0,Sync!$Q245&lt;1),RIGHT("00"&amp;HOUR(Sync!$Q245),2)&amp;RIGHT("00"&amp;MINUTE(Sync!$Q245),2),IFERROR(RIGHT("00"&amp;VALUE(LEFT(Sync!$Q245,FIND(":",Sync!$Q245)-1)),2)&amp;RIGHT("00"&amp;VALUE(MID(Sync!$Q245,FIND(":",Sync!$Q245)+1,2)),2),"0000"))))</f>
        <v/>
      </c>
      <c r="AK245">
        <f>IF(OR($AE245="",$AI245="",$AI245="نامعتبر"),"",LEFT($AI245,4)&amp;MID($AI245,6,2)&amp;RIGHT($AI245,2)&amp;$AJ245&amp;"|"&amp;"3"&amp;RIGHT("00000"&amp;240,5))</f>
        <v/>
      </c>
      <c r="AL245">
        <f>IF($AK245="","",COUNTIFS(LdAParty,$AE245,LdAType,1,LdAKey,"&lt;"&amp;$AK245)+COUNTIFS(LdBMember,$AE245,LdBKey,"&lt;"&amp;$AK245)+COUNTIFS(LdCParty,$AE245,LdCKey,"&lt;"&amp;$AK245)+1)</f>
        <v/>
      </c>
      <c r="AM245">
        <f>IF($AL245="","",$AE245&amp;"|"&amp;RIGHT("000000"&amp;$AL245,6))</f>
        <v/>
      </c>
      <c r="AN245">
        <f>IF($AE245="","",IF(Sync!$W245="",0,Sync!$W245))</f>
        <v/>
      </c>
      <c r="AO245">
        <f>IF($AE245="","",IF(Sync!$X245="",0,Sync!$X245))</f>
        <v/>
      </c>
      <c r="AP245">
        <f>IF($AE245="","",Sync!$R245)</f>
        <v/>
      </c>
      <c r="AQ245">
        <f>IF($AE245="","",Sync!$Y245)</f>
        <v/>
      </c>
    </row>
    <row r="246">
      <c r="A246">
        <f>IF(OR(Wages!$B249="",Wages!$E249=""),"",Wages!$E249)</f>
        <v/>
      </c>
      <c r="B246">
        <f>IF($A246="","",IF(Wages!$C249="دستمزد گروهی",2,1))</f>
        <v/>
      </c>
      <c r="C246">
        <f>IF($A246="","",IF(ISNUMBER(Wages!$B249),IF(AND(Wages!$B249&gt;=10000101,Wages!$B249&lt;=99991231),INT(Wages!$B249/10000),""),IFERROR(VALUE(TRIM(LEFT(Wages!$B249,FIND("/",Wages!$B249)-1))),"")))</f>
        <v/>
      </c>
      <c r="D246">
        <f>IF(OR($A246="",$C246=""),"",IF(ISNUMBER(Wages!$B249),INT(MOD(Wages!$B249,10000)/100),IFERROR(VALUE(TRIM(LEFT(MID(Wages!$B249,FIND("/",Wages!$B249)+1,20),FIND("/",MID(Wages!$B249,FIND("/",Wages!$B249)+1,20))-1))),"")))</f>
        <v/>
      </c>
      <c r="E246">
        <f>IF(OR($A246="",$C246=""),"",IF(ISNUMBER(Wages!$B249),MOD(Wages!$B249,100),IFERROR(VALUE(TRIM(MID(MID(Wages!$B249,FIND("/",Wages!$B249)+1,20),FIND("/",MID(Wages!$B249,FIND("/",Wages!$B249)+1,20))+1,20))),"")))</f>
        <v/>
      </c>
      <c r="F246">
        <f>IF($A246="","",IF(OR($C246="",$D246="",$E246="",$C246&lt;1300,$C246&gt;1500,$D246&lt;1,$D246&gt;12,$E246&lt;1,$E246&gt;31),"نامعتبر",RIGHT("0000"&amp;$C246,4)&amp;"/"&amp;RIGHT("00"&amp;$D246,2)&amp;"/"&amp;RIGHT("00"&amp;$E246,2)))</f>
        <v/>
      </c>
      <c r="G246">
        <f>IF(OR($A246="",$F246="",$F246="نامعتبر"),"",LEFT($F246,4)&amp;MID($F246,6,2)&amp;RIGHT($F246,2)&amp;"0000"&amp;"|"&amp;"1"&amp;RIGHT("00000"&amp;241,5))</f>
        <v/>
      </c>
      <c r="H246">
        <f>IF(OR($B246&lt;&gt;1,$G246=""),"",COUNTIFS(LdAParty,$A246,LdAType,1,LdAKey,"&lt;"&amp;$G246)+COUNTIFS(LdBMember,$A246,LdBKey,"&lt;"&amp;$G246)+COUNTIFS(LdCParty,$A246,LdCKey,"&lt;"&amp;$G246)+1)</f>
        <v/>
      </c>
      <c r="I246">
        <f>IF($H246="","",$A246&amp;"|"&amp;RIGHT("000000"&amp;$H246,6))</f>
        <v/>
      </c>
      <c r="J246">
        <f>IF(OR($B246&lt;&gt;2,$G246=""),"",COUNTIFS(LdAParty,$A246,LdAType,2,LdAKey,"&lt;"&amp;$G246)+1)</f>
        <v/>
      </c>
      <c r="K246">
        <f>IF($J246="","",$A246&amp;"|"&amp;RIGHT("000000"&amp;$J246,6))</f>
        <v/>
      </c>
      <c r="L246">
        <f>IF($A246="","",IF(Wages!$G249="",0,Wages!$G249))</f>
        <v/>
      </c>
      <c r="M246">
        <f>IF($A246="","",Wages!$J249)</f>
        <v/>
      </c>
      <c r="N246">
        <f>IF($A246="","",Wages!$D249)</f>
        <v/>
      </c>
      <c r="P246">
        <f>IF(OR(Shares!$B249="",Shares!$C249=""),"",Shares!$C249)</f>
        <v/>
      </c>
      <c r="Q246">
        <f>IF($P246="","",Shares!$B249)</f>
        <v/>
      </c>
      <c r="R246">
        <f>IF($P246="","",IFERROR(INDEX(WageParty,MATCH($Q246,WageIds,0)),""))</f>
        <v/>
      </c>
      <c r="S246">
        <f>IF($P246="","",IFERROR(INDEX($F$6:$F$2005,MATCH($Q246,WageIds,0)),""))</f>
        <v/>
      </c>
      <c r="T246">
        <f>IF(OR($P246="",$S246="",$S246="نامعتبر"),"",LEFT($S246,4)&amp;MID($S246,6,2)&amp;RIGHT($S246,2)&amp;"0000"&amp;"|"&amp;"2"&amp;RIGHT("00000"&amp;241,5))</f>
        <v/>
      </c>
      <c r="U246">
        <f>IF($T246="","",COUNTIFS(LdAParty,$P246,LdAType,1,LdAKey,"&lt;"&amp;$T246)+COUNTIFS(LdBMember,$P246,LdBKey,"&lt;"&amp;$T246)+COUNTIFS(LdCParty,$P246,LdCKey,"&lt;"&amp;$T246)+1)</f>
        <v/>
      </c>
      <c r="V246">
        <f>IF($U246="","",$P246&amp;"|"&amp;RIGHT("000000"&amp;$U246,6))</f>
        <v/>
      </c>
      <c r="W246">
        <f>IF($T246="","",COUNTIFS(LdBGroup,$R246,LdBKey,"&lt;"&amp;$T246)+1)</f>
        <v/>
      </c>
      <c r="X246">
        <f>IF($W246="","",$R246&amp;"|"&amp;RIGHT("000000"&amp;$W246,6))</f>
        <v/>
      </c>
      <c r="Y246">
        <f>IF($P246="","",IF(Shares!$E249="",0,Shares!$E249))</f>
        <v/>
      </c>
      <c r="Z246">
        <f>IF($P246="","",Shares!$H249)</f>
        <v/>
      </c>
      <c r="AE246">
        <f>IF(OR(Sync!$S246="",Sync!$P246=""),"",Sync!$S246)</f>
        <v/>
      </c>
      <c r="AF246">
        <f>IF($AE246="","",IF(ISNUMBER(Sync!$P246),IF(AND(Sync!$P246&gt;=10000101,Sync!$P246&lt;=99991231),INT(Sync!$P246/10000),""),IFERROR(VALUE(TRIM(LEFT(Sync!$P246,FIND("/",Sync!$P246)-1))),"")))</f>
        <v/>
      </c>
      <c r="AG246">
        <f>IF(OR($AE246="",$AF246=""),"",IF(ISNUMBER(Sync!$P246),INT(MOD(Sync!$P246,10000)/100),IFERROR(VALUE(TRIM(LEFT(MID(Sync!$P246,FIND("/",Sync!$P246)+1,20),FIND("/",MID(Sync!$P246,FIND("/",Sync!$P246)+1,20))-1))),"")))</f>
        <v/>
      </c>
      <c r="AH246">
        <f>IF(OR($AE246="",$AF246=""),"",IF(ISNUMBER(Sync!$P246),MOD(Sync!$P246,100),IFERROR(VALUE(TRIM(MID(MID(Sync!$P246,FIND("/",Sync!$P246)+1,20),FIND("/",MID(Sync!$P246,FIND("/",Sync!$P246)+1,20))+1,20))),"")))</f>
        <v/>
      </c>
      <c r="AI246">
        <f>IF($AE246="","",IF(OR($AF246="",$AG246="",$AH246="",$AF246&lt;1300,$AF246&gt;1500,$AG246&lt;1,$AG246&gt;12,$AH246&lt;1,$AH246&gt;31),"نامعتبر",RIGHT("0000"&amp;$AF246,4)&amp;"/"&amp;RIGHT("00"&amp;$AG246,2)&amp;"/"&amp;RIGHT("00"&amp;$AH246,2)))</f>
        <v/>
      </c>
      <c r="AJ246">
        <f>IF($AE246="","",IF(Sync!$Q246="","0000",IF(AND(ISNUMBER(Sync!$Q246),Sync!$Q246&gt;=0,Sync!$Q246&lt;1),RIGHT("00"&amp;HOUR(Sync!$Q246),2)&amp;RIGHT("00"&amp;MINUTE(Sync!$Q246),2),IFERROR(RIGHT("00"&amp;VALUE(LEFT(Sync!$Q246,FIND(":",Sync!$Q246)-1)),2)&amp;RIGHT("00"&amp;VALUE(MID(Sync!$Q246,FIND(":",Sync!$Q246)+1,2)),2),"0000"))))</f>
        <v/>
      </c>
      <c r="AK246">
        <f>IF(OR($AE246="",$AI246="",$AI246="نامعتبر"),"",LEFT($AI246,4)&amp;MID($AI246,6,2)&amp;RIGHT($AI246,2)&amp;$AJ246&amp;"|"&amp;"3"&amp;RIGHT("00000"&amp;241,5))</f>
        <v/>
      </c>
      <c r="AL246">
        <f>IF($AK246="","",COUNTIFS(LdAParty,$AE246,LdAType,1,LdAKey,"&lt;"&amp;$AK246)+COUNTIFS(LdBMember,$AE246,LdBKey,"&lt;"&amp;$AK246)+COUNTIFS(LdCParty,$AE246,LdCKey,"&lt;"&amp;$AK246)+1)</f>
        <v/>
      </c>
      <c r="AM246">
        <f>IF($AL246="","",$AE246&amp;"|"&amp;RIGHT("000000"&amp;$AL246,6))</f>
        <v/>
      </c>
      <c r="AN246">
        <f>IF($AE246="","",IF(Sync!$W246="",0,Sync!$W246))</f>
        <v/>
      </c>
      <c r="AO246">
        <f>IF($AE246="","",IF(Sync!$X246="",0,Sync!$X246))</f>
        <v/>
      </c>
      <c r="AP246">
        <f>IF($AE246="","",Sync!$R246)</f>
        <v/>
      </c>
      <c r="AQ246">
        <f>IF($AE246="","",Sync!$Y246)</f>
        <v/>
      </c>
    </row>
    <row r="247">
      <c r="A247">
        <f>IF(OR(Wages!$B250="",Wages!$E250=""),"",Wages!$E250)</f>
        <v/>
      </c>
      <c r="B247">
        <f>IF($A247="","",IF(Wages!$C250="دستمزد گروهی",2,1))</f>
        <v/>
      </c>
      <c r="C247">
        <f>IF($A247="","",IF(ISNUMBER(Wages!$B250),IF(AND(Wages!$B250&gt;=10000101,Wages!$B250&lt;=99991231),INT(Wages!$B250/10000),""),IFERROR(VALUE(TRIM(LEFT(Wages!$B250,FIND("/",Wages!$B250)-1))),"")))</f>
        <v/>
      </c>
      <c r="D247">
        <f>IF(OR($A247="",$C247=""),"",IF(ISNUMBER(Wages!$B250),INT(MOD(Wages!$B250,10000)/100),IFERROR(VALUE(TRIM(LEFT(MID(Wages!$B250,FIND("/",Wages!$B250)+1,20),FIND("/",MID(Wages!$B250,FIND("/",Wages!$B250)+1,20))-1))),"")))</f>
        <v/>
      </c>
      <c r="E247">
        <f>IF(OR($A247="",$C247=""),"",IF(ISNUMBER(Wages!$B250),MOD(Wages!$B250,100),IFERROR(VALUE(TRIM(MID(MID(Wages!$B250,FIND("/",Wages!$B250)+1,20),FIND("/",MID(Wages!$B250,FIND("/",Wages!$B250)+1,20))+1,20))),"")))</f>
        <v/>
      </c>
      <c r="F247">
        <f>IF($A247="","",IF(OR($C247="",$D247="",$E247="",$C247&lt;1300,$C247&gt;1500,$D247&lt;1,$D247&gt;12,$E247&lt;1,$E247&gt;31),"نامعتبر",RIGHT("0000"&amp;$C247,4)&amp;"/"&amp;RIGHT("00"&amp;$D247,2)&amp;"/"&amp;RIGHT("00"&amp;$E247,2)))</f>
        <v/>
      </c>
      <c r="G247">
        <f>IF(OR($A247="",$F247="",$F247="نامعتبر"),"",LEFT($F247,4)&amp;MID($F247,6,2)&amp;RIGHT($F247,2)&amp;"0000"&amp;"|"&amp;"1"&amp;RIGHT("00000"&amp;242,5))</f>
        <v/>
      </c>
      <c r="H247">
        <f>IF(OR($B247&lt;&gt;1,$G247=""),"",COUNTIFS(LdAParty,$A247,LdAType,1,LdAKey,"&lt;"&amp;$G247)+COUNTIFS(LdBMember,$A247,LdBKey,"&lt;"&amp;$G247)+COUNTIFS(LdCParty,$A247,LdCKey,"&lt;"&amp;$G247)+1)</f>
        <v/>
      </c>
      <c r="I247">
        <f>IF($H247="","",$A247&amp;"|"&amp;RIGHT("000000"&amp;$H247,6))</f>
        <v/>
      </c>
      <c r="J247">
        <f>IF(OR($B247&lt;&gt;2,$G247=""),"",COUNTIFS(LdAParty,$A247,LdAType,2,LdAKey,"&lt;"&amp;$G247)+1)</f>
        <v/>
      </c>
      <c r="K247">
        <f>IF($J247="","",$A247&amp;"|"&amp;RIGHT("000000"&amp;$J247,6))</f>
        <v/>
      </c>
      <c r="L247">
        <f>IF($A247="","",IF(Wages!$G250="",0,Wages!$G250))</f>
        <v/>
      </c>
      <c r="M247">
        <f>IF($A247="","",Wages!$J250)</f>
        <v/>
      </c>
      <c r="N247">
        <f>IF($A247="","",Wages!$D250)</f>
        <v/>
      </c>
      <c r="P247">
        <f>IF(OR(Shares!$B250="",Shares!$C250=""),"",Shares!$C250)</f>
        <v/>
      </c>
      <c r="Q247">
        <f>IF($P247="","",Shares!$B250)</f>
        <v/>
      </c>
      <c r="R247">
        <f>IF($P247="","",IFERROR(INDEX(WageParty,MATCH($Q247,WageIds,0)),""))</f>
        <v/>
      </c>
      <c r="S247">
        <f>IF($P247="","",IFERROR(INDEX($F$6:$F$2005,MATCH($Q247,WageIds,0)),""))</f>
        <v/>
      </c>
      <c r="T247">
        <f>IF(OR($P247="",$S247="",$S247="نامعتبر"),"",LEFT($S247,4)&amp;MID($S247,6,2)&amp;RIGHT($S247,2)&amp;"0000"&amp;"|"&amp;"2"&amp;RIGHT("00000"&amp;242,5))</f>
        <v/>
      </c>
      <c r="U247">
        <f>IF($T247="","",COUNTIFS(LdAParty,$P247,LdAType,1,LdAKey,"&lt;"&amp;$T247)+COUNTIFS(LdBMember,$P247,LdBKey,"&lt;"&amp;$T247)+COUNTIFS(LdCParty,$P247,LdCKey,"&lt;"&amp;$T247)+1)</f>
        <v/>
      </c>
      <c r="V247">
        <f>IF($U247="","",$P247&amp;"|"&amp;RIGHT("000000"&amp;$U247,6))</f>
        <v/>
      </c>
      <c r="W247">
        <f>IF($T247="","",COUNTIFS(LdBGroup,$R247,LdBKey,"&lt;"&amp;$T247)+1)</f>
        <v/>
      </c>
      <c r="X247">
        <f>IF($W247="","",$R247&amp;"|"&amp;RIGHT("000000"&amp;$W247,6))</f>
        <v/>
      </c>
      <c r="Y247">
        <f>IF($P247="","",IF(Shares!$E250="",0,Shares!$E250))</f>
        <v/>
      </c>
      <c r="Z247">
        <f>IF($P247="","",Shares!$H250)</f>
        <v/>
      </c>
      <c r="AE247">
        <f>IF(OR(Sync!$S247="",Sync!$P247=""),"",Sync!$S247)</f>
        <v/>
      </c>
      <c r="AF247">
        <f>IF($AE247="","",IF(ISNUMBER(Sync!$P247),IF(AND(Sync!$P247&gt;=10000101,Sync!$P247&lt;=99991231),INT(Sync!$P247/10000),""),IFERROR(VALUE(TRIM(LEFT(Sync!$P247,FIND("/",Sync!$P247)-1))),"")))</f>
        <v/>
      </c>
      <c r="AG247">
        <f>IF(OR($AE247="",$AF247=""),"",IF(ISNUMBER(Sync!$P247),INT(MOD(Sync!$P247,10000)/100),IFERROR(VALUE(TRIM(LEFT(MID(Sync!$P247,FIND("/",Sync!$P247)+1,20),FIND("/",MID(Sync!$P247,FIND("/",Sync!$P247)+1,20))-1))),"")))</f>
        <v/>
      </c>
      <c r="AH247">
        <f>IF(OR($AE247="",$AF247=""),"",IF(ISNUMBER(Sync!$P247),MOD(Sync!$P247,100),IFERROR(VALUE(TRIM(MID(MID(Sync!$P247,FIND("/",Sync!$P247)+1,20),FIND("/",MID(Sync!$P247,FIND("/",Sync!$P247)+1,20))+1,20))),"")))</f>
        <v/>
      </c>
      <c r="AI247">
        <f>IF($AE247="","",IF(OR($AF247="",$AG247="",$AH247="",$AF247&lt;1300,$AF247&gt;1500,$AG247&lt;1,$AG247&gt;12,$AH247&lt;1,$AH247&gt;31),"نامعتبر",RIGHT("0000"&amp;$AF247,4)&amp;"/"&amp;RIGHT("00"&amp;$AG247,2)&amp;"/"&amp;RIGHT("00"&amp;$AH247,2)))</f>
        <v/>
      </c>
      <c r="AJ247">
        <f>IF($AE247="","",IF(Sync!$Q247="","0000",IF(AND(ISNUMBER(Sync!$Q247),Sync!$Q247&gt;=0,Sync!$Q247&lt;1),RIGHT("00"&amp;HOUR(Sync!$Q247),2)&amp;RIGHT("00"&amp;MINUTE(Sync!$Q247),2),IFERROR(RIGHT("00"&amp;VALUE(LEFT(Sync!$Q247,FIND(":",Sync!$Q247)-1)),2)&amp;RIGHT("00"&amp;VALUE(MID(Sync!$Q247,FIND(":",Sync!$Q247)+1,2)),2),"0000"))))</f>
        <v/>
      </c>
      <c r="AK247">
        <f>IF(OR($AE247="",$AI247="",$AI247="نامعتبر"),"",LEFT($AI247,4)&amp;MID($AI247,6,2)&amp;RIGHT($AI247,2)&amp;$AJ247&amp;"|"&amp;"3"&amp;RIGHT("00000"&amp;242,5))</f>
        <v/>
      </c>
      <c r="AL247">
        <f>IF($AK247="","",COUNTIFS(LdAParty,$AE247,LdAType,1,LdAKey,"&lt;"&amp;$AK247)+COUNTIFS(LdBMember,$AE247,LdBKey,"&lt;"&amp;$AK247)+COUNTIFS(LdCParty,$AE247,LdCKey,"&lt;"&amp;$AK247)+1)</f>
        <v/>
      </c>
      <c r="AM247">
        <f>IF($AL247="","",$AE247&amp;"|"&amp;RIGHT("000000"&amp;$AL247,6))</f>
        <v/>
      </c>
      <c r="AN247">
        <f>IF($AE247="","",IF(Sync!$W247="",0,Sync!$W247))</f>
        <v/>
      </c>
      <c r="AO247">
        <f>IF($AE247="","",IF(Sync!$X247="",0,Sync!$X247))</f>
        <v/>
      </c>
      <c r="AP247">
        <f>IF($AE247="","",Sync!$R247)</f>
        <v/>
      </c>
      <c r="AQ247">
        <f>IF($AE247="","",Sync!$Y247)</f>
        <v/>
      </c>
    </row>
    <row r="248">
      <c r="A248">
        <f>IF(OR(Wages!$B251="",Wages!$E251=""),"",Wages!$E251)</f>
        <v/>
      </c>
      <c r="B248">
        <f>IF($A248="","",IF(Wages!$C251="دستمزد گروهی",2,1))</f>
        <v/>
      </c>
      <c r="C248">
        <f>IF($A248="","",IF(ISNUMBER(Wages!$B251),IF(AND(Wages!$B251&gt;=10000101,Wages!$B251&lt;=99991231),INT(Wages!$B251/10000),""),IFERROR(VALUE(TRIM(LEFT(Wages!$B251,FIND("/",Wages!$B251)-1))),"")))</f>
        <v/>
      </c>
      <c r="D248">
        <f>IF(OR($A248="",$C248=""),"",IF(ISNUMBER(Wages!$B251),INT(MOD(Wages!$B251,10000)/100),IFERROR(VALUE(TRIM(LEFT(MID(Wages!$B251,FIND("/",Wages!$B251)+1,20),FIND("/",MID(Wages!$B251,FIND("/",Wages!$B251)+1,20))-1))),"")))</f>
        <v/>
      </c>
      <c r="E248">
        <f>IF(OR($A248="",$C248=""),"",IF(ISNUMBER(Wages!$B251),MOD(Wages!$B251,100),IFERROR(VALUE(TRIM(MID(MID(Wages!$B251,FIND("/",Wages!$B251)+1,20),FIND("/",MID(Wages!$B251,FIND("/",Wages!$B251)+1,20))+1,20))),"")))</f>
        <v/>
      </c>
      <c r="F248">
        <f>IF($A248="","",IF(OR($C248="",$D248="",$E248="",$C248&lt;1300,$C248&gt;1500,$D248&lt;1,$D248&gt;12,$E248&lt;1,$E248&gt;31),"نامعتبر",RIGHT("0000"&amp;$C248,4)&amp;"/"&amp;RIGHT("00"&amp;$D248,2)&amp;"/"&amp;RIGHT("00"&amp;$E248,2)))</f>
        <v/>
      </c>
      <c r="G248">
        <f>IF(OR($A248="",$F248="",$F248="نامعتبر"),"",LEFT($F248,4)&amp;MID($F248,6,2)&amp;RIGHT($F248,2)&amp;"0000"&amp;"|"&amp;"1"&amp;RIGHT("00000"&amp;243,5))</f>
        <v/>
      </c>
      <c r="H248">
        <f>IF(OR($B248&lt;&gt;1,$G248=""),"",COUNTIFS(LdAParty,$A248,LdAType,1,LdAKey,"&lt;"&amp;$G248)+COUNTIFS(LdBMember,$A248,LdBKey,"&lt;"&amp;$G248)+COUNTIFS(LdCParty,$A248,LdCKey,"&lt;"&amp;$G248)+1)</f>
        <v/>
      </c>
      <c r="I248">
        <f>IF($H248="","",$A248&amp;"|"&amp;RIGHT("000000"&amp;$H248,6))</f>
        <v/>
      </c>
      <c r="J248">
        <f>IF(OR($B248&lt;&gt;2,$G248=""),"",COUNTIFS(LdAParty,$A248,LdAType,2,LdAKey,"&lt;"&amp;$G248)+1)</f>
        <v/>
      </c>
      <c r="K248">
        <f>IF($J248="","",$A248&amp;"|"&amp;RIGHT("000000"&amp;$J248,6))</f>
        <v/>
      </c>
      <c r="L248">
        <f>IF($A248="","",IF(Wages!$G251="",0,Wages!$G251))</f>
        <v/>
      </c>
      <c r="M248">
        <f>IF($A248="","",Wages!$J251)</f>
        <v/>
      </c>
      <c r="N248">
        <f>IF($A248="","",Wages!$D251)</f>
        <v/>
      </c>
      <c r="P248">
        <f>IF(OR(Shares!$B251="",Shares!$C251=""),"",Shares!$C251)</f>
        <v/>
      </c>
      <c r="Q248">
        <f>IF($P248="","",Shares!$B251)</f>
        <v/>
      </c>
      <c r="R248">
        <f>IF($P248="","",IFERROR(INDEX(WageParty,MATCH($Q248,WageIds,0)),""))</f>
        <v/>
      </c>
      <c r="S248">
        <f>IF($P248="","",IFERROR(INDEX($F$6:$F$2005,MATCH($Q248,WageIds,0)),""))</f>
        <v/>
      </c>
      <c r="T248">
        <f>IF(OR($P248="",$S248="",$S248="نامعتبر"),"",LEFT($S248,4)&amp;MID($S248,6,2)&amp;RIGHT($S248,2)&amp;"0000"&amp;"|"&amp;"2"&amp;RIGHT("00000"&amp;243,5))</f>
        <v/>
      </c>
      <c r="U248">
        <f>IF($T248="","",COUNTIFS(LdAParty,$P248,LdAType,1,LdAKey,"&lt;"&amp;$T248)+COUNTIFS(LdBMember,$P248,LdBKey,"&lt;"&amp;$T248)+COUNTIFS(LdCParty,$P248,LdCKey,"&lt;"&amp;$T248)+1)</f>
        <v/>
      </c>
      <c r="V248">
        <f>IF($U248="","",$P248&amp;"|"&amp;RIGHT("000000"&amp;$U248,6))</f>
        <v/>
      </c>
      <c r="W248">
        <f>IF($T248="","",COUNTIFS(LdBGroup,$R248,LdBKey,"&lt;"&amp;$T248)+1)</f>
        <v/>
      </c>
      <c r="X248">
        <f>IF($W248="","",$R248&amp;"|"&amp;RIGHT("000000"&amp;$W248,6))</f>
        <v/>
      </c>
      <c r="Y248">
        <f>IF($P248="","",IF(Shares!$E251="",0,Shares!$E251))</f>
        <v/>
      </c>
      <c r="Z248">
        <f>IF($P248="","",Shares!$H251)</f>
        <v/>
      </c>
      <c r="AE248">
        <f>IF(OR(Sync!$S248="",Sync!$P248=""),"",Sync!$S248)</f>
        <v/>
      </c>
      <c r="AF248">
        <f>IF($AE248="","",IF(ISNUMBER(Sync!$P248),IF(AND(Sync!$P248&gt;=10000101,Sync!$P248&lt;=99991231),INT(Sync!$P248/10000),""),IFERROR(VALUE(TRIM(LEFT(Sync!$P248,FIND("/",Sync!$P248)-1))),"")))</f>
        <v/>
      </c>
      <c r="AG248">
        <f>IF(OR($AE248="",$AF248=""),"",IF(ISNUMBER(Sync!$P248),INT(MOD(Sync!$P248,10000)/100),IFERROR(VALUE(TRIM(LEFT(MID(Sync!$P248,FIND("/",Sync!$P248)+1,20),FIND("/",MID(Sync!$P248,FIND("/",Sync!$P248)+1,20))-1))),"")))</f>
        <v/>
      </c>
      <c r="AH248">
        <f>IF(OR($AE248="",$AF248=""),"",IF(ISNUMBER(Sync!$P248),MOD(Sync!$P248,100),IFERROR(VALUE(TRIM(MID(MID(Sync!$P248,FIND("/",Sync!$P248)+1,20),FIND("/",MID(Sync!$P248,FIND("/",Sync!$P248)+1,20))+1,20))),"")))</f>
        <v/>
      </c>
      <c r="AI248">
        <f>IF($AE248="","",IF(OR($AF248="",$AG248="",$AH248="",$AF248&lt;1300,$AF248&gt;1500,$AG248&lt;1,$AG248&gt;12,$AH248&lt;1,$AH248&gt;31),"نامعتبر",RIGHT("0000"&amp;$AF248,4)&amp;"/"&amp;RIGHT("00"&amp;$AG248,2)&amp;"/"&amp;RIGHT("00"&amp;$AH248,2)))</f>
        <v/>
      </c>
      <c r="AJ248">
        <f>IF($AE248="","",IF(Sync!$Q248="","0000",IF(AND(ISNUMBER(Sync!$Q248),Sync!$Q248&gt;=0,Sync!$Q248&lt;1),RIGHT("00"&amp;HOUR(Sync!$Q248),2)&amp;RIGHT("00"&amp;MINUTE(Sync!$Q248),2),IFERROR(RIGHT("00"&amp;VALUE(LEFT(Sync!$Q248,FIND(":",Sync!$Q248)-1)),2)&amp;RIGHT("00"&amp;VALUE(MID(Sync!$Q248,FIND(":",Sync!$Q248)+1,2)),2),"0000"))))</f>
        <v/>
      </c>
      <c r="AK248">
        <f>IF(OR($AE248="",$AI248="",$AI248="نامعتبر"),"",LEFT($AI248,4)&amp;MID($AI248,6,2)&amp;RIGHT($AI248,2)&amp;$AJ248&amp;"|"&amp;"3"&amp;RIGHT("00000"&amp;243,5))</f>
        <v/>
      </c>
      <c r="AL248">
        <f>IF($AK248="","",COUNTIFS(LdAParty,$AE248,LdAType,1,LdAKey,"&lt;"&amp;$AK248)+COUNTIFS(LdBMember,$AE248,LdBKey,"&lt;"&amp;$AK248)+COUNTIFS(LdCParty,$AE248,LdCKey,"&lt;"&amp;$AK248)+1)</f>
        <v/>
      </c>
      <c r="AM248">
        <f>IF($AL248="","",$AE248&amp;"|"&amp;RIGHT("000000"&amp;$AL248,6))</f>
        <v/>
      </c>
      <c r="AN248">
        <f>IF($AE248="","",IF(Sync!$W248="",0,Sync!$W248))</f>
        <v/>
      </c>
      <c r="AO248">
        <f>IF($AE248="","",IF(Sync!$X248="",0,Sync!$X248))</f>
        <v/>
      </c>
      <c r="AP248">
        <f>IF($AE248="","",Sync!$R248)</f>
        <v/>
      </c>
      <c r="AQ248">
        <f>IF($AE248="","",Sync!$Y248)</f>
        <v/>
      </c>
    </row>
    <row r="249">
      <c r="A249">
        <f>IF(OR(Wages!$B252="",Wages!$E252=""),"",Wages!$E252)</f>
        <v/>
      </c>
      <c r="B249">
        <f>IF($A249="","",IF(Wages!$C252="دستمزد گروهی",2,1))</f>
        <v/>
      </c>
      <c r="C249">
        <f>IF($A249="","",IF(ISNUMBER(Wages!$B252),IF(AND(Wages!$B252&gt;=10000101,Wages!$B252&lt;=99991231),INT(Wages!$B252/10000),""),IFERROR(VALUE(TRIM(LEFT(Wages!$B252,FIND("/",Wages!$B252)-1))),"")))</f>
        <v/>
      </c>
      <c r="D249">
        <f>IF(OR($A249="",$C249=""),"",IF(ISNUMBER(Wages!$B252),INT(MOD(Wages!$B252,10000)/100),IFERROR(VALUE(TRIM(LEFT(MID(Wages!$B252,FIND("/",Wages!$B252)+1,20),FIND("/",MID(Wages!$B252,FIND("/",Wages!$B252)+1,20))-1))),"")))</f>
        <v/>
      </c>
      <c r="E249">
        <f>IF(OR($A249="",$C249=""),"",IF(ISNUMBER(Wages!$B252),MOD(Wages!$B252,100),IFERROR(VALUE(TRIM(MID(MID(Wages!$B252,FIND("/",Wages!$B252)+1,20),FIND("/",MID(Wages!$B252,FIND("/",Wages!$B252)+1,20))+1,20))),"")))</f>
        <v/>
      </c>
      <c r="F249">
        <f>IF($A249="","",IF(OR($C249="",$D249="",$E249="",$C249&lt;1300,$C249&gt;1500,$D249&lt;1,$D249&gt;12,$E249&lt;1,$E249&gt;31),"نامعتبر",RIGHT("0000"&amp;$C249,4)&amp;"/"&amp;RIGHT("00"&amp;$D249,2)&amp;"/"&amp;RIGHT("00"&amp;$E249,2)))</f>
        <v/>
      </c>
      <c r="G249">
        <f>IF(OR($A249="",$F249="",$F249="نامعتبر"),"",LEFT($F249,4)&amp;MID($F249,6,2)&amp;RIGHT($F249,2)&amp;"0000"&amp;"|"&amp;"1"&amp;RIGHT("00000"&amp;244,5))</f>
        <v/>
      </c>
      <c r="H249">
        <f>IF(OR($B249&lt;&gt;1,$G249=""),"",COUNTIFS(LdAParty,$A249,LdAType,1,LdAKey,"&lt;"&amp;$G249)+COUNTIFS(LdBMember,$A249,LdBKey,"&lt;"&amp;$G249)+COUNTIFS(LdCParty,$A249,LdCKey,"&lt;"&amp;$G249)+1)</f>
        <v/>
      </c>
      <c r="I249">
        <f>IF($H249="","",$A249&amp;"|"&amp;RIGHT("000000"&amp;$H249,6))</f>
        <v/>
      </c>
      <c r="J249">
        <f>IF(OR($B249&lt;&gt;2,$G249=""),"",COUNTIFS(LdAParty,$A249,LdAType,2,LdAKey,"&lt;"&amp;$G249)+1)</f>
        <v/>
      </c>
      <c r="K249">
        <f>IF($J249="","",$A249&amp;"|"&amp;RIGHT("000000"&amp;$J249,6))</f>
        <v/>
      </c>
      <c r="L249">
        <f>IF($A249="","",IF(Wages!$G252="",0,Wages!$G252))</f>
        <v/>
      </c>
      <c r="M249">
        <f>IF($A249="","",Wages!$J252)</f>
        <v/>
      </c>
      <c r="N249">
        <f>IF($A249="","",Wages!$D252)</f>
        <v/>
      </c>
      <c r="P249">
        <f>IF(OR(Shares!$B252="",Shares!$C252=""),"",Shares!$C252)</f>
        <v/>
      </c>
      <c r="Q249">
        <f>IF($P249="","",Shares!$B252)</f>
        <v/>
      </c>
      <c r="R249">
        <f>IF($P249="","",IFERROR(INDEX(WageParty,MATCH($Q249,WageIds,0)),""))</f>
        <v/>
      </c>
      <c r="S249">
        <f>IF($P249="","",IFERROR(INDEX($F$6:$F$2005,MATCH($Q249,WageIds,0)),""))</f>
        <v/>
      </c>
      <c r="T249">
        <f>IF(OR($P249="",$S249="",$S249="نامعتبر"),"",LEFT($S249,4)&amp;MID($S249,6,2)&amp;RIGHT($S249,2)&amp;"0000"&amp;"|"&amp;"2"&amp;RIGHT("00000"&amp;244,5))</f>
        <v/>
      </c>
      <c r="U249">
        <f>IF($T249="","",COUNTIFS(LdAParty,$P249,LdAType,1,LdAKey,"&lt;"&amp;$T249)+COUNTIFS(LdBMember,$P249,LdBKey,"&lt;"&amp;$T249)+COUNTIFS(LdCParty,$P249,LdCKey,"&lt;"&amp;$T249)+1)</f>
        <v/>
      </c>
      <c r="V249">
        <f>IF($U249="","",$P249&amp;"|"&amp;RIGHT("000000"&amp;$U249,6))</f>
        <v/>
      </c>
      <c r="W249">
        <f>IF($T249="","",COUNTIFS(LdBGroup,$R249,LdBKey,"&lt;"&amp;$T249)+1)</f>
        <v/>
      </c>
      <c r="X249">
        <f>IF($W249="","",$R249&amp;"|"&amp;RIGHT("000000"&amp;$W249,6))</f>
        <v/>
      </c>
      <c r="Y249">
        <f>IF($P249="","",IF(Shares!$E252="",0,Shares!$E252))</f>
        <v/>
      </c>
      <c r="Z249">
        <f>IF($P249="","",Shares!$H252)</f>
        <v/>
      </c>
      <c r="AE249">
        <f>IF(OR(Sync!$S249="",Sync!$P249=""),"",Sync!$S249)</f>
        <v/>
      </c>
      <c r="AF249">
        <f>IF($AE249="","",IF(ISNUMBER(Sync!$P249),IF(AND(Sync!$P249&gt;=10000101,Sync!$P249&lt;=99991231),INT(Sync!$P249/10000),""),IFERROR(VALUE(TRIM(LEFT(Sync!$P249,FIND("/",Sync!$P249)-1))),"")))</f>
        <v/>
      </c>
      <c r="AG249">
        <f>IF(OR($AE249="",$AF249=""),"",IF(ISNUMBER(Sync!$P249),INT(MOD(Sync!$P249,10000)/100),IFERROR(VALUE(TRIM(LEFT(MID(Sync!$P249,FIND("/",Sync!$P249)+1,20),FIND("/",MID(Sync!$P249,FIND("/",Sync!$P249)+1,20))-1))),"")))</f>
        <v/>
      </c>
      <c r="AH249">
        <f>IF(OR($AE249="",$AF249=""),"",IF(ISNUMBER(Sync!$P249),MOD(Sync!$P249,100),IFERROR(VALUE(TRIM(MID(MID(Sync!$P249,FIND("/",Sync!$P249)+1,20),FIND("/",MID(Sync!$P249,FIND("/",Sync!$P249)+1,20))+1,20))),"")))</f>
        <v/>
      </c>
      <c r="AI249">
        <f>IF($AE249="","",IF(OR($AF249="",$AG249="",$AH249="",$AF249&lt;1300,$AF249&gt;1500,$AG249&lt;1,$AG249&gt;12,$AH249&lt;1,$AH249&gt;31),"نامعتبر",RIGHT("0000"&amp;$AF249,4)&amp;"/"&amp;RIGHT("00"&amp;$AG249,2)&amp;"/"&amp;RIGHT("00"&amp;$AH249,2)))</f>
        <v/>
      </c>
      <c r="AJ249">
        <f>IF($AE249="","",IF(Sync!$Q249="","0000",IF(AND(ISNUMBER(Sync!$Q249),Sync!$Q249&gt;=0,Sync!$Q249&lt;1),RIGHT("00"&amp;HOUR(Sync!$Q249),2)&amp;RIGHT("00"&amp;MINUTE(Sync!$Q249),2),IFERROR(RIGHT("00"&amp;VALUE(LEFT(Sync!$Q249,FIND(":",Sync!$Q249)-1)),2)&amp;RIGHT("00"&amp;VALUE(MID(Sync!$Q249,FIND(":",Sync!$Q249)+1,2)),2),"0000"))))</f>
        <v/>
      </c>
      <c r="AK249">
        <f>IF(OR($AE249="",$AI249="",$AI249="نامعتبر"),"",LEFT($AI249,4)&amp;MID($AI249,6,2)&amp;RIGHT($AI249,2)&amp;$AJ249&amp;"|"&amp;"3"&amp;RIGHT("00000"&amp;244,5))</f>
        <v/>
      </c>
      <c r="AL249">
        <f>IF($AK249="","",COUNTIFS(LdAParty,$AE249,LdAType,1,LdAKey,"&lt;"&amp;$AK249)+COUNTIFS(LdBMember,$AE249,LdBKey,"&lt;"&amp;$AK249)+COUNTIFS(LdCParty,$AE249,LdCKey,"&lt;"&amp;$AK249)+1)</f>
        <v/>
      </c>
      <c r="AM249">
        <f>IF($AL249="","",$AE249&amp;"|"&amp;RIGHT("000000"&amp;$AL249,6))</f>
        <v/>
      </c>
      <c r="AN249">
        <f>IF($AE249="","",IF(Sync!$W249="",0,Sync!$W249))</f>
        <v/>
      </c>
      <c r="AO249">
        <f>IF($AE249="","",IF(Sync!$X249="",0,Sync!$X249))</f>
        <v/>
      </c>
      <c r="AP249">
        <f>IF($AE249="","",Sync!$R249)</f>
        <v/>
      </c>
      <c r="AQ249">
        <f>IF($AE249="","",Sync!$Y249)</f>
        <v/>
      </c>
    </row>
    <row r="250">
      <c r="A250">
        <f>IF(OR(Wages!$B253="",Wages!$E253=""),"",Wages!$E253)</f>
        <v/>
      </c>
      <c r="B250">
        <f>IF($A250="","",IF(Wages!$C253="دستمزد گروهی",2,1))</f>
        <v/>
      </c>
      <c r="C250">
        <f>IF($A250="","",IF(ISNUMBER(Wages!$B253),IF(AND(Wages!$B253&gt;=10000101,Wages!$B253&lt;=99991231),INT(Wages!$B253/10000),""),IFERROR(VALUE(TRIM(LEFT(Wages!$B253,FIND("/",Wages!$B253)-1))),"")))</f>
        <v/>
      </c>
      <c r="D250">
        <f>IF(OR($A250="",$C250=""),"",IF(ISNUMBER(Wages!$B253),INT(MOD(Wages!$B253,10000)/100),IFERROR(VALUE(TRIM(LEFT(MID(Wages!$B253,FIND("/",Wages!$B253)+1,20),FIND("/",MID(Wages!$B253,FIND("/",Wages!$B253)+1,20))-1))),"")))</f>
        <v/>
      </c>
      <c r="E250">
        <f>IF(OR($A250="",$C250=""),"",IF(ISNUMBER(Wages!$B253),MOD(Wages!$B253,100),IFERROR(VALUE(TRIM(MID(MID(Wages!$B253,FIND("/",Wages!$B253)+1,20),FIND("/",MID(Wages!$B253,FIND("/",Wages!$B253)+1,20))+1,20))),"")))</f>
        <v/>
      </c>
      <c r="F250">
        <f>IF($A250="","",IF(OR($C250="",$D250="",$E250="",$C250&lt;1300,$C250&gt;1500,$D250&lt;1,$D250&gt;12,$E250&lt;1,$E250&gt;31),"نامعتبر",RIGHT("0000"&amp;$C250,4)&amp;"/"&amp;RIGHT("00"&amp;$D250,2)&amp;"/"&amp;RIGHT("00"&amp;$E250,2)))</f>
        <v/>
      </c>
      <c r="G250">
        <f>IF(OR($A250="",$F250="",$F250="نامعتبر"),"",LEFT($F250,4)&amp;MID($F250,6,2)&amp;RIGHT($F250,2)&amp;"0000"&amp;"|"&amp;"1"&amp;RIGHT("00000"&amp;245,5))</f>
        <v/>
      </c>
      <c r="H250">
        <f>IF(OR($B250&lt;&gt;1,$G250=""),"",COUNTIFS(LdAParty,$A250,LdAType,1,LdAKey,"&lt;"&amp;$G250)+COUNTIFS(LdBMember,$A250,LdBKey,"&lt;"&amp;$G250)+COUNTIFS(LdCParty,$A250,LdCKey,"&lt;"&amp;$G250)+1)</f>
        <v/>
      </c>
      <c r="I250">
        <f>IF($H250="","",$A250&amp;"|"&amp;RIGHT("000000"&amp;$H250,6))</f>
        <v/>
      </c>
      <c r="J250">
        <f>IF(OR($B250&lt;&gt;2,$G250=""),"",COUNTIFS(LdAParty,$A250,LdAType,2,LdAKey,"&lt;"&amp;$G250)+1)</f>
        <v/>
      </c>
      <c r="K250">
        <f>IF($J250="","",$A250&amp;"|"&amp;RIGHT("000000"&amp;$J250,6))</f>
        <v/>
      </c>
      <c r="L250">
        <f>IF($A250="","",IF(Wages!$G253="",0,Wages!$G253))</f>
        <v/>
      </c>
      <c r="M250">
        <f>IF($A250="","",Wages!$J253)</f>
        <v/>
      </c>
      <c r="N250">
        <f>IF($A250="","",Wages!$D253)</f>
        <v/>
      </c>
      <c r="P250">
        <f>IF(OR(Shares!$B253="",Shares!$C253=""),"",Shares!$C253)</f>
        <v/>
      </c>
      <c r="Q250">
        <f>IF($P250="","",Shares!$B253)</f>
        <v/>
      </c>
      <c r="R250">
        <f>IF($P250="","",IFERROR(INDEX(WageParty,MATCH($Q250,WageIds,0)),""))</f>
        <v/>
      </c>
      <c r="S250">
        <f>IF($P250="","",IFERROR(INDEX($F$6:$F$2005,MATCH($Q250,WageIds,0)),""))</f>
        <v/>
      </c>
      <c r="T250">
        <f>IF(OR($P250="",$S250="",$S250="نامعتبر"),"",LEFT($S250,4)&amp;MID($S250,6,2)&amp;RIGHT($S250,2)&amp;"0000"&amp;"|"&amp;"2"&amp;RIGHT("00000"&amp;245,5))</f>
        <v/>
      </c>
      <c r="U250">
        <f>IF($T250="","",COUNTIFS(LdAParty,$P250,LdAType,1,LdAKey,"&lt;"&amp;$T250)+COUNTIFS(LdBMember,$P250,LdBKey,"&lt;"&amp;$T250)+COUNTIFS(LdCParty,$P250,LdCKey,"&lt;"&amp;$T250)+1)</f>
        <v/>
      </c>
      <c r="V250">
        <f>IF($U250="","",$P250&amp;"|"&amp;RIGHT("000000"&amp;$U250,6))</f>
        <v/>
      </c>
      <c r="W250">
        <f>IF($T250="","",COUNTIFS(LdBGroup,$R250,LdBKey,"&lt;"&amp;$T250)+1)</f>
        <v/>
      </c>
      <c r="X250">
        <f>IF($W250="","",$R250&amp;"|"&amp;RIGHT("000000"&amp;$W250,6))</f>
        <v/>
      </c>
      <c r="Y250">
        <f>IF($P250="","",IF(Shares!$E253="",0,Shares!$E253))</f>
        <v/>
      </c>
      <c r="Z250">
        <f>IF($P250="","",Shares!$H253)</f>
        <v/>
      </c>
      <c r="AE250">
        <f>IF(OR(Sync!$S250="",Sync!$P250=""),"",Sync!$S250)</f>
        <v/>
      </c>
      <c r="AF250">
        <f>IF($AE250="","",IF(ISNUMBER(Sync!$P250),IF(AND(Sync!$P250&gt;=10000101,Sync!$P250&lt;=99991231),INT(Sync!$P250/10000),""),IFERROR(VALUE(TRIM(LEFT(Sync!$P250,FIND("/",Sync!$P250)-1))),"")))</f>
        <v/>
      </c>
      <c r="AG250">
        <f>IF(OR($AE250="",$AF250=""),"",IF(ISNUMBER(Sync!$P250),INT(MOD(Sync!$P250,10000)/100),IFERROR(VALUE(TRIM(LEFT(MID(Sync!$P250,FIND("/",Sync!$P250)+1,20),FIND("/",MID(Sync!$P250,FIND("/",Sync!$P250)+1,20))-1))),"")))</f>
        <v/>
      </c>
      <c r="AH250">
        <f>IF(OR($AE250="",$AF250=""),"",IF(ISNUMBER(Sync!$P250),MOD(Sync!$P250,100),IFERROR(VALUE(TRIM(MID(MID(Sync!$P250,FIND("/",Sync!$P250)+1,20),FIND("/",MID(Sync!$P250,FIND("/",Sync!$P250)+1,20))+1,20))),"")))</f>
        <v/>
      </c>
      <c r="AI250">
        <f>IF($AE250="","",IF(OR($AF250="",$AG250="",$AH250="",$AF250&lt;1300,$AF250&gt;1500,$AG250&lt;1,$AG250&gt;12,$AH250&lt;1,$AH250&gt;31),"نامعتبر",RIGHT("0000"&amp;$AF250,4)&amp;"/"&amp;RIGHT("00"&amp;$AG250,2)&amp;"/"&amp;RIGHT("00"&amp;$AH250,2)))</f>
        <v/>
      </c>
      <c r="AJ250">
        <f>IF($AE250="","",IF(Sync!$Q250="","0000",IF(AND(ISNUMBER(Sync!$Q250),Sync!$Q250&gt;=0,Sync!$Q250&lt;1),RIGHT("00"&amp;HOUR(Sync!$Q250),2)&amp;RIGHT("00"&amp;MINUTE(Sync!$Q250),2),IFERROR(RIGHT("00"&amp;VALUE(LEFT(Sync!$Q250,FIND(":",Sync!$Q250)-1)),2)&amp;RIGHT("00"&amp;VALUE(MID(Sync!$Q250,FIND(":",Sync!$Q250)+1,2)),2),"0000"))))</f>
        <v/>
      </c>
      <c r="AK250">
        <f>IF(OR($AE250="",$AI250="",$AI250="نامعتبر"),"",LEFT($AI250,4)&amp;MID($AI250,6,2)&amp;RIGHT($AI250,2)&amp;$AJ250&amp;"|"&amp;"3"&amp;RIGHT("00000"&amp;245,5))</f>
        <v/>
      </c>
      <c r="AL250">
        <f>IF($AK250="","",COUNTIFS(LdAParty,$AE250,LdAType,1,LdAKey,"&lt;"&amp;$AK250)+COUNTIFS(LdBMember,$AE250,LdBKey,"&lt;"&amp;$AK250)+COUNTIFS(LdCParty,$AE250,LdCKey,"&lt;"&amp;$AK250)+1)</f>
        <v/>
      </c>
      <c r="AM250">
        <f>IF($AL250="","",$AE250&amp;"|"&amp;RIGHT("000000"&amp;$AL250,6))</f>
        <v/>
      </c>
      <c r="AN250">
        <f>IF($AE250="","",IF(Sync!$W250="",0,Sync!$W250))</f>
        <v/>
      </c>
      <c r="AO250">
        <f>IF($AE250="","",IF(Sync!$X250="",0,Sync!$X250))</f>
        <v/>
      </c>
      <c r="AP250">
        <f>IF($AE250="","",Sync!$R250)</f>
        <v/>
      </c>
      <c r="AQ250">
        <f>IF($AE250="","",Sync!$Y250)</f>
        <v/>
      </c>
    </row>
    <row r="251">
      <c r="A251">
        <f>IF(OR(Wages!$B254="",Wages!$E254=""),"",Wages!$E254)</f>
        <v/>
      </c>
      <c r="B251">
        <f>IF($A251="","",IF(Wages!$C254="دستمزد گروهی",2,1))</f>
        <v/>
      </c>
      <c r="C251">
        <f>IF($A251="","",IF(ISNUMBER(Wages!$B254),IF(AND(Wages!$B254&gt;=10000101,Wages!$B254&lt;=99991231),INT(Wages!$B254/10000),""),IFERROR(VALUE(TRIM(LEFT(Wages!$B254,FIND("/",Wages!$B254)-1))),"")))</f>
        <v/>
      </c>
      <c r="D251">
        <f>IF(OR($A251="",$C251=""),"",IF(ISNUMBER(Wages!$B254),INT(MOD(Wages!$B254,10000)/100),IFERROR(VALUE(TRIM(LEFT(MID(Wages!$B254,FIND("/",Wages!$B254)+1,20),FIND("/",MID(Wages!$B254,FIND("/",Wages!$B254)+1,20))-1))),"")))</f>
        <v/>
      </c>
      <c r="E251">
        <f>IF(OR($A251="",$C251=""),"",IF(ISNUMBER(Wages!$B254),MOD(Wages!$B254,100),IFERROR(VALUE(TRIM(MID(MID(Wages!$B254,FIND("/",Wages!$B254)+1,20),FIND("/",MID(Wages!$B254,FIND("/",Wages!$B254)+1,20))+1,20))),"")))</f>
        <v/>
      </c>
      <c r="F251">
        <f>IF($A251="","",IF(OR($C251="",$D251="",$E251="",$C251&lt;1300,$C251&gt;1500,$D251&lt;1,$D251&gt;12,$E251&lt;1,$E251&gt;31),"نامعتبر",RIGHT("0000"&amp;$C251,4)&amp;"/"&amp;RIGHT("00"&amp;$D251,2)&amp;"/"&amp;RIGHT("00"&amp;$E251,2)))</f>
        <v/>
      </c>
      <c r="G251">
        <f>IF(OR($A251="",$F251="",$F251="نامعتبر"),"",LEFT($F251,4)&amp;MID($F251,6,2)&amp;RIGHT($F251,2)&amp;"0000"&amp;"|"&amp;"1"&amp;RIGHT("00000"&amp;246,5))</f>
        <v/>
      </c>
      <c r="H251">
        <f>IF(OR($B251&lt;&gt;1,$G251=""),"",COUNTIFS(LdAParty,$A251,LdAType,1,LdAKey,"&lt;"&amp;$G251)+COUNTIFS(LdBMember,$A251,LdBKey,"&lt;"&amp;$G251)+COUNTIFS(LdCParty,$A251,LdCKey,"&lt;"&amp;$G251)+1)</f>
        <v/>
      </c>
      <c r="I251">
        <f>IF($H251="","",$A251&amp;"|"&amp;RIGHT("000000"&amp;$H251,6))</f>
        <v/>
      </c>
      <c r="J251">
        <f>IF(OR($B251&lt;&gt;2,$G251=""),"",COUNTIFS(LdAParty,$A251,LdAType,2,LdAKey,"&lt;"&amp;$G251)+1)</f>
        <v/>
      </c>
      <c r="K251">
        <f>IF($J251="","",$A251&amp;"|"&amp;RIGHT("000000"&amp;$J251,6))</f>
        <v/>
      </c>
      <c r="L251">
        <f>IF($A251="","",IF(Wages!$G254="",0,Wages!$G254))</f>
        <v/>
      </c>
      <c r="M251">
        <f>IF($A251="","",Wages!$J254)</f>
        <v/>
      </c>
      <c r="N251">
        <f>IF($A251="","",Wages!$D254)</f>
        <v/>
      </c>
      <c r="P251">
        <f>IF(OR(Shares!$B254="",Shares!$C254=""),"",Shares!$C254)</f>
        <v/>
      </c>
      <c r="Q251">
        <f>IF($P251="","",Shares!$B254)</f>
        <v/>
      </c>
      <c r="R251">
        <f>IF($P251="","",IFERROR(INDEX(WageParty,MATCH($Q251,WageIds,0)),""))</f>
        <v/>
      </c>
      <c r="S251">
        <f>IF($P251="","",IFERROR(INDEX($F$6:$F$2005,MATCH($Q251,WageIds,0)),""))</f>
        <v/>
      </c>
      <c r="T251">
        <f>IF(OR($P251="",$S251="",$S251="نامعتبر"),"",LEFT($S251,4)&amp;MID($S251,6,2)&amp;RIGHT($S251,2)&amp;"0000"&amp;"|"&amp;"2"&amp;RIGHT("00000"&amp;246,5))</f>
        <v/>
      </c>
      <c r="U251">
        <f>IF($T251="","",COUNTIFS(LdAParty,$P251,LdAType,1,LdAKey,"&lt;"&amp;$T251)+COUNTIFS(LdBMember,$P251,LdBKey,"&lt;"&amp;$T251)+COUNTIFS(LdCParty,$P251,LdCKey,"&lt;"&amp;$T251)+1)</f>
        <v/>
      </c>
      <c r="V251">
        <f>IF($U251="","",$P251&amp;"|"&amp;RIGHT("000000"&amp;$U251,6))</f>
        <v/>
      </c>
      <c r="W251">
        <f>IF($T251="","",COUNTIFS(LdBGroup,$R251,LdBKey,"&lt;"&amp;$T251)+1)</f>
        <v/>
      </c>
      <c r="X251">
        <f>IF($W251="","",$R251&amp;"|"&amp;RIGHT("000000"&amp;$W251,6))</f>
        <v/>
      </c>
      <c r="Y251">
        <f>IF($P251="","",IF(Shares!$E254="",0,Shares!$E254))</f>
        <v/>
      </c>
      <c r="Z251">
        <f>IF($P251="","",Shares!$H254)</f>
        <v/>
      </c>
      <c r="AE251">
        <f>IF(OR(Sync!$S251="",Sync!$P251=""),"",Sync!$S251)</f>
        <v/>
      </c>
      <c r="AF251">
        <f>IF($AE251="","",IF(ISNUMBER(Sync!$P251),IF(AND(Sync!$P251&gt;=10000101,Sync!$P251&lt;=99991231),INT(Sync!$P251/10000),""),IFERROR(VALUE(TRIM(LEFT(Sync!$P251,FIND("/",Sync!$P251)-1))),"")))</f>
        <v/>
      </c>
      <c r="AG251">
        <f>IF(OR($AE251="",$AF251=""),"",IF(ISNUMBER(Sync!$P251),INT(MOD(Sync!$P251,10000)/100),IFERROR(VALUE(TRIM(LEFT(MID(Sync!$P251,FIND("/",Sync!$P251)+1,20),FIND("/",MID(Sync!$P251,FIND("/",Sync!$P251)+1,20))-1))),"")))</f>
        <v/>
      </c>
      <c r="AH251">
        <f>IF(OR($AE251="",$AF251=""),"",IF(ISNUMBER(Sync!$P251),MOD(Sync!$P251,100),IFERROR(VALUE(TRIM(MID(MID(Sync!$P251,FIND("/",Sync!$P251)+1,20),FIND("/",MID(Sync!$P251,FIND("/",Sync!$P251)+1,20))+1,20))),"")))</f>
        <v/>
      </c>
      <c r="AI251">
        <f>IF($AE251="","",IF(OR($AF251="",$AG251="",$AH251="",$AF251&lt;1300,$AF251&gt;1500,$AG251&lt;1,$AG251&gt;12,$AH251&lt;1,$AH251&gt;31),"نامعتبر",RIGHT("0000"&amp;$AF251,4)&amp;"/"&amp;RIGHT("00"&amp;$AG251,2)&amp;"/"&amp;RIGHT("00"&amp;$AH251,2)))</f>
        <v/>
      </c>
      <c r="AJ251">
        <f>IF($AE251="","",IF(Sync!$Q251="","0000",IF(AND(ISNUMBER(Sync!$Q251),Sync!$Q251&gt;=0,Sync!$Q251&lt;1),RIGHT("00"&amp;HOUR(Sync!$Q251),2)&amp;RIGHT("00"&amp;MINUTE(Sync!$Q251),2),IFERROR(RIGHT("00"&amp;VALUE(LEFT(Sync!$Q251,FIND(":",Sync!$Q251)-1)),2)&amp;RIGHT("00"&amp;VALUE(MID(Sync!$Q251,FIND(":",Sync!$Q251)+1,2)),2),"0000"))))</f>
        <v/>
      </c>
      <c r="AK251">
        <f>IF(OR($AE251="",$AI251="",$AI251="نامعتبر"),"",LEFT($AI251,4)&amp;MID($AI251,6,2)&amp;RIGHT($AI251,2)&amp;$AJ251&amp;"|"&amp;"3"&amp;RIGHT("00000"&amp;246,5))</f>
        <v/>
      </c>
      <c r="AL251">
        <f>IF($AK251="","",COUNTIFS(LdAParty,$AE251,LdAType,1,LdAKey,"&lt;"&amp;$AK251)+COUNTIFS(LdBMember,$AE251,LdBKey,"&lt;"&amp;$AK251)+COUNTIFS(LdCParty,$AE251,LdCKey,"&lt;"&amp;$AK251)+1)</f>
        <v/>
      </c>
      <c r="AM251">
        <f>IF($AL251="","",$AE251&amp;"|"&amp;RIGHT("000000"&amp;$AL251,6))</f>
        <v/>
      </c>
      <c r="AN251">
        <f>IF($AE251="","",IF(Sync!$W251="",0,Sync!$W251))</f>
        <v/>
      </c>
      <c r="AO251">
        <f>IF($AE251="","",IF(Sync!$X251="",0,Sync!$X251))</f>
        <v/>
      </c>
      <c r="AP251">
        <f>IF($AE251="","",Sync!$R251)</f>
        <v/>
      </c>
      <c r="AQ251">
        <f>IF($AE251="","",Sync!$Y251)</f>
        <v/>
      </c>
    </row>
    <row r="252">
      <c r="A252">
        <f>IF(OR(Wages!$B255="",Wages!$E255=""),"",Wages!$E255)</f>
        <v/>
      </c>
      <c r="B252">
        <f>IF($A252="","",IF(Wages!$C255="دستمزد گروهی",2,1))</f>
        <v/>
      </c>
      <c r="C252">
        <f>IF($A252="","",IF(ISNUMBER(Wages!$B255),IF(AND(Wages!$B255&gt;=10000101,Wages!$B255&lt;=99991231),INT(Wages!$B255/10000),""),IFERROR(VALUE(TRIM(LEFT(Wages!$B255,FIND("/",Wages!$B255)-1))),"")))</f>
        <v/>
      </c>
      <c r="D252">
        <f>IF(OR($A252="",$C252=""),"",IF(ISNUMBER(Wages!$B255),INT(MOD(Wages!$B255,10000)/100),IFERROR(VALUE(TRIM(LEFT(MID(Wages!$B255,FIND("/",Wages!$B255)+1,20),FIND("/",MID(Wages!$B255,FIND("/",Wages!$B255)+1,20))-1))),"")))</f>
        <v/>
      </c>
      <c r="E252">
        <f>IF(OR($A252="",$C252=""),"",IF(ISNUMBER(Wages!$B255),MOD(Wages!$B255,100),IFERROR(VALUE(TRIM(MID(MID(Wages!$B255,FIND("/",Wages!$B255)+1,20),FIND("/",MID(Wages!$B255,FIND("/",Wages!$B255)+1,20))+1,20))),"")))</f>
        <v/>
      </c>
      <c r="F252">
        <f>IF($A252="","",IF(OR($C252="",$D252="",$E252="",$C252&lt;1300,$C252&gt;1500,$D252&lt;1,$D252&gt;12,$E252&lt;1,$E252&gt;31),"نامعتبر",RIGHT("0000"&amp;$C252,4)&amp;"/"&amp;RIGHT("00"&amp;$D252,2)&amp;"/"&amp;RIGHT("00"&amp;$E252,2)))</f>
        <v/>
      </c>
      <c r="G252">
        <f>IF(OR($A252="",$F252="",$F252="نامعتبر"),"",LEFT($F252,4)&amp;MID($F252,6,2)&amp;RIGHT($F252,2)&amp;"0000"&amp;"|"&amp;"1"&amp;RIGHT("00000"&amp;247,5))</f>
        <v/>
      </c>
      <c r="H252">
        <f>IF(OR($B252&lt;&gt;1,$G252=""),"",COUNTIFS(LdAParty,$A252,LdAType,1,LdAKey,"&lt;"&amp;$G252)+COUNTIFS(LdBMember,$A252,LdBKey,"&lt;"&amp;$G252)+COUNTIFS(LdCParty,$A252,LdCKey,"&lt;"&amp;$G252)+1)</f>
        <v/>
      </c>
      <c r="I252">
        <f>IF($H252="","",$A252&amp;"|"&amp;RIGHT("000000"&amp;$H252,6))</f>
        <v/>
      </c>
      <c r="J252">
        <f>IF(OR($B252&lt;&gt;2,$G252=""),"",COUNTIFS(LdAParty,$A252,LdAType,2,LdAKey,"&lt;"&amp;$G252)+1)</f>
        <v/>
      </c>
      <c r="K252">
        <f>IF($J252="","",$A252&amp;"|"&amp;RIGHT("000000"&amp;$J252,6))</f>
        <v/>
      </c>
      <c r="L252">
        <f>IF($A252="","",IF(Wages!$G255="",0,Wages!$G255))</f>
        <v/>
      </c>
      <c r="M252">
        <f>IF($A252="","",Wages!$J255)</f>
        <v/>
      </c>
      <c r="N252">
        <f>IF($A252="","",Wages!$D255)</f>
        <v/>
      </c>
      <c r="P252">
        <f>IF(OR(Shares!$B255="",Shares!$C255=""),"",Shares!$C255)</f>
        <v/>
      </c>
      <c r="Q252">
        <f>IF($P252="","",Shares!$B255)</f>
        <v/>
      </c>
      <c r="R252">
        <f>IF($P252="","",IFERROR(INDEX(WageParty,MATCH($Q252,WageIds,0)),""))</f>
        <v/>
      </c>
      <c r="S252">
        <f>IF($P252="","",IFERROR(INDEX($F$6:$F$2005,MATCH($Q252,WageIds,0)),""))</f>
        <v/>
      </c>
      <c r="T252">
        <f>IF(OR($P252="",$S252="",$S252="نامعتبر"),"",LEFT($S252,4)&amp;MID($S252,6,2)&amp;RIGHT($S252,2)&amp;"0000"&amp;"|"&amp;"2"&amp;RIGHT("00000"&amp;247,5))</f>
        <v/>
      </c>
      <c r="U252">
        <f>IF($T252="","",COUNTIFS(LdAParty,$P252,LdAType,1,LdAKey,"&lt;"&amp;$T252)+COUNTIFS(LdBMember,$P252,LdBKey,"&lt;"&amp;$T252)+COUNTIFS(LdCParty,$P252,LdCKey,"&lt;"&amp;$T252)+1)</f>
        <v/>
      </c>
      <c r="V252">
        <f>IF($U252="","",$P252&amp;"|"&amp;RIGHT("000000"&amp;$U252,6))</f>
        <v/>
      </c>
      <c r="W252">
        <f>IF($T252="","",COUNTIFS(LdBGroup,$R252,LdBKey,"&lt;"&amp;$T252)+1)</f>
        <v/>
      </c>
      <c r="X252">
        <f>IF($W252="","",$R252&amp;"|"&amp;RIGHT("000000"&amp;$W252,6))</f>
        <v/>
      </c>
      <c r="Y252">
        <f>IF($P252="","",IF(Shares!$E255="",0,Shares!$E255))</f>
        <v/>
      </c>
      <c r="Z252">
        <f>IF($P252="","",Shares!$H255)</f>
        <v/>
      </c>
      <c r="AE252">
        <f>IF(OR(Sync!$S252="",Sync!$P252=""),"",Sync!$S252)</f>
        <v/>
      </c>
      <c r="AF252">
        <f>IF($AE252="","",IF(ISNUMBER(Sync!$P252),IF(AND(Sync!$P252&gt;=10000101,Sync!$P252&lt;=99991231),INT(Sync!$P252/10000),""),IFERROR(VALUE(TRIM(LEFT(Sync!$P252,FIND("/",Sync!$P252)-1))),"")))</f>
        <v/>
      </c>
      <c r="AG252">
        <f>IF(OR($AE252="",$AF252=""),"",IF(ISNUMBER(Sync!$P252),INT(MOD(Sync!$P252,10000)/100),IFERROR(VALUE(TRIM(LEFT(MID(Sync!$P252,FIND("/",Sync!$P252)+1,20),FIND("/",MID(Sync!$P252,FIND("/",Sync!$P252)+1,20))-1))),"")))</f>
        <v/>
      </c>
      <c r="AH252">
        <f>IF(OR($AE252="",$AF252=""),"",IF(ISNUMBER(Sync!$P252),MOD(Sync!$P252,100),IFERROR(VALUE(TRIM(MID(MID(Sync!$P252,FIND("/",Sync!$P252)+1,20),FIND("/",MID(Sync!$P252,FIND("/",Sync!$P252)+1,20))+1,20))),"")))</f>
        <v/>
      </c>
      <c r="AI252">
        <f>IF($AE252="","",IF(OR($AF252="",$AG252="",$AH252="",$AF252&lt;1300,$AF252&gt;1500,$AG252&lt;1,$AG252&gt;12,$AH252&lt;1,$AH252&gt;31),"نامعتبر",RIGHT("0000"&amp;$AF252,4)&amp;"/"&amp;RIGHT("00"&amp;$AG252,2)&amp;"/"&amp;RIGHT("00"&amp;$AH252,2)))</f>
        <v/>
      </c>
      <c r="AJ252">
        <f>IF($AE252="","",IF(Sync!$Q252="","0000",IF(AND(ISNUMBER(Sync!$Q252),Sync!$Q252&gt;=0,Sync!$Q252&lt;1),RIGHT("00"&amp;HOUR(Sync!$Q252),2)&amp;RIGHT("00"&amp;MINUTE(Sync!$Q252),2),IFERROR(RIGHT("00"&amp;VALUE(LEFT(Sync!$Q252,FIND(":",Sync!$Q252)-1)),2)&amp;RIGHT("00"&amp;VALUE(MID(Sync!$Q252,FIND(":",Sync!$Q252)+1,2)),2),"0000"))))</f>
        <v/>
      </c>
      <c r="AK252">
        <f>IF(OR($AE252="",$AI252="",$AI252="نامعتبر"),"",LEFT($AI252,4)&amp;MID($AI252,6,2)&amp;RIGHT($AI252,2)&amp;$AJ252&amp;"|"&amp;"3"&amp;RIGHT("00000"&amp;247,5))</f>
        <v/>
      </c>
      <c r="AL252">
        <f>IF($AK252="","",COUNTIFS(LdAParty,$AE252,LdAType,1,LdAKey,"&lt;"&amp;$AK252)+COUNTIFS(LdBMember,$AE252,LdBKey,"&lt;"&amp;$AK252)+COUNTIFS(LdCParty,$AE252,LdCKey,"&lt;"&amp;$AK252)+1)</f>
        <v/>
      </c>
      <c r="AM252">
        <f>IF($AL252="","",$AE252&amp;"|"&amp;RIGHT("000000"&amp;$AL252,6))</f>
        <v/>
      </c>
      <c r="AN252">
        <f>IF($AE252="","",IF(Sync!$W252="",0,Sync!$W252))</f>
        <v/>
      </c>
      <c r="AO252">
        <f>IF($AE252="","",IF(Sync!$X252="",0,Sync!$X252))</f>
        <v/>
      </c>
      <c r="AP252">
        <f>IF($AE252="","",Sync!$R252)</f>
        <v/>
      </c>
      <c r="AQ252">
        <f>IF($AE252="","",Sync!$Y252)</f>
        <v/>
      </c>
    </row>
    <row r="253">
      <c r="A253">
        <f>IF(OR(Wages!$B256="",Wages!$E256=""),"",Wages!$E256)</f>
        <v/>
      </c>
      <c r="B253">
        <f>IF($A253="","",IF(Wages!$C256="دستمزد گروهی",2,1))</f>
        <v/>
      </c>
      <c r="C253">
        <f>IF($A253="","",IF(ISNUMBER(Wages!$B256),IF(AND(Wages!$B256&gt;=10000101,Wages!$B256&lt;=99991231),INT(Wages!$B256/10000),""),IFERROR(VALUE(TRIM(LEFT(Wages!$B256,FIND("/",Wages!$B256)-1))),"")))</f>
        <v/>
      </c>
      <c r="D253">
        <f>IF(OR($A253="",$C253=""),"",IF(ISNUMBER(Wages!$B256),INT(MOD(Wages!$B256,10000)/100),IFERROR(VALUE(TRIM(LEFT(MID(Wages!$B256,FIND("/",Wages!$B256)+1,20),FIND("/",MID(Wages!$B256,FIND("/",Wages!$B256)+1,20))-1))),"")))</f>
        <v/>
      </c>
      <c r="E253">
        <f>IF(OR($A253="",$C253=""),"",IF(ISNUMBER(Wages!$B256),MOD(Wages!$B256,100),IFERROR(VALUE(TRIM(MID(MID(Wages!$B256,FIND("/",Wages!$B256)+1,20),FIND("/",MID(Wages!$B256,FIND("/",Wages!$B256)+1,20))+1,20))),"")))</f>
        <v/>
      </c>
      <c r="F253">
        <f>IF($A253="","",IF(OR($C253="",$D253="",$E253="",$C253&lt;1300,$C253&gt;1500,$D253&lt;1,$D253&gt;12,$E253&lt;1,$E253&gt;31),"نامعتبر",RIGHT("0000"&amp;$C253,4)&amp;"/"&amp;RIGHT("00"&amp;$D253,2)&amp;"/"&amp;RIGHT("00"&amp;$E253,2)))</f>
        <v/>
      </c>
      <c r="G253">
        <f>IF(OR($A253="",$F253="",$F253="نامعتبر"),"",LEFT($F253,4)&amp;MID($F253,6,2)&amp;RIGHT($F253,2)&amp;"0000"&amp;"|"&amp;"1"&amp;RIGHT("00000"&amp;248,5))</f>
        <v/>
      </c>
      <c r="H253">
        <f>IF(OR($B253&lt;&gt;1,$G253=""),"",COUNTIFS(LdAParty,$A253,LdAType,1,LdAKey,"&lt;"&amp;$G253)+COUNTIFS(LdBMember,$A253,LdBKey,"&lt;"&amp;$G253)+COUNTIFS(LdCParty,$A253,LdCKey,"&lt;"&amp;$G253)+1)</f>
        <v/>
      </c>
      <c r="I253">
        <f>IF($H253="","",$A253&amp;"|"&amp;RIGHT("000000"&amp;$H253,6))</f>
        <v/>
      </c>
      <c r="J253">
        <f>IF(OR($B253&lt;&gt;2,$G253=""),"",COUNTIFS(LdAParty,$A253,LdAType,2,LdAKey,"&lt;"&amp;$G253)+1)</f>
        <v/>
      </c>
      <c r="K253">
        <f>IF($J253="","",$A253&amp;"|"&amp;RIGHT("000000"&amp;$J253,6))</f>
        <v/>
      </c>
      <c r="L253">
        <f>IF($A253="","",IF(Wages!$G256="",0,Wages!$G256))</f>
        <v/>
      </c>
      <c r="M253">
        <f>IF($A253="","",Wages!$J256)</f>
        <v/>
      </c>
      <c r="N253">
        <f>IF($A253="","",Wages!$D256)</f>
        <v/>
      </c>
      <c r="P253">
        <f>IF(OR(Shares!$B256="",Shares!$C256=""),"",Shares!$C256)</f>
        <v/>
      </c>
      <c r="Q253">
        <f>IF($P253="","",Shares!$B256)</f>
        <v/>
      </c>
      <c r="R253">
        <f>IF($P253="","",IFERROR(INDEX(WageParty,MATCH($Q253,WageIds,0)),""))</f>
        <v/>
      </c>
      <c r="S253">
        <f>IF($P253="","",IFERROR(INDEX($F$6:$F$2005,MATCH($Q253,WageIds,0)),""))</f>
        <v/>
      </c>
      <c r="T253">
        <f>IF(OR($P253="",$S253="",$S253="نامعتبر"),"",LEFT($S253,4)&amp;MID($S253,6,2)&amp;RIGHT($S253,2)&amp;"0000"&amp;"|"&amp;"2"&amp;RIGHT("00000"&amp;248,5))</f>
        <v/>
      </c>
      <c r="U253">
        <f>IF($T253="","",COUNTIFS(LdAParty,$P253,LdAType,1,LdAKey,"&lt;"&amp;$T253)+COUNTIFS(LdBMember,$P253,LdBKey,"&lt;"&amp;$T253)+COUNTIFS(LdCParty,$P253,LdCKey,"&lt;"&amp;$T253)+1)</f>
        <v/>
      </c>
      <c r="V253">
        <f>IF($U253="","",$P253&amp;"|"&amp;RIGHT("000000"&amp;$U253,6))</f>
        <v/>
      </c>
      <c r="W253">
        <f>IF($T253="","",COUNTIFS(LdBGroup,$R253,LdBKey,"&lt;"&amp;$T253)+1)</f>
        <v/>
      </c>
      <c r="X253">
        <f>IF($W253="","",$R253&amp;"|"&amp;RIGHT("000000"&amp;$W253,6))</f>
        <v/>
      </c>
      <c r="Y253">
        <f>IF($P253="","",IF(Shares!$E256="",0,Shares!$E256))</f>
        <v/>
      </c>
      <c r="Z253">
        <f>IF($P253="","",Shares!$H256)</f>
        <v/>
      </c>
      <c r="AE253">
        <f>IF(OR(Sync!$S253="",Sync!$P253=""),"",Sync!$S253)</f>
        <v/>
      </c>
      <c r="AF253">
        <f>IF($AE253="","",IF(ISNUMBER(Sync!$P253),IF(AND(Sync!$P253&gt;=10000101,Sync!$P253&lt;=99991231),INT(Sync!$P253/10000),""),IFERROR(VALUE(TRIM(LEFT(Sync!$P253,FIND("/",Sync!$P253)-1))),"")))</f>
        <v/>
      </c>
      <c r="AG253">
        <f>IF(OR($AE253="",$AF253=""),"",IF(ISNUMBER(Sync!$P253),INT(MOD(Sync!$P253,10000)/100),IFERROR(VALUE(TRIM(LEFT(MID(Sync!$P253,FIND("/",Sync!$P253)+1,20),FIND("/",MID(Sync!$P253,FIND("/",Sync!$P253)+1,20))-1))),"")))</f>
        <v/>
      </c>
      <c r="AH253">
        <f>IF(OR($AE253="",$AF253=""),"",IF(ISNUMBER(Sync!$P253),MOD(Sync!$P253,100),IFERROR(VALUE(TRIM(MID(MID(Sync!$P253,FIND("/",Sync!$P253)+1,20),FIND("/",MID(Sync!$P253,FIND("/",Sync!$P253)+1,20))+1,20))),"")))</f>
        <v/>
      </c>
      <c r="AI253">
        <f>IF($AE253="","",IF(OR($AF253="",$AG253="",$AH253="",$AF253&lt;1300,$AF253&gt;1500,$AG253&lt;1,$AG253&gt;12,$AH253&lt;1,$AH253&gt;31),"نامعتبر",RIGHT("0000"&amp;$AF253,4)&amp;"/"&amp;RIGHT("00"&amp;$AG253,2)&amp;"/"&amp;RIGHT("00"&amp;$AH253,2)))</f>
        <v/>
      </c>
      <c r="AJ253">
        <f>IF($AE253="","",IF(Sync!$Q253="","0000",IF(AND(ISNUMBER(Sync!$Q253),Sync!$Q253&gt;=0,Sync!$Q253&lt;1),RIGHT("00"&amp;HOUR(Sync!$Q253),2)&amp;RIGHT("00"&amp;MINUTE(Sync!$Q253),2),IFERROR(RIGHT("00"&amp;VALUE(LEFT(Sync!$Q253,FIND(":",Sync!$Q253)-1)),2)&amp;RIGHT("00"&amp;VALUE(MID(Sync!$Q253,FIND(":",Sync!$Q253)+1,2)),2),"0000"))))</f>
        <v/>
      </c>
      <c r="AK253">
        <f>IF(OR($AE253="",$AI253="",$AI253="نامعتبر"),"",LEFT($AI253,4)&amp;MID($AI253,6,2)&amp;RIGHT($AI253,2)&amp;$AJ253&amp;"|"&amp;"3"&amp;RIGHT("00000"&amp;248,5))</f>
        <v/>
      </c>
      <c r="AL253">
        <f>IF($AK253="","",COUNTIFS(LdAParty,$AE253,LdAType,1,LdAKey,"&lt;"&amp;$AK253)+COUNTIFS(LdBMember,$AE253,LdBKey,"&lt;"&amp;$AK253)+COUNTIFS(LdCParty,$AE253,LdCKey,"&lt;"&amp;$AK253)+1)</f>
        <v/>
      </c>
      <c r="AM253">
        <f>IF($AL253="","",$AE253&amp;"|"&amp;RIGHT("000000"&amp;$AL253,6))</f>
        <v/>
      </c>
      <c r="AN253">
        <f>IF($AE253="","",IF(Sync!$W253="",0,Sync!$W253))</f>
        <v/>
      </c>
      <c r="AO253">
        <f>IF($AE253="","",IF(Sync!$X253="",0,Sync!$X253))</f>
        <v/>
      </c>
      <c r="AP253">
        <f>IF($AE253="","",Sync!$R253)</f>
        <v/>
      </c>
      <c r="AQ253">
        <f>IF($AE253="","",Sync!$Y253)</f>
        <v/>
      </c>
    </row>
    <row r="254">
      <c r="A254">
        <f>IF(OR(Wages!$B257="",Wages!$E257=""),"",Wages!$E257)</f>
        <v/>
      </c>
      <c r="B254">
        <f>IF($A254="","",IF(Wages!$C257="دستمزد گروهی",2,1))</f>
        <v/>
      </c>
      <c r="C254">
        <f>IF($A254="","",IF(ISNUMBER(Wages!$B257),IF(AND(Wages!$B257&gt;=10000101,Wages!$B257&lt;=99991231),INT(Wages!$B257/10000),""),IFERROR(VALUE(TRIM(LEFT(Wages!$B257,FIND("/",Wages!$B257)-1))),"")))</f>
        <v/>
      </c>
      <c r="D254">
        <f>IF(OR($A254="",$C254=""),"",IF(ISNUMBER(Wages!$B257),INT(MOD(Wages!$B257,10000)/100),IFERROR(VALUE(TRIM(LEFT(MID(Wages!$B257,FIND("/",Wages!$B257)+1,20),FIND("/",MID(Wages!$B257,FIND("/",Wages!$B257)+1,20))-1))),"")))</f>
        <v/>
      </c>
      <c r="E254">
        <f>IF(OR($A254="",$C254=""),"",IF(ISNUMBER(Wages!$B257),MOD(Wages!$B257,100),IFERROR(VALUE(TRIM(MID(MID(Wages!$B257,FIND("/",Wages!$B257)+1,20),FIND("/",MID(Wages!$B257,FIND("/",Wages!$B257)+1,20))+1,20))),"")))</f>
        <v/>
      </c>
      <c r="F254">
        <f>IF($A254="","",IF(OR($C254="",$D254="",$E254="",$C254&lt;1300,$C254&gt;1500,$D254&lt;1,$D254&gt;12,$E254&lt;1,$E254&gt;31),"نامعتبر",RIGHT("0000"&amp;$C254,4)&amp;"/"&amp;RIGHT("00"&amp;$D254,2)&amp;"/"&amp;RIGHT("00"&amp;$E254,2)))</f>
        <v/>
      </c>
      <c r="G254">
        <f>IF(OR($A254="",$F254="",$F254="نامعتبر"),"",LEFT($F254,4)&amp;MID($F254,6,2)&amp;RIGHT($F254,2)&amp;"0000"&amp;"|"&amp;"1"&amp;RIGHT("00000"&amp;249,5))</f>
        <v/>
      </c>
      <c r="H254">
        <f>IF(OR($B254&lt;&gt;1,$G254=""),"",COUNTIFS(LdAParty,$A254,LdAType,1,LdAKey,"&lt;"&amp;$G254)+COUNTIFS(LdBMember,$A254,LdBKey,"&lt;"&amp;$G254)+COUNTIFS(LdCParty,$A254,LdCKey,"&lt;"&amp;$G254)+1)</f>
        <v/>
      </c>
      <c r="I254">
        <f>IF($H254="","",$A254&amp;"|"&amp;RIGHT("000000"&amp;$H254,6))</f>
        <v/>
      </c>
      <c r="J254">
        <f>IF(OR($B254&lt;&gt;2,$G254=""),"",COUNTIFS(LdAParty,$A254,LdAType,2,LdAKey,"&lt;"&amp;$G254)+1)</f>
        <v/>
      </c>
      <c r="K254">
        <f>IF($J254="","",$A254&amp;"|"&amp;RIGHT("000000"&amp;$J254,6))</f>
        <v/>
      </c>
      <c r="L254">
        <f>IF($A254="","",IF(Wages!$G257="",0,Wages!$G257))</f>
        <v/>
      </c>
      <c r="M254">
        <f>IF($A254="","",Wages!$J257)</f>
        <v/>
      </c>
      <c r="N254">
        <f>IF($A254="","",Wages!$D257)</f>
        <v/>
      </c>
      <c r="P254">
        <f>IF(OR(Shares!$B257="",Shares!$C257=""),"",Shares!$C257)</f>
        <v/>
      </c>
      <c r="Q254">
        <f>IF($P254="","",Shares!$B257)</f>
        <v/>
      </c>
      <c r="R254">
        <f>IF($P254="","",IFERROR(INDEX(WageParty,MATCH($Q254,WageIds,0)),""))</f>
        <v/>
      </c>
      <c r="S254">
        <f>IF($P254="","",IFERROR(INDEX($F$6:$F$2005,MATCH($Q254,WageIds,0)),""))</f>
        <v/>
      </c>
      <c r="T254">
        <f>IF(OR($P254="",$S254="",$S254="نامعتبر"),"",LEFT($S254,4)&amp;MID($S254,6,2)&amp;RIGHT($S254,2)&amp;"0000"&amp;"|"&amp;"2"&amp;RIGHT("00000"&amp;249,5))</f>
        <v/>
      </c>
      <c r="U254">
        <f>IF($T254="","",COUNTIFS(LdAParty,$P254,LdAType,1,LdAKey,"&lt;"&amp;$T254)+COUNTIFS(LdBMember,$P254,LdBKey,"&lt;"&amp;$T254)+COUNTIFS(LdCParty,$P254,LdCKey,"&lt;"&amp;$T254)+1)</f>
        <v/>
      </c>
      <c r="V254">
        <f>IF($U254="","",$P254&amp;"|"&amp;RIGHT("000000"&amp;$U254,6))</f>
        <v/>
      </c>
      <c r="W254">
        <f>IF($T254="","",COUNTIFS(LdBGroup,$R254,LdBKey,"&lt;"&amp;$T254)+1)</f>
        <v/>
      </c>
      <c r="X254">
        <f>IF($W254="","",$R254&amp;"|"&amp;RIGHT("000000"&amp;$W254,6))</f>
        <v/>
      </c>
      <c r="Y254">
        <f>IF($P254="","",IF(Shares!$E257="",0,Shares!$E257))</f>
        <v/>
      </c>
      <c r="Z254">
        <f>IF($P254="","",Shares!$H257)</f>
        <v/>
      </c>
      <c r="AE254">
        <f>IF(OR(Sync!$S254="",Sync!$P254=""),"",Sync!$S254)</f>
        <v/>
      </c>
      <c r="AF254">
        <f>IF($AE254="","",IF(ISNUMBER(Sync!$P254),IF(AND(Sync!$P254&gt;=10000101,Sync!$P254&lt;=99991231),INT(Sync!$P254/10000),""),IFERROR(VALUE(TRIM(LEFT(Sync!$P254,FIND("/",Sync!$P254)-1))),"")))</f>
        <v/>
      </c>
      <c r="AG254">
        <f>IF(OR($AE254="",$AF254=""),"",IF(ISNUMBER(Sync!$P254),INT(MOD(Sync!$P254,10000)/100),IFERROR(VALUE(TRIM(LEFT(MID(Sync!$P254,FIND("/",Sync!$P254)+1,20),FIND("/",MID(Sync!$P254,FIND("/",Sync!$P254)+1,20))-1))),"")))</f>
        <v/>
      </c>
      <c r="AH254">
        <f>IF(OR($AE254="",$AF254=""),"",IF(ISNUMBER(Sync!$P254),MOD(Sync!$P254,100),IFERROR(VALUE(TRIM(MID(MID(Sync!$P254,FIND("/",Sync!$P254)+1,20),FIND("/",MID(Sync!$P254,FIND("/",Sync!$P254)+1,20))+1,20))),"")))</f>
        <v/>
      </c>
      <c r="AI254">
        <f>IF($AE254="","",IF(OR($AF254="",$AG254="",$AH254="",$AF254&lt;1300,$AF254&gt;1500,$AG254&lt;1,$AG254&gt;12,$AH254&lt;1,$AH254&gt;31),"نامعتبر",RIGHT("0000"&amp;$AF254,4)&amp;"/"&amp;RIGHT("00"&amp;$AG254,2)&amp;"/"&amp;RIGHT("00"&amp;$AH254,2)))</f>
        <v/>
      </c>
      <c r="AJ254">
        <f>IF($AE254="","",IF(Sync!$Q254="","0000",IF(AND(ISNUMBER(Sync!$Q254),Sync!$Q254&gt;=0,Sync!$Q254&lt;1),RIGHT("00"&amp;HOUR(Sync!$Q254),2)&amp;RIGHT("00"&amp;MINUTE(Sync!$Q254),2),IFERROR(RIGHT("00"&amp;VALUE(LEFT(Sync!$Q254,FIND(":",Sync!$Q254)-1)),2)&amp;RIGHT("00"&amp;VALUE(MID(Sync!$Q254,FIND(":",Sync!$Q254)+1,2)),2),"0000"))))</f>
        <v/>
      </c>
      <c r="AK254">
        <f>IF(OR($AE254="",$AI254="",$AI254="نامعتبر"),"",LEFT($AI254,4)&amp;MID($AI254,6,2)&amp;RIGHT($AI254,2)&amp;$AJ254&amp;"|"&amp;"3"&amp;RIGHT("00000"&amp;249,5))</f>
        <v/>
      </c>
      <c r="AL254">
        <f>IF($AK254="","",COUNTIFS(LdAParty,$AE254,LdAType,1,LdAKey,"&lt;"&amp;$AK254)+COUNTIFS(LdBMember,$AE254,LdBKey,"&lt;"&amp;$AK254)+COUNTIFS(LdCParty,$AE254,LdCKey,"&lt;"&amp;$AK254)+1)</f>
        <v/>
      </c>
      <c r="AM254">
        <f>IF($AL254="","",$AE254&amp;"|"&amp;RIGHT("000000"&amp;$AL254,6))</f>
        <v/>
      </c>
      <c r="AN254">
        <f>IF($AE254="","",IF(Sync!$W254="",0,Sync!$W254))</f>
        <v/>
      </c>
      <c r="AO254">
        <f>IF($AE254="","",IF(Sync!$X254="",0,Sync!$X254))</f>
        <v/>
      </c>
      <c r="AP254">
        <f>IF($AE254="","",Sync!$R254)</f>
        <v/>
      </c>
      <c r="AQ254">
        <f>IF($AE254="","",Sync!$Y254)</f>
        <v/>
      </c>
    </row>
    <row r="255">
      <c r="A255">
        <f>IF(OR(Wages!$B258="",Wages!$E258=""),"",Wages!$E258)</f>
        <v/>
      </c>
      <c r="B255">
        <f>IF($A255="","",IF(Wages!$C258="دستمزد گروهی",2,1))</f>
        <v/>
      </c>
      <c r="C255">
        <f>IF($A255="","",IF(ISNUMBER(Wages!$B258),IF(AND(Wages!$B258&gt;=10000101,Wages!$B258&lt;=99991231),INT(Wages!$B258/10000),""),IFERROR(VALUE(TRIM(LEFT(Wages!$B258,FIND("/",Wages!$B258)-1))),"")))</f>
        <v/>
      </c>
      <c r="D255">
        <f>IF(OR($A255="",$C255=""),"",IF(ISNUMBER(Wages!$B258),INT(MOD(Wages!$B258,10000)/100),IFERROR(VALUE(TRIM(LEFT(MID(Wages!$B258,FIND("/",Wages!$B258)+1,20),FIND("/",MID(Wages!$B258,FIND("/",Wages!$B258)+1,20))-1))),"")))</f>
        <v/>
      </c>
      <c r="E255">
        <f>IF(OR($A255="",$C255=""),"",IF(ISNUMBER(Wages!$B258),MOD(Wages!$B258,100),IFERROR(VALUE(TRIM(MID(MID(Wages!$B258,FIND("/",Wages!$B258)+1,20),FIND("/",MID(Wages!$B258,FIND("/",Wages!$B258)+1,20))+1,20))),"")))</f>
        <v/>
      </c>
      <c r="F255">
        <f>IF($A255="","",IF(OR($C255="",$D255="",$E255="",$C255&lt;1300,$C255&gt;1500,$D255&lt;1,$D255&gt;12,$E255&lt;1,$E255&gt;31),"نامعتبر",RIGHT("0000"&amp;$C255,4)&amp;"/"&amp;RIGHT("00"&amp;$D255,2)&amp;"/"&amp;RIGHT("00"&amp;$E255,2)))</f>
        <v/>
      </c>
      <c r="G255">
        <f>IF(OR($A255="",$F255="",$F255="نامعتبر"),"",LEFT($F255,4)&amp;MID($F255,6,2)&amp;RIGHT($F255,2)&amp;"0000"&amp;"|"&amp;"1"&amp;RIGHT("00000"&amp;250,5))</f>
        <v/>
      </c>
      <c r="H255">
        <f>IF(OR($B255&lt;&gt;1,$G255=""),"",COUNTIFS(LdAParty,$A255,LdAType,1,LdAKey,"&lt;"&amp;$G255)+COUNTIFS(LdBMember,$A255,LdBKey,"&lt;"&amp;$G255)+COUNTIFS(LdCParty,$A255,LdCKey,"&lt;"&amp;$G255)+1)</f>
        <v/>
      </c>
      <c r="I255">
        <f>IF($H255="","",$A255&amp;"|"&amp;RIGHT("000000"&amp;$H255,6))</f>
        <v/>
      </c>
      <c r="J255">
        <f>IF(OR($B255&lt;&gt;2,$G255=""),"",COUNTIFS(LdAParty,$A255,LdAType,2,LdAKey,"&lt;"&amp;$G255)+1)</f>
        <v/>
      </c>
      <c r="K255">
        <f>IF($J255="","",$A255&amp;"|"&amp;RIGHT("000000"&amp;$J255,6))</f>
        <v/>
      </c>
      <c r="L255">
        <f>IF($A255="","",IF(Wages!$G258="",0,Wages!$G258))</f>
        <v/>
      </c>
      <c r="M255">
        <f>IF($A255="","",Wages!$J258)</f>
        <v/>
      </c>
      <c r="N255">
        <f>IF($A255="","",Wages!$D258)</f>
        <v/>
      </c>
      <c r="P255">
        <f>IF(OR(Shares!$B258="",Shares!$C258=""),"",Shares!$C258)</f>
        <v/>
      </c>
      <c r="Q255">
        <f>IF($P255="","",Shares!$B258)</f>
        <v/>
      </c>
      <c r="R255">
        <f>IF($P255="","",IFERROR(INDEX(WageParty,MATCH($Q255,WageIds,0)),""))</f>
        <v/>
      </c>
      <c r="S255">
        <f>IF($P255="","",IFERROR(INDEX($F$6:$F$2005,MATCH($Q255,WageIds,0)),""))</f>
        <v/>
      </c>
      <c r="T255">
        <f>IF(OR($P255="",$S255="",$S255="نامعتبر"),"",LEFT($S255,4)&amp;MID($S255,6,2)&amp;RIGHT($S255,2)&amp;"0000"&amp;"|"&amp;"2"&amp;RIGHT("00000"&amp;250,5))</f>
        <v/>
      </c>
      <c r="U255">
        <f>IF($T255="","",COUNTIFS(LdAParty,$P255,LdAType,1,LdAKey,"&lt;"&amp;$T255)+COUNTIFS(LdBMember,$P255,LdBKey,"&lt;"&amp;$T255)+COUNTIFS(LdCParty,$P255,LdCKey,"&lt;"&amp;$T255)+1)</f>
        <v/>
      </c>
      <c r="V255">
        <f>IF($U255="","",$P255&amp;"|"&amp;RIGHT("000000"&amp;$U255,6))</f>
        <v/>
      </c>
      <c r="W255">
        <f>IF($T255="","",COUNTIFS(LdBGroup,$R255,LdBKey,"&lt;"&amp;$T255)+1)</f>
        <v/>
      </c>
      <c r="X255">
        <f>IF($W255="","",$R255&amp;"|"&amp;RIGHT("000000"&amp;$W255,6))</f>
        <v/>
      </c>
      <c r="Y255">
        <f>IF($P255="","",IF(Shares!$E258="",0,Shares!$E258))</f>
        <v/>
      </c>
      <c r="Z255">
        <f>IF($P255="","",Shares!$H258)</f>
        <v/>
      </c>
      <c r="AE255">
        <f>IF(OR(Sync!$S255="",Sync!$P255=""),"",Sync!$S255)</f>
        <v/>
      </c>
      <c r="AF255">
        <f>IF($AE255="","",IF(ISNUMBER(Sync!$P255),IF(AND(Sync!$P255&gt;=10000101,Sync!$P255&lt;=99991231),INT(Sync!$P255/10000),""),IFERROR(VALUE(TRIM(LEFT(Sync!$P255,FIND("/",Sync!$P255)-1))),"")))</f>
        <v/>
      </c>
      <c r="AG255">
        <f>IF(OR($AE255="",$AF255=""),"",IF(ISNUMBER(Sync!$P255),INT(MOD(Sync!$P255,10000)/100),IFERROR(VALUE(TRIM(LEFT(MID(Sync!$P255,FIND("/",Sync!$P255)+1,20),FIND("/",MID(Sync!$P255,FIND("/",Sync!$P255)+1,20))-1))),"")))</f>
        <v/>
      </c>
      <c r="AH255">
        <f>IF(OR($AE255="",$AF255=""),"",IF(ISNUMBER(Sync!$P255),MOD(Sync!$P255,100),IFERROR(VALUE(TRIM(MID(MID(Sync!$P255,FIND("/",Sync!$P255)+1,20),FIND("/",MID(Sync!$P255,FIND("/",Sync!$P255)+1,20))+1,20))),"")))</f>
        <v/>
      </c>
      <c r="AI255">
        <f>IF($AE255="","",IF(OR($AF255="",$AG255="",$AH255="",$AF255&lt;1300,$AF255&gt;1500,$AG255&lt;1,$AG255&gt;12,$AH255&lt;1,$AH255&gt;31),"نامعتبر",RIGHT("0000"&amp;$AF255,4)&amp;"/"&amp;RIGHT("00"&amp;$AG255,2)&amp;"/"&amp;RIGHT("00"&amp;$AH255,2)))</f>
        <v/>
      </c>
      <c r="AJ255">
        <f>IF($AE255="","",IF(Sync!$Q255="","0000",IF(AND(ISNUMBER(Sync!$Q255),Sync!$Q255&gt;=0,Sync!$Q255&lt;1),RIGHT("00"&amp;HOUR(Sync!$Q255),2)&amp;RIGHT("00"&amp;MINUTE(Sync!$Q255),2),IFERROR(RIGHT("00"&amp;VALUE(LEFT(Sync!$Q255,FIND(":",Sync!$Q255)-1)),2)&amp;RIGHT("00"&amp;VALUE(MID(Sync!$Q255,FIND(":",Sync!$Q255)+1,2)),2),"0000"))))</f>
        <v/>
      </c>
      <c r="AK255">
        <f>IF(OR($AE255="",$AI255="",$AI255="نامعتبر"),"",LEFT($AI255,4)&amp;MID($AI255,6,2)&amp;RIGHT($AI255,2)&amp;$AJ255&amp;"|"&amp;"3"&amp;RIGHT("00000"&amp;250,5))</f>
        <v/>
      </c>
      <c r="AL255">
        <f>IF($AK255="","",COUNTIFS(LdAParty,$AE255,LdAType,1,LdAKey,"&lt;"&amp;$AK255)+COUNTIFS(LdBMember,$AE255,LdBKey,"&lt;"&amp;$AK255)+COUNTIFS(LdCParty,$AE255,LdCKey,"&lt;"&amp;$AK255)+1)</f>
        <v/>
      </c>
      <c r="AM255">
        <f>IF($AL255="","",$AE255&amp;"|"&amp;RIGHT("000000"&amp;$AL255,6))</f>
        <v/>
      </c>
      <c r="AN255">
        <f>IF($AE255="","",IF(Sync!$W255="",0,Sync!$W255))</f>
        <v/>
      </c>
      <c r="AO255">
        <f>IF($AE255="","",IF(Sync!$X255="",0,Sync!$X255))</f>
        <v/>
      </c>
      <c r="AP255">
        <f>IF($AE255="","",Sync!$R255)</f>
        <v/>
      </c>
      <c r="AQ255">
        <f>IF($AE255="","",Sync!$Y255)</f>
        <v/>
      </c>
    </row>
    <row r="256">
      <c r="A256">
        <f>IF(OR(Wages!$B259="",Wages!$E259=""),"",Wages!$E259)</f>
        <v/>
      </c>
      <c r="B256">
        <f>IF($A256="","",IF(Wages!$C259="دستمزد گروهی",2,1))</f>
        <v/>
      </c>
      <c r="C256">
        <f>IF($A256="","",IF(ISNUMBER(Wages!$B259),IF(AND(Wages!$B259&gt;=10000101,Wages!$B259&lt;=99991231),INT(Wages!$B259/10000),""),IFERROR(VALUE(TRIM(LEFT(Wages!$B259,FIND("/",Wages!$B259)-1))),"")))</f>
        <v/>
      </c>
      <c r="D256">
        <f>IF(OR($A256="",$C256=""),"",IF(ISNUMBER(Wages!$B259),INT(MOD(Wages!$B259,10000)/100),IFERROR(VALUE(TRIM(LEFT(MID(Wages!$B259,FIND("/",Wages!$B259)+1,20),FIND("/",MID(Wages!$B259,FIND("/",Wages!$B259)+1,20))-1))),"")))</f>
        <v/>
      </c>
      <c r="E256">
        <f>IF(OR($A256="",$C256=""),"",IF(ISNUMBER(Wages!$B259),MOD(Wages!$B259,100),IFERROR(VALUE(TRIM(MID(MID(Wages!$B259,FIND("/",Wages!$B259)+1,20),FIND("/",MID(Wages!$B259,FIND("/",Wages!$B259)+1,20))+1,20))),"")))</f>
        <v/>
      </c>
      <c r="F256">
        <f>IF($A256="","",IF(OR($C256="",$D256="",$E256="",$C256&lt;1300,$C256&gt;1500,$D256&lt;1,$D256&gt;12,$E256&lt;1,$E256&gt;31),"نامعتبر",RIGHT("0000"&amp;$C256,4)&amp;"/"&amp;RIGHT("00"&amp;$D256,2)&amp;"/"&amp;RIGHT("00"&amp;$E256,2)))</f>
        <v/>
      </c>
      <c r="G256">
        <f>IF(OR($A256="",$F256="",$F256="نامعتبر"),"",LEFT($F256,4)&amp;MID($F256,6,2)&amp;RIGHT($F256,2)&amp;"0000"&amp;"|"&amp;"1"&amp;RIGHT("00000"&amp;251,5))</f>
        <v/>
      </c>
      <c r="H256">
        <f>IF(OR($B256&lt;&gt;1,$G256=""),"",COUNTIFS(LdAParty,$A256,LdAType,1,LdAKey,"&lt;"&amp;$G256)+COUNTIFS(LdBMember,$A256,LdBKey,"&lt;"&amp;$G256)+COUNTIFS(LdCParty,$A256,LdCKey,"&lt;"&amp;$G256)+1)</f>
        <v/>
      </c>
      <c r="I256">
        <f>IF($H256="","",$A256&amp;"|"&amp;RIGHT("000000"&amp;$H256,6))</f>
        <v/>
      </c>
      <c r="J256">
        <f>IF(OR($B256&lt;&gt;2,$G256=""),"",COUNTIFS(LdAParty,$A256,LdAType,2,LdAKey,"&lt;"&amp;$G256)+1)</f>
        <v/>
      </c>
      <c r="K256">
        <f>IF($J256="","",$A256&amp;"|"&amp;RIGHT("000000"&amp;$J256,6))</f>
        <v/>
      </c>
      <c r="L256">
        <f>IF($A256="","",IF(Wages!$G259="",0,Wages!$G259))</f>
        <v/>
      </c>
      <c r="M256">
        <f>IF($A256="","",Wages!$J259)</f>
        <v/>
      </c>
      <c r="N256">
        <f>IF($A256="","",Wages!$D259)</f>
        <v/>
      </c>
      <c r="P256">
        <f>IF(OR(Shares!$B259="",Shares!$C259=""),"",Shares!$C259)</f>
        <v/>
      </c>
      <c r="Q256">
        <f>IF($P256="","",Shares!$B259)</f>
        <v/>
      </c>
      <c r="R256">
        <f>IF($P256="","",IFERROR(INDEX(WageParty,MATCH($Q256,WageIds,0)),""))</f>
        <v/>
      </c>
      <c r="S256">
        <f>IF($P256="","",IFERROR(INDEX($F$6:$F$2005,MATCH($Q256,WageIds,0)),""))</f>
        <v/>
      </c>
      <c r="T256">
        <f>IF(OR($P256="",$S256="",$S256="نامعتبر"),"",LEFT($S256,4)&amp;MID($S256,6,2)&amp;RIGHT($S256,2)&amp;"0000"&amp;"|"&amp;"2"&amp;RIGHT("00000"&amp;251,5))</f>
        <v/>
      </c>
      <c r="U256">
        <f>IF($T256="","",COUNTIFS(LdAParty,$P256,LdAType,1,LdAKey,"&lt;"&amp;$T256)+COUNTIFS(LdBMember,$P256,LdBKey,"&lt;"&amp;$T256)+COUNTIFS(LdCParty,$P256,LdCKey,"&lt;"&amp;$T256)+1)</f>
        <v/>
      </c>
      <c r="V256">
        <f>IF($U256="","",$P256&amp;"|"&amp;RIGHT("000000"&amp;$U256,6))</f>
        <v/>
      </c>
      <c r="W256">
        <f>IF($T256="","",COUNTIFS(LdBGroup,$R256,LdBKey,"&lt;"&amp;$T256)+1)</f>
        <v/>
      </c>
      <c r="X256">
        <f>IF($W256="","",$R256&amp;"|"&amp;RIGHT("000000"&amp;$W256,6))</f>
        <v/>
      </c>
      <c r="Y256">
        <f>IF($P256="","",IF(Shares!$E259="",0,Shares!$E259))</f>
        <v/>
      </c>
      <c r="Z256">
        <f>IF($P256="","",Shares!$H259)</f>
        <v/>
      </c>
      <c r="AE256">
        <f>IF(OR(Sync!$S256="",Sync!$P256=""),"",Sync!$S256)</f>
        <v/>
      </c>
      <c r="AF256">
        <f>IF($AE256="","",IF(ISNUMBER(Sync!$P256),IF(AND(Sync!$P256&gt;=10000101,Sync!$P256&lt;=99991231),INT(Sync!$P256/10000),""),IFERROR(VALUE(TRIM(LEFT(Sync!$P256,FIND("/",Sync!$P256)-1))),"")))</f>
        <v/>
      </c>
      <c r="AG256">
        <f>IF(OR($AE256="",$AF256=""),"",IF(ISNUMBER(Sync!$P256),INT(MOD(Sync!$P256,10000)/100),IFERROR(VALUE(TRIM(LEFT(MID(Sync!$P256,FIND("/",Sync!$P256)+1,20),FIND("/",MID(Sync!$P256,FIND("/",Sync!$P256)+1,20))-1))),"")))</f>
        <v/>
      </c>
      <c r="AH256">
        <f>IF(OR($AE256="",$AF256=""),"",IF(ISNUMBER(Sync!$P256),MOD(Sync!$P256,100),IFERROR(VALUE(TRIM(MID(MID(Sync!$P256,FIND("/",Sync!$P256)+1,20),FIND("/",MID(Sync!$P256,FIND("/",Sync!$P256)+1,20))+1,20))),"")))</f>
        <v/>
      </c>
      <c r="AI256">
        <f>IF($AE256="","",IF(OR($AF256="",$AG256="",$AH256="",$AF256&lt;1300,$AF256&gt;1500,$AG256&lt;1,$AG256&gt;12,$AH256&lt;1,$AH256&gt;31),"نامعتبر",RIGHT("0000"&amp;$AF256,4)&amp;"/"&amp;RIGHT("00"&amp;$AG256,2)&amp;"/"&amp;RIGHT("00"&amp;$AH256,2)))</f>
        <v/>
      </c>
      <c r="AJ256">
        <f>IF($AE256="","",IF(Sync!$Q256="","0000",IF(AND(ISNUMBER(Sync!$Q256),Sync!$Q256&gt;=0,Sync!$Q256&lt;1),RIGHT("00"&amp;HOUR(Sync!$Q256),2)&amp;RIGHT("00"&amp;MINUTE(Sync!$Q256),2),IFERROR(RIGHT("00"&amp;VALUE(LEFT(Sync!$Q256,FIND(":",Sync!$Q256)-1)),2)&amp;RIGHT("00"&amp;VALUE(MID(Sync!$Q256,FIND(":",Sync!$Q256)+1,2)),2),"0000"))))</f>
        <v/>
      </c>
      <c r="AK256">
        <f>IF(OR($AE256="",$AI256="",$AI256="نامعتبر"),"",LEFT($AI256,4)&amp;MID($AI256,6,2)&amp;RIGHT($AI256,2)&amp;$AJ256&amp;"|"&amp;"3"&amp;RIGHT("00000"&amp;251,5))</f>
        <v/>
      </c>
      <c r="AL256">
        <f>IF($AK256="","",COUNTIFS(LdAParty,$AE256,LdAType,1,LdAKey,"&lt;"&amp;$AK256)+COUNTIFS(LdBMember,$AE256,LdBKey,"&lt;"&amp;$AK256)+COUNTIFS(LdCParty,$AE256,LdCKey,"&lt;"&amp;$AK256)+1)</f>
        <v/>
      </c>
      <c r="AM256">
        <f>IF($AL256="","",$AE256&amp;"|"&amp;RIGHT("000000"&amp;$AL256,6))</f>
        <v/>
      </c>
      <c r="AN256">
        <f>IF($AE256="","",IF(Sync!$W256="",0,Sync!$W256))</f>
        <v/>
      </c>
      <c r="AO256">
        <f>IF($AE256="","",IF(Sync!$X256="",0,Sync!$X256))</f>
        <v/>
      </c>
      <c r="AP256">
        <f>IF($AE256="","",Sync!$R256)</f>
        <v/>
      </c>
      <c r="AQ256">
        <f>IF($AE256="","",Sync!$Y256)</f>
        <v/>
      </c>
    </row>
    <row r="257">
      <c r="A257">
        <f>IF(OR(Wages!$B260="",Wages!$E260=""),"",Wages!$E260)</f>
        <v/>
      </c>
      <c r="B257">
        <f>IF($A257="","",IF(Wages!$C260="دستمزد گروهی",2,1))</f>
        <v/>
      </c>
      <c r="C257">
        <f>IF($A257="","",IF(ISNUMBER(Wages!$B260),IF(AND(Wages!$B260&gt;=10000101,Wages!$B260&lt;=99991231),INT(Wages!$B260/10000),""),IFERROR(VALUE(TRIM(LEFT(Wages!$B260,FIND("/",Wages!$B260)-1))),"")))</f>
        <v/>
      </c>
      <c r="D257">
        <f>IF(OR($A257="",$C257=""),"",IF(ISNUMBER(Wages!$B260),INT(MOD(Wages!$B260,10000)/100),IFERROR(VALUE(TRIM(LEFT(MID(Wages!$B260,FIND("/",Wages!$B260)+1,20),FIND("/",MID(Wages!$B260,FIND("/",Wages!$B260)+1,20))-1))),"")))</f>
        <v/>
      </c>
      <c r="E257">
        <f>IF(OR($A257="",$C257=""),"",IF(ISNUMBER(Wages!$B260),MOD(Wages!$B260,100),IFERROR(VALUE(TRIM(MID(MID(Wages!$B260,FIND("/",Wages!$B260)+1,20),FIND("/",MID(Wages!$B260,FIND("/",Wages!$B260)+1,20))+1,20))),"")))</f>
        <v/>
      </c>
      <c r="F257">
        <f>IF($A257="","",IF(OR($C257="",$D257="",$E257="",$C257&lt;1300,$C257&gt;1500,$D257&lt;1,$D257&gt;12,$E257&lt;1,$E257&gt;31),"نامعتبر",RIGHT("0000"&amp;$C257,4)&amp;"/"&amp;RIGHT("00"&amp;$D257,2)&amp;"/"&amp;RIGHT("00"&amp;$E257,2)))</f>
        <v/>
      </c>
      <c r="G257">
        <f>IF(OR($A257="",$F257="",$F257="نامعتبر"),"",LEFT($F257,4)&amp;MID($F257,6,2)&amp;RIGHT($F257,2)&amp;"0000"&amp;"|"&amp;"1"&amp;RIGHT("00000"&amp;252,5))</f>
        <v/>
      </c>
      <c r="H257">
        <f>IF(OR($B257&lt;&gt;1,$G257=""),"",COUNTIFS(LdAParty,$A257,LdAType,1,LdAKey,"&lt;"&amp;$G257)+COUNTIFS(LdBMember,$A257,LdBKey,"&lt;"&amp;$G257)+COUNTIFS(LdCParty,$A257,LdCKey,"&lt;"&amp;$G257)+1)</f>
        <v/>
      </c>
      <c r="I257">
        <f>IF($H257="","",$A257&amp;"|"&amp;RIGHT("000000"&amp;$H257,6))</f>
        <v/>
      </c>
      <c r="J257">
        <f>IF(OR($B257&lt;&gt;2,$G257=""),"",COUNTIFS(LdAParty,$A257,LdAType,2,LdAKey,"&lt;"&amp;$G257)+1)</f>
        <v/>
      </c>
      <c r="K257">
        <f>IF($J257="","",$A257&amp;"|"&amp;RIGHT("000000"&amp;$J257,6))</f>
        <v/>
      </c>
      <c r="L257">
        <f>IF($A257="","",IF(Wages!$G260="",0,Wages!$G260))</f>
        <v/>
      </c>
      <c r="M257">
        <f>IF($A257="","",Wages!$J260)</f>
        <v/>
      </c>
      <c r="N257">
        <f>IF($A257="","",Wages!$D260)</f>
        <v/>
      </c>
      <c r="P257">
        <f>IF(OR(Shares!$B260="",Shares!$C260=""),"",Shares!$C260)</f>
        <v/>
      </c>
      <c r="Q257">
        <f>IF($P257="","",Shares!$B260)</f>
        <v/>
      </c>
      <c r="R257">
        <f>IF($P257="","",IFERROR(INDEX(WageParty,MATCH($Q257,WageIds,0)),""))</f>
        <v/>
      </c>
      <c r="S257">
        <f>IF($P257="","",IFERROR(INDEX($F$6:$F$2005,MATCH($Q257,WageIds,0)),""))</f>
        <v/>
      </c>
      <c r="T257">
        <f>IF(OR($P257="",$S257="",$S257="نامعتبر"),"",LEFT($S257,4)&amp;MID($S257,6,2)&amp;RIGHT($S257,2)&amp;"0000"&amp;"|"&amp;"2"&amp;RIGHT("00000"&amp;252,5))</f>
        <v/>
      </c>
      <c r="U257">
        <f>IF($T257="","",COUNTIFS(LdAParty,$P257,LdAType,1,LdAKey,"&lt;"&amp;$T257)+COUNTIFS(LdBMember,$P257,LdBKey,"&lt;"&amp;$T257)+COUNTIFS(LdCParty,$P257,LdCKey,"&lt;"&amp;$T257)+1)</f>
        <v/>
      </c>
      <c r="V257">
        <f>IF($U257="","",$P257&amp;"|"&amp;RIGHT("000000"&amp;$U257,6))</f>
        <v/>
      </c>
      <c r="W257">
        <f>IF($T257="","",COUNTIFS(LdBGroup,$R257,LdBKey,"&lt;"&amp;$T257)+1)</f>
        <v/>
      </c>
      <c r="X257">
        <f>IF($W257="","",$R257&amp;"|"&amp;RIGHT("000000"&amp;$W257,6))</f>
        <v/>
      </c>
      <c r="Y257">
        <f>IF($P257="","",IF(Shares!$E260="",0,Shares!$E260))</f>
        <v/>
      </c>
      <c r="Z257">
        <f>IF($P257="","",Shares!$H260)</f>
        <v/>
      </c>
      <c r="AE257">
        <f>IF(OR(Sync!$S257="",Sync!$P257=""),"",Sync!$S257)</f>
        <v/>
      </c>
      <c r="AF257">
        <f>IF($AE257="","",IF(ISNUMBER(Sync!$P257),IF(AND(Sync!$P257&gt;=10000101,Sync!$P257&lt;=99991231),INT(Sync!$P257/10000),""),IFERROR(VALUE(TRIM(LEFT(Sync!$P257,FIND("/",Sync!$P257)-1))),"")))</f>
        <v/>
      </c>
      <c r="AG257">
        <f>IF(OR($AE257="",$AF257=""),"",IF(ISNUMBER(Sync!$P257),INT(MOD(Sync!$P257,10000)/100),IFERROR(VALUE(TRIM(LEFT(MID(Sync!$P257,FIND("/",Sync!$P257)+1,20),FIND("/",MID(Sync!$P257,FIND("/",Sync!$P257)+1,20))-1))),"")))</f>
        <v/>
      </c>
      <c r="AH257">
        <f>IF(OR($AE257="",$AF257=""),"",IF(ISNUMBER(Sync!$P257),MOD(Sync!$P257,100),IFERROR(VALUE(TRIM(MID(MID(Sync!$P257,FIND("/",Sync!$P257)+1,20),FIND("/",MID(Sync!$P257,FIND("/",Sync!$P257)+1,20))+1,20))),"")))</f>
        <v/>
      </c>
      <c r="AI257">
        <f>IF($AE257="","",IF(OR($AF257="",$AG257="",$AH257="",$AF257&lt;1300,$AF257&gt;1500,$AG257&lt;1,$AG257&gt;12,$AH257&lt;1,$AH257&gt;31),"نامعتبر",RIGHT("0000"&amp;$AF257,4)&amp;"/"&amp;RIGHT("00"&amp;$AG257,2)&amp;"/"&amp;RIGHT("00"&amp;$AH257,2)))</f>
        <v/>
      </c>
      <c r="AJ257">
        <f>IF($AE257="","",IF(Sync!$Q257="","0000",IF(AND(ISNUMBER(Sync!$Q257),Sync!$Q257&gt;=0,Sync!$Q257&lt;1),RIGHT("00"&amp;HOUR(Sync!$Q257),2)&amp;RIGHT("00"&amp;MINUTE(Sync!$Q257),2),IFERROR(RIGHT("00"&amp;VALUE(LEFT(Sync!$Q257,FIND(":",Sync!$Q257)-1)),2)&amp;RIGHT("00"&amp;VALUE(MID(Sync!$Q257,FIND(":",Sync!$Q257)+1,2)),2),"0000"))))</f>
        <v/>
      </c>
      <c r="AK257">
        <f>IF(OR($AE257="",$AI257="",$AI257="نامعتبر"),"",LEFT($AI257,4)&amp;MID($AI257,6,2)&amp;RIGHT($AI257,2)&amp;$AJ257&amp;"|"&amp;"3"&amp;RIGHT("00000"&amp;252,5))</f>
        <v/>
      </c>
      <c r="AL257">
        <f>IF($AK257="","",COUNTIFS(LdAParty,$AE257,LdAType,1,LdAKey,"&lt;"&amp;$AK257)+COUNTIFS(LdBMember,$AE257,LdBKey,"&lt;"&amp;$AK257)+COUNTIFS(LdCParty,$AE257,LdCKey,"&lt;"&amp;$AK257)+1)</f>
        <v/>
      </c>
      <c r="AM257">
        <f>IF($AL257="","",$AE257&amp;"|"&amp;RIGHT("000000"&amp;$AL257,6))</f>
        <v/>
      </c>
      <c r="AN257">
        <f>IF($AE257="","",IF(Sync!$W257="",0,Sync!$W257))</f>
        <v/>
      </c>
      <c r="AO257">
        <f>IF($AE257="","",IF(Sync!$X257="",0,Sync!$X257))</f>
        <v/>
      </c>
      <c r="AP257">
        <f>IF($AE257="","",Sync!$R257)</f>
        <v/>
      </c>
      <c r="AQ257">
        <f>IF($AE257="","",Sync!$Y257)</f>
        <v/>
      </c>
    </row>
    <row r="258">
      <c r="A258">
        <f>IF(OR(Wages!$B261="",Wages!$E261=""),"",Wages!$E261)</f>
        <v/>
      </c>
      <c r="B258">
        <f>IF($A258="","",IF(Wages!$C261="دستمزد گروهی",2,1))</f>
        <v/>
      </c>
      <c r="C258">
        <f>IF($A258="","",IF(ISNUMBER(Wages!$B261),IF(AND(Wages!$B261&gt;=10000101,Wages!$B261&lt;=99991231),INT(Wages!$B261/10000),""),IFERROR(VALUE(TRIM(LEFT(Wages!$B261,FIND("/",Wages!$B261)-1))),"")))</f>
        <v/>
      </c>
      <c r="D258">
        <f>IF(OR($A258="",$C258=""),"",IF(ISNUMBER(Wages!$B261),INT(MOD(Wages!$B261,10000)/100),IFERROR(VALUE(TRIM(LEFT(MID(Wages!$B261,FIND("/",Wages!$B261)+1,20),FIND("/",MID(Wages!$B261,FIND("/",Wages!$B261)+1,20))-1))),"")))</f>
        <v/>
      </c>
      <c r="E258">
        <f>IF(OR($A258="",$C258=""),"",IF(ISNUMBER(Wages!$B261),MOD(Wages!$B261,100),IFERROR(VALUE(TRIM(MID(MID(Wages!$B261,FIND("/",Wages!$B261)+1,20),FIND("/",MID(Wages!$B261,FIND("/",Wages!$B261)+1,20))+1,20))),"")))</f>
        <v/>
      </c>
      <c r="F258">
        <f>IF($A258="","",IF(OR($C258="",$D258="",$E258="",$C258&lt;1300,$C258&gt;1500,$D258&lt;1,$D258&gt;12,$E258&lt;1,$E258&gt;31),"نامعتبر",RIGHT("0000"&amp;$C258,4)&amp;"/"&amp;RIGHT("00"&amp;$D258,2)&amp;"/"&amp;RIGHT("00"&amp;$E258,2)))</f>
        <v/>
      </c>
      <c r="G258">
        <f>IF(OR($A258="",$F258="",$F258="نامعتبر"),"",LEFT($F258,4)&amp;MID($F258,6,2)&amp;RIGHT($F258,2)&amp;"0000"&amp;"|"&amp;"1"&amp;RIGHT("00000"&amp;253,5))</f>
        <v/>
      </c>
      <c r="H258">
        <f>IF(OR($B258&lt;&gt;1,$G258=""),"",COUNTIFS(LdAParty,$A258,LdAType,1,LdAKey,"&lt;"&amp;$G258)+COUNTIFS(LdBMember,$A258,LdBKey,"&lt;"&amp;$G258)+COUNTIFS(LdCParty,$A258,LdCKey,"&lt;"&amp;$G258)+1)</f>
        <v/>
      </c>
      <c r="I258">
        <f>IF($H258="","",$A258&amp;"|"&amp;RIGHT("000000"&amp;$H258,6))</f>
        <v/>
      </c>
      <c r="J258">
        <f>IF(OR($B258&lt;&gt;2,$G258=""),"",COUNTIFS(LdAParty,$A258,LdAType,2,LdAKey,"&lt;"&amp;$G258)+1)</f>
        <v/>
      </c>
      <c r="K258">
        <f>IF($J258="","",$A258&amp;"|"&amp;RIGHT("000000"&amp;$J258,6))</f>
        <v/>
      </c>
      <c r="L258">
        <f>IF($A258="","",IF(Wages!$G261="",0,Wages!$G261))</f>
        <v/>
      </c>
      <c r="M258">
        <f>IF($A258="","",Wages!$J261)</f>
        <v/>
      </c>
      <c r="N258">
        <f>IF($A258="","",Wages!$D261)</f>
        <v/>
      </c>
      <c r="P258">
        <f>IF(OR(Shares!$B261="",Shares!$C261=""),"",Shares!$C261)</f>
        <v/>
      </c>
      <c r="Q258">
        <f>IF($P258="","",Shares!$B261)</f>
        <v/>
      </c>
      <c r="R258">
        <f>IF($P258="","",IFERROR(INDEX(WageParty,MATCH($Q258,WageIds,0)),""))</f>
        <v/>
      </c>
      <c r="S258">
        <f>IF($P258="","",IFERROR(INDEX($F$6:$F$2005,MATCH($Q258,WageIds,0)),""))</f>
        <v/>
      </c>
      <c r="T258">
        <f>IF(OR($P258="",$S258="",$S258="نامعتبر"),"",LEFT($S258,4)&amp;MID($S258,6,2)&amp;RIGHT($S258,2)&amp;"0000"&amp;"|"&amp;"2"&amp;RIGHT("00000"&amp;253,5))</f>
        <v/>
      </c>
      <c r="U258">
        <f>IF($T258="","",COUNTIFS(LdAParty,$P258,LdAType,1,LdAKey,"&lt;"&amp;$T258)+COUNTIFS(LdBMember,$P258,LdBKey,"&lt;"&amp;$T258)+COUNTIFS(LdCParty,$P258,LdCKey,"&lt;"&amp;$T258)+1)</f>
        <v/>
      </c>
      <c r="V258">
        <f>IF($U258="","",$P258&amp;"|"&amp;RIGHT("000000"&amp;$U258,6))</f>
        <v/>
      </c>
      <c r="W258">
        <f>IF($T258="","",COUNTIFS(LdBGroup,$R258,LdBKey,"&lt;"&amp;$T258)+1)</f>
        <v/>
      </c>
      <c r="X258">
        <f>IF($W258="","",$R258&amp;"|"&amp;RIGHT("000000"&amp;$W258,6))</f>
        <v/>
      </c>
      <c r="Y258">
        <f>IF($P258="","",IF(Shares!$E261="",0,Shares!$E261))</f>
        <v/>
      </c>
      <c r="Z258">
        <f>IF($P258="","",Shares!$H261)</f>
        <v/>
      </c>
      <c r="AE258">
        <f>IF(OR(Sync!$S258="",Sync!$P258=""),"",Sync!$S258)</f>
        <v/>
      </c>
      <c r="AF258">
        <f>IF($AE258="","",IF(ISNUMBER(Sync!$P258),IF(AND(Sync!$P258&gt;=10000101,Sync!$P258&lt;=99991231),INT(Sync!$P258/10000),""),IFERROR(VALUE(TRIM(LEFT(Sync!$P258,FIND("/",Sync!$P258)-1))),"")))</f>
        <v/>
      </c>
      <c r="AG258">
        <f>IF(OR($AE258="",$AF258=""),"",IF(ISNUMBER(Sync!$P258),INT(MOD(Sync!$P258,10000)/100),IFERROR(VALUE(TRIM(LEFT(MID(Sync!$P258,FIND("/",Sync!$P258)+1,20),FIND("/",MID(Sync!$P258,FIND("/",Sync!$P258)+1,20))-1))),"")))</f>
        <v/>
      </c>
      <c r="AH258">
        <f>IF(OR($AE258="",$AF258=""),"",IF(ISNUMBER(Sync!$P258),MOD(Sync!$P258,100),IFERROR(VALUE(TRIM(MID(MID(Sync!$P258,FIND("/",Sync!$P258)+1,20),FIND("/",MID(Sync!$P258,FIND("/",Sync!$P258)+1,20))+1,20))),"")))</f>
        <v/>
      </c>
      <c r="AI258">
        <f>IF($AE258="","",IF(OR($AF258="",$AG258="",$AH258="",$AF258&lt;1300,$AF258&gt;1500,$AG258&lt;1,$AG258&gt;12,$AH258&lt;1,$AH258&gt;31),"نامعتبر",RIGHT("0000"&amp;$AF258,4)&amp;"/"&amp;RIGHT("00"&amp;$AG258,2)&amp;"/"&amp;RIGHT("00"&amp;$AH258,2)))</f>
        <v/>
      </c>
      <c r="AJ258">
        <f>IF($AE258="","",IF(Sync!$Q258="","0000",IF(AND(ISNUMBER(Sync!$Q258),Sync!$Q258&gt;=0,Sync!$Q258&lt;1),RIGHT("00"&amp;HOUR(Sync!$Q258),2)&amp;RIGHT("00"&amp;MINUTE(Sync!$Q258),2),IFERROR(RIGHT("00"&amp;VALUE(LEFT(Sync!$Q258,FIND(":",Sync!$Q258)-1)),2)&amp;RIGHT("00"&amp;VALUE(MID(Sync!$Q258,FIND(":",Sync!$Q258)+1,2)),2),"0000"))))</f>
        <v/>
      </c>
      <c r="AK258">
        <f>IF(OR($AE258="",$AI258="",$AI258="نامعتبر"),"",LEFT($AI258,4)&amp;MID($AI258,6,2)&amp;RIGHT($AI258,2)&amp;$AJ258&amp;"|"&amp;"3"&amp;RIGHT("00000"&amp;253,5))</f>
        <v/>
      </c>
      <c r="AL258">
        <f>IF($AK258="","",COUNTIFS(LdAParty,$AE258,LdAType,1,LdAKey,"&lt;"&amp;$AK258)+COUNTIFS(LdBMember,$AE258,LdBKey,"&lt;"&amp;$AK258)+COUNTIFS(LdCParty,$AE258,LdCKey,"&lt;"&amp;$AK258)+1)</f>
        <v/>
      </c>
      <c r="AM258">
        <f>IF($AL258="","",$AE258&amp;"|"&amp;RIGHT("000000"&amp;$AL258,6))</f>
        <v/>
      </c>
      <c r="AN258">
        <f>IF($AE258="","",IF(Sync!$W258="",0,Sync!$W258))</f>
        <v/>
      </c>
      <c r="AO258">
        <f>IF($AE258="","",IF(Sync!$X258="",0,Sync!$X258))</f>
        <v/>
      </c>
      <c r="AP258">
        <f>IF($AE258="","",Sync!$R258)</f>
        <v/>
      </c>
      <c r="AQ258">
        <f>IF($AE258="","",Sync!$Y258)</f>
        <v/>
      </c>
    </row>
    <row r="259">
      <c r="A259">
        <f>IF(OR(Wages!$B262="",Wages!$E262=""),"",Wages!$E262)</f>
        <v/>
      </c>
      <c r="B259">
        <f>IF($A259="","",IF(Wages!$C262="دستمزد گروهی",2,1))</f>
        <v/>
      </c>
      <c r="C259">
        <f>IF($A259="","",IF(ISNUMBER(Wages!$B262),IF(AND(Wages!$B262&gt;=10000101,Wages!$B262&lt;=99991231),INT(Wages!$B262/10000),""),IFERROR(VALUE(TRIM(LEFT(Wages!$B262,FIND("/",Wages!$B262)-1))),"")))</f>
        <v/>
      </c>
      <c r="D259">
        <f>IF(OR($A259="",$C259=""),"",IF(ISNUMBER(Wages!$B262),INT(MOD(Wages!$B262,10000)/100),IFERROR(VALUE(TRIM(LEFT(MID(Wages!$B262,FIND("/",Wages!$B262)+1,20),FIND("/",MID(Wages!$B262,FIND("/",Wages!$B262)+1,20))-1))),"")))</f>
        <v/>
      </c>
      <c r="E259">
        <f>IF(OR($A259="",$C259=""),"",IF(ISNUMBER(Wages!$B262),MOD(Wages!$B262,100),IFERROR(VALUE(TRIM(MID(MID(Wages!$B262,FIND("/",Wages!$B262)+1,20),FIND("/",MID(Wages!$B262,FIND("/",Wages!$B262)+1,20))+1,20))),"")))</f>
        <v/>
      </c>
      <c r="F259">
        <f>IF($A259="","",IF(OR($C259="",$D259="",$E259="",$C259&lt;1300,$C259&gt;1500,$D259&lt;1,$D259&gt;12,$E259&lt;1,$E259&gt;31),"نامعتبر",RIGHT("0000"&amp;$C259,4)&amp;"/"&amp;RIGHT("00"&amp;$D259,2)&amp;"/"&amp;RIGHT("00"&amp;$E259,2)))</f>
        <v/>
      </c>
      <c r="G259">
        <f>IF(OR($A259="",$F259="",$F259="نامعتبر"),"",LEFT($F259,4)&amp;MID($F259,6,2)&amp;RIGHT($F259,2)&amp;"0000"&amp;"|"&amp;"1"&amp;RIGHT("00000"&amp;254,5))</f>
        <v/>
      </c>
      <c r="H259">
        <f>IF(OR($B259&lt;&gt;1,$G259=""),"",COUNTIFS(LdAParty,$A259,LdAType,1,LdAKey,"&lt;"&amp;$G259)+COUNTIFS(LdBMember,$A259,LdBKey,"&lt;"&amp;$G259)+COUNTIFS(LdCParty,$A259,LdCKey,"&lt;"&amp;$G259)+1)</f>
        <v/>
      </c>
      <c r="I259">
        <f>IF($H259="","",$A259&amp;"|"&amp;RIGHT("000000"&amp;$H259,6))</f>
        <v/>
      </c>
      <c r="J259">
        <f>IF(OR($B259&lt;&gt;2,$G259=""),"",COUNTIFS(LdAParty,$A259,LdAType,2,LdAKey,"&lt;"&amp;$G259)+1)</f>
        <v/>
      </c>
      <c r="K259">
        <f>IF($J259="","",$A259&amp;"|"&amp;RIGHT("000000"&amp;$J259,6))</f>
        <v/>
      </c>
      <c r="L259">
        <f>IF($A259="","",IF(Wages!$G262="",0,Wages!$G262))</f>
        <v/>
      </c>
      <c r="M259">
        <f>IF($A259="","",Wages!$J262)</f>
        <v/>
      </c>
      <c r="N259">
        <f>IF($A259="","",Wages!$D262)</f>
        <v/>
      </c>
      <c r="P259">
        <f>IF(OR(Shares!$B262="",Shares!$C262=""),"",Shares!$C262)</f>
        <v/>
      </c>
      <c r="Q259">
        <f>IF($P259="","",Shares!$B262)</f>
        <v/>
      </c>
      <c r="R259">
        <f>IF($P259="","",IFERROR(INDEX(WageParty,MATCH($Q259,WageIds,0)),""))</f>
        <v/>
      </c>
      <c r="S259">
        <f>IF($P259="","",IFERROR(INDEX($F$6:$F$2005,MATCH($Q259,WageIds,0)),""))</f>
        <v/>
      </c>
      <c r="T259">
        <f>IF(OR($P259="",$S259="",$S259="نامعتبر"),"",LEFT($S259,4)&amp;MID($S259,6,2)&amp;RIGHT($S259,2)&amp;"0000"&amp;"|"&amp;"2"&amp;RIGHT("00000"&amp;254,5))</f>
        <v/>
      </c>
      <c r="U259">
        <f>IF($T259="","",COUNTIFS(LdAParty,$P259,LdAType,1,LdAKey,"&lt;"&amp;$T259)+COUNTIFS(LdBMember,$P259,LdBKey,"&lt;"&amp;$T259)+COUNTIFS(LdCParty,$P259,LdCKey,"&lt;"&amp;$T259)+1)</f>
        <v/>
      </c>
      <c r="V259">
        <f>IF($U259="","",$P259&amp;"|"&amp;RIGHT("000000"&amp;$U259,6))</f>
        <v/>
      </c>
      <c r="W259">
        <f>IF($T259="","",COUNTIFS(LdBGroup,$R259,LdBKey,"&lt;"&amp;$T259)+1)</f>
        <v/>
      </c>
      <c r="X259">
        <f>IF($W259="","",$R259&amp;"|"&amp;RIGHT("000000"&amp;$W259,6))</f>
        <v/>
      </c>
      <c r="Y259">
        <f>IF($P259="","",IF(Shares!$E262="",0,Shares!$E262))</f>
        <v/>
      </c>
      <c r="Z259">
        <f>IF($P259="","",Shares!$H262)</f>
        <v/>
      </c>
      <c r="AE259">
        <f>IF(OR(Sync!$S259="",Sync!$P259=""),"",Sync!$S259)</f>
        <v/>
      </c>
      <c r="AF259">
        <f>IF($AE259="","",IF(ISNUMBER(Sync!$P259),IF(AND(Sync!$P259&gt;=10000101,Sync!$P259&lt;=99991231),INT(Sync!$P259/10000),""),IFERROR(VALUE(TRIM(LEFT(Sync!$P259,FIND("/",Sync!$P259)-1))),"")))</f>
        <v/>
      </c>
      <c r="AG259">
        <f>IF(OR($AE259="",$AF259=""),"",IF(ISNUMBER(Sync!$P259),INT(MOD(Sync!$P259,10000)/100),IFERROR(VALUE(TRIM(LEFT(MID(Sync!$P259,FIND("/",Sync!$P259)+1,20),FIND("/",MID(Sync!$P259,FIND("/",Sync!$P259)+1,20))-1))),"")))</f>
        <v/>
      </c>
      <c r="AH259">
        <f>IF(OR($AE259="",$AF259=""),"",IF(ISNUMBER(Sync!$P259),MOD(Sync!$P259,100),IFERROR(VALUE(TRIM(MID(MID(Sync!$P259,FIND("/",Sync!$P259)+1,20),FIND("/",MID(Sync!$P259,FIND("/",Sync!$P259)+1,20))+1,20))),"")))</f>
        <v/>
      </c>
      <c r="AI259">
        <f>IF($AE259="","",IF(OR($AF259="",$AG259="",$AH259="",$AF259&lt;1300,$AF259&gt;1500,$AG259&lt;1,$AG259&gt;12,$AH259&lt;1,$AH259&gt;31),"نامعتبر",RIGHT("0000"&amp;$AF259,4)&amp;"/"&amp;RIGHT("00"&amp;$AG259,2)&amp;"/"&amp;RIGHT("00"&amp;$AH259,2)))</f>
        <v/>
      </c>
      <c r="AJ259">
        <f>IF($AE259="","",IF(Sync!$Q259="","0000",IF(AND(ISNUMBER(Sync!$Q259),Sync!$Q259&gt;=0,Sync!$Q259&lt;1),RIGHT("00"&amp;HOUR(Sync!$Q259),2)&amp;RIGHT("00"&amp;MINUTE(Sync!$Q259),2),IFERROR(RIGHT("00"&amp;VALUE(LEFT(Sync!$Q259,FIND(":",Sync!$Q259)-1)),2)&amp;RIGHT("00"&amp;VALUE(MID(Sync!$Q259,FIND(":",Sync!$Q259)+1,2)),2),"0000"))))</f>
        <v/>
      </c>
      <c r="AK259">
        <f>IF(OR($AE259="",$AI259="",$AI259="نامعتبر"),"",LEFT($AI259,4)&amp;MID($AI259,6,2)&amp;RIGHT($AI259,2)&amp;$AJ259&amp;"|"&amp;"3"&amp;RIGHT("00000"&amp;254,5))</f>
        <v/>
      </c>
      <c r="AL259">
        <f>IF($AK259="","",COUNTIFS(LdAParty,$AE259,LdAType,1,LdAKey,"&lt;"&amp;$AK259)+COUNTIFS(LdBMember,$AE259,LdBKey,"&lt;"&amp;$AK259)+COUNTIFS(LdCParty,$AE259,LdCKey,"&lt;"&amp;$AK259)+1)</f>
        <v/>
      </c>
      <c r="AM259">
        <f>IF($AL259="","",$AE259&amp;"|"&amp;RIGHT("000000"&amp;$AL259,6))</f>
        <v/>
      </c>
      <c r="AN259">
        <f>IF($AE259="","",IF(Sync!$W259="",0,Sync!$W259))</f>
        <v/>
      </c>
      <c r="AO259">
        <f>IF($AE259="","",IF(Sync!$X259="",0,Sync!$X259))</f>
        <v/>
      </c>
      <c r="AP259">
        <f>IF($AE259="","",Sync!$R259)</f>
        <v/>
      </c>
      <c r="AQ259">
        <f>IF($AE259="","",Sync!$Y259)</f>
        <v/>
      </c>
    </row>
    <row r="260">
      <c r="A260">
        <f>IF(OR(Wages!$B263="",Wages!$E263=""),"",Wages!$E263)</f>
        <v/>
      </c>
      <c r="B260">
        <f>IF($A260="","",IF(Wages!$C263="دستمزد گروهی",2,1))</f>
        <v/>
      </c>
      <c r="C260">
        <f>IF($A260="","",IF(ISNUMBER(Wages!$B263),IF(AND(Wages!$B263&gt;=10000101,Wages!$B263&lt;=99991231),INT(Wages!$B263/10000),""),IFERROR(VALUE(TRIM(LEFT(Wages!$B263,FIND("/",Wages!$B263)-1))),"")))</f>
        <v/>
      </c>
      <c r="D260">
        <f>IF(OR($A260="",$C260=""),"",IF(ISNUMBER(Wages!$B263),INT(MOD(Wages!$B263,10000)/100),IFERROR(VALUE(TRIM(LEFT(MID(Wages!$B263,FIND("/",Wages!$B263)+1,20),FIND("/",MID(Wages!$B263,FIND("/",Wages!$B263)+1,20))-1))),"")))</f>
        <v/>
      </c>
      <c r="E260">
        <f>IF(OR($A260="",$C260=""),"",IF(ISNUMBER(Wages!$B263),MOD(Wages!$B263,100),IFERROR(VALUE(TRIM(MID(MID(Wages!$B263,FIND("/",Wages!$B263)+1,20),FIND("/",MID(Wages!$B263,FIND("/",Wages!$B263)+1,20))+1,20))),"")))</f>
        <v/>
      </c>
      <c r="F260">
        <f>IF($A260="","",IF(OR($C260="",$D260="",$E260="",$C260&lt;1300,$C260&gt;1500,$D260&lt;1,$D260&gt;12,$E260&lt;1,$E260&gt;31),"نامعتبر",RIGHT("0000"&amp;$C260,4)&amp;"/"&amp;RIGHT("00"&amp;$D260,2)&amp;"/"&amp;RIGHT("00"&amp;$E260,2)))</f>
        <v/>
      </c>
      <c r="G260">
        <f>IF(OR($A260="",$F260="",$F260="نامعتبر"),"",LEFT($F260,4)&amp;MID($F260,6,2)&amp;RIGHT($F260,2)&amp;"0000"&amp;"|"&amp;"1"&amp;RIGHT("00000"&amp;255,5))</f>
        <v/>
      </c>
      <c r="H260">
        <f>IF(OR($B260&lt;&gt;1,$G260=""),"",COUNTIFS(LdAParty,$A260,LdAType,1,LdAKey,"&lt;"&amp;$G260)+COUNTIFS(LdBMember,$A260,LdBKey,"&lt;"&amp;$G260)+COUNTIFS(LdCParty,$A260,LdCKey,"&lt;"&amp;$G260)+1)</f>
        <v/>
      </c>
      <c r="I260">
        <f>IF($H260="","",$A260&amp;"|"&amp;RIGHT("000000"&amp;$H260,6))</f>
        <v/>
      </c>
      <c r="J260">
        <f>IF(OR($B260&lt;&gt;2,$G260=""),"",COUNTIFS(LdAParty,$A260,LdAType,2,LdAKey,"&lt;"&amp;$G260)+1)</f>
        <v/>
      </c>
      <c r="K260">
        <f>IF($J260="","",$A260&amp;"|"&amp;RIGHT("000000"&amp;$J260,6))</f>
        <v/>
      </c>
      <c r="L260">
        <f>IF($A260="","",IF(Wages!$G263="",0,Wages!$G263))</f>
        <v/>
      </c>
      <c r="M260">
        <f>IF($A260="","",Wages!$J263)</f>
        <v/>
      </c>
      <c r="N260">
        <f>IF($A260="","",Wages!$D263)</f>
        <v/>
      </c>
      <c r="P260">
        <f>IF(OR(Shares!$B263="",Shares!$C263=""),"",Shares!$C263)</f>
        <v/>
      </c>
      <c r="Q260">
        <f>IF($P260="","",Shares!$B263)</f>
        <v/>
      </c>
      <c r="R260">
        <f>IF($P260="","",IFERROR(INDEX(WageParty,MATCH($Q260,WageIds,0)),""))</f>
        <v/>
      </c>
      <c r="S260">
        <f>IF($P260="","",IFERROR(INDEX($F$6:$F$2005,MATCH($Q260,WageIds,0)),""))</f>
        <v/>
      </c>
      <c r="T260">
        <f>IF(OR($P260="",$S260="",$S260="نامعتبر"),"",LEFT($S260,4)&amp;MID($S260,6,2)&amp;RIGHT($S260,2)&amp;"0000"&amp;"|"&amp;"2"&amp;RIGHT("00000"&amp;255,5))</f>
        <v/>
      </c>
      <c r="U260">
        <f>IF($T260="","",COUNTIFS(LdAParty,$P260,LdAType,1,LdAKey,"&lt;"&amp;$T260)+COUNTIFS(LdBMember,$P260,LdBKey,"&lt;"&amp;$T260)+COUNTIFS(LdCParty,$P260,LdCKey,"&lt;"&amp;$T260)+1)</f>
        <v/>
      </c>
      <c r="V260">
        <f>IF($U260="","",$P260&amp;"|"&amp;RIGHT("000000"&amp;$U260,6))</f>
        <v/>
      </c>
      <c r="W260">
        <f>IF($T260="","",COUNTIFS(LdBGroup,$R260,LdBKey,"&lt;"&amp;$T260)+1)</f>
        <v/>
      </c>
      <c r="X260">
        <f>IF($W260="","",$R260&amp;"|"&amp;RIGHT("000000"&amp;$W260,6))</f>
        <v/>
      </c>
      <c r="Y260">
        <f>IF($P260="","",IF(Shares!$E263="",0,Shares!$E263))</f>
        <v/>
      </c>
      <c r="Z260">
        <f>IF($P260="","",Shares!$H263)</f>
        <v/>
      </c>
      <c r="AE260">
        <f>IF(OR(Sync!$S260="",Sync!$P260=""),"",Sync!$S260)</f>
        <v/>
      </c>
      <c r="AF260">
        <f>IF($AE260="","",IF(ISNUMBER(Sync!$P260),IF(AND(Sync!$P260&gt;=10000101,Sync!$P260&lt;=99991231),INT(Sync!$P260/10000),""),IFERROR(VALUE(TRIM(LEFT(Sync!$P260,FIND("/",Sync!$P260)-1))),"")))</f>
        <v/>
      </c>
      <c r="AG260">
        <f>IF(OR($AE260="",$AF260=""),"",IF(ISNUMBER(Sync!$P260),INT(MOD(Sync!$P260,10000)/100),IFERROR(VALUE(TRIM(LEFT(MID(Sync!$P260,FIND("/",Sync!$P260)+1,20),FIND("/",MID(Sync!$P260,FIND("/",Sync!$P260)+1,20))-1))),"")))</f>
        <v/>
      </c>
      <c r="AH260">
        <f>IF(OR($AE260="",$AF260=""),"",IF(ISNUMBER(Sync!$P260),MOD(Sync!$P260,100),IFERROR(VALUE(TRIM(MID(MID(Sync!$P260,FIND("/",Sync!$P260)+1,20),FIND("/",MID(Sync!$P260,FIND("/",Sync!$P260)+1,20))+1,20))),"")))</f>
        <v/>
      </c>
      <c r="AI260">
        <f>IF($AE260="","",IF(OR($AF260="",$AG260="",$AH260="",$AF260&lt;1300,$AF260&gt;1500,$AG260&lt;1,$AG260&gt;12,$AH260&lt;1,$AH260&gt;31),"نامعتبر",RIGHT("0000"&amp;$AF260,4)&amp;"/"&amp;RIGHT("00"&amp;$AG260,2)&amp;"/"&amp;RIGHT("00"&amp;$AH260,2)))</f>
        <v/>
      </c>
      <c r="AJ260">
        <f>IF($AE260="","",IF(Sync!$Q260="","0000",IF(AND(ISNUMBER(Sync!$Q260),Sync!$Q260&gt;=0,Sync!$Q260&lt;1),RIGHT("00"&amp;HOUR(Sync!$Q260),2)&amp;RIGHT("00"&amp;MINUTE(Sync!$Q260),2),IFERROR(RIGHT("00"&amp;VALUE(LEFT(Sync!$Q260,FIND(":",Sync!$Q260)-1)),2)&amp;RIGHT("00"&amp;VALUE(MID(Sync!$Q260,FIND(":",Sync!$Q260)+1,2)),2),"0000"))))</f>
        <v/>
      </c>
      <c r="AK260">
        <f>IF(OR($AE260="",$AI260="",$AI260="نامعتبر"),"",LEFT($AI260,4)&amp;MID($AI260,6,2)&amp;RIGHT($AI260,2)&amp;$AJ260&amp;"|"&amp;"3"&amp;RIGHT("00000"&amp;255,5))</f>
        <v/>
      </c>
      <c r="AL260">
        <f>IF($AK260="","",COUNTIFS(LdAParty,$AE260,LdAType,1,LdAKey,"&lt;"&amp;$AK260)+COUNTIFS(LdBMember,$AE260,LdBKey,"&lt;"&amp;$AK260)+COUNTIFS(LdCParty,$AE260,LdCKey,"&lt;"&amp;$AK260)+1)</f>
        <v/>
      </c>
      <c r="AM260">
        <f>IF($AL260="","",$AE260&amp;"|"&amp;RIGHT("000000"&amp;$AL260,6))</f>
        <v/>
      </c>
      <c r="AN260">
        <f>IF($AE260="","",IF(Sync!$W260="",0,Sync!$W260))</f>
        <v/>
      </c>
      <c r="AO260">
        <f>IF($AE260="","",IF(Sync!$X260="",0,Sync!$X260))</f>
        <v/>
      </c>
      <c r="AP260">
        <f>IF($AE260="","",Sync!$R260)</f>
        <v/>
      </c>
      <c r="AQ260">
        <f>IF($AE260="","",Sync!$Y260)</f>
        <v/>
      </c>
    </row>
    <row r="261">
      <c r="A261">
        <f>IF(OR(Wages!$B264="",Wages!$E264=""),"",Wages!$E264)</f>
        <v/>
      </c>
      <c r="B261">
        <f>IF($A261="","",IF(Wages!$C264="دستمزد گروهی",2,1))</f>
        <v/>
      </c>
      <c r="C261">
        <f>IF($A261="","",IF(ISNUMBER(Wages!$B264),IF(AND(Wages!$B264&gt;=10000101,Wages!$B264&lt;=99991231),INT(Wages!$B264/10000),""),IFERROR(VALUE(TRIM(LEFT(Wages!$B264,FIND("/",Wages!$B264)-1))),"")))</f>
        <v/>
      </c>
      <c r="D261">
        <f>IF(OR($A261="",$C261=""),"",IF(ISNUMBER(Wages!$B264),INT(MOD(Wages!$B264,10000)/100),IFERROR(VALUE(TRIM(LEFT(MID(Wages!$B264,FIND("/",Wages!$B264)+1,20),FIND("/",MID(Wages!$B264,FIND("/",Wages!$B264)+1,20))-1))),"")))</f>
        <v/>
      </c>
      <c r="E261">
        <f>IF(OR($A261="",$C261=""),"",IF(ISNUMBER(Wages!$B264),MOD(Wages!$B264,100),IFERROR(VALUE(TRIM(MID(MID(Wages!$B264,FIND("/",Wages!$B264)+1,20),FIND("/",MID(Wages!$B264,FIND("/",Wages!$B264)+1,20))+1,20))),"")))</f>
        <v/>
      </c>
      <c r="F261">
        <f>IF($A261="","",IF(OR($C261="",$D261="",$E261="",$C261&lt;1300,$C261&gt;1500,$D261&lt;1,$D261&gt;12,$E261&lt;1,$E261&gt;31),"نامعتبر",RIGHT("0000"&amp;$C261,4)&amp;"/"&amp;RIGHT("00"&amp;$D261,2)&amp;"/"&amp;RIGHT("00"&amp;$E261,2)))</f>
        <v/>
      </c>
      <c r="G261">
        <f>IF(OR($A261="",$F261="",$F261="نامعتبر"),"",LEFT($F261,4)&amp;MID($F261,6,2)&amp;RIGHT($F261,2)&amp;"0000"&amp;"|"&amp;"1"&amp;RIGHT("00000"&amp;256,5))</f>
        <v/>
      </c>
      <c r="H261">
        <f>IF(OR($B261&lt;&gt;1,$G261=""),"",COUNTIFS(LdAParty,$A261,LdAType,1,LdAKey,"&lt;"&amp;$G261)+COUNTIFS(LdBMember,$A261,LdBKey,"&lt;"&amp;$G261)+COUNTIFS(LdCParty,$A261,LdCKey,"&lt;"&amp;$G261)+1)</f>
        <v/>
      </c>
      <c r="I261">
        <f>IF($H261="","",$A261&amp;"|"&amp;RIGHT("000000"&amp;$H261,6))</f>
        <v/>
      </c>
      <c r="J261">
        <f>IF(OR($B261&lt;&gt;2,$G261=""),"",COUNTIFS(LdAParty,$A261,LdAType,2,LdAKey,"&lt;"&amp;$G261)+1)</f>
        <v/>
      </c>
      <c r="K261">
        <f>IF($J261="","",$A261&amp;"|"&amp;RIGHT("000000"&amp;$J261,6))</f>
        <v/>
      </c>
      <c r="L261">
        <f>IF($A261="","",IF(Wages!$G264="",0,Wages!$G264))</f>
        <v/>
      </c>
      <c r="M261">
        <f>IF($A261="","",Wages!$J264)</f>
        <v/>
      </c>
      <c r="N261">
        <f>IF($A261="","",Wages!$D264)</f>
        <v/>
      </c>
      <c r="P261">
        <f>IF(OR(Shares!$B264="",Shares!$C264=""),"",Shares!$C264)</f>
        <v/>
      </c>
      <c r="Q261">
        <f>IF($P261="","",Shares!$B264)</f>
        <v/>
      </c>
      <c r="R261">
        <f>IF($P261="","",IFERROR(INDEX(WageParty,MATCH($Q261,WageIds,0)),""))</f>
        <v/>
      </c>
      <c r="S261">
        <f>IF($P261="","",IFERROR(INDEX($F$6:$F$2005,MATCH($Q261,WageIds,0)),""))</f>
        <v/>
      </c>
      <c r="T261">
        <f>IF(OR($P261="",$S261="",$S261="نامعتبر"),"",LEFT($S261,4)&amp;MID($S261,6,2)&amp;RIGHT($S261,2)&amp;"0000"&amp;"|"&amp;"2"&amp;RIGHT("00000"&amp;256,5))</f>
        <v/>
      </c>
      <c r="U261">
        <f>IF($T261="","",COUNTIFS(LdAParty,$P261,LdAType,1,LdAKey,"&lt;"&amp;$T261)+COUNTIFS(LdBMember,$P261,LdBKey,"&lt;"&amp;$T261)+COUNTIFS(LdCParty,$P261,LdCKey,"&lt;"&amp;$T261)+1)</f>
        <v/>
      </c>
      <c r="V261">
        <f>IF($U261="","",$P261&amp;"|"&amp;RIGHT("000000"&amp;$U261,6))</f>
        <v/>
      </c>
      <c r="W261">
        <f>IF($T261="","",COUNTIFS(LdBGroup,$R261,LdBKey,"&lt;"&amp;$T261)+1)</f>
        <v/>
      </c>
      <c r="X261">
        <f>IF($W261="","",$R261&amp;"|"&amp;RIGHT("000000"&amp;$W261,6))</f>
        <v/>
      </c>
      <c r="Y261">
        <f>IF($P261="","",IF(Shares!$E264="",0,Shares!$E264))</f>
        <v/>
      </c>
      <c r="Z261">
        <f>IF($P261="","",Shares!$H264)</f>
        <v/>
      </c>
      <c r="AE261">
        <f>IF(OR(Sync!$S261="",Sync!$P261=""),"",Sync!$S261)</f>
        <v/>
      </c>
      <c r="AF261">
        <f>IF($AE261="","",IF(ISNUMBER(Sync!$P261),IF(AND(Sync!$P261&gt;=10000101,Sync!$P261&lt;=99991231),INT(Sync!$P261/10000),""),IFERROR(VALUE(TRIM(LEFT(Sync!$P261,FIND("/",Sync!$P261)-1))),"")))</f>
        <v/>
      </c>
      <c r="AG261">
        <f>IF(OR($AE261="",$AF261=""),"",IF(ISNUMBER(Sync!$P261),INT(MOD(Sync!$P261,10000)/100),IFERROR(VALUE(TRIM(LEFT(MID(Sync!$P261,FIND("/",Sync!$P261)+1,20),FIND("/",MID(Sync!$P261,FIND("/",Sync!$P261)+1,20))-1))),"")))</f>
        <v/>
      </c>
      <c r="AH261">
        <f>IF(OR($AE261="",$AF261=""),"",IF(ISNUMBER(Sync!$P261),MOD(Sync!$P261,100),IFERROR(VALUE(TRIM(MID(MID(Sync!$P261,FIND("/",Sync!$P261)+1,20),FIND("/",MID(Sync!$P261,FIND("/",Sync!$P261)+1,20))+1,20))),"")))</f>
        <v/>
      </c>
      <c r="AI261">
        <f>IF($AE261="","",IF(OR($AF261="",$AG261="",$AH261="",$AF261&lt;1300,$AF261&gt;1500,$AG261&lt;1,$AG261&gt;12,$AH261&lt;1,$AH261&gt;31),"نامعتبر",RIGHT("0000"&amp;$AF261,4)&amp;"/"&amp;RIGHT("00"&amp;$AG261,2)&amp;"/"&amp;RIGHT("00"&amp;$AH261,2)))</f>
        <v/>
      </c>
      <c r="AJ261">
        <f>IF($AE261="","",IF(Sync!$Q261="","0000",IF(AND(ISNUMBER(Sync!$Q261),Sync!$Q261&gt;=0,Sync!$Q261&lt;1),RIGHT("00"&amp;HOUR(Sync!$Q261),2)&amp;RIGHT("00"&amp;MINUTE(Sync!$Q261),2),IFERROR(RIGHT("00"&amp;VALUE(LEFT(Sync!$Q261,FIND(":",Sync!$Q261)-1)),2)&amp;RIGHT("00"&amp;VALUE(MID(Sync!$Q261,FIND(":",Sync!$Q261)+1,2)),2),"0000"))))</f>
        <v/>
      </c>
      <c r="AK261">
        <f>IF(OR($AE261="",$AI261="",$AI261="نامعتبر"),"",LEFT($AI261,4)&amp;MID($AI261,6,2)&amp;RIGHT($AI261,2)&amp;$AJ261&amp;"|"&amp;"3"&amp;RIGHT("00000"&amp;256,5))</f>
        <v/>
      </c>
      <c r="AL261">
        <f>IF($AK261="","",COUNTIFS(LdAParty,$AE261,LdAType,1,LdAKey,"&lt;"&amp;$AK261)+COUNTIFS(LdBMember,$AE261,LdBKey,"&lt;"&amp;$AK261)+COUNTIFS(LdCParty,$AE261,LdCKey,"&lt;"&amp;$AK261)+1)</f>
        <v/>
      </c>
      <c r="AM261">
        <f>IF($AL261="","",$AE261&amp;"|"&amp;RIGHT("000000"&amp;$AL261,6))</f>
        <v/>
      </c>
      <c r="AN261">
        <f>IF($AE261="","",IF(Sync!$W261="",0,Sync!$W261))</f>
        <v/>
      </c>
      <c r="AO261">
        <f>IF($AE261="","",IF(Sync!$X261="",0,Sync!$X261))</f>
        <v/>
      </c>
      <c r="AP261">
        <f>IF($AE261="","",Sync!$R261)</f>
        <v/>
      </c>
      <c r="AQ261">
        <f>IF($AE261="","",Sync!$Y261)</f>
        <v/>
      </c>
    </row>
    <row r="262">
      <c r="A262">
        <f>IF(OR(Wages!$B265="",Wages!$E265=""),"",Wages!$E265)</f>
        <v/>
      </c>
      <c r="B262">
        <f>IF($A262="","",IF(Wages!$C265="دستمزد گروهی",2,1))</f>
        <v/>
      </c>
      <c r="C262">
        <f>IF($A262="","",IF(ISNUMBER(Wages!$B265),IF(AND(Wages!$B265&gt;=10000101,Wages!$B265&lt;=99991231),INT(Wages!$B265/10000),""),IFERROR(VALUE(TRIM(LEFT(Wages!$B265,FIND("/",Wages!$B265)-1))),"")))</f>
        <v/>
      </c>
      <c r="D262">
        <f>IF(OR($A262="",$C262=""),"",IF(ISNUMBER(Wages!$B265),INT(MOD(Wages!$B265,10000)/100),IFERROR(VALUE(TRIM(LEFT(MID(Wages!$B265,FIND("/",Wages!$B265)+1,20),FIND("/",MID(Wages!$B265,FIND("/",Wages!$B265)+1,20))-1))),"")))</f>
        <v/>
      </c>
      <c r="E262">
        <f>IF(OR($A262="",$C262=""),"",IF(ISNUMBER(Wages!$B265),MOD(Wages!$B265,100),IFERROR(VALUE(TRIM(MID(MID(Wages!$B265,FIND("/",Wages!$B265)+1,20),FIND("/",MID(Wages!$B265,FIND("/",Wages!$B265)+1,20))+1,20))),"")))</f>
        <v/>
      </c>
      <c r="F262">
        <f>IF($A262="","",IF(OR($C262="",$D262="",$E262="",$C262&lt;1300,$C262&gt;1500,$D262&lt;1,$D262&gt;12,$E262&lt;1,$E262&gt;31),"نامعتبر",RIGHT("0000"&amp;$C262,4)&amp;"/"&amp;RIGHT("00"&amp;$D262,2)&amp;"/"&amp;RIGHT("00"&amp;$E262,2)))</f>
        <v/>
      </c>
      <c r="G262">
        <f>IF(OR($A262="",$F262="",$F262="نامعتبر"),"",LEFT($F262,4)&amp;MID($F262,6,2)&amp;RIGHT($F262,2)&amp;"0000"&amp;"|"&amp;"1"&amp;RIGHT("00000"&amp;257,5))</f>
        <v/>
      </c>
      <c r="H262">
        <f>IF(OR($B262&lt;&gt;1,$G262=""),"",COUNTIFS(LdAParty,$A262,LdAType,1,LdAKey,"&lt;"&amp;$G262)+COUNTIFS(LdBMember,$A262,LdBKey,"&lt;"&amp;$G262)+COUNTIFS(LdCParty,$A262,LdCKey,"&lt;"&amp;$G262)+1)</f>
        <v/>
      </c>
      <c r="I262">
        <f>IF($H262="","",$A262&amp;"|"&amp;RIGHT("000000"&amp;$H262,6))</f>
        <v/>
      </c>
      <c r="J262">
        <f>IF(OR($B262&lt;&gt;2,$G262=""),"",COUNTIFS(LdAParty,$A262,LdAType,2,LdAKey,"&lt;"&amp;$G262)+1)</f>
        <v/>
      </c>
      <c r="K262">
        <f>IF($J262="","",$A262&amp;"|"&amp;RIGHT("000000"&amp;$J262,6))</f>
        <v/>
      </c>
      <c r="L262">
        <f>IF($A262="","",IF(Wages!$G265="",0,Wages!$G265))</f>
        <v/>
      </c>
      <c r="M262">
        <f>IF($A262="","",Wages!$J265)</f>
        <v/>
      </c>
      <c r="N262">
        <f>IF($A262="","",Wages!$D265)</f>
        <v/>
      </c>
      <c r="P262">
        <f>IF(OR(Shares!$B265="",Shares!$C265=""),"",Shares!$C265)</f>
        <v/>
      </c>
      <c r="Q262">
        <f>IF($P262="","",Shares!$B265)</f>
        <v/>
      </c>
      <c r="R262">
        <f>IF($P262="","",IFERROR(INDEX(WageParty,MATCH($Q262,WageIds,0)),""))</f>
        <v/>
      </c>
      <c r="S262">
        <f>IF($P262="","",IFERROR(INDEX($F$6:$F$2005,MATCH($Q262,WageIds,0)),""))</f>
        <v/>
      </c>
      <c r="T262">
        <f>IF(OR($P262="",$S262="",$S262="نامعتبر"),"",LEFT($S262,4)&amp;MID($S262,6,2)&amp;RIGHT($S262,2)&amp;"0000"&amp;"|"&amp;"2"&amp;RIGHT("00000"&amp;257,5))</f>
        <v/>
      </c>
      <c r="U262">
        <f>IF($T262="","",COUNTIFS(LdAParty,$P262,LdAType,1,LdAKey,"&lt;"&amp;$T262)+COUNTIFS(LdBMember,$P262,LdBKey,"&lt;"&amp;$T262)+COUNTIFS(LdCParty,$P262,LdCKey,"&lt;"&amp;$T262)+1)</f>
        <v/>
      </c>
      <c r="V262">
        <f>IF($U262="","",$P262&amp;"|"&amp;RIGHT("000000"&amp;$U262,6))</f>
        <v/>
      </c>
      <c r="W262">
        <f>IF($T262="","",COUNTIFS(LdBGroup,$R262,LdBKey,"&lt;"&amp;$T262)+1)</f>
        <v/>
      </c>
      <c r="X262">
        <f>IF($W262="","",$R262&amp;"|"&amp;RIGHT("000000"&amp;$W262,6))</f>
        <v/>
      </c>
      <c r="Y262">
        <f>IF($P262="","",IF(Shares!$E265="",0,Shares!$E265))</f>
        <v/>
      </c>
      <c r="Z262">
        <f>IF($P262="","",Shares!$H265)</f>
        <v/>
      </c>
      <c r="AE262">
        <f>IF(OR(Sync!$S262="",Sync!$P262=""),"",Sync!$S262)</f>
        <v/>
      </c>
      <c r="AF262">
        <f>IF($AE262="","",IF(ISNUMBER(Sync!$P262),IF(AND(Sync!$P262&gt;=10000101,Sync!$P262&lt;=99991231),INT(Sync!$P262/10000),""),IFERROR(VALUE(TRIM(LEFT(Sync!$P262,FIND("/",Sync!$P262)-1))),"")))</f>
        <v/>
      </c>
      <c r="AG262">
        <f>IF(OR($AE262="",$AF262=""),"",IF(ISNUMBER(Sync!$P262),INT(MOD(Sync!$P262,10000)/100),IFERROR(VALUE(TRIM(LEFT(MID(Sync!$P262,FIND("/",Sync!$P262)+1,20),FIND("/",MID(Sync!$P262,FIND("/",Sync!$P262)+1,20))-1))),"")))</f>
        <v/>
      </c>
      <c r="AH262">
        <f>IF(OR($AE262="",$AF262=""),"",IF(ISNUMBER(Sync!$P262),MOD(Sync!$P262,100),IFERROR(VALUE(TRIM(MID(MID(Sync!$P262,FIND("/",Sync!$P262)+1,20),FIND("/",MID(Sync!$P262,FIND("/",Sync!$P262)+1,20))+1,20))),"")))</f>
        <v/>
      </c>
      <c r="AI262">
        <f>IF($AE262="","",IF(OR($AF262="",$AG262="",$AH262="",$AF262&lt;1300,$AF262&gt;1500,$AG262&lt;1,$AG262&gt;12,$AH262&lt;1,$AH262&gt;31),"نامعتبر",RIGHT("0000"&amp;$AF262,4)&amp;"/"&amp;RIGHT("00"&amp;$AG262,2)&amp;"/"&amp;RIGHT("00"&amp;$AH262,2)))</f>
        <v/>
      </c>
      <c r="AJ262">
        <f>IF($AE262="","",IF(Sync!$Q262="","0000",IF(AND(ISNUMBER(Sync!$Q262),Sync!$Q262&gt;=0,Sync!$Q262&lt;1),RIGHT("00"&amp;HOUR(Sync!$Q262),2)&amp;RIGHT("00"&amp;MINUTE(Sync!$Q262),2),IFERROR(RIGHT("00"&amp;VALUE(LEFT(Sync!$Q262,FIND(":",Sync!$Q262)-1)),2)&amp;RIGHT("00"&amp;VALUE(MID(Sync!$Q262,FIND(":",Sync!$Q262)+1,2)),2),"0000"))))</f>
        <v/>
      </c>
      <c r="AK262">
        <f>IF(OR($AE262="",$AI262="",$AI262="نامعتبر"),"",LEFT($AI262,4)&amp;MID($AI262,6,2)&amp;RIGHT($AI262,2)&amp;$AJ262&amp;"|"&amp;"3"&amp;RIGHT("00000"&amp;257,5))</f>
        <v/>
      </c>
      <c r="AL262">
        <f>IF($AK262="","",COUNTIFS(LdAParty,$AE262,LdAType,1,LdAKey,"&lt;"&amp;$AK262)+COUNTIFS(LdBMember,$AE262,LdBKey,"&lt;"&amp;$AK262)+COUNTIFS(LdCParty,$AE262,LdCKey,"&lt;"&amp;$AK262)+1)</f>
        <v/>
      </c>
      <c r="AM262">
        <f>IF($AL262="","",$AE262&amp;"|"&amp;RIGHT("000000"&amp;$AL262,6))</f>
        <v/>
      </c>
      <c r="AN262">
        <f>IF($AE262="","",IF(Sync!$W262="",0,Sync!$W262))</f>
        <v/>
      </c>
      <c r="AO262">
        <f>IF($AE262="","",IF(Sync!$X262="",0,Sync!$X262))</f>
        <v/>
      </c>
      <c r="AP262">
        <f>IF($AE262="","",Sync!$R262)</f>
        <v/>
      </c>
      <c r="AQ262">
        <f>IF($AE262="","",Sync!$Y262)</f>
        <v/>
      </c>
    </row>
    <row r="263">
      <c r="A263">
        <f>IF(OR(Wages!$B266="",Wages!$E266=""),"",Wages!$E266)</f>
        <v/>
      </c>
      <c r="B263">
        <f>IF($A263="","",IF(Wages!$C266="دستمزد گروهی",2,1))</f>
        <v/>
      </c>
      <c r="C263">
        <f>IF($A263="","",IF(ISNUMBER(Wages!$B266),IF(AND(Wages!$B266&gt;=10000101,Wages!$B266&lt;=99991231),INT(Wages!$B266/10000),""),IFERROR(VALUE(TRIM(LEFT(Wages!$B266,FIND("/",Wages!$B266)-1))),"")))</f>
        <v/>
      </c>
      <c r="D263">
        <f>IF(OR($A263="",$C263=""),"",IF(ISNUMBER(Wages!$B266),INT(MOD(Wages!$B266,10000)/100),IFERROR(VALUE(TRIM(LEFT(MID(Wages!$B266,FIND("/",Wages!$B266)+1,20),FIND("/",MID(Wages!$B266,FIND("/",Wages!$B266)+1,20))-1))),"")))</f>
        <v/>
      </c>
      <c r="E263">
        <f>IF(OR($A263="",$C263=""),"",IF(ISNUMBER(Wages!$B266),MOD(Wages!$B266,100),IFERROR(VALUE(TRIM(MID(MID(Wages!$B266,FIND("/",Wages!$B266)+1,20),FIND("/",MID(Wages!$B266,FIND("/",Wages!$B266)+1,20))+1,20))),"")))</f>
        <v/>
      </c>
      <c r="F263">
        <f>IF($A263="","",IF(OR($C263="",$D263="",$E263="",$C263&lt;1300,$C263&gt;1500,$D263&lt;1,$D263&gt;12,$E263&lt;1,$E263&gt;31),"نامعتبر",RIGHT("0000"&amp;$C263,4)&amp;"/"&amp;RIGHT("00"&amp;$D263,2)&amp;"/"&amp;RIGHT("00"&amp;$E263,2)))</f>
        <v/>
      </c>
      <c r="G263">
        <f>IF(OR($A263="",$F263="",$F263="نامعتبر"),"",LEFT($F263,4)&amp;MID($F263,6,2)&amp;RIGHT($F263,2)&amp;"0000"&amp;"|"&amp;"1"&amp;RIGHT("00000"&amp;258,5))</f>
        <v/>
      </c>
      <c r="H263">
        <f>IF(OR($B263&lt;&gt;1,$G263=""),"",COUNTIFS(LdAParty,$A263,LdAType,1,LdAKey,"&lt;"&amp;$G263)+COUNTIFS(LdBMember,$A263,LdBKey,"&lt;"&amp;$G263)+COUNTIFS(LdCParty,$A263,LdCKey,"&lt;"&amp;$G263)+1)</f>
        <v/>
      </c>
      <c r="I263">
        <f>IF($H263="","",$A263&amp;"|"&amp;RIGHT("000000"&amp;$H263,6))</f>
        <v/>
      </c>
      <c r="J263">
        <f>IF(OR($B263&lt;&gt;2,$G263=""),"",COUNTIFS(LdAParty,$A263,LdAType,2,LdAKey,"&lt;"&amp;$G263)+1)</f>
        <v/>
      </c>
      <c r="K263">
        <f>IF($J263="","",$A263&amp;"|"&amp;RIGHT("000000"&amp;$J263,6))</f>
        <v/>
      </c>
      <c r="L263">
        <f>IF($A263="","",IF(Wages!$G266="",0,Wages!$G266))</f>
        <v/>
      </c>
      <c r="M263">
        <f>IF($A263="","",Wages!$J266)</f>
        <v/>
      </c>
      <c r="N263">
        <f>IF($A263="","",Wages!$D266)</f>
        <v/>
      </c>
      <c r="P263">
        <f>IF(OR(Shares!$B266="",Shares!$C266=""),"",Shares!$C266)</f>
        <v/>
      </c>
      <c r="Q263">
        <f>IF($P263="","",Shares!$B266)</f>
        <v/>
      </c>
      <c r="R263">
        <f>IF($P263="","",IFERROR(INDEX(WageParty,MATCH($Q263,WageIds,0)),""))</f>
        <v/>
      </c>
      <c r="S263">
        <f>IF($P263="","",IFERROR(INDEX($F$6:$F$2005,MATCH($Q263,WageIds,0)),""))</f>
        <v/>
      </c>
      <c r="T263">
        <f>IF(OR($P263="",$S263="",$S263="نامعتبر"),"",LEFT($S263,4)&amp;MID($S263,6,2)&amp;RIGHT($S263,2)&amp;"0000"&amp;"|"&amp;"2"&amp;RIGHT("00000"&amp;258,5))</f>
        <v/>
      </c>
      <c r="U263">
        <f>IF($T263="","",COUNTIFS(LdAParty,$P263,LdAType,1,LdAKey,"&lt;"&amp;$T263)+COUNTIFS(LdBMember,$P263,LdBKey,"&lt;"&amp;$T263)+COUNTIFS(LdCParty,$P263,LdCKey,"&lt;"&amp;$T263)+1)</f>
        <v/>
      </c>
      <c r="V263">
        <f>IF($U263="","",$P263&amp;"|"&amp;RIGHT("000000"&amp;$U263,6))</f>
        <v/>
      </c>
      <c r="W263">
        <f>IF($T263="","",COUNTIFS(LdBGroup,$R263,LdBKey,"&lt;"&amp;$T263)+1)</f>
        <v/>
      </c>
      <c r="X263">
        <f>IF($W263="","",$R263&amp;"|"&amp;RIGHT("000000"&amp;$W263,6))</f>
        <v/>
      </c>
      <c r="Y263">
        <f>IF($P263="","",IF(Shares!$E266="",0,Shares!$E266))</f>
        <v/>
      </c>
      <c r="Z263">
        <f>IF($P263="","",Shares!$H266)</f>
        <v/>
      </c>
      <c r="AE263">
        <f>IF(OR(Sync!$S263="",Sync!$P263=""),"",Sync!$S263)</f>
        <v/>
      </c>
      <c r="AF263">
        <f>IF($AE263="","",IF(ISNUMBER(Sync!$P263),IF(AND(Sync!$P263&gt;=10000101,Sync!$P263&lt;=99991231),INT(Sync!$P263/10000),""),IFERROR(VALUE(TRIM(LEFT(Sync!$P263,FIND("/",Sync!$P263)-1))),"")))</f>
        <v/>
      </c>
      <c r="AG263">
        <f>IF(OR($AE263="",$AF263=""),"",IF(ISNUMBER(Sync!$P263),INT(MOD(Sync!$P263,10000)/100),IFERROR(VALUE(TRIM(LEFT(MID(Sync!$P263,FIND("/",Sync!$P263)+1,20),FIND("/",MID(Sync!$P263,FIND("/",Sync!$P263)+1,20))-1))),"")))</f>
        <v/>
      </c>
      <c r="AH263">
        <f>IF(OR($AE263="",$AF263=""),"",IF(ISNUMBER(Sync!$P263),MOD(Sync!$P263,100),IFERROR(VALUE(TRIM(MID(MID(Sync!$P263,FIND("/",Sync!$P263)+1,20),FIND("/",MID(Sync!$P263,FIND("/",Sync!$P263)+1,20))+1,20))),"")))</f>
        <v/>
      </c>
      <c r="AI263">
        <f>IF($AE263="","",IF(OR($AF263="",$AG263="",$AH263="",$AF263&lt;1300,$AF263&gt;1500,$AG263&lt;1,$AG263&gt;12,$AH263&lt;1,$AH263&gt;31),"نامعتبر",RIGHT("0000"&amp;$AF263,4)&amp;"/"&amp;RIGHT("00"&amp;$AG263,2)&amp;"/"&amp;RIGHT("00"&amp;$AH263,2)))</f>
        <v/>
      </c>
      <c r="AJ263">
        <f>IF($AE263="","",IF(Sync!$Q263="","0000",IF(AND(ISNUMBER(Sync!$Q263),Sync!$Q263&gt;=0,Sync!$Q263&lt;1),RIGHT("00"&amp;HOUR(Sync!$Q263),2)&amp;RIGHT("00"&amp;MINUTE(Sync!$Q263),2),IFERROR(RIGHT("00"&amp;VALUE(LEFT(Sync!$Q263,FIND(":",Sync!$Q263)-1)),2)&amp;RIGHT("00"&amp;VALUE(MID(Sync!$Q263,FIND(":",Sync!$Q263)+1,2)),2),"0000"))))</f>
        <v/>
      </c>
      <c r="AK263">
        <f>IF(OR($AE263="",$AI263="",$AI263="نامعتبر"),"",LEFT($AI263,4)&amp;MID($AI263,6,2)&amp;RIGHT($AI263,2)&amp;$AJ263&amp;"|"&amp;"3"&amp;RIGHT("00000"&amp;258,5))</f>
        <v/>
      </c>
      <c r="AL263">
        <f>IF($AK263="","",COUNTIFS(LdAParty,$AE263,LdAType,1,LdAKey,"&lt;"&amp;$AK263)+COUNTIFS(LdBMember,$AE263,LdBKey,"&lt;"&amp;$AK263)+COUNTIFS(LdCParty,$AE263,LdCKey,"&lt;"&amp;$AK263)+1)</f>
        <v/>
      </c>
      <c r="AM263">
        <f>IF($AL263="","",$AE263&amp;"|"&amp;RIGHT("000000"&amp;$AL263,6))</f>
        <v/>
      </c>
      <c r="AN263">
        <f>IF($AE263="","",IF(Sync!$W263="",0,Sync!$W263))</f>
        <v/>
      </c>
      <c r="AO263">
        <f>IF($AE263="","",IF(Sync!$X263="",0,Sync!$X263))</f>
        <v/>
      </c>
      <c r="AP263">
        <f>IF($AE263="","",Sync!$R263)</f>
        <v/>
      </c>
      <c r="AQ263">
        <f>IF($AE263="","",Sync!$Y263)</f>
        <v/>
      </c>
    </row>
    <row r="264">
      <c r="A264">
        <f>IF(OR(Wages!$B267="",Wages!$E267=""),"",Wages!$E267)</f>
        <v/>
      </c>
      <c r="B264">
        <f>IF($A264="","",IF(Wages!$C267="دستمزد گروهی",2,1))</f>
        <v/>
      </c>
      <c r="C264">
        <f>IF($A264="","",IF(ISNUMBER(Wages!$B267),IF(AND(Wages!$B267&gt;=10000101,Wages!$B267&lt;=99991231),INT(Wages!$B267/10000),""),IFERROR(VALUE(TRIM(LEFT(Wages!$B267,FIND("/",Wages!$B267)-1))),"")))</f>
        <v/>
      </c>
      <c r="D264">
        <f>IF(OR($A264="",$C264=""),"",IF(ISNUMBER(Wages!$B267),INT(MOD(Wages!$B267,10000)/100),IFERROR(VALUE(TRIM(LEFT(MID(Wages!$B267,FIND("/",Wages!$B267)+1,20),FIND("/",MID(Wages!$B267,FIND("/",Wages!$B267)+1,20))-1))),"")))</f>
        <v/>
      </c>
      <c r="E264">
        <f>IF(OR($A264="",$C264=""),"",IF(ISNUMBER(Wages!$B267),MOD(Wages!$B267,100),IFERROR(VALUE(TRIM(MID(MID(Wages!$B267,FIND("/",Wages!$B267)+1,20),FIND("/",MID(Wages!$B267,FIND("/",Wages!$B267)+1,20))+1,20))),"")))</f>
        <v/>
      </c>
      <c r="F264">
        <f>IF($A264="","",IF(OR($C264="",$D264="",$E264="",$C264&lt;1300,$C264&gt;1500,$D264&lt;1,$D264&gt;12,$E264&lt;1,$E264&gt;31),"نامعتبر",RIGHT("0000"&amp;$C264,4)&amp;"/"&amp;RIGHT("00"&amp;$D264,2)&amp;"/"&amp;RIGHT("00"&amp;$E264,2)))</f>
        <v/>
      </c>
      <c r="G264">
        <f>IF(OR($A264="",$F264="",$F264="نامعتبر"),"",LEFT($F264,4)&amp;MID($F264,6,2)&amp;RIGHT($F264,2)&amp;"0000"&amp;"|"&amp;"1"&amp;RIGHT("00000"&amp;259,5))</f>
        <v/>
      </c>
      <c r="H264">
        <f>IF(OR($B264&lt;&gt;1,$G264=""),"",COUNTIFS(LdAParty,$A264,LdAType,1,LdAKey,"&lt;"&amp;$G264)+COUNTIFS(LdBMember,$A264,LdBKey,"&lt;"&amp;$G264)+COUNTIFS(LdCParty,$A264,LdCKey,"&lt;"&amp;$G264)+1)</f>
        <v/>
      </c>
      <c r="I264">
        <f>IF($H264="","",$A264&amp;"|"&amp;RIGHT("000000"&amp;$H264,6))</f>
        <v/>
      </c>
      <c r="J264">
        <f>IF(OR($B264&lt;&gt;2,$G264=""),"",COUNTIFS(LdAParty,$A264,LdAType,2,LdAKey,"&lt;"&amp;$G264)+1)</f>
        <v/>
      </c>
      <c r="K264">
        <f>IF($J264="","",$A264&amp;"|"&amp;RIGHT("000000"&amp;$J264,6))</f>
        <v/>
      </c>
      <c r="L264">
        <f>IF($A264="","",IF(Wages!$G267="",0,Wages!$G267))</f>
        <v/>
      </c>
      <c r="M264">
        <f>IF($A264="","",Wages!$J267)</f>
        <v/>
      </c>
      <c r="N264">
        <f>IF($A264="","",Wages!$D267)</f>
        <v/>
      </c>
      <c r="P264">
        <f>IF(OR(Shares!$B267="",Shares!$C267=""),"",Shares!$C267)</f>
        <v/>
      </c>
      <c r="Q264">
        <f>IF($P264="","",Shares!$B267)</f>
        <v/>
      </c>
      <c r="R264">
        <f>IF($P264="","",IFERROR(INDEX(WageParty,MATCH($Q264,WageIds,0)),""))</f>
        <v/>
      </c>
      <c r="S264">
        <f>IF($P264="","",IFERROR(INDEX($F$6:$F$2005,MATCH($Q264,WageIds,0)),""))</f>
        <v/>
      </c>
      <c r="T264">
        <f>IF(OR($P264="",$S264="",$S264="نامعتبر"),"",LEFT($S264,4)&amp;MID($S264,6,2)&amp;RIGHT($S264,2)&amp;"0000"&amp;"|"&amp;"2"&amp;RIGHT("00000"&amp;259,5))</f>
        <v/>
      </c>
      <c r="U264">
        <f>IF($T264="","",COUNTIFS(LdAParty,$P264,LdAType,1,LdAKey,"&lt;"&amp;$T264)+COUNTIFS(LdBMember,$P264,LdBKey,"&lt;"&amp;$T264)+COUNTIFS(LdCParty,$P264,LdCKey,"&lt;"&amp;$T264)+1)</f>
        <v/>
      </c>
      <c r="V264">
        <f>IF($U264="","",$P264&amp;"|"&amp;RIGHT("000000"&amp;$U264,6))</f>
        <v/>
      </c>
      <c r="W264">
        <f>IF($T264="","",COUNTIFS(LdBGroup,$R264,LdBKey,"&lt;"&amp;$T264)+1)</f>
        <v/>
      </c>
      <c r="X264">
        <f>IF($W264="","",$R264&amp;"|"&amp;RIGHT("000000"&amp;$W264,6))</f>
        <v/>
      </c>
      <c r="Y264">
        <f>IF($P264="","",IF(Shares!$E267="",0,Shares!$E267))</f>
        <v/>
      </c>
      <c r="Z264">
        <f>IF($P264="","",Shares!$H267)</f>
        <v/>
      </c>
      <c r="AE264">
        <f>IF(OR(Sync!$S264="",Sync!$P264=""),"",Sync!$S264)</f>
        <v/>
      </c>
      <c r="AF264">
        <f>IF($AE264="","",IF(ISNUMBER(Sync!$P264),IF(AND(Sync!$P264&gt;=10000101,Sync!$P264&lt;=99991231),INT(Sync!$P264/10000),""),IFERROR(VALUE(TRIM(LEFT(Sync!$P264,FIND("/",Sync!$P264)-1))),"")))</f>
        <v/>
      </c>
      <c r="AG264">
        <f>IF(OR($AE264="",$AF264=""),"",IF(ISNUMBER(Sync!$P264),INT(MOD(Sync!$P264,10000)/100),IFERROR(VALUE(TRIM(LEFT(MID(Sync!$P264,FIND("/",Sync!$P264)+1,20),FIND("/",MID(Sync!$P264,FIND("/",Sync!$P264)+1,20))-1))),"")))</f>
        <v/>
      </c>
      <c r="AH264">
        <f>IF(OR($AE264="",$AF264=""),"",IF(ISNUMBER(Sync!$P264),MOD(Sync!$P264,100),IFERROR(VALUE(TRIM(MID(MID(Sync!$P264,FIND("/",Sync!$P264)+1,20),FIND("/",MID(Sync!$P264,FIND("/",Sync!$P264)+1,20))+1,20))),"")))</f>
        <v/>
      </c>
      <c r="AI264">
        <f>IF($AE264="","",IF(OR($AF264="",$AG264="",$AH264="",$AF264&lt;1300,$AF264&gt;1500,$AG264&lt;1,$AG264&gt;12,$AH264&lt;1,$AH264&gt;31),"نامعتبر",RIGHT("0000"&amp;$AF264,4)&amp;"/"&amp;RIGHT("00"&amp;$AG264,2)&amp;"/"&amp;RIGHT("00"&amp;$AH264,2)))</f>
        <v/>
      </c>
      <c r="AJ264">
        <f>IF($AE264="","",IF(Sync!$Q264="","0000",IF(AND(ISNUMBER(Sync!$Q264),Sync!$Q264&gt;=0,Sync!$Q264&lt;1),RIGHT("00"&amp;HOUR(Sync!$Q264),2)&amp;RIGHT("00"&amp;MINUTE(Sync!$Q264),2),IFERROR(RIGHT("00"&amp;VALUE(LEFT(Sync!$Q264,FIND(":",Sync!$Q264)-1)),2)&amp;RIGHT("00"&amp;VALUE(MID(Sync!$Q264,FIND(":",Sync!$Q264)+1,2)),2),"0000"))))</f>
        <v/>
      </c>
      <c r="AK264">
        <f>IF(OR($AE264="",$AI264="",$AI264="نامعتبر"),"",LEFT($AI264,4)&amp;MID($AI264,6,2)&amp;RIGHT($AI264,2)&amp;$AJ264&amp;"|"&amp;"3"&amp;RIGHT("00000"&amp;259,5))</f>
        <v/>
      </c>
      <c r="AL264">
        <f>IF($AK264="","",COUNTIFS(LdAParty,$AE264,LdAType,1,LdAKey,"&lt;"&amp;$AK264)+COUNTIFS(LdBMember,$AE264,LdBKey,"&lt;"&amp;$AK264)+COUNTIFS(LdCParty,$AE264,LdCKey,"&lt;"&amp;$AK264)+1)</f>
        <v/>
      </c>
      <c r="AM264">
        <f>IF($AL264="","",$AE264&amp;"|"&amp;RIGHT("000000"&amp;$AL264,6))</f>
        <v/>
      </c>
      <c r="AN264">
        <f>IF($AE264="","",IF(Sync!$W264="",0,Sync!$W264))</f>
        <v/>
      </c>
      <c r="AO264">
        <f>IF($AE264="","",IF(Sync!$X264="",0,Sync!$X264))</f>
        <v/>
      </c>
      <c r="AP264">
        <f>IF($AE264="","",Sync!$R264)</f>
        <v/>
      </c>
      <c r="AQ264">
        <f>IF($AE264="","",Sync!$Y264)</f>
        <v/>
      </c>
    </row>
    <row r="265">
      <c r="A265">
        <f>IF(OR(Wages!$B268="",Wages!$E268=""),"",Wages!$E268)</f>
        <v/>
      </c>
      <c r="B265">
        <f>IF($A265="","",IF(Wages!$C268="دستمزد گروهی",2,1))</f>
        <v/>
      </c>
      <c r="C265">
        <f>IF($A265="","",IF(ISNUMBER(Wages!$B268),IF(AND(Wages!$B268&gt;=10000101,Wages!$B268&lt;=99991231),INT(Wages!$B268/10000),""),IFERROR(VALUE(TRIM(LEFT(Wages!$B268,FIND("/",Wages!$B268)-1))),"")))</f>
        <v/>
      </c>
      <c r="D265">
        <f>IF(OR($A265="",$C265=""),"",IF(ISNUMBER(Wages!$B268),INT(MOD(Wages!$B268,10000)/100),IFERROR(VALUE(TRIM(LEFT(MID(Wages!$B268,FIND("/",Wages!$B268)+1,20),FIND("/",MID(Wages!$B268,FIND("/",Wages!$B268)+1,20))-1))),"")))</f>
        <v/>
      </c>
      <c r="E265">
        <f>IF(OR($A265="",$C265=""),"",IF(ISNUMBER(Wages!$B268),MOD(Wages!$B268,100),IFERROR(VALUE(TRIM(MID(MID(Wages!$B268,FIND("/",Wages!$B268)+1,20),FIND("/",MID(Wages!$B268,FIND("/",Wages!$B268)+1,20))+1,20))),"")))</f>
        <v/>
      </c>
      <c r="F265">
        <f>IF($A265="","",IF(OR($C265="",$D265="",$E265="",$C265&lt;1300,$C265&gt;1500,$D265&lt;1,$D265&gt;12,$E265&lt;1,$E265&gt;31),"نامعتبر",RIGHT("0000"&amp;$C265,4)&amp;"/"&amp;RIGHT("00"&amp;$D265,2)&amp;"/"&amp;RIGHT("00"&amp;$E265,2)))</f>
        <v/>
      </c>
      <c r="G265">
        <f>IF(OR($A265="",$F265="",$F265="نامعتبر"),"",LEFT($F265,4)&amp;MID($F265,6,2)&amp;RIGHT($F265,2)&amp;"0000"&amp;"|"&amp;"1"&amp;RIGHT("00000"&amp;260,5))</f>
        <v/>
      </c>
      <c r="H265">
        <f>IF(OR($B265&lt;&gt;1,$G265=""),"",COUNTIFS(LdAParty,$A265,LdAType,1,LdAKey,"&lt;"&amp;$G265)+COUNTIFS(LdBMember,$A265,LdBKey,"&lt;"&amp;$G265)+COUNTIFS(LdCParty,$A265,LdCKey,"&lt;"&amp;$G265)+1)</f>
        <v/>
      </c>
      <c r="I265">
        <f>IF($H265="","",$A265&amp;"|"&amp;RIGHT("000000"&amp;$H265,6))</f>
        <v/>
      </c>
      <c r="J265">
        <f>IF(OR($B265&lt;&gt;2,$G265=""),"",COUNTIFS(LdAParty,$A265,LdAType,2,LdAKey,"&lt;"&amp;$G265)+1)</f>
        <v/>
      </c>
      <c r="K265">
        <f>IF($J265="","",$A265&amp;"|"&amp;RIGHT("000000"&amp;$J265,6))</f>
        <v/>
      </c>
      <c r="L265">
        <f>IF($A265="","",IF(Wages!$G268="",0,Wages!$G268))</f>
        <v/>
      </c>
      <c r="M265">
        <f>IF($A265="","",Wages!$J268)</f>
        <v/>
      </c>
      <c r="N265">
        <f>IF($A265="","",Wages!$D268)</f>
        <v/>
      </c>
      <c r="P265">
        <f>IF(OR(Shares!$B268="",Shares!$C268=""),"",Shares!$C268)</f>
        <v/>
      </c>
      <c r="Q265">
        <f>IF($P265="","",Shares!$B268)</f>
        <v/>
      </c>
      <c r="R265">
        <f>IF($P265="","",IFERROR(INDEX(WageParty,MATCH($Q265,WageIds,0)),""))</f>
        <v/>
      </c>
      <c r="S265">
        <f>IF($P265="","",IFERROR(INDEX($F$6:$F$2005,MATCH($Q265,WageIds,0)),""))</f>
        <v/>
      </c>
      <c r="T265">
        <f>IF(OR($P265="",$S265="",$S265="نامعتبر"),"",LEFT($S265,4)&amp;MID($S265,6,2)&amp;RIGHT($S265,2)&amp;"0000"&amp;"|"&amp;"2"&amp;RIGHT("00000"&amp;260,5))</f>
        <v/>
      </c>
      <c r="U265">
        <f>IF($T265="","",COUNTIFS(LdAParty,$P265,LdAType,1,LdAKey,"&lt;"&amp;$T265)+COUNTIFS(LdBMember,$P265,LdBKey,"&lt;"&amp;$T265)+COUNTIFS(LdCParty,$P265,LdCKey,"&lt;"&amp;$T265)+1)</f>
        <v/>
      </c>
      <c r="V265">
        <f>IF($U265="","",$P265&amp;"|"&amp;RIGHT("000000"&amp;$U265,6))</f>
        <v/>
      </c>
      <c r="W265">
        <f>IF($T265="","",COUNTIFS(LdBGroup,$R265,LdBKey,"&lt;"&amp;$T265)+1)</f>
        <v/>
      </c>
      <c r="X265">
        <f>IF($W265="","",$R265&amp;"|"&amp;RIGHT("000000"&amp;$W265,6))</f>
        <v/>
      </c>
      <c r="Y265">
        <f>IF($P265="","",IF(Shares!$E268="",0,Shares!$E268))</f>
        <v/>
      </c>
      <c r="Z265">
        <f>IF($P265="","",Shares!$H268)</f>
        <v/>
      </c>
      <c r="AE265">
        <f>IF(OR(Sync!$S265="",Sync!$P265=""),"",Sync!$S265)</f>
        <v/>
      </c>
      <c r="AF265">
        <f>IF($AE265="","",IF(ISNUMBER(Sync!$P265),IF(AND(Sync!$P265&gt;=10000101,Sync!$P265&lt;=99991231),INT(Sync!$P265/10000),""),IFERROR(VALUE(TRIM(LEFT(Sync!$P265,FIND("/",Sync!$P265)-1))),"")))</f>
        <v/>
      </c>
      <c r="AG265">
        <f>IF(OR($AE265="",$AF265=""),"",IF(ISNUMBER(Sync!$P265),INT(MOD(Sync!$P265,10000)/100),IFERROR(VALUE(TRIM(LEFT(MID(Sync!$P265,FIND("/",Sync!$P265)+1,20),FIND("/",MID(Sync!$P265,FIND("/",Sync!$P265)+1,20))-1))),"")))</f>
        <v/>
      </c>
      <c r="AH265">
        <f>IF(OR($AE265="",$AF265=""),"",IF(ISNUMBER(Sync!$P265),MOD(Sync!$P265,100),IFERROR(VALUE(TRIM(MID(MID(Sync!$P265,FIND("/",Sync!$P265)+1,20),FIND("/",MID(Sync!$P265,FIND("/",Sync!$P265)+1,20))+1,20))),"")))</f>
        <v/>
      </c>
      <c r="AI265">
        <f>IF($AE265="","",IF(OR($AF265="",$AG265="",$AH265="",$AF265&lt;1300,$AF265&gt;1500,$AG265&lt;1,$AG265&gt;12,$AH265&lt;1,$AH265&gt;31),"نامعتبر",RIGHT("0000"&amp;$AF265,4)&amp;"/"&amp;RIGHT("00"&amp;$AG265,2)&amp;"/"&amp;RIGHT("00"&amp;$AH265,2)))</f>
        <v/>
      </c>
      <c r="AJ265">
        <f>IF($AE265="","",IF(Sync!$Q265="","0000",IF(AND(ISNUMBER(Sync!$Q265),Sync!$Q265&gt;=0,Sync!$Q265&lt;1),RIGHT("00"&amp;HOUR(Sync!$Q265),2)&amp;RIGHT("00"&amp;MINUTE(Sync!$Q265),2),IFERROR(RIGHT("00"&amp;VALUE(LEFT(Sync!$Q265,FIND(":",Sync!$Q265)-1)),2)&amp;RIGHT("00"&amp;VALUE(MID(Sync!$Q265,FIND(":",Sync!$Q265)+1,2)),2),"0000"))))</f>
        <v/>
      </c>
      <c r="AK265">
        <f>IF(OR($AE265="",$AI265="",$AI265="نامعتبر"),"",LEFT($AI265,4)&amp;MID($AI265,6,2)&amp;RIGHT($AI265,2)&amp;$AJ265&amp;"|"&amp;"3"&amp;RIGHT("00000"&amp;260,5))</f>
        <v/>
      </c>
      <c r="AL265">
        <f>IF($AK265="","",COUNTIFS(LdAParty,$AE265,LdAType,1,LdAKey,"&lt;"&amp;$AK265)+COUNTIFS(LdBMember,$AE265,LdBKey,"&lt;"&amp;$AK265)+COUNTIFS(LdCParty,$AE265,LdCKey,"&lt;"&amp;$AK265)+1)</f>
        <v/>
      </c>
      <c r="AM265">
        <f>IF($AL265="","",$AE265&amp;"|"&amp;RIGHT("000000"&amp;$AL265,6))</f>
        <v/>
      </c>
      <c r="AN265">
        <f>IF($AE265="","",IF(Sync!$W265="",0,Sync!$W265))</f>
        <v/>
      </c>
      <c r="AO265">
        <f>IF($AE265="","",IF(Sync!$X265="",0,Sync!$X265))</f>
        <v/>
      </c>
      <c r="AP265">
        <f>IF($AE265="","",Sync!$R265)</f>
        <v/>
      </c>
      <c r="AQ265">
        <f>IF($AE265="","",Sync!$Y265)</f>
        <v/>
      </c>
    </row>
    <row r="266">
      <c r="A266">
        <f>IF(OR(Wages!$B269="",Wages!$E269=""),"",Wages!$E269)</f>
        <v/>
      </c>
      <c r="B266">
        <f>IF($A266="","",IF(Wages!$C269="دستمزد گروهی",2,1))</f>
        <v/>
      </c>
      <c r="C266">
        <f>IF($A266="","",IF(ISNUMBER(Wages!$B269),IF(AND(Wages!$B269&gt;=10000101,Wages!$B269&lt;=99991231),INT(Wages!$B269/10000),""),IFERROR(VALUE(TRIM(LEFT(Wages!$B269,FIND("/",Wages!$B269)-1))),"")))</f>
        <v/>
      </c>
      <c r="D266">
        <f>IF(OR($A266="",$C266=""),"",IF(ISNUMBER(Wages!$B269),INT(MOD(Wages!$B269,10000)/100),IFERROR(VALUE(TRIM(LEFT(MID(Wages!$B269,FIND("/",Wages!$B269)+1,20),FIND("/",MID(Wages!$B269,FIND("/",Wages!$B269)+1,20))-1))),"")))</f>
        <v/>
      </c>
      <c r="E266">
        <f>IF(OR($A266="",$C266=""),"",IF(ISNUMBER(Wages!$B269),MOD(Wages!$B269,100),IFERROR(VALUE(TRIM(MID(MID(Wages!$B269,FIND("/",Wages!$B269)+1,20),FIND("/",MID(Wages!$B269,FIND("/",Wages!$B269)+1,20))+1,20))),"")))</f>
        <v/>
      </c>
      <c r="F266">
        <f>IF($A266="","",IF(OR($C266="",$D266="",$E266="",$C266&lt;1300,$C266&gt;1500,$D266&lt;1,$D266&gt;12,$E266&lt;1,$E266&gt;31),"نامعتبر",RIGHT("0000"&amp;$C266,4)&amp;"/"&amp;RIGHT("00"&amp;$D266,2)&amp;"/"&amp;RIGHT("00"&amp;$E266,2)))</f>
        <v/>
      </c>
      <c r="G266">
        <f>IF(OR($A266="",$F266="",$F266="نامعتبر"),"",LEFT($F266,4)&amp;MID($F266,6,2)&amp;RIGHT($F266,2)&amp;"0000"&amp;"|"&amp;"1"&amp;RIGHT("00000"&amp;261,5))</f>
        <v/>
      </c>
      <c r="H266">
        <f>IF(OR($B266&lt;&gt;1,$G266=""),"",COUNTIFS(LdAParty,$A266,LdAType,1,LdAKey,"&lt;"&amp;$G266)+COUNTIFS(LdBMember,$A266,LdBKey,"&lt;"&amp;$G266)+COUNTIFS(LdCParty,$A266,LdCKey,"&lt;"&amp;$G266)+1)</f>
        <v/>
      </c>
      <c r="I266">
        <f>IF($H266="","",$A266&amp;"|"&amp;RIGHT("000000"&amp;$H266,6))</f>
        <v/>
      </c>
      <c r="J266">
        <f>IF(OR($B266&lt;&gt;2,$G266=""),"",COUNTIFS(LdAParty,$A266,LdAType,2,LdAKey,"&lt;"&amp;$G266)+1)</f>
        <v/>
      </c>
      <c r="K266">
        <f>IF($J266="","",$A266&amp;"|"&amp;RIGHT("000000"&amp;$J266,6))</f>
        <v/>
      </c>
      <c r="L266">
        <f>IF($A266="","",IF(Wages!$G269="",0,Wages!$G269))</f>
        <v/>
      </c>
      <c r="M266">
        <f>IF($A266="","",Wages!$J269)</f>
        <v/>
      </c>
      <c r="N266">
        <f>IF($A266="","",Wages!$D269)</f>
        <v/>
      </c>
      <c r="P266">
        <f>IF(OR(Shares!$B269="",Shares!$C269=""),"",Shares!$C269)</f>
        <v/>
      </c>
      <c r="Q266">
        <f>IF($P266="","",Shares!$B269)</f>
        <v/>
      </c>
      <c r="R266">
        <f>IF($P266="","",IFERROR(INDEX(WageParty,MATCH($Q266,WageIds,0)),""))</f>
        <v/>
      </c>
      <c r="S266">
        <f>IF($P266="","",IFERROR(INDEX($F$6:$F$2005,MATCH($Q266,WageIds,0)),""))</f>
        <v/>
      </c>
      <c r="T266">
        <f>IF(OR($P266="",$S266="",$S266="نامعتبر"),"",LEFT($S266,4)&amp;MID($S266,6,2)&amp;RIGHT($S266,2)&amp;"0000"&amp;"|"&amp;"2"&amp;RIGHT("00000"&amp;261,5))</f>
        <v/>
      </c>
      <c r="U266">
        <f>IF($T266="","",COUNTIFS(LdAParty,$P266,LdAType,1,LdAKey,"&lt;"&amp;$T266)+COUNTIFS(LdBMember,$P266,LdBKey,"&lt;"&amp;$T266)+COUNTIFS(LdCParty,$P266,LdCKey,"&lt;"&amp;$T266)+1)</f>
        <v/>
      </c>
      <c r="V266">
        <f>IF($U266="","",$P266&amp;"|"&amp;RIGHT("000000"&amp;$U266,6))</f>
        <v/>
      </c>
      <c r="W266">
        <f>IF($T266="","",COUNTIFS(LdBGroup,$R266,LdBKey,"&lt;"&amp;$T266)+1)</f>
        <v/>
      </c>
      <c r="X266">
        <f>IF($W266="","",$R266&amp;"|"&amp;RIGHT("000000"&amp;$W266,6))</f>
        <v/>
      </c>
      <c r="Y266">
        <f>IF($P266="","",IF(Shares!$E269="",0,Shares!$E269))</f>
        <v/>
      </c>
      <c r="Z266">
        <f>IF($P266="","",Shares!$H269)</f>
        <v/>
      </c>
      <c r="AE266">
        <f>IF(OR(Sync!$S266="",Sync!$P266=""),"",Sync!$S266)</f>
        <v/>
      </c>
      <c r="AF266">
        <f>IF($AE266="","",IF(ISNUMBER(Sync!$P266),IF(AND(Sync!$P266&gt;=10000101,Sync!$P266&lt;=99991231),INT(Sync!$P266/10000),""),IFERROR(VALUE(TRIM(LEFT(Sync!$P266,FIND("/",Sync!$P266)-1))),"")))</f>
        <v/>
      </c>
      <c r="AG266">
        <f>IF(OR($AE266="",$AF266=""),"",IF(ISNUMBER(Sync!$P266),INT(MOD(Sync!$P266,10000)/100),IFERROR(VALUE(TRIM(LEFT(MID(Sync!$P266,FIND("/",Sync!$P266)+1,20),FIND("/",MID(Sync!$P266,FIND("/",Sync!$P266)+1,20))-1))),"")))</f>
        <v/>
      </c>
      <c r="AH266">
        <f>IF(OR($AE266="",$AF266=""),"",IF(ISNUMBER(Sync!$P266),MOD(Sync!$P266,100),IFERROR(VALUE(TRIM(MID(MID(Sync!$P266,FIND("/",Sync!$P266)+1,20),FIND("/",MID(Sync!$P266,FIND("/",Sync!$P266)+1,20))+1,20))),"")))</f>
        <v/>
      </c>
      <c r="AI266">
        <f>IF($AE266="","",IF(OR($AF266="",$AG266="",$AH266="",$AF266&lt;1300,$AF266&gt;1500,$AG266&lt;1,$AG266&gt;12,$AH266&lt;1,$AH266&gt;31),"نامعتبر",RIGHT("0000"&amp;$AF266,4)&amp;"/"&amp;RIGHT("00"&amp;$AG266,2)&amp;"/"&amp;RIGHT("00"&amp;$AH266,2)))</f>
        <v/>
      </c>
      <c r="AJ266">
        <f>IF($AE266="","",IF(Sync!$Q266="","0000",IF(AND(ISNUMBER(Sync!$Q266),Sync!$Q266&gt;=0,Sync!$Q266&lt;1),RIGHT("00"&amp;HOUR(Sync!$Q266),2)&amp;RIGHT("00"&amp;MINUTE(Sync!$Q266),2),IFERROR(RIGHT("00"&amp;VALUE(LEFT(Sync!$Q266,FIND(":",Sync!$Q266)-1)),2)&amp;RIGHT("00"&amp;VALUE(MID(Sync!$Q266,FIND(":",Sync!$Q266)+1,2)),2),"0000"))))</f>
        <v/>
      </c>
      <c r="AK266">
        <f>IF(OR($AE266="",$AI266="",$AI266="نامعتبر"),"",LEFT($AI266,4)&amp;MID($AI266,6,2)&amp;RIGHT($AI266,2)&amp;$AJ266&amp;"|"&amp;"3"&amp;RIGHT("00000"&amp;261,5))</f>
        <v/>
      </c>
      <c r="AL266">
        <f>IF($AK266="","",COUNTIFS(LdAParty,$AE266,LdAType,1,LdAKey,"&lt;"&amp;$AK266)+COUNTIFS(LdBMember,$AE266,LdBKey,"&lt;"&amp;$AK266)+COUNTIFS(LdCParty,$AE266,LdCKey,"&lt;"&amp;$AK266)+1)</f>
        <v/>
      </c>
      <c r="AM266">
        <f>IF($AL266="","",$AE266&amp;"|"&amp;RIGHT("000000"&amp;$AL266,6))</f>
        <v/>
      </c>
      <c r="AN266">
        <f>IF($AE266="","",IF(Sync!$W266="",0,Sync!$W266))</f>
        <v/>
      </c>
      <c r="AO266">
        <f>IF($AE266="","",IF(Sync!$X266="",0,Sync!$X266))</f>
        <v/>
      </c>
      <c r="AP266">
        <f>IF($AE266="","",Sync!$R266)</f>
        <v/>
      </c>
      <c r="AQ266">
        <f>IF($AE266="","",Sync!$Y266)</f>
        <v/>
      </c>
    </row>
    <row r="267">
      <c r="A267">
        <f>IF(OR(Wages!$B270="",Wages!$E270=""),"",Wages!$E270)</f>
        <v/>
      </c>
      <c r="B267">
        <f>IF($A267="","",IF(Wages!$C270="دستمزد گروهی",2,1))</f>
        <v/>
      </c>
      <c r="C267">
        <f>IF($A267="","",IF(ISNUMBER(Wages!$B270),IF(AND(Wages!$B270&gt;=10000101,Wages!$B270&lt;=99991231),INT(Wages!$B270/10000),""),IFERROR(VALUE(TRIM(LEFT(Wages!$B270,FIND("/",Wages!$B270)-1))),"")))</f>
        <v/>
      </c>
      <c r="D267">
        <f>IF(OR($A267="",$C267=""),"",IF(ISNUMBER(Wages!$B270),INT(MOD(Wages!$B270,10000)/100),IFERROR(VALUE(TRIM(LEFT(MID(Wages!$B270,FIND("/",Wages!$B270)+1,20),FIND("/",MID(Wages!$B270,FIND("/",Wages!$B270)+1,20))-1))),"")))</f>
        <v/>
      </c>
      <c r="E267">
        <f>IF(OR($A267="",$C267=""),"",IF(ISNUMBER(Wages!$B270),MOD(Wages!$B270,100),IFERROR(VALUE(TRIM(MID(MID(Wages!$B270,FIND("/",Wages!$B270)+1,20),FIND("/",MID(Wages!$B270,FIND("/",Wages!$B270)+1,20))+1,20))),"")))</f>
        <v/>
      </c>
      <c r="F267">
        <f>IF($A267="","",IF(OR($C267="",$D267="",$E267="",$C267&lt;1300,$C267&gt;1500,$D267&lt;1,$D267&gt;12,$E267&lt;1,$E267&gt;31),"نامعتبر",RIGHT("0000"&amp;$C267,4)&amp;"/"&amp;RIGHT("00"&amp;$D267,2)&amp;"/"&amp;RIGHT("00"&amp;$E267,2)))</f>
        <v/>
      </c>
      <c r="G267">
        <f>IF(OR($A267="",$F267="",$F267="نامعتبر"),"",LEFT($F267,4)&amp;MID($F267,6,2)&amp;RIGHT($F267,2)&amp;"0000"&amp;"|"&amp;"1"&amp;RIGHT("00000"&amp;262,5))</f>
        <v/>
      </c>
      <c r="H267">
        <f>IF(OR($B267&lt;&gt;1,$G267=""),"",COUNTIFS(LdAParty,$A267,LdAType,1,LdAKey,"&lt;"&amp;$G267)+COUNTIFS(LdBMember,$A267,LdBKey,"&lt;"&amp;$G267)+COUNTIFS(LdCParty,$A267,LdCKey,"&lt;"&amp;$G267)+1)</f>
        <v/>
      </c>
      <c r="I267">
        <f>IF($H267="","",$A267&amp;"|"&amp;RIGHT("000000"&amp;$H267,6))</f>
        <v/>
      </c>
      <c r="J267">
        <f>IF(OR($B267&lt;&gt;2,$G267=""),"",COUNTIFS(LdAParty,$A267,LdAType,2,LdAKey,"&lt;"&amp;$G267)+1)</f>
        <v/>
      </c>
      <c r="K267">
        <f>IF($J267="","",$A267&amp;"|"&amp;RIGHT("000000"&amp;$J267,6))</f>
        <v/>
      </c>
      <c r="L267">
        <f>IF($A267="","",IF(Wages!$G270="",0,Wages!$G270))</f>
        <v/>
      </c>
      <c r="M267">
        <f>IF($A267="","",Wages!$J270)</f>
        <v/>
      </c>
      <c r="N267">
        <f>IF($A267="","",Wages!$D270)</f>
        <v/>
      </c>
      <c r="P267">
        <f>IF(OR(Shares!$B270="",Shares!$C270=""),"",Shares!$C270)</f>
        <v/>
      </c>
      <c r="Q267">
        <f>IF($P267="","",Shares!$B270)</f>
        <v/>
      </c>
      <c r="R267">
        <f>IF($P267="","",IFERROR(INDEX(WageParty,MATCH($Q267,WageIds,0)),""))</f>
        <v/>
      </c>
      <c r="S267">
        <f>IF($P267="","",IFERROR(INDEX($F$6:$F$2005,MATCH($Q267,WageIds,0)),""))</f>
        <v/>
      </c>
      <c r="T267">
        <f>IF(OR($P267="",$S267="",$S267="نامعتبر"),"",LEFT($S267,4)&amp;MID($S267,6,2)&amp;RIGHT($S267,2)&amp;"0000"&amp;"|"&amp;"2"&amp;RIGHT("00000"&amp;262,5))</f>
        <v/>
      </c>
      <c r="U267">
        <f>IF($T267="","",COUNTIFS(LdAParty,$P267,LdAType,1,LdAKey,"&lt;"&amp;$T267)+COUNTIFS(LdBMember,$P267,LdBKey,"&lt;"&amp;$T267)+COUNTIFS(LdCParty,$P267,LdCKey,"&lt;"&amp;$T267)+1)</f>
        <v/>
      </c>
      <c r="V267">
        <f>IF($U267="","",$P267&amp;"|"&amp;RIGHT("000000"&amp;$U267,6))</f>
        <v/>
      </c>
      <c r="W267">
        <f>IF($T267="","",COUNTIFS(LdBGroup,$R267,LdBKey,"&lt;"&amp;$T267)+1)</f>
        <v/>
      </c>
      <c r="X267">
        <f>IF($W267="","",$R267&amp;"|"&amp;RIGHT("000000"&amp;$W267,6))</f>
        <v/>
      </c>
      <c r="Y267">
        <f>IF($P267="","",IF(Shares!$E270="",0,Shares!$E270))</f>
        <v/>
      </c>
      <c r="Z267">
        <f>IF($P267="","",Shares!$H270)</f>
        <v/>
      </c>
      <c r="AE267">
        <f>IF(OR(Sync!$S267="",Sync!$P267=""),"",Sync!$S267)</f>
        <v/>
      </c>
      <c r="AF267">
        <f>IF($AE267="","",IF(ISNUMBER(Sync!$P267),IF(AND(Sync!$P267&gt;=10000101,Sync!$P267&lt;=99991231),INT(Sync!$P267/10000),""),IFERROR(VALUE(TRIM(LEFT(Sync!$P267,FIND("/",Sync!$P267)-1))),"")))</f>
        <v/>
      </c>
      <c r="AG267">
        <f>IF(OR($AE267="",$AF267=""),"",IF(ISNUMBER(Sync!$P267),INT(MOD(Sync!$P267,10000)/100),IFERROR(VALUE(TRIM(LEFT(MID(Sync!$P267,FIND("/",Sync!$P267)+1,20),FIND("/",MID(Sync!$P267,FIND("/",Sync!$P267)+1,20))-1))),"")))</f>
        <v/>
      </c>
      <c r="AH267">
        <f>IF(OR($AE267="",$AF267=""),"",IF(ISNUMBER(Sync!$P267),MOD(Sync!$P267,100),IFERROR(VALUE(TRIM(MID(MID(Sync!$P267,FIND("/",Sync!$P267)+1,20),FIND("/",MID(Sync!$P267,FIND("/",Sync!$P267)+1,20))+1,20))),"")))</f>
        <v/>
      </c>
      <c r="AI267">
        <f>IF($AE267="","",IF(OR($AF267="",$AG267="",$AH267="",$AF267&lt;1300,$AF267&gt;1500,$AG267&lt;1,$AG267&gt;12,$AH267&lt;1,$AH267&gt;31),"نامعتبر",RIGHT("0000"&amp;$AF267,4)&amp;"/"&amp;RIGHT("00"&amp;$AG267,2)&amp;"/"&amp;RIGHT("00"&amp;$AH267,2)))</f>
        <v/>
      </c>
      <c r="AJ267">
        <f>IF($AE267="","",IF(Sync!$Q267="","0000",IF(AND(ISNUMBER(Sync!$Q267),Sync!$Q267&gt;=0,Sync!$Q267&lt;1),RIGHT("00"&amp;HOUR(Sync!$Q267),2)&amp;RIGHT("00"&amp;MINUTE(Sync!$Q267),2),IFERROR(RIGHT("00"&amp;VALUE(LEFT(Sync!$Q267,FIND(":",Sync!$Q267)-1)),2)&amp;RIGHT("00"&amp;VALUE(MID(Sync!$Q267,FIND(":",Sync!$Q267)+1,2)),2),"0000"))))</f>
        <v/>
      </c>
      <c r="AK267">
        <f>IF(OR($AE267="",$AI267="",$AI267="نامعتبر"),"",LEFT($AI267,4)&amp;MID($AI267,6,2)&amp;RIGHT($AI267,2)&amp;$AJ267&amp;"|"&amp;"3"&amp;RIGHT("00000"&amp;262,5))</f>
        <v/>
      </c>
      <c r="AL267">
        <f>IF($AK267="","",COUNTIFS(LdAParty,$AE267,LdAType,1,LdAKey,"&lt;"&amp;$AK267)+COUNTIFS(LdBMember,$AE267,LdBKey,"&lt;"&amp;$AK267)+COUNTIFS(LdCParty,$AE267,LdCKey,"&lt;"&amp;$AK267)+1)</f>
        <v/>
      </c>
      <c r="AM267">
        <f>IF($AL267="","",$AE267&amp;"|"&amp;RIGHT("000000"&amp;$AL267,6))</f>
        <v/>
      </c>
      <c r="AN267">
        <f>IF($AE267="","",IF(Sync!$W267="",0,Sync!$W267))</f>
        <v/>
      </c>
      <c r="AO267">
        <f>IF($AE267="","",IF(Sync!$X267="",0,Sync!$X267))</f>
        <v/>
      </c>
      <c r="AP267">
        <f>IF($AE267="","",Sync!$R267)</f>
        <v/>
      </c>
      <c r="AQ267">
        <f>IF($AE267="","",Sync!$Y267)</f>
        <v/>
      </c>
    </row>
    <row r="268">
      <c r="A268">
        <f>IF(OR(Wages!$B271="",Wages!$E271=""),"",Wages!$E271)</f>
        <v/>
      </c>
      <c r="B268">
        <f>IF($A268="","",IF(Wages!$C271="دستمزد گروهی",2,1))</f>
        <v/>
      </c>
      <c r="C268">
        <f>IF($A268="","",IF(ISNUMBER(Wages!$B271),IF(AND(Wages!$B271&gt;=10000101,Wages!$B271&lt;=99991231),INT(Wages!$B271/10000),""),IFERROR(VALUE(TRIM(LEFT(Wages!$B271,FIND("/",Wages!$B271)-1))),"")))</f>
        <v/>
      </c>
      <c r="D268">
        <f>IF(OR($A268="",$C268=""),"",IF(ISNUMBER(Wages!$B271),INT(MOD(Wages!$B271,10000)/100),IFERROR(VALUE(TRIM(LEFT(MID(Wages!$B271,FIND("/",Wages!$B271)+1,20),FIND("/",MID(Wages!$B271,FIND("/",Wages!$B271)+1,20))-1))),"")))</f>
        <v/>
      </c>
      <c r="E268">
        <f>IF(OR($A268="",$C268=""),"",IF(ISNUMBER(Wages!$B271),MOD(Wages!$B271,100),IFERROR(VALUE(TRIM(MID(MID(Wages!$B271,FIND("/",Wages!$B271)+1,20),FIND("/",MID(Wages!$B271,FIND("/",Wages!$B271)+1,20))+1,20))),"")))</f>
        <v/>
      </c>
      <c r="F268">
        <f>IF($A268="","",IF(OR($C268="",$D268="",$E268="",$C268&lt;1300,$C268&gt;1500,$D268&lt;1,$D268&gt;12,$E268&lt;1,$E268&gt;31),"نامعتبر",RIGHT("0000"&amp;$C268,4)&amp;"/"&amp;RIGHT("00"&amp;$D268,2)&amp;"/"&amp;RIGHT("00"&amp;$E268,2)))</f>
        <v/>
      </c>
      <c r="G268">
        <f>IF(OR($A268="",$F268="",$F268="نامعتبر"),"",LEFT($F268,4)&amp;MID($F268,6,2)&amp;RIGHT($F268,2)&amp;"0000"&amp;"|"&amp;"1"&amp;RIGHT("00000"&amp;263,5))</f>
        <v/>
      </c>
      <c r="H268">
        <f>IF(OR($B268&lt;&gt;1,$G268=""),"",COUNTIFS(LdAParty,$A268,LdAType,1,LdAKey,"&lt;"&amp;$G268)+COUNTIFS(LdBMember,$A268,LdBKey,"&lt;"&amp;$G268)+COUNTIFS(LdCParty,$A268,LdCKey,"&lt;"&amp;$G268)+1)</f>
        <v/>
      </c>
      <c r="I268">
        <f>IF($H268="","",$A268&amp;"|"&amp;RIGHT("000000"&amp;$H268,6))</f>
        <v/>
      </c>
      <c r="J268">
        <f>IF(OR($B268&lt;&gt;2,$G268=""),"",COUNTIFS(LdAParty,$A268,LdAType,2,LdAKey,"&lt;"&amp;$G268)+1)</f>
        <v/>
      </c>
      <c r="K268">
        <f>IF($J268="","",$A268&amp;"|"&amp;RIGHT("000000"&amp;$J268,6))</f>
        <v/>
      </c>
      <c r="L268">
        <f>IF($A268="","",IF(Wages!$G271="",0,Wages!$G271))</f>
        <v/>
      </c>
      <c r="M268">
        <f>IF($A268="","",Wages!$J271)</f>
        <v/>
      </c>
      <c r="N268">
        <f>IF($A268="","",Wages!$D271)</f>
        <v/>
      </c>
      <c r="P268">
        <f>IF(OR(Shares!$B271="",Shares!$C271=""),"",Shares!$C271)</f>
        <v/>
      </c>
      <c r="Q268">
        <f>IF($P268="","",Shares!$B271)</f>
        <v/>
      </c>
      <c r="R268">
        <f>IF($P268="","",IFERROR(INDEX(WageParty,MATCH($Q268,WageIds,0)),""))</f>
        <v/>
      </c>
      <c r="S268">
        <f>IF($P268="","",IFERROR(INDEX($F$6:$F$2005,MATCH($Q268,WageIds,0)),""))</f>
        <v/>
      </c>
      <c r="T268">
        <f>IF(OR($P268="",$S268="",$S268="نامعتبر"),"",LEFT($S268,4)&amp;MID($S268,6,2)&amp;RIGHT($S268,2)&amp;"0000"&amp;"|"&amp;"2"&amp;RIGHT("00000"&amp;263,5))</f>
        <v/>
      </c>
      <c r="U268">
        <f>IF($T268="","",COUNTIFS(LdAParty,$P268,LdAType,1,LdAKey,"&lt;"&amp;$T268)+COUNTIFS(LdBMember,$P268,LdBKey,"&lt;"&amp;$T268)+COUNTIFS(LdCParty,$P268,LdCKey,"&lt;"&amp;$T268)+1)</f>
        <v/>
      </c>
      <c r="V268">
        <f>IF($U268="","",$P268&amp;"|"&amp;RIGHT("000000"&amp;$U268,6))</f>
        <v/>
      </c>
      <c r="W268">
        <f>IF($T268="","",COUNTIFS(LdBGroup,$R268,LdBKey,"&lt;"&amp;$T268)+1)</f>
        <v/>
      </c>
      <c r="X268">
        <f>IF($W268="","",$R268&amp;"|"&amp;RIGHT("000000"&amp;$W268,6))</f>
        <v/>
      </c>
      <c r="Y268">
        <f>IF($P268="","",IF(Shares!$E271="",0,Shares!$E271))</f>
        <v/>
      </c>
      <c r="Z268">
        <f>IF($P268="","",Shares!$H271)</f>
        <v/>
      </c>
      <c r="AE268">
        <f>IF(OR(Sync!$S268="",Sync!$P268=""),"",Sync!$S268)</f>
        <v/>
      </c>
      <c r="AF268">
        <f>IF($AE268="","",IF(ISNUMBER(Sync!$P268),IF(AND(Sync!$P268&gt;=10000101,Sync!$P268&lt;=99991231),INT(Sync!$P268/10000),""),IFERROR(VALUE(TRIM(LEFT(Sync!$P268,FIND("/",Sync!$P268)-1))),"")))</f>
        <v/>
      </c>
      <c r="AG268">
        <f>IF(OR($AE268="",$AF268=""),"",IF(ISNUMBER(Sync!$P268),INT(MOD(Sync!$P268,10000)/100),IFERROR(VALUE(TRIM(LEFT(MID(Sync!$P268,FIND("/",Sync!$P268)+1,20),FIND("/",MID(Sync!$P268,FIND("/",Sync!$P268)+1,20))-1))),"")))</f>
        <v/>
      </c>
      <c r="AH268">
        <f>IF(OR($AE268="",$AF268=""),"",IF(ISNUMBER(Sync!$P268),MOD(Sync!$P268,100),IFERROR(VALUE(TRIM(MID(MID(Sync!$P268,FIND("/",Sync!$P268)+1,20),FIND("/",MID(Sync!$P268,FIND("/",Sync!$P268)+1,20))+1,20))),"")))</f>
        <v/>
      </c>
      <c r="AI268">
        <f>IF($AE268="","",IF(OR($AF268="",$AG268="",$AH268="",$AF268&lt;1300,$AF268&gt;1500,$AG268&lt;1,$AG268&gt;12,$AH268&lt;1,$AH268&gt;31),"نامعتبر",RIGHT("0000"&amp;$AF268,4)&amp;"/"&amp;RIGHT("00"&amp;$AG268,2)&amp;"/"&amp;RIGHT("00"&amp;$AH268,2)))</f>
        <v/>
      </c>
      <c r="AJ268">
        <f>IF($AE268="","",IF(Sync!$Q268="","0000",IF(AND(ISNUMBER(Sync!$Q268),Sync!$Q268&gt;=0,Sync!$Q268&lt;1),RIGHT("00"&amp;HOUR(Sync!$Q268),2)&amp;RIGHT("00"&amp;MINUTE(Sync!$Q268),2),IFERROR(RIGHT("00"&amp;VALUE(LEFT(Sync!$Q268,FIND(":",Sync!$Q268)-1)),2)&amp;RIGHT("00"&amp;VALUE(MID(Sync!$Q268,FIND(":",Sync!$Q268)+1,2)),2),"0000"))))</f>
        <v/>
      </c>
      <c r="AK268">
        <f>IF(OR($AE268="",$AI268="",$AI268="نامعتبر"),"",LEFT($AI268,4)&amp;MID($AI268,6,2)&amp;RIGHT($AI268,2)&amp;$AJ268&amp;"|"&amp;"3"&amp;RIGHT("00000"&amp;263,5))</f>
        <v/>
      </c>
      <c r="AL268">
        <f>IF($AK268="","",COUNTIFS(LdAParty,$AE268,LdAType,1,LdAKey,"&lt;"&amp;$AK268)+COUNTIFS(LdBMember,$AE268,LdBKey,"&lt;"&amp;$AK268)+COUNTIFS(LdCParty,$AE268,LdCKey,"&lt;"&amp;$AK268)+1)</f>
        <v/>
      </c>
      <c r="AM268">
        <f>IF($AL268="","",$AE268&amp;"|"&amp;RIGHT("000000"&amp;$AL268,6))</f>
        <v/>
      </c>
      <c r="AN268">
        <f>IF($AE268="","",IF(Sync!$W268="",0,Sync!$W268))</f>
        <v/>
      </c>
      <c r="AO268">
        <f>IF($AE268="","",IF(Sync!$X268="",0,Sync!$X268))</f>
        <v/>
      </c>
      <c r="AP268">
        <f>IF($AE268="","",Sync!$R268)</f>
        <v/>
      </c>
      <c r="AQ268">
        <f>IF($AE268="","",Sync!$Y268)</f>
        <v/>
      </c>
    </row>
    <row r="269">
      <c r="A269">
        <f>IF(OR(Wages!$B272="",Wages!$E272=""),"",Wages!$E272)</f>
        <v/>
      </c>
      <c r="B269">
        <f>IF($A269="","",IF(Wages!$C272="دستمزد گروهی",2,1))</f>
        <v/>
      </c>
      <c r="C269">
        <f>IF($A269="","",IF(ISNUMBER(Wages!$B272),IF(AND(Wages!$B272&gt;=10000101,Wages!$B272&lt;=99991231),INT(Wages!$B272/10000),""),IFERROR(VALUE(TRIM(LEFT(Wages!$B272,FIND("/",Wages!$B272)-1))),"")))</f>
        <v/>
      </c>
      <c r="D269">
        <f>IF(OR($A269="",$C269=""),"",IF(ISNUMBER(Wages!$B272),INT(MOD(Wages!$B272,10000)/100),IFERROR(VALUE(TRIM(LEFT(MID(Wages!$B272,FIND("/",Wages!$B272)+1,20),FIND("/",MID(Wages!$B272,FIND("/",Wages!$B272)+1,20))-1))),"")))</f>
        <v/>
      </c>
      <c r="E269">
        <f>IF(OR($A269="",$C269=""),"",IF(ISNUMBER(Wages!$B272),MOD(Wages!$B272,100),IFERROR(VALUE(TRIM(MID(MID(Wages!$B272,FIND("/",Wages!$B272)+1,20),FIND("/",MID(Wages!$B272,FIND("/",Wages!$B272)+1,20))+1,20))),"")))</f>
        <v/>
      </c>
      <c r="F269">
        <f>IF($A269="","",IF(OR($C269="",$D269="",$E269="",$C269&lt;1300,$C269&gt;1500,$D269&lt;1,$D269&gt;12,$E269&lt;1,$E269&gt;31),"نامعتبر",RIGHT("0000"&amp;$C269,4)&amp;"/"&amp;RIGHT("00"&amp;$D269,2)&amp;"/"&amp;RIGHT("00"&amp;$E269,2)))</f>
        <v/>
      </c>
      <c r="G269">
        <f>IF(OR($A269="",$F269="",$F269="نامعتبر"),"",LEFT($F269,4)&amp;MID($F269,6,2)&amp;RIGHT($F269,2)&amp;"0000"&amp;"|"&amp;"1"&amp;RIGHT("00000"&amp;264,5))</f>
        <v/>
      </c>
      <c r="H269">
        <f>IF(OR($B269&lt;&gt;1,$G269=""),"",COUNTIFS(LdAParty,$A269,LdAType,1,LdAKey,"&lt;"&amp;$G269)+COUNTIFS(LdBMember,$A269,LdBKey,"&lt;"&amp;$G269)+COUNTIFS(LdCParty,$A269,LdCKey,"&lt;"&amp;$G269)+1)</f>
        <v/>
      </c>
      <c r="I269">
        <f>IF($H269="","",$A269&amp;"|"&amp;RIGHT("000000"&amp;$H269,6))</f>
        <v/>
      </c>
      <c r="J269">
        <f>IF(OR($B269&lt;&gt;2,$G269=""),"",COUNTIFS(LdAParty,$A269,LdAType,2,LdAKey,"&lt;"&amp;$G269)+1)</f>
        <v/>
      </c>
      <c r="K269">
        <f>IF($J269="","",$A269&amp;"|"&amp;RIGHT("000000"&amp;$J269,6))</f>
        <v/>
      </c>
      <c r="L269">
        <f>IF($A269="","",IF(Wages!$G272="",0,Wages!$G272))</f>
        <v/>
      </c>
      <c r="M269">
        <f>IF($A269="","",Wages!$J272)</f>
        <v/>
      </c>
      <c r="N269">
        <f>IF($A269="","",Wages!$D272)</f>
        <v/>
      </c>
      <c r="P269">
        <f>IF(OR(Shares!$B272="",Shares!$C272=""),"",Shares!$C272)</f>
        <v/>
      </c>
      <c r="Q269">
        <f>IF($P269="","",Shares!$B272)</f>
        <v/>
      </c>
      <c r="R269">
        <f>IF($P269="","",IFERROR(INDEX(WageParty,MATCH($Q269,WageIds,0)),""))</f>
        <v/>
      </c>
      <c r="S269">
        <f>IF($P269="","",IFERROR(INDEX($F$6:$F$2005,MATCH($Q269,WageIds,0)),""))</f>
        <v/>
      </c>
      <c r="T269">
        <f>IF(OR($P269="",$S269="",$S269="نامعتبر"),"",LEFT($S269,4)&amp;MID($S269,6,2)&amp;RIGHT($S269,2)&amp;"0000"&amp;"|"&amp;"2"&amp;RIGHT("00000"&amp;264,5))</f>
        <v/>
      </c>
      <c r="U269">
        <f>IF($T269="","",COUNTIFS(LdAParty,$P269,LdAType,1,LdAKey,"&lt;"&amp;$T269)+COUNTIFS(LdBMember,$P269,LdBKey,"&lt;"&amp;$T269)+COUNTIFS(LdCParty,$P269,LdCKey,"&lt;"&amp;$T269)+1)</f>
        <v/>
      </c>
      <c r="V269">
        <f>IF($U269="","",$P269&amp;"|"&amp;RIGHT("000000"&amp;$U269,6))</f>
        <v/>
      </c>
      <c r="W269">
        <f>IF($T269="","",COUNTIFS(LdBGroup,$R269,LdBKey,"&lt;"&amp;$T269)+1)</f>
        <v/>
      </c>
      <c r="X269">
        <f>IF($W269="","",$R269&amp;"|"&amp;RIGHT("000000"&amp;$W269,6))</f>
        <v/>
      </c>
      <c r="Y269">
        <f>IF($P269="","",IF(Shares!$E272="",0,Shares!$E272))</f>
        <v/>
      </c>
      <c r="Z269">
        <f>IF($P269="","",Shares!$H272)</f>
        <v/>
      </c>
      <c r="AE269">
        <f>IF(OR(Sync!$S269="",Sync!$P269=""),"",Sync!$S269)</f>
        <v/>
      </c>
      <c r="AF269">
        <f>IF($AE269="","",IF(ISNUMBER(Sync!$P269),IF(AND(Sync!$P269&gt;=10000101,Sync!$P269&lt;=99991231),INT(Sync!$P269/10000),""),IFERROR(VALUE(TRIM(LEFT(Sync!$P269,FIND("/",Sync!$P269)-1))),"")))</f>
        <v/>
      </c>
      <c r="AG269">
        <f>IF(OR($AE269="",$AF269=""),"",IF(ISNUMBER(Sync!$P269),INT(MOD(Sync!$P269,10000)/100),IFERROR(VALUE(TRIM(LEFT(MID(Sync!$P269,FIND("/",Sync!$P269)+1,20),FIND("/",MID(Sync!$P269,FIND("/",Sync!$P269)+1,20))-1))),"")))</f>
        <v/>
      </c>
      <c r="AH269">
        <f>IF(OR($AE269="",$AF269=""),"",IF(ISNUMBER(Sync!$P269),MOD(Sync!$P269,100),IFERROR(VALUE(TRIM(MID(MID(Sync!$P269,FIND("/",Sync!$P269)+1,20),FIND("/",MID(Sync!$P269,FIND("/",Sync!$P269)+1,20))+1,20))),"")))</f>
        <v/>
      </c>
      <c r="AI269">
        <f>IF($AE269="","",IF(OR($AF269="",$AG269="",$AH269="",$AF269&lt;1300,$AF269&gt;1500,$AG269&lt;1,$AG269&gt;12,$AH269&lt;1,$AH269&gt;31),"نامعتبر",RIGHT("0000"&amp;$AF269,4)&amp;"/"&amp;RIGHT("00"&amp;$AG269,2)&amp;"/"&amp;RIGHT("00"&amp;$AH269,2)))</f>
        <v/>
      </c>
      <c r="AJ269">
        <f>IF($AE269="","",IF(Sync!$Q269="","0000",IF(AND(ISNUMBER(Sync!$Q269),Sync!$Q269&gt;=0,Sync!$Q269&lt;1),RIGHT("00"&amp;HOUR(Sync!$Q269),2)&amp;RIGHT("00"&amp;MINUTE(Sync!$Q269),2),IFERROR(RIGHT("00"&amp;VALUE(LEFT(Sync!$Q269,FIND(":",Sync!$Q269)-1)),2)&amp;RIGHT("00"&amp;VALUE(MID(Sync!$Q269,FIND(":",Sync!$Q269)+1,2)),2),"0000"))))</f>
        <v/>
      </c>
      <c r="AK269">
        <f>IF(OR($AE269="",$AI269="",$AI269="نامعتبر"),"",LEFT($AI269,4)&amp;MID($AI269,6,2)&amp;RIGHT($AI269,2)&amp;$AJ269&amp;"|"&amp;"3"&amp;RIGHT("00000"&amp;264,5))</f>
        <v/>
      </c>
      <c r="AL269">
        <f>IF($AK269="","",COUNTIFS(LdAParty,$AE269,LdAType,1,LdAKey,"&lt;"&amp;$AK269)+COUNTIFS(LdBMember,$AE269,LdBKey,"&lt;"&amp;$AK269)+COUNTIFS(LdCParty,$AE269,LdCKey,"&lt;"&amp;$AK269)+1)</f>
        <v/>
      </c>
      <c r="AM269">
        <f>IF($AL269="","",$AE269&amp;"|"&amp;RIGHT("000000"&amp;$AL269,6))</f>
        <v/>
      </c>
      <c r="AN269">
        <f>IF($AE269="","",IF(Sync!$W269="",0,Sync!$W269))</f>
        <v/>
      </c>
      <c r="AO269">
        <f>IF($AE269="","",IF(Sync!$X269="",0,Sync!$X269))</f>
        <v/>
      </c>
      <c r="AP269">
        <f>IF($AE269="","",Sync!$R269)</f>
        <v/>
      </c>
      <c r="AQ269">
        <f>IF($AE269="","",Sync!$Y269)</f>
        <v/>
      </c>
    </row>
    <row r="270">
      <c r="A270">
        <f>IF(OR(Wages!$B273="",Wages!$E273=""),"",Wages!$E273)</f>
        <v/>
      </c>
      <c r="B270">
        <f>IF($A270="","",IF(Wages!$C273="دستمزد گروهی",2,1))</f>
        <v/>
      </c>
      <c r="C270">
        <f>IF($A270="","",IF(ISNUMBER(Wages!$B273),IF(AND(Wages!$B273&gt;=10000101,Wages!$B273&lt;=99991231),INT(Wages!$B273/10000),""),IFERROR(VALUE(TRIM(LEFT(Wages!$B273,FIND("/",Wages!$B273)-1))),"")))</f>
        <v/>
      </c>
      <c r="D270">
        <f>IF(OR($A270="",$C270=""),"",IF(ISNUMBER(Wages!$B273),INT(MOD(Wages!$B273,10000)/100),IFERROR(VALUE(TRIM(LEFT(MID(Wages!$B273,FIND("/",Wages!$B273)+1,20),FIND("/",MID(Wages!$B273,FIND("/",Wages!$B273)+1,20))-1))),"")))</f>
        <v/>
      </c>
      <c r="E270">
        <f>IF(OR($A270="",$C270=""),"",IF(ISNUMBER(Wages!$B273),MOD(Wages!$B273,100),IFERROR(VALUE(TRIM(MID(MID(Wages!$B273,FIND("/",Wages!$B273)+1,20),FIND("/",MID(Wages!$B273,FIND("/",Wages!$B273)+1,20))+1,20))),"")))</f>
        <v/>
      </c>
      <c r="F270">
        <f>IF($A270="","",IF(OR($C270="",$D270="",$E270="",$C270&lt;1300,$C270&gt;1500,$D270&lt;1,$D270&gt;12,$E270&lt;1,$E270&gt;31),"نامعتبر",RIGHT("0000"&amp;$C270,4)&amp;"/"&amp;RIGHT("00"&amp;$D270,2)&amp;"/"&amp;RIGHT("00"&amp;$E270,2)))</f>
        <v/>
      </c>
      <c r="G270">
        <f>IF(OR($A270="",$F270="",$F270="نامعتبر"),"",LEFT($F270,4)&amp;MID($F270,6,2)&amp;RIGHT($F270,2)&amp;"0000"&amp;"|"&amp;"1"&amp;RIGHT("00000"&amp;265,5))</f>
        <v/>
      </c>
      <c r="H270">
        <f>IF(OR($B270&lt;&gt;1,$G270=""),"",COUNTIFS(LdAParty,$A270,LdAType,1,LdAKey,"&lt;"&amp;$G270)+COUNTIFS(LdBMember,$A270,LdBKey,"&lt;"&amp;$G270)+COUNTIFS(LdCParty,$A270,LdCKey,"&lt;"&amp;$G270)+1)</f>
        <v/>
      </c>
      <c r="I270">
        <f>IF($H270="","",$A270&amp;"|"&amp;RIGHT("000000"&amp;$H270,6))</f>
        <v/>
      </c>
      <c r="J270">
        <f>IF(OR($B270&lt;&gt;2,$G270=""),"",COUNTIFS(LdAParty,$A270,LdAType,2,LdAKey,"&lt;"&amp;$G270)+1)</f>
        <v/>
      </c>
      <c r="K270">
        <f>IF($J270="","",$A270&amp;"|"&amp;RIGHT("000000"&amp;$J270,6))</f>
        <v/>
      </c>
      <c r="L270">
        <f>IF($A270="","",IF(Wages!$G273="",0,Wages!$G273))</f>
        <v/>
      </c>
      <c r="M270">
        <f>IF($A270="","",Wages!$J273)</f>
        <v/>
      </c>
      <c r="N270">
        <f>IF($A270="","",Wages!$D273)</f>
        <v/>
      </c>
      <c r="P270">
        <f>IF(OR(Shares!$B273="",Shares!$C273=""),"",Shares!$C273)</f>
        <v/>
      </c>
      <c r="Q270">
        <f>IF($P270="","",Shares!$B273)</f>
        <v/>
      </c>
      <c r="R270">
        <f>IF($P270="","",IFERROR(INDEX(WageParty,MATCH($Q270,WageIds,0)),""))</f>
        <v/>
      </c>
      <c r="S270">
        <f>IF($P270="","",IFERROR(INDEX($F$6:$F$2005,MATCH($Q270,WageIds,0)),""))</f>
        <v/>
      </c>
      <c r="T270">
        <f>IF(OR($P270="",$S270="",$S270="نامعتبر"),"",LEFT($S270,4)&amp;MID($S270,6,2)&amp;RIGHT($S270,2)&amp;"0000"&amp;"|"&amp;"2"&amp;RIGHT("00000"&amp;265,5))</f>
        <v/>
      </c>
      <c r="U270">
        <f>IF($T270="","",COUNTIFS(LdAParty,$P270,LdAType,1,LdAKey,"&lt;"&amp;$T270)+COUNTIFS(LdBMember,$P270,LdBKey,"&lt;"&amp;$T270)+COUNTIFS(LdCParty,$P270,LdCKey,"&lt;"&amp;$T270)+1)</f>
        <v/>
      </c>
      <c r="V270">
        <f>IF($U270="","",$P270&amp;"|"&amp;RIGHT("000000"&amp;$U270,6))</f>
        <v/>
      </c>
      <c r="W270">
        <f>IF($T270="","",COUNTIFS(LdBGroup,$R270,LdBKey,"&lt;"&amp;$T270)+1)</f>
        <v/>
      </c>
      <c r="X270">
        <f>IF($W270="","",$R270&amp;"|"&amp;RIGHT("000000"&amp;$W270,6))</f>
        <v/>
      </c>
      <c r="Y270">
        <f>IF($P270="","",IF(Shares!$E273="",0,Shares!$E273))</f>
        <v/>
      </c>
      <c r="Z270">
        <f>IF($P270="","",Shares!$H273)</f>
        <v/>
      </c>
      <c r="AE270">
        <f>IF(OR(Sync!$S270="",Sync!$P270=""),"",Sync!$S270)</f>
        <v/>
      </c>
      <c r="AF270">
        <f>IF($AE270="","",IF(ISNUMBER(Sync!$P270),IF(AND(Sync!$P270&gt;=10000101,Sync!$P270&lt;=99991231),INT(Sync!$P270/10000),""),IFERROR(VALUE(TRIM(LEFT(Sync!$P270,FIND("/",Sync!$P270)-1))),"")))</f>
        <v/>
      </c>
      <c r="AG270">
        <f>IF(OR($AE270="",$AF270=""),"",IF(ISNUMBER(Sync!$P270),INT(MOD(Sync!$P270,10000)/100),IFERROR(VALUE(TRIM(LEFT(MID(Sync!$P270,FIND("/",Sync!$P270)+1,20),FIND("/",MID(Sync!$P270,FIND("/",Sync!$P270)+1,20))-1))),"")))</f>
        <v/>
      </c>
      <c r="AH270">
        <f>IF(OR($AE270="",$AF270=""),"",IF(ISNUMBER(Sync!$P270),MOD(Sync!$P270,100),IFERROR(VALUE(TRIM(MID(MID(Sync!$P270,FIND("/",Sync!$P270)+1,20),FIND("/",MID(Sync!$P270,FIND("/",Sync!$P270)+1,20))+1,20))),"")))</f>
        <v/>
      </c>
      <c r="AI270">
        <f>IF($AE270="","",IF(OR($AF270="",$AG270="",$AH270="",$AF270&lt;1300,$AF270&gt;1500,$AG270&lt;1,$AG270&gt;12,$AH270&lt;1,$AH270&gt;31),"نامعتبر",RIGHT("0000"&amp;$AF270,4)&amp;"/"&amp;RIGHT("00"&amp;$AG270,2)&amp;"/"&amp;RIGHT("00"&amp;$AH270,2)))</f>
        <v/>
      </c>
      <c r="AJ270">
        <f>IF($AE270="","",IF(Sync!$Q270="","0000",IF(AND(ISNUMBER(Sync!$Q270),Sync!$Q270&gt;=0,Sync!$Q270&lt;1),RIGHT("00"&amp;HOUR(Sync!$Q270),2)&amp;RIGHT("00"&amp;MINUTE(Sync!$Q270),2),IFERROR(RIGHT("00"&amp;VALUE(LEFT(Sync!$Q270,FIND(":",Sync!$Q270)-1)),2)&amp;RIGHT("00"&amp;VALUE(MID(Sync!$Q270,FIND(":",Sync!$Q270)+1,2)),2),"0000"))))</f>
        <v/>
      </c>
      <c r="AK270">
        <f>IF(OR($AE270="",$AI270="",$AI270="نامعتبر"),"",LEFT($AI270,4)&amp;MID($AI270,6,2)&amp;RIGHT($AI270,2)&amp;$AJ270&amp;"|"&amp;"3"&amp;RIGHT("00000"&amp;265,5))</f>
        <v/>
      </c>
      <c r="AL270">
        <f>IF($AK270="","",COUNTIFS(LdAParty,$AE270,LdAType,1,LdAKey,"&lt;"&amp;$AK270)+COUNTIFS(LdBMember,$AE270,LdBKey,"&lt;"&amp;$AK270)+COUNTIFS(LdCParty,$AE270,LdCKey,"&lt;"&amp;$AK270)+1)</f>
        <v/>
      </c>
      <c r="AM270">
        <f>IF($AL270="","",$AE270&amp;"|"&amp;RIGHT("000000"&amp;$AL270,6))</f>
        <v/>
      </c>
      <c r="AN270">
        <f>IF($AE270="","",IF(Sync!$W270="",0,Sync!$W270))</f>
        <v/>
      </c>
      <c r="AO270">
        <f>IF($AE270="","",IF(Sync!$X270="",0,Sync!$X270))</f>
        <v/>
      </c>
      <c r="AP270">
        <f>IF($AE270="","",Sync!$R270)</f>
        <v/>
      </c>
      <c r="AQ270">
        <f>IF($AE270="","",Sync!$Y270)</f>
        <v/>
      </c>
    </row>
    <row r="271">
      <c r="A271">
        <f>IF(OR(Wages!$B274="",Wages!$E274=""),"",Wages!$E274)</f>
        <v/>
      </c>
      <c r="B271">
        <f>IF($A271="","",IF(Wages!$C274="دستمزد گروهی",2,1))</f>
        <v/>
      </c>
      <c r="C271">
        <f>IF($A271="","",IF(ISNUMBER(Wages!$B274),IF(AND(Wages!$B274&gt;=10000101,Wages!$B274&lt;=99991231),INT(Wages!$B274/10000),""),IFERROR(VALUE(TRIM(LEFT(Wages!$B274,FIND("/",Wages!$B274)-1))),"")))</f>
        <v/>
      </c>
      <c r="D271">
        <f>IF(OR($A271="",$C271=""),"",IF(ISNUMBER(Wages!$B274),INT(MOD(Wages!$B274,10000)/100),IFERROR(VALUE(TRIM(LEFT(MID(Wages!$B274,FIND("/",Wages!$B274)+1,20),FIND("/",MID(Wages!$B274,FIND("/",Wages!$B274)+1,20))-1))),"")))</f>
        <v/>
      </c>
      <c r="E271">
        <f>IF(OR($A271="",$C271=""),"",IF(ISNUMBER(Wages!$B274),MOD(Wages!$B274,100),IFERROR(VALUE(TRIM(MID(MID(Wages!$B274,FIND("/",Wages!$B274)+1,20),FIND("/",MID(Wages!$B274,FIND("/",Wages!$B274)+1,20))+1,20))),"")))</f>
        <v/>
      </c>
      <c r="F271">
        <f>IF($A271="","",IF(OR($C271="",$D271="",$E271="",$C271&lt;1300,$C271&gt;1500,$D271&lt;1,$D271&gt;12,$E271&lt;1,$E271&gt;31),"نامعتبر",RIGHT("0000"&amp;$C271,4)&amp;"/"&amp;RIGHT("00"&amp;$D271,2)&amp;"/"&amp;RIGHT("00"&amp;$E271,2)))</f>
        <v/>
      </c>
      <c r="G271">
        <f>IF(OR($A271="",$F271="",$F271="نامعتبر"),"",LEFT($F271,4)&amp;MID($F271,6,2)&amp;RIGHT($F271,2)&amp;"0000"&amp;"|"&amp;"1"&amp;RIGHT("00000"&amp;266,5))</f>
        <v/>
      </c>
      <c r="H271">
        <f>IF(OR($B271&lt;&gt;1,$G271=""),"",COUNTIFS(LdAParty,$A271,LdAType,1,LdAKey,"&lt;"&amp;$G271)+COUNTIFS(LdBMember,$A271,LdBKey,"&lt;"&amp;$G271)+COUNTIFS(LdCParty,$A271,LdCKey,"&lt;"&amp;$G271)+1)</f>
        <v/>
      </c>
      <c r="I271">
        <f>IF($H271="","",$A271&amp;"|"&amp;RIGHT("000000"&amp;$H271,6))</f>
        <v/>
      </c>
      <c r="J271">
        <f>IF(OR($B271&lt;&gt;2,$G271=""),"",COUNTIFS(LdAParty,$A271,LdAType,2,LdAKey,"&lt;"&amp;$G271)+1)</f>
        <v/>
      </c>
      <c r="K271">
        <f>IF($J271="","",$A271&amp;"|"&amp;RIGHT("000000"&amp;$J271,6))</f>
        <v/>
      </c>
      <c r="L271">
        <f>IF($A271="","",IF(Wages!$G274="",0,Wages!$G274))</f>
        <v/>
      </c>
      <c r="M271">
        <f>IF($A271="","",Wages!$J274)</f>
        <v/>
      </c>
      <c r="N271">
        <f>IF($A271="","",Wages!$D274)</f>
        <v/>
      </c>
      <c r="P271">
        <f>IF(OR(Shares!$B274="",Shares!$C274=""),"",Shares!$C274)</f>
        <v/>
      </c>
      <c r="Q271">
        <f>IF($P271="","",Shares!$B274)</f>
        <v/>
      </c>
      <c r="R271">
        <f>IF($P271="","",IFERROR(INDEX(WageParty,MATCH($Q271,WageIds,0)),""))</f>
        <v/>
      </c>
      <c r="S271">
        <f>IF($P271="","",IFERROR(INDEX($F$6:$F$2005,MATCH($Q271,WageIds,0)),""))</f>
        <v/>
      </c>
      <c r="T271">
        <f>IF(OR($P271="",$S271="",$S271="نامعتبر"),"",LEFT($S271,4)&amp;MID($S271,6,2)&amp;RIGHT($S271,2)&amp;"0000"&amp;"|"&amp;"2"&amp;RIGHT("00000"&amp;266,5))</f>
        <v/>
      </c>
      <c r="U271">
        <f>IF($T271="","",COUNTIFS(LdAParty,$P271,LdAType,1,LdAKey,"&lt;"&amp;$T271)+COUNTIFS(LdBMember,$P271,LdBKey,"&lt;"&amp;$T271)+COUNTIFS(LdCParty,$P271,LdCKey,"&lt;"&amp;$T271)+1)</f>
        <v/>
      </c>
      <c r="V271">
        <f>IF($U271="","",$P271&amp;"|"&amp;RIGHT("000000"&amp;$U271,6))</f>
        <v/>
      </c>
      <c r="W271">
        <f>IF($T271="","",COUNTIFS(LdBGroup,$R271,LdBKey,"&lt;"&amp;$T271)+1)</f>
        <v/>
      </c>
      <c r="X271">
        <f>IF($W271="","",$R271&amp;"|"&amp;RIGHT("000000"&amp;$W271,6))</f>
        <v/>
      </c>
      <c r="Y271">
        <f>IF($P271="","",IF(Shares!$E274="",0,Shares!$E274))</f>
        <v/>
      </c>
      <c r="Z271">
        <f>IF($P271="","",Shares!$H274)</f>
        <v/>
      </c>
      <c r="AE271">
        <f>IF(OR(Sync!$S271="",Sync!$P271=""),"",Sync!$S271)</f>
        <v/>
      </c>
      <c r="AF271">
        <f>IF($AE271="","",IF(ISNUMBER(Sync!$P271),IF(AND(Sync!$P271&gt;=10000101,Sync!$P271&lt;=99991231),INT(Sync!$P271/10000),""),IFERROR(VALUE(TRIM(LEFT(Sync!$P271,FIND("/",Sync!$P271)-1))),"")))</f>
        <v/>
      </c>
      <c r="AG271">
        <f>IF(OR($AE271="",$AF271=""),"",IF(ISNUMBER(Sync!$P271),INT(MOD(Sync!$P271,10000)/100),IFERROR(VALUE(TRIM(LEFT(MID(Sync!$P271,FIND("/",Sync!$P271)+1,20),FIND("/",MID(Sync!$P271,FIND("/",Sync!$P271)+1,20))-1))),"")))</f>
        <v/>
      </c>
      <c r="AH271">
        <f>IF(OR($AE271="",$AF271=""),"",IF(ISNUMBER(Sync!$P271),MOD(Sync!$P271,100),IFERROR(VALUE(TRIM(MID(MID(Sync!$P271,FIND("/",Sync!$P271)+1,20),FIND("/",MID(Sync!$P271,FIND("/",Sync!$P271)+1,20))+1,20))),"")))</f>
        <v/>
      </c>
      <c r="AI271">
        <f>IF($AE271="","",IF(OR($AF271="",$AG271="",$AH271="",$AF271&lt;1300,$AF271&gt;1500,$AG271&lt;1,$AG271&gt;12,$AH271&lt;1,$AH271&gt;31),"نامعتبر",RIGHT("0000"&amp;$AF271,4)&amp;"/"&amp;RIGHT("00"&amp;$AG271,2)&amp;"/"&amp;RIGHT("00"&amp;$AH271,2)))</f>
        <v/>
      </c>
      <c r="AJ271">
        <f>IF($AE271="","",IF(Sync!$Q271="","0000",IF(AND(ISNUMBER(Sync!$Q271),Sync!$Q271&gt;=0,Sync!$Q271&lt;1),RIGHT("00"&amp;HOUR(Sync!$Q271),2)&amp;RIGHT("00"&amp;MINUTE(Sync!$Q271),2),IFERROR(RIGHT("00"&amp;VALUE(LEFT(Sync!$Q271,FIND(":",Sync!$Q271)-1)),2)&amp;RIGHT("00"&amp;VALUE(MID(Sync!$Q271,FIND(":",Sync!$Q271)+1,2)),2),"0000"))))</f>
        <v/>
      </c>
      <c r="AK271">
        <f>IF(OR($AE271="",$AI271="",$AI271="نامعتبر"),"",LEFT($AI271,4)&amp;MID($AI271,6,2)&amp;RIGHT($AI271,2)&amp;$AJ271&amp;"|"&amp;"3"&amp;RIGHT("00000"&amp;266,5))</f>
        <v/>
      </c>
      <c r="AL271">
        <f>IF($AK271="","",COUNTIFS(LdAParty,$AE271,LdAType,1,LdAKey,"&lt;"&amp;$AK271)+COUNTIFS(LdBMember,$AE271,LdBKey,"&lt;"&amp;$AK271)+COUNTIFS(LdCParty,$AE271,LdCKey,"&lt;"&amp;$AK271)+1)</f>
        <v/>
      </c>
      <c r="AM271">
        <f>IF($AL271="","",$AE271&amp;"|"&amp;RIGHT("000000"&amp;$AL271,6))</f>
        <v/>
      </c>
      <c r="AN271">
        <f>IF($AE271="","",IF(Sync!$W271="",0,Sync!$W271))</f>
        <v/>
      </c>
      <c r="AO271">
        <f>IF($AE271="","",IF(Sync!$X271="",0,Sync!$X271))</f>
        <v/>
      </c>
      <c r="AP271">
        <f>IF($AE271="","",Sync!$R271)</f>
        <v/>
      </c>
      <c r="AQ271">
        <f>IF($AE271="","",Sync!$Y271)</f>
        <v/>
      </c>
    </row>
    <row r="272">
      <c r="A272">
        <f>IF(OR(Wages!$B275="",Wages!$E275=""),"",Wages!$E275)</f>
        <v/>
      </c>
      <c r="B272">
        <f>IF($A272="","",IF(Wages!$C275="دستمزد گروهی",2,1))</f>
        <v/>
      </c>
      <c r="C272">
        <f>IF($A272="","",IF(ISNUMBER(Wages!$B275),IF(AND(Wages!$B275&gt;=10000101,Wages!$B275&lt;=99991231),INT(Wages!$B275/10000),""),IFERROR(VALUE(TRIM(LEFT(Wages!$B275,FIND("/",Wages!$B275)-1))),"")))</f>
        <v/>
      </c>
      <c r="D272">
        <f>IF(OR($A272="",$C272=""),"",IF(ISNUMBER(Wages!$B275),INT(MOD(Wages!$B275,10000)/100),IFERROR(VALUE(TRIM(LEFT(MID(Wages!$B275,FIND("/",Wages!$B275)+1,20),FIND("/",MID(Wages!$B275,FIND("/",Wages!$B275)+1,20))-1))),"")))</f>
        <v/>
      </c>
      <c r="E272">
        <f>IF(OR($A272="",$C272=""),"",IF(ISNUMBER(Wages!$B275),MOD(Wages!$B275,100),IFERROR(VALUE(TRIM(MID(MID(Wages!$B275,FIND("/",Wages!$B275)+1,20),FIND("/",MID(Wages!$B275,FIND("/",Wages!$B275)+1,20))+1,20))),"")))</f>
        <v/>
      </c>
      <c r="F272">
        <f>IF($A272="","",IF(OR($C272="",$D272="",$E272="",$C272&lt;1300,$C272&gt;1500,$D272&lt;1,$D272&gt;12,$E272&lt;1,$E272&gt;31),"نامعتبر",RIGHT("0000"&amp;$C272,4)&amp;"/"&amp;RIGHT("00"&amp;$D272,2)&amp;"/"&amp;RIGHT("00"&amp;$E272,2)))</f>
        <v/>
      </c>
      <c r="G272">
        <f>IF(OR($A272="",$F272="",$F272="نامعتبر"),"",LEFT($F272,4)&amp;MID($F272,6,2)&amp;RIGHT($F272,2)&amp;"0000"&amp;"|"&amp;"1"&amp;RIGHT("00000"&amp;267,5))</f>
        <v/>
      </c>
      <c r="H272">
        <f>IF(OR($B272&lt;&gt;1,$G272=""),"",COUNTIFS(LdAParty,$A272,LdAType,1,LdAKey,"&lt;"&amp;$G272)+COUNTIFS(LdBMember,$A272,LdBKey,"&lt;"&amp;$G272)+COUNTIFS(LdCParty,$A272,LdCKey,"&lt;"&amp;$G272)+1)</f>
        <v/>
      </c>
      <c r="I272">
        <f>IF($H272="","",$A272&amp;"|"&amp;RIGHT("000000"&amp;$H272,6))</f>
        <v/>
      </c>
      <c r="J272">
        <f>IF(OR($B272&lt;&gt;2,$G272=""),"",COUNTIFS(LdAParty,$A272,LdAType,2,LdAKey,"&lt;"&amp;$G272)+1)</f>
        <v/>
      </c>
      <c r="K272">
        <f>IF($J272="","",$A272&amp;"|"&amp;RIGHT("000000"&amp;$J272,6))</f>
        <v/>
      </c>
      <c r="L272">
        <f>IF($A272="","",IF(Wages!$G275="",0,Wages!$G275))</f>
        <v/>
      </c>
      <c r="M272">
        <f>IF($A272="","",Wages!$J275)</f>
        <v/>
      </c>
      <c r="N272">
        <f>IF($A272="","",Wages!$D275)</f>
        <v/>
      </c>
      <c r="P272">
        <f>IF(OR(Shares!$B275="",Shares!$C275=""),"",Shares!$C275)</f>
        <v/>
      </c>
      <c r="Q272">
        <f>IF($P272="","",Shares!$B275)</f>
        <v/>
      </c>
      <c r="R272">
        <f>IF($P272="","",IFERROR(INDEX(WageParty,MATCH($Q272,WageIds,0)),""))</f>
        <v/>
      </c>
      <c r="S272">
        <f>IF($P272="","",IFERROR(INDEX($F$6:$F$2005,MATCH($Q272,WageIds,0)),""))</f>
        <v/>
      </c>
      <c r="T272">
        <f>IF(OR($P272="",$S272="",$S272="نامعتبر"),"",LEFT($S272,4)&amp;MID($S272,6,2)&amp;RIGHT($S272,2)&amp;"0000"&amp;"|"&amp;"2"&amp;RIGHT("00000"&amp;267,5))</f>
        <v/>
      </c>
      <c r="U272">
        <f>IF($T272="","",COUNTIFS(LdAParty,$P272,LdAType,1,LdAKey,"&lt;"&amp;$T272)+COUNTIFS(LdBMember,$P272,LdBKey,"&lt;"&amp;$T272)+COUNTIFS(LdCParty,$P272,LdCKey,"&lt;"&amp;$T272)+1)</f>
        <v/>
      </c>
      <c r="V272">
        <f>IF($U272="","",$P272&amp;"|"&amp;RIGHT("000000"&amp;$U272,6))</f>
        <v/>
      </c>
      <c r="W272">
        <f>IF($T272="","",COUNTIFS(LdBGroup,$R272,LdBKey,"&lt;"&amp;$T272)+1)</f>
        <v/>
      </c>
      <c r="X272">
        <f>IF($W272="","",$R272&amp;"|"&amp;RIGHT("000000"&amp;$W272,6))</f>
        <v/>
      </c>
      <c r="Y272">
        <f>IF($P272="","",IF(Shares!$E275="",0,Shares!$E275))</f>
        <v/>
      </c>
      <c r="Z272">
        <f>IF($P272="","",Shares!$H275)</f>
        <v/>
      </c>
      <c r="AE272">
        <f>IF(OR(Sync!$S272="",Sync!$P272=""),"",Sync!$S272)</f>
        <v/>
      </c>
      <c r="AF272">
        <f>IF($AE272="","",IF(ISNUMBER(Sync!$P272),IF(AND(Sync!$P272&gt;=10000101,Sync!$P272&lt;=99991231),INT(Sync!$P272/10000),""),IFERROR(VALUE(TRIM(LEFT(Sync!$P272,FIND("/",Sync!$P272)-1))),"")))</f>
        <v/>
      </c>
      <c r="AG272">
        <f>IF(OR($AE272="",$AF272=""),"",IF(ISNUMBER(Sync!$P272),INT(MOD(Sync!$P272,10000)/100),IFERROR(VALUE(TRIM(LEFT(MID(Sync!$P272,FIND("/",Sync!$P272)+1,20),FIND("/",MID(Sync!$P272,FIND("/",Sync!$P272)+1,20))-1))),"")))</f>
        <v/>
      </c>
      <c r="AH272">
        <f>IF(OR($AE272="",$AF272=""),"",IF(ISNUMBER(Sync!$P272),MOD(Sync!$P272,100),IFERROR(VALUE(TRIM(MID(MID(Sync!$P272,FIND("/",Sync!$P272)+1,20),FIND("/",MID(Sync!$P272,FIND("/",Sync!$P272)+1,20))+1,20))),"")))</f>
        <v/>
      </c>
      <c r="AI272">
        <f>IF($AE272="","",IF(OR($AF272="",$AG272="",$AH272="",$AF272&lt;1300,$AF272&gt;1500,$AG272&lt;1,$AG272&gt;12,$AH272&lt;1,$AH272&gt;31),"نامعتبر",RIGHT("0000"&amp;$AF272,4)&amp;"/"&amp;RIGHT("00"&amp;$AG272,2)&amp;"/"&amp;RIGHT("00"&amp;$AH272,2)))</f>
        <v/>
      </c>
      <c r="AJ272">
        <f>IF($AE272="","",IF(Sync!$Q272="","0000",IF(AND(ISNUMBER(Sync!$Q272),Sync!$Q272&gt;=0,Sync!$Q272&lt;1),RIGHT("00"&amp;HOUR(Sync!$Q272),2)&amp;RIGHT("00"&amp;MINUTE(Sync!$Q272),2),IFERROR(RIGHT("00"&amp;VALUE(LEFT(Sync!$Q272,FIND(":",Sync!$Q272)-1)),2)&amp;RIGHT("00"&amp;VALUE(MID(Sync!$Q272,FIND(":",Sync!$Q272)+1,2)),2),"0000"))))</f>
        <v/>
      </c>
      <c r="AK272">
        <f>IF(OR($AE272="",$AI272="",$AI272="نامعتبر"),"",LEFT($AI272,4)&amp;MID($AI272,6,2)&amp;RIGHT($AI272,2)&amp;$AJ272&amp;"|"&amp;"3"&amp;RIGHT("00000"&amp;267,5))</f>
        <v/>
      </c>
      <c r="AL272">
        <f>IF($AK272="","",COUNTIFS(LdAParty,$AE272,LdAType,1,LdAKey,"&lt;"&amp;$AK272)+COUNTIFS(LdBMember,$AE272,LdBKey,"&lt;"&amp;$AK272)+COUNTIFS(LdCParty,$AE272,LdCKey,"&lt;"&amp;$AK272)+1)</f>
        <v/>
      </c>
      <c r="AM272">
        <f>IF($AL272="","",$AE272&amp;"|"&amp;RIGHT("000000"&amp;$AL272,6))</f>
        <v/>
      </c>
      <c r="AN272">
        <f>IF($AE272="","",IF(Sync!$W272="",0,Sync!$W272))</f>
        <v/>
      </c>
      <c r="AO272">
        <f>IF($AE272="","",IF(Sync!$X272="",0,Sync!$X272))</f>
        <v/>
      </c>
      <c r="AP272">
        <f>IF($AE272="","",Sync!$R272)</f>
        <v/>
      </c>
      <c r="AQ272">
        <f>IF($AE272="","",Sync!$Y272)</f>
        <v/>
      </c>
    </row>
    <row r="273">
      <c r="A273">
        <f>IF(OR(Wages!$B276="",Wages!$E276=""),"",Wages!$E276)</f>
        <v/>
      </c>
      <c r="B273">
        <f>IF($A273="","",IF(Wages!$C276="دستمزد گروهی",2,1))</f>
        <v/>
      </c>
      <c r="C273">
        <f>IF($A273="","",IF(ISNUMBER(Wages!$B276),IF(AND(Wages!$B276&gt;=10000101,Wages!$B276&lt;=99991231),INT(Wages!$B276/10000),""),IFERROR(VALUE(TRIM(LEFT(Wages!$B276,FIND("/",Wages!$B276)-1))),"")))</f>
        <v/>
      </c>
      <c r="D273">
        <f>IF(OR($A273="",$C273=""),"",IF(ISNUMBER(Wages!$B276),INT(MOD(Wages!$B276,10000)/100),IFERROR(VALUE(TRIM(LEFT(MID(Wages!$B276,FIND("/",Wages!$B276)+1,20),FIND("/",MID(Wages!$B276,FIND("/",Wages!$B276)+1,20))-1))),"")))</f>
        <v/>
      </c>
      <c r="E273">
        <f>IF(OR($A273="",$C273=""),"",IF(ISNUMBER(Wages!$B276),MOD(Wages!$B276,100),IFERROR(VALUE(TRIM(MID(MID(Wages!$B276,FIND("/",Wages!$B276)+1,20),FIND("/",MID(Wages!$B276,FIND("/",Wages!$B276)+1,20))+1,20))),"")))</f>
        <v/>
      </c>
      <c r="F273">
        <f>IF($A273="","",IF(OR($C273="",$D273="",$E273="",$C273&lt;1300,$C273&gt;1500,$D273&lt;1,$D273&gt;12,$E273&lt;1,$E273&gt;31),"نامعتبر",RIGHT("0000"&amp;$C273,4)&amp;"/"&amp;RIGHT("00"&amp;$D273,2)&amp;"/"&amp;RIGHT("00"&amp;$E273,2)))</f>
        <v/>
      </c>
      <c r="G273">
        <f>IF(OR($A273="",$F273="",$F273="نامعتبر"),"",LEFT($F273,4)&amp;MID($F273,6,2)&amp;RIGHT($F273,2)&amp;"0000"&amp;"|"&amp;"1"&amp;RIGHT("00000"&amp;268,5))</f>
        <v/>
      </c>
      <c r="H273">
        <f>IF(OR($B273&lt;&gt;1,$G273=""),"",COUNTIFS(LdAParty,$A273,LdAType,1,LdAKey,"&lt;"&amp;$G273)+COUNTIFS(LdBMember,$A273,LdBKey,"&lt;"&amp;$G273)+COUNTIFS(LdCParty,$A273,LdCKey,"&lt;"&amp;$G273)+1)</f>
        <v/>
      </c>
      <c r="I273">
        <f>IF($H273="","",$A273&amp;"|"&amp;RIGHT("000000"&amp;$H273,6))</f>
        <v/>
      </c>
      <c r="J273">
        <f>IF(OR($B273&lt;&gt;2,$G273=""),"",COUNTIFS(LdAParty,$A273,LdAType,2,LdAKey,"&lt;"&amp;$G273)+1)</f>
        <v/>
      </c>
      <c r="K273">
        <f>IF($J273="","",$A273&amp;"|"&amp;RIGHT("000000"&amp;$J273,6))</f>
        <v/>
      </c>
      <c r="L273">
        <f>IF($A273="","",IF(Wages!$G276="",0,Wages!$G276))</f>
        <v/>
      </c>
      <c r="M273">
        <f>IF($A273="","",Wages!$J276)</f>
        <v/>
      </c>
      <c r="N273">
        <f>IF($A273="","",Wages!$D276)</f>
        <v/>
      </c>
      <c r="P273">
        <f>IF(OR(Shares!$B276="",Shares!$C276=""),"",Shares!$C276)</f>
        <v/>
      </c>
      <c r="Q273">
        <f>IF($P273="","",Shares!$B276)</f>
        <v/>
      </c>
      <c r="R273">
        <f>IF($P273="","",IFERROR(INDEX(WageParty,MATCH($Q273,WageIds,0)),""))</f>
        <v/>
      </c>
      <c r="S273">
        <f>IF($P273="","",IFERROR(INDEX($F$6:$F$2005,MATCH($Q273,WageIds,0)),""))</f>
        <v/>
      </c>
      <c r="T273">
        <f>IF(OR($P273="",$S273="",$S273="نامعتبر"),"",LEFT($S273,4)&amp;MID($S273,6,2)&amp;RIGHT($S273,2)&amp;"0000"&amp;"|"&amp;"2"&amp;RIGHT("00000"&amp;268,5))</f>
        <v/>
      </c>
      <c r="U273">
        <f>IF($T273="","",COUNTIFS(LdAParty,$P273,LdAType,1,LdAKey,"&lt;"&amp;$T273)+COUNTIFS(LdBMember,$P273,LdBKey,"&lt;"&amp;$T273)+COUNTIFS(LdCParty,$P273,LdCKey,"&lt;"&amp;$T273)+1)</f>
        <v/>
      </c>
      <c r="V273">
        <f>IF($U273="","",$P273&amp;"|"&amp;RIGHT("000000"&amp;$U273,6))</f>
        <v/>
      </c>
      <c r="W273">
        <f>IF($T273="","",COUNTIFS(LdBGroup,$R273,LdBKey,"&lt;"&amp;$T273)+1)</f>
        <v/>
      </c>
      <c r="X273">
        <f>IF($W273="","",$R273&amp;"|"&amp;RIGHT("000000"&amp;$W273,6))</f>
        <v/>
      </c>
      <c r="Y273">
        <f>IF($P273="","",IF(Shares!$E276="",0,Shares!$E276))</f>
        <v/>
      </c>
      <c r="Z273">
        <f>IF($P273="","",Shares!$H276)</f>
        <v/>
      </c>
      <c r="AE273">
        <f>IF(OR(Sync!$S273="",Sync!$P273=""),"",Sync!$S273)</f>
        <v/>
      </c>
      <c r="AF273">
        <f>IF($AE273="","",IF(ISNUMBER(Sync!$P273),IF(AND(Sync!$P273&gt;=10000101,Sync!$P273&lt;=99991231),INT(Sync!$P273/10000),""),IFERROR(VALUE(TRIM(LEFT(Sync!$P273,FIND("/",Sync!$P273)-1))),"")))</f>
        <v/>
      </c>
      <c r="AG273">
        <f>IF(OR($AE273="",$AF273=""),"",IF(ISNUMBER(Sync!$P273),INT(MOD(Sync!$P273,10000)/100),IFERROR(VALUE(TRIM(LEFT(MID(Sync!$P273,FIND("/",Sync!$P273)+1,20),FIND("/",MID(Sync!$P273,FIND("/",Sync!$P273)+1,20))-1))),"")))</f>
        <v/>
      </c>
      <c r="AH273">
        <f>IF(OR($AE273="",$AF273=""),"",IF(ISNUMBER(Sync!$P273),MOD(Sync!$P273,100),IFERROR(VALUE(TRIM(MID(MID(Sync!$P273,FIND("/",Sync!$P273)+1,20),FIND("/",MID(Sync!$P273,FIND("/",Sync!$P273)+1,20))+1,20))),"")))</f>
        <v/>
      </c>
      <c r="AI273">
        <f>IF($AE273="","",IF(OR($AF273="",$AG273="",$AH273="",$AF273&lt;1300,$AF273&gt;1500,$AG273&lt;1,$AG273&gt;12,$AH273&lt;1,$AH273&gt;31),"نامعتبر",RIGHT("0000"&amp;$AF273,4)&amp;"/"&amp;RIGHT("00"&amp;$AG273,2)&amp;"/"&amp;RIGHT("00"&amp;$AH273,2)))</f>
        <v/>
      </c>
      <c r="AJ273">
        <f>IF($AE273="","",IF(Sync!$Q273="","0000",IF(AND(ISNUMBER(Sync!$Q273),Sync!$Q273&gt;=0,Sync!$Q273&lt;1),RIGHT("00"&amp;HOUR(Sync!$Q273),2)&amp;RIGHT("00"&amp;MINUTE(Sync!$Q273),2),IFERROR(RIGHT("00"&amp;VALUE(LEFT(Sync!$Q273,FIND(":",Sync!$Q273)-1)),2)&amp;RIGHT("00"&amp;VALUE(MID(Sync!$Q273,FIND(":",Sync!$Q273)+1,2)),2),"0000"))))</f>
        <v/>
      </c>
      <c r="AK273">
        <f>IF(OR($AE273="",$AI273="",$AI273="نامعتبر"),"",LEFT($AI273,4)&amp;MID($AI273,6,2)&amp;RIGHT($AI273,2)&amp;$AJ273&amp;"|"&amp;"3"&amp;RIGHT("00000"&amp;268,5))</f>
        <v/>
      </c>
      <c r="AL273">
        <f>IF($AK273="","",COUNTIFS(LdAParty,$AE273,LdAType,1,LdAKey,"&lt;"&amp;$AK273)+COUNTIFS(LdBMember,$AE273,LdBKey,"&lt;"&amp;$AK273)+COUNTIFS(LdCParty,$AE273,LdCKey,"&lt;"&amp;$AK273)+1)</f>
        <v/>
      </c>
      <c r="AM273">
        <f>IF($AL273="","",$AE273&amp;"|"&amp;RIGHT("000000"&amp;$AL273,6))</f>
        <v/>
      </c>
      <c r="AN273">
        <f>IF($AE273="","",IF(Sync!$W273="",0,Sync!$W273))</f>
        <v/>
      </c>
      <c r="AO273">
        <f>IF($AE273="","",IF(Sync!$X273="",0,Sync!$X273))</f>
        <v/>
      </c>
      <c r="AP273">
        <f>IF($AE273="","",Sync!$R273)</f>
        <v/>
      </c>
      <c r="AQ273">
        <f>IF($AE273="","",Sync!$Y273)</f>
        <v/>
      </c>
    </row>
    <row r="274">
      <c r="A274">
        <f>IF(OR(Wages!$B277="",Wages!$E277=""),"",Wages!$E277)</f>
        <v/>
      </c>
      <c r="B274">
        <f>IF($A274="","",IF(Wages!$C277="دستمزد گروهی",2,1))</f>
        <v/>
      </c>
      <c r="C274">
        <f>IF($A274="","",IF(ISNUMBER(Wages!$B277),IF(AND(Wages!$B277&gt;=10000101,Wages!$B277&lt;=99991231),INT(Wages!$B277/10000),""),IFERROR(VALUE(TRIM(LEFT(Wages!$B277,FIND("/",Wages!$B277)-1))),"")))</f>
        <v/>
      </c>
      <c r="D274">
        <f>IF(OR($A274="",$C274=""),"",IF(ISNUMBER(Wages!$B277),INT(MOD(Wages!$B277,10000)/100),IFERROR(VALUE(TRIM(LEFT(MID(Wages!$B277,FIND("/",Wages!$B277)+1,20),FIND("/",MID(Wages!$B277,FIND("/",Wages!$B277)+1,20))-1))),"")))</f>
        <v/>
      </c>
      <c r="E274">
        <f>IF(OR($A274="",$C274=""),"",IF(ISNUMBER(Wages!$B277),MOD(Wages!$B277,100),IFERROR(VALUE(TRIM(MID(MID(Wages!$B277,FIND("/",Wages!$B277)+1,20),FIND("/",MID(Wages!$B277,FIND("/",Wages!$B277)+1,20))+1,20))),"")))</f>
        <v/>
      </c>
      <c r="F274">
        <f>IF($A274="","",IF(OR($C274="",$D274="",$E274="",$C274&lt;1300,$C274&gt;1500,$D274&lt;1,$D274&gt;12,$E274&lt;1,$E274&gt;31),"نامعتبر",RIGHT("0000"&amp;$C274,4)&amp;"/"&amp;RIGHT("00"&amp;$D274,2)&amp;"/"&amp;RIGHT("00"&amp;$E274,2)))</f>
        <v/>
      </c>
      <c r="G274">
        <f>IF(OR($A274="",$F274="",$F274="نامعتبر"),"",LEFT($F274,4)&amp;MID($F274,6,2)&amp;RIGHT($F274,2)&amp;"0000"&amp;"|"&amp;"1"&amp;RIGHT("00000"&amp;269,5))</f>
        <v/>
      </c>
      <c r="H274">
        <f>IF(OR($B274&lt;&gt;1,$G274=""),"",COUNTIFS(LdAParty,$A274,LdAType,1,LdAKey,"&lt;"&amp;$G274)+COUNTIFS(LdBMember,$A274,LdBKey,"&lt;"&amp;$G274)+COUNTIFS(LdCParty,$A274,LdCKey,"&lt;"&amp;$G274)+1)</f>
        <v/>
      </c>
      <c r="I274">
        <f>IF($H274="","",$A274&amp;"|"&amp;RIGHT("000000"&amp;$H274,6))</f>
        <v/>
      </c>
      <c r="J274">
        <f>IF(OR($B274&lt;&gt;2,$G274=""),"",COUNTIFS(LdAParty,$A274,LdAType,2,LdAKey,"&lt;"&amp;$G274)+1)</f>
        <v/>
      </c>
      <c r="K274">
        <f>IF($J274="","",$A274&amp;"|"&amp;RIGHT("000000"&amp;$J274,6))</f>
        <v/>
      </c>
      <c r="L274">
        <f>IF($A274="","",IF(Wages!$G277="",0,Wages!$G277))</f>
        <v/>
      </c>
      <c r="M274">
        <f>IF($A274="","",Wages!$J277)</f>
        <v/>
      </c>
      <c r="N274">
        <f>IF($A274="","",Wages!$D277)</f>
        <v/>
      </c>
      <c r="P274">
        <f>IF(OR(Shares!$B277="",Shares!$C277=""),"",Shares!$C277)</f>
        <v/>
      </c>
      <c r="Q274">
        <f>IF($P274="","",Shares!$B277)</f>
        <v/>
      </c>
      <c r="R274">
        <f>IF($P274="","",IFERROR(INDEX(WageParty,MATCH($Q274,WageIds,0)),""))</f>
        <v/>
      </c>
      <c r="S274">
        <f>IF($P274="","",IFERROR(INDEX($F$6:$F$2005,MATCH($Q274,WageIds,0)),""))</f>
        <v/>
      </c>
      <c r="T274">
        <f>IF(OR($P274="",$S274="",$S274="نامعتبر"),"",LEFT($S274,4)&amp;MID($S274,6,2)&amp;RIGHT($S274,2)&amp;"0000"&amp;"|"&amp;"2"&amp;RIGHT("00000"&amp;269,5))</f>
        <v/>
      </c>
      <c r="U274">
        <f>IF($T274="","",COUNTIFS(LdAParty,$P274,LdAType,1,LdAKey,"&lt;"&amp;$T274)+COUNTIFS(LdBMember,$P274,LdBKey,"&lt;"&amp;$T274)+COUNTIFS(LdCParty,$P274,LdCKey,"&lt;"&amp;$T274)+1)</f>
        <v/>
      </c>
      <c r="V274">
        <f>IF($U274="","",$P274&amp;"|"&amp;RIGHT("000000"&amp;$U274,6))</f>
        <v/>
      </c>
      <c r="W274">
        <f>IF($T274="","",COUNTIFS(LdBGroup,$R274,LdBKey,"&lt;"&amp;$T274)+1)</f>
        <v/>
      </c>
      <c r="X274">
        <f>IF($W274="","",$R274&amp;"|"&amp;RIGHT("000000"&amp;$W274,6))</f>
        <v/>
      </c>
      <c r="Y274">
        <f>IF($P274="","",IF(Shares!$E277="",0,Shares!$E277))</f>
        <v/>
      </c>
      <c r="Z274">
        <f>IF($P274="","",Shares!$H277)</f>
        <v/>
      </c>
      <c r="AE274">
        <f>IF(OR(Sync!$S274="",Sync!$P274=""),"",Sync!$S274)</f>
        <v/>
      </c>
      <c r="AF274">
        <f>IF($AE274="","",IF(ISNUMBER(Sync!$P274),IF(AND(Sync!$P274&gt;=10000101,Sync!$P274&lt;=99991231),INT(Sync!$P274/10000),""),IFERROR(VALUE(TRIM(LEFT(Sync!$P274,FIND("/",Sync!$P274)-1))),"")))</f>
        <v/>
      </c>
      <c r="AG274">
        <f>IF(OR($AE274="",$AF274=""),"",IF(ISNUMBER(Sync!$P274),INT(MOD(Sync!$P274,10000)/100),IFERROR(VALUE(TRIM(LEFT(MID(Sync!$P274,FIND("/",Sync!$P274)+1,20),FIND("/",MID(Sync!$P274,FIND("/",Sync!$P274)+1,20))-1))),"")))</f>
        <v/>
      </c>
      <c r="AH274">
        <f>IF(OR($AE274="",$AF274=""),"",IF(ISNUMBER(Sync!$P274),MOD(Sync!$P274,100),IFERROR(VALUE(TRIM(MID(MID(Sync!$P274,FIND("/",Sync!$P274)+1,20),FIND("/",MID(Sync!$P274,FIND("/",Sync!$P274)+1,20))+1,20))),"")))</f>
        <v/>
      </c>
      <c r="AI274">
        <f>IF($AE274="","",IF(OR($AF274="",$AG274="",$AH274="",$AF274&lt;1300,$AF274&gt;1500,$AG274&lt;1,$AG274&gt;12,$AH274&lt;1,$AH274&gt;31),"نامعتبر",RIGHT("0000"&amp;$AF274,4)&amp;"/"&amp;RIGHT("00"&amp;$AG274,2)&amp;"/"&amp;RIGHT("00"&amp;$AH274,2)))</f>
        <v/>
      </c>
      <c r="AJ274">
        <f>IF($AE274="","",IF(Sync!$Q274="","0000",IF(AND(ISNUMBER(Sync!$Q274),Sync!$Q274&gt;=0,Sync!$Q274&lt;1),RIGHT("00"&amp;HOUR(Sync!$Q274),2)&amp;RIGHT("00"&amp;MINUTE(Sync!$Q274),2),IFERROR(RIGHT("00"&amp;VALUE(LEFT(Sync!$Q274,FIND(":",Sync!$Q274)-1)),2)&amp;RIGHT("00"&amp;VALUE(MID(Sync!$Q274,FIND(":",Sync!$Q274)+1,2)),2),"0000"))))</f>
        <v/>
      </c>
      <c r="AK274">
        <f>IF(OR($AE274="",$AI274="",$AI274="نامعتبر"),"",LEFT($AI274,4)&amp;MID($AI274,6,2)&amp;RIGHT($AI274,2)&amp;$AJ274&amp;"|"&amp;"3"&amp;RIGHT("00000"&amp;269,5))</f>
        <v/>
      </c>
      <c r="AL274">
        <f>IF($AK274="","",COUNTIFS(LdAParty,$AE274,LdAType,1,LdAKey,"&lt;"&amp;$AK274)+COUNTIFS(LdBMember,$AE274,LdBKey,"&lt;"&amp;$AK274)+COUNTIFS(LdCParty,$AE274,LdCKey,"&lt;"&amp;$AK274)+1)</f>
        <v/>
      </c>
      <c r="AM274">
        <f>IF($AL274="","",$AE274&amp;"|"&amp;RIGHT("000000"&amp;$AL274,6))</f>
        <v/>
      </c>
      <c r="AN274">
        <f>IF($AE274="","",IF(Sync!$W274="",0,Sync!$W274))</f>
        <v/>
      </c>
      <c r="AO274">
        <f>IF($AE274="","",IF(Sync!$X274="",0,Sync!$X274))</f>
        <v/>
      </c>
      <c r="AP274">
        <f>IF($AE274="","",Sync!$R274)</f>
        <v/>
      </c>
      <c r="AQ274">
        <f>IF($AE274="","",Sync!$Y274)</f>
        <v/>
      </c>
    </row>
    <row r="275">
      <c r="A275">
        <f>IF(OR(Wages!$B278="",Wages!$E278=""),"",Wages!$E278)</f>
        <v/>
      </c>
      <c r="B275">
        <f>IF($A275="","",IF(Wages!$C278="دستمزد گروهی",2,1))</f>
        <v/>
      </c>
      <c r="C275">
        <f>IF($A275="","",IF(ISNUMBER(Wages!$B278),IF(AND(Wages!$B278&gt;=10000101,Wages!$B278&lt;=99991231),INT(Wages!$B278/10000),""),IFERROR(VALUE(TRIM(LEFT(Wages!$B278,FIND("/",Wages!$B278)-1))),"")))</f>
        <v/>
      </c>
      <c r="D275">
        <f>IF(OR($A275="",$C275=""),"",IF(ISNUMBER(Wages!$B278),INT(MOD(Wages!$B278,10000)/100),IFERROR(VALUE(TRIM(LEFT(MID(Wages!$B278,FIND("/",Wages!$B278)+1,20),FIND("/",MID(Wages!$B278,FIND("/",Wages!$B278)+1,20))-1))),"")))</f>
        <v/>
      </c>
      <c r="E275">
        <f>IF(OR($A275="",$C275=""),"",IF(ISNUMBER(Wages!$B278),MOD(Wages!$B278,100),IFERROR(VALUE(TRIM(MID(MID(Wages!$B278,FIND("/",Wages!$B278)+1,20),FIND("/",MID(Wages!$B278,FIND("/",Wages!$B278)+1,20))+1,20))),"")))</f>
        <v/>
      </c>
      <c r="F275">
        <f>IF($A275="","",IF(OR($C275="",$D275="",$E275="",$C275&lt;1300,$C275&gt;1500,$D275&lt;1,$D275&gt;12,$E275&lt;1,$E275&gt;31),"نامعتبر",RIGHT("0000"&amp;$C275,4)&amp;"/"&amp;RIGHT("00"&amp;$D275,2)&amp;"/"&amp;RIGHT("00"&amp;$E275,2)))</f>
        <v/>
      </c>
      <c r="G275">
        <f>IF(OR($A275="",$F275="",$F275="نامعتبر"),"",LEFT($F275,4)&amp;MID($F275,6,2)&amp;RIGHT($F275,2)&amp;"0000"&amp;"|"&amp;"1"&amp;RIGHT("00000"&amp;270,5))</f>
        <v/>
      </c>
      <c r="H275">
        <f>IF(OR($B275&lt;&gt;1,$G275=""),"",COUNTIFS(LdAParty,$A275,LdAType,1,LdAKey,"&lt;"&amp;$G275)+COUNTIFS(LdBMember,$A275,LdBKey,"&lt;"&amp;$G275)+COUNTIFS(LdCParty,$A275,LdCKey,"&lt;"&amp;$G275)+1)</f>
        <v/>
      </c>
      <c r="I275">
        <f>IF($H275="","",$A275&amp;"|"&amp;RIGHT("000000"&amp;$H275,6))</f>
        <v/>
      </c>
      <c r="J275">
        <f>IF(OR($B275&lt;&gt;2,$G275=""),"",COUNTIFS(LdAParty,$A275,LdAType,2,LdAKey,"&lt;"&amp;$G275)+1)</f>
        <v/>
      </c>
      <c r="K275">
        <f>IF($J275="","",$A275&amp;"|"&amp;RIGHT("000000"&amp;$J275,6))</f>
        <v/>
      </c>
      <c r="L275">
        <f>IF($A275="","",IF(Wages!$G278="",0,Wages!$G278))</f>
        <v/>
      </c>
      <c r="M275">
        <f>IF($A275="","",Wages!$J278)</f>
        <v/>
      </c>
      <c r="N275">
        <f>IF($A275="","",Wages!$D278)</f>
        <v/>
      </c>
      <c r="P275">
        <f>IF(OR(Shares!$B278="",Shares!$C278=""),"",Shares!$C278)</f>
        <v/>
      </c>
      <c r="Q275">
        <f>IF($P275="","",Shares!$B278)</f>
        <v/>
      </c>
      <c r="R275">
        <f>IF($P275="","",IFERROR(INDEX(WageParty,MATCH($Q275,WageIds,0)),""))</f>
        <v/>
      </c>
      <c r="S275">
        <f>IF($P275="","",IFERROR(INDEX($F$6:$F$2005,MATCH($Q275,WageIds,0)),""))</f>
        <v/>
      </c>
      <c r="T275">
        <f>IF(OR($P275="",$S275="",$S275="نامعتبر"),"",LEFT($S275,4)&amp;MID($S275,6,2)&amp;RIGHT($S275,2)&amp;"0000"&amp;"|"&amp;"2"&amp;RIGHT("00000"&amp;270,5))</f>
        <v/>
      </c>
      <c r="U275">
        <f>IF($T275="","",COUNTIFS(LdAParty,$P275,LdAType,1,LdAKey,"&lt;"&amp;$T275)+COUNTIFS(LdBMember,$P275,LdBKey,"&lt;"&amp;$T275)+COUNTIFS(LdCParty,$P275,LdCKey,"&lt;"&amp;$T275)+1)</f>
        <v/>
      </c>
      <c r="V275">
        <f>IF($U275="","",$P275&amp;"|"&amp;RIGHT("000000"&amp;$U275,6))</f>
        <v/>
      </c>
      <c r="W275">
        <f>IF($T275="","",COUNTIFS(LdBGroup,$R275,LdBKey,"&lt;"&amp;$T275)+1)</f>
        <v/>
      </c>
      <c r="X275">
        <f>IF($W275="","",$R275&amp;"|"&amp;RIGHT("000000"&amp;$W275,6))</f>
        <v/>
      </c>
      <c r="Y275">
        <f>IF($P275="","",IF(Shares!$E278="",0,Shares!$E278))</f>
        <v/>
      </c>
      <c r="Z275">
        <f>IF($P275="","",Shares!$H278)</f>
        <v/>
      </c>
      <c r="AE275">
        <f>IF(OR(Sync!$S275="",Sync!$P275=""),"",Sync!$S275)</f>
        <v/>
      </c>
      <c r="AF275">
        <f>IF($AE275="","",IF(ISNUMBER(Sync!$P275),IF(AND(Sync!$P275&gt;=10000101,Sync!$P275&lt;=99991231),INT(Sync!$P275/10000),""),IFERROR(VALUE(TRIM(LEFT(Sync!$P275,FIND("/",Sync!$P275)-1))),"")))</f>
        <v/>
      </c>
      <c r="AG275">
        <f>IF(OR($AE275="",$AF275=""),"",IF(ISNUMBER(Sync!$P275),INT(MOD(Sync!$P275,10000)/100),IFERROR(VALUE(TRIM(LEFT(MID(Sync!$P275,FIND("/",Sync!$P275)+1,20),FIND("/",MID(Sync!$P275,FIND("/",Sync!$P275)+1,20))-1))),"")))</f>
        <v/>
      </c>
      <c r="AH275">
        <f>IF(OR($AE275="",$AF275=""),"",IF(ISNUMBER(Sync!$P275),MOD(Sync!$P275,100),IFERROR(VALUE(TRIM(MID(MID(Sync!$P275,FIND("/",Sync!$P275)+1,20),FIND("/",MID(Sync!$P275,FIND("/",Sync!$P275)+1,20))+1,20))),"")))</f>
        <v/>
      </c>
      <c r="AI275">
        <f>IF($AE275="","",IF(OR($AF275="",$AG275="",$AH275="",$AF275&lt;1300,$AF275&gt;1500,$AG275&lt;1,$AG275&gt;12,$AH275&lt;1,$AH275&gt;31),"نامعتبر",RIGHT("0000"&amp;$AF275,4)&amp;"/"&amp;RIGHT("00"&amp;$AG275,2)&amp;"/"&amp;RIGHT("00"&amp;$AH275,2)))</f>
        <v/>
      </c>
      <c r="AJ275">
        <f>IF($AE275="","",IF(Sync!$Q275="","0000",IF(AND(ISNUMBER(Sync!$Q275),Sync!$Q275&gt;=0,Sync!$Q275&lt;1),RIGHT("00"&amp;HOUR(Sync!$Q275),2)&amp;RIGHT("00"&amp;MINUTE(Sync!$Q275),2),IFERROR(RIGHT("00"&amp;VALUE(LEFT(Sync!$Q275,FIND(":",Sync!$Q275)-1)),2)&amp;RIGHT("00"&amp;VALUE(MID(Sync!$Q275,FIND(":",Sync!$Q275)+1,2)),2),"0000"))))</f>
        <v/>
      </c>
      <c r="AK275">
        <f>IF(OR($AE275="",$AI275="",$AI275="نامعتبر"),"",LEFT($AI275,4)&amp;MID($AI275,6,2)&amp;RIGHT($AI275,2)&amp;$AJ275&amp;"|"&amp;"3"&amp;RIGHT("00000"&amp;270,5))</f>
        <v/>
      </c>
      <c r="AL275">
        <f>IF($AK275="","",COUNTIFS(LdAParty,$AE275,LdAType,1,LdAKey,"&lt;"&amp;$AK275)+COUNTIFS(LdBMember,$AE275,LdBKey,"&lt;"&amp;$AK275)+COUNTIFS(LdCParty,$AE275,LdCKey,"&lt;"&amp;$AK275)+1)</f>
        <v/>
      </c>
      <c r="AM275">
        <f>IF($AL275="","",$AE275&amp;"|"&amp;RIGHT("000000"&amp;$AL275,6))</f>
        <v/>
      </c>
      <c r="AN275">
        <f>IF($AE275="","",IF(Sync!$W275="",0,Sync!$W275))</f>
        <v/>
      </c>
      <c r="AO275">
        <f>IF($AE275="","",IF(Sync!$X275="",0,Sync!$X275))</f>
        <v/>
      </c>
      <c r="AP275">
        <f>IF($AE275="","",Sync!$R275)</f>
        <v/>
      </c>
      <c r="AQ275">
        <f>IF($AE275="","",Sync!$Y275)</f>
        <v/>
      </c>
    </row>
    <row r="276">
      <c r="A276">
        <f>IF(OR(Wages!$B279="",Wages!$E279=""),"",Wages!$E279)</f>
        <v/>
      </c>
      <c r="B276">
        <f>IF($A276="","",IF(Wages!$C279="دستمزد گروهی",2,1))</f>
        <v/>
      </c>
      <c r="C276">
        <f>IF($A276="","",IF(ISNUMBER(Wages!$B279),IF(AND(Wages!$B279&gt;=10000101,Wages!$B279&lt;=99991231),INT(Wages!$B279/10000),""),IFERROR(VALUE(TRIM(LEFT(Wages!$B279,FIND("/",Wages!$B279)-1))),"")))</f>
        <v/>
      </c>
      <c r="D276">
        <f>IF(OR($A276="",$C276=""),"",IF(ISNUMBER(Wages!$B279),INT(MOD(Wages!$B279,10000)/100),IFERROR(VALUE(TRIM(LEFT(MID(Wages!$B279,FIND("/",Wages!$B279)+1,20),FIND("/",MID(Wages!$B279,FIND("/",Wages!$B279)+1,20))-1))),"")))</f>
        <v/>
      </c>
      <c r="E276">
        <f>IF(OR($A276="",$C276=""),"",IF(ISNUMBER(Wages!$B279),MOD(Wages!$B279,100),IFERROR(VALUE(TRIM(MID(MID(Wages!$B279,FIND("/",Wages!$B279)+1,20),FIND("/",MID(Wages!$B279,FIND("/",Wages!$B279)+1,20))+1,20))),"")))</f>
        <v/>
      </c>
      <c r="F276">
        <f>IF($A276="","",IF(OR($C276="",$D276="",$E276="",$C276&lt;1300,$C276&gt;1500,$D276&lt;1,$D276&gt;12,$E276&lt;1,$E276&gt;31),"نامعتبر",RIGHT("0000"&amp;$C276,4)&amp;"/"&amp;RIGHT("00"&amp;$D276,2)&amp;"/"&amp;RIGHT("00"&amp;$E276,2)))</f>
        <v/>
      </c>
      <c r="G276">
        <f>IF(OR($A276="",$F276="",$F276="نامعتبر"),"",LEFT($F276,4)&amp;MID($F276,6,2)&amp;RIGHT($F276,2)&amp;"0000"&amp;"|"&amp;"1"&amp;RIGHT("00000"&amp;271,5))</f>
        <v/>
      </c>
      <c r="H276">
        <f>IF(OR($B276&lt;&gt;1,$G276=""),"",COUNTIFS(LdAParty,$A276,LdAType,1,LdAKey,"&lt;"&amp;$G276)+COUNTIFS(LdBMember,$A276,LdBKey,"&lt;"&amp;$G276)+COUNTIFS(LdCParty,$A276,LdCKey,"&lt;"&amp;$G276)+1)</f>
        <v/>
      </c>
      <c r="I276">
        <f>IF($H276="","",$A276&amp;"|"&amp;RIGHT("000000"&amp;$H276,6))</f>
        <v/>
      </c>
      <c r="J276">
        <f>IF(OR($B276&lt;&gt;2,$G276=""),"",COUNTIFS(LdAParty,$A276,LdAType,2,LdAKey,"&lt;"&amp;$G276)+1)</f>
        <v/>
      </c>
      <c r="K276">
        <f>IF($J276="","",$A276&amp;"|"&amp;RIGHT("000000"&amp;$J276,6))</f>
        <v/>
      </c>
      <c r="L276">
        <f>IF($A276="","",IF(Wages!$G279="",0,Wages!$G279))</f>
        <v/>
      </c>
      <c r="M276">
        <f>IF($A276="","",Wages!$J279)</f>
        <v/>
      </c>
      <c r="N276">
        <f>IF($A276="","",Wages!$D279)</f>
        <v/>
      </c>
      <c r="P276">
        <f>IF(OR(Shares!$B279="",Shares!$C279=""),"",Shares!$C279)</f>
        <v/>
      </c>
      <c r="Q276">
        <f>IF($P276="","",Shares!$B279)</f>
        <v/>
      </c>
      <c r="R276">
        <f>IF($P276="","",IFERROR(INDEX(WageParty,MATCH($Q276,WageIds,0)),""))</f>
        <v/>
      </c>
      <c r="S276">
        <f>IF($P276="","",IFERROR(INDEX($F$6:$F$2005,MATCH($Q276,WageIds,0)),""))</f>
        <v/>
      </c>
      <c r="T276">
        <f>IF(OR($P276="",$S276="",$S276="نامعتبر"),"",LEFT($S276,4)&amp;MID($S276,6,2)&amp;RIGHT($S276,2)&amp;"0000"&amp;"|"&amp;"2"&amp;RIGHT("00000"&amp;271,5))</f>
        <v/>
      </c>
      <c r="U276">
        <f>IF($T276="","",COUNTIFS(LdAParty,$P276,LdAType,1,LdAKey,"&lt;"&amp;$T276)+COUNTIFS(LdBMember,$P276,LdBKey,"&lt;"&amp;$T276)+COUNTIFS(LdCParty,$P276,LdCKey,"&lt;"&amp;$T276)+1)</f>
        <v/>
      </c>
      <c r="V276">
        <f>IF($U276="","",$P276&amp;"|"&amp;RIGHT("000000"&amp;$U276,6))</f>
        <v/>
      </c>
      <c r="W276">
        <f>IF($T276="","",COUNTIFS(LdBGroup,$R276,LdBKey,"&lt;"&amp;$T276)+1)</f>
        <v/>
      </c>
      <c r="X276">
        <f>IF($W276="","",$R276&amp;"|"&amp;RIGHT("000000"&amp;$W276,6))</f>
        <v/>
      </c>
      <c r="Y276">
        <f>IF($P276="","",IF(Shares!$E279="",0,Shares!$E279))</f>
        <v/>
      </c>
      <c r="Z276">
        <f>IF($P276="","",Shares!$H279)</f>
        <v/>
      </c>
      <c r="AE276">
        <f>IF(OR(Sync!$S276="",Sync!$P276=""),"",Sync!$S276)</f>
        <v/>
      </c>
      <c r="AF276">
        <f>IF($AE276="","",IF(ISNUMBER(Sync!$P276),IF(AND(Sync!$P276&gt;=10000101,Sync!$P276&lt;=99991231),INT(Sync!$P276/10000),""),IFERROR(VALUE(TRIM(LEFT(Sync!$P276,FIND("/",Sync!$P276)-1))),"")))</f>
        <v/>
      </c>
      <c r="AG276">
        <f>IF(OR($AE276="",$AF276=""),"",IF(ISNUMBER(Sync!$P276),INT(MOD(Sync!$P276,10000)/100),IFERROR(VALUE(TRIM(LEFT(MID(Sync!$P276,FIND("/",Sync!$P276)+1,20),FIND("/",MID(Sync!$P276,FIND("/",Sync!$P276)+1,20))-1))),"")))</f>
        <v/>
      </c>
      <c r="AH276">
        <f>IF(OR($AE276="",$AF276=""),"",IF(ISNUMBER(Sync!$P276),MOD(Sync!$P276,100),IFERROR(VALUE(TRIM(MID(MID(Sync!$P276,FIND("/",Sync!$P276)+1,20),FIND("/",MID(Sync!$P276,FIND("/",Sync!$P276)+1,20))+1,20))),"")))</f>
        <v/>
      </c>
      <c r="AI276">
        <f>IF($AE276="","",IF(OR($AF276="",$AG276="",$AH276="",$AF276&lt;1300,$AF276&gt;1500,$AG276&lt;1,$AG276&gt;12,$AH276&lt;1,$AH276&gt;31),"نامعتبر",RIGHT("0000"&amp;$AF276,4)&amp;"/"&amp;RIGHT("00"&amp;$AG276,2)&amp;"/"&amp;RIGHT("00"&amp;$AH276,2)))</f>
        <v/>
      </c>
      <c r="AJ276">
        <f>IF($AE276="","",IF(Sync!$Q276="","0000",IF(AND(ISNUMBER(Sync!$Q276),Sync!$Q276&gt;=0,Sync!$Q276&lt;1),RIGHT("00"&amp;HOUR(Sync!$Q276),2)&amp;RIGHT("00"&amp;MINUTE(Sync!$Q276),2),IFERROR(RIGHT("00"&amp;VALUE(LEFT(Sync!$Q276,FIND(":",Sync!$Q276)-1)),2)&amp;RIGHT("00"&amp;VALUE(MID(Sync!$Q276,FIND(":",Sync!$Q276)+1,2)),2),"0000"))))</f>
        <v/>
      </c>
      <c r="AK276">
        <f>IF(OR($AE276="",$AI276="",$AI276="نامعتبر"),"",LEFT($AI276,4)&amp;MID($AI276,6,2)&amp;RIGHT($AI276,2)&amp;$AJ276&amp;"|"&amp;"3"&amp;RIGHT("00000"&amp;271,5))</f>
        <v/>
      </c>
      <c r="AL276">
        <f>IF($AK276="","",COUNTIFS(LdAParty,$AE276,LdAType,1,LdAKey,"&lt;"&amp;$AK276)+COUNTIFS(LdBMember,$AE276,LdBKey,"&lt;"&amp;$AK276)+COUNTIFS(LdCParty,$AE276,LdCKey,"&lt;"&amp;$AK276)+1)</f>
        <v/>
      </c>
      <c r="AM276">
        <f>IF($AL276="","",$AE276&amp;"|"&amp;RIGHT("000000"&amp;$AL276,6))</f>
        <v/>
      </c>
      <c r="AN276">
        <f>IF($AE276="","",IF(Sync!$W276="",0,Sync!$W276))</f>
        <v/>
      </c>
      <c r="AO276">
        <f>IF($AE276="","",IF(Sync!$X276="",0,Sync!$X276))</f>
        <v/>
      </c>
      <c r="AP276">
        <f>IF($AE276="","",Sync!$R276)</f>
        <v/>
      </c>
      <c r="AQ276">
        <f>IF($AE276="","",Sync!$Y276)</f>
        <v/>
      </c>
    </row>
    <row r="277">
      <c r="A277">
        <f>IF(OR(Wages!$B280="",Wages!$E280=""),"",Wages!$E280)</f>
        <v/>
      </c>
      <c r="B277">
        <f>IF($A277="","",IF(Wages!$C280="دستمزد گروهی",2,1))</f>
        <v/>
      </c>
      <c r="C277">
        <f>IF($A277="","",IF(ISNUMBER(Wages!$B280),IF(AND(Wages!$B280&gt;=10000101,Wages!$B280&lt;=99991231),INT(Wages!$B280/10000),""),IFERROR(VALUE(TRIM(LEFT(Wages!$B280,FIND("/",Wages!$B280)-1))),"")))</f>
        <v/>
      </c>
      <c r="D277">
        <f>IF(OR($A277="",$C277=""),"",IF(ISNUMBER(Wages!$B280),INT(MOD(Wages!$B280,10000)/100),IFERROR(VALUE(TRIM(LEFT(MID(Wages!$B280,FIND("/",Wages!$B280)+1,20),FIND("/",MID(Wages!$B280,FIND("/",Wages!$B280)+1,20))-1))),"")))</f>
        <v/>
      </c>
      <c r="E277">
        <f>IF(OR($A277="",$C277=""),"",IF(ISNUMBER(Wages!$B280),MOD(Wages!$B280,100),IFERROR(VALUE(TRIM(MID(MID(Wages!$B280,FIND("/",Wages!$B280)+1,20),FIND("/",MID(Wages!$B280,FIND("/",Wages!$B280)+1,20))+1,20))),"")))</f>
        <v/>
      </c>
      <c r="F277">
        <f>IF($A277="","",IF(OR($C277="",$D277="",$E277="",$C277&lt;1300,$C277&gt;1500,$D277&lt;1,$D277&gt;12,$E277&lt;1,$E277&gt;31),"نامعتبر",RIGHT("0000"&amp;$C277,4)&amp;"/"&amp;RIGHT("00"&amp;$D277,2)&amp;"/"&amp;RIGHT("00"&amp;$E277,2)))</f>
        <v/>
      </c>
      <c r="G277">
        <f>IF(OR($A277="",$F277="",$F277="نامعتبر"),"",LEFT($F277,4)&amp;MID($F277,6,2)&amp;RIGHT($F277,2)&amp;"0000"&amp;"|"&amp;"1"&amp;RIGHT("00000"&amp;272,5))</f>
        <v/>
      </c>
      <c r="H277">
        <f>IF(OR($B277&lt;&gt;1,$G277=""),"",COUNTIFS(LdAParty,$A277,LdAType,1,LdAKey,"&lt;"&amp;$G277)+COUNTIFS(LdBMember,$A277,LdBKey,"&lt;"&amp;$G277)+COUNTIFS(LdCParty,$A277,LdCKey,"&lt;"&amp;$G277)+1)</f>
        <v/>
      </c>
      <c r="I277">
        <f>IF($H277="","",$A277&amp;"|"&amp;RIGHT("000000"&amp;$H277,6))</f>
        <v/>
      </c>
      <c r="J277">
        <f>IF(OR($B277&lt;&gt;2,$G277=""),"",COUNTIFS(LdAParty,$A277,LdAType,2,LdAKey,"&lt;"&amp;$G277)+1)</f>
        <v/>
      </c>
      <c r="K277">
        <f>IF($J277="","",$A277&amp;"|"&amp;RIGHT("000000"&amp;$J277,6))</f>
        <v/>
      </c>
      <c r="L277">
        <f>IF($A277="","",IF(Wages!$G280="",0,Wages!$G280))</f>
        <v/>
      </c>
      <c r="M277">
        <f>IF($A277="","",Wages!$J280)</f>
        <v/>
      </c>
      <c r="N277">
        <f>IF($A277="","",Wages!$D280)</f>
        <v/>
      </c>
      <c r="P277">
        <f>IF(OR(Shares!$B280="",Shares!$C280=""),"",Shares!$C280)</f>
        <v/>
      </c>
      <c r="Q277">
        <f>IF($P277="","",Shares!$B280)</f>
        <v/>
      </c>
      <c r="R277">
        <f>IF($P277="","",IFERROR(INDEX(WageParty,MATCH($Q277,WageIds,0)),""))</f>
        <v/>
      </c>
      <c r="S277">
        <f>IF($P277="","",IFERROR(INDEX($F$6:$F$2005,MATCH($Q277,WageIds,0)),""))</f>
        <v/>
      </c>
      <c r="T277">
        <f>IF(OR($P277="",$S277="",$S277="نامعتبر"),"",LEFT($S277,4)&amp;MID($S277,6,2)&amp;RIGHT($S277,2)&amp;"0000"&amp;"|"&amp;"2"&amp;RIGHT("00000"&amp;272,5))</f>
        <v/>
      </c>
      <c r="U277">
        <f>IF($T277="","",COUNTIFS(LdAParty,$P277,LdAType,1,LdAKey,"&lt;"&amp;$T277)+COUNTIFS(LdBMember,$P277,LdBKey,"&lt;"&amp;$T277)+COUNTIFS(LdCParty,$P277,LdCKey,"&lt;"&amp;$T277)+1)</f>
        <v/>
      </c>
      <c r="V277">
        <f>IF($U277="","",$P277&amp;"|"&amp;RIGHT("000000"&amp;$U277,6))</f>
        <v/>
      </c>
      <c r="W277">
        <f>IF($T277="","",COUNTIFS(LdBGroup,$R277,LdBKey,"&lt;"&amp;$T277)+1)</f>
        <v/>
      </c>
      <c r="X277">
        <f>IF($W277="","",$R277&amp;"|"&amp;RIGHT("000000"&amp;$W277,6))</f>
        <v/>
      </c>
      <c r="Y277">
        <f>IF($P277="","",IF(Shares!$E280="",0,Shares!$E280))</f>
        <v/>
      </c>
      <c r="Z277">
        <f>IF($P277="","",Shares!$H280)</f>
        <v/>
      </c>
      <c r="AE277">
        <f>IF(OR(Sync!$S277="",Sync!$P277=""),"",Sync!$S277)</f>
        <v/>
      </c>
      <c r="AF277">
        <f>IF($AE277="","",IF(ISNUMBER(Sync!$P277),IF(AND(Sync!$P277&gt;=10000101,Sync!$P277&lt;=99991231),INT(Sync!$P277/10000),""),IFERROR(VALUE(TRIM(LEFT(Sync!$P277,FIND("/",Sync!$P277)-1))),"")))</f>
        <v/>
      </c>
      <c r="AG277">
        <f>IF(OR($AE277="",$AF277=""),"",IF(ISNUMBER(Sync!$P277),INT(MOD(Sync!$P277,10000)/100),IFERROR(VALUE(TRIM(LEFT(MID(Sync!$P277,FIND("/",Sync!$P277)+1,20),FIND("/",MID(Sync!$P277,FIND("/",Sync!$P277)+1,20))-1))),"")))</f>
        <v/>
      </c>
      <c r="AH277">
        <f>IF(OR($AE277="",$AF277=""),"",IF(ISNUMBER(Sync!$P277),MOD(Sync!$P277,100),IFERROR(VALUE(TRIM(MID(MID(Sync!$P277,FIND("/",Sync!$P277)+1,20),FIND("/",MID(Sync!$P277,FIND("/",Sync!$P277)+1,20))+1,20))),"")))</f>
        <v/>
      </c>
      <c r="AI277">
        <f>IF($AE277="","",IF(OR($AF277="",$AG277="",$AH277="",$AF277&lt;1300,$AF277&gt;1500,$AG277&lt;1,$AG277&gt;12,$AH277&lt;1,$AH277&gt;31),"نامعتبر",RIGHT("0000"&amp;$AF277,4)&amp;"/"&amp;RIGHT("00"&amp;$AG277,2)&amp;"/"&amp;RIGHT("00"&amp;$AH277,2)))</f>
        <v/>
      </c>
      <c r="AJ277">
        <f>IF($AE277="","",IF(Sync!$Q277="","0000",IF(AND(ISNUMBER(Sync!$Q277),Sync!$Q277&gt;=0,Sync!$Q277&lt;1),RIGHT("00"&amp;HOUR(Sync!$Q277),2)&amp;RIGHT("00"&amp;MINUTE(Sync!$Q277),2),IFERROR(RIGHT("00"&amp;VALUE(LEFT(Sync!$Q277,FIND(":",Sync!$Q277)-1)),2)&amp;RIGHT("00"&amp;VALUE(MID(Sync!$Q277,FIND(":",Sync!$Q277)+1,2)),2),"0000"))))</f>
        <v/>
      </c>
      <c r="AK277">
        <f>IF(OR($AE277="",$AI277="",$AI277="نامعتبر"),"",LEFT($AI277,4)&amp;MID($AI277,6,2)&amp;RIGHT($AI277,2)&amp;$AJ277&amp;"|"&amp;"3"&amp;RIGHT("00000"&amp;272,5))</f>
        <v/>
      </c>
      <c r="AL277">
        <f>IF($AK277="","",COUNTIFS(LdAParty,$AE277,LdAType,1,LdAKey,"&lt;"&amp;$AK277)+COUNTIFS(LdBMember,$AE277,LdBKey,"&lt;"&amp;$AK277)+COUNTIFS(LdCParty,$AE277,LdCKey,"&lt;"&amp;$AK277)+1)</f>
        <v/>
      </c>
      <c r="AM277">
        <f>IF($AL277="","",$AE277&amp;"|"&amp;RIGHT("000000"&amp;$AL277,6))</f>
        <v/>
      </c>
      <c r="AN277">
        <f>IF($AE277="","",IF(Sync!$W277="",0,Sync!$W277))</f>
        <v/>
      </c>
      <c r="AO277">
        <f>IF($AE277="","",IF(Sync!$X277="",0,Sync!$X277))</f>
        <v/>
      </c>
      <c r="AP277">
        <f>IF($AE277="","",Sync!$R277)</f>
        <v/>
      </c>
      <c r="AQ277">
        <f>IF($AE277="","",Sync!$Y277)</f>
        <v/>
      </c>
    </row>
    <row r="278">
      <c r="A278">
        <f>IF(OR(Wages!$B281="",Wages!$E281=""),"",Wages!$E281)</f>
        <v/>
      </c>
      <c r="B278">
        <f>IF($A278="","",IF(Wages!$C281="دستمزد گروهی",2,1))</f>
        <v/>
      </c>
      <c r="C278">
        <f>IF($A278="","",IF(ISNUMBER(Wages!$B281),IF(AND(Wages!$B281&gt;=10000101,Wages!$B281&lt;=99991231),INT(Wages!$B281/10000),""),IFERROR(VALUE(TRIM(LEFT(Wages!$B281,FIND("/",Wages!$B281)-1))),"")))</f>
        <v/>
      </c>
      <c r="D278">
        <f>IF(OR($A278="",$C278=""),"",IF(ISNUMBER(Wages!$B281),INT(MOD(Wages!$B281,10000)/100),IFERROR(VALUE(TRIM(LEFT(MID(Wages!$B281,FIND("/",Wages!$B281)+1,20),FIND("/",MID(Wages!$B281,FIND("/",Wages!$B281)+1,20))-1))),"")))</f>
        <v/>
      </c>
      <c r="E278">
        <f>IF(OR($A278="",$C278=""),"",IF(ISNUMBER(Wages!$B281),MOD(Wages!$B281,100),IFERROR(VALUE(TRIM(MID(MID(Wages!$B281,FIND("/",Wages!$B281)+1,20),FIND("/",MID(Wages!$B281,FIND("/",Wages!$B281)+1,20))+1,20))),"")))</f>
        <v/>
      </c>
      <c r="F278">
        <f>IF($A278="","",IF(OR($C278="",$D278="",$E278="",$C278&lt;1300,$C278&gt;1500,$D278&lt;1,$D278&gt;12,$E278&lt;1,$E278&gt;31),"نامعتبر",RIGHT("0000"&amp;$C278,4)&amp;"/"&amp;RIGHT("00"&amp;$D278,2)&amp;"/"&amp;RIGHT("00"&amp;$E278,2)))</f>
        <v/>
      </c>
      <c r="G278">
        <f>IF(OR($A278="",$F278="",$F278="نامعتبر"),"",LEFT($F278,4)&amp;MID($F278,6,2)&amp;RIGHT($F278,2)&amp;"0000"&amp;"|"&amp;"1"&amp;RIGHT("00000"&amp;273,5))</f>
        <v/>
      </c>
      <c r="H278">
        <f>IF(OR($B278&lt;&gt;1,$G278=""),"",COUNTIFS(LdAParty,$A278,LdAType,1,LdAKey,"&lt;"&amp;$G278)+COUNTIFS(LdBMember,$A278,LdBKey,"&lt;"&amp;$G278)+COUNTIFS(LdCParty,$A278,LdCKey,"&lt;"&amp;$G278)+1)</f>
        <v/>
      </c>
      <c r="I278">
        <f>IF($H278="","",$A278&amp;"|"&amp;RIGHT("000000"&amp;$H278,6))</f>
        <v/>
      </c>
      <c r="J278">
        <f>IF(OR($B278&lt;&gt;2,$G278=""),"",COUNTIFS(LdAParty,$A278,LdAType,2,LdAKey,"&lt;"&amp;$G278)+1)</f>
        <v/>
      </c>
      <c r="K278">
        <f>IF($J278="","",$A278&amp;"|"&amp;RIGHT("000000"&amp;$J278,6))</f>
        <v/>
      </c>
      <c r="L278">
        <f>IF($A278="","",IF(Wages!$G281="",0,Wages!$G281))</f>
        <v/>
      </c>
      <c r="M278">
        <f>IF($A278="","",Wages!$J281)</f>
        <v/>
      </c>
      <c r="N278">
        <f>IF($A278="","",Wages!$D281)</f>
        <v/>
      </c>
      <c r="P278">
        <f>IF(OR(Shares!$B281="",Shares!$C281=""),"",Shares!$C281)</f>
        <v/>
      </c>
      <c r="Q278">
        <f>IF($P278="","",Shares!$B281)</f>
        <v/>
      </c>
      <c r="R278">
        <f>IF($P278="","",IFERROR(INDEX(WageParty,MATCH($Q278,WageIds,0)),""))</f>
        <v/>
      </c>
      <c r="S278">
        <f>IF($P278="","",IFERROR(INDEX($F$6:$F$2005,MATCH($Q278,WageIds,0)),""))</f>
        <v/>
      </c>
      <c r="T278">
        <f>IF(OR($P278="",$S278="",$S278="نامعتبر"),"",LEFT($S278,4)&amp;MID($S278,6,2)&amp;RIGHT($S278,2)&amp;"0000"&amp;"|"&amp;"2"&amp;RIGHT("00000"&amp;273,5))</f>
        <v/>
      </c>
      <c r="U278">
        <f>IF($T278="","",COUNTIFS(LdAParty,$P278,LdAType,1,LdAKey,"&lt;"&amp;$T278)+COUNTIFS(LdBMember,$P278,LdBKey,"&lt;"&amp;$T278)+COUNTIFS(LdCParty,$P278,LdCKey,"&lt;"&amp;$T278)+1)</f>
        <v/>
      </c>
      <c r="V278">
        <f>IF($U278="","",$P278&amp;"|"&amp;RIGHT("000000"&amp;$U278,6))</f>
        <v/>
      </c>
      <c r="W278">
        <f>IF($T278="","",COUNTIFS(LdBGroup,$R278,LdBKey,"&lt;"&amp;$T278)+1)</f>
        <v/>
      </c>
      <c r="X278">
        <f>IF($W278="","",$R278&amp;"|"&amp;RIGHT("000000"&amp;$W278,6))</f>
        <v/>
      </c>
      <c r="Y278">
        <f>IF($P278="","",IF(Shares!$E281="",0,Shares!$E281))</f>
        <v/>
      </c>
      <c r="Z278">
        <f>IF($P278="","",Shares!$H281)</f>
        <v/>
      </c>
      <c r="AE278">
        <f>IF(OR(Sync!$S278="",Sync!$P278=""),"",Sync!$S278)</f>
        <v/>
      </c>
      <c r="AF278">
        <f>IF($AE278="","",IF(ISNUMBER(Sync!$P278),IF(AND(Sync!$P278&gt;=10000101,Sync!$P278&lt;=99991231),INT(Sync!$P278/10000),""),IFERROR(VALUE(TRIM(LEFT(Sync!$P278,FIND("/",Sync!$P278)-1))),"")))</f>
        <v/>
      </c>
      <c r="AG278">
        <f>IF(OR($AE278="",$AF278=""),"",IF(ISNUMBER(Sync!$P278),INT(MOD(Sync!$P278,10000)/100),IFERROR(VALUE(TRIM(LEFT(MID(Sync!$P278,FIND("/",Sync!$P278)+1,20),FIND("/",MID(Sync!$P278,FIND("/",Sync!$P278)+1,20))-1))),"")))</f>
        <v/>
      </c>
      <c r="AH278">
        <f>IF(OR($AE278="",$AF278=""),"",IF(ISNUMBER(Sync!$P278),MOD(Sync!$P278,100),IFERROR(VALUE(TRIM(MID(MID(Sync!$P278,FIND("/",Sync!$P278)+1,20),FIND("/",MID(Sync!$P278,FIND("/",Sync!$P278)+1,20))+1,20))),"")))</f>
        <v/>
      </c>
      <c r="AI278">
        <f>IF($AE278="","",IF(OR($AF278="",$AG278="",$AH278="",$AF278&lt;1300,$AF278&gt;1500,$AG278&lt;1,$AG278&gt;12,$AH278&lt;1,$AH278&gt;31),"نامعتبر",RIGHT("0000"&amp;$AF278,4)&amp;"/"&amp;RIGHT("00"&amp;$AG278,2)&amp;"/"&amp;RIGHT("00"&amp;$AH278,2)))</f>
        <v/>
      </c>
      <c r="AJ278">
        <f>IF($AE278="","",IF(Sync!$Q278="","0000",IF(AND(ISNUMBER(Sync!$Q278),Sync!$Q278&gt;=0,Sync!$Q278&lt;1),RIGHT("00"&amp;HOUR(Sync!$Q278),2)&amp;RIGHT("00"&amp;MINUTE(Sync!$Q278),2),IFERROR(RIGHT("00"&amp;VALUE(LEFT(Sync!$Q278,FIND(":",Sync!$Q278)-1)),2)&amp;RIGHT("00"&amp;VALUE(MID(Sync!$Q278,FIND(":",Sync!$Q278)+1,2)),2),"0000"))))</f>
        <v/>
      </c>
      <c r="AK278">
        <f>IF(OR($AE278="",$AI278="",$AI278="نامعتبر"),"",LEFT($AI278,4)&amp;MID($AI278,6,2)&amp;RIGHT($AI278,2)&amp;$AJ278&amp;"|"&amp;"3"&amp;RIGHT("00000"&amp;273,5))</f>
        <v/>
      </c>
      <c r="AL278">
        <f>IF($AK278="","",COUNTIFS(LdAParty,$AE278,LdAType,1,LdAKey,"&lt;"&amp;$AK278)+COUNTIFS(LdBMember,$AE278,LdBKey,"&lt;"&amp;$AK278)+COUNTIFS(LdCParty,$AE278,LdCKey,"&lt;"&amp;$AK278)+1)</f>
        <v/>
      </c>
      <c r="AM278">
        <f>IF($AL278="","",$AE278&amp;"|"&amp;RIGHT("000000"&amp;$AL278,6))</f>
        <v/>
      </c>
      <c r="AN278">
        <f>IF($AE278="","",IF(Sync!$W278="",0,Sync!$W278))</f>
        <v/>
      </c>
      <c r="AO278">
        <f>IF($AE278="","",IF(Sync!$X278="",0,Sync!$X278))</f>
        <v/>
      </c>
      <c r="AP278">
        <f>IF($AE278="","",Sync!$R278)</f>
        <v/>
      </c>
      <c r="AQ278">
        <f>IF($AE278="","",Sync!$Y278)</f>
        <v/>
      </c>
    </row>
    <row r="279">
      <c r="A279">
        <f>IF(OR(Wages!$B282="",Wages!$E282=""),"",Wages!$E282)</f>
        <v/>
      </c>
      <c r="B279">
        <f>IF($A279="","",IF(Wages!$C282="دستمزد گروهی",2,1))</f>
        <v/>
      </c>
      <c r="C279">
        <f>IF($A279="","",IF(ISNUMBER(Wages!$B282),IF(AND(Wages!$B282&gt;=10000101,Wages!$B282&lt;=99991231),INT(Wages!$B282/10000),""),IFERROR(VALUE(TRIM(LEFT(Wages!$B282,FIND("/",Wages!$B282)-1))),"")))</f>
        <v/>
      </c>
      <c r="D279">
        <f>IF(OR($A279="",$C279=""),"",IF(ISNUMBER(Wages!$B282),INT(MOD(Wages!$B282,10000)/100),IFERROR(VALUE(TRIM(LEFT(MID(Wages!$B282,FIND("/",Wages!$B282)+1,20),FIND("/",MID(Wages!$B282,FIND("/",Wages!$B282)+1,20))-1))),"")))</f>
        <v/>
      </c>
      <c r="E279">
        <f>IF(OR($A279="",$C279=""),"",IF(ISNUMBER(Wages!$B282),MOD(Wages!$B282,100),IFERROR(VALUE(TRIM(MID(MID(Wages!$B282,FIND("/",Wages!$B282)+1,20),FIND("/",MID(Wages!$B282,FIND("/",Wages!$B282)+1,20))+1,20))),"")))</f>
        <v/>
      </c>
      <c r="F279">
        <f>IF($A279="","",IF(OR($C279="",$D279="",$E279="",$C279&lt;1300,$C279&gt;1500,$D279&lt;1,$D279&gt;12,$E279&lt;1,$E279&gt;31),"نامعتبر",RIGHT("0000"&amp;$C279,4)&amp;"/"&amp;RIGHT("00"&amp;$D279,2)&amp;"/"&amp;RIGHT("00"&amp;$E279,2)))</f>
        <v/>
      </c>
      <c r="G279">
        <f>IF(OR($A279="",$F279="",$F279="نامعتبر"),"",LEFT($F279,4)&amp;MID($F279,6,2)&amp;RIGHT($F279,2)&amp;"0000"&amp;"|"&amp;"1"&amp;RIGHT("00000"&amp;274,5))</f>
        <v/>
      </c>
      <c r="H279">
        <f>IF(OR($B279&lt;&gt;1,$G279=""),"",COUNTIFS(LdAParty,$A279,LdAType,1,LdAKey,"&lt;"&amp;$G279)+COUNTIFS(LdBMember,$A279,LdBKey,"&lt;"&amp;$G279)+COUNTIFS(LdCParty,$A279,LdCKey,"&lt;"&amp;$G279)+1)</f>
        <v/>
      </c>
      <c r="I279">
        <f>IF($H279="","",$A279&amp;"|"&amp;RIGHT("000000"&amp;$H279,6))</f>
        <v/>
      </c>
      <c r="J279">
        <f>IF(OR($B279&lt;&gt;2,$G279=""),"",COUNTIFS(LdAParty,$A279,LdAType,2,LdAKey,"&lt;"&amp;$G279)+1)</f>
        <v/>
      </c>
      <c r="K279">
        <f>IF($J279="","",$A279&amp;"|"&amp;RIGHT("000000"&amp;$J279,6))</f>
        <v/>
      </c>
      <c r="L279">
        <f>IF($A279="","",IF(Wages!$G282="",0,Wages!$G282))</f>
        <v/>
      </c>
      <c r="M279">
        <f>IF($A279="","",Wages!$J282)</f>
        <v/>
      </c>
      <c r="N279">
        <f>IF($A279="","",Wages!$D282)</f>
        <v/>
      </c>
      <c r="P279">
        <f>IF(OR(Shares!$B282="",Shares!$C282=""),"",Shares!$C282)</f>
        <v/>
      </c>
      <c r="Q279">
        <f>IF($P279="","",Shares!$B282)</f>
        <v/>
      </c>
      <c r="R279">
        <f>IF($P279="","",IFERROR(INDEX(WageParty,MATCH($Q279,WageIds,0)),""))</f>
        <v/>
      </c>
      <c r="S279">
        <f>IF($P279="","",IFERROR(INDEX($F$6:$F$2005,MATCH($Q279,WageIds,0)),""))</f>
        <v/>
      </c>
      <c r="T279">
        <f>IF(OR($P279="",$S279="",$S279="نامعتبر"),"",LEFT($S279,4)&amp;MID($S279,6,2)&amp;RIGHT($S279,2)&amp;"0000"&amp;"|"&amp;"2"&amp;RIGHT("00000"&amp;274,5))</f>
        <v/>
      </c>
      <c r="U279">
        <f>IF($T279="","",COUNTIFS(LdAParty,$P279,LdAType,1,LdAKey,"&lt;"&amp;$T279)+COUNTIFS(LdBMember,$P279,LdBKey,"&lt;"&amp;$T279)+COUNTIFS(LdCParty,$P279,LdCKey,"&lt;"&amp;$T279)+1)</f>
        <v/>
      </c>
      <c r="V279">
        <f>IF($U279="","",$P279&amp;"|"&amp;RIGHT("000000"&amp;$U279,6))</f>
        <v/>
      </c>
      <c r="W279">
        <f>IF($T279="","",COUNTIFS(LdBGroup,$R279,LdBKey,"&lt;"&amp;$T279)+1)</f>
        <v/>
      </c>
      <c r="X279">
        <f>IF($W279="","",$R279&amp;"|"&amp;RIGHT("000000"&amp;$W279,6))</f>
        <v/>
      </c>
      <c r="Y279">
        <f>IF($P279="","",IF(Shares!$E282="",0,Shares!$E282))</f>
        <v/>
      </c>
      <c r="Z279">
        <f>IF($P279="","",Shares!$H282)</f>
        <v/>
      </c>
      <c r="AE279">
        <f>IF(OR(Sync!$S279="",Sync!$P279=""),"",Sync!$S279)</f>
        <v/>
      </c>
      <c r="AF279">
        <f>IF($AE279="","",IF(ISNUMBER(Sync!$P279),IF(AND(Sync!$P279&gt;=10000101,Sync!$P279&lt;=99991231),INT(Sync!$P279/10000),""),IFERROR(VALUE(TRIM(LEFT(Sync!$P279,FIND("/",Sync!$P279)-1))),"")))</f>
        <v/>
      </c>
      <c r="AG279">
        <f>IF(OR($AE279="",$AF279=""),"",IF(ISNUMBER(Sync!$P279),INT(MOD(Sync!$P279,10000)/100),IFERROR(VALUE(TRIM(LEFT(MID(Sync!$P279,FIND("/",Sync!$P279)+1,20),FIND("/",MID(Sync!$P279,FIND("/",Sync!$P279)+1,20))-1))),"")))</f>
        <v/>
      </c>
      <c r="AH279">
        <f>IF(OR($AE279="",$AF279=""),"",IF(ISNUMBER(Sync!$P279),MOD(Sync!$P279,100),IFERROR(VALUE(TRIM(MID(MID(Sync!$P279,FIND("/",Sync!$P279)+1,20),FIND("/",MID(Sync!$P279,FIND("/",Sync!$P279)+1,20))+1,20))),"")))</f>
        <v/>
      </c>
      <c r="AI279">
        <f>IF($AE279="","",IF(OR($AF279="",$AG279="",$AH279="",$AF279&lt;1300,$AF279&gt;1500,$AG279&lt;1,$AG279&gt;12,$AH279&lt;1,$AH279&gt;31),"نامعتبر",RIGHT("0000"&amp;$AF279,4)&amp;"/"&amp;RIGHT("00"&amp;$AG279,2)&amp;"/"&amp;RIGHT("00"&amp;$AH279,2)))</f>
        <v/>
      </c>
      <c r="AJ279">
        <f>IF($AE279="","",IF(Sync!$Q279="","0000",IF(AND(ISNUMBER(Sync!$Q279),Sync!$Q279&gt;=0,Sync!$Q279&lt;1),RIGHT("00"&amp;HOUR(Sync!$Q279),2)&amp;RIGHT("00"&amp;MINUTE(Sync!$Q279),2),IFERROR(RIGHT("00"&amp;VALUE(LEFT(Sync!$Q279,FIND(":",Sync!$Q279)-1)),2)&amp;RIGHT("00"&amp;VALUE(MID(Sync!$Q279,FIND(":",Sync!$Q279)+1,2)),2),"0000"))))</f>
        <v/>
      </c>
      <c r="AK279">
        <f>IF(OR($AE279="",$AI279="",$AI279="نامعتبر"),"",LEFT($AI279,4)&amp;MID($AI279,6,2)&amp;RIGHT($AI279,2)&amp;$AJ279&amp;"|"&amp;"3"&amp;RIGHT("00000"&amp;274,5))</f>
        <v/>
      </c>
      <c r="AL279">
        <f>IF($AK279="","",COUNTIFS(LdAParty,$AE279,LdAType,1,LdAKey,"&lt;"&amp;$AK279)+COUNTIFS(LdBMember,$AE279,LdBKey,"&lt;"&amp;$AK279)+COUNTIFS(LdCParty,$AE279,LdCKey,"&lt;"&amp;$AK279)+1)</f>
        <v/>
      </c>
      <c r="AM279">
        <f>IF($AL279="","",$AE279&amp;"|"&amp;RIGHT("000000"&amp;$AL279,6))</f>
        <v/>
      </c>
      <c r="AN279">
        <f>IF($AE279="","",IF(Sync!$W279="",0,Sync!$W279))</f>
        <v/>
      </c>
      <c r="AO279">
        <f>IF($AE279="","",IF(Sync!$X279="",0,Sync!$X279))</f>
        <v/>
      </c>
      <c r="AP279">
        <f>IF($AE279="","",Sync!$R279)</f>
        <v/>
      </c>
      <c r="AQ279">
        <f>IF($AE279="","",Sync!$Y279)</f>
        <v/>
      </c>
    </row>
    <row r="280">
      <c r="A280">
        <f>IF(OR(Wages!$B283="",Wages!$E283=""),"",Wages!$E283)</f>
        <v/>
      </c>
      <c r="B280">
        <f>IF($A280="","",IF(Wages!$C283="دستمزد گروهی",2,1))</f>
        <v/>
      </c>
      <c r="C280">
        <f>IF($A280="","",IF(ISNUMBER(Wages!$B283),IF(AND(Wages!$B283&gt;=10000101,Wages!$B283&lt;=99991231),INT(Wages!$B283/10000),""),IFERROR(VALUE(TRIM(LEFT(Wages!$B283,FIND("/",Wages!$B283)-1))),"")))</f>
        <v/>
      </c>
      <c r="D280">
        <f>IF(OR($A280="",$C280=""),"",IF(ISNUMBER(Wages!$B283),INT(MOD(Wages!$B283,10000)/100),IFERROR(VALUE(TRIM(LEFT(MID(Wages!$B283,FIND("/",Wages!$B283)+1,20),FIND("/",MID(Wages!$B283,FIND("/",Wages!$B283)+1,20))-1))),"")))</f>
        <v/>
      </c>
      <c r="E280">
        <f>IF(OR($A280="",$C280=""),"",IF(ISNUMBER(Wages!$B283),MOD(Wages!$B283,100),IFERROR(VALUE(TRIM(MID(MID(Wages!$B283,FIND("/",Wages!$B283)+1,20),FIND("/",MID(Wages!$B283,FIND("/",Wages!$B283)+1,20))+1,20))),"")))</f>
        <v/>
      </c>
      <c r="F280">
        <f>IF($A280="","",IF(OR($C280="",$D280="",$E280="",$C280&lt;1300,$C280&gt;1500,$D280&lt;1,$D280&gt;12,$E280&lt;1,$E280&gt;31),"نامعتبر",RIGHT("0000"&amp;$C280,4)&amp;"/"&amp;RIGHT("00"&amp;$D280,2)&amp;"/"&amp;RIGHT("00"&amp;$E280,2)))</f>
        <v/>
      </c>
      <c r="G280">
        <f>IF(OR($A280="",$F280="",$F280="نامعتبر"),"",LEFT($F280,4)&amp;MID($F280,6,2)&amp;RIGHT($F280,2)&amp;"0000"&amp;"|"&amp;"1"&amp;RIGHT("00000"&amp;275,5))</f>
        <v/>
      </c>
      <c r="H280">
        <f>IF(OR($B280&lt;&gt;1,$G280=""),"",COUNTIFS(LdAParty,$A280,LdAType,1,LdAKey,"&lt;"&amp;$G280)+COUNTIFS(LdBMember,$A280,LdBKey,"&lt;"&amp;$G280)+COUNTIFS(LdCParty,$A280,LdCKey,"&lt;"&amp;$G280)+1)</f>
        <v/>
      </c>
      <c r="I280">
        <f>IF($H280="","",$A280&amp;"|"&amp;RIGHT("000000"&amp;$H280,6))</f>
        <v/>
      </c>
      <c r="J280">
        <f>IF(OR($B280&lt;&gt;2,$G280=""),"",COUNTIFS(LdAParty,$A280,LdAType,2,LdAKey,"&lt;"&amp;$G280)+1)</f>
        <v/>
      </c>
      <c r="K280">
        <f>IF($J280="","",$A280&amp;"|"&amp;RIGHT("000000"&amp;$J280,6))</f>
        <v/>
      </c>
      <c r="L280">
        <f>IF($A280="","",IF(Wages!$G283="",0,Wages!$G283))</f>
        <v/>
      </c>
      <c r="M280">
        <f>IF($A280="","",Wages!$J283)</f>
        <v/>
      </c>
      <c r="N280">
        <f>IF($A280="","",Wages!$D283)</f>
        <v/>
      </c>
      <c r="P280">
        <f>IF(OR(Shares!$B283="",Shares!$C283=""),"",Shares!$C283)</f>
        <v/>
      </c>
      <c r="Q280">
        <f>IF($P280="","",Shares!$B283)</f>
        <v/>
      </c>
      <c r="R280">
        <f>IF($P280="","",IFERROR(INDEX(WageParty,MATCH($Q280,WageIds,0)),""))</f>
        <v/>
      </c>
      <c r="S280">
        <f>IF($P280="","",IFERROR(INDEX($F$6:$F$2005,MATCH($Q280,WageIds,0)),""))</f>
        <v/>
      </c>
      <c r="T280">
        <f>IF(OR($P280="",$S280="",$S280="نامعتبر"),"",LEFT($S280,4)&amp;MID($S280,6,2)&amp;RIGHT($S280,2)&amp;"0000"&amp;"|"&amp;"2"&amp;RIGHT("00000"&amp;275,5))</f>
        <v/>
      </c>
      <c r="U280">
        <f>IF($T280="","",COUNTIFS(LdAParty,$P280,LdAType,1,LdAKey,"&lt;"&amp;$T280)+COUNTIFS(LdBMember,$P280,LdBKey,"&lt;"&amp;$T280)+COUNTIFS(LdCParty,$P280,LdCKey,"&lt;"&amp;$T280)+1)</f>
        <v/>
      </c>
      <c r="V280">
        <f>IF($U280="","",$P280&amp;"|"&amp;RIGHT("000000"&amp;$U280,6))</f>
        <v/>
      </c>
      <c r="W280">
        <f>IF($T280="","",COUNTIFS(LdBGroup,$R280,LdBKey,"&lt;"&amp;$T280)+1)</f>
        <v/>
      </c>
      <c r="X280">
        <f>IF($W280="","",$R280&amp;"|"&amp;RIGHT("000000"&amp;$W280,6))</f>
        <v/>
      </c>
      <c r="Y280">
        <f>IF($P280="","",IF(Shares!$E283="",0,Shares!$E283))</f>
        <v/>
      </c>
      <c r="Z280">
        <f>IF($P280="","",Shares!$H283)</f>
        <v/>
      </c>
      <c r="AE280">
        <f>IF(OR(Sync!$S280="",Sync!$P280=""),"",Sync!$S280)</f>
        <v/>
      </c>
      <c r="AF280">
        <f>IF($AE280="","",IF(ISNUMBER(Sync!$P280),IF(AND(Sync!$P280&gt;=10000101,Sync!$P280&lt;=99991231),INT(Sync!$P280/10000),""),IFERROR(VALUE(TRIM(LEFT(Sync!$P280,FIND("/",Sync!$P280)-1))),"")))</f>
        <v/>
      </c>
      <c r="AG280">
        <f>IF(OR($AE280="",$AF280=""),"",IF(ISNUMBER(Sync!$P280),INT(MOD(Sync!$P280,10000)/100),IFERROR(VALUE(TRIM(LEFT(MID(Sync!$P280,FIND("/",Sync!$P280)+1,20),FIND("/",MID(Sync!$P280,FIND("/",Sync!$P280)+1,20))-1))),"")))</f>
        <v/>
      </c>
      <c r="AH280">
        <f>IF(OR($AE280="",$AF280=""),"",IF(ISNUMBER(Sync!$P280),MOD(Sync!$P280,100),IFERROR(VALUE(TRIM(MID(MID(Sync!$P280,FIND("/",Sync!$P280)+1,20),FIND("/",MID(Sync!$P280,FIND("/",Sync!$P280)+1,20))+1,20))),"")))</f>
        <v/>
      </c>
      <c r="AI280">
        <f>IF($AE280="","",IF(OR($AF280="",$AG280="",$AH280="",$AF280&lt;1300,$AF280&gt;1500,$AG280&lt;1,$AG280&gt;12,$AH280&lt;1,$AH280&gt;31),"نامعتبر",RIGHT("0000"&amp;$AF280,4)&amp;"/"&amp;RIGHT("00"&amp;$AG280,2)&amp;"/"&amp;RIGHT("00"&amp;$AH280,2)))</f>
        <v/>
      </c>
      <c r="AJ280">
        <f>IF($AE280="","",IF(Sync!$Q280="","0000",IF(AND(ISNUMBER(Sync!$Q280),Sync!$Q280&gt;=0,Sync!$Q280&lt;1),RIGHT("00"&amp;HOUR(Sync!$Q280),2)&amp;RIGHT("00"&amp;MINUTE(Sync!$Q280),2),IFERROR(RIGHT("00"&amp;VALUE(LEFT(Sync!$Q280,FIND(":",Sync!$Q280)-1)),2)&amp;RIGHT("00"&amp;VALUE(MID(Sync!$Q280,FIND(":",Sync!$Q280)+1,2)),2),"0000"))))</f>
        <v/>
      </c>
      <c r="AK280">
        <f>IF(OR($AE280="",$AI280="",$AI280="نامعتبر"),"",LEFT($AI280,4)&amp;MID($AI280,6,2)&amp;RIGHT($AI280,2)&amp;$AJ280&amp;"|"&amp;"3"&amp;RIGHT("00000"&amp;275,5))</f>
        <v/>
      </c>
      <c r="AL280">
        <f>IF($AK280="","",COUNTIFS(LdAParty,$AE280,LdAType,1,LdAKey,"&lt;"&amp;$AK280)+COUNTIFS(LdBMember,$AE280,LdBKey,"&lt;"&amp;$AK280)+COUNTIFS(LdCParty,$AE280,LdCKey,"&lt;"&amp;$AK280)+1)</f>
        <v/>
      </c>
      <c r="AM280">
        <f>IF($AL280="","",$AE280&amp;"|"&amp;RIGHT("000000"&amp;$AL280,6))</f>
        <v/>
      </c>
      <c r="AN280">
        <f>IF($AE280="","",IF(Sync!$W280="",0,Sync!$W280))</f>
        <v/>
      </c>
      <c r="AO280">
        <f>IF($AE280="","",IF(Sync!$X280="",0,Sync!$X280))</f>
        <v/>
      </c>
      <c r="AP280">
        <f>IF($AE280="","",Sync!$R280)</f>
        <v/>
      </c>
      <c r="AQ280">
        <f>IF($AE280="","",Sync!$Y280)</f>
        <v/>
      </c>
    </row>
    <row r="281">
      <c r="A281">
        <f>IF(OR(Wages!$B284="",Wages!$E284=""),"",Wages!$E284)</f>
        <v/>
      </c>
      <c r="B281">
        <f>IF($A281="","",IF(Wages!$C284="دستمزد گروهی",2,1))</f>
        <v/>
      </c>
      <c r="C281">
        <f>IF($A281="","",IF(ISNUMBER(Wages!$B284),IF(AND(Wages!$B284&gt;=10000101,Wages!$B284&lt;=99991231),INT(Wages!$B284/10000),""),IFERROR(VALUE(TRIM(LEFT(Wages!$B284,FIND("/",Wages!$B284)-1))),"")))</f>
        <v/>
      </c>
      <c r="D281">
        <f>IF(OR($A281="",$C281=""),"",IF(ISNUMBER(Wages!$B284),INT(MOD(Wages!$B284,10000)/100),IFERROR(VALUE(TRIM(LEFT(MID(Wages!$B284,FIND("/",Wages!$B284)+1,20),FIND("/",MID(Wages!$B284,FIND("/",Wages!$B284)+1,20))-1))),"")))</f>
        <v/>
      </c>
      <c r="E281">
        <f>IF(OR($A281="",$C281=""),"",IF(ISNUMBER(Wages!$B284),MOD(Wages!$B284,100),IFERROR(VALUE(TRIM(MID(MID(Wages!$B284,FIND("/",Wages!$B284)+1,20),FIND("/",MID(Wages!$B284,FIND("/",Wages!$B284)+1,20))+1,20))),"")))</f>
        <v/>
      </c>
      <c r="F281">
        <f>IF($A281="","",IF(OR($C281="",$D281="",$E281="",$C281&lt;1300,$C281&gt;1500,$D281&lt;1,$D281&gt;12,$E281&lt;1,$E281&gt;31),"نامعتبر",RIGHT("0000"&amp;$C281,4)&amp;"/"&amp;RIGHT("00"&amp;$D281,2)&amp;"/"&amp;RIGHT("00"&amp;$E281,2)))</f>
        <v/>
      </c>
      <c r="G281">
        <f>IF(OR($A281="",$F281="",$F281="نامعتبر"),"",LEFT($F281,4)&amp;MID($F281,6,2)&amp;RIGHT($F281,2)&amp;"0000"&amp;"|"&amp;"1"&amp;RIGHT("00000"&amp;276,5))</f>
        <v/>
      </c>
      <c r="H281">
        <f>IF(OR($B281&lt;&gt;1,$G281=""),"",COUNTIFS(LdAParty,$A281,LdAType,1,LdAKey,"&lt;"&amp;$G281)+COUNTIFS(LdBMember,$A281,LdBKey,"&lt;"&amp;$G281)+COUNTIFS(LdCParty,$A281,LdCKey,"&lt;"&amp;$G281)+1)</f>
        <v/>
      </c>
      <c r="I281">
        <f>IF($H281="","",$A281&amp;"|"&amp;RIGHT("000000"&amp;$H281,6))</f>
        <v/>
      </c>
      <c r="J281">
        <f>IF(OR($B281&lt;&gt;2,$G281=""),"",COUNTIFS(LdAParty,$A281,LdAType,2,LdAKey,"&lt;"&amp;$G281)+1)</f>
        <v/>
      </c>
      <c r="K281">
        <f>IF($J281="","",$A281&amp;"|"&amp;RIGHT("000000"&amp;$J281,6))</f>
        <v/>
      </c>
      <c r="L281">
        <f>IF($A281="","",IF(Wages!$G284="",0,Wages!$G284))</f>
        <v/>
      </c>
      <c r="M281">
        <f>IF($A281="","",Wages!$J284)</f>
        <v/>
      </c>
      <c r="N281">
        <f>IF($A281="","",Wages!$D284)</f>
        <v/>
      </c>
      <c r="P281">
        <f>IF(OR(Shares!$B284="",Shares!$C284=""),"",Shares!$C284)</f>
        <v/>
      </c>
      <c r="Q281">
        <f>IF($P281="","",Shares!$B284)</f>
        <v/>
      </c>
      <c r="R281">
        <f>IF($P281="","",IFERROR(INDEX(WageParty,MATCH($Q281,WageIds,0)),""))</f>
        <v/>
      </c>
      <c r="S281">
        <f>IF($P281="","",IFERROR(INDEX($F$6:$F$2005,MATCH($Q281,WageIds,0)),""))</f>
        <v/>
      </c>
      <c r="T281">
        <f>IF(OR($P281="",$S281="",$S281="نامعتبر"),"",LEFT($S281,4)&amp;MID($S281,6,2)&amp;RIGHT($S281,2)&amp;"0000"&amp;"|"&amp;"2"&amp;RIGHT("00000"&amp;276,5))</f>
        <v/>
      </c>
      <c r="U281">
        <f>IF($T281="","",COUNTIFS(LdAParty,$P281,LdAType,1,LdAKey,"&lt;"&amp;$T281)+COUNTIFS(LdBMember,$P281,LdBKey,"&lt;"&amp;$T281)+COUNTIFS(LdCParty,$P281,LdCKey,"&lt;"&amp;$T281)+1)</f>
        <v/>
      </c>
      <c r="V281">
        <f>IF($U281="","",$P281&amp;"|"&amp;RIGHT("000000"&amp;$U281,6))</f>
        <v/>
      </c>
      <c r="W281">
        <f>IF($T281="","",COUNTIFS(LdBGroup,$R281,LdBKey,"&lt;"&amp;$T281)+1)</f>
        <v/>
      </c>
      <c r="X281">
        <f>IF($W281="","",$R281&amp;"|"&amp;RIGHT("000000"&amp;$W281,6))</f>
        <v/>
      </c>
      <c r="Y281">
        <f>IF($P281="","",IF(Shares!$E284="",0,Shares!$E284))</f>
        <v/>
      </c>
      <c r="Z281">
        <f>IF($P281="","",Shares!$H284)</f>
        <v/>
      </c>
      <c r="AE281">
        <f>IF(OR(Sync!$S281="",Sync!$P281=""),"",Sync!$S281)</f>
        <v/>
      </c>
      <c r="AF281">
        <f>IF($AE281="","",IF(ISNUMBER(Sync!$P281),IF(AND(Sync!$P281&gt;=10000101,Sync!$P281&lt;=99991231),INT(Sync!$P281/10000),""),IFERROR(VALUE(TRIM(LEFT(Sync!$P281,FIND("/",Sync!$P281)-1))),"")))</f>
        <v/>
      </c>
      <c r="AG281">
        <f>IF(OR($AE281="",$AF281=""),"",IF(ISNUMBER(Sync!$P281),INT(MOD(Sync!$P281,10000)/100),IFERROR(VALUE(TRIM(LEFT(MID(Sync!$P281,FIND("/",Sync!$P281)+1,20),FIND("/",MID(Sync!$P281,FIND("/",Sync!$P281)+1,20))-1))),"")))</f>
        <v/>
      </c>
      <c r="AH281">
        <f>IF(OR($AE281="",$AF281=""),"",IF(ISNUMBER(Sync!$P281),MOD(Sync!$P281,100),IFERROR(VALUE(TRIM(MID(MID(Sync!$P281,FIND("/",Sync!$P281)+1,20),FIND("/",MID(Sync!$P281,FIND("/",Sync!$P281)+1,20))+1,20))),"")))</f>
        <v/>
      </c>
      <c r="AI281">
        <f>IF($AE281="","",IF(OR($AF281="",$AG281="",$AH281="",$AF281&lt;1300,$AF281&gt;1500,$AG281&lt;1,$AG281&gt;12,$AH281&lt;1,$AH281&gt;31),"نامعتبر",RIGHT("0000"&amp;$AF281,4)&amp;"/"&amp;RIGHT("00"&amp;$AG281,2)&amp;"/"&amp;RIGHT("00"&amp;$AH281,2)))</f>
        <v/>
      </c>
      <c r="AJ281">
        <f>IF($AE281="","",IF(Sync!$Q281="","0000",IF(AND(ISNUMBER(Sync!$Q281),Sync!$Q281&gt;=0,Sync!$Q281&lt;1),RIGHT("00"&amp;HOUR(Sync!$Q281),2)&amp;RIGHT("00"&amp;MINUTE(Sync!$Q281),2),IFERROR(RIGHT("00"&amp;VALUE(LEFT(Sync!$Q281,FIND(":",Sync!$Q281)-1)),2)&amp;RIGHT("00"&amp;VALUE(MID(Sync!$Q281,FIND(":",Sync!$Q281)+1,2)),2),"0000"))))</f>
        <v/>
      </c>
      <c r="AK281">
        <f>IF(OR($AE281="",$AI281="",$AI281="نامعتبر"),"",LEFT($AI281,4)&amp;MID($AI281,6,2)&amp;RIGHT($AI281,2)&amp;$AJ281&amp;"|"&amp;"3"&amp;RIGHT("00000"&amp;276,5))</f>
        <v/>
      </c>
      <c r="AL281">
        <f>IF($AK281="","",COUNTIFS(LdAParty,$AE281,LdAType,1,LdAKey,"&lt;"&amp;$AK281)+COUNTIFS(LdBMember,$AE281,LdBKey,"&lt;"&amp;$AK281)+COUNTIFS(LdCParty,$AE281,LdCKey,"&lt;"&amp;$AK281)+1)</f>
        <v/>
      </c>
      <c r="AM281">
        <f>IF($AL281="","",$AE281&amp;"|"&amp;RIGHT("000000"&amp;$AL281,6))</f>
        <v/>
      </c>
      <c r="AN281">
        <f>IF($AE281="","",IF(Sync!$W281="",0,Sync!$W281))</f>
        <v/>
      </c>
      <c r="AO281">
        <f>IF($AE281="","",IF(Sync!$X281="",0,Sync!$X281))</f>
        <v/>
      </c>
      <c r="AP281">
        <f>IF($AE281="","",Sync!$R281)</f>
        <v/>
      </c>
      <c r="AQ281">
        <f>IF($AE281="","",Sync!$Y281)</f>
        <v/>
      </c>
    </row>
    <row r="282">
      <c r="A282">
        <f>IF(OR(Wages!$B285="",Wages!$E285=""),"",Wages!$E285)</f>
        <v/>
      </c>
      <c r="B282">
        <f>IF($A282="","",IF(Wages!$C285="دستمزد گروهی",2,1))</f>
        <v/>
      </c>
      <c r="C282">
        <f>IF($A282="","",IF(ISNUMBER(Wages!$B285),IF(AND(Wages!$B285&gt;=10000101,Wages!$B285&lt;=99991231),INT(Wages!$B285/10000),""),IFERROR(VALUE(TRIM(LEFT(Wages!$B285,FIND("/",Wages!$B285)-1))),"")))</f>
        <v/>
      </c>
      <c r="D282">
        <f>IF(OR($A282="",$C282=""),"",IF(ISNUMBER(Wages!$B285),INT(MOD(Wages!$B285,10000)/100),IFERROR(VALUE(TRIM(LEFT(MID(Wages!$B285,FIND("/",Wages!$B285)+1,20),FIND("/",MID(Wages!$B285,FIND("/",Wages!$B285)+1,20))-1))),"")))</f>
        <v/>
      </c>
      <c r="E282">
        <f>IF(OR($A282="",$C282=""),"",IF(ISNUMBER(Wages!$B285),MOD(Wages!$B285,100),IFERROR(VALUE(TRIM(MID(MID(Wages!$B285,FIND("/",Wages!$B285)+1,20),FIND("/",MID(Wages!$B285,FIND("/",Wages!$B285)+1,20))+1,20))),"")))</f>
        <v/>
      </c>
      <c r="F282">
        <f>IF($A282="","",IF(OR($C282="",$D282="",$E282="",$C282&lt;1300,$C282&gt;1500,$D282&lt;1,$D282&gt;12,$E282&lt;1,$E282&gt;31),"نامعتبر",RIGHT("0000"&amp;$C282,4)&amp;"/"&amp;RIGHT("00"&amp;$D282,2)&amp;"/"&amp;RIGHT("00"&amp;$E282,2)))</f>
        <v/>
      </c>
      <c r="G282">
        <f>IF(OR($A282="",$F282="",$F282="نامعتبر"),"",LEFT($F282,4)&amp;MID($F282,6,2)&amp;RIGHT($F282,2)&amp;"0000"&amp;"|"&amp;"1"&amp;RIGHT("00000"&amp;277,5))</f>
        <v/>
      </c>
      <c r="H282">
        <f>IF(OR($B282&lt;&gt;1,$G282=""),"",COUNTIFS(LdAParty,$A282,LdAType,1,LdAKey,"&lt;"&amp;$G282)+COUNTIFS(LdBMember,$A282,LdBKey,"&lt;"&amp;$G282)+COUNTIFS(LdCParty,$A282,LdCKey,"&lt;"&amp;$G282)+1)</f>
        <v/>
      </c>
      <c r="I282">
        <f>IF($H282="","",$A282&amp;"|"&amp;RIGHT("000000"&amp;$H282,6))</f>
        <v/>
      </c>
      <c r="J282">
        <f>IF(OR($B282&lt;&gt;2,$G282=""),"",COUNTIFS(LdAParty,$A282,LdAType,2,LdAKey,"&lt;"&amp;$G282)+1)</f>
        <v/>
      </c>
      <c r="K282">
        <f>IF($J282="","",$A282&amp;"|"&amp;RIGHT("000000"&amp;$J282,6))</f>
        <v/>
      </c>
      <c r="L282">
        <f>IF($A282="","",IF(Wages!$G285="",0,Wages!$G285))</f>
        <v/>
      </c>
      <c r="M282">
        <f>IF($A282="","",Wages!$J285)</f>
        <v/>
      </c>
      <c r="N282">
        <f>IF($A282="","",Wages!$D285)</f>
        <v/>
      </c>
      <c r="P282">
        <f>IF(OR(Shares!$B285="",Shares!$C285=""),"",Shares!$C285)</f>
        <v/>
      </c>
      <c r="Q282">
        <f>IF($P282="","",Shares!$B285)</f>
        <v/>
      </c>
      <c r="R282">
        <f>IF($P282="","",IFERROR(INDEX(WageParty,MATCH($Q282,WageIds,0)),""))</f>
        <v/>
      </c>
      <c r="S282">
        <f>IF($P282="","",IFERROR(INDEX($F$6:$F$2005,MATCH($Q282,WageIds,0)),""))</f>
        <v/>
      </c>
      <c r="T282">
        <f>IF(OR($P282="",$S282="",$S282="نامعتبر"),"",LEFT($S282,4)&amp;MID($S282,6,2)&amp;RIGHT($S282,2)&amp;"0000"&amp;"|"&amp;"2"&amp;RIGHT("00000"&amp;277,5))</f>
        <v/>
      </c>
      <c r="U282">
        <f>IF($T282="","",COUNTIFS(LdAParty,$P282,LdAType,1,LdAKey,"&lt;"&amp;$T282)+COUNTIFS(LdBMember,$P282,LdBKey,"&lt;"&amp;$T282)+COUNTIFS(LdCParty,$P282,LdCKey,"&lt;"&amp;$T282)+1)</f>
        <v/>
      </c>
      <c r="V282">
        <f>IF($U282="","",$P282&amp;"|"&amp;RIGHT("000000"&amp;$U282,6))</f>
        <v/>
      </c>
      <c r="W282">
        <f>IF($T282="","",COUNTIFS(LdBGroup,$R282,LdBKey,"&lt;"&amp;$T282)+1)</f>
        <v/>
      </c>
      <c r="X282">
        <f>IF($W282="","",$R282&amp;"|"&amp;RIGHT("000000"&amp;$W282,6))</f>
        <v/>
      </c>
      <c r="Y282">
        <f>IF($P282="","",IF(Shares!$E285="",0,Shares!$E285))</f>
        <v/>
      </c>
      <c r="Z282">
        <f>IF($P282="","",Shares!$H285)</f>
        <v/>
      </c>
      <c r="AE282">
        <f>IF(OR(Sync!$S282="",Sync!$P282=""),"",Sync!$S282)</f>
        <v/>
      </c>
      <c r="AF282">
        <f>IF($AE282="","",IF(ISNUMBER(Sync!$P282),IF(AND(Sync!$P282&gt;=10000101,Sync!$P282&lt;=99991231),INT(Sync!$P282/10000),""),IFERROR(VALUE(TRIM(LEFT(Sync!$P282,FIND("/",Sync!$P282)-1))),"")))</f>
        <v/>
      </c>
      <c r="AG282">
        <f>IF(OR($AE282="",$AF282=""),"",IF(ISNUMBER(Sync!$P282),INT(MOD(Sync!$P282,10000)/100),IFERROR(VALUE(TRIM(LEFT(MID(Sync!$P282,FIND("/",Sync!$P282)+1,20),FIND("/",MID(Sync!$P282,FIND("/",Sync!$P282)+1,20))-1))),"")))</f>
        <v/>
      </c>
      <c r="AH282">
        <f>IF(OR($AE282="",$AF282=""),"",IF(ISNUMBER(Sync!$P282),MOD(Sync!$P282,100),IFERROR(VALUE(TRIM(MID(MID(Sync!$P282,FIND("/",Sync!$P282)+1,20),FIND("/",MID(Sync!$P282,FIND("/",Sync!$P282)+1,20))+1,20))),"")))</f>
        <v/>
      </c>
      <c r="AI282">
        <f>IF($AE282="","",IF(OR($AF282="",$AG282="",$AH282="",$AF282&lt;1300,$AF282&gt;1500,$AG282&lt;1,$AG282&gt;12,$AH282&lt;1,$AH282&gt;31),"نامعتبر",RIGHT("0000"&amp;$AF282,4)&amp;"/"&amp;RIGHT("00"&amp;$AG282,2)&amp;"/"&amp;RIGHT("00"&amp;$AH282,2)))</f>
        <v/>
      </c>
      <c r="AJ282">
        <f>IF($AE282="","",IF(Sync!$Q282="","0000",IF(AND(ISNUMBER(Sync!$Q282),Sync!$Q282&gt;=0,Sync!$Q282&lt;1),RIGHT("00"&amp;HOUR(Sync!$Q282),2)&amp;RIGHT("00"&amp;MINUTE(Sync!$Q282),2),IFERROR(RIGHT("00"&amp;VALUE(LEFT(Sync!$Q282,FIND(":",Sync!$Q282)-1)),2)&amp;RIGHT("00"&amp;VALUE(MID(Sync!$Q282,FIND(":",Sync!$Q282)+1,2)),2),"0000"))))</f>
        <v/>
      </c>
      <c r="AK282">
        <f>IF(OR($AE282="",$AI282="",$AI282="نامعتبر"),"",LEFT($AI282,4)&amp;MID($AI282,6,2)&amp;RIGHT($AI282,2)&amp;$AJ282&amp;"|"&amp;"3"&amp;RIGHT("00000"&amp;277,5))</f>
        <v/>
      </c>
      <c r="AL282">
        <f>IF($AK282="","",COUNTIFS(LdAParty,$AE282,LdAType,1,LdAKey,"&lt;"&amp;$AK282)+COUNTIFS(LdBMember,$AE282,LdBKey,"&lt;"&amp;$AK282)+COUNTIFS(LdCParty,$AE282,LdCKey,"&lt;"&amp;$AK282)+1)</f>
        <v/>
      </c>
      <c r="AM282">
        <f>IF($AL282="","",$AE282&amp;"|"&amp;RIGHT("000000"&amp;$AL282,6))</f>
        <v/>
      </c>
      <c r="AN282">
        <f>IF($AE282="","",IF(Sync!$W282="",0,Sync!$W282))</f>
        <v/>
      </c>
      <c r="AO282">
        <f>IF($AE282="","",IF(Sync!$X282="",0,Sync!$X282))</f>
        <v/>
      </c>
      <c r="AP282">
        <f>IF($AE282="","",Sync!$R282)</f>
        <v/>
      </c>
      <c r="AQ282">
        <f>IF($AE282="","",Sync!$Y282)</f>
        <v/>
      </c>
    </row>
    <row r="283">
      <c r="A283">
        <f>IF(OR(Wages!$B286="",Wages!$E286=""),"",Wages!$E286)</f>
        <v/>
      </c>
      <c r="B283">
        <f>IF($A283="","",IF(Wages!$C286="دستمزد گروهی",2,1))</f>
        <v/>
      </c>
      <c r="C283">
        <f>IF($A283="","",IF(ISNUMBER(Wages!$B286),IF(AND(Wages!$B286&gt;=10000101,Wages!$B286&lt;=99991231),INT(Wages!$B286/10000),""),IFERROR(VALUE(TRIM(LEFT(Wages!$B286,FIND("/",Wages!$B286)-1))),"")))</f>
        <v/>
      </c>
      <c r="D283">
        <f>IF(OR($A283="",$C283=""),"",IF(ISNUMBER(Wages!$B286),INT(MOD(Wages!$B286,10000)/100),IFERROR(VALUE(TRIM(LEFT(MID(Wages!$B286,FIND("/",Wages!$B286)+1,20),FIND("/",MID(Wages!$B286,FIND("/",Wages!$B286)+1,20))-1))),"")))</f>
        <v/>
      </c>
      <c r="E283">
        <f>IF(OR($A283="",$C283=""),"",IF(ISNUMBER(Wages!$B286),MOD(Wages!$B286,100),IFERROR(VALUE(TRIM(MID(MID(Wages!$B286,FIND("/",Wages!$B286)+1,20),FIND("/",MID(Wages!$B286,FIND("/",Wages!$B286)+1,20))+1,20))),"")))</f>
        <v/>
      </c>
      <c r="F283">
        <f>IF($A283="","",IF(OR($C283="",$D283="",$E283="",$C283&lt;1300,$C283&gt;1500,$D283&lt;1,$D283&gt;12,$E283&lt;1,$E283&gt;31),"نامعتبر",RIGHT("0000"&amp;$C283,4)&amp;"/"&amp;RIGHT("00"&amp;$D283,2)&amp;"/"&amp;RIGHT("00"&amp;$E283,2)))</f>
        <v/>
      </c>
      <c r="G283">
        <f>IF(OR($A283="",$F283="",$F283="نامعتبر"),"",LEFT($F283,4)&amp;MID($F283,6,2)&amp;RIGHT($F283,2)&amp;"0000"&amp;"|"&amp;"1"&amp;RIGHT("00000"&amp;278,5))</f>
        <v/>
      </c>
      <c r="H283">
        <f>IF(OR($B283&lt;&gt;1,$G283=""),"",COUNTIFS(LdAParty,$A283,LdAType,1,LdAKey,"&lt;"&amp;$G283)+COUNTIFS(LdBMember,$A283,LdBKey,"&lt;"&amp;$G283)+COUNTIFS(LdCParty,$A283,LdCKey,"&lt;"&amp;$G283)+1)</f>
        <v/>
      </c>
      <c r="I283">
        <f>IF($H283="","",$A283&amp;"|"&amp;RIGHT("000000"&amp;$H283,6))</f>
        <v/>
      </c>
      <c r="J283">
        <f>IF(OR($B283&lt;&gt;2,$G283=""),"",COUNTIFS(LdAParty,$A283,LdAType,2,LdAKey,"&lt;"&amp;$G283)+1)</f>
        <v/>
      </c>
      <c r="K283">
        <f>IF($J283="","",$A283&amp;"|"&amp;RIGHT("000000"&amp;$J283,6))</f>
        <v/>
      </c>
      <c r="L283">
        <f>IF($A283="","",IF(Wages!$G286="",0,Wages!$G286))</f>
        <v/>
      </c>
      <c r="M283">
        <f>IF($A283="","",Wages!$J286)</f>
        <v/>
      </c>
      <c r="N283">
        <f>IF($A283="","",Wages!$D286)</f>
        <v/>
      </c>
      <c r="P283">
        <f>IF(OR(Shares!$B286="",Shares!$C286=""),"",Shares!$C286)</f>
        <v/>
      </c>
      <c r="Q283">
        <f>IF($P283="","",Shares!$B286)</f>
        <v/>
      </c>
      <c r="R283">
        <f>IF($P283="","",IFERROR(INDEX(WageParty,MATCH($Q283,WageIds,0)),""))</f>
        <v/>
      </c>
      <c r="S283">
        <f>IF($P283="","",IFERROR(INDEX($F$6:$F$2005,MATCH($Q283,WageIds,0)),""))</f>
        <v/>
      </c>
      <c r="T283">
        <f>IF(OR($P283="",$S283="",$S283="نامعتبر"),"",LEFT($S283,4)&amp;MID($S283,6,2)&amp;RIGHT($S283,2)&amp;"0000"&amp;"|"&amp;"2"&amp;RIGHT("00000"&amp;278,5))</f>
        <v/>
      </c>
      <c r="U283">
        <f>IF($T283="","",COUNTIFS(LdAParty,$P283,LdAType,1,LdAKey,"&lt;"&amp;$T283)+COUNTIFS(LdBMember,$P283,LdBKey,"&lt;"&amp;$T283)+COUNTIFS(LdCParty,$P283,LdCKey,"&lt;"&amp;$T283)+1)</f>
        <v/>
      </c>
      <c r="V283">
        <f>IF($U283="","",$P283&amp;"|"&amp;RIGHT("000000"&amp;$U283,6))</f>
        <v/>
      </c>
      <c r="W283">
        <f>IF($T283="","",COUNTIFS(LdBGroup,$R283,LdBKey,"&lt;"&amp;$T283)+1)</f>
        <v/>
      </c>
      <c r="X283">
        <f>IF($W283="","",$R283&amp;"|"&amp;RIGHT("000000"&amp;$W283,6))</f>
        <v/>
      </c>
      <c r="Y283">
        <f>IF($P283="","",IF(Shares!$E286="",0,Shares!$E286))</f>
        <v/>
      </c>
      <c r="Z283">
        <f>IF($P283="","",Shares!$H286)</f>
        <v/>
      </c>
      <c r="AE283">
        <f>IF(OR(Sync!$S283="",Sync!$P283=""),"",Sync!$S283)</f>
        <v/>
      </c>
      <c r="AF283">
        <f>IF($AE283="","",IF(ISNUMBER(Sync!$P283),IF(AND(Sync!$P283&gt;=10000101,Sync!$P283&lt;=99991231),INT(Sync!$P283/10000),""),IFERROR(VALUE(TRIM(LEFT(Sync!$P283,FIND("/",Sync!$P283)-1))),"")))</f>
        <v/>
      </c>
      <c r="AG283">
        <f>IF(OR($AE283="",$AF283=""),"",IF(ISNUMBER(Sync!$P283),INT(MOD(Sync!$P283,10000)/100),IFERROR(VALUE(TRIM(LEFT(MID(Sync!$P283,FIND("/",Sync!$P283)+1,20),FIND("/",MID(Sync!$P283,FIND("/",Sync!$P283)+1,20))-1))),"")))</f>
        <v/>
      </c>
      <c r="AH283">
        <f>IF(OR($AE283="",$AF283=""),"",IF(ISNUMBER(Sync!$P283),MOD(Sync!$P283,100),IFERROR(VALUE(TRIM(MID(MID(Sync!$P283,FIND("/",Sync!$P283)+1,20),FIND("/",MID(Sync!$P283,FIND("/",Sync!$P283)+1,20))+1,20))),"")))</f>
        <v/>
      </c>
      <c r="AI283">
        <f>IF($AE283="","",IF(OR($AF283="",$AG283="",$AH283="",$AF283&lt;1300,$AF283&gt;1500,$AG283&lt;1,$AG283&gt;12,$AH283&lt;1,$AH283&gt;31),"نامعتبر",RIGHT("0000"&amp;$AF283,4)&amp;"/"&amp;RIGHT("00"&amp;$AG283,2)&amp;"/"&amp;RIGHT("00"&amp;$AH283,2)))</f>
        <v/>
      </c>
      <c r="AJ283">
        <f>IF($AE283="","",IF(Sync!$Q283="","0000",IF(AND(ISNUMBER(Sync!$Q283),Sync!$Q283&gt;=0,Sync!$Q283&lt;1),RIGHT("00"&amp;HOUR(Sync!$Q283),2)&amp;RIGHT("00"&amp;MINUTE(Sync!$Q283),2),IFERROR(RIGHT("00"&amp;VALUE(LEFT(Sync!$Q283,FIND(":",Sync!$Q283)-1)),2)&amp;RIGHT("00"&amp;VALUE(MID(Sync!$Q283,FIND(":",Sync!$Q283)+1,2)),2),"0000"))))</f>
        <v/>
      </c>
      <c r="AK283">
        <f>IF(OR($AE283="",$AI283="",$AI283="نامعتبر"),"",LEFT($AI283,4)&amp;MID($AI283,6,2)&amp;RIGHT($AI283,2)&amp;$AJ283&amp;"|"&amp;"3"&amp;RIGHT("00000"&amp;278,5))</f>
        <v/>
      </c>
      <c r="AL283">
        <f>IF($AK283="","",COUNTIFS(LdAParty,$AE283,LdAType,1,LdAKey,"&lt;"&amp;$AK283)+COUNTIFS(LdBMember,$AE283,LdBKey,"&lt;"&amp;$AK283)+COUNTIFS(LdCParty,$AE283,LdCKey,"&lt;"&amp;$AK283)+1)</f>
        <v/>
      </c>
      <c r="AM283">
        <f>IF($AL283="","",$AE283&amp;"|"&amp;RIGHT("000000"&amp;$AL283,6))</f>
        <v/>
      </c>
      <c r="AN283">
        <f>IF($AE283="","",IF(Sync!$W283="",0,Sync!$W283))</f>
        <v/>
      </c>
      <c r="AO283">
        <f>IF($AE283="","",IF(Sync!$X283="",0,Sync!$X283))</f>
        <v/>
      </c>
      <c r="AP283">
        <f>IF($AE283="","",Sync!$R283)</f>
        <v/>
      </c>
      <c r="AQ283">
        <f>IF($AE283="","",Sync!$Y283)</f>
        <v/>
      </c>
    </row>
    <row r="284">
      <c r="A284">
        <f>IF(OR(Wages!$B287="",Wages!$E287=""),"",Wages!$E287)</f>
        <v/>
      </c>
      <c r="B284">
        <f>IF($A284="","",IF(Wages!$C287="دستمزد گروهی",2,1))</f>
        <v/>
      </c>
      <c r="C284">
        <f>IF($A284="","",IF(ISNUMBER(Wages!$B287),IF(AND(Wages!$B287&gt;=10000101,Wages!$B287&lt;=99991231),INT(Wages!$B287/10000),""),IFERROR(VALUE(TRIM(LEFT(Wages!$B287,FIND("/",Wages!$B287)-1))),"")))</f>
        <v/>
      </c>
      <c r="D284">
        <f>IF(OR($A284="",$C284=""),"",IF(ISNUMBER(Wages!$B287),INT(MOD(Wages!$B287,10000)/100),IFERROR(VALUE(TRIM(LEFT(MID(Wages!$B287,FIND("/",Wages!$B287)+1,20),FIND("/",MID(Wages!$B287,FIND("/",Wages!$B287)+1,20))-1))),"")))</f>
        <v/>
      </c>
      <c r="E284">
        <f>IF(OR($A284="",$C284=""),"",IF(ISNUMBER(Wages!$B287),MOD(Wages!$B287,100),IFERROR(VALUE(TRIM(MID(MID(Wages!$B287,FIND("/",Wages!$B287)+1,20),FIND("/",MID(Wages!$B287,FIND("/",Wages!$B287)+1,20))+1,20))),"")))</f>
        <v/>
      </c>
      <c r="F284">
        <f>IF($A284="","",IF(OR($C284="",$D284="",$E284="",$C284&lt;1300,$C284&gt;1500,$D284&lt;1,$D284&gt;12,$E284&lt;1,$E284&gt;31),"نامعتبر",RIGHT("0000"&amp;$C284,4)&amp;"/"&amp;RIGHT("00"&amp;$D284,2)&amp;"/"&amp;RIGHT("00"&amp;$E284,2)))</f>
        <v/>
      </c>
      <c r="G284">
        <f>IF(OR($A284="",$F284="",$F284="نامعتبر"),"",LEFT($F284,4)&amp;MID($F284,6,2)&amp;RIGHT($F284,2)&amp;"0000"&amp;"|"&amp;"1"&amp;RIGHT("00000"&amp;279,5))</f>
        <v/>
      </c>
      <c r="H284">
        <f>IF(OR($B284&lt;&gt;1,$G284=""),"",COUNTIFS(LdAParty,$A284,LdAType,1,LdAKey,"&lt;"&amp;$G284)+COUNTIFS(LdBMember,$A284,LdBKey,"&lt;"&amp;$G284)+COUNTIFS(LdCParty,$A284,LdCKey,"&lt;"&amp;$G284)+1)</f>
        <v/>
      </c>
      <c r="I284">
        <f>IF($H284="","",$A284&amp;"|"&amp;RIGHT("000000"&amp;$H284,6))</f>
        <v/>
      </c>
      <c r="J284">
        <f>IF(OR($B284&lt;&gt;2,$G284=""),"",COUNTIFS(LdAParty,$A284,LdAType,2,LdAKey,"&lt;"&amp;$G284)+1)</f>
        <v/>
      </c>
      <c r="K284">
        <f>IF($J284="","",$A284&amp;"|"&amp;RIGHT("000000"&amp;$J284,6))</f>
        <v/>
      </c>
      <c r="L284">
        <f>IF($A284="","",IF(Wages!$G287="",0,Wages!$G287))</f>
        <v/>
      </c>
      <c r="M284">
        <f>IF($A284="","",Wages!$J287)</f>
        <v/>
      </c>
      <c r="N284">
        <f>IF($A284="","",Wages!$D287)</f>
        <v/>
      </c>
      <c r="P284">
        <f>IF(OR(Shares!$B287="",Shares!$C287=""),"",Shares!$C287)</f>
        <v/>
      </c>
      <c r="Q284">
        <f>IF($P284="","",Shares!$B287)</f>
        <v/>
      </c>
      <c r="R284">
        <f>IF($P284="","",IFERROR(INDEX(WageParty,MATCH($Q284,WageIds,0)),""))</f>
        <v/>
      </c>
      <c r="S284">
        <f>IF($P284="","",IFERROR(INDEX($F$6:$F$2005,MATCH($Q284,WageIds,0)),""))</f>
        <v/>
      </c>
      <c r="T284">
        <f>IF(OR($P284="",$S284="",$S284="نامعتبر"),"",LEFT($S284,4)&amp;MID($S284,6,2)&amp;RIGHT($S284,2)&amp;"0000"&amp;"|"&amp;"2"&amp;RIGHT("00000"&amp;279,5))</f>
        <v/>
      </c>
      <c r="U284">
        <f>IF($T284="","",COUNTIFS(LdAParty,$P284,LdAType,1,LdAKey,"&lt;"&amp;$T284)+COUNTIFS(LdBMember,$P284,LdBKey,"&lt;"&amp;$T284)+COUNTIFS(LdCParty,$P284,LdCKey,"&lt;"&amp;$T284)+1)</f>
        <v/>
      </c>
      <c r="V284">
        <f>IF($U284="","",$P284&amp;"|"&amp;RIGHT("000000"&amp;$U284,6))</f>
        <v/>
      </c>
      <c r="W284">
        <f>IF($T284="","",COUNTIFS(LdBGroup,$R284,LdBKey,"&lt;"&amp;$T284)+1)</f>
        <v/>
      </c>
      <c r="X284">
        <f>IF($W284="","",$R284&amp;"|"&amp;RIGHT("000000"&amp;$W284,6))</f>
        <v/>
      </c>
      <c r="Y284">
        <f>IF($P284="","",IF(Shares!$E287="",0,Shares!$E287))</f>
        <v/>
      </c>
      <c r="Z284">
        <f>IF($P284="","",Shares!$H287)</f>
        <v/>
      </c>
      <c r="AE284">
        <f>IF(OR(Sync!$S284="",Sync!$P284=""),"",Sync!$S284)</f>
        <v/>
      </c>
      <c r="AF284">
        <f>IF($AE284="","",IF(ISNUMBER(Sync!$P284),IF(AND(Sync!$P284&gt;=10000101,Sync!$P284&lt;=99991231),INT(Sync!$P284/10000),""),IFERROR(VALUE(TRIM(LEFT(Sync!$P284,FIND("/",Sync!$P284)-1))),"")))</f>
        <v/>
      </c>
      <c r="AG284">
        <f>IF(OR($AE284="",$AF284=""),"",IF(ISNUMBER(Sync!$P284),INT(MOD(Sync!$P284,10000)/100),IFERROR(VALUE(TRIM(LEFT(MID(Sync!$P284,FIND("/",Sync!$P284)+1,20),FIND("/",MID(Sync!$P284,FIND("/",Sync!$P284)+1,20))-1))),"")))</f>
        <v/>
      </c>
      <c r="AH284">
        <f>IF(OR($AE284="",$AF284=""),"",IF(ISNUMBER(Sync!$P284),MOD(Sync!$P284,100),IFERROR(VALUE(TRIM(MID(MID(Sync!$P284,FIND("/",Sync!$P284)+1,20),FIND("/",MID(Sync!$P284,FIND("/",Sync!$P284)+1,20))+1,20))),"")))</f>
        <v/>
      </c>
      <c r="AI284">
        <f>IF($AE284="","",IF(OR($AF284="",$AG284="",$AH284="",$AF284&lt;1300,$AF284&gt;1500,$AG284&lt;1,$AG284&gt;12,$AH284&lt;1,$AH284&gt;31),"نامعتبر",RIGHT("0000"&amp;$AF284,4)&amp;"/"&amp;RIGHT("00"&amp;$AG284,2)&amp;"/"&amp;RIGHT("00"&amp;$AH284,2)))</f>
        <v/>
      </c>
      <c r="AJ284">
        <f>IF($AE284="","",IF(Sync!$Q284="","0000",IF(AND(ISNUMBER(Sync!$Q284),Sync!$Q284&gt;=0,Sync!$Q284&lt;1),RIGHT("00"&amp;HOUR(Sync!$Q284),2)&amp;RIGHT("00"&amp;MINUTE(Sync!$Q284),2),IFERROR(RIGHT("00"&amp;VALUE(LEFT(Sync!$Q284,FIND(":",Sync!$Q284)-1)),2)&amp;RIGHT("00"&amp;VALUE(MID(Sync!$Q284,FIND(":",Sync!$Q284)+1,2)),2),"0000"))))</f>
        <v/>
      </c>
      <c r="AK284">
        <f>IF(OR($AE284="",$AI284="",$AI284="نامعتبر"),"",LEFT($AI284,4)&amp;MID($AI284,6,2)&amp;RIGHT($AI284,2)&amp;$AJ284&amp;"|"&amp;"3"&amp;RIGHT("00000"&amp;279,5))</f>
        <v/>
      </c>
      <c r="AL284">
        <f>IF($AK284="","",COUNTIFS(LdAParty,$AE284,LdAType,1,LdAKey,"&lt;"&amp;$AK284)+COUNTIFS(LdBMember,$AE284,LdBKey,"&lt;"&amp;$AK284)+COUNTIFS(LdCParty,$AE284,LdCKey,"&lt;"&amp;$AK284)+1)</f>
        <v/>
      </c>
      <c r="AM284">
        <f>IF($AL284="","",$AE284&amp;"|"&amp;RIGHT("000000"&amp;$AL284,6))</f>
        <v/>
      </c>
      <c r="AN284">
        <f>IF($AE284="","",IF(Sync!$W284="",0,Sync!$W284))</f>
        <v/>
      </c>
      <c r="AO284">
        <f>IF($AE284="","",IF(Sync!$X284="",0,Sync!$X284))</f>
        <v/>
      </c>
      <c r="AP284">
        <f>IF($AE284="","",Sync!$R284)</f>
        <v/>
      </c>
      <c r="AQ284">
        <f>IF($AE284="","",Sync!$Y284)</f>
        <v/>
      </c>
    </row>
    <row r="285">
      <c r="A285">
        <f>IF(OR(Wages!$B288="",Wages!$E288=""),"",Wages!$E288)</f>
        <v/>
      </c>
      <c r="B285">
        <f>IF($A285="","",IF(Wages!$C288="دستمزد گروهی",2,1))</f>
        <v/>
      </c>
      <c r="C285">
        <f>IF($A285="","",IF(ISNUMBER(Wages!$B288),IF(AND(Wages!$B288&gt;=10000101,Wages!$B288&lt;=99991231),INT(Wages!$B288/10000),""),IFERROR(VALUE(TRIM(LEFT(Wages!$B288,FIND("/",Wages!$B288)-1))),"")))</f>
        <v/>
      </c>
      <c r="D285">
        <f>IF(OR($A285="",$C285=""),"",IF(ISNUMBER(Wages!$B288),INT(MOD(Wages!$B288,10000)/100),IFERROR(VALUE(TRIM(LEFT(MID(Wages!$B288,FIND("/",Wages!$B288)+1,20),FIND("/",MID(Wages!$B288,FIND("/",Wages!$B288)+1,20))-1))),"")))</f>
        <v/>
      </c>
      <c r="E285">
        <f>IF(OR($A285="",$C285=""),"",IF(ISNUMBER(Wages!$B288),MOD(Wages!$B288,100),IFERROR(VALUE(TRIM(MID(MID(Wages!$B288,FIND("/",Wages!$B288)+1,20),FIND("/",MID(Wages!$B288,FIND("/",Wages!$B288)+1,20))+1,20))),"")))</f>
        <v/>
      </c>
      <c r="F285">
        <f>IF($A285="","",IF(OR($C285="",$D285="",$E285="",$C285&lt;1300,$C285&gt;1500,$D285&lt;1,$D285&gt;12,$E285&lt;1,$E285&gt;31),"نامعتبر",RIGHT("0000"&amp;$C285,4)&amp;"/"&amp;RIGHT("00"&amp;$D285,2)&amp;"/"&amp;RIGHT("00"&amp;$E285,2)))</f>
        <v/>
      </c>
      <c r="G285">
        <f>IF(OR($A285="",$F285="",$F285="نامعتبر"),"",LEFT($F285,4)&amp;MID($F285,6,2)&amp;RIGHT($F285,2)&amp;"0000"&amp;"|"&amp;"1"&amp;RIGHT("00000"&amp;280,5))</f>
        <v/>
      </c>
      <c r="H285">
        <f>IF(OR($B285&lt;&gt;1,$G285=""),"",COUNTIFS(LdAParty,$A285,LdAType,1,LdAKey,"&lt;"&amp;$G285)+COUNTIFS(LdBMember,$A285,LdBKey,"&lt;"&amp;$G285)+COUNTIFS(LdCParty,$A285,LdCKey,"&lt;"&amp;$G285)+1)</f>
        <v/>
      </c>
      <c r="I285">
        <f>IF($H285="","",$A285&amp;"|"&amp;RIGHT("000000"&amp;$H285,6))</f>
        <v/>
      </c>
      <c r="J285">
        <f>IF(OR($B285&lt;&gt;2,$G285=""),"",COUNTIFS(LdAParty,$A285,LdAType,2,LdAKey,"&lt;"&amp;$G285)+1)</f>
        <v/>
      </c>
      <c r="K285">
        <f>IF($J285="","",$A285&amp;"|"&amp;RIGHT("000000"&amp;$J285,6))</f>
        <v/>
      </c>
      <c r="L285">
        <f>IF($A285="","",IF(Wages!$G288="",0,Wages!$G288))</f>
        <v/>
      </c>
      <c r="M285">
        <f>IF($A285="","",Wages!$J288)</f>
        <v/>
      </c>
      <c r="N285">
        <f>IF($A285="","",Wages!$D288)</f>
        <v/>
      </c>
      <c r="P285">
        <f>IF(OR(Shares!$B288="",Shares!$C288=""),"",Shares!$C288)</f>
        <v/>
      </c>
      <c r="Q285">
        <f>IF($P285="","",Shares!$B288)</f>
        <v/>
      </c>
      <c r="R285">
        <f>IF($P285="","",IFERROR(INDEX(WageParty,MATCH($Q285,WageIds,0)),""))</f>
        <v/>
      </c>
      <c r="S285">
        <f>IF($P285="","",IFERROR(INDEX($F$6:$F$2005,MATCH($Q285,WageIds,0)),""))</f>
        <v/>
      </c>
      <c r="T285">
        <f>IF(OR($P285="",$S285="",$S285="نامعتبر"),"",LEFT($S285,4)&amp;MID($S285,6,2)&amp;RIGHT($S285,2)&amp;"0000"&amp;"|"&amp;"2"&amp;RIGHT("00000"&amp;280,5))</f>
        <v/>
      </c>
      <c r="U285">
        <f>IF($T285="","",COUNTIFS(LdAParty,$P285,LdAType,1,LdAKey,"&lt;"&amp;$T285)+COUNTIFS(LdBMember,$P285,LdBKey,"&lt;"&amp;$T285)+COUNTIFS(LdCParty,$P285,LdCKey,"&lt;"&amp;$T285)+1)</f>
        <v/>
      </c>
      <c r="V285">
        <f>IF($U285="","",$P285&amp;"|"&amp;RIGHT("000000"&amp;$U285,6))</f>
        <v/>
      </c>
      <c r="W285">
        <f>IF($T285="","",COUNTIFS(LdBGroup,$R285,LdBKey,"&lt;"&amp;$T285)+1)</f>
        <v/>
      </c>
      <c r="X285">
        <f>IF($W285="","",$R285&amp;"|"&amp;RIGHT("000000"&amp;$W285,6))</f>
        <v/>
      </c>
      <c r="Y285">
        <f>IF($P285="","",IF(Shares!$E288="",0,Shares!$E288))</f>
        <v/>
      </c>
      <c r="Z285">
        <f>IF($P285="","",Shares!$H288)</f>
        <v/>
      </c>
      <c r="AE285">
        <f>IF(OR(Sync!$S285="",Sync!$P285=""),"",Sync!$S285)</f>
        <v/>
      </c>
      <c r="AF285">
        <f>IF($AE285="","",IF(ISNUMBER(Sync!$P285),IF(AND(Sync!$P285&gt;=10000101,Sync!$P285&lt;=99991231),INT(Sync!$P285/10000),""),IFERROR(VALUE(TRIM(LEFT(Sync!$P285,FIND("/",Sync!$P285)-1))),"")))</f>
        <v/>
      </c>
      <c r="AG285">
        <f>IF(OR($AE285="",$AF285=""),"",IF(ISNUMBER(Sync!$P285),INT(MOD(Sync!$P285,10000)/100),IFERROR(VALUE(TRIM(LEFT(MID(Sync!$P285,FIND("/",Sync!$P285)+1,20),FIND("/",MID(Sync!$P285,FIND("/",Sync!$P285)+1,20))-1))),"")))</f>
        <v/>
      </c>
      <c r="AH285">
        <f>IF(OR($AE285="",$AF285=""),"",IF(ISNUMBER(Sync!$P285),MOD(Sync!$P285,100),IFERROR(VALUE(TRIM(MID(MID(Sync!$P285,FIND("/",Sync!$P285)+1,20),FIND("/",MID(Sync!$P285,FIND("/",Sync!$P285)+1,20))+1,20))),"")))</f>
        <v/>
      </c>
      <c r="AI285">
        <f>IF($AE285="","",IF(OR($AF285="",$AG285="",$AH285="",$AF285&lt;1300,$AF285&gt;1500,$AG285&lt;1,$AG285&gt;12,$AH285&lt;1,$AH285&gt;31),"نامعتبر",RIGHT("0000"&amp;$AF285,4)&amp;"/"&amp;RIGHT("00"&amp;$AG285,2)&amp;"/"&amp;RIGHT("00"&amp;$AH285,2)))</f>
        <v/>
      </c>
      <c r="AJ285">
        <f>IF($AE285="","",IF(Sync!$Q285="","0000",IF(AND(ISNUMBER(Sync!$Q285),Sync!$Q285&gt;=0,Sync!$Q285&lt;1),RIGHT("00"&amp;HOUR(Sync!$Q285),2)&amp;RIGHT("00"&amp;MINUTE(Sync!$Q285),2),IFERROR(RIGHT("00"&amp;VALUE(LEFT(Sync!$Q285,FIND(":",Sync!$Q285)-1)),2)&amp;RIGHT("00"&amp;VALUE(MID(Sync!$Q285,FIND(":",Sync!$Q285)+1,2)),2),"0000"))))</f>
        <v/>
      </c>
      <c r="AK285">
        <f>IF(OR($AE285="",$AI285="",$AI285="نامعتبر"),"",LEFT($AI285,4)&amp;MID($AI285,6,2)&amp;RIGHT($AI285,2)&amp;$AJ285&amp;"|"&amp;"3"&amp;RIGHT("00000"&amp;280,5))</f>
        <v/>
      </c>
      <c r="AL285">
        <f>IF($AK285="","",COUNTIFS(LdAParty,$AE285,LdAType,1,LdAKey,"&lt;"&amp;$AK285)+COUNTIFS(LdBMember,$AE285,LdBKey,"&lt;"&amp;$AK285)+COUNTIFS(LdCParty,$AE285,LdCKey,"&lt;"&amp;$AK285)+1)</f>
        <v/>
      </c>
      <c r="AM285">
        <f>IF($AL285="","",$AE285&amp;"|"&amp;RIGHT("000000"&amp;$AL285,6))</f>
        <v/>
      </c>
      <c r="AN285">
        <f>IF($AE285="","",IF(Sync!$W285="",0,Sync!$W285))</f>
        <v/>
      </c>
      <c r="AO285">
        <f>IF($AE285="","",IF(Sync!$X285="",0,Sync!$X285))</f>
        <v/>
      </c>
      <c r="AP285">
        <f>IF($AE285="","",Sync!$R285)</f>
        <v/>
      </c>
      <c r="AQ285">
        <f>IF($AE285="","",Sync!$Y285)</f>
        <v/>
      </c>
    </row>
    <row r="286">
      <c r="A286">
        <f>IF(OR(Wages!$B289="",Wages!$E289=""),"",Wages!$E289)</f>
        <v/>
      </c>
      <c r="B286">
        <f>IF($A286="","",IF(Wages!$C289="دستمزد گروهی",2,1))</f>
        <v/>
      </c>
      <c r="C286">
        <f>IF($A286="","",IF(ISNUMBER(Wages!$B289),IF(AND(Wages!$B289&gt;=10000101,Wages!$B289&lt;=99991231),INT(Wages!$B289/10000),""),IFERROR(VALUE(TRIM(LEFT(Wages!$B289,FIND("/",Wages!$B289)-1))),"")))</f>
        <v/>
      </c>
      <c r="D286">
        <f>IF(OR($A286="",$C286=""),"",IF(ISNUMBER(Wages!$B289),INT(MOD(Wages!$B289,10000)/100),IFERROR(VALUE(TRIM(LEFT(MID(Wages!$B289,FIND("/",Wages!$B289)+1,20),FIND("/",MID(Wages!$B289,FIND("/",Wages!$B289)+1,20))-1))),"")))</f>
        <v/>
      </c>
      <c r="E286">
        <f>IF(OR($A286="",$C286=""),"",IF(ISNUMBER(Wages!$B289),MOD(Wages!$B289,100),IFERROR(VALUE(TRIM(MID(MID(Wages!$B289,FIND("/",Wages!$B289)+1,20),FIND("/",MID(Wages!$B289,FIND("/",Wages!$B289)+1,20))+1,20))),"")))</f>
        <v/>
      </c>
      <c r="F286">
        <f>IF($A286="","",IF(OR($C286="",$D286="",$E286="",$C286&lt;1300,$C286&gt;1500,$D286&lt;1,$D286&gt;12,$E286&lt;1,$E286&gt;31),"نامعتبر",RIGHT("0000"&amp;$C286,4)&amp;"/"&amp;RIGHT("00"&amp;$D286,2)&amp;"/"&amp;RIGHT("00"&amp;$E286,2)))</f>
        <v/>
      </c>
      <c r="G286">
        <f>IF(OR($A286="",$F286="",$F286="نامعتبر"),"",LEFT($F286,4)&amp;MID($F286,6,2)&amp;RIGHT($F286,2)&amp;"0000"&amp;"|"&amp;"1"&amp;RIGHT("00000"&amp;281,5))</f>
        <v/>
      </c>
      <c r="H286">
        <f>IF(OR($B286&lt;&gt;1,$G286=""),"",COUNTIFS(LdAParty,$A286,LdAType,1,LdAKey,"&lt;"&amp;$G286)+COUNTIFS(LdBMember,$A286,LdBKey,"&lt;"&amp;$G286)+COUNTIFS(LdCParty,$A286,LdCKey,"&lt;"&amp;$G286)+1)</f>
        <v/>
      </c>
      <c r="I286">
        <f>IF($H286="","",$A286&amp;"|"&amp;RIGHT("000000"&amp;$H286,6))</f>
        <v/>
      </c>
      <c r="J286">
        <f>IF(OR($B286&lt;&gt;2,$G286=""),"",COUNTIFS(LdAParty,$A286,LdAType,2,LdAKey,"&lt;"&amp;$G286)+1)</f>
        <v/>
      </c>
      <c r="K286">
        <f>IF($J286="","",$A286&amp;"|"&amp;RIGHT("000000"&amp;$J286,6))</f>
        <v/>
      </c>
      <c r="L286">
        <f>IF($A286="","",IF(Wages!$G289="",0,Wages!$G289))</f>
        <v/>
      </c>
      <c r="M286">
        <f>IF($A286="","",Wages!$J289)</f>
        <v/>
      </c>
      <c r="N286">
        <f>IF($A286="","",Wages!$D289)</f>
        <v/>
      </c>
      <c r="P286">
        <f>IF(OR(Shares!$B289="",Shares!$C289=""),"",Shares!$C289)</f>
        <v/>
      </c>
      <c r="Q286">
        <f>IF($P286="","",Shares!$B289)</f>
        <v/>
      </c>
      <c r="R286">
        <f>IF($P286="","",IFERROR(INDEX(WageParty,MATCH($Q286,WageIds,0)),""))</f>
        <v/>
      </c>
      <c r="S286">
        <f>IF($P286="","",IFERROR(INDEX($F$6:$F$2005,MATCH($Q286,WageIds,0)),""))</f>
        <v/>
      </c>
      <c r="T286">
        <f>IF(OR($P286="",$S286="",$S286="نامعتبر"),"",LEFT($S286,4)&amp;MID($S286,6,2)&amp;RIGHT($S286,2)&amp;"0000"&amp;"|"&amp;"2"&amp;RIGHT("00000"&amp;281,5))</f>
        <v/>
      </c>
      <c r="U286">
        <f>IF($T286="","",COUNTIFS(LdAParty,$P286,LdAType,1,LdAKey,"&lt;"&amp;$T286)+COUNTIFS(LdBMember,$P286,LdBKey,"&lt;"&amp;$T286)+COUNTIFS(LdCParty,$P286,LdCKey,"&lt;"&amp;$T286)+1)</f>
        <v/>
      </c>
      <c r="V286">
        <f>IF($U286="","",$P286&amp;"|"&amp;RIGHT("000000"&amp;$U286,6))</f>
        <v/>
      </c>
      <c r="W286">
        <f>IF($T286="","",COUNTIFS(LdBGroup,$R286,LdBKey,"&lt;"&amp;$T286)+1)</f>
        <v/>
      </c>
      <c r="X286">
        <f>IF($W286="","",$R286&amp;"|"&amp;RIGHT("000000"&amp;$W286,6))</f>
        <v/>
      </c>
      <c r="Y286">
        <f>IF($P286="","",IF(Shares!$E289="",0,Shares!$E289))</f>
        <v/>
      </c>
      <c r="Z286">
        <f>IF($P286="","",Shares!$H289)</f>
        <v/>
      </c>
      <c r="AE286">
        <f>IF(OR(Sync!$S286="",Sync!$P286=""),"",Sync!$S286)</f>
        <v/>
      </c>
      <c r="AF286">
        <f>IF($AE286="","",IF(ISNUMBER(Sync!$P286),IF(AND(Sync!$P286&gt;=10000101,Sync!$P286&lt;=99991231),INT(Sync!$P286/10000),""),IFERROR(VALUE(TRIM(LEFT(Sync!$P286,FIND("/",Sync!$P286)-1))),"")))</f>
        <v/>
      </c>
      <c r="AG286">
        <f>IF(OR($AE286="",$AF286=""),"",IF(ISNUMBER(Sync!$P286),INT(MOD(Sync!$P286,10000)/100),IFERROR(VALUE(TRIM(LEFT(MID(Sync!$P286,FIND("/",Sync!$P286)+1,20),FIND("/",MID(Sync!$P286,FIND("/",Sync!$P286)+1,20))-1))),"")))</f>
        <v/>
      </c>
      <c r="AH286">
        <f>IF(OR($AE286="",$AF286=""),"",IF(ISNUMBER(Sync!$P286),MOD(Sync!$P286,100),IFERROR(VALUE(TRIM(MID(MID(Sync!$P286,FIND("/",Sync!$P286)+1,20),FIND("/",MID(Sync!$P286,FIND("/",Sync!$P286)+1,20))+1,20))),"")))</f>
        <v/>
      </c>
      <c r="AI286">
        <f>IF($AE286="","",IF(OR($AF286="",$AG286="",$AH286="",$AF286&lt;1300,$AF286&gt;1500,$AG286&lt;1,$AG286&gt;12,$AH286&lt;1,$AH286&gt;31),"نامعتبر",RIGHT("0000"&amp;$AF286,4)&amp;"/"&amp;RIGHT("00"&amp;$AG286,2)&amp;"/"&amp;RIGHT("00"&amp;$AH286,2)))</f>
        <v/>
      </c>
      <c r="AJ286">
        <f>IF($AE286="","",IF(Sync!$Q286="","0000",IF(AND(ISNUMBER(Sync!$Q286),Sync!$Q286&gt;=0,Sync!$Q286&lt;1),RIGHT("00"&amp;HOUR(Sync!$Q286),2)&amp;RIGHT("00"&amp;MINUTE(Sync!$Q286),2),IFERROR(RIGHT("00"&amp;VALUE(LEFT(Sync!$Q286,FIND(":",Sync!$Q286)-1)),2)&amp;RIGHT("00"&amp;VALUE(MID(Sync!$Q286,FIND(":",Sync!$Q286)+1,2)),2),"0000"))))</f>
        <v/>
      </c>
      <c r="AK286">
        <f>IF(OR($AE286="",$AI286="",$AI286="نامعتبر"),"",LEFT($AI286,4)&amp;MID($AI286,6,2)&amp;RIGHT($AI286,2)&amp;$AJ286&amp;"|"&amp;"3"&amp;RIGHT("00000"&amp;281,5))</f>
        <v/>
      </c>
      <c r="AL286">
        <f>IF($AK286="","",COUNTIFS(LdAParty,$AE286,LdAType,1,LdAKey,"&lt;"&amp;$AK286)+COUNTIFS(LdBMember,$AE286,LdBKey,"&lt;"&amp;$AK286)+COUNTIFS(LdCParty,$AE286,LdCKey,"&lt;"&amp;$AK286)+1)</f>
        <v/>
      </c>
      <c r="AM286">
        <f>IF($AL286="","",$AE286&amp;"|"&amp;RIGHT("000000"&amp;$AL286,6))</f>
        <v/>
      </c>
      <c r="AN286">
        <f>IF($AE286="","",IF(Sync!$W286="",0,Sync!$W286))</f>
        <v/>
      </c>
      <c r="AO286">
        <f>IF($AE286="","",IF(Sync!$X286="",0,Sync!$X286))</f>
        <v/>
      </c>
      <c r="AP286">
        <f>IF($AE286="","",Sync!$R286)</f>
        <v/>
      </c>
      <c r="AQ286">
        <f>IF($AE286="","",Sync!$Y286)</f>
        <v/>
      </c>
    </row>
    <row r="287">
      <c r="A287">
        <f>IF(OR(Wages!$B290="",Wages!$E290=""),"",Wages!$E290)</f>
        <v/>
      </c>
      <c r="B287">
        <f>IF($A287="","",IF(Wages!$C290="دستمزد گروهی",2,1))</f>
        <v/>
      </c>
      <c r="C287">
        <f>IF($A287="","",IF(ISNUMBER(Wages!$B290),IF(AND(Wages!$B290&gt;=10000101,Wages!$B290&lt;=99991231),INT(Wages!$B290/10000),""),IFERROR(VALUE(TRIM(LEFT(Wages!$B290,FIND("/",Wages!$B290)-1))),"")))</f>
        <v/>
      </c>
      <c r="D287">
        <f>IF(OR($A287="",$C287=""),"",IF(ISNUMBER(Wages!$B290),INT(MOD(Wages!$B290,10000)/100),IFERROR(VALUE(TRIM(LEFT(MID(Wages!$B290,FIND("/",Wages!$B290)+1,20),FIND("/",MID(Wages!$B290,FIND("/",Wages!$B290)+1,20))-1))),"")))</f>
        <v/>
      </c>
      <c r="E287">
        <f>IF(OR($A287="",$C287=""),"",IF(ISNUMBER(Wages!$B290),MOD(Wages!$B290,100),IFERROR(VALUE(TRIM(MID(MID(Wages!$B290,FIND("/",Wages!$B290)+1,20),FIND("/",MID(Wages!$B290,FIND("/",Wages!$B290)+1,20))+1,20))),"")))</f>
        <v/>
      </c>
      <c r="F287">
        <f>IF($A287="","",IF(OR($C287="",$D287="",$E287="",$C287&lt;1300,$C287&gt;1500,$D287&lt;1,$D287&gt;12,$E287&lt;1,$E287&gt;31),"نامعتبر",RIGHT("0000"&amp;$C287,4)&amp;"/"&amp;RIGHT("00"&amp;$D287,2)&amp;"/"&amp;RIGHT("00"&amp;$E287,2)))</f>
        <v/>
      </c>
      <c r="G287">
        <f>IF(OR($A287="",$F287="",$F287="نامعتبر"),"",LEFT($F287,4)&amp;MID($F287,6,2)&amp;RIGHT($F287,2)&amp;"0000"&amp;"|"&amp;"1"&amp;RIGHT("00000"&amp;282,5))</f>
        <v/>
      </c>
      <c r="H287">
        <f>IF(OR($B287&lt;&gt;1,$G287=""),"",COUNTIFS(LdAParty,$A287,LdAType,1,LdAKey,"&lt;"&amp;$G287)+COUNTIFS(LdBMember,$A287,LdBKey,"&lt;"&amp;$G287)+COUNTIFS(LdCParty,$A287,LdCKey,"&lt;"&amp;$G287)+1)</f>
        <v/>
      </c>
      <c r="I287">
        <f>IF($H287="","",$A287&amp;"|"&amp;RIGHT("000000"&amp;$H287,6))</f>
        <v/>
      </c>
      <c r="J287">
        <f>IF(OR($B287&lt;&gt;2,$G287=""),"",COUNTIFS(LdAParty,$A287,LdAType,2,LdAKey,"&lt;"&amp;$G287)+1)</f>
        <v/>
      </c>
      <c r="K287">
        <f>IF($J287="","",$A287&amp;"|"&amp;RIGHT("000000"&amp;$J287,6))</f>
        <v/>
      </c>
      <c r="L287">
        <f>IF($A287="","",IF(Wages!$G290="",0,Wages!$G290))</f>
        <v/>
      </c>
      <c r="M287">
        <f>IF($A287="","",Wages!$J290)</f>
        <v/>
      </c>
      <c r="N287">
        <f>IF($A287="","",Wages!$D290)</f>
        <v/>
      </c>
      <c r="P287">
        <f>IF(OR(Shares!$B290="",Shares!$C290=""),"",Shares!$C290)</f>
        <v/>
      </c>
      <c r="Q287">
        <f>IF($P287="","",Shares!$B290)</f>
        <v/>
      </c>
      <c r="R287">
        <f>IF($P287="","",IFERROR(INDEX(WageParty,MATCH($Q287,WageIds,0)),""))</f>
        <v/>
      </c>
      <c r="S287">
        <f>IF($P287="","",IFERROR(INDEX($F$6:$F$2005,MATCH($Q287,WageIds,0)),""))</f>
        <v/>
      </c>
      <c r="T287">
        <f>IF(OR($P287="",$S287="",$S287="نامعتبر"),"",LEFT($S287,4)&amp;MID($S287,6,2)&amp;RIGHT($S287,2)&amp;"0000"&amp;"|"&amp;"2"&amp;RIGHT("00000"&amp;282,5))</f>
        <v/>
      </c>
      <c r="U287">
        <f>IF($T287="","",COUNTIFS(LdAParty,$P287,LdAType,1,LdAKey,"&lt;"&amp;$T287)+COUNTIFS(LdBMember,$P287,LdBKey,"&lt;"&amp;$T287)+COUNTIFS(LdCParty,$P287,LdCKey,"&lt;"&amp;$T287)+1)</f>
        <v/>
      </c>
      <c r="V287">
        <f>IF($U287="","",$P287&amp;"|"&amp;RIGHT("000000"&amp;$U287,6))</f>
        <v/>
      </c>
      <c r="W287">
        <f>IF($T287="","",COUNTIFS(LdBGroup,$R287,LdBKey,"&lt;"&amp;$T287)+1)</f>
        <v/>
      </c>
      <c r="X287">
        <f>IF($W287="","",$R287&amp;"|"&amp;RIGHT("000000"&amp;$W287,6))</f>
        <v/>
      </c>
      <c r="Y287">
        <f>IF($P287="","",IF(Shares!$E290="",0,Shares!$E290))</f>
        <v/>
      </c>
      <c r="Z287">
        <f>IF($P287="","",Shares!$H290)</f>
        <v/>
      </c>
      <c r="AE287">
        <f>IF(OR(Sync!$S287="",Sync!$P287=""),"",Sync!$S287)</f>
        <v/>
      </c>
      <c r="AF287">
        <f>IF($AE287="","",IF(ISNUMBER(Sync!$P287),IF(AND(Sync!$P287&gt;=10000101,Sync!$P287&lt;=99991231),INT(Sync!$P287/10000),""),IFERROR(VALUE(TRIM(LEFT(Sync!$P287,FIND("/",Sync!$P287)-1))),"")))</f>
        <v/>
      </c>
      <c r="AG287">
        <f>IF(OR($AE287="",$AF287=""),"",IF(ISNUMBER(Sync!$P287),INT(MOD(Sync!$P287,10000)/100),IFERROR(VALUE(TRIM(LEFT(MID(Sync!$P287,FIND("/",Sync!$P287)+1,20),FIND("/",MID(Sync!$P287,FIND("/",Sync!$P287)+1,20))-1))),"")))</f>
        <v/>
      </c>
      <c r="AH287">
        <f>IF(OR($AE287="",$AF287=""),"",IF(ISNUMBER(Sync!$P287),MOD(Sync!$P287,100),IFERROR(VALUE(TRIM(MID(MID(Sync!$P287,FIND("/",Sync!$P287)+1,20),FIND("/",MID(Sync!$P287,FIND("/",Sync!$P287)+1,20))+1,20))),"")))</f>
        <v/>
      </c>
      <c r="AI287">
        <f>IF($AE287="","",IF(OR($AF287="",$AG287="",$AH287="",$AF287&lt;1300,$AF287&gt;1500,$AG287&lt;1,$AG287&gt;12,$AH287&lt;1,$AH287&gt;31),"نامعتبر",RIGHT("0000"&amp;$AF287,4)&amp;"/"&amp;RIGHT("00"&amp;$AG287,2)&amp;"/"&amp;RIGHT("00"&amp;$AH287,2)))</f>
        <v/>
      </c>
      <c r="AJ287">
        <f>IF($AE287="","",IF(Sync!$Q287="","0000",IF(AND(ISNUMBER(Sync!$Q287),Sync!$Q287&gt;=0,Sync!$Q287&lt;1),RIGHT("00"&amp;HOUR(Sync!$Q287),2)&amp;RIGHT("00"&amp;MINUTE(Sync!$Q287),2),IFERROR(RIGHT("00"&amp;VALUE(LEFT(Sync!$Q287,FIND(":",Sync!$Q287)-1)),2)&amp;RIGHT("00"&amp;VALUE(MID(Sync!$Q287,FIND(":",Sync!$Q287)+1,2)),2),"0000"))))</f>
        <v/>
      </c>
      <c r="AK287">
        <f>IF(OR($AE287="",$AI287="",$AI287="نامعتبر"),"",LEFT($AI287,4)&amp;MID($AI287,6,2)&amp;RIGHT($AI287,2)&amp;$AJ287&amp;"|"&amp;"3"&amp;RIGHT("00000"&amp;282,5))</f>
        <v/>
      </c>
      <c r="AL287">
        <f>IF($AK287="","",COUNTIFS(LdAParty,$AE287,LdAType,1,LdAKey,"&lt;"&amp;$AK287)+COUNTIFS(LdBMember,$AE287,LdBKey,"&lt;"&amp;$AK287)+COUNTIFS(LdCParty,$AE287,LdCKey,"&lt;"&amp;$AK287)+1)</f>
        <v/>
      </c>
      <c r="AM287">
        <f>IF($AL287="","",$AE287&amp;"|"&amp;RIGHT("000000"&amp;$AL287,6))</f>
        <v/>
      </c>
      <c r="AN287">
        <f>IF($AE287="","",IF(Sync!$W287="",0,Sync!$W287))</f>
        <v/>
      </c>
      <c r="AO287">
        <f>IF($AE287="","",IF(Sync!$X287="",0,Sync!$X287))</f>
        <v/>
      </c>
      <c r="AP287">
        <f>IF($AE287="","",Sync!$R287)</f>
        <v/>
      </c>
      <c r="AQ287">
        <f>IF($AE287="","",Sync!$Y287)</f>
        <v/>
      </c>
    </row>
    <row r="288">
      <c r="A288">
        <f>IF(OR(Wages!$B291="",Wages!$E291=""),"",Wages!$E291)</f>
        <v/>
      </c>
      <c r="B288">
        <f>IF($A288="","",IF(Wages!$C291="دستمزد گروهی",2,1))</f>
        <v/>
      </c>
      <c r="C288">
        <f>IF($A288="","",IF(ISNUMBER(Wages!$B291),IF(AND(Wages!$B291&gt;=10000101,Wages!$B291&lt;=99991231),INT(Wages!$B291/10000),""),IFERROR(VALUE(TRIM(LEFT(Wages!$B291,FIND("/",Wages!$B291)-1))),"")))</f>
        <v/>
      </c>
      <c r="D288">
        <f>IF(OR($A288="",$C288=""),"",IF(ISNUMBER(Wages!$B291),INT(MOD(Wages!$B291,10000)/100),IFERROR(VALUE(TRIM(LEFT(MID(Wages!$B291,FIND("/",Wages!$B291)+1,20),FIND("/",MID(Wages!$B291,FIND("/",Wages!$B291)+1,20))-1))),"")))</f>
        <v/>
      </c>
      <c r="E288">
        <f>IF(OR($A288="",$C288=""),"",IF(ISNUMBER(Wages!$B291),MOD(Wages!$B291,100),IFERROR(VALUE(TRIM(MID(MID(Wages!$B291,FIND("/",Wages!$B291)+1,20),FIND("/",MID(Wages!$B291,FIND("/",Wages!$B291)+1,20))+1,20))),"")))</f>
        <v/>
      </c>
      <c r="F288">
        <f>IF($A288="","",IF(OR($C288="",$D288="",$E288="",$C288&lt;1300,$C288&gt;1500,$D288&lt;1,$D288&gt;12,$E288&lt;1,$E288&gt;31),"نامعتبر",RIGHT("0000"&amp;$C288,4)&amp;"/"&amp;RIGHT("00"&amp;$D288,2)&amp;"/"&amp;RIGHT("00"&amp;$E288,2)))</f>
        <v/>
      </c>
      <c r="G288">
        <f>IF(OR($A288="",$F288="",$F288="نامعتبر"),"",LEFT($F288,4)&amp;MID($F288,6,2)&amp;RIGHT($F288,2)&amp;"0000"&amp;"|"&amp;"1"&amp;RIGHT("00000"&amp;283,5))</f>
        <v/>
      </c>
      <c r="H288">
        <f>IF(OR($B288&lt;&gt;1,$G288=""),"",COUNTIFS(LdAParty,$A288,LdAType,1,LdAKey,"&lt;"&amp;$G288)+COUNTIFS(LdBMember,$A288,LdBKey,"&lt;"&amp;$G288)+COUNTIFS(LdCParty,$A288,LdCKey,"&lt;"&amp;$G288)+1)</f>
        <v/>
      </c>
      <c r="I288">
        <f>IF($H288="","",$A288&amp;"|"&amp;RIGHT("000000"&amp;$H288,6))</f>
        <v/>
      </c>
      <c r="J288">
        <f>IF(OR($B288&lt;&gt;2,$G288=""),"",COUNTIFS(LdAParty,$A288,LdAType,2,LdAKey,"&lt;"&amp;$G288)+1)</f>
        <v/>
      </c>
      <c r="K288">
        <f>IF($J288="","",$A288&amp;"|"&amp;RIGHT("000000"&amp;$J288,6))</f>
        <v/>
      </c>
      <c r="L288">
        <f>IF($A288="","",IF(Wages!$G291="",0,Wages!$G291))</f>
        <v/>
      </c>
      <c r="M288">
        <f>IF($A288="","",Wages!$J291)</f>
        <v/>
      </c>
      <c r="N288">
        <f>IF($A288="","",Wages!$D291)</f>
        <v/>
      </c>
      <c r="P288">
        <f>IF(OR(Shares!$B291="",Shares!$C291=""),"",Shares!$C291)</f>
        <v/>
      </c>
      <c r="Q288">
        <f>IF($P288="","",Shares!$B291)</f>
        <v/>
      </c>
      <c r="R288">
        <f>IF($P288="","",IFERROR(INDEX(WageParty,MATCH($Q288,WageIds,0)),""))</f>
        <v/>
      </c>
      <c r="S288">
        <f>IF($P288="","",IFERROR(INDEX($F$6:$F$2005,MATCH($Q288,WageIds,0)),""))</f>
        <v/>
      </c>
      <c r="T288">
        <f>IF(OR($P288="",$S288="",$S288="نامعتبر"),"",LEFT($S288,4)&amp;MID($S288,6,2)&amp;RIGHT($S288,2)&amp;"0000"&amp;"|"&amp;"2"&amp;RIGHT("00000"&amp;283,5))</f>
        <v/>
      </c>
      <c r="U288">
        <f>IF($T288="","",COUNTIFS(LdAParty,$P288,LdAType,1,LdAKey,"&lt;"&amp;$T288)+COUNTIFS(LdBMember,$P288,LdBKey,"&lt;"&amp;$T288)+COUNTIFS(LdCParty,$P288,LdCKey,"&lt;"&amp;$T288)+1)</f>
        <v/>
      </c>
      <c r="V288">
        <f>IF($U288="","",$P288&amp;"|"&amp;RIGHT("000000"&amp;$U288,6))</f>
        <v/>
      </c>
      <c r="W288">
        <f>IF($T288="","",COUNTIFS(LdBGroup,$R288,LdBKey,"&lt;"&amp;$T288)+1)</f>
        <v/>
      </c>
      <c r="X288">
        <f>IF($W288="","",$R288&amp;"|"&amp;RIGHT("000000"&amp;$W288,6))</f>
        <v/>
      </c>
      <c r="Y288">
        <f>IF($P288="","",IF(Shares!$E291="",0,Shares!$E291))</f>
        <v/>
      </c>
      <c r="Z288">
        <f>IF($P288="","",Shares!$H291)</f>
        <v/>
      </c>
      <c r="AE288">
        <f>IF(OR(Sync!$S288="",Sync!$P288=""),"",Sync!$S288)</f>
        <v/>
      </c>
      <c r="AF288">
        <f>IF($AE288="","",IF(ISNUMBER(Sync!$P288),IF(AND(Sync!$P288&gt;=10000101,Sync!$P288&lt;=99991231),INT(Sync!$P288/10000),""),IFERROR(VALUE(TRIM(LEFT(Sync!$P288,FIND("/",Sync!$P288)-1))),"")))</f>
        <v/>
      </c>
      <c r="AG288">
        <f>IF(OR($AE288="",$AF288=""),"",IF(ISNUMBER(Sync!$P288),INT(MOD(Sync!$P288,10000)/100),IFERROR(VALUE(TRIM(LEFT(MID(Sync!$P288,FIND("/",Sync!$P288)+1,20),FIND("/",MID(Sync!$P288,FIND("/",Sync!$P288)+1,20))-1))),"")))</f>
        <v/>
      </c>
      <c r="AH288">
        <f>IF(OR($AE288="",$AF288=""),"",IF(ISNUMBER(Sync!$P288),MOD(Sync!$P288,100),IFERROR(VALUE(TRIM(MID(MID(Sync!$P288,FIND("/",Sync!$P288)+1,20),FIND("/",MID(Sync!$P288,FIND("/",Sync!$P288)+1,20))+1,20))),"")))</f>
        <v/>
      </c>
      <c r="AI288">
        <f>IF($AE288="","",IF(OR($AF288="",$AG288="",$AH288="",$AF288&lt;1300,$AF288&gt;1500,$AG288&lt;1,$AG288&gt;12,$AH288&lt;1,$AH288&gt;31),"نامعتبر",RIGHT("0000"&amp;$AF288,4)&amp;"/"&amp;RIGHT("00"&amp;$AG288,2)&amp;"/"&amp;RIGHT("00"&amp;$AH288,2)))</f>
        <v/>
      </c>
      <c r="AJ288">
        <f>IF($AE288="","",IF(Sync!$Q288="","0000",IF(AND(ISNUMBER(Sync!$Q288),Sync!$Q288&gt;=0,Sync!$Q288&lt;1),RIGHT("00"&amp;HOUR(Sync!$Q288),2)&amp;RIGHT("00"&amp;MINUTE(Sync!$Q288),2),IFERROR(RIGHT("00"&amp;VALUE(LEFT(Sync!$Q288,FIND(":",Sync!$Q288)-1)),2)&amp;RIGHT("00"&amp;VALUE(MID(Sync!$Q288,FIND(":",Sync!$Q288)+1,2)),2),"0000"))))</f>
        <v/>
      </c>
      <c r="AK288">
        <f>IF(OR($AE288="",$AI288="",$AI288="نامعتبر"),"",LEFT($AI288,4)&amp;MID($AI288,6,2)&amp;RIGHT($AI288,2)&amp;$AJ288&amp;"|"&amp;"3"&amp;RIGHT("00000"&amp;283,5))</f>
        <v/>
      </c>
      <c r="AL288">
        <f>IF($AK288="","",COUNTIFS(LdAParty,$AE288,LdAType,1,LdAKey,"&lt;"&amp;$AK288)+COUNTIFS(LdBMember,$AE288,LdBKey,"&lt;"&amp;$AK288)+COUNTIFS(LdCParty,$AE288,LdCKey,"&lt;"&amp;$AK288)+1)</f>
        <v/>
      </c>
      <c r="AM288">
        <f>IF($AL288="","",$AE288&amp;"|"&amp;RIGHT("000000"&amp;$AL288,6))</f>
        <v/>
      </c>
      <c r="AN288">
        <f>IF($AE288="","",IF(Sync!$W288="",0,Sync!$W288))</f>
        <v/>
      </c>
      <c r="AO288">
        <f>IF($AE288="","",IF(Sync!$X288="",0,Sync!$X288))</f>
        <v/>
      </c>
      <c r="AP288">
        <f>IF($AE288="","",Sync!$R288)</f>
        <v/>
      </c>
      <c r="AQ288">
        <f>IF($AE288="","",Sync!$Y288)</f>
        <v/>
      </c>
    </row>
    <row r="289">
      <c r="A289">
        <f>IF(OR(Wages!$B292="",Wages!$E292=""),"",Wages!$E292)</f>
        <v/>
      </c>
      <c r="B289">
        <f>IF($A289="","",IF(Wages!$C292="دستمزد گروهی",2,1))</f>
        <v/>
      </c>
      <c r="C289">
        <f>IF($A289="","",IF(ISNUMBER(Wages!$B292),IF(AND(Wages!$B292&gt;=10000101,Wages!$B292&lt;=99991231),INT(Wages!$B292/10000),""),IFERROR(VALUE(TRIM(LEFT(Wages!$B292,FIND("/",Wages!$B292)-1))),"")))</f>
        <v/>
      </c>
      <c r="D289">
        <f>IF(OR($A289="",$C289=""),"",IF(ISNUMBER(Wages!$B292),INT(MOD(Wages!$B292,10000)/100),IFERROR(VALUE(TRIM(LEFT(MID(Wages!$B292,FIND("/",Wages!$B292)+1,20),FIND("/",MID(Wages!$B292,FIND("/",Wages!$B292)+1,20))-1))),"")))</f>
        <v/>
      </c>
      <c r="E289">
        <f>IF(OR($A289="",$C289=""),"",IF(ISNUMBER(Wages!$B292),MOD(Wages!$B292,100),IFERROR(VALUE(TRIM(MID(MID(Wages!$B292,FIND("/",Wages!$B292)+1,20),FIND("/",MID(Wages!$B292,FIND("/",Wages!$B292)+1,20))+1,20))),"")))</f>
        <v/>
      </c>
      <c r="F289">
        <f>IF($A289="","",IF(OR($C289="",$D289="",$E289="",$C289&lt;1300,$C289&gt;1500,$D289&lt;1,$D289&gt;12,$E289&lt;1,$E289&gt;31),"نامعتبر",RIGHT("0000"&amp;$C289,4)&amp;"/"&amp;RIGHT("00"&amp;$D289,2)&amp;"/"&amp;RIGHT("00"&amp;$E289,2)))</f>
        <v/>
      </c>
      <c r="G289">
        <f>IF(OR($A289="",$F289="",$F289="نامعتبر"),"",LEFT($F289,4)&amp;MID($F289,6,2)&amp;RIGHT($F289,2)&amp;"0000"&amp;"|"&amp;"1"&amp;RIGHT("00000"&amp;284,5))</f>
        <v/>
      </c>
      <c r="H289">
        <f>IF(OR($B289&lt;&gt;1,$G289=""),"",COUNTIFS(LdAParty,$A289,LdAType,1,LdAKey,"&lt;"&amp;$G289)+COUNTIFS(LdBMember,$A289,LdBKey,"&lt;"&amp;$G289)+COUNTIFS(LdCParty,$A289,LdCKey,"&lt;"&amp;$G289)+1)</f>
        <v/>
      </c>
      <c r="I289">
        <f>IF($H289="","",$A289&amp;"|"&amp;RIGHT("000000"&amp;$H289,6))</f>
        <v/>
      </c>
      <c r="J289">
        <f>IF(OR($B289&lt;&gt;2,$G289=""),"",COUNTIFS(LdAParty,$A289,LdAType,2,LdAKey,"&lt;"&amp;$G289)+1)</f>
        <v/>
      </c>
      <c r="K289">
        <f>IF($J289="","",$A289&amp;"|"&amp;RIGHT("000000"&amp;$J289,6))</f>
        <v/>
      </c>
      <c r="L289">
        <f>IF($A289="","",IF(Wages!$G292="",0,Wages!$G292))</f>
        <v/>
      </c>
      <c r="M289">
        <f>IF($A289="","",Wages!$J292)</f>
        <v/>
      </c>
      <c r="N289">
        <f>IF($A289="","",Wages!$D292)</f>
        <v/>
      </c>
      <c r="P289">
        <f>IF(OR(Shares!$B292="",Shares!$C292=""),"",Shares!$C292)</f>
        <v/>
      </c>
      <c r="Q289">
        <f>IF($P289="","",Shares!$B292)</f>
        <v/>
      </c>
      <c r="R289">
        <f>IF($P289="","",IFERROR(INDEX(WageParty,MATCH($Q289,WageIds,0)),""))</f>
        <v/>
      </c>
      <c r="S289">
        <f>IF($P289="","",IFERROR(INDEX($F$6:$F$2005,MATCH($Q289,WageIds,0)),""))</f>
        <v/>
      </c>
      <c r="T289">
        <f>IF(OR($P289="",$S289="",$S289="نامعتبر"),"",LEFT($S289,4)&amp;MID($S289,6,2)&amp;RIGHT($S289,2)&amp;"0000"&amp;"|"&amp;"2"&amp;RIGHT("00000"&amp;284,5))</f>
        <v/>
      </c>
      <c r="U289">
        <f>IF($T289="","",COUNTIFS(LdAParty,$P289,LdAType,1,LdAKey,"&lt;"&amp;$T289)+COUNTIFS(LdBMember,$P289,LdBKey,"&lt;"&amp;$T289)+COUNTIFS(LdCParty,$P289,LdCKey,"&lt;"&amp;$T289)+1)</f>
        <v/>
      </c>
      <c r="V289">
        <f>IF($U289="","",$P289&amp;"|"&amp;RIGHT("000000"&amp;$U289,6))</f>
        <v/>
      </c>
      <c r="W289">
        <f>IF($T289="","",COUNTIFS(LdBGroup,$R289,LdBKey,"&lt;"&amp;$T289)+1)</f>
        <v/>
      </c>
      <c r="X289">
        <f>IF($W289="","",$R289&amp;"|"&amp;RIGHT("000000"&amp;$W289,6))</f>
        <v/>
      </c>
      <c r="Y289">
        <f>IF($P289="","",IF(Shares!$E292="",0,Shares!$E292))</f>
        <v/>
      </c>
      <c r="Z289">
        <f>IF($P289="","",Shares!$H292)</f>
        <v/>
      </c>
      <c r="AE289">
        <f>IF(OR(Sync!$S289="",Sync!$P289=""),"",Sync!$S289)</f>
        <v/>
      </c>
      <c r="AF289">
        <f>IF($AE289="","",IF(ISNUMBER(Sync!$P289),IF(AND(Sync!$P289&gt;=10000101,Sync!$P289&lt;=99991231),INT(Sync!$P289/10000),""),IFERROR(VALUE(TRIM(LEFT(Sync!$P289,FIND("/",Sync!$P289)-1))),"")))</f>
        <v/>
      </c>
      <c r="AG289">
        <f>IF(OR($AE289="",$AF289=""),"",IF(ISNUMBER(Sync!$P289),INT(MOD(Sync!$P289,10000)/100),IFERROR(VALUE(TRIM(LEFT(MID(Sync!$P289,FIND("/",Sync!$P289)+1,20),FIND("/",MID(Sync!$P289,FIND("/",Sync!$P289)+1,20))-1))),"")))</f>
        <v/>
      </c>
      <c r="AH289">
        <f>IF(OR($AE289="",$AF289=""),"",IF(ISNUMBER(Sync!$P289),MOD(Sync!$P289,100),IFERROR(VALUE(TRIM(MID(MID(Sync!$P289,FIND("/",Sync!$P289)+1,20),FIND("/",MID(Sync!$P289,FIND("/",Sync!$P289)+1,20))+1,20))),"")))</f>
        <v/>
      </c>
      <c r="AI289">
        <f>IF($AE289="","",IF(OR($AF289="",$AG289="",$AH289="",$AF289&lt;1300,$AF289&gt;1500,$AG289&lt;1,$AG289&gt;12,$AH289&lt;1,$AH289&gt;31),"نامعتبر",RIGHT("0000"&amp;$AF289,4)&amp;"/"&amp;RIGHT("00"&amp;$AG289,2)&amp;"/"&amp;RIGHT("00"&amp;$AH289,2)))</f>
        <v/>
      </c>
      <c r="AJ289">
        <f>IF($AE289="","",IF(Sync!$Q289="","0000",IF(AND(ISNUMBER(Sync!$Q289),Sync!$Q289&gt;=0,Sync!$Q289&lt;1),RIGHT("00"&amp;HOUR(Sync!$Q289),2)&amp;RIGHT("00"&amp;MINUTE(Sync!$Q289),2),IFERROR(RIGHT("00"&amp;VALUE(LEFT(Sync!$Q289,FIND(":",Sync!$Q289)-1)),2)&amp;RIGHT("00"&amp;VALUE(MID(Sync!$Q289,FIND(":",Sync!$Q289)+1,2)),2),"0000"))))</f>
        <v/>
      </c>
      <c r="AK289">
        <f>IF(OR($AE289="",$AI289="",$AI289="نامعتبر"),"",LEFT($AI289,4)&amp;MID($AI289,6,2)&amp;RIGHT($AI289,2)&amp;$AJ289&amp;"|"&amp;"3"&amp;RIGHT("00000"&amp;284,5))</f>
        <v/>
      </c>
      <c r="AL289">
        <f>IF($AK289="","",COUNTIFS(LdAParty,$AE289,LdAType,1,LdAKey,"&lt;"&amp;$AK289)+COUNTIFS(LdBMember,$AE289,LdBKey,"&lt;"&amp;$AK289)+COUNTIFS(LdCParty,$AE289,LdCKey,"&lt;"&amp;$AK289)+1)</f>
        <v/>
      </c>
      <c r="AM289">
        <f>IF($AL289="","",$AE289&amp;"|"&amp;RIGHT("000000"&amp;$AL289,6))</f>
        <v/>
      </c>
      <c r="AN289">
        <f>IF($AE289="","",IF(Sync!$W289="",0,Sync!$W289))</f>
        <v/>
      </c>
      <c r="AO289">
        <f>IF($AE289="","",IF(Sync!$X289="",0,Sync!$X289))</f>
        <v/>
      </c>
      <c r="AP289">
        <f>IF($AE289="","",Sync!$R289)</f>
        <v/>
      </c>
      <c r="AQ289">
        <f>IF($AE289="","",Sync!$Y289)</f>
        <v/>
      </c>
    </row>
    <row r="290">
      <c r="A290">
        <f>IF(OR(Wages!$B293="",Wages!$E293=""),"",Wages!$E293)</f>
        <v/>
      </c>
      <c r="B290">
        <f>IF($A290="","",IF(Wages!$C293="دستمزد گروهی",2,1))</f>
        <v/>
      </c>
      <c r="C290">
        <f>IF($A290="","",IF(ISNUMBER(Wages!$B293),IF(AND(Wages!$B293&gt;=10000101,Wages!$B293&lt;=99991231),INT(Wages!$B293/10000),""),IFERROR(VALUE(TRIM(LEFT(Wages!$B293,FIND("/",Wages!$B293)-1))),"")))</f>
        <v/>
      </c>
      <c r="D290">
        <f>IF(OR($A290="",$C290=""),"",IF(ISNUMBER(Wages!$B293),INT(MOD(Wages!$B293,10000)/100),IFERROR(VALUE(TRIM(LEFT(MID(Wages!$B293,FIND("/",Wages!$B293)+1,20),FIND("/",MID(Wages!$B293,FIND("/",Wages!$B293)+1,20))-1))),"")))</f>
        <v/>
      </c>
      <c r="E290">
        <f>IF(OR($A290="",$C290=""),"",IF(ISNUMBER(Wages!$B293),MOD(Wages!$B293,100),IFERROR(VALUE(TRIM(MID(MID(Wages!$B293,FIND("/",Wages!$B293)+1,20),FIND("/",MID(Wages!$B293,FIND("/",Wages!$B293)+1,20))+1,20))),"")))</f>
        <v/>
      </c>
      <c r="F290">
        <f>IF($A290="","",IF(OR($C290="",$D290="",$E290="",$C290&lt;1300,$C290&gt;1500,$D290&lt;1,$D290&gt;12,$E290&lt;1,$E290&gt;31),"نامعتبر",RIGHT("0000"&amp;$C290,4)&amp;"/"&amp;RIGHT("00"&amp;$D290,2)&amp;"/"&amp;RIGHT("00"&amp;$E290,2)))</f>
        <v/>
      </c>
      <c r="G290">
        <f>IF(OR($A290="",$F290="",$F290="نامعتبر"),"",LEFT($F290,4)&amp;MID($F290,6,2)&amp;RIGHT($F290,2)&amp;"0000"&amp;"|"&amp;"1"&amp;RIGHT("00000"&amp;285,5))</f>
        <v/>
      </c>
      <c r="H290">
        <f>IF(OR($B290&lt;&gt;1,$G290=""),"",COUNTIFS(LdAParty,$A290,LdAType,1,LdAKey,"&lt;"&amp;$G290)+COUNTIFS(LdBMember,$A290,LdBKey,"&lt;"&amp;$G290)+COUNTIFS(LdCParty,$A290,LdCKey,"&lt;"&amp;$G290)+1)</f>
        <v/>
      </c>
      <c r="I290">
        <f>IF($H290="","",$A290&amp;"|"&amp;RIGHT("000000"&amp;$H290,6))</f>
        <v/>
      </c>
      <c r="J290">
        <f>IF(OR($B290&lt;&gt;2,$G290=""),"",COUNTIFS(LdAParty,$A290,LdAType,2,LdAKey,"&lt;"&amp;$G290)+1)</f>
        <v/>
      </c>
      <c r="K290">
        <f>IF($J290="","",$A290&amp;"|"&amp;RIGHT("000000"&amp;$J290,6))</f>
        <v/>
      </c>
      <c r="L290">
        <f>IF($A290="","",IF(Wages!$G293="",0,Wages!$G293))</f>
        <v/>
      </c>
      <c r="M290">
        <f>IF($A290="","",Wages!$J293)</f>
        <v/>
      </c>
      <c r="N290">
        <f>IF($A290="","",Wages!$D293)</f>
        <v/>
      </c>
      <c r="P290">
        <f>IF(OR(Shares!$B293="",Shares!$C293=""),"",Shares!$C293)</f>
        <v/>
      </c>
      <c r="Q290">
        <f>IF($P290="","",Shares!$B293)</f>
        <v/>
      </c>
      <c r="R290">
        <f>IF($P290="","",IFERROR(INDEX(WageParty,MATCH($Q290,WageIds,0)),""))</f>
        <v/>
      </c>
      <c r="S290">
        <f>IF($P290="","",IFERROR(INDEX($F$6:$F$2005,MATCH($Q290,WageIds,0)),""))</f>
        <v/>
      </c>
      <c r="T290">
        <f>IF(OR($P290="",$S290="",$S290="نامعتبر"),"",LEFT($S290,4)&amp;MID($S290,6,2)&amp;RIGHT($S290,2)&amp;"0000"&amp;"|"&amp;"2"&amp;RIGHT("00000"&amp;285,5))</f>
        <v/>
      </c>
      <c r="U290">
        <f>IF($T290="","",COUNTIFS(LdAParty,$P290,LdAType,1,LdAKey,"&lt;"&amp;$T290)+COUNTIFS(LdBMember,$P290,LdBKey,"&lt;"&amp;$T290)+COUNTIFS(LdCParty,$P290,LdCKey,"&lt;"&amp;$T290)+1)</f>
        <v/>
      </c>
      <c r="V290">
        <f>IF($U290="","",$P290&amp;"|"&amp;RIGHT("000000"&amp;$U290,6))</f>
        <v/>
      </c>
      <c r="W290">
        <f>IF($T290="","",COUNTIFS(LdBGroup,$R290,LdBKey,"&lt;"&amp;$T290)+1)</f>
        <v/>
      </c>
      <c r="X290">
        <f>IF($W290="","",$R290&amp;"|"&amp;RIGHT("000000"&amp;$W290,6))</f>
        <v/>
      </c>
      <c r="Y290">
        <f>IF($P290="","",IF(Shares!$E293="",0,Shares!$E293))</f>
        <v/>
      </c>
      <c r="Z290">
        <f>IF($P290="","",Shares!$H293)</f>
        <v/>
      </c>
      <c r="AE290">
        <f>IF(OR(Sync!$S290="",Sync!$P290=""),"",Sync!$S290)</f>
        <v/>
      </c>
      <c r="AF290">
        <f>IF($AE290="","",IF(ISNUMBER(Sync!$P290),IF(AND(Sync!$P290&gt;=10000101,Sync!$P290&lt;=99991231),INT(Sync!$P290/10000),""),IFERROR(VALUE(TRIM(LEFT(Sync!$P290,FIND("/",Sync!$P290)-1))),"")))</f>
        <v/>
      </c>
      <c r="AG290">
        <f>IF(OR($AE290="",$AF290=""),"",IF(ISNUMBER(Sync!$P290),INT(MOD(Sync!$P290,10000)/100),IFERROR(VALUE(TRIM(LEFT(MID(Sync!$P290,FIND("/",Sync!$P290)+1,20),FIND("/",MID(Sync!$P290,FIND("/",Sync!$P290)+1,20))-1))),"")))</f>
        <v/>
      </c>
      <c r="AH290">
        <f>IF(OR($AE290="",$AF290=""),"",IF(ISNUMBER(Sync!$P290),MOD(Sync!$P290,100),IFERROR(VALUE(TRIM(MID(MID(Sync!$P290,FIND("/",Sync!$P290)+1,20),FIND("/",MID(Sync!$P290,FIND("/",Sync!$P290)+1,20))+1,20))),"")))</f>
        <v/>
      </c>
      <c r="AI290">
        <f>IF($AE290="","",IF(OR($AF290="",$AG290="",$AH290="",$AF290&lt;1300,$AF290&gt;1500,$AG290&lt;1,$AG290&gt;12,$AH290&lt;1,$AH290&gt;31),"نامعتبر",RIGHT("0000"&amp;$AF290,4)&amp;"/"&amp;RIGHT("00"&amp;$AG290,2)&amp;"/"&amp;RIGHT("00"&amp;$AH290,2)))</f>
        <v/>
      </c>
      <c r="AJ290">
        <f>IF($AE290="","",IF(Sync!$Q290="","0000",IF(AND(ISNUMBER(Sync!$Q290),Sync!$Q290&gt;=0,Sync!$Q290&lt;1),RIGHT("00"&amp;HOUR(Sync!$Q290),2)&amp;RIGHT("00"&amp;MINUTE(Sync!$Q290),2),IFERROR(RIGHT("00"&amp;VALUE(LEFT(Sync!$Q290,FIND(":",Sync!$Q290)-1)),2)&amp;RIGHT("00"&amp;VALUE(MID(Sync!$Q290,FIND(":",Sync!$Q290)+1,2)),2),"0000"))))</f>
        <v/>
      </c>
      <c r="AK290">
        <f>IF(OR($AE290="",$AI290="",$AI290="نامعتبر"),"",LEFT($AI290,4)&amp;MID($AI290,6,2)&amp;RIGHT($AI290,2)&amp;$AJ290&amp;"|"&amp;"3"&amp;RIGHT("00000"&amp;285,5))</f>
        <v/>
      </c>
      <c r="AL290">
        <f>IF($AK290="","",COUNTIFS(LdAParty,$AE290,LdAType,1,LdAKey,"&lt;"&amp;$AK290)+COUNTIFS(LdBMember,$AE290,LdBKey,"&lt;"&amp;$AK290)+COUNTIFS(LdCParty,$AE290,LdCKey,"&lt;"&amp;$AK290)+1)</f>
        <v/>
      </c>
      <c r="AM290">
        <f>IF($AL290="","",$AE290&amp;"|"&amp;RIGHT("000000"&amp;$AL290,6))</f>
        <v/>
      </c>
      <c r="AN290">
        <f>IF($AE290="","",IF(Sync!$W290="",0,Sync!$W290))</f>
        <v/>
      </c>
      <c r="AO290">
        <f>IF($AE290="","",IF(Sync!$X290="",0,Sync!$X290))</f>
        <v/>
      </c>
      <c r="AP290">
        <f>IF($AE290="","",Sync!$R290)</f>
        <v/>
      </c>
      <c r="AQ290">
        <f>IF($AE290="","",Sync!$Y290)</f>
        <v/>
      </c>
    </row>
    <row r="291">
      <c r="A291">
        <f>IF(OR(Wages!$B294="",Wages!$E294=""),"",Wages!$E294)</f>
        <v/>
      </c>
      <c r="B291">
        <f>IF($A291="","",IF(Wages!$C294="دستمزد گروهی",2,1))</f>
        <v/>
      </c>
      <c r="C291">
        <f>IF($A291="","",IF(ISNUMBER(Wages!$B294),IF(AND(Wages!$B294&gt;=10000101,Wages!$B294&lt;=99991231),INT(Wages!$B294/10000),""),IFERROR(VALUE(TRIM(LEFT(Wages!$B294,FIND("/",Wages!$B294)-1))),"")))</f>
        <v/>
      </c>
      <c r="D291">
        <f>IF(OR($A291="",$C291=""),"",IF(ISNUMBER(Wages!$B294),INT(MOD(Wages!$B294,10000)/100),IFERROR(VALUE(TRIM(LEFT(MID(Wages!$B294,FIND("/",Wages!$B294)+1,20),FIND("/",MID(Wages!$B294,FIND("/",Wages!$B294)+1,20))-1))),"")))</f>
        <v/>
      </c>
      <c r="E291">
        <f>IF(OR($A291="",$C291=""),"",IF(ISNUMBER(Wages!$B294),MOD(Wages!$B294,100),IFERROR(VALUE(TRIM(MID(MID(Wages!$B294,FIND("/",Wages!$B294)+1,20),FIND("/",MID(Wages!$B294,FIND("/",Wages!$B294)+1,20))+1,20))),"")))</f>
        <v/>
      </c>
      <c r="F291">
        <f>IF($A291="","",IF(OR($C291="",$D291="",$E291="",$C291&lt;1300,$C291&gt;1500,$D291&lt;1,$D291&gt;12,$E291&lt;1,$E291&gt;31),"نامعتبر",RIGHT("0000"&amp;$C291,4)&amp;"/"&amp;RIGHT("00"&amp;$D291,2)&amp;"/"&amp;RIGHT("00"&amp;$E291,2)))</f>
        <v/>
      </c>
      <c r="G291">
        <f>IF(OR($A291="",$F291="",$F291="نامعتبر"),"",LEFT($F291,4)&amp;MID($F291,6,2)&amp;RIGHT($F291,2)&amp;"0000"&amp;"|"&amp;"1"&amp;RIGHT("00000"&amp;286,5))</f>
        <v/>
      </c>
      <c r="H291">
        <f>IF(OR($B291&lt;&gt;1,$G291=""),"",COUNTIFS(LdAParty,$A291,LdAType,1,LdAKey,"&lt;"&amp;$G291)+COUNTIFS(LdBMember,$A291,LdBKey,"&lt;"&amp;$G291)+COUNTIFS(LdCParty,$A291,LdCKey,"&lt;"&amp;$G291)+1)</f>
        <v/>
      </c>
      <c r="I291">
        <f>IF($H291="","",$A291&amp;"|"&amp;RIGHT("000000"&amp;$H291,6))</f>
        <v/>
      </c>
      <c r="J291">
        <f>IF(OR($B291&lt;&gt;2,$G291=""),"",COUNTIFS(LdAParty,$A291,LdAType,2,LdAKey,"&lt;"&amp;$G291)+1)</f>
        <v/>
      </c>
      <c r="K291">
        <f>IF($J291="","",$A291&amp;"|"&amp;RIGHT("000000"&amp;$J291,6))</f>
        <v/>
      </c>
      <c r="L291">
        <f>IF($A291="","",IF(Wages!$G294="",0,Wages!$G294))</f>
        <v/>
      </c>
      <c r="M291">
        <f>IF($A291="","",Wages!$J294)</f>
        <v/>
      </c>
      <c r="N291">
        <f>IF($A291="","",Wages!$D294)</f>
        <v/>
      </c>
      <c r="P291">
        <f>IF(OR(Shares!$B294="",Shares!$C294=""),"",Shares!$C294)</f>
        <v/>
      </c>
      <c r="Q291">
        <f>IF($P291="","",Shares!$B294)</f>
        <v/>
      </c>
      <c r="R291">
        <f>IF($P291="","",IFERROR(INDEX(WageParty,MATCH($Q291,WageIds,0)),""))</f>
        <v/>
      </c>
      <c r="S291">
        <f>IF($P291="","",IFERROR(INDEX($F$6:$F$2005,MATCH($Q291,WageIds,0)),""))</f>
        <v/>
      </c>
      <c r="T291">
        <f>IF(OR($P291="",$S291="",$S291="نامعتبر"),"",LEFT($S291,4)&amp;MID($S291,6,2)&amp;RIGHT($S291,2)&amp;"0000"&amp;"|"&amp;"2"&amp;RIGHT("00000"&amp;286,5))</f>
        <v/>
      </c>
      <c r="U291">
        <f>IF($T291="","",COUNTIFS(LdAParty,$P291,LdAType,1,LdAKey,"&lt;"&amp;$T291)+COUNTIFS(LdBMember,$P291,LdBKey,"&lt;"&amp;$T291)+COUNTIFS(LdCParty,$P291,LdCKey,"&lt;"&amp;$T291)+1)</f>
        <v/>
      </c>
      <c r="V291">
        <f>IF($U291="","",$P291&amp;"|"&amp;RIGHT("000000"&amp;$U291,6))</f>
        <v/>
      </c>
      <c r="W291">
        <f>IF($T291="","",COUNTIFS(LdBGroup,$R291,LdBKey,"&lt;"&amp;$T291)+1)</f>
        <v/>
      </c>
      <c r="X291">
        <f>IF($W291="","",$R291&amp;"|"&amp;RIGHT("000000"&amp;$W291,6))</f>
        <v/>
      </c>
      <c r="Y291">
        <f>IF($P291="","",IF(Shares!$E294="",0,Shares!$E294))</f>
        <v/>
      </c>
      <c r="Z291">
        <f>IF($P291="","",Shares!$H294)</f>
        <v/>
      </c>
      <c r="AE291">
        <f>IF(OR(Sync!$S291="",Sync!$P291=""),"",Sync!$S291)</f>
        <v/>
      </c>
      <c r="AF291">
        <f>IF($AE291="","",IF(ISNUMBER(Sync!$P291),IF(AND(Sync!$P291&gt;=10000101,Sync!$P291&lt;=99991231),INT(Sync!$P291/10000),""),IFERROR(VALUE(TRIM(LEFT(Sync!$P291,FIND("/",Sync!$P291)-1))),"")))</f>
        <v/>
      </c>
      <c r="AG291">
        <f>IF(OR($AE291="",$AF291=""),"",IF(ISNUMBER(Sync!$P291),INT(MOD(Sync!$P291,10000)/100),IFERROR(VALUE(TRIM(LEFT(MID(Sync!$P291,FIND("/",Sync!$P291)+1,20),FIND("/",MID(Sync!$P291,FIND("/",Sync!$P291)+1,20))-1))),"")))</f>
        <v/>
      </c>
      <c r="AH291">
        <f>IF(OR($AE291="",$AF291=""),"",IF(ISNUMBER(Sync!$P291),MOD(Sync!$P291,100),IFERROR(VALUE(TRIM(MID(MID(Sync!$P291,FIND("/",Sync!$P291)+1,20),FIND("/",MID(Sync!$P291,FIND("/",Sync!$P291)+1,20))+1,20))),"")))</f>
        <v/>
      </c>
      <c r="AI291">
        <f>IF($AE291="","",IF(OR($AF291="",$AG291="",$AH291="",$AF291&lt;1300,$AF291&gt;1500,$AG291&lt;1,$AG291&gt;12,$AH291&lt;1,$AH291&gt;31),"نامعتبر",RIGHT("0000"&amp;$AF291,4)&amp;"/"&amp;RIGHT("00"&amp;$AG291,2)&amp;"/"&amp;RIGHT("00"&amp;$AH291,2)))</f>
        <v/>
      </c>
      <c r="AJ291">
        <f>IF($AE291="","",IF(Sync!$Q291="","0000",IF(AND(ISNUMBER(Sync!$Q291),Sync!$Q291&gt;=0,Sync!$Q291&lt;1),RIGHT("00"&amp;HOUR(Sync!$Q291),2)&amp;RIGHT("00"&amp;MINUTE(Sync!$Q291),2),IFERROR(RIGHT("00"&amp;VALUE(LEFT(Sync!$Q291,FIND(":",Sync!$Q291)-1)),2)&amp;RIGHT("00"&amp;VALUE(MID(Sync!$Q291,FIND(":",Sync!$Q291)+1,2)),2),"0000"))))</f>
        <v/>
      </c>
      <c r="AK291">
        <f>IF(OR($AE291="",$AI291="",$AI291="نامعتبر"),"",LEFT($AI291,4)&amp;MID($AI291,6,2)&amp;RIGHT($AI291,2)&amp;$AJ291&amp;"|"&amp;"3"&amp;RIGHT("00000"&amp;286,5))</f>
        <v/>
      </c>
      <c r="AL291">
        <f>IF($AK291="","",COUNTIFS(LdAParty,$AE291,LdAType,1,LdAKey,"&lt;"&amp;$AK291)+COUNTIFS(LdBMember,$AE291,LdBKey,"&lt;"&amp;$AK291)+COUNTIFS(LdCParty,$AE291,LdCKey,"&lt;"&amp;$AK291)+1)</f>
        <v/>
      </c>
      <c r="AM291">
        <f>IF($AL291="","",$AE291&amp;"|"&amp;RIGHT("000000"&amp;$AL291,6))</f>
        <v/>
      </c>
      <c r="AN291">
        <f>IF($AE291="","",IF(Sync!$W291="",0,Sync!$W291))</f>
        <v/>
      </c>
      <c r="AO291">
        <f>IF($AE291="","",IF(Sync!$X291="",0,Sync!$X291))</f>
        <v/>
      </c>
      <c r="AP291">
        <f>IF($AE291="","",Sync!$R291)</f>
        <v/>
      </c>
      <c r="AQ291">
        <f>IF($AE291="","",Sync!$Y291)</f>
        <v/>
      </c>
    </row>
    <row r="292">
      <c r="A292">
        <f>IF(OR(Wages!$B295="",Wages!$E295=""),"",Wages!$E295)</f>
        <v/>
      </c>
      <c r="B292">
        <f>IF($A292="","",IF(Wages!$C295="دستمزد گروهی",2,1))</f>
        <v/>
      </c>
      <c r="C292">
        <f>IF($A292="","",IF(ISNUMBER(Wages!$B295),IF(AND(Wages!$B295&gt;=10000101,Wages!$B295&lt;=99991231),INT(Wages!$B295/10000),""),IFERROR(VALUE(TRIM(LEFT(Wages!$B295,FIND("/",Wages!$B295)-1))),"")))</f>
        <v/>
      </c>
      <c r="D292">
        <f>IF(OR($A292="",$C292=""),"",IF(ISNUMBER(Wages!$B295),INT(MOD(Wages!$B295,10000)/100),IFERROR(VALUE(TRIM(LEFT(MID(Wages!$B295,FIND("/",Wages!$B295)+1,20),FIND("/",MID(Wages!$B295,FIND("/",Wages!$B295)+1,20))-1))),"")))</f>
        <v/>
      </c>
      <c r="E292">
        <f>IF(OR($A292="",$C292=""),"",IF(ISNUMBER(Wages!$B295),MOD(Wages!$B295,100),IFERROR(VALUE(TRIM(MID(MID(Wages!$B295,FIND("/",Wages!$B295)+1,20),FIND("/",MID(Wages!$B295,FIND("/",Wages!$B295)+1,20))+1,20))),"")))</f>
        <v/>
      </c>
      <c r="F292">
        <f>IF($A292="","",IF(OR($C292="",$D292="",$E292="",$C292&lt;1300,$C292&gt;1500,$D292&lt;1,$D292&gt;12,$E292&lt;1,$E292&gt;31),"نامعتبر",RIGHT("0000"&amp;$C292,4)&amp;"/"&amp;RIGHT("00"&amp;$D292,2)&amp;"/"&amp;RIGHT("00"&amp;$E292,2)))</f>
        <v/>
      </c>
      <c r="G292">
        <f>IF(OR($A292="",$F292="",$F292="نامعتبر"),"",LEFT($F292,4)&amp;MID($F292,6,2)&amp;RIGHT($F292,2)&amp;"0000"&amp;"|"&amp;"1"&amp;RIGHT("00000"&amp;287,5))</f>
        <v/>
      </c>
      <c r="H292">
        <f>IF(OR($B292&lt;&gt;1,$G292=""),"",COUNTIFS(LdAParty,$A292,LdAType,1,LdAKey,"&lt;"&amp;$G292)+COUNTIFS(LdBMember,$A292,LdBKey,"&lt;"&amp;$G292)+COUNTIFS(LdCParty,$A292,LdCKey,"&lt;"&amp;$G292)+1)</f>
        <v/>
      </c>
      <c r="I292">
        <f>IF($H292="","",$A292&amp;"|"&amp;RIGHT("000000"&amp;$H292,6))</f>
        <v/>
      </c>
      <c r="J292">
        <f>IF(OR($B292&lt;&gt;2,$G292=""),"",COUNTIFS(LdAParty,$A292,LdAType,2,LdAKey,"&lt;"&amp;$G292)+1)</f>
        <v/>
      </c>
      <c r="K292">
        <f>IF($J292="","",$A292&amp;"|"&amp;RIGHT("000000"&amp;$J292,6))</f>
        <v/>
      </c>
      <c r="L292">
        <f>IF($A292="","",IF(Wages!$G295="",0,Wages!$G295))</f>
        <v/>
      </c>
      <c r="M292">
        <f>IF($A292="","",Wages!$J295)</f>
        <v/>
      </c>
      <c r="N292">
        <f>IF($A292="","",Wages!$D295)</f>
        <v/>
      </c>
      <c r="P292">
        <f>IF(OR(Shares!$B295="",Shares!$C295=""),"",Shares!$C295)</f>
        <v/>
      </c>
      <c r="Q292">
        <f>IF($P292="","",Shares!$B295)</f>
        <v/>
      </c>
      <c r="R292">
        <f>IF($P292="","",IFERROR(INDEX(WageParty,MATCH($Q292,WageIds,0)),""))</f>
        <v/>
      </c>
      <c r="S292">
        <f>IF($P292="","",IFERROR(INDEX($F$6:$F$2005,MATCH($Q292,WageIds,0)),""))</f>
        <v/>
      </c>
      <c r="T292">
        <f>IF(OR($P292="",$S292="",$S292="نامعتبر"),"",LEFT($S292,4)&amp;MID($S292,6,2)&amp;RIGHT($S292,2)&amp;"0000"&amp;"|"&amp;"2"&amp;RIGHT("00000"&amp;287,5))</f>
        <v/>
      </c>
      <c r="U292">
        <f>IF($T292="","",COUNTIFS(LdAParty,$P292,LdAType,1,LdAKey,"&lt;"&amp;$T292)+COUNTIFS(LdBMember,$P292,LdBKey,"&lt;"&amp;$T292)+COUNTIFS(LdCParty,$P292,LdCKey,"&lt;"&amp;$T292)+1)</f>
        <v/>
      </c>
      <c r="V292">
        <f>IF($U292="","",$P292&amp;"|"&amp;RIGHT("000000"&amp;$U292,6))</f>
        <v/>
      </c>
      <c r="W292">
        <f>IF($T292="","",COUNTIFS(LdBGroup,$R292,LdBKey,"&lt;"&amp;$T292)+1)</f>
        <v/>
      </c>
      <c r="X292">
        <f>IF($W292="","",$R292&amp;"|"&amp;RIGHT("000000"&amp;$W292,6))</f>
        <v/>
      </c>
      <c r="Y292">
        <f>IF($P292="","",IF(Shares!$E295="",0,Shares!$E295))</f>
        <v/>
      </c>
      <c r="Z292">
        <f>IF($P292="","",Shares!$H295)</f>
        <v/>
      </c>
      <c r="AE292">
        <f>IF(OR(Sync!$S292="",Sync!$P292=""),"",Sync!$S292)</f>
        <v/>
      </c>
      <c r="AF292">
        <f>IF($AE292="","",IF(ISNUMBER(Sync!$P292),IF(AND(Sync!$P292&gt;=10000101,Sync!$P292&lt;=99991231),INT(Sync!$P292/10000),""),IFERROR(VALUE(TRIM(LEFT(Sync!$P292,FIND("/",Sync!$P292)-1))),"")))</f>
        <v/>
      </c>
      <c r="AG292">
        <f>IF(OR($AE292="",$AF292=""),"",IF(ISNUMBER(Sync!$P292),INT(MOD(Sync!$P292,10000)/100),IFERROR(VALUE(TRIM(LEFT(MID(Sync!$P292,FIND("/",Sync!$P292)+1,20),FIND("/",MID(Sync!$P292,FIND("/",Sync!$P292)+1,20))-1))),"")))</f>
        <v/>
      </c>
      <c r="AH292">
        <f>IF(OR($AE292="",$AF292=""),"",IF(ISNUMBER(Sync!$P292),MOD(Sync!$P292,100),IFERROR(VALUE(TRIM(MID(MID(Sync!$P292,FIND("/",Sync!$P292)+1,20),FIND("/",MID(Sync!$P292,FIND("/",Sync!$P292)+1,20))+1,20))),"")))</f>
        <v/>
      </c>
      <c r="AI292">
        <f>IF($AE292="","",IF(OR($AF292="",$AG292="",$AH292="",$AF292&lt;1300,$AF292&gt;1500,$AG292&lt;1,$AG292&gt;12,$AH292&lt;1,$AH292&gt;31),"نامعتبر",RIGHT("0000"&amp;$AF292,4)&amp;"/"&amp;RIGHT("00"&amp;$AG292,2)&amp;"/"&amp;RIGHT("00"&amp;$AH292,2)))</f>
        <v/>
      </c>
      <c r="AJ292">
        <f>IF($AE292="","",IF(Sync!$Q292="","0000",IF(AND(ISNUMBER(Sync!$Q292),Sync!$Q292&gt;=0,Sync!$Q292&lt;1),RIGHT("00"&amp;HOUR(Sync!$Q292),2)&amp;RIGHT("00"&amp;MINUTE(Sync!$Q292),2),IFERROR(RIGHT("00"&amp;VALUE(LEFT(Sync!$Q292,FIND(":",Sync!$Q292)-1)),2)&amp;RIGHT("00"&amp;VALUE(MID(Sync!$Q292,FIND(":",Sync!$Q292)+1,2)),2),"0000"))))</f>
        <v/>
      </c>
      <c r="AK292">
        <f>IF(OR($AE292="",$AI292="",$AI292="نامعتبر"),"",LEFT($AI292,4)&amp;MID($AI292,6,2)&amp;RIGHT($AI292,2)&amp;$AJ292&amp;"|"&amp;"3"&amp;RIGHT("00000"&amp;287,5))</f>
        <v/>
      </c>
      <c r="AL292">
        <f>IF($AK292="","",COUNTIFS(LdAParty,$AE292,LdAType,1,LdAKey,"&lt;"&amp;$AK292)+COUNTIFS(LdBMember,$AE292,LdBKey,"&lt;"&amp;$AK292)+COUNTIFS(LdCParty,$AE292,LdCKey,"&lt;"&amp;$AK292)+1)</f>
        <v/>
      </c>
      <c r="AM292">
        <f>IF($AL292="","",$AE292&amp;"|"&amp;RIGHT("000000"&amp;$AL292,6))</f>
        <v/>
      </c>
      <c r="AN292">
        <f>IF($AE292="","",IF(Sync!$W292="",0,Sync!$W292))</f>
        <v/>
      </c>
      <c r="AO292">
        <f>IF($AE292="","",IF(Sync!$X292="",0,Sync!$X292))</f>
        <v/>
      </c>
      <c r="AP292">
        <f>IF($AE292="","",Sync!$R292)</f>
        <v/>
      </c>
      <c r="AQ292">
        <f>IF($AE292="","",Sync!$Y292)</f>
        <v/>
      </c>
    </row>
    <row r="293">
      <c r="A293">
        <f>IF(OR(Wages!$B296="",Wages!$E296=""),"",Wages!$E296)</f>
        <v/>
      </c>
      <c r="B293">
        <f>IF($A293="","",IF(Wages!$C296="دستمزد گروهی",2,1))</f>
        <v/>
      </c>
      <c r="C293">
        <f>IF($A293="","",IF(ISNUMBER(Wages!$B296),IF(AND(Wages!$B296&gt;=10000101,Wages!$B296&lt;=99991231),INT(Wages!$B296/10000),""),IFERROR(VALUE(TRIM(LEFT(Wages!$B296,FIND("/",Wages!$B296)-1))),"")))</f>
        <v/>
      </c>
      <c r="D293">
        <f>IF(OR($A293="",$C293=""),"",IF(ISNUMBER(Wages!$B296),INT(MOD(Wages!$B296,10000)/100),IFERROR(VALUE(TRIM(LEFT(MID(Wages!$B296,FIND("/",Wages!$B296)+1,20),FIND("/",MID(Wages!$B296,FIND("/",Wages!$B296)+1,20))-1))),"")))</f>
        <v/>
      </c>
      <c r="E293">
        <f>IF(OR($A293="",$C293=""),"",IF(ISNUMBER(Wages!$B296),MOD(Wages!$B296,100),IFERROR(VALUE(TRIM(MID(MID(Wages!$B296,FIND("/",Wages!$B296)+1,20),FIND("/",MID(Wages!$B296,FIND("/",Wages!$B296)+1,20))+1,20))),"")))</f>
        <v/>
      </c>
      <c r="F293">
        <f>IF($A293="","",IF(OR($C293="",$D293="",$E293="",$C293&lt;1300,$C293&gt;1500,$D293&lt;1,$D293&gt;12,$E293&lt;1,$E293&gt;31),"نامعتبر",RIGHT("0000"&amp;$C293,4)&amp;"/"&amp;RIGHT("00"&amp;$D293,2)&amp;"/"&amp;RIGHT("00"&amp;$E293,2)))</f>
        <v/>
      </c>
      <c r="G293">
        <f>IF(OR($A293="",$F293="",$F293="نامعتبر"),"",LEFT($F293,4)&amp;MID($F293,6,2)&amp;RIGHT($F293,2)&amp;"0000"&amp;"|"&amp;"1"&amp;RIGHT("00000"&amp;288,5))</f>
        <v/>
      </c>
      <c r="H293">
        <f>IF(OR($B293&lt;&gt;1,$G293=""),"",COUNTIFS(LdAParty,$A293,LdAType,1,LdAKey,"&lt;"&amp;$G293)+COUNTIFS(LdBMember,$A293,LdBKey,"&lt;"&amp;$G293)+COUNTIFS(LdCParty,$A293,LdCKey,"&lt;"&amp;$G293)+1)</f>
        <v/>
      </c>
      <c r="I293">
        <f>IF($H293="","",$A293&amp;"|"&amp;RIGHT("000000"&amp;$H293,6))</f>
        <v/>
      </c>
      <c r="J293">
        <f>IF(OR($B293&lt;&gt;2,$G293=""),"",COUNTIFS(LdAParty,$A293,LdAType,2,LdAKey,"&lt;"&amp;$G293)+1)</f>
        <v/>
      </c>
      <c r="K293">
        <f>IF($J293="","",$A293&amp;"|"&amp;RIGHT("000000"&amp;$J293,6))</f>
        <v/>
      </c>
      <c r="L293">
        <f>IF($A293="","",IF(Wages!$G296="",0,Wages!$G296))</f>
        <v/>
      </c>
      <c r="M293">
        <f>IF($A293="","",Wages!$J296)</f>
        <v/>
      </c>
      <c r="N293">
        <f>IF($A293="","",Wages!$D296)</f>
        <v/>
      </c>
      <c r="P293">
        <f>IF(OR(Shares!$B296="",Shares!$C296=""),"",Shares!$C296)</f>
        <v/>
      </c>
      <c r="Q293">
        <f>IF($P293="","",Shares!$B296)</f>
        <v/>
      </c>
      <c r="R293">
        <f>IF($P293="","",IFERROR(INDEX(WageParty,MATCH($Q293,WageIds,0)),""))</f>
        <v/>
      </c>
      <c r="S293">
        <f>IF($P293="","",IFERROR(INDEX($F$6:$F$2005,MATCH($Q293,WageIds,0)),""))</f>
        <v/>
      </c>
      <c r="T293">
        <f>IF(OR($P293="",$S293="",$S293="نامعتبر"),"",LEFT($S293,4)&amp;MID($S293,6,2)&amp;RIGHT($S293,2)&amp;"0000"&amp;"|"&amp;"2"&amp;RIGHT("00000"&amp;288,5))</f>
        <v/>
      </c>
      <c r="U293">
        <f>IF($T293="","",COUNTIFS(LdAParty,$P293,LdAType,1,LdAKey,"&lt;"&amp;$T293)+COUNTIFS(LdBMember,$P293,LdBKey,"&lt;"&amp;$T293)+COUNTIFS(LdCParty,$P293,LdCKey,"&lt;"&amp;$T293)+1)</f>
        <v/>
      </c>
      <c r="V293">
        <f>IF($U293="","",$P293&amp;"|"&amp;RIGHT("000000"&amp;$U293,6))</f>
        <v/>
      </c>
      <c r="W293">
        <f>IF($T293="","",COUNTIFS(LdBGroup,$R293,LdBKey,"&lt;"&amp;$T293)+1)</f>
        <v/>
      </c>
      <c r="X293">
        <f>IF($W293="","",$R293&amp;"|"&amp;RIGHT("000000"&amp;$W293,6))</f>
        <v/>
      </c>
      <c r="Y293">
        <f>IF($P293="","",IF(Shares!$E296="",0,Shares!$E296))</f>
        <v/>
      </c>
      <c r="Z293">
        <f>IF($P293="","",Shares!$H296)</f>
        <v/>
      </c>
      <c r="AE293">
        <f>IF(OR(Sync!$S293="",Sync!$P293=""),"",Sync!$S293)</f>
        <v/>
      </c>
      <c r="AF293">
        <f>IF($AE293="","",IF(ISNUMBER(Sync!$P293),IF(AND(Sync!$P293&gt;=10000101,Sync!$P293&lt;=99991231),INT(Sync!$P293/10000),""),IFERROR(VALUE(TRIM(LEFT(Sync!$P293,FIND("/",Sync!$P293)-1))),"")))</f>
        <v/>
      </c>
      <c r="AG293">
        <f>IF(OR($AE293="",$AF293=""),"",IF(ISNUMBER(Sync!$P293),INT(MOD(Sync!$P293,10000)/100),IFERROR(VALUE(TRIM(LEFT(MID(Sync!$P293,FIND("/",Sync!$P293)+1,20),FIND("/",MID(Sync!$P293,FIND("/",Sync!$P293)+1,20))-1))),"")))</f>
        <v/>
      </c>
      <c r="AH293">
        <f>IF(OR($AE293="",$AF293=""),"",IF(ISNUMBER(Sync!$P293),MOD(Sync!$P293,100),IFERROR(VALUE(TRIM(MID(MID(Sync!$P293,FIND("/",Sync!$P293)+1,20),FIND("/",MID(Sync!$P293,FIND("/",Sync!$P293)+1,20))+1,20))),"")))</f>
        <v/>
      </c>
      <c r="AI293">
        <f>IF($AE293="","",IF(OR($AF293="",$AG293="",$AH293="",$AF293&lt;1300,$AF293&gt;1500,$AG293&lt;1,$AG293&gt;12,$AH293&lt;1,$AH293&gt;31),"نامعتبر",RIGHT("0000"&amp;$AF293,4)&amp;"/"&amp;RIGHT("00"&amp;$AG293,2)&amp;"/"&amp;RIGHT("00"&amp;$AH293,2)))</f>
        <v/>
      </c>
      <c r="AJ293">
        <f>IF($AE293="","",IF(Sync!$Q293="","0000",IF(AND(ISNUMBER(Sync!$Q293),Sync!$Q293&gt;=0,Sync!$Q293&lt;1),RIGHT("00"&amp;HOUR(Sync!$Q293),2)&amp;RIGHT("00"&amp;MINUTE(Sync!$Q293),2),IFERROR(RIGHT("00"&amp;VALUE(LEFT(Sync!$Q293,FIND(":",Sync!$Q293)-1)),2)&amp;RIGHT("00"&amp;VALUE(MID(Sync!$Q293,FIND(":",Sync!$Q293)+1,2)),2),"0000"))))</f>
        <v/>
      </c>
      <c r="AK293">
        <f>IF(OR($AE293="",$AI293="",$AI293="نامعتبر"),"",LEFT($AI293,4)&amp;MID($AI293,6,2)&amp;RIGHT($AI293,2)&amp;$AJ293&amp;"|"&amp;"3"&amp;RIGHT("00000"&amp;288,5))</f>
        <v/>
      </c>
      <c r="AL293">
        <f>IF($AK293="","",COUNTIFS(LdAParty,$AE293,LdAType,1,LdAKey,"&lt;"&amp;$AK293)+COUNTIFS(LdBMember,$AE293,LdBKey,"&lt;"&amp;$AK293)+COUNTIFS(LdCParty,$AE293,LdCKey,"&lt;"&amp;$AK293)+1)</f>
        <v/>
      </c>
      <c r="AM293">
        <f>IF($AL293="","",$AE293&amp;"|"&amp;RIGHT("000000"&amp;$AL293,6))</f>
        <v/>
      </c>
      <c r="AN293">
        <f>IF($AE293="","",IF(Sync!$W293="",0,Sync!$W293))</f>
        <v/>
      </c>
      <c r="AO293">
        <f>IF($AE293="","",IF(Sync!$X293="",0,Sync!$X293))</f>
        <v/>
      </c>
      <c r="AP293">
        <f>IF($AE293="","",Sync!$R293)</f>
        <v/>
      </c>
      <c r="AQ293">
        <f>IF($AE293="","",Sync!$Y293)</f>
        <v/>
      </c>
    </row>
    <row r="294">
      <c r="A294">
        <f>IF(OR(Wages!$B297="",Wages!$E297=""),"",Wages!$E297)</f>
        <v/>
      </c>
      <c r="B294">
        <f>IF($A294="","",IF(Wages!$C297="دستمزد گروهی",2,1))</f>
        <v/>
      </c>
      <c r="C294">
        <f>IF($A294="","",IF(ISNUMBER(Wages!$B297),IF(AND(Wages!$B297&gt;=10000101,Wages!$B297&lt;=99991231),INT(Wages!$B297/10000),""),IFERROR(VALUE(TRIM(LEFT(Wages!$B297,FIND("/",Wages!$B297)-1))),"")))</f>
        <v/>
      </c>
      <c r="D294">
        <f>IF(OR($A294="",$C294=""),"",IF(ISNUMBER(Wages!$B297),INT(MOD(Wages!$B297,10000)/100),IFERROR(VALUE(TRIM(LEFT(MID(Wages!$B297,FIND("/",Wages!$B297)+1,20),FIND("/",MID(Wages!$B297,FIND("/",Wages!$B297)+1,20))-1))),"")))</f>
        <v/>
      </c>
      <c r="E294">
        <f>IF(OR($A294="",$C294=""),"",IF(ISNUMBER(Wages!$B297),MOD(Wages!$B297,100),IFERROR(VALUE(TRIM(MID(MID(Wages!$B297,FIND("/",Wages!$B297)+1,20),FIND("/",MID(Wages!$B297,FIND("/",Wages!$B297)+1,20))+1,20))),"")))</f>
        <v/>
      </c>
      <c r="F294">
        <f>IF($A294="","",IF(OR($C294="",$D294="",$E294="",$C294&lt;1300,$C294&gt;1500,$D294&lt;1,$D294&gt;12,$E294&lt;1,$E294&gt;31),"نامعتبر",RIGHT("0000"&amp;$C294,4)&amp;"/"&amp;RIGHT("00"&amp;$D294,2)&amp;"/"&amp;RIGHT("00"&amp;$E294,2)))</f>
        <v/>
      </c>
      <c r="G294">
        <f>IF(OR($A294="",$F294="",$F294="نامعتبر"),"",LEFT($F294,4)&amp;MID($F294,6,2)&amp;RIGHT($F294,2)&amp;"0000"&amp;"|"&amp;"1"&amp;RIGHT("00000"&amp;289,5))</f>
        <v/>
      </c>
      <c r="H294">
        <f>IF(OR($B294&lt;&gt;1,$G294=""),"",COUNTIFS(LdAParty,$A294,LdAType,1,LdAKey,"&lt;"&amp;$G294)+COUNTIFS(LdBMember,$A294,LdBKey,"&lt;"&amp;$G294)+COUNTIFS(LdCParty,$A294,LdCKey,"&lt;"&amp;$G294)+1)</f>
        <v/>
      </c>
      <c r="I294">
        <f>IF($H294="","",$A294&amp;"|"&amp;RIGHT("000000"&amp;$H294,6))</f>
        <v/>
      </c>
      <c r="J294">
        <f>IF(OR($B294&lt;&gt;2,$G294=""),"",COUNTIFS(LdAParty,$A294,LdAType,2,LdAKey,"&lt;"&amp;$G294)+1)</f>
        <v/>
      </c>
      <c r="K294">
        <f>IF($J294="","",$A294&amp;"|"&amp;RIGHT("000000"&amp;$J294,6))</f>
        <v/>
      </c>
      <c r="L294">
        <f>IF($A294="","",IF(Wages!$G297="",0,Wages!$G297))</f>
        <v/>
      </c>
      <c r="M294">
        <f>IF($A294="","",Wages!$J297)</f>
        <v/>
      </c>
      <c r="N294">
        <f>IF($A294="","",Wages!$D297)</f>
        <v/>
      </c>
      <c r="P294">
        <f>IF(OR(Shares!$B297="",Shares!$C297=""),"",Shares!$C297)</f>
        <v/>
      </c>
      <c r="Q294">
        <f>IF($P294="","",Shares!$B297)</f>
        <v/>
      </c>
      <c r="R294">
        <f>IF($P294="","",IFERROR(INDEX(WageParty,MATCH($Q294,WageIds,0)),""))</f>
        <v/>
      </c>
      <c r="S294">
        <f>IF($P294="","",IFERROR(INDEX($F$6:$F$2005,MATCH($Q294,WageIds,0)),""))</f>
        <v/>
      </c>
      <c r="T294">
        <f>IF(OR($P294="",$S294="",$S294="نامعتبر"),"",LEFT($S294,4)&amp;MID($S294,6,2)&amp;RIGHT($S294,2)&amp;"0000"&amp;"|"&amp;"2"&amp;RIGHT("00000"&amp;289,5))</f>
        <v/>
      </c>
      <c r="U294">
        <f>IF($T294="","",COUNTIFS(LdAParty,$P294,LdAType,1,LdAKey,"&lt;"&amp;$T294)+COUNTIFS(LdBMember,$P294,LdBKey,"&lt;"&amp;$T294)+COUNTIFS(LdCParty,$P294,LdCKey,"&lt;"&amp;$T294)+1)</f>
        <v/>
      </c>
      <c r="V294">
        <f>IF($U294="","",$P294&amp;"|"&amp;RIGHT("000000"&amp;$U294,6))</f>
        <v/>
      </c>
      <c r="W294">
        <f>IF($T294="","",COUNTIFS(LdBGroup,$R294,LdBKey,"&lt;"&amp;$T294)+1)</f>
        <v/>
      </c>
      <c r="X294">
        <f>IF($W294="","",$R294&amp;"|"&amp;RIGHT("000000"&amp;$W294,6))</f>
        <v/>
      </c>
      <c r="Y294">
        <f>IF($P294="","",IF(Shares!$E297="",0,Shares!$E297))</f>
        <v/>
      </c>
      <c r="Z294">
        <f>IF($P294="","",Shares!$H297)</f>
        <v/>
      </c>
      <c r="AE294">
        <f>IF(OR(Sync!$S294="",Sync!$P294=""),"",Sync!$S294)</f>
        <v/>
      </c>
      <c r="AF294">
        <f>IF($AE294="","",IF(ISNUMBER(Sync!$P294),IF(AND(Sync!$P294&gt;=10000101,Sync!$P294&lt;=99991231),INT(Sync!$P294/10000),""),IFERROR(VALUE(TRIM(LEFT(Sync!$P294,FIND("/",Sync!$P294)-1))),"")))</f>
        <v/>
      </c>
      <c r="AG294">
        <f>IF(OR($AE294="",$AF294=""),"",IF(ISNUMBER(Sync!$P294),INT(MOD(Sync!$P294,10000)/100),IFERROR(VALUE(TRIM(LEFT(MID(Sync!$P294,FIND("/",Sync!$P294)+1,20),FIND("/",MID(Sync!$P294,FIND("/",Sync!$P294)+1,20))-1))),"")))</f>
        <v/>
      </c>
      <c r="AH294">
        <f>IF(OR($AE294="",$AF294=""),"",IF(ISNUMBER(Sync!$P294),MOD(Sync!$P294,100),IFERROR(VALUE(TRIM(MID(MID(Sync!$P294,FIND("/",Sync!$P294)+1,20),FIND("/",MID(Sync!$P294,FIND("/",Sync!$P294)+1,20))+1,20))),"")))</f>
        <v/>
      </c>
      <c r="AI294">
        <f>IF($AE294="","",IF(OR($AF294="",$AG294="",$AH294="",$AF294&lt;1300,$AF294&gt;1500,$AG294&lt;1,$AG294&gt;12,$AH294&lt;1,$AH294&gt;31),"نامعتبر",RIGHT("0000"&amp;$AF294,4)&amp;"/"&amp;RIGHT("00"&amp;$AG294,2)&amp;"/"&amp;RIGHT("00"&amp;$AH294,2)))</f>
        <v/>
      </c>
      <c r="AJ294">
        <f>IF($AE294="","",IF(Sync!$Q294="","0000",IF(AND(ISNUMBER(Sync!$Q294),Sync!$Q294&gt;=0,Sync!$Q294&lt;1),RIGHT("00"&amp;HOUR(Sync!$Q294),2)&amp;RIGHT("00"&amp;MINUTE(Sync!$Q294),2),IFERROR(RIGHT("00"&amp;VALUE(LEFT(Sync!$Q294,FIND(":",Sync!$Q294)-1)),2)&amp;RIGHT("00"&amp;VALUE(MID(Sync!$Q294,FIND(":",Sync!$Q294)+1,2)),2),"0000"))))</f>
        <v/>
      </c>
      <c r="AK294">
        <f>IF(OR($AE294="",$AI294="",$AI294="نامعتبر"),"",LEFT($AI294,4)&amp;MID($AI294,6,2)&amp;RIGHT($AI294,2)&amp;$AJ294&amp;"|"&amp;"3"&amp;RIGHT("00000"&amp;289,5))</f>
        <v/>
      </c>
      <c r="AL294">
        <f>IF($AK294="","",COUNTIFS(LdAParty,$AE294,LdAType,1,LdAKey,"&lt;"&amp;$AK294)+COUNTIFS(LdBMember,$AE294,LdBKey,"&lt;"&amp;$AK294)+COUNTIFS(LdCParty,$AE294,LdCKey,"&lt;"&amp;$AK294)+1)</f>
        <v/>
      </c>
      <c r="AM294">
        <f>IF($AL294="","",$AE294&amp;"|"&amp;RIGHT("000000"&amp;$AL294,6))</f>
        <v/>
      </c>
      <c r="AN294">
        <f>IF($AE294="","",IF(Sync!$W294="",0,Sync!$W294))</f>
        <v/>
      </c>
      <c r="AO294">
        <f>IF($AE294="","",IF(Sync!$X294="",0,Sync!$X294))</f>
        <v/>
      </c>
      <c r="AP294">
        <f>IF($AE294="","",Sync!$R294)</f>
        <v/>
      </c>
      <c r="AQ294">
        <f>IF($AE294="","",Sync!$Y294)</f>
        <v/>
      </c>
    </row>
    <row r="295">
      <c r="A295">
        <f>IF(OR(Wages!$B298="",Wages!$E298=""),"",Wages!$E298)</f>
        <v/>
      </c>
      <c r="B295">
        <f>IF($A295="","",IF(Wages!$C298="دستمزد گروهی",2,1))</f>
        <v/>
      </c>
      <c r="C295">
        <f>IF($A295="","",IF(ISNUMBER(Wages!$B298),IF(AND(Wages!$B298&gt;=10000101,Wages!$B298&lt;=99991231),INT(Wages!$B298/10000),""),IFERROR(VALUE(TRIM(LEFT(Wages!$B298,FIND("/",Wages!$B298)-1))),"")))</f>
        <v/>
      </c>
      <c r="D295">
        <f>IF(OR($A295="",$C295=""),"",IF(ISNUMBER(Wages!$B298),INT(MOD(Wages!$B298,10000)/100),IFERROR(VALUE(TRIM(LEFT(MID(Wages!$B298,FIND("/",Wages!$B298)+1,20),FIND("/",MID(Wages!$B298,FIND("/",Wages!$B298)+1,20))-1))),"")))</f>
        <v/>
      </c>
      <c r="E295">
        <f>IF(OR($A295="",$C295=""),"",IF(ISNUMBER(Wages!$B298),MOD(Wages!$B298,100),IFERROR(VALUE(TRIM(MID(MID(Wages!$B298,FIND("/",Wages!$B298)+1,20),FIND("/",MID(Wages!$B298,FIND("/",Wages!$B298)+1,20))+1,20))),"")))</f>
        <v/>
      </c>
      <c r="F295">
        <f>IF($A295="","",IF(OR($C295="",$D295="",$E295="",$C295&lt;1300,$C295&gt;1500,$D295&lt;1,$D295&gt;12,$E295&lt;1,$E295&gt;31),"نامعتبر",RIGHT("0000"&amp;$C295,4)&amp;"/"&amp;RIGHT("00"&amp;$D295,2)&amp;"/"&amp;RIGHT("00"&amp;$E295,2)))</f>
        <v/>
      </c>
      <c r="G295">
        <f>IF(OR($A295="",$F295="",$F295="نامعتبر"),"",LEFT($F295,4)&amp;MID($F295,6,2)&amp;RIGHT($F295,2)&amp;"0000"&amp;"|"&amp;"1"&amp;RIGHT("00000"&amp;290,5))</f>
        <v/>
      </c>
      <c r="H295">
        <f>IF(OR($B295&lt;&gt;1,$G295=""),"",COUNTIFS(LdAParty,$A295,LdAType,1,LdAKey,"&lt;"&amp;$G295)+COUNTIFS(LdBMember,$A295,LdBKey,"&lt;"&amp;$G295)+COUNTIFS(LdCParty,$A295,LdCKey,"&lt;"&amp;$G295)+1)</f>
        <v/>
      </c>
      <c r="I295">
        <f>IF($H295="","",$A295&amp;"|"&amp;RIGHT("000000"&amp;$H295,6))</f>
        <v/>
      </c>
      <c r="J295">
        <f>IF(OR($B295&lt;&gt;2,$G295=""),"",COUNTIFS(LdAParty,$A295,LdAType,2,LdAKey,"&lt;"&amp;$G295)+1)</f>
        <v/>
      </c>
      <c r="K295">
        <f>IF($J295="","",$A295&amp;"|"&amp;RIGHT("000000"&amp;$J295,6))</f>
        <v/>
      </c>
      <c r="L295">
        <f>IF($A295="","",IF(Wages!$G298="",0,Wages!$G298))</f>
        <v/>
      </c>
      <c r="M295">
        <f>IF($A295="","",Wages!$J298)</f>
        <v/>
      </c>
      <c r="N295">
        <f>IF($A295="","",Wages!$D298)</f>
        <v/>
      </c>
      <c r="P295">
        <f>IF(OR(Shares!$B298="",Shares!$C298=""),"",Shares!$C298)</f>
        <v/>
      </c>
      <c r="Q295">
        <f>IF($P295="","",Shares!$B298)</f>
        <v/>
      </c>
      <c r="R295">
        <f>IF($P295="","",IFERROR(INDEX(WageParty,MATCH($Q295,WageIds,0)),""))</f>
        <v/>
      </c>
      <c r="S295">
        <f>IF($P295="","",IFERROR(INDEX($F$6:$F$2005,MATCH($Q295,WageIds,0)),""))</f>
        <v/>
      </c>
      <c r="T295">
        <f>IF(OR($P295="",$S295="",$S295="نامعتبر"),"",LEFT($S295,4)&amp;MID($S295,6,2)&amp;RIGHT($S295,2)&amp;"0000"&amp;"|"&amp;"2"&amp;RIGHT("00000"&amp;290,5))</f>
        <v/>
      </c>
      <c r="U295">
        <f>IF($T295="","",COUNTIFS(LdAParty,$P295,LdAType,1,LdAKey,"&lt;"&amp;$T295)+COUNTIFS(LdBMember,$P295,LdBKey,"&lt;"&amp;$T295)+COUNTIFS(LdCParty,$P295,LdCKey,"&lt;"&amp;$T295)+1)</f>
        <v/>
      </c>
      <c r="V295">
        <f>IF($U295="","",$P295&amp;"|"&amp;RIGHT("000000"&amp;$U295,6))</f>
        <v/>
      </c>
      <c r="W295">
        <f>IF($T295="","",COUNTIFS(LdBGroup,$R295,LdBKey,"&lt;"&amp;$T295)+1)</f>
        <v/>
      </c>
      <c r="X295">
        <f>IF($W295="","",$R295&amp;"|"&amp;RIGHT("000000"&amp;$W295,6))</f>
        <v/>
      </c>
      <c r="Y295">
        <f>IF($P295="","",IF(Shares!$E298="",0,Shares!$E298))</f>
        <v/>
      </c>
      <c r="Z295">
        <f>IF($P295="","",Shares!$H298)</f>
        <v/>
      </c>
      <c r="AE295">
        <f>IF(OR(Sync!$S295="",Sync!$P295=""),"",Sync!$S295)</f>
        <v/>
      </c>
      <c r="AF295">
        <f>IF($AE295="","",IF(ISNUMBER(Sync!$P295),IF(AND(Sync!$P295&gt;=10000101,Sync!$P295&lt;=99991231),INT(Sync!$P295/10000),""),IFERROR(VALUE(TRIM(LEFT(Sync!$P295,FIND("/",Sync!$P295)-1))),"")))</f>
        <v/>
      </c>
      <c r="AG295">
        <f>IF(OR($AE295="",$AF295=""),"",IF(ISNUMBER(Sync!$P295),INT(MOD(Sync!$P295,10000)/100),IFERROR(VALUE(TRIM(LEFT(MID(Sync!$P295,FIND("/",Sync!$P295)+1,20),FIND("/",MID(Sync!$P295,FIND("/",Sync!$P295)+1,20))-1))),"")))</f>
        <v/>
      </c>
      <c r="AH295">
        <f>IF(OR($AE295="",$AF295=""),"",IF(ISNUMBER(Sync!$P295),MOD(Sync!$P295,100),IFERROR(VALUE(TRIM(MID(MID(Sync!$P295,FIND("/",Sync!$P295)+1,20),FIND("/",MID(Sync!$P295,FIND("/",Sync!$P295)+1,20))+1,20))),"")))</f>
        <v/>
      </c>
      <c r="AI295">
        <f>IF($AE295="","",IF(OR($AF295="",$AG295="",$AH295="",$AF295&lt;1300,$AF295&gt;1500,$AG295&lt;1,$AG295&gt;12,$AH295&lt;1,$AH295&gt;31),"نامعتبر",RIGHT("0000"&amp;$AF295,4)&amp;"/"&amp;RIGHT("00"&amp;$AG295,2)&amp;"/"&amp;RIGHT("00"&amp;$AH295,2)))</f>
        <v/>
      </c>
      <c r="AJ295">
        <f>IF($AE295="","",IF(Sync!$Q295="","0000",IF(AND(ISNUMBER(Sync!$Q295),Sync!$Q295&gt;=0,Sync!$Q295&lt;1),RIGHT("00"&amp;HOUR(Sync!$Q295),2)&amp;RIGHT("00"&amp;MINUTE(Sync!$Q295),2),IFERROR(RIGHT("00"&amp;VALUE(LEFT(Sync!$Q295,FIND(":",Sync!$Q295)-1)),2)&amp;RIGHT("00"&amp;VALUE(MID(Sync!$Q295,FIND(":",Sync!$Q295)+1,2)),2),"0000"))))</f>
        <v/>
      </c>
      <c r="AK295">
        <f>IF(OR($AE295="",$AI295="",$AI295="نامعتبر"),"",LEFT($AI295,4)&amp;MID($AI295,6,2)&amp;RIGHT($AI295,2)&amp;$AJ295&amp;"|"&amp;"3"&amp;RIGHT("00000"&amp;290,5))</f>
        <v/>
      </c>
      <c r="AL295">
        <f>IF($AK295="","",COUNTIFS(LdAParty,$AE295,LdAType,1,LdAKey,"&lt;"&amp;$AK295)+COUNTIFS(LdBMember,$AE295,LdBKey,"&lt;"&amp;$AK295)+COUNTIFS(LdCParty,$AE295,LdCKey,"&lt;"&amp;$AK295)+1)</f>
        <v/>
      </c>
      <c r="AM295">
        <f>IF($AL295="","",$AE295&amp;"|"&amp;RIGHT("000000"&amp;$AL295,6))</f>
        <v/>
      </c>
      <c r="AN295">
        <f>IF($AE295="","",IF(Sync!$W295="",0,Sync!$W295))</f>
        <v/>
      </c>
      <c r="AO295">
        <f>IF($AE295="","",IF(Sync!$X295="",0,Sync!$X295))</f>
        <v/>
      </c>
      <c r="AP295">
        <f>IF($AE295="","",Sync!$R295)</f>
        <v/>
      </c>
      <c r="AQ295">
        <f>IF($AE295="","",Sync!$Y295)</f>
        <v/>
      </c>
    </row>
    <row r="296">
      <c r="A296">
        <f>IF(OR(Wages!$B299="",Wages!$E299=""),"",Wages!$E299)</f>
        <v/>
      </c>
      <c r="B296">
        <f>IF($A296="","",IF(Wages!$C299="دستمزد گروهی",2,1))</f>
        <v/>
      </c>
      <c r="C296">
        <f>IF($A296="","",IF(ISNUMBER(Wages!$B299),IF(AND(Wages!$B299&gt;=10000101,Wages!$B299&lt;=99991231),INT(Wages!$B299/10000),""),IFERROR(VALUE(TRIM(LEFT(Wages!$B299,FIND("/",Wages!$B299)-1))),"")))</f>
        <v/>
      </c>
      <c r="D296">
        <f>IF(OR($A296="",$C296=""),"",IF(ISNUMBER(Wages!$B299),INT(MOD(Wages!$B299,10000)/100),IFERROR(VALUE(TRIM(LEFT(MID(Wages!$B299,FIND("/",Wages!$B299)+1,20),FIND("/",MID(Wages!$B299,FIND("/",Wages!$B299)+1,20))-1))),"")))</f>
        <v/>
      </c>
      <c r="E296">
        <f>IF(OR($A296="",$C296=""),"",IF(ISNUMBER(Wages!$B299),MOD(Wages!$B299,100),IFERROR(VALUE(TRIM(MID(MID(Wages!$B299,FIND("/",Wages!$B299)+1,20),FIND("/",MID(Wages!$B299,FIND("/",Wages!$B299)+1,20))+1,20))),"")))</f>
        <v/>
      </c>
      <c r="F296">
        <f>IF($A296="","",IF(OR($C296="",$D296="",$E296="",$C296&lt;1300,$C296&gt;1500,$D296&lt;1,$D296&gt;12,$E296&lt;1,$E296&gt;31),"نامعتبر",RIGHT("0000"&amp;$C296,4)&amp;"/"&amp;RIGHT("00"&amp;$D296,2)&amp;"/"&amp;RIGHT("00"&amp;$E296,2)))</f>
        <v/>
      </c>
      <c r="G296">
        <f>IF(OR($A296="",$F296="",$F296="نامعتبر"),"",LEFT($F296,4)&amp;MID($F296,6,2)&amp;RIGHT($F296,2)&amp;"0000"&amp;"|"&amp;"1"&amp;RIGHT("00000"&amp;291,5))</f>
        <v/>
      </c>
      <c r="H296">
        <f>IF(OR($B296&lt;&gt;1,$G296=""),"",COUNTIFS(LdAParty,$A296,LdAType,1,LdAKey,"&lt;"&amp;$G296)+COUNTIFS(LdBMember,$A296,LdBKey,"&lt;"&amp;$G296)+COUNTIFS(LdCParty,$A296,LdCKey,"&lt;"&amp;$G296)+1)</f>
        <v/>
      </c>
      <c r="I296">
        <f>IF($H296="","",$A296&amp;"|"&amp;RIGHT("000000"&amp;$H296,6))</f>
        <v/>
      </c>
      <c r="J296">
        <f>IF(OR($B296&lt;&gt;2,$G296=""),"",COUNTIFS(LdAParty,$A296,LdAType,2,LdAKey,"&lt;"&amp;$G296)+1)</f>
        <v/>
      </c>
      <c r="K296">
        <f>IF($J296="","",$A296&amp;"|"&amp;RIGHT("000000"&amp;$J296,6))</f>
        <v/>
      </c>
      <c r="L296">
        <f>IF($A296="","",IF(Wages!$G299="",0,Wages!$G299))</f>
        <v/>
      </c>
      <c r="M296">
        <f>IF($A296="","",Wages!$J299)</f>
        <v/>
      </c>
      <c r="N296">
        <f>IF($A296="","",Wages!$D299)</f>
        <v/>
      </c>
      <c r="P296">
        <f>IF(OR(Shares!$B299="",Shares!$C299=""),"",Shares!$C299)</f>
        <v/>
      </c>
      <c r="Q296">
        <f>IF($P296="","",Shares!$B299)</f>
        <v/>
      </c>
      <c r="R296">
        <f>IF($P296="","",IFERROR(INDEX(WageParty,MATCH($Q296,WageIds,0)),""))</f>
        <v/>
      </c>
      <c r="S296">
        <f>IF($P296="","",IFERROR(INDEX($F$6:$F$2005,MATCH($Q296,WageIds,0)),""))</f>
        <v/>
      </c>
      <c r="T296">
        <f>IF(OR($P296="",$S296="",$S296="نامعتبر"),"",LEFT($S296,4)&amp;MID($S296,6,2)&amp;RIGHT($S296,2)&amp;"0000"&amp;"|"&amp;"2"&amp;RIGHT("00000"&amp;291,5))</f>
        <v/>
      </c>
      <c r="U296">
        <f>IF($T296="","",COUNTIFS(LdAParty,$P296,LdAType,1,LdAKey,"&lt;"&amp;$T296)+COUNTIFS(LdBMember,$P296,LdBKey,"&lt;"&amp;$T296)+COUNTIFS(LdCParty,$P296,LdCKey,"&lt;"&amp;$T296)+1)</f>
        <v/>
      </c>
      <c r="V296">
        <f>IF($U296="","",$P296&amp;"|"&amp;RIGHT("000000"&amp;$U296,6))</f>
        <v/>
      </c>
      <c r="W296">
        <f>IF($T296="","",COUNTIFS(LdBGroup,$R296,LdBKey,"&lt;"&amp;$T296)+1)</f>
        <v/>
      </c>
      <c r="X296">
        <f>IF($W296="","",$R296&amp;"|"&amp;RIGHT("000000"&amp;$W296,6))</f>
        <v/>
      </c>
      <c r="Y296">
        <f>IF($P296="","",IF(Shares!$E299="",0,Shares!$E299))</f>
        <v/>
      </c>
      <c r="Z296">
        <f>IF($P296="","",Shares!$H299)</f>
        <v/>
      </c>
      <c r="AE296">
        <f>IF(OR(Sync!$S296="",Sync!$P296=""),"",Sync!$S296)</f>
        <v/>
      </c>
      <c r="AF296">
        <f>IF($AE296="","",IF(ISNUMBER(Sync!$P296),IF(AND(Sync!$P296&gt;=10000101,Sync!$P296&lt;=99991231),INT(Sync!$P296/10000),""),IFERROR(VALUE(TRIM(LEFT(Sync!$P296,FIND("/",Sync!$P296)-1))),"")))</f>
        <v/>
      </c>
      <c r="AG296">
        <f>IF(OR($AE296="",$AF296=""),"",IF(ISNUMBER(Sync!$P296),INT(MOD(Sync!$P296,10000)/100),IFERROR(VALUE(TRIM(LEFT(MID(Sync!$P296,FIND("/",Sync!$P296)+1,20),FIND("/",MID(Sync!$P296,FIND("/",Sync!$P296)+1,20))-1))),"")))</f>
        <v/>
      </c>
      <c r="AH296">
        <f>IF(OR($AE296="",$AF296=""),"",IF(ISNUMBER(Sync!$P296),MOD(Sync!$P296,100),IFERROR(VALUE(TRIM(MID(MID(Sync!$P296,FIND("/",Sync!$P296)+1,20),FIND("/",MID(Sync!$P296,FIND("/",Sync!$P296)+1,20))+1,20))),"")))</f>
        <v/>
      </c>
      <c r="AI296">
        <f>IF($AE296="","",IF(OR($AF296="",$AG296="",$AH296="",$AF296&lt;1300,$AF296&gt;1500,$AG296&lt;1,$AG296&gt;12,$AH296&lt;1,$AH296&gt;31),"نامعتبر",RIGHT("0000"&amp;$AF296,4)&amp;"/"&amp;RIGHT("00"&amp;$AG296,2)&amp;"/"&amp;RIGHT("00"&amp;$AH296,2)))</f>
        <v/>
      </c>
      <c r="AJ296">
        <f>IF($AE296="","",IF(Sync!$Q296="","0000",IF(AND(ISNUMBER(Sync!$Q296),Sync!$Q296&gt;=0,Sync!$Q296&lt;1),RIGHT("00"&amp;HOUR(Sync!$Q296),2)&amp;RIGHT("00"&amp;MINUTE(Sync!$Q296),2),IFERROR(RIGHT("00"&amp;VALUE(LEFT(Sync!$Q296,FIND(":",Sync!$Q296)-1)),2)&amp;RIGHT("00"&amp;VALUE(MID(Sync!$Q296,FIND(":",Sync!$Q296)+1,2)),2),"0000"))))</f>
        <v/>
      </c>
      <c r="AK296">
        <f>IF(OR($AE296="",$AI296="",$AI296="نامعتبر"),"",LEFT($AI296,4)&amp;MID($AI296,6,2)&amp;RIGHT($AI296,2)&amp;$AJ296&amp;"|"&amp;"3"&amp;RIGHT("00000"&amp;291,5))</f>
        <v/>
      </c>
      <c r="AL296">
        <f>IF($AK296="","",COUNTIFS(LdAParty,$AE296,LdAType,1,LdAKey,"&lt;"&amp;$AK296)+COUNTIFS(LdBMember,$AE296,LdBKey,"&lt;"&amp;$AK296)+COUNTIFS(LdCParty,$AE296,LdCKey,"&lt;"&amp;$AK296)+1)</f>
        <v/>
      </c>
      <c r="AM296">
        <f>IF($AL296="","",$AE296&amp;"|"&amp;RIGHT("000000"&amp;$AL296,6))</f>
        <v/>
      </c>
      <c r="AN296">
        <f>IF($AE296="","",IF(Sync!$W296="",0,Sync!$W296))</f>
        <v/>
      </c>
      <c r="AO296">
        <f>IF($AE296="","",IF(Sync!$X296="",0,Sync!$X296))</f>
        <v/>
      </c>
      <c r="AP296">
        <f>IF($AE296="","",Sync!$R296)</f>
        <v/>
      </c>
      <c r="AQ296">
        <f>IF($AE296="","",Sync!$Y296)</f>
        <v/>
      </c>
    </row>
    <row r="297">
      <c r="A297">
        <f>IF(OR(Wages!$B300="",Wages!$E300=""),"",Wages!$E300)</f>
        <v/>
      </c>
      <c r="B297">
        <f>IF($A297="","",IF(Wages!$C300="دستمزد گروهی",2,1))</f>
        <v/>
      </c>
      <c r="C297">
        <f>IF($A297="","",IF(ISNUMBER(Wages!$B300),IF(AND(Wages!$B300&gt;=10000101,Wages!$B300&lt;=99991231),INT(Wages!$B300/10000),""),IFERROR(VALUE(TRIM(LEFT(Wages!$B300,FIND("/",Wages!$B300)-1))),"")))</f>
        <v/>
      </c>
      <c r="D297">
        <f>IF(OR($A297="",$C297=""),"",IF(ISNUMBER(Wages!$B300),INT(MOD(Wages!$B300,10000)/100),IFERROR(VALUE(TRIM(LEFT(MID(Wages!$B300,FIND("/",Wages!$B300)+1,20),FIND("/",MID(Wages!$B300,FIND("/",Wages!$B300)+1,20))-1))),"")))</f>
        <v/>
      </c>
      <c r="E297">
        <f>IF(OR($A297="",$C297=""),"",IF(ISNUMBER(Wages!$B300),MOD(Wages!$B300,100),IFERROR(VALUE(TRIM(MID(MID(Wages!$B300,FIND("/",Wages!$B300)+1,20),FIND("/",MID(Wages!$B300,FIND("/",Wages!$B300)+1,20))+1,20))),"")))</f>
        <v/>
      </c>
      <c r="F297">
        <f>IF($A297="","",IF(OR($C297="",$D297="",$E297="",$C297&lt;1300,$C297&gt;1500,$D297&lt;1,$D297&gt;12,$E297&lt;1,$E297&gt;31),"نامعتبر",RIGHT("0000"&amp;$C297,4)&amp;"/"&amp;RIGHT("00"&amp;$D297,2)&amp;"/"&amp;RIGHT("00"&amp;$E297,2)))</f>
        <v/>
      </c>
      <c r="G297">
        <f>IF(OR($A297="",$F297="",$F297="نامعتبر"),"",LEFT($F297,4)&amp;MID($F297,6,2)&amp;RIGHT($F297,2)&amp;"0000"&amp;"|"&amp;"1"&amp;RIGHT("00000"&amp;292,5))</f>
        <v/>
      </c>
      <c r="H297">
        <f>IF(OR($B297&lt;&gt;1,$G297=""),"",COUNTIFS(LdAParty,$A297,LdAType,1,LdAKey,"&lt;"&amp;$G297)+COUNTIFS(LdBMember,$A297,LdBKey,"&lt;"&amp;$G297)+COUNTIFS(LdCParty,$A297,LdCKey,"&lt;"&amp;$G297)+1)</f>
        <v/>
      </c>
      <c r="I297">
        <f>IF($H297="","",$A297&amp;"|"&amp;RIGHT("000000"&amp;$H297,6))</f>
        <v/>
      </c>
      <c r="J297">
        <f>IF(OR($B297&lt;&gt;2,$G297=""),"",COUNTIFS(LdAParty,$A297,LdAType,2,LdAKey,"&lt;"&amp;$G297)+1)</f>
        <v/>
      </c>
      <c r="K297">
        <f>IF($J297="","",$A297&amp;"|"&amp;RIGHT("000000"&amp;$J297,6))</f>
        <v/>
      </c>
      <c r="L297">
        <f>IF($A297="","",IF(Wages!$G300="",0,Wages!$G300))</f>
        <v/>
      </c>
      <c r="M297">
        <f>IF($A297="","",Wages!$J300)</f>
        <v/>
      </c>
      <c r="N297">
        <f>IF($A297="","",Wages!$D300)</f>
        <v/>
      </c>
      <c r="P297">
        <f>IF(OR(Shares!$B300="",Shares!$C300=""),"",Shares!$C300)</f>
        <v/>
      </c>
      <c r="Q297">
        <f>IF($P297="","",Shares!$B300)</f>
        <v/>
      </c>
      <c r="R297">
        <f>IF($P297="","",IFERROR(INDEX(WageParty,MATCH($Q297,WageIds,0)),""))</f>
        <v/>
      </c>
      <c r="S297">
        <f>IF($P297="","",IFERROR(INDEX($F$6:$F$2005,MATCH($Q297,WageIds,0)),""))</f>
        <v/>
      </c>
      <c r="T297">
        <f>IF(OR($P297="",$S297="",$S297="نامعتبر"),"",LEFT($S297,4)&amp;MID($S297,6,2)&amp;RIGHT($S297,2)&amp;"0000"&amp;"|"&amp;"2"&amp;RIGHT("00000"&amp;292,5))</f>
        <v/>
      </c>
      <c r="U297">
        <f>IF($T297="","",COUNTIFS(LdAParty,$P297,LdAType,1,LdAKey,"&lt;"&amp;$T297)+COUNTIFS(LdBMember,$P297,LdBKey,"&lt;"&amp;$T297)+COUNTIFS(LdCParty,$P297,LdCKey,"&lt;"&amp;$T297)+1)</f>
        <v/>
      </c>
      <c r="V297">
        <f>IF($U297="","",$P297&amp;"|"&amp;RIGHT("000000"&amp;$U297,6))</f>
        <v/>
      </c>
      <c r="W297">
        <f>IF($T297="","",COUNTIFS(LdBGroup,$R297,LdBKey,"&lt;"&amp;$T297)+1)</f>
        <v/>
      </c>
      <c r="X297">
        <f>IF($W297="","",$R297&amp;"|"&amp;RIGHT("000000"&amp;$W297,6))</f>
        <v/>
      </c>
      <c r="Y297">
        <f>IF($P297="","",IF(Shares!$E300="",0,Shares!$E300))</f>
        <v/>
      </c>
      <c r="Z297">
        <f>IF($P297="","",Shares!$H300)</f>
        <v/>
      </c>
      <c r="AE297">
        <f>IF(OR(Sync!$S297="",Sync!$P297=""),"",Sync!$S297)</f>
        <v/>
      </c>
      <c r="AF297">
        <f>IF($AE297="","",IF(ISNUMBER(Sync!$P297),IF(AND(Sync!$P297&gt;=10000101,Sync!$P297&lt;=99991231),INT(Sync!$P297/10000),""),IFERROR(VALUE(TRIM(LEFT(Sync!$P297,FIND("/",Sync!$P297)-1))),"")))</f>
        <v/>
      </c>
      <c r="AG297">
        <f>IF(OR($AE297="",$AF297=""),"",IF(ISNUMBER(Sync!$P297),INT(MOD(Sync!$P297,10000)/100),IFERROR(VALUE(TRIM(LEFT(MID(Sync!$P297,FIND("/",Sync!$P297)+1,20),FIND("/",MID(Sync!$P297,FIND("/",Sync!$P297)+1,20))-1))),"")))</f>
        <v/>
      </c>
      <c r="AH297">
        <f>IF(OR($AE297="",$AF297=""),"",IF(ISNUMBER(Sync!$P297),MOD(Sync!$P297,100),IFERROR(VALUE(TRIM(MID(MID(Sync!$P297,FIND("/",Sync!$P297)+1,20),FIND("/",MID(Sync!$P297,FIND("/",Sync!$P297)+1,20))+1,20))),"")))</f>
        <v/>
      </c>
      <c r="AI297">
        <f>IF($AE297="","",IF(OR($AF297="",$AG297="",$AH297="",$AF297&lt;1300,$AF297&gt;1500,$AG297&lt;1,$AG297&gt;12,$AH297&lt;1,$AH297&gt;31),"نامعتبر",RIGHT("0000"&amp;$AF297,4)&amp;"/"&amp;RIGHT("00"&amp;$AG297,2)&amp;"/"&amp;RIGHT("00"&amp;$AH297,2)))</f>
        <v/>
      </c>
      <c r="AJ297">
        <f>IF($AE297="","",IF(Sync!$Q297="","0000",IF(AND(ISNUMBER(Sync!$Q297),Sync!$Q297&gt;=0,Sync!$Q297&lt;1),RIGHT("00"&amp;HOUR(Sync!$Q297),2)&amp;RIGHT("00"&amp;MINUTE(Sync!$Q297),2),IFERROR(RIGHT("00"&amp;VALUE(LEFT(Sync!$Q297,FIND(":",Sync!$Q297)-1)),2)&amp;RIGHT("00"&amp;VALUE(MID(Sync!$Q297,FIND(":",Sync!$Q297)+1,2)),2),"0000"))))</f>
        <v/>
      </c>
      <c r="AK297">
        <f>IF(OR($AE297="",$AI297="",$AI297="نامعتبر"),"",LEFT($AI297,4)&amp;MID($AI297,6,2)&amp;RIGHT($AI297,2)&amp;$AJ297&amp;"|"&amp;"3"&amp;RIGHT("00000"&amp;292,5))</f>
        <v/>
      </c>
      <c r="AL297">
        <f>IF($AK297="","",COUNTIFS(LdAParty,$AE297,LdAType,1,LdAKey,"&lt;"&amp;$AK297)+COUNTIFS(LdBMember,$AE297,LdBKey,"&lt;"&amp;$AK297)+COUNTIFS(LdCParty,$AE297,LdCKey,"&lt;"&amp;$AK297)+1)</f>
        <v/>
      </c>
      <c r="AM297">
        <f>IF($AL297="","",$AE297&amp;"|"&amp;RIGHT("000000"&amp;$AL297,6))</f>
        <v/>
      </c>
      <c r="AN297">
        <f>IF($AE297="","",IF(Sync!$W297="",0,Sync!$W297))</f>
        <v/>
      </c>
      <c r="AO297">
        <f>IF($AE297="","",IF(Sync!$X297="",0,Sync!$X297))</f>
        <v/>
      </c>
      <c r="AP297">
        <f>IF($AE297="","",Sync!$R297)</f>
        <v/>
      </c>
      <c r="AQ297">
        <f>IF($AE297="","",Sync!$Y297)</f>
        <v/>
      </c>
    </row>
    <row r="298">
      <c r="A298">
        <f>IF(OR(Wages!$B301="",Wages!$E301=""),"",Wages!$E301)</f>
        <v/>
      </c>
      <c r="B298">
        <f>IF($A298="","",IF(Wages!$C301="دستمزد گروهی",2,1))</f>
        <v/>
      </c>
      <c r="C298">
        <f>IF($A298="","",IF(ISNUMBER(Wages!$B301),IF(AND(Wages!$B301&gt;=10000101,Wages!$B301&lt;=99991231),INT(Wages!$B301/10000),""),IFERROR(VALUE(TRIM(LEFT(Wages!$B301,FIND("/",Wages!$B301)-1))),"")))</f>
        <v/>
      </c>
      <c r="D298">
        <f>IF(OR($A298="",$C298=""),"",IF(ISNUMBER(Wages!$B301),INT(MOD(Wages!$B301,10000)/100),IFERROR(VALUE(TRIM(LEFT(MID(Wages!$B301,FIND("/",Wages!$B301)+1,20),FIND("/",MID(Wages!$B301,FIND("/",Wages!$B301)+1,20))-1))),"")))</f>
        <v/>
      </c>
      <c r="E298">
        <f>IF(OR($A298="",$C298=""),"",IF(ISNUMBER(Wages!$B301),MOD(Wages!$B301,100),IFERROR(VALUE(TRIM(MID(MID(Wages!$B301,FIND("/",Wages!$B301)+1,20),FIND("/",MID(Wages!$B301,FIND("/",Wages!$B301)+1,20))+1,20))),"")))</f>
        <v/>
      </c>
      <c r="F298">
        <f>IF($A298="","",IF(OR($C298="",$D298="",$E298="",$C298&lt;1300,$C298&gt;1500,$D298&lt;1,$D298&gt;12,$E298&lt;1,$E298&gt;31),"نامعتبر",RIGHT("0000"&amp;$C298,4)&amp;"/"&amp;RIGHT("00"&amp;$D298,2)&amp;"/"&amp;RIGHT("00"&amp;$E298,2)))</f>
        <v/>
      </c>
      <c r="G298">
        <f>IF(OR($A298="",$F298="",$F298="نامعتبر"),"",LEFT($F298,4)&amp;MID($F298,6,2)&amp;RIGHT($F298,2)&amp;"0000"&amp;"|"&amp;"1"&amp;RIGHT("00000"&amp;293,5))</f>
        <v/>
      </c>
      <c r="H298">
        <f>IF(OR($B298&lt;&gt;1,$G298=""),"",COUNTIFS(LdAParty,$A298,LdAType,1,LdAKey,"&lt;"&amp;$G298)+COUNTIFS(LdBMember,$A298,LdBKey,"&lt;"&amp;$G298)+COUNTIFS(LdCParty,$A298,LdCKey,"&lt;"&amp;$G298)+1)</f>
        <v/>
      </c>
      <c r="I298">
        <f>IF($H298="","",$A298&amp;"|"&amp;RIGHT("000000"&amp;$H298,6))</f>
        <v/>
      </c>
      <c r="J298">
        <f>IF(OR($B298&lt;&gt;2,$G298=""),"",COUNTIFS(LdAParty,$A298,LdAType,2,LdAKey,"&lt;"&amp;$G298)+1)</f>
        <v/>
      </c>
      <c r="K298">
        <f>IF($J298="","",$A298&amp;"|"&amp;RIGHT("000000"&amp;$J298,6))</f>
        <v/>
      </c>
      <c r="L298">
        <f>IF($A298="","",IF(Wages!$G301="",0,Wages!$G301))</f>
        <v/>
      </c>
      <c r="M298">
        <f>IF($A298="","",Wages!$J301)</f>
        <v/>
      </c>
      <c r="N298">
        <f>IF($A298="","",Wages!$D301)</f>
        <v/>
      </c>
      <c r="P298">
        <f>IF(OR(Shares!$B301="",Shares!$C301=""),"",Shares!$C301)</f>
        <v/>
      </c>
      <c r="Q298">
        <f>IF($P298="","",Shares!$B301)</f>
        <v/>
      </c>
      <c r="R298">
        <f>IF($P298="","",IFERROR(INDEX(WageParty,MATCH($Q298,WageIds,0)),""))</f>
        <v/>
      </c>
      <c r="S298">
        <f>IF($P298="","",IFERROR(INDEX($F$6:$F$2005,MATCH($Q298,WageIds,0)),""))</f>
        <v/>
      </c>
      <c r="T298">
        <f>IF(OR($P298="",$S298="",$S298="نامعتبر"),"",LEFT($S298,4)&amp;MID($S298,6,2)&amp;RIGHT($S298,2)&amp;"0000"&amp;"|"&amp;"2"&amp;RIGHT("00000"&amp;293,5))</f>
        <v/>
      </c>
      <c r="U298">
        <f>IF($T298="","",COUNTIFS(LdAParty,$P298,LdAType,1,LdAKey,"&lt;"&amp;$T298)+COUNTIFS(LdBMember,$P298,LdBKey,"&lt;"&amp;$T298)+COUNTIFS(LdCParty,$P298,LdCKey,"&lt;"&amp;$T298)+1)</f>
        <v/>
      </c>
      <c r="V298">
        <f>IF($U298="","",$P298&amp;"|"&amp;RIGHT("000000"&amp;$U298,6))</f>
        <v/>
      </c>
      <c r="W298">
        <f>IF($T298="","",COUNTIFS(LdBGroup,$R298,LdBKey,"&lt;"&amp;$T298)+1)</f>
        <v/>
      </c>
      <c r="X298">
        <f>IF($W298="","",$R298&amp;"|"&amp;RIGHT("000000"&amp;$W298,6))</f>
        <v/>
      </c>
      <c r="Y298">
        <f>IF($P298="","",IF(Shares!$E301="",0,Shares!$E301))</f>
        <v/>
      </c>
      <c r="Z298">
        <f>IF($P298="","",Shares!$H301)</f>
        <v/>
      </c>
      <c r="AE298">
        <f>IF(OR(Sync!$S298="",Sync!$P298=""),"",Sync!$S298)</f>
        <v/>
      </c>
      <c r="AF298">
        <f>IF($AE298="","",IF(ISNUMBER(Sync!$P298),IF(AND(Sync!$P298&gt;=10000101,Sync!$P298&lt;=99991231),INT(Sync!$P298/10000),""),IFERROR(VALUE(TRIM(LEFT(Sync!$P298,FIND("/",Sync!$P298)-1))),"")))</f>
        <v/>
      </c>
      <c r="AG298">
        <f>IF(OR($AE298="",$AF298=""),"",IF(ISNUMBER(Sync!$P298),INT(MOD(Sync!$P298,10000)/100),IFERROR(VALUE(TRIM(LEFT(MID(Sync!$P298,FIND("/",Sync!$P298)+1,20),FIND("/",MID(Sync!$P298,FIND("/",Sync!$P298)+1,20))-1))),"")))</f>
        <v/>
      </c>
      <c r="AH298">
        <f>IF(OR($AE298="",$AF298=""),"",IF(ISNUMBER(Sync!$P298),MOD(Sync!$P298,100),IFERROR(VALUE(TRIM(MID(MID(Sync!$P298,FIND("/",Sync!$P298)+1,20),FIND("/",MID(Sync!$P298,FIND("/",Sync!$P298)+1,20))+1,20))),"")))</f>
        <v/>
      </c>
      <c r="AI298">
        <f>IF($AE298="","",IF(OR($AF298="",$AG298="",$AH298="",$AF298&lt;1300,$AF298&gt;1500,$AG298&lt;1,$AG298&gt;12,$AH298&lt;1,$AH298&gt;31),"نامعتبر",RIGHT("0000"&amp;$AF298,4)&amp;"/"&amp;RIGHT("00"&amp;$AG298,2)&amp;"/"&amp;RIGHT("00"&amp;$AH298,2)))</f>
        <v/>
      </c>
      <c r="AJ298">
        <f>IF($AE298="","",IF(Sync!$Q298="","0000",IF(AND(ISNUMBER(Sync!$Q298),Sync!$Q298&gt;=0,Sync!$Q298&lt;1),RIGHT("00"&amp;HOUR(Sync!$Q298),2)&amp;RIGHT("00"&amp;MINUTE(Sync!$Q298),2),IFERROR(RIGHT("00"&amp;VALUE(LEFT(Sync!$Q298,FIND(":",Sync!$Q298)-1)),2)&amp;RIGHT("00"&amp;VALUE(MID(Sync!$Q298,FIND(":",Sync!$Q298)+1,2)),2),"0000"))))</f>
        <v/>
      </c>
      <c r="AK298">
        <f>IF(OR($AE298="",$AI298="",$AI298="نامعتبر"),"",LEFT($AI298,4)&amp;MID($AI298,6,2)&amp;RIGHT($AI298,2)&amp;$AJ298&amp;"|"&amp;"3"&amp;RIGHT("00000"&amp;293,5))</f>
        <v/>
      </c>
      <c r="AL298">
        <f>IF($AK298="","",COUNTIFS(LdAParty,$AE298,LdAType,1,LdAKey,"&lt;"&amp;$AK298)+COUNTIFS(LdBMember,$AE298,LdBKey,"&lt;"&amp;$AK298)+COUNTIFS(LdCParty,$AE298,LdCKey,"&lt;"&amp;$AK298)+1)</f>
        <v/>
      </c>
      <c r="AM298">
        <f>IF($AL298="","",$AE298&amp;"|"&amp;RIGHT("000000"&amp;$AL298,6))</f>
        <v/>
      </c>
      <c r="AN298">
        <f>IF($AE298="","",IF(Sync!$W298="",0,Sync!$W298))</f>
        <v/>
      </c>
      <c r="AO298">
        <f>IF($AE298="","",IF(Sync!$X298="",0,Sync!$X298))</f>
        <v/>
      </c>
      <c r="AP298">
        <f>IF($AE298="","",Sync!$R298)</f>
        <v/>
      </c>
      <c r="AQ298">
        <f>IF($AE298="","",Sync!$Y298)</f>
        <v/>
      </c>
    </row>
    <row r="299">
      <c r="A299">
        <f>IF(OR(Wages!$B302="",Wages!$E302=""),"",Wages!$E302)</f>
        <v/>
      </c>
      <c r="B299">
        <f>IF($A299="","",IF(Wages!$C302="دستمزد گروهی",2,1))</f>
        <v/>
      </c>
      <c r="C299">
        <f>IF($A299="","",IF(ISNUMBER(Wages!$B302),IF(AND(Wages!$B302&gt;=10000101,Wages!$B302&lt;=99991231),INT(Wages!$B302/10000),""),IFERROR(VALUE(TRIM(LEFT(Wages!$B302,FIND("/",Wages!$B302)-1))),"")))</f>
        <v/>
      </c>
      <c r="D299">
        <f>IF(OR($A299="",$C299=""),"",IF(ISNUMBER(Wages!$B302),INT(MOD(Wages!$B302,10000)/100),IFERROR(VALUE(TRIM(LEFT(MID(Wages!$B302,FIND("/",Wages!$B302)+1,20),FIND("/",MID(Wages!$B302,FIND("/",Wages!$B302)+1,20))-1))),"")))</f>
        <v/>
      </c>
      <c r="E299">
        <f>IF(OR($A299="",$C299=""),"",IF(ISNUMBER(Wages!$B302),MOD(Wages!$B302,100),IFERROR(VALUE(TRIM(MID(MID(Wages!$B302,FIND("/",Wages!$B302)+1,20),FIND("/",MID(Wages!$B302,FIND("/",Wages!$B302)+1,20))+1,20))),"")))</f>
        <v/>
      </c>
      <c r="F299">
        <f>IF($A299="","",IF(OR($C299="",$D299="",$E299="",$C299&lt;1300,$C299&gt;1500,$D299&lt;1,$D299&gt;12,$E299&lt;1,$E299&gt;31),"نامعتبر",RIGHT("0000"&amp;$C299,4)&amp;"/"&amp;RIGHT("00"&amp;$D299,2)&amp;"/"&amp;RIGHT("00"&amp;$E299,2)))</f>
        <v/>
      </c>
      <c r="G299">
        <f>IF(OR($A299="",$F299="",$F299="نامعتبر"),"",LEFT($F299,4)&amp;MID($F299,6,2)&amp;RIGHT($F299,2)&amp;"0000"&amp;"|"&amp;"1"&amp;RIGHT("00000"&amp;294,5))</f>
        <v/>
      </c>
      <c r="H299">
        <f>IF(OR($B299&lt;&gt;1,$G299=""),"",COUNTIFS(LdAParty,$A299,LdAType,1,LdAKey,"&lt;"&amp;$G299)+COUNTIFS(LdBMember,$A299,LdBKey,"&lt;"&amp;$G299)+COUNTIFS(LdCParty,$A299,LdCKey,"&lt;"&amp;$G299)+1)</f>
        <v/>
      </c>
      <c r="I299">
        <f>IF($H299="","",$A299&amp;"|"&amp;RIGHT("000000"&amp;$H299,6))</f>
        <v/>
      </c>
      <c r="J299">
        <f>IF(OR($B299&lt;&gt;2,$G299=""),"",COUNTIFS(LdAParty,$A299,LdAType,2,LdAKey,"&lt;"&amp;$G299)+1)</f>
        <v/>
      </c>
      <c r="K299">
        <f>IF($J299="","",$A299&amp;"|"&amp;RIGHT("000000"&amp;$J299,6))</f>
        <v/>
      </c>
      <c r="L299">
        <f>IF($A299="","",IF(Wages!$G302="",0,Wages!$G302))</f>
        <v/>
      </c>
      <c r="M299">
        <f>IF($A299="","",Wages!$J302)</f>
        <v/>
      </c>
      <c r="N299">
        <f>IF($A299="","",Wages!$D302)</f>
        <v/>
      </c>
      <c r="P299">
        <f>IF(OR(Shares!$B302="",Shares!$C302=""),"",Shares!$C302)</f>
        <v/>
      </c>
      <c r="Q299">
        <f>IF($P299="","",Shares!$B302)</f>
        <v/>
      </c>
      <c r="R299">
        <f>IF($P299="","",IFERROR(INDEX(WageParty,MATCH($Q299,WageIds,0)),""))</f>
        <v/>
      </c>
      <c r="S299">
        <f>IF($P299="","",IFERROR(INDEX($F$6:$F$2005,MATCH($Q299,WageIds,0)),""))</f>
        <v/>
      </c>
      <c r="T299">
        <f>IF(OR($P299="",$S299="",$S299="نامعتبر"),"",LEFT($S299,4)&amp;MID($S299,6,2)&amp;RIGHT($S299,2)&amp;"0000"&amp;"|"&amp;"2"&amp;RIGHT("00000"&amp;294,5))</f>
        <v/>
      </c>
      <c r="U299">
        <f>IF($T299="","",COUNTIFS(LdAParty,$P299,LdAType,1,LdAKey,"&lt;"&amp;$T299)+COUNTIFS(LdBMember,$P299,LdBKey,"&lt;"&amp;$T299)+COUNTIFS(LdCParty,$P299,LdCKey,"&lt;"&amp;$T299)+1)</f>
        <v/>
      </c>
      <c r="V299">
        <f>IF($U299="","",$P299&amp;"|"&amp;RIGHT("000000"&amp;$U299,6))</f>
        <v/>
      </c>
      <c r="W299">
        <f>IF($T299="","",COUNTIFS(LdBGroup,$R299,LdBKey,"&lt;"&amp;$T299)+1)</f>
        <v/>
      </c>
      <c r="X299">
        <f>IF($W299="","",$R299&amp;"|"&amp;RIGHT("000000"&amp;$W299,6))</f>
        <v/>
      </c>
      <c r="Y299">
        <f>IF($P299="","",IF(Shares!$E302="",0,Shares!$E302))</f>
        <v/>
      </c>
      <c r="Z299">
        <f>IF($P299="","",Shares!$H302)</f>
        <v/>
      </c>
      <c r="AE299">
        <f>IF(OR(Sync!$S299="",Sync!$P299=""),"",Sync!$S299)</f>
        <v/>
      </c>
      <c r="AF299">
        <f>IF($AE299="","",IF(ISNUMBER(Sync!$P299),IF(AND(Sync!$P299&gt;=10000101,Sync!$P299&lt;=99991231),INT(Sync!$P299/10000),""),IFERROR(VALUE(TRIM(LEFT(Sync!$P299,FIND("/",Sync!$P299)-1))),"")))</f>
        <v/>
      </c>
      <c r="AG299">
        <f>IF(OR($AE299="",$AF299=""),"",IF(ISNUMBER(Sync!$P299),INT(MOD(Sync!$P299,10000)/100),IFERROR(VALUE(TRIM(LEFT(MID(Sync!$P299,FIND("/",Sync!$P299)+1,20),FIND("/",MID(Sync!$P299,FIND("/",Sync!$P299)+1,20))-1))),"")))</f>
        <v/>
      </c>
      <c r="AH299">
        <f>IF(OR($AE299="",$AF299=""),"",IF(ISNUMBER(Sync!$P299),MOD(Sync!$P299,100),IFERROR(VALUE(TRIM(MID(MID(Sync!$P299,FIND("/",Sync!$P299)+1,20),FIND("/",MID(Sync!$P299,FIND("/",Sync!$P299)+1,20))+1,20))),"")))</f>
        <v/>
      </c>
      <c r="AI299">
        <f>IF($AE299="","",IF(OR($AF299="",$AG299="",$AH299="",$AF299&lt;1300,$AF299&gt;1500,$AG299&lt;1,$AG299&gt;12,$AH299&lt;1,$AH299&gt;31),"نامعتبر",RIGHT("0000"&amp;$AF299,4)&amp;"/"&amp;RIGHT("00"&amp;$AG299,2)&amp;"/"&amp;RIGHT("00"&amp;$AH299,2)))</f>
        <v/>
      </c>
      <c r="AJ299">
        <f>IF($AE299="","",IF(Sync!$Q299="","0000",IF(AND(ISNUMBER(Sync!$Q299),Sync!$Q299&gt;=0,Sync!$Q299&lt;1),RIGHT("00"&amp;HOUR(Sync!$Q299),2)&amp;RIGHT("00"&amp;MINUTE(Sync!$Q299),2),IFERROR(RIGHT("00"&amp;VALUE(LEFT(Sync!$Q299,FIND(":",Sync!$Q299)-1)),2)&amp;RIGHT("00"&amp;VALUE(MID(Sync!$Q299,FIND(":",Sync!$Q299)+1,2)),2),"0000"))))</f>
        <v/>
      </c>
      <c r="AK299">
        <f>IF(OR($AE299="",$AI299="",$AI299="نامعتبر"),"",LEFT($AI299,4)&amp;MID($AI299,6,2)&amp;RIGHT($AI299,2)&amp;$AJ299&amp;"|"&amp;"3"&amp;RIGHT("00000"&amp;294,5))</f>
        <v/>
      </c>
      <c r="AL299">
        <f>IF($AK299="","",COUNTIFS(LdAParty,$AE299,LdAType,1,LdAKey,"&lt;"&amp;$AK299)+COUNTIFS(LdBMember,$AE299,LdBKey,"&lt;"&amp;$AK299)+COUNTIFS(LdCParty,$AE299,LdCKey,"&lt;"&amp;$AK299)+1)</f>
        <v/>
      </c>
      <c r="AM299">
        <f>IF($AL299="","",$AE299&amp;"|"&amp;RIGHT("000000"&amp;$AL299,6))</f>
        <v/>
      </c>
      <c r="AN299">
        <f>IF($AE299="","",IF(Sync!$W299="",0,Sync!$W299))</f>
        <v/>
      </c>
      <c r="AO299">
        <f>IF($AE299="","",IF(Sync!$X299="",0,Sync!$X299))</f>
        <v/>
      </c>
      <c r="AP299">
        <f>IF($AE299="","",Sync!$R299)</f>
        <v/>
      </c>
      <c r="AQ299">
        <f>IF($AE299="","",Sync!$Y299)</f>
        <v/>
      </c>
    </row>
    <row r="300">
      <c r="A300">
        <f>IF(OR(Wages!$B303="",Wages!$E303=""),"",Wages!$E303)</f>
        <v/>
      </c>
      <c r="B300">
        <f>IF($A300="","",IF(Wages!$C303="دستمزد گروهی",2,1))</f>
        <v/>
      </c>
      <c r="C300">
        <f>IF($A300="","",IF(ISNUMBER(Wages!$B303),IF(AND(Wages!$B303&gt;=10000101,Wages!$B303&lt;=99991231),INT(Wages!$B303/10000),""),IFERROR(VALUE(TRIM(LEFT(Wages!$B303,FIND("/",Wages!$B303)-1))),"")))</f>
        <v/>
      </c>
      <c r="D300">
        <f>IF(OR($A300="",$C300=""),"",IF(ISNUMBER(Wages!$B303),INT(MOD(Wages!$B303,10000)/100),IFERROR(VALUE(TRIM(LEFT(MID(Wages!$B303,FIND("/",Wages!$B303)+1,20),FIND("/",MID(Wages!$B303,FIND("/",Wages!$B303)+1,20))-1))),"")))</f>
        <v/>
      </c>
      <c r="E300">
        <f>IF(OR($A300="",$C300=""),"",IF(ISNUMBER(Wages!$B303),MOD(Wages!$B303,100),IFERROR(VALUE(TRIM(MID(MID(Wages!$B303,FIND("/",Wages!$B303)+1,20),FIND("/",MID(Wages!$B303,FIND("/",Wages!$B303)+1,20))+1,20))),"")))</f>
        <v/>
      </c>
      <c r="F300">
        <f>IF($A300="","",IF(OR($C300="",$D300="",$E300="",$C300&lt;1300,$C300&gt;1500,$D300&lt;1,$D300&gt;12,$E300&lt;1,$E300&gt;31),"نامعتبر",RIGHT("0000"&amp;$C300,4)&amp;"/"&amp;RIGHT("00"&amp;$D300,2)&amp;"/"&amp;RIGHT("00"&amp;$E300,2)))</f>
        <v/>
      </c>
      <c r="G300">
        <f>IF(OR($A300="",$F300="",$F300="نامعتبر"),"",LEFT($F300,4)&amp;MID($F300,6,2)&amp;RIGHT($F300,2)&amp;"0000"&amp;"|"&amp;"1"&amp;RIGHT("00000"&amp;295,5))</f>
        <v/>
      </c>
      <c r="H300">
        <f>IF(OR($B300&lt;&gt;1,$G300=""),"",COUNTIFS(LdAParty,$A300,LdAType,1,LdAKey,"&lt;"&amp;$G300)+COUNTIFS(LdBMember,$A300,LdBKey,"&lt;"&amp;$G300)+COUNTIFS(LdCParty,$A300,LdCKey,"&lt;"&amp;$G300)+1)</f>
        <v/>
      </c>
      <c r="I300">
        <f>IF($H300="","",$A300&amp;"|"&amp;RIGHT("000000"&amp;$H300,6))</f>
        <v/>
      </c>
      <c r="J300">
        <f>IF(OR($B300&lt;&gt;2,$G300=""),"",COUNTIFS(LdAParty,$A300,LdAType,2,LdAKey,"&lt;"&amp;$G300)+1)</f>
        <v/>
      </c>
      <c r="K300">
        <f>IF($J300="","",$A300&amp;"|"&amp;RIGHT("000000"&amp;$J300,6))</f>
        <v/>
      </c>
      <c r="L300">
        <f>IF($A300="","",IF(Wages!$G303="",0,Wages!$G303))</f>
        <v/>
      </c>
      <c r="M300">
        <f>IF($A300="","",Wages!$J303)</f>
        <v/>
      </c>
      <c r="N300">
        <f>IF($A300="","",Wages!$D303)</f>
        <v/>
      </c>
      <c r="P300">
        <f>IF(OR(Shares!$B303="",Shares!$C303=""),"",Shares!$C303)</f>
        <v/>
      </c>
      <c r="Q300">
        <f>IF($P300="","",Shares!$B303)</f>
        <v/>
      </c>
      <c r="R300">
        <f>IF($P300="","",IFERROR(INDEX(WageParty,MATCH($Q300,WageIds,0)),""))</f>
        <v/>
      </c>
      <c r="S300">
        <f>IF($P300="","",IFERROR(INDEX($F$6:$F$2005,MATCH($Q300,WageIds,0)),""))</f>
        <v/>
      </c>
      <c r="T300">
        <f>IF(OR($P300="",$S300="",$S300="نامعتبر"),"",LEFT($S300,4)&amp;MID($S300,6,2)&amp;RIGHT($S300,2)&amp;"0000"&amp;"|"&amp;"2"&amp;RIGHT("00000"&amp;295,5))</f>
        <v/>
      </c>
      <c r="U300">
        <f>IF($T300="","",COUNTIFS(LdAParty,$P300,LdAType,1,LdAKey,"&lt;"&amp;$T300)+COUNTIFS(LdBMember,$P300,LdBKey,"&lt;"&amp;$T300)+COUNTIFS(LdCParty,$P300,LdCKey,"&lt;"&amp;$T300)+1)</f>
        <v/>
      </c>
      <c r="V300">
        <f>IF($U300="","",$P300&amp;"|"&amp;RIGHT("000000"&amp;$U300,6))</f>
        <v/>
      </c>
      <c r="W300">
        <f>IF($T300="","",COUNTIFS(LdBGroup,$R300,LdBKey,"&lt;"&amp;$T300)+1)</f>
        <v/>
      </c>
      <c r="X300">
        <f>IF($W300="","",$R300&amp;"|"&amp;RIGHT("000000"&amp;$W300,6))</f>
        <v/>
      </c>
      <c r="Y300">
        <f>IF($P300="","",IF(Shares!$E303="",0,Shares!$E303))</f>
        <v/>
      </c>
      <c r="Z300">
        <f>IF($P300="","",Shares!$H303)</f>
        <v/>
      </c>
      <c r="AE300">
        <f>IF(OR(Sync!$S300="",Sync!$P300=""),"",Sync!$S300)</f>
        <v/>
      </c>
      <c r="AF300">
        <f>IF($AE300="","",IF(ISNUMBER(Sync!$P300),IF(AND(Sync!$P300&gt;=10000101,Sync!$P300&lt;=99991231),INT(Sync!$P300/10000),""),IFERROR(VALUE(TRIM(LEFT(Sync!$P300,FIND("/",Sync!$P300)-1))),"")))</f>
        <v/>
      </c>
      <c r="AG300">
        <f>IF(OR($AE300="",$AF300=""),"",IF(ISNUMBER(Sync!$P300),INT(MOD(Sync!$P300,10000)/100),IFERROR(VALUE(TRIM(LEFT(MID(Sync!$P300,FIND("/",Sync!$P300)+1,20),FIND("/",MID(Sync!$P300,FIND("/",Sync!$P300)+1,20))-1))),"")))</f>
        <v/>
      </c>
      <c r="AH300">
        <f>IF(OR($AE300="",$AF300=""),"",IF(ISNUMBER(Sync!$P300),MOD(Sync!$P300,100),IFERROR(VALUE(TRIM(MID(MID(Sync!$P300,FIND("/",Sync!$P300)+1,20),FIND("/",MID(Sync!$P300,FIND("/",Sync!$P300)+1,20))+1,20))),"")))</f>
        <v/>
      </c>
      <c r="AI300">
        <f>IF($AE300="","",IF(OR($AF300="",$AG300="",$AH300="",$AF300&lt;1300,$AF300&gt;1500,$AG300&lt;1,$AG300&gt;12,$AH300&lt;1,$AH300&gt;31),"نامعتبر",RIGHT("0000"&amp;$AF300,4)&amp;"/"&amp;RIGHT("00"&amp;$AG300,2)&amp;"/"&amp;RIGHT("00"&amp;$AH300,2)))</f>
        <v/>
      </c>
      <c r="AJ300">
        <f>IF($AE300="","",IF(Sync!$Q300="","0000",IF(AND(ISNUMBER(Sync!$Q300),Sync!$Q300&gt;=0,Sync!$Q300&lt;1),RIGHT("00"&amp;HOUR(Sync!$Q300),2)&amp;RIGHT("00"&amp;MINUTE(Sync!$Q300),2),IFERROR(RIGHT("00"&amp;VALUE(LEFT(Sync!$Q300,FIND(":",Sync!$Q300)-1)),2)&amp;RIGHT("00"&amp;VALUE(MID(Sync!$Q300,FIND(":",Sync!$Q300)+1,2)),2),"0000"))))</f>
        <v/>
      </c>
      <c r="AK300">
        <f>IF(OR($AE300="",$AI300="",$AI300="نامعتبر"),"",LEFT($AI300,4)&amp;MID($AI300,6,2)&amp;RIGHT($AI300,2)&amp;$AJ300&amp;"|"&amp;"3"&amp;RIGHT("00000"&amp;295,5))</f>
        <v/>
      </c>
      <c r="AL300">
        <f>IF($AK300="","",COUNTIFS(LdAParty,$AE300,LdAType,1,LdAKey,"&lt;"&amp;$AK300)+COUNTIFS(LdBMember,$AE300,LdBKey,"&lt;"&amp;$AK300)+COUNTIFS(LdCParty,$AE300,LdCKey,"&lt;"&amp;$AK300)+1)</f>
        <v/>
      </c>
      <c r="AM300">
        <f>IF($AL300="","",$AE300&amp;"|"&amp;RIGHT("000000"&amp;$AL300,6))</f>
        <v/>
      </c>
      <c r="AN300">
        <f>IF($AE300="","",IF(Sync!$W300="",0,Sync!$W300))</f>
        <v/>
      </c>
      <c r="AO300">
        <f>IF($AE300="","",IF(Sync!$X300="",0,Sync!$X300))</f>
        <v/>
      </c>
      <c r="AP300">
        <f>IF($AE300="","",Sync!$R300)</f>
        <v/>
      </c>
      <c r="AQ300">
        <f>IF($AE300="","",Sync!$Y300)</f>
        <v/>
      </c>
    </row>
    <row r="301">
      <c r="A301">
        <f>IF(OR(Wages!$B304="",Wages!$E304=""),"",Wages!$E304)</f>
        <v/>
      </c>
      <c r="B301">
        <f>IF($A301="","",IF(Wages!$C304="دستمزد گروهی",2,1))</f>
        <v/>
      </c>
      <c r="C301">
        <f>IF($A301="","",IF(ISNUMBER(Wages!$B304),IF(AND(Wages!$B304&gt;=10000101,Wages!$B304&lt;=99991231),INT(Wages!$B304/10000),""),IFERROR(VALUE(TRIM(LEFT(Wages!$B304,FIND("/",Wages!$B304)-1))),"")))</f>
        <v/>
      </c>
      <c r="D301">
        <f>IF(OR($A301="",$C301=""),"",IF(ISNUMBER(Wages!$B304),INT(MOD(Wages!$B304,10000)/100),IFERROR(VALUE(TRIM(LEFT(MID(Wages!$B304,FIND("/",Wages!$B304)+1,20),FIND("/",MID(Wages!$B304,FIND("/",Wages!$B304)+1,20))-1))),"")))</f>
        <v/>
      </c>
      <c r="E301">
        <f>IF(OR($A301="",$C301=""),"",IF(ISNUMBER(Wages!$B304),MOD(Wages!$B304,100),IFERROR(VALUE(TRIM(MID(MID(Wages!$B304,FIND("/",Wages!$B304)+1,20),FIND("/",MID(Wages!$B304,FIND("/",Wages!$B304)+1,20))+1,20))),"")))</f>
        <v/>
      </c>
      <c r="F301">
        <f>IF($A301="","",IF(OR($C301="",$D301="",$E301="",$C301&lt;1300,$C301&gt;1500,$D301&lt;1,$D301&gt;12,$E301&lt;1,$E301&gt;31),"نامعتبر",RIGHT("0000"&amp;$C301,4)&amp;"/"&amp;RIGHT("00"&amp;$D301,2)&amp;"/"&amp;RIGHT("00"&amp;$E301,2)))</f>
        <v/>
      </c>
      <c r="G301">
        <f>IF(OR($A301="",$F301="",$F301="نامعتبر"),"",LEFT($F301,4)&amp;MID($F301,6,2)&amp;RIGHT($F301,2)&amp;"0000"&amp;"|"&amp;"1"&amp;RIGHT("00000"&amp;296,5))</f>
        <v/>
      </c>
      <c r="H301">
        <f>IF(OR($B301&lt;&gt;1,$G301=""),"",COUNTIFS(LdAParty,$A301,LdAType,1,LdAKey,"&lt;"&amp;$G301)+COUNTIFS(LdBMember,$A301,LdBKey,"&lt;"&amp;$G301)+COUNTIFS(LdCParty,$A301,LdCKey,"&lt;"&amp;$G301)+1)</f>
        <v/>
      </c>
      <c r="I301">
        <f>IF($H301="","",$A301&amp;"|"&amp;RIGHT("000000"&amp;$H301,6))</f>
        <v/>
      </c>
      <c r="J301">
        <f>IF(OR($B301&lt;&gt;2,$G301=""),"",COUNTIFS(LdAParty,$A301,LdAType,2,LdAKey,"&lt;"&amp;$G301)+1)</f>
        <v/>
      </c>
      <c r="K301">
        <f>IF($J301="","",$A301&amp;"|"&amp;RIGHT("000000"&amp;$J301,6))</f>
        <v/>
      </c>
      <c r="L301">
        <f>IF($A301="","",IF(Wages!$G304="",0,Wages!$G304))</f>
        <v/>
      </c>
      <c r="M301">
        <f>IF($A301="","",Wages!$J304)</f>
        <v/>
      </c>
      <c r="N301">
        <f>IF($A301="","",Wages!$D304)</f>
        <v/>
      </c>
      <c r="P301">
        <f>IF(OR(Shares!$B304="",Shares!$C304=""),"",Shares!$C304)</f>
        <v/>
      </c>
      <c r="Q301">
        <f>IF($P301="","",Shares!$B304)</f>
        <v/>
      </c>
      <c r="R301">
        <f>IF($P301="","",IFERROR(INDEX(WageParty,MATCH($Q301,WageIds,0)),""))</f>
        <v/>
      </c>
      <c r="S301">
        <f>IF($P301="","",IFERROR(INDEX($F$6:$F$2005,MATCH($Q301,WageIds,0)),""))</f>
        <v/>
      </c>
      <c r="T301">
        <f>IF(OR($P301="",$S301="",$S301="نامعتبر"),"",LEFT($S301,4)&amp;MID($S301,6,2)&amp;RIGHT($S301,2)&amp;"0000"&amp;"|"&amp;"2"&amp;RIGHT("00000"&amp;296,5))</f>
        <v/>
      </c>
      <c r="U301">
        <f>IF($T301="","",COUNTIFS(LdAParty,$P301,LdAType,1,LdAKey,"&lt;"&amp;$T301)+COUNTIFS(LdBMember,$P301,LdBKey,"&lt;"&amp;$T301)+COUNTIFS(LdCParty,$P301,LdCKey,"&lt;"&amp;$T301)+1)</f>
        <v/>
      </c>
      <c r="V301">
        <f>IF($U301="","",$P301&amp;"|"&amp;RIGHT("000000"&amp;$U301,6))</f>
        <v/>
      </c>
      <c r="W301">
        <f>IF($T301="","",COUNTIFS(LdBGroup,$R301,LdBKey,"&lt;"&amp;$T301)+1)</f>
        <v/>
      </c>
      <c r="X301">
        <f>IF($W301="","",$R301&amp;"|"&amp;RIGHT("000000"&amp;$W301,6))</f>
        <v/>
      </c>
      <c r="Y301">
        <f>IF($P301="","",IF(Shares!$E304="",0,Shares!$E304))</f>
        <v/>
      </c>
      <c r="Z301">
        <f>IF($P301="","",Shares!$H304)</f>
        <v/>
      </c>
      <c r="AE301">
        <f>IF(OR(Sync!$S301="",Sync!$P301=""),"",Sync!$S301)</f>
        <v/>
      </c>
      <c r="AF301">
        <f>IF($AE301="","",IF(ISNUMBER(Sync!$P301),IF(AND(Sync!$P301&gt;=10000101,Sync!$P301&lt;=99991231),INT(Sync!$P301/10000),""),IFERROR(VALUE(TRIM(LEFT(Sync!$P301,FIND("/",Sync!$P301)-1))),"")))</f>
        <v/>
      </c>
      <c r="AG301">
        <f>IF(OR($AE301="",$AF301=""),"",IF(ISNUMBER(Sync!$P301),INT(MOD(Sync!$P301,10000)/100),IFERROR(VALUE(TRIM(LEFT(MID(Sync!$P301,FIND("/",Sync!$P301)+1,20),FIND("/",MID(Sync!$P301,FIND("/",Sync!$P301)+1,20))-1))),"")))</f>
        <v/>
      </c>
      <c r="AH301">
        <f>IF(OR($AE301="",$AF301=""),"",IF(ISNUMBER(Sync!$P301),MOD(Sync!$P301,100),IFERROR(VALUE(TRIM(MID(MID(Sync!$P301,FIND("/",Sync!$P301)+1,20),FIND("/",MID(Sync!$P301,FIND("/",Sync!$P301)+1,20))+1,20))),"")))</f>
        <v/>
      </c>
      <c r="AI301">
        <f>IF($AE301="","",IF(OR($AF301="",$AG301="",$AH301="",$AF301&lt;1300,$AF301&gt;1500,$AG301&lt;1,$AG301&gt;12,$AH301&lt;1,$AH301&gt;31),"نامعتبر",RIGHT("0000"&amp;$AF301,4)&amp;"/"&amp;RIGHT("00"&amp;$AG301,2)&amp;"/"&amp;RIGHT("00"&amp;$AH301,2)))</f>
        <v/>
      </c>
      <c r="AJ301">
        <f>IF($AE301="","",IF(Sync!$Q301="","0000",IF(AND(ISNUMBER(Sync!$Q301),Sync!$Q301&gt;=0,Sync!$Q301&lt;1),RIGHT("00"&amp;HOUR(Sync!$Q301),2)&amp;RIGHT("00"&amp;MINUTE(Sync!$Q301),2),IFERROR(RIGHT("00"&amp;VALUE(LEFT(Sync!$Q301,FIND(":",Sync!$Q301)-1)),2)&amp;RIGHT("00"&amp;VALUE(MID(Sync!$Q301,FIND(":",Sync!$Q301)+1,2)),2),"0000"))))</f>
        <v/>
      </c>
      <c r="AK301">
        <f>IF(OR($AE301="",$AI301="",$AI301="نامعتبر"),"",LEFT($AI301,4)&amp;MID($AI301,6,2)&amp;RIGHT($AI301,2)&amp;$AJ301&amp;"|"&amp;"3"&amp;RIGHT("00000"&amp;296,5))</f>
        <v/>
      </c>
      <c r="AL301">
        <f>IF($AK301="","",COUNTIFS(LdAParty,$AE301,LdAType,1,LdAKey,"&lt;"&amp;$AK301)+COUNTIFS(LdBMember,$AE301,LdBKey,"&lt;"&amp;$AK301)+COUNTIFS(LdCParty,$AE301,LdCKey,"&lt;"&amp;$AK301)+1)</f>
        <v/>
      </c>
      <c r="AM301">
        <f>IF($AL301="","",$AE301&amp;"|"&amp;RIGHT("000000"&amp;$AL301,6))</f>
        <v/>
      </c>
      <c r="AN301">
        <f>IF($AE301="","",IF(Sync!$W301="",0,Sync!$W301))</f>
        <v/>
      </c>
      <c r="AO301">
        <f>IF($AE301="","",IF(Sync!$X301="",0,Sync!$X301))</f>
        <v/>
      </c>
      <c r="AP301">
        <f>IF($AE301="","",Sync!$R301)</f>
        <v/>
      </c>
      <c r="AQ301">
        <f>IF($AE301="","",Sync!$Y301)</f>
        <v/>
      </c>
    </row>
    <row r="302">
      <c r="A302">
        <f>IF(OR(Wages!$B305="",Wages!$E305=""),"",Wages!$E305)</f>
        <v/>
      </c>
      <c r="B302">
        <f>IF($A302="","",IF(Wages!$C305="دستمزد گروهی",2,1))</f>
        <v/>
      </c>
      <c r="C302">
        <f>IF($A302="","",IF(ISNUMBER(Wages!$B305),IF(AND(Wages!$B305&gt;=10000101,Wages!$B305&lt;=99991231),INT(Wages!$B305/10000),""),IFERROR(VALUE(TRIM(LEFT(Wages!$B305,FIND("/",Wages!$B305)-1))),"")))</f>
        <v/>
      </c>
      <c r="D302">
        <f>IF(OR($A302="",$C302=""),"",IF(ISNUMBER(Wages!$B305),INT(MOD(Wages!$B305,10000)/100),IFERROR(VALUE(TRIM(LEFT(MID(Wages!$B305,FIND("/",Wages!$B305)+1,20),FIND("/",MID(Wages!$B305,FIND("/",Wages!$B305)+1,20))-1))),"")))</f>
        <v/>
      </c>
      <c r="E302">
        <f>IF(OR($A302="",$C302=""),"",IF(ISNUMBER(Wages!$B305),MOD(Wages!$B305,100),IFERROR(VALUE(TRIM(MID(MID(Wages!$B305,FIND("/",Wages!$B305)+1,20),FIND("/",MID(Wages!$B305,FIND("/",Wages!$B305)+1,20))+1,20))),"")))</f>
        <v/>
      </c>
      <c r="F302">
        <f>IF($A302="","",IF(OR($C302="",$D302="",$E302="",$C302&lt;1300,$C302&gt;1500,$D302&lt;1,$D302&gt;12,$E302&lt;1,$E302&gt;31),"نامعتبر",RIGHT("0000"&amp;$C302,4)&amp;"/"&amp;RIGHT("00"&amp;$D302,2)&amp;"/"&amp;RIGHT("00"&amp;$E302,2)))</f>
        <v/>
      </c>
      <c r="G302">
        <f>IF(OR($A302="",$F302="",$F302="نامعتبر"),"",LEFT($F302,4)&amp;MID($F302,6,2)&amp;RIGHT($F302,2)&amp;"0000"&amp;"|"&amp;"1"&amp;RIGHT("00000"&amp;297,5))</f>
        <v/>
      </c>
      <c r="H302">
        <f>IF(OR($B302&lt;&gt;1,$G302=""),"",COUNTIFS(LdAParty,$A302,LdAType,1,LdAKey,"&lt;"&amp;$G302)+COUNTIFS(LdBMember,$A302,LdBKey,"&lt;"&amp;$G302)+COUNTIFS(LdCParty,$A302,LdCKey,"&lt;"&amp;$G302)+1)</f>
        <v/>
      </c>
      <c r="I302">
        <f>IF($H302="","",$A302&amp;"|"&amp;RIGHT("000000"&amp;$H302,6))</f>
        <v/>
      </c>
      <c r="J302">
        <f>IF(OR($B302&lt;&gt;2,$G302=""),"",COUNTIFS(LdAParty,$A302,LdAType,2,LdAKey,"&lt;"&amp;$G302)+1)</f>
        <v/>
      </c>
      <c r="K302">
        <f>IF($J302="","",$A302&amp;"|"&amp;RIGHT("000000"&amp;$J302,6))</f>
        <v/>
      </c>
      <c r="L302">
        <f>IF($A302="","",IF(Wages!$G305="",0,Wages!$G305))</f>
        <v/>
      </c>
      <c r="M302">
        <f>IF($A302="","",Wages!$J305)</f>
        <v/>
      </c>
      <c r="N302">
        <f>IF($A302="","",Wages!$D305)</f>
        <v/>
      </c>
      <c r="P302">
        <f>IF(OR(Shares!$B305="",Shares!$C305=""),"",Shares!$C305)</f>
        <v/>
      </c>
      <c r="Q302">
        <f>IF($P302="","",Shares!$B305)</f>
        <v/>
      </c>
      <c r="R302">
        <f>IF($P302="","",IFERROR(INDEX(WageParty,MATCH($Q302,WageIds,0)),""))</f>
        <v/>
      </c>
      <c r="S302">
        <f>IF($P302="","",IFERROR(INDEX($F$6:$F$2005,MATCH($Q302,WageIds,0)),""))</f>
        <v/>
      </c>
      <c r="T302">
        <f>IF(OR($P302="",$S302="",$S302="نامعتبر"),"",LEFT($S302,4)&amp;MID($S302,6,2)&amp;RIGHT($S302,2)&amp;"0000"&amp;"|"&amp;"2"&amp;RIGHT("00000"&amp;297,5))</f>
        <v/>
      </c>
      <c r="U302">
        <f>IF($T302="","",COUNTIFS(LdAParty,$P302,LdAType,1,LdAKey,"&lt;"&amp;$T302)+COUNTIFS(LdBMember,$P302,LdBKey,"&lt;"&amp;$T302)+COUNTIFS(LdCParty,$P302,LdCKey,"&lt;"&amp;$T302)+1)</f>
        <v/>
      </c>
      <c r="V302">
        <f>IF($U302="","",$P302&amp;"|"&amp;RIGHT("000000"&amp;$U302,6))</f>
        <v/>
      </c>
      <c r="W302">
        <f>IF($T302="","",COUNTIFS(LdBGroup,$R302,LdBKey,"&lt;"&amp;$T302)+1)</f>
        <v/>
      </c>
      <c r="X302">
        <f>IF($W302="","",$R302&amp;"|"&amp;RIGHT("000000"&amp;$W302,6))</f>
        <v/>
      </c>
      <c r="Y302">
        <f>IF($P302="","",IF(Shares!$E305="",0,Shares!$E305))</f>
        <v/>
      </c>
      <c r="Z302">
        <f>IF($P302="","",Shares!$H305)</f>
        <v/>
      </c>
      <c r="AE302">
        <f>IF(OR(Sync!$S302="",Sync!$P302=""),"",Sync!$S302)</f>
        <v/>
      </c>
      <c r="AF302">
        <f>IF($AE302="","",IF(ISNUMBER(Sync!$P302),IF(AND(Sync!$P302&gt;=10000101,Sync!$P302&lt;=99991231),INT(Sync!$P302/10000),""),IFERROR(VALUE(TRIM(LEFT(Sync!$P302,FIND("/",Sync!$P302)-1))),"")))</f>
        <v/>
      </c>
      <c r="AG302">
        <f>IF(OR($AE302="",$AF302=""),"",IF(ISNUMBER(Sync!$P302),INT(MOD(Sync!$P302,10000)/100),IFERROR(VALUE(TRIM(LEFT(MID(Sync!$P302,FIND("/",Sync!$P302)+1,20),FIND("/",MID(Sync!$P302,FIND("/",Sync!$P302)+1,20))-1))),"")))</f>
        <v/>
      </c>
      <c r="AH302">
        <f>IF(OR($AE302="",$AF302=""),"",IF(ISNUMBER(Sync!$P302),MOD(Sync!$P302,100),IFERROR(VALUE(TRIM(MID(MID(Sync!$P302,FIND("/",Sync!$P302)+1,20),FIND("/",MID(Sync!$P302,FIND("/",Sync!$P302)+1,20))+1,20))),"")))</f>
        <v/>
      </c>
      <c r="AI302">
        <f>IF($AE302="","",IF(OR($AF302="",$AG302="",$AH302="",$AF302&lt;1300,$AF302&gt;1500,$AG302&lt;1,$AG302&gt;12,$AH302&lt;1,$AH302&gt;31),"نامعتبر",RIGHT("0000"&amp;$AF302,4)&amp;"/"&amp;RIGHT("00"&amp;$AG302,2)&amp;"/"&amp;RIGHT("00"&amp;$AH302,2)))</f>
        <v/>
      </c>
      <c r="AJ302">
        <f>IF($AE302="","",IF(Sync!$Q302="","0000",IF(AND(ISNUMBER(Sync!$Q302),Sync!$Q302&gt;=0,Sync!$Q302&lt;1),RIGHT("00"&amp;HOUR(Sync!$Q302),2)&amp;RIGHT("00"&amp;MINUTE(Sync!$Q302),2),IFERROR(RIGHT("00"&amp;VALUE(LEFT(Sync!$Q302,FIND(":",Sync!$Q302)-1)),2)&amp;RIGHT("00"&amp;VALUE(MID(Sync!$Q302,FIND(":",Sync!$Q302)+1,2)),2),"0000"))))</f>
        <v/>
      </c>
      <c r="AK302">
        <f>IF(OR($AE302="",$AI302="",$AI302="نامعتبر"),"",LEFT($AI302,4)&amp;MID($AI302,6,2)&amp;RIGHT($AI302,2)&amp;$AJ302&amp;"|"&amp;"3"&amp;RIGHT("00000"&amp;297,5))</f>
        <v/>
      </c>
      <c r="AL302">
        <f>IF($AK302="","",COUNTIFS(LdAParty,$AE302,LdAType,1,LdAKey,"&lt;"&amp;$AK302)+COUNTIFS(LdBMember,$AE302,LdBKey,"&lt;"&amp;$AK302)+COUNTIFS(LdCParty,$AE302,LdCKey,"&lt;"&amp;$AK302)+1)</f>
        <v/>
      </c>
      <c r="AM302">
        <f>IF($AL302="","",$AE302&amp;"|"&amp;RIGHT("000000"&amp;$AL302,6))</f>
        <v/>
      </c>
      <c r="AN302">
        <f>IF($AE302="","",IF(Sync!$W302="",0,Sync!$W302))</f>
        <v/>
      </c>
      <c r="AO302">
        <f>IF($AE302="","",IF(Sync!$X302="",0,Sync!$X302))</f>
        <v/>
      </c>
      <c r="AP302">
        <f>IF($AE302="","",Sync!$R302)</f>
        <v/>
      </c>
      <c r="AQ302">
        <f>IF($AE302="","",Sync!$Y302)</f>
        <v/>
      </c>
    </row>
    <row r="303">
      <c r="A303">
        <f>IF(OR(Wages!$B306="",Wages!$E306=""),"",Wages!$E306)</f>
        <v/>
      </c>
      <c r="B303">
        <f>IF($A303="","",IF(Wages!$C306="دستمزد گروهی",2,1))</f>
        <v/>
      </c>
      <c r="C303">
        <f>IF($A303="","",IF(ISNUMBER(Wages!$B306),IF(AND(Wages!$B306&gt;=10000101,Wages!$B306&lt;=99991231),INT(Wages!$B306/10000),""),IFERROR(VALUE(TRIM(LEFT(Wages!$B306,FIND("/",Wages!$B306)-1))),"")))</f>
        <v/>
      </c>
      <c r="D303">
        <f>IF(OR($A303="",$C303=""),"",IF(ISNUMBER(Wages!$B306),INT(MOD(Wages!$B306,10000)/100),IFERROR(VALUE(TRIM(LEFT(MID(Wages!$B306,FIND("/",Wages!$B306)+1,20),FIND("/",MID(Wages!$B306,FIND("/",Wages!$B306)+1,20))-1))),"")))</f>
        <v/>
      </c>
      <c r="E303">
        <f>IF(OR($A303="",$C303=""),"",IF(ISNUMBER(Wages!$B306),MOD(Wages!$B306,100),IFERROR(VALUE(TRIM(MID(MID(Wages!$B306,FIND("/",Wages!$B306)+1,20),FIND("/",MID(Wages!$B306,FIND("/",Wages!$B306)+1,20))+1,20))),"")))</f>
        <v/>
      </c>
      <c r="F303">
        <f>IF($A303="","",IF(OR($C303="",$D303="",$E303="",$C303&lt;1300,$C303&gt;1500,$D303&lt;1,$D303&gt;12,$E303&lt;1,$E303&gt;31),"نامعتبر",RIGHT("0000"&amp;$C303,4)&amp;"/"&amp;RIGHT("00"&amp;$D303,2)&amp;"/"&amp;RIGHT("00"&amp;$E303,2)))</f>
        <v/>
      </c>
      <c r="G303">
        <f>IF(OR($A303="",$F303="",$F303="نامعتبر"),"",LEFT($F303,4)&amp;MID($F303,6,2)&amp;RIGHT($F303,2)&amp;"0000"&amp;"|"&amp;"1"&amp;RIGHT("00000"&amp;298,5))</f>
        <v/>
      </c>
      <c r="H303">
        <f>IF(OR($B303&lt;&gt;1,$G303=""),"",COUNTIFS(LdAParty,$A303,LdAType,1,LdAKey,"&lt;"&amp;$G303)+COUNTIFS(LdBMember,$A303,LdBKey,"&lt;"&amp;$G303)+COUNTIFS(LdCParty,$A303,LdCKey,"&lt;"&amp;$G303)+1)</f>
        <v/>
      </c>
      <c r="I303">
        <f>IF($H303="","",$A303&amp;"|"&amp;RIGHT("000000"&amp;$H303,6))</f>
        <v/>
      </c>
      <c r="J303">
        <f>IF(OR($B303&lt;&gt;2,$G303=""),"",COUNTIFS(LdAParty,$A303,LdAType,2,LdAKey,"&lt;"&amp;$G303)+1)</f>
        <v/>
      </c>
      <c r="K303">
        <f>IF($J303="","",$A303&amp;"|"&amp;RIGHT("000000"&amp;$J303,6))</f>
        <v/>
      </c>
      <c r="L303">
        <f>IF($A303="","",IF(Wages!$G306="",0,Wages!$G306))</f>
        <v/>
      </c>
      <c r="M303">
        <f>IF($A303="","",Wages!$J306)</f>
        <v/>
      </c>
      <c r="N303">
        <f>IF($A303="","",Wages!$D306)</f>
        <v/>
      </c>
      <c r="P303">
        <f>IF(OR(Shares!$B306="",Shares!$C306=""),"",Shares!$C306)</f>
        <v/>
      </c>
      <c r="Q303">
        <f>IF($P303="","",Shares!$B306)</f>
        <v/>
      </c>
      <c r="R303">
        <f>IF($P303="","",IFERROR(INDEX(WageParty,MATCH($Q303,WageIds,0)),""))</f>
        <v/>
      </c>
      <c r="S303">
        <f>IF($P303="","",IFERROR(INDEX($F$6:$F$2005,MATCH($Q303,WageIds,0)),""))</f>
        <v/>
      </c>
      <c r="T303">
        <f>IF(OR($P303="",$S303="",$S303="نامعتبر"),"",LEFT($S303,4)&amp;MID($S303,6,2)&amp;RIGHT($S303,2)&amp;"0000"&amp;"|"&amp;"2"&amp;RIGHT("00000"&amp;298,5))</f>
        <v/>
      </c>
      <c r="U303">
        <f>IF($T303="","",COUNTIFS(LdAParty,$P303,LdAType,1,LdAKey,"&lt;"&amp;$T303)+COUNTIFS(LdBMember,$P303,LdBKey,"&lt;"&amp;$T303)+COUNTIFS(LdCParty,$P303,LdCKey,"&lt;"&amp;$T303)+1)</f>
        <v/>
      </c>
      <c r="V303">
        <f>IF($U303="","",$P303&amp;"|"&amp;RIGHT("000000"&amp;$U303,6))</f>
        <v/>
      </c>
      <c r="W303">
        <f>IF($T303="","",COUNTIFS(LdBGroup,$R303,LdBKey,"&lt;"&amp;$T303)+1)</f>
        <v/>
      </c>
      <c r="X303">
        <f>IF($W303="","",$R303&amp;"|"&amp;RIGHT("000000"&amp;$W303,6))</f>
        <v/>
      </c>
      <c r="Y303">
        <f>IF($P303="","",IF(Shares!$E306="",0,Shares!$E306))</f>
        <v/>
      </c>
      <c r="Z303">
        <f>IF($P303="","",Shares!$H306)</f>
        <v/>
      </c>
      <c r="AE303">
        <f>IF(OR(Sync!$S303="",Sync!$P303=""),"",Sync!$S303)</f>
        <v/>
      </c>
      <c r="AF303">
        <f>IF($AE303="","",IF(ISNUMBER(Sync!$P303),IF(AND(Sync!$P303&gt;=10000101,Sync!$P303&lt;=99991231),INT(Sync!$P303/10000),""),IFERROR(VALUE(TRIM(LEFT(Sync!$P303,FIND("/",Sync!$P303)-1))),"")))</f>
        <v/>
      </c>
      <c r="AG303">
        <f>IF(OR($AE303="",$AF303=""),"",IF(ISNUMBER(Sync!$P303),INT(MOD(Sync!$P303,10000)/100),IFERROR(VALUE(TRIM(LEFT(MID(Sync!$P303,FIND("/",Sync!$P303)+1,20),FIND("/",MID(Sync!$P303,FIND("/",Sync!$P303)+1,20))-1))),"")))</f>
        <v/>
      </c>
      <c r="AH303">
        <f>IF(OR($AE303="",$AF303=""),"",IF(ISNUMBER(Sync!$P303),MOD(Sync!$P303,100),IFERROR(VALUE(TRIM(MID(MID(Sync!$P303,FIND("/",Sync!$P303)+1,20),FIND("/",MID(Sync!$P303,FIND("/",Sync!$P303)+1,20))+1,20))),"")))</f>
        <v/>
      </c>
      <c r="AI303">
        <f>IF($AE303="","",IF(OR($AF303="",$AG303="",$AH303="",$AF303&lt;1300,$AF303&gt;1500,$AG303&lt;1,$AG303&gt;12,$AH303&lt;1,$AH303&gt;31),"نامعتبر",RIGHT("0000"&amp;$AF303,4)&amp;"/"&amp;RIGHT("00"&amp;$AG303,2)&amp;"/"&amp;RIGHT("00"&amp;$AH303,2)))</f>
        <v/>
      </c>
      <c r="AJ303">
        <f>IF($AE303="","",IF(Sync!$Q303="","0000",IF(AND(ISNUMBER(Sync!$Q303),Sync!$Q303&gt;=0,Sync!$Q303&lt;1),RIGHT("00"&amp;HOUR(Sync!$Q303),2)&amp;RIGHT("00"&amp;MINUTE(Sync!$Q303),2),IFERROR(RIGHT("00"&amp;VALUE(LEFT(Sync!$Q303,FIND(":",Sync!$Q303)-1)),2)&amp;RIGHT("00"&amp;VALUE(MID(Sync!$Q303,FIND(":",Sync!$Q303)+1,2)),2),"0000"))))</f>
        <v/>
      </c>
      <c r="AK303">
        <f>IF(OR($AE303="",$AI303="",$AI303="نامعتبر"),"",LEFT($AI303,4)&amp;MID($AI303,6,2)&amp;RIGHT($AI303,2)&amp;$AJ303&amp;"|"&amp;"3"&amp;RIGHT("00000"&amp;298,5))</f>
        <v/>
      </c>
      <c r="AL303">
        <f>IF($AK303="","",COUNTIFS(LdAParty,$AE303,LdAType,1,LdAKey,"&lt;"&amp;$AK303)+COUNTIFS(LdBMember,$AE303,LdBKey,"&lt;"&amp;$AK303)+COUNTIFS(LdCParty,$AE303,LdCKey,"&lt;"&amp;$AK303)+1)</f>
        <v/>
      </c>
      <c r="AM303">
        <f>IF($AL303="","",$AE303&amp;"|"&amp;RIGHT("000000"&amp;$AL303,6))</f>
        <v/>
      </c>
      <c r="AN303">
        <f>IF($AE303="","",IF(Sync!$W303="",0,Sync!$W303))</f>
        <v/>
      </c>
      <c r="AO303">
        <f>IF($AE303="","",IF(Sync!$X303="",0,Sync!$X303))</f>
        <v/>
      </c>
      <c r="AP303">
        <f>IF($AE303="","",Sync!$R303)</f>
        <v/>
      </c>
      <c r="AQ303">
        <f>IF($AE303="","",Sync!$Y303)</f>
        <v/>
      </c>
    </row>
    <row r="304">
      <c r="A304">
        <f>IF(OR(Wages!$B307="",Wages!$E307=""),"",Wages!$E307)</f>
        <v/>
      </c>
      <c r="B304">
        <f>IF($A304="","",IF(Wages!$C307="دستمزد گروهی",2,1))</f>
        <v/>
      </c>
      <c r="C304">
        <f>IF($A304="","",IF(ISNUMBER(Wages!$B307),IF(AND(Wages!$B307&gt;=10000101,Wages!$B307&lt;=99991231),INT(Wages!$B307/10000),""),IFERROR(VALUE(TRIM(LEFT(Wages!$B307,FIND("/",Wages!$B307)-1))),"")))</f>
        <v/>
      </c>
      <c r="D304">
        <f>IF(OR($A304="",$C304=""),"",IF(ISNUMBER(Wages!$B307),INT(MOD(Wages!$B307,10000)/100),IFERROR(VALUE(TRIM(LEFT(MID(Wages!$B307,FIND("/",Wages!$B307)+1,20),FIND("/",MID(Wages!$B307,FIND("/",Wages!$B307)+1,20))-1))),"")))</f>
        <v/>
      </c>
      <c r="E304">
        <f>IF(OR($A304="",$C304=""),"",IF(ISNUMBER(Wages!$B307),MOD(Wages!$B307,100),IFERROR(VALUE(TRIM(MID(MID(Wages!$B307,FIND("/",Wages!$B307)+1,20),FIND("/",MID(Wages!$B307,FIND("/",Wages!$B307)+1,20))+1,20))),"")))</f>
        <v/>
      </c>
      <c r="F304">
        <f>IF($A304="","",IF(OR($C304="",$D304="",$E304="",$C304&lt;1300,$C304&gt;1500,$D304&lt;1,$D304&gt;12,$E304&lt;1,$E304&gt;31),"نامعتبر",RIGHT("0000"&amp;$C304,4)&amp;"/"&amp;RIGHT("00"&amp;$D304,2)&amp;"/"&amp;RIGHT("00"&amp;$E304,2)))</f>
        <v/>
      </c>
      <c r="G304">
        <f>IF(OR($A304="",$F304="",$F304="نامعتبر"),"",LEFT($F304,4)&amp;MID($F304,6,2)&amp;RIGHT($F304,2)&amp;"0000"&amp;"|"&amp;"1"&amp;RIGHT("00000"&amp;299,5))</f>
        <v/>
      </c>
      <c r="H304">
        <f>IF(OR($B304&lt;&gt;1,$G304=""),"",COUNTIFS(LdAParty,$A304,LdAType,1,LdAKey,"&lt;"&amp;$G304)+COUNTIFS(LdBMember,$A304,LdBKey,"&lt;"&amp;$G304)+COUNTIFS(LdCParty,$A304,LdCKey,"&lt;"&amp;$G304)+1)</f>
        <v/>
      </c>
      <c r="I304">
        <f>IF($H304="","",$A304&amp;"|"&amp;RIGHT("000000"&amp;$H304,6))</f>
        <v/>
      </c>
      <c r="J304">
        <f>IF(OR($B304&lt;&gt;2,$G304=""),"",COUNTIFS(LdAParty,$A304,LdAType,2,LdAKey,"&lt;"&amp;$G304)+1)</f>
        <v/>
      </c>
      <c r="K304">
        <f>IF($J304="","",$A304&amp;"|"&amp;RIGHT("000000"&amp;$J304,6))</f>
        <v/>
      </c>
      <c r="L304">
        <f>IF($A304="","",IF(Wages!$G307="",0,Wages!$G307))</f>
        <v/>
      </c>
      <c r="M304">
        <f>IF($A304="","",Wages!$J307)</f>
        <v/>
      </c>
      <c r="N304">
        <f>IF($A304="","",Wages!$D307)</f>
        <v/>
      </c>
      <c r="P304">
        <f>IF(OR(Shares!$B307="",Shares!$C307=""),"",Shares!$C307)</f>
        <v/>
      </c>
      <c r="Q304">
        <f>IF($P304="","",Shares!$B307)</f>
        <v/>
      </c>
      <c r="R304">
        <f>IF($P304="","",IFERROR(INDEX(WageParty,MATCH($Q304,WageIds,0)),""))</f>
        <v/>
      </c>
      <c r="S304">
        <f>IF($P304="","",IFERROR(INDEX($F$6:$F$2005,MATCH($Q304,WageIds,0)),""))</f>
        <v/>
      </c>
      <c r="T304">
        <f>IF(OR($P304="",$S304="",$S304="نامعتبر"),"",LEFT($S304,4)&amp;MID($S304,6,2)&amp;RIGHT($S304,2)&amp;"0000"&amp;"|"&amp;"2"&amp;RIGHT("00000"&amp;299,5))</f>
        <v/>
      </c>
      <c r="U304">
        <f>IF($T304="","",COUNTIFS(LdAParty,$P304,LdAType,1,LdAKey,"&lt;"&amp;$T304)+COUNTIFS(LdBMember,$P304,LdBKey,"&lt;"&amp;$T304)+COUNTIFS(LdCParty,$P304,LdCKey,"&lt;"&amp;$T304)+1)</f>
        <v/>
      </c>
      <c r="V304">
        <f>IF($U304="","",$P304&amp;"|"&amp;RIGHT("000000"&amp;$U304,6))</f>
        <v/>
      </c>
      <c r="W304">
        <f>IF($T304="","",COUNTIFS(LdBGroup,$R304,LdBKey,"&lt;"&amp;$T304)+1)</f>
        <v/>
      </c>
      <c r="X304">
        <f>IF($W304="","",$R304&amp;"|"&amp;RIGHT("000000"&amp;$W304,6))</f>
        <v/>
      </c>
      <c r="Y304">
        <f>IF($P304="","",IF(Shares!$E307="",0,Shares!$E307))</f>
        <v/>
      </c>
      <c r="Z304">
        <f>IF($P304="","",Shares!$H307)</f>
        <v/>
      </c>
      <c r="AE304">
        <f>IF(OR(Sync!$S304="",Sync!$P304=""),"",Sync!$S304)</f>
        <v/>
      </c>
      <c r="AF304">
        <f>IF($AE304="","",IF(ISNUMBER(Sync!$P304),IF(AND(Sync!$P304&gt;=10000101,Sync!$P304&lt;=99991231),INT(Sync!$P304/10000),""),IFERROR(VALUE(TRIM(LEFT(Sync!$P304,FIND("/",Sync!$P304)-1))),"")))</f>
        <v/>
      </c>
      <c r="AG304">
        <f>IF(OR($AE304="",$AF304=""),"",IF(ISNUMBER(Sync!$P304),INT(MOD(Sync!$P304,10000)/100),IFERROR(VALUE(TRIM(LEFT(MID(Sync!$P304,FIND("/",Sync!$P304)+1,20),FIND("/",MID(Sync!$P304,FIND("/",Sync!$P304)+1,20))-1))),"")))</f>
        <v/>
      </c>
      <c r="AH304">
        <f>IF(OR($AE304="",$AF304=""),"",IF(ISNUMBER(Sync!$P304),MOD(Sync!$P304,100),IFERROR(VALUE(TRIM(MID(MID(Sync!$P304,FIND("/",Sync!$P304)+1,20),FIND("/",MID(Sync!$P304,FIND("/",Sync!$P304)+1,20))+1,20))),"")))</f>
        <v/>
      </c>
      <c r="AI304">
        <f>IF($AE304="","",IF(OR($AF304="",$AG304="",$AH304="",$AF304&lt;1300,$AF304&gt;1500,$AG304&lt;1,$AG304&gt;12,$AH304&lt;1,$AH304&gt;31),"نامعتبر",RIGHT("0000"&amp;$AF304,4)&amp;"/"&amp;RIGHT("00"&amp;$AG304,2)&amp;"/"&amp;RIGHT("00"&amp;$AH304,2)))</f>
        <v/>
      </c>
      <c r="AJ304">
        <f>IF($AE304="","",IF(Sync!$Q304="","0000",IF(AND(ISNUMBER(Sync!$Q304),Sync!$Q304&gt;=0,Sync!$Q304&lt;1),RIGHT("00"&amp;HOUR(Sync!$Q304),2)&amp;RIGHT("00"&amp;MINUTE(Sync!$Q304),2),IFERROR(RIGHT("00"&amp;VALUE(LEFT(Sync!$Q304,FIND(":",Sync!$Q304)-1)),2)&amp;RIGHT("00"&amp;VALUE(MID(Sync!$Q304,FIND(":",Sync!$Q304)+1,2)),2),"0000"))))</f>
        <v/>
      </c>
      <c r="AK304">
        <f>IF(OR($AE304="",$AI304="",$AI304="نامعتبر"),"",LEFT($AI304,4)&amp;MID($AI304,6,2)&amp;RIGHT($AI304,2)&amp;$AJ304&amp;"|"&amp;"3"&amp;RIGHT("00000"&amp;299,5))</f>
        <v/>
      </c>
      <c r="AL304">
        <f>IF($AK304="","",COUNTIFS(LdAParty,$AE304,LdAType,1,LdAKey,"&lt;"&amp;$AK304)+COUNTIFS(LdBMember,$AE304,LdBKey,"&lt;"&amp;$AK304)+COUNTIFS(LdCParty,$AE304,LdCKey,"&lt;"&amp;$AK304)+1)</f>
        <v/>
      </c>
      <c r="AM304">
        <f>IF($AL304="","",$AE304&amp;"|"&amp;RIGHT("000000"&amp;$AL304,6))</f>
        <v/>
      </c>
      <c r="AN304">
        <f>IF($AE304="","",IF(Sync!$W304="",0,Sync!$W304))</f>
        <v/>
      </c>
      <c r="AO304">
        <f>IF($AE304="","",IF(Sync!$X304="",0,Sync!$X304))</f>
        <v/>
      </c>
      <c r="AP304">
        <f>IF($AE304="","",Sync!$R304)</f>
        <v/>
      </c>
      <c r="AQ304">
        <f>IF($AE304="","",Sync!$Y304)</f>
        <v/>
      </c>
    </row>
    <row r="305">
      <c r="A305">
        <f>IF(OR(Wages!$B308="",Wages!$E308=""),"",Wages!$E308)</f>
        <v/>
      </c>
      <c r="B305">
        <f>IF($A305="","",IF(Wages!$C308="دستمزد گروهی",2,1))</f>
        <v/>
      </c>
      <c r="C305">
        <f>IF($A305="","",IF(ISNUMBER(Wages!$B308),IF(AND(Wages!$B308&gt;=10000101,Wages!$B308&lt;=99991231),INT(Wages!$B308/10000),""),IFERROR(VALUE(TRIM(LEFT(Wages!$B308,FIND("/",Wages!$B308)-1))),"")))</f>
        <v/>
      </c>
      <c r="D305">
        <f>IF(OR($A305="",$C305=""),"",IF(ISNUMBER(Wages!$B308),INT(MOD(Wages!$B308,10000)/100),IFERROR(VALUE(TRIM(LEFT(MID(Wages!$B308,FIND("/",Wages!$B308)+1,20),FIND("/",MID(Wages!$B308,FIND("/",Wages!$B308)+1,20))-1))),"")))</f>
        <v/>
      </c>
      <c r="E305">
        <f>IF(OR($A305="",$C305=""),"",IF(ISNUMBER(Wages!$B308),MOD(Wages!$B308,100),IFERROR(VALUE(TRIM(MID(MID(Wages!$B308,FIND("/",Wages!$B308)+1,20),FIND("/",MID(Wages!$B308,FIND("/",Wages!$B308)+1,20))+1,20))),"")))</f>
        <v/>
      </c>
      <c r="F305">
        <f>IF($A305="","",IF(OR($C305="",$D305="",$E305="",$C305&lt;1300,$C305&gt;1500,$D305&lt;1,$D305&gt;12,$E305&lt;1,$E305&gt;31),"نامعتبر",RIGHT("0000"&amp;$C305,4)&amp;"/"&amp;RIGHT("00"&amp;$D305,2)&amp;"/"&amp;RIGHT("00"&amp;$E305,2)))</f>
        <v/>
      </c>
      <c r="G305">
        <f>IF(OR($A305="",$F305="",$F305="نامعتبر"),"",LEFT($F305,4)&amp;MID($F305,6,2)&amp;RIGHT($F305,2)&amp;"0000"&amp;"|"&amp;"1"&amp;RIGHT("00000"&amp;300,5))</f>
        <v/>
      </c>
      <c r="H305">
        <f>IF(OR($B305&lt;&gt;1,$G305=""),"",COUNTIFS(LdAParty,$A305,LdAType,1,LdAKey,"&lt;"&amp;$G305)+COUNTIFS(LdBMember,$A305,LdBKey,"&lt;"&amp;$G305)+COUNTIFS(LdCParty,$A305,LdCKey,"&lt;"&amp;$G305)+1)</f>
        <v/>
      </c>
      <c r="I305">
        <f>IF($H305="","",$A305&amp;"|"&amp;RIGHT("000000"&amp;$H305,6))</f>
        <v/>
      </c>
      <c r="J305">
        <f>IF(OR($B305&lt;&gt;2,$G305=""),"",COUNTIFS(LdAParty,$A305,LdAType,2,LdAKey,"&lt;"&amp;$G305)+1)</f>
        <v/>
      </c>
      <c r="K305">
        <f>IF($J305="","",$A305&amp;"|"&amp;RIGHT("000000"&amp;$J305,6))</f>
        <v/>
      </c>
      <c r="L305">
        <f>IF($A305="","",IF(Wages!$G308="",0,Wages!$G308))</f>
        <v/>
      </c>
      <c r="M305">
        <f>IF($A305="","",Wages!$J308)</f>
        <v/>
      </c>
      <c r="N305">
        <f>IF($A305="","",Wages!$D308)</f>
        <v/>
      </c>
      <c r="P305">
        <f>IF(OR(Shares!$B308="",Shares!$C308=""),"",Shares!$C308)</f>
        <v/>
      </c>
      <c r="Q305">
        <f>IF($P305="","",Shares!$B308)</f>
        <v/>
      </c>
      <c r="R305">
        <f>IF($P305="","",IFERROR(INDEX(WageParty,MATCH($Q305,WageIds,0)),""))</f>
        <v/>
      </c>
      <c r="S305">
        <f>IF($P305="","",IFERROR(INDEX($F$6:$F$2005,MATCH($Q305,WageIds,0)),""))</f>
        <v/>
      </c>
      <c r="T305">
        <f>IF(OR($P305="",$S305="",$S305="نامعتبر"),"",LEFT($S305,4)&amp;MID($S305,6,2)&amp;RIGHT($S305,2)&amp;"0000"&amp;"|"&amp;"2"&amp;RIGHT("00000"&amp;300,5))</f>
        <v/>
      </c>
      <c r="U305">
        <f>IF($T305="","",COUNTIFS(LdAParty,$P305,LdAType,1,LdAKey,"&lt;"&amp;$T305)+COUNTIFS(LdBMember,$P305,LdBKey,"&lt;"&amp;$T305)+COUNTIFS(LdCParty,$P305,LdCKey,"&lt;"&amp;$T305)+1)</f>
        <v/>
      </c>
      <c r="V305">
        <f>IF($U305="","",$P305&amp;"|"&amp;RIGHT("000000"&amp;$U305,6))</f>
        <v/>
      </c>
      <c r="W305">
        <f>IF($T305="","",COUNTIFS(LdBGroup,$R305,LdBKey,"&lt;"&amp;$T305)+1)</f>
        <v/>
      </c>
      <c r="X305">
        <f>IF($W305="","",$R305&amp;"|"&amp;RIGHT("000000"&amp;$W305,6))</f>
        <v/>
      </c>
      <c r="Y305">
        <f>IF($P305="","",IF(Shares!$E308="",0,Shares!$E308))</f>
        <v/>
      </c>
      <c r="Z305">
        <f>IF($P305="","",Shares!$H308)</f>
        <v/>
      </c>
      <c r="AE305">
        <f>IF(OR(Sync!$S305="",Sync!$P305=""),"",Sync!$S305)</f>
        <v/>
      </c>
      <c r="AF305">
        <f>IF($AE305="","",IF(ISNUMBER(Sync!$P305),IF(AND(Sync!$P305&gt;=10000101,Sync!$P305&lt;=99991231),INT(Sync!$P305/10000),""),IFERROR(VALUE(TRIM(LEFT(Sync!$P305,FIND("/",Sync!$P305)-1))),"")))</f>
        <v/>
      </c>
      <c r="AG305">
        <f>IF(OR($AE305="",$AF305=""),"",IF(ISNUMBER(Sync!$P305),INT(MOD(Sync!$P305,10000)/100),IFERROR(VALUE(TRIM(LEFT(MID(Sync!$P305,FIND("/",Sync!$P305)+1,20),FIND("/",MID(Sync!$P305,FIND("/",Sync!$P305)+1,20))-1))),"")))</f>
        <v/>
      </c>
      <c r="AH305">
        <f>IF(OR($AE305="",$AF305=""),"",IF(ISNUMBER(Sync!$P305),MOD(Sync!$P305,100),IFERROR(VALUE(TRIM(MID(MID(Sync!$P305,FIND("/",Sync!$P305)+1,20),FIND("/",MID(Sync!$P305,FIND("/",Sync!$P305)+1,20))+1,20))),"")))</f>
        <v/>
      </c>
      <c r="AI305">
        <f>IF($AE305="","",IF(OR($AF305="",$AG305="",$AH305="",$AF305&lt;1300,$AF305&gt;1500,$AG305&lt;1,$AG305&gt;12,$AH305&lt;1,$AH305&gt;31),"نامعتبر",RIGHT("0000"&amp;$AF305,4)&amp;"/"&amp;RIGHT("00"&amp;$AG305,2)&amp;"/"&amp;RIGHT("00"&amp;$AH305,2)))</f>
        <v/>
      </c>
      <c r="AJ305">
        <f>IF($AE305="","",IF(Sync!$Q305="","0000",IF(AND(ISNUMBER(Sync!$Q305),Sync!$Q305&gt;=0,Sync!$Q305&lt;1),RIGHT("00"&amp;HOUR(Sync!$Q305),2)&amp;RIGHT("00"&amp;MINUTE(Sync!$Q305),2),IFERROR(RIGHT("00"&amp;VALUE(LEFT(Sync!$Q305,FIND(":",Sync!$Q305)-1)),2)&amp;RIGHT("00"&amp;VALUE(MID(Sync!$Q305,FIND(":",Sync!$Q305)+1,2)),2),"0000"))))</f>
        <v/>
      </c>
      <c r="AK305">
        <f>IF(OR($AE305="",$AI305="",$AI305="نامعتبر"),"",LEFT($AI305,4)&amp;MID($AI305,6,2)&amp;RIGHT($AI305,2)&amp;$AJ305&amp;"|"&amp;"3"&amp;RIGHT("00000"&amp;300,5))</f>
        <v/>
      </c>
      <c r="AL305">
        <f>IF($AK305="","",COUNTIFS(LdAParty,$AE305,LdAType,1,LdAKey,"&lt;"&amp;$AK305)+COUNTIFS(LdBMember,$AE305,LdBKey,"&lt;"&amp;$AK305)+COUNTIFS(LdCParty,$AE305,LdCKey,"&lt;"&amp;$AK305)+1)</f>
        <v/>
      </c>
      <c r="AM305">
        <f>IF($AL305="","",$AE305&amp;"|"&amp;RIGHT("000000"&amp;$AL305,6))</f>
        <v/>
      </c>
      <c r="AN305">
        <f>IF($AE305="","",IF(Sync!$W305="",0,Sync!$W305))</f>
        <v/>
      </c>
      <c r="AO305">
        <f>IF($AE305="","",IF(Sync!$X305="",0,Sync!$X305))</f>
        <v/>
      </c>
      <c r="AP305">
        <f>IF($AE305="","",Sync!$R305)</f>
        <v/>
      </c>
      <c r="AQ305">
        <f>IF($AE305="","",Sync!$Y305)</f>
        <v/>
      </c>
    </row>
    <row r="306">
      <c r="A306">
        <f>IF(OR(Wages!$B309="",Wages!$E309=""),"",Wages!$E309)</f>
        <v/>
      </c>
      <c r="B306">
        <f>IF($A306="","",IF(Wages!$C309="دستمزد گروهی",2,1))</f>
        <v/>
      </c>
      <c r="C306">
        <f>IF($A306="","",IF(ISNUMBER(Wages!$B309),IF(AND(Wages!$B309&gt;=10000101,Wages!$B309&lt;=99991231),INT(Wages!$B309/10000),""),IFERROR(VALUE(TRIM(LEFT(Wages!$B309,FIND("/",Wages!$B309)-1))),"")))</f>
        <v/>
      </c>
      <c r="D306">
        <f>IF(OR($A306="",$C306=""),"",IF(ISNUMBER(Wages!$B309),INT(MOD(Wages!$B309,10000)/100),IFERROR(VALUE(TRIM(LEFT(MID(Wages!$B309,FIND("/",Wages!$B309)+1,20),FIND("/",MID(Wages!$B309,FIND("/",Wages!$B309)+1,20))-1))),"")))</f>
        <v/>
      </c>
      <c r="E306">
        <f>IF(OR($A306="",$C306=""),"",IF(ISNUMBER(Wages!$B309),MOD(Wages!$B309,100),IFERROR(VALUE(TRIM(MID(MID(Wages!$B309,FIND("/",Wages!$B309)+1,20),FIND("/",MID(Wages!$B309,FIND("/",Wages!$B309)+1,20))+1,20))),"")))</f>
        <v/>
      </c>
      <c r="F306">
        <f>IF($A306="","",IF(OR($C306="",$D306="",$E306="",$C306&lt;1300,$C306&gt;1500,$D306&lt;1,$D306&gt;12,$E306&lt;1,$E306&gt;31),"نامعتبر",RIGHT("0000"&amp;$C306,4)&amp;"/"&amp;RIGHT("00"&amp;$D306,2)&amp;"/"&amp;RIGHT("00"&amp;$E306,2)))</f>
        <v/>
      </c>
      <c r="G306">
        <f>IF(OR($A306="",$F306="",$F306="نامعتبر"),"",LEFT($F306,4)&amp;MID($F306,6,2)&amp;RIGHT($F306,2)&amp;"0000"&amp;"|"&amp;"1"&amp;RIGHT("00000"&amp;301,5))</f>
        <v/>
      </c>
      <c r="H306">
        <f>IF(OR($B306&lt;&gt;1,$G306=""),"",COUNTIFS(LdAParty,$A306,LdAType,1,LdAKey,"&lt;"&amp;$G306)+COUNTIFS(LdBMember,$A306,LdBKey,"&lt;"&amp;$G306)+COUNTIFS(LdCParty,$A306,LdCKey,"&lt;"&amp;$G306)+1)</f>
        <v/>
      </c>
      <c r="I306">
        <f>IF($H306="","",$A306&amp;"|"&amp;RIGHT("000000"&amp;$H306,6))</f>
        <v/>
      </c>
      <c r="J306">
        <f>IF(OR($B306&lt;&gt;2,$G306=""),"",COUNTIFS(LdAParty,$A306,LdAType,2,LdAKey,"&lt;"&amp;$G306)+1)</f>
        <v/>
      </c>
      <c r="K306">
        <f>IF($J306="","",$A306&amp;"|"&amp;RIGHT("000000"&amp;$J306,6))</f>
        <v/>
      </c>
      <c r="L306">
        <f>IF($A306="","",IF(Wages!$G309="",0,Wages!$G309))</f>
        <v/>
      </c>
      <c r="M306">
        <f>IF($A306="","",Wages!$J309)</f>
        <v/>
      </c>
      <c r="N306">
        <f>IF($A306="","",Wages!$D309)</f>
        <v/>
      </c>
      <c r="P306">
        <f>IF(OR(Shares!$B309="",Shares!$C309=""),"",Shares!$C309)</f>
        <v/>
      </c>
      <c r="Q306">
        <f>IF($P306="","",Shares!$B309)</f>
        <v/>
      </c>
      <c r="R306">
        <f>IF($P306="","",IFERROR(INDEX(WageParty,MATCH($Q306,WageIds,0)),""))</f>
        <v/>
      </c>
      <c r="S306">
        <f>IF($P306="","",IFERROR(INDEX($F$6:$F$2005,MATCH($Q306,WageIds,0)),""))</f>
        <v/>
      </c>
      <c r="T306">
        <f>IF(OR($P306="",$S306="",$S306="نامعتبر"),"",LEFT($S306,4)&amp;MID($S306,6,2)&amp;RIGHT($S306,2)&amp;"0000"&amp;"|"&amp;"2"&amp;RIGHT("00000"&amp;301,5))</f>
        <v/>
      </c>
      <c r="U306">
        <f>IF($T306="","",COUNTIFS(LdAParty,$P306,LdAType,1,LdAKey,"&lt;"&amp;$T306)+COUNTIFS(LdBMember,$P306,LdBKey,"&lt;"&amp;$T306)+COUNTIFS(LdCParty,$P306,LdCKey,"&lt;"&amp;$T306)+1)</f>
        <v/>
      </c>
      <c r="V306">
        <f>IF($U306="","",$P306&amp;"|"&amp;RIGHT("000000"&amp;$U306,6))</f>
        <v/>
      </c>
      <c r="W306">
        <f>IF($T306="","",COUNTIFS(LdBGroup,$R306,LdBKey,"&lt;"&amp;$T306)+1)</f>
        <v/>
      </c>
      <c r="X306">
        <f>IF($W306="","",$R306&amp;"|"&amp;RIGHT("000000"&amp;$W306,6))</f>
        <v/>
      </c>
      <c r="Y306">
        <f>IF($P306="","",IF(Shares!$E309="",0,Shares!$E309))</f>
        <v/>
      </c>
      <c r="Z306">
        <f>IF($P306="","",Shares!$H309)</f>
        <v/>
      </c>
      <c r="AE306">
        <f>IF(OR(Sync!$S306="",Sync!$P306=""),"",Sync!$S306)</f>
        <v/>
      </c>
      <c r="AF306">
        <f>IF($AE306="","",IF(ISNUMBER(Sync!$P306),IF(AND(Sync!$P306&gt;=10000101,Sync!$P306&lt;=99991231),INT(Sync!$P306/10000),""),IFERROR(VALUE(TRIM(LEFT(Sync!$P306,FIND("/",Sync!$P306)-1))),"")))</f>
        <v/>
      </c>
      <c r="AG306">
        <f>IF(OR($AE306="",$AF306=""),"",IF(ISNUMBER(Sync!$P306),INT(MOD(Sync!$P306,10000)/100),IFERROR(VALUE(TRIM(LEFT(MID(Sync!$P306,FIND("/",Sync!$P306)+1,20),FIND("/",MID(Sync!$P306,FIND("/",Sync!$P306)+1,20))-1))),"")))</f>
        <v/>
      </c>
      <c r="AH306">
        <f>IF(OR($AE306="",$AF306=""),"",IF(ISNUMBER(Sync!$P306),MOD(Sync!$P306,100),IFERROR(VALUE(TRIM(MID(MID(Sync!$P306,FIND("/",Sync!$P306)+1,20),FIND("/",MID(Sync!$P306,FIND("/",Sync!$P306)+1,20))+1,20))),"")))</f>
        <v/>
      </c>
      <c r="AI306">
        <f>IF($AE306="","",IF(OR($AF306="",$AG306="",$AH306="",$AF306&lt;1300,$AF306&gt;1500,$AG306&lt;1,$AG306&gt;12,$AH306&lt;1,$AH306&gt;31),"نامعتبر",RIGHT("0000"&amp;$AF306,4)&amp;"/"&amp;RIGHT("00"&amp;$AG306,2)&amp;"/"&amp;RIGHT("00"&amp;$AH306,2)))</f>
        <v/>
      </c>
      <c r="AJ306">
        <f>IF($AE306="","",IF(Sync!$Q306="","0000",IF(AND(ISNUMBER(Sync!$Q306),Sync!$Q306&gt;=0,Sync!$Q306&lt;1),RIGHT("00"&amp;HOUR(Sync!$Q306),2)&amp;RIGHT("00"&amp;MINUTE(Sync!$Q306),2),IFERROR(RIGHT("00"&amp;VALUE(LEFT(Sync!$Q306,FIND(":",Sync!$Q306)-1)),2)&amp;RIGHT("00"&amp;VALUE(MID(Sync!$Q306,FIND(":",Sync!$Q306)+1,2)),2),"0000"))))</f>
        <v/>
      </c>
      <c r="AK306">
        <f>IF(OR($AE306="",$AI306="",$AI306="نامعتبر"),"",LEFT($AI306,4)&amp;MID($AI306,6,2)&amp;RIGHT($AI306,2)&amp;$AJ306&amp;"|"&amp;"3"&amp;RIGHT("00000"&amp;301,5))</f>
        <v/>
      </c>
      <c r="AL306">
        <f>IF($AK306="","",COUNTIFS(LdAParty,$AE306,LdAType,1,LdAKey,"&lt;"&amp;$AK306)+COUNTIFS(LdBMember,$AE306,LdBKey,"&lt;"&amp;$AK306)+COUNTIFS(LdCParty,$AE306,LdCKey,"&lt;"&amp;$AK306)+1)</f>
        <v/>
      </c>
      <c r="AM306">
        <f>IF($AL306="","",$AE306&amp;"|"&amp;RIGHT("000000"&amp;$AL306,6))</f>
        <v/>
      </c>
      <c r="AN306">
        <f>IF($AE306="","",IF(Sync!$W306="",0,Sync!$W306))</f>
        <v/>
      </c>
      <c r="AO306">
        <f>IF($AE306="","",IF(Sync!$X306="",0,Sync!$X306))</f>
        <v/>
      </c>
      <c r="AP306">
        <f>IF($AE306="","",Sync!$R306)</f>
        <v/>
      </c>
      <c r="AQ306">
        <f>IF($AE306="","",Sync!$Y306)</f>
        <v/>
      </c>
    </row>
    <row r="307">
      <c r="A307">
        <f>IF(OR(Wages!$B310="",Wages!$E310=""),"",Wages!$E310)</f>
        <v/>
      </c>
      <c r="B307">
        <f>IF($A307="","",IF(Wages!$C310="دستمزد گروهی",2,1))</f>
        <v/>
      </c>
      <c r="C307">
        <f>IF($A307="","",IF(ISNUMBER(Wages!$B310),IF(AND(Wages!$B310&gt;=10000101,Wages!$B310&lt;=99991231),INT(Wages!$B310/10000),""),IFERROR(VALUE(TRIM(LEFT(Wages!$B310,FIND("/",Wages!$B310)-1))),"")))</f>
        <v/>
      </c>
      <c r="D307">
        <f>IF(OR($A307="",$C307=""),"",IF(ISNUMBER(Wages!$B310),INT(MOD(Wages!$B310,10000)/100),IFERROR(VALUE(TRIM(LEFT(MID(Wages!$B310,FIND("/",Wages!$B310)+1,20),FIND("/",MID(Wages!$B310,FIND("/",Wages!$B310)+1,20))-1))),"")))</f>
        <v/>
      </c>
      <c r="E307">
        <f>IF(OR($A307="",$C307=""),"",IF(ISNUMBER(Wages!$B310),MOD(Wages!$B310,100),IFERROR(VALUE(TRIM(MID(MID(Wages!$B310,FIND("/",Wages!$B310)+1,20),FIND("/",MID(Wages!$B310,FIND("/",Wages!$B310)+1,20))+1,20))),"")))</f>
        <v/>
      </c>
      <c r="F307">
        <f>IF($A307="","",IF(OR($C307="",$D307="",$E307="",$C307&lt;1300,$C307&gt;1500,$D307&lt;1,$D307&gt;12,$E307&lt;1,$E307&gt;31),"نامعتبر",RIGHT("0000"&amp;$C307,4)&amp;"/"&amp;RIGHT("00"&amp;$D307,2)&amp;"/"&amp;RIGHT("00"&amp;$E307,2)))</f>
        <v/>
      </c>
      <c r="G307">
        <f>IF(OR($A307="",$F307="",$F307="نامعتبر"),"",LEFT($F307,4)&amp;MID($F307,6,2)&amp;RIGHT($F307,2)&amp;"0000"&amp;"|"&amp;"1"&amp;RIGHT("00000"&amp;302,5))</f>
        <v/>
      </c>
      <c r="H307">
        <f>IF(OR($B307&lt;&gt;1,$G307=""),"",COUNTIFS(LdAParty,$A307,LdAType,1,LdAKey,"&lt;"&amp;$G307)+COUNTIFS(LdBMember,$A307,LdBKey,"&lt;"&amp;$G307)+COUNTIFS(LdCParty,$A307,LdCKey,"&lt;"&amp;$G307)+1)</f>
        <v/>
      </c>
      <c r="I307">
        <f>IF($H307="","",$A307&amp;"|"&amp;RIGHT("000000"&amp;$H307,6))</f>
        <v/>
      </c>
      <c r="J307">
        <f>IF(OR($B307&lt;&gt;2,$G307=""),"",COUNTIFS(LdAParty,$A307,LdAType,2,LdAKey,"&lt;"&amp;$G307)+1)</f>
        <v/>
      </c>
      <c r="K307">
        <f>IF($J307="","",$A307&amp;"|"&amp;RIGHT("000000"&amp;$J307,6))</f>
        <v/>
      </c>
      <c r="L307">
        <f>IF($A307="","",IF(Wages!$G310="",0,Wages!$G310))</f>
        <v/>
      </c>
      <c r="M307">
        <f>IF($A307="","",Wages!$J310)</f>
        <v/>
      </c>
      <c r="N307">
        <f>IF($A307="","",Wages!$D310)</f>
        <v/>
      </c>
      <c r="P307">
        <f>IF(OR(Shares!$B310="",Shares!$C310=""),"",Shares!$C310)</f>
        <v/>
      </c>
      <c r="Q307">
        <f>IF($P307="","",Shares!$B310)</f>
        <v/>
      </c>
      <c r="R307">
        <f>IF($P307="","",IFERROR(INDEX(WageParty,MATCH($Q307,WageIds,0)),""))</f>
        <v/>
      </c>
      <c r="S307">
        <f>IF($P307="","",IFERROR(INDEX($F$6:$F$2005,MATCH($Q307,WageIds,0)),""))</f>
        <v/>
      </c>
      <c r="T307">
        <f>IF(OR($P307="",$S307="",$S307="نامعتبر"),"",LEFT($S307,4)&amp;MID($S307,6,2)&amp;RIGHT($S307,2)&amp;"0000"&amp;"|"&amp;"2"&amp;RIGHT("00000"&amp;302,5))</f>
        <v/>
      </c>
      <c r="U307">
        <f>IF($T307="","",COUNTIFS(LdAParty,$P307,LdAType,1,LdAKey,"&lt;"&amp;$T307)+COUNTIFS(LdBMember,$P307,LdBKey,"&lt;"&amp;$T307)+COUNTIFS(LdCParty,$P307,LdCKey,"&lt;"&amp;$T307)+1)</f>
        <v/>
      </c>
      <c r="V307">
        <f>IF($U307="","",$P307&amp;"|"&amp;RIGHT("000000"&amp;$U307,6))</f>
        <v/>
      </c>
      <c r="W307">
        <f>IF($T307="","",COUNTIFS(LdBGroup,$R307,LdBKey,"&lt;"&amp;$T307)+1)</f>
        <v/>
      </c>
      <c r="X307">
        <f>IF($W307="","",$R307&amp;"|"&amp;RIGHT("000000"&amp;$W307,6))</f>
        <v/>
      </c>
      <c r="Y307">
        <f>IF($P307="","",IF(Shares!$E310="",0,Shares!$E310))</f>
        <v/>
      </c>
      <c r="Z307">
        <f>IF($P307="","",Shares!$H310)</f>
        <v/>
      </c>
      <c r="AE307">
        <f>IF(OR(Sync!$S307="",Sync!$P307=""),"",Sync!$S307)</f>
        <v/>
      </c>
      <c r="AF307">
        <f>IF($AE307="","",IF(ISNUMBER(Sync!$P307),IF(AND(Sync!$P307&gt;=10000101,Sync!$P307&lt;=99991231),INT(Sync!$P307/10000),""),IFERROR(VALUE(TRIM(LEFT(Sync!$P307,FIND("/",Sync!$P307)-1))),"")))</f>
        <v/>
      </c>
      <c r="AG307">
        <f>IF(OR($AE307="",$AF307=""),"",IF(ISNUMBER(Sync!$P307),INT(MOD(Sync!$P307,10000)/100),IFERROR(VALUE(TRIM(LEFT(MID(Sync!$P307,FIND("/",Sync!$P307)+1,20),FIND("/",MID(Sync!$P307,FIND("/",Sync!$P307)+1,20))-1))),"")))</f>
        <v/>
      </c>
      <c r="AH307">
        <f>IF(OR($AE307="",$AF307=""),"",IF(ISNUMBER(Sync!$P307),MOD(Sync!$P307,100),IFERROR(VALUE(TRIM(MID(MID(Sync!$P307,FIND("/",Sync!$P307)+1,20),FIND("/",MID(Sync!$P307,FIND("/",Sync!$P307)+1,20))+1,20))),"")))</f>
        <v/>
      </c>
      <c r="AI307">
        <f>IF($AE307="","",IF(OR($AF307="",$AG307="",$AH307="",$AF307&lt;1300,$AF307&gt;1500,$AG307&lt;1,$AG307&gt;12,$AH307&lt;1,$AH307&gt;31),"نامعتبر",RIGHT("0000"&amp;$AF307,4)&amp;"/"&amp;RIGHT("00"&amp;$AG307,2)&amp;"/"&amp;RIGHT("00"&amp;$AH307,2)))</f>
        <v/>
      </c>
      <c r="AJ307">
        <f>IF($AE307="","",IF(Sync!$Q307="","0000",IF(AND(ISNUMBER(Sync!$Q307),Sync!$Q307&gt;=0,Sync!$Q307&lt;1),RIGHT("00"&amp;HOUR(Sync!$Q307),2)&amp;RIGHT("00"&amp;MINUTE(Sync!$Q307),2),IFERROR(RIGHT("00"&amp;VALUE(LEFT(Sync!$Q307,FIND(":",Sync!$Q307)-1)),2)&amp;RIGHT("00"&amp;VALUE(MID(Sync!$Q307,FIND(":",Sync!$Q307)+1,2)),2),"0000"))))</f>
        <v/>
      </c>
      <c r="AK307">
        <f>IF(OR($AE307="",$AI307="",$AI307="نامعتبر"),"",LEFT($AI307,4)&amp;MID($AI307,6,2)&amp;RIGHT($AI307,2)&amp;$AJ307&amp;"|"&amp;"3"&amp;RIGHT("00000"&amp;302,5))</f>
        <v/>
      </c>
      <c r="AL307">
        <f>IF($AK307="","",COUNTIFS(LdAParty,$AE307,LdAType,1,LdAKey,"&lt;"&amp;$AK307)+COUNTIFS(LdBMember,$AE307,LdBKey,"&lt;"&amp;$AK307)+COUNTIFS(LdCParty,$AE307,LdCKey,"&lt;"&amp;$AK307)+1)</f>
        <v/>
      </c>
      <c r="AM307">
        <f>IF($AL307="","",$AE307&amp;"|"&amp;RIGHT("000000"&amp;$AL307,6))</f>
        <v/>
      </c>
      <c r="AN307">
        <f>IF($AE307="","",IF(Sync!$W307="",0,Sync!$W307))</f>
        <v/>
      </c>
      <c r="AO307">
        <f>IF($AE307="","",IF(Sync!$X307="",0,Sync!$X307))</f>
        <v/>
      </c>
      <c r="AP307">
        <f>IF($AE307="","",Sync!$R307)</f>
        <v/>
      </c>
      <c r="AQ307">
        <f>IF($AE307="","",Sync!$Y307)</f>
        <v/>
      </c>
    </row>
    <row r="308">
      <c r="A308">
        <f>IF(OR(Wages!$B311="",Wages!$E311=""),"",Wages!$E311)</f>
        <v/>
      </c>
      <c r="B308">
        <f>IF($A308="","",IF(Wages!$C311="دستمزد گروهی",2,1))</f>
        <v/>
      </c>
      <c r="C308">
        <f>IF($A308="","",IF(ISNUMBER(Wages!$B311),IF(AND(Wages!$B311&gt;=10000101,Wages!$B311&lt;=99991231),INT(Wages!$B311/10000),""),IFERROR(VALUE(TRIM(LEFT(Wages!$B311,FIND("/",Wages!$B311)-1))),"")))</f>
        <v/>
      </c>
      <c r="D308">
        <f>IF(OR($A308="",$C308=""),"",IF(ISNUMBER(Wages!$B311),INT(MOD(Wages!$B311,10000)/100),IFERROR(VALUE(TRIM(LEFT(MID(Wages!$B311,FIND("/",Wages!$B311)+1,20),FIND("/",MID(Wages!$B311,FIND("/",Wages!$B311)+1,20))-1))),"")))</f>
        <v/>
      </c>
      <c r="E308">
        <f>IF(OR($A308="",$C308=""),"",IF(ISNUMBER(Wages!$B311),MOD(Wages!$B311,100),IFERROR(VALUE(TRIM(MID(MID(Wages!$B311,FIND("/",Wages!$B311)+1,20),FIND("/",MID(Wages!$B311,FIND("/",Wages!$B311)+1,20))+1,20))),"")))</f>
        <v/>
      </c>
      <c r="F308">
        <f>IF($A308="","",IF(OR($C308="",$D308="",$E308="",$C308&lt;1300,$C308&gt;1500,$D308&lt;1,$D308&gt;12,$E308&lt;1,$E308&gt;31),"نامعتبر",RIGHT("0000"&amp;$C308,4)&amp;"/"&amp;RIGHT("00"&amp;$D308,2)&amp;"/"&amp;RIGHT("00"&amp;$E308,2)))</f>
        <v/>
      </c>
      <c r="G308">
        <f>IF(OR($A308="",$F308="",$F308="نامعتبر"),"",LEFT($F308,4)&amp;MID($F308,6,2)&amp;RIGHT($F308,2)&amp;"0000"&amp;"|"&amp;"1"&amp;RIGHT("00000"&amp;303,5))</f>
        <v/>
      </c>
      <c r="H308">
        <f>IF(OR($B308&lt;&gt;1,$G308=""),"",COUNTIFS(LdAParty,$A308,LdAType,1,LdAKey,"&lt;"&amp;$G308)+COUNTIFS(LdBMember,$A308,LdBKey,"&lt;"&amp;$G308)+COUNTIFS(LdCParty,$A308,LdCKey,"&lt;"&amp;$G308)+1)</f>
        <v/>
      </c>
      <c r="I308">
        <f>IF($H308="","",$A308&amp;"|"&amp;RIGHT("000000"&amp;$H308,6))</f>
        <v/>
      </c>
      <c r="J308">
        <f>IF(OR($B308&lt;&gt;2,$G308=""),"",COUNTIFS(LdAParty,$A308,LdAType,2,LdAKey,"&lt;"&amp;$G308)+1)</f>
        <v/>
      </c>
      <c r="K308">
        <f>IF($J308="","",$A308&amp;"|"&amp;RIGHT("000000"&amp;$J308,6))</f>
        <v/>
      </c>
      <c r="L308">
        <f>IF($A308="","",IF(Wages!$G311="",0,Wages!$G311))</f>
        <v/>
      </c>
      <c r="M308">
        <f>IF($A308="","",Wages!$J311)</f>
        <v/>
      </c>
      <c r="N308">
        <f>IF($A308="","",Wages!$D311)</f>
        <v/>
      </c>
      <c r="P308">
        <f>IF(OR(Shares!$B311="",Shares!$C311=""),"",Shares!$C311)</f>
        <v/>
      </c>
      <c r="Q308">
        <f>IF($P308="","",Shares!$B311)</f>
        <v/>
      </c>
      <c r="R308">
        <f>IF($P308="","",IFERROR(INDEX(WageParty,MATCH($Q308,WageIds,0)),""))</f>
        <v/>
      </c>
      <c r="S308">
        <f>IF($P308="","",IFERROR(INDEX($F$6:$F$2005,MATCH($Q308,WageIds,0)),""))</f>
        <v/>
      </c>
      <c r="T308">
        <f>IF(OR($P308="",$S308="",$S308="نامعتبر"),"",LEFT($S308,4)&amp;MID($S308,6,2)&amp;RIGHT($S308,2)&amp;"0000"&amp;"|"&amp;"2"&amp;RIGHT("00000"&amp;303,5))</f>
        <v/>
      </c>
      <c r="U308">
        <f>IF($T308="","",COUNTIFS(LdAParty,$P308,LdAType,1,LdAKey,"&lt;"&amp;$T308)+COUNTIFS(LdBMember,$P308,LdBKey,"&lt;"&amp;$T308)+COUNTIFS(LdCParty,$P308,LdCKey,"&lt;"&amp;$T308)+1)</f>
        <v/>
      </c>
      <c r="V308">
        <f>IF($U308="","",$P308&amp;"|"&amp;RIGHT("000000"&amp;$U308,6))</f>
        <v/>
      </c>
      <c r="W308">
        <f>IF($T308="","",COUNTIFS(LdBGroup,$R308,LdBKey,"&lt;"&amp;$T308)+1)</f>
        <v/>
      </c>
      <c r="X308">
        <f>IF($W308="","",$R308&amp;"|"&amp;RIGHT("000000"&amp;$W308,6))</f>
        <v/>
      </c>
      <c r="Y308">
        <f>IF($P308="","",IF(Shares!$E311="",0,Shares!$E311))</f>
        <v/>
      </c>
      <c r="Z308">
        <f>IF($P308="","",Shares!$H311)</f>
        <v/>
      </c>
      <c r="AE308">
        <f>IF(OR(Sync!$S308="",Sync!$P308=""),"",Sync!$S308)</f>
        <v/>
      </c>
      <c r="AF308">
        <f>IF($AE308="","",IF(ISNUMBER(Sync!$P308),IF(AND(Sync!$P308&gt;=10000101,Sync!$P308&lt;=99991231),INT(Sync!$P308/10000),""),IFERROR(VALUE(TRIM(LEFT(Sync!$P308,FIND("/",Sync!$P308)-1))),"")))</f>
        <v/>
      </c>
      <c r="AG308">
        <f>IF(OR($AE308="",$AF308=""),"",IF(ISNUMBER(Sync!$P308),INT(MOD(Sync!$P308,10000)/100),IFERROR(VALUE(TRIM(LEFT(MID(Sync!$P308,FIND("/",Sync!$P308)+1,20),FIND("/",MID(Sync!$P308,FIND("/",Sync!$P308)+1,20))-1))),"")))</f>
        <v/>
      </c>
      <c r="AH308">
        <f>IF(OR($AE308="",$AF308=""),"",IF(ISNUMBER(Sync!$P308),MOD(Sync!$P308,100),IFERROR(VALUE(TRIM(MID(MID(Sync!$P308,FIND("/",Sync!$P308)+1,20),FIND("/",MID(Sync!$P308,FIND("/",Sync!$P308)+1,20))+1,20))),"")))</f>
        <v/>
      </c>
      <c r="AI308">
        <f>IF($AE308="","",IF(OR($AF308="",$AG308="",$AH308="",$AF308&lt;1300,$AF308&gt;1500,$AG308&lt;1,$AG308&gt;12,$AH308&lt;1,$AH308&gt;31),"نامعتبر",RIGHT("0000"&amp;$AF308,4)&amp;"/"&amp;RIGHT("00"&amp;$AG308,2)&amp;"/"&amp;RIGHT("00"&amp;$AH308,2)))</f>
        <v/>
      </c>
      <c r="AJ308">
        <f>IF($AE308="","",IF(Sync!$Q308="","0000",IF(AND(ISNUMBER(Sync!$Q308),Sync!$Q308&gt;=0,Sync!$Q308&lt;1),RIGHT("00"&amp;HOUR(Sync!$Q308),2)&amp;RIGHT("00"&amp;MINUTE(Sync!$Q308),2),IFERROR(RIGHT("00"&amp;VALUE(LEFT(Sync!$Q308,FIND(":",Sync!$Q308)-1)),2)&amp;RIGHT("00"&amp;VALUE(MID(Sync!$Q308,FIND(":",Sync!$Q308)+1,2)),2),"0000"))))</f>
        <v/>
      </c>
      <c r="AK308">
        <f>IF(OR($AE308="",$AI308="",$AI308="نامعتبر"),"",LEFT($AI308,4)&amp;MID($AI308,6,2)&amp;RIGHT($AI308,2)&amp;$AJ308&amp;"|"&amp;"3"&amp;RIGHT("00000"&amp;303,5))</f>
        <v/>
      </c>
      <c r="AL308">
        <f>IF($AK308="","",COUNTIFS(LdAParty,$AE308,LdAType,1,LdAKey,"&lt;"&amp;$AK308)+COUNTIFS(LdBMember,$AE308,LdBKey,"&lt;"&amp;$AK308)+COUNTIFS(LdCParty,$AE308,LdCKey,"&lt;"&amp;$AK308)+1)</f>
        <v/>
      </c>
      <c r="AM308">
        <f>IF($AL308="","",$AE308&amp;"|"&amp;RIGHT("000000"&amp;$AL308,6))</f>
        <v/>
      </c>
      <c r="AN308">
        <f>IF($AE308="","",IF(Sync!$W308="",0,Sync!$W308))</f>
        <v/>
      </c>
      <c r="AO308">
        <f>IF($AE308="","",IF(Sync!$X308="",0,Sync!$X308))</f>
        <v/>
      </c>
      <c r="AP308">
        <f>IF($AE308="","",Sync!$R308)</f>
        <v/>
      </c>
      <c r="AQ308">
        <f>IF($AE308="","",Sync!$Y308)</f>
        <v/>
      </c>
    </row>
    <row r="309">
      <c r="A309">
        <f>IF(OR(Wages!$B312="",Wages!$E312=""),"",Wages!$E312)</f>
        <v/>
      </c>
      <c r="B309">
        <f>IF($A309="","",IF(Wages!$C312="دستمزد گروهی",2,1))</f>
        <v/>
      </c>
      <c r="C309">
        <f>IF($A309="","",IF(ISNUMBER(Wages!$B312),IF(AND(Wages!$B312&gt;=10000101,Wages!$B312&lt;=99991231),INT(Wages!$B312/10000),""),IFERROR(VALUE(TRIM(LEFT(Wages!$B312,FIND("/",Wages!$B312)-1))),"")))</f>
        <v/>
      </c>
      <c r="D309">
        <f>IF(OR($A309="",$C309=""),"",IF(ISNUMBER(Wages!$B312),INT(MOD(Wages!$B312,10000)/100),IFERROR(VALUE(TRIM(LEFT(MID(Wages!$B312,FIND("/",Wages!$B312)+1,20),FIND("/",MID(Wages!$B312,FIND("/",Wages!$B312)+1,20))-1))),"")))</f>
        <v/>
      </c>
      <c r="E309">
        <f>IF(OR($A309="",$C309=""),"",IF(ISNUMBER(Wages!$B312),MOD(Wages!$B312,100),IFERROR(VALUE(TRIM(MID(MID(Wages!$B312,FIND("/",Wages!$B312)+1,20),FIND("/",MID(Wages!$B312,FIND("/",Wages!$B312)+1,20))+1,20))),"")))</f>
        <v/>
      </c>
      <c r="F309">
        <f>IF($A309="","",IF(OR($C309="",$D309="",$E309="",$C309&lt;1300,$C309&gt;1500,$D309&lt;1,$D309&gt;12,$E309&lt;1,$E309&gt;31),"نامعتبر",RIGHT("0000"&amp;$C309,4)&amp;"/"&amp;RIGHT("00"&amp;$D309,2)&amp;"/"&amp;RIGHT("00"&amp;$E309,2)))</f>
        <v/>
      </c>
      <c r="G309">
        <f>IF(OR($A309="",$F309="",$F309="نامعتبر"),"",LEFT($F309,4)&amp;MID($F309,6,2)&amp;RIGHT($F309,2)&amp;"0000"&amp;"|"&amp;"1"&amp;RIGHT("00000"&amp;304,5))</f>
        <v/>
      </c>
      <c r="H309">
        <f>IF(OR($B309&lt;&gt;1,$G309=""),"",COUNTIFS(LdAParty,$A309,LdAType,1,LdAKey,"&lt;"&amp;$G309)+COUNTIFS(LdBMember,$A309,LdBKey,"&lt;"&amp;$G309)+COUNTIFS(LdCParty,$A309,LdCKey,"&lt;"&amp;$G309)+1)</f>
        <v/>
      </c>
      <c r="I309">
        <f>IF($H309="","",$A309&amp;"|"&amp;RIGHT("000000"&amp;$H309,6))</f>
        <v/>
      </c>
      <c r="J309">
        <f>IF(OR($B309&lt;&gt;2,$G309=""),"",COUNTIFS(LdAParty,$A309,LdAType,2,LdAKey,"&lt;"&amp;$G309)+1)</f>
        <v/>
      </c>
      <c r="K309">
        <f>IF($J309="","",$A309&amp;"|"&amp;RIGHT("000000"&amp;$J309,6))</f>
        <v/>
      </c>
      <c r="L309">
        <f>IF($A309="","",IF(Wages!$G312="",0,Wages!$G312))</f>
        <v/>
      </c>
      <c r="M309">
        <f>IF($A309="","",Wages!$J312)</f>
        <v/>
      </c>
      <c r="N309">
        <f>IF($A309="","",Wages!$D312)</f>
        <v/>
      </c>
      <c r="P309">
        <f>IF(OR(Shares!$B312="",Shares!$C312=""),"",Shares!$C312)</f>
        <v/>
      </c>
      <c r="Q309">
        <f>IF($P309="","",Shares!$B312)</f>
        <v/>
      </c>
      <c r="R309">
        <f>IF($P309="","",IFERROR(INDEX(WageParty,MATCH($Q309,WageIds,0)),""))</f>
        <v/>
      </c>
      <c r="S309">
        <f>IF($P309="","",IFERROR(INDEX($F$6:$F$2005,MATCH($Q309,WageIds,0)),""))</f>
        <v/>
      </c>
      <c r="T309">
        <f>IF(OR($P309="",$S309="",$S309="نامعتبر"),"",LEFT($S309,4)&amp;MID($S309,6,2)&amp;RIGHT($S309,2)&amp;"0000"&amp;"|"&amp;"2"&amp;RIGHT("00000"&amp;304,5))</f>
        <v/>
      </c>
      <c r="U309">
        <f>IF($T309="","",COUNTIFS(LdAParty,$P309,LdAType,1,LdAKey,"&lt;"&amp;$T309)+COUNTIFS(LdBMember,$P309,LdBKey,"&lt;"&amp;$T309)+COUNTIFS(LdCParty,$P309,LdCKey,"&lt;"&amp;$T309)+1)</f>
        <v/>
      </c>
      <c r="V309">
        <f>IF($U309="","",$P309&amp;"|"&amp;RIGHT("000000"&amp;$U309,6))</f>
        <v/>
      </c>
      <c r="W309">
        <f>IF($T309="","",COUNTIFS(LdBGroup,$R309,LdBKey,"&lt;"&amp;$T309)+1)</f>
        <v/>
      </c>
      <c r="X309">
        <f>IF($W309="","",$R309&amp;"|"&amp;RIGHT("000000"&amp;$W309,6))</f>
        <v/>
      </c>
      <c r="Y309">
        <f>IF($P309="","",IF(Shares!$E312="",0,Shares!$E312))</f>
        <v/>
      </c>
      <c r="Z309">
        <f>IF($P309="","",Shares!$H312)</f>
        <v/>
      </c>
      <c r="AE309">
        <f>IF(OR(Sync!$S309="",Sync!$P309=""),"",Sync!$S309)</f>
        <v/>
      </c>
      <c r="AF309">
        <f>IF($AE309="","",IF(ISNUMBER(Sync!$P309),IF(AND(Sync!$P309&gt;=10000101,Sync!$P309&lt;=99991231),INT(Sync!$P309/10000),""),IFERROR(VALUE(TRIM(LEFT(Sync!$P309,FIND("/",Sync!$P309)-1))),"")))</f>
        <v/>
      </c>
      <c r="AG309">
        <f>IF(OR($AE309="",$AF309=""),"",IF(ISNUMBER(Sync!$P309),INT(MOD(Sync!$P309,10000)/100),IFERROR(VALUE(TRIM(LEFT(MID(Sync!$P309,FIND("/",Sync!$P309)+1,20),FIND("/",MID(Sync!$P309,FIND("/",Sync!$P309)+1,20))-1))),"")))</f>
        <v/>
      </c>
      <c r="AH309">
        <f>IF(OR($AE309="",$AF309=""),"",IF(ISNUMBER(Sync!$P309),MOD(Sync!$P309,100),IFERROR(VALUE(TRIM(MID(MID(Sync!$P309,FIND("/",Sync!$P309)+1,20),FIND("/",MID(Sync!$P309,FIND("/",Sync!$P309)+1,20))+1,20))),"")))</f>
        <v/>
      </c>
      <c r="AI309">
        <f>IF($AE309="","",IF(OR($AF309="",$AG309="",$AH309="",$AF309&lt;1300,$AF309&gt;1500,$AG309&lt;1,$AG309&gt;12,$AH309&lt;1,$AH309&gt;31),"نامعتبر",RIGHT("0000"&amp;$AF309,4)&amp;"/"&amp;RIGHT("00"&amp;$AG309,2)&amp;"/"&amp;RIGHT("00"&amp;$AH309,2)))</f>
        <v/>
      </c>
      <c r="AJ309">
        <f>IF($AE309="","",IF(Sync!$Q309="","0000",IF(AND(ISNUMBER(Sync!$Q309),Sync!$Q309&gt;=0,Sync!$Q309&lt;1),RIGHT("00"&amp;HOUR(Sync!$Q309),2)&amp;RIGHT("00"&amp;MINUTE(Sync!$Q309),2),IFERROR(RIGHT("00"&amp;VALUE(LEFT(Sync!$Q309,FIND(":",Sync!$Q309)-1)),2)&amp;RIGHT("00"&amp;VALUE(MID(Sync!$Q309,FIND(":",Sync!$Q309)+1,2)),2),"0000"))))</f>
        <v/>
      </c>
      <c r="AK309">
        <f>IF(OR($AE309="",$AI309="",$AI309="نامعتبر"),"",LEFT($AI309,4)&amp;MID($AI309,6,2)&amp;RIGHT($AI309,2)&amp;$AJ309&amp;"|"&amp;"3"&amp;RIGHT("00000"&amp;304,5))</f>
        <v/>
      </c>
      <c r="AL309">
        <f>IF($AK309="","",COUNTIFS(LdAParty,$AE309,LdAType,1,LdAKey,"&lt;"&amp;$AK309)+COUNTIFS(LdBMember,$AE309,LdBKey,"&lt;"&amp;$AK309)+COUNTIFS(LdCParty,$AE309,LdCKey,"&lt;"&amp;$AK309)+1)</f>
        <v/>
      </c>
      <c r="AM309">
        <f>IF($AL309="","",$AE309&amp;"|"&amp;RIGHT("000000"&amp;$AL309,6))</f>
        <v/>
      </c>
      <c r="AN309">
        <f>IF($AE309="","",IF(Sync!$W309="",0,Sync!$W309))</f>
        <v/>
      </c>
      <c r="AO309">
        <f>IF($AE309="","",IF(Sync!$X309="",0,Sync!$X309))</f>
        <v/>
      </c>
      <c r="AP309">
        <f>IF($AE309="","",Sync!$R309)</f>
        <v/>
      </c>
      <c r="AQ309">
        <f>IF($AE309="","",Sync!$Y309)</f>
        <v/>
      </c>
    </row>
    <row r="310">
      <c r="A310">
        <f>IF(OR(Wages!$B313="",Wages!$E313=""),"",Wages!$E313)</f>
        <v/>
      </c>
      <c r="B310">
        <f>IF($A310="","",IF(Wages!$C313="دستمزد گروهی",2,1))</f>
        <v/>
      </c>
      <c r="C310">
        <f>IF($A310="","",IF(ISNUMBER(Wages!$B313),IF(AND(Wages!$B313&gt;=10000101,Wages!$B313&lt;=99991231),INT(Wages!$B313/10000),""),IFERROR(VALUE(TRIM(LEFT(Wages!$B313,FIND("/",Wages!$B313)-1))),"")))</f>
        <v/>
      </c>
      <c r="D310">
        <f>IF(OR($A310="",$C310=""),"",IF(ISNUMBER(Wages!$B313),INT(MOD(Wages!$B313,10000)/100),IFERROR(VALUE(TRIM(LEFT(MID(Wages!$B313,FIND("/",Wages!$B313)+1,20),FIND("/",MID(Wages!$B313,FIND("/",Wages!$B313)+1,20))-1))),"")))</f>
        <v/>
      </c>
      <c r="E310">
        <f>IF(OR($A310="",$C310=""),"",IF(ISNUMBER(Wages!$B313),MOD(Wages!$B313,100),IFERROR(VALUE(TRIM(MID(MID(Wages!$B313,FIND("/",Wages!$B313)+1,20),FIND("/",MID(Wages!$B313,FIND("/",Wages!$B313)+1,20))+1,20))),"")))</f>
        <v/>
      </c>
      <c r="F310">
        <f>IF($A310="","",IF(OR($C310="",$D310="",$E310="",$C310&lt;1300,$C310&gt;1500,$D310&lt;1,$D310&gt;12,$E310&lt;1,$E310&gt;31),"نامعتبر",RIGHT("0000"&amp;$C310,4)&amp;"/"&amp;RIGHT("00"&amp;$D310,2)&amp;"/"&amp;RIGHT("00"&amp;$E310,2)))</f>
        <v/>
      </c>
      <c r="G310">
        <f>IF(OR($A310="",$F310="",$F310="نامعتبر"),"",LEFT($F310,4)&amp;MID($F310,6,2)&amp;RIGHT($F310,2)&amp;"0000"&amp;"|"&amp;"1"&amp;RIGHT("00000"&amp;305,5))</f>
        <v/>
      </c>
      <c r="H310">
        <f>IF(OR($B310&lt;&gt;1,$G310=""),"",COUNTIFS(LdAParty,$A310,LdAType,1,LdAKey,"&lt;"&amp;$G310)+COUNTIFS(LdBMember,$A310,LdBKey,"&lt;"&amp;$G310)+COUNTIFS(LdCParty,$A310,LdCKey,"&lt;"&amp;$G310)+1)</f>
        <v/>
      </c>
      <c r="I310">
        <f>IF($H310="","",$A310&amp;"|"&amp;RIGHT("000000"&amp;$H310,6))</f>
        <v/>
      </c>
      <c r="J310">
        <f>IF(OR($B310&lt;&gt;2,$G310=""),"",COUNTIFS(LdAParty,$A310,LdAType,2,LdAKey,"&lt;"&amp;$G310)+1)</f>
        <v/>
      </c>
      <c r="K310">
        <f>IF($J310="","",$A310&amp;"|"&amp;RIGHT("000000"&amp;$J310,6))</f>
        <v/>
      </c>
      <c r="L310">
        <f>IF($A310="","",IF(Wages!$G313="",0,Wages!$G313))</f>
        <v/>
      </c>
      <c r="M310">
        <f>IF($A310="","",Wages!$J313)</f>
        <v/>
      </c>
      <c r="N310">
        <f>IF($A310="","",Wages!$D313)</f>
        <v/>
      </c>
      <c r="P310">
        <f>IF(OR(Shares!$B313="",Shares!$C313=""),"",Shares!$C313)</f>
        <v/>
      </c>
      <c r="Q310">
        <f>IF($P310="","",Shares!$B313)</f>
        <v/>
      </c>
      <c r="R310">
        <f>IF($P310="","",IFERROR(INDEX(WageParty,MATCH($Q310,WageIds,0)),""))</f>
        <v/>
      </c>
      <c r="S310">
        <f>IF($P310="","",IFERROR(INDEX($F$6:$F$2005,MATCH($Q310,WageIds,0)),""))</f>
        <v/>
      </c>
      <c r="T310">
        <f>IF(OR($P310="",$S310="",$S310="نامعتبر"),"",LEFT($S310,4)&amp;MID($S310,6,2)&amp;RIGHT($S310,2)&amp;"0000"&amp;"|"&amp;"2"&amp;RIGHT("00000"&amp;305,5))</f>
        <v/>
      </c>
      <c r="U310">
        <f>IF($T310="","",COUNTIFS(LdAParty,$P310,LdAType,1,LdAKey,"&lt;"&amp;$T310)+COUNTIFS(LdBMember,$P310,LdBKey,"&lt;"&amp;$T310)+COUNTIFS(LdCParty,$P310,LdCKey,"&lt;"&amp;$T310)+1)</f>
        <v/>
      </c>
      <c r="V310">
        <f>IF($U310="","",$P310&amp;"|"&amp;RIGHT("000000"&amp;$U310,6))</f>
        <v/>
      </c>
      <c r="W310">
        <f>IF($T310="","",COUNTIFS(LdBGroup,$R310,LdBKey,"&lt;"&amp;$T310)+1)</f>
        <v/>
      </c>
      <c r="X310">
        <f>IF($W310="","",$R310&amp;"|"&amp;RIGHT("000000"&amp;$W310,6))</f>
        <v/>
      </c>
      <c r="Y310">
        <f>IF($P310="","",IF(Shares!$E313="",0,Shares!$E313))</f>
        <v/>
      </c>
      <c r="Z310">
        <f>IF($P310="","",Shares!$H313)</f>
        <v/>
      </c>
      <c r="AE310">
        <f>IF(OR(Sync!$S310="",Sync!$P310=""),"",Sync!$S310)</f>
        <v/>
      </c>
      <c r="AF310">
        <f>IF($AE310="","",IF(ISNUMBER(Sync!$P310),IF(AND(Sync!$P310&gt;=10000101,Sync!$P310&lt;=99991231),INT(Sync!$P310/10000),""),IFERROR(VALUE(TRIM(LEFT(Sync!$P310,FIND("/",Sync!$P310)-1))),"")))</f>
        <v/>
      </c>
      <c r="AG310">
        <f>IF(OR($AE310="",$AF310=""),"",IF(ISNUMBER(Sync!$P310),INT(MOD(Sync!$P310,10000)/100),IFERROR(VALUE(TRIM(LEFT(MID(Sync!$P310,FIND("/",Sync!$P310)+1,20),FIND("/",MID(Sync!$P310,FIND("/",Sync!$P310)+1,20))-1))),"")))</f>
        <v/>
      </c>
      <c r="AH310">
        <f>IF(OR($AE310="",$AF310=""),"",IF(ISNUMBER(Sync!$P310),MOD(Sync!$P310,100),IFERROR(VALUE(TRIM(MID(MID(Sync!$P310,FIND("/",Sync!$P310)+1,20),FIND("/",MID(Sync!$P310,FIND("/",Sync!$P310)+1,20))+1,20))),"")))</f>
        <v/>
      </c>
      <c r="AI310">
        <f>IF($AE310="","",IF(OR($AF310="",$AG310="",$AH310="",$AF310&lt;1300,$AF310&gt;1500,$AG310&lt;1,$AG310&gt;12,$AH310&lt;1,$AH310&gt;31),"نامعتبر",RIGHT("0000"&amp;$AF310,4)&amp;"/"&amp;RIGHT("00"&amp;$AG310,2)&amp;"/"&amp;RIGHT("00"&amp;$AH310,2)))</f>
        <v/>
      </c>
      <c r="AJ310">
        <f>IF($AE310="","",IF(Sync!$Q310="","0000",IF(AND(ISNUMBER(Sync!$Q310),Sync!$Q310&gt;=0,Sync!$Q310&lt;1),RIGHT("00"&amp;HOUR(Sync!$Q310),2)&amp;RIGHT("00"&amp;MINUTE(Sync!$Q310),2),IFERROR(RIGHT("00"&amp;VALUE(LEFT(Sync!$Q310,FIND(":",Sync!$Q310)-1)),2)&amp;RIGHT("00"&amp;VALUE(MID(Sync!$Q310,FIND(":",Sync!$Q310)+1,2)),2),"0000"))))</f>
        <v/>
      </c>
      <c r="AK310">
        <f>IF(OR($AE310="",$AI310="",$AI310="نامعتبر"),"",LEFT($AI310,4)&amp;MID($AI310,6,2)&amp;RIGHT($AI310,2)&amp;$AJ310&amp;"|"&amp;"3"&amp;RIGHT("00000"&amp;305,5))</f>
        <v/>
      </c>
      <c r="AL310">
        <f>IF($AK310="","",COUNTIFS(LdAParty,$AE310,LdAType,1,LdAKey,"&lt;"&amp;$AK310)+COUNTIFS(LdBMember,$AE310,LdBKey,"&lt;"&amp;$AK310)+COUNTIFS(LdCParty,$AE310,LdCKey,"&lt;"&amp;$AK310)+1)</f>
        <v/>
      </c>
      <c r="AM310">
        <f>IF($AL310="","",$AE310&amp;"|"&amp;RIGHT("000000"&amp;$AL310,6))</f>
        <v/>
      </c>
      <c r="AN310">
        <f>IF($AE310="","",IF(Sync!$W310="",0,Sync!$W310))</f>
        <v/>
      </c>
      <c r="AO310">
        <f>IF($AE310="","",IF(Sync!$X310="",0,Sync!$X310))</f>
        <v/>
      </c>
      <c r="AP310">
        <f>IF($AE310="","",Sync!$R310)</f>
        <v/>
      </c>
      <c r="AQ310">
        <f>IF($AE310="","",Sync!$Y310)</f>
        <v/>
      </c>
    </row>
    <row r="311">
      <c r="A311">
        <f>IF(OR(Wages!$B314="",Wages!$E314=""),"",Wages!$E314)</f>
        <v/>
      </c>
      <c r="B311">
        <f>IF($A311="","",IF(Wages!$C314="دستمزد گروهی",2,1))</f>
        <v/>
      </c>
      <c r="C311">
        <f>IF($A311="","",IF(ISNUMBER(Wages!$B314),IF(AND(Wages!$B314&gt;=10000101,Wages!$B314&lt;=99991231),INT(Wages!$B314/10000),""),IFERROR(VALUE(TRIM(LEFT(Wages!$B314,FIND("/",Wages!$B314)-1))),"")))</f>
        <v/>
      </c>
      <c r="D311">
        <f>IF(OR($A311="",$C311=""),"",IF(ISNUMBER(Wages!$B314),INT(MOD(Wages!$B314,10000)/100),IFERROR(VALUE(TRIM(LEFT(MID(Wages!$B314,FIND("/",Wages!$B314)+1,20),FIND("/",MID(Wages!$B314,FIND("/",Wages!$B314)+1,20))-1))),"")))</f>
        <v/>
      </c>
      <c r="E311">
        <f>IF(OR($A311="",$C311=""),"",IF(ISNUMBER(Wages!$B314),MOD(Wages!$B314,100),IFERROR(VALUE(TRIM(MID(MID(Wages!$B314,FIND("/",Wages!$B314)+1,20),FIND("/",MID(Wages!$B314,FIND("/",Wages!$B314)+1,20))+1,20))),"")))</f>
        <v/>
      </c>
      <c r="F311">
        <f>IF($A311="","",IF(OR($C311="",$D311="",$E311="",$C311&lt;1300,$C311&gt;1500,$D311&lt;1,$D311&gt;12,$E311&lt;1,$E311&gt;31),"نامعتبر",RIGHT("0000"&amp;$C311,4)&amp;"/"&amp;RIGHT("00"&amp;$D311,2)&amp;"/"&amp;RIGHT("00"&amp;$E311,2)))</f>
        <v/>
      </c>
      <c r="G311">
        <f>IF(OR($A311="",$F311="",$F311="نامعتبر"),"",LEFT($F311,4)&amp;MID($F311,6,2)&amp;RIGHT($F311,2)&amp;"0000"&amp;"|"&amp;"1"&amp;RIGHT("00000"&amp;306,5))</f>
        <v/>
      </c>
      <c r="H311">
        <f>IF(OR($B311&lt;&gt;1,$G311=""),"",COUNTIFS(LdAParty,$A311,LdAType,1,LdAKey,"&lt;"&amp;$G311)+COUNTIFS(LdBMember,$A311,LdBKey,"&lt;"&amp;$G311)+COUNTIFS(LdCParty,$A311,LdCKey,"&lt;"&amp;$G311)+1)</f>
        <v/>
      </c>
      <c r="I311">
        <f>IF($H311="","",$A311&amp;"|"&amp;RIGHT("000000"&amp;$H311,6))</f>
        <v/>
      </c>
      <c r="J311">
        <f>IF(OR($B311&lt;&gt;2,$G311=""),"",COUNTIFS(LdAParty,$A311,LdAType,2,LdAKey,"&lt;"&amp;$G311)+1)</f>
        <v/>
      </c>
      <c r="K311">
        <f>IF($J311="","",$A311&amp;"|"&amp;RIGHT("000000"&amp;$J311,6))</f>
        <v/>
      </c>
      <c r="L311">
        <f>IF($A311="","",IF(Wages!$G314="",0,Wages!$G314))</f>
        <v/>
      </c>
      <c r="M311">
        <f>IF($A311="","",Wages!$J314)</f>
        <v/>
      </c>
      <c r="N311">
        <f>IF($A311="","",Wages!$D314)</f>
        <v/>
      </c>
      <c r="P311">
        <f>IF(OR(Shares!$B314="",Shares!$C314=""),"",Shares!$C314)</f>
        <v/>
      </c>
      <c r="Q311">
        <f>IF($P311="","",Shares!$B314)</f>
        <v/>
      </c>
      <c r="R311">
        <f>IF($P311="","",IFERROR(INDEX(WageParty,MATCH($Q311,WageIds,0)),""))</f>
        <v/>
      </c>
      <c r="S311">
        <f>IF($P311="","",IFERROR(INDEX($F$6:$F$2005,MATCH($Q311,WageIds,0)),""))</f>
        <v/>
      </c>
      <c r="T311">
        <f>IF(OR($P311="",$S311="",$S311="نامعتبر"),"",LEFT($S311,4)&amp;MID($S311,6,2)&amp;RIGHT($S311,2)&amp;"0000"&amp;"|"&amp;"2"&amp;RIGHT("00000"&amp;306,5))</f>
        <v/>
      </c>
      <c r="U311">
        <f>IF($T311="","",COUNTIFS(LdAParty,$P311,LdAType,1,LdAKey,"&lt;"&amp;$T311)+COUNTIFS(LdBMember,$P311,LdBKey,"&lt;"&amp;$T311)+COUNTIFS(LdCParty,$P311,LdCKey,"&lt;"&amp;$T311)+1)</f>
        <v/>
      </c>
      <c r="V311">
        <f>IF($U311="","",$P311&amp;"|"&amp;RIGHT("000000"&amp;$U311,6))</f>
        <v/>
      </c>
      <c r="W311">
        <f>IF($T311="","",COUNTIFS(LdBGroup,$R311,LdBKey,"&lt;"&amp;$T311)+1)</f>
        <v/>
      </c>
      <c r="X311">
        <f>IF($W311="","",$R311&amp;"|"&amp;RIGHT("000000"&amp;$W311,6))</f>
        <v/>
      </c>
      <c r="Y311">
        <f>IF($P311="","",IF(Shares!$E314="",0,Shares!$E314))</f>
        <v/>
      </c>
      <c r="Z311">
        <f>IF($P311="","",Shares!$H314)</f>
        <v/>
      </c>
      <c r="AE311">
        <f>IF(OR(Sync!$S311="",Sync!$P311=""),"",Sync!$S311)</f>
        <v/>
      </c>
      <c r="AF311">
        <f>IF($AE311="","",IF(ISNUMBER(Sync!$P311),IF(AND(Sync!$P311&gt;=10000101,Sync!$P311&lt;=99991231),INT(Sync!$P311/10000),""),IFERROR(VALUE(TRIM(LEFT(Sync!$P311,FIND("/",Sync!$P311)-1))),"")))</f>
        <v/>
      </c>
      <c r="AG311">
        <f>IF(OR($AE311="",$AF311=""),"",IF(ISNUMBER(Sync!$P311),INT(MOD(Sync!$P311,10000)/100),IFERROR(VALUE(TRIM(LEFT(MID(Sync!$P311,FIND("/",Sync!$P311)+1,20),FIND("/",MID(Sync!$P311,FIND("/",Sync!$P311)+1,20))-1))),"")))</f>
        <v/>
      </c>
      <c r="AH311">
        <f>IF(OR($AE311="",$AF311=""),"",IF(ISNUMBER(Sync!$P311),MOD(Sync!$P311,100),IFERROR(VALUE(TRIM(MID(MID(Sync!$P311,FIND("/",Sync!$P311)+1,20),FIND("/",MID(Sync!$P311,FIND("/",Sync!$P311)+1,20))+1,20))),"")))</f>
        <v/>
      </c>
      <c r="AI311">
        <f>IF($AE311="","",IF(OR($AF311="",$AG311="",$AH311="",$AF311&lt;1300,$AF311&gt;1500,$AG311&lt;1,$AG311&gt;12,$AH311&lt;1,$AH311&gt;31),"نامعتبر",RIGHT("0000"&amp;$AF311,4)&amp;"/"&amp;RIGHT("00"&amp;$AG311,2)&amp;"/"&amp;RIGHT("00"&amp;$AH311,2)))</f>
        <v/>
      </c>
      <c r="AJ311">
        <f>IF($AE311="","",IF(Sync!$Q311="","0000",IF(AND(ISNUMBER(Sync!$Q311),Sync!$Q311&gt;=0,Sync!$Q311&lt;1),RIGHT("00"&amp;HOUR(Sync!$Q311),2)&amp;RIGHT("00"&amp;MINUTE(Sync!$Q311),2),IFERROR(RIGHT("00"&amp;VALUE(LEFT(Sync!$Q311,FIND(":",Sync!$Q311)-1)),2)&amp;RIGHT("00"&amp;VALUE(MID(Sync!$Q311,FIND(":",Sync!$Q311)+1,2)),2),"0000"))))</f>
        <v/>
      </c>
      <c r="AK311">
        <f>IF(OR($AE311="",$AI311="",$AI311="نامعتبر"),"",LEFT($AI311,4)&amp;MID($AI311,6,2)&amp;RIGHT($AI311,2)&amp;$AJ311&amp;"|"&amp;"3"&amp;RIGHT("00000"&amp;306,5))</f>
        <v/>
      </c>
      <c r="AL311">
        <f>IF($AK311="","",COUNTIFS(LdAParty,$AE311,LdAType,1,LdAKey,"&lt;"&amp;$AK311)+COUNTIFS(LdBMember,$AE311,LdBKey,"&lt;"&amp;$AK311)+COUNTIFS(LdCParty,$AE311,LdCKey,"&lt;"&amp;$AK311)+1)</f>
        <v/>
      </c>
      <c r="AM311">
        <f>IF($AL311="","",$AE311&amp;"|"&amp;RIGHT("000000"&amp;$AL311,6))</f>
        <v/>
      </c>
      <c r="AN311">
        <f>IF($AE311="","",IF(Sync!$W311="",0,Sync!$W311))</f>
        <v/>
      </c>
      <c r="AO311">
        <f>IF($AE311="","",IF(Sync!$X311="",0,Sync!$X311))</f>
        <v/>
      </c>
      <c r="AP311">
        <f>IF($AE311="","",Sync!$R311)</f>
        <v/>
      </c>
      <c r="AQ311">
        <f>IF($AE311="","",Sync!$Y311)</f>
        <v/>
      </c>
    </row>
    <row r="312">
      <c r="A312">
        <f>IF(OR(Wages!$B315="",Wages!$E315=""),"",Wages!$E315)</f>
        <v/>
      </c>
      <c r="B312">
        <f>IF($A312="","",IF(Wages!$C315="دستمزد گروهی",2,1))</f>
        <v/>
      </c>
      <c r="C312">
        <f>IF($A312="","",IF(ISNUMBER(Wages!$B315),IF(AND(Wages!$B315&gt;=10000101,Wages!$B315&lt;=99991231),INT(Wages!$B315/10000),""),IFERROR(VALUE(TRIM(LEFT(Wages!$B315,FIND("/",Wages!$B315)-1))),"")))</f>
        <v/>
      </c>
      <c r="D312">
        <f>IF(OR($A312="",$C312=""),"",IF(ISNUMBER(Wages!$B315),INT(MOD(Wages!$B315,10000)/100),IFERROR(VALUE(TRIM(LEFT(MID(Wages!$B315,FIND("/",Wages!$B315)+1,20),FIND("/",MID(Wages!$B315,FIND("/",Wages!$B315)+1,20))-1))),"")))</f>
        <v/>
      </c>
      <c r="E312">
        <f>IF(OR($A312="",$C312=""),"",IF(ISNUMBER(Wages!$B315),MOD(Wages!$B315,100),IFERROR(VALUE(TRIM(MID(MID(Wages!$B315,FIND("/",Wages!$B315)+1,20),FIND("/",MID(Wages!$B315,FIND("/",Wages!$B315)+1,20))+1,20))),"")))</f>
        <v/>
      </c>
      <c r="F312">
        <f>IF($A312="","",IF(OR($C312="",$D312="",$E312="",$C312&lt;1300,$C312&gt;1500,$D312&lt;1,$D312&gt;12,$E312&lt;1,$E312&gt;31),"نامعتبر",RIGHT("0000"&amp;$C312,4)&amp;"/"&amp;RIGHT("00"&amp;$D312,2)&amp;"/"&amp;RIGHT("00"&amp;$E312,2)))</f>
        <v/>
      </c>
      <c r="G312">
        <f>IF(OR($A312="",$F312="",$F312="نامعتبر"),"",LEFT($F312,4)&amp;MID($F312,6,2)&amp;RIGHT($F312,2)&amp;"0000"&amp;"|"&amp;"1"&amp;RIGHT("00000"&amp;307,5))</f>
        <v/>
      </c>
      <c r="H312">
        <f>IF(OR($B312&lt;&gt;1,$G312=""),"",COUNTIFS(LdAParty,$A312,LdAType,1,LdAKey,"&lt;"&amp;$G312)+COUNTIFS(LdBMember,$A312,LdBKey,"&lt;"&amp;$G312)+COUNTIFS(LdCParty,$A312,LdCKey,"&lt;"&amp;$G312)+1)</f>
        <v/>
      </c>
      <c r="I312">
        <f>IF($H312="","",$A312&amp;"|"&amp;RIGHT("000000"&amp;$H312,6))</f>
        <v/>
      </c>
      <c r="J312">
        <f>IF(OR($B312&lt;&gt;2,$G312=""),"",COUNTIFS(LdAParty,$A312,LdAType,2,LdAKey,"&lt;"&amp;$G312)+1)</f>
        <v/>
      </c>
      <c r="K312">
        <f>IF($J312="","",$A312&amp;"|"&amp;RIGHT("000000"&amp;$J312,6))</f>
        <v/>
      </c>
      <c r="L312">
        <f>IF($A312="","",IF(Wages!$G315="",0,Wages!$G315))</f>
        <v/>
      </c>
      <c r="M312">
        <f>IF($A312="","",Wages!$J315)</f>
        <v/>
      </c>
      <c r="N312">
        <f>IF($A312="","",Wages!$D315)</f>
        <v/>
      </c>
      <c r="P312">
        <f>IF(OR(Shares!$B315="",Shares!$C315=""),"",Shares!$C315)</f>
        <v/>
      </c>
      <c r="Q312">
        <f>IF($P312="","",Shares!$B315)</f>
        <v/>
      </c>
      <c r="R312">
        <f>IF($P312="","",IFERROR(INDEX(WageParty,MATCH($Q312,WageIds,0)),""))</f>
        <v/>
      </c>
      <c r="S312">
        <f>IF($P312="","",IFERROR(INDEX($F$6:$F$2005,MATCH($Q312,WageIds,0)),""))</f>
        <v/>
      </c>
      <c r="T312">
        <f>IF(OR($P312="",$S312="",$S312="نامعتبر"),"",LEFT($S312,4)&amp;MID($S312,6,2)&amp;RIGHT($S312,2)&amp;"0000"&amp;"|"&amp;"2"&amp;RIGHT("00000"&amp;307,5))</f>
        <v/>
      </c>
      <c r="U312">
        <f>IF($T312="","",COUNTIFS(LdAParty,$P312,LdAType,1,LdAKey,"&lt;"&amp;$T312)+COUNTIFS(LdBMember,$P312,LdBKey,"&lt;"&amp;$T312)+COUNTIFS(LdCParty,$P312,LdCKey,"&lt;"&amp;$T312)+1)</f>
        <v/>
      </c>
      <c r="V312">
        <f>IF($U312="","",$P312&amp;"|"&amp;RIGHT("000000"&amp;$U312,6))</f>
        <v/>
      </c>
      <c r="W312">
        <f>IF($T312="","",COUNTIFS(LdBGroup,$R312,LdBKey,"&lt;"&amp;$T312)+1)</f>
        <v/>
      </c>
      <c r="X312">
        <f>IF($W312="","",$R312&amp;"|"&amp;RIGHT("000000"&amp;$W312,6))</f>
        <v/>
      </c>
      <c r="Y312">
        <f>IF($P312="","",IF(Shares!$E315="",0,Shares!$E315))</f>
        <v/>
      </c>
      <c r="Z312">
        <f>IF($P312="","",Shares!$H315)</f>
        <v/>
      </c>
      <c r="AE312">
        <f>IF(OR(Sync!$S312="",Sync!$P312=""),"",Sync!$S312)</f>
        <v/>
      </c>
      <c r="AF312">
        <f>IF($AE312="","",IF(ISNUMBER(Sync!$P312),IF(AND(Sync!$P312&gt;=10000101,Sync!$P312&lt;=99991231),INT(Sync!$P312/10000),""),IFERROR(VALUE(TRIM(LEFT(Sync!$P312,FIND("/",Sync!$P312)-1))),"")))</f>
        <v/>
      </c>
      <c r="AG312">
        <f>IF(OR($AE312="",$AF312=""),"",IF(ISNUMBER(Sync!$P312),INT(MOD(Sync!$P312,10000)/100),IFERROR(VALUE(TRIM(LEFT(MID(Sync!$P312,FIND("/",Sync!$P312)+1,20),FIND("/",MID(Sync!$P312,FIND("/",Sync!$P312)+1,20))-1))),"")))</f>
        <v/>
      </c>
      <c r="AH312">
        <f>IF(OR($AE312="",$AF312=""),"",IF(ISNUMBER(Sync!$P312),MOD(Sync!$P312,100),IFERROR(VALUE(TRIM(MID(MID(Sync!$P312,FIND("/",Sync!$P312)+1,20),FIND("/",MID(Sync!$P312,FIND("/",Sync!$P312)+1,20))+1,20))),"")))</f>
        <v/>
      </c>
      <c r="AI312">
        <f>IF($AE312="","",IF(OR($AF312="",$AG312="",$AH312="",$AF312&lt;1300,$AF312&gt;1500,$AG312&lt;1,$AG312&gt;12,$AH312&lt;1,$AH312&gt;31),"نامعتبر",RIGHT("0000"&amp;$AF312,4)&amp;"/"&amp;RIGHT("00"&amp;$AG312,2)&amp;"/"&amp;RIGHT("00"&amp;$AH312,2)))</f>
        <v/>
      </c>
      <c r="AJ312">
        <f>IF($AE312="","",IF(Sync!$Q312="","0000",IF(AND(ISNUMBER(Sync!$Q312),Sync!$Q312&gt;=0,Sync!$Q312&lt;1),RIGHT("00"&amp;HOUR(Sync!$Q312),2)&amp;RIGHT("00"&amp;MINUTE(Sync!$Q312),2),IFERROR(RIGHT("00"&amp;VALUE(LEFT(Sync!$Q312,FIND(":",Sync!$Q312)-1)),2)&amp;RIGHT("00"&amp;VALUE(MID(Sync!$Q312,FIND(":",Sync!$Q312)+1,2)),2),"0000"))))</f>
        <v/>
      </c>
      <c r="AK312">
        <f>IF(OR($AE312="",$AI312="",$AI312="نامعتبر"),"",LEFT($AI312,4)&amp;MID($AI312,6,2)&amp;RIGHT($AI312,2)&amp;$AJ312&amp;"|"&amp;"3"&amp;RIGHT("00000"&amp;307,5))</f>
        <v/>
      </c>
      <c r="AL312">
        <f>IF($AK312="","",COUNTIFS(LdAParty,$AE312,LdAType,1,LdAKey,"&lt;"&amp;$AK312)+COUNTIFS(LdBMember,$AE312,LdBKey,"&lt;"&amp;$AK312)+COUNTIFS(LdCParty,$AE312,LdCKey,"&lt;"&amp;$AK312)+1)</f>
        <v/>
      </c>
      <c r="AM312">
        <f>IF($AL312="","",$AE312&amp;"|"&amp;RIGHT("000000"&amp;$AL312,6))</f>
        <v/>
      </c>
      <c r="AN312">
        <f>IF($AE312="","",IF(Sync!$W312="",0,Sync!$W312))</f>
        <v/>
      </c>
      <c r="AO312">
        <f>IF($AE312="","",IF(Sync!$X312="",0,Sync!$X312))</f>
        <v/>
      </c>
      <c r="AP312">
        <f>IF($AE312="","",Sync!$R312)</f>
        <v/>
      </c>
      <c r="AQ312">
        <f>IF($AE312="","",Sync!$Y312)</f>
        <v/>
      </c>
    </row>
    <row r="313">
      <c r="A313">
        <f>IF(OR(Wages!$B316="",Wages!$E316=""),"",Wages!$E316)</f>
        <v/>
      </c>
      <c r="B313">
        <f>IF($A313="","",IF(Wages!$C316="دستمزد گروهی",2,1))</f>
        <v/>
      </c>
      <c r="C313">
        <f>IF($A313="","",IF(ISNUMBER(Wages!$B316),IF(AND(Wages!$B316&gt;=10000101,Wages!$B316&lt;=99991231),INT(Wages!$B316/10000),""),IFERROR(VALUE(TRIM(LEFT(Wages!$B316,FIND("/",Wages!$B316)-1))),"")))</f>
        <v/>
      </c>
      <c r="D313">
        <f>IF(OR($A313="",$C313=""),"",IF(ISNUMBER(Wages!$B316),INT(MOD(Wages!$B316,10000)/100),IFERROR(VALUE(TRIM(LEFT(MID(Wages!$B316,FIND("/",Wages!$B316)+1,20),FIND("/",MID(Wages!$B316,FIND("/",Wages!$B316)+1,20))-1))),"")))</f>
        <v/>
      </c>
      <c r="E313">
        <f>IF(OR($A313="",$C313=""),"",IF(ISNUMBER(Wages!$B316),MOD(Wages!$B316,100),IFERROR(VALUE(TRIM(MID(MID(Wages!$B316,FIND("/",Wages!$B316)+1,20),FIND("/",MID(Wages!$B316,FIND("/",Wages!$B316)+1,20))+1,20))),"")))</f>
        <v/>
      </c>
      <c r="F313">
        <f>IF($A313="","",IF(OR($C313="",$D313="",$E313="",$C313&lt;1300,$C313&gt;1500,$D313&lt;1,$D313&gt;12,$E313&lt;1,$E313&gt;31),"نامعتبر",RIGHT("0000"&amp;$C313,4)&amp;"/"&amp;RIGHT("00"&amp;$D313,2)&amp;"/"&amp;RIGHT("00"&amp;$E313,2)))</f>
        <v/>
      </c>
      <c r="G313">
        <f>IF(OR($A313="",$F313="",$F313="نامعتبر"),"",LEFT($F313,4)&amp;MID($F313,6,2)&amp;RIGHT($F313,2)&amp;"0000"&amp;"|"&amp;"1"&amp;RIGHT("00000"&amp;308,5))</f>
        <v/>
      </c>
      <c r="H313">
        <f>IF(OR($B313&lt;&gt;1,$G313=""),"",COUNTIFS(LdAParty,$A313,LdAType,1,LdAKey,"&lt;"&amp;$G313)+COUNTIFS(LdBMember,$A313,LdBKey,"&lt;"&amp;$G313)+COUNTIFS(LdCParty,$A313,LdCKey,"&lt;"&amp;$G313)+1)</f>
        <v/>
      </c>
      <c r="I313">
        <f>IF($H313="","",$A313&amp;"|"&amp;RIGHT("000000"&amp;$H313,6))</f>
        <v/>
      </c>
      <c r="J313">
        <f>IF(OR($B313&lt;&gt;2,$G313=""),"",COUNTIFS(LdAParty,$A313,LdAType,2,LdAKey,"&lt;"&amp;$G313)+1)</f>
        <v/>
      </c>
      <c r="K313">
        <f>IF($J313="","",$A313&amp;"|"&amp;RIGHT("000000"&amp;$J313,6))</f>
        <v/>
      </c>
      <c r="L313">
        <f>IF($A313="","",IF(Wages!$G316="",0,Wages!$G316))</f>
        <v/>
      </c>
      <c r="M313">
        <f>IF($A313="","",Wages!$J316)</f>
        <v/>
      </c>
      <c r="N313">
        <f>IF($A313="","",Wages!$D316)</f>
        <v/>
      </c>
      <c r="P313">
        <f>IF(OR(Shares!$B316="",Shares!$C316=""),"",Shares!$C316)</f>
        <v/>
      </c>
      <c r="Q313">
        <f>IF($P313="","",Shares!$B316)</f>
        <v/>
      </c>
      <c r="R313">
        <f>IF($P313="","",IFERROR(INDEX(WageParty,MATCH($Q313,WageIds,0)),""))</f>
        <v/>
      </c>
      <c r="S313">
        <f>IF($P313="","",IFERROR(INDEX($F$6:$F$2005,MATCH($Q313,WageIds,0)),""))</f>
        <v/>
      </c>
      <c r="T313">
        <f>IF(OR($P313="",$S313="",$S313="نامعتبر"),"",LEFT($S313,4)&amp;MID($S313,6,2)&amp;RIGHT($S313,2)&amp;"0000"&amp;"|"&amp;"2"&amp;RIGHT("00000"&amp;308,5))</f>
        <v/>
      </c>
      <c r="U313">
        <f>IF($T313="","",COUNTIFS(LdAParty,$P313,LdAType,1,LdAKey,"&lt;"&amp;$T313)+COUNTIFS(LdBMember,$P313,LdBKey,"&lt;"&amp;$T313)+COUNTIFS(LdCParty,$P313,LdCKey,"&lt;"&amp;$T313)+1)</f>
        <v/>
      </c>
      <c r="V313">
        <f>IF($U313="","",$P313&amp;"|"&amp;RIGHT("000000"&amp;$U313,6))</f>
        <v/>
      </c>
      <c r="W313">
        <f>IF($T313="","",COUNTIFS(LdBGroup,$R313,LdBKey,"&lt;"&amp;$T313)+1)</f>
        <v/>
      </c>
      <c r="X313">
        <f>IF($W313="","",$R313&amp;"|"&amp;RIGHT("000000"&amp;$W313,6))</f>
        <v/>
      </c>
      <c r="Y313">
        <f>IF($P313="","",IF(Shares!$E316="",0,Shares!$E316))</f>
        <v/>
      </c>
      <c r="Z313">
        <f>IF($P313="","",Shares!$H316)</f>
        <v/>
      </c>
      <c r="AE313">
        <f>IF(OR(Sync!$S313="",Sync!$P313=""),"",Sync!$S313)</f>
        <v/>
      </c>
      <c r="AF313">
        <f>IF($AE313="","",IF(ISNUMBER(Sync!$P313),IF(AND(Sync!$P313&gt;=10000101,Sync!$P313&lt;=99991231),INT(Sync!$P313/10000),""),IFERROR(VALUE(TRIM(LEFT(Sync!$P313,FIND("/",Sync!$P313)-1))),"")))</f>
        <v/>
      </c>
      <c r="AG313">
        <f>IF(OR($AE313="",$AF313=""),"",IF(ISNUMBER(Sync!$P313),INT(MOD(Sync!$P313,10000)/100),IFERROR(VALUE(TRIM(LEFT(MID(Sync!$P313,FIND("/",Sync!$P313)+1,20),FIND("/",MID(Sync!$P313,FIND("/",Sync!$P313)+1,20))-1))),"")))</f>
        <v/>
      </c>
      <c r="AH313">
        <f>IF(OR($AE313="",$AF313=""),"",IF(ISNUMBER(Sync!$P313),MOD(Sync!$P313,100),IFERROR(VALUE(TRIM(MID(MID(Sync!$P313,FIND("/",Sync!$P313)+1,20),FIND("/",MID(Sync!$P313,FIND("/",Sync!$P313)+1,20))+1,20))),"")))</f>
        <v/>
      </c>
      <c r="AI313">
        <f>IF($AE313="","",IF(OR($AF313="",$AG313="",$AH313="",$AF313&lt;1300,$AF313&gt;1500,$AG313&lt;1,$AG313&gt;12,$AH313&lt;1,$AH313&gt;31),"نامعتبر",RIGHT("0000"&amp;$AF313,4)&amp;"/"&amp;RIGHT("00"&amp;$AG313,2)&amp;"/"&amp;RIGHT("00"&amp;$AH313,2)))</f>
        <v/>
      </c>
      <c r="AJ313">
        <f>IF($AE313="","",IF(Sync!$Q313="","0000",IF(AND(ISNUMBER(Sync!$Q313),Sync!$Q313&gt;=0,Sync!$Q313&lt;1),RIGHT("00"&amp;HOUR(Sync!$Q313),2)&amp;RIGHT("00"&amp;MINUTE(Sync!$Q313),2),IFERROR(RIGHT("00"&amp;VALUE(LEFT(Sync!$Q313,FIND(":",Sync!$Q313)-1)),2)&amp;RIGHT("00"&amp;VALUE(MID(Sync!$Q313,FIND(":",Sync!$Q313)+1,2)),2),"0000"))))</f>
        <v/>
      </c>
      <c r="AK313">
        <f>IF(OR($AE313="",$AI313="",$AI313="نامعتبر"),"",LEFT($AI313,4)&amp;MID($AI313,6,2)&amp;RIGHT($AI313,2)&amp;$AJ313&amp;"|"&amp;"3"&amp;RIGHT("00000"&amp;308,5))</f>
        <v/>
      </c>
      <c r="AL313">
        <f>IF($AK313="","",COUNTIFS(LdAParty,$AE313,LdAType,1,LdAKey,"&lt;"&amp;$AK313)+COUNTIFS(LdBMember,$AE313,LdBKey,"&lt;"&amp;$AK313)+COUNTIFS(LdCParty,$AE313,LdCKey,"&lt;"&amp;$AK313)+1)</f>
        <v/>
      </c>
      <c r="AM313">
        <f>IF($AL313="","",$AE313&amp;"|"&amp;RIGHT("000000"&amp;$AL313,6))</f>
        <v/>
      </c>
      <c r="AN313">
        <f>IF($AE313="","",IF(Sync!$W313="",0,Sync!$W313))</f>
        <v/>
      </c>
      <c r="AO313">
        <f>IF($AE313="","",IF(Sync!$X313="",0,Sync!$X313))</f>
        <v/>
      </c>
      <c r="AP313">
        <f>IF($AE313="","",Sync!$R313)</f>
        <v/>
      </c>
      <c r="AQ313">
        <f>IF($AE313="","",Sync!$Y313)</f>
        <v/>
      </c>
    </row>
    <row r="314">
      <c r="A314">
        <f>IF(OR(Wages!$B317="",Wages!$E317=""),"",Wages!$E317)</f>
        <v/>
      </c>
      <c r="B314">
        <f>IF($A314="","",IF(Wages!$C317="دستمزد گروهی",2,1))</f>
        <v/>
      </c>
      <c r="C314">
        <f>IF($A314="","",IF(ISNUMBER(Wages!$B317),IF(AND(Wages!$B317&gt;=10000101,Wages!$B317&lt;=99991231),INT(Wages!$B317/10000),""),IFERROR(VALUE(TRIM(LEFT(Wages!$B317,FIND("/",Wages!$B317)-1))),"")))</f>
        <v/>
      </c>
      <c r="D314">
        <f>IF(OR($A314="",$C314=""),"",IF(ISNUMBER(Wages!$B317),INT(MOD(Wages!$B317,10000)/100),IFERROR(VALUE(TRIM(LEFT(MID(Wages!$B317,FIND("/",Wages!$B317)+1,20),FIND("/",MID(Wages!$B317,FIND("/",Wages!$B317)+1,20))-1))),"")))</f>
        <v/>
      </c>
      <c r="E314">
        <f>IF(OR($A314="",$C314=""),"",IF(ISNUMBER(Wages!$B317),MOD(Wages!$B317,100),IFERROR(VALUE(TRIM(MID(MID(Wages!$B317,FIND("/",Wages!$B317)+1,20),FIND("/",MID(Wages!$B317,FIND("/",Wages!$B317)+1,20))+1,20))),"")))</f>
        <v/>
      </c>
      <c r="F314">
        <f>IF($A314="","",IF(OR($C314="",$D314="",$E314="",$C314&lt;1300,$C314&gt;1500,$D314&lt;1,$D314&gt;12,$E314&lt;1,$E314&gt;31),"نامعتبر",RIGHT("0000"&amp;$C314,4)&amp;"/"&amp;RIGHT("00"&amp;$D314,2)&amp;"/"&amp;RIGHT("00"&amp;$E314,2)))</f>
        <v/>
      </c>
      <c r="G314">
        <f>IF(OR($A314="",$F314="",$F314="نامعتبر"),"",LEFT($F314,4)&amp;MID($F314,6,2)&amp;RIGHT($F314,2)&amp;"0000"&amp;"|"&amp;"1"&amp;RIGHT("00000"&amp;309,5))</f>
        <v/>
      </c>
      <c r="H314">
        <f>IF(OR($B314&lt;&gt;1,$G314=""),"",COUNTIFS(LdAParty,$A314,LdAType,1,LdAKey,"&lt;"&amp;$G314)+COUNTIFS(LdBMember,$A314,LdBKey,"&lt;"&amp;$G314)+COUNTIFS(LdCParty,$A314,LdCKey,"&lt;"&amp;$G314)+1)</f>
        <v/>
      </c>
      <c r="I314">
        <f>IF($H314="","",$A314&amp;"|"&amp;RIGHT("000000"&amp;$H314,6))</f>
        <v/>
      </c>
      <c r="J314">
        <f>IF(OR($B314&lt;&gt;2,$G314=""),"",COUNTIFS(LdAParty,$A314,LdAType,2,LdAKey,"&lt;"&amp;$G314)+1)</f>
        <v/>
      </c>
      <c r="K314">
        <f>IF($J314="","",$A314&amp;"|"&amp;RIGHT("000000"&amp;$J314,6))</f>
        <v/>
      </c>
      <c r="L314">
        <f>IF($A314="","",IF(Wages!$G317="",0,Wages!$G317))</f>
        <v/>
      </c>
      <c r="M314">
        <f>IF($A314="","",Wages!$J317)</f>
        <v/>
      </c>
      <c r="N314">
        <f>IF($A314="","",Wages!$D317)</f>
        <v/>
      </c>
      <c r="P314">
        <f>IF(OR(Shares!$B317="",Shares!$C317=""),"",Shares!$C317)</f>
        <v/>
      </c>
      <c r="Q314">
        <f>IF($P314="","",Shares!$B317)</f>
        <v/>
      </c>
      <c r="R314">
        <f>IF($P314="","",IFERROR(INDEX(WageParty,MATCH($Q314,WageIds,0)),""))</f>
        <v/>
      </c>
      <c r="S314">
        <f>IF($P314="","",IFERROR(INDEX($F$6:$F$2005,MATCH($Q314,WageIds,0)),""))</f>
        <v/>
      </c>
      <c r="T314">
        <f>IF(OR($P314="",$S314="",$S314="نامعتبر"),"",LEFT($S314,4)&amp;MID($S314,6,2)&amp;RIGHT($S314,2)&amp;"0000"&amp;"|"&amp;"2"&amp;RIGHT("00000"&amp;309,5))</f>
        <v/>
      </c>
      <c r="U314">
        <f>IF($T314="","",COUNTIFS(LdAParty,$P314,LdAType,1,LdAKey,"&lt;"&amp;$T314)+COUNTIFS(LdBMember,$P314,LdBKey,"&lt;"&amp;$T314)+COUNTIFS(LdCParty,$P314,LdCKey,"&lt;"&amp;$T314)+1)</f>
        <v/>
      </c>
      <c r="V314">
        <f>IF($U314="","",$P314&amp;"|"&amp;RIGHT("000000"&amp;$U314,6))</f>
        <v/>
      </c>
      <c r="W314">
        <f>IF($T314="","",COUNTIFS(LdBGroup,$R314,LdBKey,"&lt;"&amp;$T314)+1)</f>
        <v/>
      </c>
      <c r="X314">
        <f>IF($W314="","",$R314&amp;"|"&amp;RIGHT("000000"&amp;$W314,6))</f>
        <v/>
      </c>
      <c r="Y314">
        <f>IF($P314="","",IF(Shares!$E317="",0,Shares!$E317))</f>
        <v/>
      </c>
      <c r="Z314">
        <f>IF($P314="","",Shares!$H317)</f>
        <v/>
      </c>
      <c r="AE314">
        <f>IF(OR(Sync!$S314="",Sync!$P314=""),"",Sync!$S314)</f>
        <v/>
      </c>
      <c r="AF314">
        <f>IF($AE314="","",IF(ISNUMBER(Sync!$P314),IF(AND(Sync!$P314&gt;=10000101,Sync!$P314&lt;=99991231),INT(Sync!$P314/10000),""),IFERROR(VALUE(TRIM(LEFT(Sync!$P314,FIND("/",Sync!$P314)-1))),"")))</f>
        <v/>
      </c>
      <c r="AG314">
        <f>IF(OR($AE314="",$AF314=""),"",IF(ISNUMBER(Sync!$P314),INT(MOD(Sync!$P314,10000)/100),IFERROR(VALUE(TRIM(LEFT(MID(Sync!$P314,FIND("/",Sync!$P314)+1,20),FIND("/",MID(Sync!$P314,FIND("/",Sync!$P314)+1,20))-1))),"")))</f>
        <v/>
      </c>
      <c r="AH314">
        <f>IF(OR($AE314="",$AF314=""),"",IF(ISNUMBER(Sync!$P314),MOD(Sync!$P314,100),IFERROR(VALUE(TRIM(MID(MID(Sync!$P314,FIND("/",Sync!$P314)+1,20),FIND("/",MID(Sync!$P314,FIND("/",Sync!$P314)+1,20))+1,20))),"")))</f>
        <v/>
      </c>
      <c r="AI314">
        <f>IF($AE314="","",IF(OR($AF314="",$AG314="",$AH314="",$AF314&lt;1300,$AF314&gt;1500,$AG314&lt;1,$AG314&gt;12,$AH314&lt;1,$AH314&gt;31),"نامعتبر",RIGHT("0000"&amp;$AF314,4)&amp;"/"&amp;RIGHT("00"&amp;$AG314,2)&amp;"/"&amp;RIGHT("00"&amp;$AH314,2)))</f>
        <v/>
      </c>
      <c r="AJ314">
        <f>IF($AE314="","",IF(Sync!$Q314="","0000",IF(AND(ISNUMBER(Sync!$Q314),Sync!$Q314&gt;=0,Sync!$Q314&lt;1),RIGHT("00"&amp;HOUR(Sync!$Q314),2)&amp;RIGHT("00"&amp;MINUTE(Sync!$Q314),2),IFERROR(RIGHT("00"&amp;VALUE(LEFT(Sync!$Q314,FIND(":",Sync!$Q314)-1)),2)&amp;RIGHT("00"&amp;VALUE(MID(Sync!$Q314,FIND(":",Sync!$Q314)+1,2)),2),"0000"))))</f>
        <v/>
      </c>
      <c r="AK314">
        <f>IF(OR($AE314="",$AI314="",$AI314="نامعتبر"),"",LEFT($AI314,4)&amp;MID($AI314,6,2)&amp;RIGHT($AI314,2)&amp;$AJ314&amp;"|"&amp;"3"&amp;RIGHT("00000"&amp;309,5))</f>
        <v/>
      </c>
      <c r="AL314">
        <f>IF($AK314="","",COUNTIFS(LdAParty,$AE314,LdAType,1,LdAKey,"&lt;"&amp;$AK314)+COUNTIFS(LdBMember,$AE314,LdBKey,"&lt;"&amp;$AK314)+COUNTIFS(LdCParty,$AE314,LdCKey,"&lt;"&amp;$AK314)+1)</f>
        <v/>
      </c>
      <c r="AM314">
        <f>IF($AL314="","",$AE314&amp;"|"&amp;RIGHT("000000"&amp;$AL314,6))</f>
        <v/>
      </c>
      <c r="AN314">
        <f>IF($AE314="","",IF(Sync!$W314="",0,Sync!$W314))</f>
        <v/>
      </c>
      <c r="AO314">
        <f>IF($AE314="","",IF(Sync!$X314="",0,Sync!$X314))</f>
        <v/>
      </c>
      <c r="AP314">
        <f>IF($AE314="","",Sync!$R314)</f>
        <v/>
      </c>
      <c r="AQ314">
        <f>IF($AE314="","",Sync!$Y314)</f>
        <v/>
      </c>
    </row>
    <row r="315">
      <c r="A315">
        <f>IF(OR(Wages!$B318="",Wages!$E318=""),"",Wages!$E318)</f>
        <v/>
      </c>
      <c r="B315">
        <f>IF($A315="","",IF(Wages!$C318="دستمزد گروهی",2,1))</f>
        <v/>
      </c>
      <c r="C315">
        <f>IF($A315="","",IF(ISNUMBER(Wages!$B318),IF(AND(Wages!$B318&gt;=10000101,Wages!$B318&lt;=99991231),INT(Wages!$B318/10000),""),IFERROR(VALUE(TRIM(LEFT(Wages!$B318,FIND("/",Wages!$B318)-1))),"")))</f>
        <v/>
      </c>
      <c r="D315">
        <f>IF(OR($A315="",$C315=""),"",IF(ISNUMBER(Wages!$B318),INT(MOD(Wages!$B318,10000)/100),IFERROR(VALUE(TRIM(LEFT(MID(Wages!$B318,FIND("/",Wages!$B318)+1,20),FIND("/",MID(Wages!$B318,FIND("/",Wages!$B318)+1,20))-1))),"")))</f>
        <v/>
      </c>
      <c r="E315">
        <f>IF(OR($A315="",$C315=""),"",IF(ISNUMBER(Wages!$B318),MOD(Wages!$B318,100),IFERROR(VALUE(TRIM(MID(MID(Wages!$B318,FIND("/",Wages!$B318)+1,20),FIND("/",MID(Wages!$B318,FIND("/",Wages!$B318)+1,20))+1,20))),"")))</f>
        <v/>
      </c>
      <c r="F315">
        <f>IF($A315="","",IF(OR($C315="",$D315="",$E315="",$C315&lt;1300,$C315&gt;1500,$D315&lt;1,$D315&gt;12,$E315&lt;1,$E315&gt;31),"نامعتبر",RIGHT("0000"&amp;$C315,4)&amp;"/"&amp;RIGHT("00"&amp;$D315,2)&amp;"/"&amp;RIGHT("00"&amp;$E315,2)))</f>
        <v/>
      </c>
      <c r="G315">
        <f>IF(OR($A315="",$F315="",$F315="نامعتبر"),"",LEFT($F315,4)&amp;MID($F315,6,2)&amp;RIGHT($F315,2)&amp;"0000"&amp;"|"&amp;"1"&amp;RIGHT("00000"&amp;310,5))</f>
        <v/>
      </c>
      <c r="H315">
        <f>IF(OR($B315&lt;&gt;1,$G315=""),"",COUNTIFS(LdAParty,$A315,LdAType,1,LdAKey,"&lt;"&amp;$G315)+COUNTIFS(LdBMember,$A315,LdBKey,"&lt;"&amp;$G315)+COUNTIFS(LdCParty,$A315,LdCKey,"&lt;"&amp;$G315)+1)</f>
        <v/>
      </c>
      <c r="I315">
        <f>IF($H315="","",$A315&amp;"|"&amp;RIGHT("000000"&amp;$H315,6))</f>
        <v/>
      </c>
      <c r="J315">
        <f>IF(OR($B315&lt;&gt;2,$G315=""),"",COUNTIFS(LdAParty,$A315,LdAType,2,LdAKey,"&lt;"&amp;$G315)+1)</f>
        <v/>
      </c>
      <c r="K315">
        <f>IF($J315="","",$A315&amp;"|"&amp;RIGHT("000000"&amp;$J315,6))</f>
        <v/>
      </c>
      <c r="L315">
        <f>IF($A315="","",IF(Wages!$G318="",0,Wages!$G318))</f>
        <v/>
      </c>
      <c r="M315">
        <f>IF($A315="","",Wages!$J318)</f>
        <v/>
      </c>
      <c r="N315">
        <f>IF($A315="","",Wages!$D318)</f>
        <v/>
      </c>
      <c r="P315">
        <f>IF(OR(Shares!$B318="",Shares!$C318=""),"",Shares!$C318)</f>
        <v/>
      </c>
      <c r="Q315">
        <f>IF($P315="","",Shares!$B318)</f>
        <v/>
      </c>
      <c r="R315">
        <f>IF($P315="","",IFERROR(INDEX(WageParty,MATCH($Q315,WageIds,0)),""))</f>
        <v/>
      </c>
      <c r="S315">
        <f>IF($P315="","",IFERROR(INDEX($F$6:$F$2005,MATCH($Q315,WageIds,0)),""))</f>
        <v/>
      </c>
      <c r="T315">
        <f>IF(OR($P315="",$S315="",$S315="نامعتبر"),"",LEFT($S315,4)&amp;MID($S315,6,2)&amp;RIGHT($S315,2)&amp;"0000"&amp;"|"&amp;"2"&amp;RIGHT("00000"&amp;310,5))</f>
        <v/>
      </c>
      <c r="U315">
        <f>IF($T315="","",COUNTIFS(LdAParty,$P315,LdAType,1,LdAKey,"&lt;"&amp;$T315)+COUNTIFS(LdBMember,$P315,LdBKey,"&lt;"&amp;$T315)+COUNTIFS(LdCParty,$P315,LdCKey,"&lt;"&amp;$T315)+1)</f>
        <v/>
      </c>
      <c r="V315">
        <f>IF($U315="","",$P315&amp;"|"&amp;RIGHT("000000"&amp;$U315,6))</f>
        <v/>
      </c>
      <c r="W315">
        <f>IF($T315="","",COUNTIFS(LdBGroup,$R315,LdBKey,"&lt;"&amp;$T315)+1)</f>
        <v/>
      </c>
      <c r="X315">
        <f>IF($W315="","",$R315&amp;"|"&amp;RIGHT("000000"&amp;$W315,6))</f>
        <v/>
      </c>
      <c r="Y315">
        <f>IF($P315="","",IF(Shares!$E318="",0,Shares!$E318))</f>
        <v/>
      </c>
      <c r="Z315">
        <f>IF($P315="","",Shares!$H318)</f>
        <v/>
      </c>
      <c r="AE315">
        <f>IF(OR(Sync!$S315="",Sync!$P315=""),"",Sync!$S315)</f>
        <v/>
      </c>
      <c r="AF315">
        <f>IF($AE315="","",IF(ISNUMBER(Sync!$P315),IF(AND(Sync!$P315&gt;=10000101,Sync!$P315&lt;=99991231),INT(Sync!$P315/10000),""),IFERROR(VALUE(TRIM(LEFT(Sync!$P315,FIND("/",Sync!$P315)-1))),"")))</f>
        <v/>
      </c>
      <c r="AG315">
        <f>IF(OR($AE315="",$AF315=""),"",IF(ISNUMBER(Sync!$P315),INT(MOD(Sync!$P315,10000)/100),IFERROR(VALUE(TRIM(LEFT(MID(Sync!$P315,FIND("/",Sync!$P315)+1,20),FIND("/",MID(Sync!$P315,FIND("/",Sync!$P315)+1,20))-1))),"")))</f>
        <v/>
      </c>
      <c r="AH315">
        <f>IF(OR($AE315="",$AF315=""),"",IF(ISNUMBER(Sync!$P315),MOD(Sync!$P315,100),IFERROR(VALUE(TRIM(MID(MID(Sync!$P315,FIND("/",Sync!$P315)+1,20),FIND("/",MID(Sync!$P315,FIND("/",Sync!$P315)+1,20))+1,20))),"")))</f>
        <v/>
      </c>
      <c r="AI315">
        <f>IF($AE315="","",IF(OR($AF315="",$AG315="",$AH315="",$AF315&lt;1300,$AF315&gt;1500,$AG315&lt;1,$AG315&gt;12,$AH315&lt;1,$AH315&gt;31),"نامعتبر",RIGHT("0000"&amp;$AF315,4)&amp;"/"&amp;RIGHT("00"&amp;$AG315,2)&amp;"/"&amp;RIGHT("00"&amp;$AH315,2)))</f>
        <v/>
      </c>
      <c r="AJ315">
        <f>IF($AE315="","",IF(Sync!$Q315="","0000",IF(AND(ISNUMBER(Sync!$Q315),Sync!$Q315&gt;=0,Sync!$Q315&lt;1),RIGHT("00"&amp;HOUR(Sync!$Q315),2)&amp;RIGHT("00"&amp;MINUTE(Sync!$Q315),2),IFERROR(RIGHT("00"&amp;VALUE(LEFT(Sync!$Q315,FIND(":",Sync!$Q315)-1)),2)&amp;RIGHT("00"&amp;VALUE(MID(Sync!$Q315,FIND(":",Sync!$Q315)+1,2)),2),"0000"))))</f>
        <v/>
      </c>
      <c r="AK315">
        <f>IF(OR($AE315="",$AI315="",$AI315="نامعتبر"),"",LEFT($AI315,4)&amp;MID($AI315,6,2)&amp;RIGHT($AI315,2)&amp;$AJ315&amp;"|"&amp;"3"&amp;RIGHT("00000"&amp;310,5))</f>
        <v/>
      </c>
      <c r="AL315">
        <f>IF($AK315="","",COUNTIFS(LdAParty,$AE315,LdAType,1,LdAKey,"&lt;"&amp;$AK315)+COUNTIFS(LdBMember,$AE315,LdBKey,"&lt;"&amp;$AK315)+COUNTIFS(LdCParty,$AE315,LdCKey,"&lt;"&amp;$AK315)+1)</f>
        <v/>
      </c>
      <c r="AM315">
        <f>IF($AL315="","",$AE315&amp;"|"&amp;RIGHT("000000"&amp;$AL315,6))</f>
        <v/>
      </c>
      <c r="AN315">
        <f>IF($AE315="","",IF(Sync!$W315="",0,Sync!$W315))</f>
        <v/>
      </c>
      <c r="AO315">
        <f>IF($AE315="","",IF(Sync!$X315="",0,Sync!$X315))</f>
        <v/>
      </c>
      <c r="AP315">
        <f>IF($AE315="","",Sync!$R315)</f>
        <v/>
      </c>
      <c r="AQ315">
        <f>IF($AE315="","",Sync!$Y315)</f>
        <v/>
      </c>
    </row>
    <row r="316">
      <c r="A316">
        <f>IF(OR(Wages!$B319="",Wages!$E319=""),"",Wages!$E319)</f>
        <v/>
      </c>
      <c r="B316">
        <f>IF($A316="","",IF(Wages!$C319="دستمزد گروهی",2,1))</f>
        <v/>
      </c>
      <c r="C316">
        <f>IF($A316="","",IF(ISNUMBER(Wages!$B319),IF(AND(Wages!$B319&gt;=10000101,Wages!$B319&lt;=99991231),INT(Wages!$B319/10000),""),IFERROR(VALUE(TRIM(LEFT(Wages!$B319,FIND("/",Wages!$B319)-1))),"")))</f>
        <v/>
      </c>
      <c r="D316">
        <f>IF(OR($A316="",$C316=""),"",IF(ISNUMBER(Wages!$B319),INT(MOD(Wages!$B319,10000)/100),IFERROR(VALUE(TRIM(LEFT(MID(Wages!$B319,FIND("/",Wages!$B319)+1,20),FIND("/",MID(Wages!$B319,FIND("/",Wages!$B319)+1,20))-1))),"")))</f>
        <v/>
      </c>
      <c r="E316">
        <f>IF(OR($A316="",$C316=""),"",IF(ISNUMBER(Wages!$B319),MOD(Wages!$B319,100),IFERROR(VALUE(TRIM(MID(MID(Wages!$B319,FIND("/",Wages!$B319)+1,20),FIND("/",MID(Wages!$B319,FIND("/",Wages!$B319)+1,20))+1,20))),"")))</f>
        <v/>
      </c>
      <c r="F316">
        <f>IF($A316="","",IF(OR($C316="",$D316="",$E316="",$C316&lt;1300,$C316&gt;1500,$D316&lt;1,$D316&gt;12,$E316&lt;1,$E316&gt;31),"نامعتبر",RIGHT("0000"&amp;$C316,4)&amp;"/"&amp;RIGHT("00"&amp;$D316,2)&amp;"/"&amp;RIGHT("00"&amp;$E316,2)))</f>
        <v/>
      </c>
      <c r="G316">
        <f>IF(OR($A316="",$F316="",$F316="نامعتبر"),"",LEFT($F316,4)&amp;MID($F316,6,2)&amp;RIGHT($F316,2)&amp;"0000"&amp;"|"&amp;"1"&amp;RIGHT("00000"&amp;311,5))</f>
        <v/>
      </c>
      <c r="H316">
        <f>IF(OR($B316&lt;&gt;1,$G316=""),"",COUNTIFS(LdAParty,$A316,LdAType,1,LdAKey,"&lt;"&amp;$G316)+COUNTIFS(LdBMember,$A316,LdBKey,"&lt;"&amp;$G316)+COUNTIFS(LdCParty,$A316,LdCKey,"&lt;"&amp;$G316)+1)</f>
        <v/>
      </c>
      <c r="I316">
        <f>IF($H316="","",$A316&amp;"|"&amp;RIGHT("000000"&amp;$H316,6))</f>
        <v/>
      </c>
      <c r="J316">
        <f>IF(OR($B316&lt;&gt;2,$G316=""),"",COUNTIFS(LdAParty,$A316,LdAType,2,LdAKey,"&lt;"&amp;$G316)+1)</f>
        <v/>
      </c>
      <c r="K316">
        <f>IF($J316="","",$A316&amp;"|"&amp;RIGHT("000000"&amp;$J316,6))</f>
        <v/>
      </c>
      <c r="L316">
        <f>IF($A316="","",IF(Wages!$G319="",0,Wages!$G319))</f>
        <v/>
      </c>
      <c r="M316">
        <f>IF($A316="","",Wages!$J319)</f>
        <v/>
      </c>
      <c r="N316">
        <f>IF($A316="","",Wages!$D319)</f>
        <v/>
      </c>
      <c r="P316">
        <f>IF(OR(Shares!$B319="",Shares!$C319=""),"",Shares!$C319)</f>
        <v/>
      </c>
      <c r="Q316">
        <f>IF($P316="","",Shares!$B319)</f>
        <v/>
      </c>
      <c r="R316">
        <f>IF($P316="","",IFERROR(INDEX(WageParty,MATCH($Q316,WageIds,0)),""))</f>
        <v/>
      </c>
      <c r="S316">
        <f>IF($P316="","",IFERROR(INDEX($F$6:$F$2005,MATCH($Q316,WageIds,0)),""))</f>
        <v/>
      </c>
      <c r="T316">
        <f>IF(OR($P316="",$S316="",$S316="نامعتبر"),"",LEFT($S316,4)&amp;MID($S316,6,2)&amp;RIGHT($S316,2)&amp;"0000"&amp;"|"&amp;"2"&amp;RIGHT("00000"&amp;311,5))</f>
        <v/>
      </c>
      <c r="U316">
        <f>IF($T316="","",COUNTIFS(LdAParty,$P316,LdAType,1,LdAKey,"&lt;"&amp;$T316)+COUNTIFS(LdBMember,$P316,LdBKey,"&lt;"&amp;$T316)+COUNTIFS(LdCParty,$P316,LdCKey,"&lt;"&amp;$T316)+1)</f>
        <v/>
      </c>
      <c r="V316">
        <f>IF($U316="","",$P316&amp;"|"&amp;RIGHT("000000"&amp;$U316,6))</f>
        <v/>
      </c>
      <c r="W316">
        <f>IF($T316="","",COUNTIFS(LdBGroup,$R316,LdBKey,"&lt;"&amp;$T316)+1)</f>
        <v/>
      </c>
      <c r="X316">
        <f>IF($W316="","",$R316&amp;"|"&amp;RIGHT("000000"&amp;$W316,6))</f>
        <v/>
      </c>
      <c r="Y316">
        <f>IF($P316="","",IF(Shares!$E319="",0,Shares!$E319))</f>
        <v/>
      </c>
      <c r="Z316">
        <f>IF($P316="","",Shares!$H319)</f>
        <v/>
      </c>
      <c r="AE316">
        <f>IF(OR(Sync!$S316="",Sync!$P316=""),"",Sync!$S316)</f>
        <v/>
      </c>
      <c r="AF316">
        <f>IF($AE316="","",IF(ISNUMBER(Sync!$P316),IF(AND(Sync!$P316&gt;=10000101,Sync!$P316&lt;=99991231),INT(Sync!$P316/10000),""),IFERROR(VALUE(TRIM(LEFT(Sync!$P316,FIND("/",Sync!$P316)-1))),"")))</f>
        <v/>
      </c>
      <c r="AG316">
        <f>IF(OR($AE316="",$AF316=""),"",IF(ISNUMBER(Sync!$P316),INT(MOD(Sync!$P316,10000)/100),IFERROR(VALUE(TRIM(LEFT(MID(Sync!$P316,FIND("/",Sync!$P316)+1,20),FIND("/",MID(Sync!$P316,FIND("/",Sync!$P316)+1,20))-1))),"")))</f>
        <v/>
      </c>
      <c r="AH316">
        <f>IF(OR($AE316="",$AF316=""),"",IF(ISNUMBER(Sync!$P316),MOD(Sync!$P316,100),IFERROR(VALUE(TRIM(MID(MID(Sync!$P316,FIND("/",Sync!$P316)+1,20),FIND("/",MID(Sync!$P316,FIND("/",Sync!$P316)+1,20))+1,20))),"")))</f>
        <v/>
      </c>
      <c r="AI316">
        <f>IF($AE316="","",IF(OR($AF316="",$AG316="",$AH316="",$AF316&lt;1300,$AF316&gt;1500,$AG316&lt;1,$AG316&gt;12,$AH316&lt;1,$AH316&gt;31),"نامعتبر",RIGHT("0000"&amp;$AF316,4)&amp;"/"&amp;RIGHT("00"&amp;$AG316,2)&amp;"/"&amp;RIGHT("00"&amp;$AH316,2)))</f>
        <v/>
      </c>
      <c r="AJ316">
        <f>IF($AE316="","",IF(Sync!$Q316="","0000",IF(AND(ISNUMBER(Sync!$Q316),Sync!$Q316&gt;=0,Sync!$Q316&lt;1),RIGHT("00"&amp;HOUR(Sync!$Q316),2)&amp;RIGHT("00"&amp;MINUTE(Sync!$Q316),2),IFERROR(RIGHT("00"&amp;VALUE(LEFT(Sync!$Q316,FIND(":",Sync!$Q316)-1)),2)&amp;RIGHT("00"&amp;VALUE(MID(Sync!$Q316,FIND(":",Sync!$Q316)+1,2)),2),"0000"))))</f>
        <v/>
      </c>
      <c r="AK316">
        <f>IF(OR($AE316="",$AI316="",$AI316="نامعتبر"),"",LEFT($AI316,4)&amp;MID($AI316,6,2)&amp;RIGHT($AI316,2)&amp;$AJ316&amp;"|"&amp;"3"&amp;RIGHT("00000"&amp;311,5))</f>
        <v/>
      </c>
      <c r="AL316">
        <f>IF($AK316="","",COUNTIFS(LdAParty,$AE316,LdAType,1,LdAKey,"&lt;"&amp;$AK316)+COUNTIFS(LdBMember,$AE316,LdBKey,"&lt;"&amp;$AK316)+COUNTIFS(LdCParty,$AE316,LdCKey,"&lt;"&amp;$AK316)+1)</f>
        <v/>
      </c>
      <c r="AM316">
        <f>IF($AL316="","",$AE316&amp;"|"&amp;RIGHT("000000"&amp;$AL316,6))</f>
        <v/>
      </c>
      <c r="AN316">
        <f>IF($AE316="","",IF(Sync!$W316="",0,Sync!$W316))</f>
        <v/>
      </c>
      <c r="AO316">
        <f>IF($AE316="","",IF(Sync!$X316="",0,Sync!$X316))</f>
        <v/>
      </c>
      <c r="AP316">
        <f>IF($AE316="","",Sync!$R316)</f>
        <v/>
      </c>
      <c r="AQ316">
        <f>IF($AE316="","",Sync!$Y316)</f>
        <v/>
      </c>
    </row>
    <row r="317">
      <c r="A317">
        <f>IF(OR(Wages!$B320="",Wages!$E320=""),"",Wages!$E320)</f>
        <v/>
      </c>
      <c r="B317">
        <f>IF($A317="","",IF(Wages!$C320="دستمزد گروهی",2,1))</f>
        <v/>
      </c>
      <c r="C317">
        <f>IF($A317="","",IF(ISNUMBER(Wages!$B320),IF(AND(Wages!$B320&gt;=10000101,Wages!$B320&lt;=99991231),INT(Wages!$B320/10000),""),IFERROR(VALUE(TRIM(LEFT(Wages!$B320,FIND("/",Wages!$B320)-1))),"")))</f>
        <v/>
      </c>
      <c r="D317">
        <f>IF(OR($A317="",$C317=""),"",IF(ISNUMBER(Wages!$B320),INT(MOD(Wages!$B320,10000)/100),IFERROR(VALUE(TRIM(LEFT(MID(Wages!$B320,FIND("/",Wages!$B320)+1,20),FIND("/",MID(Wages!$B320,FIND("/",Wages!$B320)+1,20))-1))),"")))</f>
        <v/>
      </c>
      <c r="E317">
        <f>IF(OR($A317="",$C317=""),"",IF(ISNUMBER(Wages!$B320),MOD(Wages!$B320,100),IFERROR(VALUE(TRIM(MID(MID(Wages!$B320,FIND("/",Wages!$B320)+1,20),FIND("/",MID(Wages!$B320,FIND("/",Wages!$B320)+1,20))+1,20))),"")))</f>
        <v/>
      </c>
      <c r="F317">
        <f>IF($A317="","",IF(OR($C317="",$D317="",$E317="",$C317&lt;1300,$C317&gt;1500,$D317&lt;1,$D317&gt;12,$E317&lt;1,$E317&gt;31),"نامعتبر",RIGHT("0000"&amp;$C317,4)&amp;"/"&amp;RIGHT("00"&amp;$D317,2)&amp;"/"&amp;RIGHT("00"&amp;$E317,2)))</f>
        <v/>
      </c>
      <c r="G317">
        <f>IF(OR($A317="",$F317="",$F317="نامعتبر"),"",LEFT($F317,4)&amp;MID($F317,6,2)&amp;RIGHT($F317,2)&amp;"0000"&amp;"|"&amp;"1"&amp;RIGHT("00000"&amp;312,5))</f>
        <v/>
      </c>
      <c r="H317">
        <f>IF(OR($B317&lt;&gt;1,$G317=""),"",COUNTIFS(LdAParty,$A317,LdAType,1,LdAKey,"&lt;"&amp;$G317)+COUNTIFS(LdBMember,$A317,LdBKey,"&lt;"&amp;$G317)+COUNTIFS(LdCParty,$A317,LdCKey,"&lt;"&amp;$G317)+1)</f>
        <v/>
      </c>
      <c r="I317">
        <f>IF($H317="","",$A317&amp;"|"&amp;RIGHT("000000"&amp;$H317,6))</f>
        <v/>
      </c>
      <c r="J317">
        <f>IF(OR($B317&lt;&gt;2,$G317=""),"",COUNTIFS(LdAParty,$A317,LdAType,2,LdAKey,"&lt;"&amp;$G317)+1)</f>
        <v/>
      </c>
      <c r="K317">
        <f>IF($J317="","",$A317&amp;"|"&amp;RIGHT("000000"&amp;$J317,6))</f>
        <v/>
      </c>
      <c r="L317">
        <f>IF($A317="","",IF(Wages!$G320="",0,Wages!$G320))</f>
        <v/>
      </c>
      <c r="M317">
        <f>IF($A317="","",Wages!$J320)</f>
        <v/>
      </c>
      <c r="N317">
        <f>IF($A317="","",Wages!$D320)</f>
        <v/>
      </c>
      <c r="P317">
        <f>IF(OR(Shares!$B320="",Shares!$C320=""),"",Shares!$C320)</f>
        <v/>
      </c>
      <c r="Q317">
        <f>IF($P317="","",Shares!$B320)</f>
        <v/>
      </c>
      <c r="R317">
        <f>IF($P317="","",IFERROR(INDEX(WageParty,MATCH($Q317,WageIds,0)),""))</f>
        <v/>
      </c>
      <c r="S317">
        <f>IF($P317="","",IFERROR(INDEX($F$6:$F$2005,MATCH($Q317,WageIds,0)),""))</f>
        <v/>
      </c>
      <c r="T317">
        <f>IF(OR($P317="",$S317="",$S317="نامعتبر"),"",LEFT($S317,4)&amp;MID($S317,6,2)&amp;RIGHT($S317,2)&amp;"0000"&amp;"|"&amp;"2"&amp;RIGHT("00000"&amp;312,5))</f>
        <v/>
      </c>
      <c r="U317">
        <f>IF($T317="","",COUNTIFS(LdAParty,$P317,LdAType,1,LdAKey,"&lt;"&amp;$T317)+COUNTIFS(LdBMember,$P317,LdBKey,"&lt;"&amp;$T317)+COUNTIFS(LdCParty,$P317,LdCKey,"&lt;"&amp;$T317)+1)</f>
        <v/>
      </c>
      <c r="V317">
        <f>IF($U317="","",$P317&amp;"|"&amp;RIGHT("000000"&amp;$U317,6))</f>
        <v/>
      </c>
      <c r="W317">
        <f>IF($T317="","",COUNTIFS(LdBGroup,$R317,LdBKey,"&lt;"&amp;$T317)+1)</f>
        <v/>
      </c>
      <c r="X317">
        <f>IF($W317="","",$R317&amp;"|"&amp;RIGHT("000000"&amp;$W317,6))</f>
        <v/>
      </c>
      <c r="Y317">
        <f>IF($P317="","",IF(Shares!$E320="",0,Shares!$E320))</f>
        <v/>
      </c>
      <c r="Z317">
        <f>IF($P317="","",Shares!$H320)</f>
        <v/>
      </c>
      <c r="AE317">
        <f>IF(OR(Sync!$S317="",Sync!$P317=""),"",Sync!$S317)</f>
        <v/>
      </c>
      <c r="AF317">
        <f>IF($AE317="","",IF(ISNUMBER(Sync!$P317),IF(AND(Sync!$P317&gt;=10000101,Sync!$P317&lt;=99991231),INT(Sync!$P317/10000),""),IFERROR(VALUE(TRIM(LEFT(Sync!$P317,FIND("/",Sync!$P317)-1))),"")))</f>
        <v/>
      </c>
      <c r="AG317">
        <f>IF(OR($AE317="",$AF317=""),"",IF(ISNUMBER(Sync!$P317),INT(MOD(Sync!$P317,10000)/100),IFERROR(VALUE(TRIM(LEFT(MID(Sync!$P317,FIND("/",Sync!$P317)+1,20),FIND("/",MID(Sync!$P317,FIND("/",Sync!$P317)+1,20))-1))),"")))</f>
        <v/>
      </c>
      <c r="AH317">
        <f>IF(OR($AE317="",$AF317=""),"",IF(ISNUMBER(Sync!$P317),MOD(Sync!$P317,100),IFERROR(VALUE(TRIM(MID(MID(Sync!$P317,FIND("/",Sync!$P317)+1,20),FIND("/",MID(Sync!$P317,FIND("/",Sync!$P317)+1,20))+1,20))),"")))</f>
        <v/>
      </c>
      <c r="AI317">
        <f>IF($AE317="","",IF(OR($AF317="",$AG317="",$AH317="",$AF317&lt;1300,$AF317&gt;1500,$AG317&lt;1,$AG317&gt;12,$AH317&lt;1,$AH317&gt;31),"نامعتبر",RIGHT("0000"&amp;$AF317,4)&amp;"/"&amp;RIGHT("00"&amp;$AG317,2)&amp;"/"&amp;RIGHT("00"&amp;$AH317,2)))</f>
        <v/>
      </c>
      <c r="AJ317">
        <f>IF($AE317="","",IF(Sync!$Q317="","0000",IF(AND(ISNUMBER(Sync!$Q317),Sync!$Q317&gt;=0,Sync!$Q317&lt;1),RIGHT("00"&amp;HOUR(Sync!$Q317),2)&amp;RIGHT("00"&amp;MINUTE(Sync!$Q317),2),IFERROR(RIGHT("00"&amp;VALUE(LEFT(Sync!$Q317,FIND(":",Sync!$Q317)-1)),2)&amp;RIGHT("00"&amp;VALUE(MID(Sync!$Q317,FIND(":",Sync!$Q317)+1,2)),2),"0000"))))</f>
        <v/>
      </c>
      <c r="AK317">
        <f>IF(OR($AE317="",$AI317="",$AI317="نامعتبر"),"",LEFT($AI317,4)&amp;MID($AI317,6,2)&amp;RIGHT($AI317,2)&amp;$AJ317&amp;"|"&amp;"3"&amp;RIGHT("00000"&amp;312,5))</f>
        <v/>
      </c>
      <c r="AL317">
        <f>IF($AK317="","",COUNTIFS(LdAParty,$AE317,LdAType,1,LdAKey,"&lt;"&amp;$AK317)+COUNTIFS(LdBMember,$AE317,LdBKey,"&lt;"&amp;$AK317)+COUNTIFS(LdCParty,$AE317,LdCKey,"&lt;"&amp;$AK317)+1)</f>
        <v/>
      </c>
      <c r="AM317">
        <f>IF($AL317="","",$AE317&amp;"|"&amp;RIGHT("000000"&amp;$AL317,6))</f>
        <v/>
      </c>
      <c r="AN317">
        <f>IF($AE317="","",IF(Sync!$W317="",0,Sync!$W317))</f>
        <v/>
      </c>
      <c r="AO317">
        <f>IF($AE317="","",IF(Sync!$X317="",0,Sync!$X317))</f>
        <v/>
      </c>
      <c r="AP317">
        <f>IF($AE317="","",Sync!$R317)</f>
        <v/>
      </c>
      <c r="AQ317">
        <f>IF($AE317="","",Sync!$Y317)</f>
        <v/>
      </c>
    </row>
    <row r="318">
      <c r="A318">
        <f>IF(OR(Wages!$B321="",Wages!$E321=""),"",Wages!$E321)</f>
        <v/>
      </c>
      <c r="B318">
        <f>IF($A318="","",IF(Wages!$C321="دستمزد گروهی",2,1))</f>
        <v/>
      </c>
      <c r="C318">
        <f>IF($A318="","",IF(ISNUMBER(Wages!$B321),IF(AND(Wages!$B321&gt;=10000101,Wages!$B321&lt;=99991231),INT(Wages!$B321/10000),""),IFERROR(VALUE(TRIM(LEFT(Wages!$B321,FIND("/",Wages!$B321)-1))),"")))</f>
        <v/>
      </c>
      <c r="D318">
        <f>IF(OR($A318="",$C318=""),"",IF(ISNUMBER(Wages!$B321),INT(MOD(Wages!$B321,10000)/100),IFERROR(VALUE(TRIM(LEFT(MID(Wages!$B321,FIND("/",Wages!$B321)+1,20),FIND("/",MID(Wages!$B321,FIND("/",Wages!$B321)+1,20))-1))),"")))</f>
        <v/>
      </c>
      <c r="E318">
        <f>IF(OR($A318="",$C318=""),"",IF(ISNUMBER(Wages!$B321),MOD(Wages!$B321,100),IFERROR(VALUE(TRIM(MID(MID(Wages!$B321,FIND("/",Wages!$B321)+1,20),FIND("/",MID(Wages!$B321,FIND("/",Wages!$B321)+1,20))+1,20))),"")))</f>
        <v/>
      </c>
      <c r="F318">
        <f>IF($A318="","",IF(OR($C318="",$D318="",$E318="",$C318&lt;1300,$C318&gt;1500,$D318&lt;1,$D318&gt;12,$E318&lt;1,$E318&gt;31),"نامعتبر",RIGHT("0000"&amp;$C318,4)&amp;"/"&amp;RIGHT("00"&amp;$D318,2)&amp;"/"&amp;RIGHT("00"&amp;$E318,2)))</f>
        <v/>
      </c>
      <c r="G318">
        <f>IF(OR($A318="",$F318="",$F318="نامعتبر"),"",LEFT($F318,4)&amp;MID($F318,6,2)&amp;RIGHT($F318,2)&amp;"0000"&amp;"|"&amp;"1"&amp;RIGHT("00000"&amp;313,5))</f>
        <v/>
      </c>
      <c r="H318">
        <f>IF(OR($B318&lt;&gt;1,$G318=""),"",COUNTIFS(LdAParty,$A318,LdAType,1,LdAKey,"&lt;"&amp;$G318)+COUNTIFS(LdBMember,$A318,LdBKey,"&lt;"&amp;$G318)+COUNTIFS(LdCParty,$A318,LdCKey,"&lt;"&amp;$G318)+1)</f>
        <v/>
      </c>
      <c r="I318">
        <f>IF($H318="","",$A318&amp;"|"&amp;RIGHT("000000"&amp;$H318,6))</f>
        <v/>
      </c>
      <c r="J318">
        <f>IF(OR($B318&lt;&gt;2,$G318=""),"",COUNTIFS(LdAParty,$A318,LdAType,2,LdAKey,"&lt;"&amp;$G318)+1)</f>
        <v/>
      </c>
      <c r="K318">
        <f>IF($J318="","",$A318&amp;"|"&amp;RIGHT("000000"&amp;$J318,6))</f>
        <v/>
      </c>
      <c r="L318">
        <f>IF($A318="","",IF(Wages!$G321="",0,Wages!$G321))</f>
        <v/>
      </c>
      <c r="M318">
        <f>IF($A318="","",Wages!$J321)</f>
        <v/>
      </c>
      <c r="N318">
        <f>IF($A318="","",Wages!$D321)</f>
        <v/>
      </c>
      <c r="P318">
        <f>IF(OR(Shares!$B321="",Shares!$C321=""),"",Shares!$C321)</f>
        <v/>
      </c>
      <c r="Q318">
        <f>IF($P318="","",Shares!$B321)</f>
        <v/>
      </c>
      <c r="R318">
        <f>IF($P318="","",IFERROR(INDEX(WageParty,MATCH($Q318,WageIds,0)),""))</f>
        <v/>
      </c>
      <c r="S318">
        <f>IF($P318="","",IFERROR(INDEX($F$6:$F$2005,MATCH($Q318,WageIds,0)),""))</f>
        <v/>
      </c>
      <c r="T318">
        <f>IF(OR($P318="",$S318="",$S318="نامعتبر"),"",LEFT($S318,4)&amp;MID($S318,6,2)&amp;RIGHT($S318,2)&amp;"0000"&amp;"|"&amp;"2"&amp;RIGHT("00000"&amp;313,5))</f>
        <v/>
      </c>
      <c r="U318">
        <f>IF($T318="","",COUNTIFS(LdAParty,$P318,LdAType,1,LdAKey,"&lt;"&amp;$T318)+COUNTIFS(LdBMember,$P318,LdBKey,"&lt;"&amp;$T318)+COUNTIFS(LdCParty,$P318,LdCKey,"&lt;"&amp;$T318)+1)</f>
        <v/>
      </c>
      <c r="V318">
        <f>IF($U318="","",$P318&amp;"|"&amp;RIGHT("000000"&amp;$U318,6))</f>
        <v/>
      </c>
      <c r="W318">
        <f>IF($T318="","",COUNTIFS(LdBGroup,$R318,LdBKey,"&lt;"&amp;$T318)+1)</f>
        <v/>
      </c>
      <c r="X318">
        <f>IF($W318="","",$R318&amp;"|"&amp;RIGHT("000000"&amp;$W318,6))</f>
        <v/>
      </c>
      <c r="Y318">
        <f>IF($P318="","",IF(Shares!$E321="",0,Shares!$E321))</f>
        <v/>
      </c>
      <c r="Z318">
        <f>IF($P318="","",Shares!$H321)</f>
        <v/>
      </c>
      <c r="AE318">
        <f>IF(OR(Sync!$S318="",Sync!$P318=""),"",Sync!$S318)</f>
        <v/>
      </c>
      <c r="AF318">
        <f>IF($AE318="","",IF(ISNUMBER(Sync!$P318),IF(AND(Sync!$P318&gt;=10000101,Sync!$P318&lt;=99991231),INT(Sync!$P318/10000),""),IFERROR(VALUE(TRIM(LEFT(Sync!$P318,FIND("/",Sync!$P318)-1))),"")))</f>
        <v/>
      </c>
      <c r="AG318">
        <f>IF(OR($AE318="",$AF318=""),"",IF(ISNUMBER(Sync!$P318),INT(MOD(Sync!$P318,10000)/100),IFERROR(VALUE(TRIM(LEFT(MID(Sync!$P318,FIND("/",Sync!$P318)+1,20),FIND("/",MID(Sync!$P318,FIND("/",Sync!$P318)+1,20))-1))),"")))</f>
        <v/>
      </c>
      <c r="AH318">
        <f>IF(OR($AE318="",$AF318=""),"",IF(ISNUMBER(Sync!$P318),MOD(Sync!$P318,100),IFERROR(VALUE(TRIM(MID(MID(Sync!$P318,FIND("/",Sync!$P318)+1,20),FIND("/",MID(Sync!$P318,FIND("/",Sync!$P318)+1,20))+1,20))),"")))</f>
        <v/>
      </c>
      <c r="AI318">
        <f>IF($AE318="","",IF(OR($AF318="",$AG318="",$AH318="",$AF318&lt;1300,$AF318&gt;1500,$AG318&lt;1,$AG318&gt;12,$AH318&lt;1,$AH318&gt;31),"نامعتبر",RIGHT("0000"&amp;$AF318,4)&amp;"/"&amp;RIGHT("00"&amp;$AG318,2)&amp;"/"&amp;RIGHT("00"&amp;$AH318,2)))</f>
        <v/>
      </c>
      <c r="AJ318">
        <f>IF($AE318="","",IF(Sync!$Q318="","0000",IF(AND(ISNUMBER(Sync!$Q318),Sync!$Q318&gt;=0,Sync!$Q318&lt;1),RIGHT("00"&amp;HOUR(Sync!$Q318),2)&amp;RIGHT("00"&amp;MINUTE(Sync!$Q318),2),IFERROR(RIGHT("00"&amp;VALUE(LEFT(Sync!$Q318,FIND(":",Sync!$Q318)-1)),2)&amp;RIGHT("00"&amp;VALUE(MID(Sync!$Q318,FIND(":",Sync!$Q318)+1,2)),2),"0000"))))</f>
        <v/>
      </c>
      <c r="AK318">
        <f>IF(OR($AE318="",$AI318="",$AI318="نامعتبر"),"",LEFT($AI318,4)&amp;MID($AI318,6,2)&amp;RIGHT($AI318,2)&amp;$AJ318&amp;"|"&amp;"3"&amp;RIGHT("00000"&amp;313,5))</f>
        <v/>
      </c>
      <c r="AL318">
        <f>IF($AK318="","",COUNTIFS(LdAParty,$AE318,LdAType,1,LdAKey,"&lt;"&amp;$AK318)+COUNTIFS(LdBMember,$AE318,LdBKey,"&lt;"&amp;$AK318)+COUNTIFS(LdCParty,$AE318,LdCKey,"&lt;"&amp;$AK318)+1)</f>
        <v/>
      </c>
      <c r="AM318">
        <f>IF($AL318="","",$AE318&amp;"|"&amp;RIGHT("000000"&amp;$AL318,6))</f>
        <v/>
      </c>
      <c r="AN318">
        <f>IF($AE318="","",IF(Sync!$W318="",0,Sync!$W318))</f>
        <v/>
      </c>
      <c r="AO318">
        <f>IF($AE318="","",IF(Sync!$X318="",0,Sync!$X318))</f>
        <v/>
      </c>
      <c r="AP318">
        <f>IF($AE318="","",Sync!$R318)</f>
        <v/>
      </c>
      <c r="AQ318">
        <f>IF($AE318="","",Sync!$Y318)</f>
        <v/>
      </c>
    </row>
    <row r="319">
      <c r="A319">
        <f>IF(OR(Wages!$B322="",Wages!$E322=""),"",Wages!$E322)</f>
        <v/>
      </c>
      <c r="B319">
        <f>IF($A319="","",IF(Wages!$C322="دستمزد گروهی",2,1))</f>
        <v/>
      </c>
      <c r="C319">
        <f>IF($A319="","",IF(ISNUMBER(Wages!$B322),IF(AND(Wages!$B322&gt;=10000101,Wages!$B322&lt;=99991231),INT(Wages!$B322/10000),""),IFERROR(VALUE(TRIM(LEFT(Wages!$B322,FIND("/",Wages!$B322)-1))),"")))</f>
        <v/>
      </c>
      <c r="D319">
        <f>IF(OR($A319="",$C319=""),"",IF(ISNUMBER(Wages!$B322),INT(MOD(Wages!$B322,10000)/100),IFERROR(VALUE(TRIM(LEFT(MID(Wages!$B322,FIND("/",Wages!$B322)+1,20),FIND("/",MID(Wages!$B322,FIND("/",Wages!$B322)+1,20))-1))),"")))</f>
        <v/>
      </c>
      <c r="E319">
        <f>IF(OR($A319="",$C319=""),"",IF(ISNUMBER(Wages!$B322),MOD(Wages!$B322,100),IFERROR(VALUE(TRIM(MID(MID(Wages!$B322,FIND("/",Wages!$B322)+1,20),FIND("/",MID(Wages!$B322,FIND("/",Wages!$B322)+1,20))+1,20))),"")))</f>
        <v/>
      </c>
      <c r="F319">
        <f>IF($A319="","",IF(OR($C319="",$D319="",$E319="",$C319&lt;1300,$C319&gt;1500,$D319&lt;1,$D319&gt;12,$E319&lt;1,$E319&gt;31),"نامعتبر",RIGHT("0000"&amp;$C319,4)&amp;"/"&amp;RIGHT("00"&amp;$D319,2)&amp;"/"&amp;RIGHT("00"&amp;$E319,2)))</f>
        <v/>
      </c>
      <c r="G319">
        <f>IF(OR($A319="",$F319="",$F319="نامعتبر"),"",LEFT($F319,4)&amp;MID($F319,6,2)&amp;RIGHT($F319,2)&amp;"0000"&amp;"|"&amp;"1"&amp;RIGHT("00000"&amp;314,5))</f>
        <v/>
      </c>
      <c r="H319">
        <f>IF(OR($B319&lt;&gt;1,$G319=""),"",COUNTIFS(LdAParty,$A319,LdAType,1,LdAKey,"&lt;"&amp;$G319)+COUNTIFS(LdBMember,$A319,LdBKey,"&lt;"&amp;$G319)+COUNTIFS(LdCParty,$A319,LdCKey,"&lt;"&amp;$G319)+1)</f>
        <v/>
      </c>
      <c r="I319">
        <f>IF($H319="","",$A319&amp;"|"&amp;RIGHT("000000"&amp;$H319,6))</f>
        <v/>
      </c>
      <c r="J319">
        <f>IF(OR($B319&lt;&gt;2,$G319=""),"",COUNTIFS(LdAParty,$A319,LdAType,2,LdAKey,"&lt;"&amp;$G319)+1)</f>
        <v/>
      </c>
      <c r="K319">
        <f>IF($J319="","",$A319&amp;"|"&amp;RIGHT("000000"&amp;$J319,6))</f>
        <v/>
      </c>
      <c r="L319">
        <f>IF($A319="","",IF(Wages!$G322="",0,Wages!$G322))</f>
        <v/>
      </c>
      <c r="M319">
        <f>IF($A319="","",Wages!$J322)</f>
        <v/>
      </c>
      <c r="N319">
        <f>IF($A319="","",Wages!$D322)</f>
        <v/>
      </c>
      <c r="P319">
        <f>IF(OR(Shares!$B322="",Shares!$C322=""),"",Shares!$C322)</f>
        <v/>
      </c>
      <c r="Q319">
        <f>IF($P319="","",Shares!$B322)</f>
        <v/>
      </c>
      <c r="R319">
        <f>IF($P319="","",IFERROR(INDEX(WageParty,MATCH($Q319,WageIds,0)),""))</f>
        <v/>
      </c>
      <c r="S319">
        <f>IF($P319="","",IFERROR(INDEX($F$6:$F$2005,MATCH($Q319,WageIds,0)),""))</f>
        <v/>
      </c>
      <c r="T319">
        <f>IF(OR($P319="",$S319="",$S319="نامعتبر"),"",LEFT($S319,4)&amp;MID($S319,6,2)&amp;RIGHT($S319,2)&amp;"0000"&amp;"|"&amp;"2"&amp;RIGHT("00000"&amp;314,5))</f>
        <v/>
      </c>
      <c r="U319">
        <f>IF($T319="","",COUNTIFS(LdAParty,$P319,LdAType,1,LdAKey,"&lt;"&amp;$T319)+COUNTIFS(LdBMember,$P319,LdBKey,"&lt;"&amp;$T319)+COUNTIFS(LdCParty,$P319,LdCKey,"&lt;"&amp;$T319)+1)</f>
        <v/>
      </c>
      <c r="V319">
        <f>IF($U319="","",$P319&amp;"|"&amp;RIGHT("000000"&amp;$U319,6))</f>
        <v/>
      </c>
      <c r="W319">
        <f>IF($T319="","",COUNTIFS(LdBGroup,$R319,LdBKey,"&lt;"&amp;$T319)+1)</f>
        <v/>
      </c>
      <c r="X319">
        <f>IF($W319="","",$R319&amp;"|"&amp;RIGHT("000000"&amp;$W319,6))</f>
        <v/>
      </c>
      <c r="Y319">
        <f>IF($P319="","",IF(Shares!$E322="",0,Shares!$E322))</f>
        <v/>
      </c>
      <c r="Z319">
        <f>IF($P319="","",Shares!$H322)</f>
        <v/>
      </c>
      <c r="AE319">
        <f>IF(OR(Sync!$S319="",Sync!$P319=""),"",Sync!$S319)</f>
        <v/>
      </c>
      <c r="AF319">
        <f>IF($AE319="","",IF(ISNUMBER(Sync!$P319),IF(AND(Sync!$P319&gt;=10000101,Sync!$P319&lt;=99991231),INT(Sync!$P319/10000),""),IFERROR(VALUE(TRIM(LEFT(Sync!$P319,FIND("/",Sync!$P319)-1))),"")))</f>
        <v/>
      </c>
      <c r="AG319">
        <f>IF(OR($AE319="",$AF319=""),"",IF(ISNUMBER(Sync!$P319),INT(MOD(Sync!$P319,10000)/100),IFERROR(VALUE(TRIM(LEFT(MID(Sync!$P319,FIND("/",Sync!$P319)+1,20),FIND("/",MID(Sync!$P319,FIND("/",Sync!$P319)+1,20))-1))),"")))</f>
        <v/>
      </c>
      <c r="AH319">
        <f>IF(OR($AE319="",$AF319=""),"",IF(ISNUMBER(Sync!$P319),MOD(Sync!$P319,100),IFERROR(VALUE(TRIM(MID(MID(Sync!$P319,FIND("/",Sync!$P319)+1,20),FIND("/",MID(Sync!$P319,FIND("/",Sync!$P319)+1,20))+1,20))),"")))</f>
        <v/>
      </c>
      <c r="AI319">
        <f>IF($AE319="","",IF(OR($AF319="",$AG319="",$AH319="",$AF319&lt;1300,$AF319&gt;1500,$AG319&lt;1,$AG319&gt;12,$AH319&lt;1,$AH319&gt;31),"نامعتبر",RIGHT("0000"&amp;$AF319,4)&amp;"/"&amp;RIGHT("00"&amp;$AG319,2)&amp;"/"&amp;RIGHT("00"&amp;$AH319,2)))</f>
        <v/>
      </c>
      <c r="AJ319">
        <f>IF($AE319="","",IF(Sync!$Q319="","0000",IF(AND(ISNUMBER(Sync!$Q319),Sync!$Q319&gt;=0,Sync!$Q319&lt;1),RIGHT("00"&amp;HOUR(Sync!$Q319),2)&amp;RIGHT("00"&amp;MINUTE(Sync!$Q319),2),IFERROR(RIGHT("00"&amp;VALUE(LEFT(Sync!$Q319,FIND(":",Sync!$Q319)-1)),2)&amp;RIGHT("00"&amp;VALUE(MID(Sync!$Q319,FIND(":",Sync!$Q319)+1,2)),2),"0000"))))</f>
        <v/>
      </c>
      <c r="AK319">
        <f>IF(OR($AE319="",$AI319="",$AI319="نامعتبر"),"",LEFT($AI319,4)&amp;MID($AI319,6,2)&amp;RIGHT($AI319,2)&amp;$AJ319&amp;"|"&amp;"3"&amp;RIGHT("00000"&amp;314,5))</f>
        <v/>
      </c>
      <c r="AL319">
        <f>IF($AK319="","",COUNTIFS(LdAParty,$AE319,LdAType,1,LdAKey,"&lt;"&amp;$AK319)+COUNTIFS(LdBMember,$AE319,LdBKey,"&lt;"&amp;$AK319)+COUNTIFS(LdCParty,$AE319,LdCKey,"&lt;"&amp;$AK319)+1)</f>
        <v/>
      </c>
      <c r="AM319">
        <f>IF($AL319="","",$AE319&amp;"|"&amp;RIGHT("000000"&amp;$AL319,6))</f>
        <v/>
      </c>
      <c r="AN319">
        <f>IF($AE319="","",IF(Sync!$W319="",0,Sync!$W319))</f>
        <v/>
      </c>
      <c r="AO319">
        <f>IF($AE319="","",IF(Sync!$X319="",0,Sync!$X319))</f>
        <v/>
      </c>
      <c r="AP319">
        <f>IF($AE319="","",Sync!$R319)</f>
        <v/>
      </c>
      <c r="AQ319">
        <f>IF($AE319="","",Sync!$Y319)</f>
        <v/>
      </c>
    </row>
    <row r="320">
      <c r="A320">
        <f>IF(OR(Wages!$B323="",Wages!$E323=""),"",Wages!$E323)</f>
        <v/>
      </c>
      <c r="B320">
        <f>IF($A320="","",IF(Wages!$C323="دستمزد گروهی",2,1))</f>
        <v/>
      </c>
      <c r="C320">
        <f>IF($A320="","",IF(ISNUMBER(Wages!$B323),IF(AND(Wages!$B323&gt;=10000101,Wages!$B323&lt;=99991231),INT(Wages!$B323/10000),""),IFERROR(VALUE(TRIM(LEFT(Wages!$B323,FIND("/",Wages!$B323)-1))),"")))</f>
        <v/>
      </c>
      <c r="D320">
        <f>IF(OR($A320="",$C320=""),"",IF(ISNUMBER(Wages!$B323),INT(MOD(Wages!$B323,10000)/100),IFERROR(VALUE(TRIM(LEFT(MID(Wages!$B323,FIND("/",Wages!$B323)+1,20),FIND("/",MID(Wages!$B323,FIND("/",Wages!$B323)+1,20))-1))),"")))</f>
        <v/>
      </c>
      <c r="E320">
        <f>IF(OR($A320="",$C320=""),"",IF(ISNUMBER(Wages!$B323),MOD(Wages!$B323,100),IFERROR(VALUE(TRIM(MID(MID(Wages!$B323,FIND("/",Wages!$B323)+1,20),FIND("/",MID(Wages!$B323,FIND("/",Wages!$B323)+1,20))+1,20))),"")))</f>
        <v/>
      </c>
      <c r="F320">
        <f>IF($A320="","",IF(OR($C320="",$D320="",$E320="",$C320&lt;1300,$C320&gt;1500,$D320&lt;1,$D320&gt;12,$E320&lt;1,$E320&gt;31),"نامعتبر",RIGHT("0000"&amp;$C320,4)&amp;"/"&amp;RIGHT("00"&amp;$D320,2)&amp;"/"&amp;RIGHT("00"&amp;$E320,2)))</f>
        <v/>
      </c>
      <c r="G320">
        <f>IF(OR($A320="",$F320="",$F320="نامعتبر"),"",LEFT($F320,4)&amp;MID($F320,6,2)&amp;RIGHT($F320,2)&amp;"0000"&amp;"|"&amp;"1"&amp;RIGHT("00000"&amp;315,5))</f>
        <v/>
      </c>
      <c r="H320">
        <f>IF(OR($B320&lt;&gt;1,$G320=""),"",COUNTIFS(LdAParty,$A320,LdAType,1,LdAKey,"&lt;"&amp;$G320)+COUNTIFS(LdBMember,$A320,LdBKey,"&lt;"&amp;$G320)+COUNTIFS(LdCParty,$A320,LdCKey,"&lt;"&amp;$G320)+1)</f>
        <v/>
      </c>
      <c r="I320">
        <f>IF($H320="","",$A320&amp;"|"&amp;RIGHT("000000"&amp;$H320,6))</f>
        <v/>
      </c>
      <c r="J320">
        <f>IF(OR($B320&lt;&gt;2,$G320=""),"",COUNTIFS(LdAParty,$A320,LdAType,2,LdAKey,"&lt;"&amp;$G320)+1)</f>
        <v/>
      </c>
      <c r="K320">
        <f>IF($J320="","",$A320&amp;"|"&amp;RIGHT("000000"&amp;$J320,6))</f>
        <v/>
      </c>
      <c r="L320">
        <f>IF($A320="","",IF(Wages!$G323="",0,Wages!$G323))</f>
        <v/>
      </c>
      <c r="M320">
        <f>IF($A320="","",Wages!$J323)</f>
        <v/>
      </c>
      <c r="N320">
        <f>IF($A320="","",Wages!$D323)</f>
        <v/>
      </c>
      <c r="P320">
        <f>IF(OR(Shares!$B323="",Shares!$C323=""),"",Shares!$C323)</f>
        <v/>
      </c>
      <c r="Q320">
        <f>IF($P320="","",Shares!$B323)</f>
        <v/>
      </c>
      <c r="R320">
        <f>IF($P320="","",IFERROR(INDEX(WageParty,MATCH($Q320,WageIds,0)),""))</f>
        <v/>
      </c>
      <c r="S320">
        <f>IF($P320="","",IFERROR(INDEX($F$6:$F$2005,MATCH($Q320,WageIds,0)),""))</f>
        <v/>
      </c>
      <c r="T320">
        <f>IF(OR($P320="",$S320="",$S320="نامعتبر"),"",LEFT($S320,4)&amp;MID($S320,6,2)&amp;RIGHT($S320,2)&amp;"0000"&amp;"|"&amp;"2"&amp;RIGHT("00000"&amp;315,5))</f>
        <v/>
      </c>
      <c r="U320">
        <f>IF($T320="","",COUNTIFS(LdAParty,$P320,LdAType,1,LdAKey,"&lt;"&amp;$T320)+COUNTIFS(LdBMember,$P320,LdBKey,"&lt;"&amp;$T320)+COUNTIFS(LdCParty,$P320,LdCKey,"&lt;"&amp;$T320)+1)</f>
        <v/>
      </c>
      <c r="V320">
        <f>IF($U320="","",$P320&amp;"|"&amp;RIGHT("000000"&amp;$U320,6))</f>
        <v/>
      </c>
      <c r="W320">
        <f>IF($T320="","",COUNTIFS(LdBGroup,$R320,LdBKey,"&lt;"&amp;$T320)+1)</f>
        <v/>
      </c>
      <c r="X320">
        <f>IF($W320="","",$R320&amp;"|"&amp;RIGHT("000000"&amp;$W320,6))</f>
        <v/>
      </c>
      <c r="Y320">
        <f>IF($P320="","",IF(Shares!$E323="",0,Shares!$E323))</f>
        <v/>
      </c>
      <c r="Z320">
        <f>IF($P320="","",Shares!$H323)</f>
        <v/>
      </c>
      <c r="AE320">
        <f>IF(OR(Sync!$S320="",Sync!$P320=""),"",Sync!$S320)</f>
        <v/>
      </c>
      <c r="AF320">
        <f>IF($AE320="","",IF(ISNUMBER(Sync!$P320),IF(AND(Sync!$P320&gt;=10000101,Sync!$P320&lt;=99991231),INT(Sync!$P320/10000),""),IFERROR(VALUE(TRIM(LEFT(Sync!$P320,FIND("/",Sync!$P320)-1))),"")))</f>
        <v/>
      </c>
      <c r="AG320">
        <f>IF(OR($AE320="",$AF320=""),"",IF(ISNUMBER(Sync!$P320),INT(MOD(Sync!$P320,10000)/100),IFERROR(VALUE(TRIM(LEFT(MID(Sync!$P320,FIND("/",Sync!$P320)+1,20),FIND("/",MID(Sync!$P320,FIND("/",Sync!$P320)+1,20))-1))),"")))</f>
        <v/>
      </c>
      <c r="AH320">
        <f>IF(OR($AE320="",$AF320=""),"",IF(ISNUMBER(Sync!$P320),MOD(Sync!$P320,100),IFERROR(VALUE(TRIM(MID(MID(Sync!$P320,FIND("/",Sync!$P320)+1,20),FIND("/",MID(Sync!$P320,FIND("/",Sync!$P320)+1,20))+1,20))),"")))</f>
        <v/>
      </c>
      <c r="AI320">
        <f>IF($AE320="","",IF(OR($AF320="",$AG320="",$AH320="",$AF320&lt;1300,$AF320&gt;1500,$AG320&lt;1,$AG320&gt;12,$AH320&lt;1,$AH320&gt;31),"نامعتبر",RIGHT("0000"&amp;$AF320,4)&amp;"/"&amp;RIGHT("00"&amp;$AG320,2)&amp;"/"&amp;RIGHT("00"&amp;$AH320,2)))</f>
        <v/>
      </c>
      <c r="AJ320">
        <f>IF($AE320="","",IF(Sync!$Q320="","0000",IF(AND(ISNUMBER(Sync!$Q320),Sync!$Q320&gt;=0,Sync!$Q320&lt;1),RIGHT("00"&amp;HOUR(Sync!$Q320),2)&amp;RIGHT("00"&amp;MINUTE(Sync!$Q320),2),IFERROR(RIGHT("00"&amp;VALUE(LEFT(Sync!$Q320,FIND(":",Sync!$Q320)-1)),2)&amp;RIGHT("00"&amp;VALUE(MID(Sync!$Q320,FIND(":",Sync!$Q320)+1,2)),2),"0000"))))</f>
        <v/>
      </c>
      <c r="AK320">
        <f>IF(OR($AE320="",$AI320="",$AI320="نامعتبر"),"",LEFT($AI320,4)&amp;MID($AI320,6,2)&amp;RIGHT($AI320,2)&amp;$AJ320&amp;"|"&amp;"3"&amp;RIGHT("00000"&amp;315,5))</f>
        <v/>
      </c>
      <c r="AL320">
        <f>IF($AK320="","",COUNTIFS(LdAParty,$AE320,LdAType,1,LdAKey,"&lt;"&amp;$AK320)+COUNTIFS(LdBMember,$AE320,LdBKey,"&lt;"&amp;$AK320)+COUNTIFS(LdCParty,$AE320,LdCKey,"&lt;"&amp;$AK320)+1)</f>
        <v/>
      </c>
      <c r="AM320">
        <f>IF($AL320="","",$AE320&amp;"|"&amp;RIGHT("000000"&amp;$AL320,6))</f>
        <v/>
      </c>
      <c r="AN320">
        <f>IF($AE320="","",IF(Sync!$W320="",0,Sync!$W320))</f>
        <v/>
      </c>
      <c r="AO320">
        <f>IF($AE320="","",IF(Sync!$X320="",0,Sync!$X320))</f>
        <v/>
      </c>
      <c r="AP320">
        <f>IF($AE320="","",Sync!$R320)</f>
        <v/>
      </c>
      <c r="AQ320">
        <f>IF($AE320="","",Sync!$Y320)</f>
        <v/>
      </c>
    </row>
    <row r="321">
      <c r="A321">
        <f>IF(OR(Wages!$B324="",Wages!$E324=""),"",Wages!$E324)</f>
        <v/>
      </c>
      <c r="B321">
        <f>IF($A321="","",IF(Wages!$C324="دستمزد گروهی",2,1))</f>
        <v/>
      </c>
      <c r="C321">
        <f>IF($A321="","",IF(ISNUMBER(Wages!$B324),IF(AND(Wages!$B324&gt;=10000101,Wages!$B324&lt;=99991231),INT(Wages!$B324/10000),""),IFERROR(VALUE(TRIM(LEFT(Wages!$B324,FIND("/",Wages!$B324)-1))),"")))</f>
        <v/>
      </c>
      <c r="D321">
        <f>IF(OR($A321="",$C321=""),"",IF(ISNUMBER(Wages!$B324),INT(MOD(Wages!$B324,10000)/100),IFERROR(VALUE(TRIM(LEFT(MID(Wages!$B324,FIND("/",Wages!$B324)+1,20),FIND("/",MID(Wages!$B324,FIND("/",Wages!$B324)+1,20))-1))),"")))</f>
        <v/>
      </c>
      <c r="E321">
        <f>IF(OR($A321="",$C321=""),"",IF(ISNUMBER(Wages!$B324),MOD(Wages!$B324,100),IFERROR(VALUE(TRIM(MID(MID(Wages!$B324,FIND("/",Wages!$B324)+1,20),FIND("/",MID(Wages!$B324,FIND("/",Wages!$B324)+1,20))+1,20))),"")))</f>
        <v/>
      </c>
      <c r="F321">
        <f>IF($A321="","",IF(OR($C321="",$D321="",$E321="",$C321&lt;1300,$C321&gt;1500,$D321&lt;1,$D321&gt;12,$E321&lt;1,$E321&gt;31),"نامعتبر",RIGHT("0000"&amp;$C321,4)&amp;"/"&amp;RIGHT("00"&amp;$D321,2)&amp;"/"&amp;RIGHT("00"&amp;$E321,2)))</f>
        <v/>
      </c>
      <c r="G321">
        <f>IF(OR($A321="",$F321="",$F321="نامعتبر"),"",LEFT($F321,4)&amp;MID($F321,6,2)&amp;RIGHT($F321,2)&amp;"0000"&amp;"|"&amp;"1"&amp;RIGHT("00000"&amp;316,5))</f>
        <v/>
      </c>
      <c r="H321">
        <f>IF(OR($B321&lt;&gt;1,$G321=""),"",COUNTIFS(LdAParty,$A321,LdAType,1,LdAKey,"&lt;"&amp;$G321)+COUNTIFS(LdBMember,$A321,LdBKey,"&lt;"&amp;$G321)+COUNTIFS(LdCParty,$A321,LdCKey,"&lt;"&amp;$G321)+1)</f>
        <v/>
      </c>
      <c r="I321">
        <f>IF($H321="","",$A321&amp;"|"&amp;RIGHT("000000"&amp;$H321,6))</f>
        <v/>
      </c>
      <c r="J321">
        <f>IF(OR($B321&lt;&gt;2,$G321=""),"",COUNTIFS(LdAParty,$A321,LdAType,2,LdAKey,"&lt;"&amp;$G321)+1)</f>
        <v/>
      </c>
      <c r="K321">
        <f>IF($J321="","",$A321&amp;"|"&amp;RIGHT("000000"&amp;$J321,6))</f>
        <v/>
      </c>
      <c r="L321">
        <f>IF($A321="","",IF(Wages!$G324="",0,Wages!$G324))</f>
        <v/>
      </c>
      <c r="M321">
        <f>IF($A321="","",Wages!$J324)</f>
        <v/>
      </c>
      <c r="N321">
        <f>IF($A321="","",Wages!$D324)</f>
        <v/>
      </c>
      <c r="P321">
        <f>IF(OR(Shares!$B324="",Shares!$C324=""),"",Shares!$C324)</f>
        <v/>
      </c>
      <c r="Q321">
        <f>IF($P321="","",Shares!$B324)</f>
        <v/>
      </c>
      <c r="R321">
        <f>IF($P321="","",IFERROR(INDEX(WageParty,MATCH($Q321,WageIds,0)),""))</f>
        <v/>
      </c>
      <c r="S321">
        <f>IF($P321="","",IFERROR(INDEX($F$6:$F$2005,MATCH($Q321,WageIds,0)),""))</f>
        <v/>
      </c>
      <c r="T321">
        <f>IF(OR($P321="",$S321="",$S321="نامعتبر"),"",LEFT($S321,4)&amp;MID($S321,6,2)&amp;RIGHT($S321,2)&amp;"0000"&amp;"|"&amp;"2"&amp;RIGHT("00000"&amp;316,5))</f>
        <v/>
      </c>
      <c r="U321">
        <f>IF($T321="","",COUNTIFS(LdAParty,$P321,LdAType,1,LdAKey,"&lt;"&amp;$T321)+COUNTIFS(LdBMember,$P321,LdBKey,"&lt;"&amp;$T321)+COUNTIFS(LdCParty,$P321,LdCKey,"&lt;"&amp;$T321)+1)</f>
        <v/>
      </c>
      <c r="V321">
        <f>IF($U321="","",$P321&amp;"|"&amp;RIGHT("000000"&amp;$U321,6))</f>
        <v/>
      </c>
      <c r="W321">
        <f>IF($T321="","",COUNTIFS(LdBGroup,$R321,LdBKey,"&lt;"&amp;$T321)+1)</f>
        <v/>
      </c>
      <c r="X321">
        <f>IF($W321="","",$R321&amp;"|"&amp;RIGHT("000000"&amp;$W321,6))</f>
        <v/>
      </c>
      <c r="Y321">
        <f>IF($P321="","",IF(Shares!$E324="",0,Shares!$E324))</f>
        <v/>
      </c>
      <c r="Z321">
        <f>IF($P321="","",Shares!$H324)</f>
        <v/>
      </c>
      <c r="AE321">
        <f>IF(OR(Sync!$S321="",Sync!$P321=""),"",Sync!$S321)</f>
        <v/>
      </c>
      <c r="AF321">
        <f>IF($AE321="","",IF(ISNUMBER(Sync!$P321),IF(AND(Sync!$P321&gt;=10000101,Sync!$P321&lt;=99991231),INT(Sync!$P321/10000),""),IFERROR(VALUE(TRIM(LEFT(Sync!$P321,FIND("/",Sync!$P321)-1))),"")))</f>
        <v/>
      </c>
      <c r="AG321">
        <f>IF(OR($AE321="",$AF321=""),"",IF(ISNUMBER(Sync!$P321),INT(MOD(Sync!$P321,10000)/100),IFERROR(VALUE(TRIM(LEFT(MID(Sync!$P321,FIND("/",Sync!$P321)+1,20),FIND("/",MID(Sync!$P321,FIND("/",Sync!$P321)+1,20))-1))),"")))</f>
        <v/>
      </c>
      <c r="AH321">
        <f>IF(OR($AE321="",$AF321=""),"",IF(ISNUMBER(Sync!$P321),MOD(Sync!$P321,100),IFERROR(VALUE(TRIM(MID(MID(Sync!$P321,FIND("/",Sync!$P321)+1,20),FIND("/",MID(Sync!$P321,FIND("/",Sync!$P321)+1,20))+1,20))),"")))</f>
        <v/>
      </c>
      <c r="AI321">
        <f>IF($AE321="","",IF(OR($AF321="",$AG321="",$AH321="",$AF321&lt;1300,$AF321&gt;1500,$AG321&lt;1,$AG321&gt;12,$AH321&lt;1,$AH321&gt;31),"نامعتبر",RIGHT("0000"&amp;$AF321,4)&amp;"/"&amp;RIGHT("00"&amp;$AG321,2)&amp;"/"&amp;RIGHT("00"&amp;$AH321,2)))</f>
        <v/>
      </c>
      <c r="AJ321">
        <f>IF($AE321="","",IF(Sync!$Q321="","0000",IF(AND(ISNUMBER(Sync!$Q321),Sync!$Q321&gt;=0,Sync!$Q321&lt;1),RIGHT("00"&amp;HOUR(Sync!$Q321),2)&amp;RIGHT("00"&amp;MINUTE(Sync!$Q321),2),IFERROR(RIGHT("00"&amp;VALUE(LEFT(Sync!$Q321,FIND(":",Sync!$Q321)-1)),2)&amp;RIGHT("00"&amp;VALUE(MID(Sync!$Q321,FIND(":",Sync!$Q321)+1,2)),2),"0000"))))</f>
        <v/>
      </c>
      <c r="AK321">
        <f>IF(OR($AE321="",$AI321="",$AI321="نامعتبر"),"",LEFT($AI321,4)&amp;MID($AI321,6,2)&amp;RIGHT($AI321,2)&amp;$AJ321&amp;"|"&amp;"3"&amp;RIGHT("00000"&amp;316,5))</f>
        <v/>
      </c>
      <c r="AL321">
        <f>IF($AK321="","",COUNTIFS(LdAParty,$AE321,LdAType,1,LdAKey,"&lt;"&amp;$AK321)+COUNTIFS(LdBMember,$AE321,LdBKey,"&lt;"&amp;$AK321)+COUNTIFS(LdCParty,$AE321,LdCKey,"&lt;"&amp;$AK321)+1)</f>
        <v/>
      </c>
      <c r="AM321">
        <f>IF($AL321="","",$AE321&amp;"|"&amp;RIGHT("000000"&amp;$AL321,6))</f>
        <v/>
      </c>
      <c r="AN321">
        <f>IF($AE321="","",IF(Sync!$W321="",0,Sync!$W321))</f>
        <v/>
      </c>
      <c r="AO321">
        <f>IF($AE321="","",IF(Sync!$X321="",0,Sync!$X321))</f>
        <v/>
      </c>
      <c r="AP321">
        <f>IF($AE321="","",Sync!$R321)</f>
        <v/>
      </c>
      <c r="AQ321">
        <f>IF($AE321="","",Sync!$Y321)</f>
        <v/>
      </c>
    </row>
    <row r="322">
      <c r="A322">
        <f>IF(OR(Wages!$B325="",Wages!$E325=""),"",Wages!$E325)</f>
        <v/>
      </c>
      <c r="B322">
        <f>IF($A322="","",IF(Wages!$C325="دستمزد گروهی",2,1))</f>
        <v/>
      </c>
      <c r="C322">
        <f>IF($A322="","",IF(ISNUMBER(Wages!$B325),IF(AND(Wages!$B325&gt;=10000101,Wages!$B325&lt;=99991231),INT(Wages!$B325/10000),""),IFERROR(VALUE(TRIM(LEFT(Wages!$B325,FIND("/",Wages!$B325)-1))),"")))</f>
        <v/>
      </c>
      <c r="D322">
        <f>IF(OR($A322="",$C322=""),"",IF(ISNUMBER(Wages!$B325),INT(MOD(Wages!$B325,10000)/100),IFERROR(VALUE(TRIM(LEFT(MID(Wages!$B325,FIND("/",Wages!$B325)+1,20),FIND("/",MID(Wages!$B325,FIND("/",Wages!$B325)+1,20))-1))),"")))</f>
        <v/>
      </c>
      <c r="E322">
        <f>IF(OR($A322="",$C322=""),"",IF(ISNUMBER(Wages!$B325),MOD(Wages!$B325,100),IFERROR(VALUE(TRIM(MID(MID(Wages!$B325,FIND("/",Wages!$B325)+1,20),FIND("/",MID(Wages!$B325,FIND("/",Wages!$B325)+1,20))+1,20))),"")))</f>
        <v/>
      </c>
      <c r="F322">
        <f>IF($A322="","",IF(OR($C322="",$D322="",$E322="",$C322&lt;1300,$C322&gt;1500,$D322&lt;1,$D322&gt;12,$E322&lt;1,$E322&gt;31),"نامعتبر",RIGHT("0000"&amp;$C322,4)&amp;"/"&amp;RIGHT("00"&amp;$D322,2)&amp;"/"&amp;RIGHT("00"&amp;$E322,2)))</f>
        <v/>
      </c>
      <c r="G322">
        <f>IF(OR($A322="",$F322="",$F322="نامعتبر"),"",LEFT($F322,4)&amp;MID($F322,6,2)&amp;RIGHT($F322,2)&amp;"0000"&amp;"|"&amp;"1"&amp;RIGHT("00000"&amp;317,5))</f>
        <v/>
      </c>
      <c r="H322">
        <f>IF(OR($B322&lt;&gt;1,$G322=""),"",COUNTIFS(LdAParty,$A322,LdAType,1,LdAKey,"&lt;"&amp;$G322)+COUNTIFS(LdBMember,$A322,LdBKey,"&lt;"&amp;$G322)+COUNTIFS(LdCParty,$A322,LdCKey,"&lt;"&amp;$G322)+1)</f>
        <v/>
      </c>
      <c r="I322">
        <f>IF($H322="","",$A322&amp;"|"&amp;RIGHT("000000"&amp;$H322,6))</f>
        <v/>
      </c>
      <c r="J322">
        <f>IF(OR($B322&lt;&gt;2,$G322=""),"",COUNTIFS(LdAParty,$A322,LdAType,2,LdAKey,"&lt;"&amp;$G322)+1)</f>
        <v/>
      </c>
      <c r="K322">
        <f>IF($J322="","",$A322&amp;"|"&amp;RIGHT("000000"&amp;$J322,6))</f>
        <v/>
      </c>
      <c r="L322">
        <f>IF($A322="","",IF(Wages!$G325="",0,Wages!$G325))</f>
        <v/>
      </c>
      <c r="M322">
        <f>IF($A322="","",Wages!$J325)</f>
        <v/>
      </c>
      <c r="N322">
        <f>IF($A322="","",Wages!$D325)</f>
        <v/>
      </c>
      <c r="P322">
        <f>IF(OR(Shares!$B325="",Shares!$C325=""),"",Shares!$C325)</f>
        <v/>
      </c>
      <c r="Q322">
        <f>IF($P322="","",Shares!$B325)</f>
        <v/>
      </c>
      <c r="R322">
        <f>IF($P322="","",IFERROR(INDEX(WageParty,MATCH($Q322,WageIds,0)),""))</f>
        <v/>
      </c>
      <c r="S322">
        <f>IF($P322="","",IFERROR(INDEX($F$6:$F$2005,MATCH($Q322,WageIds,0)),""))</f>
        <v/>
      </c>
      <c r="T322">
        <f>IF(OR($P322="",$S322="",$S322="نامعتبر"),"",LEFT($S322,4)&amp;MID($S322,6,2)&amp;RIGHT($S322,2)&amp;"0000"&amp;"|"&amp;"2"&amp;RIGHT("00000"&amp;317,5))</f>
        <v/>
      </c>
      <c r="U322">
        <f>IF($T322="","",COUNTIFS(LdAParty,$P322,LdAType,1,LdAKey,"&lt;"&amp;$T322)+COUNTIFS(LdBMember,$P322,LdBKey,"&lt;"&amp;$T322)+COUNTIFS(LdCParty,$P322,LdCKey,"&lt;"&amp;$T322)+1)</f>
        <v/>
      </c>
      <c r="V322">
        <f>IF($U322="","",$P322&amp;"|"&amp;RIGHT("000000"&amp;$U322,6))</f>
        <v/>
      </c>
      <c r="W322">
        <f>IF($T322="","",COUNTIFS(LdBGroup,$R322,LdBKey,"&lt;"&amp;$T322)+1)</f>
        <v/>
      </c>
      <c r="X322">
        <f>IF($W322="","",$R322&amp;"|"&amp;RIGHT("000000"&amp;$W322,6))</f>
        <v/>
      </c>
      <c r="Y322">
        <f>IF($P322="","",IF(Shares!$E325="",0,Shares!$E325))</f>
        <v/>
      </c>
      <c r="Z322">
        <f>IF($P322="","",Shares!$H325)</f>
        <v/>
      </c>
      <c r="AE322">
        <f>IF(OR(Sync!$S322="",Sync!$P322=""),"",Sync!$S322)</f>
        <v/>
      </c>
      <c r="AF322">
        <f>IF($AE322="","",IF(ISNUMBER(Sync!$P322),IF(AND(Sync!$P322&gt;=10000101,Sync!$P322&lt;=99991231),INT(Sync!$P322/10000),""),IFERROR(VALUE(TRIM(LEFT(Sync!$P322,FIND("/",Sync!$P322)-1))),"")))</f>
        <v/>
      </c>
      <c r="AG322">
        <f>IF(OR($AE322="",$AF322=""),"",IF(ISNUMBER(Sync!$P322),INT(MOD(Sync!$P322,10000)/100),IFERROR(VALUE(TRIM(LEFT(MID(Sync!$P322,FIND("/",Sync!$P322)+1,20),FIND("/",MID(Sync!$P322,FIND("/",Sync!$P322)+1,20))-1))),"")))</f>
        <v/>
      </c>
      <c r="AH322">
        <f>IF(OR($AE322="",$AF322=""),"",IF(ISNUMBER(Sync!$P322),MOD(Sync!$P322,100),IFERROR(VALUE(TRIM(MID(MID(Sync!$P322,FIND("/",Sync!$P322)+1,20),FIND("/",MID(Sync!$P322,FIND("/",Sync!$P322)+1,20))+1,20))),"")))</f>
        <v/>
      </c>
      <c r="AI322">
        <f>IF($AE322="","",IF(OR($AF322="",$AG322="",$AH322="",$AF322&lt;1300,$AF322&gt;1500,$AG322&lt;1,$AG322&gt;12,$AH322&lt;1,$AH322&gt;31),"نامعتبر",RIGHT("0000"&amp;$AF322,4)&amp;"/"&amp;RIGHT("00"&amp;$AG322,2)&amp;"/"&amp;RIGHT("00"&amp;$AH322,2)))</f>
        <v/>
      </c>
      <c r="AJ322">
        <f>IF($AE322="","",IF(Sync!$Q322="","0000",IF(AND(ISNUMBER(Sync!$Q322),Sync!$Q322&gt;=0,Sync!$Q322&lt;1),RIGHT("00"&amp;HOUR(Sync!$Q322),2)&amp;RIGHT("00"&amp;MINUTE(Sync!$Q322),2),IFERROR(RIGHT("00"&amp;VALUE(LEFT(Sync!$Q322,FIND(":",Sync!$Q322)-1)),2)&amp;RIGHT("00"&amp;VALUE(MID(Sync!$Q322,FIND(":",Sync!$Q322)+1,2)),2),"0000"))))</f>
        <v/>
      </c>
      <c r="AK322">
        <f>IF(OR($AE322="",$AI322="",$AI322="نامعتبر"),"",LEFT($AI322,4)&amp;MID($AI322,6,2)&amp;RIGHT($AI322,2)&amp;$AJ322&amp;"|"&amp;"3"&amp;RIGHT("00000"&amp;317,5))</f>
        <v/>
      </c>
      <c r="AL322">
        <f>IF($AK322="","",COUNTIFS(LdAParty,$AE322,LdAType,1,LdAKey,"&lt;"&amp;$AK322)+COUNTIFS(LdBMember,$AE322,LdBKey,"&lt;"&amp;$AK322)+COUNTIFS(LdCParty,$AE322,LdCKey,"&lt;"&amp;$AK322)+1)</f>
        <v/>
      </c>
      <c r="AM322">
        <f>IF($AL322="","",$AE322&amp;"|"&amp;RIGHT("000000"&amp;$AL322,6))</f>
        <v/>
      </c>
      <c r="AN322">
        <f>IF($AE322="","",IF(Sync!$W322="",0,Sync!$W322))</f>
        <v/>
      </c>
      <c r="AO322">
        <f>IF($AE322="","",IF(Sync!$X322="",0,Sync!$X322))</f>
        <v/>
      </c>
      <c r="AP322">
        <f>IF($AE322="","",Sync!$R322)</f>
        <v/>
      </c>
      <c r="AQ322">
        <f>IF($AE322="","",Sync!$Y322)</f>
        <v/>
      </c>
    </row>
    <row r="323">
      <c r="A323">
        <f>IF(OR(Wages!$B326="",Wages!$E326=""),"",Wages!$E326)</f>
        <v/>
      </c>
      <c r="B323">
        <f>IF($A323="","",IF(Wages!$C326="دستمزد گروهی",2,1))</f>
        <v/>
      </c>
      <c r="C323">
        <f>IF($A323="","",IF(ISNUMBER(Wages!$B326),IF(AND(Wages!$B326&gt;=10000101,Wages!$B326&lt;=99991231),INT(Wages!$B326/10000),""),IFERROR(VALUE(TRIM(LEFT(Wages!$B326,FIND("/",Wages!$B326)-1))),"")))</f>
        <v/>
      </c>
      <c r="D323">
        <f>IF(OR($A323="",$C323=""),"",IF(ISNUMBER(Wages!$B326),INT(MOD(Wages!$B326,10000)/100),IFERROR(VALUE(TRIM(LEFT(MID(Wages!$B326,FIND("/",Wages!$B326)+1,20),FIND("/",MID(Wages!$B326,FIND("/",Wages!$B326)+1,20))-1))),"")))</f>
        <v/>
      </c>
      <c r="E323">
        <f>IF(OR($A323="",$C323=""),"",IF(ISNUMBER(Wages!$B326),MOD(Wages!$B326,100),IFERROR(VALUE(TRIM(MID(MID(Wages!$B326,FIND("/",Wages!$B326)+1,20),FIND("/",MID(Wages!$B326,FIND("/",Wages!$B326)+1,20))+1,20))),"")))</f>
        <v/>
      </c>
      <c r="F323">
        <f>IF($A323="","",IF(OR($C323="",$D323="",$E323="",$C323&lt;1300,$C323&gt;1500,$D323&lt;1,$D323&gt;12,$E323&lt;1,$E323&gt;31),"نامعتبر",RIGHT("0000"&amp;$C323,4)&amp;"/"&amp;RIGHT("00"&amp;$D323,2)&amp;"/"&amp;RIGHT("00"&amp;$E323,2)))</f>
        <v/>
      </c>
      <c r="G323">
        <f>IF(OR($A323="",$F323="",$F323="نامعتبر"),"",LEFT($F323,4)&amp;MID($F323,6,2)&amp;RIGHT($F323,2)&amp;"0000"&amp;"|"&amp;"1"&amp;RIGHT("00000"&amp;318,5))</f>
        <v/>
      </c>
      <c r="H323">
        <f>IF(OR($B323&lt;&gt;1,$G323=""),"",COUNTIFS(LdAParty,$A323,LdAType,1,LdAKey,"&lt;"&amp;$G323)+COUNTIFS(LdBMember,$A323,LdBKey,"&lt;"&amp;$G323)+COUNTIFS(LdCParty,$A323,LdCKey,"&lt;"&amp;$G323)+1)</f>
        <v/>
      </c>
      <c r="I323">
        <f>IF($H323="","",$A323&amp;"|"&amp;RIGHT("000000"&amp;$H323,6))</f>
        <v/>
      </c>
      <c r="J323">
        <f>IF(OR($B323&lt;&gt;2,$G323=""),"",COUNTIFS(LdAParty,$A323,LdAType,2,LdAKey,"&lt;"&amp;$G323)+1)</f>
        <v/>
      </c>
      <c r="K323">
        <f>IF($J323="","",$A323&amp;"|"&amp;RIGHT("000000"&amp;$J323,6))</f>
        <v/>
      </c>
      <c r="L323">
        <f>IF($A323="","",IF(Wages!$G326="",0,Wages!$G326))</f>
        <v/>
      </c>
      <c r="M323">
        <f>IF($A323="","",Wages!$J326)</f>
        <v/>
      </c>
      <c r="N323">
        <f>IF($A323="","",Wages!$D326)</f>
        <v/>
      </c>
      <c r="P323">
        <f>IF(OR(Shares!$B326="",Shares!$C326=""),"",Shares!$C326)</f>
        <v/>
      </c>
      <c r="Q323">
        <f>IF($P323="","",Shares!$B326)</f>
        <v/>
      </c>
      <c r="R323">
        <f>IF($P323="","",IFERROR(INDEX(WageParty,MATCH($Q323,WageIds,0)),""))</f>
        <v/>
      </c>
      <c r="S323">
        <f>IF($P323="","",IFERROR(INDEX($F$6:$F$2005,MATCH($Q323,WageIds,0)),""))</f>
        <v/>
      </c>
      <c r="T323">
        <f>IF(OR($P323="",$S323="",$S323="نامعتبر"),"",LEFT($S323,4)&amp;MID($S323,6,2)&amp;RIGHT($S323,2)&amp;"0000"&amp;"|"&amp;"2"&amp;RIGHT("00000"&amp;318,5))</f>
        <v/>
      </c>
      <c r="U323">
        <f>IF($T323="","",COUNTIFS(LdAParty,$P323,LdAType,1,LdAKey,"&lt;"&amp;$T323)+COUNTIFS(LdBMember,$P323,LdBKey,"&lt;"&amp;$T323)+COUNTIFS(LdCParty,$P323,LdCKey,"&lt;"&amp;$T323)+1)</f>
        <v/>
      </c>
      <c r="V323">
        <f>IF($U323="","",$P323&amp;"|"&amp;RIGHT("000000"&amp;$U323,6))</f>
        <v/>
      </c>
      <c r="W323">
        <f>IF($T323="","",COUNTIFS(LdBGroup,$R323,LdBKey,"&lt;"&amp;$T323)+1)</f>
        <v/>
      </c>
      <c r="X323">
        <f>IF($W323="","",$R323&amp;"|"&amp;RIGHT("000000"&amp;$W323,6))</f>
        <v/>
      </c>
      <c r="Y323">
        <f>IF($P323="","",IF(Shares!$E326="",0,Shares!$E326))</f>
        <v/>
      </c>
      <c r="Z323">
        <f>IF($P323="","",Shares!$H326)</f>
        <v/>
      </c>
      <c r="AE323">
        <f>IF(OR(Sync!$S323="",Sync!$P323=""),"",Sync!$S323)</f>
        <v/>
      </c>
      <c r="AF323">
        <f>IF($AE323="","",IF(ISNUMBER(Sync!$P323),IF(AND(Sync!$P323&gt;=10000101,Sync!$P323&lt;=99991231),INT(Sync!$P323/10000),""),IFERROR(VALUE(TRIM(LEFT(Sync!$P323,FIND("/",Sync!$P323)-1))),"")))</f>
        <v/>
      </c>
      <c r="AG323">
        <f>IF(OR($AE323="",$AF323=""),"",IF(ISNUMBER(Sync!$P323),INT(MOD(Sync!$P323,10000)/100),IFERROR(VALUE(TRIM(LEFT(MID(Sync!$P323,FIND("/",Sync!$P323)+1,20),FIND("/",MID(Sync!$P323,FIND("/",Sync!$P323)+1,20))-1))),"")))</f>
        <v/>
      </c>
      <c r="AH323">
        <f>IF(OR($AE323="",$AF323=""),"",IF(ISNUMBER(Sync!$P323),MOD(Sync!$P323,100),IFERROR(VALUE(TRIM(MID(MID(Sync!$P323,FIND("/",Sync!$P323)+1,20),FIND("/",MID(Sync!$P323,FIND("/",Sync!$P323)+1,20))+1,20))),"")))</f>
        <v/>
      </c>
      <c r="AI323">
        <f>IF($AE323="","",IF(OR($AF323="",$AG323="",$AH323="",$AF323&lt;1300,$AF323&gt;1500,$AG323&lt;1,$AG323&gt;12,$AH323&lt;1,$AH323&gt;31),"نامعتبر",RIGHT("0000"&amp;$AF323,4)&amp;"/"&amp;RIGHT("00"&amp;$AG323,2)&amp;"/"&amp;RIGHT("00"&amp;$AH323,2)))</f>
        <v/>
      </c>
      <c r="AJ323">
        <f>IF($AE323="","",IF(Sync!$Q323="","0000",IF(AND(ISNUMBER(Sync!$Q323),Sync!$Q323&gt;=0,Sync!$Q323&lt;1),RIGHT("00"&amp;HOUR(Sync!$Q323),2)&amp;RIGHT("00"&amp;MINUTE(Sync!$Q323),2),IFERROR(RIGHT("00"&amp;VALUE(LEFT(Sync!$Q323,FIND(":",Sync!$Q323)-1)),2)&amp;RIGHT("00"&amp;VALUE(MID(Sync!$Q323,FIND(":",Sync!$Q323)+1,2)),2),"0000"))))</f>
        <v/>
      </c>
      <c r="AK323">
        <f>IF(OR($AE323="",$AI323="",$AI323="نامعتبر"),"",LEFT($AI323,4)&amp;MID($AI323,6,2)&amp;RIGHT($AI323,2)&amp;$AJ323&amp;"|"&amp;"3"&amp;RIGHT("00000"&amp;318,5))</f>
        <v/>
      </c>
      <c r="AL323">
        <f>IF($AK323="","",COUNTIFS(LdAParty,$AE323,LdAType,1,LdAKey,"&lt;"&amp;$AK323)+COUNTIFS(LdBMember,$AE323,LdBKey,"&lt;"&amp;$AK323)+COUNTIFS(LdCParty,$AE323,LdCKey,"&lt;"&amp;$AK323)+1)</f>
        <v/>
      </c>
      <c r="AM323">
        <f>IF($AL323="","",$AE323&amp;"|"&amp;RIGHT("000000"&amp;$AL323,6))</f>
        <v/>
      </c>
      <c r="AN323">
        <f>IF($AE323="","",IF(Sync!$W323="",0,Sync!$W323))</f>
        <v/>
      </c>
      <c r="AO323">
        <f>IF($AE323="","",IF(Sync!$X323="",0,Sync!$X323))</f>
        <v/>
      </c>
      <c r="AP323">
        <f>IF($AE323="","",Sync!$R323)</f>
        <v/>
      </c>
      <c r="AQ323">
        <f>IF($AE323="","",Sync!$Y323)</f>
        <v/>
      </c>
    </row>
    <row r="324">
      <c r="A324">
        <f>IF(OR(Wages!$B327="",Wages!$E327=""),"",Wages!$E327)</f>
        <v/>
      </c>
      <c r="B324">
        <f>IF($A324="","",IF(Wages!$C327="دستمزد گروهی",2,1))</f>
        <v/>
      </c>
      <c r="C324">
        <f>IF($A324="","",IF(ISNUMBER(Wages!$B327),IF(AND(Wages!$B327&gt;=10000101,Wages!$B327&lt;=99991231),INT(Wages!$B327/10000),""),IFERROR(VALUE(TRIM(LEFT(Wages!$B327,FIND("/",Wages!$B327)-1))),"")))</f>
        <v/>
      </c>
      <c r="D324">
        <f>IF(OR($A324="",$C324=""),"",IF(ISNUMBER(Wages!$B327),INT(MOD(Wages!$B327,10000)/100),IFERROR(VALUE(TRIM(LEFT(MID(Wages!$B327,FIND("/",Wages!$B327)+1,20),FIND("/",MID(Wages!$B327,FIND("/",Wages!$B327)+1,20))-1))),"")))</f>
        <v/>
      </c>
      <c r="E324">
        <f>IF(OR($A324="",$C324=""),"",IF(ISNUMBER(Wages!$B327),MOD(Wages!$B327,100),IFERROR(VALUE(TRIM(MID(MID(Wages!$B327,FIND("/",Wages!$B327)+1,20),FIND("/",MID(Wages!$B327,FIND("/",Wages!$B327)+1,20))+1,20))),"")))</f>
        <v/>
      </c>
      <c r="F324">
        <f>IF($A324="","",IF(OR($C324="",$D324="",$E324="",$C324&lt;1300,$C324&gt;1500,$D324&lt;1,$D324&gt;12,$E324&lt;1,$E324&gt;31),"نامعتبر",RIGHT("0000"&amp;$C324,4)&amp;"/"&amp;RIGHT("00"&amp;$D324,2)&amp;"/"&amp;RIGHT("00"&amp;$E324,2)))</f>
        <v/>
      </c>
      <c r="G324">
        <f>IF(OR($A324="",$F324="",$F324="نامعتبر"),"",LEFT($F324,4)&amp;MID($F324,6,2)&amp;RIGHT($F324,2)&amp;"0000"&amp;"|"&amp;"1"&amp;RIGHT("00000"&amp;319,5))</f>
        <v/>
      </c>
      <c r="H324">
        <f>IF(OR($B324&lt;&gt;1,$G324=""),"",COUNTIFS(LdAParty,$A324,LdAType,1,LdAKey,"&lt;"&amp;$G324)+COUNTIFS(LdBMember,$A324,LdBKey,"&lt;"&amp;$G324)+COUNTIFS(LdCParty,$A324,LdCKey,"&lt;"&amp;$G324)+1)</f>
        <v/>
      </c>
      <c r="I324">
        <f>IF($H324="","",$A324&amp;"|"&amp;RIGHT("000000"&amp;$H324,6))</f>
        <v/>
      </c>
      <c r="J324">
        <f>IF(OR($B324&lt;&gt;2,$G324=""),"",COUNTIFS(LdAParty,$A324,LdAType,2,LdAKey,"&lt;"&amp;$G324)+1)</f>
        <v/>
      </c>
      <c r="K324">
        <f>IF($J324="","",$A324&amp;"|"&amp;RIGHT("000000"&amp;$J324,6))</f>
        <v/>
      </c>
      <c r="L324">
        <f>IF($A324="","",IF(Wages!$G327="",0,Wages!$G327))</f>
        <v/>
      </c>
      <c r="M324">
        <f>IF($A324="","",Wages!$J327)</f>
        <v/>
      </c>
      <c r="N324">
        <f>IF($A324="","",Wages!$D327)</f>
        <v/>
      </c>
      <c r="P324">
        <f>IF(OR(Shares!$B327="",Shares!$C327=""),"",Shares!$C327)</f>
        <v/>
      </c>
      <c r="Q324">
        <f>IF($P324="","",Shares!$B327)</f>
        <v/>
      </c>
      <c r="R324">
        <f>IF($P324="","",IFERROR(INDEX(WageParty,MATCH($Q324,WageIds,0)),""))</f>
        <v/>
      </c>
      <c r="S324">
        <f>IF($P324="","",IFERROR(INDEX($F$6:$F$2005,MATCH($Q324,WageIds,0)),""))</f>
        <v/>
      </c>
      <c r="T324">
        <f>IF(OR($P324="",$S324="",$S324="نامعتبر"),"",LEFT($S324,4)&amp;MID($S324,6,2)&amp;RIGHT($S324,2)&amp;"0000"&amp;"|"&amp;"2"&amp;RIGHT("00000"&amp;319,5))</f>
        <v/>
      </c>
      <c r="U324">
        <f>IF($T324="","",COUNTIFS(LdAParty,$P324,LdAType,1,LdAKey,"&lt;"&amp;$T324)+COUNTIFS(LdBMember,$P324,LdBKey,"&lt;"&amp;$T324)+COUNTIFS(LdCParty,$P324,LdCKey,"&lt;"&amp;$T324)+1)</f>
        <v/>
      </c>
      <c r="V324">
        <f>IF($U324="","",$P324&amp;"|"&amp;RIGHT("000000"&amp;$U324,6))</f>
        <v/>
      </c>
      <c r="W324">
        <f>IF($T324="","",COUNTIFS(LdBGroup,$R324,LdBKey,"&lt;"&amp;$T324)+1)</f>
        <v/>
      </c>
      <c r="X324">
        <f>IF($W324="","",$R324&amp;"|"&amp;RIGHT("000000"&amp;$W324,6))</f>
        <v/>
      </c>
      <c r="Y324">
        <f>IF($P324="","",IF(Shares!$E327="",0,Shares!$E327))</f>
        <v/>
      </c>
      <c r="Z324">
        <f>IF($P324="","",Shares!$H327)</f>
        <v/>
      </c>
      <c r="AE324">
        <f>IF(OR(Sync!$S324="",Sync!$P324=""),"",Sync!$S324)</f>
        <v/>
      </c>
      <c r="AF324">
        <f>IF($AE324="","",IF(ISNUMBER(Sync!$P324),IF(AND(Sync!$P324&gt;=10000101,Sync!$P324&lt;=99991231),INT(Sync!$P324/10000),""),IFERROR(VALUE(TRIM(LEFT(Sync!$P324,FIND("/",Sync!$P324)-1))),"")))</f>
        <v/>
      </c>
      <c r="AG324">
        <f>IF(OR($AE324="",$AF324=""),"",IF(ISNUMBER(Sync!$P324),INT(MOD(Sync!$P324,10000)/100),IFERROR(VALUE(TRIM(LEFT(MID(Sync!$P324,FIND("/",Sync!$P324)+1,20),FIND("/",MID(Sync!$P324,FIND("/",Sync!$P324)+1,20))-1))),"")))</f>
        <v/>
      </c>
      <c r="AH324">
        <f>IF(OR($AE324="",$AF324=""),"",IF(ISNUMBER(Sync!$P324),MOD(Sync!$P324,100),IFERROR(VALUE(TRIM(MID(MID(Sync!$P324,FIND("/",Sync!$P324)+1,20),FIND("/",MID(Sync!$P324,FIND("/",Sync!$P324)+1,20))+1,20))),"")))</f>
        <v/>
      </c>
      <c r="AI324">
        <f>IF($AE324="","",IF(OR($AF324="",$AG324="",$AH324="",$AF324&lt;1300,$AF324&gt;1500,$AG324&lt;1,$AG324&gt;12,$AH324&lt;1,$AH324&gt;31),"نامعتبر",RIGHT("0000"&amp;$AF324,4)&amp;"/"&amp;RIGHT("00"&amp;$AG324,2)&amp;"/"&amp;RIGHT("00"&amp;$AH324,2)))</f>
        <v/>
      </c>
      <c r="AJ324">
        <f>IF($AE324="","",IF(Sync!$Q324="","0000",IF(AND(ISNUMBER(Sync!$Q324),Sync!$Q324&gt;=0,Sync!$Q324&lt;1),RIGHT("00"&amp;HOUR(Sync!$Q324),2)&amp;RIGHT("00"&amp;MINUTE(Sync!$Q324),2),IFERROR(RIGHT("00"&amp;VALUE(LEFT(Sync!$Q324,FIND(":",Sync!$Q324)-1)),2)&amp;RIGHT("00"&amp;VALUE(MID(Sync!$Q324,FIND(":",Sync!$Q324)+1,2)),2),"0000"))))</f>
        <v/>
      </c>
      <c r="AK324">
        <f>IF(OR($AE324="",$AI324="",$AI324="نامعتبر"),"",LEFT($AI324,4)&amp;MID($AI324,6,2)&amp;RIGHT($AI324,2)&amp;$AJ324&amp;"|"&amp;"3"&amp;RIGHT("00000"&amp;319,5))</f>
        <v/>
      </c>
      <c r="AL324">
        <f>IF($AK324="","",COUNTIFS(LdAParty,$AE324,LdAType,1,LdAKey,"&lt;"&amp;$AK324)+COUNTIFS(LdBMember,$AE324,LdBKey,"&lt;"&amp;$AK324)+COUNTIFS(LdCParty,$AE324,LdCKey,"&lt;"&amp;$AK324)+1)</f>
        <v/>
      </c>
      <c r="AM324">
        <f>IF($AL324="","",$AE324&amp;"|"&amp;RIGHT("000000"&amp;$AL324,6))</f>
        <v/>
      </c>
      <c r="AN324">
        <f>IF($AE324="","",IF(Sync!$W324="",0,Sync!$W324))</f>
        <v/>
      </c>
      <c r="AO324">
        <f>IF($AE324="","",IF(Sync!$X324="",0,Sync!$X324))</f>
        <v/>
      </c>
      <c r="AP324">
        <f>IF($AE324="","",Sync!$R324)</f>
        <v/>
      </c>
      <c r="AQ324">
        <f>IF($AE324="","",Sync!$Y324)</f>
        <v/>
      </c>
    </row>
    <row r="325">
      <c r="A325">
        <f>IF(OR(Wages!$B328="",Wages!$E328=""),"",Wages!$E328)</f>
        <v/>
      </c>
      <c r="B325">
        <f>IF($A325="","",IF(Wages!$C328="دستمزد گروهی",2,1))</f>
        <v/>
      </c>
      <c r="C325">
        <f>IF($A325="","",IF(ISNUMBER(Wages!$B328),IF(AND(Wages!$B328&gt;=10000101,Wages!$B328&lt;=99991231),INT(Wages!$B328/10000),""),IFERROR(VALUE(TRIM(LEFT(Wages!$B328,FIND("/",Wages!$B328)-1))),"")))</f>
        <v/>
      </c>
      <c r="D325">
        <f>IF(OR($A325="",$C325=""),"",IF(ISNUMBER(Wages!$B328),INT(MOD(Wages!$B328,10000)/100),IFERROR(VALUE(TRIM(LEFT(MID(Wages!$B328,FIND("/",Wages!$B328)+1,20),FIND("/",MID(Wages!$B328,FIND("/",Wages!$B328)+1,20))-1))),"")))</f>
        <v/>
      </c>
      <c r="E325">
        <f>IF(OR($A325="",$C325=""),"",IF(ISNUMBER(Wages!$B328),MOD(Wages!$B328,100),IFERROR(VALUE(TRIM(MID(MID(Wages!$B328,FIND("/",Wages!$B328)+1,20),FIND("/",MID(Wages!$B328,FIND("/",Wages!$B328)+1,20))+1,20))),"")))</f>
        <v/>
      </c>
      <c r="F325">
        <f>IF($A325="","",IF(OR($C325="",$D325="",$E325="",$C325&lt;1300,$C325&gt;1500,$D325&lt;1,$D325&gt;12,$E325&lt;1,$E325&gt;31),"نامعتبر",RIGHT("0000"&amp;$C325,4)&amp;"/"&amp;RIGHT("00"&amp;$D325,2)&amp;"/"&amp;RIGHT("00"&amp;$E325,2)))</f>
        <v/>
      </c>
      <c r="G325">
        <f>IF(OR($A325="",$F325="",$F325="نامعتبر"),"",LEFT($F325,4)&amp;MID($F325,6,2)&amp;RIGHT($F325,2)&amp;"0000"&amp;"|"&amp;"1"&amp;RIGHT("00000"&amp;320,5))</f>
        <v/>
      </c>
      <c r="H325">
        <f>IF(OR($B325&lt;&gt;1,$G325=""),"",COUNTIFS(LdAParty,$A325,LdAType,1,LdAKey,"&lt;"&amp;$G325)+COUNTIFS(LdBMember,$A325,LdBKey,"&lt;"&amp;$G325)+COUNTIFS(LdCParty,$A325,LdCKey,"&lt;"&amp;$G325)+1)</f>
        <v/>
      </c>
      <c r="I325">
        <f>IF($H325="","",$A325&amp;"|"&amp;RIGHT("000000"&amp;$H325,6))</f>
        <v/>
      </c>
      <c r="J325">
        <f>IF(OR($B325&lt;&gt;2,$G325=""),"",COUNTIFS(LdAParty,$A325,LdAType,2,LdAKey,"&lt;"&amp;$G325)+1)</f>
        <v/>
      </c>
      <c r="K325">
        <f>IF($J325="","",$A325&amp;"|"&amp;RIGHT("000000"&amp;$J325,6))</f>
        <v/>
      </c>
      <c r="L325">
        <f>IF($A325="","",IF(Wages!$G328="",0,Wages!$G328))</f>
        <v/>
      </c>
      <c r="M325">
        <f>IF($A325="","",Wages!$J328)</f>
        <v/>
      </c>
      <c r="N325">
        <f>IF($A325="","",Wages!$D328)</f>
        <v/>
      </c>
      <c r="P325">
        <f>IF(OR(Shares!$B328="",Shares!$C328=""),"",Shares!$C328)</f>
        <v/>
      </c>
      <c r="Q325">
        <f>IF($P325="","",Shares!$B328)</f>
        <v/>
      </c>
      <c r="R325">
        <f>IF($P325="","",IFERROR(INDEX(WageParty,MATCH($Q325,WageIds,0)),""))</f>
        <v/>
      </c>
      <c r="S325">
        <f>IF($P325="","",IFERROR(INDEX($F$6:$F$2005,MATCH($Q325,WageIds,0)),""))</f>
        <v/>
      </c>
      <c r="T325">
        <f>IF(OR($P325="",$S325="",$S325="نامعتبر"),"",LEFT($S325,4)&amp;MID($S325,6,2)&amp;RIGHT($S325,2)&amp;"0000"&amp;"|"&amp;"2"&amp;RIGHT("00000"&amp;320,5))</f>
        <v/>
      </c>
      <c r="U325">
        <f>IF($T325="","",COUNTIFS(LdAParty,$P325,LdAType,1,LdAKey,"&lt;"&amp;$T325)+COUNTIFS(LdBMember,$P325,LdBKey,"&lt;"&amp;$T325)+COUNTIFS(LdCParty,$P325,LdCKey,"&lt;"&amp;$T325)+1)</f>
        <v/>
      </c>
      <c r="V325">
        <f>IF($U325="","",$P325&amp;"|"&amp;RIGHT("000000"&amp;$U325,6))</f>
        <v/>
      </c>
      <c r="W325">
        <f>IF($T325="","",COUNTIFS(LdBGroup,$R325,LdBKey,"&lt;"&amp;$T325)+1)</f>
        <v/>
      </c>
      <c r="X325">
        <f>IF($W325="","",$R325&amp;"|"&amp;RIGHT("000000"&amp;$W325,6))</f>
        <v/>
      </c>
      <c r="Y325">
        <f>IF($P325="","",IF(Shares!$E328="",0,Shares!$E328))</f>
        <v/>
      </c>
      <c r="Z325">
        <f>IF($P325="","",Shares!$H328)</f>
        <v/>
      </c>
      <c r="AE325">
        <f>IF(OR(Sync!$S325="",Sync!$P325=""),"",Sync!$S325)</f>
        <v/>
      </c>
      <c r="AF325">
        <f>IF($AE325="","",IF(ISNUMBER(Sync!$P325),IF(AND(Sync!$P325&gt;=10000101,Sync!$P325&lt;=99991231),INT(Sync!$P325/10000),""),IFERROR(VALUE(TRIM(LEFT(Sync!$P325,FIND("/",Sync!$P325)-1))),"")))</f>
        <v/>
      </c>
      <c r="AG325">
        <f>IF(OR($AE325="",$AF325=""),"",IF(ISNUMBER(Sync!$P325),INT(MOD(Sync!$P325,10000)/100),IFERROR(VALUE(TRIM(LEFT(MID(Sync!$P325,FIND("/",Sync!$P325)+1,20),FIND("/",MID(Sync!$P325,FIND("/",Sync!$P325)+1,20))-1))),"")))</f>
        <v/>
      </c>
      <c r="AH325">
        <f>IF(OR($AE325="",$AF325=""),"",IF(ISNUMBER(Sync!$P325),MOD(Sync!$P325,100),IFERROR(VALUE(TRIM(MID(MID(Sync!$P325,FIND("/",Sync!$P325)+1,20),FIND("/",MID(Sync!$P325,FIND("/",Sync!$P325)+1,20))+1,20))),"")))</f>
        <v/>
      </c>
      <c r="AI325">
        <f>IF($AE325="","",IF(OR($AF325="",$AG325="",$AH325="",$AF325&lt;1300,$AF325&gt;1500,$AG325&lt;1,$AG325&gt;12,$AH325&lt;1,$AH325&gt;31),"نامعتبر",RIGHT("0000"&amp;$AF325,4)&amp;"/"&amp;RIGHT("00"&amp;$AG325,2)&amp;"/"&amp;RIGHT("00"&amp;$AH325,2)))</f>
        <v/>
      </c>
      <c r="AJ325">
        <f>IF($AE325="","",IF(Sync!$Q325="","0000",IF(AND(ISNUMBER(Sync!$Q325),Sync!$Q325&gt;=0,Sync!$Q325&lt;1),RIGHT("00"&amp;HOUR(Sync!$Q325),2)&amp;RIGHT("00"&amp;MINUTE(Sync!$Q325),2),IFERROR(RIGHT("00"&amp;VALUE(LEFT(Sync!$Q325,FIND(":",Sync!$Q325)-1)),2)&amp;RIGHT("00"&amp;VALUE(MID(Sync!$Q325,FIND(":",Sync!$Q325)+1,2)),2),"0000"))))</f>
        <v/>
      </c>
      <c r="AK325">
        <f>IF(OR($AE325="",$AI325="",$AI325="نامعتبر"),"",LEFT($AI325,4)&amp;MID($AI325,6,2)&amp;RIGHT($AI325,2)&amp;$AJ325&amp;"|"&amp;"3"&amp;RIGHT("00000"&amp;320,5))</f>
        <v/>
      </c>
      <c r="AL325">
        <f>IF($AK325="","",COUNTIFS(LdAParty,$AE325,LdAType,1,LdAKey,"&lt;"&amp;$AK325)+COUNTIFS(LdBMember,$AE325,LdBKey,"&lt;"&amp;$AK325)+COUNTIFS(LdCParty,$AE325,LdCKey,"&lt;"&amp;$AK325)+1)</f>
        <v/>
      </c>
      <c r="AM325">
        <f>IF($AL325="","",$AE325&amp;"|"&amp;RIGHT("000000"&amp;$AL325,6))</f>
        <v/>
      </c>
      <c r="AN325">
        <f>IF($AE325="","",IF(Sync!$W325="",0,Sync!$W325))</f>
        <v/>
      </c>
      <c r="AO325">
        <f>IF($AE325="","",IF(Sync!$X325="",0,Sync!$X325))</f>
        <v/>
      </c>
      <c r="AP325">
        <f>IF($AE325="","",Sync!$R325)</f>
        <v/>
      </c>
      <c r="AQ325">
        <f>IF($AE325="","",Sync!$Y325)</f>
        <v/>
      </c>
    </row>
    <row r="326">
      <c r="A326">
        <f>IF(OR(Wages!$B329="",Wages!$E329=""),"",Wages!$E329)</f>
        <v/>
      </c>
      <c r="B326">
        <f>IF($A326="","",IF(Wages!$C329="دستمزد گروهی",2,1))</f>
        <v/>
      </c>
      <c r="C326">
        <f>IF($A326="","",IF(ISNUMBER(Wages!$B329),IF(AND(Wages!$B329&gt;=10000101,Wages!$B329&lt;=99991231),INT(Wages!$B329/10000),""),IFERROR(VALUE(TRIM(LEFT(Wages!$B329,FIND("/",Wages!$B329)-1))),"")))</f>
        <v/>
      </c>
      <c r="D326">
        <f>IF(OR($A326="",$C326=""),"",IF(ISNUMBER(Wages!$B329),INT(MOD(Wages!$B329,10000)/100),IFERROR(VALUE(TRIM(LEFT(MID(Wages!$B329,FIND("/",Wages!$B329)+1,20),FIND("/",MID(Wages!$B329,FIND("/",Wages!$B329)+1,20))-1))),"")))</f>
        <v/>
      </c>
      <c r="E326">
        <f>IF(OR($A326="",$C326=""),"",IF(ISNUMBER(Wages!$B329),MOD(Wages!$B329,100),IFERROR(VALUE(TRIM(MID(MID(Wages!$B329,FIND("/",Wages!$B329)+1,20),FIND("/",MID(Wages!$B329,FIND("/",Wages!$B329)+1,20))+1,20))),"")))</f>
        <v/>
      </c>
      <c r="F326">
        <f>IF($A326="","",IF(OR($C326="",$D326="",$E326="",$C326&lt;1300,$C326&gt;1500,$D326&lt;1,$D326&gt;12,$E326&lt;1,$E326&gt;31),"نامعتبر",RIGHT("0000"&amp;$C326,4)&amp;"/"&amp;RIGHT("00"&amp;$D326,2)&amp;"/"&amp;RIGHT("00"&amp;$E326,2)))</f>
        <v/>
      </c>
      <c r="G326">
        <f>IF(OR($A326="",$F326="",$F326="نامعتبر"),"",LEFT($F326,4)&amp;MID($F326,6,2)&amp;RIGHT($F326,2)&amp;"0000"&amp;"|"&amp;"1"&amp;RIGHT("00000"&amp;321,5))</f>
        <v/>
      </c>
      <c r="H326">
        <f>IF(OR($B326&lt;&gt;1,$G326=""),"",COUNTIFS(LdAParty,$A326,LdAType,1,LdAKey,"&lt;"&amp;$G326)+COUNTIFS(LdBMember,$A326,LdBKey,"&lt;"&amp;$G326)+COUNTIFS(LdCParty,$A326,LdCKey,"&lt;"&amp;$G326)+1)</f>
        <v/>
      </c>
      <c r="I326">
        <f>IF($H326="","",$A326&amp;"|"&amp;RIGHT("000000"&amp;$H326,6))</f>
        <v/>
      </c>
      <c r="J326">
        <f>IF(OR($B326&lt;&gt;2,$G326=""),"",COUNTIFS(LdAParty,$A326,LdAType,2,LdAKey,"&lt;"&amp;$G326)+1)</f>
        <v/>
      </c>
      <c r="K326">
        <f>IF($J326="","",$A326&amp;"|"&amp;RIGHT("000000"&amp;$J326,6))</f>
        <v/>
      </c>
      <c r="L326">
        <f>IF($A326="","",IF(Wages!$G329="",0,Wages!$G329))</f>
        <v/>
      </c>
      <c r="M326">
        <f>IF($A326="","",Wages!$J329)</f>
        <v/>
      </c>
      <c r="N326">
        <f>IF($A326="","",Wages!$D329)</f>
        <v/>
      </c>
      <c r="P326">
        <f>IF(OR(Shares!$B329="",Shares!$C329=""),"",Shares!$C329)</f>
        <v/>
      </c>
      <c r="Q326">
        <f>IF($P326="","",Shares!$B329)</f>
        <v/>
      </c>
      <c r="R326">
        <f>IF($P326="","",IFERROR(INDEX(WageParty,MATCH($Q326,WageIds,0)),""))</f>
        <v/>
      </c>
      <c r="S326">
        <f>IF($P326="","",IFERROR(INDEX($F$6:$F$2005,MATCH($Q326,WageIds,0)),""))</f>
        <v/>
      </c>
      <c r="T326">
        <f>IF(OR($P326="",$S326="",$S326="نامعتبر"),"",LEFT($S326,4)&amp;MID($S326,6,2)&amp;RIGHT($S326,2)&amp;"0000"&amp;"|"&amp;"2"&amp;RIGHT("00000"&amp;321,5))</f>
        <v/>
      </c>
      <c r="U326">
        <f>IF($T326="","",COUNTIFS(LdAParty,$P326,LdAType,1,LdAKey,"&lt;"&amp;$T326)+COUNTIFS(LdBMember,$P326,LdBKey,"&lt;"&amp;$T326)+COUNTIFS(LdCParty,$P326,LdCKey,"&lt;"&amp;$T326)+1)</f>
        <v/>
      </c>
      <c r="V326">
        <f>IF($U326="","",$P326&amp;"|"&amp;RIGHT("000000"&amp;$U326,6))</f>
        <v/>
      </c>
      <c r="W326">
        <f>IF($T326="","",COUNTIFS(LdBGroup,$R326,LdBKey,"&lt;"&amp;$T326)+1)</f>
        <v/>
      </c>
      <c r="X326">
        <f>IF($W326="","",$R326&amp;"|"&amp;RIGHT("000000"&amp;$W326,6))</f>
        <v/>
      </c>
      <c r="Y326">
        <f>IF($P326="","",IF(Shares!$E329="",0,Shares!$E329))</f>
        <v/>
      </c>
      <c r="Z326">
        <f>IF($P326="","",Shares!$H329)</f>
        <v/>
      </c>
      <c r="AE326">
        <f>IF(OR(Sync!$S326="",Sync!$P326=""),"",Sync!$S326)</f>
        <v/>
      </c>
      <c r="AF326">
        <f>IF($AE326="","",IF(ISNUMBER(Sync!$P326),IF(AND(Sync!$P326&gt;=10000101,Sync!$P326&lt;=99991231),INT(Sync!$P326/10000),""),IFERROR(VALUE(TRIM(LEFT(Sync!$P326,FIND("/",Sync!$P326)-1))),"")))</f>
        <v/>
      </c>
      <c r="AG326">
        <f>IF(OR($AE326="",$AF326=""),"",IF(ISNUMBER(Sync!$P326),INT(MOD(Sync!$P326,10000)/100),IFERROR(VALUE(TRIM(LEFT(MID(Sync!$P326,FIND("/",Sync!$P326)+1,20),FIND("/",MID(Sync!$P326,FIND("/",Sync!$P326)+1,20))-1))),"")))</f>
        <v/>
      </c>
      <c r="AH326">
        <f>IF(OR($AE326="",$AF326=""),"",IF(ISNUMBER(Sync!$P326),MOD(Sync!$P326,100),IFERROR(VALUE(TRIM(MID(MID(Sync!$P326,FIND("/",Sync!$P326)+1,20),FIND("/",MID(Sync!$P326,FIND("/",Sync!$P326)+1,20))+1,20))),"")))</f>
        <v/>
      </c>
      <c r="AI326">
        <f>IF($AE326="","",IF(OR($AF326="",$AG326="",$AH326="",$AF326&lt;1300,$AF326&gt;1500,$AG326&lt;1,$AG326&gt;12,$AH326&lt;1,$AH326&gt;31),"نامعتبر",RIGHT("0000"&amp;$AF326,4)&amp;"/"&amp;RIGHT("00"&amp;$AG326,2)&amp;"/"&amp;RIGHT("00"&amp;$AH326,2)))</f>
        <v/>
      </c>
      <c r="AJ326">
        <f>IF($AE326="","",IF(Sync!$Q326="","0000",IF(AND(ISNUMBER(Sync!$Q326),Sync!$Q326&gt;=0,Sync!$Q326&lt;1),RIGHT("00"&amp;HOUR(Sync!$Q326),2)&amp;RIGHT("00"&amp;MINUTE(Sync!$Q326),2),IFERROR(RIGHT("00"&amp;VALUE(LEFT(Sync!$Q326,FIND(":",Sync!$Q326)-1)),2)&amp;RIGHT("00"&amp;VALUE(MID(Sync!$Q326,FIND(":",Sync!$Q326)+1,2)),2),"0000"))))</f>
        <v/>
      </c>
      <c r="AK326">
        <f>IF(OR($AE326="",$AI326="",$AI326="نامعتبر"),"",LEFT($AI326,4)&amp;MID($AI326,6,2)&amp;RIGHT($AI326,2)&amp;$AJ326&amp;"|"&amp;"3"&amp;RIGHT("00000"&amp;321,5))</f>
        <v/>
      </c>
      <c r="AL326">
        <f>IF($AK326="","",COUNTIFS(LdAParty,$AE326,LdAType,1,LdAKey,"&lt;"&amp;$AK326)+COUNTIFS(LdBMember,$AE326,LdBKey,"&lt;"&amp;$AK326)+COUNTIFS(LdCParty,$AE326,LdCKey,"&lt;"&amp;$AK326)+1)</f>
        <v/>
      </c>
      <c r="AM326">
        <f>IF($AL326="","",$AE326&amp;"|"&amp;RIGHT("000000"&amp;$AL326,6))</f>
        <v/>
      </c>
      <c r="AN326">
        <f>IF($AE326="","",IF(Sync!$W326="",0,Sync!$W326))</f>
        <v/>
      </c>
      <c r="AO326">
        <f>IF($AE326="","",IF(Sync!$X326="",0,Sync!$X326))</f>
        <v/>
      </c>
      <c r="AP326">
        <f>IF($AE326="","",Sync!$R326)</f>
        <v/>
      </c>
      <c r="AQ326">
        <f>IF($AE326="","",Sync!$Y326)</f>
        <v/>
      </c>
    </row>
    <row r="327">
      <c r="A327">
        <f>IF(OR(Wages!$B330="",Wages!$E330=""),"",Wages!$E330)</f>
        <v/>
      </c>
      <c r="B327">
        <f>IF($A327="","",IF(Wages!$C330="دستمزد گروهی",2,1))</f>
        <v/>
      </c>
      <c r="C327">
        <f>IF($A327="","",IF(ISNUMBER(Wages!$B330),IF(AND(Wages!$B330&gt;=10000101,Wages!$B330&lt;=99991231),INT(Wages!$B330/10000),""),IFERROR(VALUE(TRIM(LEFT(Wages!$B330,FIND("/",Wages!$B330)-1))),"")))</f>
        <v/>
      </c>
      <c r="D327">
        <f>IF(OR($A327="",$C327=""),"",IF(ISNUMBER(Wages!$B330),INT(MOD(Wages!$B330,10000)/100),IFERROR(VALUE(TRIM(LEFT(MID(Wages!$B330,FIND("/",Wages!$B330)+1,20),FIND("/",MID(Wages!$B330,FIND("/",Wages!$B330)+1,20))-1))),"")))</f>
        <v/>
      </c>
      <c r="E327">
        <f>IF(OR($A327="",$C327=""),"",IF(ISNUMBER(Wages!$B330),MOD(Wages!$B330,100),IFERROR(VALUE(TRIM(MID(MID(Wages!$B330,FIND("/",Wages!$B330)+1,20),FIND("/",MID(Wages!$B330,FIND("/",Wages!$B330)+1,20))+1,20))),"")))</f>
        <v/>
      </c>
      <c r="F327">
        <f>IF($A327="","",IF(OR($C327="",$D327="",$E327="",$C327&lt;1300,$C327&gt;1500,$D327&lt;1,$D327&gt;12,$E327&lt;1,$E327&gt;31),"نامعتبر",RIGHT("0000"&amp;$C327,4)&amp;"/"&amp;RIGHT("00"&amp;$D327,2)&amp;"/"&amp;RIGHT("00"&amp;$E327,2)))</f>
        <v/>
      </c>
      <c r="G327">
        <f>IF(OR($A327="",$F327="",$F327="نامعتبر"),"",LEFT($F327,4)&amp;MID($F327,6,2)&amp;RIGHT($F327,2)&amp;"0000"&amp;"|"&amp;"1"&amp;RIGHT("00000"&amp;322,5))</f>
        <v/>
      </c>
      <c r="H327">
        <f>IF(OR($B327&lt;&gt;1,$G327=""),"",COUNTIFS(LdAParty,$A327,LdAType,1,LdAKey,"&lt;"&amp;$G327)+COUNTIFS(LdBMember,$A327,LdBKey,"&lt;"&amp;$G327)+COUNTIFS(LdCParty,$A327,LdCKey,"&lt;"&amp;$G327)+1)</f>
        <v/>
      </c>
      <c r="I327">
        <f>IF($H327="","",$A327&amp;"|"&amp;RIGHT("000000"&amp;$H327,6))</f>
        <v/>
      </c>
      <c r="J327">
        <f>IF(OR($B327&lt;&gt;2,$G327=""),"",COUNTIFS(LdAParty,$A327,LdAType,2,LdAKey,"&lt;"&amp;$G327)+1)</f>
        <v/>
      </c>
      <c r="K327">
        <f>IF($J327="","",$A327&amp;"|"&amp;RIGHT("000000"&amp;$J327,6))</f>
        <v/>
      </c>
      <c r="L327">
        <f>IF($A327="","",IF(Wages!$G330="",0,Wages!$G330))</f>
        <v/>
      </c>
      <c r="M327">
        <f>IF($A327="","",Wages!$J330)</f>
        <v/>
      </c>
      <c r="N327">
        <f>IF($A327="","",Wages!$D330)</f>
        <v/>
      </c>
      <c r="P327">
        <f>IF(OR(Shares!$B330="",Shares!$C330=""),"",Shares!$C330)</f>
        <v/>
      </c>
      <c r="Q327">
        <f>IF($P327="","",Shares!$B330)</f>
        <v/>
      </c>
      <c r="R327">
        <f>IF($P327="","",IFERROR(INDEX(WageParty,MATCH($Q327,WageIds,0)),""))</f>
        <v/>
      </c>
      <c r="S327">
        <f>IF($P327="","",IFERROR(INDEX($F$6:$F$2005,MATCH($Q327,WageIds,0)),""))</f>
        <v/>
      </c>
      <c r="T327">
        <f>IF(OR($P327="",$S327="",$S327="نامعتبر"),"",LEFT($S327,4)&amp;MID($S327,6,2)&amp;RIGHT($S327,2)&amp;"0000"&amp;"|"&amp;"2"&amp;RIGHT("00000"&amp;322,5))</f>
        <v/>
      </c>
      <c r="U327">
        <f>IF($T327="","",COUNTIFS(LdAParty,$P327,LdAType,1,LdAKey,"&lt;"&amp;$T327)+COUNTIFS(LdBMember,$P327,LdBKey,"&lt;"&amp;$T327)+COUNTIFS(LdCParty,$P327,LdCKey,"&lt;"&amp;$T327)+1)</f>
        <v/>
      </c>
      <c r="V327">
        <f>IF($U327="","",$P327&amp;"|"&amp;RIGHT("000000"&amp;$U327,6))</f>
        <v/>
      </c>
      <c r="W327">
        <f>IF($T327="","",COUNTIFS(LdBGroup,$R327,LdBKey,"&lt;"&amp;$T327)+1)</f>
        <v/>
      </c>
      <c r="X327">
        <f>IF($W327="","",$R327&amp;"|"&amp;RIGHT("000000"&amp;$W327,6))</f>
        <v/>
      </c>
      <c r="Y327">
        <f>IF($P327="","",IF(Shares!$E330="",0,Shares!$E330))</f>
        <v/>
      </c>
      <c r="Z327">
        <f>IF($P327="","",Shares!$H330)</f>
        <v/>
      </c>
      <c r="AE327">
        <f>IF(OR(Sync!$S327="",Sync!$P327=""),"",Sync!$S327)</f>
        <v/>
      </c>
      <c r="AF327">
        <f>IF($AE327="","",IF(ISNUMBER(Sync!$P327),IF(AND(Sync!$P327&gt;=10000101,Sync!$P327&lt;=99991231),INT(Sync!$P327/10000),""),IFERROR(VALUE(TRIM(LEFT(Sync!$P327,FIND("/",Sync!$P327)-1))),"")))</f>
        <v/>
      </c>
      <c r="AG327">
        <f>IF(OR($AE327="",$AF327=""),"",IF(ISNUMBER(Sync!$P327),INT(MOD(Sync!$P327,10000)/100),IFERROR(VALUE(TRIM(LEFT(MID(Sync!$P327,FIND("/",Sync!$P327)+1,20),FIND("/",MID(Sync!$P327,FIND("/",Sync!$P327)+1,20))-1))),"")))</f>
        <v/>
      </c>
      <c r="AH327">
        <f>IF(OR($AE327="",$AF327=""),"",IF(ISNUMBER(Sync!$P327),MOD(Sync!$P327,100),IFERROR(VALUE(TRIM(MID(MID(Sync!$P327,FIND("/",Sync!$P327)+1,20),FIND("/",MID(Sync!$P327,FIND("/",Sync!$P327)+1,20))+1,20))),"")))</f>
        <v/>
      </c>
      <c r="AI327">
        <f>IF($AE327="","",IF(OR($AF327="",$AG327="",$AH327="",$AF327&lt;1300,$AF327&gt;1500,$AG327&lt;1,$AG327&gt;12,$AH327&lt;1,$AH327&gt;31),"نامعتبر",RIGHT("0000"&amp;$AF327,4)&amp;"/"&amp;RIGHT("00"&amp;$AG327,2)&amp;"/"&amp;RIGHT("00"&amp;$AH327,2)))</f>
        <v/>
      </c>
      <c r="AJ327">
        <f>IF($AE327="","",IF(Sync!$Q327="","0000",IF(AND(ISNUMBER(Sync!$Q327),Sync!$Q327&gt;=0,Sync!$Q327&lt;1),RIGHT("00"&amp;HOUR(Sync!$Q327),2)&amp;RIGHT("00"&amp;MINUTE(Sync!$Q327),2),IFERROR(RIGHT("00"&amp;VALUE(LEFT(Sync!$Q327,FIND(":",Sync!$Q327)-1)),2)&amp;RIGHT("00"&amp;VALUE(MID(Sync!$Q327,FIND(":",Sync!$Q327)+1,2)),2),"0000"))))</f>
        <v/>
      </c>
      <c r="AK327">
        <f>IF(OR($AE327="",$AI327="",$AI327="نامعتبر"),"",LEFT($AI327,4)&amp;MID($AI327,6,2)&amp;RIGHT($AI327,2)&amp;$AJ327&amp;"|"&amp;"3"&amp;RIGHT("00000"&amp;322,5))</f>
        <v/>
      </c>
      <c r="AL327">
        <f>IF($AK327="","",COUNTIFS(LdAParty,$AE327,LdAType,1,LdAKey,"&lt;"&amp;$AK327)+COUNTIFS(LdBMember,$AE327,LdBKey,"&lt;"&amp;$AK327)+COUNTIFS(LdCParty,$AE327,LdCKey,"&lt;"&amp;$AK327)+1)</f>
        <v/>
      </c>
      <c r="AM327">
        <f>IF($AL327="","",$AE327&amp;"|"&amp;RIGHT("000000"&amp;$AL327,6))</f>
        <v/>
      </c>
      <c r="AN327">
        <f>IF($AE327="","",IF(Sync!$W327="",0,Sync!$W327))</f>
        <v/>
      </c>
      <c r="AO327">
        <f>IF($AE327="","",IF(Sync!$X327="",0,Sync!$X327))</f>
        <v/>
      </c>
      <c r="AP327">
        <f>IF($AE327="","",Sync!$R327)</f>
        <v/>
      </c>
      <c r="AQ327">
        <f>IF($AE327="","",Sync!$Y327)</f>
        <v/>
      </c>
    </row>
    <row r="328">
      <c r="A328">
        <f>IF(OR(Wages!$B331="",Wages!$E331=""),"",Wages!$E331)</f>
        <v/>
      </c>
      <c r="B328">
        <f>IF($A328="","",IF(Wages!$C331="دستمزد گروهی",2,1))</f>
        <v/>
      </c>
      <c r="C328">
        <f>IF($A328="","",IF(ISNUMBER(Wages!$B331),IF(AND(Wages!$B331&gt;=10000101,Wages!$B331&lt;=99991231),INT(Wages!$B331/10000),""),IFERROR(VALUE(TRIM(LEFT(Wages!$B331,FIND("/",Wages!$B331)-1))),"")))</f>
        <v/>
      </c>
      <c r="D328">
        <f>IF(OR($A328="",$C328=""),"",IF(ISNUMBER(Wages!$B331),INT(MOD(Wages!$B331,10000)/100),IFERROR(VALUE(TRIM(LEFT(MID(Wages!$B331,FIND("/",Wages!$B331)+1,20),FIND("/",MID(Wages!$B331,FIND("/",Wages!$B331)+1,20))-1))),"")))</f>
        <v/>
      </c>
      <c r="E328">
        <f>IF(OR($A328="",$C328=""),"",IF(ISNUMBER(Wages!$B331),MOD(Wages!$B331,100),IFERROR(VALUE(TRIM(MID(MID(Wages!$B331,FIND("/",Wages!$B331)+1,20),FIND("/",MID(Wages!$B331,FIND("/",Wages!$B331)+1,20))+1,20))),"")))</f>
        <v/>
      </c>
      <c r="F328">
        <f>IF($A328="","",IF(OR($C328="",$D328="",$E328="",$C328&lt;1300,$C328&gt;1500,$D328&lt;1,$D328&gt;12,$E328&lt;1,$E328&gt;31),"نامعتبر",RIGHT("0000"&amp;$C328,4)&amp;"/"&amp;RIGHT("00"&amp;$D328,2)&amp;"/"&amp;RIGHT("00"&amp;$E328,2)))</f>
        <v/>
      </c>
      <c r="G328">
        <f>IF(OR($A328="",$F328="",$F328="نامعتبر"),"",LEFT($F328,4)&amp;MID($F328,6,2)&amp;RIGHT($F328,2)&amp;"0000"&amp;"|"&amp;"1"&amp;RIGHT("00000"&amp;323,5))</f>
        <v/>
      </c>
      <c r="H328">
        <f>IF(OR($B328&lt;&gt;1,$G328=""),"",COUNTIFS(LdAParty,$A328,LdAType,1,LdAKey,"&lt;"&amp;$G328)+COUNTIFS(LdBMember,$A328,LdBKey,"&lt;"&amp;$G328)+COUNTIFS(LdCParty,$A328,LdCKey,"&lt;"&amp;$G328)+1)</f>
        <v/>
      </c>
      <c r="I328">
        <f>IF($H328="","",$A328&amp;"|"&amp;RIGHT("000000"&amp;$H328,6))</f>
        <v/>
      </c>
      <c r="J328">
        <f>IF(OR($B328&lt;&gt;2,$G328=""),"",COUNTIFS(LdAParty,$A328,LdAType,2,LdAKey,"&lt;"&amp;$G328)+1)</f>
        <v/>
      </c>
      <c r="K328">
        <f>IF($J328="","",$A328&amp;"|"&amp;RIGHT("000000"&amp;$J328,6))</f>
        <v/>
      </c>
      <c r="L328">
        <f>IF($A328="","",IF(Wages!$G331="",0,Wages!$G331))</f>
        <v/>
      </c>
      <c r="M328">
        <f>IF($A328="","",Wages!$J331)</f>
        <v/>
      </c>
      <c r="N328">
        <f>IF($A328="","",Wages!$D331)</f>
        <v/>
      </c>
      <c r="P328">
        <f>IF(OR(Shares!$B331="",Shares!$C331=""),"",Shares!$C331)</f>
        <v/>
      </c>
      <c r="Q328">
        <f>IF($P328="","",Shares!$B331)</f>
        <v/>
      </c>
      <c r="R328">
        <f>IF($P328="","",IFERROR(INDEX(WageParty,MATCH($Q328,WageIds,0)),""))</f>
        <v/>
      </c>
      <c r="S328">
        <f>IF($P328="","",IFERROR(INDEX($F$6:$F$2005,MATCH($Q328,WageIds,0)),""))</f>
        <v/>
      </c>
      <c r="T328">
        <f>IF(OR($P328="",$S328="",$S328="نامعتبر"),"",LEFT($S328,4)&amp;MID($S328,6,2)&amp;RIGHT($S328,2)&amp;"0000"&amp;"|"&amp;"2"&amp;RIGHT("00000"&amp;323,5))</f>
        <v/>
      </c>
      <c r="U328">
        <f>IF($T328="","",COUNTIFS(LdAParty,$P328,LdAType,1,LdAKey,"&lt;"&amp;$T328)+COUNTIFS(LdBMember,$P328,LdBKey,"&lt;"&amp;$T328)+COUNTIFS(LdCParty,$P328,LdCKey,"&lt;"&amp;$T328)+1)</f>
        <v/>
      </c>
      <c r="V328">
        <f>IF($U328="","",$P328&amp;"|"&amp;RIGHT("000000"&amp;$U328,6))</f>
        <v/>
      </c>
      <c r="W328">
        <f>IF($T328="","",COUNTIFS(LdBGroup,$R328,LdBKey,"&lt;"&amp;$T328)+1)</f>
        <v/>
      </c>
      <c r="X328">
        <f>IF($W328="","",$R328&amp;"|"&amp;RIGHT("000000"&amp;$W328,6))</f>
        <v/>
      </c>
      <c r="Y328">
        <f>IF($P328="","",IF(Shares!$E331="",0,Shares!$E331))</f>
        <v/>
      </c>
      <c r="Z328">
        <f>IF($P328="","",Shares!$H331)</f>
        <v/>
      </c>
      <c r="AE328">
        <f>IF(OR(Sync!$S328="",Sync!$P328=""),"",Sync!$S328)</f>
        <v/>
      </c>
      <c r="AF328">
        <f>IF($AE328="","",IF(ISNUMBER(Sync!$P328),IF(AND(Sync!$P328&gt;=10000101,Sync!$P328&lt;=99991231),INT(Sync!$P328/10000),""),IFERROR(VALUE(TRIM(LEFT(Sync!$P328,FIND("/",Sync!$P328)-1))),"")))</f>
        <v/>
      </c>
      <c r="AG328">
        <f>IF(OR($AE328="",$AF328=""),"",IF(ISNUMBER(Sync!$P328),INT(MOD(Sync!$P328,10000)/100),IFERROR(VALUE(TRIM(LEFT(MID(Sync!$P328,FIND("/",Sync!$P328)+1,20),FIND("/",MID(Sync!$P328,FIND("/",Sync!$P328)+1,20))-1))),"")))</f>
        <v/>
      </c>
      <c r="AH328">
        <f>IF(OR($AE328="",$AF328=""),"",IF(ISNUMBER(Sync!$P328),MOD(Sync!$P328,100),IFERROR(VALUE(TRIM(MID(MID(Sync!$P328,FIND("/",Sync!$P328)+1,20),FIND("/",MID(Sync!$P328,FIND("/",Sync!$P328)+1,20))+1,20))),"")))</f>
        <v/>
      </c>
      <c r="AI328">
        <f>IF($AE328="","",IF(OR($AF328="",$AG328="",$AH328="",$AF328&lt;1300,$AF328&gt;1500,$AG328&lt;1,$AG328&gt;12,$AH328&lt;1,$AH328&gt;31),"نامعتبر",RIGHT("0000"&amp;$AF328,4)&amp;"/"&amp;RIGHT("00"&amp;$AG328,2)&amp;"/"&amp;RIGHT("00"&amp;$AH328,2)))</f>
        <v/>
      </c>
      <c r="AJ328">
        <f>IF($AE328="","",IF(Sync!$Q328="","0000",IF(AND(ISNUMBER(Sync!$Q328),Sync!$Q328&gt;=0,Sync!$Q328&lt;1),RIGHT("00"&amp;HOUR(Sync!$Q328),2)&amp;RIGHT("00"&amp;MINUTE(Sync!$Q328),2),IFERROR(RIGHT("00"&amp;VALUE(LEFT(Sync!$Q328,FIND(":",Sync!$Q328)-1)),2)&amp;RIGHT("00"&amp;VALUE(MID(Sync!$Q328,FIND(":",Sync!$Q328)+1,2)),2),"0000"))))</f>
        <v/>
      </c>
      <c r="AK328">
        <f>IF(OR($AE328="",$AI328="",$AI328="نامعتبر"),"",LEFT($AI328,4)&amp;MID($AI328,6,2)&amp;RIGHT($AI328,2)&amp;$AJ328&amp;"|"&amp;"3"&amp;RIGHT("00000"&amp;323,5))</f>
        <v/>
      </c>
      <c r="AL328">
        <f>IF($AK328="","",COUNTIFS(LdAParty,$AE328,LdAType,1,LdAKey,"&lt;"&amp;$AK328)+COUNTIFS(LdBMember,$AE328,LdBKey,"&lt;"&amp;$AK328)+COUNTIFS(LdCParty,$AE328,LdCKey,"&lt;"&amp;$AK328)+1)</f>
        <v/>
      </c>
      <c r="AM328">
        <f>IF($AL328="","",$AE328&amp;"|"&amp;RIGHT("000000"&amp;$AL328,6))</f>
        <v/>
      </c>
      <c r="AN328">
        <f>IF($AE328="","",IF(Sync!$W328="",0,Sync!$W328))</f>
        <v/>
      </c>
      <c r="AO328">
        <f>IF($AE328="","",IF(Sync!$X328="",0,Sync!$X328))</f>
        <v/>
      </c>
      <c r="AP328">
        <f>IF($AE328="","",Sync!$R328)</f>
        <v/>
      </c>
      <c r="AQ328">
        <f>IF($AE328="","",Sync!$Y328)</f>
        <v/>
      </c>
    </row>
    <row r="329">
      <c r="A329">
        <f>IF(OR(Wages!$B332="",Wages!$E332=""),"",Wages!$E332)</f>
        <v/>
      </c>
      <c r="B329">
        <f>IF($A329="","",IF(Wages!$C332="دستمزد گروهی",2,1))</f>
        <v/>
      </c>
      <c r="C329">
        <f>IF($A329="","",IF(ISNUMBER(Wages!$B332),IF(AND(Wages!$B332&gt;=10000101,Wages!$B332&lt;=99991231),INT(Wages!$B332/10000),""),IFERROR(VALUE(TRIM(LEFT(Wages!$B332,FIND("/",Wages!$B332)-1))),"")))</f>
        <v/>
      </c>
      <c r="D329">
        <f>IF(OR($A329="",$C329=""),"",IF(ISNUMBER(Wages!$B332),INT(MOD(Wages!$B332,10000)/100),IFERROR(VALUE(TRIM(LEFT(MID(Wages!$B332,FIND("/",Wages!$B332)+1,20),FIND("/",MID(Wages!$B332,FIND("/",Wages!$B332)+1,20))-1))),"")))</f>
        <v/>
      </c>
      <c r="E329">
        <f>IF(OR($A329="",$C329=""),"",IF(ISNUMBER(Wages!$B332),MOD(Wages!$B332,100),IFERROR(VALUE(TRIM(MID(MID(Wages!$B332,FIND("/",Wages!$B332)+1,20),FIND("/",MID(Wages!$B332,FIND("/",Wages!$B332)+1,20))+1,20))),"")))</f>
        <v/>
      </c>
      <c r="F329">
        <f>IF($A329="","",IF(OR($C329="",$D329="",$E329="",$C329&lt;1300,$C329&gt;1500,$D329&lt;1,$D329&gt;12,$E329&lt;1,$E329&gt;31),"نامعتبر",RIGHT("0000"&amp;$C329,4)&amp;"/"&amp;RIGHT("00"&amp;$D329,2)&amp;"/"&amp;RIGHT("00"&amp;$E329,2)))</f>
        <v/>
      </c>
      <c r="G329">
        <f>IF(OR($A329="",$F329="",$F329="نامعتبر"),"",LEFT($F329,4)&amp;MID($F329,6,2)&amp;RIGHT($F329,2)&amp;"0000"&amp;"|"&amp;"1"&amp;RIGHT("00000"&amp;324,5))</f>
        <v/>
      </c>
      <c r="H329">
        <f>IF(OR($B329&lt;&gt;1,$G329=""),"",COUNTIFS(LdAParty,$A329,LdAType,1,LdAKey,"&lt;"&amp;$G329)+COUNTIFS(LdBMember,$A329,LdBKey,"&lt;"&amp;$G329)+COUNTIFS(LdCParty,$A329,LdCKey,"&lt;"&amp;$G329)+1)</f>
        <v/>
      </c>
      <c r="I329">
        <f>IF($H329="","",$A329&amp;"|"&amp;RIGHT("000000"&amp;$H329,6))</f>
        <v/>
      </c>
      <c r="J329">
        <f>IF(OR($B329&lt;&gt;2,$G329=""),"",COUNTIFS(LdAParty,$A329,LdAType,2,LdAKey,"&lt;"&amp;$G329)+1)</f>
        <v/>
      </c>
      <c r="K329">
        <f>IF($J329="","",$A329&amp;"|"&amp;RIGHT("000000"&amp;$J329,6))</f>
        <v/>
      </c>
      <c r="L329">
        <f>IF($A329="","",IF(Wages!$G332="",0,Wages!$G332))</f>
        <v/>
      </c>
      <c r="M329">
        <f>IF($A329="","",Wages!$J332)</f>
        <v/>
      </c>
      <c r="N329">
        <f>IF($A329="","",Wages!$D332)</f>
        <v/>
      </c>
      <c r="P329">
        <f>IF(OR(Shares!$B332="",Shares!$C332=""),"",Shares!$C332)</f>
        <v/>
      </c>
      <c r="Q329">
        <f>IF($P329="","",Shares!$B332)</f>
        <v/>
      </c>
      <c r="R329">
        <f>IF($P329="","",IFERROR(INDEX(WageParty,MATCH($Q329,WageIds,0)),""))</f>
        <v/>
      </c>
      <c r="S329">
        <f>IF($P329="","",IFERROR(INDEX($F$6:$F$2005,MATCH($Q329,WageIds,0)),""))</f>
        <v/>
      </c>
      <c r="T329">
        <f>IF(OR($P329="",$S329="",$S329="نامعتبر"),"",LEFT($S329,4)&amp;MID($S329,6,2)&amp;RIGHT($S329,2)&amp;"0000"&amp;"|"&amp;"2"&amp;RIGHT("00000"&amp;324,5))</f>
        <v/>
      </c>
      <c r="U329">
        <f>IF($T329="","",COUNTIFS(LdAParty,$P329,LdAType,1,LdAKey,"&lt;"&amp;$T329)+COUNTIFS(LdBMember,$P329,LdBKey,"&lt;"&amp;$T329)+COUNTIFS(LdCParty,$P329,LdCKey,"&lt;"&amp;$T329)+1)</f>
        <v/>
      </c>
      <c r="V329">
        <f>IF($U329="","",$P329&amp;"|"&amp;RIGHT("000000"&amp;$U329,6))</f>
        <v/>
      </c>
      <c r="W329">
        <f>IF($T329="","",COUNTIFS(LdBGroup,$R329,LdBKey,"&lt;"&amp;$T329)+1)</f>
        <v/>
      </c>
      <c r="X329">
        <f>IF($W329="","",$R329&amp;"|"&amp;RIGHT("000000"&amp;$W329,6))</f>
        <v/>
      </c>
      <c r="Y329">
        <f>IF($P329="","",IF(Shares!$E332="",0,Shares!$E332))</f>
        <v/>
      </c>
      <c r="Z329">
        <f>IF($P329="","",Shares!$H332)</f>
        <v/>
      </c>
      <c r="AE329">
        <f>IF(OR(Sync!$S329="",Sync!$P329=""),"",Sync!$S329)</f>
        <v/>
      </c>
      <c r="AF329">
        <f>IF($AE329="","",IF(ISNUMBER(Sync!$P329),IF(AND(Sync!$P329&gt;=10000101,Sync!$P329&lt;=99991231),INT(Sync!$P329/10000),""),IFERROR(VALUE(TRIM(LEFT(Sync!$P329,FIND("/",Sync!$P329)-1))),"")))</f>
        <v/>
      </c>
      <c r="AG329">
        <f>IF(OR($AE329="",$AF329=""),"",IF(ISNUMBER(Sync!$P329),INT(MOD(Sync!$P329,10000)/100),IFERROR(VALUE(TRIM(LEFT(MID(Sync!$P329,FIND("/",Sync!$P329)+1,20),FIND("/",MID(Sync!$P329,FIND("/",Sync!$P329)+1,20))-1))),"")))</f>
        <v/>
      </c>
      <c r="AH329">
        <f>IF(OR($AE329="",$AF329=""),"",IF(ISNUMBER(Sync!$P329),MOD(Sync!$P329,100),IFERROR(VALUE(TRIM(MID(MID(Sync!$P329,FIND("/",Sync!$P329)+1,20),FIND("/",MID(Sync!$P329,FIND("/",Sync!$P329)+1,20))+1,20))),"")))</f>
        <v/>
      </c>
      <c r="AI329">
        <f>IF($AE329="","",IF(OR($AF329="",$AG329="",$AH329="",$AF329&lt;1300,$AF329&gt;1500,$AG329&lt;1,$AG329&gt;12,$AH329&lt;1,$AH329&gt;31),"نامعتبر",RIGHT("0000"&amp;$AF329,4)&amp;"/"&amp;RIGHT("00"&amp;$AG329,2)&amp;"/"&amp;RIGHT("00"&amp;$AH329,2)))</f>
        <v/>
      </c>
      <c r="AJ329">
        <f>IF($AE329="","",IF(Sync!$Q329="","0000",IF(AND(ISNUMBER(Sync!$Q329),Sync!$Q329&gt;=0,Sync!$Q329&lt;1),RIGHT("00"&amp;HOUR(Sync!$Q329),2)&amp;RIGHT("00"&amp;MINUTE(Sync!$Q329),2),IFERROR(RIGHT("00"&amp;VALUE(LEFT(Sync!$Q329,FIND(":",Sync!$Q329)-1)),2)&amp;RIGHT("00"&amp;VALUE(MID(Sync!$Q329,FIND(":",Sync!$Q329)+1,2)),2),"0000"))))</f>
        <v/>
      </c>
      <c r="AK329">
        <f>IF(OR($AE329="",$AI329="",$AI329="نامعتبر"),"",LEFT($AI329,4)&amp;MID($AI329,6,2)&amp;RIGHT($AI329,2)&amp;$AJ329&amp;"|"&amp;"3"&amp;RIGHT("00000"&amp;324,5))</f>
        <v/>
      </c>
      <c r="AL329">
        <f>IF($AK329="","",COUNTIFS(LdAParty,$AE329,LdAType,1,LdAKey,"&lt;"&amp;$AK329)+COUNTIFS(LdBMember,$AE329,LdBKey,"&lt;"&amp;$AK329)+COUNTIFS(LdCParty,$AE329,LdCKey,"&lt;"&amp;$AK329)+1)</f>
        <v/>
      </c>
      <c r="AM329">
        <f>IF($AL329="","",$AE329&amp;"|"&amp;RIGHT("000000"&amp;$AL329,6))</f>
        <v/>
      </c>
      <c r="AN329">
        <f>IF($AE329="","",IF(Sync!$W329="",0,Sync!$W329))</f>
        <v/>
      </c>
      <c r="AO329">
        <f>IF($AE329="","",IF(Sync!$X329="",0,Sync!$X329))</f>
        <v/>
      </c>
      <c r="AP329">
        <f>IF($AE329="","",Sync!$R329)</f>
        <v/>
      </c>
      <c r="AQ329">
        <f>IF($AE329="","",Sync!$Y329)</f>
        <v/>
      </c>
    </row>
    <row r="330">
      <c r="A330">
        <f>IF(OR(Wages!$B333="",Wages!$E333=""),"",Wages!$E333)</f>
        <v/>
      </c>
      <c r="B330">
        <f>IF($A330="","",IF(Wages!$C333="دستمزد گروهی",2,1))</f>
        <v/>
      </c>
      <c r="C330">
        <f>IF($A330="","",IF(ISNUMBER(Wages!$B333),IF(AND(Wages!$B333&gt;=10000101,Wages!$B333&lt;=99991231),INT(Wages!$B333/10000),""),IFERROR(VALUE(TRIM(LEFT(Wages!$B333,FIND("/",Wages!$B333)-1))),"")))</f>
        <v/>
      </c>
      <c r="D330">
        <f>IF(OR($A330="",$C330=""),"",IF(ISNUMBER(Wages!$B333),INT(MOD(Wages!$B333,10000)/100),IFERROR(VALUE(TRIM(LEFT(MID(Wages!$B333,FIND("/",Wages!$B333)+1,20),FIND("/",MID(Wages!$B333,FIND("/",Wages!$B333)+1,20))-1))),"")))</f>
        <v/>
      </c>
      <c r="E330">
        <f>IF(OR($A330="",$C330=""),"",IF(ISNUMBER(Wages!$B333),MOD(Wages!$B333,100),IFERROR(VALUE(TRIM(MID(MID(Wages!$B333,FIND("/",Wages!$B333)+1,20),FIND("/",MID(Wages!$B333,FIND("/",Wages!$B333)+1,20))+1,20))),"")))</f>
        <v/>
      </c>
      <c r="F330">
        <f>IF($A330="","",IF(OR($C330="",$D330="",$E330="",$C330&lt;1300,$C330&gt;1500,$D330&lt;1,$D330&gt;12,$E330&lt;1,$E330&gt;31),"نامعتبر",RIGHT("0000"&amp;$C330,4)&amp;"/"&amp;RIGHT("00"&amp;$D330,2)&amp;"/"&amp;RIGHT("00"&amp;$E330,2)))</f>
        <v/>
      </c>
      <c r="G330">
        <f>IF(OR($A330="",$F330="",$F330="نامعتبر"),"",LEFT($F330,4)&amp;MID($F330,6,2)&amp;RIGHT($F330,2)&amp;"0000"&amp;"|"&amp;"1"&amp;RIGHT("00000"&amp;325,5))</f>
        <v/>
      </c>
      <c r="H330">
        <f>IF(OR($B330&lt;&gt;1,$G330=""),"",COUNTIFS(LdAParty,$A330,LdAType,1,LdAKey,"&lt;"&amp;$G330)+COUNTIFS(LdBMember,$A330,LdBKey,"&lt;"&amp;$G330)+COUNTIFS(LdCParty,$A330,LdCKey,"&lt;"&amp;$G330)+1)</f>
        <v/>
      </c>
      <c r="I330">
        <f>IF($H330="","",$A330&amp;"|"&amp;RIGHT("000000"&amp;$H330,6))</f>
        <v/>
      </c>
      <c r="J330">
        <f>IF(OR($B330&lt;&gt;2,$G330=""),"",COUNTIFS(LdAParty,$A330,LdAType,2,LdAKey,"&lt;"&amp;$G330)+1)</f>
        <v/>
      </c>
      <c r="K330">
        <f>IF($J330="","",$A330&amp;"|"&amp;RIGHT("000000"&amp;$J330,6))</f>
        <v/>
      </c>
      <c r="L330">
        <f>IF($A330="","",IF(Wages!$G333="",0,Wages!$G333))</f>
        <v/>
      </c>
      <c r="M330">
        <f>IF($A330="","",Wages!$J333)</f>
        <v/>
      </c>
      <c r="N330">
        <f>IF($A330="","",Wages!$D333)</f>
        <v/>
      </c>
      <c r="P330">
        <f>IF(OR(Shares!$B333="",Shares!$C333=""),"",Shares!$C333)</f>
        <v/>
      </c>
      <c r="Q330">
        <f>IF($P330="","",Shares!$B333)</f>
        <v/>
      </c>
      <c r="R330">
        <f>IF($P330="","",IFERROR(INDEX(WageParty,MATCH($Q330,WageIds,0)),""))</f>
        <v/>
      </c>
      <c r="S330">
        <f>IF($P330="","",IFERROR(INDEX($F$6:$F$2005,MATCH($Q330,WageIds,0)),""))</f>
        <v/>
      </c>
      <c r="T330">
        <f>IF(OR($P330="",$S330="",$S330="نامعتبر"),"",LEFT($S330,4)&amp;MID($S330,6,2)&amp;RIGHT($S330,2)&amp;"0000"&amp;"|"&amp;"2"&amp;RIGHT("00000"&amp;325,5))</f>
        <v/>
      </c>
      <c r="U330">
        <f>IF($T330="","",COUNTIFS(LdAParty,$P330,LdAType,1,LdAKey,"&lt;"&amp;$T330)+COUNTIFS(LdBMember,$P330,LdBKey,"&lt;"&amp;$T330)+COUNTIFS(LdCParty,$P330,LdCKey,"&lt;"&amp;$T330)+1)</f>
        <v/>
      </c>
      <c r="V330">
        <f>IF($U330="","",$P330&amp;"|"&amp;RIGHT("000000"&amp;$U330,6))</f>
        <v/>
      </c>
      <c r="W330">
        <f>IF($T330="","",COUNTIFS(LdBGroup,$R330,LdBKey,"&lt;"&amp;$T330)+1)</f>
        <v/>
      </c>
      <c r="X330">
        <f>IF($W330="","",$R330&amp;"|"&amp;RIGHT("000000"&amp;$W330,6))</f>
        <v/>
      </c>
      <c r="Y330">
        <f>IF($P330="","",IF(Shares!$E333="",0,Shares!$E333))</f>
        <v/>
      </c>
      <c r="Z330">
        <f>IF($P330="","",Shares!$H333)</f>
        <v/>
      </c>
      <c r="AE330">
        <f>IF(OR(Sync!$S330="",Sync!$P330=""),"",Sync!$S330)</f>
        <v/>
      </c>
      <c r="AF330">
        <f>IF($AE330="","",IF(ISNUMBER(Sync!$P330),IF(AND(Sync!$P330&gt;=10000101,Sync!$P330&lt;=99991231),INT(Sync!$P330/10000),""),IFERROR(VALUE(TRIM(LEFT(Sync!$P330,FIND("/",Sync!$P330)-1))),"")))</f>
        <v/>
      </c>
      <c r="AG330">
        <f>IF(OR($AE330="",$AF330=""),"",IF(ISNUMBER(Sync!$P330),INT(MOD(Sync!$P330,10000)/100),IFERROR(VALUE(TRIM(LEFT(MID(Sync!$P330,FIND("/",Sync!$P330)+1,20),FIND("/",MID(Sync!$P330,FIND("/",Sync!$P330)+1,20))-1))),"")))</f>
        <v/>
      </c>
      <c r="AH330">
        <f>IF(OR($AE330="",$AF330=""),"",IF(ISNUMBER(Sync!$P330),MOD(Sync!$P330,100),IFERROR(VALUE(TRIM(MID(MID(Sync!$P330,FIND("/",Sync!$P330)+1,20),FIND("/",MID(Sync!$P330,FIND("/",Sync!$P330)+1,20))+1,20))),"")))</f>
        <v/>
      </c>
      <c r="AI330">
        <f>IF($AE330="","",IF(OR($AF330="",$AG330="",$AH330="",$AF330&lt;1300,$AF330&gt;1500,$AG330&lt;1,$AG330&gt;12,$AH330&lt;1,$AH330&gt;31),"نامعتبر",RIGHT("0000"&amp;$AF330,4)&amp;"/"&amp;RIGHT("00"&amp;$AG330,2)&amp;"/"&amp;RIGHT("00"&amp;$AH330,2)))</f>
        <v/>
      </c>
      <c r="AJ330">
        <f>IF($AE330="","",IF(Sync!$Q330="","0000",IF(AND(ISNUMBER(Sync!$Q330),Sync!$Q330&gt;=0,Sync!$Q330&lt;1),RIGHT("00"&amp;HOUR(Sync!$Q330),2)&amp;RIGHT("00"&amp;MINUTE(Sync!$Q330),2),IFERROR(RIGHT("00"&amp;VALUE(LEFT(Sync!$Q330,FIND(":",Sync!$Q330)-1)),2)&amp;RIGHT("00"&amp;VALUE(MID(Sync!$Q330,FIND(":",Sync!$Q330)+1,2)),2),"0000"))))</f>
        <v/>
      </c>
      <c r="AK330">
        <f>IF(OR($AE330="",$AI330="",$AI330="نامعتبر"),"",LEFT($AI330,4)&amp;MID($AI330,6,2)&amp;RIGHT($AI330,2)&amp;$AJ330&amp;"|"&amp;"3"&amp;RIGHT("00000"&amp;325,5))</f>
        <v/>
      </c>
      <c r="AL330">
        <f>IF($AK330="","",COUNTIFS(LdAParty,$AE330,LdAType,1,LdAKey,"&lt;"&amp;$AK330)+COUNTIFS(LdBMember,$AE330,LdBKey,"&lt;"&amp;$AK330)+COUNTIFS(LdCParty,$AE330,LdCKey,"&lt;"&amp;$AK330)+1)</f>
        <v/>
      </c>
      <c r="AM330">
        <f>IF($AL330="","",$AE330&amp;"|"&amp;RIGHT("000000"&amp;$AL330,6))</f>
        <v/>
      </c>
      <c r="AN330">
        <f>IF($AE330="","",IF(Sync!$W330="",0,Sync!$W330))</f>
        <v/>
      </c>
      <c r="AO330">
        <f>IF($AE330="","",IF(Sync!$X330="",0,Sync!$X330))</f>
        <v/>
      </c>
      <c r="AP330">
        <f>IF($AE330="","",Sync!$R330)</f>
        <v/>
      </c>
      <c r="AQ330">
        <f>IF($AE330="","",Sync!$Y330)</f>
        <v/>
      </c>
    </row>
    <row r="331">
      <c r="A331">
        <f>IF(OR(Wages!$B334="",Wages!$E334=""),"",Wages!$E334)</f>
        <v/>
      </c>
      <c r="B331">
        <f>IF($A331="","",IF(Wages!$C334="دستمزد گروهی",2,1))</f>
        <v/>
      </c>
      <c r="C331">
        <f>IF($A331="","",IF(ISNUMBER(Wages!$B334),IF(AND(Wages!$B334&gt;=10000101,Wages!$B334&lt;=99991231),INT(Wages!$B334/10000),""),IFERROR(VALUE(TRIM(LEFT(Wages!$B334,FIND("/",Wages!$B334)-1))),"")))</f>
        <v/>
      </c>
      <c r="D331">
        <f>IF(OR($A331="",$C331=""),"",IF(ISNUMBER(Wages!$B334),INT(MOD(Wages!$B334,10000)/100),IFERROR(VALUE(TRIM(LEFT(MID(Wages!$B334,FIND("/",Wages!$B334)+1,20),FIND("/",MID(Wages!$B334,FIND("/",Wages!$B334)+1,20))-1))),"")))</f>
        <v/>
      </c>
      <c r="E331">
        <f>IF(OR($A331="",$C331=""),"",IF(ISNUMBER(Wages!$B334),MOD(Wages!$B334,100),IFERROR(VALUE(TRIM(MID(MID(Wages!$B334,FIND("/",Wages!$B334)+1,20),FIND("/",MID(Wages!$B334,FIND("/",Wages!$B334)+1,20))+1,20))),"")))</f>
        <v/>
      </c>
      <c r="F331">
        <f>IF($A331="","",IF(OR($C331="",$D331="",$E331="",$C331&lt;1300,$C331&gt;1500,$D331&lt;1,$D331&gt;12,$E331&lt;1,$E331&gt;31),"نامعتبر",RIGHT("0000"&amp;$C331,4)&amp;"/"&amp;RIGHT("00"&amp;$D331,2)&amp;"/"&amp;RIGHT("00"&amp;$E331,2)))</f>
        <v/>
      </c>
      <c r="G331">
        <f>IF(OR($A331="",$F331="",$F331="نامعتبر"),"",LEFT($F331,4)&amp;MID($F331,6,2)&amp;RIGHT($F331,2)&amp;"0000"&amp;"|"&amp;"1"&amp;RIGHT("00000"&amp;326,5))</f>
        <v/>
      </c>
      <c r="H331">
        <f>IF(OR($B331&lt;&gt;1,$G331=""),"",COUNTIFS(LdAParty,$A331,LdAType,1,LdAKey,"&lt;"&amp;$G331)+COUNTIFS(LdBMember,$A331,LdBKey,"&lt;"&amp;$G331)+COUNTIFS(LdCParty,$A331,LdCKey,"&lt;"&amp;$G331)+1)</f>
        <v/>
      </c>
      <c r="I331">
        <f>IF($H331="","",$A331&amp;"|"&amp;RIGHT("000000"&amp;$H331,6))</f>
        <v/>
      </c>
      <c r="J331">
        <f>IF(OR($B331&lt;&gt;2,$G331=""),"",COUNTIFS(LdAParty,$A331,LdAType,2,LdAKey,"&lt;"&amp;$G331)+1)</f>
        <v/>
      </c>
      <c r="K331">
        <f>IF($J331="","",$A331&amp;"|"&amp;RIGHT("000000"&amp;$J331,6))</f>
        <v/>
      </c>
      <c r="L331">
        <f>IF($A331="","",IF(Wages!$G334="",0,Wages!$G334))</f>
        <v/>
      </c>
      <c r="M331">
        <f>IF($A331="","",Wages!$J334)</f>
        <v/>
      </c>
      <c r="N331">
        <f>IF($A331="","",Wages!$D334)</f>
        <v/>
      </c>
      <c r="P331">
        <f>IF(OR(Shares!$B334="",Shares!$C334=""),"",Shares!$C334)</f>
        <v/>
      </c>
      <c r="Q331">
        <f>IF($P331="","",Shares!$B334)</f>
        <v/>
      </c>
      <c r="R331">
        <f>IF($P331="","",IFERROR(INDEX(WageParty,MATCH($Q331,WageIds,0)),""))</f>
        <v/>
      </c>
      <c r="S331">
        <f>IF($P331="","",IFERROR(INDEX($F$6:$F$2005,MATCH($Q331,WageIds,0)),""))</f>
        <v/>
      </c>
      <c r="T331">
        <f>IF(OR($P331="",$S331="",$S331="نامعتبر"),"",LEFT($S331,4)&amp;MID($S331,6,2)&amp;RIGHT($S331,2)&amp;"0000"&amp;"|"&amp;"2"&amp;RIGHT("00000"&amp;326,5))</f>
        <v/>
      </c>
      <c r="U331">
        <f>IF($T331="","",COUNTIFS(LdAParty,$P331,LdAType,1,LdAKey,"&lt;"&amp;$T331)+COUNTIFS(LdBMember,$P331,LdBKey,"&lt;"&amp;$T331)+COUNTIFS(LdCParty,$P331,LdCKey,"&lt;"&amp;$T331)+1)</f>
        <v/>
      </c>
      <c r="V331">
        <f>IF($U331="","",$P331&amp;"|"&amp;RIGHT("000000"&amp;$U331,6))</f>
        <v/>
      </c>
      <c r="W331">
        <f>IF($T331="","",COUNTIFS(LdBGroup,$R331,LdBKey,"&lt;"&amp;$T331)+1)</f>
        <v/>
      </c>
      <c r="X331">
        <f>IF($W331="","",$R331&amp;"|"&amp;RIGHT("000000"&amp;$W331,6))</f>
        <v/>
      </c>
      <c r="Y331">
        <f>IF($P331="","",IF(Shares!$E334="",0,Shares!$E334))</f>
        <v/>
      </c>
      <c r="Z331">
        <f>IF($P331="","",Shares!$H334)</f>
        <v/>
      </c>
      <c r="AE331">
        <f>IF(OR(Sync!$S331="",Sync!$P331=""),"",Sync!$S331)</f>
        <v/>
      </c>
      <c r="AF331">
        <f>IF($AE331="","",IF(ISNUMBER(Sync!$P331),IF(AND(Sync!$P331&gt;=10000101,Sync!$P331&lt;=99991231),INT(Sync!$P331/10000),""),IFERROR(VALUE(TRIM(LEFT(Sync!$P331,FIND("/",Sync!$P331)-1))),"")))</f>
        <v/>
      </c>
      <c r="AG331">
        <f>IF(OR($AE331="",$AF331=""),"",IF(ISNUMBER(Sync!$P331),INT(MOD(Sync!$P331,10000)/100),IFERROR(VALUE(TRIM(LEFT(MID(Sync!$P331,FIND("/",Sync!$P331)+1,20),FIND("/",MID(Sync!$P331,FIND("/",Sync!$P331)+1,20))-1))),"")))</f>
        <v/>
      </c>
      <c r="AH331">
        <f>IF(OR($AE331="",$AF331=""),"",IF(ISNUMBER(Sync!$P331),MOD(Sync!$P331,100),IFERROR(VALUE(TRIM(MID(MID(Sync!$P331,FIND("/",Sync!$P331)+1,20),FIND("/",MID(Sync!$P331,FIND("/",Sync!$P331)+1,20))+1,20))),"")))</f>
        <v/>
      </c>
      <c r="AI331">
        <f>IF($AE331="","",IF(OR($AF331="",$AG331="",$AH331="",$AF331&lt;1300,$AF331&gt;1500,$AG331&lt;1,$AG331&gt;12,$AH331&lt;1,$AH331&gt;31),"نامعتبر",RIGHT("0000"&amp;$AF331,4)&amp;"/"&amp;RIGHT("00"&amp;$AG331,2)&amp;"/"&amp;RIGHT("00"&amp;$AH331,2)))</f>
        <v/>
      </c>
      <c r="AJ331">
        <f>IF($AE331="","",IF(Sync!$Q331="","0000",IF(AND(ISNUMBER(Sync!$Q331),Sync!$Q331&gt;=0,Sync!$Q331&lt;1),RIGHT("00"&amp;HOUR(Sync!$Q331),2)&amp;RIGHT("00"&amp;MINUTE(Sync!$Q331),2),IFERROR(RIGHT("00"&amp;VALUE(LEFT(Sync!$Q331,FIND(":",Sync!$Q331)-1)),2)&amp;RIGHT("00"&amp;VALUE(MID(Sync!$Q331,FIND(":",Sync!$Q331)+1,2)),2),"0000"))))</f>
        <v/>
      </c>
      <c r="AK331">
        <f>IF(OR($AE331="",$AI331="",$AI331="نامعتبر"),"",LEFT($AI331,4)&amp;MID($AI331,6,2)&amp;RIGHT($AI331,2)&amp;$AJ331&amp;"|"&amp;"3"&amp;RIGHT("00000"&amp;326,5))</f>
        <v/>
      </c>
      <c r="AL331">
        <f>IF($AK331="","",COUNTIFS(LdAParty,$AE331,LdAType,1,LdAKey,"&lt;"&amp;$AK331)+COUNTIFS(LdBMember,$AE331,LdBKey,"&lt;"&amp;$AK331)+COUNTIFS(LdCParty,$AE331,LdCKey,"&lt;"&amp;$AK331)+1)</f>
        <v/>
      </c>
      <c r="AM331">
        <f>IF($AL331="","",$AE331&amp;"|"&amp;RIGHT("000000"&amp;$AL331,6))</f>
        <v/>
      </c>
      <c r="AN331">
        <f>IF($AE331="","",IF(Sync!$W331="",0,Sync!$W331))</f>
        <v/>
      </c>
      <c r="AO331">
        <f>IF($AE331="","",IF(Sync!$X331="",0,Sync!$X331))</f>
        <v/>
      </c>
      <c r="AP331">
        <f>IF($AE331="","",Sync!$R331)</f>
        <v/>
      </c>
      <c r="AQ331">
        <f>IF($AE331="","",Sync!$Y331)</f>
        <v/>
      </c>
    </row>
    <row r="332">
      <c r="A332">
        <f>IF(OR(Wages!$B335="",Wages!$E335=""),"",Wages!$E335)</f>
        <v/>
      </c>
      <c r="B332">
        <f>IF($A332="","",IF(Wages!$C335="دستمزد گروهی",2,1))</f>
        <v/>
      </c>
      <c r="C332">
        <f>IF($A332="","",IF(ISNUMBER(Wages!$B335),IF(AND(Wages!$B335&gt;=10000101,Wages!$B335&lt;=99991231),INT(Wages!$B335/10000),""),IFERROR(VALUE(TRIM(LEFT(Wages!$B335,FIND("/",Wages!$B335)-1))),"")))</f>
        <v/>
      </c>
      <c r="D332">
        <f>IF(OR($A332="",$C332=""),"",IF(ISNUMBER(Wages!$B335),INT(MOD(Wages!$B335,10000)/100),IFERROR(VALUE(TRIM(LEFT(MID(Wages!$B335,FIND("/",Wages!$B335)+1,20),FIND("/",MID(Wages!$B335,FIND("/",Wages!$B335)+1,20))-1))),"")))</f>
        <v/>
      </c>
      <c r="E332">
        <f>IF(OR($A332="",$C332=""),"",IF(ISNUMBER(Wages!$B335),MOD(Wages!$B335,100),IFERROR(VALUE(TRIM(MID(MID(Wages!$B335,FIND("/",Wages!$B335)+1,20),FIND("/",MID(Wages!$B335,FIND("/",Wages!$B335)+1,20))+1,20))),"")))</f>
        <v/>
      </c>
      <c r="F332">
        <f>IF($A332="","",IF(OR($C332="",$D332="",$E332="",$C332&lt;1300,$C332&gt;1500,$D332&lt;1,$D332&gt;12,$E332&lt;1,$E332&gt;31),"نامعتبر",RIGHT("0000"&amp;$C332,4)&amp;"/"&amp;RIGHT("00"&amp;$D332,2)&amp;"/"&amp;RIGHT("00"&amp;$E332,2)))</f>
        <v/>
      </c>
      <c r="G332">
        <f>IF(OR($A332="",$F332="",$F332="نامعتبر"),"",LEFT($F332,4)&amp;MID($F332,6,2)&amp;RIGHT($F332,2)&amp;"0000"&amp;"|"&amp;"1"&amp;RIGHT("00000"&amp;327,5))</f>
        <v/>
      </c>
      <c r="H332">
        <f>IF(OR($B332&lt;&gt;1,$G332=""),"",COUNTIFS(LdAParty,$A332,LdAType,1,LdAKey,"&lt;"&amp;$G332)+COUNTIFS(LdBMember,$A332,LdBKey,"&lt;"&amp;$G332)+COUNTIFS(LdCParty,$A332,LdCKey,"&lt;"&amp;$G332)+1)</f>
        <v/>
      </c>
      <c r="I332">
        <f>IF($H332="","",$A332&amp;"|"&amp;RIGHT("000000"&amp;$H332,6))</f>
        <v/>
      </c>
      <c r="J332">
        <f>IF(OR($B332&lt;&gt;2,$G332=""),"",COUNTIFS(LdAParty,$A332,LdAType,2,LdAKey,"&lt;"&amp;$G332)+1)</f>
        <v/>
      </c>
      <c r="K332">
        <f>IF($J332="","",$A332&amp;"|"&amp;RIGHT("000000"&amp;$J332,6))</f>
        <v/>
      </c>
      <c r="L332">
        <f>IF($A332="","",IF(Wages!$G335="",0,Wages!$G335))</f>
        <v/>
      </c>
      <c r="M332">
        <f>IF($A332="","",Wages!$J335)</f>
        <v/>
      </c>
      <c r="N332">
        <f>IF($A332="","",Wages!$D335)</f>
        <v/>
      </c>
      <c r="P332">
        <f>IF(OR(Shares!$B335="",Shares!$C335=""),"",Shares!$C335)</f>
        <v/>
      </c>
      <c r="Q332">
        <f>IF($P332="","",Shares!$B335)</f>
        <v/>
      </c>
      <c r="R332">
        <f>IF($P332="","",IFERROR(INDEX(WageParty,MATCH($Q332,WageIds,0)),""))</f>
        <v/>
      </c>
      <c r="S332">
        <f>IF($P332="","",IFERROR(INDEX($F$6:$F$2005,MATCH($Q332,WageIds,0)),""))</f>
        <v/>
      </c>
      <c r="T332">
        <f>IF(OR($P332="",$S332="",$S332="نامعتبر"),"",LEFT($S332,4)&amp;MID($S332,6,2)&amp;RIGHT($S332,2)&amp;"0000"&amp;"|"&amp;"2"&amp;RIGHT("00000"&amp;327,5))</f>
        <v/>
      </c>
      <c r="U332">
        <f>IF($T332="","",COUNTIFS(LdAParty,$P332,LdAType,1,LdAKey,"&lt;"&amp;$T332)+COUNTIFS(LdBMember,$P332,LdBKey,"&lt;"&amp;$T332)+COUNTIFS(LdCParty,$P332,LdCKey,"&lt;"&amp;$T332)+1)</f>
        <v/>
      </c>
      <c r="V332">
        <f>IF($U332="","",$P332&amp;"|"&amp;RIGHT("000000"&amp;$U332,6))</f>
        <v/>
      </c>
      <c r="W332">
        <f>IF($T332="","",COUNTIFS(LdBGroup,$R332,LdBKey,"&lt;"&amp;$T332)+1)</f>
        <v/>
      </c>
      <c r="X332">
        <f>IF($W332="","",$R332&amp;"|"&amp;RIGHT("000000"&amp;$W332,6))</f>
        <v/>
      </c>
      <c r="Y332">
        <f>IF($P332="","",IF(Shares!$E335="",0,Shares!$E335))</f>
        <v/>
      </c>
      <c r="Z332">
        <f>IF($P332="","",Shares!$H335)</f>
        <v/>
      </c>
      <c r="AE332">
        <f>IF(OR(Sync!$S332="",Sync!$P332=""),"",Sync!$S332)</f>
        <v/>
      </c>
      <c r="AF332">
        <f>IF($AE332="","",IF(ISNUMBER(Sync!$P332),IF(AND(Sync!$P332&gt;=10000101,Sync!$P332&lt;=99991231),INT(Sync!$P332/10000),""),IFERROR(VALUE(TRIM(LEFT(Sync!$P332,FIND("/",Sync!$P332)-1))),"")))</f>
        <v/>
      </c>
      <c r="AG332">
        <f>IF(OR($AE332="",$AF332=""),"",IF(ISNUMBER(Sync!$P332),INT(MOD(Sync!$P332,10000)/100),IFERROR(VALUE(TRIM(LEFT(MID(Sync!$P332,FIND("/",Sync!$P332)+1,20),FIND("/",MID(Sync!$P332,FIND("/",Sync!$P332)+1,20))-1))),"")))</f>
        <v/>
      </c>
      <c r="AH332">
        <f>IF(OR($AE332="",$AF332=""),"",IF(ISNUMBER(Sync!$P332),MOD(Sync!$P332,100),IFERROR(VALUE(TRIM(MID(MID(Sync!$P332,FIND("/",Sync!$P332)+1,20),FIND("/",MID(Sync!$P332,FIND("/",Sync!$P332)+1,20))+1,20))),"")))</f>
        <v/>
      </c>
      <c r="AI332">
        <f>IF($AE332="","",IF(OR($AF332="",$AG332="",$AH332="",$AF332&lt;1300,$AF332&gt;1500,$AG332&lt;1,$AG332&gt;12,$AH332&lt;1,$AH332&gt;31),"نامعتبر",RIGHT("0000"&amp;$AF332,4)&amp;"/"&amp;RIGHT("00"&amp;$AG332,2)&amp;"/"&amp;RIGHT("00"&amp;$AH332,2)))</f>
        <v/>
      </c>
      <c r="AJ332">
        <f>IF($AE332="","",IF(Sync!$Q332="","0000",IF(AND(ISNUMBER(Sync!$Q332),Sync!$Q332&gt;=0,Sync!$Q332&lt;1),RIGHT("00"&amp;HOUR(Sync!$Q332),2)&amp;RIGHT("00"&amp;MINUTE(Sync!$Q332),2),IFERROR(RIGHT("00"&amp;VALUE(LEFT(Sync!$Q332,FIND(":",Sync!$Q332)-1)),2)&amp;RIGHT("00"&amp;VALUE(MID(Sync!$Q332,FIND(":",Sync!$Q332)+1,2)),2),"0000"))))</f>
        <v/>
      </c>
      <c r="AK332">
        <f>IF(OR($AE332="",$AI332="",$AI332="نامعتبر"),"",LEFT($AI332,4)&amp;MID($AI332,6,2)&amp;RIGHT($AI332,2)&amp;$AJ332&amp;"|"&amp;"3"&amp;RIGHT("00000"&amp;327,5))</f>
        <v/>
      </c>
      <c r="AL332">
        <f>IF($AK332="","",COUNTIFS(LdAParty,$AE332,LdAType,1,LdAKey,"&lt;"&amp;$AK332)+COUNTIFS(LdBMember,$AE332,LdBKey,"&lt;"&amp;$AK332)+COUNTIFS(LdCParty,$AE332,LdCKey,"&lt;"&amp;$AK332)+1)</f>
        <v/>
      </c>
      <c r="AM332">
        <f>IF($AL332="","",$AE332&amp;"|"&amp;RIGHT("000000"&amp;$AL332,6))</f>
        <v/>
      </c>
      <c r="AN332">
        <f>IF($AE332="","",IF(Sync!$W332="",0,Sync!$W332))</f>
        <v/>
      </c>
      <c r="AO332">
        <f>IF($AE332="","",IF(Sync!$X332="",0,Sync!$X332))</f>
        <v/>
      </c>
      <c r="AP332">
        <f>IF($AE332="","",Sync!$R332)</f>
        <v/>
      </c>
      <c r="AQ332">
        <f>IF($AE332="","",Sync!$Y332)</f>
        <v/>
      </c>
    </row>
    <row r="333">
      <c r="A333">
        <f>IF(OR(Wages!$B336="",Wages!$E336=""),"",Wages!$E336)</f>
        <v/>
      </c>
      <c r="B333">
        <f>IF($A333="","",IF(Wages!$C336="دستمزد گروهی",2,1))</f>
        <v/>
      </c>
      <c r="C333">
        <f>IF($A333="","",IF(ISNUMBER(Wages!$B336),IF(AND(Wages!$B336&gt;=10000101,Wages!$B336&lt;=99991231),INT(Wages!$B336/10000),""),IFERROR(VALUE(TRIM(LEFT(Wages!$B336,FIND("/",Wages!$B336)-1))),"")))</f>
        <v/>
      </c>
      <c r="D333">
        <f>IF(OR($A333="",$C333=""),"",IF(ISNUMBER(Wages!$B336),INT(MOD(Wages!$B336,10000)/100),IFERROR(VALUE(TRIM(LEFT(MID(Wages!$B336,FIND("/",Wages!$B336)+1,20),FIND("/",MID(Wages!$B336,FIND("/",Wages!$B336)+1,20))-1))),"")))</f>
        <v/>
      </c>
      <c r="E333">
        <f>IF(OR($A333="",$C333=""),"",IF(ISNUMBER(Wages!$B336),MOD(Wages!$B336,100),IFERROR(VALUE(TRIM(MID(MID(Wages!$B336,FIND("/",Wages!$B336)+1,20),FIND("/",MID(Wages!$B336,FIND("/",Wages!$B336)+1,20))+1,20))),"")))</f>
        <v/>
      </c>
      <c r="F333">
        <f>IF($A333="","",IF(OR($C333="",$D333="",$E333="",$C333&lt;1300,$C333&gt;1500,$D333&lt;1,$D333&gt;12,$E333&lt;1,$E333&gt;31),"نامعتبر",RIGHT("0000"&amp;$C333,4)&amp;"/"&amp;RIGHT("00"&amp;$D333,2)&amp;"/"&amp;RIGHT("00"&amp;$E333,2)))</f>
        <v/>
      </c>
      <c r="G333">
        <f>IF(OR($A333="",$F333="",$F333="نامعتبر"),"",LEFT($F333,4)&amp;MID($F333,6,2)&amp;RIGHT($F333,2)&amp;"0000"&amp;"|"&amp;"1"&amp;RIGHT("00000"&amp;328,5))</f>
        <v/>
      </c>
      <c r="H333">
        <f>IF(OR($B333&lt;&gt;1,$G333=""),"",COUNTIFS(LdAParty,$A333,LdAType,1,LdAKey,"&lt;"&amp;$G333)+COUNTIFS(LdBMember,$A333,LdBKey,"&lt;"&amp;$G333)+COUNTIFS(LdCParty,$A333,LdCKey,"&lt;"&amp;$G333)+1)</f>
        <v/>
      </c>
      <c r="I333">
        <f>IF($H333="","",$A333&amp;"|"&amp;RIGHT("000000"&amp;$H333,6))</f>
        <v/>
      </c>
      <c r="J333">
        <f>IF(OR($B333&lt;&gt;2,$G333=""),"",COUNTIFS(LdAParty,$A333,LdAType,2,LdAKey,"&lt;"&amp;$G333)+1)</f>
        <v/>
      </c>
      <c r="K333">
        <f>IF($J333="","",$A333&amp;"|"&amp;RIGHT("000000"&amp;$J333,6))</f>
        <v/>
      </c>
      <c r="L333">
        <f>IF($A333="","",IF(Wages!$G336="",0,Wages!$G336))</f>
        <v/>
      </c>
      <c r="M333">
        <f>IF($A333="","",Wages!$J336)</f>
        <v/>
      </c>
      <c r="N333">
        <f>IF($A333="","",Wages!$D336)</f>
        <v/>
      </c>
      <c r="P333">
        <f>IF(OR(Shares!$B336="",Shares!$C336=""),"",Shares!$C336)</f>
        <v/>
      </c>
      <c r="Q333">
        <f>IF($P333="","",Shares!$B336)</f>
        <v/>
      </c>
      <c r="R333">
        <f>IF($P333="","",IFERROR(INDEX(WageParty,MATCH($Q333,WageIds,0)),""))</f>
        <v/>
      </c>
      <c r="S333">
        <f>IF($P333="","",IFERROR(INDEX($F$6:$F$2005,MATCH($Q333,WageIds,0)),""))</f>
        <v/>
      </c>
      <c r="T333">
        <f>IF(OR($P333="",$S333="",$S333="نامعتبر"),"",LEFT($S333,4)&amp;MID($S333,6,2)&amp;RIGHT($S333,2)&amp;"0000"&amp;"|"&amp;"2"&amp;RIGHT("00000"&amp;328,5))</f>
        <v/>
      </c>
      <c r="U333">
        <f>IF($T333="","",COUNTIFS(LdAParty,$P333,LdAType,1,LdAKey,"&lt;"&amp;$T333)+COUNTIFS(LdBMember,$P333,LdBKey,"&lt;"&amp;$T333)+COUNTIFS(LdCParty,$P333,LdCKey,"&lt;"&amp;$T333)+1)</f>
        <v/>
      </c>
      <c r="V333">
        <f>IF($U333="","",$P333&amp;"|"&amp;RIGHT("000000"&amp;$U333,6))</f>
        <v/>
      </c>
      <c r="W333">
        <f>IF($T333="","",COUNTIFS(LdBGroup,$R333,LdBKey,"&lt;"&amp;$T333)+1)</f>
        <v/>
      </c>
      <c r="X333">
        <f>IF($W333="","",$R333&amp;"|"&amp;RIGHT("000000"&amp;$W333,6))</f>
        <v/>
      </c>
      <c r="Y333">
        <f>IF($P333="","",IF(Shares!$E336="",0,Shares!$E336))</f>
        <v/>
      </c>
      <c r="Z333">
        <f>IF($P333="","",Shares!$H336)</f>
        <v/>
      </c>
      <c r="AE333">
        <f>IF(OR(Sync!$S333="",Sync!$P333=""),"",Sync!$S333)</f>
        <v/>
      </c>
      <c r="AF333">
        <f>IF($AE333="","",IF(ISNUMBER(Sync!$P333),IF(AND(Sync!$P333&gt;=10000101,Sync!$P333&lt;=99991231),INT(Sync!$P333/10000),""),IFERROR(VALUE(TRIM(LEFT(Sync!$P333,FIND("/",Sync!$P333)-1))),"")))</f>
        <v/>
      </c>
      <c r="AG333">
        <f>IF(OR($AE333="",$AF333=""),"",IF(ISNUMBER(Sync!$P333),INT(MOD(Sync!$P333,10000)/100),IFERROR(VALUE(TRIM(LEFT(MID(Sync!$P333,FIND("/",Sync!$P333)+1,20),FIND("/",MID(Sync!$P333,FIND("/",Sync!$P333)+1,20))-1))),"")))</f>
        <v/>
      </c>
      <c r="AH333">
        <f>IF(OR($AE333="",$AF333=""),"",IF(ISNUMBER(Sync!$P333),MOD(Sync!$P333,100),IFERROR(VALUE(TRIM(MID(MID(Sync!$P333,FIND("/",Sync!$P333)+1,20),FIND("/",MID(Sync!$P333,FIND("/",Sync!$P333)+1,20))+1,20))),"")))</f>
        <v/>
      </c>
      <c r="AI333">
        <f>IF($AE333="","",IF(OR($AF333="",$AG333="",$AH333="",$AF333&lt;1300,$AF333&gt;1500,$AG333&lt;1,$AG333&gt;12,$AH333&lt;1,$AH333&gt;31),"نامعتبر",RIGHT("0000"&amp;$AF333,4)&amp;"/"&amp;RIGHT("00"&amp;$AG333,2)&amp;"/"&amp;RIGHT("00"&amp;$AH333,2)))</f>
        <v/>
      </c>
      <c r="AJ333">
        <f>IF($AE333="","",IF(Sync!$Q333="","0000",IF(AND(ISNUMBER(Sync!$Q333),Sync!$Q333&gt;=0,Sync!$Q333&lt;1),RIGHT("00"&amp;HOUR(Sync!$Q333),2)&amp;RIGHT("00"&amp;MINUTE(Sync!$Q333),2),IFERROR(RIGHT("00"&amp;VALUE(LEFT(Sync!$Q333,FIND(":",Sync!$Q333)-1)),2)&amp;RIGHT("00"&amp;VALUE(MID(Sync!$Q333,FIND(":",Sync!$Q333)+1,2)),2),"0000"))))</f>
        <v/>
      </c>
      <c r="AK333">
        <f>IF(OR($AE333="",$AI333="",$AI333="نامعتبر"),"",LEFT($AI333,4)&amp;MID($AI333,6,2)&amp;RIGHT($AI333,2)&amp;$AJ333&amp;"|"&amp;"3"&amp;RIGHT("00000"&amp;328,5))</f>
        <v/>
      </c>
      <c r="AL333">
        <f>IF($AK333="","",COUNTIFS(LdAParty,$AE333,LdAType,1,LdAKey,"&lt;"&amp;$AK333)+COUNTIFS(LdBMember,$AE333,LdBKey,"&lt;"&amp;$AK333)+COUNTIFS(LdCParty,$AE333,LdCKey,"&lt;"&amp;$AK333)+1)</f>
        <v/>
      </c>
      <c r="AM333">
        <f>IF($AL333="","",$AE333&amp;"|"&amp;RIGHT("000000"&amp;$AL333,6))</f>
        <v/>
      </c>
      <c r="AN333">
        <f>IF($AE333="","",IF(Sync!$W333="",0,Sync!$W333))</f>
        <v/>
      </c>
      <c r="AO333">
        <f>IF($AE333="","",IF(Sync!$X333="",0,Sync!$X333))</f>
        <v/>
      </c>
      <c r="AP333">
        <f>IF($AE333="","",Sync!$R333)</f>
        <v/>
      </c>
      <c r="AQ333">
        <f>IF($AE333="","",Sync!$Y333)</f>
        <v/>
      </c>
    </row>
    <row r="334">
      <c r="A334">
        <f>IF(OR(Wages!$B337="",Wages!$E337=""),"",Wages!$E337)</f>
        <v/>
      </c>
      <c r="B334">
        <f>IF($A334="","",IF(Wages!$C337="دستمزد گروهی",2,1))</f>
        <v/>
      </c>
      <c r="C334">
        <f>IF($A334="","",IF(ISNUMBER(Wages!$B337),IF(AND(Wages!$B337&gt;=10000101,Wages!$B337&lt;=99991231),INT(Wages!$B337/10000),""),IFERROR(VALUE(TRIM(LEFT(Wages!$B337,FIND("/",Wages!$B337)-1))),"")))</f>
        <v/>
      </c>
      <c r="D334">
        <f>IF(OR($A334="",$C334=""),"",IF(ISNUMBER(Wages!$B337),INT(MOD(Wages!$B337,10000)/100),IFERROR(VALUE(TRIM(LEFT(MID(Wages!$B337,FIND("/",Wages!$B337)+1,20),FIND("/",MID(Wages!$B337,FIND("/",Wages!$B337)+1,20))-1))),"")))</f>
        <v/>
      </c>
      <c r="E334">
        <f>IF(OR($A334="",$C334=""),"",IF(ISNUMBER(Wages!$B337),MOD(Wages!$B337,100),IFERROR(VALUE(TRIM(MID(MID(Wages!$B337,FIND("/",Wages!$B337)+1,20),FIND("/",MID(Wages!$B337,FIND("/",Wages!$B337)+1,20))+1,20))),"")))</f>
        <v/>
      </c>
      <c r="F334">
        <f>IF($A334="","",IF(OR($C334="",$D334="",$E334="",$C334&lt;1300,$C334&gt;1500,$D334&lt;1,$D334&gt;12,$E334&lt;1,$E334&gt;31),"نامعتبر",RIGHT("0000"&amp;$C334,4)&amp;"/"&amp;RIGHT("00"&amp;$D334,2)&amp;"/"&amp;RIGHT("00"&amp;$E334,2)))</f>
        <v/>
      </c>
      <c r="G334">
        <f>IF(OR($A334="",$F334="",$F334="نامعتبر"),"",LEFT($F334,4)&amp;MID($F334,6,2)&amp;RIGHT($F334,2)&amp;"0000"&amp;"|"&amp;"1"&amp;RIGHT("00000"&amp;329,5))</f>
        <v/>
      </c>
      <c r="H334">
        <f>IF(OR($B334&lt;&gt;1,$G334=""),"",COUNTIFS(LdAParty,$A334,LdAType,1,LdAKey,"&lt;"&amp;$G334)+COUNTIFS(LdBMember,$A334,LdBKey,"&lt;"&amp;$G334)+COUNTIFS(LdCParty,$A334,LdCKey,"&lt;"&amp;$G334)+1)</f>
        <v/>
      </c>
      <c r="I334">
        <f>IF($H334="","",$A334&amp;"|"&amp;RIGHT("000000"&amp;$H334,6))</f>
        <v/>
      </c>
      <c r="J334">
        <f>IF(OR($B334&lt;&gt;2,$G334=""),"",COUNTIFS(LdAParty,$A334,LdAType,2,LdAKey,"&lt;"&amp;$G334)+1)</f>
        <v/>
      </c>
      <c r="K334">
        <f>IF($J334="","",$A334&amp;"|"&amp;RIGHT("000000"&amp;$J334,6))</f>
        <v/>
      </c>
      <c r="L334">
        <f>IF($A334="","",IF(Wages!$G337="",0,Wages!$G337))</f>
        <v/>
      </c>
      <c r="M334">
        <f>IF($A334="","",Wages!$J337)</f>
        <v/>
      </c>
      <c r="N334">
        <f>IF($A334="","",Wages!$D337)</f>
        <v/>
      </c>
      <c r="P334">
        <f>IF(OR(Shares!$B337="",Shares!$C337=""),"",Shares!$C337)</f>
        <v/>
      </c>
      <c r="Q334">
        <f>IF($P334="","",Shares!$B337)</f>
        <v/>
      </c>
      <c r="R334">
        <f>IF($P334="","",IFERROR(INDEX(WageParty,MATCH($Q334,WageIds,0)),""))</f>
        <v/>
      </c>
      <c r="S334">
        <f>IF($P334="","",IFERROR(INDEX($F$6:$F$2005,MATCH($Q334,WageIds,0)),""))</f>
        <v/>
      </c>
      <c r="T334">
        <f>IF(OR($P334="",$S334="",$S334="نامعتبر"),"",LEFT($S334,4)&amp;MID($S334,6,2)&amp;RIGHT($S334,2)&amp;"0000"&amp;"|"&amp;"2"&amp;RIGHT("00000"&amp;329,5))</f>
        <v/>
      </c>
      <c r="U334">
        <f>IF($T334="","",COUNTIFS(LdAParty,$P334,LdAType,1,LdAKey,"&lt;"&amp;$T334)+COUNTIFS(LdBMember,$P334,LdBKey,"&lt;"&amp;$T334)+COUNTIFS(LdCParty,$P334,LdCKey,"&lt;"&amp;$T334)+1)</f>
        <v/>
      </c>
      <c r="V334">
        <f>IF($U334="","",$P334&amp;"|"&amp;RIGHT("000000"&amp;$U334,6))</f>
        <v/>
      </c>
      <c r="W334">
        <f>IF($T334="","",COUNTIFS(LdBGroup,$R334,LdBKey,"&lt;"&amp;$T334)+1)</f>
        <v/>
      </c>
      <c r="X334">
        <f>IF($W334="","",$R334&amp;"|"&amp;RIGHT("000000"&amp;$W334,6))</f>
        <v/>
      </c>
      <c r="Y334">
        <f>IF($P334="","",IF(Shares!$E337="",0,Shares!$E337))</f>
        <v/>
      </c>
      <c r="Z334">
        <f>IF($P334="","",Shares!$H337)</f>
        <v/>
      </c>
      <c r="AE334">
        <f>IF(OR(Sync!$S334="",Sync!$P334=""),"",Sync!$S334)</f>
        <v/>
      </c>
      <c r="AF334">
        <f>IF($AE334="","",IF(ISNUMBER(Sync!$P334),IF(AND(Sync!$P334&gt;=10000101,Sync!$P334&lt;=99991231),INT(Sync!$P334/10000),""),IFERROR(VALUE(TRIM(LEFT(Sync!$P334,FIND("/",Sync!$P334)-1))),"")))</f>
        <v/>
      </c>
      <c r="AG334">
        <f>IF(OR($AE334="",$AF334=""),"",IF(ISNUMBER(Sync!$P334),INT(MOD(Sync!$P334,10000)/100),IFERROR(VALUE(TRIM(LEFT(MID(Sync!$P334,FIND("/",Sync!$P334)+1,20),FIND("/",MID(Sync!$P334,FIND("/",Sync!$P334)+1,20))-1))),"")))</f>
        <v/>
      </c>
      <c r="AH334">
        <f>IF(OR($AE334="",$AF334=""),"",IF(ISNUMBER(Sync!$P334),MOD(Sync!$P334,100),IFERROR(VALUE(TRIM(MID(MID(Sync!$P334,FIND("/",Sync!$P334)+1,20),FIND("/",MID(Sync!$P334,FIND("/",Sync!$P334)+1,20))+1,20))),"")))</f>
        <v/>
      </c>
      <c r="AI334">
        <f>IF($AE334="","",IF(OR($AF334="",$AG334="",$AH334="",$AF334&lt;1300,$AF334&gt;1500,$AG334&lt;1,$AG334&gt;12,$AH334&lt;1,$AH334&gt;31),"نامعتبر",RIGHT("0000"&amp;$AF334,4)&amp;"/"&amp;RIGHT("00"&amp;$AG334,2)&amp;"/"&amp;RIGHT("00"&amp;$AH334,2)))</f>
        <v/>
      </c>
      <c r="AJ334">
        <f>IF($AE334="","",IF(Sync!$Q334="","0000",IF(AND(ISNUMBER(Sync!$Q334),Sync!$Q334&gt;=0,Sync!$Q334&lt;1),RIGHT("00"&amp;HOUR(Sync!$Q334),2)&amp;RIGHT("00"&amp;MINUTE(Sync!$Q334),2),IFERROR(RIGHT("00"&amp;VALUE(LEFT(Sync!$Q334,FIND(":",Sync!$Q334)-1)),2)&amp;RIGHT("00"&amp;VALUE(MID(Sync!$Q334,FIND(":",Sync!$Q334)+1,2)),2),"0000"))))</f>
        <v/>
      </c>
      <c r="AK334">
        <f>IF(OR($AE334="",$AI334="",$AI334="نامعتبر"),"",LEFT($AI334,4)&amp;MID($AI334,6,2)&amp;RIGHT($AI334,2)&amp;$AJ334&amp;"|"&amp;"3"&amp;RIGHT("00000"&amp;329,5))</f>
        <v/>
      </c>
      <c r="AL334">
        <f>IF($AK334="","",COUNTIFS(LdAParty,$AE334,LdAType,1,LdAKey,"&lt;"&amp;$AK334)+COUNTIFS(LdBMember,$AE334,LdBKey,"&lt;"&amp;$AK334)+COUNTIFS(LdCParty,$AE334,LdCKey,"&lt;"&amp;$AK334)+1)</f>
        <v/>
      </c>
      <c r="AM334">
        <f>IF($AL334="","",$AE334&amp;"|"&amp;RIGHT("000000"&amp;$AL334,6))</f>
        <v/>
      </c>
      <c r="AN334">
        <f>IF($AE334="","",IF(Sync!$W334="",0,Sync!$W334))</f>
        <v/>
      </c>
      <c r="AO334">
        <f>IF($AE334="","",IF(Sync!$X334="",0,Sync!$X334))</f>
        <v/>
      </c>
      <c r="AP334">
        <f>IF($AE334="","",Sync!$R334)</f>
        <v/>
      </c>
      <c r="AQ334">
        <f>IF($AE334="","",Sync!$Y334)</f>
        <v/>
      </c>
    </row>
    <row r="335">
      <c r="A335">
        <f>IF(OR(Wages!$B338="",Wages!$E338=""),"",Wages!$E338)</f>
        <v/>
      </c>
      <c r="B335">
        <f>IF($A335="","",IF(Wages!$C338="دستمزد گروهی",2,1))</f>
        <v/>
      </c>
      <c r="C335">
        <f>IF($A335="","",IF(ISNUMBER(Wages!$B338),IF(AND(Wages!$B338&gt;=10000101,Wages!$B338&lt;=99991231),INT(Wages!$B338/10000),""),IFERROR(VALUE(TRIM(LEFT(Wages!$B338,FIND("/",Wages!$B338)-1))),"")))</f>
        <v/>
      </c>
      <c r="D335">
        <f>IF(OR($A335="",$C335=""),"",IF(ISNUMBER(Wages!$B338),INT(MOD(Wages!$B338,10000)/100),IFERROR(VALUE(TRIM(LEFT(MID(Wages!$B338,FIND("/",Wages!$B338)+1,20),FIND("/",MID(Wages!$B338,FIND("/",Wages!$B338)+1,20))-1))),"")))</f>
        <v/>
      </c>
      <c r="E335">
        <f>IF(OR($A335="",$C335=""),"",IF(ISNUMBER(Wages!$B338),MOD(Wages!$B338,100),IFERROR(VALUE(TRIM(MID(MID(Wages!$B338,FIND("/",Wages!$B338)+1,20),FIND("/",MID(Wages!$B338,FIND("/",Wages!$B338)+1,20))+1,20))),"")))</f>
        <v/>
      </c>
      <c r="F335">
        <f>IF($A335="","",IF(OR($C335="",$D335="",$E335="",$C335&lt;1300,$C335&gt;1500,$D335&lt;1,$D335&gt;12,$E335&lt;1,$E335&gt;31),"نامعتبر",RIGHT("0000"&amp;$C335,4)&amp;"/"&amp;RIGHT("00"&amp;$D335,2)&amp;"/"&amp;RIGHT("00"&amp;$E335,2)))</f>
        <v/>
      </c>
      <c r="G335">
        <f>IF(OR($A335="",$F335="",$F335="نامعتبر"),"",LEFT($F335,4)&amp;MID($F335,6,2)&amp;RIGHT($F335,2)&amp;"0000"&amp;"|"&amp;"1"&amp;RIGHT("00000"&amp;330,5))</f>
        <v/>
      </c>
      <c r="H335">
        <f>IF(OR($B335&lt;&gt;1,$G335=""),"",COUNTIFS(LdAParty,$A335,LdAType,1,LdAKey,"&lt;"&amp;$G335)+COUNTIFS(LdBMember,$A335,LdBKey,"&lt;"&amp;$G335)+COUNTIFS(LdCParty,$A335,LdCKey,"&lt;"&amp;$G335)+1)</f>
        <v/>
      </c>
      <c r="I335">
        <f>IF($H335="","",$A335&amp;"|"&amp;RIGHT("000000"&amp;$H335,6))</f>
        <v/>
      </c>
      <c r="J335">
        <f>IF(OR($B335&lt;&gt;2,$G335=""),"",COUNTIFS(LdAParty,$A335,LdAType,2,LdAKey,"&lt;"&amp;$G335)+1)</f>
        <v/>
      </c>
      <c r="K335">
        <f>IF($J335="","",$A335&amp;"|"&amp;RIGHT("000000"&amp;$J335,6))</f>
        <v/>
      </c>
      <c r="L335">
        <f>IF($A335="","",IF(Wages!$G338="",0,Wages!$G338))</f>
        <v/>
      </c>
      <c r="M335">
        <f>IF($A335="","",Wages!$J338)</f>
        <v/>
      </c>
      <c r="N335">
        <f>IF($A335="","",Wages!$D338)</f>
        <v/>
      </c>
      <c r="P335">
        <f>IF(OR(Shares!$B338="",Shares!$C338=""),"",Shares!$C338)</f>
        <v/>
      </c>
      <c r="Q335">
        <f>IF($P335="","",Shares!$B338)</f>
        <v/>
      </c>
      <c r="R335">
        <f>IF($P335="","",IFERROR(INDEX(WageParty,MATCH($Q335,WageIds,0)),""))</f>
        <v/>
      </c>
      <c r="S335">
        <f>IF($P335="","",IFERROR(INDEX($F$6:$F$2005,MATCH($Q335,WageIds,0)),""))</f>
        <v/>
      </c>
      <c r="T335">
        <f>IF(OR($P335="",$S335="",$S335="نامعتبر"),"",LEFT($S335,4)&amp;MID($S335,6,2)&amp;RIGHT($S335,2)&amp;"0000"&amp;"|"&amp;"2"&amp;RIGHT("00000"&amp;330,5))</f>
        <v/>
      </c>
      <c r="U335">
        <f>IF($T335="","",COUNTIFS(LdAParty,$P335,LdAType,1,LdAKey,"&lt;"&amp;$T335)+COUNTIFS(LdBMember,$P335,LdBKey,"&lt;"&amp;$T335)+COUNTIFS(LdCParty,$P335,LdCKey,"&lt;"&amp;$T335)+1)</f>
        <v/>
      </c>
      <c r="V335">
        <f>IF($U335="","",$P335&amp;"|"&amp;RIGHT("000000"&amp;$U335,6))</f>
        <v/>
      </c>
      <c r="W335">
        <f>IF($T335="","",COUNTIFS(LdBGroup,$R335,LdBKey,"&lt;"&amp;$T335)+1)</f>
        <v/>
      </c>
      <c r="X335">
        <f>IF($W335="","",$R335&amp;"|"&amp;RIGHT("000000"&amp;$W335,6))</f>
        <v/>
      </c>
      <c r="Y335">
        <f>IF($P335="","",IF(Shares!$E338="",0,Shares!$E338))</f>
        <v/>
      </c>
      <c r="Z335">
        <f>IF($P335="","",Shares!$H338)</f>
        <v/>
      </c>
      <c r="AE335">
        <f>IF(OR(Sync!$S335="",Sync!$P335=""),"",Sync!$S335)</f>
        <v/>
      </c>
      <c r="AF335">
        <f>IF($AE335="","",IF(ISNUMBER(Sync!$P335),IF(AND(Sync!$P335&gt;=10000101,Sync!$P335&lt;=99991231),INT(Sync!$P335/10000),""),IFERROR(VALUE(TRIM(LEFT(Sync!$P335,FIND("/",Sync!$P335)-1))),"")))</f>
        <v/>
      </c>
      <c r="AG335">
        <f>IF(OR($AE335="",$AF335=""),"",IF(ISNUMBER(Sync!$P335),INT(MOD(Sync!$P335,10000)/100),IFERROR(VALUE(TRIM(LEFT(MID(Sync!$P335,FIND("/",Sync!$P335)+1,20),FIND("/",MID(Sync!$P335,FIND("/",Sync!$P335)+1,20))-1))),"")))</f>
        <v/>
      </c>
      <c r="AH335">
        <f>IF(OR($AE335="",$AF335=""),"",IF(ISNUMBER(Sync!$P335),MOD(Sync!$P335,100),IFERROR(VALUE(TRIM(MID(MID(Sync!$P335,FIND("/",Sync!$P335)+1,20),FIND("/",MID(Sync!$P335,FIND("/",Sync!$P335)+1,20))+1,20))),"")))</f>
        <v/>
      </c>
      <c r="AI335">
        <f>IF($AE335="","",IF(OR($AF335="",$AG335="",$AH335="",$AF335&lt;1300,$AF335&gt;1500,$AG335&lt;1,$AG335&gt;12,$AH335&lt;1,$AH335&gt;31),"نامعتبر",RIGHT("0000"&amp;$AF335,4)&amp;"/"&amp;RIGHT("00"&amp;$AG335,2)&amp;"/"&amp;RIGHT("00"&amp;$AH335,2)))</f>
        <v/>
      </c>
      <c r="AJ335">
        <f>IF($AE335="","",IF(Sync!$Q335="","0000",IF(AND(ISNUMBER(Sync!$Q335),Sync!$Q335&gt;=0,Sync!$Q335&lt;1),RIGHT("00"&amp;HOUR(Sync!$Q335),2)&amp;RIGHT("00"&amp;MINUTE(Sync!$Q335),2),IFERROR(RIGHT("00"&amp;VALUE(LEFT(Sync!$Q335,FIND(":",Sync!$Q335)-1)),2)&amp;RIGHT("00"&amp;VALUE(MID(Sync!$Q335,FIND(":",Sync!$Q335)+1,2)),2),"0000"))))</f>
        <v/>
      </c>
      <c r="AK335">
        <f>IF(OR($AE335="",$AI335="",$AI335="نامعتبر"),"",LEFT($AI335,4)&amp;MID($AI335,6,2)&amp;RIGHT($AI335,2)&amp;$AJ335&amp;"|"&amp;"3"&amp;RIGHT("00000"&amp;330,5))</f>
        <v/>
      </c>
      <c r="AL335">
        <f>IF($AK335="","",COUNTIFS(LdAParty,$AE335,LdAType,1,LdAKey,"&lt;"&amp;$AK335)+COUNTIFS(LdBMember,$AE335,LdBKey,"&lt;"&amp;$AK335)+COUNTIFS(LdCParty,$AE335,LdCKey,"&lt;"&amp;$AK335)+1)</f>
        <v/>
      </c>
      <c r="AM335">
        <f>IF($AL335="","",$AE335&amp;"|"&amp;RIGHT("000000"&amp;$AL335,6))</f>
        <v/>
      </c>
      <c r="AN335">
        <f>IF($AE335="","",IF(Sync!$W335="",0,Sync!$W335))</f>
        <v/>
      </c>
      <c r="AO335">
        <f>IF($AE335="","",IF(Sync!$X335="",0,Sync!$X335))</f>
        <v/>
      </c>
      <c r="AP335">
        <f>IF($AE335="","",Sync!$R335)</f>
        <v/>
      </c>
      <c r="AQ335">
        <f>IF($AE335="","",Sync!$Y335)</f>
        <v/>
      </c>
    </row>
    <row r="336">
      <c r="A336">
        <f>IF(OR(Wages!$B339="",Wages!$E339=""),"",Wages!$E339)</f>
        <v/>
      </c>
      <c r="B336">
        <f>IF($A336="","",IF(Wages!$C339="دستمزد گروهی",2,1))</f>
        <v/>
      </c>
      <c r="C336">
        <f>IF($A336="","",IF(ISNUMBER(Wages!$B339),IF(AND(Wages!$B339&gt;=10000101,Wages!$B339&lt;=99991231),INT(Wages!$B339/10000),""),IFERROR(VALUE(TRIM(LEFT(Wages!$B339,FIND("/",Wages!$B339)-1))),"")))</f>
        <v/>
      </c>
      <c r="D336">
        <f>IF(OR($A336="",$C336=""),"",IF(ISNUMBER(Wages!$B339),INT(MOD(Wages!$B339,10000)/100),IFERROR(VALUE(TRIM(LEFT(MID(Wages!$B339,FIND("/",Wages!$B339)+1,20),FIND("/",MID(Wages!$B339,FIND("/",Wages!$B339)+1,20))-1))),"")))</f>
        <v/>
      </c>
      <c r="E336">
        <f>IF(OR($A336="",$C336=""),"",IF(ISNUMBER(Wages!$B339),MOD(Wages!$B339,100),IFERROR(VALUE(TRIM(MID(MID(Wages!$B339,FIND("/",Wages!$B339)+1,20),FIND("/",MID(Wages!$B339,FIND("/",Wages!$B339)+1,20))+1,20))),"")))</f>
        <v/>
      </c>
      <c r="F336">
        <f>IF($A336="","",IF(OR($C336="",$D336="",$E336="",$C336&lt;1300,$C336&gt;1500,$D336&lt;1,$D336&gt;12,$E336&lt;1,$E336&gt;31),"نامعتبر",RIGHT("0000"&amp;$C336,4)&amp;"/"&amp;RIGHT("00"&amp;$D336,2)&amp;"/"&amp;RIGHT("00"&amp;$E336,2)))</f>
        <v/>
      </c>
      <c r="G336">
        <f>IF(OR($A336="",$F336="",$F336="نامعتبر"),"",LEFT($F336,4)&amp;MID($F336,6,2)&amp;RIGHT($F336,2)&amp;"0000"&amp;"|"&amp;"1"&amp;RIGHT("00000"&amp;331,5))</f>
        <v/>
      </c>
      <c r="H336">
        <f>IF(OR($B336&lt;&gt;1,$G336=""),"",COUNTIFS(LdAParty,$A336,LdAType,1,LdAKey,"&lt;"&amp;$G336)+COUNTIFS(LdBMember,$A336,LdBKey,"&lt;"&amp;$G336)+COUNTIFS(LdCParty,$A336,LdCKey,"&lt;"&amp;$G336)+1)</f>
        <v/>
      </c>
      <c r="I336">
        <f>IF($H336="","",$A336&amp;"|"&amp;RIGHT("000000"&amp;$H336,6))</f>
        <v/>
      </c>
      <c r="J336">
        <f>IF(OR($B336&lt;&gt;2,$G336=""),"",COUNTIFS(LdAParty,$A336,LdAType,2,LdAKey,"&lt;"&amp;$G336)+1)</f>
        <v/>
      </c>
      <c r="K336">
        <f>IF($J336="","",$A336&amp;"|"&amp;RIGHT("000000"&amp;$J336,6))</f>
        <v/>
      </c>
      <c r="L336">
        <f>IF($A336="","",IF(Wages!$G339="",0,Wages!$G339))</f>
        <v/>
      </c>
      <c r="M336">
        <f>IF($A336="","",Wages!$J339)</f>
        <v/>
      </c>
      <c r="N336">
        <f>IF($A336="","",Wages!$D339)</f>
        <v/>
      </c>
      <c r="P336">
        <f>IF(OR(Shares!$B339="",Shares!$C339=""),"",Shares!$C339)</f>
        <v/>
      </c>
      <c r="Q336">
        <f>IF($P336="","",Shares!$B339)</f>
        <v/>
      </c>
      <c r="R336">
        <f>IF($P336="","",IFERROR(INDEX(WageParty,MATCH($Q336,WageIds,0)),""))</f>
        <v/>
      </c>
      <c r="S336">
        <f>IF($P336="","",IFERROR(INDEX($F$6:$F$2005,MATCH($Q336,WageIds,0)),""))</f>
        <v/>
      </c>
      <c r="T336">
        <f>IF(OR($P336="",$S336="",$S336="نامعتبر"),"",LEFT($S336,4)&amp;MID($S336,6,2)&amp;RIGHT($S336,2)&amp;"0000"&amp;"|"&amp;"2"&amp;RIGHT("00000"&amp;331,5))</f>
        <v/>
      </c>
      <c r="U336">
        <f>IF($T336="","",COUNTIFS(LdAParty,$P336,LdAType,1,LdAKey,"&lt;"&amp;$T336)+COUNTIFS(LdBMember,$P336,LdBKey,"&lt;"&amp;$T336)+COUNTIFS(LdCParty,$P336,LdCKey,"&lt;"&amp;$T336)+1)</f>
        <v/>
      </c>
      <c r="V336">
        <f>IF($U336="","",$P336&amp;"|"&amp;RIGHT("000000"&amp;$U336,6))</f>
        <v/>
      </c>
      <c r="W336">
        <f>IF($T336="","",COUNTIFS(LdBGroup,$R336,LdBKey,"&lt;"&amp;$T336)+1)</f>
        <v/>
      </c>
      <c r="X336">
        <f>IF($W336="","",$R336&amp;"|"&amp;RIGHT("000000"&amp;$W336,6))</f>
        <v/>
      </c>
      <c r="Y336">
        <f>IF($P336="","",IF(Shares!$E339="",0,Shares!$E339))</f>
        <v/>
      </c>
      <c r="Z336">
        <f>IF($P336="","",Shares!$H339)</f>
        <v/>
      </c>
      <c r="AE336">
        <f>IF(OR(Sync!$S336="",Sync!$P336=""),"",Sync!$S336)</f>
        <v/>
      </c>
      <c r="AF336">
        <f>IF($AE336="","",IF(ISNUMBER(Sync!$P336),IF(AND(Sync!$P336&gt;=10000101,Sync!$P336&lt;=99991231),INT(Sync!$P336/10000),""),IFERROR(VALUE(TRIM(LEFT(Sync!$P336,FIND("/",Sync!$P336)-1))),"")))</f>
        <v/>
      </c>
      <c r="AG336">
        <f>IF(OR($AE336="",$AF336=""),"",IF(ISNUMBER(Sync!$P336),INT(MOD(Sync!$P336,10000)/100),IFERROR(VALUE(TRIM(LEFT(MID(Sync!$P336,FIND("/",Sync!$P336)+1,20),FIND("/",MID(Sync!$P336,FIND("/",Sync!$P336)+1,20))-1))),"")))</f>
        <v/>
      </c>
      <c r="AH336">
        <f>IF(OR($AE336="",$AF336=""),"",IF(ISNUMBER(Sync!$P336),MOD(Sync!$P336,100),IFERROR(VALUE(TRIM(MID(MID(Sync!$P336,FIND("/",Sync!$P336)+1,20),FIND("/",MID(Sync!$P336,FIND("/",Sync!$P336)+1,20))+1,20))),"")))</f>
        <v/>
      </c>
      <c r="AI336">
        <f>IF($AE336="","",IF(OR($AF336="",$AG336="",$AH336="",$AF336&lt;1300,$AF336&gt;1500,$AG336&lt;1,$AG336&gt;12,$AH336&lt;1,$AH336&gt;31),"نامعتبر",RIGHT("0000"&amp;$AF336,4)&amp;"/"&amp;RIGHT("00"&amp;$AG336,2)&amp;"/"&amp;RIGHT("00"&amp;$AH336,2)))</f>
        <v/>
      </c>
      <c r="AJ336">
        <f>IF($AE336="","",IF(Sync!$Q336="","0000",IF(AND(ISNUMBER(Sync!$Q336),Sync!$Q336&gt;=0,Sync!$Q336&lt;1),RIGHT("00"&amp;HOUR(Sync!$Q336),2)&amp;RIGHT("00"&amp;MINUTE(Sync!$Q336),2),IFERROR(RIGHT("00"&amp;VALUE(LEFT(Sync!$Q336,FIND(":",Sync!$Q336)-1)),2)&amp;RIGHT("00"&amp;VALUE(MID(Sync!$Q336,FIND(":",Sync!$Q336)+1,2)),2),"0000"))))</f>
        <v/>
      </c>
      <c r="AK336">
        <f>IF(OR($AE336="",$AI336="",$AI336="نامعتبر"),"",LEFT($AI336,4)&amp;MID($AI336,6,2)&amp;RIGHT($AI336,2)&amp;$AJ336&amp;"|"&amp;"3"&amp;RIGHT("00000"&amp;331,5))</f>
        <v/>
      </c>
      <c r="AL336">
        <f>IF($AK336="","",COUNTIFS(LdAParty,$AE336,LdAType,1,LdAKey,"&lt;"&amp;$AK336)+COUNTIFS(LdBMember,$AE336,LdBKey,"&lt;"&amp;$AK336)+COUNTIFS(LdCParty,$AE336,LdCKey,"&lt;"&amp;$AK336)+1)</f>
        <v/>
      </c>
      <c r="AM336">
        <f>IF($AL336="","",$AE336&amp;"|"&amp;RIGHT("000000"&amp;$AL336,6))</f>
        <v/>
      </c>
      <c r="AN336">
        <f>IF($AE336="","",IF(Sync!$W336="",0,Sync!$W336))</f>
        <v/>
      </c>
      <c r="AO336">
        <f>IF($AE336="","",IF(Sync!$X336="",0,Sync!$X336))</f>
        <v/>
      </c>
      <c r="AP336">
        <f>IF($AE336="","",Sync!$R336)</f>
        <v/>
      </c>
      <c r="AQ336">
        <f>IF($AE336="","",Sync!$Y336)</f>
        <v/>
      </c>
    </row>
    <row r="337">
      <c r="A337">
        <f>IF(OR(Wages!$B340="",Wages!$E340=""),"",Wages!$E340)</f>
        <v/>
      </c>
      <c r="B337">
        <f>IF($A337="","",IF(Wages!$C340="دستمزد گروهی",2,1))</f>
        <v/>
      </c>
      <c r="C337">
        <f>IF($A337="","",IF(ISNUMBER(Wages!$B340),IF(AND(Wages!$B340&gt;=10000101,Wages!$B340&lt;=99991231),INT(Wages!$B340/10000),""),IFERROR(VALUE(TRIM(LEFT(Wages!$B340,FIND("/",Wages!$B340)-1))),"")))</f>
        <v/>
      </c>
      <c r="D337">
        <f>IF(OR($A337="",$C337=""),"",IF(ISNUMBER(Wages!$B340),INT(MOD(Wages!$B340,10000)/100),IFERROR(VALUE(TRIM(LEFT(MID(Wages!$B340,FIND("/",Wages!$B340)+1,20),FIND("/",MID(Wages!$B340,FIND("/",Wages!$B340)+1,20))-1))),"")))</f>
        <v/>
      </c>
      <c r="E337">
        <f>IF(OR($A337="",$C337=""),"",IF(ISNUMBER(Wages!$B340),MOD(Wages!$B340,100),IFERROR(VALUE(TRIM(MID(MID(Wages!$B340,FIND("/",Wages!$B340)+1,20),FIND("/",MID(Wages!$B340,FIND("/",Wages!$B340)+1,20))+1,20))),"")))</f>
        <v/>
      </c>
      <c r="F337">
        <f>IF($A337="","",IF(OR($C337="",$D337="",$E337="",$C337&lt;1300,$C337&gt;1500,$D337&lt;1,$D337&gt;12,$E337&lt;1,$E337&gt;31),"نامعتبر",RIGHT("0000"&amp;$C337,4)&amp;"/"&amp;RIGHT("00"&amp;$D337,2)&amp;"/"&amp;RIGHT("00"&amp;$E337,2)))</f>
        <v/>
      </c>
      <c r="G337">
        <f>IF(OR($A337="",$F337="",$F337="نامعتبر"),"",LEFT($F337,4)&amp;MID($F337,6,2)&amp;RIGHT($F337,2)&amp;"0000"&amp;"|"&amp;"1"&amp;RIGHT("00000"&amp;332,5))</f>
        <v/>
      </c>
      <c r="H337">
        <f>IF(OR($B337&lt;&gt;1,$G337=""),"",COUNTIFS(LdAParty,$A337,LdAType,1,LdAKey,"&lt;"&amp;$G337)+COUNTIFS(LdBMember,$A337,LdBKey,"&lt;"&amp;$G337)+COUNTIFS(LdCParty,$A337,LdCKey,"&lt;"&amp;$G337)+1)</f>
        <v/>
      </c>
      <c r="I337">
        <f>IF($H337="","",$A337&amp;"|"&amp;RIGHT("000000"&amp;$H337,6))</f>
        <v/>
      </c>
      <c r="J337">
        <f>IF(OR($B337&lt;&gt;2,$G337=""),"",COUNTIFS(LdAParty,$A337,LdAType,2,LdAKey,"&lt;"&amp;$G337)+1)</f>
        <v/>
      </c>
      <c r="K337">
        <f>IF($J337="","",$A337&amp;"|"&amp;RIGHT("000000"&amp;$J337,6))</f>
        <v/>
      </c>
      <c r="L337">
        <f>IF($A337="","",IF(Wages!$G340="",0,Wages!$G340))</f>
        <v/>
      </c>
      <c r="M337">
        <f>IF($A337="","",Wages!$J340)</f>
        <v/>
      </c>
      <c r="N337">
        <f>IF($A337="","",Wages!$D340)</f>
        <v/>
      </c>
      <c r="P337">
        <f>IF(OR(Shares!$B340="",Shares!$C340=""),"",Shares!$C340)</f>
        <v/>
      </c>
      <c r="Q337">
        <f>IF($P337="","",Shares!$B340)</f>
        <v/>
      </c>
      <c r="R337">
        <f>IF($P337="","",IFERROR(INDEX(WageParty,MATCH($Q337,WageIds,0)),""))</f>
        <v/>
      </c>
      <c r="S337">
        <f>IF($P337="","",IFERROR(INDEX($F$6:$F$2005,MATCH($Q337,WageIds,0)),""))</f>
        <v/>
      </c>
      <c r="T337">
        <f>IF(OR($P337="",$S337="",$S337="نامعتبر"),"",LEFT($S337,4)&amp;MID($S337,6,2)&amp;RIGHT($S337,2)&amp;"0000"&amp;"|"&amp;"2"&amp;RIGHT("00000"&amp;332,5))</f>
        <v/>
      </c>
      <c r="U337">
        <f>IF($T337="","",COUNTIFS(LdAParty,$P337,LdAType,1,LdAKey,"&lt;"&amp;$T337)+COUNTIFS(LdBMember,$P337,LdBKey,"&lt;"&amp;$T337)+COUNTIFS(LdCParty,$P337,LdCKey,"&lt;"&amp;$T337)+1)</f>
        <v/>
      </c>
      <c r="V337">
        <f>IF($U337="","",$P337&amp;"|"&amp;RIGHT("000000"&amp;$U337,6))</f>
        <v/>
      </c>
      <c r="W337">
        <f>IF($T337="","",COUNTIFS(LdBGroup,$R337,LdBKey,"&lt;"&amp;$T337)+1)</f>
        <v/>
      </c>
      <c r="X337">
        <f>IF($W337="","",$R337&amp;"|"&amp;RIGHT("000000"&amp;$W337,6))</f>
        <v/>
      </c>
      <c r="Y337">
        <f>IF($P337="","",IF(Shares!$E340="",0,Shares!$E340))</f>
        <v/>
      </c>
      <c r="Z337">
        <f>IF($P337="","",Shares!$H340)</f>
        <v/>
      </c>
      <c r="AE337">
        <f>IF(OR(Sync!$S337="",Sync!$P337=""),"",Sync!$S337)</f>
        <v/>
      </c>
      <c r="AF337">
        <f>IF($AE337="","",IF(ISNUMBER(Sync!$P337),IF(AND(Sync!$P337&gt;=10000101,Sync!$P337&lt;=99991231),INT(Sync!$P337/10000),""),IFERROR(VALUE(TRIM(LEFT(Sync!$P337,FIND("/",Sync!$P337)-1))),"")))</f>
        <v/>
      </c>
      <c r="AG337">
        <f>IF(OR($AE337="",$AF337=""),"",IF(ISNUMBER(Sync!$P337),INT(MOD(Sync!$P337,10000)/100),IFERROR(VALUE(TRIM(LEFT(MID(Sync!$P337,FIND("/",Sync!$P337)+1,20),FIND("/",MID(Sync!$P337,FIND("/",Sync!$P337)+1,20))-1))),"")))</f>
        <v/>
      </c>
      <c r="AH337">
        <f>IF(OR($AE337="",$AF337=""),"",IF(ISNUMBER(Sync!$P337),MOD(Sync!$P337,100),IFERROR(VALUE(TRIM(MID(MID(Sync!$P337,FIND("/",Sync!$P337)+1,20),FIND("/",MID(Sync!$P337,FIND("/",Sync!$P337)+1,20))+1,20))),"")))</f>
        <v/>
      </c>
      <c r="AI337">
        <f>IF($AE337="","",IF(OR($AF337="",$AG337="",$AH337="",$AF337&lt;1300,$AF337&gt;1500,$AG337&lt;1,$AG337&gt;12,$AH337&lt;1,$AH337&gt;31),"نامعتبر",RIGHT("0000"&amp;$AF337,4)&amp;"/"&amp;RIGHT("00"&amp;$AG337,2)&amp;"/"&amp;RIGHT("00"&amp;$AH337,2)))</f>
        <v/>
      </c>
      <c r="AJ337">
        <f>IF($AE337="","",IF(Sync!$Q337="","0000",IF(AND(ISNUMBER(Sync!$Q337),Sync!$Q337&gt;=0,Sync!$Q337&lt;1),RIGHT("00"&amp;HOUR(Sync!$Q337),2)&amp;RIGHT("00"&amp;MINUTE(Sync!$Q337),2),IFERROR(RIGHT("00"&amp;VALUE(LEFT(Sync!$Q337,FIND(":",Sync!$Q337)-1)),2)&amp;RIGHT("00"&amp;VALUE(MID(Sync!$Q337,FIND(":",Sync!$Q337)+1,2)),2),"0000"))))</f>
        <v/>
      </c>
      <c r="AK337">
        <f>IF(OR($AE337="",$AI337="",$AI337="نامعتبر"),"",LEFT($AI337,4)&amp;MID($AI337,6,2)&amp;RIGHT($AI337,2)&amp;$AJ337&amp;"|"&amp;"3"&amp;RIGHT("00000"&amp;332,5))</f>
        <v/>
      </c>
      <c r="AL337">
        <f>IF($AK337="","",COUNTIFS(LdAParty,$AE337,LdAType,1,LdAKey,"&lt;"&amp;$AK337)+COUNTIFS(LdBMember,$AE337,LdBKey,"&lt;"&amp;$AK337)+COUNTIFS(LdCParty,$AE337,LdCKey,"&lt;"&amp;$AK337)+1)</f>
        <v/>
      </c>
      <c r="AM337">
        <f>IF($AL337="","",$AE337&amp;"|"&amp;RIGHT("000000"&amp;$AL337,6))</f>
        <v/>
      </c>
      <c r="AN337">
        <f>IF($AE337="","",IF(Sync!$W337="",0,Sync!$W337))</f>
        <v/>
      </c>
      <c r="AO337">
        <f>IF($AE337="","",IF(Sync!$X337="",0,Sync!$X337))</f>
        <v/>
      </c>
      <c r="AP337">
        <f>IF($AE337="","",Sync!$R337)</f>
        <v/>
      </c>
      <c r="AQ337">
        <f>IF($AE337="","",Sync!$Y337)</f>
        <v/>
      </c>
    </row>
    <row r="338">
      <c r="A338">
        <f>IF(OR(Wages!$B341="",Wages!$E341=""),"",Wages!$E341)</f>
        <v/>
      </c>
      <c r="B338">
        <f>IF($A338="","",IF(Wages!$C341="دستمزد گروهی",2,1))</f>
        <v/>
      </c>
      <c r="C338">
        <f>IF($A338="","",IF(ISNUMBER(Wages!$B341),IF(AND(Wages!$B341&gt;=10000101,Wages!$B341&lt;=99991231),INT(Wages!$B341/10000),""),IFERROR(VALUE(TRIM(LEFT(Wages!$B341,FIND("/",Wages!$B341)-1))),"")))</f>
        <v/>
      </c>
      <c r="D338">
        <f>IF(OR($A338="",$C338=""),"",IF(ISNUMBER(Wages!$B341),INT(MOD(Wages!$B341,10000)/100),IFERROR(VALUE(TRIM(LEFT(MID(Wages!$B341,FIND("/",Wages!$B341)+1,20),FIND("/",MID(Wages!$B341,FIND("/",Wages!$B341)+1,20))-1))),"")))</f>
        <v/>
      </c>
      <c r="E338">
        <f>IF(OR($A338="",$C338=""),"",IF(ISNUMBER(Wages!$B341),MOD(Wages!$B341,100),IFERROR(VALUE(TRIM(MID(MID(Wages!$B341,FIND("/",Wages!$B341)+1,20),FIND("/",MID(Wages!$B341,FIND("/",Wages!$B341)+1,20))+1,20))),"")))</f>
        <v/>
      </c>
      <c r="F338">
        <f>IF($A338="","",IF(OR($C338="",$D338="",$E338="",$C338&lt;1300,$C338&gt;1500,$D338&lt;1,$D338&gt;12,$E338&lt;1,$E338&gt;31),"نامعتبر",RIGHT("0000"&amp;$C338,4)&amp;"/"&amp;RIGHT("00"&amp;$D338,2)&amp;"/"&amp;RIGHT("00"&amp;$E338,2)))</f>
        <v/>
      </c>
      <c r="G338">
        <f>IF(OR($A338="",$F338="",$F338="نامعتبر"),"",LEFT($F338,4)&amp;MID($F338,6,2)&amp;RIGHT($F338,2)&amp;"0000"&amp;"|"&amp;"1"&amp;RIGHT("00000"&amp;333,5))</f>
        <v/>
      </c>
      <c r="H338">
        <f>IF(OR($B338&lt;&gt;1,$G338=""),"",COUNTIFS(LdAParty,$A338,LdAType,1,LdAKey,"&lt;"&amp;$G338)+COUNTIFS(LdBMember,$A338,LdBKey,"&lt;"&amp;$G338)+COUNTIFS(LdCParty,$A338,LdCKey,"&lt;"&amp;$G338)+1)</f>
        <v/>
      </c>
      <c r="I338">
        <f>IF($H338="","",$A338&amp;"|"&amp;RIGHT("000000"&amp;$H338,6))</f>
        <v/>
      </c>
      <c r="J338">
        <f>IF(OR($B338&lt;&gt;2,$G338=""),"",COUNTIFS(LdAParty,$A338,LdAType,2,LdAKey,"&lt;"&amp;$G338)+1)</f>
        <v/>
      </c>
      <c r="K338">
        <f>IF($J338="","",$A338&amp;"|"&amp;RIGHT("000000"&amp;$J338,6))</f>
        <v/>
      </c>
      <c r="L338">
        <f>IF($A338="","",IF(Wages!$G341="",0,Wages!$G341))</f>
        <v/>
      </c>
      <c r="M338">
        <f>IF($A338="","",Wages!$J341)</f>
        <v/>
      </c>
      <c r="N338">
        <f>IF($A338="","",Wages!$D341)</f>
        <v/>
      </c>
      <c r="P338">
        <f>IF(OR(Shares!$B341="",Shares!$C341=""),"",Shares!$C341)</f>
        <v/>
      </c>
      <c r="Q338">
        <f>IF($P338="","",Shares!$B341)</f>
        <v/>
      </c>
      <c r="R338">
        <f>IF($P338="","",IFERROR(INDEX(WageParty,MATCH($Q338,WageIds,0)),""))</f>
        <v/>
      </c>
      <c r="S338">
        <f>IF($P338="","",IFERROR(INDEX($F$6:$F$2005,MATCH($Q338,WageIds,0)),""))</f>
        <v/>
      </c>
      <c r="T338">
        <f>IF(OR($P338="",$S338="",$S338="نامعتبر"),"",LEFT($S338,4)&amp;MID($S338,6,2)&amp;RIGHT($S338,2)&amp;"0000"&amp;"|"&amp;"2"&amp;RIGHT("00000"&amp;333,5))</f>
        <v/>
      </c>
      <c r="U338">
        <f>IF($T338="","",COUNTIFS(LdAParty,$P338,LdAType,1,LdAKey,"&lt;"&amp;$T338)+COUNTIFS(LdBMember,$P338,LdBKey,"&lt;"&amp;$T338)+COUNTIFS(LdCParty,$P338,LdCKey,"&lt;"&amp;$T338)+1)</f>
        <v/>
      </c>
      <c r="V338">
        <f>IF($U338="","",$P338&amp;"|"&amp;RIGHT("000000"&amp;$U338,6))</f>
        <v/>
      </c>
      <c r="W338">
        <f>IF($T338="","",COUNTIFS(LdBGroup,$R338,LdBKey,"&lt;"&amp;$T338)+1)</f>
        <v/>
      </c>
      <c r="X338">
        <f>IF($W338="","",$R338&amp;"|"&amp;RIGHT("000000"&amp;$W338,6))</f>
        <v/>
      </c>
      <c r="Y338">
        <f>IF($P338="","",IF(Shares!$E341="",0,Shares!$E341))</f>
        <v/>
      </c>
      <c r="Z338">
        <f>IF($P338="","",Shares!$H341)</f>
        <v/>
      </c>
      <c r="AE338">
        <f>IF(OR(Sync!$S338="",Sync!$P338=""),"",Sync!$S338)</f>
        <v/>
      </c>
      <c r="AF338">
        <f>IF($AE338="","",IF(ISNUMBER(Sync!$P338),IF(AND(Sync!$P338&gt;=10000101,Sync!$P338&lt;=99991231),INT(Sync!$P338/10000),""),IFERROR(VALUE(TRIM(LEFT(Sync!$P338,FIND("/",Sync!$P338)-1))),"")))</f>
        <v/>
      </c>
      <c r="AG338">
        <f>IF(OR($AE338="",$AF338=""),"",IF(ISNUMBER(Sync!$P338),INT(MOD(Sync!$P338,10000)/100),IFERROR(VALUE(TRIM(LEFT(MID(Sync!$P338,FIND("/",Sync!$P338)+1,20),FIND("/",MID(Sync!$P338,FIND("/",Sync!$P338)+1,20))-1))),"")))</f>
        <v/>
      </c>
      <c r="AH338">
        <f>IF(OR($AE338="",$AF338=""),"",IF(ISNUMBER(Sync!$P338),MOD(Sync!$P338,100),IFERROR(VALUE(TRIM(MID(MID(Sync!$P338,FIND("/",Sync!$P338)+1,20),FIND("/",MID(Sync!$P338,FIND("/",Sync!$P338)+1,20))+1,20))),"")))</f>
        <v/>
      </c>
      <c r="AI338">
        <f>IF($AE338="","",IF(OR($AF338="",$AG338="",$AH338="",$AF338&lt;1300,$AF338&gt;1500,$AG338&lt;1,$AG338&gt;12,$AH338&lt;1,$AH338&gt;31),"نامعتبر",RIGHT("0000"&amp;$AF338,4)&amp;"/"&amp;RIGHT("00"&amp;$AG338,2)&amp;"/"&amp;RIGHT("00"&amp;$AH338,2)))</f>
        <v/>
      </c>
      <c r="AJ338">
        <f>IF($AE338="","",IF(Sync!$Q338="","0000",IF(AND(ISNUMBER(Sync!$Q338),Sync!$Q338&gt;=0,Sync!$Q338&lt;1),RIGHT("00"&amp;HOUR(Sync!$Q338),2)&amp;RIGHT("00"&amp;MINUTE(Sync!$Q338),2),IFERROR(RIGHT("00"&amp;VALUE(LEFT(Sync!$Q338,FIND(":",Sync!$Q338)-1)),2)&amp;RIGHT("00"&amp;VALUE(MID(Sync!$Q338,FIND(":",Sync!$Q338)+1,2)),2),"0000"))))</f>
        <v/>
      </c>
      <c r="AK338">
        <f>IF(OR($AE338="",$AI338="",$AI338="نامعتبر"),"",LEFT($AI338,4)&amp;MID($AI338,6,2)&amp;RIGHT($AI338,2)&amp;$AJ338&amp;"|"&amp;"3"&amp;RIGHT("00000"&amp;333,5))</f>
        <v/>
      </c>
      <c r="AL338">
        <f>IF($AK338="","",COUNTIFS(LdAParty,$AE338,LdAType,1,LdAKey,"&lt;"&amp;$AK338)+COUNTIFS(LdBMember,$AE338,LdBKey,"&lt;"&amp;$AK338)+COUNTIFS(LdCParty,$AE338,LdCKey,"&lt;"&amp;$AK338)+1)</f>
        <v/>
      </c>
      <c r="AM338">
        <f>IF($AL338="","",$AE338&amp;"|"&amp;RIGHT("000000"&amp;$AL338,6))</f>
        <v/>
      </c>
      <c r="AN338">
        <f>IF($AE338="","",IF(Sync!$W338="",0,Sync!$W338))</f>
        <v/>
      </c>
      <c r="AO338">
        <f>IF($AE338="","",IF(Sync!$X338="",0,Sync!$X338))</f>
        <v/>
      </c>
      <c r="AP338">
        <f>IF($AE338="","",Sync!$R338)</f>
        <v/>
      </c>
      <c r="AQ338">
        <f>IF($AE338="","",Sync!$Y338)</f>
        <v/>
      </c>
    </row>
    <row r="339">
      <c r="A339">
        <f>IF(OR(Wages!$B342="",Wages!$E342=""),"",Wages!$E342)</f>
        <v/>
      </c>
      <c r="B339">
        <f>IF($A339="","",IF(Wages!$C342="دستمزد گروهی",2,1))</f>
        <v/>
      </c>
      <c r="C339">
        <f>IF($A339="","",IF(ISNUMBER(Wages!$B342),IF(AND(Wages!$B342&gt;=10000101,Wages!$B342&lt;=99991231),INT(Wages!$B342/10000),""),IFERROR(VALUE(TRIM(LEFT(Wages!$B342,FIND("/",Wages!$B342)-1))),"")))</f>
        <v/>
      </c>
      <c r="D339">
        <f>IF(OR($A339="",$C339=""),"",IF(ISNUMBER(Wages!$B342),INT(MOD(Wages!$B342,10000)/100),IFERROR(VALUE(TRIM(LEFT(MID(Wages!$B342,FIND("/",Wages!$B342)+1,20),FIND("/",MID(Wages!$B342,FIND("/",Wages!$B342)+1,20))-1))),"")))</f>
        <v/>
      </c>
      <c r="E339">
        <f>IF(OR($A339="",$C339=""),"",IF(ISNUMBER(Wages!$B342),MOD(Wages!$B342,100),IFERROR(VALUE(TRIM(MID(MID(Wages!$B342,FIND("/",Wages!$B342)+1,20),FIND("/",MID(Wages!$B342,FIND("/",Wages!$B342)+1,20))+1,20))),"")))</f>
        <v/>
      </c>
      <c r="F339">
        <f>IF($A339="","",IF(OR($C339="",$D339="",$E339="",$C339&lt;1300,$C339&gt;1500,$D339&lt;1,$D339&gt;12,$E339&lt;1,$E339&gt;31),"نامعتبر",RIGHT("0000"&amp;$C339,4)&amp;"/"&amp;RIGHT("00"&amp;$D339,2)&amp;"/"&amp;RIGHT("00"&amp;$E339,2)))</f>
        <v/>
      </c>
      <c r="G339">
        <f>IF(OR($A339="",$F339="",$F339="نامعتبر"),"",LEFT($F339,4)&amp;MID($F339,6,2)&amp;RIGHT($F339,2)&amp;"0000"&amp;"|"&amp;"1"&amp;RIGHT("00000"&amp;334,5))</f>
        <v/>
      </c>
      <c r="H339">
        <f>IF(OR($B339&lt;&gt;1,$G339=""),"",COUNTIFS(LdAParty,$A339,LdAType,1,LdAKey,"&lt;"&amp;$G339)+COUNTIFS(LdBMember,$A339,LdBKey,"&lt;"&amp;$G339)+COUNTIFS(LdCParty,$A339,LdCKey,"&lt;"&amp;$G339)+1)</f>
        <v/>
      </c>
      <c r="I339">
        <f>IF($H339="","",$A339&amp;"|"&amp;RIGHT("000000"&amp;$H339,6))</f>
        <v/>
      </c>
      <c r="J339">
        <f>IF(OR($B339&lt;&gt;2,$G339=""),"",COUNTIFS(LdAParty,$A339,LdAType,2,LdAKey,"&lt;"&amp;$G339)+1)</f>
        <v/>
      </c>
      <c r="K339">
        <f>IF($J339="","",$A339&amp;"|"&amp;RIGHT("000000"&amp;$J339,6))</f>
        <v/>
      </c>
      <c r="L339">
        <f>IF($A339="","",IF(Wages!$G342="",0,Wages!$G342))</f>
        <v/>
      </c>
      <c r="M339">
        <f>IF($A339="","",Wages!$J342)</f>
        <v/>
      </c>
      <c r="N339">
        <f>IF($A339="","",Wages!$D342)</f>
        <v/>
      </c>
      <c r="P339">
        <f>IF(OR(Shares!$B342="",Shares!$C342=""),"",Shares!$C342)</f>
        <v/>
      </c>
      <c r="Q339">
        <f>IF($P339="","",Shares!$B342)</f>
        <v/>
      </c>
      <c r="R339">
        <f>IF($P339="","",IFERROR(INDEX(WageParty,MATCH($Q339,WageIds,0)),""))</f>
        <v/>
      </c>
      <c r="S339">
        <f>IF($P339="","",IFERROR(INDEX($F$6:$F$2005,MATCH($Q339,WageIds,0)),""))</f>
        <v/>
      </c>
      <c r="T339">
        <f>IF(OR($P339="",$S339="",$S339="نامعتبر"),"",LEFT($S339,4)&amp;MID($S339,6,2)&amp;RIGHT($S339,2)&amp;"0000"&amp;"|"&amp;"2"&amp;RIGHT("00000"&amp;334,5))</f>
        <v/>
      </c>
      <c r="U339">
        <f>IF($T339="","",COUNTIFS(LdAParty,$P339,LdAType,1,LdAKey,"&lt;"&amp;$T339)+COUNTIFS(LdBMember,$P339,LdBKey,"&lt;"&amp;$T339)+COUNTIFS(LdCParty,$P339,LdCKey,"&lt;"&amp;$T339)+1)</f>
        <v/>
      </c>
      <c r="V339">
        <f>IF($U339="","",$P339&amp;"|"&amp;RIGHT("000000"&amp;$U339,6))</f>
        <v/>
      </c>
      <c r="W339">
        <f>IF($T339="","",COUNTIFS(LdBGroup,$R339,LdBKey,"&lt;"&amp;$T339)+1)</f>
        <v/>
      </c>
      <c r="X339">
        <f>IF($W339="","",$R339&amp;"|"&amp;RIGHT("000000"&amp;$W339,6))</f>
        <v/>
      </c>
      <c r="Y339">
        <f>IF($P339="","",IF(Shares!$E342="",0,Shares!$E342))</f>
        <v/>
      </c>
      <c r="Z339">
        <f>IF($P339="","",Shares!$H342)</f>
        <v/>
      </c>
      <c r="AE339">
        <f>IF(OR(Sync!$S339="",Sync!$P339=""),"",Sync!$S339)</f>
        <v/>
      </c>
      <c r="AF339">
        <f>IF($AE339="","",IF(ISNUMBER(Sync!$P339),IF(AND(Sync!$P339&gt;=10000101,Sync!$P339&lt;=99991231),INT(Sync!$P339/10000),""),IFERROR(VALUE(TRIM(LEFT(Sync!$P339,FIND("/",Sync!$P339)-1))),"")))</f>
        <v/>
      </c>
      <c r="AG339">
        <f>IF(OR($AE339="",$AF339=""),"",IF(ISNUMBER(Sync!$P339),INT(MOD(Sync!$P339,10000)/100),IFERROR(VALUE(TRIM(LEFT(MID(Sync!$P339,FIND("/",Sync!$P339)+1,20),FIND("/",MID(Sync!$P339,FIND("/",Sync!$P339)+1,20))-1))),"")))</f>
        <v/>
      </c>
      <c r="AH339">
        <f>IF(OR($AE339="",$AF339=""),"",IF(ISNUMBER(Sync!$P339),MOD(Sync!$P339,100),IFERROR(VALUE(TRIM(MID(MID(Sync!$P339,FIND("/",Sync!$P339)+1,20),FIND("/",MID(Sync!$P339,FIND("/",Sync!$P339)+1,20))+1,20))),"")))</f>
        <v/>
      </c>
      <c r="AI339">
        <f>IF($AE339="","",IF(OR($AF339="",$AG339="",$AH339="",$AF339&lt;1300,$AF339&gt;1500,$AG339&lt;1,$AG339&gt;12,$AH339&lt;1,$AH339&gt;31),"نامعتبر",RIGHT("0000"&amp;$AF339,4)&amp;"/"&amp;RIGHT("00"&amp;$AG339,2)&amp;"/"&amp;RIGHT("00"&amp;$AH339,2)))</f>
        <v/>
      </c>
      <c r="AJ339">
        <f>IF($AE339="","",IF(Sync!$Q339="","0000",IF(AND(ISNUMBER(Sync!$Q339),Sync!$Q339&gt;=0,Sync!$Q339&lt;1),RIGHT("00"&amp;HOUR(Sync!$Q339),2)&amp;RIGHT("00"&amp;MINUTE(Sync!$Q339),2),IFERROR(RIGHT("00"&amp;VALUE(LEFT(Sync!$Q339,FIND(":",Sync!$Q339)-1)),2)&amp;RIGHT("00"&amp;VALUE(MID(Sync!$Q339,FIND(":",Sync!$Q339)+1,2)),2),"0000"))))</f>
        <v/>
      </c>
      <c r="AK339">
        <f>IF(OR($AE339="",$AI339="",$AI339="نامعتبر"),"",LEFT($AI339,4)&amp;MID($AI339,6,2)&amp;RIGHT($AI339,2)&amp;$AJ339&amp;"|"&amp;"3"&amp;RIGHT("00000"&amp;334,5))</f>
        <v/>
      </c>
      <c r="AL339">
        <f>IF($AK339="","",COUNTIFS(LdAParty,$AE339,LdAType,1,LdAKey,"&lt;"&amp;$AK339)+COUNTIFS(LdBMember,$AE339,LdBKey,"&lt;"&amp;$AK339)+COUNTIFS(LdCParty,$AE339,LdCKey,"&lt;"&amp;$AK339)+1)</f>
        <v/>
      </c>
      <c r="AM339">
        <f>IF($AL339="","",$AE339&amp;"|"&amp;RIGHT("000000"&amp;$AL339,6))</f>
        <v/>
      </c>
      <c r="AN339">
        <f>IF($AE339="","",IF(Sync!$W339="",0,Sync!$W339))</f>
        <v/>
      </c>
      <c r="AO339">
        <f>IF($AE339="","",IF(Sync!$X339="",0,Sync!$X339))</f>
        <v/>
      </c>
      <c r="AP339">
        <f>IF($AE339="","",Sync!$R339)</f>
        <v/>
      </c>
      <c r="AQ339">
        <f>IF($AE339="","",Sync!$Y339)</f>
        <v/>
      </c>
    </row>
    <row r="340">
      <c r="A340">
        <f>IF(OR(Wages!$B343="",Wages!$E343=""),"",Wages!$E343)</f>
        <v/>
      </c>
      <c r="B340">
        <f>IF($A340="","",IF(Wages!$C343="دستمزد گروهی",2,1))</f>
        <v/>
      </c>
      <c r="C340">
        <f>IF($A340="","",IF(ISNUMBER(Wages!$B343),IF(AND(Wages!$B343&gt;=10000101,Wages!$B343&lt;=99991231),INT(Wages!$B343/10000),""),IFERROR(VALUE(TRIM(LEFT(Wages!$B343,FIND("/",Wages!$B343)-1))),"")))</f>
        <v/>
      </c>
      <c r="D340">
        <f>IF(OR($A340="",$C340=""),"",IF(ISNUMBER(Wages!$B343),INT(MOD(Wages!$B343,10000)/100),IFERROR(VALUE(TRIM(LEFT(MID(Wages!$B343,FIND("/",Wages!$B343)+1,20),FIND("/",MID(Wages!$B343,FIND("/",Wages!$B343)+1,20))-1))),"")))</f>
        <v/>
      </c>
      <c r="E340">
        <f>IF(OR($A340="",$C340=""),"",IF(ISNUMBER(Wages!$B343),MOD(Wages!$B343,100),IFERROR(VALUE(TRIM(MID(MID(Wages!$B343,FIND("/",Wages!$B343)+1,20),FIND("/",MID(Wages!$B343,FIND("/",Wages!$B343)+1,20))+1,20))),"")))</f>
        <v/>
      </c>
      <c r="F340">
        <f>IF($A340="","",IF(OR($C340="",$D340="",$E340="",$C340&lt;1300,$C340&gt;1500,$D340&lt;1,$D340&gt;12,$E340&lt;1,$E340&gt;31),"نامعتبر",RIGHT("0000"&amp;$C340,4)&amp;"/"&amp;RIGHT("00"&amp;$D340,2)&amp;"/"&amp;RIGHT("00"&amp;$E340,2)))</f>
        <v/>
      </c>
      <c r="G340">
        <f>IF(OR($A340="",$F340="",$F340="نامعتبر"),"",LEFT($F340,4)&amp;MID($F340,6,2)&amp;RIGHT($F340,2)&amp;"0000"&amp;"|"&amp;"1"&amp;RIGHT("00000"&amp;335,5))</f>
        <v/>
      </c>
      <c r="H340">
        <f>IF(OR($B340&lt;&gt;1,$G340=""),"",COUNTIFS(LdAParty,$A340,LdAType,1,LdAKey,"&lt;"&amp;$G340)+COUNTIFS(LdBMember,$A340,LdBKey,"&lt;"&amp;$G340)+COUNTIFS(LdCParty,$A340,LdCKey,"&lt;"&amp;$G340)+1)</f>
        <v/>
      </c>
      <c r="I340">
        <f>IF($H340="","",$A340&amp;"|"&amp;RIGHT("000000"&amp;$H340,6))</f>
        <v/>
      </c>
      <c r="J340">
        <f>IF(OR($B340&lt;&gt;2,$G340=""),"",COUNTIFS(LdAParty,$A340,LdAType,2,LdAKey,"&lt;"&amp;$G340)+1)</f>
        <v/>
      </c>
      <c r="K340">
        <f>IF($J340="","",$A340&amp;"|"&amp;RIGHT("000000"&amp;$J340,6))</f>
        <v/>
      </c>
      <c r="L340">
        <f>IF($A340="","",IF(Wages!$G343="",0,Wages!$G343))</f>
        <v/>
      </c>
      <c r="M340">
        <f>IF($A340="","",Wages!$J343)</f>
        <v/>
      </c>
      <c r="N340">
        <f>IF($A340="","",Wages!$D343)</f>
        <v/>
      </c>
      <c r="P340">
        <f>IF(OR(Shares!$B343="",Shares!$C343=""),"",Shares!$C343)</f>
        <v/>
      </c>
      <c r="Q340">
        <f>IF($P340="","",Shares!$B343)</f>
        <v/>
      </c>
      <c r="R340">
        <f>IF($P340="","",IFERROR(INDEX(WageParty,MATCH($Q340,WageIds,0)),""))</f>
        <v/>
      </c>
      <c r="S340">
        <f>IF($P340="","",IFERROR(INDEX($F$6:$F$2005,MATCH($Q340,WageIds,0)),""))</f>
        <v/>
      </c>
      <c r="T340">
        <f>IF(OR($P340="",$S340="",$S340="نامعتبر"),"",LEFT($S340,4)&amp;MID($S340,6,2)&amp;RIGHT($S340,2)&amp;"0000"&amp;"|"&amp;"2"&amp;RIGHT("00000"&amp;335,5))</f>
        <v/>
      </c>
      <c r="U340">
        <f>IF($T340="","",COUNTIFS(LdAParty,$P340,LdAType,1,LdAKey,"&lt;"&amp;$T340)+COUNTIFS(LdBMember,$P340,LdBKey,"&lt;"&amp;$T340)+COUNTIFS(LdCParty,$P340,LdCKey,"&lt;"&amp;$T340)+1)</f>
        <v/>
      </c>
      <c r="V340">
        <f>IF($U340="","",$P340&amp;"|"&amp;RIGHT("000000"&amp;$U340,6))</f>
        <v/>
      </c>
      <c r="W340">
        <f>IF($T340="","",COUNTIFS(LdBGroup,$R340,LdBKey,"&lt;"&amp;$T340)+1)</f>
        <v/>
      </c>
      <c r="X340">
        <f>IF($W340="","",$R340&amp;"|"&amp;RIGHT("000000"&amp;$W340,6))</f>
        <v/>
      </c>
      <c r="Y340">
        <f>IF($P340="","",IF(Shares!$E343="",0,Shares!$E343))</f>
        <v/>
      </c>
      <c r="Z340">
        <f>IF($P340="","",Shares!$H343)</f>
        <v/>
      </c>
      <c r="AE340">
        <f>IF(OR(Sync!$S340="",Sync!$P340=""),"",Sync!$S340)</f>
        <v/>
      </c>
      <c r="AF340">
        <f>IF($AE340="","",IF(ISNUMBER(Sync!$P340),IF(AND(Sync!$P340&gt;=10000101,Sync!$P340&lt;=99991231),INT(Sync!$P340/10000),""),IFERROR(VALUE(TRIM(LEFT(Sync!$P340,FIND("/",Sync!$P340)-1))),"")))</f>
        <v/>
      </c>
      <c r="AG340">
        <f>IF(OR($AE340="",$AF340=""),"",IF(ISNUMBER(Sync!$P340),INT(MOD(Sync!$P340,10000)/100),IFERROR(VALUE(TRIM(LEFT(MID(Sync!$P340,FIND("/",Sync!$P340)+1,20),FIND("/",MID(Sync!$P340,FIND("/",Sync!$P340)+1,20))-1))),"")))</f>
        <v/>
      </c>
      <c r="AH340">
        <f>IF(OR($AE340="",$AF340=""),"",IF(ISNUMBER(Sync!$P340),MOD(Sync!$P340,100),IFERROR(VALUE(TRIM(MID(MID(Sync!$P340,FIND("/",Sync!$P340)+1,20),FIND("/",MID(Sync!$P340,FIND("/",Sync!$P340)+1,20))+1,20))),"")))</f>
        <v/>
      </c>
      <c r="AI340">
        <f>IF($AE340="","",IF(OR($AF340="",$AG340="",$AH340="",$AF340&lt;1300,$AF340&gt;1500,$AG340&lt;1,$AG340&gt;12,$AH340&lt;1,$AH340&gt;31),"نامعتبر",RIGHT("0000"&amp;$AF340,4)&amp;"/"&amp;RIGHT("00"&amp;$AG340,2)&amp;"/"&amp;RIGHT("00"&amp;$AH340,2)))</f>
        <v/>
      </c>
      <c r="AJ340">
        <f>IF($AE340="","",IF(Sync!$Q340="","0000",IF(AND(ISNUMBER(Sync!$Q340),Sync!$Q340&gt;=0,Sync!$Q340&lt;1),RIGHT("00"&amp;HOUR(Sync!$Q340),2)&amp;RIGHT("00"&amp;MINUTE(Sync!$Q340),2),IFERROR(RIGHT("00"&amp;VALUE(LEFT(Sync!$Q340,FIND(":",Sync!$Q340)-1)),2)&amp;RIGHT("00"&amp;VALUE(MID(Sync!$Q340,FIND(":",Sync!$Q340)+1,2)),2),"0000"))))</f>
        <v/>
      </c>
      <c r="AK340">
        <f>IF(OR($AE340="",$AI340="",$AI340="نامعتبر"),"",LEFT($AI340,4)&amp;MID($AI340,6,2)&amp;RIGHT($AI340,2)&amp;$AJ340&amp;"|"&amp;"3"&amp;RIGHT("00000"&amp;335,5))</f>
        <v/>
      </c>
      <c r="AL340">
        <f>IF($AK340="","",COUNTIFS(LdAParty,$AE340,LdAType,1,LdAKey,"&lt;"&amp;$AK340)+COUNTIFS(LdBMember,$AE340,LdBKey,"&lt;"&amp;$AK340)+COUNTIFS(LdCParty,$AE340,LdCKey,"&lt;"&amp;$AK340)+1)</f>
        <v/>
      </c>
      <c r="AM340">
        <f>IF($AL340="","",$AE340&amp;"|"&amp;RIGHT("000000"&amp;$AL340,6))</f>
        <v/>
      </c>
      <c r="AN340">
        <f>IF($AE340="","",IF(Sync!$W340="",0,Sync!$W340))</f>
        <v/>
      </c>
      <c r="AO340">
        <f>IF($AE340="","",IF(Sync!$X340="",0,Sync!$X340))</f>
        <v/>
      </c>
      <c r="AP340">
        <f>IF($AE340="","",Sync!$R340)</f>
        <v/>
      </c>
      <c r="AQ340">
        <f>IF($AE340="","",Sync!$Y340)</f>
        <v/>
      </c>
    </row>
    <row r="341">
      <c r="A341">
        <f>IF(OR(Wages!$B344="",Wages!$E344=""),"",Wages!$E344)</f>
        <v/>
      </c>
      <c r="B341">
        <f>IF($A341="","",IF(Wages!$C344="دستمزد گروهی",2,1))</f>
        <v/>
      </c>
      <c r="C341">
        <f>IF($A341="","",IF(ISNUMBER(Wages!$B344),IF(AND(Wages!$B344&gt;=10000101,Wages!$B344&lt;=99991231),INT(Wages!$B344/10000),""),IFERROR(VALUE(TRIM(LEFT(Wages!$B344,FIND("/",Wages!$B344)-1))),"")))</f>
        <v/>
      </c>
      <c r="D341">
        <f>IF(OR($A341="",$C341=""),"",IF(ISNUMBER(Wages!$B344),INT(MOD(Wages!$B344,10000)/100),IFERROR(VALUE(TRIM(LEFT(MID(Wages!$B344,FIND("/",Wages!$B344)+1,20),FIND("/",MID(Wages!$B344,FIND("/",Wages!$B344)+1,20))-1))),"")))</f>
        <v/>
      </c>
      <c r="E341">
        <f>IF(OR($A341="",$C341=""),"",IF(ISNUMBER(Wages!$B344),MOD(Wages!$B344,100),IFERROR(VALUE(TRIM(MID(MID(Wages!$B344,FIND("/",Wages!$B344)+1,20),FIND("/",MID(Wages!$B344,FIND("/",Wages!$B344)+1,20))+1,20))),"")))</f>
        <v/>
      </c>
      <c r="F341">
        <f>IF($A341="","",IF(OR($C341="",$D341="",$E341="",$C341&lt;1300,$C341&gt;1500,$D341&lt;1,$D341&gt;12,$E341&lt;1,$E341&gt;31),"نامعتبر",RIGHT("0000"&amp;$C341,4)&amp;"/"&amp;RIGHT("00"&amp;$D341,2)&amp;"/"&amp;RIGHT("00"&amp;$E341,2)))</f>
        <v/>
      </c>
      <c r="G341">
        <f>IF(OR($A341="",$F341="",$F341="نامعتبر"),"",LEFT($F341,4)&amp;MID($F341,6,2)&amp;RIGHT($F341,2)&amp;"0000"&amp;"|"&amp;"1"&amp;RIGHT("00000"&amp;336,5))</f>
        <v/>
      </c>
      <c r="H341">
        <f>IF(OR($B341&lt;&gt;1,$G341=""),"",COUNTIFS(LdAParty,$A341,LdAType,1,LdAKey,"&lt;"&amp;$G341)+COUNTIFS(LdBMember,$A341,LdBKey,"&lt;"&amp;$G341)+COUNTIFS(LdCParty,$A341,LdCKey,"&lt;"&amp;$G341)+1)</f>
        <v/>
      </c>
      <c r="I341">
        <f>IF($H341="","",$A341&amp;"|"&amp;RIGHT("000000"&amp;$H341,6))</f>
        <v/>
      </c>
      <c r="J341">
        <f>IF(OR($B341&lt;&gt;2,$G341=""),"",COUNTIFS(LdAParty,$A341,LdAType,2,LdAKey,"&lt;"&amp;$G341)+1)</f>
        <v/>
      </c>
      <c r="K341">
        <f>IF($J341="","",$A341&amp;"|"&amp;RIGHT("000000"&amp;$J341,6))</f>
        <v/>
      </c>
      <c r="L341">
        <f>IF($A341="","",IF(Wages!$G344="",0,Wages!$G344))</f>
        <v/>
      </c>
      <c r="M341">
        <f>IF($A341="","",Wages!$J344)</f>
        <v/>
      </c>
      <c r="N341">
        <f>IF($A341="","",Wages!$D344)</f>
        <v/>
      </c>
      <c r="P341">
        <f>IF(OR(Shares!$B344="",Shares!$C344=""),"",Shares!$C344)</f>
        <v/>
      </c>
      <c r="Q341">
        <f>IF($P341="","",Shares!$B344)</f>
        <v/>
      </c>
      <c r="R341">
        <f>IF($P341="","",IFERROR(INDEX(WageParty,MATCH($Q341,WageIds,0)),""))</f>
        <v/>
      </c>
      <c r="S341">
        <f>IF($P341="","",IFERROR(INDEX($F$6:$F$2005,MATCH($Q341,WageIds,0)),""))</f>
        <v/>
      </c>
      <c r="T341">
        <f>IF(OR($P341="",$S341="",$S341="نامعتبر"),"",LEFT($S341,4)&amp;MID($S341,6,2)&amp;RIGHT($S341,2)&amp;"0000"&amp;"|"&amp;"2"&amp;RIGHT("00000"&amp;336,5))</f>
        <v/>
      </c>
      <c r="U341">
        <f>IF($T341="","",COUNTIFS(LdAParty,$P341,LdAType,1,LdAKey,"&lt;"&amp;$T341)+COUNTIFS(LdBMember,$P341,LdBKey,"&lt;"&amp;$T341)+COUNTIFS(LdCParty,$P341,LdCKey,"&lt;"&amp;$T341)+1)</f>
        <v/>
      </c>
      <c r="V341">
        <f>IF($U341="","",$P341&amp;"|"&amp;RIGHT("000000"&amp;$U341,6))</f>
        <v/>
      </c>
      <c r="W341">
        <f>IF($T341="","",COUNTIFS(LdBGroup,$R341,LdBKey,"&lt;"&amp;$T341)+1)</f>
        <v/>
      </c>
      <c r="X341">
        <f>IF($W341="","",$R341&amp;"|"&amp;RIGHT("000000"&amp;$W341,6))</f>
        <v/>
      </c>
      <c r="Y341">
        <f>IF($P341="","",IF(Shares!$E344="",0,Shares!$E344))</f>
        <v/>
      </c>
      <c r="Z341">
        <f>IF($P341="","",Shares!$H344)</f>
        <v/>
      </c>
      <c r="AE341">
        <f>IF(OR(Sync!$S341="",Sync!$P341=""),"",Sync!$S341)</f>
        <v/>
      </c>
      <c r="AF341">
        <f>IF($AE341="","",IF(ISNUMBER(Sync!$P341),IF(AND(Sync!$P341&gt;=10000101,Sync!$P341&lt;=99991231),INT(Sync!$P341/10000),""),IFERROR(VALUE(TRIM(LEFT(Sync!$P341,FIND("/",Sync!$P341)-1))),"")))</f>
        <v/>
      </c>
      <c r="AG341">
        <f>IF(OR($AE341="",$AF341=""),"",IF(ISNUMBER(Sync!$P341),INT(MOD(Sync!$P341,10000)/100),IFERROR(VALUE(TRIM(LEFT(MID(Sync!$P341,FIND("/",Sync!$P341)+1,20),FIND("/",MID(Sync!$P341,FIND("/",Sync!$P341)+1,20))-1))),"")))</f>
        <v/>
      </c>
      <c r="AH341">
        <f>IF(OR($AE341="",$AF341=""),"",IF(ISNUMBER(Sync!$P341),MOD(Sync!$P341,100),IFERROR(VALUE(TRIM(MID(MID(Sync!$P341,FIND("/",Sync!$P341)+1,20),FIND("/",MID(Sync!$P341,FIND("/",Sync!$P341)+1,20))+1,20))),"")))</f>
        <v/>
      </c>
      <c r="AI341">
        <f>IF($AE341="","",IF(OR($AF341="",$AG341="",$AH341="",$AF341&lt;1300,$AF341&gt;1500,$AG341&lt;1,$AG341&gt;12,$AH341&lt;1,$AH341&gt;31),"نامعتبر",RIGHT("0000"&amp;$AF341,4)&amp;"/"&amp;RIGHT("00"&amp;$AG341,2)&amp;"/"&amp;RIGHT("00"&amp;$AH341,2)))</f>
        <v/>
      </c>
      <c r="AJ341">
        <f>IF($AE341="","",IF(Sync!$Q341="","0000",IF(AND(ISNUMBER(Sync!$Q341),Sync!$Q341&gt;=0,Sync!$Q341&lt;1),RIGHT("00"&amp;HOUR(Sync!$Q341),2)&amp;RIGHT("00"&amp;MINUTE(Sync!$Q341),2),IFERROR(RIGHT("00"&amp;VALUE(LEFT(Sync!$Q341,FIND(":",Sync!$Q341)-1)),2)&amp;RIGHT("00"&amp;VALUE(MID(Sync!$Q341,FIND(":",Sync!$Q341)+1,2)),2),"0000"))))</f>
        <v/>
      </c>
      <c r="AK341">
        <f>IF(OR($AE341="",$AI341="",$AI341="نامعتبر"),"",LEFT($AI341,4)&amp;MID($AI341,6,2)&amp;RIGHT($AI341,2)&amp;$AJ341&amp;"|"&amp;"3"&amp;RIGHT("00000"&amp;336,5))</f>
        <v/>
      </c>
      <c r="AL341">
        <f>IF($AK341="","",COUNTIFS(LdAParty,$AE341,LdAType,1,LdAKey,"&lt;"&amp;$AK341)+COUNTIFS(LdBMember,$AE341,LdBKey,"&lt;"&amp;$AK341)+COUNTIFS(LdCParty,$AE341,LdCKey,"&lt;"&amp;$AK341)+1)</f>
        <v/>
      </c>
      <c r="AM341">
        <f>IF($AL341="","",$AE341&amp;"|"&amp;RIGHT("000000"&amp;$AL341,6))</f>
        <v/>
      </c>
      <c r="AN341">
        <f>IF($AE341="","",IF(Sync!$W341="",0,Sync!$W341))</f>
        <v/>
      </c>
      <c r="AO341">
        <f>IF($AE341="","",IF(Sync!$X341="",0,Sync!$X341))</f>
        <v/>
      </c>
      <c r="AP341">
        <f>IF($AE341="","",Sync!$R341)</f>
        <v/>
      </c>
      <c r="AQ341">
        <f>IF($AE341="","",Sync!$Y341)</f>
        <v/>
      </c>
    </row>
    <row r="342">
      <c r="A342">
        <f>IF(OR(Wages!$B345="",Wages!$E345=""),"",Wages!$E345)</f>
        <v/>
      </c>
      <c r="B342">
        <f>IF($A342="","",IF(Wages!$C345="دستمزد گروهی",2,1))</f>
        <v/>
      </c>
      <c r="C342">
        <f>IF($A342="","",IF(ISNUMBER(Wages!$B345),IF(AND(Wages!$B345&gt;=10000101,Wages!$B345&lt;=99991231),INT(Wages!$B345/10000),""),IFERROR(VALUE(TRIM(LEFT(Wages!$B345,FIND("/",Wages!$B345)-1))),"")))</f>
        <v/>
      </c>
      <c r="D342">
        <f>IF(OR($A342="",$C342=""),"",IF(ISNUMBER(Wages!$B345),INT(MOD(Wages!$B345,10000)/100),IFERROR(VALUE(TRIM(LEFT(MID(Wages!$B345,FIND("/",Wages!$B345)+1,20),FIND("/",MID(Wages!$B345,FIND("/",Wages!$B345)+1,20))-1))),"")))</f>
        <v/>
      </c>
      <c r="E342">
        <f>IF(OR($A342="",$C342=""),"",IF(ISNUMBER(Wages!$B345),MOD(Wages!$B345,100),IFERROR(VALUE(TRIM(MID(MID(Wages!$B345,FIND("/",Wages!$B345)+1,20),FIND("/",MID(Wages!$B345,FIND("/",Wages!$B345)+1,20))+1,20))),"")))</f>
        <v/>
      </c>
      <c r="F342">
        <f>IF($A342="","",IF(OR($C342="",$D342="",$E342="",$C342&lt;1300,$C342&gt;1500,$D342&lt;1,$D342&gt;12,$E342&lt;1,$E342&gt;31),"نامعتبر",RIGHT("0000"&amp;$C342,4)&amp;"/"&amp;RIGHT("00"&amp;$D342,2)&amp;"/"&amp;RIGHT("00"&amp;$E342,2)))</f>
        <v/>
      </c>
      <c r="G342">
        <f>IF(OR($A342="",$F342="",$F342="نامعتبر"),"",LEFT($F342,4)&amp;MID($F342,6,2)&amp;RIGHT($F342,2)&amp;"0000"&amp;"|"&amp;"1"&amp;RIGHT("00000"&amp;337,5))</f>
        <v/>
      </c>
      <c r="H342">
        <f>IF(OR($B342&lt;&gt;1,$G342=""),"",COUNTIFS(LdAParty,$A342,LdAType,1,LdAKey,"&lt;"&amp;$G342)+COUNTIFS(LdBMember,$A342,LdBKey,"&lt;"&amp;$G342)+COUNTIFS(LdCParty,$A342,LdCKey,"&lt;"&amp;$G342)+1)</f>
        <v/>
      </c>
      <c r="I342">
        <f>IF($H342="","",$A342&amp;"|"&amp;RIGHT("000000"&amp;$H342,6))</f>
        <v/>
      </c>
      <c r="J342">
        <f>IF(OR($B342&lt;&gt;2,$G342=""),"",COUNTIFS(LdAParty,$A342,LdAType,2,LdAKey,"&lt;"&amp;$G342)+1)</f>
        <v/>
      </c>
      <c r="K342">
        <f>IF($J342="","",$A342&amp;"|"&amp;RIGHT("000000"&amp;$J342,6))</f>
        <v/>
      </c>
      <c r="L342">
        <f>IF($A342="","",IF(Wages!$G345="",0,Wages!$G345))</f>
        <v/>
      </c>
      <c r="M342">
        <f>IF($A342="","",Wages!$J345)</f>
        <v/>
      </c>
      <c r="N342">
        <f>IF($A342="","",Wages!$D345)</f>
        <v/>
      </c>
      <c r="P342">
        <f>IF(OR(Shares!$B345="",Shares!$C345=""),"",Shares!$C345)</f>
        <v/>
      </c>
      <c r="Q342">
        <f>IF($P342="","",Shares!$B345)</f>
        <v/>
      </c>
      <c r="R342">
        <f>IF($P342="","",IFERROR(INDEX(WageParty,MATCH($Q342,WageIds,0)),""))</f>
        <v/>
      </c>
      <c r="S342">
        <f>IF($P342="","",IFERROR(INDEX($F$6:$F$2005,MATCH($Q342,WageIds,0)),""))</f>
        <v/>
      </c>
      <c r="T342">
        <f>IF(OR($P342="",$S342="",$S342="نامعتبر"),"",LEFT($S342,4)&amp;MID($S342,6,2)&amp;RIGHT($S342,2)&amp;"0000"&amp;"|"&amp;"2"&amp;RIGHT("00000"&amp;337,5))</f>
        <v/>
      </c>
      <c r="U342">
        <f>IF($T342="","",COUNTIFS(LdAParty,$P342,LdAType,1,LdAKey,"&lt;"&amp;$T342)+COUNTIFS(LdBMember,$P342,LdBKey,"&lt;"&amp;$T342)+COUNTIFS(LdCParty,$P342,LdCKey,"&lt;"&amp;$T342)+1)</f>
        <v/>
      </c>
      <c r="V342">
        <f>IF($U342="","",$P342&amp;"|"&amp;RIGHT("000000"&amp;$U342,6))</f>
        <v/>
      </c>
      <c r="W342">
        <f>IF($T342="","",COUNTIFS(LdBGroup,$R342,LdBKey,"&lt;"&amp;$T342)+1)</f>
        <v/>
      </c>
      <c r="X342">
        <f>IF($W342="","",$R342&amp;"|"&amp;RIGHT("000000"&amp;$W342,6))</f>
        <v/>
      </c>
      <c r="Y342">
        <f>IF($P342="","",IF(Shares!$E345="",0,Shares!$E345))</f>
        <v/>
      </c>
      <c r="Z342">
        <f>IF($P342="","",Shares!$H345)</f>
        <v/>
      </c>
      <c r="AE342">
        <f>IF(OR(Sync!$S342="",Sync!$P342=""),"",Sync!$S342)</f>
        <v/>
      </c>
      <c r="AF342">
        <f>IF($AE342="","",IF(ISNUMBER(Sync!$P342),IF(AND(Sync!$P342&gt;=10000101,Sync!$P342&lt;=99991231),INT(Sync!$P342/10000),""),IFERROR(VALUE(TRIM(LEFT(Sync!$P342,FIND("/",Sync!$P342)-1))),"")))</f>
        <v/>
      </c>
      <c r="AG342">
        <f>IF(OR($AE342="",$AF342=""),"",IF(ISNUMBER(Sync!$P342),INT(MOD(Sync!$P342,10000)/100),IFERROR(VALUE(TRIM(LEFT(MID(Sync!$P342,FIND("/",Sync!$P342)+1,20),FIND("/",MID(Sync!$P342,FIND("/",Sync!$P342)+1,20))-1))),"")))</f>
        <v/>
      </c>
      <c r="AH342">
        <f>IF(OR($AE342="",$AF342=""),"",IF(ISNUMBER(Sync!$P342),MOD(Sync!$P342,100),IFERROR(VALUE(TRIM(MID(MID(Sync!$P342,FIND("/",Sync!$P342)+1,20),FIND("/",MID(Sync!$P342,FIND("/",Sync!$P342)+1,20))+1,20))),"")))</f>
        <v/>
      </c>
      <c r="AI342">
        <f>IF($AE342="","",IF(OR($AF342="",$AG342="",$AH342="",$AF342&lt;1300,$AF342&gt;1500,$AG342&lt;1,$AG342&gt;12,$AH342&lt;1,$AH342&gt;31),"نامعتبر",RIGHT("0000"&amp;$AF342,4)&amp;"/"&amp;RIGHT("00"&amp;$AG342,2)&amp;"/"&amp;RIGHT("00"&amp;$AH342,2)))</f>
        <v/>
      </c>
      <c r="AJ342">
        <f>IF($AE342="","",IF(Sync!$Q342="","0000",IF(AND(ISNUMBER(Sync!$Q342),Sync!$Q342&gt;=0,Sync!$Q342&lt;1),RIGHT("00"&amp;HOUR(Sync!$Q342),2)&amp;RIGHT("00"&amp;MINUTE(Sync!$Q342),2),IFERROR(RIGHT("00"&amp;VALUE(LEFT(Sync!$Q342,FIND(":",Sync!$Q342)-1)),2)&amp;RIGHT("00"&amp;VALUE(MID(Sync!$Q342,FIND(":",Sync!$Q342)+1,2)),2),"0000"))))</f>
        <v/>
      </c>
      <c r="AK342">
        <f>IF(OR($AE342="",$AI342="",$AI342="نامعتبر"),"",LEFT($AI342,4)&amp;MID($AI342,6,2)&amp;RIGHT($AI342,2)&amp;$AJ342&amp;"|"&amp;"3"&amp;RIGHT("00000"&amp;337,5))</f>
        <v/>
      </c>
      <c r="AL342">
        <f>IF($AK342="","",COUNTIFS(LdAParty,$AE342,LdAType,1,LdAKey,"&lt;"&amp;$AK342)+COUNTIFS(LdBMember,$AE342,LdBKey,"&lt;"&amp;$AK342)+COUNTIFS(LdCParty,$AE342,LdCKey,"&lt;"&amp;$AK342)+1)</f>
        <v/>
      </c>
      <c r="AM342">
        <f>IF($AL342="","",$AE342&amp;"|"&amp;RIGHT("000000"&amp;$AL342,6))</f>
        <v/>
      </c>
      <c r="AN342">
        <f>IF($AE342="","",IF(Sync!$W342="",0,Sync!$W342))</f>
        <v/>
      </c>
      <c r="AO342">
        <f>IF($AE342="","",IF(Sync!$X342="",0,Sync!$X342))</f>
        <v/>
      </c>
      <c r="AP342">
        <f>IF($AE342="","",Sync!$R342)</f>
        <v/>
      </c>
      <c r="AQ342">
        <f>IF($AE342="","",Sync!$Y342)</f>
        <v/>
      </c>
    </row>
    <row r="343">
      <c r="A343">
        <f>IF(OR(Wages!$B346="",Wages!$E346=""),"",Wages!$E346)</f>
        <v/>
      </c>
      <c r="B343">
        <f>IF($A343="","",IF(Wages!$C346="دستمزد گروهی",2,1))</f>
        <v/>
      </c>
      <c r="C343">
        <f>IF($A343="","",IF(ISNUMBER(Wages!$B346),IF(AND(Wages!$B346&gt;=10000101,Wages!$B346&lt;=99991231),INT(Wages!$B346/10000),""),IFERROR(VALUE(TRIM(LEFT(Wages!$B346,FIND("/",Wages!$B346)-1))),"")))</f>
        <v/>
      </c>
      <c r="D343">
        <f>IF(OR($A343="",$C343=""),"",IF(ISNUMBER(Wages!$B346),INT(MOD(Wages!$B346,10000)/100),IFERROR(VALUE(TRIM(LEFT(MID(Wages!$B346,FIND("/",Wages!$B346)+1,20),FIND("/",MID(Wages!$B346,FIND("/",Wages!$B346)+1,20))-1))),"")))</f>
        <v/>
      </c>
      <c r="E343">
        <f>IF(OR($A343="",$C343=""),"",IF(ISNUMBER(Wages!$B346),MOD(Wages!$B346,100),IFERROR(VALUE(TRIM(MID(MID(Wages!$B346,FIND("/",Wages!$B346)+1,20),FIND("/",MID(Wages!$B346,FIND("/",Wages!$B346)+1,20))+1,20))),"")))</f>
        <v/>
      </c>
      <c r="F343">
        <f>IF($A343="","",IF(OR($C343="",$D343="",$E343="",$C343&lt;1300,$C343&gt;1500,$D343&lt;1,$D343&gt;12,$E343&lt;1,$E343&gt;31),"نامعتبر",RIGHT("0000"&amp;$C343,4)&amp;"/"&amp;RIGHT("00"&amp;$D343,2)&amp;"/"&amp;RIGHT("00"&amp;$E343,2)))</f>
        <v/>
      </c>
      <c r="G343">
        <f>IF(OR($A343="",$F343="",$F343="نامعتبر"),"",LEFT($F343,4)&amp;MID($F343,6,2)&amp;RIGHT($F343,2)&amp;"0000"&amp;"|"&amp;"1"&amp;RIGHT("00000"&amp;338,5))</f>
        <v/>
      </c>
      <c r="H343">
        <f>IF(OR($B343&lt;&gt;1,$G343=""),"",COUNTIFS(LdAParty,$A343,LdAType,1,LdAKey,"&lt;"&amp;$G343)+COUNTIFS(LdBMember,$A343,LdBKey,"&lt;"&amp;$G343)+COUNTIFS(LdCParty,$A343,LdCKey,"&lt;"&amp;$G343)+1)</f>
        <v/>
      </c>
      <c r="I343">
        <f>IF($H343="","",$A343&amp;"|"&amp;RIGHT("000000"&amp;$H343,6))</f>
        <v/>
      </c>
      <c r="J343">
        <f>IF(OR($B343&lt;&gt;2,$G343=""),"",COUNTIFS(LdAParty,$A343,LdAType,2,LdAKey,"&lt;"&amp;$G343)+1)</f>
        <v/>
      </c>
      <c r="K343">
        <f>IF($J343="","",$A343&amp;"|"&amp;RIGHT("000000"&amp;$J343,6))</f>
        <v/>
      </c>
      <c r="L343">
        <f>IF($A343="","",IF(Wages!$G346="",0,Wages!$G346))</f>
        <v/>
      </c>
      <c r="M343">
        <f>IF($A343="","",Wages!$J346)</f>
        <v/>
      </c>
      <c r="N343">
        <f>IF($A343="","",Wages!$D346)</f>
        <v/>
      </c>
      <c r="P343">
        <f>IF(OR(Shares!$B346="",Shares!$C346=""),"",Shares!$C346)</f>
        <v/>
      </c>
      <c r="Q343">
        <f>IF($P343="","",Shares!$B346)</f>
        <v/>
      </c>
      <c r="R343">
        <f>IF($P343="","",IFERROR(INDEX(WageParty,MATCH($Q343,WageIds,0)),""))</f>
        <v/>
      </c>
      <c r="S343">
        <f>IF($P343="","",IFERROR(INDEX($F$6:$F$2005,MATCH($Q343,WageIds,0)),""))</f>
        <v/>
      </c>
      <c r="T343">
        <f>IF(OR($P343="",$S343="",$S343="نامعتبر"),"",LEFT($S343,4)&amp;MID($S343,6,2)&amp;RIGHT($S343,2)&amp;"0000"&amp;"|"&amp;"2"&amp;RIGHT("00000"&amp;338,5))</f>
        <v/>
      </c>
      <c r="U343">
        <f>IF($T343="","",COUNTIFS(LdAParty,$P343,LdAType,1,LdAKey,"&lt;"&amp;$T343)+COUNTIFS(LdBMember,$P343,LdBKey,"&lt;"&amp;$T343)+COUNTIFS(LdCParty,$P343,LdCKey,"&lt;"&amp;$T343)+1)</f>
        <v/>
      </c>
      <c r="V343">
        <f>IF($U343="","",$P343&amp;"|"&amp;RIGHT("000000"&amp;$U343,6))</f>
        <v/>
      </c>
      <c r="W343">
        <f>IF($T343="","",COUNTIFS(LdBGroup,$R343,LdBKey,"&lt;"&amp;$T343)+1)</f>
        <v/>
      </c>
      <c r="X343">
        <f>IF($W343="","",$R343&amp;"|"&amp;RIGHT("000000"&amp;$W343,6))</f>
        <v/>
      </c>
      <c r="Y343">
        <f>IF($P343="","",IF(Shares!$E346="",0,Shares!$E346))</f>
        <v/>
      </c>
      <c r="Z343">
        <f>IF($P343="","",Shares!$H346)</f>
        <v/>
      </c>
      <c r="AE343">
        <f>IF(OR(Sync!$S343="",Sync!$P343=""),"",Sync!$S343)</f>
        <v/>
      </c>
      <c r="AF343">
        <f>IF($AE343="","",IF(ISNUMBER(Sync!$P343),IF(AND(Sync!$P343&gt;=10000101,Sync!$P343&lt;=99991231),INT(Sync!$P343/10000),""),IFERROR(VALUE(TRIM(LEFT(Sync!$P343,FIND("/",Sync!$P343)-1))),"")))</f>
        <v/>
      </c>
      <c r="AG343">
        <f>IF(OR($AE343="",$AF343=""),"",IF(ISNUMBER(Sync!$P343),INT(MOD(Sync!$P343,10000)/100),IFERROR(VALUE(TRIM(LEFT(MID(Sync!$P343,FIND("/",Sync!$P343)+1,20),FIND("/",MID(Sync!$P343,FIND("/",Sync!$P343)+1,20))-1))),"")))</f>
        <v/>
      </c>
      <c r="AH343">
        <f>IF(OR($AE343="",$AF343=""),"",IF(ISNUMBER(Sync!$P343),MOD(Sync!$P343,100),IFERROR(VALUE(TRIM(MID(MID(Sync!$P343,FIND("/",Sync!$P343)+1,20),FIND("/",MID(Sync!$P343,FIND("/",Sync!$P343)+1,20))+1,20))),"")))</f>
        <v/>
      </c>
      <c r="AI343">
        <f>IF($AE343="","",IF(OR($AF343="",$AG343="",$AH343="",$AF343&lt;1300,$AF343&gt;1500,$AG343&lt;1,$AG343&gt;12,$AH343&lt;1,$AH343&gt;31),"نامعتبر",RIGHT("0000"&amp;$AF343,4)&amp;"/"&amp;RIGHT("00"&amp;$AG343,2)&amp;"/"&amp;RIGHT("00"&amp;$AH343,2)))</f>
        <v/>
      </c>
      <c r="AJ343">
        <f>IF($AE343="","",IF(Sync!$Q343="","0000",IF(AND(ISNUMBER(Sync!$Q343),Sync!$Q343&gt;=0,Sync!$Q343&lt;1),RIGHT("00"&amp;HOUR(Sync!$Q343),2)&amp;RIGHT("00"&amp;MINUTE(Sync!$Q343),2),IFERROR(RIGHT("00"&amp;VALUE(LEFT(Sync!$Q343,FIND(":",Sync!$Q343)-1)),2)&amp;RIGHT("00"&amp;VALUE(MID(Sync!$Q343,FIND(":",Sync!$Q343)+1,2)),2),"0000"))))</f>
        <v/>
      </c>
      <c r="AK343">
        <f>IF(OR($AE343="",$AI343="",$AI343="نامعتبر"),"",LEFT($AI343,4)&amp;MID($AI343,6,2)&amp;RIGHT($AI343,2)&amp;$AJ343&amp;"|"&amp;"3"&amp;RIGHT("00000"&amp;338,5))</f>
        <v/>
      </c>
      <c r="AL343">
        <f>IF($AK343="","",COUNTIFS(LdAParty,$AE343,LdAType,1,LdAKey,"&lt;"&amp;$AK343)+COUNTIFS(LdBMember,$AE343,LdBKey,"&lt;"&amp;$AK343)+COUNTIFS(LdCParty,$AE343,LdCKey,"&lt;"&amp;$AK343)+1)</f>
        <v/>
      </c>
      <c r="AM343">
        <f>IF($AL343="","",$AE343&amp;"|"&amp;RIGHT("000000"&amp;$AL343,6))</f>
        <v/>
      </c>
      <c r="AN343">
        <f>IF($AE343="","",IF(Sync!$W343="",0,Sync!$W343))</f>
        <v/>
      </c>
      <c r="AO343">
        <f>IF($AE343="","",IF(Sync!$X343="",0,Sync!$X343))</f>
        <v/>
      </c>
      <c r="AP343">
        <f>IF($AE343="","",Sync!$R343)</f>
        <v/>
      </c>
      <c r="AQ343">
        <f>IF($AE343="","",Sync!$Y343)</f>
        <v/>
      </c>
    </row>
    <row r="344">
      <c r="A344">
        <f>IF(OR(Wages!$B347="",Wages!$E347=""),"",Wages!$E347)</f>
        <v/>
      </c>
      <c r="B344">
        <f>IF($A344="","",IF(Wages!$C347="دستمزد گروهی",2,1))</f>
        <v/>
      </c>
      <c r="C344">
        <f>IF($A344="","",IF(ISNUMBER(Wages!$B347),IF(AND(Wages!$B347&gt;=10000101,Wages!$B347&lt;=99991231),INT(Wages!$B347/10000),""),IFERROR(VALUE(TRIM(LEFT(Wages!$B347,FIND("/",Wages!$B347)-1))),"")))</f>
        <v/>
      </c>
      <c r="D344">
        <f>IF(OR($A344="",$C344=""),"",IF(ISNUMBER(Wages!$B347),INT(MOD(Wages!$B347,10000)/100),IFERROR(VALUE(TRIM(LEFT(MID(Wages!$B347,FIND("/",Wages!$B347)+1,20),FIND("/",MID(Wages!$B347,FIND("/",Wages!$B347)+1,20))-1))),"")))</f>
        <v/>
      </c>
      <c r="E344">
        <f>IF(OR($A344="",$C344=""),"",IF(ISNUMBER(Wages!$B347),MOD(Wages!$B347,100),IFERROR(VALUE(TRIM(MID(MID(Wages!$B347,FIND("/",Wages!$B347)+1,20),FIND("/",MID(Wages!$B347,FIND("/",Wages!$B347)+1,20))+1,20))),"")))</f>
        <v/>
      </c>
      <c r="F344">
        <f>IF($A344="","",IF(OR($C344="",$D344="",$E344="",$C344&lt;1300,$C344&gt;1500,$D344&lt;1,$D344&gt;12,$E344&lt;1,$E344&gt;31),"نامعتبر",RIGHT("0000"&amp;$C344,4)&amp;"/"&amp;RIGHT("00"&amp;$D344,2)&amp;"/"&amp;RIGHT("00"&amp;$E344,2)))</f>
        <v/>
      </c>
      <c r="G344">
        <f>IF(OR($A344="",$F344="",$F344="نامعتبر"),"",LEFT($F344,4)&amp;MID($F344,6,2)&amp;RIGHT($F344,2)&amp;"0000"&amp;"|"&amp;"1"&amp;RIGHT("00000"&amp;339,5))</f>
        <v/>
      </c>
      <c r="H344">
        <f>IF(OR($B344&lt;&gt;1,$G344=""),"",COUNTIFS(LdAParty,$A344,LdAType,1,LdAKey,"&lt;"&amp;$G344)+COUNTIFS(LdBMember,$A344,LdBKey,"&lt;"&amp;$G344)+COUNTIFS(LdCParty,$A344,LdCKey,"&lt;"&amp;$G344)+1)</f>
        <v/>
      </c>
      <c r="I344">
        <f>IF($H344="","",$A344&amp;"|"&amp;RIGHT("000000"&amp;$H344,6))</f>
        <v/>
      </c>
      <c r="J344">
        <f>IF(OR($B344&lt;&gt;2,$G344=""),"",COUNTIFS(LdAParty,$A344,LdAType,2,LdAKey,"&lt;"&amp;$G344)+1)</f>
        <v/>
      </c>
      <c r="K344">
        <f>IF($J344="","",$A344&amp;"|"&amp;RIGHT("000000"&amp;$J344,6))</f>
        <v/>
      </c>
      <c r="L344">
        <f>IF($A344="","",IF(Wages!$G347="",0,Wages!$G347))</f>
        <v/>
      </c>
      <c r="M344">
        <f>IF($A344="","",Wages!$J347)</f>
        <v/>
      </c>
      <c r="N344">
        <f>IF($A344="","",Wages!$D347)</f>
        <v/>
      </c>
      <c r="P344">
        <f>IF(OR(Shares!$B347="",Shares!$C347=""),"",Shares!$C347)</f>
        <v/>
      </c>
      <c r="Q344">
        <f>IF($P344="","",Shares!$B347)</f>
        <v/>
      </c>
      <c r="R344">
        <f>IF($P344="","",IFERROR(INDEX(WageParty,MATCH($Q344,WageIds,0)),""))</f>
        <v/>
      </c>
      <c r="S344">
        <f>IF($P344="","",IFERROR(INDEX($F$6:$F$2005,MATCH($Q344,WageIds,0)),""))</f>
        <v/>
      </c>
      <c r="T344">
        <f>IF(OR($P344="",$S344="",$S344="نامعتبر"),"",LEFT($S344,4)&amp;MID($S344,6,2)&amp;RIGHT($S344,2)&amp;"0000"&amp;"|"&amp;"2"&amp;RIGHT("00000"&amp;339,5))</f>
        <v/>
      </c>
      <c r="U344">
        <f>IF($T344="","",COUNTIFS(LdAParty,$P344,LdAType,1,LdAKey,"&lt;"&amp;$T344)+COUNTIFS(LdBMember,$P344,LdBKey,"&lt;"&amp;$T344)+COUNTIFS(LdCParty,$P344,LdCKey,"&lt;"&amp;$T344)+1)</f>
        <v/>
      </c>
      <c r="V344">
        <f>IF($U344="","",$P344&amp;"|"&amp;RIGHT("000000"&amp;$U344,6))</f>
        <v/>
      </c>
      <c r="W344">
        <f>IF($T344="","",COUNTIFS(LdBGroup,$R344,LdBKey,"&lt;"&amp;$T344)+1)</f>
        <v/>
      </c>
      <c r="X344">
        <f>IF($W344="","",$R344&amp;"|"&amp;RIGHT("000000"&amp;$W344,6))</f>
        <v/>
      </c>
      <c r="Y344">
        <f>IF($P344="","",IF(Shares!$E347="",0,Shares!$E347))</f>
        <v/>
      </c>
      <c r="Z344">
        <f>IF($P344="","",Shares!$H347)</f>
        <v/>
      </c>
      <c r="AE344">
        <f>IF(OR(Sync!$S344="",Sync!$P344=""),"",Sync!$S344)</f>
        <v/>
      </c>
      <c r="AF344">
        <f>IF($AE344="","",IF(ISNUMBER(Sync!$P344),IF(AND(Sync!$P344&gt;=10000101,Sync!$P344&lt;=99991231),INT(Sync!$P344/10000),""),IFERROR(VALUE(TRIM(LEFT(Sync!$P344,FIND("/",Sync!$P344)-1))),"")))</f>
        <v/>
      </c>
      <c r="AG344">
        <f>IF(OR($AE344="",$AF344=""),"",IF(ISNUMBER(Sync!$P344),INT(MOD(Sync!$P344,10000)/100),IFERROR(VALUE(TRIM(LEFT(MID(Sync!$P344,FIND("/",Sync!$P344)+1,20),FIND("/",MID(Sync!$P344,FIND("/",Sync!$P344)+1,20))-1))),"")))</f>
        <v/>
      </c>
      <c r="AH344">
        <f>IF(OR($AE344="",$AF344=""),"",IF(ISNUMBER(Sync!$P344),MOD(Sync!$P344,100),IFERROR(VALUE(TRIM(MID(MID(Sync!$P344,FIND("/",Sync!$P344)+1,20),FIND("/",MID(Sync!$P344,FIND("/",Sync!$P344)+1,20))+1,20))),"")))</f>
        <v/>
      </c>
      <c r="AI344">
        <f>IF($AE344="","",IF(OR($AF344="",$AG344="",$AH344="",$AF344&lt;1300,$AF344&gt;1500,$AG344&lt;1,$AG344&gt;12,$AH344&lt;1,$AH344&gt;31),"نامعتبر",RIGHT("0000"&amp;$AF344,4)&amp;"/"&amp;RIGHT("00"&amp;$AG344,2)&amp;"/"&amp;RIGHT("00"&amp;$AH344,2)))</f>
        <v/>
      </c>
      <c r="AJ344">
        <f>IF($AE344="","",IF(Sync!$Q344="","0000",IF(AND(ISNUMBER(Sync!$Q344),Sync!$Q344&gt;=0,Sync!$Q344&lt;1),RIGHT("00"&amp;HOUR(Sync!$Q344),2)&amp;RIGHT("00"&amp;MINUTE(Sync!$Q344),2),IFERROR(RIGHT("00"&amp;VALUE(LEFT(Sync!$Q344,FIND(":",Sync!$Q344)-1)),2)&amp;RIGHT("00"&amp;VALUE(MID(Sync!$Q344,FIND(":",Sync!$Q344)+1,2)),2),"0000"))))</f>
        <v/>
      </c>
      <c r="AK344">
        <f>IF(OR($AE344="",$AI344="",$AI344="نامعتبر"),"",LEFT($AI344,4)&amp;MID($AI344,6,2)&amp;RIGHT($AI344,2)&amp;$AJ344&amp;"|"&amp;"3"&amp;RIGHT("00000"&amp;339,5))</f>
        <v/>
      </c>
      <c r="AL344">
        <f>IF($AK344="","",COUNTIFS(LdAParty,$AE344,LdAType,1,LdAKey,"&lt;"&amp;$AK344)+COUNTIFS(LdBMember,$AE344,LdBKey,"&lt;"&amp;$AK344)+COUNTIFS(LdCParty,$AE344,LdCKey,"&lt;"&amp;$AK344)+1)</f>
        <v/>
      </c>
      <c r="AM344">
        <f>IF($AL344="","",$AE344&amp;"|"&amp;RIGHT("000000"&amp;$AL344,6))</f>
        <v/>
      </c>
      <c r="AN344">
        <f>IF($AE344="","",IF(Sync!$W344="",0,Sync!$W344))</f>
        <v/>
      </c>
      <c r="AO344">
        <f>IF($AE344="","",IF(Sync!$X344="",0,Sync!$X344))</f>
        <v/>
      </c>
      <c r="AP344">
        <f>IF($AE344="","",Sync!$R344)</f>
        <v/>
      </c>
      <c r="AQ344">
        <f>IF($AE344="","",Sync!$Y344)</f>
        <v/>
      </c>
    </row>
    <row r="345">
      <c r="A345">
        <f>IF(OR(Wages!$B348="",Wages!$E348=""),"",Wages!$E348)</f>
        <v/>
      </c>
      <c r="B345">
        <f>IF($A345="","",IF(Wages!$C348="دستمزد گروهی",2,1))</f>
        <v/>
      </c>
      <c r="C345">
        <f>IF($A345="","",IF(ISNUMBER(Wages!$B348),IF(AND(Wages!$B348&gt;=10000101,Wages!$B348&lt;=99991231),INT(Wages!$B348/10000),""),IFERROR(VALUE(TRIM(LEFT(Wages!$B348,FIND("/",Wages!$B348)-1))),"")))</f>
        <v/>
      </c>
      <c r="D345">
        <f>IF(OR($A345="",$C345=""),"",IF(ISNUMBER(Wages!$B348),INT(MOD(Wages!$B348,10000)/100),IFERROR(VALUE(TRIM(LEFT(MID(Wages!$B348,FIND("/",Wages!$B348)+1,20),FIND("/",MID(Wages!$B348,FIND("/",Wages!$B348)+1,20))-1))),"")))</f>
        <v/>
      </c>
      <c r="E345">
        <f>IF(OR($A345="",$C345=""),"",IF(ISNUMBER(Wages!$B348),MOD(Wages!$B348,100),IFERROR(VALUE(TRIM(MID(MID(Wages!$B348,FIND("/",Wages!$B348)+1,20),FIND("/",MID(Wages!$B348,FIND("/",Wages!$B348)+1,20))+1,20))),"")))</f>
        <v/>
      </c>
      <c r="F345">
        <f>IF($A345="","",IF(OR($C345="",$D345="",$E345="",$C345&lt;1300,$C345&gt;1500,$D345&lt;1,$D345&gt;12,$E345&lt;1,$E345&gt;31),"نامعتبر",RIGHT("0000"&amp;$C345,4)&amp;"/"&amp;RIGHT("00"&amp;$D345,2)&amp;"/"&amp;RIGHT("00"&amp;$E345,2)))</f>
        <v/>
      </c>
      <c r="G345">
        <f>IF(OR($A345="",$F345="",$F345="نامعتبر"),"",LEFT($F345,4)&amp;MID($F345,6,2)&amp;RIGHT($F345,2)&amp;"0000"&amp;"|"&amp;"1"&amp;RIGHT("00000"&amp;340,5))</f>
        <v/>
      </c>
      <c r="H345">
        <f>IF(OR($B345&lt;&gt;1,$G345=""),"",COUNTIFS(LdAParty,$A345,LdAType,1,LdAKey,"&lt;"&amp;$G345)+COUNTIFS(LdBMember,$A345,LdBKey,"&lt;"&amp;$G345)+COUNTIFS(LdCParty,$A345,LdCKey,"&lt;"&amp;$G345)+1)</f>
        <v/>
      </c>
      <c r="I345">
        <f>IF($H345="","",$A345&amp;"|"&amp;RIGHT("000000"&amp;$H345,6))</f>
        <v/>
      </c>
      <c r="J345">
        <f>IF(OR($B345&lt;&gt;2,$G345=""),"",COUNTIFS(LdAParty,$A345,LdAType,2,LdAKey,"&lt;"&amp;$G345)+1)</f>
        <v/>
      </c>
      <c r="K345">
        <f>IF($J345="","",$A345&amp;"|"&amp;RIGHT("000000"&amp;$J345,6))</f>
        <v/>
      </c>
      <c r="L345">
        <f>IF($A345="","",IF(Wages!$G348="",0,Wages!$G348))</f>
        <v/>
      </c>
      <c r="M345">
        <f>IF($A345="","",Wages!$J348)</f>
        <v/>
      </c>
      <c r="N345">
        <f>IF($A345="","",Wages!$D348)</f>
        <v/>
      </c>
      <c r="P345">
        <f>IF(OR(Shares!$B348="",Shares!$C348=""),"",Shares!$C348)</f>
        <v/>
      </c>
      <c r="Q345">
        <f>IF($P345="","",Shares!$B348)</f>
        <v/>
      </c>
      <c r="R345">
        <f>IF($P345="","",IFERROR(INDEX(WageParty,MATCH($Q345,WageIds,0)),""))</f>
        <v/>
      </c>
      <c r="S345">
        <f>IF($P345="","",IFERROR(INDEX($F$6:$F$2005,MATCH($Q345,WageIds,0)),""))</f>
        <v/>
      </c>
      <c r="T345">
        <f>IF(OR($P345="",$S345="",$S345="نامعتبر"),"",LEFT($S345,4)&amp;MID($S345,6,2)&amp;RIGHT($S345,2)&amp;"0000"&amp;"|"&amp;"2"&amp;RIGHT("00000"&amp;340,5))</f>
        <v/>
      </c>
      <c r="U345">
        <f>IF($T345="","",COUNTIFS(LdAParty,$P345,LdAType,1,LdAKey,"&lt;"&amp;$T345)+COUNTIFS(LdBMember,$P345,LdBKey,"&lt;"&amp;$T345)+COUNTIFS(LdCParty,$P345,LdCKey,"&lt;"&amp;$T345)+1)</f>
        <v/>
      </c>
      <c r="V345">
        <f>IF($U345="","",$P345&amp;"|"&amp;RIGHT("000000"&amp;$U345,6))</f>
        <v/>
      </c>
      <c r="W345">
        <f>IF($T345="","",COUNTIFS(LdBGroup,$R345,LdBKey,"&lt;"&amp;$T345)+1)</f>
        <v/>
      </c>
      <c r="X345">
        <f>IF($W345="","",$R345&amp;"|"&amp;RIGHT("000000"&amp;$W345,6))</f>
        <v/>
      </c>
      <c r="Y345">
        <f>IF($P345="","",IF(Shares!$E348="",0,Shares!$E348))</f>
        <v/>
      </c>
      <c r="Z345">
        <f>IF($P345="","",Shares!$H348)</f>
        <v/>
      </c>
      <c r="AE345">
        <f>IF(OR(Sync!$S345="",Sync!$P345=""),"",Sync!$S345)</f>
        <v/>
      </c>
      <c r="AF345">
        <f>IF($AE345="","",IF(ISNUMBER(Sync!$P345),IF(AND(Sync!$P345&gt;=10000101,Sync!$P345&lt;=99991231),INT(Sync!$P345/10000),""),IFERROR(VALUE(TRIM(LEFT(Sync!$P345,FIND("/",Sync!$P345)-1))),"")))</f>
        <v/>
      </c>
      <c r="AG345">
        <f>IF(OR($AE345="",$AF345=""),"",IF(ISNUMBER(Sync!$P345),INT(MOD(Sync!$P345,10000)/100),IFERROR(VALUE(TRIM(LEFT(MID(Sync!$P345,FIND("/",Sync!$P345)+1,20),FIND("/",MID(Sync!$P345,FIND("/",Sync!$P345)+1,20))-1))),"")))</f>
        <v/>
      </c>
      <c r="AH345">
        <f>IF(OR($AE345="",$AF345=""),"",IF(ISNUMBER(Sync!$P345),MOD(Sync!$P345,100),IFERROR(VALUE(TRIM(MID(MID(Sync!$P345,FIND("/",Sync!$P345)+1,20),FIND("/",MID(Sync!$P345,FIND("/",Sync!$P345)+1,20))+1,20))),"")))</f>
        <v/>
      </c>
      <c r="AI345">
        <f>IF($AE345="","",IF(OR($AF345="",$AG345="",$AH345="",$AF345&lt;1300,$AF345&gt;1500,$AG345&lt;1,$AG345&gt;12,$AH345&lt;1,$AH345&gt;31),"نامعتبر",RIGHT("0000"&amp;$AF345,4)&amp;"/"&amp;RIGHT("00"&amp;$AG345,2)&amp;"/"&amp;RIGHT("00"&amp;$AH345,2)))</f>
        <v/>
      </c>
      <c r="AJ345">
        <f>IF($AE345="","",IF(Sync!$Q345="","0000",IF(AND(ISNUMBER(Sync!$Q345),Sync!$Q345&gt;=0,Sync!$Q345&lt;1),RIGHT("00"&amp;HOUR(Sync!$Q345),2)&amp;RIGHT("00"&amp;MINUTE(Sync!$Q345),2),IFERROR(RIGHT("00"&amp;VALUE(LEFT(Sync!$Q345,FIND(":",Sync!$Q345)-1)),2)&amp;RIGHT("00"&amp;VALUE(MID(Sync!$Q345,FIND(":",Sync!$Q345)+1,2)),2),"0000"))))</f>
        <v/>
      </c>
      <c r="AK345">
        <f>IF(OR($AE345="",$AI345="",$AI345="نامعتبر"),"",LEFT($AI345,4)&amp;MID($AI345,6,2)&amp;RIGHT($AI345,2)&amp;$AJ345&amp;"|"&amp;"3"&amp;RIGHT("00000"&amp;340,5))</f>
        <v/>
      </c>
      <c r="AL345">
        <f>IF($AK345="","",COUNTIFS(LdAParty,$AE345,LdAType,1,LdAKey,"&lt;"&amp;$AK345)+COUNTIFS(LdBMember,$AE345,LdBKey,"&lt;"&amp;$AK345)+COUNTIFS(LdCParty,$AE345,LdCKey,"&lt;"&amp;$AK345)+1)</f>
        <v/>
      </c>
      <c r="AM345">
        <f>IF($AL345="","",$AE345&amp;"|"&amp;RIGHT("000000"&amp;$AL345,6))</f>
        <v/>
      </c>
      <c r="AN345">
        <f>IF($AE345="","",IF(Sync!$W345="",0,Sync!$W345))</f>
        <v/>
      </c>
      <c r="AO345">
        <f>IF($AE345="","",IF(Sync!$X345="",0,Sync!$X345))</f>
        <v/>
      </c>
      <c r="AP345">
        <f>IF($AE345="","",Sync!$R345)</f>
        <v/>
      </c>
      <c r="AQ345">
        <f>IF($AE345="","",Sync!$Y345)</f>
        <v/>
      </c>
    </row>
    <row r="346">
      <c r="A346">
        <f>IF(OR(Wages!$B349="",Wages!$E349=""),"",Wages!$E349)</f>
        <v/>
      </c>
      <c r="B346">
        <f>IF($A346="","",IF(Wages!$C349="دستمزد گروهی",2,1))</f>
        <v/>
      </c>
      <c r="C346">
        <f>IF($A346="","",IF(ISNUMBER(Wages!$B349),IF(AND(Wages!$B349&gt;=10000101,Wages!$B349&lt;=99991231),INT(Wages!$B349/10000),""),IFERROR(VALUE(TRIM(LEFT(Wages!$B349,FIND("/",Wages!$B349)-1))),"")))</f>
        <v/>
      </c>
      <c r="D346">
        <f>IF(OR($A346="",$C346=""),"",IF(ISNUMBER(Wages!$B349),INT(MOD(Wages!$B349,10000)/100),IFERROR(VALUE(TRIM(LEFT(MID(Wages!$B349,FIND("/",Wages!$B349)+1,20),FIND("/",MID(Wages!$B349,FIND("/",Wages!$B349)+1,20))-1))),"")))</f>
        <v/>
      </c>
      <c r="E346">
        <f>IF(OR($A346="",$C346=""),"",IF(ISNUMBER(Wages!$B349),MOD(Wages!$B349,100),IFERROR(VALUE(TRIM(MID(MID(Wages!$B349,FIND("/",Wages!$B349)+1,20),FIND("/",MID(Wages!$B349,FIND("/",Wages!$B349)+1,20))+1,20))),"")))</f>
        <v/>
      </c>
      <c r="F346">
        <f>IF($A346="","",IF(OR($C346="",$D346="",$E346="",$C346&lt;1300,$C346&gt;1500,$D346&lt;1,$D346&gt;12,$E346&lt;1,$E346&gt;31),"نامعتبر",RIGHT("0000"&amp;$C346,4)&amp;"/"&amp;RIGHT("00"&amp;$D346,2)&amp;"/"&amp;RIGHT("00"&amp;$E346,2)))</f>
        <v/>
      </c>
      <c r="G346">
        <f>IF(OR($A346="",$F346="",$F346="نامعتبر"),"",LEFT($F346,4)&amp;MID($F346,6,2)&amp;RIGHT($F346,2)&amp;"0000"&amp;"|"&amp;"1"&amp;RIGHT("00000"&amp;341,5))</f>
        <v/>
      </c>
      <c r="H346">
        <f>IF(OR($B346&lt;&gt;1,$G346=""),"",COUNTIFS(LdAParty,$A346,LdAType,1,LdAKey,"&lt;"&amp;$G346)+COUNTIFS(LdBMember,$A346,LdBKey,"&lt;"&amp;$G346)+COUNTIFS(LdCParty,$A346,LdCKey,"&lt;"&amp;$G346)+1)</f>
        <v/>
      </c>
      <c r="I346">
        <f>IF($H346="","",$A346&amp;"|"&amp;RIGHT("000000"&amp;$H346,6))</f>
        <v/>
      </c>
      <c r="J346">
        <f>IF(OR($B346&lt;&gt;2,$G346=""),"",COUNTIFS(LdAParty,$A346,LdAType,2,LdAKey,"&lt;"&amp;$G346)+1)</f>
        <v/>
      </c>
      <c r="K346">
        <f>IF($J346="","",$A346&amp;"|"&amp;RIGHT("000000"&amp;$J346,6))</f>
        <v/>
      </c>
      <c r="L346">
        <f>IF($A346="","",IF(Wages!$G349="",0,Wages!$G349))</f>
        <v/>
      </c>
      <c r="M346">
        <f>IF($A346="","",Wages!$J349)</f>
        <v/>
      </c>
      <c r="N346">
        <f>IF($A346="","",Wages!$D349)</f>
        <v/>
      </c>
      <c r="P346">
        <f>IF(OR(Shares!$B349="",Shares!$C349=""),"",Shares!$C349)</f>
        <v/>
      </c>
      <c r="Q346">
        <f>IF($P346="","",Shares!$B349)</f>
        <v/>
      </c>
      <c r="R346">
        <f>IF($P346="","",IFERROR(INDEX(WageParty,MATCH($Q346,WageIds,0)),""))</f>
        <v/>
      </c>
      <c r="S346">
        <f>IF($P346="","",IFERROR(INDEX($F$6:$F$2005,MATCH($Q346,WageIds,0)),""))</f>
        <v/>
      </c>
      <c r="T346">
        <f>IF(OR($P346="",$S346="",$S346="نامعتبر"),"",LEFT($S346,4)&amp;MID($S346,6,2)&amp;RIGHT($S346,2)&amp;"0000"&amp;"|"&amp;"2"&amp;RIGHT("00000"&amp;341,5))</f>
        <v/>
      </c>
      <c r="U346">
        <f>IF($T346="","",COUNTIFS(LdAParty,$P346,LdAType,1,LdAKey,"&lt;"&amp;$T346)+COUNTIFS(LdBMember,$P346,LdBKey,"&lt;"&amp;$T346)+COUNTIFS(LdCParty,$P346,LdCKey,"&lt;"&amp;$T346)+1)</f>
        <v/>
      </c>
      <c r="V346">
        <f>IF($U346="","",$P346&amp;"|"&amp;RIGHT("000000"&amp;$U346,6))</f>
        <v/>
      </c>
      <c r="W346">
        <f>IF($T346="","",COUNTIFS(LdBGroup,$R346,LdBKey,"&lt;"&amp;$T346)+1)</f>
        <v/>
      </c>
      <c r="X346">
        <f>IF($W346="","",$R346&amp;"|"&amp;RIGHT("000000"&amp;$W346,6))</f>
        <v/>
      </c>
      <c r="Y346">
        <f>IF($P346="","",IF(Shares!$E349="",0,Shares!$E349))</f>
        <v/>
      </c>
      <c r="Z346">
        <f>IF($P346="","",Shares!$H349)</f>
        <v/>
      </c>
      <c r="AE346">
        <f>IF(OR(Sync!$S346="",Sync!$P346=""),"",Sync!$S346)</f>
        <v/>
      </c>
      <c r="AF346">
        <f>IF($AE346="","",IF(ISNUMBER(Sync!$P346),IF(AND(Sync!$P346&gt;=10000101,Sync!$P346&lt;=99991231),INT(Sync!$P346/10000),""),IFERROR(VALUE(TRIM(LEFT(Sync!$P346,FIND("/",Sync!$P346)-1))),"")))</f>
        <v/>
      </c>
      <c r="AG346">
        <f>IF(OR($AE346="",$AF346=""),"",IF(ISNUMBER(Sync!$P346),INT(MOD(Sync!$P346,10000)/100),IFERROR(VALUE(TRIM(LEFT(MID(Sync!$P346,FIND("/",Sync!$P346)+1,20),FIND("/",MID(Sync!$P346,FIND("/",Sync!$P346)+1,20))-1))),"")))</f>
        <v/>
      </c>
      <c r="AH346">
        <f>IF(OR($AE346="",$AF346=""),"",IF(ISNUMBER(Sync!$P346),MOD(Sync!$P346,100),IFERROR(VALUE(TRIM(MID(MID(Sync!$P346,FIND("/",Sync!$P346)+1,20),FIND("/",MID(Sync!$P346,FIND("/",Sync!$P346)+1,20))+1,20))),"")))</f>
        <v/>
      </c>
      <c r="AI346">
        <f>IF($AE346="","",IF(OR($AF346="",$AG346="",$AH346="",$AF346&lt;1300,$AF346&gt;1500,$AG346&lt;1,$AG346&gt;12,$AH346&lt;1,$AH346&gt;31),"نامعتبر",RIGHT("0000"&amp;$AF346,4)&amp;"/"&amp;RIGHT("00"&amp;$AG346,2)&amp;"/"&amp;RIGHT("00"&amp;$AH346,2)))</f>
        <v/>
      </c>
      <c r="AJ346">
        <f>IF($AE346="","",IF(Sync!$Q346="","0000",IF(AND(ISNUMBER(Sync!$Q346),Sync!$Q346&gt;=0,Sync!$Q346&lt;1),RIGHT("00"&amp;HOUR(Sync!$Q346),2)&amp;RIGHT("00"&amp;MINUTE(Sync!$Q346),2),IFERROR(RIGHT("00"&amp;VALUE(LEFT(Sync!$Q346,FIND(":",Sync!$Q346)-1)),2)&amp;RIGHT("00"&amp;VALUE(MID(Sync!$Q346,FIND(":",Sync!$Q346)+1,2)),2),"0000"))))</f>
        <v/>
      </c>
      <c r="AK346">
        <f>IF(OR($AE346="",$AI346="",$AI346="نامعتبر"),"",LEFT($AI346,4)&amp;MID($AI346,6,2)&amp;RIGHT($AI346,2)&amp;$AJ346&amp;"|"&amp;"3"&amp;RIGHT("00000"&amp;341,5))</f>
        <v/>
      </c>
      <c r="AL346">
        <f>IF($AK346="","",COUNTIFS(LdAParty,$AE346,LdAType,1,LdAKey,"&lt;"&amp;$AK346)+COUNTIFS(LdBMember,$AE346,LdBKey,"&lt;"&amp;$AK346)+COUNTIFS(LdCParty,$AE346,LdCKey,"&lt;"&amp;$AK346)+1)</f>
        <v/>
      </c>
      <c r="AM346">
        <f>IF($AL346="","",$AE346&amp;"|"&amp;RIGHT("000000"&amp;$AL346,6))</f>
        <v/>
      </c>
      <c r="AN346">
        <f>IF($AE346="","",IF(Sync!$W346="",0,Sync!$W346))</f>
        <v/>
      </c>
      <c r="AO346">
        <f>IF($AE346="","",IF(Sync!$X346="",0,Sync!$X346))</f>
        <v/>
      </c>
      <c r="AP346">
        <f>IF($AE346="","",Sync!$R346)</f>
        <v/>
      </c>
      <c r="AQ346">
        <f>IF($AE346="","",Sync!$Y346)</f>
        <v/>
      </c>
    </row>
    <row r="347">
      <c r="A347">
        <f>IF(OR(Wages!$B350="",Wages!$E350=""),"",Wages!$E350)</f>
        <v/>
      </c>
      <c r="B347">
        <f>IF($A347="","",IF(Wages!$C350="دستمزد گروهی",2,1))</f>
        <v/>
      </c>
      <c r="C347">
        <f>IF($A347="","",IF(ISNUMBER(Wages!$B350),IF(AND(Wages!$B350&gt;=10000101,Wages!$B350&lt;=99991231),INT(Wages!$B350/10000),""),IFERROR(VALUE(TRIM(LEFT(Wages!$B350,FIND("/",Wages!$B350)-1))),"")))</f>
        <v/>
      </c>
      <c r="D347">
        <f>IF(OR($A347="",$C347=""),"",IF(ISNUMBER(Wages!$B350),INT(MOD(Wages!$B350,10000)/100),IFERROR(VALUE(TRIM(LEFT(MID(Wages!$B350,FIND("/",Wages!$B350)+1,20),FIND("/",MID(Wages!$B350,FIND("/",Wages!$B350)+1,20))-1))),"")))</f>
        <v/>
      </c>
      <c r="E347">
        <f>IF(OR($A347="",$C347=""),"",IF(ISNUMBER(Wages!$B350),MOD(Wages!$B350,100),IFERROR(VALUE(TRIM(MID(MID(Wages!$B350,FIND("/",Wages!$B350)+1,20),FIND("/",MID(Wages!$B350,FIND("/",Wages!$B350)+1,20))+1,20))),"")))</f>
        <v/>
      </c>
      <c r="F347">
        <f>IF($A347="","",IF(OR($C347="",$D347="",$E347="",$C347&lt;1300,$C347&gt;1500,$D347&lt;1,$D347&gt;12,$E347&lt;1,$E347&gt;31),"نامعتبر",RIGHT("0000"&amp;$C347,4)&amp;"/"&amp;RIGHT("00"&amp;$D347,2)&amp;"/"&amp;RIGHT("00"&amp;$E347,2)))</f>
        <v/>
      </c>
      <c r="G347">
        <f>IF(OR($A347="",$F347="",$F347="نامعتبر"),"",LEFT($F347,4)&amp;MID($F347,6,2)&amp;RIGHT($F347,2)&amp;"0000"&amp;"|"&amp;"1"&amp;RIGHT("00000"&amp;342,5))</f>
        <v/>
      </c>
      <c r="H347">
        <f>IF(OR($B347&lt;&gt;1,$G347=""),"",COUNTIFS(LdAParty,$A347,LdAType,1,LdAKey,"&lt;"&amp;$G347)+COUNTIFS(LdBMember,$A347,LdBKey,"&lt;"&amp;$G347)+COUNTIFS(LdCParty,$A347,LdCKey,"&lt;"&amp;$G347)+1)</f>
        <v/>
      </c>
      <c r="I347">
        <f>IF($H347="","",$A347&amp;"|"&amp;RIGHT("000000"&amp;$H347,6))</f>
        <v/>
      </c>
      <c r="J347">
        <f>IF(OR($B347&lt;&gt;2,$G347=""),"",COUNTIFS(LdAParty,$A347,LdAType,2,LdAKey,"&lt;"&amp;$G347)+1)</f>
        <v/>
      </c>
      <c r="K347">
        <f>IF($J347="","",$A347&amp;"|"&amp;RIGHT("000000"&amp;$J347,6))</f>
        <v/>
      </c>
      <c r="L347">
        <f>IF($A347="","",IF(Wages!$G350="",0,Wages!$G350))</f>
        <v/>
      </c>
      <c r="M347">
        <f>IF($A347="","",Wages!$J350)</f>
        <v/>
      </c>
      <c r="N347">
        <f>IF($A347="","",Wages!$D350)</f>
        <v/>
      </c>
      <c r="P347">
        <f>IF(OR(Shares!$B350="",Shares!$C350=""),"",Shares!$C350)</f>
        <v/>
      </c>
      <c r="Q347">
        <f>IF($P347="","",Shares!$B350)</f>
        <v/>
      </c>
      <c r="R347">
        <f>IF($P347="","",IFERROR(INDEX(WageParty,MATCH($Q347,WageIds,0)),""))</f>
        <v/>
      </c>
      <c r="S347">
        <f>IF($P347="","",IFERROR(INDEX($F$6:$F$2005,MATCH($Q347,WageIds,0)),""))</f>
        <v/>
      </c>
      <c r="T347">
        <f>IF(OR($P347="",$S347="",$S347="نامعتبر"),"",LEFT($S347,4)&amp;MID($S347,6,2)&amp;RIGHT($S347,2)&amp;"0000"&amp;"|"&amp;"2"&amp;RIGHT("00000"&amp;342,5))</f>
        <v/>
      </c>
      <c r="U347">
        <f>IF($T347="","",COUNTIFS(LdAParty,$P347,LdAType,1,LdAKey,"&lt;"&amp;$T347)+COUNTIFS(LdBMember,$P347,LdBKey,"&lt;"&amp;$T347)+COUNTIFS(LdCParty,$P347,LdCKey,"&lt;"&amp;$T347)+1)</f>
        <v/>
      </c>
      <c r="V347">
        <f>IF($U347="","",$P347&amp;"|"&amp;RIGHT("000000"&amp;$U347,6))</f>
        <v/>
      </c>
      <c r="W347">
        <f>IF($T347="","",COUNTIFS(LdBGroup,$R347,LdBKey,"&lt;"&amp;$T347)+1)</f>
        <v/>
      </c>
      <c r="X347">
        <f>IF($W347="","",$R347&amp;"|"&amp;RIGHT("000000"&amp;$W347,6))</f>
        <v/>
      </c>
      <c r="Y347">
        <f>IF($P347="","",IF(Shares!$E350="",0,Shares!$E350))</f>
        <v/>
      </c>
      <c r="Z347">
        <f>IF($P347="","",Shares!$H350)</f>
        <v/>
      </c>
      <c r="AE347">
        <f>IF(OR(Sync!$S347="",Sync!$P347=""),"",Sync!$S347)</f>
        <v/>
      </c>
      <c r="AF347">
        <f>IF($AE347="","",IF(ISNUMBER(Sync!$P347),IF(AND(Sync!$P347&gt;=10000101,Sync!$P347&lt;=99991231),INT(Sync!$P347/10000),""),IFERROR(VALUE(TRIM(LEFT(Sync!$P347,FIND("/",Sync!$P347)-1))),"")))</f>
        <v/>
      </c>
      <c r="AG347">
        <f>IF(OR($AE347="",$AF347=""),"",IF(ISNUMBER(Sync!$P347),INT(MOD(Sync!$P347,10000)/100),IFERROR(VALUE(TRIM(LEFT(MID(Sync!$P347,FIND("/",Sync!$P347)+1,20),FIND("/",MID(Sync!$P347,FIND("/",Sync!$P347)+1,20))-1))),"")))</f>
        <v/>
      </c>
      <c r="AH347">
        <f>IF(OR($AE347="",$AF347=""),"",IF(ISNUMBER(Sync!$P347),MOD(Sync!$P347,100),IFERROR(VALUE(TRIM(MID(MID(Sync!$P347,FIND("/",Sync!$P347)+1,20),FIND("/",MID(Sync!$P347,FIND("/",Sync!$P347)+1,20))+1,20))),"")))</f>
        <v/>
      </c>
      <c r="AI347">
        <f>IF($AE347="","",IF(OR($AF347="",$AG347="",$AH347="",$AF347&lt;1300,$AF347&gt;1500,$AG347&lt;1,$AG347&gt;12,$AH347&lt;1,$AH347&gt;31),"نامعتبر",RIGHT("0000"&amp;$AF347,4)&amp;"/"&amp;RIGHT("00"&amp;$AG347,2)&amp;"/"&amp;RIGHT("00"&amp;$AH347,2)))</f>
        <v/>
      </c>
      <c r="AJ347">
        <f>IF($AE347="","",IF(Sync!$Q347="","0000",IF(AND(ISNUMBER(Sync!$Q347),Sync!$Q347&gt;=0,Sync!$Q347&lt;1),RIGHT("00"&amp;HOUR(Sync!$Q347),2)&amp;RIGHT("00"&amp;MINUTE(Sync!$Q347),2),IFERROR(RIGHT("00"&amp;VALUE(LEFT(Sync!$Q347,FIND(":",Sync!$Q347)-1)),2)&amp;RIGHT("00"&amp;VALUE(MID(Sync!$Q347,FIND(":",Sync!$Q347)+1,2)),2),"0000"))))</f>
        <v/>
      </c>
      <c r="AK347">
        <f>IF(OR($AE347="",$AI347="",$AI347="نامعتبر"),"",LEFT($AI347,4)&amp;MID($AI347,6,2)&amp;RIGHT($AI347,2)&amp;$AJ347&amp;"|"&amp;"3"&amp;RIGHT("00000"&amp;342,5))</f>
        <v/>
      </c>
      <c r="AL347">
        <f>IF($AK347="","",COUNTIFS(LdAParty,$AE347,LdAType,1,LdAKey,"&lt;"&amp;$AK347)+COUNTIFS(LdBMember,$AE347,LdBKey,"&lt;"&amp;$AK347)+COUNTIFS(LdCParty,$AE347,LdCKey,"&lt;"&amp;$AK347)+1)</f>
        <v/>
      </c>
      <c r="AM347">
        <f>IF($AL347="","",$AE347&amp;"|"&amp;RIGHT("000000"&amp;$AL347,6))</f>
        <v/>
      </c>
      <c r="AN347">
        <f>IF($AE347="","",IF(Sync!$W347="",0,Sync!$W347))</f>
        <v/>
      </c>
      <c r="AO347">
        <f>IF($AE347="","",IF(Sync!$X347="",0,Sync!$X347))</f>
        <v/>
      </c>
      <c r="AP347">
        <f>IF($AE347="","",Sync!$R347)</f>
        <v/>
      </c>
      <c r="AQ347">
        <f>IF($AE347="","",Sync!$Y347)</f>
        <v/>
      </c>
    </row>
    <row r="348">
      <c r="A348">
        <f>IF(OR(Wages!$B351="",Wages!$E351=""),"",Wages!$E351)</f>
        <v/>
      </c>
      <c r="B348">
        <f>IF($A348="","",IF(Wages!$C351="دستمزد گروهی",2,1))</f>
        <v/>
      </c>
      <c r="C348">
        <f>IF($A348="","",IF(ISNUMBER(Wages!$B351),IF(AND(Wages!$B351&gt;=10000101,Wages!$B351&lt;=99991231),INT(Wages!$B351/10000),""),IFERROR(VALUE(TRIM(LEFT(Wages!$B351,FIND("/",Wages!$B351)-1))),"")))</f>
        <v/>
      </c>
      <c r="D348">
        <f>IF(OR($A348="",$C348=""),"",IF(ISNUMBER(Wages!$B351),INT(MOD(Wages!$B351,10000)/100),IFERROR(VALUE(TRIM(LEFT(MID(Wages!$B351,FIND("/",Wages!$B351)+1,20),FIND("/",MID(Wages!$B351,FIND("/",Wages!$B351)+1,20))-1))),"")))</f>
        <v/>
      </c>
      <c r="E348">
        <f>IF(OR($A348="",$C348=""),"",IF(ISNUMBER(Wages!$B351),MOD(Wages!$B351,100),IFERROR(VALUE(TRIM(MID(MID(Wages!$B351,FIND("/",Wages!$B351)+1,20),FIND("/",MID(Wages!$B351,FIND("/",Wages!$B351)+1,20))+1,20))),"")))</f>
        <v/>
      </c>
      <c r="F348">
        <f>IF($A348="","",IF(OR($C348="",$D348="",$E348="",$C348&lt;1300,$C348&gt;1500,$D348&lt;1,$D348&gt;12,$E348&lt;1,$E348&gt;31),"نامعتبر",RIGHT("0000"&amp;$C348,4)&amp;"/"&amp;RIGHT("00"&amp;$D348,2)&amp;"/"&amp;RIGHT("00"&amp;$E348,2)))</f>
        <v/>
      </c>
      <c r="G348">
        <f>IF(OR($A348="",$F348="",$F348="نامعتبر"),"",LEFT($F348,4)&amp;MID($F348,6,2)&amp;RIGHT($F348,2)&amp;"0000"&amp;"|"&amp;"1"&amp;RIGHT("00000"&amp;343,5))</f>
        <v/>
      </c>
      <c r="H348">
        <f>IF(OR($B348&lt;&gt;1,$G348=""),"",COUNTIFS(LdAParty,$A348,LdAType,1,LdAKey,"&lt;"&amp;$G348)+COUNTIFS(LdBMember,$A348,LdBKey,"&lt;"&amp;$G348)+COUNTIFS(LdCParty,$A348,LdCKey,"&lt;"&amp;$G348)+1)</f>
        <v/>
      </c>
      <c r="I348">
        <f>IF($H348="","",$A348&amp;"|"&amp;RIGHT("000000"&amp;$H348,6))</f>
        <v/>
      </c>
      <c r="J348">
        <f>IF(OR($B348&lt;&gt;2,$G348=""),"",COUNTIFS(LdAParty,$A348,LdAType,2,LdAKey,"&lt;"&amp;$G348)+1)</f>
        <v/>
      </c>
      <c r="K348">
        <f>IF($J348="","",$A348&amp;"|"&amp;RIGHT("000000"&amp;$J348,6))</f>
        <v/>
      </c>
      <c r="L348">
        <f>IF($A348="","",IF(Wages!$G351="",0,Wages!$G351))</f>
        <v/>
      </c>
      <c r="M348">
        <f>IF($A348="","",Wages!$J351)</f>
        <v/>
      </c>
      <c r="N348">
        <f>IF($A348="","",Wages!$D351)</f>
        <v/>
      </c>
      <c r="P348">
        <f>IF(OR(Shares!$B351="",Shares!$C351=""),"",Shares!$C351)</f>
        <v/>
      </c>
      <c r="Q348">
        <f>IF($P348="","",Shares!$B351)</f>
        <v/>
      </c>
      <c r="R348">
        <f>IF($P348="","",IFERROR(INDEX(WageParty,MATCH($Q348,WageIds,0)),""))</f>
        <v/>
      </c>
      <c r="S348">
        <f>IF($P348="","",IFERROR(INDEX($F$6:$F$2005,MATCH($Q348,WageIds,0)),""))</f>
        <v/>
      </c>
      <c r="T348">
        <f>IF(OR($P348="",$S348="",$S348="نامعتبر"),"",LEFT($S348,4)&amp;MID($S348,6,2)&amp;RIGHT($S348,2)&amp;"0000"&amp;"|"&amp;"2"&amp;RIGHT("00000"&amp;343,5))</f>
        <v/>
      </c>
      <c r="U348">
        <f>IF($T348="","",COUNTIFS(LdAParty,$P348,LdAType,1,LdAKey,"&lt;"&amp;$T348)+COUNTIFS(LdBMember,$P348,LdBKey,"&lt;"&amp;$T348)+COUNTIFS(LdCParty,$P348,LdCKey,"&lt;"&amp;$T348)+1)</f>
        <v/>
      </c>
      <c r="V348">
        <f>IF($U348="","",$P348&amp;"|"&amp;RIGHT("000000"&amp;$U348,6))</f>
        <v/>
      </c>
      <c r="W348">
        <f>IF($T348="","",COUNTIFS(LdBGroup,$R348,LdBKey,"&lt;"&amp;$T348)+1)</f>
        <v/>
      </c>
      <c r="X348">
        <f>IF($W348="","",$R348&amp;"|"&amp;RIGHT("000000"&amp;$W348,6))</f>
        <v/>
      </c>
      <c r="Y348">
        <f>IF($P348="","",IF(Shares!$E351="",0,Shares!$E351))</f>
        <v/>
      </c>
      <c r="Z348">
        <f>IF($P348="","",Shares!$H351)</f>
        <v/>
      </c>
      <c r="AE348">
        <f>IF(OR(Sync!$S348="",Sync!$P348=""),"",Sync!$S348)</f>
        <v/>
      </c>
      <c r="AF348">
        <f>IF($AE348="","",IF(ISNUMBER(Sync!$P348),IF(AND(Sync!$P348&gt;=10000101,Sync!$P348&lt;=99991231),INT(Sync!$P348/10000),""),IFERROR(VALUE(TRIM(LEFT(Sync!$P348,FIND("/",Sync!$P348)-1))),"")))</f>
        <v/>
      </c>
      <c r="AG348">
        <f>IF(OR($AE348="",$AF348=""),"",IF(ISNUMBER(Sync!$P348),INT(MOD(Sync!$P348,10000)/100),IFERROR(VALUE(TRIM(LEFT(MID(Sync!$P348,FIND("/",Sync!$P348)+1,20),FIND("/",MID(Sync!$P348,FIND("/",Sync!$P348)+1,20))-1))),"")))</f>
        <v/>
      </c>
      <c r="AH348">
        <f>IF(OR($AE348="",$AF348=""),"",IF(ISNUMBER(Sync!$P348),MOD(Sync!$P348,100),IFERROR(VALUE(TRIM(MID(MID(Sync!$P348,FIND("/",Sync!$P348)+1,20),FIND("/",MID(Sync!$P348,FIND("/",Sync!$P348)+1,20))+1,20))),"")))</f>
        <v/>
      </c>
      <c r="AI348">
        <f>IF($AE348="","",IF(OR($AF348="",$AG348="",$AH348="",$AF348&lt;1300,$AF348&gt;1500,$AG348&lt;1,$AG348&gt;12,$AH348&lt;1,$AH348&gt;31),"نامعتبر",RIGHT("0000"&amp;$AF348,4)&amp;"/"&amp;RIGHT("00"&amp;$AG348,2)&amp;"/"&amp;RIGHT("00"&amp;$AH348,2)))</f>
        <v/>
      </c>
      <c r="AJ348">
        <f>IF($AE348="","",IF(Sync!$Q348="","0000",IF(AND(ISNUMBER(Sync!$Q348),Sync!$Q348&gt;=0,Sync!$Q348&lt;1),RIGHT("00"&amp;HOUR(Sync!$Q348),2)&amp;RIGHT("00"&amp;MINUTE(Sync!$Q348),2),IFERROR(RIGHT("00"&amp;VALUE(LEFT(Sync!$Q348,FIND(":",Sync!$Q348)-1)),2)&amp;RIGHT("00"&amp;VALUE(MID(Sync!$Q348,FIND(":",Sync!$Q348)+1,2)),2),"0000"))))</f>
        <v/>
      </c>
      <c r="AK348">
        <f>IF(OR($AE348="",$AI348="",$AI348="نامعتبر"),"",LEFT($AI348,4)&amp;MID($AI348,6,2)&amp;RIGHT($AI348,2)&amp;$AJ348&amp;"|"&amp;"3"&amp;RIGHT("00000"&amp;343,5))</f>
        <v/>
      </c>
      <c r="AL348">
        <f>IF($AK348="","",COUNTIFS(LdAParty,$AE348,LdAType,1,LdAKey,"&lt;"&amp;$AK348)+COUNTIFS(LdBMember,$AE348,LdBKey,"&lt;"&amp;$AK348)+COUNTIFS(LdCParty,$AE348,LdCKey,"&lt;"&amp;$AK348)+1)</f>
        <v/>
      </c>
      <c r="AM348">
        <f>IF($AL348="","",$AE348&amp;"|"&amp;RIGHT("000000"&amp;$AL348,6))</f>
        <v/>
      </c>
      <c r="AN348">
        <f>IF($AE348="","",IF(Sync!$W348="",0,Sync!$W348))</f>
        <v/>
      </c>
      <c r="AO348">
        <f>IF($AE348="","",IF(Sync!$X348="",0,Sync!$X348))</f>
        <v/>
      </c>
      <c r="AP348">
        <f>IF($AE348="","",Sync!$R348)</f>
        <v/>
      </c>
      <c r="AQ348">
        <f>IF($AE348="","",Sync!$Y348)</f>
        <v/>
      </c>
    </row>
    <row r="349">
      <c r="A349">
        <f>IF(OR(Wages!$B352="",Wages!$E352=""),"",Wages!$E352)</f>
        <v/>
      </c>
      <c r="B349">
        <f>IF($A349="","",IF(Wages!$C352="دستمزد گروهی",2,1))</f>
        <v/>
      </c>
      <c r="C349">
        <f>IF($A349="","",IF(ISNUMBER(Wages!$B352),IF(AND(Wages!$B352&gt;=10000101,Wages!$B352&lt;=99991231),INT(Wages!$B352/10000),""),IFERROR(VALUE(TRIM(LEFT(Wages!$B352,FIND("/",Wages!$B352)-1))),"")))</f>
        <v/>
      </c>
      <c r="D349">
        <f>IF(OR($A349="",$C349=""),"",IF(ISNUMBER(Wages!$B352),INT(MOD(Wages!$B352,10000)/100),IFERROR(VALUE(TRIM(LEFT(MID(Wages!$B352,FIND("/",Wages!$B352)+1,20),FIND("/",MID(Wages!$B352,FIND("/",Wages!$B352)+1,20))-1))),"")))</f>
        <v/>
      </c>
      <c r="E349">
        <f>IF(OR($A349="",$C349=""),"",IF(ISNUMBER(Wages!$B352),MOD(Wages!$B352,100),IFERROR(VALUE(TRIM(MID(MID(Wages!$B352,FIND("/",Wages!$B352)+1,20),FIND("/",MID(Wages!$B352,FIND("/",Wages!$B352)+1,20))+1,20))),"")))</f>
        <v/>
      </c>
      <c r="F349">
        <f>IF($A349="","",IF(OR($C349="",$D349="",$E349="",$C349&lt;1300,$C349&gt;1500,$D349&lt;1,$D349&gt;12,$E349&lt;1,$E349&gt;31),"نامعتبر",RIGHT("0000"&amp;$C349,4)&amp;"/"&amp;RIGHT("00"&amp;$D349,2)&amp;"/"&amp;RIGHT("00"&amp;$E349,2)))</f>
        <v/>
      </c>
      <c r="G349">
        <f>IF(OR($A349="",$F349="",$F349="نامعتبر"),"",LEFT($F349,4)&amp;MID($F349,6,2)&amp;RIGHT($F349,2)&amp;"0000"&amp;"|"&amp;"1"&amp;RIGHT("00000"&amp;344,5))</f>
        <v/>
      </c>
      <c r="H349">
        <f>IF(OR($B349&lt;&gt;1,$G349=""),"",COUNTIFS(LdAParty,$A349,LdAType,1,LdAKey,"&lt;"&amp;$G349)+COUNTIFS(LdBMember,$A349,LdBKey,"&lt;"&amp;$G349)+COUNTIFS(LdCParty,$A349,LdCKey,"&lt;"&amp;$G349)+1)</f>
        <v/>
      </c>
      <c r="I349">
        <f>IF($H349="","",$A349&amp;"|"&amp;RIGHT("000000"&amp;$H349,6))</f>
        <v/>
      </c>
      <c r="J349">
        <f>IF(OR($B349&lt;&gt;2,$G349=""),"",COUNTIFS(LdAParty,$A349,LdAType,2,LdAKey,"&lt;"&amp;$G349)+1)</f>
        <v/>
      </c>
      <c r="K349">
        <f>IF($J349="","",$A349&amp;"|"&amp;RIGHT("000000"&amp;$J349,6))</f>
        <v/>
      </c>
      <c r="L349">
        <f>IF($A349="","",IF(Wages!$G352="",0,Wages!$G352))</f>
        <v/>
      </c>
      <c r="M349">
        <f>IF($A349="","",Wages!$J352)</f>
        <v/>
      </c>
      <c r="N349">
        <f>IF($A349="","",Wages!$D352)</f>
        <v/>
      </c>
      <c r="P349">
        <f>IF(OR(Shares!$B352="",Shares!$C352=""),"",Shares!$C352)</f>
        <v/>
      </c>
      <c r="Q349">
        <f>IF($P349="","",Shares!$B352)</f>
        <v/>
      </c>
      <c r="R349">
        <f>IF($P349="","",IFERROR(INDEX(WageParty,MATCH($Q349,WageIds,0)),""))</f>
        <v/>
      </c>
      <c r="S349">
        <f>IF($P349="","",IFERROR(INDEX($F$6:$F$2005,MATCH($Q349,WageIds,0)),""))</f>
        <v/>
      </c>
      <c r="T349">
        <f>IF(OR($P349="",$S349="",$S349="نامعتبر"),"",LEFT($S349,4)&amp;MID($S349,6,2)&amp;RIGHT($S349,2)&amp;"0000"&amp;"|"&amp;"2"&amp;RIGHT("00000"&amp;344,5))</f>
        <v/>
      </c>
      <c r="U349">
        <f>IF($T349="","",COUNTIFS(LdAParty,$P349,LdAType,1,LdAKey,"&lt;"&amp;$T349)+COUNTIFS(LdBMember,$P349,LdBKey,"&lt;"&amp;$T349)+COUNTIFS(LdCParty,$P349,LdCKey,"&lt;"&amp;$T349)+1)</f>
        <v/>
      </c>
      <c r="V349">
        <f>IF($U349="","",$P349&amp;"|"&amp;RIGHT("000000"&amp;$U349,6))</f>
        <v/>
      </c>
      <c r="W349">
        <f>IF($T349="","",COUNTIFS(LdBGroup,$R349,LdBKey,"&lt;"&amp;$T349)+1)</f>
        <v/>
      </c>
      <c r="X349">
        <f>IF($W349="","",$R349&amp;"|"&amp;RIGHT("000000"&amp;$W349,6))</f>
        <v/>
      </c>
      <c r="Y349">
        <f>IF($P349="","",IF(Shares!$E352="",0,Shares!$E352))</f>
        <v/>
      </c>
      <c r="Z349">
        <f>IF($P349="","",Shares!$H352)</f>
        <v/>
      </c>
      <c r="AE349">
        <f>IF(OR(Sync!$S349="",Sync!$P349=""),"",Sync!$S349)</f>
        <v/>
      </c>
      <c r="AF349">
        <f>IF($AE349="","",IF(ISNUMBER(Sync!$P349),IF(AND(Sync!$P349&gt;=10000101,Sync!$P349&lt;=99991231),INT(Sync!$P349/10000),""),IFERROR(VALUE(TRIM(LEFT(Sync!$P349,FIND("/",Sync!$P349)-1))),"")))</f>
        <v/>
      </c>
      <c r="AG349">
        <f>IF(OR($AE349="",$AF349=""),"",IF(ISNUMBER(Sync!$P349),INT(MOD(Sync!$P349,10000)/100),IFERROR(VALUE(TRIM(LEFT(MID(Sync!$P349,FIND("/",Sync!$P349)+1,20),FIND("/",MID(Sync!$P349,FIND("/",Sync!$P349)+1,20))-1))),"")))</f>
        <v/>
      </c>
      <c r="AH349">
        <f>IF(OR($AE349="",$AF349=""),"",IF(ISNUMBER(Sync!$P349),MOD(Sync!$P349,100),IFERROR(VALUE(TRIM(MID(MID(Sync!$P349,FIND("/",Sync!$P349)+1,20),FIND("/",MID(Sync!$P349,FIND("/",Sync!$P349)+1,20))+1,20))),"")))</f>
        <v/>
      </c>
      <c r="AI349">
        <f>IF($AE349="","",IF(OR($AF349="",$AG349="",$AH349="",$AF349&lt;1300,$AF349&gt;1500,$AG349&lt;1,$AG349&gt;12,$AH349&lt;1,$AH349&gt;31),"نامعتبر",RIGHT("0000"&amp;$AF349,4)&amp;"/"&amp;RIGHT("00"&amp;$AG349,2)&amp;"/"&amp;RIGHT("00"&amp;$AH349,2)))</f>
        <v/>
      </c>
      <c r="AJ349">
        <f>IF($AE349="","",IF(Sync!$Q349="","0000",IF(AND(ISNUMBER(Sync!$Q349),Sync!$Q349&gt;=0,Sync!$Q349&lt;1),RIGHT("00"&amp;HOUR(Sync!$Q349),2)&amp;RIGHT("00"&amp;MINUTE(Sync!$Q349),2),IFERROR(RIGHT("00"&amp;VALUE(LEFT(Sync!$Q349,FIND(":",Sync!$Q349)-1)),2)&amp;RIGHT("00"&amp;VALUE(MID(Sync!$Q349,FIND(":",Sync!$Q349)+1,2)),2),"0000"))))</f>
        <v/>
      </c>
      <c r="AK349">
        <f>IF(OR($AE349="",$AI349="",$AI349="نامعتبر"),"",LEFT($AI349,4)&amp;MID($AI349,6,2)&amp;RIGHT($AI349,2)&amp;$AJ349&amp;"|"&amp;"3"&amp;RIGHT("00000"&amp;344,5))</f>
        <v/>
      </c>
      <c r="AL349">
        <f>IF($AK349="","",COUNTIFS(LdAParty,$AE349,LdAType,1,LdAKey,"&lt;"&amp;$AK349)+COUNTIFS(LdBMember,$AE349,LdBKey,"&lt;"&amp;$AK349)+COUNTIFS(LdCParty,$AE349,LdCKey,"&lt;"&amp;$AK349)+1)</f>
        <v/>
      </c>
      <c r="AM349">
        <f>IF($AL349="","",$AE349&amp;"|"&amp;RIGHT("000000"&amp;$AL349,6))</f>
        <v/>
      </c>
      <c r="AN349">
        <f>IF($AE349="","",IF(Sync!$W349="",0,Sync!$W349))</f>
        <v/>
      </c>
      <c r="AO349">
        <f>IF($AE349="","",IF(Sync!$X349="",0,Sync!$X349))</f>
        <v/>
      </c>
      <c r="AP349">
        <f>IF($AE349="","",Sync!$R349)</f>
        <v/>
      </c>
      <c r="AQ349">
        <f>IF($AE349="","",Sync!$Y349)</f>
        <v/>
      </c>
    </row>
    <row r="350">
      <c r="A350">
        <f>IF(OR(Wages!$B353="",Wages!$E353=""),"",Wages!$E353)</f>
        <v/>
      </c>
      <c r="B350">
        <f>IF($A350="","",IF(Wages!$C353="دستمزد گروهی",2,1))</f>
        <v/>
      </c>
      <c r="C350">
        <f>IF($A350="","",IF(ISNUMBER(Wages!$B353),IF(AND(Wages!$B353&gt;=10000101,Wages!$B353&lt;=99991231),INT(Wages!$B353/10000),""),IFERROR(VALUE(TRIM(LEFT(Wages!$B353,FIND("/",Wages!$B353)-1))),"")))</f>
        <v/>
      </c>
      <c r="D350">
        <f>IF(OR($A350="",$C350=""),"",IF(ISNUMBER(Wages!$B353),INT(MOD(Wages!$B353,10000)/100),IFERROR(VALUE(TRIM(LEFT(MID(Wages!$B353,FIND("/",Wages!$B353)+1,20),FIND("/",MID(Wages!$B353,FIND("/",Wages!$B353)+1,20))-1))),"")))</f>
        <v/>
      </c>
      <c r="E350">
        <f>IF(OR($A350="",$C350=""),"",IF(ISNUMBER(Wages!$B353),MOD(Wages!$B353,100),IFERROR(VALUE(TRIM(MID(MID(Wages!$B353,FIND("/",Wages!$B353)+1,20),FIND("/",MID(Wages!$B353,FIND("/",Wages!$B353)+1,20))+1,20))),"")))</f>
        <v/>
      </c>
      <c r="F350">
        <f>IF($A350="","",IF(OR($C350="",$D350="",$E350="",$C350&lt;1300,$C350&gt;1500,$D350&lt;1,$D350&gt;12,$E350&lt;1,$E350&gt;31),"نامعتبر",RIGHT("0000"&amp;$C350,4)&amp;"/"&amp;RIGHT("00"&amp;$D350,2)&amp;"/"&amp;RIGHT("00"&amp;$E350,2)))</f>
        <v/>
      </c>
      <c r="G350">
        <f>IF(OR($A350="",$F350="",$F350="نامعتبر"),"",LEFT($F350,4)&amp;MID($F350,6,2)&amp;RIGHT($F350,2)&amp;"0000"&amp;"|"&amp;"1"&amp;RIGHT("00000"&amp;345,5))</f>
        <v/>
      </c>
      <c r="H350">
        <f>IF(OR($B350&lt;&gt;1,$G350=""),"",COUNTIFS(LdAParty,$A350,LdAType,1,LdAKey,"&lt;"&amp;$G350)+COUNTIFS(LdBMember,$A350,LdBKey,"&lt;"&amp;$G350)+COUNTIFS(LdCParty,$A350,LdCKey,"&lt;"&amp;$G350)+1)</f>
        <v/>
      </c>
      <c r="I350">
        <f>IF($H350="","",$A350&amp;"|"&amp;RIGHT("000000"&amp;$H350,6))</f>
        <v/>
      </c>
      <c r="J350">
        <f>IF(OR($B350&lt;&gt;2,$G350=""),"",COUNTIFS(LdAParty,$A350,LdAType,2,LdAKey,"&lt;"&amp;$G350)+1)</f>
        <v/>
      </c>
      <c r="K350">
        <f>IF($J350="","",$A350&amp;"|"&amp;RIGHT("000000"&amp;$J350,6))</f>
        <v/>
      </c>
      <c r="L350">
        <f>IF($A350="","",IF(Wages!$G353="",0,Wages!$G353))</f>
        <v/>
      </c>
      <c r="M350">
        <f>IF($A350="","",Wages!$J353)</f>
        <v/>
      </c>
      <c r="N350">
        <f>IF($A350="","",Wages!$D353)</f>
        <v/>
      </c>
      <c r="P350">
        <f>IF(OR(Shares!$B353="",Shares!$C353=""),"",Shares!$C353)</f>
        <v/>
      </c>
      <c r="Q350">
        <f>IF($P350="","",Shares!$B353)</f>
        <v/>
      </c>
      <c r="R350">
        <f>IF($P350="","",IFERROR(INDEX(WageParty,MATCH($Q350,WageIds,0)),""))</f>
        <v/>
      </c>
      <c r="S350">
        <f>IF($P350="","",IFERROR(INDEX($F$6:$F$2005,MATCH($Q350,WageIds,0)),""))</f>
        <v/>
      </c>
      <c r="T350">
        <f>IF(OR($P350="",$S350="",$S350="نامعتبر"),"",LEFT($S350,4)&amp;MID($S350,6,2)&amp;RIGHT($S350,2)&amp;"0000"&amp;"|"&amp;"2"&amp;RIGHT("00000"&amp;345,5))</f>
        <v/>
      </c>
      <c r="U350">
        <f>IF($T350="","",COUNTIFS(LdAParty,$P350,LdAType,1,LdAKey,"&lt;"&amp;$T350)+COUNTIFS(LdBMember,$P350,LdBKey,"&lt;"&amp;$T350)+COUNTIFS(LdCParty,$P350,LdCKey,"&lt;"&amp;$T350)+1)</f>
        <v/>
      </c>
      <c r="V350">
        <f>IF($U350="","",$P350&amp;"|"&amp;RIGHT("000000"&amp;$U350,6))</f>
        <v/>
      </c>
      <c r="W350">
        <f>IF($T350="","",COUNTIFS(LdBGroup,$R350,LdBKey,"&lt;"&amp;$T350)+1)</f>
        <v/>
      </c>
      <c r="X350">
        <f>IF($W350="","",$R350&amp;"|"&amp;RIGHT("000000"&amp;$W350,6))</f>
        <v/>
      </c>
      <c r="Y350">
        <f>IF($P350="","",IF(Shares!$E353="",0,Shares!$E353))</f>
        <v/>
      </c>
      <c r="Z350">
        <f>IF($P350="","",Shares!$H353)</f>
        <v/>
      </c>
      <c r="AE350">
        <f>IF(OR(Sync!$S350="",Sync!$P350=""),"",Sync!$S350)</f>
        <v/>
      </c>
      <c r="AF350">
        <f>IF($AE350="","",IF(ISNUMBER(Sync!$P350),IF(AND(Sync!$P350&gt;=10000101,Sync!$P350&lt;=99991231),INT(Sync!$P350/10000),""),IFERROR(VALUE(TRIM(LEFT(Sync!$P350,FIND("/",Sync!$P350)-1))),"")))</f>
        <v/>
      </c>
      <c r="AG350">
        <f>IF(OR($AE350="",$AF350=""),"",IF(ISNUMBER(Sync!$P350),INT(MOD(Sync!$P350,10000)/100),IFERROR(VALUE(TRIM(LEFT(MID(Sync!$P350,FIND("/",Sync!$P350)+1,20),FIND("/",MID(Sync!$P350,FIND("/",Sync!$P350)+1,20))-1))),"")))</f>
        <v/>
      </c>
      <c r="AH350">
        <f>IF(OR($AE350="",$AF350=""),"",IF(ISNUMBER(Sync!$P350),MOD(Sync!$P350,100),IFERROR(VALUE(TRIM(MID(MID(Sync!$P350,FIND("/",Sync!$P350)+1,20),FIND("/",MID(Sync!$P350,FIND("/",Sync!$P350)+1,20))+1,20))),"")))</f>
        <v/>
      </c>
      <c r="AI350">
        <f>IF($AE350="","",IF(OR($AF350="",$AG350="",$AH350="",$AF350&lt;1300,$AF350&gt;1500,$AG350&lt;1,$AG350&gt;12,$AH350&lt;1,$AH350&gt;31),"نامعتبر",RIGHT("0000"&amp;$AF350,4)&amp;"/"&amp;RIGHT("00"&amp;$AG350,2)&amp;"/"&amp;RIGHT("00"&amp;$AH350,2)))</f>
        <v/>
      </c>
      <c r="AJ350">
        <f>IF($AE350="","",IF(Sync!$Q350="","0000",IF(AND(ISNUMBER(Sync!$Q350),Sync!$Q350&gt;=0,Sync!$Q350&lt;1),RIGHT("00"&amp;HOUR(Sync!$Q350),2)&amp;RIGHT("00"&amp;MINUTE(Sync!$Q350),2),IFERROR(RIGHT("00"&amp;VALUE(LEFT(Sync!$Q350,FIND(":",Sync!$Q350)-1)),2)&amp;RIGHT("00"&amp;VALUE(MID(Sync!$Q350,FIND(":",Sync!$Q350)+1,2)),2),"0000"))))</f>
        <v/>
      </c>
      <c r="AK350">
        <f>IF(OR($AE350="",$AI350="",$AI350="نامعتبر"),"",LEFT($AI350,4)&amp;MID($AI350,6,2)&amp;RIGHT($AI350,2)&amp;$AJ350&amp;"|"&amp;"3"&amp;RIGHT("00000"&amp;345,5))</f>
        <v/>
      </c>
      <c r="AL350">
        <f>IF($AK350="","",COUNTIFS(LdAParty,$AE350,LdAType,1,LdAKey,"&lt;"&amp;$AK350)+COUNTIFS(LdBMember,$AE350,LdBKey,"&lt;"&amp;$AK350)+COUNTIFS(LdCParty,$AE350,LdCKey,"&lt;"&amp;$AK350)+1)</f>
        <v/>
      </c>
      <c r="AM350">
        <f>IF($AL350="","",$AE350&amp;"|"&amp;RIGHT("000000"&amp;$AL350,6))</f>
        <v/>
      </c>
      <c r="AN350">
        <f>IF($AE350="","",IF(Sync!$W350="",0,Sync!$W350))</f>
        <v/>
      </c>
      <c r="AO350">
        <f>IF($AE350="","",IF(Sync!$X350="",0,Sync!$X350))</f>
        <v/>
      </c>
      <c r="AP350">
        <f>IF($AE350="","",Sync!$R350)</f>
        <v/>
      </c>
      <c r="AQ350">
        <f>IF($AE350="","",Sync!$Y350)</f>
        <v/>
      </c>
    </row>
    <row r="351">
      <c r="A351">
        <f>IF(OR(Wages!$B354="",Wages!$E354=""),"",Wages!$E354)</f>
        <v/>
      </c>
      <c r="B351">
        <f>IF($A351="","",IF(Wages!$C354="دستمزد گروهی",2,1))</f>
        <v/>
      </c>
      <c r="C351">
        <f>IF($A351="","",IF(ISNUMBER(Wages!$B354),IF(AND(Wages!$B354&gt;=10000101,Wages!$B354&lt;=99991231),INT(Wages!$B354/10000),""),IFERROR(VALUE(TRIM(LEFT(Wages!$B354,FIND("/",Wages!$B354)-1))),"")))</f>
        <v/>
      </c>
      <c r="D351">
        <f>IF(OR($A351="",$C351=""),"",IF(ISNUMBER(Wages!$B354),INT(MOD(Wages!$B354,10000)/100),IFERROR(VALUE(TRIM(LEFT(MID(Wages!$B354,FIND("/",Wages!$B354)+1,20),FIND("/",MID(Wages!$B354,FIND("/",Wages!$B354)+1,20))-1))),"")))</f>
        <v/>
      </c>
      <c r="E351">
        <f>IF(OR($A351="",$C351=""),"",IF(ISNUMBER(Wages!$B354),MOD(Wages!$B354,100),IFERROR(VALUE(TRIM(MID(MID(Wages!$B354,FIND("/",Wages!$B354)+1,20),FIND("/",MID(Wages!$B354,FIND("/",Wages!$B354)+1,20))+1,20))),"")))</f>
        <v/>
      </c>
      <c r="F351">
        <f>IF($A351="","",IF(OR($C351="",$D351="",$E351="",$C351&lt;1300,$C351&gt;1500,$D351&lt;1,$D351&gt;12,$E351&lt;1,$E351&gt;31),"نامعتبر",RIGHT("0000"&amp;$C351,4)&amp;"/"&amp;RIGHT("00"&amp;$D351,2)&amp;"/"&amp;RIGHT("00"&amp;$E351,2)))</f>
        <v/>
      </c>
      <c r="G351">
        <f>IF(OR($A351="",$F351="",$F351="نامعتبر"),"",LEFT($F351,4)&amp;MID($F351,6,2)&amp;RIGHT($F351,2)&amp;"0000"&amp;"|"&amp;"1"&amp;RIGHT("00000"&amp;346,5))</f>
        <v/>
      </c>
      <c r="H351">
        <f>IF(OR($B351&lt;&gt;1,$G351=""),"",COUNTIFS(LdAParty,$A351,LdAType,1,LdAKey,"&lt;"&amp;$G351)+COUNTIFS(LdBMember,$A351,LdBKey,"&lt;"&amp;$G351)+COUNTIFS(LdCParty,$A351,LdCKey,"&lt;"&amp;$G351)+1)</f>
        <v/>
      </c>
      <c r="I351">
        <f>IF($H351="","",$A351&amp;"|"&amp;RIGHT("000000"&amp;$H351,6))</f>
        <v/>
      </c>
      <c r="J351">
        <f>IF(OR($B351&lt;&gt;2,$G351=""),"",COUNTIFS(LdAParty,$A351,LdAType,2,LdAKey,"&lt;"&amp;$G351)+1)</f>
        <v/>
      </c>
      <c r="K351">
        <f>IF($J351="","",$A351&amp;"|"&amp;RIGHT("000000"&amp;$J351,6))</f>
        <v/>
      </c>
      <c r="L351">
        <f>IF($A351="","",IF(Wages!$G354="",0,Wages!$G354))</f>
        <v/>
      </c>
      <c r="M351">
        <f>IF($A351="","",Wages!$J354)</f>
        <v/>
      </c>
      <c r="N351">
        <f>IF($A351="","",Wages!$D354)</f>
        <v/>
      </c>
      <c r="P351">
        <f>IF(OR(Shares!$B354="",Shares!$C354=""),"",Shares!$C354)</f>
        <v/>
      </c>
      <c r="Q351">
        <f>IF($P351="","",Shares!$B354)</f>
        <v/>
      </c>
      <c r="R351">
        <f>IF($P351="","",IFERROR(INDEX(WageParty,MATCH($Q351,WageIds,0)),""))</f>
        <v/>
      </c>
      <c r="S351">
        <f>IF($P351="","",IFERROR(INDEX($F$6:$F$2005,MATCH($Q351,WageIds,0)),""))</f>
        <v/>
      </c>
      <c r="T351">
        <f>IF(OR($P351="",$S351="",$S351="نامعتبر"),"",LEFT($S351,4)&amp;MID($S351,6,2)&amp;RIGHT($S351,2)&amp;"0000"&amp;"|"&amp;"2"&amp;RIGHT("00000"&amp;346,5))</f>
        <v/>
      </c>
      <c r="U351">
        <f>IF($T351="","",COUNTIFS(LdAParty,$P351,LdAType,1,LdAKey,"&lt;"&amp;$T351)+COUNTIFS(LdBMember,$P351,LdBKey,"&lt;"&amp;$T351)+COUNTIFS(LdCParty,$P351,LdCKey,"&lt;"&amp;$T351)+1)</f>
        <v/>
      </c>
      <c r="V351">
        <f>IF($U351="","",$P351&amp;"|"&amp;RIGHT("000000"&amp;$U351,6))</f>
        <v/>
      </c>
      <c r="W351">
        <f>IF($T351="","",COUNTIFS(LdBGroup,$R351,LdBKey,"&lt;"&amp;$T351)+1)</f>
        <v/>
      </c>
      <c r="X351">
        <f>IF($W351="","",$R351&amp;"|"&amp;RIGHT("000000"&amp;$W351,6))</f>
        <v/>
      </c>
      <c r="Y351">
        <f>IF($P351="","",IF(Shares!$E354="",0,Shares!$E354))</f>
        <v/>
      </c>
      <c r="Z351">
        <f>IF($P351="","",Shares!$H354)</f>
        <v/>
      </c>
      <c r="AE351">
        <f>IF(OR(Sync!$S351="",Sync!$P351=""),"",Sync!$S351)</f>
        <v/>
      </c>
      <c r="AF351">
        <f>IF($AE351="","",IF(ISNUMBER(Sync!$P351),IF(AND(Sync!$P351&gt;=10000101,Sync!$P351&lt;=99991231),INT(Sync!$P351/10000),""),IFERROR(VALUE(TRIM(LEFT(Sync!$P351,FIND("/",Sync!$P351)-1))),"")))</f>
        <v/>
      </c>
      <c r="AG351">
        <f>IF(OR($AE351="",$AF351=""),"",IF(ISNUMBER(Sync!$P351),INT(MOD(Sync!$P351,10000)/100),IFERROR(VALUE(TRIM(LEFT(MID(Sync!$P351,FIND("/",Sync!$P351)+1,20),FIND("/",MID(Sync!$P351,FIND("/",Sync!$P351)+1,20))-1))),"")))</f>
        <v/>
      </c>
      <c r="AH351">
        <f>IF(OR($AE351="",$AF351=""),"",IF(ISNUMBER(Sync!$P351),MOD(Sync!$P351,100),IFERROR(VALUE(TRIM(MID(MID(Sync!$P351,FIND("/",Sync!$P351)+1,20),FIND("/",MID(Sync!$P351,FIND("/",Sync!$P351)+1,20))+1,20))),"")))</f>
        <v/>
      </c>
      <c r="AI351">
        <f>IF($AE351="","",IF(OR($AF351="",$AG351="",$AH351="",$AF351&lt;1300,$AF351&gt;1500,$AG351&lt;1,$AG351&gt;12,$AH351&lt;1,$AH351&gt;31),"نامعتبر",RIGHT("0000"&amp;$AF351,4)&amp;"/"&amp;RIGHT("00"&amp;$AG351,2)&amp;"/"&amp;RIGHT("00"&amp;$AH351,2)))</f>
        <v/>
      </c>
      <c r="AJ351">
        <f>IF($AE351="","",IF(Sync!$Q351="","0000",IF(AND(ISNUMBER(Sync!$Q351),Sync!$Q351&gt;=0,Sync!$Q351&lt;1),RIGHT("00"&amp;HOUR(Sync!$Q351),2)&amp;RIGHT("00"&amp;MINUTE(Sync!$Q351),2),IFERROR(RIGHT("00"&amp;VALUE(LEFT(Sync!$Q351,FIND(":",Sync!$Q351)-1)),2)&amp;RIGHT("00"&amp;VALUE(MID(Sync!$Q351,FIND(":",Sync!$Q351)+1,2)),2),"0000"))))</f>
        <v/>
      </c>
      <c r="AK351">
        <f>IF(OR($AE351="",$AI351="",$AI351="نامعتبر"),"",LEFT($AI351,4)&amp;MID($AI351,6,2)&amp;RIGHT($AI351,2)&amp;$AJ351&amp;"|"&amp;"3"&amp;RIGHT("00000"&amp;346,5))</f>
        <v/>
      </c>
      <c r="AL351">
        <f>IF($AK351="","",COUNTIFS(LdAParty,$AE351,LdAType,1,LdAKey,"&lt;"&amp;$AK351)+COUNTIFS(LdBMember,$AE351,LdBKey,"&lt;"&amp;$AK351)+COUNTIFS(LdCParty,$AE351,LdCKey,"&lt;"&amp;$AK351)+1)</f>
        <v/>
      </c>
      <c r="AM351">
        <f>IF($AL351="","",$AE351&amp;"|"&amp;RIGHT("000000"&amp;$AL351,6))</f>
        <v/>
      </c>
      <c r="AN351">
        <f>IF($AE351="","",IF(Sync!$W351="",0,Sync!$W351))</f>
        <v/>
      </c>
      <c r="AO351">
        <f>IF($AE351="","",IF(Sync!$X351="",0,Sync!$X351))</f>
        <v/>
      </c>
      <c r="AP351">
        <f>IF($AE351="","",Sync!$R351)</f>
        <v/>
      </c>
      <c r="AQ351">
        <f>IF($AE351="","",Sync!$Y351)</f>
        <v/>
      </c>
    </row>
    <row r="352">
      <c r="A352">
        <f>IF(OR(Wages!$B355="",Wages!$E355=""),"",Wages!$E355)</f>
        <v/>
      </c>
      <c r="B352">
        <f>IF($A352="","",IF(Wages!$C355="دستمزد گروهی",2,1))</f>
        <v/>
      </c>
      <c r="C352">
        <f>IF($A352="","",IF(ISNUMBER(Wages!$B355),IF(AND(Wages!$B355&gt;=10000101,Wages!$B355&lt;=99991231),INT(Wages!$B355/10000),""),IFERROR(VALUE(TRIM(LEFT(Wages!$B355,FIND("/",Wages!$B355)-1))),"")))</f>
        <v/>
      </c>
      <c r="D352">
        <f>IF(OR($A352="",$C352=""),"",IF(ISNUMBER(Wages!$B355),INT(MOD(Wages!$B355,10000)/100),IFERROR(VALUE(TRIM(LEFT(MID(Wages!$B355,FIND("/",Wages!$B355)+1,20),FIND("/",MID(Wages!$B355,FIND("/",Wages!$B355)+1,20))-1))),"")))</f>
        <v/>
      </c>
      <c r="E352">
        <f>IF(OR($A352="",$C352=""),"",IF(ISNUMBER(Wages!$B355),MOD(Wages!$B355,100),IFERROR(VALUE(TRIM(MID(MID(Wages!$B355,FIND("/",Wages!$B355)+1,20),FIND("/",MID(Wages!$B355,FIND("/",Wages!$B355)+1,20))+1,20))),"")))</f>
        <v/>
      </c>
      <c r="F352">
        <f>IF($A352="","",IF(OR($C352="",$D352="",$E352="",$C352&lt;1300,$C352&gt;1500,$D352&lt;1,$D352&gt;12,$E352&lt;1,$E352&gt;31),"نامعتبر",RIGHT("0000"&amp;$C352,4)&amp;"/"&amp;RIGHT("00"&amp;$D352,2)&amp;"/"&amp;RIGHT("00"&amp;$E352,2)))</f>
        <v/>
      </c>
      <c r="G352">
        <f>IF(OR($A352="",$F352="",$F352="نامعتبر"),"",LEFT($F352,4)&amp;MID($F352,6,2)&amp;RIGHT($F352,2)&amp;"0000"&amp;"|"&amp;"1"&amp;RIGHT("00000"&amp;347,5))</f>
        <v/>
      </c>
      <c r="H352">
        <f>IF(OR($B352&lt;&gt;1,$G352=""),"",COUNTIFS(LdAParty,$A352,LdAType,1,LdAKey,"&lt;"&amp;$G352)+COUNTIFS(LdBMember,$A352,LdBKey,"&lt;"&amp;$G352)+COUNTIFS(LdCParty,$A352,LdCKey,"&lt;"&amp;$G352)+1)</f>
        <v/>
      </c>
      <c r="I352">
        <f>IF($H352="","",$A352&amp;"|"&amp;RIGHT("000000"&amp;$H352,6))</f>
        <v/>
      </c>
      <c r="J352">
        <f>IF(OR($B352&lt;&gt;2,$G352=""),"",COUNTIFS(LdAParty,$A352,LdAType,2,LdAKey,"&lt;"&amp;$G352)+1)</f>
        <v/>
      </c>
      <c r="K352">
        <f>IF($J352="","",$A352&amp;"|"&amp;RIGHT("000000"&amp;$J352,6))</f>
        <v/>
      </c>
      <c r="L352">
        <f>IF($A352="","",IF(Wages!$G355="",0,Wages!$G355))</f>
        <v/>
      </c>
      <c r="M352">
        <f>IF($A352="","",Wages!$J355)</f>
        <v/>
      </c>
      <c r="N352">
        <f>IF($A352="","",Wages!$D355)</f>
        <v/>
      </c>
      <c r="P352">
        <f>IF(OR(Shares!$B355="",Shares!$C355=""),"",Shares!$C355)</f>
        <v/>
      </c>
      <c r="Q352">
        <f>IF($P352="","",Shares!$B355)</f>
        <v/>
      </c>
      <c r="R352">
        <f>IF($P352="","",IFERROR(INDEX(WageParty,MATCH($Q352,WageIds,0)),""))</f>
        <v/>
      </c>
      <c r="S352">
        <f>IF($P352="","",IFERROR(INDEX($F$6:$F$2005,MATCH($Q352,WageIds,0)),""))</f>
        <v/>
      </c>
      <c r="T352">
        <f>IF(OR($P352="",$S352="",$S352="نامعتبر"),"",LEFT($S352,4)&amp;MID($S352,6,2)&amp;RIGHT($S352,2)&amp;"0000"&amp;"|"&amp;"2"&amp;RIGHT("00000"&amp;347,5))</f>
        <v/>
      </c>
      <c r="U352">
        <f>IF($T352="","",COUNTIFS(LdAParty,$P352,LdAType,1,LdAKey,"&lt;"&amp;$T352)+COUNTIFS(LdBMember,$P352,LdBKey,"&lt;"&amp;$T352)+COUNTIFS(LdCParty,$P352,LdCKey,"&lt;"&amp;$T352)+1)</f>
        <v/>
      </c>
      <c r="V352">
        <f>IF($U352="","",$P352&amp;"|"&amp;RIGHT("000000"&amp;$U352,6))</f>
        <v/>
      </c>
      <c r="W352">
        <f>IF($T352="","",COUNTIFS(LdBGroup,$R352,LdBKey,"&lt;"&amp;$T352)+1)</f>
        <v/>
      </c>
      <c r="X352">
        <f>IF($W352="","",$R352&amp;"|"&amp;RIGHT("000000"&amp;$W352,6))</f>
        <v/>
      </c>
      <c r="Y352">
        <f>IF($P352="","",IF(Shares!$E355="",0,Shares!$E355))</f>
        <v/>
      </c>
      <c r="Z352">
        <f>IF($P352="","",Shares!$H355)</f>
        <v/>
      </c>
      <c r="AE352">
        <f>IF(OR(Sync!$S352="",Sync!$P352=""),"",Sync!$S352)</f>
        <v/>
      </c>
      <c r="AF352">
        <f>IF($AE352="","",IF(ISNUMBER(Sync!$P352),IF(AND(Sync!$P352&gt;=10000101,Sync!$P352&lt;=99991231),INT(Sync!$P352/10000),""),IFERROR(VALUE(TRIM(LEFT(Sync!$P352,FIND("/",Sync!$P352)-1))),"")))</f>
        <v/>
      </c>
      <c r="AG352">
        <f>IF(OR($AE352="",$AF352=""),"",IF(ISNUMBER(Sync!$P352),INT(MOD(Sync!$P352,10000)/100),IFERROR(VALUE(TRIM(LEFT(MID(Sync!$P352,FIND("/",Sync!$P352)+1,20),FIND("/",MID(Sync!$P352,FIND("/",Sync!$P352)+1,20))-1))),"")))</f>
        <v/>
      </c>
      <c r="AH352">
        <f>IF(OR($AE352="",$AF352=""),"",IF(ISNUMBER(Sync!$P352),MOD(Sync!$P352,100),IFERROR(VALUE(TRIM(MID(MID(Sync!$P352,FIND("/",Sync!$P352)+1,20),FIND("/",MID(Sync!$P352,FIND("/",Sync!$P352)+1,20))+1,20))),"")))</f>
        <v/>
      </c>
      <c r="AI352">
        <f>IF($AE352="","",IF(OR($AF352="",$AG352="",$AH352="",$AF352&lt;1300,$AF352&gt;1500,$AG352&lt;1,$AG352&gt;12,$AH352&lt;1,$AH352&gt;31),"نامعتبر",RIGHT("0000"&amp;$AF352,4)&amp;"/"&amp;RIGHT("00"&amp;$AG352,2)&amp;"/"&amp;RIGHT("00"&amp;$AH352,2)))</f>
        <v/>
      </c>
      <c r="AJ352">
        <f>IF($AE352="","",IF(Sync!$Q352="","0000",IF(AND(ISNUMBER(Sync!$Q352),Sync!$Q352&gt;=0,Sync!$Q352&lt;1),RIGHT("00"&amp;HOUR(Sync!$Q352),2)&amp;RIGHT("00"&amp;MINUTE(Sync!$Q352),2),IFERROR(RIGHT("00"&amp;VALUE(LEFT(Sync!$Q352,FIND(":",Sync!$Q352)-1)),2)&amp;RIGHT("00"&amp;VALUE(MID(Sync!$Q352,FIND(":",Sync!$Q352)+1,2)),2),"0000"))))</f>
        <v/>
      </c>
      <c r="AK352">
        <f>IF(OR($AE352="",$AI352="",$AI352="نامعتبر"),"",LEFT($AI352,4)&amp;MID($AI352,6,2)&amp;RIGHT($AI352,2)&amp;$AJ352&amp;"|"&amp;"3"&amp;RIGHT("00000"&amp;347,5))</f>
        <v/>
      </c>
      <c r="AL352">
        <f>IF($AK352="","",COUNTIFS(LdAParty,$AE352,LdAType,1,LdAKey,"&lt;"&amp;$AK352)+COUNTIFS(LdBMember,$AE352,LdBKey,"&lt;"&amp;$AK352)+COUNTIFS(LdCParty,$AE352,LdCKey,"&lt;"&amp;$AK352)+1)</f>
        <v/>
      </c>
      <c r="AM352">
        <f>IF($AL352="","",$AE352&amp;"|"&amp;RIGHT("000000"&amp;$AL352,6))</f>
        <v/>
      </c>
      <c r="AN352">
        <f>IF($AE352="","",IF(Sync!$W352="",0,Sync!$W352))</f>
        <v/>
      </c>
      <c r="AO352">
        <f>IF($AE352="","",IF(Sync!$X352="",0,Sync!$X352))</f>
        <v/>
      </c>
      <c r="AP352">
        <f>IF($AE352="","",Sync!$R352)</f>
        <v/>
      </c>
      <c r="AQ352">
        <f>IF($AE352="","",Sync!$Y352)</f>
        <v/>
      </c>
    </row>
    <row r="353">
      <c r="A353">
        <f>IF(OR(Wages!$B356="",Wages!$E356=""),"",Wages!$E356)</f>
        <v/>
      </c>
      <c r="B353">
        <f>IF($A353="","",IF(Wages!$C356="دستمزد گروهی",2,1))</f>
        <v/>
      </c>
      <c r="C353">
        <f>IF($A353="","",IF(ISNUMBER(Wages!$B356),IF(AND(Wages!$B356&gt;=10000101,Wages!$B356&lt;=99991231),INT(Wages!$B356/10000),""),IFERROR(VALUE(TRIM(LEFT(Wages!$B356,FIND("/",Wages!$B356)-1))),"")))</f>
        <v/>
      </c>
      <c r="D353">
        <f>IF(OR($A353="",$C353=""),"",IF(ISNUMBER(Wages!$B356),INT(MOD(Wages!$B356,10000)/100),IFERROR(VALUE(TRIM(LEFT(MID(Wages!$B356,FIND("/",Wages!$B356)+1,20),FIND("/",MID(Wages!$B356,FIND("/",Wages!$B356)+1,20))-1))),"")))</f>
        <v/>
      </c>
      <c r="E353">
        <f>IF(OR($A353="",$C353=""),"",IF(ISNUMBER(Wages!$B356),MOD(Wages!$B356,100),IFERROR(VALUE(TRIM(MID(MID(Wages!$B356,FIND("/",Wages!$B356)+1,20),FIND("/",MID(Wages!$B356,FIND("/",Wages!$B356)+1,20))+1,20))),"")))</f>
        <v/>
      </c>
      <c r="F353">
        <f>IF($A353="","",IF(OR($C353="",$D353="",$E353="",$C353&lt;1300,$C353&gt;1500,$D353&lt;1,$D353&gt;12,$E353&lt;1,$E353&gt;31),"نامعتبر",RIGHT("0000"&amp;$C353,4)&amp;"/"&amp;RIGHT("00"&amp;$D353,2)&amp;"/"&amp;RIGHT("00"&amp;$E353,2)))</f>
        <v/>
      </c>
      <c r="G353">
        <f>IF(OR($A353="",$F353="",$F353="نامعتبر"),"",LEFT($F353,4)&amp;MID($F353,6,2)&amp;RIGHT($F353,2)&amp;"0000"&amp;"|"&amp;"1"&amp;RIGHT("00000"&amp;348,5))</f>
        <v/>
      </c>
      <c r="H353">
        <f>IF(OR($B353&lt;&gt;1,$G353=""),"",COUNTIFS(LdAParty,$A353,LdAType,1,LdAKey,"&lt;"&amp;$G353)+COUNTIFS(LdBMember,$A353,LdBKey,"&lt;"&amp;$G353)+COUNTIFS(LdCParty,$A353,LdCKey,"&lt;"&amp;$G353)+1)</f>
        <v/>
      </c>
      <c r="I353">
        <f>IF($H353="","",$A353&amp;"|"&amp;RIGHT("000000"&amp;$H353,6))</f>
        <v/>
      </c>
      <c r="J353">
        <f>IF(OR($B353&lt;&gt;2,$G353=""),"",COUNTIFS(LdAParty,$A353,LdAType,2,LdAKey,"&lt;"&amp;$G353)+1)</f>
        <v/>
      </c>
      <c r="K353">
        <f>IF($J353="","",$A353&amp;"|"&amp;RIGHT("000000"&amp;$J353,6))</f>
        <v/>
      </c>
      <c r="L353">
        <f>IF($A353="","",IF(Wages!$G356="",0,Wages!$G356))</f>
        <v/>
      </c>
      <c r="M353">
        <f>IF($A353="","",Wages!$J356)</f>
        <v/>
      </c>
      <c r="N353">
        <f>IF($A353="","",Wages!$D356)</f>
        <v/>
      </c>
      <c r="P353">
        <f>IF(OR(Shares!$B356="",Shares!$C356=""),"",Shares!$C356)</f>
        <v/>
      </c>
      <c r="Q353">
        <f>IF($P353="","",Shares!$B356)</f>
        <v/>
      </c>
      <c r="R353">
        <f>IF($P353="","",IFERROR(INDEX(WageParty,MATCH($Q353,WageIds,0)),""))</f>
        <v/>
      </c>
      <c r="S353">
        <f>IF($P353="","",IFERROR(INDEX($F$6:$F$2005,MATCH($Q353,WageIds,0)),""))</f>
        <v/>
      </c>
      <c r="T353">
        <f>IF(OR($P353="",$S353="",$S353="نامعتبر"),"",LEFT($S353,4)&amp;MID($S353,6,2)&amp;RIGHT($S353,2)&amp;"0000"&amp;"|"&amp;"2"&amp;RIGHT("00000"&amp;348,5))</f>
        <v/>
      </c>
      <c r="U353">
        <f>IF($T353="","",COUNTIFS(LdAParty,$P353,LdAType,1,LdAKey,"&lt;"&amp;$T353)+COUNTIFS(LdBMember,$P353,LdBKey,"&lt;"&amp;$T353)+COUNTIFS(LdCParty,$P353,LdCKey,"&lt;"&amp;$T353)+1)</f>
        <v/>
      </c>
      <c r="V353">
        <f>IF($U353="","",$P353&amp;"|"&amp;RIGHT("000000"&amp;$U353,6))</f>
        <v/>
      </c>
      <c r="W353">
        <f>IF($T353="","",COUNTIFS(LdBGroup,$R353,LdBKey,"&lt;"&amp;$T353)+1)</f>
        <v/>
      </c>
      <c r="X353">
        <f>IF($W353="","",$R353&amp;"|"&amp;RIGHT("000000"&amp;$W353,6))</f>
        <v/>
      </c>
      <c r="Y353">
        <f>IF($P353="","",IF(Shares!$E356="",0,Shares!$E356))</f>
        <v/>
      </c>
      <c r="Z353">
        <f>IF($P353="","",Shares!$H356)</f>
        <v/>
      </c>
      <c r="AE353">
        <f>IF(OR(Sync!$S353="",Sync!$P353=""),"",Sync!$S353)</f>
        <v/>
      </c>
      <c r="AF353">
        <f>IF($AE353="","",IF(ISNUMBER(Sync!$P353),IF(AND(Sync!$P353&gt;=10000101,Sync!$P353&lt;=99991231),INT(Sync!$P353/10000),""),IFERROR(VALUE(TRIM(LEFT(Sync!$P353,FIND("/",Sync!$P353)-1))),"")))</f>
        <v/>
      </c>
      <c r="AG353">
        <f>IF(OR($AE353="",$AF353=""),"",IF(ISNUMBER(Sync!$P353),INT(MOD(Sync!$P353,10000)/100),IFERROR(VALUE(TRIM(LEFT(MID(Sync!$P353,FIND("/",Sync!$P353)+1,20),FIND("/",MID(Sync!$P353,FIND("/",Sync!$P353)+1,20))-1))),"")))</f>
        <v/>
      </c>
      <c r="AH353">
        <f>IF(OR($AE353="",$AF353=""),"",IF(ISNUMBER(Sync!$P353),MOD(Sync!$P353,100),IFERROR(VALUE(TRIM(MID(MID(Sync!$P353,FIND("/",Sync!$P353)+1,20),FIND("/",MID(Sync!$P353,FIND("/",Sync!$P353)+1,20))+1,20))),"")))</f>
        <v/>
      </c>
      <c r="AI353">
        <f>IF($AE353="","",IF(OR($AF353="",$AG353="",$AH353="",$AF353&lt;1300,$AF353&gt;1500,$AG353&lt;1,$AG353&gt;12,$AH353&lt;1,$AH353&gt;31),"نامعتبر",RIGHT("0000"&amp;$AF353,4)&amp;"/"&amp;RIGHT("00"&amp;$AG353,2)&amp;"/"&amp;RIGHT("00"&amp;$AH353,2)))</f>
        <v/>
      </c>
      <c r="AJ353">
        <f>IF($AE353="","",IF(Sync!$Q353="","0000",IF(AND(ISNUMBER(Sync!$Q353),Sync!$Q353&gt;=0,Sync!$Q353&lt;1),RIGHT("00"&amp;HOUR(Sync!$Q353),2)&amp;RIGHT("00"&amp;MINUTE(Sync!$Q353),2),IFERROR(RIGHT("00"&amp;VALUE(LEFT(Sync!$Q353,FIND(":",Sync!$Q353)-1)),2)&amp;RIGHT("00"&amp;VALUE(MID(Sync!$Q353,FIND(":",Sync!$Q353)+1,2)),2),"0000"))))</f>
        <v/>
      </c>
      <c r="AK353">
        <f>IF(OR($AE353="",$AI353="",$AI353="نامعتبر"),"",LEFT($AI353,4)&amp;MID($AI353,6,2)&amp;RIGHT($AI353,2)&amp;$AJ353&amp;"|"&amp;"3"&amp;RIGHT("00000"&amp;348,5))</f>
        <v/>
      </c>
      <c r="AL353">
        <f>IF($AK353="","",COUNTIFS(LdAParty,$AE353,LdAType,1,LdAKey,"&lt;"&amp;$AK353)+COUNTIFS(LdBMember,$AE353,LdBKey,"&lt;"&amp;$AK353)+COUNTIFS(LdCParty,$AE353,LdCKey,"&lt;"&amp;$AK353)+1)</f>
        <v/>
      </c>
      <c r="AM353">
        <f>IF($AL353="","",$AE353&amp;"|"&amp;RIGHT("000000"&amp;$AL353,6))</f>
        <v/>
      </c>
      <c r="AN353">
        <f>IF($AE353="","",IF(Sync!$W353="",0,Sync!$W353))</f>
        <v/>
      </c>
      <c r="AO353">
        <f>IF($AE353="","",IF(Sync!$X353="",0,Sync!$X353))</f>
        <v/>
      </c>
      <c r="AP353">
        <f>IF($AE353="","",Sync!$R353)</f>
        <v/>
      </c>
      <c r="AQ353">
        <f>IF($AE353="","",Sync!$Y353)</f>
        <v/>
      </c>
    </row>
    <row r="354">
      <c r="A354">
        <f>IF(OR(Wages!$B357="",Wages!$E357=""),"",Wages!$E357)</f>
        <v/>
      </c>
      <c r="B354">
        <f>IF($A354="","",IF(Wages!$C357="دستمزد گروهی",2,1))</f>
        <v/>
      </c>
      <c r="C354">
        <f>IF($A354="","",IF(ISNUMBER(Wages!$B357),IF(AND(Wages!$B357&gt;=10000101,Wages!$B357&lt;=99991231),INT(Wages!$B357/10000),""),IFERROR(VALUE(TRIM(LEFT(Wages!$B357,FIND("/",Wages!$B357)-1))),"")))</f>
        <v/>
      </c>
      <c r="D354">
        <f>IF(OR($A354="",$C354=""),"",IF(ISNUMBER(Wages!$B357),INT(MOD(Wages!$B357,10000)/100),IFERROR(VALUE(TRIM(LEFT(MID(Wages!$B357,FIND("/",Wages!$B357)+1,20),FIND("/",MID(Wages!$B357,FIND("/",Wages!$B357)+1,20))-1))),"")))</f>
        <v/>
      </c>
      <c r="E354">
        <f>IF(OR($A354="",$C354=""),"",IF(ISNUMBER(Wages!$B357),MOD(Wages!$B357,100),IFERROR(VALUE(TRIM(MID(MID(Wages!$B357,FIND("/",Wages!$B357)+1,20),FIND("/",MID(Wages!$B357,FIND("/",Wages!$B357)+1,20))+1,20))),"")))</f>
        <v/>
      </c>
      <c r="F354">
        <f>IF($A354="","",IF(OR($C354="",$D354="",$E354="",$C354&lt;1300,$C354&gt;1500,$D354&lt;1,$D354&gt;12,$E354&lt;1,$E354&gt;31),"نامعتبر",RIGHT("0000"&amp;$C354,4)&amp;"/"&amp;RIGHT("00"&amp;$D354,2)&amp;"/"&amp;RIGHT("00"&amp;$E354,2)))</f>
        <v/>
      </c>
      <c r="G354">
        <f>IF(OR($A354="",$F354="",$F354="نامعتبر"),"",LEFT($F354,4)&amp;MID($F354,6,2)&amp;RIGHT($F354,2)&amp;"0000"&amp;"|"&amp;"1"&amp;RIGHT("00000"&amp;349,5))</f>
        <v/>
      </c>
      <c r="H354">
        <f>IF(OR($B354&lt;&gt;1,$G354=""),"",COUNTIFS(LdAParty,$A354,LdAType,1,LdAKey,"&lt;"&amp;$G354)+COUNTIFS(LdBMember,$A354,LdBKey,"&lt;"&amp;$G354)+COUNTIFS(LdCParty,$A354,LdCKey,"&lt;"&amp;$G354)+1)</f>
        <v/>
      </c>
      <c r="I354">
        <f>IF($H354="","",$A354&amp;"|"&amp;RIGHT("000000"&amp;$H354,6))</f>
        <v/>
      </c>
      <c r="J354">
        <f>IF(OR($B354&lt;&gt;2,$G354=""),"",COUNTIFS(LdAParty,$A354,LdAType,2,LdAKey,"&lt;"&amp;$G354)+1)</f>
        <v/>
      </c>
      <c r="K354">
        <f>IF($J354="","",$A354&amp;"|"&amp;RIGHT("000000"&amp;$J354,6))</f>
        <v/>
      </c>
      <c r="L354">
        <f>IF($A354="","",IF(Wages!$G357="",0,Wages!$G357))</f>
        <v/>
      </c>
      <c r="M354">
        <f>IF($A354="","",Wages!$J357)</f>
        <v/>
      </c>
      <c r="N354">
        <f>IF($A354="","",Wages!$D357)</f>
        <v/>
      </c>
      <c r="P354">
        <f>IF(OR(Shares!$B357="",Shares!$C357=""),"",Shares!$C357)</f>
        <v/>
      </c>
      <c r="Q354">
        <f>IF($P354="","",Shares!$B357)</f>
        <v/>
      </c>
      <c r="R354">
        <f>IF($P354="","",IFERROR(INDEX(WageParty,MATCH($Q354,WageIds,0)),""))</f>
        <v/>
      </c>
      <c r="S354">
        <f>IF($P354="","",IFERROR(INDEX($F$6:$F$2005,MATCH($Q354,WageIds,0)),""))</f>
        <v/>
      </c>
      <c r="T354">
        <f>IF(OR($P354="",$S354="",$S354="نامعتبر"),"",LEFT($S354,4)&amp;MID($S354,6,2)&amp;RIGHT($S354,2)&amp;"0000"&amp;"|"&amp;"2"&amp;RIGHT("00000"&amp;349,5))</f>
        <v/>
      </c>
      <c r="U354">
        <f>IF($T354="","",COUNTIFS(LdAParty,$P354,LdAType,1,LdAKey,"&lt;"&amp;$T354)+COUNTIFS(LdBMember,$P354,LdBKey,"&lt;"&amp;$T354)+COUNTIFS(LdCParty,$P354,LdCKey,"&lt;"&amp;$T354)+1)</f>
        <v/>
      </c>
      <c r="V354">
        <f>IF($U354="","",$P354&amp;"|"&amp;RIGHT("000000"&amp;$U354,6))</f>
        <v/>
      </c>
      <c r="W354">
        <f>IF($T354="","",COUNTIFS(LdBGroup,$R354,LdBKey,"&lt;"&amp;$T354)+1)</f>
        <v/>
      </c>
      <c r="X354">
        <f>IF($W354="","",$R354&amp;"|"&amp;RIGHT("000000"&amp;$W354,6))</f>
        <v/>
      </c>
      <c r="Y354">
        <f>IF($P354="","",IF(Shares!$E357="",0,Shares!$E357))</f>
        <v/>
      </c>
      <c r="Z354">
        <f>IF($P354="","",Shares!$H357)</f>
        <v/>
      </c>
      <c r="AE354">
        <f>IF(OR(Sync!$S354="",Sync!$P354=""),"",Sync!$S354)</f>
        <v/>
      </c>
      <c r="AF354">
        <f>IF($AE354="","",IF(ISNUMBER(Sync!$P354),IF(AND(Sync!$P354&gt;=10000101,Sync!$P354&lt;=99991231),INT(Sync!$P354/10000),""),IFERROR(VALUE(TRIM(LEFT(Sync!$P354,FIND("/",Sync!$P354)-1))),"")))</f>
        <v/>
      </c>
      <c r="AG354">
        <f>IF(OR($AE354="",$AF354=""),"",IF(ISNUMBER(Sync!$P354),INT(MOD(Sync!$P354,10000)/100),IFERROR(VALUE(TRIM(LEFT(MID(Sync!$P354,FIND("/",Sync!$P354)+1,20),FIND("/",MID(Sync!$P354,FIND("/",Sync!$P354)+1,20))-1))),"")))</f>
        <v/>
      </c>
      <c r="AH354">
        <f>IF(OR($AE354="",$AF354=""),"",IF(ISNUMBER(Sync!$P354),MOD(Sync!$P354,100),IFERROR(VALUE(TRIM(MID(MID(Sync!$P354,FIND("/",Sync!$P354)+1,20),FIND("/",MID(Sync!$P354,FIND("/",Sync!$P354)+1,20))+1,20))),"")))</f>
        <v/>
      </c>
      <c r="AI354">
        <f>IF($AE354="","",IF(OR($AF354="",$AG354="",$AH354="",$AF354&lt;1300,$AF354&gt;1500,$AG354&lt;1,$AG354&gt;12,$AH354&lt;1,$AH354&gt;31),"نامعتبر",RIGHT("0000"&amp;$AF354,4)&amp;"/"&amp;RIGHT("00"&amp;$AG354,2)&amp;"/"&amp;RIGHT("00"&amp;$AH354,2)))</f>
        <v/>
      </c>
      <c r="AJ354">
        <f>IF($AE354="","",IF(Sync!$Q354="","0000",IF(AND(ISNUMBER(Sync!$Q354),Sync!$Q354&gt;=0,Sync!$Q354&lt;1),RIGHT("00"&amp;HOUR(Sync!$Q354),2)&amp;RIGHT("00"&amp;MINUTE(Sync!$Q354),2),IFERROR(RIGHT("00"&amp;VALUE(LEFT(Sync!$Q354,FIND(":",Sync!$Q354)-1)),2)&amp;RIGHT("00"&amp;VALUE(MID(Sync!$Q354,FIND(":",Sync!$Q354)+1,2)),2),"0000"))))</f>
        <v/>
      </c>
      <c r="AK354">
        <f>IF(OR($AE354="",$AI354="",$AI354="نامعتبر"),"",LEFT($AI354,4)&amp;MID($AI354,6,2)&amp;RIGHT($AI354,2)&amp;$AJ354&amp;"|"&amp;"3"&amp;RIGHT("00000"&amp;349,5))</f>
        <v/>
      </c>
      <c r="AL354">
        <f>IF($AK354="","",COUNTIFS(LdAParty,$AE354,LdAType,1,LdAKey,"&lt;"&amp;$AK354)+COUNTIFS(LdBMember,$AE354,LdBKey,"&lt;"&amp;$AK354)+COUNTIFS(LdCParty,$AE354,LdCKey,"&lt;"&amp;$AK354)+1)</f>
        <v/>
      </c>
      <c r="AM354">
        <f>IF($AL354="","",$AE354&amp;"|"&amp;RIGHT("000000"&amp;$AL354,6))</f>
        <v/>
      </c>
      <c r="AN354">
        <f>IF($AE354="","",IF(Sync!$W354="",0,Sync!$W354))</f>
        <v/>
      </c>
      <c r="AO354">
        <f>IF($AE354="","",IF(Sync!$X354="",0,Sync!$X354))</f>
        <v/>
      </c>
      <c r="AP354">
        <f>IF($AE354="","",Sync!$R354)</f>
        <v/>
      </c>
      <c r="AQ354">
        <f>IF($AE354="","",Sync!$Y354)</f>
        <v/>
      </c>
    </row>
    <row r="355">
      <c r="A355">
        <f>IF(OR(Wages!$B358="",Wages!$E358=""),"",Wages!$E358)</f>
        <v/>
      </c>
      <c r="B355">
        <f>IF($A355="","",IF(Wages!$C358="دستمزد گروهی",2,1))</f>
        <v/>
      </c>
      <c r="C355">
        <f>IF($A355="","",IF(ISNUMBER(Wages!$B358),IF(AND(Wages!$B358&gt;=10000101,Wages!$B358&lt;=99991231),INT(Wages!$B358/10000),""),IFERROR(VALUE(TRIM(LEFT(Wages!$B358,FIND("/",Wages!$B358)-1))),"")))</f>
        <v/>
      </c>
      <c r="D355">
        <f>IF(OR($A355="",$C355=""),"",IF(ISNUMBER(Wages!$B358),INT(MOD(Wages!$B358,10000)/100),IFERROR(VALUE(TRIM(LEFT(MID(Wages!$B358,FIND("/",Wages!$B358)+1,20),FIND("/",MID(Wages!$B358,FIND("/",Wages!$B358)+1,20))-1))),"")))</f>
        <v/>
      </c>
      <c r="E355">
        <f>IF(OR($A355="",$C355=""),"",IF(ISNUMBER(Wages!$B358),MOD(Wages!$B358,100),IFERROR(VALUE(TRIM(MID(MID(Wages!$B358,FIND("/",Wages!$B358)+1,20),FIND("/",MID(Wages!$B358,FIND("/",Wages!$B358)+1,20))+1,20))),"")))</f>
        <v/>
      </c>
      <c r="F355">
        <f>IF($A355="","",IF(OR($C355="",$D355="",$E355="",$C355&lt;1300,$C355&gt;1500,$D355&lt;1,$D355&gt;12,$E355&lt;1,$E355&gt;31),"نامعتبر",RIGHT("0000"&amp;$C355,4)&amp;"/"&amp;RIGHT("00"&amp;$D355,2)&amp;"/"&amp;RIGHT("00"&amp;$E355,2)))</f>
        <v/>
      </c>
      <c r="G355">
        <f>IF(OR($A355="",$F355="",$F355="نامعتبر"),"",LEFT($F355,4)&amp;MID($F355,6,2)&amp;RIGHT($F355,2)&amp;"0000"&amp;"|"&amp;"1"&amp;RIGHT("00000"&amp;350,5))</f>
        <v/>
      </c>
      <c r="H355">
        <f>IF(OR($B355&lt;&gt;1,$G355=""),"",COUNTIFS(LdAParty,$A355,LdAType,1,LdAKey,"&lt;"&amp;$G355)+COUNTIFS(LdBMember,$A355,LdBKey,"&lt;"&amp;$G355)+COUNTIFS(LdCParty,$A355,LdCKey,"&lt;"&amp;$G355)+1)</f>
        <v/>
      </c>
      <c r="I355">
        <f>IF($H355="","",$A355&amp;"|"&amp;RIGHT("000000"&amp;$H355,6))</f>
        <v/>
      </c>
      <c r="J355">
        <f>IF(OR($B355&lt;&gt;2,$G355=""),"",COUNTIFS(LdAParty,$A355,LdAType,2,LdAKey,"&lt;"&amp;$G355)+1)</f>
        <v/>
      </c>
      <c r="K355">
        <f>IF($J355="","",$A355&amp;"|"&amp;RIGHT("000000"&amp;$J355,6))</f>
        <v/>
      </c>
      <c r="L355">
        <f>IF($A355="","",IF(Wages!$G358="",0,Wages!$G358))</f>
        <v/>
      </c>
      <c r="M355">
        <f>IF($A355="","",Wages!$J358)</f>
        <v/>
      </c>
      <c r="N355">
        <f>IF($A355="","",Wages!$D358)</f>
        <v/>
      </c>
      <c r="P355">
        <f>IF(OR(Shares!$B358="",Shares!$C358=""),"",Shares!$C358)</f>
        <v/>
      </c>
      <c r="Q355">
        <f>IF($P355="","",Shares!$B358)</f>
        <v/>
      </c>
      <c r="R355">
        <f>IF($P355="","",IFERROR(INDEX(WageParty,MATCH($Q355,WageIds,0)),""))</f>
        <v/>
      </c>
      <c r="S355">
        <f>IF($P355="","",IFERROR(INDEX($F$6:$F$2005,MATCH($Q355,WageIds,0)),""))</f>
        <v/>
      </c>
      <c r="T355">
        <f>IF(OR($P355="",$S355="",$S355="نامعتبر"),"",LEFT($S355,4)&amp;MID($S355,6,2)&amp;RIGHT($S355,2)&amp;"0000"&amp;"|"&amp;"2"&amp;RIGHT("00000"&amp;350,5))</f>
        <v/>
      </c>
      <c r="U355">
        <f>IF($T355="","",COUNTIFS(LdAParty,$P355,LdAType,1,LdAKey,"&lt;"&amp;$T355)+COUNTIFS(LdBMember,$P355,LdBKey,"&lt;"&amp;$T355)+COUNTIFS(LdCParty,$P355,LdCKey,"&lt;"&amp;$T355)+1)</f>
        <v/>
      </c>
      <c r="V355">
        <f>IF($U355="","",$P355&amp;"|"&amp;RIGHT("000000"&amp;$U355,6))</f>
        <v/>
      </c>
      <c r="W355">
        <f>IF($T355="","",COUNTIFS(LdBGroup,$R355,LdBKey,"&lt;"&amp;$T355)+1)</f>
        <v/>
      </c>
      <c r="X355">
        <f>IF($W355="","",$R355&amp;"|"&amp;RIGHT("000000"&amp;$W355,6))</f>
        <v/>
      </c>
      <c r="Y355">
        <f>IF($P355="","",IF(Shares!$E358="",0,Shares!$E358))</f>
        <v/>
      </c>
      <c r="Z355">
        <f>IF($P355="","",Shares!$H358)</f>
        <v/>
      </c>
      <c r="AE355">
        <f>IF(OR(Sync!$S355="",Sync!$P355=""),"",Sync!$S355)</f>
        <v/>
      </c>
      <c r="AF355">
        <f>IF($AE355="","",IF(ISNUMBER(Sync!$P355),IF(AND(Sync!$P355&gt;=10000101,Sync!$P355&lt;=99991231),INT(Sync!$P355/10000),""),IFERROR(VALUE(TRIM(LEFT(Sync!$P355,FIND("/",Sync!$P355)-1))),"")))</f>
        <v/>
      </c>
      <c r="AG355">
        <f>IF(OR($AE355="",$AF355=""),"",IF(ISNUMBER(Sync!$P355),INT(MOD(Sync!$P355,10000)/100),IFERROR(VALUE(TRIM(LEFT(MID(Sync!$P355,FIND("/",Sync!$P355)+1,20),FIND("/",MID(Sync!$P355,FIND("/",Sync!$P355)+1,20))-1))),"")))</f>
        <v/>
      </c>
      <c r="AH355">
        <f>IF(OR($AE355="",$AF355=""),"",IF(ISNUMBER(Sync!$P355),MOD(Sync!$P355,100),IFERROR(VALUE(TRIM(MID(MID(Sync!$P355,FIND("/",Sync!$P355)+1,20),FIND("/",MID(Sync!$P355,FIND("/",Sync!$P355)+1,20))+1,20))),"")))</f>
        <v/>
      </c>
      <c r="AI355">
        <f>IF($AE355="","",IF(OR($AF355="",$AG355="",$AH355="",$AF355&lt;1300,$AF355&gt;1500,$AG355&lt;1,$AG355&gt;12,$AH355&lt;1,$AH355&gt;31),"نامعتبر",RIGHT("0000"&amp;$AF355,4)&amp;"/"&amp;RIGHT("00"&amp;$AG355,2)&amp;"/"&amp;RIGHT("00"&amp;$AH355,2)))</f>
        <v/>
      </c>
      <c r="AJ355">
        <f>IF($AE355="","",IF(Sync!$Q355="","0000",IF(AND(ISNUMBER(Sync!$Q355),Sync!$Q355&gt;=0,Sync!$Q355&lt;1),RIGHT("00"&amp;HOUR(Sync!$Q355),2)&amp;RIGHT("00"&amp;MINUTE(Sync!$Q355),2),IFERROR(RIGHT("00"&amp;VALUE(LEFT(Sync!$Q355,FIND(":",Sync!$Q355)-1)),2)&amp;RIGHT("00"&amp;VALUE(MID(Sync!$Q355,FIND(":",Sync!$Q355)+1,2)),2),"0000"))))</f>
        <v/>
      </c>
      <c r="AK355">
        <f>IF(OR($AE355="",$AI355="",$AI355="نامعتبر"),"",LEFT($AI355,4)&amp;MID($AI355,6,2)&amp;RIGHT($AI355,2)&amp;$AJ355&amp;"|"&amp;"3"&amp;RIGHT("00000"&amp;350,5))</f>
        <v/>
      </c>
      <c r="AL355">
        <f>IF($AK355="","",COUNTIFS(LdAParty,$AE355,LdAType,1,LdAKey,"&lt;"&amp;$AK355)+COUNTIFS(LdBMember,$AE355,LdBKey,"&lt;"&amp;$AK355)+COUNTIFS(LdCParty,$AE355,LdCKey,"&lt;"&amp;$AK355)+1)</f>
        <v/>
      </c>
      <c r="AM355">
        <f>IF($AL355="","",$AE355&amp;"|"&amp;RIGHT("000000"&amp;$AL355,6))</f>
        <v/>
      </c>
      <c r="AN355">
        <f>IF($AE355="","",IF(Sync!$W355="",0,Sync!$W355))</f>
        <v/>
      </c>
      <c r="AO355">
        <f>IF($AE355="","",IF(Sync!$X355="",0,Sync!$X355))</f>
        <v/>
      </c>
      <c r="AP355">
        <f>IF($AE355="","",Sync!$R355)</f>
        <v/>
      </c>
      <c r="AQ355">
        <f>IF($AE355="","",Sync!$Y355)</f>
        <v/>
      </c>
    </row>
    <row r="356">
      <c r="A356">
        <f>IF(OR(Wages!$B359="",Wages!$E359=""),"",Wages!$E359)</f>
        <v/>
      </c>
      <c r="B356">
        <f>IF($A356="","",IF(Wages!$C359="دستمزد گروهی",2,1))</f>
        <v/>
      </c>
      <c r="C356">
        <f>IF($A356="","",IF(ISNUMBER(Wages!$B359),IF(AND(Wages!$B359&gt;=10000101,Wages!$B359&lt;=99991231),INT(Wages!$B359/10000),""),IFERROR(VALUE(TRIM(LEFT(Wages!$B359,FIND("/",Wages!$B359)-1))),"")))</f>
        <v/>
      </c>
      <c r="D356">
        <f>IF(OR($A356="",$C356=""),"",IF(ISNUMBER(Wages!$B359),INT(MOD(Wages!$B359,10000)/100),IFERROR(VALUE(TRIM(LEFT(MID(Wages!$B359,FIND("/",Wages!$B359)+1,20),FIND("/",MID(Wages!$B359,FIND("/",Wages!$B359)+1,20))-1))),"")))</f>
        <v/>
      </c>
      <c r="E356">
        <f>IF(OR($A356="",$C356=""),"",IF(ISNUMBER(Wages!$B359),MOD(Wages!$B359,100),IFERROR(VALUE(TRIM(MID(MID(Wages!$B359,FIND("/",Wages!$B359)+1,20),FIND("/",MID(Wages!$B359,FIND("/",Wages!$B359)+1,20))+1,20))),"")))</f>
        <v/>
      </c>
      <c r="F356">
        <f>IF($A356="","",IF(OR($C356="",$D356="",$E356="",$C356&lt;1300,$C356&gt;1500,$D356&lt;1,$D356&gt;12,$E356&lt;1,$E356&gt;31),"نامعتبر",RIGHT("0000"&amp;$C356,4)&amp;"/"&amp;RIGHT("00"&amp;$D356,2)&amp;"/"&amp;RIGHT("00"&amp;$E356,2)))</f>
        <v/>
      </c>
      <c r="G356">
        <f>IF(OR($A356="",$F356="",$F356="نامعتبر"),"",LEFT($F356,4)&amp;MID($F356,6,2)&amp;RIGHT($F356,2)&amp;"0000"&amp;"|"&amp;"1"&amp;RIGHT("00000"&amp;351,5))</f>
        <v/>
      </c>
      <c r="H356">
        <f>IF(OR($B356&lt;&gt;1,$G356=""),"",COUNTIFS(LdAParty,$A356,LdAType,1,LdAKey,"&lt;"&amp;$G356)+COUNTIFS(LdBMember,$A356,LdBKey,"&lt;"&amp;$G356)+COUNTIFS(LdCParty,$A356,LdCKey,"&lt;"&amp;$G356)+1)</f>
        <v/>
      </c>
      <c r="I356">
        <f>IF($H356="","",$A356&amp;"|"&amp;RIGHT("000000"&amp;$H356,6))</f>
        <v/>
      </c>
      <c r="J356">
        <f>IF(OR($B356&lt;&gt;2,$G356=""),"",COUNTIFS(LdAParty,$A356,LdAType,2,LdAKey,"&lt;"&amp;$G356)+1)</f>
        <v/>
      </c>
      <c r="K356">
        <f>IF($J356="","",$A356&amp;"|"&amp;RIGHT("000000"&amp;$J356,6))</f>
        <v/>
      </c>
      <c r="L356">
        <f>IF($A356="","",IF(Wages!$G359="",0,Wages!$G359))</f>
        <v/>
      </c>
      <c r="M356">
        <f>IF($A356="","",Wages!$J359)</f>
        <v/>
      </c>
      <c r="N356">
        <f>IF($A356="","",Wages!$D359)</f>
        <v/>
      </c>
      <c r="P356">
        <f>IF(OR(Shares!$B359="",Shares!$C359=""),"",Shares!$C359)</f>
        <v/>
      </c>
      <c r="Q356">
        <f>IF($P356="","",Shares!$B359)</f>
        <v/>
      </c>
      <c r="R356">
        <f>IF($P356="","",IFERROR(INDEX(WageParty,MATCH($Q356,WageIds,0)),""))</f>
        <v/>
      </c>
      <c r="S356">
        <f>IF($P356="","",IFERROR(INDEX($F$6:$F$2005,MATCH($Q356,WageIds,0)),""))</f>
        <v/>
      </c>
      <c r="T356">
        <f>IF(OR($P356="",$S356="",$S356="نامعتبر"),"",LEFT($S356,4)&amp;MID($S356,6,2)&amp;RIGHT($S356,2)&amp;"0000"&amp;"|"&amp;"2"&amp;RIGHT("00000"&amp;351,5))</f>
        <v/>
      </c>
      <c r="U356">
        <f>IF($T356="","",COUNTIFS(LdAParty,$P356,LdAType,1,LdAKey,"&lt;"&amp;$T356)+COUNTIFS(LdBMember,$P356,LdBKey,"&lt;"&amp;$T356)+COUNTIFS(LdCParty,$P356,LdCKey,"&lt;"&amp;$T356)+1)</f>
        <v/>
      </c>
      <c r="V356">
        <f>IF($U356="","",$P356&amp;"|"&amp;RIGHT("000000"&amp;$U356,6))</f>
        <v/>
      </c>
      <c r="W356">
        <f>IF($T356="","",COUNTIFS(LdBGroup,$R356,LdBKey,"&lt;"&amp;$T356)+1)</f>
        <v/>
      </c>
      <c r="X356">
        <f>IF($W356="","",$R356&amp;"|"&amp;RIGHT("000000"&amp;$W356,6))</f>
        <v/>
      </c>
      <c r="Y356">
        <f>IF($P356="","",IF(Shares!$E359="",0,Shares!$E359))</f>
        <v/>
      </c>
      <c r="Z356">
        <f>IF($P356="","",Shares!$H359)</f>
        <v/>
      </c>
      <c r="AE356">
        <f>IF(OR(Sync!$S356="",Sync!$P356=""),"",Sync!$S356)</f>
        <v/>
      </c>
      <c r="AF356">
        <f>IF($AE356="","",IF(ISNUMBER(Sync!$P356),IF(AND(Sync!$P356&gt;=10000101,Sync!$P356&lt;=99991231),INT(Sync!$P356/10000),""),IFERROR(VALUE(TRIM(LEFT(Sync!$P356,FIND("/",Sync!$P356)-1))),"")))</f>
        <v/>
      </c>
      <c r="AG356">
        <f>IF(OR($AE356="",$AF356=""),"",IF(ISNUMBER(Sync!$P356),INT(MOD(Sync!$P356,10000)/100),IFERROR(VALUE(TRIM(LEFT(MID(Sync!$P356,FIND("/",Sync!$P356)+1,20),FIND("/",MID(Sync!$P356,FIND("/",Sync!$P356)+1,20))-1))),"")))</f>
        <v/>
      </c>
      <c r="AH356">
        <f>IF(OR($AE356="",$AF356=""),"",IF(ISNUMBER(Sync!$P356),MOD(Sync!$P356,100),IFERROR(VALUE(TRIM(MID(MID(Sync!$P356,FIND("/",Sync!$P356)+1,20),FIND("/",MID(Sync!$P356,FIND("/",Sync!$P356)+1,20))+1,20))),"")))</f>
        <v/>
      </c>
      <c r="AI356">
        <f>IF($AE356="","",IF(OR($AF356="",$AG356="",$AH356="",$AF356&lt;1300,$AF356&gt;1500,$AG356&lt;1,$AG356&gt;12,$AH356&lt;1,$AH356&gt;31),"نامعتبر",RIGHT("0000"&amp;$AF356,4)&amp;"/"&amp;RIGHT("00"&amp;$AG356,2)&amp;"/"&amp;RIGHT("00"&amp;$AH356,2)))</f>
        <v/>
      </c>
      <c r="AJ356">
        <f>IF($AE356="","",IF(Sync!$Q356="","0000",IF(AND(ISNUMBER(Sync!$Q356),Sync!$Q356&gt;=0,Sync!$Q356&lt;1),RIGHT("00"&amp;HOUR(Sync!$Q356),2)&amp;RIGHT("00"&amp;MINUTE(Sync!$Q356),2),IFERROR(RIGHT("00"&amp;VALUE(LEFT(Sync!$Q356,FIND(":",Sync!$Q356)-1)),2)&amp;RIGHT("00"&amp;VALUE(MID(Sync!$Q356,FIND(":",Sync!$Q356)+1,2)),2),"0000"))))</f>
        <v/>
      </c>
      <c r="AK356">
        <f>IF(OR($AE356="",$AI356="",$AI356="نامعتبر"),"",LEFT($AI356,4)&amp;MID($AI356,6,2)&amp;RIGHT($AI356,2)&amp;$AJ356&amp;"|"&amp;"3"&amp;RIGHT("00000"&amp;351,5))</f>
        <v/>
      </c>
      <c r="AL356">
        <f>IF($AK356="","",COUNTIFS(LdAParty,$AE356,LdAType,1,LdAKey,"&lt;"&amp;$AK356)+COUNTIFS(LdBMember,$AE356,LdBKey,"&lt;"&amp;$AK356)+COUNTIFS(LdCParty,$AE356,LdCKey,"&lt;"&amp;$AK356)+1)</f>
        <v/>
      </c>
      <c r="AM356">
        <f>IF($AL356="","",$AE356&amp;"|"&amp;RIGHT("000000"&amp;$AL356,6))</f>
        <v/>
      </c>
      <c r="AN356">
        <f>IF($AE356="","",IF(Sync!$W356="",0,Sync!$W356))</f>
        <v/>
      </c>
      <c r="AO356">
        <f>IF($AE356="","",IF(Sync!$X356="",0,Sync!$X356))</f>
        <v/>
      </c>
      <c r="AP356">
        <f>IF($AE356="","",Sync!$R356)</f>
        <v/>
      </c>
      <c r="AQ356">
        <f>IF($AE356="","",Sync!$Y356)</f>
        <v/>
      </c>
    </row>
    <row r="357">
      <c r="A357">
        <f>IF(OR(Wages!$B360="",Wages!$E360=""),"",Wages!$E360)</f>
        <v/>
      </c>
      <c r="B357">
        <f>IF($A357="","",IF(Wages!$C360="دستمزد گروهی",2,1))</f>
        <v/>
      </c>
      <c r="C357">
        <f>IF($A357="","",IF(ISNUMBER(Wages!$B360),IF(AND(Wages!$B360&gt;=10000101,Wages!$B360&lt;=99991231),INT(Wages!$B360/10000),""),IFERROR(VALUE(TRIM(LEFT(Wages!$B360,FIND("/",Wages!$B360)-1))),"")))</f>
        <v/>
      </c>
      <c r="D357">
        <f>IF(OR($A357="",$C357=""),"",IF(ISNUMBER(Wages!$B360),INT(MOD(Wages!$B360,10000)/100),IFERROR(VALUE(TRIM(LEFT(MID(Wages!$B360,FIND("/",Wages!$B360)+1,20),FIND("/",MID(Wages!$B360,FIND("/",Wages!$B360)+1,20))-1))),"")))</f>
        <v/>
      </c>
      <c r="E357">
        <f>IF(OR($A357="",$C357=""),"",IF(ISNUMBER(Wages!$B360),MOD(Wages!$B360,100),IFERROR(VALUE(TRIM(MID(MID(Wages!$B360,FIND("/",Wages!$B360)+1,20),FIND("/",MID(Wages!$B360,FIND("/",Wages!$B360)+1,20))+1,20))),"")))</f>
        <v/>
      </c>
      <c r="F357">
        <f>IF($A357="","",IF(OR($C357="",$D357="",$E357="",$C357&lt;1300,$C357&gt;1500,$D357&lt;1,$D357&gt;12,$E357&lt;1,$E357&gt;31),"نامعتبر",RIGHT("0000"&amp;$C357,4)&amp;"/"&amp;RIGHT("00"&amp;$D357,2)&amp;"/"&amp;RIGHT("00"&amp;$E357,2)))</f>
        <v/>
      </c>
      <c r="G357">
        <f>IF(OR($A357="",$F357="",$F357="نامعتبر"),"",LEFT($F357,4)&amp;MID($F357,6,2)&amp;RIGHT($F357,2)&amp;"0000"&amp;"|"&amp;"1"&amp;RIGHT("00000"&amp;352,5))</f>
        <v/>
      </c>
      <c r="H357">
        <f>IF(OR($B357&lt;&gt;1,$G357=""),"",COUNTIFS(LdAParty,$A357,LdAType,1,LdAKey,"&lt;"&amp;$G357)+COUNTIFS(LdBMember,$A357,LdBKey,"&lt;"&amp;$G357)+COUNTIFS(LdCParty,$A357,LdCKey,"&lt;"&amp;$G357)+1)</f>
        <v/>
      </c>
      <c r="I357">
        <f>IF($H357="","",$A357&amp;"|"&amp;RIGHT("000000"&amp;$H357,6))</f>
        <v/>
      </c>
      <c r="J357">
        <f>IF(OR($B357&lt;&gt;2,$G357=""),"",COUNTIFS(LdAParty,$A357,LdAType,2,LdAKey,"&lt;"&amp;$G357)+1)</f>
        <v/>
      </c>
      <c r="K357">
        <f>IF($J357="","",$A357&amp;"|"&amp;RIGHT("000000"&amp;$J357,6))</f>
        <v/>
      </c>
      <c r="L357">
        <f>IF($A357="","",IF(Wages!$G360="",0,Wages!$G360))</f>
        <v/>
      </c>
      <c r="M357">
        <f>IF($A357="","",Wages!$J360)</f>
        <v/>
      </c>
      <c r="N357">
        <f>IF($A357="","",Wages!$D360)</f>
        <v/>
      </c>
      <c r="P357">
        <f>IF(OR(Shares!$B360="",Shares!$C360=""),"",Shares!$C360)</f>
        <v/>
      </c>
      <c r="Q357">
        <f>IF($P357="","",Shares!$B360)</f>
        <v/>
      </c>
      <c r="R357">
        <f>IF($P357="","",IFERROR(INDEX(WageParty,MATCH($Q357,WageIds,0)),""))</f>
        <v/>
      </c>
      <c r="S357">
        <f>IF($P357="","",IFERROR(INDEX($F$6:$F$2005,MATCH($Q357,WageIds,0)),""))</f>
        <v/>
      </c>
      <c r="T357">
        <f>IF(OR($P357="",$S357="",$S357="نامعتبر"),"",LEFT($S357,4)&amp;MID($S357,6,2)&amp;RIGHT($S357,2)&amp;"0000"&amp;"|"&amp;"2"&amp;RIGHT("00000"&amp;352,5))</f>
        <v/>
      </c>
      <c r="U357">
        <f>IF($T357="","",COUNTIFS(LdAParty,$P357,LdAType,1,LdAKey,"&lt;"&amp;$T357)+COUNTIFS(LdBMember,$P357,LdBKey,"&lt;"&amp;$T357)+COUNTIFS(LdCParty,$P357,LdCKey,"&lt;"&amp;$T357)+1)</f>
        <v/>
      </c>
      <c r="V357">
        <f>IF($U357="","",$P357&amp;"|"&amp;RIGHT("000000"&amp;$U357,6))</f>
        <v/>
      </c>
      <c r="W357">
        <f>IF($T357="","",COUNTIFS(LdBGroup,$R357,LdBKey,"&lt;"&amp;$T357)+1)</f>
        <v/>
      </c>
      <c r="X357">
        <f>IF($W357="","",$R357&amp;"|"&amp;RIGHT("000000"&amp;$W357,6))</f>
        <v/>
      </c>
      <c r="Y357">
        <f>IF($P357="","",IF(Shares!$E360="",0,Shares!$E360))</f>
        <v/>
      </c>
      <c r="Z357">
        <f>IF($P357="","",Shares!$H360)</f>
        <v/>
      </c>
      <c r="AE357">
        <f>IF(OR(Sync!$S357="",Sync!$P357=""),"",Sync!$S357)</f>
        <v/>
      </c>
      <c r="AF357">
        <f>IF($AE357="","",IF(ISNUMBER(Sync!$P357),IF(AND(Sync!$P357&gt;=10000101,Sync!$P357&lt;=99991231),INT(Sync!$P357/10000),""),IFERROR(VALUE(TRIM(LEFT(Sync!$P357,FIND("/",Sync!$P357)-1))),"")))</f>
        <v/>
      </c>
      <c r="AG357">
        <f>IF(OR($AE357="",$AF357=""),"",IF(ISNUMBER(Sync!$P357),INT(MOD(Sync!$P357,10000)/100),IFERROR(VALUE(TRIM(LEFT(MID(Sync!$P357,FIND("/",Sync!$P357)+1,20),FIND("/",MID(Sync!$P357,FIND("/",Sync!$P357)+1,20))-1))),"")))</f>
        <v/>
      </c>
      <c r="AH357">
        <f>IF(OR($AE357="",$AF357=""),"",IF(ISNUMBER(Sync!$P357),MOD(Sync!$P357,100),IFERROR(VALUE(TRIM(MID(MID(Sync!$P357,FIND("/",Sync!$P357)+1,20),FIND("/",MID(Sync!$P357,FIND("/",Sync!$P357)+1,20))+1,20))),"")))</f>
        <v/>
      </c>
      <c r="AI357">
        <f>IF($AE357="","",IF(OR($AF357="",$AG357="",$AH357="",$AF357&lt;1300,$AF357&gt;1500,$AG357&lt;1,$AG357&gt;12,$AH357&lt;1,$AH357&gt;31),"نامعتبر",RIGHT("0000"&amp;$AF357,4)&amp;"/"&amp;RIGHT("00"&amp;$AG357,2)&amp;"/"&amp;RIGHT("00"&amp;$AH357,2)))</f>
        <v/>
      </c>
      <c r="AJ357">
        <f>IF($AE357="","",IF(Sync!$Q357="","0000",IF(AND(ISNUMBER(Sync!$Q357),Sync!$Q357&gt;=0,Sync!$Q357&lt;1),RIGHT("00"&amp;HOUR(Sync!$Q357),2)&amp;RIGHT("00"&amp;MINUTE(Sync!$Q357),2),IFERROR(RIGHT("00"&amp;VALUE(LEFT(Sync!$Q357,FIND(":",Sync!$Q357)-1)),2)&amp;RIGHT("00"&amp;VALUE(MID(Sync!$Q357,FIND(":",Sync!$Q357)+1,2)),2),"0000"))))</f>
        <v/>
      </c>
      <c r="AK357">
        <f>IF(OR($AE357="",$AI357="",$AI357="نامعتبر"),"",LEFT($AI357,4)&amp;MID($AI357,6,2)&amp;RIGHT($AI357,2)&amp;$AJ357&amp;"|"&amp;"3"&amp;RIGHT("00000"&amp;352,5))</f>
        <v/>
      </c>
      <c r="AL357">
        <f>IF($AK357="","",COUNTIFS(LdAParty,$AE357,LdAType,1,LdAKey,"&lt;"&amp;$AK357)+COUNTIFS(LdBMember,$AE357,LdBKey,"&lt;"&amp;$AK357)+COUNTIFS(LdCParty,$AE357,LdCKey,"&lt;"&amp;$AK357)+1)</f>
        <v/>
      </c>
      <c r="AM357">
        <f>IF($AL357="","",$AE357&amp;"|"&amp;RIGHT("000000"&amp;$AL357,6))</f>
        <v/>
      </c>
      <c r="AN357">
        <f>IF($AE357="","",IF(Sync!$W357="",0,Sync!$W357))</f>
        <v/>
      </c>
      <c r="AO357">
        <f>IF($AE357="","",IF(Sync!$X357="",0,Sync!$X357))</f>
        <v/>
      </c>
      <c r="AP357">
        <f>IF($AE357="","",Sync!$R357)</f>
        <v/>
      </c>
      <c r="AQ357">
        <f>IF($AE357="","",Sync!$Y357)</f>
        <v/>
      </c>
    </row>
    <row r="358">
      <c r="A358">
        <f>IF(OR(Wages!$B361="",Wages!$E361=""),"",Wages!$E361)</f>
        <v/>
      </c>
      <c r="B358">
        <f>IF($A358="","",IF(Wages!$C361="دستمزد گروهی",2,1))</f>
        <v/>
      </c>
      <c r="C358">
        <f>IF($A358="","",IF(ISNUMBER(Wages!$B361),IF(AND(Wages!$B361&gt;=10000101,Wages!$B361&lt;=99991231),INT(Wages!$B361/10000),""),IFERROR(VALUE(TRIM(LEFT(Wages!$B361,FIND("/",Wages!$B361)-1))),"")))</f>
        <v/>
      </c>
      <c r="D358">
        <f>IF(OR($A358="",$C358=""),"",IF(ISNUMBER(Wages!$B361),INT(MOD(Wages!$B361,10000)/100),IFERROR(VALUE(TRIM(LEFT(MID(Wages!$B361,FIND("/",Wages!$B361)+1,20),FIND("/",MID(Wages!$B361,FIND("/",Wages!$B361)+1,20))-1))),"")))</f>
        <v/>
      </c>
      <c r="E358">
        <f>IF(OR($A358="",$C358=""),"",IF(ISNUMBER(Wages!$B361),MOD(Wages!$B361,100),IFERROR(VALUE(TRIM(MID(MID(Wages!$B361,FIND("/",Wages!$B361)+1,20),FIND("/",MID(Wages!$B361,FIND("/",Wages!$B361)+1,20))+1,20))),"")))</f>
        <v/>
      </c>
      <c r="F358">
        <f>IF($A358="","",IF(OR($C358="",$D358="",$E358="",$C358&lt;1300,$C358&gt;1500,$D358&lt;1,$D358&gt;12,$E358&lt;1,$E358&gt;31),"نامعتبر",RIGHT("0000"&amp;$C358,4)&amp;"/"&amp;RIGHT("00"&amp;$D358,2)&amp;"/"&amp;RIGHT("00"&amp;$E358,2)))</f>
        <v/>
      </c>
      <c r="G358">
        <f>IF(OR($A358="",$F358="",$F358="نامعتبر"),"",LEFT($F358,4)&amp;MID($F358,6,2)&amp;RIGHT($F358,2)&amp;"0000"&amp;"|"&amp;"1"&amp;RIGHT("00000"&amp;353,5))</f>
        <v/>
      </c>
      <c r="H358">
        <f>IF(OR($B358&lt;&gt;1,$G358=""),"",COUNTIFS(LdAParty,$A358,LdAType,1,LdAKey,"&lt;"&amp;$G358)+COUNTIFS(LdBMember,$A358,LdBKey,"&lt;"&amp;$G358)+COUNTIFS(LdCParty,$A358,LdCKey,"&lt;"&amp;$G358)+1)</f>
        <v/>
      </c>
      <c r="I358">
        <f>IF($H358="","",$A358&amp;"|"&amp;RIGHT("000000"&amp;$H358,6))</f>
        <v/>
      </c>
      <c r="J358">
        <f>IF(OR($B358&lt;&gt;2,$G358=""),"",COUNTIFS(LdAParty,$A358,LdAType,2,LdAKey,"&lt;"&amp;$G358)+1)</f>
        <v/>
      </c>
      <c r="K358">
        <f>IF($J358="","",$A358&amp;"|"&amp;RIGHT("000000"&amp;$J358,6))</f>
        <v/>
      </c>
      <c r="L358">
        <f>IF($A358="","",IF(Wages!$G361="",0,Wages!$G361))</f>
        <v/>
      </c>
      <c r="M358">
        <f>IF($A358="","",Wages!$J361)</f>
        <v/>
      </c>
      <c r="N358">
        <f>IF($A358="","",Wages!$D361)</f>
        <v/>
      </c>
      <c r="P358">
        <f>IF(OR(Shares!$B361="",Shares!$C361=""),"",Shares!$C361)</f>
        <v/>
      </c>
      <c r="Q358">
        <f>IF($P358="","",Shares!$B361)</f>
        <v/>
      </c>
      <c r="R358">
        <f>IF($P358="","",IFERROR(INDEX(WageParty,MATCH($Q358,WageIds,0)),""))</f>
        <v/>
      </c>
      <c r="S358">
        <f>IF($P358="","",IFERROR(INDEX($F$6:$F$2005,MATCH($Q358,WageIds,0)),""))</f>
        <v/>
      </c>
      <c r="T358">
        <f>IF(OR($P358="",$S358="",$S358="نامعتبر"),"",LEFT($S358,4)&amp;MID($S358,6,2)&amp;RIGHT($S358,2)&amp;"0000"&amp;"|"&amp;"2"&amp;RIGHT("00000"&amp;353,5))</f>
        <v/>
      </c>
      <c r="U358">
        <f>IF($T358="","",COUNTIFS(LdAParty,$P358,LdAType,1,LdAKey,"&lt;"&amp;$T358)+COUNTIFS(LdBMember,$P358,LdBKey,"&lt;"&amp;$T358)+COUNTIFS(LdCParty,$P358,LdCKey,"&lt;"&amp;$T358)+1)</f>
        <v/>
      </c>
      <c r="V358">
        <f>IF($U358="","",$P358&amp;"|"&amp;RIGHT("000000"&amp;$U358,6))</f>
        <v/>
      </c>
      <c r="W358">
        <f>IF($T358="","",COUNTIFS(LdBGroup,$R358,LdBKey,"&lt;"&amp;$T358)+1)</f>
        <v/>
      </c>
      <c r="X358">
        <f>IF($W358="","",$R358&amp;"|"&amp;RIGHT("000000"&amp;$W358,6))</f>
        <v/>
      </c>
      <c r="Y358">
        <f>IF($P358="","",IF(Shares!$E361="",0,Shares!$E361))</f>
        <v/>
      </c>
      <c r="Z358">
        <f>IF($P358="","",Shares!$H361)</f>
        <v/>
      </c>
      <c r="AE358">
        <f>IF(OR(Sync!$S358="",Sync!$P358=""),"",Sync!$S358)</f>
        <v/>
      </c>
      <c r="AF358">
        <f>IF($AE358="","",IF(ISNUMBER(Sync!$P358),IF(AND(Sync!$P358&gt;=10000101,Sync!$P358&lt;=99991231),INT(Sync!$P358/10000),""),IFERROR(VALUE(TRIM(LEFT(Sync!$P358,FIND("/",Sync!$P358)-1))),"")))</f>
        <v/>
      </c>
      <c r="AG358">
        <f>IF(OR($AE358="",$AF358=""),"",IF(ISNUMBER(Sync!$P358),INT(MOD(Sync!$P358,10000)/100),IFERROR(VALUE(TRIM(LEFT(MID(Sync!$P358,FIND("/",Sync!$P358)+1,20),FIND("/",MID(Sync!$P358,FIND("/",Sync!$P358)+1,20))-1))),"")))</f>
        <v/>
      </c>
      <c r="AH358">
        <f>IF(OR($AE358="",$AF358=""),"",IF(ISNUMBER(Sync!$P358),MOD(Sync!$P358,100),IFERROR(VALUE(TRIM(MID(MID(Sync!$P358,FIND("/",Sync!$P358)+1,20),FIND("/",MID(Sync!$P358,FIND("/",Sync!$P358)+1,20))+1,20))),"")))</f>
        <v/>
      </c>
      <c r="AI358">
        <f>IF($AE358="","",IF(OR($AF358="",$AG358="",$AH358="",$AF358&lt;1300,$AF358&gt;1500,$AG358&lt;1,$AG358&gt;12,$AH358&lt;1,$AH358&gt;31),"نامعتبر",RIGHT("0000"&amp;$AF358,4)&amp;"/"&amp;RIGHT("00"&amp;$AG358,2)&amp;"/"&amp;RIGHT("00"&amp;$AH358,2)))</f>
        <v/>
      </c>
      <c r="AJ358">
        <f>IF($AE358="","",IF(Sync!$Q358="","0000",IF(AND(ISNUMBER(Sync!$Q358),Sync!$Q358&gt;=0,Sync!$Q358&lt;1),RIGHT("00"&amp;HOUR(Sync!$Q358),2)&amp;RIGHT("00"&amp;MINUTE(Sync!$Q358),2),IFERROR(RIGHT("00"&amp;VALUE(LEFT(Sync!$Q358,FIND(":",Sync!$Q358)-1)),2)&amp;RIGHT("00"&amp;VALUE(MID(Sync!$Q358,FIND(":",Sync!$Q358)+1,2)),2),"0000"))))</f>
        <v/>
      </c>
      <c r="AK358">
        <f>IF(OR($AE358="",$AI358="",$AI358="نامعتبر"),"",LEFT($AI358,4)&amp;MID($AI358,6,2)&amp;RIGHT($AI358,2)&amp;$AJ358&amp;"|"&amp;"3"&amp;RIGHT("00000"&amp;353,5))</f>
        <v/>
      </c>
      <c r="AL358">
        <f>IF($AK358="","",COUNTIFS(LdAParty,$AE358,LdAType,1,LdAKey,"&lt;"&amp;$AK358)+COUNTIFS(LdBMember,$AE358,LdBKey,"&lt;"&amp;$AK358)+COUNTIFS(LdCParty,$AE358,LdCKey,"&lt;"&amp;$AK358)+1)</f>
        <v/>
      </c>
      <c r="AM358">
        <f>IF($AL358="","",$AE358&amp;"|"&amp;RIGHT("000000"&amp;$AL358,6))</f>
        <v/>
      </c>
      <c r="AN358">
        <f>IF($AE358="","",IF(Sync!$W358="",0,Sync!$W358))</f>
        <v/>
      </c>
      <c r="AO358">
        <f>IF($AE358="","",IF(Sync!$X358="",0,Sync!$X358))</f>
        <v/>
      </c>
      <c r="AP358">
        <f>IF($AE358="","",Sync!$R358)</f>
        <v/>
      </c>
      <c r="AQ358">
        <f>IF($AE358="","",Sync!$Y358)</f>
        <v/>
      </c>
    </row>
    <row r="359">
      <c r="A359">
        <f>IF(OR(Wages!$B362="",Wages!$E362=""),"",Wages!$E362)</f>
        <v/>
      </c>
      <c r="B359">
        <f>IF($A359="","",IF(Wages!$C362="دستمزد گروهی",2,1))</f>
        <v/>
      </c>
      <c r="C359">
        <f>IF($A359="","",IF(ISNUMBER(Wages!$B362),IF(AND(Wages!$B362&gt;=10000101,Wages!$B362&lt;=99991231),INT(Wages!$B362/10000),""),IFERROR(VALUE(TRIM(LEFT(Wages!$B362,FIND("/",Wages!$B362)-1))),"")))</f>
        <v/>
      </c>
      <c r="D359">
        <f>IF(OR($A359="",$C359=""),"",IF(ISNUMBER(Wages!$B362),INT(MOD(Wages!$B362,10000)/100),IFERROR(VALUE(TRIM(LEFT(MID(Wages!$B362,FIND("/",Wages!$B362)+1,20),FIND("/",MID(Wages!$B362,FIND("/",Wages!$B362)+1,20))-1))),"")))</f>
        <v/>
      </c>
      <c r="E359">
        <f>IF(OR($A359="",$C359=""),"",IF(ISNUMBER(Wages!$B362),MOD(Wages!$B362,100),IFERROR(VALUE(TRIM(MID(MID(Wages!$B362,FIND("/",Wages!$B362)+1,20),FIND("/",MID(Wages!$B362,FIND("/",Wages!$B362)+1,20))+1,20))),"")))</f>
        <v/>
      </c>
      <c r="F359">
        <f>IF($A359="","",IF(OR($C359="",$D359="",$E359="",$C359&lt;1300,$C359&gt;1500,$D359&lt;1,$D359&gt;12,$E359&lt;1,$E359&gt;31),"نامعتبر",RIGHT("0000"&amp;$C359,4)&amp;"/"&amp;RIGHT("00"&amp;$D359,2)&amp;"/"&amp;RIGHT("00"&amp;$E359,2)))</f>
        <v/>
      </c>
      <c r="G359">
        <f>IF(OR($A359="",$F359="",$F359="نامعتبر"),"",LEFT($F359,4)&amp;MID($F359,6,2)&amp;RIGHT($F359,2)&amp;"0000"&amp;"|"&amp;"1"&amp;RIGHT("00000"&amp;354,5))</f>
        <v/>
      </c>
      <c r="H359">
        <f>IF(OR($B359&lt;&gt;1,$G359=""),"",COUNTIFS(LdAParty,$A359,LdAType,1,LdAKey,"&lt;"&amp;$G359)+COUNTIFS(LdBMember,$A359,LdBKey,"&lt;"&amp;$G359)+COUNTIFS(LdCParty,$A359,LdCKey,"&lt;"&amp;$G359)+1)</f>
        <v/>
      </c>
      <c r="I359">
        <f>IF($H359="","",$A359&amp;"|"&amp;RIGHT("000000"&amp;$H359,6))</f>
        <v/>
      </c>
      <c r="J359">
        <f>IF(OR($B359&lt;&gt;2,$G359=""),"",COUNTIFS(LdAParty,$A359,LdAType,2,LdAKey,"&lt;"&amp;$G359)+1)</f>
        <v/>
      </c>
      <c r="K359">
        <f>IF($J359="","",$A359&amp;"|"&amp;RIGHT("000000"&amp;$J359,6))</f>
        <v/>
      </c>
      <c r="L359">
        <f>IF($A359="","",IF(Wages!$G362="",0,Wages!$G362))</f>
        <v/>
      </c>
      <c r="M359">
        <f>IF($A359="","",Wages!$J362)</f>
        <v/>
      </c>
      <c r="N359">
        <f>IF($A359="","",Wages!$D362)</f>
        <v/>
      </c>
      <c r="P359">
        <f>IF(OR(Shares!$B362="",Shares!$C362=""),"",Shares!$C362)</f>
        <v/>
      </c>
      <c r="Q359">
        <f>IF($P359="","",Shares!$B362)</f>
        <v/>
      </c>
      <c r="R359">
        <f>IF($P359="","",IFERROR(INDEX(WageParty,MATCH($Q359,WageIds,0)),""))</f>
        <v/>
      </c>
      <c r="S359">
        <f>IF($P359="","",IFERROR(INDEX($F$6:$F$2005,MATCH($Q359,WageIds,0)),""))</f>
        <v/>
      </c>
      <c r="T359">
        <f>IF(OR($P359="",$S359="",$S359="نامعتبر"),"",LEFT($S359,4)&amp;MID($S359,6,2)&amp;RIGHT($S359,2)&amp;"0000"&amp;"|"&amp;"2"&amp;RIGHT("00000"&amp;354,5))</f>
        <v/>
      </c>
      <c r="U359">
        <f>IF($T359="","",COUNTIFS(LdAParty,$P359,LdAType,1,LdAKey,"&lt;"&amp;$T359)+COUNTIFS(LdBMember,$P359,LdBKey,"&lt;"&amp;$T359)+COUNTIFS(LdCParty,$P359,LdCKey,"&lt;"&amp;$T359)+1)</f>
        <v/>
      </c>
      <c r="V359">
        <f>IF($U359="","",$P359&amp;"|"&amp;RIGHT("000000"&amp;$U359,6))</f>
        <v/>
      </c>
      <c r="W359">
        <f>IF($T359="","",COUNTIFS(LdBGroup,$R359,LdBKey,"&lt;"&amp;$T359)+1)</f>
        <v/>
      </c>
      <c r="X359">
        <f>IF($W359="","",$R359&amp;"|"&amp;RIGHT("000000"&amp;$W359,6))</f>
        <v/>
      </c>
      <c r="Y359">
        <f>IF($P359="","",IF(Shares!$E362="",0,Shares!$E362))</f>
        <v/>
      </c>
      <c r="Z359">
        <f>IF($P359="","",Shares!$H362)</f>
        <v/>
      </c>
      <c r="AE359">
        <f>IF(OR(Sync!$S359="",Sync!$P359=""),"",Sync!$S359)</f>
        <v/>
      </c>
      <c r="AF359">
        <f>IF($AE359="","",IF(ISNUMBER(Sync!$P359),IF(AND(Sync!$P359&gt;=10000101,Sync!$P359&lt;=99991231),INT(Sync!$P359/10000),""),IFERROR(VALUE(TRIM(LEFT(Sync!$P359,FIND("/",Sync!$P359)-1))),"")))</f>
        <v/>
      </c>
      <c r="AG359">
        <f>IF(OR($AE359="",$AF359=""),"",IF(ISNUMBER(Sync!$P359),INT(MOD(Sync!$P359,10000)/100),IFERROR(VALUE(TRIM(LEFT(MID(Sync!$P359,FIND("/",Sync!$P359)+1,20),FIND("/",MID(Sync!$P359,FIND("/",Sync!$P359)+1,20))-1))),"")))</f>
        <v/>
      </c>
      <c r="AH359">
        <f>IF(OR($AE359="",$AF359=""),"",IF(ISNUMBER(Sync!$P359),MOD(Sync!$P359,100),IFERROR(VALUE(TRIM(MID(MID(Sync!$P359,FIND("/",Sync!$P359)+1,20),FIND("/",MID(Sync!$P359,FIND("/",Sync!$P359)+1,20))+1,20))),"")))</f>
        <v/>
      </c>
      <c r="AI359">
        <f>IF($AE359="","",IF(OR($AF359="",$AG359="",$AH359="",$AF359&lt;1300,$AF359&gt;1500,$AG359&lt;1,$AG359&gt;12,$AH359&lt;1,$AH359&gt;31),"نامعتبر",RIGHT("0000"&amp;$AF359,4)&amp;"/"&amp;RIGHT("00"&amp;$AG359,2)&amp;"/"&amp;RIGHT("00"&amp;$AH359,2)))</f>
        <v/>
      </c>
      <c r="AJ359">
        <f>IF($AE359="","",IF(Sync!$Q359="","0000",IF(AND(ISNUMBER(Sync!$Q359),Sync!$Q359&gt;=0,Sync!$Q359&lt;1),RIGHT("00"&amp;HOUR(Sync!$Q359),2)&amp;RIGHT("00"&amp;MINUTE(Sync!$Q359),2),IFERROR(RIGHT("00"&amp;VALUE(LEFT(Sync!$Q359,FIND(":",Sync!$Q359)-1)),2)&amp;RIGHT("00"&amp;VALUE(MID(Sync!$Q359,FIND(":",Sync!$Q359)+1,2)),2),"0000"))))</f>
        <v/>
      </c>
      <c r="AK359">
        <f>IF(OR($AE359="",$AI359="",$AI359="نامعتبر"),"",LEFT($AI359,4)&amp;MID($AI359,6,2)&amp;RIGHT($AI359,2)&amp;$AJ359&amp;"|"&amp;"3"&amp;RIGHT("00000"&amp;354,5))</f>
        <v/>
      </c>
      <c r="AL359">
        <f>IF($AK359="","",COUNTIFS(LdAParty,$AE359,LdAType,1,LdAKey,"&lt;"&amp;$AK359)+COUNTIFS(LdBMember,$AE359,LdBKey,"&lt;"&amp;$AK359)+COUNTIFS(LdCParty,$AE359,LdCKey,"&lt;"&amp;$AK359)+1)</f>
        <v/>
      </c>
      <c r="AM359">
        <f>IF($AL359="","",$AE359&amp;"|"&amp;RIGHT("000000"&amp;$AL359,6))</f>
        <v/>
      </c>
      <c r="AN359">
        <f>IF($AE359="","",IF(Sync!$W359="",0,Sync!$W359))</f>
        <v/>
      </c>
      <c r="AO359">
        <f>IF($AE359="","",IF(Sync!$X359="",0,Sync!$X359))</f>
        <v/>
      </c>
      <c r="AP359">
        <f>IF($AE359="","",Sync!$R359)</f>
        <v/>
      </c>
      <c r="AQ359">
        <f>IF($AE359="","",Sync!$Y359)</f>
        <v/>
      </c>
    </row>
    <row r="360">
      <c r="A360">
        <f>IF(OR(Wages!$B363="",Wages!$E363=""),"",Wages!$E363)</f>
        <v/>
      </c>
      <c r="B360">
        <f>IF($A360="","",IF(Wages!$C363="دستمزد گروهی",2,1))</f>
        <v/>
      </c>
      <c r="C360">
        <f>IF($A360="","",IF(ISNUMBER(Wages!$B363),IF(AND(Wages!$B363&gt;=10000101,Wages!$B363&lt;=99991231),INT(Wages!$B363/10000),""),IFERROR(VALUE(TRIM(LEFT(Wages!$B363,FIND("/",Wages!$B363)-1))),"")))</f>
        <v/>
      </c>
      <c r="D360">
        <f>IF(OR($A360="",$C360=""),"",IF(ISNUMBER(Wages!$B363),INT(MOD(Wages!$B363,10000)/100),IFERROR(VALUE(TRIM(LEFT(MID(Wages!$B363,FIND("/",Wages!$B363)+1,20),FIND("/",MID(Wages!$B363,FIND("/",Wages!$B363)+1,20))-1))),"")))</f>
        <v/>
      </c>
      <c r="E360">
        <f>IF(OR($A360="",$C360=""),"",IF(ISNUMBER(Wages!$B363),MOD(Wages!$B363,100),IFERROR(VALUE(TRIM(MID(MID(Wages!$B363,FIND("/",Wages!$B363)+1,20),FIND("/",MID(Wages!$B363,FIND("/",Wages!$B363)+1,20))+1,20))),"")))</f>
        <v/>
      </c>
      <c r="F360">
        <f>IF($A360="","",IF(OR($C360="",$D360="",$E360="",$C360&lt;1300,$C360&gt;1500,$D360&lt;1,$D360&gt;12,$E360&lt;1,$E360&gt;31),"نامعتبر",RIGHT("0000"&amp;$C360,4)&amp;"/"&amp;RIGHT("00"&amp;$D360,2)&amp;"/"&amp;RIGHT("00"&amp;$E360,2)))</f>
        <v/>
      </c>
      <c r="G360">
        <f>IF(OR($A360="",$F360="",$F360="نامعتبر"),"",LEFT($F360,4)&amp;MID($F360,6,2)&amp;RIGHT($F360,2)&amp;"0000"&amp;"|"&amp;"1"&amp;RIGHT("00000"&amp;355,5))</f>
        <v/>
      </c>
      <c r="H360">
        <f>IF(OR($B360&lt;&gt;1,$G360=""),"",COUNTIFS(LdAParty,$A360,LdAType,1,LdAKey,"&lt;"&amp;$G360)+COUNTIFS(LdBMember,$A360,LdBKey,"&lt;"&amp;$G360)+COUNTIFS(LdCParty,$A360,LdCKey,"&lt;"&amp;$G360)+1)</f>
        <v/>
      </c>
      <c r="I360">
        <f>IF($H360="","",$A360&amp;"|"&amp;RIGHT("000000"&amp;$H360,6))</f>
        <v/>
      </c>
      <c r="J360">
        <f>IF(OR($B360&lt;&gt;2,$G360=""),"",COUNTIFS(LdAParty,$A360,LdAType,2,LdAKey,"&lt;"&amp;$G360)+1)</f>
        <v/>
      </c>
      <c r="K360">
        <f>IF($J360="","",$A360&amp;"|"&amp;RIGHT("000000"&amp;$J360,6))</f>
        <v/>
      </c>
      <c r="L360">
        <f>IF($A360="","",IF(Wages!$G363="",0,Wages!$G363))</f>
        <v/>
      </c>
      <c r="M360">
        <f>IF($A360="","",Wages!$J363)</f>
        <v/>
      </c>
      <c r="N360">
        <f>IF($A360="","",Wages!$D363)</f>
        <v/>
      </c>
      <c r="P360">
        <f>IF(OR(Shares!$B363="",Shares!$C363=""),"",Shares!$C363)</f>
        <v/>
      </c>
      <c r="Q360">
        <f>IF($P360="","",Shares!$B363)</f>
        <v/>
      </c>
      <c r="R360">
        <f>IF($P360="","",IFERROR(INDEX(WageParty,MATCH($Q360,WageIds,0)),""))</f>
        <v/>
      </c>
      <c r="S360">
        <f>IF($P360="","",IFERROR(INDEX($F$6:$F$2005,MATCH($Q360,WageIds,0)),""))</f>
        <v/>
      </c>
      <c r="T360">
        <f>IF(OR($P360="",$S360="",$S360="نامعتبر"),"",LEFT($S360,4)&amp;MID($S360,6,2)&amp;RIGHT($S360,2)&amp;"0000"&amp;"|"&amp;"2"&amp;RIGHT("00000"&amp;355,5))</f>
        <v/>
      </c>
      <c r="U360">
        <f>IF($T360="","",COUNTIFS(LdAParty,$P360,LdAType,1,LdAKey,"&lt;"&amp;$T360)+COUNTIFS(LdBMember,$P360,LdBKey,"&lt;"&amp;$T360)+COUNTIFS(LdCParty,$P360,LdCKey,"&lt;"&amp;$T360)+1)</f>
        <v/>
      </c>
      <c r="V360">
        <f>IF($U360="","",$P360&amp;"|"&amp;RIGHT("000000"&amp;$U360,6))</f>
        <v/>
      </c>
      <c r="W360">
        <f>IF($T360="","",COUNTIFS(LdBGroup,$R360,LdBKey,"&lt;"&amp;$T360)+1)</f>
        <v/>
      </c>
      <c r="X360">
        <f>IF($W360="","",$R360&amp;"|"&amp;RIGHT("000000"&amp;$W360,6))</f>
        <v/>
      </c>
      <c r="Y360">
        <f>IF($P360="","",IF(Shares!$E363="",0,Shares!$E363))</f>
        <v/>
      </c>
      <c r="Z360">
        <f>IF($P360="","",Shares!$H363)</f>
        <v/>
      </c>
      <c r="AE360">
        <f>IF(OR(Sync!$S360="",Sync!$P360=""),"",Sync!$S360)</f>
        <v/>
      </c>
      <c r="AF360">
        <f>IF($AE360="","",IF(ISNUMBER(Sync!$P360),IF(AND(Sync!$P360&gt;=10000101,Sync!$P360&lt;=99991231),INT(Sync!$P360/10000),""),IFERROR(VALUE(TRIM(LEFT(Sync!$P360,FIND("/",Sync!$P360)-1))),"")))</f>
        <v/>
      </c>
      <c r="AG360">
        <f>IF(OR($AE360="",$AF360=""),"",IF(ISNUMBER(Sync!$P360),INT(MOD(Sync!$P360,10000)/100),IFERROR(VALUE(TRIM(LEFT(MID(Sync!$P360,FIND("/",Sync!$P360)+1,20),FIND("/",MID(Sync!$P360,FIND("/",Sync!$P360)+1,20))-1))),"")))</f>
        <v/>
      </c>
      <c r="AH360">
        <f>IF(OR($AE360="",$AF360=""),"",IF(ISNUMBER(Sync!$P360),MOD(Sync!$P360,100),IFERROR(VALUE(TRIM(MID(MID(Sync!$P360,FIND("/",Sync!$P360)+1,20),FIND("/",MID(Sync!$P360,FIND("/",Sync!$P360)+1,20))+1,20))),"")))</f>
        <v/>
      </c>
      <c r="AI360">
        <f>IF($AE360="","",IF(OR($AF360="",$AG360="",$AH360="",$AF360&lt;1300,$AF360&gt;1500,$AG360&lt;1,$AG360&gt;12,$AH360&lt;1,$AH360&gt;31),"نامعتبر",RIGHT("0000"&amp;$AF360,4)&amp;"/"&amp;RIGHT("00"&amp;$AG360,2)&amp;"/"&amp;RIGHT("00"&amp;$AH360,2)))</f>
        <v/>
      </c>
      <c r="AJ360">
        <f>IF($AE360="","",IF(Sync!$Q360="","0000",IF(AND(ISNUMBER(Sync!$Q360),Sync!$Q360&gt;=0,Sync!$Q360&lt;1),RIGHT("00"&amp;HOUR(Sync!$Q360),2)&amp;RIGHT("00"&amp;MINUTE(Sync!$Q360),2),IFERROR(RIGHT("00"&amp;VALUE(LEFT(Sync!$Q360,FIND(":",Sync!$Q360)-1)),2)&amp;RIGHT("00"&amp;VALUE(MID(Sync!$Q360,FIND(":",Sync!$Q360)+1,2)),2),"0000"))))</f>
        <v/>
      </c>
      <c r="AK360">
        <f>IF(OR($AE360="",$AI360="",$AI360="نامعتبر"),"",LEFT($AI360,4)&amp;MID($AI360,6,2)&amp;RIGHT($AI360,2)&amp;$AJ360&amp;"|"&amp;"3"&amp;RIGHT("00000"&amp;355,5))</f>
        <v/>
      </c>
      <c r="AL360">
        <f>IF($AK360="","",COUNTIFS(LdAParty,$AE360,LdAType,1,LdAKey,"&lt;"&amp;$AK360)+COUNTIFS(LdBMember,$AE360,LdBKey,"&lt;"&amp;$AK360)+COUNTIFS(LdCParty,$AE360,LdCKey,"&lt;"&amp;$AK360)+1)</f>
        <v/>
      </c>
      <c r="AM360">
        <f>IF($AL360="","",$AE360&amp;"|"&amp;RIGHT("000000"&amp;$AL360,6))</f>
        <v/>
      </c>
      <c r="AN360">
        <f>IF($AE360="","",IF(Sync!$W360="",0,Sync!$W360))</f>
        <v/>
      </c>
      <c r="AO360">
        <f>IF($AE360="","",IF(Sync!$X360="",0,Sync!$X360))</f>
        <v/>
      </c>
      <c r="AP360">
        <f>IF($AE360="","",Sync!$R360)</f>
        <v/>
      </c>
      <c r="AQ360">
        <f>IF($AE360="","",Sync!$Y360)</f>
        <v/>
      </c>
    </row>
    <row r="361">
      <c r="A361">
        <f>IF(OR(Wages!$B364="",Wages!$E364=""),"",Wages!$E364)</f>
        <v/>
      </c>
      <c r="B361">
        <f>IF($A361="","",IF(Wages!$C364="دستمزد گروهی",2,1))</f>
        <v/>
      </c>
      <c r="C361">
        <f>IF($A361="","",IF(ISNUMBER(Wages!$B364),IF(AND(Wages!$B364&gt;=10000101,Wages!$B364&lt;=99991231),INT(Wages!$B364/10000),""),IFERROR(VALUE(TRIM(LEFT(Wages!$B364,FIND("/",Wages!$B364)-1))),"")))</f>
        <v/>
      </c>
      <c r="D361">
        <f>IF(OR($A361="",$C361=""),"",IF(ISNUMBER(Wages!$B364),INT(MOD(Wages!$B364,10000)/100),IFERROR(VALUE(TRIM(LEFT(MID(Wages!$B364,FIND("/",Wages!$B364)+1,20),FIND("/",MID(Wages!$B364,FIND("/",Wages!$B364)+1,20))-1))),"")))</f>
        <v/>
      </c>
      <c r="E361">
        <f>IF(OR($A361="",$C361=""),"",IF(ISNUMBER(Wages!$B364),MOD(Wages!$B364,100),IFERROR(VALUE(TRIM(MID(MID(Wages!$B364,FIND("/",Wages!$B364)+1,20),FIND("/",MID(Wages!$B364,FIND("/",Wages!$B364)+1,20))+1,20))),"")))</f>
        <v/>
      </c>
      <c r="F361">
        <f>IF($A361="","",IF(OR($C361="",$D361="",$E361="",$C361&lt;1300,$C361&gt;1500,$D361&lt;1,$D361&gt;12,$E361&lt;1,$E361&gt;31),"نامعتبر",RIGHT("0000"&amp;$C361,4)&amp;"/"&amp;RIGHT("00"&amp;$D361,2)&amp;"/"&amp;RIGHT("00"&amp;$E361,2)))</f>
        <v/>
      </c>
      <c r="G361">
        <f>IF(OR($A361="",$F361="",$F361="نامعتبر"),"",LEFT($F361,4)&amp;MID($F361,6,2)&amp;RIGHT($F361,2)&amp;"0000"&amp;"|"&amp;"1"&amp;RIGHT("00000"&amp;356,5))</f>
        <v/>
      </c>
      <c r="H361">
        <f>IF(OR($B361&lt;&gt;1,$G361=""),"",COUNTIFS(LdAParty,$A361,LdAType,1,LdAKey,"&lt;"&amp;$G361)+COUNTIFS(LdBMember,$A361,LdBKey,"&lt;"&amp;$G361)+COUNTIFS(LdCParty,$A361,LdCKey,"&lt;"&amp;$G361)+1)</f>
        <v/>
      </c>
      <c r="I361">
        <f>IF($H361="","",$A361&amp;"|"&amp;RIGHT("000000"&amp;$H361,6))</f>
        <v/>
      </c>
      <c r="J361">
        <f>IF(OR($B361&lt;&gt;2,$G361=""),"",COUNTIFS(LdAParty,$A361,LdAType,2,LdAKey,"&lt;"&amp;$G361)+1)</f>
        <v/>
      </c>
      <c r="K361">
        <f>IF($J361="","",$A361&amp;"|"&amp;RIGHT("000000"&amp;$J361,6))</f>
        <v/>
      </c>
      <c r="L361">
        <f>IF($A361="","",IF(Wages!$G364="",0,Wages!$G364))</f>
        <v/>
      </c>
      <c r="M361">
        <f>IF($A361="","",Wages!$J364)</f>
        <v/>
      </c>
      <c r="N361">
        <f>IF($A361="","",Wages!$D364)</f>
        <v/>
      </c>
      <c r="P361">
        <f>IF(OR(Shares!$B364="",Shares!$C364=""),"",Shares!$C364)</f>
        <v/>
      </c>
      <c r="Q361">
        <f>IF($P361="","",Shares!$B364)</f>
        <v/>
      </c>
      <c r="R361">
        <f>IF($P361="","",IFERROR(INDEX(WageParty,MATCH($Q361,WageIds,0)),""))</f>
        <v/>
      </c>
      <c r="S361">
        <f>IF($P361="","",IFERROR(INDEX($F$6:$F$2005,MATCH($Q361,WageIds,0)),""))</f>
        <v/>
      </c>
      <c r="T361">
        <f>IF(OR($P361="",$S361="",$S361="نامعتبر"),"",LEFT($S361,4)&amp;MID($S361,6,2)&amp;RIGHT($S361,2)&amp;"0000"&amp;"|"&amp;"2"&amp;RIGHT("00000"&amp;356,5))</f>
        <v/>
      </c>
      <c r="U361">
        <f>IF($T361="","",COUNTIFS(LdAParty,$P361,LdAType,1,LdAKey,"&lt;"&amp;$T361)+COUNTIFS(LdBMember,$P361,LdBKey,"&lt;"&amp;$T361)+COUNTIFS(LdCParty,$P361,LdCKey,"&lt;"&amp;$T361)+1)</f>
        <v/>
      </c>
      <c r="V361">
        <f>IF($U361="","",$P361&amp;"|"&amp;RIGHT("000000"&amp;$U361,6))</f>
        <v/>
      </c>
      <c r="W361">
        <f>IF($T361="","",COUNTIFS(LdBGroup,$R361,LdBKey,"&lt;"&amp;$T361)+1)</f>
        <v/>
      </c>
      <c r="X361">
        <f>IF($W361="","",$R361&amp;"|"&amp;RIGHT("000000"&amp;$W361,6))</f>
        <v/>
      </c>
      <c r="Y361">
        <f>IF($P361="","",IF(Shares!$E364="",0,Shares!$E364))</f>
        <v/>
      </c>
      <c r="Z361">
        <f>IF($P361="","",Shares!$H364)</f>
        <v/>
      </c>
      <c r="AE361">
        <f>IF(OR(Sync!$S361="",Sync!$P361=""),"",Sync!$S361)</f>
        <v/>
      </c>
      <c r="AF361">
        <f>IF($AE361="","",IF(ISNUMBER(Sync!$P361),IF(AND(Sync!$P361&gt;=10000101,Sync!$P361&lt;=99991231),INT(Sync!$P361/10000),""),IFERROR(VALUE(TRIM(LEFT(Sync!$P361,FIND("/",Sync!$P361)-1))),"")))</f>
        <v/>
      </c>
      <c r="AG361">
        <f>IF(OR($AE361="",$AF361=""),"",IF(ISNUMBER(Sync!$P361),INT(MOD(Sync!$P361,10000)/100),IFERROR(VALUE(TRIM(LEFT(MID(Sync!$P361,FIND("/",Sync!$P361)+1,20),FIND("/",MID(Sync!$P361,FIND("/",Sync!$P361)+1,20))-1))),"")))</f>
        <v/>
      </c>
      <c r="AH361">
        <f>IF(OR($AE361="",$AF361=""),"",IF(ISNUMBER(Sync!$P361),MOD(Sync!$P361,100),IFERROR(VALUE(TRIM(MID(MID(Sync!$P361,FIND("/",Sync!$P361)+1,20),FIND("/",MID(Sync!$P361,FIND("/",Sync!$P361)+1,20))+1,20))),"")))</f>
        <v/>
      </c>
      <c r="AI361">
        <f>IF($AE361="","",IF(OR($AF361="",$AG361="",$AH361="",$AF361&lt;1300,$AF361&gt;1500,$AG361&lt;1,$AG361&gt;12,$AH361&lt;1,$AH361&gt;31),"نامعتبر",RIGHT("0000"&amp;$AF361,4)&amp;"/"&amp;RIGHT("00"&amp;$AG361,2)&amp;"/"&amp;RIGHT("00"&amp;$AH361,2)))</f>
        <v/>
      </c>
      <c r="AJ361">
        <f>IF($AE361="","",IF(Sync!$Q361="","0000",IF(AND(ISNUMBER(Sync!$Q361),Sync!$Q361&gt;=0,Sync!$Q361&lt;1),RIGHT("00"&amp;HOUR(Sync!$Q361),2)&amp;RIGHT("00"&amp;MINUTE(Sync!$Q361),2),IFERROR(RIGHT("00"&amp;VALUE(LEFT(Sync!$Q361,FIND(":",Sync!$Q361)-1)),2)&amp;RIGHT("00"&amp;VALUE(MID(Sync!$Q361,FIND(":",Sync!$Q361)+1,2)),2),"0000"))))</f>
        <v/>
      </c>
      <c r="AK361">
        <f>IF(OR($AE361="",$AI361="",$AI361="نامعتبر"),"",LEFT($AI361,4)&amp;MID($AI361,6,2)&amp;RIGHT($AI361,2)&amp;$AJ361&amp;"|"&amp;"3"&amp;RIGHT("00000"&amp;356,5))</f>
        <v/>
      </c>
      <c r="AL361">
        <f>IF($AK361="","",COUNTIFS(LdAParty,$AE361,LdAType,1,LdAKey,"&lt;"&amp;$AK361)+COUNTIFS(LdBMember,$AE361,LdBKey,"&lt;"&amp;$AK361)+COUNTIFS(LdCParty,$AE361,LdCKey,"&lt;"&amp;$AK361)+1)</f>
        <v/>
      </c>
      <c r="AM361">
        <f>IF($AL361="","",$AE361&amp;"|"&amp;RIGHT("000000"&amp;$AL361,6))</f>
        <v/>
      </c>
      <c r="AN361">
        <f>IF($AE361="","",IF(Sync!$W361="",0,Sync!$W361))</f>
        <v/>
      </c>
      <c r="AO361">
        <f>IF($AE361="","",IF(Sync!$X361="",0,Sync!$X361))</f>
        <v/>
      </c>
      <c r="AP361">
        <f>IF($AE361="","",Sync!$R361)</f>
        <v/>
      </c>
      <c r="AQ361">
        <f>IF($AE361="","",Sync!$Y361)</f>
        <v/>
      </c>
    </row>
    <row r="362">
      <c r="A362">
        <f>IF(OR(Wages!$B365="",Wages!$E365=""),"",Wages!$E365)</f>
        <v/>
      </c>
      <c r="B362">
        <f>IF($A362="","",IF(Wages!$C365="دستمزد گروهی",2,1))</f>
        <v/>
      </c>
      <c r="C362">
        <f>IF($A362="","",IF(ISNUMBER(Wages!$B365),IF(AND(Wages!$B365&gt;=10000101,Wages!$B365&lt;=99991231),INT(Wages!$B365/10000),""),IFERROR(VALUE(TRIM(LEFT(Wages!$B365,FIND("/",Wages!$B365)-1))),"")))</f>
        <v/>
      </c>
      <c r="D362">
        <f>IF(OR($A362="",$C362=""),"",IF(ISNUMBER(Wages!$B365),INT(MOD(Wages!$B365,10000)/100),IFERROR(VALUE(TRIM(LEFT(MID(Wages!$B365,FIND("/",Wages!$B365)+1,20),FIND("/",MID(Wages!$B365,FIND("/",Wages!$B365)+1,20))-1))),"")))</f>
        <v/>
      </c>
      <c r="E362">
        <f>IF(OR($A362="",$C362=""),"",IF(ISNUMBER(Wages!$B365),MOD(Wages!$B365,100),IFERROR(VALUE(TRIM(MID(MID(Wages!$B365,FIND("/",Wages!$B365)+1,20),FIND("/",MID(Wages!$B365,FIND("/",Wages!$B365)+1,20))+1,20))),"")))</f>
        <v/>
      </c>
      <c r="F362">
        <f>IF($A362="","",IF(OR($C362="",$D362="",$E362="",$C362&lt;1300,$C362&gt;1500,$D362&lt;1,$D362&gt;12,$E362&lt;1,$E362&gt;31),"نامعتبر",RIGHT("0000"&amp;$C362,4)&amp;"/"&amp;RIGHT("00"&amp;$D362,2)&amp;"/"&amp;RIGHT("00"&amp;$E362,2)))</f>
        <v/>
      </c>
      <c r="G362">
        <f>IF(OR($A362="",$F362="",$F362="نامعتبر"),"",LEFT($F362,4)&amp;MID($F362,6,2)&amp;RIGHT($F362,2)&amp;"0000"&amp;"|"&amp;"1"&amp;RIGHT("00000"&amp;357,5))</f>
        <v/>
      </c>
      <c r="H362">
        <f>IF(OR($B362&lt;&gt;1,$G362=""),"",COUNTIFS(LdAParty,$A362,LdAType,1,LdAKey,"&lt;"&amp;$G362)+COUNTIFS(LdBMember,$A362,LdBKey,"&lt;"&amp;$G362)+COUNTIFS(LdCParty,$A362,LdCKey,"&lt;"&amp;$G362)+1)</f>
        <v/>
      </c>
      <c r="I362">
        <f>IF($H362="","",$A362&amp;"|"&amp;RIGHT("000000"&amp;$H362,6))</f>
        <v/>
      </c>
      <c r="J362">
        <f>IF(OR($B362&lt;&gt;2,$G362=""),"",COUNTIFS(LdAParty,$A362,LdAType,2,LdAKey,"&lt;"&amp;$G362)+1)</f>
        <v/>
      </c>
      <c r="K362">
        <f>IF($J362="","",$A362&amp;"|"&amp;RIGHT("000000"&amp;$J362,6))</f>
        <v/>
      </c>
      <c r="L362">
        <f>IF($A362="","",IF(Wages!$G365="",0,Wages!$G365))</f>
        <v/>
      </c>
      <c r="M362">
        <f>IF($A362="","",Wages!$J365)</f>
        <v/>
      </c>
      <c r="N362">
        <f>IF($A362="","",Wages!$D365)</f>
        <v/>
      </c>
      <c r="P362">
        <f>IF(OR(Shares!$B365="",Shares!$C365=""),"",Shares!$C365)</f>
        <v/>
      </c>
      <c r="Q362">
        <f>IF($P362="","",Shares!$B365)</f>
        <v/>
      </c>
      <c r="R362">
        <f>IF($P362="","",IFERROR(INDEX(WageParty,MATCH($Q362,WageIds,0)),""))</f>
        <v/>
      </c>
      <c r="S362">
        <f>IF($P362="","",IFERROR(INDEX($F$6:$F$2005,MATCH($Q362,WageIds,0)),""))</f>
        <v/>
      </c>
      <c r="T362">
        <f>IF(OR($P362="",$S362="",$S362="نامعتبر"),"",LEFT($S362,4)&amp;MID($S362,6,2)&amp;RIGHT($S362,2)&amp;"0000"&amp;"|"&amp;"2"&amp;RIGHT("00000"&amp;357,5))</f>
        <v/>
      </c>
      <c r="U362">
        <f>IF($T362="","",COUNTIFS(LdAParty,$P362,LdAType,1,LdAKey,"&lt;"&amp;$T362)+COUNTIFS(LdBMember,$P362,LdBKey,"&lt;"&amp;$T362)+COUNTIFS(LdCParty,$P362,LdCKey,"&lt;"&amp;$T362)+1)</f>
        <v/>
      </c>
      <c r="V362">
        <f>IF($U362="","",$P362&amp;"|"&amp;RIGHT("000000"&amp;$U362,6))</f>
        <v/>
      </c>
      <c r="W362">
        <f>IF($T362="","",COUNTIFS(LdBGroup,$R362,LdBKey,"&lt;"&amp;$T362)+1)</f>
        <v/>
      </c>
      <c r="X362">
        <f>IF($W362="","",$R362&amp;"|"&amp;RIGHT("000000"&amp;$W362,6))</f>
        <v/>
      </c>
      <c r="Y362">
        <f>IF($P362="","",IF(Shares!$E365="",0,Shares!$E365))</f>
        <v/>
      </c>
      <c r="Z362">
        <f>IF($P362="","",Shares!$H365)</f>
        <v/>
      </c>
      <c r="AE362">
        <f>IF(OR(Sync!$S362="",Sync!$P362=""),"",Sync!$S362)</f>
        <v/>
      </c>
      <c r="AF362">
        <f>IF($AE362="","",IF(ISNUMBER(Sync!$P362),IF(AND(Sync!$P362&gt;=10000101,Sync!$P362&lt;=99991231),INT(Sync!$P362/10000),""),IFERROR(VALUE(TRIM(LEFT(Sync!$P362,FIND("/",Sync!$P362)-1))),"")))</f>
        <v/>
      </c>
      <c r="AG362">
        <f>IF(OR($AE362="",$AF362=""),"",IF(ISNUMBER(Sync!$P362),INT(MOD(Sync!$P362,10000)/100),IFERROR(VALUE(TRIM(LEFT(MID(Sync!$P362,FIND("/",Sync!$P362)+1,20),FIND("/",MID(Sync!$P362,FIND("/",Sync!$P362)+1,20))-1))),"")))</f>
        <v/>
      </c>
      <c r="AH362">
        <f>IF(OR($AE362="",$AF362=""),"",IF(ISNUMBER(Sync!$P362),MOD(Sync!$P362,100),IFERROR(VALUE(TRIM(MID(MID(Sync!$P362,FIND("/",Sync!$P362)+1,20),FIND("/",MID(Sync!$P362,FIND("/",Sync!$P362)+1,20))+1,20))),"")))</f>
        <v/>
      </c>
      <c r="AI362">
        <f>IF($AE362="","",IF(OR($AF362="",$AG362="",$AH362="",$AF362&lt;1300,$AF362&gt;1500,$AG362&lt;1,$AG362&gt;12,$AH362&lt;1,$AH362&gt;31),"نامعتبر",RIGHT("0000"&amp;$AF362,4)&amp;"/"&amp;RIGHT("00"&amp;$AG362,2)&amp;"/"&amp;RIGHT("00"&amp;$AH362,2)))</f>
        <v/>
      </c>
      <c r="AJ362">
        <f>IF($AE362="","",IF(Sync!$Q362="","0000",IF(AND(ISNUMBER(Sync!$Q362),Sync!$Q362&gt;=0,Sync!$Q362&lt;1),RIGHT("00"&amp;HOUR(Sync!$Q362),2)&amp;RIGHT("00"&amp;MINUTE(Sync!$Q362),2),IFERROR(RIGHT("00"&amp;VALUE(LEFT(Sync!$Q362,FIND(":",Sync!$Q362)-1)),2)&amp;RIGHT("00"&amp;VALUE(MID(Sync!$Q362,FIND(":",Sync!$Q362)+1,2)),2),"0000"))))</f>
        <v/>
      </c>
      <c r="AK362">
        <f>IF(OR($AE362="",$AI362="",$AI362="نامعتبر"),"",LEFT($AI362,4)&amp;MID($AI362,6,2)&amp;RIGHT($AI362,2)&amp;$AJ362&amp;"|"&amp;"3"&amp;RIGHT("00000"&amp;357,5))</f>
        <v/>
      </c>
      <c r="AL362">
        <f>IF($AK362="","",COUNTIFS(LdAParty,$AE362,LdAType,1,LdAKey,"&lt;"&amp;$AK362)+COUNTIFS(LdBMember,$AE362,LdBKey,"&lt;"&amp;$AK362)+COUNTIFS(LdCParty,$AE362,LdCKey,"&lt;"&amp;$AK362)+1)</f>
        <v/>
      </c>
      <c r="AM362">
        <f>IF($AL362="","",$AE362&amp;"|"&amp;RIGHT("000000"&amp;$AL362,6))</f>
        <v/>
      </c>
      <c r="AN362">
        <f>IF($AE362="","",IF(Sync!$W362="",0,Sync!$W362))</f>
        <v/>
      </c>
      <c r="AO362">
        <f>IF($AE362="","",IF(Sync!$X362="",0,Sync!$X362))</f>
        <v/>
      </c>
      <c r="AP362">
        <f>IF($AE362="","",Sync!$R362)</f>
        <v/>
      </c>
      <c r="AQ362">
        <f>IF($AE362="","",Sync!$Y362)</f>
        <v/>
      </c>
    </row>
    <row r="363">
      <c r="A363">
        <f>IF(OR(Wages!$B366="",Wages!$E366=""),"",Wages!$E366)</f>
        <v/>
      </c>
      <c r="B363">
        <f>IF($A363="","",IF(Wages!$C366="دستمزد گروهی",2,1))</f>
        <v/>
      </c>
      <c r="C363">
        <f>IF($A363="","",IF(ISNUMBER(Wages!$B366),IF(AND(Wages!$B366&gt;=10000101,Wages!$B366&lt;=99991231),INT(Wages!$B366/10000),""),IFERROR(VALUE(TRIM(LEFT(Wages!$B366,FIND("/",Wages!$B366)-1))),"")))</f>
        <v/>
      </c>
      <c r="D363">
        <f>IF(OR($A363="",$C363=""),"",IF(ISNUMBER(Wages!$B366),INT(MOD(Wages!$B366,10000)/100),IFERROR(VALUE(TRIM(LEFT(MID(Wages!$B366,FIND("/",Wages!$B366)+1,20),FIND("/",MID(Wages!$B366,FIND("/",Wages!$B366)+1,20))-1))),"")))</f>
        <v/>
      </c>
      <c r="E363">
        <f>IF(OR($A363="",$C363=""),"",IF(ISNUMBER(Wages!$B366),MOD(Wages!$B366,100),IFERROR(VALUE(TRIM(MID(MID(Wages!$B366,FIND("/",Wages!$B366)+1,20),FIND("/",MID(Wages!$B366,FIND("/",Wages!$B366)+1,20))+1,20))),"")))</f>
        <v/>
      </c>
      <c r="F363">
        <f>IF($A363="","",IF(OR($C363="",$D363="",$E363="",$C363&lt;1300,$C363&gt;1500,$D363&lt;1,$D363&gt;12,$E363&lt;1,$E363&gt;31),"نامعتبر",RIGHT("0000"&amp;$C363,4)&amp;"/"&amp;RIGHT("00"&amp;$D363,2)&amp;"/"&amp;RIGHT("00"&amp;$E363,2)))</f>
        <v/>
      </c>
      <c r="G363">
        <f>IF(OR($A363="",$F363="",$F363="نامعتبر"),"",LEFT($F363,4)&amp;MID($F363,6,2)&amp;RIGHT($F363,2)&amp;"0000"&amp;"|"&amp;"1"&amp;RIGHT("00000"&amp;358,5))</f>
        <v/>
      </c>
      <c r="H363">
        <f>IF(OR($B363&lt;&gt;1,$G363=""),"",COUNTIFS(LdAParty,$A363,LdAType,1,LdAKey,"&lt;"&amp;$G363)+COUNTIFS(LdBMember,$A363,LdBKey,"&lt;"&amp;$G363)+COUNTIFS(LdCParty,$A363,LdCKey,"&lt;"&amp;$G363)+1)</f>
        <v/>
      </c>
      <c r="I363">
        <f>IF($H363="","",$A363&amp;"|"&amp;RIGHT("000000"&amp;$H363,6))</f>
        <v/>
      </c>
      <c r="J363">
        <f>IF(OR($B363&lt;&gt;2,$G363=""),"",COUNTIFS(LdAParty,$A363,LdAType,2,LdAKey,"&lt;"&amp;$G363)+1)</f>
        <v/>
      </c>
      <c r="K363">
        <f>IF($J363="","",$A363&amp;"|"&amp;RIGHT("000000"&amp;$J363,6))</f>
        <v/>
      </c>
      <c r="L363">
        <f>IF($A363="","",IF(Wages!$G366="",0,Wages!$G366))</f>
        <v/>
      </c>
      <c r="M363">
        <f>IF($A363="","",Wages!$J366)</f>
        <v/>
      </c>
      <c r="N363">
        <f>IF($A363="","",Wages!$D366)</f>
        <v/>
      </c>
      <c r="P363">
        <f>IF(OR(Shares!$B366="",Shares!$C366=""),"",Shares!$C366)</f>
        <v/>
      </c>
      <c r="Q363">
        <f>IF($P363="","",Shares!$B366)</f>
        <v/>
      </c>
      <c r="R363">
        <f>IF($P363="","",IFERROR(INDEX(WageParty,MATCH($Q363,WageIds,0)),""))</f>
        <v/>
      </c>
      <c r="S363">
        <f>IF($P363="","",IFERROR(INDEX($F$6:$F$2005,MATCH($Q363,WageIds,0)),""))</f>
        <v/>
      </c>
      <c r="T363">
        <f>IF(OR($P363="",$S363="",$S363="نامعتبر"),"",LEFT($S363,4)&amp;MID($S363,6,2)&amp;RIGHT($S363,2)&amp;"0000"&amp;"|"&amp;"2"&amp;RIGHT("00000"&amp;358,5))</f>
        <v/>
      </c>
      <c r="U363">
        <f>IF($T363="","",COUNTIFS(LdAParty,$P363,LdAType,1,LdAKey,"&lt;"&amp;$T363)+COUNTIFS(LdBMember,$P363,LdBKey,"&lt;"&amp;$T363)+COUNTIFS(LdCParty,$P363,LdCKey,"&lt;"&amp;$T363)+1)</f>
        <v/>
      </c>
      <c r="V363">
        <f>IF($U363="","",$P363&amp;"|"&amp;RIGHT("000000"&amp;$U363,6))</f>
        <v/>
      </c>
      <c r="W363">
        <f>IF($T363="","",COUNTIFS(LdBGroup,$R363,LdBKey,"&lt;"&amp;$T363)+1)</f>
        <v/>
      </c>
      <c r="X363">
        <f>IF($W363="","",$R363&amp;"|"&amp;RIGHT("000000"&amp;$W363,6))</f>
        <v/>
      </c>
      <c r="Y363">
        <f>IF($P363="","",IF(Shares!$E366="",0,Shares!$E366))</f>
        <v/>
      </c>
      <c r="Z363">
        <f>IF($P363="","",Shares!$H366)</f>
        <v/>
      </c>
      <c r="AE363">
        <f>IF(OR(Sync!$S363="",Sync!$P363=""),"",Sync!$S363)</f>
        <v/>
      </c>
      <c r="AF363">
        <f>IF($AE363="","",IF(ISNUMBER(Sync!$P363),IF(AND(Sync!$P363&gt;=10000101,Sync!$P363&lt;=99991231),INT(Sync!$P363/10000),""),IFERROR(VALUE(TRIM(LEFT(Sync!$P363,FIND("/",Sync!$P363)-1))),"")))</f>
        <v/>
      </c>
      <c r="AG363">
        <f>IF(OR($AE363="",$AF363=""),"",IF(ISNUMBER(Sync!$P363),INT(MOD(Sync!$P363,10000)/100),IFERROR(VALUE(TRIM(LEFT(MID(Sync!$P363,FIND("/",Sync!$P363)+1,20),FIND("/",MID(Sync!$P363,FIND("/",Sync!$P363)+1,20))-1))),"")))</f>
        <v/>
      </c>
      <c r="AH363">
        <f>IF(OR($AE363="",$AF363=""),"",IF(ISNUMBER(Sync!$P363),MOD(Sync!$P363,100),IFERROR(VALUE(TRIM(MID(MID(Sync!$P363,FIND("/",Sync!$P363)+1,20),FIND("/",MID(Sync!$P363,FIND("/",Sync!$P363)+1,20))+1,20))),"")))</f>
        <v/>
      </c>
      <c r="AI363">
        <f>IF($AE363="","",IF(OR($AF363="",$AG363="",$AH363="",$AF363&lt;1300,$AF363&gt;1500,$AG363&lt;1,$AG363&gt;12,$AH363&lt;1,$AH363&gt;31),"نامعتبر",RIGHT("0000"&amp;$AF363,4)&amp;"/"&amp;RIGHT("00"&amp;$AG363,2)&amp;"/"&amp;RIGHT("00"&amp;$AH363,2)))</f>
        <v/>
      </c>
      <c r="AJ363">
        <f>IF($AE363="","",IF(Sync!$Q363="","0000",IF(AND(ISNUMBER(Sync!$Q363),Sync!$Q363&gt;=0,Sync!$Q363&lt;1),RIGHT("00"&amp;HOUR(Sync!$Q363),2)&amp;RIGHT("00"&amp;MINUTE(Sync!$Q363),2),IFERROR(RIGHT("00"&amp;VALUE(LEFT(Sync!$Q363,FIND(":",Sync!$Q363)-1)),2)&amp;RIGHT("00"&amp;VALUE(MID(Sync!$Q363,FIND(":",Sync!$Q363)+1,2)),2),"0000"))))</f>
        <v/>
      </c>
      <c r="AK363">
        <f>IF(OR($AE363="",$AI363="",$AI363="نامعتبر"),"",LEFT($AI363,4)&amp;MID($AI363,6,2)&amp;RIGHT($AI363,2)&amp;$AJ363&amp;"|"&amp;"3"&amp;RIGHT("00000"&amp;358,5))</f>
        <v/>
      </c>
      <c r="AL363">
        <f>IF($AK363="","",COUNTIFS(LdAParty,$AE363,LdAType,1,LdAKey,"&lt;"&amp;$AK363)+COUNTIFS(LdBMember,$AE363,LdBKey,"&lt;"&amp;$AK363)+COUNTIFS(LdCParty,$AE363,LdCKey,"&lt;"&amp;$AK363)+1)</f>
        <v/>
      </c>
      <c r="AM363">
        <f>IF($AL363="","",$AE363&amp;"|"&amp;RIGHT("000000"&amp;$AL363,6))</f>
        <v/>
      </c>
      <c r="AN363">
        <f>IF($AE363="","",IF(Sync!$W363="",0,Sync!$W363))</f>
        <v/>
      </c>
      <c r="AO363">
        <f>IF($AE363="","",IF(Sync!$X363="",0,Sync!$X363))</f>
        <v/>
      </c>
      <c r="AP363">
        <f>IF($AE363="","",Sync!$R363)</f>
        <v/>
      </c>
      <c r="AQ363">
        <f>IF($AE363="","",Sync!$Y363)</f>
        <v/>
      </c>
    </row>
    <row r="364">
      <c r="A364">
        <f>IF(OR(Wages!$B367="",Wages!$E367=""),"",Wages!$E367)</f>
        <v/>
      </c>
      <c r="B364">
        <f>IF($A364="","",IF(Wages!$C367="دستمزد گروهی",2,1))</f>
        <v/>
      </c>
      <c r="C364">
        <f>IF($A364="","",IF(ISNUMBER(Wages!$B367),IF(AND(Wages!$B367&gt;=10000101,Wages!$B367&lt;=99991231),INT(Wages!$B367/10000),""),IFERROR(VALUE(TRIM(LEFT(Wages!$B367,FIND("/",Wages!$B367)-1))),"")))</f>
        <v/>
      </c>
      <c r="D364">
        <f>IF(OR($A364="",$C364=""),"",IF(ISNUMBER(Wages!$B367),INT(MOD(Wages!$B367,10000)/100),IFERROR(VALUE(TRIM(LEFT(MID(Wages!$B367,FIND("/",Wages!$B367)+1,20),FIND("/",MID(Wages!$B367,FIND("/",Wages!$B367)+1,20))-1))),"")))</f>
        <v/>
      </c>
      <c r="E364">
        <f>IF(OR($A364="",$C364=""),"",IF(ISNUMBER(Wages!$B367),MOD(Wages!$B367,100),IFERROR(VALUE(TRIM(MID(MID(Wages!$B367,FIND("/",Wages!$B367)+1,20),FIND("/",MID(Wages!$B367,FIND("/",Wages!$B367)+1,20))+1,20))),"")))</f>
        <v/>
      </c>
      <c r="F364">
        <f>IF($A364="","",IF(OR($C364="",$D364="",$E364="",$C364&lt;1300,$C364&gt;1500,$D364&lt;1,$D364&gt;12,$E364&lt;1,$E364&gt;31),"نامعتبر",RIGHT("0000"&amp;$C364,4)&amp;"/"&amp;RIGHT("00"&amp;$D364,2)&amp;"/"&amp;RIGHT("00"&amp;$E364,2)))</f>
        <v/>
      </c>
      <c r="G364">
        <f>IF(OR($A364="",$F364="",$F364="نامعتبر"),"",LEFT($F364,4)&amp;MID($F364,6,2)&amp;RIGHT($F364,2)&amp;"0000"&amp;"|"&amp;"1"&amp;RIGHT("00000"&amp;359,5))</f>
        <v/>
      </c>
      <c r="H364">
        <f>IF(OR($B364&lt;&gt;1,$G364=""),"",COUNTIFS(LdAParty,$A364,LdAType,1,LdAKey,"&lt;"&amp;$G364)+COUNTIFS(LdBMember,$A364,LdBKey,"&lt;"&amp;$G364)+COUNTIFS(LdCParty,$A364,LdCKey,"&lt;"&amp;$G364)+1)</f>
        <v/>
      </c>
      <c r="I364">
        <f>IF($H364="","",$A364&amp;"|"&amp;RIGHT("000000"&amp;$H364,6))</f>
        <v/>
      </c>
      <c r="J364">
        <f>IF(OR($B364&lt;&gt;2,$G364=""),"",COUNTIFS(LdAParty,$A364,LdAType,2,LdAKey,"&lt;"&amp;$G364)+1)</f>
        <v/>
      </c>
      <c r="K364">
        <f>IF($J364="","",$A364&amp;"|"&amp;RIGHT("000000"&amp;$J364,6))</f>
        <v/>
      </c>
      <c r="L364">
        <f>IF($A364="","",IF(Wages!$G367="",0,Wages!$G367))</f>
        <v/>
      </c>
      <c r="M364">
        <f>IF($A364="","",Wages!$J367)</f>
        <v/>
      </c>
      <c r="N364">
        <f>IF($A364="","",Wages!$D367)</f>
        <v/>
      </c>
      <c r="P364">
        <f>IF(OR(Shares!$B367="",Shares!$C367=""),"",Shares!$C367)</f>
        <v/>
      </c>
      <c r="Q364">
        <f>IF($P364="","",Shares!$B367)</f>
        <v/>
      </c>
      <c r="R364">
        <f>IF($P364="","",IFERROR(INDEX(WageParty,MATCH($Q364,WageIds,0)),""))</f>
        <v/>
      </c>
      <c r="S364">
        <f>IF($P364="","",IFERROR(INDEX($F$6:$F$2005,MATCH($Q364,WageIds,0)),""))</f>
        <v/>
      </c>
      <c r="T364">
        <f>IF(OR($P364="",$S364="",$S364="نامعتبر"),"",LEFT($S364,4)&amp;MID($S364,6,2)&amp;RIGHT($S364,2)&amp;"0000"&amp;"|"&amp;"2"&amp;RIGHT("00000"&amp;359,5))</f>
        <v/>
      </c>
      <c r="U364">
        <f>IF($T364="","",COUNTIFS(LdAParty,$P364,LdAType,1,LdAKey,"&lt;"&amp;$T364)+COUNTIFS(LdBMember,$P364,LdBKey,"&lt;"&amp;$T364)+COUNTIFS(LdCParty,$P364,LdCKey,"&lt;"&amp;$T364)+1)</f>
        <v/>
      </c>
      <c r="V364">
        <f>IF($U364="","",$P364&amp;"|"&amp;RIGHT("000000"&amp;$U364,6))</f>
        <v/>
      </c>
      <c r="W364">
        <f>IF($T364="","",COUNTIFS(LdBGroup,$R364,LdBKey,"&lt;"&amp;$T364)+1)</f>
        <v/>
      </c>
      <c r="X364">
        <f>IF($W364="","",$R364&amp;"|"&amp;RIGHT("000000"&amp;$W364,6))</f>
        <v/>
      </c>
      <c r="Y364">
        <f>IF($P364="","",IF(Shares!$E367="",0,Shares!$E367))</f>
        <v/>
      </c>
      <c r="Z364">
        <f>IF($P364="","",Shares!$H367)</f>
        <v/>
      </c>
      <c r="AE364">
        <f>IF(OR(Sync!$S364="",Sync!$P364=""),"",Sync!$S364)</f>
        <v/>
      </c>
      <c r="AF364">
        <f>IF($AE364="","",IF(ISNUMBER(Sync!$P364),IF(AND(Sync!$P364&gt;=10000101,Sync!$P364&lt;=99991231),INT(Sync!$P364/10000),""),IFERROR(VALUE(TRIM(LEFT(Sync!$P364,FIND("/",Sync!$P364)-1))),"")))</f>
        <v/>
      </c>
      <c r="AG364">
        <f>IF(OR($AE364="",$AF364=""),"",IF(ISNUMBER(Sync!$P364),INT(MOD(Sync!$P364,10000)/100),IFERROR(VALUE(TRIM(LEFT(MID(Sync!$P364,FIND("/",Sync!$P364)+1,20),FIND("/",MID(Sync!$P364,FIND("/",Sync!$P364)+1,20))-1))),"")))</f>
        <v/>
      </c>
      <c r="AH364">
        <f>IF(OR($AE364="",$AF364=""),"",IF(ISNUMBER(Sync!$P364),MOD(Sync!$P364,100),IFERROR(VALUE(TRIM(MID(MID(Sync!$P364,FIND("/",Sync!$P364)+1,20),FIND("/",MID(Sync!$P364,FIND("/",Sync!$P364)+1,20))+1,20))),"")))</f>
        <v/>
      </c>
      <c r="AI364">
        <f>IF($AE364="","",IF(OR($AF364="",$AG364="",$AH364="",$AF364&lt;1300,$AF364&gt;1500,$AG364&lt;1,$AG364&gt;12,$AH364&lt;1,$AH364&gt;31),"نامعتبر",RIGHT("0000"&amp;$AF364,4)&amp;"/"&amp;RIGHT("00"&amp;$AG364,2)&amp;"/"&amp;RIGHT("00"&amp;$AH364,2)))</f>
        <v/>
      </c>
      <c r="AJ364">
        <f>IF($AE364="","",IF(Sync!$Q364="","0000",IF(AND(ISNUMBER(Sync!$Q364),Sync!$Q364&gt;=0,Sync!$Q364&lt;1),RIGHT("00"&amp;HOUR(Sync!$Q364),2)&amp;RIGHT("00"&amp;MINUTE(Sync!$Q364),2),IFERROR(RIGHT("00"&amp;VALUE(LEFT(Sync!$Q364,FIND(":",Sync!$Q364)-1)),2)&amp;RIGHT("00"&amp;VALUE(MID(Sync!$Q364,FIND(":",Sync!$Q364)+1,2)),2),"0000"))))</f>
        <v/>
      </c>
      <c r="AK364">
        <f>IF(OR($AE364="",$AI364="",$AI364="نامعتبر"),"",LEFT($AI364,4)&amp;MID($AI364,6,2)&amp;RIGHT($AI364,2)&amp;$AJ364&amp;"|"&amp;"3"&amp;RIGHT("00000"&amp;359,5))</f>
        <v/>
      </c>
      <c r="AL364">
        <f>IF($AK364="","",COUNTIFS(LdAParty,$AE364,LdAType,1,LdAKey,"&lt;"&amp;$AK364)+COUNTIFS(LdBMember,$AE364,LdBKey,"&lt;"&amp;$AK364)+COUNTIFS(LdCParty,$AE364,LdCKey,"&lt;"&amp;$AK364)+1)</f>
        <v/>
      </c>
      <c r="AM364">
        <f>IF($AL364="","",$AE364&amp;"|"&amp;RIGHT("000000"&amp;$AL364,6))</f>
        <v/>
      </c>
      <c r="AN364">
        <f>IF($AE364="","",IF(Sync!$W364="",0,Sync!$W364))</f>
        <v/>
      </c>
      <c r="AO364">
        <f>IF($AE364="","",IF(Sync!$X364="",0,Sync!$X364))</f>
        <v/>
      </c>
      <c r="AP364">
        <f>IF($AE364="","",Sync!$R364)</f>
        <v/>
      </c>
      <c r="AQ364">
        <f>IF($AE364="","",Sync!$Y364)</f>
        <v/>
      </c>
    </row>
    <row r="365">
      <c r="A365">
        <f>IF(OR(Wages!$B368="",Wages!$E368=""),"",Wages!$E368)</f>
        <v/>
      </c>
      <c r="B365">
        <f>IF($A365="","",IF(Wages!$C368="دستمزد گروهی",2,1))</f>
        <v/>
      </c>
      <c r="C365">
        <f>IF($A365="","",IF(ISNUMBER(Wages!$B368),IF(AND(Wages!$B368&gt;=10000101,Wages!$B368&lt;=99991231),INT(Wages!$B368/10000),""),IFERROR(VALUE(TRIM(LEFT(Wages!$B368,FIND("/",Wages!$B368)-1))),"")))</f>
        <v/>
      </c>
      <c r="D365">
        <f>IF(OR($A365="",$C365=""),"",IF(ISNUMBER(Wages!$B368),INT(MOD(Wages!$B368,10000)/100),IFERROR(VALUE(TRIM(LEFT(MID(Wages!$B368,FIND("/",Wages!$B368)+1,20),FIND("/",MID(Wages!$B368,FIND("/",Wages!$B368)+1,20))-1))),"")))</f>
        <v/>
      </c>
      <c r="E365">
        <f>IF(OR($A365="",$C365=""),"",IF(ISNUMBER(Wages!$B368),MOD(Wages!$B368,100),IFERROR(VALUE(TRIM(MID(MID(Wages!$B368,FIND("/",Wages!$B368)+1,20),FIND("/",MID(Wages!$B368,FIND("/",Wages!$B368)+1,20))+1,20))),"")))</f>
        <v/>
      </c>
      <c r="F365">
        <f>IF($A365="","",IF(OR($C365="",$D365="",$E365="",$C365&lt;1300,$C365&gt;1500,$D365&lt;1,$D365&gt;12,$E365&lt;1,$E365&gt;31),"نامعتبر",RIGHT("0000"&amp;$C365,4)&amp;"/"&amp;RIGHT("00"&amp;$D365,2)&amp;"/"&amp;RIGHT("00"&amp;$E365,2)))</f>
        <v/>
      </c>
      <c r="G365">
        <f>IF(OR($A365="",$F365="",$F365="نامعتبر"),"",LEFT($F365,4)&amp;MID($F365,6,2)&amp;RIGHT($F365,2)&amp;"0000"&amp;"|"&amp;"1"&amp;RIGHT("00000"&amp;360,5))</f>
        <v/>
      </c>
      <c r="H365">
        <f>IF(OR($B365&lt;&gt;1,$G365=""),"",COUNTIFS(LdAParty,$A365,LdAType,1,LdAKey,"&lt;"&amp;$G365)+COUNTIFS(LdBMember,$A365,LdBKey,"&lt;"&amp;$G365)+COUNTIFS(LdCParty,$A365,LdCKey,"&lt;"&amp;$G365)+1)</f>
        <v/>
      </c>
      <c r="I365">
        <f>IF($H365="","",$A365&amp;"|"&amp;RIGHT("000000"&amp;$H365,6))</f>
        <v/>
      </c>
      <c r="J365">
        <f>IF(OR($B365&lt;&gt;2,$G365=""),"",COUNTIFS(LdAParty,$A365,LdAType,2,LdAKey,"&lt;"&amp;$G365)+1)</f>
        <v/>
      </c>
      <c r="K365">
        <f>IF($J365="","",$A365&amp;"|"&amp;RIGHT("000000"&amp;$J365,6))</f>
        <v/>
      </c>
      <c r="L365">
        <f>IF($A365="","",IF(Wages!$G368="",0,Wages!$G368))</f>
        <v/>
      </c>
      <c r="M365">
        <f>IF($A365="","",Wages!$J368)</f>
        <v/>
      </c>
      <c r="N365">
        <f>IF($A365="","",Wages!$D368)</f>
        <v/>
      </c>
      <c r="P365">
        <f>IF(OR(Shares!$B368="",Shares!$C368=""),"",Shares!$C368)</f>
        <v/>
      </c>
      <c r="Q365">
        <f>IF($P365="","",Shares!$B368)</f>
        <v/>
      </c>
      <c r="R365">
        <f>IF($P365="","",IFERROR(INDEX(WageParty,MATCH($Q365,WageIds,0)),""))</f>
        <v/>
      </c>
      <c r="S365">
        <f>IF($P365="","",IFERROR(INDEX($F$6:$F$2005,MATCH($Q365,WageIds,0)),""))</f>
        <v/>
      </c>
      <c r="T365">
        <f>IF(OR($P365="",$S365="",$S365="نامعتبر"),"",LEFT($S365,4)&amp;MID($S365,6,2)&amp;RIGHT($S365,2)&amp;"0000"&amp;"|"&amp;"2"&amp;RIGHT("00000"&amp;360,5))</f>
        <v/>
      </c>
      <c r="U365">
        <f>IF($T365="","",COUNTIFS(LdAParty,$P365,LdAType,1,LdAKey,"&lt;"&amp;$T365)+COUNTIFS(LdBMember,$P365,LdBKey,"&lt;"&amp;$T365)+COUNTIFS(LdCParty,$P365,LdCKey,"&lt;"&amp;$T365)+1)</f>
        <v/>
      </c>
      <c r="V365">
        <f>IF($U365="","",$P365&amp;"|"&amp;RIGHT("000000"&amp;$U365,6))</f>
        <v/>
      </c>
      <c r="W365">
        <f>IF($T365="","",COUNTIFS(LdBGroup,$R365,LdBKey,"&lt;"&amp;$T365)+1)</f>
        <v/>
      </c>
      <c r="X365">
        <f>IF($W365="","",$R365&amp;"|"&amp;RIGHT("000000"&amp;$W365,6))</f>
        <v/>
      </c>
      <c r="Y365">
        <f>IF($P365="","",IF(Shares!$E368="",0,Shares!$E368))</f>
        <v/>
      </c>
      <c r="Z365">
        <f>IF($P365="","",Shares!$H368)</f>
        <v/>
      </c>
      <c r="AE365">
        <f>IF(OR(Sync!$S365="",Sync!$P365=""),"",Sync!$S365)</f>
        <v/>
      </c>
      <c r="AF365">
        <f>IF($AE365="","",IF(ISNUMBER(Sync!$P365),IF(AND(Sync!$P365&gt;=10000101,Sync!$P365&lt;=99991231),INT(Sync!$P365/10000),""),IFERROR(VALUE(TRIM(LEFT(Sync!$P365,FIND("/",Sync!$P365)-1))),"")))</f>
        <v/>
      </c>
      <c r="AG365">
        <f>IF(OR($AE365="",$AF365=""),"",IF(ISNUMBER(Sync!$P365),INT(MOD(Sync!$P365,10000)/100),IFERROR(VALUE(TRIM(LEFT(MID(Sync!$P365,FIND("/",Sync!$P365)+1,20),FIND("/",MID(Sync!$P365,FIND("/",Sync!$P365)+1,20))-1))),"")))</f>
        <v/>
      </c>
      <c r="AH365">
        <f>IF(OR($AE365="",$AF365=""),"",IF(ISNUMBER(Sync!$P365),MOD(Sync!$P365,100),IFERROR(VALUE(TRIM(MID(MID(Sync!$P365,FIND("/",Sync!$P365)+1,20),FIND("/",MID(Sync!$P365,FIND("/",Sync!$P365)+1,20))+1,20))),"")))</f>
        <v/>
      </c>
      <c r="AI365">
        <f>IF($AE365="","",IF(OR($AF365="",$AG365="",$AH365="",$AF365&lt;1300,$AF365&gt;1500,$AG365&lt;1,$AG365&gt;12,$AH365&lt;1,$AH365&gt;31),"نامعتبر",RIGHT("0000"&amp;$AF365,4)&amp;"/"&amp;RIGHT("00"&amp;$AG365,2)&amp;"/"&amp;RIGHT("00"&amp;$AH365,2)))</f>
        <v/>
      </c>
      <c r="AJ365">
        <f>IF($AE365="","",IF(Sync!$Q365="","0000",IF(AND(ISNUMBER(Sync!$Q365),Sync!$Q365&gt;=0,Sync!$Q365&lt;1),RIGHT("00"&amp;HOUR(Sync!$Q365),2)&amp;RIGHT("00"&amp;MINUTE(Sync!$Q365),2),IFERROR(RIGHT("00"&amp;VALUE(LEFT(Sync!$Q365,FIND(":",Sync!$Q365)-1)),2)&amp;RIGHT("00"&amp;VALUE(MID(Sync!$Q365,FIND(":",Sync!$Q365)+1,2)),2),"0000"))))</f>
        <v/>
      </c>
      <c r="AK365">
        <f>IF(OR($AE365="",$AI365="",$AI365="نامعتبر"),"",LEFT($AI365,4)&amp;MID($AI365,6,2)&amp;RIGHT($AI365,2)&amp;$AJ365&amp;"|"&amp;"3"&amp;RIGHT("00000"&amp;360,5))</f>
        <v/>
      </c>
      <c r="AL365">
        <f>IF($AK365="","",COUNTIFS(LdAParty,$AE365,LdAType,1,LdAKey,"&lt;"&amp;$AK365)+COUNTIFS(LdBMember,$AE365,LdBKey,"&lt;"&amp;$AK365)+COUNTIFS(LdCParty,$AE365,LdCKey,"&lt;"&amp;$AK365)+1)</f>
        <v/>
      </c>
      <c r="AM365">
        <f>IF($AL365="","",$AE365&amp;"|"&amp;RIGHT("000000"&amp;$AL365,6))</f>
        <v/>
      </c>
      <c r="AN365">
        <f>IF($AE365="","",IF(Sync!$W365="",0,Sync!$W365))</f>
        <v/>
      </c>
      <c r="AO365">
        <f>IF($AE365="","",IF(Sync!$X365="",0,Sync!$X365))</f>
        <v/>
      </c>
      <c r="AP365">
        <f>IF($AE365="","",Sync!$R365)</f>
        <v/>
      </c>
      <c r="AQ365">
        <f>IF($AE365="","",Sync!$Y365)</f>
        <v/>
      </c>
    </row>
    <row r="366">
      <c r="A366">
        <f>IF(OR(Wages!$B369="",Wages!$E369=""),"",Wages!$E369)</f>
        <v/>
      </c>
      <c r="B366">
        <f>IF($A366="","",IF(Wages!$C369="دستمزد گروهی",2,1))</f>
        <v/>
      </c>
      <c r="C366">
        <f>IF($A366="","",IF(ISNUMBER(Wages!$B369),IF(AND(Wages!$B369&gt;=10000101,Wages!$B369&lt;=99991231),INT(Wages!$B369/10000),""),IFERROR(VALUE(TRIM(LEFT(Wages!$B369,FIND("/",Wages!$B369)-1))),"")))</f>
        <v/>
      </c>
      <c r="D366">
        <f>IF(OR($A366="",$C366=""),"",IF(ISNUMBER(Wages!$B369),INT(MOD(Wages!$B369,10000)/100),IFERROR(VALUE(TRIM(LEFT(MID(Wages!$B369,FIND("/",Wages!$B369)+1,20),FIND("/",MID(Wages!$B369,FIND("/",Wages!$B369)+1,20))-1))),"")))</f>
        <v/>
      </c>
      <c r="E366">
        <f>IF(OR($A366="",$C366=""),"",IF(ISNUMBER(Wages!$B369),MOD(Wages!$B369,100),IFERROR(VALUE(TRIM(MID(MID(Wages!$B369,FIND("/",Wages!$B369)+1,20),FIND("/",MID(Wages!$B369,FIND("/",Wages!$B369)+1,20))+1,20))),"")))</f>
        <v/>
      </c>
      <c r="F366">
        <f>IF($A366="","",IF(OR($C366="",$D366="",$E366="",$C366&lt;1300,$C366&gt;1500,$D366&lt;1,$D366&gt;12,$E366&lt;1,$E366&gt;31),"نامعتبر",RIGHT("0000"&amp;$C366,4)&amp;"/"&amp;RIGHT("00"&amp;$D366,2)&amp;"/"&amp;RIGHT("00"&amp;$E366,2)))</f>
        <v/>
      </c>
      <c r="G366">
        <f>IF(OR($A366="",$F366="",$F366="نامعتبر"),"",LEFT($F366,4)&amp;MID($F366,6,2)&amp;RIGHT($F366,2)&amp;"0000"&amp;"|"&amp;"1"&amp;RIGHT("00000"&amp;361,5))</f>
        <v/>
      </c>
      <c r="H366">
        <f>IF(OR($B366&lt;&gt;1,$G366=""),"",COUNTIFS(LdAParty,$A366,LdAType,1,LdAKey,"&lt;"&amp;$G366)+COUNTIFS(LdBMember,$A366,LdBKey,"&lt;"&amp;$G366)+COUNTIFS(LdCParty,$A366,LdCKey,"&lt;"&amp;$G366)+1)</f>
        <v/>
      </c>
      <c r="I366">
        <f>IF($H366="","",$A366&amp;"|"&amp;RIGHT("000000"&amp;$H366,6))</f>
        <v/>
      </c>
      <c r="J366">
        <f>IF(OR($B366&lt;&gt;2,$G366=""),"",COUNTIFS(LdAParty,$A366,LdAType,2,LdAKey,"&lt;"&amp;$G366)+1)</f>
        <v/>
      </c>
      <c r="K366">
        <f>IF($J366="","",$A366&amp;"|"&amp;RIGHT("000000"&amp;$J366,6))</f>
        <v/>
      </c>
      <c r="L366">
        <f>IF($A366="","",IF(Wages!$G369="",0,Wages!$G369))</f>
        <v/>
      </c>
      <c r="M366">
        <f>IF($A366="","",Wages!$J369)</f>
        <v/>
      </c>
      <c r="N366">
        <f>IF($A366="","",Wages!$D369)</f>
        <v/>
      </c>
      <c r="P366">
        <f>IF(OR(Shares!$B369="",Shares!$C369=""),"",Shares!$C369)</f>
        <v/>
      </c>
      <c r="Q366">
        <f>IF($P366="","",Shares!$B369)</f>
        <v/>
      </c>
      <c r="R366">
        <f>IF($P366="","",IFERROR(INDEX(WageParty,MATCH($Q366,WageIds,0)),""))</f>
        <v/>
      </c>
      <c r="S366">
        <f>IF($P366="","",IFERROR(INDEX($F$6:$F$2005,MATCH($Q366,WageIds,0)),""))</f>
        <v/>
      </c>
      <c r="T366">
        <f>IF(OR($P366="",$S366="",$S366="نامعتبر"),"",LEFT($S366,4)&amp;MID($S366,6,2)&amp;RIGHT($S366,2)&amp;"0000"&amp;"|"&amp;"2"&amp;RIGHT("00000"&amp;361,5))</f>
        <v/>
      </c>
      <c r="U366">
        <f>IF($T366="","",COUNTIFS(LdAParty,$P366,LdAType,1,LdAKey,"&lt;"&amp;$T366)+COUNTIFS(LdBMember,$P366,LdBKey,"&lt;"&amp;$T366)+COUNTIFS(LdCParty,$P366,LdCKey,"&lt;"&amp;$T366)+1)</f>
        <v/>
      </c>
      <c r="V366">
        <f>IF($U366="","",$P366&amp;"|"&amp;RIGHT("000000"&amp;$U366,6))</f>
        <v/>
      </c>
      <c r="W366">
        <f>IF($T366="","",COUNTIFS(LdBGroup,$R366,LdBKey,"&lt;"&amp;$T366)+1)</f>
        <v/>
      </c>
      <c r="X366">
        <f>IF($W366="","",$R366&amp;"|"&amp;RIGHT("000000"&amp;$W366,6))</f>
        <v/>
      </c>
      <c r="Y366">
        <f>IF($P366="","",IF(Shares!$E369="",0,Shares!$E369))</f>
        <v/>
      </c>
      <c r="Z366">
        <f>IF($P366="","",Shares!$H369)</f>
        <v/>
      </c>
      <c r="AE366">
        <f>IF(OR(Sync!$S366="",Sync!$P366=""),"",Sync!$S366)</f>
        <v/>
      </c>
      <c r="AF366">
        <f>IF($AE366="","",IF(ISNUMBER(Sync!$P366),IF(AND(Sync!$P366&gt;=10000101,Sync!$P366&lt;=99991231),INT(Sync!$P366/10000),""),IFERROR(VALUE(TRIM(LEFT(Sync!$P366,FIND("/",Sync!$P366)-1))),"")))</f>
        <v/>
      </c>
      <c r="AG366">
        <f>IF(OR($AE366="",$AF366=""),"",IF(ISNUMBER(Sync!$P366),INT(MOD(Sync!$P366,10000)/100),IFERROR(VALUE(TRIM(LEFT(MID(Sync!$P366,FIND("/",Sync!$P366)+1,20),FIND("/",MID(Sync!$P366,FIND("/",Sync!$P366)+1,20))-1))),"")))</f>
        <v/>
      </c>
      <c r="AH366">
        <f>IF(OR($AE366="",$AF366=""),"",IF(ISNUMBER(Sync!$P366),MOD(Sync!$P366,100),IFERROR(VALUE(TRIM(MID(MID(Sync!$P366,FIND("/",Sync!$P366)+1,20),FIND("/",MID(Sync!$P366,FIND("/",Sync!$P366)+1,20))+1,20))),"")))</f>
        <v/>
      </c>
      <c r="AI366">
        <f>IF($AE366="","",IF(OR($AF366="",$AG366="",$AH366="",$AF366&lt;1300,$AF366&gt;1500,$AG366&lt;1,$AG366&gt;12,$AH366&lt;1,$AH366&gt;31),"نامعتبر",RIGHT("0000"&amp;$AF366,4)&amp;"/"&amp;RIGHT("00"&amp;$AG366,2)&amp;"/"&amp;RIGHT("00"&amp;$AH366,2)))</f>
        <v/>
      </c>
      <c r="AJ366">
        <f>IF($AE366="","",IF(Sync!$Q366="","0000",IF(AND(ISNUMBER(Sync!$Q366),Sync!$Q366&gt;=0,Sync!$Q366&lt;1),RIGHT("00"&amp;HOUR(Sync!$Q366),2)&amp;RIGHT("00"&amp;MINUTE(Sync!$Q366),2),IFERROR(RIGHT("00"&amp;VALUE(LEFT(Sync!$Q366,FIND(":",Sync!$Q366)-1)),2)&amp;RIGHT("00"&amp;VALUE(MID(Sync!$Q366,FIND(":",Sync!$Q366)+1,2)),2),"0000"))))</f>
        <v/>
      </c>
      <c r="AK366">
        <f>IF(OR($AE366="",$AI366="",$AI366="نامعتبر"),"",LEFT($AI366,4)&amp;MID($AI366,6,2)&amp;RIGHT($AI366,2)&amp;$AJ366&amp;"|"&amp;"3"&amp;RIGHT("00000"&amp;361,5))</f>
        <v/>
      </c>
      <c r="AL366">
        <f>IF($AK366="","",COUNTIFS(LdAParty,$AE366,LdAType,1,LdAKey,"&lt;"&amp;$AK366)+COUNTIFS(LdBMember,$AE366,LdBKey,"&lt;"&amp;$AK366)+COUNTIFS(LdCParty,$AE366,LdCKey,"&lt;"&amp;$AK366)+1)</f>
        <v/>
      </c>
      <c r="AM366">
        <f>IF($AL366="","",$AE366&amp;"|"&amp;RIGHT("000000"&amp;$AL366,6))</f>
        <v/>
      </c>
      <c r="AN366">
        <f>IF($AE366="","",IF(Sync!$W366="",0,Sync!$W366))</f>
        <v/>
      </c>
      <c r="AO366">
        <f>IF($AE366="","",IF(Sync!$X366="",0,Sync!$X366))</f>
        <v/>
      </c>
      <c r="AP366">
        <f>IF($AE366="","",Sync!$R366)</f>
        <v/>
      </c>
      <c r="AQ366">
        <f>IF($AE366="","",Sync!$Y366)</f>
        <v/>
      </c>
    </row>
    <row r="367">
      <c r="A367">
        <f>IF(OR(Wages!$B370="",Wages!$E370=""),"",Wages!$E370)</f>
        <v/>
      </c>
      <c r="B367">
        <f>IF($A367="","",IF(Wages!$C370="دستمزد گروهی",2,1))</f>
        <v/>
      </c>
      <c r="C367">
        <f>IF($A367="","",IF(ISNUMBER(Wages!$B370),IF(AND(Wages!$B370&gt;=10000101,Wages!$B370&lt;=99991231),INT(Wages!$B370/10000),""),IFERROR(VALUE(TRIM(LEFT(Wages!$B370,FIND("/",Wages!$B370)-1))),"")))</f>
        <v/>
      </c>
      <c r="D367">
        <f>IF(OR($A367="",$C367=""),"",IF(ISNUMBER(Wages!$B370),INT(MOD(Wages!$B370,10000)/100),IFERROR(VALUE(TRIM(LEFT(MID(Wages!$B370,FIND("/",Wages!$B370)+1,20),FIND("/",MID(Wages!$B370,FIND("/",Wages!$B370)+1,20))-1))),"")))</f>
        <v/>
      </c>
      <c r="E367">
        <f>IF(OR($A367="",$C367=""),"",IF(ISNUMBER(Wages!$B370),MOD(Wages!$B370,100),IFERROR(VALUE(TRIM(MID(MID(Wages!$B370,FIND("/",Wages!$B370)+1,20),FIND("/",MID(Wages!$B370,FIND("/",Wages!$B370)+1,20))+1,20))),"")))</f>
        <v/>
      </c>
      <c r="F367">
        <f>IF($A367="","",IF(OR($C367="",$D367="",$E367="",$C367&lt;1300,$C367&gt;1500,$D367&lt;1,$D367&gt;12,$E367&lt;1,$E367&gt;31),"نامعتبر",RIGHT("0000"&amp;$C367,4)&amp;"/"&amp;RIGHT("00"&amp;$D367,2)&amp;"/"&amp;RIGHT("00"&amp;$E367,2)))</f>
        <v/>
      </c>
      <c r="G367">
        <f>IF(OR($A367="",$F367="",$F367="نامعتبر"),"",LEFT($F367,4)&amp;MID($F367,6,2)&amp;RIGHT($F367,2)&amp;"0000"&amp;"|"&amp;"1"&amp;RIGHT("00000"&amp;362,5))</f>
        <v/>
      </c>
      <c r="H367">
        <f>IF(OR($B367&lt;&gt;1,$G367=""),"",COUNTIFS(LdAParty,$A367,LdAType,1,LdAKey,"&lt;"&amp;$G367)+COUNTIFS(LdBMember,$A367,LdBKey,"&lt;"&amp;$G367)+COUNTIFS(LdCParty,$A367,LdCKey,"&lt;"&amp;$G367)+1)</f>
        <v/>
      </c>
      <c r="I367">
        <f>IF($H367="","",$A367&amp;"|"&amp;RIGHT("000000"&amp;$H367,6))</f>
        <v/>
      </c>
      <c r="J367">
        <f>IF(OR($B367&lt;&gt;2,$G367=""),"",COUNTIFS(LdAParty,$A367,LdAType,2,LdAKey,"&lt;"&amp;$G367)+1)</f>
        <v/>
      </c>
      <c r="K367">
        <f>IF($J367="","",$A367&amp;"|"&amp;RIGHT("000000"&amp;$J367,6))</f>
        <v/>
      </c>
      <c r="L367">
        <f>IF($A367="","",IF(Wages!$G370="",0,Wages!$G370))</f>
        <v/>
      </c>
      <c r="M367">
        <f>IF($A367="","",Wages!$J370)</f>
        <v/>
      </c>
      <c r="N367">
        <f>IF($A367="","",Wages!$D370)</f>
        <v/>
      </c>
      <c r="P367">
        <f>IF(OR(Shares!$B370="",Shares!$C370=""),"",Shares!$C370)</f>
        <v/>
      </c>
      <c r="Q367">
        <f>IF($P367="","",Shares!$B370)</f>
        <v/>
      </c>
      <c r="R367">
        <f>IF($P367="","",IFERROR(INDEX(WageParty,MATCH($Q367,WageIds,0)),""))</f>
        <v/>
      </c>
      <c r="S367">
        <f>IF($P367="","",IFERROR(INDEX($F$6:$F$2005,MATCH($Q367,WageIds,0)),""))</f>
        <v/>
      </c>
      <c r="T367">
        <f>IF(OR($P367="",$S367="",$S367="نامعتبر"),"",LEFT($S367,4)&amp;MID($S367,6,2)&amp;RIGHT($S367,2)&amp;"0000"&amp;"|"&amp;"2"&amp;RIGHT("00000"&amp;362,5))</f>
        <v/>
      </c>
      <c r="U367">
        <f>IF($T367="","",COUNTIFS(LdAParty,$P367,LdAType,1,LdAKey,"&lt;"&amp;$T367)+COUNTIFS(LdBMember,$P367,LdBKey,"&lt;"&amp;$T367)+COUNTIFS(LdCParty,$P367,LdCKey,"&lt;"&amp;$T367)+1)</f>
        <v/>
      </c>
      <c r="V367">
        <f>IF($U367="","",$P367&amp;"|"&amp;RIGHT("000000"&amp;$U367,6))</f>
        <v/>
      </c>
      <c r="W367">
        <f>IF($T367="","",COUNTIFS(LdBGroup,$R367,LdBKey,"&lt;"&amp;$T367)+1)</f>
        <v/>
      </c>
      <c r="X367">
        <f>IF($W367="","",$R367&amp;"|"&amp;RIGHT("000000"&amp;$W367,6))</f>
        <v/>
      </c>
      <c r="Y367">
        <f>IF($P367="","",IF(Shares!$E370="",0,Shares!$E370))</f>
        <v/>
      </c>
      <c r="Z367">
        <f>IF($P367="","",Shares!$H370)</f>
        <v/>
      </c>
      <c r="AE367">
        <f>IF(OR(Sync!$S367="",Sync!$P367=""),"",Sync!$S367)</f>
        <v/>
      </c>
      <c r="AF367">
        <f>IF($AE367="","",IF(ISNUMBER(Sync!$P367),IF(AND(Sync!$P367&gt;=10000101,Sync!$P367&lt;=99991231),INT(Sync!$P367/10000),""),IFERROR(VALUE(TRIM(LEFT(Sync!$P367,FIND("/",Sync!$P367)-1))),"")))</f>
        <v/>
      </c>
      <c r="AG367">
        <f>IF(OR($AE367="",$AF367=""),"",IF(ISNUMBER(Sync!$P367),INT(MOD(Sync!$P367,10000)/100),IFERROR(VALUE(TRIM(LEFT(MID(Sync!$P367,FIND("/",Sync!$P367)+1,20),FIND("/",MID(Sync!$P367,FIND("/",Sync!$P367)+1,20))-1))),"")))</f>
        <v/>
      </c>
      <c r="AH367">
        <f>IF(OR($AE367="",$AF367=""),"",IF(ISNUMBER(Sync!$P367),MOD(Sync!$P367,100),IFERROR(VALUE(TRIM(MID(MID(Sync!$P367,FIND("/",Sync!$P367)+1,20),FIND("/",MID(Sync!$P367,FIND("/",Sync!$P367)+1,20))+1,20))),"")))</f>
        <v/>
      </c>
      <c r="AI367">
        <f>IF($AE367="","",IF(OR($AF367="",$AG367="",$AH367="",$AF367&lt;1300,$AF367&gt;1500,$AG367&lt;1,$AG367&gt;12,$AH367&lt;1,$AH367&gt;31),"نامعتبر",RIGHT("0000"&amp;$AF367,4)&amp;"/"&amp;RIGHT("00"&amp;$AG367,2)&amp;"/"&amp;RIGHT("00"&amp;$AH367,2)))</f>
        <v/>
      </c>
      <c r="AJ367">
        <f>IF($AE367="","",IF(Sync!$Q367="","0000",IF(AND(ISNUMBER(Sync!$Q367),Sync!$Q367&gt;=0,Sync!$Q367&lt;1),RIGHT("00"&amp;HOUR(Sync!$Q367),2)&amp;RIGHT("00"&amp;MINUTE(Sync!$Q367),2),IFERROR(RIGHT("00"&amp;VALUE(LEFT(Sync!$Q367,FIND(":",Sync!$Q367)-1)),2)&amp;RIGHT("00"&amp;VALUE(MID(Sync!$Q367,FIND(":",Sync!$Q367)+1,2)),2),"0000"))))</f>
        <v/>
      </c>
      <c r="AK367">
        <f>IF(OR($AE367="",$AI367="",$AI367="نامعتبر"),"",LEFT($AI367,4)&amp;MID($AI367,6,2)&amp;RIGHT($AI367,2)&amp;$AJ367&amp;"|"&amp;"3"&amp;RIGHT("00000"&amp;362,5))</f>
        <v/>
      </c>
      <c r="AL367">
        <f>IF($AK367="","",COUNTIFS(LdAParty,$AE367,LdAType,1,LdAKey,"&lt;"&amp;$AK367)+COUNTIFS(LdBMember,$AE367,LdBKey,"&lt;"&amp;$AK367)+COUNTIFS(LdCParty,$AE367,LdCKey,"&lt;"&amp;$AK367)+1)</f>
        <v/>
      </c>
      <c r="AM367">
        <f>IF($AL367="","",$AE367&amp;"|"&amp;RIGHT("000000"&amp;$AL367,6))</f>
        <v/>
      </c>
      <c r="AN367">
        <f>IF($AE367="","",IF(Sync!$W367="",0,Sync!$W367))</f>
        <v/>
      </c>
      <c r="AO367">
        <f>IF($AE367="","",IF(Sync!$X367="",0,Sync!$X367))</f>
        <v/>
      </c>
      <c r="AP367">
        <f>IF($AE367="","",Sync!$R367)</f>
        <v/>
      </c>
      <c r="AQ367">
        <f>IF($AE367="","",Sync!$Y367)</f>
        <v/>
      </c>
    </row>
    <row r="368">
      <c r="A368">
        <f>IF(OR(Wages!$B371="",Wages!$E371=""),"",Wages!$E371)</f>
        <v/>
      </c>
      <c r="B368">
        <f>IF($A368="","",IF(Wages!$C371="دستمزد گروهی",2,1))</f>
        <v/>
      </c>
      <c r="C368">
        <f>IF($A368="","",IF(ISNUMBER(Wages!$B371),IF(AND(Wages!$B371&gt;=10000101,Wages!$B371&lt;=99991231),INT(Wages!$B371/10000),""),IFERROR(VALUE(TRIM(LEFT(Wages!$B371,FIND("/",Wages!$B371)-1))),"")))</f>
        <v/>
      </c>
      <c r="D368">
        <f>IF(OR($A368="",$C368=""),"",IF(ISNUMBER(Wages!$B371),INT(MOD(Wages!$B371,10000)/100),IFERROR(VALUE(TRIM(LEFT(MID(Wages!$B371,FIND("/",Wages!$B371)+1,20),FIND("/",MID(Wages!$B371,FIND("/",Wages!$B371)+1,20))-1))),"")))</f>
        <v/>
      </c>
      <c r="E368">
        <f>IF(OR($A368="",$C368=""),"",IF(ISNUMBER(Wages!$B371),MOD(Wages!$B371,100),IFERROR(VALUE(TRIM(MID(MID(Wages!$B371,FIND("/",Wages!$B371)+1,20),FIND("/",MID(Wages!$B371,FIND("/",Wages!$B371)+1,20))+1,20))),"")))</f>
        <v/>
      </c>
      <c r="F368">
        <f>IF($A368="","",IF(OR($C368="",$D368="",$E368="",$C368&lt;1300,$C368&gt;1500,$D368&lt;1,$D368&gt;12,$E368&lt;1,$E368&gt;31),"نامعتبر",RIGHT("0000"&amp;$C368,4)&amp;"/"&amp;RIGHT("00"&amp;$D368,2)&amp;"/"&amp;RIGHT("00"&amp;$E368,2)))</f>
        <v/>
      </c>
      <c r="G368">
        <f>IF(OR($A368="",$F368="",$F368="نامعتبر"),"",LEFT($F368,4)&amp;MID($F368,6,2)&amp;RIGHT($F368,2)&amp;"0000"&amp;"|"&amp;"1"&amp;RIGHT("00000"&amp;363,5))</f>
        <v/>
      </c>
      <c r="H368">
        <f>IF(OR($B368&lt;&gt;1,$G368=""),"",COUNTIFS(LdAParty,$A368,LdAType,1,LdAKey,"&lt;"&amp;$G368)+COUNTIFS(LdBMember,$A368,LdBKey,"&lt;"&amp;$G368)+COUNTIFS(LdCParty,$A368,LdCKey,"&lt;"&amp;$G368)+1)</f>
        <v/>
      </c>
      <c r="I368">
        <f>IF($H368="","",$A368&amp;"|"&amp;RIGHT("000000"&amp;$H368,6))</f>
        <v/>
      </c>
      <c r="J368">
        <f>IF(OR($B368&lt;&gt;2,$G368=""),"",COUNTIFS(LdAParty,$A368,LdAType,2,LdAKey,"&lt;"&amp;$G368)+1)</f>
        <v/>
      </c>
      <c r="K368">
        <f>IF($J368="","",$A368&amp;"|"&amp;RIGHT("000000"&amp;$J368,6))</f>
        <v/>
      </c>
      <c r="L368">
        <f>IF($A368="","",IF(Wages!$G371="",0,Wages!$G371))</f>
        <v/>
      </c>
      <c r="M368">
        <f>IF($A368="","",Wages!$J371)</f>
        <v/>
      </c>
      <c r="N368">
        <f>IF($A368="","",Wages!$D371)</f>
        <v/>
      </c>
      <c r="P368">
        <f>IF(OR(Shares!$B371="",Shares!$C371=""),"",Shares!$C371)</f>
        <v/>
      </c>
      <c r="Q368">
        <f>IF($P368="","",Shares!$B371)</f>
        <v/>
      </c>
      <c r="R368">
        <f>IF($P368="","",IFERROR(INDEX(WageParty,MATCH($Q368,WageIds,0)),""))</f>
        <v/>
      </c>
      <c r="S368">
        <f>IF($P368="","",IFERROR(INDEX($F$6:$F$2005,MATCH($Q368,WageIds,0)),""))</f>
        <v/>
      </c>
      <c r="T368">
        <f>IF(OR($P368="",$S368="",$S368="نامعتبر"),"",LEFT($S368,4)&amp;MID($S368,6,2)&amp;RIGHT($S368,2)&amp;"0000"&amp;"|"&amp;"2"&amp;RIGHT("00000"&amp;363,5))</f>
        <v/>
      </c>
      <c r="U368">
        <f>IF($T368="","",COUNTIFS(LdAParty,$P368,LdAType,1,LdAKey,"&lt;"&amp;$T368)+COUNTIFS(LdBMember,$P368,LdBKey,"&lt;"&amp;$T368)+COUNTIFS(LdCParty,$P368,LdCKey,"&lt;"&amp;$T368)+1)</f>
        <v/>
      </c>
      <c r="V368">
        <f>IF($U368="","",$P368&amp;"|"&amp;RIGHT("000000"&amp;$U368,6))</f>
        <v/>
      </c>
      <c r="W368">
        <f>IF($T368="","",COUNTIFS(LdBGroup,$R368,LdBKey,"&lt;"&amp;$T368)+1)</f>
        <v/>
      </c>
      <c r="X368">
        <f>IF($W368="","",$R368&amp;"|"&amp;RIGHT("000000"&amp;$W368,6))</f>
        <v/>
      </c>
      <c r="Y368">
        <f>IF($P368="","",IF(Shares!$E371="",0,Shares!$E371))</f>
        <v/>
      </c>
      <c r="Z368">
        <f>IF($P368="","",Shares!$H371)</f>
        <v/>
      </c>
      <c r="AE368">
        <f>IF(OR(Sync!$S368="",Sync!$P368=""),"",Sync!$S368)</f>
        <v/>
      </c>
      <c r="AF368">
        <f>IF($AE368="","",IF(ISNUMBER(Sync!$P368),IF(AND(Sync!$P368&gt;=10000101,Sync!$P368&lt;=99991231),INT(Sync!$P368/10000),""),IFERROR(VALUE(TRIM(LEFT(Sync!$P368,FIND("/",Sync!$P368)-1))),"")))</f>
        <v/>
      </c>
      <c r="AG368">
        <f>IF(OR($AE368="",$AF368=""),"",IF(ISNUMBER(Sync!$P368),INT(MOD(Sync!$P368,10000)/100),IFERROR(VALUE(TRIM(LEFT(MID(Sync!$P368,FIND("/",Sync!$P368)+1,20),FIND("/",MID(Sync!$P368,FIND("/",Sync!$P368)+1,20))-1))),"")))</f>
        <v/>
      </c>
      <c r="AH368">
        <f>IF(OR($AE368="",$AF368=""),"",IF(ISNUMBER(Sync!$P368),MOD(Sync!$P368,100),IFERROR(VALUE(TRIM(MID(MID(Sync!$P368,FIND("/",Sync!$P368)+1,20),FIND("/",MID(Sync!$P368,FIND("/",Sync!$P368)+1,20))+1,20))),"")))</f>
        <v/>
      </c>
      <c r="AI368">
        <f>IF($AE368="","",IF(OR($AF368="",$AG368="",$AH368="",$AF368&lt;1300,$AF368&gt;1500,$AG368&lt;1,$AG368&gt;12,$AH368&lt;1,$AH368&gt;31),"نامعتبر",RIGHT("0000"&amp;$AF368,4)&amp;"/"&amp;RIGHT("00"&amp;$AG368,2)&amp;"/"&amp;RIGHT("00"&amp;$AH368,2)))</f>
        <v/>
      </c>
      <c r="AJ368">
        <f>IF($AE368="","",IF(Sync!$Q368="","0000",IF(AND(ISNUMBER(Sync!$Q368),Sync!$Q368&gt;=0,Sync!$Q368&lt;1),RIGHT("00"&amp;HOUR(Sync!$Q368),2)&amp;RIGHT("00"&amp;MINUTE(Sync!$Q368),2),IFERROR(RIGHT("00"&amp;VALUE(LEFT(Sync!$Q368,FIND(":",Sync!$Q368)-1)),2)&amp;RIGHT("00"&amp;VALUE(MID(Sync!$Q368,FIND(":",Sync!$Q368)+1,2)),2),"0000"))))</f>
        <v/>
      </c>
      <c r="AK368">
        <f>IF(OR($AE368="",$AI368="",$AI368="نامعتبر"),"",LEFT($AI368,4)&amp;MID($AI368,6,2)&amp;RIGHT($AI368,2)&amp;$AJ368&amp;"|"&amp;"3"&amp;RIGHT("00000"&amp;363,5))</f>
        <v/>
      </c>
      <c r="AL368">
        <f>IF($AK368="","",COUNTIFS(LdAParty,$AE368,LdAType,1,LdAKey,"&lt;"&amp;$AK368)+COUNTIFS(LdBMember,$AE368,LdBKey,"&lt;"&amp;$AK368)+COUNTIFS(LdCParty,$AE368,LdCKey,"&lt;"&amp;$AK368)+1)</f>
        <v/>
      </c>
      <c r="AM368">
        <f>IF($AL368="","",$AE368&amp;"|"&amp;RIGHT("000000"&amp;$AL368,6))</f>
        <v/>
      </c>
      <c r="AN368">
        <f>IF($AE368="","",IF(Sync!$W368="",0,Sync!$W368))</f>
        <v/>
      </c>
      <c r="AO368">
        <f>IF($AE368="","",IF(Sync!$X368="",0,Sync!$X368))</f>
        <v/>
      </c>
      <c r="AP368">
        <f>IF($AE368="","",Sync!$R368)</f>
        <v/>
      </c>
      <c r="AQ368">
        <f>IF($AE368="","",Sync!$Y368)</f>
        <v/>
      </c>
    </row>
    <row r="369">
      <c r="A369">
        <f>IF(OR(Wages!$B372="",Wages!$E372=""),"",Wages!$E372)</f>
        <v/>
      </c>
      <c r="B369">
        <f>IF($A369="","",IF(Wages!$C372="دستمزد گروهی",2,1))</f>
        <v/>
      </c>
      <c r="C369">
        <f>IF($A369="","",IF(ISNUMBER(Wages!$B372),IF(AND(Wages!$B372&gt;=10000101,Wages!$B372&lt;=99991231),INT(Wages!$B372/10000),""),IFERROR(VALUE(TRIM(LEFT(Wages!$B372,FIND("/",Wages!$B372)-1))),"")))</f>
        <v/>
      </c>
      <c r="D369">
        <f>IF(OR($A369="",$C369=""),"",IF(ISNUMBER(Wages!$B372),INT(MOD(Wages!$B372,10000)/100),IFERROR(VALUE(TRIM(LEFT(MID(Wages!$B372,FIND("/",Wages!$B372)+1,20),FIND("/",MID(Wages!$B372,FIND("/",Wages!$B372)+1,20))-1))),"")))</f>
        <v/>
      </c>
      <c r="E369">
        <f>IF(OR($A369="",$C369=""),"",IF(ISNUMBER(Wages!$B372),MOD(Wages!$B372,100),IFERROR(VALUE(TRIM(MID(MID(Wages!$B372,FIND("/",Wages!$B372)+1,20),FIND("/",MID(Wages!$B372,FIND("/",Wages!$B372)+1,20))+1,20))),"")))</f>
        <v/>
      </c>
      <c r="F369">
        <f>IF($A369="","",IF(OR($C369="",$D369="",$E369="",$C369&lt;1300,$C369&gt;1500,$D369&lt;1,$D369&gt;12,$E369&lt;1,$E369&gt;31),"نامعتبر",RIGHT("0000"&amp;$C369,4)&amp;"/"&amp;RIGHT("00"&amp;$D369,2)&amp;"/"&amp;RIGHT("00"&amp;$E369,2)))</f>
        <v/>
      </c>
      <c r="G369">
        <f>IF(OR($A369="",$F369="",$F369="نامعتبر"),"",LEFT($F369,4)&amp;MID($F369,6,2)&amp;RIGHT($F369,2)&amp;"0000"&amp;"|"&amp;"1"&amp;RIGHT("00000"&amp;364,5))</f>
        <v/>
      </c>
      <c r="H369">
        <f>IF(OR($B369&lt;&gt;1,$G369=""),"",COUNTIFS(LdAParty,$A369,LdAType,1,LdAKey,"&lt;"&amp;$G369)+COUNTIFS(LdBMember,$A369,LdBKey,"&lt;"&amp;$G369)+COUNTIFS(LdCParty,$A369,LdCKey,"&lt;"&amp;$G369)+1)</f>
        <v/>
      </c>
      <c r="I369">
        <f>IF($H369="","",$A369&amp;"|"&amp;RIGHT("000000"&amp;$H369,6))</f>
        <v/>
      </c>
      <c r="J369">
        <f>IF(OR($B369&lt;&gt;2,$G369=""),"",COUNTIFS(LdAParty,$A369,LdAType,2,LdAKey,"&lt;"&amp;$G369)+1)</f>
        <v/>
      </c>
      <c r="K369">
        <f>IF($J369="","",$A369&amp;"|"&amp;RIGHT("000000"&amp;$J369,6))</f>
        <v/>
      </c>
      <c r="L369">
        <f>IF($A369="","",IF(Wages!$G372="",0,Wages!$G372))</f>
        <v/>
      </c>
      <c r="M369">
        <f>IF($A369="","",Wages!$J372)</f>
        <v/>
      </c>
      <c r="N369">
        <f>IF($A369="","",Wages!$D372)</f>
        <v/>
      </c>
      <c r="P369">
        <f>IF(OR(Shares!$B372="",Shares!$C372=""),"",Shares!$C372)</f>
        <v/>
      </c>
      <c r="Q369">
        <f>IF($P369="","",Shares!$B372)</f>
        <v/>
      </c>
      <c r="R369">
        <f>IF($P369="","",IFERROR(INDEX(WageParty,MATCH($Q369,WageIds,0)),""))</f>
        <v/>
      </c>
      <c r="S369">
        <f>IF($P369="","",IFERROR(INDEX($F$6:$F$2005,MATCH($Q369,WageIds,0)),""))</f>
        <v/>
      </c>
      <c r="T369">
        <f>IF(OR($P369="",$S369="",$S369="نامعتبر"),"",LEFT($S369,4)&amp;MID($S369,6,2)&amp;RIGHT($S369,2)&amp;"0000"&amp;"|"&amp;"2"&amp;RIGHT("00000"&amp;364,5))</f>
        <v/>
      </c>
      <c r="U369">
        <f>IF($T369="","",COUNTIFS(LdAParty,$P369,LdAType,1,LdAKey,"&lt;"&amp;$T369)+COUNTIFS(LdBMember,$P369,LdBKey,"&lt;"&amp;$T369)+COUNTIFS(LdCParty,$P369,LdCKey,"&lt;"&amp;$T369)+1)</f>
        <v/>
      </c>
      <c r="V369">
        <f>IF($U369="","",$P369&amp;"|"&amp;RIGHT("000000"&amp;$U369,6))</f>
        <v/>
      </c>
      <c r="W369">
        <f>IF($T369="","",COUNTIFS(LdBGroup,$R369,LdBKey,"&lt;"&amp;$T369)+1)</f>
        <v/>
      </c>
      <c r="X369">
        <f>IF($W369="","",$R369&amp;"|"&amp;RIGHT("000000"&amp;$W369,6))</f>
        <v/>
      </c>
      <c r="Y369">
        <f>IF($P369="","",IF(Shares!$E372="",0,Shares!$E372))</f>
        <v/>
      </c>
      <c r="Z369">
        <f>IF($P369="","",Shares!$H372)</f>
        <v/>
      </c>
      <c r="AE369">
        <f>IF(OR(Sync!$S369="",Sync!$P369=""),"",Sync!$S369)</f>
        <v/>
      </c>
      <c r="AF369">
        <f>IF($AE369="","",IF(ISNUMBER(Sync!$P369),IF(AND(Sync!$P369&gt;=10000101,Sync!$P369&lt;=99991231),INT(Sync!$P369/10000),""),IFERROR(VALUE(TRIM(LEFT(Sync!$P369,FIND("/",Sync!$P369)-1))),"")))</f>
        <v/>
      </c>
      <c r="AG369">
        <f>IF(OR($AE369="",$AF369=""),"",IF(ISNUMBER(Sync!$P369),INT(MOD(Sync!$P369,10000)/100),IFERROR(VALUE(TRIM(LEFT(MID(Sync!$P369,FIND("/",Sync!$P369)+1,20),FIND("/",MID(Sync!$P369,FIND("/",Sync!$P369)+1,20))-1))),"")))</f>
        <v/>
      </c>
      <c r="AH369">
        <f>IF(OR($AE369="",$AF369=""),"",IF(ISNUMBER(Sync!$P369),MOD(Sync!$P369,100),IFERROR(VALUE(TRIM(MID(MID(Sync!$P369,FIND("/",Sync!$P369)+1,20),FIND("/",MID(Sync!$P369,FIND("/",Sync!$P369)+1,20))+1,20))),"")))</f>
        <v/>
      </c>
      <c r="AI369">
        <f>IF($AE369="","",IF(OR($AF369="",$AG369="",$AH369="",$AF369&lt;1300,$AF369&gt;1500,$AG369&lt;1,$AG369&gt;12,$AH369&lt;1,$AH369&gt;31),"نامعتبر",RIGHT("0000"&amp;$AF369,4)&amp;"/"&amp;RIGHT("00"&amp;$AG369,2)&amp;"/"&amp;RIGHT("00"&amp;$AH369,2)))</f>
        <v/>
      </c>
      <c r="AJ369">
        <f>IF($AE369="","",IF(Sync!$Q369="","0000",IF(AND(ISNUMBER(Sync!$Q369),Sync!$Q369&gt;=0,Sync!$Q369&lt;1),RIGHT("00"&amp;HOUR(Sync!$Q369),2)&amp;RIGHT("00"&amp;MINUTE(Sync!$Q369),2),IFERROR(RIGHT("00"&amp;VALUE(LEFT(Sync!$Q369,FIND(":",Sync!$Q369)-1)),2)&amp;RIGHT("00"&amp;VALUE(MID(Sync!$Q369,FIND(":",Sync!$Q369)+1,2)),2),"0000"))))</f>
        <v/>
      </c>
      <c r="AK369">
        <f>IF(OR($AE369="",$AI369="",$AI369="نامعتبر"),"",LEFT($AI369,4)&amp;MID($AI369,6,2)&amp;RIGHT($AI369,2)&amp;$AJ369&amp;"|"&amp;"3"&amp;RIGHT("00000"&amp;364,5))</f>
        <v/>
      </c>
      <c r="AL369">
        <f>IF($AK369="","",COUNTIFS(LdAParty,$AE369,LdAType,1,LdAKey,"&lt;"&amp;$AK369)+COUNTIFS(LdBMember,$AE369,LdBKey,"&lt;"&amp;$AK369)+COUNTIFS(LdCParty,$AE369,LdCKey,"&lt;"&amp;$AK369)+1)</f>
        <v/>
      </c>
      <c r="AM369">
        <f>IF($AL369="","",$AE369&amp;"|"&amp;RIGHT("000000"&amp;$AL369,6))</f>
        <v/>
      </c>
      <c r="AN369">
        <f>IF($AE369="","",IF(Sync!$W369="",0,Sync!$W369))</f>
        <v/>
      </c>
      <c r="AO369">
        <f>IF($AE369="","",IF(Sync!$X369="",0,Sync!$X369))</f>
        <v/>
      </c>
      <c r="AP369">
        <f>IF($AE369="","",Sync!$R369)</f>
        <v/>
      </c>
      <c r="AQ369">
        <f>IF($AE369="","",Sync!$Y369)</f>
        <v/>
      </c>
    </row>
    <row r="370">
      <c r="A370">
        <f>IF(OR(Wages!$B373="",Wages!$E373=""),"",Wages!$E373)</f>
        <v/>
      </c>
      <c r="B370">
        <f>IF($A370="","",IF(Wages!$C373="دستمزد گروهی",2,1))</f>
        <v/>
      </c>
      <c r="C370">
        <f>IF($A370="","",IF(ISNUMBER(Wages!$B373),IF(AND(Wages!$B373&gt;=10000101,Wages!$B373&lt;=99991231),INT(Wages!$B373/10000),""),IFERROR(VALUE(TRIM(LEFT(Wages!$B373,FIND("/",Wages!$B373)-1))),"")))</f>
        <v/>
      </c>
      <c r="D370">
        <f>IF(OR($A370="",$C370=""),"",IF(ISNUMBER(Wages!$B373),INT(MOD(Wages!$B373,10000)/100),IFERROR(VALUE(TRIM(LEFT(MID(Wages!$B373,FIND("/",Wages!$B373)+1,20),FIND("/",MID(Wages!$B373,FIND("/",Wages!$B373)+1,20))-1))),"")))</f>
        <v/>
      </c>
      <c r="E370">
        <f>IF(OR($A370="",$C370=""),"",IF(ISNUMBER(Wages!$B373),MOD(Wages!$B373,100),IFERROR(VALUE(TRIM(MID(MID(Wages!$B373,FIND("/",Wages!$B373)+1,20),FIND("/",MID(Wages!$B373,FIND("/",Wages!$B373)+1,20))+1,20))),"")))</f>
        <v/>
      </c>
      <c r="F370">
        <f>IF($A370="","",IF(OR($C370="",$D370="",$E370="",$C370&lt;1300,$C370&gt;1500,$D370&lt;1,$D370&gt;12,$E370&lt;1,$E370&gt;31),"نامعتبر",RIGHT("0000"&amp;$C370,4)&amp;"/"&amp;RIGHT("00"&amp;$D370,2)&amp;"/"&amp;RIGHT("00"&amp;$E370,2)))</f>
        <v/>
      </c>
      <c r="G370">
        <f>IF(OR($A370="",$F370="",$F370="نامعتبر"),"",LEFT($F370,4)&amp;MID($F370,6,2)&amp;RIGHT($F370,2)&amp;"0000"&amp;"|"&amp;"1"&amp;RIGHT("00000"&amp;365,5))</f>
        <v/>
      </c>
      <c r="H370">
        <f>IF(OR($B370&lt;&gt;1,$G370=""),"",COUNTIFS(LdAParty,$A370,LdAType,1,LdAKey,"&lt;"&amp;$G370)+COUNTIFS(LdBMember,$A370,LdBKey,"&lt;"&amp;$G370)+COUNTIFS(LdCParty,$A370,LdCKey,"&lt;"&amp;$G370)+1)</f>
        <v/>
      </c>
      <c r="I370">
        <f>IF($H370="","",$A370&amp;"|"&amp;RIGHT("000000"&amp;$H370,6))</f>
        <v/>
      </c>
      <c r="J370">
        <f>IF(OR($B370&lt;&gt;2,$G370=""),"",COUNTIFS(LdAParty,$A370,LdAType,2,LdAKey,"&lt;"&amp;$G370)+1)</f>
        <v/>
      </c>
      <c r="K370">
        <f>IF($J370="","",$A370&amp;"|"&amp;RIGHT("000000"&amp;$J370,6))</f>
        <v/>
      </c>
      <c r="L370">
        <f>IF($A370="","",IF(Wages!$G373="",0,Wages!$G373))</f>
        <v/>
      </c>
      <c r="M370">
        <f>IF($A370="","",Wages!$J373)</f>
        <v/>
      </c>
      <c r="N370">
        <f>IF($A370="","",Wages!$D373)</f>
        <v/>
      </c>
      <c r="P370">
        <f>IF(OR(Shares!$B373="",Shares!$C373=""),"",Shares!$C373)</f>
        <v/>
      </c>
      <c r="Q370">
        <f>IF($P370="","",Shares!$B373)</f>
        <v/>
      </c>
      <c r="R370">
        <f>IF($P370="","",IFERROR(INDEX(WageParty,MATCH($Q370,WageIds,0)),""))</f>
        <v/>
      </c>
      <c r="S370">
        <f>IF($P370="","",IFERROR(INDEX($F$6:$F$2005,MATCH($Q370,WageIds,0)),""))</f>
        <v/>
      </c>
      <c r="T370">
        <f>IF(OR($P370="",$S370="",$S370="نامعتبر"),"",LEFT($S370,4)&amp;MID($S370,6,2)&amp;RIGHT($S370,2)&amp;"0000"&amp;"|"&amp;"2"&amp;RIGHT("00000"&amp;365,5))</f>
        <v/>
      </c>
      <c r="U370">
        <f>IF($T370="","",COUNTIFS(LdAParty,$P370,LdAType,1,LdAKey,"&lt;"&amp;$T370)+COUNTIFS(LdBMember,$P370,LdBKey,"&lt;"&amp;$T370)+COUNTIFS(LdCParty,$P370,LdCKey,"&lt;"&amp;$T370)+1)</f>
        <v/>
      </c>
      <c r="V370">
        <f>IF($U370="","",$P370&amp;"|"&amp;RIGHT("000000"&amp;$U370,6))</f>
        <v/>
      </c>
      <c r="W370">
        <f>IF($T370="","",COUNTIFS(LdBGroup,$R370,LdBKey,"&lt;"&amp;$T370)+1)</f>
        <v/>
      </c>
      <c r="X370">
        <f>IF($W370="","",$R370&amp;"|"&amp;RIGHT("000000"&amp;$W370,6))</f>
        <v/>
      </c>
      <c r="Y370">
        <f>IF($P370="","",IF(Shares!$E373="",0,Shares!$E373))</f>
        <v/>
      </c>
      <c r="Z370">
        <f>IF($P370="","",Shares!$H373)</f>
        <v/>
      </c>
      <c r="AE370">
        <f>IF(OR(Sync!$S370="",Sync!$P370=""),"",Sync!$S370)</f>
        <v/>
      </c>
      <c r="AF370">
        <f>IF($AE370="","",IF(ISNUMBER(Sync!$P370),IF(AND(Sync!$P370&gt;=10000101,Sync!$P370&lt;=99991231),INT(Sync!$P370/10000),""),IFERROR(VALUE(TRIM(LEFT(Sync!$P370,FIND("/",Sync!$P370)-1))),"")))</f>
        <v/>
      </c>
      <c r="AG370">
        <f>IF(OR($AE370="",$AF370=""),"",IF(ISNUMBER(Sync!$P370),INT(MOD(Sync!$P370,10000)/100),IFERROR(VALUE(TRIM(LEFT(MID(Sync!$P370,FIND("/",Sync!$P370)+1,20),FIND("/",MID(Sync!$P370,FIND("/",Sync!$P370)+1,20))-1))),"")))</f>
        <v/>
      </c>
      <c r="AH370">
        <f>IF(OR($AE370="",$AF370=""),"",IF(ISNUMBER(Sync!$P370),MOD(Sync!$P370,100),IFERROR(VALUE(TRIM(MID(MID(Sync!$P370,FIND("/",Sync!$P370)+1,20),FIND("/",MID(Sync!$P370,FIND("/",Sync!$P370)+1,20))+1,20))),"")))</f>
        <v/>
      </c>
      <c r="AI370">
        <f>IF($AE370="","",IF(OR($AF370="",$AG370="",$AH370="",$AF370&lt;1300,$AF370&gt;1500,$AG370&lt;1,$AG370&gt;12,$AH370&lt;1,$AH370&gt;31),"نامعتبر",RIGHT("0000"&amp;$AF370,4)&amp;"/"&amp;RIGHT("00"&amp;$AG370,2)&amp;"/"&amp;RIGHT("00"&amp;$AH370,2)))</f>
        <v/>
      </c>
      <c r="AJ370">
        <f>IF($AE370="","",IF(Sync!$Q370="","0000",IF(AND(ISNUMBER(Sync!$Q370),Sync!$Q370&gt;=0,Sync!$Q370&lt;1),RIGHT("00"&amp;HOUR(Sync!$Q370),2)&amp;RIGHT("00"&amp;MINUTE(Sync!$Q370),2),IFERROR(RIGHT("00"&amp;VALUE(LEFT(Sync!$Q370,FIND(":",Sync!$Q370)-1)),2)&amp;RIGHT("00"&amp;VALUE(MID(Sync!$Q370,FIND(":",Sync!$Q370)+1,2)),2),"0000"))))</f>
        <v/>
      </c>
      <c r="AK370">
        <f>IF(OR($AE370="",$AI370="",$AI370="نامعتبر"),"",LEFT($AI370,4)&amp;MID($AI370,6,2)&amp;RIGHT($AI370,2)&amp;$AJ370&amp;"|"&amp;"3"&amp;RIGHT("00000"&amp;365,5))</f>
        <v/>
      </c>
      <c r="AL370">
        <f>IF($AK370="","",COUNTIFS(LdAParty,$AE370,LdAType,1,LdAKey,"&lt;"&amp;$AK370)+COUNTIFS(LdBMember,$AE370,LdBKey,"&lt;"&amp;$AK370)+COUNTIFS(LdCParty,$AE370,LdCKey,"&lt;"&amp;$AK370)+1)</f>
        <v/>
      </c>
      <c r="AM370">
        <f>IF($AL370="","",$AE370&amp;"|"&amp;RIGHT("000000"&amp;$AL370,6))</f>
        <v/>
      </c>
      <c r="AN370">
        <f>IF($AE370="","",IF(Sync!$W370="",0,Sync!$W370))</f>
        <v/>
      </c>
      <c r="AO370">
        <f>IF($AE370="","",IF(Sync!$X370="",0,Sync!$X370))</f>
        <v/>
      </c>
      <c r="AP370">
        <f>IF($AE370="","",Sync!$R370)</f>
        <v/>
      </c>
      <c r="AQ370">
        <f>IF($AE370="","",Sync!$Y370)</f>
        <v/>
      </c>
    </row>
    <row r="371">
      <c r="A371">
        <f>IF(OR(Wages!$B374="",Wages!$E374=""),"",Wages!$E374)</f>
        <v/>
      </c>
      <c r="B371">
        <f>IF($A371="","",IF(Wages!$C374="دستمزد گروهی",2,1))</f>
        <v/>
      </c>
      <c r="C371">
        <f>IF($A371="","",IF(ISNUMBER(Wages!$B374),IF(AND(Wages!$B374&gt;=10000101,Wages!$B374&lt;=99991231),INT(Wages!$B374/10000),""),IFERROR(VALUE(TRIM(LEFT(Wages!$B374,FIND("/",Wages!$B374)-1))),"")))</f>
        <v/>
      </c>
      <c r="D371">
        <f>IF(OR($A371="",$C371=""),"",IF(ISNUMBER(Wages!$B374),INT(MOD(Wages!$B374,10000)/100),IFERROR(VALUE(TRIM(LEFT(MID(Wages!$B374,FIND("/",Wages!$B374)+1,20),FIND("/",MID(Wages!$B374,FIND("/",Wages!$B374)+1,20))-1))),"")))</f>
        <v/>
      </c>
      <c r="E371">
        <f>IF(OR($A371="",$C371=""),"",IF(ISNUMBER(Wages!$B374),MOD(Wages!$B374,100),IFERROR(VALUE(TRIM(MID(MID(Wages!$B374,FIND("/",Wages!$B374)+1,20),FIND("/",MID(Wages!$B374,FIND("/",Wages!$B374)+1,20))+1,20))),"")))</f>
        <v/>
      </c>
      <c r="F371">
        <f>IF($A371="","",IF(OR($C371="",$D371="",$E371="",$C371&lt;1300,$C371&gt;1500,$D371&lt;1,$D371&gt;12,$E371&lt;1,$E371&gt;31),"نامعتبر",RIGHT("0000"&amp;$C371,4)&amp;"/"&amp;RIGHT("00"&amp;$D371,2)&amp;"/"&amp;RIGHT("00"&amp;$E371,2)))</f>
        <v/>
      </c>
      <c r="G371">
        <f>IF(OR($A371="",$F371="",$F371="نامعتبر"),"",LEFT($F371,4)&amp;MID($F371,6,2)&amp;RIGHT($F371,2)&amp;"0000"&amp;"|"&amp;"1"&amp;RIGHT("00000"&amp;366,5))</f>
        <v/>
      </c>
      <c r="H371">
        <f>IF(OR($B371&lt;&gt;1,$G371=""),"",COUNTIFS(LdAParty,$A371,LdAType,1,LdAKey,"&lt;"&amp;$G371)+COUNTIFS(LdBMember,$A371,LdBKey,"&lt;"&amp;$G371)+COUNTIFS(LdCParty,$A371,LdCKey,"&lt;"&amp;$G371)+1)</f>
        <v/>
      </c>
      <c r="I371">
        <f>IF($H371="","",$A371&amp;"|"&amp;RIGHT("000000"&amp;$H371,6))</f>
        <v/>
      </c>
      <c r="J371">
        <f>IF(OR($B371&lt;&gt;2,$G371=""),"",COUNTIFS(LdAParty,$A371,LdAType,2,LdAKey,"&lt;"&amp;$G371)+1)</f>
        <v/>
      </c>
      <c r="K371">
        <f>IF($J371="","",$A371&amp;"|"&amp;RIGHT("000000"&amp;$J371,6))</f>
        <v/>
      </c>
      <c r="L371">
        <f>IF($A371="","",IF(Wages!$G374="",0,Wages!$G374))</f>
        <v/>
      </c>
      <c r="M371">
        <f>IF($A371="","",Wages!$J374)</f>
        <v/>
      </c>
      <c r="N371">
        <f>IF($A371="","",Wages!$D374)</f>
        <v/>
      </c>
      <c r="P371">
        <f>IF(OR(Shares!$B374="",Shares!$C374=""),"",Shares!$C374)</f>
        <v/>
      </c>
      <c r="Q371">
        <f>IF($P371="","",Shares!$B374)</f>
        <v/>
      </c>
      <c r="R371">
        <f>IF($P371="","",IFERROR(INDEX(WageParty,MATCH($Q371,WageIds,0)),""))</f>
        <v/>
      </c>
      <c r="S371">
        <f>IF($P371="","",IFERROR(INDEX($F$6:$F$2005,MATCH($Q371,WageIds,0)),""))</f>
        <v/>
      </c>
      <c r="T371">
        <f>IF(OR($P371="",$S371="",$S371="نامعتبر"),"",LEFT($S371,4)&amp;MID($S371,6,2)&amp;RIGHT($S371,2)&amp;"0000"&amp;"|"&amp;"2"&amp;RIGHT("00000"&amp;366,5))</f>
        <v/>
      </c>
      <c r="U371">
        <f>IF($T371="","",COUNTIFS(LdAParty,$P371,LdAType,1,LdAKey,"&lt;"&amp;$T371)+COUNTIFS(LdBMember,$P371,LdBKey,"&lt;"&amp;$T371)+COUNTIFS(LdCParty,$P371,LdCKey,"&lt;"&amp;$T371)+1)</f>
        <v/>
      </c>
      <c r="V371">
        <f>IF($U371="","",$P371&amp;"|"&amp;RIGHT("000000"&amp;$U371,6))</f>
        <v/>
      </c>
      <c r="W371">
        <f>IF($T371="","",COUNTIFS(LdBGroup,$R371,LdBKey,"&lt;"&amp;$T371)+1)</f>
        <v/>
      </c>
      <c r="X371">
        <f>IF($W371="","",$R371&amp;"|"&amp;RIGHT("000000"&amp;$W371,6))</f>
        <v/>
      </c>
      <c r="Y371">
        <f>IF($P371="","",IF(Shares!$E374="",0,Shares!$E374))</f>
        <v/>
      </c>
      <c r="Z371">
        <f>IF($P371="","",Shares!$H374)</f>
        <v/>
      </c>
      <c r="AE371">
        <f>IF(OR(Sync!$S371="",Sync!$P371=""),"",Sync!$S371)</f>
        <v/>
      </c>
      <c r="AF371">
        <f>IF($AE371="","",IF(ISNUMBER(Sync!$P371),IF(AND(Sync!$P371&gt;=10000101,Sync!$P371&lt;=99991231),INT(Sync!$P371/10000),""),IFERROR(VALUE(TRIM(LEFT(Sync!$P371,FIND("/",Sync!$P371)-1))),"")))</f>
        <v/>
      </c>
      <c r="AG371">
        <f>IF(OR($AE371="",$AF371=""),"",IF(ISNUMBER(Sync!$P371),INT(MOD(Sync!$P371,10000)/100),IFERROR(VALUE(TRIM(LEFT(MID(Sync!$P371,FIND("/",Sync!$P371)+1,20),FIND("/",MID(Sync!$P371,FIND("/",Sync!$P371)+1,20))-1))),"")))</f>
        <v/>
      </c>
      <c r="AH371">
        <f>IF(OR($AE371="",$AF371=""),"",IF(ISNUMBER(Sync!$P371),MOD(Sync!$P371,100),IFERROR(VALUE(TRIM(MID(MID(Sync!$P371,FIND("/",Sync!$P371)+1,20),FIND("/",MID(Sync!$P371,FIND("/",Sync!$P371)+1,20))+1,20))),"")))</f>
        <v/>
      </c>
      <c r="AI371">
        <f>IF($AE371="","",IF(OR($AF371="",$AG371="",$AH371="",$AF371&lt;1300,$AF371&gt;1500,$AG371&lt;1,$AG371&gt;12,$AH371&lt;1,$AH371&gt;31),"نامعتبر",RIGHT("0000"&amp;$AF371,4)&amp;"/"&amp;RIGHT("00"&amp;$AG371,2)&amp;"/"&amp;RIGHT("00"&amp;$AH371,2)))</f>
        <v/>
      </c>
      <c r="AJ371">
        <f>IF($AE371="","",IF(Sync!$Q371="","0000",IF(AND(ISNUMBER(Sync!$Q371),Sync!$Q371&gt;=0,Sync!$Q371&lt;1),RIGHT("00"&amp;HOUR(Sync!$Q371),2)&amp;RIGHT("00"&amp;MINUTE(Sync!$Q371),2),IFERROR(RIGHT("00"&amp;VALUE(LEFT(Sync!$Q371,FIND(":",Sync!$Q371)-1)),2)&amp;RIGHT("00"&amp;VALUE(MID(Sync!$Q371,FIND(":",Sync!$Q371)+1,2)),2),"0000"))))</f>
        <v/>
      </c>
      <c r="AK371">
        <f>IF(OR($AE371="",$AI371="",$AI371="نامعتبر"),"",LEFT($AI371,4)&amp;MID($AI371,6,2)&amp;RIGHT($AI371,2)&amp;$AJ371&amp;"|"&amp;"3"&amp;RIGHT("00000"&amp;366,5))</f>
        <v/>
      </c>
      <c r="AL371">
        <f>IF($AK371="","",COUNTIFS(LdAParty,$AE371,LdAType,1,LdAKey,"&lt;"&amp;$AK371)+COUNTIFS(LdBMember,$AE371,LdBKey,"&lt;"&amp;$AK371)+COUNTIFS(LdCParty,$AE371,LdCKey,"&lt;"&amp;$AK371)+1)</f>
        <v/>
      </c>
      <c r="AM371">
        <f>IF($AL371="","",$AE371&amp;"|"&amp;RIGHT("000000"&amp;$AL371,6))</f>
        <v/>
      </c>
      <c r="AN371">
        <f>IF($AE371="","",IF(Sync!$W371="",0,Sync!$W371))</f>
        <v/>
      </c>
      <c r="AO371">
        <f>IF($AE371="","",IF(Sync!$X371="",0,Sync!$X371))</f>
        <v/>
      </c>
      <c r="AP371">
        <f>IF($AE371="","",Sync!$R371)</f>
        <v/>
      </c>
      <c r="AQ371">
        <f>IF($AE371="","",Sync!$Y371)</f>
        <v/>
      </c>
    </row>
    <row r="372">
      <c r="A372">
        <f>IF(OR(Wages!$B375="",Wages!$E375=""),"",Wages!$E375)</f>
        <v/>
      </c>
      <c r="B372">
        <f>IF($A372="","",IF(Wages!$C375="دستمزد گروهی",2,1))</f>
        <v/>
      </c>
      <c r="C372">
        <f>IF($A372="","",IF(ISNUMBER(Wages!$B375),IF(AND(Wages!$B375&gt;=10000101,Wages!$B375&lt;=99991231),INT(Wages!$B375/10000),""),IFERROR(VALUE(TRIM(LEFT(Wages!$B375,FIND("/",Wages!$B375)-1))),"")))</f>
        <v/>
      </c>
      <c r="D372">
        <f>IF(OR($A372="",$C372=""),"",IF(ISNUMBER(Wages!$B375),INT(MOD(Wages!$B375,10000)/100),IFERROR(VALUE(TRIM(LEFT(MID(Wages!$B375,FIND("/",Wages!$B375)+1,20),FIND("/",MID(Wages!$B375,FIND("/",Wages!$B375)+1,20))-1))),"")))</f>
        <v/>
      </c>
      <c r="E372">
        <f>IF(OR($A372="",$C372=""),"",IF(ISNUMBER(Wages!$B375),MOD(Wages!$B375,100),IFERROR(VALUE(TRIM(MID(MID(Wages!$B375,FIND("/",Wages!$B375)+1,20),FIND("/",MID(Wages!$B375,FIND("/",Wages!$B375)+1,20))+1,20))),"")))</f>
        <v/>
      </c>
      <c r="F372">
        <f>IF($A372="","",IF(OR($C372="",$D372="",$E372="",$C372&lt;1300,$C372&gt;1500,$D372&lt;1,$D372&gt;12,$E372&lt;1,$E372&gt;31),"نامعتبر",RIGHT("0000"&amp;$C372,4)&amp;"/"&amp;RIGHT("00"&amp;$D372,2)&amp;"/"&amp;RIGHT("00"&amp;$E372,2)))</f>
        <v/>
      </c>
      <c r="G372">
        <f>IF(OR($A372="",$F372="",$F372="نامعتبر"),"",LEFT($F372,4)&amp;MID($F372,6,2)&amp;RIGHT($F372,2)&amp;"0000"&amp;"|"&amp;"1"&amp;RIGHT("00000"&amp;367,5))</f>
        <v/>
      </c>
      <c r="H372">
        <f>IF(OR($B372&lt;&gt;1,$G372=""),"",COUNTIFS(LdAParty,$A372,LdAType,1,LdAKey,"&lt;"&amp;$G372)+COUNTIFS(LdBMember,$A372,LdBKey,"&lt;"&amp;$G372)+COUNTIFS(LdCParty,$A372,LdCKey,"&lt;"&amp;$G372)+1)</f>
        <v/>
      </c>
      <c r="I372">
        <f>IF($H372="","",$A372&amp;"|"&amp;RIGHT("000000"&amp;$H372,6))</f>
        <v/>
      </c>
      <c r="J372">
        <f>IF(OR($B372&lt;&gt;2,$G372=""),"",COUNTIFS(LdAParty,$A372,LdAType,2,LdAKey,"&lt;"&amp;$G372)+1)</f>
        <v/>
      </c>
      <c r="K372">
        <f>IF($J372="","",$A372&amp;"|"&amp;RIGHT("000000"&amp;$J372,6))</f>
        <v/>
      </c>
      <c r="L372">
        <f>IF($A372="","",IF(Wages!$G375="",0,Wages!$G375))</f>
        <v/>
      </c>
      <c r="M372">
        <f>IF($A372="","",Wages!$J375)</f>
        <v/>
      </c>
      <c r="N372">
        <f>IF($A372="","",Wages!$D375)</f>
        <v/>
      </c>
      <c r="P372">
        <f>IF(OR(Shares!$B375="",Shares!$C375=""),"",Shares!$C375)</f>
        <v/>
      </c>
      <c r="Q372">
        <f>IF($P372="","",Shares!$B375)</f>
        <v/>
      </c>
      <c r="R372">
        <f>IF($P372="","",IFERROR(INDEX(WageParty,MATCH($Q372,WageIds,0)),""))</f>
        <v/>
      </c>
      <c r="S372">
        <f>IF($P372="","",IFERROR(INDEX($F$6:$F$2005,MATCH($Q372,WageIds,0)),""))</f>
        <v/>
      </c>
      <c r="T372">
        <f>IF(OR($P372="",$S372="",$S372="نامعتبر"),"",LEFT($S372,4)&amp;MID($S372,6,2)&amp;RIGHT($S372,2)&amp;"0000"&amp;"|"&amp;"2"&amp;RIGHT("00000"&amp;367,5))</f>
        <v/>
      </c>
      <c r="U372">
        <f>IF($T372="","",COUNTIFS(LdAParty,$P372,LdAType,1,LdAKey,"&lt;"&amp;$T372)+COUNTIFS(LdBMember,$P372,LdBKey,"&lt;"&amp;$T372)+COUNTIFS(LdCParty,$P372,LdCKey,"&lt;"&amp;$T372)+1)</f>
        <v/>
      </c>
      <c r="V372">
        <f>IF($U372="","",$P372&amp;"|"&amp;RIGHT("000000"&amp;$U372,6))</f>
        <v/>
      </c>
      <c r="W372">
        <f>IF($T372="","",COUNTIFS(LdBGroup,$R372,LdBKey,"&lt;"&amp;$T372)+1)</f>
        <v/>
      </c>
      <c r="X372">
        <f>IF($W372="","",$R372&amp;"|"&amp;RIGHT("000000"&amp;$W372,6))</f>
        <v/>
      </c>
      <c r="Y372">
        <f>IF($P372="","",IF(Shares!$E375="",0,Shares!$E375))</f>
        <v/>
      </c>
      <c r="Z372">
        <f>IF($P372="","",Shares!$H375)</f>
        <v/>
      </c>
      <c r="AE372">
        <f>IF(OR(Sync!$S372="",Sync!$P372=""),"",Sync!$S372)</f>
        <v/>
      </c>
      <c r="AF372">
        <f>IF($AE372="","",IF(ISNUMBER(Sync!$P372),IF(AND(Sync!$P372&gt;=10000101,Sync!$P372&lt;=99991231),INT(Sync!$P372/10000),""),IFERROR(VALUE(TRIM(LEFT(Sync!$P372,FIND("/",Sync!$P372)-1))),"")))</f>
        <v/>
      </c>
      <c r="AG372">
        <f>IF(OR($AE372="",$AF372=""),"",IF(ISNUMBER(Sync!$P372),INT(MOD(Sync!$P372,10000)/100),IFERROR(VALUE(TRIM(LEFT(MID(Sync!$P372,FIND("/",Sync!$P372)+1,20),FIND("/",MID(Sync!$P372,FIND("/",Sync!$P372)+1,20))-1))),"")))</f>
        <v/>
      </c>
      <c r="AH372">
        <f>IF(OR($AE372="",$AF372=""),"",IF(ISNUMBER(Sync!$P372),MOD(Sync!$P372,100),IFERROR(VALUE(TRIM(MID(MID(Sync!$P372,FIND("/",Sync!$P372)+1,20),FIND("/",MID(Sync!$P372,FIND("/",Sync!$P372)+1,20))+1,20))),"")))</f>
        <v/>
      </c>
      <c r="AI372">
        <f>IF($AE372="","",IF(OR($AF372="",$AG372="",$AH372="",$AF372&lt;1300,$AF372&gt;1500,$AG372&lt;1,$AG372&gt;12,$AH372&lt;1,$AH372&gt;31),"نامعتبر",RIGHT("0000"&amp;$AF372,4)&amp;"/"&amp;RIGHT("00"&amp;$AG372,2)&amp;"/"&amp;RIGHT("00"&amp;$AH372,2)))</f>
        <v/>
      </c>
      <c r="AJ372">
        <f>IF($AE372="","",IF(Sync!$Q372="","0000",IF(AND(ISNUMBER(Sync!$Q372),Sync!$Q372&gt;=0,Sync!$Q372&lt;1),RIGHT("00"&amp;HOUR(Sync!$Q372),2)&amp;RIGHT("00"&amp;MINUTE(Sync!$Q372),2),IFERROR(RIGHT("00"&amp;VALUE(LEFT(Sync!$Q372,FIND(":",Sync!$Q372)-1)),2)&amp;RIGHT("00"&amp;VALUE(MID(Sync!$Q372,FIND(":",Sync!$Q372)+1,2)),2),"0000"))))</f>
        <v/>
      </c>
      <c r="AK372">
        <f>IF(OR($AE372="",$AI372="",$AI372="نامعتبر"),"",LEFT($AI372,4)&amp;MID($AI372,6,2)&amp;RIGHT($AI372,2)&amp;$AJ372&amp;"|"&amp;"3"&amp;RIGHT("00000"&amp;367,5))</f>
        <v/>
      </c>
      <c r="AL372">
        <f>IF($AK372="","",COUNTIFS(LdAParty,$AE372,LdAType,1,LdAKey,"&lt;"&amp;$AK372)+COUNTIFS(LdBMember,$AE372,LdBKey,"&lt;"&amp;$AK372)+COUNTIFS(LdCParty,$AE372,LdCKey,"&lt;"&amp;$AK372)+1)</f>
        <v/>
      </c>
      <c r="AM372">
        <f>IF($AL372="","",$AE372&amp;"|"&amp;RIGHT("000000"&amp;$AL372,6))</f>
        <v/>
      </c>
      <c r="AN372">
        <f>IF($AE372="","",IF(Sync!$W372="",0,Sync!$W372))</f>
        <v/>
      </c>
      <c r="AO372">
        <f>IF($AE372="","",IF(Sync!$X372="",0,Sync!$X372))</f>
        <v/>
      </c>
      <c r="AP372">
        <f>IF($AE372="","",Sync!$R372)</f>
        <v/>
      </c>
      <c r="AQ372">
        <f>IF($AE372="","",Sync!$Y372)</f>
        <v/>
      </c>
    </row>
    <row r="373">
      <c r="A373">
        <f>IF(OR(Wages!$B376="",Wages!$E376=""),"",Wages!$E376)</f>
        <v/>
      </c>
      <c r="B373">
        <f>IF($A373="","",IF(Wages!$C376="دستمزد گروهی",2,1))</f>
        <v/>
      </c>
      <c r="C373">
        <f>IF($A373="","",IF(ISNUMBER(Wages!$B376),IF(AND(Wages!$B376&gt;=10000101,Wages!$B376&lt;=99991231),INT(Wages!$B376/10000),""),IFERROR(VALUE(TRIM(LEFT(Wages!$B376,FIND("/",Wages!$B376)-1))),"")))</f>
        <v/>
      </c>
      <c r="D373">
        <f>IF(OR($A373="",$C373=""),"",IF(ISNUMBER(Wages!$B376),INT(MOD(Wages!$B376,10000)/100),IFERROR(VALUE(TRIM(LEFT(MID(Wages!$B376,FIND("/",Wages!$B376)+1,20),FIND("/",MID(Wages!$B376,FIND("/",Wages!$B376)+1,20))-1))),"")))</f>
        <v/>
      </c>
      <c r="E373">
        <f>IF(OR($A373="",$C373=""),"",IF(ISNUMBER(Wages!$B376),MOD(Wages!$B376,100),IFERROR(VALUE(TRIM(MID(MID(Wages!$B376,FIND("/",Wages!$B376)+1,20),FIND("/",MID(Wages!$B376,FIND("/",Wages!$B376)+1,20))+1,20))),"")))</f>
        <v/>
      </c>
      <c r="F373">
        <f>IF($A373="","",IF(OR($C373="",$D373="",$E373="",$C373&lt;1300,$C373&gt;1500,$D373&lt;1,$D373&gt;12,$E373&lt;1,$E373&gt;31),"نامعتبر",RIGHT("0000"&amp;$C373,4)&amp;"/"&amp;RIGHT("00"&amp;$D373,2)&amp;"/"&amp;RIGHT("00"&amp;$E373,2)))</f>
        <v/>
      </c>
      <c r="G373">
        <f>IF(OR($A373="",$F373="",$F373="نامعتبر"),"",LEFT($F373,4)&amp;MID($F373,6,2)&amp;RIGHT($F373,2)&amp;"0000"&amp;"|"&amp;"1"&amp;RIGHT("00000"&amp;368,5))</f>
        <v/>
      </c>
      <c r="H373">
        <f>IF(OR($B373&lt;&gt;1,$G373=""),"",COUNTIFS(LdAParty,$A373,LdAType,1,LdAKey,"&lt;"&amp;$G373)+COUNTIFS(LdBMember,$A373,LdBKey,"&lt;"&amp;$G373)+COUNTIFS(LdCParty,$A373,LdCKey,"&lt;"&amp;$G373)+1)</f>
        <v/>
      </c>
      <c r="I373">
        <f>IF($H373="","",$A373&amp;"|"&amp;RIGHT("000000"&amp;$H373,6))</f>
        <v/>
      </c>
      <c r="J373">
        <f>IF(OR($B373&lt;&gt;2,$G373=""),"",COUNTIFS(LdAParty,$A373,LdAType,2,LdAKey,"&lt;"&amp;$G373)+1)</f>
        <v/>
      </c>
      <c r="K373">
        <f>IF($J373="","",$A373&amp;"|"&amp;RIGHT("000000"&amp;$J373,6))</f>
        <v/>
      </c>
      <c r="L373">
        <f>IF($A373="","",IF(Wages!$G376="",0,Wages!$G376))</f>
        <v/>
      </c>
      <c r="M373">
        <f>IF($A373="","",Wages!$J376)</f>
        <v/>
      </c>
      <c r="N373">
        <f>IF($A373="","",Wages!$D376)</f>
        <v/>
      </c>
      <c r="P373">
        <f>IF(OR(Shares!$B376="",Shares!$C376=""),"",Shares!$C376)</f>
        <v/>
      </c>
      <c r="Q373">
        <f>IF($P373="","",Shares!$B376)</f>
        <v/>
      </c>
      <c r="R373">
        <f>IF($P373="","",IFERROR(INDEX(WageParty,MATCH($Q373,WageIds,0)),""))</f>
        <v/>
      </c>
      <c r="S373">
        <f>IF($P373="","",IFERROR(INDEX($F$6:$F$2005,MATCH($Q373,WageIds,0)),""))</f>
        <v/>
      </c>
      <c r="T373">
        <f>IF(OR($P373="",$S373="",$S373="نامعتبر"),"",LEFT($S373,4)&amp;MID($S373,6,2)&amp;RIGHT($S373,2)&amp;"0000"&amp;"|"&amp;"2"&amp;RIGHT("00000"&amp;368,5))</f>
        <v/>
      </c>
      <c r="U373">
        <f>IF($T373="","",COUNTIFS(LdAParty,$P373,LdAType,1,LdAKey,"&lt;"&amp;$T373)+COUNTIFS(LdBMember,$P373,LdBKey,"&lt;"&amp;$T373)+COUNTIFS(LdCParty,$P373,LdCKey,"&lt;"&amp;$T373)+1)</f>
        <v/>
      </c>
      <c r="V373">
        <f>IF($U373="","",$P373&amp;"|"&amp;RIGHT("000000"&amp;$U373,6))</f>
        <v/>
      </c>
      <c r="W373">
        <f>IF($T373="","",COUNTIFS(LdBGroup,$R373,LdBKey,"&lt;"&amp;$T373)+1)</f>
        <v/>
      </c>
      <c r="X373">
        <f>IF($W373="","",$R373&amp;"|"&amp;RIGHT("000000"&amp;$W373,6))</f>
        <v/>
      </c>
      <c r="Y373">
        <f>IF($P373="","",IF(Shares!$E376="",0,Shares!$E376))</f>
        <v/>
      </c>
      <c r="Z373">
        <f>IF($P373="","",Shares!$H376)</f>
        <v/>
      </c>
      <c r="AE373">
        <f>IF(OR(Sync!$S373="",Sync!$P373=""),"",Sync!$S373)</f>
        <v/>
      </c>
      <c r="AF373">
        <f>IF($AE373="","",IF(ISNUMBER(Sync!$P373),IF(AND(Sync!$P373&gt;=10000101,Sync!$P373&lt;=99991231),INT(Sync!$P373/10000),""),IFERROR(VALUE(TRIM(LEFT(Sync!$P373,FIND("/",Sync!$P373)-1))),"")))</f>
        <v/>
      </c>
      <c r="AG373">
        <f>IF(OR($AE373="",$AF373=""),"",IF(ISNUMBER(Sync!$P373),INT(MOD(Sync!$P373,10000)/100),IFERROR(VALUE(TRIM(LEFT(MID(Sync!$P373,FIND("/",Sync!$P373)+1,20),FIND("/",MID(Sync!$P373,FIND("/",Sync!$P373)+1,20))-1))),"")))</f>
        <v/>
      </c>
      <c r="AH373">
        <f>IF(OR($AE373="",$AF373=""),"",IF(ISNUMBER(Sync!$P373),MOD(Sync!$P373,100),IFERROR(VALUE(TRIM(MID(MID(Sync!$P373,FIND("/",Sync!$P373)+1,20),FIND("/",MID(Sync!$P373,FIND("/",Sync!$P373)+1,20))+1,20))),"")))</f>
        <v/>
      </c>
      <c r="AI373">
        <f>IF($AE373="","",IF(OR($AF373="",$AG373="",$AH373="",$AF373&lt;1300,$AF373&gt;1500,$AG373&lt;1,$AG373&gt;12,$AH373&lt;1,$AH373&gt;31),"نامعتبر",RIGHT("0000"&amp;$AF373,4)&amp;"/"&amp;RIGHT("00"&amp;$AG373,2)&amp;"/"&amp;RIGHT("00"&amp;$AH373,2)))</f>
        <v/>
      </c>
      <c r="AJ373">
        <f>IF($AE373="","",IF(Sync!$Q373="","0000",IF(AND(ISNUMBER(Sync!$Q373),Sync!$Q373&gt;=0,Sync!$Q373&lt;1),RIGHT("00"&amp;HOUR(Sync!$Q373),2)&amp;RIGHT("00"&amp;MINUTE(Sync!$Q373),2),IFERROR(RIGHT("00"&amp;VALUE(LEFT(Sync!$Q373,FIND(":",Sync!$Q373)-1)),2)&amp;RIGHT("00"&amp;VALUE(MID(Sync!$Q373,FIND(":",Sync!$Q373)+1,2)),2),"0000"))))</f>
        <v/>
      </c>
      <c r="AK373">
        <f>IF(OR($AE373="",$AI373="",$AI373="نامعتبر"),"",LEFT($AI373,4)&amp;MID($AI373,6,2)&amp;RIGHT($AI373,2)&amp;$AJ373&amp;"|"&amp;"3"&amp;RIGHT("00000"&amp;368,5))</f>
        <v/>
      </c>
      <c r="AL373">
        <f>IF($AK373="","",COUNTIFS(LdAParty,$AE373,LdAType,1,LdAKey,"&lt;"&amp;$AK373)+COUNTIFS(LdBMember,$AE373,LdBKey,"&lt;"&amp;$AK373)+COUNTIFS(LdCParty,$AE373,LdCKey,"&lt;"&amp;$AK373)+1)</f>
        <v/>
      </c>
      <c r="AM373">
        <f>IF($AL373="","",$AE373&amp;"|"&amp;RIGHT("000000"&amp;$AL373,6))</f>
        <v/>
      </c>
      <c r="AN373">
        <f>IF($AE373="","",IF(Sync!$W373="",0,Sync!$W373))</f>
        <v/>
      </c>
      <c r="AO373">
        <f>IF($AE373="","",IF(Sync!$X373="",0,Sync!$X373))</f>
        <v/>
      </c>
      <c r="AP373">
        <f>IF($AE373="","",Sync!$R373)</f>
        <v/>
      </c>
      <c r="AQ373">
        <f>IF($AE373="","",Sync!$Y373)</f>
        <v/>
      </c>
    </row>
    <row r="374">
      <c r="A374">
        <f>IF(OR(Wages!$B377="",Wages!$E377=""),"",Wages!$E377)</f>
        <v/>
      </c>
      <c r="B374">
        <f>IF($A374="","",IF(Wages!$C377="دستمزد گروهی",2,1))</f>
        <v/>
      </c>
      <c r="C374">
        <f>IF($A374="","",IF(ISNUMBER(Wages!$B377),IF(AND(Wages!$B377&gt;=10000101,Wages!$B377&lt;=99991231),INT(Wages!$B377/10000),""),IFERROR(VALUE(TRIM(LEFT(Wages!$B377,FIND("/",Wages!$B377)-1))),"")))</f>
        <v/>
      </c>
      <c r="D374">
        <f>IF(OR($A374="",$C374=""),"",IF(ISNUMBER(Wages!$B377),INT(MOD(Wages!$B377,10000)/100),IFERROR(VALUE(TRIM(LEFT(MID(Wages!$B377,FIND("/",Wages!$B377)+1,20),FIND("/",MID(Wages!$B377,FIND("/",Wages!$B377)+1,20))-1))),"")))</f>
        <v/>
      </c>
      <c r="E374">
        <f>IF(OR($A374="",$C374=""),"",IF(ISNUMBER(Wages!$B377),MOD(Wages!$B377,100),IFERROR(VALUE(TRIM(MID(MID(Wages!$B377,FIND("/",Wages!$B377)+1,20),FIND("/",MID(Wages!$B377,FIND("/",Wages!$B377)+1,20))+1,20))),"")))</f>
        <v/>
      </c>
      <c r="F374">
        <f>IF($A374="","",IF(OR($C374="",$D374="",$E374="",$C374&lt;1300,$C374&gt;1500,$D374&lt;1,$D374&gt;12,$E374&lt;1,$E374&gt;31),"نامعتبر",RIGHT("0000"&amp;$C374,4)&amp;"/"&amp;RIGHT("00"&amp;$D374,2)&amp;"/"&amp;RIGHT("00"&amp;$E374,2)))</f>
        <v/>
      </c>
      <c r="G374">
        <f>IF(OR($A374="",$F374="",$F374="نامعتبر"),"",LEFT($F374,4)&amp;MID($F374,6,2)&amp;RIGHT($F374,2)&amp;"0000"&amp;"|"&amp;"1"&amp;RIGHT("00000"&amp;369,5))</f>
        <v/>
      </c>
      <c r="H374">
        <f>IF(OR($B374&lt;&gt;1,$G374=""),"",COUNTIFS(LdAParty,$A374,LdAType,1,LdAKey,"&lt;"&amp;$G374)+COUNTIFS(LdBMember,$A374,LdBKey,"&lt;"&amp;$G374)+COUNTIFS(LdCParty,$A374,LdCKey,"&lt;"&amp;$G374)+1)</f>
        <v/>
      </c>
      <c r="I374">
        <f>IF($H374="","",$A374&amp;"|"&amp;RIGHT("000000"&amp;$H374,6))</f>
        <v/>
      </c>
      <c r="J374">
        <f>IF(OR($B374&lt;&gt;2,$G374=""),"",COUNTIFS(LdAParty,$A374,LdAType,2,LdAKey,"&lt;"&amp;$G374)+1)</f>
        <v/>
      </c>
      <c r="K374">
        <f>IF($J374="","",$A374&amp;"|"&amp;RIGHT("000000"&amp;$J374,6))</f>
        <v/>
      </c>
      <c r="L374">
        <f>IF($A374="","",IF(Wages!$G377="",0,Wages!$G377))</f>
        <v/>
      </c>
      <c r="M374">
        <f>IF($A374="","",Wages!$J377)</f>
        <v/>
      </c>
      <c r="N374">
        <f>IF($A374="","",Wages!$D377)</f>
        <v/>
      </c>
      <c r="P374">
        <f>IF(OR(Shares!$B377="",Shares!$C377=""),"",Shares!$C377)</f>
        <v/>
      </c>
      <c r="Q374">
        <f>IF($P374="","",Shares!$B377)</f>
        <v/>
      </c>
      <c r="R374">
        <f>IF($P374="","",IFERROR(INDEX(WageParty,MATCH($Q374,WageIds,0)),""))</f>
        <v/>
      </c>
      <c r="S374">
        <f>IF($P374="","",IFERROR(INDEX($F$6:$F$2005,MATCH($Q374,WageIds,0)),""))</f>
        <v/>
      </c>
      <c r="T374">
        <f>IF(OR($P374="",$S374="",$S374="نامعتبر"),"",LEFT($S374,4)&amp;MID($S374,6,2)&amp;RIGHT($S374,2)&amp;"0000"&amp;"|"&amp;"2"&amp;RIGHT("00000"&amp;369,5))</f>
        <v/>
      </c>
      <c r="U374">
        <f>IF($T374="","",COUNTIFS(LdAParty,$P374,LdAType,1,LdAKey,"&lt;"&amp;$T374)+COUNTIFS(LdBMember,$P374,LdBKey,"&lt;"&amp;$T374)+COUNTIFS(LdCParty,$P374,LdCKey,"&lt;"&amp;$T374)+1)</f>
        <v/>
      </c>
      <c r="V374">
        <f>IF($U374="","",$P374&amp;"|"&amp;RIGHT("000000"&amp;$U374,6))</f>
        <v/>
      </c>
      <c r="W374">
        <f>IF($T374="","",COUNTIFS(LdBGroup,$R374,LdBKey,"&lt;"&amp;$T374)+1)</f>
        <v/>
      </c>
      <c r="X374">
        <f>IF($W374="","",$R374&amp;"|"&amp;RIGHT("000000"&amp;$W374,6))</f>
        <v/>
      </c>
      <c r="Y374">
        <f>IF($P374="","",IF(Shares!$E377="",0,Shares!$E377))</f>
        <v/>
      </c>
      <c r="Z374">
        <f>IF($P374="","",Shares!$H377)</f>
        <v/>
      </c>
      <c r="AE374">
        <f>IF(OR(Sync!$S374="",Sync!$P374=""),"",Sync!$S374)</f>
        <v/>
      </c>
      <c r="AF374">
        <f>IF($AE374="","",IF(ISNUMBER(Sync!$P374),IF(AND(Sync!$P374&gt;=10000101,Sync!$P374&lt;=99991231),INT(Sync!$P374/10000),""),IFERROR(VALUE(TRIM(LEFT(Sync!$P374,FIND("/",Sync!$P374)-1))),"")))</f>
        <v/>
      </c>
      <c r="AG374">
        <f>IF(OR($AE374="",$AF374=""),"",IF(ISNUMBER(Sync!$P374),INT(MOD(Sync!$P374,10000)/100),IFERROR(VALUE(TRIM(LEFT(MID(Sync!$P374,FIND("/",Sync!$P374)+1,20),FIND("/",MID(Sync!$P374,FIND("/",Sync!$P374)+1,20))-1))),"")))</f>
        <v/>
      </c>
      <c r="AH374">
        <f>IF(OR($AE374="",$AF374=""),"",IF(ISNUMBER(Sync!$P374),MOD(Sync!$P374,100),IFERROR(VALUE(TRIM(MID(MID(Sync!$P374,FIND("/",Sync!$P374)+1,20),FIND("/",MID(Sync!$P374,FIND("/",Sync!$P374)+1,20))+1,20))),"")))</f>
        <v/>
      </c>
      <c r="AI374">
        <f>IF($AE374="","",IF(OR($AF374="",$AG374="",$AH374="",$AF374&lt;1300,$AF374&gt;1500,$AG374&lt;1,$AG374&gt;12,$AH374&lt;1,$AH374&gt;31),"نامعتبر",RIGHT("0000"&amp;$AF374,4)&amp;"/"&amp;RIGHT("00"&amp;$AG374,2)&amp;"/"&amp;RIGHT("00"&amp;$AH374,2)))</f>
        <v/>
      </c>
      <c r="AJ374">
        <f>IF($AE374="","",IF(Sync!$Q374="","0000",IF(AND(ISNUMBER(Sync!$Q374),Sync!$Q374&gt;=0,Sync!$Q374&lt;1),RIGHT("00"&amp;HOUR(Sync!$Q374),2)&amp;RIGHT("00"&amp;MINUTE(Sync!$Q374),2),IFERROR(RIGHT("00"&amp;VALUE(LEFT(Sync!$Q374,FIND(":",Sync!$Q374)-1)),2)&amp;RIGHT("00"&amp;VALUE(MID(Sync!$Q374,FIND(":",Sync!$Q374)+1,2)),2),"0000"))))</f>
        <v/>
      </c>
      <c r="AK374">
        <f>IF(OR($AE374="",$AI374="",$AI374="نامعتبر"),"",LEFT($AI374,4)&amp;MID($AI374,6,2)&amp;RIGHT($AI374,2)&amp;$AJ374&amp;"|"&amp;"3"&amp;RIGHT("00000"&amp;369,5))</f>
        <v/>
      </c>
      <c r="AL374">
        <f>IF($AK374="","",COUNTIFS(LdAParty,$AE374,LdAType,1,LdAKey,"&lt;"&amp;$AK374)+COUNTIFS(LdBMember,$AE374,LdBKey,"&lt;"&amp;$AK374)+COUNTIFS(LdCParty,$AE374,LdCKey,"&lt;"&amp;$AK374)+1)</f>
        <v/>
      </c>
      <c r="AM374">
        <f>IF($AL374="","",$AE374&amp;"|"&amp;RIGHT("000000"&amp;$AL374,6))</f>
        <v/>
      </c>
      <c r="AN374">
        <f>IF($AE374="","",IF(Sync!$W374="",0,Sync!$W374))</f>
        <v/>
      </c>
      <c r="AO374">
        <f>IF($AE374="","",IF(Sync!$X374="",0,Sync!$X374))</f>
        <v/>
      </c>
      <c r="AP374">
        <f>IF($AE374="","",Sync!$R374)</f>
        <v/>
      </c>
      <c r="AQ374">
        <f>IF($AE374="","",Sync!$Y374)</f>
        <v/>
      </c>
    </row>
    <row r="375">
      <c r="A375">
        <f>IF(OR(Wages!$B378="",Wages!$E378=""),"",Wages!$E378)</f>
        <v/>
      </c>
      <c r="B375">
        <f>IF($A375="","",IF(Wages!$C378="دستمزد گروهی",2,1))</f>
        <v/>
      </c>
      <c r="C375">
        <f>IF($A375="","",IF(ISNUMBER(Wages!$B378),IF(AND(Wages!$B378&gt;=10000101,Wages!$B378&lt;=99991231),INT(Wages!$B378/10000),""),IFERROR(VALUE(TRIM(LEFT(Wages!$B378,FIND("/",Wages!$B378)-1))),"")))</f>
        <v/>
      </c>
      <c r="D375">
        <f>IF(OR($A375="",$C375=""),"",IF(ISNUMBER(Wages!$B378),INT(MOD(Wages!$B378,10000)/100),IFERROR(VALUE(TRIM(LEFT(MID(Wages!$B378,FIND("/",Wages!$B378)+1,20),FIND("/",MID(Wages!$B378,FIND("/",Wages!$B378)+1,20))-1))),"")))</f>
        <v/>
      </c>
      <c r="E375">
        <f>IF(OR($A375="",$C375=""),"",IF(ISNUMBER(Wages!$B378),MOD(Wages!$B378,100),IFERROR(VALUE(TRIM(MID(MID(Wages!$B378,FIND("/",Wages!$B378)+1,20),FIND("/",MID(Wages!$B378,FIND("/",Wages!$B378)+1,20))+1,20))),"")))</f>
        <v/>
      </c>
      <c r="F375">
        <f>IF($A375="","",IF(OR($C375="",$D375="",$E375="",$C375&lt;1300,$C375&gt;1500,$D375&lt;1,$D375&gt;12,$E375&lt;1,$E375&gt;31),"نامعتبر",RIGHT("0000"&amp;$C375,4)&amp;"/"&amp;RIGHT("00"&amp;$D375,2)&amp;"/"&amp;RIGHT("00"&amp;$E375,2)))</f>
        <v/>
      </c>
      <c r="G375">
        <f>IF(OR($A375="",$F375="",$F375="نامعتبر"),"",LEFT($F375,4)&amp;MID($F375,6,2)&amp;RIGHT($F375,2)&amp;"0000"&amp;"|"&amp;"1"&amp;RIGHT("00000"&amp;370,5))</f>
        <v/>
      </c>
      <c r="H375">
        <f>IF(OR($B375&lt;&gt;1,$G375=""),"",COUNTIFS(LdAParty,$A375,LdAType,1,LdAKey,"&lt;"&amp;$G375)+COUNTIFS(LdBMember,$A375,LdBKey,"&lt;"&amp;$G375)+COUNTIFS(LdCParty,$A375,LdCKey,"&lt;"&amp;$G375)+1)</f>
        <v/>
      </c>
      <c r="I375">
        <f>IF($H375="","",$A375&amp;"|"&amp;RIGHT("000000"&amp;$H375,6))</f>
        <v/>
      </c>
      <c r="J375">
        <f>IF(OR($B375&lt;&gt;2,$G375=""),"",COUNTIFS(LdAParty,$A375,LdAType,2,LdAKey,"&lt;"&amp;$G375)+1)</f>
        <v/>
      </c>
      <c r="K375">
        <f>IF($J375="","",$A375&amp;"|"&amp;RIGHT("000000"&amp;$J375,6))</f>
        <v/>
      </c>
      <c r="L375">
        <f>IF($A375="","",IF(Wages!$G378="",0,Wages!$G378))</f>
        <v/>
      </c>
      <c r="M375">
        <f>IF($A375="","",Wages!$J378)</f>
        <v/>
      </c>
      <c r="N375">
        <f>IF($A375="","",Wages!$D378)</f>
        <v/>
      </c>
      <c r="P375">
        <f>IF(OR(Shares!$B378="",Shares!$C378=""),"",Shares!$C378)</f>
        <v/>
      </c>
      <c r="Q375">
        <f>IF($P375="","",Shares!$B378)</f>
        <v/>
      </c>
      <c r="R375">
        <f>IF($P375="","",IFERROR(INDEX(WageParty,MATCH($Q375,WageIds,0)),""))</f>
        <v/>
      </c>
      <c r="S375">
        <f>IF($P375="","",IFERROR(INDEX($F$6:$F$2005,MATCH($Q375,WageIds,0)),""))</f>
        <v/>
      </c>
      <c r="T375">
        <f>IF(OR($P375="",$S375="",$S375="نامعتبر"),"",LEFT($S375,4)&amp;MID($S375,6,2)&amp;RIGHT($S375,2)&amp;"0000"&amp;"|"&amp;"2"&amp;RIGHT("00000"&amp;370,5))</f>
        <v/>
      </c>
      <c r="U375">
        <f>IF($T375="","",COUNTIFS(LdAParty,$P375,LdAType,1,LdAKey,"&lt;"&amp;$T375)+COUNTIFS(LdBMember,$P375,LdBKey,"&lt;"&amp;$T375)+COUNTIFS(LdCParty,$P375,LdCKey,"&lt;"&amp;$T375)+1)</f>
        <v/>
      </c>
      <c r="V375">
        <f>IF($U375="","",$P375&amp;"|"&amp;RIGHT("000000"&amp;$U375,6))</f>
        <v/>
      </c>
      <c r="W375">
        <f>IF($T375="","",COUNTIFS(LdBGroup,$R375,LdBKey,"&lt;"&amp;$T375)+1)</f>
        <v/>
      </c>
      <c r="X375">
        <f>IF($W375="","",$R375&amp;"|"&amp;RIGHT("000000"&amp;$W375,6))</f>
        <v/>
      </c>
      <c r="Y375">
        <f>IF($P375="","",IF(Shares!$E378="",0,Shares!$E378))</f>
        <v/>
      </c>
      <c r="Z375">
        <f>IF($P375="","",Shares!$H378)</f>
        <v/>
      </c>
      <c r="AE375">
        <f>IF(OR(Sync!$S375="",Sync!$P375=""),"",Sync!$S375)</f>
        <v/>
      </c>
      <c r="AF375">
        <f>IF($AE375="","",IF(ISNUMBER(Sync!$P375),IF(AND(Sync!$P375&gt;=10000101,Sync!$P375&lt;=99991231),INT(Sync!$P375/10000),""),IFERROR(VALUE(TRIM(LEFT(Sync!$P375,FIND("/",Sync!$P375)-1))),"")))</f>
        <v/>
      </c>
      <c r="AG375">
        <f>IF(OR($AE375="",$AF375=""),"",IF(ISNUMBER(Sync!$P375),INT(MOD(Sync!$P375,10000)/100),IFERROR(VALUE(TRIM(LEFT(MID(Sync!$P375,FIND("/",Sync!$P375)+1,20),FIND("/",MID(Sync!$P375,FIND("/",Sync!$P375)+1,20))-1))),"")))</f>
        <v/>
      </c>
      <c r="AH375">
        <f>IF(OR($AE375="",$AF375=""),"",IF(ISNUMBER(Sync!$P375),MOD(Sync!$P375,100),IFERROR(VALUE(TRIM(MID(MID(Sync!$P375,FIND("/",Sync!$P375)+1,20),FIND("/",MID(Sync!$P375,FIND("/",Sync!$P375)+1,20))+1,20))),"")))</f>
        <v/>
      </c>
      <c r="AI375">
        <f>IF($AE375="","",IF(OR($AF375="",$AG375="",$AH375="",$AF375&lt;1300,$AF375&gt;1500,$AG375&lt;1,$AG375&gt;12,$AH375&lt;1,$AH375&gt;31),"نامعتبر",RIGHT("0000"&amp;$AF375,4)&amp;"/"&amp;RIGHT("00"&amp;$AG375,2)&amp;"/"&amp;RIGHT("00"&amp;$AH375,2)))</f>
        <v/>
      </c>
      <c r="AJ375">
        <f>IF($AE375="","",IF(Sync!$Q375="","0000",IF(AND(ISNUMBER(Sync!$Q375),Sync!$Q375&gt;=0,Sync!$Q375&lt;1),RIGHT("00"&amp;HOUR(Sync!$Q375),2)&amp;RIGHT("00"&amp;MINUTE(Sync!$Q375),2),IFERROR(RIGHT("00"&amp;VALUE(LEFT(Sync!$Q375,FIND(":",Sync!$Q375)-1)),2)&amp;RIGHT("00"&amp;VALUE(MID(Sync!$Q375,FIND(":",Sync!$Q375)+1,2)),2),"0000"))))</f>
        <v/>
      </c>
      <c r="AK375">
        <f>IF(OR($AE375="",$AI375="",$AI375="نامعتبر"),"",LEFT($AI375,4)&amp;MID($AI375,6,2)&amp;RIGHT($AI375,2)&amp;$AJ375&amp;"|"&amp;"3"&amp;RIGHT("00000"&amp;370,5))</f>
        <v/>
      </c>
      <c r="AL375">
        <f>IF($AK375="","",COUNTIFS(LdAParty,$AE375,LdAType,1,LdAKey,"&lt;"&amp;$AK375)+COUNTIFS(LdBMember,$AE375,LdBKey,"&lt;"&amp;$AK375)+COUNTIFS(LdCParty,$AE375,LdCKey,"&lt;"&amp;$AK375)+1)</f>
        <v/>
      </c>
      <c r="AM375">
        <f>IF($AL375="","",$AE375&amp;"|"&amp;RIGHT("000000"&amp;$AL375,6))</f>
        <v/>
      </c>
      <c r="AN375">
        <f>IF($AE375="","",IF(Sync!$W375="",0,Sync!$W375))</f>
        <v/>
      </c>
      <c r="AO375">
        <f>IF($AE375="","",IF(Sync!$X375="",0,Sync!$X375))</f>
        <v/>
      </c>
      <c r="AP375">
        <f>IF($AE375="","",Sync!$R375)</f>
        <v/>
      </c>
      <c r="AQ375">
        <f>IF($AE375="","",Sync!$Y375)</f>
        <v/>
      </c>
    </row>
    <row r="376">
      <c r="A376">
        <f>IF(OR(Wages!$B379="",Wages!$E379=""),"",Wages!$E379)</f>
        <v/>
      </c>
      <c r="B376">
        <f>IF($A376="","",IF(Wages!$C379="دستمزد گروهی",2,1))</f>
        <v/>
      </c>
      <c r="C376">
        <f>IF($A376="","",IF(ISNUMBER(Wages!$B379),IF(AND(Wages!$B379&gt;=10000101,Wages!$B379&lt;=99991231),INT(Wages!$B379/10000),""),IFERROR(VALUE(TRIM(LEFT(Wages!$B379,FIND("/",Wages!$B379)-1))),"")))</f>
        <v/>
      </c>
      <c r="D376">
        <f>IF(OR($A376="",$C376=""),"",IF(ISNUMBER(Wages!$B379),INT(MOD(Wages!$B379,10000)/100),IFERROR(VALUE(TRIM(LEFT(MID(Wages!$B379,FIND("/",Wages!$B379)+1,20),FIND("/",MID(Wages!$B379,FIND("/",Wages!$B379)+1,20))-1))),"")))</f>
        <v/>
      </c>
      <c r="E376">
        <f>IF(OR($A376="",$C376=""),"",IF(ISNUMBER(Wages!$B379),MOD(Wages!$B379,100),IFERROR(VALUE(TRIM(MID(MID(Wages!$B379,FIND("/",Wages!$B379)+1,20),FIND("/",MID(Wages!$B379,FIND("/",Wages!$B379)+1,20))+1,20))),"")))</f>
        <v/>
      </c>
      <c r="F376">
        <f>IF($A376="","",IF(OR($C376="",$D376="",$E376="",$C376&lt;1300,$C376&gt;1500,$D376&lt;1,$D376&gt;12,$E376&lt;1,$E376&gt;31),"نامعتبر",RIGHT("0000"&amp;$C376,4)&amp;"/"&amp;RIGHT("00"&amp;$D376,2)&amp;"/"&amp;RIGHT("00"&amp;$E376,2)))</f>
        <v/>
      </c>
      <c r="G376">
        <f>IF(OR($A376="",$F376="",$F376="نامعتبر"),"",LEFT($F376,4)&amp;MID($F376,6,2)&amp;RIGHT($F376,2)&amp;"0000"&amp;"|"&amp;"1"&amp;RIGHT("00000"&amp;371,5))</f>
        <v/>
      </c>
      <c r="H376">
        <f>IF(OR($B376&lt;&gt;1,$G376=""),"",COUNTIFS(LdAParty,$A376,LdAType,1,LdAKey,"&lt;"&amp;$G376)+COUNTIFS(LdBMember,$A376,LdBKey,"&lt;"&amp;$G376)+COUNTIFS(LdCParty,$A376,LdCKey,"&lt;"&amp;$G376)+1)</f>
        <v/>
      </c>
      <c r="I376">
        <f>IF($H376="","",$A376&amp;"|"&amp;RIGHT("000000"&amp;$H376,6))</f>
        <v/>
      </c>
      <c r="J376">
        <f>IF(OR($B376&lt;&gt;2,$G376=""),"",COUNTIFS(LdAParty,$A376,LdAType,2,LdAKey,"&lt;"&amp;$G376)+1)</f>
        <v/>
      </c>
      <c r="K376">
        <f>IF($J376="","",$A376&amp;"|"&amp;RIGHT("000000"&amp;$J376,6))</f>
        <v/>
      </c>
      <c r="L376">
        <f>IF($A376="","",IF(Wages!$G379="",0,Wages!$G379))</f>
        <v/>
      </c>
      <c r="M376">
        <f>IF($A376="","",Wages!$J379)</f>
        <v/>
      </c>
      <c r="N376">
        <f>IF($A376="","",Wages!$D379)</f>
        <v/>
      </c>
      <c r="P376">
        <f>IF(OR(Shares!$B379="",Shares!$C379=""),"",Shares!$C379)</f>
        <v/>
      </c>
      <c r="Q376">
        <f>IF($P376="","",Shares!$B379)</f>
        <v/>
      </c>
      <c r="R376">
        <f>IF($P376="","",IFERROR(INDEX(WageParty,MATCH($Q376,WageIds,0)),""))</f>
        <v/>
      </c>
      <c r="S376">
        <f>IF($P376="","",IFERROR(INDEX($F$6:$F$2005,MATCH($Q376,WageIds,0)),""))</f>
        <v/>
      </c>
      <c r="T376">
        <f>IF(OR($P376="",$S376="",$S376="نامعتبر"),"",LEFT($S376,4)&amp;MID($S376,6,2)&amp;RIGHT($S376,2)&amp;"0000"&amp;"|"&amp;"2"&amp;RIGHT("00000"&amp;371,5))</f>
        <v/>
      </c>
      <c r="U376">
        <f>IF($T376="","",COUNTIFS(LdAParty,$P376,LdAType,1,LdAKey,"&lt;"&amp;$T376)+COUNTIFS(LdBMember,$P376,LdBKey,"&lt;"&amp;$T376)+COUNTIFS(LdCParty,$P376,LdCKey,"&lt;"&amp;$T376)+1)</f>
        <v/>
      </c>
      <c r="V376">
        <f>IF($U376="","",$P376&amp;"|"&amp;RIGHT("000000"&amp;$U376,6))</f>
        <v/>
      </c>
      <c r="W376">
        <f>IF($T376="","",COUNTIFS(LdBGroup,$R376,LdBKey,"&lt;"&amp;$T376)+1)</f>
        <v/>
      </c>
      <c r="X376">
        <f>IF($W376="","",$R376&amp;"|"&amp;RIGHT("000000"&amp;$W376,6))</f>
        <v/>
      </c>
      <c r="Y376">
        <f>IF($P376="","",IF(Shares!$E379="",0,Shares!$E379))</f>
        <v/>
      </c>
      <c r="Z376">
        <f>IF($P376="","",Shares!$H379)</f>
        <v/>
      </c>
      <c r="AE376">
        <f>IF(OR(Sync!$S376="",Sync!$P376=""),"",Sync!$S376)</f>
        <v/>
      </c>
      <c r="AF376">
        <f>IF($AE376="","",IF(ISNUMBER(Sync!$P376),IF(AND(Sync!$P376&gt;=10000101,Sync!$P376&lt;=99991231),INT(Sync!$P376/10000),""),IFERROR(VALUE(TRIM(LEFT(Sync!$P376,FIND("/",Sync!$P376)-1))),"")))</f>
        <v/>
      </c>
      <c r="AG376">
        <f>IF(OR($AE376="",$AF376=""),"",IF(ISNUMBER(Sync!$P376),INT(MOD(Sync!$P376,10000)/100),IFERROR(VALUE(TRIM(LEFT(MID(Sync!$P376,FIND("/",Sync!$P376)+1,20),FIND("/",MID(Sync!$P376,FIND("/",Sync!$P376)+1,20))-1))),"")))</f>
        <v/>
      </c>
      <c r="AH376">
        <f>IF(OR($AE376="",$AF376=""),"",IF(ISNUMBER(Sync!$P376),MOD(Sync!$P376,100),IFERROR(VALUE(TRIM(MID(MID(Sync!$P376,FIND("/",Sync!$P376)+1,20),FIND("/",MID(Sync!$P376,FIND("/",Sync!$P376)+1,20))+1,20))),"")))</f>
        <v/>
      </c>
      <c r="AI376">
        <f>IF($AE376="","",IF(OR($AF376="",$AG376="",$AH376="",$AF376&lt;1300,$AF376&gt;1500,$AG376&lt;1,$AG376&gt;12,$AH376&lt;1,$AH376&gt;31),"نامعتبر",RIGHT("0000"&amp;$AF376,4)&amp;"/"&amp;RIGHT("00"&amp;$AG376,2)&amp;"/"&amp;RIGHT("00"&amp;$AH376,2)))</f>
        <v/>
      </c>
      <c r="AJ376">
        <f>IF($AE376="","",IF(Sync!$Q376="","0000",IF(AND(ISNUMBER(Sync!$Q376),Sync!$Q376&gt;=0,Sync!$Q376&lt;1),RIGHT("00"&amp;HOUR(Sync!$Q376),2)&amp;RIGHT("00"&amp;MINUTE(Sync!$Q376),2),IFERROR(RIGHT("00"&amp;VALUE(LEFT(Sync!$Q376,FIND(":",Sync!$Q376)-1)),2)&amp;RIGHT("00"&amp;VALUE(MID(Sync!$Q376,FIND(":",Sync!$Q376)+1,2)),2),"0000"))))</f>
        <v/>
      </c>
      <c r="AK376">
        <f>IF(OR($AE376="",$AI376="",$AI376="نامعتبر"),"",LEFT($AI376,4)&amp;MID($AI376,6,2)&amp;RIGHT($AI376,2)&amp;$AJ376&amp;"|"&amp;"3"&amp;RIGHT("00000"&amp;371,5))</f>
        <v/>
      </c>
      <c r="AL376">
        <f>IF($AK376="","",COUNTIFS(LdAParty,$AE376,LdAType,1,LdAKey,"&lt;"&amp;$AK376)+COUNTIFS(LdBMember,$AE376,LdBKey,"&lt;"&amp;$AK376)+COUNTIFS(LdCParty,$AE376,LdCKey,"&lt;"&amp;$AK376)+1)</f>
        <v/>
      </c>
      <c r="AM376">
        <f>IF($AL376="","",$AE376&amp;"|"&amp;RIGHT("000000"&amp;$AL376,6))</f>
        <v/>
      </c>
      <c r="AN376">
        <f>IF($AE376="","",IF(Sync!$W376="",0,Sync!$W376))</f>
        <v/>
      </c>
      <c r="AO376">
        <f>IF($AE376="","",IF(Sync!$X376="",0,Sync!$X376))</f>
        <v/>
      </c>
      <c r="AP376">
        <f>IF($AE376="","",Sync!$R376)</f>
        <v/>
      </c>
      <c r="AQ376">
        <f>IF($AE376="","",Sync!$Y376)</f>
        <v/>
      </c>
    </row>
    <row r="377">
      <c r="A377">
        <f>IF(OR(Wages!$B380="",Wages!$E380=""),"",Wages!$E380)</f>
        <v/>
      </c>
      <c r="B377">
        <f>IF($A377="","",IF(Wages!$C380="دستمزد گروهی",2,1))</f>
        <v/>
      </c>
      <c r="C377">
        <f>IF($A377="","",IF(ISNUMBER(Wages!$B380),IF(AND(Wages!$B380&gt;=10000101,Wages!$B380&lt;=99991231),INT(Wages!$B380/10000),""),IFERROR(VALUE(TRIM(LEFT(Wages!$B380,FIND("/",Wages!$B380)-1))),"")))</f>
        <v/>
      </c>
      <c r="D377">
        <f>IF(OR($A377="",$C377=""),"",IF(ISNUMBER(Wages!$B380),INT(MOD(Wages!$B380,10000)/100),IFERROR(VALUE(TRIM(LEFT(MID(Wages!$B380,FIND("/",Wages!$B380)+1,20),FIND("/",MID(Wages!$B380,FIND("/",Wages!$B380)+1,20))-1))),"")))</f>
        <v/>
      </c>
      <c r="E377">
        <f>IF(OR($A377="",$C377=""),"",IF(ISNUMBER(Wages!$B380),MOD(Wages!$B380,100),IFERROR(VALUE(TRIM(MID(MID(Wages!$B380,FIND("/",Wages!$B380)+1,20),FIND("/",MID(Wages!$B380,FIND("/",Wages!$B380)+1,20))+1,20))),"")))</f>
        <v/>
      </c>
      <c r="F377">
        <f>IF($A377="","",IF(OR($C377="",$D377="",$E377="",$C377&lt;1300,$C377&gt;1500,$D377&lt;1,$D377&gt;12,$E377&lt;1,$E377&gt;31),"نامعتبر",RIGHT("0000"&amp;$C377,4)&amp;"/"&amp;RIGHT("00"&amp;$D377,2)&amp;"/"&amp;RIGHT("00"&amp;$E377,2)))</f>
        <v/>
      </c>
      <c r="G377">
        <f>IF(OR($A377="",$F377="",$F377="نامعتبر"),"",LEFT($F377,4)&amp;MID($F377,6,2)&amp;RIGHT($F377,2)&amp;"0000"&amp;"|"&amp;"1"&amp;RIGHT("00000"&amp;372,5))</f>
        <v/>
      </c>
      <c r="H377">
        <f>IF(OR($B377&lt;&gt;1,$G377=""),"",COUNTIFS(LdAParty,$A377,LdAType,1,LdAKey,"&lt;"&amp;$G377)+COUNTIFS(LdBMember,$A377,LdBKey,"&lt;"&amp;$G377)+COUNTIFS(LdCParty,$A377,LdCKey,"&lt;"&amp;$G377)+1)</f>
        <v/>
      </c>
      <c r="I377">
        <f>IF($H377="","",$A377&amp;"|"&amp;RIGHT("000000"&amp;$H377,6))</f>
        <v/>
      </c>
      <c r="J377">
        <f>IF(OR($B377&lt;&gt;2,$G377=""),"",COUNTIFS(LdAParty,$A377,LdAType,2,LdAKey,"&lt;"&amp;$G377)+1)</f>
        <v/>
      </c>
      <c r="K377">
        <f>IF($J377="","",$A377&amp;"|"&amp;RIGHT("000000"&amp;$J377,6))</f>
        <v/>
      </c>
      <c r="L377">
        <f>IF($A377="","",IF(Wages!$G380="",0,Wages!$G380))</f>
        <v/>
      </c>
      <c r="M377">
        <f>IF($A377="","",Wages!$J380)</f>
        <v/>
      </c>
      <c r="N377">
        <f>IF($A377="","",Wages!$D380)</f>
        <v/>
      </c>
      <c r="P377">
        <f>IF(OR(Shares!$B380="",Shares!$C380=""),"",Shares!$C380)</f>
        <v/>
      </c>
      <c r="Q377">
        <f>IF($P377="","",Shares!$B380)</f>
        <v/>
      </c>
      <c r="R377">
        <f>IF($P377="","",IFERROR(INDEX(WageParty,MATCH($Q377,WageIds,0)),""))</f>
        <v/>
      </c>
      <c r="S377">
        <f>IF($P377="","",IFERROR(INDEX($F$6:$F$2005,MATCH($Q377,WageIds,0)),""))</f>
        <v/>
      </c>
      <c r="T377">
        <f>IF(OR($P377="",$S377="",$S377="نامعتبر"),"",LEFT($S377,4)&amp;MID($S377,6,2)&amp;RIGHT($S377,2)&amp;"0000"&amp;"|"&amp;"2"&amp;RIGHT("00000"&amp;372,5))</f>
        <v/>
      </c>
      <c r="U377">
        <f>IF($T377="","",COUNTIFS(LdAParty,$P377,LdAType,1,LdAKey,"&lt;"&amp;$T377)+COUNTIFS(LdBMember,$P377,LdBKey,"&lt;"&amp;$T377)+COUNTIFS(LdCParty,$P377,LdCKey,"&lt;"&amp;$T377)+1)</f>
        <v/>
      </c>
      <c r="V377">
        <f>IF($U377="","",$P377&amp;"|"&amp;RIGHT("000000"&amp;$U377,6))</f>
        <v/>
      </c>
      <c r="W377">
        <f>IF($T377="","",COUNTIFS(LdBGroup,$R377,LdBKey,"&lt;"&amp;$T377)+1)</f>
        <v/>
      </c>
      <c r="X377">
        <f>IF($W377="","",$R377&amp;"|"&amp;RIGHT("000000"&amp;$W377,6))</f>
        <v/>
      </c>
      <c r="Y377">
        <f>IF($P377="","",IF(Shares!$E380="",0,Shares!$E380))</f>
        <v/>
      </c>
      <c r="Z377">
        <f>IF($P377="","",Shares!$H380)</f>
        <v/>
      </c>
      <c r="AE377">
        <f>IF(OR(Sync!$S377="",Sync!$P377=""),"",Sync!$S377)</f>
        <v/>
      </c>
      <c r="AF377">
        <f>IF($AE377="","",IF(ISNUMBER(Sync!$P377),IF(AND(Sync!$P377&gt;=10000101,Sync!$P377&lt;=99991231),INT(Sync!$P377/10000),""),IFERROR(VALUE(TRIM(LEFT(Sync!$P377,FIND("/",Sync!$P377)-1))),"")))</f>
        <v/>
      </c>
      <c r="AG377">
        <f>IF(OR($AE377="",$AF377=""),"",IF(ISNUMBER(Sync!$P377),INT(MOD(Sync!$P377,10000)/100),IFERROR(VALUE(TRIM(LEFT(MID(Sync!$P377,FIND("/",Sync!$P377)+1,20),FIND("/",MID(Sync!$P377,FIND("/",Sync!$P377)+1,20))-1))),"")))</f>
        <v/>
      </c>
      <c r="AH377">
        <f>IF(OR($AE377="",$AF377=""),"",IF(ISNUMBER(Sync!$P377),MOD(Sync!$P377,100),IFERROR(VALUE(TRIM(MID(MID(Sync!$P377,FIND("/",Sync!$P377)+1,20),FIND("/",MID(Sync!$P377,FIND("/",Sync!$P377)+1,20))+1,20))),"")))</f>
        <v/>
      </c>
      <c r="AI377">
        <f>IF($AE377="","",IF(OR($AF377="",$AG377="",$AH377="",$AF377&lt;1300,$AF377&gt;1500,$AG377&lt;1,$AG377&gt;12,$AH377&lt;1,$AH377&gt;31),"نامعتبر",RIGHT("0000"&amp;$AF377,4)&amp;"/"&amp;RIGHT("00"&amp;$AG377,2)&amp;"/"&amp;RIGHT("00"&amp;$AH377,2)))</f>
        <v/>
      </c>
      <c r="AJ377">
        <f>IF($AE377="","",IF(Sync!$Q377="","0000",IF(AND(ISNUMBER(Sync!$Q377),Sync!$Q377&gt;=0,Sync!$Q377&lt;1),RIGHT("00"&amp;HOUR(Sync!$Q377),2)&amp;RIGHT("00"&amp;MINUTE(Sync!$Q377),2),IFERROR(RIGHT("00"&amp;VALUE(LEFT(Sync!$Q377,FIND(":",Sync!$Q377)-1)),2)&amp;RIGHT("00"&amp;VALUE(MID(Sync!$Q377,FIND(":",Sync!$Q377)+1,2)),2),"0000"))))</f>
        <v/>
      </c>
      <c r="AK377">
        <f>IF(OR($AE377="",$AI377="",$AI377="نامعتبر"),"",LEFT($AI377,4)&amp;MID($AI377,6,2)&amp;RIGHT($AI377,2)&amp;$AJ377&amp;"|"&amp;"3"&amp;RIGHT("00000"&amp;372,5))</f>
        <v/>
      </c>
      <c r="AL377">
        <f>IF($AK377="","",COUNTIFS(LdAParty,$AE377,LdAType,1,LdAKey,"&lt;"&amp;$AK377)+COUNTIFS(LdBMember,$AE377,LdBKey,"&lt;"&amp;$AK377)+COUNTIFS(LdCParty,$AE377,LdCKey,"&lt;"&amp;$AK377)+1)</f>
        <v/>
      </c>
      <c r="AM377">
        <f>IF($AL377="","",$AE377&amp;"|"&amp;RIGHT("000000"&amp;$AL377,6))</f>
        <v/>
      </c>
      <c r="AN377">
        <f>IF($AE377="","",IF(Sync!$W377="",0,Sync!$W377))</f>
        <v/>
      </c>
      <c r="AO377">
        <f>IF($AE377="","",IF(Sync!$X377="",0,Sync!$X377))</f>
        <v/>
      </c>
      <c r="AP377">
        <f>IF($AE377="","",Sync!$R377)</f>
        <v/>
      </c>
      <c r="AQ377">
        <f>IF($AE377="","",Sync!$Y377)</f>
        <v/>
      </c>
    </row>
    <row r="378">
      <c r="A378">
        <f>IF(OR(Wages!$B381="",Wages!$E381=""),"",Wages!$E381)</f>
        <v/>
      </c>
      <c r="B378">
        <f>IF($A378="","",IF(Wages!$C381="دستمزد گروهی",2,1))</f>
        <v/>
      </c>
      <c r="C378">
        <f>IF($A378="","",IF(ISNUMBER(Wages!$B381),IF(AND(Wages!$B381&gt;=10000101,Wages!$B381&lt;=99991231),INT(Wages!$B381/10000),""),IFERROR(VALUE(TRIM(LEFT(Wages!$B381,FIND("/",Wages!$B381)-1))),"")))</f>
        <v/>
      </c>
      <c r="D378">
        <f>IF(OR($A378="",$C378=""),"",IF(ISNUMBER(Wages!$B381),INT(MOD(Wages!$B381,10000)/100),IFERROR(VALUE(TRIM(LEFT(MID(Wages!$B381,FIND("/",Wages!$B381)+1,20),FIND("/",MID(Wages!$B381,FIND("/",Wages!$B381)+1,20))-1))),"")))</f>
        <v/>
      </c>
      <c r="E378">
        <f>IF(OR($A378="",$C378=""),"",IF(ISNUMBER(Wages!$B381),MOD(Wages!$B381,100),IFERROR(VALUE(TRIM(MID(MID(Wages!$B381,FIND("/",Wages!$B381)+1,20),FIND("/",MID(Wages!$B381,FIND("/",Wages!$B381)+1,20))+1,20))),"")))</f>
        <v/>
      </c>
      <c r="F378">
        <f>IF($A378="","",IF(OR($C378="",$D378="",$E378="",$C378&lt;1300,$C378&gt;1500,$D378&lt;1,$D378&gt;12,$E378&lt;1,$E378&gt;31),"نامعتبر",RIGHT("0000"&amp;$C378,4)&amp;"/"&amp;RIGHT("00"&amp;$D378,2)&amp;"/"&amp;RIGHT("00"&amp;$E378,2)))</f>
        <v/>
      </c>
      <c r="G378">
        <f>IF(OR($A378="",$F378="",$F378="نامعتبر"),"",LEFT($F378,4)&amp;MID($F378,6,2)&amp;RIGHT($F378,2)&amp;"0000"&amp;"|"&amp;"1"&amp;RIGHT("00000"&amp;373,5))</f>
        <v/>
      </c>
      <c r="H378">
        <f>IF(OR($B378&lt;&gt;1,$G378=""),"",COUNTIFS(LdAParty,$A378,LdAType,1,LdAKey,"&lt;"&amp;$G378)+COUNTIFS(LdBMember,$A378,LdBKey,"&lt;"&amp;$G378)+COUNTIFS(LdCParty,$A378,LdCKey,"&lt;"&amp;$G378)+1)</f>
        <v/>
      </c>
      <c r="I378">
        <f>IF($H378="","",$A378&amp;"|"&amp;RIGHT("000000"&amp;$H378,6))</f>
        <v/>
      </c>
      <c r="J378">
        <f>IF(OR($B378&lt;&gt;2,$G378=""),"",COUNTIFS(LdAParty,$A378,LdAType,2,LdAKey,"&lt;"&amp;$G378)+1)</f>
        <v/>
      </c>
      <c r="K378">
        <f>IF($J378="","",$A378&amp;"|"&amp;RIGHT("000000"&amp;$J378,6))</f>
        <v/>
      </c>
      <c r="L378">
        <f>IF($A378="","",IF(Wages!$G381="",0,Wages!$G381))</f>
        <v/>
      </c>
      <c r="M378">
        <f>IF($A378="","",Wages!$J381)</f>
        <v/>
      </c>
      <c r="N378">
        <f>IF($A378="","",Wages!$D381)</f>
        <v/>
      </c>
      <c r="P378">
        <f>IF(OR(Shares!$B381="",Shares!$C381=""),"",Shares!$C381)</f>
        <v/>
      </c>
      <c r="Q378">
        <f>IF($P378="","",Shares!$B381)</f>
        <v/>
      </c>
      <c r="R378">
        <f>IF($P378="","",IFERROR(INDEX(WageParty,MATCH($Q378,WageIds,0)),""))</f>
        <v/>
      </c>
      <c r="S378">
        <f>IF($P378="","",IFERROR(INDEX($F$6:$F$2005,MATCH($Q378,WageIds,0)),""))</f>
        <v/>
      </c>
      <c r="T378">
        <f>IF(OR($P378="",$S378="",$S378="نامعتبر"),"",LEFT($S378,4)&amp;MID($S378,6,2)&amp;RIGHT($S378,2)&amp;"0000"&amp;"|"&amp;"2"&amp;RIGHT("00000"&amp;373,5))</f>
        <v/>
      </c>
      <c r="U378">
        <f>IF($T378="","",COUNTIFS(LdAParty,$P378,LdAType,1,LdAKey,"&lt;"&amp;$T378)+COUNTIFS(LdBMember,$P378,LdBKey,"&lt;"&amp;$T378)+COUNTIFS(LdCParty,$P378,LdCKey,"&lt;"&amp;$T378)+1)</f>
        <v/>
      </c>
      <c r="V378">
        <f>IF($U378="","",$P378&amp;"|"&amp;RIGHT("000000"&amp;$U378,6))</f>
        <v/>
      </c>
      <c r="W378">
        <f>IF($T378="","",COUNTIFS(LdBGroup,$R378,LdBKey,"&lt;"&amp;$T378)+1)</f>
        <v/>
      </c>
      <c r="X378">
        <f>IF($W378="","",$R378&amp;"|"&amp;RIGHT("000000"&amp;$W378,6))</f>
        <v/>
      </c>
      <c r="Y378">
        <f>IF($P378="","",IF(Shares!$E381="",0,Shares!$E381))</f>
        <v/>
      </c>
      <c r="Z378">
        <f>IF($P378="","",Shares!$H381)</f>
        <v/>
      </c>
      <c r="AE378">
        <f>IF(OR(Sync!$S378="",Sync!$P378=""),"",Sync!$S378)</f>
        <v/>
      </c>
      <c r="AF378">
        <f>IF($AE378="","",IF(ISNUMBER(Sync!$P378),IF(AND(Sync!$P378&gt;=10000101,Sync!$P378&lt;=99991231),INT(Sync!$P378/10000),""),IFERROR(VALUE(TRIM(LEFT(Sync!$P378,FIND("/",Sync!$P378)-1))),"")))</f>
        <v/>
      </c>
      <c r="AG378">
        <f>IF(OR($AE378="",$AF378=""),"",IF(ISNUMBER(Sync!$P378),INT(MOD(Sync!$P378,10000)/100),IFERROR(VALUE(TRIM(LEFT(MID(Sync!$P378,FIND("/",Sync!$P378)+1,20),FIND("/",MID(Sync!$P378,FIND("/",Sync!$P378)+1,20))-1))),"")))</f>
        <v/>
      </c>
      <c r="AH378">
        <f>IF(OR($AE378="",$AF378=""),"",IF(ISNUMBER(Sync!$P378),MOD(Sync!$P378,100),IFERROR(VALUE(TRIM(MID(MID(Sync!$P378,FIND("/",Sync!$P378)+1,20),FIND("/",MID(Sync!$P378,FIND("/",Sync!$P378)+1,20))+1,20))),"")))</f>
        <v/>
      </c>
      <c r="AI378">
        <f>IF($AE378="","",IF(OR($AF378="",$AG378="",$AH378="",$AF378&lt;1300,$AF378&gt;1500,$AG378&lt;1,$AG378&gt;12,$AH378&lt;1,$AH378&gt;31),"نامعتبر",RIGHT("0000"&amp;$AF378,4)&amp;"/"&amp;RIGHT("00"&amp;$AG378,2)&amp;"/"&amp;RIGHT("00"&amp;$AH378,2)))</f>
        <v/>
      </c>
      <c r="AJ378">
        <f>IF($AE378="","",IF(Sync!$Q378="","0000",IF(AND(ISNUMBER(Sync!$Q378),Sync!$Q378&gt;=0,Sync!$Q378&lt;1),RIGHT("00"&amp;HOUR(Sync!$Q378),2)&amp;RIGHT("00"&amp;MINUTE(Sync!$Q378),2),IFERROR(RIGHT("00"&amp;VALUE(LEFT(Sync!$Q378,FIND(":",Sync!$Q378)-1)),2)&amp;RIGHT("00"&amp;VALUE(MID(Sync!$Q378,FIND(":",Sync!$Q378)+1,2)),2),"0000"))))</f>
        <v/>
      </c>
      <c r="AK378">
        <f>IF(OR($AE378="",$AI378="",$AI378="نامعتبر"),"",LEFT($AI378,4)&amp;MID($AI378,6,2)&amp;RIGHT($AI378,2)&amp;$AJ378&amp;"|"&amp;"3"&amp;RIGHT("00000"&amp;373,5))</f>
        <v/>
      </c>
      <c r="AL378">
        <f>IF($AK378="","",COUNTIFS(LdAParty,$AE378,LdAType,1,LdAKey,"&lt;"&amp;$AK378)+COUNTIFS(LdBMember,$AE378,LdBKey,"&lt;"&amp;$AK378)+COUNTIFS(LdCParty,$AE378,LdCKey,"&lt;"&amp;$AK378)+1)</f>
        <v/>
      </c>
      <c r="AM378">
        <f>IF($AL378="","",$AE378&amp;"|"&amp;RIGHT("000000"&amp;$AL378,6))</f>
        <v/>
      </c>
      <c r="AN378">
        <f>IF($AE378="","",IF(Sync!$W378="",0,Sync!$W378))</f>
        <v/>
      </c>
      <c r="AO378">
        <f>IF($AE378="","",IF(Sync!$X378="",0,Sync!$X378))</f>
        <v/>
      </c>
      <c r="AP378">
        <f>IF($AE378="","",Sync!$R378)</f>
        <v/>
      </c>
      <c r="AQ378">
        <f>IF($AE378="","",Sync!$Y378)</f>
        <v/>
      </c>
    </row>
    <row r="379">
      <c r="A379">
        <f>IF(OR(Wages!$B382="",Wages!$E382=""),"",Wages!$E382)</f>
        <v/>
      </c>
      <c r="B379">
        <f>IF($A379="","",IF(Wages!$C382="دستمزد گروهی",2,1))</f>
        <v/>
      </c>
      <c r="C379">
        <f>IF($A379="","",IF(ISNUMBER(Wages!$B382),IF(AND(Wages!$B382&gt;=10000101,Wages!$B382&lt;=99991231),INT(Wages!$B382/10000),""),IFERROR(VALUE(TRIM(LEFT(Wages!$B382,FIND("/",Wages!$B382)-1))),"")))</f>
        <v/>
      </c>
      <c r="D379">
        <f>IF(OR($A379="",$C379=""),"",IF(ISNUMBER(Wages!$B382),INT(MOD(Wages!$B382,10000)/100),IFERROR(VALUE(TRIM(LEFT(MID(Wages!$B382,FIND("/",Wages!$B382)+1,20),FIND("/",MID(Wages!$B382,FIND("/",Wages!$B382)+1,20))-1))),"")))</f>
        <v/>
      </c>
      <c r="E379">
        <f>IF(OR($A379="",$C379=""),"",IF(ISNUMBER(Wages!$B382),MOD(Wages!$B382,100),IFERROR(VALUE(TRIM(MID(MID(Wages!$B382,FIND("/",Wages!$B382)+1,20),FIND("/",MID(Wages!$B382,FIND("/",Wages!$B382)+1,20))+1,20))),"")))</f>
        <v/>
      </c>
      <c r="F379">
        <f>IF($A379="","",IF(OR($C379="",$D379="",$E379="",$C379&lt;1300,$C379&gt;1500,$D379&lt;1,$D379&gt;12,$E379&lt;1,$E379&gt;31),"نامعتبر",RIGHT("0000"&amp;$C379,4)&amp;"/"&amp;RIGHT("00"&amp;$D379,2)&amp;"/"&amp;RIGHT("00"&amp;$E379,2)))</f>
        <v/>
      </c>
      <c r="G379">
        <f>IF(OR($A379="",$F379="",$F379="نامعتبر"),"",LEFT($F379,4)&amp;MID($F379,6,2)&amp;RIGHT($F379,2)&amp;"0000"&amp;"|"&amp;"1"&amp;RIGHT("00000"&amp;374,5))</f>
        <v/>
      </c>
      <c r="H379">
        <f>IF(OR($B379&lt;&gt;1,$G379=""),"",COUNTIFS(LdAParty,$A379,LdAType,1,LdAKey,"&lt;"&amp;$G379)+COUNTIFS(LdBMember,$A379,LdBKey,"&lt;"&amp;$G379)+COUNTIFS(LdCParty,$A379,LdCKey,"&lt;"&amp;$G379)+1)</f>
        <v/>
      </c>
      <c r="I379">
        <f>IF($H379="","",$A379&amp;"|"&amp;RIGHT("000000"&amp;$H379,6))</f>
        <v/>
      </c>
      <c r="J379">
        <f>IF(OR($B379&lt;&gt;2,$G379=""),"",COUNTIFS(LdAParty,$A379,LdAType,2,LdAKey,"&lt;"&amp;$G379)+1)</f>
        <v/>
      </c>
      <c r="K379">
        <f>IF($J379="","",$A379&amp;"|"&amp;RIGHT("000000"&amp;$J379,6))</f>
        <v/>
      </c>
      <c r="L379">
        <f>IF($A379="","",IF(Wages!$G382="",0,Wages!$G382))</f>
        <v/>
      </c>
      <c r="M379">
        <f>IF($A379="","",Wages!$J382)</f>
        <v/>
      </c>
      <c r="N379">
        <f>IF($A379="","",Wages!$D382)</f>
        <v/>
      </c>
      <c r="P379">
        <f>IF(OR(Shares!$B382="",Shares!$C382=""),"",Shares!$C382)</f>
        <v/>
      </c>
      <c r="Q379">
        <f>IF($P379="","",Shares!$B382)</f>
        <v/>
      </c>
      <c r="R379">
        <f>IF($P379="","",IFERROR(INDEX(WageParty,MATCH($Q379,WageIds,0)),""))</f>
        <v/>
      </c>
      <c r="S379">
        <f>IF($P379="","",IFERROR(INDEX($F$6:$F$2005,MATCH($Q379,WageIds,0)),""))</f>
        <v/>
      </c>
      <c r="T379">
        <f>IF(OR($P379="",$S379="",$S379="نامعتبر"),"",LEFT($S379,4)&amp;MID($S379,6,2)&amp;RIGHT($S379,2)&amp;"0000"&amp;"|"&amp;"2"&amp;RIGHT("00000"&amp;374,5))</f>
        <v/>
      </c>
      <c r="U379">
        <f>IF($T379="","",COUNTIFS(LdAParty,$P379,LdAType,1,LdAKey,"&lt;"&amp;$T379)+COUNTIFS(LdBMember,$P379,LdBKey,"&lt;"&amp;$T379)+COUNTIFS(LdCParty,$P379,LdCKey,"&lt;"&amp;$T379)+1)</f>
        <v/>
      </c>
      <c r="V379">
        <f>IF($U379="","",$P379&amp;"|"&amp;RIGHT("000000"&amp;$U379,6))</f>
        <v/>
      </c>
      <c r="W379">
        <f>IF($T379="","",COUNTIFS(LdBGroup,$R379,LdBKey,"&lt;"&amp;$T379)+1)</f>
        <v/>
      </c>
      <c r="X379">
        <f>IF($W379="","",$R379&amp;"|"&amp;RIGHT("000000"&amp;$W379,6))</f>
        <v/>
      </c>
      <c r="Y379">
        <f>IF($P379="","",IF(Shares!$E382="",0,Shares!$E382))</f>
        <v/>
      </c>
      <c r="Z379">
        <f>IF($P379="","",Shares!$H382)</f>
        <v/>
      </c>
      <c r="AE379">
        <f>IF(OR(Sync!$S379="",Sync!$P379=""),"",Sync!$S379)</f>
        <v/>
      </c>
      <c r="AF379">
        <f>IF($AE379="","",IF(ISNUMBER(Sync!$P379),IF(AND(Sync!$P379&gt;=10000101,Sync!$P379&lt;=99991231),INT(Sync!$P379/10000),""),IFERROR(VALUE(TRIM(LEFT(Sync!$P379,FIND("/",Sync!$P379)-1))),"")))</f>
        <v/>
      </c>
      <c r="AG379">
        <f>IF(OR($AE379="",$AF379=""),"",IF(ISNUMBER(Sync!$P379),INT(MOD(Sync!$P379,10000)/100),IFERROR(VALUE(TRIM(LEFT(MID(Sync!$P379,FIND("/",Sync!$P379)+1,20),FIND("/",MID(Sync!$P379,FIND("/",Sync!$P379)+1,20))-1))),"")))</f>
        <v/>
      </c>
      <c r="AH379">
        <f>IF(OR($AE379="",$AF379=""),"",IF(ISNUMBER(Sync!$P379),MOD(Sync!$P379,100),IFERROR(VALUE(TRIM(MID(MID(Sync!$P379,FIND("/",Sync!$P379)+1,20),FIND("/",MID(Sync!$P379,FIND("/",Sync!$P379)+1,20))+1,20))),"")))</f>
        <v/>
      </c>
      <c r="AI379">
        <f>IF($AE379="","",IF(OR($AF379="",$AG379="",$AH379="",$AF379&lt;1300,$AF379&gt;1500,$AG379&lt;1,$AG379&gt;12,$AH379&lt;1,$AH379&gt;31),"نامعتبر",RIGHT("0000"&amp;$AF379,4)&amp;"/"&amp;RIGHT("00"&amp;$AG379,2)&amp;"/"&amp;RIGHT("00"&amp;$AH379,2)))</f>
        <v/>
      </c>
      <c r="AJ379">
        <f>IF($AE379="","",IF(Sync!$Q379="","0000",IF(AND(ISNUMBER(Sync!$Q379),Sync!$Q379&gt;=0,Sync!$Q379&lt;1),RIGHT("00"&amp;HOUR(Sync!$Q379),2)&amp;RIGHT("00"&amp;MINUTE(Sync!$Q379),2),IFERROR(RIGHT("00"&amp;VALUE(LEFT(Sync!$Q379,FIND(":",Sync!$Q379)-1)),2)&amp;RIGHT("00"&amp;VALUE(MID(Sync!$Q379,FIND(":",Sync!$Q379)+1,2)),2),"0000"))))</f>
        <v/>
      </c>
      <c r="AK379">
        <f>IF(OR($AE379="",$AI379="",$AI379="نامعتبر"),"",LEFT($AI379,4)&amp;MID($AI379,6,2)&amp;RIGHT($AI379,2)&amp;$AJ379&amp;"|"&amp;"3"&amp;RIGHT("00000"&amp;374,5))</f>
        <v/>
      </c>
      <c r="AL379">
        <f>IF($AK379="","",COUNTIFS(LdAParty,$AE379,LdAType,1,LdAKey,"&lt;"&amp;$AK379)+COUNTIFS(LdBMember,$AE379,LdBKey,"&lt;"&amp;$AK379)+COUNTIFS(LdCParty,$AE379,LdCKey,"&lt;"&amp;$AK379)+1)</f>
        <v/>
      </c>
      <c r="AM379">
        <f>IF($AL379="","",$AE379&amp;"|"&amp;RIGHT("000000"&amp;$AL379,6))</f>
        <v/>
      </c>
      <c r="AN379">
        <f>IF($AE379="","",IF(Sync!$W379="",0,Sync!$W379))</f>
        <v/>
      </c>
      <c r="AO379">
        <f>IF($AE379="","",IF(Sync!$X379="",0,Sync!$X379))</f>
        <v/>
      </c>
      <c r="AP379">
        <f>IF($AE379="","",Sync!$R379)</f>
        <v/>
      </c>
      <c r="AQ379">
        <f>IF($AE379="","",Sync!$Y379)</f>
        <v/>
      </c>
    </row>
    <row r="380">
      <c r="A380">
        <f>IF(OR(Wages!$B383="",Wages!$E383=""),"",Wages!$E383)</f>
        <v/>
      </c>
      <c r="B380">
        <f>IF($A380="","",IF(Wages!$C383="دستمزد گروهی",2,1))</f>
        <v/>
      </c>
      <c r="C380">
        <f>IF($A380="","",IF(ISNUMBER(Wages!$B383),IF(AND(Wages!$B383&gt;=10000101,Wages!$B383&lt;=99991231),INT(Wages!$B383/10000),""),IFERROR(VALUE(TRIM(LEFT(Wages!$B383,FIND("/",Wages!$B383)-1))),"")))</f>
        <v/>
      </c>
      <c r="D380">
        <f>IF(OR($A380="",$C380=""),"",IF(ISNUMBER(Wages!$B383),INT(MOD(Wages!$B383,10000)/100),IFERROR(VALUE(TRIM(LEFT(MID(Wages!$B383,FIND("/",Wages!$B383)+1,20),FIND("/",MID(Wages!$B383,FIND("/",Wages!$B383)+1,20))-1))),"")))</f>
        <v/>
      </c>
      <c r="E380">
        <f>IF(OR($A380="",$C380=""),"",IF(ISNUMBER(Wages!$B383),MOD(Wages!$B383,100),IFERROR(VALUE(TRIM(MID(MID(Wages!$B383,FIND("/",Wages!$B383)+1,20),FIND("/",MID(Wages!$B383,FIND("/",Wages!$B383)+1,20))+1,20))),"")))</f>
        <v/>
      </c>
      <c r="F380">
        <f>IF($A380="","",IF(OR($C380="",$D380="",$E380="",$C380&lt;1300,$C380&gt;1500,$D380&lt;1,$D380&gt;12,$E380&lt;1,$E380&gt;31),"نامعتبر",RIGHT("0000"&amp;$C380,4)&amp;"/"&amp;RIGHT("00"&amp;$D380,2)&amp;"/"&amp;RIGHT("00"&amp;$E380,2)))</f>
        <v/>
      </c>
      <c r="G380">
        <f>IF(OR($A380="",$F380="",$F380="نامعتبر"),"",LEFT($F380,4)&amp;MID($F380,6,2)&amp;RIGHT($F380,2)&amp;"0000"&amp;"|"&amp;"1"&amp;RIGHT("00000"&amp;375,5))</f>
        <v/>
      </c>
      <c r="H380">
        <f>IF(OR($B380&lt;&gt;1,$G380=""),"",COUNTIFS(LdAParty,$A380,LdAType,1,LdAKey,"&lt;"&amp;$G380)+COUNTIFS(LdBMember,$A380,LdBKey,"&lt;"&amp;$G380)+COUNTIFS(LdCParty,$A380,LdCKey,"&lt;"&amp;$G380)+1)</f>
        <v/>
      </c>
      <c r="I380">
        <f>IF($H380="","",$A380&amp;"|"&amp;RIGHT("000000"&amp;$H380,6))</f>
        <v/>
      </c>
      <c r="J380">
        <f>IF(OR($B380&lt;&gt;2,$G380=""),"",COUNTIFS(LdAParty,$A380,LdAType,2,LdAKey,"&lt;"&amp;$G380)+1)</f>
        <v/>
      </c>
      <c r="K380">
        <f>IF($J380="","",$A380&amp;"|"&amp;RIGHT("000000"&amp;$J380,6))</f>
        <v/>
      </c>
      <c r="L380">
        <f>IF($A380="","",IF(Wages!$G383="",0,Wages!$G383))</f>
        <v/>
      </c>
      <c r="M380">
        <f>IF($A380="","",Wages!$J383)</f>
        <v/>
      </c>
      <c r="N380">
        <f>IF($A380="","",Wages!$D383)</f>
        <v/>
      </c>
      <c r="P380">
        <f>IF(OR(Shares!$B383="",Shares!$C383=""),"",Shares!$C383)</f>
        <v/>
      </c>
      <c r="Q380">
        <f>IF($P380="","",Shares!$B383)</f>
        <v/>
      </c>
      <c r="R380">
        <f>IF($P380="","",IFERROR(INDEX(WageParty,MATCH($Q380,WageIds,0)),""))</f>
        <v/>
      </c>
      <c r="S380">
        <f>IF($P380="","",IFERROR(INDEX($F$6:$F$2005,MATCH($Q380,WageIds,0)),""))</f>
        <v/>
      </c>
      <c r="T380">
        <f>IF(OR($P380="",$S380="",$S380="نامعتبر"),"",LEFT($S380,4)&amp;MID($S380,6,2)&amp;RIGHT($S380,2)&amp;"0000"&amp;"|"&amp;"2"&amp;RIGHT("00000"&amp;375,5))</f>
        <v/>
      </c>
      <c r="U380">
        <f>IF($T380="","",COUNTIFS(LdAParty,$P380,LdAType,1,LdAKey,"&lt;"&amp;$T380)+COUNTIFS(LdBMember,$P380,LdBKey,"&lt;"&amp;$T380)+COUNTIFS(LdCParty,$P380,LdCKey,"&lt;"&amp;$T380)+1)</f>
        <v/>
      </c>
      <c r="V380">
        <f>IF($U380="","",$P380&amp;"|"&amp;RIGHT("000000"&amp;$U380,6))</f>
        <v/>
      </c>
      <c r="W380">
        <f>IF($T380="","",COUNTIFS(LdBGroup,$R380,LdBKey,"&lt;"&amp;$T380)+1)</f>
        <v/>
      </c>
      <c r="X380">
        <f>IF($W380="","",$R380&amp;"|"&amp;RIGHT("000000"&amp;$W380,6))</f>
        <v/>
      </c>
      <c r="Y380">
        <f>IF($P380="","",IF(Shares!$E383="",0,Shares!$E383))</f>
        <v/>
      </c>
      <c r="Z380">
        <f>IF($P380="","",Shares!$H383)</f>
        <v/>
      </c>
      <c r="AE380">
        <f>IF(OR(Sync!$S380="",Sync!$P380=""),"",Sync!$S380)</f>
        <v/>
      </c>
      <c r="AF380">
        <f>IF($AE380="","",IF(ISNUMBER(Sync!$P380),IF(AND(Sync!$P380&gt;=10000101,Sync!$P380&lt;=99991231),INT(Sync!$P380/10000),""),IFERROR(VALUE(TRIM(LEFT(Sync!$P380,FIND("/",Sync!$P380)-1))),"")))</f>
        <v/>
      </c>
      <c r="AG380">
        <f>IF(OR($AE380="",$AF380=""),"",IF(ISNUMBER(Sync!$P380),INT(MOD(Sync!$P380,10000)/100),IFERROR(VALUE(TRIM(LEFT(MID(Sync!$P380,FIND("/",Sync!$P380)+1,20),FIND("/",MID(Sync!$P380,FIND("/",Sync!$P380)+1,20))-1))),"")))</f>
        <v/>
      </c>
      <c r="AH380">
        <f>IF(OR($AE380="",$AF380=""),"",IF(ISNUMBER(Sync!$P380),MOD(Sync!$P380,100),IFERROR(VALUE(TRIM(MID(MID(Sync!$P380,FIND("/",Sync!$P380)+1,20),FIND("/",MID(Sync!$P380,FIND("/",Sync!$P380)+1,20))+1,20))),"")))</f>
        <v/>
      </c>
      <c r="AI380">
        <f>IF($AE380="","",IF(OR($AF380="",$AG380="",$AH380="",$AF380&lt;1300,$AF380&gt;1500,$AG380&lt;1,$AG380&gt;12,$AH380&lt;1,$AH380&gt;31),"نامعتبر",RIGHT("0000"&amp;$AF380,4)&amp;"/"&amp;RIGHT("00"&amp;$AG380,2)&amp;"/"&amp;RIGHT("00"&amp;$AH380,2)))</f>
        <v/>
      </c>
      <c r="AJ380">
        <f>IF($AE380="","",IF(Sync!$Q380="","0000",IF(AND(ISNUMBER(Sync!$Q380),Sync!$Q380&gt;=0,Sync!$Q380&lt;1),RIGHT("00"&amp;HOUR(Sync!$Q380),2)&amp;RIGHT("00"&amp;MINUTE(Sync!$Q380),2),IFERROR(RIGHT("00"&amp;VALUE(LEFT(Sync!$Q380,FIND(":",Sync!$Q380)-1)),2)&amp;RIGHT("00"&amp;VALUE(MID(Sync!$Q380,FIND(":",Sync!$Q380)+1,2)),2),"0000"))))</f>
        <v/>
      </c>
      <c r="AK380">
        <f>IF(OR($AE380="",$AI380="",$AI380="نامعتبر"),"",LEFT($AI380,4)&amp;MID($AI380,6,2)&amp;RIGHT($AI380,2)&amp;$AJ380&amp;"|"&amp;"3"&amp;RIGHT("00000"&amp;375,5))</f>
        <v/>
      </c>
      <c r="AL380">
        <f>IF($AK380="","",COUNTIFS(LdAParty,$AE380,LdAType,1,LdAKey,"&lt;"&amp;$AK380)+COUNTIFS(LdBMember,$AE380,LdBKey,"&lt;"&amp;$AK380)+COUNTIFS(LdCParty,$AE380,LdCKey,"&lt;"&amp;$AK380)+1)</f>
        <v/>
      </c>
      <c r="AM380">
        <f>IF($AL380="","",$AE380&amp;"|"&amp;RIGHT("000000"&amp;$AL380,6))</f>
        <v/>
      </c>
      <c r="AN380">
        <f>IF($AE380="","",IF(Sync!$W380="",0,Sync!$W380))</f>
        <v/>
      </c>
      <c r="AO380">
        <f>IF($AE380="","",IF(Sync!$X380="",0,Sync!$X380))</f>
        <v/>
      </c>
      <c r="AP380">
        <f>IF($AE380="","",Sync!$R380)</f>
        <v/>
      </c>
      <c r="AQ380">
        <f>IF($AE380="","",Sync!$Y380)</f>
        <v/>
      </c>
    </row>
    <row r="381">
      <c r="A381">
        <f>IF(OR(Wages!$B384="",Wages!$E384=""),"",Wages!$E384)</f>
        <v/>
      </c>
      <c r="B381">
        <f>IF($A381="","",IF(Wages!$C384="دستمزد گروهی",2,1))</f>
        <v/>
      </c>
      <c r="C381">
        <f>IF($A381="","",IF(ISNUMBER(Wages!$B384),IF(AND(Wages!$B384&gt;=10000101,Wages!$B384&lt;=99991231),INT(Wages!$B384/10000),""),IFERROR(VALUE(TRIM(LEFT(Wages!$B384,FIND("/",Wages!$B384)-1))),"")))</f>
        <v/>
      </c>
      <c r="D381">
        <f>IF(OR($A381="",$C381=""),"",IF(ISNUMBER(Wages!$B384),INT(MOD(Wages!$B384,10000)/100),IFERROR(VALUE(TRIM(LEFT(MID(Wages!$B384,FIND("/",Wages!$B384)+1,20),FIND("/",MID(Wages!$B384,FIND("/",Wages!$B384)+1,20))-1))),"")))</f>
        <v/>
      </c>
      <c r="E381">
        <f>IF(OR($A381="",$C381=""),"",IF(ISNUMBER(Wages!$B384),MOD(Wages!$B384,100),IFERROR(VALUE(TRIM(MID(MID(Wages!$B384,FIND("/",Wages!$B384)+1,20),FIND("/",MID(Wages!$B384,FIND("/",Wages!$B384)+1,20))+1,20))),"")))</f>
        <v/>
      </c>
      <c r="F381">
        <f>IF($A381="","",IF(OR($C381="",$D381="",$E381="",$C381&lt;1300,$C381&gt;1500,$D381&lt;1,$D381&gt;12,$E381&lt;1,$E381&gt;31),"نامعتبر",RIGHT("0000"&amp;$C381,4)&amp;"/"&amp;RIGHT("00"&amp;$D381,2)&amp;"/"&amp;RIGHT("00"&amp;$E381,2)))</f>
        <v/>
      </c>
      <c r="G381">
        <f>IF(OR($A381="",$F381="",$F381="نامعتبر"),"",LEFT($F381,4)&amp;MID($F381,6,2)&amp;RIGHT($F381,2)&amp;"0000"&amp;"|"&amp;"1"&amp;RIGHT("00000"&amp;376,5))</f>
        <v/>
      </c>
      <c r="H381">
        <f>IF(OR($B381&lt;&gt;1,$G381=""),"",COUNTIFS(LdAParty,$A381,LdAType,1,LdAKey,"&lt;"&amp;$G381)+COUNTIFS(LdBMember,$A381,LdBKey,"&lt;"&amp;$G381)+COUNTIFS(LdCParty,$A381,LdCKey,"&lt;"&amp;$G381)+1)</f>
        <v/>
      </c>
      <c r="I381">
        <f>IF($H381="","",$A381&amp;"|"&amp;RIGHT("000000"&amp;$H381,6))</f>
        <v/>
      </c>
      <c r="J381">
        <f>IF(OR($B381&lt;&gt;2,$G381=""),"",COUNTIFS(LdAParty,$A381,LdAType,2,LdAKey,"&lt;"&amp;$G381)+1)</f>
        <v/>
      </c>
      <c r="K381">
        <f>IF($J381="","",$A381&amp;"|"&amp;RIGHT("000000"&amp;$J381,6))</f>
        <v/>
      </c>
      <c r="L381">
        <f>IF($A381="","",IF(Wages!$G384="",0,Wages!$G384))</f>
        <v/>
      </c>
      <c r="M381">
        <f>IF($A381="","",Wages!$J384)</f>
        <v/>
      </c>
      <c r="N381">
        <f>IF($A381="","",Wages!$D384)</f>
        <v/>
      </c>
      <c r="P381">
        <f>IF(OR(Shares!$B384="",Shares!$C384=""),"",Shares!$C384)</f>
        <v/>
      </c>
      <c r="Q381">
        <f>IF($P381="","",Shares!$B384)</f>
        <v/>
      </c>
      <c r="R381">
        <f>IF($P381="","",IFERROR(INDEX(WageParty,MATCH($Q381,WageIds,0)),""))</f>
        <v/>
      </c>
      <c r="S381">
        <f>IF($P381="","",IFERROR(INDEX($F$6:$F$2005,MATCH($Q381,WageIds,0)),""))</f>
        <v/>
      </c>
      <c r="T381">
        <f>IF(OR($P381="",$S381="",$S381="نامعتبر"),"",LEFT($S381,4)&amp;MID($S381,6,2)&amp;RIGHT($S381,2)&amp;"0000"&amp;"|"&amp;"2"&amp;RIGHT("00000"&amp;376,5))</f>
        <v/>
      </c>
      <c r="U381">
        <f>IF($T381="","",COUNTIFS(LdAParty,$P381,LdAType,1,LdAKey,"&lt;"&amp;$T381)+COUNTIFS(LdBMember,$P381,LdBKey,"&lt;"&amp;$T381)+COUNTIFS(LdCParty,$P381,LdCKey,"&lt;"&amp;$T381)+1)</f>
        <v/>
      </c>
      <c r="V381">
        <f>IF($U381="","",$P381&amp;"|"&amp;RIGHT("000000"&amp;$U381,6))</f>
        <v/>
      </c>
      <c r="W381">
        <f>IF($T381="","",COUNTIFS(LdBGroup,$R381,LdBKey,"&lt;"&amp;$T381)+1)</f>
        <v/>
      </c>
      <c r="X381">
        <f>IF($W381="","",$R381&amp;"|"&amp;RIGHT("000000"&amp;$W381,6))</f>
        <v/>
      </c>
      <c r="Y381">
        <f>IF($P381="","",IF(Shares!$E384="",0,Shares!$E384))</f>
        <v/>
      </c>
      <c r="Z381">
        <f>IF($P381="","",Shares!$H384)</f>
        <v/>
      </c>
      <c r="AE381">
        <f>IF(OR(Sync!$S381="",Sync!$P381=""),"",Sync!$S381)</f>
        <v/>
      </c>
      <c r="AF381">
        <f>IF($AE381="","",IF(ISNUMBER(Sync!$P381),IF(AND(Sync!$P381&gt;=10000101,Sync!$P381&lt;=99991231),INT(Sync!$P381/10000),""),IFERROR(VALUE(TRIM(LEFT(Sync!$P381,FIND("/",Sync!$P381)-1))),"")))</f>
        <v/>
      </c>
      <c r="AG381">
        <f>IF(OR($AE381="",$AF381=""),"",IF(ISNUMBER(Sync!$P381),INT(MOD(Sync!$P381,10000)/100),IFERROR(VALUE(TRIM(LEFT(MID(Sync!$P381,FIND("/",Sync!$P381)+1,20),FIND("/",MID(Sync!$P381,FIND("/",Sync!$P381)+1,20))-1))),"")))</f>
        <v/>
      </c>
      <c r="AH381">
        <f>IF(OR($AE381="",$AF381=""),"",IF(ISNUMBER(Sync!$P381),MOD(Sync!$P381,100),IFERROR(VALUE(TRIM(MID(MID(Sync!$P381,FIND("/",Sync!$P381)+1,20),FIND("/",MID(Sync!$P381,FIND("/",Sync!$P381)+1,20))+1,20))),"")))</f>
        <v/>
      </c>
      <c r="AI381">
        <f>IF($AE381="","",IF(OR($AF381="",$AG381="",$AH381="",$AF381&lt;1300,$AF381&gt;1500,$AG381&lt;1,$AG381&gt;12,$AH381&lt;1,$AH381&gt;31),"نامعتبر",RIGHT("0000"&amp;$AF381,4)&amp;"/"&amp;RIGHT("00"&amp;$AG381,2)&amp;"/"&amp;RIGHT("00"&amp;$AH381,2)))</f>
        <v/>
      </c>
      <c r="AJ381">
        <f>IF($AE381="","",IF(Sync!$Q381="","0000",IF(AND(ISNUMBER(Sync!$Q381),Sync!$Q381&gt;=0,Sync!$Q381&lt;1),RIGHT("00"&amp;HOUR(Sync!$Q381),2)&amp;RIGHT("00"&amp;MINUTE(Sync!$Q381),2),IFERROR(RIGHT("00"&amp;VALUE(LEFT(Sync!$Q381,FIND(":",Sync!$Q381)-1)),2)&amp;RIGHT("00"&amp;VALUE(MID(Sync!$Q381,FIND(":",Sync!$Q381)+1,2)),2),"0000"))))</f>
        <v/>
      </c>
      <c r="AK381">
        <f>IF(OR($AE381="",$AI381="",$AI381="نامعتبر"),"",LEFT($AI381,4)&amp;MID($AI381,6,2)&amp;RIGHT($AI381,2)&amp;$AJ381&amp;"|"&amp;"3"&amp;RIGHT("00000"&amp;376,5))</f>
        <v/>
      </c>
      <c r="AL381">
        <f>IF($AK381="","",COUNTIFS(LdAParty,$AE381,LdAType,1,LdAKey,"&lt;"&amp;$AK381)+COUNTIFS(LdBMember,$AE381,LdBKey,"&lt;"&amp;$AK381)+COUNTIFS(LdCParty,$AE381,LdCKey,"&lt;"&amp;$AK381)+1)</f>
        <v/>
      </c>
      <c r="AM381">
        <f>IF($AL381="","",$AE381&amp;"|"&amp;RIGHT("000000"&amp;$AL381,6))</f>
        <v/>
      </c>
      <c r="AN381">
        <f>IF($AE381="","",IF(Sync!$W381="",0,Sync!$W381))</f>
        <v/>
      </c>
      <c r="AO381">
        <f>IF($AE381="","",IF(Sync!$X381="",0,Sync!$X381))</f>
        <v/>
      </c>
      <c r="AP381">
        <f>IF($AE381="","",Sync!$R381)</f>
        <v/>
      </c>
      <c r="AQ381">
        <f>IF($AE381="","",Sync!$Y381)</f>
        <v/>
      </c>
    </row>
    <row r="382">
      <c r="A382">
        <f>IF(OR(Wages!$B385="",Wages!$E385=""),"",Wages!$E385)</f>
        <v/>
      </c>
      <c r="B382">
        <f>IF($A382="","",IF(Wages!$C385="دستمزد گروهی",2,1))</f>
        <v/>
      </c>
      <c r="C382">
        <f>IF($A382="","",IF(ISNUMBER(Wages!$B385),IF(AND(Wages!$B385&gt;=10000101,Wages!$B385&lt;=99991231),INT(Wages!$B385/10000),""),IFERROR(VALUE(TRIM(LEFT(Wages!$B385,FIND("/",Wages!$B385)-1))),"")))</f>
        <v/>
      </c>
      <c r="D382">
        <f>IF(OR($A382="",$C382=""),"",IF(ISNUMBER(Wages!$B385),INT(MOD(Wages!$B385,10000)/100),IFERROR(VALUE(TRIM(LEFT(MID(Wages!$B385,FIND("/",Wages!$B385)+1,20),FIND("/",MID(Wages!$B385,FIND("/",Wages!$B385)+1,20))-1))),"")))</f>
        <v/>
      </c>
      <c r="E382">
        <f>IF(OR($A382="",$C382=""),"",IF(ISNUMBER(Wages!$B385),MOD(Wages!$B385,100),IFERROR(VALUE(TRIM(MID(MID(Wages!$B385,FIND("/",Wages!$B385)+1,20),FIND("/",MID(Wages!$B385,FIND("/",Wages!$B385)+1,20))+1,20))),"")))</f>
        <v/>
      </c>
      <c r="F382">
        <f>IF($A382="","",IF(OR($C382="",$D382="",$E382="",$C382&lt;1300,$C382&gt;1500,$D382&lt;1,$D382&gt;12,$E382&lt;1,$E382&gt;31),"نامعتبر",RIGHT("0000"&amp;$C382,4)&amp;"/"&amp;RIGHT("00"&amp;$D382,2)&amp;"/"&amp;RIGHT("00"&amp;$E382,2)))</f>
        <v/>
      </c>
      <c r="G382">
        <f>IF(OR($A382="",$F382="",$F382="نامعتبر"),"",LEFT($F382,4)&amp;MID($F382,6,2)&amp;RIGHT($F382,2)&amp;"0000"&amp;"|"&amp;"1"&amp;RIGHT("00000"&amp;377,5))</f>
        <v/>
      </c>
      <c r="H382">
        <f>IF(OR($B382&lt;&gt;1,$G382=""),"",COUNTIFS(LdAParty,$A382,LdAType,1,LdAKey,"&lt;"&amp;$G382)+COUNTIFS(LdBMember,$A382,LdBKey,"&lt;"&amp;$G382)+COUNTIFS(LdCParty,$A382,LdCKey,"&lt;"&amp;$G382)+1)</f>
        <v/>
      </c>
      <c r="I382">
        <f>IF($H382="","",$A382&amp;"|"&amp;RIGHT("000000"&amp;$H382,6))</f>
        <v/>
      </c>
      <c r="J382">
        <f>IF(OR($B382&lt;&gt;2,$G382=""),"",COUNTIFS(LdAParty,$A382,LdAType,2,LdAKey,"&lt;"&amp;$G382)+1)</f>
        <v/>
      </c>
      <c r="K382">
        <f>IF($J382="","",$A382&amp;"|"&amp;RIGHT("000000"&amp;$J382,6))</f>
        <v/>
      </c>
      <c r="L382">
        <f>IF($A382="","",IF(Wages!$G385="",0,Wages!$G385))</f>
        <v/>
      </c>
      <c r="M382">
        <f>IF($A382="","",Wages!$J385)</f>
        <v/>
      </c>
      <c r="N382">
        <f>IF($A382="","",Wages!$D385)</f>
        <v/>
      </c>
      <c r="P382">
        <f>IF(OR(Shares!$B385="",Shares!$C385=""),"",Shares!$C385)</f>
        <v/>
      </c>
      <c r="Q382">
        <f>IF($P382="","",Shares!$B385)</f>
        <v/>
      </c>
      <c r="R382">
        <f>IF($P382="","",IFERROR(INDEX(WageParty,MATCH($Q382,WageIds,0)),""))</f>
        <v/>
      </c>
      <c r="S382">
        <f>IF($P382="","",IFERROR(INDEX($F$6:$F$2005,MATCH($Q382,WageIds,0)),""))</f>
        <v/>
      </c>
      <c r="T382">
        <f>IF(OR($P382="",$S382="",$S382="نامعتبر"),"",LEFT($S382,4)&amp;MID($S382,6,2)&amp;RIGHT($S382,2)&amp;"0000"&amp;"|"&amp;"2"&amp;RIGHT("00000"&amp;377,5))</f>
        <v/>
      </c>
      <c r="U382">
        <f>IF($T382="","",COUNTIFS(LdAParty,$P382,LdAType,1,LdAKey,"&lt;"&amp;$T382)+COUNTIFS(LdBMember,$P382,LdBKey,"&lt;"&amp;$T382)+COUNTIFS(LdCParty,$P382,LdCKey,"&lt;"&amp;$T382)+1)</f>
        <v/>
      </c>
      <c r="V382">
        <f>IF($U382="","",$P382&amp;"|"&amp;RIGHT("000000"&amp;$U382,6))</f>
        <v/>
      </c>
      <c r="W382">
        <f>IF($T382="","",COUNTIFS(LdBGroup,$R382,LdBKey,"&lt;"&amp;$T382)+1)</f>
        <v/>
      </c>
      <c r="X382">
        <f>IF($W382="","",$R382&amp;"|"&amp;RIGHT("000000"&amp;$W382,6))</f>
        <v/>
      </c>
      <c r="Y382">
        <f>IF($P382="","",IF(Shares!$E385="",0,Shares!$E385))</f>
        <v/>
      </c>
      <c r="Z382">
        <f>IF($P382="","",Shares!$H385)</f>
        <v/>
      </c>
      <c r="AE382">
        <f>IF(OR(Sync!$S382="",Sync!$P382=""),"",Sync!$S382)</f>
        <v/>
      </c>
      <c r="AF382">
        <f>IF($AE382="","",IF(ISNUMBER(Sync!$P382),IF(AND(Sync!$P382&gt;=10000101,Sync!$P382&lt;=99991231),INT(Sync!$P382/10000),""),IFERROR(VALUE(TRIM(LEFT(Sync!$P382,FIND("/",Sync!$P382)-1))),"")))</f>
        <v/>
      </c>
      <c r="AG382">
        <f>IF(OR($AE382="",$AF382=""),"",IF(ISNUMBER(Sync!$P382),INT(MOD(Sync!$P382,10000)/100),IFERROR(VALUE(TRIM(LEFT(MID(Sync!$P382,FIND("/",Sync!$P382)+1,20),FIND("/",MID(Sync!$P382,FIND("/",Sync!$P382)+1,20))-1))),"")))</f>
        <v/>
      </c>
      <c r="AH382">
        <f>IF(OR($AE382="",$AF382=""),"",IF(ISNUMBER(Sync!$P382),MOD(Sync!$P382,100),IFERROR(VALUE(TRIM(MID(MID(Sync!$P382,FIND("/",Sync!$P382)+1,20),FIND("/",MID(Sync!$P382,FIND("/",Sync!$P382)+1,20))+1,20))),"")))</f>
        <v/>
      </c>
      <c r="AI382">
        <f>IF($AE382="","",IF(OR($AF382="",$AG382="",$AH382="",$AF382&lt;1300,$AF382&gt;1500,$AG382&lt;1,$AG382&gt;12,$AH382&lt;1,$AH382&gt;31),"نامعتبر",RIGHT("0000"&amp;$AF382,4)&amp;"/"&amp;RIGHT("00"&amp;$AG382,2)&amp;"/"&amp;RIGHT("00"&amp;$AH382,2)))</f>
        <v/>
      </c>
      <c r="AJ382">
        <f>IF($AE382="","",IF(Sync!$Q382="","0000",IF(AND(ISNUMBER(Sync!$Q382),Sync!$Q382&gt;=0,Sync!$Q382&lt;1),RIGHT("00"&amp;HOUR(Sync!$Q382),2)&amp;RIGHT("00"&amp;MINUTE(Sync!$Q382),2),IFERROR(RIGHT("00"&amp;VALUE(LEFT(Sync!$Q382,FIND(":",Sync!$Q382)-1)),2)&amp;RIGHT("00"&amp;VALUE(MID(Sync!$Q382,FIND(":",Sync!$Q382)+1,2)),2),"0000"))))</f>
        <v/>
      </c>
      <c r="AK382">
        <f>IF(OR($AE382="",$AI382="",$AI382="نامعتبر"),"",LEFT($AI382,4)&amp;MID($AI382,6,2)&amp;RIGHT($AI382,2)&amp;$AJ382&amp;"|"&amp;"3"&amp;RIGHT("00000"&amp;377,5))</f>
        <v/>
      </c>
      <c r="AL382">
        <f>IF($AK382="","",COUNTIFS(LdAParty,$AE382,LdAType,1,LdAKey,"&lt;"&amp;$AK382)+COUNTIFS(LdBMember,$AE382,LdBKey,"&lt;"&amp;$AK382)+COUNTIFS(LdCParty,$AE382,LdCKey,"&lt;"&amp;$AK382)+1)</f>
        <v/>
      </c>
      <c r="AM382">
        <f>IF($AL382="","",$AE382&amp;"|"&amp;RIGHT("000000"&amp;$AL382,6))</f>
        <v/>
      </c>
      <c r="AN382">
        <f>IF($AE382="","",IF(Sync!$W382="",0,Sync!$W382))</f>
        <v/>
      </c>
      <c r="AO382">
        <f>IF($AE382="","",IF(Sync!$X382="",0,Sync!$X382))</f>
        <v/>
      </c>
      <c r="AP382">
        <f>IF($AE382="","",Sync!$R382)</f>
        <v/>
      </c>
      <c r="AQ382">
        <f>IF($AE382="","",Sync!$Y382)</f>
        <v/>
      </c>
    </row>
    <row r="383">
      <c r="A383">
        <f>IF(OR(Wages!$B386="",Wages!$E386=""),"",Wages!$E386)</f>
        <v/>
      </c>
      <c r="B383">
        <f>IF($A383="","",IF(Wages!$C386="دستمزد گروهی",2,1))</f>
        <v/>
      </c>
      <c r="C383">
        <f>IF($A383="","",IF(ISNUMBER(Wages!$B386),IF(AND(Wages!$B386&gt;=10000101,Wages!$B386&lt;=99991231),INT(Wages!$B386/10000),""),IFERROR(VALUE(TRIM(LEFT(Wages!$B386,FIND("/",Wages!$B386)-1))),"")))</f>
        <v/>
      </c>
      <c r="D383">
        <f>IF(OR($A383="",$C383=""),"",IF(ISNUMBER(Wages!$B386),INT(MOD(Wages!$B386,10000)/100),IFERROR(VALUE(TRIM(LEFT(MID(Wages!$B386,FIND("/",Wages!$B386)+1,20),FIND("/",MID(Wages!$B386,FIND("/",Wages!$B386)+1,20))-1))),"")))</f>
        <v/>
      </c>
      <c r="E383">
        <f>IF(OR($A383="",$C383=""),"",IF(ISNUMBER(Wages!$B386),MOD(Wages!$B386,100),IFERROR(VALUE(TRIM(MID(MID(Wages!$B386,FIND("/",Wages!$B386)+1,20),FIND("/",MID(Wages!$B386,FIND("/",Wages!$B386)+1,20))+1,20))),"")))</f>
        <v/>
      </c>
      <c r="F383">
        <f>IF($A383="","",IF(OR($C383="",$D383="",$E383="",$C383&lt;1300,$C383&gt;1500,$D383&lt;1,$D383&gt;12,$E383&lt;1,$E383&gt;31),"نامعتبر",RIGHT("0000"&amp;$C383,4)&amp;"/"&amp;RIGHT("00"&amp;$D383,2)&amp;"/"&amp;RIGHT("00"&amp;$E383,2)))</f>
        <v/>
      </c>
      <c r="G383">
        <f>IF(OR($A383="",$F383="",$F383="نامعتبر"),"",LEFT($F383,4)&amp;MID($F383,6,2)&amp;RIGHT($F383,2)&amp;"0000"&amp;"|"&amp;"1"&amp;RIGHT("00000"&amp;378,5))</f>
        <v/>
      </c>
      <c r="H383">
        <f>IF(OR($B383&lt;&gt;1,$G383=""),"",COUNTIFS(LdAParty,$A383,LdAType,1,LdAKey,"&lt;"&amp;$G383)+COUNTIFS(LdBMember,$A383,LdBKey,"&lt;"&amp;$G383)+COUNTIFS(LdCParty,$A383,LdCKey,"&lt;"&amp;$G383)+1)</f>
        <v/>
      </c>
      <c r="I383">
        <f>IF($H383="","",$A383&amp;"|"&amp;RIGHT("000000"&amp;$H383,6))</f>
        <v/>
      </c>
      <c r="J383">
        <f>IF(OR($B383&lt;&gt;2,$G383=""),"",COUNTIFS(LdAParty,$A383,LdAType,2,LdAKey,"&lt;"&amp;$G383)+1)</f>
        <v/>
      </c>
      <c r="K383">
        <f>IF($J383="","",$A383&amp;"|"&amp;RIGHT("000000"&amp;$J383,6))</f>
        <v/>
      </c>
      <c r="L383">
        <f>IF($A383="","",IF(Wages!$G386="",0,Wages!$G386))</f>
        <v/>
      </c>
      <c r="M383">
        <f>IF($A383="","",Wages!$J386)</f>
        <v/>
      </c>
      <c r="N383">
        <f>IF($A383="","",Wages!$D386)</f>
        <v/>
      </c>
      <c r="P383">
        <f>IF(OR(Shares!$B386="",Shares!$C386=""),"",Shares!$C386)</f>
        <v/>
      </c>
      <c r="Q383">
        <f>IF($P383="","",Shares!$B386)</f>
        <v/>
      </c>
      <c r="R383">
        <f>IF($P383="","",IFERROR(INDEX(WageParty,MATCH($Q383,WageIds,0)),""))</f>
        <v/>
      </c>
      <c r="S383">
        <f>IF($P383="","",IFERROR(INDEX($F$6:$F$2005,MATCH($Q383,WageIds,0)),""))</f>
        <v/>
      </c>
      <c r="T383">
        <f>IF(OR($P383="",$S383="",$S383="نامعتبر"),"",LEFT($S383,4)&amp;MID($S383,6,2)&amp;RIGHT($S383,2)&amp;"0000"&amp;"|"&amp;"2"&amp;RIGHT("00000"&amp;378,5))</f>
        <v/>
      </c>
      <c r="U383">
        <f>IF($T383="","",COUNTIFS(LdAParty,$P383,LdAType,1,LdAKey,"&lt;"&amp;$T383)+COUNTIFS(LdBMember,$P383,LdBKey,"&lt;"&amp;$T383)+COUNTIFS(LdCParty,$P383,LdCKey,"&lt;"&amp;$T383)+1)</f>
        <v/>
      </c>
      <c r="V383">
        <f>IF($U383="","",$P383&amp;"|"&amp;RIGHT("000000"&amp;$U383,6))</f>
        <v/>
      </c>
      <c r="W383">
        <f>IF($T383="","",COUNTIFS(LdBGroup,$R383,LdBKey,"&lt;"&amp;$T383)+1)</f>
        <v/>
      </c>
      <c r="X383">
        <f>IF($W383="","",$R383&amp;"|"&amp;RIGHT("000000"&amp;$W383,6))</f>
        <v/>
      </c>
      <c r="Y383">
        <f>IF($P383="","",IF(Shares!$E386="",0,Shares!$E386))</f>
        <v/>
      </c>
      <c r="Z383">
        <f>IF($P383="","",Shares!$H386)</f>
        <v/>
      </c>
      <c r="AE383">
        <f>IF(OR(Sync!$S383="",Sync!$P383=""),"",Sync!$S383)</f>
        <v/>
      </c>
      <c r="AF383">
        <f>IF($AE383="","",IF(ISNUMBER(Sync!$P383),IF(AND(Sync!$P383&gt;=10000101,Sync!$P383&lt;=99991231),INT(Sync!$P383/10000),""),IFERROR(VALUE(TRIM(LEFT(Sync!$P383,FIND("/",Sync!$P383)-1))),"")))</f>
        <v/>
      </c>
      <c r="AG383">
        <f>IF(OR($AE383="",$AF383=""),"",IF(ISNUMBER(Sync!$P383),INT(MOD(Sync!$P383,10000)/100),IFERROR(VALUE(TRIM(LEFT(MID(Sync!$P383,FIND("/",Sync!$P383)+1,20),FIND("/",MID(Sync!$P383,FIND("/",Sync!$P383)+1,20))-1))),"")))</f>
        <v/>
      </c>
      <c r="AH383">
        <f>IF(OR($AE383="",$AF383=""),"",IF(ISNUMBER(Sync!$P383),MOD(Sync!$P383,100),IFERROR(VALUE(TRIM(MID(MID(Sync!$P383,FIND("/",Sync!$P383)+1,20),FIND("/",MID(Sync!$P383,FIND("/",Sync!$P383)+1,20))+1,20))),"")))</f>
        <v/>
      </c>
      <c r="AI383">
        <f>IF($AE383="","",IF(OR($AF383="",$AG383="",$AH383="",$AF383&lt;1300,$AF383&gt;1500,$AG383&lt;1,$AG383&gt;12,$AH383&lt;1,$AH383&gt;31),"نامعتبر",RIGHT("0000"&amp;$AF383,4)&amp;"/"&amp;RIGHT("00"&amp;$AG383,2)&amp;"/"&amp;RIGHT("00"&amp;$AH383,2)))</f>
        <v/>
      </c>
      <c r="AJ383">
        <f>IF($AE383="","",IF(Sync!$Q383="","0000",IF(AND(ISNUMBER(Sync!$Q383),Sync!$Q383&gt;=0,Sync!$Q383&lt;1),RIGHT("00"&amp;HOUR(Sync!$Q383),2)&amp;RIGHT("00"&amp;MINUTE(Sync!$Q383),2),IFERROR(RIGHT("00"&amp;VALUE(LEFT(Sync!$Q383,FIND(":",Sync!$Q383)-1)),2)&amp;RIGHT("00"&amp;VALUE(MID(Sync!$Q383,FIND(":",Sync!$Q383)+1,2)),2),"0000"))))</f>
        <v/>
      </c>
      <c r="AK383">
        <f>IF(OR($AE383="",$AI383="",$AI383="نامعتبر"),"",LEFT($AI383,4)&amp;MID($AI383,6,2)&amp;RIGHT($AI383,2)&amp;$AJ383&amp;"|"&amp;"3"&amp;RIGHT("00000"&amp;378,5))</f>
        <v/>
      </c>
      <c r="AL383">
        <f>IF($AK383="","",COUNTIFS(LdAParty,$AE383,LdAType,1,LdAKey,"&lt;"&amp;$AK383)+COUNTIFS(LdBMember,$AE383,LdBKey,"&lt;"&amp;$AK383)+COUNTIFS(LdCParty,$AE383,LdCKey,"&lt;"&amp;$AK383)+1)</f>
        <v/>
      </c>
      <c r="AM383">
        <f>IF($AL383="","",$AE383&amp;"|"&amp;RIGHT("000000"&amp;$AL383,6))</f>
        <v/>
      </c>
      <c r="AN383">
        <f>IF($AE383="","",IF(Sync!$W383="",0,Sync!$W383))</f>
        <v/>
      </c>
      <c r="AO383">
        <f>IF($AE383="","",IF(Sync!$X383="",0,Sync!$X383))</f>
        <v/>
      </c>
      <c r="AP383">
        <f>IF($AE383="","",Sync!$R383)</f>
        <v/>
      </c>
      <c r="AQ383">
        <f>IF($AE383="","",Sync!$Y383)</f>
        <v/>
      </c>
    </row>
    <row r="384">
      <c r="A384">
        <f>IF(OR(Wages!$B387="",Wages!$E387=""),"",Wages!$E387)</f>
        <v/>
      </c>
      <c r="B384">
        <f>IF($A384="","",IF(Wages!$C387="دستمزد گروهی",2,1))</f>
        <v/>
      </c>
      <c r="C384">
        <f>IF($A384="","",IF(ISNUMBER(Wages!$B387),IF(AND(Wages!$B387&gt;=10000101,Wages!$B387&lt;=99991231),INT(Wages!$B387/10000),""),IFERROR(VALUE(TRIM(LEFT(Wages!$B387,FIND("/",Wages!$B387)-1))),"")))</f>
        <v/>
      </c>
      <c r="D384">
        <f>IF(OR($A384="",$C384=""),"",IF(ISNUMBER(Wages!$B387),INT(MOD(Wages!$B387,10000)/100),IFERROR(VALUE(TRIM(LEFT(MID(Wages!$B387,FIND("/",Wages!$B387)+1,20),FIND("/",MID(Wages!$B387,FIND("/",Wages!$B387)+1,20))-1))),"")))</f>
        <v/>
      </c>
      <c r="E384">
        <f>IF(OR($A384="",$C384=""),"",IF(ISNUMBER(Wages!$B387),MOD(Wages!$B387,100),IFERROR(VALUE(TRIM(MID(MID(Wages!$B387,FIND("/",Wages!$B387)+1,20),FIND("/",MID(Wages!$B387,FIND("/",Wages!$B387)+1,20))+1,20))),"")))</f>
        <v/>
      </c>
      <c r="F384">
        <f>IF($A384="","",IF(OR($C384="",$D384="",$E384="",$C384&lt;1300,$C384&gt;1500,$D384&lt;1,$D384&gt;12,$E384&lt;1,$E384&gt;31),"نامعتبر",RIGHT("0000"&amp;$C384,4)&amp;"/"&amp;RIGHT("00"&amp;$D384,2)&amp;"/"&amp;RIGHT("00"&amp;$E384,2)))</f>
        <v/>
      </c>
      <c r="G384">
        <f>IF(OR($A384="",$F384="",$F384="نامعتبر"),"",LEFT($F384,4)&amp;MID($F384,6,2)&amp;RIGHT($F384,2)&amp;"0000"&amp;"|"&amp;"1"&amp;RIGHT("00000"&amp;379,5))</f>
        <v/>
      </c>
      <c r="H384">
        <f>IF(OR($B384&lt;&gt;1,$G384=""),"",COUNTIFS(LdAParty,$A384,LdAType,1,LdAKey,"&lt;"&amp;$G384)+COUNTIFS(LdBMember,$A384,LdBKey,"&lt;"&amp;$G384)+COUNTIFS(LdCParty,$A384,LdCKey,"&lt;"&amp;$G384)+1)</f>
        <v/>
      </c>
      <c r="I384">
        <f>IF($H384="","",$A384&amp;"|"&amp;RIGHT("000000"&amp;$H384,6))</f>
        <v/>
      </c>
      <c r="J384">
        <f>IF(OR($B384&lt;&gt;2,$G384=""),"",COUNTIFS(LdAParty,$A384,LdAType,2,LdAKey,"&lt;"&amp;$G384)+1)</f>
        <v/>
      </c>
      <c r="K384">
        <f>IF($J384="","",$A384&amp;"|"&amp;RIGHT("000000"&amp;$J384,6))</f>
        <v/>
      </c>
      <c r="L384">
        <f>IF($A384="","",IF(Wages!$G387="",0,Wages!$G387))</f>
        <v/>
      </c>
      <c r="M384">
        <f>IF($A384="","",Wages!$J387)</f>
        <v/>
      </c>
      <c r="N384">
        <f>IF($A384="","",Wages!$D387)</f>
        <v/>
      </c>
      <c r="P384">
        <f>IF(OR(Shares!$B387="",Shares!$C387=""),"",Shares!$C387)</f>
        <v/>
      </c>
      <c r="Q384">
        <f>IF($P384="","",Shares!$B387)</f>
        <v/>
      </c>
      <c r="R384">
        <f>IF($P384="","",IFERROR(INDEX(WageParty,MATCH($Q384,WageIds,0)),""))</f>
        <v/>
      </c>
      <c r="S384">
        <f>IF($P384="","",IFERROR(INDEX($F$6:$F$2005,MATCH($Q384,WageIds,0)),""))</f>
        <v/>
      </c>
      <c r="T384">
        <f>IF(OR($P384="",$S384="",$S384="نامعتبر"),"",LEFT($S384,4)&amp;MID($S384,6,2)&amp;RIGHT($S384,2)&amp;"0000"&amp;"|"&amp;"2"&amp;RIGHT("00000"&amp;379,5))</f>
        <v/>
      </c>
      <c r="U384">
        <f>IF($T384="","",COUNTIFS(LdAParty,$P384,LdAType,1,LdAKey,"&lt;"&amp;$T384)+COUNTIFS(LdBMember,$P384,LdBKey,"&lt;"&amp;$T384)+COUNTIFS(LdCParty,$P384,LdCKey,"&lt;"&amp;$T384)+1)</f>
        <v/>
      </c>
      <c r="V384">
        <f>IF($U384="","",$P384&amp;"|"&amp;RIGHT("000000"&amp;$U384,6))</f>
        <v/>
      </c>
      <c r="W384">
        <f>IF($T384="","",COUNTIFS(LdBGroup,$R384,LdBKey,"&lt;"&amp;$T384)+1)</f>
        <v/>
      </c>
      <c r="X384">
        <f>IF($W384="","",$R384&amp;"|"&amp;RIGHT("000000"&amp;$W384,6))</f>
        <v/>
      </c>
      <c r="Y384">
        <f>IF($P384="","",IF(Shares!$E387="",0,Shares!$E387))</f>
        <v/>
      </c>
      <c r="Z384">
        <f>IF($P384="","",Shares!$H387)</f>
        <v/>
      </c>
      <c r="AE384">
        <f>IF(OR(Sync!$S384="",Sync!$P384=""),"",Sync!$S384)</f>
        <v/>
      </c>
      <c r="AF384">
        <f>IF($AE384="","",IF(ISNUMBER(Sync!$P384),IF(AND(Sync!$P384&gt;=10000101,Sync!$P384&lt;=99991231),INT(Sync!$P384/10000),""),IFERROR(VALUE(TRIM(LEFT(Sync!$P384,FIND("/",Sync!$P384)-1))),"")))</f>
        <v/>
      </c>
      <c r="AG384">
        <f>IF(OR($AE384="",$AF384=""),"",IF(ISNUMBER(Sync!$P384),INT(MOD(Sync!$P384,10000)/100),IFERROR(VALUE(TRIM(LEFT(MID(Sync!$P384,FIND("/",Sync!$P384)+1,20),FIND("/",MID(Sync!$P384,FIND("/",Sync!$P384)+1,20))-1))),"")))</f>
        <v/>
      </c>
      <c r="AH384">
        <f>IF(OR($AE384="",$AF384=""),"",IF(ISNUMBER(Sync!$P384),MOD(Sync!$P384,100),IFERROR(VALUE(TRIM(MID(MID(Sync!$P384,FIND("/",Sync!$P384)+1,20),FIND("/",MID(Sync!$P384,FIND("/",Sync!$P384)+1,20))+1,20))),"")))</f>
        <v/>
      </c>
      <c r="AI384">
        <f>IF($AE384="","",IF(OR($AF384="",$AG384="",$AH384="",$AF384&lt;1300,$AF384&gt;1500,$AG384&lt;1,$AG384&gt;12,$AH384&lt;1,$AH384&gt;31),"نامعتبر",RIGHT("0000"&amp;$AF384,4)&amp;"/"&amp;RIGHT("00"&amp;$AG384,2)&amp;"/"&amp;RIGHT("00"&amp;$AH384,2)))</f>
        <v/>
      </c>
      <c r="AJ384">
        <f>IF($AE384="","",IF(Sync!$Q384="","0000",IF(AND(ISNUMBER(Sync!$Q384),Sync!$Q384&gt;=0,Sync!$Q384&lt;1),RIGHT("00"&amp;HOUR(Sync!$Q384),2)&amp;RIGHT("00"&amp;MINUTE(Sync!$Q384),2),IFERROR(RIGHT("00"&amp;VALUE(LEFT(Sync!$Q384,FIND(":",Sync!$Q384)-1)),2)&amp;RIGHT("00"&amp;VALUE(MID(Sync!$Q384,FIND(":",Sync!$Q384)+1,2)),2),"0000"))))</f>
        <v/>
      </c>
      <c r="AK384">
        <f>IF(OR($AE384="",$AI384="",$AI384="نامعتبر"),"",LEFT($AI384,4)&amp;MID($AI384,6,2)&amp;RIGHT($AI384,2)&amp;$AJ384&amp;"|"&amp;"3"&amp;RIGHT("00000"&amp;379,5))</f>
        <v/>
      </c>
      <c r="AL384">
        <f>IF($AK384="","",COUNTIFS(LdAParty,$AE384,LdAType,1,LdAKey,"&lt;"&amp;$AK384)+COUNTIFS(LdBMember,$AE384,LdBKey,"&lt;"&amp;$AK384)+COUNTIFS(LdCParty,$AE384,LdCKey,"&lt;"&amp;$AK384)+1)</f>
        <v/>
      </c>
      <c r="AM384">
        <f>IF($AL384="","",$AE384&amp;"|"&amp;RIGHT("000000"&amp;$AL384,6))</f>
        <v/>
      </c>
      <c r="AN384">
        <f>IF($AE384="","",IF(Sync!$W384="",0,Sync!$W384))</f>
        <v/>
      </c>
      <c r="AO384">
        <f>IF($AE384="","",IF(Sync!$X384="",0,Sync!$X384))</f>
        <v/>
      </c>
      <c r="AP384">
        <f>IF($AE384="","",Sync!$R384)</f>
        <v/>
      </c>
      <c r="AQ384">
        <f>IF($AE384="","",Sync!$Y384)</f>
        <v/>
      </c>
    </row>
    <row r="385">
      <c r="A385">
        <f>IF(OR(Wages!$B388="",Wages!$E388=""),"",Wages!$E388)</f>
        <v/>
      </c>
      <c r="B385">
        <f>IF($A385="","",IF(Wages!$C388="دستمزد گروهی",2,1))</f>
        <v/>
      </c>
      <c r="C385">
        <f>IF($A385="","",IF(ISNUMBER(Wages!$B388),IF(AND(Wages!$B388&gt;=10000101,Wages!$B388&lt;=99991231),INT(Wages!$B388/10000),""),IFERROR(VALUE(TRIM(LEFT(Wages!$B388,FIND("/",Wages!$B388)-1))),"")))</f>
        <v/>
      </c>
      <c r="D385">
        <f>IF(OR($A385="",$C385=""),"",IF(ISNUMBER(Wages!$B388),INT(MOD(Wages!$B388,10000)/100),IFERROR(VALUE(TRIM(LEFT(MID(Wages!$B388,FIND("/",Wages!$B388)+1,20),FIND("/",MID(Wages!$B388,FIND("/",Wages!$B388)+1,20))-1))),"")))</f>
        <v/>
      </c>
      <c r="E385">
        <f>IF(OR($A385="",$C385=""),"",IF(ISNUMBER(Wages!$B388),MOD(Wages!$B388,100),IFERROR(VALUE(TRIM(MID(MID(Wages!$B388,FIND("/",Wages!$B388)+1,20),FIND("/",MID(Wages!$B388,FIND("/",Wages!$B388)+1,20))+1,20))),"")))</f>
        <v/>
      </c>
      <c r="F385">
        <f>IF($A385="","",IF(OR($C385="",$D385="",$E385="",$C385&lt;1300,$C385&gt;1500,$D385&lt;1,$D385&gt;12,$E385&lt;1,$E385&gt;31),"نامعتبر",RIGHT("0000"&amp;$C385,4)&amp;"/"&amp;RIGHT("00"&amp;$D385,2)&amp;"/"&amp;RIGHT("00"&amp;$E385,2)))</f>
        <v/>
      </c>
      <c r="G385">
        <f>IF(OR($A385="",$F385="",$F385="نامعتبر"),"",LEFT($F385,4)&amp;MID($F385,6,2)&amp;RIGHT($F385,2)&amp;"0000"&amp;"|"&amp;"1"&amp;RIGHT("00000"&amp;380,5))</f>
        <v/>
      </c>
      <c r="H385">
        <f>IF(OR($B385&lt;&gt;1,$G385=""),"",COUNTIFS(LdAParty,$A385,LdAType,1,LdAKey,"&lt;"&amp;$G385)+COUNTIFS(LdBMember,$A385,LdBKey,"&lt;"&amp;$G385)+COUNTIFS(LdCParty,$A385,LdCKey,"&lt;"&amp;$G385)+1)</f>
        <v/>
      </c>
      <c r="I385">
        <f>IF($H385="","",$A385&amp;"|"&amp;RIGHT("000000"&amp;$H385,6))</f>
        <v/>
      </c>
      <c r="J385">
        <f>IF(OR($B385&lt;&gt;2,$G385=""),"",COUNTIFS(LdAParty,$A385,LdAType,2,LdAKey,"&lt;"&amp;$G385)+1)</f>
        <v/>
      </c>
      <c r="K385">
        <f>IF($J385="","",$A385&amp;"|"&amp;RIGHT("000000"&amp;$J385,6))</f>
        <v/>
      </c>
      <c r="L385">
        <f>IF($A385="","",IF(Wages!$G388="",0,Wages!$G388))</f>
        <v/>
      </c>
      <c r="M385">
        <f>IF($A385="","",Wages!$J388)</f>
        <v/>
      </c>
      <c r="N385">
        <f>IF($A385="","",Wages!$D388)</f>
        <v/>
      </c>
      <c r="P385">
        <f>IF(OR(Shares!$B388="",Shares!$C388=""),"",Shares!$C388)</f>
        <v/>
      </c>
      <c r="Q385">
        <f>IF($P385="","",Shares!$B388)</f>
        <v/>
      </c>
      <c r="R385">
        <f>IF($P385="","",IFERROR(INDEX(WageParty,MATCH($Q385,WageIds,0)),""))</f>
        <v/>
      </c>
      <c r="S385">
        <f>IF($P385="","",IFERROR(INDEX($F$6:$F$2005,MATCH($Q385,WageIds,0)),""))</f>
        <v/>
      </c>
      <c r="T385">
        <f>IF(OR($P385="",$S385="",$S385="نامعتبر"),"",LEFT($S385,4)&amp;MID($S385,6,2)&amp;RIGHT($S385,2)&amp;"0000"&amp;"|"&amp;"2"&amp;RIGHT("00000"&amp;380,5))</f>
        <v/>
      </c>
      <c r="U385">
        <f>IF($T385="","",COUNTIFS(LdAParty,$P385,LdAType,1,LdAKey,"&lt;"&amp;$T385)+COUNTIFS(LdBMember,$P385,LdBKey,"&lt;"&amp;$T385)+COUNTIFS(LdCParty,$P385,LdCKey,"&lt;"&amp;$T385)+1)</f>
        <v/>
      </c>
      <c r="V385">
        <f>IF($U385="","",$P385&amp;"|"&amp;RIGHT("000000"&amp;$U385,6))</f>
        <v/>
      </c>
      <c r="W385">
        <f>IF($T385="","",COUNTIFS(LdBGroup,$R385,LdBKey,"&lt;"&amp;$T385)+1)</f>
        <v/>
      </c>
      <c r="X385">
        <f>IF($W385="","",$R385&amp;"|"&amp;RIGHT("000000"&amp;$W385,6))</f>
        <v/>
      </c>
      <c r="Y385">
        <f>IF($P385="","",IF(Shares!$E388="",0,Shares!$E388))</f>
        <v/>
      </c>
      <c r="Z385">
        <f>IF($P385="","",Shares!$H388)</f>
        <v/>
      </c>
      <c r="AE385">
        <f>IF(OR(Sync!$S385="",Sync!$P385=""),"",Sync!$S385)</f>
        <v/>
      </c>
      <c r="AF385">
        <f>IF($AE385="","",IF(ISNUMBER(Sync!$P385),IF(AND(Sync!$P385&gt;=10000101,Sync!$P385&lt;=99991231),INT(Sync!$P385/10000),""),IFERROR(VALUE(TRIM(LEFT(Sync!$P385,FIND("/",Sync!$P385)-1))),"")))</f>
        <v/>
      </c>
      <c r="AG385">
        <f>IF(OR($AE385="",$AF385=""),"",IF(ISNUMBER(Sync!$P385),INT(MOD(Sync!$P385,10000)/100),IFERROR(VALUE(TRIM(LEFT(MID(Sync!$P385,FIND("/",Sync!$P385)+1,20),FIND("/",MID(Sync!$P385,FIND("/",Sync!$P385)+1,20))-1))),"")))</f>
        <v/>
      </c>
      <c r="AH385">
        <f>IF(OR($AE385="",$AF385=""),"",IF(ISNUMBER(Sync!$P385),MOD(Sync!$P385,100),IFERROR(VALUE(TRIM(MID(MID(Sync!$P385,FIND("/",Sync!$P385)+1,20),FIND("/",MID(Sync!$P385,FIND("/",Sync!$P385)+1,20))+1,20))),"")))</f>
        <v/>
      </c>
      <c r="AI385">
        <f>IF($AE385="","",IF(OR($AF385="",$AG385="",$AH385="",$AF385&lt;1300,$AF385&gt;1500,$AG385&lt;1,$AG385&gt;12,$AH385&lt;1,$AH385&gt;31),"نامعتبر",RIGHT("0000"&amp;$AF385,4)&amp;"/"&amp;RIGHT("00"&amp;$AG385,2)&amp;"/"&amp;RIGHT("00"&amp;$AH385,2)))</f>
        <v/>
      </c>
      <c r="AJ385">
        <f>IF($AE385="","",IF(Sync!$Q385="","0000",IF(AND(ISNUMBER(Sync!$Q385),Sync!$Q385&gt;=0,Sync!$Q385&lt;1),RIGHT("00"&amp;HOUR(Sync!$Q385),2)&amp;RIGHT("00"&amp;MINUTE(Sync!$Q385),2),IFERROR(RIGHT("00"&amp;VALUE(LEFT(Sync!$Q385,FIND(":",Sync!$Q385)-1)),2)&amp;RIGHT("00"&amp;VALUE(MID(Sync!$Q385,FIND(":",Sync!$Q385)+1,2)),2),"0000"))))</f>
        <v/>
      </c>
      <c r="AK385">
        <f>IF(OR($AE385="",$AI385="",$AI385="نامعتبر"),"",LEFT($AI385,4)&amp;MID($AI385,6,2)&amp;RIGHT($AI385,2)&amp;$AJ385&amp;"|"&amp;"3"&amp;RIGHT("00000"&amp;380,5))</f>
        <v/>
      </c>
      <c r="AL385">
        <f>IF($AK385="","",COUNTIFS(LdAParty,$AE385,LdAType,1,LdAKey,"&lt;"&amp;$AK385)+COUNTIFS(LdBMember,$AE385,LdBKey,"&lt;"&amp;$AK385)+COUNTIFS(LdCParty,$AE385,LdCKey,"&lt;"&amp;$AK385)+1)</f>
        <v/>
      </c>
      <c r="AM385">
        <f>IF($AL385="","",$AE385&amp;"|"&amp;RIGHT("000000"&amp;$AL385,6))</f>
        <v/>
      </c>
      <c r="AN385">
        <f>IF($AE385="","",IF(Sync!$W385="",0,Sync!$W385))</f>
        <v/>
      </c>
      <c r="AO385">
        <f>IF($AE385="","",IF(Sync!$X385="",0,Sync!$X385))</f>
        <v/>
      </c>
      <c r="AP385">
        <f>IF($AE385="","",Sync!$R385)</f>
        <v/>
      </c>
      <c r="AQ385">
        <f>IF($AE385="","",Sync!$Y385)</f>
        <v/>
      </c>
    </row>
    <row r="386">
      <c r="A386">
        <f>IF(OR(Wages!$B389="",Wages!$E389=""),"",Wages!$E389)</f>
        <v/>
      </c>
      <c r="B386">
        <f>IF($A386="","",IF(Wages!$C389="دستمزد گروهی",2,1))</f>
        <v/>
      </c>
      <c r="C386">
        <f>IF($A386="","",IF(ISNUMBER(Wages!$B389),IF(AND(Wages!$B389&gt;=10000101,Wages!$B389&lt;=99991231),INT(Wages!$B389/10000),""),IFERROR(VALUE(TRIM(LEFT(Wages!$B389,FIND("/",Wages!$B389)-1))),"")))</f>
        <v/>
      </c>
      <c r="D386">
        <f>IF(OR($A386="",$C386=""),"",IF(ISNUMBER(Wages!$B389),INT(MOD(Wages!$B389,10000)/100),IFERROR(VALUE(TRIM(LEFT(MID(Wages!$B389,FIND("/",Wages!$B389)+1,20),FIND("/",MID(Wages!$B389,FIND("/",Wages!$B389)+1,20))-1))),"")))</f>
        <v/>
      </c>
      <c r="E386">
        <f>IF(OR($A386="",$C386=""),"",IF(ISNUMBER(Wages!$B389),MOD(Wages!$B389,100),IFERROR(VALUE(TRIM(MID(MID(Wages!$B389,FIND("/",Wages!$B389)+1,20),FIND("/",MID(Wages!$B389,FIND("/",Wages!$B389)+1,20))+1,20))),"")))</f>
        <v/>
      </c>
      <c r="F386">
        <f>IF($A386="","",IF(OR($C386="",$D386="",$E386="",$C386&lt;1300,$C386&gt;1500,$D386&lt;1,$D386&gt;12,$E386&lt;1,$E386&gt;31),"نامعتبر",RIGHT("0000"&amp;$C386,4)&amp;"/"&amp;RIGHT("00"&amp;$D386,2)&amp;"/"&amp;RIGHT("00"&amp;$E386,2)))</f>
        <v/>
      </c>
      <c r="G386">
        <f>IF(OR($A386="",$F386="",$F386="نامعتبر"),"",LEFT($F386,4)&amp;MID($F386,6,2)&amp;RIGHT($F386,2)&amp;"0000"&amp;"|"&amp;"1"&amp;RIGHT("00000"&amp;381,5))</f>
        <v/>
      </c>
      <c r="H386">
        <f>IF(OR($B386&lt;&gt;1,$G386=""),"",COUNTIFS(LdAParty,$A386,LdAType,1,LdAKey,"&lt;"&amp;$G386)+COUNTIFS(LdBMember,$A386,LdBKey,"&lt;"&amp;$G386)+COUNTIFS(LdCParty,$A386,LdCKey,"&lt;"&amp;$G386)+1)</f>
        <v/>
      </c>
      <c r="I386">
        <f>IF($H386="","",$A386&amp;"|"&amp;RIGHT("000000"&amp;$H386,6))</f>
        <v/>
      </c>
      <c r="J386">
        <f>IF(OR($B386&lt;&gt;2,$G386=""),"",COUNTIFS(LdAParty,$A386,LdAType,2,LdAKey,"&lt;"&amp;$G386)+1)</f>
        <v/>
      </c>
      <c r="K386">
        <f>IF($J386="","",$A386&amp;"|"&amp;RIGHT("000000"&amp;$J386,6))</f>
        <v/>
      </c>
      <c r="L386">
        <f>IF($A386="","",IF(Wages!$G389="",0,Wages!$G389))</f>
        <v/>
      </c>
      <c r="M386">
        <f>IF($A386="","",Wages!$J389)</f>
        <v/>
      </c>
      <c r="N386">
        <f>IF($A386="","",Wages!$D389)</f>
        <v/>
      </c>
      <c r="P386">
        <f>IF(OR(Shares!$B389="",Shares!$C389=""),"",Shares!$C389)</f>
        <v/>
      </c>
      <c r="Q386">
        <f>IF($P386="","",Shares!$B389)</f>
        <v/>
      </c>
      <c r="R386">
        <f>IF($P386="","",IFERROR(INDEX(WageParty,MATCH($Q386,WageIds,0)),""))</f>
        <v/>
      </c>
      <c r="S386">
        <f>IF($P386="","",IFERROR(INDEX($F$6:$F$2005,MATCH($Q386,WageIds,0)),""))</f>
        <v/>
      </c>
      <c r="T386">
        <f>IF(OR($P386="",$S386="",$S386="نامعتبر"),"",LEFT($S386,4)&amp;MID($S386,6,2)&amp;RIGHT($S386,2)&amp;"0000"&amp;"|"&amp;"2"&amp;RIGHT("00000"&amp;381,5))</f>
        <v/>
      </c>
      <c r="U386">
        <f>IF($T386="","",COUNTIFS(LdAParty,$P386,LdAType,1,LdAKey,"&lt;"&amp;$T386)+COUNTIFS(LdBMember,$P386,LdBKey,"&lt;"&amp;$T386)+COUNTIFS(LdCParty,$P386,LdCKey,"&lt;"&amp;$T386)+1)</f>
        <v/>
      </c>
      <c r="V386">
        <f>IF($U386="","",$P386&amp;"|"&amp;RIGHT("000000"&amp;$U386,6))</f>
        <v/>
      </c>
      <c r="W386">
        <f>IF($T386="","",COUNTIFS(LdBGroup,$R386,LdBKey,"&lt;"&amp;$T386)+1)</f>
        <v/>
      </c>
      <c r="X386">
        <f>IF($W386="","",$R386&amp;"|"&amp;RIGHT("000000"&amp;$W386,6))</f>
        <v/>
      </c>
      <c r="Y386">
        <f>IF($P386="","",IF(Shares!$E389="",0,Shares!$E389))</f>
        <v/>
      </c>
      <c r="Z386">
        <f>IF($P386="","",Shares!$H389)</f>
        <v/>
      </c>
      <c r="AE386">
        <f>IF(OR(Sync!$S386="",Sync!$P386=""),"",Sync!$S386)</f>
        <v/>
      </c>
      <c r="AF386">
        <f>IF($AE386="","",IF(ISNUMBER(Sync!$P386),IF(AND(Sync!$P386&gt;=10000101,Sync!$P386&lt;=99991231),INT(Sync!$P386/10000),""),IFERROR(VALUE(TRIM(LEFT(Sync!$P386,FIND("/",Sync!$P386)-1))),"")))</f>
        <v/>
      </c>
      <c r="AG386">
        <f>IF(OR($AE386="",$AF386=""),"",IF(ISNUMBER(Sync!$P386),INT(MOD(Sync!$P386,10000)/100),IFERROR(VALUE(TRIM(LEFT(MID(Sync!$P386,FIND("/",Sync!$P386)+1,20),FIND("/",MID(Sync!$P386,FIND("/",Sync!$P386)+1,20))-1))),"")))</f>
        <v/>
      </c>
      <c r="AH386">
        <f>IF(OR($AE386="",$AF386=""),"",IF(ISNUMBER(Sync!$P386),MOD(Sync!$P386,100),IFERROR(VALUE(TRIM(MID(MID(Sync!$P386,FIND("/",Sync!$P386)+1,20),FIND("/",MID(Sync!$P386,FIND("/",Sync!$P386)+1,20))+1,20))),"")))</f>
        <v/>
      </c>
      <c r="AI386">
        <f>IF($AE386="","",IF(OR($AF386="",$AG386="",$AH386="",$AF386&lt;1300,$AF386&gt;1500,$AG386&lt;1,$AG386&gt;12,$AH386&lt;1,$AH386&gt;31),"نامعتبر",RIGHT("0000"&amp;$AF386,4)&amp;"/"&amp;RIGHT("00"&amp;$AG386,2)&amp;"/"&amp;RIGHT("00"&amp;$AH386,2)))</f>
        <v/>
      </c>
      <c r="AJ386">
        <f>IF($AE386="","",IF(Sync!$Q386="","0000",IF(AND(ISNUMBER(Sync!$Q386),Sync!$Q386&gt;=0,Sync!$Q386&lt;1),RIGHT("00"&amp;HOUR(Sync!$Q386),2)&amp;RIGHT("00"&amp;MINUTE(Sync!$Q386),2),IFERROR(RIGHT("00"&amp;VALUE(LEFT(Sync!$Q386,FIND(":",Sync!$Q386)-1)),2)&amp;RIGHT("00"&amp;VALUE(MID(Sync!$Q386,FIND(":",Sync!$Q386)+1,2)),2),"0000"))))</f>
        <v/>
      </c>
      <c r="AK386">
        <f>IF(OR($AE386="",$AI386="",$AI386="نامعتبر"),"",LEFT($AI386,4)&amp;MID($AI386,6,2)&amp;RIGHT($AI386,2)&amp;$AJ386&amp;"|"&amp;"3"&amp;RIGHT("00000"&amp;381,5))</f>
        <v/>
      </c>
      <c r="AL386">
        <f>IF($AK386="","",COUNTIFS(LdAParty,$AE386,LdAType,1,LdAKey,"&lt;"&amp;$AK386)+COUNTIFS(LdBMember,$AE386,LdBKey,"&lt;"&amp;$AK386)+COUNTIFS(LdCParty,$AE386,LdCKey,"&lt;"&amp;$AK386)+1)</f>
        <v/>
      </c>
      <c r="AM386">
        <f>IF($AL386="","",$AE386&amp;"|"&amp;RIGHT("000000"&amp;$AL386,6))</f>
        <v/>
      </c>
      <c r="AN386">
        <f>IF($AE386="","",IF(Sync!$W386="",0,Sync!$W386))</f>
        <v/>
      </c>
      <c r="AO386">
        <f>IF($AE386="","",IF(Sync!$X386="",0,Sync!$X386))</f>
        <v/>
      </c>
      <c r="AP386">
        <f>IF($AE386="","",Sync!$R386)</f>
        <v/>
      </c>
      <c r="AQ386">
        <f>IF($AE386="","",Sync!$Y386)</f>
        <v/>
      </c>
    </row>
    <row r="387">
      <c r="A387">
        <f>IF(OR(Wages!$B390="",Wages!$E390=""),"",Wages!$E390)</f>
        <v/>
      </c>
      <c r="B387">
        <f>IF($A387="","",IF(Wages!$C390="دستمزد گروهی",2,1))</f>
        <v/>
      </c>
      <c r="C387">
        <f>IF($A387="","",IF(ISNUMBER(Wages!$B390),IF(AND(Wages!$B390&gt;=10000101,Wages!$B390&lt;=99991231),INT(Wages!$B390/10000),""),IFERROR(VALUE(TRIM(LEFT(Wages!$B390,FIND("/",Wages!$B390)-1))),"")))</f>
        <v/>
      </c>
      <c r="D387">
        <f>IF(OR($A387="",$C387=""),"",IF(ISNUMBER(Wages!$B390),INT(MOD(Wages!$B390,10000)/100),IFERROR(VALUE(TRIM(LEFT(MID(Wages!$B390,FIND("/",Wages!$B390)+1,20),FIND("/",MID(Wages!$B390,FIND("/",Wages!$B390)+1,20))-1))),"")))</f>
        <v/>
      </c>
      <c r="E387">
        <f>IF(OR($A387="",$C387=""),"",IF(ISNUMBER(Wages!$B390),MOD(Wages!$B390,100),IFERROR(VALUE(TRIM(MID(MID(Wages!$B390,FIND("/",Wages!$B390)+1,20),FIND("/",MID(Wages!$B390,FIND("/",Wages!$B390)+1,20))+1,20))),"")))</f>
        <v/>
      </c>
      <c r="F387">
        <f>IF($A387="","",IF(OR($C387="",$D387="",$E387="",$C387&lt;1300,$C387&gt;1500,$D387&lt;1,$D387&gt;12,$E387&lt;1,$E387&gt;31),"نامعتبر",RIGHT("0000"&amp;$C387,4)&amp;"/"&amp;RIGHT("00"&amp;$D387,2)&amp;"/"&amp;RIGHT("00"&amp;$E387,2)))</f>
        <v/>
      </c>
      <c r="G387">
        <f>IF(OR($A387="",$F387="",$F387="نامعتبر"),"",LEFT($F387,4)&amp;MID($F387,6,2)&amp;RIGHT($F387,2)&amp;"0000"&amp;"|"&amp;"1"&amp;RIGHT("00000"&amp;382,5))</f>
        <v/>
      </c>
      <c r="H387">
        <f>IF(OR($B387&lt;&gt;1,$G387=""),"",COUNTIFS(LdAParty,$A387,LdAType,1,LdAKey,"&lt;"&amp;$G387)+COUNTIFS(LdBMember,$A387,LdBKey,"&lt;"&amp;$G387)+COUNTIFS(LdCParty,$A387,LdCKey,"&lt;"&amp;$G387)+1)</f>
        <v/>
      </c>
      <c r="I387">
        <f>IF($H387="","",$A387&amp;"|"&amp;RIGHT("000000"&amp;$H387,6))</f>
        <v/>
      </c>
      <c r="J387">
        <f>IF(OR($B387&lt;&gt;2,$G387=""),"",COUNTIFS(LdAParty,$A387,LdAType,2,LdAKey,"&lt;"&amp;$G387)+1)</f>
        <v/>
      </c>
      <c r="K387">
        <f>IF($J387="","",$A387&amp;"|"&amp;RIGHT("000000"&amp;$J387,6))</f>
        <v/>
      </c>
      <c r="L387">
        <f>IF($A387="","",IF(Wages!$G390="",0,Wages!$G390))</f>
        <v/>
      </c>
      <c r="M387">
        <f>IF($A387="","",Wages!$J390)</f>
        <v/>
      </c>
      <c r="N387">
        <f>IF($A387="","",Wages!$D390)</f>
        <v/>
      </c>
      <c r="P387">
        <f>IF(OR(Shares!$B390="",Shares!$C390=""),"",Shares!$C390)</f>
        <v/>
      </c>
      <c r="Q387">
        <f>IF($P387="","",Shares!$B390)</f>
        <v/>
      </c>
      <c r="R387">
        <f>IF($P387="","",IFERROR(INDEX(WageParty,MATCH($Q387,WageIds,0)),""))</f>
        <v/>
      </c>
      <c r="S387">
        <f>IF($P387="","",IFERROR(INDEX($F$6:$F$2005,MATCH($Q387,WageIds,0)),""))</f>
        <v/>
      </c>
      <c r="T387">
        <f>IF(OR($P387="",$S387="",$S387="نامعتبر"),"",LEFT($S387,4)&amp;MID($S387,6,2)&amp;RIGHT($S387,2)&amp;"0000"&amp;"|"&amp;"2"&amp;RIGHT("00000"&amp;382,5))</f>
        <v/>
      </c>
      <c r="U387">
        <f>IF($T387="","",COUNTIFS(LdAParty,$P387,LdAType,1,LdAKey,"&lt;"&amp;$T387)+COUNTIFS(LdBMember,$P387,LdBKey,"&lt;"&amp;$T387)+COUNTIFS(LdCParty,$P387,LdCKey,"&lt;"&amp;$T387)+1)</f>
        <v/>
      </c>
      <c r="V387">
        <f>IF($U387="","",$P387&amp;"|"&amp;RIGHT("000000"&amp;$U387,6))</f>
        <v/>
      </c>
      <c r="W387">
        <f>IF($T387="","",COUNTIFS(LdBGroup,$R387,LdBKey,"&lt;"&amp;$T387)+1)</f>
        <v/>
      </c>
      <c r="X387">
        <f>IF($W387="","",$R387&amp;"|"&amp;RIGHT("000000"&amp;$W387,6))</f>
        <v/>
      </c>
      <c r="Y387">
        <f>IF($P387="","",IF(Shares!$E390="",0,Shares!$E390))</f>
        <v/>
      </c>
      <c r="Z387">
        <f>IF($P387="","",Shares!$H390)</f>
        <v/>
      </c>
      <c r="AE387">
        <f>IF(OR(Sync!$S387="",Sync!$P387=""),"",Sync!$S387)</f>
        <v/>
      </c>
      <c r="AF387">
        <f>IF($AE387="","",IF(ISNUMBER(Sync!$P387),IF(AND(Sync!$P387&gt;=10000101,Sync!$P387&lt;=99991231),INT(Sync!$P387/10000),""),IFERROR(VALUE(TRIM(LEFT(Sync!$P387,FIND("/",Sync!$P387)-1))),"")))</f>
        <v/>
      </c>
      <c r="AG387">
        <f>IF(OR($AE387="",$AF387=""),"",IF(ISNUMBER(Sync!$P387),INT(MOD(Sync!$P387,10000)/100),IFERROR(VALUE(TRIM(LEFT(MID(Sync!$P387,FIND("/",Sync!$P387)+1,20),FIND("/",MID(Sync!$P387,FIND("/",Sync!$P387)+1,20))-1))),"")))</f>
        <v/>
      </c>
      <c r="AH387">
        <f>IF(OR($AE387="",$AF387=""),"",IF(ISNUMBER(Sync!$P387),MOD(Sync!$P387,100),IFERROR(VALUE(TRIM(MID(MID(Sync!$P387,FIND("/",Sync!$P387)+1,20),FIND("/",MID(Sync!$P387,FIND("/",Sync!$P387)+1,20))+1,20))),"")))</f>
        <v/>
      </c>
      <c r="AI387">
        <f>IF($AE387="","",IF(OR($AF387="",$AG387="",$AH387="",$AF387&lt;1300,$AF387&gt;1500,$AG387&lt;1,$AG387&gt;12,$AH387&lt;1,$AH387&gt;31),"نامعتبر",RIGHT("0000"&amp;$AF387,4)&amp;"/"&amp;RIGHT("00"&amp;$AG387,2)&amp;"/"&amp;RIGHT("00"&amp;$AH387,2)))</f>
        <v/>
      </c>
      <c r="AJ387">
        <f>IF($AE387="","",IF(Sync!$Q387="","0000",IF(AND(ISNUMBER(Sync!$Q387),Sync!$Q387&gt;=0,Sync!$Q387&lt;1),RIGHT("00"&amp;HOUR(Sync!$Q387),2)&amp;RIGHT("00"&amp;MINUTE(Sync!$Q387),2),IFERROR(RIGHT("00"&amp;VALUE(LEFT(Sync!$Q387,FIND(":",Sync!$Q387)-1)),2)&amp;RIGHT("00"&amp;VALUE(MID(Sync!$Q387,FIND(":",Sync!$Q387)+1,2)),2),"0000"))))</f>
        <v/>
      </c>
      <c r="AK387">
        <f>IF(OR($AE387="",$AI387="",$AI387="نامعتبر"),"",LEFT($AI387,4)&amp;MID($AI387,6,2)&amp;RIGHT($AI387,2)&amp;$AJ387&amp;"|"&amp;"3"&amp;RIGHT("00000"&amp;382,5))</f>
        <v/>
      </c>
      <c r="AL387">
        <f>IF($AK387="","",COUNTIFS(LdAParty,$AE387,LdAType,1,LdAKey,"&lt;"&amp;$AK387)+COUNTIFS(LdBMember,$AE387,LdBKey,"&lt;"&amp;$AK387)+COUNTIFS(LdCParty,$AE387,LdCKey,"&lt;"&amp;$AK387)+1)</f>
        <v/>
      </c>
      <c r="AM387">
        <f>IF($AL387="","",$AE387&amp;"|"&amp;RIGHT("000000"&amp;$AL387,6))</f>
        <v/>
      </c>
      <c r="AN387">
        <f>IF($AE387="","",IF(Sync!$W387="",0,Sync!$W387))</f>
        <v/>
      </c>
      <c r="AO387">
        <f>IF($AE387="","",IF(Sync!$X387="",0,Sync!$X387))</f>
        <v/>
      </c>
      <c r="AP387">
        <f>IF($AE387="","",Sync!$R387)</f>
        <v/>
      </c>
      <c r="AQ387">
        <f>IF($AE387="","",Sync!$Y387)</f>
        <v/>
      </c>
    </row>
    <row r="388">
      <c r="A388">
        <f>IF(OR(Wages!$B391="",Wages!$E391=""),"",Wages!$E391)</f>
        <v/>
      </c>
      <c r="B388">
        <f>IF($A388="","",IF(Wages!$C391="دستمزد گروهی",2,1))</f>
        <v/>
      </c>
      <c r="C388">
        <f>IF($A388="","",IF(ISNUMBER(Wages!$B391),IF(AND(Wages!$B391&gt;=10000101,Wages!$B391&lt;=99991231),INT(Wages!$B391/10000),""),IFERROR(VALUE(TRIM(LEFT(Wages!$B391,FIND("/",Wages!$B391)-1))),"")))</f>
        <v/>
      </c>
      <c r="D388">
        <f>IF(OR($A388="",$C388=""),"",IF(ISNUMBER(Wages!$B391),INT(MOD(Wages!$B391,10000)/100),IFERROR(VALUE(TRIM(LEFT(MID(Wages!$B391,FIND("/",Wages!$B391)+1,20),FIND("/",MID(Wages!$B391,FIND("/",Wages!$B391)+1,20))-1))),"")))</f>
        <v/>
      </c>
      <c r="E388">
        <f>IF(OR($A388="",$C388=""),"",IF(ISNUMBER(Wages!$B391),MOD(Wages!$B391,100),IFERROR(VALUE(TRIM(MID(MID(Wages!$B391,FIND("/",Wages!$B391)+1,20),FIND("/",MID(Wages!$B391,FIND("/",Wages!$B391)+1,20))+1,20))),"")))</f>
        <v/>
      </c>
      <c r="F388">
        <f>IF($A388="","",IF(OR($C388="",$D388="",$E388="",$C388&lt;1300,$C388&gt;1500,$D388&lt;1,$D388&gt;12,$E388&lt;1,$E388&gt;31),"نامعتبر",RIGHT("0000"&amp;$C388,4)&amp;"/"&amp;RIGHT("00"&amp;$D388,2)&amp;"/"&amp;RIGHT("00"&amp;$E388,2)))</f>
        <v/>
      </c>
      <c r="G388">
        <f>IF(OR($A388="",$F388="",$F388="نامعتبر"),"",LEFT($F388,4)&amp;MID($F388,6,2)&amp;RIGHT($F388,2)&amp;"0000"&amp;"|"&amp;"1"&amp;RIGHT("00000"&amp;383,5))</f>
        <v/>
      </c>
      <c r="H388">
        <f>IF(OR($B388&lt;&gt;1,$G388=""),"",COUNTIFS(LdAParty,$A388,LdAType,1,LdAKey,"&lt;"&amp;$G388)+COUNTIFS(LdBMember,$A388,LdBKey,"&lt;"&amp;$G388)+COUNTIFS(LdCParty,$A388,LdCKey,"&lt;"&amp;$G388)+1)</f>
        <v/>
      </c>
      <c r="I388">
        <f>IF($H388="","",$A388&amp;"|"&amp;RIGHT("000000"&amp;$H388,6))</f>
        <v/>
      </c>
      <c r="J388">
        <f>IF(OR($B388&lt;&gt;2,$G388=""),"",COUNTIFS(LdAParty,$A388,LdAType,2,LdAKey,"&lt;"&amp;$G388)+1)</f>
        <v/>
      </c>
      <c r="K388">
        <f>IF($J388="","",$A388&amp;"|"&amp;RIGHT("000000"&amp;$J388,6))</f>
        <v/>
      </c>
      <c r="L388">
        <f>IF($A388="","",IF(Wages!$G391="",0,Wages!$G391))</f>
        <v/>
      </c>
      <c r="M388">
        <f>IF($A388="","",Wages!$J391)</f>
        <v/>
      </c>
      <c r="N388">
        <f>IF($A388="","",Wages!$D391)</f>
        <v/>
      </c>
      <c r="P388">
        <f>IF(OR(Shares!$B391="",Shares!$C391=""),"",Shares!$C391)</f>
        <v/>
      </c>
      <c r="Q388">
        <f>IF($P388="","",Shares!$B391)</f>
        <v/>
      </c>
      <c r="R388">
        <f>IF($P388="","",IFERROR(INDEX(WageParty,MATCH($Q388,WageIds,0)),""))</f>
        <v/>
      </c>
      <c r="S388">
        <f>IF($P388="","",IFERROR(INDEX($F$6:$F$2005,MATCH($Q388,WageIds,0)),""))</f>
        <v/>
      </c>
      <c r="T388">
        <f>IF(OR($P388="",$S388="",$S388="نامعتبر"),"",LEFT($S388,4)&amp;MID($S388,6,2)&amp;RIGHT($S388,2)&amp;"0000"&amp;"|"&amp;"2"&amp;RIGHT("00000"&amp;383,5))</f>
        <v/>
      </c>
      <c r="U388">
        <f>IF($T388="","",COUNTIFS(LdAParty,$P388,LdAType,1,LdAKey,"&lt;"&amp;$T388)+COUNTIFS(LdBMember,$P388,LdBKey,"&lt;"&amp;$T388)+COUNTIFS(LdCParty,$P388,LdCKey,"&lt;"&amp;$T388)+1)</f>
        <v/>
      </c>
      <c r="V388">
        <f>IF($U388="","",$P388&amp;"|"&amp;RIGHT("000000"&amp;$U388,6))</f>
        <v/>
      </c>
      <c r="W388">
        <f>IF($T388="","",COUNTIFS(LdBGroup,$R388,LdBKey,"&lt;"&amp;$T388)+1)</f>
        <v/>
      </c>
      <c r="X388">
        <f>IF($W388="","",$R388&amp;"|"&amp;RIGHT("000000"&amp;$W388,6))</f>
        <v/>
      </c>
      <c r="Y388">
        <f>IF($P388="","",IF(Shares!$E391="",0,Shares!$E391))</f>
        <v/>
      </c>
      <c r="Z388">
        <f>IF($P388="","",Shares!$H391)</f>
        <v/>
      </c>
      <c r="AE388">
        <f>IF(OR(Sync!$S388="",Sync!$P388=""),"",Sync!$S388)</f>
        <v/>
      </c>
      <c r="AF388">
        <f>IF($AE388="","",IF(ISNUMBER(Sync!$P388),IF(AND(Sync!$P388&gt;=10000101,Sync!$P388&lt;=99991231),INT(Sync!$P388/10000),""),IFERROR(VALUE(TRIM(LEFT(Sync!$P388,FIND("/",Sync!$P388)-1))),"")))</f>
        <v/>
      </c>
      <c r="AG388">
        <f>IF(OR($AE388="",$AF388=""),"",IF(ISNUMBER(Sync!$P388),INT(MOD(Sync!$P388,10000)/100),IFERROR(VALUE(TRIM(LEFT(MID(Sync!$P388,FIND("/",Sync!$P388)+1,20),FIND("/",MID(Sync!$P388,FIND("/",Sync!$P388)+1,20))-1))),"")))</f>
        <v/>
      </c>
      <c r="AH388">
        <f>IF(OR($AE388="",$AF388=""),"",IF(ISNUMBER(Sync!$P388),MOD(Sync!$P388,100),IFERROR(VALUE(TRIM(MID(MID(Sync!$P388,FIND("/",Sync!$P388)+1,20),FIND("/",MID(Sync!$P388,FIND("/",Sync!$P388)+1,20))+1,20))),"")))</f>
        <v/>
      </c>
      <c r="AI388">
        <f>IF($AE388="","",IF(OR($AF388="",$AG388="",$AH388="",$AF388&lt;1300,$AF388&gt;1500,$AG388&lt;1,$AG388&gt;12,$AH388&lt;1,$AH388&gt;31),"نامعتبر",RIGHT("0000"&amp;$AF388,4)&amp;"/"&amp;RIGHT("00"&amp;$AG388,2)&amp;"/"&amp;RIGHT("00"&amp;$AH388,2)))</f>
        <v/>
      </c>
      <c r="AJ388">
        <f>IF($AE388="","",IF(Sync!$Q388="","0000",IF(AND(ISNUMBER(Sync!$Q388),Sync!$Q388&gt;=0,Sync!$Q388&lt;1),RIGHT("00"&amp;HOUR(Sync!$Q388),2)&amp;RIGHT("00"&amp;MINUTE(Sync!$Q388),2),IFERROR(RIGHT("00"&amp;VALUE(LEFT(Sync!$Q388,FIND(":",Sync!$Q388)-1)),2)&amp;RIGHT("00"&amp;VALUE(MID(Sync!$Q388,FIND(":",Sync!$Q388)+1,2)),2),"0000"))))</f>
        <v/>
      </c>
      <c r="AK388">
        <f>IF(OR($AE388="",$AI388="",$AI388="نامعتبر"),"",LEFT($AI388,4)&amp;MID($AI388,6,2)&amp;RIGHT($AI388,2)&amp;$AJ388&amp;"|"&amp;"3"&amp;RIGHT("00000"&amp;383,5))</f>
        <v/>
      </c>
      <c r="AL388">
        <f>IF($AK388="","",COUNTIFS(LdAParty,$AE388,LdAType,1,LdAKey,"&lt;"&amp;$AK388)+COUNTIFS(LdBMember,$AE388,LdBKey,"&lt;"&amp;$AK388)+COUNTIFS(LdCParty,$AE388,LdCKey,"&lt;"&amp;$AK388)+1)</f>
        <v/>
      </c>
      <c r="AM388">
        <f>IF($AL388="","",$AE388&amp;"|"&amp;RIGHT("000000"&amp;$AL388,6))</f>
        <v/>
      </c>
      <c r="AN388">
        <f>IF($AE388="","",IF(Sync!$W388="",0,Sync!$W388))</f>
        <v/>
      </c>
      <c r="AO388">
        <f>IF($AE388="","",IF(Sync!$X388="",0,Sync!$X388))</f>
        <v/>
      </c>
      <c r="AP388">
        <f>IF($AE388="","",Sync!$R388)</f>
        <v/>
      </c>
      <c r="AQ388">
        <f>IF($AE388="","",Sync!$Y388)</f>
        <v/>
      </c>
    </row>
    <row r="389">
      <c r="A389">
        <f>IF(OR(Wages!$B392="",Wages!$E392=""),"",Wages!$E392)</f>
        <v/>
      </c>
      <c r="B389">
        <f>IF($A389="","",IF(Wages!$C392="دستمزد گروهی",2,1))</f>
        <v/>
      </c>
      <c r="C389">
        <f>IF($A389="","",IF(ISNUMBER(Wages!$B392),IF(AND(Wages!$B392&gt;=10000101,Wages!$B392&lt;=99991231),INT(Wages!$B392/10000),""),IFERROR(VALUE(TRIM(LEFT(Wages!$B392,FIND("/",Wages!$B392)-1))),"")))</f>
        <v/>
      </c>
      <c r="D389">
        <f>IF(OR($A389="",$C389=""),"",IF(ISNUMBER(Wages!$B392),INT(MOD(Wages!$B392,10000)/100),IFERROR(VALUE(TRIM(LEFT(MID(Wages!$B392,FIND("/",Wages!$B392)+1,20),FIND("/",MID(Wages!$B392,FIND("/",Wages!$B392)+1,20))-1))),"")))</f>
        <v/>
      </c>
      <c r="E389">
        <f>IF(OR($A389="",$C389=""),"",IF(ISNUMBER(Wages!$B392),MOD(Wages!$B392,100),IFERROR(VALUE(TRIM(MID(MID(Wages!$B392,FIND("/",Wages!$B392)+1,20),FIND("/",MID(Wages!$B392,FIND("/",Wages!$B392)+1,20))+1,20))),"")))</f>
        <v/>
      </c>
      <c r="F389">
        <f>IF($A389="","",IF(OR($C389="",$D389="",$E389="",$C389&lt;1300,$C389&gt;1500,$D389&lt;1,$D389&gt;12,$E389&lt;1,$E389&gt;31),"نامعتبر",RIGHT("0000"&amp;$C389,4)&amp;"/"&amp;RIGHT("00"&amp;$D389,2)&amp;"/"&amp;RIGHT("00"&amp;$E389,2)))</f>
        <v/>
      </c>
      <c r="G389">
        <f>IF(OR($A389="",$F389="",$F389="نامعتبر"),"",LEFT($F389,4)&amp;MID($F389,6,2)&amp;RIGHT($F389,2)&amp;"0000"&amp;"|"&amp;"1"&amp;RIGHT("00000"&amp;384,5))</f>
        <v/>
      </c>
      <c r="H389">
        <f>IF(OR($B389&lt;&gt;1,$G389=""),"",COUNTIFS(LdAParty,$A389,LdAType,1,LdAKey,"&lt;"&amp;$G389)+COUNTIFS(LdBMember,$A389,LdBKey,"&lt;"&amp;$G389)+COUNTIFS(LdCParty,$A389,LdCKey,"&lt;"&amp;$G389)+1)</f>
        <v/>
      </c>
      <c r="I389">
        <f>IF($H389="","",$A389&amp;"|"&amp;RIGHT("000000"&amp;$H389,6))</f>
        <v/>
      </c>
      <c r="J389">
        <f>IF(OR($B389&lt;&gt;2,$G389=""),"",COUNTIFS(LdAParty,$A389,LdAType,2,LdAKey,"&lt;"&amp;$G389)+1)</f>
        <v/>
      </c>
      <c r="K389">
        <f>IF($J389="","",$A389&amp;"|"&amp;RIGHT("000000"&amp;$J389,6))</f>
        <v/>
      </c>
      <c r="L389">
        <f>IF($A389="","",IF(Wages!$G392="",0,Wages!$G392))</f>
        <v/>
      </c>
      <c r="M389">
        <f>IF($A389="","",Wages!$J392)</f>
        <v/>
      </c>
      <c r="N389">
        <f>IF($A389="","",Wages!$D392)</f>
        <v/>
      </c>
      <c r="P389">
        <f>IF(OR(Shares!$B392="",Shares!$C392=""),"",Shares!$C392)</f>
        <v/>
      </c>
      <c r="Q389">
        <f>IF($P389="","",Shares!$B392)</f>
        <v/>
      </c>
      <c r="R389">
        <f>IF($P389="","",IFERROR(INDEX(WageParty,MATCH($Q389,WageIds,0)),""))</f>
        <v/>
      </c>
      <c r="S389">
        <f>IF($P389="","",IFERROR(INDEX($F$6:$F$2005,MATCH($Q389,WageIds,0)),""))</f>
        <v/>
      </c>
      <c r="T389">
        <f>IF(OR($P389="",$S389="",$S389="نامعتبر"),"",LEFT($S389,4)&amp;MID($S389,6,2)&amp;RIGHT($S389,2)&amp;"0000"&amp;"|"&amp;"2"&amp;RIGHT("00000"&amp;384,5))</f>
        <v/>
      </c>
      <c r="U389">
        <f>IF($T389="","",COUNTIFS(LdAParty,$P389,LdAType,1,LdAKey,"&lt;"&amp;$T389)+COUNTIFS(LdBMember,$P389,LdBKey,"&lt;"&amp;$T389)+COUNTIFS(LdCParty,$P389,LdCKey,"&lt;"&amp;$T389)+1)</f>
        <v/>
      </c>
      <c r="V389">
        <f>IF($U389="","",$P389&amp;"|"&amp;RIGHT("000000"&amp;$U389,6))</f>
        <v/>
      </c>
      <c r="W389">
        <f>IF($T389="","",COUNTIFS(LdBGroup,$R389,LdBKey,"&lt;"&amp;$T389)+1)</f>
        <v/>
      </c>
      <c r="X389">
        <f>IF($W389="","",$R389&amp;"|"&amp;RIGHT("000000"&amp;$W389,6))</f>
        <v/>
      </c>
      <c r="Y389">
        <f>IF($P389="","",IF(Shares!$E392="",0,Shares!$E392))</f>
        <v/>
      </c>
      <c r="Z389">
        <f>IF($P389="","",Shares!$H392)</f>
        <v/>
      </c>
      <c r="AE389">
        <f>IF(OR(Sync!$S389="",Sync!$P389=""),"",Sync!$S389)</f>
        <v/>
      </c>
      <c r="AF389">
        <f>IF($AE389="","",IF(ISNUMBER(Sync!$P389),IF(AND(Sync!$P389&gt;=10000101,Sync!$P389&lt;=99991231),INT(Sync!$P389/10000),""),IFERROR(VALUE(TRIM(LEFT(Sync!$P389,FIND("/",Sync!$P389)-1))),"")))</f>
        <v/>
      </c>
      <c r="AG389">
        <f>IF(OR($AE389="",$AF389=""),"",IF(ISNUMBER(Sync!$P389),INT(MOD(Sync!$P389,10000)/100),IFERROR(VALUE(TRIM(LEFT(MID(Sync!$P389,FIND("/",Sync!$P389)+1,20),FIND("/",MID(Sync!$P389,FIND("/",Sync!$P389)+1,20))-1))),"")))</f>
        <v/>
      </c>
      <c r="AH389">
        <f>IF(OR($AE389="",$AF389=""),"",IF(ISNUMBER(Sync!$P389),MOD(Sync!$P389,100),IFERROR(VALUE(TRIM(MID(MID(Sync!$P389,FIND("/",Sync!$P389)+1,20),FIND("/",MID(Sync!$P389,FIND("/",Sync!$P389)+1,20))+1,20))),"")))</f>
        <v/>
      </c>
      <c r="AI389">
        <f>IF($AE389="","",IF(OR($AF389="",$AG389="",$AH389="",$AF389&lt;1300,$AF389&gt;1500,$AG389&lt;1,$AG389&gt;12,$AH389&lt;1,$AH389&gt;31),"نامعتبر",RIGHT("0000"&amp;$AF389,4)&amp;"/"&amp;RIGHT("00"&amp;$AG389,2)&amp;"/"&amp;RIGHT("00"&amp;$AH389,2)))</f>
        <v/>
      </c>
      <c r="AJ389">
        <f>IF($AE389="","",IF(Sync!$Q389="","0000",IF(AND(ISNUMBER(Sync!$Q389),Sync!$Q389&gt;=0,Sync!$Q389&lt;1),RIGHT("00"&amp;HOUR(Sync!$Q389),2)&amp;RIGHT("00"&amp;MINUTE(Sync!$Q389),2),IFERROR(RIGHT("00"&amp;VALUE(LEFT(Sync!$Q389,FIND(":",Sync!$Q389)-1)),2)&amp;RIGHT("00"&amp;VALUE(MID(Sync!$Q389,FIND(":",Sync!$Q389)+1,2)),2),"0000"))))</f>
        <v/>
      </c>
      <c r="AK389">
        <f>IF(OR($AE389="",$AI389="",$AI389="نامعتبر"),"",LEFT($AI389,4)&amp;MID($AI389,6,2)&amp;RIGHT($AI389,2)&amp;$AJ389&amp;"|"&amp;"3"&amp;RIGHT("00000"&amp;384,5))</f>
        <v/>
      </c>
      <c r="AL389">
        <f>IF($AK389="","",COUNTIFS(LdAParty,$AE389,LdAType,1,LdAKey,"&lt;"&amp;$AK389)+COUNTIFS(LdBMember,$AE389,LdBKey,"&lt;"&amp;$AK389)+COUNTIFS(LdCParty,$AE389,LdCKey,"&lt;"&amp;$AK389)+1)</f>
        <v/>
      </c>
      <c r="AM389">
        <f>IF($AL389="","",$AE389&amp;"|"&amp;RIGHT("000000"&amp;$AL389,6))</f>
        <v/>
      </c>
      <c r="AN389">
        <f>IF($AE389="","",IF(Sync!$W389="",0,Sync!$W389))</f>
        <v/>
      </c>
      <c r="AO389">
        <f>IF($AE389="","",IF(Sync!$X389="",0,Sync!$X389))</f>
        <v/>
      </c>
      <c r="AP389">
        <f>IF($AE389="","",Sync!$R389)</f>
        <v/>
      </c>
      <c r="AQ389">
        <f>IF($AE389="","",Sync!$Y389)</f>
        <v/>
      </c>
    </row>
    <row r="390">
      <c r="A390">
        <f>IF(OR(Wages!$B393="",Wages!$E393=""),"",Wages!$E393)</f>
        <v/>
      </c>
      <c r="B390">
        <f>IF($A390="","",IF(Wages!$C393="دستمزد گروهی",2,1))</f>
        <v/>
      </c>
      <c r="C390">
        <f>IF($A390="","",IF(ISNUMBER(Wages!$B393),IF(AND(Wages!$B393&gt;=10000101,Wages!$B393&lt;=99991231),INT(Wages!$B393/10000),""),IFERROR(VALUE(TRIM(LEFT(Wages!$B393,FIND("/",Wages!$B393)-1))),"")))</f>
        <v/>
      </c>
      <c r="D390">
        <f>IF(OR($A390="",$C390=""),"",IF(ISNUMBER(Wages!$B393),INT(MOD(Wages!$B393,10000)/100),IFERROR(VALUE(TRIM(LEFT(MID(Wages!$B393,FIND("/",Wages!$B393)+1,20),FIND("/",MID(Wages!$B393,FIND("/",Wages!$B393)+1,20))-1))),"")))</f>
        <v/>
      </c>
      <c r="E390">
        <f>IF(OR($A390="",$C390=""),"",IF(ISNUMBER(Wages!$B393),MOD(Wages!$B393,100),IFERROR(VALUE(TRIM(MID(MID(Wages!$B393,FIND("/",Wages!$B393)+1,20),FIND("/",MID(Wages!$B393,FIND("/",Wages!$B393)+1,20))+1,20))),"")))</f>
        <v/>
      </c>
      <c r="F390">
        <f>IF($A390="","",IF(OR($C390="",$D390="",$E390="",$C390&lt;1300,$C390&gt;1500,$D390&lt;1,$D390&gt;12,$E390&lt;1,$E390&gt;31),"نامعتبر",RIGHT("0000"&amp;$C390,4)&amp;"/"&amp;RIGHT("00"&amp;$D390,2)&amp;"/"&amp;RIGHT("00"&amp;$E390,2)))</f>
        <v/>
      </c>
      <c r="G390">
        <f>IF(OR($A390="",$F390="",$F390="نامعتبر"),"",LEFT($F390,4)&amp;MID($F390,6,2)&amp;RIGHT($F390,2)&amp;"0000"&amp;"|"&amp;"1"&amp;RIGHT("00000"&amp;385,5))</f>
        <v/>
      </c>
      <c r="H390">
        <f>IF(OR($B390&lt;&gt;1,$G390=""),"",COUNTIFS(LdAParty,$A390,LdAType,1,LdAKey,"&lt;"&amp;$G390)+COUNTIFS(LdBMember,$A390,LdBKey,"&lt;"&amp;$G390)+COUNTIFS(LdCParty,$A390,LdCKey,"&lt;"&amp;$G390)+1)</f>
        <v/>
      </c>
      <c r="I390">
        <f>IF($H390="","",$A390&amp;"|"&amp;RIGHT("000000"&amp;$H390,6))</f>
        <v/>
      </c>
      <c r="J390">
        <f>IF(OR($B390&lt;&gt;2,$G390=""),"",COUNTIFS(LdAParty,$A390,LdAType,2,LdAKey,"&lt;"&amp;$G390)+1)</f>
        <v/>
      </c>
      <c r="K390">
        <f>IF($J390="","",$A390&amp;"|"&amp;RIGHT("000000"&amp;$J390,6))</f>
        <v/>
      </c>
      <c r="L390">
        <f>IF($A390="","",IF(Wages!$G393="",0,Wages!$G393))</f>
        <v/>
      </c>
      <c r="M390">
        <f>IF($A390="","",Wages!$J393)</f>
        <v/>
      </c>
      <c r="N390">
        <f>IF($A390="","",Wages!$D393)</f>
        <v/>
      </c>
      <c r="P390">
        <f>IF(OR(Shares!$B393="",Shares!$C393=""),"",Shares!$C393)</f>
        <v/>
      </c>
      <c r="Q390">
        <f>IF($P390="","",Shares!$B393)</f>
        <v/>
      </c>
      <c r="R390">
        <f>IF($P390="","",IFERROR(INDEX(WageParty,MATCH($Q390,WageIds,0)),""))</f>
        <v/>
      </c>
      <c r="S390">
        <f>IF($P390="","",IFERROR(INDEX($F$6:$F$2005,MATCH($Q390,WageIds,0)),""))</f>
        <v/>
      </c>
      <c r="T390">
        <f>IF(OR($P390="",$S390="",$S390="نامعتبر"),"",LEFT($S390,4)&amp;MID($S390,6,2)&amp;RIGHT($S390,2)&amp;"0000"&amp;"|"&amp;"2"&amp;RIGHT("00000"&amp;385,5))</f>
        <v/>
      </c>
      <c r="U390">
        <f>IF($T390="","",COUNTIFS(LdAParty,$P390,LdAType,1,LdAKey,"&lt;"&amp;$T390)+COUNTIFS(LdBMember,$P390,LdBKey,"&lt;"&amp;$T390)+COUNTIFS(LdCParty,$P390,LdCKey,"&lt;"&amp;$T390)+1)</f>
        <v/>
      </c>
      <c r="V390">
        <f>IF($U390="","",$P390&amp;"|"&amp;RIGHT("000000"&amp;$U390,6))</f>
        <v/>
      </c>
      <c r="W390">
        <f>IF($T390="","",COUNTIFS(LdBGroup,$R390,LdBKey,"&lt;"&amp;$T390)+1)</f>
        <v/>
      </c>
      <c r="X390">
        <f>IF($W390="","",$R390&amp;"|"&amp;RIGHT("000000"&amp;$W390,6))</f>
        <v/>
      </c>
      <c r="Y390">
        <f>IF($P390="","",IF(Shares!$E393="",0,Shares!$E393))</f>
        <v/>
      </c>
      <c r="Z390">
        <f>IF($P390="","",Shares!$H393)</f>
        <v/>
      </c>
      <c r="AE390">
        <f>IF(OR(Sync!$S390="",Sync!$P390=""),"",Sync!$S390)</f>
        <v/>
      </c>
      <c r="AF390">
        <f>IF($AE390="","",IF(ISNUMBER(Sync!$P390),IF(AND(Sync!$P390&gt;=10000101,Sync!$P390&lt;=99991231),INT(Sync!$P390/10000),""),IFERROR(VALUE(TRIM(LEFT(Sync!$P390,FIND("/",Sync!$P390)-1))),"")))</f>
        <v/>
      </c>
      <c r="AG390">
        <f>IF(OR($AE390="",$AF390=""),"",IF(ISNUMBER(Sync!$P390),INT(MOD(Sync!$P390,10000)/100),IFERROR(VALUE(TRIM(LEFT(MID(Sync!$P390,FIND("/",Sync!$P390)+1,20),FIND("/",MID(Sync!$P390,FIND("/",Sync!$P390)+1,20))-1))),"")))</f>
        <v/>
      </c>
      <c r="AH390">
        <f>IF(OR($AE390="",$AF390=""),"",IF(ISNUMBER(Sync!$P390),MOD(Sync!$P390,100),IFERROR(VALUE(TRIM(MID(MID(Sync!$P390,FIND("/",Sync!$P390)+1,20),FIND("/",MID(Sync!$P390,FIND("/",Sync!$P390)+1,20))+1,20))),"")))</f>
        <v/>
      </c>
      <c r="AI390">
        <f>IF($AE390="","",IF(OR($AF390="",$AG390="",$AH390="",$AF390&lt;1300,$AF390&gt;1500,$AG390&lt;1,$AG390&gt;12,$AH390&lt;1,$AH390&gt;31),"نامعتبر",RIGHT("0000"&amp;$AF390,4)&amp;"/"&amp;RIGHT("00"&amp;$AG390,2)&amp;"/"&amp;RIGHT("00"&amp;$AH390,2)))</f>
        <v/>
      </c>
      <c r="AJ390">
        <f>IF($AE390="","",IF(Sync!$Q390="","0000",IF(AND(ISNUMBER(Sync!$Q390),Sync!$Q390&gt;=0,Sync!$Q390&lt;1),RIGHT("00"&amp;HOUR(Sync!$Q390),2)&amp;RIGHT("00"&amp;MINUTE(Sync!$Q390),2),IFERROR(RIGHT("00"&amp;VALUE(LEFT(Sync!$Q390,FIND(":",Sync!$Q390)-1)),2)&amp;RIGHT("00"&amp;VALUE(MID(Sync!$Q390,FIND(":",Sync!$Q390)+1,2)),2),"0000"))))</f>
        <v/>
      </c>
      <c r="AK390">
        <f>IF(OR($AE390="",$AI390="",$AI390="نامعتبر"),"",LEFT($AI390,4)&amp;MID($AI390,6,2)&amp;RIGHT($AI390,2)&amp;$AJ390&amp;"|"&amp;"3"&amp;RIGHT("00000"&amp;385,5))</f>
        <v/>
      </c>
      <c r="AL390">
        <f>IF($AK390="","",COUNTIFS(LdAParty,$AE390,LdAType,1,LdAKey,"&lt;"&amp;$AK390)+COUNTIFS(LdBMember,$AE390,LdBKey,"&lt;"&amp;$AK390)+COUNTIFS(LdCParty,$AE390,LdCKey,"&lt;"&amp;$AK390)+1)</f>
        <v/>
      </c>
      <c r="AM390">
        <f>IF($AL390="","",$AE390&amp;"|"&amp;RIGHT("000000"&amp;$AL390,6))</f>
        <v/>
      </c>
      <c r="AN390">
        <f>IF($AE390="","",IF(Sync!$W390="",0,Sync!$W390))</f>
        <v/>
      </c>
      <c r="AO390">
        <f>IF($AE390="","",IF(Sync!$X390="",0,Sync!$X390))</f>
        <v/>
      </c>
      <c r="AP390">
        <f>IF($AE390="","",Sync!$R390)</f>
        <v/>
      </c>
      <c r="AQ390">
        <f>IF($AE390="","",Sync!$Y390)</f>
        <v/>
      </c>
    </row>
    <row r="391">
      <c r="A391">
        <f>IF(OR(Wages!$B394="",Wages!$E394=""),"",Wages!$E394)</f>
        <v/>
      </c>
      <c r="B391">
        <f>IF($A391="","",IF(Wages!$C394="دستمزد گروهی",2,1))</f>
        <v/>
      </c>
      <c r="C391">
        <f>IF($A391="","",IF(ISNUMBER(Wages!$B394),IF(AND(Wages!$B394&gt;=10000101,Wages!$B394&lt;=99991231),INT(Wages!$B394/10000),""),IFERROR(VALUE(TRIM(LEFT(Wages!$B394,FIND("/",Wages!$B394)-1))),"")))</f>
        <v/>
      </c>
      <c r="D391">
        <f>IF(OR($A391="",$C391=""),"",IF(ISNUMBER(Wages!$B394),INT(MOD(Wages!$B394,10000)/100),IFERROR(VALUE(TRIM(LEFT(MID(Wages!$B394,FIND("/",Wages!$B394)+1,20),FIND("/",MID(Wages!$B394,FIND("/",Wages!$B394)+1,20))-1))),"")))</f>
        <v/>
      </c>
      <c r="E391">
        <f>IF(OR($A391="",$C391=""),"",IF(ISNUMBER(Wages!$B394),MOD(Wages!$B394,100),IFERROR(VALUE(TRIM(MID(MID(Wages!$B394,FIND("/",Wages!$B394)+1,20),FIND("/",MID(Wages!$B394,FIND("/",Wages!$B394)+1,20))+1,20))),"")))</f>
        <v/>
      </c>
      <c r="F391">
        <f>IF($A391="","",IF(OR($C391="",$D391="",$E391="",$C391&lt;1300,$C391&gt;1500,$D391&lt;1,$D391&gt;12,$E391&lt;1,$E391&gt;31),"نامعتبر",RIGHT("0000"&amp;$C391,4)&amp;"/"&amp;RIGHT("00"&amp;$D391,2)&amp;"/"&amp;RIGHT("00"&amp;$E391,2)))</f>
        <v/>
      </c>
      <c r="G391">
        <f>IF(OR($A391="",$F391="",$F391="نامعتبر"),"",LEFT($F391,4)&amp;MID($F391,6,2)&amp;RIGHT($F391,2)&amp;"0000"&amp;"|"&amp;"1"&amp;RIGHT("00000"&amp;386,5))</f>
        <v/>
      </c>
      <c r="H391">
        <f>IF(OR($B391&lt;&gt;1,$G391=""),"",COUNTIFS(LdAParty,$A391,LdAType,1,LdAKey,"&lt;"&amp;$G391)+COUNTIFS(LdBMember,$A391,LdBKey,"&lt;"&amp;$G391)+COUNTIFS(LdCParty,$A391,LdCKey,"&lt;"&amp;$G391)+1)</f>
        <v/>
      </c>
      <c r="I391">
        <f>IF($H391="","",$A391&amp;"|"&amp;RIGHT("000000"&amp;$H391,6))</f>
        <v/>
      </c>
      <c r="J391">
        <f>IF(OR($B391&lt;&gt;2,$G391=""),"",COUNTIFS(LdAParty,$A391,LdAType,2,LdAKey,"&lt;"&amp;$G391)+1)</f>
        <v/>
      </c>
      <c r="K391">
        <f>IF($J391="","",$A391&amp;"|"&amp;RIGHT("000000"&amp;$J391,6))</f>
        <v/>
      </c>
      <c r="L391">
        <f>IF($A391="","",IF(Wages!$G394="",0,Wages!$G394))</f>
        <v/>
      </c>
      <c r="M391">
        <f>IF($A391="","",Wages!$J394)</f>
        <v/>
      </c>
      <c r="N391">
        <f>IF($A391="","",Wages!$D394)</f>
        <v/>
      </c>
      <c r="P391">
        <f>IF(OR(Shares!$B394="",Shares!$C394=""),"",Shares!$C394)</f>
        <v/>
      </c>
      <c r="Q391">
        <f>IF($P391="","",Shares!$B394)</f>
        <v/>
      </c>
      <c r="R391">
        <f>IF($P391="","",IFERROR(INDEX(WageParty,MATCH($Q391,WageIds,0)),""))</f>
        <v/>
      </c>
      <c r="S391">
        <f>IF($P391="","",IFERROR(INDEX($F$6:$F$2005,MATCH($Q391,WageIds,0)),""))</f>
        <v/>
      </c>
      <c r="T391">
        <f>IF(OR($P391="",$S391="",$S391="نامعتبر"),"",LEFT($S391,4)&amp;MID($S391,6,2)&amp;RIGHT($S391,2)&amp;"0000"&amp;"|"&amp;"2"&amp;RIGHT("00000"&amp;386,5))</f>
        <v/>
      </c>
      <c r="U391">
        <f>IF($T391="","",COUNTIFS(LdAParty,$P391,LdAType,1,LdAKey,"&lt;"&amp;$T391)+COUNTIFS(LdBMember,$P391,LdBKey,"&lt;"&amp;$T391)+COUNTIFS(LdCParty,$P391,LdCKey,"&lt;"&amp;$T391)+1)</f>
        <v/>
      </c>
      <c r="V391">
        <f>IF($U391="","",$P391&amp;"|"&amp;RIGHT("000000"&amp;$U391,6))</f>
        <v/>
      </c>
      <c r="W391">
        <f>IF($T391="","",COUNTIFS(LdBGroup,$R391,LdBKey,"&lt;"&amp;$T391)+1)</f>
        <v/>
      </c>
      <c r="X391">
        <f>IF($W391="","",$R391&amp;"|"&amp;RIGHT("000000"&amp;$W391,6))</f>
        <v/>
      </c>
      <c r="Y391">
        <f>IF($P391="","",IF(Shares!$E394="",0,Shares!$E394))</f>
        <v/>
      </c>
      <c r="Z391">
        <f>IF($P391="","",Shares!$H394)</f>
        <v/>
      </c>
      <c r="AE391">
        <f>IF(OR(Sync!$S391="",Sync!$P391=""),"",Sync!$S391)</f>
        <v/>
      </c>
      <c r="AF391">
        <f>IF($AE391="","",IF(ISNUMBER(Sync!$P391),IF(AND(Sync!$P391&gt;=10000101,Sync!$P391&lt;=99991231),INT(Sync!$P391/10000),""),IFERROR(VALUE(TRIM(LEFT(Sync!$P391,FIND("/",Sync!$P391)-1))),"")))</f>
        <v/>
      </c>
      <c r="AG391">
        <f>IF(OR($AE391="",$AF391=""),"",IF(ISNUMBER(Sync!$P391),INT(MOD(Sync!$P391,10000)/100),IFERROR(VALUE(TRIM(LEFT(MID(Sync!$P391,FIND("/",Sync!$P391)+1,20),FIND("/",MID(Sync!$P391,FIND("/",Sync!$P391)+1,20))-1))),"")))</f>
        <v/>
      </c>
      <c r="AH391">
        <f>IF(OR($AE391="",$AF391=""),"",IF(ISNUMBER(Sync!$P391),MOD(Sync!$P391,100),IFERROR(VALUE(TRIM(MID(MID(Sync!$P391,FIND("/",Sync!$P391)+1,20),FIND("/",MID(Sync!$P391,FIND("/",Sync!$P391)+1,20))+1,20))),"")))</f>
        <v/>
      </c>
      <c r="AI391">
        <f>IF($AE391="","",IF(OR($AF391="",$AG391="",$AH391="",$AF391&lt;1300,$AF391&gt;1500,$AG391&lt;1,$AG391&gt;12,$AH391&lt;1,$AH391&gt;31),"نامعتبر",RIGHT("0000"&amp;$AF391,4)&amp;"/"&amp;RIGHT("00"&amp;$AG391,2)&amp;"/"&amp;RIGHT("00"&amp;$AH391,2)))</f>
        <v/>
      </c>
      <c r="AJ391">
        <f>IF($AE391="","",IF(Sync!$Q391="","0000",IF(AND(ISNUMBER(Sync!$Q391),Sync!$Q391&gt;=0,Sync!$Q391&lt;1),RIGHT("00"&amp;HOUR(Sync!$Q391),2)&amp;RIGHT("00"&amp;MINUTE(Sync!$Q391),2),IFERROR(RIGHT("00"&amp;VALUE(LEFT(Sync!$Q391,FIND(":",Sync!$Q391)-1)),2)&amp;RIGHT("00"&amp;VALUE(MID(Sync!$Q391,FIND(":",Sync!$Q391)+1,2)),2),"0000"))))</f>
        <v/>
      </c>
      <c r="AK391">
        <f>IF(OR($AE391="",$AI391="",$AI391="نامعتبر"),"",LEFT($AI391,4)&amp;MID($AI391,6,2)&amp;RIGHT($AI391,2)&amp;$AJ391&amp;"|"&amp;"3"&amp;RIGHT("00000"&amp;386,5))</f>
        <v/>
      </c>
      <c r="AL391">
        <f>IF($AK391="","",COUNTIFS(LdAParty,$AE391,LdAType,1,LdAKey,"&lt;"&amp;$AK391)+COUNTIFS(LdBMember,$AE391,LdBKey,"&lt;"&amp;$AK391)+COUNTIFS(LdCParty,$AE391,LdCKey,"&lt;"&amp;$AK391)+1)</f>
        <v/>
      </c>
      <c r="AM391">
        <f>IF($AL391="","",$AE391&amp;"|"&amp;RIGHT("000000"&amp;$AL391,6))</f>
        <v/>
      </c>
      <c r="AN391">
        <f>IF($AE391="","",IF(Sync!$W391="",0,Sync!$W391))</f>
        <v/>
      </c>
      <c r="AO391">
        <f>IF($AE391="","",IF(Sync!$X391="",0,Sync!$X391))</f>
        <v/>
      </c>
      <c r="AP391">
        <f>IF($AE391="","",Sync!$R391)</f>
        <v/>
      </c>
      <c r="AQ391">
        <f>IF($AE391="","",Sync!$Y391)</f>
        <v/>
      </c>
    </row>
    <row r="392">
      <c r="A392">
        <f>IF(OR(Wages!$B395="",Wages!$E395=""),"",Wages!$E395)</f>
        <v/>
      </c>
      <c r="B392">
        <f>IF($A392="","",IF(Wages!$C395="دستمزد گروهی",2,1))</f>
        <v/>
      </c>
      <c r="C392">
        <f>IF($A392="","",IF(ISNUMBER(Wages!$B395),IF(AND(Wages!$B395&gt;=10000101,Wages!$B395&lt;=99991231),INT(Wages!$B395/10000),""),IFERROR(VALUE(TRIM(LEFT(Wages!$B395,FIND("/",Wages!$B395)-1))),"")))</f>
        <v/>
      </c>
      <c r="D392">
        <f>IF(OR($A392="",$C392=""),"",IF(ISNUMBER(Wages!$B395),INT(MOD(Wages!$B395,10000)/100),IFERROR(VALUE(TRIM(LEFT(MID(Wages!$B395,FIND("/",Wages!$B395)+1,20),FIND("/",MID(Wages!$B395,FIND("/",Wages!$B395)+1,20))-1))),"")))</f>
        <v/>
      </c>
      <c r="E392">
        <f>IF(OR($A392="",$C392=""),"",IF(ISNUMBER(Wages!$B395),MOD(Wages!$B395,100),IFERROR(VALUE(TRIM(MID(MID(Wages!$B395,FIND("/",Wages!$B395)+1,20),FIND("/",MID(Wages!$B395,FIND("/",Wages!$B395)+1,20))+1,20))),"")))</f>
        <v/>
      </c>
      <c r="F392">
        <f>IF($A392="","",IF(OR($C392="",$D392="",$E392="",$C392&lt;1300,$C392&gt;1500,$D392&lt;1,$D392&gt;12,$E392&lt;1,$E392&gt;31),"نامعتبر",RIGHT("0000"&amp;$C392,4)&amp;"/"&amp;RIGHT("00"&amp;$D392,2)&amp;"/"&amp;RIGHT("00"&amp;$E392,2)))</f>
        <v/>
      </c>
      <c r="G392">
        <f>IF(OR($A392="",$F392="",$F392="نامعتبر"),"",LEFT($F392,4)&amp;MID($F392,6,2)&amp;RIGHT($F392,2)&amp;"0000"&amp;"|"&amp;"1"&amp;RIGHT("00000"&amp;387,5))</f>
        <v/>
      </c>
      <c r="H392">
        <f>IF(OR($B392&lt;&gt;1,$G392=""),"",COUNTIFS(LdAParty,$A392,LdAType,1,LdAKey,"&lt;"&amp;$G392)+COUNTIFS(LdBMember,$A392,LdBKey,"&lt;"&amp;$G392)+COUNTIFS(LdCParty,$A392,LdCKey,"&lt;"&amp;$G392)+1)</f>
        <v/>
      </c>
      <c r="I392">
        <f>IF($H392="","",$A392&amp;"|"&amp;RIGHT("000000"&amp;$H392,6))</f>
        <v/>
      </c>
      <c r="J392">
        <f>IF(OR($B392&lt;&gt;2,$G392=""),"",COUNTIFS(LdAParty,$A392,LdAType,2,LdAKey,"&lt;"&amp;$G392)+1)</f>
        <v/>
      </c>
      <c r="K392">
        <f>IF($J392="","",$A392&amp;"|"&amp;RIGHT("000000"&amp;$J392,6))</f>
        <v/>
      </c>
      <c r="L392">
        <f>IF($A392="","",IF(Wages!$G395="",0,Wages!$G395))</f>
        <v/>
      </c>
      <c r="M392">
        <f>IF($A392="","",Wages!$J395)</f>
        <v/>
      </c>
      <c r="N392">
        <f>IF($A392="","",Wages!$D395)</f>
        <v/>
      </c>
      <c r="P392">
        <f>IF(OR(Shares!$B395="",Shares!$C395=""),"",Shares!$C395)</f>
        <v/>
      </c>
      <c r="Q392">
        <f>IF($P392="","",Shares!$B395)</f>
        <v/>
      </c>
      <c r="R392">
        <f>IF($P392="","",IFERROR(INDEX(WageParty,MATCH($Q392,WageIds,0)),""))</f>
        <v/>
      </c>
      <c r="S392">
        <f>IF($P392="","",IFERROR(INDEX($F$6:$F$2005,MATCH($Q392,WageIds,0)),""))</f>
        <v/>
      </c>
      <c r="T392">
        <f>IF(OR($P392="",$S392="",$S392="نامعتبر"),"",LEFT($S392,4)&amp;MID($S392,6,2)&amp;RIGHT($S392,2)&amp;"0000"&amp;"|"&amp;"2"&amp;RIGHT("00000"&amp;387,5))</f>
        <v/>
      </c>
      <c r="U392">
        <f>IF($T392="","",COUNTIFS(LdAParty,$P392,LdAType,1,LdAKey,"&lt;"&amp;$T392)+COUNTIFS(LdBMember,$P392,LdBKey,"&lt;"&amp;$T392)+COUNTIFS(LdCParty,$P392,LdCKey,"&lt;"&amp;$T392)+1)</f>
        <v/>
      </c>
      <c r="V392">
        <f>IF($U392="","",$P392&amp;"|"&amp;RIGHT("000000"&amp;$U392,6))</f>
        <v/>
      </c>
      <c r="W392">
        <f>IF($T392="","",COUNTIFS(LdBGroup,$R392,LdBKey,"&lt;"&amp;$T392)+1)</f>
        <v/>
      </c>
      <c r="X392">
        <f>IF($W392="","",$R392&amp;"|"&amp;RIGHT("000000"&amp;$W392,6))</f>
        <v/>
      </c>
      <c r="Y392">
        <f>IF($P392="","",IF(Shares!$E395="",0,Shares!$E395))</f>
        <v/>
      </c>
      <c r="Z392">
        <f>IF($P392="","",Shares!$H395)</f>
        <v/>
      </c>
      <c r="AE392">
        <f>IF(OR(Sync!$S392="",Sync!$P392=""),"",Sync!$S392)</f>
        <v/>
      </c>
      <c r="AF392">
        <f>IF($AE392="","",IF(ISNUMBER(Sync!$P392),IF(AND(Sync!$P392&gt;=10000101,Sync!$P392&lt;=99991231),INT(Sync!$P392/10000),""),IFERROR(VALUE(TRIM(LEFT(Sync!$P392,FIND("/",Sync!$P392)-1))),"")))</f>
        <v/>
      </c>
      <c r="AG392">
        <f>IF(OR($AE392="",$AF392=""),"",IF(ISNUMBER(Sync!$P392),INT(MOD(Sync!$P392,10000)/100),IFERROR(VALUE(TRIM(LEFT(MID(Sync!$P392,FIND("/",Sync!$P392)+1,20),FIND("/",MID(Sync!$P392,FIND("/",Sync!$P392)+1,20))-1))),"")))</f>
        <v/>
      </c>
      <c r="AH392">
        <f>IF(OR($AE392="",$AF392=""),"",IF(ISNUMBER(Sync!$P392),MOD(Sync!$P392,100),IFERROR(VALUE(TRIM(MID(MID(Sync!$P392,FIND("/",Sync!$P392)+1,20),FIND("/",MID(Sync!$P392,FIND("/",Sync!$P392)+1,20))+1,20))),"")))</f>
        <v/>
      </c>
      <c r="AI392">
        <f>IF($AE392="","",IF(OR($AF392="",$AG392="",$AH392="",$AF392&lt;1300,$AF392&gt;1500,$AG392&lt;1,$AG392&gt;12,$AH392&lt;1,$AH392&gt;31),"نامعتبر",RIGHT("0000"&amp;$AF392,4)&amp;"/"&amp;RIGHT("00"&amp;$AG392,2)&amp;"/"&amp;RIGHT("00"&amp;$AH392,2)))</f>
        <v/>
      </c>
      <c r="AJ392">
        <f>IF($AE392="","",IF(Sync!$Q392="","0000",IF(AND(ISNUMBER(Sync!$Q392),Sync!$Q392&gt;=0,Sync!$Q392&lt;1),RIGHT("00"&amp;HOUR(Sync!$Q392),2)&amp;RIGHT("00"&amp;MINUTE(Sync!$Q392),2),IFERROR(RIGHT("00"&amp;VALUE(LEFT(Sync!$Q392,FIND(":",Sync!$Q392)-1)),2)&amp;RIGHT("00"&amp;VALUE(MID(Sync!$Q392,FIND(":",Sync!$Q392)+1,2)),2),"0000"))))</f>
        <v/>
      </c>
      <c r="AK392">
        <f>IF(OR($AE392="",$AI392="",$AI392="نامعتبر"),"",LEFT($AI392,4)&amp;MID($AI392,6,2)&amp;RIGHT($AI392,2)&amp;$AJ392&amp;"|"&amp;"3"&amp;RIGHT("00000"&amp;387,5))</f>
        <v/>
      </c>
      <c r="AL392">
        <f>IF($AK392="","",COUNTIFS(LdAParty,$AE392,LdAType,1,LdAKey,"&lt;"&amp;$AK392)+COUNTIFS(LdBMember,$AE392,LdBKey,"&lt;"&amp;$AK392)+COUNTIFS(LdCParty,$AE392,LdCKey,"&lt;"&amp;$AK392)+1)</f>
        <v/>
      </c>
      <c r="AM392">
        <f>IF($AL392="","",$AE392&amp;"|"&amp;RIGHT("000000"&amp;$AL392,6))</f>
        <v/>
      </c>
      <c r="AN392">
        <f>IF($AE392="","",IF(Sync!$W392="",0,Sync!$W392))</f>
        <v/>
      </c>
      <c r="AO392">
        <f>IF($AE392="","",IF(Sync!$X392="",0,Sync!$X392))</f>
        <v/>
      </c>
      <c r="AP392">
        <f>IF($AE392="","",Sync!$R392)</f>
        <v/>
      </c>
      <c r="AQ392">
        <f>IF($AE392="","",Sync!$Y392)</f>
        <v/>
      </c>
    </row>
    <row r="393">
      <c r="A393">
        <f>IF(OR(Wages!$B396="",Wages!$E396=""),"",Wages!$E396)</f>
        <v/>
      </c>
      <c r="B393">
        <f>IF($A393="","",IF(Wages!$C396="دستمزد گروهی",2,1))</f>
        <v/>
      </c>
      <c r="C393">
        <f>IF($A393="","",IF(ISNUMBER(Wages!$B396),IF(AND(Wages!$B396&gt;=10000101,Wages!$B396&lt;=99991231),INT(Wages!$B396/10000),""),IFERROR(VALUE(TRIM(LEFT(Wages!$B396,FIND("/",Wages!$B396)-1))),"")))</f>
        <v/>
      </c>
      <c r="D393">
        <f>IF(OR($A393="",$C393=""),"",IF(ISNUMBER(Wages!$B396),INT(MOD(Wages!$B396,10000)/100),IFERROR(VALUE(TRIM(LEFT(MID(Wages!$B396,FIND("/",Wages!$B396)+1,20),FIND("/",MID(Wages!$B396,FIND("/",Wages!$B396)+1,20))-1))),"")))</f>
        <v/>
      </c>
      <c r="E393">
        <f>IF(OR($A393="",$C393=""),"",IF(ISNUMBER(Wages!$B396),MOD(Wages!$B396,100),IFERROR(VALUE(TRIM(MID(MID(Wages!$B396,FIND("/",Wages!$B396)+1,20),FIND("/",MID(Wages!$B396,FIND("/",Wages!$B396)+1,20))+1,20))),"")))</f>
        <v/>
      </c>
      <c r="F393">
        <f>IF($A393="","",IF(OR($C393="",$D393="",$E393="",$C393&lt;1300,$C393&gt;1500,$D393&lt;1,$D393&gt;12,$E393&lt;1,$E393&gt;31),"نامعتبر",RIGHT("0000"&amp;$C393,4)&amp;"/"&amp;RIGHT("00"&amp;$D393,2)&amp;"/"&amp;RIGHT("00"&amp;$E393,2)))</f>
        <v/>
      </c>
      <c r="G393">
        <f>IF(OR($A393="",$F393="",$F393="نامعتبر"),"",LEFT($F393,4)&amp;MID($F393,6,2)&amp;RIGHT($F393,2)&amp;"0000"&amp;"|"&amp;"1"&amp;RIGHT("00000"&amp;388,5))</f>
        <v/>
      </c>
      <c r="H393">
        <f>IF(OR($B393&lt;&gt;1,$G393=""),"",COUNTIFS(LdAParty,$A393,LdAType,1,LdAKey,"&lt;"&amp;$G393)+COUNTIFS(LdBMember,$A393,LdBKey,"&lt;"&amp;$G393)+COUNTIFS(LdCParty,$A393,LdCKey,"&lt;"&amp;$G393)+1)</f>
        <v/>
      </c>
      <c r="I393">
        <f>IF($H393="","",$A393&amp;"|"&amp;RIGHT("000000"&amp;$H393,6))</f>
        <v/>
      </c>
      <c r="J393">
        <f>IF(OR($B393&lt;&gt;2,$G393=""),"",COUNTIFS(LdAParty,$A393,LdAType,2,LdAKey,"&lt;"&amp;$G393)+1)</f>
        <v/>
      </c>
      <c r="K393">
        <f>IF($J393="","",$A393&amp;"|"&amp;RIGHT("000000"&amp;$J393,6))</f>
        <v/>
      </c>
      <c r="L393">
        <f>IF($A393="","",IF(Wages!$G396="",0,Wages!$G396))</f>
        <v/>
      </c>
      <c r="M393">
        <f>IF($A393="","",Wages!$J396)</f>
        <v/>
      </c>
      <c r="N393">
        <f>IF($A393="","",Wages!$D396)</f>
        <v/>
      </c>
      <c r="P393">
        <f>IF(OR(Shares!$B396="",Shares!$C396=""),"",Shares!$C396)</f>
        <v/>
      </c>
      <c r="Q393">
        <f>IF($P393="","",Shares!$B396)</f>
        <v/>
      </c>
      <c r="R393">
        <f>IF($P393="","",IFERROR(INDEX(WageParty,MATCH($Q393,WageIds,0)),""))</f>
        <v/>
      </c>
      <c r="S393">
        <f>IF($P393="","",IFERROR(INDEX($F$6:$F$2005,MATCH($Q393,WageIds,0)),""))</f>
        <v/>
      </c>
      <c r="T393">
        <f>IF(OR($P393="",$S393="",$S393="نامعتبر"),"",LEFT($S393,4)&amp;MID($S393,6,2)&amp;RIGHT($S393,2)&amp;"0000"&amp;"|"&amp;"2"&amp;RIGHT("00000"&amp;388,5))</f>
        <v/>
      </c>
      <c r="U393">
        <f>IF($T393="","",COUNTIFS(LdAParty,$P393,LdAType,1,LdAKey,"&lt;"&amp;$T393)+COUNTIFS(LdBMember,$P393,LdBKey,"&lt;"&amp;$T393)+COUNTIFS(LdCParty,$P393,LdCKey,"&lt;"&amp;$T393)+1)</f>
        <v/>
      </c>
      <c r="V393">
        <f>IF($U393="","",$P393&amp;"|"&amp;RIGHT("000000"&amp;$U393,6))</f>
        <v/>
      </c>
      <c r="W393">
        <f>IF($T393="","",COUNTIFS(LdBGroup,$R393,LdBKey,"&lt;"&amp;$T393)+1)</f>
        <v/>
      </c>
      <c r="X393">
        <f>IF($W393="","",$R393&amp;"|"&amp;RIGHT("000000"&amp;$W393,6))</f>
        <v/>
      </c>
      <c r="Y393">
        <f>IF($P393="","",IF(Shares!$E396="",0,Shares!$E396))</f>
        <v/>
      </c>
      <c r="Z393">
        <f>IF($P393="","",Shares!$H396)</f>
        <v/>
      </c>
      <c r="AE393">
        <f>IF(OR(Sync!$S393="",Sync!$P393=""),"",Sync!$S393)</f>
        <v/>
      </c>
      <c r="AF393">
        <f>IF($AE393="","",IF(ISNUMBER(Sync!$P393),IF(AND(Sync!$P393&gt;=10000101,Sync!$P393&lt;=99991231),INT(Sync!$P393/10000),""),IFERROR(VALUE(TRIM(LEFT(Sync!$P393,FIND("/",Sync!$P393)-1))),"")))</f>
        <v/>
      </c>
      <c r="AG393">
        <f>IF(OR($AE393="",$AF393=""),"",IF(ISNUMBER(Sync!$P393),INT(MOD(Sync!$P393,10000)/100),IFERROR(VALUE(TRIM(LEFT(MID(Sync!$P393,FIND("/",Sync!$P393)+1,20),FIND("/",MID(Sync!$P393,FIND("/",Sync!$P393)+1,20))-1))),"")))</f>
        <v/>
      </c>
      <c r="AH393">
        <f>IF(OR($AE393="",$AF393=""),"",IF(ISNUMBER(Sync!$P393),MOD(Sync!$P393,100),IFERROR(VALUE(TRIM(MID(MID(Sync!$P393,FIND("/",Sync!$P393)+1,20),FIND("/",MID(Sync!$P393,FIND("/",Sync!$P393)+1,20))+1,20))),"")))</f>
        <v/>
      </c>
      <c r="AI393">
        <f>IF($AE393="","",IF(OR($AF393="",$AG393="",$AH393="",$AF393&lt;1300,$AF393&gt;1500,$AG393&lt;1,$AG393&gt;12,$AH393&lt;1,$AH393&gt;31),"نامعتبر",RIGHT("0000"&amp;$AF393,4)&amp;"/"&amp;RIGHT("00"&amp;$AG393,2)&amp;"/"&amp;RIGHT("00"&amp;$AH393,2)))</f>
        <v/>
      </c>
      <c r="AJ393">
        <f>IF($AE393="","",IF(Sync!$Q393="","0000",IF(AND(ISNUMBER(Sync!$Q393),Sync!$Q393&gt;=0,Sync!$Q393&lt;1),RIGHT("00"&amp;HOUR(Sync!$Q393),2)&amp;RIGHT("00"&amp;MINUTE(Sync!$Q393),2),IFERROR(RIGHT("00"&amp;VALUE(LEFT(Sync!$Q393,FIND(":",Sync!$Q393)-1)),2)&amp;RIGHT("00"&amp;VALUE(MID(Sync!$Q393,FIND(":",Sync!$Q393)+1,2)),2),"0000"))))</f>
        <v/>
      </c>
      <c r="AK393">
        <f>IF(OR($AE393="",$AI393="",$AI393="نامعتبر"),"",LEFT($AI393,4)&amp;MID($AI393,6,2)&amp;RIGHT($AI393,2)&amp;$AJ393&amp;"|"&amp;"3"&amp;RIGHT("00000"&amp;388,5))</f>
        <v/>
      </c>
      <c r="AL393">
        <f>IF($AK393="","",COUNTIFS(LdAParty,$AE393,LdAType,1,LdAKey,"&lt;"&amp;$AK393)+COUNTIFS(LdBMember,$AE393,LdBKey,"&lt;"&amp;$AK393)+COUNTIFS(LdCParty,$AE393,LdCKey,"&lt;"&amp;$AK393)+1)</f>
        <v/>
      </c>
      <c r="AM393">
        <f>IF($AL393="","",$AE393&amp;"|"&amp;RIGHT("000000"&amp;$AL393,6))</f>
        <v/>
      </c>
      <c r="AN393">
        <f>IF($AE393="","",IF(Sync!$W393="",0,Sync!$W393))</f>
        <v/>
      </c>
      <c r="AO393">
        <f>IF($AE393="","",IF(Sync!$X393="",0,Sync!$X393))</f>
        <v/>
      </c>
      <c r="AP393">
        <f>IF($AE393="","",Sync!$R393)</f>
        <v/>
      </c>
      <c r="AQ393">
        <f>IF($AE393="","",Sync!$Y393)</f>
        <v/>
      </c>
    </row>
    <row r="394">
      <c r="A394">
        <f>IF(OR(Wages!$B397="",Wages!$E397=""),"",Wages!$E397)</f>
        <v/>
      </c>
      <c r="B394">
        <f>IF($A394="","",IF(Wages!$C397="دستمزد گروهی",2,1))</f>
        <v/>
      </c>
      <c r="C394">
        <f>IF($A394="","",IF(ISNUMBER(Wages!$B397),IF(AND(Wages!$B397&gt;=10000101,Wages!$B397&lt;=99991231),INT(Wages!$B397/10000),""),IFERROR(VALUE(TRIM(LEFT(Wages!$B397,FIND("/",Wages!$B397)-1))),"")))</f>
        <v/>
      </c>
      <c r="D394">
        <f>IF(OR($A394="",$C394=""),"",IF(ISNUMBER(Wages!$B397),INT(MOD(Wages!$B397,10000)/100),IFERROR(VALUE(TRIM(LEFT(MID(Wages!$B397,FIND("/",Wages!$B397)+1,20),FIND("/",MID(Wages!$B397,FIND("/",Wages!$B397)+1,20))-1))),"")))</f>
        <v/>
      </c>
      <c r="E394">
        <f>IF(OR($A394="",$C394=""),"",IF(ISNUMBER(Wages!$B397),MOD(Wages!$B397,100),IFERROR(VALUE(TRIM(MID(MID(Wages!$B397,FIND("/",Wages!$B397)+1,20),FIND("/",MID(Wages!$B397,FIND("/",Wages!$B397)+1,20))+1,20))),"")))</f>
        <v/>
      </c>
      <c r="F394">
        <f>IF($A394="","",IF(OR($C394="",$D394="",$E394="",$C394&lt;1300,$C394&gt;1500,$D394&lt;1,$D394&gt;12,$E394&lt;1,$E394&gt;31),"نامعتبر",RIGHT("0000"&amp;$C394,4)&amp;"/"&amp;RIGHT("00"&amp;$D394,2)&amp;"/"&amp;RIGHT("00"&amp;$E394,2)))</f>
        <v/>
      </c>
      <c r="G394">
        <f>IF(OR($A394="",$F394="",$F394="نامعتبر"),"",LEFT($F394,4)&amp;MID($F394,6,2)&amp;RIGHT($F394,2)&amp;"0000"&amp;"|"&amp;"1"&amp;RIGHT("00000"&amp;389,5))</f>
        <v/>
      </c>
      <c r="H394">
        <f>IF(OR($B394&lt;&gt;1,$G394=""),"",COUNTIFS(LdAParty,$A394,LdAType,1,LdAKey,"&lt;"&amp;$G394)+COUNTIFS(LdBMember,$A394,LdBKey,"&lt;"&amp;$G394)+COUNTIFS(LdCParty,$A394,LdCKey,"&lt;"&amp;$G394)+1)</f>
        <v/>
      </c>
      <c r="I394">
        <f>IF($H394="","",$A394&amp;"|"&amp;RIGHT("000000"&amp;$H394,6))</f>
        <v/>
      </c>
      <c r="J394">
        <f>IF(OR($B394&lt;&gt;2,$G394=""),"",COUNTIFS(LdAParty,$A394,LdAType,2,LdAKey,"&lt;"&amp;$G394)+1)</f>
        <v/>
      </c>
      <c r="K394">
        <f>IF($J394="","",$A394&amp;"|"&amp;RIGHT("000000"&amp;$J394,6))</f>
        <v/>
      </c>
      <c r="L394">
        <f>IF($A394="","",IF(Wages!$G397="",0,Wages!$G397))</f>
        <v/>
      </c>
      <c r="M394">
        <f>IF($A394="","",Wages!$J397)</f>
        <v/>
      </c>
      <c r="N394">
        <f>IF($A394="","",Wages!$D397)</f>
        <v/>
      </c>
      <c r="P394">
        <f>IF(OR(Shares!$B397="",Shares!$C397=""),"",Shares!$C397)</f>
        <v/>
      </c>
      <c r="Q394">
        <f>IF($P394="","",Shares!$B397)</f>
        <v/>
      </c>
      <c r="R394">
        <f>IF($P394="","",IFERROR(INDEX(WageParty,MATCH($Q394,WageIds,0)),""))</f>
        <v/>
      </c>
      <c r="S394">
        <f>IF($P394="","",IFERROR(INDEX($F$6:$F$2005,MATCH($Q394,WageIds,0)),""))</f>
        <v/>
      </c>
      <c r="T394">
        <f>IF(OR($P394="",$S394="",$S394="نامعتبر"),"",LEFT($S394,4)&amp;MID($S394,6,2)&amp;RIGHT($S394,2)&amp;"0000"&amp;"|"&amp;"2"&amp;RIGHT("00000"&amp;389,5))</f>
        <v/>
      </c>
      <c r="U394">
        <f>IF($T394="","",COUNTIFS(LdAParty,$P394,LdAType,1,LdAKey,"&lt;"&amp;$T394)+COUNTIFS(LdBMember,$P394,LdBKey,"&lt;"&amp;$T394)+COUNTIFS(LdCParty,$P394,LdCKey,"&lt;"&amp;$T394)+1)</f>
        <v/>
      </c>
      <c r="V394">
        <f>IF($U394="","",$P394&amp;"|"&amp;RIGHT("000000"&amp;$U394,6))</f>
        <v/>
      </c>
      <c r="W394">
        <f>IF($T394="","",COUNTIFS(LdBGroup,$R394,LdBKey,"&lt;"&amp;$T394)+1)</f>
        <v/>
      </c>
      <c r="X394">
        <f>IF($W394="","",$R394&amp;"|"&amp;RIGHT("000000"&amp;$W394,6))</f>
        <v/>
      </c>
      <c r="Y394">
        <f>IF($P394="","",IF(Shares!$E397="",0,Shares!$E397))</f>
        <v/>
      </c>
      <c r="Z394">
        <f>IF($P394="","",Shares!$H397)</f>
        <v/>
      </c>
      <c r="AE394">
        <f>IF(OR(Sync!$S394="",Sync!$P394=""),"",Sync!$S394)</f>
        <v/>
      </c>
      <c r="AF394">
        <f>IF($AE394="","",IF(ISNUMBER(Sync!$P394),IF(AND(Sync!$P394&gt;=10000101,Sync!$P394&lt;=99991231),INT(Sync!$P394/10000),""),IFERROR(VALUE(TRIM(LEFT(Sync!$P394,FIND("/",Sync!$P394)-1))),"")))</f>
        <v/>
      </c>
      <c r="AG394">
        <f>IF(OR($AE394="",$AF394=""),"",IF(ISNUMBER(Sync!$P394),INT(MOD(Sync!$P394,10000)/100),IFERROR(VALUE(TRIM(LEFT(MID(Sync!$P394,FIND("/",Sync!$P394)+1,20),FIND("/",MID(Sync!$P394,FIND("/",Sync!$P394)+1,20))-1))),"")))</f>
        <v/>
      </c>
      <c r="AH394">
        <f>IF(OR($AE394="",$AF394=""),"",IF(ISNUMBER(Sync!$P394),MOD(Sync!$P394,100),IFERROR(VALUE(TRIM(MID(MID(Sync!$P394,FIND("/",Sync!$P394)+1,20),FIND("/",MID(Sync!$P394,FIND("/",Sync!$P394)+1,20))+1,20))),"")))</f>
        <v/>
      </c>
      <c r="AI394">
        <f>IF($AE394="","",IF(OR($AF394="",$AG394="",$AH394="",$AF394&lt;1300,$AF394&gt;1500,$AG394&lt;1,$AG394&gt;12,$AH394&lt;1,$AH394&gt;31),"نامعتبر",RIGHT("0000"&amp;$AF394,4)&amp;"/"&amp;RIGHT("00"&amp;$AG394,2)&amp;"/"&amp;RIGHT("00"&amp;$AH394,2)))</f>
        <v/>
      </c>
      <c r="AJ394">
        <f>IF($AE394="","",IF(Sync!$Q394="","0000",IF(AND(ISNUMBER(Sync!$Q394),Sync!$Q394&gt;=0,Sync!$Q394&lt;1),RIGHT("00"&amp;HOUR(Sync!$Q394),2)&amp;RIGHT("00"&amp;MINUTE(Sync!$Q394),2),IFERROR(RIGHT("00"&amp;VALUE(LEFT(Sync!$Q394,FIND(":",Sync!$Q394)-1)),2)&amp;RIGHT("00"&amp;VALUE(MID(Sync!$Q394,FIND(":",Sync!$Q394)+1,2)),2),"0000"))))</f>
        <v/>
      </c>
      <c r="AK394">
        <f>IF(OR($AE394="",$AI394="",$AI394="نامعتبر"),"",LEFT($AI394,4)&amp;MID($AI394,6,2)&amp;RIGHT($AI394,2)&amp;$AJ394&amp;"|"&amp;"3"&amp;RIGHT("00000"&amp;389,5))</f>
        <v/>
      </c>
      <c r="AL394">
        <f>IF($AK394="","",COUNTIFS(LdAParty,$AE394,LdAType,1,LdAKey,"&lt;"&amp;$AK394)+COUNTIFS(LdBMember,$AE394,LdBKey,"&lt;"&amp;$AK394)+COUNTIFS(LdCParty,$AE394,LdCKey,"&lt;"&amp;$AK394)+1)</f>
        <v/>
      </c>
      <c r="AM394">
        <f>IF($AL394="","",$AE394&amp;"|"&amp;RIGHT("000000"&amp;$AL394,6))</f>
        <v/>
      </c>
      <c r="AN394">
        <f>IF($AE394="","",IF(Sync!$W394="",0,Sync!$W394))</f>
        <v/>
      </c>
      <c r="AO394">
        <f>IF($AE394="","",IF(Sync!$X394="",0,Sync!$X394))</f>
        <v/>
      </c>
      <c r="AP394">
        <f>IF($AE394="","",Sync!$R394)</f>
        <v/>
      </c>
      <c r="AQ394">
        <f>IF($AE394="","",Sync!$Y394)</f>
        <v/>
      </c>
    </row>
    <row r="395">
      <c r="A395">
        <f>IF(OR(Wages!$B398="",Wages!$E398=""),"",Wages!$E398)</f>
        <v/>
      </c>
      <c r="B395">
        <f>IF($A395="","",IF(Wages!$C398="دستمزد گروهی",2,1))</f>
        <v/>
      </c>
      <c r="C395">
        <f>IF($A395="","",IF(ISNUMBER(Wages!$B398),IF(AND(Wages!$B398&gt;=10000101,Wages!$B398&lt;=99991231),INT(Wages!$B398/10000),""),IFERROR(VALUE(TRIM(LEFT(Wages!$B398,FIND("/",Wages!$B398)-1))),"")))</f>
        <v/>
      </c>
      <c r="D395">
        <f>IF(OR($A395="",$C395=""),"",IF(ISNUMBER(Wages!$B398),INT(MOD(Wages!$B398,10000)/100),IFERROR(VALUE(TRIM(LEFT(MID(Wages!$B398,FIND("/",Wages!$B398)+1,20),FIND("/",MID(Wages!$B398,FIND("/",Wages!$B398)+1,20))-1))),"")))</f>
        <v/>
      </c>
      <c r="E395">
        <f>IF(OR($A395="",$C395=""),"",IF(ISNUMBER(Wages!$B398),MOD(Wages!$B398,100),IFERROR(VALUE(TRIM(MID(MID(Wages!$B398,FIND("/",Wages!$B398)+1,20),FIND("/",MID(Wages!$B398,FIND("/",Wages!$B398)+1,20))+1,20))),"")))</f>
        <v/>
      </c>
      <c r="F395">
        <f>IF($A395="","",IF(OR($C395="",$D395="",$E395="",$C395&lt;1300,$C395&gt;1500,$D395&lt;1,$D395&gt;12,$E395&lt;1,$E395&gt;31),"نامعتبر",RIGHT("0000"&amp;$C395,4)&amp;"/"&amp;RIGHT("00"&amp;$D395,2)&amp;"/"&amp;RIGHT("00"&amp;$E395,2)))</f>
        <v/>
      </c>
      <c r="G395">
        <f>IF(OR($A395="",$F395="",$F395="نامعتبر"),"",LEFT($F395,4)&amp;MID($F395,6,2)&amp;RIGHT($F395,2)&amp;"0000"&amp;"|"&amp;"1"&amp;RIGHT("00000"&amp;390,5))</f>
        <v/>
      </c>
      <c r="H395">
        <f>IF(OR($B395&lt;&gt;1,$G395=""),"",COUNTIFS(LdAParty,$A395,LdAType,1,LdAKey,"&lt;"&amp;$G395)+COUNTIFS(LdBMember,$A395,LdBKey,"&lt;"&amp;$G395)+COUNTIFS(LdCParty,$A395,LdCKey,"&lt;"&amp;$G395)+1)</f>
        <v/>
      </c>
      <c r="I395">
        <f>IF($H395="","",$A395&amp;"|"&amp;RIGHT("000000"&amp;$H395,6))</f>
        <v/>
      </c>
      <c r="J395">
        <f>IF(OR($B395&lt;&gt;2,$G395=""),"",COUNTIFS(LdAParty,$A395,LdAType,2,LdAKey,"&lt;"&amp;$G395)+1)</f>
        <v/>
      </c>
      <c r="K395">
        <f>IF($J395="","",$A395&amp;"|"&amp;RIGHT("000000"&amp;$J395,6))</f>
        <v/>
      </c>
      <c r="L395">
        <f>IF($A395="","",IF(Wages!$G398="",0,Wages!$G398))</f>
        <v/>
      </c>
      <c r="M395">
        <f>IF($A395="","",Wages!$J398)</f>
        <v/>
      </c>
      <c r="N395">
        <f>IF($A395="","",Wages!$D398)</f>
        <v/>
      </c>
      <c r="P395">
        <f>IF(OR(Shares!$B398="",Shares!$C398=""),"",Shares!$C398)</f>
        <v/>
      </c>
      <c r="Q395">
        <f>IF($P395="","",Shares!$B398)</f>
        <v/>
      </c>
      <c r="R395">
        <f>IF($P395="","",IFERROR(INDEX(WageParty,MATCH($Q395,WageIds,0)),""))</f>
        <v/>
      </c>
      <c r="S395">
        <f>IF($P395="","",IFERROR(INDEX($F$6:$F$2005,MATCH($Q395,WageIds,0)),""))</f>
        <v/>
      </c>
      <c r="T395">
        <f>IF(OR($P395="",$S395="",$S395="نامعتبر"),"",LEFT($S395,4)&amp;MID($S395,6,2)&amp;RIGHT($S395,2)&amp;"0000"&amp;"|"&amp;"2"&amp;RIGHT("00000"&amp;390,5))</f>
        <v/>
      </c>
      <c r="U395">
        <f>IF($T395="","",COUNTIFS(LdAParty,$P395,LdAType,1,LdAKey,"&lt;"&amp;$T395)+COUNTIFS(LdBMember,$P395,LdBKey,"&lt;"&amp;$T395)+COUNTIFS(LdCParty,$P395,LdCKey,"&lt;"&amp;$T395)+1)</f>
        <v/>
      </c>
      <c r="V395">
        <f>IF($U395="","",$P395&amp;"|"&amp;RIGHT("000000"&amp;$U395,6))</f>
        <v/>
      </c>
      <c r="W395">
        <f>IF($T395="","",COUNTIFS(LdBGroup,$R395,LdBKey,"&lt;"&amp;$T395)+1)</f>
        <v/>
      </c>
      <c r="X395">
        <f>IF($W395="","",$R395&amp;"|"&amp;RIGHT("000000"&amp;$W395,6))</f>
        <v/>
      </c>
      <c r="Y395">
        <f>IF($P395="","",IF(Shares!$E398="",0,Shares!$E398))</f>
        <v/>
      </c>
      <c r="Z395">
        <f>IF($P395="","",Shares!$H398)</f>
        <v/>
      </c>
      <c r="AE395">
        <f>IF(OR(Sync!$S395="",Sync!$P395=""),"",Sync!$S395)</f>
        <v/>
      </c>
      <c r="AF395">
        <f>IF($AE395="","",IF(ISNUMBER(Sync!$P395),IF(AND(Sync!$P395&gt;=10000101,Sync!$P395&lt;=99991231),INT(Sync!$P395/10000),""),IFERROR(VALUE(TRIM(LEFT(Sync!$P395,FIND("/",Sync!$P395)-1))),"")))</f>
        <v/>
      </c>
      <c r="AG395">
        <f>IF(OR($AE395="",$AF395=""),"",IF(ISNUMBER(Sync!$P395),INT(MOD(Sync!$P395,10000)/100),IFERROR(VALUE(TRIM(LEFT(MID(Sync!$P395,FIND("/",Sync!$P395)+1,20),FIND("/",MID(Sync!$P395,FIND("/",Sync!$P395)+1,20))-1))),"")))</f>
        <v/>
      </c>
      <c r="AH395">
        <f>IF(OR($AE395="",$AF395=""),"",IF(ISNUMBER(Sync!$P395),MOD(Sync!$P395,100),IFERROR(VALUE(TRIM(MID(MID(Sync!$P395,FIND("/",Sync!$P395)+1,20),FIND("/",MID(Sync!$P395,FIND("/",Sync!$P395)+1,20))+1,20))),"")))</f>
        <v/>
      </c>
      <c r="AI395">
        <f>IF($AE395="","",IF(OR($AF395="",$AG395="",$AH395="",$AF395&lt;1300,$AF395&gt;1500,$AG395&lt;1,$AG395&gt;12,$AH395&lt;1,$AH395&gt;31),"نامعتبر",RIGHT("0000"&amp;$AF395,4)&amp;"/"&amp;RIGHT("00"&amp;$AG395,2)&amp;"/"&amp;RIGHT("00"&amp;$AH395,2)))</f>
        <v/>
      </c>
      <c r="AJ395">
        <f>IF($AE395="","",IF(Sync!$Q395="","0000",IF(AND(ISNUMBER(Sync!$Q395),Sync!$Q395&gt;=0,Sync!$Q395&lt;1),RIGHT("00"&amp;HOUR(Sync!$Q395),2)&amp;RIGHT("00"&amp;MINUTE(Sync!$Q395),2),IFERROR(RIGHT("00"&amp;VALUE(LEFT(Sync!$Q395,FIND(":",Sync!$Q395)-1)),2)&amp;RIGHT("00"&amp;VALUE(MID(Sync!$Q395,FIND(":",Sync!$Q395)+1,2)),2),"0000"))))</f>
        <v/>
      </c>
      <c r="AK395">
        <f>IF(OR($AE395="",$AI395="",$AI395="نامعتبر"),"",LEFT($AI395,4)&amp;MID($AI395,6,2)&amp;RIGHT($AI395,2)&amp;$AJ395&amp;"|"&amp;"3"&amp;RIGHT("00000"&amp;390,5))</f>
        <v/>
      </c>
      <c r="AL395">
        <f>IF($AK395="","",COUNTIFS(LdAParty,$AE395,LdAType,1,LdAKey,"&lt;"&amp;$AK395)+COUNTIFS(LdBMember,$AE395,LdBKey,"&lt;"&amp;$AK395)+COUNTIFS(LdCParty,$AE395,LdCKey,"&lt;"&amp;$AK395)+1)</f>
        <v/>
      </c>
      <c r="AM395">
        <f>IF($AL395="","",$AE395&amp;"|"&amp;RIGHT("000000"&amp;$AL395,6))</f>
        <v/>
      </c>
      <c r="AN395">
        <f>IF($AE395="","",IF(Sync!$W395="",0,Sync!$W395))</f>
        <v/>
      </c>
      <c r="AO395">
        <f>IF($AE395="","",IF(Sync!$X395="",0,Sync!$X395))</f>
        <v/>
      </c>
      <c r="AP395">
        <f>IF($AE395="","",Sync!$R395)</f>
        <v/>
      </c>
      <c r="AQ395">
        <f>IF($AE395="","",Sync!$Y395)</f>
        <v/>
      </c>
    </row>
    <row r="396">
      <c r="A396">
        <f>IF(OR(Wages!$B399="",Wages!$E399=""),"",Wages!$E399)</f>
        <v/>
      </c>
      <c r="B396">
        <f>IF($A396="","",IF(Wages!$C399="دستمزد گروهی",2,1))</f>
        <v/>
      </c>
      <c r="C396">
        <f>IF($A396="","",IF(ISNUMBER(Wages!$B399),IF(AND(Wages!$B399&gt;=10000101,Wages!$B399&lt;=99991231),INT(Wages!$B399/10000),""),IFERROR(VALUE(TRIM(LEFT(Wages!$B399,FIND("/",Wages!$B399)-1))),"")))</f>
        <v/>
      </c>
      <c r="D396">
        <f>IF(OR($A396="",$C396=""),"",IF(ISNUMBER(Wages!$B399),INT(MOD(Wages!$B399,10000)/100),IFERROR(VALUE(TRIM(LEFT(MID(Wages!$B399,FIND("/",Wages!$B399)+1,20),FIND("/",MID(Wages!$B399,FIND("/",Wages!$B399)+1,20))-1))),"")))</f>
        <v/>
      </c>
      <c r="E396">
        <f>IF(OR($A396="",$C396=""),"",IF(ISNUMBER(Wages!$B399),MOD(Wages!$B399,100),IFERROR(VALUE(TRIM(MID(MID(Wages!$B399,FIND("/",Wages!$B399)+1,20),FIND("/",MID(Wages!$B399,FIND("/",Wages!$B399)+1,20))+1,20))),"")))</f>
        <v/>
      </c>
      <c r="F396">
        <f>IF($A396="","",IF(OR($C396="",$D396="",$E396="",$C396&lt;1300,$C396&gt;1500,$D396&lt;1,$D396&gt;12,$E396&lt;1,$E396&gt;31),"نامعتبر",RIGHT("0000"&amp;$C396,4)&amp;"/"&amp;RIGHT("00"&amp;$D396,2)&amp;"/"&amp;RIGHT("00"&amp;$E396,2)))</f>
        <v/>
      </c>
      <c r="G396">
        <f>IF(OR($A396="",$F396="",$F396="نامعتبر"),"",LEFT($F396,4)&amp;MID($F396,6,2)&amp;RIGHT($F396,2)&amp;"0000"&amp;"|"&amp;"1"&amp;RIGHT("00000"&amp;391,5))</f>
        <v/>
      </c>
      <c r="H396">
        <f>IF(OR($B396&lt;&gt;1,$G396=""),"",COUNTIFS(LdAParty,$A396,LdAType,1,LdAKey,"&lt;"&amp;$G396)+COUNTIFS(LdBMember,$A396,LdBKey,"&lt;"&amp;$G396)+COUNTIFS(LdCParty,$A396,LdCKey,"&lt;"&amp;$G396)+1)</f>
        <v/>
      </c>
      <c r="I396">
        <f>IF($H396="","",$A396&amp;"|"&amp;RIGHT("000000"&amp;$H396,6))</f>
        <v/>
      </c>
      <c r="J396">
        <f>IF(OR($B396&lt;&gt;2,$G396=""),"",COUNTIFS(LdAParty,$A396,LdAType,2,LdAKey,"&lt;"&amp;$G396)+1)</f>
        <v/>
      </c>
      <c r="K396">
        <f>IF($J396="","",$A396&amp;"|"&amp;RIGHT("000000"&amp;$J396,6))</f>
        <v/>
      </c>
      <c r="L396">
        <f>IF($A396="","",IF(Wages!$G399="",0,Wages!$G399))</f>
        <v/>
      </c>
      <c r="M396">
        <f>IF($A396="","",Wages!$J399)</f>
        <v/>
      </c>
      <c r="N396">
        <f>IF($A396="","",Wages!$D399)</f>
        <v/>
      </c>
      <c r="P396">
        <f>IF(OR(Shares!$B399="",Shares!$C399=""),"",Shares!$C399)</f>
        <v/>
      </c>
      <c r="Q396">
        <f>IF($P396="","",Shares!$B399)</f>
        <v/>
      </c>
      <c r="R396">
        <f>IF($P396="","",IFERROR(INDEX(WageParty,MATCH($Q396,WageIds,0)),""))</f>
        <v/>
      </c>
      <c r="S396">
        <f>IF($P396="","",IFERROR(INDEX($F$6:$F$2005,MATCH($Q396,WageIds,0)),""))</f>
        <v/>
      </c>
      <c r="T396">
        <f>IF(OR($P396="",$S396="",$S396="نامعتبر"),"",LEFT($S396,4)&amp;MID($S396,6,2)&amp;RIGHT($S396,2)&amp;"0000"&amp;"|"&amp;"2"&amp;RIGHT("00000"&amp;391,5))</f>
        <v/>
      </c>
      <c r="U396">
        <f>IF($T396="","",COUNTIFS(LdAParty,$P396,LdAType,1,LdAKey,"&lt;"&amp;$T396)+COUNTIFS(LdBMember,$P396,LdBKey,"&lt;"&amp;$T396)+COUNTIFS(LdCParty,$P396,LdCKey,"&lt;"&amp;$T396)+1)</f>
        <v/>
      </c>
      <c r="V396">
        <f>IF($U396="","",$P396&amp;"|"&amp;RIGHT("000000"&amp;$U396,6))</f>
        <v/>
      </c>
      <c r="W396">
        <f>IF($T396="","",COUNTIFS(LdBGroup,$R396,LdBKey,"&lt;"&amp;$T396)+1)</f>
        <v/>
      </c>
      <c r="X396">
        <f>IF($W396="","",$R396&amp;"|"&amp;RIGHT("000000"&amp;$W396,6))</f>
        <v/>
      </c>
      <c r="Y396">
        <f>IF($P396="","",IF(Shares!$E399="",0,Shares!$E399))</f>
        <v/>
      </c>
      <c r="Z396">
        <f>IF($P396="","",Shares!$H399)</f>
        <v/>
      </c>
      <c r="AE396">
        <f>IF(OR(Sync!$S396="",Sync!$P396=""),"",Sync!$S396)</f>
        <v/>
      </c>
      <c r="AF396">
        <f>IF($AE396="","",IF(ISNUMBER(Sync!$P396),IF(AND(Sync!$P396&gt;=10000101,Sync!$P396&lt;=99991231),INT(Sync!$P396/10000),""),IFERROR(VALUE(TRIM(LEFT(Sync!$P396,FIND("/",Sync!$P396)-1))),"")))</f>
        <v/>
      </c>
      <c r="AG396">
        <f>IF(OR($AE396="",$AF396=""),"",IF(ISNUMBER(Sync!$P396),INT(MOD(Sync!$P396,10000)/100),IFERROR(VALUE(TRIM(LEFT(MID(Sync!$P396,FIND("/",Sync!$P396)+1,20),FIND("/",MID(Sync!$P396,FIND("/",Sync!$P396)+1,20))-1))),"")))</f>
        <v/>
      </c>
      <c r="AH396">
        <f>IF(OR($AE396="",$AF396=""),"",IF(ISNUMBER(Sync!$P396),MOD(Sync!$P396,100),IFERROR(VALUE(TRIM(MID(MID(Sync!$P396,FIND("/",Sync!$P396)+1,20),FIND("/",MID(Sync!$P396,FIND("/",Sync!$P396)+1,20))+1,20))),"")))</f>
        <v/>
      </c>
      <c r="AI396">
        <f>IF($AE396="","",IF(OR($AF396="",$AG396="",$AH396="",$AF396&lt;1300,$AF396&gt;1500,$AG396&lt;1,$AG396&gt;12,$AH396&lt;1,$AH396&gt;31),"نامعتبر",RIGHT("0000"&amp;$AF396,4)&amp;"/"&amp;RIGHT("00"&amp;$AG396,2)&amp;"/"&amp;RIGHT("00"&amp;$AH396,2)))</f>
        <v/>
      </c>
      <c r="AJ396">
        <f>IF($AE396="","",IF(Sync!$Q396="","0000",IF(AND(ISNUMBER(Sync!$Q396),Sync!$Q396&gt;=0,Sync!$Q396&lt;1),RIGHT("00"&amp;HOUR(Sync!$Q396),2)&amp;RIGHT("00"&amp;MINUTE(Sync!$Q396),2),IFERROR(RIGHT("00"&amp;VALUE(LEFT(Sync!$Q396,FIND(":",Sync!$Q396)-1)),2)&amp;RIGHT("00"&amp;VALUE(MID(Sync!$Q396,FIND(":",Sync!$Q396)+1,2)),2),"0000"))))</f>
        <v/>
      </c>
      <c r="AK396">
        <f>IF(OR($AE396="",$AI396="",$AI396="نامعتبر"),"",LEFT($AI396,4)&amp;MID($AI396,6,2)&amp;RIGHT($AI396,2)&amp;$AJ396&amp;"|"&amp;"3"&amp;RIGHT("00000"&amp;391,5))</f>
        <v/>
      </c>
      <c r="AL396">
        <f>IF($AK396="","",COUNTIFS(LdAParty,$AE396,LdAType,1,LdAKey,"&lt;"&amp;$AK396)+COUNTIFS(LdBMember,$AE396,LdBKey,"&lt;"&amp;$AK396)+COUNTIFS(LdCParty,$AE396,LdCKey,"&lt;"&amp;$AK396)+1)</f>
        <v/>
      </c>
      <c r="AM396">
        <f>IF($AL396="","",$AE396&amp;"|"&amp;RIGHT("000000"&amp;$AL396,6))</f>
        <v/>
      </c>
      <c r="AN396">
        <f>IF($AE396="","",IF(Sync!$W396="",0,Sync!$W396))</f>
        <v/>
      </c>
      <c r="AO396">
        <f>IF($AE396="","",IF(Sync!$X396="",0,Sync!$X396))</f>
        <v/>
      </c>
      <c r="AP396">
        <f>IF($AE396="","",Sync!$R396)</f>
        <v/>
      </c>
      <c r="AQ396">
        <f>IF($AE396="","",Sync!$Y396)</f>
        <v/>
      </c>
    </row>
    <row r="397">
      <c r="A397">
        <f>IF(OR(Wages!$B400="",Wages!$E400=""),"",Wages!$E400)</f>
        <v/>
      </c>
      <c r="B397">
        <f>IF($A397="","",IF(Wages!$C400="دستمزد گروهی",2,1))</f>
        <v/>
      </c>
      <c r="C397">
        <f>IF($A397="","",IF(ISNUMBER(Wages!$B400),IF(AND(Wages!$B400&gt;=10000101,Wages!$B400&lt;=99991231),INT(Wages!$B400/10000),""),IFERROR(VALUE(TRIM(LEFT(Wages!$B400,FIND("/",Wages!$B400)-1))),"")))</f>
        <v/>
      </c>
      <c r="D397">
        <f>IF(OR($A397="",$C397=""),"",IF(ISNUMBER(Wages!$B400),INT(MOD(Wages!$B400,10000)/100),IFERROR(VALUE(TRIM(LEFT(MID(Wages!$B400,FIND("/",Wages!$B400)+1,20),FIND("/",MID(Wages!$B400,FIND("/",Wages!$B400)+1,20))-1))),"")))</f>
        <v/>
      </c>
      <c r="E397">
        <f>IF(OR($A397="",$C397=""),"",IF(ISNUMBER(Wages!$B400),MOD(Wages!$B400,100),IFERROR(VALUE(TRIM(MID(MID(Wages!$B400,FIND("/",Wages!$B400)+1,20),FIND("/",MID(Wages!$B400,FIND("/",Wages!$B400)+1,20))+1,20))),"")))</f>
        <v/>
      </c>
      <c r="F397">
        <f>IF($A397="","",IF(OR($C397="",$D397="",$E397="",$C397&lt;1300,$C397&gt;1500,$D397&lt;1,$D397&gt;12,$E397&lt;1,$E397&gt;31),"نامعتبر",RIGHT("0000"&amp;$C397,4)&amp;"/"&amp;RIGHT("00"&amp;$D397,2)&amp;"/"&amp;RIGHT("00"&amp;$E397,2)))</f>
        <v/>
      </c>
      <c r="G397">
        <f>IF(OR($A397="",$F397="",$F397="نامعتبر"),"",LEFT($F397,4)&amp;MID($F397,6,2)&amp;RIGHT($F397,2)&amp;"0000"&amp;"|"&amp;"1"&amp;RIGHT("00000"&amp;392,5))</f>
        <v/>
      </c>
      <c r="H397">
        <f>IF(OR($B397&lt;&gt;1,$G397=""),"",COUNTIFS(LdAParty,$A397,LdAType,1,LdAKey,"&lt;"&amp;$G397)+COUNTIFS(LdBMember,$A397,LdBKey,"&lt;"&amp;$G397)+COUNTIFS(LdCParty,$A397,LdCKey,"&lt;"&amp;$G397)+1)</f>
        <v/>
      </c>
      <c r="I397">
        <f>IF($H397="","",$A397&amp;"|"&amp;RIGHT("000000"&amp;$H397,6))</f>
        <v/>
      </c>
      <c r="J397">
        <f>IF(OR($B397&lt;&gt;2,$G397=""),"",COUNTIFS(LdAParty,$A397,LdAType,2,LdAKey,"&lt;"&amp;$G397)+1)</f>
        <v/>
      </c>
      <c r="K397">
        <f>IF($J397="","",$A397&amp;"|"&amp;RIGHT("000000"&amp;$J397,6))</f>
        <v/>
      </c>
      <c r="L397">
        <f>IF($A397="","",IF(Wages!$G400="",0,Wages!$G400))</f>
        <v/>
      </c>
      <c r="M397">
        <f>IF($A397="","",Wages!$J400)</f>
        <v/>
      </c>
      <c r="N397">
        <f>IF($A397="","",Wages!$D400)</f>
        <v/>
      </c>
      <c r="P397">
        <f>IF(OR(Shares!$B400="",Shares!$C400=""),"",Shares!$C400)</f>
        <v/>
      </c>
      <c r="Q397">
        <f>IF($P397="","",Shares!$B400)</f>
        <v/>
      </c>
      <c r="R397">
        <f>IF($P397="","",IFERROR(INDEX(WageParty,MATCH($Q397,WageIds,0)),""))</f>
        <v/>
      </c>
      <c r="S397">
        <f>IF($P397="","",IFERROR(INDEX($F$6:$F$2005,MATCH($Q397,WageIds,0)),""))</f>
        <v/>
      </c>
      <c r="T397">
        <f>IF(OR($P397="",$S397="",$S397="نامعتبر"),"",LEFT($S397,4)&amp;MID($S397,6,2)&amp;RIGHT($S397,2)&amp;"0000"&amp;"|"&amp;"2"&amp;RIGHT("00000"&amp;392,5))</f>
        <v/>
      </c>
      <c r="U397">
        <f>IF($T397="","",COUNTIFS(LdAParty,$P397,LdAType,1,LdAKey,"&lt;"&amp;$T397)+COUNTIFS(LdBMember,$P397,LdBKey,"&lt;"&amp;$T397)+COUNTIFS(LdCParty,$P397,LdCKey,"&lt;"&amp;$T397)+1)</f>
        <v/>
      </c>
      <c r="V397">
        <f>IF($U397="","",$P397&amp;"|"&amp;RIGHT("000000"&amp;$U397,6))</f>
        <v/>
      </c>
      <c r="W397">
        <f>IF($T397="","",COUNTIFS(LdBGroup,$R397,LdBKey,"&lt;"&amp;$T397)+1)</f>
        <v/>
      </c>
      <c r="X397">
        <f>IF($W397="","",$R397&amp;"|"&amp;RIGHT("000000"&amp;$W397,6))</f>
        <v/>
      </c>
      <c r="Y397">
        <f>IF($P397="","",IF(Shares!$E400="",0,Shares!$E400))</f>
        <v/>
      </c>
      <c r="Z397">
        <f>IF($P397="","",Shares!$H400)</f>
        <v/>
      </c>
      <c r="AE397">
        <f>IF(OR(Sync!$S397="",Sync!$P397=""),"",Sync!$S397)</f>
        <v/>
      </c>
      <c r="AF397">
        <f>IF($AE397="","",IF(ISNUMBER(Sync!$P397),IF(AND(Sync!$P397&gt;=10000101,Sync!$P397&lt;=99991231),INT(Sync!$P397/10000),""),IFERROR(VALUE(TRIM(LEFT(Sync!$P397,FIND("/",Sync!$P397)-1))),"")))</f>
        <v/>
      </c>
      <c r="AG397">
        <f>IF(OR($AE397="",$AF397=""),"",IF(ISNUMBER(Sync!$P397),INT(MOD(Sync!$P397,10000)/100),IFERROR(VALUE(TRIM(LEFT(MID(Sync!$P397,FIND("/",Sync!$P397)+1,20),FIND("/",MID(Sync!$P397,FIND("/",Sync!$P397)+1,20))-1))),"")))</f>
        <v/>
      </c>
      <c r="AH397">
        <f>IF(OR($AE397="",$AF397=""),"",IF(ISNUMBER(Sync!$P397),MOD(Sync!$P397,100),IFERROR(VALUE(TRIM(MID(MID(Sync!$P397,FIND("/",Sync!$P397)+1,20),FIND("/",MID(Sync!$P397,FIND("/",Sync!$P397)+1,20))+1,20))),"")))</f>
        <v/>
      </c>
      <c r="AI397">
        <f>IF($AE397="","",IF(OR($AF397="",$AG397="",$AH397="",$AF397&lt;1300,$AF397&gt;1500,$AG397&lt;1,$AG397&gt;12,$AH397&lt;1,$AH397&gt;31),"نامعتبر",RIGHT("0000"&amp;$AF397,4)&amp;"/"&amp;RIGHT("00"&amp;$AG397,2)&amp;"/"&amp;RIGHT("00"&amp;$AH397,2)))</f>
        <v/>
      </c>
      <c r="AJ397">
        <f>IF($AE397="","",IF(Sync!$Q397="","0000",IF(AND(ISNUMBER(Sync!$Q397),Sync!$Q397&gt;=0,Sync!$Q397&lt;1),RIGHT("00"&amp;HOUR(Sync!$Q397),2)&amp;RIGHT("00"&amp;MINUTE(Sync!$Q397),2),IFERROR(RIGHT("00"&amp;VALUE(LEFT(Sync!$Q397,FIND(":",Sync!$Q397)-1)),2)&amp;RIGHT("00"&amp;VALUE(MID(Sync!$Q397,FIND(":",Sync!$Q397)+1,2)),2),"0000"))))</f>
        <v/>
      </c>
      <c r="AK397">
        <f>IF(OR($AE397="",$AI397="",$AI397="نامعتبر"),"",LEFT($AI397,4)&amp;MID($AI397,6,2)&amp;RIGHT($AI397,2)&amp;$AJ397&amp;"|"&amp;"3"&amp;RIGHT("00000"&amp;392,5))</f>
        <v/>
      </c>
      <c r="AL397">
        <f>IF($AK397="","",COUNTIFS(LdAParty,$AE397,LdAType,1,LdAKey,"&lt;"&amp;$AK397)+COUNTIFS(LdBMember,$AE397,LdBKey,"&lt;"&amp;$AK397)+COUNTIFS(LdCParty,$AE397,LdCKey,"&lt;"&amp;$AK397)+1)</f>
        <v/>
      </c>
      <c r="AM397">
        <f>IF($AL397="","",$AE397&amp;"|"&amp;RIGHT("000000"&amp;$AL397,6))</f>
        <v/>
      </c>
      <c r="AN397">
        <f>IF($AE397="","",IF(Sync!$W397="",0,Sync!$W397))</f>
        <v/>
      </c>
      <c r="AO397">
        <f>IF($AE397="","",IF(Sync!$X397="",0,Sync!$X397))</f>
        <v/>
      </c>
      <c r="AP397">
        <f>IF($AE397="","",Sync!$R397)</f>
        <v/>
      </c>
      <c r="AQ397">
        <f>IF($AE397="","",Sync!$Y397)</f>
        <v/>
      </c>
    </row>
    <row r="398">
      <c r="A398">
        <f>IF(OR(Wages!$B401="",Wages!$E401=""),"",Wages!$E401)</f>
        <v/>
      </c>
      <c r="B398">
        <f>IF($A398="","",IF(Wages!$C401="دستمزد گروهی",2,1))</f>
        <v/>
      </c>
      <c r="C398">
        <f>IF($A398="","",IF(ISNUMBER(Wages!$B401),IF(AND(Wages!$B401&gt;=10000101,Wages!$B401&lt;=99991231),INT(Wages!$B401/10000),""),IFERROR(VALUE(TRIM(LEFT(Wages!$B401,FIND("/",Wages!$B401)-1))),"")))</f>
        <v/>
      </c>
      <c r="D398">
        <f>IF(OR($A398="",$C398=""),"",IF(ISNUMBER(Wages!$B401),INT(MOD(Wages!$B401,10000)/100),IFERROR(VALUE(TRIM(LEFT(MID(Wages!$B401,FIND("/",Wages!$B401)+1,20),FIND("/",MID(Wages!$B401,FIND("/",Wages!$B401)+1,20))-1))),"")))</f>
        <v/>
      </c>
      <c r="E398">
        <f>IF(OR($A398="",$C398=""),"",IF(ISNUMBER(Wages!$B401),MOD(Wages!$B401,100),IFERROR(VALUE(TRIM(MID(MID(Wages!$B401,FIND("/",Wages!$B401)+1,20),FIND("/",MID(Wages!$B401,FIND("/",Wages!$B401)+1,20))+1,20))),"")))</f>
        <v/>
      </c>
      <c r="F398">
        <f>IF($A398="","",IF(OR($C398="",$D398="",$E398="",$C398&lt;1300,$C398&gt;1500,$D398&lt;1,$D398&gt;12,$E398&lt;1,$E398&gt;31),"نامعتبر",RIGHT("0000"&amp;$C398,4)&amp;"/"&amp;RIGHT("00"&amp;$D398,2)&amp;"/"&amp;RIGHT("00"&amp;$E398,2)))</f>
        <v/>
      </c>
      <c r="G398">
        <f>IF(OR($A398="",$F398="",$F398="نامعتبر"),"",LEFT($F398,4)&amp;MID($F398,6,2)&amp;RIGHT($F398,2)&amp;"0000"&amp;"|"&amp;"1"&amp;RIGHT("00000"&amp;393,5))</f>
        <v/>
      </c>
      <c r="H398">
        <f>IF(OR($B398&lt;&gt;1,$G398=""),"",COUNTIFS(LdAParty,$A398,LdAType,1,LdAKey,"&lt;"&amp;$G398)+COUNTIFS(LdBMember,$A398,LdBKey,"&lt;"&amp;$G398)+COUNTIFS(LdCParty,$A398,LdCKey,"&lt;"&amp;$G398)+1)</f>
        <v/>
      </c>
      <c r="I398">
        <f>IF($H398="","",$A398&amp;"|"&amp;RIGHT("000000"&amp;$H398,6))</f>
        <v/>
      </c>
      <c r="J398">
        <f>IF(OR($B398&lt;&gt;2,$G398=""),"",COUNTIFS(LdAParty,$A398,LdAType,2,LdAKey,"&lt;"&amp;$G398)+1)</f>
        <v/>
      </c>
      <c r="K398">
        <f>IF($J398="","",$A398&amp;"|"&amp;RIGHT("000000"&amp;$J398,6))</f>
        <v/>
      </c>
      <c r="L398">
        <f>IF($A398="","",IF(Wages!$G401="",0,Wages!$G401))</f>
        <v/>
      </c>
      <c r="M398">
        <f>IF($A398="","",Wages!$J401)</f>
        <v/>
      </c>
      <c r="N398">
        <f>IF($A398="","",Wages!$D401)</f>
        <v/>
      </c>
      <c r="P398">
        <f>IF(OR(Shares!$B401="",Shares!$C401=""),"",Shares!$C401)</f>
        <v/>
      </c>
      <c r="Q398">
        <f>IF($P398="","",Shares!$B401)</f>
        <v/>
      </c>
      <c r="R398">
        <f>IF($P398="","",IFERROR(INDEX(WageParty,MATCH($Q398,WageIds,0)),""))</f>
        <v/>
      </c>
      <c r="S398">
        <f>IF($P398="","",IFERROR(INDEX($F$6:$F$2005,MATCH($Q398,WageIds,0)),""))</f>
        <v/>
      </c>
      <c r="T398">
        <f>IF(OR($P398="",$S398="",$S398="نامعتبر"),"",LEFT($S398,4)&amp;MID($S398,6,2)&amp;RIGHT($S398,2)&amp;"0000"&amp;"|"&amp;"2"&amp;RIGHT("00000"&amp;393,5))</f>
        <v/>
      </c>
      <c r="U398">
        <f>IF($T398="","",COUNTIFS(LdAParty,$P398,LdAType,1,LdAKey,"&lt;"&amp;$T398)+COUNTIFS(LdBMember,$P398,LdBKey,"&lt;"&amp;$T398)+COUNTIFS(LdCParty,$P398,LdCKey,"&lt;"&amp;$T398)+1)</f>
        <v/>
      </c>
      <c r="V398">
        <f>IF($U398="","",$P398&amp;"|"&amp;RIGHT("000000"&amp;$U398,6))</f>
        <v/>
      </c>
      <c r="W398">
        <f>IF($T398="","",COUNTIFS(LdBGroup,$R398,LdBKey,"&lt;"&amp;$T398)+1)</f>
        <v/>
      </c>
      <c r="X398">
        <f>IF($W398="","",$R398&amp;"|"&amp;RIGHT("000000"&amp;$W398,6))</f>
        <v/>
      </c>
      <c r="Y398">
        <f>IF($P398="","",IF(Shares!$E401="",0,Shares!$E401))</f>
        <v/>
      </c>
      <c r="Z398">
        <f>IF($P398="","",Shares!$H401)</f>
        <v/>
      </c>
      <c r="AE398">
        <f>IF(OR(Sync!$S398="",Sync!$P398=""),"",Sync!$S398)</f>
        <v/>
      </c>
      <c r="AF398">
        <f>IF($AE398="","",IF(ISNUMBER(Sync!$P398),IF(AND(Sync!$P398&gt;=10000101,Sync!$P398&lt;=99991231),INT(Sync!$P398/10000),""),IFERROR(VALUE(TRIM(LEFT(Sync!$P398,FIND("/",Sync!$P398)-1))),"")))</f>
        <v/>
      </c>
      <c r="AG398">
        <f>IF(OR($AE398="",$AF398=""),"",IF(ISNUMBER(Sync!$P398),INT(MOD(Sync!$P398,10000)/100),IFERROR(VALUE(TRIM(LEFT(MID(Sync!$P398,FIND("/",Sync!$P398)+1,20),FIND("/",MID(Sync!$P398,FIND("/",Sync!$P398)+1,20))-1))),"")))</f>
        <v/>
      </c>
      <c r="AH398">
        <f>IF(OR($AE398="",$AF398=""),"",IF(ISNUMBER(Sync!$P398),MOD(Sync!$P398,100),IFERROR(VALUE(TRIM(MID(MID(Sync!$P398,FIND("/",Sync!$P398)+1,20),FIND("/",MID(Sync!$P398,FIND("/",Sync!$P398)+1,20))+1,20))),"")))</f>
        <v/>
      </c>
      <c r="AI398">
        <f>IF($AE398="","",IF(OR($AF398="",$AG398="",$AH398="",$AF398&lt;1300,$AF398&gt;1500,$AG398&lt;1,$AG398&gt;12,$AH398&lt;1,$AH398&gt;31),"نامعتبر",RIGHT("0000"&amp;$AF398,4)&amp;"/"&amp;RIGHT("00"&amp;$AG398,2)&amp;"/"&amp;RIGHT("00"&amp;$AH398,2)))</f>
        <v/>
      </c>
      <c r="AJ398">
        <f>IF($AE398="","",IF(Sync!$Q398="","0000",IF(AND(ISNUMBER(Sync!$Q398),Sync!$Q398&gt;=0,Sync!$Q398&lt;1),RIGHT("00"&amp;HOUR(Sync!$Q398),2)&amp;RIGHT("00"&amp;MINUTE(Sync!$Q398),2),IFERROR(RIGHT("00"&amp;VALUE(LEFT(Sync!$Q398,FIND(":",Sync!$Q398)-1)),2)&amp;RIGHT("00"&amp;VALUE(MID(Sync!$Q398,FIND(":",Sync!$Q398)+1,2)),2),"0000"))))</f>
        <v/>
      </c>
      <c r="AK398">
        <f>IF(OR($AE398="",$AI398="",$AI398="نامعتبر"),"",LEFT($AI398,4)&amp;MID($AI398,6,2)&amp;RIGHT($AI398,2)&amp;$AJ398&amp;"|"&amp;"3"&amp;RIGHT("00000"&amp;393,5))</f>
        <v/>
      </c>
      <c r="AL398">
        <f>IF($AK398="","",COUNTIFS(LdAParty,$AE398,LdAType,1,LdAKey,"&lt;"&amp;$AK398)+COUNTIFS(LdBMember,$AE398,LdBKey,"&lt;"&amp;$AK398)+COUNTIFS(LdCParty,$AE398,LdCKey,"&lt;"&amp;$AK398)+1)</f>
        <v/>
      </c>
      <c r="AM398">
        <f>IF($AL398="","",$AE398&amp;"|"&amp;RIGHT("000000"&amp;$AL398,6))</f>
        <v/>
      </c>
      <c r="AN398">
        <f>IF($AE398="","",IF(Sync!$W398="",0,Sync!$W398))</f>
        <v/>
      </c>
      <c r="AO398">
        <f>IF($AE398="","",IF(Sync!$X398="",0,Sync!$X398))</f>
        <v/>
      </c>
      <c r="AP398">
        <f>IF($AE398="","",Sync!$R398)</f>
        <v/>
      </c>
      <c r="AQ398">
        <f>IF($AE398="","",Sync!$Y398)</f>
        <v/>
      </c>
    </row>
    <row r="399">
      <c r="A399">
        <f>IF(OR(Wages!$B402="",Wages!$E402=""),"",Wages!$E402)</f>
        <v/>
      </c>
      <c r="B399">
        <f>IF($A399="","",IF(Wages!$C402="دستمزد گروهی",2,1))</f>
        <v/>
      </c>
      <c r="C399">
        <f>IF($A399="","",IF(ISNUMBER(Wages!$B402),IF(AND(Wages!$B402&gt;=10000101,Wages!$B402&lt;=99991231),INT(Wages!$B402/10000),""),IFERROR(VALUE(TRIM(LEFT(Wages!$B402,FIND("/",Wages!$B402)-1))),"")))</f>
        <v/>
      </c>
      <c r="D399">
        <f>IF(OR($A399="",$C399=""),"",IF(ISNUMBER(Wages!$B402),INT(MOD(Wages!$B402,10000)/100),IFERROR(VALUE(TRIM(LEFT(MID(Wages!$B402,FIND("/",Wages!$B402)+1,20),FIND("/",MID(Wages!$B402,FIND("/",Wages!$B402)+1,20))-1))),"")))</f>
        <v/>
      </c>
      <c r="E399">
        <f>IF(OR($A399="",$C399=""),"",IF(ISNUMBER(Wages!$B402),MOD(Wages!$B402,100),IFERROR(VALUE(TRIM(MID(MID(Wages!$B402,FIND("/",Wages!$B402)+1,20),FIND("/",MID(Wages!$B402,FIND("/",Wages!$B402)+1,20))+1,20))),"")))</f>
        <v/>
      </c>
      <c r="F399">
        <f>IF($A399="","",IF(OR($C399="",$D399="",$E399="",$C399&lt;1300,$C399&gt;1500,$D399&lt;1,$D399&gt;12,$E399&lt;1,$E399&gt;31),"نامعتبر",RIGHT("0000"&amp;$C399,4)&amp;"/"&amp;RIGHT("00"&amp;$D399,2)&amp;"/"&amp;RIGHT("00"&amp;$E399,2)))</f>
        <v/>
      </c>
      <c r="G399">
        <f>IF(OR($A399="",$F399="",$F399="نامعتبر"),"",LEFT($F399,4)&amp;MID($F399,6,2)&amp;RIGHT($F399,2)&amp;"0000"&amp;"|"&amp;"1"&amp;RIGHT("00000"&amp;394,5))</f>
        <v/>
      </c>
      <c r="H399">
        <f>IF(OR($B399&lt;&gt;1,$G399=""),"",COUNTIFS(LdAParty,$A399,LdAType,1,LdAKey,"&lt;"&amp;$G399)+COUNTIFS(LdBMember,$A399,LdBKey,"&lt;"&amp;$G399)+COUNTIFS(LdCParty,$A399,LdCKey,"&lt;"&amp;$G399)+1)</f>
        <v/>
      </c>
      <c r="I399">
        <f>IF($H399="","",$A399&amp;"|"&amp;RIGHT("000000"&amp;$H399,6))</f>
        <v/>
      </c>
      <c r="J399">
        <f>IF(OR($B399&lt;&gt;2,$G399=""),"",COUNTIFS(LdAParty,$A399,LdAType,2,LdAKey,"&lt;"&amp;$G399)+1)</f>
        <v/>
      </c>
      <c r="K399">
        <f>IF($J399="","",$A399&amp;"|"&amp;RIGHT("000000"&amp;$J399,6))</f>
        <v/>
      </c>
      <c r="L399">
        <f>IF($A399="","",IF(Wages!$G402="",0,Wages!$G402))</f>
        <v/>
      </c>
      <c r="M399">
        <f>IF($A399="","",Wages!$J402)</f>
        <v/>
      </c>
      <c r="N399">
        <f>IF($A399="","",Wages!$D402)</f>
        <v/>
      </c>
      <c r="P399">
        <f>IF(OR(Shares!$B402="",Shares!$C402=""),"",Shares!$C402)</f>
        <v/>
      </c>
      <c r="Q399">
        <f>IF($P399="","",Shares!$B402)</f>
        <v/>
      </c>
      <c r="R399">
        <f>IF($P399="","",IFERROR(INDEX(WageParty,MATCH($Q399,WageIds,0)),""))</f>
        <v/>
      </c>
      <c r="S399">
        <f>IF($P399="","",IFERROR(INDEX($F$6:$F$2005,MATCH($Q399,WageIds,0)),""))</f>
        <v/>
      </c>
      <c r="T399">
        <f>IF(OR($P399="",$S399="",$S399="نامعتبر"),"",LEFT($S399,4)&amp;MID($S399,6,2)&amp;RIGHT($S399,2)&amp;"0000"&amp;"|"&amp;"2"&amp;RIGHT("00000"&amp;394,5))</f>
        <v/>
      </c>
      <c r="U399">
        <f>IF($T399="","",COUNTIFS(LdAParty,$P399,LdAType,1,LdAKey,"&lt;"&amp;$T399)+COUNTIFS(LdBMember,$P399,LdBKey,"&lt;"&amp;$T399)+COUNTIFS(LdCParty,$P399,LdCKey,"&lt;"&amp;$T399)+1)</f>
        <v/>
      </c>
      <c r="V399">
        <f>IF($U399="","",$P399&amp;"|"&amp;RIGHT("000000"&amp;$U399,6))</f>
        <v/>
      </c>
      <c r="W399">
        <f>IF($T399="","",COUNTIFS(LdBGroup,$R399,LdBKey,"&lt;"&amp;$T399)+1)</f>
        <v/>
      </c>
      <c r="X399">
        <f>IF($W399="","",$R399&amp;"|"&amp;RIGHT("000000"&amp;$W399,6))</f>
        <v/>
      </c>
      <c r="Y399">
        <f>IF($P399="","",IF(Shares!$E402="",0,Shares!$E402))</f>
        <v/>
      </c>
      <c r="Z399">
        <f>IF($P399="","",Shares!$H402)</f>
        <v/>
      </c>
      <c r="AE399">
        <f>IF(OR(Sync!$S399="",Sync!$P399=""),"",Sync!$S399)</f>
        <v/>
      </c>
      <c r="AF399">
        <f>IF($AE399="","",IF(ISNUMBER(Sync!$P399),IF(AND(Sync!$P399&gt;=10000101,Sync!$P399&lt;=99991231),INT(Sync!$P399/10000),""),IFERROR(VALUE(TRIM(LEFT(Sync!$P399,FIND("/",Sync!$P399)-1))),"")))</f>
        <v/>
      </c>
      <c r="AG399">
        <f>IF(OR($AE399="",$AF399=""),"",IF(ISNUMBER(Sync!$P399),INT(MOD(Sync!$P399,10000)/100),IFERROR(VALUE(TRIM(LEFT(MID(Sync!$P399,FIND("/",Sync!$P399)+1,20),FIND("/",MID(Sync!$P399,FIND("/",Sync!$P399)+1,20))-1))),"")))</f>
        <v/>
      </c>
      <c r="AH399">
        <f>IF(OR($AE399="",$AF399=""),"",IF(ISNUMBER(Sync!$P399),MOD(Sync!$P399,100),IFERROR(VALUE(TRIM(MID(MID(Sync!$P399,FIND("/",Sync!$P399)+1,20),FIND("/",MID(Sync!$P399,FIND("/",Sync!$P399)+1,20))+1,20))),"")))</f>
        <v/>
      </c>
      <c r="AI399">
        <f>IF($AE399="","",IF(OR($AF399="",$AG399="",$AH399="",$AF399&lt;1300,$AF399&gt;1500,$AG399&lt;1,$AG399&gt;12,$AH399&lt;1,$AH399&gt;31),"نامعتبر",RIGHT("0000"&amp;$AF399,4)&amp;"/"&amp;RIGHT("00"&amp;$AG399,2)&amp;"/"&amp;RIGHT("00"&amp;$AH399,2)))</f>
        <v/>
      </c>
      <c r="AJ399">
        <f>IF($AE399="","",IF(Sync!$Q399="","0000",IF(AND(ISNUMBER(Sync!$Q399),Sync!$Q399&gt;=0,Sync!$Q399&lt;1),RIGHT("00"&amp;HOUR(Sync!$Q399),2)&amp;RIGHT("00"&amp;MINUTE(Sync!$Q399),2),IFERROR(RIGHT("00"&amp;VALUE(LEFT(Sync!$Q399,FIND(":",Sync!$Q399)-1)),2)&amp;RIGHT("00"&amp;VALUE(MID(Sync!$Q399,FIND(":",Sync!$Q399)+1,2)),2),"0000"))))</f>
        <v/>
      </c>
      <c r="AK399">
        <f>IF(OR($AE399="",$AI399="",$AI399="نامعتبر"),"",LEFT($AI399,4)&amp;MID($AI399,6,2)&amp;RIGHT($AI399,2)&amp;$AJ399&amp;"|"&amp;"3"&amp;RIGHT("00000"&amp;394,5))</f>
        <v/>
      </c>
      <c r="AL399">
        <f>IF($AK399="","",COUNTIFS(LdAParty,$AE399,LdAType,1,LdAKey,"&lt;"&amp;$AK399)+COUNTIFS(LdBMember,$AE399,LdBKey,"&lt;"&amp;$AK399)+COUNTIFS(LdCParty,$AE399,LdCKey,"&lt;"&amp;$AK399)+1)</f>
        <v/>
      </c>
      <c r="AM399">
        <f>IF($AL399="","",$AE399&amp;"|"&amp;RIGHT("000000"&amp;$AL399,6))</f>
        <v/>
      </c>
      <c r="AN399">
        <f>IF($AE399="","",IF(Sync!$W399="",0,Sync!$W399))</f>
        <v/>
      </c>
      <c r="AO399">
        <f>IF($AE399="","",IF(Sync!$X399="",0,Sync!$X399))</f>
        <v/>
      </c>
      <c r="AP399">
        <f>IF($AE399="","",Sync!$R399)</f>
        <v/>
      </c>
      <c r="AQ399">
        <f>IF($AE399="","",Sync!$Y399)</f>
        <v/>
      </c>
    </row>
    <row r="400">
      <c r="A400">
        <f>IF(OR(Wages!$B403="",Wages!$E403=""),"",Wages!$E403)</f>
        <v/>
      </c>
      <c r="B400">
        <f>IF($A400="","",IF(Wages!$C403="دستمزد گروهی",2,1))</f>
        <v/>
      </c>
      <c r="C400">
        <f>IF($A400="","",IF(ISNUMBER(Wages!$B403),IF(AND(Wages!$B403&gt;=10000101,Wages!$B403&lt;=99991231),INT(Wages!$B403/10000),""),IFERROR(VALUE(TRIM(LEFT(Wages!$B403,FIND("/",Wages!$B403)-1))),"")))</f>
        <v/>
      </c>
      <c r="D400">
        <f>IF(OR($A400="",$C400=""),"",IF(ISNUMBER(Wages!$B403),INT(MOD(Wages!$B403,10000)/100),IFERROR(VALUE(TRIM(LEFT(MID(Wages!$B403,FIND("/",Wages!$B403)+1,20),FIND("/",MID(Wages!$B403,FIND("/",Wages!$B403)+1,20))-1))),"")))</f>
        <v/>
      </c>
      <c r="E400">
        <f>IF(OR($A400="",$C400=""),"",IF(ISNUMBER(Wages!$B403),MOD(Wages!$B403,100),IFERROR(VALUE(TRIM(MID(MID(Wages!$B403,FIND("/",Wages!$B403)+1,20),FIND("/",MID(Wages!$B403,FIND("/",Wages!$B403)+1,20))+1,20))),"")))</f>
        <v/>
      </c>
      <c r="F400">
        <f>IF($A400="","",IF(OR($C400="",$D400="",$E400="",$C400&lt;1300,$C400&gt;1500,$D400&lt;1,$D400&gt;12,$E400&lt;1,$E400&gt;31),"نامعتبر",RIGHT("0000"&amp;$C400,4)&amp;"/"&amp;RIGHT("00"&amp;$D400,2)&amp;"/"&amp;RIGHT("00"&amp;$E400,2)))</f>
        <v/>
      </c>
      <c r="G400">
        <f>IF(OR($A400="",$F400="",$F400="نامعتبر"),"",LEFT($F400,4)&amp;MID($F400,6,2)&amp;RIGHT($F400,2)&amp;"0000"&amp;"|"&amp;"1"&amp;RIGHT("00000"&amp;395,5))</f>
        <v/>
      </c>
      <c r="H400">
        <f>IF(OR($B400&lt;&gt;1,$G400=""),"",COUNTIFS(LdAParty,$A400,LdAType,1,LdAKey,"&lt;"&amp;$G400)+COUNTIFS(LdBMember,$A400,LdBKey,"&lt;"&amp;$G400)+COUNTIFS(LdCParty,$A400,LdCKey,"&lt;"&amp;$G400)+1)</f>
        <v/>
      </c>
      <c r="I400">
        <f>IF($H400="","",$A400&amp;"|"&amp;RIGHT("000000"&amp;$H400,6))</f>
        <v/>
      </c>
      <c r="J400">
        <f>IF(OR($B400&lt;&gt;2,$G400=""),"",COUNTIFS(LdAParty,$A400,LdAType,2,LdAKey,"&lt;"&amp;$G400)+1)</f>
        <v/>
      </c>
      <c r="K400">
        <f>IF($J400="","",$A400&amp;"|"&amp;RIGHT("000000"&amp;$J400,6))</f>
        <v/>
      </c>
      <c r="L400">
        <f>IF($A400="","",IF(Wages!$G403="",0,Wages!$G403))</f>
        <v/>
      </c>
      <c r="M400">
        <f>IF($A400="","",Wages!$J403)</f>
        <v/>
      </c>
      <c r="N400">
        <f>IF($A400="","",Wages!$D403)</f>
        <v/>
      </c>
      <c r="P400">
        <f>IF(OR(Shares!$B403="",Shares!$C403=""),"",Shares!$C403)</f>
        <v/>
      </c>
      <c r="Q400">
        <f>IF($P400="","",Shares!$B403)</f>
        <v/>
      </c>
      <c r="R400">
        <f>IF($P400="","",IFERROR(INDEX(WageParty,MATCH($Q400,WageIds,0)),""))</f>
        <v/>
      </c>
      <c r="S400">
        <f>IF($P400="","",IFERROR(INDEX($F$6:$F$2005,MATCH($Q400,WageIds,0)),""))</f>
        <v/>
      </c>
      <c r="T400">
        <f>IF(OR($P400="",$S400="",$S400="نامعتبر"),"",LEFT($S400,4)&amp;MID($S400,6,2)&amp;RIGHT($S400,2)&amp;"0000"&amp;"|"&amp;"2"&amp;RIGHT("00000"&amp;395,5))</f>
        <v/>
      </c>
      <c r="U400">
        <f>IF($T400="","",COUNTIFS(LdAParty,$P400,LdAType,1,LdAKey,"&lt;"&amp;$T400)+COUNTIFS(LdBMember,$P400,LdBKey,"&lt;"&amp;$T400)+COUNTIFS(LdCParty,$P400,LdCKey,"&lt;"&amp;$T400)+1)</f>
        <v/>
      </c>
      <c r="V400">
        <f>IF($U400="","",$P400&amp;"|"&amp;RIGHT("000000"&amp;$U400,6))</f>
        <v/>
      </c>
      <c r="W400">
        <f>IF($T400="","",COUNTIFS(LdBGroup,$R400,LdBKey,"&lt;"&amp;$T400)+1)</f>
        <v/>
      </c>
      <c r="X400">
        <f>IF($W400="","",$R400&amp;"|"&amp;RIGHT("000000"&amp;$W400,6))</f>
        <v/>
      </c>
      <c r="Y400">
        <f>IF($P400="","",IF(Shares!$E403="",0,Shares!$E403))</f>
        <v/>
      </c>
      <c r="Z400">
        <f>IF($P400="","",Shares!$H403)</f>
        <v/>
      </c>
      <c r="AE400">
        <f>IF(OR(Sync!$S400="",Sync!$P400=""),"",Sync!$S400)</f>
        <v/>
      </c>
      <c r="AF400">
        <f>IF($AE400="","",IF(ISNUMBER(Sync!$P400),IF(AND(Sync!$P400&gt;=10000101,Sync!$P400&lt;=99991231),INT(Sync!$P400/10000),""),IFERROR(VALUE(TRIM(LEFT(Sync!$P400,FIND("/",Sync!$P400)-1))),"")))</f>
        <v/>
      </c>
      <c r="AG400">
        <f>IF(OR($AE400="",$AF400=""),"",IF(ISNUMBER(Sync!$P400),INT(MOD(Sync!$P400,10000)/100),IFERROR(VALUE(TRIM(LEFT(MID(Sync!$P400,FIND("/",Sync!$P400)+1,20),FIND("/",MID(Sync!$P400,FIND("/",Sync!$P400)+1,20))-1))),"")))</f>
        <v/>
      </c>
      <c r="AH400">
        <f>IF(OR($AE400="",$AF400=""),"",IF(ISNUMBER(Sync!$P400),MOD(Sync!$P400,100),IFERROR(VALUE(TRIM(MID(MID(Sync!$P400,FIND("/",Sync!$P400)+1,20),FIND("/",MID(Sync!$P400,FIND("/",Sync!$P400)+1,20))+1,20))),"")))</f>
        <v/>
      </c>
      <c r="AI400">
        <f>IF($AE400="","",IF(OR($AF400="",$AG400="",$AH400="",$AF400&lt;1300,$AF400&gt;1500,$AG400&lt;1,$AG400&gt;12,$AH400&lt;1,$AH400&gt;31),"نامعتبر",RIGHT("0000"&amp;$AF400,4)&amp;"/"&amp;RIGHT("00"&amp;$AG400,2)&amp;"/"&amp;RIGHT("00"&amp;$AH400,2)))</f>
        <v/>
      </c>
      <c r="AJ400">
        <f>IF($AE400="","",IF(Sync!$Q400="","0000",IF(AND(ISNUMBER(Sync!$Q400),Sync!$Q400&gt;=0,Sync!$Q400&lt;1),RIGHT("00"&amp;HOUR(Sync!$Q400),2)&amp;RIGHT("00"&amp;MINUTE(Sync!$Q400),2),IFERROR(RIGHT("00"&amp;VALUE(LEFT(Sync!$Q400,FIND(":",Sync!$Q400)-1)),2)&amp;RIGHT("00"&amp;VALUE(MID(Sync!$Q400,FIND(":",Sync!$Q400)+1,2)),2),"0000"))))</f>
        <v/>
      </c>
      <c r="AK400">
        <f>IF(OR($AE400="",$AI400="",$AI400="نامعتبر"),"",LEFT($AI400,4)&amp;MID($AI400,6,2)&amp;RIGHT($AI400,2)&amp;$AJ400&amp;"|"&amp;"3"&amp;RIGHT("00000"&amp;395,5))</f>
        <v/>
      </c>
      <c r="AL400">
        <f>IF($AK400="","",COUNTIFS(LdAParty,$AE400,LdAType,1,LdAKey,"&lt;"&amp;$AK400)+COUNTIFS(LdBMember,$AE400,LdBKey,"&lt;"&amp;$AK400)+COUNTIFS(LdCParty,$AE400,LdCKey,"&lt;"&amp;$AK400)+1)</f>
        <v/>
      </c>
      <c r="AM400">
        <f>IF($AL400="","",$AE400&amp;"|"&amp;RIGHT("000000"&amp;$AL400,6))</f>
        <v/>
      </c>
      <c r="AN400">
        <f>IF($AE400="","",IF(Sync!$W400="",0,Sync!$W400))</f>
        <v/>
      </c>
      <c r="AO400">
        <f>IF($AE400="","",IF(Sync!$X400="",0,Sync!$X400))</f>
        <v/>
      </c>
      <c r="AP400">
        <f>IF($AE400="","",Sync!$R400)</f>
        <v/>
      </c>
      <c r="AQ400">
        <f>IF($AE400="","",Sync!$Y400)</f>
        <v/>
      </c>
    </row>
    <row r="401">
      <c r="A401">
        <f>IF(OR(Wages!$B404="",Wages!$E404=""),"",Wages!$E404)</f>
        <v/>
      </c>
      <c r="B401">
        <f>IF($A401="","",IF(Wages!$C404="دستمزد گروهی",2,1))</f>
        <v/>
      </c>
      <c r="C401">
        <f>IF($A401="","",IF(ISNUMBER(Wages!$B404),IF(AND(Wages!$B404&gt;=10000101,Wages!$B404&lt;=99991231),INT(Wages!$B404/10000),""),IFERROR(VALUE(TRIM(LEFT(Wages!$B404,FIND("/",Wages!$B404)-1))),"")))</f>
        <v/>
      </c>
      <c r="D401">
        <f>IF(OR($A401="",$C401=""),"",IF(ISNUMBER(Wages!$B404),INT(MOD(Wages!$B404,10000)/100),IFERROR(VALUE(TRIM(LEFT(MID(Wages!$B404,FIND("/",Wages!$B404)+1,20),FIND("/",MID(Wages!$B404,FIND("/",Wages!$B404)+1,20))-1))),"")))</f>
        <v/>
      </c>
      <c r="E401">
        <f>IF(OR($A401="",$C401=""),"",IF(ISNUMBER(Wages!$B404),MOD(Wages!$B404,100),IFERROR(VALUE(TRIM(MID(MID(Wages!$B404,FIND("/",Wages!$B404)+1,20),FIND("/",MID(Wages!$B404,FIND("/",Wages!$B404)+1,20))+1,20))),"")))</f>
        <v/>
      </c>
      <c r="F401">
        <f>IF($A401="","",IF(OR($C401="",$D401="",$E401="",$C401&lt;1300,$C401&gt;1500,$D401&lt;1,$D401&gt;12,$E401&lt;1,$E401&gt;31),"نامعتبر",RIGHT("0000"&amp;$C401,4)&amp;"/"&amp;RIGHT("00"&amp;$D401,2)&amp;"/"&amp;RIGHT("00"&amp;$E401,2)))</f>
        <v/>
      </c>
      <c r="G401">
        <f>IF(OR($A401="",$F401="",$F401="نامعتبر"),"",LEFT($F401,4)&amp;MID($F401,6,2)&amp;RIGHT($F401,2)&amp;"0000"&amp;"|"&amp;"1"&amp;RIGHT("00000"&amp;396,5))</f>
        <v/>
      </c>
      <c r="H401">
        <f>IF(OR($B401&lt;&gt;1,$G401=""),"",COUNTIFS(LdAParty,$A401,LdAType,1,LdAKey,"&lt;"&amp;$G401)+COUNTIFS(LdBMember,$A401,LdBKey,"&lt;"&amp;$G401)+COUNTIFS(LdCParty,$A401,LdCKey,"&lt;"&amp;$G401)+1)</f>
        <v/>
      </c>
      <c r="I401">
        <f>IF($H401="","",$A401&amp;"|"&amp;RIGHT("000000"&amp;$H401,6))</f>
        <v/>
      </c>
      <c r="J401">
        <f>IF(OR($B401&lt;&gt;2,$G401=""),"",COUNTIFS(LdAParty,$A401,LdAType,2,LdAKey,"&lt;"&amp;$G401)+1)</f>
        <v/>
      </c>
      <c r="K401">
        <f>IF($J401="","",$A401&amp;"|"&amp;RIGHT("000000"&amp;$J401,6))</f>
        <v/>
      </c>
      <c r="L401">
        <f>IF($A401="","",IF(Wages!$G404="",0,Wages!$G404))</f>
        <v/>
      </c>
      <c r="M401">
        <f>IF($A401="","",Wages!$J404)</f>
        <v/>
      </c>
      <c r="N401">
        <f>IF($A401="","",Wages!$D404)</f>
        <v/>
      </c>
      <c r="P401">
        <f>IF(OR(Shares!$B404="",Shares!$C404=""),"",Shares!$C404)</f>
        <v/>
      </c>
      <c r="Q401">
        <f>IF($P401="","",Shares!$B404)</f>
        <v/>
      </c>
      <c r="R401">
        <f>IF($P401="","",IFERROR(INDEX(WageParty,MATCH($Q401,WageIds,0)),""))</f>
        <v/>
      </c>
      <c r="S401">
        <f>IF($P401="","",IFERROR(INDEX($F$6:$F$2005,MATCH($Q401,WageIds,0)),""))</f>
        <v/>
      </c>
      <c r="T401">
        <f>IF(OR($P401="",$S401="",$S401="نامعتبر"),"",LEFT($S401,4)&amp;MID($S401,6,2)&amp;RIGHT($S401,2)&amp;"0000"&amp;"|"&amp;"2"&amp;RIGHT("00000"&amp;396,5))</f>
        <v/>
      </c>
      <c r="U401">
        <f>IF($T401="","",COUNTIFS(LdAParty,$P401,LdAType,1,LdAKey,"&lt;"&amp;$T401)+COUNTIFS(LdBMember,$P401,LdBKey,"&lt;"&amp;$T401)+COUNTIFS(LdCParty,$P401,LdCKey,"&lt;"&amp;$T401)+1)</f>
        <v/>
      </c>
      <c r="V401">
        <f>IF($U401="","",$P401&amp;"|"&amp;RIGHT("000000"&amp;$U401,6))</f>
        <v/>
      </c>
      <c r="W401">
        <f>IF($T401="","",COUNTIFS(LdBGroup,$R401,LdBKey,"&lt;"&amp;$T401)+1)</f>
        <v/>
      </c>
      <c r="X401">
        <f>IF($W401="","",$R401&amp;"|"&amp;RIGHT("000000"&amp;$W401,6))</f>
        <v/>
      </c>
      <c r="Y401">
        <f>IF($P401="","",IF(Shares!$E404="",0,Shares!$E404))</f>
        <v/>
      </c>
      <c r="Z401">
        <f>IF($P401="","",Shares!$H404)</f>
        <v/>
      </c>
      <c r="AE401">
        <f>IF(OR(Sync!$S401="",Sync!$P401=""),"",Sync!$S401)</f>
        <v/>
      </c>
      <c r="AF401">
        <f>IF($AE401="","",IF(ISNUMBER(Sync!$P401),IF(AND(Sync!$P401&gt;=10000101,Sync!$P401&lt;=99991231),INT(Sync!$P401/10000),""),IFERROR(VALUE(TRIM(LEFT(Sync!$P401,FIND("/",Sync!$P401)-1))),"")))</f>
        <v/>
      </c>
      <c r="AG401">
        <f>IF(OR($AE401="",$AF401=""),"",IF(ISNUMBER(Sync!$P401),INT(MOD(Sync!$P401,10000)/100),IFERROR(VALUE(TRIM(LEFT(MID(Sync!$P401,FIND("/",Sync!$P401)+1,20),FIND("/",MID(Sync!$P401,FIND("/",Sync!$P401)+1,20))-1))),"")))</f>
        <v/>
      </c>
      <c r="AH401">
        <f>IF(OR($AE401="",$AF401=""),"",IF(ISNUMBER(Sync!$P401),MOD(Sync!$P401,100),IFERROR(VALUE(TRIM(MID(MID(Sync!$P401,FIND("/",Sync!$P401)+1,20),FIND("/",MID(Sync!$P401,FIND("/",Sync!$P401)+1,20))+1,20))),"")))</f>
        <v/>
      </c>
      <c r="AI401">
        <f>IF($AE401="","",IF(OR($AF401="",$AG401="",$AH401="",$AF401&lt;1300,$AF401&gt;1500,$AG401&lt;1,$AG401&gt;12,$AH401&lt;1,$AH401&gt;31),"نامعتبر",RIGHT("0000"&amp;$AF401,4)&amp;"/"&amp;RIGHT("00"&amp;$AG401,2)&amp;"/"&amp;RIGHT("00"&amp;$AH401,2)))</f>
        <v/>
      </c>
      <c r="AJ401">
        <f>IF($AE401="","",IF(Sync!$Q401="","0000",IF(AND(ISNUMBER(Sync!$Q401),Sync!$Q401&gt;=0,Sync!$Q401&lt;1),RIGHT("00"&amp;HOUR(Sync!$Q401),2)&amp;RIGHT("00"&amp;MINUTE(Sync!$Q401),2),IFERROR(RIGHT("00"&amp;VALUE(LEFT(Sync!$Q401,FIND(":",Sync!$Q401)-1)),2)&amp;RIGHT("00"&amp;VALUE(MID(Sync!$Q401,FIND(":",Sync!$Q401)+1,2)),2),"0000"))))</f>
        <v/>
      </c>
      <c r="AK401">
        <f>IF(OR($AE401="",$AI401="",$AI401="نامعتبر"),"",LEFT($AI401,4)&amp;MID($AI401,6,2)&amp;RIGHT($AI401,2)&amp;$AJ401&amp;"|"&amp;"3"&amp;RIGHT("00000"&amp;396,5))</f>
        <v/>
      </c>
      <c r="AL401">
        <f>IF($AK401="","",COUNTIFS(LdAParty,$AE401,LdAType,1,LdAKey,"&lt;"&amp;$AK401)+COUNTIFS(LdBMember,$AE401,LdBKey,"&lt;"&amp;$AK401)+COUNTIFS(LdCParty,$AE401,LdCKey,"&lt;"&amp;$AK401)+1)</f>
        <v/>
      </c>
      <c r="AM401">
        <f>IF($AL401="","",$AE401&amp;"|"&amp;RIGHT("000000"&amp;$AL401,6))</f>
        <v/>
      </c>
      <c r="AN401">
        <f>IF($AE401="","",IF(Sync!$W401="",0,Sync!$W401))</f>
        <v/>
      </c>
      <c r="AO401">
        <f>IF($AE401="","",IF(Sync!$X401="",0,Sync!$X401))</f>
        <v/>
      </c>
      <c r="AP401">
        <f>IF($AE401="","",Sync!$R401)</f>
        <v/>
      </c>
      <c r="AQ401">
        <f>IF($AE401="","",Sync!$Y401)</f>
        <v/>
      </c>
    </row>
    <row r="402">
      <c r="A402">
        <f>IF(OR(Wages!$B405="",Wages!$E405=""),"",Wages!$E405)</f>
        <v/>
      </c>
      <c r="B402">
        <f>IF($A402="","",IF(Wages!$C405="دستمزد گروهی",2,1))</f>
        <v/>
      </c>
      <c r="C402">
        <f>IF($A402="","",IF(ISNUMBER(Wages!$B405),IF(AND(Wages!$B405&gt;=10000101,Wages!$B405&lt;=99991231),INT(Wages!$B405/10000),""),IFERROR(VALUE(TRIM(LEFT(Wages!$B405,FIND("/",Wages!$B405)-1))),"")))</f>
        <v/>
      </c>
      <c r="D402">
        <f>IF(OR($A402="",$C402=""),"",IF(ISNUMBER(Wages!$B405),INT(MOD(Wages!$B405,10000)/100),IFERROR(VALUE(TRIM(LEFT(MID(Wages!$B405,FIND("/",Wages!$B405)+1,20),FIND("/",MID(Wages!$B405,FIND("/",Wages!$B405)+1,20))-1))),"")))</f>
        <v/>
      </c>
      <c r="E402">
        <f>IF(OR($A402="",$C402=""),"",IF(ISNUMBER(Wages!$B405),MOD(Wages!$B405,100),IFERROR(VALUE(TRIM(MID(MID(Wages!$B405,FIND("/",Wages!$B405)+1,20),FIND("/",MID(Wages!$B405,FIND("/",Wages!$B405)+1,20))+1,20))),"")))</f>
        <v/>
      </c>
      <c r="F402">
        <f>IF($A402="","",IF(OR($C402="",$D402="",$E402="",$C402&lt;1300,$C402&gt;1500,$D402&lt;1,$D402&gt;12,$E402&lt;1,$E402&gt;31),"نامعتبر",RIGHT("0000"&amp;$C402,4)&amp;"/"&amp;RIGHT("00"&amp;$D402,2)&amp;"/"&amp;RIGHT("00"&amp;$E402,2)))</f>
        <v/>
      </c>
      <c r="G402">
        <f>IF(OR($A402="",$F402="",$F402="نامعتبر"),"",LEFT($F402,4)&amp;MID($F402,6,2)&amp;RIGHT($F402,2)&amp;"0000"&amp;"|"&amp;"1"&amp;RIGHT("00000"&amp;397,5))</f>
        <v/>
      </c>
      <c r="H402">
        <f>IF(OR($B402&lt;&gt;1,$G402=""),"",COUNTIFS(LdAParty,$A402,LdAType,1,LdAKey,"&lt;"&amp;$G402)+COUNTIFS(LdBMember,$A402,LdBKey,"&lt;"&amp;$G402)+COUNTIFS(LdCParty,$A402,LdCKey,"&lt;"&amp;$G402)+1)</f>
        <v/>
      </c>
      <c r="I402">
        <f>IF($H402="","",$A402&amp;"|"&amp;RIGHT("000000"&amp;$H402,6))</f>
        <v/>
      </c>
      <c r="J402">
        <f>IF(OR($B402&lt;&gt;2,$G402=""),"",COUNTIFS(LdAParty,$A402,LdAType,2,LdAKey,"&lt;"&amp;$G402)+1)</f>
        <v/>
      </c>
      <c r="K402">
        <f>IF($J402="","",$A402&amp;"|"&amp;RIGHT("000000"&amp;$J402,6))</f>
        <v/>
      </c>
      <c r="L402">
        <f>IF($A402="","",IF(Wages!$G405="",0,Wages!$G405))</f>
        <v/>
      </c>
      <c r="M402">
        <f>IF($A402="","",Wages!$J405)</f>
        <v/>
      </c>
      <c r="N402">
        <f>IF($A402="","",Wages!$D405)</f>
        <v/>
      </c>
      <c r="P402">
        <f>IF(OR(Shares!$B405="",Shares!$C405=""),"",Shares!$C405)</f>
        <v/>
      </c>
      <c r="Q402">
        <f>IF($P402="","",Shares!$B405)</f>
        <v/>
      </c>
      <c r="R402">
        <f>IF($P402="","",IFERROR(INDEX(WageParty,MATCH($Q402,WageIds,0)),""))</f>
        <v/>
      </c>
      <c r="S402">
        <f>IF($P402="","",IFERROR(INDEX($F$6:$F$2005,MATCH($Q402,WageIds,0)),""))</f>
        <v/>
      </c>
      <c r="T402">
        <f>IF(OR($P402="",$S402="",$S402="نامعتبر"),"",LEFT($S402,4)&amp;MID($S402,6,2)&amp;RIGHT($S402,2)&amp;"0000"&amp;"|"&amp;"2"&amp;RIGHT("00000"&amp;397,5))</f>
        <v/>
      </c>
      <c r="U402">
        <f>IF($T402="","",COUNTIFS(LdAParty,$P402,LdAType,1,LdAKey,"&lt;"&amp;$T402)+COUNTIFS(LdBMember,$P402,LdBKey,"&lt;"&amp;$T402)+COUNTIFS(LdCParty,$P402,LdCKey,"&lt;"&amp;$T402)+1)</f>
        <v/>
      </c>
      <c r="V402">
        <f>IF($U402="","",$P402&amp;"|"&amp;RIGHT("000000"&amp;$U402,6))</f>
        <v/>
      </c>
      <c r="W402">
        <f>IF($T402="","",COUNTIFS(LdBGroup,$R402,LdBKey,"&lt;"&amp;$T402)+1)</f>
        <v/>
      </c>
      <c r="X402">
        <f>IF($W402="","",$R402&amp;"|"&amp;RIGHT("000000"&amp;$W402,6))</f>
        <v/>
      </c>
      <c r="Y402">
        <f>IF($P402="","",IF(Shares!$E405="",0,Shares!$E405))</f>
        <v/>
      </c>
      <c r="Z402">
        <f>IF($P402="","",Shares!$H405)</f>
        <v/>
      </c>
      <c r="AE402">
        <f>IF(OR(Sync!$S402="",Sync!$P402=""),"",Sync!$S402)</f>
        <v/>
      </c>
      <c r="AF402">
        <f>IF($AE402="","",IF(ISNUMBER(Sync!$P402),IF(AND(Sync!$P402&gt;=10000101,Sync!$P402&lt;=99991231),INT(Sync!$P402/10000),""),IFERROR(VALUE(TRIM(LEFT(Sync!$P402,FIND("/",Sync!$P402)-1))),"")))</f>
        <v/>
      </c>
      <c r="AG402">
        <f>IF(OR($AE402="",$AF402=""),"",IF(ISNUMBER(Sync!$P402),INT(MOD(Sync!$P402,10000)/100),IFERROR(VALUE(TRIM(LEFT(MID(Sync!$P402,FIND("/",Sync!$P402)+1,20),FIND("/",MID(Sync!$P402,FIND("/",Sync!$P402)+1,20))-1))),"")))</f>
        <v/>
      </c>
      <c r="AH402">
        <f>IF(OR($AE402="",$AF402=""),"",IF(ISNUMBER(Sync!$P402),MOD(Sync!$P402,100),IFERROR(VALUE(TRIM(MID(MID(Sync!$P402,FIND("/",Sync!$P402)+1,20),FIND("/",MID(Sync!$P402,FIND("/",Sync!$P402)+1,20))+1,20))),"")))</f>
        <v/>
      </c>
      <c r="AI402">
        <f>IF($AE402="","",IF(OR($AF402="",$AG402="",$AH402="",$AF402&lt;1300,$AF402&gt;1500,$AG402&lt;1,$AG402&gt;12,$AH402&lt;1,$AH402&gt;31),"نامعتبر",RIGHT("0000"&amp;$AF402,4)&amp;"/"&amp;RIGHT("00"&amp;$AG402,2)&amp;"/"&amp;RIGHT("00"&amp;$AH402,2)))</f>
        <v/>
      </c>
      <c r="AJ402">
        <f>IF($AE402="","",IF(Sync!$Q402="","0000",IF(AND(ISNUMBER(Sync!$Q402),Sync!$Q402&gt;=0,Sync!$Q402&lt;1),RIGHT("00"&amp;HOUR(Sync!$Q402),2)&amp;RIGHT("00"&amp;MINUTE(Sync!$Q402),2),IFERROR(RIGHT("00"&amp;VALUE(LEFT(Sync!$Q402,FIND(":",Sync!$Q402)-1)),2)&amp;RIGHT("00"&amp;VALUE(MID(Sync!$Q402,FIND(":",Sync!$Q402)+1,2)),2),"0000"))))</f>
        <v/>
      </c>
      <c r="AK402">
        <f>IF(OR($AE402="",$AI402="",$AI402="نامعتبر"),"",LEFT($AI402,4)&amp;MID($AI402,6,2)&amp;RIGHT($AI402,2)&amp;$AJ402&amp;"|"&amp;"3"&amp;RIGHT("00000"&amp;397,5))</f>
        <v/>
      </c>
      <c r="AL402">
        <f>IF($AK402="","",COUNTIFS(LdAParty,$AE402,LdAType,1,LdAKey,"&lt;"&amp;$AK402)+COUNTIFS(LdBMember,$AE402,LdBKey,"&lt;"&amp;$AK402)+COUNTIFS(LdCParty,$AE402,LdCKey,"&lt;"&amp;$AK402)+1)</f>
        <v/>
      </c>
      <c r="AM402">
        <f>IF($AL402="","",$AE402&amp;"|"&amp;RIGHT("000000"&amp;$AL402,6))</f>
        <v/>
      </c>
      <c r="AN402">
        <f>IF($AE402="","",IF(Sync!$W402="",0,Sync!$W402))</f>
        <v/>
      </c>
      <c r="AO402">
        <f>IF($AE402="","",IF(Sync!$X402="",0,Sync!$X402))</f>
        <v/>
      </c>
      <c r="AP402">
        <f>IF($AE402="","",Sync!$R402)</f>
        <v/>
      </c>
      <c r="AQ402">
        <f>IF($AE402="","",Sync!$Y402)</f>
        <v/>
      </c>
    </row>
    <row r="403">
      <c r="A403">
        <f>IF(OR(Wages!$B406="",Wages!$E406=""),"",Wages!$E406)</f>
        <v/>
      </c>
      <c r="B403">
        <f>IF($A403="","",IF(Wages!$C406="دستمزد گروهی",2,1))</f>
        <v/>
      </c>
      <c r="C403">
        <f>IF($A403="","",IF(ISNUMBER(Wages!$B406),IF(AND(Wages!$B406&gt;=10000101,Wages!$B406&lt;=99991231),INT(Wages!$B406/10000),""),IFERROR(VALUE(TRIM(LEFT(Wages!$B406,FIND("/",Wages!$B406)-1))),"")))</f>
        <v/>
      </c>
      <c r="D403">
        <f>IF(OR($A403="",$C403=""),"",IF(ISNUMBER(Wages!$B406),INT(MOD(Wages!$B406,10000)/100),IFERROR(VALUE(TRIM(LEFT(MID(Wages!$B406,FIND("/",Wages!$B406)+1,20),FIND("/",MID(Wages!$B406,FIND("/",Wages!$B406)+1,20))-1))),"")))</f>
        <v/>
      </c>
      <c r="E403">
        <f>IF(OR($A403="",$C403=""),"",IF(ISNUMBER(Wages!$B406),MOD(Wages!$B406,100),IFERROR(VALUE(TRIM(MID(MID(Wages!$B406,FIND("/",Wages!$B406)+1,20),FIND("/",MID(Wages!$B406,FIND("/",Wages!$B406)+1,20))+1,20))),"")))</f>
        <v/>
      </c>
      <c r="F403">
        <f>IF($A403="","",IF(OR($C403="",$D403="",$E403="",$C403&lt;1300,$C403&gt;1500,$D403&lt;1,$D403&gt;12,$E403&lt;1,$E403&gt;31),"نامعتبر",RIGHT("0000"&amp;$C403,4)&amp;"/"&amp;RIGHT("00"&amp;$D403,2)&amp;"/"&amp;RIGHT("00"&amp;$E403,2)))</f>
        <v/>
      </c>
      <c r="G403">
        <f>IF(OR($A403="",$F403="",$F403="نامعتبر"),"",LEFT($F403,4)&amp;MID($F403,6,2)&amp;RIGHT($F403,2)&amp;"0000"&amp;"|"&amp;"1"&amp;RIGHT("00000"&amp;398,5))</f>
        <v/>
      </c>
      <c r="H403">
        <f>IF(OR($B403&lt;&gt;1,$G403=""),"",COUNTIFS(LdAParty,$A403,LdAType,1,LdAKey,"&lt;"&amp;$G403)+COUNTIFS(LdBMember,$A403,LdBKey,"&lt;"&amp;$G403)+COUNTIFS(LdCParty,$A403,LdCKey,"&lt;"&amp;$G403)+1)</f>
        <v/>
      </c>
      <c r="I403">
        <f>IF($H403="","",$A403&amp;"|"&amp;RIGHT("000000"&amp;$H403,6))</f>
        <v/>
      </c>
      <c r="J403">
        <f>IF(OR($B403&lt;&gt;2,$G403=""),"",COUNTIFS(LdAParty,$A403,LdAType,2,LdAKey,"&lt;"&amp;$G403)+1)</f>
        <v/>
      </c>
      <c r="K403">
        <f>IF($J403="","",$A403&amp;"|"&amp;RIGHT("000000"&amp;$J403,6))</f>
        <v/>
      </c>
      <c r="L403">
        <f>IF($A403="","",IF(Wages!$G406="",0,Wages!$G406))</f>
        <v/>
      </c>
      <c r="M403">
        <f>IF($A403="","",Wages!$J406)</f>
        <v/>
      </c>
      <c r="N403">
        <f>IF($A403="","",Wages!$D406)</f>
        <v/>
      </c>
      <c r="P403">
        <f>IF(OR(Shares!$B406="",Shares!$C406=""),"",Shares!$C406)</f>
        <v/>
      </c>
      <c r="Q403">
        <f>IF($P403="","",Shares!$B406)</f>
        <v/>
      </c>
      <c r="R403">
        <f>IF($P403="","",IFERROR(INDEX(WageParty,MATCH($Q403,WageIds,0)),""))</f>
        <v/>
      </c>
      <c r="S403">
        <f>IF($P403="","",IFERROR(INDEX($F$6:$F$2005,MATCH($Q403,WageIds,0)),""))</f>
        <v/>
      </c>
      <c r="T403">
        <f>IF(OR($P403="",$S403="",$S403="نامعتبر"),"",LEFT($S403,4)&amp;MID($S403,6,2)&amp;RIGHT($S403,2)&amp;"0000"&amp;"|"&amp;"2"&amp;RIGHT("00000"&amp;398,5))</f>
        <v/>
      </c>
      <c r="U403">
        <f>IF($T403="","",COUNTIFS(LdAParty,$P403,LdAType,1,LdAKey,"&lt;"&amp;$T403)+COUNTIFS(LdBMember,$P403,LdBKey,"&lt;"&amp;$T403)+COUNTIFS(LdCParty,$P403,LdCKey,"&lt;"&amp;$T403)+1)</f>
        <v/>
      </c>
      <c r="V403">
        <f>IF($U403="","",$P403&amp;"|"&amp;RIGHT("000000"&amp;$U403,6))</f>
        <v/>
      </c>
      <c r="W403">
        <f>IF($T403="","",COUNTIFS(LdBGroup,$R403,LdBKey,"&lt;"&amp;$T403)+1)</f>
        <v/>
      </c>
      <c r="X403">
        <f>IF($W403="","",$R403&amp;"|"&amp;RIGHT("000000"&amp;$W403,6))</f>
        <v/>
      </c>
      <c r="Y403">
        <f>IF($P403="","",IF(Shares!$E406="",0,Shares!$E406))</f>
        <v/>
      </c>
      <c r="Z403">
        <f>IF($P403="","",Shares!$H406)</f>
        <v/>
      </c>
      <c r="AE403">
        <f>IF(OR(Sync!$S403="",Sync!$P403=""),"",Sync!$S403)</f>
        <v/>
      </c>
      <c r="AF403">
        <f>IF($AE403="","",IF(ISNUMBER(Sync!$P403),IF(AND(Sync!$P403&gt;=10000101,Sync!$P403&lt;=99991231),INT(Sync!$P403/10000),""),IFERROR(VALUE(TRIM(LEFT(Sync!$P403,FIND("/",Sync!$P403)-1))),"")))</f>
        <v/>
      </c>
      <c r="AG403">
        <f>IF(OR($AE403="",$AF403=""),"",IF(ISNUMBER(Sync!$P403),INT(MOD(Sync!$P403,10000)/100),IFERROR(VALUE(TRIM(LEFT(MID(Sync!$P403,FIND("/",Sync!$P403)+1,20),FIND("/",MID(Sync!$P403,FIND("/",Sync!$P403)+1,20))-1))),"")))</f>
        <v/>
      </c>
      <c r="AH403">
        <f>IF(OR($AE403="",$AF403=""),"",IF(ISNUMBER(Sync!$P403),MOD(Sync!$P403,100),IFERROR(VALUE(TRIM(MID(MID(Sync!$P403,FIND("/",Sync!$P403)+1,20),FIND("/",MID(Sync!$P403,FIND("/",Sync!$P403)+1,20))+1,20))),"")))</f>
        <v/>
      </c>
      <c r="AI403">
        <f>IF($AE403="","",IF(OR($AF403="",$AG403="",$AH403="",$AF403&lt;1300,$AF403&gt;1500,$AG403&lt;1,$AG403&gt;12,$AH403&lt;1,$AH403&gt;31),"نامعتبر",RIGHT("0000"&amp;$AF403,4)&amp;"/"&amp;RIGHT("00"&amp;$AG403,2)&amp;"/"&amp;RIGHT("00"&amp;$AH403,2)))</f>
        <v/>
      </c>
      <c r="AJ403">
        <f>IF($AE403="","",IF(Sync!$Q403="","0000",IF(AND(ISNUMBER(Sync!$Q403),Sync!$Q403&gt;=0,Sync!$Q403&lt;1),RIGHT("00"&amp;HOUR(Sync!$Q403),2)&amp;RIGHT("00"&amp;MINUTE(Sync!$Q403),2),IFERROR(RIGHT("00"&amp;VALUE(LEFT(Sync!$Q403,FIND(":",Sync!$Q403)-1)),2)&amp;RIGHT("00"&amp;VALUE(MID(Sync!$Q403,FIND(":",Sync!$Q403)+1,2)),2),"0000"))))</f>
        <v/>
      </c>
      <c r="AK403">
        <f>IF(OR($AE403="",$AI403="",$AI403="نامعتبر"),"",LEFT($AI403,4)&amp;MID($AI403,6,2)&amp;RIGHT($AI403,2)&amp;$AJ403&amp;"|"&amp;"3"&amp;RIGHT("00000"&amp;398,5))</f>
        <v/>
      </c>
      <c r="AL403">
        <f>IF($AK403="","",COUNTIFS(LdAParty,$AE403,LdAType,1,LdAKey,"&lt;"&amp;$AK403)+COUNTIFS(LdBMember,$AE403,LdBKey,"&lt;"&amp;$AK403)+COUNTIFS(LdCParty,$AE403,LdCKey,"&lt;"&amp;$AK403)+1)</f>
        <v/>
      </c>
      <c r="AM403">
        <f>IF($AL403="","",$AE403&amp;"|"&amp;RIGHT("000000"&amp;$AL403,6))</f>
        <v/>
      </c>
      <c r="AN403">
        <f>IF($AE403="","",IF(Sync!$W403="",0,Sync!$W403))</f>
        <v/>
      </c>
      <c r="AO403">
        <f>IF($AE403="","",IF(Sync!$X403="",0,Sync!$X403))</f>
        <v/>
      </c>
      <c r="AP403">
        <f>IF($AE403="","",Sync!$R403)</f>
        <v/>
      </c>
      <c r="AQ403">
        <f>IF($AE403="","",Sync!$Y403)</f>
        <v/>
      </c>
    </row>
    <row r="404">
      <c r="A404">
        <f>IF(OR(Wages!$B407="",Wages!$E407=""),"",Wages!$E407)</f>
        <v/>
      </c>
      <c r="B404">
        <f>IF($A404="","",IF(Wages!$C407="دستمزد گروهی",2,1))</f>
        <v/>
      </c>
      <c r="C404">
        <f>IF($A404="","",IF(ISNUMBER(Wages!$B407),IF(AND(Wages!$B407&gt;=10000101,Wages!$B407&lt;=99991231),INT(Wages!$B407/10000),""),IFERROR(VALUE(TRIM(LEFT(Wages!$B407,FIND("/",Wages!$B407)-1))),"")))</f>
        <v/>
      </c>
      <c r="D404">
        <f>IF(OR($A404="",$C404=""),"",IF(ISNUMBER(Wages!$B407),INT(MOD(Wages!$B407,10000)/100),IFERROR(VALUE(TRIM(LEFT(MID(Wages!$B407,FIND("/",Wages!$B407)+1,20),FIND("/",MID(Wages!$B407,FIND("/",Wages!$B407)+1,20))-1))),"")))</f>
        <v/>
      </c>
      <c r="E404">
        <f>IF(OR($A404="",$C404=""),"",IF(ISNUMBER(Wages!$B407),MOD(Wages!$B407,100),IFERROR(VALUE(TRIM(MID(MID(Wages!$B407,FIND("/",Wages!$B407)+1,20),FIND("/",MID(Wages!$B407,FIND("/",Wages!$B407)+1,20))+1,20))),"")))</f>
        <v/>
      </c>
      <c r="F404">
        <f>IF($A404="","",IF(OR($C404="",$D404="",$E404="",$C404&lt;1300,$C404&gt;1500,$D404&lt;1,$D404&gt;12,$E404&lt;1,$E404&gt;31),"نامعتبر",RIGHT("0000"&amp;$C404,4)&amp;"/"&amp;RIGHT("00"&amp;$D404,2)&amp;"/"&amp;RIGHT("00"&amp;$E404,2)))</f>
        <v/>
      </c>
      <c r="G404">
        <f>IF(OR($A404="",$F404="",$F404="نامعتبر"),"",LEFT($F404,4)&amp;MID($F404,6,2)&amp;RIGHT($F404,2)&amp;"0000"&amp;"|"&amp;"1"&amp;RIGHT("00000"&amp;399,5))</f>
        <v/>
      </c>
      <c r="H404">
        <f>IF(OR($B404&lt;&gt;1,$G404=""),"",COUNTIFS(LdAParty,$A404,LdAType,1,LdAKey,"&lt;"&amp;$G404)+COUNTIFS(LdBMember,$A404,LdBKey,"&lt;"&amp;$G404)+COUNTIFS(LdCParty,$A404,LdCKey,"&lt;"&amp;$G404)+1)</f>
        <v/>
      </c>
      <c r="I404">
        <f>IF($H404="","",$A404&amp;"|"&amp;RIGHT("000000"&amp;$H404,6))</f>
        <v/>
      </c>
      <c r="J404">
        <f>IF(OR($B404&lt;&gt;2,$G404=""),"",COUNTIFS(LdAParty,$A404,LdAType,2,LdAKey,"&lt;"&amp;$G404)+1)</f>
        <v/>
      </c>
      <c r="K404">
        <f>IF($J404="","",$A404&amp;"|"&amp;RIGHT("000000"&amp;$J404,6))</f>
        <v/>
      </c>
      <c r="L404">
        <f>IF($A404="","",IF(Wages!$G407="",0,Wages!$G407))</f>
        <v/>
      </c>
      <c r="M404">
        <f>IF($A404="","",Wages!$J407)</f>
        <v/>
      </c>
      <c r="N404">
        <f>IF($A404="","",Wages!$D407)</f>
        <v/>
      </c>
      <c r="P404">
        <f>IF(OR(Shares!$B407="",Shares!$C407=""),"",Shares!$C407)</f>
        <v/>
      </c>
      <c r="Q404">
        <f>IF($P404="","",Shares!$B407)</f>
        <v/>
      </c>
      <c r="R404">
        <f>IF($P404="","",IFERROR(INDEX(WageParty,MATCH($Q404,WageIds,0)),""))</f>
        <v/>
      </c>
      <c r="S404">
        <f>IF($P404="","",IFERROR(INDEX($F$6:$F$2005,MATCH($Q404,WageIds,0)),""))</f>
        <v/>
      </c>
      <c r="T404">
        <f>IF(OR($P404="",$S404="",$S404="نامعتبر"),"",LEFT($S404,4)&amp;MID($S404,6,2)&amp;RIGHT($S404,2)&amp;"0000"&amp;"|"&amp;"2"&amp;RIGHT("00000"&amp;399,5))</f>
        <v/>
      </c>
      <c r="U404">
        <f>IF($T404="","",COUNTIFS(LdAParty,$P404,LdAType,1,LdAKey,"&lt;"&amp;$T404)+COUNTIFS(LdBMember,$P404,LdBKey,"&lt;"&amp;$T404)+COUNTIFS(LdCParty,$P404,LdCKey,"&lt;"&amp;$T404)+1)</f>
        <v/>
      </c>
      <c r="V404">
        <f>IF($U404="","",$P404&amp;"|"&amp;RIGHT("000000"&amp;$U404,6))</f>
        <v/>
      </c>
      <c r="W404">
        <f>IF($T404="","",COUNTIFS(LdBGroup,$R404,LdBKey,"&lt;"&amp;$T404)+1)</f>
        <v/>
      </c>
      <c r="X404">
        <f>IF($W404="","",$R404&amp;"|"&amp;RIGHT("000000"&amp;$W404,6))</f>
        <v/>
      </c>
      <c r="Y404">
        <f>IF($P404="","",IF(Shares!$E407="",0,Shares!$E407))</f>
        <v/>
      </c>
      <c r="Z404">
        <f>IF($P404="","",Shares!$H407)</f>
        <v/>
      </c>
      <c r="AE404">
        <f>IF(OR(Sync!$S404="",Sync!$P404=""),"",Sync!$S404)</f>
        <v/>
      </c>
      <c r="AF404">
        <f>IF($AE404="","",IF(ISNUMBER(Sync!$P404),IF(AND(Sync!$P404&gt;=10000101,Sync!$P404&lt;=99991231),INT(Sync!$P404/10000),""),IFERROR(VALUE(TRIM(LEFT(Sync!$P404,FIND("/",Sync!$P404)-1))),"")))</f>
        <v/>
      </c>
      <c r="AG404">
        <f>IF(OR($AE404="",$AF404=""),"",IF(ISNUMBER(Sync!$P404),INT(MOD(Sync!$P404,10000)/100),IFERROR(VALUE(TRIM(LEFT(MID(Sync!$P404,FIND("/",Sync!$P404)+1,20),FIND("/",MID(Sync!$P404,FIND("/",Sync!$P404)+1,20))-1))),"")))</f>
        <v/>
      </c>
      <c r="AH404">
        <f>IF(OR($AE404="",$AF404=""),"",IF(ISNUMBER(Sync!$P404),MOD(Sync!$P404,100),IFERROR(VALUE(TRIM(MID(MID(Sync!$P404,FIND("/",Sync!$P404)+1,20),FIND("/",MID(Sync!$P404,FIND("/",Sync!$P404)+1,20))+1,20))),"")))</f>
        <v/>
      </c>
      <c r="AI404">
        <f>IF($AE404="","",IF(OR($AF404="",$AG404="",$AH404="",$AF404&lt;1300,$AF404&gt;1500,$AG404&lt;1,$AG404&gt;12,$AH404&lt;1,$AH404&gt;31),"نامعتبر",RIGHT("0000"&amp;$AF404,4)&amp;"/"&amp;RIGHT("00"&amp;$AG404,2)&amp;"/"&amp;RIGHT("00"&amp;$AH404,2)))</f>
        <v/>
      </c>
      <c r="AJ404">
        <f>IF($AE404="","",IF(Sync!$Q404="","0000",IF(AND(ISNUMBER(Sync!$Q404),Sync!$Q404&gt;=0,Sync!$Q404&lt;1),RIGHT("00"&amp;HOUR(Sync!$Q404),2)&amp;RIGHT("00"&amp;MINUTE(Sync!$Q404),2),IFERROR(RIGHT("00"&amp;VALUE(LEFT(Sync!$Q404,FIND(":",Sync!$Q404)-1)),2)&amp;RIGHT("00"&amp;VALUE(MID(Sync!$Q404,FIND(":",Sync!$Q404)+1,2)),2),"0000"))))</f>
        <v/>
      </c>
      <c r="AK404">
        <f>IF(OR($AE404="",$AI404="",$AI404="نامعتبر"),"",LEFT($AI404,4)&amp;MID($AI404,6,2)&amp;RIGHT($AI404,2)&amp;$AJ404&amp;"|"&amp;"3"&amp;RIGHT("00000"&amp;399,5))</f>
        <v/>
      </c>
      <c r="AL404">
        <f>IF($AK404="","",COUNTIFS(LdAParty,$AE404,LdAType,1,LdAKey,"&lt;"&amp;$AK404)+COUNTIFS(LdBMember,$AE404,LdBKey,"&lt;"&amp;$AK404)+COUNTIFS(LdCParty,$AE404,LdCKey,"&lt;"&amp;$AK404)+1)</f>
        <v/>
      </c>
      <c r="AM404">
        <f>IF($AL404="","",$AE404&amp;"|"&amp;RIGHT("000000"&amp;$AL404,6))</f>
        <v/>
      </c>
      <c r="AN404">
        <f>IF($AE404="","",IF(Sync!$W404="",0,Sync!$W404))</f>
        <v/>
      </c>
      <c r="AO404">
        <f>IF($AE404="","",IF(Sync!$X404="",0,Sync!$X404))</f>
        <v/>
      </c>
      <c r="AP404">
        <f>IF($AE404="","",Sync!$R404)</f>
        <v/>
      </c>
      <c r="AQ404">
        <f>IF($AE404="","",Sync!$Y404)</f>
        <v/>
      </c>
    </row>
    <row r="405">
      <c r="A405">
        <f>IF(OR(Wages!$B408="",Wages!$E408=""),"",Wages!$E408)</f>
        <v/>
      </c>
      <c r="B405">
        <f>IF($A405="","",IF(Wages!$C408="دستمزد گروهی",2,1))</f>
        <v/>
      </c>
      <c r="C405">
        <f>IF($A405="","",IF(ISNUMBER(Wages!$B408),IF(AND(Wages!$B408&gt;=10000101,Wages!$B408&lt;=99991231),INT(Wages!$B408/10000),""),IFERROR(VALUE(TRIM(LEFT(Wages!$B408,FIND("/",Wages!$B408)-1))),"")))</f>
        <v/>
      </c>
      <c r="D405">
        <f>IF(OR($A405="",$C405=""),"",IF(ISNUMBER(Wages!$B408),INT(MOD(Wages!$B408,10000)/100),IFERROR(VALUE(TRIM(LEFT(MID(Wages!$B408,FIND("/",Wages!$B408)+1,20),FIND("/",MID(Wages!$B408,FIND("/",Wages!$B408)+1,20))-1))),"")))</f>
        <v/>
      </c>
      <c r="E405">
        <f>IF(OR($A405="",$C405=""),"",IF(ISNUMBER(Wages!$B408),MOD(Wages!$B408,100),IFERROR(VALUE(TRIM(MID(MID(Wages!$B408,FIND("/",Wages!$B408)+1,20),FIND("/",MID(Wages!$B408,FIND("/",Wages!$B408)+1,20))+1,20))),"")))</f>
        <v/>
      </c>
      <c r="F405">
        <f>IF($A405="","",IF(OR($C405="",$D405="",$E405="",$C405&lt;1300,$C405&gt;1500,$D405&lt;1,$D405&gt;12,$E405&lt;1,$E405&gt;31),"نامعتبر",RIGHT("0000"&amp;$C405,4)&amp;"/"&amp;RIGHT("00"&amp;$D405,2)&amp;"/"&amp;RIGHT("00"&amp;$E405,2)))</f>
        <v/>
      </c>
      <c r="G405">
        <f>IF(OR($A405="",$F405="",$F405="نامعتبر"),"",LEFT($F405,4)&amp;MID($F405,6,2)&amp;RIGHT($F405,2)&amp;"0000"&amp;"|"&amp;"1"&amp;RIGHT("00000"&amp;400,5))</f>
        <v/>
      </c>
      <c r="H405">
        <f>IF(OR($B405&lt;&gt;1,$G405=""),"",COUNTIFS(LdAParty,$A405,LdAType,1,LdAKey,"&lt;"&amp;$G405)+COUNTIFS(LdBMember,$A405,LdBKey,"&lt;"&amp;$G405)+COUNTIFS(LdCParty,$A405,LdCKey,"&lt;"&amp;$G405)+1)</f>
        <v/>
      </c>
      <c r="I405">
        <f>IF($H405="","",$A405&amp;"|"&amp;RIGHT("000000"&amp;$H405,6))</f>
        <v/>
      </c>
      <c r="J405">
        <f>IF(OR($B405&lt;&gt;2,$G405=""),"",COUNTIFS(LdAParty,$A405,LdAType,2,LdAKey,"&lt;"&amp;$G405)+1)</f>
        <v/>
      </c>
      <c r="K405">
        <f>IF($J405="","",$A405&amp;"|"&amp;RIGHT("000000"&amp;$J405,6))</f>
        <v/>
      </c>
      <c r="L405">
        <f>IF($A405="","",IF(Wages!$G408="",0,Wages!$G408))</f>
        <v/>
      </c>
      <c r="M405">
        <f>IF($A405="","",Wages!$J408)</f>
        <v/>
      </c>
      <c r="N405">
        <f>IF($A405="","",Wages!$D408)</f>
        <v/>
      </c>
      <c r="P405">
        <f>IF(OR(Shares!$B408="",Shares!$C408=""),"",Shares!$C408)</f>
        <v/>
      </c>
      <c r="Q405">
        <f>IF($P405="","",Shares!$B408)</f>
        <v/>
      </c>
      <c r="R405">
        <f>IF($P405="","",IFERROR(INDEX(WageParty,MATCH($Q405,WageIds,0)),""))</f>
        <v/>
      </c>
      <c r="S405">
        <f>IF($P405="","",IFERROR(INDEX($F$6:$F$2005,MATCH($Q405,WageIds,0)),""))</f>
        <v/>
      </c>
      <c r="T405">
        <f>IF(OR($P405="",$S405="",$S405="نامعتبر"),"",LEFT($S405,4)&amp;MID($S405,6,2)&amp;RIGHT($S405,2)&amp;"0000"&amp;"|"&amp;"2"&amp;RIGHT("00000"&amp;400,5))</f>
        <v/>
      </c>
      <c r="U405">
        <f>IF($T405="","",COUNTIFS(LdAParty,$P405,LdAType,1,LdAKey,"&lt;"&amp;$T405)+COUNTIFS(LdBMember,$P405,LdBKey,"&lt;"&amp;$T405)+COUNTIFS(LdCParty,$P405,LdCKey,"&lt;"&amp;$T405)+1)</f>
        <v/>
      </c>
      <c r="V405">
        <f>IF($U405="","",$P405&amp;"|"&amp;RIGHT("000000"&amp;$U405,6))</f>
        <v/>
      </c>
      <c r="W405">
        <f>IF($T405="","",COUNTIFS(LdBGroup,$R405,LdBKey,"&lt;"&amp;$T405)+1)</f>
        <v/>
      </c>
      <c r="X405">
        <f>IF($W405="","",$R405&amp;"|"&amp;RIGHT("000000"&amp;$W405,6))</f>
        <v/>
      </c>
      <c r="Y405">
        <f>IF($P405="","",IF(Shares!$E408="",0,Shares!$E408))</f>
        <v/>
      </c>
      <c r="Z405">
        <f>IF($P405="","",Shares!$H408)</f>
        <v/>
      </c>
      <c r="AE405">
        <f>IF(OR(Sync!$S405="",Sync!$P405=""),"",Sync!$S405)</f>
        <v/>
      </c>
      <c r="AF405">
        <f>IF($AE405="","",IF(ISNUMBER(Sync!$P405),IF(AND(Sync!$P405&gt;=10000101,Sync!$P405&lt;=99991231),INT(Sync!$P405/10000),""),IFERROR(VALUE(TRIM(LEFT(Sync!$P405,FIND("/",Sync!$P405)-1))),"")))</f>
        <v/>
      </c>
      <c r="AG405">
        <f>IF(OR($AE405="",$AF405=""),"",IF(ISNUMBER(Sync!$P405),INT(MOD(Sync!$P405,10000)/100),IFERROR(VALUE(TRIM(LEFT(MID(Sync!$P405,FIND("/",Sync!$P405)+1,20),FIND("/",MID(Sync!$P405,FIND("/",Sync!$P405)+1,20))-1))),"")))</f>
        <v/>
      </c>
      <c r="AH405">
        <f>IF(OR($AE405="",$AF405=""),"",IF(ISNUMBER(Sync!$P405),MOD(Sync!$P405,100),IFERROR(VALUE(TRIM(MID(MID(Sync!$P405,FIND("/",Sync!$P405)+1,20),FIND("/",MID(Sync!$P405,FIND("/",Sync!$P405)+1,20))+1,20))),"")))</f>
        <v/>
      </c>
      <c r="AI405">
        <f>IF($AE405="","",IF(OR($AF405="",$AG405="",$AH405="",$AF405&lt;1300,$AF405&gt;1500,$AG405&lt;1,$AG405&gt;12,$AH405&lt;1,$AH405&gt;31),"نامعتبر",RIGHT("0000"&amp;$AF405,4)&amp;"/"&amp;RIGHT("00"&amp;$AG405,2)&amp;"/"&amp;RIGHT("00"&amp;$AH405,2)))</f>
        <v/>
      </c>
      <c r="AJ405">
        <f>IF($AE405="","",IF(Sync!$Q405="","0000",IF(AND(ISNUMBER(Sync!$Q405),Sync!$Q405&gt;=0,Sync!$Q405&lt;1),RIGHT("00"&amp;HOUR(Sync!$Q405),2)&amp;RIGHT("00"&amp;MINUTE(Sync!$Q405),2),IFERROR(RIGHT("00"&amp;VALUE(LEFT(Sync!$Q405,FIND(":",Sync!$Q405)-1)),2)&amp;RIGHT("00"&amp;VALUE(MID(Sync!$Q405,FIND(":",Sync!$Q405)+1,2)),2),"0000"))))</f>
        <v/>
      </c>
      <c r="AK405">
        <f>IF(OR($AE405="",$AI405="",$AI405="نامعتبر"),"",LEFT($AI405,4)&amp;MID($AI405,6,2)&amp;RIGHT($AI405,2)&amp;$AJ405&amp;"|"&amp;"3"&amp;RIGHT("00000"&amp;400,5))</f>
        <v/>
      </c>
      <c r="AL405">
        <f>IF($AK405="","",COUNTIFS(LdAParty,$AE405,LdAType,1,LdAKey,"&lt;"&amp;$AK405)+COUNTIFS(LdBMember,$AE405,LdBKey,"&lt;"&amp;$AK405)+COUNTIFS(LdCParty,$AE405,LdCKey,"&lt;"&amp;$AK405)+1)</f>
        <v/>
      </c>
      <c r="AM405">
        <f>IF($AL405="","",$AE405&amp;"|"&amp;RIGHT("000000"&amp;$AL405,6))</f>
        <v/>
      </c>
      <c r="AN405">
        <f>IF($AE405="","",IF(Sync!$W405="",0,Sync!$W405))</f>
        <v/>
      </c>
      <c r="AO405">
        <f>IF($AE405="","",IF(Sync!$X405="",0,Sync!$X405))</f>
        <v/>
      </c>
      <c r="AP405">
        <f>IF($AE405="","",Sync!$R405)</f>
        <v/>
      </c>
      <c r="AQ405">
        <f>IF($AE405="","",Sync!$Y405)</f>
        <v/>
      </c>
    </row>
    <row r="406">
      <c r="A406">
        <f>IF(OR(Wages!$B409="",Wages!$E409=""),"",Wages!$E409)</f>
        <v/>
      </c>
      <c r="B406">
        <f>IF($A406="","",IF(Wages!$C409="دستمزد گروهی",2,1))</f>
        <v/>
      </c>
      <c r="C406">
        <f>IF($A406="","",IF(ISNUMBER(Wages!$B409),IF(AND(Wages!$B409&gt;=10000101,Wages!$B409&lt;=99991231),INT(Wages!$B409/10000),""),IFERROR(VALUE(TRIM(LEFT(Wages!$B409,FIND("/",Wages!$B409)-1))),"")))</f>
        <v/>
      </c>
      <c r="D406">
        <f>IF(OR($A406="",$C406=""),"",IF(ISNUMBER(Wages!$B409),INT(MOD(Wages!$B409,10000)/100),IFERROR(VALUE(TRIM(LEFT(MID(Wages!$B409,FIND("/",Wages!$B409)+1,20),FIND("/",MID(Wages!$B409,FIND("/",Wages!$B409)+1,20))-1))),"")))</f>
        <v/>
      </c>
      <c r="E406">
        <f>IF(OR($A406="",$C406=""),"",IF(ISNUMBER(Wages!$B409),MOD(Wages!$B409,100),IFERROR(VALUE(TRIM(MID(MID(Wages!$B409,FIND("/",Wages!$B409)+1,20),FIND("/",MID(Wages!$B409,FIND("/",Wages!$B409)+1,20))+1,20))),"")))</f>
        <v/>
      </c>
      <c r="F406">
        <f>IF($A406="","",IF(OR($C406="",$D406="",$E406="",$C406&lt;1300,$C406&gt;1500,$D406&lt;1,$D406&gt;12,$E406&lt;1,$E406&gt;31),"نامعتبر",RIGHT("0000"&amp;$C406,4)&amp;"/"&amp;RIGHT("00"&amp;$D406,2)&amp;"/"&amp;RIGHT("00"&amp;$E406,2)))</f>
        <v/>
      </c>
      <c r="G406">
        <f>IF(OR($A406="",$F406="",$F406="نامعتبر"),"",LEFT($F406,4)&amp;MID($F406,6,2)&amp;RIGHT($F406,2)&amp;"0000"&amp;"|"&amp;"1"&amp;RIGHT("00000"&amp;401,5))</f>
        <v/>
      </c>
      <c r="H406">
        <f>IF(OR($B406&lt;&gt;1,$G406=""),"",COUNTIFS(LdAParty,$A406,LdAType,1,LdAKey,"&lt;"&amp;$G406)+COUNTIFS(LdBMember,$A406,LdBKey,"&lt;"&amp;$G406)+COUNTIFS(LdCParty,$A406,LdCKey,"&lt;"&amp;$G406)+1)</f>
        <v/>
      </c>
      <c r="I406">
        <f>IF($H406="","",$A406&amp;"|"&amp;RIGHT("000000"&amp;$H406,6))</f>
        <v/>
      </c>
      <c r="J406">
        <f>IF(OR($B406&lt;&gt;2,$G406=""),"",COUNTIFS(LdAParty,$A406,LdAType,2,LdAKey,"&lt;"&amp;$G406)+1)</f>
        <v/>
      </c>
      <c r="K406">
        <f>IF($J406="","",$A406&amp;"|"&amp;RIGHT("000000"&amp;$J406,6))</f>
        <v/>
      </c>
      <c r="L406">
        <f>IF($A406="","",IF(Wages!$G409="",0,Wages!$G409))</f>
        <v/>
      </c>
      <c r="M406">
        <f>IF($A406="","",Wages!$J409)</f>
        <v/>
      </c>
      <c r="N406">
        <f>IF($A406="","",Wages!$D409)</f>
        <v/>
      </c>
      <c r="P406">
        <f>IF(OR(Shares!$B409="",Shares!$C409=""),"",Shares!$C409)</f>
        <v/>
      </c>
      <c r="Q406">
        <f>IF($P406="","",Shares!$B409)</f>
        <v/>
      </c>
      <c r="R406">
        <f>IF($P406="","",IFERROR(INDEX(WageParty,MATCH($Q406,WageIds,0)),""))</f>
        <v/>
      </c>
      <c r="S406">
        <f>IF($P406="","",IFERROR(INDEX($F$6:$F$2005,MATCH($Q406,WageIds,0)),""))</f>
        <v/>
      </c>
      <c r="T406">
        <f>IF(OR($P406="",$S406="",$S406="نامعتبر"),"",LEFT($S406,4)&amp;MID($S406,6,2)&amp;RIGHT($S406,2)&amp;"0000"&amp;"|"&amp;"2"&amp;RIGHT("00000"&amp;401,5))</f>
        <v/>
      </c>
      <c r="U406">
        <f>IF($T406="","",COUNTIFS(LdAParty,$P406,LdAType,1,LdAKey,"&lt;"&amp;$T406)+COUNTIFS(LdBMember,$P406,LdBKey,"&lt;"&amp;$T406)+COUNTIFS(LdCParty,$P406,LdCKey,"&lt;"&amp;$T406)+1)</f>
        <v/>
      </c>
      <c r="V406">
        <f>IF($U406="","",$P406&amp;"|"&amp;RIGHT("000000"&amp;$U406,6))</f>
        <v/>
      </c>
      <c r="W406">
        <f>IF($T406="","",COUNTIFS(LdBGroup,$R406,LdBKey,"&lt;"&amp;$T406)+1)</f>
        <v/>
      </c>
      <c r="X406">
        <f>IF($W406="","",$R406&amp;"|"&amp;RIGHT("000000"&amp;$W406,6))</f>
        <v/>
      </c>
      <c r="Y406">
        <f>IF($P406="","",IF(Shares!$E409="",0,Shares!$E409))</f>
        <v/>
      </c>
      <c r="Z406">
        <f>IF($P406="","",Shares!$H409)</f>
        <v/>
      </c>
      <c r="AE406">
        <f>IF(OR(Sync!$S406="",Sync!$P406=""),"",Sync!$S406)</f>
        <v/>
      </c>
      <c r="AF406">
        <f>IF($AE406="","",IF(ISNUMBER(Sync!$P406),IF(AND(Sync!$P406&gt;=10000101,Sync!$P406&lt;=99991231),INT(Sync!$P406/10000),""),IFERROR(VALUE(TRIM(LEFT(Sync!$P406,FIND("/",Sync!$P406)-1))),"")))</f>
        <v/>
      </c>
      <c r="AG406">
        <f>IF(OR($AE406="",$AF406=""),"",IF(ISNUMBER(Sync!$P406),INT(MOD(Sync!$P406,10000)/100),IFERROR(VALUE(TRIM(LEFT(MID(Sync!$P406,FIND("/",Sync!$P406)+1,20),FIND("/",MID(Sync!$P406,FIND("/",Sync!$P406)+1,20))-1))),"")))</f>
        <v/>
      </c>
      <c r="AH406">
        <f>IF(OR($AE406="",$AF406=""),"",IF(ISNUMBER(Sync!$P406),MOD(Sync!$P406,100),IFERROR(VALUE(TRIM(MID(MID(Sync!$P406,FIND("/",Sync!$P406)+1,20),FIND("/",MID(Sync!$P406,FIND("/",Sync!$P406)+1,20))+1,20))),"")))</f>
        <v/>
      </c>
      <c r="AI406">
        <f>IF($AE406="","",IF(OR($AF406="",$AG406="",$AH406="",$AF406&lt;1300,$AF406&gt;1500,$AG406&lt;1,$AG406&gt;12,$AH406&lt;1,$AH406&gt;31),"نامعتبر",RIGHT("0000"&amp;$AF406,4)&amp;"/"&amp;RIGHT("00"&amp;$AG406,2)&amp;"/"&amp;RIGHT("00"&amp;$AH406,2)))</f>
        <v/>
      </c>
      <c r="AJ406">
        <f>IF($AE406="","",IF(Sync!$Q406="","0000",IF(AND(ISNUMBER(Sync!$Q406),Sync!$Q406&gt;=0,Sync!$Q406&lt;1),RIGHT("00"&amp;HOUR(Sync!$Q406),2)&amp;RIGHT("00"&amp;MINUTE(Sync!$Q406),2),IFERROR(RIGHT("00"&amp;VALUE(LEFT(Sync!$Q406,FIND(":",Sync!$Q406)-1)),2)&amp;RIGHT("00"&amp;VALUE(MID(Sync!$Q406,FIND(":",Sync!$Q406)+1,2)),2),"0000"))))</f>
        <v/>
      </c>
      <c r="AK406">
        <f>IF(OR($AE406="",$AI406="",$AI406="نامعتبر"),"",LEFT($AI406,4)&amp;MID($AI406,6,2)&amp;RIGHT($AI406,2)&amp;$AJ406&amp;"|"&amp;"3"&amp;RIGHT("00000"&amp;401,5))</f>
        <v/>
      </c>
      <c r="AL406">
        <f>IF($AK406="","",COUNTIFS(LdAParty,$AE406,LdAType,1,LdAKey,"&lt;"&amp;$AK406)+COUNTIFS(LdBMember,$AE406,LdBKey,"&lt;"&amp;$AK406)+COUNTIFS(LdCParty,$AE406,LdCKey,"&lt;"&amp;$AK406)+1)</f>
        <v/>
      </c>
      <c r="AM406">
        <f>IF($AL406="","",$AE406&amp;"|"&amp;RIGHT("000000"&amp;$AL406,6))</f>
        <v/>
      </c>
      <c r="AN406">
        <f>IF($AE406="","",IF(Sync!$W406="",0,Sync!$W406))</f>
        <v/>
      </c>
      <c r="AO406">
        <f>IF($AE406="","",IF(Sync!$X406="",0,Sync!$X406))</f>
        <v/>
      </c>
      <c r="AP406">
        <f>IF($AE406="","",Sync!$R406)</f>
        <v/>
      </c>
      <c r="AQ406">
        <f>IF($AE406="","",Sync!$Y406)</f>
        <v/>
      </c>
    </row>
    <row r="407">
      <c r="A407">
        <f>IF(OR(Wages!$B410="",Wages!$E410=""),"",Wages!$E410)</f>
        <v/>
      </c>
      <c r="B407">
        <f>IF($A407="","",IF(Wages!$C410="دستمزد گروهی",2,1))</f>
        <v/>
      </c>
      <c r="C407">
        <f>IF($A407="","",IF(ISNUMBER(Wages!$B410),IF(AND(Wages!$B410&gt;=10000101,Wages!$B410&lt;=99991231),INT(Wages!$B410/10000),""),IFERROR(VALUE(TRIM(LEFT(Wages!$B410,FIND("/",Wages!$B410)-1))),"")))</f>
        <v/>
      </c>
      <c r="D407">
        <f>IF(OR($A407="",$C407=""),"",IF(ISNUMBER(Wages!$B410),INT(MOD(Wages!$B410,10000)/100),IFERROR(VALUE(TRIM(LEFT(MID(Wages!$B410,FIND("/",Wages!$B410)+1,20),FIND("/",MID(Wages!$B410,FIND("/",Wages!$B410)+1,20))-1))),"")))</f>
        <v/>
      </c>
      <c r="E407">
        <f>IF(OR($A407="",$C407=""),"",IF(ISNUMBER(Wages!$B410),MOD(Wages!$B410,100),IFERROR(VALUE(TRIM(MID(MID(Wages!$B410,FIND("/",Wages!$B410)+1,20),FIND("/",MID(Wages!$B410,FIND("/",Wages!$B410)+1,20))+1,20))),"")))</f>
        <v/>
      </c>
      <c r="F407">
        <f>IF($A407="","",IF(OR($C407="",$D407="",$E407="",$C407&lt;1300,$C407&gt;1500,$D407&lt;1,$D407&gt;12,$E407&lt;1,$E407&gt;31),"نامعتبر",RIGHT("0000"&amp;$C407,4)&amp;"/"&amp;RIGHT("00"&amp;$D407,2)&amp;"/"&amp;RIGHT("00"&amp;$E407,2)))</f>
        <v/>
      </c>
      <c r="G407">
        <f>IF(OR($A407="",$F407="",$F407="نامعتبر"),"",LEFT($F407,4)&amp;MID($F407,6,2)&amp;RIGHT($F407,2)&amp;"0000"&amp;"|"&amp;"1"&amp;RIGHT("00000"&amp;402,5))</f>
        <v/>
      </c>
      <c r="H407">
        <f>IF(OR($B407&lt;&gt;1,$G407=""),"",COUNTIFS(LdAParty,$A407,LdAType,1,LdAKey,"&lt;"&amp;$G407)+COUNTIFS(LdBMember,$A407,LdBKey,"&lt;"&amp;$G407)+COUNTIFS(LdCParty,$A407,LdCKey,"&lt;"&amp;$G407)+1)</f>
        <v/>
      </c>
      <c r="I407">
        <f>IF($H407="","",$A407&amp;"|"&amp;RIGHT("000000"&amp;$H407,6))</f>
        <v/>
      </c>
      <c r="J407">
        <f>IF(OR($B407&lt;&gt;2,$G407=""),"",COUNTIFS(LdAParty,$A407,LdAType,2,LdAKey,"&lt;"&amp;$G407)+1)</f>
        <v/>
      </c>
      <c r="K407">
        <f>IF($J407="","",$A407&amp;"|"&amp;RIGHT("000000"&amp;$J407,6))</f>
        <v/>
      </c>
      <c r="L407">
        <f>IF($A407="","",IF(Wages!$G410="",0,Wages!$G410))</f>
        <v/>
      </c>
      <c r="M407">
        <f>IF($A407="","",Wages!$J410)</f>
        <v/>
      </c>
      <c r="N407">
        <f>IF($A407="","",Wages!$D410)</f>
        <v/>
      </c>
      <c r="P407">
        <f>IF(OR(Shares!$B410="",Shares!$C410=""),"",Shares!$C410)</f>
        <v/>
      </c>
      <c r="Q407">
        <f>IF($P407="","",Shares!$B410)</f>
        <v/>
      </c>
      <c r="R407">
        <f>IF($P407="","",IFERROR(INDEX(WageParty,MATCH($Q407,WageIds,0)),""))</f>
        <v/>
      </c>
      <c r="S407">
        <f>IF($P407="","",IFERROR(INDEX($F$6:$F$2005,MATCH($Q407,WageIds,0)),""))</f>
        <v/>
      </c>
      <c r="T407">
        <f>IF(OR($P407="",$S407="",$S407="نامعتبر"),"",LEFT($S407,4)&amp;MID($S407,6,2)&amp;RIGHT($S407,2)&amp;"0000"&amp;"|"&amp;"2"&amp;RIGHT("00000"&amp;402,5))</f>
        <v/>
      </c>
      <c r="U407">
        <f>IF($T407="","",COUNTIFS(LdAParty,$P407,LdAType,1,LdAKey,"&lt;"&amp;$T407)+COUNTIFS(LdBMember,$P407,LdBKey,"&lt;"&amp;$T407)+COUNTIFS(LdCParty,$P407,LdCKey,"&lt;"&amp;$T407)+1)</f>
        <v/>
      </c>
      <c r="V407">
        <f>IF($U407="","",$P407&amp;"|"&amp;RIGHT("000000"&amp;$U407,6))</f>
        <v/>
      </c>
      <c r="W407">
        <f>IF($T407="","",COUNTIFS(LdBGroup,$R407,LdBKey,"&lt;"&amp;$T407)+1)</f>
        <v/>
      </c>
      <c r="X407">
        <f>IF($W407="","",$R407&amp;"|"&amp;RIGHT("000000"&amp;$W407,6))</f>
        <v/>
      </c>
      <c r="Y407">
        <f>IF($P407="","",IF(Shares!$E410="",0,Shares!$E410))</f>
        <v/>
      </c>
      <c r="Z407">
        <f>IF($P407="","",Shares!$H410)</f>
        <v/>
      </c>
      <c r="AE407">
        <f>IF(OR(Sync!$S407="",Sync!$P407=""),"",Sync!$S407)</f>
        <v/>
      </c>
      <c r="AF407">
        <f>IF($AE407="","",IF(ISNUMBER(Sync!$P407),IF(AND(Sync!$P407&gt;=10000101,Sync!$P407&lt;=99991231),INT(Sync!$P407/10000),""),IFERROR(VALUE(TRIM(LEFT(Sync!$P407,FIND("/",Sync!$P407)-1))),"")))</f>
        <v/>
      </c>
      <c r="AG407">
        <f>IF(OR($AE407="",$AF407=""),"",IF(ISNUMBER(Sync!$P407),INT(MOD(Sync!$P407,10000)/100),IFERROR(VALUE(TRIM(LEFT(MID(Sync!$P407,FIND("/",Sync!$P407)+1,20),FIND("/",MID(Sync!$P407,FIND("/",Sync!$P407)+1,20))-1))),"")))</f>
        <v/>
      </c>
      <c r="AH407">
        <f>IF(OR($AE407="",$AF407=""),"",IF(ISNUMBER(Sync!$P407),MOD(Sync!$P407,100),IFERROR(VALUE(TRIM(MID(MID(Sync!$P407,FIND("/",Sync!$P407)+1,20),FIND("/",MID(Sync!$P407,FIND("/",Sync!$P407)+1,20))+1,20))),"")))</f>
        <v/>
      </c>
      <c r="AI407">
        <f>IF($AE407="","",IF(OR($AF407="",$AG407="",$AH407="",$AF407&lt;1300,$AF407&gt;1500,$AG407&lt;1,$AG407&gt;12,$AH407&lt;1,$AH407&gt;31),"نامعتبر",RIGHT("0000"&amp;$AF407,4)&amp;"/"&amp;RIGHT("00"&amp;$AG407,2)&amp;"/"&amp;RIGHT("00"&amp;$AH407,2)))</f>
        <v/>
      </c>
      <c r="AJ407">
        <f>IF($AE407="","",IF(Sync!$Q407="","0000",IF(AND(ISNUMBER(Sync!$Q407),Sync!$Q407&gt;=0,Sync!$Q407&lt;1),RIGHT("00"&amp;HOUR(Sync!$Q407),2)&amp;RIGHT("00"&amp;MINUTE(Sync!$Q407),2),IFERROR(RIGHT("00"&amp;VALUE(LEFT(Sync!$Q407,FIND(":",Sync!$Q407)-1)),2)&amp;RIGHT("00"&amp;VALUE(MID(Sync!$Q407,FIND(":",Sync!$Q407)+1,2)),2),"0000"))))</f>
        <v/>
      </c>
      <c r="AK407">
        <f>IF(OR($AE407="",$AI407="",$AI407="نامعتبر"),"",LEFT($AI407,4)&amp;MID($AI407,6,2)&amp;RIGHT($AI407,2)&amp;$AJ407&amp;"|"&amp;"3"&amp;RIGHT("00000"&amp;402,5))</f>
        <v/>
      </c>
      <c r="AL407">
        <f>IF($AK407="","",COUNTIFS(LdAParty,$AE407,LdAType,1,LdAKey,"&lt;"&amp;$AK407)+COUNTIFS(LdBMember,$AE407,LdBKey,"&lt;"&amp;$AK407)+COUNTIFS(LdCParty,$AE407,LdCKey,"&lt;"&amp;$AK407)+1)</f>
        <v/>
      </c>
      <c r="AM407">
        <f>IF($AL407="","",$AE407&amp;"|"&amp;RIGHT("000000"&amp;$AL407,6))</f>
        <v/>
      </c>
      <c r="AN407">
        <f>IF($AE407="","",IF(Sync!$W407="",0,Sync!$W407))</f>
        <v/>
      </c>
      <c r="AO407">
        <f>IF($AE407="","",IF(Sync!$X407="",0,Sync!$X407))</f>
        <v/>
      </c>
      <c r="AP407">
        <f>IF($AE407="","",Sync!$R407)</f>
        <v/>
      </c>
      <c r="AQ407">
        <f>IF($AE407="","",Sync!$Y407)</f>
        <v/>
      </c>
    </row>
    <row r="408">
      <c r="A408">
        <f>IF(OR(Wages!$B411="",Wages!$E411=""),"",Wages!$E411)</f>
        <v/>
      </c>
      <c r="B408">
        <f>IF($A408="","",IF(Wages!$C411="دستمزد گروهی",2,1))</f>
        <v/>
      </c>
      <c r="C408">
        <f>IF($A408="","",IF(ISNUMBER(Wages!$B411),IF(AND(Wages!$B411&gt;=10000101,Wages!$B411&lt;=99991231),INT(Wages!$B411/10000),""),IFERROR(VALUE(TRIM(LEFT(Wages!$B411,FIND("/",Wages!$B411)-1))),"")))</f>
        <v/>
      </c>
      <c r="D408">
        <f>IF(OR($A408="",$C408=""),"",IF(ISNUMBER(Wages!$B411),INT(MOD(Wages!$B411,10000)/100),IFERROR(VALUE(TRIM(LEFT(MID(Wages!$B411,FIND("/",Wages!$B411)+1,20),FIND("/",MID(Wages!$B411,FIND("/",Wages!$B411)+1,20))-1))),"")))</f>
        <v/>
      </c>
      <c r="E408">
        <f>IF(OR($A408="",$C408=""),"",IF(ISNUMBER(Wages!$B411),MOD(Wages!$B411,100),IFERROR(VALUE(TRIM(MID(MID(Wages!$B411,FIND("/",Wages!$B411)+1,20),FIND("/",MID(Wages!$B411,FIND("/",Wages!$B411)+1,20))+1,20))),"")))</f>
        <v/>
      </c>
      <c r="F408">
        <f>IF($A408="","",IF(OR($C408="",$D408="",$E408="",$C408&lt;1300,$C408&gt;1500,$D408&lt;1,$D408&gt;12,$E408&lt;1,$E408&gt;31),"نامعتبر",RIGHT("0000"&amp;$C408,4)&amp;"/"&amp;RIGHT("00"&amp;$D408,2)&amp;"/"&amp;RIGHT("00"&amp;$E408,2)))</f>
        <v/>
      </c>
      <c r="G408">
        <f>IF(OR($A408="",$F408="",$F408="نامعتبر"),"",LEFT($F408,4)&amp;MID($F408,6,2)&amp;RIGHT($F408,2)&amp;"0000"&amp;"|"&amp;"1"&amp;RIGHT("00000"&amp;403,5))</f>
        <v/>
      </c>
      <c r="H408">
        <f>IF(OR($B408&lt;&gt;1,$G408=""),"",COUNTIFS(LdAParty,$A408,LdAType,1,LdAKey,"&lt;"&amp;$G408)+COUNTIFS(LdBMember,$A408,LdBKey,"&lt;"&amp;$G408)+COUNTIFS(LdCParty,$A408,LdCKey,"&lt;"&amp;$G408)+1)</f>
        <v/>
      </c>
      <c r="I408">
        <f>IF($H408="","",$A408&amp;"|"&amp;RIGHT("000000"&amp;$H408,6))</f>
        <v/>
      </c>
      <c r="J408">
        <f>IF(OR($B408&lt;&gt;2,$G408=""),"",COUNTIFS(LdAParty,$A408,LdAType,2,LdAKey,"&lt;"&amp;$G408)+1)</f>
        <v/>
      </c>
      <c r="K408">
        <f>IF($J408="","",$A408&amp;"|"&amp;RIGHT("000000"&amp;$J408,6))</f>
        <v/>
      </c>
      <c r="L408">
        <f>IF($A408="","",IF(Wages!$G411="",0,Wages!$G411))</f>
        <v/>
      </c>
      <c r="M408">
        <f>IF($A408="","",Wages!$J411)</f>
        <v/>
      </c>
      <c r="N408">
        <f>IF($A408="","",Wages!$D411)</f>
        <v/>
      </c>
      <c r="P408">
        <f>IF(OR(Shares!$B411="",Shares!$C411=""),"",Shares!$C411)</f>
        <v/>
      </c>
      <c r="Q408">
        <f>IF($P408="","",Shares!$B411)</f>
        <v/>
      </c>
      <c r="R408">
        <f>IF($P408="","",IFERROR(INDEX(WageParty,MATCH($Q408,WageIds,0)),""))</f>
        <v/>
      </c>
      <c r="S408">
        <f>IF($P408="","",IFERROR(INDEX($F$6:$F$2005,MATCH($Q408,WageIds,0)),""))</f>
        <v/>
      </c>
      <c r="T408">
        <f>IF(OR($P408="",$S408="",$S408="نامعتبر"),"",LEFT($S408,4)&amp;MID($S408,6,2)&amp;RIGHT($S408,2)&amp;"0000"&amp;"|"&amp;"2"&amp;RIGHT("00000"&amp;403,5))</f>
        <v/>
      </c>
      <c r="U408">
        <f>IF($T408="","",COUNTIFS(LdAParty,$P408,LdAType,1,LdAKey,"&lt;"&amp;$T408)+COUNTIFS(LdBMember,$P408,LdBKey,"&lt;"&amp;$T408)+COUNTIFS(LdCParty,$P408,LdCKey,"&lt;"&amp;$T408)+1)</f>
        <v/>
      </c>
      <c r="V408">
        <f>IF($U408="","",$P408&amp;"|"&amp;RIGHT("000000"&amp;$U408,6))</f>
        <v/>
      </c>
      <c r="W408">
        <f>IF($T408="","",COUNTIFS(LdBGroup,$R408,LdBKey,"&lt;"&amp;$T408)+1)</f>
        <v/>
      </c>
      <c r="X408">
        <f>IF($W408="","",$R408&amp;"|"&amp;RIGHT("000000"&amp;$W408,6))</f>
        <v/>
      </c>
      <c r="Y408">
        <f>IF($P408="","",IF(Shares!$E411="",0,Shares!$E411))</f>
        <v/>
      </c>
      <c r="Z408">
        <f>IF($P408="","",Shares!$H411)</f>
        <v/>
      </c>
      <c r="AE408">
        <f>IF(OR(Sync!$S408="",Sync!$P408=""),"",Sync!$S408)</f>
        <v/>
      </c>
      <c r="AF408">
        <f>IF($AE408="","",IF(ISNUMBER(Sync!$P408),IF(AND(Sync!$P408&gt;=10000101,Sync!$P408&lt;=99991231),INT(Sync!$P408/10000),""),IFERROR(VALUE(TRIM(LEFT(Sync!$P408,FIND("/",Sync!$P408)-1))),"")))</f>
        <v/>
      </c>
      <c r="AG408">
        <f>IF(OR($AE408="",$AF408=""),"",IF(ISNUMBER(Sync!$P408),INT(MOD(Sync!$P408,10000)/100),IFERROR(VALUE(TRIM(LEFT(MID(Sync!$P408,FIND("/",Sync!$P408)+1,20),FIND("/",MID(Sync!$P408,FIND("/",Sync!$P408)+1,20))-1))),"")))</f>
        <v/>
      </c>
      <c r="AH408">
        <f>IF(OR($AE408="",$AF408=""),"",IF(ISNUMBER(Sync!$P408),MOD(Sync!$P408,100),IFERROR(VALUE(TRIM(MID(MID(Sync!$P408,FIND("/",Sync!$P408)+1,20),FIND("/",MID(Sync!$P408,FIND("/",Sync!$P408)+1,20))+1,20))),"")))</f>
        <v/>
      </c>
      <c r="AI408">
        <f>IF($AE408="","",IF(OR($AF408="",$AG408="",$AH408="",$AF408&lt;1300,$AF408&gt;1500,$AG408&lt;1,$AG408&gt;12,$AH408&lt;1,$AH408&gt;31),"نامعتبر",RIGHT("0000"&amp;$AF408,4)&amp;"/"&amp;RIGHT("00"&amp;$AG408,2)&amp;"/"&amp;RIGHT("00"&amp;$AH408,2)))</f>
        <v/>
      </c>
      <c r="AJ408">
        <f>IF($AE408="","",IF(Sync!$Q408="","0000",IF(AND(ISNUMBER(Sync!$Q408),Sync!$Q408&gt;=0,Sync!$Q408&lt;1),RIGHT("00"&amp;HOUR(Sync!$Q408),2)&amp;RIGHT("00"&amp;MINUTE(Sync!$Q408),2),IFERROR(RIGHT("00"&amp;VALUE(LEFT(Sync!$Q408,FIND(":",Sync!$Q408)-1)),2)&amp;RIGHT("00"&amp;VALUE(MID(Sync!$Q408,FIND(":",Sync!$Q408)+1,2)),2),"0000"))))</f>
        <v/>
      </c>
      <c r="AK408">
        <f>IF(OR($AE408="",$AI408="",$AI408="نامعتبر"),"",LEFT($AI408,4)&amp;MID($AI408,6,2)&amp;RIGHT($AI408,2)&amp;$AJ408&amp;"|"&amp;"3"&amp;RIGHT("00000"&amp;403,5))</f>
        <v/>
      </c>
      <c r="AL408">
        <f>IF($AK408="","",COUNTIFS(LdAParty,$AE408,LdAType,1,LdAKey,"&lt;"&amp;$AK408)+COUNTIFS(LdBMember,$AE408,LdBKey,"&lt;"&amp;$AK408)+COUNTIFS(LdCParty,$AE408,LdCKey,"&lt;"&amp;$AK408)+1)</f>
        <v/>
      </c>
      <c r="AM408">
        <f>IF($AL408="","",$AE408&amp;"|"&amp;RIGHT("000000"&amp;$AL408,6))</f>
        <v/>
      </c>
      <c r="AN408">
        <f>IF($AE408="","",IF(Sync!$W408="",0,Sync!$W408))</f>
        <v/>
      </c>
      <c r="AO408">
        <f>IF($AE408="","",IF(Sync!$X408="",0,Sync!$X408))</f>
        <v/>
      </c>
      <c r="AP408">
        <f>IF($AE408="","",Sync!$R408)</f>
        <v/>
      </c>
      <c r="AQ408">
        <f>IF($AE408="","",Sync!$Y408)</f>
        <v/>
      </c>
    </row>
    <row r="409">
      <c r="A409">
        <f>IF(OR(Wages!$B412="",Wages!$E412=""),"",Wages!$E412)</f>
        <v/>
      </c>
      <c r="B409">
        <f>IF($A409="","",IF(Wages!$C412="دستمزد گروهی",2,1))</f>
        <v/>
      </c>
      <c r="C409">
        <f>IF($A409="","",IF(ISNUMBER(Wages!$B412),IF(AND(Wages!$B412&gt;=10000101,Wages!$B412&lt;=99991231),INT(Wages!$B412/10000),""),IFERROR(VALUE(TRIM(LEFT(Wages!$B412,FIND("/",Wages!$B412)-1))),"")))</f>
        <v/>
      </c>
      <c r="D409">
        <f>IF(OR($A409="",$C409=""),"",IF(ISNUMBER(Wages!$B412),INT(MOD(Wages!$B412,10000)/100),IFERROR(VALUE(TRIM(LEFT(MID(Wages!$B412,FIND("/",Wages!$B412)+1,20),FIND("/",MID(Wages!$B412,FIND("/",Wages!$B412)+1,20))-1))),"")))</f>
        <v/>
      </c>
      <c r="E409">
        <f>IF(OR($A409="",$C409=""),"",IF(ISNUMBER(Wages!$B412),MOD(Wages!$B412,100),IFERROR(VALUE(TRIM(MID(MID(Wages!$B412,FIND("/",Wages!$B412)+1,20),FIND("/",MID(Wages!$B412,FIND("/",Wages!$B412)+1,20))+1,20))),"")))</f>
        <v/>
      </c>
      <c r="F409">
        <f>IF($A409="","",IF(OR($C409="",$D409="",$E409="",$C409&lt;1300,$C409&gt;1500,$D409&lt;1,$D409&gt;12,$E409&lt;1,$E409&gt;31),"نامعتبر",RIGHT("0000"&amp;$C409,4)&amp;"/"&amp;RIGHT("00"&amp;$D409,2)&amp;"/"&amp;RIGHT("00"&amp;$E409,2)))</f>
        <v/>
      </c>
      <c r="G409">
        <f>IF(OR($A409="",$F409="",$F409="نامعتبر"),"",LEFT($F409,4)&amp;MID($F409,6,2)&amp;RIGHT($F409,2)&amp;"0000"&amp;"|"&amp;"1"&amp;RIGHT("00000"&amp;404,5))</f>
        <v/>
      </c>
      <c r="H409">
        <f>IF(OR($B409&lt;&gt;1,$G409=""),"",COUNTIFS(LdAParty,$A409,LdAType,1,LdAKey,"&lt;"&amp;$G409)+COUNTIFS(LdBMember,$A409,LdBKey,"&lt;"&amp;$G409)+COUNTIFS(LdCParty,$A409,LdCKey,"&lt;"&amp;$G409)+1)</f>
        <v/>
      </c>
      <c r="I409">
        <f>IF($H409="","",$A409&amp;"|"&amp;RIGHT("000000"&amp;$H409,6))</f>
        <v/>
      </c>
      <c r="J409">
        <f>IF(OR($B409&lt;&gt;2,$G409=""),"",COUNTIFS(LdAParty,$A409,LdAType,2,LdAKey,"&lt;"&amp;$G409)+1)</f>
        <v/>
      </c>
      <c r="K409">
        <f>IF($J409="","",$A409&amp;"|"&amp;RIGHT("000000"&amp;$J409,6))</f>
        <v/>
      </c>
      <c r="L409">
        <f>IF($A409="","",IF(Wages!$G412="",0,Wages!$G412))</f>
        <v/>
      </c>
      <c r="M409">
        <f>IF($A409="","",Wages!$J412)</f>
        <v/>
      </c>
      <c r="N409">
        <f>IF($A409="","",Wages!$D412)</f>
        <v/>
      </c>
      <c r="P409">
        <f>IF(OR(Shares!$B412="",Shares!$C412=""),"",Shares!$C412)</f>
        <v/>
      </c>
      <c r="Q409">
        <f>IF($P409="","",Shares!$B412)</f>
        <v/>
      </c>
      <c r="R409">
        <f>IF($P409="","",IFERROR(INDEX(WageParty,MATCH($Q409,WageIds,0)),""))</f>
        <v/>
      </c>
      <c r="S409">
        <f>IF($P409="","",IFERROR(INDEX($F$6:$F$2005,MATCH($Q409,WageIds,0)),""))</f>
        <v/>
      </c>
      <c r="T409">
        <f>IF(OR($P409="",$S409="",$S409="نامعتبر"),"",LEFT($S409,4)&amp;MID($S409,6,2)&amp;RIGHT($S409,2)&amp;"0000"&amp;"|"&amp;"2"&amp;RIGHT("00000"&amp;404,5))</f>
        <v/>
      </c>
      <c r="U409">
        <f>IF($T409="","",COUNTIFS(LdAParty,$P409,LdAType,1,LdAKey,"&lt;"&amp;$T409)+COUNTIFS(LdBMember,$P409,LdBKey,"&lt;"&amp;$T409)+COUNTIFS(LdCParty,$P409,LdCKey,"&lt;"&amp;$T409)+1)</f>
        <v/>
      </c>
      <c r="V409">
        <f>IF($U409="","",$P409&amp;"|"&amp;RIGHT("000000"&amp;$U409,6))</f>
        <v/>
      </c>
      <c r="W409">
        <f>IF($T409="","",COUNTIFS(LdBGroup,$R409,LdBKey,"&lt;"&amp;$T409)+1)</f>
        <v/>
      </c>
      <c r="X409">
        <f>IF($W409="","",$R409&amp;"|"&amp;RIGHT("000000"&amp;$W409,6))</f>
        <v/>
      </c>
      <c r="Y409">
        <f>IF($P409="","",IF(Shares!$E412="",0,Shares!$E412))</f>
        <v/>
      </c>
      <c r="Z409">
        <f>IF($P409="","",Shares!$H412)</f>
        <v/>
      </c>
      <c r="AE409">
        <f>IF(OR(Sync!$S409="",Sync!$P409=""),"",Sync!$S409)</f>
        <v/>
      </c>
      <c r="AF409">
        <f>IF($AE409="","",IF(ISNUMBER(Sync!$P409),IF(AND(Sync!$P409&gt;=10000101,Sync!$P409&lt;=99991231),INT(Sync!$P409/10000),""),IFERROR(VALUE(TRIM(LEFT(Sync!$P409,FIND("/",Sync!$P409)-1))),"")))</f>
        <v/>
      </c>
      <c r="AG409">
        <f>IF(OR($AE409="",$AF409=""),"",IF(ISNUMBER(Sync!$P409),INT(MOD(Sync!$P409,10000)/100),IFERROR(VALUE(TRIM(LEFT(MID(Sync!$P409,FIND("/",Sync!$P409)+1,20),FIND("/",MID(Sync!$P409,FIND("/",Sync!$P409)+1,20))-1))),"")))</f>
        <v/>
      </c>
      <c r="AH409">
        <f>IF(OR($AE409="",$AF409=""),"",IF(ISNUMBER(Sync!$P409),MOD(Sync!$P409,100),IFERROR(VALUE(TRIM(MID(MID(Sync!$P409,FIND("/",Sync!$P409)+1,20),FIND("/",MID(Sync!$P409,FIND("/",Sync!$P409)+1,20))+1,20))),"")))</f>
        <v/>
      </c>
      <c r="AI409">
        <f>IF($AE409="","",IF(OR($AF409="",$AG409="",$AH409="",$AF409&lt;1300,$AF409&gt;1500,$AG409&lt;1,$AG409&gt;12,$AH409&lt;1,$AH409&gt;31),"نامعتبر",RIGHT("0000"&amp;$AF409,4)&amp;"/"&amp;RIGHT("00"&amp;$AG409,2)&amp;"/"&amp;RIGHT("00"&amp;$AH409,2)))</f>
        <v/>
      </c>
      <c r="AJ409">
        <f>IF($AE409="","",IF(Sync!$Q409="","0000",IF(AND(ISNUMBER(Sync!$Q409),Sync!$Q409&gt;=0,Sync!$Q409&lt;1),RIGHT("00"&amp;HOUR(Sync!$Q409),2)&amp;RIGHT("00"&amp;MINUTE(Sync!$Q409),2),IFERROR(RIGHT("00"&amp;VALUE(LEFT(Sync!$Q409,FIND(":",Sync!$Q409)-1)),2)&amp;RIGHT("00"&amp;VALUE(MID(Sync!$Q409,FIND(":",Sync!$Q409)+1,2)),2),"0000"))))</f>
        <v/>
      </c>
      <c r="AK409">
        <f>IF(OR($AE409="",$AI409="",$AI409="نامعتبر"),"",LEFT($AI409,4)&amp;MID($AI409,6,2)&amp;RIGHT($AI409,2)&amp;$AJ409&amp;"|"&amp;"3"&amp;RIGHT("00000"&amp;404,5))</f>
        <v/>
      </c>
      <c r="AL409">
        <f>IF($AK409="","",COUNTIFS(LdAParty,$AE409,LdAType,1,LdAKey,"&lt;"&amp;$AK409)+COUNTIFS(LdBMember,$AE409,LdBKey,"&lt;"&amp;$AK409)+COUNTIFS(LdCParty,$AE409,LdCKey,"&lt;"&amp;$AK409)+1)</f>
        <v/>
      </c>
      <c r="AM409">
        <f>IF($AL409="","",$AE409&amp;"|"&amp;RIGHT("000000"&amp;$AL409,6))</f>
        <v/>
      </c>
      <c r="AN409">
        <f>IF($AE409="","",IF(Sync!$W409="",0,Sync!$W409))</f>
        <v/>
      </c>
      <c r="AO409">
        <f>IF($AE409="","",IF(Sync!$X409="",0,Sync!$X409))</f>
        <v/>
      </c>
      <c r="AP409">
        <f>IF($AE409="","",Sync!$R409)</f>
        <v/>
      </c>
      <c r="AQ409">
        <f>IF($AE409="","",Sync!$Y409)</f>
        <v/>
      </c>
    </row>
    <row r="410">
      <c r="A410">
        <f>IF(OR(Wages!$B413="",Wages!$E413=""),"",Wages!$E413)</f>
        <v/>
      </c>
      <c r="B410">
        <f>IF($A410="","",IF(Wages!$C413="دستمزد گروهی",2,1))</f>
        <v/>
      </c>
      <c r="C410">
        <f>IF($A410="","",IF(ISNUMBER(Wages!$B413),IF(AND(Wages!$B413&gt;=10000101,Wages!$B413&lt;=99991231),INT(Wages!$B413/10000),""),IFERROR(VALUE(TRIM(LEFT(Wages!$B413,FIND("/",Wages!$B413)-1))),"")))</f>
        <v/>
      </c>
      <c r="D410">
        <f>IF(OR($A410="",$C410=""),"",IF(ISNUMBER(Wages!$B413),INT(MOD(Wages!$B413,10000)/100),IFERROR(VALUE(TRIM(LEFT(MID(Wages!$B413,FIND("/",Wages!$B413)+1,20),FIND("/",MID(Wages!$B413,FIND("/",Wages!$B413)+1,20))-1))),"")))</f>
        <v/>
      </c>
      <c r="E410">
        <f>IF(OR($A410="",$C410=""),"",IF(ISNUMBER(Wages!$B413),MOD(Wages!$B413,100),IFERROR(VALUE(TRIM(MID(MID(Wages!$B413,FIND("/",Wages!$B413)+1,20),FIND("/",MID(Wages!$B413,FIND("/",Wages!$B413)+1,20))+1,20))),"")))</f>
        <v/>
      </c>
      <c r="F410">
        <f>IF($A410="","",IF(OR($C410="",$D410="",$E410="",$C410&lt;1300,$C410&gt;1500,$D410&lt;1,$D410&gt;12,$E410&lt;1,$E410&gt;31),"نامعتبر",RIGHT("0000"&amp;$C410,4)&amp;"/"&amp;RIGHT("00"&amp;$D410,2)&amp;"/"&amp;RIGHT("00"&amp;$E410,2)))</f>
        <v/>
      </c>
      <c r="G410">
        <f>IF(OR($A410="",$F410="",$F410="نامعتبر"),"",LEFT($F410,4)&amp;MID($F410,6,2)&amp;RIGHT($F410,2)&amp;"0000"&amp;"|"&amp;"1"&amp;RIGHT("00000"&amp;405,5))</f>
        <v/>
      </c>
      <c r="H410">
        <f>IF(OR($B410&lt;&gt;1,$G410=""),"",COUNTIFS(LdAParty,$A410,LdAType,1,LdAKey,"&lt;"&amp;$G410)+COUNTIFS(LdBMember,$A410,LdBKey,"&lt;"&amp;$G410)+COUNTIFS(LdCParty,$A410,LdCKey,"&lt;"&amp;$G410)+1)</f>
        <v/>
      </c>
      <c r="I410">
        <f>IF($H410="","",$A410&amp;"|"&amp;RIGHT("000000"&amp;$H410,6))</f>
        <v/>
      </c>
      <c r="J410">
        <f>IF(OR($B410&lt;&gt;2,$G410=""),"",COUNTIFS(LdAParty,$A410,LdAType,2,LdAKey,"&lt;"&amp;$G410)+1)</f>
        <v/>
      </c>
      <c r="K410">
        <f>IF($J410="","",$A410&amp;"|"&amp;RIGHT("000000"&amp;$J410,6))</f>
        <v/>
      </c>
      <c r="L410">
        <f>IF($A410="","",IF(Wages!$G413="",0,Wages!$G413))</f>
        <v/>
      </c>
      <c r="M410">
        <f>IF($A410="","",Wages!$J413)</f>
        <v/>
      </c>
      <c r="N410">
        <f>IF($A410="","",Wages!$D413)</f>
        <v/>
      </c>
      <c r="P410">
        <f>IF(OR(Shares!$B413="",Shares!$C413=""),"",Shares!$C413)</f>
        <v/>
      </c>
      <c r="Q410">
        <f>IF($P410="","",Shares!$B413)</f>
        <v/>
      </c>
      <c r="R410">
        <f>IF($P410="","",IFERROR(INDEX(WageParty,MATCH($Q410,WageIds,0)),""))</f>
        <v/>
      </c>
      <c r="S410">
        <f>IF($P410="","",IFERROR(INDEX($F$6:$F$2005,MATCH($Q410,WageIds,0)),""))</f>
        <v/>
      </c>
      <c r="T410">
        <f>IF(OR($P410="",$S410="",$S410="نامعتبر"),"",LEFT($S410,4)&amp;MID($S410,6,2)&amp;RIGHT($S410,2)&amp;"0000"&amp;"|"&amp;"2"&amp;RIGHT("00000"&amp;405,5))</f>
        <v/>
      </c>
      <c r="U410">
        <f>IF($T410="","",COUNTIFS(LdAParty,$P410,LdAType,1,LdAKey,"&lt;"&amp;$T410)+COUNTIFS(LdBMember,$P410,LdBKey,"&lt;"&amp;$T410)+COUNTIFS(LdCParty,$P410,LdCKey,"&lt;"&amp;$T410)+1)</f>
        <v/>
      </c>
      <c r="V410">
        <f>IF($U410="","",$P410&amp;"|"&amp;RIGHT("000000"&amp;$U410,6))</f>
        <v/>
      </c>
      <c r="W410">
        <f>IF($T410="","",COUNTIFS(LdBGroup,$R410,LdBKey,"&lt;"&amp;$T410)+1)</f>
        <v/>
      </c>
      <c r="X410">
        <f>IF($W410="","",$R410&amp;"|"&amp;RIGHT("000000"&amp;$W410,6))</f>
        <v/>
      </c>
      <c r="Y410">
        <f>IF($P410="","",IF(Shares!$E413="",0,Shares!$E413))</f>
        <v/>
      </c>
      <c r="Z410">
        <f>IF($P410="","",Shares!$H413)</f>
        <v/>
      </c>
      <c r="AE410">
        <f>IF(OR(Sync!$S410="",Sync!$P410=""),"",Sync!$S410)</f>
        <v/>
      </c>
      <c r="AF410">
        <f>IF($AE410="","",IF(ISNUMBER(Sync!$P410),IF(AND(Sync!$P410&gt;=10000101,Sync!$P410&lt;=99991231),INT(Sync!$P410/10000),""),IFERROR(VALUE(TRIM(LEFT(Sync!$P410,FIND("/",Sync!$P410)-1))),"")))</f>
        <v/>
      </c>
      <c r="AG410">
        <f>IF(OR($AE410="",$AF410=""),"",IF(ISNUMBER(Sync!$P410),INT(MOD(Sync!$P410,10000)/100),IFERROR(VALUE(TRIM(LEFT(MID(Sync!$P410,FIND("/",Sync!$P410)+1,20),FIND("/",MID(Sync!$P410,FIND("/",Sync!$P410)+1,20))-1))),"")))</f>
        <v/>
      </c>
      <c r="AH410">
        <f>IF(OR($AE410="",$AF410=""),"",IF(ISNUMBER(Sync!$P410),MOD(Sync!$P410,100),IFERROR(VALUE(TRIM(MID(MID(Sync!$P410,FIND("/",Sync!$P410)+1,20),FIND("/",MID(Sync!$P410,FIND("/",Sync!$P410)+1,20))+1,20))),"")))</f>
        <v/>
      </c>
      <c r="AI410">
        <f>IF($AE410="","",IF(OR($AF410="",$AG410="",$AH410="",$AF410&lt;1300,$AF410&gt;1500,$AG410&lt;1,$AG410&gt;12,$AH410&lt;1,$AH410&gt;31),"نامعتبر",RIGHT("0000"&amp;$AF410,4)&amp;"/"&amp;RIGHT("00"&amp;$AG410,2)&amp;"/"&amp;RIGHT("00"&amp;$AH410,2)))</f>
        <v/>
      </c>
      <c r="AJ410">
        <f>IF($AE410="","",IF(Sync!$Q410="","0000",IF(AND(ISNUMBER(Sync!$Q410),Sync!$Q410&gt;=0,Sync!$Q410&lt;1),RIGHT("00"&amp;HOUR(Sync!$Q410),2)&amp;RIGHT("00"&amp;MINUTE(Sync!$Q410),2),IFERROR(RIGHT("00"&amp;VALUE(LEFT(Sync!$Q410,FIND(":",Sync!$Q410)-1)),2)&amp;RIGHT("00"&amp;VALUE(MID(Sync!$Q410,FIND(":",Sync!$Q410)+1,2)),2),"0000"))))</f>
        <v/>
      </c>
      <c r="AK410">
        <f>IF(OR($AE410="",$AI410="",$AI410="نامعتبر"),"",LEFT($AI410,4)&amp;MID($AI410,6,2)&amp;RIGHT($AI410,2)&amp;$AJ410&amp;"|"&amp;"3"&amp;RIGHT("00000"&amp;405,5))</f>
        <v/>
      </c>
      <c r="AL410">
        <f>IF($AK410="","",COUNTIFS(LdAParty,$AE410,LdAType,1,LdAKey,"&lt;"&amp;$AK410)+COUNTIFS(LdBMember,$AE410,LdBKey,"&lt;"&amp;$AK410)+COUNTIFS(LdCParty,$AE410,LdCKey,"&lt;"&amp;$AK410)+1)</f>
        <v/>
      </c>
      <c r="AM410">
        <f>IF($AL410="","",$AE410&amp;"|"&amp;RIGHT("000000"&amp;$AL410,6))</f>
        <v/>
      </c>
      <c r="AN410">
        <f>IF($AE410="","",IF(Sync!$W410="",0,Sync!$W410))</f>
        <v/>
      </c>
      <c r="AO410">
        <f>IF($AE410="","",IF(Sync!$X410="",0,Sync!$X410))</f>
        <v/>
      </c>
      <c r="AP410">
        <f>IF($AE410="","",Sync!$R410)</f>
        <v/>
      </c>
      <c r="AQ410">
        <f>IF($AE410="","",Sync!$Y410)</f>
        <v/>
      </c>
    </row>
    <row r="411">
      <c r="A411">
        <f>IF(OR(Wages!$B414="",Wages!$E414=""),"",Wages!$E414)</f>
        <v/>
      </c>
      <c r="B411">
        <f>IF($A411="","",IF(Wages!$C414="دستمزد گروهی",2,1))</f>
        <v/>
      </c>
      <c r="C411">
        <f>IF($A411="","",IF(ISNUMBER(Wages!$B414),IF(AND(Wages!$B414&gt;=10000101,Wages!$B414&lt;=99991231),INT(Wages!$B414/10000),""),IFERROR(VALUE(TRIM(LEFT(Wages!$B414,FIND("/",Wages!$B414)-1))),"")))</f>
        <v/>
      </c>
      <c r="D411">
        <f>IF(OR($A411="",$C411=""),"",IF(ISNUMBER(Wages!$B414),INT(MOD(Wages!$B414,10000)/100),IFERROR(VALUE(TRIM(LEFT(MID(Wages!$B414,FIND("/",Wages!$B414)+1,20),FIND("/",MID(Wages!$B414,FIND("/",Wages!$B414)+1,20))-1))),"")))</f>
        <v/>
      </c>
      <c r="E411">
        <f>IF(OR($A411="",$C411=""),"",IF(ISNUMBER(Wages!$B414),MOD(Wages!$B414,100),IFERROR(VALUE(TRIM(MID(MID(Wages!$B414,FIND("/",Wages!$B414)+1,20),FIND("/",MID(Wages!$B414,FIND("/",Wages!$B414)+1,20))+1,20))),"")))</f>
        <v/>
      </c>
      <c r="F411">
        <f>IF($A411="","",IF(OR($C411="",$D411="",$E411="",$C411&lt;1300,$C411&gt;1500,$D411&lt;1,$D411&gt;12,$E411&lt;1,$E411&gt;31),"نامعتبر",RIGHT("0000"&amp;$C411,4)&amp;"/"&amp;RIGHT("00"&amp;$D411,2)&amp;"/"&amp;RIGHT("00"&amp;$E411,2)))</f>
        <v/>
      </c>
      <c r="G411">
        <f>IF(OR($A411="",$F411="",$F411="نامعتبر"),"",LEFT($F411,4)&amp;MID($F411,6,2)&amp;RIGHT($F411,2)&amp;"0000"&amp;"|"&amp;"1"&amp;RIGHT("00000"&amp;406,5))</f>
        <v/>
      </c>
      <c r="H411">
        <f>IF(OR($B411&lt;&gt;1,$G411=""),"",COUNTIFS(LdAParty,$A411,LdAType,1,LdAKey,"&lt;"&amp;$G411)+COUNTIFS(LdBMember,$A411,LdBKey,"&lt;"&amp;$G411)+COUNTIFS(LdCParty,$A411,LdCKey,"&lt;"&amp;$G411)+1)</f>
        <v/>
      </c>
      <c r="I411">
        <f>IF($H411="","",$A411&amp;"|"&amp;RIGHT("000000"&amp;$H411,6))</f>
        <v/>
      </c>
      <c r="J411">
        <f>IF(OR($B411&lt;&gt;2,$G411=""),"",COUNTIFS(LdAParty,$A411,LdAType,2,LdAKey,"&lt;"&amp;$G411)+1)</f>
        <v/>
      </c>
      <c r="K411">
        <f>IF($J411="","",$A411&amp;"|"&amp;RIGHT("000000"&amp;$J411,6))</f>
        <v/>
      </c>
      <c r="L411">
        <f>IF($A411="","",IF(Wages!$G414="",0,Wages!$G414))</f>
        <v/>
      </c>
      <c r="M411">
        <f>IF($A411="","",Wages!$J414)</f>
        <v/>
      </c>
      <c r="N411">
        <f>IF($A411="","",Wages!$D414)</f>
        <v/>
      </c>
      <c r="P411">
        <f>IF(OR(Shares!$B414="",Shares!$C414=""),"",Shares!$C414)</f>
        <v/>
      </c>
      <c r="Q411">
        <f>IF($P411="","",Shares!$B414)</f>
        <v/>
      </c>
      <c r="R411">
        <f>IF($P411="","",IFERROR(INDEX(WageParty,MATCH($Q411,WageIds,0)),""))</f>
        <v/>
      </c>
      <c r="S411">
        <f>IF($P411="","",IFERROR(INDEX($F$6:$F$2005,MATCH($Q411,WageIds,0)),""))</f>
        <v/>
      </c>
      <c r="T411">
        <f>IF(OR($P411="",$S411="",$S411="نامعتبر"),"",LEFT($S411,4)&amp;MID($S411,6,2)&amp;RIGHT($S411,2)&amp;"0000"&amp;"|"&amp;"2"&amp;RIGHT("00000"&amp;406,5))</f>
        <v/>
      </c>
      <c r="U411">
        <f>IF($T411="","",COUNTIFS(LdAParty,$P411,LdAType,1,LdAKey,"&lt;"&amp;$T411)+COUNTIFS(LdBMember,$P411,LdBKey,"&lt;"&amp;$T411)+COUNTIFS(LdCParty,$P411,LdCKey,"&lt;"&amp;$T411)+1)</f>
        <v/>
      </c>
      <c r="V411">
        <f>IF($U411="","",$P411&amp;"|"&amp;RIGHT("000000"&amp;$U411,6))</f>
        <v/>
      </c>
      <c r="W411">
        <f>IF($T411="","",COUNTIFS(LdBGroup,$R411,LdBKey,"&lt;"&amp;$T411)+1)</f>
        <v/>
      </c>
      <c r="X411">
        <f>IF($W411="","",$R411&amp;"|"&amp;RIGHT("000000"&amp;$W411,6))</f>
        <v/>
      </c>
      <c r="Y411">
        <f>IF($P411="","",IF(Shares!$E414="",0,Shares!$E414))</f>
        <v/>
      </c>
      <c r="Z411">
        <f>IF($P411="","",Shares!$H414)</f>
        <v/>
      </c>
      <c r="AE411">
        <f>IF(OR(Sync!$S411="",Sync!$P411=""),"",Sync!$S411)</f>
        <v/>
      </c>
      <c r="AF411">
        <f>IF($AE411="","",IF(ISNUMBER(Sync!$P411),IF(AND(Sync!$P411&gt;=10000101,Sync!$P411&lt;=99991231),INT(Sync!$P411/10000),""),IFERROR(VALUE(TRIM(LEFT(Sync!$P411,FIND("/",Sync!$P411)-1))),"")))</f>
        <v/>
      </c>
      <c r="AG411">
        <f>IF(OR($AE411="",$AF411=""),"",IF(ISNUMBER(Sync!$P411),INT(MOD(Sync!$P411,10000)/100),IFERROR(VALUE(TRIM(LEFT(MID(Sync!$P411,FIND("/",Sync!$P411)+1,20),FIND("/",MID(Sync!$P411,FIND("/",Sync!$P411)+1,20))-1))),"")))</f>
        <v/>
      </c>
      <c r="AH411">
        <f>IF(OR($AE411="",$AF411=""),"",IF(ISNUMBER(Sync!$P411),MOD(Sync!$P411,100),IFERROR(VALUE(TRIM(MID(MID(Sync!$P411,FIND("/",Sync!$P411)+1,20),FIND("/",MID(Sync!$P411,FIND("/",Sync!$P411)+1,20))+1,20))),"")))</f>
        <v/>
      </c>
      <c r="AI411">
        <f>IF($AE411="","",IF(OR($AF411="",$AG411="",$AH411="",$AF411&lt;1300,$AF411&gt;1500,$AG411&lt;1,$AG411&gt;12,$AH411&lt;1,$AH411&gt;31),"نامعتبر",RIGHT("0000"&amp;$AF411,4)&amp;"/"&amp;RIGHT("00"&amp;$AG411,2)&amp;"/"&amp;RIGHT("00"&amp;$AH411,2)))</f>
        <v/>
      </c>
      <c r="AJ411">
        <f>IF($AE411="","",IF(Sync!$Q411="","0000",IF(AND(ISNUMBER(Sync!$Q411),Sync!$Q411&gt;=0,Sync!$Q411&lt;1),RIGHT("00"&amp;HOUR(Sync!$Q411),2)&amp;RIGHT("00"&amp;MINUTE(Sync!$Q411),2),IFERROR(RIGHT("00"&amp;VALUE(LEFT(Sync!$Q411,FIND(":",Sync!$Q411)-1)),2)&amp;RIGHT("00"&amp;VALUE(MID(Sync!$Q411,FIND(":",Sync!$Q411)+1,2)),2),"0000"))))</f>
        <v/>
      </c>
      <c r="AK411">
        <f>IF(OR($AE411="",$AI411="",$AI411="نامعتبر"),"",LEFT($AI411,4)&amp;MID($AI411,6,2)&amp;RIGHT($AI411,2)&amp;$AJ411&amp;"|"&amp;"3"&amp;RIGHT("00000"&amp;406,5))</f>
        <v/>
      </c>
      <c r="AL411">
        <f>IF($AK411="","",COUNTIFS(LdAParty,$AE411,LdAType,1,LdAKey,"&lt;"&amp;$AK411)+COUNTIFS(LdBMember,$AE411,LdBKey,"&lt;"&amp;$AK411)+COUNTIFS(LdCParty,$AE411,LdCKey,"&lt;"&amp;$AK411)+1)</f>
        <v/>
      </c>
      <c r="AM411">
        <f>IF($AL411="","",$AE411&amp;"|"&amp;RIGHT("000000"&amp;$AL411,6))</f>
        <v/>
      </c>
      <c r="AN411">
        <f>IF($AE411="","",IF(Sync!$W411="",0,Sync!$W411))</f>
        <v/>
      </c>
      <c r="AO411">
        <f>IF($AE411="","",IF(Sync!$X411="",0,Sync!$X411))</f>
        <v/>
      </c>
      <c r="AP411">
        <f>IF($AE411="","",Sync!$R411)</f>
        <v/>
      </c>
      <c r="AQ411">
        <f>IF($AE411="","",Sync!$Y411)</f>
        <v/>
      </c>
    </row>
    <row r="412">
      <c r="A412">
        <f>IF(OR(Wages!$B415="",Wages!$E415=""),"",Wages!$E415)</f>
        <v/>
      </c>
      <c r="B412">
        <f>IF($A412="","",IF(Wages!$C415="دستمزد گروهی",2,1))</f>
        <v/>
      </c>
      <c r="C412">
        <f>IF($A412="","",IF(ISNUMBER(Wages!$B415),IF(AND(Wages!$B415&gt;=10000101,Wages!$B415&lt;=99991231),INT(Wages!$B415/10000),""),IFERROR(VALUE(TRIM(LEFT(Wages!$B415,FIND("/",Wages!$B415)-1))),"")))</f>
        <v/>
      </c>
      <c r="D412">
        <f>IF(OR($A412="",$C412=""),"",IF(ISNUMBER(Wages!$B415),INT(MOD(Wages!$B415,10000)/100),IFERROR(VALUE(TRIM(LEFT(MID(Wages!$B415,FIND("/",Wages!$B415)+1,20),FIND("/",MID(Wages!$B415,FIND("/",Wages!$B415)+1,20))-1))),"")))</f>
        <v/>
      </c>
      <c r="E412">
        <f>IF(OR($A412="",$C412=""),"",IF(ISNUMBER(Wages!$B415),MOD(Wages!$B415,100),IFERROR(VALUE(TRIM(MID(MID(Wages!$B415,FIND("/",Wages!$B415)+1,20),FIND("/",MID(Wages!$B415,FIND("/",Wages!$B415)+1,20))+1,20))),"")))</f>
        <v/>
      </c>
      <c r="F412">
        <f>IF($A412="","",IF(OR($C412="",$D412="",$E412="",$C412&lt;1300,$C412&gt;1500,$D412&lt;1,$D412&gt;12,$E412&lt;1,$E412&gt;31),"نامعتبر",RIGHT("0000"&amp;$C412,4)&amp;"/"&amp;RIGHT("00"&amp;$D412,2)&amp;"/"&amp;RIGHT("00"&amp;$E412,2)))</f>
        <v/>
      </c>
      <c r="G412">
        <f>IF(OR($A412="",$F412="",$F412="نامعتبر"),"",LEFT($F412,4)&amp;MID($F412,6,2)&amp;RIGHT($F412,2)&amp;"0000"&amp;"|"&amp;"1"&amp;RIGHT("00000"&amp;407,5))</f>
        <v/>
      </c>
      <c r="H412">
        <f>IF(OR($B412&lt;&gt;1,$G412=""),"",COUNTIFS(LdAParty,$A412,LdAType,1,LdAKey,"&lt;"&amp;$G412)+COUNTIFS(LdBMember,$A412,LdBKey,"&lt;"&amp;$G412)+COUNTIFS(LdCParty,$A412,LdCKey,"&lt;"&amp;$G412)+1)</f>
        <v/>
      </c>
      <c r="I412">
        <f>IF($H412="","",$A412&amp;"|"&amp;RIGHT("000000"&amp;$H412,6))</f>
        <v/>
      </c>
      <c r="J412">
        <f>IF(OR($B412&lt;&gt;2,$G412=""),"",COUNTIFS(LdAParty,$A412,LdAType,2,LdAKey,"&lt;"&amp;$G412)+1)</f>
        <v/>
      </c>
      <c r="K412">
        <f>IF($J412="","",$A412&amp;"|"&amp;RIGHT("000000"&amp;$J412,6))</f>
        <v/>
      </c>
      <c r="L412">
        <f>IF($A412="","",IF(Wages!$G415="",0,Wages!$G415))</f>
        <v/>
      </c>
      <c r="M412">
        <f>IF($A412="","",Wages!$J415)</f>
        <v/>
      </c>
      <c r="N412">
        <f>IF($A412="","",Wages!$D415)</f>
        <v/>
      </c>
      <c r="P412">
        <f>IF(OR(Shares!$B415="",Shares!$C415=""),"",Shares!$C415)</f>
        <v/>
      </c>
      <c r="Q412">
        <f>IF($P412="","",Shares!$B415)</f>
        <v/>
      </c>
      <c r="R412">
        <f>IF($P412="","",IFERROR(INDEX(WageParty,MATCH($Q412,WageIds,0)),""))</f>
        <v/>
      </c>
      <c r="S412">
        <f>IF($P412="","",IFERROR(INDEX($F$6:$F$2005,MATCH($Q412,WageIds,0)),""))</f>
        <v/>
      </c>
      <c r="T412">
        <f>IF(OR($P412="",$S412="",$S412="نامعتبر"),"",LEFT($S412,4)&amp;MID($S412,6,2)&amp;RIGHT($S412,2)&amp;"0000"&amp;"|"&amp;"2"&amp;RIGHT("00000"&amp;407,5))</f>
        <v/>
      </c>
      <c r="U412">
        <f>IF($T412="","",COUNTIFS(LdAParty,$P412,LdAType,1,LdAKey,"&lt;"&amp;$T412)+COUNTIFS(LdBMember,$P412,LdBKey,"&lt;"&amp;$T412)+COUNTIFS(LdCParty,$P412,LdCKey,"&lt;"&amp;$T412)+1)</f>
        <v/>
      </c>
      <c r="V412">
        <f>IF($U412="","",$P412&amp;"|"&amp;RIGHT("000000"&amp;$U412,6))</f>
        <v/>
      </c>
      <c r="W412">
        <f>IF($T412="","",COUNTIFS(LdBGroup,$R412,LdBKey,"&lt;"&amp;$T412)+1)</f>
        <v/>
      </c>
      <c r="X412">
        <f>IF($W412="","",$R412&amp;"|"&amp;RIGHT("000000"&amp;$W412,6))</f>
        <v/>
      </c>
      <c r="Y412">
        <f>IF($P412="","",IF(Shares!$E415="",0,Shares!$E415))</f>
        <v/>
      </c>
      <c r="Z412">
        <f>IF($P412="","",Shares!$H415)</f>
        <v/>
      </c>
      <c r="AE412">
        <f>IF(OR(Sync!$S412="",Sync!$P412=""),"",Sync!$S412)</f>
        <v/>
      </c>
      <c r="AF412">
        <f>IF($AE412="","",IF(ISNUMBER(Sync!$P412),IF(AND(Sync!$P412&gt;=10000101,Sync!$P412&lt;=99991231),INT(Sync!$P412/10000),""),IFERROR(VALUE(TRIM(LEFT(Sync!$P412,FIND("/",Sync!$P412)-1))),"")))</f>
        <v/>
      </c>
      <c r="AG412">
        <f>IF(OR($AE412="",$AF412=""),"",IF(ISNUMBER(Sync!$P412),INT(MOD(Sync!$P412,10000)/100),IFERROR(VALUE(TRIM(LEFT(MID(Sync!$P412,FIND("/",Sync!$P412)+1,20),FIND("/",MID(Sync!$P412,FIND("/",Sync!$P412)+1,20))-1))),"")))</f>
        <v/>
      </c>
      <c r="AH412">
        <f>IF(OR($AE412="",$AF412=""),"",IF(ISNUMBER(Sync!$P412),MOD(Sync!$P412,100),IFERROR(VALUE(TRIM(MID(MID(Sync!$P412,FIND("/",Sync!$P412)+1,20),FIND("/",MID(Sync!$P412,FIND("/",Sync!$P412)+1,20))+1,20))),"")))</f>
        <v/>
      </c>
      <c r="AI412">
        <f>IF($AE412="","",IF(OR($AF412="",$AG412="",$AH412="",$AF412&lt;1300,$AF412&gt;1500,$AG412&lt;1,$AG412&gt;12,$AH412&lt;1,$AH412&gt;31),"نامعتبر",RIGHT("0000"&amp;$AF412,4)&amp;"/"&amp;RIGHT("00"&amp;$AG412,2)&amp;"/"&amp;RIGHT("00"&amp;$AH412,2)))</f>
        <v/>
      </c>
      <c r="AJ412">
        <f>IF($AE412="","",IF(Sync!$Q412="","0000",IF(AND(ISNUMBER(Sync!$Q412),Sync!$Q412&gt;=0,Sync!$Q412&lt;1),RIGHT("00"&amp;HOUR(Sync!$Q412),2)&amp;RIGHT("00"&amp;MINUTE(Sync!$Q412),2),IFERROR(RIGHT("00"&amp;VALUE(LEFT(Sync!$Q412,FIND(":",Sync!$Q412)-1)),2)&amp;RIGHT("00"&amp;VALUE(MID(Sync!$Q412,FIND(":",Sync!$Q412)+1,2)),2),"0000"))))</f>
        <v/>
      </c>
      <c r="AK412">
        <f>IF(OR($AE412="",$AI412="",$AI412="نامعتبر"),"",LEFT($AI412,4)&amp;MID($AI412,6,2)&amp;RIGHT($AI412,2)&amp;$AJ412&amp;"|"&amp;"3"&amp;RIGHT("00000"&amp;407,5))</f>
        <v/>
      </c>
      <c r="AL412">
        <f>IF($AK412="","",COUNTIFS(LdAParty,$AE412,LdAType,1,LdAKey,"&lt;"&amp;$AK412)+COUNTIFS(LdBMember,$AE412,LdBKey,"&lt;"&amp;$AK412)+COUNTIFS(LdCParty,$AE412,LdCKey,"&lt;"&amp;$AK412)+1)</f>
        <v/>
      </c>
      <c r="AM412">
        <f>IF($AL412="","",$AE412&amp;"|"&amp;RIGHT("000000"&amp;$AL412,6))</f>
        <v/>
      </c>
      <c r="AN412">
        <f>IF($AE412="","",IF(Sync!$W412="",0,Sync!$W412))</f>
        <v/>
      </c>
      <c r="AO412">
        <f>IF($AE412="","",IF(Sync!$X412="",0,Sync!$X412))</f>
        <v/>
      </c>
      <c r="AP412">
        <f>IF($AE412="","",Sync!$R412)</f>
        <v/>
      </c>
      <c r="AQ412">
        <f>IF($AE412="","",Sync!$Y412)</f>
        <v/>
      </c>
    </row>
    <row r="413">
      <c r="A413">
        <f>IF(OR(Wages!$B416="",Wages!$E416=""),"",Wages!$E416)</f>
        <v/>
      </c>
      <c r="B413">
        <f>IF($A413="","",IF(Wages!$C416="دستمزد گروهی",2,1))</f>
        <v/>
      </c>
      <c r="C413">
        <f>IF($A413="","",IF(ISNUMBER(Wages!$B416),IF(AND(Wages!$B416&gt;=10000101,Wages!$B416&lt;=99991231),INT(Wages!$B416/10000),""),IFERROR(VALUE(TRIM(LEFT(Wages!$B416,FIND("/",Wages!$B416)-1))),"")))</f>
        <v/>
      </c>
      <c r="D413">
        <f>IF(OR($A413="",$C413=""),"",IF(ISNUMBER(Wages!$B416),INT(MOD(Wages!$B416,10000)/100),IFERROR(VALUE(TRIM(LEFT(MID(Wages!$B416,FIND("/",Wages!$B416)+1,20),FIND("/",MID(Wages!$B416,FIND("/",Wages!$B416)+1,20))-1))),"")))</f>
        <v/>
      </c>
      <c r="E413">
        <f>IF(OR($A413="",$C413=""),"",IF(ISNUMBER(Wages!$B416),MOD(Wages!$B416,100),IFERROR(VALUE(TRIM(MID(MID(Wages!$B416,FIND("/",Wages!$B416)+1,20),FIND("/",MID(Wages!$B416,FIND("/",Wages!$B416)+1,20))+1,20))),"")))</f>
        <v/>
      </c>
      <c r="F413">
        <f>IF($A413="","",IF(OR($C413="",$D413="",$E413="",$C413&lt;1300,$C413&gt;1500,$D413&lt;1,$D413&gt;12,$E413&lt;1,$E413&gt;31),"نامعتبر",RIGHT("0000"&amp;$C413,4)&amp;"/"&amp;RIGHT("00"&amp;$D413,2)&amp;"/"&amp;RIGHT("00"&amp;$E413,2)))</f>
        <v/>
      </c>
      <c r="G413">
        <f>IF(OR($A413="",$F413="",$F413="نامعتبر"),"",LEFT($F413,4)&amp;MID($F413,6,2)&amp;RIGHT($F413,2)&amp;"0000"&amp;"|"&amp;"1"&amp;RIGHT("00000"&amp;408,5))</f>
        <v/>
      </c>
      <c r="H413">
        <f>IF(OR($B413&lt;&gt;1,$G413=""),"",COUNTIFS(LdAParty,$A413,LdAType,1,LdAKey,"&lt;"&amp;$G413)+COUNTIFS(LdBMember,$A413,LdBKey,"&lt;"&amp;$G413)+COUNTIFS(LdCParty,$A413,LdCKey,"&lt;"&amp;$G413)+1)</f>
        <v/>
      </c>
      <c r="I413">
        <f>IF($H413="","",$A413&amp;"|"&amp;RIGHT("000000"&amp;$H413,6))</f>
        <v/>
      </c>
      <c r="J413">
        <f>IF(OR($B413&lt;&gt;2,$G413=""),"",COUNTIFS(LdAParty,$A413,LdAType,2,LdAKey,"&lt;"&amp;$G413)+1)</f>
        <v/>
      </c>
      <c r="K413">
        <f>IF($J413="","",$A413&amp;"|"&amp;RIGHT("000000"&amp;$J413,6))</f>
        <v/>
      </c>
      <c r="L413">
        <f>IF($A413="","",IF(Wages!$G416="",0,Wages!$G416))</f>
        <v/>
      </c>
      <c r="M413">
        <f>IF($A413="","",Wages!$J416)</f>
        <v/>
      </c>
      <c r="N413">
        <f>IF($A413="","",Wages!$D416)</f>
        <v/>
      </c>
      <c r="P413">
        <f>IF(OR(Shares!$B416="",Shares!$C416=""),"",Shares!$C416)</f>
        <v/>
      </c>
      <c r="Q413">
        <f>IF($P413="","",Shares!$B416)</f>
        <v/>
      </c>
      <c r="R413">
        <f>IF($P413="","",IFERROR(INDEX(WageParty,MATCH($Q413,WageIds,0)),""))</f>
        <v/>
      </c>
      <c r="S413">
        <f>IF($P413="","",IFERROR(INDEX($F$6:$F$2005,MATCH($Q413,WageIds,0)),""))</f>
        <v/>
      </c>
      <c r="T413">
        <f>IF(OR($P413="",$S413="",$S413="نامعتبر"),"",LEFT($S413,4)&amp;MID($S413,6,2)&amp;RIGHT($S413,2)&amp;"0000"&amp;"|"&amp;"2"&amp;RIGHT("00000"&amp;408,5))</f>
        <v/>
      </c>
      <c r="U413">
        <f>IF($T413="","",COUNTIFS(LdAParty,$P413,LdAType,1,LdAKey,"&lt;"&amp;$T413)+COUNTIFS(LdBMember,$P413,LdBKey,"&lt;"&amp;$T413)+COUNTIFS(LdCParty,$P413,LdCKey,"&lt;"&amp;$T413)+1)</f>
        <v/>
      </c>
      <c r="V413">
        <f>IF($U413="","",$P413&amp;"|"&amp;RIGHT("000000"&amp;$U413,6))</f>
        <v/>
      </c>
      <c r="W413">
        <f>IF($T413="","",COUNTIFS(LdBGroup,$R413,LdBKey,"&lt;"&amp;$T413)+1)</f>
        <v/>
      </c>
      <c r="X413">
        <f>IF($W413="","",$R413&amp;"|"&amp;RIGHT("000000"&amp;$W413,6))</f>
        <v/>
      </c>
      <c r="Y413">
        <f>IF($P413="","",IF(Shares!$E416="",0,Shares!$E416))</f>
        <v/>
      </c>
      <c r="Z413">
        <f>IF($P413="","",Shares!$H416)</f>
        <v/>
      </c>
      <c r="AE413">
        <f>IF(OR(Sync!$S413="",Sync!$P413=""),"",Sync!$S413)</f>
        <v/>
      </c>
      <c r="AF413">
        <f>IF($AE413="","",IF(ISNUMBER(Sync!$P413),IF(AND(Sync!$P413&gt;=10000101,Sync!$P413&lt;=99991231),INT(Sync!$P413/10000),""),IFERROR(VALUE(TRIM(LEFT(Sync!$P413,FIND("/",Sync!$P413)-1))),"")))</f>
        <v/>
      </c>
      <c r="AG413">
        <f>IF(OR($AE413="",$AF413=""),"",IF(ISNUMBER(Sync!$P413),INT(MOD(Sync!$P413,10000)/100),IFERROR(VALUE(TRIM(LEFT(MID(Sync!$P413,FIND("/",Sync!$P413)+1,20),FIND("/",MID(Sync!$P413,FIND("/",Sync!$P413)+1,20))-1))),"")))</f>
        <v/>
      </c>
      <c r="AH413">
        <f>IF(OR($AE413="",$AF413=""),"",IF(ISNUMBER(Sync!$P413),MOD(Sync!$P413,100),IFERROR(VALUE(TRIM(MID(MID(Sync!$P413,FIND("/",Sync!$P413)+1,20),FIND("/",MID(Sync!$P413,FIND("/",Sync!$P413)+1,20))+1,20))),"")))</f>
        <v/>
      </c>
      <c r="AI413">
        <f>IF($AE413="","",IF(OR($AF413="",$AG413="",$AH413="",$AF413&lt;1300,$AF413&gt;1500,$AG413&lt;1,$AG413&gt;12,$AH413&lt;1,$AH413&gt;31),"نامعتبر",RIGHT("0000"&amp;$AF413,4)&amp;"/"&amp;RIGHT("00"&amp;$AG413,2)&amp;"/"&amp;RIGHT("00"&amp;$AH413,2)))</f>
        <v/>
      </c>
      <c r="AJ413">
        <f>IF($AE413="","",IF(Sync!$Q413="","0000",IF(AND(ISNUMBER(Sync!$Q413),Sync!$Q413&gt;=0,Sync!$Q413&lt;1),RIGHT("00"&amp;HOUR(Sync!$Q413),2)&amp;RIGHT("00"&amp;MINUTE(Sync!$Q413),2),IFERROR(RIGHT("00"&amp;VALUE(LEFT(Sync!$Q413,FIND(":",Sync!$Q413)-1)),2)&amp;RIGHT("00"&amp;VALUE(MID(Sync!$Q413,FIND(":",Sync!$Q413)+1,2)),2),"0000"))))</f>
        <v/>
      </c>
      <c r="AK413">
        <f>IF(OR($AE413="",$AI413="",$AI413="نامعتبر"),"",LEFT($AI413,4)&amp;MID($AI413,6,2)&amp;RIGHT($AI413,2)&amp;$AJ413&amp;"|"&amp;"3"&amp;RIGHT("00000"&amp;408,5))</f>
        <v/>
      </c>
      <c r="AL413">
        <f>IF($AK413="","",COUNTIFS(LdAParty,$AE413,LdAType,1,LdAKey,"&lt;"&amp;$AK413)+COUNTIFS(LdBMember,$AE413,LdBKey,"&lt;"&amp;$AK413)+COUNTIFS(LdCParty,$AE413,LdCKey,"&lt;"&amp;$AK413)+1)</f>
        <v/>
      </c>
      <c r="AM413">
        <f>IF($AL413="","",$AE413&amp;"|"&amp;RIGHT("000000"&amp;$AL413,6))</f>
        <v/>
      </c>
      <c r="AN413">
        <f>IF($AE413="","",IF(Sync!$W413="",0,Sync!$W413))</f>
        <v/>
      </c>
      <c r="AO413">
        <f>IF($AE413="","",IF(Sync!$X413="",0,Sync!$X413))</f>
        <v/>
      </c>
      <c r="AP413">
        <f>IF($AE413="","",Sync!$R413)</f>
        <v/>
      </c>
      <c r="AQ413">
        <f>IF($AE413="","",Sync!$Y413)</f>
        <v/>
      </c>
    </row>
    <row r="414">
      <c r="A414">
        <f>IF(OR(Wages!$B417="",Wages!$E417=""),"",Wages!$E417)</f>
        <v/>
      </c>
      <c r="B414">
        <f>IF($A414="","",IF(Wages!$C417="دستمزد گروهی",2,1))</f>
        <v/>
      </c>
      <c r="C414">
        <f>IF($A414="","",IF(ISNUMBER(Wages!$B417),IF(AND(Wages!$B417&gt;=10000101,Wages!$B417&lt;=99991231),INT(Wages!$B417/10000),""),IFERROR(VALUE(TRIM(LEFT(Wages!$B417,FIND("/",Wages!$B417)-1))),"")))</f>
        <v/>
      </c>
      <c r="D414">
        <f>IF(OR($A414="",$C414=""),"",IF(ISNUMBER(Wages!$B417),INT(MOD(Wages!$B417,10000)/100),IFERROR(VALUE(TRIM(LEFT(MID(Wages!$B417,FIND("/",Wages!$B417)+1,20),FIND("/",MID(Wages!$B417,FIND("/",Wages!$B417)+1,20))-1))),"")))</f>
        <v/>
      </c>
      <c r="E414">
        <f>IF(OR($A414="",$C414=""),"",IF(ISNUMBER(Wages!$B417),MOD(Wages!$B417,100),IFERROR(VALUE(TRIM(MID(MID(Wages!$B417,FIND("/",Wages!$B417)+1,20),FIND("/",MID(Wages!$B417,FIND("/",Wages!$B417)+1,20))+1,20))),"")))</f>
        <v/>
      </c>
      <c r="F414">
        <f>IF($A414="","",IF(OR($C414="",$D414="",$E414="",$C414&lt;1300,$C414&gt;1500,$D414&lt;1,$D414&gt;12,$E414&lt;1,$E414&gt;31),"نامعتبر",RIGHT("0000"&amp;$C414,4)&amp;"/"&amp;RIGHT("00"&amp;$D414,2)&amp;"/"&amp;RIGHT("00"&amp;$E414,2)))</f>
        <v/>
      </c>
      <c r="G414">
        <f>IF(OR($A414="",$F414="",$F414="نامعتبر"),"",LEFT($F414,4)&amp;MID($F414,6,2)&amp;RIGHT($F414,2)&amp;"0000"&amp;"|"&amp;"1"&amp;RIGHT("00000"&amp;409,5))</f>
        <v/>
      </c>
      <c r="H414">
        <f>IF(OR($B414&lt;&gt;1,$G414=""),"",COUNTIFS(LdAParty,$A414,LdAType,1,LdAKey,"&lt;"&amp;$G414)+COUNTIFS(LdBMember,$A414,LdBKey,"&lt;"&amp;$G414)+COUNTIFS(LdCParty,$A414,LdCKey,"&lt;"&amp;$G414)+1)</f>
        <v/>
      </c>
      <c r="I414">
        <f>IF($H414="","",$A414&amp;"|"&amp;RIGHT("000000"&amp;$H414,6))</f>
        <v/>
      </c>
      <c r="J414">
        <f>IF(OR($B414&lt;&gt;2,$G414=""),"",COUNTIFS(LdAParty,$A414,LdAType,2,LdAKey,"&lt;"&amp;$G414)+1)</f>
        <v/>
      </c>
      <c r="K414">
        <f>IF($J414="","",$A414&amp;"|"&amp;RIGHT("000000"&amp;$J414,6))</f>
        <v/>
      </c>
      <c r="L414">
        <f>IF($A414="","",IF(Wages!$G417="",0,Wages!$G417))</f>
        <v/>
      </c>
      <c r="M414">
        <f>IF($A414="","",Wages!$J417)</f>
        <v/>
      </c>
      <c r="N414">
        <f>IF($A414="","",Wages!$D417)</f>
        <v/>
      </c>
      <c r="P414">
        <f>IF(OR(Shares!$B417="",Shares!$C417=""),"",Shares!$C417)</f>
        <v/>
      </c>
      <c r="Q414">
        <f>IF($P414="","",Shares!$B417)</f>
        <v/>
      </c>
      <c r="R414">
        <f>IF($P414="","",IFERROR(INDEX(WageParty,MATCH($Q414,WageIds,0)),""))</f>
        <v/>
      </c>
      <c r="S414">
        <f>IF($P414="","",IFERROR(INDEX($F$6:$F$2005,MATCH($Q414,WageIds,0)),""))</f>
        <v/>
      </c>
      <c r="T414">
        <f>IF(OR($P414="",$S414="",$S414="نامعتبر"),"",LEFT($S414,4)&amp;MID($S414,6,2)&amp;RIGHT($S414,2)&amp;"0000"&amp;"|"&amp;"2"&amp;RIGHT("00000"&amp;409,5))</f>
        <v/>
      </c>
      <c r="U414">
        <f>IF($T414="","",COUNTIFS(LdAParty,$P414,LdAType,1,LdAKey,"&lt;"&amp;$T414)+COUNTIFS(LdBMember,$P414,LdBKey,"&lt;"&amp;$T414)+COUNTIFS(LdCParty,$P414,LdCKey,"&lt;"&amp;$T414)+1)</f>
        <v/>
      </c>
      <c r="V414">
        <f>IF($U414="","",$P414&amp;"|"&amp;RIGHT("000000"&amp;$U414,6))</f>
        <v/>
      </c>
      <c r="W414">
        <f>IF($T414="","",COUNTIFS(LdBGroup,$R414,LdBKey,"&lt;"&amp;$T414)+1)</f>
        <v/>
      </c>
      <c r="X414">
        <f>IF($W414="","",$R414&amp;"|"&amp;RIGHT("000000"&amp;$W414,6))</f>
        <v/>
      </c>
      <c r="Y414">
        <f>IF($P414="","",IF(Shares!$E417="",0,Shares!$E417))</f>
        <v/>
      </c>
      <c r="Z414">
        <f>IF($P414="","",Shares!$H417)</f>
        <v/>
      </c>
      <c r="AE414">
        <f>IF(OR(Sync!$S414="",Sync!$P414=""),"",Sync!$S414)</f>
        <v/>
      </c>
      <c r="AF414">
        <f>IF($AE414="","",IF(ISNUMBER(Sync!$P414),IF(AND(Sync!$P414&gt;=10000101,Sync!$P414&lt;=99991231),INT(Sync!$P414/10000),""),IFERROR(VALUE(TRIM(LEFT(Sync!$P414,FIND("/",Sync!$P414)-1))),"")))</f>
        <v/>
      </c>
      <c r="AG414">
        <f>IF(OR($AE414="",$AF414=""),"",IF(ISNUMBER(Sync!$P414),INT(MOD(Sync!$P414,10000)/100),IFERROR(VALUE(TRIM(LEFT(MID(Sync!$P414,FIND("/",Sync!$P414)+1,20),FIND("/",MID(Sync!$P414,FIND("/",Sync!$P414)+1,20))-1))),"")))</f>
        <v/>
      </c>
      <c r="AH414">
        <f>IF(OR($AE414="",$AF414=""),"",IF(ISNUMBER(Sync!$P414),MOD(Sync!$P414,100),IFERROR(VALUE(TRIM(MID(MID(Sync!$P414,FIND("/",Sync!$P414)+1,20),FIND("/",MID(Sync!$P414,FIND("/",Sync!$P414)+1,20))+1,20))),"")))</f>
        <v/>
      </c>
      <c r="AI414">
        <f>IF($AE414="","",IF(OR($AF414="",$AG414="",$AH414="",$AF414&lt;1300,$AF414&gt;1500,$AG414&lt;1,$AG414&gt;12,$AH414&lt;1,$AH414&gt;31),"نامعتبر",RIGHT("0000"&amp;$AF414,4)&amp;"/"&amp;RIGHT("00"&amp;$AG414,2)&amp;"/"&amp;RIGHT("00"&amp;$AH414,2)))</f>
        <v/>
      </c>
      <c r="AJ414">
        <f>IF($AE414="","",IF(Sync!$Q414="","0000",IF(AND(ISNUMBER(Sync!$Q414),Sync!$Q414&gt;=0,Sync!$Q414&lt;1),RIGHT("00"&amp;HOUR(Sync!$Q414),2)&amp;RIGHT("00"&amp;MINUTE(Sync!$Q414),2),IFERROR(RIGHT("00"&amp;VALUE(LEFT(Sync!$Q414,FIND(":",Sync!$Q414)-1)),2)&amp;RIGHT("00"&amp;VALUE(MID(Sync!$Q414,FIND(":",Sync!$Q414)+1,2)),2),"0000"))))</f>
        <v/>
      </c>
      <c r="AK414">
        <f>IF(OR($AE414="",$AI414="",$AI414="نامعتبر"),"",LEFT($AI414,4)&amp;MID($AI414,6,2)&amp;RIGHT($AI414,2)&amp;$AJ414&amp;"|"&amp;"3"&amp;RIGHT("00000"&amp;409,5))</f>
        <v/>
      </c>
      <c r="AL414">
        <f>IF($AK414="","",COUNTIFS(LdAParty,$AE414,LdAType,1,LdAKey,"&lt;"&amp;$AK414)+COUNTIFS(LdBMember,$AE414,LdBKey,"&lt;"&amp;$AK414)+COUNTIFS(LdCParty,$AE414,LdCKey,"&lt;"&amp;$AK414)+1)</f>
        <v/>
      </c>
      <c r="AM414">
        <f>IF($AL414="","",$AE414&amp;"|"&amp;RIGHT("000000"&amp;$AL414,6))</f>
        <v/>
      </c>
      <c r="AN414">
        <f>IF($AE414="","",IF(Sync!$W414="",0,Sync!$W414))</f>
        <v/>
      </c>
      <c r="AO414">
        <f>IF($AE414="","",IF(Sync!$X414="",0,Sync!$X414))</f>
        <v/>
      </c>
      <c r="AP414">
        <f>IF($AE414="","",Sync!$R414)</f>
        <v/>
      </c>
      <c r="AQ414">
        <f>IF($AE414="","",Sync!$Y414)</f>
        <v/>
      </c>
    </row>
    <row r="415">
      <c r="A415">
        <f>IF(OR(Wages!$B418="",Wages!$E418=""),"",Wages!$E418)</f>
        <v/>
      </c>
      <c r="B415">
        <f>IF($A415="","",IF(Wages!$C418="دستمزد گروهی",2,1))</f>
        <v/>
      </c>
      <c r="C415">
        <f>IF($A415="","",IF(ISNUMBER(Wages!$B418),IF(AND(Wages!$B418&gt;=10000101,Wages!$B418&lt;=99991231),INT(Wages!$B418/10000),""),IFERROR(VALUE(TRIM(LEFT(Wages!$B418,FIND("/",Wages!$B418)-1))),"")))</f>
        <v/>
      </c>
      <c r="D415">
        <f>IF(OR($A415="",$C415=""),"",IF(ISNUMBER(Wages!$B418),INT(MOD(Wages!$B418,10000)/100),IFERROR(VALUE(TRIM(LEFT(MID(Wages!$B418,FIND("/",Wages!$B418)+1,20),FIND("/",MID(Wages!$B418,FIND("/",Wages!$B418)+1,20))-1))),"")))</f>
        <v/>
      </c>
      <c r="E415">
        <f>IF(OR($A415="",$C415=""),"",IF(ISNUMBER(Wages!$B418),MOD(Wages!$B418,100),IFERROR(VALUE(TRIM(MID(MID(Wages!$B418,FIND("/",Wages!$B418)+1,20),FIND("/",MID(Wages!$B418,FIND("/",Wages!$B418)+1,20))+1,20))),"")))</f>
        <v/>
      </c>
      <c r="F415">
        <f>IF($A415="","",IF(OR($C415="",$D415="",$E415="",$C415&lt;1300,$C415&gt;1500,$D415&lt;1,$D415&gt;12,$E415&lt;1,$E415&gt;31),"نامعتبر",RIGHT("0000"&amp;$C415,4)&amp;"/"&amp;RIGHT("00"&amp;$D415,2)&amp;"/"&amp;RIGHT("00"&amp;$E415,2)))</f>
        <v/>
      </c>
      <c r="G415">
        <f>IF(OR($A415="",$F415="",$F415="نامعتبر"),"",LEFT($F415,4)&amp;MID($F415,6,2)&amp;RIGHT($F415,2)&amp;"0000"&amp;"|"&amp;"1"&amp;RIGHT("00000"&amp;410,5))</f>
        <v/>
      </c>
      <c r="H415">
        <f>IF(OR($B415&lt;&gt;1,$G415=""),"",COUNTIFS(LdAParty,$A415,LdAType,1,LdAKey,"&lt;"&amp;$G415)+COUNTIFS(LdBMember,$A415,LdBKey,"&lt;"&amp;$G415)+COUNTIFS(LdCParty,$A415,LdCKey,"&lt;"&amp;$G415)+1)</f>
        <v/>
      </c>
      <c r="I415">
        <f>IF($H415="","",$A415&amp;"|"&amp;RIGHT("000000"&amp;$H415,6))</f>
        <v/>
      </c>
      <c r="J415">
        <f>IF(OR($B415&lt;&gt;2,$G415=""),"",COUNTIFS(LdAParty,$A415,LdAType,2,LdAKey,"&lt;"&amp;$G415)+1)</f>
        <v/>
      </c>
      <c r="K415">
        <f>IF($J415="","",$A415&amp;"|"&amp;RIGHT("000000"&amp;$J415,6))</f>
        <v/>
      </c>
      <c r="L415">
        <f>IF($A415="","",IF(Wages!$G418="",0,Wages!$G418))</f>
        <v/>
      </c>
      <c r="M415">
        <f>IF($A415="","",Wages!$J418)</f>
        <v/>
      </c>
      <c r="N415">
        <f>IF($A415="","",Wages!$D418)</f>
        <v/>
      </c>
      <c r="P415">
        <f>IF(OR(Shares!$B418="",Shares!$C418=""),"",Shares!$C418)</f>
        <v/>
      </c>
      <c r="Q415">
        <f>IF($P415="","",Shares!$B418)</f>
        <v/>
      </c>
      <c r="R415">
        <f>IF($P415="","",IFERROR(INDEX(WageParty,MATCH($Q415,WageIds,0)),""))</f>
        <v/>
      </c>
      <c r="S415">
        <f>IF($P415="","",IFERROR(INDEX($F$6:$F$2005,MATCH($Q415,WageIds,0)),""))</f>
        <v/>
      </c>
      <c r="T415">
        <f>IF(OR($P415="",$S415="",$S415="نامعتبر"),"",LEFT($S415,4)&amp;MID($S415,6,2)&amp;RIGHT($S415,2)&amp;"0000"&amp;"|"&amp;"2"&amp;RIGHT("00000"&amp;410,5))</f>
        <v/>
      </c>
      <c r="U415">
        <f>IF($T415="","",COUNTIFS(LdAParty,$P415,LdAType,1,LdAKey,"&lt;"&amp;$T415)+COUNTIFS(LdBMember,$P415,LdBKey,"&lt;"&amp;$T415)+COUNTIFS(LdCParty,$P415,LdCKey,"&lt;"&amp;$T415)+1)</f>
        <v/>
      </c>
      <c r="V415">
        <f>IF($U415="","",$P415&amp;"|"&amp;RIGHT("000000"&amp;$U415,6))</f>
        <v/>
      </c>
      <c r="W415">
        <f>IF($T415="","",COUNTIFS(LdBGroup,$R415,LdBKey,"&lt;"&amp;$T415)+1)</f>
        <v/>
      </c>
      <c r="X415">
        <f>IF($W415="","",$R415&amp;"|"&amp;RIGHT("000000"&amp;$W415,6))</f>
        <v/>
      </c>
      <c r="Y415">
        <f>IF($P415="","",IF(Shares!$E418="",0,Shares!$E418))</f>
        <v/>
      </c>
      <c r="Z415">
        <f>IF($P415="","",Shares!$H418)</f>
        <v/>
      </c>
      <c r="AE415">
        <f>IF(OR(Sync!$S415="",Sync!$P415=""),"",Sync!$S415)</f>
        <v/>
      </c>
      <c r="AF415">
        <f>IF($AE415="","",IF(ISNUMBER(Sync!$P415),IF(AND(Sync!$P415&gt;=10000101,Sync!$P415&lt;=99991231),INT(Sync!$P415/10000),""),IFERROR(VALUE(TRIM(LEFT(Sync!$P415,FIND("/",Sync!$P415)-1))),"")))</f>
        <v/>
      </c>
      <c r="AG415">
        <f>IF(OR($AE415="",$AF415=""),"",IF(ISNUMBER(Sync!$P415),INT(MOD(Sync!$P415,10000)/100),IFERROR(VALUE(TRIM(LEFT(MID(Sync!$P415,FIND("/",Sync!$P415)+1,20),FIND("/",MID(Sync!$P415,FIND("/",Sync!$P415)+1,20))-1))),"")))</f>
        <v/>
      </c>
      <c r="AH415">
        <f>IF(OR($AE415="",$AF415=""),"",IF(ISNUMBER(Sync!$P415),MOD(Sync!$P415,100),IFERROR(VALUE(TRIM(MID(MID(Sync!$P415,FIND("/",Sync!$P415)+1,20),FIND("/",MID(Sync!$P415,FIND("/",Sync!$P415)+1,20))+1,20))),"")))</f>
        <v/>
      </c>
      <c r="AI415">
        <f>IF($AE415="","",IF(OR($AF415="",$AG415="",$AH415="",$AF415&lt;1300,$AF415&gt;1500,$AG415&lt;1,$AG415&gt;12,$AH415&lt;1,$AH415&gt;31),"نامعتبر",RIGHT("0000"&amp;$AF415,4)&amp;"/"&amp;RIGHT("00"&amp;$AG415,2)&amp;"/"&amp;RIGHT("00"&amp;$AH415,2)))</f>
        <v/>
      </c>
      <c r="AJ415">
        <f>IF($AE415="","",IF(Sync!$Q415="","0000",IF(AND(ISNUMBER(Sync!$Q415),Sync!$Q415&gt;=0,Sync!$Q415&lt;1),RIGHT("00"&amp;HOUR(Sync!$Q415),2)&amp;RIGHT("00"&amp;MINUTE(Sync!$Q415),2),IFERROR(RIGHT("00"&amp;VALUE(LEFT(Sync!$Q415,FIND(":",Sync!$Q415)-1)),2)&amp;RIGHT("00"&amp;VALUE(MID(Sync!$Q415,FIND(":",Sync!$Q415)+1,2)),2),"0000"))))</f>
        <v/>
      </c>
      <c r="AK415">
        <f>IF(OR($AE415="",$AI415="",$AI415="نامعتبر"),"",LEFT($AI415,4)&amp;MID($AI415,6,2)&amp;RIGHT($AI415,2)&amp;$AJ415&amp;"|"&amp;"3"&amp;RIGHT("00000"&amp;410,5))</f>
        <v/>
      </c>
      <c r="AL415">
        <f>IF($AK415="","",COUNTIFS(LdAParty,$AE415,LdAType,1,LdAKey,"&lt;"&amp;$AK415)+COUNTIFS(LdBMember,$AE415,LdBKey,"&lt;"&amp;$AK415)+COUNTIFS(LdCParty,$AE415,LdCKey,"&lt;"&amp;$AK415)+1)</f>
        <v/>
      </c>
      <c r="AM415">
        <f>IF($AL415="","",$AE415&amp;"|"&amp;RIGHT("000000"&amp;$AL415,6))</f>
        <v/>
      </c>
      <c r="AN415">
        <f>IF($AE415="","",IF(Sync!$W415="",0,Sync!$W415))</f>
        <v/>
      </c>
      <c r="AO415">
        <f>IF($AE415="","",IF(Sync!$X415="",0,Sync!$X415))</f>
        <v/>
      </c>
      <c r="AP415">
        <f>IF($AE415="","",Sync!$R415)</f>
        <v/>
      </c>
      <c r="AQ415">
        <f>IF($AE415="","",Sync!$Y415)</f>
        <v/>
      </c>
    </row>
    <row r="416">
      <c r="A416">
        <f>IF(OR(Wages!$B419="",Wages!$E419=""),"",Wages!$E419)</f>
        <v/>
      </c>
      <c r="B416">
        <f>IF($A416="","",IF(Wages!$C419="دستمزد گروهی",2,1))</f>
        <v/>
      </c>
      <c r="C416">
        <f>IF($A416="","",IF(ISNUMBER(Wages!$B419),IF(AND(Wages!$B419&gt;=10000101,Wages!$B419&lt;=99991231),INT(Wages!$B419/10000),""),IFERROR(VALUE(TRIM(LEFT(Wages!$B419,FIND("/",Wages!$B419)-1))),"")))</f>
        <v/>
      </c>
      <c r="D416">
        <f>IF(OR($A416="",$C416=""),"",IF(ISNUMBER(Wages!$B419),INT(MOD(Wages!$B419,10000)/100),IFERROR(VALUE(TRIM(LEFT(MID(Wages!$B419,FIND("/",Wages!$B419)+1,20),FIND("/",MID(Wages!$B419,FIND("/",Wages!$B419)+1,20))-1))),"")))</f>
        <v/>
      </c>
      <c r="E416">
        <f>IF(OR($A416="",$C416=""),"",IF(ISNUMBER(Wages!$B419),MOD(Wages!$B419,100),IFERROR(VALUE(TRIM(MID(MID(Wages!$B419,FIND("/",Wages!$B419)+1,20),FIND("/",MID(Wages!$B419,FIND("/",Wages!$B419)+1,20))+1,20))),"")))</f>
        <v/>
      </c>
      <c r="F416">
        <f>IF($A416="","",IF(OR($C416="",$D416="",$E416="",$C416&lt;1300,$C416&gt;1500,$D416&lt;1,$D416&gt;12,$E416&lt;1,$E416&gt;31),"نامعتبر",RIGHT("0000"&amp;$C416,4)&amp;"/"&amp;RIGHT("00"&amp;$D416,2)&amp;"/"&amp;RIGHT("00"&amp;$E416,2)))</f>
        <v/>
      </c>
      <c r="G416">
        <f>IF(OR($A416="",$F416="",$F416="نامعتبر"),"",LEFT($F416,4)&amp;MID($F416,6,2)&amp;RIGHT($F416,2)&amp;"0000"&amp;"|"&amp;"1"&amp;RIGHT("00000"&amp;411,5))</f>
        <v/>
      </c>
      <c r="H416">
        <f>IF(OR($B416&lt;&gt;1,$G416=""),"",COUNTIFS(LdAParty,$A416,LdAType,1,LdAKey,"&lt;"&amp;$G416)+COUNTIFS(LdBMember,$A416,LdBKey,"&lt;"&amp;$G416)+COUNTIFS(LdCParty,$A416,LdCKey,"&lt;"&amp;$G416)+1)</f>
        <v/>
      </c>
      <c r="I416">
        <f>IF($H416="","",$A416&amp;"|"&amp;RIGHT("000000"&amp;$H416,6))</f>
        <v/>
      </c>
      <c r="J416">
        <f>IF(OR($B416&lt;&gt;2,$G416=""),"",COUNTIFS(LdAParty,$A416,LdAType,2,LdAKey,"&lt;"&amp;$G416)+1)</f>
        <v/>
      </c>
      <c r="K416">
        <f>IF($J416="","",$A416&amp;"|"&amp;RIGHT("000000"&amp;$J416,6))</f>
        <v/>
      </c>
      <c r="L416">
        <f>IF($A416="","",IF(Wages!$G419="",0,Wages!$G419))</f>
        <v/>
      </c>
      <c r="M416">
        <f>IF($A416="","",Wages!$J419)</f>
        <v/>
      </c>
      <c r="N416">
        <f>IF($A416="","",Wages!$D419)</f>
        <v/>
      </c>
      <c r="P416">
        <f>IF(OR(Shares!$B419="",Shares!$C419=""),"",Shares!$C419)</f>
        <v/>
      </c>
      <c r="Q416">
        <f>IF($P416="","",Shares!$B419)</f>
        <v/>
      </c>
      <c r="R416">
        <f>IF($P416="","",IFERROR(INDEX(WageParty,MATCH($Q416,WageIds,0)),""))</f>
        <v/>
      </c>
      <c r="S416">
        <f>IF($P416="","",IFERROR(INDEX($F$6:$F$2005,MATCH($Q416,WageIds,0)),""))</f>
        <v/>
      </c>
      <c r="T416">
        <f>IF(OR($P416="",$S416="",$S416="نامعتبر"),"",LEFT($S416,4)&amp;MID($S416,6,2)&amp;RIGHT($S416,2)&amp;"0000"&amp;"|"&amp;"2"&amp;RIGHT("00000"&amp;411,5))</f>
        <v/>
      </c>
      <c r="U416">
        <f>IF($T416="","",COUNTIFS(LdAParty,$P416,LdAType,1,LdAKey,"&lt;"&amp;$T416)+COUNTIFS(LdBMember,$P416,LdBKey,"&lt;"&amp;$T416)+COUNTIFS(LdCParty,$P416,LdCKey,"&lt;"&amp;$T416)+1)</f>
        <v/>
      </c>
      <c r="V416">
        <f>IF($U416="","",$P416&amp;"|"&amp;RIGHT("000000"&amp;$U416,6))</f>
        <v/>
      </c>
      <c r="W416">
        <f>IF($T416="","",COUNTIFS(LdBGroup,$R416,LdBKey,"&lt;"&amp;$T416)+1)</f>
        <v/>
      </c>
      <c r="X416">
        <f>IF($W416="","",$R416&amp;"|"&amp;RIGHT("000000"&amp;$W416,6))</f>
        <v/>
      </c>
      <c r="Y416">
        <f>IF($P416="","",IF(Shares!$E419="",0,Shares!$E419))</f>
        <v/>
      </c>
      <c r="Z416">
        <f>IF($P416="","",Shares!$H419)</f>
        <v/>
      </c>
      <c r="AE416">
        <f>IF(OR(Sync!$S416="",Sync!$P416=""),"",Sync!$S416)</f>
        <v/>
      </c>
      <c r="AF416">
        <f>IF($AE416="","",IF(ISNUMBER(Sync!$P416),IF(AND(Sync!$P416&gt;=10000101,Sync!$P416&lt;=99991231),INT(Sync!$P416/10000),""),IFERROR(VALUE(TRIM(LEFT(Sync!$P416,FIND("/",Sync!$P416)-1))),"")))</f>
        <v/>
      </c>
      <c r="AG416">
        <f>IF(OR($AE416="",$AF416=""),"",IF(ISNUMBER(Sync!$P416),INT(MOD(Sync!$P416,10000)/100),IFERROR(VALUE(TRIM(LEFT(MID(Sync!$P416,FIND("/",Sync!$P416)+1,20),FIND("/",MID(Sync!$P416,FIND("/",Sync!$P416)+1,20))-1))),"")))</f>
        <v/>
      </c>
      <c r="AH416">
        <f>IF(OR($AE416="",$AF416=""),"",IF(ISNUMBER(Sync!$P416),MOD(Sync!$P416,100),IFERROR(VALUE(TRIM(MID(MID(Sync!$P416,FIND("/",Sync!$P416)+1,20),FIND("/",MID(Sync!$P416,FIND("/",Sync!$P416)+1,20))+1,20))),"")))</f>
        <v/>
      </c>
      <c r="AI416">
        <f>IF($AE416="","",IF(OR($AF416="",$AG416="",$AH416="",$AF416&lt;1300,$AF416&gt;1500,$AG416&lt;1,$AG416&gt;12,$AH416&lt;1,$AH416&gt;31),"نامعتبر",RIGHT("0000"&amp;$AF416,4)&amp;"/"&amp;RIGHT("00"&amp;$AG416,2)&amp;"/"&amp;RIGHT("00"&amp;$AH416,2)))</f>
        <v/>
      </c>
      <c r="AJ416">
        <f>IF($AE416="","",IF(Sync!$Q416="","0000",IF(AND(ISNUMBER(Sync!$Q416),Sync!$Q416&gt;=0,Sync!$Q416&lt;1),RIGHT("00"&amp;HOUR(Sync!$Q416),2)&amp;RIGHT("00"&amp;MINUTE(Sync!$Q416),2),IFERROR(RIGHT("00"&amp;VALUE(LEFT(Sync!$Q416,FIND(":",Sync!$Q416)-1)),2)&amp;RIGHT("00"&amp;VALUE(MID(Sync!$Q416,FIND(":",Sync!$Q416)+1,2)),2),"0000"))))</f>
        <v/>
      </c>
      <c r="AK416">
        <f>IF(OR($AE416="",$AI416="",$AI416="نامعتبر"),"",LEFT($AI416,4)&amp;MID($AI416,6,2)&amp;RIGHT($AI416,2)&amp;$AJ416&amp;"|"&amp;"3"&amp;RIGHT("00000"&amp;411,5))</f>
        <v/>
      </c>
      <c r="AL416">
        <f>IF($AK416="","",COUNTIFS(LdAParty,$AE416,LdAType,1,LdAKey,"&lt;"&amp;$AK416)+COUNTIFS(LdBMember,$AE416,LdBKey,"&lt;"&amp;$AK416)+COUNTIFS(LdCParty,$AE416,LdCKey,"&lt;"&amp;$AK416)+1)</f>
        <v/>
      </c>
      <c r="AM416">
        <f>IF($AL416="","",$AE416&amp;"|"&amp;RIGHT("000000"&amp;$AL416,6))</f>
        <v/>
      </c>
      <c r="AN416">
        <f>IF($AE416="","",IF(Sync!$W416="",0,Sync!$W416))</f>
        <v/>
      </c>
      <c r="AO416">
        <f>IF($AE416="","",IF(Sync!$X416="",0,Sync!$X416))</f>
        <v/>
      </c>
      <c r="AP416">
        <f>IF($AE416="","",Sync!$R416)</f>
        <v/>
      </c>
      <c r="AQ416">
        <f>IF($AE416="","",Sync!$Y416)</f>
        <v/>
      </c>
    </row>
    <row r="417">
      <c r="A417">
        <f>IF(OR(Wages!$B420="",Wages!$E420=""),"",Wages!$E420)</f>
        <v/>
      </c>
      <c r="B417">
        <f>IF($A417="","",IF(Wages!$C420="دستمزد گروهی",2,1))</f>
        <v/>
      </c>
      <c r="C417">
        <f>IF($A417="","",IF(ISNUMBER(Wages!$B420),IF(AND(Wages!$B420&gt;=10000101,Wages!$B420&lt;=99991231),INT(Wages!$B420/10000),""),IFERROR(VALUE(TRIM(LEFT(Wages!$B420,FIND("/",Wages!$B420)-1))),"")))</f>
        <v/>
      </c>
      <c r="D417">
        <f>IF(OR($A417="",$C417=""),"",IF(ISNUMBER(Wages!$B420),INT(MOD(Wages!$B420,10000)/100),IFERROR(VALUE(TRIM(LEFT(MID(Wages!$B420,FIND("/",Wages!$B420)+1,20),FIND("/",MID(Wages!$B420,FIND("/",Wages!$B420)+1,20))-1))),"")))</f>
        <v/>
      </c>
      <c r="E417">
        <f>IF(OR($A417="",$C417=""),"",IF(ISNUMBER(Wages!$B420),MOD(Wages!$B420,100),IFERROR(VALUE(TRIM(MID(MID(Wages!$B420,FIND("/",Wages!$B420)+1,20),FIND("/",MID(Wages!$B420,FIND("/",Wages!$B420)+1,20))+1,20))),"")))</f>
        <v/>
      </c>
      <c r="F417">
        <f>IF($A417="","",IF(OR($C417="",$D417="",$E417="",$C417&lt;1300,$C417&gt;1500,$D417&lt;1,$D417&gt;12,$E417&lt;1,$E417&gt;31),"نامعتبر",RIGHT("0000"&amp;$C417,4)&amp;"/"&amp;RIGHT("00"&amp;$D417,2)&amp;"/"&amp;RIGHT("00"&amp;$E417,2)))</f>
        <v/>
      </c>
      <c r="G417">
        <f>IF(OR($A417="",$F417="",$F417="نامعتبر"),"",LEFT($F417,4)&amp;MID($F417,6,2)&amp;RIGHT($F417,2)&amp;"0000"&amp;"|"&amp;"1"&amp;RIGHT("00000"&amp;412,5))</f>
        <v/>
      </c>
      <c r="H417">
        <f>IF(OR($B417&lt;&gt;1,$G417=""),"",COUNTIFS(LdAParty,$A417,LdAType,1,LdAKey,"&lt;"&amp;$G417)+COUNTIFS(LdBMember,$A417,LdBKey,"&lt;"&amp;$G417)+COUNTIFS(LdCParty,$A417,LdCKey,"&lt;"&amp;$G417)+1)</f>
        <v/>
      </c>
      <c r="I417">
        <f>IF($H417="","",$A417&amp;"|"&amp;RIGHT("000000"&amp;$H417,6))</f>
        <v/>
      </c>
      <c r="J417">
        <f>IF(OR($B417&lt;&gt;2,$G417=""),"",COUNTIFS(LdAParty,$A417,LdAType,2,LdAKey,"&lt;"&amp;$G417)+1)</f>
        <v/>
      </c>
      <c r="K417">
        <f>IF($J417="","",$A417&amp;"|"&amp;RIGHT("000000"&amp;$J417,6))</f>
        <v/>
      </c>
      <c r="L417">
        <f>IF($A417="","",IF(Wages!$G420="",0,Wages!$G420))</f>
        <v/>
      </c>
      <c r="M417">
        <f>IF($A417="","",Wages!$J420)</f>
        <v/>
      </c>
      <c r="N417">
        <f>IF($A417="","",Wages!$D420)</f>
        <v/>
      </c>
      <c r="P417">
        <f>IF(OR(Shares!$B420="",Shares!$C420=""),"",Shares!$C420)</f>
        <v/>
      </c>
      <c r="Q417">
        <f>IF($P417="","",Shares!$B420)</f>
        <v/>
      </c>
      <c r="R417">
        <f>IF($P417="","",IFERROR(INDEX(WageParty,MATCH($Q417,WageIds,0)),""))</f>
        <v/>
      </c>
      <c r="S417">
        <f>IF($P417="","",IFERROR(INDEX($F$6:$F$2005,MATCH($Q417,WageIds,0)),""))</f>
        <v/>
      </c>
      <c r="T417">
        <f>IF(OR($P417="",$S417="",$S417="نامعتبر"),"",LEFT($S417,4)&amp;MID($S417,6,2)&amp;RIGHT($S417,2)&amp;"0000"&amp;"|"&amp;"2"&amp;RIGHT("00000"&amp;412,5))</f>
        <v/>
      </c>
      <c r="U417">
        <f>IF($T417="","",COUNTIFS(LdAParty,$P417,LdAType,1,LdAKey,"&lt;"&amp;$T417)+COUNTIFS(LdBMember,$P417,LdBKey,"&lt;"&amp;$T417)+COUNTIFS(LdCParty,$P417,LdCKey,"&lt;"&amp;$T417)+1)</f>
        <v/>
      </c>
      <c r="V417">
        <f>IF($U417="","",$P417&amp;"|"&amp;RIGHT("000000"&amp;$U417,6))</f>
        <v/>
      </c>
      <c r="W417">
        <f>IF($T417="","",COUNTIFS(LdBGroup,$R417,LdBKey,"&lt;"&amp;$T417)+1)</f>
        <v/>
      </c>
      <c r="X417">
        <f>IF($W417="","",$R417&amp;"|"&amp;RIGHT("000000"&amp;$W417,6))</f>
        <v/>
      </c>
      <c r="Y417">
        <f>IF($P417="","",IF(Shares!$E420="",0,Shares!$E420))</f>
        <v/>
      </c>
      <c r="Z417">
        <f>IF($P417="","",Shares!$H420)</f>
        <v/>
      </c>
      <c r="AE417">
        <f>IF(OR(Sync!$S417="",Sync!$P417=""),"",Sync!$S417)</f>
        <v/>
      </c>
      <c r="AF417">
        <f>IF($AE417="","",IF(ISNUMBER(Sync!$P417),IF(AND(Sync!$P417&gt;=10000101,Sync!$P417&lt;=99991231),INT(Sync!$P417/10000),""),IFERROR(VALUE(TRIM(LEFT(Sync!$P417,FIND("/",Sync!$P417)-1))),"")))</f>
        <v/>
      </c>
      <c r="AG417">
        <f>IF(OR($AE417="",$AF417=""),"",IF(ISNUMBER(Sync!$P417),INT(MOD(Sync!$P417,10000)/100),IFERROR(VALUE(TRIM(LEFT(MID(Sync!$P417,FIND("/",Sync!$P417)+1,20),FIND("/",MID(Sync!$P417,FIND("/",Sync!$P417)+1,20))-1))),"")))</f>
        <v/>
      </c>
      <c r="AH417">
        <f>IF(OR($AE417="",$AF417=""),"",IF(ISNUMBER(Sync!$P417),MOD(Sync!$P417,100),IFERROR(VALUE(TRIM(MID(MID(Sync!$P417,FIND("/",Sync!$P417)+1,20),FIND("/",MID(Sync!$P417,FIND("/",Sync!$P417)+1,20))+1,20))),"")))</f>
        <v/>
      </c>
      <c r="AI417">
        <f>IF($AE417="","",IF(OR($AF417="",$AG417="",$AH417="",$AF417&lt;1300,$AF417&gt;1500,$AG417&lt;1,$AG417&gt;12,$AH417&lt;1,$AH417&gt;31),"نامعتبر",RIGHT("0000"&amp;$AF417,4)&amp;"/"&amp;RIGHT("00"&amp;$AG417,2)&amp;"/"&amp;RIGHT("00"&amp;$AH417,2)))</f>
        <v/>
      </c>
      <c r="AJ417">
        <f>IF($AE417="","",IF(Sync!$Q417="","0000",IF(AND(ISNUMBER(Sync!$Q417),Sync!$Q417&gt;=0,Sync!$Q417&lt;1),RIGHT("00"&amp;HOUR(Sync!$Q417),2)&amp;RIGHT("00"&amp;MINUTE(Sync!$Q417),2),IFERROR(RIGHT("00"&amp;VALUE(LEFT(Sync!$Q417,FIND(":",Sync!$Q417)-1)),2)&amp;RIGHT("00"&amp;VALUE(MID(Sync!$Q417,FIND(":",Sync!$Q417)+1,2)),2),"0000"))))</f>
        <v/>
      </c>
      <c r="AK417">
        <f>IF(OR($AE417="",$AI417="",$AI417="نامعتبر"),"",LEFT($AI417,4)&amp;MID($AI417,6,2)&amp;RIGHT($AI417,2)&amp;$AJ417&amp;"|"&amp;"3"&amp;RIGHT("00000"&amp;412,5))</f>
        <v/>
      </c>
      <c r="AL417">
        <f>IF($AK417="","",COUNTIFS(LdAParty,$AE417,LdAType,1,LdAKey,"&lt;"&amp;$AK417)+COUNTIFS(LdBMember,$AE417,LdBKey,"&lt;"&amp;$AK417)+COUNTIFS(LdCParty,$AE417,LdCKey,"&lt;"&amp;$AK417)+1)</f>
        <v/>
      </c>
      <c r="AM417">
        <f>IF($AL417="","",$AE417&amp;"|"&amp;RIGHT("000000"&amp;$AL417,6))</f>
        <v/>
      </c>
      <c r="AN417">
        <f>IF($AE417="","",IF(Sync!$W417="",0,Sync!$W417))</f>
        <v/>
      </c>
      <c r="AO417">
        <f>IF($AE417="","",IF(Sync!$X417="",0,Sync!$X417))</f>
        <v/>
      </c>
      <c r="AP417">
        <f>IF($AE417="","",Sync!$R417)</f>
        <v/>
      </c>
      <c r="AQ417">
        <f>IF($AE417="","",Sync!$Y417)</f>
        <v/>
      </c>
    </row>
    <row r="418">
      <c r="A418">
        <f>IF(OR(Wages!$B421="",Wages!$E421=""),"",Wages!$E421)</f>
        <v/>
      </c>
      <c r="B418">
        <f>IF($A418="","",IF(Wages!$C421="دستمزد گروهی",2,1))</f>
        <v/>
      </c>
      <c r="C418">
        <f>IF($A418="","",IF(ISNUMBER(Wages!$B421),IF(AND(Wages!$B421&gt;=10000101,Wages!$B421&lt;=99991231),INT(Wages!$B421/10000),""),IFERROR(VALUE(TRIM(LEFT(Wages!$B421,FIND("/",Wages!$B421)-1))),"")))</f>
        <v/>
      </c>
      <c r="D418">
        <f>IF(OR($A418="",$C418=""),"",IF(ISNUMBER(Wages!$B421),INT(MOD(Wages!$B421,10000)/100),IFERROR(VALUE(TRIM(LEFT(MID(Wages!$B421,FIND("/",Wages!$B421)+1,20),FIND("/",MID(Wages!$B421,FIND("/",Wages!$B421)+1,20))-1))),"")))</f>
        <v/>
      </c>
      <c r="E418">
        <f>IF(OR($A418="",$C418=""),"",IF(ISNUMBER(Wages!$B421),MOD(Wages!$B421,100),IFERROR(VALUE(TRIM(MID(MID(Wages!$B421,FIND("/",Wages!$B421)+1,20),FIND("/",MID(Wages!$B421,FIND("/",Wages!$B421)+1,20))+1,20))),"")))</f>
        <v/>
      </c>
      <c r="F418">
        <f>IF($A418="","",IF(OR($C418="",$D418="",$E418="",$C418&lt;1300,$C418&gt;1500,$D418&lt;1,$D418&gt;12,$E418&lt;1,$E418&gt;31),"نامعتبر",RIGHT("0000"&amp;$C418,4)&amp;"/"&amp;RIGHT("00"&amp;$D418,2)&amp;"/"&amp;RIGHT("00"&amp;$E418,2)))</f>
        <v/>
      </c>
      <c r="G418">
        <f>IF(OR($A418="",$F418="",$F418="نامعتبر"),"",LEFT($F418,4)&amp;MID($F418,6,2)&amp;RIGHT($F418,2)&amp;"0000"&amp;"|"&amp;"1"&amp;RIGHT("00000"&amp;413,5))</f>
        <v/>
      </c>
      <c r="H418">
        <f>IF(OR($B418&lt;&gt;1,$G418=""),"",COUNTIFS(LdAParty,$A418,LdAType,1,LdAKey,"&lt;"&amp;$G418)+COUNTIFS(LdBMember,$A418,LdBKey,"&lt;"&amp;$G418)+COUNTIFS(LdCParty,$A418,LdCKey,"&lt;"&amp;$G418)+1)</f>
        <v/>
      </c>
      <c r="I418">
        <f>IF($H418="","",$A418&amp;"|"&amp;RIGHT("000000"&amp;$H418,6))</f>
        <v/>
      </c>
      <c r="J418">
        <f>IF(OR($B418&lt;&gt;2,$G418=""),"",COUNTIFS(LdAParty,$A418,LdAType,2,LdAKey,"&lt;"&amp;$G418)+1)</f>
        <v/>
      </c>
      <c r="K418">
        <f>IF($J418="","",$A418&amp;"|"&amp;RIGHT("000000"&amp;$J418,6))</f>
        <v/>
      </c>
      <c r="L418">
        <f>IF($A418="","",IF(Wages!$G421="",0,Wages!$G421))</f>
        <v/>
      </c>
      <c r="M418">
        <f>IF($A418="","",Wages!$J421)</f>
        <v/>
      </c>
      <c r="N418">
        <f>IF($A418="","",Wages!$D421)</f>
        <v/>
      </c>
      <c r="P418">
        <f>IF(OR(Shares!$B421="",Shares!$C421=""),"",Shares!$C421)</f>
        <v/>
      </c>
      <c r="Q418">
        <f>IF($P418="","",Shares!$B421)</f>
        <v/>
      </c>
      <c r="R418">
        <f>IF($P418="","",IFERROR(INDEX(WageParty,MATCH($Q418,WageIds,0)),""))</f>
        <v/>
      </c>
      <c r="S418">
        <f>IF($P418="","",IFERROR(INDEX($F$6:$F$2005,MATCH($Q418,WageIds,0)),""))</f>
        <v/>
      </c>
      <c r="T418">
        <f>IF(OR($P418="",$S418="",$S418="نامعتبر"),"",LEFT($S418,4)&amp;MID($S418,6,2)&amp;RIGHT($S418,2)&amp;"0000"&amp;"|"&amp;"2"&amp;RIGHT("00000"&amp;413,5))</f>
        <v/>
      </c>
      <c r="U418">
        <f>IF($T418="","",COUNTIFS(LdAParty,$P418,LdAType,1,LdAKey,"&lt;"&amp;$T418)+COUNTIFS(LdBMember,$P418,LdBKey,"&lt;"&amp;$T418)+COUNTIFS(LdCParty,$P418,LdCKey,"&lt;"&amp;$T418)+1)</f>
        <v/>
      </c>
      <c r="V418">
        <f>IF($U418="","",$P418&amp;"|"&amp;RIGHT("000000"&amp;$U418,6))</f>
        <v/>
      </c>
      <c r="W418">
        <f>IF($T418="","",COUNTIFS(LdBGroup,$R418,LdBKey,"&lt;"&amp;$T418)+1)</f>
        <v/>
      </c>
      <c r="X418">
        <f>IF($W418="","",$R418&amp;"|"&amp;RIGHT("000000"&amp;$W418,6))</f>
        <v/>
      </c>
      <c r="Y418">
        <f>IF($P418="","",IF(Shares!$E421="",0,Shares!$E421))</f>
        <v/>
      </c>
      <c r="Z418">
        <f>IF($P418="","",Shares!$H421)</f>
        <v/>
      </c>
      <c r="AE418">
        <f>IF(OR(Sync!$S418="",Sync!$P418=""),"",Sync!$S418)</f>
        <v/>
      </c>
      <c r="AF418">
        <f>IF($AE418="","",IF(ISNUMBER(Sync!$P418),IF(AND(Sync!$P418&gt;=10000101,Sync!$P418&lt;=99991231),INT(Sync!$P418/10000),""),IFERROR(VALUE(TRIM(LEFT(Sync!$P418,FIND("/",Sync!$P418)-1))),"")))</f>
        <v/>
      </c>
      <c r="AG418">
        <f>IF(OR($AE418="",$AF418=""),"",IF(ISNUMBER(Sync!$P418),INT(MOD(Sync!$P418,10000)/100),IFERROR(VALUE(TRIM(LEFT(MID(Sync!$P418,FIND("/",Sync!$P418)+1,20),FIND("/",MID(Sync!$P418,FIND("/",Sync!$P418)+1,20))-1))),"")))</f>
        <v/>
      </c>
      <c r="AH418">
        <f>IF(OR($AE418="",$AF418=""),"",IF(ISNUMBER(Sync!$P418),MOD(Sync!$P418,100),IFERROR(VALUE(TRIM(MID(MID(Sync!$P418,FIND("/",Sync!$P418)+1,20),FIND("/",MID(Sync!$P418,FIND("/",Sync!$P418)+1,20))+1,20))),"")))</f>
        <v/>
      </c>
      <c r="AI418">
        <f>IF($AE418="","",IF(OR($AF418="",$AG418="",$AH418="",$AF418&lt;1300,$AF418&gt;1500,$AG418&lt;1,$AG418&gt;12,$AH418&lt;1,$AH418&gt;31),"نامعتبر",RIGHT("0000"&amp;$AF418,4)&amp;"/"&amp;RIGHT("00"&amp;$AG418,2)&amp;"/"&amp;RIGHT("00"&amp;$AH418,2)))</f>
        <v/>
      </c>
      <c r="AJ418">
        <f>IF($AE418="","",IF(Sync!$Q418="","0000",IF(AND(ISNUMBER(Sync!$Q418),Sync!$Q418&gt;=0,Sync!$Q418&lt;1),RIGHT("00"&amp;HOUR(Sync!$Q418),2)&amp;RIGHT("00"&amp;MINUTE(Sync!$Q418),2),IFERROR(RIGHT("00"&amp;VALUE(LEFT(Sync!$Q418,FIND(":",Sync!$Q418)-1)),2)&amp;RIGHT("00"&amp;VALUE(MID(Sync!$Q418,FIND(":",Sync!$Q418)+1,2)),2),"0000"))))</f>
        <v/>
      </c>
      <c r="AK418">
        <f>IF(OR($AE418="",$AI418="",$AI418="نامعتبر"),"",LEFT($AI418,4)&amp;MID($AI418,6,2)&amp;RIGHT($AI418,2)&amp;$AJ418&amp;"|"&amp;"3"&amp;RIGHT("00000"&amp;413,5))</f>
        <v/>
      </c>
      <c r="AL418">
        <f>IF($AK418="","",COUNTIFS(LdAParty,$AE418,LdAType,1,LdAKey,"&lt;"&amp;$AK418)+COUNTIFS(LdBMember,$AE418,LdBKey,"&lt;"&amp;$AK418)+COUNTIFS(LdCParty,$AE418,LdCKey,"&lt;"&amp;$AK418)+1)</f>
        <v/>
      </c>
      <c r="AM418">
        <f>IF($AL418="","",$AE418&amp;"|"&amp;RIGHT("000000"&amp;$AL418,6))</f>
        <v/>
      </c>
      <c r="AN418">
        <f>IF($AE418="","",IF(Sync!$W418="",0,Sync!$W418))</f>
        <v/>
      </c>
      <c r="AO418">
        <f>IF($AE418="","",IF(Sync!$X418="",0,Sync!$X418))</f>
        <v/>
      </c>
      <c r="AP418">
        <f>IF($AE418="","",Sync!$R418)</f>
        <v/>
      </c>
      <c r="AQ418">
        <f>IF($AE418="","",Sync!$Y418)</f>
        <v/>
      </c>
    </row>
    <row r="419">
      <c r="A419">
        <f>IF(OR(Wages!$B422="",Wages!$E422=""),"",Wages!$E422)</f>
        <v/>
      </c>
      <c r="B419">
        <f>IF($A419="","",IF(Wages!$C422="دستمزد گروهی",2,1))</f>
        <v/>
      </c>
      <c r="C419">
        <f>IF($A419="","",IF(ISNUMBER(Wages!$B422),IF(AND(Wages!$B422&gt;=10000101,Wages!$B422&lt;=99991231),INT(Wages!$B422/10000),""),IFERROR(VALUE(TRIM(LEFT(Wages!$B422,FIND("/",Wages!$B422)-1))),"")))</f>
        <v/>
      </c>
      <c r="D419">
        <f>IF(OR($A419="",$C419=""),"",IF(ISNUMBER(Wages!$B422),INT(MOD(Wages!$B422,10000)/100),IFERROR(VALUE(TRIM(LEFT(MID(Wages!$B422,FIND("/",Wages!$B422)+1,20),FIND("/",MID(Wages!$B422,FIND("/",Wages!$B422)+1,20))-1))),"")))</f>
        <v/>
      </c>
      <c r="E419">
        <f>IF(OR($A419="",$C419=""),"",IF(ISNUMBER(Wages!$B422),MOD(Wages!$B422,100),IFERROR(VALUE(TRIM(MID(MID(Wages!$B422,FIND("/",Wages!$B422)+1,20),FIND("/",MID(Wages!$B422,FIND("/",Wages!$B422)+1,20))+1,20))),"")))</f>
        <v/>
      </c>
      <c r="F419">
        <f>IF($A419="","",IF(OR($C419="",$D419="",$E419="",$C419&lt;1300,$C419&gt;1500,$D419&lt;1,$D419&gt;12,$E419&lt;1,$E419&gt;31),"نامعتبر",RIGHT("0000"&amp;$C419,4)&amp;"/"&amp;RIGHT("00"&amp;$D419,2)&amp;"/"&amp;RIGHT("00"&amp;$E419,2)))</f>
        <v/>
      </c>
      <c r="G419">
        <f>IF(OR($A419="",$F419="",$F419="نامعتبر"),"",LEFT($F419,4)&amp;MID($F419,6,2)&amp;RIGHT($F419,2)&amp;"0000"&amp;"|"&amp;"1"&amp;RIGHT("00000"&amp;414,5))</f>
        <v/>
      </c>
      <c r="H419">
        <f>IF(OR($B419&lt;&gt;1,$G419=""),"",COUNTIFS(LdAParty,$A419,LdAType,1,LdAKey,"&lt;"&amp;$G419)+COUNTIFS(LdBMember,$A419,LdBKey,"&lt;"&amp;$G419)+COUNTIFS(LdCParty,$A419,LdCKey,"&lt;"&amp;$G419)+1)</f>
        <v/>
      </c>
      <c r="I419">
        <f>IF($H419="","",$A419&amp;"|"&amp;RIGHT("000000"&amp;$H419,6))</f>
        <v/>
      </c>
      <c r="J419">
        <f>IF(OR($B419&lt;&gt;2,$G419=""),"",COUNTIFS(LdAParty,$A419,LdAType,2,LdAKey,"&lt;"&amp;$G419)+1)</f>
        <v/>
      </c>
      <c r="K419">
        <f>IF($J419="","",$A419&amp;"|"&amp;RIGHT("000000"&amp;$J419,6))</f>
        <v/>
      </c>
      <c r="L419">
        <f>IF($A419="","",IF(Wages!$G422="",0,Wages!$G422))</f>
        <v/>
      </c>
      <c r="M419">
        <f>IF($A419="","",Wages!$J422)</f>
        <v/>
      </c>
      <c r="N419">
        <f>IF($A419="","",Wages!$D422)</f>
        <v/>
      </c>
      <c r="P419">
        <f>IF(OR(Shares!$B422="",Shares!$C422=""),"",Shares!$C422)</f>
        <v/>
      </c>
      <c r="Q419">
        <f>IF($P419="","",Shares!$B422)</f>
        <v/>
      </c>
      <c r="R419">
        <f>IF($P419="","",IFERROR(INDEX(WageParty,MATCH($Q419,WageIds,0)),""))</f>
        <v/>
      </c>
      <c r="S419">
        <f>IF($P419="","",IFERROR(INDEX($F$6:$F$2005,MATCH($Q419,WageIds,0)),""))</f>
        <v/>
      </c>
      <c r="T419">
        <f>IF(OR($P419="",$S419="",$S419="نامعتبر"),"",LEFT($S419,4)&amp;MID($S419,6,2)&amp;RIGHT($S419,2)&amp;"0000"&amp;"|"&amp;"2"&amp;RIGHT("00000"&amp;414,5))</f>
        <v/>
      </c>
      <c r="U419">
        <f>IF($T419="","",COUNTIFS(LdAParty,$P419,LdAType,1,LdAKey,"&lt;"&amp;$T419)+COUNTIFS(LdBMember,$P419,LdBKey,"&lt;"&amp;$T419)+COUNTIFS(LdCParty,$P419,LdCKey,"&lt;"&amp;$T419)+1)</f>
        <v/>
      </c>
      <c r="V419">
        <f>IF($U419="","",$P419&amp;"|"&amp;RIGHT("000000"&amp;$U419,6))</f>
        <v/>
      </c>
      <c r="W419">
        <f>IF($T419="","",COUNTIFS(LdBGroup,$R419,LdBKey,"&lt;"&amp;$T419)+1)</f>
        <v/>
      </c>
      <c r="X419">
        <f>IF($W419="","",$R419&amp;"|"&amp;RIGHT("000000"&amp;$W419,6))</f>
        <v/>
      </c>
      <c r="Y419">
        <f>IF($P419="","",IF(Shares!$E422="",0,Shares!$E422))</f>
        <v/>
      </c>
      <c r="Z419">
        <f>IF($P419="","",Shares!$H422)</f>
        <v/>
      </c>
      <c r="AE419">
        <f>IF(OR(Sync!$S419="",Sync!$P419=""),"",Sync!$S419)</f>
        <v/>
      </c>
      <c r="AF419">
        <f>IF($AE419="","",IF(ISNUMBER(Sync!$P419),IF(AND(Sync!$P419&gt;=10000101,Sync!$P419&lt;=99991231),INT(Sync!$P419/10000),""),IFERROR(VALUE(TRIM(LEFT(Sync!$P419,FIND("/",Sync!$P419)-1))),"")))</f>
        <v/>
      </c>
      <c r="AG419">
        <f>IF(OR($AE419="",$AF419=""),"",IF(ISNUMBER(Sync!$P419),INT(MOD(Sync!$P419,10000)/100),IFERROR(VALUE(TRIM(LEFT(MID(Sync!$P419,FIND("/",Sync!$P419)+1,20),FIND("/",MID(Sync!$P419,FIND("/",Sync!$P419)+1,20))-1))),"")))</f>
        <v/>
      </c>
      <c r="AH419">
        <f>IF(OR($AE419="",$AF419=""),"",IF(ISNUMBER(Sync!$P419),MOD(Sync!$P419,100),IFERROR(VALUE(TRIM(MID(MID(Sync!$P419,FIND("/",Sync!$P419)+1,20),FIND("/",MID(Sync!$P419,FIND("/",Sync!$P419)+1,20))+1,20))),"")))</f>
        <v/>
      </c>
      <c r="AI419">
        <f>IF($AE419="","",IF(OR($AF419="",$AG419="",$AH419="",$AF419&lt;1300,$AF419&gt;1500,$AG419&lt;1,$AG419&gt;12,$AH419&lt;1,$AH419&gt;31),"نامعتبر",RIGHT("0000"&amp;$AF419,4)&amp;"/"&amp;RIGHT("00"&amp;$AG419,2)&amp;"/"&amp;RIGHT("00"&amp;$AH419,2)))</f>
        <v/>
      </c>
      <c r="AJ419">
        <f>IF($AE419="","",IF(Sync!$Q419="","0000",IF(AND(ISNUMBER(Sync!$Q419),Sync!$Q419&gt;=0,Sync!$Q419&lt;1),RIGHT("00"&amp;HOUR(Sync!$Q419),2)&amp;RIGHT("00"&amp;MINUTE(Sync!$Q419),2),IFERROR(RIGHT("00"&amp;VALUE(LEFT(Sync!$Q419,FIND(":",Sync!$Q419)-1)),2)&amp;RIGHT("00"&amp;VALUE(MID(Sync!$Q419,FIND(":",Sync!$Q419)+1,2)),2),"0000"))))</f>
        <v/>
      </c>
      <c r="AK419">
        <f>IF(OR($AE419="",$AI419="",$AI419="نامعتبر"),"",LEFT($AI419,4)&amp;MID($AI419,6,2)&amp;RIGHT($AI419,2)&amp;$AJ419&amp;"|"&amp;"3"&amp;RIGHT("00000"&amp;414,5))</f>
        <v/>
      </c>
      <c r="AL419">
        <f>IF($AK419="","",COUNTIFS(LdAParty,$AE419,LdAType,1,LdAKey,"&lt;"&amp;$AK419)+COUNTIFS(LdBMember,$AE419,LdBKey,"&lt;"&amp;$AK419)+COUNTIFS(LdCParty,$AE419,LdCKey,"&lt;"&amp;$AK419)+1)</f>
        <v/>
      </c>
      <c r="AM419">
        <f>IF($AL419="","",$AE419&amp;"|"&amp;RIGHT("000000"&amp;$AL419,6))</f>
        <v/>
      </c>
      <c r="AN419">
        <f>IF($AE419="","",IF(Sync!$W419="",0,Sync!$W419))</f>
        <v/>
      </c>
      <c r="AO419">
        <f>IF($AE419="","",IF(Sync!$X419="",0,Sync!$X419))</f>
        <v/>
      </c>
      <c r="AP419">
        <f>IF($AE419="","",Sync!$R419)</f>
        <v/>
      </c>
      <c r="AQ419">
        <f>IF($AE419="","",Sync!$Y419)</f>
        <v/>
      </c>
    </row>
    <row r="420">
      <c r="A420">
        <f>IF(OR(Wages!$B423="",Wages!$E423=""),"",Wages!$E423)</f>
        <v/>
      </c>
      <c r="B420">
        <f>IF($A420="","",IF(Wages!$C423="دستمزد گروهی",2,1))</f>
        <v/>
      </c>
      <c r="C420">
        <f>IF($A420="","",IF(ISNUMBER(Wages!$B423),IF(AND(Wages!$B423&gt;=10000101,Wages!$B423&lt;=99991231),INT(Wages!$B423/10000),""),IFERROR(VALUE(TRIM(LEFT(Wages!$B423,FIND("/",Wages!$B423)-1))),"")))</f>
        <v/>
      </c>
      <c r="D420">
        <f>IF(OR($A420="",$C420=""),"",IF(ISNUMBER(Wages!$B423),INT(MOD(Wages!$B423,10000)/100),IFERROR(VALUE(TRIM(LEFT(MID(Wages!$B423,FIND("/",Wages!$B423)+1,20),FIND("/",MID(Wages!$B423,FIND("/",Wages!$B423)+1,20))-1))),"")))</f>
        <v/>
      </c>
      <c r="E420">
        <f>IF(OR($A420="",$C420=""),"",IF(ISNUMBER(Wages!$B423),MOD(Wages!$B423,100),IFERROR(VALUE(TRIM(MID(MID(Wages!$B423,FIND("/",Wages!$B423)+1,20),FIND("/",MID(Wages!$B423,FIND("/",Wages!$B423)+1,20))+1,20))),"")))</f>
        <v/>
      </c>
      <c r="F420">
        <f>IF($A420="","",IF(OR($C420="",$D420="",$E420="",$C420&lt;1300,$C420&gt;1500,$D420&lt;1,$D420&gt;12,$E420&lt;1,$E420&gt;31),"نامعتبر",RIGHT("0000"&amp;$C420,4)&amp;"/"&amp;RIGHT("00"&amp;$D420,2)&amp;"/"&amp;RIGHT("00"&amp;$E420,2)))</f>
        <v/>
      </c>
      <c r="G420">
        <f>IF(OR($A420="",$F420="",$F420="نامعتبر"),"",LEFT($F420,4)&amp;MID($F420,6,2)&amp;RIGHT($F420,2)&amp;"0000"&amp;"|"&amp;"1"&amp;RIGHT("00000"&amp;415,5))</f>
        <v/>
      </c>
      <c r="H420">
        <f>IF(OR($B420&lt;&gt;1,$G420=""),"",COUNTIFS(LdAParty,$A420,LdAType,1,LdAKey,"&lt;"&amp;$G420)+COUNTIFS(LdBMember,$A420,LdBKey,"&lt;"&amp;$G420)+COUNTIFS(LdCParty,$A420,LdCKey,"&lt;"&amp;$G420)+1)</f>
        <v/>
      </c>
      <c r="I420">
        <f>IF($H420="","",$A420&amp;"|"&amp;RIGHT("000000"&amp;$H420,6))</f>
        <v/>
      </c>
      <c r="J420">
        <f>IF(OR($B420&lt;&gt;2,$G420=""),"",COUNTIFS(LdAParty,$A420,LdAType,2,LdAKey,"&lt;"&amp;$G420)+1)</f>
        <v/>
      </c>
      <c r="K420">
        <f>IF($J420="","",$A420&amp;"|"&amp;RIGHT("000000"&amp;$J420,6))</f>
        <v/>
      </c>
      <c r="L420">
        <f>IF($A420="","",IF(Wages!$G423="",0,Wages!$G423))</f>
        <v/>
      </c>
      <c r="M420">
        <f>IF($A420="","",Wages!$J423)</f>
        <v/>
      </c>
      <c r="N420">
        <f>IF($A420="","",Wages!$D423)</f>
        <v/>
      </c>
      <c r="P420">
        <f>IF(OR(Shares!$B423="",Shares!$C423=""),"",Shares!$C423)</f>
        <v/>
      </c>
      <c r="Q420">
        <f>IF($P420="","",Shares!$B423)</f>
        <v/>
      </c>
      <c r="R420">
        <f>IF($P420="","",IFERROR(INDEX(WageParty,MATCH($Q420,WageIds,0)),""))</f>
        <v/>
      </c>
      <c r="S420">
        <f>IF($P420="","",IFERROR(INDEX($F$6:$F$2005,MATCH($Q420,WageIds,0)),""))</f>
        <v/>
      </c>
      <c r="T420">
        <f>IF(OR($P420="",$S420="",$S420="نامعتبر"),"",LEFT($S420,4)&amp;MID($S420,6,2)&amp;RIGHT($S420,2)&amp;"0000"&amp;"|"&amp;"2"&amp;RIGHT("00000"&amp;415,5))</f>
        <v/>
      </c>
      <c r="U420">
        <f>IF($T420="","",COUNTIFS(LdAParty,$P420,LdAType,1,LdAKey,"&lt;"&amp;$T420)+COUNTIFS(LdBMember,$P420,LdBKey,"&lt;"&amp;$T420)+COUNTIFS(LdCParty,$P420,LdCKey,"&lt;"&amp;$T420)+1)</f>
        <v/>
      </c>
      <c r="V420">
        <f>IF($U420="","",$P420&amp;"|"&amp;RIGHT("000000"&amp;$U420,6))</f>
        <v/>
      </c>
      <c r="W420">
        <f>IF($T420="","",COUNTIFS(LdBGroup,$R420,LdBKey,"&lt;"&amp;$T420)+1)</f>
        <v/>
      </c>
      <c r="X420">
        <f>IF($W420="","",$R420&amp;"|"&amp;RIGHT("000000"&amp;$W420,6))</f>
        <v/>
      </c>
      <c r="Y420">
        <f>IF($P420="","",IF(Shares!$E423="",0,Shares!$E423))</f>
        <v/>
      </c>
      <c r="Z420">
        <f>IF($P420="","",Shares!$H423)</f>
        <v/>
      </c>
      <c r="AE420">
        <f>IF(OR(Sync!$S420="",Sync!$P420=""),"",Sync!$S420)</f>
        <v/>
      </c>
      <c r="AF420">
        <f>IF($AE420="","",IF(ISNUMBER(Sync!$P420),IF(AND(Sync!$P420&gt;=10000101,Sync!$P420&lt;=99991231),INT(Sync!$P420/10000),""),IFERROR(VALUE(TRIM(LEFT(Sync!$P420,FIND("/",Sync!$P420)-1))),"")))</f>
        <v/>
      </c>
      <c r="AG420">
        <f>IF(OR($AE420="",$AF420=""),"",IF(ISNUMBER(Sync!$P420),INT(MOD(Sync!$P420,10000)/100),IFERROR(VALUE(TRIM(LEFT(MID(Sync!$P420,FIND("/",Sync!$P420)+1,20),FIND("/",MID(Sync!$P420,FIND("/",Sync!$P420)+1,20))-1))),"")))</f>
        <v/>
      </c>
      <c r="AH420">
        <f>IF(OR($AE420="",$AF420=""),"",IF(ISNUMBER(Sync!$P420),MOD(Sync!$P420,100),IFERROR(VALUE(TRIM(MID(MID(Sync!$P420,FIND("/",Sync!$P420)+1,20),FIND("/",MID(Sync!$P420,FIND("/",Sync!$P420)+1,20))+1,20))),"")))</f>
        <v/>
      </c>
      <c r="AI420">
        <f>IF($AE420="","",IF(OR($AF420="",$AG420="",$AH420="",$AF420&lt;1300,$AF420&gt;1500,$AG420&lt;1,$AG420&gt;12,$AH420&lt;1,$AH420&gt;31),"نامعتبر",RIGHT("0000"&amp;$AF420,4)&amp;"/"&amp;RIGHT("00"&amp;$AG420,2)&amp;"/"&amp;RIGHT("00"&amp;$AH420,2)))</f>
        <v/>
      </c>
      <c r="AJ420">
        <f>IF($AE420="","",IF(Sync!$Q420="","0000",IF(AND(ISNUMBER(Sync!$Q420),Sync!$Q420&gt;=0,Sync!$Q420&lt;1),RIGHT("00"&amp;HOUR(Sync!$Q420),2)&amp;RIGHT("00"&amp;MINUTE(Sync!$Q420),2),IFERROR(RIGHT("00"&amp;VALUE(LEFT(Sync!$Q420,FIND(":",Sync!$Q420)-1)),2)&amp;RIGHT("00"&amp;VALUE(MID(Sync!$Q420,FIND(":",Sync!$Q420)+1,2)),2),"0000"))))</f>
        <v/>
      </c>
      <c r="AK420">
        <f>IF(OR($AE420="",$AI420="",$AI420="نامعتبر"),"",LEFT($AI420,4)&amp;MID($AI420,6,2)&amp;RIGHT($AI420,2)&amp;$AJ420&amp;"|"&amp;"3"&amp;RIGHT("00000"&amp;415,5))</f>
        <v/>
      </c>
      <c r="AL420">
        <f>IF($AK420="","",COUNTIFS(LdAParty,$AE420,LdAType,1,LdAKey,"&lt;"&amp;$AK420)+COUNTIFS(LdBMember,$AE420,LdBKey,"&lt;"&amp;$AK420)+COUNTIFS(LdCParty,$AE420,LdCKey,"&lt;"&amp;$AK420)+1)</f>
        <v/>
      </c>
      <c r="AM420">
        <f>IF($AL420="","",$AE420&amp;"|"&amp;RIGHT("000000"&amp;$AL420,6))</f>
        <v/>
      </c>
      <c r="AN420">
        <f>IF($AE420="","",IF(Sync!$W420="",0,Sync!$W420))</f>
        <v/>
      </c>
      <c r="AO420">
        <f>IF($AE420="","",IF(Sync!$X420="",0,Sync!$X420))</f>
        <v/>
      </c>
      <c r="AP420">
        <f>IF($AE420="","",Sync!$R420)</f>
        <v/>
      </c>
      <c r="AQ420">
        <f>IF($AE420="","",Sync!$Y420)</f>
        <v/>
      </c>
    </row>
    <row r="421">
      <c r="A421">
        <f>IF(OR(Wages!$B424="",Wages!$E424=""),"",Wages!$E424)</f>
        <v/>
      </c>
      <c r="B421">
        <f>IF($A421="","",IF(Wages!$C424="دستمزد گروهی",2,1))</f>
        <v/>
      </c>
      <c r="C421">
        <f>IF($A421="","",IF(ISNUMBER(Wages!$B424),IF(AND(Wages!$B424&gt;=10000101,Wages!$B424&lt;=99991231),INT(Wages!$B424/10000),""),IFERROR(VALUE(TRIM(LEFT(Wages!$B424,FIND("/",Wages!$B424)-1))),"")))</f>
        <v/>
      </c>
      <c r="D421">
        <f>IF(OR($A421="",$C421=""),"",IF(ISNUMBER(Wages!$B424),INT(MOD(Wages!$B424,10000)/100),IFERROR(VALUE(TRIM(LEFT(MID(Wages!$B424,FIND("/",Wages!$B424)+1,20),FIND("/",MID(Wages!$B424,FIND("/",Wages!$B424)+1,20))-1))),"")))</f>
        <v/>
      </c>
      <c r="E421">
        <f>IF(OR($A421="",$C421=""),"",IF(ISNUMBER(Wages!$B424),MOD(Wages!$B424,100),IFERROR(VALUE(TRIM(MID(MID(Wages!$B424,FIND("/",Wages!$B424)+1,20),FIND("/",MID(Wages!$B424,FIND("/",Wages!$B424)+1,20))+1,20))),"")))</f>
        <v/>
      </c>
      <c r="F421">
        <f>IF($A421="","",IF(OR($C421="",$D421="",$E421="",$C421&lt;1300,$C421&gt;1500,$D421&lt;1,$D421&gt;12,$E421&lt;1,$E421&gt;31),"نامعتبر",RIGHT("0000"&amp;$C421,4)&amp;"/"&amp;RIGHT("00"&amp;$D421,2)&amp;"/"&amp;RIGHT("00"&amp;$E421,2)))</f>
        <v/>
      </c>
      <c r="G421">
        <f>IF(OR($A421="",$F421="",$F421="نامعتبر"),"",LEFT($F421,4)&amp;MID($F421,6,2)&amp;RIGHT($F421,2)&amp;"0000"&amp;"|"&amp;"1"&amp;RIGHT("00000"&amp;416,5))</f>
        <v/>
      </c>
      <c r="H421">
        <f>IF(OR($B421&lt;&gt;1,$G421=""),"",COUNTIFS(LdAParty,$A421,LdAType,1,LdAKey,"&lt;"&amp;$G421)+COUNTIFS(LdBMember,$A421,LdBKey,"&lt;"&amp;$G421)+COUNTIFS(LdCParty,$A421,LdCKey,"&lt;"&amp;$G421)+1)</f>
        <v/>
      </c>
      <c r="I421">
        <f>IF($H421="","",$A421&amp;"|"&amp;RIGHT("000000"&amp;$H421,6))</f>
        <v/>
      </c>
      <c r="J421">
        <f>IF(OR($B421&lt;&gt;2,$G421=""),"",COUNTIFS(LdAParty,$A421,LdAType,2,LdAKey,"&lt;"&amp;$G421)+1)</f>
        <v/>
      </c>
      <c r="K421">
        <f>IF($J421="","",$A421&amp;"|"&amp;RIGHT("000000"&amp;$J421,6))</f>
        <v/>
      </c>
      <c r="L421">
        <f>IF($A421="","",IF(Wages!$G424="",0,Wages!$G424))</f>
        <v/>
      </c>
      <c r="M421">
        <f>IF($A421="","",Wages!$J424)</f>
        <v/>
      </c>
      <c r="N421">
        <f>IF($A421="","",Wages!$D424)</f>
        <v/>
      </c>
      <c r="P421">
        <f>IF(OR(Shares!$B424="",Shares!$C424=""),"",Shares!$C424)</f>
        <v/>
      </c>
      <c r="Q421">
        <f>IF($P421="","",Shares!$B424)</f>
        <v/>
      </c>
      <c r="R421">
        <f>IF($P421="","",IFERROR(INDEX(WageParty,MATCH($Q421,WageIds,0)),""))</f>
        <v/>
      </c>
      <c r="S421">
        <f>IF($P421="","",IFERROR(INDEX($F$6:$F$2005,MATCH($Q421,WageIds,0)),""))</f>
        <v/>
      </c>
      <c r="T421">
        <f>IF(OR($P421="",$S421="",$S421="نامعتبر"),"",LEFT($S421,4)&amp;MID($S421,6,2)&amp;RIGHT($S421,2)&amp;"0000"&amp;"|"&amp;"2"&amp;RIGHT("00000"&amp;416,5))</f>
        <v/>
      </c>
      <c r="U421">
        <f>IF($T421="","",COUNTIFS(LdAParty,$P421,LdAType,1,LdAKey,"&lt;"&amp;$T421)+COUNTIFS(LdBMember,$P421,LdBKey,"&lt;"&amp;$T421)+COUNTIFS(LdCParty,$P421,LdCKey,"&lt;"&amp;$T421)+1)</f>
        <v/>
      </c>
      <c r="V421">
        <f>IF($U421="","",$P421&amp;"|"&amp;RIGHT("000000"&amp;$U421,6))</f>
        <v/>
      </c>
      <c r="W421">
        <f>IF($T421="","",COUNTIFS(LdBGroup,$R421,LdBKey,"&lt;"&amp;$T421)+1)</f>
        <v/>
      </c>
      <c r="X421">
        <f>IF($W421="","",$R421&amp;"|"&amp;RIGHT("000000"&amp;$W421,6))</f>
        <v/>
      </c>
      <c r="Y421">
        <f>IF($P421="","",IF(Shares!$E424="",0,Shares!$E424))</f>
        <v/>
      </c>
      <c r="Z421">
        <f>IF($P421="","",Shares!$H424)</f>
        <v/>
      </c>
      <c r="AE421">
        <f>IF(OR(Sync!$S421="",Sync!$P421=""),"",Sync!$S421)</f>
        <v/>
      </c>
      <c r="AF421">
        <f>IF($AE421="","",IF(ISNUMBER(Sync!$P421),IF(AND(Sync!$P421&gt;=10000101,Sync!$P421&lt;=99991231),INT(Sync!$P421/10000),""),IFERROR(VALUE(TRIM(LEFT(Sync!$P421,FIND("/",Sync!$P421)-1))),"")))</f>
        <v/>
      </c>
      <c r="AG421">
        <f>IF(OR($AE421="",$AF421=""),"",IF(ISNUMBER(Sync!$P421),INT(MOD(Sync!$P421,10000)/100),IFERROR(VALUE(TRIM(LEFT(MID(Sync!$P421,FIND("/",Sync!$P421)+1,20),FIND("/",MID(Sync!$P421,FIND("/",Sync!$P421)+1,20))-1))),"")))</f>
        <v/>
      </c>
      <c r="AH421">
        <f>IF(OR($AE421="",$AF421=""),"",IF(ISNUMBER(Sync!$P421),MOD(Sync!$P421,100),IFERROR(VALUE(TRIM(MID(MID(Sync!$P421,FIND("/",Sync!$P421)+1,20),FIND("/",MID(Sync!$P421,FIND("/",Sync!$P421)+1,20))+1,20))),"")))</f>
        <v/>
      </c>
      <c r="AI421">
        <f>IF($AE421="","",IF(OR($AF421="",$AG421="",$AH421="",$AF421&lt;1300,$AF421&gt;1500,$AG421&lt;1,$AG421&gt;12,$AH421&lt;1,$AH421&gt;31),"نامعتبر",RIGHT("0000"&amp;$AF421,4)&amp;"/"&amp;RIGHT("00"&amp;$AG421,2)&amp;"/"&amp;RIGHT("00"&amp;$AH421,2)))</f>
        <v/>
      </c>
      <c r="AJ421">
        <f>IF($AE421="","",IF(Sync!$Q421="","0000",IF(AND(ISNUMBER(Sync!$Q421),Sync!$Q421&gt;=0,Sync!$Q421&lt;1),RIGHT("00"&amp;HOUR(Sync!$Q421),2)&amp;RIGHT("00"&amp;MINUTE(Sync!$Q421),2),IFERROR(RIGHT("00"&amp;VALUE(LEFT(Sync!$Q421,FIND(":",Sync!$Q421)-1)),2)&amp;RIGHT("00"&amp;VALUE(MID(Sync!$Q421,FIND(":",Sync!$Q421)+1,2)),2),"0000"))))</f>
        <v/>
      </c>
      <c r="AK421">
        <f>IF(OR($AE421="",$AI421="",$AI421="نامعتبر"),"",LEFT($AI421,4)&amp;MID($AI421,6,2)&amp;RIGHT($AI421,2)&amp;$AJ421&amp;"|"&amp;"3"&amp;RIGHT("00000"&amp;416,5))</f>
        <v/>
      </c>
      <c r="AL421">
        <f>IF($AK421="","",COUNTIFS(LdAParty,$AE421,LdAType,1,LdAKey,"&lt;"&amp;$AK421)+COUNTIFS(LdBMember,$AE421,LdBKey,"&lt;"&amp;$AK421)+COUNTIFS(LdCParty,$AE421,LdCKey,"&lt;"&amp;$AK421)+1)</f>
        <v/>
      </c>
      <c r="AM421">
        <f>IF($AL421="","",$AE421&amp;"|"&amp;RIGHT("000000"&amp;$AL421,6))</f>
        <v/>
      </c>
      <c r="AN421">
        <f>IF($AE421="","",IF(Sync!$W421="",0,Sync!$W421))</f>
        <v/>
      </c>
      <c r="AO421">
        <f>IF($AE421="","",IF(Sync!$X421="",0,Sync!$X421))</f>
        <v/>
      </c>
      <c r="AP421">
        <f>IF($AE421="","",Sync!$R421)</f>
        <v/>
      </c>
      <c r="AQ421">
        <f>IF($AE421="","",Sync!$Y421)</f>
        <v/>
      </c>
    </row>
    <row r="422">
      <c r="A422">
        <f>IF(OR(Wages!$B425="",Wages!$E425=""),"",Wages!$E425)</f>
        <v/>
      </c>
      <c r="B422">
        <f>IF($A422="","",IF(Wages!$C425="دستمزد گروهی",2,1))</f>
        <v/>
      </c>
      <c r="C422">
        <f>IF($A422="","",IF(ISNUMBER(Wages!$B425),IF(AND(Wages!$B425&gt;=10000101,Wages!$B425&lt;=99991231),INT(Wages!$B425/10000),""),IFERROR(VALUE(TRIM(LEFT(Wages!$B425,FIND("/",Wages!$B425)-1))),"")))</f>
        <v/>
      </c>
      <c r="D422">
        <f>IF(OR($A422="",$C422=""),"",IF(ISNUMBER(Wages!$B425),INT(MOD(Wages!$B425,10000)/100),IFERROR(VALUE(TRIM(LEFT(MID(Wages!$B425,FIND("/",Wages!$B425)+1,20),FIND("/",MID(Wages!$B425,FIND("/",Wages!$B425)+1,20))-1))),"")))</f>
        <v/>
      </c>
      <c r="E422">
        <f>IF(OR($A422="",$C422=""),"",IF(ISNUMBER(Wages!$B425),MOD(Wages!$B425,100),IFERROR(VALUE(TRIM(MID(MID(Wages!$B425,FIND("/",Wages!$B425)+1,20),FIND("/",MID(Wages!$B425,FIND("/",Wages!$B425)+1,20))+1,20))),"")))</f>
        <v/>
      </c>
      <c r="F422">
        <f>IF($A422="","",IF(OR($C422="",$D422="",$E422="",$C422&lt;1300,$C422&gt;1500,$D422&lt;1,$D422&gt;12,$E422&lt;1,$E422&gt;31),"نامعتبر",RIGHT("0000"&amp;$C422,4)&amp;"/"&amp;RIGHT("00"&amp;$D422,2)&amp;"/"&amp;RIGHT("00"&amp;$E422,2)))</f>
        <v/>
      </c>
      <c r="G422">
        <f>IF(OR($A422="",$F422="",$F422="نامعتبر"),"",LEFT($F422,4)&amp;MID($F422,6,2)&amp;RIGHT($F422,2)&amp;"0000"&amp;"|"&amp;"1"&amp;RIGHT("00000"&amp;417,5))</f>
        <v/>
      </c>
      <c r="H422">
        <f>IF(OR($B422&lt;&gt;1,$G422=""),"",COUNTIFS(LdAParty,$A422,LdAType,1,LdAKey,"&lt;"&amp;$G422)+COUNTIFS(LdBMember,$A422,LdBKey,"&lt;"&amp;$G422)+COUNTIFS(LdCParty,$A422,LdCKey,"&lt;"&amp;$G422)+1)</f>
        <v/>
      </c>
      <c r="I422">
        <f>IF($H422="","",$A422&amp;"|"&amp;RIGHT("000000"&amp;$H422,6))</f>
        <v/>
      </c>
      <c r="J422">
        <f>IF(OR($B422&lt;&gt;2,$G422=""),"",COUNTIFS(LdAParty,$A422,LdAType,2,LdAKey,"&lt;"&amp;$G422)+1)</f>
        <v/>
      </c>
      <c r="K422">
        <f>IF($J422="","",$A422&amp;"|"&amp;RIGHT("000000"&amp;$J422,6))</f>
        <v/>
      </c>
      <c r="L422">
        <f>IF($A422="","",IF(Wages!$G425="",0,Wages!$G425))</f>
        <v/>
      </c>
      <c r="M422">
        <f>IF($A422="","",Wages!$J425)</f>
        <v/>
      </c>
      <c r="N422">
        <f>IF($A422="","",Wages!$D425)</f>
        <v/>
      </c>
      <c r="P422">
        <f>IF(OR(Shares!$B425="",Shares!$C425=""),"",Shares!$C425)</f>
        <v/>
      </c>
      <c r="Q422">
        <f>IF($P422="","",Shares!$B425)</f>
        <v/>
      </c>
      <c r="R422">
        <f>IF($P422="","",IFERROR(INDEX(WageParty,MATCH($Q422,WageIds,0)),""))</f>
        <v/>
      </c>
      <c r="S422">
        <f>IF($P422="","",IFERROR(INDEX($F$6:$F$2005,MATCH($Q422,WageIds,0)),""))</f>
        <v/>
      </c>
      <c r="T422">
        <f>IF(OR($P422="",$S422="",$S422="نامعتبر"),"",LEFT($S422,4)&amp;MID($S422,6,2)&amp;RIGHT($S422,2)&amp;"0000"&amp;"|"&amp;"2"&amp;RIGHT("00000"&amp;417,5))</f>
        <v/>
      </c>
      <c r="U422">
        <f>IF($T422="","",COUNTIFS(LdAParty,$P422,LdAType,1,LdAKey,"&lt;"&amp;$T422)+COUNTIFS(LdBMember,$P422,LdBKey,"&lt;"&amp;$T422)+COUNTIFS(LdCParty,$P422,LdCKey,"&lt;"&amp;$T422)+1)</f>
        <v/>
      </c>
      <c r="V422">
        <f>IF($U422="","",$P422&amp;"|"&amp;RIGHT("000000"&amp;$U422,6))</f>
        <v/>
      </c>
      <c r="W422">
        <f>IF($T422="","",COUNTIFS(LdBGroup,$R422,LdBKey,"&lt;"&amp;$T422)+1)</f>
        <v/>
      </c>
      <c r="X422">
        <f>IF($W422="","",$R422&amp;"|"&amp;RIGHT("000000"&amp;$W422,6))</f>
        <v/>
      </c>
      <c r="Y422">
        <f>IF($P422="","",IF(Shares!$E425="",0,Shares!$E425))</f>
        <v/>
      </c>
      <c r="Z422">
        <f>IF($P422="","",Shares!$H425)</f>
        <v/>
      </c>
      <c r="AE422">
        <f>IF(OR(Sync!$S422="",Sync!$P422=""),"",Sync!$S422)</f>
        <v/>
      </c>
      <c r="AF422">
        <f>IF($AE422="","",IF(ISNUMBER(Sync!$P422),IF(AND(Sync!$P422&gt;=10000101,Sync!$P422&lt;=99991231),INT(Sync!$P422/10000),""),IFERROR(VALUE(TRIM(LEFT(Sync!$P422,FIND("/",Sync!$P422)-1))),"")))</f>
        <v/>
      </c>
      <c r="AG422">
        <f>IF(OR($AE422="",$AF422=""),"",IF(ISNUMBER(Sync!$P422),INT(MOD(Sync!$P422,10000)/100),IFERROR(VALUE(TRIM(LEFT(MID(Sync!$P422,FIND("/",Sync!$P422)+1,20),FIND("/",MID(Sync!$P422,FIND("/",Sync!$P422)+1,20))-1))),"")))</f>
        <v/>
      </c>
      <c r="AH422">
        <f>IF(OR($AE422="",$AF422=""),"",IF(ISNUMBER(Sync!$P422),MOD(Sync!$P422,100),IFERROR(VALUE(TRIM(MID(MID(Sync!$P422,FIND("/",Sync!$P422)+1,20),FIND("/",MID(Sync!$P422,FIND("/",Sync!$P422)+1,20))+1,20))),"")))</f>
        <v/>
      </c>
      <c r="AI422">
        <f>IF($AE422="","",IF(OR($AF422="",$AG422="",$AH422="",$AF422&lt;1300,$AF422&gt;1500,$AG422&lt;1,$AG422&gt;12,$AH422&lt;1,$AH422&gt;31),"نامعتبر",RIGHT("0000"&amp;$AF422,4)&amp;"/"&amp;RIGHT("00"&amp;$AG422,2)&amp;"/"&amp;RIGHT("00"&amp;$AH422,2)))</f>
        <v/>
      </c>
      <c r="AJ422">
        <f>IF($AE422="","",IF(Sync!$Q422="","0000",IF(AND(ISNUMBER(Sync!$Q422),Sync!$Q422&gt;=0,Sync!$Q422&lt;1),RIGHT("00"&amp;HOUR(Sync!$Q422),2)&amp;RIGHT("00"&amp;MINUTE(Sync!$Q422),2),IFERROR(RIGHT("00"&amp;VALUE(LEFT(Sync!$Q422,FIND(":",Sync!$Q422)-1)),2)&amp;RIGHT("00"&amp;VALUE(MID(Sync!$Q422,FIND(":",Sync!$Q422)+1,2)),2),"0000"))))</f>
        <v/>
      </c>
      <c r="AK422">
        <f>IF(OR($AE422="",$AI422="",$AI422="نامعتبر"),"",LEFT($AI422,4)&amp;MID($AI422,6,2)&amp;RIGHT($AI422,2)&amp;$AJ422&amp;"|"&amp;"3"&amp;RIGHT("00000"&amp;417,5))</f>
        <v/>
      </c>
      <c r="AL422">
        <f>IF($AK422="","",COUNTIFS(LdAParty,$AE422,LdAType,1,LdAKey,"&lt;"&amp;$AK422)+COUNTIFS(LdBMember,$AE422,LdBKey,"&lt;"&amp;$AK422)+COUNTIFS(LdCParty,$AE422,LdCKey,"&lt;"&amp;$AK422)+1)</f>
        <v/>
      </c>
      <c r="AM422">
        <f>IF($AL422="","",$AE422&amp;"|"&amp;RIGHT("000000"&amp;$AL422,6))</f>
        <v/>
      </c>
      <c r="AN422">
        <f>IF($AE422="","",IF(Sync!$W422="",0,Sync!$W422))</f>
        <v/>
      </c>
      <c r="AO422">
        <f>IF($AE422="","",IF(Sync!$X422="",0,Sync!$X422))</f>
        <v/>
      </c>
      <c r="AP422">
        <f>IF($AE422="","",Sync!$R422)</f>
        <v/>
      </c>
      <c r="AQ422">
        <f>IF($AE422="","",Sync!$Y422)</f>
        <v/>
      </c>
    </row>
    <row r="423">
      <c r="A423">
        <f>IF(OR(Wages!$B426="",Wages!$E426=""),"",Wages!$E426)</f>
        <v/>
      </c>
      <c r="B423">
        <f>IF($A423="","",IF(Wages!$C426="دستمزد گروهی",2,1))</f>
        <v/>
      </c>
      <c r="C423">
        <f>IF($A423="","",IF(ISNUMBER(Wages!$B426),IF(AND(Wages!$B426&gt;=10000101,Wages!$B426&lt;=99991231),INT(Wages!$B426/10000),""),IFERROR(VALUE(TRIM(LEFT(Wages!$B426,FIND("/",Wages!$B426)-1))),"")))</f>
        <v/>
      </c>
      <c r="D423">
        <f>IF(OR($A423="",$C423=""),"",IF(ISNUMBER(Wages!$B426),INT(MOD(Wages!$B426,10000)/100),IFERROR(VALUE(TRIM(LEFT(MID(Wages!$B426,FIND("/",Wages!$B426)+1,20),FIND("/",MID(Wages!$B426,FIND("/",Wages!$B426)+1,20))-1))),"")))</f>
        <v/>
      </c>
      <c r="E423">
        <f>IF(OR($A423="",$C423=""),"",IF(ISNUMBER(Wages!$B426),MOD(Wages!$B426,100),IFERROR(VALUE(TRIM(MID(MID(Wages!$B426,FIND("/",Wages!$B426)+1,20),FIND("/",MID(Wages!$B426,FIND("/",Wages!$B426)+1,20))+1,20))),"")))</f>
        <v/>
      </c>
      <c r="F423">
        <f>IF($A423="","",IF(OR($C423="",$D423="",$E423="",$C423&lt;1300,$C423&gt;1500,$D423&lt;1,$D423&gt;12,$E423&lt;1,$E423&gt;31),"نامعتبر",RIGHT("0000"&amp;$C423,4)&amp;"/"&amp;RIGHT("00"&amp;$D423,2)&amp;"/"&amp;RIGHT("00"&amp;$E423,2)))</f>
        <v/>
      </c>
      <c r="G423">
        <f>IF(OR($A423="",$F423="",$F423="نامعتبر"),"",LEFT($F423,4)&amp;MID($F423,6,2)&amp;RIGHT($F423,2)&amp;"0000"&amp;"|"&amp;"1"&amp;RIGHT("00000"&amp;418,5))</f>
        <v/>
      </c>
      <c r="H423">
        <f>IF(OR($B423&lt;&gt;1,$G423=""),"",COUNTIFS(LdAParty,$A423,LdAType,1,LdAKey,"&lt;"&amp;$G423)+COUNTIFS(LdBMember,$A423,LdBKey,"&lt;"&amp;$G423)+COUNTIFS(LdCParty,$A423,LdCKey,"&lt;"&amp;$G423)+1)</f>
        <v/>
      </c>
      <c r="I423">
        <f>IF($H423="","",$A423&amp;"|"&amp;RIGHT("000000"&amp;$H423,6))</f>
        <v/>
      </c>
      <c r="J423">
        <f>IF(OR($B423&lt;&gt;2,$G423=""),"",COUNTIFS(LdAParty,$A423,LdAType,2,LdAKey,"&lt;"&amp;$G423)+1)</f>
        <v/>
      </c>
      <c r="K423">
        <f>IF($J423="","",$A423&amp;"|"&amp;RIGHT("000000"&amp;$J423,6))</f>
        <v/>
      </c>
      <c r="L423">
        <f>IF($A423="","",IF(Wages!$G426="",0,Wages!$G426))</f>
        <v/>
      </c>
      <c r="M423">
        <f>IF($A423="","",Wages!$J426)</f>
        <v/>
      </c>
      <c r="N423">
        <f>IF($A423="","",Wages!$D426)</f>
        <v/>
      </c>
      <c r="P423">
        <f>IF(OR(Shares!$B426="",Shares!$C426=""),"",Shares!$C426)</f>
        <v/>
      </c>
      <c r="Q423">
        <f>IF($P423="","",Shares!$B426)</f>
        <v/>
      </c>
      <c r="R423">
        <f>IF($P423="","",IFERROR(INDEX(WageParty,MATCH($Q423,WageIds,0)),""))</f>
        <v/>
      </c>
      <c r="S423">
        <f>IF($P423="","",IFERROR(INDEX($F$6:$F$2005,MATCH($Q423,WageIds,0)),""))</f>
        <v/>
      </c>
      <c r="T423">
        <f>IF(OR($P423="",$S423="",$S423="نامعتبر"),"",LEFT($S423,4)&amp;MID($S423,6,2)&amp;RIGHT($S423,2)&amp;"0000"&amp;"|"&amp;"2"&amp;RIGHT("00000"&amp;418,5))</f>
        <v/>
      </c>
      <c r="U423">
        <f>IF($T423="","",COUNTIFS(LdAParty,$P423,LdAType,1,LdAKey,"&lt;"&amp;$T423)+COUNTIFS(LdBMember,$P423,LdBKey,"&lt;"&amp;$T423)+COUNTIFS(LdCParty,$P423,LdCKey,"&lt;"&amp;$T423)+1)</f>
        <v/>
      </c>
      <c r="V423">
        <f>IF($U423="","",$P423&amp;"|"&amp;RIGHT("000000"&amp;$U423,6))</f>
        <v/>
      </c>
      <c r="W423">
        <f>IF($T423="","",COUNTIFS(LdBGroup,$R423,LdBKey,"&lt;"&amp;$T423)+1)</f>
        <v/>
      </c>
      <c r="X423">
        <f>IF($W423="","",$R423&amp;"|"&amp;RIGHT("000000"&amp;$W423,6))</f>
        <v/>
      </c>
      <c r="Y423">
        <f>IF($P423="","",IF(Shares!$E426="",0,Shares!$E426))</f>
        <v/>
      </c>
      <c r="Z423">
        <f>IF($P423="","",Shares!$H426)</f>
        <v/>
      </c>
      <c r="AE423">
        <f>IF(OR(Sync!$S423="",Sync!$P423=""),"",Sync!$S423)</f>
        <v/>
      </c>
      <c r="AF423">
        <f>IF($AE423="","",IF(ISNUMBER(Sync!$P423),IF(AND(Sync!$P423&gt;=10000101,Sync!$P423&lt;=99991231),INT(Sync!$P423/10000),""),IFERROR(VALUE(TRIM(LEFT(Sync!$P423,FIND("/",Sync!$P423)-1))),"")))</f>
        <v/>
      </c>
      <c r="AG423">
        <f>IF(OR($AE423="",$AF423=""),"",IF(ISNUMBER(Sync!$P423),INT(MOD(Sync!$P423,10000)/100),IFERROR(VALUE(TRIM(LEFT(MID(Sync!$P423,FIND("/",Sync!$P423)+1,20),FIND("/",MID(Sync!$P423,FIND("/",Sync!$P423)+1,20))-1))),"")))</f>
        <v/>
      </c>
      <c r="AH423">
        <f>IF(OR($AE423="",$AF423=""),"",IF(ISNUMBER(Sync!$P423),MOD(Sync!$P423,100),IFERROR(VALUE(TRIM(MID(MID(Sync!$P423,FIND("/",Sync!$P423)+1,20),FIND("/",MID(Sync!$P423,FIND("/",Sync!$P423)+1,20))+1,20))),"")))</f>
        <v/>
      </c>
      <c r="AI423">
        <f>IF($AE423="","",IF(OR($AF423="",$AG423="",$AH423="",$AF423&lt;1300,$AF423&gt;1500,$AG423&lt;1,$AG423&gt;12,$AH423&lt;1,$AH423&gt;31),"نامعتبر",RIGHT("0000"&amp;$AF423,4)&amp;"/"&amp;RIGHT("00"&amp;$AG423,2)&amp;"/"&amp;RIGHT("00"&amp;$AH423,2)))</f>
        <v/>
      </c>
      <c r="AJ423">
        <f>IF($AE423="","",IF(Sync!$Q423="","0000",IF(AND(ISNUMBER(Sync!$Q423),Sync!$Q423&gt;=0,Sync!$Q423&lt;1),RIGHT("00"&amp;HOUR(Sync!$Q423),2)&amp;RIGHT("00"&amp;MINUTE(Sync!$Q423),2),IFERROR(RIGHT("00"&amp;VALUE(LEFT(Sync!$Q423,FIND(":",Sync!$Q423)-1)),2)&amp;RIGHT("00"&amp;VALUE(MID(Sync!$Q423,FIND(":",Sync!$Q423)+1,2)),2),"0000"))))</f>
        <v/>
      </c>
      <c r="AK423">
        <f>IF(OR($AE423="",$AI423="",$AI423="نامعتبر"),"",LEFT($AI423,4)&amp;MID($AI423,6,2)&amp;RIGHT($AI423,2)&amp;$AJ423&amp;"|"&amp;"3"&amp;RIGHT("00000"&amp;418,5))</f>
        <v/>
      </c>
      <c r="AL423">
        <f>IF($AK423="","",COUNTIFS(LdAParty,$AE423,LdAType,1,LdAKey,"&lt;"&amp;$AK423)+COUNTIFS(LdBMember,$AE423,LdBKey,"&lt;"&amp;$AK423)+COUNTIFS(LdCParty,$AE423,LdCKey,"&lt;"&amp;$AK423)+1)</f>
        <v/>
      </c>
      <c r="AM423">
        <f>IF($AL423="","",$AE423&amp;"|"&amp;RIGHT("000000"&amp;$AL423,6))</f>
        <v/>
      </c>
      <c r="AN423">
        <f>IF($AE423="","",IF(Sync!$W423="",0,Sync!$W423))</f>
        <v/>
      </c>
      <c r="AO423">
        <f>IF($AE423="","",IF(Sync!$X423="",0,Sync!$X423))</f>
        <v/>
      </c>
      <c r="AP423">
        <f>IF($AE423="","",Sync!$R423)</f>
        <v/>
      </c>
      <c r="AQ423">
        <f>IF($AE423="","",Sync!$Y423)</f>
        <v/>
      </c>
    </row>
    <row r="424">
      <c r="A424">
        <f>IF(OR(Wages!$B427="",Wages!$E427=""),"",Wages!$E427)</f>
        <v/>
      </c>
      <c r="B424">
        <f>IF($A424="","",IF(Wages!$C427="دستمزد گروهی",2,1))</f>
        <v/>
      </c>
      <c r="C424">
        <f>IF($A424="","",IF(ISNUMBER(Wages!$B427),IF(AND(Wages!$B427&gt;=10000101,Wages!$B427&lt;=99991231),INT(Wages!$B427/10000),""),IFERROR(VALUE(TRIM(LEFT(Wages!$B427,FIND("/",Wages!$B427)-1))),"")))</f>
        <v/>
      </c>
      <c r="D424">
        <f>IF(OR($A424="",$C424=""),"",IF(ISNUMBER(Wages!$B427),INT(MOD(Wages!$B427,10000)/100),IFERROR(VALUE(TRIM(LEFT(MID(Wages!$B427,FIND("/",Wages!$B427)+1,20),FIND("/",MID(Wages!$B427,FIND("/",Wages!$B427)+1,20))-1))),"")))</f>
        <v/>
      </c>
      <c r="E424">
        <f>IF(OR($A424="",$C424=""),"",IF(ISNUMBER(Wages!$B427),MOD(Wages!$B427,100),IFERROR(VALUE(TRIM(MID(MID(Wages!$B427,FIND("/",Wages!$B427)+1,20),FIND("/",MID(Wages!$B427,FIND("/",Wages!$B427)+1,20))+1,20))),"")))</f>
        <v/>
      </c>
      <c r="F424">
        <f>IF($A424="","",IF(OR($C424="",$D424="",$E424="",$C424&lt;1300,$C424&gt;1500,$D424&lt;1,$D424&gt;12,$E424&lt;1,$E424&gt;31),"نامعتبر",RIGHT("0000"&amp;$C424,4)&amp;"/"&amp;RIGHT("00"&amp;$D424,2)&amp;"/"&amp;RIGHT("00"&amp;$E424,2)))</f>
        <v/>
      </c>
      <c r="G424">
        <f>IF(OR($A424="",$F424="",$F424="نامعتبر"),"",LEFT($F424,4)&amp;MID($F424,6,2)&amp;RIGHT($F424,2)&amp;"0000"&amp;"|"&amp;"1"&amp;RIGHT("00000"&amp;419,5))</f>
        <v/>
      </c>
      <c r="H424">
        <f>IF(OR($B424&lt;&gt;1,$G424=""),"",COUNTIFS(LdAParty,$A424,LdAType,1,LdAKey,"&lt;"&amp;$G424)+COUNTIFS(LdBMember,$A424,LdBKey,"&lt;"&amp;$G424)+COUNTIFS(LdCParty,$A424,LdCKey,"&lt;"&amp;$G424)+1)</f>
        <v/>
      </c>
      <c r="I424">
        <f>IF($H424="","",$A424&amp;"|"&amp;RIGHT("000000"&amp;$H424,6))</f>
        <v/>
      </c>
      <c r="J424">
        <f>IF(OR($B424&lt;&gt;2,$G424=""),"",COUNTIFS(LdAParty,$A424,LdAType,2,LdAKey,"&lt;"&amp;$G424)+1)</f>
        <v/>
      </c>
      <c r="K424">
        <f>IF($J424="","",$A424&amp;"|"&amp;RIGHT("000000"&amp;$J424,6))</f>
        <v/>
      </c>
      <c r="L424">
        <f>IF($A424="","",IF(Wages!$G427="",0,Wages!$G427))</f>
        <v/>
      </c>
      <c r="M424">
        <f>IF($A424="","",Wages!$J427)</f>
        <v/>
      </c>
      <c r="N424">
        <f>IF($A424="","",Wages!$D427)</f>
        <v/>
      </c>
      <c r="P424">
        <f>IF(OR(Shares!$B427="",Shares!$C427=""),"",Shares!$C427)</f>
        <v/>
      </c>
      <c r="Q424">
        <f>IF($P424="","",Shares!$B427)</f>
        <v/>
      </c>
      <c r="R424">
        <f>IF($P424="","",IFERROR(INDEX(WageParty,MATCH($Q424,WageIds,0)),""))</f>
        <v/>
      </c>
      <c r="S424">
        <f>IF($P424="","",IFERROR(INDEX($F$6:$F$2005,MATCH($Q424,WageIds,0)),""))</f>
        <v/>
      </c>
      <c r="T424">
        <f>IF(OR($P424="",$S424="",$S424="نامعتبر"),"",LEFT($S424,4)&amp;MID($S424,6,2)&amp;RIGHT($S424,2)&amp;"0000"&amp;"|"&amp;"2"&amp;RIGHT("00000"&amp;419,5))</f>
        <v/>
      </c>
      <c r="U424">
        <f>IF($T424="","",COUNTIFS(LdAParty,$P424,LdAType,1,LdAKey,"&lt;"&amp;$T424)+COUNTIFS(LdBMember,$P424,LdBKey,"&lt;"&amp;$T424)+COUNTIFS(LdCParty,$P424,LdCKey,"&lt;"&amp;$T424)+1)</f>
        <v/>
      </c>
      <c r="V424">
        <f>IF($U424="","",$P424&amp;"|"&amp;RIGHT("000000"&amp;$U424,6))</f>
        <v/>
      </c>
      <c r="W424">
        <f>IF($T424="","",COUNTIFS(LdBGroup,$R424,LdBKey,"&lt;"&amp;$T424)+1)</f>
        <v/>
      </c>
      <c r="X424">
        <f>IF($W424="","",$R424&amp;"|"&amp;RIGHT("000000"&amp;$W424,6))</f>
        <v/>
      </c>
      <c r="Y424">
        <f>IF($P424="","",IF(Shares!$E427="",0,Shares!$E427))</f>
        <v/>
      </c>
      <c r="Z424">
        <f>IF($P424="","",Shares!$H427)</f>
        <v/>
      </c>
      <c r="AE424">
        <f>IF(OR(Sync!$S424="",Sync!$P424=""),"",Sync!$S424)</f>
        <v/>
      </c>
      <c r="AF424">
        <f>IF($AE424="","",IF(ISNUMBER(Sync!$P424),IF(AND(Sync!$P424&gt;=10000101,Sync!$P424&lt;=99991231),INT(Sync!$P424/10000),""),IFERROR(VALUE(TRIM(LEFT(Sync!$P424,FIND("/",Sync!$P424)-1))),"")))</f>
        <v/>
      </c>
      <c r="AG424">
        <f>IF(OR($AE424="",$AF424=""),"",IF(ISNUMBER(Sync!$P424),INT(MOD(Sync!$P424,10000)/100),IFERROR(VALUE(TRIM(LEFT(MID(Sync!$P424,FIND("/",Sync!$P424)+1,20),FIND("/",MID(Sync!$P424,FIND("/",Sync!$P424)+1,20))-1))),"")))</f>
        <v/>
      </c>
      <c r="AH424">
        <f>IF(OR($AE424="",$AF424=""),"",IF(ISNUMBER(Sync!$P424),MOD(Sync!$P424,100),IFERROR(VALUE(TRIM(MID(MID(Sync!$P424,FIND("/",Sync!$P424)+1,20),FIND("/",MID(Sync!$P424,FIND("/",Sync!$P424)+1,20))+1,20))),"")))</f>
        <v/>
      </c>
      <c r="AI424">
        <f>IF($AE424="","",IF(OR($AF424="",$AG424="",$AH424="",$AF424&lt;1300,$AF424&gt;1500,$AG424&lt;1,$AG424&gt;12,$AH424&lt;1,$AH424&gt;31),"نامعتبر",RIGHT("0000"&amp;$AF424,4)&amp;"/"&amp;RIGHT("00"&amp;$AG424,2)&amp;"/"&amp;RIGHT("00"&amp;$AH424,2)))</f>
        <v/>
      </c>
      <c r="AJ424">
        <f>IF($AE424="","",IF(Sync!$Q424="","0000",IF(AND(ISNUMBER(Sync!$Q424),Sync!$Q424&gt;=0,Sync!$Q424&lt;1),RIGHT("00"&amp;HOUR(Sync!$Q424),2)&amp;RIGHT("00"&amp;MINUTE(Sync!$Q424),2),IFERROR(RIGHT("00"&amp;VALUE(LEFT(Sync!$Q424,FIND(":",Sync!$Q424)-1)),2)&amp;RIGHT("00"&amp;VALUE(MID(Sync!$Q424,FIND(":",Sync!$Q424)+1,2)),2),"0000"))))</f>
        <v/>
      </c>
      <c r="AK424">
        <f>IF(OR($AE424="",$AI424="",$AI424="نامعتبر"),"",LEFT($AI424,4)&amp;MID($AI424,6,2)&amp;RIGHT($AI424,2)&amp;$AJ424&amp;"|"&amp;"3"&amp;RIGHT("00000"&amp;419,5))</f>
        <v/>
      </c>
      <c r="AL424">
        <f>IF($AK424="","",COUNTIFS(LdAParty,$AE424,LdAType,1,LdAKey,"&lt;"&amp;$AK424)+COUNTIFS(LdBMember,$AE424,LdBKey,"&lt;"&amp;$AK424)+COUNTIFS(LdCParty,$AE424,LdCKey,"&lt;"&amp;$AK424)+1)</f>
        <v/>
      </c>
      <c r="AM424">
        <f>IF($AL424="","",$AE424&amp;"|"&amp;RIGHT("000000"&amp;$AL424,6))</f>
        <v/>
      </c>
      <c r="AN424">
        <f>IF($AE424="","",IF(Sync!$W424="",0,Sync!$W424))</f>
        <v/>
      </c>
      <c r="AO424">
        <f>IF($AE424="","",IF(Sync!$X424="",0,Sync!$X424))</f>
        <v/>
      </c>
      <c r="AP424">
        <f>IF($AE424="","",Sync!$R424)</f>
        <v/>
      </c>
      <c r="AQ424">
        <f>IF($AE424="","",Sync!$Y424)</f>
        <v/>
      </c>
    </row>
    <row r="425">
      <c r="A425">
        <f>IF(OR(Wages!$B428="",Wages!$E428=""),"",Wages!$E428)</f>
        <v/>
      </c>
      <c r="B425">
        <f>IF($A425="","",IF(Wages!$C428="دستمزد گروهی",2,1))</f>
        <v/>
      </c>
      <c r="C425">
        <f>IF($A425="","",IF(ISNUMBER(Wages!$B428),IF(AND(Wages!$B428&gt;=10000101,Wages!$B428&lt;=99991231),INT(Wages!$B428/10000),""),IFERROR(VALUE(TRIM(LEFT(Wages!$B428,FIND("/",Wages!$B428)-1))),"")))</f>
        <v/>
      </c>
      <c r="D425">
        <f>IF(OR($A425="",$C425=""),"",IF(ISNUMBER(Wages!$B428),INT(MOD(Wages!$B428,10000)/100),IFERROR(VALUE(TRIM(LEFT(MID(Wages!$B428,FIND("/",Wages!$B428)+1,20),FIND("/",MID(Wages!$B428,FIND("/",Wages!$B428)+1,20))-1))),"")))</f>
        <v/>
      </c>
      <c r="E425">
        <f>IF(OR($A425="",$C425=""),"",IF(ISNUMBER(Wages!$B428),MOD(Wages!$B428,100),IFERROR(VALUE(TRIM(MID(MID(Wages!$B428,FIND("/",Wages!$B428)+1,20),FIND("/",MID(Wages!$B428,FIND("/",Wages!$B428)+1,20))+1,20))),"")))</f>
        <v/>
      </c>
      <c r="F425">
        <f>IF($A425="","",IF(OR($C425="",$D425="",$E425="",$C425&lt;1300,$C425&gt;1500,$D425&lt;1,$D425&gt;12,$E425&lt;1,$E425&gt;31),"نامعتبر",RIGHT("0000"&amp;$C425,4)&amp;"/"&amp;RIGHT("00"&amp;$D425,2)&amp;"/"&amp;RIGHT("00"&amp;$E425,2)))</f>
        <v/>
      </c>
      <c r="G425">
        <f>IF(OR($A425="",$F425="",$F425="نامعتبر"),"",LEFT($F425,4)&amp;MID($F425,6,2)&amp;RIGHT($F425,2)&amp;"0000"&amp;"|"&amp;"1"&amp;RIGHT("00000"&amp;420,5))</f>
        <v/>
      </c>
      <c r="H425">
        <f>IF(OR($B425&lt;&gt;1,$G425=""),"",COUNTIFS(LdAParty,$A425,LdAType,1,LdAKey,"&lt;"&amp;$G425)+COUNTIFS(LdBMember,$A425,LdBKey,"&lt;"&amp;$G425)+COUNTIFS(LdCParty,$A425,LdCKey,"&lt;"&amp;$G425)+1)</f>
        <v/>
      </c>
      <c r="I425">
        <f>IF($H425="","",$A425&amp;"|"&amp;RIGHT("000000"&amp;$H425,6))</f>
        <v/>
      </c>
      <c r="J425">
        <f>IF(OR($B425&lt;&gt;2,$G425=""),"",COUNTIFS(LdAParty,$A425,LdAType,2,LdAKey,"&lt;"&amp;$G425)+1)</f>
        <v/>
      </c>
      <c r="K425">
        <f>IF($J425="","",$A425&amp;"|"&amp;RIGHT("000000"&amp;$J425,6))</f>
        <v/>
      </c>
      <c r="L425">
        <f>IF($A425="","",IF(Wages!$G428="",0,Wages!$G428))</f>
        <v/>
      </c>
      <c r="M425">
        <f>IF($A425="","",Wages!$J428)</f>
        <v/>
      </c>
      <c r="N425">
        <f>IF($A425="","",Wages!$D428)</f>
        <v/>
      </c>
      <c r="P425">
        <f>IF(OR(Shares!$B428="",Shares!$C428=""),"",Shares!$C428)</f>
        <v/>
      </c>
      <c r="Q425">
        <f>IF($P425="","",Shares!$B428)</f>
        <v/>
      </c>
      <c r="R425">
        <f>IF($P425="","",IFERROR(INDEX(WageParty,MATCH($Q425,WageIds,0)),""))</f>
        <v/>
      </c>
      <c r="S425">
        <f>IF($P425="","",IFERROR(INDEX($F$6:$F$2005,MATCH($Q425,WageIds,0)),""))</f>
        <v/>
      </c>
      <c r="T425">
        <f>IF(OR($P425="",$S425="",$S425="نامعتبر"),"",LEFT($S425,4)&amp;MID($S425,6,2)&amp;RIGHT($S425,2)&amp;"0000"&amp;"|"&amp;"2"&amp;RIGHT("00000"&amp;420,5))</f>
        <v/>
      </c>
      <c r="U425">
        <f>IF($T425="","",COUNTIFS(LdAParty,$P425,LdAType,1,LdAKey,"&lt;"&amp;$T425)+COUNTIFS(LdBMember,$P425,LdBKey,"&lt;"&amp;$T425)+COUNTIFS(LdCParty,$P425,LdCKey,"&lt;"&amp;$T425)+1)</f>
        <v/>
      </c>
      <c r="V425">
        <f>IF($U425="","",$P425&amp;"|"&amp;RIGHT("000000"&amp;$U425,6))</f>
        <v/>
      </c>
      <c r="W425">
        <f>IF($T425="","",COUNTIFS(LdBGroup,$R425,LdBKey,"&lt;"&amp;$T425)+1)</f>
        <v/>
      </c>
      <c r="X425">
        <f>IF($W425="","",$R425&amp;"|"&amp;RIGHT("000000"&amp;$W425,6))</f>
        <v/>
      </c>
      <c r="Y425">
        <f>IF($P425="","",IF(Shares!$E428="",0,Shares!$E428))</f>
        <v/>
      </c>
      <c r="Z425">
        <f>IF($P425="","",Shares!$H428)</f>
        <v/>
      </c>
      <c r="AE425">
        <f>IF(OR(Sync!$S425="",Sync!$P425=""),"",Sync!$S425)</f>
        <v/>
      </c>
      <c r="AF425">
        <f>IF($AE425="","",IF(ISNUMBER(Sync!$P425),IF(AND(Sync!$P425&gt;=10000101,Sync!$P425&lt;=99991231),INT(Sync!$P425/10000),""),IFERROR(VALUE(TRIM(LEFT(Sync!$P425,FIND("/",Sync!$P425)-1))),"")))</f>
        <v/>
      </c>
      <c r="AG425">
        <f>IF(OR($AE425="",$AF425=""),"",IF(ISNUMBER(Sync!$P425),INT(MOD(Sync!$P425,10000)/100),IFERROR(VALUE(TRIM(LEFT(MID(Sync!$P425,FIND("/",Sync!$P425)+1,20),FIND("/",MID(Sync!$P425,FIND("/",Sync!$P425)+1,20))-1))),"")))</f>
        <v/>
      </c>
      <c r="AH425">
        <f>IF(OR($AE425="",$AF425=""),"",IF(ISNUMBER(Sync!$P425),MOD(Sync!$P425,100),IFERROR(VALUE(TRIM(MID(MID(Sync!$P425,FIND("/",Sync!$P425)+1,20),FIND("/",MID(Sync!$P425,FIND("/",Sync!$P425)+1,20))+1,20))),"")))</f>
        <v/>
      </c>
      <c r="AI425">
        <f>IF($AE425="","",IF(OR($AF425="",$AG425="",$AH425="",$AF425&lt;1300,$AF425&gt;1500,$AG425&lt;1,$AG425&gt;12,$AH425&lt;1,$AH425&gt;31),"نامعتبر",RIGHT("0000"&amp;$AF425,4)&amp;"/"&amp;RIGHT("00"&amp;$AG425,2)&amp;"/"&amp;RIGHT("00"&amp;$AH425,2)))</f>
        <v/>
      </c>
      <c r="AJ425">
        <f>IF($AE425="","",IF(Sync!$Q425="","0000",IF(AND(ISNUMBER(Sync!$Q425),Sync!$Q425&gt;=0,Sync!$Q425&lt;1),RIGHT("00"&amp;HOUR(Sync!$Q425),2)&amp;RIGHT("00"&amp;MINUTE(Sync!$Q425),2),IFERROR(RIGHT("00"&amp;VALUE(LEFT(Sync!$Q425,FIND(":",Sync!$Q425)-1)),2)&amp;RIGHT("00"&amp;VALUE(MID(Sync!$Q425,FIND(":",Sync!$Q425)+1,2)),2),"0000"))))</f>
        <v/>
      </c>
      <c r="AK425">
        <f>IF(OR($AE425="",$AI425="",$AI425="نامعتبر"),"",LEFT($AI425,4)&amp;MID($AI425,6,2)&amp;RIGHT($AI425,2)&amp;$AJ425&amp;"|"&amp;"3"&amp;RIGHT("00000"&amp;420,5))</f>
        <v/>
      </c>
      <c r="AL425">
        <f>IF($AK425="","",COUNTIFS(LdAParty,$AE425,LdAType,1,LdAKey,"&lt;"&amp;$AK425)+COUNTIFS(LdBMember,$AE425,LdBKey,"&lt;"&amp;$AK425)+COUNTIFS(LdCParty,$AE425,LdCKey,"&lt;"&amp;$AK425)+1)</f>
        <v/>
      </c>
      <c r="AM425">
        <f>IF($AL425="","",$AE425&amp;"|"&amp;RIGHT("000000"&amp;$AL425,6))</f>
        <v/>
      </c>
      <c r="AN425">
        <f>IF($AE425="","",IF(Sync!$W425="",0,Sync!$W425))</f>
        <v/>
      </c>
      <c r="AO425">
        <f>IF($AE425="","",IF(Sync!$X425="",0,Sync!$X425))</f>
        <v/>
      </c>
      <c r="AP425">
        <f>IF($AE425="","",Sync!$R425)</f>
        <v/>
      </c>
      <c r="AQ425">
        <f>IF($AE425="","",Sync!$Y425)</f>
        <v/>
      </c>
    </row>
    <row r="426">
      <c r="A426">
        <f>IF(OR(Wages!$B429="",Wages!$E429=""),"",Wages!$E429)</f>
        <v/>
      </c>
      <c r="B426">
        <f>IF($A426="","",IF(Wages!$C429="دستمزد گروهی",2,1))</f>
        <v/>
      </c>
      <c r="C426">
        <f>IF($A426="","",IF(ISNUMBER(Wages!$B429),IF(AND(Wages!$B429&gt;=10000101,Wages!$B429&lt;=99991231),INT(Wages!$B429/10000),""),IFERROR(VALUE(TRIM(LEFT(Wages!$B429,FIND("/",Wages!$B429)-1))),"")))</f>
        <v/>
      </c>
      <c r="D426">
        <f>IF(OR($A426="",$C426=""),"",IF(ISNUMBER(Wages!$B429),INT(MOD(Wages!$B429,10000)/100),IFERROR(VALUE(TRIM(LEFT(MID(Wages!$B429,FIND("/",Wages!$B429)+1,20),FIND("/",MID(Wages!$B429,FIND("/",Wages!$B429)+1,20))-1))),"")))</f>
        <v/>
      </c>
      <c r="E426">
        <f>IF(OR($A426="",$C426=""),"",IF(ISNUMBER(Wages!$B429),MOD(Wages!$B429,100),IFERROR(VALUE(TRIM(MID(MID(Wages!$B429,FIND("/",Wages!$B429)+1,20),FIND("/",MID(Wages!$B429,FIND("/",Wages!$B429)+1,20))+1,20))),"")))</f>
        <v/>
      </c>
      <c r="F426">
        <f>IF($A426="","",IF(OR($C426="",$D426="",$E426="",$C426&lt;1300,$C426&gt;1500,$D426&lt;1,$D426&gt;12,$E426&lt;1,$E426&gt;31),"نامعتبر",RIGHT("0000"&amp;$C426,4)&amp;"/"&amp;RIGHT("00"&amp;$D426,2)&amp;"/"&amp;RIGHT("00"&amp;$E426,2)))</f>
        <v/>
      </c>
      <c r="G426">
        <f>IF(OR($A426="",$F426="",$F426="نامعتبر"),"",LEFT($F426,4)&amp;MID($F426,6,2)&amp;RIGHT($F426,2)&amp;"0000"&amp;"|"&amp;"1"&amp;RIGHT("00000"&amp;421,5))</f>
        <v/>
      </c>
      <c r="H426">
        <f>IF(OR($B426&lt;&gt;1,$G426=""),"",COUNTIFS(LdAParty,$A426,LdAType,1,LdAKey,"&lt;"&amp;$G426)+COUNTIFS(LdBMember,$A426,LdBKey,"&lt;"&amp;$G426)+COUNTIFS(LdCParty,$A426,LdCKey,"&lt;"&amp;$G426)+1)</f>
        <v/>
      </c>
      <c r="I426">
        <f>IF($H426="","",$A426&amp;"|"&amp;RIGHT("000000"&amp;$H426,6))</f>
        <v/>
      </c>
      <c r="J426">
        <f>IF(OR($B426&lt;&gt;2,$G426=""),"",COUNTIFS(LdAParty,$A426,LdAType,2,LdAKey,"&lt;"&amp;$G426)+1)</f>
        <v/>
      </c>
      <c r="K426">
        <f>IF($J426="","",$A426&amp;"|"&amp;RIGHT("000000"&amp;$J426,6))</f>
        <v/>
      </c>
      <c r="L426">
        <f>IF($A426="","",IF(Wages!$G429="",0,Wages!$G429))</f>
        <v/>
      </c>
      <c r="M426">
        <f>IF($A426="","",Wages!$J429)</f>
        <v/>
      </c>
      <c r="N426">
        <f>IF($A426="","",Wages!$D429)</f>
        <v/>
      </c>
      <c r="P426">
        <f>IF(OR(Shares!$B429="",Shares!$C429=""),"",Shares!$C429)</f>
        <v/>
      </c>
      <c r="Q426">
        <f>IF($P426="","",Shares!$B429)</f>
        <v/>
      </c>
      <c r="R426">
        <f>IF($P426="","",IFERROR(INDEX(WageParty,MATCH($Q426,WageIds,0)),""))</f>
        <v/>
      </c>
      <c r="S426">
        <f>IF($P426="","",IFERROR(INDEX($F$6:$F$2005,MATCH($Q426,WageIds,0)),""))</f>
        <v/>
      </c>
      <c r="T426">
        <f>IF(OR($P426="",$S426="",$S426="نامعتبر"),"",LEFT($S426,4)&amp;MID($S426,6,2)&amp;RIGHT($S426,2)&amp;"0000"&amp;"|"&amp;"2"&amp;RIGHT("00000"&amp;421,5))</f>
        <v/>
      </c>
      <c r="U426">
        <f>IF($T426="","",COUNTIFS(LdAParty,$P426,LdAType,1,LdAKey,"&lt;"&amp;$T426)+COUNTIFS(LdBMember,$P426,LdBKey,"&lt;"&amp;$T426)+COUNTIFS(LdCParty,$P426,LdCKey,"&lt;"&amp;$T426)+1)</f>
        <v/>
      </c>
      <c r="V426">
        <f>IF($U426="","",$P426&amp;"|"&amp;RIGHT("000000"&amp;$U426,6))</f>
        <v/>
      </c>
      <c r="W426">
        <f>IF($T426="","",COUNTIFS(LdBGroup,$R426,LdBKey,"&lt;"&amp;$T426)+1)</f>
        <v/>
      </c>
      <c r="X426">
        <f>IF($W426="","",$R426&amp;"|"&amp;RIGHT("000000"&amp;$W426,6))</f>
        <v/>
      </c>
      <c r="Y426">
        <f>IF($P426="","",IF(Shares!$E429="",0,Shares!$E429))</f>
        <v/>
      </c>
      <c r="Z426">
        <f>IF($P426="","",Shares!$H429)</f>
        <v/>
      </c>
      <c r="AE426">
        <f>IF(OR(Sync!$S426="",Sync!$P426=""),"",Sync!$S426)</f>
        <v/>
      </c>
      <c r="AF426">
        <f>IF($AE426="","",IF(ISNUMBER(Sync!$P426),IF(AND(Sync!$P426&gt;=10000101,Sync!$P426&lt;=99991231),INT(Sync!$P426/10000),""),IFERROR(VALUE(TRIM(LEFT(Sync!$P426,FIND("/",Sync!$P426)-1))),"")))</f>
        <v/>
      </c>
      <c r="AG426">
        <f>IF(OR($AE426="",$AF426=""),"",IF(ISNUMBER(Sync!$P426),INT(MOD(Sync!$P426,10000)/100),IFERROR(VALUE(TRIM(LEFT(MID(Sync!$P426,FIND("/",Sync!$P426)+1,20),FIND("/",MID(Sync!$P426,FIND("/",Sync!$P426)+1,20))-1))),"")))</f>
        <v/>
      </c>
      <c r="AH426">
        <f>IF(OR($AE426="",$AF426=""),"",IF(ISNUMBER(Sync!$P426),MOD(Sync!$P426,100),IFERROR(VALUE(TRIM(MID(MID(Sync!$P426,FIND("/",Sync!$P426)+1,20),FIND("/",MID(Sync!$P426,FIND("/",Sync!$P426)+1,20))+1,20))),"")))</f>
        <v/>
      </c>
      <c r="AI426">
        <f>IF($AE426="","",IF(OR($AF426="",$AG426="",$AH426="",$AF426&lt;1300,$AF426&gt;1500,$AG426&lt;1,$AG426&gt;12,$AH426&lt;1,$AH426&gt;31),"نامعتبر",RIGHT("0000"&amp;$AF426,4)&amp;"/"&amp;RIGHT("00"&amp;$AG426,2)&amp;"/"&amp;RIGHT("00"&amp;$AH426,2)))</f>
        <v/>
      </c>
      <c r="AJ426">
        <f>IF($AE426="","",IF(Sync!$Q426="","0000",IF(AND(ISNUMBER(Sync!$Q426),Sync!$Q426&gt;=0,Sync!$Q426&lt;1),RIGHT("00"&amp;HOUR(Sync!$Q426),2)&amp;RIGHT("00"&amp;MINUTE(Sync!$Q426),2),IFERROR(RIGHT("00"&amp;VALUE(LEFT(Sync!$Q426,FIND(":",Sync!$Q426)-1)),2)&amp;RIGHT("00"&amp;VALUE(MID(Sync!$Q426,FIND(":",Sync!$Q426)+1,2)),2),"0000"))))</f>
        <v/>
      </c>
      <c r="AK426">
        <f>IF(OR($AE426="",$AI426="",$AI426="نامعتبر"),"",LEFT($AI426,4)&amp;MID($AI426,6,2)&amp;RIGHT($AI426,2)&amp;$AJ426&amp;"|"&amp;"3"&amp;RIGHT("00000"&amp;421,5))</f>
        <v/>
      </c>
      <c r="AL426">
        <f>IF($AK426="","",COUNTIFS(LdAParty,$AE426,LdAType,1,LdAKey,"&lt;"&amp;$AK426)+COUNTIFS(LdBMember,$AE426,LdBKey,"&lt;"&amp;$AK426)+COUNTIFS(LdCParty,$AE426,LdCKey,"&lt;"&amp;$AK426)+1)</f>
        <v/>
      </c>
      <c r="AM426">
        <f>IF($AL426="","",$AE426&amp;"|"&amp;RIGHT("000000"&amp;$AL426,6))</f>
        <v/>
      </c>
      <c r="AN426">
        <f>IF($AE426="","",IF(Sync!$W426="",0,Sync!$W426))</f>
        <v/>
      </c>
      <c r="AO426">
        <f>IF($AE426="","",IF(Sync!$X426="",0,Sync!$X426))</f>
        <v/>
      </c>
      <c r="AP426">
        <f>IF($AE426="","",Sync!$R426)</f>
        <v/>
      </c>
      <c r="AQ426">
        <f>IF($AE426="","",Sync!$Y426)</f>
        <v/>
      </c>
    </row>
    <row r="427">
      <c r="A427">
        <f>IF(OR(Wages!$B430="",Wages!$E430=""),"",Wages!$E430)</f>
        <v/>
      </c>
      <c r="B427">
        <f>IF($A427="","",IF(Wages!$C430="دستمزد گروهی",2,1))</f>
        <v/>
      </c>
      <c r="C427">
        <f>IF($A427="","",IF(ISNUMBER(Wages!$B430),IF(AND(Wages!$B430&gt;=10000101,Wages!$B430&lt;=99991231),INT(Wages!$B430/10000),""),IFERROR(VALUE(TRIM(LEFT(Wages!$B430,FIND("/",Wages!$B430)-1))),"")))</f>
        <v/>
      </c>
      <c r="D427">
        <f>IF(OR($A427="",$C427=""),"",IF(ISNUMBER(Wages!$B430),INT(MOD(Wages!$B430,10000)/100),IFERROR(VALUE(TRIM(LEFT(MID(Wages!$B430,FIND("/",Wages!$B430)+1,20),FIND("/",MID(Wages!$B430,FIND("/",Wages!$B430)+1,20))-1))),"")))</f>
        <v/>
      </c>
      <c r="E427">
        <f>IF(OR($A427="",$C427=""),"",IF(ISNUMBER(Wages!$B430),MOD(Wages!$B430,100),IFERROR(VALUE(TRIM(MID(MID(Wages!$B430,FIND("/",Wages!$B430)+1,20),FIND("/",MID(Wages!$B430,FIND("/",Wages!$B430)+1,20))+1,20))),"")))</f>
        <v/>
      </c>
      <c r="F427">
        <f>IF($A427="","",IF(OR($C427="",$D427="",$E427="",$C427&lt;1300,$C427&gt;1500,$D427&lt;1,$D427&gt;12,$E427&lt;1,$E427&gt;31),"نامعتبر",RIGHT("0000"&amp;$C427,4)&amp;"/"&amp;RIGHT("00"&amp;$D427,2)&amp;"/"&amp;RIGHT("00"&amp;$E427,2)))</f>
        <v/>
      </c>
      <c r="G427">
        <f>IF(OR($A427="",$F427="",$F427="نامعتبر"),"",LEFT($F427,4)&amp;MID($F427,6,2)&amp;RIGHT($F427,2)&amp;"0000"&amp;"|"&amp;"1"&amp;RIGHT("00000"&amp;422,5))</f>
        <v/>
      </c>
      <c r="H427">
        <f>IF(OR($B427&lt;&gt;1,$G427=""),"",COUNTIFS(LdAParty,$A427,LdAType,1,LdAKey,"&lt;"&amp;$G427)+COUNTIFS(LdBMember,$A427,LdBKey,"&lt;"&amp;$G427)+COUNTIFS(LdCParty,$A427,LdCKey,"&lt;"&amp;$G427)+1)</f>
        <v/>
      </c>
      <c r="I427">
        <f>IF($H427="","",$A427&amp;"|"&amp;RIGHT("000000"&amp;$H427,6))</f>
        <v/>
      </c>
      <c r="J427">
        <f>IF(OR($B427&lt;&gt;2,$G427=""),"",COUNTIFS(LdAParty,$A427,LdAType,2,LdAKey,"&lt;"&amp;$G427)+1)</f>
        <v/>
      </c>
      <c r="K427">
        <f>IF($J427="","",$A427&amp;"|"&amp;RIGHT("000000"&amp;$J427,6))</f>
        <v/>
      </c>
      <c r="L427">
        <f>IF($A427="","",IF(Wages!$G430="",0,Wages!$G430))</f>
        <v/>
      </c>
      <c r="M427">
        <f>IF($A427="","",Wages!$J430)</f>
        <v/>
      </c>
      <c r="N427">
        <f>IF($A427="","",Wages!$D430)</f>
        <v/>
      </c>
      <c r="P427">
        <f>IF(OR(Shares!$B430="",Shares!$C430=""),"",Shares!$C430)</f>
        <v/>
      </c>
      <c r="Q427">
        <f>IF($P427="","",Shares!$B430)</f>
        <v/>
      </c>
      <c r="R427">
        <f>IF($P427="","",IFERROR(INDEX(WageParty,MATCH($Q427,WageIds,0)),""))</f>
        <v/>
      </c>
      <c r="S427">
        <f>IF($P427="","",IFERROR(INDEX($F$6:$F$2005,MATCH($Q427,WageIds,0)),""))</f>
        <v/>
      </c>
      <c r="T427">
        <f>IF(OR($P427="",$S427="",$S427="نامعتبر"),"",LEFT($S427,4)&amp;MID($S427,6,2)&amp;RIGHT($S427,2)&amp;"0000"&amp;"|"&amp;"2"&amp;RIGHT("00000"&amp;422,5))</f>
        <v/>
      </c>
      <c r="U427">
        <f>IF($T427="","",COUNTIFS(LdAParty,$P427,LdAType,1,LdAKey,"&lt;"&amp;$T427)+COUNTIFS(LdBMember,$P427,LdBKey,"&lt;"&amp;$T427)+COUNTIFS(LdCParty,$P427,LdCKey,"&lt;"&amp;$T427)+1)</f>
        <v/>
      </c>
      <c r="V427">
        <f>IF($U427="","",$P427&amp;"|"&amp;RIGHT("000000"&amp;$U427,6))</f>
        <v/>
      </c>
      <c r="W427">
        <f>IF($T427="","",COUNTIFS(LdBGroup,$R427,LdBKey,"&lt;"&amp;$T427)+1)</f>
        <v/>
      </c>
      <c r="X427">
        <f>IF($W427="","",$R427&amp;"|"&amp;RIGHT("000000"&amp;$W427,6))</f>
        <v/>
      </c>
      <c r="Y427">
        <f>IF($P427="","",IF(Shares!$E430="",0,Shares!$E430))</f>
        <v/>
      </c>
      <c r="Z427">
        <f>IF($P427="","",Shares!$H430)</f>
        <v/>
      </c>
      <c r="AE427">
        <f>IF(OR(Sync!$S427="",Sync!$P427=""),"",Sync!$S427)</f>
        <v/>
      </c>
      <c r="AF427">
        <f>IF($AE427="","",IF(ISNUMBER(Sync!$P427),IF(AND(Sync!$P427&gt;=10000101,Sync!$P427&lt;=99991231),INT(Sync!$P427/10000),""),IFERROR(VALUE(TRIM(LEFT(Sync!$P427,FIND("/",Sync!$P427)-1))),"")))</f>
        <v/>
      </c>
      <c r="AG427">
        <f>IF(OR($AE427="",$AF427=""),"",IF(ISNUMBER(Sync!$P427),INT(MOD(Sync!$P427,10000)/100),IFERROR(VALUE(TRIM(LEFT(MID(Sync!$P427,FIND("/",Sync!$P427)+1,20),FIND("/",MID(Sync!$P427,FIND("/",Sync!$P427)+1,20))-1))),"")))</f>
        <v/>
      </c>
      <c r="AH427">
        <f>IF(OR($AE427="",$AF427=""),"",IF(ISNUMBER(Sync!$P427),MOD(Sync!$P427,100),IFERROR(VALUE(TRIM(MID(MID(Sync!$P427,FIND("/",Sync!$P427)+1,20),FIND("/",MID(Sync!$P427,FIND("/",Sync!$P427)+1,20))+1,20))),"")))</f>
        <v/>
      </c>
      <c r="AI427">
        <f>IF($AE427="","",IF(OR($AF427="",$AG427="",$AH427="",$AF427&lt;1300,$AF427&gt;1500,$AG427&lt;1,$AG427&gt;12,$AH427&lt;1,$AH427&gt;31),"نامعتبر",RIGHT("0000"&amp;$AF427,4)&amp;"/"&amp;RIGHT("00"&amp;$AG427,2)&amp;"/"&amp;RIGHT("00"&amp;$AH427,2)))</f>
        <v/>
      </c>
      <c r="AJ427">
        <f>IF($AE427="","",IF(Sync!$Q427="","0000",IF(AND(ISNUMBER(Sync!$Q427),Sync!$Q427&gt;=0,Sync!$Q427&lt;1),RIGHT("00"&amp;HOUR(Sync!$Q427),2)&amp;RIGHT("00"&amp;MINUTE(Sync!$Q427),2),IFERROR(RIGHT("00"&amp;VALUE(LEFT(Sync!$Q427,FIND(":",Sync!$Q427)-1)),2)&amp;RIGHT("00"&amp;VALUE(MID(Sync!$Q427,FIND(":",Sync!$Q427)+1,2)),2),"0000"))))</f>
        <v/>
      </c>
      <c r="AK427">
        <f>IF(OR($AE427="",$AI427="",$AI427="نامعتبر"),"",LEFT($AI427,4)&amp;MID($AI427,6,2)&amp;RIGHT($AI427,2)&amp;$AJ427&amp;"|"&amp;"3"&amp;RIGHT("00000"&amp;422,5))</f>
        <v/>
      </c>
      <c r="AL427">
        <f>IF($AK427="","",COUNTIFS(LdAParty,$AE427,LdAType,1,LdAKey,"&lt;"&amp;$AK427)+COUNTIFS(LdBMember,$AE427,LdBKey,"&lt;"&amp;$AK427)+COUNTIFS(LdCParty,$AE427,LdCKey,"&lt;"&amp;$AK427)+1)</f>
        <v/>
      </c>
      <c r="AM427">
        <f>IF($AL427="","",$AE427&amp;"|"&amp;RIGHT("000000"&amp;$AL427,6))</f>
        <v/>
      </c>
      <c r="AN427">
        <f>IF($AE427="","",IF(Sync!$W427="",0,Sync!$W427))</f>
        <v/>
      </c>
      <c r="AO427">
        <f>IF($AE427="","",IF(Sync!$X427="",0,Sync!$X427))</f>
        <v/>
      </c>
      <c r="AP427">
        <f>IF($AE427="","",Sync!$R427)</f>
        <v/>
      </c>
      <c r="AQ427">
        <f>IF($AE427="","",Sync!$Y427)</f>
        <v/>
      </c>
    </row>
    <row r="428">
      <c r="A428">
        <f>IF(OR(Wages!$B431="",Wages!$E431=""),"",Wages!$E431)</f>
        <v/>
      </c>
      <c r="B428">
        <f>IF($A428="","",IF(Wages!$C431="دستمزد گروهی",2,1))</f>
        <v/>
      </c>
      <c r="C428">
        <f>IF($A428="","",IF(ISNUMBER(Wages!$B431),IF(AND(Wages!$B431&gt;=10000101,Wages!$B431&lt;=99991231),INT(Wages!$B431/10000),""),IFERROR(VALUE(TRIM(LEFT(Wages!$B431,FIND("/",Wages!$B431)-1))),"")))</f>
        <v/>
      </c>
      <c r="D428">
        <f>IF(OR($A428="",$C428=""),"",IF(ISNUMBER(Wages!$B431),INT(MOD(Wages!$B431,10000)/100),IFERROR(VALUE(TRIM(LEFT(MID(Wages!$B431,FIND("/",Wages!$B431)+1,20),FIND("/",MID(Wages!$B431,FIND("/",Wages!$B431)+1,20))-1))),"")))</f>
        <v/>
      </c>
      <c r="E428">
        <f>IF(OR($A428="",$C428=""),"",IF(ISNUMBER(Wages!$B431),MOD(Wages!$B431,100),IFERROR(VALUE(TRIM(MID(MID(Wages!$B431,FIND("/",Wages!$B431)+1,20),FIND("/",MID(Wages!$B431,FIND("/",Wages!$B431)+1,20))+1,20))),"")))</f>
        <v/>
      </c>
      <c r="F428">
        <f>IF($A428="","",IF(OR($C428="",$D428="",$E428="",$C428&lt;1300,$C428&gt;1500,$D428&lt;1,$D428&gt;12,$E428&lt;1,$E428&gt;31),"نامعتبر",RIGHT("0000"&amp;$C428,4)&amp;"/"&amp;RIGHT("00"&amp;$D428,2)&amp;"/"&amp;RIGHT("00"&amp;$E428,2)))</f>
        <v/>
      </c>
      <c r="G428">
        <f>IF(OR($A428="",$F428="",$F428="نامعتبر"),"",LEFT($F428,4)&amp;MID($F428,6,2)&amp;RIGHT($F428,2)&amp;"0000"&amp;"|"&amp;"1"&amp;RIGHT("00000"&amp;423,5))</f>
        <v/>
      </c>
      <c r="H428">
        <f>IF(OR($B428&lt;&gt;1,$G428=""),"",COUNTIFS(LdAParty,$A428,LdAType,1,LdAKey,"&lt;"&amp;$G428)+COUNTIFS(LdBMember,$A428,LdBKey,"&lt;"&amp;$G428)+COUNTIFS(LdCParty,$A428,LdCKey,"&lt;"&amp;$G428)+1)</f>
        <v/>
      </c>
      <c r="I428">
        <f>IF($H428="","",$A428&amp;"|"&amp;RIGHT("000000"&amp;$H428,6))</f>
        <v/>
      </c>
      <c r="J428">
        <f>IF(OR($B428&lt;&gt;2,$G428=""),"",COUNTIFS(LdAParty,$A428,LdAType,2,LdAKey,"&lt;"&amp;$G428)+1)</f>
        <v/>
      </c>
      <c r="K428">
        <f>IF($J428="","",$A428&amp;"|"&amp;RIGHT("000000"&amp;$J428,6))</f>
        <v/>
      </c>
      <c r="L428">
        <f>IF($A428="","",IF(Wages!$G431="",0,Wages!$G431))</f>
        <v/>
      </c>
      <c r="M428">
        <f>IF($A428="","",Wages!$J431)</f>
        <v/>
      </c>
      <c r="N428">
        <f>IF($A428="","",Wages!$D431)</f>
        <v/>
      </c>
      <c r="P428">
        <f>IF(OR(Shares!$B431="",Shares!$C431=""),"",Shares!$C431)</f>
        <v/>
      </c>
      <c r="Q428">
        <f>IF($P428="","",Shares!$B431)</f>
        <v/>
      </c>
      <c r="R428">
        <f>IF($P428="","",IFERROR(INDEX(WageParty,MATCH($Q428,WageIds,0)),""))</f>
        <v/>
      </c>
      <c r="S428">
        <f>IF($P428="","",IFERROR(INDEX($F$6:$F$2005,MATCH($Q428,WageIds,0)),""))</f>
        <v/>
      </c>
      <c r="T428">
        <f>IF(OR($P428="",$S428="",$S428="نامعتبر"),"",LEFT($S428,4)&amp;MID($S428,6,2)&amp;RIGHT($S428,2)&amp;"0000"&amp;"|"&amp;"2"&amp;RIGHT("00000"&amp;423,5))</f>
        <v/>
      </c>
      <c r="U428">
        <f>IF($T428="","",COUNTIFS(LdAParty,$P428,LdAType,1,LdAKey,"&lt;"&amp;$T428)+COUNTIFS(LdBMember,$P428,LdBKey,"&lt;"&amp;$T428)+COUNTIFS(LdCParty,$P428,LdCKey,"&lt;"&amp;$T428)+1)</f>
        <v/>
      </c>
      <c r="V428">
        <f>IF($U428="","",$P428&amp;"|"&amp;RIGHT("000000"&amp;$U428,6))</f>
        <v/>
      </c>
      <c r="W428">
        <f>IF($T428="","",COUNTIFS(LdBGroup,$R428,LdBKey,"&lt;"&amp;$T428)+1)</f>
        <v/>
      </c>
      <c r="X428">
        <f>IF($W428="","",$R428&amp;"|"&amp;RIGHT("000000"&amp;$W428,6))</f>
        <v/>
      </c>
      <c r="Y428">
        <f>IF($P428="","",IF(Shares!$E431="",0,Shares!$E431))</f>
        <v/>
      </c>
      <c r="Z428">
        <f>IF($P428="","",Shares!$H431)</f>
        <v/>
      </c>
      <c r="AE428">
        <f>IF(OR(Sync!$S428="",Sync!$P428=""),"",Sync!$S428)</f>
        <v/>
      </c>
      <c r="AF428">
        <f>IF($AE428="","",IF(ISNUMBER(Sync!$P428),IF(AND(Sync!$P428&gt;=10000101,Sync!$P428&lt;=99991231),INT(Sync!$P428/10000),""),IFERROR(VALUE(TRIM(LEFT(Sync!$P428,FIND("/",Sync!$P428)-1))),"")))</f>
        <v/>
      </c>
      <c r="AG428">
        <f>IF(OR($AE428="",$AF428=""),"",IF(ISNUMBER(Sync!$P428),INT(MOD(Sync!$P428,10000)/100),IFERROR(VALUE(TRIM(LEFT(MID(Sync!$P428,FIND("/",Sync!$P428)+1,20),FIND("/",MID(Sync!$P428,FIND("/",Sync!$P428)+1,20))-1))),"")))</f>
        <v/>
      </c>
      <c r="AH428">
        <f>IF(OR($AE428="",$AF428=""),"",IF(ISNUMBER(Sync!$P428),MOD(Sync!$P428,100),IFERROR(VALUE(TRIM(MID(MID(Sync!$P428,FIND("/",Sync!$P428)+1,20),FIND("/",MID(Sync!$P428,FIND("/",Sync!$P428)+1,20))+1,20))),"")))</f>
        <v/>
      </c>
      <c r="AI428">
        <f>IF($AE428="","",IF(OR($AF428="",$AG428="",$AH428="",$AF428&lt;1300,$AF428&gt;1500,$AG428&lt;1,$AG428&gt;12,$AH428&lt;1,$AH428&gt;31),"نامعتبر",RIGHT("0000"&amp;$AF428,4)&amp;"/"&amp;RIGHT("00"&amp;$AG428,2)&amp;"/"&amp;RIGHT("00"&amp;$AH428,2)))</f>
        <v/>
      </c>
      <c r="AJ428">
        <f>IF($AE428="","",IF(Sync!$Q428="","0000",IF(AND(ISNUMBER(Sync!$Q428),Sync!$Q428&gt;=0,Sync!$Q428&lt;1),RIGHT("00"&amp;HOUR(Sync!$Q428),2)&amp;RIGHT("00"&amp;MINUTE(Sync!$Q428),2),IFERROR(RIGHT("00"&amp;VALUE(LEFT(Sync!$Q428,FIND(":",Sync!$Q428)-1)),2)&amp;RIGHT("00"&amp;VALUE(MID(Sync!$Q428,FIND(":",Sync!$Q428)+1,2)),2),"0000"))))</f>
        <v/>
      </c>
      <c r="AK428">
        <f>IF(OR($AE428="",$AI428="",$AI428="نامعتبر"),"",LEFT($AI428,4)&amp;MID($AI428,6,2)&amp;RIGHT($AI428,2)&amp;$AJ428&amp;"|"&amp;"3"&amp;RIGHT("00000"&amp;423,5))</f>
        <v/>
      </c>
      <c r="AL428">
        <f>IF($AK428="","",COUNTIFS(LdAParty,$AE428,LdAType,1,LdAKey,"&lt;"&amp;$AK428)+COUNTIFS(LdBMember,$AE428,LdBKey,"&lt;"&amp;$AK428)+COUNTIFS(LdCParty,$AE428,LdCKey,"&lt;"&amp;$AK428)+1)</f>
        <v/>
      </c>
      <c r="AM428">
        <f>IF($AL428="","",$AE428&amp;"|"&amp;RIGHT("000000"&amp;$AL428,6))</f>
        <v/>
      </c>
      <c r="AN428">
        <f>IF($AE428="","",IF(Sync!$W428="",0,Sync!$W428))</f>
        <v/>
      </c>
      <c r="AO428">
        <f>IF($AE428="","",IF(Sync!$X428="",0,Sync!$X428))</f>
        <v/>
      </c>
      <c r="AP428">
        <f>IF($AE428="","",Sync!$R428)</f>
        <v/>
      </c>
      <c r="AQ428">
        <f>IF($AE428="","",Sync!$Y428)</f>
        <v/>
      </c>
    </row>
    <row r="429">
      <c r="A429">
        <f>IF(OR(Wages!$B432="",Wages!$E432=""),"",Wages!$E432)</f>
        <v/>
      </c>
      <c r="B429">
        <f>IF($A429="","",IF(Wages!$C432="دستمزد گروهی",2,1))</f>
        <v/>
      </c>
      <c r="C429">
        <f>IF($A429="","",IF(ISNUMBER(Wages!$B432),IF(AND(Wages!$B432&gt;=10000101,Wages!$B432&lt;=99991231),INT(Wages!$B432/10000),""),IFERROR(VALUE(TRIM(LEFT(Wages!$B432,FIND("/",Wages!$B432)-1))),"")))</f>
        <v/>
      </c>
      <c r="D429">
        <f>IF(OR($A429="",$C429=""),"",IF(ISNUMBER(Wages!$B432),INT(MOD(Wages!$B432,10000)/100),IFERROR(VALUE(TRIM(LEFT(MID(Wages!$B432,FIND("/",Wages!$B432)+1,20),FIND("/",MID(Wages!$B432,FIND("/",Wages!$B432)+1,20))-1))),"")))</f>
        <v/>
      </c>
      <c r="E429">
        <f>IF(OR($A429="",$C429=""),"",IF(ISNUMBER(Wages!$B432),MOD(Wages!$B432,100),IFERROR(VALUE(TRIM(MID(MID(Wages!$B432,FIND("/",Wages!$B432)+1,20),FIND("/",MID(Wages!$B432,FIND("/",Wages!$B432)+1,20))+1,20))),"")))</f>
        <v/>
      </c>
      <c r="F429">
        <f>IF($A429="","",IF(OR($C429="",$D429="",$E429="",$C429&lt;1300,$C429&gt;1500,$D429&lt;1,$D429&gt;12,$E429&lt;1,$E429&gt;31),"نامعتبر",RIGHT("0000"&amp;$C429,4)&amp;"/"&amp;RIGHT("00"&amp;$D429,2)&amp;"/"&amp;RIGHT("00"&amp;$E429,2)))</f>
        <v/>
      </c>
      <c r="G429">
        <f>IF(OR($A429="",$F429="",$F429="نامعتبر"),"",LEFT($F429,4)&amp;MID($F429,6,2)&amp;RIGHT($F429,2)&amp;"0000"&amp;"|"&amp;"1"&amp;RIGHT("00000"&amp;424,5))</f>
        <v/>
      </c>
      <c r="H429">
        <f>IF(OR($B429&lt;&gt;1,$G429=""),"",COUNTIFS(LdAParty,$A429,LdAType,1,LdAKey,"&lt;"&amp;$G429)+COUNTIFS(LdBMember,$A429,LdBKey,"&lt;"&amp;$G429)+COUNTIFS(LdCParty,$A429,LdCKey,"&lt;"&amp;$G429)+1)</f>
        <v/>
      </c>
      <c r="I429">
        <f>IF($H429="","",$A429&amp;"|"&amp;RIGHT("000000"&amp;$H429,6))</f>
        <v/>
      </c>
      <c r="J429">
        <f>IF(OR($B429&lt;&gt;2,$G429=""),"",COUNTIFS(LdAParty,$A429,LdAType,2,LdAKey,"&lt;"&amp;$G429)+1)</f>
        <v/>
      </c>
      <c r="K429">
        <f>IF($J429="","",$A429&amp;"|"&amp;RIGHT("000000"&amp;$J429,6))</f>
        <v/>
      </c>
      <c r="L429">
        <f>IF($A429="","",IF(Wages!$G432="",0,Wages!$G432))</f>
        <v/>
      </c>
      <c r="M429">
        <f>IF($A429="","",Wages!$J432)</f>
        <v/>
      </c>
      <c r="N429">
        <f>IF($A429="","",Wages!$D432)</f>
        <v/>
      </c>
      <c r="P429">
        <f>IF(OR(Shares!$B432="",Shares!$C432=""),"",Shares!$C432)</f>
        <v/>
      </c>
      <c r="Q429">
        <f>IF($P429="","",Shares!$B432)</f>
        <v/>
      </c>
      <c r="R429">
        <f>IF($P429="","",IFERROR(INDEX(WageParty,MATCH($Q429,WageIds,0)),""))</f>
        <v/>
      </c>
      <c r="S429">
        <f>IF($P429="","",IFERROR(INDEX($F$6:$F$2005,MATCH($Q429,WageIds,0)),""))</f>
        <v/>
      </c>
      <c r="T429">
        <f>IF(OR($P429="",$S429="",$S429="نامعتبر"),"",LEFT($S429,4)&amp;MID($S429,6,2)&amp;RIGHT($S429,2)&amp;"0000"&amp;"|"&amp;"2"&amp;RIGHT("00000"&amp;424,5))</f>
        <v/>
      </c>
      <c r="U429">
        <f>IF($T429="","",COUNTIFS(LdAParty,$P429,LdAType,1,LdAKey,"&lt;"&amp;$T429)+COUNTIFS(LdBMember,$P429,LdBKey,"&lt;"&amp;$T429)+COUNTIFS(LdCParty,$P429,LdCKey,"&lt;"&amp;$T429)+1)</f>
        <v/>
      </c>
      <c r="V429">
        <f>IF($U429="","",$P429&amp;"|"&amp;RIGHT("000000"&amp;$U429,6))</f>
        <v/>
      </c>
      <c r="W429">
        <f>IF($T429="","",COUNTIFS(LdBGroup,$R429,LdBKey,"&lt;"&amp;$T429)+1)</f>
        <v/>
      </c>
      <c r="X429">
        <f>IF($W429="","",$R429&amp;"|"&amp;RIGHT("000000"&amp;$W429,6))</f>
        <v/>
      </c>
      <c r="Y429">
        <f>IF($P429="","",IF(Shares!$E432="",0,Shares!$E432))</f>
        <v/>
      </c>
      <c r="Z429">
        <f>IF($P429="","",Shares!$H432)</f>
        <v/>
      </c>
      <c r="AE429">
        <f>IF(OR(Sync!$S429="",Sync!$P429=""),"",Sync!$S429)</f>
        <v/>
      </c>
      <c r="AF429">
        <f>IF($AE429="","",IF(ISNUMBER(Sync!$P429),IF(AND(Sync!$P429&gt;=10000101,Sync!$P429&lt;=99991231),INT(Sync!$P429/10000),""),IFERROR(VALUE(TRIM(LEFT(Sync!$P429,FIND("/",Sync!$P429)-1))),"")))</f>
        <v/>
      </c>
      <c r="AG429">
        <f>IF(OR($AE429="",$AF429=""),"",IF(ISNUMBER(Sync!$P429),INT(MOD(Sync!$P429,10000)/100),IFERROR(VALUE(TRIM(LEFT(MID(Sync!$P429,FIND("/",Sync!$P429)+1,20),FIND("/",MID(Sync!$P429,FIND("/",Sync!$P429)+1,20))-1))),"")))</f>
        <v/>
      </c>
      <c r="AH429">
        <f>IF(OR($AE429="",$AF429=""),"",IF(ISNUMBER(Sync!$P429),MOD(Sync!$P429,100),IFERROR(VALUE(TRIM(MID(MID(Sync!$P429,FIND("/",Sync!$P429)+1,20),FIND("/",MID(Sync!$P429,FIND("/",Sync!$P429)+1,20))+1,20))),"")))</f>
        <v/>
      </c>
      <c r="AI429">
        <f>IF($AE429="","",IF(OR($AF429="",$AG429="",$AH429="",$AF429&lt;1300,$AF429&gt;1500,$AG429&lt;1,$AG429&gt;12,$AH429&lt;1,$AH429&gt;31),"نامعتبر",RIGHT("0000"&amp;$AF429,4)&amp;"/"&amp;RIGHT("00"&amp;$AG429,2)&amp;"/"&amp;RIGHT("00"&amp;$AH429,2)))</f>
        <v/>
      </c>
      <c r="AJ429">
        <f>IF($AE429="","",IF(Sync!$Q429="","0000",IF(AND(ISNUMBER(Sync!$Q429),Sync!$Q429&gt;=0,Sync!$Q429&lt;1),RIGHT("00"&amp;HOUR(Sync!$Q429),2)&amp;RIGHT("00"&amp;MINUTE(Sync!$Q429),2),IFERROR(RIGHT("00"&amp;VALUE(LEFT(Sync!$Q429,FIND(":",Sync!$Q429)-1)),2)&amp;RIGHT("00"&amp;VALUE(MID(Sync!$Q429,FIND(":",Sync!$Q429)+1,2)),2),"0000"))))</f>
        <v/>
      </c>
      <c r="AK429">
        <f>IF(OR($AE429="",$AI429="",$AI429="نامعتبر"),"",LEFT($AI429,4)&amp;MID($AI429,6,2)&amp;RIGHT($AI429,2)&amp;$AJ429&amp;"|"&amp;"3"&amp;RIGHT("00000"&amp;424,5))</f>
        <v/>
      </c>
      <c r="AL429">
        <f>IF($AK429="","",COUNTIFS(LdAParty,$AE429,LdAType,1,LdAKey,"&lt;"&amp;$AK429)+COUNTIFS(LdBMember,$AE429,LdBKey,"&lt;"&amp;$AK429)+COUNTIFS(LdCParty,$AE429,LdCKey,"&lt;"&amp;$AK429)+1)</f>
        <v/>
      </c>
      <c r="AM429">
        <f>IF($AL429="","",$AE429&amp;"|"&amp;RIGHT("000000"&amp;$AL429,6))</f>
        <v/>
      </c>
      <c r="AN429">
        <f>IF($AE429="","",IF(Sync!$W429="",0,Sync!$W429))</f>
        <v/>
      </c>
      <c r="AO429">
        <f>IF($AE429="","",IF(Sync!$X429="",0,Sync!$X429))</f>
        <v/>
      </c>
      <c r="AP429">
        <f>IF($AE429="","",Sync!$R429)</f>
        <v/>
      </c>
      <c r="AQ429">
        <f>IF($AE429="","",Sync!$Y429)</f>
        <v/>
      </c>
    </row>
    <row r="430">
      <c r="A430">
        <f>IF(OR(Wages!$B433="",Wages!$E433=""),"",Wages!$E433)</f>
        <v/>
      </c>
      <c r="B430">
        <f>IF($A430="","",IF(Wages!$C433="دستمزد گروهی",2,1))</f>
        <v/>
      </c>
      <c r="C430">
        <f>IF($A430="","",IF(ISNUMBER(Wages!$B433),IF(AND(Wages!$B433&gt;=10000101,Wages!$B433&lt;=99991231),INT(Wages!$B433/10000),""),IFERROR(VALUE(TRIM(LEFT(Wages!$B433,FIND("/",Wages!$B433)-1))),"")))</f>
        <v/>
      </c>
      <c r="D430">
        <f>IF(OR($A430="",$C430=""),"",IF(ISNUMBER(Wages!$B433),INT(MOD(Wages!$B433,10000)/100),IFERROR(VALUE(TRIM(LEFT(MID(Wages!$B433,FIND("/",Wages!$B433)+1,20),FIND("/",MID(Wages!$B433,FIND("/",Wages!$B433)+1,20))-1))),"")))</f>
        <v/>
      </c>
      <c r="E430">
        <f>IF(OR($A430="",$C430=""),"",IF(ISNUMBER(Wages!$B433),MOD(Wages!$B433,100),IFERROR(VALUE(TRIM(MID(MID(Wages!$B433,FIND("/",Wages!$B433)+1,20),FIND("/",MID(Wages!$B433,FIND("/",Wages!$B433)+1,20))+1,20))),"")))</f>
        <v/>
      </c>
      <c r="F430">
        <f>IF($A430="","",IF(OR($C430="",$D430="",$E430="",$C430&lt;1300,$C430&gt;1500,$D430&lt;1,$D430&gt;12,$E430&lt;1,$E430&gt;31),"نامعتبر",RIGHT("0000"&amp;$C430,4)&amp;"/"&amp;RIGHT("00"&amp;$D430,2)&amp;"/"&amp;RIGHT("00"&amp;$E430,2)))</f>
        <v/>
      </c>
      <c r="G430">
        <f>IF(OR($A430="",$F430="",$F430="نامعتبر"),"",LEFT($F430,4)&amp;MID($F430,6,2)&amp;RIGHT($F430,2)&amp;"0000"&amp;"|"&amp;"1"&amp;RIGHT("00000"&amp;425,5))</f>
        <v/>
      </c>
      <c r="H430">
        <f>IF(OR($B430&lt;&gt;1,$G430=""),"",COUNTIFS(LdAParty,$A430,LdAType,1,LdAKey,"&lt;"&amp;$G430)+COUNTIFS(LdBMember,$A430,LdBKey,"&lt;"&amp;$G430)+COUNTIFS(LdCParty,$A430,LdCKey,"&lt;"&amp;$G430)+1)</f>
        <v/>
      </c>
      <c r="I430">
        <f>IF($H430="","",$A430&amp;"|"&amp;RIGHT("000000"&amp;$H430,6))</f>
        <v/>
      </c>
      <c r="J430">
        <f>IF(OR($B430&lt;&gt;2,$G430=""),"",COUNTIFS(LdAParty,$A430,LdAType,2,LdAKey,"&lt;"&amp;$G430)+1)</f>
        <v/>
      </c>
      <c r="K430">
        <f>IF($J430="","",$A430&amp;"|"&amp;RIGHT("000000"&amp;$J430,6))</f>
        <v/>
      </c>
      <c r="L430">
        <f>IF($A430="","",IF(Wages!$G433="",0,Wages!$G433))</f>
        <v/>
      </c>
      <c r="M430">
        <f>IF($A430="","",Wages!$J433)</f>
        <v/>
      </c>
      <c r="N430">
        <f>IF($A430="","",Wages!$D433)</f>
        <v/>
      </c>
      <c r="P430">
        <f>IF(OR(Shares!$B433="",Shares!$C433=""),"",Shares!$C433)</f>
        <v/>
      </c>
      <c r="Q430">
        <f>IF($P430="","",Shares!$B433)</f>
        <v/>
      </c>
      <c r="R430">
        <f>IF($P430="","",IFERROR(INDEX(WageParty,MATCH($Q430,WageIds,0)),""))</f>
        <v/>
      </c>
      <c r="S430">
        <f>IF($P430="","",IFERROR(INDEX($F$6:$F$2005,MATCH($Q430,WageIds,0)),""))</f>
        <v/>
      </c>
      <c r="T430">
        <f>IF(OR($P430="",$S430="",$S430="نامعتبر"),"",LEFT($S430,4)&amp;MID($S430,6,2)&amp;RIGHT($S430,2)&amp;"0000"&amp;"|"&amp;"2"&amp;RIGHT("00000"&amp;425,5))</f>
        <v/>
      </c>
      <c r="U430">
        <f>IF($T430="","",COUNTIFS(LdAParty,$P430,LdAType,1,LdAKey,"&lt;"&amp;$T430)+COUNTIFS(LdBMember,$P430,LdBKey,"&lt;"&amp;$T430)+COUNTIFS(LdCParty,$P430,LdCKey,"&lt;"&amp;$T430)+1)</f>
        <v/>
      </c>
      <c r="V430">
        <f>IF($U430="","",$P430&amp;"|"&amp;RIGHT("000000"&amp;$U430,6))</f>
        <v/>
      </c>
      <c r="W430">
        <f>IF($T430="","",COUNTIFS(LdBGroup,$R430,LdBKey,"&lt;"&amp;$T430)+1)</f>
        <v/>
      </c>
      <c r="X430">
        <f>IF($W430="","",$R430&amp;"|"&amp;RIGHT("000000"&amp;$W430,6))</f>
        <v/>
      </c>
      <c r="Y430">
        <f>IF($P430="","",IF(Shares!$E433="",0,Shares!$E433))</f>
        <v/>
      </c>
      <c r="Z430">
        <f>IF($P430="","",Shares!$H433)</f>
        <v/>
      </c>
      <c r="AE430">
        <f>IF(OR(Sync!$S430="",Sync!$P430=""),"",Sync!$S430)</f>
        <v/>
      </c>
      <c r="AF430">
        <f>IF($AE430="","",IF(ISNUMBER(Sync!$P430),IF(AND(Sync!$P430&gt;=10000101,Sync!$P430&lt;=99991231),INT(Sync!$P430/10000),""),IFERROR(VALUE(TRIM(LEFT(Sync!$P430,FIND("/",Sync!$P430)-1))),"")))</f>
        <v/>
      </c>
      <c r="AG430">
        <f>IF(OR($AE430="",$AF430=""),"",IF(ISNUMBER(Sync!$P430),INT(MOD(Sync!$P430,10000)/100),IFERROR(VALUE(TRIM(LEFT(MID(Sync!$P430,FIND("/",Sync!$P430)+1,20),FIND("/",MID(Sync!$P430,FIND("/",Sync!$P430)+1,20))-1))),"")))</f>
        <v/>
      </c>
      <c r="AH430">
        <f>IF(OR($AE430="",$AF430=""),"",IF(ISNUMBER(Sync!$P430),MOD(Sync!$P430,100),IFERROR(VALUE(TRIM(MID(MID(Sync!$P430,FIND("/",Sync!$P430)+1,20),FIND("/",MID(Sync!$P430,FIND("/",Sync!$P430)+1,20))+1,20))),"")))</f>
        <v/>
      </c>
      <c r="AI430">
        <f>IF($AE430="","",IF(OR($AF430="",$AG430="",$AH430="",$AF430&lt;1300,$AF430&gt;1500,$AG430&lt;1,$AG430&gt;12,$AH430&lt;1,$AH430&gt;31),"نامعتبر",RIGHT("0000"&amp;$AF430,4)&amp;"/"&amp;RIGHT("00"&amp;$AG430,2)&amp;"/"&amp;RIGHT("00"&amp;$AH430,2)))</f>
        <v/>
      </c>
      <c r="AJ430">
        <f>IF($AE430="","",IF(Sync!$Q430="","0000",IF(AND(ISNUMBER(Sync!$Q430),Sync!$Q430&gt;=0,Sync!$Q430&lt;1),RIGHT("00"&amp;HOUR(Sync!$Q430),2)&amp;RIGHT("00"&amp;MINUTE(Sync!$Q430),2),IFERROR(RIGHT("00"&amp;VALUE(LEFT(Sync!$Q430,FIND(":",Sync!$Q430)-1)),2)&amp;RIGHT("00"&amp;VALUE(MID(Sync!$Q430,FIND(":",Sync!$Q430)+1,2)),2),"0000"))))</f>
        <v/>
      </c>
      <c r="AK430">
        <f>IF(OR($AE430="",$AI430="",$AI430="نامعتبر"),"",LEFT($AI430,4)&amp;MID($AI430,6,2)&amp;RIGHT($AI430,2)&amp;$AJ430&amp;"|"&amp;"3"&amp;RIGHT("00000"&amp;425,5))</f>
        <v/>
      </c>
      <c r="AL430">
        <f>IF($AK430="","",COUNTIFS(LdAParty,$AE430,LdAType,1,LdAKey,"&lt;"&amp;$AK430)+COUNTIFS(LdBMember,$AE430,LdBKey,"&lt;"&amp;$AK430)+COUNTIFS(LdCParty,$AE430,LdCKey,"&lt;"&amp;$AK430)+1)</f>
        <v/>
      </c>
      <c r="AM430">
        <f>IF($AL430="","",$AE430&amp;"|"&amp;RIGHT("000000"&amp;$AL430,6))</f>
        <v/>
      </c>
      <c r="AN430">
        <f>IF($AE430="","",IF(Sync!$W430="",0,Sync!$W430))</f>
        <v/>
      </c>
      <c r="AO430">
        <f>IF($AE430="","",IF(Sync!$X430="",0,Sync!$X430))</f>
        <v/>
      </c>
      <c r="AP430">
        <f>IF($AE430="","",Sync!$R430)</f>
        <v/>
      </c>
      <c r="AQ430">
        <f>IF($AE430="","",Sync!$Y430)</f>
        <v/>
      </c>
    </row>
    <row r="431">
      <c r="A431">
        <f>IF(OR(Wages!$B434="",Wages!$E434=""),"",Wages!$E434)</f>
        <v/>
      </c>
      <c r="B431">
        <f>IF($A431="","",IF(Wages!$C434="دستمزد گروهی",2,1))</f>
        <v/>
      </c>
      <c r="C431">
        <f>IF($A431="","",IF(ISNUMBER(Wages!$B434),IF(AND(Wages!$B434&gt;=10000101,Wages!$B434&lt;=99991231),INT(Wages!$B434/10000),""),IFERROR(VALUE(TRIM(LEFT(Wages!$B434,FIND("/",Wages!$B434)-1))),"")))</f>
        <v/>
      </c>
      <c r="D431">
        <f>IF(OR($A431="",$C431=""),"",IF(ISNUMBER(Wages!$B434),INT(MOD(Wages!$B434,10000)/100),IFERROR(VALUE(TRIM(LEFT(MID(Wages!$B434,FIND("/",Wages!$B434)+1,20),FIND("/",MID(Wages!$B434,FIND("/",Wages!$B434)+1,20))-1))),"")))</f>
        <v/>
      </c>
      <c r="E431">
        <f>IF(OR($A431="",$C431=""),"",IF(ISNUMBER(Wages!$B434),MOD(Wages!$B434,100),IFERROR(VALUE(TRIM(MID(MID(Wages!$B434,FIND("/",Wages!$B434)+1,20),FIND("/",MID(Wages!$B434,FIND("/",Wages!$B434)+1,20))+1,20))),"")))</f>
        <v/>
      </c>
      <c r="F431">
        <f>IF($A431="","",IF(OR($C431="",$D431="",$E431="",$C431&lt;1300,$C431&gt;1500,$D431&lt;1,$D431&gt;12,$E431&lt;1,$E431&gt;31),"نامعتبر",RIGHT("0000"&amp;$C431,4)&amp;"/"&amp;RIGHT("00"&amp;$D431,2)&amp;"/"&amp;RIGHT("00"&amp;$E431,2)))</f>
        <v/>
      </c>
      <c r="G431">
        <f>IF(OR($A431="",$F431="",$F431="نامعتبر"),"",LEFT($F431,4)&amp;MID($F431,6,2)&amp;RIGHT($F431,2)&amp;"0000"&amp;"|"&amp;"1"&amp;RIGHT("00000"&amp;426,5))</f>
        <v/>
      </c>
      <c r="H431">
        <f>IF(OR($B431&lt;&gt;1,$G431=""),"",COUNTIFS(LdAParty,$A431,LdAType,1,LdAKey,"&lt;"&amp;$G431)+COUNTIFS(LdBMember,$A431,LdBKey,"&lt;"&amp;$G431)+COUNTIFS(LdCParty,$A431,LdCKey,"&lt;"&amp;$G431)+1)</f>
        <v/>
      </c>
      <c r="I431">
        <f>IF($H431="","",$A431&amp;"|"&amp;RIGHT("000000"&amp;$H431,6))</f>
        <v/>
      </c>
      <c r="J431">
        <f>IF(OR($B431&lt;&gt;2,$G431=""),"",COUNTIFS(LdAParty,$A431,LdAType,2,LdAKey,"&lt;"&amp;$G431)+1)</f>
        <v/>
      </c>
      <c r="K431">
        <f>IF($J431="","",$A431&amp;"|"&amp;RIGHT("000000"&amp;$J431,6))</f>
        <v/>
      </c>
      <c r="L431">
        <f>IF($A431="","",IF(Wages!$G434="",0,Wages!$G434))</f>
        <v/>
      </c>
      <c r="M431">
        <f>IF($A431="","",Wages!$J434)</f>
        <v/>
      </c>
      <c r="N431">
        <f>IF($A431="","",Wages!$D434)</f>
        <v/>
      </c>
      <c r="P431">
        <f>IF(OR(Shares!$B434="",Shares!$C434=""),"",Shares!$C434)</f>
        <v/>
      </c>
      <c r="Q431">
        <f>IF($P431="","",Shares!$B434)</f>
        <v/>
      </c>
      <c r="R431">
        <f>IF($P431="","",IFERROR(INDEX(WageParty,MATCH($Q431,WageIds,0)),""))</f>
        <v/>
      </c>
      <c r="S431">
        <f>IF($P431="","",IFERROR(INDEX($F$6:$F$2005,MATCH($Q431,WageIds,0)),""))</f>
        <v/>
      </c>
      <c r="T431">
        <f>IF(OR($P431="",$S431="",$S431="نامعتبر"),"",LEFT($S431,4)&amp;MID($S431,6,2)&amp;RIGHT($S431,2)&amp;"0000"&amp;"|"&amp;"2"&amp;RIGHT("00000"&amp;426,5))</f>
        <v/>
      </c>
      <c r="U431">
        <f>IF($T431="","",COUNTIFS(LdAParty,$P431,LdAType,1,LdAKey,"&lt;"&amp;$T431)+COUNTIFS(LdBMember,$P431,LdBKey,"&lt;"&amp;$T431)+COUNTIFS(LdCParty,$P431,LdCKey,"&lt;"&amp;$T431)+1)</f>
        <v/>
      </c>
      <c r="V431">
        <f>IF($U431="","",$P431&amp;"|"&amp;RIGHT("000000"&amp;$U431,6))</f>
        <v/>
      </c>
      <c r="W431">
        <f>IF($T431="","",COUNTIFS(LdBGroup,$R431,LdBKey,"&lt;"&amp;$T431)+1)</f>
        <v/>
      </c>
      <c r="X431">
        <f>IF($W431="","",$R431&amp;"|"&amp;RIGHT("000000"&amp;$W431,6))</f>
        <v/>
      </c>
      <c r="Y431">
        <f>IF($P431="","",IF(Shares!$E434="",0,Shares!$E434))</f>
        <v/>
      </c>
      <c r="Z431">
        <f>IF($P431="","",Shares!$H434)</f>
        <v/>
      </c>
      <c r="AE431">
        <f>IF(OR(Sync!$S431="",Sync!$P431=""),"",Sync!$S431)</f>
        <v/>
      </c>
      <c r="AF431">
        <f>IF($AE431="","",IF(ISNUMBER(Sync!$P431),IF(AND(Sync!$P431&gt;=10000101,Sync!$P431&lt;=99991231),INT(Sync!$P431/10000),""),IFERROR(VALUE(TRIM(LEFT(Sync!$P431,FIND("/",Sync!$P431)-1))),"")))</f>
        <v/>
      </c>
      <c r="AG431">
        <f>IF(OR($AE431="",$AF431=""),"",IF(ISNUMBER(Sync!$P431),INT(MOD(Sync!$P431,10000)/100),IFERROR(VALUE(TRIM(LEFT(MID(Sync!$P431,FIND("/",Sync!$P431)+1,20),FIND("/",MID(Sync!$P431,FIND("/",Sync!$P431)+1,20))-1))),"")))</f>
        <v/>
      </c>
      <c r="AH431">
        <f>IF(OR($AE431="",$AF431=""),"",IF(ISNUMBER(Sync!$P431),MOD(Sync!$P431,100),IFERROR(VALUE(TRIM(MID(MID(Sync!$P431,FIND("/",Sync!$P431)+1,20),FIND("/",MID(Sync!$P431,FIND("/",Sync!$P431)+1,20))+1,20))),"")))</f>
        <v/>
      </c>
      <c r="AI431">
        <f>IF($AE431="","",IF(OR($AF431="",$AG431="",$AH431="",$AF431&lt;1300,$AF431&gt;1500,$AG431&lt;1,$AG431&gt;12,$AH431&lt;1,$AH431&gt;31),"نامعتبر",RIGHT("0000"&amp;$AF431,4)&amp;"/"&amp;RIGHT("00"&amp;$AG431,2)&amp;"/"&amp;RIGHT("00"&amp;$AH431,2)))</f>
        <v/>
      </c>
      <c r="AJ431">
        <f>IF($AE431="","",IF(Sync!$Q431="","0000",IF(AND(ISNUMBER(Sync!$Q431),Sync!$Q431&gt;=0,Sync!$Q431&lt;1),RIGHT("00"&amp;HOUR(Sync!$Q431),2)&amp;RIGHT("00"&amp;MINUTE(Sync!$Q431),2),IFERROR(RIGHT("00"&amp;VALUE(LEFT(Sync!$Q431,FIND(":",Sync!$Q431)-1)),2)&amp;RIGHT("00"&amp;VALUE(MID(Sync!$Q431,FIND(":",Sync!$Q431)+1,2)),2),"0000"))))</f>
        <v/>
      </c>
      <c r="AK431">
        <f>IF(OR($AE431="",$AI431="",$AI431="نامعتبر"),"",LEFT($AI431,4)&amp;MID($AI431,6,2)&amp;RIGHT($AI431,2)&amp;$AJ431&amp;"|"&amp;"3"&amp;RIGHT("00000"&amp;426,5))</f>
        <v/>
      </c>
      <c r="AL431">
        <f>IF($AK431="","",COUNTIFS(LdAParty,$AE431,LdAType,1,LdAKey,"&lt;"&amp;$AK431)+COUNTIFS(LdBMember,$AE431,LdBKey,"&lt;"&amp;$AK431)+COUNTIFS(LdCParty,$AE431,LdCKey,"&lt;"&amp;$AK431)+1)</f>
        <v/>
      </c>
      <c r="AM431">
        <f>IF($AL431="","",$AE431&amp;"|"&amp;RIGHT("000000"&amp;$AL431,6))</f>
        <v/>
      </c>
      <c r="AN431">
        <f>IF($AE431="","",IF(Sync!$W431="",0,Sync!$W431))</f>
        <v/>
      </c>
      <c r="AO431">
        <f>IF($AE431="","",IF(Sync!$X431="",0,Sync!$X431))</f>
        <v/>
      </c>
      <c r="AP431">
        <f>IF($AE431="","",Sync!$R431)</f>
        <v/>
      </c>
      <c r="AQ431">
        <f>IF($AE431="","",Sync!$Y431)</f>
        <v/>
      </c>
    </row>
    <row r="432">
      <c r="A432">
        <f>IF(OR(Wages!$B435="",Wages!$E435=""),"",Wages!$E435)</f>
        <v/>
      </c>
      <c r="B432">
        <f>IF($A432="","",IF(Wages!$C435="دستمزد گروهی",2,1))</f>
        <v/>
      </c>
      <c r="C432">
        <f>IF($A432="","",IF(ISNUMBER(Wages!$B435),IF(AND(Wages!$B435&gt;=10000101,Wages!$B435&lt;=99991231),INT(Wages!$B435/10000),""),IFERROR(VALUE(TRIM(LEFT(Wages!$B435,FIND("/",Wages!$B435)-1))),"")))</f>
        <v/>
      </c>
      <c r="D432">
        <f>IF(OR($A432="",$C432=""),"",IF(ISNUMBER(Wages!$B435),INT(MOD(Wages!$B435,10000)/100),IFERROR(VALUE(TRIM(LEFT(MID(Wages!$B435,FIND("/",Wages!$B435)+1,20),FIND("/",MID(Wages!$B435,FIND("/",Wages!$B435)+1,20))-1))),"")))</f>
        <v/>
      </c>
      <c r="E432">
        <f>IF(OR($A432="",$C432=""),"",IF(ISNUMBER(Wages!$B435),MOD(Wages!$B435,100),IFERROR(VALUE(TRIM(MID(MID(Wages!$B435,FIND("/",Wages!$B435)+1,20),FIND("/",MID(Wages!$B435,FIND("/",Wages!$B435)+1,20))+1,20))),"")))</f>
        <v/>
      </c>
      <c r="F432">
        <f>IF($A432="","",IF(OR($C432="",$D432="",$E432="",$C432&lt;1300,$C432&gt;1500,$D432&lt;1,$D432&gt;12,$E432&lt;1,$E432&gt;31),"نامعتبر",RIGHT("0000"&amp;$C432,4)&amp;"/"&amp;RIGHT("00"&amp;$D432,2)&amp;"/"&amp;RIGHT("00"&amp;$E432,2)))</f>
        <v/>
      </c>
      <c r="G432">
        <f>IF(OR($A432="",$F432="",$F432="نامعتبر"),"",LEFT($F432,4)&amp;MID($F432,6,2)&amp;RIGHT($F432,2)&amp;"0000"&amp;"|"&amp;"1"&amp;RIGHT("00000"&amp;427,5))</f>
        <v/>
      </c>
      <c r="H432">
        <f>IF(OR($B432&lt;&gt;1,$G432=""),"",COUNTIFS(LdAParty,$A432,LdAType,1,LdAKey,"&lt;"&amp;$G432)+COUNTIFS(LdBMember,$A432,LdBKey,"&lt;"&amp;$G432)+COUNTIFS(LdCParty,$A432,LdCKey,"&lt;"&amp;$G432)+1)</f>
        <v/>
      </c>
      <c r="I432">
        <f>IF($H432="","",$A432&amp;"|"&amp;RIGHT("000000"&amp;$H432,6))</f>
        <v/>
      </c>
      <c r="J432">
        <f>IF(OR($B432&lt;&gt;2,$G432=""),"",COUNTIFS(LdAParty,$A432,LdAType,2,LdAKey,"&lt;"&amp;$G432)+1)</f>
        <v/>
      </c>
      <c r="K432">
        <f>IF($J432="","",$A432&amp;"|"&amp;RIGHT("000000"&amp;$J432,6))</f>
        <v/>
      </c>
      <c r="L432">
        <f>IF($A432="","",IF(Wages!$G435="",0,Wages!$G435))</f>
        <v/>
      </c>
      <c r="M432">
        <f>IF($A432="","",Wages!$J435)</f>
        <v/>
      </c>
      <c r="N432">
        <f>IF($A432="","",Wages!$D435)</f>
        <v/>
      </c>
      <c r="P432">
        <f>IF(OR(Shares!$B435="",Shares!$C435=""),"",Shares!$C435)</f>
        <v/>
      </c>
      <c r="Q432">
        <f>IF($P432="","",Shares!$B435)</f>
        <v/>
      </c>
      <c r="R432">
        <f>IF($P432="","",IFERROR(INDEX(WageParty,MATCH($Q432,WageIds,0)),""))</f>
        <v/>
      </c>
      <c r="S432">
        <f>IF($P432="","",IFERROR(INDEX($F$6:$F$2005,MATCH($Q432,WageIds,0)),""))</f>
        <v/>
      </c>
      <c r="T432">
        <f>IF(OR($P432="",$S432="",$S432="نامعتبر"),"",LEFT($S432,4)&amp;MID($S432,6,2)&amp;RIGHT($S432,2)&amp;"0000"&amp;"|"&amp;"2"&amp;RIGHT("00000"&amp;427,5))</f>
        <v/>
      </c>
      <c r="U432">
        <f>IF($T432="","",COUNTIFS(LdAParty,$P432,LdAType,1,LdAKey,"&lt;"&amp;$T432)+COUNTIFS(LdBMember,$P432,LdBKey,"&lt;"&amp;$T432)+COUNTIFS(LdCParty,$P432,LdCKey,"&lt;"&amp;$T432)+1)</f>
        <v/>
      </c>
      <c r="V432">
        <f>IF($U432="","",$P432&amp;"|"&amp;RIGHT("000000"&amp;$U432,6))</f>
        <v/>
      </c>
      <c r="W432">
        <f>IF($T432="","",COUNTIFS(LdBGroup,$R432,LdBKey,"&lt;"&amp;$T432)+1)</f>
        <v/>
      </c>
      <c r="X432">
        <f>IF($W432="","",$R432&amp;"|"&amp;RIGHT("000000"&amp;$W432,6))</f>
        <v/>
      </c>
      <c r="Y432">
        <f>IF($P432="","",IF(Shares!$E435="",0,Shares!$E435))</f>
        <v/>
      </c>
      <c r="Z432">
        <f>IF($P432="","",Shares!$H435)</f>
        <v/>
      </c>
      <c r="AE432">
        <f>IF(OR(Sync!$S432="",Sync!$P432=""),"",Sync!$S432)</f>
        <v/>
      </c>
      <c r="AF432">
        <f>IF($AE432="","",IF(ISNUMBER(Sync!$P432),IF(AND(Sync!$P432&gt;=10000101,Sync!$P432&lt;=99991231),INT(Sync!$P432/10000),""),IFERROR(VALUE(TRIM(LEFT(Sync!$P432,FIND("/",Sync!$P432)-1))),"")))</f>
        <v/>
      </c>
      <c r="AG432">
        <f>IF(OR($AE432="",$AF432=""),"",IF(ISNUMBER(Sync!$P432),INT(MOD(Sync!$P432,10000)/100),IFERROR(VALUE(TRIM(LEFT(MID(Sync!$P432,FIND("/",Sync!$P432)+1,20),FIND("/",MID(Sync!$P432,FIND("/",Sync!$P432)+1,20))-1))),"")))</f>
        <v/>
      </c>
      <c r="AH432">
        <f>IF(OR($AE432="",$AF432=""),"",IF(ISNUMBER(Sync!$P432),MOD(Sync!$P432,100),IFERROR(VALUE(TRIM(MID(MID(Sync!$P432,FIND("/",Sync!$P432)+1,20),FIND("/",MID(Sync!$P432,FIND("/",Sync!$P432)+1,20))+1,20))),"")))</f>
        <v/>
      </c>
      <c r="AI432">
        <f>IF($AE432="","",IF(OR($AF432="",$AG432="",$AH432="",$AF432&lt;1300,$AF432&gt;1500,$AG432&lt;1,$AG432&gt;12,$AH432&lt;1,$AH432&gt;31),"نامعتبر",RIGHT("0000"&amp;$AF432,4)&amp;"/"&amp;RIGHT("00"&amp;$AG432,2)&amp;"/"&amp;RIGHT("00"&amp;$AH432,2)))</f>
        <v/>
      </c>
      <c r="AJ432">
        <f>IF($AE432="","",IF(Sync!$Q432="","0000",IF(AND(ISNUMBER(Sync!$Q432),Sync!$Q432&gt;=0,Sync!$Q432&lt;1),RIGHT("00"&amp;HOUR(Sync!$Q432),2)&amp;RIGHT("00"&amp;MINUTE(Sync!$Q432),2),IFERROR(RIGHT("00"&amp;VALUE(LEFT(Sync!$Q432,FIND(":",Sync!$Q432)-1)),2)&amp;RIGHT("00"&amp;VALUE(MID(Sync!$Q432,FIND(":",Sync!$Q432)+1,2)),2),"0000"))))</f>
        <v/>
      </c>
      <c r="AK432">
        <f>IF(OR($AE432="",$AI432="",$AI432="نامعتبر"),"",LEFT($AI432,4)&amp;MID($AI432,6,2)&amp;RIGHT($AI432,2)&amp;$AJ432&amp;"|"&amp;"3"&amp;RIGHT("00000"&amp;427,5))</f>
        <v/>
      </c>
      <c r="AL432">
        <f>IF($AK432="","",COUNTIFS(LdAParty,$AE432,LdAType,1,LdAKey,"&lt;"&amp;$AK432)+COUNTIFS(LdBMember,$AE432,LdBKey,"&lt;"&amp;$AK432)+COUNTIFS(LdCParty,$AE432,LdCKey,"&lt;"&amp;$AK432)+1)</f>
        <v/>
      </c>
      <c r="AM432">
        <f>IF($AL432="","",$AE432&amp;"|"&amp;RIGHT("000000"&amp;$AL432,6))</f>
        <v/>
      </c>
      <c r="AN432">
        <f>IF($AE432="","",IF(Sync!$W432="",0,Sync!$W432))</f>
        <v/>
      </c>
      <c r="AO432">
        <f>IF($AE432="","",IF(Sync!$X432="",0,Sync!$X432))</f>
        <v/>
      </c>
      <c r="AP432">
        <f>IF($AE432="","",Sync!$R432)</f>
        <v/>
      </c>
      <c r="AQ432">
        <f>IF($AE432="","",Sync!$Y432)</f>
        <v/>
      </c>
    </row>
    <row r="433">
      <c r="A433">
        <f>IF(OR(Wages!$B436="",Wages!$E436=""),"",Wages!$E436)</f>
        <v/>
      </c>
      <c r="B433">
        <f>IF($A433="","",IF(Wages!$C436="دستمزد گروهی",2,1))</f>
        <v/>
      </c>
      <c r="C433">
        <f>IF($A433="","",IF(ISNUMBER(Wages!$B436),IF(AND(Wages!$B436&gt;=10000101,Wages!$B436&lt;=99991231),INT(Wages!$B436/10000),""),IFERROR(VALUE(TRIM(LEFT(Wages!$B436,FIND("/",Wages!$B436)-1))),"")))</f>
        <v/>
      </c>
      <c r="D433">
        <f>IF(OR($A433="",$C433=""),"",IF(ISNUMBER(Wages!$B436),INT(MOD(Wages!$B436,10000)/100),IFERROR(VALUE(TRIM(LEFT(MID(Wages!$B436,FIND("/",Wages!$B436)+1,20),FIND("/",MID(Wages!$B436,FIND("/",Wages!$B436)+1,20))-1))),"")))</f>
        <v/>
      </c>
      <c r="E433">
        <f>IF(OR($A433="",$C433=""),"",IF(ISNUMBER(Wages!$B436),MOD(Wages!$B436,100),IFERROR(VALUE(TRIM(MID(MID(Wages!$B436,FIND("/",Wages!$B436)+1,20),FIND("/",MID(Wages!$B436,FIND("/",Wages!$B436)+1,20))+1,20))),"")))</f>
        <v/>
      </c>
      <c r="F433">
        <f>IF($A433="","",IF(OR($C433="",$D433="",$E433="",$C433&lt;1300,$C433&gt;1500,$D433&lt;1,$D433&gt;12,$E433&lt;1,$E433&gt;31),"نامعتبر",RIGHT("0000"&amp;$C433,4)&amp;"/"&amp;RIGHT("00"&amp;$D433,2)&amp;"/"&amp;RIGHT("00"&amp;$E433,2)))</f>
        <v/>
      </c>
      <c r="G433">
        <f>IF(OR($A433="",$F433="",$F433="نامعتبر"),"",LEFT($F433,4)&amp;MID($F433,6,2)&amp;RIGHT($F433,2)&amp;"0000"&amp;"|"&amp;"1"&amp;RIGHT("00000"&amp;428,5))</f>
        <v/>
      </c>
      <c r="H433">
        <f>IF(OR($B433&lt;&gt;1,$G433=""),"",COUNTIFS(LdAParty,$A433,LdAType,1,LdAKey,"&lt;"&amp;$G433)+COUNTIFS(LdBMember,$A433,LdBKey,"&lt;"&amp;$G433)+COUNTIFS(LdCParty,$A433,LdCKey,"&lt;"&amp;$G433)+1)</f>
        <v/>
      </c>
      <c r="I433">
        <f>IF($H433="","",$A433&amp;"|"&amp;RIGHT("000000"&amp;$H433,6))</f>
        <v/>
      </c>
      <c r="J433">
        <f>IF(OR($B433&lt;&gt;2,$G433=""),"",COUNTIFS(LdAParty,$A433,LdAType,2,LdAKey,"&lt;"&amp;$G433)+1)</f>
        <v/>
      </c>
      <c r="K433">
        <f>IF($J433="","",$A433&amp;"|"&amp;RIGHT("000000"&amp;$J433,6))</f>
        <v/>
      </c>
      <c r="L433">
        <f>IF($A433="","",IF(Wages!$G436="",0,Wages!$G436))</f>
        <v/>
      </c>
      <c r="M433">
        <f>IF($A433="","",Wages!$J436)</f>
        <v/>
      </c>
      <c r="N433">
        <f>IF($A433="","",Wages!$D436)</f>
        <v/>
      </c>
      <c r="P433">
        <f>IF(OR(Shares!$B436="",Shares!$C436=""),"",Shares!$C436)</f>
        <v/>
      </c>
      <c r="Q433">
        <f>IF($P433="","",Shares!$B436)</f>
        <v/>
      </c>
      <c r="R433">
        <f>IF($P433="","",IFERROR(INDEX(WageParty,MATCH($Q433,WageIds,0)),""))</f>
        <v/>
      </c>
      <c r="S433">
        <f>IF($P433="","",IFERROR(INDEX($F$6:$F$2005,MATCH($Q433,WageIds,0)),""))</f>
        <v/>
      </c>
      <c r="T433">
        <f>IF(OR($P433="",$S433="",$S433="نامعتبر"),"",LEFT($S433,4)&amp;MID($S433,6,2)&amp;RIGHT($S433,2)&amp;"0000"&amp;"|"&amp;"2"&amp;RIGHT("00000"&amp;428,5))</f>
        <v/>
      </c>
      <c r="U433">
        <f>IF($T433="","",COUNTIFS(LdAParty,$P433,LdAType,1,LdAKey,"&lt;"&amp;$T433)+COUNTIFS(LdBMember,$P433,LdBKey,"&lt;"&amp;$T433)+COUNTIFS(LdCParty,$P433,LdCKey,"&lt;"&amp;$T433)+1)</f>
        <v/>
      </c>
      <c r="V433">
        <f>IF($U433="","",$P433&amp;"|"&amp;RIGHT("000000"&amp;$U433,6))</f>
        <v/>
      </c>
      <c r="W433">
        <f>IF($T433="","",COUNTIFS(LdBGroup,$R433,LdBKey,"&lt;"&amp;$T433)+1)</f>
        <v/>
      </c>
      <c r="X433">
        <f>IF($W433="","",$R433&amp;"|"&amp;RIGHT("000000"&amp;$W433,6))</f>
        <v/>
      </c>
      <c r="Y433">
        <f>IF($P433="","",IF(Shares!$E436="",0,Shares!$E436))</f>
        <v/>
      </c>
      <c r="Z433">
        <f>IF($P433="","",Shares!$H436)</f>
        <v/>
      </c>
      <c r="AE433">
        <f>IF(OR(Sync!$S433="",Sync!$P433=""),"",Sync!$S433)</f>
        <v/>
      </c>
      <c r="AF433">
        <f>IF($AE433="","",IF(ISNUMBER(Sync!$P433),IF(AND(Sync!$P433&gt;=10000101,Sync!$P433&lt;=99991231),INT(Sync!$P433/10000),""),IFERROR(VALUE(TRIM(LEFT(Sync!$P433,FIND("/",Sync!$P433)-1))),"")))</f>
        <v/>
      </c>
      <c r="AG433">
        <f>IF(OR($AE433="",$AF433=""),"",IF(ISNUMBER(Sync!$P433),INT(MOD(Sync!$P433,10000)/100),IFERROR(VALUE(TRIM(LEFT(MID(Sync!$P433,FIND("/",Sync!$P433)+1,20),FIND("/",MID(Sync!$P433,FIND("/",Sync!$P433)+1,20))-1))),"")))</f>
        <v/>
      </c>
      <c r="AH433">
        <f>IF(OR($AE433="",$AF433=""),"",IF(ISNUMBER(Sync!$P433),MOD(Sync!$P433,100),IFERROR(VALUE(TRIM(MID(MID(Sync!$P433,FIND("/",Sync!$P433)+1,20),FIND("/",MID(Sync!$P433,FIND("/",Sync!$P433)+1,20))+1,20))),"")))</f>
        <v/>
      </c>
      <c r="AI433">
        <f>IF($AE433="","",IF(OR($AF433="",$AG433="",$AH433="",$AF433&lt;1300,$AF433&gt;1500,$AG433&lt;1,$AG433&gt;12,$AH433&lt;1,$AH433&gt;31),"نامعتبر",RIGHT("0000"&amp;$AF433,4)&amp;"/"&amp;RIGHT("00"&amp;$AG433,2)&amp;"/"&amp;RIGHT("00"&amp;$AH433,2)))</f>
        <v/>
      </c>
      <c r="AJ433">
        <f>IF($AE433="","",IF(Sync!$Q433="","0000",IF(AND(ISNUMBER(Sync!$Q433),Sync!$Q433&gt;=0,Sync!$Q433&lt;1),RIGHT("00"&amp;HOUR(Sync!$Q433),2)&amp;RIGHT("00"&amp;MINUTE(Sync!$Q433),2),IFERROR(RIGHT("00"&amp;VALUE(LEFT(Sync!$Q433,FIND(":",Sync!$Q433)-1)),2)&amp;RIGHT("00"&amp;VALUE(MID(Sync!$Q433,FIND(":",Sync!$Q433)+1,2)),2),"0000"))))</f>
        <v/>
      </c>
      <c r="AK433">
        <f>IF(OR($AE433="",$AI433="",$AI433="نامعتبر"),"",LEFT($AI433,4)&amp;MID($AI433,6,2)&amp;RIGHT($AI433,2)&amp;$AJ433&amp;"|"&amp;"3"&amp;RIGHT("00000"&amp;428,5))</f>
        <v/>
      </c>
      <c r="AL433">
        <f>IF($AK433="","",COUNTIFS(LdAParty,$AE433,LdAType,1,LdAKey,"&lt;"&amp;$AK433)+COUNTIFS(LdBMember,$AE433,LdBKey,"&lt;"&amp;$AK433)+COUNTIFS(LdCParty,$AE433,LdCKey,"&lt;"&amp;$AK433)+1)</f>
        <v/>
      </c>
      <c r="AM433">
        <f>IF($AL433="","",$AE433&amp;"|"&amp;RIGHT("000000"&amp;$AL433,6))</f>
        <v/>
      </c>
      <c r="AN433">
        <f>IF($AE433="","",IF(Sync!$W433="",0,Sync!$W433))</f>
        <v/>
      </c>
      <c r="AO433">
        <f>IF($AE433="","",IF(Sync!$X433="",0,Sync!$X433))</f>
        <v/>
      </c>
      <c r="AP433">
        <f>IF($AE433="","",Sync!$R433)</f>
        <v/>
      </c>
      <c r="AQ433">
        <f>IF($AE433="","",Sync!$Y433)</f>
        <v/>
      </c>
    </row>
    <row r="434">
      <c r="A434">
        <f>IF(OR(Wages!$B437="",Wages!$E437=""),"",Wages!$E437)</f>
        <v/>
      </c>
      <c r="B434">
        <f>IF($A434="","",IF(Wages!$C437="دستمزد گروهی",2,1))</f>
        <v/>
      </c>
      <c r="C434">
        <f>IF($A434="","",IF(ISNUMBER(Wages!$B437),IF(AND(Wages!$B437&gt;=10000101,Wages!$B437&lt;=99991231),INT(Wages!$B437/10000),""),IFERROR(VALUE(TRIM(LEFT(Wages!$B437,FIND("/",Wages!$B437)-1))),"")))</f>
        <v/>
      </c>
      <c r="D434">
        <f>IF(OR($A434="",$C434=""),"",IF(ISNUMBER(Wages!$B437),INT(MOD(Wages!$B437,10000)/100),IFERROR(VALUE(TRIM(LEFT(MID(Wages!$B437,FIND("/",Wages!$B437)+1,20),FIND("/",MID(Wages!$B437,FIND("/",Wages!$B437)+1,20))-1))),"")))</f>
        <v/>
      </c>
      <c r="E434">
        <f>IF(OR($A434="",$C434=""),"",IF(ISNUMBER(Wages!$B437),MOD(Wages!$B437,100),IFERROR(VALUE(TRIM(MID(MID(Wages!$B437,FIND("/",Wages!$B437)+1,20),FIND("/",MID(Wages!$B437,FIND("/",Wages!$B437)+1,20))+1,20))),"")))</f>
        <v/>
      </c>
      <c r="F434">
        <f>IF($A434="","",IF(OR($C434="",$D434="",$E434="",$C434&lt;1300,$C434&gt;1500,$D434&lt;1,$D434&gt;12,$E434&lt;1,$E434&gt;31),"نامعتبر",RIGHT("0000"&amp;$C434,4)&amp;"/"&amp;RIGHT("00"&amp;$D434,2)&amp;"/"&amp;RIGHT("00"&amp;$E434,2)))</f>
        <v/>
      </c>
      <c r="G434">
        <f>IF(OR($A434="",$F434="",$F434="نامعتبر"),"",LEFT($F434,4)&amp;MID($F434,6,2)&amp;RIGHT($F434,2)&amp;"0000"&amp;"|"&amp;"1"&amp;RIGHT("00000"&amp;429,5))</f>
        <v/>
      </c>
      <c r="H434">
        <f>IF(OR($B434&lt;&gt;1,$G434=""),"",COUNTIFS(LdAParty,$A434,LdAType,1,LdAKey,"&lt;"&amp;$G434)+COUNTIFS(LdBMember,$A434,LdBKey,"&lt;"&amp;$G434)+COUNTIFS(LdCParty,$A434,LdCKey,"&lt;"&amp;$G434)+1)</f>
        <v/>
      </c>
      <c r="I434">
        <f>IF($H434="","",$A434&amp;"|"&amp;RIGHT("000000"&amp;$H434,6))</f>
        <v/>
      </c>
      <c r="J434">
        <f>IF(OR($B434&lt;&gt;2,$G434=""),"",COUNTIFS(LdAParty,$A434,LdAType,2,LdAKey,"&lt;"&amp;$G434)+1)</f>
        <v/>
      </c>
      <c r="K434">
        <f>IF($J434="","",$A434&amp;"|"&amp;RIGHT("000000"&amp;$J434,6))</f>
        <v/>
      </c>
      <c r="L434">
        <f>IF($A434="","",IF(Wages!$G437="",0,Wages!$G437))</f>
        <v/>
      </c>
      <c r="M434">
        <f>IF($A434="","",Wages!$J437)</f>
        <v/>
      </c>
      <c r="N434">
        <f>IF($A434="","",Wages!$D437)</f>
        <v/>
      </c>
      <c r="P434">
        <f>IF(OR(Shares!$B437="",Shares!$C437=""),"",Shares!$C437)</f>
        <v/>
      </c>
      <c r="Q434">
        <f>IF($P434="","",Shares!$B437)</f>
        <v/>
      </c>
      <c r="R434">
        <f>IF($P434="","",IFERROR(INDEX(WageParty,MATCH($Q434,WageIds,0)),""))</f>
        <v/>
      </c>
      <c r="S434">
        <f>IF($P434="","",IFERROR(INDEX($F$6:$F$2005,MATCH($Q434,WageIds,0)),""))</f>
        <v/>
      </c>
      <c r="T434">
        <f>IF(OR($P434="",$S434="",$S434="نامعتبر"),"",LEFT($S434,4)&amp;MID($S434,6,2)&amp;RIGHT($S434,2)&amp;"0000"&amp;"|"&amp;"2"&amp;RIGHT("00000"&amp;429,5))</f>
        <v/>
      </c>
      <c r="U434">
        <f>IF($T434="","",COUNTIFS(LdAParty,$P434,LdAType,1,LdAKey,"&lt;"&amp;$T434)+COUNTIFS(LdBMember,$P434,LdBKey,"&lt;"&amp;$T434)+COUNTIFS(LdCParty,$P434,LdCKey,"&lt;"&amp;$T434)+1)</f>
        <v/>
      </c>
      <c r="V434">
        <f>IF($U434="","",$P434&amp;"|"&amp;RIGHT("000000"&amp;$U434,6))</f>
        <v/>
      </c>
      <c r="W434">
        <f>IF($T434="","",COUNTIFS(LdBGroup,$R434,LdBKey,"&lt;"&amp;$T434)+1)</f>
        <v/>
      </c>
      <c r="X434">
        <f>IF($W434="","",$R434&amp;"|"&amp;RIGHT("000000"&amp;$W434,6))</f>
        <v/>
      </c>
      <c r="Y434">
        <f>IF($P434="","",IF(Shares!$E437="",0,Shares!$E437))</f>
        <v/>
      </c>
      <c r="Z434">
        <f>IF($P434="","",Shares!$H437)</f>
        <v/>
      </c>
      <c r="AE434">
        <f>IF(OR(Sync!$S434="",Sync!$P434=""),"",Sync!$S434)</f>
        <v/>
      </c>
      <c r="AF434">
        <f>IF($AE434="","",IF(ISNUMBER(Sync!$P434),IF(AND(Sync!$P434&gt;=10000101,Sync!$P434&lt;=99991231),INT(Sync!$P434/10000),""),IFERROR(VALUE(TRIM(LEFT(Sync!$P434,FIND("/",Sync!$P434)-1))),"")))</f>
        <v/>
      </c>
      <c r="AG434">
        <f>IF(OR($AE434="",$AF434=""),"",IF(ISNUMBER(Sync!$P434),INT(MOD(Sync!$P434,10000)/100),IFERROR(VALUE(TRIM(LEFT(MID(Sync!$P434,FIND("/",Sync!$P434)+1,20),FIND("/",MID(Sync!$P434,FIND("/",Sync!$P434)+1,20))-1))),"")))</f>
        <v/>
      </c>
      <c r="AH434">
        <f>IF(OR($AE434="",$AF434=""),"",IF(ISNUMBER(Sync!$P434),MOD(Sync!$P434,100),IFERROR(VALUE(TRIM(MID(MID(Sync!$P434,FIND("/",Sync!$P434)+1,20),FIND("/",MID(Sync!$P434,FIND("/",Sync!$P434)+1,20))+1,20))),"")))</f>
        <v/>
      </c>
      <c r="AI434">
        <f>IF($AE434="","",IF(OR($AF434="",$AG434="",$AH434="",$AF434&lt;1300,$AF434&gt;1500,$AG434&lt;1,$AG434&gt;12,$AH434&lt;1,$AH434&gt;31),"نامعتبر",RIGHT("0000"&amp;$AF434,4)&amp;"/"&amp;RIGHT("00"&amp;$AG434,2)&amp;"/"&amp;RIGHT("00"&amp;$AH434,2)))</f>
        <v/>
      </c>
      <c r="AJ434">
        <f>IF($AE434="","",IF(Sync!$Q434="","0000",IF(AND(ISNUMBER(Sync!$Q434),Sync!$Q434&gt;=0,Sync!$Q434&lt;1),RIGHT("00"&amp;HOUR(Sync!$Q434),2)&amp;RIGHT("00"&amp;MINUTE(Sync!$Q434),2),IFERROR(RIGHT("00"&amp;VALUE(LEFT(Sync!$Q434,FIND(":",Sync!$Q434)-1)),2)&amp;RIGHT("00"&amp;VALUE(MID(Sync!$Q434,FIND(":",Sync!$Q434)+1,2)),2),"0000"))))</f>
        <v/>
      </c>
      <c r="AK434">
        <f>IF(OR($AE434="",$AI434="",$AI434="نامعتبر"),"",LEFT($AI434,4)&amp;MID($AI434,6,2)&amp;RIGHT($AI434,2)&amp;$AJ434&amp;"|"&amp;"3"&amp;RIGHT("00000"&amp;429,5))</f>
        <v/>
      </c>
      <c r="AL434">
        <f>IF($AK434="","",COUNTIFS(LdAParty,$AE434,LdAType,1,LdAKey,"&lt;"&amp;$AK434)+COUNTIFS(LdBMember,$AE434,LdBKey,"&lt;"&amp;$AK434)+COUNTIFS(LdCParty,$AE434,LdCKey,"&lt;"&amp;$AK434)+1)</f>
        <v/>
      </c>
      <c r="AM434">
        <f>IF($AL434="","",$AE434&amp;"|"&amp;RIGHT("000000"&amp;$AL434,6))</f>
        <v/>
      </c>
      <c r="AN434">
        <f>IF($AE434="","",IF(Sync!$W434="",0,Sync!$W434))</f>
        <v/>
      </c>
      <c r="AO434">
        <f>IF($AE434="","",IF(Sync!$X434="",0,Sync!$X434))</f>
        <v/>
      </c>
      <c r="AP434">
        <f>IF($AE434="","",Sync!$R434)</f>
        <v/>
      </c>
      <c r="AQ434">
        <f>IF($AE434="","",Sync!$Y434)</f>
        <v/>
      </c>
    </row>
    <row r="435">
      <c r="A435">
        <f>IF(OR(Wages!$B438="",Wages!$E438=""),"",Wages!$E438)</f>
        <v/>
      </c>
      <c r="B435">
        <f>IF($A435="","",IF(Wages!$C438="دستمزد گروهی",2,1))</f>
        <v/>
      </c>
      <c r="C435">
        <f>IF($A435="","",IF(ISNUMBER(Wages!$B438),IF(AND(Wages!$B438&gt;=10000101,Wages!$B438&lt;=99991231),INT(Wages!$B438/10000),""),IFERROR(VALUE(TRIM(LEFT(Wages!$B438,FIND("/",Wages!$B438)-1))),"")))</f>
        <v/>
      </c>
      <c r="D435">
        <f>IF(OR($A435="",$C435=""),"",IF(ISNUMBER(Wages!$B438),INT(MOD(Wages!$B438,10000)/100),IFERROR(VALUE(TRIM(LEFT(MID(Wages!$B438,FIND("/",Wages!$B438)+1,20),FIND("/",MID(Wages!$B438,FIND("/",Wages!$B438)+1,20))-1))),"")))</f>
        <v/>
      </c>
      <c r="E435">
        <f>IF(OR($A435="",$C435=""),"",IF(ISNUMBER(Wages!$B438),MOD(Wages!$B438,100),IFERROR(VALUE(TRIM(MID(MID(Wages!$B438,FIND("/",Wages!$B438)+1,20),FIND("/",MID(Wages!$B438,FIND("/",Wages!$B438)+1,20))+1,20))),"")))</f>
        <v/>
      </c>
      <c r="F435">
        <f>IF($A435="","",IF(OR($C435="",$D435="",$E435="",$C435&lt;1300,$C435&gt;1500,$D435&lt;1,$D435&gt;12,$E435&lt;1,$E435&gt;31),"نامعتبر",RIGHT("0000"&amp;$C435,4)&amp;"/"&amp;RIGHT("00"&amp;$D435,2)&amp;"/"&amp;RIGHT("00"&amp;$E435,2)))</f>
        <v/>
      </c>
      <c r="G435">
        <f>IF(OR($A435="",$F435="",$F435="نامعتبر"),"",LEFT($F435,4)&amp;MID($F435,6,2)&amp;RIGHT($F435,2)&amp;"0000"&amp;"|"&amp;"1"&amp;RIGHT("00000"&amp;430,5))</f>
        <v/>
      </c>
      <c r="H435">
        <f>IF(OR($B435&lt;&gt;1,$G435=""),"",COUNTIFS(LdAParty,$A435,LdAType,1,LdAKey,"&lt;"&amp;$G435)+COUNTIFS(LdBMember,$A435,LdBKey,"&lt;"&amp;$G435)+COUNTIFS(LdCParty,$A435,LdCKey,"&lt;"&amp;$G435)+1)</f>
        <v/>
      </c>
      <c r="I435">
        <f>IF($H435="","",$A435&amp;"|"&amp;RIGHT("000000"&amp;$H435,6))</f>
        <v/>
      </c>
      <c r="J435">
        <f>IF(OR($B435&lt;&gt;2,$G435=""),"",COUNTIFS(LdAParty,$A435,LdAType,2,LdAKey,"&lt;"&amp;$G435)+1)</f>
        <v/>
      </c>
      <c r="K435">
        <f>IF($J435="","",$A435&amp;"|"&amp;RIGHT("000000"&amp;$J435,6))</f>
        <v/>
      </c>
      <c r="L435">
        <f>IF($A435="","",IF(Wages!$G438="",0,Wages!$G438))</f>
        <v/>
      </c>
      <c r="M435">
        <f>IF($A435="","",Wages!$J438)</f>
        <v/>
      </c>
      <c r="N435">
        <f>IF($A435="","",Wages!$D438)</f>
        <v/>
      </c>
      <c r="P435">
        <f>IF(OR(Shares!$B438="",Shares!$C438=""),"",Shares!$C438)</f>
        <v/>
      </c>
      <c r="Q435">
        <f>IF($P435="","",Shares!$B438)</f>
        <v/>
      </c>
      <c r="R435">
        <f>IF($P435="","",IFERROR(INDEX(WageParty,MATCH($Q435,WageIds,0)),""))</f>
        <v/>
      </c>
      <c r="S435">
        <f>IF($P435="","",IFERROR(INDEX($F$6:$F$2005,MATCH($Q435,WageIds,0)),""))</f>
        <v/>
      </c>
      <c r="T435">
        <f>IF(OR($P435="",$S435="",$S435="نامعتبر"),"",LEFT($S435,4)&amp;MID($S435,6,2)&amp;RIGHT($S435,2)&amp;"0000"&amp;"|"&amp;"2"&amp;RIGHT("00000"&amp;430,5))</f>
        <v/>
      </c>
      <c r="U435">
        <f>IF($T435="","",COUNTIFS(LdAParty,$P435,LdAType,1,LdAKey,"&lt;"&amp;$T435)+COUNTIFS(LdBMember,$P435,LdBKey,"&lt;"&amp;$T435)+COUNTIFS(LdCParty,$P435,LdCKey,"&lt;"&amp;$T435)+1)</f>
        <v/>
      </c>
      <c r="V435">
        <f>IF($U435="","",$P435&amp;"|"&amp;RIGHT("000000"&amp;$U435,6))</f>
        <v/>
      </c>
      <c r="W435">
        <f>IF($T435="","",COUNTIFS(LdBGroup,$R435,LdBKey,"&lt;"&amp;$T435)+1)</f>
        <v/>
      </c>
      <c r="X435">
        <f>IF($W435="","",$R435&amp;"|"&amp;RIGHT("000000"&amp;$W435,6))</f>
        <v/>
      </c>
      <c r="Y435">
        <f>IF($P435="","",IF(Shares!$E438="",0,Shares!$E438))</f>
        <v/>
      </c>
      <c r="Z435">
        <f>IF($P435="","",Shares!$H438)</f>
        <v/>
      </c>
      <c r="AE435">
        <f>IF(OR(Sync!$S435="",Sync!$P435=""),"",Sync!$S435)</f>
        <v/>
      </c>
      <c r="AF435">
        <f>IF($AE435="","",IF(ISNUMBER(Sync!$P435),IF(AND(Sync!$P435&gt;=10000101,Sync!$P435&lt;=99991231),INT(Sync!$P435/10000),""),IFERROR(VALUE(TRIM(LEFT(Sync!$P435,FIND("/",Sync!$P435)-1))),"")))</f>
        <v/>
      </c>
      <c r="AG435">
        <f>IF(OR($AE435="",$AF435=""),"",IF(ISNUMBER(Sync!$P435),INT(MOD(Sync!$P435,10000)/100),IFERROR(VALUE(TRIM(LEFT(MID(Sync!$P435,FIND("/",Sync!$P435)+1,20),FIND("/",MID(Sync!$P435,FIND("/",Sync!$P435)+1,20))-1))),"")))</f>
        <v/>
      </c>
      <c r="AH435">
        <f>IF(OR($AE435="",$AF435=""),"",IF(ISNUMBER(Sync!$P435),MOD(Sync!$P435,100),IFERROR(VALUE(TRIM(MID(MID(Sync!$P435,FIND("/",Sync!$P435)+1,20),FIND("/",MID(Sync!$P435,FIND("/",Sync!$P435)+1,20))+1,20))),"")))</f>
        <v/>
      </c>
      <c r="AI435">
        <f>IF($AE435="","",IF(OR($AF435="",$AG435="",$AH435="",$AF435&lt;1300,$AF435&gt;1500,$AG435&lt;1,$AG435&gt;12,$AH435&lt;1,$AH435&gt;31),"نامعتبر",RIGHT("0000"&amp;$AF435,4)&amp;"/"&amp;RIGHT("00"&amp;$AG435,2)&amp;"/"&amp;RIGHT("00"&amp;$AH435,2)))</f>
        <v/>
      </c>
      <c r="AJ435">
        <f>IF($AE435="","",IF(Sync!$Q435="","0000",IF(AND(ISNUMBER(Sync!$Q435),Sync!$Q435&gt;=0,Sync!$Q435&lt;1),RIGHT("00"&amp;HOUR(Sync!$Q435),2)&amp;RIGHT("00"&amp;MINUTE(Sync!$Q435),2),IFERROR(RIGHT("00"&amp;VALUE(LEFT(Sync!$Q435,FIND(":",Sync!$Q435)-1)),2)&amp;RIGHT("00"&amp;VALUE(MID(Sync!$Q435,FIND(":",Sync!$Q435)+1,2)),2),"0000"))))</f>
        <v/>
      </c>
      <c r="AK435">
        <f>IF(OR($AE435="",$AI435="",$AI435="نامعتبر"),"",LEFT($AI435,4)&amp;MID($AI435,6,2)&amp;RIGHT($AI435,2)&amp;$AJ435&amp;"|"&amp;"3"&amp;RIGHT("00000"&amp;430,5))</f>
        <v/>
      </c>
      <c r="AL435">
        <f>IF($AK435="","",COUNTIFS(LdAParty,$AE435,LdAType,1,LdAKey,"&lt;"&amp;$AK435)+COUNTIFS(LdBMember,$AE435,LdBKey,"&lt;"&amp;$AK435)+COUNTIFS(LdCParty,$AE435,LdCKey,"&lt;"&amp;$AK435)+1)</f>
        <v/>
      </c>
      <c r="AM435">
        <f>IF($AL435="","",$AE435&amp;"|"&amp;RIGHT("000000"&amp;$AL435,6))</f>
        <v/>
      </c>
      <c r="AN435">
        <f>IF($AE435="","",IF(Sync!$W435="",0,Sync!$W435))</f>
        <v/>
      </c>
      <c r="AO435">
        <f>IF($AE435="","",IF(Sync!$X435="",0,Sync!$X435))</f>
        <v/>
      </c>
      <c r="AP435">
        <f>IF($AE435="","",Sync!$R435)</f>
        <v/>
      </c>
      <c r="AQ435">
        <f>IF($AE435="","",Sync!$Y435)</f>
        <v/>
      </c>
    </row>
    <row r="436">
      <c r="A436">
        <f>IF(OR(Wages!$B439="",Wages!$E439=""),"",Wages!$E439)</f>
        <v/>
      </c>
      <c r="B436">
        <f>IF($A436="","",IF(Wages!$C439="دستمزد گروهی",2,1))</f>
        <v/>
      </c>
      <c r="C436">
        <f>IF($A436="","",IF(ISNUMBER(Wages!$B439),IF(AND(Wages!$B439&gt;=10000101,Wages!$B439&lt;=99991231),INT(Wages!$B439/10000),""),IFERROR(VALUE(TRIM(LEFT(Wages!$B439,FIND("/",Wages!$B439)-1))),"")))</f>
        <v/>
      </c>
      <c r="D436">
        <f>IF(OR($A436="",$C436=""),"",IF(ISNUMBER(Wages!$B439),INT(MOD(Wages!$B439,10000)/100),IFERROR(VALUE(TRIM(LEFT(MID(Wages!$B439,FIND("/",Wages!$B439)+1,20),FIND("/",MID(Wages!$B439,FIND("/",Wages!$B439)+1,20))-1))),"")))</f>
        <v/>
      </c>
      <c r="E436">
        <f>IF(OR($A436="",$C436=""),"",IF(ISNUMBER(Wages!$B439),MOD(Wages!$B439,100),IFERROR(VALUE(TRIM(MID(MID(Wages!$B439,FIND("/",Wages!$B439)+1,20),FIND("/",MID(Wages!$B439,FIND("/",Wages!$B439)+1,20))+1,20))),"")))</f>
        <v/>
      </c>
      <c r="F436">
        <f>IF($A436="","",IF(OR($C436="",$D436="",$E436="",$C436&lt;1300,$C436&gt;1500,$D436&lt;1,$D436&gt;12,$E436&lt;1,$E436&gt;31),"نامعتبر",RIGHT("0000"&amp;$C436,4)&amp;"/"&amp;RIGHT("00"&amp;$D436,2)&amp;"/"&amp;RIGHT("00"&amp;$E436,2)))</f>
        <v/>
      </c>
      <c r="G436">
        <f>IF(OR($A436="",$F436="",$F436="نامعتبر"),"",LEFT($F436,4)&amp;MID($F436,6,2)&amp;RIGHT($F436,2)&amp;"0000"&amp;"|"&amp;"1"&amp;RIGHT("00000"&amp;431,5))</f>
        <v/>
      </c>
      <c r="H436">
        <f>IF(OR($B436&lt;&gt;1,$G436=""),"",COUNTIFS(LdAParty,$A436,LdAType,1,LdAKey,"&lt;"&amp;$G436)+COUNTIFS(LdBMember,$A436,LdBKey,"&lt;"&amp;$G436)+COUNTIFS(LdCParty,$A436,LdCKey,"&lt;"&amp;$G436)+1)</f>
        <v/>
      </c>
      <c r="I436">
        <f>IF($H436="","",$A436&amp;"|"&amp;RIGHT("000000"&amp;$H436,6))</f>
        <v/>
      </c>
      <c r="J436">
        <f>IF(OR($B436&lt;&gt;2,$G436=""),"",COUNTIFS(LdAParty,$A436,LdAType,2,LdAKey,"&lt;"&amp;$G436)+1)</f>
        <v/>
      </c>
      <c r="K436">
        <f>IF($J436="","",$A436&amp;"|"&amp;RIGHT("000000"&amp;$J436,6))</f>
        <v/>
      </c>
      <c r="L436">
        <f>IF($A436="","",IF(Wages!$G439="",0,Wages!$G439))</f>
        <v/>
      </c>
      <c r="M436">
        <f>IF($A436="","",Wages!$J439)</f>
        <v/>
      </c>
      <c r="N436">
        <f>IF($A436="","",Wages!$D439)</f>
        <v/>
      </c>
      <c r="P436">
        <f>IF(OR(Shares!$B439="",Shares!$C439=""),"",Shares!$C439)</f>
        <v/>
      </c>
      <c r="Q436">
        <f>IF($P436="","",Shares!$B439)</f>
        <v/>
      </c>
      <c r="R436">
        <f>IF($P436="","",IFERROR(INDEX(WageParty,MATCH($Q436,WageIds,0)),""))</f>
        <v/>
      </c>
      <c r="S436">
        <f>IF($P436="","",IFERROR(INDEX($F$6:$F$2005,MATCH($Q436,WageIds,0)),""))</f>
        <v/>
      </c>
      <c r="T436">
        <f>IF(OR($P436="",$S436="",$S436="نامعتبر"),"",LEFT($S436,4)&amp;MID($S436,6,2)&amp;RIGHT($S436,2)&amp;"0000"&amp;"|"&amp;"2"&amp;RIGHT("00000"&amp;431,5))</f>
        <v/>
      </c>
      <c r="U436">
        <f>IF($T436="","",COUNTIFS(LdAParty,$P436,LdAType,1,LdAKey,"&lt;"&amp;$T436)+COUNTIFS(LdBMember,$P436,LdBKey,"&lt;"&amp;$T436)+COUNTIFS(LdCParty,$P436,LdCKey,"&lt;"&amp;$T436)+1)</f>
        <v/>
      </c>
      <c r="V436">
        <f>IF($U436="","",$P436&amp;"|"&amp;RIGHT("000000"&amp;$U436,6))</f>
        <v/>
      </c>
      <c r="W436">
        <f>IF($T436="","",COUNTIFS(LdBGroup,$R436,LdBKey,"&lt;"&amp;$T436)+1)</f>
        <v/>
      </c>
      <c r="X436">
        <f>IF($W436="","",$R436&amp;"|"&amp;RIGHT("000000"&amp;$W436,6))</f>
        <v/>
      </c>
      <c r="Y436">
        <f>IF($P436="","",IF(Shares!$E439="",0,Shares!$E439))</f>
        <v/>
      </c>
      <c r="Z436">
        <f>IF($P436="","",Shares!$H439)</f>
        <v/>
      </c>
      <c r="AE436">
        <f>IF(OR(Sync!$S436="",Sync!$P436=""),"",Sync!$S436)</f>
        <v/>
      </c>
      <c r="AF436">
        <f>IF($AE436="","",IF(ISNUMBER(Sync!$P436),IF(AND(Sync!$P436&gt;=10000101,Sync!$P436&lt;=99991231),INT(Sync!$P436/10000),""),IFERROR(VALUE(TRIM(LEFT(Sync!$P436,FIND("/",Sync!$P436)-1))),"")))</f>
        <v/>
      </c>
      <c r="AG436">
        <f>IF(OR($AE436="",$AF436=""),"",IF(ISNUMBER(Sync!$P436),INT(MOD(Sync!$P436,10000)/100),IFERROR(VALUE(TRIM(LEFT(MID(Sync!$P436,FIND("/",Sync!$P436)+1,20),FIND("/",MID(Sync!$P436,FIND("/",Sync!$P436)+1,20))-1))),"")))</f>
        <v/>
      </c>
      <c r="AH436">
        <f>IF(OR($AE436="",$AF436=""),"",IF(ISNUMBER(Sync!$P436),MOD(Sync!$P436,100),IFERROR(VALUE(TRIM(MID(MID(Sync!$P436,FIND("/",Sync!$P436)+1,20),FIND("/",MID(Sync!$P436,FIND("/",Sync!$P436)+1,20))+1,20))),"")))</f>
        <v/>
      </c>
      <c r="AI436">
        <f>IF($AE436="","",IF(OR($AF436="",$AG436="",$AH436="",$AF436&lt;1300,$AF436&gt;1500,$AG436&lt;1,$AG436&gt;12,$AH436&lt;1,$AH436&gt;31),"نامعتبر",RIGHT("0000"&amp;$AF436,4)&amp;"/"&amp;RIGHT("00"&amp;$AG436,2)&amp;"/"&amp;RIGHT("00"&amp;$AH436,2)))</f>
        <v/>
      </c>
      <c r="AJ436">
        <f>IF($AE436="","",IF(Sync!$Q436="","0000",IF(AND(ISNUMBER(Sync!$Q436),Sync!$Q436&gt;=0,Sync!$Q436&lt;1),RIGHT("00"&amp;HOUR(Sync!$Q436),2)&amp;RIGHT("00"&amp;MINUTE(Sync!$Q436),2),IFERROR(RIGHT("00"&amp;VALUE(LEFT(Sync!$Q436,FIND(":",Sync!$Q436)-1)),2)&amp;RIGHT("00"&amp;VALUE(MID(Sync!$Q436,FIND(":",Sync!$Q436)+1,2)),2),"0000"))))</f>
        <v/>
      </c>
      <c r="AK436">
        <f>IF(OR($AE436="",$AI436="",$AI436="نامعتبر"),"",LEFT($AI436,4)&amp;MID($AI436,6,2)&amp;RIGHT($AI436,2)&amp;$AJ436&amp;"|"&amp;"3"&amp;RIGHT("00000"&amp;431,5))</f>
        <v/>
      </c>
      <c r="AL436">
        <f>IF($AK436="","",COUNTIFS(LdAParty,$AE436,LdAType,1,LdAKey,"&lt;"&amp;$AK436)+COUNTIFS(LdBMember,$AE436,LdBKey,"&lt;"&amp;$AK436)+COUNTIFS(LdCParty,$AE436,LdCKey,"&lt;"&amp;$AK436)+1)</f>
        <v/>
      </c>
      <c r="AM436">
        <f>IF($AL436="","",$AE436&amp;"|"&amp;RIGHT("000000"&amp;$AL436,6))</f>
        <v/>
      </c>
      <c r="AN436">
        <f>IF($AE436="","",IF(Sync!$W436="",0,Sync!$W436))</f>
        <v/>
      </c>
      <c r="AO436">
        <f>IF($AE436="","",IF(Sync!$X436="",0,Sync!$X436))</f>
        <v/>
      </c>
      <c r="AP436">
        <f>IF($AE436="","",Sync!$R436)</f>
        <v/>
      </c>
      <c r="AQ436">
        <f>IF($AE436="","",Sync!$Y436)</f>
        <v/>
      </c>
    </row>
    <row r="437">
      <c r="A437">
        <f>IF(OR(Wages!$B440="",Wages!$E440=""),"",Wages!$E440)</f>
        <v/>
      </c>
      <c r="B437">
        <f>IF($A437="","",IF(Wages!$C440="دستمزد گروهی",2,1))</f>
        <v/>
      </c>
      <c r="C437">
        <f>IF($A437="","",IF(ISNUMBER(Wages!$B440),IF(AND(Wages!$B440&gt;=10000101,Wages!$B440&lt;=99991231),INT(Wages!$B440/10000),""),IFERROR(VALUE(TRIM(LEFT(Wages!$B440,FIND("/",Wages!$B440)-1))),"")))</f>
        <v/>
      </c>
      <c r="D437">
        <f>IF(OR($A437="",$C437=""),"",IF(ISNUMBER(Wages!$B440),INT(MOD(Wages!$B440,10000)/100),IFERROR(VALUE(TRIM(LEFT(MID(Wages!$B440,FIND("/",Wages!$B440)+1,20),FIND("/",MID(Wages!$B440,FIND("/",Wages!$B440)+1,20))-1))),"")))</f>
        <v/>
      </c>
      <c r="E437">
        <f>IF(OR($A437="",$C437=""),"",IF(ISNUMBER(Wages!$B440),MOD(Wages!$B440,100),IFERROR(VALUE(TRIM(MID(MID(Wages!$B440,FIND("/",Wages!$B440)+1,20),FIND("/",MID(Wages!$B440,FIND("/",Wages!$B440)+1,20))+1,20))),"")))</f>
        <v/>
      </c>
      <c r="F437">
        <f>IF($A437="","",IF(OR($C437="",$D437="",$E437="",$C437&lt;1300,$C437&gt;1500,$D437&lt;1,$D437&gt;12,$E437&lt;1,$E437&gt;31),"نامعتبر",RIGHT("0000"&amp;$C437,4)&amp;"/"&amp;RIGHT("00"&amp;$D437,2)&amp;"/"&amp;RIGHT("00"&amp;$E437,2)))</f>
        <v/>
      </c>
      <c r="G437">
        <f>IF(OR($A437="",$F437="",$F437="نامعتبر"),"",LEFT($F437,4)&amp;MID($F437,6,2)&amp;RIGHT($F437,2)&amp;"0000"&amp;"|"&amp;"1"&amp;RIGHT("00000"&amp;432,5))</f>
        <v/>
      </c>
      <c r="H437">
        <f>IF(OR($B437&lt;&gt;1,$G437=""),"",COUNTIFS(LdAParty,$A437,LdAType,1,LdAKey,"&lt;"&amp;$G437)+COUNTIFS(LdBMember,$A437,LdBKey,"&lt;"&amp;$G437)+COUNTIFS(LdCParty,$A437,LdCKey,"&lt;"&amp;$G437)+1)</f>
        <v/>
      </c>
      <c r="I437">
        <f>IF($H437="","",$A437&amp;"|"&amp;RIGHT("000000"&amp;$H437,6))</f>
        <v/>
      </c>
      <c r="J437">
        <f>IF(OR($B437&lt;&gt;2,$G437=""),"",COUNTIFS(LdAParty,$A437,LdAType,2,LdAKey,"&lt;"&amp;$G437)+1)</f>
        <v/>
      </c>
      <c r="K437">
        <f>IF($J437="","",$A437&amp;"|"&amp;RIGHT("000000"&amp;$J437,6))</f>
        <v/>
      </c>
      <c r="L437">
        <f>IF($A437="","",IF(Wages!$G440="",0,Wages!$G440))</f>
        <v/>
      </c>
      <c r="M437">
        <f>IF($A437="","",Wages!$J440)</f>
        <v/>
      </c>
      <c r="N437">
        <f>IF($A437="","",Wages!$D440)</f>
        <v/>
      </c>
      <c r="P437">
        <f>IF(OR(Shares!$B440="",Shares!$C440=""),"",Shares!$C440)</f>
        <v/>
      </c>
      <c r="Q437">
        <f>IF($P437="","",Shares!$B440)</f>
        <v/>
      </c>
      <c r="R437">
        <f>IF($P437="","",IFERROR(INDEX(WageParty,MATCH($Q437,WageIds,0)),""))</f>
        <v/>
      </c>
      <c r="S437">
        <f>IF($P437="","",IFERROR(INDEX($F$6:$F$2005,MATCH($Q437,WageIds,0)),""))</f>
        <v/>
      </c>
      <c r="T437">
        <f>IF(OR($P437="",$S437="",$S437="نامعتبر"),"",LEFT($S437,4)&amp;MID($S437,6,2)&amp;RIGHT($S437,2)&amp;"0000"&amp;"|"&amp;"2"&amp;RIGHT("00000"&amp;432,5))</f>
        <v/>
      </c>
      <c r="U437">
        <f>IF($T437="","",COUNTIFS(LdAParty,$P437,LdAType,1,LdAKey,"&lt;"&amp;$T437)+COUNTIFS(LdBMember,$P437,LdBKey,"&lt;"&amp;$T437)+COUNTIFS(LdCParty,$P437,LdCKey,"&lt;"&amp;$T437)+1)</f>
        <v/>
      </c>
      <c r="V437">
        <f>IF($U437="","",$P437&amp;"|"&amp;RIGHT("000000"&amp;$U437,6))</f>
        <v/>
      </c>
      <c r="W437">
        <f>IF($T437="","",COUNTIFS(LdBGroup,$R437,LdBKey,"&lt;"&amp;$T437)+1)</f>
        <v/>
      </c>
      <c r="X437">
        <f>IF($W437="","",$R437&amp;"|"&amp;RIGHT("000000"&amp;$W437,6))</f>
        <v/>
      </c>
      <c r="Y437">
        <f>IF($P437="","",IF(Shares!$E440="",0,Shares!$E440))</f>
        <v/>
      </c>
      <c r="Z437">
        <f>IF($P437="","",Shares!$H440)</f>
        <v/>
      </c>
      <c r="AE437">
        <f>IF(OR(Sync!$S437="",Sync!$P437=""),"",Sync!$S437)</f>
        <v/>
      </c>
      <c r="AF437">
        <f>IF($AE437="","",IF(ISNUMBER(Sync!$P437),IF(AND(Sync!$P437&gt;=10000101,Sync!$P437&lt;=99991231),INT(Sync!$P437/10000),""),IFERROR(VALUE(TRIM(LEFT(Sync!$P437,FIND("/",Sync!$P437)-1))),"")))</f>
        <v/>
      </c>
      <c r="AG437">
        <f>IF(OR($AE437="",$AF437=""),"",IF(ISNUMBER(Sync!$P437),INT(MOD(Sync!$P437,10000)/100),IFERROR(VALUE(TRIM(LEFT(MID(Sync!$P437,FIND("/",Sync!$P437)+1,20),FIND("/",MID(Sync!$P437,FIND("/",Sync!$P437)+1,20))-1))),"")))</f>
        <v/>
      </c>
      <c r="AH437">
        <f>IF(OR($AE437="",$AF437=""),"",IF(ISNUMBER(Sync!$P437),MOD(Sync!$P437,100),IFERROR(VALUE(TRIM(MID(MID(Sync!$P437,FIND("/",Sync!$P437)+1,20),FIND("/",MID(Sync!$P437,FIND("/",Sync!$P437)+1,20))+1,20))),"")))</f>
        <v/>
      </c>
      <c r="AI437">
        <f>IF($AE437="","",IF(OR($AF437="",$AG437="",$AH437="",$AF437&lt;1300,$AF437&gt;1500,$AG437&lt;1,$AG437&gt;12,$AH437&lt;1,$AH437&gt;31),"نامعتبر",RIGHT("0000"&amp;$AF437,4)&amp;"/"&amp;RIGHT("00"&amp;$AG437,2)&amp;"/"&amp;RIGHT("00"&amp;$AH437,2)))</f>
        <v/>
      </c>
      <c r="AJ437">
        <f>IF($AE437="","",IF(Sync!$Q437="","0000",IF(AND(ISNUMBER(Sync!$Q437),Sync!$Q437&gt;=0,Sync!$Q437&lt;1),RIGHT("00"&amp;HOUR(Sync!$Q437),2)&amp;RIGHT("00"&amp;MINUTE(Sync!$Q437),2),IFERROR(RIGHT("00"&amp;VALUE(LEFT(Sync!$Q437,FIND(":",Sync!$Q437)-1)),2)&amp;RIGHT("00"&amp;VALUE(MID(Sync!$Q437,FIND(":",Sync!$Q437)+1,2)),2),"0000"))))</f>
        <v/>
      </c>
      <c r="AK437">
        <f>IF(OR($AE437="",$AI437="",$AI437="نامعتبر"),"",LEFT($AI437,4)&amp;MID($AI437,6,2)&amp;RIGHT($AI437,2)&amp;$AJ437&amp;"|"&amp;"3"&amp;RIGHT("00000"&amp;432,5))</f>
        <v/>
      </c>
      <c r="AL437">
        <f>IF($AK437="","",COUNTIFS(LdAParty,$AE437,LdAType,1,LdAKey,"&lt;"&amp;$AK437)+COUNTIFS(LdBMember,$AE437,LdBKey,"&lt;"&amp;$AK437)+COUNTIFS(LdCParty,$AE437,LdCKey,"&lt;"&amp;$AK437)+1)</f>
        <v/>
      </c>
      <c r="AM437">
        <f>IF($AL437="","",$AE437&amp;"|"&amp;RIGHT("000000"&amp;$AL437,6))</f>
        <v/>
      </c>
      <c r="AN437">
        <f>IF($AE437="","",IF(Sync!$W437="",0,Sync!$W437))</f>
        <v/>
      </c>
      <c r="AO437">
        <f>IF($AE437="","",IF(Sync!$X437="",0,Sync!$X437))</f>
        <v/>
      </c>
      <c r="AP437">
        <f>IF($AE437="","",Sync!$R437)</f>
        <v/>
      </c>
      <c r="AQ437">
        <f>IF($AE437="","",Sync!$Y437)</f>
        <v/>
      </c>
    </row>
    <row r="438">
      <c r="A438">
        <f>IF(OR(Wages!$B441="",Wages!$E441=""),"",Wages!$E441)</f>
        <v/>
      </c>
      <c r="B438">
        <f>IF($A438="","",IF(Wages!$C441="دستمزد گروهی",2,1))</f>
        <v/>
      </c>
      <c r="C438">
        <f>IF($A438="","",IF(ISNUMBER(Wages!$B441),IF(AND(Wages!$B441&gt;=10000101,Wages!$B441&lt;=99991231),INT(Wages!$B441/10000),""),IFERROR(VALUE(TRIM(LEFT(Wages!$B441,FIND("/",Wages!$B441)-1))),"")))</f>
        <v/>
      </c>
      <c r="D438">
        <f>IF(OR($A438="",$C438=""),"",IF(ISNUMBER(Wages!$B441),INT(MOD(Wages!$B441,10000)/100),IFERROR(VALUE(TRIM(LEFT(MID(Wages!$B441,FIND("/",Wages!$B441)+1,20),FIND("/",MID(Wages!$B441,FIND("/",Wages!$B441)+1,20))-1))),"")))</f>
        <v/>
      </c>
      <c r="E438">
        <f>IF(OR($A438="",$C438=""),"",IF(ISNUMBER(Wages!$B441),MOD(Wages!$B441,100),IFERROR(VALUE(TRIM(MID(MID(Wages!$B441,FIND("/",Wages!$B441)+1,20),FIND("/",MID(Wages!$B441,FIND("/",Wages!$B441)+1,20))+1,20))),"")))</f>
        <v/>
      </c>
      <c r="F438">
        <f>IF($A438="","",IF(OR($C438="",$D438="",$E438="",$C438&lt;1300,$C438&gt;1500,$D438&lt;1,$D438&gt;12,$E438&lt;1,$E438&gt;31),"نامعتبر",RIGHT("0000"&amp;$C438,4)&amp;"/"&amp;RIGHT("00"&amp;$D438,2)&amp;"/"&amp;RIGHT("00"&amp;$E438,2)))</f>
        <v/>
      </c>
      <c r="G438">
        <f>IF(OR($A438="",$F438="",$F438="نامعتبر"),"",LEFT($F438,4)&amp;MID($F438,6,2)&amp;RIGHT($F438,2)&amp;"0000"&amp;"|"&amp;"1"&amp;RIGHT("00000"&amp;433,5))</f>
        <v/>
      </c>
      <c r="H438">
        <f>IF(OR($B438&lt;&gt;1,$G438=""),"",COUNTIFS(LdAParty,$A438,LdAType,1,LdAKey,"&lt;"&amp;$G438)+COUNTIFS(LdBMember,$A438,LdBKey,"&lt;"&amp;$G438)+COUNTIFS(LdCParty,$A438,LdCKey,"&lt;"&amp;$G438)+1)</f>
        <v/>
      </c>
      <c r="I438">
        <f>IF($H438="","",$A438&amp;"|"&amp;RIGHT("000000"&amp;$H438,6))</f>
        <v/>
      </c>
      <c r="J438">
        <f>IF(OR($B438&lt;&gt;2,$G438=""),"",COUNTIFS(LdAParty,$A438,LdAType,2,LdAKey,"&lt;"&amp;$G438)+1)</f>
        <v/>
      </c>
      <c r="K438">
        <f>IF($J438="","",$A438&amp;"|"&amp;RIGHT("000000"&amp;$J438,6))</f>
        <v/>
      </c>
      <c r="L438">
        <f>IF($A438="","",IF(Wages!$G441="",0,Wages!$G441))</f>
        <v/>
      </c>
      <c r="M438">
        <f>IF($A438="","",Wages!$J441)</f>
        <v/>
      </c>
      <c r="N438">
        <f>IF($A438="","",Wages!$D441)</f>
        <v/>
      </c>
      <c r="P438">
        <f>IF(OR(Shares!$B441="",Shares!$C441=""),"",Shares!$C441)</f>
        <v/>
      </c>
      <c r="Q438">
        <f>IF($P438="","",Shares!$B441)</f>
        <v/>
      </c>
      <c r="R438">
        <f>IF($P438="","",IFERROR(INDEX(WageParty,MATCH($Q438,WageIds,0)),""))</f>
        <v/>
      </c>
      <c r="S438">
        <f>IF($P438="","",IFERROR(INDEX($F$6:$F$2005,MATCH($Q438,WageIds,0)),""))</f>
        <v/>
      </c>
      <c r="T438">
        <f>IF(OR($P438="",$S438="",$S438="نامعتبر"),"",LEFT($S438,4)&amp;MID($S438,6,2)&amp;RIGHT($S438,2)&amp;"0000"&amp;"|"&amp;"2"&amp;RIGHT("00000"&amp;433,5))</f>
        <v/>
      </c>
      <c r="U438">
        <f>IF($T438="","",COUNTIFS(LdAParty,$P438,LdAType,1,LdAKey,"&lt;"&amp;$T438)+COUNTIFS(LdBMember,$P438,LdBKey,"&lt;"&amp;$T438)+COUNTIFS(LdCParty,$P438,LdCKey,"&lt;"&amp;$T438)+1)</f>
        <v/>
      </c>
      <c r="V438">
        <f>IF($U438="","",$P438&amp;"|"&amp;RIGHT("000000"&amp;$U438,6))</f>
        <v/>
      </c>
      <c r="W438">
        <f>IF($T438="","",COUNTIFS(LdBGroup,$R438,LdBKey,"&lt;"&amp;$T438)+1)</f>
        <v/>
      </c>
      <c r="X438">
        <f>IF($W438="","",$R438&amp;"|"&amp;RIGHT("000000"&amp;$W438,6))</f>
        <v/>
      </c>
      <c r="Y438">
        <f>IF($P438="","",IF(Shares!$E441="",0,Shares!$E441))</f>
        <v/>
      </c>
      <c r="Z438">
        <f>IF($P438="","",Shares!$H441)</f>
        <v/>
      </c>
      <c r="AE438">
        <f>IF(OR(Sync!$S438="",Sync!$P438=""),"",Sync!$S438)</f>
        <v/>
      </c>
      <c r="AF438">
        <f>IF($AE438="","",IF(ISNUMBER(Sync!$P438),IF(AND(Sync!$P438&gt;=10000101,Sync!$P438&lt;=99991231),INT(Sync!$P438/10000),""),IFERROR(VALUE(TRIM(LEFT(Sync!$P438,FIND("/",Sync!$P438)-1))),"")))</f>
        <v/>
      </c>
      <c r="AG438">
        <f>IF(OR($AE438="",$AF438=""),"",IF(ISNUMBER(Sync!$P438),INT(MOD(Sync!$P438,10000)/100),IFERROR(VALUE(TRIM(LEFT(MID(Sync!$P438,FIND("/",Sync!$P438)+1,20),FIND("/",MID(Sync!$P438,FIND("/",Sync!$P438)+1,20))-1))),"")))</f>
        <v/>
      </c>
      <c r="AH438">
        <f>IF(OR($AE438="",$AF438=""),"",IF(ISNUMBER(Sync!$P438),MOD(Sync!$P438,100),IFERROR(VALUE(TRIM(MID(MID(Sync!$P438,FIND("/",Sync!$P438)+1,20),FIND("/",MID(Sync!$P438,FIND("/",Sync!$P438)+1,20))+1,20))),"")))</f>
        <v/>
      </c>
      <c r="AI438">
        <f>IF($AE438="","",IF(OR($AF438="",$AG438="",$AH438="",$AF438&lt;1300,$AF438&gt;1500,$AG438&lt;1,$AG438&gt;12,$AH438&lt;1,$AH438&gt;31),"نامعتبر",RIGHT("0000"&amp;$AF438,4)&amp;"/"&amp;RIGHT("00"&amp;$AG438,2)&amp;"/"&amp;RIGHT("00"&amp;$AH438,2)))</f>
        <v/>
      </c>
      <c r="AJ438">
        <f>IF($AE438="","",IF(Sync!$Q438="","0000",IF(AND(ISNUMBER(Sync!$Q438),Sync!$Q438&gt;=0,Sync!$Q438&lt;1),RIGHT("00"&amp;HOUR(Sync!$Q438),2)&amp;RIGHT("00"&amp;MINUTE(Sync!$Q438),2),IFERROR(RIGHT("00"&amp;VALUE(LEFT(Sync!$Q438,FIND(":",Sync!$Q438)-1)),2)&amp;RIGHT("00"&amp;VALUE(MID(Sync!$Q438,FIND(":",Sync!$Q438)+1,2)),2),"0000"))))</f>
        <v/>
      </c>
      <c r="AK438">
        <f>IF(OR($AE438="",$AI438="",$AI438="نامعتبر"),"",LEFT($AI438,4)&amp;MID($AI438,6,2)&amp;RIGHT($AI438,2)&amp;$AJ438&amp;"|"&amp;"3"&amp;RIGHT("00000"&amp;433,5))</f>
        <v/>
      </c>
      <c r="AL438">
        <f>IF($AK438="","",COUNTIFS(LdAParty,$AE438,LdAType,1,LdAKey,"&lt;"&amp;$AK438)+COUNTIFS(LdBMember,$AE438,LdBKey,"&lt;"&amp;$AK438)+COUNTIFS(LdCParty,$AE438,LdCKey,"&lt;"&amp;$AK438)+1)</f>
        <v/>
      </c>
      <c r="AM438">
        <f>IF($AL438="","",$AE438&amp;"|"&amp;RIGHT("000000"&amp;$AL438,6))</f>
        <v/>
      </c>
      <c r="AN438">
        <f>IF($AE438="","",IF(Sync!$W438="",0,Sync!$W438))</f>
        <v/>
      </c>
      <c r="AO438">
        <f>IF($AE438="","",IF(Sync!$X438="",0,Sync!$X438))</f>
        <v/>
      </c>
      <c r="AP438">
        <f>IF($AE438="","",Sync!$R438)</f>
        <v/>
      </c>
      <c r="AQ438">
        <f>IF($AE438="","",Sync!$Y438)</f>
        <v/>
      </c>
    </row>
    <row r="439">
      <c r="A439">
        <f>IF(OR(Wages!$B442="",Wages!$E442=""),"",Wages!$E442)</f>
        <v/>
      </c>
      <c r="B439">
        <f>IF($A439="","",IF(Wages!$C442="دستمزد گروهی",2,1))</f>
        <v/>
      </c>
      <c r="C439">
        <f>IF($A439="","",IF(ISNUMBER(Wages!$B442),IF(AND(Wages!$B442&gt;=10000101,Wages!$B442&lt;=99991231),INT(Wages!$B442/10000),""),IFERROR(VALUE(TRIM(LEFT(Wages!$B442,FIND("/",Wages!$B442)-1))),"")))</f>
        <v/>
      </c>
      <c r="D439">
        <f>IF(OR($A439="",$C439=""),"",IF(ISNUMBER(Wages!$B442),INT(MOD(Wages!$B442,10000)/100),IFERROR(VALUE(TRIM(LEFT(MID(Wages!$B442,FIND("/",Wages!$B442)+1,20),FIND("/",MID(Wages!$B442,FIND("/",Wages!$B442)+1,20))-1))),"")))</f>
        <v/>
      </c>
      <c r="E439">
        <f>IF(OR($A439="",$C439=""),"",IF(ISNUMBER(Wages!$B442),MOD(Wages!$B442,100),IFERROR(VALUE(TRIM(MID(MID(Wages!$B442,FIND("/",Wages!$B442)+1,20),FIND("/",MID(Wages!$B442,FIND("/",Wages!$B442)+1,20))+1,20))),"")))</f>
        <v/>
      </c>
      <c r="F439">
        <f>IF($A439="","",IF(OR($C439="",$D439="",$E439="",$C439&lt;1300,$C439&gt;1500,$D439&lt;1,$D439&gt;12,$E439&lt;1,$E439&gt;31),"نامعتبر",RIGHT("0000"&amp;$C439,4)&amp;"/"&amp;RIGHT("00"&amp;$D439,2)&amp;"/"&amp;RIGHT("00"&amp;$E439,2)))</f>
        <v/>
      </c>
      <c r="G439">
        <f>IF(OR($A439="",$F439="",$F439="نامعتبر"),"",LEFT($F439,4)&amp;MID($F439,6,2)&amp;RIGHT($F439,2)&amp;"0000"&amp;"|"&amp;"1"&amp;RIGHT("00000"&amp;434,5))</f>
        <v/>
      </c>
      <c r="H439">
        <f>IF(OR($B439&lt;&gt;1,$G439=""),"",COUNTIFS(LdAParty,$A439,LdAType,1,LdAKey,"&lt;"&amp;$G439)+COUNTIFS(LdBMember,$A439,LdBKey,"&lt;"&amp;$G439)+COUNTIFS(LdCParty,$A439,LdCKey,"&lt;"&amp;$G439)+1)</f>
        <v/>
      </c>
      <c r="I439">
        <f>IF($H439="","",$A439&amp;"|"&amp;RIGHT("000000"&amp;$H439,6))</f>
        <v/>
      </c>
      <c r="J439">
        <f>IF(OR($B439&lt;&gt;2,$G439=""),"",COUNTIFS(LdAParty,$A439,LdAType,2,LdAKey,"&lt;"&amp;$G439)+1)</f>
        <v/>
      </c>
      <c r="K439">
        <f>IF($J439="","",$A439&amp;"|"&amp;RIGHT("000000"&amp;$J439,6))</f>
        <v/>
      </c>
      <c r="L439">
        <f>IF($A439="","",IF(Wages!$G442="",0,Wages!$G442))</f>
        <v/>
      </c>
      <c r="M439">
        <f>IF($A439="","",Wages!$J442)</f>
        <v/>
      </c>
      <c r="N439">
        <f>IF($A439="","",Wages!$D442)</f>
        <v/>
      </c>
      <c r="P439">
        <f>IF(OR(Shares!$B442="",Shares!$C442=""),"",Shares!$C442)</f>
        <v/>
      </c>
      <c r="Q439">
        <f>IF($P439="","",Shares!$B442)</f>
        <v/>
      </c>
      <c r="R439">
        <f>IF($P439="","",IFERROR(INDEX(WageParty,MATCH($Q439,WageIds,0)),""))</f>
        <v/>
      </c>
      <c r="S439">
        <f>IF($P439="","",IFERROR(INDEX($F$6:$F$2005,MATCH($Q439,WageIds,0)),""))</f>
        <v/>
      </c>
      <c r="T439">
        <f>IF(OR($P439="",$S439="",$S439="نامعتبر"),"",LEFT($S439,4)&amp;MID($S439,6,2)&amp;RIGHT($S439,2)&amp;"0000"&amp;"|"&amp;"2"&amp;RIGHT("00000"&amp;434,5))</f>
        <v/>
      </c>
      <c r="U439">
        <f>IF($T439="","",COUNTIFS(LdAParty,$P439,LdAType,1,LdAKey,"&lt;"&amp;$T439)+COUNTIFS(LdBMember,$P439,LdBKey,"&lt;"&amp;$T439)+COUNTIFS(LdCParty,$P439,LdCKey,"&lt;"&amp;$T439)+1)</f>
        <v/>
      </c>
      <c r="V439">
        <f>IF($U439="","",$P439&amp;"|"&amp;RIGHT("000000"&amp;$U439,6))</f>
        <v/>
      </c>
      <c r="W439">
        <f>IF($T439="","",COUNTIFS(LdBGroup,$R439,LdBKey,"&lt;"&amp;$T439)+1)</f>
        <v/>
      </c>
      <c r="X439">
        <f>IF($W439="","",$R439&amp;"|"&amp;RIGHT("000000"&amp;$W439,6))</f>
        <v/>
      </c>
      <c r="Y439">
        <f>IF($P439="","",IF(Shares!$E442="",0,Shares!$E442))</f>
        <v/>
      </c>
      <c r="Z439">
        <f>IF($P439="","",Shares!$H442)</f>
        <v/>
      </c>
      <c r="AE439">
        <f>IF(OR(Sync!$S439="",Sync!$P439=""),"",Sync!$S439)</f>
        <v/>
      </c>
      <c r="AF439">
        <f>IF($AE439="","",IF(ISNUMBER(Sync!$P439),IF(AND(Sync!$P439&gt;=10000101,Sync!$P439&lt;=99991231),INT(Sync!$P439/10000),""),IFERROR(VALUE(TRIM(LEFT(Sync!$P439,FIND("/",Sync!$P439)-1))),"")))</f>
        <v/>
      </c>
      <c r="AG439">
        <f>IF(OR($AE439="",$AF439=""),"",IF(ISNUMBER(Sync!$P439),INT(MOD(Sync!$P439,10000)/100),IFERROR(VALUE(TRIM(LEFT(MID(Sync!$P439,FIND("/",Sync!$P439)+1,20),FIND("/",MID(Sync!$P439,FIND("/",Sync!$P439)+1,20))-1))),"")))</f>
        <v/>
      </c>
      <c r="AH439">
        <f>IF(OR($AE439="",$AF439=""),"",IF(ISNUMBER(Sync!$P439),MOD(Sync!$P439,100),IFERROR(VALUE(TRIM(MID(MID(Sync!$P439,FIND("/",Sync!$P439)+1,20),FIND("/",MID(Sync!$P439,FIND("/",Sync!$P439)+1,20))+1,20))),"")))</f>
        <v/>
      </c>
      <c r="AI439">
        <f>IF($AE439="","",IF(OR($AF439="",$AG439="",$AH439="",$AF439&lt;1300,$AF439&gt;1500,$AG439&lt;1,$AG439&gt;12,$AH439&lt;1,$AH439&gt;31),"نامعتبر",RIGHT("0000"&amp;$AF439,4)&amp;"/"&amp;RIGHT("00"&amp;$AG439,2)&amp;"/"&amp;RIGHT("00"&amp;$AH439,2)))</f>
        <v/>
      </c>
      <c r="AJ439">
        <f>IF($AE439="","",IF(Sync!$Q439="","0000",IF(AND(ISNUMBER(Sync!$Q439),Sync!$Q439&gt;=0,Sync!$Q439&lt;1),RIGHT("00"&amp;HOUR(Sync!$Q439),2)&amp;RIGHT("00"&amp;MINUTE(Sync!$Q439),2),IFERROR(RIGHT("00"&amp;VALUE(LEFT(Sync!$Q439,FIND(":",Sync!$Q439)-1)),2)&amp;RIGHT("00"&amp;VALUE(MID(Sync!$Q439,FIND(":",Sync!$Q439)+1,2)),2),"0000"))))</f>
        <v/>
      </c>
      <c r="AK439">
        <f>IF(OR($AE439="",$AI439="",$AI439="نامعتبر"),"",LEFT($AI439,4)&amp;MID($AI439,6,2)&amp;RIGHT($AI439,2)&amp;$AJ439&amp;"|"&amp;"3"&amp;RIGHT("00000"&amp;434,5))</f>
        <v/>
      </c>
      <c r="AL439">
        <f>IF($AK439="","",COUNTIFS(LdAParty,$AE439,LdAType,1,LdAKey,"&lt;"&amp;$AK439)+COUNTIFS(LdBMember,$AE439,LdBKey,"&lt;"&amp;$AK439)+COUNTIFS(LdCParty,$AE439,LdCKey,"&lt;"&amp;$AK439)+1)</f>
        <v/>
      </c>
      <c r="AM439">
        <f>IF($AL439="","",$AE439&amp;"|"&amp;RIGHT("000000"&amp;$AL439,6))</f>
        <v/>
      </c>
      <c r="AN439">
        <f>IF($AE439="","",IF(Sync!$W439="",0,Sync!$W439))</f>
        <v/>
      </c>
      <c r="AO439">
        <f>IF($AE439="","",IF(Sync!$X439="",0,Sync!$X439))</f>
        <v/>
      </c>
      <c r="AP439">
        <f>IF($AE439="","",Sync!$R439)</f>
        <v/>
      </c>
      <c r="AQ439">
        <f>IF($AE439="","",Sync!$Y439)</f>
        <v/>
      </c>
    </row>
    <row r="440">
      <c r="A440">
        <f>IF(OR(Wages!$B443="",Wages!$E443=""),"",Wages!$E443)</f>
        <v/>
      </c>
      <c r="B440">
        <f>IF($A440="","",IF(Wages!$C443="دستمزد گروهی",2,1))</f>
        <v/>
      </c>
      <c r="C440">
        <f>IF($A440="","",IF(ISNUMBER(Wages!$B443),IF(AND(Wages!$B443&gt;=10000101,Wages!$B443&lt;=99991231),INT(Wages!$B443/10000),""),IFERROR(VALUE(TRIM(LEFT(Wages!$B443,FIND("/",Wages!$B443)-1))),"")))</f>
        <v/>
      </c>
      <c r="D440">
        <f>IF(OR($A440="",$C440=""),"",IF(ISNUMBER(Wages!$B443),INT(MOD(Wages!$B443,10000)/100),IFERROR(VALUE(TRIM(LEFT(MID(Wages!$B443,FIND("/",Wages!$B443)+1,20),FIND("/",MID(Wages!$B443,FIND("/",Wages!$B443)+1,20))-1))),"")))</f>
        <v/>
      </c>
      <c r="E440">
        <f>IF(OR($A440="",$C440=""),"",IF(ISNUMBER(Wages!$B443),MOD(Wages!$B443,100),IFERROR(VALUE(TRIM(MID(MID(Wages!$B443,FIND("/",Wages!$B443)+1,20),FIND("/",MID(Wages!$B443,FIND("/",Wages!$B443)+1,20))+1,20))),"")))</f>
        <v/>
      </c>
      <c r="F440">
        <f>IF($A440="","",IF(OR($C440="",$D440="",$E440="",$C440&lt;1300,$C440&gt;1500,$D440&lt;1,$D440&gt;12,$E440&lt;1,$E440&gt;31),"نامعتبر",RIGHT("0000"&amp;$C440,4)&amp;"/"&amp;RIGHT("00"&amp;$D440,2)&amp;"/"&amp;RIGHT("00"&amp;$E440,2)))</f>
        <v/>
      </c>
      <c r="G440">
        <f>IF(OR($A440="",$F440="",$F440="نامعتبر"),"",LEFT($F440,4)&amp;MID($F440,6,2)&amp;RIGHT($F440,2)&amp;"0000"&amp;"|"&amp;"1"&amp;RIGHT("00000"&amp;435,5))</f>
        <v/>
      </c>
      <c r="H440">
        <f>IF(OR($B440&lt;&gt;1,$G440=""),"",COUNTIFS(LdAParty,$A440,LdAType,1,LdAKey,"&lt;"&amp;$G440)+COUNTIFS(LdBMember,$A440,LdBKey,"&lt;"&amp;$G440)+COUNTIFS(LdCParty,$A440,LdCKey,"&lt;"&amp;$G440)+1)</f>
        <v/>
      </c>
      <c r="I440">
        <f>IF($H440="","",$A440&amp;"|"&amp;RIGHT("000000"&amp;$H440,6))</f>
        <v/>
      </c>
      <c r="J440">
        <f>IF(OR($B440&lt;&gt;2,$G440=""),"",COUNTIFS(LdAParty,$A440,LdAType,2,LdAKey,"&lt;"&amp;$G440)+1)</f>
        <v/>
      </c>
      <c r="K440">
        <f>IF($J440="","",$A440&amp;"|"&amp;RIGHT("000000"&amp;$J440,6))</f>
        <v/>
      </c>
      <c r="L440">
        <f>IF($A440="","",IF(Wages!$G443="",0,Wages!$G443))</f>
        <v/>
      </c>
      <c r="M440">
        <f>IF($A440="","",Wages!$J443)</f>
        <v/>
      </c>
      <c r="N440">
        <f>IF($A440="","",Wages!$D443)</f>
        <v/>
      </c>
      <c r="P440">
        <f>IF(OR(Shares!$B443="",Shares!$C443=""),"",Shares!$C443)</f>
        <v/>
      </c>
      <c r="Q440">
        <f>IF($P440="","",Shares!$B443)</f>
        <v/>
      </c>
      <c r="R440">
        <f>IF($P440="","",IFERROR(INDEX(WageParty,MATCH($Q440,WageIds,0)),""))</f>
        <v/>
      </c>
      <c r="S440">
        <f>IF($P440="","",IFERROR(INDEX($F$6:$F$2005,MATCH($Q440,WageIds,0)),""))</f>
        <v/>
      </c>
      <c r="T440">
        <f>IF(OR($P440="",$S440="",$S440="نامعتبر"),"",LEFT($S440,4)&amp;MID($S440,6,2)&amp;RIGHT($S440,2)&amp;"0000"&amp;"|"&amp;"2"&amp;RIGHT("00000"&amp;435,5))</f>
        <v/>
      </c>
      <c r="U440">
        <f>IF($T440="","",COUNTIFS(LdAParty,$P440,LdAType,1,LdAKey,"&lt;"&amp;$T440)+COUNTIFS(LdBMember,$P440,LdBKey,"&lt;"&amp;$T440)+COUNTIFS(LdCParty,$P440,LdCKey,"&lt;"&amp;$T440)+1)</f>
        <v/>
      </c>
      <c r="V440">
        <f>IF($U440="","",$P440&amp;"|"&amp;RIGHT("000000"&amp;$U440,6))</f>
        <v/>
      </c>
      <c r="W440">
        <f>IF($T440="","",COUNTIFS(LdBGroup,$R440,LdBKey,"&lt;"&amp;$T440)+1)</f>
        <v/>
      </c>
      <c r="X440">
        <f>IF($W440="","",$R440&amp;"|"&amp;RIGHT("000000"&amp;$W440,6))</f>
        <v/>
      </c>
      <c r="Y440">
        <f>IF($P440="","",IF(Shares!$E443="",0,Shares!$E443))</f>
        <v/>
      </c>
      <c r="Z440">
        <f>IF($P440="","",Shares!$H443)</f>
        <v/>
      </c>
      <c r="AE440">
        <f>IF(OR(Sync!$S440="",Sync!$P440=""),"",Sync!$S440)</f>
        <v/>
      </c>
      <c r="AF440">
        <f>IF($AE440="","",IF(ISNUMBER(Sync!$P440),IF(AND(Sync!$P440&gt;=10000101,Sync!$P440&lt;=99991231),INT(Sync!$P440/10000),""),IFERROR(VALUE(TRIM(LEFT(Sync!$P440,FIND("/",Sync!$P440)-1))),"")))</f>
        <v/>
      </c>
      <c r="AG440">
        <f>IF(OR($AE440="",$AF440=""),"",IF(ISNUMBER(Sync!$P440),INT(MOD(Sync!$P440,10000)/100),IFERROR(VALUE(TRIM(LEFT(MID(Sync!$P440,FIND("/",Sync!$P440)+1,20),FIND("/",MID(Sync!$P440,FIND("/",Sync!$P440)+1,20))-1))),"")))</f>
        <v/>
      </c>
      <c r="AH440">
        <f>IF(OR($AE440="",$AF440=""),"",IF(ISNUMBER(Sync!$P440),MOD(Sync!$P440,100),IFERROR(VALUE(TRIM(MID(MID(Sync!$P440,FIND("/",Sync!$P440)+1,20),FIND("/",MID(Sync!$P440,FIND("/",Sync!$P440)+1,20))+1,20))),"")))</f>
        <v/>
      </c>
      <c r="AI440">
        <f>IF($AE440="","",IF(OR($AF440="",$AG440="",$AH440="",$AF440&lt;1300,$AF440&gt;1500,$AG440&lt;1,$AG440&gt;12,$AH440&lt;1,$AH440&gt;31),"نامعتبر",RIGHT("0000"&amp;$AF440,4)&amp;"/"&amp;RIGHT("00"&amp;$AG440,2)&amp;"/"&amp;RIGHT("00"&amp;$AH440,2)))</f>
        <v/>
      </c>
      <c r="AJ440">
        <f>IF($AE440="","",IF(Sync!$Q440="","0000",IF(AND(ISNUMBER(Sync!$Q440),Sync!$Q440&gt;=0,Sync!$Q440&lt;1),RIGHT("00"&amp;HOUR(Sync!$Q440),2)&amp;RIGHT("00"&amp;MINUTE(Sync!$Q440),2),IFERROR(RIGHT("00"&amp;VALUE(LEFT(Sync!$Q440,FIND(":",Sync!$Q440)-1)),2)&amp;RIGHT("00"&amp;VALUE(MID(Sync!$Q440,FIND(":",Sync!$Q440)+1,2)),2),"0000"))))</f>
        <v/>
      </c>
      <c r="AK440">
        <f>IF(OR($AE440="",$AI440="",$AI440="نامعتبر"),"",LEFT($AI440,4)&amp;MID($AI440,6,2)&amp;RIGHT($AI440,2)&amp;$AJ440&amp;"|"&amp;"3"&amp;RIGHT("00000"&amp;435,5))</f>
        <v/>
      </c>
      <c r="AL440">
        <f>IF($AK440="","",COUNTIFS(LdAParty,$AE440,LdAType,1,LdAKey,"&lt;"&amp;$AK440)+COUNTIFS(LdBMember,$AE440,LdBKey,"&lt;"&amp;$AK440)+COUNTIFS(LdCParty,$AE440,LdCKey,"&lt;"&amp;$AK440)+1)</f>
        <v/>
      </c>
      <c r="AM440">
        <f>IF($AL440="","",$AE440&amp;"|"&amp;RIGHT("000000"&amp;$AL440,6))</f>
        <v/>
      </c>
      <c r="AN440">
        <f>IF($AE440="","",IF(Sync!$W440="",0,Sync!$W440))</f>
        <v/>
      </c>
      <c r="AO440">
        <f>IF($AE440="","",IF(Sync!$X440="",0,Sync!$X440))</f>
        <v/>
      </c>
      <c r="AP440">
        <f>IF($AE440="","",Sync!$R440)</f>
        <v/>
      </c>
      <c r="AQ440">
        <f>IF($AE440="","",Sync!$Y440)</f>
        <v/>
      </c>
    </row>
    <row r="441">
      <c r="A441">
        <f>IF(OR(Wages!$B444="",Wages!$E444=""),"",Wages!$E444)</f>
        <v/>
      </c>
      <c r="B441">
        <f>IF($A441="","",IF(Wages!$C444="دستمزد گروهی",2,1))</f>
        <v/>
      </c>
      <c r="C441">
        <f>IF($A441="","",IF(ISNUMBER(Wages!$B444),IF(AND(Wages!$B444&gt;=10000101,Wages!$B444&lt;=99991231),INT(Wages!$B444/10000),""),IFERROR(VALUE(TRIM(LEFT(Wages!$B444,FIND("/",Wages!$B444)-1))),"")))</f>
        <v/>
      </c>
      <c r="D441">
        <f>IF(OR($A441="",$C441=""),"",IF(ISNUMBER(Wages!$B444),INT(MOD(Wages!$B444,10000)/100),IFERROR(VALUE(TRIM(LEFT(MID(Wages!$B444,FIND("/",Wages!$B444)+1,20),FIND("/",MID(Wages!$B444,FIND("/",Wages!$B444)+1,20))-1))),"")))</f>
        <v/>
      </c>
      <c r="E441">
        <f>IF(OR($A441="",$C441=""),"",IF(ISNUMBER(Wages!$B444),MOD(Wages!$B444,100),IFERROR(VALUE(TRIM(MID(MID(Wages!$B444,FIND("/",Wages!$B444)+1,20),FIND("/",MID(Wages!$B444,FIND("/",Wages!$B444)+1,20))+1,20))),"")))</f>
        <v/>
      </c>
      <c r="F441">
        <f>IF($A441="","",IF(OR($C441="",$D441="",$E441="",$C441&lt;1300,$C441&gt;1500,$D441&lt;1,$D441&gt;12,$E441&lt;1,$E441&gt;31),"نامعتبر",RIGHT("0000"&amp;$C441,4)&amp;"/"&amp;RIGHT("00"&amp;$D441,2)&amp;"/"&amp;RIGHT("00"&amp;$E441,2)))</f>
        <v/>
      </c>
      <c r="G441">
        <f>IF(OR($A441="",$F441="",$F441="نامعتبر"),"",LEFT($F441,4)&amp;MID($F441,6,2)&amp;RIGHT($F441,2)&amp;"0000"&amp;"|"&amp;"1"&amp;RIGHT("00000"&amp;436,5))</f>
        <v/>
      </c>
      <c r="H441">
        <f>IF(OR($B441&lt;&gt;1,$G441=""),"",COUNTIFS(LdAParty,$A441,LdAType,1,LdAKey,"&lt;"&amp;$G441)+COUNTIFS(LdBMember,$A441,LdBKey,"&lt;"&amp;$G441)+COUNTIFS(LdCParty,$A441,LdCKey,"&lt;"&amp;$G441)+1)</f>
        <v/>
      </c>
      <c r="I441">
        <f>IF($H441="","",$A441&amp;"|"&amp;RIGHT("000000"&amp;$H441,6))</f>
        <v/>
      </c>
      <c r="J441">
        <f>IF(OR($B441&lt;&gt;2,$G441=""),"",COUNTIFS(LdAParty,$A441,LdAType,2,LdAKey,"&lt;"&amp;$G441)+1)</f>
        <v/>
      </c>
      <c r="K441">
        <f>IF($J441="","",$A441&amp;"|"&amp;RIGHT("000000"&amp;$J441,6))</f>
        <v/>
      </c>
      <c r="L441">
        <f>IF($A441="","",IF(Wages!$G444="",0,Wages!$G444))</f>
        <v/>
      </c>
      <c r="M441">
        <f>IF($A441="","",Wages!$J444)</f>
        <v/>
      </c>
      <c r="N441">
        <f>IF($A441="","",Wages!$D444)</f>
        <v/>
      </c>
      <c r="P441">
        <f>IF(OR(Shares!$B444="",Shares!$C444=""),"",Shares!$C444)</f>
        <v/>
      </c>
      <c r="Q441">
        <f>IF($P441="","",Shares!$B444)</f>
        <v/>
      </c>
      <c r="R441">
        <f>IF($P441="","",IFERROR(INDEX(WageParty,MATCH($Q441,WageIds,0)),""))</f>
        <v/>
      </c>
      <c r="S441">
        <f>IF($P441="","",IFERROR(INDEX($F$6:$F$2005,MATCH($Q441,WageIds,0)),""))</f>
        <v/>
      </c>
      <c r="T441">
        <f>IF(OR($P441="",$S441="",$S441="نامعتبر"),"",LEFT($S441,4)&amp;MID($S441,6,2)&amp;RIGHT($S441,2)&amp;"0000"&amp;"|"&amp;"2"&amp;RIGHT("00000"&amp;436,5))</f>
        <v/>
      </c>
      <c r="U441">
        <f>IF($T441="","",COUNTIFS(LdAParty,$P441,LdAType,1,LdAKey,"&lt;"&amp;$T441)+COUNTIFS(LdBMember,$P441,LdBKey,"&lt;"&amp;$T441)+COUNTIFS(LdCParty,$P441,LdCKey,"&lt;"&amp;$T441)+1)</f>
        <v/>
      </c>
      <c r="V441">
        <f>IF($U441="","",$P441&amp;"|"&amp;RIGHT("000000"&amp;$U441,6))</f>
        <v/>
      </c>
      <c r="W441">
        <f>IF($T441="","",COUNTIFS(LdBGroup,$R441,LdBKey,"&lt;"&amp;$T441)+1)</f>
        <v/>
      </c>
      <c r="X441">
        <f>IF($W441="","",$R441&amp;"|"&amp;RIGHT("000000"&amp;$W441,6))</f>
        <v/>
      </c>
      <c r="Y441">
        <f>IF($P441="","",IF(Shares!$E444="",0,Shares!$E444))</f>
        <v/>
      </c>
      <c r="Z441">
        <f>IF($P441="","",Shares!$H444)</f>
        <v/>
      </c>
      <c r="AE441">
        <f>IF(OR(Sync!$S441="",Sync!$P441=""),"",Sync!$S441)</f>
        <v/>
      </c>
      <c r="AF441">
        <f>IF($AE441="","",IF(ISNUMBER(Sync!$P441),IF(AND(Sync!$P441&gt;=10000101,Sync!$P441&lt;=99991231),INT(Sync!$P441/10000),""),IFERROR(VALUE(TRIM(LEFT(Sync!$P441,FIND("/",Sync!$P441)-1))),"")))</f>
        <v/>
      </c>
      <c r="AG441">
        <f>IF(OR($AE441="",$AF441=""),"",IF(ISNUMBER(Sync!$P441),INT(MOD(Sync!$P441,10000)/100),IFERROR(VALUE(TRIM(LEFT(MID(Sync!$P441,FIND("/",Sync!$P441)+1,20),FIND("/",MID(Sync!$P441,FIND("/",Sync!$P441)+1,20))-1))),"")))</f>
        <v/>
      </c>
      <c r="AH441">
        <f>IF(OR($AE441="",$AF441=""),"",IF(ISNUMBER(Sync!$P441),MOD(Sync!$P441,100),IFERROR(VALUE(TRIM(MID(MID(Sync!$P441,FIND("/",Sync!$P441)+1,20),FIND("/",MID(Sync!$P441,FIND("/",Sync!$P441)+1,20))+1,20))),"")))</f>
        <v/>
      </c>
      <c r="AI441">
        <f>IF($AE441="","",IF(OR($AF441="",$AG441="",$AH441="",$AF441&lt;1300,$AF441&gt;1500,$AG441&lt;1,$AG441&gt;12,$AH441&lt;1,$AH441&gt;31),"نامعتبر",RIGHT("0000"&amp;$AF441,4)&amp;"/"&amp;RIGHT("00"&amp;$AG441,2)&amp;"/"&amp;RIGHT("00"&amp;$AH441,2)))</f>
        <v/>
      </c>
      <c r="AJ441">
        <f>IF($AE441="","",IF(Sync!$Q441="","0000",IF(AND(ISNUMBER(Sync!$Q441),Sync!$Q441&gt;=0,Sync!$Q441&lt;1),RIGHT("00"&amp;HOUR(Sync!$Q441),2)&amp;RIGHT("00"&amp;MINUTE(Sync!$Q441),2),IFERROR(RIGHT("00"&amp;VALUE(LEFT(Sync!$Q441,FIND(":",Sync!$Q441)-1)),2)&amp;RIGHT("00"&amp;VALUE(MID(Sync!$Q441,FIND(":",Sync!$Q441)+1,2)),2),"0000"))))</f>
        <v/>
      </c>
      <c r="AK441">
        <f>IF(OR($AE441="",$AI441="",$AI441="نامعتبر"),"",LEFT($AI441,4)&amp;MID($AI441,6,2)&amp;RIGHT($AI441,2)&amp;$AJ441&amp;"|"&amp;"3"&amp;RIGHT("00000"&amp;436,5))</f>
        <v/>
      </c>
      <c r="AL441">
        <f>IF($AK441="","",COUNTIFS(LdAParty,$AE441,LdAType,1,LdAKey,"&lt;"&amp;$AK441)+COUNTIFS(LdBMember,$AE441,LdBKey,"&lt;"&amp;$AK441)+COUNTIFS(LdCParty,$AE441,LdCKey,"&lt;"&amp;$AK441)+1)</f>
        <v/>
      </c>
      <c r="AM441">
        <f>IF($AL441="","",$AE441&amp;"|"&amp;RIGHT("000000"&amp;$AL441,6))</f>
        <v/>
      </c>
      <c r="AN441">
        <f>IF($AE441="","",IF(Sync!$W441="",0,Sync!$W441))</f>
        <v/>
      </c>
      <c r="AO441">
        <f>IF($AE441="","",IF(Sync!$X441="",0,Sync!$X441))</f>
        <v/>
      </c>
      <c r="AP441">
        <f>IF($AE441="","",Sync!$R441)</f>
        <v/>
      </c>
      <c r="AQ441">
        <f>IF($AE441="","",Sync!$Y441)</f>
        <v/>
      </c>
    </row>
    <row r="442">
      <c r="A442">
        <f>IF(OR(Wages!$B445="",Wages!$E445=""),"",Wages!$E445)</f>
        <v/>
      </c>
      <c r="B442">
        <f>IF($A442="","",IF(Wages!$C445="دستمزد گروهی",2,1))</f>
        <v/>
      </c>
      <c r="C442">
        <f>IF($A442="","",IF(ISNUMBER(Wages!$B445),IF(AND(Wages!$B445&gt;=10000101,Wages!$B445&lt;=99991231),INT(Wages!$B445/10000),""),IFERROR(VALUE(TRIM(LEFT(Wages!$B445,FIND("/",Wages!$B445)-1))),"")))</f>
        <v/>
      </c>
      <c r="D442">
        <f>IF(OR($A442="",$C442=""),"",IF(ISNUMBER(Wages!$B445),INT(MOD(Wages!$B445,10000)/100),IFERROR(VALUE(TRIM(LEFT(MID(Wages!$B445,FIND("/",Wages!$B445)+1,20),FIND("/",MID(Wages!$B445,FIND("/",Wages!$B445)+1,20))-1))),"")))</f>
        <v/>
      </c>
      <c r="E442">
        <f>IF(OR($A442="",$C442=""),"",IF(ISNUMBER(Wages!$B445),MOD(Wages!$B445,100),IFERROR(VALUE(TRIM(MID(MID(Wages!$B445,FIND("/",Wages!$B445)+1,20),FIND("/",MID(Wages!$B445,FIND("/",Wages!$B445)+1,20))+1,20))),"")))</f>
        <v/>
      </c>
      <c r="F442">
        <f>IF($A442="","",IF(OR($C442="",$D442="",$E442="",$C442&lt;1300,$C442&gt;1500,$D442&lt;1,$D442&gt;12,$E442&lt;1,$E442&gt;31),"نامعتبر",RIGHT("0000"&amp;$C442,4)&amp;"/"&amp;RIGHT("00"&amp;$D442,2)&amp;"/"&amp;RIGHT("00"&amp;$E442,2)))</f>
        <v/>
      </c>
      <c r="G442">
        <f>IF(OR($A442="",$F442="",$F442="نامعتبر"),"",LEFT($F442,4)&amp;MID($F442,6,2)&amp;RIGHT($F442,2)&amp;"0000"&amp;"|"&amp;"1"&amp;RIGHT("00000"&amp;437,5))</f>
        <v/>
      </c>
      <c r="H442">
        <f>IF(OR($B442&lt;&gt;1,$G442=""),"",COUNTIFS(LdAParty,$A442,LdAType,1,LdAKey,"&lt;"&amp;$G442)+COUNTIFS(LdBMember,$A442,LdBKey,"&lt;"&amp;$G442)+COUNTIFS(LdCParty,$A442,LdCKey,"&lt;"&amp;$G442)+1)</f>
        <v/>
      </c>
      <c r="I442">
        <f>IF($H442="","",$A442&amp;"|"&amp;RIGHT("000000"&amp;$H442,6))</f>
        <v/>
      </c>
      <c r="J442">
        <f>IF(OR($B442&lt;&gt;2,$G442=""),"",COUNTIFS(LdAParty,$A442,LdAType,2,LdAKey,"&lt;"&amp;$G442)+1)</f>
        <v/>
      </c>
      <c r="K442">
        <f>IF($J442="","",$A442&amp;"|"&amp;RIGHT("000000"&amp;$J442,6))</f>
        <v/>
      </c>
      <c r="L442">
        <f>IF($A442="","",IF(Wages!$G445="",0,Wages!$G445))</f>
        <v/>
      </c>
      <c r="M442">
        <f>IF($A442="","",Wages!$J445)</f>
        <v/>
      </c>
      <c r="N442">
        <f>IF($A442="","",Wages!$D445)</f>
        <v/>
      </c>
      <c r="P442">
        <f>IF(OR(Shares!$B445="",Shares!$C445=""),"",Shares!$C445)</f>
        <v/>
      </c>
      <c r="Q442">
        <f>IF($P442="","",Shares!$B445)</f>
        <v/>
      </c>
      <c r="R442">
        <f>IF($P442="","",IFERROR(INDEX(WageParty,MATCH($Q442,WageIds,0)),""))</f>
        <v/>
      </c>
      <c r="S442">
        <f>IF($P442="","",IFERROR(INDEX($F$6:$F$2005,MATCH($Q442,WageIds,0)),""))</f>
        <v/>
      </c>
      <c r="T442">
        <f>IF(OR($P442="",$S442="",$S442="نامعتبر"),"",LEFT($S442,4)&amp;MID($S442,6,2)&amp;RIGHT($S442,2)&amp;"0000"&amp;"|"&amp;"2"&amp;RIGHT("00000"&amp;437,5))</f>
        <v/>
      </c>
      <c r="U442">
        <f>IF($T442="","",COUNTIFS(LdAParty,$P442,LdAType,1,LdAKey,"&lt;"&amp;$T442)+COUNTIFS(LdBMember,$P442,LdBKey,"&lt;"&amp;$T442)+COUNTIFS(LdCParty,$P442,LdCKey,"&lt;"&amp;$T442)+1)</f>
        <v/>
      </c>
      <c r="V442">
        <f>IF($U442="","",$P442&amp;"|"&amp;RIGHT("000000"&amp;$U442,6))</f>
        <v/>
      </c>
      <c r="W442">
        <f>IF($T442="","",COUNTIFS(LdBGroup,$R442,LdBKey,"&lt;"&amp;$T442)+1)</f>
        <v/>
      </c>
      <c r="X442">
        <f>IF($W442="","",$R442&amp;"|"&amp;RIGHT("000000"&amp;$W442,6))</f>
        <v/>
      </c>
      <c r="Y442">
        <f>IF($P442="","",IF(Shares!$E445="",0,Shares!$E445))</f>
        <v/>
      </c>
      <c r="Z442">
        <f>IF($P442="","",Shares!$H445)</f>
        <v/>
      </c>
      <c r="AE442">
        <f>IF(OR(Sync!$S442="",Sync!$P442=""),"",Sync!$S442)</f>
        <v/>
      </c>
      <c r="AF442">
        <f>IF($AE442="","",IF(ISNUMBER(Sync!$P442),IF(AND(Sync!$P442&gt;=10000101,Sync!$P442&lt;=99991231),INT(Sync!$P442/10000),""),IFERROR(VALUE(TRIM(LEFT(Sync!$P442,FIND("/",Sync!$P442)-1))),"")))</f>
        <v/>
      </c>
      <c r="AG442">
        <f>IF(OR($AE442="",$AF442=""),"",IF(ISNUMBER(Sync!$P442),INT(MOD(Sync!$P442,10000)/100),IFERROR(VALUE(TRIM(LEFT(MID(Sync!$P442,FIND("/",Sync!$P442)+1,20),FIND("/",MID(Sync!$P442,FIND("/",Sync!$P442)+1,20))-1))),"")))</f>
        <v/>
      </c>
      <c r="AH442">
        <f>IF(OR($AE442="",$AF442=""),"",IF(ISNUMBER(Sync!$P442),MOD(Sync!$P442,100),IFERROR(VALUE(TRIM(MID(MID(Sync!$P442,FIND("/",Sync!$P442)+1,20),FIND("/",MID(Sync!$P442,FIND("/",Sync!$P442)+1,20))+1,20))),"")))</f>
        <v/>
      </c>
      <c r="AI442">
        <f>IF($AE442="","",IF(OR($AF442="",$AG442="",$AH442="",$AF442&lt;1300,$AF442&gt;1500,$AG442&lt;1,$AG442&gt;12,$AH442&lt;1,$AH442&gt;31),"نامعتبر",RIGHT("0000"&amp;$AF442,4)&amp;"/"&amp;RIGHT("00"&amp;$AG442,2)&amp;"/"&amp;RIGHT("00"&amp;$AH442,2)))</f>
        <v/>
      </c>
      <c r="AJ442">
        <f>IF($AE442="","",IF(Sync!$Q442="","0000",IF(AND(ISNUMBER(Sync!$Q442),Sync!$Q442&gt;=0,Sync!$Q442&lt;1),RIGHT("00"&amp;HOUR(Sync!$Q442),2)&amp;RIGHT("00"&amp;MINUTE(Sync!$Q442),2),IFERROR(RIGHT("00"&amp;VALUE(LEFT(Sync!$Q442,FIND(":",Sync!$Q442)-1)),2)&amp;RIGHT("00"&amp;VALUE(MID(Sync!$Q442,FIND(":",Sync!$Q442)+1,2)),2),"0000"))))</f>
        <v/>
      </c>
      <c r="AK442">
        <f>IF(OR($AE442="",$AI442="",$AI442="نامعتبر"),"",LEFT($AI442,4)&amp;MID($AI442,6,2)&amp;RIGHT($AI442,2)&amp;$AJ442&amp;"|"&amp;"3"&amp;RIGHT("00000"&amp;437,5))</f>
        <v/>
      </c>
      <c r="AL442">
        <f>IF($AK442="","",COUNTIFS(LdAParty,$AE442,LdAType,1,LdAKey,"&lt;"&amp;$AK442)+COUNTIFS(LdBMember,$AE442,LdBKey,"&lt;"&amp;$AK442)+COUNTIFS(LdCParty,$AE442,LdCKey,"&lt;"&amp;$AK442)+1)</f>
        <v/>
      </c>
      <c r="AM442">
        <f>IF($AL442="","",$AE442&amp;"|"&amp;RIGHT("000000"&amp;$AL442,6))</f>
        <v/>
      </c>
      <c r="AN442">
        <f>IF($AE442="","",IF(Sync!$W442="",0,Sync!$W442))</f>
        <v/>
      </c>
      <c r="AO442">
        <f>IF($AE442="","",IF(Sync!$X442="",0,Sync!$X442))</f>
        <v/>
      </c>
      <c r="AP442">
        <f>IF($AE442="","",Sync!$R442)</f>
        <v/>
      </c>
      <c r="AQ442">
        <f>IF($AE442="","",Sync!$Y442)</f>
        <v/>
      </c>
    </row>
    <row r="443">
      <c r="A443">
        <f>IF(OR(Wages!$B446="",Wages!$E446=""),"",Wages!$E446)</f>
        <v/>
      </c>
      <c r="B443">
        <f>IF($A443="","",IF(Wages!$C446="دستمزد گروهی",2,1))</f>
        <v/>
      </c>
      <c r="C443">
        <f>IF($A443="","",IF(ISNUMBER(Wages!$B446),IF(AND(Wages!$B446&gt;=10000101,Wages!$B446&lt;=99991231),INT(Wages!$B446/10000),""),IFERROR(VALUE(TRIM(LEFT(Wages!$B446,FIND("/",Wages!$B446)-1))),"")))</f>
        <v/>
      </c>
      <c r="D443">
        <f>IF(OR($A443="",$C443=""),"",IF(ISNUMBER(Wages!$B446),INT(MOD(Wages!$B446,10000)/100),IFERROR(VALUE(TRIM(LEFT(MID(Wages!$B446,FIND("/",Wages!$B446)+1,20),FIND("/",MID(Wages!$B446,FIND("/",Wages!$B446)+1,20))-1))),"")))</f>
        <v/>
      </c>
      <c r="E443">
        <f>IF(OR($A443="",$C443=""),"",IF(ISNUMBER(Wages!$B446),MOD(Wages!$B446,100),IFERROR(VALUE(TRIM(MID(MID(Wages!$B446,FIND("/",Wages!$B446)+1,20),FIND("/",MID(Wages!$B446,FIND("/",Wages!$B446)+1,20))+1,20))),"")))</f>
        <v/>
      </c>
      <c r="F443">
        <f>IF($A443="","",IF(OR($C443="",$D443="",$E443="",$C443&lt;1300,$C443&gt;1500,$D443&lt;1,$D443&gt;12,$E443&lt;1,$E443&gt;31),"نامعتبر",RIGHT("0000"&amp;$C443,4)&amp;"/"&amp;RIGHT("00"&amp;$D443,2)&amp;"/"&amp;RIGHT("00"&amp;$E443,2)))</f>
        <v/>
      </c>
      <c r="G443">
        <f>IF(OR($A443="",$F443="",$F443="نامعتبر"),"",LEFT($F443,4)&amp;MID($F443,6,2)&amp;RIGHT($F443,2)&amp;"0000"&amp;"|"&amp;"1"&amp;RIGHT("00000"&amp;438,5))</f>
        <v/>
      </c>
      <c r="H443">
        <f>IF(OR($B443&lt;&gt;1,$G443=""),"",COUNTIFS(LdAParty,$A443,LdAType,1,LdAKey,"&lt;"&amp;$G443)+COUNTIFS(LdBMember,$A443,LdBKey,"&lt;"&amp;$G443)+COUNTIFS(LdCParty,$A443,LdCKey,"&lt;"&amp;$G443)+1)</f>
        <v/>
      </c>
      <c r="I443">
        <f>IF($H443="","",$A443&amp;"|"&amp;RIGHT("000000"&amp;$H443,6))</f>
        <v/>
      </c>
      <c r="J443">
        <f>IF(OR($B443&lt;&gt;2,$G443=""),"",COUNTIFS(LdAParty,$A443,LdAType,2,LdAKey,"&lt;"&amp;$G443)+1)</f>
        <v/>
      </c>
      <c r="K443">
        <f>IF($J443="","",$A443&amp;"|"&amp;RIGHT("000000"&amp;$J443,6))</f>
        <v/>
      </c>
      <c r="L443">
        <f>IF($A443="","",IF(Wages!$G446="",0,Wages!$G446))</f>
        <v/>
      </c>
      <c r="M443">
        <f>IF($A443="","",Wages!$J446)</f>
        <v/>
      </c>
      <c r="N443">
        <f>IF($A443="","",Wages!$D446)</f>
        <v/>
      </c>
      <c r="P443">
        <f>IF(OR(Shares!$B446="",Shares!$C446=""),"",Shares!$C446)</f>
        <v/>
      </c>
      <c r="Q443">
        <f>IF($P443="","",Shares!$B446)</f>
        <v/>
      </c>
      <c r="R443">
        <f>IF($P443="","",IFERROR(INDEX(WageParty,MATCH($Q443,WageIds,0)),""))</f>
        <v/>
      </c>
      <c r="S443">
        <f>IF($P443="","",IFERROR(INDEX($F$6:$F$2005,MATCH($Q443,WageIds,0)),""))</f>
        <v/>
      </c>
      <c r="T443">
        <f>IF(OR($P443="",$S443="",$S443="نامعتبر"),"",LEFT($S443,4)&amp;MID($S443,6,2)&amp;RIGHT($S443,2)&amp;"0000"&amp;"|"&amp;"2"&amp;RIGHT("00000"&amp;438,5))</f>
        <v/>
      </c>
      <c r="U443">
        <f>IF($T443="","",COUNTIFS(LdAParty,$P443,LdAType,1,LdAKey,"&lt;"&amp;$T443)+COUNTIFS(LdBMember,$P443,LdBKey,"&lt;"&amp;$T443)+COUNTIFS(LdCParty,$P443,LdCKey,"&lt;"&amp;$T443)+1)</f>
        <v/>
      </c>
      <c r="V443">
        <f>IF($U443="","",$P443&amp;"|"&amp;RIGHT("000000"&amp;$U443,6))</f>
        <v/>
      </c>
      <c r="W443">
        <f>IF($T443="","",COUNTIFS(LdBGroup,$R443,LdBKey,"&lt;"&amp;$T443)+1)</f>
        <v/>
      </c>
      <c r="X443">
        <f>IF($W443="","",$R443&amp;"|"&amp;RIGHT("000000"&amp;$W443,6))</f>
        <v/>
      </c>
      <c r="Y443">
        <f>IF($P443="","",IF(Shares!$E446="",0,Shares!$E446))</f>
        <v/>
      </c>
      <c r="Z443">
        <f>IF($P443="","",Shares!$H446)</f>
        <v/>
      </c>
      <c r="AE443">
        <f>IF(OR(Sync!$S443="",Sync!$P443=""),"",Sync!$S443)</f>
        <v/>
      </c>
      <c r="AF443">
        <f>IF($AE443="","",IF(ISNUMBER(Sync!$P443),IF(AND(Sync!$P443&gt;=10000101,Sync!$P443&lt;=99991231),INT(Sync!$P443/10000),""),IFERROR(VALUE(TRIM(LEFT(Sync!$P443,FIND("/",Sync!$P443)-1))),"")))</f>
        <v/>
      </c>
      <c r="AG443">
        <f>IF(OR($AE443="",$AF443=""),"",IF(ISNUMBER(Sync!$P443),INT(MOD(Sync!$P443,10000)/100),IFERROR(VALUE(TRIM(LEFT(MID(Sync!$P443,FIND("/",Sync!$P443)+1,20),FIND("/",MID(Sync!$P443,FIND("/",Sync!$P443)+1,20))-1))),"")))</f>
        <v/>
      </c>
      <c r="AH443">
        <f>IF(OR($AE443="",$AF443=""),"",IF(ISNUMBER(Sync!$P443),MOD(Sync!$P443,100),IFERROR(VALUE(TRIM(MID(MID(Sync!$P443,FIND("/",Sync!$P443)+1,20),FIND("/",MID(Sync!$P443,FIND("/",Sync!$P443)+1,20))+1,20))),"")))</f>
        <v/>
      </c>
      <c r="AI443">
        <f>IF($AE443="","",IF(OR($AF443="",$AG443="",$AH443="",$AF443&lt;1300,$AF443&gt;1500,$AG443&lt;1,$AG443&gt;12,$AH443&lt;1,$AH443&gt;31),"نامعتبر",RIGHT("0000"&amp;$AF443,4)&amp;"/"&amp;RIGHT("00"&amp;$AG443,2)&amp;"/"&amp;RIGHT("00"&amp;$AH443,2)))</f>
        <v/>
      </c>
      <c r="AJ443">
        <f>IF($AE443="","",IF(Sync!$Q443="","0000",IF(AND(ISNUMBER(Sync!$Q443),Sync!$Q443&gt;=0,Sync!$Q443&lt;1),RIGHT("00"&amp;HOUR(Sync!$Q443),2)&amp;RIGHT("00"&amp;MINUTE(Sync!$Q443),2),IFERROR(RIGHT("00"&amp;VALUE(LEFT(Sync!$Q443,FIND(":",Sync!$Q443)-1)),2)&amp;RIGHT("00"&amp;VALUE(MID(Sync!$Q443,FIND(":",Sync!$Q443)+1,2)),2),"0000"))))</f>
        <v/>
      </c>
      <c r="AK443">
        <f>IF(OR($AE443="",$AI443="",$AI443="نامعتبر"),"",LEFT($AI443,4)&amp;MID($AI443,6,2)&amp;RIGHT($AI443,2)&amp;$AJ443&amp;"|"&amp;"3"&amp;RIGHT("00000"&amp;438,5))</f>
        <v/>
      </c>
      <c r="AL443">
        <f>IF($AK443="","",COUNTIFS(LdAParty,$AE443,LdAType,1,LdAKey,"&lt;"&amp;$AK443)+COUNTIFS(LdBMember,$AE443,LdBKey,"&lt;"&amp;$AK443)+COUNTIFS(LdCParty,$AE443,LdCKey,"&lt;"&amp;$AK443)+1)</f>
        <v/>
      </c>
      <c r="AM443">
        <f>IF($AL443="","",$AE443&amp;"|"&amp;RIGHT("000000"&amp;$AL443,6))</f>
        <v/>
      </c>
      <c r="AN443">
        <f>IF($AE443="","",IF(Sync!$W443="",0,Sync!$W443))</f>
        <v/>
      </c>
      <c r="AO443">
        <f>IF($AE443="","",IF(Sync!$X443="",0,Sync!$X443))</f>
        <v/>
      </c>
      <c r="AP443">
        <f>IF($AE443="","",Sync!$R443)</f>
        <v/>
      </c>
      <c r="AQ443">
        <f>IF($AE443="","",Sync!$Y443)</f>
        <v/>
      </c>
    </row>
    <row r="444">
      <c r="A444">
        <f>IF(OR(Wages!$B447="",Wages!$E447=""),"",Wages!$E447)</f>
        <v/>
      </c>
      <c r="B444">
        <f>IF($A444="","",IF(Wages!$C447="دستمزد گروهی",2,1))</f>
        <v/>
      </c>
      <c r="C444">
        <f>IF($A444="","",IF(ISNUMBER(Wages!$B447),IF(AND(Wages!$B447&gt;=10000101,Wages!$B447&lt;=99991231),INT(Wages!$B447/10000),""),IFERROR(VALUE(TRIM(LEFT(Wages!$B447,FIND("/",Wages!$B447)-1))),"")))</f>
        <v/>
      </c>
      <c r="D444">
        <f>IF(OR($A444="",$C444=""),"",IF(ISNUMBER(Wages!$B447),INT(MOD(Wages!$B447,10000)/100),IFERROR(VALUE(TRIM(LEFT(MID(Wages!$B447,FIND("/",Wages!$B447)+1,20),FIND("/",MID(Wages!$B447,FIND("/",Wages!$B447)+1,20))-1))),"")))</f>
        <v/>
      </c>
      <c r="E444">
        <f>IF(OR($A444="",$C444=""),"",IF(ISNUMBER(Wages!$B447),MOD(Wages!$B447,100),IFERROR(VALUE(TRIM(MID(MID(Wages!$B447,FIND("/",Wages!$B447)+1,20),FIND("/",MID(Wages!$B447,FIND("/",Wages!$B447)+1,20))+1,20))),"")))</f>
        <v/>
      </c>
      <c r="F444">
        <f>IF($A444="","",IF(OR($C444="",$D444="",$E444="",$C444&lt;1300,$C444&gt;1500,$D444&lt;1,$D444&gt;12,$E444&lt;1,$E444&gt;31),"نامعتبر",RIGHT("0000"&amp;$C444,4)&amp;"/"&amp;RIGHT("00"&amp;$D444,2)&amp;"/"&amp;RIGHT("00"&amp;$E444,2)))</f>
        <v/>
      </c>
      <c r="G444">
        <f>IF(OR($A444="",$F444="",$F444="نامعتبر"),"",LEFT($F444,4)&amp;MID($F444,6,2)&amp;RIGHT($F444,2)&amp;"0000"&amp;"|"&amp;"1"&amp;RIGHT("00000"&amp;439,5))</f>
        <v/>
      </c>
      <c r="H444">
        <f>IF(OR($B444&lt;&gt;1,$G444=""),"",COUNTIFS(LdAParty,$A444,LdAType,1,LdAKey,"&lt;"&amp;$G444)+COUNTIFS(LdBMember,$A444,LdBKey,"&lt;"&amp;$G444)+COUNTIFS(LdCParty,$A444,LdCKey,"&lt;"&amp;$G444)+1)</f>
        <v/>
      </c>
      <c r="I444">
        <f>IF($H444="","",$A444&amp;"|"&amp;RIGHT("000000"&amp;$H444,6))</f>
        <v/>
      </c>
      <c r="J444">
        <f>IF(OR($B444&lt;&gt;2,$G444=""),"",COUNTIFS(LdAParty,$A444,LdAType,2,LdAKey,"&lt;"&amp;$G444)+1)</f>
        <v/>
      </c>
      <c r="K444">
        <f>IF($J444="","",$A444&amp;"|"&amp;RIGHT("000000"&amp;$J444,6))</f>
        <v/>
      </c>
      <c r="L444">
        <f>IF($A444="","",IF(Wages!$G447="",0,Wages!$G447))</f>
        <v/>
      </c>
      <c r="M444">
        <f>IF($A444="","",Wages!$J447)</f>
        <v/>
      </c>
      <c r="N444">
        <f>IF($A444="","",Wages!$D447)</f>
        <v/>
      </c>
      <c r="P444">
        <f>IF(OR(Shares!$B447="",Shares!$C447=""),"",Shares!$C447)</f>
        <v/>
      </c>
      <c r="Q444">
        <f>IF($P444="","",Shares!$B447)</f>
        <v/>
      </c>
      <c r="R444">
        <f>IF($P444="","",IFERROR(INDEX(WageParty,MATCH($Q444,WageIds,0)),""))</f>
        <v/>
      </c>
      <c r="S444">
        <f>IF($P444="","",IFERROR(INDEX($F$6:$F$2005,MATCH($Q444,WageIds,0)),""))</f>
        <v/>
      </c>
      <c r="T444">
        <f>IF(OR($P444="",$S444="",$S444="نامعتبر"),"",LEFT($S444,4)&amp;MID($S444,6,2)&amp;RIGHT($S444,2)&amp;"0000"&amp;"|"&amp;"2"&amp;RIGHT("00000"&amp;439,5))</f>
        <v/>
      </c>
      <c r="U444">
        <f>IF($T444="","",COUNTIFS(LdAParty,$P444,LdAType,1,LdAKey,"&lt;"&amp;$T444)+COUNTIFS(LdBMember,$P444,LdBKey,"&lt;"&amp;$T444)+COUNTIFS(LdCParty,$P444,LdCKey,"&lt;"&amp;$T444)+1)</f>
        <v/>
      </c>
      <c r="V444">
        <f>IF($U444="","",$P444&amp;"|"&amp;RIGHT("000000"&amp;$U444,6))</f>
        <v/>
      </c>
      <c r="W444">
        <f>IF($T444="","",COUNTIFS(LdBGroup,$R444,LdBKey,"&lt;"&amp;$T444)+1)</f>
        <v/>
      </c>
      <c r="X444">
        <f>IF($W444="","",$R444&amp;"|"&amp;RIGHT("000000"&amp;$W444,6))</f>
        <v/>
      </c>
      <c r="Y444">
        <f>IF($P444="","",IF(Shares!$E447="",0,Shares!$E447))</f>
        <v/>
      </c>
      <c r="Z444">
        <f>IF($P444="","",Shares!$H447)</f>
        <v/>
      </c>
      <c r="AE444">
        <f>IF(OR(Sync!$S444="",Sync!$P444=""),"",Sync!$S444)</f>
        <v/>
      </c>
      <c r="AF444">
        <f>IF($AE444="","",IF(ISNUMBER(Sync!$P444),IF(AND(Sync!$P444&gt;=10000101,Sync!$P444&lt;=99991231),INT(Sync!$P444/10000),""),IFERROR(VALUE(TRIM(LEFT(Sync!$P444,FIND("/",Sync!$P444)-1))),"")))</f>
        <v/>
      </c>
      <c r="AG444">
        <f>IF(OR($AE444="",$AF444=""),"",IF(ISNUMBER(Sync!$P444),INT(MOD(Sync!$P444,10000)/100),IFERROR(VALUE(TRIM(LEFT(MID(Sync!$P444,FIND("/",Sync!$P444)+1,20),FIND("/",MID(Sync!$P444,FIND("/",Sync!$P444)+1,20))-1))),"")))</f>
        <v/>
      </c>
      <c r="AH444">
        <f>IF(OR($AE444="",$AF444=""),"",IF(ISNUMBER(Sync!$P444),MOD(Sync!$P444,100),IFERROR(VALUE(TRIM(MID(MID(Sync!$P444,FIND("/",Sync!$P444)+1,20),FIND("/",MID(Sync!$P444,FIND("/",Sync!$P444)+1,20))+1,20))),"")))</f>
        <v/>
      </c>
      <c r="AI444">
        <f>IF($AE444="","",IF(OR($AF444="",$AG444="",$AH444="",$AF444&lt;1300,$AF444&gt;1500,$AG444&lt;1,$AG444&gt;12,$AH444&lt;1,$AH444&gt;31),"نامعتبر",RIGHT("0000"&amp;$AF444,4)&amp;"/"&amp;RIGHT("00"&amp;$AG444,2)&amp;"/"&amp;RIGHT("00"&amp;$AH444,2)))</f>
        <v/>
      </c>
      <c r="AJ444">
        <f>IF($AE444="","",IF(Sync!$Q444="","0000",IF(AND(ISNUMBER(Sync!$Q444),Sync!$Q444&gt;=0,Sync!$Q444&lt;1),RIGHT("00"&amp;HOUR(Sync!$Q444),2)&amp;RIGHT("00"&amp;MINUTE(Sync!$Q444),2),IFERROR(RIGHT("00"&amp;VALUE(LEFT(Sync!$Q444,FIND(":",Sync!$Q444)-1)),2)&amp;RIGHT("00"&amp;VALUE(MID(Sync!$Q444,FIND(":",Sync!$Q444)+1,2)),2),"0000"))))</f>
        <v/>
      </c>
      <c r="AK444">
        <f>IF(OR($AE444="",$AI444="",$AI444="نامعتبر"),"",LEFT($AI444,4)&amp;MID($AI444,6,2)&amp;RIGHT($AI444,2)&amp;$AJ444&amp;"|"&amp;"3"&amp;RIGHT("00000"&amp;439,5))</f>
        <v/>
      </c>
      <c r="AL444">
        <f>IF($AK444="","",COUNTIFS(LdAParty,$AE444,LdAType,1,LdAKey,"&lt;"&amp;$AK444)+COUNTIFS(LdBMember,$AE444,LdBKey,"&lt;"&amp;$AK444)+COUNTIFS(LdCParty,$AE444,LdCKey,"&lt;"&amp;$AK444)+1)</f>
        <v/>
      </c>
      <c r="AM444">
        <f>IF($AL444="","",$AE444&amp;"|"&amp;RIGHT("000000"&amp;$AL444,6))</f>
        <v/>
      </c>
      <c r="AN444">
        <f>IF($AE444="","",IF(Sync!$W444="",0,Sync!$W444))</f>
        <v/>
      </c>
      <c r="AO444">
        <f>IF($AE444="","",IF(Sync!$X444="",0,Sync!$X444))</f>
        <v/>
      </c>
      <c r="AP444">
        <f>IF($AE444="","",Sync!$R444)</f>
        <v/>
      </c>
      <c r="AQ444">
        <f>IF($AE444="","",Sync!$Y444)</f>
        <v/>
      </c>
    </row>
    <row r="445">
      <c r="A445">
        <f>IF(OR(Wages!$B448="",Wages!$E448=""),"",Wages!$E448)</f>
        <v/>
      </c>
      <c r="B445">
        <f>IF($A445="","",IF(Wages!$C448="دستمزد گروهی",2,1))</f>
        <v/>
      </c>
      <c r="C445">
        <f>IF($A445="","",IF(ISNUMBER(Wages!$B448),IF(AND(Wages!$B448&gt;=10000101,Wages!$B448&lt;=99991231),INT(Wages!$B448/10000),""),IFERROR(VALUE(TRIM(LEFT(Wages!$B448,FIND("/",Wages!$B448)-1))),"")))</f>
        <v/>
      </c>
      <c r="D445">
        <f>IF(OR($A445="",$C445=""),"",IF(ISNUMBER(Wages!$B448),INT(MOD(Wages!$B448,10000)/100),IFERROR(VALUE(TRIM(LEFT(MID(Wages!$B448,FIND("/",Wages!$B448)+1,20),FIND("/",MID(Wages!$B448,FIND("/",Wages!$B448)+1,20))-1))),"")))</f>
        <v/>
      </c>
      <c r="E445">
        <f>IF(OR($A445="",$C445=""),"",IF(ISNUMBER(Wages!$B448),MOD(Wages!$B448,100),IFERROR(VALUE(TRIM(MID(MID(Wages!$B448,FIND("/",Wages!$B448)+1,20),FIND("/",MID(Wages!$B448,FIND("/",Wages!$B448)+1,20))+1,20))),"")))</f>
        <v/>
      </c>
      <c r="F445">
        <f>IF($A445="","",IF(OR($C445="",$D445="",$E445="",$C445&lt;1300,$C445&gt;1500,$D445&lt;1,$D445&gt;12,$E445&lt;1,$E445&gt;31),"نامعتبر",RIGHT("0000"&amp;$C445,4)&amp;"/"&amp;RIGHT("00"&amp;$D445,2)&amp;"/"&amp;RIGHT("00"&amp;$E445,2)))</f>
        <v/>
      </c>
      <c r="G445">
        <f>IF(OR($A445="",$F445="",$F445="نامعتبر"),"",LEFT($F445,4)&amp;MID($F445,6,2)&amp;RIGHT($F445,2)&amp;"0000"&amp;"|"&amp;"1"&amp;RIGHT("00000"&amp;440,5))</f>
        <v/>
      </c>
      <c r="H445">
        <f>IF(OR($B445&lt;&gt;1,$G445=""),"",COUNTIFS(LdAParty,$A445,LdAType,1,LdAKey,"&lt;"&amp;$G445)+COUNTIFS(LdBMember,$A445,LdBKey,"&lt;"&amp;$G445)+COUNTIFS(LdCParty,$A445,LdCKey,"&lt;"&amp;$G445)+1)</f>
        <v/>
      </c>
      <c r="I445">
        <f>IF($H445="","",$A445&amp;"|"&amp;RIGHT("000000"&amp;$H445,6))</f>
        <v/>
      </c>
      <c r="J445">
        <f>IF(OR($B445&lt;&gt;2,$G445=""),"",COUNTIFS(LdAParty,$A445,LdAType,2,LdAKey,"&lt;"&amp;$G445)+1)</f>
        <v/>
      </c>
      <c r="K445">
        <f>IF($J445="","",$A445&amp;"|"&amp;RIGHT("000000"&amp;$J445,6))</f>
        <v/>
      </c>
      <c r="L445">
        <f>IF($A445="","",IF(Wages!$G448="",0,Wages!$G448))</f>
        <v/>
      </c>
      <c r="M445">
        <f>IF($A445="","",Wages!$J448)</f>
        <v/>
      </c>
      <c r="N445">
        <f>IF($A445="","",Wages!$D448)</f>
        <v/>
      </c>
      <c r="P445">
        <f>IF(OR(Shares!$B448="",Shares!$C448=""),"",Shares!$C448)</f>
        <v/>
      </c>
      <c r="Q445">
        <f>IF($P445="","",Shares!$B448)</f>
        <v/>
      </c>
      <c r="R445">
        <f>IF($P445="","",IFERROR(INDEX(WageParty,MATCH($Q445,WageIds,0)),""))</f>
        <v/>
      </c>
      <c r="S445">
        <f>IF($P445="","",IFERROR(INDEX($F$6:$F$2005,MATCH($Q445,WageIds,0)),""))</f>
        <v/>
      </c>
      <c r="T445">
        <f>IF(OR($P445="",$S445="",$S445="نامعتبر"),"",LEFT($S445,4)&amp;MID($S445,6,2)&amp;RIGHT($S445,2)&amp;"0000"&amp;"|"&amp;"2"&amp;RIGHT("00000"&amp;440,5))</f>
        <v/>
      </c>
      <c r="U445">
        <f>IF($T445="","",COUNTIFS(LdAParty,$P445,LdAType,1,LdAKey,"&lt;"&amp;$T445)+COUNTIFS(LdBMember,$P445,LdBKey,"&lt;"&amp;$T445)+COUNTIFS(LdCParty,$P445,LdCKey,"&lt;"&amp;$T445)+1)</f>
        <v/>
      </c>
      <c r="V445">
        <f>IF($U445="","",$P445&amp;"|"&amp;RIGHT("000000"&amp;$U445,6))</f>
        <v/>
      </c>
      <c r="W445">
        <f>IF($T445="","",COUNTIFS(LdBGroup,$R445,LdBKey,"&lt;"&amp;$T445)+1)</f>
        <v/>
      </c>
      <c r="X445">
        <f>IF($W445="","",$R445&amp;"|"&amp;RIGHT("000000"&amp;$W445,6))</f>
        <v/>
      </c>
      <c r="Y445">
        <f>IF($P445="","",IF(Shares!$E448="",0,Shares!$E448))</f>
        <v/>
      </c>
      <c r="Z445">
        <f>IF($P445="","",Shares!$H448)</f>
        <v/>
      </c>
      <c r="AE445">
        <f>IF(OR(Sync!$S445="",Sync!$P445=""),"",Sync!$S445)</f>
        <v/>
      </c>
      <c r="AF445">
        <f>IF($AE445="","",IF(ISNUMBER(Sync!$P445),IF(AND(Sync!$P445&gt;=10000101,Sync!$P445&lt;=99991231),INT(Sync!$P445/10000),""),IFERROR(VALUE(TRIM(LEFT(Sync!$P445,FIND("/",Sync!$P445)-1))),"")))</f>
        <v/>
      </c>
      <c r="AG445">
        <f>IF(OR($AE445="",$AF445=""),"",IF(ISNUMBER(Sync!$P445),INT(MOD(Sync!$P445,10000)/100),IFERROR(VALUE(TRIM(LEFT(MID(Sync!$P445,FIND("/",Sync!$P445)+1,20),FIND("/",MID(Sync!$P445,FIND("/",Sync!$P445)+1,20))-1))),"")))</f>
        <v/>
      </c>
      <c r="AH445">
        <f>IF(OR($AE445="",$AF445=""),"",IF(ISNUMBER(Sync!$P445),MOD(Sync!$P445,100),IFERROR(VALUE(TRIM(MID(MID(Sync!$P445,FIND("/",Sync!$P445)+1,20),FIND("/",MID(Sync!$P445,FIND("/",Sync!$P445)+1,20))+1,20))),"")))</f>
        <v/>
      </c>
      <c r="AI445">
        <f>IF($AE445="","",IF(OR($AF445="",$AG445="",$AH445="",$AF445&lt;1300,$AF445&gt;1500,$AG445&lt;1,$AG445&gt;12,$AH445&lt;1,$AH445&gt;31),"نامعتبر",RIGHT("0000"&amp;$AF445,4)&amp;"/"&amp;RIGHT("00"&amp;$AG445,2)&amp;"/"&amp;RIGHT("00"&amp;$AH445,2)))</f>
        <v/>
      </c>
      <c r="AJ445">
        <f>IF($AE445="","",IF(Sync!$Q445="","0000",IF(AND(ISNUMBER(Sync!$Q445),Sync!$Q445&gt;=0,Sync!$Q445&lt;1),RIGHT("00"&amp;HOUR(Sync!$Q445),2)&amp;RIGHT("00"&amp;MINUTE(Sync!$Q445),2),IFERROR(RIGHT("00"&amp;VALUE(LEFT(Sync!$Q445,FIND(":",Sync!$Q445)-1)),2)&amp;RIGHT("00"&amp;VALUE(MID(Sync!$Q445,FIND(":",Sync!$Q445)+1,2)),2),"0000"))))</f>
        <v/>
      </c>
      <c r="AK445">
        <f>IF(OR($AE445="",$AI445="",$AI445="نامعتبر"),"",LEFT($AI445,4)&amp;MID($AI445,6,2)&amp;RIGHT($AI445,2)&amp;$AJ445&amp;"|"&amp;"3"&amp;RIGHT("00000"&amp;440,5))</f>
        <v/>
      </c>
      <c r="AL445">
        <f>IF($AK445="","",COUNTIFS(LdAParty,$AE445,LdAType,1,LdAKey,"&lt;"&amp;$AK445)+COUNTIFS(LdBMember,$AE445,LdBKey,"&lt;"&amp;$AK445)+COUNTIFS(LdCParty,$AE445,LdCKey,"&lt;"&amp;$AK445)+1)</f>
        <v/>
      </c>
      <c r="AM445">
        <f>IF($AL445="","",$AE445&amp;"|"&amp;RIGHT("000000"&amp;$AL445,6))</f>
        <v/>
      </c>
      <c r="AN445">
        <f>IF($AE445="","",IF(Sync!$W445="",0,Sync!$W445))</f>
        <v/>
      </c>
      <c r="AO445">
        <f>IF($AE445="","",IF(Sync!$X445="",0,Sync!$X445))</f>
        <v/>
      </c>
      <c r="AP445">
        <f>IF($AE445="","",Sync!$R445)</f>
        <v/>
      </c>
      <c r="AQ445">
        <f>IF($AE445="","",Sync!$Y445)</f>
        <v/>
      </c>
    </row>
    <row r="446">
      <c r="A446">
        <f>IF(OR(Wages!$B449="",Wages!$E449=""),"",Wages!$E449)</f>
        <v/>
      </c>
      <c r="B446">
        <f>IF($A446="","",IF(Wages!$C449="دستمزد گروهی",2,1))</f>
        <v/>
      </c>
      <c r="C446">
        <f>IF($A446="","",IF(ISNUMBER(Wages!$B449),IF(AND(Wages!$B449&gt;=10000101,Wages!$B449&lt;=99991231),INT(Wages!$B449/10000),""),IFERROR(VALUE(TRIM(LEFT(Wages!$B449,FIND("/",Wages!$B449)-1))),"")))</f>
        <v/>
      </c>
      <c r="D446">
        <f>IF(OR($A446="",$C446=""),"",IF(ISNUMBER(Wages!$B449),INT(MOD(Wages!$B449,10000)/100),IFERROR(VALUE(TRIM(LEFT(MID(Wages!$B449,FIND("/",Wages!$B449)+1,20),FIND("/",MID(Wages!$B449,FIND("/",Wages!$B449)+1,20))-1))),"")))</f>
        <v/>
      </c>
      <c r="E446">
        <f>IF(OR($A446="",$C446=""),"",IF(ISNUMBER(Wages!$B449),MOD(Wages!$B449,100),IFERROR(VALUE(TRIM(MID(MID(Wages!$B449,FIND("/",Wages!$B449)+1,20),FIND("/",MID(Wages!$B449,FIND("/",Wages!$B449)+1,20))+1,20))),"")))</f>
        <v/>
      </c>
      <c r="F446">
        <f>IF($A446="","",IF(OR($C446="",$D446="",$E446="",$C446&lt;1300,$C446&gt;1500,$D446&lt;1,$D446&gt;12,$E446&lt;1,$E446&gt;31),"نامعتبر",RIGHT("0000"&amp;$C446,4)&amp;"/"&amp;RIGHT("00"&amp;$D446,2)&amp;"/"&amp;RIGHT("00"&amp;$E446,2)))</f>
        <v/>
      </c>
      <c r="G446">
        <f>IF(OR($A446="",$F446="",$F446="نامعتبر"),"",LEFT($F446,4)&amp;MID($F446,6,2)&amp;RIGHT($F446,2)&amp;"0000"&amp;"|"&amp;"1"&amp;RIGHT("00000"&amp;441,5))</f>
        <v/>
      </c>
      <c r="H446">
        <f>IF(OR($B446&lt;&gt;1,$G446=""),"",COUNTIFS(LdAParty,$A446,LdAType,1,LdAKey,"&lt;"&amp;$G446)+COUNTIFS(LdBMember,$A446,LdBKey,"&lt;"&amp;$G446)+COUNTIFS(LdCParty,$A446,LdCKey,"&lt;"&amp;$G446)+1)</f>
        <v/>
      </c>
      <c r="I446">
        <f>IF($H446="","",$A446&amp;"|"&amp;RIGHT("000000"&amp;$H446,6))</f>
        <v/>
      </c>
      <c r="J446">
        <f>IF(OR($B446&lt;&gt;2,$G446=""),"",COUNTIFS(LdAParty,$A446,LdAType,2,LdAKey,"&lt;"&amp;$G446)+1)</f>
        <v/>
      </c>
      <c r="K446">
        <f>IF($J446="","",$A446&amp;"|"&amp;RIGHT("000000"&amp;$J446,6))</f>
        <v/>
      </c>
      <c r="L446">
        <f>IF($A446="","",IF(Wages!$G449="",0,Wages!$G449))</f>
        <v/>
      </c>
      <c r="M446">
        <f>IF($A446="","",Wages!$J449)</f>
        <v/>
      </c>
      <c r="N446">
        <f>IF($A446="","",Wages!$D449)</f>
        <v/>
      </c>
      <c r="P446">
        <f>IF(OR(Shares!$B449="",Shares!$C449=""),"",Shares!$C449)</f>
        <v/>
      </c>
      <c r="Q446">
        <f>IF($P446="","",Shares!$B449)</f>
        <v/>
      </c>
      <c r="R446">
        <f>IF($P446="","",IFERROR(INDEX(WageParty,MATCH($Q446,WageIds,0)),""))</f>
        <v/>
      </c>
      <c r="S446">
        <f>IF($P446="","",IFERROR(INDEX($F$6:$F$2005,MATCH($Q446,WageIds,0)),""))</f>
        <v/>
      </c>
      <c r="T446">
        <f>IF(OR($P446="",$S446="",$S446="نامعتبر"),"",LEFT($S446,4)&amp;MID($S446,6,2)&amp;RIGHT($S446,2)&amp;"0000"&amp;"|"&amp;"2"&amp;RIGHT("00000"&amp;441,5))</f>
        <v/>
      </c>
      <c r="U446">
        <f>IF($T446="","",COUNTIFS(LdAParty,$P446,LdAType,1,LdAKey,"&lt;"&amp;$T446)+COUNTIFS(LdBMember,$P446,LdBKey,"&lt;"&amp;$T446)+COUNTIFS(LdCParty,$P446,LdCKey,"&lt;"&amp;$T446)+1)</f>
        <v/>
      </c>
      <c r="V446">
        <f>IF($U446="","",$P446&amp;"|"&amp;RIGHT("000000"&amp;$U446,6))</f>
        <v/>
      </c>
      <c r="W446">
        <f>IF($T446="","",COUNTIFS(LdBGroup,$R446,LdBKey,"&lt;"&amp;$T446)+1)</f>
        <v/>
      </c>
      <c r="X446">
        <f>IF($W446="","",$R446&amp;"|"&amp;RIGHT("000000"&amp;$W446,6))</f>
        <v/>
      </c>
      <c r="Y446">
        <f>IF($P446="","",IF(Shares!$E449="",0,Shares!$E449))</f>
        <v/>
      </c>
      <c r="Z446">
        <f>IF($P446="","",Shares!$H449)</f>
        <v/>
      </c>
      <c r="AE446">
        <f>IF(OR(Sync!$S446="",Sync!$P446=""),"",Sync!$S446)</f>
        <v/>
      </c>
      <c r="AF446">
        <f>IF($AE446="","",IF(ISNUMBER(Sync!$P446),IF(AND(Sync!$P446&gt;=10000101,Sync!$P446&lt;=99991231),INT(Sync!$P446/10000),""),IFERROR(VALUE(TRIM(LEFT(Sync!$P446,FIND("/",Sync!$P446)-1))),"")))</f>
        <v/>
      </c>
      <c r="AG446">
        <f>IF(OR($AE446="",$AF446=""),"",IF(ISNUMBER(Sync!$P446),INT(MOD(Sync!$P446,10000)/100),IFERROR(VALUE(TRIM(LEFT(MID(Sync!$P446,FIND("/",Sync!$P446)+1,20),FIND("/",MID(Sync!$P446,FIND("/",Sync!$P446)+1,20))-1))),"")))</f>
        <v/>
      </c>
      <c r="AH446">
        <f>IF(OR($AE446="",$AF446=""),"",IF(ISNUMBER(Sync!$P446),MOD(Sync!$P446,100),IFERROR(VALUE(TRIM(MID(MID(Sync!$P446,FIND("/",Sync!$P446)+1,20),FIND("/",MID(Sync!$P446,FIND("/",Sync!$P446)+1,20))+1,20))),"")))</f>
        <v/>
      </c>
      <c r="AI446">
        <f>IF($AE446="","",IF(OR($AF446="",$AG446="",$AH446="",$AF446&lt;1300,$AF446&gt;1500,$AG446&lt;1,$AG446&gt;12,$AH446&lt;1,$AH446&gt;31),"نامعتبر",RIGHT("0000"&amp;$AF446,4)&amp;"/"&amp;RIGHT("00"&amp;$AG446,2)&amp;"/"&amp;RIGHT("00"&amp;$AH446,2)))</f>
        <v/>
      </c>
      <c r="AJ446">
        <f>IF($AE446="","",IF(Sync!$Q446="","0000",IF(AND(ISNUMBER(Sync!$Q446),Sync!$Q446&gt;=0,Sync!$Q446&lt;1),RIGHT("00"&amp;HOUR(Sync!$Q446),2)&amp;RIGHT("00"&amp;MINUTE(Sync!$Q446),2),IFERROR(RIGHT("00"&amp;VALUE(LEFT(Sync!$Q446,FIND(":",Sync!$Q446)-1)),2)&amp;RIGHT("00"&amp;VALUE(MID(Sync!$Q446,FIND(":",Sync!$Q446)+1,2)),2),"0000"))))</f>
        <v/>
      </c>
      <c r="AK446">
        <f>IF(OR($AE446="",$AI446="",$AI446="نامعتبر"),"",LEFT($AI446,4)&amp;MID($AI446,6,2)&amp;RIGHT($AI446,2)&amp;$AJ446&amp;"|"&amp;"3"&amp;RIGHT("00000"&amp;441,5))</f>
        <v/>
      </c>
      <c r="AL446">
        <f>IF($AK446="","",COUNTIFS(LdAParty,$AE446,LdAType,1,LdAKey,"&lt;"&amp;$AK446)+COUNTIFS(LdBMember,$AE446,LdBKey,"&lt;"&amp;$AK446)+COUNTIFS(LdCParty,$AE446,LdCKey,"&lt;"&amp;$AK446)+1)</f>
        <v/>
      </c>
      <c r="AM446">
        <f>IF($AL446="","",$AE446&amp;"|"&amp;RIGHT("000000"&amp;$AL446,6))</f>
        <v/>
      </c>
      <c r="AN446">
        <f>IF($AE446="","",IF(Sync!$W446="",0,Sync!$W446))</f>
        <v/>
      </c>
      <c r="AO446">
        <f>IF($AE446="","",IF(Sync!$X446="",0,Sync!$X446))</f>
        <v/>
      </c>
      <c r="AP446">
        <f>IF($AE446="","",Sync!$R446)</f>
        <v/>
      </c>
      <c r="AQ446">
        <f>IF($AE446="","",Sync!$Y446)</f>
        <v/>
      </c>
    </row>
    <row r="447">
      <c r="A447">
        <f>IF(OR(Wages!$B450="",Wages!$E450=""),"",Wages!$E450)</f>
        <v/>
      </c>
      <c r="B447">
        <f>IF($A447="","",IF(Wages!$C450="دستمزد گروهی",2,1))</f>
        <v/>
      </c>
      <c r="C447">
        <f>IF($A447="","",IF(ISNUMBER(Wages!$B450),IF(AND(Wages!$B450&gt;=10000101,Wages!$B450&lt;=99991231),INT(Wages!$B450/10000),""),IFERROR(VALUE(TRIM(LEFT(Wages!$B450,FIND("/",Wages!$B450)-1))),"")))</f>
        <v/>
      </c>
      <c r="D447">
        <f>IF(OR($A447="",$C447=""),"",IF(ISNUMBER(Wages!$B450),INT(MOD(Wages!$B450,10000)/100),IFERROR(VALUE(TRIM(LEFT(MID(Wages!$B450,FIND("/",Wages!$B450)+1,20),FIND("/",MID(Wages!$B450,FIND("/",Wages!$B450)+1,20))-1))),"")))</f>
        <v/>
      </c>
      <c r="E447">
        <f>IF(OR($A447="",$C447=""),"",IF(ISNUMBER(Wages!$B450),MOD(Wages!$B450,100),IFERROR(VALUE(TRIM(MID(MID(Wages!$B450,FIND("/",Wages!$B450)+1,20),FIND("/",MID(Wages!$B450,FIND("/",Wages!$B450)+1,20))+1,20))),"")))</f>
        <v/>
      </c>
      <c r="F447">
        <f>IF($A447="","",IF(OR($C447="",$D447="",$E447="",$C447&lt;1300,$C447&gt;1500,$D447&lt;1,$D447&gt;12,$E447&lt;1,$E447&gt;31),"نامعتبر",RIGHT("0000"&amp;$C447,4)&amp;"/"&amp;RIGHT("00"&amp;$D447,2)&amp;"/"&amp;RIGHT("00"&amp;$E447,2)))</f>
        <v/>
      </c>
      <c r="G447">
        <f>IF(OR($A447="",$F447="",$F447="نامعتبر"),"",LEFT($F447,4)&amp;MID($F447,6,2)&amp;RIGHT($F447,2)&amp;"0000"&amp;"|"&amp;"1"&amp;RIGHT("00000"&amp;442,5))</f>
        <v/>
      </c>
      <c r="H447">
        <f>IF(OR($B447&lt;&gt;1,$G447=""),"",COUNTIFS(LdAParty,$A447,LdAType,1,LdAKey,"&lt;"&amp;$G447)+COUNTIFS(LdBMember,$A447,LdBKey,"&lt;"&amp;$G447)+COUNTIFS(LdCParty,$A447,LdCKey,"&lt;"&amp;$G447)+1)</f>
        <v/>
      </c>
      <c r="I447">
        <f>IF($H447="","",$A447&amp;"|"&amp;RIGHT("000000"&amp;$H447,6))</f>
        <v/>
      </c>
      <c r="J447">
        <f>IF(OR($B447&lt;&gt;2,$G447=""),"",COUNTIFS(LdAParty,$A447,LdAType,2,LdAKey,"&lt;"&amp;$G447)+1)</f>
        <v/>
      </c>
      <c r="K447">
        <f>IF($J447="","",$A447&amp;"|"&amp;RIGHT("000000"&amp;$J447,6))</f>
        <v/>
      </c>
      <c r="L447">
        <f>IF($A447="","",IF(Wages!$G450="",0,Wages!$G450))</f>
        <v/>
      </c>
      <c r="M447">
        <f>IF($A447="","",Wages!$J450)</f>
        <v/>
      </c>
      <c r="N447">
        <f>IF($A447="","",Wages!$D450)</f>
        <v/>
      </c>
      <c r="P447">
        <f>IF(OR(Shares!$B450="",Shares!$C450=""),"",Shares!$C450)</f>
        <v/>
      </c>
      <c r="Q447">
        <f>IF($P447="","",Shares!$B450)</f>
        <v/>
      </c>
      <c r="R447">
        <f>IF($P447="","",IFERROR(INDEX(WageParty,MATCH($Q447,WageIds,0)),""))</f>
        <v/>
      </c>
      <c r="S447">
        <f>IF($P447="","",IFERROR(INDEX($F$6:$F$2005,MATCH($Q447,WageIds,0)),""))</f>
        <v/>
      </c>
      <c r="T447">
        <f>IF(OR($P447="",$S447="",$S447="نامعتبر"),"",LEFT($S447,4)&amp;MID($S447,6,2)&amp;RIGHT($S447,2)&amp;"0000"&amp;"|"&amp;"2"&amp;RIGHT("00000"&amp;442,5))</f>
        <v/>
      </c>
      <c r="U447">
        <f>IF($T447="","",COUNTIFS(LdAParty,$P447,LdAType,1,LdAKey,"&lt;"&amp;$T447)+COUNTIFS(LdBMember,$P447,LdBKey,"&lt;"&amp;$T447)+COUNTIFS(LdCParty,$P447,LdCKey,"&lt;"&amp;$T447)+1)</f>
        <v/>
      </c>
      <c r="V447">
        <f>IF($U447="","",$P447&amp;"|"&amp;RIGHT("000000"&amp;$U447,6))</f>
        <v/>
      </c>
      <c r="W447">
        <f>IF($T447="","",COUNTIFS(LdBGroup,$R447,LdBKey,"&lt;"&amp;$T447)+1)</f>
        <v/>
      </c>
      <c r="X447">
        <f>IF($W447="","",$R447&amp;"|"&amp;RIGHT("000000"&amp;$W447,6))</f>
        <v/>
      </c>
      <c r="Y447">
        <f>IF($P447="","",IF(Shares!$E450="",0,Shares!$E450))</f>
        <v/>
      </c>
      <c r="Z447">
        <f>IF($P447="","",Shares!$H450)</f>
        <v/>
      </c>
      <c r="AE447">
        <f>IF(OR(Sync!$S447="",Sync!$P447=""),"",Sync!$S447)</f>
        <v/>
      </c>
      <c r="AF447">
        <f>IF($AE447="","",IF(ISNUMBER(Sync!$P447),IF(AND(Sync!$P447&gt;=10000101,Sync!$P447&lt;=99991231),INT(Sync!$P447/10000),""),IFERROR(VALUE(TRIM(LEFT(Sync!$P447,FIND("/",Sync!$P447)-1))),"")))</f>
        <v/>
      </c>
      <c r="AG447">
        <f>IF(OR($AE447="",$AF447=""),"",IF(ISNUMBER(Sync!$P447),INT(MOD(Sync!$P447,10000)/100),IFERROR(VALUE(TRIM(LEFT(MID(Sync!$P447,FIND("/",Sync!$P447)+1,20),FIND("/",MID(Sync!$P447,FIND("/",Sync!$P447)+1,20))-1))),"")))</f>
        <v/>
      </c>
      <c r="AH447">
        <f>IF(OR($AE447="",$AF447=""),"",IF(ISNUMBER(Sync!$P447),MOD(Sync!$P447,100),IFERROR(VALUE(TRIM(MID(MID(Sync!$P447,FIND("/",Sync!$P447)+1,20),FIND("/",MID(Sync!$P447,FIND("/",Sync!$P447)+1,20))+1,20))),"")))</f>
        <v/>
      </c>
      <c r="AI447">
        <f>IF($AE447="","",IF(OR($AF447="",$AG447="",$AH447="",$AF447&lt;1300,$AF447&gt;1500,$AG447&lt;1,$AG447&gt;12,$AH447&lt;1,$AH447&gt;31),"نامعتبر",RIGHT("0000"&amp;$AF447,4)&amp;"/"&amp;RIGHT("00"&amp;$AG447,2)&amp;"/"&amp;RIGHT("00"&amp;$AH447,2)))</f>
        <v/>
      </c>
      <c r="AJ447">
        <f>IF($AE447="","",IF(Sync!$Q447="","0000",IF(AND(ISNUMBER(Sync!$Q447),Sync!$Q447&gt;=0,Sync!$Q447&lt;1),RIGHT("00"&amp;HOUR(Sync!$Q447),2)&amp;RIGHT("00"&amp;MINUTE(Sync!$Q447),2),IFERROR(RIGHT("00"&amp;VALUE(LEFT(Sync!$Q447,FIND(":",Sync!$Q447)-1)),2)&amp;RIGHT("00"&amp;VALUE(MID(Sync!$Q447,FIND(":",Sync!$Q447)+1,2)),2),"0000"))))</f>
        <v/>
      </c>
      <c r="AK447">
        <f>IF(OR($AE447="",$AI447="",$AI447="نامعتبر"),"",LEFT($AI447,4)&amp;MID($AI447,6,2)&amp;RIGHT($AI447,2)&amp;$AJ447&amp;"|"&amp;"3"&amp;RIGHT("00000"&amp;442,5))</f>
        <v/>
      </c>
      <c r="AL447">
        <f>IF($AK447="","",COUNTIFS(LdAParty,$AE447,LdAType,1,LdAKey,"&lt;"&amp;$AK447)+COUNTIFS(LdBMember,$AE447,LdBKey,"&lt;"&amp;$AK447)+COUNTIFS(LdCParty,$AE447,LdCKey,"&lt;"&amp;$AK447)+1)</f>
        <v/>
      </c>
      <c r="AM447">
        <f>IF($AL447="","",$AE447&amp;"|"&amp;RIGHT("000000"&amp;$AL447,6))</f>
        <v/>
      </c>
      <c r="AN447">
        <f>IF($AE447="","",IF(Sync!$W447="",0,Sync!$W447))</f>
        <v/>
      </c>
      <c r="AO447">
        <f>IF($AE447="","",IF(Sync!$X447="",0,Sync!$X447))</f>
        <v/>
      </c>
      <c r="AP447">
        <f>IF($AE447="","",Sync!$R447)</f>
        <v/>
      </c>
      <c r="AQ447">
        <f>IF($AE447="","",Sync!$Y447)</f>
        <v/>
      </c>
    </row>
    <row r="448">
      <c r="A448">
        <f>IF(OR(Wages!$B451="",Wages!$E451=""),"",Wages!$E451)</f>
        <v/>
      </c>
      <c r="B448">
        <f>IF($A448="","",IF(Wages!$C451="دستمزد گروهی",2,1))</f>
        <v/>
      </c>
      <c r="C448">
        <f>IF($A448="","",IF(ISNUMBER(Wages!$B451),IF(AND(Wages!$B451&gt;=10000101,Wages!$B451&lt;=99991231),INT(Wages!$B451/10000),""),IFERROR(VALUE(TRIM(LEFT(Wages!$B451,FIND("/",Wages!$B451)-1))),"")))</f>
        <v/>
      </c>
      <c r="D448">
        <f>IF(OR($A448="",$C448=""),"",IF(ISNUMBER(Wages!$B451),INT(MOD(Wages!$B451,10000)/100),IFERROR(VALUE(TRIM(LEFT(MID(Wages!$B451,FIND("/",Wages!$B451)+1,20),FIND("/",MID(Wages!$B451,FIND("/",Wages!$B451)+1,20))-1))),"")))</f>
        <v/>
      </c>
      <c r="E448">
        <f>IF(OR($A448="",$C448=""),"",IF(ISNUMBER(Wages!$B451),MOD(Wages!$B451,100),IFERROR(VALUE(TRIM(MID(MID(Wages!$B451,FIND("/",Wages!$B451)+1,20),FIND("/",MID(Wages!$B451,FIND("/",Wages!$B451)+1,20))+1,20))),"")))</f>
        <v/>
      </c>
      <c r="F448">
        <f>IF($A448="","",IF(OR($C448="",$D448="",$E448="",$C448&lt;1300,$C448&gt;1500,$D448&lt;1,$D448&gt;12,$E448&lt;1,$E448&gt;31),"نامعتبر",RIGHT("0000"&amp;$C448,4)&amp;"/"&amp;RIGHT("00"&amp;$D448,2)&amp;"/"&amp;RIGHT("00"&amp;$E448,2)))</f>
        <v/>
      </c>
      <c r="G448">
        <f>IF(OR($A448="",$F448="",$F448="نامعتبر"),"",LEFT($F448,4)&amp;MID($F448,6,2)&amp;RIGHT($F448,2)&amp;"0000"&amp;"|"&amp;"1"&amp;RIGHT("00000"&amp;443,5))</f>
        <v/>
      </c>
      <c r="H448">
        <f>IF(OR($B448&lt;&gt;1,$G448=""),"",COUNTIFS(LdAParty,$A448,LdAType,1,LdAKey,"&lt;"&amp;$G448)+COUNTIFS(LdBMember,$A448,LdBKey,"&lt;"&amp;$G448)+COUNTIFS(LdCParty,$A448,LdCKey,"&lt;"&amp;$G448)+1)</f>
        <v/>
      </c>
      <c r="I448">
        <f>IF($H448="","",$A448&amp;"|"&amp;RIGHT("000000"&amp;$H448,6))</f>
        <v/>
      </c>
      <c r="J448">
        <f>IF(OR($B448&lt;&gt;2,$G448=""),"",COUNTIFS(LdAParty,$A448,LdAType,2,LdAKey,"&lt;"&amp;$G448)+1)</f>
        <v/>
      </c>
      <c r="K448">
        <f>IF($J448="","",$A448&amp;"|"&amp;RIGHT("000000"&amp;$J448,6))</f>
        <v/>
      </c>
      <c r="L448">
        <f>IF($A448="","",IF(Wages!$G451="",0,Wages!$G451))</f>
        <v/>
      </c>
      <c r="M448">
        <f>IF($A448="","",Wages!$J451)</f>
        <v/>
      </c>
      <c r="N448">
        <f>IF($A448="","",Wages!$D451)</f>
        <v/>
      </c>
      <c r="P448">
        <f>IF(OR(Shares!$B451="",Shares!$C451=""),"",Shares!$C451)</f>
        <v/>
      </c>
      <c r="Q448">
        <f>IF($P448="","",Shares!$B451)</f>
        <v/>
      </c>
      <c r="R448">
        <f>IF($P448="","",IFERROR(INDEX(WageParty,MATCH($Q448,WageIds,0)),""))</f>
        <v/>
      </c>
      <c r="S448">
        <f>IF($P448="","",IFERROR(INDEX($F$6:$F$2005,MATCH($Q448,WageIds,0)),""))</f>
        <v/>
      </c>
      <c r="T448">
        <f>IF(OR($P448="",$S448="",$S448="نامعتبر"),"",LEFT($S448,4)&amp;MID($S448,6,2)&amp;RIGHT($S448,2)&amp;"0000"&amp;"|"&amp;"2"&amp;RIGHT("00000"&amp;443,5))</f>
        <v/>
      </c>
      <c r="U448">
        <f>IF($T448="","",COUNTIFS(LdAParty,$P448,LdAType,1,LdAKey,"&lt;"&amp;$T448)+COUNTIFS(LdBMember,$P448,LdBKey,"&lt;"&amp;$T448)+COUNTIFS(LdCParty,$P448,LdCKey,"&lt;"&amp;$T448)+1)</f>
        <v/>
      </c>
      <c r="V448">
        <f>IF($U448="","",$P448&amp;"|"&amp;RIGHT("000000"&amp;$U448,6))</f>
        <v/>
      </c>
      <c r="W448">
        <f>IF($T448="","",COUNTIFS(LdBGroup,$R448,LdBKey,"&lt;"&amp;$T448)+1)</f>
        <v/>
      </c>
      <c r="X448">
        <f>IF($W448="","",$R448&amp;"|"&amp;RIGHT("000000"&amp;$W448,6))</f>
        <v/>
      </c>
      <c r="Y448">
        <f>IF($P448="","",IF(Shares!$E451="",0,Shares!$E451))</f>
        <v/>
      </c>
      <c r="Z448">
        <f>IF($P448="","",Shares!$H451)</f>
        <v/>
      </c>
      <c r="AE448">
        <f>IF(OR(Sync!$S448="",Sync!$P448=""),"",Sync!$S448)</f>
        <v/>
      </c>
      <c r="AF448">
        <f>IF($AE448="","",IF(ISNUMBER(Sync!$P448),IF(AND(Sync!$P448&gt;=10000101,Sync!$P448&lt;=99991231),INT(Sync!$P448/10000),""),IFERROR(VALUE(TRIM(LEFT(Sync!$P448,FIND("/",Sync!$P448)-1))),"")))</f>
        <v/>
      </c>
      <c r="AG448">
        <f>IF(OR($AE448="",$AF448=""),"",IF(ISNUMBER(Sync!$P448),INT(MOD(Sync!$P448,10000)/100),IFERROR(VALUE(TRIM(LEFT(MID(Sync!$P448,FIND("/",Sync!$P448)+1,20),FIND("/",MID(Sync!$P448,FIND("/",Sync!$P448)+1,20))-1))),"")))</f>
        <v/>
      </c>
      <c r="AH448">
        <f>IF(OR($AE448="",$AF448=""),"",IF(ISNUMBER(Sync!$P448),MOD(Sync!$P448,100),IFERROR(VALUE(TRIM(MID(MID(Sync!$P448,FIND("/",Sync!$P448)+1,20),FIND("/",MID(Sync!$P448,FIND("/",Sync!$P448)+1,20))+1,20))),"")))</f>
        <v/>
      </c>
      <c r="AI448">
        <f>IF($AE448="","",IF(OR($AF448="",$AG448="",$AH448="",$AF448&lt;1300,$AF448&gt;1500,$AG448&lt;1,$AG448&gt;12,$AH448&lt;1,$AH448&gt;31),"نامعتبر",RIGHT("0000"&amp;$AF448,4)&amp;"/"&amp;RIGHT("00"&amp;$AG448,2)&amp;"/"&amp;RIGHT("00"&amp;$AH448,2)))</f>
        <v/>
      </c>
      <c r="AJ448">
        <f>IF($AE448="","",IF(Sync!$Q448="","0000",IF(AND(ISNUMBER(Sync!$Q448),Sync!$Q448&gt;=0,Sync!$Q448&lt;1),RIGHT("00"&amp;HOUR(Sync!$Q448),2)&amp;RIGHT("00"&amp;MINUTE(Sync!$Q448),2),IFERROR(RIGHT("00"&amp;VALUE(LEFT(Sync!$Q448,FIND(":",Sync!$Q448)-1)),2)&amp;RIGHT("00"&amp;VALUE(MID(Sync!$Q448,FIND(":",Sync!$Q448)+1,2)),2),"0000"))))</f>
        <v/>
      </c>
      <c r="AK448">
        <f>IF(OR($AE448="",$AI448="",$AI448="نامعتبر"),"",LEFT($AI448,4)&amp;MID($AI448,6,2)&amp;RIGHT($AI448,2)&amp;$AJ448&amp;"|"&amp;"3"&amp;RIGHT("00000"&amp;443,5))</f>
        <v/>
      </c>
      <c r="AL448">
        <f>IF($AK448="","",COUNTIFS(LdAParty,$AE448,LdAType,1,LdAKey,"&lt;"&amp;$AK448)+COUNTIFS(LdBMember,$AE448,LdBKey,"&lt;"&amp;$AK448)+COUNTIFS(LdCParty,$AE448,LdCKey,"&lt;"&amp;$AK448)+1)</f>
        <v/>
      </c>
      <c r="AM448">
        <f>IF($AL448="","",$AE448&amp;"|"&amp;RIGHT("000000"&amp;$AL448,6))</f>
        <v/>
      </c>
      <c r="AN448">
        <f>IF($AE448="","",IF(Sync!$W448="",0,Sync!$W448))</f>
        <v/>
      </c>
      <c r="AO448">
        <f>IF($AE448="","",IF(Sync!$X448="",0,Sync!$X448))</f>
        <v/>
      </c>
      <c r="AP448">
        <f>IF($AE448="","",Sync!$R448)</f>
        <v/>
      </c>
      <c r="AQ448">
        <f>IF($AE448="","",Sync!$Y448)</f>
        <v/>
      </c>
    </row>
    <row r="449">
      <c r="A449">
        <f>IF(OR(Wages!$B452="",Wages!$E452=""),"",Wages!$E452)</f>
        <v/>
      </c>
      <c r="B449">
        <f>IF($A449="","",IF(Wages!$C452="دستمزد گروهی",2,1))</f>
        <v/>
      </c>
      <c r="C449">
        <f>IF($A449="","",IF(ISNUMBER(Wages!$B452),IF(AND(Wages!$B452&gt;=10000101,Wages!$B452&lt;=99991231),INT(Wages!$B452/10000),""),IFERROR(VALUE(TRIM(LEFT(Wages!$B452,FIND("/",Wages!$B452)-1))),"")))</f>
        <v/>
      </c>
      <c r="D449">
        <f>IF(OR($A449="",$C449=""),"",IF(ISNUMBER(Wages!$B452),INT(MOD(Wages!$B452,10000)/100),IFERROR(VALUE(TRIM(LEFT(MID(Wages!$B452,FIND("/",Wages!$B452)+1,20),FIND("/",MID(Wages!$B452,FIND("/",Wages!$B452)+1,20))-1))),"")))</f>
        <v/>
      </c>
      <c r="E449">
        <f>IF(OR($A449="",$C449=""),"",IF(ISNUMBER(Wages!$B452),MOD(Wages!$B452,100),IFERROR(VALUE(TRIM(MID(MID(Wages!$B452,FIND("/",Wages!$B452)+1,20),FIND("/",MID(Wages!$B452,FIND("/",Wages!$B452)+1,20))+1,20))),"")))</f>
        <v/>
      </c>
      <c r="F449">
        <f>IF($A449="","",IF(OR($C449="",$D449="",$E449="",$C449&lt;1300,$C449&gt;1500,$D449&lt;1,$D449&gt;12,$E449&lt;1,$E449&gt;31),"نامعتبر",RIGHT("0000"&amp;$C449,4)&amp;"/"&amp;RIGHT("00"&amp;$D449,2)&amp;"/"&amp;RIGHT("00"&amp;$E449,2)))</f>
        <v/>
      </c>
      <c r="G449">
        <f>IF(OR($A449="",$F449="",$F449="نامعتبر"),"",LEFT($F449,4)&amp;MID($F449,6,2)&amp;RIGHT($F449,2)&amp;"0000"&amp;"|"&amp;"1"&amp;RIGHT("00000"&amp;444,5))</f>
        <v/>
      </c>
      <c r="H449">
        <f>IF(OR($B449&lt;&gt;1,$G449=""),"",COUNTIFS(LdAParty,$A449,LdAType,1,LdAKey,"&lt;"&amp;$G449)+COUNTIFS(LdBMember,$A449,LdBKey,"&lt;"&amp;$G449)+COUNTIFS(LdCParty,$A449,LdCKey,"&lt;"&amp;$G449)+1)</f>
        <v/>
      </c>
      <c r="I449">
        <f>IF($H449="","",$A449&amp;"|"&amp;RIGHT("000000"&amp;$H449,6))</f>
        <v/>
      </c>
      <c r="J449">
        <f>IF(OR($B449&lt;&gt;2,$G449=""),"",COUNTIFS(LdAParty,$A449,LdAType,2,LdAKey,"&lt;"&amp;$G449)+1)</f>
        <v/>
      </c>
      <c r="K449">
        <f>IF($J449="","",$A449&amp;"|"&amp;RIGHT("000000"&amp;$J449,6))</f>
        <v/>
      </c>
      <c r="L449">
        <f>IF($A449="","",IF(Wages!$G452="",0,Wages!$G452))</f>
        <v/>
      </c>
      <c r="M449">
        <f>IF($A449="","",Wages!$J452)</f>
        <v/>
      </c>
      <c r="N449">
        <f>IF($A449="","",Wages!$D452)</f>
        <v/>
      </c>
      <c r="P449">
        <f>IF(OR(Shares!$B452="",Shares!$C452=""),"",Shares!$C452)</f>
        <v/>
      </c>
      <c r="Q449">
        <f>IF($P449="","",Shares!$B452)</f>
        <v/>
      </c>
      <c r="R449">
        <f>IF($P449="","",IFERROR(INDEX(WageParty,MATCH($Q449,WageIds,0)),""))</f>
        <v/>
      </c>
      <c r="S449">
        <f>IF($P449="","",IFERROR(INDEX($F$6:$F$2005,MATCH($Q449,WageIds,0)),""))</f>
        <v/>
      </c>
      <c r="T449">
        <f>IF(OR($P449="",$S449="",$S449="نامعتبر"),"",LEFT($S449,4)&amp;MID($S449,6,2)&amp;RIGHT($S449,2)&amp;"0000"&amp;"|"&amp;"2"&amp;RIGHT("00000"&amp;444,5))</f>
        <v/>
      </c>
      <c r="U449">
        <f>IF($T449="","",COUNTIFS(LdAParty,$P449,LdAType,1,LdAKey,"&lt;"&amp;$T449)+COUNTIFS(LdBMember,$P449,LdBKey,"&lt;"&amp;$T449)+COUNTIFS(LdCParty,$P449,LdCKey,"&lt;"&amp;$T449)+1)</f>
        <v/>
      </c>
      <c r="V449">
        <f>IF($U449="","",$P449&amp;"|"&amp;RIGHT("000000"&amp;$U449,6))</f>
        <v/>
      </c>
      <c r="W449">
        <f>IF($T449="","",COUNTIFS(LdBGroup,$R449,LdBKey,"&lt;"&amp;$T449)+1)</f>
        <v/>
      </c>
      <c r="X449">
        <f>IF($W449="","",$R449&amp;"|"&amp;RIGHT("000000"&amp;$W449,6))</f>
        <v/>
      </c>
      <c r="Y449">
        <f>IF($P449="","",IF(Shares!$E452="",0,Shares!$E452))</f>
        <v/>
      </c>
      <c r="Z449">
        <f>IF($P449="","",Shares!$H452)</f>
        <v/>
      </c>
      <c r="AE449">
        <f>IF(OR(Sync!$S449="",Sync!$P449=""),"",Sync!$S449)</f>
        <v/>
      </c>
      <c r="AF449">
        <f>IF($AE449="","",IF(ISNUMBER(Sync!$P449),IF(AND(Sync!$P449&gt;=10000101,Sync!$P449&lt;=99991231),INT(Sync!$P449/10000),""),IFERROR(VALUE(TRIM(LEFT(Sync!$P449,FIND("/",Sync!$P449)-1))),"")))</f>
        <v/>
      </c>
      <c r="AG449">
        <f>IF(OR($AE449="",$AF449=""),"",IF(ISNUMBER(Sync!$P449),INT(MOD(Sync!$P449,10000)/100),IFERROR(VALUE(TRIM(LEFT(MID(Sync!$P449,FIND("/",Sync!$P449)+1,20),FIND("/",MID(Sync!$P449,FIND("/",Sync!$P449)+1,20))-1))),"")))</f>
        <v/>
      </c>
      <c r="AH449">
        <f>IF(OR($AE449="",$AF449=""),"",IF(ISNUMBER(Sync!$P449),MOD(Sync!$P449,100),IFERROR(VALUE(TRIM(MID(MID(Sync!$P449,FIND("/",Sync!$P449)+1,20),FIND("/",MID(Sync!$P449,FIND("/",Sync!$P449)+1,20))+1,20))),"")))</f>
        <v/>
      </c>
      <c r="AI449">
        <f>IF($AE449="","",IF(OR($AF449="",$AG449="",$AH449="",$AF449&lt;1300,$AF449&gt;1500,$AG449&lt;1,$AG449&gt;12,$AH449&lt;1,$AH449&gt;31),"نامعتبر",RIGHT("0000"&amp;$AF449,4)&amp;"/"&amp;RIGHT("00"&amp;$AG449,2)&amp;"/"&amp;RIGHT("00"&amp;$AH449,2)))</f>
        <v/>
      </c>
      <c r="AJ449">
        <f>IF($AE449="","",IF(Sync!$Q449="","0000",IF(AND(ISNUMBER(Sync!$Q449),Sync!$Q449&gt;=0,Sync!$Q449&lt;1),RIGHT("00"&amp;HOUR(Sync!$Q449),2)&amp;RIGHT("00"&amp;MINUTE(Sync!$Q449),2),IFERROR(RIGHT("00"&amp;VALUE(LEFT(Sync!$Q449,FIND(":",Sync!$Q449)-1)),2)&amp;RIGHT("00"&amp;VALUE(MID(Sync!$Q449,FIND(":",Sync!$Q449)+1,2)),2),"0000"))))</f>
        <v/>
      </c>
      <c r="AK449">
        <f>IF(OR($AE449="",$AI449="",$AI449="نامعتبر"),"",LEFT($AI449,4)&amp;MID($AI449,6,2)&amp;RIGHT($AI449,2)&amp;$AJ449&amp;"|"&amp;"3"&amp;RIGHT("00000"&amp;444,5))</f>
        <v/>
      </c>
      <c r="AL449">
        <f>IF($AK449="","",COUNTIFS(LdAParty,$AE449,LdAType,1,LdAKey,"&lt;"&amp;$AK449)+COUNTIFS(LdBMember,$AE449,LdBKey,"&lt;"&amp;$AK449)+COUNTIFS(LdCParty,$AE449,LdCKey,"&lt;"&amp;$AK449)+1)</f>
        <v/>
      </c>
      <c r="AM449">
        <f>IF($AL449="","",$AE449&amp;"|"&amp;RIGHT("000000"&amp;$AL449,6))</f>
        <v/>
      </c>
      <c r="AN449">
        <f>IF($AE449="","",IF(Sync!$W449="",0,Sync!$W449))</f>
        <v/>
      </c>
      <c r="AO449">
        <f>IF($AE449="","",IF(Sync!$X449="",0,Sync!$X449))</f>
        <v/>
      </c>
      <c r="AP449">
        <f>IF($AE449="","",Sync!$R449)</f>
        <v/>
      </c>
      <c r="AQ449">
        <f>IF($AE449="","",Sync!$Y449)</f>
        <v/>
      </c>
    </row>
    <row r="450">
      <c r="A450">
        <f>IF(OR(Wages!$B453="",Wages!$E453=""),"",Wages!$E453)</f>
        <v/>
      </c>
      <c r="B450">
        <f>IF($A450="","",IF(Wages!$C453="دستمزد گروهی",2,1))</f>
        <v/>
      </c>
      <c r="C450">
        <f>IF($A450="","",IF(ISNUMBER(Wages!$B453),IF(AND(Wages!$B453&gt;=10000101,Wages!$B453&lt;=99991231),INT(Wages!$B453/10000),""),IFERROR(VALUE(TRIM(LEFT(Wages!$B453,FIND("/",Wages!$B453)-1))),"")))</f>
        <v/>
      </c>
      <c r="D450">
        <f>IF(OR($A450="",$C450=""),"",IF(ISNUMBER(Wages!$B453),INT(MOD(Wages!$B453,10000)/100),IFERROR(VALUE(TRIM(LEFT(MID(Wages!$B453,FIND("/",Wages!$B453)+1,20),FIND("/",MID(Wages!$B453,FIND("/",Wages!$B453)+1,20))-1))),"")))</f>
        <v/>
      </c>
      <c r="E450">
        <f>IF(OR($A450="",$C450=""),"",IF(ISNUMBER(Wages!$B453),MOD(Wages!$B453,100),IFERROR(VALUE(TRIM(MID(MID(Wages!$B453,FIND("/",Wages!$B453)+1,20),FIND("/",MID(Wages!$B453,FIND("/",Wages!$B453)+1,20))+1,20))),"")))</f>
        <v/>
      </c>
      <c r="F450">
        <f>IF($A450="","",IF(OR($C450="",$D450="",$E450="",$C450&lt;1300,$C450&gt;1500,$D450&lt;1,$D450&gt;12,$E450&lt;1,$E450&gt;31),"نامعتبر",RIGHT("0000"&amp;$C450,4)&amp;"/"&amp;RIGHT("00"&amp;$D450,2)&amp;"/"&amp;RIGHT("00"&amp;$E450,2)))</f>
        <v/>
      </c>
      <c r="G450">
        <f>IF(OR($A450="",$F450="",$F450="نامعتبر"),"",LEFT($F450,4)&amp;MID($F450,6,2)&amp;RIGHT($F450,2)&amp;"0000"&amp;"|"&amp;"1"&amp;RIGHT("00000"&amp;445,5))</f>
        <v/>
      </c>
      <c r="H450">
        <f>IF(OR($B450&lt;&gt;1,$G450=""),"",COUNTIFS(LdAParty,$A450,LdAType,1,LdAKey,"&lt;"&amp;$G450)+COUNTIFS(LdBMember,$A450,LdBKey,"&lt;"&amp;$G450)+COUNTIFS(LdCParty,$A450,LdCKey,"&lt;"&amp;$G450)+1)</f>
        <v/>
      </c>
      <c r="I450">
        <f>IF($H450="","",$A450&amp;"|"&amp;RIGHT("000000"&amp;$H450,6))</f>
        <v/>
      </c>
      <c r="J450">
        <f>IF(OR($B450&lt;&gt;2,$G450=""),"",COUNTIFS(LdAParty,$A450,LdAType,2,LdAKey,"&lt;"&amp;$G450)+1)</f>
        <v/>
      </c>
      <c r="K450">
        <f>IF($J450="","",$A450&amp;"|"&amp;RIGHT("000000"&amp;$J450,6))</f>
        <v/>
      </c>
      <c r="L450">
        <f>IF($A450="","",IF(Wages!$G453="",0,Wages!$G453))</f>
        <v/>
      </c>
      <c r="M450">
        <f>IF($A450="","",Wages!$J453)</f>
        <v/>
      </c>
      <c r="N450">
        <f>IF($A450="","",Wages!$D453)</f>
        <v/>
      </c>
      <c r="P450">
        <f>IF(OR(Shares!$B453="",Shares!$C453=""),"",Shares!$C453)</f>
        <v/>
      </c>
      <c r="Q450">
        <f>IF($P450="","",Shares!$B453)</f>
        <v/>
      </c>
      <c r="R450">
        <f>IF($P450="","",IFERROR(INDEX(WageParty,MATCH($Q450,WageIds,0)),""))</f>
        <v/>
      </c>
      <c r="S450">
        <f>IF($P450="","",IFERROR(INDEX($F$6:$F$2005,MATCH($Q450,WageIds,0)),""))</f>
        <v/>
      </c>
      <c r="T450">
        <f>IF(OR($P450="",$S450="",$S450="نامعتبر"),"",LEFT($S450,4)&amp;MID($S450,6,2)&amp;RIGHT($S450,2)&amp;"0000"&amp;"|"&amp;"2"&amp;RIGHT("00000"&amp;445,5))</f>
        <v/>
      </c>
      <c r="U450">
        <f>IF($T450="","",COUNTIFS(LdAParty,$P450,LdAType,1,LdAKey,"&lt;"&amp;$T450)+COUNTIFS(LdBMember,$P450,LdBKey,"&lt;"&amp;$T450)+COUNTIFS(LdCParty,$P450,LdCKey,"&lt;"&amp;$T450)+1)</f>
        <v/>
      </c>
      <c r="V450">
        <f>IF($U450="","",$P450&amp;"|"&amp;RIGHT("000000"&amp;$U450,6))</f>
        <v/>
      </c>
      <c r="W450">
        <f>IF($T450="","",COUNTIFS(LdBGroup,$R450,LdBKey,"&lt;"&amp;$T450)+1)</f>
        <v/>
      </c>
      <c r="X450">
        <f>IF($W450="","",$R450&amp;"|"&amp;RIGHT("000000"&amp;$W450,6))</f>
        <v/>
      </c>
      <c r="Y450">
        <f>IF($P450="","",IF(Shares!$E453="",0,Shares!$E453))</f>
        <v/>
      </c>
      <c r="Z450">
        <f>IF($P450="","",Shares!$H453)</f>
        <v/>
      </c>
      <c r="AE450">
        <f>IF(OR(Sync!$S450="",Sync!$P450=""),"",Sync!$S450)</f>
        <v/>
      </c>
      <c r="AF450">
        <f>IF($AE450="","",IF(ISNUMBER(Sync!$P450),IF(AND(Sync!$P450&gt;=10000101,Sync!$P450&lt;=99991231),INT(Sync!$P450/10000),""),IFERROR(VALUE(TRIM(LEFT(Sync!$P450,FIND("/",Sync!$P450)-1))),"")))</f>
        <v/>
      </c>
      <c r="AG450">
        <f>IF(OR($AE450="",$AF450=""),"",IF(ISNUMBER(Sync!$P450),INT(MOD(Sync!$P450,10000)/100),IFERROR(VALUE(TRIM(LEFT(MID(Sync!$P450,FIND("/",Sync!$P450)+1,20),FIND("/",MID(Sync!$P450,FIND("/",Sync!$P450)+1,20))-1))),"")))</f>
        <v/>
      </c>
      <c r="AH450">
        <f>IF(OR($AE450="",$AF450=""),"",IF(ISNUMBER(Sync!$P450),MOD(Sync!$P450,100),IFERROR(VALUE(TRIM(MID(MID(Sync!$P450,FIND("/",Sync!$P450)+1,20),FIND("/",MID(Sync!$P450,FIND("/",Sync!$P450)+1,20))+1,20))),"")))</f>
        <v/>
      </c>
      <c r="AI450">
        <f>IF($AE450="","",IF(OR($AF450="",$AG450="",$AH450="",$AF450&lt;1300,$AF450&gt;1500,$AG450&lt;1,$AG450&gt;12,$AH450&lt;1,$AH450&gt;31),"نامعتبر",RIGHT("0000"&amp;$AF450,4)&amp;"/"&amp;RIGHT("00"&amp;$AG450,2)&amp;"/"&amp;RIGHT("00"&amp;$AH450,2)))</f>
        <v/>
      </c>
      <c r="AJ450">
        <f>IF($AE450="","",IF(Sync!$Q450="","0000",IF(AND(ISNUMBER(Sync!$Q450),Sync!$Q450&gt;=0,Sync!$Q450&lt;1),RIGHT("00"&amp;HOUR(Sync!$Q450),2)&amp;RIGHT("00"&amp;MINUTE(Sync!$Q450),2),IFERROR(RIGHT("00"&amp;VALUE(LEFT(Sync!$Q450,FIND(":",Sync!$Q450)-1)),2)&amp;RIGHT("00"&amp;VALUE(MID(Sync!$Q450,FIND(":",Sync!$Q450)+1,2)),2),"0000"))))</f>
        <v/>
      </c>
      <c r="AK450">
        <f>IF(OR($AE450="",$AI450="",$AI450="نامعتبر"),"",LEFT($AI450,4)&amp;MID($AI450,6,2)&amp;RIGHT($AI450,2)&amp;$AJ450&amp;"|"&amp;"3"&amp;RIGHT("00000"&amp;445,5))</f>
        <v/>
      </c>
      <c r="AL450">
        <f>IF($AK450="","",COUNTIFS(LdAParty,$AE450,LdAType,1,LdAKey,"&lt;"&amp;$AK450)+COUNTIFS(LdBMember,$AE450,LdBKey,"&lt;"&amp;$AK450)+COUNTIFS(LdCParty,$AE450,LdCKey,"&lt;"&amp;$AK450)+1)</f>
        <v/>
      </c>
      <c r="AM450">
        <f>IF($AL450="","",$AE450&amp;"|"&amp;RIGHT("000000"&amp;$AL450,6))</f>
        <v/>
      </c>
      <c r="AN450">
        <f>IF($AE450="","",IF(Sync!$W450="",0,Sync!$W450))</f>
        <v/>
      </c>
      <c r="AO450">
        <f>IF($AE450="","",IF(Sync!$X450="",0,Sync!$X450))</f>
        <v/>
      </c>
      <c r="AP450">
        <f>IF($AE450="","",Sync!$R450)</f>
        <v/>
      </c>
      <c r="AQ450">
        <f>IF($AE450="","",Sync!$Y450)</f>
        <v/>
      </c>
    </row>
    <row r="451">
      <c r="A451">
        <f>IF(OR(Wages!$B454="",Wages!$E454=""),"",Wages!$E454)</f>
        <v/>
      </c>
      <c r="B451">
        <f>IF($A451="","",IF(Wages!$C454="دستمزد گروهی",2,1))</f>
        <v/>
      </c>
      <c r="C451">
        <f>IF($A451="","",IF(ISNUMBER(Wages!$B454),IF(AND(Wages!$B454&gt;=10000101,Wages!$B454&lt;=99991231),INT(Wages!$B454/10000),""),IFERROR(VALUE(TRIM(LEFT(Wages!$B454,FIND("/",Wages!$B454)-1))),"")))</f>
        <v/>
      </c>
      <c r="D451">
        <f>IF(OR($A451="",$C451=""),"",IF(ISNUMBER(Wages!$B454),INT(MOD(Wages!$B454,10000)/100),IFERROR(VALUE(TRIM(LEFT(MID(Wages!$B454,FIND("/",Wages!$B454)+1,20),FIND("/",MID(Wages!$B454,FIND("/",Wages!$B454)+1,20))-1))),"")))</f>
        <v/>
      </c>
      <c r="E451">
        <f>IF(OR($A451="",$C451=""),"",IF(ISNUMBER(Wages!$B454),MOD(Wages!$B454,100),IFERROR(VALUE(TRIM(MID(MID(Wages!$B454,FIND("/",Wages!$B454)+1,20),FIND("/",MID(Wages!$B454,FIND("/",Wages!$B454)+1,20))+1,20))),"")))</f>
        <v/>
      </c>
      <c r="F451">
        <f>IF($A451="","",IF(OR($C451="",$D451="",$E451="",$C451&lt;1300,$C451&gt;1500,$D451&lt;1,$D451&gt;12,$E451&lt;1,$E451&gt;31),"نامعتبر",RIGHT("0000"&amp;$C451,4)&amp;"/"&amp;RIGHT("00"&amp;$D451,2)&amp;"/"&amp;RIGHT("00"&amp;$E451,2)))</f>
        <v/>
      </c>
      <c r="G451">
        <f>IF(OR($A451="",$F451="",$F451="نامعتبر"),"",LEFT($F451,4)&amp;MID($F451,6,2)&amp;RIGHT($F451,2)&amp;"0000"&amp;"|"&amp;"1"&amp;RIGHT("00000"&amp;446,5))</f>
        <v/>
      </c>
      <c r="H451">
        <f>IF(OR($B451&lt;&gt;1,$G451=""),"",COUNTIFS(LdAParty,$A451,LdAType,1,LdAKey,"&lt;"&amp;$G451)+COUNTIFS(LdBMember,$A451,LdBKey,"&lt;"&amp;$G451)+COUNTIFS(LdCParty,$A451,LdCKey,"&lt;"&amp;$G451)+1)</f>
        <v/>
      </c>
      <c r="I451">
        <f>IF($H451="","",$A451&amp;"|"&amp;RIGHT("000000"&amp;$H451,6))</f>
        <v/>
      </c>
      <c r="J451">
        <f>IF(OR($B451&lt;&gt;2,$G451=""),"",COUNTIFS(LdAParty,$A451,LdAType,2,LdAKey,"&lt;"&amp;$G451)+1)</f>
        <v/>
      </c>
      <c r="K451">
        <f>IF($J451="","",$A451&amp;"|"&amp;RIGHT("000000"&amp;$J451,6))</f>
        <v/>
      </c>
      <c r="L451">
        <f>IF($A451="","",IF(Wages!$G454="",0,Wages!$G454))</f>
        <v/>
      </c>
      <c r="M451">
        <f>IF($A451="","",Wages!$J454)</f>
        <v/>
      </c>
      <c r="N451">
        <f>IF($A451="","",Wages!$D454)</f>
        <v/>
      </c>
      <c r="P451">
        <f>IF(OR(Shares!$B454="",Shares!$C454=""),"",Shares!$C454)</f>
        <v/>
      </c>
      <c r="Q451">
        <f>IF($P451="","",Shares!$B454)</f>
        <v/>
      </c>
      <c r="R451">
        <f>IF($P451="","",IFERROR(INDEX(WageParty,MATCH($Q451,WageIds,0)),""))</f>
        <v/>
      </c>
      <c r="S451">
        <f>IF($P451="","",IFERROR(INDEX($F$6:$F$2005,MATCH($Q451,WageIds,0)),""))</f>
        <v/>
      </c>
      <c r="T451">
        <f>IF(OR($P451="",$S451="",$S451="نامعتبر"),"",LEFT($S451,4)&amp;MID($S451,6,2)&amp;RIGHT($S451,2)&amp;"0000"&amp;"|"&amp;"2"&amp;RIGHT("00000"&amp;446,5))</f>
        <v/>
      </c>
      <c r="U451">
        <f>IF($T451="","",COUNTIFS(LdAParty,$P451,LdAType,1,LdAKey,"&lt;"&amp;$T451)+COUNTIFS(LdBMember,$P451,LdBKey,"&lt;"&amp;$T451)+COUNTIFS(LdCParty,$P451,LdCKey,"&lt;"&amp;$T451)+1)</f>
        <v/>
      </c>
      <c r="V451">
        <f>IF($U451="","",$P451&amp;"|"&amp;RIGHT("000000"&amp;$U451,6))</f>
        <v/>
      </c>
      <c r="W451">
        <f>IF($T451="","",COUNTIFS(LdBGroup,$R451,LdBKey,"&lt;"&amp;$T451)+1)</f>
        <v/>
      </c>
      <c r="X451">
        <f>IF($W451="","",$R451&amp;"|"&amp;RIGHT("000000"&amp;$W451,6))</f>
        <v/>
      </c>
      <c r="Y451">
        <f>IF($P451="","",IF(Shares!$E454="",0,Shares!$E454))</f>
        <v/>
      </c>
      <c r="Z451">
        <f>IF($P451="","",Shares!$H454)</f>
        <v/>
      </c>
      <c r="AE451">
        <f>IF(OR(Sync!$S451="",Sync!$P451=""),"",Sync!$S451)</f>
        <v/>
      </c>
      <c r="AF451">
        <f>IF($AE451="","",IF(ISNUMBER(Sync!$P451),IF(AND(Sync!$P451&gt;=10000101,Sync!$P451&lt;=99991231),INT(Sync!$P451/10000),""),IFERROR(VALUE(TRIM(LEFT(Sync!$P451,FIND("/",Sync!$P451)-1))),"")))</f>
        <v/>
      </c>
      <c r="AG451">
        <f>IF(OR($AE451="",$AF451=""),"",IF(ISNUMBER(Sync!$P451),INT(MOD(Sync!$P451,10000)/100),IFERROR(VALUE(TRIM(LEFT(MID(Sync!$P451,FIND("/",Sync!$P451)+1,20),FIND("/",MID(Sync!$P451,FIND("/",Sync!$P451)+1,20))-1))),"")))</f>
        <v/>
      </c>
      <c r="AH451">
        <f>IF(OR($AE451="",$AF451=""),"",IF(ISNUMBER(Sync!$P451),MOD(Sync!$P451,100),IFERROR(VALUE(TRIM(MID(MID(Sync!$P451,FIND("/",Sync!$P451)+1,20),FIND("/",MID(Sync!$P451,FIND("/",Sync!$P451)+1,20))+1,20))),"")))</f>
        <v/>
      </c>
      <c r="AI451">
        <f>IF($AE451="","",IF(OR($AF451="",$AG451="",$AH451="",$AF451&lt;1300,$AF451&gt;1500,$AG451&lt;1,$AG451&gt;12,$AH451&lt;1,$AH451&gt;31),"نامعتبر",RIGHT("0000"&amp;$AF451,4)&amp;"/"&amp;RIGHT("00"&amp;$AG451,2)&amp;"/"&amp;RIGHT("00"&amp;$AH451,2)))</f>
        <v/>
      </c>
      <c r="AJ451">
        <f>IF($AE451="","",IF(Sync!$Q451="","0000",IF(AND(ISNUMBER(Sync!$Q451),Sync!$Q451&gt;=0,Sync!$Q451&lt;1),RIGHT("00"&amp;HOUR(Sync!$Q451),2)&amp;RIGHT("00"&amp;MINUTE(Sync!$Q451),2),IFERROR(RIGHT("00"&amp;VALUE(LEFT(Sync!$Q451,FIND(":",Sync!$Q451)-1)),2)&amp;RIGHT("00"&amp;VALUE(MID(Sync!$Q451,FIND(":",Sync!$Q451)+1,2)),2),"0000"))))</f>
        <v/>
      </c>
      <c r="AK451">
        <f>IF(OR($AE451="",$AI451="",$AI451="نامعتبر"),"",LEFT($AI451,4)&amp;MID($AI451,6,2)&amp;RIGHT($AI451,2)&amp;$AJ451&amp;"|"&amp;"3"&amp;RIGHT("00000"&amp;446,5))</f>
        <v/>
      </c>
      <c r="AL451">
        <f>IF($AK451="","",COUNTIFS(LdAParty,$AE451,LdAType,1,LdAKey,"&lt;"&amp;$AK451)+COUNTIFS(LdBMember,$AE451,LdBKey,"&lt;"&amp;$AK451)+COUNTIFS(LdCParty,$AE451,LdCKey,"&lt;"&amp;$AK451)+1)</f>
        <v/>
      </c>
      <c r="AM451">
        <f>IF($AL451="","",$AE451&amp;"|"&amp;RIGHT("000000"&amp;$AL451,6))</f>
        <v/>
      </c>
      <c r="AN451">
        <f>IF($AE451="","",IF(Sync!$W451="",0,Sync!$W451))</f>
        <v/>
      </c>
      <c r="AO451">
        <f>IF($AE451="","",IF(Sync!$X451="",0,Sync!$X451))</f>
        <v/>
      </c>
      <c r="AP451">
        <f>IF($AE451="","",Sync!$R451)</f>
        <v/>
      </c>
      <c r="AQ451">
        <f>IF($AE451="","",Sync!$Y451)</f>
        <v/>
      </c>
    </row>
    <row r="452">
      <c r="A452">
        <f>IF(OR(Wages!$B455="",Wages!$E455=""),"",Wages!$E455)</f>
        <v/>
      </c>
      <c r="B452">
        <f>IF($A452="","",IF(Wages!$C455="دستمزد گروهی",2,1))</f>
        <v/>
      </c>
      <c r="C452">
        <f>IF($A452="","",IF(ISNUMBER(Wages!$B455),IF(AND(Wages!$B455&gt;=10000101,Wages!$B455&lt;=99991231),INT(Wages!$B455/10000),""),IFERROR(VALUE(TRIM(LEFT(Wages!$B455,FIND("/",Wages!$B455)-1))),"")))</f>
        <v/>
      </c>
      <c r="D452">
        <f>IF(OR($A452="",$C452=""),"",IF(ISNUMBER(Wages!$B455),INT(MOD(Wages!$B455,10000)/100),IFERROR(VALUE(TRIM(LEFT(MID(Wages!$B455,FIND("/",Wages!$B455)+1,20),FIND("/",MID(Wages!$B455,FIND("/",Wages!$B455)+1,20))-1))),"")))</f>
        <v/>
      </c>
      <c r="E452">
        <f>IF(OR($A452="",$C452=""),"",IF(ISNUMBER(Wages!$B455),MOD(Wages!$B455,100),IFERROR(VALUE(TRIM(MID(MID(Wages!$B455,FIND("/",Wages!$B455)+1,20),FIND("/",MID(Wages!$B455,FIND("/",Wages!$B455)+1,20))+1,20))),"")))</f>
        <v/>
      </c>
      <c r="F452">
        <f>IF($A452="","",IF(OR($C452="",$D452="",$E452="",$C452&lt;1300,$C452&gt;1500,$D452&lt;1,$D452&gt;12,$E452&lt;1,$E452&gt;31),"نامعتبر",RIGHT("0000"&amp;$C452,4)&amp;"/"&amp;RIGHT("00"&amp;$D452,2)&amp;"/"&amp;RIGHT("00"&amp;$E452,2)))</f>
        <v/>
      </c>
      <c r="G452">
        <f>IF(OR($A452="",$F452="",$F452="نامعتبر"),"",LEFT($F452,4)&amp;MID($F452,6,2)&amp;RIGHT($F452,2)&amp;"0000"&amp;"|"&amp;"1"&amp;RIGHT("00000"&amp;447,5))</f>
        <v/>
      </c>
      <c r="H452">
        <f>IF(OR($B452&lt;&gt;1,$G452=""),"",COUNTIFS(LdAParty,$A452,LdAType,1,LdAKey,"&lt;"&amp;$G452)+COUNTIFS(LdBMember,$A452,LdBKey,"&lt;"&amp;$G452)+COUNTIFS(LdCParty,$A452,LdCKey,"&lt;"&amp;$G452)+1)</f>
        <v/>
      </c>
      <c r="I452">
        <f>IF($H452="","",$A452&amp;"|"&amp;RIGHT("000000"&amp;$H452,6))</f>
        <v/>
      </c>
      <c r="J452">
        <f>IF(OR($B452&lt;&gt;2,$G452=""),"",COUNTIFS(LdAParty,$A452,LdAType,2,LdAKey,"&lt;"&amp;$G452)+1)</f>
        <v/>
      </c>
      <c r="K452">
        <f>IF($J452="","",$A452&amp;"|"&amp;RIGHT("000000"&amp;$J452,6))</f>
        <v/>
      </c>
      <c r="L452">
        <f>IF($A452="","",IF(Wages!$G455="",0,Wages!$G455))</f>
        <v/>
      </c>
      <c r="M452">
        <f>IF($A452="","",Wages!$J455)</f>
        <v/>
      </c>
      <c r="N452">
        <f>IF($A452="","",Wages!$D455)</f>
        <v/>
      </c>
      <c r="P452">
        <f>IF(OR(Shares!$B455="",Shares!$C455=""),"",Shares!$C455)</f>
        <v/>
      </c>
      <c r="Q452">
        <f>IF($P452="","",Shares!$B455)</f>
        <v/>
      </c>
      <c r="R452">
        <f>IF($P452="","",IFERROR(INDEX(WageParty,MATCH($Q452,WageIds,0)),""))</f>
        <v/>
      </c>
      <c r="S452">
        <f>IF($P452="","",IFERROR(INDEX($F$6:$F$2005,MATCH($Q452,WageIds,0)),""))</f>
        <v/>
      </c>
      <c r="T452">
        <f>IF(OR($P452="",$S452="",$S452="نامعتبر"),"",LEFT($S452,4)&amp;MID($S452,6,2)&amp;RIGHT($S452,2)&amp;"0000"&amp;"|"&amp;"2"&amp;RIGHT("00000"&amp;447,5))</f>
        <v/>
      </c>
      <c r="U452">
        <f>IF($T452="","",COUNTIFS(LdAParty,$P452,LdAType,1,LdAKey,"&lt;"&amp;$T452)+COUNTIFS(LdBMember,$P452,LdBKey,"&lt;"&amp;$T452)+COUNTIFS(LdCParty,$P452,LdCKey,"&lt;"&amp;$T452)+1)</f>
        <v/>
      </c>
      <c r="V452">
        <f>IF($U452="","",$P452&amp;"|"&amp;RIGHT("000000"&amp;$U452,6))</f>
        <v/>
      </c>
      <c r="W452">
        <f>IF($T452="","",COUNTIFS(LdBGroup,$R452,LdBKey,"&lt;"&amp;$T452)+1)</f>
        <v/>
      </c>
      <c r="X452">
        <f>IF($W452="","",$R452&amp;"|"&amp;RIGHT("000000"&amp;$W452,6))</f>
        <v/>
      </c>
      <c r="Y452">
        <f>IF($P452="","",IF(Shares!$E455="",0,Shares!$E455))</f>
        <v/>
      </c>
      <c r="Z452">
        <f>IF($P452="","",Shares!$H455)</f>
        <v/>
      </c>
      <c r="AE452">
        <f>IF(OR(Sync!$S452="",Sync!$P452=""),"",Sync!$S452)</f>
        <v/>
      </c>
      <c r="AF452">
        <f>IF($AE452="","",IF(ISNUMBER(Sync!$P452),IF(AND(Sync!$P452&gt;=10000101,Sync!$P452&lt;=99991231),INT(Sync!$P452/10000),""),IFERROR(VALUE(TRIM(LEFT(Sync!$P452,FIND("/",Sync!$P452)-1))),"")))</f>
        <v/>
      </c>
      <c r="AG452">
        <f>IF(OR($AE452="",$AF452=""),"",IF(ISNUMBER(Sync!$P452),INT(MOD(Sync!$P452,10000)/100),IFERROR(VALUE(TRIM(LEFT(MID(Sync!$P452,FIND("/",Sync!$P452)+1,20),FIND("/",MID(Sync!$P452,FIND("/",Sync!$P452)+1,20))-1))),"")))</f>
        <v/>
      </c>
      <c r="AH452">
        <f>IF(OR($AE452="",$AF452=""),"",IF(ISNUMBER(Sync!$P452),MOD(Sync!$P452,100),IFERROR(VALUE(TRIM(MID(MID(Sync!$P452,FIND("/",Sync!$P452)+1,20),FIND("/",MID(Sync!$P452,FIND("/",Sync!$P452)+1,20))+1,20))),"")))</f>
        <v/>
      </c>
      <c r="AI452">
        <f>IF($AE452="","",IF(OR($AF452="",$AG452="",$AH452="",$AF452&lt;1300,$AF452&gt;1500,$AG452&lt;1,$AG452&gt;12,$AH452&lt;1,$AH452&gt;31),"نامعتبر",RIGHT("0000"&amp;$AF452,4)&amp;"/"&amp;RIGHT("00"&amp;$AG452,2)&amp;"/"&amp;RIGHT("00"&amp;$AH452,2)))</f>
        <v/>
      </c>
      <c r="AJ452">
        <f>IF($AE452="","",IF(Sync!$Q452="","0000",IF(AND(ISNUMBER(Sync!$Q452),Sync!$Q452&gt;=0,Sync!$Q452&lt;1),RIGHT("00"&amp;HOUR(Sync!$Q452),2)&amp;RIGHT("00"&amp;MINUTE(Sync!$Q452),2),IFERROR(RIGHT("00"&amp;VALUE(LEFT(Sync!$Q452,FIND(":",Sync!$Q452)-1)),2)&amp;RIGHT("00"&amp;VALUE(MID(Sync!$Q452,FIND(":",Sync!$Q452)+1,2)),2),"0000"))))</f>
        <v/>
      </c>
      <c r="AK452">
        <f>IF(OR($AE452="",$AI452="",$AI452="نامعتبر"),"",LEFT($AI452,4)&amp;MID($AI452,6,2)&amp;RIGHT($AI452,2)&amp;$AJ452&amp;"|"&amp;"3"&amp;RIGHT("00000"&amp;447,5))</f>
        <v/>
      </c>
      <c r="AL452">
        <f>IF($AK452="","",COUNTIFS(LdAParty,$AE452,LdAType,1,LdAKey,"&lt;"&amp;$AK452)+COUNTIFS(LdBMember,$AE452,LdBKey,"&lt;"&amp;$AK452)+COUNTIFS(LdCParty,$AE452,LdCKey,"&lt;"&amp;$AK452)+1)</f>
        <v/>
      </c>
      <c r="AM452">
        <f>IF($AL452="","",$AE452&amp;"|"&amp;RIGHT("000000"&amp;$AL452,6))</f>
        <v/>
      </c>
      <c r="AN452">
        <f>IF($AE452="","",IF(Sync!$W452="",0,Sync!$W452))</f>
        <v/>
      </c>
      <c r="AO452">
        <f>IF($AE452="","",IF(Sync!$X452="",0,Sync!$X452))</f>
        <v/>
      </c>
      <c r="AP452">
        <f>IF($AE452="","",Sync!$R452)</f>
        <v/>
      </c>
      <c r="AQ452">
        <f>IF($AE452="","",Sync!$Y452)</f>
        <v/>
      </c>
    </row>
    <row r="453">
      <c r="A453">
        <f>IF(OR(Wages!$B456="",Wages!$E456=""),"",Wages!$E456)</f>
        <v/>
      </c>
      <c r="B453">
        <f>IF($A453="","",IF(Wages!$C456="دستمزد گروهی",2,1))</f>
        <v/>
      </c>
      <c r="C453">
        <f>IF($A453="","",IF(ISNUMBER(Wages!$B456),IF(AND(Wages!$B456&gt;=10000101,Wages!$B456&lt;=99991231),INT(Wages!$B456/10000),""),IFERROR(VALUE(TRIM(LEFT(Wages!$B456,FIND("/",Wages!$B456)-1))),"")))</f>
        <v/>
      </c>
      <c r="D453">
        <f>IF(OR($A453="",$C453=""),"",IF(ISNUMBER(Wages!$B456),INT(MOD(Wages!$B456,10000)/100),IFERROR(VALUE(TRIM(LEFT(MID(Wages!$B456,FIND("/",Wages!$B456)+1,20),FIND("/",MID(Wages!$B456,FIND("/",Wages!$B456)+1,20))-1))),"")))</f>
        <v/>
      </c>
      <c r="E453">
        <f>IF(OR($A453="",$C453=""),"",IF(ISNUMBER(Wages!$B456),MOD(Wages!$B456,100),IFERROR(VALUE(TRIM(MID(MID(Wages!$B456,FIND("/",Wages!$B456)+1,20),FIND("/",MID(Wages!$B456,FIND("/",Wages!$B456)+1,20))+1,20))),"")))</f>
        <v/>
      </c>
      <c r="F453">
        <f>IF($A453="","",IF(OR($C453="",$D453="",$E453="",$C453&lt;1300,$C453&gt;1500,$D453&lt;1,$D453&gt;12,$E453&lt;1,$E453&gt;31),"نامعتبر",RIGHT("0000"&amp;$C453,4)&amp;"/"&amp;RIGHT("00"&amp;$D453,2)&amp;"/"&amp;RIGHT("00"&amp;$E453,2)))</f>
        <v/>
      </c>
      <c r="G453">
        <f>IF(OR($A453="",$F453="",$F453="نامعتبر"),"",LEFT($F453,4)&amp;MID($F453,6,2)&amp;RIGHT($F453,2)&amp;"0000"&amp;"|"&amp;"1"&amp;RIGHT("00000"&amp;448,5))</f>
        <v/>
      </c>
      <c r="H453">
        <f>IF(OR($B453&lt;&gt;1,$G453=""),"",COUNTIFS(LdAParty,$A453,LdAType,1,LdAKey,"&lt;"&amp;$G453)+COUNTIFS(LdBMember,$A453,LdBKey,"&lt;"&amp;$G453)+COUNTIFS(LdCParty,$A453,LdCKey,"&lt;"&amp;$G453)+1)</f>
        <v/>
      </c>
      <c r="I453">
        <f>IF($H453="","",$A453&amp;"|"&amp;RIGHT("000000"&amp;$H453,6))</f>
        <v/>
      </c>
      <c r="J453">
        <f>IF(OR($B453&lt;&gt;2,$G453=""),"",COUNTIFS(LdAParty,$A453,LdAType,2,LdAKey,"&lt;"&amp;$G453)+1)</f>
        <v/>
      </c>
      <c r="K453">
        <f>IF($J453="","",$A453&amp;"|"&amp;RIGHT("000000"&amp;$J453,6))</f>
        <v/>
      </c>
      <c r="L453">
        <f>IF($A453="","",IF(Wages!$G456="",0,Wages!$G456))</f>
        <v/>
      </c>
      <c r="M453">
        <f>IF($A453="","",Wages!$J456)</f>
        <v/>
      </c>
      <c r="N453">
        <f>IF($A453="","",Wages!$D456)</f>
        <v/>
      </c>
      <c r="P453">
        <f>IF(OR(Shares!$B456="",Shares!$C456=""),"",Shares!$C456)</f>
        <v/>
      </c>
      <c r="Q453">
        <f>IF($P453="","",Shares!$B456)</f>
        <v/>
      </c>
      <c r="R453">
        <f>IF($P453="","",IFERROR(INDEX(WageParty,MATCH($Q453,WageIds,0)),""))</f>
        <v/>
      </c>
      <c r="S453">
        <f>IF($P453="","",IFERROR(INDEX($F$6:$F$2005,MATCH($Q453,WageIds,0)),""))</f>
        <v/>
      </c>
      <c r="T453">
        <f>IF(OR($P453="",$S453="",$S453="نامعتبر"),"",LEFT($S453,4)&amp;MID($S453,6,2)&amp;RIGHT($S453,2)&amp;"0000"&amp;"|"&amp;"2"&amp;RIGHT("00000"&amp;448,5))</f>
        <v/>
      </c>
      <c r="U453">
        <f>IF($T453="","",COUNTIFS(LdAParty,$P453,LdAType,1,LdAKey,"&lt;"&amp;$T453)+COUNTIFS(LdBMember,$P453,LdBKey,"&lt;"&amp;$T453)+COUNTIFS(LdCParty,$P453,LdCKey,"&lt;"&amp;$T453)+1)</f>
        <v/>
      </c>
      <c r="V453">
        <f>IF($U453="","",$P453&amp;"|"&amp;RIGHT("000000"&amp;$U453,6))</f>
        <v/>
      </c>
      <c r="W453">
        <f>IF($T453="","",COUNTIFS(LdBGroup,$R453,LdBKey,"&lt;"&amp;$T453)+1)</f>
        <v/>
      </c>
      <c r="X453">
        <f>IF($W453="","",$R453&amp;"|"&amp;RIGHT("000000"&amp;$W453,6))</f>
        <v/>
      </c>
      <c r="Y453">
        <f>IF($P453="","",IF(Shares!$E456="",0,Shares!$E456))</f>
        <v/>
      </c>
      <c r="Z453">
        <f>IF($P453="","",Shares!$H456)</f>
        <v/>
      </c>
      <c r="AE453">
        <f>IF(OR(Sync!$S453="",Sync!$P453=""),"",Sync!$S453)</f>
        <v/>
      </c>
      <c r="AF453">
        <f>IF($AE453="","",IF(ISNUMBER(Sync!$P453),IF(AND(Sync!$P453&gt;=10000101,Sync!$P453&lt;=99991231),INT(Sync!$P453/10000),""),IFERROR(VALUE(TRIM(LEFT(Sync!$P453,FIND("/",Sync!$P453)-1))),"")))</f>
        <v/>
      </c>
      <c r="AG453">
        <f>IF(OR($AE453="",$AF453=""),"",IF(ISNUMBER(Sync!$P453),INT(MOD(Sync!$P453,10000)/100),IFERROR(VALUE(TRIM(LEFT(MID(Sync!$P453,FIND("/",Sync!$P453)+1,20),FIND("/",MID(Sync!$P453,FIND("/",Sync!$P453)+1,20))-1))),"")))</f>
        <v/>
      </c>
      <c r="AH453">
        <f>IF(OR($AE453="",$AF453=""),"",IF(ISNUMBER(Sync!$P453),MOD(Sync!$P453,100),IFERROR(VALUE(TRIM(MID(MID(Sync!$P453,FIND("/",Sync!$P453)+1,20),FIND("/",MID(Sync!$P453,FIND("/",Sync!$P453)+1,20))+1,20))),"")))</f>
        <v/>
      </c>
      <c r="AI453">
        <f>IF($AE453="","",IF(OR($AF453="",$AG453="",$AH453="",$AF453&lt;1300,$AF453&gt;1500,$AG453&lt;1,$AG453&gt;12,$AH453&lt;1,$AH453&gt;31),"نامعتبر",RIGHT("0000"&amp;$AF453,4)&amp;"/"&amp;RIGHT("00"&amp;$AG453,2)&amp;"/"&amp;RIGHT("00"&amp;$AH453,2)))</f>
        <v/>
      </c>
      <c r="AJ453">
        <f>IF($AE453="","",IF(Sync!$Q453="","0000",IF(AND(ISNUMBER(Sync!$Q453),Sync!$Q453&gt;=0,Sync!$Q453&lt;1),RIGHT("00"&amp;HOUR(Sync!$Q453),2)&amp;RIGHT("00"&amp;MINUTE(Sync!$Q453),2),IFERROR(RIGHT("00"&amp;VALUE(LEFT(Sync!$Q453,FIND(":",Sync!$Q453)-1)),2)&amp;RIGHT("00"&amp;VALUE(MID(Sync!$Q453,FIND(":",Sync!$Q453)+1,2)),2),"0000"))))</f>
        <v/>
      </c>
      <c r="AK453">
        <f>IF(OR($AE453="",$AI453="",$AI453="نامعتبر"),"",LEFT($AI453,4)&amp;MID($AI453,6,2)&amp;RIGHT($AI453,2)&amp;$AJ453&amp;"|"&amp;"3"&amp;RIGHT("00000"&amp;448,5))</f>
        <v/>
      </c>
      <c r="AL453">
        <f>IF($AK453="","",COUNTIFS(LdAParty,$AE453,LdAType,1,LdAKey,"&lt;"&amp;$AK453)+COUNTIFS(LdBMember,$AE453,LdBKey,"&lt;"&amp;$AK453)+COUNTIFS(LdCParty,$AE453,LdCKey,"&lt;"&amp;$AK453)+1)</f>
        <v/>
      </c>
      <c r="AM453">
        <f>IF($AL453="","",$AE453&amp;"|"&amp;RIGHT("000000"&amp;$AL453,6))</f>
        <v/>
      </c>
      <c r="AN453">
        <f>IF($AE453="","",IF(Sync!$W453="",0,Sync!$W453))</f>
        <v/>
      </c>
      <c r="AO453">
        <f>IF($AE453="","",IF(Sync!$X453="",0,Sync!$X453))</f>
        <v/>
      </c>
      <c r="AP453">
        <f>IF($AE453="","",Sync!$R453)</f>
        <v/>
      </c>
      <c r="AQ453">
        <f>IF($AE453="","",Sync!$Y453)</f>
        <v/>
      </c>
    </row>
    <row r="454">
      <c r="A454">
        <f>IF(OR(Wages!$B457="",Wages!$E457=""),"",Wages!$E457)</f>
        <v/>
      </c>
      <c r="B454">
        <f>IF($A454="","",IF(Wages!$C457="دستمزد گروهی",2,1))</f>
        <v/>
      </c>
      <c r="C454">
        <f>IF($A454="","",IF(ISNUMBER(Wages!$B457),IF(AND(Wages!$B457&gt;=10000101,Wages!$B457&lt;=99991231),INT(Wages!$B457/10000),""),IFERROR(VALUE(TRIM(LEFT(Wages!$B457,FIND("/",Wages!$B457)-1))),"")))</f>
        <v/>
      </c>
      <c r="D454">
        <f>IF(OR($A454="",$C454=""),"",IF(ISNUMBER(Wages!$B457),INT(MOD(Wages!$B457,10000)/100),IFERROR(VALUE(TRIM(LEFT(MID(Wages!$B457,FIND("/",Wages!$B457)+1,20),FIND("/",MID(Wages!$B457,FIND("/",Wages!$B457)+1,20))-1))),"")))</f>
        <v/>
      </c>
      <c r="E454">
        <f>IF(OR($A454="",$C454=""),"",IF(ISNUMBER(Wages!$B457),MOD(Wages!$B457,100),IFERROR(VALUE(TRIM(MID(MID(Wages!$B457,FIND("/",Wages!$B457)+1,20),FIND("/",MID(Wages!$B457,FIND("/",Wages!$B457)+1,20))+1,20))),"")))</f>
        <v/>
      </c>
      <c r="F454">
        <f>IF($A454="","",IF(OR($C454="",$D454="",$E454="",$C454&lt;1300,$C454&gt;1500,$D454&lt;1,$D454&gt;12,$E454&lt;1,$E454&gt;31),"نامعتبر",RIGHT("0000"&amp;$C454,4)&amp;"/"&amp;RIGHT("00"&amp;$D454,2)&amp;"/"&amp;RIGHT("00"&amp;$E454,2)))</f>
        <v/>
      </c>
      <c r="G454">
        <f>IF(OR($A454="",$F454="",$F454="نامعتبر"),"",LEFT($F454,4)&amp;MID($F454,6,2)&amp;RIGHT($F454,2)&amp;"0000"&amp;"|"&amp;"1"&amp;RIGHT("00000"&amp;449,5))</f>
        <v/>
      </c>
      <c r="H454">
        <f>IF(OR($B454&lt;&gt;1,$G454=""),"",COUNTIFS(LdAParty,$A454,LdAType,1,LdAKey,"&lt;"&amp;$G454)+COUNTIFS(LdBMember,$A454,LdBKey,"&lt;"&amp;$G454)+COUNTIFS(LdCParty,$A454,LdCKey,"&lt;"&amp;$G454)+1)</f>
        <v/>
      </c>
      <c r="I454">
        <f>IF($H454="","",$A454&amp;"|"&amp;RIGHT("000000"&amp;$H454,6))</f>
        <v/>
      </c>
      <c r="J454">
        <f>IF(OR($B454&lt;&gt;2,$G454=""),"",COUNTIFS(LdAParty,$A454,LdAType,2,LdAKey,"&lt;"&amp;$G454)+1)</f>
        <v/>
      </c>
      <c r="K454">
        <f>IF($J454="","",$A454&amp;"|"&amp;RIGHT("000000"&amp;$J454,6))</f>
        <v/>
      </c>
      <c r="L454">
        <f>IF($A454="","",IF(Wages!$G457="",0,Wages!$G457))</f>
        <v/>
      </c>
      <c r="M454">
        <f>IF($A454="","",Wages!$J457)</f>
        <v/>
      </c>
      <c r="N454">
        <f>IF($A454="","",Wages!$D457)</f>
        <v/>
      </c>
      <c r="P454">
        <f>IF(OR(Shares!$B457="",Shares!$C457=""),"",Shares!$C457)</f>
        <v/>
      </c>
      <c r="Q454">
        <f>IF($P454="","",Shares!$B457)</f>
        <v/>
      </c>
      <c r="R454">
        <f>IF($P454="","",IFERROR(INDEX(WageParty,MATCH($Q454,WageIds,0)),""))</f>
        <v/>
      </c>
      <c r="S454">
        <f>IF($P454="","",IFERROR(INDEX($F$6:$F$2005,MATCH($Q454,WageIds,0)),""))</f>
        <v/>
      </c>
      <c r="T454">
        <f>IF(OR($P454="",$S454="",$S454="نامعتبر"),"",LEFT($S454,4)&amp;MID($S454,6,2)&amp;RIGHT($S454,2)&amp;"0000"&amp;"|"&amp;"2"&amp;RIGHT("00000"&amp;449,5))</f>
        <v/>
      </c>
      <c r="U454">
        <f>IF($T454="","",COUNTIFS(LdAParty,$P454,LdAType,1,LdAKey,"&lt;"&amp;$T454)+COUNTIFS(LdBMember,$P454,LdBKey,"&lt;"&amp;$T454)+COUNTIFS(LdCParty,$P454,LdCKey,"&lt;"&amp;$T454)+1)</f>
        <v/>
      </c>
      <c r="V454">
        <f>IF($U454="","",$P454&amp;"|"&amp;RIGHT("000000"&amp;$U454,6))</f>
        <v/>
      </c>
      <c r="W454">
        <f>IF($T454="","",COUNTIFS(LdBGroup,$R454,LdBKey,"&lt;"&amp;$T454)+1)</f>
        <v/>
      </c>
      <c r="X454">
        <f>IF($W454="","",$R454&amp;"|"&amp;RIGHT("000000"&amp;$W454,6))</f>
        <v/>
      </c>
      <c r="Y454">
        <f>IF($P454="","",IF(Shares!$E457="",0,Shares!$E457))</f>
        <v/>
      </c>
      <c r="Z454">
        <f>IF($P454="","",Shares!$H457)</f>
        <v/>
      </c>
      <c r="AE454">
        <f>IF(OR(Sync!$S454="",Sync!$P454=""),"",Sync!$S454)</f>
        <v/>
      </c>
      <c r="AF454">
        <f>IF($AE454="","",IF(ISNUMBER(Sync!$P454),IF(AND(Sync!$P454&gt;=10000101,Sync!$P454&lt;=99991231),INT(Sync!$P454/10000),""),IFERROR(VALUE(TRIM(LEFT(Sync!$P454,FIND("/",Sync!$P454)-1))),"")))</f>
        <v/>
      </c>
      <c r="AG454">
        <f>IF(OR($AE454="",$AF454=""),"",IF(ISNUMBER(Sync!$P454),INT(MOD(Sync!$P454,10000)/100),IFERROR(VALUE(TRIM(LEFT(MID(Sync!$P454,FIND("/",Sync!$P454)+1,20),FIND("/",MID(Sync!$P454,FIND("/",Sync!$P454)+1,20))-1))),"")))</f>
        <v/>
      </c>
      <c r="AH454">
        <f>IF(OR($AE454="",$AF454=""),"",IF(ISNUMBER(Sync!$P454),MOD(Sync!$P454,100),IFERROR(VALUE(TRIM(MID(MID(Sync!$P454,FIND("/",Sync!$P454)+1,20),FIND("/",MID(Sync!$P454,FIND("/",Sync!$P454)+1,20))+1,20))),"")))</f>
        <v/>
      </c>
      <c r="AI454">
        <f>IF($AE454="","",IF(OR($AF454="",$AG454="",$AH454="",$AF454&lt;1300,$AF454&gt;1500,$AG454&lt;1,$AG454&gt;12,$AH454&lt;1,$AH454&gt;31),"نامعتبر",RIGHT("0000"&amp;$AF454,4)&amp;"/"&amp;RIGHT("00"&amp;$AG454,2)&amp;"/"&amp;RIGHT("00"&amp;$AH454,2)))</f>
        <v/>
      </c>
      <c r="AJ454">
        <f>IF($AE454="","",IF(Sync!$Q454="","0000",IF(AND(ISNUMBER(Sync!$Q454),Sync!$Q454&gt;=0,Sync!$Q454&lt;1),RIGHT("00"&amp;HOUR(Sync!$Q454),2)&amp;RIGHT("00"&amp;MINUTE(Sync!$Q454),2),IFERROR(RIGHT("00"&amp;VALUE(LEFT(Sync!$Q454,FIND(":",Sync!$Q454)-1)),2)&amp;RIGHT("00"&amp;VALUE(MID(Sync!$Q454,FIND(":",Sync!$Q454)+1,2)),2),"0000"))))</f>
        <v/>
      </c>
      <c r="AK454">
        <f>IF(OR($AE454="",$AI454="",$AI454="نامعتبر"),"",LEFT($AI454,4)&amp;MID($AI454,6,2)&amp;RIGHT($AI454,2)&amp;$AJ454&amp;"|"&amp;"3"&amp;RIGHT("00000"&amp;449,5))</f>
        <v/>
      </c>
      <c r="AL454">
        <f>IF($AK454="","",COUNTIFS(LdAParty,$AE454,LdAType,1,LdAKey,"&lt;"&amp;$AK454)+COUNTIFS(LdBMember,$AE454,LdBKey,"&lt;"&amp;$AK454)+COUNTIFS(LdCParty,$AE454,LdCKey,"&lt;"&amp;$AK454)+1)</f>
        <v/>
      </c>
      <c r="AM454">
        <f>IF($AL454="","",$AE454&amp;"|"&amp;RIGHT("000000"&amp;$AL454,6))</f>
        <v/>
      </c>
      <c r="AN454">
        <f>IF($AE454="","",IF(Sync!$W454="",0,Sync!$W454))</f>
        <v/>
      </c>
      <c r="AO454">
        <f>IF($AE454="","",IF(Sync!$X454="",0,Sync!$X454))</f>
        <v/>
      </c>
      <c r="AP454">
        <f>IF($AE454="","",Sync!$R454)</f>
        <v/>
      </c>
      <c r="AQ454">
        <f>IF($AE454="","",Sync!$Y454)</f>
        <v/>
      </c>
    </row>
    <row r="455">
      <c r="A455">
        <f>IF(OR(Wages!$B458="",Wages!$E458=""),"",Wages!$E458)</f>
        <v/>
      </c>
      <c r="B455">
        <f>IF($A455="","",IF(Wages!$C458="دستمزد گروهی",2,1))</f>
        <v/>
      </c>
      <c r="C455">
        <f>IF($A455="","",IF(ISNUMBER(Wages!$B458),IF(AND(Wages!$B458&gt;=10000101,Wages!$B458&lt;=99991231),INT(Wages!$B458/10000),""),IFERROR(VALUE(TRIM(LEFT(Wages!$B458,FIND("/",Wages!$B458)-1))),"")))</f>
        <v/>
      </c>
      <c r="D455">
        <f>IF(OR($A455="",$C455=""),"",IF(ISNUMBER(Wages!$B458),INT(MOD(Wages!$B458,10000)/100),IFERROR(VALUE(TRIM(LEFT(MID(Wages!$B458,FIND("/",Wages!$B458)+1,20),FIND("/",MID(Wages!$B458,FIND("/",Wages!$B458)+1,20))-1))),"")))</f>
        <v/>
      </c>
      <c r="E455">
        <f>IF(OR($A455="",$C455=""),"",IF(ISNUMBER(Wages!$B458),MOD(Wages!$B458,100),IFERROR(VALUE(TRIM(MID(MID(Wages!$B458,FIND("/",Wages!$B458)+1,20),FIND("/",MID(Wages!$B458,FIND("/",Wages!$B458)+1,20))+1,20))),"")))</f>
        <v/>
      </c>
      <c r="F455">
        <f>IF($A455="","",IF(OR($C455="",$D455="",$E455="",$C455&lt;1300,$C455&gt;1500,$D455&lt;1,$D455&gt;12,$E455&lt;1,$E455&gt;31),"نامعتبر",RIGHT("0000"&amp;$C455,4)&amp;"/"&amp;RIGHT("00"&amp;$D455,2)&amp;"/"&amp;RIGHT("00"&amp;$E455,2)))</f>
        <v/>
      </c>
      <c r="G455">
        <f>IF(OR($A455="",$F455="",$F455="نامعتبر"),"",LEFT($F455,4)&amp;MID($F455,6,2)&amp;RIGHT($F455,2)&amp;"0000"&amp;"|"&amp;"1"&amp;RIGHT("00000"&amp;450,5))</f>
        <v/>
      </c>
      <c r="H455">
        <f>IF(OR($B455&lt;&gt;1,$G455=""),"",COUNTIFS(LdAParty,$A455,LdAType,1,LdAKey,"&lt;"&amp;$G455)+COUNTIFS(LdBMember,$A455,LdBKey,"&lt;"&amp;$G455)+COUNTIFS(LdCParty,$A455,LdCKey,"&lt;"&amp;$G455)+1)</f>
        <v/>
      </c>
      <c r="I455">
        <f>IF($H455="","",$A455&amp;"|"&amp;RIGHT("000000"&amp;$H455,6))</f>
        <v/>
      </c>
      <c r="J455">
        <f>IF(OR($B455&lt;&gt;2,$G455=""),"",COUNTIFS(LdAParty,$A455,LdAType,2,LdAKey,"&lt;"&amp;$G455)+1)</f>
        <v/>
      </c>
      <c r="K455">
        <f>IF($J455="","",$A455&amp;"|"&amp;RIGHT("000000"&amp;$J455,6))</f>
        <v/>
      </c>
      <c r="L455">
        <f>IF($A455="","",IF(Wages!$G458="",0,Wages!$G458))</f>
        <v/>
      </c>
      <c r="M455">
        <f>IF($A455="","",Wages!$J458)</f>
        <v/>
      </c>
      <c r="N455">
        <f>IF($A455="","",Wages!$D458)</f>
        <v/>
      </c>
      <c r="P455">
        <f>IF(OR(Shares!$B458="",Shares!$C458=""),"",Shares!$C458)</f>
        <v/>
      </c>
      <c r="Q455">
        <f>IF($P455="","",Shares!$B458)</f>
        <v/>
      </c>
      <c r="R455">
        <f>IF($P455="","",IFERROR(INDEX(WageParty,MATCH($Q455,WageIds,0)),""))</f>
        <v/>
      </c>
      <c r="S455">
        <f>IF($P455="","",IFERROR(INDEX($F$6:$F$2005,MATCH($Q455,WageIds,0)),""))</f>
        <v/>
      </c>
      <c r="T455">
        <f>IF(OR($P455="",$S455="",$S455="نامعتبر"),"",LEFT($S455,4)&amp;MID($S455,6,2)&amp;RIGHT($S455,2)&amp;"0000"&amp;"|"&amp;"2"&amp;RIGHT("00000"&amp;450,5))</f>
        <v/>
      </c>
      <c r="U455">
        <f>IF($T455="","",COUNTIFS(LdAParty,$P455,LdAType,1,LdAKey,"&lt;"&amp;$T455)+COUNTIFS(LdBMember,$P455,LdBKey,"&lt;"&amp;$T455)+COUNTIFS(LdCParty,$P455,LdCKey,"&lt;"&amp;$T455)+1)</f>
        <v/>
      </c>
      <c r="V455">
        <f>IF($U455="","",$P455&amp;"|"&amp;RIGHT("000000"&amp;$U455,6))</f>
        <v/>
      </c>
      <c r="W455">
        <f>IF($T455="","",COUNTIFS(LdBGroup,$R455,LdBKey,"&lt;"&amp;$T455)+1)</f>
        <v/>
      </c>
      <c r="X455">
        <f>IF($W455="","",$R455&amp;"|"&amp;RIGHT("000000"&amp;$W455,6))</f>
        <v/>
      </c>
      <c r="Y455">
        <f>IF($P455="","",IF(Shares!$E458="",0,Shares!$E458))</f>
        <v/>
      </c>
      <c r="Z455">
        <f>IF($P455="","",Shares!$H458)</f>
        <v/>
      </c>
      <c r="AE455">
        <f>IF(OR(Sync!$S455="",Sync!$P455=""),"",Sync!$S455)</f>
        <v/>
      </c>
      <c r="AF455">
        <f>IF($AE455="","",IF(ISNUMBER(Sync!$P455),IF(AND(Sync!$P455&gt;=10000101,Sync!$P455&lt;=99991231),INT(Sync!$P455/10000),""),IFERROR(VALUE(TRIM(LEFT(Sync!$P455,FIND("/",Sync!$P455)-1))),"")))</f>
        <v/>
      </c>
      <c r="AG455">
        <f>IF(OR($AE455="",$AF455=""),"",IF(ISNUMBER(Sync!$P455),INT(MOD(Sync!$P455,10000)/100),IFERROR(VALUE(TRIM(LEFT(MID(Sync!$P455,FIND("/",Sync!$P455)+1,20),FIND("/",MID(Sync!$P455,FIND("/",Sync!$P455)+1,20))-1))),"")))</f>
        <v/>
      </c>
      <c r="AH455">
        <f>IF(OR($AE455="",$AF455=""),"",IF(ISNUMBER(Sync!$P455),MOD(Sync!$P455,100),IFERROR(VALUE(TRIM(MID(MID(Sync!$P455,FIND("/",Sync!$P455)+1,20),FIND("/",MID(Sync!$P455,FIND("/",Sync!$P455)+1,20))+1,20))),"")))</f>
        <v/>
      </c>
      <c r="AI455">
        <f>IF($AE455="","",IF(OR($AF455="",$AG455="",$AH455="",$AF455&lt;1300,$AF455&gt;1500,$AG455&lt;1,$AG455&gt;12,$AH455&lt;1,$AH455&gt;31),"نامعتبر",RIGHT("0000"&amp;$AF455,4)&amp;"/"&amp;RIGHT("00"&amp;$AG455,2)&amp;"/"&amp;RIGHT("00"&amp;$AH455,2)))</f>
        <v/>
      </c>
      <c r="AJ455">
        <f>IF($AE455="","",IF(Sync!$Q455="","0000",IF(AND(ISNUMBER(Sync!$Q455),Sync!$Q455&gt;=0,Sync!$Q455&lt;1),RIGHT("00"&amp;HOUR(Sync!$Q455),2)&amp;RIGHT("00"&amp;MINUTE(Sync!$Q455),2),IFERROR(RIGHT("00"&amp;VALUE(LEFT(Sync!$Q455,FIND(":",Sync!$Q455)-1)),2)&amp;RIGHT("00"&amp;VALUE(MID(Sync!$Q455,FIND(":",Sync!$Q455)+1,2)),2),"0000"))))</f>
        <v/>
      </c>
      <c r="AK455">
        <f>IF(OR($AE455="",$AI455="",$AI455="نامعتبر"),"",LEFT($AI455,4)&amp;MID($AI455,6,2)&amp;RIGHT($AI455,2)&amp;$AJ455&amp;"|"&amp;"3"&amp;RIGHT("00000"&amp;450,5))</f>
        <v/>
      </c>
      <c r="AL455">
        <f>IF($AK455="","",COUNTIFS(LdAParty,$AE455,LdAType,1,LdAKey,"&lt;"&amp;$AK455)+COUNTIFS(LdBMember,$AE455,LdBKey,"&lt;"&amp;$AK455)+COUNTIFS(LdCParty,$AE455,LdCKey,"&lt;"&amp;$AK455)+1)</f>
        <v/>
      </c>
      <c r="AM455">
        <f>IF($AL455="","",$AE455&amp;"|"&amp;RIGHT("000000"&amp;$AL455,6))</f>
        <v/>
      </c>
      <c r="AN455">
        <f>IF($AE455="","",IF(Sync!$W455="",0,Sync!$W455))</f>
        <v/>
      </c>
      <c r="AO455">
        <f>IF($AE455="","",IF(Sync!$X455="",0,Sync!$X455))</f>
        <v/>
      </c>
      <c r="AP455">
        <f>IF($AE455="","",Sync!$R455)</f>
        <v/>
      </c>
      <c r="AQ455">
        <f>IF($AE455="","",Sync!$Y455)</f>
        <v/>
      </c>
    </row>
    <row r="456">
      <c r="A456">
        <f>IF(OR(Wages!$B459="",Wages!$E459=""),"",Wages!$E459)</f>
        <v/>
      </c>
      <c r="B456">
        <f>IF($A456="","",IF(Wages!$C459="دستمزد گروهی",2,1))</f>
        <v/>
      </c>
      <c r="C456">
        <f>IF($A456="","",IF(ISNUMBER(Wages!$B459),IF(AND(Wages!$B459&gt;=10000101,Wages!$B459&lt;=99991231),INT(Wages!$B459/10000),""),IFERROR(VALUE(TRIM(LEFT(Wages!$B459,FIND("/",Wages!$B459)-1))),"")))</f>
        <v/>
      </c>
      <c r="D456">
        <f>IF(OR($A456="",$C456=""),"",IF(ISNUMBER(Wages!$B459),INT(MOD(Wages!$B459,10000)/100),IFERROR(VALUE(TRIM(LEFT(MID(Wages!$B459,FIND("/",Wages!$B459)+1,20),FIND("/",MID(Wages!$B459,FIND("/",Wages!$B459)+1,20))-1))),"")))</f>
        <v/>
      </c>
      <c r="E456">
        <f>IF(OR($A456="",$C456=""),"",IF(ISNUMBER(Wages!$B459),MOD(Wages!$B459,100),IFERROR(VALUE(TRIM(MID(MID(Wages!$B459,FIND("/",Wages!$B459)+1,20),FIND("/",MID(Wages!$B459,FIND("/",Wages!$B459)+1,20))+1,20))),"")))</f>
        <v/>
      </c>
      <c r="F456">
        <f>IF($A456="","",IF(OR($C456="",$D456="",$E456="",$C456&lt;1300,$C456&gt;1500,$D456&lt;1,$D456&gt;12,$E456&lt;1,$E456&gt;31),"نامعتبر",RIGHT("0000"&amp;$C456,4)&amp;"/"&amp;RIGHT("00"&amp;$D456,2)&amp;"/"&amp;RIGHT("00"&amp;$E456,2)))</f>
        <v/>
      </c>
      <c r="G456">
        <f>IF(OR($A456="",$F456="",$F456="نامعتبر"),"",LEFT($F456,4)&amp;MID($F456,6,2)&amp;RIGHT($F456,2)&amp;"0000"&amp;"|"&amp;"1"&amp;RIGHT("00000"&amp;451,5))</f>
        <v/>
      </c>
      <c r="H456">
        <f>IF(OR($B456&lt;&gt;1,$G456=""),"",COUNTIFS(LdAParty,$A456,LdAType,1,LdAKey,"&lt;"&amp;$G456)+COUNTIFS(LdBMember,$A456,LdBKey,"&lt;"&amp;$G456)+COUNTIFS(LdCParty,$A456,LdCKey,"&lt;"&amp;$G456)+1)</f>
        <v/>
      </c>
      <c r="I456">
        <f>IF($H456="","",$A456&amp;"|"&amp;RIGHT("000000"&amp;$H456,6))</f>
        <v/>
      </c>
      <c r="J456">
        <f>IF(OR($B456&lt;&gt;2,$G456=""),"",COUNTIFS(LdAParty,$A456,LdAType,2,LdAKey,"&lt;"&amp;$G456)+1)</f>
        <v/>
      </c>
      <c r="K456">
        <f>IF($J456="","",$A456&amp;"|"&amp;RIGHT("000000"&amp;$J456,6))</f>
        <v/>
      </c>
      <c r="L456">
        <f>IF($A456="","",IF(Wages!$G459="",0,Wages!$G459))</f>
        <v/>
      </c>
      <c r="M456">
        <f>IF($A456="","",Wages!$J459)</f>
        <v/>
      </c>
      <c r="N456">
        <f>IF($A456="","",Wages!$D459)</f>
        <v/>
      </c>
      <c r="P456">
        <f>IF(OR(Shares!$B459="",Shares!$C459=""),"",Shares!$C459)</f>
        <v/>
      </c>
      <c r="Q456">
        <f>IF($P456="","",Shares!$B459)</f>
        <v/>
      </c>
      <c r="R456">
        <f>IF($P456="","",IFERROR(INDEX(WageParty,MATCH($Q456,WageIds,0)),""))</f>
        <v/>
      </c>
      <c r="S456">
        <f>IF($P456="","",IFERROR(INDEX($F$6:$F$2005,MATCH($Q456,WageIds,0)),""))</f>
        <v/>
      </c>
      <c r="T456">
        <f>IF(OR($P456="",$S456="",$S456="نامعتبر"),"",LEFT($S456,4)&amp;MID($S456,6,2)&amp;RIGHT($S456,2)&amp;"0000"&amp;"|"&amp;"2"&amp;RIGHT("00000"&amp;451,5))</f>
        <v/>
      </c>
      <c r="U456">
        <f>IF($T456="","",COUNTIFS(LdAParty,$P456,LdAType,1,LdAKey,"&lt;"&amp;$T456)+COUNTIFS(LdBMember,$P456,LdBKey,"&lt;"&amp;$T456)+COUNTIFS(LdCParty,$P456,LdCKey,"&lt;"&amp;$T456)+1)</f>
        <v/>
      </c>
      <c r="V456">
        <f>IF($U456="","",$P456&amp;"|"&amp;RIGHT("000000"&amp;$U456,6))</f>
        <v/>
      </c>
      <c r="W456">
        <f>IF($T456="","",COUNTIFS(LdBGroup,$R456,LdBKey,"&lt;"&amp;$T456)+1)</f>
        <v/>
      </c>
      <c r="X456">
        <f>IF($W456="","",$R456&amp;"|"&amp;RIGHT("000000"&amp;$W456,6))</f>
        <v/>
      </c>
      <c r="Y456">
        <f>IF($P456="","",IF(Shares!$E459="",0,Shares!$E459))</f>
        <v/>
      </c>
      <c r="Z456">
        <f>IF($P456="","",Shares!$H459)</f>
        <v/>
      </c>
      <c r="AE456">
        <f>IF(OR(Sync!$S456="",Sync!$P456=""),"",Sync!$S456)</f>
        <v/>
      </c>
      <c r="AF456">
        <f>IF($AE456="","",IF(ISNUMBER(Sync!$P456),IF(AND(Sync!$P456&gt;=10000101,Sync!$P456&lt;=99991231),INT(Sync!$P456/10000),""),IFERROR(VALUE(TRIM(LEFT(Sync!$P456,FIND("/",Sync!$P456)-1))),"")))</f>
        <v/>
      </c>
      <c r="AG456">
        <f>IF(OR($AE456="",$AF456=""),"",IF(ISNUMBER(Sync!$P456),INT(MOD(Sync!$P456,10000)/100),IFERROR(VALUE(TRIM(LEFT(MID(Sync!$P456,FIND("/",Sync!$P456)+1,20),FIND("/",MID(Sync!$P456,FIND("/",Sync!$P456)+1,20))-1))),"")))</f>
        <v/>
      </c>
      <c r="AH456">
        <f>IF(OR($AE456="",$AF456=""),"",IF(ISNUMBER(Sync!$P456),MOD(Sync!$P456,100),IFERROR(VALUE(TRIM(MID(MID(Sync!$P456,FIND("/",Sync!$P456)+1,20),FIND("/",MID(Sync!$P456,FIND("/",Sync!$P456)+1,20))+1,20))),"")))</f>
        <v/>
      </c>
      <c r="AI456">
        <f>IF($AE456="","",IF(OR($AF456="",$AG456="",$AH456="",$AF456&lt;1300,$AF456&gt;1500,$AG456&lt;1,$AG456&gt;12,$AH456&lt;1,$AH456&gt;31),"نامعتبر",RIGHT("0000"&amp;$AF456,4)&amp;"/"&amp;RIGHT("00"&amp;$AG456,2)&amp;"/"&amp;RIGHT("00"&amp;$AH456,2)))</f>
        <v/>
      </c>
      <c r="AJ456">
        <f>IF($AE456="","",IF(Sync!$Q456="","0000",IF(AND(ISNUMBER(Sync!$Q456),Sync!$Q456&gt;=0,Sync!$Q456&lt;1),RIGHT("00"&amp;HOUR(Sync!$Q456),2)&amp;RIGHT("00"&amp;MINUTE(Sync!$Q456),2),IFERROR(RIGHT("00"&amp;VALUE(LEFT(Sync!$Q456,FIND(":",Sync!$Q456)-1)),2)&amp;RIGHT("00"&amp;VALUE(MID(Sync!$Q456,FIND(":",Sync!$Q456)+1,2)),2),"0000"))))</f>
        <v/>
      </c>
      <c r="AK456">
        <f>IF(OR($AE456="",$AI456="",$AI456="نامعتبر"),"",LEFT($AI456,4)&amp;MID($AI456,6,2)&amp;RIGHT($AI456,2)&amp;$AJ456&amp;"|"&amp;"3"&amp;RIGHT("00000"&amp;451,5))</f>
        <v/>
      </c>
      <c r="AL456">
        <f>IF($AK456="","",COUNTIFS(LdAParty,$AE456,LdAType,1,LdAKey,"&lt;"&amp;$AK456)+COUNTIFS(LdBMember,$AE456,LdBKey,"&lt;"&amp;$AK456)+COUNTIFS(LdCParty,$AE456,LdCKey,"&lt;"&amp;$AK456)+1)</f>
        <v/>
      </c>
      <c r="AM456">
        <f>IF($AL456="","",$AE456&amp;"|"&amp;RIGHT("000000"&amp;$AL456,6))</f>
        <v/>
      </c>
      <c r="AN456">
        <f>IF($AE456="","",IF(Sync!$W456="",0,Sync!$W456))</f>
        <v/>
      </c>
      <c r="AO456">
        <f>IF($AE456="","",IF(Sync!$X456="",0,Sync!$X456))</f>
        <v/>
      </c>
      <c r="AP456">
        <f>IF($AE456="","",Sync!$R456)</f>
        <v/>
      </c>
      <c r="AQ456">
        <f>IF($AE456="","",Sync!$Y456)</f>
        <v/>
      </c>
    </row>
    <row r="457">
      <c r="A457">
        <f>IF(OR(Wages!$B460="",Wages!$E460=""),"",Wages!$E460)</f>
        <v/>
      </c>
      <c r="B457">
        <f>IF($A457="","",IF(Wages!$C460="دستمزد گروهی",2,1))</f>
        <v/>
      </c>
      <c r="C457">
        <f>IF($A457="","",IF(ISNUMBER(Wages!$B460),IF(AND(Wages!$B460&gt;=10000101,Wages!$B460&lt;=99991231),INT(Wages!$B460/10000),""),IFERROR(VALUE(TRIM(LEFT(Wages!$B460,FIND("/",Wages!$B460)-1))),"")))</f>
        <v/>
      </c>
      <c r="D457">
        <f>IF(OR($A457="",$C457=""),"",IF(ISNUMBER(Wages!$B460),INT(MOD(Wages!$B460,10000)/100),IFERROR(VALUE(TRIM(LEFT(MID(Wages!$B460,FIND("/",Wages!$B460)+1,20),FIND("/",MID(Wages!$B460,FIND("/",Wages!$B460)+1,20))-1))),"")))</f>
        <v/>
      </c>
      <c r="E457">
        <f>IF(OR($A457="",$C457=""),"",IF(ISNUMBER(Wages!$B460),MOD(Wages!$B460,100),IFERROR(VALUE(TRIM(MID(MID(Wages!$B460,FIND("/",Wages!$B460)+1,20),FIND("/",MID(Wages!$B460,FIND("/",Wages!$B460)+1,20))+1,20))),"")))</f>
        <v/>
      </c>
      <c r="F457">
        <f>IF($A457="","",IF(OR($C457="",$D457="",$E457="",$C457&lt;1300,$C457&gt;1500,$D457&lt;1,$D457&gt;12,$E457&lt;1,$E457&gt;31),"نامعتبر",RIGHT("0000"&amp;$C457,4)&amp;"/"&amp;RIGHT("00"&amp;$D457,2)&amp;"/"&amp;RIGHT("00"&amp;$E457,2)))</f>
        <v/>
      </c>
      <c r="G457">
        <f>IF(OR($A457="",$F457="",$F457="نامعتبر"),"",LEFT($F457,4)&amp;MID($F457,6,2)&amp;RIGHT($F457,2)&amp;"0000"&amp;"|"&amp;"1"&amp;RIGHT("00000"&amp;452,5))</f>
        <v/>
      </c>
      <c r="H457">
        <f>IF(OR($B457&lt;&gt;1,$G457=""),"",COUNTIFS(LdAParty,$A457,LdAType,1,LdAKey,"&lt;"&amp;$G457)+COUNTIFS(LdBMember,$A457,LdBKey,"&lt;"&amp;$G457)+COUNTIFS(LdCParty,$A457,LdCKey,"&lt;"&amp;$G457)+1)</f>
        <v/>
      </c>
      <c r="I457">
        <f>IF($H457="","",$A457&amp;"|"&amp;RIGHT("000000"&amp;$H457,6))</f>
        <v/>
      </c>
      <c r="J457">
        <f>IF(OR($B457&lt;&gt;2,$G457=""),"",COUNTIFS(LdAParty,$A457,LdAType,2,LdAKey,"&lt;"&amp;$G457)+1)</f>
        <v/>
      </c>
      <c r="K457">
        <f>IF($J457="","",$A457&amp;"|"&amp;RIGHT("000000"&amp;$J457,6))</f>
        <v/>
      </c>
      <c r="L457">
        <f>IF($A457="","",IF(Wages!$G460="",0,Wages!$G460))</f>
        <v/>
      </c>
      <c r="M457">
        <f>IF($A457="","",Wages!$J460)</f>
        <v/>
      </c>
      <c r="N457">
        <f>IF($A457="","",Wages!$D460)</f>
        <v/>
      </c>
      <c r="P457">
        <f>IF(OR(Shares!$B460="",Shares!$C460=""),"",Shares!$C460)</f>
        <v/>
      </c>
      <c r="Q457">
        <f>IF($P457="","",Shares!$B460)</f>
        <v/>
      </c>
      <c r="R457">
        <f>IF($P457="","",IFERROR(INDEX(WageParty,MATCH($Q457,WageIds,0)),""))</f>
        <v/>
      </c>
      <c r="S457">
        <f>IF($P457="","",IFERROR(INDEX($F$6:$F$2005,MATCH($Q457,WageIds,0)),""))</f>
        <v/>
      </c>
      <c r="T457">
        <f>IF(OR($P457="",$S457="",$S457="نامعتبر"),"",LEFT($S457,4)&amp;MID($S457,6,2)&amp;RIGHT($S457,2)&amp;"0000"&amp;"|"&amp;"2"&amp;RIGHT("00000"&amp;452,5))</f>
        <v/>
      </c>
      <c r="U457">
        <f>IF($T457="","",COUNTIFS(LdAParty,$P457,LdAType,1,LdAKey,"&lt;"&amp;$T457)+COUNTIFS(LdBMember,$P457,LdBKey,"&lt;"&amp;$T457)+COUNTIFS(LdCParty,$P457,LdCKey,"&lt;"&amp;$T457)+1)</f>
        <v/>
      </c>
      <c r="V457">
        <f>IF($U457="","",$P457&amp;"|"&amp;RIGHT("000000"&amp;$U457,6))</f>
        <v/>
      </c>
      <c r="W457">
        <f>IF($T457="","",COUNTIFS(LdBGroup,$R457,LdBKey,"&lt;"&amp;$T457)+1)</f>
        <v/>
      </c>
      <c r="X457">
        <f>IF($W457="","",$R457&amp;"|"&amp;RIGHT("000000"&amp;$W457,6))</f>
        <v/>
      </c>
      <c r="Y457">
        <f>IF($P457="","",IF(Shares!$E460="",0,Shares!$E460))</f>
        <v/>
      </c>
      <c r="Z457">
        <f>IF($P457="","",Shares!$H460)</f>
        <v/>
      </c>
      <c r="AE457">
        <f>IF(OR(Sync!$S457="",Sync!$P457=""),"",Sync!$S457)</f>
        <v/>
      </c>
      <c r="AF457">
        <f>IF($AE457="","",IF(ISNUMBER(Sync!$P457),IF(AND(Sync!$P457&gt;=10000101,Sync!$P457&lt;=99991231),INT(Sync!$P457/10000),""),IFERROR(VALUE(TRIM(LEFT(Sync!$P457,FIND("/",Sync!$P457)-1))),"")))</f>
        <v/>
      </c>
      <c r="AG457">
        <f>IF(OR($AE457="",$AF457=""),"",IF(ISNUMBER(Sync!$P457),INT(MOD(Sync!$P457,10000)/100),IFERROR(VALUE(TRIM(LEFT(MID(Sync!$P457,FIND("/",Sync!$P457)+1,20),FIND("/",MID(Sync!$P457,FIND("/",Sync!$P457)+1,20))-1))),"")))</f>
        <v/>
      </c>
      <c r="AH457">
        <f>IF(OR($AE457="",$AF457=""),"",IF(ISNUMBER(Sync!$P457),MOD(Sync!$P457,100),IFERROR(VALUE(TRIM(MID(MID(Sync!$P457,FIND("/",Sync!$P457)+1,20),FIND("/",MID(Sync!$P457,FIND("/",Sync!$P457)+1,20))+1,20))),"")))</f>
        <v/>
      </c>
      <c r="AI457">
        <f>IF($AE457="","",IF(OR($AF457="",$AG457="",$AH457="",$AF457&lt;1300,$AF457&gt;1500,$AG457&lt;1,$AG457&gt;12,$AH457&lt;1,$AH457&gt;31),"نامعتبر",RIGHT("0000"&amp;$AF457,4)&amp;"/"&amp;RIGHT("00"&amp;$AG457,2)&amp;"/"&amp;RIGHT("00"&amp;$AH457,2)))</f>
        <v/>
      </c>
      <c r="AJ457">
        <f>IF($AE457="","",IF(Sync!$Q457="","0000",IF(AND(ISNUMBER(Sync!$Q457),Sync!$Q457&gt;=0,Sync!$Q457&lt;1),RIGHT("00"&amp;HOUR(Sync!$Q457),2)&amp;RIGHT("00"&amp;MINUTE(Sync!$Q457),2),IFERROR(RIGHT("00"&amp;VALUE(LEFT(Sync!$Q457,FIND(":",Sync!$Q457)-1)),2)&amp;RIGHT("00"&amp;VALUE(MID(Sync!$Q457,FIND(":",Sync!$Q457)+1,2)),2),"0000"))))</f>
        <v/>
      </c>
      <c r="AK457">
        <f>IF(OR($AE457="",$AI457="",$AI457="نامعتبر"),"",LEFT($AI457,4)&amp;MID($AI457,6,2)&amp;RIGHT($AI457,2)&amp;$AJ457&amp;"|"&amp;"3"&amp;RIGHT("00000"&amp;452,5))</f>
        <v/>
      </c>
      <c r="AL457">
        <f>IF($AK457="","",COUNTIFS(LdAParty,$AE457,LdAType,1,LdAKey,"&lt;"&amp;$AK457)+COUNTIFS(LdBMember,$AE457,LdBKey,"&lt;"&amp;$AK457)+COUNTIFS(LdCParty,$AE457,LdCKey,"&lt;"&amp;$AK457)+1)</f>
        <v/>
      </c>
      <c r="AM457">
        <f>IF($AL457="","",$AE457&amp;"|"&amp;RIGHT("000000"&amp;$AL457,6))</f>
        <v/>
      </c>
      <c r="AN457">
        <f>IF($AE457="","",IF(Sync!$W457="",0,Sync!$W457))</f>
        <v/>
      </c>
      <c r="AO457">
        <f>IF($AE457="","",IF(Sync!$X457="",0,Sync!$X457))</f>
        <v/>
      </c>
      <c r="AP457">
        <f>IF($AE457="","",Sync!$R457)</f>
        <v/>
      </c>
      <c r="AQ457">
        <f>IF($AE457="","",Sync!$Y457)</f>
        <v/>
      </c>
    </row>
    <row r="458">
      <c r="A458">
        <f>IF(OR(Wages!$B461="",Wages!$E461=""),"",Wages!$E461)</f>
        <v/>
      </c>
      <c r="B458">
        <f>IF($A458="","",IF(Wages!$C461="دستمزد گروهی",2,1))</f>
        <v/>
      </c>
      <c r="C458">
        <f>IF($A458="","",IF(ISNUMBER(Wages!$B461),IF(AND(Wages!$B461&gt;=10000101,Wages!$B461&lt;=99991231),INT(Wages!$B461/10000),""),IFERROR(VALUE(TRIM(LEFT(Wages!$B461,FIND("/",Wages!$B461)-1))),"")))</f>
        <v/>
      </c>
      <c r="D458">
        <f>IF(OR($A458="",$C458=""),"",IF(ISNUMBER(Wages!$B461),INT(MOD(Wages!$B461,10000)/100),IFERROR(VALUE(TRIM(LEFT(MID(Wages!$B461,FIND("/",Wages!$B461)+1,20),FIND("/",MID(Wages!$B461,FIND("/",Wages!$B461)+1,20))-1))),"")))</f>
        <v/>
      </c>
      <c r="E458">
        <f>IF(OR($A458="",$C458=""),"",IF(ISNUMBER(Wages!$B461),MOD(Wages!$B461,100),IFERROR(VALUE(TRIM(MID(MID(Wages!$B461,FIND("/",Wages!$B461)+1,20),FIND("/",MID(Wages!$B461,FIND("/",Wages!$B461)+1,20))+1,20))),"")))</f>
        <v/>
      </c>
      <c r="F458">
        <f>IF($A458="","",IF(OR($C458="",$D458="",$E458="",$C458&lt;1300,$C458&gt;1500,$D458&lt;1,$D458&gt;12,$E458&lt;1,$E458&gt;31),"نامعتبر",RIGHT("0000"&amp;$C458,4)&amp;"/"&amp;RIGHT("00"&amp;$D458,2)&amp;"/"&amp;RIGHT("00"&amp;$E458,2)))</f>
        <v/>
      </c>
      <c r="G458">
        <f>IF(OR($A458="",$F458="",$F458="نامعتبر"),"",LEFT($F458,4)&amp;MID($F458,6,2)&amp;RIGHT($F458,2)&amp;"0000"&amp;"|"&amp;"1"&amp;RIGHT("00000"&amp;453,5))</f>
        <v/>
      </c>
      <c r="H458">
        <f>IF(OR($B458&lt;&gt;1,$G458=""),"",COUNTIFS(LdAParty,$A458,LdAType,1,LdAKey,"&lt;"&amp;$G458)+COUNTIFS(LdBMember,$A458,LdBKey,"&lt;"&amp;$G458)+COUNTIFS(LdCParty,$A458,LdCKey,"&lt;"&amp;$G458)+1)</f>
        <v/>
      </c>
      <c r="I458">
        <f>IF($H458="","",$A458&amp;"|"&amp;RIGHT("000000"&amp;$H458,6))</f>
        <v/>
      </c>
      <c r="J458">
        <f>IF(OR($B458&lt;&gt;2,$G458=""),"",COUNTIFS(LdAParty,$A458,LdAType,2,LdAKey,"&lt;"&amp;$G458)+1)</f>
        <v/>
      </c>
      <c r="K458">
        <f>IF($J458="","",$A458&amp;"|"&amp;RIGHT("000000"&amp;$J458,6))</f>
        <v/>
      </c>
      <c r="L458">
        <f>IF($A458="","",IF(Wages!$G461="",0,Wages!$G461))</f>
        <v/>
      </c>
      <c r="M458">
        <f>IF($A458="","",Wages!$J461)</f>
        <v/>
      </c>
      <c r="N458">
        <f>IF($A458="","",Wages!$D461)</f>
        <v/>
      </c>
      <c r="P458">
        <f>IF(OR(Shares!$B461="",Shares!$C461=""),"",Shares!$C461)</f>
        <v/>
      </c>
      <c r="Q458">
        <f>IF($P458="","",Shares!$B461)</f>
        <v/>
      </c>
      <c r="R458">
        <f>IF($P458="","",IFERROR(INDEX(WageParty,MATCH($Q458,WageIds,0)),""))</f>
        <v/>
      </c>
      <c r="S458">
        <f>IF($P458="","",IFERROR(INDEX($F$6:$F$2005,MATCH($Q458,WageIds,0)),""))</f>
        <v/>
      </c>
      <c r="T458">
        <f>IF(OR($P458="",$S458="",$S458="نامعتبر"),"",LEFT($S458,4)&amp;MID($S458,6,2)&amp;RIGHT($S458,2)&amp;"0000"&amp;"|"&amp;"2"&amp;RIGHT("00000"&amp;453,5))</f>
        <v/>
      </c>
      <c r="U458">
        <f>IF($T458="","",COUNTIFS(LdAParty,$P458,LdAType,1,LdAKey,"&lt;"&amp;$T458)+COUNTIFS(LdBMember,$P458,LdBKey,"&lt;"&amp;$T458)+COUNTIFS(LdCParty,$P458,LdCKey,"&lt;"&amp;$T458)+1)</f>
        <v/>
      </c>
      <c r="V458">
        <f>IF($U458="","",$P458&amp;"|"&amp;RIGHT("000000"&amp;$U458,6))</f>
        <v/>
      </c>
      <c r="W458">
        <f>IF($T458="","",COUNTIFS(LdBGroup,$R458,LdBKey,"&lt;"&amp;$T458)+1)</f>
        <v/>
      </c>
      <c r="X458">
        <f>IF($W458="","",$R458&amp;"|"&amp;RIGHT("000000"&amp;$W458,6))</f>
        <v/>
      </c>
      <c r="Y458">
        <f>IF($P458="","",IF(Shares!$E461="",0,Shares!$E461))</f>
        <v/>
      </c>
      <c r="Z458">
        <f>IF($P458="","",Shares!$H461)</f>
        <v/>
      </c>
      <c r="AE458">
        <f>IF(OR(Sync!$S458="",Sync!$P458=""),"",Sync!$S458)</f>
        <v/>
      </c>
      <c r="AF458">
        <f>IF($AE458="","",IF(ISNUMBER(Sync!$P458),IF(AND(Sync!$P458&gt;=10000101,Sync!$P458&lt;=99991231),INT(Sync!$P458/10000),""),IFERROR(VALUE(TRIM(LEFT(Sync!$P458,FIND("/",Sync!$P458)-1))),"")))</f>
        <v/>
      </c>
      <c r="AG458">
        <f>IF(OR($AE458="",$AF458=""),"",IF(ISNUMBER(Sync!$P458),INT(MOD(Sync!$P458,10000)/100),IFERROR(VALUE(TRIM(LEFT(MID(Sync!$P458,FIND("/",Sync!$P458)+1,20),FIND("/",MID(Sync!$P458,FIND("/",Sync!$P458)+1,20))-1))),"")))</f>
        <v/>
      </c>
      <c r="AH458">
        <f>IF(OR($AE458="",$AF458=""),"",IF(ISNUMBER(Sync!$P458),MOD(Sync!$P458,100),IFERROR(VALUE(TRIM(MID(MID(Sync!$P458,FIND("/",Sync!$P458)+1,20),FIND("/",MID(Sync!$P458,FIND("/",Sync!$P458)+1,20))+1,20))),"")))</f>
        <v/>
      </c>
      <c r="AI458">
        <f>IF($AE458="","",IF(OR($AF458="",$AG458="",$AH458="",$AF458&lt;1300,$AF458&gt;1500,$AG458&lt;1,$AG458&gt;12,$AH458&lt;1,$AH458&gt;31),"نامعتبر",RIGHT("0000"&amp;$AF458,4)&amp;"/"&amp;RIGHT("00"&amp;$AG458,2)&amp;"/"&amp;RIGHT("00"&amp;$AH458,2)))</f>
        <v/>
      </c>
      <c r="AJ458">
        <f>IF($AE458="","",IF(Sync!$Q458="","0000",IF(AND(ISNUMBER(Sync!$Q458),Sync!$Q458&gt;=0,Sync!$Q458&lt;1),RIGHT("00"&amp;HOUR(Sync!$Q458),2)&amp;RIGHT("00"&amp;MINUTE(Sync!$Q458),2),IFERROR(RIGHT("00"&amp;VALUE(LEFT(Sync!$Q458,FIND(":",Sync!$Q458)-1)),2)&amp;RIGHT("00"&amp;VALUE(MID(Sync!$Q458,FIND(":",Sync!$Q458)+1,2)),2),"0000"))))</f>
        <v/>
      </c>
      <c r="AK458">
        <f>IF(OR($AE458="",$AI458="",$AI458="نامعتبر"),"",LEFT($AI458,4)&amp;MID($AI458,6,2)&amp;RIGHT($AI458,2)&amp;$AJ458&amp;"|"&amp;"3"&amp;RIGHT("00000"&amp;453,5))</f>
        <v/>
      </c>
      <c r="AL458">
        <f>IF($AK458="","",COUNTIFS(LdAParty,$AE458,LdAType,1,LdAKey,"&lt;"&amp;$AK458)+COUNTIFS(LdBMember,$AE458,LdBKey,"&lt;"&amp;$AK458)+COUNTIFS(LdCParty,$AE458,LdCKey,"&lt;"&amp;$AK458)+1)</f>
        <v/>
      </c>
      <c r="AM458">
        <f>IF($AL458="","",$AE458&amp;"|"&amp;RIGHT("000000"&amp;$AL458,6))</f>
        <v/>
      </c>
      <c r="AN458">
        <f>IF($AE458="","",IF(Sync!$W458="",0,Sync!$W458))</f>
        <v/>
      </c>
      <c r="AO458">
        <f>IF($AE458="","",IF(Sync!$X458="",0,Sync!$X458))</f>
        <v/>
      </c>
      <c r="AP458">
        <f>IF($AE458="","",Sync!$R458)</f>
        <v/>
      </c>
      <c r="AQ458">
        <f>IF($AE458="","",Sync!$Y458)</f>
        <v/>
      </c>
    </row>
    <row r="459">
      <c r="A459">
        <f>IF(OR(Wages!$B462="",Wages!$E462=""),"",Wages!$E462)</f>
        <v/>
      </c>
      <c r="B459">
        <f>IF($A459="","",IF(Wages!$C462="دستمزد گروهی",2,1))</f>
        <v/>
      </c>
      <c r="C459">
        <f>IF($A459="","",IF(ISNUMBER(Wages!$B462),IF(AND(Wages!$B462&gt;=10000101,Wages!$B462&lt;=99991231),INT(Wages!$B462/10000),""),IFERROR(VALUE(TRIM(LEFT(Wages!$B462,FIND("/",Wages!$B462)-1))),"")))</f>
        <v/>
      </c>
      <c r="D459">
        <f>IF(OR($A459="",$C459=""),"",IF(ISNUMBER(Wages!$B462),INT(MOD(Wages!$B462,10000)/100),IFERROR(VALUE(TRIM(LEFT(MID(Wages!$B462,FIND("/",Wages!$B462)+1,20),FIND("/",MID(Wages!$B462,FIND("/",Wages!$B462)+1,20))-1))),"")))</f>
        <v/>
      </c>
      <c r="E459">
        <f>IF(OR($A459="",$C459=""),"",IF(ISNUMBER(Wages!$B462),MOD(Wages!$B462,100),IFERROR(VALUE(TRIM(MID(MID(Wages!$B462,FIND("/",Wages!$B462)+1,20),FIND("/",MID(Wages!$B462,FIND("/",Wages!$B462)+1,20))+1,20))),"")))</f>
        <v/>
      </c>
      <c r="F459">
        <f>IF($A459="","",IF(OR($C459="",$D459="",$E459="",$C459&lt;1300,$C459&gt;1500,$D459&lt;1,$D459&gt;12,$E459&lt;1,$E459&gt;31),"نامعتبر",RIGHT("0000"&amp;$C459,4)&amp;"/"&amp;RIGHT("00"&amp;$D459,2)&amp;"/"&amp;RIGHT("00"&amp;$E459,2)))</f>
        <v/>
      </c>
      <c r="G459">
        <f>IF(OR($A459="",$F459="",$F459="نامعتبر"),"",LEFT($F459,4)&amp;MID($F459,6,2)&amp;RIGHT($F459,2)&amp;"0000"&amp;"|"&amp;"1"&amp;RIGHT("00000"&amp;454,5))</f>
        <v/>
      </c>
      <c r="H459">
        <f>IF(OR($B459&lt;&gt;1,$G459=""),"",COUNTIFS(LdAParty,$A459,LdAType,1,LdAKey,"&lt;"&amp;$G459)+COUNTIFS(LdBMember,$A459,LdBKey,"&lt;"&amp;$G459)+COUNTIFS(LdCParty,$A459,LdCKey,"&lt;"&amp;$G459)+1)</f>
        <v/>
      </c>
      <c r="I459">
        <f>IF($H459="","",$A459&amp;"|"&amp;RIGHT("000000"&amp;$H459,6))</f>
        <v/>
      </c>
      <c r="J459">
        <f>IF(OR($B459&lt;&gt;2,$G459=""),"",COUNTIFS(LdAParty,$A459,LdAType,2,LdAKey,"&lt;"&amp;$G459)+1)</f>
        <v/>
      </c>
      <c r="K459">
        <f>IF($J459="","",$A459&amp;"|"&amp;RIGHT("000000"&amp;$J459,6))</f>
        <v/>
      </c>
      <c r="L459">
        <f>IF($A459="","",IF(Wages!$G462="",0,Wages!$G462))</f>
        <v/>
      </c>
      <c r="M459">
        <f>IF($A459="","",Wages!$J462)</f>
        <v/>
      </c>
      <c r="N459">
        <f>IF($A459="","",Wages!$D462)</f>
        <v/>
      </c>
      <c r="P459">
        <f>IF(OR(Shares!$B462="",Shares!$C462=""),"",Shares!$C462)</f>
        <v/>
      </c>
      <c r="Q459">
        <f>IF($P459="","",Shares!$B462)</f>
        <v/>
      </c>
      <c r="R459">
        <f>IF($P459="","",IFERROR(INDEX(WageParty,MATCH($Q459,WageIds,0)),""))</f>
        <v/>
      </c>
      <c r="S459">
        <f>IF($P459="","",IFERROR(INDEX($F$6:$F$2005,MATCH($Q459,WageIds,0)),""))</f>
        <v/>
      </c>
      <c r="T459">
        <f>IF(OR($P459="",$S459="",$S459="نامعتبر"),"",LEFT($S459,4)&amp;MID($S459,6,2)&amp;RIGHT($S459,2)&amp;"0000"&amp;"|"&amp;"2"&amp;RIGHT("00000"&amp;454,5))</f>
        <v/>
      </c>
      <c r="U459">
        <f>IF($T459="","",COUNTIFS(LdAParty,$P459,LdAType,1,LdAKey,"&lt;"&amp;$T459)+COUNTIFS(LdBMember,$P459,LdBKey,"&lt;"&amp;$T459)+COUNTIFS(LdCParty,$P459,LdCKey,"&lt;"&amp;$T459)+1)</f>
        <v/>
      </c>
      <c r="V459">
        <f>IF($U459="","",$P459&amp;"|"&amp;RIGHT("000000"&amp;$U459,6))</f>
        <v/>
      </c>
      <c r="W459">
        <f>IF($T459="","",COUNTIFS(LdBGroup,$R459,LdBKey,"&lt;"&amp;$T459)+1)</f>
        <v/>
      </c>
      <c r="X459">
        <f>IF($W459="","",$R459&amp;"|"&amp;RIGHT("000000"&amp;$W459,6))</f>
        <v/>
      </c>
      <c r="Y459">
        <f>IF($P459="","",IF(Shares!$E462="",0,Shares!$E462))</f>
        <v/>
      </c>
      <c r="Z459">
        <f>IF($P459="","",Shares!$H462)</f>
        <v/>
      </c>
      <c r="AE459">
        <f>IF(OR(Sync!$S459="",Sync!$P459=""),"",Sync!$S459)</f>
        <v/>
      </c>
      <c r="AF459">
        <f>IF($AE459="","",IF(ISNUMBER(Sync!$P459),IF(AND(Sync!$P459&gt;=10000101,Sync!$P459&lt;=99991231),INT(Sync!$P459/10000),""),IFERROR(VALUE(TRIM(LEFT(Sync!$P459,FIND("/",Sync!$P459)-1))),"")))</f>
        <v/>
      </c>
      <c r="AG459">
        <f>IF(OR($AE459="",$AF459=""),"",IF(ISNUMBER(Sync!$P459),INT(MOD(Sync!$P459,10000)/100),IFERROR(VALUE(TRIM(LEFT(MID(Sync!$P459,FIND("/",Sync!$P459)+1,20),FIND("/",MID(Sync!$P459,FIND("/",Sync!$P459)+1,20))-1))),"")))</f>
        <v/>
      </c>
      <c r="AH459">
        <f>IF(OR($AE459="",$AF459=""),"",IF(ISNUMBER(Sync!$P459),MOD(Sync!$P459,100),IFERROR(VALUE(TRIM(MID(MID(Sync!$P459,FIND("/",Sync!$P459)+1,20),FIND("/",MID(Sync!$P459,FIND("/",Sync!$P459)+1,20))+1,20))),"")))</f>
        <v/>
      </c>
      <c r="AI459">
        <f>IF($AE459="","",IF(OR($AF459="",$AG459="",$AH459="",$AF459&lt;1300,$AF459&gt;1500,$AG459&lt;1,$AG459&gt;12,$AH459&lt;1,$AH459&gt;31),"نامعتبر",RIGHT("0000"&amp;$AF459,4)&amp;"/"&amp;RIGHT("00"&amp;$AG459,2)&amp;"/"&amp;RIGHT("00"&amp;$AH459,2)))</f>
        <v/>
      </c>
      <c r="AJ459">
        <f>IF($AE459="","",IF(Sync!$Q459="","0000",IF(AND(ISNUMBER(Sync!$Q459),Sync!$Q459&gt;=0,Sync!$Q459&lt;1),RIGHT("00"&amp;HOUR(Sync!$Q459),2)&amp;RIGHT("00"&amp;MINUTE(Sync!$Q459),2),IFERROR(RIGHT("00"&amp;VALUE(LEFT(Sync!$Q459,FIND(":",Sync!$Q459)-1)),2)&amp;RIGHT("00"&amp;VALUE(MID(Sync!$Q459,FIND(":",Sync!$Q459)+1,2)),2),"0000"))))</f>
        <v/>
      </c>
      <c r="AK459">
        <f>IF(OR($AE459="",$AI459="",$AI459="نامعتبر"),"",LEFT($AI459,4)&amp;MID($AI459,6,2)&amp;RIGHT($AI459,2)&amp;$AJ459&amp;"|"&amp;"3"&amp;RIGHT("00000"&amp;454,5))</f>
        <v/>
      </c>
      <c r="AL459">
        <f>IF($AK459="","",COUNTIFS(LdAParty,$AE459,LdAType,1,LdAKey,"&lt;"&amp;$AK459)+COUNTIFS(LdBMember,$AE459,LdBKey,"&lt;"&amp;$AK459)+COUNTIFS(LdCParty,$AE459,LdCKey,"&lt;"&amp;$AK459)+1)</f>
        <v/>
      </c>
      <c r="AM459">
        <f>IF($AL459="","",$AE459&amp;"|"&amp;RIGHT("000000"&amp;$AL459,6))</f>
        <v/>
      </c>
      <c r="AN459">
        <f>IF($AE459="","",IF(Sync!$W459="",0,Sync!$W459))</f>
        <v/>
      </c>
      <c r="AO459">
        <f>IF($AE459="","",IF(Sync!$X459="",0,Sync!$X459))</f>
        <v/>
      </c>
      <c r="AP459">
        <f>IF($AE459="","",Sync!$R459)</f>
        <v/>
      </c>
      <c r="AQ459">
        <f>IF($AE459="","",Sync!$Y459)</f>
        <v/>
      </c>
    </row>
    <row r="460">
      <c r="A460">
        <f>IF(OR(Wages!$B463="",Wages!$E463=""),"",Wages!$E463)</f>
        <v/>
      </c>
      <c r="B460">
        <f>IF($A460="","",IF(Wages!$C463="دستمزد گروهی",2,1))</f>
        <v/>
      </c>
      <c r="C460">
        <f>IF($A460="","",IF(ISNUMBER(Wages!$B463),IF(AND(Wages!$B463&gt;=10000101,Wages!$B463&lt;=99991231),INT(Wages!$B463/10000),""),IFERROR(VALUE(TRIM(LEFT(Wages!$B463,FIND("/",Wages!$B463)-1))),"")))</f>
        <v/>
      </c>
      <c r="D460">
        <f>IF(OR($A460="",$C460=""),"",IF(ISNUMBER(Wages!$B463),INT(MOD(Wages!$B463,10000)/100),IFERROR(VALUE(TRIM(LEFT(MID(Wages!$B463,FIND("/",Wages!$B463)+1,20),FIND("/",MID(Wages!$B463,FIND("/",Wages!$B463)+1,20))-1))),"")))</f>
        <v/>
      </c>
      <c r="E460">
        <f>IF(OR($A460="",$C460=""),"",IF(ISNUMBER(Wages!$B463),MOD(Wages!$B463,100),IFERROR(VALUE(TRIM(MID(MID(Wages!$B463,FIND("/",Wages!$B463)+1,20),FIND("/",MID(Wages!$B463,FIND("/",Wages!$B463)+1,20))+1,20))),"")))</f>
        <v/>
      </c>
      <c r="F460">
        <f>IF($A460="","",IF(OR($C460="",$D460="",$E460="",$C460&lt;1300,$C460&gt;1500,$D460&lt;1,$D460&gt;12,$E460&lt;1,$E460&gt;31),"نامعتبر",RIGHT("0000"&amp;$C460,4)&amp;"/"&amp;RIGHT("00"&amp;$D460,2)&amp;"/"&amp;RIGHT("00"&amp;$E460,2)))</f>
        <v/>
      </c>
      <c r="G460">
        <f>IF(OR($A460="",$F460="",$F460="نامعتبر"),"",LEFT($F460,4)&amp;MID($F460,6,2)&amp;RIGHT($F460,2)&amp;"0000"&amp;"|"&amp;"1"&amp;RIGHT("00000"&amp;455,5))</f>
        <v/>
      </c>
      <c r="H460">
        <f>IF(OR($B460&lt;&gt;1,$G460=""),"",COUNTIFS(LdAParty,$A460,LdAType,1,LdAKey,"&lt;"&amp;$G460)+COUNTIFS(LdBMember,$A460,LdBKey,"&lt;"&amp;$G460)+COUNTIFS(LdCParty,$A460,LdCKey,"&lt;"&amp;$G460)+1)</f>
        <v/>
      </c>
      <c r="I460">
        <f>IF($H460="","",$A460&amp;"|"&amp;RIGHT("000000"&amp;$H460,6))</f>
        <v/>
      </c>
      <c r="J460">
        <f>IF(OR($B460&lt;&gt;2,$G460=""),"",COUNTIFS(LdAParty,$A460,LdAType,2,LdAKey,"&lt;"&amp;$G460)+1)</f>
        <v/>
      </c>
      <c r="K460">
        <f>IF($J460="","",$A460&amp;"|"&amp;RIGHT("000000"&amp;$J460,6))</f>
        <v/>
      </c>
      <c r="L460">
        <f>IF($A460="","",IF(Wages!$G463="",0,Wages!$G463))</f>
        <v/>
      </c>
      <c r="M460">
        <f>IF($A460="","",Wages!$J463)</f>
        <v/>
      </c>
      <c r="N460">
        <f>IF($A460="","",Wages!$D463)</f>
        <v/>
      </c>
      <c r="P460">
        <f>IF(OR(Shares!$B463="",Shares!$C463=""),"",Shares!$C463)</f>
        <v/>
      </c>
      <c r="Q460">
        <f>IF($P460="","",Shares!$B463)</f>
        <v/>
      </c>
      <c r="R460">
        <f>IF($P460="","",IFERROR(INDEX(WageParty,MATCH($Q460,WageIds,0)),""))</f>
        <v/>
      </c>
      <c r="S460">
        <f>IF($P460="","",IFERROR(INDEX($F$6:$F$2005,MATCH($Q460,WageIds,0)),""))</f>
        <v/>
      </c>
      <c r="T460">
        <f>IF(OR($P460="",$S460="",$S460="نامعتبر"),"",LEFT($S460,4)&amp;MID($S460,6,2)&amp;RIGHT($S460,2)&amp;"0000"&amp;"|"&amp;"2"&amp;RIGHT("00000"&amp;455,5))</f>
        <v/>
      </c>
      <c r="U460">
        <f>IF($T460="","",COUNTIFS(LdAParty,$P460,LdAType,1,LdAKey,"&lt;"&amp;$T460)+COUNTIFS(LdBMember,$P460,LdBKey,"&lt;"&amp;$T460)+COUNTIFS(LdCParty,$P460,LdCKey,"&lt;"&amp;$T460)+1)</f>
        <v/>
      </c>
      <c r="V460">
        <f>IF($U460="","",$P460&amp;"|"&amp;RIGHT("000000"&amp;$U460,6))</f>
        <v/>
      </c>
      <c r="W460">
        <f>IF($T460="","",COUNTIFS(LdBGroup,$R460,LdBKey,"&lt;"&amp;$T460)+1)</f>
        <v/>
      </c>
      <c r="X460">
        <f>IF($W460="","",$R460&amp;"|"&amp;RIGHT("000000"&amp;$W460,6))</f>
        <v/>
      </c>
      <c r="Y460">
        <f>IF($P460="","",IF(Shares!$E463="",0,Shares!$E463))</f>
        <v/>
      </c>
      <c r="Z460">
        <f>IF($P460="","",Shares!$H463)</f>
        <v/>
      </c>
      <c r="AE460">
        <f>IF(OR(Sync!$S460="",Sync!$P460=""),"",Sync!$S460)</f>
        <v/>
      </c>
      <c r="AF460">
        <f>IF($AE460="","",IF(ISNUMBER(Sync!$P460),IF(AND(Sync!$P460&gt;=10000101,Sync!$P460&lt;=99991231),INT(Sync!$P460/10000),""),IFERROR(VALUE(TRIM(LEFT(Sync!$P460,FIND("/",Sync!$P460)-1))),"")))</f>
        <v/>
      </c>
      <c r="AG460">
        <f>IF(OR($AE460="",$AF460=""),"",IF(ISNUMBER(Sync!$P460),INT(MOD(Sync!$P460,10000)/100),IFERROR(VALUE(TRIM(LEFT(MID(Sync!$P460,FIND("/",Sync!$P460)+1,20),FIND("/",MID(Sync!$P460,FIND("/",Sync!$P460)+1,20))-1))),"")))</f>
        <v/>
      </c>
      <c r="AH460">
        <f>IF(OR($AE460="",$AF460=""),"",IF(ISNUMBER(Sync!$P460),MOD(Sync!$P460,100),IFERROR(VALUE(TRIM(MID(MID(Sync!$P460,FIND("/",Sync!$P460)+1,20),FIND("/",MID(Sync!$P460,FIND("/",Sync!$P460)+1,20))+1,20))),"")))</f>
        <v/>
      </c>
      <c r="AI460">
        <f>IF($AE460="","",IF(OR($AF460="",$AG460="",$AH460="",$AF460&lt;1300,$AF460&gt;1500,$AG460&lt;1,$AG460&gt;12,$AH460&lt;1,$AH460&gt;31),"نامعتبر",RIGHT("0000"&amp;$AF460,4)&amp;"/"&amp;RIGHT("00"&amp;$AG460,2)&amp;"/"&amp;RIGHT("00"&amp;$AH460,2)))</f>
        <v/>
      </c>
      <c r="AJ460">
        <f>IF($AE460="","",IF(Sync!$Q460="","0000",IF(AND(ISNUMBER(Sync!$Q460),Sync!$Q460&gt;=0,Sync!$Q460&lt;1),RIGHT("00"&amp;HOUR(Sync!$Q460),2)&amp;RIGHT("00"&amp;MINUTE(Sync!$Q460),2),IFERROR(RIGHT("00"&amp;VALUE(LEFT(Sync!$Q460,FIND(":",Sync!$Q460)-1)),2)&amp;RIGHT("00"&amp;VALUE(MID(Sync!$Q460,FIND(":",Sync!$Q460)+1,2)),2),"0000"))))</f>
        <v/>
      </c>
      <c r="AK460">
        <f>IF(OR($AE460="",$AI460="",$AI460="نامعتبر"),"",LEFT($AI460,4)&amp;MID($AI460,6,2)&amp;RIGHT($AI460,2)&amp;$AJ460&amp;"|"&amp;"3"&amp;RIGHT("00000"&amp;455,5))</f>
        <v/>
      </c>
      <c r="AL460">
        <f>IF($AK460="","",COUNTIFS(LdAParty,$AE460,LdAType,1,LdAKey,"&lt;"&amp;$AK460)+COUNTIFS(LdBMember,$AE460,LdBKey,"&lt;"&amp;$AK460)+COUNTIFS(LdCParty,$AE460,LdCKey,"&lt;"&amp;$AK460)+1)</f>
        <v/>
      </c>
      <c r="AM460">
        <f>IF($AL460="","",$AE460&amp;"|"&amp;RIGHT("000000"&amp;$AL460,6))</f>
        <v/>
      </c>
      <c r="AN460">
        <f>IF($AE460="","",IF(Sync!$W460="",0,Sync!$W460))</f>
        <v/>
      </c>
      <c r="AO460">
        <f>IF($AE460="","",IF(Sync!$X460="",0,Sync!$X460))</f>
        <v/>
      </c>
      <c r="AP460">
        <f>IF($AE460="","",Sync!$R460)</f>
        <v/>
      </c>
      <c r="AQ460">
        <f>IF($AE460="","",Sync!$Y460)</f>
        <v/>
      </c>
    </row>
    <row r="461">
      <c r="A461">
        <f>IF(OR(Wages!$B464="",Wages!$E464=""),"",Wages!$E464)</f>
        <v/>
      </c>
      <c r="B461">
        <f>IF($A461="","",IF(Wages!$C464="دستمزد گروهی",2,1))</f>
        <v/>
      </c>
      <c r="C461">
        <f>IF($A461="","",IF(ISNUMBER(Wages!$B464),IF(AND(Wages!$B464&gt;=10000101,Wages!$B464&lt;=99991231),INT(Wages!$B464/10000),""),IFERROR(VALUE(TRIM(LEFT(Wages!$B464,FIND("/",Wages!$B464)-1))),"")))</f>
        <v/>
      </c>
      <c r="D461">
        <f>IF(OR($A461="",$C461=""),"",IF(ISNUMBER(Wages!$B464),INT(MOD(Wages!$B464,10000)/100),IFERROR(VALUE(TRIM(LEFT(MID(Wages!$B464,FIND("/",Wages!$B464)+1,20),FIND("/",MID(Wages!$B464,FIND("/",Wages!$B464)+1,20))-1))),"")))</f>
        <v/>
      </c>
      <c r="E461">
        <f>IF(OR($A461="",$C461=""),"",IF(ISNUMBER(Wages!$B464),MOD(Wages!$B464,100),IFERROR(VALUE(TRIM(MID(MID(Wages!$B464,FIND("/",Wages!$B464)+1,20),FIND("/",MID(Wages!$B464,FIND("/",Wages!$B464)+1,20))+1,20))),"")))</f>
        <v/>
      </c>
      <c r="F461">
        <f>IF($A461="","",IF(OR($C461="",$D461="",$E461="",$C461&lt;1300,$C461&gt;1500,$D461&lt;1,$D461&gt;12,$E461&lt;1,$E461&gt;31),"نامعتبر",RIGHT("0000"&amp;$C461,4)&amp;"/"&amp;RIGHT("00"&amp;$D461,2)&amp;"/"&amp;RIGHT("00"&amp;$E461,2)))</f>
        <v/>
      </c>
      <c r="G461">
        <f>IF(OR($A461="",$F461="",$F461="نامعتبر"),"",LEFT($F461,4)&amp;MID($F461,6,2)&amp;RIGHT($F461,2)&amp;"0000"&amp;"|"&amp;"1"&amp;RIGHT("00000"&amp;456,5))</f>
        <v/>
      </c>
      <c r="H461">
        <f>IF(OR($B461&lt;&gt;1,$G461=""),"",COUNTIFS(LdAParty,$A461,LdAType,1,LdAKey,"&lt;"&amp;$G461)+COUNTIFS(LdBMember,$A461,LdBKey,"&lt;"&amp;$G461)+COUNTIFS(LdCParty,$A461,LdCKey,"&lt;"&amp;$G461)+1)</f>
        <v/>
      </c>
      <c r="I461">
        <f>IF($H461="","",$A461&amp;"|"&amp;RIGHT("000000"&amp;$H461,6))</f>
        <v/>
      </c>
      <c r="J461">
        <f>IF(OR($B461&lt;&gt;2,$G461=""),"",COUNTIFS(LdAParty,$A461,LdAType,2,LdAKey,"&lt;"&amp;$G461)+1)</f>
        <v/>
      </c>
      <c r="K461">
        <f>IF($J461="","",$A461&amp;"|"&amp;RIGHT("000000"&amp;$J461,6))</f>
        <v/>
      </c>
      <c r="L461">
        <f>IF($A461="","",IF(Wages!$G464="",0,Wages!$G464))</f>
        <v/>
      </c>
      <c r="M461">
        <f>IF($A461="","",Wages!$J464)</f>
        <v/>
      </c>
      <c r="N461">
        <f>IF($A461="","",Wages!$D464)</f>
        <v/>
      </c>
      <c r="P461">
        <f>IF(OR(Shares!$B464="",Shares!$C464=""),"",Shares!$C464)</f>
        <v/>
      </c>
      <c r="Q461">
        <f>IF($P461="","",Shares!$B464)</f>
        <v/>
      </c>
      <c r="R461">
        <f>IF($P461="","",IFERROR(INDEX(WageParty,MATCH($Q461,WageIds,0)),""))</f>
        <v/>
      </c>
      <c r="S461">
        <f>IF($P461="","",IFERROR(INDEX($F$6:$F$2005,MATCH($Q461,WageIds,0)),""))</f>
        <v/>
      </c>
      <c r="T461">
        <f>IF(OR($P461="",$S461="",$S461="نامعتبر"),"",LEFT($S461,4)&amp;MID($S461,6,2)&amp;RIGHT($S461,2)&amp;"0000"&amp;"|"&amp;"2"&amp;RIGHT("00000"&amp;456,5))</f>
        <v/>
      </c>
      <c r="U461">
        <f>IF($T461="","",COUNTIFS(LdAParty,$P461,LdAType,1,LdAKey,"&lt;"&amp;$T461)+COUNTIFS(LdBMember,$P461,LdBKey,"&lt;"&amp;$T461)+COUNTIFS(LdCParty,$P461,LdCKey,"&lt;"&amp;$T461)+1)</f>
        <v/>
      </c>
      <c r="V461">
        <f>IF($U461="","",$P461&amp;"|"&amp;RIGHT("000000"&amp;$U461,6))</f>
        <v/>
      </c>
      <c r="W461">
        <f>IF($T461="","",COUNTIFS(LdBGroup,$R461,LdBKey,"&lt;"&amp;$T461)+1)</f>
        <v/>
      </c>
      <c r="X461">
        <f>IF($W461="","",$R461&amp;"|"&amp;RIGHT("000000"&amp;$W461,6))</f>
        <v/>
      </c>
      <c r="Y461">
        <f>IF($P461="","",IF(Shares!$E464="",0,Shares!$E464))</f>
        <v/>
      </c>
      <c r="Z461">
        <f>IF($P461="","",Shares!$H464)</f>
        <v/>
      </c>
      <c r="AE461">
        <f>IF(OR(Sync!$S461="",Sync!$P461=""),"",Sync!$S461)</f>
        <v/>
      </c>
      <c r="AF461">
        <f>IF($AE461="","",IF(ISNUMBER(Sync!$P461),IF(AND(Sync!$P461&gt;=10000101,Sync!$P461&lt;=99991231),INT(Sync!$P461/10000),""),IFERROR(VALUE(TRIM(LEFT(Sync!$P461,FIND("/",Sync!$P461)-1))),"")))</f>
        <v/>
      </c>
      <c r="AG461">
        <f>IF(OR($AE461="",$AF461=""),"",IF(ISNUMBER(Sync!$P461),INT(MOD(Sync!$P461,10000)/100),IFERROR(VALUE(TRIM(LEFT(MID(Sync!$P461,FIND("/",Sync!$P461)+1,20),FIND("/",MID(Sync!$P461,FIND("/",Sync!$P461)+1,20))-1))),"")))</f>
        <v/>
      </c>
      <c r="AH461">
        <f>IF(OR($AE461="",$AF461=""),"",IF(ISNUMBER(Sync!$P461),MOD(Sync!$P461,100),IFERROR(VALUE(TRIM(MID(MID(Sync!$P461,FIND("/",Sync!$P461)+1,20),FIND("/",MID(Sync!$P461,FIND("/",Sync!$P461)+1,20))+1,20))),"")))</f>
        <v/>
      </c>
      <c r="AI461">
        <f>IF($AE461="","",IF(OR($AF461="",$AG461="",$AH461="",$AF461&lt;1300,$AF461&gt;1500,$AG461&lt;1,$AG461&gt;12,$AH461&lt;1,$AH461&gt;31),"نامعتبر",RIGHT("0000"&amp;$AF461,4)&amp;"/"&amp;RIGHT("00"&amp;$AG461,2)&amp;"/"&amp;RIGHT("00"&amp;$AH461,2)))</f>
        <v/>
      </c>
      <c r="AJ461">
        <f>IF($AE461="","",IF(Sync!$Q461="","0000",IF(AND(ISNUMBER(Sync!$Q461),Sync!$Q461&gt;=0,Sync!$Q461&lt;1),RIGHT("00"&amp;HOUR(Sync!$Q461),2)&amp;RIGHT("00"&amp;MINUTE(Sync!$Q461),2),IFERROR(RIGHT("00"&amp;VALUE(LEFT(Sync!$Q461,FIND(":",Sync!$Q461)-1)),2)&amp;RIGHT("00"&amp;VALUE(MID(Sync!$Q461,FIND(":",Sync!$Q461)+1,2)),2),"0000"))))</f>
        <v/>
      </c>
      <c r="AK461">
        <f>IF(OR($AE461="",$AI461="",$AI461="نامعتبر"),"",LEFT($AI461,4)&amp;MID($AI461,6,2)&amp;RIGHT($AI461,2)&amp;$AJ461&amp;"|"&amp;"3"&amp;RIGHT("00000"&amp;456,5))</f>
        <v/>
      </c>
      <c r="AL461">
        <f>IF($AK461="","",COUNTIFS(LdAParty,$AE461,LdAType,1,LdAKey,"&lt;"&amp;$AK461)+COUNTIFS(LdBMember,$AE461,LdBKey,"&lt;"&amp;$AK461)+COUNTIFS(LdCParty,$AE461,LdCKey,"&lt;"&amp;$AK461)+1)</f>
        <v/>
      </c>
      <c r="AM461">
        <f>IF($AL461="","",$AE461&amp;"|"&amp;RIGHT("000000"&amp;$AL461,6))</f>
        <v/>
      </c>
      <c r="AN461">
        <f>IF($AE461="","",IF(Sync!$W461="",0,Sync!$W461))</f>
        <v/>
      </c>
      <c r="AO461">
        <f>IF($AE461="","",IF(Sync!$X461="",0,Sync!$X461))</f>
        <v/>
      </c>
      <c r="AP461">
        <f>IF($AE461="","",Sync!$R461)</f>
        <v/>
      </c>
      <c r="AQ461">
        <f>IF($AE461="","",Sync!$Y461)</f>
        <v/>
      </c>
    </row>
    <row r="462">
      <c r="A462">
        <f>IF(OR(Wages!$B465="",Wages!$E465=""),"",Wages!$E465)</f>
        <v/>
      </c>
      <c r="B462">
        <f>IF($A462="","",IF(Wages!$C465="دستمزد گروهی",2,1))</f>
        <v/>
      </c>
      <c r="C462">
        <f>IF($A462="","",IF(ISNUMBER(Wages!$B465),IF(AND(Wages!$B465&gt;=10000101,Wages!$B465&lt;=99991231),INT(Wages!$B465/10000),""),IFERROR(VALUE(TRIM(LEFT(Wages!$B465,FIND("/",Wages!$B465)-1))),"")))</f>
        <v/>
      </c>
      <c r="D462">
        <f>IF(OR($A462="",$C462=""),"",IF(ISNUMBER(Wages!$B465),INT(MOD(Wages!$B465,10000)/100),IFERROR(VALUE(TRIM(LEFT(MID(Wages!$B465,FIND("/",Wages!$B465)+1,20),FIND("/",MID(Wages!$B465,FIND("/",Wages!$B465)+1,20))-1))),"")))</f>
        <v/>
      </c>
      <c r="E462">
        <f>IF(OR($A462="",$C462=""),"",IF(ISNUMBER(Wages!$B465),MOD(Wages!$B465,100),IFERROR(VALUE(TRIM(MID(MID(Wages!$B465,FIND("/",Wages!$B465)+1,20),FIND("/",MID(Wages!$B465,FIND("/",Wages!$B465)+1,20))+1,20))),"")))</f>
        <v/>
      </c>
      <c r="F462">
        <f>IF($A462="","",IF(OR($C462="",$D462="",$E462="",$C462&lt;1300,$C462&gt;1500,$D462&lt;1,$D462&gt;12,$E462&lt;1,$E462&gt;31),"نامعتبر",RIGHT("0000"&amp;$C462,4)&amp;"/"&amp;RIGHT("00"&amp;$D462,2)&amp;"/"&amp;RIGHT("00"&amp;$E462,2)))</f>
        <v/>
      </c>
      <c r="G462">
        <f>IF(OR($A462="",$F462="",$F462="نامعتبر"),"",LEFT($F462,4)&amp;MID($F462,6,2)&amp;RIGHT($F462,2)&amp;"0000"&amp;"|"&amp;"1"&amp;RIGHT("00000"&amp;457,5))</f>
        <v/>
      </c>
      <c r="H462">
        <f>IF(OR($B462&lt;&gt;1,$G462=""),"",COUNTIFS(LdAParty,$A462,LdAType,1,LdAKey,"&lt;"&amp;$G462)+COUNTIFS(LdBMember,$A462,LdBKey,"&lt;"&amp;$G462)+COUNTIFS(LdCParty,$A462,LdCKey,"&lt;"&amp;$G462)+1)</f>
        <v/>
      </c>
      <c r="I462">
        <f>IF($H462="","",$A462&amp;"|"&amp;RIGHT("000000"&amp;$H462,6))</f>
        <v/>
      </c>
      <c r="J462">
        <f>IF(OR($B462&lt;&gt;2,$G462=""),"",COUNTIFS(LdAParty,$A462,LdAType,2,LdAKey,"&lt;"&amp;$G462)+1)</f>
        <v/>
      </c>
      <c r="K462">
        <f>IF($J462="","",$A462&amp;"|"&amp;RIGHT("000000"&amp;$J462,6))</f>
        <v/>
      </c>
      <c r="L462">
        <f>IF($A462="","",IF(Wages!$G465="",0,Wages!$G465))</f>
        <v/>
      </c>
      <c r="M462">
        <f>IF($A462="","",Wages!$J465)</f>
        <v/>
      </c>
      <c r="N462">
        <f>IF($A462="","",Wages!$D465)</f>
        <v/>
      </c>
      <c r="P462">
        <f>IF(OR(Shares!$B465="",Shares!$C465=""),"",Shares!$C465)</f>
        <v/>
      </c>
      <c r="Q462">
        <f>IF($P462="","",Shares!$B465)</f>
        <v/>
      </c>
      <c r="R462">
        <f>IF($P462="","",IFERROR(INDEX(WageParty,MATCH($Q462,WageIds,0)),""))</f>
        <v/>
      </c>
      <c r="S462">
        <f>IF($P462="","",IFERROR(INDEX($F$6:$F$2005,MATCH($Q462,WageIds,0)),""))</f>
        <v/>
      </c>
      <c r="T462">
        <f>IF(OR($P462="",$S462="",$S462="نامعتبر"),"",LEFT($S462,4)&amp;MID($S462,6,2)&amp;RIGHT($S462,2)&amp;"0000"&amp;"|"&amp;"2"&amp;RIGHT("00000"&amp;457,5))</f>
        <v/>
      </c>
      <c r="U462">
        <f>IF($T462="","",COUNTIFS(LdAParty,$P462,LdAType,1,LdAKey,"&lt;"&amp;$T462)+COUNTIFS(LdBMember,$P462,LdBKey,"&lt;"&amp;$T462)+COUNTIFS(LdCParty,$P462,LdCKey,"&lt;"&amp;$T462)+1)</f>
        <v/>
      </c>
      <c r="V462">
        <f>IF($U462="","",$P462&amp;"|"&amp;RIGHT("000000"&amp;$U462,6))</f>
        <v/>
      </c>
      <c r="W462">
        <f>IF($T462="","",COUNTIFS(LdBGroup,$R462,LdBKey,"&lt;"&amp;$T462)+1)</f>
        <v/>
      </c>
      <c r="X462">
        <f>IF($W462="","",$R462&amp;"|"&amp;RIGHT("000000"&amp;$W462,6))</f>
        <v/>
      </c>
      <c r="Y462">
        <f>IF($P462="","",IF(Shares!$E465="",0,Shares!$E465))</f>
        <v/>
      </c>
      <c r="Z462">
        <f>IF($P462="","",Shares!$H465)</f>
        <v/>
      </c>
      <c r="AE462">
        <f>IF(OR(Sync!$S462="",Sync!$P462=""),"",Sync!$S462)</f>
        <v/>
      </c>
      <c r="AF462">
        <f>IF($AE462="","",IF(ISNUMBER(Sync!$P462),IF(AND(Sync!$P462&gt;=10000101,Sync!$P462&lt;=99991231),INT(Sync!$P462/10000),""),IFERROR(VALUE(TRIM(LEFT(Sync!$P462,FIND("/",Sync!$P462)-1))),"")))</f>
        <v/>
      </c>
      <c r="AG462">
        <f>IF(OR($AE462="",$AF462=""),"",IF(ISNUMBER(Sync!$P462),INT(MOD(Sync!$P462,10000)/100),IFERROR(VALUE(TRIM(LEFT(MID(Sync!$P462,FIND("/",Sync!$P462)+1,20),FIND("/",MID(Sync!$P462,FIND("/",Sync!$P462)+1,20))-1))),"")))</f>
        <v/>
      </c>
      <c r="AH462">
        <f>IF(OR($AE462="",$AF462=""),"",IF(ISNUMBER(Sync!$P462),MOD(Sync!$P462,100),IFERROR(VALUE(TRIM(MID(MID(Sync!$P462,FIND("/",Sync!$P462)+1,20),FIND("/",MID(Sync!$P462,FIND("/",Sync!$P462)+1,20))+1,20))),"")))</f>
        <v/>
      </c>
      <c r="AI462">
        <f>IF($AE462="","",IF(OR($AF462="",$AG462="",$AH462="",$AF462&lt;1300,$AF462&gt;1500,$AG462&lt;1,$AG462&gt;12,$AH462&lt;1,$AH462&gt;31),"نامعتبر",RIGHT("0000"&amp;$AF462,4)&amp;"/"&amp;RIGHT("00"&amp;$AG462,2)&amp;"/"&amp;RIGHT("00"&amp;$AH462,2)))</f>
        <v/>
      </c>
      <c r="AJ462">
        <f>IF($AE462="","",IF(Sync!$Q462="","0000",IF(AND(ISNUMBER(Sync!$Q462),Sync!$Q462&gt;=0,Sync!$Q462&lt;1),RIGHT("00"&amp;HOUR(Sync!$Q462),2)&amp;RIGHT("00"&amp;MINUTE(Sync!$Q462),2),IFERROR(RIGHT("00"&amp;VALUE(LEFT(Sync!$Q462,FIND(":",Sync!$Q462)-1)),2)&amp;RIGHT("00"&amp;VALUE(MID(Sync!$Q462,FIND(":",Sync!$Q462)+1,2)),2),"0000"))))</f>
        <v/>
      </c>
      <c r="AK462">
        <f>IF(OR($AE462="",$AI462="",$AI462="نامعتبر"),"",LEFT($AI462,4)&amp;MID($AI462,6,2)&amp;RIGHT($AI462,2)&amp;$AJ462&amp;"|"&amp;"3"&amp;RIGHT("00000"&amp;457,5))</f>
        <v/>
      </c>
      <c r="AL462">
        <f>IF($AK462="","",COUNTIFS(LdAParty,$AE462,LdAType,1,LdAKey,"&lt;"&amp;$AK462)+COUNTIFS(LdBMember,$AE462,LdBKey,"&lt;"&amp;$AK462)+COUNTIFS(LdCParty,$AE462,LdCKey,"&lt;"&amp;$AK462)+1)</f>
        <v/>
      </c>
      <c r="AM462">
        <f>IF($AL462="","",$AE462&amp;"|"&amp;RIGHT("000000"&amp;$AL462,6))</f>
        <v/>
      </c>
      <c r="AN462">
        <f>IF($AE462="","",IF(Sync!$W462="",0,Sync!$W462))</f>
        <v/>
      </c>
      <c r="AO462">
        <f>IF($AE462="","",IF(Sync!$X462="",0,Sync!$X462))</f>
        <v/>
      </c>
      <c r="AP462">
        <f>IF($AE462="","",Sync!$R462)</f>
        <v/>
      </c>
      <c r="AQ462">
        <f>IF($AE462="","",Sync!$Y462)</f>
        <v/>
      </c>
    </row>
    <row r="463">
      <c r="A463">
        <f>IF(OR(Wages!$B466="",Wages!$E466=""),"",Wages!$E466)</f>
        <v/>
      </c>
      <c r="B463">
        <f>IF($A463="","",IF(Wages!$C466="دستمزد گروهی",2,1))</f>
        <v/>
      </c>
      <c r="C463">
        <f>IF($A463="","",IF(ISNUMBER(Wages!$B466),IF(AND(Wages!$B466&gt;=10000101,Wages!$B466&lt;=99991231),INT(Wages!$B466/10000),""),IFERROR(VALUE(TRIM(LEFT(Wages!$B466,FIND("/",Wages!$B466)-1))),"")))</f>
        <v/>
      </c>
      <c r="D463">
        <f>IF(OR($A463="",$C463=""),"",IF(ISNUMBER(Wages!$B466),INT(MOD(Wages!$B466,10000)/100),IFERROR(VALUE(TRIM(LEFT(MID(Wages!$B466,FIND("/",Wages!$B466)+1,20),FIND("/",MID(Wages!$B466,FIND("/",Wages!$B466)+1,20))-1))),"")))</f>
        <v/>
      </c>
      <c r="E463">
        <f>IF(OR($A463="",$C463=""),"",IF(ISNUMBER(Wages!$B466),MOD(Wages!$B466,100),IFERROR(VALUE(TRIM(MID(MID(Wages!$B466,FIND("/",Wages!$B466)+1,20),FIND("/",MID(Wages!$B466,FIND("/",Wages!$B466)+1,20))+1,20))),"")))</f>
        <v/>
      </c>
      <c r="F463">
        <f>IF($A463="","",IF(OR($C463="",$D463="",$E463="",$C463&lt;1300,$C463&gt;1500,$D463&lt;1,$D463&gt;12,$E463&lt;1,$E463&gt;31),"نامعتبر",RIGHT("0000"&amp;$C463,4)&amp;"/"&amp;RIGHT("00"&amp;$D463,2)&amp;"/"&amp;RIGHT("00"&amp;$E463,2)))</f>
        <v/>
      </c>
      <c r="G463">
        <f>IF(OR($A463="",$F463="",$F463="نامعتبر"),"",LEFT($F463,4)&amp;MID($F463,6,2)&amp;RIGHT($F463,2)&amp;"0000"&amp;"|"&amp;"1"&amp;RIGHT("00000"&amp;458,5))</f>
        <v/>
      </c>
      <c r="H463">
        <f>IF(OR($B463&lt;&gt;1,$G463=""),"",COUNTIFS(LdAParty,$A463,LdAType,1,LdAKey,"&lt;"&amp;$G463)+COUNTIFS(LdBMember,$A463,LdBKey,"&lt;"&amp;$G463)+COUNTIFS(LdCParty,$A463,LdCKey,"&lt;"&amp;$G463)+1)</f>
        <v/>
      </c>
      <c r="I463">
        <f>IF($H463="","",$A463&amp;"|"&amp;RIGHT("000000"&amp;$H463,6))</f>
        <v/>
      </c>
      <c r="J463">
        <f>IF(OR($B463&lt;&gt;2,$G463=""),"",COUNTIFS(LdAParty,$A463,LdAType,2,LdAKey,"&lt;"&amp;$G463)+1)</f>
        <v/>
      </c>
      <c r="K463">
        <f>IF($J463="","",$A463&amp;"|"&amp;RIGHT("000000"&amp;$J463,6))</f>
        <v/>
      </c>
      <c r="L463">
        <f>IF($A463="","",IF(Wages!$G466="",0,Wages!$G466))</f>
        <v/>
      </c>
      <c r="M463">
        <f>IF($A463="","",Wages!$J466)</f>
        <v/>
      </c>
      <c r="N463">
        <f>IF($A463="","",Wages!$D466)</f>
        <v/>
      </c>
      <c r="P463">
        <f>IF(OR(Shares!$B466="",Shares!$C466=""),"",Shares!$C466)</f>
        <v/>
      </c>
      <c r="Q463">
        <f>IF($P463="","",Shares!$B466)</f>
        <v/>
      </c>
      <c r="R463">
        <f>IF($P463="","",IFERROR(INDEX(WageParty,MATCH($Q463,WageIds,0)),""))</f>
        <v/>
      </c>
      <c r="S463">
        <f>IF($P463="","",IFERROR(INDEX($F$6:$F$2005,MATCH($Q463,WageIds,0)),""))</f>
        <v/>
      </c>
      <c r="T463">
        <f>IF(OR($P463="",$S463="",$S463="نامعتبر"),"",LEFT($S463,4)&amp;MID($S463,6,2)&amp;RIGHT($S463,2)&amp;"0000"&amp;"|"&amp;"2"&amp;RIGHT("00000"&amp;458,5))</f>
        <v/>
      </c>
      <c r="U463">
        <f>IF($T463="","",COUNTIFS(LdAParty,$P463,LdAType,1,LdAKey,"&lt;"&amp;$T463)+COUNTIFS(LdBMember,$P463,LdBKey,"&lt;"&amp;$T463)+COUNTIFS(LdCParty,$P463,LdCKey,"&lt;"&amp;$T463)+1)</f>
        <v/>
      </c>
      <c r="V463">
        <f>IF($U463="","",$P463&amp;"|"&amp;RIGHT("000000"&amp;$U463,6))</f>
        <v/>
      </c>
      <c r="W463">
        <f>IF($T463="","",COUNTIFS(LdBGroup,$R463,LdBKey,"&lt;"&amp;$T463)+1)</f>
        <v/>
      </c>
      <c r="X463">
        <f>IF($W463="","",$R463&amp;"|"&amp;RIGHT("000000"&amp;$W463,6))</f>
        <v/>
      </c>
      <c r="Y463">
        <f>IF($P463="","",IF(Shares!$E466="",0,Shares!$E466))</f>
        <v/>
      </c>
      <c r="Z463">
        <f>IF($P463="","",Shares!$H466)</f>
        <v/>
      </c>
      <c r="AE463">
        <f>IF(OR(Sync!$S463="",Sync!$P463=""),"",Sync!$S463)</f>
        <v/>
      </c>
      <c r="AF463">
        <f>IF($AE463="","",IF(ISNUMBER(Sync!$P463),IF(AND(Sync!$P463&gt;=10000101,Sync!$P463&lt;=99991231),INT(Sync!$P463/10000),""),IFERROR(VALUE(TRIM(LEFT(Sync!$P463,FIND("/",Sync!$P463)-1))),"")))</f>
        <v/>
      </c>
      <c r="AG463">
        <f>IF(OR($AE463="",$AF463=""),"",IF(ISNUMBER(Sync!$P463),INT(MOD(Sync!$P463,10000)/100),IFERROR(VALUE(TRIM(LEFT(MID(Sync!$P463,FIND("/",Sync!$P463)+1,20),FIND("/",MID(Sync!$P463,FIND("/",Sync!$P463)+1,20))-1))),"")))</f>
        <v/>
      </c>
      <c r="AH463">
        <f>IF(OR($AE463="",$AF463=""),"",IF(ISNUMBER(Sync!$P463),MOD(Sync!$P463,100),IFERROR(VALUE(TRIM(MID(MID(Sync!$P463,FIND("/",Sync!$P463)+1,20),FIND("/",MID(Sync!$P463,FIND("/",Sync!$P463)+1,20))+1,20))),"")))</f>
        <v/>
      </c>
      <c r="AI463">
        <f>IF($AE463="","",IF(OR($AF463="",$AG463="",$AH463="",$AF463&lt;1300,$AF463&gt;1500,$AG463&lt;1,$AG463&gt;12,$AH463&lt;1,$AH463&gt;31),"نامعتبر",RIGHT("0000"&amp;$AF463,4)&amp;"/"&amp;RIGHT("00"&amp;$AG463,2)&amp;"/"&amp;RIGHT("00"&amp;$AH463,2)))</f>
        <v/>
      </c>
      <c r="AJ463">
        <f>IF($AE463="","",IF(Sync!$Q463="","0000",IF(AND(ISNUMBER(Sync!$Q463),Sync!$Q463&gt;=0,Sync!$Q463&lt;1),RIGHT("00"&amp;HOUR(Sync!$Q463),2)&amp;RIGHT("00"&amp;MINUTE(Sync!$Q463),2),IFERROR(RIGHT("00"&amp;VALUE(LEFT(Sync!$Q463,FIND(":",Sync!$Q463)-1)),2)&amp;RIGHT("00"&amp;VALUE(MID(Sync!$Q463,FIND(":",Sync!$Q463)+1,2)),2),"0000"))))</f>
        <v/>
      </c>
      <c r="AK463">
        <f>IF(OR($AE463="",$AI463="",$AI463="نامعتبر"),"",LEFT($AI463,4)&amp;MID($AI463,6,2)&amp;RIGHT($AI463,2)&amp;$AJ463&amp;"|"&amp;"3"&amp;RIGHT("00000"&amp;458,5))</f>
        <v/>
      </c>
      <c r="AL463">
        <f>IF($AK463="","",COUNTIFS(LdAParty,$AE463,LdAType,1,LdAKey,"&lt;"&amp;$AK463)+COUNTIFS(LdBMember,$AE463,LdBKey,"&lt;"&amp;$AK463)+COUNTIFS(LdCParty,$AE463,LdCKey,"&lt;"&amp;$AK463)+1)</f>
        <v/>
      </c>
      <c r="AM463">
        <f>IF($AL463="","",$AE463&amp;"|"&amp;RIGHT("000000"&amp;$AL463,6))</f>
        <v/>
      </c>
      <c r="AN463">
        <f>IF($AE463="","",IF(Sync!$W463="",0,Sync!$W463))</f>
        <v/>
      </c>
      <c r="AO463">
        <f>IF($AE463="","",IF(Sync!$X463="",0,Sync!$X463))</f>
        <v/>
      </c>
      <c r="AP463">
        <f>IF($AE463="","",Sync!$R463)</f>
        <v/>
      </c>
      <c r="AQ463">
        <f>IF($AE463="","",Sync!$Y463)</f>
        <v/>
      </c>
    </row>
    <row r="464">
      <c r="A464">
        <f>IF(OR(Wages!$B467="",Wages!$E467=""),"",Wages!$E467)</f>
        <v/>
      </c>
      <c r="B464">
        <f>IF($A464="","",IF(Wages!$C467="دستمزد گروهی",2,1))</f>
        <v/>
      </c>
      <c r="C464">
        <f>IF($A464="","",IF(ISNUMBER(Wages!$B467),IF(AND(Wages!$B467&gt;=10000101,Wages!$B467&lt;=99991231),INT(Wages!$B467/10000),""),IFERROR(VALUE(TRIM(LEFT(Wages!$B467,FIND("/",Wages!$B467)-1))),"")))</f>
        <v/>
      </c>
      <c r="D464">
        <f>IF(OR($A464="",$C464=""),"",IF(ISNUMBER(Wages!$B467),INT(MOD(Wages!$B467,10000)/100),IFERROR(VALUE(TRIM(LEFT(MID(Wages!$B467,FIND("/",Wages!$B467)+1,20),FIND("/",MID(Wages!$B467,FIND("/",Wages!$B467)+1,20))-1))),"")))</f>
        <v/>
      </c>
      <c r="E464">
        <f>IF(OR($A464="",$C464=""),"",IF(ISNUMBER(Wages!$B467),MOD(Wages!$B467,100),IFERROR(VALUE(TRIM(MID(MID(Wages!$B467,FIND("/",Wages!$B467)+1,20),FIND("/",MID(Wages!$B467,FIND("/",Wages!$B467)+1,20))+1,20))),"")))</f>
        <v/>
      </c>
      <c r="F464">
        <f>IF($A464="","",IF(OR($C464="",$D464="",$E464="",$C464&lt;1300,$C464&gt;1500,$D464&lt;1,$D464&gt;12,$E464&lt;1,$E464&gt;31),"نامعتبر",RIGHT("0000"&amp;$C464,4)&amp;"/"&amp;RIGHT("00"&amp;$D464,2)&amp;"/"&amp;RIGHT("00"&amp;$E464,2)))</f>
        <v/>
      </c>
      <c r="G464">
        <f>IF(OR($A464="",$F464="",$F464="نامعتبر"),"",LEFT($F464,4)&amp;MID($F464,6,2)&amp;RIGHT($F464,2)&amp;"0000"&amp;"|"&amp;"1"&amp;RIGHT("00000"&amp;459,5))</f>
        <v/>
      </c>
      <c r="H464">
        <f>IF(OR($B464&lt;&gt;1,$G464=""),"",COUNTIFS(LdAParty,$A464,LdAType,1,LdAKey,"&lt;"&amp;$G464)+COUNTIFS(LdBMember,$A464,LdBKey,"&lt;"&amp;$G464)+COUNTIFS(LdCParty,$A464,LdCKey,"&lt;"&amp;$G464)+1)</f>
        <v/>
      </c>
      <c r="I464">
        <f>IF($H464="","",$A464&amp;"|"&amp;RIGHT("000000"&amp;$H464,6))</f>
        <v/>
      </c>
      <c r="J464">
        <f>IF(OR($B464&lt;&gt;2,$G464=""),"",COUNTIFS(LdAParty,$A464,LdAType,2,LdAKey,"&lt;"&amp;$G464)+1)</f>
        <v/>
      </c>
      <c r="K464">
        <f>IF($J464="","",$A464&amp;"|"&amp;RIGHT("000000"&amp;$J464,6))</f>
        <v/>
      </c>
      <c r="L464">
        <f>IF($A464="","",IF(Wages!$G467="",0,Wages!$G467))</f>
        <v/>
      </c>
      <c r="M464">
        <f>IF($A464="","",Wages!$J467)</f>
        <v/>
      </c>
      <c r="N464">
        <f>IF($A464="","",Wages!$D467)</f>
        <v/>
      </c>
      <c r="P464">
        <f>IF(OR(Shares!$B467="",Shares!$C467=""),"",Shares!$C467)</f>
        <v/>
      </c>
      <c r="Q464">
        <f>IF($P464="","",Shares!$B467)</f>
        <v/>
      </c>
      <c r="R464">
        <f>IF($P464="","",IFERROR(INDEX(WageParty,MATCH($Q464,WageIds,0)),""))</f>
        <v/>
      </c>
      <c r="S464">
        <f>IF($P464="","",IFERROR(INDEX($F$6:$F$2005,MATCH($Q464,WageIds,0)),""))</f>
        <v/>
      </c>
      <c r="T464">
        <f>IF(OR($P464="",$S464="",$S464="نامعتبر"),"",LEFT($S464,4)&amp;MID($S464,6,2)&amp;RIGHT($S464,2)&amp;"0000"&amp;"|"&amp;"2"&amp;RIGHT("00000"&amp;459,5))</f>
        <v/>
      </c>
      <c r="U464">
        <f>IF($T464="","",COUNTIFS(LdAParty,$P464,LdAType,1,LdAKey,"&lt;"&amp;$T464)+COUNTIFS(LdBMember,$P464,LdBKey,"&lt;"&amp;$T464)+COUNTIFS(LdCParty,$P464,LdCKey,"&lt;"&amp;$T464)+1)</f>
        <v/>
      </c>
      <c r="V464">
        <f>IF($U464="","",$P464&amp;"|"&amp;RIGHT("000000"&amp;$U464,6))</f>
        <v/>
      </c>
      <c r="W464">
        <f>IF($T464="","",COUNTIFS(LdBGroup,$R464,LdBKey,"&lt;"&amp;$T464)+1)</f>
        <v/>
      </c>
      <c r="X464">
        <f>IF($W464="","",$R464&amp;"|"&amp;RIGHT("000000"&amp;$W464,6))</f>
        <v/>
      </c>
      <c r="Y464">
        <f>IF($P464="","",IF(Shares!$E467="",0,Shares!$E467))</f>
        <v/>
      </c>
      <c r="Z464">
        <f>IF($P464="","",Shares!$H467)</f>
        <v/>
      </c>
      <c r="AE464">
        <f>IF(OR(Sync!$S464="",Sync!$P464=""),"",Sync!$S464)</f>
        <v/>
      </c>
      <c r="AF464">
        <f>IF($AE464="","",IF(ISNUMBER(Sync!$P464),IF(AND(Sync!$P464&gt;=10000101,Sync!$P464&lt;=99991231),INT(Sync!$P464/10000),""),IFERROR(VALUE(TRIM(LEFT(Sync!$P464,FIND("/",Sync!$P464)-1))),"")))</f>
        <v/>
      </c>
      <c r="AG464">
        <f>IF(OR($AE464="",$AF464=""),"",IF(ISNUMBER(Sync!$P464),INT(MOD(Sync!$P464,10000)/100),IFERROR(VALUE(TRIM(LEFT(MID(Sync!$P464,FIND("/",Sync!$P464)+1,20),FIND("/",MID(Sync!$P464,FIND("/",Sync!$P464)+1,20))-1))),"")))</f>
        <v/>
      </c>
      <c r="AH464">
        <f>IF(OR($AE464="",$AF464=""),"",IF(ISNUMBER(Sync!$P464),MOD(Sync!$P464,100),IFERROR(VALUE(TRIM(MID(MID(Sync!$P464,FIND("/",Sync!$P464)+1,20),FIND("/",MID(Sync!$P464,FIND("/",Sync!$P464)+1,20))+1,20))),"")))</f>
        <v/>
      </c>
      <c r="AI464">
        <f>IF($AE464="","",IF(OR($AF464="",$AG464="",$AH464="",$AF464&lt;1300,$AF464&gt;1500,$AG464&lt;1,$AG464&gt;12,$AH464&lt;1,$AH464&gt;31),"نامعتبر",RIGHT("0000"&amp;$AF464,4)&amp;"/"&amp;RIGHT("00"&amp;$AG464,2)&amp;"/"&amp;RIGHT("00"&amp;$AH464,2)))</f>
        <v/>
      </c>
      <c r="AJ464">
        <f>IF($AE464="","",IF(Sync!$Q464="","0000",IF(AND(ISNUMBER(Sync!$Q464),Sync!$Q464&gt;=0,Sync!$Q464&lt;1),RIGHT("00"&amp;HOUR(Sync!$Q464),2)&amp;RIGHT("00"&amp;MINUTE(Sync!$Q464),2),IFERROR(RIGHT("00"&amp;VALUE(LEFT(Sync!$Q464,FIND(":",Sync!$Q464)-1)),2)&amp;RIGHT("00"&amp;VALUE(MID(Sync!$Q464,FIND(":",Sync!$Q464)+1,2)),2),"0000"))))</f>
        <v/>
      </c>
      <c r="AK464">
        <f>IF(OR($AE464="",$AI464="",$AI464="نامعتبر"),"",LEFT($AI464,4)&amp;MID($AI464,6,2)&amp;RIGHT($AI464,2)&amp;$AJ464&amp;"|"&amp;"3"&amp;RIGHT("00000"&amp;459,5))</f>
        <v/>
      </c>
      <c r="AL464">
        <f>IF($AK464="","",COUNTIFS(LdAParty,$AE464,LdAType,1,LdAKey,"&lt;"&amp;$AK464)+COUNTIFS(LdBMember,$AE464,LdBKey,"&lt;"&amp;$AK464)+COUNTIFS(LdCParty,$AE464,LdCKey,"&lt;"&amp;$AK464)+1)</f>
        <v/>
      </c>
      <c r="AM464">
        <f>IF($AL464="","",$AE464&amp;"|"&amp;RIGHT("000000"&amp;$AL464,6))</f>
        <v/>
      </c>
      <c r="AN464">
        <f>IF($AE464="","",IF(Sync!$W464="",0,Sync!$W464))</f>
        <v/>
      </c>
      <c r="AO464">
        <f>IF($AE464="","",IF(Sync!$X464="",0,Sync!$X464))</f>
        <v/>
      </c>
      <c r="AP464">
        <f>IF($AE464="","",Sync!$R464)</f>
        <v/>
      </c>
      <c r="AQ464">
        <f>IF($AE464="","",Sync!$Y464)</f>
        <v/>
      </c>
    </row>
    <row r="465">
      <c r="A465">
        <f>IF(OR(Wages!$B468="",Wages!$E468=""),"",Wages!$E468)</f>
        <v/>
      </c>
      <c r="B465">
        <f>IF($A465="","",IF(Wages!$C468="دستمزد گروهی",2,1))</f>
        <v/>
      </c>
      <c r="C465">
        <f>IF($A465="","",IF(ISNUMBER(Wages!$B468),IF(AND(Wages!$B468&gt;=10000101,Wages!$B468&lt;=99991231),INT(Wages!$B468/10000),""),IFERROR(VALUE(TRIM(LEFT(Wages!$B468,FIND("/",Wages!$B468)-1))),"")))</f>
        <v/>
      </c>
      <c r="D465">
        <f>IF(OR($A465="",$C465=""),"",IF(ISNUMBER(Wages!$B468),INT(MOD(Wages!$B468,10000)/100),IFERROR(VALUE(TRIM(LEFT(MID(Wages!$B468,FIND("/",Wages!$B468)+1,20),FIND("/",MID(Wages!$B468,FIND("/",Wages!$B468)+1,20))-1))),"")))</f>
        <v/>
      </c>
      <c r="E465">
        <f>IF(OR($A465="",$C465=""),"",IF(ISNUMBER(Wages!$B468),MOD(Wages!$B468,100),IFERROR(VALUE(TRIM(MID(MID(Wages!$B468,FIND("/",Wages!$B468)+1,20),FIND("/",MID(Wages!$B468,FIND("/",Wages!$B468)+1,20))+1,20))),"")))</f>
        <v/>
      </c>
      <c r="F465">
        <f>IF($A465="","",IF(OR($C465="",$D465="",$E465="",$C465&lt;1300,$C465&gt;1500,$D465&lt;1,$D465&gt;12,$E465&lt;1,$E465&gt;31),"نامعتبر",RIGHT("0000"&amp;$C465,4)&amp;"/"&amp;RIGHT("00"&amp;$D465,2)&amp;"/"&amp;RIGHT("00"&amp;$E465,2)))</f>
        <v/>
      </c>
      <c r="G465">
        <f>IF(OR($A465="",$F465="",$F465="نامعتبر"),"",LEFT($F465,4)&amp;MID($F465,6,2)&amp;RIGHT($F465,2)&amp;"0000"&amp;"|"&amp;"1"&amp;RIGHT("00000"&amp;460,5))</f>
        <v/>
      </c>
      <c r="H465">
        <f>IF(OR($B465&lt;&gt;1,$G465=""),"",COUNTIFS(LdAParty,$A465,LdAType,1,LdAKey,"&lt;"&amp;$G465)+COUNTIFS(LdBMember,$A465,LdBKey,"&lt;"&amp;$G465)+COUNTIFS(LdCParty,$A465,LdCKey,"&lt;"&amp;$G465)+1)</f>
        <v/>
      </c>
      <c r="I465">
        <f>IF($H465="","",$A465&amp;"|"&amp;RIGHT("000000"&amp;$H465,6))</f>
        <v/>
      </c>
      <c r="J465">
        <f>IF(OR($B465&lt;&gt;2,$G465=""),"",COUNTIFS(LdAParty,$A465,LdAType,2,LdAKey,"&lt;"&amp;$G465)+1)</f>
        <v/>
      </c>
      <c r="K465">
        <f>IF($J465="","",$A465&amp;"|"&amp;RIGHT("000000"&amp;$J465,6))</f>
        <v/>
      </c>
      <c r="L465">
        <f>IF($A465="","",IF(Wages!$G468="",0,Wages!$G468))</f>
        <v/>
      </c>
      <c r="M465">
        <f>IF($A465="","",Wages!$J468)</f>
        <v/>
      </c>
      <c r="N465">
        <f>IF($A465="","",Wages!$D468)</f>
        <v/>
      </c>
      <c r="P465">
        <f>IF(OR(Shares!$B468="",Shares!$C468=""),"",Shares!$C468)</f>
        <v/>
      </c>
      <c r="Q465">
        <f>IF($P465="","",Shares!$B468)</f>
        <v/>
      </c>
      <c r="R465">
        <f>IF($P465="","",IFERROR(INDEX(WageParty,MATCH($Q465,WageIds,0)),""))</f>
        <v/>
      </c>
      <c r="S465">
        <f>IF($P465="","",IFERROR(INDEX($F$6:$F$2005,MATCH($Q465,WageIds,0)),""))</f>
        <v/>
      </c>
      <c r="T465">
        <f>IF(OR($P465="",$S465="",$S465="نامعتبر"),"",LEFT($S465,4)&amp;MID($S465,6,2)&amp;RIGHT($S465,2)&amp;"0000"&amp;"|"&amp;"2"&amp;RIGHT("00000"&amp;460,5))</f>
        <v/>
      </c>
      <c r="U465">
        <f>IF($T465="","",COUNTIFS(LdAParty,$P465,LdAType,1,LdAKey,"&lt;"&amp;$T465)+COUNTIFS(LdBMember,$P465,LdBKey,"&lt;"&amp;$T465)+COUNTIFS(LdCParty,$P465,LdCKey,"&lt;"&amp;$T465)+1)</f>
        <v/>
      </c>
      <c r="V465">
        <f>IF($U465="","",$P465&amp;"|"&amp;RIGHT("000000"&amp;$U465,6))</f>
        <v/>
      </c>
      <c r="W465">
        <f>IF($T465="","",COUNTIFS(LdBGroup,$R465,LdBKey,"&lt;"&amp;$T465)+1)</f>
        <v/>
      </c>
      <c r="X465">
        <f>IF($W465="","",$R465&amp;"|"&amp;RIGHT("000000"&amp;$W465,6))</f>
        <v/>
      </c>
      <c r="Y465">
        <f>IF($P465="","",IF(Shares!$E468="",0,Shares!$E468))</f>
        <v/>
      </c>
      <c r="Z465">
        <f>IF($P465="","",Shares!$H468)</f>
        <v/>
      </c>
      <c r="AE465">
        <f>IF(OR(Sync!$S465="",Sync!$P465=""),"",Sync!$S465)</f>
        <v/>
      </c>
      <c r="AF465">
        <f>IF($AE465="","",IF(ISNUMBER(Sync!$P465),IF(AND(Sync!$P465&gt;=10000101,Sync!$P465&lt;=99991231),INT(Sync!$P465/10000),""),IFERROR(VALUE(TRIM(LEFT(Sync!$P465,FIND("/",Sync!$P465)-1))),"")))</f>
        <v/>
      </c>
      <c r="AG465">
        <f>IF(OR($AE465="",$AF465=""),"",IF(ISNUMBER(Sync!$P465),INT(MOD(Sync!$P465,10000)/100),IFERROR(VALUE(TRIM(LEFT(MID(Sync!$P465,FIND("/",Sync!$P465)+1,20),FIND("/",MID(Sync!$P465,FIND("/",Sync!$P465)+1,20))-1))),"")))</f>
        <v/>
      </c>
      <c r="AH465">
        <f>IF(OR($AE465="",$AF465=""),"",IF(ISNUMBER(Sync!$P465),MOD(Sync!$P465,100),IFERROR(VALUE(TRIM(MID(MID(Sync!$P465,FIND("/",Sync!$P465)+1,20),FIND("/",MID(Sync!$P465,FIND("/",Sync!$P465)+1,20))+1,20))),"")))</f>
        <v/>
      </c>
      <c r="AI465">
        <f>IF($AE465="","",IF(OR($AF465="",$AG465="",$AH465="",$AF465&lt;1300,$AF465&gt;1500,$AG465&lt;1,$AG465&gt;12,$AH465&lt;1,$AH465&gt;31),"نامعتبر",RIGHT("0000"&amp;$AF465,4)&amp;"/"&amp;RIGHT("00"&amp;$AG465,2)&amp;"/"&amp;RIGHT("00"&amp;$AH465,2)))</f>
        <v/>
      </c>
      <c r="AJ465">
        <f>IF($AE465="","",IF(Sync!$Q465="","0000",IF(AND(ISNUMBER(Sync!$Q465),Sync!$Q465&gt;=0,Sync!$Q465&lt;1),RIGHT("00"&amp;HOUR(Sync!$Q465),2)&amp;RIGHT("00"&amp;MINUTE(Sync!$Q465),2),IFERROR(RIGHT("00"&amp;VALUE(LEFT(Sync!$Q465,FIND(":",Sync!$Q465)-1)),2)&amp;RIGHT("00"&amp;VALUE(MID(Sync!$Q465,FIND(":",Sync!$Q465)+1,2)),2),"0000"))))</f>
        <v/>
      </c>
      <c r="AK465">
        <f>IF(OR($AE465="",$AI465="",$AI465="نامعتبر"),"",LEFT($AI465,4)&amp;MID($AI465,6,2)&amp;RIGHT($AI465,2)&amp;$AJ465&amp;"|"&amp;"3"&amp;RIGHT("00000"&amp;460,5))</f>
        <v/>
      </c>
      <c r="AL465">
        <f>IF($AK465="","",COUNTIFS(LdAParty,$AE465,LdAType,1,LdAKey,"&lt;"&amp;$AK465)+COUNTIFS(LdBMember,$AE465,LdBKey,"&lt;"&amp;$AK465)+COUNTIFS(LdCParty,$AE465,LdCKey,"&lt;"&amp;$AK465)+1)</f>
        <v/>
      </c>
      <c r="AM465">
        <f>IF($AL465="","",$AE465&amp;"|"&amp;RIGHT("000000"&amp;$AL465,6))</f>
        <v/>
      </c>
      <c r="AN465">
        <f>IF($AE465="","",IF(Sync!$W465="",0,Sync!$W465))</f>
        <v/>
      </c>
      <c r="AO465">
        <f>IF($AE465="","",IF(Sync!$X465="",0,Sync!$X465))</f>
        <v/>
      </c>
      <c r="AP465">
        <f>IF($AE465="","",Sync!$R465)</f>
        <v/>
      </c>
      <c r="AQ465">
        <f>IF($AE465="","",Sync!$Y465)</f>
        <v/>
      </c>
    </row>
    <row r="466">
      <c r="A466">
        <f>IF(OR(Wages!$B469="",Wages!$E469=""),"",Wages!$E469)</f>
        <v/>
      </c>
      <c r="B466">
        <f>IF($A466="","",IF(Wages!$C469="دستمزد گروهی",2,1))</f>
        <v/>
      </c>
      <c r="C466">
        <f>IF($A466="","",IF(ISNUMBER(Wages!$B469),IF(AND(Wages!$B469&gt;=10000101,Wages!$B469&lt;=99991231),INT(Wages!$B469/10000),""),IFERROR(VALUE(TRIM(LEFT(Wages!$B469,FIND("/",Wages!$B469)-1))),"")))</f>
        <v/>
      </c>
      <c r="D466">
        <f>IF(OR($A466="",$C466=""),"",IF(ISNUMBER(Wages!$B469),INT(MOD(Wages!$B469,10000)/100),IFERROR(VALUE(TRIM(LEFT(MID(Wages!$B469,FIND("/",Wages!$B469)+1,20),FIND("/",MID(Wages!$B469,FIND("/",Wages!$B469)+1,20))-1))),"")))</f>
        <v/>
      </c>
      <c r="E466">
        <f>IF(OR($A466="",$C466=""),"",IF(ISNUMBER(Wages!$B469),MOD(Wages!$B469,100),IFERROR(VALUE(TRIM(MID(MID(Wages!$B469,FIND("/",Wages!$B469)+1,20),FIND("/",MID(Wages!$B469,FIND("/",Wages!$B469)+1,20))+1,20))),"")))</f>
        <v/>
      </c>
      <c r="F466">
        <f>IF($A466="","",IF(OR($C466="",$D466="",$E466="",$C466&lt;1300,$C466&gt;1500,$D466&lt;1,$D466&gt;12,$E466&lt;1,$E466&gt;31),"نامعتبر",RIGHT("0000"&amp;$C466,4)&amp;"/"&amp;RIGHT("00"&amp;$D466,2)&amp;"/"&amp;RIGHT("00"&amp;$E466,2)))</f>
        <v/>
      </c>
      <c r="G466">
        <f>IF(OR($A466="",$F466="",$F466="نامعتبر"),"",LEFT($F466,4)&amp;MID($F466,6,2)&amp;RIGHT($F466,2)&amp;"0000"&amp;"|"&amp;"1"&amp;RIGHT("00000"&amp;461,5))</f>
        <v/>
      </c>
      <c r="H466">
        <f>IF(OR($B466&lt;&gt;1,$G466=""),"",COUNTIFS(LdAParty,$A466,LdAType,1,LdAKey,"&lt;"&amp;$G466)+COUNTIFS(LdBMember,$A466,LdBKey,"&lt;"&amp;$G466)+COUNTIFS(LdCParty,$A466,LdCKey,"&lt;"&amp;$G466)+1)</f>
        <v/>
      </c>
      <c r="I466">
        <f>IF($H466="","",$A466&amp;"|"&amp;RIGHT("000000"&amp;$H466,6))</f>
        <v/>
      </c>
      <c r="J466">
        <f>IF(OR($B466&lt;&gt;2,$G466=""),"",COUNTIFS(LdAParty,$A466,LdAType,2,LdAKey,"&lt;"&amp;$G466)+1)</f>
        <v/>
      </c>
      <c r="K466">
        <f>IF($J466="","",$A466&amp;"|"&amp;RIGHT("000000"&amp;$J466,6))</f>
        <v/>
      </c>
      <c r="L466">
        <f>IF($A466="","",IF(Wages!$G469="",0,Wages!$G469))</f>
        <v/>
      </c>
      <c r="M466">
        <f>IF($A466="","",Wages!$J469)</f>
        <v/>
      </c>
      <c r="N466">
        <f>IF($A466="","",Wages!$D469)</f>
        <v/>
      </c>
      <c r="P466">
        <f>IF(OR(Shares!$B469="",Shares!$C469=""),"",Shares!$C469)</f>
        <v/>
      </c>
      <c r="Q466">
        <f>IF($P466="","",Shares!$B469)</f>
        <v/>
      </c>
      <c r="R466">
        <f>IF($P466="","",IFERROR(INDEX(WageParty,MATCH($Q466,WageIds,0)),""))</f>
        <v/>
      </c>
      <c r="S466">
        <f>IF($P466="","",IFERROR(INDEX($F$6:$F$2005,MATCH($Q466,WageIds,0)),""))</f>
        <v/>
      </c>
      <c r="T466">
        <f>IF(OR($P466="",$S466="",$S466="نامعتبر"),"",LEFT($S466,4)&amp;MID($S466,6,2)&amp;RIGHT($S466,2)&amp;"0000"&amp;"|"&amp;"2"&amp;RIGHT("00000"&amp;461,5))</f>
        <v/>
      </c>
      <c r="U466">
        <f>IF($T466="","",COUNTIFS(LdAParty,$P466,LdAType,1,LdAKey,"&lt;"&amp;$T466)+COUNTIFS(LdBMember,$P466,LdBKey,"&lt;"&amp;$T466)+COUNTIFS(LdCParty,$P466,LdCKey,"&lt;"&amp;$T466)+1)</f>
        <v/>
      </c>
      <c r="V466">
        <f>IF($U466="","",$P466&amp;"|"&amp;RIGHT("000000"&amp;$U466,6))</f>
        <v/>
      </c>
      <c r="W466">
        <f>IF($T466="","",COUNTIFS(LdBGroup,$R466,LdBKey,"&lt;"&amp;$T466)+1)</f>
        <v/>
      </c>
      <c r="X466">
        <f>IF($W466="","",$R466&amp;"|"&amp;RIGHT("000000"&amp;$W466,6))</f>
        <v/>
      </c>
      <c r="Y466">
        <f>IF($P466="","",IF(Shares!$E469="",0,Shares!$E469))</f>
        <v/>
      </c>
      <c r="Z466">
        <f>IF($P466="","",Shares!$H469)</f>
        <v/>
      </c>
      <c r="AE466">
        <f>IF(OR(Sync!$S466="",Sync!$P466=""),"",Sync!$S466)</f>
        <v/>
      </c>
      <c r="AF466">
        <f>IF($AE466="","",IF(ISNUMBER(Sync!$P466),IF(AND(Sync!$P466&gt;=10000101,Sync!$P466&lt;=99991231),INT(Sync!$P466/10000),""),IFERROR(VALUE(TRIM(LEFT(Sync!$P466,FIND("/",Sync!$P466)-1))),"")))</f>
        <v/>
      </c>
      <c r="AG466">
        <f>IF(OR($AE466="",$AF466=""),"",IF(ISNUMBER(Sync!$P466),INT(MOD(Sync!$P466,10000)/100),IFERROR(VALUE(TRIM(LEFT(MID(Sync!$P466,FIND("/",Sync!$P466)+1,20),FIND("/",MID(Sync!$P466,FIND("/",Sync!$P466)+1,20))-1))),"")))</f>
        <v/>
      </c>
      <c r="AH466">
        <f>IF(OR($AE466="",$AF466=""),"",IF(ISNUMBER(Sync!$P466),MOD(Sync!$P466,100),IFERROR(VALUE(TRIM(MID(MID(Sync!$P466,FIND("/",Sync!$P466)+1,20),FIND("/",MID(Sync!$P466,FIND("/",Sync!$P466)+1,20))+1,20))),"")))</f>
        <v/>
      </c>
      <c r="AI466">
        <f>IF($AE466="","",IF(OR($AF466="",$AG466="",$AH466="",$AF466&lt;1300,$AF466&gt;1500,$AG466&lt;1,$AG466&gt;12,$AH466&lt;1,$AH466&gt;31),"نامعتبر",RIGHT("0000"&amp;$AF466,4)&amp;"/"&amp;RIGHT("00"&amp;$AG466,2)&amp;"/"&amp;RIGHT("00"&amp;$AH466,2)))</f>
        <v/>
      </c>
      <c r="AJ466">
        <f>IF($AE466="","",IF(Sync!$Q466="","0000",IF(AND(ISNUMBER(Sync!$Q466),Sync!$Q466&gt;=0,Sync!$Q466&lt;1),RIGHT("00"&amp;HOUR(Sync!$Q466),2)&amp;RIGHT("00"&amp;MINUTE(Sync!$Q466),2),IFERROR(RIGHT("00"&amp;VALUE(LEFT(Sync!$Q466,FIND(":",Sync!$Q466)-1)),2)&amp;RIGHT("00"&amp;VALUE(MID(Sync!$Q466,FIND(":",Sync!$Q466)+1,2)),2),"0000"))))</f>
        <v/>
      </c>
      <c r="AK466">
        <f>IF(OR($AE466="",$AI466="",$AI466="نامعتبر"),"",LEFT($AI466,4)&amp;MID($AI466,6,2)&amp;RIGHT($AI466,2)&amp;$AJ466&amp;"|"&amp;"3"&amp;RIGHT("00000"&amp;461,5))</f>
        <v/>
      </c>
      <c r="AL466">
        <f>IF($AK466="","",COUNTIFS(LdAParty,$AE466,LdAType,1,LdAKey,"&lt;"&amp;$AK466)+COUNTIFS(LdBMember,$AE466,LdBKey,"&lt;"&amp;$AK466)+COUNTIFS(LdCParty,$AE466,LdCKey,"&lt;"&amp;$AK466)+1)</f>
        <v/>
      </c>
      <c r="AM466">
        <f>IF($AL466="","",$AE466&amp;"|"&amp;RIGHT("000000"&amp;$AL466,6))</f>
        <v/>
      </c>
      <c r="AN466">
        <f>IF($AE466="","",IF(Sync!$W466="",0,Sync!$W466))</f>
        <v/>
      </c>
      <c r="AO466">
        <f>IF($AE466="","",IF(Sync!$X466="",0,Sync!$X466))</f>
        <v/>
      </c>
      <c r="AP466">
        <f>IF($AE466="","",Sync!$R466)</f>
        <v/>
      </c>
      <c r="AQ466">
        <f>IF($AE466="","",Sync!$Y466)</f>
        <v/>
      </c>
    </row>
    <row r="467">
      <c r="A467">
        <f>IF(OR(Wages!$B470="",Wages!$E470=""),"",Wages!$E470)</f>
        <v/>
      </c>
      <c r="B467">
        <f>IF($A467="","",IF(Wages!$C470="دستمزد گروهی",2,1))</f>
        <v/>
      </c>
      <c r="C467">
        <f>IF($A467="","",IF(ISNUMBER(Wages!$B470),IF(AND(Wages!$B470&gt;=10000101,Wages!$B470&lt;=99991231),INT(Wages!$B470/10000),""),IFERROR(VALUE(TRIM(LEFT(Wages!$B470,FIND("/",Wages!$B470)-1))),"")))</f>
        <v/>
      </c>
      <c r="D467">
        <f>IF(OR($A467="",$C467=""),"",IF(ISNUMBER(Wages!$B470),INT(MOD(Wages!$B470,10000)/100),IFERROR(VALUE(TRIM(LEFT(MID(Wages!$B470,FIND("/",Wages!$B470)+1,20),FIND("/",MID(Wages!$B470,FIND("/",Wages!$B470)+1,20))-1))),"")))</f>
        <v/>
      </c>
      <c r="E467">
        <f>IF(OR($A467="",$C467=""),"",IF(ISNUMBER(Wages!$B470),MOD(Wages!$B470,100),IFERROR(VALUE(TRIM(MID(MID(Wages!$B470,FIND("/",Wages!$B470)+1,20),FIND("/",MID(Wages!$B470,FIND("/",Wages!$B470)+1,20))+1,20))),"")))</f>
        <v/>
      </c>
      <c r="F467">
        <f>IF($A467="","",IF(OR($C467="",$D467="",$E467="",$C467&lt;1300,$C467&gt;1500,$D467&lt;1,$D467&gt;12,$E467&lt;1,$E467&gt;31),"نامعتبر",RIGHT("0000"&amp;$C467,4)&amp;"/"&amp;RIGHT("00"&amp;$D467,2)&amp;"/"&amp;RIGHT("00"&amp;$E467,2)))</f>
        <v/>
      </c>
      <c r="G467">
        <f>IF(OR($A467="",$F467="",$F467="نامعتبر"),"",LEFT($F467,4)&amp;MID($F467,6,2)&amp;RIGHT($F467,2)&amp;"0000"&amp;"|"&amp;"1"&amp;RIGHT("00000"&amp;462,5))</f>
        <v/>
      </c>
      <c r="H467">
        <f>IF(OR($B467&lt;&gt;1,$G467=""),"",COUNTIFS(LdAParty,$A467,LdAType,1,LdAKey,"&lt;"&amp;$G467)+COUNTIFS(LdBMember,$A467,LdBKey,"&lt;"&amp;$G467)+COUNTIFS(LdCParty,$A467,LdCKey,"&lt;"&amp;$G467)+1)</f>
        <v/>
      </c>
      <c r="I467">
        <f>IF($H467="","",$A467&amp;"|"&amp;RIGHT("000000"&amp;$H467,6))</f>
        <v/>
      </c>
      <c r="J467">
        <f>IF(OR($B467&lt;&gt;2,$G467=""),"",COUNTIFS(LdAParty,$A467,LdAType,2,LdAKey,"&lt;"&amp;$G467)+1)</f>
        <v/>
      </c>
      <c r="K467">
        <f>IF($J467="","",$A467&amp;"|"&amp;RIGHT("000000"&amp;$J467,6))</f>
        <v/>
      </c>
      <c r="L467">
        <f>IF($A467="","",IF(Wages!$G470="",0,Wages!$G470))</f>
        <v/>
      </c>
      <c r="M467">
        <f>IF($A467="","",Wages!$J470)</f>
        <v/>
      </c>
      <c r="N467">
        <f>IF($A467="","",Wages!$D470)</f>
        <v/>
      </c>
      <c r="P467">
        <f>IF(OR(Shares!$B470="",Shares!$C470=""),"",Shares!$C470)</f>
        <v/>
      </c>
      <c r="Q467">
        <f>IF($P467="","",Shares!$B470)</f>
        <v/>
      </c>
      <c r="R467">
        <f>IF($P467="","",IFERROR(INDEX(WageParty,MATCH($Q467,WageIds,0)),""))</f>
        <v/>
      </c>
      <c r="S467">
        <f>IF($P467="","",IFERROR(INDEX($F$6:$F$2005,MATCH($Q467,WageIds,0)),""))</f>
        <v/>
      </c>
      <c r="T467">
        <f>IF(OR($P467="",$S467="",$S467="نامعتبر"),"",LEFT($S467,4)&amp;MID($S467,6,2)&amp;RIGHT($S467,2)&amp;"0000"&amp;"|"&amp;"2"&amp;RIGHT("00000"&amp;462,5))</f>
        <v/>
      </c>
      <c r="U467">
        <f>IF($T467="","",COUNTIFS(LdAParty,$P467,LdAType,1,LdAKey,"&lt;"&amp;$T467)+COUNTIFS(LdBMember,$P467,LdBKey,"&lt;"&amp;$T467)+COUNTIFS(LdCParty,$P467,LdCKey,"&lt;"&amp;$T467)+1)</f>
        <v/>
      </c>
      <c r="V467">
        <f>IF($U467="","",$P467&amp;"|"&amp;RIGHT("000000"&amp;$U467,6))</f>
        <v/>
      </c>
      <c r="W467">
        <f>IF($T467="","",COUNTIFS(LdBGroup,$R467,LdBKey,"&lt;"&amp;$T467)+1)</f>
        <v/>
      </c>
      <c r="X467">
        <f>IF($W467="","",$R467&amp;"|"&amp;RIGHT("000000"&amp;$W467,6))</f>
        <v/>
      </c>
      <c r="Y467">
        <f>IF($P467="","",IF(Shares!$E470="",0,Shares!$E470))</f>
        <v/>
      </c>
      <c r="Z467">
        <f>IF($P467="","",Shares!$H470)</f>
        <v/>
      </c>
      <c r="AE467">
        <f>IF(OR(Sync!$S467="",Sync!$P467=""),"",Sync!$S467)</f>
        <v/>
      </c>
      <c r="AF467">
        <f>IF($AE467="","",IF(ISNUMBER(Sync!$P467),IF(AND(Sync!$P467&gt;=10000101,Sync!$P467&lt;=99991231),INT(Sync!$P467/10000),""),IFERROR(VALUE(TRIM(LEFT(Sync!$P467,FIND("/",Sync!$P467)-1))),"")))</f>
        <v/>
      </c>
      <c r="AG467">
        <f>IF(OR($AE467="",$AF467=""),"",IF(ISNUMBER(Sync!$P467),INT(MOD(Sync!$P467,10000)/100),IFERROR(VALUE(TRIM(LEFT(MID(Sync!$P467,FIND("/",Sync!$P467)+1,20),FIND("/",MID(Sync!$P467,FIND("/",Sync!$P467)+1,20))-1))),"")))</f>
        <v/>
      </c>
      <c r="AH467">
        <f>IF(OR($AE467="",$AF467=""),"",IF(ISNUMBER(Sync!$P467),MOD(Sync!$P467,100),IFERROR(VALUE(TRIM(MID(MID(Sync!$P467,FIND("/",Sync!$P467)+1,20),FIND("/",MID(Sync!$P467,FIND("/",Sync!$P467)+1,20))+1,20))),"")))</f>
        <v/>
      </c>
      <c r="AI467">
        <f>IF($AE467="","",IF(OR($AF467="",$AG467="",$AH467="",$AF467&lt;1300,$AF467&gt;1500,$AG467&lt;1,$AG467&gt;12,$AH467&lt;1,$AH467&gt;31),"نامعتبر",RIGHT("0000"&amp;$AF467,4)&amp;"/"&amp;RIGHT("00"&amp;$AG467,2)&amp;"/"&amp;RIGHT("00"&amp;$AH467,2)))</f>
        <v/>
      </c>
      <c r="AJ467">
        <f>IF($AE467="","",IF(Sync!$Q467="","0000",IF(AND(ISNUMBER(Sync!$Q467),Sync!$Q467&gt;=0,Sync!$Q467&lt;1),RIGHT("00"&amp;HOUR(Sync!$Q467),2)&amp;RIGHT("00"&amp;MINUTE(Sync!$Q467),2),IFERROR(RIGHT("00"&amp;VALUE(LEFT(Sync!$Q467,FIND(":",Sync!$Q467)-1)),2)&amp;RIGHT("00"&amp;VALUE(MID(Sync!$Q467,FIND(":",Sync!$Q467)+1,2)),2),"0000"))))</f>
        <v/>
      </c>
      <c r="AK467">
        <f>IF(OR($AE467="",$AI467="",$AI467="نامعتبر"),"",LEFT($AI467,4)&amp;MID($AI467,6,2)&amp;RIGHT($AI467,2)&amp;$AJ467&amp;"|"&amp;"3"&amp;RIGHT("00000"&amp;462,5))</f>
        <v/>
      </c>
      <c r="AL467">
        <f>IF($AK467="","",COUNTIFS(LdAParty,$AE467,LdAType,1,LdAKey,"&lt;"&amp;$AK467)+COUNTIFS(LdBMember,$AE467,LdBKey,"&lt;"&amp;$AK467)+COUNTIFS(LdCParty,$AE467,LdCKey,"&lt;"&amp;$AK467)+1)</f>
        <v/>
      </c>
      <c r="AM467">
        <f>IF($AL467="","",$AE467&amp;"|"&amp;RIGHT("000000"&amp;$AL467,6))</f>
        <v/>
      </c>
      <c r="AN467">
        <f>IF($AE467="","",IF(Sync!$W467="",0,Sync!$W467))</f>
        <v/>
      </c>
      <c r="AO467">
        <f>IF($AE467="","",IF(Sync!$X467="",0,Sync!$X467))</f>
        <v/>
      </c>
      <c r="AP467">
        <f>IF($AE467="","",Sync!$R467)</f>
        <v/>
      </c>
      <c r="AQ467">
        <f>IF($AE467="","",Sync!$Y467)</f>
        <v/>
      </c>
    </row>
    <row r="468">
      <c r="A468">
        <f>IF(OR(Wages!$B471="",Wages!$E471=""),"",Wages!$E471)</f>
        <v/>
      </c>
      <c r="B468">
        <f>IF($A468="","",IF(Wages!$C471="دستمزد گروهی",2,1))</f>
        <v/>
      </c>
      <c r="C468">
        <f>IF($A468="","",IF(ISNUMBER(Wages!$B471),IF(AND(Wages!$B471&gt;=10000101,Wages!$B471&lt;=99991231),INT(Wages!$B471/10000),""),IFERROR(VALUE(TRIM(LEFT(Wages!$B471,FIND("/",Wages!$B471)-1))),"")))</f>
        <v/>
      </c>
      <c r="D468">
        <f>IF(OR($A468="",$C468=""),"",IF(ISNUMBER(Wages!$B471),INT(MOD(Wages!$B471,10000)/100),IFERROR(VALUE(TRIM(LEFT(MID(Wages!$B471,FIND("/",Wages!$B471)+1,20),FIND("/",MID(Wages!$B471,FIND("/",Wages!$B471)+1,20))-1))),"")))</f>
        <v/>
      </c>
      <c r="E468">
        <f>IF(OR($A468="",$C468=""),"",IF(ISNUMBER(Wages!$B471),MOD(Wages!$B471,100),IFERROR(VALUE(TRIM(MID(MID(Wages!$B471,FIND("/",Wages!$B471)+1,20),FIND("/",MID(Wages!$B471,FIND("/",Wages!$B471)+1,20))+1,20))),"")))</f>
        <v/>
      </c>
      <c r="F468">
        <f>IF($A468="","",IF(OR($C468="",$D468="",$E468="",$C468&lt;1300,$C468&gt;1500,$D468&lt;1,$D468&gt;12,$E468&lt;1,$E468&gt;31),"نامعتبر",RIGHT("0000"&amp;$C468,4)&amp;"/"&amp;RIGHT("00"&amp;$D468,2)&amp;"/"&amp;RIGHT("00"&amp;$E468,2)))</f>
        <v/>
      </c>
      <c r="G468">
        <f>IF(OR($A468="",$F468="",$F468="نامعتبر"),"",LEFT($F468,4)&amp;MID($F468,6,2)&amp;RIGHT($F468,2)&amp;"0000"&amp;"|"&amp;"1"&amp;RIGHT("00000"&amp;463,5))</f>
        <v/>
      </c>
      <c r="H468">
        <f>IF(OR($B468&lt;&gt;1,$G468=""),"",COUNTIFS(LdAParty,$A468,LdAType,1,LdAKey,"&lt;"&amp;$G468)+COUNTIFS(LdBMember,$A468,LdBKey,"&lt;"&amp;$G468)+COUNTIFS(LdCParty,$A468,LdCKey,"&lt;"&amp;$G468)+1)</f>
        <v/>
      </c>
      <c r="I468">
        <f>IF($H468="","",$A468&amp;"|"&amp;RIGHT("000000"&amp;$H468,6))</f>
        <v/>
      </c>
      <c r="J468">
        <f>IF(OR($B468&lt;&gt;2,$G468=""),"",COUNTIFS(LdAParty,$A468,LdAType,2,LdAKey,"&lt;"&amp;$G468)+1)</f>
        <v/>
      </c>
      <c r="K468">
        <f>IF($J468="","",$A468&amp;"|"&amp;RIGHT("000000"&amp;$J468,6))</f>
        <v/>
      </c>
      <c r="L468">
        <f>IF($A468="","",IF(Wages!$G471="",0,Wages!$G471))</f>
        <v/>
      </c>
      <c r="M468">
        <f>IF($A468="","",Wages!$J471)</f>
        <v/>
      </c>
      <c r="N468">
        <f>IF($A468="","",Wages!$D471)</f>
        <v/>
      </c>
      <c r="P468">
        <f>IF(OR(Shares!$B471="",Shares!$C471=""),"",Shares!$C471)</f>
        <v/>
      </c>
      <c r="Q468">
        <f>IF($P468="","",Shares!$B471)</f>
        <v/>
      </c>
      <c r="R468">
        <f>IF($P468="","",IFERROR(INDEX(WageParty,MATCH($Q468,WageIds,0)),""))</f>
        <v/>
      </c>
      <c r="S468">
        <f>IF($P468="","",IFERROR(INDEX($F$6:$F$2005,MATCH($Q468,WageIds,0)),""))</f>
        <v/>
      </c>
      <c r="T468">
        <f>IF(OR($P468="",$S468="",$S468="نامعتبر"),"",LEFT($S468,4)&amp;MID($S468,6,2)&amp;RIGHT($S468,2)&amp;"0000"&amp;"|"&amp;"2"&amp;RIGHT("00000"&amp;463,5))</f>
        <v/>
      </c>
      <c r="U468">
        <f>IF($T468="","",COUNTIFS(LdAParty,$P468,LdAType,1,LdAKey,"&lt;"&amp;$T468)+COUNTIFS(LdBMember,$P468,LdBKey,"&lt;"&amp;$T468)+COUNTIFS(LdCParty,$P468,LdCKey,"&lt;"&amp;$T468)+1)</f>
        <v/>
      </c>
      <c r="V468">
        <f>IF($U468="","",$P468&amp;"|"&amp;RIGHT("000000"&amp;$U468,6))</f>
        <v/>
      </c>
      <c r="W468">
        <f>IF($T468="","",COUNTIFS(LdBGroup,$R468,LdBKey,"&lt;"&amp;$T468)+1)</f>
        <v/>
      </c>
      <c r="X468">
        <f>IF($W468="","",$R468&amp;"|"&amp;RIGHT("000000"&amp;$W468,6))</f>
        <v/>
      </c>
      <c r="Y468">
        <f>IF($P468="","",IF(Shares!$E471="",0,Shares!$E471))</f>
        <v/>
      </c>
      <c r="Z468">
        <f>IF($P468="","",Shares!$H471)</f>
        <v/>
      </c>
      <c r="AE468">
        <f>IF(OR(Sync!$S468="",Sync!$P468=""),"",Sync!$S468)</f>
        <v/>
      </c>
      <c r="AF468">
        <f>IF($AE468="","",IF(ISNUMBER(Sync!$P468),IF(AND(Sync!$P468&gt;=10000101,Sync!$P468&lt;=99991231),INT(Sync!$P468/10000),""),IFERROR(VALUE(TRIM(LEFT(Sync!$P468,FIND("/",Sync!$P468)-1))),"")))</f>
        <v/>
      </c>
      <c r="AG468">
        <f>IF(OR($AE468="",$AF468=""),"",IF(ISNUMBER(Sync!$P468),INT(MOD(Sync!$P468,10000)/100),IFERROR(VALUE(TRIM(LEFT(MID(Sync!$P468,FIND("/",Sync!$P468)+1,20),FIND("/",MID(Sync!$P468,FIND("/",Sync!$P468)+1,20))-1))),"")))</f>
        <v/>
      </c>
      <c r="AH468">
        <f>IF(OR($AE468="",$AF468=""),"",IF(ISNUMBER(Sync!$P468),MOD(Sync!$P468,100),IFERROR(VALUE(TRIM(MID(MID(Sync!$P468,FIND("/",Sync!$P468)+1,20),FIND("/",MID(Sync!$P468,FIND("/",Sync!$P468)+1,20))+1,20))),"")))</f>
        <v/>
      </c>
      <c r="AI468">
        <f>IF($AE468="","",IF(OR($AF468="",$AG468="",$AH468="",$AF468&lt;1300,$AF468&gt;1500,$AG468&lt;1,$AG468&gt;12,$AH468&lt;1,$AH468&gt;31),"نامعتبر",RIGHT("0000"&amp;$AF468,4)&amp;"/"&amp;RIGHT("00"&amp;$AG468,2)&amp;"/"&amp;RIGHT("00"&amp;$AH468,2)))</f>
        <v/>
      </c>
      <c r="AJ468">
        <f>IF($AE468="","",IF(Sync!$Q468="","0000",IF(AND(ISNUMBER(Sync!$Q468),Sync!$Q468&gt;=0,Sync!$Q468&lt;1),RIGHT("00"&amp;HOUR(Sync!$Q468),2)&amp;RIGHT("00"&amp;MINUTE(Sync!$Q468),2),IFERROR(RIGHT("00"&amp;VALUE(LEFT(Sync!$Q468,FIND(":",Sync!$Q468)-1)),2)&amp;RIGHT("00"&amp;VALUE(MID(Sync!$Q468,FIND(":",Sync!$Q468)+1,2)),2),"0000"))))</f>
        <v/>
      </c>
      <c r="AK468">
        <f>IF(OR($AE468="",$AI468="",$AI468="نامعتبر"),"",LEFT($AI468,4)&amp;MID($AI468,6,2)&amp;RIGHT($AI468,2)&amp;$AJ468&amp;"|"&amp;"3"&amp;RIGHT("00000"&amp;463,5))</f>
        <v/>
      </c>
      <c r="AL468">
        <f>IF($AK468="","",COUNTIFS(LdAParty,$AE468,LdAType,1,LdAKey,"&lt;"&amp;$AK468)+COUNTIFS(LdBMember,$AE468,LdBKey,"&lt;"&amp;$AK468)+COUNTIFS(LdCParty,$AE468,LdCKey,"&lt;"&amp;$AK468)+1)</f>
        <v/>
      </c>
      <c r="AM468">
        <f>IF($AL468="","",$AE468&amp;"|"&amp;RIGHT("000000"&amp;$AL468,6))</f>
        <v/>
      </c>
      <c r="AN468">
        <f>IF($AE468="","",IF(Sync!$W468="",0,Sync!$W468))</f>
        <v/>
      </c>
      <c r="AO468">
        <f>IF($AE468="","",IF(Sync!$X468="",0,Sync!$X468))</f>
        <v/>
      </c>
      <c r="AP468">
        <f>IF($AE468="","",Sync!$R468)</f>
        <v/>
      </c>
      <c r="AQ468">
        <f>IF($AE468="","",Sync!$Y468)</f>
        <v/>
      </c>
    </row>
    <row r="469">
      <c r="A469">
        <f>IF(OR(Wages!$B472="",Wages!$E472=""),"",Wages!$E472)</f>
        <v/>
      </c>
      <c r="B469">
        <f>IF($A469="","",IF(Wages!$C472="دستمزد گروهی",2,1))</f>
        <v/>
      </c>
      <c r="C469">
        <f>IF($A469="","",IF(ISNUMBER(Wages!$B472),IF(AND(Wages!$B472&gt;=10000101,Wages!$B472&lt;=99991231),INT(Wages!$B472/10000),""),IFERROR(VALUE(TRIM(LEFT(Wages!$B472,FIND("/",Wages!$B472)-1))),"")))</f>
        <v/>
      </c>
      <c r="D469">
        <f>IF(OR($A469="",$C469=""),"",IF(ISNUMBER(Wages!$B472),INT(MOD(Wages!$B472,10000)/100),IFERROR(VALUE(TRIM(LEFT(MID(Wages!$B472,FIND("/",Wages!$B472)+1,20),FIND("/",MID(Wages!$B472,FIND("/",Wages!$B472)+1,20))-1))),"")))</f>
        <v/>
      </c>
      <c r="E469">
        <f>IF(OR($A469="",$C469=""),"",IF(ISNUMBER(Wages!$B472),MOD(Wages!$B472,100),IFERROR(VALUE(TRIM(MID(MID(Wages!$B472,FIND("/",Wages!$B472)+1,20),FIND("/",MID(Wages!$B472,FIND("/",Wages!$B472)+1,20))+1,20))),"")))</f>
        <v/>
      </c>
      <c r="F469">
        <f>IF($A469="","",IF(OR($C469="",$D469="",$E469="",$C469&lt;1300,$C469&gt;1500,$D469&lt;1,$D469&gt;12,$E469&lt;1,$E469&gt;31),"نامعتبر",RIGHT("0000"&amp;$C469,4)&amp;"/"&amp;RIGHT("00"&amp;$D469,2)&amp;"/"&amp;RIGHT("00"&amp;$E469,2)))</f>
        <v/>
      </c>
      <c r="G469">
        <f>IF(OR($A469="",$F469="",$F469="نامعتبر"),"",LEFT($F469,4)&amp;MID($F469,6,2)&amp;RIGHT($F469,2)&amp;"0000"&amp;"|"&amp;"1"&amp;RIGHT("00000"&amp;464,5))</f>
        <v/>
      </c>
      <c r="H469">
        <f>IF(OR($B469&lt;&gt;1,$G469=""),"",COUNTIFS(LdAParty,$A469,LdAType,1,LdAKey,"&lt;"&amp;$G469)+COUNTIFS(LdBMember,$A469,LdBKey,"&lt;"&amp;$G469)+COUNTIFS(LdCParty,$A469,LdCKey,"&lt;"&amp;$G469)+1)</f>
        <v/>
      </c>
      <c r="I469">
        <f>IF($H469="","",$A469&amp;"|"&amp;RIGHT("000000"&amp;$H469,6))</f>
        <v/>
      </c>
      <c r="J469">
        <f>IF(OR($B469&lt;&gt;2,$G469=""),"",COUNTIFS(LdAParty,$A469,LdAType,2,LdAKey,"&lt;"&amp;$G469)+1)</f>
        <v/>
      </c>
      <c r="K469">
        <f>IF($J469="","",$A469&amp;"|"&amp;RIGHT("000000"&amp;$J469,6))</f>
        <v/>
      </c>
      <c r="L469">
        <f>IF($A469="","",IF(Wages!$G472="",0,Wages!$G472))</f>
        <v/>
      </c>
      <c r="M469">
        <f>IF($A469="","",Wages!$J472)</f>
        <v/>
      </c>
      <c r="N469">
        <f>IF($A469="","",Wages!$D472)</f>
        <v/>
      </c>
      <c r="P469">
        <f>IF(OR(Shares!$B472="",Shares!$C472=""),"",Shares!$C472)</f>
        <v/>
      </c>
      <c r="Q469">
        <f>IF($P469="","",Shares!$B472)</f>
        <v/>
      </c>
      <c r="R469">
        <f>IF($P469="","",IFERROR(INDEX(WageParty,MATCH($Q469,WageIds,0)),""))</f>
        <v/>
      </c>
      <c r="S469">
        <f>IF($P469="","",IFERROR(INDEX($F$6:$F$2005,MATCH($Q469,WageIds,0)),""))</f>
        <v/>
      </c>
      <c r="T469">
        <f>IF(OR($P469="",$S469="",$S469="نامعتبر"),"",LEFT($S469,4)&amp;MID($S469,6,2)&amp;RIGHT($S469,2)&amp;"0000"&amp;"|"&amp;"2"&amp;RIGHT("00000"&amp;464,5))</f>
        <v/>
      </c>
      <c r="U469">
        <f>IF($T469="","",COUNTIFS(LdAParty,$P469,LdAType,1,LdAKey,"&lt;"&amp;$T469)+COUNTIFS(LdBMember,$P469,LdBKey,"&lt;"&amp;$T469)+COUNTIFS(LdCParty,$P469,LdCKey,"&lt;"&amp;$T469)+1)</f>
        <v/>
      </c>
      <c r="V469">
        <f>IF($U469="","",$P469&amp;"|"&amp;RIGHT("000000"&amp;$U469,6))</f>
        <v/>
      </c>
      <c r="W469">
        <f>IF($T469="","",COUNTIFS(LdBGroup,$R469,LdBKey,"&lt;"&amp;$T469)+1)</f>
        <v/>
      </c>
      <c r="X469">
        <f>IF($W469="","",$R469&amp;"|"&amp;RIGHT("000000"&amp;$W469,6))</f>
        <v/>
      </c>
      <c r="Y469">
        <f>IF($P469="","",IF(Shares!$E472="",0,Shares!$E472))</f>
        <v/>
      </c>
      <c r="Z469">
        <f>IF($P469="","",Shares!$H472)</f>
        <v/>
      </c>
      <c r="AE469">
        <f>IF(OR(Sync!$S469="",Sync!$P469=""),"",Sync!$S469)</f>
        <v/>
      </c>
      <c r="AF469">
        <f>IF($AE469="","",IF(ISNUMBER(Sync!$P469),IF(AND(Sync!$P469&gt;=10000101,Sync!$P469&lt;=99991231),INT(Sync!$P469/10000),""),IFERROR(VALUE(TRIM(LEFT(Sync!$P469,FIND("/",Sync!$P469)-1))),"")))</f>
        <v/>
      </c>
      <c r="AG469">
        <f>IF(OR($AE469="",$AF469=""),"",IF(ISNUMBER(Sync!$P469),INT(MOD(Sync!$P469,10000)/100),IFERROR(VALUE(TRIM(LEFT(MID(Sync!$P469,FIND("/",Sync!$P469)+1,20),FIND("/",MID(Sync!$P469,FIND("/",Sync!$P469)+1,20))-1))),"")))</f>
        <v/>
      </c>
      <c r="AH469">
        <f>IF(OR($AE469="",$AF469=""),"",IF(ISNUMBER(Sync!$P469),MOD(Sync!$P469,100),IFERROR(VALUE(TRIM(MID(MID(Sync!$P469,FIND("/",Sync!$P469)+1,20),FIND("/",MID(Sync!$P469,FIND("/",Sync!$P469)+1,20))+1,20))),"")))</f>
        <v/>
      </c>
      <c r="AI469">
        <f>IF($AE469="","",IF(OR($AF469="",$AG469="",$AH469="",$AF469&lt;1300,$AF469&gt;1500,$AG469&lt;1,$AG469&gt;12,$AH469&lt;1,$AH469&gt;31),"نامعتبر",RIGHT("0000"&amp;$AF469,4)&amp;"/"&amp;RIGHT("00"&amp;$AG469,2)&amp;"/"&amp;RIGHT("00"&amp;$AH469,2)))</f>
        <v/>
      </c>
      <c r="AJ469">
        <f>IF($AE469="","",IF(Sync!$Q469="","0000",IF(AND(ISNUMBER(Sync!$Q469),Sync!$Q469&gt;=0,Sync!$Q469&lt;1),RIGHT("00"&amp;HOUR(Sync!$Q469),2)&amp;RIGHT("00"&amp;MINUTE(Sync!$Q469),2),IFERROR(RIGHT("00"&amp;VALUE(LEFT(Sync!$Q469,FIND(":",Sync!$Q469)-1)),2)&amp;RIGHT("00"&amp;VALUE(MID(Sync!$Q469,FIND(":",Sync!$Q469)+1,2)),2),"0000"))))</f>
        <v/>
      </c>
      <c r="AK469">
        <f>IF(OR($AE469="",$AI469="",$AI469="نامعتبر"),"",LEFT($AI469,4)&amp;MID($AI469,6,2)&amp;RIGHT($AI469,2)&amp;$AJ469&amp;"|"&amp;"3"&amp;RIGHT("00000"&amp;464,5))</f>
        <v/>
      </c>
      <c r="AL469">
        <f>IF($AK469="","",COUNTIFS(LdAParty,$AE469,LdAType,1,LdAKey,"&lt;"&amp;$AK469)+COUNTIFS(LdBMember,$AE469,LdBKey,"&lt;"&amp;$AK469)+COUNTIFS(LdCParty,$AE469,LdCKey,"&lt;"&amp;$AK469)+1)</f>
        <v/>
      </c>
      <c r="AM469">
        <f>IF($AL469="","",$AE469&amp;"|"&amp;RIGHT("000000"&amp;$AL469,6))</f>
        <v/>
      </c>
      <c r="AN469">
        <f>IF($AE469="","",IF(Sync!$W469="",0,Sync!$W469))</f>
        <v/>
      </c>
      <c r="AO469">
        <f>IF($AE469="","",IF(Sync!$X469="",0,Sync!$X469))</f>
        <v/>
      </c>
      <c r="AP469">
        <f>IF($AE469="","",Sync!$R469)</f>
        <v/>
      </c>
      <c r="AQ469">
        <f>IF($AE469="","",Sync!$Y469)</f>
        <v/>
      </c>
    </row>
    <row r="470">
      <c r="A470">
        <f>IF(OR(Wages!$B473="",Wages!$E473=""),"",Wages!$E473)</f>
        <v/>
      </c>
      <c r="B470">
        <f>IF($A470="","",IF(Wages!$C473="دستمزد گروهی",2,1))</f>
        <v/>
      </c>
      <c r="C470">
        <f>IF($A470="","",IF(ISNUMBER(Wages!$B473),IF(AND(Wages!$B473&gt;=10000101,Wages!$B473&lt;=99991231),INT(Wages!$B473/10000),""),IFERROR(VALUE(TRIM(LEFT(Wages!$B473,FIND("/",Wages!$B473)-1))),"")))</f>
        <v/>
      </c>
      <c r="D470">
        <f>IF(OR($A470="",$C470=""),"",IF(ISNUMBER(Wages!$B473),INT(MOD(Wages!$B473,10000)/100),IFERROR(VALUE(TRIM(LEFT(MID(Wages!$B473,FIND("/",Wages!$B473)+1,20),FIND("/",MID(Wages!$B473,FIND("/",Wages!$B473)+1,20))-1))),"")))</f>
        <v/>
      </c>
      <c r="E470">
        <f>IF(OR($A470="",$C470=""),"",IF(ISNUMBER(Wages!$B473),MOD(Wages!$B473,100),IFERROR(VALUE(TRIM(MID(MID(Wages!$B473,FIND("/",Wages!$B473)+1,20),FIND("/",MID(Wages!$B473,FIND("/",Wages!$B473)+1,20))+1,20))),"")))</f>
        <v/>
      </c>
      <c r="F470">
        <f>IF($A470="","",IF(OR($C470="",$D470="",$E470="",$C470&lt;1300,$C470&gt;1500,$D470&lt;1,$D470&gt;12,$E470&lt;1,$E470&gt;31),"نامعتبر",RIGHT("0000"&amp;$C470,4)&amp;"/"&amp;RIGHT("00"&amp;$D470,2)&amp;"/"&amp;RIGHT("00"&amp;$E470,2)))</f>
        <v/>
      </c>
      <c r="G470">
        <f>IF(OR($A470="",$F470="",$F470="نامعتبر"),"",LEFT($F470,4)&amp;MID($F470,6,2)&amp;RIGHT($F470,2)&amp;"0000"&amp;"|"&amp;"1"&amp;RIGHT("00000"&amp;465,5))</f>
        <v/>
      </c>
      <c r="H470">
        <f>IF(OR($B470&lt;&gt;1,$G470=""),"",COUNTIFS(LdAParty,$A470,LdAType,1,LdAKey,"&lt;"&amp;$G470)+COUNTIFS(LdBMember,$A470,LdBKey,"&lt;"&amp;$G470)+COUNTIFS(LdCParty,$A470,LdCKey,"&lt;"&amp;$G470)+1)</f>
        <v/>
      </c>
      <c r="I470">
        <f>IF($H470="","",$A470&amp;"|"&amp;RIGHT("000000"&amp;$H470,6))</f>
        <v/>
      </c>
      <c r="J470">
        <f>IF(OR($B470&lt;&gt;2,$G470=""),"",COUNTIFS(LdAParty,$A470,LdAType,2,LdAKey,"&lt;"&amp;$G470)+1)</f>
        <v/>
      </c>
      <c r="K470">
        <f>IF($J470="","",$A470&amp;"|"&amp;RIGHT("000000"&amp;$J470,6))</f>
        <v/>
      </c>
      <c r="L470">
        <f>IF($A470="","",IF(Wages!$G473="",0,Wages!$G473))</f>
        <v/>
      </c>
      <c r="M470">
        <f>IF($A470="","",Wages!$J473)</f>
        <v/>
      </c>
      <c r="N470">
        <f>IF($A470="","",Wages!$D473)</f>
        <v/>
      </c>
      <c r="P470">
        <f>IF(OR(Shares!$B473="",Shares!$C473=""),"",Shares!$C473)</f>
        <v/>
      </c>
      <c r="Q470">
        <f>IF($P470="","",Shares!$B473)</f>
        <v/>
      </c>
      <c r="R470">
        <f>IF($P470="","",IFERROR(INDEX(WageParty,MATCH($Q470,WageIds,0)),""))</f>
        <v/>
      </c>
      <c r="S470">
        <f>IF($P470="","",IFERROR(INDEX($F$6:$F$2005,MATCH($Q470,WageIds,0)),""))</f>
        <v/>
      </c>
      <c r="T470">
        <f>IF(OR($P470="",$S470="",$S470="نامعتبر"),"",LEFT($S470,4)&amp;MID($S470,6,2)&amp;RIGHT($S470,2)&amp;"0000"&amp;"|"&amp;"2"&amp;RIGHT("00000"&amp;465,5))</f>
        <v/>
      </c>
      <c r="U470">
        <f>IF($T470="","",COUNTIFS(LdAParty,$P470,LdAType,1,LdAKey,"&lt;"&amp;$T470)+COUNTIFS(LdBMember,$P470,LdBKey,"&lt;"&amp;$T470)+COUNTIFS(LdCParty,$P470,LdCKey,"&lt;"&amp;$T470)+1)</f>
        <v/>
      </c>
      <c r="V470">
        <f>IF($U470="","",$P470&amp;"|"&amp;RIGHT("000000"&amp;$U470,6))</f>
        <v/>
      </c>
      <c r="W470">
        <f>IF($T470="","",COUNTIFS(LdBGroup,$R470,LdBKey,"&lt;"&amp;$T470)+1)</f>
        <v/>
      </c>
      <c r="X470">
        <f>IF($W470="","",$R470&amp;"|"&amp;RIGHT("000000"&amp;$W470,6))</f>
        <v/>
      </c>
      <c r="Y470">
        <f>IF($P470="","",IF(Shares!$E473="",0,Shares!$E473))</f>
        <v/>
      </c>
      <c r="Z470">
        <f>IF($P470="","",Shares!$H473)</f>
        <v/>
      </c>
      <c r="AE470">
        <f>IF(OR(Sync!$S470="",Sync!$P470=""),"",Sync!$S470)</f>
        <v/>
      </c>
      <c r="AF470">
        <f>IF($AE470="","",IF(ISNUMBER(Sync!$P470),IF(AND(Sync!$P470&gt;=10000101,Sync!$P470&lt;=99991231),INT(Sync!$P470/10000),""),IFERROR(VALUE(TRIM(LEFT(Sync!$P470,FIND("/",Sync!$P470)-1))),"")))</f>
        <v/>
      </c>
      <c r="AG470">
        <f>IF(OR($AE470="",$AF470=""),"",IF(ISNUMBER(Sync!$P470),INT(MOD(Sync!$P470,10000)/100),IFERROR(VALUE(TRIM(LEFT(MID(Sync!$P470,FIND("/",Sync!$P470)+1,20),FIND("/",MID(Sync!$P470,FIND("/",Sync!$P470)+1,20))-1))),"")))</f>
        <v/>
      </c>
      <c r="AH470">
        <f>IF(OR($AE470="",$AF470=""),"",IF(ISNUMBER(Sync!$P470),MOD(Sync!$P470,100),IFERROR(VALUE(TRIM(MID(MID(Sync!$P470,FIND("/",Sync!$P470)+1,20),FIND("/",MID(Sync!$P470,FIND("/",Sync!$P470)+1,20))+1,20))),"")))</f>
        <v/>
      </c>
      <c r="AI470">
        <f>IF($AE470="","",IF(OR($AF470="",$AG470="",$AH470="",$AF470&lt;1300,$AF470&gt;1500,$AG470&lt;1,$AG470&gt;12,$AH470&lt;1,$AH470&gt;31),"نامعتبر",RIGHT("0000"&amp;$AF470,4)&amp;"/"&amp;RIGHT("00"&amp;$AG470,2)&amp;"/"&amp;RIGHT("00"&amp;$AH470,2)))</f>
        <v/>
      </c>
      <c r="AJ470">
        <f>IF($AE470="","",IF(Sync!$Q470="","0000",IF(AND(ISNUMBER(Sync!$Q470),Sync!$Q470&gt;=0,Sync!$Q470&lt;1),RIGHT("00"&amp;HOUR(Sync!$Q470),2)&amp;RIGHT("00"&amp;MINUTE(Sync!$Q470),2),IFERROR(RIGHT("00"&amp;VALUE(LEFT(Sync!$Q470,FIND(":",Sync!$Q470)-1)),2)&amp;RIGHT("00"&amp;VALUE(MID(Sync!$Q470,FIND(":",Sync!$Q470)+1,2)),2),"0000"))))</f>
        <v/>
      </c>
      <c r="AK470">
        <f>IF(OR($AE470="",$AI470="",$AI470="نامعتبر"),"",LEFT($AI470,4)&amp;MID($AI470,6,2)&amp;RIGHT($AI470,2)&amp;$AJ470&amp;"|"&amp;"3"&amp;RIGHT("00000"&amp;465,5))</f>
        <v/>
      </c>
      <c r="AL470">
        <f>IF($AK470="","",COUNTIFS(LdAParty,$AE470,LdAType,1,LdAKey,"&lt;"&amp;$AK470)+COUNTIFS(LdBMember,$AE470,LdBKey,"&lt;"&amp;$AK470)+COUNTIFS(LdCParty,$AE470,LdCKey,"&lt;"&amp;$AK470)+1)</f>
        <v/>
      </c>
      <c r="AM470">
        <f>IF($AL470="","",$AE470&amp;"|"&amp;RIGHT("000000"&amp;$AL470,6))</f>
        <v/>
      </c>
      <c r="AN470">
        <f>IF($AE470="","",IF(Sync!$W470="",0,Sync!$W470))</f>
        <v/>
      </c>
      <c r="AO470">
        <f>IF($AE470="","",IF(Sync!$X470="",0,Sync!$X470))</f>
        <v/>
      </c>
      <c r="AP470">
        <f>IF($AE470="","",Sync!$R470)</f>
        <v/>
      </c>
      <c r="AQ470">
        <f>IF($AE470="","",Sync!$Y470)</f>
        <v/>
      </c>
    </row>
    <row r="471">
      <c r="A471">
        <f>IF(OR(Wages!$B474="",Wages!$E474=""),"",Wages!$E474)</f>
        <v/>
      </c>
      <c r="B471">
        <f>IF($A471="","",IF(Wages!$C474="دستمزد گروهی",2,1))</f>
        <v/>
      </c>
      <c r="C471">
        <f>IF($A471="","",IF(ISNUMBER(Wages!$B474),IF(AND(Wages!$B474&gt;=10000101,Wages!$B474&lt;=99991231),INT(Wages!$B474/10000),""),IFERROR(VALUE(TRIM(LEFT(Wages!$B474,FIND("/",Wages!$B474)-1))),"")))</f>
        <v/>
      </c>
      <c r="D471">
        <f>IF(OR($A471="",$C471=""),"",IF(ISNUMBER(Wages!$B474),INT(MOD(Wages!$B474,10000)/100),IFERROR(VALUE(TRIM(LEFT(MID(Wages!$B474,FIND("/",Wages!$B474)+1,20),FIND("/",MID(Wages!$B474,FIND("/",Wages!$B474)+1,20))-1))),"")))</f>
        <v/>
      </c>
      <c r="E471">
        <f>IF(OR($A471="",$C471=""),"",IF(ISNUMBER(Wages!$B474),MOD(Wages!$B474,100),IFERROR(VALUE(TRIM(MID(MID(Wages!$B474,FIND("/",Wages!$B474)+1,20),FIND("/",MID(Wages!$B474,FIND("/",Wages!$B474)+1,20))+1,20))),"")))</f>
        <v/>
      </c>
      <c r="F471">
        <f>IF($A471="","",IF(OR($C471="",$D471="",$E471="",$C471&lt;1300,$C471&gt;1500,$D471&lt;1,$D471&gt;12,$E471&lt;1,$E471&gt;31),"نامعتبر",RIGHT("0000"&amp;$C471,4)&amp;"/"&amp;RIGHT("00"&amp;$D471,2)&amp;"/"&amp;RIGHT("00"&amp;$E471,2)))</f>
        <v/>
      </c>
      <c r="G471">
        <f>IF(OR($A471="",$F471="",$F471="نامعتبر"),"",LEFT($F471,4)&amp;MID($F471,6,2)&amp;RIGHT($F471,2)&amp;"0000"&amp;"|"&amp;"1"&amp;RIGHT("00000"&amp;466,5))</f>
        <v/>
      </c>
      <c r="H471">
        <f>IF(OR($B471&lt;&gt;1,$G471=""),"",COUNTIFS(LdAParty,$A471,LdAType,1,LdAKey,"&lt;"&amp;$G471)+COUNTIFS(LdBMember,$A471,LdBKey,"&lt;"&amp;$G471)+COUNTIFS(LdCParty,$A471,LdCKey,"&lt;"&amp;$G471)+1)</f>
        <v/>
      </c>
      <c r="I471">
        <f>IF($H471="","",$A471&amp;"|"&amp;RIGHT("000000"&amp;$H471,6))</f>
        <v/>
      </c>
      <c r="J471">
        <f>IF(OR($B471&lt;&gt;2,$G471=""),"",COUNTIFS(LdAParty,$A471,LdAType,2,LdAKey,"&lt;"&amp;$G471)+1)</f>
        <v/>
      </c>
      <c r="K471">
        <f>IF($J471="","",$A471&amp;"|"&amp;RIGHT("000000"&amp;$J471,6))</f>
        <v/>
      </c>
      <c r="L471">
        <f>IF($A471="","",IF(Wages!$G474="",0,Wages!$G474))</f>
        <v/>
      </c>
      <c r="M471">
        <f>IF($A471="","",Wages!$J474)</f>
        <v/>
      </c>
      <c r="N471">
        <f>IF($A471="","",Wages!$D474)</f>
        <v/>
      </c>
      <c r="P471">
        <f>IF(OR(Shares!$B474="",Shares!$C474=""),"",Shares!$C474)</f>
        <v/>
      </c>
      <c r="Q471">
        <f>IF($P471="","",Shares!$B474)</f>
        <v/>
      </c>
      <c r="R471">
        <f>IF($P471="","",IFERROR(INDEX(WageParty,MATCH($Q471,WageIds,0)),""))</f>
        <v/>
      </c>
      <c r="S471">
        <f>IF($P471="","",IFERROR(INDEX($F$6:$F$2005,MATCH($Q471,WageIds,0)),""))</f>
        <v/>
      </c>
      <c r="T471">
        <f>IF(OR($P471="",$S471="",$S471="نامعتبر"),"",LEFT($S471,4)&amp;MID($S471,6,2)&amp;RIGHT($S471,2)&amp;"0000"&amp;"|"&amp;"2"&amp;RIGHT("00000"&amp;466,5))</f>
        <v/>
      </c>
      <c r="U471">
        <f>IF($T471="","",COUNTIFS(LdAParty,$P471,LdAType,1,LdAKey,"&lt;"&amp;$T471)+COUNTIFS(LdBMember,$P471,LdBKey,"&lt;"&amp;$T471)+COUNTIFS(LdCParty,$P471,LdCKey,"&lt;"&amp;$T471)+1)</f>
        <v/>
      </c>
      <c r="V471">
        <f>IF($U471="","",$P471&amp;"|"&amp;RIGHT("000000"&amp;$U471,6))</f>
        <v/>
      </c>
      <c r="W471">
        <f>IF($T471="","",COUNTIFS(LdBGroup,$R471,LdBKey,"&lt;"&amp;$T471)+1)</f>
        <v/>
      </c>
      <c r="X471">
        <f>IF($W471="","",$R471&amp;"|"&amp;RIGHT("000000"&amp;$W471,6))</f>
        <v/>
      </c>
      <c r="Y471">
        <f>IF($P471="","",IF(Shares!$E474="",0,Shares!$E474))</f>
        <v/>
      </c>
      <c r="Z471">
        <f>IF($P471="","",Shares!$H474)</f>
        <v/>
      </c>
      <c r="AE471">
        <f>IF(OR(Sync!$S471="",Sync!$P471=""),"",Sync!$S471)</f>
        <v/>
      </c>
      <c r="AF471">
        <f>IF($AE471="","",IF(ISNUMBER(Sync!$P471),IF(AND(Sync!$P471&gt;=10000101,Sync!$P471&lt;=99991231),INT(Sync!$P471/10000),""),IFERROR(VALUE(TRIM(LEFT(Sync!$P471,FIND("/",Sync!$P471)-1))),"")))</f>
        <v/>
      </c>
      <c r="AG471">
        <f>IF(OR($AE471="",$AF471=""),"",IF(ISNUMBER(Sync!$P471),INT(MOD(Sync!$P471,10000)/100),IFERROR(VALUE(TRIM(LEFT(MID(Sync!$P471,FIND("/",Sync!$P471)+1,20),FIND("/",MID(Sync!$P471,FIND("/",Sync!$P471)+1,20))-1))),"")))</f>
        <v/>
      </c>
      <c r="AH471">
        <f>IF(OR($AE471="",$AF471=""),"",IF(ISNUMBER(Sync!$P471),MOD(Sync!$P471,100),IFERROR(VALUE(TRIM(MID(MID(Sync!$P471,FIND("/",Sync!$P471)+1,20),FIND("/",MID(Sync!$P471,FIND("/",Sync!$P471)+1,20))+1,20))),"")))</f>
        <v/>
      </c>
      <c r="AI471">
        <f>IF($AE471="","",IF(OR($AF471="",$AG471="",$AH471="",$AF471&lt;1300,$AF471&gt;1500,$AG471&lt;1,$AG471&gt;12,$AH471&lt;1,$AH471&gt;31),"نامعتبر",RIGHT("0000"&amp;$AF471,4)&amp;"/"&amp;RIGHT("00"&amp;$AG471,2)&amp;"/"&amp;RIGHT("00"&amp;$AH471,2)))</f>
        <v/>
      </c>
      <c r="AJ471">
        <f>IF($AE471="","",IF(Sync!$Q471="","0000",IF(AND(ISNUMBER(Sync!$Q471),Sync!$Q471&gt;=0,Sync!$Q471&lt;1),RIGHT("00"&amp;HOUR(Sync!$Q471),2)&amp;RIGHT("00"&amp;MINUTE(Sync!$Q471),2),IFERROR(RIGHT("00"&amp;VALUE(LEFT(Sync!$Q471,FIND(":",Sync!$Q471)-1)),2)&amp;RIGHT("00"&amp;VALUE(MID(Sync!$Q471,FIND(":",Sync!$Q471)+1,2)),2),"0000"))))</f>
        <v/>
      </c>
      <c r="AK471">
        <f>IF(OR($AE471="",$AI471="",$AI471="نامعتبر"),"",LEFT($AI471,4)&amp;MID($AI471,6,2)&amp;RIGHT($AI471,2)&amp;$AJ471&amp;"|"&amp;"3"&amp;RIGHT("00000"&amp;466,5))</f>
        <v/>
      </c>
      <c r="AL471">
        <f>IF($AK471="","",COUNTIFS(LdAParty,$AE471,LdAType,1,LdAKey,"&lt;"&amp;$AK471)+COUNTIFS(LdBMember,$AE471,LdBKey,"&lt;"&amp;$AK471)+COUNTIFS(LdCParty,$AE471,LdCKey,"&lt;"&amp;$AK471)+1)</f>
        <v/>
      </c>
      <c r="AM471">
        <f>IF($AL471="","",$AE471&amp;"|"&amp;RIGHT("000000"&amp;$AL471,6))</f>
        <v/>
      </c>
      <c r="AN471">
        <f>IF($AE471="","",IF(Sync!$W471="",0,Sync!$W471))</f>
        <v/>
      </c>
      <c r="AO471">
        <f>IF($AE471="","",IF(Sync!$X471="",0,Sync!$X471))</f>
        <v/>
      </c>
      <c r="AP471">
        <f>IF($AE471="","",Sync!$R471)</f>
        <v/>
      </c>
      <c r="AQ471">
        <f>IF($AE471="","",Sync!$Y471)</f>
        <v/>
      </c>
    </row>
    <row r="472">
      <c r="A472">
        <f>IF(OR(Wages!$B475="",Wages!$E475=""),"",Wages!$E475)</f>
        <v/>
      </c>
      <c r="B472">
        <f>IF($A472="","",IF(Wages!$C475="دستمزد گروهی",2,1))</f>
        <v/>
      </c>
      <c r="C472">
        <f>IF($A472="","",IF(ISNUMBER(Wages!$B475),IF(AND(Wages!$B475&gt;=10000101,Wages!$B475&lt;=99991231),INT(Wages!$B475/10000),""),IFERROR(VALUE(TRIM(LEFT(Wages!$B475,FIND("/",Wages!$B475)-1))),"")))</f>
        <v/>
      </c>
      <c r="D472">
        <f>IF(OR($A472="",$C472=""),"",IF(ISNUMBER(Wages!$B475),INT(MOD(Wages!$B475,10000)/100),IFERROR(VALUE(TRIM(LEFT(MID(Wages!$B475,FIND("/",Wages!$B475)+1,20),FIND("/",MID(Wages!$B475,FIND("/",Wages!$B475)+1,20))-1))),"")))</f>
        <v/>
      </c>
      <c r="E472">
        <f>IF(OR($A472="",$C472=""),"",IF(ISNUMBER(Wages!$B475),MOD(Wages!$B475,100),IFERROR(VALUE(TRIM(MID(MID(Wages!$B475,FIND("/",Wages!$B475)+1,20),FIND("/",MID(Wages!$B475,FIND("/",Wages!$B475)+1,20))+1,20))),"")))</f>
        <v/>
      </c>
      <c r="F472">
        <f>IF($A472="","",IF(OR($C472="",$D472="",$E472="",$C472&lt;1300,$C472&gt;1500,$D472&lt;1,$D472&gt;12,$E472&lt;1,$E472&gt;31),"نامعتبر",RIGHT("0000"&amp;$C472,4)&amp;"/"&amp;RIGHT("00"&amp;$D472,2)&amp;"/"&amp;RIGHT("00"&amp;$E472,2)))</f>
        <v/>
      </c>
      <c r="G472">
        <f>IF(OR($A472="",$F472="",$F472="نامعتبر"),"",LEFT($F472,4)&amp;MID($F472,6,2)&amp;RIGHT($F472,2)&amp;"0000"&amp;"|"&amp;"1"&amp;RIGHT("00000"&amp;467,5))</f>
        <v/>
      </c>
      <c r="H472">
        <f>IF(OR($B472&lt;&gt;1,$G472=""),"",COUNTIFS(LdAParty,$A472,LdAType,1,LdAKey,"&lt;"&amp;$G472)+COUNTIFS(LdBMember,$A472,LdBKey,"&lt;"&amp;$G472)+COUNTIFS(LdCParty,$A472,LdCKey,"&lt;"&amp;$G472)+1)</f>
        <v/>
      </c>
      <c r="I472">
        <f>IF($H472="","",$A472&amp;"|"&amp;RIGHT("000000"&amp;$H472,6))</f>
        <v/>
      </c>
      <c r="J472">
        <f>IF(OR($B472&lt;&gt;2,$G472=""),"",COUNTIFS(LdAParty,$A472,LdAType,2,LdAKey,"&lt;"&amp;$G472)+1)</f>
        <v/>
      </c>
      <c r="K472">
        <f>IF($J472="","",$A472&amp;"|"&amp;RIGHT("000000"&amp;$J472,6))</f>
        <v/>
      </c>
      <c r="L472">
        <f>IF($A472="","",IF(Wages!$G475="",0,Wages!$G475))</f>
        <v/>
      </c>
      <c r="M472">
        <f>IF($A472="","",Wages!$J475)</f>
        <v/>
      </c>
      <c r="N472">
        <f>IF($A472="","",Wages!$D475)</f>
        <v/>
      </c>
      <c r="P472">
        <f>IF(OR(Shares!$B475="",Shares!$C475=""),"",Shares!$C475)</f>
        <v/>
      </c>
      <c r="Q472">
        <f>IF($P472="","",Shares!$B475)</f>
        <v/>
      </c>
      <c r="R472">
        <f>IF($P472="","",IFERROR(INDEX(WageParty,MATCH($Q472,WageIds,0)),""))</f>
        <v/>
      </c>
      <c r="S472">
        <f>IF($P472="","",IFERROR(INDEX($F$6:$F$2005,MATCH($Q472,WageIds,0)),""))</f>
        <v/>
      </c>
      <c r="T472">
        <f>IF(OR($P472="",$S472="",$S472="نامعتبر"),"",LEFT($S472,4)&amp;MID($S472,6,2)&amp;RIGHT($S472,2)&amp;"0000"&amp;"|"&amp;"2"&amp;RIGHT("00000"&amp;467,5))</f>
        <v/>
      </c>
      <c r="U472">
        <f>IF($T472="","",COUNTIFS(LdAParty,$P472,LdAType,1,LdAKey,"&lt;"&amp;$T472)+COUNTIFS(LdBMember,$P472,LdBKey,"&lt;"&amp;$T472)+COUNTIFS(LdCParty,$P472,LdCKey,"&lt;"&amp;$T472)+1)</f>
        <v/>
      </c>
      <c r="V472">
        <f>IF($U472="","",$P472&amp;"|"&amp;RIGHT("000000"&amp;$U472,6))</f>
        <v/>
      </c>
      <c r="W472">
        <f>IF($T472="","",COUNTIFS(LdBGroup,$R472,LdBKey,"&lt;"&amp;$T472)+1)</f>
        <v/>
      </c>
      <c r="X472">
        <f>IF($W472="","",$R472&amp;"|"&amp;RIGHT("000000"&amp;$W472,6))</f>
        <v/>
      </c>
      <c r="Y472">
        <f>IF($P472="","",IF(Shares!$E475="",0,Shares!$E475))</f>
        <v/>
      </c>
      <c r="Z472">
        <f>IF($P472="","",Shares!$H475)</f>
        <v/>
      </c>
      <c r="AE472">
        <f>IF(OR(Sync!$S472="",Sync!$P472=""),"",Sync!$S472)</f>
        <v/>
      </c>
      <c r="AF472">
        <f>IF($AE472="","",IF(ISNUMBER(Sync!$P472),IF(AND(Sync!$P472&gt;=10000101,Sync!$P472&lt;=99991231),INT(Sync!$P472/10000),""),IFERROR(VALUE(TRIM(LEFT(Sync!$P472,FIND("/",Sync!$P472)-1))),"")))</f>
        <v/>
      </c>
      <c r="AG472">
        <f>IF(OR($AE472="",$AF472=""),"",IF(ISNUMBER(Sync!$P472),INT(MOD(Sync!$P472,10000)/100),IFERROR(VALUE(TRIM(LEFT(MID(Sync!$P472,FIND("/",Sync!$P472)+1,20),FIND("/",MID(Sync!$P472,FIND("/",Sync!$P472)+1,20))-1))),"")))</f>
        <v/>
      </c>
      <c r="AH472">
        <f>IF(OR($AE472="",$AF472=""),"",IF(ISNUMBER(Sync!$P472),MOD(Sync!$P472,100),IFERROR(VALUE(TRIM(MID(MID(Sync!$P472,FIND("/",Sync!$P472)+1,20),FIND("/",MID(Sync!$P472,FIND("/",Sync!$P472)+1,20))+1,20))),"")))</f>
        <v/>
      </c>
      <c r="AI472">
        <f>IF($AE472="","",IF(OR($AF472="",$AG472="",$AH472="",$AF472&lt;1300,$AF472&gt;1500,$AG472&lt;1,$AG472&gt;12,$AH472&lt;1,$AH472&gt;31),"نامعتبر",RIGHT("0000"&amp;$AF472,4)&amp;"/"&amp;RIGHT("00"&amp;$AG472,2)&amp;"/"&amp;RIGHT("00"&amp;$AH472,2)))</f>
        <v/>
      </c>
      <c r="AJ472">
        <f>IF($AE472="","",IF(Sync!$Q472="","0000",IF(AND(ISNUMBER(Sync!$Q472),Sync!$Q472&gt;=0,Sync!$Q472&lt;1),RIGHT("00"&amp;HOUR(Sync!$Q472),2)&amp;RIGHT("00"&amp;MINUTE(Sync!$Q472),2),IFERROR(RIGHT("00"&amp;VALUE(LEFT(Sync!$Q472,FIND(":",Sync!$Q472)-1)),2)&amp;RIGHT("00"&amp;VALUE(MID(Sync!$Q472,FIND(":",Sync!$Q472)+1,2)),2),"0000"))))</f>
        <v/>
      </c>
      <c r="AK472">
        <f>IF(OR($AE472="",$AI472="",$AI472="نامعتبر"),"",LEFT($AI472,4)&amp;MID($AI472,6,2)&amp;RIGHT($AI472,2)&amp;$AJ472&amp;"|"&amp;"3"&amp;RIGHT("00000"&amp;467,5))</f>
        <v/>
      </c>
      <c r="AL472">
        <f>IF($AK472="","",COUNTIFS(LdAParty,$AE472,LdAType,1,LdAKey,"&lt;"&amp;$AK472)+COUNTIFS(LdBMember,$AE472,LdBKey,"&lt;"&amp;$AK472)+COUNTIFS(LdCParty,$AE472,LdCKey,"&lt;"&amp;$AK472)+1)</f>
        <v/>
      </c>
      <c r="AM472">
        <f>IF($AL472="","",$AE472&amp;"|"&amp;RIGHT("000000"&amp;$AL472,6))</f>
        <v/>
      </c>
      <c r="AN472">
        <f>IF($AE472="","",IF(Sync!$W472="",0,Sync!$W472))</f>
        <v/>
      </c>
      <c r="AO472">
        <f>IF($AE472="","",IF(Sync!$X472="",0,Sync!$X472))</f>
        <v/>
      </c>
      <c r="AP472">
        <f>IF($AE472="","",Sync!$R472)</f>
        <v/>
      </c>
      <c r="AQ472">
        <f>IF($AE472="","",Sync!$Y472)</f>
        <v/>
      </c>
    </row>
    <row r="473">
      <c r="A473">
        <f>IF(OR(Wages!$B476="",Wages!$E476=""),"",Wages!$E476)</f>
        <v/>
      </c>
      <c r="B473">
        <f>IF($A473="","",IF(Wages!$C476="دستمزد گروهی",2,1))</f>
        <v/>
      </c>
      <c r="C473">
        <f>IF($A473="","",IF(ISNUMBER(Wages!$B476),IF(AND(Wages!$B476&gt;=10000101,Wages!$B476&lt;=99991231),INT(Wages!$B476/10000),""),IFERROR(VALUE(TRIM(LEFT(Wages!$B476,FIND("/",Wages!$B476)-1))),"")))</f>
        <v/>
      </c>
      <c r="D473">
        <f>IF(OR($A473="",$C473=""),"",IF(ISNUMBER(Wages!$B476),INT(MOD(Wages!$B476,10000)/100),IFERROR(VALUE(TRIM(LEFT(MID(Wages!$B476,FIND("/",Wages!$B476)+1,20),FIND("/",MID(Wages!$B476,FIND("/",Wages!$B476)+1,20))-1))),"")))</f>
        <v/>
      </c>
      <c r="E473">
        <f>IF(OR($A473="",$C473=""),"",IF(ISNUMBER(Wages!$B476),MOD(Wages!$B476,100),IFERROR(VALUE(TRIM(MID(MID(Wages!$B476,FIND("/",Wages!$B476)+1,20),FIND("/",MID(Wages!$B476,FIND("/",Wages!$B476)+1,20))+1,20))),"")))</f>
        <v/>
      </c>
      <c r="F473">
        <f>IF($A473="","",IF(OR($C473="",$D473="",$E473="",$C473&lt;1300,$C473&gt;1500,$D473&lt;1,$D473&gt;12,$E473&lt;1,$E473&gt;31),"نامعتبر",RIGHT("0000"&amp;$C473,4)&amp;"/"&amp;RIGHT("00"&amp;$D473,2)&amp;"/"&amp;RIGHT("00"&amp;$E473,2)))</f>
        <v/>
      </c>
      <c r="G473">
        <f>IF(OR($A473="",$F473="",$F473="نامعتبر"),"",LEFT($F473,4)&amp;MID($F473,6,2)&amp;RIGHT($F473,2)&amp;"0000"&amp;"|"&amp;"1"&amp;RIGHT("00000"&amp;468,5))</f>
        <v/>
      </c>
      <c r="H473">
        <f>IF(OR($B473&lt;&gt;1,$G473=""),"",COUNTIFS(LdAParty,$A473,LdAType,1,LdAKey,"&lt;"&amp;$G473)+COUNTIFS(LdBMember,$A473,LdBKey,"&lt;"&amp;$G473)+COUNTIFS(LdCParty,$A473,LdCKey,"&lt;"&amp;$G473)+1)</f>
        <v/>
      </c>
      <c r="I473">
        <f>IF($H473="","",$A473&amp;"|"&amp;RIGHT("000000"&amp;$H473,6))</f>
        <v/>
      </c>
      <c r="J473">
        <f>IF(OR($B473&lt;&gt;2,$G473=""),"",COUNTIFS(LdAParty,$A473,LdAType,2,LdAKey,"&lt;"&amp;$G473)+1)</f>
        <v/>
      </c>
      <c r="K473">
        <f>IF($J473="","",$A473&amp;"|"&amp;RIGHT("000000"&amp;$J473,6))</f>
        <v/>
      </c>
      <c r="L473">
        <f>IF($A473="","",IF(Wages!$G476="",0,Wages!$G476))</f>
        <v/>
      </c>
      <c r="M473">
        <f>IF($A473="","",Wages!$J476)</f>
        <v/>
      </c>
      <c r="N473">
        <f>IF($A473="","",Wages!$D476)</f>
        <v/>
      </c>
      <c r="P473">
        <f>IF(OR(Shares!$B476="",Shares!$C476=""),"",Shares!$C476)</f>
        <v/>
      </c>
      <c r="Q473">
        <f>IF($P473="","",Shares!$B476)</f>
        <v/>
      </c>
      <c r="R473">
        <f>IF($P473="","",IFERROR(INDEX(WageParty,MATCH($Q473,WageIds,0)),""))</f>
        <v/>
      </c>
      <c r="S473">
        <f>IF($P473="","",IFERROR(INDEX($F$6:$F$2005,MATCH($Q473,WageIds,0)),""))</f>
        <v/>
      </c>
      <c r="T473">
        <f>IF(OR($P473="",$S473="",$S473="نامعتبر"),"",LEFT($S473,4)&amp;MID($S473,6,2)&amp;RIGHT($S473,2)&amp;"0000"&amp;"|"&amp;"2"&amp;RIGHT("00000"&amp;468,5))</f>
        <v/>
      </c>
      <c r="U473">
        <f>IF($T473="","",COUNTIFS(LdAParty,$P473,LdAType,1,LdAKey,"&lt;"&amp;$T473)+COUNTIFS(LdBMember,$P473,LdBKey,"&lt;"&amp;$T473)+COUNTIFS(LdCParty,$P473,LdCKey,"&lt;"&amp;$T473)+1)</f>
        <v/>
      </c>
      <c r="V473">
        <f>IF($U473="","",$P473&amp;"|"&amp;RIGHT("000000"&amp;$U473,6))</f>
        <v/>
      </c>
      <c r="W473">
        <f>IF($T473="","",COUNTIFS(LdBGroup,$R473,LdBKey,"&lt;"&amp;$T473)+1)</f>
        <v/>
      </c>
      <c r="X473">
        <f>IF($W473="","",$R473&amp;"|"&amp;RIGHT("000000"&amp;$W473,6))</f>
        <v/>
      </c>
      <c r="Y473">
        <f>IF($P473="","",IF(Shares!$E476="",0,Shares!$E476))</f>
        <v/>
      </c>
      <c r="Z473">
        <f>IF($P473="","",Shares!$H476)</f>
        <v/>
      </c>
      <c r="AE473">
        <f>IF(OR(Sync!$S473="",Sync!$P473=""),"",Sync!$S473)</f>
        <v/>
      </c>
      <c r="AF473">
        <f>IF($AE473="","",IF(ISNUMBER(Sync!$P473),IF(AND(Sync!$P473&gt;=10000101,Sync!$P473&lt;=99991231),INT(Sync!$P473/10000),""),IFERROR(VALUE(TRIM(LEFT(Sync!$P473,FIND("/",Sync!$P473)-1))),"")))</f>
        <v/>
      </c>
      <c r="AG473">
        <f>IF(OR($AE473="",$AF473=""),"",IF(ISNUMBER(Sync!$P473),INT(MOD(Sync!$P473,10000)/100),IFERROR(VALUE(TRIM(LEFT(MID(Sync!$P473,FIND("/",Sync!$P473)+1,20),FIND("/",MID(Sync!$P473,FIND("/",Sync!$P473)+1,20))-1))),"")))</f>
        <v/>
      </c>
      <c r="AH473">
        <f>IF(OR($AE473="",$AF473=""),"",IF(ISNUMBER(Sync!$P473),MOD(Sync!$P473,100),IFERROR(VALUE(TRIM(MID(MID(Sync!$P473,FIND("/",Sync!$P473)+1,20),FIND("/",MID(Sync!$P473,FIND("/",Sync!$P473)+1,20))+1,20))),"")))</f>
        <v/>
      </c>
      <c r="AI473">
        <f>IF($AE473="","",IF(OR($AF473="",$AG473="",$AH473="",$AF473&lt;1300,$AF473&gt;1500,$AG473&lt;1,$AG473&gt;12,$AH473&lt;1,$AH473&gt;31),"نامعتبر",RIGHT("0000"&amp;$AF473,4)&amp;"/"&amp;RIGHT("00"&amp;$AG473,2)&amp;"/"&amp;RIGHT("00"&amp;$AH473,2)))</f>
        <v/>
      </c>
      <c r="AJ473">
        <f>IF($AE473="","",IF(Sync!$Q473="","0000",IF(AND(ISNUMBER(Sync!$Q473),Sync!$Q473&gt;=0,Sync!$Q473&lt;1),RIGHT("00"&amp;HOUR(Sync!$Q473),2)&amp;RIGHT("00"&amp;MINUTE(Sync!$Q473),2),IFERROR(RIGHT("00"&amp;VALUE(LEFT(Sync!$Q473,FIND(":",Sync!$Q473)-1)),2)&amp;RIGHT("00"&amp;VALUE(MID(Sync!$Q473,FIND(":",Sync!$Q473)+1,2)),2),"0000"))))</f>
        <v/>
      </c>
      <c r="AK473">
        <f>IF(OR($AE473="",$AI473="",$AI473="نامعتبر"),"",LEFT($AI473,4)&amp;MID($AI473,6,2)&amp;RIGHT($AI473,2)&amp;$AJ473&amp;"|"&amp;"3"&amp;RIGHT("00000"&amp;468,5))</f>
        <v/>
      </c>
      <c r="AL473">
        <f>IF($AK473="","",COUNTIFS(LdAParty,$AE473,LdAType,1,LdAKey,"&lt;"&amp;$AK473)+COUNTIFS(LdBMember,$AE473,LdBKey,"&lt;"&amp;$AK473)+COUNTIFS(LdCParty,$AE473,LdCKey,"&lt;"&amp;$AK473)+1)</f>
        <v/>
      </c>
      <c r="AM473">
        <f>IF($AL473="","",$AE473&amp;"|"&amp;RIGHT("000000"&amp;$AL473,6))</f>
        <v/>
      </c>
      <c r="AN473">
        <f>IF($AE473="","",IF(Sync!$W473="",0,Sync!$W473))</f>
        <v/>
      </c>
      <c r="AO473">
        <f>IF($AE473="","",IF(Sync!$X473="",0,Sync!$X473))</f>
        <v/>
      </c>
      <c r="AP473">
        <f>IF($AE473="","",Sync!$R473)</f>
        <v/>
      </c>
      <c r="AQ473">
        <f>IF($AE473="","",Sync!$Y473)</f>
        <v/>
      </c>
    </row>
    <row r="474">
      <c r="A474">
        <f>IF(OR(Wages!$B477="",Wages!$E477=""),"",Wages!$E477)</f>
        <v/>
      </c>
      <c r="B474">
        <f>IF($A474="","",IF(Wages!$C477="دستمزد گروهی",2,1))</f>
        <v/>
      </c>
      <c r="C474">
        <f>IF($A474="","",IF(ISNUMBER(Wages!$B477),IF(AND(Wages!$B477&gt;=10000101,Wages!$B477&lt;=99991231),INT(Wages!$B477/10000),""),IFERROR(VALUE(TRIM(LEFT(Wages!$B477,FIND("/",Wages!$B477)-1))),"")))</f>
        <v/>
      </c>
      <c r="D474">
        <f>IF(OR($A474="",$C474=""),"",IF(ISNUMBER(Wages!$B477),INT(MOD(Wages!$B477,10000)/100),IFERROR(VALUE(TRIM(LEFT(MID(Wages!$B477,FIND("/",Wages!$B477)+1,20),FIND("/",MID(Wages!$B477,FIND("/",Wages!$B477)+1,20))-1))),"")))</f>
        <v/>
      </c>
      <c r="E474">
        <f>IF(OR($A474="",$C474=""),"",IF(ISNUMBER(Wages!$B477),MOD(Wages!$B477,100),IFERROR(VALUE(TRIM(MID(MID(Wages!$B477,FIND("/",Wages!$B477)+1,20),FIND("/",MID(Wages!$B477,FIND("/",Wages!$B477)+1,20))+1,20))),"")))</f>
        <v/>
      </c>
      <c r="F474">
        <f>IF($A474="","",IF(OR($C474="",$D474="",$E474="",$C474&lt;1300,$C474&gt;1500,$D474&lt;1,$D474&gt;12,$E474&lt;1,$E474&gt;31),"نامعتبر",RIGHT("0000"&amp;$C474,4)&amp;"/"&amp;RIGHT("00"&amp;$D474,2)&amp;"/"&amp;RIGHT("00"&amp;$E474,2)))</f>
        <v/>
      </c>
      <c r="G474">
        <f>IF(OR($A474="",$F474="",$F474="نامعتبر"),"",LEFT($F474,4)&amp;MID($F474,6,2)&amp;RIGHT($F474,2)&amp;"0000"&amp;"|"&amp;"1"&amp;RIGHT("00000"&amp;469,5))</f>
        <v/>
      </c>
      <c r="H474">
        <f>IF(OR($B474&lt;&gt;1,$G474=""),"",COUNTIFS(LdAParty,$A474,LdAType,1,LdAKey,"&lt;"&amp;$G474)+COUNTIFS(LdBMember,$A474,LdBKey,"&lt;"&amp;$G474)+COUNTIFS(LdCParty,$A474,LdCKey,"&lt;"&amp;$G474)+1)</f>
        <v/>
      </c>
      <c r="I474">
        <f>IF($H474="","",$A474&amp;"|"&amp;RIGHT("000000"&amp;$H474,6))</f>
        <v/>
      </c>
      <c r="J474">
        <f>IF(OR($B474&lt;&gt;2,$G474=""),"",COUNTIFS(LdAParty,$A474,LdAType,2,LdAKey,"&lt;"&amp;$G474)+1)</f>
        <v/>
      </c>
      <c r="K474">
        <f>IF($J474="","",$A474&amp;"|"&amp;RIGHT("000000"&amp;$J474,6))</f>
        <v/>
      </c>
      <c r="L474">
        <f>IF($A474="","",IF(Wages!$G477="",0,Wages!$G477))</f>
        <v/>
      </c>
      <c r="M474">
        <f>IF($A474="","",Wages!$J477)</f>
        <v/>
      </c>
      <c r="N474">
        <f>IF($A474="","",Wages!$D477)</f>
        <v/>
      </c>
      <c r="P474">
        <f>IF(OR(Shares!$B477="",Shares!$C477=""),"",Shares!$C477)</f>
        <v/>
      </c>
      <c r="Q474">
        <f>IF($P474="","",Shares!$B477)</f>
        <v/>
      </c>
      <c r="R474">
        <f>IF($P474="","",IFERROR(INDEX(WageParty,MATCH($Q474,WageIds,0)),""))</f>
        <v/>
      </c>
      <c r="S474">
        <f>IF($P474="","",IFERROR(INDEX($F$6:$F$2005,MATCH($Q474,WageIds,0)),""))</f>
        <v/>
      </c>
      <c r="T474">
        <f>IF(OR($P474="",$S474="",$S474="نامعتبر"),"",LEFT($S474,4)&amp;MID($S474,6,2)&amp;RIGHT($S474,2)&amp;"0000"&amp;"|"&amp;"2"&amp;RIGHT("00000"&amp;469,5))</f>
        <v/>
      </c>
      <c r="U474">
        <f>IF($T474="","",COUNTIFS(LdAParty,$P474,LdAType,1,LdAKey,"&lt;"&amp;$T474)+COUNTIFS(LdBMember,$P474,LdBKey,"&lt;"&amp;$T474)+COUNTIFS(LdCParty,$P474,LdCKey,"&lt;"&amp;$T474)+1)</f>
        <v/>
      </c>
      <c r="V474">
        <f>IF($U474="","",$P474&amp;"|"&amp;RIGHT("000000"&amp;$U474,6))</f>
        <v/>
      </c>
      <c r="W474">
        <f>IF($T474="","",COUNTIFS(LdBGroup,$R474,LdBKey,"&lt;"&amp;$T474)+1)</f>
        <v/>
      </c>
      <c r="X474">
        <f>IF($W474="","",$R474&amp;"|"&amp;RIGHT("000000"&amp;$W474,6))</f>
        <v/>
      </c>
      <c r="Y474">
        <f>IF($P474="","",IF(Shares!$E477="",0,Shares!$E477))</f>
        <v/>
      </c>
      <c r="Z474">
        <f>IF($P474="","",Shares!$H477)</f>
        <v/>
      </c>
      <c r="AE474">
        <f>IF(OR(Sync!$S474="",Sync!$P474=""),"",Sync!$S474)</f>
        <v/>
      </c>
      <c r="AF474">
        <f>IF($AE474="","",IF(ISNUMBER(Sync!$P474),IF(AND(Sync!$P474&gt;=10000101,Sync!$P474&lt;=99991231),INT(Sync!$P474/10000),""),IFERROR(VALUE(TRIM(LEFT(Sync!$P474,FIND("/",Sync!$P474)-1))),"")))</f>
        <v/>
      </c>
      <c r="AG474">
        <f>IF(OR($AE474="",$AF474=""),"",IF(ISNUMBER(Sync!$P474),INT(MOD(Sync!$P474,10000)/100),IFERROR(VALUE(TRIM(LEFT(MID(Sync!$P474,FIND("/",Sync!$P474)+1,20),FIND("/",MID(Sync!$P474,FIND("/",Sync!$P474)+1,20))-1))),"")))</f>
        <v/>
      </c>
      <c r="AH474">
        <f>IF(OR($AE474="",$AF474=""),"",IF(ISNUMBER(Sync!$P474),MOD(Sync!$P474,100),IFERROR(VALUE(TRIM(MID(MID(Sync!$P474,FIND("/",Sync!$P474)+1,20),FIND("/",MID(Sync!$P474,FIND("/",Sync!$P474)+1,20))+1,20))),"")))</f>
        <v/>
      </c>
      <c r="AI474">
        <f>IF($AE474="","",IF(OR($AF474="",$AG474="",$AH474="",$AF474&lt;1300,$AF474&gt;1500,$AG474&lt;1,$AG474&gt;12,$AH474&lt;1,$AH474&gt;31),"نامعتبر",RIGHT("0000"&amp;$AF474,4)&amp;"/"&amp;RIGHT("00"&amp;$AG474,2)&amp;"/"&amp;RIGHT("00"&amp;$AH474,2)))</f>
        <v/>
      </c>
      <c r="AJ474">
        <f>IF($AE474="","",IF(Sync!$Q474="","0000",IF(AND(ISNUMBER(Sync!$Q474),Sync!$Q474&gt;=0,Sync!$Q474&lt;1),RIGHT("00"&amp;HOUR(Sync!$Q474),2)&amp;RIGHT("00"&amp;MINUTE(Sync!$Q474),2),IFERROR(RIGHT("00"&amp;VALUE(LEFT(Sync!$Q474,FIND(":",Sync!$Q474)-1)),2)&amp;RIGHT("00"&amp;VALUE(MID(Sync!$Q474,FIND(":",Sync!$Q474)+1,2)),2),"0000"))))</f>
        <v/>
      </c>
      <c r="AK474">
        <f>IF(OR($AE474="",$AI474="",$AI474="نامعتبر"),"",LEFT($AI474,4)&amp;MID($AI474,6,2)&amp;RIGHT($AI474,2)&amp;$AJ474&amp;"|"&amp;"3"&amp;RIGHT("00000"&amp;469,5))</f>
        <v/>
      </c>
      <c r="AL474">
        <f>IF($AK474="","",COUNTIFS(LdAParty,$AE474,LdAType,1,LdAKey,"&lt;"&amp;$AK474)+COUNTIFS(LdBMember,$AE474,LdBKey,"&lt;"&amp;$AK474)+COUNTIFS(LdCParty,$AE474,LdCKey,"&lt;"&amp;$AK474)+1)</f>
        <v/>
      </c>
      <c r="AM474">
        <f>IF($AL474="","",$AE474&amp;"|"&amp;RIGHT("000000"&amp;$AL474,6))</f>
        <v/>
      </c>
      <c r="AN474">
        <f>IF($AE474="","",IF(Sync!$W474="",0,Sync!$W474))</f>
        <v/>
      </c>
      <c r="AO474">
        <f>IF($AE474="","",IF(Sync!$X474="",0,Sync!$X474))</f>
        <v/>
      </c>
      <c r="AP474">
        <f>IF($AE474="","",Sync!$R474)</f>
        <v/>
      </c>
      <c r="AQ474">
        <f>IF($AE474="","",Sync!$Y474)</f>
        <v/>
      </c>
    </row>
    <row r="475">
      <c r="A475">
        <f>IF(OR(Wages!$B478="",Wages!$E478=""),"",Wages!$E478)</f>
        <v/>
      </c>
      <c r="B475">
        <f>IF($A475="","",IF(Wages!$C478="دستمزد گروهی",2,1))</f>
        <v/>
      </c>
      <c r="C475">
        <f>IF($A475="","",IF(ISNUMBER(Wages!$B478),IF(AND(Wages!$B478&gt;=10000101,Wages!$B478&lt;=99991231),INT(Wages!$B478/10000),""),IFERROR(VALUE(TRIM(LEFT(Wages!$B478,FIND("/",Wages!$B478)-1))),"")))</f>
        <v/>
      </c>
      <c r="D475">
        <f>IF(OR($A475="",$C475=""),"",IF(ISNUMBER(Wages!$B478),INT(MOD(Wages!$B478,10000)/100),IFERROR(VALUE(TRIM(LEFT(MID(Wages!$B478,FIND("/",Wages!$B478)+1,20),FIND("/",MID(Wages!$B478,FIND("/",Wages!$B478)+1,20))-1))),"")))</f>
        <v/>
      </c>
      <c r="E475">
        <f>IF(OR($A475="",$C475=""),"",IF(ISNUMBER(Wages!$B478),MOD(Wages!$B478,100),IFERROR(VALUE(TRIM(MID(MID(Wages!$B478,FIND("/",Wages!$B478)+1,20),FIND("/",MID(Wages!$B478,FIND("/",Wages!$B478)+1,20))+1,20))),"")))</f>
        <v/>
      </c>
      <c r="F475">
        <f>IF($A475="","",IF(OR($C475="",$D475="",$E475="",$C475&lt;1300,$C475&gt;1500,$D475&lt;1,$D475&gt;12,$E475&lt;1,$E475&gt;31),"نامعتبر",RIGHT("0000"&amp;$C475,4)&amp;"/"&amp;RIGHT("00"&amp;$D475,2)&amp;"/"&amp;RIGHT("00"&amp;$E475,2)))</f>
        <v/>
      </c>
      <c r="G475">
        <f>IF(OR($A475="",$F475="",$F475="نامعتبر"),"",LEFT($F475,4)&amp;MID($F475,6,2)&amp;RIGHT($F475,2)&amp;"0000"&amp;"|"&amp;"1"&amp;RIGHT("00000"&amp;470,5))</f>
        <v/>
      </c>
      <c r="H475">
        <f>IF(OR($B475&lt;&gt;1,$G475=""),"",COUNTIFS(LdAParty,$A475,LdAType,1,LdAKey,"&lt;"&amp;$G475)+COUNTIFS(LdBMember,$A475,LdBKey,"&lt;"&amp;$G475)+COUNTIFS(LdCParty,$A475,LdCKey,"&lt;"&amp;$G475)+1)</f>
        <v/>
      </c>
      <c r="I475">
        <f>IF($H475="","",$A475&amp;"|"&amp;RIGHT("000000"&amp;$H475,6))</f>
        <v/>
      </c>
      <c r="J475">
        <f>IF(OR($B475&lt;&gt;2,$G475=""),"",COUNTIFS(LdAParty,$A475,LdAType,2,LdAKey,"&lt;"&amp;$G475)+1)</f>
        <v/>
      </c>
      <c r="K475">
        <f>IF($J475="","",$A475&amp;"|"&amp;RIGHT("000000"&amp;$J475,6))</f>
        <v/>
      </c>
      <c r="L475">
        <f>IF($A475="","",IF(Wages!$G478="",0,Wages!$G478))</f>
        <v/>
      </c>
      <c r="M475">
        <f>IF($A475="","",Wages!$J478)</f>
        <v/>
      </c>
      <c r="N475">
        <f>IF($A475="","",Wages!$D478)</f>
        <v/>
      </c>
      <c r="P475">
        <f>IF(OR(Shares!$B478="",Shares!$C478=""),"",Shares!$C478)</f>
        <v/>
      </c>
      <c r="Q475">
        <f>IF($P475="","",Shares!$B478)</f>
        <v/>
      </c>
      <c r="R475">
        <f>IF($P475="","",IFERROR(INDEX(WageParty,MATCH($Q475,WageIds,0)),""))</f>
        <v/>
      </c>
      <c r="S475">
        <f>IF($P475="","",IFERROR(INDEX($F$6:$F$2005,MATCH($Q475,WageIds,0)),""))</f>
        <v/>
      </c>
      <c r="T475">
        <f>IF(OR($P475="",$S475="",$S475="نامعتبر"),"",LEFT($S475,4)&amp;MID($S475,6,2)&amp;RIGHT($S475,2)&amp;"0000"&amp;"|"&amp;"2"&amp;RIGHT("00000"&amp;470,5))</f>
        <v/>
      </c>
      <c r="U475">
        <f>IF($T475="","",COUNTIFS(LdAParty,$P475,LdAType,1,LdAKey,"&lt;"&amp;$T475)+COUNTIFS(LdBMember,$P475,LdBKey,"&lt;"&amp;$T475)+COUNTIFS(LdCParty,$P475,LdCKey,"&lt;"&amp;$T475)+1)</f>
        <v/>
      </c>
      <c r="V475">
        <f>IF($U475="","",$P475&amp;"|"&amp;RIGHT("000000"&amp;$U475,6))</f>
        <v/>
      </c>
      <c r="W475">
        <f>IF($T475="","",COUNTIFS(LdBGroup,$R475,LdBKey,"&lt;"&amp;$T475)+1)</f>
        <v/>
      </c>
      <c r="X475">
        <f>IF($W475="","",$R475&amp;"|"&amp;RIGHT("000000"&amp;$W475,6))</f>
        <v/>
      </c>
      <c r="Y475">
        <f>IF($P475="","",IF(Shares!$E478="",0,Shares!$E478))</f>
        <v/>
      </c>
      <c r="Z475">
        <f>IF($P475="","",Shares!$H478)</f>
        <v/>
      </c>
      <c r="AE475">
        <f>IF(OR(Sync!$S475="",Sync!$P475=""),"",Sync!$S475)</f>
        <v/>
      </c>
      <c r="AF475">
        <f>IF($AE475="","",IF(ISNUMBER(Sync!$P475),IF(AND(Sync!$P475&gt;=10000101,Sync!$P475&lt;=99991231),INT(Sync!$P475/10000),""),IFERROR(VALUE(TRIM(LEFT(Sync!$P475,FIND("/",Sync!$P475)-1))),"")))</f>
        <v/>
      </c>
      <c r="AG475">
        <f>IF(OR($AE475="",$AF475=""),"",IF(ISNUMBER(Sync!$P475),INT(MOD(Sync!$P475,10000)/100),IFERROR(VALUE(TRIM(LEFT(MID(Sync!$P475,FIND("/",Sync!$P475)+1,20),FIND("/",MID(Sync!$P475,FIND("/",Sync!$P475)+1,20))-1))),"")))</f>
        <v/>
      </c>
      <c r="AH475">
        <f>IF(OR($AE475="",$AF475=""),"",IF(ISNUMBER(Sync!$P475),MOD(Sync!$P475,100),IFERROR(VALUE(TRIM(MID(MID(Sync!$P475,FIND("/",Sync!$P475)+1,20),FIND("/",MID(Sync!$P475,FIND("/",Sync!$P475)+1,20))+1,20))),"")))</f>
        <v/>
      </c>
      <c r="AI475">
        <f>IF($AE475="","",IF(OR($AF475="",$AG475="",$AH475="",$AF475&lt;1300,$AF475&gt;1500,$AG475&lt;1,$AG475&gt;12,$AH475&lt;1,$AH475&gt;31),"نامعتبر",RIGHT("0000"&amp;$AF475,4)&amp;"/"&amp;RIGHT("00"&amp;$AG475,2)&amp;"/"&amp;RIGHT("00"&amp;$AH475,2)))</f>
        <v/>
      </c>
      <c r="AJ475">
        <f>IF($AE475="","",IF(Sync!$Q475="","0000",IF(AND(ISNUMBER(Sync!$Q475),Sync!$Q475&gt;=0,Sync!$Q475&lt;1),RIGHT("00"&amp;HOUR(Sync!$Q475),2)&amp;RIGHT("00"&amp;MINUTE(Sync!$Q475),2),IFERROR(RIGHT("00"&amp;VALUE(LEFT(Sync!$Q475,FIND(":",Sync!$Q475)-1)),2)&amp;RIGHT("00"&amp;VALUE(MID(Sync!$Q475,FIND(":",Sync!$Q475)+1,2)),2),"0000"))))</f>
        <v/>
      </c>
      <c r="AK475">
        <f>IF(OR($AE475="",$AI475="",$AI475="نامعتبر"),"",LEFT($AI475,4)&amp;MID($AI475,6,2)&amp;RIGHT($AI475,2)&amp;$AJ475&amp;"|"&amp;"3"&amp;RIGHT("00000"&amp;470,5))</f>
        <v/>
      </c>
      <c r="AL475">
        <f>IF($AK475="","",COUNTIFS(LdAParty,$AE475,LdAType,1,LdAKey,"&lt;"&amp;$AK475)+COUNTIFS(LdBMember,$AE475,LdBKey,"&lt;"&amp;$AK475)+COUNTIFS(LdCParty,$AE475,LdCKey,"&lt;"&amp;$AK475)+1)</f>
        <v/>
      </c>
      <c r="AM475">
        <f>IF($AL475="","",$AE475&amp;"|"&amp;RIGHT("000000"&amp;$AL475,6))</f>
        <v/>
      </c>
      <c r="AN475">
        <f>IF($AE475="","",IF(Sync!$W475="",0,Sync!$W475))</f>
        <v/>
      </c>
      <c r="AO475">
        <f>IF($AE475="","",IF(Sync!$X475="",0,Sync!$X475))</f>
        <v/>
      </c>
      <c r="AP475">
        <f>IF($AE475="","",Sync!$R475)</f>
        <v/>
      </c>
      <c r="AQ475">
        <f>IF($AE475="","",Sync!$Y475)</f>
        <v/>
      </c>
    </row>
    <row r="476">
      <c r="A476">
        <f>IF(OR(Wages!$B479="",Wages!$E479=""),"",Wages!$E479)</f>
        <v/>
      </c>
      <c r="B476">
        <f>IF($A476="","",IF(Wages!$C479="دستمزد گروهی",2,1))</f>
        <v/>
      </c>
      <c r="C476">
        <f>IF($A476="","",IF(ISNUMBER(Wages!$B479),IF(AND(Wages!$B479&gt;=10000101,Wages!$B479&lt;=99991231),INT(Wages!$B479/10000),""),IFERROR(VALUE(TRIM(LEFT(Wages!$B479,FIND("/",Wages!$B479)-1))),"")))</f>
        <v/>
      </c>
      <c r="D476">
        <f>IF(OR($A476="",$C476=""),"",IF(ISNUMBER(Wages!$B479),INT(MOD(Wages!$B479,10000)/100),IFERROR(VALUE(TRIM(LEFT(MID(Wages!$B479,FIND("/",Wages!$B479)+1,20),FIND("/",MID(Wages!$B479,FIND("/",Wages!$B479)+1,20))-1))),"")))</f>
        <v/>
      </c>
      <c r="E476">
        <f>IF(OR($A476="",$C476=""),"",IF(ISNUMBER(Wages!$B479),MOD(Wages!$B479,100),IFERROR(VALUE(TRIM(MID(MID(Wages!$B479,FIND("/",Wages!$B479)+1,20),FIND("/",MID(Wages!$B479,FIND("/",Wages!$B479)+1,20))+1,20))),"")))</f>
        <v/>
      </c>
      <c r="F476">
        <f>IF($A476="","",IF(OR($C476="",$D476="",$E476="",$C476&lt;1300,$C476&gt;1500,$D476&lt;1,$D476&gt;12,$E476&lt;1,$E476&gt;31),"نامعتبر",RIGHT("0000"&amp;$C476,4)&amp;"/"&amp;RIGHT("00"&amp;$D476,2)&amp;"/"&amp;RIGHT("00"&amp;$E476,2)))</f>
        <v/>
      </c>
      <c r="G476">
        <f>IF(OR($A476="",$F476="",$F476="نامعتبر"),"",LEFT($F476,4)&amp;MID($F476,6,2)&amp;RIGHT($F476,2)&amp;"0000"&amp;"|"&amp;"1"&amp;RIGHT("00000"&amp;471,5))</f>
        <v/>
      </c>
      <c r="H476">
        <f>IF(OR($B476&lt;&gt;1,$G476=""),"",COUNTIFS(LdAParty,$A476,LdAType,1,LdAKey,"&lt;"&amp;$G476)+COUNTIFS(LdBMember,$A476,LdBKey,"&lt;"&amp;$G476)+COUNTIFS(LdCParty,$A476,LdCKey,"&lt;"&amp;$G476)+1)</f>
        <v/>
      </c>
      <c r="I476">
        <f>IF($H476="","",$A476&amp;"|"&amp;RIGHT("000000"&amp;$H476,6))</f>
        <v/>
      </c>
      <c r="J476">
        <f>IF(OR($B476&lt;&gt;2,$G476=""),"",COUNTIFS(LdAParty,$A476,LdAType,2,LdAKey,"&lt;"&amp;$G476)+1)</f>
        <v/>
      </c>
      <c r="K476">
        <f>IF($J476="","",$A476&amp;"|"&amp;RIGHT("000000"&amp;$J476,6))</f>
        <v/>
      </c>
      <c r="L476">
        <f>IF($A476="","",IF(Wages!$G479="",0,Wages!$G479))</f>
        <v/>
      </c>
      <c r="M476">
        <f>IF($A476="","",Wages!$J479)</f>
        <v/>
      </c>
      <c r="N476">
        <f>IF($A476="","",Wages!$D479)</f>
        <v/>
      </c>
      <c r="P476">
        <f>IF(OR(Shares!$B479="",Shares!$C479=""),"",Shares!$C479)</f>
        <v/>
      </c>
      <c r="Q476">
        <f>IF($P476="","",Shares!$B479)</f>
        <v/>
      </c>
      <c r="R476">
        <f>IF($P476="","",IFERROR(INDEX(WageParty,MATCH($Q476,WageIds,0)),""))</f>
        <v/>
      </c>
      <c r="S476">
        <f>IF($P476="","",IFERROR(INDEX($F$6:$F$2005,MATCH($Q476,WageIds,0)),""))</f>
        <v/>
      </c>
      <c r="T476">
        <f>IF(OR($P476="",$S476="",$S476="نامعتبر"),"",LEFT($S476,4)&amp;MID($S476,6,2)&amp;RIGHT($S476,2)&amp;"0000"&amp;"|"&amp;"2"&amp;RIGHT("00000"&amp;471,5))</f>
        <v/>
      </c>
      <c r="U476">
        <f>IF($T476="","",COUNTIFS(LdAParty,$P476,LdAType,1,LdAKey,"&lt;"&amp;$T476)+COUNTIFS(LdBMember,$P476,LdBKey,"&lt;"&amp;$T476)+COUNTIFS(LdCParty,$P476,LdCKey,"&lt;"&amp;$T476)+1)</f>
        <v/>
      </c>
      <c r="V476">
        <f>IF($U476="","",$P476&amp;"|"&amp;RIGHT("000000"&amp;$U476,6))</f>
        <v/>
      </c>
      <c r="W476">
        <f>IF($T476="","",COUNTIFS(LdBGroup,$R476,LdBKey,"&lt;"&amp;$T476)+1)</f>
        <v/>
      </c>
      <c r="X476">
        <f>IF($W476="","",$R476&amp;"|"&amp;RIGHT("000000"&amp;$W476,6))</f>
        <v/>
      </c>
      <c r="Y476">
        <f>IF($P476="","",IF(Shares!$E479="",0,Shares!$E479))</f>
        <v/>
      </c>
      <c r="Z476">
        <f>IF($P476="","",Shares!$H479)</f>
        <v/>
      </c>
      <c r="AE476">
        <f>IF(OR(Sync!$S476="",Sync!$P476=""),"",Sync!$S476)</f>
        <v/>
      </c>
      <c r="AF476">
        <f>IF($AE476="","",IF(ISNUMBER(Sync!$P476),IF(AND(Sync!$P476&gt;=10000101,Sync!$P476&lt;=99991231),INT(Sync!$P476/10000),""),IFERROR(VALUE(TRIM(LEFT(Sync!$P476,FIND("/",Sync!$P476)-1))),"")))</f>
        <v/>
      </c>
      <c r="AG476">
        <f>IF(OR($AE476="",$AF476=""),"",IF(ISNUMBER(Sync!$P476),INT(MOD(Sync!$P476,10000)/100),IFERROR(VALUE(TRIM(LEFT(MID(Sync!$P476,FIND("/",Sync!$P476)+1,20),FIND("/",MID(Sync!$P476,FIND("/",Sync!$P476)+1,20))-1))),"")))</f>
        <v/>
      </c>
      <c r="AH476">
        <f>IF(OR($AE476="",$AF476=""),"",IF(ISNUMBER(Sync!$P476),MOD(Sync!$P476,100),IFERROR(VALUE(TRIM(MID(MID(Sync!$P476,FIND("/",Sync!$P476)+1,20),FIND("/",MID(Sync!$P476,FIND("/",Sync!$P476)+1,20))+1,20))),"")))</f>
        <v/>
      </c>
      <c r="AI476">
        <f>IF($AE476="","",IF(OR($AF476="",$AG476="",$AH476="",$AF476&lt;1300,$AF476&gt;1500,$AG476&lt;1,$AG476&gt;12,$AH476&lt;1,$AH476&gt;31),"نامعتبر",RIGHT("0000"&amp;$AF476,4)&amp;"/"&amp;RIGHT("00"&amp;$AG476,2)&amp;"/"&amp;RIGHT("00"&amp;$AH476,2)))</f>
        <v/>
      </c>
      <c r="AJ476">
        <f>IF($AE476="","",IF(Sync!$Q476="","0000",IF(AND(ISNUMBER(Sync!$Q476),Sync!$Q476&gt;=0,Sync!$Q476&lt;1),RIGHT("00"&amp;HOUR(Sync!$Q476),2)&amp;RIGHT("00"&amp;MINUTE(Sync!$Q476),2),IFERROR(RIGHT("00"&amp;VALUE(LEFT(Sync!$Q476,FIND(":",Sync!$Q476)-1)),2)&amp;RIGHT("00"&amp;VALUE(MID(Sync!$Q476,FIND(":",Sync!$Q476)+1,2)),2),"0000"))))</f>
        <v/>
      </c>
      <c r="AK476">
        <f>IF(OR($AE476="",$AI476="",$AI476="نامعتبر"),"",LEFT($AI476,4)&amp;MID($AI476,6,2)&amp;RIGHT($AI476,2)&amp;$AJ476&amp;"|"&amp;"3"&amp;RIGHT("00000"&amp;471,5))</f>
        <v/>
      </c>
      <c r="AL476">
        <f>IF($AK476="","",COUNTIFS(LdAParty,$AE476,LdAType,1,LdAKey,"&lt;"&amp;$AK476)+COUNTIFS(LdBMember,$AE476,LdBKey,"&lt;"&amp;$AK476)+COUNTIFS(LdCParty,$AE476,LdCKey,"&lt;"&amp;$AK476)+1)</f>
        <v/>
      </c>
      <c r="AM476">
        <f>IF($AL476="","",$AE476&amp;"|"&amp;RIGHT("000000"&amp;$AL476,6))</f>
        <v/>
      </c>
      <c r="AN476">
        <f>IF($AE476="","",IF(Sync!$W476="",0,Sync!$W476))</f>
        <v/>
      </c>
      <c r="AO476">
        <f>IF($AE476="","",IF(Sync!$X476="",0,Sync!$X476))</f>
        <v/>
      </c>
      <c r="AP476">
        <f>IF($AE476="","",Sync!$R476)</f>
        <v/>
      </c>
      <c r="AQ476">
        <f>IF($AE476="","",Sync!$Y476)</f>
        <v/>
      </c>
    </row>
    <row r="477">
      <c r="A477">
        <f>IF(OR(Wages!$B480="",Wages!$E480=""),"",Wages!$E480)</f>
        <v/>
      </c>
      <c r="B477">
        <f>IF($A477="","",IF(Wages!$C480="دستمزد گروهی",2,1))</f>
        <v/>
      </c>
      <c r="C477">
        <f>IF($A477="","",IF(ISNUMBER(Wages!$B480),IF(AND(Wages!$B480&gt;=10000101,Wages!$B480&lt;=99991231),INT(Wages!$B480/10000),""),IFERROR(VALUE(TRIM(LEFT(Wages!$B480,FIND("/",Wages!$B480)-1))),"")))</f>
        <v/>
      </c>
      <c r="D477">
        <f>IF(OR($A477="",$C477=""),"",IF(ISNUMBER(Wages!$B480),INT(MOD(Wages!$B480,10000)/100),IFERROR(VALUE(TRIM(LEFT(MID(Wages!$B480,FIND("/",Wages!$B480)+1,20),FIND("/",MID(Wages!$B480,FIND("/",Wages!$B480)+1,20))-1))),"")))</f>
        <v/>
      </c>
      <c r="E477">
        <f>IF(OR($A477="",$C477=""),"",IF(ISNUMBER(Wages!$B480),MOD(Wages!$B480,100),IFERROR(VALUE(TRIM(MID(MID(Wages!$B480,FIND("/",Wages!$B480)+1,20),FIND("/",MID(Wages!$B480,FIND("/",Wages!$B480)+1,20))+1,20))),"")))</f>
        <v/>
      </c>
      <c r="F477">
        <f>IF($A477="","",IF(OR($C477="",$D477="",$E477="",$C477&lt;1300,$C477&gt;1500,$D477&lt;1,$D477&gt;12,$E477&lt;1,$E477&gt;31),"نامعتبر",RIGHT("0000"&amp;$C477,4)&amp;"/"&amp;RIGHT("00"&amp;$D477,2)&amp;"/"&amp;RIGHT("00"&amp;$E477,2)))</f>
        <v/>
      </c>
      <c r="G477">
        <f>IF(OR($A477="",$F477="",$F477="نامعتبر"),"",LEFT($F477,4)&amp;MID($F477,6,2)&amp;RIGHT($F477,2)&amp;"0000"&amp;"|"&amp;"1"&amp;RIGHT("00000"&amp;472,5))</f>
        <v/>
      </c>
      <c r="H477">
        <f>IF(OR($B477&lt;&gt;1,$G477=""),"",COUNTIFS(LdAParty,$A477,LdAType,1,LdAKey,"&lt;"&amp;$G477)+COUNTIFS(LdBMember,$A477,LdBKey,"&lt;"&amp;$G477)+COUNTIFS(LdCParty,$A477,LdCKey,"&lt;"&amp;$G477)+1)</f>
        <v/>
      </c>
      <c r="I477">
        <f>IF($H477="","",$A477&amp;"|"&amp;RIGHT("000000"&amp;$H477,6))</f>
        <v/>
      </c>
      <c r="J477">
        <f>IF(OR($B477&lt;&gt;2,$G477=""),"",COUNTIFS(LdAParty,$A477,LdAType,2,LdAKey,"&lt;"&amp;$G477)+1)</f>
        <v/>
      </c>
      <c r="K477">
        <f>IF($J477="","",$A477&amp;"|"&amp;RIGHT("000000"&amp;$J477,6))</f>
        <v/>
      </c>
      <c r="L477">
        <f>IF($A477="","",IF(Wages!$G480="",0,Wages!$G480))</f>
        <v/>
      </c>
      <c r="M477">
        <f>IF($A477="","",Wages!$J480)</f>
        <v/>
      </c>
      <c r="N477">
        <f>IF($A477="","",Wages!$D480)</f>
        <v/>
      </c>
      <c r="P477">
        <f>IF(OR(Shares!$B480="",Shares!$C480=""),"",Shares!$C480)</f>
        <v/>
      </c>
      <c r="Q477">
        <f>IF($P477="","",Shares!$B480)</f>
        <v/>
      </c>
      <c r="R477">
        <f>IF($P477="","",IFERROR(INDEX(WageParty,MATCH($Q477,WageIds,0)),""))</f>
        <v/>
      </c>
      <c r="S477">
        <f>IF($P477="","",IFERROR(INDEX($F$6:$F$2005,MATCH($Q477,WageIds,0)),""))</f>
        <v/>
      </c>
      <c r="T477">
        <f>IF(OR($P477="",$S477="",$S477="نامعتبر"),"",LEFT($S477,4)&amp;MID($S477,6,2)&amp;RIGHT($S477,2)&amp;"0000"&amp;"|"&amp;"2"&amp;RIGHT("00000"&amp;472,5))</f>
        <v/>
      </c>
      <c r="U477">
        <f>IF($T477="","",COUNTIFS(LdAParty,$P477,LdAType,1,LdAKey,"&lt;"&amp;$T477)+COUNTIFS(LdBMember,$P477,LdBKey,"&lt;"&amp;$T477)+COUNTIFS(LdCParty,$P477,LdCKey,"&lt;"&amp;$T477)+1)</f>
        <v/>
      </c>
      <c r="V477">
        <f>IF($U477="","",$P477&amp;"|"&amp;RIGHT("000000"&amp;$U477,6))</f>
        <v/>
      </c>
      <c r="W477">
        <f>IF($T477="","",COUNTIFS(LdBGroup,$R477,LdBKey,"&lt;"&amp;$T477)+1)</f>
        <v/>
      </c>
      <c r="X477">
        <f>IF($W477="","",$R477&amp;"|"&amp;RIGHT("000000"&amp;$W477,6))</f>
        <v/>
      </c>
      <c r="Y477">
        <f>IF($P477="","",IF(Shares!$E480="",0,Shares!$E480))</f>
        <v/>
      </c>
      <c r="Z477">
        <f>IF($P477="","",Shares!$H480)</f>
        <v/>
      </c>
      <c r="AE477">
        <f>IF(OR(Sync!$S477="",Sync!$P477=""),"",Sync!$S477)</f>
        <v/>
      </c>
      <c r="AF477">
        <f>IF($AE477="","",IF(ISNUMBER(Sync!$P477),IF(AND(Sync!$P477&gt;=10000101,Sync!$P477&lt;=99991231),INT(Sync!$P477/10000),""),IFERROR(VALUE(TRIM(LEFT(Sync!$P477,FIND("/",Sync!$P477)-1))),"")))</f>
        <v/>
      </c>
      <c r="AG477">
        <f>IF(OR($AE477="",$AF477=""),"",IF(ISNUMBER(Sync!$P477),INT(MOD(Sync!$P477,10000)/100),IFERROR(VALUE(TRIM(LEFT(MID(Sync!$P477,FIND("/",Sync!$P477)+1,20),FIND("/",MID(Sync!$P477,FIND("/",Sync!$P477)+1,20))-1))),"")))</f>
        <v/>
      </c>
      <c r="AH477">
        <f>IF(OR($AE477="",$AF477=""),"",IF(ISNUMBER(Sync!$P477),MOD(Sync!$P477,100),IFERROR(VALUE(TRIM(MID(MID(Sync!$P477,FIND("/",Sync!$P477)+1,20),FIND("/",MID(Sync!$P477,FIND("/",Sync!$P477)+1,20))+1,20))),"")))</f>
        <v/>
      </c>
      <c r="AI477">
        <f>IF($AE477="","",IF(OR($AF477="",$AG477="",$AH477="",$AF477&lt;1300,$AF477&gt;1500,$AG477&lt;1,$AG477&gt;12,$AH477&lt;1,$AH477&gt;31),"نامعتبر",RIGHT("0000"&amp;$AF477,4)&amp;"/"&amp;RIGHT("00"&amp;$AG477,2)&amp;"/"&amp;RIGHT("00"&amp;$AH477,2)))</f>
        <v/>
      </c>
      <c r="AJ477">
        <f>IF($AE477="","",IF(Sync!$Q477="","0000",IF(AND(ISNUMBER(Sync!$Q477),Sync!$Q477&gt;=0,Sync!$Q477&lt;1),RIGHT("00"&amp;HOUR(Sync!$Q477),2)&amp;RIGHT("00"&amp;MINUTE(Sync!$Q477),2),IFERROR(RIGHT("00"&amp;VALUE(LEFT(Sync!$Q477,FIND(":",Sync!$Q477)-1)),2)&amp;RIGHT("00"&amp;VALUE(MID(Sync!$Q477,FIND(":",Sync!$Q477)+1,2)),2),"0000"))))</f>
        <v/>
      </c>
      <c r="AK477">
        <f>IF(OR($AE477="",$AI477="",$AI477="نامعتبر"),"",LEFT($AI477,4)&amp;MID($AI477,6,2)&amp;RIGHT($AI477,2)&amp;$AJ477&amp;"|"&amp;"3"&amp;RIGHT("00000"&amp;472,5))</f>
        <v/>
      </c>
      <c r="AL477">
        <f>IF($AK477="","",COUNTIFS(LdAParty,$AE477,LdAType,1,LdAKey,"&lt;"&amp;$AK477)+COUNTIFS(LdBMember,$AE477,LdBKey,"&lt;"&amp;$AK477)+COUNTIFS(LdCParty,$AE477,LdCKey,"&lt;"&amp;$AK477)+1)</f>
        <v/>
      </c>
      <c r="AM477">
        <f>IF($AL477="","",$AE477&amp;"|"&amp;RIGHT("000000"&amp;$AL477,6))</f>
        <v/>
      </c>
      <c r="AN477">
        <f>IF($AE477="","",IF(Sync!$W477="",0,Sync!$W477))</f>
        <v/>
      </c>
      <c r="AO477">
        <f>IF($AE477="","",IF(Sync!$X477="",0,Sync!$X477))</f>
        <v/>
      </c>
      <c r="AP477">
        <f>IF($AE477="","",Sync!$R477)</f>
        <v/>
      </c>
      <c r="AQ477">
        <f>IF($AE477="","",Sync!$Y477)</f>
        <v/>
      </c>
    </row>
    <row r="478">
      <c r="A478">
        <f>IF(OR(Wages!$B481="",Wages!$E481=""),"",Wages!$E481)</f>
        <v/>
      </c>
      <c r="B478">
        <f>IF($A478="","",IF(Wages!$C481="دستمزد گروهی",2,1))</f>
        <v/>
      </c>
      <c r="C478">
        <f>IF($A478="","",IF(ISNUMBER(Wages!$B481),IF(AND(Wages!$B481&gt;=10000101,Wages!$B481&lt;=99991231),INT(Wages!$B481/10000),""),IFERROR(VALUE(TRIM(LEFT(Wages!$B481,FIND("/",Wages!$B481)-1))),"")))</f>
        <v/>
      </c>
      <c r="D478">
        <f>IF(OR($A478="",$C478=""),"",IF(ISNUMBER(Wages!$B481),INT(MOD(Wages!$B481,10000)/100),IFERROR(VALUE(TRIM(LEFT(MID(Wages!$B481,FIND("/",Wages!$B481)+1,20),FIND("/",MID(Wages!$B481,FIND("/",Wages!$B481)+1,20))-1))),"")))</f>
        <v/>
      </c>
      <c r="E478">
        <f>IF(OR($A478="",$C478=""),"",IF(ISNUMBER(Wages!$B481),MOD(Wages!$B481,100),IFERROR(VALUE(TRIM(MID(MID(Wages!$B481,FIND("/",Wages!$B481)+1,20),FIND("/",MID(Wages!$B481,FIND("/",Wages!$B481)+1,20))+1,20))),"")))</f>
        <v/>
      </c>
      <c r="F478">
        <f>IF($A478="","",IF(OR($C478="",$D478="",$E478="",$C478&lt;1300,$C478&gt;1500,$D478&lt;1,$D478&gt;12,$E478&lt;1,$E478&gt;31),"نامعتبر",RIGHT("0000"&amp;$C478,4)&amp;"/"&amp;RIGHT("00"&amp;$D478,2)&amp;"/"&amp;RIGHT("00"&amp;$E478,2)))</f>
        <v/>
      </c>
      <c r="G478">
        <f>IF(OR($A478="",$F478="",$F478="نامعتبر"),"",LEFT($F478,4)&amp;MID($F478,6,2)&amp;RIGHT($F478,2)&amp;"0000"&amp;"|"&amp;"1"&amp;RIGHT("00000"&amp;473,5))</f>
        <v/>
      </c>
      <c r="H478">
        <f>IF(OR($B478&lt;&gt;1,$G478=""),"",COUNTIFS(LdAParty,$A478,LdAType,1,LdAKey,"&lt;"&amp;$G478)+COUNTIFS(LdBMember,$A478,LdBKey,"&lt;"&amp;$G478)+COUNTIFS(LdCParty,$A478,LdCKey,"&lt;"&amp;$G478)+1)</f>
        <v/>
      </c>
      <c r="I478">
        <f>IF($H478="","",$A478&amp;"|"&amp;RIGHT("000000"&amp;$H478,6))</f>
        <v/>
      </c>
      <c r="J478">
        <f>IF(OR($B478&lt;&gt;2,$G478=""),"",COUNTIFS(LdAParty,$A478,LdAType,2,LdAKey,"&lt;"&amp;$G478)+1)</f>
        <v/>
      </c>
      <c r="K478">
        <f>IF($J478="","",$A478&amp;"|"&amp;RIGHT("000000"&amp;$J478,6))</f>
        <v/>
      </c>
      <c r="L478">
        <f>IF($A478="","",IF(Wages!$G481="",0,Wages!$G481))</f>
        <v/>
      </c>
      <c r="M478">
        <f>IF($A478="","",Wages!$J481)</f>
        <v/>
      </c>
      <c r="N478">
        <f>IF($A478="","",Wages!$D481)</f>
        <v/>
      </c>
      <c r="P478">
        <f>IF(OR(Shares!$B481="",Shares!$C481=""),"",Shares!$C481)</f>
        <v/>
      </c>
      <c r="Q478">
        <f>IF($P478="","",Shares!$B481)</f>
        <v/>
      </c>
      <c r="R478">
        <f>IF($P478="","",IFERROR(INDEX(WageParty,MATCH($Q478,WageIds,0)),""))</f>
        <v/>
      </c>
      <c r="S478">
        <f>IF($P478="","",IFERROR(INDEX($F$6:$F$2005,MATCH($Q478,WageIds,0)),""))</f>
        <v/>
      </c>
      <c r="T478">
        <f>IF(OR($P478="",$S478="",$S478="نامعتبر"),"",LEFT($S478,4)&amp;MID($S478,6,2)&amp;RIGHT($S478,2)&amp;"0000"&amp;"|"&amp;"2"&amp;RIGHT("00000"&amp;473,5))</f>
        <v/>
      </c>
      <c r="U478">
        <f>IF($T478="","",COUNTIFS(LdAParty,$P478,LdAType,1,LdAKey,"&lt;"&amp;$T478)+COUNTIFS(LdBMember,$P478,LdBKey,"&lt;"&amp;$T478)+COUNTIFS(LdCParty,$P478,LdCKey,"&lt;"&amp;$T478)+1)</f>
        <v/>
      </c>
      <c r="V478">
        <f>IF($U478="","",$P478&amp;"|"&amp;RIGHT("000000"&amp;$U478,6))</f>
        <v/>
      </c>
      <c r="W478">
        <f>IF($T478="","",COUNTIFS(LdBGroup,$R478,LdBKey,"&lt;"&amp;$T478)+1)</f>
        <v/>
      </c>
      <c r="X478">
        <f>IF($W478="","",$R478&amp;"|"&amp;RIGHT("000000"&amp;$W478,6))</f>
        <v/>
      </c>
      <c r="Y478">
        <f>IF($P478="","",IF(Shares!$E481="",0,Shares!$E481))</f>
        <v/>
      </c>
      <c r="Z478">
        <f>IF($P478="","",Shares!$H481)</f>
        <v/>
      </c>
      <c r="AE478">
        <f>IF(OR(Sync!$S478="",Sync!$P478=""),"",Sync!$S478)</f>
        <v/>
      </c>
      <c r="AF478">
        <f>IF($AE478="","",IF(ISNUMBER(Sync!$P478),IF(AND(Sync!$P478&gt;=10000101,Sync!$P478&lt;=99991231),INT(Sync!$P478/10000),""),IFERROR(VALUE(TRIM(LEFT(Sync!$P478,FIND("/",Sync!$P478)-1))),"")))</f>
        <v/>
      </c>
      <c r="AG478">
        <f>IF(OR($AE478="",$AF478=""),"",IF(ISNUMBER(Sync!$P478),INT(MOD(Sync!$P478,10000)/100),IFERROR(VALUE(TRIM(LEFT(MID(Sync!$P478,FIND("/",Sync!$P478)+1,20),FIND("/",MID(Sync!$P478,FIND("/",Sync!$P478)+1,20))-1))),"")))</f>
        <v/>
      </c>
      <c r="AH478">
        <f>IF(OR($AE478="",$AF478=""),"",IF(ISNUMBER(Sync!$P478),MOD(Sync!$P478,100),IFERROR(VALUE(TRIM(MID(MID(Sync!$P478,FIND("/",Sync!$P478)+1,20),FIND("/",MID(Sync!$P478,FIND("/",Sync!$P478)+1,20))+1,20))),"")))</f>
        <v/>
      </c>
      <c r="AI478">
        <f>IF($AE478="","",IF(OR($AF478="",$AG478="",$AH478="",$AF478&lt;1300,$AF478&gt;1500,$AG478&lt;1,$AG478&gt;12,$AH478&lt;1,$AH478&gt;31),"نامعتبر",RIGHT("0000"&amp;$AF478,4)&amp;"/"&amp;RIGHT("00"&amp;$AG478,2)&amp;"/"&amp;RIGHT("00"&amp;$AH478,2)))</f>
        <v/>
      </c>
      <c r="AJ478">
        <f>IF($AE478="","",IF(Sync!$Q478="","0000",IF(AND(ISNUMBER(Sync!$Q478),Sync!$Q478&gt;=0,Sync!$Q478&lt;1),RIGHT("00"&amp;HOUR(Sync!$Q478),2)&amp;RIGHT("00"&amp;MINUTE(Sync!$Q478),2),IFERROR(RIGHT("00"&amp;VALUE(LEFT(Sync!$Q478,FIND(":",Sync!$Q478)-1)),2)&amp;RIGHT("00"&amp;VALUE(MID(Sync!$Q478,FIND(":",Sync!$Q478)+1,2)),2),"0000"))))</f>
        <v/>
      </c>
      <c r="AK478">
        <f>IF(OR($AE478="",$AI478="",$AI478="نامعتبر"),"",LEFT($AI478,4)&amp;MID($AI478,6,2)&amp;RIGHT($AI478,2)&amp;$AJ478&amp;"|"&amp;"3"&amp;RIGHT("00000"&amp;473,5))</f>
        <v/>
      </c>
      <c r="AL478">
        <f>IF($AK478="","",COUNTIFS(LdAParty,$AE478,LdAType,1,LdAKey,"&lt;"&amp;$AK478)+COUNTIFS(LdBMember,$AE478,LdBKey,"&lt;"&amp;$AK478)+COUNTIFS(LdCParty,$AE478,LdCKey,"&lt;"&amp;$AK478)+1)</f>
        <v/>
      </c>
      <c r="AM478">
        <f>IF($AL478="","",$AE478&amp;"|"&amp;RIGHT("000000"&amp;$AL478,6))</f>
        <v/>
      </c>
      <c r="AN478">
        <f>IF($AE478="","",IF(Sync!$W478="",0,Sync!$W478))</f>
        <v/>
      </c>
      <c r="AO478">
        <f>IF($AE478="","",IF(Sync!$X478="",0,Sync!$X478))</f>
        <v/>
      </c>
      <c r="AP478">
        <f>IF($AE478="","",Sync!$R478)</f>
        <v/>
      </c>
      <c r="AQ478">
        <f>IF($AE478="","",Sync!$Y478)</f>
        <v/>
      </c>
    </row>
    <row r="479">
      <c r="A479">
        <f>IF(OR(Wages!$B482="",Wages!$E482=""),"",Wages!$E482)</f>
        <v/>
      </c>
      <c r="B479">
        <f>IF($A479="","",IF(Wages!$C482="دستمزد گروهی",2,1))</f>
        <v/>
      </c>
      <c r="C479">
        <f>IF($A479="","",IF(ISNUMBER(Wages!$B482),IF(AND(Wages!$B482&gt;=10000101,Wages!$B482&lt;=99991231),INT(Wages!$B482/10000),""),IFERROR(VALUE(TRIM(LEFT(Wages!$B482,FIND("/",Wages!$B482)-1))),"")))</f>
        <v/>
      </c>
      <c r="D479">
        <f>IF(OR($A479="",$C479=""),"",IF(ISNUMBER(Wages!$B482),INT(MOD(Wages!$B482,10000)/100),IFERROR(VALUE(TRIM(LEFT(MID(Wages!$B482,FIND("/",Wages!$B482)+1,20),FIND("/",MID(Wages!$B482,FIND("/",Wages!$B482)+1,20))-1))),"")))</f>
        <v/>
      </c>
      <c r="E479">
        <f>IF(OR($A479="",$C479=""),"",IF(ISNUMBER(Wages!$B482),MOD(Wages!$B482,100),IFERROR(VALUE(TRIM(MID(MID(Wages!$B482,FIND("/",Wages!$B482)+1,20),FIND("/",MID(Wages!$B482,FIND("/",Wages!$B482)+1,20))+1,20))),"")))</f>
        <v/>
      </c>
      <c r="F479">
        <f>IF($A479="","",IF(OR($C479="",$D479="",$E479="",$C479&lt;1300,$C479&gt;1500,$D479&lt;1,$D479&gt;12,$E479&lt;1,$E479&gt;31),"نامعتبر",RIGHT("0000"&amp;$C479,4)&amp;"/"&amp;RIGHT("00"&amp;$D479,2)&amp;"/"&amp;RIGHT("00"&amp;$E479,2)))</f>
        <v/>
      </c>
      <c r="G479">
        <f>IF(OR($A479="",$F479="",$F479="نامعتبر"),"",LEFT($F479,4)&amp;MID($F479,6,2)&amp;RIGHT($F479,2)&amp;"0000"&amp;"|"&amp;"1"&amp;RIGHT("00000"&amp;474,5))</f>
        <v/>
      </c>
      <c r="H479">
        <f>IF(OR($B479&lt;&gt;1,$G479=""),"",COUNTIFS(LdAParty,$A479,LdAType,1,LdAKey,"&lt;"&amp;$G479)+COUNTIFS(LdBMember,$A479,LdBKey,"&lt;"&amp;$G479)+COUNTIFS(LdCParty,$A479,LdCKey,"&lt;"&amp;$G479)+1)</f>
        <v/>
      </c>
      <c r="I479">
        <f>IF($H479="","",$A479&amp;"|"&amp;RIGHT("000000"&amp;$H479,6))</f>
        <v/>
      </c>
      <c r="J479">
        <f>IF(OR($B479&lt;&gt;2,$G479=""),"",COUNTIFS(LdAParty,$A479,LdAType,2,LdAKey,"&lt;"&amp;$G479)+1)</f>
        <v/>
      </c>
      <c r="K479">
        <f>IF($J479="","",$A479&amp;"|"&amp;RIGHT("000000"&amp;$J479,6))</f>
        <v/>
      </c>
      <c r="L479">
        <f>IF($A479="","",IF(Wages!$G482="",0,Wages!$G482))</f>
        <v/>
      </c>
      <c r="M479">
        <f>IF($A479="","",Wages!$J482)</f>
        <v/>
      </c>
      <c r="N479">
        <f>IF($A479="","",Wages!$D482)</f>
        <v/>
      </c>
      <c r="P479">
        <f>IF(OR(Shares!$B482="",Shares!$C482=""),"",Shares!$C482)</f>
        <v/>
      </c>
      <c r="Q479">
        <f>IF($P479="","",Shares!$B482)</f>
        <v/>
      </c>
      <c r="R479">
        <f>IF($P479="","",IFERROR(INDEX(WageParty,MATCH($Q479,WageIds,0)),""))</f>
        <v/>
      </c>
      <c r="S479">
        <f>IF($P479="","",IFERROR(INDEX($F$6:$F$2005,MATCH($Q479,WageIds,0)),""))</f>
        <v/>
      </c>
      <c r="T479">
        <f>IF(OR($P479="",$S479="",$S479="نامعتبر"),"",LEFT($S479,4)&amp;MID($S479,6,2)&amp;RIGHT($S479,2)&amp;"0000"&amp;"|"&amp;"2"&amp;RIGHT("00000"&amp;474,5))</f>
        <v/>
      </c>
      <c r="U479">
        <f>IF($T479="","",COUNTIFS(LdAParty,$P479,LdAType,1,LdAKey,"&lt;"&amp;$T479)+COUNTIFS(LdBMember,$P479,LdBKey,"&lt;"&amp;$T479)+COUNTIFS(LdCParty,$P479,LdCKey,"&lt;"&amp;$T479)+1)</f>
        <v/>
      </c>
      <c r="V479">
        <f>IF($U479="","",$P479&amp;"|"&amp;RIGHT("000000"&amp;$U479,6))</f>
        <v/>
      </c>
      <c r="W479">
        <f>IF($T479="","",COUNTIFS(LdBGroup,$R479,LdBKey,"&lt;"&amp;$T479)+1)</f>
        <v/>
      </c>
      <c r="X479">
        <f>IF($W479="","",$R479&amp;"|"&amp;RIGHT("000000"&amp;$W479,6))</f>
        <v/>
      </c>
      <c r="Y479">
        <f>IF($P479="","",IF(Shares!$E482="",0,Shares!$E482))</f>
        <v/>
      </c>
      <c r="Z479">
        <f>IF($P479="","",Shares!$H482)</f>
        <v/>
      </c>
      <c r="AE479">
        <f>IF(OR(Sync!$S479="",Sync!$P479=""),"",Sync!$S479)</f>
        <v/>
      </c>
      <c r="AF479">
        <f>IF($AE479="","",IF(ISNUMBER(Sync!$P479),IF(AND(Sync!$P479&gt;=10000101,Sync!$P479&lt;=99991231),INT(Sync!$P479/10000),""),IFERROR(VALUE(TRIM(LEFT(Sync!$P479,FIND("/",Sync!$P479)-1))),"")))</f>
        <v/>
      </c>
      <c r="AG479">
        <f>IF(OR($AE479="",$AF479=""),"",IF(ISNUMBER(Sync!$P479),INT(MOD(Sync!$P479,10000)/100),IFERROR(VALUE(TRIM(LEFT(MID(Sync!$P479,FIND("/",Sync!$P479)+1,20),FIND("/",MID(Sync!$P479,FIND("/",Sync!$P479)+1,20))-1))),"")))</f>
        <v/>
      </c>
      <c r="AH479">
        <f>IF(OR($AE479="",$AF479=""),"",IF(ISNUMBER(Sync!$P479),MOD(Sync!$P479,100),IFERROR(VALUE(TRIM(MID(MID(Sync!$P479,FIND("/",Sync!$P479)+1,20),FIND("/",MID(Sync!$P479,FIND("/",Sync!$P479)+1,20))+1,20))),"")))</f>
        <v/>
      </c>
      <c r="AI479">
        <f>IF($AE479="","",IF(OR($AF479="",$AG479="",$AH479="",$AF479&lt;1300,$AF479&gt;1500,$AG479&lt;1,$AG479&gt;12,$AH479&lt;1,$AH479&gt;31),"نامعتبر",RIGHT("0000"&amp;$AF479,4)&amp;"/"&amp;RIGHT("00"&amp;$AG479,2)&amp;"/"&amp;RIGHT("00"&amp;$AH479,2)))</f>
        <v/>
      </c>
      <c r="AJ479">
        <f>IF($AE479="","",IF(Sync!$Q479="","0000",IF(AND(ISNUMBER(Sync!$Q479),Sync!$Q479&gt;=0,Sync!$Q479&lt;1),RIGHT("00"&amp;HOUR(Sync!$Q479),2)&amp;RIGHT("00"&amp;MINUTE(Sync!$Q479),2),IFERROR(RIGHT("00"&amp;VALUE(LEFT(Sync!$Q479,FIND(":",Sync!$Q479)-1)),2)&amp;RIGHT("00"&amp;VALUE(MID(Sync!$Q479,FIND(":",Sync!$Q479)+1,2)),2),"0000"))))</f>
        <v/>
      </c>
      <c r="AK479">
        <f>IF(OR($AE479="",$AI479="",$AI479="نامعتبر"),"",LEFT($AI479,4)&amp;MID($AI479,6,2)&amp;RIGHT($AI479,2)&amp;$AJ479&amp;"|"&amp;"3"&amp;RIGHT("00000"&amp;474,5))</f>
        <v/>
      </c>
      <c r="AL479">
        <f>IF($AK479="","",COUNTIFS(LdAParty,$AE479,LdAType,1,LdAKey,"&lt;"&amp;$AK479)+COUNTIFS(LdBMember,$AE479,LdBKey,"&lt;"&amp;$AK479)+COUNTIFS(LdCParty,$AE479,LdCKey,"&lt;"&amp;$AK479)+1)</f>
        <v/>
      </c>
      <c r="AM479">
        <f>IF($AL479="","",$AE479&amp;"|"&amp;RIGHT("000000"&amp;$AL479,6))</f>
        <v/>
      </c>
      <c r="AN479">
        <f>IF($AE479="","",IF(Sync!$W479="",0,Sync!$W479))</f>
        <v/>
      </c>
      <c r="AO479">
        <f>IF($AE479="","",IF(Sync!$X479="",0,Sync!$X479))</f>
        <v/>
      </c>
      <c r="AP479">
        <f>IF($AE479="","",Sync!$R479)</f>
        <v/>
      </c>
      <c r="AQ479">
        <f>IF($AE479="","",Sync!$Y479)</f>
        <v/>
      </c>
    </row>
    <row r="480">
      <c r="A480">
        <f>IF(OR(Wages!$B483="",Wages!$E483=""),"",Wages!$E483)</f>
        <v/>
      </c>
      <c r="B480">
        <f>IF($A480="","",IF(Wages!$C483="دستمزد گروهی",2,1))</f>
        <v/>
      </c>
      <c r="C480">
        <f>IF($A480="","",IF(ISNUMBER(Wages!$B483),IF(AND(Wages!$B483&gt;=10000101,Wages!$B483&lt;=99991231),INT(Wages!$B483/10000),""),IFERROR(VALUE(TRIM(LEFT(Wages!$B483,FIND("/",Wages!$B483)-1))),"")))</f>
        <v/>
      </c>
      <c r="D480">
        <f>IF(OR($A480="",$C480=""),"",IF(ISNUMBER(Wages!$B483),INT(MOD(Wages!$B483,10000)/100),IFERROR(VALUE(TRIM(LEFT(MID(Wages!$B483,FIND("/",Wages!$B483)+1,20),FIND("/",MID(Wages!$B483,FIND("/",Wages!$B483)+1,20))-1))),"")))</f>
        <v/>
      </c>
      <c r="E480">
        <f>IF(OR($A480="",$C480=""),"",IF(ISNUMBER(Wages!$B483),MOD(Wages!$B483,100),IFERROR(VALUE(TRIM(MID(MID(Wages!$B483,FIND("/",Wages!$B483)+1,20),FIND("/",MID(Wages!$B483,FIND("/",Wages!$B483)+1,20))+1,20))),"")))</f>
        <v/>
      </c>
      <c r="F480">
        <f>IF($A480="","",IF(OR($C480="",$D480="",$E480="",$C480&lt;1300,$C480&gt;1500,$D480&lt;1,$D480&gt;12,$E480&lt;1,$E480&gt;31),"نامعتبر",RIGHT("0000"&amp;$C480,4)&amp;"/"&amp;RIGHT("00"&amp;$D480,2)&amp;"/"&amp;RIGHT("00"&amp;$E480,2)))</f>
        <v/>
      </c>
      <c r="G480">
        <f>IF(OR($A480="",$F480="",$F480="نامعتبر"),"",LEFT($F480,4)&amp;MID($F480,6,2)&amp;RIGHT($F480,2)&amp;"0000"&amp;"|"&amp;"1"&amp;RIGHT("00000"&amp;475,5))</f>
        <v/>
      </c>
      <c r="H480">
        <f>IF(OR($B480&lt;&gt;1,$G480=""),"",COUNTIFS(LdAParty,$A480,LdAType,1,LdAKey,"&lt;"&amp;$G480)+COUNTIFS(LdBMember,$A480,LdBKey,"&lt;"&amp;$G480)+COUNTIFS(LdCParty,$A480,LdCKey,"&lt;"&amp;$G480)+1)</f>
        <v/>
      </c>
      <c r="I480">
        <f>IF($H480="","",$A480&amp;"|"&amp;RIGHT("000000"&amp;$H480,6))</f>
        <v/>
      </c>
      <c r="J480">
        <f>IF(OR($B480&lt;&gt;2,$G480=""),"",COUNTIFS(LdAParty,$A480,LdAType,2,LdAKey,"&lt;"&amp;$G480)+1)</f>
        <v/>
      </c>
      <c r="K480">
        <f>IF($J480="","",$A480&amp;"|"&amp;RIGHT("000000"&amp;$J480,6))</f>
        <v/>
      </c>
      <c r="L480">
        <f>IF($A480="","",IF(Wages!$G483="",0,Wages!$G483))</f>
        <v/>
      </c>
      <c r="M480">
        <f>IF($A480="","",Wages!$J483)</f>
        <v/>
      </c>
      <c r="N480">
        <f>IF($A480="","",Wages!$D483)</f>
        <v/>
      </c>
      <c r="P480">
        <f>IF(OR(Shares!$B483="",Shares!$C483=""),"",Shares!$C483)</f>
        <v/>
      </c>
      <c r="Q480">
        <f>IF($P480="","",Shares!$B483)</f>
        <v/>
      </c>
      <c r="R480">
        <f>IF($P480="","",IFERROR(INDEX(WageParty,MATCH($Q480,WageIds,0)),""))</f>
        <v/>
      </c>
      <c r="S480">
        <f>IF($P480="","",IFERROR(INDEX($F$6:$F$2005,MATCH($Q480,WageIds,0)),""))</f>
        <v/>
      </c>
      <c r="T480">
        <f>IF(OR($P480="",$S480="",$S480="نامعتبر"),"",LEFT($S480,4)&amp;MID($S480,6,2)&amp;RIGHT($S480,2)&amp;"0000"&amp;"|"&amp;"2"&amp;RIGHT("00000"&amp;475,5))</f>
        <v/>
      </c>
      <c r="U480">
        <f>IF($T480="","",COUNTIFS(LdAParty,$P480,LdAType,1,LdAKey,"&lt;"&amp;$T480)+COUNTIFS(LdBMember,$P480,LdBKey,"&lt;"&amp;$T480)+COUNTIFS(LdCParty,$P480,LdCKey,"&lt;"&amp;$T480)+1)</f>
        <v/>
      </c>
      <c r="V480">
        <f>IF($U480="","",$P480&amp;"|"&amp;RIGHT("000000"&amp;$U480,6))</f>
        <v/>
      </c>
      <c r="W480">
        <f>IF($T480="","",COUNTIFS(LdBGroup,$R480,LdBKey,"&lt;"&amp;$T480)+1)</f>
        <v/>
      </c>
      <c r="X480">
        <f>IF($W480="","",$R480&amp;"|"&amp;RIGHT("000000"&amp;$W480,6))</f>
        <v/>
      </c>
      <c r="Y480">
        <f>IF($P480="","",IF(Shares!$E483="",0,Shares!$E483))</f>
        <v/>
      </c>
      <c r="Z480">
        <f>IF($P480="","",Shares!$H483)</f>
        <v/>
      </c>
      <c r="AE480">
        <f>IF(OR(Sync!$S480="",Sync!$P480=""),"",Sync!$S480)</f>
        <v/>
      </c>
      <c r="AF480">
        <f>IF($AE480="","",IF(ISNUMBER(Sync!$P480),IF(AND(Sync!$P480&gt;=10000101,Sync!$P480&lt;=99991231),INT(Sync!$P480/10000),""),IFERROR(VALUE(TRIM(LEFT(Sync!$P480,FIND("/",Sync!$P480)-1))),"")))</f>
        <v/>
      </c>
      <c r="AG480">
        <f>IF(OR($AE480="",$AF480=""),"",IF(ISNUMBER(Sync!$P480),INT(MOD(Sync!$P480,10000)/100),IFERROR(VALUE(TRIM(LEFT(MID(Sync!$P480,FIND("/",Sync!$P480)+1,20),FIND("/",MID(Sync!$P480,FIND("/",Sync!$P480)+1,20))-1))),"")))</f>
        <v/>
      </c>
      <c r="AH480">
        <f>IF(OR($AE480="",$AF480=""),"",IF(ISNUMBER(Sync!$P480),MOD(Sync!$P480,100),IFERROR(VALUE(TRIM(MID(MID(Sync!$P480,FIND("/",Sync!$P480)+1,20),FIND("/",MID(Sync!$P480,FIND("/",Sync!$P480)+1,20))+1,20))),"")))</f>
        <v/>
      </c>
      <c r="AI480">
        <f>IF($AE480="","",IF(OR($AF480="",$AG480="",$AH480="",$AF480&lt;1300,$AF480&gt;1500,$AG480&lt;1,$AG480&gt;12,$AH480&lt;1,$AH480&gt;31),"نامعتبر",RIGHT("0000"&amp;$AF480,4)&amp;"/"&amp;RIGHT("00"&amp;$AG480,2)&amp;"/"&amp;RIGHT("00"&amp;$AH480,2)))</f>
        <v/>
      </c>
      <c r="AJ480">
        <f>IF($AE480="","",IF(Sync!$Q480="","0000",IF(AND(ISNUMBER(Sync!$Q480),Sync!$Q480&gt;=0,Sync!$Q480&lt;1),RIGHT("00"&amp;HOUR(Sync!$Q480),2)&amp;RIGHT("00"&amp;MINUTE(Sync!$Q480),2),IFERROR(RIGHT("00"&amp;VALUE(LEFT(Sync!$Q480,FIND(":",Sync!$Q480)-1)),2)&amp;RIGHT("00"&amp;VALUE(MID(Sync!$Q480,FIND(":",Sync!$Q480)+1,2)),2),"0000"))))</f>
        <v/>
      </c>
      <c r="AK480">
        <f>IF(OR($AE480="",$AI480="",$AI480="نامعتبر"),"",LEFT($AI480,4)&amp;MID($AI480,6,2)&amp;RIGHT($AI480,2)&amp;$AJ480&amp;"|"&amp;"3"&amp;RIGHT("00000"&amp;475,5))</f>
        <v/>
      </c>
      <c r="AL480">
        <f>IF($AK480="","",COUNTIFS(LdAParty,$AE480,LdAType,1,LdAKey,"&lt;"&amp;$AK480)+COUNTIFS(LdBMember,$AE480,LdBKey,"&lt;"&amp;$AK480)+COUNTIFS(LdCParty,$AE480,LdCKey,"&lt;"&amp;$AK480)+1)</f>
        <v/>
      </c>
      <c r="AM480">
        <f>IF($AL480="","",$AE480&amp;"|"&amp;RIGHT("000000"&amp;$AL480,6))</f>
        <v/>
      </c>
      <c r="AN480">
        <f>IF($AE480="","",IF(Sync!$W480="",0,Sync!$W480))</f>
        <v/>
      </c>
      <c r="AO480">
        <f>IF($AE480="","",IF(Sync!$X480="",0,Sync!$X480))</f>
        <v/>
      </c>
      <c r="AP480">
        <f>IF($AE480="","",Sync!$R480)</f>
        <v/>
      </c>
      <c r="AQ480">
        <f>IF($AE480="","",Sync!$Y480)</f>
        <v/>
      </c>
    </row>
    <row r="481">
      <c r="A481">
        <f>IF(OR(Wages!$B484="",Wages!$E484=""),"",Wages!$E484)</f>
        <v/>
      </c>
      <c r="B481">
        <f>IF($A481="","",IF(Wages!$C484="دستمزد گروهی",2,1))</f>
        <v/>
      </c>
      <c r="C481">
        <f>IF($A481="","",IF(ISNUMBER(Wages!$B484),IF(AND(Wages!$B484&gt;=10000101,Wages!$B484&lt;=99991231),INT(Wages!$B484/10000),""),IFERROR(VALUE(TRIM(LEFT(Wages!$B484,FIND("/",Wages!$B484)-1))),"")))</f>
        <v/>
      </c>
      <c r="D481">
        <f>IF(OR($A481="",$C481=""),"",IF(ISNUMBER(Wages!$B484),INT(MOD(Wages!$B484,10000)/100),IFERROR(VALUE(TRIM(LEFT(MID(Wages!$B484,FIND("/",Wages!$B484)+1,20),FIND("/",MID(Wages!$B484,FIND("/",Wages!$B484)+1,20))-1))),"")))</f>
        <v/>
      </c>
      <c r="E481">
        <f>IF(OR($A481="",$C481=""),"",IF(ISNUMBER(Wages!$B484),MOD(Wages!$B484,100),IFERROR(VALUE(TRIM(MID(MID(Wages!$B484,FIND("/",Wages!$B484)+1,20),FIND("/",MID(Wages!$B484,FIND("/",Wages!$B484)+1,20))+1,20))),"")))</f>
        <v/>
      </c>
      <c r="F481">
        <f>IF($A481="","",IF(OR($C481="",$D481="",$E481="",$C481&lt;1300,$C481&gt;1500,$D481&lt;1,$D481&gt;12,$E481&lt;1,$E481&gt;31),"نامعتبر",RIGHT("0000"&amp;$C481,4)&amp;"/"&amp;RIGHT("00"&amp;$D481,2)&amp;"/"&amp;RIGHT("00"&amp;$E481,2)))</f>
        <v/>
      </c>
      <c r="G481">
        <f>IF(OR($A481="",$F481="",$F481="نامعتبر"),"",LEFT($F481,4)&amp;MID($F481,6,2)&amp;RIGHT($F481,2)&amp;"0000"&amp;"|"&amp;"1"&amp;RIGHT("00000"&amp;476,5))</f>
        <v/>
      </c>
      <c r="H481">
        <f>IF(OR($B481&lt;&gt;1,$G481=""),"",COUNTIFS(LdAParty,$A481,LdAType,1,LdAKey,"&lt;"&amp;$G481)+COUNTIFS(LdBMember,$A481,LdBKey,"&lt;"&amp;$G481)+COUNTIFS(LdCParty,$A481,LdCKey,"&lt;"&amp;$G481)+1)</f>
        <v/>
      </c>
      <c r="I481">
        <f>IF($H481="","",$A481&amp;"|"&amp;RIGHT("000000"&amp;$H481,6))</f>
        <v/>
      </c>
      <c r="J481">
        <f>IF(OR($B481&lt;&gt;2,$G481=""),"",COUNTIFS(LdAParty,$A481,LdAType,2,LdAKey,"&lt;"&amp;$G481)+1)</f>
        <v/>
      </c>
      <c r="K481">
        <f>IF($J481="","",$A481&amp;"|"&amp;RIGHT("000000"&amp;$J481,6))</f>
        <v/>
      </c>
      <c r="L481">
        <f>IF($A481="","",IF(Wages!$G484="",0,Wages!$G484))</f>
        <v/>
      </c>
      <c r="M481">
        <f>IF($A481="","",Wages!$J484)</f>
        <v/>
      </c>
      <c r="N481">
        <f>IF($A481="","",Wages!$D484)</f>
        <v/>
      </c>
      <c r="P481">
        <f>IF(OR(Shares!$B484="",Shares!$C484=""),"",Shares!$C484)</f>
        <v/>
      </c>
      <c r="Q481">
        <f>IF($P481="","",Shares!$B484)</f>
        <v/>
      </c>
      <c r="R481">
        <f>IF($P481="","",IFERROR(INDEX(WageParty,MATCH($Q481,WageIds,0)),""))</f>
        <v/>
      </c>
      <c r="S481">
        <f>IF($P481="","",IFERROR(INDEX($F$6:$F$2005,MATCH($Q481,WageIds,0)),""))</f>
        <v/>
      </c>
      <c r="T481">
        <f>IF(OR($P481="",$S481="",$S481="نامعتبر"),"",LEFT($S481,4)&amp;MID($S481,6,2)&amp;RIGHT($S481,2)&amp;"0000"&amp;"|"&amp;"2"&amp;RIGHT("00000"&amp;476,5))</f>
        <v/>
      </c>
      <c r="U481">
        <f>IF($T481="","",COUNTIFS(LdAParty,$P481,LdAType,1,LdAKey,"&lt;"&amp;$T481)+COUNTIFS(LdBMember,$P481,LdBKey,"&lt;"&amp;$T481)+COUNTIFS(LdCParty,$P481,LdCKey,"&lt;"&amp;$T481)+1)</f>
        <v/>
      </c>
      <c r="V481">
        <f>IF($U481="","",$P481&amp;"|"&amp;RIGHT("000000"&amp;$U481,6))</f>
        <v/>
      </c>
      <c r="W481">
        <f>IF($T481="","",COUNTIFS(LdBGroup,$R481,LdBKey,"&lt;"&amp;$T481)+1)</f>
        <v/>
      </c>
      <c r="X481">
        <f>IF($W481="","",$R481&amp;"|"&amp;RIGHT("000000"&amp;$W481,6))</f>
        <v/>
      </c>
      <c r="Y481">
        <f>IF($P481="","",IF(Shares!$E484="",0,Shares!$E484))</f>
        <v/>
      </c>
      <c r="Z481">
        <f>IF($P481="","",Shares!$H484)</f>
        <v/>
      </c>
      <c r="AE481">
        <f>IF(OR(Sync!$S481="",Sync!$P481=""),"",Sync!$S481)</f>
        <v/>
      </c>
      <c r="AF481">
        <f>IF($AE481="","",IF(ISNUMBER(Sync!$P481),IF(AND(Sync!$P481&gt;=10000101,Sync!$P481&lt;=99991231),INT(Sync!$P481/10000),""),IFERROR(VALUE(TRIM(LEFT(Sync!$P481,FIND("/",Sync!$P481)-1))),"")))</f>
        <v/>
      </c>
      <c r="AG481">
        <f>IF(OR($AE481="",$AF481=""),"",IF(ISNUMBER(Sync!$P481),INT(MOD(Sync!$P481,10000)/100),IFERROR(VALUE(TRIM(LEFT(MID(Sync!$P481,FIND("/",Sync!$P481)+1,20),FIND("/",MID(Sync!$P481,FIND("/",Sync!$P481)+1,20))-1))),"")))</f>
        <v/>
      </c>
      <c r="AH481">
        <f>IF(OR($AE481="",$AF481=""),"",IF(ISNUMBER(Sync!$P481),MOD(Sync!$P481,100),IFERROR(VALUE(TRIM(MID(MID(Sync!$P481,FIND("/",Sync!$P481)+1,20),FIND("/",MID(Sync!$P481,FIND("/",Sync!$P481)+1,20))+1,20))),"")))</f>
        <v/>
      </c>
      <c r="AI481">
        <f>IF($AE481="","",IF(OR($AF481="",$AG481="",$AH481="",$AF481&lt;1300,$AF481&gt;1500,$AG481&lt;1,$AG481&gt;12,$AH481&lt;1,$AH481&gt;31),"نامعتبر",RIGHT("0000"&amp;$AF481,4)&amp;"/"&amp;RIGHT("00"&amp;$AG481,2)&amp;"/"&amp;RIGHT("00"&amp;$AH481,2)))</f>
        <v/>
      </c>
      <c r="AJ481">
        <f>IF($AE481="","",IF(Sync!$Q481="","0000",IF(AND(ISNUMBER(Sync!$Q481),Sync!$Q481&gt;=0,Sync!$Q481&lt;1),RIGHT("00"&amp;HOUR(Sync!$Q481),2)&amp;RIGHT("00"&amp;MINUTE(Sync!$Q481),2),IFERROR(RIGHT("00"&amp;VALUE(LEFT(Sync!$Q481,FIND(":",Sync!$Q481)-1)),2)&amp;RIGHT("00"&amp;VALUE(MID(Sync!$Q481,FIND(":",Sync!$Q481)+1,2)),2),"0000"))))</f>
        <v/>
      </c>
      <c r="AK481">
        <f>IF(OR($AE481="",$AI481="",$AI481="نامعتبر"),"",LEFT($AI481,4)&amp;MID($AI481,6,2)&amp;RIGHT($AI481,2)&amp;$AJ481&amp;"|"&amp;"3"&amp;RIGHT("00000"&amp;476,5))</f>
        <v/>
      </c>
      <c r="AL481">
        <f>IF($AK481="","",COUNTIFS(LdAParty,$AE481,LdAType,1,LdAKey,"&lt;"&amp;$AK481)+COUNTIFS(LdBMember,$AE481,LdBKey,"&lt;"&amp;$AK481)+COUNTIFS(LdCParty,$AE481,LdCKey,"&lt;"&amp;$AK481)+1)</f>
        <v/>
      </c>
      <c r="AM481">
        <f>IF($AL481="","",$AE481&amp;"|"&amp;RIGHT("000000"&amp;$AL481,6))</f>
        <v/>
      </c>
      <c r="AN481">
        <f>IF($AE481="","",IF(Sync!$W481="",0,Sync!$W481))</f>
        <v/>
      </c>
      <c r="AO481">
        <f>IF($AE481="","",IF(Sync!$X481="",0,Sync!$X481))</f>
        <v/>
      </c>
      <c r="AP481">
        <f>IF($AE481="","",Sync!$R481)</f>
        <v/>
      </c>
      <c r="AQ481">
        <f>IF($AE481="","",Sync!$Y481)</f>
        <v/>
      </c>
    </row>
    <row r="482">
      <c r="A482">
        <f>IF(OR(Wages!$B485="",Wages!$E485=""),"",Wages!$E485)</f>
        <v/>
      </c>
      <c r="B482">
        <f>IF($A482="","",IF(Wages!$C485="دستمزد گروهی",2,1))</f>
        <v/>
      </c>
      <c r="C482">
        <f>IF($A482="","",IF(ISNUMBER(Wages!$B485),IF(AND(Wages!$B485&gt;=10000101,Wages!$B485&lt;=99991231),INT(Wages!$B485/10000),""),IFERROR(VALUE(TRIM(LEFT(Wages!$B485,FIND("/",Wages!$B485)-1))),"")))</f>
        <v/>
      </c>
      <c r="D482">
        <f>IF(OR($A482="",$C482=""),"",IF(ISNUMBER(Wages!$B485),INT(MOD(Wages!$B485,10000)/100),IFERROR(VALUE(TRIM(LEFT(MID(Wages!$B485,FIND("/",Wages!$B485)+1,20),FIND("/",MID(Wages!$B485,FIND("/",Wages!$B485)+1,20))-1))),"")))</f>
        <v/>
      </c>
      <c r="E482">
        <f>IF(OR($A482="",$C482=""),"",IF(ISNUMBER(Wages!$B485),MOD(Wages!$B485,100),IFERROR(VALUE(TRIM(MID(MID(Wages!$B485,FIND("/",Wages!$B485)+1,20),FIND("/",MID(Wages!$B485,FIND("/",Wages!$B485)+1,20))+1,20))),"")))</f>
        <v/>
      </c>
      <c r="F482">
        <f>IF($A482="","",IF(OR($C482="",$D482="",$E482="",$C482&lt;1300,$C482&gt;1500,$D482&lt;1,$D482&gt;12,$E482&lt;1,$E482&gt;31),"نامعتبر",RIGHT("0000"&amp;$C482,4)&amp;"/"&amp;RIGHT("00"&amp;$D482,2)&amp;"/"&amp;RIGHT("00"&amp;$E482,2)))</f>
        <v/>
      </c>
      <c r="G482">
        <f>IF(OR($A482="",$F482="",$F482="نامعتبر"),"",LEFT($F482,4)&amp;MID($F482,6,2)&amp;RIGHT($F482,2)&amp;"0000"&amp;"|"&amp;"1"&amp;RIGHT("00000"&amp;477,5))</f>
        <v/>
      </c>
      <c r="H482">
        <f>IF(OR($B482&lt;&gt;1,$G482=""),"",COUNTIFS(LdAParty,$A482,LdAType,1,LdAKey,"&lt;"&amp;$G482)+COUNTIFS(LdBMember,$A482,LdBKey,"&lt;"&amp;$G482)+COUNTIFS(LdCParty,$A482,LdCKey,"&lt;"&amp;$G482)+1)</f>
        <v/>
      </c>
      <c r="I482">
        <f>IF($H482="","",$A482&amp;"|"&amp;RIGHT("000000"&amp;$H482,6))</f>
        <v/>
      </c>
      <c r="J482">
        <f>IF(OR($B482&lt;&gt;2,$G482=""),"",COUNTIFS(LdAParty,$A482,LdAType,2,LdAKey,"&lt;"&amp;$G482)+1)</f>
        <v/>
      </c>
      <c r="K482">
        <f>IF($J482="","",$A482&amp;"|"&amp;RIGHT("000000"&amp;$J482,6))</f>
        <v/>
      </c>
      <c r="L482">
        <f>IF($A482="","",IF(Wages!$G485="",0,Wages!$G485))</f>
        <v/>
      </c>
      <c r="M482">
        <f>IF($A482="","",Wages!$J485)</f>
        <v/>
      </c>
      <c r="N482">
        <f>IF($A482="","",Wages!$D485)</f>
        <v/>
      </c>
      <c r="P482">
        <f>IF(OR(Shares!$B485="",Shares!$C485=""),"",Shares!$C485)</f>
        <v/>
      </c>
      <c r="Q482">
        <f>IF($P482="","",Shares!$B485)</f>
        <v/>
      </c>
      <c r="R482">
        <f>IF($P482="","",IFERROR(INDEX(WageParty,MATCH($Q482,WageIds,0)),""))</f>
        <v/>
      </c>
      <c r="S482">
        <f>IF($P482="","",IFERROR(INDEX($F$6:$F$2005,MATCH($Q482,WageIds,0)),""))</f>
        <v/>
      </c>
      <c r="T482">
        <f>IF(OR($P482="",$S482="",$S482="نامعتبر"),"",LEFT($S482,4)&amp;MID($S482,6,2)&amp;RIGHT($S482,2)&amp;"0000"&amp;"|"&amp;"2"&amp;RIGHT("00000"&amp;477,5))</f>
        <v/>
      </c>
      <c r="U482">
        <f>IF($T482="","",COUNTIFS(LdAParty,$P482,LdAType,1,LdAKey,"&lt;"&amp;$T482)+COUNTIFS(LdBMember,$P482,LdBKey,"&lt;"&amp;$T482)+COUNTIFS(LdCParty,$P482,LdCKey,"&lt;"&amp;$T482)+1)</f>
        <v/>
      </c>
      <c r="V482">
        <f>IF($U482="","",$P482&amp;"|"&amp;RIGHT("000000"&amp;$U482,6))</f>
        <v/>
      </c>
      <c r="W482">
        <f>IF($T482="","",COUNTIFS(LdBGroup,$R482,LdBKey,"&lt;"&amp;$T482)+1)</f>
        <v/>
      </c>
      <c r="X482">
        <f>IF($W482="","",$R482&amp;"|"&amp;RIGHT("000000"&amp;$W482,6))</f>
        <v/>
      </c>
      <c r="Y482">
        <f>IF($P482="","",IF(Shares!$E485="",0,Shares!$E485))</f>
        <v/>
      </c>
      <c r="Z482">
        <f>IF($P482="","",Shares!$H485)</f>
        <v/>
      </c>
      <c r="AE482">
        <f>IF(OR(Sync!$S482="",Sync!$P482=""),"",Sync!$S482)</f>
        <v/>
      </c>
      <c r="AF482">
        <f>IF($AE482="","",IF(ISNUMBER(Sync!$P482),IF(AND(Sync!$P482&gt;=10000101,Sync!$P482&lt;=99991231),INT(Sync!$P482/10000),""),IFERROR(VALUE(TRIM(LEFT(Sync!$P482,FIND("/",Sync!$P482)-1))),"")))</f>
        <v/>
      </c>
      <c r="AG482">
        <f>IF(OR($AE482="",$AF482=""),"",IF(ISNUMBER(Sync!$P482),INT(MOD(Sync!$P482,10000)/100),IFERROR(VALUE(TRIM(LEFT(MID(Sync!$P482,FIND("/",Sync!$P482)+1,20),FIND("/",MID(Sync!$P482,FIND("/",Sync!$P482)+1,20))-1))),"")))</f>
        <v/>
      </c>
      <c r="AH482">
        <f>IF(OR($AE482="",$AF482=""),"",IF(ISNUMBER(Sync!$P482),MOD(Sync!$P482,100),IFERROR(VALUE(TRIM(MID(MID(Sync!$P482,FIND("/",Sync!$P482)+1,20),FIND("/",MID(Sync!$P482,FIND("/",Sync!$P482)+1,20))+1,20))),"")))</f>
        <v/>
      </c>
      <c r="AI482">
        <f>IF($AE482="","",IF(OR($AF482="",$AG482="",$AH482="",$AF482&lt;1300,$AF482&gt;1500,$AG482&lt;1,$AG482&gt;12,$AH482&lt;1,$AH482&gt;31),"نامعتبر",RIGHT("0000"&amp;$AF482,4)&amp;"/"&amp;RIGHT("00"&amp;$AG482,2)&amp;"/"&amp;RIGHT("00"&amp;$AH482,2)))</f>
        <v/>
      </c>
      <c r="AJ482">
        <f>IF($AE482="","",IF(Sync!$Q482="","0000",IF(AND(ISNUMBER(Sync!$Q482),Sync!$Q482&gt;=0,Sync!$Q482&lt;1),RIGHT("00"&amp;HOUR(Sync!$Q482),2)&amp;RIGHT("00"&amp;MINUTE(Sync!$Q482),2),IFERROR(RIGHT("00"&amp;VALUE(LEFT(Sync!$Q482,FIND(":",Sync!$Q482)-1)),2)&amp;RIGHT("00"&amp;VALUE(MID(Sync!$Q482,FIND(":",Sync!$Q482)+1,2)),2),"0000"))))</f>
        <v/>
      </c>
      <c r="AK482">
        <f>IF(OR($AE482="",$AI482="",$AI482="نامعتبر"),"",LEFT($AI482,4)&amp;MID($AI482,6,2)&amp;RIGHT($AI482,2)&amp;$AJ482&amp;"|"&amp;"3"&amp;RIGHT("00000"&amp;477,5))</f>
        <v/>
      </c>
      <c r="AL482">
        <f>IF($AK482="","",COUNTIFS(LdAParty,$AE482,LdAType,1,LdAKey,"&lt;"&amp;$AK482)+COUNTIFS(LdBMember,$AE482,LdBKey,"&lt;"&amp;$AK482)+COUNTIFS(LdCParty,$AE482,LdCKey,"&lt;"&amp;$AK482)+1)</f>
        <v/>
      </c>
      <c r="AM482">
        <f>IF($AL482="","",$AE482&amp;"|"&amp;RIGHT("000000"&amp;$AL482,6))</f>
        <v/>
      </c>
      <c r="AN482">
        <f>IF($AE482="","",IF(Sync!$W482="",0,Sync!$W482))</f>
        <v/>
      </c>
      <c r="AO482">
        <f>IF($AE482="","",IF(Sync!$X482="",0,Sync!$X482))</f>
        <v/>
      </c>
      <c r="AP482">
        <f>IF($AE482="","",Sync!$R482)</f>
        <v/>
      </c>
      <c r="AQ482">
        <f>IF($AE482="","",Sync!$Y482)</f>
        <v/>
      </c>
    </row>
    <row r="483">
      <c r="A483">
        <f>IF(OR(Wages!$B486="",Wages!$E486=""),"",Wages!$E486)</f>
        <v/>
      </c>
      <c r="B483">
        <f>IF($A483="","",IF(Wages!$C486="دستمزد گروهی",2,1))</f>
        <v/>
      </c>
      <c r="C483">
        <f>IF($A483="","",IF(ISNUMBER(Wages!$B486),IF(AND(Wages!$B486&gt;=10000101,Wages!$B486&lt;=99991231),INT(Wages!$B486/10000),""),IFERROR(VALUE(TRIM(LEFT(Wages!$B486,FIND("/",Wages!$B486)-1))),"")))</f>
        <v/>
      </c>
      <c r="D483">
        <f>IF(OR($A483="",$C483=""),"",IF(ISNUMBER(Wages!$B486),INT(MOD(Wages!$B486,10000)/100),IFERROR(VALUE(TRIM(LEFT(MID(Wages!$B486,FIND("/",Wages!$B486)+1,20),FIND("/",MID(Wages!$B486,FIND("/",Wages!$B486)+1,20))-1))),"")))</f>
        <v/>
      </c>
      <c r="E483">
        <f>IF(OR($A483="",$C483=""),"",IF(ISNUMBER(Wages!$B486),MOD(Wages!$B486,100),IFERROR(VALUE(TRIM(MID(MID(Wages!$B486,FIND("/",Wages!$B486)+1,20),FIND("/",MID(Wages!$B486,FIND("/",Wages!$B486)+1,20))+1,20))),"")))</f>
        <v/>
      </c>
      <c r="F483">
        <f>IF($A483="","",IF(OR($C483="",$D483="",$E483="",$C483&lt;1300,$C483&gt;1500,$D483&lt;1,$D483&gt;12,$E483&lt;1,$E483&gt;31),"نامعتبر",RIGHT("0000"&amp;$C483,4)&amp;"/"&amp;RIGHT("00"&amp;$D483,2)&amp;"/"&amp;RIGHT("00"&amp;$E483,2)))</f>
        <v/>
      </c>
      <c r="G483">
        <f>IF(OR($A483="",$F483="",$F483="نامعتبر"),"",LEFT($F483,4)&amp;MID($F483,6,2)&amp;RIGHT($F483,2)&amp;"0000"&amp;"|"&amp;"1"&amp;RIGHT("00000"&amp;478,5))</f>
        <v/>
      </c>
      <c r="H483">
        <f>IF(OR($B483&lt;&gt;1,$G483=""),"",COUNTIFS(LdAParty,$A483,LdAType,1,LdAKey,"&lt;"&amp;$G483)+COUNTIFS(LdBMember,$A483,LdBKey,"&lt;"&amp;$G483)+COUNTIFS(LdCParty,$A483,LdCKey,"&lt;"&amp;$G483)+1)</f>
        <v/>
      </c>
      <c r="I483">
        <f>IF($H483="","",$A483&amp;"|"&amp;RIGHT("000000"&amp;$H483,6))</f>
        <v/>
      </c>
      <c r="J483">
        <f>IF(OR($B483&lt;&gt;2,$G483=""),"",COUNTIFS(LdAParty,$A483,LdAType,2,LdAKey,"&lt;"&amp;$G483)+1)</f>
        <v/>
      </c>
      <c r="K483">
        <f>IF($J483="","",$A483&amp;"|"&amp;RIGHT("000000"&amp;$J483,6))</f>
        <v/>
      </c>
      <c r="L483">
        <f>IF($A483="","",IF(Wages!$G486="",0,Wages!$G486))</f>
        <v/>
      </c>
      <c r="M483">
        <f>IF($A483="","",Wages!$J486)</f>
        <v/>
      </c>
      <c r="N483">
        <f>IF($A483="","",Wages!$D486)</f>
        <v/>
      </c>
      <c r="P483">
        <f>IF(OR(Shares!$B486="",Shares!$C486=""),"",Shares!$C486)</f>
        <v/>
      </c>
      <c r="Q483">
        <f>IF($P483="","",Shares!$B486)</f>
        <v/>
      </c>
      <c r="R483">
        <f>IF($P483="","",IFERROR(INDEX(WageParty,MATCH($Q483,WageIds,0)),""))</f>
        <v/>
      </c>
      <c r="S483">
        <f>IF($P483="","",IFERROR(INDEX($F$6:$F$2005,MATCH($Q483,WageIds,0)),""))</f>
        <v/>
      </c>
      <c r="T483">
        <f>IF(OR($P483="",$S483="",$S483="نامعتبر"),"",LEFT($S483,4)&amp;MID($S483,6,2)&amp;RIGHT($S483,2)&amp;"0000"&amp;"|"&amp;"2"&amp;RIGHT("00000"&amp;478,5))</f>
        <v/>
      </c>
      <c r="U483">
        <f>IF($T483="","",COUNTIFS(LdAParty,$P483,LdAType,1,LdAKey,"&lt;"&amp;$T483)+COUNTIFS(LdBMember,$P483,LdBKey,"&lt;"&amp;$T483)+COUNTIFS(LdCParty,$P483,LdCKey,"&lt;"&amp;$T483)+1)</f>
        <v/>
      </c>
      <c r="V483">
        <f>IF($U483="","",$P483&amp;"|"&amp;RIGHT("000000"&amp;$U483,6))</f>
        <v/>
      </c>
      <c r="W483">
        <f>IF($T483="","",COUNTIFS(LdBGroup,$R483,LdBKey,"&lt;"&amp;$T483)+1)</f>
        <v/>
      </c>
      <c r="X483">
        <f>IF($W483="","",$R483&amp;"|"&amp;RIGHT("000000"&amp;$W483,6))</f>
        <v/>
      </c>
      <c r="Y483">
        <f>IF($P483="","",IF(Shares!$E486="",0,Shares!$E486))</f>
        <v/>
      </c>
      <c r="Z483">
        <f>IF($P483="","",Shares!$H486)</f>
        <v/>
      </c>
      <c r="AE483">
        <f>IF(OR(Sync!$S483="",Sync!$P483=""),"",Sync!$S483)</f>
        <v/>
      </c>
      <c r="AF483">
        <f>IF($AE483="","",IF(ISNUMBER(Sync!$P483),IF(AND(Sync!$P483&gt;=10000101,Sync!$P483&lt;=99991231),INT(Sync!$P483/10000),""),IFERROR(VALUE(TRIM(LEFT(Sync!$P483,FIND("/",Sync!$P483)-1))),"")))</f>
        <v/>
      </c>
      <c r="AG483">
        <f>IF(OR($AE483="",$AF483=""),"",IF(ISNUMBER(Sync!$P483),INT(MOD(Sync!$P483,10000)/100),IFERROR(VALUE(TRIM(LEFT(MID(Sync!$P483,FIND("/",Sync!$P483)+1,20),FIND("/",MID(Sync!$P483,FIND("/",Sync!$P483)+1,20))-1))),"")))</f>
        <v/>
      </c>
      <c r="AH483">
        <f>IF(OR($AE483="",$AF483=""),"",IF(ISNUMBER(Sync!$P483),MOD(Sync!$P483,100),IFERROR(VALUE(TRIM(MID(MID(Sync!$P483,FIND("/",Sync!$P483)+1,20),FIND("/",MID(Sync!$P483,FIND("/",Sync!$P483)+1,20))+1,20))),"")))</f>
        <v/>
      </c>
      <c r="AI483">
        <f>IF($AE483="","",IF(OR($AF483="",$AG483="",$AH483="",$AF483&lt;1300,$AF483&gt;1500,$AG483&lt;1,$AG483&gt;12,$AH483&lt;1,$AH483&gt;31),"نامعتبر",RIGHT("0000"&amp;$AF483,4)&amp;"/"&amp;RIGHT("00"&amp;$AG483,2)&amp;"/"&amp;RIGHT("00"&amp;$AH483,2)))</f>
        <v/>
      </c>
      <c r="AJ483">
        <f>IF($AE483="","",IF(Sync!$Q483="","0000",IF(AND(ISNUMBER(Sync!$Q483),Sync!$Q483&gt;=0,Sync!$Q483&lt;1),RIGHT("00"&amp;HOUR(Sync!$Q483),2)&amp;RIGHT("00"&amp;MINUTE(Sync!$Q483),2),IFERROR(RIGHT("00"&amp;VALUE(LEFT(Sync!$Q483,FIND(":",Sync!$Q483)-1)),2)&amp;RIGHT("00"&amp;VALUE(MID(Sync!$Q483,FIND(":",Sync!$Q483)+1,2)),2),"0000"))))</f>
        <v/>
      </c>
      <c r="AK483">
        <f>IF(OR($AE483="",$AI483="",$AI483="نامعتبر"),"",LEFT($AI483,4)&amp;MID($AI483,6,2)&amp;RIGHT($AI483,2)&amp;$AJ483&amp;"|"&amp;"3"&amp;RIGHT("00000"&amp;478,5))</f>
        <v/>
      </c>
      <c r="AL483">
        <f>IF($AK483="","",COUNTIFS(LdAParty,$AE483,LdAType,1,LdAKey,"&lt;"&amp;$AK483)+COUNTIFS(LdBMember,$AE483,LdBKey,"&lt;"&amp;$AK483)+COUNTIFS(LdCParty,$AE483,LdCKey,"&lt;"&amp;$AK483)+1)</f>
        <v/>
      </c>
      <c r="AM483">
        <f>IF($AL483="","",$AE483&amp;"|"&amp;RIGHT("000000"&amp;$AL483,6))</f>
        <v/>
      </c>
      <c r="AN483">
        <f>IF($AE483="","",IF(Sync!$W483="",0,Sync!$W483))</f>
        <v/>
      </c>
      <c r="AO483">
        <f>IF($AE483="","",IF(Sync!$X483="",0,Sync!$X483))</f>
        <v/>
      </c>
      <c r="AP483">
        <f>IF($AE483="","",Sync!$R483)</f>
        <v/>
      </c>
      <c r="AQ483">
        <f>IF($AE483="","",Sync!$Y483)</f>
        <v/>
      </c>
    </row>
    <row r="484">
      <c r="A484">
        <f>IF(OR(Wages!$B487="",Wages!$E487=""),"",Wages!$E487)</f>
        <v/>
      </c>
      <c r="B484">
        <f>IF($A484="","",IF(Wages!$C487="دستمزد گروهی",2,1))</f>
        <v/>
      </c>
      <c r="C484">
        <f>IF($A484="","",IF(ISNUMBER(Wages!$B487),IF(AND(Wages!$B487&gt;=10000101,Wages!$B487&lt;=99991231),INT(Wages!$B487/10000),""),IFERROR(VALUE(TRIM(LEFT(Wages!$B487,FIND("/",Wages!$B487)-1))),"")))</f>
        <v/>
      </c>
      <c r="D484">
        <f>IF(OR($A484="",$C484=""),"",IF(ISNUMBER(Wages!$B487),INT(MOD(Wages!$B487,10000)/100),IFERROR(VALUE(TRIM(LEFT(MID(Wages!$B487,FIND("/",Wages!$B487)+1,20),FIND("/",MID(Wages!$B487,FIND("/",Wages!$B487)+1,20))-1))),"")))</f>
        <v/>
      </c>
      <c r="E484">
        <f>IF(OR($A484="",$C484=""),"",IF(ISNUMBER(Wages!$B487),MOD(Wages!$B487,100),IFERROR(VALUE(TRIM(MID(MID(Wages!$B487,FIND("/",Wages!$B487)+1,20),FIND("/",MID(Wages!$B487,FIND("/",Wages!$B487)+1,20))+1,20))),"")))</f>
        <v/>
      </c>
      <c r="F484">
        <f>IF($A484="","",IF(OR($C484="",$D484="",$E484="",$C484&lt;1300,$C484&gt;1500,$D484&lt;1,$D484&gt;12,$E484&lt;1,$E484&gt;31),"نامعتبر",RIGHT("0000"&amp;$C484,4)&amp;"/"&amp;RIGHT("00"&amp;$D484,2)&amp;"/"&amp;RIGHT("00"&amp;$E484,2)))</f>
        <v/>
      </c>
      <c r="G484">
        <f>IF(OR($A484="",$F484="",$F484="نامعتبر"),"",LEFT($F484,4)&amp;MID($F484,6,2)&amp;RIGHT($F484,2)&amp;"0000"&amp;"|"&amp;"1"&amp;RIGHT("00000"&amp;479,5))</f>
        <v/>
      </c>
      <c r="H484">
        <f>IF(OR($B484&lt;&gt;1,$G484=""),"",COUNTIFS(LdAParty,$A484,LdAType,1,LdAKey,"&lt;"&amp;$G484)+COUNTIFS(LdBMember,$A484,LdBKey,"&lt;"&amp;$G484)+COUNTIFS(LdCParty,$A484,LdCKey,"&lt;"&amp;$G484)+1)</f>
        <v/>
      </c>
      <c r="I484">
        <f>IF($H484="","",$A484&amp;"|"&amp;RIGHT("000000"&amp;$H484,6))</f>
        <v/>
      </c>
      <c r="J484">
        <f>IF(OR($B484&lt;&gt;2,$G484=""),"",COUNTIFS(LdAParty,$A484,LdAType,2,LdAKey,"&lt;"&amp;$G484)+1)</f>
        <v/>
      </c>
      <c r="K484">
        <f>IF($J484="","",$A484&amp;"|"&amp;RIGHT("000000"&amp;$J484,6))</f>
        <v/>
      </c>
      <c r="L484">
        <f>IF($A484="","",IF(Wages!$G487="",0,Wages!$G487))</f>
        <v/>
      </c>
      <c r="M484">
        <f>IF($A484="","",Wages!$J487)</f>
        <v/>
      </c>
      <c r="N484">
        <f>IF($A484="","",Wages!$D487)</f>
        <v/>
      </c>
      <c r="P484">
        <f>IF(OR(Shares!$B487="",Shares!$C487=""),"",Shares!$C487)</f>
        <v/>
      </c>
      <c r="Q484">
        <f>IF($P484="","",Shares!$B487)</f>
        <v/>
      </c>
      <c r="R484">
        <f>IF($P484="","",IFERROR(INDEX(WageParty,MATCH($Q484,WageIds,0)),""))</f>
        <v/>
      </c>
      <c r="S484">
        <f>IF($P484="","",IFERROR(INDEX($F$6:$F$2005,MATCH($Q484,WageIds,0)),""))</f>
        <v/>
      </c>
      <c r="T484">
        <f>IF(OR($P484="",$S484="",$S484="نامعتبر"),"",LEFT($S484,4)&amp;MID($S484,6,2)&amp;RIGHT($S484,2)&amp;"0000"&amp;"|"&amp;"2"&amp;RIGHT("00000"&amp;479,5))</f>
        <v/>
      </c>
      <c r="U484">
        <f>IF($T484="","",COUNTIFS(LdAParty,$P484,LdAType,1,LdAKey,"&lt;"&amp;$T484)+COUNTIFS(LdBMember,$P484,LdBKey,"&lt;"&amp;$T484)+COUNTIFS(LdCParty,$P484,LdCKey,"&lt;"&amp;$T484)+1)</f>
        <v/>
      </c>
      <c r="V484">
        <f>IF($U484="","",$P484&amp;"|"&amp;RIGHT("000000"&amp;$U484,6))</f>
        <v/>
      </c>
      <c r="W484">
        <f>IF($T484="","",COUNTIFS(LdBGroup,$R484,LdBKey,"&lt;"&amp;$T484)+1)</f>
        <v/>
      </c>
      <c r="X484">
        <f>IF($W484="","",$R484&amp;"|"&amp;RIGHT("000000"&amp;$W484,6))</f>
        <v/>
      </c>
      <c r="Y484">
        <f>IF($P484="","",IF(Shares!$E487="",0,Shares!$E487))</f>
        <v/>
      </c>
      <c r="Z484">
        <f>IF($P484="","",Shares!$H487)</f>
        <v/>
      </c>
      <c r="AE484">
        <f>IF(OR(Sync!$S484="",Sync!$P484=""),"",Sync!$S484)</f>
        <v/>
      </c>
      <c r="AF484">
        <f>IF($AE484="","",IF(ISNUMBER(Sync!$P484),IF(AND(Sync!$P484&gt;=10000101,Sync!$P484&lt;=99991231),INT(Sync!$P484/10000),""),IFERROR(VALUE(TRIM(LEFT(Sync!$P484,FIND("/",Sync!$P484)-1))),"")))</f>
        <v/>
      </c>
      <c r="AG484">
        <f>IF(OR($AE484="",$AF484=""),"",IF(ISNUMBER(Sync!$P484),INT(MOD(Sync!$P484,10000)/100),IFERROR(VALUE(TRIM(LEFT(MID(Sync!$P484,FIND("/",Sync!$P484)+1,20),FIND("/",MID(Sync!$P484,FIND("/",Sync!$P484)+1,20))-1))),"")))</f>
        <v/>
      </c>
      <c r="AH484">
        <f>IF(OR($AE484="",$AF484=""),"",IF(ISNUMBER(Sync!$P484),MOD(Sync!$P484,100),IFERROR(VALUE(TRIM(MID(MID(Sync!$P484,FIND("/",Sync!$P484)+1,20),FIND("/",MID(Sync!$P484,FIND("/",Sync!$P484)+1,20))+1,20))),"")))</f>
        <v/>
      </c>
      <c r="AI484">
        <f>IF($AE484="","",IF(OR($AF484="",$AG484="",$AH484="",$AF484&lt;1300,$AF484&gt;1500,$AG484&lt;1,$AG484&gt;12,$AH484&lt;1,$AH484&gt;31),"نامعتبر",RIGHT("0000"&amp;$AF484,4)&amp;"/"&amp;RIGHT("00"&amp;$AG484,2)&amp;"/"&amp;RIGHT("00"&amp;$AH484,2)))</f>
        <v/>
      </c>
      <c r="AJ484">
        <f>IF($AE484="","",IF(Sync!$Q484="","0000",IF(AND(ISNUMBER(Sync!$Q484),Sync!$Q484&gt;=0,Sync!$Q484&lt;1),RIGHT("00"&amp;HOUR(Sync!$Q484),2)&amp;RIGHT("00"&amp;MINUTE(Sync!$Q484),2),IFERROR(RIGHT("00"&amp;VALUE(LEFT(Sync!$Q484,FIND(":",Sync!$Q484)-1)),2)&amp;RIGHT("00"&amp;VALUE(MID(Sync!$Q484,FIND(":",Sync!$Q484)+1,2)),2),"0000"))))</f>
        <v/>
      </c>
      <c r="AK484">
        <f>IF(OR($AE484="",$AI484="",$AI484="نامعتبر"),"",LEFT($AI484,4)&amp;MID($AI484,6,2)&amp;RIGHT($AI484,2)&amp;$AJ484&amp;"|"&amp;"3"&amp;RIGHT("00000"&amp;479,5))</f>
        <v/>
      </c>
      <c r="AL484">
        <f>IF($AK484="","",COUNTIFS(LdAParty,$AE484,LdAType,1,LdAKey,"&lt;"&amp;$AK484)+COUNTIFS(LdBMember,$AE484,LdBKey,"&lt;"&amp;$AK484)+COUNTIFS(LdCParty,$AE484,LdCKey,"&lt;"&amp;$AK484)+1)</f>
        <v/>
      </c>
      <c r="AM484">
        <f>IF($AL484="","",$AE484&amp;"|"&amp;RIGHT("000000"&amp;$AL484,6))</f>
        <v/>
      </c>
      <c r="AN484">
        <f>IF($AE484="","",IF(Sync!$W484="",0,Sync!$W484))</f>
        <v/>
      </c>
      <c r="AO484">
        <f>IF($AE484="","",IF(Sync!$X484="",0,Sync!$X484))</f>
        <v/>
      </c>
      <c r="AP484">
        <f>IF($AE484="","",Sync!$R484)</f>
        <v/>
      </c>
      <c r="AQ484">
        <f>IF($AE484="","",Sync!$Y484)</f>
        <v/>
      </c>
    </row>
    <row r="485">
      <c r="A485">
        <f>IF(OR(Wages!$B488="",Wages!$E488=""),"",Wages!$E488)</f>
        <v/>
      </c>
      <c r="B485">
        <f>IF($A485="","",IF(Wages!$C488="دستمزد گروهی",2,1))</f>
        <v/>
      </c>
      <c r="C485">
        <f>IF($A485="","",IF(ISNUMBER(Wages!$B488),IF(AND(Wages!$B488&gt;=10000101,Wages!$B488&lt;=99991231),INT(Wages!$B488/10000),""),IFERROR(VALUE(TRIM(LEFT(Wages!$B488,FIND("/",Wages!$B488)-1))),"")))</f>
        <v/>
      </c>
      <c r="D485">
        <f>IF(OR($A485="",$C485=""),"",IF(ISNUMBER(Wages!$B488),INT(MOD(Wages!$B488,10000)/100),IFERROR(VALUE(TRIM(LEFT(MID(Wages!$B488,FIND("/",Wages!$B488)+1,20),FIND("/",MID(Wages!$B488,FIND("/",Wages!$B488)+1,20))-1))),"")))</f>
        <v/>
      </c>
      <c r="E485">
        <f>IF(OR($A485="",$C485=""),"",IF(ISNUMBER(Wages!$B488),MOD(Wages!$B488,100),IFERROR(VALUE(TRIM(MID(MID(Wages!$B488,FIND("/",Wages!$B488)+1,20),FIND("/",MID(Wages!$B488,FIND("/",Wages!$B488)+1,20))+1,20))),"")))</f>
        <v/>
      </c>
      <c r="F485">
        <f>IF($A485="","",IF(OR($C485="",$D485="",$E485="",$C485&lt;1300,$C485&gt;1500,$D485&lt;1,$D485&gt;12,$E485&lt;1,$E485&gt;31),"نامعتبر",RIGHT("0000"&amp;$C485,4)&amp;"/"&amp;RIGHT("00"&amp;$D485,2)&amp;"/"&amp;RIGHT("00"&amp;$E485,2)))</f>
        <v/>
      </c>
      <c r="G485">
        <f>IF(OR($A485="",$F485="",$F485="نامعتبر"),"",LEFT($F485,4)&amp;MID($F485,6,2)&amp;RIGHT($F485,2)&amp;"0000"&amp;"|"&amp;"1"&amp;RIGHT("00000"&amp;480,5))</f>
        <v/>
      </c>
      <c r="H485">
        <f>IF(OR($B485&lt;&gt;1,$G485=""),"",COUNTIFS(LdAParty,$A485,LdAType,1,LdAKey,"&lt;"&amp;$G485)+COUNTIFS(LdBMember,$A485,LdBKey,"&lt;"&amp;$G485)+COUNTIFS(LdCParty,$A485,LdCKey,"&lt;"&amp;$G485)+1)</f>
        <v/>
      </c>
      <c r="I485">
        <f>IF($H485="","",$A485&amp;"|"&amp;RIGHT("000000"&amp;$H485,6))</f>
        <v/>
      </c>
      <c r="J485">
        <f>IF(OR($B485&lt;&gt;2,$G485=""),"",COUNTIFS(LdAParty,$A485,LdAType,2,LdAKey,"&lt;"&amp;$G485)+1)</f>
        <v/>
      </c>
      <c r="K485">
        <f>IF($J485="","",$A485&amp;"|"&amp;RIGHT("000000"&amp;$J485,6))</f>
        <v/>
      </c>
      <c r="L485">
        <f>IF($A485="","",IF(Wages!$G488="",0,Wages!$G488))</f>
        <v/>
      </c>
      <c r="M485">
        <f>IF($A485="","",Wages!$J488)</f>
        <v/>
      </c>
      <c r="N485">
        <f>IF($A485="","",Wages!$D488)</f>
        <v/>
      </c>
      <c r="P485">
        <f>IF(OR(Shares!$B488="",Shares!$C488=""),"",Shares!$C488)</f>
        <v/>
      </c>
      <c r="Q485">
        <f>IF($P485="","",Shares!$B488)</f>
        <v/>
      </c>
      <c r="R485">
        <f>IF($P485="","",IFERROR(INDEX(WageParty,MATCH($Q485,WageIds,0)),""))</f>
        <v/>
      </c>
      <c r="S485">
        <f>IF($P485="","",IFERROR(INDEX($F$6:$F$2005,MATCH($Q485,WageIds,0)),""))</f>
        <v/>
      </c>
      <c r="T485">
        <f>IF(OR($P485="",$S485="",$S485="نامعتبر"),"",LEFT($S485,4)&amp;MID($S485,6,2)&amp;RIGHT($S485,2)&amp;"0000"&amp;"|"&amp;"2"&amp;RIGHT("00000"&amp;480,5))</f>
        <v/>
      </c>
      <c r="U485">
        <f>IF($T485="","",COUNTIFS(LdAParty,$P485,LdAType,1,LdAKey,"&lt;"&amp;$T485)+COUNTIFS(LdBMember,$P485,LdBKey,"&lt;"&amp;$T485)+COUNTIFS(LdCParty,$P485,LdCKey,"&lt;"&amp;$T485)+1)</f>
        <v/>
      </c>
      <c r="V485">
        <f>IF($U485="","",$P485&amp;"|"&amp;RIGHT("000000"&amp;$U485,6))</f>
        <v/>
      </c>
      <c r="W485">
        <f>IF($T485="","",COUNTIFS(LdBGroup,$R485,LdBKey,"&lt;"&amp;$T485)+1)</f>
        <v/>
      </c>
      <c r="X485">
        <f>IF($W485="","",$R485&amp;"|"&amp;RIGHT("000000"&amp;$W485,6))</f>
        <v/>
      </c>
      <c r="Y485">
        <f>IF($P485="","",IF(Shares!$E488="",0,Shares!$E488))</f>
        <v/>
      </c>
      <c r="Z485">
        <f>IF($P485="","",Shares!$H488)</f>
        <v/>
      </c>
      <c r="AE485">
        <f>IF(OR(Sync!$S485="",Sync!$P485=""),"",Sync!$S485)</f>
        <v/>
      </c>
      <c r="AF485">
        <f>IF($AE485="","",IF(ISNUMBER(Sync!$P485),IF(AND(Sync!$P485&gt;=10000101,Sync!$P485&lt;=99991231),INT(Sync!$P485/10000),""),IFERROR(VALUE(TRIM(LEFT(Sync!$P485,FIND("/",Sync!$P485)-1))),"")))</f>
        <v/>
      </c>
      <c r="AG485">
        <f>IF(OR($AE485="",$AF485=""),"",IF(ISNUMBER(Sync!$P485),INT(MOD(Sync!$P485,10000)/100),IFERROR(VALUE(TRIM(LEFT(MID(Sync!$P485,FIND("/",Sync!$P485)+1,20),FIND("/",MID(Sync!$P485,FIND("/",Sync!$P485)+1,20))-1))),"")))</f>
        <v/>
      </c>
      <c r="AH485">
        <f>IF(OR($AE485="",$AF485=""),"",IF(ISNUMBER(Sync!$P485),MOD(Sync!$P485,100),IFERROR(VALUE(TRIM(MID(MID(Sync!$P485,FIND("/",Sync!$P485)+1,20),FIND("/",MID(Sync!$P485,FIND("/",Sync!$P485)+1,20))+1,20))),"")))</f>
        <v/>
      </c>
      <c r="AI485">
        <f>IF($AE485="","",IF(OR($AF485="",$AG485="",$AH485="",$AF485&lt;1300,$AF485&gt;1500,$AG485&lt;1,$AG485&gt;12,$AH485&lt;1,$AH485&gt;31),"نامعتبر",RIGHT("0000"&amp;$AF485,4)&amp;"/"&amp;RIGHT("00"&amp;$AG485,2)&amp;"/"&amp;RIGHT("00"&amp;$AH485,2)))</f>
        <v/>
      </c>
      <c r="AJ485">
        <f>IF($AE485="","",IF(Sync!$Q485="","0000",IF(AND(ISNUMBER(Sync!$Q485),Sync!$Q485&gt;=0,Sync!$Q485&lt;1),RIGHT("00"&amp;HOUR(Sync!$Q485),2)&amp;RIGHT("00"&amp;MINUTE(Sync!$Q485),2),IFERROR(RIGHT("00"&amp;VALUE(LEFT(Sync!$Q485,FIND(":",Sync!$Q485)-1)),2)&amp;RIGHT("00"&amp;VALUE(MID(Sync!$Q485,FIND(":",Sync!$Q485)+1,2)),2),"0000"))))</f>
        <v/>
      </c>
      <c r="AK485">
        <f>IF(OR($AE485="",$AI485="",$AI485="نامعتبر"),"",LEFT($AI485,4)&amp;MID($AI485,6,2)&amp;RIGHT($AI485,2)&amp;$AJ485&amp;"|"&amp;"3"&amp;RIGHT("00000"&amp;480,5))</f>
        <v/>
      </c>
      <c r="AL485">
        <f>IF($AK485="","",COUNTIFS(LdAParty,$AE485,LdAType,1,LdAKey,"&lt;"&amp;$AK485)+COUNTIFS(LdBMember,$AE485,LdBKey,"&lt;"&amp;$AK485)+COUNTIFS(LdCParty,$AE485,LdCKey,"&lt;"&amp;$AK485)+1)</f>
        <v/>
      </c>
      <c r="AM485">
        <f>IF($AL485="","",$AE485&amp;"|"&amp;RIGHT("000000"&amp;$AL485,6))</f>
        <v/>
      </c>
      <c r="AN485">
        <f>IF($AE485="","",IF(Sync!$W485="",0,Sync!$W485))</f>
        <v/>
      </c>
      <c r="AO485">
        <f>IF($AE485="","",IF(Sync!$X485="",0,Sync!$X485))</f>
        <v/>
      </c>
      <c r="AP485">
        <f>IF($AE485="","",Sync!$R485)</f>
        <v/>
      </c>
      <c r="AQ485">
        <f>IF($AE485="","",Sync!$Y485)</f>
        <v/>
      </c>
    </row>
    <row r="486">
      <c r="A486">
        <f>IF(OR(Wages!$B489="",Wages!$E489=""),"",Wages!$E489)</f>
        <v/>
      </c>
      <c r="B486">
        <f>IF($A486="","",IF(Wages!$C489="دستمزد گروهی",2,1))</f>
        <v/>
      </c>
      <c r="C486">
        <f>IF($A486="","",IF(ISNUMBER(Wages!$B489),IF(AND(Wages!$B489&gt;=10000101,Wages!$B489&lt;=99991231),INT(Wages!$B489/10000),""),IFERROR(VALUE(TRIM(LEFT(Wages!$B489,FIND("/",Wages!$B489)-1))),"")))</f>
        <v/>
      </c>
      <c r="D486">
        <f>IF(OR($A486="",$C486=""),"",IF(ISNUMBER(Wages!$B489),INT(MOD(Wages!$B489,10000)/100),IFERROR(VALUE(TRIM(LEFT(MID(Wages!$B489,FIND("/",Wages!$B489)+1,20),FIND("/",MID(Wages!$B489,FIND("/",Wages!$B489)+1,20))-1))),"")))</f>
        <v/>
      </c>
      <c r="E486">
        <f>IF(OR($A486="",$C486=""),"",IF(ISNUMBER(Wages!$B489),MOD(Wages!$B489,100),IFERROR(VALUE(TRIM(MID(MID(Wages!$B489,FIND("/",Wages!$B489)+1,20),FIND("/",MID(Wages!$B489,FIND("/",Wages!$B489)+1,20))+1,20))),"")))</f>
        <v/>
      </c>
      <c r="F486">
        <f>IF($A486="","",IF(OR($C486="",$D486="",$E486="",$C486&lt;1300,$C486&gt;1500,$D486&lt;1,$D486&gt;12,$E486&lt;1,$E486&gt;31),"نامعتبر",RIGHT("0000"&amp;$C486,4)&amp;"/"&amp;RIGHT("00"&amp;$D486,2)&amp;"/"&amp;RIGHT("00"&amp;$E486,2)))</f>
        <v/>
      </c>
      <c r="G486">
        <f>IF(OR($A486="",$F486="",$F486="نامعتبر"),"",LEFT($F486,4)&amp;MID($F486,6,2)&amp;RIGHT($F486,2)&amp;"0000"&amp;"|"&amp;"1"&amp;RIGHT("00000"&amp;481,5))</f>
        <v/>
      </c>
      <c r="H486">
        <f>IF(OR($B486&lt;&gt;1,$G486=""),"",COUNTIFS(LdAParty,$A486,LdAType,1,LdAKey,"&lt;"&amp;$G486)+COUNTIFS(LdBMember,$A486,LdBKey,"&lt;"&amp;$G486)+COUNTIFS(LdCParty,$A486,LdCKey,"&lt;"&amp;$G486)+1)</f>
        <v/>
      </c>
      <c r="I486">
        <f>IF($H486="","",$A486&amp;"|"&amp;RIGHT("000000"&amp;$H486,6))</f>
        <v/>
      </c>
      <c r="J486">
        <f>IF(OR($B486&lt;&gt;2,$G486=""),"",COUNTIFS(LdAParty,$A486,LdAType,2,LdAKey,"&lt;"&amp;$G486)+1)</f>
        <v/>
      </c>
      <c r="K486">
        <f>IF($J486="","",$A486&amp;"|"&amp;RIGHT("000000"&amp;$J486,6))</f>
        <v/>
      </c>
      <c r="L486">
        <f>IF($A486="","",IF(Wages!$G489="",0,Wages!$G489))</f>
        <v/>
      </c>
      <c r="M486">
        <f>IF($A486="","",Wages!$J489)</f>
        <v/>
      </c>
      <c r="N486">
        <f>IF($A486="","",Wages!$D489)</f>
        <v/>
      </c>
      <c r="P486">
        <f>IF(OR(Shares!$B489="",Shares!$C489=""),"",Shares!$C489)</f>
        <v/>
      </c>
      <c r="Q486">
        <f>IF($P486="","",Shares!$B489)</f>
        <v/>
      </c>
      <c r="R486">
        <f>IF($P486="","",IFERROR(INDEX(WageParty,MATCH($Q486,WageIds,0)),""))</f>
        <v/>
      </c>
      <c r="S486">
        <f>IF($P486="","",IFERROR(INDEX($F$6:$F$2005,MATCH($Q486,WageIds,0)),""))</f>
        <v/>
      </c>
      <c r="T486">
        <f>IF(OR($P486="",$S486="",$S486="نامعتبر"),"",LEFT($S486,4)&amp;MID($S486,6,2)&amp;RIGHT($S486,2)&amp;"0000"&amp;"|"&amp;"2"&amp;RIGHT("00000"&amp;481,5))</f>
        <v/>
      </c>
      <c r="U486">
        <f>IF($T486="","",COUNTIFS(LdAParty,$P486,LdAType,1,LdAKey,"&lt;"&amp;$T486)+COUNTIFS(LdBMember,$P486,LdBKey,"&lt;"&amp;$T486)+COUNTIFS(LdCParty,$P486,LdCKey,"&lt;"&amp;$T486)+1)</f>
        <v/>
      </c>
      <c r="V486">
        <f>IF($U486="","",$P486&amp;"|"&amp;RIGHT("000000"&amp;$U486,6))</f>
        <v/>
      </c>
      <c r="W486">
        <f>IF($T486="","",COUNTIFS(LdBGroup,$R486,LdBKey,"&lt;"&amp;$T486)+1)</f>
        <v/>
      </c>
      <c r="X486">
        <f>IF($W486="","",$R486&amp;"|"&amp;RIGHT("000000"&amp;$W486,6))</f>
        <v/>
      </c>
      <c r="Y486">
        <f>IF($P486="","",IF(Shares!$E489="",0,Shares!$E489))</f>
        <v/>
      </c>
      <c r="Z486">
        <f>IF($P486="","",Shares!$H489)</f>
        <v/>
      </c>
      <c r="AE486">
        <f>IF(OR(Sync!$S486="",Sync!$P486=""),"",Sync!$S486)</f>
        <v/>
      </c>
      <c r="AF486">
        <f>IF($AE486="","",IF(ISNUMBER(Sync!$P486),IF(AND(Sync!$P486&gt;=10000101,Sync!$P486&lt;=99991231),INT(Sync!$P486/10000),""),IFERROR(VALUE(TRIM(LEFT(Sync!$P486,FIND("/",Sync!$P486)-1))),"")))</f>
        <v/>
      </c>
      <c r="AG486">
        <f>IF(OR($AE486="",$AF486=""),"",IF(ISNUMBER(Sync!$P486),INT(MOD(Sync!$P486,10000)/100),IFERROR(VALUE(TRIM(LEFT(MID(Sync!$P486,FIND("/",Sync!$P486)+1,20),FIND("/",MID(Sync!$P486,FIND("/",Sync!$P486)+1,20))-1))),"")))</f>
        <v/>
      </c>
      <c r="AH486">
        <f>IF(OR($AE486="",$AF486=""),"",IF(ISNUMBER(Sync!$P486),MOD(Sync!$P486,100),IFERROR(VALUE(TRIM(MID(MID(Sync!$P486,FIND("/",Sync!$P486)+1,20),FIND("/",MID(Sync!$P486,FIND("/",Sync!$P486)+1,20))+1,20))),"")))</f>
        <v/>
      </c>
      <c r="AI486">
        <f>IF($AE486="","",IF(OR($AF486="",$AG486="",$AH486="",$AF486&lt;1300,$AF486&gt;1500,$AG486&lt;1,$AG486&gt;12,$AH486&lt;1,$AH486&gt;31),"نامعتبر",RIGHT("0000"&amp;$AF486,4)&amp;"/"&amp;RIGHT("00"&amp;$AG486,2)&amp;"/"&amp;RIGHT("00"&amp;$AH486,2)))</f>
        <v/>
      </c>
      <c r="AJ486">
        <f>IF($AE486="","",IF(Sync!$Q486="","0000",IF(AND(ISNUMBER(Sync!$Q486),Sync!$Q486&gt;=0,Sync!$Q486&lt;1),RIGHT("00"&amp;HOUR(Sync!$Q486),2)&amp;RIGHT("00"&amp;MINUTE(Sync!$Q486),2),IFERROR(RIGHT("00"&amp;VALUE(LEFT(Sync!$Q486,FIND(":",Sync!$Q486)-1)),2)&amp;RIGHT("00"&amp;VALUE(MID(Sync!$Q486,FIND(":",Sync!$Q486)+1,2)),2),"0000"))))</f>
        <v/>
      </c>
      <c r="AK486">
        <f>IF(OR($AE486="",$AI486="",$AI486="نامعتبر"),"",LEFT($AI486,4)&amp;MID($AI486,6,2)&amp;RIGHT($AI486,2)&amp;$AJ486&amp;"|"&amp;"3"&amp;RIGHT("00000"&amp;481,5))</f>
        <v/>
      </c>
      <c r="AL486">
        <f>IF($AK486="","",COUNTIFS(LdAParty,$AE486,LdAType,1,LdAKey,"&lt;"&amp;$AK486)+COUNTIFS(LdBMember,$AE486,LdBKey,"&lt;"&amp;$AK486)+COUNTIFS(LdCParty,$AE486,LdCKey,"&lt;"&amp;$AK486)+1)</f>
        <v/>
      </c>
      <c r="AM486">
        <f>IF($AL486="","",$AE486&amp;"|"&amp;RIGHT("000000"&amp;$AL486,6))</f>
        <v/>
      </c>
      <c r="AN486">
        <f>IF($AE486="","",IF(Sync!$W486="",0,Sync!$W486))</f>
        <v/>
      </c>
      <c r="AO486">
        <f>IF($AE486="","",IF(Sync!$X486="",0,Sync!$X486))</f>
        <v/>
      </c>
      <c r="AP486">
        <f>IF($AE486="","",Sync!$R486)</f>
        <v/>
      </c>
      <c r="AQ486">
        <f>IF($AE486="","",Sync!$Y486)</f>
        <v/>
      </c>
    </row>
    <row r="487">
      <c r="A487">
        <f>IF(OR(Wages!$B490="",Wages!$E490=""),"",Wages!$E490)</f>
        <v/>
      </c>
      <c r="B487">
        <f>IF($A487="","",IF(Wages!$C490="دستمزد گروهی",2,1))</f>
        <v/>
      </c>
      <c r="C487">
        <f>IF($A487="","",IF(ISNUMBER(Wages!$B490),IF(AND(Wages!$B490&gt;=10000101,Wages!$B490&lt;=99991231),INT(Wages!$B490/10000),""),IFERROR(VALUE(TRIM(LEFT(Wages!$B490,FIND("/",Wages!$B490)-1))),"")))</f>
        <v/>
      </c>
      <c r="D487">
        <f>IF(OR($A487="",$C487=""),"",IF(ISNUMBER(Wages!$B490),INT(MOD(Wages!$B490,10000)/100),IFERROR(VALUE(TRIM(LEFT(MID(Wages!$B490,FIND("/",Wages!$B490)+1,20),FIND("/",MID(Wages!$B490,FIND("/",Wages!$B490)+1,20))-1))),"")))</f>
        <v/>
      </c>
      <c r="E487">
        <f>IF(OR($A487="",$C487=""),"",IF(ISNUMBER(Wages!$B490),MOD(Wages!$B490,100),IFERROR(VALUE(TRIM(MID(MID(Wages!$B490,FIND("/",Wages!$B490)+1,20),FIND("/",MID(Wages!$B490,FIND("/",Wages!$B490)+1,20))+1,20))),"")))</f>
        <v/>
      </c>
      <c r="F487">
        <f>IF($A487="","",IF(OR($C487="",$D487="",$E487="",$C487&lt;1300,$C487&gt;1500,$D487&lt;1,$D487&gt;12,$E487&lt;1,$E487&gt;31),"نامعتبر",RIGHT("0000"&amp;$C487,4)&amp;"/"&amp;RIGHT("00"&amp;$D487,2)&amp;"/"&amp;RIGHT("00"&amp;$E487,2)))</f>
        <v/>
      </c>
      <c r="G487">
        <f>IF(OR($A487="",$F487="",$F487="نامعتبر"),"",LEFT($F487,4)&amp;MID($F487,6,2)&amp;RIGHT($F487,2)&amp;"0000"&amp;"|"&amp;"1"&amp;RIGHT("00000"&amp;482,5))</f>
        <v/>
      </c>
      <c r="H487">
        <f>IF(OR($B487&lt;&gt;1,$G487=""),"",COUNTIFS(LdAParty,$A487,LdAType,1,LdAKey,"&lt;"&amp;$G487)+COUNTIFS(LdBMember,$A487,LdBKey,"&lt;"&amp;$G487)+COUNTIFS(LdCParty,$A487,LdCKey,"&lt;"&amp;$G487)+1)</f>
        <v/>
      </c>
      <c r="I487">
        <f>IF($H487="","",$A487&amp;"|"&amp;RIGHT("000000"&amp;$H487,6))</f>
        <v/>
      </c>
      <c r="J487">
        <f>IF(OR($B487&lt;&gt;2,$G487=""),"",COUNTIFS(LdAParty,$A487,LdAType,2,LdAKey,"&lt;"&amp;$G487)+1)</f>
        <v/>
      </c>
      <c r="K487">
        <f>IF($J487="","",$A487&amp;"|"&amp;RIGHT("000000"&amp;$J487,6))</f>
        <v/>
      </c>
      <c r="L487">
        <f>IF($A487="","",IF(Wages!$G490="",0,Wages!$G490))</f>
        <v/>
      </c>
      <c r="M487">
        <f>IF($A487="","",Wages!$J490)</f>
        <v/>
      </c>
      <c r="N487">
        <f>IF($A487="","",Wages!$D490)</f>
        <v/>
      </c>
      <c r="P487">
        <f>IF(OR(Shares!$B490="",Shares!$C490=""),"",Shares!$C490)</f>
        <v/>
      </c>
      <c r="Q487">
        <f>IF($P487="","",Shares!$B490)</f>
        <v/>
      </c>
      <c r="R487">
        <f>IF($P487="","",IFERROR(INDEX(WageParty,MATCH($Q487,WageIds,0)),""))</f>
        <v/>
      </c>
      <c r="S487">
        <f>IF($P487="","",IFERROR(INDEX($F$6:$F$2005,MATCH($Q487,WageIds,0)),""))</f>
        <v/>
      </c>
      <c r="T487">
        <f>IF(OR($P487="",$S487="",$S487="نامعتبر"),"",LEFT($S487,4)&amp;MID($S487,6,2)&amp;RIGHT($S487,2)&amp;"0000"&amp;"|"&amp;"2"&amp;RIGHT("00000"&amp;482,5))</f>
        <v/>
      </c>
      <c r="U487">
        <f>IF($T487="","",COUNTIFS(LdAParty,$P487,LdAType,1,LdAKey,"&lt;"&amp;$T487)+COUNTIFS(LdBMember,$P487,LdBKey,"&lt;"&amp;$T487)+COUNTIFS(LdCParty,$P487,LdCKey,"&lt;"&amp;$T487)+1)</f>
        <v/>
      </c>
      <c r="V487">
        <f>IF($U487="","",$P487&amp;"|"&amp;RIGHT("000000"&amp;$U487,6))</f>
        <v/>
      </c>
      <c r="W487">
        <f>IF($T487="","",COUNTIFS(LdBGroup,$R487,LdBKey,"&lt;"&amp;$T487)+1)</f>
        <v/>
      </c>
      <c r="X487">
        <f>IF($W487="","",$R487&amp;"|"&amp;RIGHT("000000"&amp;$W487,6))</f>
        <v/>
      </c>
      <c r="Y487">
        <f>IF($P487="","",IF(Shares!$E490="",0,Shares!$E490))</f>
        <v/>
      </c>
      <c r="Z487">
        <f>IF($P487="","",Shares!$H490)</f>
        <v/>
      </c>
      <c r="AE487">
        <f>IF(OR(Sync!$S487="",Sync!$P487=""),"",Sync!$S487)</f>
        <v/>
      </c>
      <c r="AF487">
        <f>IF($AE487="","",IF(ISNUMBER(Sync!$P487),IF(AND(Sync!$P487&gt;=10000101,Sync!$P487&lt;=99991231),INT(Sync!$P487/10000),""),IFERROR(VALUE(TRIM(LEFT(Sync!$P487,FIND("/",Sync!$P487)-1))),"")))</f>
        <v/>
      </c>
      <c r="AG487">
        <f>IF(OR($AE487="",$AF487=""),"",IF(ISNUMBER(Sync!$P487),INT(MOD(Sync!$P487,10000)/100),IFERROR(VALUE(TRIM(LEFT(MID(Sync!$P487,FIND("/",Sync!$P487)+1,20),FIND("/",MID(Sync!$P487,FIND("/",Sync!$P487)+1,20))-1))),"")))</f>
        <v/>
      </c>
      <c r="AH487">
        <f>IF(OR($AE487="",$AF487=""),"",IF(ISNUMBER(Sync!$P487),MOD(Sync!$P487,100),IFERROR(VALUE(TRIM(MID(MID(Sync!$P487,FIND("/",Sync!$P487)+1,20),FIND("/",MID(Sync!$P487,FIND("/",Sync!$P487)+1,20))+1,20))),"")))</f>
        <v/>
      </c>
      <c r="AI487">
        <f>IF($AE487="","",IF(OR($AF487="",$AG487="",$AH487="",$AF487&lt;1300,$AF487&gt;1500,$AG487&lt;1,$AG487&gt;12,$AH487&lt;1,$AH487&gt;31),"نامعتبر",RIGHT("0000"&amp;$AF487,4)&amp;"/"&amp;RIGHT("00"&amp;$AG487,2)&amp;"/"&amp;RIGHT("00"&amp;$AH487,2)))</f>
        <v/>
      </c>
      <c r="AJ487">
        <f>IF($AE487="","",IF(Sync!$Q487="","0000",IF(AND(ISNUMBER(Sync!$Q487),Sync!$Q487&gt;=0,Sync!$Q487&lt;1),RIGHT("00"&amp;HOUR(Sync!$Q487),2)&amp;RIGHT("00"&amp;MINUTE(Sync!$Q487),2),IFERROR(RIGHT("00"&amp;VALUE(LEFT(Sync!$Q487,FIND(":",Sync!$Q487)-1)),2)&amp;RIGHT("00"&amp;VALUE(MID(Sync!$Q487,FIND(":",Sync!$Q487)+1,2)),2),"0000"))))</f>
        <v/>
      </c>
      <c r="AK487">
        <f>IF(OR($AE487="",$AI487="",$AI487="نامعتبر"),"",LEFT($AI487,4)&amp;MID($AI487,6,2)&amp;RIGHT($AI487,2)&amp;$AJ487&amp;"|"&amp;"3"&amp;RIGHT("00000"&amp;482,5))</f>
        <v/>
      </c>
      <c r="AL487">
        <f>IF($AK487="","",COUNTIFS(LdAParty,$AE487,LdAType,1,LdAKey,"&lt;"&amp;$AK487)+COUNTIFS(LdBMember,$AE487,LdBKey,"&lt;"&amp;$AK487)+COUNTIFS(LdCParty,$AE487,LdCKey,"&lt;"&amp;$AK487)+1)</f>
        <v/>
      </c>
      <c r="AM487">
        <f>IF($AL487="","",$AE487&amp;"|"&amp;RIGHT("000000"&amp;$AL487,6))</f>
        <v/>
      </c>
      <c r="AN487">
        <f>IF($AE487="","",IF(Sync!$W487="",0,Sync!$W487))</f>
        <v/>
      </c>
      <c r="AO487">
        <f>IF($AE487="","",IF(Sync!$X487="",0,Sync!$X487))</f>
        <v/>
      </c>
      <c r="AP487">
        <f>IF($AE487="","",Sync!$R487)</f>
        <v/>
      </c>
      <c r="AQ487">
        <f>IF($AE487="","",Sync!$Y487)</f>
        <v/>
      </c>
    </row>
    <row r="488">
      <c r="A488">
        <f>IF(OR(Wages!$B491="",Wages!$E491=""),"",Wages!$E491)</f>
        <v/>
      </c>
      <c r="B488">
        <f>IF($A488="","",IF(Wages!$C491="دستمزد گروهی",2,1))</f>
        <v/>
      </c>
      <c r="C488">
        <f>IF($A488="","",IF(ISNUMBER(Wages!$B491),IF(AND(Wages!$B491&gt;=10000101,Wages!$B491&lt;=99991231),INT(Wages!$B491/10000),""),IFERROR(VALUE(TRIM(LEFT(Wages!$B491,FIND("/",Wages!$B491)-1))),"")))</f>
        <v/>
      </c>
      <c r="D488">
        <f>IF(OR($A488="",$C488=""),"",IF(ISNUMBER(Wages!$B491),INT(MOD(Wages!$B491,10000)/100),IFERROR(VALUE(TRIM(LEFT(MID(Wages!$B491,FIND("/",Wages!$B491)+1,20),FIND("/",MID(Wages!$B491,FIND("/",Wages!$B491)+1,20))-1))),"")))</f>
        <v/>
      </c>
      <c r="E488">
        <f>IF(OR($A488="",$C488=""),"",IF(ISNUMBER(Wages!$B491),MOD(Wages!$B491,100),IFERROR(VALUE(TRIM(MID(MID(Wages!$B491,FIND("/",Wages!$B491)+1,20),FIND("/",MID(Wages!$B491,FIND("/",Wages!$B491)+1,20))+1,20))),"")))</f>
        <v/>
      </c>
      <c r="F488">
        <f>IF($A488="","",IF(OR($C488="",$D488="",$E488="",$C488&lt;1300,$C488&gt;1500,$D488&lt;1,$D488&gt;12,$E488&lt;1,$E488&gt;31),"نامعتبر",RIGHT("0000"&amp;$C488,4)&amp;"/"&amp;RIGHT("00"&amp;$D488,2)&amp;"/"&amp;RIGHT("00"&amp;$E488,2)))</f>
        <v/>
      </c>
      <c r="G488">
        <f>IF(OR($A488="",$F488="",$F488="نامعتبر"),"",LEFT($F488,4)&amp;MID($F488,6,2)&amp;RIGHT($F488,2)&amp;"0000"&amp;"|"&amp;"1"&amp;RIGHT("00000"&amp;483,5))</f>
        <v/>
      </c>
      <c r="H488">
        <f>IF(OR($B488&lt;&gt;1,$G488=""),"",COUNTIFS(LdAParty,$A488,LdAType,1,LdAKey,"&lt;"&amp;$G488)+COUNTIFS(LdBMember,$A488,LdBKey,"&lt;"&amp;$G488)+COUNTIFS(LdCParty,$A488,LdCKey,"&lt;"&amp;$G488)+1)</f>
        <v/>
      </c>
      <c r="I488">
        <f>IF($H488="","",$A488&amp;"|"&amp;RIGHT("000000"&amp;$H488,6))</f>
        <v/>
      </c>
      <c r="J488">
        <f>IF(OR($B488&lt;&gt;2,$G488=""),"",COUNTIFS(LdAParty,$A488,LdAType,2,LdAKey,"&lt;"&amp;$G488)+1)</f>
        <v/>
      </c>
      <c r="K488">
        <f>IF($J488="","",$A488&amp;"|"&amp;RIGHT("000000"&amp;$J488,6))</f>
        <v/>
      </c>
      <c r="L488">
        <f>IF($A488="","",IF(Wages!$G491="",0,Wages!$G491))</f>
        <v/>
      </c>
      <c r="M488">
        <f>IF($A488="","",Wages!$J491)</f>
        <v/>
      </c>
      <c r="N488">
        <f>IF($A488="","",Wages!$D491)</f>
        <v/>
      </c>
      <c r="P488">
        <f>IF(OR(Shares!$B491="",Shares!$C491=""),"",Shares!$C491)</f>
        <v/>
      </c>
      <c r="Q488">
        <f>IF($P488="","",Shares!$B491)</f>
        <v/>
      </c>
      <c r="R488">
        <f>IF($P488="","",IFERROR(INDEX(WageParty,MATCH($Q488,WageIds,0)),""))</f>
        <v/>
      </c>
      <c r="S488">
        <f>IF($P488="","",IFERROR(INDEX($F$6:$F$2005,MATCH($Q488,WageIds,0)),""))</f>
        <v/>
      </c>
      <c r="T488">
        <f>IF(OR($P488="",$S488="",$S488="نامعتبر"),"",LEFT($S488,4)&amp;MID($S488,6,2)&amp;RIGHT($S488,2)&amp;"0000"&amp;"|"&amp;"2"&amp;RIGHT("00000"&amp;483,5))</f>
        <v/>
      </c>
      <c r="U488">
        <f>IF($T488="","",COUNTIFS(LdAParty,$P488,LdAType,1,LdAKey,"&lt;"&amp;$T488)+COUNTIFS(LdBMember,$P488,LdBKey,"&lt;"&amp;$T488)+COUNTIFS(LdCParty,$P488,LdCKey,"&lt;"&amp;$T488)+1)</f>
        <v/>
      </c>
      <c r="V488">
        <f>IF($U488="","",$P488&amp;"|"&amp;RIGHT("000000"&amp;$U488,6))</f>
        <v/>
      </c>
      <c r="W488">
        <f>IF($T488="","",COUNTIFS(LdBGroup,$R488,LdBKey,"&lt;"&amp;$T488)+1)</f>
        <v/>
      </c>
      <c r="X488">
        <f>IF($W488="","",$R488&amp;"|"&amp;RIGHT("000000"&amp;$W488,6))</f>
        <v/>
      </c>
      <c r="Y488">
        <f>IF($P488="","",IF(Shares!$E491="",0,Shares!$E491))</f>
        <v/>
      </c>
      <c r="Z488">
        <f>IF($P488="","",Shares!$H491)</f>
        <v/>
      </c>
      <c r="AE488">
        <f>IF(OR(Sync!$S488="",Sync!$P488=""),"",Sync!$S488)</f>
        <v/>
      </c>
      <c r="AF488">
        <f>IF($AE488="","",IF(ISNUMBER(Sync!$P488),IF(AND(Sync!$P488&gt;=10000101,Sync!$P488&lt;=99991231),INT(Sync!$P488/10000),""),IFERROR(VALUE(TRIM(LEFT(Sync!$P488,FIND("/",Sync!$P488)-1))),"")))</f>
        <v/>
      </c>
      <c r="AG488">
        <f>IF(OR($AE488="",$AF488=""),"",IF(ISNUMBER(Sync!$P488),INT(MOD(Sync!$P488,10000)/100),IFERROR(VALUE(TRIM(LEFT(MID(Sync!$P488,FIND("/",Sync!$P488)+1,20),FIND("/",MID(Sync!$P488,FIND("/",Sync!$P488)+1,20))-1))),"")))</f>
        <v/>
      </c>
      <c r="AH488">
        <f>IF(OR($AE488="",$AF488=""),"",IF(ISNUMBER(Sync!$P488),MOD(Sync!$P488,100),IFERROR(VALUE(TRIM(MID(MID(Sync!$P488,FIND("/",Sync!$P488)+1,20),FIND("/",MID(Sync!$P488,FIND("/",Sync!$P488)+1,20))+1,20))),"")))</f>
        <v/>
      </c>
      <c r="AI488">
        <f>IF($AE488="","",IF(OR($AF488="",$AG488="",$AH488="",$AF488&lt;1300,$AF488&gt;1500,$AG488&lt;1,$AG488&gt;12,$AH488&lt;1,$AH488&gt;31),"نامعتبر",RIGHT("0000"&amp;$AF488,4)&amp;"/"&amp;RIGHT("00"&amp;$AG488,2)&amp;"/"&amp;RIGHT("00"&amp;$AH488,2)))</f>
        <v/>
      </c>
      <c r="AJ488">
        <f>IF($AE488="","",IF(Sync!$Q488="","0000",IF(AND(ISNUMBER(Sync!$Q488),Sync!$Q488&gt;=0,Sync!$Q488&lt;1),RIGHT("00"&amp;HOUR(Sync!$Q488),2)&amp;RIGHT("00"&amp;MINUTE(Sync!$Q488),2),IFERROR(RIGHT("00"&amp;VALUE(LEFT(Sync!$Q488,FIND(":",Sync!$Q488)-1)),2)&amp;RIGHT("00"&amp;VALUE(MID(Sync!$Q488,FIND(":",Sync!$Q488)+1,2)),2),"0000"))))</f>
        <v/>
      </c>
      <c r="AK488">
        <f>IF(OR($AE488="",$AI488="",$AI488="نامعتبر"),"",LEFT($AI488,4)&amp;MID($AI488,6,2)&amp;RIGHT($AI488,2)&amp;$AJ488&amp;"|"&amp;"3"&amp;RIGHT("00000"&amp;483,5))</f>
        <v/>
      </c>
      <c r="AL488">
        <f>IF($AK488="","",COUNTIFS(LdAParty,$AE488,LdAType,1,LdAKey,"&lt;"&amp;$AK488)+COUNTIFS(LdBMember,$AE488,LdBKey,"&lt;"&amp;$AK488)+COUNTIFS(LdCParty,$AE488,LdCKey,"&lt;"&amp;$AK488)+1)</f>
        <v/>
      </c>
      <c r="AM488">
        <f>IF($AL488="","",$AE488&amp;"|"&amp;RIGHT("000000"&amp;$AL488,6))</f>
        <v/>
      </c>
      <c r="AN488">
        <f>IF($AE488="","",IF(Sync!$W488="",0,Sync!$W488))</f>
        <v/>
      </c>
      <c r="AO488">
        <f>IF($AE488="","",IF(Sync!$X488="",0,Sync!$X488))</f>
        <v/>
      </c>
      <c r="AP488">
        <f>IF($AE488="","",Sync!$R488)</f>
        <v/>
      </c>
      <c r="AQ488">
        <f>IF($AE488="","",Sync!$Y488)</f>
        <v/>
      </c>
    </row>
    <row r="489">
      <c r="A489">
        <f>IF(OR(Wages!$B492="",Wages!$E492=""),"",Wages!$E492)</f>
        <v/>
      </c>
      <c r="B489">
        <f>IF($A489="","",IF(Wages!$C492="دستمزد گروهی",2,1))</f>
        <v/>
      </c>
      <c r="C489">
        <f>IF($A489="","",IF(ISNUMBER(Wages!$B492),IF(AND(Wages!$B492&gt;=10000101,Wages!$B492&lt;=99991231),INT(Wages!$B492/10000),""),IFERROR(VALUE(TRIM(LEFT(Wages!$B492,FIND("/",Wages!$B492)-1))),"")))</f>
        <v/>
      </c>
      <c r="D489">
        <f>IF(OR($A489="",$C489=""),"",IF(ISNUMBER(Wages!$B492),INT(MOD(Wages!$B492,10000)/100),IFERROR(VALUE(TRIM(LEFT(MID(Wages!$B492,FIND("/",Wages!$B492)+1,20),FIND("/",MID(Wages!$B492,FIND("/",Wages!$B492)+1,20))-1))),"")))</f>
        <v/>
      </c>
      <c r="E489">
        <f>IF(OR($A489="",$C489=""),"",IF(ISNUMBER(Wages!$B492),MOD(Wages!$B492,100),IFERROR(VALUE(TRIM(MID(MID(Wages!$B492,FIND("/",Wages!$B492)+1,20),FIND("/",MID(Wages!$B492,FIND("/",Wages!$B492)+1,20))+1,20))),"")))</f>
        <v/>
      </c>
      <c r="F489">
        <f>IF($A489="","",IF(OR($C489="",$D489="",$E489="",$C489&lt;1300,$C489&gt;1500,$D489&lt;1,$D489&gt;12,$E489&lt;1,$E489&gt;31),"نامعتبر",RIGHT("0000"&amp;$C489,4)&amp;"/"&amp;RIGHT("00"&amp;$D489,2)&amp;"/"&amp;RIGHT("00"&amp;$E489,2)))</f>
        <v/>
      </c>
      <c r="G489">
        <f>IF(OR($A489="",$F489="",$F489="نامعتبر"),"",LEFT($F489,4)&amp;MID($F489,6,2)&amp;RIGHT($F489,2)&amp;"0000"&amp;"|"&amp;"1"&amp;RIGHT("00000"&amp;484,5))</f>
        <v/>
      </c>
      <c r="H489">
        <f>IF(OR($B489&lt;&gt;1,$G489=""),"",COUNTIFS(LdAParty,$A489,LdAType,1,LdAKey,"&lt;"&amp;$G489)+COUNTIFS(LdBMember,$A489,LdBKey,"&lt;"&amp;$G489)+COUNTIFS(LdCParty,$A489,LdCKey,"&lt;"&amp;$G489)+1)</f>
        <v/>
      </c>
      <c r="I489">
        <f>IF($H489="","",$A489&amp;"|"&amp;RIGHT("000000"&amp;$H489,6))</f>
        <v/>
      </c>
      <c r="J489">
        <f>IF(OR($B489&lt;&gt;2,$G489=""),"",COUNTIFS(LdAParty,$A489,LdAType,2,LdAKey,"&lt;"&amp;$G489)+1)</f>
        <v/>
      </c>
      <c r="K489">
        <f>IF($J489="","",$A489&amp;"|"&amp;RIGHT("000000"&amp;$J489,6))</f>
        <v/>
      </c>
      <c r="L489">
        <f>IF($A489="","",IF(Wages!$G492="",0,Wages!$G492))</f>
        <v/>
      </c>
      <c r="M489">
        <f>IF($A489="","",Wages!$J492)</f>
        <v/>
      </c>
      <c r="N489">
        <f>IF($A489="","",Wages!$D492)</f>
        <v/>
      </c>
      <c r="P489">
        <f>IF(OR(Shares!$B492="",Shares!$C492=""),"",Shares!$C492)</f>
        <v/>
      </c>
      <c r="Q489">
        <f>IF($P489="","",Shares!$B492)</f>
        <v/>
      </c>
      <c r="R489">
        <f>IF($P489="","",IFERROR(INDEX(WageParty,MATCH($Q489,WageIds,0)),""))</f>
        <v/>
      </c>
      <c r="S489">
        <f>IF($P489="","",IFERROR(INDEX($F$6:$F$2005,MATCH($Q489,WageIds,0)),""))</f>
        <v/>
      </c>
      <c r="T489">
        <f>IF(OR($P489="",$S489="",$S489="نامعتبر"),"",LEFT($S489,4)&amp;MID($S489,6,2)&amp;RIGHT($S489,2)&amp;"0000"&amp;"|"&amp;"2"&amp;RIGHT("00000"&amp;484,5))</f>
        <v/>
      </c>
      <c r="U489">
        <f>IF($T489="","",COUNTIFS(LdAParty,$P489,LdAType,1,LdAKey,"&lt;"&amp;$T489)+COUNTIFS(LdBMember,$P489,LdBKey,"&lt;"&amp;$T489)+COUNTIFS(LdCParty,$P489,LdCKey,"&lt;"&amp;$T489)+1)</f>
        <v/>
      </c>
      <c r="V489">
        <f>IF($U489="","",$P489&amp;"|"&amp;RIGHT("000000"&amp;$U489,6))</f>
        <v/>
      </c>
      <c r="W489">
        <f>IF($T489="","",COUNTIFS(LdBGroup,$R489,LdBKey,"&lt;"&amp;$T489)+1)</f>
        <v/>
      </c>
      <c r="X489">
        <f>IF($W489="","",$R489&amp;"|"&amp;RIGHT("000000"&amp;$W489,6))</f>
        <v/>
      </c>
      <c r="Y489">
        <f>IF($P489="","",IF(Shares!$E492="",0,Shares!$E492))</f>
        <v/>
      </c>
      <c r="Z489">
        <f>IF($P489="","",Shares!$H492)</f>
        <v/>
      </c>
      <c r="AE489">
        <f>IF(OR(Sync!$S489="",Sync!$P489=""),"",Sync!$S489)</f>
        <v/>
      </c>
      <c r="AF489">
        <f>IF($AE489="","",IF(ISNUMBER(Sync!$P489),IF(AND(Sync!$P489&gt;=10000101,Sync!$P489&lt;=99991231),INT(Sync!$P489/10000),""),IFERROR(VALUE(TRIM(LEFT(Sync!$P489,FIND("/",Sync!$P489)-1))),"")))</f>
        <v/>
      </c>
      <c r="AG489">
        <f>IF(OR($AE489="",$AF489=""),"",IF(ISNUMBER(Sync!$P489),INT(MOD(Sync!$P489,10000)/100),IFERROR(VALUE(TRIM(LEFT(MID(Sync!$P489,FIND("/",Sync!$P489)+1,20),FIND("/",MID(Sync!$P489,FIND("/",Sync!$P489)+1,20))-1))),"")))</f>
        <v/>
      </c>
      <c r="AH489">
        <f>IF(OR($AE489="",$AF489=""),"",IF(ISNUMBER(Sync!$P489),MOD(Sync!$P489,100),IFERROR(VALUE(TRIM(MID(MID(Sync!$P489,FIND("/",Sync!$P489)+1,20),FIND("/",MID(Sync!$P489,FIND("/",Sync!$P489)+1,20))+1,20))),"")))</f>
        <v/>
      </c>
      <c r="AI489">
        <f>IF($AE489="","",IF(OR($AF489="",$AG489="",$AH489="",$AF489&lt;1300,$AF489&gt;1500,$AG489&lt;1,$AG489&gt;12,$AH489&lt;1,$AH489&gt;31),"نامعتبر",RIGHT("0000"&amp;$AF489,4)&amp;"/"&amp;RIGHT("00"&amp;$AG489,2)&amp;"/"&amp;RIGHT("00"&amp;$AH489,2)))</f>
        <v/>
      </c>
      <c r="AJ489">
        <f>IF($AE489="","",IF(Sync!$Q489="","0000",IF(AND(ISNUMBER(Sync!$Q489),Sync!$Q489&gt;=0,Sync!$Q489&lt;1),RIGHT("00"&amp;HOUR(Sync!$Q489),2)&amp;RIGHT("00"&amp;MINUTE(Sync!$Q489),2),IFERROR(RIGHT("00"&amp;VALUE(LEFT(Sync!$Q489,FIND(":",Sync!$Q489)-1)),2)&amp;RIGHT("00"&amp;VALUE(MID(Sync!$Q489,FIND(":",Sync!$Q489)+1,2)),2),"0000"))))</f>
        <v/>
      </c>
      <c r="AK489">
        <f>IF(OR($AE489="",$AI489="",$AI489="نامعتبر"),"",LEFT($AI489,4)&amp;MID($AI489,6,2)&amp;RIGHT($AI489,2)&amp;$AJ489&amp;"|"&amp;"3"&amp;RIGHT("00000"&amp;484,5))</f>
        <v/>
      </c>
      <c r="AL489">
        <f>IF($AK489="","",COUNTIFS(LdAParty,$AE489,LdAType,1,LdAKey,"&lt;"&amp;$AK489)+COUNTIFS(LdBMember,$AE489,LdBKey,"&lt;"&amp;$AK489)+COUNTIFS(LdCParty,$AE489,LdCKey,"&lt;"&amp;$AK489)+1)</f>
        <v/>
      </c>
      <c r="AM489">
        <f>IF($AL489="","",$AE489&amp;"|"&amp;RIGHT("000000"&amp;$AL489,6))</f>
        <v/>
      </c>
      <c r="AN489">
        <f>IF($AE489="","",IF(Sync!$W489="",0,Sync!$W489))</f>
        <v/>
      </c>
      <c r="AO489">
        <f>IF($AE489="","",IF(Sync!$X489="",0,Sync!$X489))</f>
        <v/>
      </c>
      <c r="AP489">
        <f>IF($AE489="","",Sync!$R489)</f>
        <v/>
      </c>
      <c r="AQ489">
        <f>IF($AE489="","",Sync!$Y489)</f>
        <v/>
      </c>
    </row>
    <row r="490">
      <c r="A490">
        <f>IF(OR(Wages!$B493="",Wages!$E493=""),"",Wages!$E493)</f>
        <v/>
      </c>
      <c r="B490">
        <f>IF($A490="","",IF(Wages!$C493="دستمزد گروهی",2,1))</f>
        <v/>
      </c>
      <c r="C490">
        <f>IF($A490="","",IF(ISNUMBER(Wages!$B493),IF(AND(Wages!$B493&gt;=10000101,Wages!$B493&lt;=99991231),INT(Wages!$B493/10000),""),IFERROR(VALUE(TRIM(LEFT(Wages!$B493,FIND("/",Wages!$B493)-1))),"")))</f>
        <v/>
      </c>
      <c r="D490">
        <f>IF(OR($A490="",$C490=""),"",IF(ISNUMBER(Wages!$B493),INT(MOD(Wages!$B493,10000)/100),IFERROR(VALUE(TRIM(LEFT(MID(Wages!$B493,FIND("/",Wages!$B493)+1,20),FIND("/",MID(Wages!$B493,FIND("/",Wages!$B493)+1,20))-1))),"")))</f>
        <v/>
      </c>
      <c r="E490">
        <f>IF(OR($A490="",$C490=""),"",IF(ISNUMBER(Wages!$B493),MOD(Wages!$B493,100),IFERROR(VALUE(TRIM(MID(MID(Wages!$B493,FIND("/",Wages!$B493)+1,20),FIND("/",MID(Wages!$B493,FIND("/",Wages!$B493)+1,20))+1,20))),"")))</f>
        <v/>
      </c>
      <c r="F490">
        <f>IF($A490="","",IF(OR($C490="",$D490="",$E490="",$C490&lt;1300,$C490&gt;1500,$D490&lt;1,$D490&gt;12,$E490&lt;1,$E490&gt;31),"نامعتبر",RIGHT("0000"&amp;$C490,4)&amp;"/"&amp;RIGHT("00"&amp;$D490,2)&amp;"/"&amp;RIGHT("00"&amp;$E490,2)))</f>
        <v/>
      </c>
      <c r="G490">
        <f>IF(OR($A490="",$F490="",$F490="نامعتبر"),"",LEFT($F490,4)&amp;MID($F490,6,2)&amp;RIGHT($F490,2)&amp;"0000"&amp;"|"&amp;"1"&amp;RIGHT("00000"&amp;485,5))</f>
        <v/>
      </c>
      <c r="H490">
        <f>IF(OR($B490&lt;&gt;1,$G490=""),"",COUNTIFS(LdAParty,$A490,LdAType,1,LdAKey,"&lt;"&amp;$G490)+COUNTIFS(LdBMember,$A490,LdBKey,"&lt;"&amp;$G490)+COUNTIFS(LdCParty,$A490,LdCKey,"&lt;"&amp;$G490)+1)</f>
        <v/>
      </c>
      <c r="I490">
        <f>IF($H490="","",$A490&amp;"|"&amp;RIGHT("000000"&amp;$H490,6))</f>
        <v/>
      </c>
      <c r="J490">
        <f>IF(OR($B490&lt;&gt;2,$G490=""),"",COUNTIFS(LdAParty,$A490,LdAType,2,LdAKey,"&lt;"&amp;$G490)+1)</f>
        <v/>
      </c>
      <c r="K490">
        <f>IF($J490="","",$A490&amp;"|"&amp;RIGHT("000000"&amp;$J490,6))</f>
        <v/>
      </c>
      <c r="L490">
        <f>IF($A490="","",IF(Wages!$G493="",0,Wages!$G493))</f>
        <v/>
      </c>
      <c r="M490">
        <f>IF($A490="","",Wages!$J493)</f>
        <v/>
      </c>
      <c r="N490">
        <f>IF($A490="","",Wages!$D493)</f>
        <v/>
      </c>
      <c r="P490">
        <f>IF(OR(Shares!$B493="",Shares!$C493=""),"",Shares!$C493)</f>
        <v/>
      </c>
      <c r="Q490">
        <f>IF($P490="","",Shares!$B493)</f>
        <v/>
      </c>
      <c r="R490">
        <f>IF($P490="","",IFERROR(INDEX(WageParty,MATCH($Q490,WageIds,0)),""))</f>
        <v/>
      </c>
      <c r="S490">
        <f>IF($P490="","",IFERROR(INDEX($F$6:$F$2005,MATCH($Q490,WageIds,0)),""))</f>
        <v/>
      </c>
      <c r="T490">
        <f>IF(OR($P490="",$S490="",$S490="نامعتبر"),"",LEFT($S490,4)&amp;MID($S490,6,2)&amp;RIGHT($S490,2)&amp;"0000"&amp;"|"&amp;"2"&amp;RIGHT("00000"&amp;485,5))</f>
        <v/>
      </c>
      <c r="U490">
        <f>IF($T490="","",COUNTIFS(LdAParty,$P490,LdAType,1,LdAKey,"&lt;"&amp;$T490)+COUNTIFS(LdBMember,$P490,LdBKey,"&lt;"&amp;$T490)+COUNTIFS(LdCParty,$P490,LdCKey,"&lt;"&amp;$T490)+1)</f>
        <v/>
      </c>
      <c r="V490">
        <f>IF($U490="","",$P490&amp;"|"&amp;RIGHT("000000"&amp;$U490,6))</f>
        <v/>
      </c>
      <c r="W490">
        <f>IF($T490="","",COUNTIFS(LdBGroup,$R490,LdBKey,"&lt;"&amp;$T490)+1)</f>
        <v/>
      </c>
      <c r="X490">
        <f>IF($W490="","",$R490&amp;"|"&amp;RIGHT("000000"&amp;$W490,6))</f>
        <v/>
      </c>
      <c r="Y490">
        <f>IF($P490="","",IF(Shares!$E493="",0,Shares!$E493))</f>
        <v/>
      </c>
      <c r="Z490">
        <f>IF($P490="","",Shares!$H493)</f>
        <v/>
      </c>
      <c r="AE490">
        <f>IF(OR(Sync!$S490="",Sync!$P490=""),"",Sync!$S490)</f>
        <v/>
      </c>
      <c r="AF490">
        <f>IF($AE490="","",IF(ISNUMBER(Sync!$P490),IF(AND(Sync!$P490&gt;=10000101,Sync!$P490&lt;=99991231),INT(Sync!$P490/10000),""),IFERROR(VALUE(TRIM(LEFT(Sync!$P490,FIND("/",Sync!$P490)-1))),"")))</f>
        <v/>
      </c>
      <c r="AG490">
        <f>IF(OR($AE490="",$AF490=""),"",IF(ISNUMBER(Sync!$P490),INT(MOD(Sync!$P490,10000)/100),IFERROR(VALUE(TRIM(LEFT(MID(Sync!$P490,FIND("/",Sync!$P490)+1,20),FIND("/",MID(Sync!$P490,FIND("/",Sync!$P490)+1,20))-1))),"")))</f>
        <v/>
      </c>
      <c r="AH490">
        <f>IF(OR($AE490="",$AF490=""),"",IF(ISNUMBER(Sync!$P490),MOD(Sync!$P490,100),IFERROR(VALUE(TRIM(MID(MID(Sync!$P490,FIND("/",Sync!$P490)+1,20),FIND("/",MID(Sync!$P490,FIND("/",Sync!$P490)+1,20))+1,20))),"")))</f>
        <v/>
      </c>
      <c r="AI490">
        <f>IF($AE490="","",IF(OR($AF490="",$AG490="",$AH490="",$AF490&lt;1300,$AF490&gt;1500,$AG490&lt;1,$AG490&gt;12,$AH490&lt;1,$AH490&gt;31),"نامعتبر",RIGHT("0000"&amp;$AF490,4)&amp;"/"&amp;RIGHT("00"&amp;$AG490,2)&amp;"/"&amp;RIGHT("00"&amp;$AH490,2)))</f>
        <v/>
      </c>
      <c r="AJ490">
        <f>IF($AE490="","",IF(Sync!$Q490="","0000",IF(AND(ISNUMBER(Sync!$Q490),Sync!$Q490&gt;=0,Sync!$Q490&lt;1),RIGHT("00"&amp;HOUR(Sync!$Q490),2)&amp;RIGHT("00"&amp;MINUTE(Sync!$Q490),2),IFERROR(RIGHT("00"&amp;VALUE(LEFT(Sync!$Q490,FIND(":",Sync!$Q490)-1)),2)&amp;RIGHT("00"&amp;VALUE(MID(Sync!$Q490,FIND(":",Sync!$Q490)+1,2)),2),"0000"))))</f>
        <v/>
      </c>
      <c r="AK490">
        <f>IF(OR($AE490="",$AI490="",$AI490="نامعتبر"),"",LEFT($AI490,4)&amp;MID($AI490,6,2)&amp;RIGHT($AI490,2)&amp;$AJ490&amp;"|"&amp;"3"&amp;RIGHT("00000"&amp;485,5))</f>
        <v/>
      </c>
      <c r="AL490">
        <f>IF($AK490="","",COUNTIFS(LdAParty,$AE490,LdAType,1,LdAKey,"&lt;"&amp;$AK490)+COUNTIFS(LdBMember,$AE490,LdBKey,"&lt;"&amp;$AK490)+COUNTIFS(LdCParty,$AE490,LdCKey,"&lt;"&amp;$AK490)+1)</f>
        <v/>
      </c>
      <c r="AM490">
        <f>IF($AL490="","",$AE490&amp;"|"&amp;RIGHT("000000"&amp;$AL490,6))</f>
        <v/>
      </c>
      <c r="AN490">
        <f>IF($AE490="","",IF(Sync!$W490="",0,Sync!$W490))</f>
        <v/>
      </c>
      <c r="AO490">
        <f>IF($AE490="","",IF(Sync!$X490="",0,Sync!$X490))</f>
        <v/>
      </c>
      <c r="AP490">
        <f>IF($AE490="","",Sync!$R490)</f>
        <v/>
      </c>
      <c r="AQ490">
        <f>IF($AE490="","",Sync!$Y490)</f>
        <v/>
      </c>
    </row>
    <row r="491">
      <c r="A491">
        <f>IF(OR(Wages!$B494="",Wages!$E494=""),"",Wages!$E494)</f>
        <v/>
      </c>
      <c r="B491">
        <f>IF($A491="","",IF(Wages!$C494="دستمزد گروهی",2,1))</f>
        <v/>
      </c>
      <c r="C491">
        <f>IF($A491="","",IF(ISNUMBER(Wages!$B494),IF(AND(Wages!$B494&gt;=10000101,Wages!$B494&lt;=99991231),INT(Wages!$B494/10000),""),IFERROR(VALUE(TRIM(LEFT(Wages!$B494,FIND("/",Wages!$B494)-1))),"")))</f>
        <v/>
      </c>
      <c r="D491">
        <f>IF(OR($A491="",$C491=""),"",IF(ISNUMBER(Wages!$B494),INT(MOD(Wages!$B494,10000)/100),IFERROR(VALUE(TRIM(LEFT(MID(Wages!$B494,FIND("/",Wages!$B494)+1,20),FIND("/",MID(Wages!$B494,FIND("/",Wages!$B494)+1,20))-1))),"")))</f>
        <v/>
      </c>
      <c r="E491">
        <f>IF(OR($A491="",$C491=""),"",IF(ISNUMBER(Wages!$B494),MOD(Wages!$B494,100),IFERROR(VALUE(TRIM(MID(MID(Wages!$B494,FIND("/",Wages!$B494)+1,20),FIND("/",MID(Wages!$B494,FIND("/",Wages!$B494)+1,20))+1,20))),"")))</f>
        <v/>
      </c>
      <c r="F491">
        <f>IF($A491="","",IF(OR($C491="",$D491="",$E491="",$C491&lt;1300,$C491&gt;1500,$D491&lt;1,$D491&gt;12,$E491&lt;1,$E491&gt;31),"نامعتبر",RIGHT("0000"&amp;$C491,4)&amp;"/"&amp;RIGHT("00"&amp;$D491,2)&amp;"/"&amp;RIGHT("00"&amp;$E491,2)))</f>
        <v/>
      </c>
      <c r="G491">
        <f>IF(OR($A491="",$F491="",$F491="نامعتبر"),"",LEFT($F491,4)&amp;MID($F491,6,2)&amp;RIGHT($F491,2)&amp;"0000"&amp;"|"&amp;"1"&amp;RIGHT("00000"&amp;486,5))</f>
        <v/>
      </c>
      <c r="H491">
        <f>IF(OR($B491&lt;&gt;1,$G491=""),"",COUNTIFS(LdAParty,$A491,LdAType,1,LdAKey,"&lt;"&amp;$G491)+COUNTIFS(LdBMember,$A491,LdBKey,"&lt;"&amp;$G491)+COUNTIFS(LdCParty,$A491,LdCKey,"&lt;"&amp;$G491)+1)</f>
        <v/>
      </c>
      <c r="I491">
        <f>IF($H491="","",$A491&amp;"|"&amp;RIGHT("000000"&amp;$H491,6))</f>
        <v/>
      </c>
      <c r="J491">
        <f>IF(OR($B491&lt;&gt;2,$G491=""),"",COUNTIFS(LdAParty,$A491,LdAType,2,LdAKey,"&lt;"&amp;$G491)+1)</f>
        <v/>
      </c>
      <c r="K491">
        <f>IF($J491="","",$A491&amp;"|"&amp;RIGHT("000000"&amp;$J491,6))</f>
        <v/>
      </c>
      <c r="L491">
        <f>IF($A491="","",IF(Wages!$G494="",0,Wages!$G494))</f>
        <v/>
      </c>
      <c r="M491">
        <f>IF($A491="","",Wages!$J494)</f>
        <v/>
      </c>
      <c r="N491">
        <f>IF($A491="","",Wages!$D494)</f>
        <v/>
      </c>
      <c r="P491">
        <f>IF(OR(Shares!$B494="",Shares!$C494=""),"",Shares!$C494)</f>
        <v/>
      </c>
      <c r="Q491">
        <f>IF($P491="","",Shares!$B494)</f>
        <v/>
      </c>
      <c r="R491">
        <f>IF($P491="","",IFERROR(INDEX(WageParty,MATCH($Q491,WageIds,0)),""))</f>
        <v/>
      </c>
      <c r="S491">
        <f>IF($P491="","",IFERROR(INDEX($F$6:$F$2005,MATCH($Q491,WageIds,0)),""))</f>
        <v/>
      </c>
      <c r="T491">
        <f>IF(OR($P491="",$S491="",$S491="نامعتبر"),"",LEFT($S491,4)&amp;MID($S491,6,2)&amp;RIGHT($S491,2)&amp;"0000"&amp;"|"&amp;"2"&amp;RIGHT("00000"&amp;486,5))</f>
        <v/>
      </c>
      <c r="U491">
        <f>IF($T491="","",COUNTIFS(LdAParty,$P491,LdAType,1,LdAKey,"&lt;"&amp;$T491)+COUNTIFS(LdBMember,$P491,LdBKey,"&lt;"&amp;$T491)+COUNTIFS(LdCParty,$P491,LdCKey,"&lt;"&amp;$T491)+1)</f>
        <v/>
      </c>
      <c r="V491">
        <f>IF($U491="","",$P491&amp;"|"&amp;RIGHT("000000"&amp;$U491,6))</f>
        <v/>
      </c>
      <c r="W491">
        <f>IF($T491="","",COUNTIFS(LdBGroup,$R491,LdBKey,"&lt;"&amp;$T491)+1)</f>
        <v/>
      </c>
      <c r="X491">
        <f>IF($W491="","",$R491&amp;"|"&amp;RIGHT("000000"&amp;$W491,6))</f>
        <v/>
      </c>
      <c r="Y491">
        <f>IF($P491="","",IF(Shares!$E494="",0,Shares!$E494))</f>
        <v/>
      </c>
      <c r="Z491">
        <f>IF($P491="","",Shares!$H494)</f>
        <v/>
      </c>
      <c r="AE491">
        <f>IF(OR(Sync!$S491="",Sync!$P491=""),"",Sync!$S491)</f>
        <v/>
      </c>
      <c r="AF491">
        <f>IF($AE491="","",IF(ISNUMBER(Sync!$P491),IF(AND(Sync!$P491&gt;=10000101,Sync!$P491&lt;=99991231),INT(Sync!$P491/10000),""),IFERROR(VALUE(TRIM(LEFT(Sync!$P491,FIND("/",Sync!$P491)-1))),"")))</f>
        <v/>
      </c>
      <c r="AG491">
        <f>IF(OR($AE491="",$AF491=""),"",IF(ISNUMBER(Sync!$P491),INT(MOD(Sync!$P491,10000)/100),IFERROR(VALUE(TRIM(LEFT(MID(Sync!$P491,FIND("/",Sync!$P491)+1,20),FIND("/",MID(Sync!$P491,FIND("/",Sync!$P491)+1,20))-1))),"")))</f>
        <v/>
      </c>
      <c r="AH491">
        <f>IF(OR($AE491="",$AF491=""),"",IF(ISNUMBER(Sync!$P491),MOD(Sync!$P491,100),IFERROR(VALUE(TRIM(MID(MID(Sync!$P491,FIND("/",Sync!$P491)+1,20),FIND("/",MID(Sync!$P491,FIND("/",Sync!$P491)+1,20))+1,20))),"")))</f>
        <v/>
      </c>
      <c r="AI491">
        <f>IF($AE491="","",IF(OR($AF491="",$AG491="",$AH491="",$AF491&lt;1300,$AF491&gt;1500,$AG491&lt;1,$AG491&gt;12,$AH491&lt;1,$AH491&gt;31),"نامعتبر",RIGHT("0000"&amp;$AF491,4)&amp;"/"&amp;RIGHT("00"&amp;$AG491,2)&amp;"/"&amp;RIGHT("00"&amp;$AH491,2)))</f>
        <v/>
      </c>
      <c r="AJ491">
        <f>IF($AE491="","",IF(Sync!$Q491="","0000",IF(AND(ISNUMBER(Sync!$Q491),Sync!$Q491&gt;=0,Sync!$Q491&lt;1),RIGHT("00"&amp;HOUR(Sync!$Q491),2)&amp;RIGHT("00"&amp;MINUTE(Sync!$Q491),2),IFERROR(RIGHT("00"&amp;VALUE(LEFT(Sync!$Q491,FIND(":",Sync!$Q491)-1)),2)&amp;RIGHT("00"&amp;VALUE(MID(Sync!$Q491,FIND(":",Sync!$Q491)+1,2)),2),"0000"))))</f>
        <v/>
      </c>
      <c r="AK491">
        <f>IF(OR($AE491="",$AI491="",$AI491="نامعتبر"),"",LEFT($AI491,4)&amp;MID($AI491,6,2)&amp;RIGHT($AI491,2)&amp;$AJ491&amp;"|"&amp;"3"&amp;RIGHT("00000"&amp;486,5))</f>
        <v/>
      </c>
      <c r="AL491">
        <f>IF($AK491="","",COUNTIFS(LdAParty,$AE491,LdAType,1,LdAKey,"&lt;"&amp;$AK491)+COUNTIFS(LdBMember,$AE491,LdBKey,"&lt;"&amp;$AK491)+COUNTIFS(LdCParty,$AE491,LdCKey,"&lt;"&amp;$AK491)+1)</f>
        <v/>
      </c>
      <c r="AM491">
        <f>IF($AL491="","",$AE491&amp;"|"&amp;RIGHT("000000"&amp;$AL491,6))</f>
        <v/>
      </c>
      <c r="AN491">
        <f>IF($AE491="","",IF(Sync!$W491="",0,Sync!$W491))</f>
        <v/>
      </c>
      <c r="AO491">
        <f>IF($AE491="","",IF(Sync!$X491="",0,Sync!$X491))</f>
        <v/>
      </c>
      <c r="AP491">
        <f>IF($AE491="","",Sync!$R491)</f>
        <v/>
      </c>
      <c r="AQ491">
        <f>IF($AE491="","",Sync!$Y491)</f>
        <v/>
      </c>
    </row>
    <row r="492">
      <c r="A492">
        <f>IF(OR(Wages!$B495="",Wages!$E495=""),"",Wages!$E495)</f>
        <v/>
      </c>
      <c r="B492">
        <f>IF($A492="","",IF(Wages!$C495="دستمزد گروهی",2,1))</f>
        <v/>
      </c>
      <c r="C492">
        <f>IF($A492="","",IF(ISNUMBER(Wages!$B495),IF(AND(Wages!$B495&gt;=10000101,Wages!$B495&lt;=99991231),INT(Wages!$B495/10000),""),IFERROR(VALUE(TRIM(LEFT(Wages!$B495,FIND("/",Wages!$B495)-1))),"")))</f>
        <v/>
      </c>
      <c r="D492">
        <f>IF(OR($A492="",$C492=""),"",IF(ISNUMBER(Wages!$B495),INT(MOD(Wages!$B495,10000)/100),IFERROR(VALUE(TRIM(LEFT(MID(Wages!$B495,FIND("/",Wages!$B495)+1,20),FIND("/",MID(Wages!$B495,FIND("/",Wages!$B495)+1,20))-1))),"")))</f>
        <v/>
      </c>
      <c r="E492">
        <f>IF(OR($A492="",$C492=""),"",IF(ISNUMBER(Wages!$B495),MOD(Wages!$B495,100),IFERROR(VALUE(TRIM(MID(MID(Wages!$B495,FIND("/",Wages!$B495)+1,20),FIND("/",MID(Wages!$B495,FIND("/",Wages!$B495)+1,20))+1,20))),"")))</f>
        <v/>
      </c>
      <c r="F492">
        <f>IF($A492="","",IF(OR($C492="",$D492="",$E492="",$C492&lt;1300,$C492&gt;1500,$D492&lt;1,$D492&gt;12,$E492&lt;1,$E492&gt;31),"نامعتبر",RIGHT("0000"&amp;$C492,4)&amp;"/"&amp;RIGHT("00"&amp;$D492,2)&amp;"/"&amp;RIGHT("00"&amp;$E492,2)))</f>
        <v/>
      </c>
      <c r="G492">
        <f>IF(OR($A492="",$F492="",$F492="نامعتبر"),"",LEFT($F492,4)&amp;MID($F492,6,2)&amp;RIGHT($F492,2)&amp;"0000"&amp;"|"&amp;"1"&amp;RIGHT("00000"&amp;487,5))</f>
        <v/>
      </c>
      <c r="H492">
        <f>IF(OR($B492&lt;&gt;1,$G492=""),"",COUNTIFS(LdAParty,$A492,LdAType,1,LdAKey,"&lt;"&amp;$G492)+COUNTIFS(LdBMember,$A492,LdBKey,"&lt;"&amp;$G492)+COUNTIFS(LdCParty,$A492,LdCKey,"&lt;"&amp;$G492)+1)</f>
        <v/>
      </c>
      <c r="I492">
        <f>IF($H492="","",$A492&amp;"|"&amp;RIGHT("000000"&amp;$H492,6))</f>
        <v/>
      </c>
      <c r="J492">
        <f>IF(OR($B492&lt;&gt;2,$G492=""),"",COUNTIFS(LdAParty,$A492,LdAType,2,LdAKey,"&lt;"&amp;$G492)+1)</f>
        <v/>
      </c>
      <c r="K492">
        <f>IF($J492="","",$A492&amp;"|"&amp;RIGHT("000000"&amp;$J492,6))</f>
        <v/>
      </c>
      <c r="L492">
        <f>IF($A492="","",IF(Wages!$G495="",0,Wages!$G495))</f>
        <v/>
      </c>
      <c r="M492">
        <f>IF($A492="","",Wages!$J495)</f>
        <v/>
      </c>
      <c r="N492">
        <f>IF($A492="","",Wages!$D495)</f>
        <v/>
      </c>
      <c r="P492">
        <f>IF(OR(Shares!$B495="",Shares!$C495=""),"",Shares!$C495)</f>
        <v/>
      </c>
      <c r="Q492">
        <f>IF($P492="","",Shares!$B495)</f>
        <v/>
      </c>
      <c r="R492">
        <f>IF($P492="","",IFERROR(INDEX(WageParty,MATCH($Q492,WageIds,0)),""))</f>
        <v/>
      </c>
      <c r="S492">
        <f>IF($P492="","",IFERROR(INDEX($F$6:$F$2005,MATCH($Q492,WageIds,0)),""))</f>
        <v/>
      </c>
      <c r="T492">
        <f>IF(OR($P492="",$S492="",$S492="نامعتبر"),"",LEFT($S492,4)&amp;MID($S492,6,2)&amp;RIGHT($S492,2)&amp;"0000"&amp;"|"&amp;"2"&amp;RIGHT("00000"&amp;487,5))</f>
        <v/>
      </c>
      <c r="U492">
        <f>IF($T492="","",COUNTIFS(LdAParty,$P492,LdAType,1,LdAKey,"&lt;"&amp;$T492)+COUNTIFS(LdBMember,$P492,LdBKey,"&lt;"&amp;$T492)+COUNTIFS(LdCParty,$P492,LdCKey,"&lt;"&amp;$T492)+1)</f>
        <v/>
      </c>
      <c r="V492">
        <f>IF($U492="","",$P492&amp;"|"&amp;RIGHT("000000"&amp;$U492,6))</f>
        <v/>
      </c>
      <c r="W492">
        <f>IF($T492="","",COUNTIFS(LdBGroup,$R492,LdBKey,"&lt;"&amp;$T492)+1)</f>
        <v/>
      </c>
      <c r="X492">
        <f>IF($W492="","",$R492&amp;"|"&amp;RIGHT("000000"&amp;$W492,6))</f>
        <v/>
      </c>
      <c r="Y492">
        <f>IF($P492="","",IF(Shares!$E495="",0,Shares!$E495))</f>
        <v/>
      </c>
      <c r="Z492">
        <f>IF($P492="","",Shares!$H495)</f>
        <v/>
      </c>
      <c r="AE492">
        <f>IF(OR(Sync!$S492="",Sync!$P492=""),"",Sync!$S492)</f>
        <v/>
      </c>
      <c r="AF492">
        <f>IF($AE492="","",IF(ISNUMBER(Sync!$P492),IF(AND(Sync!$P492&gt;=10000101,Sync!$P492&lt;=99991231),INT(Sync!$P492/10000),""),IFERROR(VALUE(TRIM(LEFT(Sync!$P492,FIND("/",Sync!$P492)-1))),"")))</f>
        <v/>
      </c>
      <c r="AG492">
        <f>IF(OR($AE492="",$AF492=""),"",IF(ISNUMBER(Sync!$P492),INT(MOD(Sync!$P492,10000)/100),IFERROR(VALUE(TRIM(LEFT(MID(Sync!$P492,FIND("/",Sync!$P492)+1,20),FIND("/",MID(Sync!$P492,FIND("/",Sync!$P492)+1,20))-1))),"")))</f>
        <v/>
      </c>
      <c r="AH492">
        <f>IF(OR($AE492="",$AF492=""),"",IF(ISNUMBER(Sync!$P492),MOD(Sync!$P492,100),IFERROR(VALUE(TRIM(MID(MID(Sync!$P492,FIND("/",Sync!$P492)+1,20),FIND("/",MID(Sync!$P492,FIND("/",Sync!$P492)+1,20))+1,20))),"")))</f>
        <v/>
      </c>
      <c r="AI492">
        <f>IF($AE492="","",IF(OR($AF492="",$AG492="",$AH492="",$AF492&lt;1300,$AF492&gt;1500,$AG492&lt;1,$AG492&gt;12,$AH492&lt;1,$AH492&gt;31),"نامعتبر",RIGHT("0000"&amp;$AF492,4)&amp;"/"&amp;RIGHT("00"&amp;$AG492,2)&amp;"/"&amp;RIGHT("00"&amp;$AH492,2)))</f>
        <v/>
      </c>
      <c r="AJ492">
        <f>IF($AE492="","",IF(Sync!$Q492="","0000",IF(AND(ISNUMBER(Sync!$Q492),Sync!$Q492&gt;=0,Sync!$Q492&lt;1),RIGHT("00"&amp;HOUR(Sync!$Q492),2)&amp;RIGHT("00"&amp;MINUTE(Sync!$Q492),2),IFERROR(RIGHT("00"&amp;VALUE(LEFT(Sync!$Q492,FIND(":",Sync!$Q492)-1)),2)&amp;RIGHT("00"&amp;VALUE(MID(Sync!$Q492,FIND(":",Sync!$Q492)+1,2)),2),"0000"))))</f>
        <v/>
      </c>
      <c r="AK492">
        <f>IF(OR($AE492="",$AI492="",$AI492="نامعتبر"),"",LEFT($AI492,4)&amp;MID($AI492,6,2)&amp;RIGHT($AI492,2)&amp;$AJ492&amp;"|"&amp;"3"&amp;RIGHT("00000"&amp;487,5))</f>
        <v/>
      </c>
      <c r="AL492">
        <f>IF($AK492="","",COUNTIFS(LdAParty,$AE492,LdAType,1,LdAKey,"&lt;"&amp;$AK492)+COUNTIFS(LdBMember,$AE492,LdBKey,"&lt;"&amp;$AK492)+COUNTIFS(LdCParty,$AE492,LdCKey,"&lt;"&amp;$AK492)+1)</f>
        <v/>
      </c>
      <c r="AM492">
        <f>IF($AL492="","",$AE492&amp;"|"&amp;RIGHT("000000"&amp;$AL492,6))</f>
        <v/>
      </c>
      <c r="AN492">
        <f>IF($AE492="","",IF(Sync!$W492="",0,Sync!$W492))</f>
        <v/>
      </c>
      <c r="AO492">
        <f>IF($AE492="","",IF(Sync!$X492="",0,Sync!$X492))</f>
        <v/>
      </c>
      <c r="AP492">
        <f>IF($AE492="","",Sync!$R492)</f>
        <v/>
      </c>
      <c r="AQ492">
        <f>IF($AE492="","",Sync!$Y492)</f>
        <v/>
      </c>
    </row>
    <row r="493">
      <c r="A493">
        <f>IF(OR(Wages!$B496="",Wages!$E496=""),"",Wages!$E496)</f>
        <v/>
      </c>
      <c r="B493">
        <f>IF($A493="","",IF(Wages!$C496="دستمزد گروهی",2,1))</f>
        <v/>
      </c>
      <c r="C493">
        <f>IF($A493="","",IF(ISNUMBER(Wages!$B496),IF(AND(Wages!$B496&gt;=10000101,Wages!$B496&lt;=99991231),INT(Wages!$B496/10000),""),IFERROR(VALUE(TRIM(LEFT(Wages!$B496,FIND("/",Wages!$B496)-1))),"")))</f>
        <v/>
      </c>
      <c r="D493">
        <f>IF(OR($A493="",$C493=""),"",IF(ISNUMBER(Wages!$B496),INT(MOD(Wages!$B496,10000)/100),IFERROR(VALUE(TRIM(LEFT(MID(Wages!$B496,FIND("/",Wages!$B496)+1,20),FIND("/",MID(Wages!$B496,FIND("/",Wages!$B496)+1,20))-1))),"")))</f>
        <v/>
      </c>
      <c r="E493">
        <f>IF(OR($A493="",$C493=""),"",IF(ISNUMBER(Wages!$B496),MOD(Wages!$B496,100),IFERROR(VALUE(TRIM(MID(MID(Wages!$B496,FIND("/",Wages!$B496)+1,20),FIND("/",MID(Wages!$B496,FIND("/",Wages!$B496)+1,20))+1,20))),"")))</f>
        <v/>
      </c>
      <c r="F493">
        <f>IF($A493="","",IF(OR($C493="",$D493="",$E493="",$C493&lt;1300,$C493&gt;1500,$D493&lt;1,$D493&gt;12,$E493&lt;1,$E493&gt;31),"نامعتبر",RIGHT("0000"&amp;$C493,4)&amp;"/"&amp;RIGHT("00"&amp;$D493,2)&amp;"/"&amp;RIGHT("00"&amp;$E493,2)))</f>
        <v/>
      </c>
      <c r="G493">
        <f>IF(OR($A493="",$F493="",$F493="نامعتبر"),"",LEFT($F493,4)&amp;MID($F493,6,2)&amp;RIGHT($F493,2)&amp;"0000"&amp;"|"&amp;"1"&amp;RIGHT("00000"&amp;488,5))</f>
        <v/>
      </c>
      <c r="H493">
        <f>IF(OR($B493&lt;&gt;1,$G493=""),"",COUNTIFS(LdAParty,$A493,LdAType,1,LdAKey,"&lt;"&amp;$G493)+COUNTIFS(LdBMember,$A493,LdBKey,"&lt;"&amp;$G493)+COUNTIFS(LdCParty,$A493,LdCKey,"&lt;"&amp;$G493)+1)</f>
        <v/>
      </c>
      <c r="I493">
        <f>IF($H493="","",$A493&amp;"|"&amp;RIGHT("000000"&amp;$H493,6))</f>
        <v/>
      </c>
      <c r="J493">
        <f>IF(OR($B493&lt;&gt;2,$G493=""),"",COUNTIFS(LdAParty,$A493,LdAType,2,LdAKey,"&lt;"&amp;$G493)+1)</f>
        <v/>
      </c>
      <c r="K493">
        <f>IF($J493="","",$A493&amp;"|"&amp;RIGHT("000000"&amp;$J493,6))</f>
        <v/>
      </c>
      <c r="L493">
        <f>IF($A493="","",IF(Wages!$G496="",0,Wages!$G496))</f>
        <v/>
      </c>
      <c r="M493">
        <f>IF($A493="","",Wages!$J496)</f>
        <v/>
      </c>
      <c r="N493">
        <f>IF($A493="","",Wages!$D496)</f>
        <v/>
      </c>
      <c r="P493">
        <f>IF(OR(Shares!$B496="",Shares!$C496=""),"",Shares!$C496)</f>
        <v/>
      </c>
      <c r="Q493">
        <f>IF($P493="","",Shares!$B496)</f>
        <v/>
      </c>
      <c r="R493">
        <f>IF($P493="","",IFERROR(INDEX(WageParty,MATCH($Q493,WageIds,0)),""))</f>
        <v/>
      </c>
      <c r="S493">
        <f>IF($P493="","",IFERROR(INDEX($F$6:$F$2005,MATCH($Q493,WageIds,0)),""))</f>
        <v/>
      </c>
      <c r="T493">
        <f>IF(OR($P493="",$S493="",$S493="نامعتبر"),"",LEFT($S493,4)&amp;MID($S493,6,2)&amp;RIGHT($S493,2)&amp;"0000"&amp;"|"&amp;"2"&amp;RIGHT("00000"&amp;488,5))</f>
        <v/>
      </c>
      <c r="U493">
        <f>IF($T493="","",COUNTIFS(LdAParty,$P493,LdAType,1,LdAKey,"&lt;"&amp;$T493)+COUNTIFS(LdBMember,$P493,LdBKey,"&lt;"&amp;$T493)+COUNTIFS(LdCParty,$P493,LdCKey,"&lt;"&amp;$T493)+1)</f>
        <v/>
      </c>
      <c r="V493">
        <f>IF($U493="","",$P493&amp;"|"&amp;RIGHT("000000"&amp;$U493,6))</f>
        <v/>
      </c>
      <c r="W493">
        <f>IF($T493="","",COUNTIFS(LdBGroup,$R493,LdBKey,"&lt;"&amp;$T493)+1)</f>
        <v/>
      </c>
      <c r="X493">
        <f>IF($W493="","",$R493&amp;"|"&amp;RIGHT("000000"&amp;$W493,6))</f>
        <v/>
      </c>
      <c r="Y493">
        <f>IF($P493="","",IF(Shares!$E496="",0,Shares!$E496))</f>
        <v/>
      </c>
      <c r="Z493">
        <f>IF($P493="","",Shares!$H496)</f>
        <v/>
      </c>
      <c r="AE493">
        <f>IF(OR(Sync!$S493="",Sync!$P493=""),"",Sync!$S493)</f>
        <v/>
      </c>
      <c r="AF493">
        <f>IF($AE493="","",IF(ISNUMBER(Sync!$P493),IF(AND(Sync!$P493&gt;=10000101,Sync!$P493&lt;=99991231),INT(Sync!$P493/10000),""),IFERROR(VALUE(TRIM(LEFT(Sync!$P493,FIND("/",Sync!$P493)-1))),"")))</f>
        <v/>
      </c>
      <c r="AG493">
        <f>IF(OR($AE493="",$AF493=""),"",IF(ISNUMBER(Sync!$P493),INT(MOD(Sync!$P493,10000)/100),IFERROR(VALUE(TRIM(LEFT(MID(Sync!$P493,FIND("/",Sync!$P493)+1,20),FIND("/",MID(Sync!$P493,FIND("/",Sync!$P493)+1,20))-1))),"")))</f>
        <v/>
      </c>
      <c r="AH493">
        <f>IF(OR($AE493="",$AF493=""),"",IF(ISNUMBER(Sync!$P493),MOD(Sync!$P493,100),IFERROR(VALUE(TRIM(MID(MID(Sync!$P493,FIND("/",Sync!$P493)+1,20),FIND("/",MID(Sync!$P493,FIND("/",Sync!$P493)+1,20))+1,20))),"")))</f>
        <v/>
      </c>
      <c r="AI493">
        <f>IF($AE493="","",IF(OR($AF493="",$AG493="",$AH493="",$AF493&lt;1300,$AF493&gt;1500,$AG493&lt;1,$AG493&gt;12,$AH493&lt;1,$AH493&gt;31),"نامعتبر",RIGHT("0000"&amp;$AF493,4)&amp;"/"&amp;RIGHT("00"&amp;$AG493,2)&amp;"/"&amp;RIGHT("00"&amp;$AH493,2)))</f>
        <v/>
      </c>
      <c r="AJ493">
        <f>IF($AE493="","",IF(Sync!$Q493="","0000",IF(AND(ISNUMBER(Sync!$Q493),Sync!$Q493&gt;=0,Sync!$Q493&lt;1),RIGHT("00"&amp;HOUR(Sync!$Q493),2)&amp;RIGHT("00"&amp;MINUTE(Sync!$Q493),2),IFERROR(RIGHT("00"&amp;VALUE(LEFT(Sync!$Q493,FIND(":",Sync!$Q493)-1)),2)&amp;RIGHT("00"&amp;VALUE(MID(Sync!$Q493,FIND(":",Sync!$Q493)+1,2)),2),"0000"))))</f>
        <v/>
      </c>
      <c r="AK493">
        <f>IF(OR($AE493="",$AI493="",$AI493="نامعتبر"),"",LEFT($AI493,4)&amp;MID($AI493,6,2)&amp;RIGHT($AI493,2)&amp;$AJ493&amp;"|"&amp;"3"&amp;RIGHT("00000"&amp;488,5))</f>
        <v/>
      </c>
      <c r="AL493">
        <f>IF($AK493="","",COUNTIFS(LdAParty,$AE493,LdAType,1,LdAKey,"&lt;"&amp;$AK493)+COUNTIFS(LdBMember,$AE493,LdBKey,"&lt;"&amp;$AK493)+COUNTIFS(LdCParty,$AE493,LdCKey,"&lt;"&amp;$AK493)+1)</f>
        <v/>
      </c>
      <c r="AM493">
        <f>IF($AL493="","",$AE493&amp;"|"&amp;RIGHT("000000"&amp;$AL493,6))</f>
        <v/>
      </c>
      <c r="AN493">
        <f>IF($AE493="","",IF(Sync!$W493="",0,Sync!$W493))</f>
        <v/>
      </c>
      <c r="AO493">
        <f>IF($AE493="","",IF(Sync!$X493="",0,Sync!$X493))</f>
        <v/>
      </c>
      <c r="AP493">
        <f>IF($AE493="","",Sync!$R493)</f>
        <v/>
      </c>
      <c r="AQ493">
        <f>IF($AE493="","",Sync!$Y493)</f>
        <v/>
      </c>
    </row>
    <row r="494">
      <c r="A494">
        <f>IF(OR(Wages!$B497="",Wages!$E497=""),"",Wages!$E497)</f>
        <v/>
      </c>
      <c r="B494">
        <f>IF($A494="","",IF(Wages!$C497="دستمزد گروهی",2,1))</f>
        <v/>
      </c>
      <c r="C494">
        <f>IF($A494="","",IF(ISNUMBER(Wages!$B497),IF(AND(Wages!$B497&gt;=10000101,Wages!$B497&lt;=99991231),INT(Wages!$B497/10000),""),IFERROR(VALUE(TRIM(LEFT(Wages!$B497,FIND("/",Wages!$B497)-1))),"")))</f>
        <v/>
      </c>
      <c r="D494">
        <f>IF(OR($A494="",$C494=""),"",IF(ISNUMBER(Wages!$B497),INT(MOD(Wages!$B497,10000)/100),IFERROR(VALUE(TRIM(LEFT(MID(Wages!$B497,FIND("/",Wages!$B497)+1,20),FIND("/",MID(Wages!$B497,FIND("/",Wages!$B497)+1,20))-1))),"")))</f>
        <v/>
      </c>
      <c r="E494">
        <f>IF(OR($A494="",$C494=""),"",IF(ISNUMBER(Wages!$B497),MOD(Wages!$B497,100),IFERROR(VALUE(TRIM(MID(MID(Wages!$B497,FIND("/",Wages!$B497)+1,20),FIND("/",MID(Wages!$B497,FIND("/",Wages!$B497)+1,20))+1,20))),"")))</f>
        <v/>
      </c>
      <c r="F494">
        <f>IF($A494="","",IF(OR($C494="",$D494="",$E494="",$C494&lt;1300,$C494&gt;1500,$D494&lt;1,$D494&gt;12,$E494&lt;1,$E494&gt;31),"نامعتبر",RIGHT("0000"&amp;$C494,4)&amp;"/"&amp;RIGHT("00"&amp;$D494,2)&amp;"/"&amp;RIGHT("00"&amp;$E494,2)))</f>
        <v/>
      </c>
      <c r="G494">
        <f>IF(OR($A494="",$F494="",$F494="نامعتبر"),"",LEFT($F494,4)&amp;MID($F494,6,2)&amp;RIGHT($F494,2)&amp;"0000"&amp;"|"&amp;"1"&amp;RIGHT("00000"&amp;489,5))</f>
        <v/>
      </c>
      <c r="H494">
        <f>IF(OR($B494&lt;&gt;1,$G494=""),"",COUNTIFS(LdAParty,$A494,LdAType,1,LdAKey,"&lt;"&amp;$G494)+COUNTIFS(LdBMember,$A494,LdBKey,"&lt;"&amp;$G494)+COUNTIFS(LdCParty,$A494,LdCKey,"&lt;"&amp;$G494)+1)</f>
        <v/>
      </c>
      <c r="I494">
        <f>IF($H494="","",$A494&amp;"|"&amp;RIGHT("000000"&amp;$H494,6))</f>
        <v/>
      </c>
      <c r="J494">
        <f>IF(OR($B494&lt;&gt;2,$G494=""),"",COUNTIFS(LdAParty,$A494,LdAType,2,LdAKey,"&lt;"&amp;$G494)+1)</f>
        <v/>
      </c>
      <c r="K494">
        <f>IF($J494="","",$A494&amp;"|"&amp;RIGHT("000000"&amp;$J494,6))</f>
        <v/>
      </c>
      <c r="L494">
        <f>IF($A494="","",IF(Wages!$G497="",0,Wages!$G497))</f>
        <v/>
      </c>
      <c r="M494">
        <f>IF($A494="","",Wages!$J497)</f>
        <v/>
      </c>
      <c r="N494">
        <f>IF($A494="","",Wages!$D497)</f>
        <v/>
      </c>
      <c r="P494">
        <f>IF(OR(Shares!$B497="",Shares!$C497=""),"",Shares!$C497)</f>
        <v/>
      </c>
      <c r="Q494">
        <f>IF($P494="","",Shares!$B497)</f>
        <v/>
      </c>
      <c r="R494">
        <f>IF($P494="","",IFERROR(INDEX(WageParty,MATCH($Q494,WageIds,0)),""))</f>
        <v/>
      </c>
      <c r="S494">
        <f>IF($P494="","",IFERROR(INDEX($F$6:$F$2005,MATCH($Q494,WageIds,0)),""))</f>
        <v/>
      </c>
      <c r="T494">
        <f>IF(OR($P494="",$S494="",$S494="نامعتبر"),"",LEFT($S494,4)&amp;MID($S494,6,2)&amp;RIGHT($S494,2)&amp;"0000"&amp;"|"&amp;"2"&amp;RIGHT("00000"&amp;489,5))</f>
        <v/>
      </c>
      <c r="U494">
        <f>IF($T494="","",COUNTIFS(LdAParty,$P494,LdAType,1,LdAKey,"&lt;"&amp;$T494)+COUNTIFS(LdBMember,$P494,LdBKey,"&lt;"&amp;$T494)+COUNTIFS(LdCParty,$P494,LdCKey,"&lt;"&amp;$T494)+1)</f>
        <v/>
      </c>
      <c r="V494">
        <f>IF($U494="","",$P494&amp;"|"&amp;RIGHT("000000"&amp;$U494,6))</f>
        <v/>
      </c>
      <c r="W494">
        <f>IF($T494="","",COUNTIFS(LdBGroup,$R494,LdBKey,"&lt;"&amp;$T494)+1)</f>
        <v/>
      </c>
      <c r="X494">
        <f>IF($W494="","",$R494&amp;"|"&amp;RIGHT("000000"&amp;$W494,6))</f>
        <v/>
      </c>
      <c r="Y494">
        <f>IF($P494="","",IF(Shares!$E497="",0,Shares!$E497))</f>
        <v/>
      </c>
      <c r="Z494">
        <f>IF($P494="","",Shares!$H497)</f>
        <v/>
      </c>
      <c r="AE494">
        <f>IF(OR(Sync!$S494="",Sync!$P494=""),"",Sync!$S494)</f>
        <v/>
      </c>
      <c r="AF494">
        <f>IF($AE494="","",IF(ISNUMBER(Sync!$P494),IF(AND(Sync!$P494&gt;=10000101,Sync!$P494&lt;=99991231),INT(Sync!$P494/10000),""),IFERROR(VALUE(TRIM(LEFT(Sync!$P494,FIND("/",Sync!$P494)-1))),"")))</f>
        <v/>
      </c>
      <c r="AG494">
        <f>IF(OR($AE494="",$AF494=""),"",IF(ISNUMBER(Sync!$P494),INT(MOD(Sync!$P494,10000)/100),IFERROR(VALUE(TRIM(LEFT(MID(Sync!$P494,FIND("/",Sync!$P494)+1,20),FIND("/",MID(Sync!$P494,FIND("/",Sync!$P494)+1,20))-1))),"")))</f>
        <v/>
      </c>
      <c r="AH494">
        <f>IF(OR($AE494="",$AF494=""),"",IF(ISNUMBER(Sync!$P494),MOD(Sync!$P494,100),IFERROR(VALUE(TRIM(MID(MID(Sync!$P494,FIND("/",Sync!$P494)+1,20),FIND("/",MID(Sync!$P494,FIND("/",Sync!$P494)+1,20))+1,20))),"")))</f>
        <v/>
      </c>
      <c r="AI494">
        <f>IF($AE494="","",IF(OR($AF494="",$AG494="",$AH494="",$AF494&lt;1300,$AF494&gt;1500,$AG494&lt;1,$AG494&gt;12,$AH494&lt;1,$AH494&gt;31),"نامعتبر",RIGHT("0000"&amp;$AF494,4)&amp;"/"&amp;RIGHT("00"&amp;$AG494,2)&amp;"/"&amp;RIGHT("00"&amp;$AH494,2)))</f>
        <v/>
      </c>
      <c r="AJ494">
        <f>IF($AE494="","",IF(Sync!$Q494="","0000",IF(AND(ISNUMBER(Sync!$Q494),Sync!$Q494&gt;=0,Sync!$Q494&lt;1),RIGHT("00"&amp;HOUR(Sync!$Q494),2)&amp;RIGHT("00"&amp;MINUTE(Sync!$Q494),2),IFERROR(RIGHT("00"&amp;VALUE(LEFT(Sync!$Q494,FIND(":",Sync!$Q494)-1)),2)&amp;RIGHT("00"&amp;VALUE(MID(Sync!$Q494,FIND(":",Sync!$Q494)+1,2)),2),"0000"))))</f>
        <v/>
      </c>
      <c r="AK494">
        <f>IF(OR($AE494="",$AI494="",$AI494="نامعتبر"),"",LEFT($AI494,4)&amp;MID($AI494,6,2)&amp;RIGHT($AI494,2)&amp;$AJ494&amp;"|"&amp;"3"&amp;RIGHT("00000"&amp;489,5))</f>
        <v/>
      </c>
      <c r="AL494">
        <f>IF($AK494="","",COUNTIFS(LdAParty,$AE494,LdAType,1,LdAKey,"&lt;"&amp;$AK494)+COUNTIFS(LdBMember,$AE494,LdBKey,"&lt;"&amp;$AK494)+COUNTIFS(LdCParty,$AE494,LdCKey,"&lt;"&amp;$AK494)+1)</f>
        <v/>
      </c>
      <c r="AM494">
        <f>IF($AL494="","",$AE494&amp;"|"&amp;RIGHT("000000"&amp;$AL494,6))</f>
        <v/>
      </c>
      <c r="AN494">
        <f>IF($AE494="","",IF(Sync!$W494="",0,Sync!$W494))</f>
        <v/>
      </c>
      <c r="AO494">
        <f>IF($AE494="","",IF(Sync!$X494="",0,Sync!$X494))</f>
        <v/>
      </c>
      <c r="AP494">
        <f>IF($AE494="","",Sync!$R494)</f>
        <v/>
      </c>
      <c r="AQ494">
        <f>IF($AE494="","",Sync!$Y494)</f>
        <v/>
      </c>
    </row>
    <row r="495">
      <c r="A495">
        <f>IF(OR(Wages!$B498="",Wages!$E498=""),"",Wages!$E498)</f>
        <v/>
      </c>
      <c r="B495">
        <f>IF($A495="","",IF(Wages!$C498="دستمزد گروهی",2,1))</f>
        <v/>
      </c>
      <c r="C495">
        <f>IF($A495="","",IF(ISNUMBER(Wages!$B498),IF(AND(Wages!$B498&gt;=10000101,Wages!$B498&lt;=99991231),INT(Wages!$B498/10000),""),IFERROR(VALUE(TRIM(LEFT(Wages!$B498,FIND("/",Wages!$B498)-1))),"")))</f>
        <v/>
      </c>
      <c r="D495">
        <f>IF(OR($A495="",$C495=""),"",IF(ISNUMBER(Wages!$B498),INT(MOD(Wages!$B498,10000)/100),IFERROR(VALUE(TRIM(LEFT(MID(Wages!$B498,FIND("/",Wages!$B498)+1,20),FIND("/",MID(Wages!$B498,FIND("/",Wages!$B498)+1,20))-1))),"")))</f>
        <v/>
      </c>
      <c r="E495">
        <f>IF(OR($A495="",$C495=""),"",IF(ISNUMBER(Wages!$B498),MOD(Wages!$B498,100),IFERROR(VALUE(TRIM(MID(MID(Wages!$B498,FIND("/",Wages!$B498)+1,20),FIND("/",MID(Wages!$B498,FIND("/",Wages!$B498)+1,20))+1,20))),"")))</f>
        <v/>
      </c>
      <c r="F495">
        <f>IF($A495="","",IF(OR($C495="",$D495="",$E495="",$C495&lt;1300,$C495&gt;1500,$D495&lt;1,$D495&gt;12,$E495&lt;1,$E495&gt;31),"نامعتبر",RIGHT("0000"&amp;$C495,4)&amp;"/"&amp;RIGHT("00"&amp;$D495,2)&amp;"/"&amp;RIGHT("00"&amp;$E495,2)))</f>
        <v/>
      </c>
      <c r="G495">
        <f>IF(OR($A495="",$F495="",$F495="نامعتبر"),"",LEFT($F495,4)&amp;MID($F495,6,2)&amp;RIGHT($F495,2)&amp;"0000"&amp;"|"&amp;"1"&amp;RIGHT("00000"&amp;490,5))</f>
        <v/>
      </c>
      <c r="H495">
        <f>IF(OR($B495&lt;&gt;1,$G495=""),"",COUNTIFS(LdAParty,$A495,LdAType,1,LdAKey,"&lt;"&amp;$G495)+COUNTIFS(LdBMember,$A495,LdBKey,"&lt;"&amp;$G495)+COUNTIFS(LdCParty,$A495,LdCKey,"&lt;"&amp;$G495)+1)</f>
        <v/>
      </c>
      <c r="I495">
        <f>IF($H495="","",$A495&amp;"|"&amp;RIGHT("000000"&amp;$H495,6))</f>
        <v/>
      </c>
      <c r="J495">
        <f>IF(OR($B495&lt;&gt;2,$G495=""),"",COUNTIFS(LdAParty,$A495,LdAType,2,LdAKey,"&lt;"&amp;$G495)+1)</f>
        <v/>
      </c>
      <c r="K495">
        <f>IF($J495="","",$A495&amp;"|"&amp;RIGHT("000000"&amp;$J495,6))</f>
        <v/>
      </c>
      <c r="L495">
        <f>IF($A495="","",IF(Wages!$G498="",0,Wages!$G498))</f>
        <v/>
      </c>
      <c r="M495">
        <f>IF($A495="","",Wages!$J498)</f>
        <v/>
      </c>
      <c r="N495">
        <f>IF($A495="","",Wages!$D498)</f>
        <v/>
      </c>
      <c r="P495">
        <f>IF(OR(Shares!$B498="",Shares!$C498=""),"",Shares!$C498)</f>
        <v/>
      </c>
      <c r="Q495">
        <f>IF($P495="","",Shares!$B498)</f>
        <v/>
      </c>
      <c r="R495">
        <f>IF($P495="","",IFERROR(INDEX(WageParty,MATCH($Q495,WageIds,0)),""))</f>
        <v/>
      </c>
      <c r="S495">
        <f>IF($P495="","",IFERROR(INDEX($F$6:$F$2005,MATCH($Q495,WageIds,0)),""))</f>
        <v/>
      </c>
      <c r="T495">
        <f>IF(OR($P495="",$S495="",$S495="نامعتبر"),"",LEFT($S495,4)&amp;MID($S495,6,2)&amp;RIGHT($S495,2)&amp;"0000"&amp;"|"&amp;"2"&amp;RIGHT("00000"&amp;490,5))</f>
        <v/>
      </c>
      <c r="U495">
        <f>IF($T495="","",COUNTIFS(LdAParty,$P495,LdAType,1,LdAKey,"&lt;"&amp;$T495)+COUNTIFS(LdBMember,$P495,LdBKey,"&lt;"&amp;$T495)+COUNTIFS(LdCParty,$P495,LdCKey,"&lt;"&amp;$T495)+1)</f>
        <v/>
      </c>
      <c r="V495">
        <f>IF($U495="","",$P495&amp;"|"&amp;RIGHT("000000"&amp;$U495,6))</f>
        <v/>
      </c>
      <c r="W495">
        <f>IF($T495="","",COUNTIFS(LdBGroup,$R495,LdBKey,"&lt;"&amp;$T495)+1)</f>
        <v/>
      </c>
      <c r="X495">
        <f>IF($W495="","",$R495&amp;"|"&amp;RIGHT("000000"&amp;$W495,6))</f>
        <v/>
      </c>
      <c r="Y495">
        <f>IF($P495="","",IF(Shares!$E498="",0,Shares!$E498))</f>
        <v/>
      </c>
      <c r="Z495">
        <f>IF($P495="","",Shares!$H498)</f>
        <v/>
      </c>
      <c r="AE495">
        <f>IF(OR(Sync!$S495="",Sync!$P495=""),"",Sync!$S495)</f>
        <v/>
      </c>
      <c r="AF495">
        <f>IF($AE495="","",IF(ISNUMBER(Sync!$P495),IF(AND(Sync!$P495&gt;=10000101,Sync!$P495&lt;=99991231),INT(Sync!$P495/10000),""),IFERROR(VALUE(TRIM(LEFT(Sync!$P495,FIND("/",Sync!$P495)-1))),"")))</f>
        <v/>
      </c>
      <c r="AG495">
        <f>IF(OR($AE495="",$AF495=""),"",IF(ISNUMBER(Sync!$P495),INT(MOD(Sync!$P495,10000)/100),IFERROR(VALUE(TRIM(LEFT(MID(Sync!$P495,FIND("/",Sync!$P495)+1,20),FIND("/",MID(Sync!$P495,FIND("/",Sync!$P495)+1,20))-1))),"")))</f>
        <v/>
      </c>
      <c r="AH495">
        <f>IF(OR($AE495="",$AF495=""),"",IF(ISNUMBER(Sync!$P495),MOD(Sync!$P495,100),IFERROR(VALUE(TRIM(MID(MID(Sync!$P495,FIND("/",Sync!$P495)+1,20),FIND("/",MID(Sync!$P495,FIND("/",Sync!$P495)+1,20))+1,20))),"")))</f>
        <v/>
      </c>
      <c r="AI495">
        <f>IF($AE495="","",IF(OR($AF495="",$AG495="",$AH495="",$AF495&lt;1300,$AF495&gt;1500,$AG495&lt;1,$AG495&gt;12,$AH495&lt;1,$AH495&gt;31),"نامعتبر",RIGHT("0000"&amp;$AF495,4)&amp;"/"&amp;RIGHT("00"&amp;$AG495,2)&amp;"/"&amp;RIGHT("00"&amp;$AH495,2)))</f>
        <v/>
      </c>
      <c r="AJ495">
        <f>IF($AE495="","",IF(Sync!$Q495="","0000",IF(AND(ISNUMBER(Sync!$Q495),Sync!$Q495&gt;=0,Sync!$Q495&lt;1),RIGHT("00"&amp;HOUR(Sync!$Q495),2)&amp;RIGHT("00"&amp;MINUTE(Sync!$Q495),2),IFERROR(RIGHT("00"&amp;VALUE(LEFT(Sync!$Q495,FIND(":",Sync!$Q495)-1)),2)&amp;RIGHT("00"&amp;VALUE(MID(Sync!$Q495,FIND(":",Sync!$Q495)+1,2)),2),"0000"))))</f>
        <v/>
      </c>
      <c r="AK495">
        <f>IF(OR($AE495="",$AI495="",$AI495="نامعتبر"),"",LEFT($AI495,4)&amp;MID($AI495,6,2)&amp;RIGHT($AI495,2)&amp;$AJ495&amp;"|"&amp;"3"&amp;RIGHT("00000"&amp;490,5))</f>
        <v/>
      </c>
      <c r="AL495">
        <f>IF($AK495="","",COUNTIFS(LdAParty,$AE495,LdAType,1,LdAKey,"&lt;"&amp;$AK495)+COUNTIFS(LdBMember,$AE495,LdBKey,"&lt;"&amp;$AK495)+COUNTIFS(LdCParty,$AE495,LdCKey,"&lt;"&amp;$AK495)+1)</f>
        <v/>
      </c>
      <c r="AM495">
        <f>IF($AL495="","",$AE495&amp;"|"&amp;RIGHT("000000"&amp;$AL495,6))</f>
        <v/>
      </c>
      <c r="AN495">
        <f>IF($AE495="","",IF(Sync!$W495="",0,Sync!$W495))</f>
        <v/>
      </c>
      <c r="AO495">
        <f>IF($AE495="","",IF(Sync!$X495="",0,Sync!$X495))</f>
        <v/>
      </c>
      <c r="AP495">
        <f>IF($AE495="","",Sync!$R495)</f>
        <v/>
      </c>
      <c r="AQ495">
        <f>IF($AE495="","",Sync!$Y495)</f>
        <v/>
      </c>
    </row>
    <row r="496">
      <c r="A496">
        <f>IF(OR(Wages!$B499="",Wages!$E499=""),"",Wages!$E499)</f>
        <v/>
      </c>
      <c r="B496">
        <f>IF($A496="","",IF(Wages!$C499="دستمزد گروهی",2,1))</f>
        <v/>
      </c>
      <c r="C496">
        <f>IF($A496="","",IF(ISNUMBER(Wages!$B499),IF(AND(Wages!$B499&gt;=10000101,Wages!$B499&lt;=99991231),INT(Wages!$B499/10000),""),IFERROR(VALUE(TRIM(LEFT(Wages!$B499,FIND("/",Wages!$B499)-1))),"")))</f>
        <v/>
      </c>
      <c r="D496">
        <f>IF(OR($A496="",$C496=""),"",IF(ISNUMBER(Wages!$B499),INT(MOD(Wages!$B499,10000)/100),IFERROR(VALUE(TRIM(LEFT(MID(Wages!$B499,FIND("/",Wages!$B499)+1,20),FIND("/",MID(Wages!$B499,FIND("/",Wages!$B499)+1,20))-1))),"")))</f>
        <v/>
      </c>
      <c r="E496">
        <f>IF(OR($A496="",$C496=""),"",IF(ISNUMBER(Wages!$B499),MOD(Wages!$B499,100),IFERROR(VALUE(TRIM(MID(MID(Wages!$B499,FIND("/",Wages!$B499)+1,20),FIND("/",MID(Wages!$B499,FIND("/",Wages!$B499)+1,20))+1,20))),"")))</f>
        <v/>
      </c>
      <c r="F496">
        <f>IF($A496="","",IF(OR($C496="",$D496="",$E496="",$C496&lt;1300,$C496&gt;1500,$D496&lt;1,$D496&gt;12,$E496&lt;1,$E496&gt;31),"نامعتبر",RIGHT("0000"&amp;$C496,4)&amp;"/"&amp;RIGHT("00"&amp;$D496,2)&amp;"/"&amp;RIGHT("00"&amp;$E496,2)))</f>
        <v/>
      </c>
      <c r="G496">
        <f>IF(OR($A496="",$F496="",$F496="نامعتبر"),"",LEFT($F496,4)&amp;MID($F496,6,2)&amp;RIGHT($F496,2)&amp;"0000"&amp;"|"&amp;"1"&amp;RIGHT("00000"&amp;491,5))</f>
        <v/>
      </c>
      <c r="H496">
        <f>IF(OR($B496&lt;&gt;1,$G496=""),"",COUNTIFS(LdAParty,$A496,LdAType,1,LdAKey,"&lt;"&amp;$G496)+COUNTIFS(LdBMember,$A496,LdBKey,"&lt;"&amp;$G496)+COUNTIFS(LdCParty,$A496,LdCKey,"&lt;"&amp;$G496)+1)</f>
        <v/>
      </c>
      <c r="I496">
        <f>IF($H496="","",$A496&amp;"|"&amp;RIGHT("000000"&amp;$H496,6))</f>
        <v/>
      </c>
      <c r="J496">
        <f>IF(OR($B496&lt;&gt;2,$G496=""),"",COUNTIFS(LdAParty,$A496,LdAType,2,LdAKey,"&lt;"&amp;$G496)+1)</f>
        <v/>
      </c>
      <c r="K496">
        <f>IF($J496="","",$A496&amp;"|"&amp;RIGHT("000000"&amp;$J496,6))</f>
        <v/>
      </c>
      <c r="L496">
        <f>IF($A496="","",IF(Wages!$G499="",0,Wages!$G499))</f>
        <v/>
      </c>
      <c r="M496">
        <f>IF($A496="","",Wages!$J499)</f>
        <v/>
      </c>
      <c r="N496">
        <f>IF($A496="","",Wages!$D499)</f>
        <v/>
      </c>
      <c r="P496">
        <f>IF(OR(Shares!$B499="",Shares!$C499=""),"",Shares!$C499)</f>
        <v/>
      </c>
      <c r="Q496">
        <f>IF($P496="","",Shares!$B499)</f>
        <v/>
      </c>
      <c r="R496">
        <f>IF($P496="","",IFERROR(INDEX(WageParty,MATCH($Q496,WageIds,0)),""))</f>
        <v/>
      </c>
      <c r="S496">
        <f>IF($P496="","",IFERROR(INDEX($F$6:$F$2005,MATCH($Q496,WageIds,0)),""))</f>
        <v/>
      </c>
      <c r="T496">
        <f>IF(OR($P496="",$S496="",$S496="نامعتبر"),"",LEFT($S496,4)&amp;MID($S496,6,2)&amp;RIGHT($S496,2)&amp;"0000"&amp;"|"&amp;"2"&amp;RIGHT("00000"&amp;491,5))</f>
        <v/>
      </c>
      <c r="U496">
        <f>IF($T496="","",COUNTIFS(LdAParty,$P496,LdAType,1,LdAKey,"&lt;"&amp;$T496)+COUNTIFS(LdBMember,$P496,LdBKey,"&lt;"&amp;$T496)+COUNTIFS(LdCParty,$P496,LdCKey,"&lt;"&amp;$T496)+1)</f>
        <v/>
      </c>
      <c r="V496">
        <f>IF($U496="","",$P496&amp;"|"&amp;RIGHT("000000"&amp;$U496,6))</f>
        <v/>
      </c>
      <c r="W496">
        <f>IF($T496="","",COUNTIFS(LdBGroup,$R496,LdBKey,"&lt;"&amp;$T496)+1)</f>
        <v/>
      </c>
      <c r="X496">
        <f>IF($W496="","",$R496&amp;"|"&amp;RIGHT("000000"&amp;$W496,6))</f>
        <v/>
      </c>
      <c r="Y496">
        <f>IF($P496="","",IF(Shares!$E499="",0,Shares!$E499))</f>
        <v/>
      </c>
      <c r="Z496">
        <f>IF($P496="","",Shares!$H499)</f>
        <v/>
      </c>
      <c r="AE496">
        <f>IF(OR(Sync!$S496="",Sync!$P496=""),"",Sync!$S496)</f>
        <v/>
      </c>
      <c r="AF496">
        <f>IF($AE496="","",IF(ISNUMBER(Sync!$P496),IF(AND(Sync!$P496&gt;=10000101,Sync!$P496&lt;=99991231),INT(Sync!$P496/10000),""),IFERROR(VALUE(TRIM(LEFT(Sync!$P496,FIND("/",Sync!$P496)-1))),"")))</f>
        <v/>
      </c>
      <c r="AG496">
        <f>IF(OR($AE496="",$AF496=""),"",IF(ISNUMBER(Sync!$P496),INT(MOD(Sync!$P496,10000)/100),IFERROR(VALUE(TRIM(LEFT(MID(Sync!$P496,FIND("/",Sync!$P496)+1,20),FIND("/",MID(Sync!$P496,FIND("/",Sync!$P496)+1,20))-1))),"")))</f>
        <v/>
      </c>
      <c r="AH496">
        <f>IF(OR($AE496="",$AF496=""),"",IF(ISNUMBER(Sync!$P496),MOD(Sync!$P496,100),IFERROR(VALUE(TRIM(MID(MID(Sync!$P496,FIND("/",Sync!$P496)+1,20),FIND("/",MID(Sync!$P496,FIND("/",Sync!$P496)+1,20))+1,20))),"")))</f>
        <v/>
      </c>
      <c r="AI496">
        <f>IF($AE496="","",IF(OR($AF496="",$AG496="",$AH496="",$AF496&lt;1300,$AF496&gt;1500,$AG496&lt;1,$AG496&gt;12,$AH496&lt;1,$AH496&gt;31),"نامعتبر",RIGHT("0000"&amp;$AF496,4)&amp;"/"&amp;RIGHT("00"&amp;$AG496,2)&amp;"/"&amp;RIGHT("00"&amp;$AH496,2)))</f>
        <v/>
      </c>
      <c r="AJ496">
        <f>IF($AE496="","",IF(Sync!$Q496="","0000",IF(AND(ISNUMBER(Sync!$Q496),Sync!$Q496&gt;=0,Sync!$Q496&lt;1),RIGHT("00"&amp;HOUR(Sync!$Q496),2)&amp;RIGHT("00"&amp;MINUTE(Sync!$Q496),2),IFERROR(RIGHT("00"&amp;VALUE(LEFT(Sync!$Q496,FIND(":",Sync!$Q496)-1)),2)&amp;RIGHT("00"&amp;VALUE(MID(Sync!$Q496,FIND(":",Sync!$Q496)+1,2)),2),"0000"))))</f>
        <v/>
      </c>
      <c r="AK496">
        <f>IF(OR($AE496="",$AI496="",$AI496="نامعتبر"),"",LEFT($AI496,4)&amp;MID($AI496,6,2)&amp;RIGHT($AI496,2)&amp;$AJ496&amp;"|"&amp;"3"&amp;RIGHT("00000"&amp;491,5))</f>
        <v/>
      </c>
      <c r="AL496">
        <f>IF($AK496="","",COUNTIFS(LdAParty,$AE496,LdAType,1,LdAKey,"&lt;"&amp;$AK496)+COUNTIFS(LdBMember,$AE496,LdBKey,"&lt;"&amp;$AK496)+COUNTIFS(LdCParty,$AE496,LdCKey,"&lt;"&amp;$AK496)+1)</f>
        <v/>
      </c>
      <c r="AM496">
        <f>IF($AL496="","",$AE496&amp;"|"&amp;RIGHT("000000"&amp;$AL496,6))</f>
        <v/>
      </c>
      <c r="AN496">
        <f>IF($AE496="","",IF(Sync!$W496="",0,Sync!$W496))</f>
        <v/>
      </c>
      <c r="AO496">
        <f>IF($AE496="","",IF(Sync!$X496="",0,Sync!$X496))</f>
        <v/>
      </c>
      <c r="AP496">
        <f>IF($AE496="","",Sync!$R496)</f>
        <v/>
      </c>
      <c r="AQ496">
        <f>IF($AE496="","",Sync!$Y496)</f>
        <v/>
      </c>
    </row>
    <row r="497">
      <c r="A497">
        <f>IF(OR(Wages!$B500="",Wages!$E500=""),"",Wages!$E500)</f>
        <v/>
      </c>
      <c r="B497">
        <f>IF($A497="","",IF(Wages!$C500="دستمزد گروهی",2,1))</f>
        <v/>
      </c>
      <c r="C497">
        <f>IF($A497="","",IF(ISNUMBER(Wages!$B500),IF(AND(Wages!$B500&gt;=10000101,Wages!$B500&lt;=99991231),INT(Wages!$B500/10000),""),IFERROR(VALUE(TRIM(LEFT(Wages!$B500,FIND("/",Wages!$B500)-1))),"")))</f>
        <v/>
      </c>
      <c r="D497">
        <f>IF(OR($A497="",$C497=""),"",IF(ISNUMBER(Wages!$B500),INT(MOD(Wages!$B500,10000)/100),IFERROR(VALUE(TRIM(LEFT(MID(Wages!$B500,FIND("/",Wages!$B500)+1,20),FIND("/",MID(Wages!$B500,FIND("/",Wages!$B500)+1,20))-1))),"")))</f>
        <v/>
      </c>
      <c r="E497">
        <f>IF(OR($A497="",$C497=""),"",IF(ISNUMBER(Wages!$B500),MOD(Wages!$B500,100),IFERROR(VALUE(TRIM(MID(MID(Wages!$B500,FIND("/",Wages!$B500)+1,20),FIND("/",MID(Wages!$B500,FIND("/",Wages!$B500)+1,20))+1,20))),"")))</f>
        <v/>
      </c>
      <c r="F497">
        <f>IF($A497="","",IF(OR($C497="",$D497="",$E497="",$C497&lt;1300,$C497&gt;1500,$D497&lt;1,$D497&gt;12,$E497&lt;1,$E497&gt;31),"نامعتبر",RIGHT("0000"&amp;$C497,4)&amp;"/"&amp;RIGHT("00"&amp;$D497,2)&amp;"/"&amp;RIGHT("00"&amp;$E497,2)))</f>
        <v/>
      </c>
      <c r="G497">
        <f>IF(OR($A497="",$F497="",$F497="نامعتبر"),"",LEFT($F497,4)&amp;MID($F497,6,2)&amp;RIGHT($F497,2)&amp;"0000"&amp;"|"&amp;"1"&amp;RIGHT("00000"&amp;492,5))</f>
        <v/>
      </c>
      <c r="H497">
        <f>IF(OR($B497&lt;&gt;1,$G497=""),"",COUNTIFS(LdAParty,$A497,LdAType,1,LdAKey,"&lt;"&amp;$G497)+COUNTIFS(LdBMember,$A497,LdBKey,"&lt;"&amp;$G497)+COUNTIFS(LdCParty,$A497,LdCKey,"&lt;"&amp;$G497)+1)</f>
        <v/>
      </c>
      <c r="I497">
        <f>IF($H497="","",$A497&amp;"|"&amp;RIGHT("000000"&amp;$H497,6))</f>
        <v/>
      </c>
      <c r="J497">
        <f>IF(OR($B497&lt;&gt;2,$G497=""),"",COUNTIFS(LdAParty,$A497,LdAType,2,LdAKey,"&lt;"&amp;$G497)+1)</f>
        <v/>
      </c>
      <c r="K497">
        <f>IF($J497="","",$A497&amp;"|"&amp;RIGHT("000000"&amp;$J497,6))</f>
        <v/>
      </c>
      <c r="L497">
        <f>IF($A497="","",IF(Wages!$G500="",0,Wages!$G500))</f>
        <v/>
      </c>
      <c r="M497">
        <f>IF($A497="","",Wages!$J500)</f>
        <v/>
      </c>
      <c r="N497">
        <f>IF($A497="","",Wages!$D500)</f>
        <v/>
      </c>
      <c r="P497">
        <f>IF(OR(Shares!$B500="",Shares!$C500=""),"",Shares!$C500)</f>
        <v/>
      </c>
      <c r="Q497">
        <f>IF($P497="","",Shares!$B500)</f>
        <v/>
      </c>
      <c r="R497">
        <f>IF($P497="","",IFERROR(INDEX(WageParty,MATCH($Q497,WageIds,0)),""))</f>
        <v/>
      </c>
      <c r="S497">
        <f>IF($P497="","",IFERROR(INDEX($F$6:$F$2005,MATCH($Q497,WageIds,0)),""))</f>
        <v/>
      </c>
      <c r="T497">
        <f>IF(OR($P497="",$S497="",$S497="نامعتبر"),"",LEFT($S497,4)&amp;MID($S497,6,2)&amp;RIGHT($S497,2)&amp;"0000"&amp;"|"&amp;"2"&amp;RIGHT("00000"&amp;492,5))</f>
        <v/>
      </c>
      <c r="U497">
        <f>IF($T497="","",COUNTIFS(LdAParty,$P497,LdAType,1,LdAKey,"&lt;"&amp;$T497)+COUNTIFS(LdBMember,$P497,LdBKey,"&lt;"&amp;$T497)+COUNTIFS(LdCParty,$P497,LdCKey,"&lt;"&amp;$T497)+1)</f>
        <v/>
      </c>
      <c r="V497">
        <f>IF($U497="","",$P497&amp;"|"&amp;RIGHT("000000"&amp;$U497,6))</f>
        <v/>
      </c>
      <c r="W497">
        <f>IF($T497="","",COUNTIFS(LdBGroup,$R497,LdBKey,"&lt;"&amp;$T497)+1)</f>
        <v/>
      </c>
      <c r="X497">
        <f>IF($W497="","",$R497&amp;"|"&amp;RIGHT("000000"&amp;$W497,6))</f>
        <v/>
      </c>
      <c r="Y497">
        <f>IF($P497="","",IF(Shares!$E500="",0,Shares!$E500))</f>
        <v/>
      </c>
      <c r="Z497">
        <f>IF($P497="","",Shares!$H500)</f>
        <v/>
      </c>
      <c r="AE497">
        <f>IF(OR(Sync!$S497="",Sync!$P497=""),"",Sync!$S497)</f>
        <v/>
      </c>
      <c r="AF497">
        <f>IF($AE497="","",IF(ISNUMBER(Sync!$P497),IF(AND(Sync!$P497&gt;=10000101,Sync!$P497&lt;=99991231),INT(Sync!$P497/10000),""),IFERROR(VALUE(TRIM(LEFT(Sync!$P497,FIND("/",Sync!$P497)-1))),"")))</f>
        <v/>
      </c>
      <c r="AG497">
        <f>IF(OR($AE497="",$AF497=""),"",IF(ISNUMBER(Sync!$P497),INT(MOD(Sync!$P497,10000)/100),IFERROR(VALUE(TRIM(LEFT(MID(Sync!$P497,FIND("/",Sync!$P497)+1,20),FIND("/",MID(Sync!$P497,FIND("/",Sync!$P497)+1,20))-1))),"")))</f>
        <v/>
      </c>
      <c r="AH497">
        <f>IF(OR($AE497="",$AF497=""),"",IF(ISNUMBER(Sync!$P497),MOD(Sync!$P497,100),IFERROR(VALUE(TRIM(MID(MID(Sync!$P497,FIND("/",Sync!$P497)+1,20),FIND("/",MID(Sync!$P497,FIND("/",Sync!$P497)+1,20))+1,20))),"")))</f>
        <v/>
      </c>
      <c r="AI497">
        <f>IF($AE497="","",IF(OR($AF497="",$AG497="",$AH497="",$AF497&lt;1300,$AF497&gt;1500,$AG497&lt;1,$AG497&gt;12,$AH497&lt;1,$AH497&gt;31),"نامعتبر",RIGHT("0000"&amp;$AF497,4)&amp;"/"&amp;RIGHT("00"&amp;$AG497,2)&amp;"/"&amp;RIGHT("00"&amp;$AH497,2)))</f>
        <v/>
      </c>
      <c r="AJ497">
        <f>IF($AE497="","",IF(Sync!$Q497="","0000",IF(AND(ISNUMBER(Sync!$Q497),Sync!$Q497&gt;=0,Sync!$Q497&lt;1),RIGHT("00"&amp;HOUR(Sync!$Q497),2)&amp;RIGHT("00"&amp;MINUTE(Sync!$Q497),2),IFERROR(RIGHT("00"&amp;VALUE(LEFT(Sync!$Q497,FIND(":",Sync!$Q497)-1)),2)&amp;RIGHT("00"&amp;VALUE(MID(Sync!$Q497,FIND(":",Sync!$Q497)+1,2)),2),"0000"))))</f>
        <v/>
      </c>
      <c r="AK497">
        <f>IF(OR($AE497="",$AI497="",$AI497="نامعتبر"),"",LEFT($AI497,4)&amp;MID($AI497,6,2)&amp;RIGHT($AI497,2)&amp;$AJ497&amp;"|"&amp;"3"&amp;RIGHT("00000"&amp;492,5))</f>
        <v/>
      </c>
      <c r="AL497">
        <f>IF($AK497="","",COUNTIFS(LdAParty,$AE497,LdAType,1,LdAKey,"&lt;"&amp;$AK497)+COUNTIFS(LdBMember,$AE497,LdBKey,"&lt;"&amp;$AK497)+COUNTIFS(LdCParty,$AE497,LdCKey,"&lt;"&amp;$AK497)+1)</f>
        <v/>
      </c>
      <c r="AM497">
        <f>IF($AL497="","",$AE497&amp;"|"&amp;RIGHT("000000"&amp;$AL497,6))</f>
        <v/>
      </c>
      <c r="AN497">
        <f>IF($AE497="","",IF(Sync!$W497="",0,Sync!$W497))</f>
        <v/>
      </c>
      <c r="AO497">
        <f>IF($AE497="","",IF(Sync!$X497="",0,Sync!$X497))</f>
        <v/>
      </c>
      <c r="AP497">
        <f>IF($AE497="","",Sync!$R497)</f>
        <v/>
      </c>
      <c r="AQ497">
        <f>IF($AE497="","",Sync!$Y497)</f>
        <v/>
      </c>
    </row>
    <row r="498">
      <c r="A498">
        <f>IF(OR(Wages!$B501="",Wages!$E501=""),"",Wages!$E501)</f>
        <v/>
      </c>
      <c r="B498">
        <f>IF($A498="","",IF(Wages!$C501="دستمزد گروهی",2,1))</f>
        <v/>
      </c>
      <c r="C498">
        <f>IF($A498="","",IF(ISNUMBER(Wages!$B501),IF(AND(Wages!$B501&gt;=10000101,Wages!$B501&lt;=99991231),INT(Wages!$B501/10000),""),IFERROR(VALUE(TRIM(LEFT(Wages!$B501,FIND("/",Wages!$B501)-1))),"")))</f>
        <v/>
      </c>
      <c r="D498">
        <f>IF(OR($A498="",$C498=""),"",IF(ISNUMBER(Wages!$B501),INT(MOD(Wages!$B501,10000)/100),IFERROR(VALUE(TRIM(LEFT(MID(Wages!$B501,FIND("/",Wages!$B501)+1,20),FIND("/",MID(Wages!$B501,FIND("/",Wages!$B501)+1,20))-1))),"")))</f>
        <v/>
      </c>
      <c r="E498">
        <f>IF(OR($A498="",$C498=""),"",IF(ISNUMBER(Wages!$B501),MOD(Wages!$B501,100),IFERROR(VALUE(TRIM(MID(MID(Wages!$B501,FIND("/",Wages!$B501)+1,20),FIND("/",MID(Wages!$B501,FIND("/",Wages!$B501)+1,20))+1,20))),"")))</f>
        <v/>
      </c>
      <c r="F498">
        <f>IF($A498="","",IF(OR($C498="",$D498="",$E498="",$C498&lt;1300,$C498&gt;1500,$D498&lt;1,$D498&gt;12,$E498&lt;1,$E498&gt;31),"نامعتبر",RIGHT("0000"&amp;$C498,4)&amp;"/"&amp;RIGHT("00"&amp;$D498,2)&amp;"/"&amp;RIGHT("00"&amp;$E498,2)))</f>
        <v/>
      </c>
      <c r="G498">
        <f>IF(OR($A498="",$F498="",$F498="نامعتبر"),"",LEFT($F498,4)&amp;MID($F498,6,2)&amp;RIGHT($F498,2)&amp;"0000"&amp;"|"&amp;"1"&amp;RIGHT("00000"&amp;493,5))</f>
        <v/>
      </c>
      <c r="H498">
        <f>IF(OR($B498&lt;&gt;1,$G498=""),"",COUNTIFS(LdAParty,$A498,LdAType,1,LdAKey,"&lt;"&amp;$G498)+COUNTIFS(LdBMember,$A498,LdBKey,"&lt;"&amp;$G498)+COUNTIFS(LdCParty,$A498,LdCKey,"&lt;"&amp;$G498)+1)</f>
        <v/>
      </c>
      <c r="I498">
        <f>IF($H498="","",$A498&amp;"|"&amp;RIGHT("000000"&amp;$H498,6))</f>
        <v/>
      </c>
      <c r="J498">
        <f>IF(OR($B498&lt;&gt;2,$G498=""),"",COUNTIFS(LdAParty,$A498,LdAType,2,LdAKey,"&lt;"&amp;$G498)+1)</f>
        <v/>
      </c>
      <c r="K498">
        <f>IF($J498="","",$A498&amp;"|"&amp;RIGHT("000000"&amp;$J498,6))</f>
        <v/>
      </c>
      <c r="L498">
        <f>IF($A498="","",IF(Wages!$G501="",0,Wages!$G501))</f>
        <v/>
      </c>
      <c r="M498">
        <f>IF($A498="","",Wages!$J501)</f>
        <v/>
      </c>
      <c r="N498">
        <f>IF($A498="","",Wages!$D501)</f>
        <v/>
      </c>
      <c r="P498">
        <f>IF(OR(Shares!$B501="",Shares!$C501=""),"",Shares!$C501)</f>
        <v/>
      </c>
      <c r="Q498">
        <f>IF($P498="","",Shares!$B501)</f>
        <v/>
      </c>
      <c r="R498">
        <f>IF($P498="","",IFERROR(INDEX(WageParty,MATCH($Q498,WageIds,0)),""))</f>
        <v/>
      </c>
      <c r="S498">
        <f>IF($P498="","",IFERROR(INDEX($F$6:$F$2005,MATCH($Q498,WageIds,0)),""))</f>
        <v/>
      </c>
      <c r="T498">
        <f>IF(OR($P498="",$S498="",$S498="نامعتبر"),"",LEFT($S498,4)&amp;MID($S498,6,2)&amp;RIGHT($S498,2)&amp;"0000"&amp;"|"&amp;"2"&amp;RIGHT("00000"&amp;493,5))</f>
        <v/>
      </c>
      <c r="U498">
        <f>IF($T498="","",COUNTIFS(LdAParty,$P498,LdAType,1,LdAKey,"&lt;"&amp;$T498)+COUNTIFS(LdBMember,$P498,LdBKey,"&lt;"&amp;$T498)+COUNTIFS(LdCParty,$P498,LdCKey,"&lt;"&amp;$T498)+1)</f>
        <v/>
      </c>
      <c r="V498">
        <f>IF($U498="","",$P498&amp;"|"&amp;RIGHT("000000"&amp;$U498,6))</f>
        <v/>
      </c>
      <c r="W498">
        <f>IF($T498="","",COUNTIFS(LdBGroup,$R498,LdBKey,"&lt;"&amp;$T498)+1)</f>
        <v/>
      </c>
      <c r="X498">
        <f>IF($W498="","",$R498&amp;"|"&amp;RIGHT("000000"&amp;$W498,6))</f>
        <v/>
      </c>
      <c r="Y498">
        <f>IF($P498="","",IF(Shares!$E501="",0,Shares!$E501))</f>
        <v/>
      </c>
      <c r="Z498">
        <f>IF($P498="","",Shares!$H501)</f>
        <v/>
      </c>
      <c r="AE498">
        <f>IF(OR(Sync!$S498="",Sync!$P498=""),"",Sync!$S498)</f>
        <v/>
      </c>
      <c r="AF498">
        <f>IF($AE498="","",IF(ISNUMBER(Sync!$P498),IF(AND(Sync!$P498&gt;=10000101,Sync!$P498&lt;=99991231),INT(Sync!$P498/10000),""),IFERROR(VALUE(TRIM(LEFT(Sync!$P498,FIND("/",Sync!$P498)-1))),"")))</f>
        <v/>
      </c>
      <c r="AG498">
        <f>IF(OR($AE498="",$AF498=""),"",IF(ISNUMBER(Sync!$P498),INT(MOD(Sync!$P498,10000)/100),IFERROR(VALUE(TRIM(LEFT(MID(Sync!$P498,FIND("/",Sync!$P498)+1,20),FIND("/",MID(Sync!$P498,FIND("/",Sync!$P498)+1,20))-1))),"")))</f>
        <v/>
      </c>
      <c r="AH498">
        <f>IF(OR($AE498="",$AF498=""),"",IF(ISNUMBER(Sync!$P498),MOD(Sync!$P498,100),IFERROR(VALUE(TRIM(MID(MID(Sync!$P498,FIND("/",Sync!$P498)+1,20),FIND("/",MID(Sync!$P498,FIND("/",Sync!$P498)+1,20))+1,20))),"")))</f>
        <v/>
      </c>
      <c r="AI498">
        <f>IF($AE498="","",IF(OR($AF498="",$AG498="",$AH498="",$AF498&lt;1300,$AF498&gt;1500,$AG498&lt;1,$AG498&gt;12,$AH498&lt;1,$AH498&gt;31),"نامعتبر",RIGHT("0000"&amp;$AF498,4)&amp;"/"&amp;RIGHT("00"&amp;$AG498,2)&amp;"/"&amp;RIGHT("00"&amp;$AH498,2)))</f>
        <v/>
      </c>
      <c r="AJ498">
        <f>IF($AE498="","",IF(Sync!$Q498="","0000",IF(AND(ISNUMBER(Sync!$Q498),Sync!$Q498&gt;=0,Sync!$Q498&lt;1),RIGHT("00"&amp;HOUR(Sync!$Q498),2)&amp;RIGHT("00"&amp;MINUTE(Sync!$Q498),2),IFERROR(RIGHT("00"&amp;VALUE(LEFT(Sync!$Q498,FIND(":",Sync!$Q498)-1)),2)&amp;RIGHT("00"&amp;VALUE(MID(Sync!$Q498,FIND(":",Sync!$Q498)+1,2)),2),"0000"))))</f>
        <v/>
      </c>
      <c r="AK498">
        <f>IF(OR($AE498="",$AI498="",$AI498="نامعتبر"),"",LEFT($AI498,4)&amp;MID($AI498,6,2)&amp;RIGHT($AI498,2)&amp;$AJ498&amp;"|"&amp;"3"&amp;RIGHT("00000"&amp;493,5))</f>
        <v/>
      </c>
      <c r="AL498">
        <f>IF($AK498="","",COUNTIFS(LdAParty,$AE498,LdAType,1,LdAKey,"&lt;"&amp;$AK498)+COUNTIFS(LdBMember,$AE498,LdBKey,"&lt;"&amp;$AK498)+COUNTIFS(LdCParty,$AE498,LdCKey,"&lt;"&amp;$AK498)+1)</f>
        <v/>
      </c>
      <c r="AM498">
        <f>IF($AL498="","",$AE498&amp;"|"&amp;RIGHT("000000"&amp;$AL498,6))</f>
        <v/>
      </c>
      <c r="AN498">
        <f>IF($AE498="","",IF(Sync!$W498="",0,Sync!$W498))</f>
        <v/>
      </c>
      <c r="AO498">
        <f>IF($AE498="","",IF(Sync!$X498="",0,Sync!$X498))</f>
        <v/>
      </c>
      <c r="AP498">
        <f>IF($AE498="","",Sync!$R498)</f>
        <v/>
      </c>
      <c r="AQ498">
        <f>IF($AE498="","",Sync!$Y498)</f>
        <v/>
      </c>
    </row>
    <row r="499">
      <c r="A499">
        <f>IF(OR(Wages!$B502="",Wages!$E502=""),"",Wages!$E502)</f>
        <v/>
      </c>
      <c r="B499">
        <f>IF($A499="","",IF(Wages!$C502="دستمزد گروهی",2,1))</f>
        <v/>
      </c>
      <c r="C499">
        <f>IF($A499="","",IF(ISNUMBER(Wages!$B502),IF(AND(Wages!$B502&gt;=10000101,Wages!$B502&lt;=99991231),INT(Wages!$B502/10000),""),IFERROR(VALUE(TRIM(LEFT(Wages!$B502,FIND("/",Wages!$B502)-1))),"")))</f>
        <v/>
      </c>
      <c r="D499">
        <f>IF(OR($A499="",$C499=""),"",IF(ISNUMBER(Wages!$B502),INT(MOD(Wages!$B502,10000)/100),IFERROR(VALUE(TRIM(LEFT(MID(Wages!$B502,FIND("/",Wages!$B502)+1,20),FIND("/",MID(Wages!$B502,FIND("/",Wages!$B502)+1,20))-1))),"")))</f>
        <v/>
      </c>
      <c r="E499">
        <f>IF(OR($A499="",$C499=""),"",IF(ISNUMBER(Wages!$B502),MOD(Wages!$B502,100),IFERROR(VALUE(TRIM(MID(MID(Wages!$B502,FIND("/",Wages!$B502)+1,20),FIND("/",MID(Wages!$B502,FIND("/",Wages!$B502)+1,20))+1,20))),"")))</f>
        <v/>
      </c>
      <c r="F499">
        <f>IF($A499="","",IF(OR($C499="",$D499="",$E499="",$C499&lt;1300,$C499&gt;1500,$D499&lt;1,$D499&gt;12,$E499&lt;1,$E499&gt;31),"نامعتبر",RIGHT("0000"&amp;$C499,4)&amp;"/"&amp;RIGHT("00"&amp;$D499,2)&amp;"/"&amp;RIGHT("00"&amp;$E499,2)))</f>
        <v/>
      </c>
      <c r="G499">
        <f>IF(OR($A499="",$F499="",$F499="نامعتبر"),"",LEFT($F499,4)&amp;MID($F499,6,2)&amp;RIGHT($F499,2)&amp;"0000"&amp;"|"&amp;"1"&amp;RIGHT("00000"&amp;494,5))</f>
        <v/>
      </c>
      <c r="H499">
        <f>IF(OR($B499&lt;&gt;1,$G499=""),"",COUNTIFS(LdAParty,$A499,LdAType,1,LdAKey,"&lt;"&amp;$G499)+COUNTIFS(LdBMember,$A499,LdBKey,"&lt;"&amp;$G499)+COUNTIFS(LdCParty,$A499,LdCKey,"&lt;"&amp;$G499)+1)</f>
        <v/>
      </c>
      <c r="I499">
        <f>IF($H499="","",$A499&amp;"|"&amp;RIGHT("000000"&amp;$H499,6))</f>
        <v/>
      </c>
      <c r="J499">
        <f>IF(OR($B499&lt;&gt;2,$G499=""),"",COUNTIFS(LdAParty,$A499,LdAType,2,LdAKey,"&lt;"&amp;$G499)+1)</f>
        <v/>
      </c>
      <c r="K499">
        <f>IF($J499="","",$A499&amp;"|"&amp;RIGHT("000000"&amp;$J499,6))</f>
        <v/>
      </c>
      <c r="L499">
        <f>IF($A499="","",IF(Wages!$G502="",0,Wages!$G502))</f>
        <v/>
      </c>
      <c r="M499">
        <f>IF($A499="","",Wages!$J502)</f>
        <v/>
      </c>
      <c r="N499">
        <f>IF($A499="","",Wages!$D502)</f>
        <v/>
      </c>
      <c r="P499">
        <f>IF(OR(Shares!$B502="",Shares!$C502=""),"",Shares!$C502)</f>
        <v/>
      </c>
      <c r="Q499">
        <f>IF($P499="","",Shares!$B502)</f>
        <v/>
      </c>
      <c r="R499">
        <f>IF($P499="","",IFERROR(INDEX(WageParty,MATCH($Q499,WageIds,0)),""))</f>
        <v/>
      </c>
      <c r="S499">
        <f>IF($P499="","",IFERROR(INDEX($F$6:$F$2005,MATCH($Q499,WageIds,0)),""))</f>
        <v/>
      </c>
      <c r="T499">
        <f>IF(OR($P499="",$S499="",$S499="نامعتبر"),"",LEFT($S499,4)&amp;MID($S499,6,2)&amp;RIGHT($S499,2)&amp;"0000"&amp;"|"&amp;"2"&amp;RIGHT("00000"&amp;494,5))</f>
        <v/>
      </c>
      <c r="U499">
        <f>IF($T499="","",COUNTIFS(LdAParty,$P499,LdAType,1,LdAKey,"&lt;"&amp;$T499)+COUNTIFS(LdBMember,$P499,LdBKey,"&lt;"&amp;$T499)+COUNTIFS(LdCParty,$P499,LdCKey,"&lt;"&amp;$T499)+1)</f>
        <v/>
      </c>
      <c r="V499">
        <f>IF($U499="","",$P499&amp;"|"&amp;RIGHT("000000"&amp;$U499,6))</f>
        <v/>
      </c>
      <c r="W499">
        <f>IF($T499="","",COUNTIFS(LdBGroup,$R499,LdBKey,"&lt;"&amp;$T499)+1)</f>
        <v/>
      </c>
      <c r="X499">
        <f>IF($W499="","",$R499&amp;"|"&amp;RIGHT("000000"&amp;$W499,6))</f>
        <v/>
      </c>
      <c r="Y499">
        <f>IF($P499="","",IF(Shares!$E502="",0,Shares!$E502))</f>
        <v/>
      </c>
      <c r="Z499">
        <f>IF($P499="","",Shares!$H502)</f>
        <v/>
      </c>
      <c r="AE499">
        <f>IF(OR(Sync!$S499="",Sync!$P499=""),"",Sync!$S499)</f>
        <v/>
      </c>
      <c r="AF499">
        <f>IF($AE499="","",IF(ISNUMBER(Sync!$P499),IF(AND(Sync!$P499&gt;=10000101,Sync!$P499&lt;=99991231),INT(Sync!$P499/10000),""),IFERROR(VALUE(TRIM(LEFT(Sync!$P499,FIND("/",Sync!$P499)-1))),"")))</f>
        <v/>
      </c>
      <c r="AG499">
        <f>IF(OR($AE499="",$AF499=""),"",IF(ISNUMBER(Sync!$P499),INT(MOD(Sync!$P499,10000)/100),IFERROR(VALUE(TRIM(LEFT(MID(Sync!$P499,FIND("/",Sync!$P499)+1,20),FIND("/",MID(Sync!$P499,FIND("/",Sync!$P499)+1,20))-1))),"")))</f>
        <v/>
      </c>
      <c r="AH499">
        <f>IF(OR($AE499="",$AF499=""),"",IF(ISNUMBER(Sync!$P499),MOD(Sync!$P499,100),IFERROR(VALUE(TRIM(MID(MID(Sync!$P499,FIND("/",Sync!$P499)+1,20),FIND("/",MID(Sync!$P499,FIND("/",Sync!$P499)+1,20))+1,20))),"")))</f>
        <v/>
      </c>
      <c r="AI499">
        <f>IF($AE499="","",IF(OR($AF499="",$AG499="",$AH499="",$AF499&lt;1300,$AF499&gt;1500,$AG499&lt;1,$AG499&gt;12,$AH499&lt;1,$AH499&gt;31),"نامعتبر",RIGHT("0000"&amp;$AF499,4)&amp;"/"&amp;RIGHT("00"&amp;$AG499,2)&amp;"/"&amp;RIGHT("00"&amp;$AH499,2)))</f>
        <v/>
      </c>
      <c r="AJ499">
        <f>IF($AE499="","",IF(Sync!$Q499="","0000",IF(AND(ISNUMBER(Sync!$Q499),Sync!$Q499&gt;=0,Sync!$Q499&lt;1),RIGHT("00"&amp;HOUR(Sync!$Q499),2)&amp;RIGHT("00"&amp;MINUTE(Sync!$Q499),2),IFERROR(RIGHT("00"&amp;VALUE(LEFT(Sync!$Q499,FIND(":",Sync!$Q499)-1)),2)&amp;RIGHT("00"&amp;VALUE(MID(Sync!$Q499,FIND(":",Sync!$Q499)+1,2)),2),"0000"))))</f>
        <v/>
      </c>
      <c r="AK499">
        <f>IF(OR($AE499="",$AI499="",$AI499="نامعتبر"),"",LEFT($AI499,4)&amp;MID($AI499,6,2)&amp;RIGHT($AI499,2)&amp;$AJ499&amp;"|"&amp;"3"&amp;RIGHT("00000"&amp;494,5))</f>
        <v/>
      </c>
      <c r="AL499">
        <f>IF($AK499="","",COUNTIFS(LdAParty,$AE499,LdAType,1,LdAKey,"&lt;"&amp;$AK499)+COUNTIFS(LdBMember,$AE499,LdBKey,"&lt;"&amp;$AK499)+COUNTIFS(LdCParty,$AE499,LdCKey,"&lt;"&amp;$AK499)+1)</f>
        <v/>
      </c>
      <c r="AM499">
        <f>IF($AL499="","",$AE499&amp;"|"&amp;RIGHT("000000"&amp;$AL499,6))</f>
        <v/>
      </c>
      <c r="AN499">
        <f>IF($AE499="","",IF(Sync!$W499="",0,Sync!$W499))</f>
        <v/>
      </c>
      <c r="AO499">
        <f>IF($AE499="","",IF(Sync!$X499="",0,Sync!$X499))</f>
        <v/>
      </c>
      <c r="AP499">
        <f>IF($AE499="","",Sync!$R499)</f>
        <v/>
      </c>
      <c r="AQ499">
        <f>IF($AE499="","",Sync!$Y499)</f>
        <v/>
      </c>
    </row>
    <row r="500">
      <c r="A500">
        <f>IF(OR(Wages!$B503="",Wages!$E503=""),"",Wages!$E503)</f>
        <v/>
      </c>
      <c r="B500">
        <f>IF($A500="","",IF(Wages!$C503="دستمزد گروهی",2,1))</f>
        <v/>
      </c>
      <c r="C500">
        <f>IF($A500="","",IF(ISNUMBER(Wages!$B503),IF(AND(Wages!$B503&gt;=10000101,Wages!$B503&lt;=99991231),INT(Wages!$B503/10000),""),IFERROR(VALUE(TRIM(LEFT(Wages!$B503,FIND("/",Wages!$B503)-1))),"")))</f>
        <v/>
      </c>
      <c r="D500">
        <f>IF(OR($A500="",$C500=""),"",IF(ISNUMBER(Wages!$B503),INT(MOD(Wages!$B503,10000)/100),IFERROR(VALUE(TRIM(LEFT(MID(Wages!$B503,FIND("/",Wages!$B503)+1,20),FIND("/",MID(Wages!$B503,FIND("/",Wages!$B503)+1,20))-1))),"")))</f>
        <v/>
      </c>
      <c r="E500">
        <f>IF(OR($A500="",$C500=""),"",IF(ISNUMBER(Wages!$B503),MOD(Wages!$B503,100),IFERROR(VALUE(TRIM(MID(MID(Wages!$B503,FIND("/",Wages!$B503)+1,20),FIND("/",MID(Wages!$B503,FIND("/",Wages!$B503)+1,20))+1,20))),"")))</f>
        <v/>
      </c>
      <c r="F500">
        <f>IF($A500="","",IF(OR($C500="",$D500="",$E500="",$C500&lt;1300,$C500&gt;1500,$D500&lt;1,$D500&gt;12,$E500&lt;1,$E500&gt;31),"نامعتبر",RIGHT("0000"&amp;$C500,4)&amp;"/"&amp;RIGHT("00"&amp;$D500,2)&amp;"/"&amp;RIGHT("00"&amp;$E500,2)))</f>
        <v/>
      </c>
      <c r="G500">
        <f>IF(OR($A500="",$F500="",$F500="نامعتبر"),"",LEFT($F500,4)&amp;MID($F500,6,2)&amp;RIGHT($F500,2)&amp;"0000"&amp;"|"&amp;"1"&amp;RIGHT("00000"&amp;495,5))</f>
        <v/>
      </c>
      <c r="H500">
        <f>IF(OR($B500&lt;&gt;1,$G500=""),"",COUNTIFS(LdAParty,$A500,LdAType,1,LdAKey,"&lt;"&amp;$G500)+COUNTIFS(LdBMember,$A500,LdBKey,"&lt;"&amp;$G500)+COUNTIFS(LdCParty,$A500,LdCKey,"&lt;"&amp;$G500)+1)</f>
        <v/>
      </c>
      <c r="I500">
        <f>IF($H500="","",$A500&amp;"|"&amp;RIGHT("000000"&amp;$H500,6))</f>
        <v/>
      </c>
      <c r="J500">
        <f>IF(OR($B500&lt;&gt;2,$G500=""),"",COUNTIFS(LdAParty,$A500,LdAType,2,LdAKey,"&lt;"&amp;$G500)+1)</f>
        <v/>
      </c>
      <c r="K500">
        <f>IF($J500="","",$A500&amp;"|"&amp;RIGHT("000000"&amp;$J500,6))</f>
        <v/>
      </c>
      <c r="L500">
        <f>IF($A500="","",IF(Wages!$G503="",0,Wages!$G503))</f>
        <v/>
      </c>
      <c r="M500">
        <f>IF($A500="","",Wages!$J503)</f>
        <v/>
      </c>
      <c r="N500">
        <f>IF($A500="","",Wages!$D503)</f>
        <v/>
      </c>
      <c r="P500">
        <f>IF(OR(Shares!$B503="",Shares!$C503=""),"",Shares!$C503)</f>
        <v/>
      </c>
      <c r="Q500">
        <f>IF($P500="","",Shares!$B503)</f>
        <v/>
      </c>
      <c r="R500">
        <f>IF($P500="","",IFERROR(INDEX(WageParty,MATCH($Q500,WageIds,0)),""))</f>
        <v/>
      </c>
      <c r="S500">
        <f>IF($P500="","",IFERROR(INDEX($F$6:$F$2005,MATCH($Q500,WageIds,0)),""))</f>
        <v/>
      </c>
      <c r="T500">
        <f>IF(OR($P500="",$S500="",$S500="نامعتبر"),"",LEFT($S500,4)&amp;MID($S500,6,2)&amp;RIGHT($S500,2)&amp;"0000"&amp;"|"&amp;"2"&amp;RIGHT("00000"&amp;495,5))</f>
        <v/>
      </c>
      <c r="U500">
        <f>IF($T500="","",COUNTIFS(LdAParty,$P500,LdAType,1,LdAKey,"&lt;"&amp;$T500)+COUNTIFS(LdBMember,$P500,LdBKey,"&lt;"&amp;$T500)+COUNTIFS(LdCParty,$P500,LdCKey,"&lt;"&amp;$T500)+1)</f>
        <v/>
      </c>
      <c r="V500">
        <f>IF($U500="","",$P500&amp;"|"&amp;RIGHT("000000"&amp;$U500,6))</f>
        <v/>
      </c>
      <c r="W500">
        <f>IF($T500="","",COUNTIFS(LdBGroup,$R500,LdBKey,"&lt;"&amp;$T500)+1)</f>
        <v/>
      </c>
      <c r="X500">
        <f>IF($W500="","",$R500&amp;"|"&amp;RIGHT("000000"&amp;$W500,6))</f>
        <v/>
      </c>
      <c r="Y500">
        <f>IF($P500="","",IF(Shares!$E503="",0,Shares!$E503))</f>
        <v/>
      </c>
      <c r="Z500">
        <f>IF($P500="","",Shares!$H503)</f>
        <v/>
      </c>
      <c r="AE500">
        <f>IF(OR(Sync!$S500="",Sync!$P500=""),"",Sync!$S500)</f>
        <v/>
      </c>
      <c r="AF500">
        <f>IF($AE500="","",IF(ISNUMBER(Sync!$P500),IF(AND(Sync!$P500&gt;=10000101,Sync!$P500&lt;=99991231),INT(Sync!$P500/10000),""),IFERROR(VALUE(TRIM(LEFT(Sync!$P500,FIND("/",Sync!$P500)-1))),"")))</f>
        <v/>
      </c>
      <c r="AG500">
        <f>IF(OR($AE500="",$AF500=""),"",IF(ISNUMBER(Sync!$P500),INT(MOD(Sync!$P500,10000)/100),IFERROR(VALUE(TRIM(LEFT(MID(Sync!$P500,FIND("/",Sync!$P500)+1,20),FIND("/",MID(Sync!$P500,FIND("/",Sync!$P500)+1,20))-1))),"")))</f>
        <v/>
      </c>
      <c r="AH500">
        <f>IF(OR($AE500="",$AF500=""),"",IF(ISNUMBER(Sync!$P500),MOD(Sync!$P500,100),IFERROR(VALUE(TRIM(MID(MID(Sync!$P500,FIND("/",Sync!$P500)+1,20),FIND("/",MID(Sync!$P500,FIND("/",Sync!$P500)+1,20))+1,20))),"")))</f>
        <v/>
      </c>
      <c r="AI500">
        <f>IF($AE500="","",IF(OR($AF500="",$AG500="",$AH500="",$AF500&lt;1300,$AF500&gt;1500,$AG500&lt;1,$AG500&gt;12,$AH500&lt;1,$AH500&gt;31),"نامعتبر",RIGHT("0000"&amp;$AF500,4)&amp;"/"&amp;RIGHT("00"&amp;$AG500,2)&amp;"/"&amp;RIGHT("00"&amp;$AH500,2)))</f>
        <v/>
      </c>
      <c r="AJ500">
        <f>IF($AE500="","",IF(Sync!$Q500="","0000",IF(AND(ISNUMBER(Sync!$Q500),Sync!$Q500&gt;=0,Sync!$Q500&lt;1),RIGHT("00"&amp;HOUR(Sync!$Q500),2)&amp;RIGHT("00"&amp;MINUTE(Sync!$Q500),2),IFERROR(RIGHT("00"&amp;VALUE(LEFT(Sync!$Q500,FIND(":",Sync!$Q500)-1)),2)&amp;RIGHT("00"&amp;VALUE(MID(Sync!$Q500,FIND(":",Sync!$Q500)+1,2)),2),"0000"))))</f>
        <v/>
      </c>
      <c r="AK500">
        <f>IF(OR($AE500="",$AI500="",$AI500="نامعتبر"),"",LEFT($AI500,4)&amp;MID($AI500,6,2)&amp;RIGHT($AI500,2)&amp;$AJ500&amp;"|"&amp;"3"&amp;RIGHT("00000"&amp;495,5))</f>
        <v/>
      </c>
      <c r="AL500">
        <f>IF($AK500="","",COUNTIFS(LdAParty,$AE500,LdAType,1,LdAKey,"&lt;"&amp;$AK500)+COUNTIFS(LdBMember,$AE500,LdBKey,"&lt;"&amp;$AK500)+COUNTIFS(LdCParty,$AE500,LdCKey,"&lt;"&amp;$AK500)+1)</f>
        <v/>
      </c>
      <c r="AM500">
        <f>IF($AL500="","",$AE500&amp;"|"&amp;RIGHT("000000"&amp;$AL500,6))</f>
        <v/>
      </c>
      <c r="AN500">
        <f>IF($AE500="","",IF(Sync!$W500="",0,Sync!$W500))</f>
        <v/>
      </c>
      <c r="AO500">
        <f>IF($AE500="","",IF(Sync!$X500="",0,Sync!$X500))</f>
        <v/>
      </c>
      <c r="AP500">
        <f>IF($AE500="","",Sync!$R500)</f>
        <v/>
      </c>
      <c r="AQ500">
        <f>IF($AE500="","",Sync!$Y500)</f>
        <v/>
      </c>
    </row>
    <row r="501">
      <c r="A501">
        <f>IF(OR(Wages!$B504="",Wages!$E504=""),"",Wages!$E504)</f>
        <v/>
      </c>
      <c r="B501">
        <f>IF($A501="","",IF(Wages!$C504="دستمزد گروهی",2,1))</f>
        <v/>
      </c>
      <c r="C501">
        <f>IF($A501="","",IF(ISNUMBER(Wages!$B504),IF(AND(Wages!$B504&gt;=10000101,Wages!$B504&lt;=99991231),INT(Wages!$B504/10000),""),IFERROR(VALUE(TRIM(LEFT(Wages!$B504,FIND("/",Wages!$B504)-1))),"")))</f>
        <v/>
      </c>
      <c r="D501">
        <f>IF(OR($A501="",$C501=""),"",IF(ISNUMBER(Wages!$B504),INT(MOD(Wages!$B504,10000)/100),IFERROR(VALUE(TRIM(LEFT(MID(Wages!$B504,FIND("/",Wages!$B504)+1,20),FIND("/",MID(Wages!$B504,FIND("/",Wages!$B504)+1,20))-1))),"")))</f>
        <v/>
      </c>
      <c r="E501">
        <f>IF(OR($A501="",$C501=""),"",IF(ISNUMBER(Wages!$B504),MOD(Wages!$B504,100),IFERROR(VALUE(TRIM(MID(MID(Wages!$B504,FIND("/",Wages!$B504)+1,20),FIND("/",MID(Wages!$B504,FIND("/",Wages!$B504)+1,20))+1,20))),"")))</f>
        <v/>
      </c>
      <c r="F501">
        <f>IF($A501="","",IF(OR($C501="",$D501="",$E501="",$C501&lt;1300,$C501&gt;1500,$D501&lt;1,$D501&gt;12,$E501&lt;1,$E501&gt;31),"نامعتبر",RIGHT("0000"&amp;$C501,4)&amp;"/"&amp;RIGHT("00"&amp;$D501,2)&amp;"/"&amp;RIGHT("00"&amp;$E501,2)))</f>
        <v/>
      </c>
      <c r="G501">
        <f>IF(OR($A501="",$F501="",$F501="نامعتبر"),"",LEFT($F501,4)&amp;MID($F501,6,2)&amp;RIGHT($F501,2)&amp;"0000"&amp;"|"&amp;"1"&amp;RIGHT("00000"&amp;496,5))</f>
        <v/>
      </c>
      <c r="H501">
        <f>IF(OR($B501&lt;&gt;1,$G501=""),"",COUNTIFS(LdAParty,$A501,LdAType,1,LdAKey,"&lt;"&amp;$G501)+COUNTIFS(LdBMember,$A501,LdBKey,"&lt;"&amp;$G501)+COUNTIFS(LdCParty,$A501,LdCKey,"&lt;"&amp;$G501)+1)</f>
        <v/>
      </c>
      <c r="I501">
        <f>IF($H501="","",$A501&amp;"|"&amp;RIGHT("000000"&amp;$H501,6))</f>
        <v/>
      </c>
      <c r="J501">
        <f>IF(OR($B501&lt;&gt;2,$G501=""),"",COUNTIFS(LdAParty,$A501,LdAType,2,LdAKey,"&lt;"&amp;$G501)+1)</f>
        <v/>
      </c>
      <c r="K501">
        <f>IF($J501="","",$A501&amp;"|"&amp;RIGHT("000000"&amp;$J501,6))</f>
        <v/>
      </c>
      <c r="L501">
        <f>IF($A501="","",IF(Wages!$G504="",0,Wages!$G504))</f>
        <v/>
      </c>
      <c r="M501">
        <f>IF($A501="","",Wages!$J504)</f>
        <v/>
      </c>
      <c r="N501">
        <f>IF($A501="","",Wages!$D504)</f>
        <v/>
      </c>
      <c r="P501">
        <f>IF(OR(Shares!$B504="",Shares!$C504=""),"",Shares!$C504)</f>
        <v/>
      </c>
      <c r="Q501">
        <f>IF($P501="","",Shares!$B504)</f>
        <v/>
      </c>
      <c r="R501">
        <f>IF($P501="","",IFERROR(INDEX(WageParty,MATCH($Q501,WageIds,0)),""))</f>
        <v/>
      </c>
      <c r="S501">
        <f>IF($P501="","",IFERROR(INDEX($F$6:$F$2005,MATCH($Q501,WageIds,0)),""))</f>
        <v/>
      </c>
      <c r="T501">
        <f>IF(OR($P501="",$S501="",$S501="نامعتبر"),"",LEFT($S501,4)&amp;MID($S501,6,2)&amp;RIGHT($S501,2)&amp;"0000"&amp;"|"&amp;"2"&amp;RIGHT("00000"&amp;496,5))</f>
        <v/>
      </c>
      <c r="U501">
        <f>IF($T501="","",COUNTIFS(LdAParty,$P501,LdAType,1,LdAKey,"&lt;"&amp;$T501)+COUNTIFS(LdBMember,$P501,LdBKey,"&lt;"&amp;$T501)+COUNTIFS(LdCParty,$P501,LdCKey,"&lt;"&amp;$T501)+1)</f>
        <v/>
      </c>
      <c r="V501">
        <f>IF($U501="","",$P501&amp;"|"&amp;RIGHT("000000"&amp;$U501,6))</f>
        <v/>
      </c>
      <c r="W501">
        <f>IF($T501="","",COUNTIFS(LdBGroup,$R501,LdBKey,"&lt;"&amp;$T501)+1)</f>
        <v/>
      </c>
      <c r="X501">
        <f>IF($W501="","",$R501&amp;"|"&amp;RIGHT("000000"&amp;$W501,6))</f>
        <v/>
      </c>
      <c r="Y501">
        <f>IF($P501="","",IF(Shares!$E504="",0,Shares!$E504))</f>
        <v/>
      </c>
      <c r="Z501">
        <f>IF($P501="","",Shares!$H504)</f>
        <v/>
      </c>
      <c r="AE501">
        <f>IF(OR(Sync!$S501="",Sync!$P501=""),"",Sync!$S501)</f>
        <v/>
      </c>
      <c r="AF501">
        <f>IF($AE501="","",IF(ISNUMBER(Sync!$P501),IF(AND(Sync!$P501&gt;=10000101,Sync!$P501&lt;=99991231),INT(Sync!$P501/10000),""),IFERROR(VALUE(TRIM(LEFT(Sync!$P501,FIND("/",Sync!$P501)-1))),"")))</f>
        <v/>
      </c>
      <c r="AG501">
        <f>IF(OR($AE501="",$AF501=""),"",IF(ISNUMBER(Sync!$P501),INT(MOD(Sync!$P501,10000)/100),IFERROR(VALUE(TRIM(LEFT(MID(Sync!$P501,FIND("/",Sync!$P501)+1,20),FIND("/",MID(Sync!$P501,FIND("/",Sync!$P501)+1,20))-1))),"")))</f>
        <v/>
      </c>
      <c r="AH501">
        <f>IF(OR($AE501="",$AF501=""),"",IF(ISNUMBER(Sync!$P501),MOD(Sync!$P501,100),IFERROR(VALUE(TRIM(MID(MID(Sync!$P501,FIND("/",Sync!$P501)+1,20),FIND("/",MID(Sync!$P501,FIND("/",Sync!$P501)+1,20))+1,20))),"")))</f>
        <v/>
      </c>
      <c r="AI501">
        <f>IF($AE501="","",IF(OR($AF501="",$AG501="",$AH501="",$AF501&lt;1300,$AF501&gt;1500,$AG501&lt;1,$AG501&gt;12,$AH501&lt;1,$AH501&gt;31),"نامعتبر",RIGHT("0000"&amp;$AF501,4)&amp;"/"&amp;RIGHT("00"&amp;$AG501,2)&amp;"/"&amp;RIGHT("00"&amp;$AH501,2)))</f>
        <v/>
      </c>
      <c r="AJ501">
        <f>IF($AE501="","",IF(Sync!$Q501="","0000",IF(AND(ISNUMBER(Sync!$Q501),Sync!$Q501&gt;=0,Sync!$Q501&lt;1),RIGHT("00"&amp;HOUR(Sync!$Q501),2)&amp;RIGHT("00"&amp;MINUTE(Sync!$Q501),2),IFERROR(RIGHT("00"&amp;VALUE(LEFT(Sync!$Q501,FIND(":",Sync!$Q501)-1)),2)&amp;RIGHT("00"&amp;VALUE(MID(Sync!$Q501,FIND(":",Sync!$Q501)+1,2)),2),"0000"))))</f>
        <v/>
      </c>
      <c r="AK501">
        <f>IF(OR($AE501="",$AI501="",$AI501="نامعتبر"),"",LEFT($AI501,4)&amp;MID($AI501,6,2)&amp;RIGHT($AI501,2)&amp;$AJ501&amp;"|"&amp;"3"&amp;RIGHT("00000"&amp;496,5))</f>
        <v/>
      </c>
      <c r="AL501">
        <f>IF($AK501="","",COUNTIFS(LdAParty,$AE501,LdAType,1,LdAKey,"&lt;"&amp;$AK501)+COUNTIFS(LdBMember,$AE501,LdBKey,"&lt;"&amp;$AK501)+COUNTIFS(LdCParty,$AE501,LdCKey,"&lt;"&amp;$AK501)+1)</f>
        <v/>
      </c>
      <c r="AM501">
        <f>IF($AL501="","",$AE501&amp;"|"&amp;RIGHT("000000"&amp;$AL501,6))</f>
        <v/>
      </c>
      <c r="AN501">
        <f>IF($AE501="","",IF(Sync!$W501="",0,Sync!$W501))</f>
        <v/>
      </c>
      <c r="AO501">
        <f>IF($AE501="","",IF(Sync!$X501="",0,Sync!$X501))</f>
        <v/>
      </c>
      <c r="AP501">
        <f>IF($AE501="","",Sync!$R501)</f>
        <v/>
      </c>
      <c r="AQ501">
        <f>IF($AE501="","",Sync!$Y501)</f>
        <v/>
      </c>
    </row>
    <row r="502">
      <c r="A502">
        <f>IF(OR(Wages!$B505="",Wages!$E505=""),"",Wages!$E505)</f>
        <v/>
      </c>
      <c r="B502">
        <f>IF($A502="","",IF(Wages!$C505="دستمزد گروهی",2,1))</f>
        <v/>
      </c>
      <c r="C502">
        <f>IF($A502="","",IF(ISNUMBER(Wages!$B505),IF(AND(Wages!$B505&gt;=10000101,Wages!$B505&lt;=99991231),INT(Wages!$B505/10000),""),IFERROR(VALUE(TRIM(LEFT(Wages!$B505,FIND("/",Wages!$B505)-1))),"")))</f>
        <v/>
      </c>
      <c r="D502">
        <f>IF(OR($A502="",$C502=""),"",IF(ISNUMBER(Wages!$B505),INT(MOD(Wages!$B505,10000)/100),IFERROR(VALUE(TRIM(LEFT(MID(Wages!$B505,FIND("/",Wages!$B505)+1,20),FIND("/",MID(Wages!$B505,FIND("/",Wages!$B505)+1,20))-1))),"")))</f>
        <v/>
      </c>
      <c r="E502">
        <f>IF(OR($A502="",$C502=""),"",IF(ISNUMBER(Wages!$B505),MOD(Wages!$B505,100),IFERROR(VALUE(TRIM(MID(MID(Wages!$B505,FIND("/",Wages!$B505)+1,20),FIND("/",MID(Wages!$B505,FIND("/",Wages!$B505)+1,20))+1,20))),"")))</f>
        <v/>
      </c>
      <c r="F502">
        <f>IF($A502="","",IF(OR($C502="",$D502="",$E502="",$C502&lt;1300,$C502&gt;1500,$D502&lt;1,$D502&gt;12,$E502&lt;1,$E502&gt;31),"نامعتبر",RIGHT("0000"&amp;$C502,4)&amp;"/"&amp;RIGHT("00"&amp;$D502,2)&amp;"/"&amp;RIGHT("00"&amp;$E502,2)))</f>
        <v/>
      </c>
      <c r="G502">
        <f>IF(OR($A502="",$F502="",$F502="نامعتبر"),"",LEFT($F502,4)&amp;MID($F502,6,2)&amp;RIGHT($F502,2)&amp;"0000"&amp;"|"&amp;"1"&amp;RIGHT("00000"&amp;497,5))</f>
        <v/>
      </c>
      <c r="H502">
        <f>IF(OR($B502&lt;&gt;1,$G502=""),"",COUNTIFS(LdAParty,$A502,LdAType,1,LdAKey,"&lt;"&amp;$G502)+COUNTIFS(LdBMember,$A502,LdBKey,"&lt;"&amp;$G502)+COUNTIFS(LdCParty,$A502,LdCKey,"&lt;"&amp;$G502)+1)</f>
        <v/>
      </c>
      <c r="I502">
        <f>IF($H502="","",$A502&amp;"|"&amp;RIGHT("000000"&amp;$H502,6))</f>
        <v/>
      </c>
      <c r="J502">
        <f>IF(OR($B502&lt;&gt;2,$G502=""),"",COUNTIFS(LdAParty,$A502,LdAType,2,LdAKey,"&lt;"&amp;$G502)+1)</f>
        <v/>
      </c>
      <c r="K502">
        <f>IF($J502="","",$A502&amp;"|"&amp;RIGHT("000000"&amp;$J502,6))</f>
        <v/>
      </c>
      <c r="L502">
        <f>IF($A502="","",IF(Wages!$G505="",0,Wages!$G505))</f>
        <v/>
      </c>
      <c r="M502">
        <f>IF($A502="","",Wages!$J505)</f>
        <v/>
      </c>
      <c r="N502">
        <f>IF($A502="","",Wages!$D505)</f>
        <v/>
      </c>
      <c r="P502">
        <f>IF(OR(Shares!$B505="",Shares!$C505=""),"",Shares!$C505)</f>
        <v/>
      </c>
      <c r="Q502">
        <f>IF($P502="","",Shares!$B505)</f>
        <v/>
      </c>
      <c r="R502">
        <f>IF($P502="","",IFERROR(INDEX(WageParty,MATCH($Q502,WageIds,0)),""))</f>
        <v/>
      </c>
      <c r="S502">
        <f>IF($P502="","",IFERROR(INDEX($F$6:$F$2005,MATCH($Q502,WageIds,0)),""))</f>
        <v/>
      </c>
      <c r="T502">
        <f>IF(OR($P502="",$S502="",$S502="نامعتبر"),"",LEFT($S502,4)&amp;MID($S502,6,2)&amp;RIGHT($S502,2)&amp;"0000"&amp;"|"&amp;"2"&amp;RIGHT("00000"&amp;497,5))</f>
        <v/>
      </c>
      <c r="U502">
        <f>IF($T502="","",COUNTIFS(LdAParty,$P502,LdAType,1,LdAKey,"&lt;"&amp;$T502)+COUNTIFS(LdBMember,$P502,LdBKey,"&lt;"&amp;$T502)+COUNTIFS(LdCParty,$P502,LdCKey,"&lt;"&amp;$T502)+1)</f>
        <v/>
      </c>
      <c r="V502">
        <f>IF($U502="","",$P502&amp;"|"&amp;RIGHT("000000"&amp;$U502,6))</f>
        <v/>
      </c>
      <c r="W502">
        <f>IF($T502="","",COUNTIFS(LdBGroup,$R502,LdBKey,"&lt;"&amp;$T502)+1)</f>
        <v/>
      </c>
      <c r="X502">
        <f>IF($W502="","",$R502&amp;"|"&amp;RIGHT("000000"&amp;$W502,6))</f>
        <v/>
      </c>
      <c r="Y502">
        <f>IF($P502="","",IF(Shares!$E505="",0,Shares!$E505))</f>
        <v/>
      </c>
      <c r="Z502">
        <f>IF($P502="","",Shares!$H505)</f>
        <v/>
      </c>
      <c r="AE502">
        <f>IF(OR(Sync!$S502="",Sync!$P502=""),"",Sync!$S502)</f>
        <v/>
      </c>
      <c r="AF502">
        <f>IF($AE502="","",IF(ISNUMBER(Sync!$P502),IF(AND(Sync!$P502&gt;=10000101,Sync!$P502&lt;=99991231),INT(Sync!$P502/10000),""),IFERROR(VALUE(TRIM(LEFT(Sync!$P502,FIND("/",Sync!$P502)-1))),"")))</f>
        <v/>
      </c>
      <c r="AG502">
        <f>IF(OR($AE502="",$AF502=""),"",IF(ISNUMBER(Sync!$P502),INT(MOD(Sync!$P502,10000)/100),IFERROR(VALUE(TRIM(LEFT(MID(Sync!$P502,FIND("/",Sync!$P502)+1,20),FIND("/",MID(Sync!$P502,FIND("/",Sync!$P502)+1,20))-1))),"")))</f>
        <v/>
      </c>
      <c r="AH502">
        <f>IF(OR($AE502="",$AF502=""),"",IF(ISNUMBER(Sync!$P502),MOD(Sync!$P502,100),IFERROR(VALUE(TRIM(MID(MID(Sync!$P502,FIND("/",Sync!$P502)+1,20),FIND("/",MID(Sync!$P502,FIND("/",Sync!$P502)+1,20))+1,20))),"")))</f>
        <v/>
      </c>
      <c r="AI502">
        <f>IF($AE502="","",IF(OR($AF502="",$AG502="",$AH502="",$AF502&lt;1300,$AF502&gt;1500,$AG502&lt;1,$AG502&gt;12,$AH502&lt;1,$AH502&gt;31),"نامعتبر",RIGHT("0000"&amp;$AF502,4)&amp;"/"&amp;RIGHT("00"&amp;$AG502,2)&amp;"/"&amp;RIGHT("00"&amp;$AH502,2)))</f>
        <v/>
      </c>
      <c r="AJ502">
        <f>IF($AE502="","",IF(Sync!$Q502="","0000",IF(AND(ISNUMBER(Sync!$Q502),Sync!$Q502&gt;=0,Sync!$Q502&lt;1),RIGHT("00"&amp;HOUR(Sync!$Q502),2)&amp;RIGHT("00"&amp;MINUTE(Sync!$Q502),2),IFERROR(RIGHT("00"&amp;VALUE(LEFT(Sync!$Q502,FIND(":",Sync!$Q502)-1)),2)&amp;RIGHT("00"&amp;VALUE(MID(Sync!$Q502,FIND(":",Sync!$Q502)+1,2)),2),"0000"))))</f>
        <v/>
      </c>
      <c r="AK502">
        <f>IF(OR($AE502="",$AI502="",$AI502="نامعتبر"),"",LEFT($AI502,4)&amp;MID($AI502,6,2)&amp;RIGHT($AI502,2)&amp;$AJ502&amp;"|"&amp;"3"&amp;RIGHT("00000"&amp;497,5))</f>
        <v/>
      </c>
      <c r="AL502">
        <f>IF($AK502="","",COUNTIFS(LdAParty,$AE502,LdAType,1,LdAKey,"&lt;"&amp;$AK502)+COUNTIFS(LdBMember,$AE502,LdBKey,"&lt;"&amp;$AK502)+COUNTIFS(LdCParty,$AE502,LdCKey,"&lt;"&amp;$AK502)+1)</f>
        <v/>
      </c>
      <c r="AM502">
        <f>IF($AL502="","",$AE502&amp;"|"&amp;RIGHT("000000"&amp;$AL502,6))</f>
        <v/>
      </c>
      <c r="AN502">
        <f>IF($AE502="","",IF(Sync!$W502="",0,Sync!$W502))</f>
        <v/>
      </c>
      <c r="AO502">
        <f>IF($AE502="","",IF(Sync!$X502="",0,Sync!$X502))</f>
        <v/>
      </c>
      <c r="AP502">
        <f>IF($AE502="","",Sync!$R502)</f>
        <v/>
      </c>
      <c r="AQ502">
        <f>IF($AE502="","",Sync!$Y502)</f>
        <v/>
      </c>
    </row>
    <row r="503">
      <c r="A503">
        <f>IF(OR(Wages!$B506="",Wages!$E506=""),"",Wages!$E506)</f>
        <v/>
      </c>
      <c r="B503">
        <f>IF($A503="","",IF(Wages!$C506="دستمزد گروهی",2,1))</f>
        <v/>
      </c>
      <c r="C503">
        <f>IF($A503="","",IF(ISNUMBER(Wages!$B506),IF(AND(Wages!$B506&gt;=10000101,Wages!$B506&lt;=99991231),INT(Wages!$B506/10000),""),IFERROR(VALUE(TRIM(LEFT(Wages!$B506,FIND("/",Wages!$B506)-1))),"")))</f>
        <v/>
      </c>
      <c r="D503">
        <f>IF(OR($A503="",$C503=""),"",IF(ISNUMBER(Wages!$B506),INT(MOD(Wages!$B506,10000)/100),IFERROR(VALUE(TRIM(LEFT(MID(Wages!$B506,FIND("/",Wages!$B506)+1,20),FIND("/",MID(Wages!$B506,FIND("/",Wages!$B506)+1,20))-1))),"")))</f>
        <v/>
      </c>
      <c r="E503">
        <f>IF(OR($A503="",$C503=""),"",IF(ISNUMBER(Wages!$B506),MOD(Wages!$B506,100),IFERROR(VALUE(TRIM(MID(MID(Wages!$B506,FIND("/",Wages!$B506)+1,20),FIND("/",MID(Wages!$B506,FIND("/",Wages!$B506)+1,20))+1,20))),"")))</f>
        <v/>
      </c>
      <c r="F503">
        <f>IF($A503="","",IF(OR($C503="",$D503="",$E503="",$C503&lt;1300,$C503&gt;1500,$D503&lt;1,$D503&gt;12,$E503&lt;1,$E503&gt;31),"نامعتبر",RIGHT("0000"&amp;$C503,4)&amp;"/"&amp;RIGHT("00"&amp;$D503,2)&amp;"/"&amp;RIGHT("00"&amp;$E503,2)))</f>
        <v/>
      </c>
      <c r="G503">
        <f>IF(OR($A503="",$F503="",$F503="نامعتبر"),"",LEFT($F503,4)&amp;MID($F503,6,2)&amp;RIGHT($F503,2)&amp;"0000"&amp;"|"&amp;"1"&amp;RIGHT("00000"&amp;498,5))</f>
        <v/>
      </c>
      <c r="H503">
        <f>IF(OR($B503&lt;&gt;1,$G503=""),"",COUNTIFS(LdAParty,$A503,LdAType,1,LdAKey,"&lt;"&amp;$G503)+COUNTIFS(LdBMember,$A503,LdBKey,"&lt;"&amp;$G503)+COUNTIFS(LdCParty,$A503,LdCKey,"&lt;"&amp;$G503)+1)</f>
        <v/>
      </c>
      <c r="I503">
        <f>IF($H503="","",$A503&amp;"|"&amp;RIGHT("000000"&amp;$H503,6))</f>
        <v/>
      </c>
      <c r="J503">
        <f>IF(OR($B503&lt;&gt;2,$G503=""),"",COUNTIFS(LdAParty,$A503,LdAType,2,LdAKey,"&lt;"&amp;$G503)+1)</f>
        <v/>
      </c>
      <c r="K503">
        <f>IF($J503="","",$A503&amp;"|"&amp;RIGHT("000000"&amp;$J503,6))</f>
        <v/>
      </c>
      <c r="L503">
        <f>IF($A503="","",IF(Wages!$G506="",0,Wages!$G506))</f>
        <v/>
      </c>
      <c r="M503">
        <f>IF($A503="","",Wages!$J506)</f>
        <v/>
      </c>
      <c r="N503">
        <f>IF($A503="","",Wages!$D506)</f>
        <v/>
      </c>
      <c r="P503">
        <f>IF(OR(Shares!$B506="",Shares!$C506=""),"",Shares!$C506)</f>
        <v/>
      </c>
      <c r="Q503">
        <f>IF($P503="","",Shares!$B506)</f>
        <v/>
      </c>
      <c r="R503">
        <f>IF($P503="","",IFERROR(INDEX(WageParty,MATCH($Q503,WageIds,0)),""))</f>
        <v/>
      </c>
      <c r="S503">
        <f>IF($P503="","",IFERROR(INDEX($F$6:$F$2005,MATCH($Q503,WageIds,0)),""))</f>
        <v/>
      </c>
      <c r="T503">
        <f>IF(OR($P503="",$S503="",$S503="نامعتبر"),"",LEFT($S503,4)&amp;MID($S503,6,2)&amp;RIGHT($S503,2)&amp;"0000"&amp;"|"&amp;"2"&amp;RIGHT("00000"&amp;498,5))</f>
        <v/>
      </c>
      <c r="U503">
        <f>IF($T503="","",COUNTIFS(LdAParty,$P503,LdAType,1,LdAKey,"&lt;"&amp;$T503)+COUNTIFS(LdBMember,$P503,LdBKey,"&lt;"&amp;$T503)+COUNTIFS(LdCParty,$P503,LdCKey,"&lt;"&amp;$T503)+1)</f>
        <v/>
      </c>
      <c r="V503">
        <f>IF($U503="","",$P503&amp;"|"&amp;RIGHT("000000"&amp;$U503,6))</f>
        <v/>
      </c>
      <c r="W503">
        <f>IF($T503="","",COUNTIFS(LdBGroup,$R503,LdBKey,"&lt;"&amp;$T503)+1)</f>
        <v/>
      </c>
      <c r="X503">
        <f>IF($W503="","",$R503&amp;"|"&amp;RIGHT("000000"&amp;$W503,6))</f>
        <v/>
      </c>
      <c r="Y503">
        <f>IF($P503="","",IF(Shares!$E506="",0,Shares!$E506))</f>
        <v/>
      </c>
      <c r="Z503">
        <f>IF($P503="","",Shares!$H506)</f>
        <v/>
      </c>
      <c r="AE503">
        <f>IF(OR(Sync!$S503="",Sync!$P503=""),"",Sync!$S503)</f>
        <v/>
      </c>
      <c r="AF503">
        <f>IF($AE503="","",IF(ISNUMBER(Sync!$P503),IF(AND(Sync!$P503&gt;=10000101,Sync!$P503&lt;=99991231),INT(Sync!$P503/10000),""),IFERROR(VALUE(TRIM(LEFT(Sync!$P503,FIND("/",Sync!$P503)-1))),"")))</f>
        <v/>
      </c>
      <c r="AG503">
        <f>IF(OR($AE503="",$AF503=""),"",IF(ISNUMBER(Sync!$P503),INT(MOD(Sync!$P503,10000)/100),IFERROR(VALUE(TRIM(LEFT(MID(Sync!$P503,FIND("/",Sync!$P503)+1,20),FIND("/",MID(Sync!$P503,FIND("/",Sync!$P503)+1,20))-1))),"")))</f>
        <v/>
      </c>
      <c r="AH503">
        <f>IF(OR($AE503="",$AF503=""),"",IF(ISNUMBER(Sync!$P503),MOD(Sync!$P503,100),IFERROR(VALUE(TRIM(MID(MID(Sync!$P503,FIND("/",Sync!$P503)+1,20),FIND("/",MID(Sync!$P503,FIND("/",Sync!$P503)+1,20))+1,20))),"")))</f>
        <v/>
      </c>
      <c r="AI503">
        <f>IF($AE503="","",IF(OR($AF503="",$AG503="",$AH503="",$AF503&lt;1300,$AF503&gt;1500,$AG503&lt;1,$AG503&gt;12,$AH503&lt;1,$AH503&gt;31),"نامعتبر",RIGHT("0000"&amp;$AF503,4)&amp;"/"&amp;RIGHT("00"&amp;$AG503,2)&amp;"/"&amp;RIGHT("00"&amp;$AH503,2)))</f>
        <v/>
      </c>
      <c r="AJ503">
        <f>IF($AE503="","",IF(Sync!$Q503="","0000",IF(AND(ISNUMBER(Sync!$Q503),Sync!$Q503&gt;=0,Sync!$Q503&lt;1),RIGHT("00"&amp;HOUR(Sync!$Q503),2)&amp;RIGHT("00"&amp;MINUTE(Sync!$Q503),2),IFERROR(RIGHT("00"&amp;VALUE(LEFT(Sync!$Q503,FIND(":",Sync!$Q503)-1)),2)&amp;RIGHT("00"&amp;VALUE(MID(Sync!$Q503,FIND(":",Sync!$Q503)+1,2)),2),"0000"))))</f>
        <v/>
      </c>
      <c r="AK503">
        <f>IF(OR($AE503="",$AI503="",$AI503="نامعتبر"),"",LEFT($AI503,4)&amp;MID($AI503,6,2)&amp;RIGHT($AI503,2)&amp;$AJ503&amp;"|"&amp;"3"&amp;RIGHT("00000"&amp;498,5))</f>
        <v/>
      </c>
      <c r="AL503">
        <f>IF($AK503="","",COUNTIFS(LdAParty,$AE503,LdAType,1,LdAKey,"&lt;"&amp;$AK503)+COUNTIFS(LdBMember,$AE503,LdBKey,"&lt;"&amp;$AK503)+COUNTIFS(LdCParty,$AE503,LdCKey,"&lt;"&amp;$AK503)+1)</f>
        <v/>
      </c>
      <c r="AM503">
        <f>IF($AL503="","",$AE503&amp;"|"&amp;RIGHT("000000"&amp;$AL503,6))</f>
        <v/>
      </c>
      <c r="AN503">
        <f>IF($AE503="","",IF(Sync!$W503="",0,Sync!$W503))</f>
        <v/>
      </c>
      <c r="AO503">
        <f>IF($AE503="","",IF(Sync!$X503="",0,Sync!$X503))</f>
        <v/>
      </c>
      <c r="AP503">
        <f>IF($AE503="","",Sync!$R503)</f>
        <v/>
      </c>
      <c r="AQ503">
        <f>IF($AE503="","",Sync!$Y503)</f>
        <v/>
      </c>
    </row>
    <row r="504">
      <c r="A504">
        <f>IF(OR(Wages!$B507="",Wages!$E507=""),"",Wages!$E507)</f>
        <v/>
      </c>
      <c r="B504">
        <f>IF($A504="","",IF(Wages!$C507="دستمزد گروهی",2,1))</f>
        <v/>
      </c>
      <c r="C504">
        <f>IF($A504="","",IF(ISNUMBER(Wages!$B507),IF(AND(Wages!$B507&gt;=10000101,Wages!$B507&lt;=99991231),INT(Wages!$B507/10000),""),IFERROR(VALUE(TRIM(LEFT(Wages!$B507,FIND("/",Wages!$B507)-1))),"")))</f>
        <v/>
      </c>
      <c r="D504">
        <f>IF(OR($A504="",$C504=""),"",IF(ISNUMBER(Wages!$B507),INT(MOD(Wages!$B507,10000)/100),IFERROR(VALUE(TRIM(LEFT(MID(Wages!$B507,FIND("/",Wages!$B507)+1,20),FIND("/",MID(Wages!$B507,FIND("/",Wages!$B507)+1,20))-1))),"")))</f>
        <v/>
      </c>
      <c r="E504">
        <f>IF(OR($A504="",$C504=""),"",IF(ISNUMBER(Wages!$B507),MOD(Wages!$B507,100),IFERROR(VALUE(TRIM(MID(MID(Wages!$B507,FIND("/",Wages!$B507)+1,20),FIND("/",MID(Wages!$B507,FIND("/",Wages!$B507)+1,20))+1,20))),"")))</f>
        <v/>
      </c>
      <c r="F504">
        <f>IF($A504="","",IF(OR($C504="",$D504="",$E504="",$C504&lt;1300,$C504&gt;1500,$D504&lt;1,$D504&gt;12,$E504&lt;1,$E504&gt;31),"نامعتبر",RIGHT("0000"&amp;$C504,4)&amp;"/"&amp;RIGHT("00"&amp;$D504,2)&amp;"/"&amp;RIGHT("00"&amp;$E504,2)))</f>
        <v/>
      </c>
      <c r="G504">
        <f>IF(OR($A504="",$F504="",$F504="نامعتبر"),"",LEFT($F504,4)&amp;MID($F504,6,2)&amp;RIGHT($F504,2)&amp;"0000"&amp;"|"&amp;"1"&amp;RIGHT("00000"&amp;499,5))</f>
        <v/>
      </c>
      <c r="H504">
        <f>IF(OR($B504&lt;&gt;1,$G504=""),"",COUNTIFS(LdAParty,$A504,LdAType,1,LdAKey,"&lt;"&amp;$G504)+COUNTIFS(LdBMember,$A504,LdBKey,"&lt;"&amp;$G504)+COUNTIFS(LdCParty,$A504,LdCKey,"&lt;"&amp;$G504)+1)</f>
        <v/>
      </c>
      <c r="I504">
        <f>IF($H504="","",$A504&amp;"|"&amp;RIGHT("000000"&amp;$H504,6))</f>
        <v/>
      </c>
      <c r="J504">
        <f>IF(OR($B504&lt;&gt;2,$G504=""),"",COUNTIFS(LdAParty,$A504,LdAType,2,LdAKey,"&lt;"&amp;$G504)+1)</f>
        <v/>
      </c>
      <c r="K504">
        <f>IF($J504="","",$A504&amp;"|"&amp;RIGHT("000000"&amp;$J504,6))</f>
        <v/>
      </c>
      <c r="L504">
        <f>IF($A504="","",IF(Wages!$G507="",0,Wages!$G507))</f>
        <v/>
      </c>
      <c r="M504">
        <f>IF($A504="","",Wages!$J507)</f>
        <v/>
      </c>
      <c r="N504">
        <f>IF($A504="","",Wages!$D507)</f>
        <v/>
      </c>
      <c r="P504">
        <f>IF(OR(Shares!$B507="",Shares!$C507=""),"",Shares!$C507)</f>
        <v/>
      </c>
      <c r="Q504">
        <f>IF($P504="","",Shares!$B507)</f>
        <v/>
      </c>
      <c r="R504">
        <f>IF($P504="","",IFERROR(INDEX(WageParty,MATCH($Q504,WageIds,0)),""))</f>
        <v/>
      </c>
      <c r="S504">
        <f>IF($P504="","",IFERROR(INDEX($F$6:$F$2005,MATCH($Q504,WageIds,0)),""))</f>
        <v/>
      </c>
      <c r="T504">
        <f>IF(OR($P504="",$S504="",$S504="نامعتبر"),"",LEFT($S504,4)&amp;MID($S504,6,2)&amp;RIGHT($S504,2)&amp;"0000"&amp;"|"&amp;"2"&amp;RIGHT("00000"&amp;499,5))</f>
        <v/>
      </c>
      <c r="U504">
        <f>IF($T504="","",COUNTIFS(LdAParty,$P504,LdAType,1,LdAKey,"&lt;"&amp;$T504)+COUNTIFS(LdBMember,$P504,LdBKey,"&lt;"&amp;$T504)+COUNTIFS(LdCParty,$P504,LdCKey,"&lt;"&amp;$T504)+1)</f>
        <v/>
      </c>
      <c r="V504">
        <f>IF($U504="","",$P504&amp;"|"&amp;RIGHT("000000"&amp;$U504,6))</f>
        <v/>
      </c>
      <c r="W504">
        <f>IF($T504="","",COUNTIFS(LdBGroup,$R504,LdBKey,"&lt;"&amp;$T504)+1)</f>
        <v/>
      </c>
      <c r="X504">
        <f>IF($W504="","",$R504&amp;"|"&amp;RIGHT("000000"&amp;$W504,6))</f>
        <v/>
      </c>
      <c r="Y504">
        <f>IF($P504="","",IF(Shares!$E507="",0,Shares!$E507))</f>
        <v/>
      </c>
      <c r="Z504">
        <f>IF($P504="","",Shares!$H507)</f>
        <v/>
      </c>
      <c r="AE504">
        <f>IF(OR(Sync!$S504="",Sync!$P504=""),"",Sync!$S504)</f>
        <v/>
      </c>
      <c r="AF504">
        <f>IF($AE504="","",IF(ISNUMBER(Sync!$P504),IF(AND(Sync!$P504&gt;=10000101,Sync!$P504&lt;=99991231),INT(Sync!$P504/10000),""),IFERROR(VALUE(TRIM(LEFT(Sync!$P504,FIND("/",Sync!$P504)-1))),"")))</f>
        <v/>
      </c>
      <c r="AG504">
        <f>IF(OR($AE504="",$AF504=""),"",IF(ISNUMBER(Sync!$P504),INT(MOD(Sync!$P504,10000)/100),IFERROR(VALUE(TRIM(LEFT(MID(Sync!$P504,FIND("/",Sync!$P504)+1,20),FIND("/",MID(Sync!$P504,FIND("/",Sync!$P504)+1,20))-1))),"")))</f>
        <v/>
      </c>
      <c r="AH504">
        <f>IF(OR($AE504="",$AF504=""),"",IF(ISNUMBER(Sync!$P504),MOD(Sync!$P504,100),IFERROR(VALUE(TRIM(MID(MID(Sync!$P504,FIND("/",Sync!$P504)+1,20),FIND("/",MID(Sync!$P504,FIND("/",Sync!$P504)+1,20))+1,20))),"")))</f>
        <v/>
      </c>
      <c r="AI504">
        <f>IF($AE504="","",IF(OR($AF504="",$AG504="",$AH504="",$AF504&lt;1300,$AF504&gt;1500,$AG504&lt;1,$AG504&gt;12,$AH504&lt;1,$AH504&gt;31),"نامعتبر",RIGHT("0000"&amp;$AF504,4)&amp;"/"&amp;RIGHT("00"&amp;$AG504,2)&amp;"/"&amp;RIGHT("00"&amp;$AH504,2)))</f>
        <v/>
      </c>
      <c r="AJ504">
        <f>IF($AE504="","",IF(Sync!$Q504="","0000",IF(AND(ISNUMBER(Sync!$Q504),Sync!$Q504&gt;=0,Sync!$Q504&lt;1),RIGHT("00"&amp;HOUR(Sync!$Q504),2)&amp;RIGHT("00"&amp;MINUTE(Sync!$Q504),2),IFERROR(RIGHT("00"&amp;VALUE(LEFT(Sync!$Q504,FIND(":",Sync!$Q504)-1)),2)&amp;RIGHT("00"&amp;VALUE(MID(Sync!$Q504,FIND(":",Sync!$Q504)+1,2)),2),"0000"))))</f>
        <v/>
      </c>
      <c r="AK504">
        <f>IF(OR($AE504="",$AI504="",$AI504="نامعتبر"),"",LEFT($AI504,4)&amp;MID($AI504,6,2)&amp;RIGHT($AI504,2)&amp;$AJ504&amp;"|"&amp;"3"&amp;RIGHT("00000"&amp;499,5))</f>
        <v/>
      </c>
      <c r="AL504">
        <f>IF($AK504="","",COUNTIFS(LdAParty,$AE504,LdAType,1,LdAKey,"&lt;"&amp;$AK504)+COUNTIFS(LdBMember,$AE504,LdBKey,"&lt;"&amp;$AK504)+COUNTIFS(LdCParty,$AE504,LdCKey,"&lt;"&amp;$AK504)+1)</f>
        <v/>
      </c>
      <c r="AM504">
        <f>IF($AL504="","",$AE504&amp;"|"&amp;RIGHT("000000"&amp;$AL504,6))</f>
        <v/>
      </c>
      <c r="AN504">
        <f>IF($AE504="","",IF(Sync!$W504="",0,Sync!$W504))</f>
        <v/>
      </c>
      <c r="AO504">
        <f>IF($AE504="","",IF(Sync!$X504="",0,Sync!$X504))</f>
        <v/>
      </c>
      <c r="AP504">
        <f>IF($AE504="","",Sync!$R504)</f>
        <v/>
      </c>
      <c r="AQ504">
        <f>IF($AE504="","",Sync!$Y504)</f>
        <v/>
      </c>
    </row>
    <row r="505">
      <c r="A505">
        <f>IF(OR(Wages!$B508="",Wages!$E508=""),"",Wages!$E508)</f>
        <v/>
      </c>
      <c r="B505">
        <f>IF($A505="","",IF(Wages!$C508="دستمزد گروهی",2,1))</f>
        <v/>
      </c>
      <c r="C505">
        <f>IF($A505="","",IF(ISNUMBER(Wages!$B508),IF(AND(Wages!$B508&gt;=10000101,Wages!$B508&lt;=99991231),INT(Wages!$B508/10000),""),IFERROR(VALUE(TRIM(LEFT(Wages!$B508,FIND("/",Wages!$B508)-1))),"")))</f>
        <v/>
      </c>
      <c r="D505">
        <f>IF(OR($A505="",$C505=""),"",IF(ISNUMBER(Wages!$B508),INT(MOD(Wages!$B508,10000)/100),IFERROR(VALUE(TRIM(LEFT(MID(Wages!$B508,FIND("/",Wages!$B508)+1,20),FIND("/",MID(Wages!$B508,FIND("/",Wages!$B508)+1,20))-1))),"")))</f>
        <v/>
      </c>
      <c r="E505">
        <f>IF(OR($A505="",$C505=""),"",IF(ISNUMBER(Wages!$B508),MOD(Wages!$B508,100),IFERROR(VALUE(TRIM(MID(MID(Wages!$B508,FIND("/",Wages!$B508)+1,20),FIND("/",MID(Wages!$B508,FIND("/",Wages!$B508)+1,20))+1,20))),"")))</f>
        <v/>
      </c>
      <c r="F505">
        <f>IF($A505="","",IF(OR($C505="",$D505="",$E505="",$C505&lt;1300,$C505&gt;1500,$D505&lt;1,$D505&gt;12,$E505&lt;1,$E505&gt;31),"نامعتبر",RIGHT("0000"&amp;$C505,4)&amp;"/"&amp;RIGHT("00"&amp;$D505,2)&amp;"/"&amp;RIGHT("00"&amp;$E505,2)))</f>
        <v/>
      </c>
      <c r="G505">
        <f>IF(OR($A505="",$F505="",$F505="نامعتبر"),"",LEFT($F505,4)&amp;MID($F505,6,2)&amp;RIGHT($F505,2)&amp;"0000"&amp;"|"&amp;"1"&amp;RIGHT("00000"&amp;500,5))</f>
        <v/>
      </c>
      <c r="H505">
        <f>IF(OR($B505&lt;&gt;1,$G505=""),"",COUNTIFS(LdAParty,$A505,LdAType,1,LdAKey,"&lt;"&amp;$G505)+COUNTIFS(LdBMember,$A505,LdBKey,"&lt;"&amp;$G505)+COUNTIFS(LdCParty,$A505,LdCKey,"&lt;"&amp;$G505)+1)</f>
        <v/>
      </c>
      <c r="I505">
        <f>IF($H505="","",$A505&amp;"|"&amp;RIGHT("000000"&amp;$H505,6))</f>
        <v/>
      </c>
      <c r="J505">
        <f>IF(OR($B505&lt;&gt;2,$G505=""),"",COUNTIFS(LdAParty,$A505,LdAType,2,LdAKey,"&lt;"&amp;$G505)+1)</f>
        <v/>
      </c>
      <c r="K505">
        <f>IF($J505="","",$A505&amp;"|"&amp;RIGHT("000000"&amp;$J505,6))</f>
        <v/>
      </c>
      <c r="L505">
        <f>IF($A505="","",IF(Wages!$G508="",0,Wages!$G508))</f>
        <v/>
      </c>
      <c r="M505">
        <f>IF($A505="","",Wages!$J508)</f>
        <v/>
      </c>
      <c r="N505">
        <f>IF($A505="","",Wages!$D508)</f>
        <v/>
      </c>
      <c r="P505">
        <f>IF(OR(Shares!$B508="",Shares!$C508=""),"",Shares!$C508)</f>
        <v/>
      </c>
      <c r="Q505">
        <f>IF($P505="","",Shares!$B508)</f>
        <v/>
      </c>
      <c r="R505">
        <f>IF($P505="","",IFERROR(INDEX(WageParty,MATCH($Q505,WageIds,0)),""))</f>
        <v/>
      </c>
      <c r="S505">
        <f>IF($P505="","",IFERROR(INDEX($F$6:$F$2005,MATCH($Q505,WageIds,0)),""))</f>
        <v/>
      </c>
      <c r="T505">
        <f>IF(OR($P505="",$S505="",$S505="نامعتبر"),"",LEFT($S505,4)&amp;MID($S505,6,2)&amp;RIGHT($S505,2)&amp;"0000"&amp;"|"&amp;"2"&amp;RIGHT("00000"&amp;500,5))</f>
        <v/>
      </c>
      <c r="U505">
        <f>IF($T505="","",COUNTIFS(LdAParty,$P505,LdAType,1,LdAKey,"&lt;"&amp;$T505)+COUNTIFS(LdBMember,$P505,LdBKey,"&lt;"&amp;$T505)+COUNTIFS(LdCParty,$P505,LdCKey,"&lt;"&amp;$T505)+1)</f>
        <v/>
      </c>
      <c r="V505">
        <f>IF($U505="","",$P505&amp;"|"&amp;RIGHT("000000"&amp;$U505,6))</f>
        <v/>
      </c>
      <c r="W505">
        <f>IF($T505="","",COUNTIFS(LdBGroup,$R505,LdBKey,"&lt;"&amp;$T505)+1)</f>
        <v/>
      </c>
      <c r="X505">
        <f>IF($W505="","",$R505&amp;"|"&amp;RIGHT("000000"&amp;$W505,6))</f>
        <v/>
      </c>
      <c r="Y505">
        <f>IF($P505="","",IF(Shares!$E508="",0,Shares!$E508))</f>
        <v/>
      </c>
      <c r="Z505">
        <f>IF($P505="","",Shares!$H508)</f>
        <v/>
      </c>
      <c r="AE505">
        <f>IF(OR(Sync!$S505="",Sync!$P505=""),"",Sync!$S505)</f>
        <v/>
      </c>
      <c r="AF505">
        <f>IF($AE505="","",IF(ISNUMBER(Sync!$P505),IF(AND(Sync!$P505&gt;=10000101,Sync!$P505&lt;=99991231),INT(Sync!$P505/10000),""),IFERROR(VALUE(TRIM(LEFT(Sync!$P505,FIND("/",Sync!$P505)-1))),"")))</f>
        <v/>
      </c>
      <c r="AG505">
        <f>IF(OR($AE505="",$AF505=""),"",IF(ISNUMBER(Sync!$P505),INT(MOD(Sync!$P505,10000)/100),IFERROR(VALUE(TRIM(LEFT(MID(Sync!$P505,FIND("/",Sync!$P505)+1,20),FIND("/",MID(Sync!$P505,FIND("/",Sync!$P505)+1,20))-1))),"")))</f>
        <v/>
      </c>
      <c r="AH505">
        <f>IF(OR($AE505="",$AF505=""),"",IF(ISNUMBER(Sync!$P505),MOD(Sync!$P505,100),IFERROR(VALUE(TRIM(MID(MID(Sync!$P505,FIND("/",Sync!$P505)+1,20),FIND("/",MID(Sync!$P505,FIND("/",Sync!$P505)+1,20))+1,20))),"")))</f>
        <v/>
      </c>
      <c r="AI505">
        <f>IF($AE505="","",IF(OR($AF505="",$AG505="",$AH505="",$AF505&lt;1300,$AF505&gt;1500,$AG505&lt;1,$AG505&gt;12,$AH505&lt;1,$AH505&gt;31),"نامعتبر",RIGHT("0000"&amp;$AF505,4)&amp;"/"&amp;RIGHT("00"&amp;$AG505,2)&amp;"/"&amp;RIGHT("00"&amp;$AH505,2)))</f>
        <v/>
      </c>
      <c r="AJ505">
        <f>IF($AE505="","",IF(Sync!$Q505="","0000",IF(AND(ISNUMBER(Sync!$Q505),Sync!$Q505&gt;=0,Sync!$Q505&lt;1),RIGHT("00"&amp;HOUR(Sync!$Q505),2)&amp;RIGHT("00"&amp;MINUTE(Sync!$Q505),2),IFERROR(RIGHT("00"&amp;VALUE(LEFT(Sync!$Q505,FIND(":",Sync!$Q505)-1)),2)&amp;RIGHT("00"&amp;VALUE(MID(Sync!$Q505,FIND(":",Sync!$Q505)+1,2)),2),"0000"))))</f>
        <v/>
      </c>
      <c r="AK505">
        <f>IF(OR($AE505="",$AI505="",$AI505="نامعتبر"),"",LEFT($AI505,4)&amp;MID($AI505,6,2)&amp;RIGHT($AI505,2)&amp;$AJ505&amp;"|"&amp;"3"&amp;RIGHT("00000"&amp;500,5))</f>
        <v/>
      </c>
      <c r="AL505">
        <f>IF($AK505="","",COUNTIFS(LdAParty,$AE505,LdAType,1,LdAKey,"&lt;"&amp;$AK505)+COUNTIFS(LdBMember,$AE505,LdBKey,"&lt;"&amp;$AK505)+COUNTIFS(LdCParty,$AE505,LdCKey,"&lt;"&amp;$AK505)+1)</f>
        <v/>
      </c>
      <c r="AM505">
        <f>IF($AL505="","",$AE505&amp;"|"&amp;RIGHT("000000"&amp;$AL505,6))</f>
        <v/>
      </c>
      <c r="AN505">
        <f>IF($AE505="","",IF(Sync!$W505="",0,Sync!$W505))</f>
        <v/>
      </c>
      <c r="AO505">
        <f>IF($AE505="","",IF(Sync!$X505="",0,Sync!$X505))</f>
        <v/>
      </c>
      <c r="AP505">
        <f>IF($AE505="","",Sync!$R505)</f>
        <v/>
      </c>
      <c r="AQ505">
        <f>IF($AE505="","",Sync!$Y505)</f>
        <v/>
      </c>
    </row>
    <row r="506">
      <c r="A506">
        <f>IF(OR(Wages!$B509="",Wages!$E509=""),"",Wages!$E509)</f>
        <v/>
      </c>
      <c r="B506">
        <f>IF($A506="","",IF(Wages!$C509="دستمزد گروهی",2,1))</f>
        <v/>
      </c>
      <c r="C506">
        <f>IF($A506="","",IF(ISNUMBER(Wages!$B509),IF(AND(Wages!$B509&gt;=10000101,Wages!$B509&lt;=99991231),INT(Wages!$B509/10000),""),IFERROR(VALUE(TRIM(LEFT(Wages!$B509,FIND("/",Wages!$B509)-1))),"")))</f>
        <v/>
      </c>
      <c r="D506">
        <f>IF(OR($A506="",$C506=""),"",IF(ISNUMBER(Wages!$B509),INT(MOD(Wages!$B509,10000)/100),IFERROR(VALUE(TRIM(LEFT(MID(Wages!$B509,FIND("/",Wages!$B509)+1,20),FIND("/",MID(Wages!$B509,FIND("/",Wages!$B509)+1,20))-1))),"")))</f>
        <v/>
      </c>
      <c r="E506">
        <f>IF(OR($A506="",$C506=""),"",IF(ISNUMBER(Wages!$B509),MOD(Wages!$B509,100),IFERROR(VALUE(TRIM(MID(MID(Wages!$B509,FIND("/",Wages!$B509)+1,20),FIND("/",MID(Wages!$B509,FIND("/",Wages!$B509)+1,20))+1,20))),"")))</f>
        <v/>
      </c>
      <c r="F506">
        <f>IF($A506="","",IF(OR($C506="",$D506="",$E506="",$C506&lt;1300,$C506&gt;1500,$D506&lt;1,$D506&gt;12,$E506&lt;1,$E506&gt;31),"نامعتبر",RIGHT("0000"&amp;$C506,4)&amp;"/"&amp;RIGHT("00"&amp;$D506,2)&amp;"/"&amp;RIGHT("00"&amp;$E506,2)))</f>
        <v/>
      </c>
      <c r="G506">
        <f>IF(OR($A506="",$F506="",$F506="نامعتبر"),"",LEFT($F506,4)&amp;MID($F506,6,2)&amp;RIGHT($F506,2)&amp;"0000"&amp;"|"&amp;"1"&amp;RIGHT("00000"&amp;501,5))</f>
        <v/>
      </c>
      <c r="H506">
        <f>IF(OR($B506&lt;&gt;1,$G506=""),"",COUNTIFS(LdAParty,$A506,LdAType,1,LdAKey,"&lt;"&amp;$G506)+COUNTIFS(LdBMember,$A506,LdBKey,"&lt;"&amp;$G506)+COUNTIFS(LdCParty,$A506,LdCKey,"&lt;"&amp;$G506)+1)</f>
        <v/>
      </c>
      <c r="I506">
        <f>IF($H506="","",$A506&amp;"|"&amp;RIGHT("000000"&amp;$H506,6))</f>
        <v/>
      </c>
      <c r="J506">
        <f>IF(OR($B506&lt;&gt;2,$G506=""),"",COUNTIFS(LdAParty,$A506,LdAType,2,LdAKey,"&lt;"&amp;$G506)+1)</f>
        <v/>
      </c>
      <c r="K506">
        <f>IF($J506="","",$A506&amp;"|"&amp;RIGHT("000000"&amp;$J506,6))</f>
        <v/>
      </c>
      <c r="L506">
        <f>IF($A506="","",IF(Wages!$G509="",0,Wages!$G509))</f>
        <v/>
      </c>
      <c r="M506">
        <f>IF($A506="","",Wages!$J509)</f>
        <v/>
      </c>
      <c r="N506">
        <f>IF($A506="","",Wages!$D509)</f>
        <v/>
      </c>
      <c r="P506">
        <f>IF(OR(Shares!$B509="",Shares!$C509=""),"",Shares!$C509)</f>
        <v/>
      </c>
      <c r="Q506">
        <f>IF($P506="","",Shares!$B509)</f>
        <v/>
      </c>
      <c r="R506">
        <f>IF($P506="","",IFERROR(INDEX(WageParty,MATCH($Q506,WageIds,0)),""))</f>
        <v/>
      </c>
      <c r="S506">
        <f>IF($P506="","",IFERROR(INDEX($F$6:$F$2005,MATCH($Q506,WageIds,0)),""))</f>
        <v/>
      </c>
      <c r="T506">
        <f>IF(OR($P506="",$S506="",$S506="نامعتبر"),"",LEFT($S506,4)&amp;MID($S506,6,2)&amp;RIGHT($S506,2)&amp;"0000"&amp;"|"&amp;"2"&amp;RIGHT("00000"&amp;501,5))</f>
        <v/>
      </c>
      <c r="U506">
        <f>IF($T506="","",COUNTIFS(LdAParty,$P506,LdAType,1,LdAKey,"&lt;"&amp;$T506)+COUNTIFS(LdBMember,$P506,LdBKey,"&lt;"&amp;$T506)+COUNTIFS(LdCParty,$P506,LdCKey,"&lt;"&amp;$T506)+1)</f>
        <v/>
      </c>
      <c r="V506">
        <f>IF($U506="","",$P506&amp;"|"&amp;RIGHT("000000"&amp;$U506,6))</f>
        <v/>
      </c>
      <c r="W506">
        <f>IF($T506="","",COUNTIFS(LdBGroup,$R506,LdBKey,"&lt;"&amp;$T506)+1)</f>
        <v/>
      </c>
      <c r="X506">
        <f>IF($W506="","",$R506&amp;"|"&amp;RIGHT("000000"&amp;$W506,6))</f>
        <v/>
      </c>
      <c r="Y506">
        <f>IF($P506="","",IF(Shares!$E509="",0,Shares!$E509))</f>
        <v/>
      </c>
      <c r="Z506">
        <f>IF($P506="","",Shares!$H509)</f>
        <v/>
      </c>
      <c r="AE506">
        <f>IF(OR(Sync!$S506="",Sync!$P506=""),"",Sync!$S506)</f>
        <v/>
      </c>
      <c r="AF506">
        <f>IF($AE506="","",IF(ISNUMBER(Sync!$P506),IF(AND(Sync!$P506&gt;=10000101,Sync!$P506&lt;=99991231),INT(Sync!$P506/10000),""),IFERROR(VALUE(TRIM(LEFT(Sync!$P506,FIND("/",Sync!$P506)-1))),"")))</f>
        <v/>
      </c>
      <c r="AG506">
        <f>IF(OR($AE506="",$AF506=""),"",IF(ISNUMBER(Sync!$P506),INT(MOD(Sync!$P506,10000)/100),IFERROR(VALUE(TRIM(LEFT(MID(Sync!$P506,FIND("/",Sync!$P506)+1,20),FIND("/",MID(Sync!$P506,FIND("/",Sync!$P506)+1,20))-1))),"")))</f>
        <v/>
      </c>
      <c r="AH506">
        <f>IF(OR($AE506="",$AF506=""),"",IF(ISNUMBER(Sync!$P506),MOD(Sync!$P506,100),IFERROR(VALUE(TRIM(MID(MID(Sync!$P506,FIND("/",Sync!$P506)+1,20),FIND("/",MID(Sync!$P506,FIND("/",Sync!$P506)+1,20))+1,20))),"")))</f>
        <v/>
      </c>
      <c r="AI506">
        <f>IF($AE506="","",IF(OR($AF506="",$AG506="",$AH506="",$AF506&lt;1300,$AF506&gt;1500,$AG506&lt;1,$AG506&gt;12,$AH506&lt;1,$AH506&gt;31),"نامعتبر",RIGHT("0000"&amp;$AF506,4)&amp;"/"&amp;RIGHT("00"&amp;$AG506,2)&amp;"/"&amp;RIGHT("00"&amp;$AH506,2)))</f>
        <v/>
      </c>
      <c r="AJ506">
        <f>IF($AE506="","",IF(Sync!$Q506="","0000",IF(AND(ISNUMBER(Sync!$Q506),Sync!$Q506&gt;=0,Sync!$Q506&lt;1),RIGHT("00"&amp;HOUR(Sync!$Q506),2)&amp;RIGHT("00"&amp;MINUTE(Sync!$Q506),2),IFERROR(RIGHT("00"&amp;VALUE(LEFT(Sync!$Q506,FIND(":",Sync!$Q506)-1)),2)&amp;RIGHT("00"&amp;VALUE(MID(Sync!$Q506,FIND(":",Sync!$Q506)+1,2)),2),"0000"))))</f>
        <v/>
      </c>
      <c r="AK506">
        <f>IF(OR($AE506="",$AI506="",$AI506="نامعتبر"),"",LEFT($AI506,4)&amp;MID($AI506,6,2)&amp;RIGHT($AI506,2)&amp;$AJ506&amp;"|"&amp;"3"&amp;RIGHT("00000"&amp;501,5))</f>
        <v/>
      </c>
      <c r="AL506">
        <f>IF($AK506="","",COUNTIFS(LdAParty,$AE506,LdAType,1,LdAKey,"&lt;"&amp;$AK506)+COUNTIFS(LdBMember,$AE506,LdBKey,"&lt;"&amp;$AK506)+COUNTIFS(LdCParty,$AE506,LdCKey,"&lt;"&amp;$AK506)+1)</f>
        <v/>
      </c>
      <c r="AM506">
        <f>IF($AL506="","",$AE506&amp;"|"&amp;RIGHT("000000"&amp;$AL506,6))</f>
        <v/>
      </c>
      <c r="AN506">
        <f>IF($AE506="","",IF(Sync!$W506="",0,Sync!$W506))</f>
        <v/>
      </c>
      <c r="AO506">
        <f>IF($AE506="","",IF(Sync!$X506="",0,Sync!$X506))</f>
        <v/>
      </c>
      <c r="AP506">
        <f>IF($AE506="","",Sync!$R506)</f>
        <v/>
      </c>
      <c r="AQ506">
        <f>IF($AE506="","",Sync!$Y506)</f>
        <v/>
      </c>
    </row>
    <row r="507">
      <c r="A507">
        <f>IF(OR(Wages!$B510="",Wages!$E510=""),"",Wages!$E510)</f>
        <v/>
      </c>
      <c r="B507">
        <f>IF($A507="","",IF(Wages!$C510="دستمزد گروهی",2,1))</f>
        <v/>
      </c>
      <c r="C507">
        <f>IF($A507="","",IF(ISNUMBER(Wages!$B510),IF(AND(Wages!$B510&gt;=10000101,Wages!$B510&lt;=99991231),INT(Wages!$B510/10000),""),IFERROR(VALUE(TRIM(LEFT(Wages!$B510,FIND("/",Wages!$B510)-1))),"")))</f>
        <v/>
      </c>
      <c r="D507">
        <f>IF(OR($A507="",$C507=""),"",IF(ISNUMBER(Wages!$B510),INT(MOD(Wages!$B510,10000)/100),IFERROR(VALUE(TRIM(LEFT(MID(Wages!$B510,FIND("/",Wages!$B510)+1,20),FIND("/",MID(Wages!$B510,FIND("/",Wages!$B510)+1,20))-1))),"")))</f>
        <v/>
      </c>
      <c r="E507">
        <f>IF(OR($A507="",$C507=""),"",IF(ISNUMBER(Wages!$B510),MOD(Wages!$B510,100),IFERROR(VALUE(TRIM(MID(MID(Wages!$B510,FIND("/",Wages!$B510)+1,20),FIND("/",MID(Wages!$B510,FIND("/",Wages!$B510)+1,20))+1,20))),"")))</f>
        <v/>
      </c>
      <c r="F507">
        <f>IF($A507="","",IF(OR($C507="",$D507="",$E507="",$C507&lt;1300,$C507&gt;1500,$D507&lt;1,$D507&gt;12,$E507&lt;1,$E507&gt;31),"نامعتبر",RIGHT("0000"&amp;$C507,4)&amp;"/"&amp;RIGHT("00"&amp;$D507,2)&amp;"/"&amp;RIGHT("00"&amp;$E507,2)))</f>
        <v/>
      </c>
      <c r="G507">
        <f>IF(OR($A507="",$F507="",$F507="نامعتبر"),"",LEFT($F507,4)&amp;MID($F507,6,2)&amp;RIGHT($F507,2)&amp;"0000"&amp;"|"&amp;"1"&amp;RIGHT("00000"&amp;502,5))</f>
        <v/>
      </c>
      <c r="H507">
        <f>IF(OR($B507&lt;&gt;1,$G507=""),"",COUNTIFS(LdAParty,$A507,LdAType,1,LdAKey,"&lt;"&amp;$G507)+COUNTIFS(LdBMember,$A507,LdBKey,"&lt;"&amp;$G507)+COUNTIFS(LdCParty,$A507,LdCKey,"&lt;"&amp;$G507)+1)</f>
        <v/>
      </c>
      <c r="I507">
        <f>IF($H507="","",$A507&amp;"|"&amp;RIGHT("000000"&amp;$H507,6))</f>
        <v/>
      </c>
      <c r="J507">
        <f>IF(OR($B507&lt;&gt;2,$G507=""),"",COUNTIFS(LdAParty,$A507,LdAType,2,LdAKey,"&lt;"&amp;$G507)+1)</f>
        <v/>
      </c>
      <c r="K507">
        <f>IF($J507="","",$A507&amp;"|"&amp;RIGHT("000000"&amp;$J507,6))</f>
        <v/>
      </c>
      <c r="L507">
        <f>IF($A507="","",IF(Wages!$G510="",0,Wages!$G510))</f>
        <v/>
      </c>
      <c r="M507">
        <f>IF($A507="","",Wages!$J510)</f>
        <v/>
      </c>
      <c r="N507">
        <f>IF($A507="","",Wages!$D510)</f>
        <v/>
      </c>
      <c r="P507">
        <f>IF(OR(Shares!$B510="",Shares!$C510=""),"",Shares!$C510)</f>
        <v/>
      </c>
      <c r="Q507">
        <f>IF($P507="","",Shares!$B510)</f>
        <v/>
      </c>
      <c r="R507">
        <f>IF($P507="","",IFERROR(INDEX(WageParty,MATCH($Q507,WageIds,0)),""))</f>
        <v/>
      </c>
      <c r="S507">
        <f>IF($P507="","",IFERROR(INDEX($F$6:$F$2005,MATCH($Q507,WageIds,0)),""))</f>
        <v/>
      </c>
      <c r="T507">
        <f>IF(OR($P507="",$S507="",$S507="نامعتبر"),"",LEFT($S507,4)&amp;MID($S507,6,2)&amp;RIGHT($S507,2)&amp;"0000"&amp;"|"&amp;"2"&amp;RIGHT("00000"&amp;502,5))</f>
        <v/>
      </c>
      <c r="U507">
        <f>IF($T507="","",COUNTIFS(LdAParty,$P507,LdAType,1,LdAKey,"&lt;"&amp;$T507)+COUNTIFS(LdBMember,$P507,LdBKey,"&lt;"&amp;$T507)+COUNTIFS(LdCParty,$P507,LdCKey,"&lt;"&amp;$T507)+1)</f>
        <v/>
      </c>
      <c r="V507">
        <f>IF($U507="","",$P507&amp;"|"&amp;RIGHT("000000"&amp;$U507,6))</f>
        <v/>
      </c>
      <c r="W507">
        <f>IF($T507="","",COUNTIFS(LdBGroup,$R507,LdBKey,"&lt;"&amp;$T507)+1)</f>
        <v/>
      </c>
      <c r="X507">
        <f>IF($W507="","",$R507&amp;"|"&amp;RIGHT("000000"&amp;$W507,6))</f>
        <v/>
      </c>
      <c r="Y507">
        <f>IF($P507="","",IF(Shares!$E510="",0,Shares!$E510))</f>
        <v/>
      </c>
      <c r="Z507">
        <f>IF($P507="","",Shares!$H510)</f>
        <v/>
      </c>
      <c r="AE507">
        <f>IF(OR(Sync!$S507="",Sync!$P507=""),"",Sync!$S507)</f>
        <v/>
      </c>
      <c r="AF507">
        <f>IF($AE507="","",IF(ISNUMBER(Sync!$P507),IF(AND(Sync!$P507&gt;=10000101,Sync!$P507&lt;=99991231),INT(Sync!$P507/10000),""),IFERROR(VALUE(TRIM(LEFT(Sync!$P507,FIND("/",Sync!$P507)-1))),"")))</f>
        <v/>
      </c>
      <c r="AG507">
        <f>IF(OR($AE507="",$AF507=""),"",IF(ISNUMBER(Sync!$P507),INT(MOD(Sync!$P507,10000)/100),IFERROR(VALUE(TRIM(LEFT(MID(Sync!$P507,FIND("/",Sync!$P507)+1,20),FIND("/",MID(Sync!$P507,FIND("/",Sync!$P507)+1,20))-1))),"")))</f>
        <v/>
      </c>
      <c r="AH507">
        <f>IF(OR($AE507="",$AF507=""),"",IF(ISNUMBER(Sync!$P507),MOD(Sync!$P507,100),IFERROR(VALUE(TRIM(MID(MID(Sync!$P507,FIND("/",Sync!$P507)+1,20),FIND("/",MID(Sync!$P507,FIND("/",Sync!$P507)+1,20))+1,20))),"")))</f>
        <v/>
      </c>
      <c r="AI507">
        <f>IF($AE507="","",IF(OR($AF507="",$AG507="",$AH507="",$AF507&lt;1300,$AF507&gt;1500,$AG507&lt;1,$AG507&gt;12,$AH507&lt;1,$AH507&gt;31),"نامعتبر",RIGHT("0000"&amp;$AF507,4)&amp;"/"&amp;RIGHT("00"&amp;$AG507,2)&amp;"/"&amp;RIGHT("00"&amp;$AH507,2)))</f>
        <v/>
      </c>
      <c r="AJ507">
        <f>IF($AE507="","",IF(Sync!$Q507="","0000",IF(AND(ISNUMBER(Sync!$Q507),Sync!$Q507&gt;=0,Sync!$Q507&lt;1),RIGHT("00"&amp;HOUR(Sync!$Q507),2)&amp;RIGHT("00"&amp;MINUTE(Sync!$Q507),2),IFERROR(RIGHT("00"&amp;VALUE(LEFT(Sync!$Q507,FIND(":",Sync!$Q507)-1)),2)&amp;RIGHT("00"&amp;VALUE(MID(Sync!$Q507,FIND(":",Sync!$Q507)+1,2)),2),"0000"))))</f>
        <v/>
      </c>
      <c r="AK507">
        <f>IF(OR($AE507="",$AI507="",$AI507="نامعتبر"),"",LEFT($AI507,4)&amp;MID($AI507,6,2)&amp;RIGHT($AI507,2)&amp;$AJ507&amp;"|"&amp;"3"&amp;RIGHT("00000"&amp;502,5))</f>
        <v/>
      </c>
      <c r="AL507">
        <f>IF($AK507="","",COUNTIFS(LdAParty,$AE507,LdAType,1,LdAKey,"&lt;"&amp;$AK507)+COUNTIFS(LdBMember,$AE507,LdBKey,"&lt;"&amp;$AK507)+COUNTIFS(LdCParty,$AE507,LdCKey,"&lt;"&amp;$AK507)+1)</f>
        <v/>
      </c>
      <c r="AM507">
        <f>IF($AL507="","",$AE507&amp;"|"&amp;RIGHT("000000"&amp;$AL507,6))</f>
        <v/>
      </c>
      <c r="AN507">
        <f>IF($AE507="","",IF(Sync!$W507="",0,Sync!$W507))</f>
        <v/>
      </c>
      <c r="AO507">
        <f>IF($AE507="","",IF(Sync!$X507="",0,Sync!$X507))</f>
        <v/>
      </c>
      <c r="AP507">
        <f>IF($AE507="","",Sync!$R507)</f>
        <v/>
      </c>
      <c r="AQ507">
        <f>IF($AE507="","",Sync!$Y507)</f>
        <v/>
      </c>
    </row>
    <row r="508">
      <c r="A508">
        <f>IF(OR(Wages!$B511="",Wages!$E511=""),"",Wages!$E511)</f>
        <v/>
      </c>
      <c r="B508">
        <f>IF($A508="","",IF(Wages!$C511="دستمزد گروهی",2,1))</f>
        <v/>
      </c>
      <c r="C508">
        <f>IF($A508="","",IF(ISNUMBER(Wages!$B511),IF(AND(Wages!$B511&gt;=10000101,Wages!$B511&lt;=99991231),INT(Wages!$B511/10000),""),IFERROR(VALUE(TRIM(LEFT(Wages!$B511,FIND("/",Wages!$B511)-1))),"")))</f>
        <v/>
      </c>
      <c r="D508">
        <f>IF(OR($A508="",$C508=""),"",IF(ISNUMBER(Wages!$B511),INT(MOD(Wages!$B511,10000)/100),IFERROR(VALUE(TRIM(LEFT(MID(Wages!$B511,FIND("/",Wages!$B511)+1,20),FIND("/",MID(Wages!$B511,FIND("/",Wages!$B511)+1,20))-1))),"")))</f>
        <v/>
      </c>
      <c r="E508">
        <f>IF(OR($A508="",$C508=""),"",IF(ISNUMBER(Wages!$B511),MOD(Wages!$B511,100),IFERROR(VALUE(TRIM(MID(MID(Wages!$B511,FIND("/",Wages!$B511)+1,20),FIND("/",MID(Wages!$B511,FIND("/",Wages!$B511)+1,20))+1,20))),"")))</f>
        <v/>
      </c>
      <c r="F508">
        <f>IF($A508="","",IF(OR($C508="",$D508="",$E508="",$C508&lt;1300,$C508&gt;1500,$D508&lt;1,$D508&gt;12,$E508&lt;1,$E508&gt;31),"نامعتبر",RIGHT("0000"&amp;$C508,4)&amp;"/"&amp;RIGHT("00"&amp;$D508,2)&amp;"/"&amp;RIGHT("00"&amp;$E508,2)))</f>
        <v/>
      </c>
      <c r="G508">
        <f>IF(OR($A508="",$F508="",$F508="نامعتبر"),"",LEFT($F508,4)&amp;MID($F508,6,2)&amp;RIGHT($F508,2)&amp;"0000"&amp;"|"&amp;"1"&amp;RIGHT("00000"&amp;503,5))</f>
        <v/>
      </c>
      <c r="H508">
        <f>IF(OR($B508&lt;&gt;1,$G508=""),"",COUNTIFS(LdAParty,$A508,LdAType,1,LdAKey,"&lt;"&amp;$G508)+COUNTIFS(LdBMember,$A508,LdBKey,"&lt;"&amp;$G508)+COUNTIFS(LdCParty,$A508,LdCKey,"&lt;"&amp;$G508)+1)</f>
        <v/>
      </c>
      <c r="I508">
        <f>IF($H508="","",$A508&amp;"|"&amp;RIGHT("000000"&amp;$H508,6))</f>
        <v/>
      </c>
      <c r="J508">
        <f>IF(OR($B508&lt;&gt;2,$G508=""),"",COUNTIFS(LdAParty,$A508,LdAType,2,LdAKey,"&lt;"&amp;$G508)+1)</f>
        <v/>
      </c>
      <c r="K508">
        <f>IF($J508="","",$A508&amp;"|"&amp;RIGHT("000000"&amp;$J508,6))</f>
        <v/>
      </c>
      <c r="L508">
        <f>IF($A508="","",IF(Wages!$G511="",0,Wages!$G511))</f>
        <v/>
      </c>
      <c r="M508">
        <f>IF($A508="","",Wages!$J511)</f>
        <v/>
      </c>
      <c r="N508">
        <f>IF($A508="","",Wages!$D511)</f>
        <v/>
      </c>
      <c r="P508">
        <f>IF(OR(Shares!$B511="",Shares!$C511=""),"",Shares!$C511)</f>
        <v/>
      </c>
      <c r="Q508">
        <f>IF($P508="","",Shares!$B511)</f>
        <v/>
      </c>
      <c r="R508">
        <f>IF($P508="","",IFERROR(INDEX(WageParty,MATCH($Q508,WageIds,0)),""))</f>
        <v/>
      </c>
      <c r="S508">
        <f>IF($P508="","",IFERROR(INDEX($F$6:$F$2005,MATCH($Q508,WageIds,0)),""))</f>
        <v/>
      </c>
      <c r="T508">
        <f>IF(OR($P508="",$S508="",$S508="نامعتبر"),"",LEFT($S508,4)&amp;MID($S508,6,2)&amp;RIGHT($S508,2)&amp;"0000"&amp;"|"&amp;"2"&amp;RIGHT("00000"&amp;503,5))</f>
        <v/>
      </c>
      <c r="U508">
        <f>IF($T508="","",COUNTIFS(LdAParty,$P508,LdAType,1,LdAKey,"&lt;"&amp;$T508)+COUNTIFS(LdBMember,$P508,LdBKey,"&lt;"&amp;$T508)+COUNTIFS(LdCParty,$P508,LdCKey,"&lt;"&amp;$T508)+1)</f>
        <v/>
      </c>
      <c r="V508">
        <f>IF($U508="","",$P508&amp;"|"&amp;RIGHT("000000"&amp;$U508,6))</f>
        <v/>
      </c>
      <c r="W508">
        <f>IF($T508="","",COUNTIFS(LdBGroup,$R508,LdBKey,"&lt;"&amp;$T508)+1)</f>
        <v/>
      </c>
      <c r="X508">
        <f>IF($W508="","",$R508&amp;"|"&amp;RIGHT("000000"&amp;$W508,6))</f>
        <v/>
      </c>
      <c r="Y508">
        <f>IF($P508="","",IF(Shares!$E511="",0,Shares!$E511))</f>
        <v/>
      </c>
      <c r="Z508">
        <f>IF($P508="","",Shares!$H511)</f>
        <v/>
      </c>
      <c r="AE508">
        <f>IF(OR(Sync!$S508="",Sync!$P508=""),"",Sync!$S508)</f>
        <v/>
      </c>
      <c r="AF508">
        <f>IF($AE508="","",IF(ISNUMBER(Sync!$P508),IF(AND(Sync!$P508&gt;=10000101,Sync!$P508&lt;=99991231),INT(Sync!$P508/10000),""),IFERROR(VALUE(TRIM(LEFT(Sync!$P508,FIND("/",Sync!$P508)-1))),"")))</f>
        <v/>
      </c>
      <c r="AG508">
        <f>IF(OR($AE508="",$AF508=""),"",IF(ISNUMBER(Sync!$P508),INT(MOD(Sync!$P508,10000)/100),IFERROR(VALUE(TRIM(LEFT(MID(Sync!$P508,FIND("/",Sync!$P508)+1,20),FIND("/",MID(Sync!$P508,FIND("/",Sync!$P508)+1,20))-1))),"")))</f>
        <v/>
      </c>
      <c r="AH508">
        <f>IF(OR($AE508="",$AF508=""),"",IF(ISNUMBER(Sync!$P508),MOD(Sync!$P508,100),IFERROR(VALUE(TRIM(MID(MID(Sync!$P508,FIND("/",Sync!$P508)+1,20),FIND("/",MID(Sync!$P508,FIND("/",Sync!$P508)+1,20))+1,20))),"")))</f>
        <v/>
      </c>
      <c r="AI508">
        <f>IF($AE508="","",IF(OR($AF508="",$AG508="",$AH508="",$AF508&lt;1300,$AF508&gt;1500,$AG508&lt;1,$AG508&gt;12,$AH508&lt;1,$AH508&gt;31),"نامعتبر",RIGHT("0000"&amp;$AF508,4)&amp;"/"&amp;RIGHT("00"&amp;$AG508,2)&amp;"/"&amp;RIGHT("00"&amp;$AH508,2)))</f>
        <v/>
      </c>
      <c r="AJ508">
        <f>IF($AE508="","",IF(Sync!$Q508="","0000",IF(AND(ISNUMBER(Sync!$Q508),Sync!$Q508&gt;=0,Sync!$Q508&lt;1),RIGHT("00"&amp;HOUR(Sync!$Q508),2)&amp;RIGHT("00"&amp;MINUTE(Sync!$Q508),2),IFERROR(RIGHT("00"&amp;VALUE(LEFT(Sync!$Q508,FIND(":",Sync!$Q508)-1)),2)&amp;RIGHT("00"&amp;VALUE(MID(Sync!$Q508,FIND(":",Sync!$Q508)+1,2)),2),"0000"))))</f>
        <v/>
      </c>
      <c r="AK508">
        <f>IF(OR($AE508="",$AI508="",$AI508="نامعتبر"),"",LEFT($AI508,4)&amp;MID($AI508,6,2)&amp;RIGHT($AI508,2)&amp;$AJ508&amp;"|"&amp;"3"&amp;RIGHT("00000"&amp;503,5))</f>
        <v/>
      </c>
      <c r="AL508">
        <f>IF($AK508="","",COUNTIFS(LdAParty,$AE508,LdAType,1,LdAKey,"&lt;"&amp;$AK508)+COUNTIFS(LdBMember,$AE508,LdBKey,"&lt;"&amp;$AK508)+COUNTIFS(LdCParty,$AE508,LdCKey,"&lt;"&amp;$AK508)+1)</f>
        <v/>
      </c>
      <c r="AM508">
        <f>IF($AL508="","",$AE508&amp;"|"&amp;RIGHT("000000"&amp;$AL508,6))</f>
        <v/>
      </c>
      <c r="AN508">
        <f>IF($AE508="","",IF(Sync!$W508="",0,Sync!$W508))</f>
        <v/>
      </c>
      <c r="AO508">
        <f>IF($AE508="","",IF(Sync!$X508="",0,Sync!$X508))</f>
        <v/>
      </c>
      <c r="AP508">
        <f>IF($AE508="","",Sync!$R508)</f>
        <v/>
      </c>
      <c r="AQ508">
        <f>IF($AE508="","",Sync!$Y508)</f>
        <v/>
      </c>
    </row>
    <row r="509">
      <c r="A509">
        <f>IF(OR(Wages!$B512="",Wages!$E512=""),"",Wages!$E512)</f>
        <v/>
      </c>
      <c r="B509">
        <f>IF($A509="","",IF(Wages!$C512="دستمزد گروهی",2,1))</f>
        <v/>
      </c>
      <c r="C509">
        <f>IF($A509="","",IF(ISNUMBER(Wages!$B512),IF(AND(Wages!$B512&gt;=10000101,Wages!$B512&lt;=99991231),INT(Wages!$B512/10000),""),IFERROR(VALUE(TRIM(LEFT(Wages!$B512,FIND("/",Wages!$B512)-1))),"")))</f>
        <v/>
      </c>
      <c r="D509">
        <f>IF(OR($A509="",$C509=""),"",IF(ISNUMBER(Wages!$B512),INT(MOD(Wages!$B512,10000)/100),IFERROR(VALUE(TRIM(LEFT(MID(Wages!$B512,FIND("/",Wages!$B512)+1,20),FIND("/",MID(Wages!$B512,FIND("/",Wages!$B512)+1,20))-1))),"")))</f>
        <v/>
      </c>
      <c r="E509">
        <f>IF(OR($A509="",$C509=""),"",IF(ISNUMBER(Wages!$B512),MOD(Wages!$B512,100),IFERROR(VALUE(TRIM(MID(MID(Wages!$B512,FIND("/",Wages!$B512)+1,20),FIND("/",MID(Wages!$B512,FIND("/",Wages!$B512)+1,20))+1,20))),"")))</f>
        <v/>
      </c>
      <c r="F509">
        <f>IF($A509="","",IF(OR($C509="",$D509="",$E509="",$C509&lt;1300,$C509&gt;1500,$D509&lt;1,$D509&gt;12,$E509&lt;1,$E509&gt;31),"نامعتبر",RIGHT("0000"&amp;$C509,4)&amp;"/"&amp;RIGHT("00"&amp;$D509,2)&amp;"/"&amp;RIGHT("00"&amp;$E509,2)))</f>
        <v/>
      </c>
      <c r="G509">
        <f>IF(OR($A509="",$F509="",$F509="نامعتبر"),"",LEFT($F509,4)&amp;MID($F509,6,2)&amp;RIGHT($F509,2)&amp;"0000"&amp;"|"&amp;"1"&amp;RIGHT("00000"&amp;504,5))</f>
        <v/>
      </c>
      <c r="H509">
        <f>IF(OR($B509&lt;&gt;1,$G509=""),"",COUNTIFS(LdAParty,$A509,LdAType,1,LdAKey,"&lt;"&amp;$G509)+COUNTIFS(LdBMember,$A509,LdBKey,"&lt;"&amp;$G509)+COUNTIFS(LdCParty,$A509,LdCKey,"&lt;"&amp;$G509)+1)</f>
        <v/>
      </c>
      <c r="I509">
        <f>IF($H509="","",$A509&amp;"|"&amp;RIGHT("000000"&amp;$H509,6))</f>
        <v/>
      </c>
      <c r="J509">
        <f>IF(OR($B509&lt;&gt;2,$G509=""),"",COUNTIFS(LdAParty,$A509,LdAType,2,LdAKey,"&lt;"&amp;$G509)+1)</f>
        <v/>
      </c>
      <c r="K509">
        <f>IF($J509="","",$A509&amp;"|"&amp;RIGHT("000000"&amp;$J509,6))</f>
        <v/>
      </c>
      <c r="L509">
        <f>IF($A509="","",IF(Wages!$G512="",0,Wages!$G512))</f>
        <v/>
      </c>
      <c r="M509">
        <f>IF($A509="","",Wages!$J512)</f>
        <v/>
      </c>
      <c r="N509">
        <f>IF($A509="","",Wages!$D512)</f>
        <v/>
      </c>
      <c r="P509">
        <f>IF(OR(Shares!$B512="",Shares!$C512=""),"",Shares!$C512)</f>
        <v/>
      </c>
      <c r="Q509">
        <f>IF($P509="","",Shares!$B512)</f>
        <v/>
      </c>
      <c r="R509">
        <f>IF($P509="","",IFERROR(INDEX(WageParty,MATCH($Q509,WageIds,0)),""))</f>
        <v/>
      </c>
      <c r="S509">
        <f>IF($P509="","",IFERROR(INDEX($F$6:$F$2005,MATCH($Q509,WageIds,0)),""))</f>
        <v/>
      </c>
      <c r="T509">
        <f>IF(OR($P509="",$S509="",$S509="نامعتبر"),"",LEFT($S509,4)&amp;MID($S509,6,2)&amp;RIGHT($S509,2)&amp;"0000"&amp;"|"&amp;"2"&amp;RIGHT("00000"&amp;504,5))</f>
        <v/>
      </c>
      <c r="U509">
        <f>IF($T509="","",COUNTIFS(LdAParty,$P509,LdAType,1,LdAKey,"&lt;"&amp;$T509)+COUNTIFS(LdBMember,$P509,LdBKey,"&lt;"&amp;$T509)+COUNTIFS(LdCParty,$P509,LdCKey,"&lt;"&amp;$T509)+1)</f>
        <v/>
      </c>
      <c r="V509">
        <f>IF($U509="","",$P509&amp;"|"&amp;RIGHT("000000"&amp;$U509,6))</f>
        <v/>
      </c>
      <c r="W509">
        <f>IF($T509="","",COUNTIFS(LdBGroup,$R509,LdBKey,"&lt;"&amp;$T509)+1)</f>
        <v/>
      </c>
      <c r="X509">
        <f>IF($W509="","",$R509&amp;"|"&amp;RIGHT("000000"&amp;$W509,6))</f>
        <v/>
      </c>
      <c r="Y509">
        <f>IF($P509="","",IF(Shares!$E512="",0,Shares!$E512))</f>
        <v/>
      </c>
      <c r="Z509">
        <f>IF($P509="","",Shares!$H512)</f>
        <v/>
      </c>
      <c r="AE509">
        <f>IF(OR(Sync!$S509="",Sync!$P509=""),"",Sync!$S509)</f>
        <v/>
      </c>
      <c r="AF509">
        <f>IF($AE509="","",IF(ISNUMBER(Sync!$P509),IF(AND(Sync!$P509&gt;=10000101,Sync!$P509&lt;=99991231),INT(Sync!$P509/10000),""),IFERROR(VALUE(TRIM(LEFT(Sync!$P509,FIND("/",Sync!$P509)-1))),"")))</f>
        <v/>
      </c>
      <c r="AG509">
        <f>IF(OR($AE509="",$AF509=""),"",IF(ISNUMBER(Sync!$P509),INT(MOD(Sync!$P509,10000)/100),IFERROR(VALUE(TRIM(LEFT(MID(Sync!$P509,FIND("/",Sync!$P509)+1,20),FIND("/",MID(Sync!$P509,FIND("/",Sync!$P509)+1,20))-1))),"")))</f>
        <v/>
      </c>
      <c r="AH509">
        <f>IF(OR($AE509="",$AF509=""),"",IF(ISNUMBER(Sync!$P509),MOD(Sync!$P509,100),IFERROR(VALUE(TRIM(MID(MID(Sync!$P509,FIND("/",Sync!$P509)+1,20),FIND("/",MID(Sync!$P509,FIND("/",Sync!$P509)+1,20))+1,20))),"")))</f>
        <v/>
      </c>
      <c r="AI509">
        <f>IF($AE509="","",IF(OR($AF509="",$AG509="",$AH509="",$AF509&lt;1300,$AF509&gt;1500,$AG509&lt;1,$AG509&gt;12,$AH509&lt;1,$AH509&gt;31),"نامعتبر",RIGHT("0000"&amp;$AF509,4)&amp;"/"&amp;RIGHT("00"&amp;$AG509,2)&amp;"/"&amp;RIGHT("00"&amp;$AH509,2)))</f>
        <v/>
      </c>
      <c r="AJ509">
        <f>IF($AE509="","",IF(Sync!$Q509="","0000",IF(AND(ISNUMBER(Sync!$Q509),Sync!$Q509&gt;=0,Sync!$Q509&lt;1),RIGHT("00"&amp;HOUR(Sync!$Q509),2)&amp;RIGHT("00"&amp;MINUTE(Sync!$Q509),2),IFERROR(RIGHT("00"&amp;VALUE(LEFT(Sync!$Q509,FIND(":",Sync!$Q509)-1)),2)&amp;RIGHT("00"&amp;VALUE(MID(Sync!$Q509,FIND(":",Sync!$Q509)+1,2)),2),"0000"))))</f>
        <v/>
      </c>
      <c r="AK509">
        <f>IF(OR($AE509="",$AI509="",$AI509="نامعتبر"),"",LEFT($AI509,4)&amp;MID($AI509,6,2)&amp;RIGHT($AI509,2)&amp;$AJ509&amp;"|"&amp;"3"&amp;RIGHT("00000"&amp;504,5))</f>
        <v/>
      </c>
      <c r="AL509">
        <f>IF($AK509="","",COUNTIFS(LdAParty,$AE509,LdAType,1,LdAKey,"&lt;"&amp;$AK509)+COUNTIFS(LdBMember,$AE509,LdBKey,"&lt;"&amp;$AK509)+COUNTIFS(LdCParty,$AE509,LdCKey,"&lt;"&amp;$AK509)+1)</f>
        <v/>
      </c>
      <c r="AM509">
        <f>IF($AL509="","",$AE509&amp;"|"&amp;RIGHT("000000"&amp;$AL509,6))</f>
        <v/>
      </c>
      <c r="AN509">
        <f>IF($AE509="","",IF(Sync!$W509="",0,Sync!$W509))</f>
        <v/>
      </c>
      <c r="AO509">
        <f>IF($AE509="","",IF(Sync!$X509="",0,Sync!$X509))</f>
        <v/>
      </c>
      <c r="AP509">
        <f>IF($AE509="","",Sync!$R509)</f>
        <v/>
      </c>
      <c r="AQ509">
        <f>IF($AE509="","",Sync!$Y509)</f>
        <v/>
      </c>
    </row>
    <row r="510">
      <c r="A510">
        <f>IF(OR(Wages!$B513="",Wages!$E513=""),"",Wages!$E513)</f>
        <v/>
      </c>
      <c r="B510">
        <f>IF($A510="","",IF(Wages!$C513="دستمزد گروهی",2,1))</f>
        <v/>
      </c>
      <c r="C510">
        <f>IF($A510="","",IF(ISNUMBER(Wages!$B513),IF(AND(Wages!$B513&gt;=10000101,Wages!$B513&lt;=99991231),INT(Wages!$B513/10000),""),IFERROR(VALUE(TRIM(LEFT(Wages!$B513,FIND("/",Wages!$B513)-1))),"")))</f>
        <v/>
      </c>
      <c r="D510">
        <f>IF(OR($A510="",$C510=""),"",IF(ISNUMBER(Wages!$B513),INT(MOD(Wages!$B513,10000)/100),IFERROR(VALUE(TRIM(LEFT(MID(Wages!$B513,FIND("/",Wages!$B513)+1,20),FIND("/",MID(Wages!$B513,FIND("/",Wages!$B513)+1,20))-1))),"")))</f>
        <v/>
      </c>
      <c r="E510">
        <f>IF(OR($A510="",$C510=""),"",IF(ISNUMBER(Wages!$B513),MOD(Wages!$B513,100),IFERROR(VALUE(TRIM(MID(MID(Wages!$B513,FIND("/",Wages!$B513)+1,20),FIND("/",MID(Wages!$B513,FIND("/",Wages!$B513)+1,20))+1,20))),"")))</f>
        <v/>
      </c>
      <c r="F510">
        <f>IF($A510="","",IF(OR($C510="",$D510="",$E510="",$C510&lt;1300,$C510&gt;1500,$D510&lt;1,$D510&gt;12,$E510&lt;1,$E510&gt;31),"نامعتبر",RIGHT("0000"&amp;$C510,4)&amp;"/"&amp;RIGHT("00"&amp;$D510,2)&amp;"/"&amp;RIGHT("00"&amp;$E510,2)))</f>
        <v/>
      </c>
      <c r="G510">
        <f>IF(OR($A510="",$F510="",$F510="نامعتبر"),"",LEFT($F510,4)&amp;MID($F510,6,2)&amp;RIGHT($F510,2)&amp;"0000"&amp;"|"&amp;"1"&amp;RIGHT("00000"&amp;505,5))</f>
        <v/>
      </c>
      <c r="H510">
        <f>IF(OR($B510&lt;&gt;1,$G510=""),"",COUNTIFS(LdAParty,$A510,LdAType,1,LdAKey,"&lt;"&amp;$G510)+COUNTIFS(LdBMember,$A510,LdBKey,"&lt;"&amp;$G510)+COUNTIFS(LdCParty,$A510,LdCKey,"&lt;"&amp;$G510)+1)</f>
        <v/>
      </c>
      <c r="I510">
        <f>IF($H510="","",$A510&amp;"|"&amp;RIGHT("000000"&amp;$H510,6))</f>
        <v/>
      </c>
      <c r="J510">
        <f>IF(OR($B510&lt;&gt;2,$G510=""),"",COUNTIFS(LdAParty,$A510,LdAType,2,LdAKey,"&lt;"&amp;$G510)+1)</f>
        <v/>
      </c>
      <c r="K510">
        <f>IF($J510="","",$A510&amp;"|"&amp;RIGHT("000000"&amp;$J510,6))</f>
        <v/>
      </c>
      <c r="L510">
        <f>IF($A510="","",IF(Wages!$G513="",0,Wages!$G513))</f>
        <v/>
      </c>
      <c r="M510">
        <f>IF($A510="","",Wages!$J513)</f>
        <v/>
      </c>
      <c r="N510">
        <f>IF($A510="","",Wages!$D513)</f>
        <v/>
      </c>
      <c r="P510">
        <f>IF(OR(Shares!$B513="",Shares!$C513=""),"",Shares!$C513)</f>
        <v/>
      </c>
      <c r="Q510">
        <f>IF($P510="","",Shares!$B513)</f>
        <v/>
      </c>
      <c r="R510">
        <f>IF($P510="","",IFERROR(INDEX(WageParty,MATCH($Q510,WageIds,0)),""))</f>
        <v/>
      </c>
      <c r="S510">
        <f>IF($P510="","",IFERROR(INDEX($F$6:$F$2005,MATCH($Q510,WageIds,0)),""))</f>
        <v/>
      </c>
      <c r="T510">
        <f>IF(OR($P510="",$S510="",$S510="نامعتبر"),"",LEFT($S510,4)&amp;MID($S510,6,2)&amp;RIGHT($S510,2)&amp;"0000"&amp;"|"&amp;"2"&amp;RIGHT("00000"&amp;505,5))</f>
        <v/>
      </c>
      <c r="U510">
        <f>IF($T510="","",COUNTIFS(LdAParty,$P510,LdAType,1,LdAKey,"&lt;"&amp;$T510)+COUNTIFS(LdBMember,$P510,LdBKey,"&lt;"&amp;$T510)+COUNTIFS(LdCParty,$P510,LdCKey,"&lt;"&amp;$T510)+1)</f>
        <v/>
      </c>
      <c r="V510">
        <f>IF($U510="","",$P510&amp;"|"&amp;RIGHT("000000"&amp;$U510,6))</f>
        <v/>
      </c>
      <c r="W510">
        <f>IF($T510="","",COUNTIFS(LdBGroup,$R510,LdBKey,"&lt;"&amp;$T510)+1)</f>
        <v/>
      </c>
      <c r="X510">
        <f>IF($W510="","",$R510&amp;"|"&amp;RIGHT("000000"&amp;$W510,6))</f>
        <v/>
      </c>
      <c r="Y510">
        <f>IF($P510="","",IF(Shares!$E513="",0,Shares!$E513))</f>
        <v/>
      </c>
      <c r="Z510">
        <f>IF($P510="","",Shares!$H513)</f>
        <v/>
      </c>
      <c r="AE510">
        <f>IF(OR(Sync!$S510="",Sync!$P510=""),"",Sync!$S510)</f>
        <v/>
      </c>
      <c r="AF510">
        <f>IF($AE510="","",IF(ISNUMBER(Sync!$P510),IF(AND(Sync!$P510&gt;=10000101,Sync!$P510&lt;=99991231),INT(Sync!$P510/10000),""),IFERROR(VALUE(TRIM(LEFT(Sync!$P510,FIND("/",Sync!$P510)-1))),"")))</f>
        <v/>
      </c>
      <c r="AG510">
        <f>IF(OR($AE510="",$AF510=""),"",IF(ISNUMBER(Sync!$P510),INT(MOD(Sync!$P510,10000)/100),IFERROR(VALUE(TRIM(LEFT(MID(Sync!$P510,FIND("/",Sync!$P510)+1,20),FIND("/",MID(Sync!$P510,FIND("/",Sync!$P510)+1,20))-1))),"")))</f>
        <v/>
      </c>
      <c r="AH510">
        <f>IF(OR($AE510="",$AF510=""),"",IF(ISNUMBER(Sync!$P510),MOD(Sync!$P510,100),IFERROR(VALUE(TRIM(MID(MID(Sync!$P510,FIND("/",Sync!$P510)+1,20),FIND("/",MID(Sync!$P510,FIND("/",Sync!$P510)+1,20))+1,20))),"")))</f>
        <v/>
      </c>
      <c r="AI510">
        <f>IF($AE510="","",IF(OR($AF510="",$AG510="",$AH510="",$AF510&lt;1300,$AF510&gt;1500,$AG510&lt;1,$AG510&gt;12,$AH510&lt;1,$AH510&gt;31),"نامعتبر",RIGHT("0000"&amp;$AF510,4)&amp;"/"&amp;RIGHT("00"&amp;$AG510,2)&amp;"/"&amp;RIGHT("00"&amp;$AH510,2)))</f>
        <v/>
      </c>
      <c r="AJ510">
        <f>IF($AE510="","",IF(Sync!$Q510="","0000",IF(AND(ISNUMBER(Sync!$Q510),Sync!$Q510&gt;=0,Sync!$Q510&lt;1),RIGHT("00"&amp;HOUR(Sync!$Q510),2)&amp;RIGHT("00"&amp;MINUTE(Sync!$Q510),2),IFERROR(RIGHT("00"&amp;VALUE(LEFT(Sync!$Q510,FIND(":",Sync!$Q510)-1)),2)&amp;RIGHT("00"&amp;VALUE(MID(Sync!$Q510,FIND(":",Sync!$Q510)+1,2)),2),"0000"))))</f>
        <v/>
      </c>
      <c r="AK510">
        <f>IF(OR($AE510="",$AI510="",$AI510="نامعتبر"),"",LEFT($AI510,4)&amp;MID($AI510,6,2)&amp;RIGHT($AI510,2)&amp;$AJ510&amp;"|"&amp;"3"&amp;RIGHT("00000"&amp;505,5))</f>
        <v/>
      </c>
      <c r="AL510">
        <f>IF($AK510="","",COUNTIFS(LdAParty,$AE510,LdAType,1,LdAKey,"&lt;"&amp;$AK510)+COUNTIFS(LdBMember,$AE510,LdBKey,"&lt;"&amp;$AK510)+COUNTIFS(LdCParty,$AE510,LdCKey,"&lt;"&amp;$AK510)+1)</f>
        <v/>
      </c>
      <c r="AM510">
        <f>IF($AL510="","",$AE510&amp;"|"&amp;RIGHT("000000"&amp;$AL510,6))</f>
        <v/>
      </c>
      <c r="AN510">
        <f>IF($AE510="","",IF(Sync!$W510="",0,Sync!$W510))</f>
        <v/>
      </c>
      <c r="AO510">
        <f>IF($AE510="","",IF(Sync!$X510="",0,Sync!$X510))</f>
        <v/>
      </c>
      <c r="AP510">
        <f>IF($AE510="","",Sync!$R510)</f>
        <v/>
      </c>
      <c r="AQ510">
        <f>IF($AE510="","",Sync!$Y510)</f>
        <v/>
      </c>
    </row>
    <row r="511">
      <c r="A511">
        <f>IF(OR(Wages!$B514="",Wages!$E514=""),"",Wages!$E514)</f>
        <v/>
      </c>
      <c r="B511">
        <f>IF($A511="","",IF(Wages!$C514="دستمزد گروهی",2,1))</f>
        <v/>
      </c>
      <c r="C511">
        <f>IF($A511="","",IF(ISNUMBER(Wages!$B514),IF(AND(Wages!$B514&gt;=10000101,Wages!$B514&lt;=99991231),INT(Wages!$B514/10000),""),IFERROR(VALUE(TRIM(LEFT(Wages!$B514,FIND("/",Wages!$B514)-1))),"")))</f>
        <v/>
      </c>
      <c r="D511">
        <f>IF(OR($A511="",$C511=""),"",IF(ISNUMBER(Wages!$B514),INT(MOD(Wages!$B514,10000)/100),IFERROR(VALUE(TRIM(LEFT(MID(Wages!$B514,FIND("/",Wages!$B514)+1,20),FIND("/",MID(Wages!$B514,FIND("/",Wages!$B514)+1,20))-1))),"")))</f>
        <v/>
      </c>
      <c r="E511">
        <f>IF(OR($A511="",$C511=""),"",IF(ISNUMBER(Wages!$B514),MOD(Wages!$B514,100),IFERROR(VALUE(TRIM(MID(MID(Wages!$B514,FIND("/",Wages!$B514)+1,20),FIND("/",MID(Wages!$B514,FIND("/",Wages!$B514)+1,20))+1,20))),"")))</f>
        <v/>
      </c>
      <c r="F511">
        <f>IF($A511="","",IF(OR($C511="",$D511="",$E511="",$C511&lt;1300,$C511&gt;1500,$D511&lt;1,$D511&gt;12,$E511&lt;1,$E511&gt;31),"نامعتبر",RIGHT("0000"&amp;$C511,4)&amp;"/"&amp;RIGHT("00"&amp;$D511,2)&amp;"/"&amp;RIGHT("00"&amp;$E511,2)))</f>
        <v/>
      </c>
      <c r="G511">
        <f>IF(OR($A511="",$F511="",$F511="نامعتبر"),"",LEFT($F511,4)&amp;MID($F511,6,2)&amp;RIGHT($F511,2)&amp;"0000"&amp;"|"&amp;"1"&amp;RIGHT("00000"&amp;506,5))</f>
        <v/>
      </c>
      <c r="H511">
        <f>IF(OR($B511&lt;&gt;1,$G511=""),"",COUNTIFS(LdAParty,$A511,LdAType,1,LdAKey,"&lt;"&amp;$G511)+COUNTIFS(LdBMember,$A511,LdBKey,"&lt;"&amp;$G511)+COUNTIFS(LdCParty,$A511,LdCKey,"&lt;"&amp;$G511)+1)</f>
        <v/>
      </c>
      <c r="I511">
        <f>IF($H511="","",$A511&amp;"|"&amp;RIGHT("000000"&amp;$H511,6))</f>
        <v/>
      </c>
      <c r="J511">
        <f>IF(OR($B511&lt;&gt;2,$G511=""),"",COUNTIFS(LdAParty,$A511,LdAType,2,LdAKey,"&lt;"&amp;$G511)+1)</f>
        <v/>
      </c>
      <c r="K511">
        <f>IF($J511="","",$A511&amp;"|"&amp;RIGHT("000000"&amp;$J511,6))</f>
        <v/>
      </c>
      <c r="L511">
        <f>IF($A511="","",IF(Wages!$G514="",0,Wages!$G514))</f>
        <v/>
      </c>
      <c r="M511">
        <f>IF($A511="","",Wages!$J514)</f>
        <v/>
      </c>
      <c r="N511">
        <f>IF($A511="","",Wages!$D514)</f>
        <v/>
      </c>
      <c r="P511">
        <f>IF(OR(Shares!$B514="",Shares!$C514=""),"",Shares!$C514)</f>
        <v/>
      </c>
      <c r="Q511">
        <f>IF($P511="","",Shares!$B514)</f>
        <v/>
      </c>
      <c r="R511">
        <f>IF($P511="","",IFERROR(INDEX(WageParty,MATCH($Q511,WageIds,0)),""))</f>
        <v/>
      </c>
      <c r="S511">
        <f>IF($P511="","",IFERROR(INDEX($F$6:$F$2005,MATCH($Q511,WageIds,0)),""))</f>
        <v/>
      </c>
      <c r="T511">
        <f>IF(OR($P511="",$S511="",$S511="نامعتبر"),"",LEFT($S511,4)&amp;MID($S511,6,2)&amp;RIGHT($S511,2)&amp;"0000"&amp;"|"&amp;"2"&amp;RIGHT("00000"&amp;506,5))</f>
        <v/>
      </c>
      <c r="U511">
        <f>IF($T511="","",COUNTIFS(LdAParty,$P511,LdAType,1,LdAKey,"&lt;"&amp;$T511)+COUNTIFS(LdBMember,$P511,LdBKey,"&lt;"&amp;$T511)+COUNTIFS(LdCParty,$P511,LdCKey,"&lt;"&amp;$T511)+1)</f>
        <v/>
      </c>
      <c r="V511">
        <f>IF($U511="","",$P511&amp;"|"&amp;RIGHT("000000"&amp;$U511,6))</f>
        <v/>
      </c>
      <c r="W511">
        <f>IF($T511="","",COUNTIFS(LdBGroup,$R511,LdBKey,"&lt;"&amp;$T511)+1)</f>
        <v/>
      </c>
      <c r="X511">
        <f>IF($W511="","",$R511&amp;"|"&amp;RIGHT("000000"&amp;$W511,6))</f>
        <v/>
      </c>
      <c r="Y511">
        <f>IF($P511="","",IF(Shares!$E514="",0,Shares!$E514))</f>
        <v/>
      </c>
      <c r="Z511">
        <f>IF($P511="","",Shares!$H514)</f>
        <v/>
      </c>
      <c r="AE511">
        <f>IF(OR(Sync!$S511="",Sync!$P511=""),"",Sync!$S511)</f>
        <v/>
      </c>
      <c r="AF511">
        <f>IF($AE511="","",IF(ISNUMBER(Sync!$P511),IF(AND(Sync!$P511&gt;=10000101,Sync!$P511&lt;=99991231),INT(Sync!$P511/10000),""),IFERROR(VALUE(TRIM(LEFT(Sync!$P511,FIND("/",Sync!$P511)-1))),"")))</f>
        <v/>
      </c>
      <c r="AG511">
        <f>IF(OR($AE511="",$AF511=""),"",IF(ISNUMBER(Sync!$P511),INT(MOD(Sync!$P511,10000)/100),IFERROR(VALUE(TRIM(LEFT(MID(Sync!$P511,FIND("/",Sync!$P511)+1,20),FIND("/",MID(Sync!$P511,FIND("/",Sync!$P511)+1,20))-1))),"")))</f>
        <v/>
      </c>
      <c r="AH511">
        <f>IF(OR($AE511="",$AF511=""),"",IF(ISNUMBER(Sync!$P511),MOD(Sync!$P511,100),IFERROR(VALUE(TRIM(MID(MID(Sync!$P511,FIND("/",Sync!$P511)+1,20),FIND("/",MID(Sync!$P511,FIND("/",Sync!$P511)+1,20))+1,20))),"")))</f>
        <v/>
      </c>
      <c r="AI511">
        <f>IF($AE511="","",IF(OR($AF511="",$AG511="",$AH511="",$AF511&lt;1300,$AF511&gt;1500,$AG511&lt;1,$AG511&gt;12,$AH511&lt;1,$AH511&gt;31),"نامعتبر",RIGHT("0000"&amp;$AF511,4)&amp;"/"&amp;RIGHT("00"&amp;$AG511,2)&amp;"/"&amp;RIGHT("00"&amp;$AH511,2)))</f>
        <v/>
      </c>
      <c r="AJ511">
        <f>IF($AE511="","",IF(Sync!$Q511="","0000",IF(AND(ISNUMBER(Sync!$Q511),Sync!$Q511&gt;=0,Sync!$Q511&lt;1),RIGHT("00"&amp;HOUR(Sync!$Q511),2)&amp;RIGHT("00"&amp;MINUTE(Sync!$Q511),2),IFERROR(RIGHT("00"&amp;VALUE(LEFT(Sync!$Q511,FIND(":",Sync!$Q511)-1)),2)&amp;RIGHT("00"&amp;VALUE(MID(Sync!$Q511,FIND(":",Sync!$Q511)+1,2)),2),"0000"))))</f>
        <v/>
      </c>
      <c r="AK511">
        <f>IF(OR($AE511="",$AI511="",$AI511="نامعتبر"),"",LEFT($AI511,4)&amp;MID($AI511,6,2)&amp;RIGHT($AI511,2)&amp;$AJ511&amp;"|"&amp;"3"&amp;RIGHT("00000"&amp;506,5))</f>
        <v/>
      </c>
      <c r="AL511">
        <f>IF($AK511="","",COUNTIFS(LdAParty,$AE511,LdAType,1,LdAKey,"&lt;"&amp;$AK511)+COUNTIFS(LdBMember,$AE511,LdBKey,"&lt;"&amp;$AK511)+COUNTIFS(LdCParty,$AE511,LdCKey,"&lt;"&amp;$AK511)+1)</f>
        <v/>
      </c>
      <c r="AM511">
        <f>IF($AL511="","",$AE511&amp;"|"&amp;RIGHT("000000"&amp;$AL511,6))</f>
        <v/>
      </c>
      <c r="AN511">
        <f>IF($AE511="","",IF(Sync!$W511="",0,Sync!$W511))</f>
        <v/>
      </c>
      <c r="AO511">
        <f>IF($AE511="","",IF(Sync!$X511="",0,Sync!$X511))</f>
        <v/>
      </c>
      <c r="AP511">
        <f>IF($AE511="","",Sync!$R511)</f>
        <v/>
      </c>
      <c r="AQ511">
        <f>IF($AE511="","",Sync!$Y511)</f>
        <v/>
      </c>
    </row>
    <row r="512">
      <c r="A512">
        <f>IF(OR(Wages!$B515="",Wages!$E515=""),"",Wages!$E515)</f>
        <v/>
      </c>
      <c r="B512">
        <f>IF($A512="","",IF(Wages!$C515="دستمزد گروهی",2,1))</f>
        <v/>
      </c>
      <c r="C512">
        <f>IF($A512="","",IF(ISNUMBER(Wages!$B515),IF(AND(Wages!$B515&gt;=10000101,Wages!$B515&lt;=99991231),INT(Wages!$B515/10000),""),IFERROR(VALUE(TRIM(LEFT(Wages!$B515,FIND("/",Wages!$B515)-1))),"")))</f>
        <v/>
      </c>
      <c r="D512">
        <f>IF(OR($A512="",$C512=""),"",IF(ISNUMBER(Wages!$B515),INT(MOD(Wages!$B515,10000)/100),IFERROR(VALUE(TRIM(LEFT(MID(Wages!$B515,FIND("/",Wages!$B515)+1,20),FIND("/",MID(Wages!$B515,FIND("/",Wages!$B515)+1,20))-1))),"")))</f>
        <v/>
      </c>
      <c r="E512">
        <f>IF(OR($A512="",$C512=""),"",IF(ISNUMBER(Wages!$B515),MOD(Wages!$B515,100),IFERROR(VALUE(TRIM(MID(MID(Wages!$B515,FIND("/",Wages!$B515)+1,20),FIND("/",MID(Wages!$B515,FIND("/",Wages!$B515)+1,20))+1,20))),"")))</f>
        <v/>
      </c>
      <c r="F512">
        <f>IF($A512="","",IF(OR($C512="",$D512="",$E512="",$C512&lt;1300,$C512&gt;1500,$D512&lt;1,$D512&gt;12,$E512&lt;1,$E512&gt;31),"نامعتبر",RIGHT("0000"&amp;$C512,4)&amp;"/"&amp;RIGHT("00"&amp;$D512,2)&amp;"/"&amp;RIGHT("00"&amp;$E512,2)))</f>
        <v/>
      </c>
      <c r="G512">
        <f>IF(OR($A512="",$F512="",$F512="نامعتبر"),"",LEFT($F512,4)&amp;MID($F512,6,2)&amp;RIGHT($F512,2)&amp;"0000"&amp;"|"&amp;"1"&amp;RIGHT("00000"&amp;507,5))</f>
        <v/>
      </c>
      <c r="H512">
        <f>IF(OR($B512&lt;&gt;1,$G512=""),"",COUNTIFS(LdAParty,$A512,LdAType,1,LdAKey,"&lt;"&amp;$G512)+COUNTIFS(LdBMember,$A512,LdBKey,"&lt;"&amp;$G512)+COUNTIFS(LdCParty,$A512,LdCKey,"&lt;"&amp;$G512)+1)</f>
        <v/>
      </c>
      <c r="I512">
        <f>IF($H512="","",$A512&amp;"|"&amp;RIGHT("000000"&amp;$H512,6))</f>
        <v/>
      </c>
      <c r="J512">
        <f>IF(OR($B512&lt;&gt;2,$G512=""),"",COUNTIFS(LdAParty,$A512,LdAType,2,LdAKey,"&lt;"&amp;$G512)+1)</f>
        <v/>
      </c>
      <c r="K512">
        <f>IF($J512="","",$A512&amp;"|"&amp;RIGHT("000000"&amp;$J512,6))</f>
        <v/>
      </c>
      <c r="L512">
        <f>IF($A512="","",IF(Wages!$G515="",0,Wages!$G515))</f>
        <v/>
      </c>
      <c r="M512">
        <f>IF($A512="","",Wages!$J515)</f>
        <v/>
      </c>
      <c r="N512">
        <f>IF($A512="","",Wages!$D515)</f>
        <v/>
      </c>
      <c r="P512">
        <f>IF(OR(Shares!$B515="",Shares!$C515=""),"",Shares!$C515)</f>
        <v/>
      </c>
      <c r="Q512">
        <f>IF($P512="","",Shares!$B515)</f>
        <v/>
      </c>
      <c r="R512">
        <f>IF($P512="","",IFERROR(INDEX(WageParty,MATCH($Q512,WageIds,0)),""))</f>
        <v/>
      </c>
      <c r="S512">
        <f>IF($P512="","",IFERROR(INDEX($F$6:$F$2005,MATCH($Q512,WageIds,0)),""))</f>
        <v/>
      </c>
      <c r="T512">
        <f>IF(OR($P512="",$S512="",$S512="نامعتبر"),"",LEFT($S512,4)&amp;MID($S512,6,2)&amp;RIGHT($S512,2)&amp;"0000"&amp;"|"&amp;"2"&amp;RIGHT("00000"&amp;507,5))</f>
        <v/>
      </c>
      <c r="U512">
        <f>IF($T512="","",COUNTIFS(LdAParty,$P512,LdAType,1,LdAKey,"&lt;"&amp;$T512)+COUNTIFS(LdBMember,$P512,LdBKey,"&lt;"&amp;$T512)+COUNTIFS(LdCParty,$P512,LdCKey,"&lt;"&amp;$T512)+1)</f>
        <v/>
      </c>
      <c r="V512">
        <f>IF($U512="","",$P512&amp;"|"&amp;RIGHT("000000"&amp;$U512,6))</f>
        <v/>
      </c>
      <c r="W512">
        <f>IF($T512="","",COUNTIFS(LdBGroup,$R512,LdBKey,"&lt;"&amp;$T512)+1)</f>
        <v/>
      </c>
      <c r="X512">
        <f>IF($W512="","",$R512&amp;"|"&amp;RIGHT("000000"&amp;$W512,6))</f>
        <v/>
      </c>
      <c r="Y512">
        <f>IF($P512="","",IF(Shares!$E515="",0,Shares!$E515))</f>
        <v/>
      </c>
      <c r="Z512">
        <f>IF($P512="","",Shares!$H515)</f>
        <v/>
      </c>
      <c r="AE512">
        <f>IF(OR(Sync!$S512="",Sync!$P512=""),"",Sync!$S512)</f>
        <v/>
      </c>
      <c r="AF512">
        <f>IF($AE512="","",IF(ISNUMBER(Sync!$P512),IF(AND(Sync!$P512&gt;=10000101,Sync!$P512&lt;=99991231),INT(Sync!$P512/10000),""),IFERROR(VALUE(TRIM(LEFT(Sync!$P512,FIND("/",Sync!$P512)-1))),"")))</f>
        <v/>
      </c>
      <c r="AG512">
        <f>IF(OR($AE512="",$AF512=""),"",IF(ISNUMBER(Sync!$P512),INT(MOD(Sync!$P512,10000)/100),IFERROR(VALUE(TRIM(LEFT(MID(Sync!$P512,FIND("/",Sync!$P512)+1,20),FIND("/",MID(Sync!$P512,FIND("/",Sync!$P512)+1,20))-1))),"")))</f>
        <v/>
      </c>
      <c r="AH512">
        <f>IF(OR($AE512="",$AF512=""),"",IF(ISNUMBER(Sync!$P512),MOD(Sync!$P512,100),IFERROR(VALUE(TRIM(MID(MID(Sync!$P512,FIND("/",Sync!$P512)+1,20),FIND("/",MID(Sync!$P512,FIND("/",Sync!$P512)+1,20))+1,20))),"")))</f>
        <v/>
      </c>
      <c r="AI512">
        <f>IF($AE512="","",IF(OR($AF512="",$AG512="",$AH512="",$AF512&lt;1300,$AF512&gt;1500,$AG512&lt;1,$AG512&gt;12,$AH512&lt;1,$AH512&gt;31),"نامعتبر",RIGHT("0000"&amp;$AF512,4)&amp;"/"&amp;RIGHT("00"&amp;$AG512,2)&amp;"/"&amp;RIGHT("00"&amp;$AH512,2)))</f>
        <v/>
      </c>
      <c r="AJ512">
        <f>IF($AE512="","",IF(Sync!$Q512="","0000",IF(AND(ISNUMBER(Sync!$Q512),Sync!$Q512&gt;=0,Sync!$Q512&lt;1),RIGHT("00"&amp;HOUR(Sync!$Q512),2)&amp;RIGHT("00"&amp;MINUTE(Sync!$Q512),2),IFERROR(RIGHT("00"&amp;VALUE(LEFT(Sync!$Q512,FIND(":",Sync!$Q512)-1)),2)&amp;RIGHT("00"&amp;VALUE(MID(Sync!$Q512,FIND(":",Sync!$Q512)+1,2)),2),"0000"))))</f>
        <v/>
      </c>
      <c r="AK512">
        <f>IF(OR($AE512="",$AI512="",$AI512="نامعتبر"),"",LEFT($AI512,4)&amp;MID($AI512,6,2)&amp;RIGHT($AI512,2)&amp;$AJ512&amp;"|"&amp;"3"&amp;RIGHT("00000"&amp;507,5))</f>
        <v/>
      </c>
      <c r="AL512">
        <f>IF($AK512="","",COUNTIFS(LdAParty,$AE512,LdAType,1,LdAKey,"&lt;"&amp;$AK512)+COUNTIFS(LdBMember,$AE512,LdBKey,"&lt;"&amp;$AK512)+COUNTIFS(LdCParty,$AE512,LdCKey,"&lt;"&amp;$AK512)+1)</f>
        <v/>
      </c>
      <c r="AM512">
        <f>IF($AL512="","",$AE512&amp;"|"&amp;RIGHT("000000"&amp;$AL512,6))</f>
        <v/>
      </c>
      <c r="AN512">
        <f>IF($AE512="","",IF(Sync!$W512="",0,Sync!$W512))</f>
        <v/>
      </c>
      <c r="AO512">
        <f>IF($AE512="","",IF(Sync!$X512="",0,Sync!$X512))</f>
        <v/>
      </c>
      <c r="AP512">
        <f>IF($AE512="","",Sync!$R512)</f>
        <v/>
      </c>
      <c r="AQ512">
        <f>IF($AE512="","",Sync!$Y512)</f>
        <v/>
      </c>
    </row>
    <row r="513">
      <c r="A513">
        <f>IF(OR(Wages!$B516="",Wages!$E516=""),"",Wages!$E516)</f>
        <v/>
      </c>
      <c r="B513">
        <f>IF($A513="","",IF(Wages!$C516="دستمزد گروهی",2,1))</f>
        <v/>
      </c>
      <c r="C513">
        <f>IF($A513="","",IF(ISNUMBER(Wages!$B516),IF(AND(Wages!$B516&gt;=10000101,Wages!$B516&lt;=99991231),INT(Wages!$B516/10000),""),IFERROR(VALUE(TRIM(LEFT(Wages!$B516,FIND("/",Wages!$B516)-1))),"")))</f>
        <v/>
      </c>
      <c r="D513">
        <f>IF(OR($A513="",$C513=""),"",IF(ISNUMBER(Wages!$B516),INT(MOD(Wages!$B516,10000)/100),IFERROR(VALUE(TRIM(LEFT(MID(Wages!$B516,FIND("/",Wages!$B516)+1,20),FIND("/",MID(Wages!$B516,FIND("/",Wages!$B516)+1,20))-1))),"")))</f>
        <v/>
      </c>
      <c r="E513">
        <f>IF(OR($A513="",$C513=""),"",IF(ISNUMBER(Wages!$B516),MOD(Wages!$B516,100),IFERROR(VALUE(TRIM(MID(MID(Wages!$B516,FIND("/",Wages!$B516)+1,20),FIND("/",MID(Wages!$B516,FIND("/",Wages!$B516)+1,20))+1,20))),"")))</f>
        <v/>
      </c>
      <c r="F513">
        <f>IF($A513="","",IF(OR($C513="",$D513="",$E513="",$C513&lt;1300,$C513&gt;1500,$D513&lt;1,$D513&gt;12,$E513&lt;1,$E513&gt;31),"نامعتبر",RIGHT("0000"&amp;$C513,4)&amp;"/"&amp;RIGHT("00"&amp;$D513,2)&amp;"/"&amp;RIGHT("00"&amp;$E513,2)))</f>
        <v/>
      </c>
      <c r="G513">
        <f>IF(OR($A513="",$F513="",$F513="نامعتبر"),"",LEFT($F513,4)&amp;MID($F513,6,2)&amp;RIGHT($F513,2)&amp;"0000"&amp;"|"&amp;"1"&amp;RIGHT("00000"&amp;508,5))</f>
        <v/>
      </c>
      <c r="H513">
        <f>IF(OR($B513&lt;&gt;1,$G513=""),"",COUNTIFS(LdAParty,$A513,LdAType,1,LdAKey,"&lt;"&amp;$G513)+COUNTIFS(LdBMember,$A513,LdBKey,"&lt;"&amp;$G513)+COUNTIFS(LdCParty,$A513,LdCKey,"&lt;"&amp;$G513)+1)</f>
        <v/>
      </c>
      <c r="I513">
        <f>IF($H513="","",$A513&amp;"|"&amp;RIGHT("000000"&amp;$H513,6))</f>
        <v/>
      </c>
      <c r="J513">
        <f>IF(OR($B513&lt;&gt;2,$G513=""),"",COUNTIFS(LdAParty,$A513,LdAType,2,LdAKey,"&lt;"&amp;$G513)+1)</f>
        <v/>
      </c>
      <c r="K513">
        <f>IF($J513="","",$A513&amp;"|"&amp;RIGHT("000000"&amp;$J513,6))</f>
        <v/>
      </c>
      <c r="L513">
        <f>IF($A513="","",IF(Wages!$G516="",0,Wages!$G516))</f>
        <v/>
      </c>
      <c r="M513">
        <f>IF($A513="","",Wages!$J516)</f>
        <v/>
      </c>
      <c r="N513">
        <f>IF($A513="","",Wages!$D516)</f>
        <v/>
      </c>
      <c r="P513">
        <f>IF(OR(Shares!$B516="",Shares!$C516=""),"",Shares!$C516)</f>
        <v/>
      </c>
      <c r="Q513">
        <f>IF($P513="","",Shares!$B516)</f>
        <v/>
      </c>
      <c r="R513">
        <f>IF($P513="","",IFERROR(INDEX(WageParty,MATCH($Q513,WageIds,0)),""))</f>
        <v/>
      </c>
      <c r="S513">
        <f>IF($P513="","",IFERROR(INDEX($F$6:$F$2005,MATCH($Q513,WageIds,0)),""))</f>
        <v/>
      </c>
      <c r="T513">
        <f>IF(OR($P513="",$S513="",$S513="نامعتبر"),"",LEFT($S513,4)&amp;MID($S513,6,2)&amp;RIGHT($S513,2)&amp;"0000"&amp;"|"&amp;"2"&amp;RIGHT("00000"&amp;508,5))</f>
        <v/>
      </c>
      <c r="U513">
        <f>IF($T513="","",COUNTIFS(LdAParty,$P513,LdAType,1,LdAKey,"&lt;"&amp;$T513)+COUNTIFS(LdBMember,$P513,LdBKey,"&lt;"&amp;$T513)+COUNTIFS(LdCParty,$P513,LdCKey,"&lt;"&amp;$T513)+1)</f>
        <v/>
      </c>
      <c r="V513">
        <f>IF($U513="","",$P513&amp;"|"&amp;RIGHT("000000"&amp;$U513,6))</f>
        <v/>
      </c>
      <c r="W513">
        <f>IF($T513="","",COUNTIFS(LdBGroup,$R513,LdBKey,"&lt;"&amp;$T513)+1)</f>
        <v/>
      </c>
      <c r="X513">
        <f>IF($W513="","",$R513&amp;"|"&amp;RIGHT("000000"&amp;$W513,6))</f>
        <v/>
      </c>
      <c r="Y513">
        <f>IF($P513="","",IF(Shares!$E516="",0,Shares!$E516))</f>
        <v/>
      </c>
      <c r="Z513">
        <f>IF($P513="","",Shares!$H516)</f>
        <v/>
      </c>
      <c r="AE513">
        <f>IF(OR(Sync!$S513="",Sync!$P513=""),"",Sync!$S513)</f>
        <v/>
      </c>
      <c r="AF513">
        <f>IF($AE513="","",IF(ISNUMBER(Sync!$P513),IF(AND(Sync!$P513&gt;=10000101,Sync!$P513&lt;=99991231),INT(Sync!$P513/10000),""),IFERROR(VALUE(TRIM(LEFT(Sync!$P513,FIND("/",Sync!$P513)-1))),"")))</f>
        <v/>
      </c>
      <c r="AG513">
        <f>IF(OR($AE513="",$AF513=""),"",IF(ISNUMBER(Sync!$P513),INT(MOD(Sync!$P513,10000)/100),IFERROR(VALUE(TRIM(LEFT(MID(Sync!$P513,FIND("/",Sync!$P513)+1,20),FIND("/",MID(Sync!$P513,FIND("/",Sync!$P513)+1,20))-1))),"")))</f>
        <v/>
      </c>
      <c r="AH513">
        <f>IF(OR($AE513="",$AF513=""),"",IF(ISNUMBER(Sync!$P513),MOD(Sync!$P513,100),IFERROR(VALUE(TRIM(MID(MID(Sync!$P513,FIND("/",Sync!$P513)+1,20),FIND("/",MID(Sync!$P513,FIND("/",Sync!$P513)+1,20))+1,20))),"")))</f>
        <v/>
      </c>
      <c r="AI513">
        <f>IF($AE513="","",IF(OR($AF513="",$AG513="",$AH513="",$AF513&lt;1300,$AF513&gt;1500,$AG513&lt;1,$AG513&gt;12,$AH513&lt;1,$AH513&gt;31),"نامعتبر",RIGHT("0000"&amp;$AF513,4)&amp;"/"&amp;RIGHT("00"&amp;$AG513,2)&amp;"/"&amp;RIGHT("00"&amp;$AH513,2)))</f>
        <v/>
      </c>
      <c r="AJ513">
        <f>IF($AE513="","",IF(Sync!$Q513="","0000",IF(AND(ISNUMBER(Sync!$Q513),Sync!$Q513&gt;=0,Sync!$Q513&lt;1),RIGHT("00"&amp;HOUR(Sync!$Q513),2)&amp;RIGHT("00"&amp;MINUTE(Sync!$Q513),2),IFERROR(RIGHT("00"&amp;VALUE(LEFT(Sync!$Q513,FIND(":",Sync!$Q513)-1)),2)&amp;RIGHT("00"&amp;VALUE(MID(Sync!$Q513,FIND(":",Sync!$Q513)+1,2)),2),"0000"))))</f>
        <v/>
      </c>
      <c r="AK513">
        <f>IF(OR($AE513="",$AI513="",$AI513="نامعتبر"),"",LEFT($AI513,4)&amp;MID($AI513,6,2)&amp;RIGHT($AI513,2)&amp;$AJ513&amp;"|"&amp;"3"&amp;RIGHT("00000"&amp;508,5))</f>
        <v/>
      </c>
      <c r="AL513">
        <f>IF($AK513="","",COUNTIFS(LdAParty,$AE513,LdAType,1,LdAKey,"&lt;"&amp;$AK513)+COUNTIFS(LdBMember,$AE513,LdBKey,"&lt;"&amp;$AK513)+COUNTIFS(LdCParty,$AE513,LdCKey,"&lt;"&amp;$AK513)+1)</f>
        <v/>
      </c>
      <c r="AM513">
        <f>IF($AL513="","",$AE513&amp;"|"&amp;RIGHT("000000"&amp;$AL513,6))</f>
        <v/>
      </c>
      <c r="AN513">
        <f>IF($AE513="","",IF(Sync!$W513="",0,Sync!$W513))</f>
        <v/>
      </c>
      <c r="AO513">
        <f>IF($AE513="","",IF(Sync!$X513="",0,Sync!$X513))</f>
        <v/>
      </c>
      <c r="AP513">
        <f>IF($AE513="","",Sync!$R513)</f>
        <v/>
      </c>
      <c r="AQ513">
        <f>IF($AE513="","",Sync!$Y513)</f>
        <v/>
      </c>
    </row>
    <row r="514">
      <c r="A514">
        <f>IF(OR(Wages!$B517="",Wages!$E517=""),"",Wages!$E517)</f>
        <v/>
      </c>
      <c r="B514">
        <f>IF($A514="","",IF(Wages!$C517="دستمزد گروهی",2,1))</f>
        <v/>
      </c>
      <c r="C514">
        <f>IF($A514="","",IF(ISNUMBER(Wages!$B517),IF(AND(Wages!$B517&gt;=10000101,Wages!$B517&lt;=99991231),INT(Wages!$B517/10000),""),IFERROR(VALUE(TRIM(LEFT(Wages!$B517,FIND("/",Wages!$B517)-1))),"")))</f>
        <v/>
      </c>
      <c r="D514">
        <f>IF(OR($A514="",$C514=""),"",IF(ISNUMBER(Wages!$B517),INT(MOD(Wages!$B517,10000)/100),IFERROR(VALUE(TRIM(LEFT(MID(Wages!$B517,FIND("/",Wages!$B517)+1,20),FIND("/",MID(Wages!$B517,FIND("/",Wages!$B517)+1,20))-1))),"")))</f>
        <v/>
      </c>
      <c r="E514">
        <f>IF(OR($A514="",$C514=""),"",IF(ISNUMBER(Wages!$B517),MOD(Wages!$B517,100),IFERROR(VALUE(TRIM(MID(MID(Wages!$B517,FIND("/",Wages!$B517)+1,20),FIND("/",MID(Wages!$B517,FIND("/",Wages!$B517)+1,20))+1,20))),"")))</f>
        <v/>
      </c>
      <c r="F514">
        <f>IF($A514="","",IF(OR($C514="",$D514="",$E514="",$C514&lt;1300,$C514&gt;1500,$D514&lt;1,$D514&gt;12,$E514&lt;1,$E514&gt;31),"نامعتبر",RIGHT("0000"&amp;$C514,4)&amp;"/"&amp;RIGHT("00"&amp;$D514,2)&amp;"/"&amp;RIGHT("00"&amp;$E514,2)))</f>
        <v/>
      </c>
      <c r="G514">
        <f>IF(OR($A514="",$F514="",$F514="نامعتبر"),"",LEFT($F514,4)&amp;MID($F514,6,2)&amp;RIGHT($F514,2)&amp;"0000"&amp;"|"&amp;"1"&amp;RIGHT("00000"&amp;509,5))</f>
        <v/>
      </c>
      <c r="H514">
        <f>IF(OR($B514&lt;&gt;1,$G514=""),"",COUNTIFS(LdAParty,$A514,LdAType,1,LdAKey,"&lt;"&amp;$G514)+COUNTIFS(LdBMember,$A514,LdBKey,"&lt;"&amp;$G514)+COUNTIFS(LdCParty,$A514,LdCKey,"&lt;"&amp;$G514)+1)</f>
        <v/>
      </c>
      <c r="I514">
        <f>IF($H514="","",$A514&amp;"|"&amp;RIGHT("000000"&amp;$H514,6))</f>
        <v/>
      </c>
      <c r="J514">
        <f>IF(OR($B514&lt;&gt;2,$G514=""),"",COUNTIFS(LdAParty,$A514,LdAType,2,LdAKey,"&lt;"&amp;$G514)+1)</f>
        <v/>
      </c>
      <c r="K514">
        <f>IF($J514="","",$A514&amp;"|"&amp;RIGHT("000000"&amp;$J514,6))</f>
        <v/>
      </c>
      <c r="L514">
        <f>IF($A514="","",IF(Wages!$G517="",0,Wages!$G517))</f>
        <v/>
      </c>
      <c r="M514">
        <f>IF($A514="","",Wages!$J517)</f>
        <v/>
      </c>
      <c r="N514">
        <f>IF($A514="","",Wages!$D517)</f>
        <v/>
      </c>
      <c r="P514">
        <f>IF(OR(Shares!$B517="",Shares!$C517=""),"",Shares!$C517)</f>
        <v/>
      </c>
      <c r="Q514">
        <f>IF($P514="","",Shares!$B517)</f>
        <v/>
      </c>
      <c r="R514">
        <f>IF($P514="","",IFERROR(INDEX(WageParty,MATCH($Q514,WageIds,0)),""))</f>
        <v/>
      </c>
      <c r="S514">
        <f>IF($P514="","",IFERROR(INDEX($F$6:$F$2005,MATCH($Q514,WageIds,0)),""))</f>
        <v/>
      </c>
      <c r="T514">
        <f>IF(OR($P514="",$S514="",$S514="نامعتبر"),"",LEFT($S514,4)&amp;MID($S514,6,2)&amp;RIGHT($S514,2)&amp;"0000"&amp;"|"&amp;"2"&amp;RIGHT("00000"&amp;509,5))</f>
        <v/>
      </c>
      <c r="U514">
        <f>IF($T514="","",COUNTIFS(LdAParty,$P514,LdAType,1,LdAKey,"&lt;"&amp;$T514)+COUNTIFS(LdBMember,$P514,LdBKey,"&lt;"&amp;$T514)+COUNTIFS(LdCParty,$P514,LdCKey,"&lt;"&amp;$T514)+1)</f>
        <v/>
      </c>
      <c r="V514">
        <f>IF($U514="","",$P514&amp;"|"&amp;RIGHT("000000"&amp;$U514,6))</f>
        <v/>
      </c>
      <c r="W514">
        <f>IF($T514="","",COUNTIFS(LdBGroup,$R514,LdBKey,"&lt;"&amp;$T514)+1)</f>
        <v/>
      </c>
      <c r="X514">
        <f>IF($W514="","",$R514&amp;"|"&amp;RIGHT("000000"&amp;$W514,6))</f>
        <v/>
      </c>
      <c r="Y514">
        <f>IF($P514="","",IF(Shares!$E517="",0,Shares!$E517))</f>
        <v/>
      </c>
      <c r="Z514">
        <f>IF($P514="","",Shares!$H517)</f>
        <v/>
      </c>
      <c r="AE514">
        <f>IF(OR(Sync!$S514="",Sync!$P514=""),"",Sync!$S514)</f>
        <v/>
      </c>
      <c r="AF514">
        <f>IF($AE514="","",IF(ISNUMBER(Sync!$P514),IF(AND(Sync!$P514&gt;=10000101,Sync!$P514&lt;=99991231),INT(Sync!$P514/10000),""),IFERROR(VALUE(TRIM(LEFT(Sync!$P514,FIND("/",Sync!$P514)-1))),"")))</f>
        <v/>
      </c>
      <c r="AG514">
        <f>IF(OR($AE514="",$AF514=""),"",IF(ISNUMBER(Sync!$P514),INT(MOD(Sync!$P514,10000)/100),IFERROR(VALUE(TRIM(LEFT(MID(Sync!$P514,FIND("/",Sync!$P514)+1,20),FIND("/",MID(Sync!$P514,FIND("/",Sync!$P514)+1,20))-1))),"")))</f>
        <v/>
      </c>
      <c r="AH514">
        <f>IF(OR($AE514="",$AF514=""),"",IF(ISNUMBER(Sync!$P514),MOD(Sync!$P514,100),IFERROR(VALUE(TRIM(MID(MID(Sync!$P514,FIND("/",Sync!$P514)+1,20),FIND("/",MID(Sync!$P514,FIND("/",Sync!$P514)+1,20))+1,20))),"")))</f>
        <v/>
      </c>
      <c r="AI514">
        <f>IF($AE514="","",IF(OR($AF514="",$AG514="",$AH514="",$AF514&lt;1300,$AF514&gt;1500,$AG514&lt;1,$AG514&gt;12,$AH514&lt;1,$AH514&gt;31),"نامعتبر",RIGHT("0000"&amp;$AF514,4)&amp;"/"&amp;RIGHT("00"&amp;$AG514,2)&amp;"/"&amp;RIGHT("00"&amp;$AH514,2)))</f>
        <v/>
      </c>
      <c r="AJ514">
        <f>IF($AE514="","",IF(Sync!$Q514="","0000",IF(AND(ISNUMBER(Sync!$Q514),Sync!$Q514&gt;=0,Sync!$Q514&lt;1),RIGHT("00"&amp;HOUR(Sync!$Q514),2)&amp;RIGHT("00"&amp;MINUTE(Sync!$Q514),2),IFERROR(RIGHT("00"&amp;VALUE(LEFT(Sync!$Q514,FIND(":",Sync!$Q514)-1)),2)&amp;RIGHT("00"&amp;VALUE(MID(Sync!$Q514,FIND(":",Sync!$Q514)+1,2)),2),"0000"))))</f>
        <v/>
      </c>
      <c r="AK514">
        <f>IF(OR($AE514="",$AI514="",$AI514="نامعتبر"),"",LEFT($AI514,4)&amp;MID($AI514,6,2)&amp;RIGHT($AI514,2)&amp;$AJ514&amp;"|"&amp;"3"&amp;RIGHT("00000"&amp;509,5))</f>
        <v/>
      </c>
      <c r="AL514">
        <f>IF($AK514="","",COUNTIFS(LdAParty,$AE514,LdAType,1,LdAKey,"&lt;"&amp;$AK514)+COUNTIFS(LdBMember,$AE514,LdBKey,"&lt;"&amp;$AK514)+COUNTIFS(LdCParty,$AE514,LdCKey,"&lt;"&amp;$AK514)+1)</f>
        <v/>
      </c>
      <c r="AM514">
        <f>IF($AL514="","",$AE514&amp;"|"&amp;RIGHT("000000"&amp;$AL514,6))</f>
        <v/>
      </c>
      <c r="AN514">
        <f>IF($AE514="","",IF(Sync!$W514="",0,Sync!$W514))</f>
        <v/>
      </c>
      <c r="AO514">
        <f>IF($AE514="","",IF(Sync!$X514="",0,Sync!$X514))</f>
        <v/>
      </c>
      <c r="AP514">
        <f>IF($AE514="","",Sync!$R514)</f>
        <v/>
      </c>
      <c r="AQ514">
        <f>IF($AE514="","",Sync!$Y514)</f>
        <v/>
      </c>
    </row>
    <row r="515">
      <c r="A515">
        <f>IF(OR(Wages!$B518="",Wages!$E518=""),"",Wages!$E518)</f>
        <v/>
      </c>
      <c r="B515">
        <f>IF($A515="","",IF(Wages!$C518="دستمزد گروهی",2,1))</f>
        <v/>
      </c>
      <c r="C515">
        <f>IF($A515="","",IF(ISNUMBER(Wages!$B518),IF(AND(Wages!$B518&gt;=10000101,Wages!$B518&lt;=99991231),INT(Wages!$B518/10000),""),IFERROR(VALUE(TRIM(LEFT(Wages!$B518,FIND("/",Wages!$B518)-1))),"")))</f>
        <v/>
      </c>
      <c r="D515">
        <f>IF(OR($A515="",$C515=""),"",IF(ISNUMBER(Wages!$B518),INT(MOD(Wages!$B518,10000)/100),IFERROR(VALUE(TRIM(LEFT(MID(Wages!$B518,FIND("/",Wages!$B518)+1,20),FIND("/",MID(Wages!$B518,FIND("/",Wages!$B518)+1,20))-1))),"")))</f>
        <v/>
      </c>
      <c r="E515">
        <f>IF(OR($A515="",$C515=""),"",IF(ISNUMBER(Wages!$B518),MOD(Wages!$B518,100),IFERROR(VALUE(TRIM(MID(MID(Wages!$B518,FIND("/",Wages!$B518)+1,20),FIND("/",MID(Wages!$B518,FIND("/",Wages!$B518)+1,20))+1,20))),"")))</f>
        <v/>
      </c>
      <c r="F515">
        <f>IF($A515="","",IF(OR($C515="",$D515="",$E515="",$C515&lt;1300,$C515&gt;1500,$D515&lt;1,$D515&gt;12,$E515&lt;1,$E515&gt;31),"نامعتبر",RIGHT("0000"&amp;$C515,4)&amp;"/"&amp;RIGHT("00"&amp;$D515,2)&amp;"/"&amp;RIGHT("00"&amp;$E515,2)))</f>
        <v/>
      </c>
      <c r="G515">
        <f>IF(OR($A515="",$F515="",$F515="نامعتبر"),"",LEFT($F515,4)&amp;MID($F515,6,2)&amp;RIGHT($F515,2)&amp;"0000"&amp;"|"&amp;"1"&amp;RIGHT("00000"&amp;510,5))</f>
        <v/>
      </c>
      <c r="H515">
        <f>IF(OR($B515&lt;&gt;1,$G515=""),"",COUNTIFS(LdAParty,$A515,LdAType,1,LdAKey,"&lt;"&amp;$G515)+COUNTIFS(LdBMember,$A515,LdBKey,"&lt;"&amp;$G515)+COUNTIFS(LdCParty,$A515,LdCKey,"&lt;"&amp;$G515)+1)</f>
        <v/>
      </c>
      <c r="I515">
        <f>IF($H515="","",$A515&amp;"|"&amp;RIGHT("000000"&amp;$H515,6))</f>
        <v/>
      </c>
      <c r="J515">
        <f>IF(OR($B515&lt;&gt;2,$G515=""),"",COUNTIFS(LdAParty,$A515,LdAType,2,LdAKey,"&lt;"&amp;$G515)+1)</f>
        <v/>
      </c>
      <c r="K515">
        <f>IF($J515="","",$A515&amp;"|"&amp;RIGHT("000000"&amp;$J515,6))</f>
        <v/>
      </c>
      <c r="L515">
        <f>IF($A515="","",IF(Wages!$G518="",0,Wages!$G518))</f>
        <v/>
      </c>
      <c r="M515">
        <f>IF($A515="","",Wages!$J518)</f>
        <v/>
      </c>
      <c r="N515">
        <f>IF($A515="","",Wages!$D518)</f>
        <v/>
      </c>
      <c r="P515">
        <f>IF(OR(Shares!$B518="",Shares!$C518=""),"",Shares!$C518)</f>
        <v/>
      </c>
      <c r="Q515">
        <f>IF($P515="","",Shares!$B518)</f>
        <v/>
      </c>
      <c r="R515">
        <f>IF($P515="","",IFERROR(INDEX(WageParty,MATCH($Q515,WageIds,0)),""))</f>
        <v/>
      </c>
      <c r="S515">
        <f>IF($P515="","",IFERROR(INDEX($F$6:$F$2005,MATCH($Q515,WageIds,0)),""))</f>
        <v/>
      </c>
      <c r="T515">
        <f>IF(OR($P515="",$S515="",$S515="نامعتبر"),"",LEFT($S515,4)&amp;MID($S515,6,2)&amp;RIGHT($S515,2)&amp;"0000"&amp;"|"&amp;"2"&amp;RIGHT("00000"&amp;510,5))</f>
        <v/>
      </c>
      <c r="U515">
        <f>IF($T515="","",COUNTIFS(LdAParty,$P515,LdAType,1,LdAKey,"&lt;"&amp;$T515)+COUNTIFS(LdBMember,$P515,LdBKey,"&lt;"&amp;$T515)+COUNTIFS(LdCParty,$P515,LdCKey,"&lt;"&amp;$T515)+1)</f>
        <v/>
      </c>
      <c r="V515">
        <f>IF($U515="","",$P515&amp;"|"&amp;RIGHT("000000"&amp;$U515,6))</f>
        <v/>
      </c>
      <c r="W515">
        <f>IF($T515="","",COUNTIFS(LdBGroup,$R515,LdBKey,"&lt;"&amp;$T515)+1)</f>
        <v/>
      </c>
      <c r="X515">
        <f>IF($W515="","",$R515&amp;"|"&amp;RIGHT("000000"&amp;$W515,6))</f>
        <v/>
      </c>
      <c r="Y515">
        <f>IF($P515="","",IF(Shares!$E518="",0,Shares!$E518))</f>
        <v/>
      </c>
      <c r="Z515">
        <f>IF($P515="","",Shares!$H518)</f>
        <v/>
      </c>
      <c r="AE515">
        <f>IF(OR(Sync!$S515="",Sync!$P515=""),"",Sync!$S515)</f>
        <v/>
      </c>
      <c r="AF515">
        <f>IF($AE515="","",IF(ISNUMBER(Sync!$P515),IF(AND(Sync!$P515&gt;=10000101,Sync!$P515&lt;=99991231),INT(Sync!$P515/10000),""),IFERROR(VALUE(TRIM(LEFT(Sync!$P515,FIND("/",Sync!$P515)-1))),"")))</f>
        <v/>
      </c>
      <c r="AG515">
        <f>IF(OR($AE515="",$AF515=""),"",IF(ISNUMBER(Sync!$P515),INT(MOD(Sync!$P515,10000)/100),IFERROR(VALUE(TRIM(LEFT(MID(Sync!$P515,FIND("/",Sync!$P515)+1,20),FIND("/",MID(Sync!$P515,FIND("/",Sync!$P515)+1,20))-1))),"")))</f>
        <v/>
      </c>
      <c r="AH515">
        <f>IF(OR($AE515="",$AF515=""),"",IF(ISNUMBER(Sync!$P515),MOD(Sync!$P515,100),IFERROR(VALUE(TRIM(MID(MID(Sync!$P515,FIND("/",Sync!$P515)+1,20),FIND("/",MID(Sync!$P515,FIND("/",Sync!$P515)+1,20))+1,20))),"")))</f>
        <v/>
      </c>
      <c r="AI515">
        <f>IF($AE515="","",IF(OR($AF515="",$AG515="",$AH515="",$AF515&lt;1300,$AF515&gt;1500,$AG515&lt;1,$AG515&gt;12,$AH515&lt;1,$AH515&gt;31),"نامعتبر",RIGHT("0000"&amp;$AF515,4)&amp;"/"&amp;RIGHT("00"&amp;$AG515,2)&amp;"/"&amp;RIGHT("00"&amp;$AH515,2)))</f>
        <v/>
      </c>
      <c r="AJ515">
        <f>IF($AE515="","",IF(Sync!$Q515="","0000",IF(AND(ISNUMBER(Sync!$Q515),Sync!$Q515&gt;=0,Sync!$Q515&lt;1),RIGHT("00"&amp;HOUR(Sync!$Q515),2)&amp;RIGHT("00"&amp;MINUTE(Sync!$Q515),2),IFERROR(RIGHT("00"&amp;VALUE(LEFT(Sync!$Q515,FIND(":",Sync!$Q515)-1)),2)&amp;RIGHT("00"&amp;VALUE(MID(Sync!$Q515,FIND(":",Sync!$Q515)+1,2)),2),"0000"))))</f>
        <v/>
      </c>
      <c r="AK515">
        <f>IF(OR($AE515="",$AI515="",$AI515="نامعتبر"),"",LEFT($AI515,4)&amp;MID($AI515,6,2)&amp;RIGHT($AI515,2)&amp;$AJ515&amp;"|"&amp;"3"&amp;RIGHT("00000"&amp;510,5))</f>
        <v/>
      </c>
      <c r="AL515">
        <f>IF($AK515="","",COUNTIFS(LdAParty,$AE515,LdAType,1,LdAKey,"&lt;"&amp;$AK515)+COUNTIFS(LdBMember,$AE515,LdBKey,"&lt;"&amp;$AK515)+COUNTIFS(LdCParty,$AE515,LdCKey,"&lt;"&amp;$AK515)+1)</f>
        <v/>
      </c>
      <c r="AM515">
        <f>IF($AL515="","",$AE515&amp;"|"&amp;RIGHT("000000"&amp;$AL515,6))</f>
        <v/>
      </c>
      <c r="AN515">
        <f>IF($AE515="","",IF(Sync!$W515="",0,Sync!$W515))</f>
        <v/>
      </c>
      <c r="AO515">
        <f>IF($AE515="","",IF(Sync!$X515="",0,Sync!$X515))</f>
        <v/>
      </c>
      <c r="AP515">
        <f>IF($AE515="","",Sync!$R515)</f>
        <v/>
      </c>
      <c r="AQ515">
        <f>IF($AE515="","",Sync!$Y515)</f>
        <v/>
      </c>
    </row>
    <row r="516">
      <c r="A516">
        <f>IF(OR(Wages!$B519="",Wages!$E519=""),"",Wages!$E519)</f>
        <v/>
      </c>
      <c r="B516">
        <f>IF($A516="","",IF(Wages!$C519="دستمزد گروهی",2,1))</f>
        <v/>
      </c>
      <c r="C516">
        <f>IF($A516="","",IF(ISNUMBER(Wages!$B519),IF(AND(Wages!$B519&gt;=10000101,Wages!$B519&lt;=99991231),INT(Wages!$B519/10000),""),IFERROR(VALUE(TRIM(LEFT(Wages!$B519,FIND("/",Wages!$B519)-1))),"")))</f>
        <v/>
      </c>
      <c r="D516">
        <f>IF(OR($A516="",$C516=""),"",IF(ISNUMBER(Wages!$B519),INT(MOD(Wages!$B519,10000)/100),IFERROR(VALUE(TRIM(LEFT(MID(Wages!$B519,FIND("/",Wages!$B519)+1,20),FIND("/",MID(Wages!$B519,FIND("/",Wages!$B519)+1,20))-1))),"")))</f>
        <v/>
      </c>
      <c r="E516">
        <f>IF(OR($A516="",$C516=""),"",IF(ISNUMBER(Wages!$B519),MOD(Wages!$B519,100),IFERROR(VALUE(TRIM(MID(MID(Wages!$B519,FIND("/",Wages!$B519)+1,20),FIND("/",MID(Wages!$B519,FIND("/",Wages!$B519)+1,20))+1,20))),"")))</f>
        <v/>
      </c>
      <c r="F516">
        <f>IF($A516="","",IF(OR($C516="",$D516="",$E516="",$C516&lt;1300,$C516&gt;1500,$D516&lt;1,$D516&gt;12,$E516&lt;1,$E516&gt;31),"نامعتبر",RIGHT("0000"&amp;$C516,4)&amp;"/"&amp;RIGHT("00"&amp;$D516,2)&amp;"/"&amp;RIGHT("00"&amp;$E516,2)))</f>
        <v/>
      </c>
      <c r="G516">
        <f>IF(OR($A516="",$F516="",$F516="نامعتبر"),"",LEFT($F516,4)&amp;MID($F516,6,2)&amp;RIGHT($F516,2)&amp;"0000"&amp;"|"&amp;"1"&amp;RIGHT("00000"&amp;511,5))</f>
        <v/>
      </c>
      <c r="H516">
        <f>IF(OR($B516&lt;&gt;1,$G516=""),"",COUNTIFS(LdAParty,$A516,LdAType,1,LdAKey,"&lt;"&amp;$G516)+COUNTIFS(LdBMember,$A516,LdBKey,"&lt;"&amp;$G516)+COUNTIFS(LdCParty,$A516,LdCKey,"&lt;"&amp;$G516)+1)</f>
        <v/>
      </c>
      <c r="I516">
        <f>IF($H516="","",$A516&amp;"|"&amp;RIGHT("000000"&amp;$H516,6))</f>
        <v/>
      </c>
      <c r="J516">
        <f>IF(OR($B516&lt;&gt;2,$G516=""),"",COUNTIFS(LdAParty,$A516,LdAType,2,LdAKey,"&lt;"&amp;$G516)+1)</f>
        <v/>
      </c>
      <c r="K516">
        <f>IF($J516="","",$A516&amp;"|"&amp;RIGHT("000000"&amp;$J516,6))</f>
        <v/>
      </c>
      <c r="L516">
        <f>IF($A516="","",IF(Wages!$G519="",0,Wages!$G519))</f>
        <v/>
      </c>
      <c r="M516">
        <f>IF($A516="","",Wages!$J519)</f>
        <v/>
      </c>
      <c r="N516">
        <f>IF($A516="","",Wages!$D519)</f>
        <v/>
      </c>
      <c r="P516">
        <f>IF(OR(Shares!$B519="",Shares!$C519=""),"",Shares!$C519)</f>
        <v/>
      </c>
      <c r="Q516">
        <f>IF($P516="","",Shares!$B519)</f>
        <v/>
      </c>
      <c r="R516">
        <f>IF($P516="","",IFERROR(INDEX(WageParty,MATCH($Q516,WageIds,0)),""))</f>
        <v/>
      </c>
      <c r="S516">
        <f>IF($P516="","",IFERROR(INDEX($F$6:$F$2005,MATCH($Q516,WageIds,0)),""))</f>
        <v/>
      </c>
      <c r="T516">
        <f>IF(OR($P516="",$S516="",$S516="نامعتبر"),"",LEFT($S516,4)&amp;MID($S516,6,2)&amp;RIGHT($S516,2)&amp;"0000"&amp;"|"&amp;"2"&amp;RIGHT("00000"&amp;511,5))</f>
        <v/>
      </c>
      <c r="U516">
        <f>IF($T516="","",COUNTIFS(LdAParty,$P516,LdAType,1,LdAKey,"&lt;"&amp;$T516)+COUNTIFS(LdBMember,$P516,LdBKey,"&lt;"&amp;$T516)+COUNTIFS(LdCParty,$P516,LdCKey,"&lt;"&amp;$T516)+1)</f>
        <v/>
      </c>
      <c r="V516">
        <f>IF($U516="","",$P516&amp;"|"&amp;RIGHT("000000"&amp;$U516,6))</f>
        <v/>
      </c>
      <c r="W516">
        <f>IF($T516="","",COUNTIFS(LdBGroup,$R516,LdBKey,"&lt;"&amp;$T516)+1)</f>
        <v/>
      </c>
      <c r="X516">
        <f>IF($W516="","",$R516&amp;"|"&amp;RIGHT("000000"&amp;$W516,6))</f>
        <v/>
      </c>
      <c r="Y516">
        <f>IF($P516="","",IF(Shares!$E519="",0,Shares!$E519))</f>
        <v/>
      </c>
      <c r="Z516">
        <f>IF($P516="","",Shares!$H519)</f>
        <v/>
      </c>
      <c r="AE516">
        <f>IF(OR(Sync!$S516="",Sync!$P516=""),"",Sync!$S516)</f>
        <v/>
      </c>
      <c r="AF516">
        <f>IF($AE516="","",IF(ISNUMBER(Sync!$P516),IF(AND(Sync!$P516&gt;=10000101,Sync!$P516&lt;=99991231),INT(Sync!$P516/10000),""),IFERROR(VALUE(TRIM(LEFT(Sync!$P516,FIND("/",Sync!$P516)-1))),"")))</f>
        <v/>
      </c>
      <c r="AG516">
        <f>IF(OR($AE516="",$AF516=""),"",IF(ISNUMBER(Sync!$P516),INT(MOD(Sync!$P516,10000)/100),IFERROR(VALUE(TRIM(LEFT(MID(Sync!$P516,FIND("/",Sync!$P516)+1,20),FIND("/",MID(Sync!$P516,FIND("/",Sync!$P516)+1,20))-1))),"")))</f>
        <v/>
      </c>
      <c r="AH516">
        <f>IF(OR($AE516="",$AF516=""),"",IF(ISNUMBER(Sync!$P516),MOD(Sync!$P516,100),IFERROR(VALUE(TRIM(MID(MID(Sync!$P516,FIND("/",Sync!$P516)+1,20),FIND("/",MID(Sync!$P516,FIND("/",Sync!$P516)+1,20))+1,20))),"")))</f>
        <v/>
      </c>
      <c r="AI516">
        <f>IF($AE516="","",IF(OR($AF516="",$AG516="",$AH516="",$AF516&lt;1300,$AF516&gt;1500,$AG516&lt;1,$AG516&gt;12,$AH516&lt;1,$AH516&gt;31),"نامعتبر",RIGHT("0000"&amp;$AF516,4)&amp;"/"&amp;RIGHT("00"&amp;$AG516,2)&amp;"/"&amp;RIGHT("00"&amp;$AH516,2)))</f>
        <v/>
      </c>
      <c r="AJ516">
        <f>IF($AE516="","",IF(Sync!$Q516="","0000",IF(AND(ISNUMBER(Sync!$Q516),Sync!$Q516&gt;=0,Sync!$Q516&lt;1),RIGHT("00"&amp;HOUR(Sync!$Q516),2)&amp;RIGHT("00"&amp;MINUTE(Sync!$Q516),2),IFERROR(RIGHT("00"&amp;VALUE(LEFT(Sync!$Q516,FIND(":",Sync!$Q516)-1)),2)&amp;RIGHT("00"&amp;VALUE(MID(Sync!$Q516,FIND(":",Sync!$Q516)+1,2)),2),"0000"))))</f>
        <v/>
      </c>
      <c r="AK516">
        <f>IF(OR($AE516="",$AI516="",$AI516="نامعتبر"),"",LEFT($AI516,4)&amp;MID($AI516,6,2)&amp;RIGHT($AI516,2)&amp;$AJ516&amp;"|"&amp;"3"&amp;RIGHT("00000"&amp;511,5))</f>
        <v/>
      </c>
      <c r="AL516">
        <f>IF($AK516="","",COUNTIFS(LdAParty,$AE516,LdAType,1,LdAKey,"&lt;"&amp;$AK516)+COUNTIFS(LdBMember,$AE516,LdBKey,"&lt;"&amp;$AK516)+COUNTIFS(LdCParty,$AE516,LdCKey,"&lt;"&amp;$AK516)+1)</f>
        <v/>
      </c>
      <c r="AM516">
        <f>IF($AL516="","",$AE516&amp;"|"&amp;RIGHT("000000"&amp;$AL516,6))</f>
        <v/>
      </c>
      <c r="AN516">
        <f>IF($AE516="","",IF(Sync!$W516="",0,Sync!$W516))</f>
        <v/>
      </c>
      <c r="AO516">
        <f>IF($AE516="","",IF(Sync!$X516="",0,Sync!$X516))</f>
        <v/>
      </c>
      <c r="AP516">
        <f>IF($AE516="","",Sync!$R516)</f>
        <v/>
      </c>
      <c r="AQ516">
        <f>IF($AE516="","",Sync!$Y516)</f>
        <v/>
      </c>
    </row>
    <row r="517">
      <c r="A517">
        <f>IF(OR(Wages!$B520="",Wages!$E520=""),"",Wages!$E520)</f>
        <v/>
      </c>
      <c r="B517">
        <f>IF($A517="","",IF(Wages!$C520="دستمزد گروهی",2,1))</f>
        <v/>
      </c>
      <c r="C517">
        <f>IF($A517="","",IF(ISNUMBER(Wages!$B520),IF(AND(Wages!$B520&gt;=10000101,Wages!$B520&lt;=99991231),INT(Wages!$B520/10000),""),IFERROR(VALUE(TRIM(LEFT(Wages!$B520,FIND("/",Wages!$B520)-1))),"")))</f>
        <v/>
      </c>
      <c r="D517">
        <f>IF(OR($A517="",$C517=""),"",IF(ISNUMBER(Wages!$B520),INT(MOD(Wages!$B520,10000)/100),IFERROR(VALUE(TRIM(LEFT(MID(Wages!$B520,FIND("/",Wages!$B520)+1,20),FIND("/",MID(Wages!$B520,FIND("/",Wages!$B520)+1,20))-1))),"")))</f>
        <v/>
      </c>
      <c r="E517">
        <f>IF(OR($A517="",$C517=""),"",IF(ISNUMBER(Wages!$B520),MOD(Wages!$B520,100),IFERROR(VALUE(TRIM(MID(MID(Wages!$B520,FIND("/",Wages!$B520)+1,20),FIND("/",MID(Wages!$B520,FIND("/",Wages!$B520)+1,20))+1,20))),"")))</f>
        <v/>
      </c>
      <c r="F517">
        <f>IF($A517="","",IF(OR($C517="",$D517="",$E517="",$C517&lt;1300,$C517&gt;1500,$D517&lt;1,$D517&gt;12,$E517&lt;1,$E517&gt;31),"نامعتبر",RIGHT("0000"&amp;$C517,4)&amp;"/"&amp;RIGHT("00"&amp;$D517,2)&amp;"/"&amp;RIGHT("00"&amp;$E517,2)))</f>
        <v/>
      </c>
      <c r="G517">
        <f>IF(OR($A517="",$F517="",$F517="نامعتبر"),"",LEFT($F517,4)&amp;MID($F517,6,2)&amp;RIGHT($F517,2)&amp;"0000"&amp;"|"&amp;"1"&amp;RIGHT("00000"&amp;512,5))</f>
        <v/>
      </c>
      <c r="H517">
        <f>IF(OR($B517&lt;&gt;1,$G517=""),"",COUNTIFS(LdAParty,$A517,LdAType,1,LdAKey,"&lt;"&amp;$G517)+COUNTIFS(LdBMember,$A517,LdBKey,"&lt;"&amp;$G517)+COUNTIFS(LdCParty,$A517,LdCKey,"&lt;"&amp;$G517)+1)</f>
        <v/>
      </c>
      <c r="I517">
        <f>IF($H517="","",$A517&amp;"|"&amp;RIGHT("000000"&amp;$H517,6))</f>
        <v/>
      </c>
      <c r="J517">
        <f>IF(OR($B517&lt;&gt;2,$G517=""),"",COUNTIFS(LdAParty,$A517,LdAType,2,LdAKey,"&lt;"&amp;$G517)+1)</f>
        <v/>
      </c>
      <c r="K517">
        <f>IF($J517="","",$A517&amp;"|"&amp;RIGHT("000000"&amp;$J517,6))</f>
        <v/>
      </c>
      <c r="L517">
        <f>IF($A517="","",IF(Wages!$G520="",0,Wages!$G520))</f>
        <v/>
      </c>
      <c r="M517">
        <f>IF($A517="","",Wages!$J520)</f>
        <v/>
      </c>
      <c r="N517">
        <f>IF($A517="","",Wages!$D520)</f>
        <v/>
      </c>
      <c r="P517">
        <f>IF(OR(Shares!$B520="",Shares!$C520=""),"",Shares!$C520)</f>
        <v/>
      </c>
      <c r="Q517">
        <f>IF($P517="","",Shares!$B520)</f>
        <v/>
      </c>
      <c r="R517">
        <f>IF($P517="","",IFERROR(INDEX(WageParty,MATCH($Q517,WageIds,0)),""))</f>
        <v/>
      </c>
      <c r="S517">
        <f>IF($P517="","",IFERROR(INDEX($F$6:$F$2005,MATCH($Q517,WageIds,0)),""))</f>
        <v/>
      </c>
      <c r="T517">
        <f>IF(OR($P517="",$S517="",$S517="نامعتبر"),"",LEFT($S517,4)&amp;MID($S517,6,2)&amp;RIGHT($S517,2)&amp;"0000"&amp;"|"&amp;"2"&amp;RIGHT("00000"&amp;512,5))</f>
        <v/>
      </c>
      <c r="U517">
        <f>IF($T517="","",COUNTIFS(LdAParty,$P517,LdAType,1,LdAKey,"&lt;"&amp;$T517)+COUNTIFS(LdBMember,$P517,LdBKey,"&lt;"&amp;$T517)+COUNTIFS(LdCParty,$P517,LdCKey,"&lt;"&amp;$T517)+1)</f>
        <v/>
      </c>
      <c r="V517">
        <f>IF($U517="","",$P517&amp;"|"&amp;RIGHT("000000"&amp;$U517,6))</f>
        <v/>
      </c>
      <c r="W517">
        <f>IF($T517="","",COUNTIFS(LdBGroup,$R517,LdBKey,"&lt;"&amp;$T517)+1)</f>
        <v/>
      </c>
      <c r="X517">
        <f>IF($W517="","",$R517&amp;"|"&amp;RIGHT("000000"&amp;$W517,6))</f>
        <v/>
      </c>
      <c r="Y517">
        <f>IF($P517="","",IF(Shares!$E520="",0,Shares!$E520))</f>
        <v/>
      </c>
      <c r="Z517">
        <f>IF($P517="","",Shares!$H520)</f>
        <v/>
      </c>
      <c r="AE517">
        <f>IF(OR(Sync!$S517="",Sync!$P517=""),"",Sync!$S517)</f>
        <v/>
      </c>
      <c r="AF517">
        <f>IF($AE517="","",IF(ISNUMBER(Sync!$P517),IF(AND(Sync!$P517&gt;=10000101,Sync!$P517&lt;=99991231),INT(Sync!$P517/10000),""),IFERROR(VALUE(TRIM(LEFT(Sync!$P517,FIND("/",Sync!$P517)-1))),"")))</f>
        <v/>
      </c>
      <c r="AG517">
        <f>IF(OR($AE517="",$AF517=""),"",IF(ISNUMBER(Sync!$P517),INT(MOD(Sync!$P517,10000)/100),IFERROR(VALUE(TRIM(LEFT(MID(Sync!$P517,FIND("/",Sync!$P517)+1,20),FIND("/",MID(Sync!$P517,FIND("/",Sync!$P517)+1,20))-1))),"")))</f>
        <v/>
      </c>
      <c r="AH517">
        <f>IF(OR($AE517="",$AF517=""),"",IF(ISNUMBER(Sync!$P517),MOD(Sync!$P517,100),IFERROR(VALUE(TRIM(MID(MID(Sync!$P517,FIND("/",Sync!$P517)+1,20),FIND("/",MID(Sync!$P517,FIND("/",Sync!$P517)+1,20))+1,20))),"")))</f>
        <v/>
      </c>
      <c r="AI517">
        <f>IF($AE517="","",IF(OR($AF517="",$AG517="",$AH517="",$AF517&lt;1300,$AF517&gt;1500,$AG517&lt;1,$AG517&gt;12,$AH517&lt;1,$AH517&gt;31),"نامعتبر",RIGHT("0000"&amp;$AF517,4)&amp;"/"&amp;RIGHT("00"&amp;$AG517,2)&amp;"/"&amp;RIGHT("00"&amp;$AH517,2)))</f>
        <v/>
      </c>
      <c r="AJ517">
        <f>IF($AE517="","",IF(Sync!$Q517="","0000",IF(AND(ISNUMBER(Sync!$Q517),Sync!$Q517&gt;=0,Sync!$Q517&lt;1),RIGHT("00"&amp;HOUR(Sync!$Q517),2)&amp;RIGHT("00"&amp;MINUTE(Sync!$Q517),2),IFERROR(RIGHT("00"&amp;VALUE(LEFT(Sync!$Q517,FIND(":",Sync!$Q517)-1)),2)&amp;RIGHT("00"&amp;VALUE(MID(Sync!$Q517,FIND(":",Sync!$Q517)+1,2)),2),"0000"))))</f>
        <v/>
      </c>
      <c r="AK517">
        <f>IF(OR($AE517="",$AI517="",$AI517="نامعتبر"),"",LEFT($AI517,4)&amp;MID($AI517,6,2)&amp;RIGHT($AI517,2)&amp;$AJ517&amp;"|"&amp;"3"&amp;RIGHT("00000"&amp;512,5))</f>
        <v/>
      </c>
      <c r="AL517">
        <f>IF($AK517="","",COUNTIFS(LdAParty,$AE517,LdAType,1,LdAKey,"&lt;"&amp;$AK517)+COUNTIFS(LdBMember,$AE517,LdBKey,"&lt;"&amp;$AK517)+COUNTIFS(LdCParty,$AE517,LdCKey,"&lt;"&amp;$AK517)+1)</f>
        <v/>
      </c>
      <c r="AM517">
        <f>IF($AL517="","",$AE517&amp;"|"&amp;RIGHT("000000"&amp;$AL517,6))</f>
        <v/>
      </c>
      <c r="AN517">
        <f>IF($AE517="","",IF(Sync!$W517="",0,Sync!$W517))</f>
        <v/>
      </c>
      <c r="AO517">
        <f>IF($AE517="","",IF(Sync!$X517="",0,Sync!$X517))</f>
        <v/>
      </c>
      <c r="AP517">
        <f>IF($AE517="","",Sync!$R517)</f>
        <v/>
      </c>
      <c r="AQ517">
        <f>IF($AE517="","",Sync!$Y517)</f>
        <v/>
      </c>
    </row>
    <row r="518">
      <c r="A518">
        <f>IF(OR(Wages!$B521="",Wages!$E521=""),"",Wages!$E521)</f>
        <v/>
      </c>
      <c r="B518">
        <f>IF($A518="","",IF(Wages!$C521="دستمزد گروهی",2,1))</f>
        <v/>
      </c>
      <c r="C518">
        <f>IF($A518="","",IF(ISNUMBER(Wages!$B521),IF(AND(Wages!$B521&gt;=10000101,Wages!$B521&lt;=99991231),INT(Wages!$B521/10000),""),IFERROR(VALUE(TRIM(LEFT(Wages!$B521,FIND("/",Wages!$B521)-1))),"")))</f>
        <v/>
      </c>
      <c r="D518">
        <f>IF(OR($A518="",$C518=""),"",IF(ISNUMBER(Wages!$B521),INT(MOD(Wages!$B521,10000)/100),IFERROR(VALUE(TRIM(LEFT(MID(Wages!$B521,FIND("/",Wages!$B521)+1,20),FIND("/",MID(Wages!$B521,FIND("/",Wages!$B521)+1,20))-1))),"")))</f>
        <v/>
      </c>
      <c r="E518">
        <f>IF(OR($A518="",$C518=""),"",IF(ISNUMBER(Wages!$B521),MOD(Wages!$B521,100),IFERROR(VALUE(TRIM(MID(MID(Wages!$B521,FIND("/",Wages!$B521)+1,20),FIND("/",MID(Wages!$B521,FIND("/",Wages!$B521)+1,20))+1,20))),"")))</f>
        <v/>
      </c>
      <c r="F518">
        <f>IF($A518="","",IF(OR($C518="",$D518="",$E518="",$C518&lt;1300,$C518&gt;1500,$D518&lt;1,$D518&gt;12,$E518&lt;1,$E518&gt;31),"نامعتبر",RIGHT("0000"&amp;$C518,4)&amp;"/"&amp;RIGHT("00"&amp;$D518,2)&amp;"/"&amp;RIGHT("00"&amp;$E518,2)))</f>
        <v/>
      </c>
      <c r="G518">
        <f>IF(OR($A518="",$F518="",$F518="نامعتبر"),"",LEFT($F518,4)&amp;MID($F518,6,2)&amp;RIGHT($F518,2)&amp;"0000"&amp;"|"&amp;"1"&amp;RIGHT("00000"&amp;513,5))</f>
        <v/>
      </c>
      <c r="H518">
        <f>IF(OR($B518&lt;&gt;1,$G518=""),"",COUNTIFS(LdAParty,$A518,LdAType,1,LdAKey,"&lt;"&amp;$G518)+COUNTIFS(LdBMember,$A518,LdBKey,"&lt;"&amp;$G518)+COUNTIFS(LdCParty,$A518,LdCKey,"&lt;"&amp;$G518)+1)</f>
        <v/>
      </c>
      <c r="I518">
        <f>IF($H518="","",$A518&amp;"|"&amp;RIGHT("000000"&amp;$H518,6))</f>
        <v/>
      </c>
      <c r="J518">
        <f>IF(OR($B518&lt;&gt;2,$G518=""),"",COUNTIFS(LdAParty,$A518,LdAType,2,LdAKey,"&lt;"&amp;$G518)+1)</f>
        <v/>
      </c>
      <c r="K518">
        <f>IF($J518="","",$A518&amp;"|"&amp;RIGHT("000000"&amp;$J518,6))</f>
        <v/>
      </c>
      <c r="L518">
        <f>IF($A518="","",IF(Wages!$G521="",0,Wages!$G521))</f>
        <v/>
      </c>
      <c r="M518">
        <f>IF($A518="","",Wages!$J521)</f>
        <v/>
      </c>
      <c r="N518">
        <f>IF($A518="","",Wages!$D521)</f>
        <v/>
      </c>
      <c r="P518">
        <f>IF(OR(Shares!$B521="",Shares!$C521=""),"",Shares!$C521)</f>
        <v/>
      </c>
      <c r="Q518">
        <f>IF($P518="","",Shares!$B521)</f>
        <v/>
      </c>
      <c r="R518">
        <f>IF($P518="","",IFERROR(INDEX(WageParty,MATCH($Q518,WageIds,0)),""))</f>
        <v/>
      </c>
      <c r="S518">
        <f>IF($P518="","",IFERROR(INDEX($F$6:$F$2005,MATCH($Q518,WageIds,0)),""))</f>
        <v/>
      </c>
      <c r="T518">
        <f>IF(OR($P518="",$S518="",$S518="نامعتبر"),"",LEFT($S518,4)&amp;MID($S518,6,2)&amp;RIGHT($S518,2)&amp;"0000"&amp;"|"&amp;"2"&amp;RIGHT("00000"&amp;513,5))</f>
        <v/>
      </c>
      <c r="U518">
        <f>IF($T518="","",COUNTIFS(LdAParty,$P518,LdAType,1,LdAKey,"&lt;"&amp;$T518)+COUNTIFS(LdBMember,$P518,LdBKey,"&lt;"&amp;$T518)+COUNTIFS(LdCParty,$P518,LdCKey,"&lt;"&amp;$T518)+1)</f>
        <v/>
      </c>
      <c r="V518">
        <f>IF($U518="","",$P518&amp;"|"&amp;RIGHT("000000"&amp;$U518,6))</f>
        <v/>
      </c>
      <c r="W518">
        <f>IF($T518="","",COUNTIFS(LdBGroup,$R518,LdBKey,"&lt;"&amp;$T518)+1)</f>
        <v/>
      </c>
      <c r="X518">
        <f>IF($W518="","",$R518&amp;"|"&amp;RIGHT("000000"&amp;$W518,6))</f>
        <v/>
      </c>
      <c r="Y518">
        <f>IF($P518="","",IF(Shares!$E521="",0,Shares!$E521))</f>
        <v/>
      </c>
      <c r="Z518">
        <f>IF($P518="","",Shares!$H521)</f>
        <v/>
      </c>
      <c r="AE518">
        <f>IF(OR(Sync!$S518="",Sync!$P518=""),"",Sync!$S518)</f>
        <v/>
      </c>
      <c r="AF518">
        <f>IF($AE518="","",IF(ISNUMBER(Sync!$P518),IF(AND(Sync!$P518&gt;=10000101,Sync!$P518&lt;=99991231),INT(Sync!$P518/10000),""),IFERROR(VALUE(TRIM(LEFT(Sync!$P518,FIND("/",Sync!$P518)-1))),"")))</f>
        <v/>
      </c>
      <c r="AG518">
        <f>IF(OR($AE518="",$AF518=""),"",IF(ISNUMBER(Sync!$P518),INT(MOD(Sync!$P518,10000)/100),IFERROR(VALUE(TRIM(LEFT(MID(Sync!$P518,FIND("/",Sync!$P518)+1,20),FIND("/",MID(Sync!$P518,FIND("/",Sync!$P518)+1,20))-1))),"")))</f>
        <v/>
      </c>
      <c r="AH518">
        <f>IF(OR($AE518="",$AF518=""),"",IF(ISNUMBER(Sync!$P518),MOD(Sync!$P518,100),IFERROR(VALUE(TRIM(MID(MID(Sync!$P518,FIND("/",Sync!$P518)+1,20),FIND("/",MID(Sync!$P518,FIND("/",Sync!$P518)+1,20))+1,20))),"")))</f>
        <v/>
      </c>
      <c r="AI518">
        <f>IF($AE518="","",IF(OR($AF518="",$AG518="",$AH518="",$AF518&lt;1300,$AF518&gt;1500,$AG518&lt;1,$AG518&gt;12,$AH518&lt;1,$AH518&gt;31),"نامعتبر",RIGHT("0000"&amp;$AF518,4)&amp;"/"&amp;RIGHT("00"&amp;$AG518,2)&amp;"/"&amp;RIGHT("00"&amp;$AH518,2)))</f>
        <v/>
      </c>
      <c r="AJ518">
        <f>IF($AE518="","",IF(Sync!$Q518="","0000",IF(AND(ISNUMBER(Sync!$Q518),Sync!$Q518&gt;=0,Sync!$Q518&lt;1),RIGHT("00"&amp;HOUR(Sync!$Q518),2)&amp;RIGHT("00"&amp;MINUTE(Sync!$Q518),2),IFERROR(RIGHT("00"&amp;VALUE(LEFT(Sync!$Q518,FIND(":",Sync!$Q518)-1)),2)&amp;RIGHT("00"&amp;VALUE(MID(Sync!$Q518,FIND(":",Sync!$Q518)+1,2)),2),"0000"))))</f>
        <v/>
      </c>
      <c r="AK518">
        <f>IF(OR($AE518="",$AI518="",$AI518="نامعتبر"),"",LEFT($AI518,4)&amp;MID($AI518,6,2)&amp;RIGHT($AI518,2)&amp;$AJ518&amp;"|"&amp;"3"&amp;RIGHT("00000"&amp;513,5))</f>
        <v/>
      </c>
      <c r="AL518">
        <f>IF($AK518="","",COUNTIFS(LdAParty,$AE518,LdAType,1,LdAKey,"&lt;"&amp;$AK518)+COUNTIFS(LdBMember,$AE518,LdBKey,"&lt;"&amp;$AK518)+COUNTIFS(LdCParty,$AE518,LdCKey,"&lt;"&amp;$AK518)+1)</f>
        <v/>
      </c>
      <c r="AM518">
        <f>IF($AL518="","",$AE518&amp;"|"&amp;RIGHT("000000"&amp;$AL518,6))</f>
        <v/>
      </c>
      <c r="AN518">
        <f>IF($AE518="","",IF(Sync!$W518="",0,Sync!$W518))</f>
        <v/>
      </c>
      <c r="AO518">
        <f>IF($AE518="","",IF(Sync!$X518="",0,Sync!$X518))</f>
        <v/>
      </c>
      <c r="AP518">
        <f>IF($AE518="","",Sync!$R518)</f>
        <v/>
      </c>
      <c r="AQ518">
        <f>IF($AE518="","",Sync!$Y518)</f>
        <v/>
      </c>
    </row>
    <row r="519">
      <c r="A519">
        <f>IF(OR(Wages!$B522="",Wages!$E522=""),"",Wages!$E522)</f>
        <v/>
      </c>
      <c r="B519">
        <f>IF($A519="","",IF(Wages!$C522="دستمزد گروهی",2,1))</f>
        <v/>
      </c>
      <c r="C519">
        <f>IF($A519="","",IF(ISNUMBER(Wages!$B522),IF(AND(Wages!$B522&gt;=10000101,Wages!$B522&lt;=99991231),INT(Wages!$B522/10000),""),IFERROR(VALUE(TRIM(LEFT(Wages!$B522,FIND("/",Wages!$B522)-1))),"")))</f>
        <v/>
      </c>
      <c r="D519">
        <f>IF(OR($A519="",$C519=""),"",IF(ISNUMBER(Wages!$B522),INT(MOD(Wages!$B522,10000)/100),IFERROR(VALUE(TRIM(LEFT(MID(Wages!$B522,FIND("/",Wages!$B522)+1,20),FIND("/",MID(Wages!$B522,FIND("/",Wages!$B522)+1,20))-1))),"")))</f>
        <v/>
      </c>
      <c r="E519">
        <f>IF(OR($A519="",$C519=""),"",IF(ISNUMBER(Wages!$B522),MOD(Wages!$B522,100),IFERROR(VALUE(TRIM(MID(MID(Wages!$B522,FIND("/",Wages!$B522)+1,20),FIND("/",MID(Wages!$B522,FIND("/",Wages!$B522)+1,20))+1,20))),"")))</f>
        <v/>
      </c>
      <c r="F519">
        <f>IF($A519="","",IF(OR($C519="",$D519="",$E519="",$C519&lt;1300,$C519&gt;1500,$D519&lt;1,$D519&gt;12,$E519&lt;1,$E519&gt;31),"نامعتبر",RIGHT("0000"&amp;$C519,4)&amp;"/"&amp;RIGHT("00"&amp;$D519,2)&amp;"/"&amp;RIGHT("00"&amp;$E519,2)))</f>
        <v/>
      </c>
      <c r="G519">
        <f>IF(OR($A519="",$F519="",$F519="نامعتبر"),"",LEFT($F519,4)&amp;MID($F519,6,2)&amp;RIGHT($F519,2)&amp;"0000"&amp;"|"&amp;"1"&amp;RIGHT("00000"&amp;514,5))</f>
        <v/>
      </c>
      <c r="H519">
        <f>IF(OR($B519&lt;&gt;1,$G519=""),"",COUNTIFS(LdAParty,$A519,LdAType,1,LdAKey,"&lt;"&amp;$G519)+COUNTIFS(LdBMember,$A519,LdBKey,"&lt;"&amp;$G519)+COUNTIFS(LdCParty,$A519,LdCKey,"&lt;"&amp;$G519)+1)</f>
        <v/>
      </c>
      <c r="I519">
        <f>IF($H519="","",$A519&amp;"|"&amp;RIGHT("000000"&amp;$H519,6))</f>
        <v/>
      </c>
      <c r="J519">
        <f>IF(OR($B519&lt;&gt;2,$G519=""),"",COUNTIFS(LdAParty,$A519,LdAType,2,LdAKey,"&lt;"&amp;$G519)+1)</f>
        <v/>
      </c>
      <c r="K519">
        <f>IF($J519="","",$A519&amp;"|"&amp;RIGHT("000000"&amp;$J519,6))</f>
        <v/>
      </c>
      <c r="L519">
        <f>IF($A519="","",IF(Wages!$G522="",0,Wages!$G522))</f>
        <v/>
      </c>
      <c r="M519">
        <f>IF($A519="","",Wages!$J522)</f>
        <v/>
      </c>
      <c r="N519">
        <f>IF($A519="","",Wages!$D522)</f>
        <v/>
      </c>
      <c r="P519">
        <f>IF(OR(Shares!$B522="",Shares!$C522=""),"",Shares!$C522)</f>
        <v/>
      </c>
      <c r="Q519">
        <f>IF($P519="","",Shares!$B522)</f>
        <v/>
      </c>
      <c r="R519">
        <f>IF($P519="","",IFERROR(INDEX(WageParty,MATCH($Q519,WageIds,0)),""))</f>
        <v/>
      </c>
      <c r="S519">
        <f>IF($P519="","",IFERROR(INDEX($F$6:$F$2005,MATCH($Q519,WageIds,0)),""))</f>
        <v/>
      </c>
      <c r="T519">
        <f>IF(OR($P519="",$S519="",$S519="نامعتبر"),"",LEFT($S519,4)&amp;MID($S519,6,2)&amp;RIGHT($S519,2)&amp;"0000"&amp;"|"&amp;"2"&amp;RIGHT("00000"&amp;514,5))</f>
        <v/>
      </c>
      <c r="U519">
        <f>IF($T519="","",COUNTIFS(LdAParty,$P519,LdAType,1,LdAKey,"&lt;"&amp;$T519)+COUNTIFS(LdBMember,$P519,LdBKey,"&lt;"&amp;$T519)+COUNTIFS(LdCParty,$P519,LdCKey,"&lt;"&amp;$T519)+1)</f>
        <v/>
      </c>
      <c r="V519">
        <f>IF($U519="","",$P519&amp;"|"&amp;RIGHT("000000"&amp;$U519,6))</f>
        <v/>
      </c>
      <c r="W519">
        <f>IF($T519="","",COUNTIFS(LdBGroup,$R519,LdBKey,"&lt;"&amp;$T519)+1)</f>
        <v/>
      </c>
      <c r="X519">
        <f>IF($W519="","",$R519&amp;"|"&amp;RIGHT("000000"&amp;$W519,6))</f>
        <v/>
      </c>
      <c r="Y519">
        <f>IF($P519="","",IF(Shares!$E522="",0,Shares!$E522))</f>
        <v/>
      </c>
      <c r="Z519">
        <f>IF($P519="","",Shares!$H522)</f>
        <v/>
      </c>
      <c r="AE519">
        <f>IF(OR(Sync!$S519="",Sync!$P519=""),"",Sync!$S519)</f>
        <v/>
      </c>
      <c r="AF519">
        <f>IF($AE519="","",IF(ISNUMBER(Sync!$P519),IF(AND(Sync!$P519&gt;=10000101,Sync!$P519&lt;=99991231),INT(Sync!$P519/10000),""),IFERROR(VALUE(TRIM(LEFT(Sync!$P519,FIND("/",Sync!$P519)-1))),"")))</f>
        <v/>
      </c>
      <c r="AG519">
        <f>IF(OR($AE519="",$AF519=""),"",IF(ISNUMBER(Sync!$P519),INT(MOD(Sync!$P519,10000)/100),IFERROR(VALUE(TRIM(LEFT(MID(Sync!$P519,FIND("/",Sync!$P519)+1,20),FIND("/",MID(Sync!$P519,FIND("/",Sync!$P519)+1,20))-1))),"")))</f>
        <v/>
      </c>
      <c r="AH519">
        <f>IF(OR($AE519="",$AF519=""),"",IF(ISNUMBER(Sync!$P519),MOD(Sync!$P519,100),IFERROR(VALUE(TRIM(MID(MID(Sync!$P519,FIND("/",Sync!$P519)+1,20),FIND("/",MID(Sync!$P519,FIND("/",Sync!$P519)+1,20))+1,20))),"")))</f>
        <v/>
      </c>
      <c r="AI519">
        <f>IF($AE519="","",IF(OR($AF519="",$AG519="",$AH519="",$AF519&lt;1300,$AF519&gt;1500,$AG519&lt;1,$AG519&gt;12,$AH519&lt;1,$AH519&gt;31),"نامعتبر",RIGHT("0000"&amp;$AF519,4)&amp;"/"&amp;RIGHT("00"&amp;$AG519,2)&amp;"/"&amp;RIGHT("00"&amp;$AH519,2)))</f>
        <v/>
      </c>
      <c r="AJ519">
        <f>IF($AE519="","",IF(Sync!$Q519="","0000",IF(AND(ISNUMBER(Sync!$Q519),Sync!$Q519&gt;=0,Sync!$Q519&lt;1),RIGHT("00"&amp;HOUR(Sync!$Q519),2)&amp;RIGHT("00"&amp;MINUTE(Sync!$Q519),2),IFERROR(RIGHT("00"&amp;VALUE(LEFT(Sync!$Q519,FIND(":",Sync!$Q519)-1)),2)&amp;RIGHT("00"&amp;VALUE(MID(Sync!$Q519,FIND(":",Sync!$Q519)+1,2)),2),"0000"))))</f>
        <v/>
      </c>
      <c r="AK519">
        <f>IF(OR($AE519="",$AI519="",$AI519="نامعتبر"),"",LEFT($AI519,4)&amp;MID($AI519,6,2)&amp;RIGHT($AI519,2)&amp;$AJ519&amp;"|"&amp;"3"&amp;RIGHT("00000"&amp;514,5))</f>
        <v/>
      </c>
      <c r="AL519">
        <f>IF($AK519="","",COUNTIFS(LdAParty,$AE519,LdAType,1,LdAKey,"&lt;"&amp;$AK519)+COUNTIFS(LdBMember,$AE519,LdBKey,"&lt;"&amp;$AK519)+COUNTIFS(LdCParty,$AE519,LdCKey,"&lt;"&amp;$AK519)+1)</f>
        <v/>
      </c>
      <c r="AM519">
        <f>IF($AL519="","",$AE519&amp;"|"&amp;RIGHT("000000"&amp;$AL519,6))</f>
        <v/>
      </c>
      <c r="AN519">
        <f>IF($AE519="","",IF(Sync!$W519="",0,Sync!$W519))</f>
        <v/>
      </c>
      <c r="AO519">
        <f>IF($AE519="","",IF(Sync!$X519="",0,Sync!$X519))</f>
        <v/>
      </c>
      <c r="AP519">
        <f>IF($AE519="","",Sync!$R519)</f>
        <v/>
      </c>
      <c r="AQ519">
        <f>IF($AE519="","",Sync!$Y519)</f>
        <v/>
      </c>
    </row>
    <row r="520">
      <c r="A520">
        <f>IF(OR(Wages!$B523="",Wages!$E523=""),"",Wages!$E523)</f>
        <v/>
      </c>
      <c r="B520">
        <f>IF($A520="","",IF(Wages!$C523="دستمزد گروهی",2,1))</f>
        <v/>
      </c>
      <c r="C520">
        <f>IF($A520="","",IF(ISNUMBER(Wages!$B523),IF(AND(Wages!$B523&gt;=10000101,Wages!$B523&lt;=99991231),INT(Wages!$B523/10000),""),IFERROR(VALUE(TRIM(LEFT(Wages!$B523,FIND("/",Wages!$B523)-1))),"")))</f>
        <v/>
      </c>
      <c r="D520">
        <f>IF(OR($A520="",$C520=""),"",IF(ISNUMBER(Wages!$B523),INT(MOD(Wages!$B523,10000)/100),IFERROR(VALUE(TRIM(LEFT(MID(Wages!$B523,FIND("/",Wages!$B523)+1,20),FIND("/",MID(Wages!$B523,FIND("/",Wages!$B523)+1,20))-1))),"")))</f>
        <v/>
      </c>
      <c r="E520">
        <f>IF(OR($A520="",$C520=""),"",IF(ISNUMBER(Wages!$B523),MOD(Wages!$B523,100),IFERROR(VALUE(TRIM(MID(MID(Wages!$B523,FIND("/",Wages!$B523)+1,20),FIND("/",MID(Wages!$B523,FIND("/",Wages!$B523)+1,20))+1,20))),"")))</f>
        <v/>
      </c>
      <c r="F520">
        <f>IF($A520="","",IF(OR($C520="",$D520="",$E520="",$C520&lt;1300,$C520&gt;1500,$D520&lt;1,$D520&gt;12,$E520&lt;1,$E520&gt;31),"نامعتبر",RIGHT("0000"&amp;$C520,4)&amp;"/"&amp;RIGHT("00"&amp;$D520,2)&amp;"/"&amp;RIGHT("00"&amp;$E520,2)))</f>
        <v/>
      </c>
      <c r="G520">
        <f>IF(OR($A520="",$F520="",$F520="نامعتبر"),"",LEFT($F520,4)&amp;MID($F520,6,2)&amp;RIGHT($F520,2)&amp;"0000"&amp;"|"&amp;"1"&amp;RIGHT("00000"&amp;515,5))</f>
        <v/>
      </c>
      <c r="H520">
        <f>IF(OR($B520&lt;&gt;1,$G520=""),"",COUNTIFS(LdAParty,$A520,LdAType,1,LdAKey,"&lt;"&amp;$G520)+COUNTIFS(LdBMember,$A520,LdBKey,"&lt;"&amp;$G520)+COUNTIFS(LdCParty,$A520,LdCKey,"&lt;"&amp;$G520)+1)</f>
        <v/>
      </c>
      <c r="I520">
        <f>IF($H520="","",$A520&amp;"|"&amp;RIGHT("000000"&amp;$H520,6))</f>
        <v/>
      </c>
      <c r="J520">
        <f>IF(OR($B520&lt;&gt;2,$G520=""),"",COUNTIFS(LdAParty,$A520,LdAType,2,LdAKey,"&lt;"&amp;$G520)+1)</f>
        <v/>
      </c>
      <c r="K520">
        <f>IF($J520="","",$A520&amp;"|"&amp;RIGHT("000000"&amp;$J520,6))</f>
        <v/>
      </c>
      <c r="L520">
        <f>IF($A520="","",IF(Wages!$G523="",0,Wages!$G523))</f>
        <v/>
      </c>
      <c r="M520">
        <f>IF($A520="","",Wages!$J523)</f>
        <v/>
      </c>
      <c r="N520">
        <f>IF($A520="","",Wages!$D523)</f>
        <v/>
      </c>
      <c r="P520">
        <f>IF(OR(Shares!$B523="",Shares!$C523=""),"",Shares!$C523)</f>
        <v/>
      </c>
      <c r="Q520">
        <f>IF($P520="","",Shares!$B523)</f>
        <v/>
      </c>
      <c r="R520">
        <f>IF($P520="","",IFERROR(INDEX(WageParty,MATCH($Q520,WageIds,0)),""))</f>
        <v/>
      </c>
      <c r="S520">
        <f>IF($P520="","",IFERROR(INDEX($F$6:$F$2005,MATCH($Q520,WageIds,0)),""))</f>
        <v/>
      </c>
      <c r="T520">
        <f>IF(OR($P520="",$S520="",$S520="نامعتبر"),"",LEFT($S520,4)&amp;MID($S520,6,2)&amp;RIGHT($S520,2)&amp;"0000"&amp;"|"&amp;"2"&amp;RIGHT("00000"&amp;515,5))</f>
        <v/>
      </c>
      <c r="U520">
        <f>IF($T520="","",COUNTIFS(LdAParty,$P520,LdAType,1,LdAKey,"&lt;"&amp;$T520)+COUNTIFS(LdBMember,$P520,LdBKey,"&lt;"&amp;$T520)+COUNTIFS(LdCParty,$P520,LdCKey,"&lt;"&amp;$T520)+1)</f>
        <v/>
      </c>
      <c r="V520">
        <f>IF($U520="","",$P520&amp;"|"&amp;RIGHT("000000"&amp;$U520,6))</f>
        <v/>
      </c>
      <c r="W520">
        <f>IF($T520="","",COUNTIFS(LdBGroup,$R520,LdBKey,"&lt;"&amp;$T520)+1)</f>
        <v/>
      </c>
      <c r="X520">
        <f>IF($W520="","",$R520&amp;"|"&amp;RIGHT("000000"&amp;$W520,6))</f>
        <v/>
      </c>
      <c r="Y520">
        <f>IF($P520="","",IF(Shares!$E523="",0,Shares!$E523))</f>
        <v/>
      </c>
      <c r="Z520">
        <f>IF($P520="","",Shares!$H523)</f>
        <v/>
      </c>
      <c r="AE520">
        <f>IF(OR(Sync!$S520="",Sync!$P520=""),"",Sync!$S520)</f>
        <v/>
      </c>
      <c r="AF520">
        <f>IF($AE520="","",IF(ISNUMBER(Sync!$P520),IF(AND(Sync!$P520&gt;=10000101,Sync!$P520&lt;=99991231),INT(Sync!$P520/10000),""),IFERROR(VALUE(TRIM(LEFT(Sync!$P520,FIND("/",Sync!$P520)-1))),"")))</f>
        <v/>
      </c>
      <c r="AG520">
        <f>IF(OR($AE520="",$AF520=""),"",IF(ISNUMBER(Sync!$P520),INT(MOD(Sync!$P520,10000)/100),IFERROR(VALUE(TRIM(LEFT(MID(Sync!$P520,FIND("/",Sync!$P520)+1,20),FIND("/",MID(Sync!$P520,FIND("/",Sync!$P520)+1,20))-1))),"")))</f>
        <v/>
      </c>
      <c r="AH520">
        <f>IF(OR($AE520="",$AF520=""),"",IF(ISNUMBER(Sync!$P520),MOD(Sync!$P520,100),IFERROR(VALUE(TRIM(MID(MID(Sync!$P520,FIND("/",Sync!$P520)+1,20),FIND("/",MID(Sync!$P520,FIND("/",Sync!$P520)+1,20))+1,20))),"")))</f>
        <v/>
      </c>
      <c r="AI520">
        <f>IF($AE520="","",IF(OR($AF520="",$AG520="",$AH520="",$AF520&lt;1300,$AF520&gt;1500,$AG520&lt;1,$AG520&gt;12,$AH520&lt;1,$AH520&gt;31),"نامعتبر",RIGHT("0000"&amp;$AF520,4)&amp;"/"&amp;RIGHT("00"&amp;$AG520,2)&amp;"/"&amp;RIGHT("00"&amp;$AH520,2)))</f>
        <v/>
      </c>
      <c r="AJ520">
        <f>IF($AE520="","",IF(Sync!$Q520="","0000",IF(AND(ISNUMBER(Sync!$Q520),Sync!$Q520&gt;=0,Sync!$Q520&lt;1),RIGHT("00"&amp;HOUR(Sync!$Q520),2)&amp;RIGHT("00"&amp;MINUTE(Sync!$Q520),2),IFERROR(RIGHT("00"&amp;VALUE(LEFT(Sync!$Q520,FIND(":",Sync!$Q520)-1)),2)&amp;RIGHT("00"&amp;VALUE(MID(Sync!$Q520,FIND(":",Sync!$Q520)+1,2)),2),"0000"))))</f>
        <v/>
      </c>
      <c r="AK520">
        <f>IF(OR($AE520="",$AI520="",$AI520="نامعتبر"),"",LEFT($AI520,4)&amp;MID($AI520,6,2)&amp;RIGHT($AI520,2)&amp;$AJ520&amp;"|"&amp;"3"&amp;RIGHT("00000"&amp;515,5))</f>
        <v/>
      </c>
      <c r="AL520">
        <f>IF($AK520="","",COUNTIFS(LdAParty,$AE520,LdAType,1,LdAKey,"&lt;"&amp;$AK520)+COUNTIFS(LdBMember,$AE520,LdBKey,"&lt;"&amp;$AK520)+COUNTIFS(LdCParty,$AE520,LdCKey,"&lt;"&amp;$AK520)+1)</f>
        <v/>
      </c>
      <c r="AM520">
        <f>IF($AL520="","",$AE520&amp;"|"&amp;RIGHT("000000"&amp;$AL520,6))</f>
        <v/>
      </c>
      <c r="AN520">
        <f>IF($AE520="","",IF(Sync!$W520="",0,Sync!$W520))</f>
        <v/>
      </c>
      <c r="AO520">
        <f>IF($AE520="","",IF(Sync!$X520="",0,Sync!$X520))</f>
        <v/>
      </c>
      <c r="AP520">
        <f>IF($AE520="","",Sync!$R520)</f>
        <v/>
      </c>
      <c r="AQ520">
        <f>IF($AE520="","",Sync!$Y520)</f>
        <v/>
      </c>
    </row>
    <row r="521">
      <c r="A521">
        <f>IF(OR(Wages!$B524="",Wages!$E524=""),"",Wages!$E524)</f>
        <v/>
      </c>
      <c r="B521">
        <f>IF($A521="","",IF(Wages!$C524="دستمزد گروهی",2,1))</f>
        <v/>
      </c>
      <c r="C521">
        <f>IF($A521="","",IF(ISNUMBER(Wages!$B524),IF(AND(Wages!$B524&gt;=10000101,Wages!$B524&lt;=99991231),INT(Wages!$B524/10000),""),IFERROR(VALUE(TRIM(LEFT(Wages!$B524,FIND("/",Wages!$B524)-1))),"")))</f>
        <v/>
      </c>
      <c r="D521">
        <f>IF(OR($A521="",$C521=""),"",IF(ISNUMBER(Wages!$B524),INT(MOD(Wages!$B524,10000)/100),IFERROR(VALUE(TRIM(LEFT(MID(Wages!$B524,FIND("/",Wages!$B524)+1,20),FIND("/",MID(Wages!$B524,FIND("/",Wages!$B524)+1,20))-1))),"")))</f>
        <v/>
      </c>
      <c r="E521">
        <f>IF(OR($A521="",$C521=""),"",IF(ISNUMBER(Wages!$B524),MOD(Wages!$B524,100),IFERROR(VALUE(TRIM(MID(MID(Wages!$B524,FIND("/",Wages!$B524)+1,20),FIND("/",MID(Wages!$B524,FIND("/",Wages!$B524)+1,20))+1,20))),"")))</f>
        <v/>
      </c>
      <c r="F521">
        <f>IF($A521="","",IF(OR($C521="",$D521="",$E521="",$C521&lt;1300,$C521&gt;1500,$D521&lt;1,$D521&gt;12,$E521&lt;1,$E521&gt;31),"نامعتبر",RIGHT("0000"&amp;$C521,4)&amp;"/"&amp;RIGHT("00"&amp;$D521,2)&amp;"/"&amp;RIGHT("00"&amp;$E521,2)))</f>
        <v/>
      </c>
      <c r="G521">
        <f>IF(OR($A521="",$F521="",$F521="نامعتبر"),"",LEFT($F521,4)&amp;MID($F521,6,2)&amp;RIGHT($F521,2)&amp;"0000"&amp;"|"&amp;"1"&amp;RIGHT("00000"&amp;516,5))</f>
        <v/>
      </c>
      <c r="H521">
        <f>IF(OR($B521&lt;&gt;1,$G521=""),"",COUNTIFS(LdAParty,$A521,LdAType,1,LdAKey,"&lt;"&amp;$G521)+COUNTIFS(LdBMember,$A521,LdBKey,"&lt;"&amp;$G521)+COUNTIFS(LdCParty,$A521,LdCKey,"&lt;"&amp;$G521)+1)</f>
        <v/>
      </c>
      <c r="I521">
        <f>IF($H521="","",$A521&amp;"|"&amp;RIGHT("000000"&amp;$H521,6))</f>
        <v/>
      </c>
      <c r="J521">
        <f>IF(OR($B521&lt;&gt;2,$G521=""),"",COUNTIFS(LdAParty,$A521,LdAType,2,LdAKey,"&lt;"&amp;$G521)+1)</f>
        <v/>
      </c>
      <c r="K521">
        <f>IF($J521="","",$A521&amp;"|"&amp;RIGHT("000000"&amp;$J521,6))</f>
        <v/>
      </c>
      <c r="L521">
        <f>IF($A521="","",IF(Wages!$G524="",0,Wages!$G524))</f>
        <v/>
      </c>
      <c r="M521">
        <f>IF($A521="","",Wages!$J524)</f>
        <v/>
      </c>
      <c r="N521">
        <f>IF($A521="","",Wages!$D524)</f>
        <v/>
      </c>
      <c r="P521">
        <f>IF(OR(Shares!$B524="",Shares!$C524=""),"",Shares!$C524)</f>
        <v/>
      </c>
      <c r="Q521">
        <f>IF($P521="","",Shares!$B524)</f>
        <v/>
      </c>
      <c r="R521">
        <f>IF($P521="","",IFERROR(INDEX(WageParty,MATCH($Q521,WageIds,0)),""))</f>
        <v/>
      </c>
      <c r="S521">
        <f>IF($P521="","",IFERROR(INDEX($F$6:$F$2005,MATCH($Q521,WageIds,0)),""))</f>
        <v/>
      </c>
      <c r="T521">
        <f>IF(OR($P521="",$S521="",$S521="نامعتبر"),"",LEFT($S521,4)&amp;MID($S521,6,2)&amp;RIGHT($S521,2)&amp;"0000"&amp;"|"&amp;"2"&amp;RIGHT("00000"&amp;516,5))</f>
        <v/>
      </c>
      <c r="U521">
        <f>IF($T521="","",COUNTIFS(LdAParty,$P521,LdAType,1,LdAKey,"&lt;"&amp;$T521)+COUNTIFS(LdBMember,$P521,LdBKey,"&lt;"&amp;$T521)+COUNTIFS(LdCParty,$P521,LdCKey,"&lt;"&amp;$T521)+1)</f>
        <v/>
      </c>
      <c r="V521">
        <f>IF($U521="","",$P521&amp;"|"&amp;RIGHT("000000"&amp;$U521,6))</f>
        <v/>
      </c>
      <c r="W521">
        <f>IF($T521="","",COUNTIFS(LdBGroup,$R521,LdBKey,"&lt;"&amp;$T521)+1)</f>
        <v/>
      </c>
      <c r="X521">
        <f>IF($W521="","",$R521&amp;"|"&amp;RIGHT("000000"&amp;$W521,6))</f>
        <v/>
      </c>
      <c r="Y521">
        <f>IF($P521="","",IF(Shares!$E524="",0,Shares!$E524))</f>
        <v/>
      </c>
      <c r="Z521">
        <f>IF($P521="","",Shares!$H524)</f>
        <v/>
      </c>
      <c r="AE521">
        <f>IF(OR(Sync!$S521="",Sync!$P521=""),"",Sync!$S521)</f>
        <v/>
      </c>
      <c r="AF521">
        <f>IF($AE521="","",IF(ISNUMBER(Sync!$P521),IF(AND(Sync!$P521&gt;=10000101,Sync!$P521&lt;=99991231),INT(Sync!$P521/10000),""),IFERROR(VALUE(TRIM(LEFT(Sync!$P521,FIND("/",Sync!$P521)-1))),"")))</f>
        <v/>
      </c>
      <c r="AG521">
        <f>IF(OR($AE521="",$AF521=""),"",IF(ISNUMBER(Sync!$P521),INT(MOD(Sync!$P521,10000)/100),IFERROR(VALUE(TRIM(LEFT(MID(Sync!$P521,FIND("/",Sync!$P521)+1,20),FIND("/",MID(Sync!$P521,FIND("/",Sync!$P521)+1,20))-1))),"")))</f>
        <v/>
      </c>
      <c r="AH521">
        <f>IF(OR($AE521="",$AF521=""),"",IF(ISNUMBER(Sync!$P521),MOD(Sync!$P521,100),IFERROR(VALUE(TRIM(MID(MID(Sync!$P521,FIND("/",Sync!$P521)+1,20),FIND("/",MID(Sync!$P521,FIND("/",Sync!$P521)+1,20))+1,20))),"")))</f>
        <v/>
      </c>
      <c r="AI521">
        <f>IF($AE521="","",IF(OR($AF521="",$AG521="",$AH521="",$AF521&lt;1300,$AF521&gt;1500,$AG521&lt;1,$AG521&gt;12,$AH521&lt;1,$AH521&gt;31),"نامعتبر",RIGHT("0000"&amp;$AF521,4)&amp;"/"&amp;RIGHT("00"&amp;$AG521,2)&amp;"/"&amp;RIGHT("00"&amp;$AH521,2)))</f>
        <v/>
      </c>
      <c r="AJ521">
        <f>IF($AE521="","",IF(Sync!$Q521="","0000",IF(AND(ISNUMBER(Sync!$Q521),Sync!$Q521&gt;=0,Sync!$Q521&lt;1),RIGHT("00"&amp;HOUR(Sync!$Q521),2)&amp;RIGHT("00"&amp;MINUTE(Sync!$Q521),2),IFERROR(RIGHT("00"&amp;VALUE(LEFT(Sync!$Q521,FIND(":",Sync!$Q521)-1)),2)&amp;RIGHT("00"&amp;VALUE(MID(Sync!$Q521,FIND(":",Sync!$Q521)+1,2)),2),"0000"))))</f>
        <v/>
      </c>
      <c r="AK521">
        <f>IF(OR($AE521="",$AI521="",$AI521="نامعتبر"),"",LEFT($AI521,4)&amp;MID($AI521,6,2)&amp;RIGHT($AI521,2)&amp;$AJ521&amp;"|"&amp;"3"&amp;RIGHT("00000"&amp;516,5))</f>
        <v/>
      </c>
      <c r="AL521">
        <f>IF($AK521="","",COUNTIFS(LdAParty,$AE521,LdAType,1,LdAKey,"&lt;"&amp;$AK521)+COUNTIFS(LdBMember,$AE521,LdBKey,"&lt;"&amp;$AK521)+COUNTIFS(LdCParty,$AE521,LdCKey,"&lt;"&amp;$AK521)+1)</f>
        <v/>
      </c>
      <c r="AM521">
        <f>IF($AL521="","",$AE521&amp;"|"&amp;RIGHT("000000"&amp;$AL521,6))</f>
        <v/>
      </c>
      <c r="AN521">
        <f>IF($AE521="","",IF(Sync!$W521="",0,Sync!$W521))</f>
        <v/>
      </c>
      <c r="AO521">
        <f>IF($AE521="","",IF(Sync!$X521="",0,Sync!$X521))</f>
        <v/>
      </c>
      <c r="AP521">
        <f>IF($AE521="","",Sync!$R521)</f>
        <v/>
      </c>
      <c r="AQ521">
        <f>IF($AE521="","",Sync!$Y521)</f>
        <v/>
      </c>
    </row>
    <row r="522">
      <c r="A522">
        <f>IF(OR(Wages!$B525="",Wages!$E525=""),"",Wages!$E525)</f>
        <v/>
      </c>
      <c r="B522">
        <f>IF($A522="","",IF(Wages!$C525="دستمزد گروهی",2,1))</f>
        <v/>
      </c>
      <c r="C522">
        <f>IF($A522="","",IF(ISNUMBER(Wages!$B525),IF(AND(Wages!$B525&gt;=10000101,Wages!$B525&lt;=99991231),INT(Wages!$B525/10000),""),IFERROR(VALUE(TRIM(LEFT(Wages!$B525,FIND("/",Wages!$B525)-1))),"")))</f>
        <v/>
      </c>
      <c r="D522">
        <f>IF(OR($A522="",$C522=""),"",IF(ISNUMBER(Wages!$B525),INT(MOD(Wages!$B525,10000)/100),IFERROR(VALUE(TRIM(LEFT(MID(Wages!$B525,FIND("/",Wages!$B525)+1,20),FIND("/",MID(Wages!$B525,FIND("/",Wages!$B525)+1,20))-1))),"")))</f>
        <v/>
      </c>
      <c r="E522">
        <f>IF(OR($A522="",$C522=""),"",IF(ISNUMBER(Wages!$B525),MOD(Wages!$B525,100),IFERROR(VALUE(TRIM(MID(MID(Wages!$B525,FIND("/",Wages!$B525)+1,20),FIND("/",MID(Wages!$B525,FIND("/",Wages!$B525)+1,20))+1,20))),"")))</f>
        <v/>
      </c>
      <c r="F522">
        <f>IF($A522="","",IF(OR($C522="",$D522="",$E522="",$C522&lt;1300,$C522&gt;1500,$D522&lt;1,$D522&gt;12,$E522&lt;1,$E522&gt;31),"نامعتبر",RIGHT("0000"&amp;$C522,4)&amp;"/"&amp;RIGHT("00"&amp;$D522,2)&amp;"/"&amp;RIGHT("00"&amp;$E522,2)))</f>
        <v/>
      </c>
      <c r="G522">
        <f>IF(OR($A522="",$F522="",$F522="نامعتبر"),"",LEFT($F522,4)&amp;MID($F522,6,2)&amp;RIGHT($F522,2)&amp;"0000"&amp;"|"&amp;"1"&amp;RIGHT("00000"&amp;517,5))</f>
        <v/>
      </c>
      <c r="H522">
        <f>IF(OR($B522&lt;&gt;1,$G522=""),"",COUNTIFS(LdAParty,$A522,LdAType,1,LdAKey,"&lt;"&amp;$G522)+COUNTIFS(LdBMember,$A522,LdBKey,"&lt;"&amp;$G522)+COUNTIFS(LdCParty,$A522,LdCKey,"&lt;"&amp;$G522)+1)</f>
        <v/>
      </c>
      <c r="I522">
        <f>IF($H522="","",$A522&amp;"|"&amp;RIGHT("000000"&amp;$H522,6))</f>
        <v/>
      </c>
      <c r="J522">
        <f>IF(OR($B522&lt;&gt;2,$G522=""),"",COUNTIFS(LdAParty,$A522,LdAType,2,LdAKey,"&lt;"&amp;$G522)+1)</f>
        <v/>
      </c>
      <c r="K522">
        <f>IF($J522="","",$A522&amp;"|"&amp;RIGHT("000000"&amp;$J522,6))</f>
        <v/>
      </c>
      <c r="L522">
        <f>IF($A522="","",IF(Wages!$G525="",0,Wages!$G525))</f>
        <v/>
      </c>
      <c r="M522">
        <f>IF($A522="","",Wages!$J525)</f>
        <v/>
      </c>
      <c r="N522">
        <f>IF($A522="","",Wages!$D525)</f>
        <v/>
      </c>
      <c r="P522">
        <f>IF(OR(Shares!$B525="",Shares!$C525=""),"",Shares!$C525)</f>
        <v/>
      </c>
      <c r="Q522">
        <f>IF($P522="","",Shares!$B525)</f>
        <v/>
      </c>
      <c r="R522">
        <f>IF($P522="","",IFERROR(INDEX(WageParty,MATCH($Q522,WageIds,0)),""))</f>
        <v/>
      </c>
      <c r="S522">
        <f>IF($P522="","",IFERROR(INDEX($F$6:$F$2005,MATCH($Q522,WageIds,0)),""))</f>
        <v/>
      </c>
      <c r="T522">
        <f>IF(OR($P522="",$S522="",$S522="نامعتبر"),"",LEFT($S522,4)&amp;MID($S522,6,2)&amp;RIGHT($S522,2)&amp;"0000"&amp;"|"&amp;"2"&amp;RIGHT("00000"&amp;517,5))</f>
        <v/>
      </c>
      <c r="U522">
        <f>IF($T522="","",COUNTIFS(LdAParty,$P522,LdAType,1,LdAKey,"&lt;"&amp;$T522)+COUNTIFS(LdBMember,$P522,LdBKey,"&lt;"&amp;$T522)+COUNTIFS(LdCParty,$P522,LdCKey,"&lt;"&amp;$T522)+1)</f>
        <v/>
      </c>
      <c r="V522">
        <f>IF($U522="","",$P522&amp;"|"&amp;RIGHT("000000"&amp;$U522,6))</f>
        <v/>
      </c>
      <c r="W522">
        <f>IF($T522="","",COUNTIFS(LdBGroup,$R522,LdBKey,"&lt;"&amp;$T522)+1)</f>
        <v/>
      </c>
      <c r="X522">
        <f>IF($W522="","",$R522&amp;"|"&amp;RIGHT("000000"&amp;$W522,6))</f>
        <v/>
      </c>
      <c r="Y522">
        <f>IF($P522="","",IF(Shares!$E525="",0,Shares!$E525))</f>
        <v/>
      </c>
      <c r="Z522">
        <f>IF($P522="","",Shares!$H525)</f>
        <v/>
      </c>
      <c r="AE522">
        <f>IF(OR(Sync!$S522="",Sync!$P522=""),"",Sync!$S522)</f>
        <v/>
      </c>
      <c r="AF522">
        <f>IF($AE522="","",IF(ISNUMBER(Sync!$P522),IF(AND(Sync!$P522&gt;=10000101,Sync!$P522&lt;=99991231),INT(Sync!$P522/10000),""),IFERROR(VALUE(TRIM(LEFT(Sync!$P522,FIND("/",Sync!$P522)-1))),"")))</f>
        <v/>
      </c>
      <c r="AG522">
        <f>IF(OR($AE522="",$AF522=""),"",IF(ISNUMBER(Sync!$P522),INT(MOD(Sync!$P522,10000)/100),IFERROR(VALUE(TRIM(LEFT(MID(Sync!$P522,FIND("/",Sync!$P522)+1,20),FIND("/",MID(Sync!$P522,FIND("/",Sync!$P522)+1,20))-1))),"")))</f>
        <v/>
      </c>
      <c r="AH522">
        <f>IF(OR($AE522="",$AF522=""),"",IF(ISNUMBER(Sync!$P522),MOD(Sync!$P522,100),IFERROR(VALUE(TRIM(MID(MID(Sync!$P522,FIND("/",Sync!$P522)+1,20),FIND("/",MID(Sync!$P522,FIND("/",Sync!$P522)+1,20))+1,20))),"")))</f>
        <v/>
      </c>
      <c r="AI522">
        <f>IF($AE522="","",IF(OR($AF522="",$AG522="",$AH522="",$AF522&lt;1300,$AF522&gt;1500,$AG522&lt;1,$AG522&gt;12,$AH522&lt;1,$AH522&gt;31),"نامعتبر",RIGHT("0000"&amp;$AF522,4)&amp;"/"&amp;RIGHT("00"&amp;$AG522,2)&amp;"/"&amp;RIGHT("00"&amp;$AH522,2)))</f>
        <v/>
      </c>
      <c r="AJ522">
        <f>IF($AE522="","",IF(Sync!$Q522="","0000",IF(AND(ISNUMBER(Sync!$Q522),Sync!$Q522&gt;=0,Sync!$Q522&lt;1),RIGHT("00"&amp;HOUR(Sync!$Q522),2)&amp;RIGHT("00"&amp;MINUTE(Sync!$Q522),2),IFERROR(RIGHT("00"&amp;VALUE(LEFT(Sync!$Q522,FIND(":",Sync!$Q522)-1)),2)&amp;RIGHT("00"&amp;VALUE(MID(Sync!$Q522,FIND(":",Sync!$Q522)+1,2)),2),"0000"))))</f>
        <v/>
      </c>
      <c r="AK522">
        <f>IF(OR($AE522="",$AI522="",$AI522="نامعتبر"),"",LEFT($AI522,4)&amp;MID($AI522,6,2)&amp;RIGHT($AI522,2)&amp;$AJ522&amp;"|"&amp;"3"&amp;RIGHT("00000"&amp;517,5))</f>
        <v/>
      </c>
      <c r="AL522">
        <f>IF($AK522="","",COUNTIFS(LdAParty,$AE522,LdAType,1,LdAKey,"&lt;"&amp;$AK522)+COUNTIFS(LdBMember,$AE522,LdBKey,"&lt;"&amp;$AK522)+COUNTIFS(LdCParty,$AE522,LdCKey,"&lt;"&amp;$AK522)+1)</f>
        <v/>
      </c>
      <c r="AM522">
        <f>IF($AL522="","",$AE522&amp;"|"&amp;RIGHT("000000"&amp;$AL522,6))</f>
        <v/>
      </c>
      <c r="AN522">
        <f>IF($AE522="","",IF(Sync!$W522="",0,Sync!$W522))</f>
        <v/>
      </c>
      <c r="AO522">
        <f>IF($AE522="","",IF(Sync!$X522="",0,Sync!$X522))</f>
        <v/>
      </c>
      <c r="AP522">
        <f>IF($AE522="","",Sync!$R522)</f>
        <v/>
      </c>
      <c r="AQ522">
        <f>IF($AE522="","",Sync!$Y522)</f>
        <v/>
      </c>
    </row>
    <row r="523">
      <c r="A523">
        <f>IF(OR(Wages!$B526="",Wages!$E526=""),"",Wages!$E526)</f>
        <v/>
      </c>
      <c r="B523">
        <f>IF($A523="","",IF(Wages!$C526="دستمزد گروهی",2,1))</f>
        <v/>
      </c>
      <c r="C523">
        <f>IF($A523="","",IF(ISNUMBER(Wages!$B526),IF(AND(Wages!$B526&gt;=10000101,Wages!$B526&lt;=99991231),INT(Wages!$B526/10000),""),IFERROR(VALUE(TRIM(LEFT(Wages!$B526,FIND("/",Wages!$B526)-1))),"")))</f>
        <v/>
      </c>
      <c r="D523">
        <f>IF(OR($A523="",$C523=""),"",IF(ISNUMBER(Wages!$B526),INT(MOD(Wages!$B526,10000)/100),IFERROR(VALUE(TRIM(LEFT(MID(Wages!$B526,FIND("/",Wages!$B526)+1,20),FIND("/",MID(Wages!$B526,FIND("/",Wages!$B526)+1,20))-1))),"")))</f>
        <v/>
      </c>
      <c r="E523">
        <f>IF(OR($A523="",$C523=""),"",IF(ISNUMBER(Wages!$B526),MOD(Wages!$B526,100),IFERROR(VALUE(TRIM(MID(MID(Wages!$B526,FIND("/",Wages!$B526)+1,20),FIND("/",MID(Wages!$B526,FIND("/",Wages!$B526)+1,20))+1,20))),"")))</f>
        <v/>
      </c>
      <c r="F523">
        <f>IF($A523="","",IF(OR($C523="",$D523="",$E523="",$C523&lt;1300,$C523&gt;1500,$D523&lt;1,$D523&gt;12,$E523&lt;1,$E523&gt;31),"نامعتبر",RIGHT("0000"&amp;$C523,4)&amp;"/"&amp;RIGHT("00"&amp;$D523,2)&amp;"/"&amp;RIGHT("00"&amp;$E523,2)))</f>
        <v/>
      </c>
      <c r="G523">
        <f>IF(OR($A523="",$F523="",$F523="نامعتبر"),"",LEFT($F523,4)&amp;MID($F523,6,2)&amp;RIGHT($F523,2)&amp;"0000"&amp;"|"&amp;"1"&amp;RIGHT("00000"&amp;518,5))</f>
        <v/>
      </c>
      <c r="H523">
        <f>IF(OR($B523&lt;&gt;1,$G523=""),"",COUNTIFS(LdAParty,$A523,LdAType,1,LdAKey,"&lt;"&amp;$G523)+COUNTIFS(LdBMember,$A523,LdBKey,"&lt;"&amp;$G523)+COUNTIFS(LdCParty,$A523,LdCKey,"&lt;"&amp;$G523)+1)</f>
        <v/>
      </c>
      <c r="I523">
        <f>IF($H523="","",$A523&amp;"|"&amp;RIGHT("000000"&amp;$H523,6))</f>
        <v/>
      </c>
      <c r="J523">
        <f>IF(OR($B523&lt;&gt;2,$G523=""),"",COUNTIFS(LdAParty,$A523,LdAType,2,LdAKey,"&lt;"&amp;$G523)+1)</f>
        <v/>
      </c>
      <c r="K523">
        <f>IF($J523="","",$A523&amp;"|"&amp;RIGHT("000000"&amp;$J523,6))</f>
        <v/>
      </c>
      <c r="L523">
        <f>IF($A523="","",IF(Wages!$G526="",0,Wages!$G526))</f>
        <v/>
      </c>
      <c r="M523">
        <f>IF($A523="","",Wages!$J526)</f>
        <v/>
      </c>
      <c r="N523">
        <f>IF($A523="","",Wages!$D526)</f>
        <v/>
      </c>
      <c r="P523">
        <f>IF(OR(Shares!$B526="",Shares!$C526=""),"",Shares!$C526)</f>
        <v/>
      </c>
      <c r="Q523">
        <f>IF($P523="","",Shares!$B526)</f>
        <v/>
      </c>
      <c r="R523">
        <f>IF($P523="","",IFERROR(INDEX(WageParty,MATCH($Q523,WageIds,0)),""))</f>
        <v/>
      </c>
      <c r="S523">
        <f>IF($P523="","",IFERROR(INDEX($F$6:$F$2005,MATCH($Q523,WageIds,0)),""))</f>
        <v/>
      </c>
      <c r="T523">
        <f>IF(OR($P523="",$S523="",$S523="نامعتبر"),"",LEFT($S523,4)&amp;MID($S523,6,2)&amp;RIGHT($S523,2)&amp;"0000"&amp;"|"&amp;"2"&amp;RIGHT("00000"&amp;518,5))</f>
        <v/>
      </c>
      <c r="U523">
        <f>IF($T523="","",COUNTIFS(LdAParty,$P523,LdAType,1,LdAKey,"&lt;"&amp;$T523)+COUNTIFS(LdBMember,$P523,LdBKey,"&lt;"&amp;$T523)+COUNTIFS(LdCParty,$P523,LdCKey,"&lt;"&amp;$T523)+1)</f>
        <v/>
      </c>
      <c r="V523">
        <f>IF($U523="","",$P523&amp;"|"&amp;RIGHT("000000"&amp;$U523,6))</f>
        <v/>
      </c>
      <c r="W523">
        <f>IF($T523="","",COUNTIFS(LdBGroup,$R523,LdBKey,"&lt;"&amp;$T523)+1)</f>
        <v/>
      </c>
      <c r="X523">
        <f>IF($W523="","",$R523&amp;"|"&amp;RIGHT("000000"&amp;$W523,6))</f>
        <v/>
      </c>
      <c r="Y523">
        <f>IF($P523="","",IF(Shares!$E526="",0,Shares!$E526))</f>
        <v/>
      </c>
      <c r="Z523">
        <f>IF($P523="","",Shares!$H526)</f>
        <v/>
      </c>
      <c r="AE523">
        <f>IF(OR(Sync!$S523="",Sync!$P523=""),"",Sync!$S523)</f>
        <v/>
      </c>
      <c r="AF523">
        <f>IF($AE523="","",IF(ISNUMBER(Sync!$P523),IF(AND(Sync!$P523&gt;=10000101,Sync!$P523&lt;=99991231),INT(Sync!$P523/10000),""),IFERROR(VALUE(TRIM(LEFT(Sync!$P523,FIND("/",Sync!$P523)-1))),"")))</f>
        <v/>
      </c>
      <c r="AG523">
        <f>IF(OR($AE523="",$AF523=""),"",IF(ISNUMBER(Sync!$P523),INT(MOD(Sync!$P523,10000)/100),IFERROR(VALUE(TRIM(LEFT(MID(Sync!$P523,FIND("/",Sync!$P523)+1,20),FIND("/",MID(Sync!$P523,FIND("/",Sync!$P523)+1,20))-1))),"")))</f>
        <v/>
      </c>
      <c r="AH523">
        <f>IF(OR($AE523="",$AF523=""),"",IF(ISNUMBER(Sync!$P523),MOD(Sync!$P523,100),IFERROR(VALUE(TRIM(MID(MID(Sync!$P523,FIND("/",Sync!$P523)+1,20),FIND("/",MID(Sync!$P523,FIND("/",Sync!$P523)+1,20))+1,20))),"")))</f>
        <v/>
      </c>
      <c r="AI523">
        <f>IF($AE523="","",IF(OR($AF523="",$AG523="",$AH523="",$AF523&lt;1300,$AF523&gt;1500,$AG523&lt;1,$AG523&gt;12,$AH523&lt;1,$AH523&gt;31),"نامعتبر",RIGHT("0000"&amp;$AF523,4)&amp;"/"&amp;RIGHT("00"&amp;$AG523,2)&amp;"/"&amp;RIGHT("00"&amp;$AH523,2)))</f>
        <v/>
      </c>
      <c r="AJ523">
        <f>IF($AE523="","",IF(Sync!$Q523="","0000",IF(AND(ISNUMBER(Sync!$Q523),Sync!$Q523&gt;=0,Sync!$Q523&lt;1),RIGHT("00"&amp;HOUR(Sync!$Q523),2)&amp;RIGHT("00"&amp;MINUTE(Sync!$Q523),2),IFERROR(RIGHT("00"&amp;VALUE(LEFT(Sync!$Q523,FIND(":",Sync!$Q523)-1)),2)&amp;RIGHT("00"&amp;VALUE(MID(Sync!$Q523,FIND(":",Sync!$Q523)+1,2)),2),"0000"))))</f>
        <v/>
      </c>
      <c r="AK523">
        <f>IF(OR($AE523="",$AI523="",$AI523="نامعتبر"),"",LEFT($AI523,4)&amp;MID($AI523,6,2)&amp;RIGHT($AI523,2)&amp;$AJ523&amp;"|"&amp;"3"&amp;RIGHT("00000"&amp;518,5))</f>
        <v/>
      </c>
      <c r="AL523">
        <f>IF($AK523="","",COUNTIFS(LdAParty,$AE523,LdAType,1,LdAKey,"&lt;"&amp;$AK523)+COUNTIFS(LdBMember,$AE523,LdBKey,"&lt;"&amp;$AK523)+COUNTIFS(LdCParty,$AE523,LdCKey,"&lt;"&amp;$AK523)+1)</f>
        <v/>
      </c>
      <c r="AM523">
        <f>IF($AL523="","",$AE523&amp;"|"&amp;RIGHT("000000"&amp;$AL523,6))</f>
        <v/>
      </c>
      <c r="AN523">
        <f>IF($AE523="","",IF(Sync!$W523="",0,Sync!$W523))</f>
        <v/>
      </c>
      <c r="AO523">
        <f>IF($AE523="","",IF(Sync!$X523="",0,Sync!$X523))</f>
        <v/>
      </c>
      <c r="AP523">
        <f>IF($AE523="","",Sync!$R523)</f>
        <v/>
      </c>
      <c r="AQ523">
        <f>IF($AE523="","",Sync!$Y523)</f>
        <v/>
      </c>
    </row>
    <row r="524">
      <c r="A524">
        <f>IF(OR(Wages!$B527="",Wages!$E527=""),"",Wages!$E527)</f>
        <v/>
      </c>
      <c r="B524">
        <f>IF($A524="","",IF(Wages!$C527="دستمزد گروهی",2,1))</f>
        <v/>
      </c>
      <c r="C524">
        <f>IF($A524="","",IF(ISNUMBER(Wages!$B527),IF(AND(Wages!$B527&gt;=10000101,Wages!$B527&lt;=99991231),INT(Wages!$B527/10000),""),IFERROR(VALUE(TRIM(LEFT(Wages!$B527,FIND("/",Wages!$B527)-1))),"")))</f>
        <v/>
      </c>
      <c r="D524">
        <f>IF(OR($A524="",$C524=""),"",IF(ISNUMBER(Wages!$B527),INT(MOD(Wages!$B527,10000)/100),IFERROR(VALUE(TRIM(LEFT(MID(Wages!$B527,FIND("/",Wages!$B527)+1,20),FIND("/",MID(Wages!$B527,FIND("/",Wages!$B527)+1,20))-1))),"")))</f>
        <v/>
      </c>
      <c r="E524">
        <f>IF(OR($A524="",$C524=""),"",IF(ISNUMBER(Wages!$B527),MOD(Wages!$B527,100),IFERROR(VALUE(TRIM(MID(MID(Wages!$B527,FIND("/",Wages!$B527)+1,20),FIND("/",MID(Wages!$B527,FIND("/",Wages!$B527)+1,20))+1,20))),"")))</f>
        <v/>
      </c>
      <c r="F524">
        <f>IF($A524="","",IF(OR($C524="",$D524="",$E524="",$C524&lt;1300,$C524&gt;1500,$D524&lt;1,$D524&gt;12,$E524&lt;1,$E524&gt;31),"نامعتبر",RIGHT("0000"&amp;$C524,4)&amp;"/"&amp;RIGHT("00"&amp;$D524,2)&amp;"/"&amp;RIGHT("00"&amp;$E524,2)))</f>
        <v/>
      </c>
      <c r="G524">
        <f>IF(OR($A524="",$F524="",$F524="نامعتبر"),"",LEFT($F524,4)&amp;MID($F524,6,2)&amp;RIGHT($F524,2)&amp;"0000"&amp;"|"&amp;"1"&amp;RIGHT("00000"&amp;519,5))</f>
        <v/>
      </c>
      <c r="H524">
        <f>IF(OR($B524&lt;&gt;1,$G524=""),"",COUNTIFS(LdAParty,$A524,LdAType,1,LdAKey,"&lt;"&amp;$G524)+COUNTIFS(LdBMember,$A524,LdBKey,"&lt;"&amp;$G524)+COUNTIFS(LdCParty,$A524,LdCKey,"&lt;"&amp;$G524)+1)</f>
        <v/>
      </c>
      <c r="I524">
        <f>IF($H524="","",$A524&amp;"|"&amp;RIGHT("000000"&amp;$H524,6))</f>
        <v/>
      </c>
      <c r="J524">
        <f>IF(OR($B524&lt;&gt;2,$G524=""),"",COUNTIFS(LdAParty,$A524,LdAType,2,LdAKey,"&lt;"&amp;$G524)+1)</f>
        <v/>
      </c>
      <c r="K524">
        <f>IF($J524="","",$A524&amp;"|"&amp;RIGHT("000000"&amp;$J524,6))</f>
        <v/>
      </c>
      <c r="L524">
        <f>IF($A524="","",IF(Wages!$G527="",0,Wages!$G527))</f>
        <v/>
      </c>
      <c r="M524">
        <f>IF($A524="","",Wages!$J527)</f>
        <v/>
      </c>
      <c r="N524">
        <f>IF($A524="","",Wages!$D527)</f>
        <v/>
      </c>
      <c r="P524">
        <f>IF(OR(Shares!$B527="",Shares!$C527=""),"",Shares!$C527)</f>
        <v/>
      </c>
      <c r="Q524">
        <f>IF($P524="","",Shares!$B527)</f>
        <v/>
      </c>
      <c r="R524">
        <f>IF($P524="","",IFERROR(INDEX(WageParty,MATCH($Q524,WageIds,0)),""))</f>
        <v/>
      </c>
      <c r="S524">
        <f>IF($P524="","",IFERROR(INDEX($F$6:$F$2005,MATCH($Q524,WageIds,0)),""))</f>
        <v/>
      </c>
      <c r="T524">
        <f>IF(OR($P524="",$S524="",$S524="نامعتبر"),"",LEFT($S524,4)&amp;MID($S524,6,2)&amp;RIGHT($S524,2)&amp;"0000"&amp;"|"&amp;"2"&amp;RIGHT("00000"&amp;519,5))</f>
        <v/>
      </c>
      <c r="U524">
        <f>IF($T524="","",COUNTIFS(LdAParty,$P524,LdAType,1,LdAKey,"&lt;"&amp;$T524)+COUNTIFS(LdBMember,$P524,LdBKey,"&lt;"&amp;$T524)+COUNTIFS(LdCParty,$P524,LdCKey,"&lt;"&amp;$T524)+1)</f>
        <v/>
      </c>
      <c r="V524">
        <f>IF($U524="","",$P524&amp;"|"&amp;RIGHT("000000"&amp;$U524,6))</f>
        <v/>
      </c>
      <c r="W524">
        <f>IF($T524="","",COUNTIFS(LdBGroup,$R524,LdBKey,"&lt;"&amp;$T524)+1)</f>
        <v/>
      </c>
      <c r="X524">
        <f>IF($W524="","",$R524&amp;"|"&amp;RIGHT("000000"&amp;$W524,6))</f>
        <v/>
      </c>
      <c r="Y524">
        <f>IF($P524="","",IF(Shares!$E527="",0,Shares!$E527))</f>
        <v/>
      </c>
      <c r="Z524">
        <f>IF($P524="","",Shares!$H527)</f>
        <v/>
      </c>
      <c r="AE524">
        <f>IF(OR(Sync!$S524="",Sync!$P524=""),"",Sync!$S524)</f>
        <v/>
      </c>
      <c r="AF524">
        <f>IF($AE524="","",IF(ISNUMBER(Sync!$P524),IF(AND(Sync!$P524&gt;=10000101,Sync!$P524&lt;=99991231),INT(Sync!$P524/10000),""),IFERROR(VALUE(TRIM(LEFT(Sync!$P524,FIND("/",Sync!$P524)-1))),"")))</f>
        <v/>
      </c>
      <c r="AG524">
        <f>IF(OR($AE524="",$AF524=""),"",IF(ISNUMBER(Sync!$P524),INT(MOD(Sync!$P524,10000)/100),IFERROR(VALUE(TRIM(LEFT(MID(Sync!$P524,FIND("/",Sync!$P524)+1,20),FIND("/",MID(Sync!$P524,FIND("/",Sync!$P524)+1,20))-1))),"")))</f>
        <v/>
      </c>
      <c r="AH524">
        <f>IF(OR($AE524="",$AF524=""),"",IF(ISNUMBER(Sync!$P524),MOD(Sync!$P524,100),IFERROR(VALUE(TRIM(MID(MID(Sync!$P524,FIND("/",Sync!$P524)+1,20),FIND("/",MID(Sync!$P524,FIND("/",Sync!$P524)+1,20))+1,20))),"")))</f>
        <v/>
      </c>
      <c r="AI524">
        <f>IF($AE524="","",IF(OR($AF524="",$AG524="",$AH524="",$AF524&lt;1300,$AF524&gt;1500,$AG524&lt;1,$AG524&gt;12,$AH524&lt;1,$AH524&gt;31),"نامعتبر",RIGHT("0000"&amp;$AF524,4)&amp;"/"&amp;RIGHT("00"&amp;$AG524,2)&amp;"/"&amp;RIGHT("00"&amp;$AH524,2)))</f>
        <v/>
      </c>
      <c r="AJ524">
        <f>IF($AE524="","",IF(Sync!$Q524="","0000",IF(AND(ISNUMBER(Sync!$Q524),Sync!$Q524&gt;=0,Sync!$Q524&lt;1),RIGHT("00"&amp;HOUR(Sync!$Q524),2)&amp;RIGHT("00"&amp;MINUTE(Sync!$Q524),2),IFERROR(RIGHT("00"&amp;VALUE(LEFT(Sync!$Q524,FIND(":",Sync!$Q524)-1)),2)&amp;RIGHT("00"&amp;VALUE(MID(Sync!$Q524,FIND(":",Sync!$Q524)+1,2)),2),"0000"))))</f>
        <v/>
      </c>
      <c r="AK524">
        <f>IF(OR($AE524="",$AI524="",$AI524="نامعتبر"),"",LEFT($AI524,4)&amp;MID($AI524,6,2)&amp;RIGHT($AI524,2)&amp;$AJ524&amp;"|"&amp;"3"&amp;RIGHT("00000"&amp;519,5))</f>
        <v/>
      </c>
      <c r="AL524">
        <f>IF($AK524="","",COUNTIFS(LdAParty,$AE524,LdAType,1,LdAKey,"&lt;"&amp;$AK524)+COUNTIFS(LdBMember,$AE524,LdBKey,"&lt;"&amp;$AK524)+COUNTIFS(LdCParty,$AE524,LdCKey,"&lt;"&amp;$AK524)+1)</f>
        <v/>
      </c>
      <c r="AM524">
        <f>IF($AL524="","",$AE524&amp;"|"&amp;RIGHT("000000"&amp;$AL524,6))</f>
        <v/>
      </c>
      <c r="AN524">
        <f>IF($AE524="","",IF(Sync!$W524="",0,Sync!$W524))</f>
        <v/>
      </c>
      <c r="AO524">
        <f>IF($AE524="","",IF(Sync!$X524="",0,Sync!$X524))</f>
        <v/>
      </c>
      <c r="AP524">
        <f>IF($AE524="","",Sync!$R524)</f>
        <v/>
      </c>
      <c r="AQ524">
        <f>IF($AE524="","",Sync!$Y524)</f>
        <v/>
      </c>
    </row>
    <row r="525">
      <c r="A525">
        <f>IF(OR(Wages!$B528="",Wages!$E528=""),"",Wages!$E528)</f>
        <v/>
      </c>
      <c r="B525">
        <f>IF($A525="","",IF(Wages!$C528="دستمزد گروهی",2,1))</f>
        <v/>
      </c>
      <c r="C525">
        <f>IF($A525="","",IF(ISNUMBER(Wages!$B528),IF(AND(Wages!$B528&gt;=10000101,Wages!$B528&lt;=99991231),INT(Wages!$B528/10000),""),IFERROR(VALUE(TRIM(LEFT(Wages!$B528,FIND("/",Wages!$B528)-1))),"")))</f>
        <v/>
      </c>
      <c r="D525">
        <f>IF(OR($A525="",$C525=""),"",IF(ISNUMBER(Wages!$B528),INT(MOD(Wages!$B528,10000)/100),IFERROR(VALUE(TRIM(LEFT(MID(Wages!$B528,FIND("/",Wages!$B528)+1,20),FIND("/",MID(Wages!$B528,FIND("/",Wages!$B528)+1,20))-1))),"")))</f>
        <v/>
      </c>
      <c r="E525">
        <f>IF(OR($A525="",$C525=""),"",IF(ISNUMBER(Wages!$B528),MOD(Wages!$B528,100),IFERROR(VALUE(TRIM(MID(MID(Wages!$B528,FIND("/",Wages!$B528)+1,20),FIND("/",MID(Wages!$B528,FIND("/",Wages!$B528)+1,20))+1,20))),"")))</f>
        <v/>
      </c>
      <c r="F525">
        <f>IF($A525="","",IF(OR($C525="",$D525="",$E525="",$C525&lt;1300,$C525&gt;1500,$D525&lt;1,$D525&gt;12,$E525&lt;1,$E525&gt;31),"نامعتبر",RIGHT("0000"&amp;$C525,4)&amp;"/"&amp;RIGHT("00"&amp;$D525,2)&amp;"/"&amp;RIGHT("00"&amp;$E525,2)))</f>
        <v/>
      </c>
      <c r="G525">
        <f>IF(OR($A525="",$F525="",$F525="نامعتبر"),"",LEFT($F525,4)&amp;MID($F525,6,2)&amp;RIGHT($F525,2)&amp;"0000"&amp;"|"&amp;"1"&amp;RIGHT("00000"&amp;520,5))</f>
        <v/>
      </c>
      <c r="H525">
        <f>IF(OR($B525&lt;&gt;1,$G525=""),"",COUNTIFS(LdAParty,$A525,LdAType,1,LdAKey,"&lt;"&amp;$G525)+COUNTIFS(LdBMember,$A525,LdBKey,"&lt;"&amp;$G525)+COUNTIFS(LdCParty,$A525,LdCKey,"&lt;"&amp;$G525)+1)</f>
        <v/>
      </c>
      <c r="I525">
        <f>IF($H525="","",$A525&amp;"|"&amp;RIGHT("000000"&amp;$H525,6))</f>
        <v/>
      </c>
      <c r="J525">
        <f>IF(OR($B525&lt;&gt;2,$G525=""),"",COUNTIFS(LdAParty,$A525,LdAType,2,LdAKey,"&lt;"&amp;$G525)+1)</f>
        <v/>
      </c>
      <c r="K525">
        <f>IF($J525="","",$A525&amp;"|"&amp;RIGHT("000000"&amp;$J525,6))</f>
        <v/>
      </c>
      <c r="L525">
        <f>IF($A525="","",IF(Wages!$G528="",0,Wages!$G528))</f>
        <v/>
      </c>
      <c r="M525">
        <f>IF($A525="","",Wages!$J528)</f>
        <v/>
      </c>
      <c r="N525">
        <f>IF($A525="","",Wages!$D528)</f>
        <v/>
      </c>
      <c r="P525">
        <f>IF(OR(Shares!$B528="",Shares!$C528=""),"",Shares!$C528)</f>
        <v/>
      </c>
      <c r="Q525">
        <f>IF($P525="","",Shares!$B528)</f>
        <v/>
      </c>
      <c r="R525">
        <f>IF($P525="","",IFERROR(INDEX(WageParty,MATCH($Q525,WageIds,0)),""))</f>
        <v/>
      </c>
      <c r="S525">
        <f>IF($P525="","",IFERROR(INDEX($F$6:$F$2005,MATCH($Q525,WageIds,0)),""))</f>
        <v/>
      </c>
      <c r="T525">
        <f>IF(OR($P525="",$S525="",$S525="نامعتبر"),"",LEFT($S525,4)&amp;MID($S525,6,2)&amp;RIGHT($S525,2)&amp;"0000"&amp;"|"&amp;"2"&amp;RIGHT("00000"&amp;520,5))</f>
        <v/>
      </c>
      <c r="U525">
        <f>IF($T525="","",COUNTIFS(LdAParty,$P525,LdAType,1,LdAKey,"&lt;"&amp;$T525)+COUNTIFS(LdBMember,$P525,LdBKey,"&lt;"&amp;$T525)+COUNTIFS(LdCParty,$P525,LdCKey,"&lt;"&amp;$T525)+1)</f>
        <v/>
      </c>
      <c r="V525">
        <f>IF($U525="","",$P525&amp;"|"&amp;RIGHT("000000"&amp;$U525,6))</f>
        <v/>
      </c>
      <c r="W525">
        <f>IF($T525="","",COUNTIFS(LdBGroup,$R525,LdBKey,"&lt;"&amp;$T525)+1)</f>
        <v/>
      </c>
      <c r="X525">
        <f>IF($W525="","",$R525&amp;"|"&amp;RIGHT("000000"&amp;$W525,6))</f>
        <v/>
      </c>
      <c r="Y525">
        <f>IF($P525="","",IF(Shares!$E528="",0,Shares!$E528))</f>
        <v/>
      </c>
      <c r="Z525">
        <f>IF($P525="","",Shares!$H528)</f>
        <v/>
      </c>
      <c r="AE525">
        <f>IF(OR(Sync!$S525="",Sync!$P525=""),"",Sync!$S525)</f>
        <v/>
      </c>
      <c r="AF525">
        <f>IF($AE525="","",IF(ISNUMBER(Sync!$P525),IF(AND(Sync!$P525&gt;=10000101,Sync!$P525&lt;=99991231),INT(Sync!$P525/10000),""),IFERROR(VALUE(TRIM(LEFT(Sync!$P525,FIND("/",Sync!$P525)-1))),"")))</f>
        <v/>
      </c>
      <c r="AG525">
        <f>IF(OR($AE525="",$AF525=""),"",IF(ISNUMBER(Sync!$P525),INT(MOD(Sync!$P525,10000)/100),IFERROR(VALUE(TRIM(LEFT(MID(Sync!$P525,FIND("/",Sync!$P525)+1,20),FIND("/",MID(Sync!$P525,FIND("/",Sync!$P525)+1,20))-1))),"")))</f>
        <v/>
      </c>
      <c r="AH525">
        <f>IF(OR($AE525="",$AF525=""),"",IF(ISNUMBER(Sync!$P525),MOD(Sync!$P525,100),IFERROR(VALUE(TRIM(MID(MID(Sync!$P525,FIND("/",Sync!$P525)+1,20),FIND("/",MID(Sync!$P525,FIND("/",Sync!$P525)+1,20))+1,20))),"")))</f>
        <v/>
      </c>
      <c r="AI525">
        <f>IF($AE525="","",IF(OR($AF525="",$AG525="",$AH525="",$AF525&lt;1300,$AF525&gt;1500,$AG525&lt;1,$AG525&gt;12,$AH525&lt;1,$AH525&gt;31),"نامعتبر",RIGHT("0000"&amp;$AF525,4)&amp;"/"&amp;RIGHT("00"&amp;$AG525,2)&amp;"/"&amp;RIGHT("00"&amp;$AH525,2)))</f>
        <v/>
      </c>
      <c r="AJ525">
        <f>IF($AE525="","",IF(Sync!$Q525="","0000",IF(AND(ISNUMBER(Sync!$Q525),Sync!$Q525&gt;=0,Sync!$Q525&lt;1),RIGHT("00"&amp;HOUR(Sync!$Q525),2)&amp;RIGHT("00"&amp;MINUTE(Sync!$Q525),2),IFERROR(RIGHT("00"&amp;VALUE(LEFT(Sync!$Q525,FIND(":",Sync!$Q525)-1)),2)&amp;RIGHT("00"&amp;VALUE(MID(Sync!$Q525,FIND(":",Sync!$Q525)+1,2)),2),"0000"))))</f>
        <v/>
      </c>
      <c r="AK525">
        <f>IF(OR($AE525="",$AI525="",$AI525="نامعتبر"),"",LEFT($AI525,4)&amp;MID($AI525,6,2)&amp;RIGHT($AI525,2)&amp;$AJ525&amp;"|"&amp;"3"&amp;RIGHT("00000"&amp;520,5))</f>
        <v/>
      </c>
      <c r="AL525">
        <f>IF($AK525="","",COUNTIFS(LdAParty,$AE525,LdAType,1,LdAKey,"&lt;"&amp;$AK525)+COUNTIFS(LdBMember,$AE525,LdBKey,"&lt;"&amp;$AK525)+COUNTIFS(LdCParty,$AE525,LdCKey,"&lt;"&amp;$AK525)+1)</f>
        <v/>
      </c>
      <c r="AM525">
        <f>IF($AL525="","",$AE525&amp;"|"&amp;RIGHT("000000"&amp;$AL525,6))</f>
        <v/>
      </c>
      <c r="AN525">
        <f>IF($AE525="","",IF(Sync!$W525="",0,Sync!$W525))</f>
        <v/>
      </c>
      <c r="AO525">
        <f>IF($AE525="","",IF(Sync!$X525="",0,Sync!$X525))</f>
        <v/>
      </c>
      <c r="AP525">
        <f>IF($AE525="","",Sync!$R525)</f>
        <v/>
      </c>
      <c r="AQ525">
        <f>IF($AE525="","",Sync!$Y525)</f>
        <v/>
      </c>
    </row>
    <row r="526">
      <c r="A526">
        <f>IF(OR(Wages!$B529="",Wages!$E529=""),"",Wages!$E529)</f>
        <v/>
      </c>
      <c r="B526">
        <f>IF($A526="","",IF(Wages!$C529="دستمزد گروهی",2,1))</f>
        <v/>
      </c>
      <c r="C526">
        <f>IF($A526="","",IF(ISNUMBER(Wages!$B529),IF(AND(Wages!$B529&gt;=10000101,Wages!$B529&lt;=99991231),INT(Wages!$B529/10000),""),IFERROR(VALUE(TRIM(LEFT(Wages!$B529,FIND("/",Wages!$B529)-1))),"")))</f>
        <v/>
      </c>
      <c r="D526">
        <f>IF(OR($A526="",$C526=""),"",IF(ISNUMBER(Wages!$B529),INT(MOD(Wages!$B529,10000)/100),IFERROR(VALUE(TRIM(LEFT(MID(Wages!$B529,FIND("/",Wages!$B529)+1,20),FIND("/",MID(Wages!$B529,FIND("/",Wages!$B529)+1,20))-1))),"")))</f>
        <v/>
      </c>
      <c r="E526">
        <f>IF(OR($A526="",$C526=""),"",IF(ISNUMBER(Wages!$B529),MOD(Wages!$B529,100),IFERROR(VALUE(TRIM(MID(MID(Wages!$B529,FIND("/",Wages!$B529)+1,20),FIND("/",MID(Wages!$B529,FIND("/",Wages!$B529)+1,20))+1,20))),"")))</f>
        <v/>
      </c>
      <c r="F526">
        <f>IF($A526="","",IF(OR($C526="",$D526="",$E526="",$C526&lt;1300,$C526&gt;1500,$D526&lt;1,$D526&gt;12,$E526&lt;1,$E526&gt;31),"نامعتبر",RIGHT("0000"&amp;$C526,4)&amp;"/"&amp;RIGHT("00"&amp;$D526,2)&amp;"/"&amp;RIGHT("00"&amp;$E526,2)))</f>
        <v/>
      </c>
      <c r="G526">
        <f>IF(OR($A526="",$F526="",$F526="نامعتبر"),"",LEFT($F526,4)&amp;MID($F526,6,2)&amp;RIGHT($F526,2)&amp;"0000"&amp;"|"&amp;"1"&amp;RIGHT("00000"&amp;521,5))</f>
        <v/>
      </c>
      <c r="H526">
        <f>IF(OR($B526&lt;&gt;1,$G526=""),"",COUNTIFS(LdAParty,$A526,LdAType,1,LdAKey,"&lt;"&amp;$G526)+COUNTIFS(LdBMember,$A526,LdBKey,"&lt;"&amp;$G526)+COUNTIFS(LdCParty,$A526,LdCKey,"&lt;"&amp;$G526)+1)</f>
        <v/>
      </c>
      <c r="I526">
        <f>IF($H526="","",$A526&amp;"|"&amp;RIGHT("000000"&amp;$H526,6))</f>
        <v/>
      </c>
      <c r="J526">
        <f>IF(OR($B526&lt;&gt;2,$G526=""),"",COUNTIFS(LdAParty,$A526,LdAType,2,LdAKey,"&lt;"&amp;$G526)+1)</f>
        <v/>
      </c>
      <c r="K526">
        <f>IF($J526="","",$A526&amp;"|"&amp;RIGHT("000000"&amp;$J526,6))</f>
        <v/>
      </c>
      <c r="L526">
        <f>IF($A526="","",IF(Wages!$G529="",0,Wages!$G529))</f>
        <v/>
      </c>
      <c r="M526">
        <f>IF($A526="","",Wages!$J529)</f>
        <v/>
      </c>
      <c r="N526">
        <f>IF($A526="","",Wages!$D529)</f>
        <v/>
      </c>
      <c r="P526">
        <f>IF(OR(Shares!$B529="",Shares!$C529=""),"",Shares!$C529)</f>
        <v/>
      </c>
      <c r="Q526">
        <f>IF($P526="","",Shares!$B529)</f>
        <v/>
      </c>
      <c r="R526">
        <f>IF($P526="","",IFERROR(INDEX(WageParty,MATCH($Q526,WageIds,0)),""))</f>
        <v/>
      </c>
      <c r="S526">
        <f>IF($P526="","",IFERROR(INDEX($F$6:$F$2005,MATCH($Q526,WageIds,0)),""))</f>
        <v/>
      </c>
      <c r="T526">
        <f>IF(OR($P526="",$S526="",$S526="نامعتبر"),"",LEFT($S526,4)&amp;MID($S526,6,2)&amp;RIGHT($S526,2)&amp;"0000"&amp;"|"&amp;"2"&amp;RIGHT("00000"&amp;521,5))</f>
        <v/>
      </c>
      <c r="U526">
        <f>IF($T526="","",COUNTIFS(LdAParty,$P526,LdAType,1,LdAKey,"&lt;"&amp;$T526)+COUNTIFS(LdBMember,$P526,LdBKey,"&lt;"&amp;$T526)+COUNTIFS(LdCParty,$P526,LdCKey,"&lt;"&amp;$T526)+1)</f>
        <v/>
      </c>
      <c r="V526">
        <f>IF($U526="","",$P526&amp;"|"&amp;RIGHT("000000"&amp;$U526,6))</f>
        <v/>
      </c>
      <c r="W526">
        <f>IF($T526="","",COUNTIFS(LdBGroup,$R526,LdBKey,"&lt;"&amp;$T526)+1)</f>
        <v/>
      </c>
      <c r="X526">
        <f>IF($W526="","",$R526&amp;"|"&amp;RIGHT("000000"&amp;$W526,6))</f>
        <v/>
      </c>
      <c r="Y526">
        <f>IF($P526="","",IF(Shares!$E529="",0,Shares!$E529))</f>
        <v/>
      </c>
      <c r="Z526">
        <f>IF($P526="","",Shares!$H529)</f>
        <v/>
      </c>
      <c r="AE526">
        <f>IF(OR(Sync!$S526="",Sync!$P526=""),"",Sync!$S526)</f>
        <v/>
      </c>
      <c r="AF526">
        <f>IF($AE526="","",IF(ISNUMBER(Sync!$P526),IF(AND(Sync!$P526&gt;=10000101,Sync!$P526&lt;=99991231),INT(Sync!$P526/10000),""),IFERROR(VALUE(TRIM(LEFT(Sync!$P526,FIND("/",Sync!$P526)-1))),"")))</f>
        <v/>
      </c>
      <c r="AG526">
        <f>IF(OR($AE526="",$AF526=""),"",IF(ISNUMBER(Sync!$P526),INT(MOD(Sync!$P526,10000)/100),IFERROR(VALUE(TRIM(LEFT(MID(Sync!$P526,FIND("/",Sync!$P526)+1,20),FIND("/",MID(Sync!$P526,FIND("/",Sync!$P526)+1,20))-1))),"")))</f>
        <v/>
      </c>
      <c r="AH526">
        <f>IF(OR($AE526="",$AF526=""),"",IF(ISNUMBER(Sync!$P526),MOD(Sync!$P526,100),IFERROR(VALUE(TRIM(MID(MID(Sync!$P526,FIND("/",Sync!$P526)+1,20),FIND("/",MID(Sync!$P526,FIND("/",Sync!$P526)+1,20))+1,20))),"")))</f>
        <v/>
      </c>
      <c r="AI526">
        <f>IF($AE526="","",IF(OR($AF526="",$AG526="",$AH526="",$AF526&lt;1300,$AF526&gt;1500,$AG526&lt;1,$AG526&gt;12,$AH526&lt;1,$AH526&gt;31),"نامعتبر",RIGHT("0000"&amp;$AF526,4)&amp;"/"&amp;RIGHT("00"&amp;$AG526,2)&amp;"/"&amp;RIGHT("00"&amp;$AH526,2)))</f>
        <v/>
      </c>
      <c r="AJ526">
        <f>IF($AE526="","",IF(Sync!$Q526="","0000",IF(AND(ISNUMBER(Sync!$Q526),Sync!$Q526&gt;=0,Sync!$Q526&lt;1),RIGHT("00"&amp;HOUR(Sync!$Q526),2)&amp;RIGHT("00"&amp;MINUTE(Sync!$Q526),2),IFERROR(RIGHT("00"&amp;VALUE(LEFT(Sync!$Q526,FIND(":",Sync!$Q526)-1)),2)&amp;RIGHT("00"&amp;VALUE(MID(Sync!$Q526,FIND(":",Sync!$Q526)+1,2)),2),"0000"))))</f>
        <v/>
      </c>
      <c r="AK526">
        <f>IF(OR($AE526="",$AI526="",$AI526="نامعتبر"),"",LEFT($AI526,4)&amp;MID($AI526,6,2)&amp;RIGHT($AI526,2)&amp;$AJ526&amp;"|"&amp;"3"&amp;RIGHT("00000"&amp;521,5))</f>
        <v/>
      </c>
      <c r="AL526">
        <f>IF($AK526="","",COUNTIFS(LdAParty,$AE526,LdAType,1,LdAKey,"&lt;"&amp;$AK526)+COUNTIFS(LdBMember,$AE526,LdBKey,"&lt;"&amp;$AK526)+COUNTIFS(LdCParty,$AE526,LdCKey,"&lt;"&amp;$AK526)+1)</f>
        <v/>
      </c>
      <c r="AM526">
        <f>IF($AL526="","",$AE526&amp;"|"&amp;RIGHT("000000"&amp;$AL526,6))</f>
        <v/>
      </c>
      <c r="AN526">
        <f>IF($AE526="","",IF(Sync!$W526="",0,Sync!$W526))</f>
        <v/>
      </c>
      <c r="AO526">
        <f>IF($AE526="","",IF(Sync!$X526="",0,Sync!$X526))</f>
        <v/>
      </c>
      <c r="AP526">
        <f>IF($AE526="","",Sync!$R526)</f>
        <v/>
      </c>
      <c r="AQ526">
        <f>IF($AE526="","",Sync!$Y526)</f>
        <v/>
      </c>
    </row>
    <row r="527">
      <c r="A527">
        <f>IF(OR(Wages!$B530="",Wages!$E530=""),"",Wages!$E530)</f>
        <v/>
      </c>
      <c r="B527">
        <f>IF($A527="","",IF(Wages!$C530="دستمزد گروهی",2,1))</f>
        <v/>
      </c>
      <c r="C527">
        <f>IF($A527="","",IF(ISNUMBER(Wages!$B530),IF(AND(Wages!$B530&gt;=10000101,Wages!$B530&lt;=99991231),INT(Wages!$B530/10000),""),IFERROR(VALUE(TRIM(LEFT(Wages!$B530,FIND("/",Wages!$B530)-1))),"")))</f>
        <v/>
      </c>
      <c r="D527">
        <f>IF(OR($A527="",$C527=""),"",IF(ISNUMBER(Wages!$B530),INT(MOD(Wages!$B530,10000)/100),IFERROR(VALUE(TRIM(LEFT(MID(Wages!$B530,FIND("/",Wages!$B530)+1,20),FIND("/",MID(Wages!$B530,FIND("/",Wages!$B530)+1,20))-1))),"")))</f>
        <v/>
      </c>
      <c r="E527">
        <f>IF(OR($A527="",$C527=""),"",IF(ISNUMBER(Wages!$B530),MOD(Wages!$B530,100),IFERROR(VALUE(TRIM(MID(MID(Wages!$B530,FIND("/",Wages!$B530)+1,20),FIND("/",MID(Wages!$B530,FIND("/",Wages!$B530)+1,20))+1,20))),"")))</f>
        <v/>
      </c>
      <c r="F527">
        <f>IF($A527="","",IF(OR($C527="",$D527="",$E527="",$C527&lt;1300,$C527&gt;1500,$D527&lt;1,$D527&gt;12,$E527&lt;1,$E527&gt;31),"نامعتبر",RIGHT("0000"&amp;$C527,4)&amp;"/"&amp;RIGHT("00"&amp;$D527,2)&amp;"/"&amp;RIGHT("00"&amp;$E527,2)))</f>
        <v/>
      </c>
      <c r="G527">
        <f>IF(OR($A527="",$F527="",$F527="نامعتبر"),"",LEFT($F527,4)&amp;MID($F527,6,2)&amp;RIGHT($F527,2)&amp;"0000"&amp;"|"&amp;"1"&amp;RIGHT("00000"&amp;522,5))</f>
        <v/>
      </c>
      <c r="H527">
        <f>IF(OR($B527&lt;&gt;1,$G527=""),"",COUNTIFS(LdAParty,$A527,LdAType,1,LdAKey,"&lt;"&amp;$G527)+COUNTIFS(LdBMember,$A527,LdBKey,"&lt;"&amp;$G527)+COUNTIFS(LdCParty,$A527,LdCKey,"&lt;"&amp;$G527)+1)</f>
        <v/>
      </c>
      <c r="I527">
        <f>IF($H527="","",$A527&amp;"|"&amp;RIGHT("000000"&amp;$H527,6))</f>
        <v/>
      </c>
      <c r="J527">
        <f>IF(OR($B527&lt;&gt;2,$G527=""),"",COUNTIFS(LdAParty,$A527,LdAType,2,LdAKey,"&lt;"&amp;$G527)+1)</f>
        <v/>
      </c>
      <c r="K527">
        <f>IF($J527="","",$A527&amp;"|"&amp;RIGHT("000000"&amp;$J527,6))</f>
        <v/>
      </c>
      <c r="L527">
        <f>IF($A527="","",IF(Wages!$G530="",0,Wages!$G530))</f>
        <v/>
      </c>
      <c r="M527">
        <f>IF($A527="","",Wages!$J530)</f>
        <v/>
      </c>
      <c r="N527">
        <f>IF($A527="","",Wages!$D530)</f>
        <v/>
      </c>
      <c r="P527">
        <f>IF(OR(Shares!$B530="",Shares!$C530=""),"",Shares!$C530)</f>
        <v/>
      </c>
      <c r="Q527">
        <f>IF($P527="","",Shares!$B530)</f>
        <v/>
      </c>
      <c r="R527">
        <f>IF($P527="","",IFERROR(INDEX(WageParty,MATCH($Q527,WageIds,0)),""))</f>
        <v/>
      </c>
      <c r="S527">
        <f>IF($P527="","",IFERROR(INDEX($F$6:$F$2005,MATCH($Q527,WageIds,0)),""))</f>
        <v/>
      </c>
      <c r="T527">
        <f>IF(OR($P527="",$S527="",$S527="نامعتبر"),"",LEFT($S527,4)&amp;MID($S527,6,2)&amp;RIGHT($S527,2)&amp;"0000"&amp;"|"&amp;"2"&amp;RIGHT("00000"&amp;522,5))</f>
        <v/>
      </c>
      <c r="U527">
        <f>IF($T527="","",COUNTIFS(LdAParty,$P527,LdAType,1,LdAKey,"&lt;"&amp;$T527)+COUNTIFS(LdBMember,$P527,LdBKey,"&lt;"&amp;$T527)+COUNTIFS(LdCParty,$P527,LdCKey,"&lt;"&amp;$T527)+1)</f>
        <v/>
      </c>
      <c r="V527">
        <f>IF($U527="","",$P527&amp;"|"&amp;RIGHT("000000"&amp;$U527,6))</f>
        <v/>
      </c>
      <c r="W527">
        <f>IF($T527="","",COUNTIFS(LdBGroup,$R527,LdBKey,"&lt;"&amp;$T527)+1)</f>
        <v/>
      </c>
      <c r="X527">
        <f>IF($W527="","",$R527&amp;"|"&amp;RIGHT("000000"&amp;$W527,6))</f>
        <v/>
      </c>
      <c r="Y527">
        <f>IF($P527="","",IF(Shares!$E530="",0,Shares!$E530))</f>
        <v/>
      </c>
      <c r="Z527">
        <f>IF($P527="","",Shares!$H530)</f>
        <v/>
      </c>
      <c r="AE527">
        <f>IF(OR(Sync!$S527="",Sync!$P527=""),"",Sync!$S527)</f>
        <v/>
      </c>
      <c r="AF527">
        <f>IF($AE527="","",IF(ISNUMBER(Sync!$P527),IF(AND(Sync!$P527&gt;=10000101,Sync!$P527&lt;=99991231),INT(Sync!$P527/10000),""),IFERROR(VALUE(TRIM(LEFT(Sync!$P527,FIND("/",Sync!$P527)-1))),"")))</f>
        <v/>
      </c>
      <c r="AG527">
        <f>IF(OR($AE527="",$AF527=""),"",IF(ISNUMBER(Sync!$P527),INT(MOD(Sync!$P527,10000)/100),IFERROR(VALUE(TRIM(LEFT(MID(Sync!$P527,FIND("/",Sync!$P527)+1,20),FIND("/",MID(Sync!$P527,FIND("/",Sync!$P527)+1,20))-1))),"")))</f>
        <v/>
      </c>
      <c r="AH527">
        <f>IF(OR($AE527="",$AF527=""),"",IF(ISNUMBER(Sync!$P527),MOD(Sync!$P527,100),IFERROR(VALUE(TRIM(MID(MID(Sync!$P527,FIND("/",Sync!$P527)+1,20),FIND("/",MID(Sync!$P527,FIND("/",Sync!$P527)+1,20))+1,20))),"")))</f>
        <v/>
      </c>
      <c r="AI527">
        <f>IF($AE527="","",IF(OR($AF527="",$AG527="",$AH527="",$AF527&lt;1300,$AF527&gt;1500,$AG527&lt;1,$AG527&gt;12,$AH527&lt;1,$AH527&gt;31),"نامعتبر",RIGHT("0000"&amp;$AF527,4)&amp;"/"&amp;RIGHT("00"&amp;$AG527,2)&amp;"/"&amp;RIGHT("00"&amp;$AH527,2)))</f>
        <v/>
      </c>
      <c r="AJ527">
        <f>IF($AE527="","",IF(Sync!$Q527="","0000",IF(AND(ISNUMBER(Sync!$Q527),Sync!$Q527&gt;=0,Sync!$Q527&lt;1),RIGHT("00"&amp;HOUR(Sync!$Q527),2)&amp;RIGHT("00"&amp;MINUTE(Sync!$Q527),2),IFERROR(RIGHT("00"&amp;VALUE(LEFT(Sync!$Q527,FIND(":",Sync!$Q527)-1)),2)&amp;RIGHT("00"&amp;VALUE(MID(Sync!$Q527,FIND(":",Sync!$Q527)+1,2)),2),"0000"))))</f>
        <v/>
      </c>
      <c r="AK527">
        <f>IF(OR($AE527="",$AI527="",$AI527="نامعتبر"),"",LEFT($AI527,4)&amp;MID($AI527,6,2)&amp;RIGHT($AI527,2)&amp;$AJ527&amp;"|"&amp;"3"&amp;RIGHT("00000"&amp;522,5))</f>
        <v/>
      </c>
      <c r="AL527">
        <f>IF($AK527="","",COUNTIFS(LdAParty,$AE527,LdAType,1,LdAKey,"&lt;"&amp;$AK527)+COUNTIFS(LdBMember,$AE527,LdBKey,"&lt;"&amp;$AK527)+COUNTIFS(LdCParty,$AE527,LdCKey,"&lt;"&amp;$AK527)+1)</f>
        <v/>
      </c>
      <c r="AM527">
        <f>IF($AL527="","",$AE527&amp;"|"&amp;RIGHT("000000"&amp;$AL527,6))</f>
        <v/>
      </c>
      <c r="AN527">
        <f>IF($AE527="","",IF(Sync!$W527="",0,Sync!$W527))</f>
        <v/>
      </c>
      <c r="AO527">
        <f>IF($AE527="","",IF(Sync!$X527="",0,Sync!$X527))</f>
        <v/>
      </c>
      <c r="AP527">
        <f>IF($AE527="","",Sync!$R527)</f>
        <v/>
      </c>
      <c r="AQ527">
        <f>IF($AE527="","",Sync!$Y527)</f>
        <v/>
      </c>
    </row>
    <row r="528">
      <c r="A528">
        <f>IF(OR(Wages!$B531="",Wages!$E531=""),"",Wages!$E531)</f>
        <v/>
      </c>
      <c r="B528">
        <f>IF($A528="","",IF(Wages!$C531="دستمزد گروهی",2,1))</f>
        <v/>
      </c>
      <c r="C528">
        <f>IF($A528="","",IF(ISNUMBER(Wages!$B531),IF(AND(Wages!$B531&gt;=10000101,Wages!$B531&lt;=99991231),INT(Wages!$B531/10000),""),IFERROR(VALUE(TRIM(LEFT(Wages!$B531,FIND("/",Wages!$B531)-1))),"")))</f>
        <v/>
      </c>
      <c r="D528">
        <f>IF(OR($A528="",$C528=""),"",IF(ISNUMBER(Wages!$B531),INT(MOD(Wages!$B531,10000)/100),IFERROR(VALUE(TRIM(LEFT(MID(Wages!$B531,FIND("/",Wages!$B531)+1,20),FIND("/",MID(Wages!$B531,FIND("/",Wages!$B531)+1,20))-1))),"")))</f>
        <v/>
      </c>
      <c r="E528">
        <f>IF(OR($A528="",$C528=""),"",IF(ISNUMBER(Wages!$B531),MOD(Wages!$B531,100),IFERROR(VALUE(TRIM(MID(MID(Wages!$B531,FIND("/",Wages!$B531)+1,20),FIND("/",MID(Wages!$B531,FIND("/",Wages!$B531)+1,20))+1,20))),"")))</f>
        <v/>
      </c>
      <c r="F528">
        <f>IF($A528="","",IF(OR($C528="",$D528="",$E528="",$C528&lt;1300,$C528&gt;1500,$D528&lt;1,$D528&gt;12,$E528&lt;1,$E528&gt;31),"نامعتبر",RIGHT("0000"&amp;$C528,4)&amp;"/"&amp;RIGHT("00"&amp;$D528,2)&amp;"/"&amp;RIGHT("00"&amp;$E528,2)))</f>
        <v/>
      </c>
      <c r="G528">
        <f>IF(OR($A528="",$F528="",$F528="نامعتبر"),"",LEFT($F528,4)&amp;MID($F528,6,2)&amp;RIGHT($F528,2)&amp;"0000"&amp;"|"&amp;"1"&amp;RIGHT("00000"&amp;523,5))</f>
        <v/>
      </c>
      <c r="H528">
        <f>IF(OR($B528&lt;&gt;1,$G528=""),"",COUNTIFS(LdAParty,$A528,LdAType,1,LdAKey,"&lt;"&amp;$G528)+COUNTIFS(LdBMember,$A528,LdBKey,"&lt;"&amp;$G528)+COUNTIFS(LdCParty,$A528,LdCKey,"&lt;"&amp;$G528)+1)</f>
        <v/>
      </c>
      <c r="I528">
        <f>IF($H528="","",$A528&amp;"|"&amp;RIGHT("000000"&amp;$H528,6))</f>
        <v/>
      </c>
      <c r="J528">
        <f>IF(OR($B528&lt;&gt;2,$G528=""),"",COUNTIFS(LdAParty,$A528,LdAType,2,LdAKey,"&lt;"&amp;$G528)+1)</f>
        <v/>
      </c>
      <c r="K528">
        <f>IF($J528="","",$A528&amp;"|"&amp;RIGHT("000000"&amp;$J528,6))</f>
        <v/>
      </c>
      <c r="L528">
        <f>IF($A528="","",IF(Wages!$G531="",0,Wages!$G531))</f>
        <v/>
      </c>
      <c r="M528">
        <f>IF($A528="","",Wages!$J531)</f>
        <v/>
      </c>
      <c r="N528">
        <f>IF($A528="","",Wages!$D531)</f>
        <v/>
      </c>
      <c r="P528">
        <f>IF(OR(Shares!$B531="",Shares!$C531=""),"",Shares!$C531)</f>
        <v/>
      </c>
      <c r="Q528">
        <f>IF($P528="","",Shares!$B531)</f>
        <v/>
      </c>
      <c r="R528">
        <f>IF($P528="","",IFERROR(INDEX(WageParty,MATCH($Q528,WageIds,0)),""))</f>
        <v/>
      </c>
      <c r="S528">
        <f>IF($P528="","",IFERROR(INDEX($F$6:$F$2005,MATCH($Q528,WageIds,0)),""))</f>
        <v/>
      </c>
      <c r="T528">
        <f>IF(OR($P528="",$S528="",$S528="نامعتبر"),"",LEFT($S528,4)&amp;MID($S528,6,2)&amp;RIGHT($S528,2)&amp;"0000"&amp;"|"&amp;"2"&amp;RIGHT("00000"&amp;523,5))</f>
        <v/>
      </c>
      <c r="U528">
        <f>IF($T528="","",COUNTIFS(LdAParty,$P528,LdAType,1,LdAKey,"&lt;"&amp;$T528)+COUNTIFS(LdBMember,$P528,LdBKey,"&lt;"&amp;$T528)+COUNTIFS(LdCParty,$P528,LdCKey,"&lt;"&amp;$T528)+1)</f>
        <v/>
      </c>
      <c r="V528">
        <f>IF($U528="","",$P528&amp;"|"&amp;RIGHT("000000"&amp;$U528,6))</f>
        <v/>
      </c>
      <c r="W528">
        <f>IF($T528="","",COUNTIFS(LdBGroup,$R528,LdBKey,"&lt;"&amp;$T528)+1)</f>
        <v/>
      </c>
      <c r="X528">
        <f>IF($W528="","",$R528&amp;"|"&amp;RIGHT("000000"&amp;$W528,6))</f>
        <v/>
      </c>
      <c r="Y528">
        <f>IF($P528="","",IF(Shares!$E531="",0,Shares!$E531))</f>
        <v/>
      </c>
      <c r="Z528">
        <f>IF($P528="","",Shares!$H531)</f>
        <v/>
      </c>
      <c r="AE528">
        <f>IF(OR(Sync!$S528="",Sync!$P528=""),"",Sync!$S528)</f>
        <v/>
      </c>
      <c r="AF528">
        <f>IF($AE528="","",IF(ISNUMBER(Sync!$P528),IF(AND(Sync!$P528&gt;=10000101,Sync!$P528&lt;=99991231),INT(Sync!$P528/10000),""),IFERROR(VALUE(TRIM(LEFT(Sync!$P528,FIND("/",Sync!$P528)-1))),"")))</f>
        <v/>
      </c>
      <c r="AG528">
        <f>IF(OR($AE528="",$AF528=""),"",IF(ISNUMBER(Sync!$P528),INT(MOD(Sync!$P528,10000)/100),IFERROR(VALUE(TRIM(LEFT(MID(Sync!$P528,FIND("/",Sync!$P528)+1,20),FIND("/",MID(Sync!$P528,FIND("/",Sync!$P528)+1,20))-1))),"")))</f>
        <v/>
      </c>
      <c r="AH528">
        <f>IF(OR($AE528="",$AF528=""),"",IF(ISNUMBER(Sync!$P528),MOD(Sync!$P528,100),IFERROR(VALUE(TRIM(MID(MID(Sync!$P528,FIND("/",Sync!$P528)+1,20),FIND("/",MID(Sync!$P528,FIND("/",Sync!$P528)+1,20))+1,20))),"")))</f>
        <v/>
      </c>
      <c r="AI528">
        <f>IF($AE528="","",IF(OR($AF528="",$AG528="",$AH528="",$AF528&lt;1300,$AF528&gt;1500,$AG528&lt;1,$AG528&gt;12,$AH528&lt;1,$AH528&gt;31),"نامعتبر",RIGHT("0000"&amp;$AF528,4)&amp;"/"&amp;RIGHT("00"&amp;$AG528,2)&amp;"/"&amp;RIGHT("00"&amp;$AH528,2)))</f>
        <v/>
      </c>
      <c r="AJ528">
        <f>IF($AE528="","",IF(Sync!$Q528="","0000",IF(AND(ISNUMBER(Sync!$Q528),Sync!$Q528&gt;=0,Sync!$Q528&lt;1),RIGHT("00"&amp;HOUR(Sync!$Q528),2)&amp;RIGHT("00"&amp;MINUTE(Sync!$Q528),2),IFERROR(RIGHT("00"&amp;VALUE(LEFT(Sync!$Q528,FIND(":",Sync!$Q528)-1)),2)&amp;RIGHT("00"&amp;VALUE(MID(Sync!$Q528,FIND(":",Sync!$Q528)+1,2)),2),"0000"))))</f>
        <v/>
      </c>
      <c r="AK528">
        <f>IF(OR($AE528="",$AI528="",$AI528="نامعتبر"),"",LEFT($AI528,4)&amp;MID($AI528,6,2)&amp;RIGHT($AI528,2)&amp;$AJ528&amp;"|"&amp;"3"&amp;RIGHT("00000"&amp;523,5))</f>
        <v/>
      </c>
      <c r="AL528">
        <f>IF($AK528="","",COUNTIFS(LdAParty,$AE528,LdAType,1,LdAKey,"&lt;"&amp;$AK528)+COUNTIFS(LdBMember,$AE528,LdBKey,"&lt;"&amp;$AK528)+COUNTIFS(LdCParty,$AE528,LdCKey,"&lt;"&amp;$AK528)+1)</f>
        <v/>
      </c>
      <c r="AM528">
        <f>IF($AL528="","",$AE528&amp;"|"&amp;RIGHT("000000"&amp;$AL528,6))</f>
        <v/>
      </c>
      <c r="AN528">
        <f>IF($AE528="","",IF(Sync!$W528="",0,Sync!$W528))</f>
        <v/>
      </c>
      <c r="AO528">
        <f>IF($AE528="","",IF(Sync!$X528="",0,Sync!$X528))</f>
        <v/>
      </c>
      <c r="AP528">
        <f>IF($AE528="","",Sync!$R528)</f>
        <v/>
      </c>
      <c r="AQ528">
        <f>IF($AE528="","",Sync!$Y528)</f>
        <v/>
      </c>
    </row>
    <row r="529">
      <c r="A529">
        <f>IF(OR(Wages!$B532="",Wages!$E532=""),"",Wages!$E532)</f>
        <v/>
      </c>
      <c r="B529">
        <f>IF($A529="","",IF(Wages!$C532="دستمزد گروهی",2,1))</f>
        <v/>
      </c>
      <c r="C529">
        <f>IF($A529="","",IF(ISNUMBER(Wages!$B532),IF(AND(Wages!$B532&gt;=10000101,Wages!$B532&lt;=99991231),INT(Wages!$B532/10000),""),IFERROR(VALUE(TRIM(LEFT(Wages!$B532,FIND("/",Wages!$B532)-1))),"")))</f>
        <v/>
      </c>
      <c r="D529">
        <f>IF(OR($A529="",$C529=""),"",IF(ISNUMBER(Wages!$B532),INT(MOD(Wages!$B532,10000)/100),IFERROR(VALUE(TRIM(LEFT(MID(Wages!$B532,FIND("/",Wages!$B532)+1,20),FIND("/",MID(Wages!$B532,FIND("/",Wages!$B532)+1,20))-1))),"")))</f>
        <v/>
      </c>
      <c r="E529">
        <f>IF(OR($A529="",$C529=""),"",IF(ISNUMBER(Wages!$B532),MOD(Wages!$B532,100),IFERROR(VALUE(TRIM(MID(MID(Wages!$B532,FIND("/",Wages!$B532)+1,20),FIND("/",MID(Wages!$B532,FIND("/",Wages!$B532)+1,20))+1,20))),"")))</f>
        <v/>
      </c>
      <c r="F529">
        <f>IF($A529="","",IF(OR($C529="",$D529="",$E529="",$C529&lt;1300,$C529&gt;1500,$D529&lt;1,$D529&gt;12,$E529&lt;1,$E529&gt;31),"نامعتبر",RIGHT("0000"&amp;$C529,4)&amp;"/"&amp;RIGHT("00"&amp;$D529,2)&amp;"/"&amp;RIGHT("00"&amp;$E529,2)))</f>
        <v/>
      </c>
      <c r="G529">
        <f>IF(OR($A529="",$F529="",$F529="نامعتبر"),"",LEFT($F529,4)&amp;MID($F529,6,2)&amp;RIGHT($F529,2)&amp;"0000"&amp;"|"&amp;"1"&amp;RIGHT("00000"&amp;524,5))</f>
        <v/>
      </c>
      <c r="H529">
        <f>IF(OR($B529&lt;&gt;1,$G529=""),"",COUNTIFS(LdAParty,$A529,LdAType,1,LdAKey,"&lt;"&amp;$G529)+COUNTIFS(LdBMember,$A529,LdBKey,"&lt;"&amp;$G529)+COUNTIFS(LdCParty,$A529,LdCKey,"&lt;"&amp;$G529)+1)</f>
        <v/>
      </c>
      <c r="I529">
        <f>IF($H529="","",$A529&amp;"|"&amp;RIGHT("000000"&amp;$H529,6))</f>
        <v/>
      </c>
      <c r="J529">
        <f>IF(OR($B529&lt;&gt;2,$G529=""),"",COUNTIFS(LdAParty,$A529,LdAType,2,LdAKey,"&lt;"&amp;$G529)+1)</f>
        <v/>
      </c>
      <c r="K529">
        <f>IF($J529="","",$A529&amp;"|"&amp;RIGHT("000000"&amp;$J529,6))</f>
        <v/>
      </c>
      <c r="L529">
        <f>IF($A529="","",IF(Wages!$G532="",0,Wages!$G532))</f>
        <v/>
      </c>
      <c r="M529">
        <f>IF($A529="","",Wages!$J532)</f>
        <v/>
      </c>
      <c r="N529">
        <f>IF($A529="","",Wages!$D532)</f>
        <v/>
      </c>
      <c r="P529">
        <f>IF(OR(Shares!$B532="",Shares!$C532=""),"",Shares!$C532)</f>
        <v/>
      </c>
      <c r="Q529">
        <f>IF($P529="","",Shares!$B532)</f>
        <v/>
      </c>
      <c r="R529">
        <f>IF($P529="","",IFERROR(INDEX(WageParty,MATCH($Q529,WageIds,0)),""))</f>
        <v/>
      </c>
      <c r="S529">
        <f>IF($P529="","",IFERROR(INDEX($F$6:$F$2005,MATCH($Q529,WageIds,0)),""))</f>
        <v/>
      </c>
      <c r="T529">
        <f>IF(OR($P529="",$S529="",$S529="نامعتبر"),"",LEFT($S529,4)&amp;MID($S529,6,2)&amp;RIGHT($S529,2)&amp;"0000"&amp;"|"&amp;"2"&amp;RIGHT("00000"&amp;524,5))</f>
        <v/>
      </c>
      <c r="U529">
        <f>IF($T529="","",COUNTIFS(LdAParty,$P529,LdAType,1,LdAKey,"&lt;"&amp;$T529)+COUNTIFS(LdBMember,$P529,LdBKey,"&lt;"&amp;$T529)+COUNTIFS(LdCParty,$P529,LdCKey,"&lt;"&amp;$T529)+1)</f>
        <v/>
      </c>
      <c r="V529">
        <f>IF($U529="","",$P529&amp;"|"&amp;RIGHT("000000"&amp;$U529,6))</f>
        <v/>
      </c>
      <c r="W529">
        <f>IF($T529="","",COUNTIFS(LdBGroup,$R529,LdBKey,"&lt;"&amp;$T529)+1)</f>
        <v/>
      </c>
      <c r="X529">
        <f>IF($W529="","",$R529&amp;"|"&amp;RIGHT("000000"&amp;$W529,6))</f>
        <v/>
      </c>
      <c r="Y529">
        <f>IF($P529="","",IF(Shares!$E532="",0,Shares!$E532))</f>
        <v/>
      </c>
      <c r="Z529">
        <f>IF($P529="","",Shares!$H532)</f>
        <v/>
      </c>
      <c r="AE529">
        <f>IF(OR(Sync!$S529="",Sync!$P529=""),"",Sync!$S529)</f>
        <v/>
      </c>
      <c r="AF529">
        <f>IF($AE529="","",IF(ISNUMBER(Sync!$P529),IF(AND(Sync!$P529&gt;=10000101,Sync!$P529&lt;=99991231),INT(Sync!$P529/10000),""),IFERROR(VALUE(TRIM(LEFT(Sync!$P529,FIND("/",Sync!$P529)-1))),"")))</f>
        <v/>
      </c>
      <c r="AG529">
        <f>IF(OR($AE529="",$AF529=""),"",IF(ISNUMBER(Sync!$P529),INT(MOD(Sync!$P529,10000)/100),IFERROR(VALUE(TRIM(LEFT(MID(Sync!$P529,FIND("/",Sync!$P529)+1,20),FIND("/",MID(Sync!$P529,FIND("/",Sync!$P529)+1,20))-1))),"")))</f>
        <v/>
      </c>
      <c r="AH529">
        <f>IF(OR($AE529="",$AF529=""),"",IF(ISNUMBER(Sync!$P529),MOD(Sync!$P529,100),IFERROR(VALUE(TRIM(MID(MID(Sync!$P529,FIND("/",Sync!$P529)+1,20),FIND("/",MID(Sync!$P529,FIND("/",Sync!$P529)+1,20))+1,20))),"")))</f>
        <v/>
      </c>
      <c r="AI529">
        <f>IF($AE529="","",IF(OR($AF529="",$AG529="",$AH529="",$AF529&lt;1300,$AF529&gt;1500,$AG529&lt;1,$AG529&gt;12,$AH529&lt;1,$AH529&gt;31),"نامعتبر",RIGHT("0000"&amp;$AF529,4)&amp;"/"&amp;RIGHT("00"&amp;$AG529,2)&amp;"/"&amp;RIGHT("00"&amp;$AH529,2)))</f>
        <v/>
      </c>
      <c r="AJ529">
        <f>IF($AE529="","",IF(Sync!$Q529="","0000",IF(AND(ISNUMBER(Sync!$Q529),Sync!$Q529&gt;=0,Sync!$Q529&lt;1),RIGHT("00"&amp;HOUR(Sync!$Q529),2)&amp;RIGHT("00"&amp;MINUTE(Sync!$Q529),2),IFERROR(RIGHT("00"&amp;VALUE(LEFT(Sync!$Q529,FIND(":",Sync!$Q529)-1)),2)&amp;RIGHT("00"&amp;VALUE(MID(Sync!$Q529,FIND(":",Sync!$Q529)+1,2)),2),"0000"))))</f>
        <v/>
      </c>
      <c r="AK529">
        <f>IF(OR($AE529="",$AI529="",$AI529="نامعتبر"),"",LEFT($AI529,4)&amp;MID($AI529,6,2)&amp;RIGHT($AI529,2)&amp;$AJ529&amp;"|"&amp;"3"&amp;RIGHT("00000"&amp;524,5))</f>
        <v/>
      </c>
      <c r="AL529">
        <f>IF($AK529="","",COUNTIFS(LdAParty,$AE529,LdAType,1,LdAKey,"&lt;"&amp;$AK529)+COUNTIFS(LdBMember,$AE529,LdBKey,"&lt;"&amp;$AK529)+COUNTIFS(LdCParty,$AE529,LdCKey,"&lt;"&amp;$AK529)+1)</f>
        <v/>
      </c>
      <c r="AM529">
        <f>IF($AL529="","",$AE529&amp;"|"&amp;RIGHT("000000"&amp;$AL529,6))</f>
        <v/>
      </c>
      <c r="AN529">
        <f>IF($AE529="","",IF(Sync!$W529="",0,Sync!$W529))</f>
        <v/>
      </c>
      <c r="AO529">
        <f>IF($AE529="","",IF(Sync!$X529="",0,Sync!$X529))</f>
        <v/>
      </c>
      <c r="AP529">
        <f>IF($AE529="","",Sync!$R529)</f>
        <v/>
      </c>
      <c r="AQ529">
        <f>IF($AE529="","",Sync!$Y529)</f>
        <v/>
      </c>
    </row>
    <row r="530">
      <c r="A530">
        <f>IF(OR(Wages!$B533="",Wages!$E533=""),"",Wages!$E533)</f>
        <v/>
      </c>
      <c r="B530">
        <f>IF($A530="","",IF(Wages!$C533="دستمزد گروهی",2,1))</f>
        <v/>
      </c>
      <c r="C530">
        <f>IF($A530="","",IF(ISNUMBER(Wages!$B533),IF(AND(Wages!$B533&gt;=10000101,Wages!$B533&lt;=99991231),INT(Wages!$B533/10000),""),IFERROR(VALUE(TRIM(LEFT(Wages!$B533,FIND("/",Wages!$B533)-1))),"")))</f>
        <v/>
      </c>
      <c r="D530">
        <f>IF(OR($A530="",$C530=""),"",IF(ISNUMBER(Wages!$B533),INT(MOD(Wages!$B533,10000)/100),IFERROR(VALUE(TRIM(LEFT(MID(Wages!$B533,FIND("/",Wages!$B533)+1,20),FIND("/",MID(Wages!$B533,FIND("/",Wages!$B533)+1,20))-1))),"")))</f>
        <v/>
      </c>
      <c r="E530">
        <f>IF(OR($A530="",$C530=""),"",IF(ISNUMBER(Wages!$B533),MOD(Wages!$B533,100),IFERROR(VALUE(TRIM(MID(MID(Wages!$B533,FIND("/",Wages!$B533)+1,20),FIND("/",MID(Wages!$B533,FIND("/",Wages!$B533)+1,20))+1,20))),"")))</f>
        <v/>
      </c>
      <c r="F530">
        <f>IF($A530="","",IF(OR($C530="",$D530="",$E530="",$C530&lt;1300,$C530&gt;1500,$D530&lt;1,$D530&gt;12,$E530&lt;1,$E530&gt;31),"نامعتبر",RIGHT("0000"&amp;$C530,4)&amp;"/"&amp;RIGHT("00"&amp;$D530,2)&amp;"/"&amp;RIGHT("00"&amp;$E530,2)))</f>
        <v/>
      </c>
      <c r="G530">
        <f>IF(OR($A530="",$F530="",$F530="نامعتبر"),"",LEFT($F530,4)&amp;MID($F530,6,2)&amp;RIGHT($F530,2)&amp;"0000"&amp;"|"&amp;"1"&amp;RIGHT("00000"&amp;525,5))</f>
        <v/>
      </c>
      <c r="H530">
        <f>IF(OR($B530&lt;&gt;1,$G530=""),"",COUNTIFS(LdAParty,$A530,LdAType,1,LdAKey,"&lt;"&amp;$G530)+COUNTIFS(LdBMember,$A530,LdBKey,"&lt;"&amp;$G530)+COUNTIFS(LdCParty,$A530,LdCKey,"&lt;"&amp;$G530)+1)</f>
        <v/>
      </c>
      <c r="I530">
        <f>IF($H530="","",$A530&amp;"|"&amp;RIGHT("000000"&amp;$H530,6))</f>
        <v/>
      </c>
      <c r="J530">
        <f>IF(OR($B530&lt;&gt;2,$G530=""),"",COUNTIFS(LdAParty,$A530,LdAType,2,LdAKey,"&lt;"&amp;$G530)+1)</f>
        <v/>
      </c>
      <c r="K530">
        <f>IF($J530="","",$A530&amp;"|"&amp;RIGHT("000000"&amp;$J530,6))</f>
        <v/>
      </c>
      <c r="L530">
        <f>IF($A530="","",IF(Wages!$G533="",0,Wages!$G533))</f>
        <v/>
      </c>
      <c r="M530">
        <f>IF($A530="","",Wages!$J533)</f>
        <v/>
      </c>
      <c r="N530">
        <f>IF($A530="","",Wages!$D533)</f>
        <v/>
      </c>
      <c r="P530">
        <f>IF(OR(Shares!$B533="",Shares!$C533=""),"",Shares!$C533)</f>
        <v/>
      </c>
      <c r="Q530">
        <f>IF($P530="","",Shares!$B533)</f>
        <v/>
      </c>
      <c r="R530">
        <f>IF($P530="","",IFERROR(INDEX(WageParty,MATCH($Q530,WageIds,0)),""))</f>
        <v/>
      </c>
      <c r="S530">
        <f>IF($P530="","",IFERROR(INDEX($F$6:$F$2005,MATCH($Q530,WageIds,0)),""))</f>
        <v/>
      </c>
      <c r="T530">
        <f>IF(OR($P530="",$S530="",$S530="نامعتبر"),"",LEFT($S530,4)&amp;MID($S530,6,2)&amp;RIGHT($S530,2)&amp;"0000"&amp;"|"&amp;"2"&amp;RIGHT("00000"&amp;525,5))</f>
        <v/>
      </c>
      <c r="U530">
        <f>IF($T530="","",COUNTIFS(LdAParty,$P530,LdAType,1,LdAKey,"&lt;"&amp;$T530)+COUNTIFS(LdBMember,$P530,LdBKey,"&lt;"&amp;$T530)+COUNTIFS(LdCParty,$P530,LdCKey,"&lt;"&amp;$T530)+1)</f>
        <v/>
      </c>
      <c r="V530">
        <f>IF($U530="","",$P530&amp;"|"&amp;RIGHT("000000"&amp;$U530,6))</f>
        <v/>
      </c>
      <c r="W530">
        <f>IF($T530="","",COUNTIFS(LdBGroup,$R530,LdBKey,"&lt;"&amp;$T530)+1)</f>
        <v/>
      </c>
      <c r="X530">
        <f>IF($W530="","",$R530&amp;"|"&amp;RIGHT("000000"&amp;$W530,6))</f>
        <v/>
      </c>
      <c r="Y530">
        <f>IF($P530="","",IF(Shares!$E533="",0,Shares!$E533))</f>
        <v/>
      </c>
      <c r="Z530">
        <f>IF($P530="","",Shares!$H533)</f>
        <v/>
      </c>
      <c r="AE530">
        <f>IF(OR(Sync!$S530="",Sync!$P530=""),"",Sync!$S530)</f>
        <v/>
      </c>
      <c r="AF530">
        <f>IF($AE530="","",IF(ISNUMBER(Sync!$P530),IF(AND(Sync!$P530&gt;=10000101,Sync!$P530&lt;=99991231),INT(Sync!$P530/10000),""),IFERROR(VALUE(TRIM(LEFT(Sync!$P530,FIND("/",Sync!$P530)-1))),"")))</f>
        <v/>
      </c>
      <c r="AG530">
        <f>IF(OR($AE530="",$AF530=""),"",IF(ISNUMBER(Sync!$P530),INT(MOD(Sync!$P530,10000)/100),IFERROR(VALUE(TRIM(LEFT(MID(Sync!$P530,FIND("/",Sync!$P530)+1,20),FIND("/",MID(Sync!$P530,FIND("/",Sync!$P530)+1,20))-1))),"")))</f>
        <v/>
      </c>
      <c r="AH530">
        <f>IF(OR($AE530="",$AF530=""),"",IF(ISNUMBER(Sync!$P530),MOD(Sync!$P530,100),IFERROR(VALUE(TRIM(MID(MID(Sync!$P530,FIND("/",Sync!$P530)+1,20),FIND("/",MID(Sync!$P530,FIND("/",Sync!$P530)+1,20))+1,20))),"")))</f>
        <v/>
      </c>
      <c r="AI530">
        <f>IF($AE530="","",IF(OR($AF530="",$AG530="",$AH530="",$AF530&lt;1300,$AF530&gt;1500,$AG530&lt;1,$AG530&gt;12,$AH530&lt;1,$AH530&gt;31),"نامعتبر",RIGHT("0000"&amp;$AF530,4)&amp;"/"&amp;RIGHT("00"&amp;$AG530,2)&amp;"/"&amp;RIGHT("00"&amp;$AH530,2)))</f>
        <v/>
      </c>
      <c r="AJ530">
        <f>IF($AE530="","",IF(Sync!$Q530="","0000",IF(AND(ISNUMBER(Sync!$Q530),Sync!$Q530&gt;=0,Sync!$Q530&lt;1),RIGHT("00"&amp;HOUR(Sync!$Q530),2)&amp;RIGHT("00"&amp;MINUTE(Sync!$Q530),2),IFERROR(RIGHT("00"&amp;VALUE(LEFT(Sync!$Q530,FIND(":",Sync!$Q530)-1)),2)&amp;RIGHT("00"&amp;VALUE(MID(Sync!$Q530,FIND(":",Sync!$Q530)+1,2)),2),"0000"))))</f>
        <v/>
      </c>
      <c r="AK530">
        <f>IF(OR($AE530="",$AI530="",$AI530="نامعتبر"),"",LEFT($AI530,4)&amp;MID($AI530,6,2)&amp;RIGHT($AI530,2)&amp;$AJ530&amp;"|"&amp;"3"&amp;RIGHT("00000"&amp;525,5))</f>
        <v/>
      </c>
      <c r="AL530">
        <f>IF($AK530="","",COUNTIFS(LdAParty,$AE530,LdAType,1,LdAKey,"&lt;"&amp;$AK530)+COUNTIFS(LdBMember,$AE530,LdBKey,"&lt;"&amp;$AK530)+COUNTIFS(LdCParty,$AE530,LdCKey,"&lt;"&amp;$AK530)+1)</f>
        <v/>
      </c>
      <c r="AM530">
        <f>IF($AL530="","",$AE530&amp;"|"&amp;RIGHT("000000"&amp;$AL530,6))</f>
        <v/>
      </c>
      <c r="AN530">
        <f>IF($AE530="","",IF(Sync!$W530="",0,Sync!$W530))</f>
        <v/>
      </c>
      <c r="AO530">
        <f>IF($AE530="","",IF(Sync!$X530="",0,Sync!$X530))</f>
        <v/>
      </c>
      <c r="AP530">
        <f>IF($AE530="","",Sync!$R530)</f>
        <v/>
      </c>
      <c r="AQ530">
        <f>IF($AE530="","",Sync!$Y530)</f>
        <v/>
      </c>
    </row>
    <row r="531">
      <c r="A531">
        <f>IF(OR(Wages!$B534="",Wages!$E534=""),"",Wages!$E534)</f>
        <v/>
      </c>
      <c r="B531">
        <f>IF($A531="","",IF(Wages!$C534="دستمزد گروهی",2,1))</f>
        <v/>
      </c>
      <c r="C531">
        <f>IF($A531="","",IF(ISNUMBER(Wages!$B534),IF(AND(Wages!$B534&gt;=10000101,Wages!$B534&lt;=99991231),INT(Wages!$B534/10000),""),IFERROR(VALUE(TRIM(LEFT(Wages!$B534,FIND("/",Wages!$B534)-1))),"")))</f>
        <v/>
      </c>
      <c r="D531">
        <f>IF(OR($A531="",$C531=""),"",IF(ISNUMBER(Wages!$B534),INT(MOD(Wages!$B534,10000)/100),IFERROR(VALUE(TRIM(LEFT(MID(Wages!$B534,FIND("/",Wages!$B534)+1,20),FIND("/",MID(Wages!$B534,FIND("/",Wages!$B534)+1,20))-1))),"")))</f>
        <v/>
      </c>
      <c r="E531">
        <f>IF(OR($A531="",$C531=""),"",IF(ISNUMBER(Wages!$B534),MOD(Wages!$B534,100),IFERROR(VALUE(TRIM(MID(MID(Wages!$B534,FIND("/",Wages!$B534)+1,20),FIND("/",MID(Wages!$B534,FIND("/",Wages!$B534)+1,20))+1,20))),"")))</f>
        <v/>
      </c>
      <c r="F531">
        <f>IF($A531="","",IF(OR($C531="",$D531="",$E531="",$C531&lt;1300,$C531&gt;1500,$D531&lt;1,$D531&gt;12,$E531&lt;1,$E531&gt;31),"نامعتبر",RIGHT("0000"&amp;$C531,4)&amp;"/"&amp;RIGHT("00"&amp;$D531,2)&amp;"/"&amp;RIGHT("00"&amp;$E531,2)))</f>
        <v/>
      </c>
      <c r="G531">
        <f>IF(OR($A531="",$F531="",$F531="نامعتبر"),"",LEFT($F531,4)&amp;MID($F531,6,2)&amp;RIGHT($F531,2)&amp;"0000"&amp;"|"&amp;"1"&amp;RIGHT("00000"&amp;526,5))</f>
        <v/>
      </c>
      <c r="H531">
        <f>IF(OR($B531&lt;&gt;1,$G531=""),"",COUNTIFS(LdAParty,$A531,LdAType,1,LdAKey,"&lt;"&amp;$G531)+COUNTIFS(LdBMember,$A531,LdBKey,"&lt;"&amp;$G531)+COUNTIFS(LdCParty,$A531,LdCKey,"&lt;"&amp;$G531)+1)</f>
        <v/>
      </c>
      <c r="I531">
        <f>IF($H531="","",$A531&amp;"|"&amp;RIGHT("000000"&amp;$H531,6))</f>
        <v/>
      </c>
      <c r="J531">
        <f>IF(OR($B531&lt;&gt;2,$G531=""),"",COUNTIFS(LdAParty,$A531,LdAType,2,LdAKey,"&lt;"&amp;$G531)+1)</f>
        <v/>
      </c>
      <c r="K531">
        <f>IF($J531="","",$A531&amp;"|"&amp;RIGHT("000000"&amp;$J531,6))</f>
        <v/>
      </c>
      <c r="L531">
        <f>IF($A531="","",IF(Wages!$G534="",0,Wages!$G534))</f>
        <v/>
      </c>
      <c r="M531">
        <f>IF($A531="","",Wages!$J534)</f>
        <v/>
      </c>
      <c r="N531">
        <f>IF($A531="","",Wages!$D534)</f>
        <v/>
      </c>
      <c r="P531">
        <f>IF(OR(Shares!$B534="",Shares!$C534=""),"",Shares!$C534)</f>
        <v/>
      </c>
      <c r="Q531">
        <f>IF($P531="","",Shares!$B534)</f>
        <v/>
      </c>
      <c r="R531">
        <f>IF($P531="","",IFERROR(INDEX(WageParty,MATCH($Q531,WageIds,0)),""))</f>
        <v/>
      </c>
      <c r="S531">
        <f>IF($P531="","",IFERROR(INDEX($F$6:$F$2005,MATCH($Q531,WageIds,0)),""))</f>
        <v/>
      </c>
      <c r="T531">
        <f>IF(OR($P531="",$S531="",$S531="نامعتبر"),"",LEFT($S531,4)&amp;MID($S531,6,2)&amp;RIGHT($S531,2)&amp;"0000"&amp;"|"&amp;"2"&amp;RIGHT("00000"&amp;526,5))</f>
        <v/>
      </c>
      <c r="U531">
        <f>IF($T531="","",COUNTIFS(LdAParty,$P531,LdAType,1,LdAKey,"&lt;"&amp;$T531)+COUNTIFS(LdBMember,$P531,LdBKey,"&lt;"&amp;$T531)+COUNTIFS(LdCParty,$P531,LdCKey,"&lt;"&amp;$T531)+1)</f>
        <v/>
      </c>
      <c r="V531">
        <f>IF($U531="","",$P531&amp;"|"&amp;RIGHT("000000"&amp;$U531,6))</f>
        <v/>
      </c>
      <c r="W531">
        <f>IF($T531="","",COUNTIFS(LdBGroup,$R531,LdBKey,"&lt;"&amp;$T531)+1)</f>
        <v/>
      </c>
      <c r="X531">
        <f>IF($W531="","",$R531&amp;"|"&amp;RIGHT("000000"&amp;$W531,6))</f>
        <v/>
      </c>
      <c r="Y531">
        <f>IF($P531="","",IF(Shares!$E534="",0,Shares!$E534))</f>
        <v/>
      </c>
      <c r="Z531">
        <f>IF($P531="","",Shares!$H534)</f>
        <v/>
      </c>
      <c r="AE531">
        <f>IF(OR(Sync!$S531="",Sync!$P531=""),"",Sync!$S531)</f>
        <v/>
      </c>
      <c r="AF531">
        <f>IF($AE531="","",IF(ISNUMBER(Sync!$P531),IF(AND(Sync!$P531&gt;=10000101,Sync!$P531&lt;=99991231),INT(Sync!$P531/10000),""),IFERROR(VALUE(TRIM(LEFT(Sync!$P531,FIND("/",Sync!$P531)-1))),"")))</f>
        <v/>
      </c>
      <c r="AG531">
        <f>IF(OR($AE531="",$AF531=""),"",IF(ISNUMBER(Sync!$P531),INT(MOD(Sync!$P531,10000)/100),IFERROR(VALUE(TRIM(LEFT(MID(Sync!$P531,FIND("/",Sync!$P531)+1,20),FIND("/",MID(Sync!$P531,FIND("/",Sync!$P531)+1,20))-1))),"")))</f>
        <v/>
      </c>
      <c r="AH531">
        <f>IF(OR($AE531="",$AF531=""),"",IF(ISNUMBER(Sync!$P531),MOD(Sync!$P531,100),IFERROR(VALUE(TRIM(MID(MID(Sync!$P531,FIND("/",Sync!$P531)+1,20),FIND("/",MID(Sync!$P531,FIND("/",Sync!$P531)+1,20))+1,20))),"")))</f>
        <v/>
      </c>
      <c r="AI531">
        <f>IF($AE531="","",IF(OR($AF531="",$AG531="",$AH531="",$AF531&lt;1300,$AF531&gt;1500,$AG531&lt;1,$AG531&gt;12,$AH531&lt;1,$AH531&gt;31),"نامعتبر",RIGHT("0000"&amp;$AF531,4)&amp;"/"&amp;RIGHT("00"&amp;$AG531,2)&amp;"/"&amp;RIGHT("00"&amp;$AH531,2)))</f>
        <v/>
      </c>
      <c r="AJ531">
        <f>IF($AE531="","",IF(Sync!$Q531="","0000",IF(AND(ISNUMBER(Sync!$Q531),Sync!$Q531&gt;=0,Sync!$Q531&lt;1),RIGHT("00"&amp;HOUR(Sync!$Q531),2)&amp;RIGHT("00"&amp;MINUTE(Sync!$Q531),2),IFERROR(RIGHT("00"&amp;VALUE(LEFT(Sync!$Q531,FIND(":",Sync!$Q531)-1)),2)&amp;RIGHT("00"&amp;VALUE(MID(Sync!$Q531,FIND(":",Sync!$Q531)+1,2)),2),"0000"))))</f>
        <v/>
      </c>
      <c r="AK531">
        <f>IF(OR($AE531="",$AI531="",$AI531="نامعتبر"),"",LEFT($AI531,4)&amp;MID($AI531,6,2)&amp;RIGHT($AI531,2)&amp;$AJ531&amp;"|"&amp;"3"&amp;RIGHT("00000"&amp;526,5))</f>
        <v/>
      </c>
      <c r="AL531">
        <f>IF($AK531="","",COUNTIFS(LdAParty,$AE531,LdAType,1,LdAKey,"&lt;"&amp;$AK531)+COUNTIFS(LdBMember,$AE531,LdBKey,"&lt;"&amp;$AK531)+COUNTIFS(LdCParty,$AE531,LdCKey,"&lt;"&amp;$AK531)+1)</f>
        <v/>
      </c>
      <c r="AM531">
        <f>IF($AL531="","",$AE531&amp;"|"&amp;RIGHT("000000"&amp;$AL531,6))</f>
        <v/>
      </c>
      <c r="AN531">
        <f>IF($AE531="","",IF(Sync!$W531="",0,Sync!$W531))</f>
        <v/>
      </c>
      <c r="AO531">
        <f>IF($AE531="","",IF(Sync!$X531="",0,Sync!$X531))</f>
        <v/>
      </c>
      <c r="AP531">
        <f>IF($AE531="","",Sync!$R531)</f>
        <v/>
      </c>
      <c r="AQ531">
        <f>IF($AE531="","",Sync!$Y531)</f>
        <v/>
      </c>
    </row>
    <row r="532">
      <c r="A532">
        <f>IF(OR(Wages!$B535="",Wages!$E535=""),"",Wages!$E535)</f>
        <v/>
      </c>
      <c r="B532">
        <f>IF($A532="","",IF(Wages!$C535="دستمزد گروهی",2,1))</f>
        <v/>
      </c>
      <c r="C532">
        <f>IF($A532="","",IF(ISNUMBER(Wages!$B535),IF(AND(Wages!$B535&gt;=10000101,Wages!$B535&lt;=99991231),INT(Wages!$B535/10000),""),IFERROR(VALUE(TRIM(LEFT(Wages!$B535,FIND("/",Wages!$B535)-1))),"")))</f>
        <v/>
      </c>
      <c r="D532">
        <f>IF(OR($A532="",$C532=""),"",IF(ISNUMBER(Wages!$B535),INT(MOD(Wages!$B535,10000)/100),IFERROR(VALUE(TRIM(LEFT(MID(Wages!$B535,FIND("/",Wages!$B535)+1,20),FIND("/",MID(Wages!$B535,FIND("/",Wages!$B535)+1,20))-1))),"")))</f>
        <v/>
      </c>
      <c r="E532">
        <f>IF(OR($A532="",$C532=""),"",IF(ISNUMBER(Wages!$B535),MOD(Wages!$B535,100),IFERROR(VALUE(TRIM(MID(MID(Wages!$B535,FIND("/",Wages!$B535)+1,20),FIND("/",MID(Wages!$B535,FIND("/",Wages!$B535)+1,20))+1,20))),"")))</f>
        <v/>
      </c>
      <c r="F532">
        <f>IF($A532="","",IF(OR($C532="",$D532="",$E532="",$C532&lt;1300,$C532&gt;1500,$D532&lt;1,$D532&gt;12,$E532&lt;1,$E532&gt;31),"نامعتبر",RIGHT("0000"&amp;$C532,4)&amp;"/"&amp;RIGHT("00"&amp;$D532,2)&amp;"/"&amp;RIGHT("00"&amp;$E532,2)))</f>
        <v/>
      </c>
      <c r="G532">
        <f>IF(OR($A532="",$F532="",$F532="نامعتبر"),"",LEFT($F532,4)&amp;MID($F532,6,2)&amp;RIGHT($F532,2)&amp;"0000"&amp;"|"&amp;"1"&amp;RIGHT("00000"&amp;527,5))</f>
        <v/>
      </c>
      <c r="H532">
        <f>IF(OR($B532&lt;&gt;1,$G532=""),"",COUNTIFS(LdAParty,$A532,LdAType,1,LdAKey,"&lt;"&amp;$G532)+COUNTIFS(LdBMember,$A532,LdBKey,"&lt;"&amp;$G532)+COUNTIFS(LdCParty,$A532,LdCKey,"&lt;"&amp;$G532)+1)</f>
        <v/>
      </c>
      <c r="I532">
        <f>IF($H532="","",$A532&amp;"|"&amp;RIGHT("000000"&amp;$H532,6))</f>
        <v/>
      </c>
      <c r="J532">
        <f>IF(OR($B532&lt;&gt;2,$G532=""),"",COUNTIFS(LdAParty,$A532,LdAType,2,LdAKey,"&lt;"&amp;$G532)+1)</f>
        <v/>
      </c>
      <c r="K532">
        <f>IF($J532="","",$A532&amp;"|"&amp;RIGHT("000000"&amp;$J532,6))</f>
        <v/>
      </c>
      <c r="L532">
        <f>IF($A532="","",IF(Wages!$G535="",0,Wages!$G535))</f>
        <v/>
      </c>
      <c r="M532">
        <f>IF($A532="","",Wages!$J535)</f>
        <v/>
      </c>
      <c r="N532">
        <f>IF($A532="","",Wages!$D535)</f>
        <v/>
      </c>
      <c r="P532">
        <f>IF(OR(Shares!$B535="",Shares!$C535=""),"",Shares!$C535)</f>
        <v/>
      </c>
      <c r="Q532">
        <f>IF($P532="","",Shares!$B535)</f>
        <v/>
      </c>
      <c r="R532">
        <f>IF($P532="","",IFERROR(INDEX(WageParty,MATCH($Q532,WageIds,0)),""))</f>
        <v/>
      </c>
      <c r="S532">
        <f>IF($P532="","",IFERROR(INDEX($F$6:$F$2005,MATCH($Q532,WageIds,0)),""))</f>
        <v/>
      </c>
      <c r="T532">
        <f>IF(OR($P532="",$S532="",$S532="نامعتبر"),"",LEFT($S532,4)&amp;MID($S532,6,2)&amp;RIGHT($S532,2)&amp;"0000"&amp;"|"&amp;"2"&amp;RIGHT("00000"&amp;527,5))</f>
        <v/>
      </c>
      <c r="U532">
        <f>IF($T532="","",COUNTIFS(LdAParty,$P532,LdAType,1,LdAKey,"&lt;"&amp;$T532)+COUNTIFS(LdBMember,$P532,LdBKey,"&lt;"&amp;$T532)+COUNTIFS(LdCParty,$P532,LdCKey,"&lt;"&amp;$T532)+1)</f>
        <v/>
      </c>
      <c r="V532">
        <f>IF($U532="","",$P532&amp;"|"&amp;RIGHT("000000"&amp;$U532,6))</f>
        <v/>
      </c>
      <c r="W532">
        <f>IF($T532="","",COUNTIFS(LdBGroup,$R532,LdBKey,"&lt;"&amp;$T532)+1)</f>
        <v/>
      </c>
      <c r="X532">
        <f>IF($W532="","",$R532&amp;"|"&amp;RIGHT("000000"&amp;$W532,6))</f>
        <v/>
      </c>
      <c r="Y532">
        <f>IF($P532="","",IF(Shares!$E535="",0,Shares!$E535))</f>
        <v/>
      </c>
      <c r="Z532">
        <f>IF($P532="","",Shares!$H535)</f>
        <v/>
      </c>
      <c r="AE532">
        <f>IF(OR(Sync!$S532="",Sync!$P532=""),"",Sync!$S532)</f>
        <v/>
      </c>
      <c r="AF532">
        <f>IF($AE532="","",IF(ISNUMBER(Sync!$P532),IF(AND(Sync!$P532&gt;=10000101,Sync!$P532&lt;=99991231),INT(Sync!$P532/10000),""),IFERROR(VALUE(TRIM(LEFT(Sync!$P532,FIND("/",Sync!$P532)-1))),"")))</f>
        <v/>
      </c>
      <c r="AG532">
        <f>IF(OR($AE532="",$AF532=""),"",IF(ISNUMBER(Sync!$P532),INT(MOD(Sync!$P532,10000)/100),IFERROR(VALUE(TRIM(LEFT(MID(Sync!$P532,FIND("/",Sync!$P532)+1,20),FIND("/",MID(Sync!$P532,FIND("/",Sync!$P532)+1,20))-1))),"")))</f>
        <v/>
      </c>
      <c r="AH532">
        <f>IF(OR($AE532="",$AF532=""),"",IF(ISNUMBER(Sync!$P532),MOD(Sync!$P532,100),IFERROR(VALUE(TRIM(MID(MID(Sync!$P532,FIND("/",Sync!$P532)+1,20),FIND("/",MID(Sync!$P532,FIND("/",Sync!$P532)+1,20))+1,20))),"")))</f>
        <v/>
      </c>
      <c r="AI532">
        <f>IF($AE532="","",IF(OR($AF532="",$AG532="",$AH532="",$AF532&lt;1300,$AF532&gt;1500,$AG532&lt;1,$AG532&gt;12,$AH532&lt;1,$AH532&gt;31),"نامعتبر",RIGHT("0000"&amp;$AF532,4)&amp;"/"&amp;RIGHT("00"&amp;$AG532,2)&amp;"/"&amp;RIGHT("00"&amp;$AH532,2)))</f>
        <v/>
      </c>
      <c r="AJ532">
        <f>IF($AE532="","",IF(Sync!$Q532="","0000",IF(AND(ISNUMBER(Sync!$Q532),Sync!$Q532&gt;=0,Sync!$Q532&lt;1),RIGHT("00"&amp;HOUR(Sync!$Q532),2)&amp;RIGHT("00"&amp;MINUTE(Sync!$Q532),2),IFERROR(RIGHT("00"&amp;VALUE(LEFT(Sync!$Q532,FIND(":",Sync!$Q532)-1)),2)&amp;RIGHT("00"&amp;VALUE(MID(Sync!$Q532,FIND(":",Sync!$Q532)+1,2)),2),"0000"))))</f>
        <v/>
      </c>
      <c r="AK532">
        <f>IF(OR($AE532="",$AI532="",$AI532="نامعتبر"),"",LEFT($AI532,4)&amp;MID($AI532,6,2)&amp;RIGHT($AI532,2)&amp;$AJ532&amp;"|"&amp;"3"&amp;RIGHT("00000"&amp;527,5))</f>
        <v/>
      </c>
      <c r="AL532">
        <f>IF($AK532="","",COUNTIFS(LdAParty,$AE532,LdAType,1,LdAKey,"&lt;"&amp;$AK532)+COUNTIFS(LdBMember,$AE532,LdBKey,"&lt;"&amp;$AK532)+COUNTIFS(LdCParty,$AE532,LdCKey,"&lt;"&amp;$AK532)+1)</f>
        <v/>
      </c>
      <c r="AM532">
        <f>IF($AL532="","",$AE532&amp;"|"&amp;RIGHT("000000"&amp;$AL532,6))</f>
        <v/>
      </c>
      <c r="AN532">
        <f>IF($AE532="","",IF(Sync!$W532="",0,Sync!$W532))</f>
        <v/>
      </c>
      <c r="AO532">
        <f>IF($AE532="","",IF(Sync!$X532="",0,Sync!$X532))</f>
        <v/>
      </c>
      <c r="AP532">
        <f>IF($AE532="","",Sync!$R532)</f>
        <v/>
      </c>
      <c r="AQ532">
        <f>IF($AE532="","",Sync!$Y532)</f>
        <v/>
      </c>
    </row>
    <row r="533">
      <c r="A533">
        <f>IF(OR(Wages!$B536="",Wages!$E536=""),"",Wages!$E536)</f>
        <v/>
      </c>
      <c r="B533">
        <f>IF($A533="","",IF(Wages!$C536="دستمزد گروهی",2,1))</f>
        <v/>
      </c>
      <c r="C533">
        <f>IF($A533="","",IF(ISNUMBER(Wages!$B536),IF(AND(Wages!$B536&gt;=10000101,Wages!$B536&lt;=99991231),INT(Wages!$B536/10000),""),IFERROR(VALUE(TRIM(LEFT(Wages!$B536,FIND("/",Wages!$B536)-1))),"")))</f>
        <v/>
      </c>
      <c r="D533">
        <f>IF(OR($A533="",$C533=""),"",IF(ISNUMBER(Wages!$B536),INT(MOD(Wages!$B536,10000)/100),IFERROR(VALUE(TRIM(LEFT(MID(Wages!$B536,FIND("/",Wages!$B536)+1,20),FIND("/",MID(Wages!$B536,FIND("/",Wages!$B536)+1,20))-1))),"")))</f>
        <v/>
      </c>
      <c r="E533">
        <f>IF(OR($A533="",$C533=""),"",IF(ISNUMBER(Wages!$B536),MOD(Wages!$B536,100),IFERROR(VALUE(TRIM(MID(MID(Wages!$B536,FIND("/",Wages!$B536)+1,20),FIND("/",MID(Wages!$B536,FIND("/",Wages!$B536)+1,20))+1,20))),"")))</f>
        <v/>
      </c>
      <c r="F533">
        <f>IF($A533="","",IF(OR($C533="",$D533="",$E533="",$C533&lt;1300,$C533&gt;1500,$D533&lt;1,$D533&gt;12,$E533&lt;1,$E533&gt;31),"نامعتبر",RIGHT("0000"&amp;$C533,4)&amp;"/"&amp;RIGHT("00"&amp;$D533,2)&amp;"/"&amp;RIGHT("00"&amp;$E533,2)))</f>
        <v/>
      </c>
      <c r="G533">
        <f>IF(OR($A533="",$F533="",$F533="نامعتبر"),"",LEFT($F533,4)&amp;MID($F533,6,2)&amp;RIGHT($F533,2)&amp;"0000"&amp;"|"&amp;"1"&amp;RIGHT("00000"&amp;528,5))</f>
        <v/>
      </c>
      <c r="H533">
        <f>IF(OR($B533&lt;&gt;1,$G533=""),"",COUNTIFS(LdAParty,$A533,LdAType,1,LdAKey,"&lt;"&amp;$G533)+COUNTIFS(LdBMember,$A533,LdBKey,"&lt;"&amp;$G533)+COUNTIFS(LdCParty,$A533,LdCKey,"&lt;"&amp;$G533)+1)</f>
        <v/>
      </c>
      <c r="I533">
        <f>IF($H533="","",$A533&amp;"|"&amp;RIGHT("000000"&amp;$H533,6))</f>
        <v/>
      </c>
      <c r="J533">
        <f>IF(OR($B533&lt;&gt;2,$G533=""),"",COUNTIFS(LdAParty,$A533,LdAType,2,LdAKey,"&lt;"&amp;$G533)+1)</f>
        <v/>
      </c>
      <c r="K533">
        <f>IF($J533="","",$A533&amp;"|"&amp;RIGHT("000000"&amp;$J533,6))</f>
        <v/>
      </c>
      <c r="L533">
        <f>IF($A533="","",IF(Wages!$G536="",0,Wages!$G536))</f>
        <v/>
      </c>
      <c r="M533">
        <f>IF($A533="","",Wages!$J536)</f>
        <v/>
      </c>
      <c r="N533">
        <f>IF($A533="","",Wages!$D536)</f>
        <v/>
      </c>
      <c r="P533">
        <f>IF(OR(Shares!$B536="",Shares!$C536=""),"",Shares!$C536)</f>
        <v/>
      </c>
      <c r="Q533">
        <f>IF($P533="","",Shares!$B536)</f>
        <v/>
      </c>
      <c r="R533">
        <f>IF($P533="","",IFERROR(INDEX(WageParty,MATCH($Q533,WageIds,0)),""))</f>
        <v/>
      </c>
      <c r="S533">
        <f>IF($P533="","",IFERROR(INDEX($F$6:$F$2005,MATCH($Q533,WageIds,0)),""))</f>
        <v/>
      </c>
      <c r="T533">
        <f>IF(OR($P533="",$S533="",$S533="نامعتبر"),"",LEFT($S533,4)&amp;MID($S533,6,2)&amp;RIGHT($S533,2)&amp;"0000"&amp;"|"&amp;"2"&amp;RIGHT("00000"&amp;528,5))</f>
        <v/>
      </c>
      <c r="U533">
        <f>IF($T533="","",COUNTIFS(LdAParty,$P533,LdAType,1,LdAKey,"&lt;"&amp;$T533)+COUNTIFS(LdBMember,$P533,LdBKey,"&lt;"&amp;$T533)+COUNTIFS(LdCParty,$P533,LdCKey,"&lt;"&amp;$T533)+1)</f>
        <v/>
      </c>
      <c r="V533">
        <f>IF($U533="","",$P533&amp;"|"&amp;RIGHT("000000"&amp;$U533,6))</f>
        <v/>
      </c>
      <c r="W533">
        <f>IF($T533="","",COUNTIFS(LdBGroup,$R533,LdBKey,"&lt;"&amp;$T533)+1)</f>
        <v/>
      </c>
      <c r="X533">
        <f>IF($W533="","",$R533&amp;"|"&amp;RIGHT("000000"&amp;$W533,6))</f>
        <v/>
      </c>
      <c r="Y533">
        <f>IF($P533="","",IF(Shares!$E536="",0,Shares!$E536))</f>
        <v/>
      </c>
      <c r="Z533">
        <f>IF($P533="","",Shares!$H536)</f>
        <v/>
      </c>
      <c r="AE533">
        <f>IF(OR(Sync!$S533="",Sync!$P533=""),"",Sync!$S533)</f>
        <v/>
      </c>
      <c r="AF533">
        <f>IF($AE533="","",IF(ISNUMBER(Sync!$P533),IF(AND(Sync!$P533&gt;=10000101,Sync!$P533&lt;=99991231),INT(Sync!$P533/10000),""),IFERROR(VALUE(TRIM(LEFT(Sync!$P533,FIND("/",Sync!$P533)-1))),"")))</f>
        <v/>
      </c>
      <c r="AG533">
        <f>IF(OR($AE533="",$AF533=""),"",IF(ISNUMBER(Sync!$P533),INT(MOD(Sync!$P533,10000)/100),IFERROR(VALUE(TRIM(LEFT(MID(Sync!$P533,FIND("/",Sync!$P533)+1,20),FIND("/",MID(Sync!$P533,FIND("/",Sync!$P533)+1,20))-1))),"")))</f>
        <v/>
      </c>
      <c r="AH533">
        <f>IF(OR($AE533="",$AF533=""),"",IF(ISNUMBER(Sync!$P533),MOD(Sync!$P533,100),IFERROR(VALUE(TRIM(MID(MID(Sync!$P533,FIND("/",Sync!$P533)+1,20),FIND("/",MID(Sync!$P533,FIND("/",Sync!$P533)+1,20))+1,20))),"")))</f>
        <v/>
      </c>
      <c r="AI533">
        <f>IF($AE533="","",IF(OR($AF533="",$AG533="",$AH533="",$AF533&lt;1300,$AF533&gt;1500,$AG533&lt;1,$AG533&gt;12,$AH533&lt;1,$AH533&gt;31),"نامعتبر",RIGHT("0000"&amp;$AF533,4)&amp;"/"&amp;RIGHT("00"&amp;$AG533,2)&amp;"/"&amp;RIGHT("00"&amp;$AH533,2)))</f>
        <v/>
      </c>
      <c r="AJ533">
        <f>IF($AE533="","",IF(Sync!$Q533="","0000",IF(AND(ISNUMBER(Sync!$Q533),Sync!$Q533&gt;=0,Sync!$Q533&lt;1),RIGHT("00"&amp;HOUR(Sync!$Q533),2)&amp;RIGHT("00"&amp;MINUTE(Sync!$Q533),2),IFERROR(RIGHT("00"&amp;VALUE(LEFT(Sync!$Q533,FIND(":",Sync!$Q533)-1)),2)&amp;RIGHT("00"&amp;VALUE(MID(Sync!$Q533,FIND(":",Sync!$Q533)+1,2)),2),"0000"))))</f>
        <v/>
      </c>
      <c r="AK533">
        <f>IF(OR($AE533="",$AI533="",$AI533="نامعتبر"),"",LEFT($AI533,4)&amp;MID($AI533,6,2)&amp;RIGHT($AI533,2)&amp;$AJ533&amp;"|"&amp;"3"&amp;RIGHT("00000"&amp;528,5))</f>
        <v/>
      </c>
      <c r="AL533">
        <f>IF($AK533="","",COUNTIFS(LdAParty,$AE533,LdAType,1,LdAKey,"&lt;"&amp;$AK533)+COUNTIFS(LdBMember,$AE533,LdBKey,"&lt;"&amp;$AK533)+COUNTIFS(LdCParty,$AE533,LdCKey,"&lt;"&amp;$AK533)+1)</f>
        <v/>
      </c>
      <c r="AM533">
        <f>IF($AL533="","",$AE533&amp;"|"&amp;RIGHT("000000"&amp;$AL533,6))</f>
        <v/>
      </c>
      <c r="AN533">
        <f>IF($AE533="","",IF(Sync!$W533="",0,Sync!$W533))</f>
        <v/>
      </c>
      <c r="AO533">
        <f>IF($AE533="","",IF(Sync!$X533="",0,Sync!$X533))</f>
        <v/>
      </c>
      <c r="AP533">
        <f>IF($AE533="","",Sync!$R533)</f>
        <v/>
      </c>
      <c r="AQ533">
        <f>IF($AE533="","",Sync!$Y533)</f>
        <v/>
      </c>
    </row>
    <row r="534">
      <c r="A534">
        <f>IF(OR(Wages!$B537="",Wages!$E537=""),"",Wages!$E537)</f>
        <v/>
      </c>
      <c r="B534">
        <f>IF($A534="","",IF(Wages!$C537="دستمزد گروهی",2,1))</f>
        <v/>
      </c>
      <c r="C534">
        <f>IF($A534="","",IF(ISNUMBER(Wages!$B537),IF(AND(Wages!$B537&gt;=10000101,Wages!$B537&lt;=99991231),INT(Wages!$B537/10000),""),IFERROR(VALUE(TRIM(LEFT(Wages!$B537,FIND("/",Wages!$B537)-1))),"")))</f>
        <v/>
      </c>
      <c r="D534">
        <f>IF(OR($A534="",$C534=""),"",IF(ISNUMBER(Wages!$B537),INT(MOD(Wages!$B537,10000)/100),IFERROR(VALUE(TRIM(LEFT(MID(Wages!$B537,FIND("/",Wages!$B537)+1,20),FIND("/",MID(Wages!$B537,FIND("/",Wages!$B537)+1,20))-1))),"")))</f>
        <v/>
      </c>
      <c r="E534">
        <f>IF(OR($A534="",$C534=""),"",IF(ISNUMBER(Wages!$B537),MOD(Wages!$B537,100),IFERROR(VALUE(TRIM(MID(MID(Wages!$B537,FIND("/",Wages!$B537)+1,20),FIND("/",MID(Wages!$B537,FIND("/",Wages!$B537)+1,20))+1,20))),"")))</f>
        <v/>
      </c>
      <c r="F534">
        <f>IF($A534="","",IF(OR($C534="",$D534="",$E534="",$C534&lt;1300,$C534&gt;1500,$D534&lt;1,$D534&gt;12,$E534&lt;1,$E534&gt;31),"نامعتبر",RIGHT("0000"&amp;$C534,4)&amp;"/"&amp;RIGHT("00"&amp;$D534,2)&amp;"/"&amp;RIGHT("00"&amp;$E534,2)))</f>
        <v/>
      </c>
      <c r="G534">
        <f>IF(OR($A534="",$F534="",$F534="نامعتبر"),"",LEFT($F534,4)&amp;MID($F534,6,2)&amp;RIGHT($F534,2)&amp;"0000"&amp;"|"&amp;"1"&amp;RIGHT("00000"&amp;529,5))</f>
        <v/>
      </c>
      <c r="H534">
        <f>IF(OR($B534&lt;&gt;1,$G534=""),"",COUNTIFS(LdAParty,$A534,LdAType,1,LdAKey,"&lt;"&amp;$G534)+COUNTIFS(LdBMember,$A534,LdBKey,"&lt;"&amp;$G534)+COUNTIFS(LdCParty,$A534,LdCKey,"&lt;"&amp;$G534)+1)</f>
        <v/>
      </c>
      <c r="I534">
        <f>IF($H534="","",$A534&amp;"|"&amp;RIGHT("000000"&amp;$H534,6))</f>
        <v/>
      </c>
      <c r="J534">
        <f>IF(OR($B534&lt;&gt;2,$G534=""),"",COUNTIFS(LdAParty,$A534,LdAType,2,LdAKey,"&lt;"&amp;$G534)+1)</f>
        <v/>
      </c>
      <c r="K534">
        <f>IF($J534="","",$A534&amp;"|"&amp;RIGHT("000000"&amp;$J534,6))</f>
        <v/>
      </c>
      <c r="L534">
        <f>IF($A534="","",IF(Wages!$G537="",0,Wages!$G537))</f>
        <v/>
      </c>
      <c r="M534">
        <f>IF($A534="","",Wages!$J537)</f>
        <v/>
      </c>
      <c r="N534">
        <f>IF($A534="","",Wages!$D537)</f>
        <v/>
      </c>
      <c r="P534">
        <f>IF(OR(Shares!$B537="",Shares!$C537=""),"",Shares!$C537)</f>
        <v/>
      </c>
      <c r="Q534">
        <f>IF($P534="","",Shares!$B537)</f>
        <v/>
      </c>
      <c r="R534">
        <f>IF($P534="","",IFERROR(INDEX(WageParty,MATCH($Q534,WageIds,0)),""))</f>
        <v/>
      </c>
      <c r="S534">
        <f>IF($P534="","",IFERROR(INDEX($F$6:$F$2005,MATCH($Q534,WageIds,0)),""))</f>
        <v/>
      </c>
      <c r="T534">
        <f>IF(OR($P534="",$S534="",$S534="نامعتبر"),"",LEFT($S534,4)&amp;MID($S534,6,2)&amp;RIGHT($S534,2)&amp;"0000"&amp;"|"&amp;"2"&amp;RIGHT("00000"&amp;529,5))</f>
        <v/>
      </c>
      <c r="U534">
        <f>IF($T534="","",COUNTIFS(LdAParty,$P534,LdAType,1,LdAKey,"&lt;"&amp;$T534)+COUNTIFS(LdBMember,$P534,LdBKey,"&lt;"&amp;$T534)+COUNTIFS(LdCParty,$P534,LdCKey,"&lt;"&amp;$T534)+1)</f>
        <v/>
      </c>
      <c r="V534">
        <f>IF($U534="","",$P534&amp;"|"&amp;RIGHT("000000"&amp;$U534,6))</f>
        <v/>
      </c>
      <c r="W534">
        <f>IF($T534="","",COUNTIFS(LdBGroup,$R534,LdBKey,"&lt;"&amp;$T534)+1)</f>
        <v/>
      </c>
      <c r="X534">
        <f>IF($W534="","",$R534&amp;"|"&amp;RIGHT("000000"&amp;$W534,6))</f>
        <v/>
      </c>
      <c r="Y534">
        <f>IF($P534="","",IF(Shares!$E537="",0,Shares!$E537))</f>
        <v/>
      </c>
      <c r="Z534">
        <f>IF($P534="","",Shares!$H537)</f>
        <v/>
      </c>
      <c r="AE534">
        <f>IF(OR(Sync!$S534="",Sync!$P534=""),"",Sync!$S534)</f>
        <v/>
      </c>
      <c r="AF534">
        <f>IF($AE534="","",IF(ISNUMBER(Sync!$P534),IF(AND(Sync!$P534&gt;=10000101,Sync!$P534&lt;=99991231),INT(Sync!$P534/10000),""),IFERROR(VALUE(TRIM(LEFT(Sync!$P534,FIND("/",Sync!$P534)-1))),"")))</f>
        <v/>
      </c>
      <c r="AG534">
        <f>IF(OR($AE534="",$AF534=""),"",IF(ISNUMBER(Sync!$P534),INT(MOD(Sync!$P534,10000)/100),IFERROR(VALUE(TRIM(LEFT(MID(Sync!$P534,FIND("/",Sync!$P534)+1,20),FIND("/",MID(Sync!$P534,FIND("/",Sync!$P534)+1,20))-1))),"")))</f>
        <v/>
      </c>
      <c r="AH534">
        <f>IF(OR($AE534="",$AF534=""),"",IF(ISNUMBER(Sync!$P534),MOD(Sync!$P534,100),IFERROR(VALUE(TRIM(MID(MID(Sync!$P534,FIND("/",Sync!$P534)+1,20),FIND("/",MID(Sync!$P534,FIND("/",Sync!$P534)+1,20))+1,20))),"")))</f>
        <v/>
      </c>
      <c r="AI534">
        <f>IF($AE534="","",IF(OR($AF534="",$AG534="",$AH534="",$AF534&lt;1300,$AF534&gt;1500,$AG534&lt;1,$AG534&gt;12,$AH534&lt;1,$AH534&gt;31),"نامعتبر",RIGHT("0000"&amp;$AF534,4)&amp;"/"&amp;RIGHT("00"&amp;$AG534,2)&amp;"/"&amp;RIGHT("00"&amp;$AH534,2)))</f>
        <v/>
      </c>
      <c r="AJ534">
        <f>IF($AE534="","",IF(Sync!$Q534="","0000",IF(AND(ISNUMBER(Sync!$Q534),Sync!$Q534&gt;=0,Sync!$Q534&lt;1),RIGHT("00"&amp;HOUR(Sync!$Q534),2)&amp;RIGHT("00"&amp;MINUTE(Sync!$Q534),2),IFERROR(RIGHT("00"&amp;VALUE(LEFT(Sync!$Q534,FIND(":",Sync!$Q534)-1)),2)&amp;RIGHT("00"&amp;VALUE(MID(Sync!$Q534,FIND(":",Sync!$Q534)+1,2)),2),"0000"))))</f>
        <v/>
      </c>
      <c r="AK534">
        <f>IF(OR($AE534="",$AI534="",$AI534="نامعتبر"),"",LEFT($AI534,4)&amp;MID($AI534,6,2)&amp;RIGHT($AI534,2)&amp;$AJ534&amp;"|"&amp;"3"&amp;RIGHT("00000"&amp;529,5))</f>
        <v/>
      </c>
      <c r="AL534">
        <f>IF($AK534="","",COUNTIFS(LdAParty,$AE534,LdAType,1,LdAKey,"&lt;"&amp;$AK534)+COUNTIFS(LdBMember,$AE534,LdBKey,"&lt;"&amp;$AK534)+COUNTIFS(LdCParty,$AE534,LdCKey,"&lt;"&amp;$AK534)+1)</f>
        <v/>
      </c>
      <c r="AM534">
        <f>IF($AL534="","",$AE534&amp;"|"&amp;RIGHT("000000"&amp;$AL534,6))</f>
        <v/>
      </c>
      <c r="AN534">
        <f>IF($AE534="","",IF(Sync!$W534="",0,Sync!$W534))</f>
        <v/>
      </c>
      <c r="AO534">
        <f>IF($AE534="","",IF(Sync!$X534="",0,Sync!$X534))</f>
        <v/>
      </c>
      <c r="AP534">
        <f>IF($AE534="","",Sync!$R534)</f>
        <v/>
      </c>
      <c r="AQ534">
        <f>IF($AE534="","",Sync!$Y534)</f>
        <v/>
      </c>
    </row>
    <row r="535">
      <c r="A535">
        <f>IF(OR(Wages!$B538="",Wages!$E538=""),"",Wages!$E538)</f>
        <v/>
      </c>
      <c r="B535">
        <f>IF($A535="","",IF(Wages!$C538="دستمزد گروهی",2,1))</f>
        <v/>
      </c>
      <c r="C535">
        <f>IF($A535="","",IF(ISNUMBER(Wages!$B538),IF(AND(Wages!$B538&gt;=10000101,Wages!$B538&lt;=99991231),INT(Wages!$B538/10000),""),IFERROR(VALUE(TRIM(LEFT(Wages!$B538,FIND("/",Wages!$B538)-1))),"")))</f>
        <v/>
      </c>
      <c r="D535">
        <f>IF(OR($A535="",$C535=""),"",IF(ISNUMBER(Wages!$B538),INT(MOD(Wages!$B538,10000)/100),IFERROR(VALUE(TRIM(LEFT(MID(Wages!$B538,FIND("/",Wages!$B538)+1,20),FIND("/",MID(Wages!$B538,FIND("/",Wages!$B538)+1,20))-1))),"")))</f>
        <v/>
      </c>
      <c r="E535">
        <f>IF(OR($A535="",$C535=""),"",IF(ISNUMBER(Wages!$B538),MOD(Wages!$B538,100),IFERROR(VALUE(TRIM(MID(MID(Wages!$B538,FIND("/",Wages!$B538)+1,20),FIND("/",MID(Wages!$B538,FIND("/",Wages!$B538)+1,20))+1,20))),"")))</f>
        <v/>
      </c>
      <c r="F535">
        <f>IF($A535="","",IF(OR($C535="",$D535="",$E535="",$C535&lt;1300,$C535&gt;1500,$D535&lt;1,$D535&gt;12,$E535&lt;1,$E535&gt;31),"نامعتبر",RIGHT("0000"&amp;$C535,4)&amp;"/"&amp;RIGHT("00"&amp;$D535,2)&amp;"/"&amp;RIGHT("00"&amp;$E535,2)))</f>
        <v/>
      </c>
      <c r="G535">
        <f>IF(OR($A535="",$F535="",$F535="نامعتبر"),"",LEFT($F535,4)&amp;MID($F535,6,2)&amp;RIGHT($F535,2)&amp;"0000"&amp;"|"&amp;"1"&amp;RIGHT("00000"&amp;530,5))</f>
        <v/>
      </c>
      <c r="H535">
        <f>IF(OR($B535&lt;&gt;1,$G535=""),"",COUNTIFS(LdAParty,$A535,LdAType,1,LdAKey,"&lt;"&amp;$G535)+COUNTIFS(LdBMember,$A535,LdBKey,"&lt;"&amp;$G535)+COUNTIFS(LdCParty,$A535,LdCKey,"&lt;"&amp;$G535)+1)</f>
        <v/>
      </c>
      <c r="I535">
        <f>IF($H535="","",$A535&amp;"|"&amp;RIGHT("000000"&amp;$H535,6))</f>
        <v/>
      </c>
      <c r="J535">
        <f>IF(OR($B535&lt;&gt;2,$G535=""),"",COUNTIFS(LdAParty,$A535,LdAType,2,LdAKey,"&lt;"&amp;$G535)+1)</f>
        <v/>
      </c>
      <c r="K535">
        <f>IF($J535="","",$A535&amp;"|"&amp;RIGHT("000000"&amp;$J535,6))</f>
        <v/>
      </c>
      <c r="L535">
        <f>IF($A535="","",IF(Wages!$G538="",0,Wages!$G538))</f>
        <v/>
      </c>
      <c r="M535">
        <f>IF($A535="","",Wages!$J538)</f>
        <v/>
      </c>
      <c r="N535">
        <f>IF($A535="","",Wages!$D538)</f>
        <v/>
      </c>
      <c r="P535">
        <f>IF(OR(Shares!$B538="",Shares!$C538=""),"",Shares!$C538)</f>
        <v/>
      </c>
      <c r="Q535">
        <f>IF($P535="","",Shares!$B538)</f>
        <v/>
      </c>
      <c r="R535">
        <f>IF($P535="","",IFERROR(INDEX(WageParty,MATCH($Q535,WageIds,0)),""))</f>
        <v/>
      </c>
      <c r="S535">
        <f>IF($P535="","",IFERROR(INDEX($F$6:$F$2005,MATCH($Q535,WageIds,0)),""))</f>
        <v/>
      </c>
      <c r="T535">
        <f>IF(OR($P535="",$S535="",$S535="نامعتبر"),"",LEFT($S535,4)&amp;MID($S535,6,2)&amp;RIGHT($S535,2)&amp;"0000"&amp;"|"&amp;"2"&amp;RIGHT("00000"&amp;530,5))</f>
        <v/>
      </c>
      <c r="U535">
        <f>IF($T535="","",COUNTIFS(LdAParty,$P535,LdAType,1,LdAKey,"&lt;"&amp;$T535)+COUNTIFS(LdBMember,$P535,LdBKey,"&lt;"&amp;$T535)+COUNTIFS(LdCParty,$P535,LdCKey,"&lt;"&amp;$T535)+1)</f>
        <v/>
      </c>
      <c r="V535">
        <f>IF($U535="","",$P535&amp;"|"&amp;RIGHT("000000"&amp;$U535,6))</f>
        <v/>
      </c>
      <c r="W535">
        <f>IF($T535="","",COUNTIFS(LdBGroup,$R535,LdBKey,"&lt;"&amp;$T535)+1)</f>
        <v/>
      </c>
      <c r="X535">
        <f>IF($W535="","",$R535&amp;"|"&amp;RIGHT("000000"&amp;$W535,6))</f>
        <v/>
      </c>
      <c r="Y535">
        <f>IF($P535="","",IF(Shares!$E538="",0,Shares!$E538))</f>
        <v/>
      </c>
      <c r="Z535">
        <f>IF($P535="","",Shares!$H538)</f>
        <v/>
      </c>
      <c r="AE535">
        <f>IF(OR(Sync!$S535="",Sync!$P535=""),"",Sync!$S535)</f>
        <v/>
      </c>
      <c r="AF535">
        <f>IF($AE535="","",IF(ISNUMBER(Sync!$P535),IF(AND(Sync!$P535&gt;=10000101,Sync!$P535&lt;=99991231),INT(Sync!$P535/10000),""),IFERROR(VALUE(TRIM(LEFT(Sync!$P535,FIND("/",Sync!$P535)-1))),"")))</f>
        <v/>
      </c>
      <c r="AG535">
        <f>IF(OR($AE535="",$AF535=""),"",IF(ISNUMBER(Sync!$P535),INT(MOD(Sync!$P535,10000)/100),IFERROR(VALUE(TRIM(LEFT(MID(Sync!$P535,FIND("/",Sync!$P535)+1,20),FIND("/",MID(Sync!$P535,FIND("/",Sync!$P535)+1,20))-1))),"")))</f>
        <v/>
      </c>
      <c r="AH535">
        <f>IF(OR($AE535="",$AF535=""),"",IF(ISNUMBER(Sync!$P535),MOD(Sync!$P535,100),IFERROR(VALUE(TRIM(MID(MID(Sync!$P535,FIND("/",Sync!$P535)+1,20),FIND("/",MID(Sync!$P535,FIND("/",Sync!$P535)+1,20))+1,20))),"")))</f>
        <v/>
      </c>
      <c r="AI535">
        <f>IF($AE535="","",IF(OR($AF535="",$AG535="",$AH535="",$AF535&lt;1300,$AF535&gt;1500,$AG535&lt;1,$AG535&gt;12,$AH535&lt;1,$AH535&gt;31),"نامعتبر",RIGHT("0000"&amp;$AF535,4)&amp;"/"&amp;RIGHT("00"&amp;$AG535,2)&amp;"/"&amp;RIGHT("00"&amp;$AH535,2)))</f>
        <v/>
      </c>
      <c r="AJ535">
        <f>IF($AE535="","",IF(Sync!$Q535="","0000",IF(AND(ISNUMBER(Sync!$Q535),Sync!$Q535&gt;=0,Sync!$Q535&lt;1),RIGHT("00"&amp;HOUR(Sync!$Q535),2)&amp;RIGHT("00"&amp;MINUTE(Sync!$Q535),2),IFERROR(RIGHT("00"&amp;VALUE(LEFT(Sync!$Q535,FIND(":",Sync!$Q535)-1)),2)&amp;RIGHT("00"&amp;VALUE(MID(Sync!$Q535,FIND(":",Sync!$Q535)+1,2)),2),"0000"))))</f>
        <v/>
      </c>
      <c r="AK535">
        <f>IF(OR($AE535="",$AI535="",$AI535="نامعتبر"),"",LEFT($AI535,4)&amp;MID($AI535,6,2)&amp;RIGHT($AI535,2)&amp;$AJ535&amp;"|"&amp;"3"&amp;RIGHT("00000"&amp;530,5))</f>
        <v/>
      </c>
      <c r="AL535">
        <f>IF($AK535="","",COUNTIFS(LdAParty,$AE535,LdAType,1,LdAKey,"&lt;"&amp;$AK535)+COUNTIFS(LdBMember,$AE535,LdBKey,"&lt;"&amp;$AK535)+COUNTIFS(LdCParty,$AE535,LdCKey,"&lt;"&amp;$AK535)+1)</f>
        <v/>
      </c>
      <c r="AM535">
        <f>IF($AL535="","",$AE535&amp;"|"&amp;RIGHT("000000"&amp;$AL535,6))</f>
        <v/>
      </c>
      <c r="AN535">
        <f>IF($AE535="","",IF(Sync!$W535="",0,Sync!$W535))</f>
        <v/>
      </c>
      <c r="AO535">
        <f>IF($AE535="","",IF(Sync!$X535="",0,Sync!$X535))</f>
        <v/>
      </c>
      <c r="AP535">
        <f>IF($AE535="","",Sync!$R535)</f>
        <v/>
      </c>
      <c r="AQ535">
        <f>IF($AE535="","",Sync!$Y535)</f>
        <v/>
      </c>
    </row>
    <row r="536">
      <c r="A536">
        <f>IF(OR(Wages!$B539="",Wages!$E539=""),"",Wages!$E539)</f>
        <v/>
      </c>
      <c r="B536">
        <f>IF($A536="","",IF(Wages!$C539="دستمزد گروهی",2,1))</f>
        <v/>
      </c>
      <c r="C536">
        <f>IF($A536="","",IF(ISNUMBER(Wages!$B539),IF(AND(Wages!$B539&gt;=10000101,Wages!$B539&lt;=99991231),INT(Wages!$B539/10000),""),IFERROR(VALUE(TRIM(LEFT(Wages!$B539,FIND("/",Wages!$B539)-1))),"")))</f>
        <v/>
      </c>
      <c r="D536">
        <f>IF(OR($A536="",$C536=""),"",IF(ISNUMBER(Wages!$B539),INT(MOD(Wages!$B539,10000)/100),IFERROR(VALUE(TRIM(LEFT(MID(Wages!$B539,FIND("/",Wages!$B539)+1,20),FIND("/",MID(Wages!$B539,FIND("/",Wages!$B539)+1,20))-1))),"")))</f>
        <v/>
      </c>
      <c r="E536">
        <f>IF(OR($A536="",$C536=""),"",IF(ISNUMBER(Wages!$B539),MOD(Wages!$B539,100),IFERROR(VALUE(TRIM(MID(MID(Wages!$B539,FIND("/",Wages!$B539)+1,20),FIND("/",MID(Wages!$B539,FIND("/",Wages!$B539)+1,20))+1,20))),"")))</f>
        <v/>
      </c>
      <c r="F536">
        <f>IF($A536="","",IF(OR($C536="",$D536="",$E536="",$C536&lt;1300,$C536&gt;1500,$D536&lt;1,$D536&gt;12,$E536&lt;1,$E536&gt;31),"نامعتبر",RIGHT("0000"&amp;$C536,4)&amp;"/"&amp;RIGHT("00"&amp;$D536,2)&amp;"/"&amp;RIGHT("00"&amp;$E536,2)))</f>
        <v/>
      </c>
      <c r="G536">
        <f>IF(OR($A536="",$F536="",$F536="نامعتبر"),"",LEFT($F536,4)&amp;MID($F536,6,2)&amp;RIGHT($F536,2)&amp;"0000"&amp;"|"&amp;"1"&amp;RIGHT("00000"&amp;531,5))</f>
        <v/>
      </c>
      <c r="H536">
        <f>IF(OR($B536&lt;&gt;1,$G536=""),"",COUNTIFS(LdAParty,$A536,LdAType,1,LdAKey,"&lt;"&amp;$G536)+COUNTIFS(LdBMember,$A536,LdBKey,"&lt;"&amp;$G536)+COUNTIFS(LdCParty,$A536,LdCKey,"&lt;"&amp;$G536)+1)</f>
        <v/>
      </c>
      <c r="I536">
        <f>IF($H536="","",$A536&amp;"|"&amp;RIGHT("000000"&amp;$H536,6))</f>
        <v/>
      </c>
      <c r="J536">
        <f>IF(OR($B536&lt;&gt;2,$G536=""),"",COUNTIFS(LdAParty,$A536,LdAType,2,LdAKey,"&lt;"&amp;$G536)+1)</f>
        <v/>
      </c>
      <c r="K536">
        <f>IF($J536="","",$A536&amp;"|"&amp;RIGHT("000000"&amp;$J536,6))</f>
        <v/>
      </c>
      <c r="L536">
        <f>IF($A536="","",IF(Wages!$G539="",0,Wages!$G539))</f>
        <v/>
      </c>
      <c r="M536">
        <f>IF($A536="","",Wages!$J539)</f>
        <v/>
      </c>
      <c r="N536">
        <f>IF($A536="","",Wages!$D539)</f>
        <v/>
      </c>
      <c r="P536">
        <f>IF(OR(Shares!$B539="",Shares!$C539=""),"",Shares!$C539)</f>
        <v/>
      </c>
      <c r="Q536">
        <f>IF($P536="","",Shares!$B539)</f>
        <v/>
      </c>
      <c r="R536">
        <f>IF($P536="","",IFERROR(INDEX(WageParty,MATCH($Q536,WageIds,0)),""))</f>
        <v/>
      </c>
      <c r="S536">
        <f>IF($P536="","",IFERROR(INDEX($F$6:$F$2005,MATCH($Q536,WageIds,0)),""))</f>
        <v/>
      </c>
      <c r="T536">
        <f>IF(OR($P536="",$S536="",$S536="نامعتبر"),"",LEFT($S536,4)&amp;MID($S536,6,2)&amp;RIGHT($S536,2)&amp;"0000"&amp;"|"&amp;"2"&amp;RIGHT("00000"&amp;531,5))</f>
        <v/>
      </c>
      <c r="U536">
        <f>IF($T536="","",COUNTIFS(LdAParty,$P536,LdAType,1,LdAKey,"&lt;"&amp;$T536)+COUNTIFS(LdBMember,$P536,LdBKey,"&lt;"&amp;$T536)+COUNTIFS(LdCParty,$P536,LdCKey,"&lt;"&amp;$T536)+1)</f>
        <v/>
      </c>
      <c r="V536">
        <f>IF($U536="","",$P536&amp;"|"&amp;RIGHT("000000"&amp;$U536,6))</f>
        <v/>
      </c>
      <c r="W536">
        <f>IF($T536="","",COUNTIFS(LdBGroup,$R536,LdBKey,"&lt;"&amp;$T536)+1)</f>
        <v/>
      </c>
      <c r="X536">
        <f>IF($W536="","",$R536&amp;"|"&amp;RIGHT("000000"&amp;$W536,6))</f>
        <v/>
      </c>
      <c r="Y536">
        <f>IF($P536="","",IF(Shares!$E539="",0,Shares!$E539))</f>
        <v/>
      </c>
      <c r="Z536">
        <f>IF($P536="","",Shares!$H539)</f>
        <v/>
      </c>
      <c r="AE536">
        <f>IF(OR(Sync!$S536="",Sync!$P536=""),"",Sync!$S536)</f>
        <v/>
      </c>
      <c r="AF536">
        <f>IF($AE536="","",IF(ISNUMBER(Sync!$P536),IF(AND(Sync!$P536&gt;=10000101,Sync!$P536&lt;=99991231),INT(Sync!$P536/10000),""),IFERROR(VALUE(TRIM(LEFT(Sync!$P536,FIND("/",Sync!$P536)-1))),"")))</f>
        <v/>
      </c>
      <c r="AG536">
        <f>IF(OR($AE536="",$AF536=""),"",IF(ISNUMBER(Sync!$P536),INT(MOD(Sync!$P536,10000)/100),IFERROR(VALUE(TRIM(LEFT(MID(Sync!$P536,FIND("/",Sync!$P536)+1,20),FIND("/",MID(Sync!$P536,FIND("/",Sync!$P536)+1,20))-1))),"")))</f>
        <v/>
      </c>
      <c r="AH536">
        <f>IF(OR($AE536="",$AF536=""),"",IF(ISNUMBER(Sync!$P536),MOD(Sync!$P536,100),IFERROR(VALUE(TRIM(MID(MID(Sync!$P536,FIND("/",Sync!$P536)+1,20),FIND("/",MID(Sync!$P536,FIND("/",Sync!$P536)+1,20))+1,20))),"")))</f>
        <v/>
      </c>
      <c r="AI536">
        <f>IF($AE536="","",IF(OR($AF536="",$AG536="",$AH536="",$AF536&lt;1300,$AF536&gt;1500,$AG536&lt;1,$AG536&gt;12,$AH536&lt;1,$AH536&gt;31),"نامعتبر",RIGHT("0000"&amp;$AF536,4)&amp;"/"&amp;RIGHT("00"&amp;$AG536,2)&amp;"/"&amp;RIGHT("00"&amp;$AH536,2)))</f>
        <v/>
      </c>
      <c r="AJ536">
        <f>IF($AE536="","",IF(Sync!$Q536="","0000",IF(AND(ISNUMBER(Sync!$Q536),Sync!$Q536&gt;=0,Sync!$Q536&lt;1),RIGHT("00"&amp;HOUR(Sync!$Q536),2)&amp;RIGHT("00"&amp;MINUTE(Sync!$Q536),2),IFERROR(RIGHT("00"&amp;VALUE(LEFT(Sync!$Q536,FIND(":",Sync!$Q536)-1)),2)&amp;RIGHT("00"&amp;VALUE(MID(Sync!$Q536,FIND(":",Sync!$Q536)+1,2)),2),"0000"))))</f>
        <v/>
      </c>
      <c r="AK536">
        <f>IF(OR($AE536="",$AI536="",$AI536="نامعتبر"),"",LEFT($AI536,4)&amp;MID($AI536,6,2)&amp;RIGHT($AI536,2)&amp;$AJ536&amp;"|"&amp;"3"&amp;RIGHT("00000"&amp;531,5))</f>
        <v/>
      </c>
      <c r="AL536">
        <f>IF($AK536="","",COUNTIFS(LdAParty,$AE536,LdAType,1,LdAKey,"&lt;"&amp;$AK536)+COUNTIFS(LdBMember,$AE536,LdBKey,"&lt;"&amp;$AK536)+COUNTIFS(LdCParty,$AE536,LdCKey,"&lt;"&amp;$AK536)+1)</f>
        <v/>
      </c>
      <c r="AM536">
        <f>IF($AL536="","",$AE536&amp;"|"&amp;RIGHT("000000"&amp;$AL536,6))</f>
        <v/>
      </c>
      <c r="AN536">
        <f>IF($AE536="","",IF(Sync!$W536="",0,Sync!$W536))</f>
        <v/>
      </c>
      <c r="AO536">
        <f>IF($AE536="","",IF(Sync!$X536="",0,Sync!$X536))</f>
        <v/>
      </c>
      <c r="AP536">
        <f>IF($AE536="","",Sync!$R536)</f>
        <v/>
      </c>
      <c r="AQ536">
        <f>IF($AE536="","",Sync!$Y536)</f>
        <v/>
      </c>
    </row>
    <row r="537">
      <c r="A537">
        <f>IF(OR(Wages!$B540="",Wages!$E540=""),"",Wages!$E540)</f>
        <v/>
      </c>
      <c r="B537">
        <f>IF($A537="","",IF(Wages!$C540="دستمزد گروهی",2,1))</f>
        <v/>
      </c>
      <c r="C537">
        <f>IF($A537="","",IF(ISNUMBER(Wages!$B540),IF(AND(Wages!$B540&gt;=10000101,Wages!$B540&lt;=99991231),INT(Wages!$B540/10000),""),IFERROR(VALUE(TRIM(LEFT(Wages!$B540,FIND("/",Wages!$B540)-1))),"")))</f>
        <v/>
      </c>
      <c r="D537">
        <f>IF(OR($A537="",$C537=""),"",IF(ISNUMBER(Wages!$B540),INT(MOD(Wages!$B540,10000)/100),IFERROR(VALUE(TRIM(LEFT(MID(Wages!$B540,FIND("/",Wages!$B540)+1,20),FIND("/",MID(Wages!$B540,FIND("/",Wages!$B540)+1,20))-1))),"")))</f>
        <v/>
      </c>
      <c r="E537">
        <f>IF(OR($A537="",$C537=""),"",IF(ISNUMBER(Wages!$B540),MOD(Wages!$B540,100),IFERROR(VALUE(TRIM(MID(MID(Wages!$B540,FIND("/",Wages!$B540)+1,20),FIND("/",MID(Wages!$B540,FIND("/",Wages!$B540)+1,20))+1,20))),"")))</f>
        <v/>
      </c>
      <c r="F537">
        <f>IF($A537="","",IF(OR($C537="",$D537="",$E537="",$C537&lt;1300,$C537&gt;1500,$D537&lt;1,$D537&gt;12,$E537&lt;1,$E537&gt;31),"نامعتبر",RIGHT("0000"&amp;$C537,4)&amp;"/"&amp;RIGHT("00"&amp;$D537,2)&amp;"/"&amp;RIGHT("00"&amp;$E537,2)))</f>
        <v/>
      </c>
      <c r="G537">
        <f>IF(OR($A537="",$F537="",$F537="نامعتبر"),"",LEFT($F537,4)&amp;MID($F537,6,2)&amp;RIGHT($F537,2)&amp;"0000"&amp;"|"&amp;"1"&amp;RIGHT("00000"&amp;532,5))</f>
        <v/>
      </c>
      <c r="H537">
        <f>IF(OR($B537&lt;&gt;1,$G537=""),"",COUNTIFS(LdAParty,$A537,LdAType,1,LdAKey,"&lt;"&amp;$G537)+COUNTIFS(LdBMember,$A537,LdBKey,"&lt;"&amp;$G537)+COUNTIFS(LdCParty,$A537,LdCKey,"&lt;"&amp;$G537)+1)</f>
        <v/>
      </c>
      <c r="I537">
        <f>IF($H537="","",$A537&amp;"|"&amp;RIGHT("000000"&amp;$H537,6))</f>
        <v/>
      </c>
      <c r="J537">
        <f>IF(OR($B537&lt;&gt;2,$G537=""),"",COUNTIFS(LdAParty,$A537,LdAType,2,LdAKey,"&lt;"&amp;$G537)+1)</f>
        <v/>
      </c>
      <c r="K537">
        <f>IF($J537="","",$A537&amp;"|"&amp;RIGHT("000000"&amp;$J537,6))</f>
        <v/>
      </c>
      <c r="L537">
        <f>IF($A537="","",IF(Wages!$G540="",0,Wages!$G540))</f>
        <v/>
      </c>
      <c r="M537">
        <f>IF($A537="","",Wages!$J540)</f>
        <v/>
      </c>
      <c r="N537">
        <f>IF($A537="","",Wages!$D540)</f>
        <v/>
      </c>
      <c r="P537">
        <f>IF(OR(Shares!$B540="",Shares!$C540=""),"",Shares!$C540)</f>
        <v/>
      </c>
      <c r="Q537">
        <f>IF($P537="","",Shares!$B540)</f>
        <v/>
      </c>
      <c r="R537">
        <f>IF($P537="","",IFERROR(INDEX(WageParty,MATCH($Q537,WageIds,0)),""))</f>
        <v/>
      </c>
      <c r="S537">
        <f>IF($P537="","",IFERROR(INDEX($F$6:$F$2005,MATCH($Q537,WageIds,0)),""))</f>
        <v/>
      </c>
      <c r="T537">
        <f>IF(OR($P537="",$S537="",$S537="نامعتبر"),"",LEFT($S537,4)&amp;MID($S537,6,2)&amp;RIGHT($S537,2)&amp;"0000"&amp;"|"&amp;"2"&amp;RIGHT("00000"&amp;532,5))</f>
        <v/>
      </c>
      <c r="U537">
        <f>IF($T537="","",COUNTIFS(LdAParty,$P537,LdAType,1,LdAKey,"&lt;"&amp;$T537)+COUNTIFS(LdBMember,$P537,LdBKey,"&lt;"&amp;$T537)+COUNTIFS(LdCParty,$P537,LdCKey,"&lt;"&amp;$T537)+1)</f>
        <v/>
      </c>
      <c r="V537">
        <f>IF($U537="","",$P537&amp;"|"&amp;RIGHT("000000"&amp;$U537,6))</f>
        <v/>
      </c>
      <c r="W537">
        <f>IF($T537="","",COUNTIFS(LdBGroup,$R537,LdBKey,"&lt;"&amp;$T537)+1)</f>
        <v/>
      </c>
      <c r="X537">
        <f>IF($W537="","",$R537&amp;"|"&amp;RIGHT("000000"&amp;$W537,6))</f>
        <v/>
      </c>
      <c r="Y537">
        <f>IF($P537="","",IF(Shares!$E540="",0,Shares!$E540))</f>
        <v/>
      </c>
      <c r="Z537">
        <f>IF($P537="","",Shares!$H540)</f>
        <v/>
      </c>
      <c r="AE537">
        <f>IF(OR(Sync!$S537="",Sync!$P537=""),"",Sync!$S537)</f>
        <v/>
      </c>
      <c r="AF537">
        <f>IF($AE537="","",IF(ISNUMBER(Sync!$P537),IF(AND(Sync!$P537&gt;=10000101,Sync!$P537&lt;=99991231),INT(Sync!$P537/10000),""),IFERROR(VALUE(TRIM(LEFT(Sync!$P537,FIND("/",Sync!$P537)-1))),"")))</f>
        <v/>
      </c>
      <c r="AG537">
        <f>IF(OR($AE537="",$AF537=""),"",IF(ISNUMBER(Sync!$P537),INT(MOD(Sync!$P537,10000)/100),IFERROR(VALUE(TRIM(LEFT(MID(Sync!$P537,FIND("/",Sync!$P537)+1,20),FIND("/",MID(Sync!$P537,FIND("/",Sync!$P537)+1,20))-1))),"")))</f>
        <v/>
      </c>
      <c r="AH537">
        <f>IF(OR($AE537="",$AF537=""),"",IF(ISNUMBER(Sync!$P537),MOD(Sync!$P537,100),IFERROR(VALUE(TRIM(MID(MID(Sync!$P537,FIND("/",Sync!$P537)+1,20),FIND("/",MID(Sync!$P537,FIND("/",Sync!$P537)+1,20))+1,20))),"")))</f>
        <v/>
      </c>
      <c r="AI537">
        <f>IF($AE537="","",IF(OR($AF537="",$AG537="",$AH537="",$AF537&lt;1300,$AF537&gt;1500,$AG537&lt;1,$AG537&gt;12,$AH537&lt;1,$AH537&gt;31),"نامعتبر",RIGHT("0000"&amp;$AF537,4)&amp;"/"&amp;RIGHT("00"&amp;$AG537,2)&amp;"/"&amp;RIGHT("00"&amp;$AH537,2)))</f>
        <v/>
      </c>
      <c r="AJ537">
        <f>IF($AE537="","",IF(Sync!$Q537="","0000",IF(AND(ISNUMBER(Sync!$Q537),Sync!$Q537&gt;=0,Sync!$Q537&lt;1),RIGHT("00"&amp;HOUR(Sync!$Q537),2)&amp;RIGHT("00"&amp;MINUTE(Sync!$Q537),2),IFERROR(RIGHT("00"&amp;VALUE(LEFT(Sync!$Q537,FIND(":",Sync!$Q537)-1)),2)&amp;RIGHT("00"&amp;VALUE(MID(Sync!$Q537,FIND(":",Sync!$Q537)+1,2)),2),"0000"))))</f>
        <v/>
      </c>
      <c r="AK537">
        <f>IF(OR($AE537="",$AI537="",$AI537="نامعتبر"),"",LEFT($AI537,4)&amp;MID($AI537,6,2)&amp;RIGHT($AI537,2)&amp;$AJ537&amp;"|"&amp;"3"&amp;RIGHT("00000"&amp;532,5))</f>
        <v/>
      </c>
      <c r="AL537">
        <f>IF($AK537="","",COUNTIFS(LdAParty,$AE537,LdAType,1,LdAKey,"&lt;"&amp;$AK537)+COUNTIFS(LdBMember,$AE537,LdBKey,"&lt;"&amp;$AK537)+COUNTIFS(LdCParty,$AE537,LdCKey,"&lt;"&amp;$AK537)+1)</f>
        <v/>
      </c>
      <c r="AM537">
        <f>IF($AL537="","",$AE537&amp;"|"&amp;RIGHT("000000"&amp;$AL537,6))</f>
        <v/>
      </c>
      <c r="AN537">
        <f>IF($AE537="","",IF(Sync!$W537="",0,Sync!$W537))</f>
        <v/>
      </c>
      <c r="AO537">
        <f>IF($AE537="","",IF(Sync!$X537="",0,Sync!$X537))</f>
        <v/>
      </c>
      <c r="AP537">
        <f>IF($AE537="","",Sync!$R537)</f>
        <v/>
      </c>
      <c r="AQ537">
        <f>IF($AE537="","",Sync!$Y537)</f>
        <v/>
      </c>
    </row>
    <row r="538">
      <c r="A538">
        <f>IF(OR(Wages!$B541="",Wages!$E541=""),"",Wages!$E541)</f>
        <v/>
      </c>
      <c r="B538">
        <f>IF($A538="","",IF(Wages!$C541="دستمزد گروهی",2,1))</f>
        <v/>
      </c>
      <c r="C538">
        <f>IF($A538="","",IF(ISNUMBER(Wages!$B541),IF(AND(Wages!$B541&gt;=10000101,Wages!$B541&lt;=99991231),INT(Wages!$B541/10000),""),IFERROR(VALUE(TRIM(LEFT(Wages!$B541,FIND("/",Wages!$B541)-1))),"")))</f>
        <v/>
      </c>
      <c r="D538">
        <f>IF(OR($A538="",$C538=""),"",IF(ISNUMBER(Wages!$B541),INT(MOD(Wages!$B541,10000)/100),IFERROR(VALUE(TRIM(LEFT(MID(Wages!$B541,FIND("/",Wages!$B541)+1,20),FIND("/",MID(Wages!$B541,FIND("/",Wages!$B541)+1,20))-1))),"")))</f>
        <v/>
      </c>
      <c r="E538">
        <f>IF(OR($A538="",$C538=""),"",IF(ISNUMBER(Wages!$B541),MOD(Wages!$B541,100),IFERROR(VALUE(TRIM(MID(MID(Wages!$B541,FIND("/",Wages!$B541)+1,20),FIND("/",MID(Wages!$B541,FIND("/",Wages!$B541)+1,20))+1,20))),"")))</f>
        <v/>
      </c>
      <c r="F538">
        <f>IF($A538="","",IF(OR($C538="",$D538="",$E538="",$C538&lt;1300,$C538&gt;1500,$D538&lt;1,$D538&gt;12,$E538&lt;1,$E538&gt;31),"نامعتبر",RIGHT("0000"&amp;$C538,4)&amp;"/"&amp;RIGHT("00"&amp;$D538,2)&amp;"/"&amp;RIGHT("00"&amp;$E538,2)))</f>
        <v/>
      </c>
      <c r="G538">
        <f>IF(OR($A538="",$F538="",$F538="نامعتبر"),"",LEFT($F538,4)&amp;MID($F538,6,2)&amp;RIGHT($F538,2)&amp;"0000"&amp;"|"&amp;"1"&amp;RIGHT("00000"&amp;533,5))</f>
        <v/>
      </c>
      <c r="H538">
        <f>IF(OR($B538&lt;&gt;1,$G538=""),"",COUNTIFS(LdAParty,$A538,LdAType,1,LdAKey,"&lt;"&amp;$G538)+COUNTIFS(LdBMember,$A538,LdBKey,"&lt;"&amp;$G538)+COUNTIFS(LdCParty,$A538,LdCKey,"&lt;"&amp;$G538)+1)</f>
        <v/>
      </c>
      <c r="I538">
        <f>IF($H538="","",$A538&amp;"|"&amp;RIGHT("000000"&amp;$H538,6))</f>
        <v/>
      </c>
      <c r="J538">
        <f>IF(OR($B538&lt;&gt;2,$G538=""),"",COUNTIFS(LdAParty,$A538,LdAType,2,LdAKey,"&lt;"&amp;$G538)+1)</f>
        <v/>
      </c>
      <c r="K538">
        <f>IF($J538="","",$A538&amp;"|"&amp;RIGHT("000000"&amp;$J538,6))</f>
        <v/>
      </c>
      <c r="L538">
        <f>IF($A538="","",IF(Wages!$G541="",0,Wages!$G541))</f>
        <v/>
      </c>
      <c r="M538">
        <f>IF($A538="","",Wages!$J541)</f>
        <v/>
      </c>
      <c r="N538">
        <f>IF($A538="","",Wages!$D541)</f>
        <v/>
      </c>
      <c r="P538">
        <f>IF(OR(Shares!$B541="",Shares!$C541=""),"",Shares!$C541)</f>
        <v/>
      </c>
      <c r="Q538">
        <f>IF($P538="","",Shares!$B541)</f>
        <v/>
      </c>
      <c r="R538">
        <f>IF($P538="","",IFERROR(INDEX(WageParty,MATCH($Q538,WageIds,0)),""))</f>
        <v/>
      </c>
      <c r="S538">
        <f>IF($P538="","",IFERROR(INDEX($F$6:$F$2005,MATCH($Q538,WageIds,0)),""))</f>
        <v/>
      </c>
      <c r="T538">
        <f>IF(OR($P538="",$S538="",$S538="نامعتبر"),"",LEFT($S538,4)&amp;MID($S538,6,2)&amp;RIGHT($S538,2)&amp;"0000"&amp;"|"&amp;"2"&amp;RIGHT("00000"&amp;533,5))</f>
        <v/>
      </c>
      <c r="U538">
        <f>IF($T538="","",COUNTIFS(LdAParty,$P538,LdAType,1,LdAKey,"&lt;"&amp;$T538)+COUNTIFS(LdBMember,$P538,LdBKey,"&lt;"&amp;$T538)+COUNTIFS(LdCParty,$P538,LdCKey,"&lt;"&amp;$T538)+1)</f>
        <v/>
      </c>
      <c r="V538">
        <f>IF($U538="","",$P538&amp;"|"&amp;RIGHT("000000"&amp;$U538,6))</f>
        <v/>
      </c>
      <c r="W538">
        <f>IF($T538="","",COUNTIFS(LdBGroup,$R538,LdBKey,"&lt;"&amp;$T538)+1)</f>
        <v/>
      </c>
      <c r="X538">
        <f>IF($W538="","",$R538&amp;"|"&amp;RIGHT("000000"&amp;$W538,6))</f>
        <v/>
      </c>
      <c r="Y538">
        <f>IF($P538="","",IF(Shares!$E541="",0,Shares!$E541))</f>
        <v/>
      </c>
      <c r="Z538">
        <f>IF($P538="","",Shares!$H541)</f>
        <v/>
      </c>
      <c r="AE538">
        <f>IF(OR(Sync!$S538="",Sync!$P538=""),"",Sync!$S538)</f>
        <v/>
      </c>
      <c r="AF538">
        <f>IF($AE538="","",IF(ISNUMBER(Sync!$P538),IF(AND(Sync!$P538&gt;=10000101,Sync!$P538&lt;=99991231),INT(Sync!$P538/10000),""),IFERROR(VALUE(TRIM(LEFT(Sync!$P538,FIND("/",Sync!$P538)-1))),"")))</f>
        <v/>
      </c>
      <c r="AG538">
        <f>IF(OR($AE538="",$AF538=""),"",IF(ISNUMBER(Sync!$P538),INT(MOD(Sync!$P538,10000)/100),IFERROR(VALUE(TRIM(LEFT(MID(Sync!$P538,FIND("/",Sync!$P538)+1,20),FIND("/",MID(Sync!$P538,FIND("/",Sync!$P538)+1,20))-1))),"")))</f>
        <v/>
      </c>
      <c r="AH538">
        <f>IF(OR($AE538="",$AF538=""),"",IF(ISNUMBER(Sync!$P538),MOD(Sync!$P538,100),IFERROR(VALUE(TRIM(MID(MID(Sync!$P538,FIND("/",Sync!$P538)+1,20),FIND("/",MID(Sync!$P538,FIND("/",Sync!$P538)+1,20))+1,20))),"")))</f>
        <v/>
      </c>
      <c r="AI538">
        <f>IF($AE538="","",IF(OR($AF538="",$AG538="",$AH538="",$AF538&lt;1300,$AF538&gt;1500,$AG538&lt;1,$AG538&gt;12,$AH538&lt;1,$AH538&gt;31),"نامعتبر",RIGHT("0000"&amp;$AF538,4)&amp;"/"&amp;RIGHT("00"&amp;$AG538,2)&amp;"/"&amp;RIGHT("00"&amp;$AH538,2)))</f>
        <v/>
      </c>
      <c r="AJ538">
        <f>IF($AE538="","",IF(Sync!$Q538="","0000",IF(AND(ISNUMBER(Sync!$Q538),Sync!$Q538&gt;=0,Sync!$Q538&lt;1),RIGHT("00"&amp;HOUR(Sync!$Q538),2)&amp;RIGHT("00"&amp;MINUTE(Sync!$Q538),2),IFERROR(RIGHT("00"&amp;VALUE(LEFT(Sync!$Q538,FIND(":",Sync!$Q538)-1)),2)&amp;RIGHT("00"&amp;VALUE(MID(Sync!$Q538,FIND(":",Sync!$Q538)+1,2)),2),"0000"))))</f>
        <v/>
      </c>
      <c r="AK538">
        <f>IF(OR($AE538="",$AI538="",$AI538="نامعتبر"),"",LEFT($AI538,4)&amp;MID($AI538,6,2)&amp;RIGHT($AI538,2)&amp;$AJ538&amp;"|"&amp;"3"&amp;RIGHT("00000"&amp;533,5))</f>
        <v/>
      </c>
      <c r="AL538">
        <f>IF($AK538="","",COUNTIFS(LdAParty,$AE538,LdAType,1,LdAKey,"&lt;"&amp;$AK538)+COUNTIFS(LdBMember,$AE538,LdBKey,"&lt;"&amp;$AK538)+COUNTIFS(LdCParty,$AE538,LdCKey,"&lt;"&amp;$AK538)+1)</f>
        <v/>
      </c>
      <c r="AM538">
        <f>IF($AL538="","",$AE538&amp;"|"&amp;RIGHT("000000"&amp;$AL538,6))</f>
        <v/>
      </c>
      <c r="AN538">
        <f>IF($AE538="","",IF(Sync!$W538="",0,Sync!$W538))</f>
        <v/>
      </c>
      <c r="AO538">
        <f>IF($AE538="","",IF(Sync!$X538="",0,Sync!$X538))</f>
        <v/>
      </c>
      <c r="AP538">
        <f>IF($AE538="","",Sync!$R538)</f>
        <v/>
      </c>
      <c r="AQ538">
        <f>IF($AE538="","",Sync!$Y538)</f>
        <v/>
      </c>
    </row>
    <row r="539">
      <c r="A539">
        <f>IF(OR(Wages!$B542="",Wages!$E542=""),"",Wages!$E542)</f>
        <v/>
      </c>
      <c r="B539">
        <f>IF($A539="","",IF(Wages!$C542="دستمزد گروهی",2,1))</f>
        <v/>
      </c>
      <c r="C539">
        <f>IF($A539="","",IF(ISNUMBER(Wages!$B542),IF(AND(Wages!$B542&gt;=10000101,Wages!$B542&lt;=99991231),INT(Wages!$B542/10000),""),IFERROR(VALUE(TRIM(LEFT(Wages!$B542,FIND("/",Wages!$B542)-1))),"")))</f>
        <v/>
      </c>
      <c r="D539">
        <f>IF(OR($A539="",$C539=""),"",IF(ISNUMBER(Wages!$B542),INT(MOD(Wages!$B542,10000)/100),IFERROR(VALUE(TRIM(LEFT(MID(Wages!$B542,FIND("/",Wages!$B542)+1,20),FIND("/",MID(Wages!$B542,FIND("/",Wages!$B542)+1,20))-1))),"")))</f>
        <v/>
      </c>
      <c r="E539">
        <f>IF(OR($A539="",$C539=""),"",IF(ISNUMBER(Wages!$B542),MOD(Wages!$B542,100),IFERROR(VALUE(TRIM(MID(MID(Wages!$B542,FIND("/",Wages!$B542)+1,20),FIND("/",MID(Wages!$B542,FIND("/",Wages!$B542)+1,20))+1,20))),"")))</f>
        <v/>
      </c>
      <c r="F539">
        <f>IF($A539="","",IF(OR($C539="",$D539="",$E539="",$C539&lt;1300,$C539&gt;1500,$D539&lt;1,$D539&gt;12,$E539&lt;1,$E539&gt;31),"نامعتبر",RIGHT("0000"&amp;$C539,4)&amp;"/"&amp;RIGHT("00"&amp;$D539,2)&amp;"/"&amp;RIGHT("00"&amp;$E539,2)))</f>
        <v/>
      </c>
      <c r="G539">
        <f>IF(OR($A539="",$F539="",$F539="نامعتبر"),"",LEFT($F539,4)&amp;MID($F539,6,2)&amp;RIGHT($F539,2)&amp;"0000"&amp;"|"&amp;"1"&amp;RIGHT("00000"&amp;534,5))</f>
        <v/>
      </c>
      <c r="H539">
        <f>IF(OR($B539&lt;&gt;1,$G539=""),"",COUNTIFS(LdAParty,$A539,LdAType,1,LdAKey,"&lt;"&amp;$G539)+COUNTIFS(LdBMember,$A539,LdBKey,"&lt;"&amp;$G539)+COUNTIFS(LdCParty,$A539,LdCKey,"&lt;"&amp;$G539)+1)</f>
        <v/>
      </c>
      <c r="I539">
        <f>IF($H539="","",$A539&amp;"|"&amp;RIGHT("000000"&amp;$H539,6))</f>
        <v/>
      </c>
      <c r="J539">
        <f>IF(OR($B539&lt;&gt;2,$G539=""),"",COUNTIFS(LdAParty,$A539,LdAType,2,LdAKey,"&lt;"&amp;$G539)+1)</f>
        <v/>
      </c>
      <c r="K539">
        <f>IF($J539="","",$A539&amp;"|"&amp;RIGHT("000000"&amp;$J539,6))</f>
        <v/>
      </c>
      <c r="L539">
        <f>IF($A539="","",IF(Wages!$G542="",0,Wages!$G542))</f>
        <v/>
      </c>
      <c r="M539">
        <f>IF($A539="","",Wages!$J542)</f>
        <v/>
      </c>
      <c r="N539">
        <f>IF($A539="","",Wages!$D542)</f>
        <v/>
      </c>
      <c r="P539">
        <f>IF(OR(Shares!$B542="",Shares!$C542=""),"",Shares!$C542)</f>
        <v/>
      </c>
      <c r="Q539">
        <f>IF($P539="","",Shares!$B542)</f>
        <v/>
      </c>
      <c r="R539">
        <f>IF($P539="","",IFERROR(INDEX(WageParty,MATCH($Q539,WageIds,0)),""))</f>
        <v/>
      </c>
      <c r="S539">
        <f>IF($P539="","",IFERROR(INDEX($F$6:$F$2005,MATCH($Q539,WageIds,0)),""))</f>
        <v/>
      </c>
      <c r="T539">
        <f>IF(OR($P539="",$S539="",$S539="نامعتبر"),"",LEFT($S539,4)&amp;MID($S539,6,2)&amp;RIGHT($S539,2)&amp;"0000"&amp;"|"&amp;"2"&amp;RIGHT("00000"&amp;534,5))</f>
        <v/>
      </c>
      <c r="U539">
        <f>IF($T539="","",COUNTIFS(LdAParty,$P539,LdAType,1,LdAKey,"&lt;"&amp;$T539)+COUNTIFS(LdBMember,$P539,LdBKey,"&lt;"&amp;$T539)+COUNTIFS(LdCParty,$P539,LdCKey,"&lt;"&amp;$T539)+1)</f>
        <v/>
      </c>
      <c r="V539">
        <f>IF($U539="","",$P539&amp;"|"&amp;RIGHT("000000"&amp;$U539,6))</f>
        <v/>
      </c>
      <c r="W539">
        <f>IF($T539="","",COUNTIFS(LdBGroup,$R539,LdBKey,"&lt;"&amp;$T539)+1)</f>
        <v/>
      </c>
      <c r="X539">
        <f>IF($W539="","",$R539&amp;"|"&amp;RIGHT("000000"&amp;$W539,6))</f>
        <v/>
      </c>
      <c r="Y539">
        <f>IF($P539="","",IF(Shares!$E542="",0,Shares!$E542))</f>
        <v/>
      </c>
      <c r="Z539">
        <f>IF($P539="","",Shares!$H542)</f>
        <v/>
      </c>
      <c r="AE539">
        <f>IF(OR(Sync!$S539="",Sync!$P539=""),"",Sync!$S539)</f>
        <v/>
      </c>
      <c r="AF539">
        <f>IF($AE539="","",IF(ISNUMBER(Sync!$P539),IF(AND(Sync!$P539&gt;=10000101,Sync!$P539&lt;=99991231),INT(Sync!$P539/10000),""),IFERROR(VALUE(TRIM(LEFT(Sync!$P539,FIND("/",Sync!$P539)-1))),"")))</f>
        <v/>
      </c>
      <c r="AG539">
        <f>IF(OR($AE539="",$AF539=""),"",IF(ISNUMBER(Sync!$P539),INT(MOD(Sync!$P539,10000)/100),IFERROR(VALUE(TRIM(LEFT(MID(Sync!$P539,FIND("/",Sync!$P539)+1,20),FIND("/",MID(Sync!$P539,FIND("/",Sync!$P539)+1,20))-1))),"")))</f>
        <v/>
      </c>
      <c r="AH539">
        <f>IF(OR($AE539="",$AF539=""),"",IF(ISNUMBER(Sync!$P539),MOD(Sync!$P539,100),IFERROR(VALUE(TRIM(MID(MID(Sync!$P539,FIND("/",Sync!$P539)+1,20),FIND("/",MID(Sync!$P539,FIND("/",Sync!$P539)+1,20))+1,20))),"")))</f>
        <v/>
      </c>
      <c r="AI539">
        <f>IF($AE539="","",IF(OR($AF539="",$AG539="",$AH539="",$AF539&lt;1300,$AF539&gt;1500,$AG539&lt;1,$AG539&gt;12,$AH539&lt;1,$AH539&gt;31),"نامعتبر",RIGHT("0000"&amp;$AF539,4)&amp;"/"&amp;RIGHT("00"&amp;$AG539,2)&amp;"/"&amp;RIGHT("00"&amp;$AH539,2)))</f>
        <v/>
      </c>
      <c r="AJ539">
        <f>IF($AE539="","",IF(Sync!$Q539="","0000",IF(AND(ISNUMBER(Sync!$Q539),Sync!$Q539&gt;=0,Sync!$Q539&lt;1),RIGHT("00"&amp;HOUR(Sync!$Q539),2)&amp;RIGHT("00"&amp;MINUTE(Sync!$Q539),2),IFERROR(RIGHT("00"&amp;VALUE(LEFT(Sync!$Q539,FIND(":",Sync!$Q539)-1)),2)&amp;RIGHT("00"&amp;VALUE(MID(Sync!$Q539,FIND(":",Sync!$Q539)+1,2)),2),"0000"))))</f>
        <v/>
      </c>
      <c r="AK539">
        <f>IF(OR($AE539="",$AI539="",$AI539="نامعتبر"),"",LEFT($AI539,4)&amp;MID($AI539,6,2)&amp;RIGHT($AI539,2)&amp;$AJ539&amp;"|"&amp;"3"&amp;RIGHT("00000"&amp;534,5))</f>
        <v/>
      </c>
      <c r="AL539">
        <f>IF($AK539="","",COUNTIFS(LdAParty,$AE539,LdAType,1,LdAKey,"&lt;"&amp;$AK539)+COUNTIFS(LdBMember,$AE539,LdBKey,"&lt;"&amp;$AK539)+COUNTIFS(LdCParty,$AE539,LdCKey,"&lt;"&amp;$AK539)+1)</f>
        <v/>
      </c>
      <c r="AM539">
        <f>IF($AL539="","",$AE539&amp;"|"&amp;RIGHT("000000"&amp;$AL539,6))</f>
        <v/>
      </c>
      <c r="AN539">
        <f>IF($AE539="","",IF(Sync!$W539="",0,Sync!$W539))</f>
        <v/>
      </c>
      <c r="AO539">
        <f>IF($AE539="","",IF(Sync!$X539="",0,Sync!$X539))</f>
        <v/>
      </c>
      <c r="AP539">
        <f>IF($AE539="","",Sync!$R539)</f>
        <v/>
      </c>
      <c r="AQ539">
        <f>IF($AE539="","",Sync!$Y539)</f>
        <v/>
      </c>
    </row>
    <row r="540">
      <c r="A540">
        <f>IF(OR(Wages!$B543="",Wages!$E543=""),"",Wages!$E543)</f>
        <v/>
      </c>
      <c r="B540">
        <f>IF($A540="","",IF(Wages!$C543="دستمزد گروهی",2,1))</f>
        <v/>
      </c>
      <c r="C540">
        <f>IF($A540="","",IF(ISNUMBER(Wages!$B543),IF(AND(Wages!$B543&gt;=10000101,Wages!$B543&lt;=99991231),INT(Wages!$B543/10000),""),IFERROR(VALUE(TRIM(LEFT(Wages!$B543,FIND("/",Wages!$B543)-1))),"")))</f>
        <v/>
      </c>
      <c r="D540">
        <f>IF(OR($A540="",$C540=""),"",IF(ISNUMBER(Wages!$B543),INT(MOD(Wages!$B543,10000)/100),IFERROR(VALUE(TRIM(LEFT(MID(Wages!$B543,FIND("/",Wages!$B543)+1,20),FIND("/",MID(Wages!$B543,FIND("/",Wages!$B543)+1,20))-1))),"")))</f>
        <v/>
      </c>
      <c r="E540">
        <f>IF(OR($A540="",$C540=""),"",IF(ISNUMBER(Wages!$B543),MOD(Wages!$B543,100),IFERROR(VALUE(TRIM(MID(MID(Wages!$B543,FIND("/",Wages!$B543)+1,20),FIND("/",MID(Wages!$B543,FIND("/",Wages!$B543)+1,20))+1,20))),"")))</f>
        <v/>
      </c>
      <c r="F540">
        <f>IF($A540="","",IF(OR($C540="",$D540="",$E540="",$C540&lt;1300,$C540&gt;1500,$D540&lt;1,$D540&gt;12,$E540&lt;1,$E540&gt;31),"نامعتبر",RIGHT("0000"&amp;$C540,4)&amp;"/"&amp;RIGHT("00"&amp;$D540,2)&amp;"/"&amp;RIGHT("00"&amp;$E540,2)))</f>
        <v/>
      </c>
      <c r="G540">
        <f>IF(OR($A540="",$F540="",$F540="نامعتبر"),"",LEFT($F540,4)&amp;MID($F540,6,2)&amp;RIGHT($F540,2)&amp;"0000"&amp;"|"&amp;"1"&amp;RIGHT("00000"&amp;535,5))</f>
        <v/>
      </c>
      <c r="H540">
        <f>IF(OR($B540&lt;&gt;1,$G540=""),"",COUNTIFS(LdAParty,$A540,LdAType,1,LdAKey,"&lt;"&amp;$G540)+COUNTIFS(LdBMember,$A540,LdBKey,"&lt;"&amp;$G540)+COUNTIFS(LdCParty,$A540,LdCKey,"&lt;"&amp;$G540)+1)</f>
        <v/>
      </c>
      <c r="I540">
        <f>IF($H540="","",$A540&amp;"|"&amp;RIGHT("000000"&amp;$H540,6))</f>
        <v/>
      </c>
      <c r="J540">
        <f>IF(OR($B540&lt;&gt;2,$G540=""),"",COUNTIFS(LdAParty,$A540,LdAType,2,LdAKey,"&lt;"&amp;$G540)+1)</f>
        <v/>
      </c>
      <c r="K540">
        <f>IF($J540="","",$A540&amp;"|"&amp;RIGHT("000000"&amp;$J540,6))</f>
        <v/>
      </c>
      <c r="L540">
        <f>IF($A540="","",IF(Wages!$G543="",0,Wages!$G543))</f>
        <v/>
      </c>
      <c r="M540">
        <f>IF($A540="","",Wages!$J543)</f>
        <v/>
      </c>
      <c r="N540">
        <f>IF($A540="","",Wages!$D543)</f>
        <v/>
      </c>
      <c r="P540">
        <f>IF(OR(Shares!$B543="",Shares!$C543=""),"",Shares!$C543)</f>
        <v/>
      </c>
      <c r="Q540">
        <f>IF($P540="","",Shares!$B543)</f>
        <v/>
      </c>
      <c r="R540">
        <f>IF($P540="","",IFERROR(INDEX(WageParty,MATCH($Q540,WageIds,0)),""))</f>
        <v/>
      </c>
      <c r="S540">
        <f>IF($P540="","",IFERROR(INDEX($F$6:$F$2005,MATCH($Q540,WageIds,0)),""))</f>
        <v/>
      </c>
      <c r="T540">
        <f>IF(OR($P540="",$S540="",$S540="نامعتبر"),"",LEFT($S540,4)&amp;MID($S540,6,2)&amp;RIGHT($S540,2)&amp;"0000"&amp;"|"&amp;"2"&amp;RIGHT("00000"&amp;535,5))</f>
        <v/>
      </c>
      <c r="U540">
        <f>IF($T540="","",COUNTIFS(LdAParty,$P540,LdAType,1,LdAKey,"&lt;"&amp;$T540)+COUNTIFS(LdBMember,$P540,LdBKey,"&lt;"&amp;$T540)+COUNTIFS(LdCParty,$P540,LdCKey,"&lt;"&amp;$T540)+1)</f>
        <v/>
      </c>
      <c r="V540">
        <f>IF($U540="","",$P540&amp;"|"&amp;RIGHT("000000"&amp;$U540,6))</f>
        <v/>
      </c>
      <c r="W540">
        <f>IF($T540="","",COUNTIFS(LdBGroup,$R540,LdBKey,"&lt;"&amp;$T540)+1)</f>
        <v/>
      </c>
      <c r="X540">
        <f>IF($W540="","",$R540&amp;"|"&amp;RIGHT("000000"&amp;$W540,6))</f>
        <v/>
      </c>
      <c r="Y540">
        <f>IF($P540="","",IF(Shares!$E543="",0,Shares!$E543))</f>
        <v/>
      </c>
      <c r="Z540">
        <f>IF($P540="","",Shares!$H543)</f>
        <v/>
      </c>
      <c r="AE540">
        <f>IF(OR(Sync!$S540="",Sync!$P540=""),"",Sync!$S540)</f>
        <v/>
      </c>
      <c r="AF540">
        <f>IF($AE540="","",IF(ISNUMBER(Sync!$P540),IF(AND(Sync!$P540&gt;=10000101,Sync!$P540&lt;=99991231),INT(Sync!$P540/10000),""),IFERROR(VALUE(TRIM(LEFT(Sync!$P540,FIND("/",Sync!$P540)-1))),"")))</f>
        <v/>
      </c>
      <c r="AG540">
        <f>IF(OR($AE540="",$AF540=""),"",IF(ISNUMBER(Sync!$P540),INT(MOD(Sync!$P540,10000)/100),IFERROR(VALUE(TRIM(LEFT(MID(Sync!$P540,FIND("/",Sync!$P540)+1,20),FIND("/",MID(Sync!$P540,FIND("/",Sync!$P540)+1,20))-1))),"")))</f>
        <v/>
      </c>
      <c r="AH540">
        <f>IF(OR($AE540="",$AF540=""),"",IF(ISNUMBER(Sync!$P540),MOD(Sync!$P540,100),IFERROR(VALUE(TRIM(MID(MID(Sync!$P540,FIND("/",Sync!$P540)+1,20),FIND("/",MID(Sync!$P540,FIND("/",Sync!$P540)+1,20))+1,20))),"")))</f>
        <v/>
      </c>
      <c r="AI540">
        <f>IF($AE540="","",IF(OR($AF540="",$AG540="",$AH540="",$AF540&lt;1300,$AF540&gt;1500,$AG540&lt;1,$AG540&gt;12,$AH540&lt;1,$AH540&gt;31),"نامعتبر",RIGHT("0000"&amp;$AF540,4)&amp;"/"&amp;RIGHT("00"&amp;$AG540,2)&amp;"/"&amp;RIGHT("00"&amp;$AH540,2)))</f>
        <v/>
      </c>
      <c r="AJ540">
        <f>IF($AE540="","",IF(Sync!$Q540="","0000",IF(AND(ISNUMBER(Sync!$Q540),Sync!$Q540&gt;=0,Sync!$Q540&lt;1),RIGHT("00"&amp;HOUR(Sync!$Q540),2)&amp;RIGHT("00"&amp;MINUTE(Sync!$Q540),2),IFERROR(RIGHT("00"&amp;VALUE(LEFT(Sync!$Q540,FIND(":",Sync!$Q540)-1)),2)&amp;RIGHT("00"&amp;VALUE(MID(Sync!$Q540,FIND(":",Sync!$Q540)+1,2)),2),"0000"))))</f>
        <v/>
      </c>
      <c r="AK540">
        <f>IF(OR($AE540="",$AI540="",$AI540="نامعتبر"),"",LEFT($AI540,4)&amp;MID($AI540,6,2)&amp;RIGHT($AI540,2)&amp;$AJ540&amp;"|"&amp;"3"&amp;RIGHT("00000"&amp;535,5))</f>
        <v/>
      </c>
      <c r="AL540">
        <f>IF($AK540="","",COUNTIFS(LdAParty,$AE540,LdAType,1,LdAKey,"&lt;"&amp;$AK540)+COUNTIFS(LdBMember,$AE540,LdBKey,"&lt;"&amp;$AK540)+COUNTIFS(LdCParty,$AE540,LdCKey,"&lt;"&amp;$AK540)+1)</f>
        <v/>
      </c>
      <c r="AM540">
        <f>IF($AL540="","",$AE540&amp;"|"&amp;RIGHT("000000"&amp;$AL540,6))</f>
        <v/>
      </c>
      <c r="AN540">
        <f>IF($AE540="","",IF(Sync!$W540="",0,Sync!$W540))</f>
        <v/>
      </c>
      <c r="AO540">
        <f>IF($AE540="","",IF(Sync!$X540="",0,Sync!$X540))</f>
        <v/>
      </c>
      <c r="AP540">
        <f>IF($AE540="","",Sync!$R540)</f>
        <v/>
      </c>
      <c r="AQ540">
        <f>IF($AE540="","",Sync!$Y540)</f>
        <v/>
      </c>
    </row>
    <row r="541">
      <c r="A541">
        <f>IF(OR(Wages!$B544="",Wages!$E544=""),"",Wages!$E544)</f>
        <v/>
      </c>
      <c r="B541">
        <f>IF($A541="","",IF(Wages!$C544="دستمزد گروهی",2,1))</f>
        <v/>
      </c>
      <c r="C541">
        <f>IF($A541="","",IF(ISNUMBER(Wages!$B544),IF(AND(Wages!$B544&gt;=10000101,Wages!$B544&lt;=99991231),INT(Wages!$B544/10000),""),IFERROR(VALUE(TRIM(LEFT(Wages!$B544,FIND("/",Wages!$B544)-1))),"")))</f>
        <v/>
      </c>
      <c r="D541">
        <f>IF(OR($A541="",$C541=""),"",IF(ISNUMBER(Wages!$B544),INT(MOD(Wages!$B544,10000)/100),IFERROR(VALUE(TRIM(LEFT(MID(Wages!$B544,FIND("/",Wages!$B544)+1,20),FIND("/",MID(Wages!$B544,FIND("/",Wages!$B544)+1,20))-1))),"")))</f>
        <v/>
      </c>
      <c r="E541">
        <f>IF(OR($A541="",$C541=""),"",IF(ISNUMBER(Wages!$B544),MOD(Wages!$B544,100),IFERROR(VALUE(TRIM(MID(MID(Wages!$B544,FIND("/",Wages!$B544)+1,20),FIND("/",MID(Wages!$B544,FIND("/",Wages!$B544)+1,20))+1,20))),"")))</f>
        <v/>
      </c>
      <c r="F541">
        <f>IF($A541="","",IF(OR($C541="",$D541="",$E541="",$C541&lt;1300,$C541&gt;1500,$D541&lt;1,$D541&gt;12,$E541&lt;1,$E541&gt;31),"نامعتبر",RIGHT("0000"&amp;$C541,4)&amp;"/"&amp;RIGHT("00"&amp;$D541,2)&amp;"/"&amp;RIGHT("00"&amp;$E541,2)))</f>
        <v/>
      </c>
      <c r="G541">
        <f>IF(OR($A541="",$F541="",$F541="نامعتبر"),"",LEFT($F541,4)&amp;MID($F541,6,2)&amp;RIGHT($F541,2)&amp;"0000"&amp;"|"&amp;"1"&amp;RIGHT("00000"&amp;536,5))</f>
        <v/>
      </c>
      <c r="H541">
        <f>IF(OR($B541&lt;&gt;1,$G541=""),"",COUNTIFS(LdAParty,$A541,LdAType,1,LdAKey,"&lt;"&amp;$G541)+COUNTIFS(LdBMember,$A541,LdBKey,"&lt;"&amp;$G541)+COUNTIFS(LdCParty,$A541,LdCKey,"&lt;"&amp;$G541)+1)</f>
        <v/>
      </c>
      <c r="I541">
        <f>IF($H541="","",$A541&amp;"|"&amp;RIGHT("000000"&amp;$H541,6))</f>
        <v/>
      </c>
      <c r="J541">
        <f>IF(OR($B541&lt;&gt;2,$G541=""),"",COUNTIFS(LdAParty,$A541,LdAType,2,LdAKey,"&lt;"&amp;$G541)+1)</f>
        <v/>
      </c>
      <c r="K541">
        <f>IF($J541="","",$A541&amp;"|"&amp;RIGHT("000000"&amp;$J541,6))</f>
        <v/>
      </c>
      <c r="L541">
        <f>IF($A541="","",IF(Wages!$G544="",0,Wages!$G544))</f>
        <v/>
      </c>
      <c r="M541">
        <f>IF($A541="","",Wages!$J544)</f>
        <v/>
      </c>
      <c r="N541">
        <f>IF($A541="","",Wages!$D544)</f>
        <v/>
      </c>
      <c r="P541">
        <f>IF(OR(Shares!$B544="",Shares!$C544=""),"",Shares!$C544)</f>
        <v/>
      </c>
      <c r="Q541">
        <f>IF($P541="","",Shares!$B544)</f>
        <v/>
      </c>
      <c r="R541">
        <f>IF($P541="","",IFERROR(INDEX(WageParty,MATCH($Q541,WageIds,0)),""))</f>
        <v/>
      </c>
      <c r="S541">
        <f>IF($P541="","",IFERROR(INDEX($F$6:$F$2005,MATCH($Q541,WageIds,0)),""))</f>
        <v/>
      </c>
      <c r="T541">
        <f>IF(OR($P541="",$S541="",$S541="نامعتبر"),"",LEFT($S541,4)&amp;MID($S541,6,2)&amp;RIGHT($S541,2)&amp;"0000"&amp;"|"&amp;"2"&amp;RIGHT("00000"&amp;536,5))</f>
        <v/>
      </c>
      <c r="U541">
        <f>IF($T541="","",COUNTIFS(LdAParty,$P541,LdAType,1,LdAKey,"&lt;"&amp;$T541)+COUNTIFS(LdBMember,$P541,LdBKey,"&lt;"&amp;$T541)+COUNTIFS(LdCParty,$P541,LdCKey,"&lt;"&amp;$T541)+1)</f>
        <v/>
      </c>
      <c r="V541">
        <f>IF($U541="","",$P541&amp;"|"&amp;RIGHT("000000"&amp;$U541,6))</f>
        <v/>
      </c>
      <c r="W541">
        <f>IF($T541="","",COUNTIFS(LdBGroup,$R541,LdBKey,"&lt;"&amp;$T541)+1)</f>
        <v/>
      </c>
      <c r="X541">
        <f>IF($W541="","",$R541&amp;"|"&amp;RIGHT("000000"&amp;$W541,6))</f>
        <v/>
      </c>
      <c r="Y541">
        <f>IF($P541="","",IF(Shares!$E544="",0,Shares!$E544))</f>
        <v/>
      </c>
      <c r="Z541">
        <f>IF($P541="","",Shares!$H544)</f>
        <v/>
      </c>
      <c r="AE541">
        <f>IF(OR(Sync!$S541="",Sync!$P541=""),"",Sync!$S541)</f>
        <v/>
      </c>
      <c r="AF541">
        <f>IF($AE541="","",IF(ISNUMBER(Sync!$P541),IF(AND(Sync!$P541&gt;=10000101,Sync!$P541&lt;=99991231),INT(Sync!$P541/10000),""),IFERROR(VALUE(TRIM(LEFT(Sync!$P541,FIND("/",Sync!$P541)-1))),"")))</f>
        <v/>
      </c>
      <c r="AG541">
        <f>IF(OR($AE541="",$AF541=""),"",IF(ISNUMBER(Sync!$P541),INT(MOD(Sync!$P541,10000)/100),IFERROR(VALUE(TRIM(LEFT(MID(Sync!$P541,FIND("/",Sync!$P541)+1,20),FIND("/",MID(Sync!$P541,FIND("/",Sync!$P541)+1,20))-1))),"")))</f>
        <v/>
      </c>
      <c r="AH541">
        <f>IF(OR($AE541="",$AF541=""),"",IF(ISNUMBER(Sync!$P541),MOD(Sync!$P541,100),IFERROR(VALUE(TRIM(MID(MID(Sync!$P541,FIND("/",Sync!$P541)+1,20),FIND("/",MID(Sync!$P541,FIND("/",Sync!$P541)+1,20))+1,20))),"")))</f>
        <v/>
      </c>
      <c r="AI541">
        <f>IF($AE541="","",IF(OR($AF541="",$AG541="",$AH541="",$AF541&lt;1300,$AF541&gt;1500,$AG541&lt;1,$AG541&gt;12,$AH541&lt;1,$AH541&gt;31),"نامعتبر",RIGHT("0000"&amp;$AF541,4)&amp;"/"&amp;RIGHT("00"&amp;$AG541,2)&amp;"/"&amp;RIGHT("00"&amp;$AH541,2)))</f>
        <v/>
      </c>
      <c r="AJ541">
        <f>IF($AE541="","",IF(Sync!$Q541="","0000",IF(AND(ISNUMBER(Sync!$Q541),Sync!$Q541&gt;=0,Sync!$Q541&lt;1),RIGHT("00"&amp;HOUR(Sync!$Q541),2)&amp;RIGHT("00"&amp;MINUTE(Sync!$Q541),2),IFERROR(RIGHT("00"&amp;VALUE(LEFT(Sync!$Q541,FIND(":",Sync!$Q541)-1)),2)&amp;RIGHT("00"&amp;VALUE(MID(Sync!$Q541,FIND(":",Sync!$Q541)+1,2)),2),"0000"))))</f>
        <v/>
      </c>
      <c r="AK541">
        <f>IF(OR($AE541="",$AI541="",$AI541="نامعتبر"),"",LEFT($AI541,4)&amp;MID($AI541,6,2)&amp;RIGHT($AI541,2)&amp;$AJ541&amp;"|"&amp;"3"&amp;RIGHT("00000"&amp;536,5))</f>
        <v/>
      </c>
      <c r="AL541">
        <f>IF($AK541="","",COUNTIFS(LdAParty,$AE541,LdAType,1,LdAKey,"&lt;"&amp;$AK541)+COUNTIFS(LdBMember,$AE541,LdBKey,"&lt;"&amp;$AK541)+COUNTIFS(LdCParty,$AE541,LdCKey,"&lt;"&amp;$AK541)+1)</f>
        <v/>
      </c>
      <c r="AM541">
        <f>IF($AL541="","",$AE541&amp;"|"&amp;RIGHT("000000"&amp;$AL541,6))</f>
        <v/>
      </c>
      <c r="AN541">
        <f>IF($AE541="","",IF(Sync!$W541="",0,Sync!$W541))</f>
        <v/>
      </c>
      <c r="AO541">
        <f>IF($AE541="","",IF(Sync!$X541="",0,Sync!$X541))</f>
        <v/>
      </c>
      <c r="AP541">
        <f>IF($AE541="","",Sync!$R541)</f>
        <v/>
      </c>
      <c r="AQ541">
        <f>IF($AE541="","",Sync!$Y541)</f>
        <v/>
      </c>
    </row>
    <row r="542">
      <c r="A542">
        <f>IF(OR(Wages!$B545="",Wages!$E545=""),"",Wages!$E545)</f>
        <v/>
      </c>
      <c r="B542">
        <f>IF($A542="","",IF(Wages!$C545="دستمزد گروهی",2,1))</f>
        <v/>
      </c>
      <c r="C542">
        <f>IF($A542="","",IF(ISNUMBER(Wages!$B545),IF(AND(Wages!$B545&gt;=10000101,Wages!$B545&lt;=99991231),INT(Wages!$B545/10000),""),IFERROR(VALUE(TRIM(LEFT(Wages!$B545,FIND("/",Wages!$B545)-1))),"")))</f>
        <v/>
      </c>
      <c r="D542">
        <f>IF(OR($A542="",$C542=""),"",IF(ISNUMBER(Wages!$B545),INT(MOD(Wages!$B545,10000)/100),IFERROR(VALUE(TRIM(LEFT(MID(Wages!$B545,FIND("/",Wages!$B545)+1,20),FIND("/",MID(Wages!$B545,FIND("/",Wages!$B545)+1,20))-1))),"")))</f>
        <v/>
      </c>
      <c r="E542">
        <f>IF(OR($A542="",$C542=""),"",IF(ISNUMBER(Wages!$B545),MOD(Wages!$B545,100),IFERROR(VALUE(TRIM(MID(MID(Wages!$B545,FIND("/",Wages!$B545)+1,20),FIND("/",MID(Wages!$B545,FIND("/",Wages!$B545)+1,20))+1,20))),"")))</f>
        <v/>
      </c>
      <c r="F542">
        <f>IF($A542="","",IF(OR($C542="",$D542="",$E542="",$C542&lt;1300,$C542&gt;1500,$D542&lt;1,$D542&gt;12,$E542&lt;1,$E542&gt;31),"نامعتبر",RIGHT("0000"&amp;$C542,4)&amp;"/"&amp;RIGHT("00"&amp;$D542,2)&amp;"/"&amp;RIGHT("00"&amp;$E542,2)))</f>
        <v/>
      </c>
      <c r="G542">
        <f>IF(OR($A542="",$F542="",$F542="نامعتبر"),"",LEFT($F542,4)&amp;MID($F542,6,2)&amp;RIGHT($F542,2)&amp;"0000"&amp;"|"&amp;"1"&amp;RIGHT("00000"&amp;537,5))</f>
        <v/>
      </c>
      <c r="H542">
        <f>IF(OR($B542&lt;&gt;1,$G542=""),"",COUNTIFS(LdAParty,$A542,LdAType,1,LdAKey,"&lt;"&amp;$G542)+COUNTIFS(LdBMember,$A542,LdBKey,"&lt;"&amp;$G542)+COUNTIFS(LdCParty,$A542,LdCKey,"&lt;"&amp;$G542)+1)</f>
        <v/>
      </c>
      <c r="I542">
        <f>IF($H542="","",$A542&amp;"|"&amp;RIGHT("000000"&amp;$H542,6))</f>
        <v/>
      </c>
      <c r="J542">
        <f>IF(OR($B542&lt;&gt;2,$G542=""),"",COUNTIFS(LdAParty,$A542,LdAType,2,LdAKey,"&lt;"&amp;$G542)+1)</f>
        <v/>
      </c>
      <c r="K542">
        <f>IF($J542="","",$A542&amp;"|"&amp;RIGHT("000000"&amp;$J542,6))</f>
        <v/>
      </c>
      <c r="L542">
        <f>IF($A542="","",IF(Wages!$G545="",0,Wages!$G545))</f>
        <v/>
      </c>
      <c r="M542">
        <f>IF($A542="","",Wages!$J545)</f>
        <v/>
      </c>
      <c r="N542">
        <f>IF($A542="","",Wages!$D545)</f>
        <v/>
      </c>
      <c r="P542">
        <f>IF(OR(Shares!$B545="",Shares!$C545=""),"",Shares!$C545)</f>
        <v/>
      </c>
      <c r="Q542">
        <f>IF($P542="","",Shares!$B545)</f>
        <v/>
      </c>
      <c r="R542">
        <f>IF($P542="","",IFERROR(INDEX(WageParty,MATCH($Q542,WageIds,0)),""))</f>
        <v/>
      </c>
      <c r="S542">
        <f>IF($P542="","",IFERROR(INDEX($F$6:$F$2005,MATCH($Q542,WageIds,0)),""))</f>
        <v/>
      </c>
      <c r="T542">
        <f>IF(OR($P542="",$S542="",$S542="نامعتبر"),"",LEFT($S542,4)&amp;MID($S542,6,2)&amp;RIGHT($S542,2)&amp;"0000"&amp;"|"&amp;"2"&amp;RIGHT("00000"&amp;537,5))</f>
        <v/>
      </c>
      <c r="U542">
        <f>IF($T542="","",COUNTIFS(LdAParty,$P542,LdAType,1,LdAKey,"&lt;"&amp;$T542)+COUNTIFS(LdBMember,$P542,LdBKey,"&lt;"&amp;$T542)+COUNTIFS(LdCParty,$P542,LdCKey,"&lt;"&amp;$T542)+1)</f>
        <v/>
      </c>
      <c r="V542">
        <f>IF($U542="","",$P542&amp;"|"&amp;RIGHT("000000"&amp;$U542,6))</f>
        <v/>
      </c>
      <c r="W542">
        <f>IF($T542="","",COUNTIFS(LdBGroup,$R542,LdBKey,"&lt;"&amp;$T542)+1)</f>
        <v/>
      </c>
      <c r="X542">
        <f>IF($W542="","",$R542&amp;"|"&amp;RIGHT("000000"&amp;$W542,6))</f>
        <v/>
      </c>
      <c r="Y542">
        <f>IF($P542="","",IF(Shares!$E545="",0,Shares!$E545))</f>
        <v/>
      </c>
      <c r="Z542">
        <f>IF($P542="","",Shares!$H545)</f>
        <v/>
      </c>
      <c r="AE542">
        <f>IF(OR(Sync!$S542="",Sync!$P542=""),"",Sync!$S542)</f>
        <v/>
      </c>
      <c r="AF542">
        <f>IF($AE542="","",IF(ISNUMBER(Sync!$P542),IF(AND(Sync!$P542&gt;=10000101,Sync!$P542&lt;=99991231),INT(Sync!$P542/10000),""),IFERROR(VALUE(TRIM(LEFT(Sync!$P542,FIND("/",Sync!$P542)-1))),"")))</f>
        <v/>
      </c>
      <c r="AG542">
        <f>IF(OR($AE542="",$AF542=""),"",IF(ISNUMBER(Sync!$P542),INT(MOD(Sync!$P542,10000)/100),IFERROR(VALUE(TRIM(LEFT(MID(Sync!$P542,FIND("/",Sync!$P542)+1,20),FIND("/",MID(Sync!$P542,FIND("/",Sync!$P542)+1,20))-1))),"")))</f>
        <v/>
      </c>
      <c r="AH542">
        <f>IF(OR($AE542="",$AF542=""),"",IF(ISNUMBER(Sync!$P542),MOD(Sync!$P542,100),IFERROR(VALUE(TRIM(MID(MID(Sync!$P542,FIND("/",Sync!$P542)+1,20),FIND("/",MID(Sync!$P542,FIND("/",Sync!$P542)+1,20))+1,20))),"")))</f>
        <v/>
      </c>
      <c r="AI542">
        <f>IF($AE542="","",IF(OR($AF542="",$AG542="",$AH542="",$AF542&lt;1300,$AF542&gt;1500,$AG542&lt;1,$AG542&gt;12,$AH542&lt;1,$AH542&gt;31),"نامعتبر",RIGHT("0000"&amp;$AF542,4)&amp;"/"&amp;RIGHT("00"&amp;$AG542,2)&amp;"/"&amp;RIGHT("00"&amp;$AH542,2)))</f>
        <v/>
      </c>
      <c r="AJ542">
        <f>IF($AE542="","",IF(Sync!$Q542="","0000",IF(AND(ISNUMBER(Sync!$Q542),Sync!$Q542&gt;=0,Sync!$Q542&lt;1),RIGHT("00"&amp;HOUR(Sync!$Q542),2)&amp;RIGHT("00"&amp;MINUTE(Sync!$Q542),2),IFERROR(RIGHT("00"&amp;VALUE(LEFT(Sync!$Q542,FIND(":",Sync!$Q542)-1)),2)&amp;RIGHT("00"&amp;VALUE(MID(Sync!$Q542,FIND(":",Sync!$Q542)+1,2)),2),"0000"))))</f>
        <v/>
      </c>
      <c r="AK542">
        <f>IF(OR($AE542="",$AI542="",$AI542="نامعتبر"),"",LEFT($AI542,4)&amp;MID($AI542,6,2)&amp;RIGHT($AI542,2)&amp;$AJ542&amp;"|"&amp;"3"&amp;RIGHT("00000"&amp;537,5))</f>
        <v/>
      </c>
      <c r="AL542">
        <f>IF($AK542="","",COUNTIFS(LdAParty,$AE542,LdAType,1,LdAKey,"&lt;"&amp;$AK542)+COUNTIFS(LdBMember,$AE542,LdBKey,"&lt;"&amp;$AK542)+COUNTIFS(LdCParty,$AE542,LdCKey,"&lt;"&amp;$AK542)+1)</f>
        <v/>
      </c>
      <c r="AM542">
        <f>IF($AL542="","",$AE542&amp;"|"&amp;RIGHT("000000"&amp;$AL542,6))</f>
        <v/>
      </c>
      <c r="AN542">
        <f>IF($AE542="","",IF(Sync!$W542="",0,Sync!$W542))</f>
        <v/>
      </c>
      <c r="AO542">
        <f>IF($AE542="","",IF(Sync!$X542="",0,Sync!$X542))</f>
        <v/>
      </c>
      <c r="AP542">
        <f>IF($AE542="","",Sync!$R542)</f>
        <v/>
      </c>
      <c r="AQ542">
        <f>IF($AE542="","",Sync!$Y542)</f>
        <v/>
      </c>
    </row>
    <row r="543">
      <c r="A543">
        <f>IF(OR(Wages!$B546="",Wages!$E546=""),"",Wages!$E546)</f>
        <v/>
      </c>
      <c r="B543">
        <f>IF($A543="","",IF(Wages!$C546="دستمزد گروهی",2,1))</f>
        <v/>
      </c>
      <c r="C543">
        <f>IF($A543="","",IF(ISNUMBER(Wages!$B546),IF(AND(Wages!$B546&gt;=10000101,Wages!$B546&lt;=99991231),INT(Wages!$B546/10000),""),IFERROR(VALUE(TRIM(LEFT(Wages!$B546,FIND("/",Wages!$B546)-1))),"")))</f>
        <v/>
      </c>
      <c r="D543">
        <f>IF(OR($A543="",$C543=""),"",IF(ISNUMBER(Wages!$B546),INT(MOD(Wages!$B546,10000)/100),IFERROR(VALUE(TRIM(LEFT(MID(Wages!$B546,FIND("/",Wages!$B546)+1,20),FIND("/",MID(Wages!$B546,FIND("/",Wages!$B546)+1,20))-1))),"")))</f>
        <v/>
      </c>
      <c r="E543">
        <f>IF(OR($A543="",$C543=""),"",IF(ISNUMBER(Wages!$B546),MOD(Wages!$B546,100),IFERROR(VALUE(TRIM(MID(MID(Wages!$B546,FIND("/",Wages!$B546)+1,20),FIND("/",MID(Wages!$B546,FIND("/",Wages!$B546)+1,20))+1,20))),"")))</f>
        <v/>
      </c>
      <c r="F543">
        <f>IF($A543="","",IF(OR($C543="",$D543="",$E543="",$C543&lt;1300,$C543&gt;1500,$D543&lt;1,$D543&gt;12,$E543&lt;1,$E543&gt;31),"نامعتبر",RIGHT("0000"&amp;$C543,4)&amp;"/"&amp;RIGHT("00"&amp;$D543,2)&amp;"/"&amp;RIGHT("00"&amp;$E543,2)))</f>
        <v/>
      </c>
      <c r="G543">
        <f>IF(OR($A543="",$F543="",$F543="نامعتبر"),"",LEFT($F543,4)&amp;MID($F543,6,2)&amp;RIGHT($F543,2)&amp;"0000"&amp;"|"&amp;"1"&amp;RIGHT("00000"&amp;538,5))</f>
        <v/>
      </c>
      <c r="H543">
        <f>IF(OR($B543&lt;&gt;1,$G543=""),"",COUNTIFS(LdAParty,$A543,LdAType,1,LdAKey,"&lt;"&amp;$G543)+COUNTIFS(LdBMember,$A543,LdBKey,"&lt;"&amp;$G543)+COUNTIFS(LdCParty,$A543,LdCKey,"&lt;"&amp;$G543)+1)</f>
        <v/>
      </c>
      <c r="I543">
        <f>IF($H543="","",$A543&amp;"|"&amp;RIGHT("000000"&amp;$H543,6))</f>
        <v/>
      </c>
      <c r="J543">
        <f>IF(OR($B543&lt;&gt;2,$G543=""),"",COUNTIFS(LdAParty,$A543,LdAType,2,LdAKey,"&lt;"&amp;$G543)+1)</f>
        <v/>
      </c>
      <c r="K543">
        <f>IF($J543="","",$A543&amp;"|"&amp;RIGHT("000000"&amp;$J543,6))</f>
        <v/>
      </c>
      <c r="L543">
        <f>IF($A543="","",IF(Wages!$G546="",0,Wages!$G546))</f>
        <v/>
      </c>
      <c r="M543">
        <f>IF($A543="","",Wages!$J546)</f>
        <v/>
      </c>
      <c r="N543">
        <f>IF($A543="","",Wages!$D546)</f>
        <v/>
      </c>
      <c r="P543">
        <f>IF(OR(Shares!$B546="",Shares!$C546=""),"",Shares!$C546)</f>
        <v/>
      </c>
      <c r="Q543">
        <f>IF($P543="","",Shares!$B546)</f>
        <v/>
      </c>
      <c r="R543">
        <f>IF($P543="","",IFERROR(INDEX(WageParty,MATCH($Q543,WageIds,0)),""))</f>
        <v/>
      </c>
      <c r="S543">
        <f>IF($P543="","",IFERROR(INDEX($F$6:$F$2005,MATCH($Q543,WageIds,0)),""))</f>
        <v/>
      </c>
      <c r="T543">
        <f>IF(OR($P543="",$S543="",$S543="نامعتبر"),"",LEFT($S543,4)&amp;MID($S543,6,2)&amp;RIGHT($S543,2)&amp;"0000"&amp;"|"&amp;"2"&amp;RIGHT("00000"&amp;538,5))</f>
        <v/>
      </c>
      <c r="U543">
        <f>IF($T543="","",COUNTIFS(LdAParty,$P543,LdAType,1,LdAKey,"&lt;"&amp;$T543)+COUNTIFS(LdBMember,$P543,LdBKey,"&lt;"&amp;$T543)+COUNTIFS(LdCParty,$P543,LdCKey,"&lt;"&amp;$T543)+1)</f>
        <v/>
      </c>
      <c r="V543">
        <f>IF($U543="","",$P543&amp;"|"&amp;RIGHT("000000"&amp;$U543,6))</f>
        <v/>
      </c>
      <c r="W543">
        <f>IF($T543="","",COUNTIFS(LdBGroup,$R543,LdBKey,"&lt;"&amp;$T543)+1)</f>
        <v/>
      </c>
      <c r="X543">
        <f>IF($W543="","",$R543&amp;"|"&amp;RIGHT("000000"&amp;$W543,6))</f>
        <v/>
      </c>
      <c r="Y543">
        <f>IF($P543="","",IF(Shares!$E546="",0,Shares!$E546))</f>
        <v/>
      </c>
      <c r="Z543">
        <f>IF($P543="","",Shares!$H546)</f>
        <v/>
      </c>
      <c r="AE543">
        <f>IF(OR(Sync!$S543="",Sync!$P543=""),"",Sync!$S543)</f>
        <v/>
      </c>
      <c r="AF543">
        <f>IF($AE543="","",IF(ISNUMBER(Sync!$P543),IF(AND(Sync!$P543&gt;=10000101,Sync!$P543&lt;=99991231),INT(Sync!$P543/10000),""),IFERROR(VALUE(TRIM(LEFT(Sync!$P543,FIND("/",Sync!$P543)-1))),"")))</f>
        <v/>
      </c>
      <c r="AG543">
        <f>IF(OR($AE543="",$AF543=""),"",IF(ISNUMBER(Sync!$P543),INT(MOD(Sync!$P543,10000)/100),IFERROR(VALUE(TRIM(LEFT(MID(Sync!$P543,FIND("/",Sync!$P543)+1,20),FIND("/",MID(Sync!$P543,FIND("/",Sync!$P543)+1,20))-1))),"")))</f>
        <v/>
      </c>
      <c r="AH543">
        <f>IF(OR($AE543="",$AF543=""),"",IF(ISNUMBER(Sync!$P543),MOD(Sync!$P543,100),IFERROR(VALUE(TRIM(MID(MID(Sync!$P543,FIND("/",Sync!$P543)+1,20),FIND("/",MID(Sync!$P543,FIND("/",Sync!$P543)+1,20))+1,20))),"")))</f>
        <v/>
      </c>
      <c r="AI543">
        <f>IF($AE543="","",IF(OR($AF543="",$AG543="",$AH543="",$AF543&lt;1300,$AF543&gt;1500,$AG543&lt;1,$AG543&gt;12,$AH543&lt;1,$AH543&gt;31),"نامعتبر",RIGHT("0000"&amp;$AF543,4)&amp;"/"&amp;RIGHT("00"&amp;$AG543,2)&amp;"/"&amp;RIGHT("00"&amp;$AH543,2)))</f>
        <v/>
      </c>
      <c r="AJ543">
        <f>IF($AE543="","",IF(Sync!$Q543="","0000",IF(AND(ISNUMBER(Sync!$Q543),Sync!$Q543&gt;=0,Sync!$Q543&lt;1),RIGHT("00"&amp;HOUR(Sync!$Q543),2)&amp;RIGHT("00"&amp;MINUTE(Sync!$Q543),2),IFERROR(RIGHT("00"&amp;VALUE(LEFT(Sync!$Q543,FIND(":",Sync!$Q543)-1)),2)&amp;RIGHT("00"&amp;VALUE(MID(Sync!$Q543,FIND(":",Sync!$Q543)+1,2)),2),"0000"))))</f>
        <v/>
      </c>
      <c r="AK543">
        <f>IF(OR($AE543="",$AI543="",$AI543="نامعتبر"),"",LEFT($AI543,4)&amp;MID($AI543,6,2)&amp;RIGHT($AI543,2)&amp;$AJ543&amp;"|"&amp;"3"&amp;RIGHT("00000"&amp;538,5))</f>
        <v/>
      </c>
      <c r="AL543">
        <f>IF($AK543="","",COUNTIFS(LdAParty,$AE543,LdAType,1,LdAKey,"&lt;"&amp;$AK543)+COUNTIFS(LdBMember,$AE543,LdBKey,"&lt;"&amp;$AK543)+COUNTIFS(LdCParty,$AE543,LdCKey,"&lt;"&amp;$AK543)+1)</f>
        <v/>
      </c>
      <c r="AM543">
        <f>IF($AL543="","",$AE543&amp;"|"&amp;RIGHT("000000"&amp;$AL543,6))</f>
        <v/>
      </c>
      <c r="AN543">
        <f>IF($AE543="","",IF(Sync!$W543="",0,Sync!$W543))</f>
        <v/>
      </c>
      <c r="AO543">
        <f>IF($AE543="","",IF(Sync!$X543="",0,Sync!$X543))</f>
        <v/>
      </c>
      <c r="AP543">
        <f>IF($AE543="","",Sync!$R543)</f>
        <v/>
      </c>
      <c r="AQ543">
        <f>IF($AE543="","",Sync!$Y543)</f>
        <v/>
      </c>
    </row>
    <row r="544">
      <c r="A544">
        <f>IF(OR(Wages!$B547="",Wages!$E547=""),"",Wages!$E547)</f>
        <v/>
      </c>
      <c r="B544">
        <f>IF($A544="","",IF(Wages!$C547="دستمزد گروهی",2,1))</f>
        <v/>
      </c>
      <c r="C544">
        <f>IF($A544="","",IF(ISNUMBER(Wages!$B547),IF(AND(Wages!$B547&gt;=10000101,Wages!$B547&lt;=99991231),INT(Wages!$B547/10000),""),IFERROR(VALUE(TRIM(LEFT(Wages!$B547,FIND("/",Wages!$B547)-1))),"")))</f>
        <v/>
      </c>
      <c r="D544">
        <f>IF(OR($A544="",$C544=""),"",IF(ISNUMBER(Wages!$B547),INT(MOD(Wages!$B547,10000)/100),IFERROR(VALUE(TRIM(LEFT(MID(Wages!$B547,FIND("/",Wages!$B547)+1,20),FIND("/",MID(Wages!$B547,FIND("/",Wages!$B547)+1,20))-1))),"")))</f>
        <v/>
      </c>
      <c r="E544">
        <f>IF(OR($A544="",$C544=""),"",IF(ISNUMBER(Wages!$B547),MOD(Wages!$B547,100),IFERROR(VALUE(TRIM(MID(MID(Wages!$B547,FIND("/",Wages!$B547)+1,20),FIND("/",MID(Wages!$B547,FIND("/",Wages!$B547)+1,20))+1,20))),"")))</f>
        <v/>
      </c>
      <c r="F544">
        <f>IF($A544="","",IF(OR($C544="",$D544="",$E544="",$C544&lt;1300,$C544&gt;1500,$D544&lt;1,$D544&gt;12,$E544&lt;1,$E544&gt;31),"نامعتبر",RIGHT("0000"&amp;$C544,4)&amp;"/"&amp;RIGHT("00"&amp;$D544,2)&amp;"/"&amp;RIGHT("00"&amp;$E544,2)))</f>
        <v/>
      </c>
      <c r="G544">
        <f>IF(OR($A544="",$F544="",$F544="نامعتبر"),"",LEFT($F544,4)&amp;MID($F544,6,2)&amp;RIGHT($F544,2)&amp;"0000"&amp;"|"&amp;"1"&amp;RIGHT("00000"&amp;539,5))</f>
        <v/>
      </c>
      <c r="H544">
        <f>IF(OR($B544&lt;&gt;1,$G544=""),"",COUNTIFS(LdAParty,$A544,LdAType,1,LdAKey,"&lt;"&amp;$G544)+COUNTIFS(LdBMember,$A544,LdBKey,"&lt;"&amp;$G544)+COUNTIFS(LdCParty,$A544,LdCKey,"&lt;"&amp;$G544)+1)</f>
        <v/>
      </c>
      <c r="I544">
        <f>IF($H544="","",$A544&amp;"|"&amp;RIGHT("000000"&amp;$H544,6))</f>
        <v/>
      </c>
      <c r="J544">
        <f>IF(OR($B544&lt;&gt;2,$G544=""),"",COUNTIFS(LdAParty,$A544,LdAType,2,LdAKey,"&lt;"&amp;$G544)+1)</f>
        <v/>
      </c>
      <c r="K544">
        <f>IF($J544="","",$A544&amp;"|"&amp;RIGHT("000000"&amp;$J544,6))</f>
        <v/>
      </c>
      <c r="L544">
        <f>IF($A544="","",IF(Wages!$G547="",0,Wages!$G547))</f>
        <v/>
      </c>
      <c r="M544">
        <f>IF($A544="","",Wages!$J547)</f>
        <v/>
      </c>
      <c r="N544">
        <f>IF($A544="","",Wages!$D547)</f>
        <v/>
      </c>
      <c r="P544">
        <f>IF(OR(Shares!$B547="",Shares!$C547=""),"",Shares!$C547)</f>
        <v/>
      </c>
      <c r="Q544">
        <f>IF($P544="","",Shares!$B547)</f>
        <v/>
      </c>
      <c r="R544">
        <f>IF($P544="","",IFERROR(INDEX(WageParty,MATCH($Q544,WageIds,0)),""))</f>
        <v/>
      </c>
      <c r="S544">
        <f>IF($P544="","",IFERROR(INDEX($F$6:$F$2005,MATCH($Q544,WageIds,0)),""))</f>
        <v/>
      </c>
      <c r="T544">
        <f>IF(OR($P544="",$S544="",$S544="نامعتبر"),"",LEFT($S544,4)&amp;MID($S544,6,2)&amp;RIGHT($S544,2)&amp;"0000"&amp;"|"&amp;"2"&amp;RIGHT("00000"&amp;539,5))</f>
        <v/>
      </c>
      <c r="U544">
        <f>IF($T544="","",COUNTIFS(LdAParty,$P544,LdAType,1,LdAKey,"&lt;"&amp;$T544)+COUNTIFS(LdBMember,$P544,LdBKey,"&lt;"&amp;$T544)+COUNTIFS(LdCParty,$P544,LdCKey,"&lt;"&amp;$T544)+1)</f>
        <v/>
      </c>
      <c r="V544">
        <f>IF($U544="","",$P544&amp;"|"&amp;RIGHT("000000"&amp;$U544,6))</f>
        <v/>
      </c>
      <c r="W544">
        <f>IF($T544="","",COUNTIFS(LdBGroup,$R544,LdBKey,"&lt;"&amp;$T544)+1)</f>
        <v/>
      </c>
      <c r="X544">
        <f>IF($W544="","",$R544&amp;"|"&amp;RIGHT("000000"&amp;$W544,6))</f>
        <v/>
      </c>
      <c r="Y544">
        <f>IF($P544="","",IF(Shares!$E547="",0,Shares!$E547))</f>
        <v/>
      </c>
      <c r="Z544">
        <f>IF($P544="","",Shares!$H547)</f>
        <v/>
      </c>
      <c r="AE544">
        <f>IF(OR(Sync!$S544="",Sync!$P544=""),"",Sync!$S544)</f>
        <v/>
      </c>
      <c r="AF544">
        <f>IF($AE544="","",IF(ISNUMBER(Sync!$P544),IF(AND(Sync!$P544&gt;=10000101,Sync!$P544&lt;=99991231),INT(Sync!$P544/10000),""),IFERROR(VALUE(TRIM(LEFT(Sync!$P544,FIND("/",Sync!$P544)-1))),"")))</f>
        <v/>
      </c>
      <c r="AG544">
        <f>IF(OR($AE544="",$AF544=""),"",IF(ISNUMBER(Sync!$P544),INT(MOD(Sync!$P544,10000)/100),IFERROR(VALUE(TRIM(LEFT(MID(Sync!$P544,FIND("/",Sync!$P544)+1,20),FIND("/",MID(Sync!$P544,FIND("/",Sync!$P544)+1,20))-1))),"")))</f>
        <v/>
      </c>
      <c r="AH544">
        <f>IF(OR($AE544="",$AF544=""),"",IF(ISNUMBER(Sync!$P544),MOD(Sync!$P544,100),IFERROR(VALUE(TRIM(MID(MID(Sync!$P544,FIND("/",Sync!$P544)+1,20),FIND("/",MID(Sync!$P544,FIND("/",Sync!$P544)+1,20))+1,20))),"")))</f>
        <v/>
      </c>
      <c r="AI544">
        <f>IF($AE544="","",IF(OR($AF544="",$AG544="",$AH544="",$AF544&lt;1300,$AF544&gt;1500,$AG544&lt;1,$AG544&gt;12,$AH544&lt;1,$AH544&gt;31),"نامعتبر",RIGHT("0000"&amp;$AF544,4)&amp;"/"&amp;RIGHT("00"&amp;$AG544,2)&amp;"/"&amp;RIGHT("00"&amp;$AH544,2)))</f>
        <v/>
      </c>
      <c r="AJ544">
        <f>IF($AE544="","",IF(Sync!$Q544="","0000",IF(AND(ISNUMBER(Sync!$Q544),Sync!$Q544&gt;=0,Sync!$Q544&lt;1),RIGHT("00"&amp;HOUR(Sync!$Q544),2)&amp;RIGHT("00"&amp;MINUTE(Sync!$Q544),2),IFERROR(RIGHT("00"&amp;VALUE(LEFT(Sync!$Q544,FIND(":",Sync!$Q544)-1)),2)&amp;RIGHT("00"&amp;VALUE(MID(Sync!$Q544,FIND(":",Sync!$Q544)+1,2)),2),"0000"))))</f>
        <v/>
      </c>
      <c r="AK544">
        <f>IF(OR($AE544="",$AI544="",$AI544="نامعتبر"),"",LEFT($AI544,4)&amp;MID($AI544,6,2)&amp;RIGHT($AI544,2)&amp;$AJ544&amp;"|"&amp;"3"&amp;RIGHT("00000"&amp;539,5))</f>
        <v/>
      </c>
      <c r="AL544">
        <f>IF($AK544="","",COUNTIFS(LdAParty,$AE544,LdAType,1,LdAKey,"&lt;"&amp;$AK544)+COUNTIFS(LdBMember,$AE544,LdBKey,"&lt;"&amp;$AK544)+COUNTIFS(LdCParty,$AE544,LdCKey,"&lt;"&amp;$AK544)+1)</f>
        <v/>
      </c>
      <c r="AM544">
        <f>IF($AL544="","",$AE544&amp;"|"&amp;RIGHT("000000"&amp;$AL544,6))</f>
        <v/>
      </c>
      <c r="AN544">
        <f>IF($AE544="","",IF(Sync!$W544="",0,Sync!$W544))</f>
        <v/>
      </c>
      <c r="AO544">
        <f>IF($AE544="","",IF(Sync!$X544="",0,Sync!$X544))</f>
        <v/>
      </c>
      <c r="AP544">
        <f>IF($AE544="","",Sync!$R544)</f>
        <v/>
      </c>
      <c r="AQ544">
        <f>IF($AE544="","",Sync!$Y544)</f>
        <v/>
      </c>
    </row>
    <row r="545">
      <c r="A545">
        <f>IF(OR(Wages!$B548="",Wages!$E548=""),"",Wages!$E548)</f>
        <v/>
      </c>
      <c r="B545">
        <f>IF($A545="","",IF(Wages!$C548="دستمزد گروهی",2,1))</f>
        <v/>
      </c>
      <c r="C545">
        <f>IF($A545="","",IF(ISNUMBER(Wages!$B548),IF(AND(Wages!$B548&gt;=10000101,Wages!$B548&lt;=99991231),INT(Wages!$B548/10000),""),IFERROR(VALUE(TRIM(LEFT(Wages!$B548,FIND("/",Wages!$B548)-1))),"")))</f>
        <v/>
      </c>
      <c r="D545">
        <f>IF(OR($A545="",$C545=""),"",IF(ISNUMBER(Wages!$B548),INT(MOD(Wages!$B548,10000)/100),IFERROR(VALUE(TRIM(LEFT(MID(Wages!$B548,FIND("/",Wages!$B548)+1,20),FIND("/",MID(Wages!$B548,FIND("/",Wages!$B548)+1,20))-1))),"")))</f>
        <v/>
      </c>
      <c r="E545">
        <f>IF(OR($A545="",$C545=""),"",IF(ISNUMBER(Wages!$B548),MOD(Wages!$B548,100),IFERROR(VALUE(TRIM(MID(MID(Wages!$B548,FIND("/",Wages!$B548)+1,20),FIND("/",MID(Wages!$B548,FIND("/",Wages!$B548)+1,20))+1,20))),"")))</f>
        <v/>
      </c>
      <c r="F545">
        <f>IF($A545="","",IF(OR($C545="",$D545="",$E545="",$C545&lt;1300,$C545&gt;1500,$D545&lt;1,$D545&gt;12,$E545&lt;1,$E545&gt;31),"نامعتبر",RIGHT("0000"&amp;$C545,4)&amp;"/"&amp;RIGHT("00"&amp;$D545,2)&amp;"/"&amp;RIGHT("00"&amp;$E545,2)))</f>
        <v/>
      </c>
      <c r="G545">
        <f>IF(OR($A545="",$F545="",$F545="نامعتبر"),"",LEFT($F545,4)&amp;MID($F545,6,2)&amp;RIGHT($F545,2)&amp;"0000"&amp;"|"&amp;"1"&amp;RIGHT("00000"&amp;540,5))</f>
        <v/>
      </c>
      <c r="H545">
        <f>IF(OR($B545&lt;&gt;1,$G545=""),"",COUNTIFS(LdAParty,$A545,LdAType,1,LdAKey,"&lt;"&amp;$G545)+COUNTIFS(LdBMember,$A545,LdBKey,"&lt;"&amp;$G545)+COUNTIFS(LdCParty,$A545,LdCKey,"&lt;"&amp;$G545)+1)</f>
        <v/>
      </c>
      <c r="I545">
        <f>IF($H545="","",$A545&amp;"|"&amp;RIGHT("000000"&amp;$H545,6))</f>
        <v/>
      </c>
      <c r="J545">
        <f>IF(OR($B545&lt;&gt;2,$G545=""),"",COUNTIFS(LdAParty,$A545,LdAType,2,LdAKey,"&lt;"&amp;$G545)+1)</f>
        <v/>
      </c>
      <c r="K545">
        <f>IF($J545="","",$A545&amp;"|"&amp;RIGHT("000000"&amp;$J545,6))</f>
        <v/>
      </c>
      <c r="L545">
        <f>IF($A545="","",IF(Wages!$G548="",0,Wages!$G548))</f>
        <v/>
      </c>
      <c r="M545">
        <f>IF($A545="","",Wages!$J548)</f>
        <v/>
      </c>
      <c r="N545">
        <f>IF($A545="","",Wages!$D548)</f>
        <v/>
      </c>
      <c r="P545">
        <f>IF(OR(Shares!$B548="",Shares!$C548=""),"",Shares!$C548)</f>
        <v/>
      </c>
      <c r="Q545">
        <f>IF($P545="","",Shares!$B548)</f>
        <v/>
      </c>
      <c r="R545">
        <f>IF($P545="","",IFERROR(INDEX(WageParty,MATCH($Q545,WageIds,0)),""))</f>
        <v/>
      </c>
      <c r="S545">
        <f>IF($P545="","",IFERROR(INDEX($F$6:$F$2005,MATCH($Q545,WageIds,0)),""))</f>
        <v/>
      </c>
      <c r="T545">
        <f>IF(OR($P545="",$S545="",$S545="نامعتبر"),"",LEFT($S545,4)&amp;MID($S545,6,2)&amp;RIGHT($S545,2)&amp;"0000"&amp;"|"&amp;"2"&amp;RIGHT("00000"&amp;540,5))</f>
        <v/>
      </c>
      <c r="U545">
        <f>IF($T545="","",COUNTIFS(LdAParty,$P545,LdAType,1,LdAKey,"&lt;"&amp;$T545)+COUNTIFS(LdBMember,$P545,LdBKey,"&lt;"&amp;$T545)+COUNTIFS(LdCParty,$P545,LdCKey,"&lt;"&amp;$T545)+1)</f>
        <v/>
      </c>
      <c r="V545">
        <f>IF($U545="","",$P545&amp;"|"&amp;RIGHT("000000"&amp;$U545,6))</f>
        <v/>
      </c>
      <c r="W545">
        <f>IF($T545="","",COUNTIFS(LdBGroup,$R545,LdBKey,"&lt;"&amp;$T545)+1)</f>
        <v/>
      </c>
      <c r="X545">
        <f>IF($W545="","",$R545&amp;"|"&amp;RIGHT("000000"&amp;$W545,6))</f>
        <v/>
      </c>
      <c r="Y545">
        <f>IF($P545="","",IF(Shares!$E548="",0,Shares!$E548))</f>
        <v/>
      </c>
      <c r="Z545">
        <f>IF($P545="","",Shares!$H548)</f>
        <v/>
      </c>
      <c r="AE545">
        <f>IF(OR(Sync!$S545="",Sync!$P545=""),"",Sync!$S545)</f>
        <v/>
      </c>
      <c r="AF545">
        <f>IF($AE545="","",IF(ISNUMBER(Sync!$P545),IF(AND(Sync!$P545&gt;=10000101,Sync!$P545&lt;=99991231),INT(Sync!$P545/10000),""),IFERROR(VALUE(TRIM(LEFT(Sync!$P545,FIND("/",Sync!$P545)-1))),"")))</f>
        <v/>
      </c>
      <c r="AG545">
        <f>IF(OR($AE545="",$AF545=""),"",IF(ISNUMBER(Sync!$P545),INT(MOD(Sync!$P545,10000)/100),IFERROR(VALUE(TRIM(LEFT(MID(Sync!$P545,FIND("/",Sync!$P545)+1,20),FIND("/",MID(Sync!$P545,FIND("/",Sync!$P545)+1,20))-1))),"")))</f>
        <v/>
      </c>
      <c r="AH545">
        <f>IF(OR($AE545="",$AF545=""),"",IF(ISNUMBER(Sync!$P545),MOD(Sync!$P545,100),IFERROR(VALUE(TRIM(MID(MID(Sync!$P545,FIND("/",Sync!$P545)+1,20),FIND("/",MID(Sync!$P545,FIND("/",Sync!$P545)+1,20))+1,20))),"")))</f>
        <v/>
      </c>
      <c r="AI545">
        <f>IF($AE545="","",IF(OR($AF545="",$AG545="",$AH545="",$AF545&lt;1300,$AF545&gt;1500,$AG545&lt;1,$AG545&gt;12,$AH545&lt;1,$AH545&gt;31),"نامعتبر",RIGHT("0000"&amp;$AF545,4)&amp;"/"&amp;RIGHT("00"&amp;$AG545,2)&amp;"/"&amp;RIGHT("00"&amp;$AH545,2)))</f>
        <v/>
      </c>
      <c r="AJ545">
        <f>IF($AE545="","",IF(Sync!$Q545="","0000",IF(AND(ISNUMBER(Sync!$Q545),Sync!$Q545&gt;=0,Sync!$Q545&lt;1),RIGHT("00"&amp;HOUR(Sync!$Q545),2)&amp;RIGHT("00"&amp;MINUTE(Sync!$Q545),2),IFERROR(RIGHT("00"&amp;VALUE(LEFT(Sync!$Q545,FIND(":",Sync!$Q545)-1)),2)&amp;RIGHT("00"&amp;VALUE(MID(Sync!$Q545,FIND(":",Sync!$Q545)+1,2)),2),"0000"))))</f>
        <v/>
      </c>
      <c r="AK545">
        <f>IF(OR($AE545="",$AI545="",$AI545="نامعتبر"),"",LEFT($AI545,4)&amp;MID($AI545,6,2)&amp;RIGHT($AI545,2)&amp;$AJ545&amp;"|"&amp;"3"&amp;RIGHT("00000"&amp;540,5))</f>
        <v/>
      </c>
      <c r="AL545">
        <f>IF($AK545="","",COUNTIFS(LdAParty,$AE545,LdAType,1,LdAKey,"&lt;"&amp;$AK545)+COUNTIFS(LdBMember,$AE545,LdBKey,"&lt;"&amp;$AK545)+COUNTIFS(LdCParty,$AE545,LdCKey,"&lt;"&amp;$AK545)+1)</f>
        <v/>
      </c>
      <c r="AM545">
        <f>IF($AL545="","",$AE545&amp;"|"&amp;RIGHT("000000"&amp;$AL545,6))</f>
        <v/>
      </c>
      <c r="AN545">
        <f>IF($AE545="","",IF(Sync!$W545="",0,Sync!$W545))</f>
        <v/>
      </c>
      <c r="AO545">
        <f>IF($AE545="","",IF(Sync!$X545="",0,Sync!$X545))</f>
        <v/>
      </c>
      <c r="AP545">
        <f>IF($AE545="","",Sync!$R545)</f>
        <v/>
      </c>
      <c r="AQ545">
        <f>IF($AE545="","",Sync!$Y545)</f>
        <v/>
      </c>
    </row>
    <row r="546">
      <c r="A546">
        <f>IF(OR(Wages!$B549="",Wages!$E549=""),"",Wages!$E549)</f>
        <v/>
      </c>
      <c r="B546">
        <f>IF($A546="","",IF(Wages!$C549="دستمزد گروهی",2,1))</f>
        <v/>
      </c>
      <c r="C546">
        <f>IF($A546="","",IF(ISNUMBER(Wages!$B549),IF(AND(Wages!$B549&gt;=10000101,Wages!$B549&lt;=99991231),INT(Wages!$B549/10000),""),IFERROR(VALUE(TRIM(LEFT(Wages!$B549,FIND("/",Wages!$B549)-1))),"")))</f>
        <v/>
      </c>
      <c r="D546">
        <f>IF(OR($A546="",$C546=""),"",IF(ISNUMBER(Wages!$B549),INT(MOD(Wages!$B549,10000)/100),IFERROR(VALUE(TRIM(LEFT(MID(Wages!$B549,FIND("/",Wages!$B549)+1,20),FIND("/",MID(Wages!$B549,FIND("/",Wages!$B549)+1,20))-1))),"")))</f>
        <v/>
      </c>
      <c r="E546">
        <f>IF(OR($A546="",$C546=""),"",IF(ISNUMBER(Wages!$B549),MOD(Wages!$B549,100),IFERROR(VALUE(TRIM(MID(MID(Wages!$B549,FIND("/",Wages!$B549)+1,20),FIND("/",MID(Wages!$B549,FIND("/",Wages!$B549)+1,20))+1,20))),"")))</f>
        <v/>
      </c>
      <c r="F546">
        <f>IF($A546="","",IF(OR($C546="",$D546="",$E546="",$C546&lt;1300,$C546&gt;1500,$D546&lt;1,$D546&gt;12,$E546&lt;1,$E546&gt;31),"نامعتبر",RIGHT("0000"&amp;$C546,4)&amp;"/"&amp;RIGHT("00"&amp;$D546,2)&amp;"/"&amp;RIGHT("00"&amp;$E546,2)))</f>
        <v/>
      </c>
      <c r="G546">
        <f>IF(OR($A546="",$F546="",$F546="نامعتبر"),"",LEFT($F546,4)&amp;MID($F546,6,2)&amp;RIGHT($F546,2)&amp;"0000"&amp;"|"&amp;"1"&amp;RIGHT("00000"&amp;541,5))</f>
        <v/>
      </c>
      <c r="H546">
        <f>IF(OR($B546&lt;&gt;1,$G546=""),"",COUNTIFS(LdAParty,$A546,LdAType,1,LdAKey,"&lt;"&amp;$G546)+COUNTIFS(LdBMember,$A546,LdBKey,"&lt;"&amp;$G546)+COUNTIFS(LdCParty,$A546,LdCKey,"&lt;"&amp;$G546)+1)</f>
        <v/>
      </c>
      <c r="I546">
        <f>IF($H546="","",$A546&amp;"|"&amp;RIGHT("000000"&amp;$H546,6))</f>
        <v/>
      </c>
      <c r="J546">
        <f>IF(OR($B546&lt;&gt;2,$G546=""),"",COUNTIFS(LdAParty,$A546,LdAType,2,LdAKey,"&lt;"&amp;$G546)+1)</f>
        <v/>
      </c>
      <c r="K546">
        <f>IF($J546="","",$A546&amp;"|"&amp;RIGHT("000000"&amp;$J546,6))</f>
        <v/>
      </c>
      <c r="L546">
        <f>IF($A546="","",IF(Wages!$G549="",0,Wages!$G549))</f>
        <v/>
      </c>
      <c r="M546">
        <f>IF($A546="","",Wages!$J549)</f>
        <v/>
      </c>
      <c r="N546">
        <f>IF($A546="","",Wages!$D549)</f>
        <v/>
      </c>
      <c r="P546">
        <f>IF(OR(Shares!$B549="",Shares!$C549=""),"",Shares!$C549)</f>
        <v/>
      </c>
      <c r="Q546">
        <f>IF($P546="","",Shares!$B549)</f>
        <v/>
      </c>
      <c r="R546">
        <f>IF($P546="","",IFERROR(INDEX(WageParty,MATCH($Q546,WageIds,0)),""))</f>
        <v/>
      </c>
      <c r="S546">
        <f>IF($P546="","",IFERROR(INDEX($F$6:$F$2005,MATCH($Q546,WageIds,0)),""))</f>
        <v/>
      </c>
      <c r="T546">
        <f>IF(OR($P546="",$S546="",$S546="نامعتبر"),"",LEFT($S546,4)&amp;MID($S546,6,2)&amp;RIGHT($S546,2)&amp;"0000"&amp;"|"&amp;"2"&amp;RIGHT("00000"&amp;541,5))</f>
        <v/>
      </c>
      <c r="U546">
        <f>IF($T546="","",COUNTIFS(LdAParty,$P546,LdAType,1,LdAKey,"&lt;"&amp;$T546)+COUNTIFS(LdBMember,$P546,LdBKey,"&lt;"&amp;$T546)+COUNTIFS(LdCParty,$P546,LdCKey,"&lt;"&amp;$T546)+1)</f>
        <v/>
      </c>
      <c r="V546">
        <f>IF($U546="","",$P546&amp;"|"&amp;RIGHT("000000"&amp;$U546,6))</f>
        <v/>
      </c>
      <c r="W546">
        <f>IF($T546="","",COUNTIFS(LdBGroup,$R546,LdBKey,"&lt;"&amp;$T546)+1)</f>
        <v/>
      </c>
      <c r="X546">
        <f>IF($W546="","",$R546&amp;"|"&amp;RIGHT("000000"&amp;$W546,6))</f>
        <v/>
      </c>
      <c r="Y546">
        <f>IF($P546="","",IF(Shares!$E549="",0,Shares!$E549))</f>
        <v/>
      </c>
      <c r="Z546">
        <f>IF($P546="","",Shares!$H549)</f>
        <v/>
      </c>
      <c r="AE546">
        <f>IF(OR(Sync!$S546="",Sync!$P546=""),"",Sync!$S546)</f>
        <v/>
      </c>
      <c r="AF546">
        <f>IF($AE546="","",IF(ISNUMBER(Sync!$P546),IF(AND(Sync!$P546&gt;=10000101,Sync!$P546&lt;=99991231),INT(Sync!$P546/10000),""),IFERROR(VALUE(TRIM(LEFT(Sync!$P546,FIND("/",Sync!$P546)-1))),"")))</f>
        <v/>
      </c>
      <c r="AG546">
        <f>IF(OR($AE546="",$AF546=""),"",IF(ISNUMBER(Sync!$P546),INT(MOD(Sync!$P546,10000)/100),IFERROR(VALUE(TRIM(LEFT(MID(Sync!$P546,FIND("/",Sync!$P546)+1,20),FIND("/",MID(Sync!$P546,FIND("/",Sync!$P546)+1,20))-1))),"")))</f>
        <v/>
      </c>
      <c r="AH546">
        <f>IF(OR($AE546="",$AF546=""),"",IF(ISNUMBER(Sync!$P546),MOD(Sync!$P546,100),IFERROR(VALUE(TRIM(MID(MID(Sync!$P546,FIND("/",Sync!$P546)+1,20),FIND("/",MID(Sync!$P546,FIND("/",Sync!$P546)+1,20))+1,20))),"")))</f>
        <v/>
      </c>
      <c r="AI546">
        <f>IF($AE546="","",IF(OR($AF546="",$AG546="",$AH546="",$AF546&lt;1300,$AF546&gt;1500,$AG546&lt;1,$AG546&gt;12,$AH546&lt;1,$AH546&gt;31),"نامعتبر",RIGHT("0000"&amp;$AF546,4)&amp;"/"&amp;RIGHT("00"&amp;$AG546,2)&amp;"/"&amp;RIGHT("00"&amp;$AH546,2)))</f>
        <v/>
      </c>
      <c r="AJ546">
        <f>IF($AE546="","",IF(Sync!$Q546="","0000",IF(AND(ISNUMBER(Sync!$Q546),Sync!$Q546&gt;=0,Sync!$Q546&lt;1),RIGHT("00"&amp;HOUR(Sync!$Q546),2)&amp;RIGHT("00"&amp;MINUTE(Sync!$Q546),2),IFERROR(RIGHT("00"&amp;VALUE(LEFT(Sync!$Q546,FIND(":",Sync!$Q546)-1)),2)&amp;RIGHT("00"&amp;VALUE(MID(Sync!$Q546,FIND(":",Sync!$Q546)+1,2)),2),"0000"))))</f>
        <v/>
      </c>
      <c r="AK546">
        <f>IF(OR($AE546="",$AI546="",$AI546="نامعتبر"),"",LEFT($AI546,4)&amp;MID($AI546,6,2)&amp;RIGHT($AI546,2)&amp;$AJ546&amp;"|"&amp;"3"&amp;RIGHT("00000"&amp;541,5))</f>
        <v/>
      </c>
      <c r="AL546">
        <f>IF($AK546="","",COUNTIFS(LdAParty,$AE546,LdAType,1,LdAKey,"&lt;"&amp;$AK546)+COUNTIFS(LdBMember,$AE546,LdBKey,"&lt;"&amp;$AK546)+COUNTIFS(LdCParty,$AE546,LdCKey,"&lt;"&amp;$AK546)+1)</f>
        <v/>
      </c>
      <c r="AM546">
        <f>IF($AL546="","",$AE546&amp;"|"&amp;RIGHT("000000"&amp;$AL546,6))</f>
        <v/>
      </c>
      <c r="AN546">
        <f>IF($AE546="","",IF(Sync!$W546="",0,Sync!$W546))</f>
        <v/>
      </c>
      <c r="AO546">
        <f>IF($AE546="","",IF(Sync!$X546="",0,Sync!$X546))</f>
        <v/>
      </c>
      <c r="AP546">
        <f>IF($AE546="","",Sync!$R546)</f>
        <v/>
      </c>
      <c r="AQ546">
        <f>IF($AE546="","",Sync!$Y546)</f>
        <v/>
      </c>
    </row>
    <row r="547">
      <c r="A547">
        <f>IF(OR(Wages!$B550="",Wages!$E550=""),"",Wages!$E550)</f>
        <v/>
      </c>
      <c r="B547">
        <f>IF($A547="","",IF(Wages!$C550="دستمزد گروهی",2,1))</f>
        <v/>
      </c>
      <c r="C547">
        <f>IF($A547="","",IF(ISNUMBER(Wages!$B550),IF(AND(Wages!$B550&gt;=10000101,Wages!$B550&lt;=99991231),INT(Wages!$B550/10000),""),IFERROR(VALUE(TRIM(LEFT(Wages!$B550,FIND("/",Wages!$B550)-1))),"")))</f>
        <v/>
      </c>
      <c r="D547">
        <f>IF(OR($A547="",$C547=""),"",IF(ISNUMBER(Wages!$B550),INT(MOD(Wages!$B550,10000)/100),IFERROR(VALUE(TRIM(LEFT(MID(Wages!$B550,FIND("/",Wages!$B550)+1,20),FIND("/",MID(Wages!$B550,FIND("/",Wages!$B550)+1,20))-1))),"")))</f>
        <v/>
      </c>
      <c r="E547">
        <f>IF(OR($A547="",$C547=""),"",IF(ISNUMBER(Wages!$B550),MOD(Wages!$B550,100),IFERROR(VALUE(TRIM(MID(MID(Wages!$B550,FIND("/",Wages!$B550)+1,20),FIND("/",MID(Wages!$B550,FIND("/",Wages!$B550)+1,20))+1,20))),"")))</f>
        <v/>
      </c>
      <c r="F547">
        <f>IF($A547="","",IF(OR($C547="",$D547="",$E547="",$C547&lt;1300,$C547&gt;1500,$D547&lt;1,$D547&gt;12,$E547&lt;1,$E547&gt;31),"نامعتبر",RIGHT("0000"&amp;$C547,4)&amp;"/"&amp;RIGHT("00"&amp;$D547,2)&amp;"/"&amp;RIGHT("00"&amp;$E547,2)))</f>
        <v/>
      </c>
      <c r="G547">
        <f>IF(OR($A547="",$F547="",$F547="نامعتبر"),"",LEFT($F547,4)&amp;MID($F547,6,2)&amp;RIGHT($F547,2)&amp;"0000"&amp;"|"&amp;"1"&amp;RIGHT("00000"&amp;542,5))</f>
        <v/>
      </c>
      <c r="H547">
        <f>IF(OR($B547&lt;&gt;1,$G547=""),"",COUNTIFS(LdAParty,$A547,LdAType,1,LdAKey,"&lt;"&amp;$G547)+COUNTIFS(LdBMember,$A547,LdBKey,"&lt;"&amp;$G547)+COUNTIFS(LdCParty,$A547,LdCKey,"&lt;"&amp;$G547)+1)</f>
        <v/>
      </c>
      <c r="I547">
        <f>IF($H547="","",$A547&amp;"|"&amp;RIGHT("000000"&amp;$H547,6))</f>
        <v/>
      </c>
      <c r="J547">
        <f>IF(OR($B547&lt;&gt;2,$G547=""),"",COUNTIFS(LdAParty,$A547,LdAType,2,LdAKey,"&lt;"&amp;$G547)+1)</f>
        <v/>
      </c>
      <c r="K547">
        <f>IF($J547="","",$A547&amp;"|"&amp;RIGHT("000000"&amp;$J547,6))</f>
        <v/>
      </c>
      <c r="L547">
        <f>IF($A547="","",IF(Wages!$G550="",0,Wages!$G550))</f>
        <v/>
      </c>
      <c r="M547">
        <f>IF($A547="","",Wages!$J550)</f>
        <v/>
      </c>
      <c r="N547">
        <f>IF($A547="","",Wages!$D550)</f>
        <v/>
      </c>
      <c r="P547">
        <f>IF(OR(Shares!$B550="",Shares!$C550=""),"",Shares!$C550)</f>
        <v/>
      </c>
      <c r="Q547">
        <f>IF($P547="","",Shares!$B550)</f>
        <v/>
      </c>
      <c r="R547">
        <f>IF($P547="","",IFERROR(INDEX(WageParty,MATCH($Q547,WageIds,0)),""))</f>
        <v/>
      </c>
      <c r="S547">
        <f>IF($P547="","",IFERROR(INDEX($F$6:$F$2005,MATCH($Q547,WageIds,0)),""))</f>
        <v/>
      </c>
      <c r="T547">
        <f>IF(OR($P547="",$S547="",$S547="نامعتبر"),"",LEFT($S547,4)&amp;MID($S547,6,2)&amp;RIGHT($S547,2)&amp;"0000"&amp;"|"&amp;"2"&amp;RIGHT("00000"&amp;542,5))</f>
        <v/>
      </c>
      <c r="U547">
        <f>IF($T547="","",COUNTIFS(LdAParty,$P547,LdAType,1,LdAKey,"&lt;"&amp;$T547)+COUNTIFS(LdBMember,$P547,LdBKey,"&lt;"&amp;$T547)+COUNTIFS(LdCParty,$P547,LdCKey,"&lt;"&amp;$T547)+1)</f>
        <v/>
      </c>
      <c r="V547">
        <f>IF($U547="","",$P547&amp;"|"&amp;RIGHT("000000"&amp;$U547,6))</f>
        <v/>
      </c>
      <c r="W547">
        <f>IF($T547="","",COUNTIFS(LdBGroup,$R547,LdBKey,"&lt;"&amp;$T547)+1)</f>
        <v/>
      </c>
      <c r="X547">
        <f>IF($W547="","",$R547&amp;"|"&amp;RIGHT("000000"&amp;$W547,6))</f>
        <v/>
      </c>
      <c r="Y547">
        <f>IF($P547="","",IF(Shares!$E550="",0,Shares!$E550))</f>
        <v/>
      </c>
      <c r="Z547">
        <f>IF($P547="","",Shares!$H550)</f>
        <v/>
      </c>
      <c r="AE547">
        <f>IF(OR(Sync!$S547="",Sync!$P547=""),"",Sync!$S547)</f>
        <v/>
      </c>
      <c r="AF547">
        <f>IF($AE547="","",IF(ISNUMBER(Sync!$P547),IF(AND(Sync!$P547&gt;=10000101,Sync!$P547&lt;=99991231),INT(Sync!$P547/10000),""),IFERROR(VALUE(TRIM(LEFT(Sync!$P547,FIND("/",Sync!$P547)-1))),"")))</f>
        <v/>
      </c>
      <c r="AG547">
        <f>IF(OR($AE547="",$AF547=""),"",IF(ISNUMBER(Sync!$P547),INT(MOD(Sync!$P547,10000)/100),IFERROR(VALUE(TRIM(LEFT(MID(Sync!$P547,FIND("/",Sync!$P547)+1,20),FIND("/",MID(Sync!$P547,FIND("/",Sync!$P547)+1,20))-1))),"")))</f>
        <v/>
      </c>
      <c r="AH547">
        <f>IF(OR($AE547="",$AF547=""),"",IF(ISNUMBER(Sync!$P547),MOD(Sync!$P547,100),IFERROR(VALUE(TRIM(MID(MID(Sync!$P547,FIND("/",Sync!$P547)+1,20),FIND("/",MID(Sync!$P547,FIND("/",Sync!$P547)+1,20))+1,20))),"")))</f>
        <v/>
      </c>
      <c r="AI547">
        <f>IF($AE547="","",IF(OR($AF547="",$AG547="",$AH547="",$AF547&lt;1300,$AF547&gt;1500,$AG547&lt;1,$AG547&gt;12,$AH547&lt;1,$AH547&gt;31),"نامعتبر",RIGHT("0000"&amp;$AF547,4)&amp;"/"&amp;RIGHT("00"&amp;$AG547,2)&amp;"/"&amp;RIGHT("00"&amp;$AH547,2)))</f>
        <v/>
      </c>
      <c r="AJ547">
        <f>IF($AE547="","",IF(Sync!$Q547="","0000",IF(AND(ISNUMBER(Sync!$Q547),Sync!$Q547&gt;=0,Sync!$Q547&lt;1),RIGHT("00"&amp;HOUR(Sync!$Q547),2)&amp;RIGHT("00"&amp;MINUTE(Sync!$Q547),2),IFERROR(RIGHT("00"&amp;VALUE(LEFT(Sync!$Q547,FIND(":",Sync!$Q547)-1)),2)&amp;RIGHT("00"&amp;VALUE(MID(Sync!$Q547,FIND(":",Sync!$Q547)+1,2)),2),"0000"))))</f>
        <v/>
      </c>
      <c r="AK547">
        <f>IF(OR($AE547="",$AI547="",$AI547="نامعتبر"),"",LEFT($AI547,4)&amp;MID($AI547,6,2)&amp;RIGHT($AI547,2)&amp;$AJ547&amp;"|"&amp;"3"&amp;RIGHT("00000"&amp;542,5))</f>
        <v/>
      </c>
      <c r="AL547">
        <f>IF($AK547="","",COUNTIFS(LdAParty,$AE547,LdAType,1,LdAKey,"&lt;"&amp;$AK547)+COUNTIFS(LdBMember,$AE547,LdBKey,"&lt;"&amp;$AK547)+COUNTIFS(LdCParty,$AE547,LdCKey,"&lt;"&amp;$AK547)+1)</f>
        <v/>
      </c>
      <c r="AM547">
        <f>IF($AL547="","",$AE547&amp;"|"&amp;RIGHT("000000"&amp;$AL547,6))</f>
        <v/>
      </c>
      <c r="AN547">
        <f>IF($AE547="","",IF(Sync!$W547="",0,Sync!$W547))</f>
        <v/>
      </c>
      <c r="AO547">
        <f>IF($AE547="","",IF(Sync!$X547="",0,Sync!$X547))</f>
        <v/>
      </c>
      <c r="AP547">
        <f>IF($AE547="","",Sync!$R547)</f>
        <v/>
      </c>
      <c r="AQ547">
        <f>IF($AE547="","",Sync!$Y547)</f>
        <v/>
      </c>
    </row>
    <row r="548">
      <c r="A548">
        <f>IF(OR(Wages!$B551="",Wages!$E551=""),"",Wages!$E551)</f>
        <v/>
      </c>
      <c r="B548">
        <f>IF($A548="","",IF(Wages!$C551="دستمزد گروهی",2,1))</f>
        <v/>
      </c>
      <c r="C548">
        <f>IF($A548="","",IF(ISNUMBER(Wages!$B551),IF(AND(Wages!$B551&gt;=10000101,Wages!$B551&lt;=99991231),INT(Wages!$B551/10000),""),IFERROR(VALUE(TRIM(LEFT(Wages!$B551,FIND("/",Wages!$B551)-1))),"")))</f>
        <v/>
      </c>
      <c r="D548">
        <f>IF(OR($A548="",$C548=""),"",IF(ISNUMBER(Wages!$B551),INT(MOD(Wages!$B551,10000)/100),IFERROR(VALUE(TRIM(LEFT(MID(Wages!$B551,FIND("/",Wages!$B551)+1,20),FIND("/",MID(Wages!$B551,FIND("/",Wages!$B551)+1,20))-1))),"")))</f>
        <v/>
      </c>
      <c r="E548">
        <f>IF(OR($A548="",$C548=""),"",IF(ISNUMBER(Wages!$B551),MOD(Wages!$B551,100),IFERROR(VALUE(TRIM(MID(MID(Wages!$B551,FIND("/",Wages!$B551)+1,20),FIND("/",MID(Wages!$B551,FIND("/",Wages!$B551)+1,20))+1,20))),"")))</f>
        <v/>
      </c>
      <c r="F548">
        <f>IF($A548="","",IF(OR($C548="",$D548="",$E548="",$C548&lt;1300,$C548&gt;1500,$D548&lt;1,$D548&gt;12,$E548&lt;1,$E548&gt;31),"نامعتبر",RIGHT("0000"&amp;$C548,4)&amp;"/"&amp;RIGHT("00"&amp;$D548,2)&amp;"/"&amp;RIGHT("00"&amp;$E548,2)))</f>
        <v/>
      </c>
      <c r="G548">
        <f>IF(OR($A548="",$F548="",$F548="نامعتبر"),"",LEFT($F548,4)&amp;MID($F548,6,2)&amp;RIGHT($F548,2)&amp;"0000"&amp;"|"&amp;"1"&amp;RIGHT("00000"&amp;543,5))</f>
        <v/>
      </c>
      <c r="H548">
        <f>IF(OR($B548&lt;&gt;1,$G548=""),"",COUNTIFS(LdAParty,$A548,LdAType,1,LdAKey,"&lt;"&amp;$G548)+COUNTIFS(LdBMember,$A548,LdBKey,"&lt;"&amp;$G548)+COUNTIFS(LdCParty,$A548,LdCKey,"&lt;"&amp;$G548)+1)</f>
        <v/>
      </c>
      <c r="I548">
        <f>IF($H548="","",$A548&amp;"|"&amp;RIGHT("000000"&amp;$H548,6))</f>
        <v/>
      </c>
      <c r="J548">
        <f>IF(OR($B548&lt;&gt;2,$G548=""),"",COUNTIFS(LdAParty,$A548,LdAType,2,LdAKey,"&lt;"&amp;$G548)+1)</f>
        <v/>
      </c>
      <c r="K548">
        <f>IF($J548="","",$A548&amp;"|"&amp;RIGHT("000000"&amp;$J548,6))</f>
        <v/>
      </c>
      <c r="L548">
        <f>IF($A548="","",IF(Wages!$G551="",0,Wages!$G551))</f>
        <v/>
      </c>
      <c r="M548">
        <f>IF($A548="","",Wages!$J551)</f>
        <v/>
      </c>
      <c r="N548">
        <f>IF($A548="","",Wages!$D551)</f>
        <v/>
      </c>
      <c r="P548">
        <f>IF(OR(Shares!$B551="",Shares!$C551=""),"",Shares!$C551)</f>
        <v/>
      </c>
      <c r="Q548">
        <f>IF($P548="","",Shares!$B551)</f>
        <v/>
      </c>
      <c r="R548">
        <f>IF($P548="","",IFERROR(INDEX(WageParty,MATCH($Q548,WageIds,0)),""))</f>
        <v/>
      </c>
      <c r="S548">
        <f>IF($P548="","",IFERROR(INDEX($F$6:$F$2005,MATCH($Q548,WageIds,0)),""))</f>
        <v/>
      </c>
      <c r="T548">
        <f>IF(OR($P548="",$S548="",$S548="نامعتبر"),"",LEFT($S548,4)&amp;MID($S548,6,2)&amp;RIGHT($S548,2)&amp;"0000"&amp;"|"&amp;"2"&amp;RIGHT("00000"&amp;543,5))</f>
        <v/>
      </c>
      <c r="U548">
        <f>IF($T548="","",COUNTIFS(LdAParty,$P548,LdAType,1,LdAKey,"&lt;"&amp;$T548)+COUNTIFS(LdBMember,$P548,LdBKey,"&lt;"&amp;$T548)+COUNTIFS(LdCParty,$P548,LdCKey,"&lt;"&amp;$T548)+1)</f>
        <v/>
      </c>
      <c r="V548">
        <f>IF($U548="","",$P548&amp;"|"&amp;RIGHT("000000"&amp;$U548,6))</f>
        <v/>
      </c>
      <c r="W548">
        <f>IF($T548="","",COUNTIFS(LdBGroup,$R548,LdBKey,"&lt;"&amp;$T548)+1)</f>
        <v/>
      </c>
      <c r="X548">
        <f>IF($W548="","",$R548&amp;"|"&amp;RIGHT("000000"&amp;$W548,6))</f>
        <v/>
      </c>
      <c r="Y548">
        <f>IF($P548="","",IF(Shares!$E551="",0,Shares!$E551))</f>
        <v/>
      </c>
      <c r="Z548">
        <f>IF($P548="","",Shares!$H551)</f>
        <v/>
      </c>
      <c r="AE548">
        <f>IF(OR(Sync!$S548="",Sync!$P548=""),"",Sync!$S548)</f>
        <v/>
      </c>
      <c r="AF548">
        <f>IF($AE548="","",IF(ISNUMBER(Sync!$P548),IF(AND(Sync!$P548&gt;=10000101,Sync!$P548&lt;=99991231),INT(Sync!$P548/10000),""),IFERROR(VALUE(TRIM(LEFT(Sync!$P548,FIND("/",Sync!$P548)-1))),"")))</f>
        <v/>
      </c>
      <c r="AG548">
        <f>IF(OR($AE548="",$AF548=""),"",IF(ISNUMBER(Sync!$P548),INT(MOD(Sync!$P548,10000)/100),IFERROR(VALUE(TRIM(LEFT(MID(Sync!$P548,FIND("/",Sync!$P548)+1,20),FIND("/",MID(Sync!$P548,FIND("/",Sync!$P548)+1,20))-1))),"")))</f>
        <v/>
      </c>
      <c r="AH548">
        <f>IF(OR($AE548="",$AF548=""),"",IF(ISNUMBER(Sync!$P548),MOD(Sync!$P548,100),IFERROR(VALUE(TRIM(MID(MID(Sync!$P548,FIND("/",Sync!$P548)+1,20),FIND("/",MID(Sync!$P548,FIND("/",Sync!$P548)+1,20))+1,20))),"")))</f>
        <v/>
      </c>
      <c r="AI548">
        <f>IF($AE548="","",IF(OR($AF548="",$AG548="",$AH548="",$AF548&lt;1300,$AF548&gt;1500,$AG548&lt;1,$AG548&gt;12,$AH548&lt;1,$AH548&gt;31),"نامعتبر",RIGHT("0000"&amp;$AF548,4)&amp;"/"&amp;RIGHT("00"&amp;$AG548,2)&amp;"/"&amp;RIGHT("00"&amp;$AH548,2)))</f>
        <v/>
      </c>
      <c r="AJ548">
        <f>IF($AE548="","",IF(Sync!$Q548="","0000",IF(AND(ISNUMBER(Sync!$Q548),Sync!$Q548&gt;=0,Sync!$Q548&lt;1),RIGHT("00"&amp;HOUR(Sync!$Q548),2)&amp;RIGHT("00"&amp;MINUTE(Sync!$Q548),2),IFERROR(RIGHT("00"&amp;VALUE(LEFT(Sync!$Q548,FIND(":",Sync!$Q548)-1)),2)&amp;RIGHT("00"&amp;VALUE(MID(Sync!$Q548,FIND(":",Sync!$Q548)+1,2)),2),"0000"))))</f>
        <v/>
      </c>
      <c r="AK548">
        <f>IF(OR($AE548="",$AI548="",$AI548="نامعتبر"),"",LEFT($AI548,4)&amp;MID($AI548,6,2)&amp;RIGHT($AI548,2)&amp;$AJ548&amp;"|"&amp;"3"&amp;RIGHT("00000"&amp;543,5))</f>
        <v/>
      </c>
      <c r="AL548">
        <f>IF($AK548="","",COUNTIFS(LdAParty,$AE548,LdAType,1,LdAKey,"&lt;"&amp;$AK548)+COUNTIFS(LdBMember,$AE548,LdBKey,"&lt;"&amp;$AK548)+COUNTIFS(LdCParty,$AE548,LdCKey,"&lt;"&amp;$AK548)+1)</f>
        <v/>
      </c>
      <c r="AM548">
        <f>IF($AL548="","",$AE548&amp;"|"&amp;RIGHT("000000"&amp;$AL548,6))</f>
        <v/>
      </c>
      <c r="AN548">
        <f>IF($AE548="","",IF(Sync!$W548="",0,Sync!$W548))</f>
        <v/>
      </c>
      <c r="AO548">
        <f>IF($AE548="","",IF(Sync!$X548="",0,Sync!$X548))</f>
        <v/>
      </c>
      <c r="AP548">
        <f>IF($AE548="","",Sync!$R548)</f>
        <v/>
      </c>
      <c r="AQ548">
        <f>IF($AE548="","",Sync!$Y548)</f>
        <v/>
      </c>
    </row>
    <row r="549">
      <c r="A549">
        <f>IF(OR(Wages!$B552="",Wages!$E552=""),"",Wages!$E552)</f>
        <v/>
      </c>
      <c r="B549">
        <f>IF($A549="","",IF(Wages!$C552="دستمزد گروهی",2,1))</f>
        <v/>
      </c>
      <c r="C549">
        <f>IF($A549="","",IF(ISNUMBER(Wages!$B552),IF(AND(Wages!$B552&gt;=10000101,Wages!$B552&lt;=99991231),INT(Wages!$B552/10000),""),IFERROR(VALUE(TRIM(LEFT(Wages!$B552,FIND("/",Wages!$B552)-1))),"")))</f>
        <v/>
      </c>
      <c r="D549">
        <f>IF(OR($A549="",$C549=""),"",IF(ISNUMBER(Wages!$B552),INT(MOD(Wages!$B552,10000)/100),IFERROR(VALUE(TRIM(LEFT(MID(Wages!$B552,FIND("/",Wages!$B552)+1,20),FIND("/",MID(Wages!$B552,FIND("/",Wages!$B552)+1,20))-1))),"")))</f>
        <v/>
      </c>
      <c r="E549">
        <f>IF(OR($A549="",$C549=""),"",IF(ISNUMBER(Wages!$B552),MOD(Wages!$B552,100),IFERROR(VALUE(TRIM(MID(MID(Wages!$B552,FIND("/",Wages!$B552)+1,20),FIND("/",MID(Wages!$B552,FIND("/",Wages!$B552)+1,20))+1,20))),"")))</f>
        <v/>
      </c>
      <c r="F549">
        <f>IF($A549="","",IF(OR($C549="",$D549="",$E549="",$C549&lt;1300,$C549&gt;1500,$D549&lt;1,$D549&gt;12,$E549&lt;1,$E549&gt;31),"نامعتبر",RIGHT("0000"&amp;$C549,4)&amp;"/"&amp;RIGHT("00"&amp;$D549,2)&amp;"/"&amp;RIGHT("00"&amp;$E549,2)))</f>
        <v/>
      </c>
      <c r="G549">
        <f>IF(OR($A549="",$F549="",$F549="نامعتبر"),"",LEFT($F549,4)&amp;MID($F549,6,2)&amp;RIGHT($F549,2)&amp;"0000"&amp;"|"&amp;"1"&amp;RIGHT("00000"&amp;544,5))</f>
        <v/>
      </c>
      <c r="H549">
        <f>IF(OR($B549&lt;&gt;1,$G549=""),"",COUNTIFS(LdAParty,$A549,LdAType,1,LdAKey,"&lt;"&amp;$G549)+COUNTIFS(LdBMember,$A549,LdBKey,"&lt;"&amp;$G549)+COUNTIFS(LdCParty,$A549,LdCKey,"&lt;"&amp;$G549)+1)</f>
        <v/>
      </c>
      <c r="I549">
        <f>IF($H549="","",$A549&amp;"|"&amp;RIGHT("000000"&amp;$H549,6))</f>
        <v/>
      </c>
      <c r="J549">
        <f>IF(OR($B549&lt;&gt;2,$G549=""),"",COUNTIFS(LdAParty,$A549,LdAType,2,LdAKey,"&lt;"&amp;$G549)+1)</f>
        <v/>
      </c>
      <c r="K549">
        <f>IF($J549="","",$A549&amp;"|"&amp;RIGHT("000000"&amp;$J549,6))</f>
        <v/>
      </c>
      <c r="L549">
        <f>IF($A549="","",IF(Wages!$G552="",0,Wages!$G552))</f>
        <v/>
      </c>
      <c r="M549">
        <f>IF($A549="","",Wages!$J552)</f>
        <v/>
      </c>
      <c r="N549">
        <f>IF($A549="","",Wages!$D552)</f>
        <v/>
      </c>
      <c r="P549">
        <f>IF(OR(Shares!$B552="",Shares!$C552=""),"",Shares!$C552)</f>
        <v/>
      </c>
      <c r="Q549">
        <f>IF($P549="","",Shares!$B552)</f>
        <v/>
      </c>
      <c r="R549">
        <f>IF($P549="","",IFERROR(INDEX(WageParty,MATCH($Q549,WageIds,0)),""))</f>
        <v/>
      </c>
      <c r="S549">
        <f>IF($P549="","",IFERROR(INDEX($F$6:$F$2005,MATCH($Q549,WageIds,0)),""))</f>
        <v/>
      </c>
      <c r="T549">
        <f>IF(OR($P549="",$S549="",$S549="نامعتبر"),"",LEFT($S549,4)&amp;MID($S549,6,2)&amp;RIGHT($S549,2)&amp;"0000"&amp;"|"&amp;"2"&amp;RIGHT("00000"&amp;544,5))</f>
        <v/>
      </c>
      <c r="U549">
        <f>IF($T549="","",COUNTIFS(LdAParty,$P549,LdAType,1,LdAKey,"&lt;"&amp;$T549)+COUNTIFS(LdBMember,$P549,LdBKey,"&lt;"&amp;$T549)+COUNTIFS(LdCParty,$P549,LdCKey,"&lt;"&amp;$T549)+1)</f>
        <v/>
      </c>
      <c r="V549">
        <f>IF($U549="","",$P549&amp;"|"&amp;RIGHT("000000"&amp;$U549,6))</f>
        <v/>
      </c>
      <c r="W549">
        <f>IF($T549="","",COUNTIFS(LdBGroup,$R549,LdBKey,"&lt;"&amp;$T549)+1)</f>
        <v/>
      </c>
      <c r="X549">
        <f>IF($W549="","",$R549&amp;"|"&amp;RIGHT("000000"&amp;$W549,6))</f>
        <v/>
      </c>
      <c r="Y549">
        <f>IF($P549="","",IF(Shares!$E552="",0,Shares!$E552))</f>
        <v/>
      </c>
      <c r="Z549">
        <f>IF($P549="","",Shares!$H552)</f>
        <v/>
      </c>
      <c r="AE549">
        <f>IF(OR(Sync!$S549="",Sync!$P549=""),"",Sync!$S549)</f>
        <v/>
      </c>
      <c r="AF549">
        <f>IF($AE549="","",IF(ISNUMBER(Sync!$P549),IF(AND(Sync!$P549&gt;=10000101,Sync!$P549&lt;=99991231),INT(Sync!$P549/10000),""),IFERROR(VALUE(TRIM(LEFT(Sync!$P549,FIND("/",Sync!$P549)-1))),"")))</f>
        <v/>
      </c>
      <c r="AG549">
        <f>IF(OR($AE549="",$AF549=""),"",IF(ISNUMBER(Sync!$P549),INT(MOD(Sync!$P549,10000)/100),IFERROR(VALUE(TRIM(LEFT(MID(Sync!$P549,FIND("/",Sync!$P549)+1,20),FIND("/",MID(Sync!$P549,FIND("/",Sync!$P549)+1,20))-1))),"")))</f>
        <v/>
      </c>
      <c r="AH549">
        <f>IF(OR($AE549="",$AF549=""),"",IF(ISNUMBER(Sync!$P549),MOD(Sync!$P549,100),IFERROR(VALUE(TRIM(MID(MID(Sync!$P549,FIND("/",Sync!$P549)+1,20),FIND("/",MID(Sync!$P549,FIND("/",Sync!$P549)+1,20))+1,20))),"")))</f>
        <v/>
      </c>
      <c r="AI549">
        <f>IF($AE549="","",IF(OR($AF549="",$AG549="",$AH549="",$AF549&lt;1300,$AF549&gt;1500,$AG549&lt;1,$AG549&gt;12,$AH549&lt;1,$AH549&gt;31),"نامعتبر",RIGHT("0000"&amp;$AF549,4)&amp;"/"&amp;RIGHT("00"&amp;$AG549,2)&amp;"/"&amp;RIGHT("00"&amp;$AH549,2)))</f>
        <v/>
      </c>
      <c r="AJ549">
        <f>IF($AE549="","",IF(Sync!$Q549="","0000",IF(AND(ISNUMBER(Sync!$Q549),Sync!$Q549&gt;=0,Sync!$Q549&lt;1),RIGHT("00"&amp;HOUR(Sync!$Q549),2)&amp;RIGHT("00"&amp;MINUTE(Sync!$Q549),2),IFERROR(RIGHT("00"&amp;VALUE(LEFT(Sync!$Q549,FIND(":",Sync!$Q549)-1)),2)&amp;RIGHT("00"&amp;VALUE(MID(Sync!$Q549,FIND(":",Sync!$Q549)+1,2)),2),"0000"))))</f>
        <v/>
      </c>
      <c r="AK549">
        <f>IF(OR($AE549="",$AI549="",$AI549="نامعتبر"),"",LEFT($AI549,4)&amp;MID($AI549,6,2)&amp;RIGHT($AI549,2)&amp;$AJ549&amp;"|"&amp;"3"&amp;RIGHT("00000"&amp;544,5))</f>
        <v/>
      </c>
      <c r="AL549">
        <f>IF($AK549="","",COUNTIFS(LdAParty,$AE549,LdAType,1,LdAKey,"&lt;"&amp;$AK549)+COUNTIFS(LdBMember,$AE549,LdBKey,"&lt;"&amp;$AK549)+COUNTIFS(LdCParty,$AE549,LdCKey,"&lt;"&amp;$AK549)+1)</f>
        <v/>
      </c>
      <c r="AM549">
        <f>IF($AL549="","",$AE549&amp;"|"&amp;RIGHT("000000"&amp;$AL549,6))</f>
        <v/>
      </c>
      <c r="AN549">
        <f>IF($AE549="","",IF(Sync!$W549="",0,Sync!$W549))</f>
        <v/>
      </c>
      <c r="AO549">
        <f>IF($AE549="","",IF(Sync!$X549="",0,Sync!$X549))</f>
        <v/>
      </c>
      <c r="AP549">
        <f>IF($AE549="","",Sync!$R549)</f>
        <v/>
      </c>
      <c r="AQ549">
        <f>IF($AE549="","",Sync!$Y549)</f>
        <v/>
      </c>
    </row>
    <row r="550">
      <c r="A550">
        <f>IF(OR(Wages!$B553="",Wages!$E553=""),"",Wages!$E553)</f>
        <v/>
      </c>
      <c r="B550">
        <f>IF($A550="","",IF(Wages!$C553="دستمزد گروهی",2,1))</f>
        <v/>
      </c>
      <c r="C550">
        <f>IF($A550="","",IF(ISNUMBER(Wages!$B553),IF(AND(Wages!$B553&gt;=10000101,Wages!$B553&lt;=99991231),INT(Wages!$B553/10000),""),IFERROR(VALUE(TRIM(LEFT(Wages!$B553,FIND("/",Wages!$B553)-1))),"")))</f>
        <v/>
      </c>
      <c r="D550">
        <f>IF(OR($A550="",$C550=""),"",IF(ISNUMBER(Wages!$B553),INT(MOD(Wages!$B553,10000)/100),IFERROR(VALUE(TRIM(LEFT(MID(Wages!$B553,FIND("/",Wages!$B553)+1,20),FIND("/",MID(Wages!$B553,FIND("/",Wages!$B553)+1,20))-1))),"")))</f>
        <v/>
      </c>
      <c r="E550">
        <f>IF(OR($A550="",$C550=""),"",IF(ISNUMBER(Wages!$B553),MOD(Wages!$B553,100),IFERROR(VALUE(TRIM(MID(MID(Wages!$B553,FIND("/",Wages!$B553)+1,20),FIND("/",MID(Wages!$B553,FIND("/",Wages!$B553)+1,20))+1,20))),"")))</f>
        <v/>
      </c>
      <c r="F550">
        <f>IF($A550="","",IF(OR($C550="",$D550="",$E550="",$C550&lt;1300,$C550&gt;1500,$D550&lt;1,$D550&gt;12,$E550&lt;1,$E550&gt;31),"نامعتبر",RIGHT("0000"&amp;$C550,4)&amp;"/"&amp;RIGHT("00"&amp;$D550,2)&amp;"/"&amp;RIGHT("00"&amp;$E550,2)))</f>
        <v/>
      </c>
      <c r="G550">
        <f>IF(OR($A550="",$F550="",$F550="نامعتبر"),"",LEFT($F550,4)&amp;MID($F550,6,2)&amp;RIGHT($F550,2)&amp;"0000"&amp;"|"&amp;"1"&amp;RIGHT("00000"&amp;545,5))</f>
        <v/>
      </c>
      <c r="H550">
        <f>IF(OR($B550&lt;&gt;1,$G550=""),"",COUNTIFS(LdAParty,$A550,LdAType,1,LdAKey,"&lt;"&amp;$G550)+COUNTIFS(LdBMember,$A550,LdBKey,"&lt;"&amp;$G550)+COUNTIFS(LdCParty,$A550,LdCKey,"&lt;"&amp;$G550)+1)</f>
        <v/>
      </c>
      <c r="I550">
        <f>IF($H550="","",$A550&amp;"|"&amp;RIGHT("000000"&amp;$H550,6))</f>
        <v/>
      </c>
      <c r="J550">
        <f>IF(OR($B550&lt;&gt;2,$G550=""),"",COUNTIFS(LdAParty,$A550,LdAType,2,LdAKey,"&lt;"&amp;$G550)+1)</f>
        <v/>
      </c>
      <c r="K550">
        <f>IF($J550="","",$A550&amp;"|"&amp;RIGHT("000000"&amp;$J550,6))</f>
        <v/>
      </c>
      <c r="L550">
        <f>IF($A550="","",IF(Wages!$G553="",0,Wages!$G553))</f>
        <v/>
      </c>
      <c r="M550">
        <f>IF($A550="","",Wages!$J553)</f>
        <v/>
      </c>
      <c r="N550">
        <f>IF($A550="","",Wages!$D553)</f>
        <v/>
      </c>
      <c r="P550">
        <f>IF(OR(Shares!$B553="",Shares!$C553=""),"",Shares!$C553)</f>
        <v/>
      </c>
      <c r="Q550">
        <f>IF($P550="","",Shares!$B553)</f>
        <v/>
      </c>
      <c r="R550">
        <f>IF($P550="","",IFERROR(INDEX(WageParty,MATCH($Q550,WageIds,0)),""))</f>
        <v/>
      </c>
      <c r="S550">
        <f>IF($P550="","",IFERROR(INDEX($F$6:$F$2005,MATCH($Q550,WageIds,0)),""))</f>
        <v/>
      </c>
      <c r="T550">
        <f>IF(OR($P550="",$S550="",$S550="نامعتبر"),"",LEFT($S550,4)&amp;MID($S550,6,2)&amp;RIGHT($S550,2)&amp;"0000"&amp;"|"&amp;"2"&amp;RIGHT("00000"&amp;545,5))</f>
        <v/>
      </c>
      <c r="U550">
        <f>IF($T550="","",COUNTIFS(LdAParty,$P550,LdAType,1,LdAKey,"&lt;"&amp;$T550)+COUNTIFS(LdBMember,$P550,LdBKey,"&lt;"&amp;$T550)+COUNTIFS(LdCParty,$P550,LdCKey,"&lt;"&amp;$T550)+1)</f>
        <v/>
      </c>
      <c r="V550">
        <f>IF($U550="","",$P550&amp;"|"&amp;RIGHT("000000"&amp;$U550,6))</f>
        <v/>
      </c>
      <c r="W550">
        <f>IF($T550="","",COUNTIFS(LdBGroup,$R550,LdBKey,"&lt;"&amp;$T550)+1)</f>
        <v/>
      </c>
      <c r="X550">
        <f>IF($W550="","",$R550&amp;"|"&amp;RIGHT("000000"&amp;$W550,6))</f>
        <v/>
      </c>
      <c r="Y550">
        <f>IF($P550="","",IF(Shares!$E553="",0,Shares!$E553))</f>
        <v/>
      </c>
      <c r="Z550">
        <f>IF($P550="","",Shares!$H553)</f>
        <v/>
      </c>
      <c r="AE550">
        <f>IF(OR(Sync!$S550="",Sync!$P550=""),"",Sync!$S550)</f>
        <v/>
      </c>
      <c r="AF550">
        <f>IF($AE550="","",IF(ISNUMBER(Sync!$P550),IF(AND(Sync!$P550&gt;=10000101,Sync!$P550&lt;=99991231),INT(Sync!$P550/10000),""),IFERROR(VALUE(TRIM(LEFT(Sync!$P550,FIND("/",Sync!$P550)-1))),"")))</f>
        <v/>
      </c>
      <c r="AG550">
        <f>IF(OR($AE550="",$AF550=""),"",IF(ISNUMBER(Sync!$P550),INT(MOD(Sync!$P550,10000)/100),IFERROR(VALUE(TRIM(LEFT(MID(Sync!$P550,FIND("/",Sync!$P550)+1,20),FIND("/",MID(Sync!$P550,FIND("/",Sync!$P550)+1,20))-1))),"")))</f>
        <v/>
      </c>
      <c r="AH550">
        <f>IF(OR($AE550="",$AF550=""),"",IF(ISNUMBER(Sync!$P550),MOD(Sync!$P550,100),IFERROR(VALUE(TRIM(MID(MID(Sync!$P550,FIND("/",Sync!$P550)+1,20),FIND("/",MID(Sync!$P550,FIND("/",Sync!$P550)+1,20))+1,20))),"")))</f>
        <v/>
      </c>
      <c r="AI550">
        <f>IF($AE550="","",IF(OR($AF550="",$AG550="",$AH550="",$AF550&lt;1300,$AF550&gt;1500,$AG550&lt;1,$AG550&gt;12,$AH550&lt;1,$AH550&gt;31),"نامعتبر",RIGHT("0000"&amp;$AF550,4)&amp;"/"&amp;RIGHT("00"&amp;$AG550,2)&amp;"/"&amp;RIGHT("00"&amp;$AH550,2)))</f>
        <v/>
      </c>
      <c r="AJ550">
        <f>IF($AE550="","",IF(Sync!$Q550="","0000",IF(AND(ISNUMBER(Sync!$Q550),Sync!$Q550&gt;=0,Sync!$Q550&lt;1),RIGHT("00"&amp;HOUR(Sync!$Q550),2)&amp;RIGHT("00"&amp;MINUTE(Sync!$Q550),2),IFERROR(RIGHT("00"&amp;VALUE(LEFT(Sync!$Q550,FIND(":",Sync!$Q550)-1)),2)&amp;RIGHT("00"&amp;VALUE(MID(Sync!$Q550,FIND(":",Sync!$Q550)+1,2)),2),"0000"))))</f>
        <v/>
      </c>
      <c r="AK550">
        <f>IF(OR($AE550="",$AI550="",$AI550="نامعتبر"),"",LEFT($AI550,4)&amp;MID($AI550,6,2)&amp;RIGHT($AI550,2)&amp;$AJ550&amp;"|"&amp;"3"&amp;RIGHT("00000"&amp;545,5))</f>
        <v/>
      </c>
      <c r="AL550">
        <f>IF($AK550="","",COUNTIFS(LdAParty,$AE550,LdAType,1,LdAKey,"&lt;"&amp;$AK550)+COUNTIFS(LdBMember,$AE550,LdBKey,"&lt;"&amp;$AK550)+COUNTIFS(LdCParty,$AE550,LdCKey,"&lt;"&amp;$AK550)+1)</f>
        <v/>
      </c>
      <c r="AM550">
        <f>IF($AL550="","",$AE550&amp;"|"&amp;RIGHT("000000"&amp;$AL550,6))</f>
        <v/>
      </c>
      <c r="AN550">
        <f>IF($AE550="","",IF(Sync!$W550="",0,Sync!$W550))</f>
        <v/>
      </c>
      <c r="AO550">
        <f>IF($AE550="","",IF(Sync!$X550="",0,Sync!$X550))</f>
        <v/>
      </c>
      <c r="AP550">
        <f>IF($AE550="","",Sync!$R550)</f>
        <v/>
      </c>
      <c r="AQ550">
        <f>IF($AE550="","",Sync!$Y550)</f>
        <v/>
      </c>
    </row>
    <row r="551">
      <c r="A551">
        <f>IF(OR(Wages!$B554="",Wages!$E554=""),"",Wages!$E554)</f>
        <v/>
      </c>
      <c r="B551">
        <f>IF($A551="","",IF(Wages!$C554="دستمزد گروهی",2,1))</f>
        <v/>
      </c>
      <c r="C551">
        <f>IF($A551="","",IF(ISNUMBER(Wages!$B554),IF(AND(Wages!$B554&gt;=10000101,Wages!$B554&lt;=99991231),INT(Wages!$B554/10000),""),IFERROR(VALUE(TRIM(LEFT(Wages!$B554,FIND("/",Wages!$B554)-1))),"")))</f>
        <v/>
      </c>
      <c r="D551">
        <f>IF(OR($A551="",$C551=""),"",IF(ISNUMBER(Wages!$B554),INT(MOD(Wages!$B554,10000)/100),IFERROR(VALUE(TRIM(LEFT(MID(Wages!$B554,FIND("/",Wages!$B554)+1,20),FIND("/",MID(Wages!$B554,FIND("/",Wages!$B554)+1,20))-1))),"")))</f>
        <v/>
      </c>
      <c r="E551">
        <f>IF(OR($A551="",$C551=""),"",IF(ISNUMBER(Wages!$B554),MOD(Wages!$B554,100),IFERROR(VALUE(TRIM(MID(MID(Wages!$B554,FIND("/",Wages!$B554)+1,20),FIND("/",MID(Wages!$B554,FIND("/",Wages!$B554)+1,20))+1,20))),"")))</f>
        <v/>
      </c>
      <c r="F551">
        <f>IF($A551="","",IF(OR($C551="",$D551="",$E551="",$C551&lt;1300,$C551&gt;1500,$D551&lt;1,$D551&gt;12,$E551&lt;1,$E551&gt;31),"نامعتبر",RIGHT("0000"&amp;$C551,4)&amp;"/"&amp;RIGHT("00"&amp;$D551,2)&amp;"/"&amp;RIGHT("00"&amp;$E551,2)))</f>
        <v/>
      </c>
      <c r="G551">
        <f>IF(OR($A551="",$F551="",$F551="نامعتبر"),"",LEFT($F551,4)&amp;MID($F551,6,2)&amp;RIGHT($F551,2)&amp;"0000"&amp;"|"&amp;"1"&amp;RIGHT("00000"&amp;546,5))</f>
        <v/>
      </c>
      <c r="H551">
        <f>IF(OR($B551&lt;&gt;1,$G551=""),"",COUNTIFS(LdAParty,$A551,LdAType,1,LdAKey,"&lt;"&amp;$G551)+COUNTIFS(LdBMember,$A551,LdBKey,"&lt;"&amp;$G551)+COUNTIFS(LdCParty,$A551,LdCKey,"&lt;"&amp;$G551)+1)</f>
        <v/>
      </c>
      <c r="I551">
        <f>IF($H551="","",$A551&amp;"|"&amp;RIGHT("000000"&amp;$H551,6))</f>
        <v/>
      </c>
      <c r="J551">
        <f>IF(OR($B551&lt;&gt;2,$G551=""),"",COUNTIFS(LdAParty,$A551,LdAType,2,LdAKey,"&lt;"&amp;$G551)+1)</f>
        <v/>
      </c>
      <c r="K551">
        <f>IF($J551="","",$A551&amp;"|"&amp;RIGHT("000000"&amp;$J551,6))</f>
        <v/>
      </c>
      <c r="L551">
        <f>IF($A551="","",IF(Wages!$G554="",0,Wages!$G554))</f>
        <v/>
      </c>
      <c r="M551">
        <f>IF($A551="","",Wages!$J554)</f>
        <v/>
      </c>
      <c r="N551">
        <f>IF($A551="","",Wages!$D554)</f>
        <v/>
      </c>
      <c r="P551">
        <f>IF(OR(Shares!$B554="",Shares!$C554=""),"",Shares!$C554)</f>
        <v/>
      </c>
      <c r="Q551">
        <f>IF($P551="","",Shares!$B554)</f>
        <v/>
      </c>
      <c r="R551">
        <f>IF($P551="","",IFERROR(INDEX(WageParty,MATCH($Q551,WageIds,0)),""))</f>
        <v/>
      </c>
      <c r="S551">
        <f>IF($P551="","",IFERROR(INDEX($F$6:$F$2005,MATCH($Q551,WageIds,0)),""))</f>
        <v/>
      </c>
      <c r="T551">
        <f>IF(OR($P551="",$S551="",$S551="نامعتبر"),"",LEFT($S551,4)&amp;MID($S551,6,2)&amp;RIGHT($S551,2)&amp;"0000"&amp;"|"&amp;"2"&amp;RIGHT("00000"&amp;546,5))</f>
        <v/>
      </c>
      <c r="U551">
        <f>IF($T551="","",COUNTIFS(LdAParty,$P551,LdAType,1,LdAKey,"&lt;"&amp;$T551)+COUNTIFS(LdBMember,$P551,LdBKey,"&lt;"&amp;$T551)+COUNTIFS(LdCParty,$P551,LdCKey,"&lt;"&amp;$T551)+1)</f>
        <v/>
      </c>
      <c r="V551">
        <f>IF($U551="","",$P551&amp;"|"&amp;RIGHT("000000"&amp;$U551,6))</f>
        <v/>
      </c>
      <c r="W551">
        <f>IF($T551="","",COUNTIFS(LdBGroup,$R551,LdBKey,"&lt;"&amp;$T551)+1)</f>
        <v/>
      </c>
      <c r="X551">
        <f>IF($W551="","",$R551&amp;"|"&amp;RIGHT("000000"&amp;$W551,6))</f>
        <v/>
      </c>
      <c r="Y551">
        <f>IF($P551="","",IF(Shares!$E554="",0,Shares!$E554))</f>
        <v/>
      </c>
      <c r="Z551">
        <f>IF($P551="","",Shares!$H554)</f>
        <v/>
      </c>
      <c r="AE551">
        <f>IF(OR(Sync!$S551="",Sync!$P551=""),"",Sync!$S551)</f>
        <v/>
      </c>
      <c r="AF551">
        <f>IF($AE551="","",IF(ISNUMBER(Sync!$P551),IF(AND(Sync!$P551&gt;=10000101,Sync!$P551&lt;=99991231),INT(Sync!$P551/10000),""),IFERROR(VALUE(TRIM(LEFT(Sync!$P551,FIND("/",Sync!$P551)-1))),"")))</f>
        <v/>
      </c>
      <c r="AG551">
        <f>IF(OR($AE551="",$AF551=""),"",IF(ISNUMBER(Sync!$P551),INT(MOD(Sync!$P551,10000)/100),IFERROR(VALUE(TRIM(LEFT(MID(Sync!$P551,FIND("/",Sync!$P551)+1,20),FIND("/",MID(Sync!$P551,FIND("/",Sync!$P551)+1,20))-1))),"")))</f>
        <v/>
      </c>
      <c r="AH551">
        <f>IF(OR($AE551="",$AF551=""),"",IF(ISNUMBER(Sync!$P551),MOD(Sync!$P551,100),IFERROR(VALUE(TRIM(MID(MID(Sync!$P551,FIND("/",Sync!$P551)+1,20),FIND("/",MID(Sync!$P551,FIND("/",Sync!$P551)+1,20))+1,20))),"")))</f>
        <v/>
      </c>
      <c r="AI551">
        <f>IF($AE551="","",IF(OR($AF551="",$AG551="",$AH551="",$AF551&lt;1300,$AF551&gt;1500,$AG551&lt;1,$AG551&gt;12,$AH551&lt;1,$AH551&gt;31),"نامعتبر",RIGHT("0000"&amp;$AF551,4)&amp;"/"&amp;RIGHT("00"&amp;$AG551,2)&amp;"/"&amp;RIGHT("00"&amp;$AH551,2)))</f>
        <v/>
      </c>
      <c r="AJ551">
        <f>IF($AE551="","",IF(Sync!$Q551="","0000",IF(AND(ISNUMBER(Sync!$Q551),Sync!$Q551&gt;=0,Sync!$Q551&lt;1),RIGHT("00"&amp;HOUR(Sync!$Q551),2)&amp;RIGHT("00"&amp;MINUTE(Sync!$Q551),2),IFERROR(RIGHT("00"&amp;VALUE(LEFT(Sync!$Q551,FIND(":",Sync!$Q551)-1)),2)&amp;RIGHT("00"&amp;VALUE(MID(Sync!$Q551,FIND(":",Sync!$Q551)+1,2)),2),"0000"))))</f>
        <v/>
      </c>
      <c r="AK551">
        <f>IF(OR($AE551="",$AI551="",$AI551="نامعتبر"),"",LEFT($AI551,4)&amp;MID($AI551,6,2)&amp;RIGHT($AI551,2)&amp;$AJ551&amp;"|"&amp;"3"&amp;RIGHT("00000"&amp;546,5))</f>
        <v/>
      </c>
      <c r="AL551">
        <f>IF($AK551="","",COUNTIFS(LdAParty,$AE551,LdAType,1,LdAKey,"&lt;"&amp;$AK551)+COUNTIFS(LdBMember,$AE551,LdBKey,"&lt;"&amp;$AK551)+COUNTIFS(LdCParty,$AE551,LdCKey,"&lt;"&amp;$AK551)+1)</f>
        <v/>
      </c>
      <c r="AM551">
        <f>IF($AL551="","",$AE551&amp;"|"&amp;RIGHT("000000"&amp;$AL551,6))</f>
        <v/>
      </c>
      <c r="AN551">
        <f>IF($AE551="","",IF(Sync!$W551="",0,Sync!$W551))</f>
        <v/>
      </c>
      <c r="AO551">
        <f>IF($AE551="","",IF(Sync!$X551="",0,Sync!$X551))</f>
        <v/>
      </c>
      <c r="AP551">
        <f>IF($AE551="","",Sync!$R551)</f>
        <v/>
      </c>
      <c r="AQ551">
        <f>IF($AE551="","",Sync!$Y551)</f>
        <v/>
      </c>
    </row>
    <row r="552">
      <c r="A552">
        <f>IF(OR(Wages!$B555="",Wages!$E555=""),"",Wages!$E555)</f>
        <v/>
      </c>
      <c r="B552">
        <f>IF($A552="","",IF(Wages!$C555="دستمزد گروهی",2,1))</f>
        <v/>
      </c>
      <c r="C552">
        <f>IF($A552="","",IF(ISNUMBER(Wages!$B555),IF(AND(Wages!$B555&gt;=10000101,Wages!$B555&lt;=99991231),INT(Wages!$B555/10000),""),IFERROR(VALUE(TRIM(LEFT(Wages!$B555,FIND("/",Wages!$B555)-1))),"")))</f>
        <v/>
      </c>
      <c r="D552">
        <f>IF(OR($A552="",$C552=""),"",IF(ISNUMBER(Wages!$B555),INT(MOD(Wages!$B555,10000)/100),IFERROR(VALUE(TRIM(LEFT(MID(Wages!$B555,FIND("/",Wages!$B555)+1,20),FIND("/",MID(Wages!$B555,FIND("/",Wages!$B555)+1,20))-1))),"")))</f>
        <v/>
      </c>
      <c r="E552">
        <f>IF(OR($A552="",$C552=""),"",IF(ISNUMBER(Wages!$B555),MOD(Wages!$B555,100),IFERROR(VALUE(TRIM(MID(MID(Wages!$B555,FIND("/",Wages!$B555)+1,20),FIND("/",MID(Wages!$B555,FIND("/",Wages!$B555)+1,20))+1,20))),"")))</f>
        <v/>
      </c>
      <c r="F552">
        <f>IF($A552="","",IF(OR($C552="",$D552="",$E552="",$C552&lt;1300,$C552&gt;1500,$D552&lt;1,$D552&gt;12,$E552&lt;1,$E552&gt;31),"نامعتبر",RIGHT("0000"&amp;$C552,4)&amp;"/"&amp;RIGHT("00"&amp;$D552,2)&amp;"/"&amp;RIGHT("00"&amp;$E552,2)))</f>
        <v/>
      </c>
      <c r="G552">
        <f>IF(OR($A552="",$F552="",$F552="نامعتبر"),"",LEFT($F552,4)&amp;MID($F552,6,2)&amp;RIGHT($F552,2)&amp;"0000"&amp;"|"&amp;"1"&amp;RIGHT("00000"&amp;547,5))</f>
        <v/>
      </c>
      <c r="H552">
        <f>IF(OR($B552&lt;&gt;1,$G552=""),"",COUNTIFS(LdAParty,$A552,LdAType,1,LdAKey,"&lt;"&amp;$G552)+COUNTIFS(LdBMember,$A552,LdBKey,"&lt;"&amp;$G552)+COUNTIFS(LdCParty,$A552,LdCKey,"&lt;"&amp;$G552)+1)</f>
        <v/>
      </c>
      <c r="I552">
        <f>IF($H552="","",$A552&amp;"|"&amp;RIGHT("000000"&amp;$H552,6))</f>
        <v/>
      </c>
      <c r="J552">
        <f>IF(OR($B552&lt;&gt;2,$G552=""),"",COUNTIFS(LdAParty,$A552,LdAType,2,LdAKey,"&lt;"&amp;$G552)+1)</f>
        <v/>
      </c>
      <c r="K552">
        <f>IF($J552="","",$A552&amp;"|"&amp;RIGHT("000000"&amp;$J552,6))</f>
        <v/>
      </c>
      <c r="L552">
        <f>IF($A552="","",IF(Wages!$G555="",0,Wages!$G555))</f>
        <v/>
      </c>
      <c r="M552">
        <f>IF($A552="","",Wages!$J555)</f>
        <v/>
      </c>
      <c r="N552">
        <f>IF($A552="","",Wages!$D555)</f>
        <v/>
      </c>
      <c r="P552">
        <f>IF(OR(Shares!$B555="",Shares!$C555=""),"",Shares!$C555)</f>
        <v/>
      </c>
      <c r="Q552">
        <f>IF($P552="","",Shares!$B555)</f>
        <v/>
      </c>
      <c r="R552">
        <f>IF($P552="","",IFERROR(INDEX(WageParty,MATCH($Q552,WageIds,0)),""))</f>
        <v/>
      </c>
      <c r="S552">
        <f>IF($P552="","",IFERROR(INDEX($F$6:$F$2005,MATCH($Q552,WageIds,0)),""))</f>
        <v/>
      </c>
      <c r="T552">
        <f>IF(OR($P552="",$S552="",$S552="نامعتبر"),"",LEFT($S552,4)&amp;MID($S552,6,2)&amp;RIGHT($S552,2)&amp;"0000"&amp;"|"&amp;"2"&amp;RIGHT("00000"&amp;547,5))</f>
        <v/>
      </c>
      <c r="U552">
        <f>IF($T552="","",COUNTIFS(LdAParty,$P552,LdAType,1,LdAKey,"&lt;"&amp;$T552)+COUNTIFS(LdBMember,$P552,LdBKey,"&lt;"&amp;$T552)+COUNTIFS(LdCParty,$P552,LdCKey,"&lt;"&amp;$T552)+1)</f>
        <v/>
      </c>
      <c r="V552">
        <f>IF($U552="","",$P552&amp;"|"&amp;RIGHT("000000"&amp;$U552,6))</f>
        <v/>
      </c>
      <c r="W552">
        <f>IF($T552="","",COUNTIFS(LdBGroup,$R552,LdBKey,"&lt;"&amp;$T552)+1)</f>
        <v/>
      </c>
      <c r="X552">
        <f>IF($W552="","",$R552&amp;"|"&amp;RIGHT("000000"&amp;$W552,6))</f>
        <v/>
      </c>
      <c r="Y552">
        <f>IF($P552="","",IF(Shares!$E555="",0,Shares!$E555))</f>
        <v/>
      </c>
      <c r="Z552">
        <f>IF($P552="","",Shares!$H555)</f>
        <v/>
      </c>
      <c r="AE552">
        <f>IF(OR(Sync!$S552="",Sync!$P552=""),"",Sync!$S552)</f>
        <v/>
      </c>
      <c r="AF552">
        <f>IF($AE552="","",IF(ISNUMBER(Sync!$P552),IF(AND(Sync!$P552&gt;=10000101,Sync!$P552&lt;=99991231),INT(Sync!$P552/10000),""),IFERROR(VALUE(TRIM(LEFT(Sync!$P552,FIND("/",Sync!$P552)-1))),"")))</f>
        <v/>
      </c>
      <c r="AG552">
        <f>IF(OR($AE552="",$AF552=""),"",IF(ISNUMBER(Sync!$P552),INT(MOD(Sync!$P552,10000)/100),IFERROR(VALUE(TRIM(LEFT(MID(Sync!$P552,FIND("/",Sync!$P552)+1,20),FIND("/",MID(Sync!$P552,FIND("/",Sync!$P552)+1,20))-1))),"")))</f>
        <v/>
      </c>
      <c r="AH552">
        <f>IF(OR($AE552="",$AF552=""),"",IF(ISNUMBER(Sync!$P552),MOD(Sync!$P552,100),IFERROR(VALUE(TRIM(MID(MID(Sync!$P552,FIND("/",Sync!$P552)+1,20),FIND("/",MID(Sync!$P552,FIND("/",Sync!$P552)+1,20))+1,20))),"")))</f>
        <v/>
      </c>
      <c r="AI552">
        <f>IF($AE552="","",IF(OR($AF552="",$AG552="",$AH552="",$AF552&lt;1300,$AF552&gt;1500,$AG552&lt;1,$AG552&gt;12,$AH552&lt;1,$AH552&gt;31),"نامعتبر",RIGHT("0000"&amp;$AF552,4)&amp;"/"&amp;RIGHT("00"&amp;$AG552,2)&amp;"/"&amp;RIGHT("00"&amp;$AH552,2)))</f>
        <v/>
      </c>
      <c r="AJ552">
        <f>IF($AE552="","",IF(Sync!$Q552="","0000",IF(AND(ISNUMBER(Sync!$Q552),Sync!$Q552&gt;=0,Sync!$Q552&lt;1),RIGHT("00"&amp;HOUR(Sync!$Q552),2)&amp;RIGHT("00"&amp;MINUTE(Sync!$Q552),2),IFERROR(RIGHT("00"&amp;VALUE(LEFT(Sync!$Q552,FIND(":",Sync!$Q552)-1)),2)&amp;RIGHT("00"&amp;VALUE(MID(Sync!$Q552,FIND(":",Sync!$Q552)+1,2)),2),"0000"))))</f>
        <v/>
      </c>
      <c r="AK552">
        <f>IF(OR($AE552="",$AI552="",$AI552="نامعتبر"),"",LEFT($AI552,4)&amp;MID($AI552,6,2)&amp;RIGHT($AI552,2)&amp;$AJ552&amp;"|"&amp;"3"&amp;RIGHT("00000"&amp;547,5))</f>
        <v/>
      </c>
      <c r="AL552">
        <f>IF($AK552="","",COUNTIFS(LdAParty,$AE552,LdAType,1,LdAKey,"&lt;"&amp;$AK552)+COUNTIFS(LdBMember,$AE552,LdBKey,"&lt;"&amp;$AK552)+COUNTIFS(LdCParty,$AE552,LdCKey,"&lt;"&amp;$AK552)+1)</f>
        <v/>
      </c>
      <c r="AM552">
        <f>IF($AL552="","",$AE552&amp;"|"&amp;RIGHT("000000"&amp;$AL552,6))</f>
        <v/>
      </c>
      <c r="AN552">
        <f>IF($AE552="","",IF(Sync!$W552="",0,Sync!$W552))</f>
        <v/>
      </c>
      <c r="AO552">
        <f>IF($AE552="","",IF(Sync!$X552="",0,Sync!$X552))</f>
        <v/>
      </c>
      <c r="AP552">
        <f>IF($AE552="","",Sync!$R552)</f>
        <v/>
      </c>
      <c r="AQ552">
        <f>IF($AE552="","",Sync!$Y552)</f>
        <v/>
      </c>
    </row>
    <row r="553">
      <c r="A553">
        <f>IF(OR(Wages!$B556="",Wages!$E556=""),"",Wages!$E556)</f>
        <v/>
      </c>
      <c r="B553">
        <f>IF($A553="","",IF(Wages!$C556="دستمزد گروهی",2,1))</f>
        <v/>
      </c>
      <c r="C553">
        <f>IF($A553="","",IF(ISNUMBER(Wages!$B556),IF(AND(Wages!$B556&gt;=10000101,Wages!$B556&lt;=99991231),INT(Wages!$B556/10000),""),IFERROR(VALUE(TRIM(LEFT(Wages!$B556,FIND("/",Wages!$B556)-1))),"")))</f>
        <v/>
      </c>
      <c r="D553">
        <f>IF(OR($A553="",$C553=""),"",IF(ISNUMBER(Wages!$B556),INT(MOD(Wages!$B556,10000)/100),IFERROR(VALUE(TRIM(LEFT(MID(Wages!$B556,FIND("/",Wages!$B556)+1,20),FIND("/",MID(Wages!$B556,FIND("/",Wages!$B556)+1,20))-1))),"")))</f>
        <v/>
      </c>
      <c r="E553">
        <f>IF(OR($A553="",$C553=""),"",IF(ISNUMBER(Wages!$B556),MOD(Wages!$B556,100),IFERROR(VALUE(TRIM(MID(MID(Wages!$B556,FIND("/",Wages!$B556)+1,20),FIND("/",MID(Wages!$B556,FIND("/",Wages!$B556)+1,20))+1,20))),"")))</f>
        <v/>
      </c>
      <c r="F553">
        <f>IF($A553="","",IF(OR($C553="",$D553="",$E553="",$C553&lt;1300,$C553&gt;1500,$D553&lt;1,$D553&gt;12,$E553&lt;1,$E553&gt;31),"نامعتبر",RIGHT("0000"&amp;$C553,4)&amp;"/"&amp;RIGHT("00"&amp;$D553,2)&amp;"/"&amp;RIGHT("00"&amp;$E553,2)))</f>
        <v/>
      </c>
      <c r="G553">
        <f>IF(OR($A553="",$F553="",$F553="نامعتبر"),"",LEFT($F553,4)&amp;MID($F553,6,2)&amp;RIGHT($F553,2)&amp;"0000"&amp;"|"&amp;"1"&amp;RIGHT("00000"&amp;548,5))</f>
        <v/>
      </c>
      <c r="H553">
        <f>IF(OR($B553&lt;&gt;1,$G553=""),"",COUNTIFS(LdAParty,$A553,LdAType,1,LdAKey,"&lt;"&amp;$G553)+COUNTIFS(LdBMember,$A553,LdBKey,"&lt;"&amp;$G553)+COUNTIFS(LdCParty,$A553,LdCKey,"&lt;"&amp;$G553)+1)</f>
        <v/>
      </c>
      <c r="I553">
        <f>IF($H553="","",$A553&amp;"|"&amp;RIGHT("000000"&amp;$H553,6))</f>
        <v/>
      </c>
      <c r="J553">
        <f>IF(OR($B553&lt;&gt;2,$G553=""),"",COUNTIFS(LdAParty,$A553,LdAType,2,LdAKey,"&lt;"&amp;$G553)+1)</f>
        <v/>
      </c>
      <c r="K553">
        <f>IF($J553="","",$A553&amp;"|"&amp;RIGHT("000000"&amp;$J553,6))</f>
        <v/>
      </c>
      <c r="L553">
        <f>IF($A553="","",IF(Wages!$G556="",0,Wages!$G556))</f>
        <v/>
      </c>
      <c r="M553">
        <f>IF($A553="","",Wages!$J556)</f>
        <v/>
      </c>
      <c r="N553">
        <f>IF($A553="","",Wages!$D556)</f>
        <v/>
      </c>
      <c r="P553">
        <f>IF(OR(Shares!$B556="",Shares!$C556=""),"",Shares!$C556)</f>
        <v/>
      </c>
      <c r="Q553">
        <f>IF($P553="","",Shares!$B556)</f>
        <v/>
      </c>
      <c r="R553">
        <f>IF($P553="","",IFERROR(INDEX(WageParty,MATCH($Q553,WageIds,0)),""))</f>
        <v/>
      </c>
      <c r="S553">
        <f>IF($P553="","",IFERROR(INDEX($F$6:$F$2005,MATCH($Q553,WageIds,0)),""))</f>
        <v/>
      </c>
      <c r="T553">
        <f>IF(OR($P553="",$S553="",$S553="نامعتبر"),"",LEFT($S553,4)&amp;MID($S553,6,2)&amp;RIGHT($S553,2)&amp;"0000"&amp;"|"&amp;"2"&amp;RIGHT("00000"&amp;548,5))</f>
        <v/>
      </c>
      <c r="U553">
        <f>IF($T553="","",COUNTIFS(LdAParty,$P553,LdAType,1,LdAKey,"&lt;"&amp;$T553)+COUNTIFS(LdBMember,$P553,LdBKey,"&lt;"&amp;$T553)+COUNTIFS(LdCParty,$P553,LdCKey,"&lt;"&amp;$T553)+1)</f>
        <v/>
      </c>
      <c r="V553">
        <f>IF($U553="","",$P553&amp;"|"&amp;RIGHT("000000"&amp;$U553,6))</f>
        <v/>
      </c>
      <c r="W553">
        <f>IF($T553="","",COUNTIFS(LdBGroup,$R553,LdBKey,"&lt;"&amp;$T553)+1)</f>
        <v/>
      </c>
      <c r="X553">
        <f>IF($W553="","",$R553&amp;"|"&amp;RIGHT("000000"&amp;$W553,6))</f>
        <v/>
      </c>
      <c r="Y553">
        <f>IF($P553="","",IF(Shares!$E556="",0,Shares!$E556))</f>
        <v/>
      </c>
      <c r="Z553">
        <f>IF($P553="","",Shares!$H556)</f>
        <v/>
      </c>
      <c r="AE553">
        <f>IF(OR(Sync!$S553="",Sync!$P553=""),"",Sync!$S553)</f>
        <v/>
      </c>
      <c r="AF553">
        <f>IF($AE553="","",IF(ISNUMBER(Sync!$P553),IF(AND(Sync!$P553&gt;=10000101,Sync!$P553&lt;=99991231),INT(Sync!$P553/10000),""),IFERROR(VALUE(TRIM(LEFT(Sync!$P553,FIND("/",Sync!$P553)-1))),"")))</f>
        <v/>
      </c>
      <c r="AG553">
        <f>IF(OR($AE553="",$AF553=""),"",IF(ISNUMBER(Sync!$P553),INT(MOD(Sync!$P553,10000)/100),IFERROR(VALUE(TRIM(LEFT(MID(Sync!$P553,FIND("/",Sync!$P553)+1,20),FIND("/",MID(Sync!$P553,FIND("/",Sync!$P553)+1,20))-1))),"")))</f>
        <v/>
      </c>
      <c r="AH553">
        <f>IF(OR($AE553="",$AF553=""),"",IF(ISNUMBER(Sync!$P553),MOD(Sync!$P553,100),IFERROR(VALUE(TRIM(MID(MID(Sync!$P553,FIND("/",Sync!$P553)+1,20),FIND("/",MID(Sync!$P553,FIND("/",Sync!$P553)+1,20))+1,20))),"")))</f>
        <v/>
      </c>
      <c r="AI553">
        <f>IF($AE553="","",IF(OR($AF553="",$AG553="",$AH553="",$AF553&lt;1300,$AF553&gt;1500,$AG553&lt;1,$AG553&gt;12,$AH553&lt;1,$AH553&gt;31),"نامعتبر",RIGHT("0000"&amp;$AF553,4)&amp;"/"&amp;RIGHT("00"&amp;$AG553,2)&amp;"/"&amp;RIGHT("00"&amp;$AH553,2)))</f>
        <v/>
      </c>
      <c r="AJ553">
        <f>IF($AE553="","",IF(Sync!$Q553="","0000",IF(AND(ISNUMBER(Sync!$Q553),Sync!$Q553&gt;=0,Sync!$Q553&lt;1),RIGHT("00"&amp;HOUR(Sync!$Q553),2)&amp;RIGHT("00"&amp;MINUTE(Sync!$Q553),2),IFERROR(RIGHT("00"&amp;VALUE(LEFT(Sync!$Q553,FIND(":",Sync!$Q553)-1)),2)&amp;RIGHT("00"&amp;VALUE(MID(Sync!$Q553,FIND(":",Sync!$Q553)+1,2)),2),"0000"))))</f>
        <v/>
      </c>
      <c r="AK553">
        <f>IF(OR($AE553="",$AI553="",$AI553="نامعتبر"),"",LEFT($AI553,4)&amp;MID($AI553,6,2)&amp;RIGHT($AI553,2)&amp;$AJ553&amp;"|"&amp;"3"&amp;RIGHT("00000"&amp;548,5))</f>
        <v/>
      </c>
      <c r="AL553">
        <f>IF($AK553="","",COUNTIFS(LdAParty,$AE553,LdAType,1,LdAKey,"&lt;"&amp;$AK553)+COUNTIFS(LdBMember,$AE553,LdBKey,"&lt;"&amp;$AK553)+COUNTIFS(LdCParty,$AE553,LdCKey,"&lt;"&amp;$AK553)+1)</f>
        <v/>
      </c>
      <c r="AM553">
        <f>IF($AL553="","",$AE553&amp;"|"&amp;RIGHT("000000"&amp;$AL553,6))</f>
        <v/>
      </c>
      <c r="AN553">
        <f>IF($AE553="","",IF(Sync!$W553="",0,Sync!$W553))</f>
        <v/>
      </c>
      <c r="AO553">
        <f>IF($AE553="","",IF(Sync!$X553="",0,Sync!$X553))</f>
        <v/>
      </c>
      <c r="AP553">
        <f>IF($AE553="","",Sync!$R553)</f>
        <v/>
      </c>
      <c r="AQ553">
        <f>IF($AE553="","",Sync!$Y553)</f>
        <v/>
      </c>
    </row>
    <row r="554">
      <c r="A554">
        <f>IF(OR(Wages!$B557="",Wages!$E557=""),"",Wages!$E557)</f>
        <v/>
      </c>
      <c r="B554">
        <f>IF($A554="","",IF(Wages!$C557="دستمزد گروهی",2,1))</f>
        <v/>
      </c>
      <c r="C554">
        <f>IF($A554="","",IF(ISNUMBER(Wages!$B557),IF(AND(Wages!$B557&gt;=10000101,Wages!$B557&lt;=99991231),INT(Wages!$B557/10000),""),IFERROR(VALUE(TRIM(LEFT(Wages!$B557,FIND("/",Wages!$B557)-1))),"")))</f>
        <v/>
      </c>
      <c r="D554">
        <f>IF(OR($A554="",$C554=""),"",IF(ISNUMBER(Wages!$B557),INT(MOD(Wages!$B557,10000)/100),IFERROR(VALUE(TRIM(LEFT(MID(Wages!$B557,FIND("/",Wages!$B557)+1,20),FIND("/",MID(Wages!$B557,FIND("/",Wages!$B557)+1,20))-1))),"")))</f>
        <v/>
      </c>
      <c r="E554">
        <f>IF(OR($A554="",$C554=""),"",IF(ISNUMBER(Wages!$B557),MOD(Wages!$B557,100),IFERROR(VALUE(TRIM(MID(MID(Wages!$B557,FIND("/",Wages!$B557)+1,20),FIND("/",MID(Wages!$B557,FIND("/",Wages!$B557)+1,20))+1,20))),"")))</f>
        <v/>
      </c>
      <c r="F554">
        <f>IF($A554="","",IF(OR($C554="",$D554="",$E554="",$C554&lt;1300,$C554&gt;1500,$D554&lt;1,$D554&gt;12,$E554&lt;1,$E554&gt;31),"نامعتبر",RIGHT("0000"&amp;$C554,4)&amp;"/"&amp;RIGHT("00"&amp;$D554,2)&amp;"/"&amp;RIGHT("00"&amp;$E554,2)))</f>
        <v/>
      </c>
      <c r="G554">
        <f>IF(OR($A554="",$F554="",$F554="نامعتبر"),"",LEFT($F554,4)&amp;MID($F554,6,2)&amp;RIGHT($F554,2)&amp;"0000"&amp;"|"&amp;"1"&amp;RIGHT("00000"&amp;549,5))</f>
        <v/>
      </c>
      <c r="H554">
        <f>IF(OR($B554&lt;&gt;1,$G554=""),"",COUNTIFS(LdAParty,$A554,LdAType,1,LdAKey,"&lt;"&amp;$G554)+COUNTIFS(LdBMember,$A554,LdBKey,"&lt;"&amp;$G554)+COUNTIFS(LdCParty,$A554,LdCKey,"&lt;"&amp;$G554)+1)</f>
        <v/>
      </c>
      <c r="I554">
        <f>IF($H554="","",$A554&amp;"|"&amp;RIGHT("000000"&amp;$H554,6))</f>
        <v/>
      </c>
      <c r="J554">
        <f>IF(OR($B554&lt;&gt;2,$G554=""),"",COUNTIFS(LdAParty,$A554,LdAType,2,LdAKey,"&lt;"&amp;$G554)+1)</f>
        <v/>
      </c>
      <c r="K554">
        <f>IF($J554="","",$A554&amp;"|"&amp;RIGHT("000000"&amp;$J554,6))</f>
        <v/>
      </c>
      <c r="L554">
        <f>IF($A554="","",IF(Wages!$G557="",0,Wages!$G557))</f>
        <v/>
      </c>
      <c r="M554">
        <f>IF($A554="","",Wages!$J557)</f>
        <v/>
      </c>
      <c r="N554">
        <f>IF($A554="","",Wages!$D557)</f>
        <v/>
      </c>
      <c r="P554">
        <f>IF(OR(Shares!$B557="",Shares!$C557=""),"",Shares!$C557)</f>
        <v/>
      </c>
      <c r="Q554">
        <f>IF($P554="","",Shares!$B557)</f>
        <v/>
      </c>
      <c r="R554">
        <f>IF($P554="","",IFERROR(INDEX(WageParty,MATCH($Q554,WageIds,0)),""))</f>
        <v/>
      </c>
      <c r="S554">
        <f>IF($P554="","",IFERROR(INDEX($F$6:$F$2005,MATCH($Q554,WageIds,0)),""))</f>
        <v/>
      </c>
      <c r="T554">
        <f>IF(OR($P554="",$S554="",$S554="نامعتبر"),"",LEFT($S554,4)&amp;MID($S554,6,2)&amp;RIGHT($S554,2)&amp;"0000"&amp;"|"&amp;"2"&amp;RIGHT("00000"&amp;549,5))</f>
        <v/>
      </c>
      <c r="U554">
        <f>IF($T554="","",COUNTIFS(LdAParty,$P554,LdAType,1,LdAKey,"&lt;"&amp;$T554)+COUNTIFS(LdBMember,$P554,LdBKey,"&lt;"&amp;$T554)+COUNTIFS(LdCParty,$P554,LdCKey,"&lt;"&amp;$T554)+1)</f>
        <v/>
      </c>
      <c r="V554">
        <f>IF($U554="","",$P554&amp;"|"&amp;RIGHT("000000"&amp;$U554,6))</f>
        <v/>
      </c>
      <c r="W554">
        <f>IF($T554="","",COUNTIFS(LdBGroup,$R554,LdBKey,"&lt;"&amp;$T554)+1)</f>
        <v/>
      </c>
      <c r="X554">
        <f>IF($W554="","",$R554&amp;"|"&amp;RIGHT("000000"&amp;$W554,6))</f>
        <v/>
      </c>
      <c r="Y554">
        <f>IF($P554="","",IF(Shares!$E557="",0,Shares!$E557))</f>
        <v/>
      </c>
      <c r="Z554">
        <f>IF($P554="","",Shares!$H557)</f>
        <v/>
      </c>
      <c r="AE554">
        <f>IF(OR(Sync!$S554="",Sync!$P554=""),"",Sync!$S554)</f>
        <v/>
      </c>
      <c r="AF554">
        <f>IF($AE554="","",IF(ISNUMBER(Sync!$P554),IF(AND(Sync!$P554&gt;=10000101,Sync!$P554&lt;=99991231),INT(Sync!$P554/10000),""),IFERROR(VALUE(TRIM(LEFT(Sync!$P554,FIND("/",Sync!$P554)-1))),"")))</f>
        <v/>
      </c>
      <c r="AG554">
        <f>IF(OR($AE554="",$AF554=""),"",IF(ISNUMBER(Sync!$P554),INT(MOD(Sync!$P554,10000)/100),IFERROR(VALUE(TRIM(LEFT(MID(Sync!$P554,FIND("/",Sync!$P554)+1,20),FIND("/",MID(Sync!$P554,FIND("/",Sync!$P554)+1,20))-1))),"")))</f>
        <v/>
      </c>
      <c r="AH554">
        <f>IF(OR($AE554="",$AF554=""),"",IF(ISNUMBER(Sync!$P554),MOD(Sync!$P554,100),IFERROR(VALUE(TRIM(MID(MID(Sync!$P554,FIND("/",Sync!$P554)+1,20),FIND("/",MID(Sync!$P554,FIND("/",Sync!$P554)+1,20))+1,20))),"")))</f>
        <v/>
      </c>
      <c r="AI554">
        <f>IF($AE554="","",IF(OR($AF554="",$AG554="",$AH554="",$AF554&lt;1300,$AF554&gt;1500,$AG554&lt;1,$AG554&gt;12,$AH554&lt;1,$AH554&gt;31),"نامعتبر",RIGHT("0000"&amp;$AF554,4)&amp;"/"&amp;RIGHT("00"&amp;$AG554,2)&amp;"/"&amp;RIGHT("00"&amp;$AH554,2)))</f>
        <v/>
      </c>
      <c r="AJ554">
        <f>IF($AE554="","",IF(Sync!$Q554="","0000",IF(AND(ISNUMBER(Sync!$Q554),Sync!$Q554&gt;=0,Sync!$Q554&lt;1),RIGHT("00"&amp;HOUR(Sync!$Q554),2)&amp;RIGHT("00"&amp;MINUTE(Sync!$Q554),2),IFERROR(RIGHT("00"&amp;VALUE(LEFT(Sync!$Q554,FIND(":",Sync!$Q554)-1)),2)&amp;RIGHT("00"&amp;VALUE(MID(Sync!$Q554,FIND(":",Sync!$Q554)+1,2)),2),"0000"))))</f>
        <v/>
      </c>
      <c r="AK554">
        <f>IF(OR($AE554="",$AI554="",$AI554="نامعتبر"),"",LEFT($AI554,4)&amp;MID($AI554,6,2)&amp;RIGHT($AI554,2)&amp;$AJ554&amp;"|"&amp;"3"&amp;RIGHT("00000"&amp;549,5))</f>
        <v/>
      </c>
      <c r="AL554">
        <f>IF($AK554="","",COUNTIFS(LdAParty,$AE554,LdAType,1,LdAKey,"&lt;"&amp;$AK554)+COUNTIFS(LdBMember,$AE554,LdBKey,"&lt;"&amp;$AK554)+COUNTIFS(LdCParty,$AE554,LdCKey,"&lt;"&amp;$AK554)+1)</f>
        <v/>
      </c>
      <c r="AM554">
        <f>IF($AL554="","",$AE554&amp;"|"&amp;RIGHT("000000"&amp;$AL554,6))</f>
        <v/>
      </c>
      <c r="AN554">
        <f>IF($AE554="","",IF(Sync!$W554="",0,Sync!$W554))</f>
        <v/>
      </c>
      <c r="AO554">
        <f>IF($AE554="","",IF(Sync!$X554="",0,Sync!$X554))</f>
        <v/>
      </c>
      <c r="AP554">
        <f>IF($AE554="","",Sync!$R554)</f>
        <v/>
      </c>
      <c r="AQ554">
        <f>IF($AE554="","",Sync!$Y554)</f>
        <v/>
      </c>
    </row>
    <row r="555">
      <c r="A555">
        <f>IF(OR(Wages!$B558="",Wages!$E558=""),"",Wages!$E558)</f>
        <v/>
      </c>
      <c r="B555">
        <f>IF($A555="","",IF(Wages!$C558="دستمزد گروهی",2,1))</f>
        <v/>
      </c>
      <c r="C555">
        <f>IF($A555="","",IF(ISNUMBER(Wages!$B558),IF(AND(Wages!$B558&gt;=10000101,Wages!$B558&lt;=99991231),INT(Wages!$B558/10000),""),IFERROR(VALUE(TRIM(LEFT(Wages!$B558,FIND("/",Wages!$B558)-1))),"")))</f>
        <v/>
      </c>
      <c r="D555">
        <f>IF(OR($A555="",$C555=""),"",IF(ISNUMBER(Wages!$B558),INT(MOD(Wages!$B558,10000)/100),IFERROR(VALUE(TRIM(LEFT(MID(Wages!$B558,FIND("/",Wages!$B558)+1,20),FIND("/",MID(Wages!$B558,FIND("/",Wages!$B558)+1,20))-1))),"")))</f>
        <v/>
      </c>
      <c r="E555">
        <f>IF(OR($A555="",$C555=""),"",IF(ISNUMBER(Wages!$B558),MOD(Wages!$B558,100),IFERROR(VALUE(TRIM(MID(MID(Wages!$B558,FIND("/",Wages!$B558)+1,20),FIND("/",MID(Wages!$B558,FIND("/",Wages!$B558)+1,20))+1,20))),"")))</f>
        <v/>
      </c>
      <c r="F555">
        <f>IF($A555="","",IF(OR($C555="",$D555="",$E555="",$C555&lt;1300,$C555&gt;1500,$D555&lt;1,$D555&gt;12,$E555&lt;1,$E555&gt;31),"نامعتبر",RIGHT("0000"&amp;$C555,4)&amp;"/"&amp;RIGHT("00"&amp;$D555,2)&amp;"/"&amp;RIGHT("00"&amp;$E555,2)))</f>
        <v/>
      </c>
      <c r="G555">
        <f>IF(OR($A555="",$F555="",$F555="نامعتبر"),"",LEFT($F555,4)&amp;MID($F555,6,2)&amp;RIGHT($F555,2)&amp;"0000"&amp;"|"&amp;"1"&amp;RIGHT("00000"&amp;550,5))</f>
        <v/>
      </c>
      <c r="H555">
        <f>IF(OR($B555&lt;&gt;1,$G555=""),"",COUNTIFS(LdAParty,$A555,LdAType,1,LdAKey,"&lt;"&amp;$G555)+COUNTIFS(LdBMember,$A555,LdBKey,"&lt;"&amp;$G555)+COUNTIFS(LdCParty,$A555,LdCKey,"&lt;"&amp;$G555)+1)</f>
        <v/>
      </c>
      <c r="I555">
        <f>IF($H555="","",$A555&amp;"|"&amp;RIGHT("000000"&amp;$H555,6))</f>
        <v/>
      </c>
      <c r="J555">
        <f>IF(OR($B555&lt;&gt;2,$G555=""),"",COUNTIFS(LdAParty,$A555,LdAType,2,LdAKey,"&lt;"&amp;$G555)+1)</f>
        <v/>
      </c>
      <c r="K555">
        <f>IF($J555="","",$A555&amp;"|"&amp;RIGHT("000000"&amp;$J555,6))</f>
        <v/>
      </c>
      <c r="L555">
        <f>IF($A555="","",IF(Wages!$G558="",0,Wages!$G558))</f>
        <v/>
      </c>
      <c r="M555">
        <f>IF($A555="","",Wages!$J558)</f>
        <v/>
      </c>
      <c r="N555">
        <f>IF($A555="","",Wages!$D558)</f>
        <v/>
      </c>
      <c r="P555">
        <f>IF(OR(Shares!$B558="",Shares!$C558=""),"",Shares!$C558)</f>
        <v/>
      </c>
      <c r="Q555">
        <f>IF($P555="","",Shares!$B558)</f>
        <v/>
      </c>
      <c r="R555">
        <f>IF($P555="","",IFERROR(INDEX(WageParty,MATCH($Q555,WageIds,0)),""))</f>
        <v/>
      </c>
      <c r="S555">
        <f>IF($P555="","",IFERROR(INDEX($F$6:$F$2005,MATCH($Q555,WageIds,0)),""))</f>
        <v/>
      </c>
      <c r="T555">
        <f>IF(OR($P555="",$S555="",$S555="نامعتبر"),"",LEFT($S555,4)&amp;MID($S555,6,2)&amp;RIGHT($S555,2)&amp;"0000"&amp;"|"&amp;"2"&amp;RIGHT("00000"&amp;550,5))</f>
        <v/>
      </c>
      <c r="U555">
        <f>IF($T555="","",COUNTIFS(LdAParty,$P555,LdAType,1,LdAKey,"&lt;"&amp;$T555)+COUNTIFS(LdBMember,$P555,LdBKey,"&lt;"&amp;$T555)+COUNTIFS(LdCParty,$P555,LdCKey,"&lt;"&amp;$T555)+1)</f>
        <v/>
      </c>
      <c r="V555">
        <f>IF($U555="","",$P555&amp;"|"&amp;RIGHT("000000"&amp;$U555,6))</f>
        <v/>
      </c>
      <c r="W555">
        <f>IF($T555="","",COUNTIFS(LdBGroup,$R555,LdBKey,"&lt;"&amp;$T555)+1)</f>
        <v/>
      </c>
      <c r="X555">
        <f>IF($W555="","",$R555&amp;"|"&amp;RIGHT("000000"&amp;$W555,6))</f>
        <v/>
      </c>
      <c r="Y555">
        <f>IF($P555="","",IF(Shares!$E558="",0,Shares!$E558))</f>
        <v/>
      </c>
      <c r="Z555">
        <f>IF($P555="","",Shares!$H558)</f>
        <v/>
      </c>
      <c r="AE555">
        <f>IF(OR(Sync!$S555="",Sync!$P555=""),"",Sync!$S555)</f>
        <v/>
      </c>
      <c r="AF555">
        <f>IF($AE555="","",IF(ISNUMBER(Sync!$P555),IF(AND(Sync!$P555&gt;=10000101,Sync!$P555&lt;=99991231),INT(Sync!$P555/10000),""),IFERROR(VALUE(TRIM(LEFT(Sync!$P555,FIND("/",Sync!$P555)-1))),"")))</f>
        <v/>
      </c>
      <c r="AG555">
        <f>IF(OR($AE555="",$AF555=""),"",IF(ISNUMBER(Sync!$P555),INT(MOD(Sync!$P555,10000)/100),IFERROR(VALUE(TRIM(LEFT(MID(Sync!$P555,FIND("/",Sync!$P555)+1,20),FIND("/",MID(Sync!$P555,FIND("/",Sync!$P555)+1,20))-1))),"")))</f>
        <v/>
      </c>
      <c r="AH555">
        <f>IF(OR($AE555="",$AF555=""),"",IF(ISNUMBER(Sync!$P555),MOD(Sync!$P555,100),IFERROR(VALUE(TRIM(MID(MID(Sync!$P555,FIND("/",Sync!$P555)+1,20),FIND("/",MID(Sync!$P555,FIND("/",Sync!$P555)+1,20))+1,20))),"")))</f>
        <v/>
      </c>
      <c r="AI555">
        <f>IF($AE555="","",IF(OR($AF555="",$AG555="",$AH555="",$AF555&lt;1300,$AF555&gt;1500,$AG555&lt;1,$AG555&gt;12,$AH555&lt;1,$AH555&gt;31),"نامعتبر",RIGHT("0000"&amp;$AF555,4)&amp;"/"&amp;RIGHT("00"&amp;$AG555,2)&amp;"/"&amp;RIGHT("00"&amp;$AH555,2)))</f>
        <v/>
      </c>
      <c r="AJ555">
        <f>IF($AE555="","",IF(Sync!$Q555="","0000",IF(AND(ISNUMBER(Sync!$Q555),Sync!$Q555&gt;=0,Sync!$Q555&lt;1),RIGHT("00"&amp;HOUR(Sync!$Q555),2)&amp;RIGHT("00"&amp;MINUTE(Sync!$Q555),2),IFERROR(RIGHT("00"&amp;VALUE(LEFT(Sync!$Q555,FIND(":",Sync!$Q555)-1)),2)&amp;RIGHT("00"&amp;VALUE(MID(Sync!$Q555,FIND(":",Sync!$Q555)+1,2)),2),"0000"))))</f>
        <v/>
      </c>
      <c r="AK555">
        <f>IF(OR($AE555="",$AI555="",$AI555="نامعتبر"),"",LEFT($AI555,4)&amp;MID($AI555,6,2)&amp;RIGHT($AI555,2)&amp;$AJ555&amp;"|"&amp;"3"&amp;RIGHT("00000"&amp;550,5))</f>
        <v/>
      </c>
      <c r="AL555">
        <f>IF($AK555="","",COUNTIFS(LdAParty,$AE555,LdAType,1,LdAKey,"&lt;"&amp;$AK555)+COUNTIFS(LdBMember,$AE555,LdBKey,"&lt;"&amp;$AK555)+COUNTIFS(LdCParty,$AE555,LdCKey,"&lt;"&amp;$AK555)+1)</f>
        <v/>
      </c>
      <c r="AM555">
        <f>IF($AL555="","",$AE555&amp;"|"&amp;RIGHT("000000"&amp;$AL555,6))</f>
        <v/>
      </c>
      <c r="AN555">
        <f>IF($AE555="","",IF(Sync!$W555="",0,Sync!$W555))</f>
        <v/>
      </c>
      <c r="AO555">
        <f>IF($AE555="","",IF(Sync!$X555="",0,Sync!$X555))</f>
        <v/>
      </c>
      <c r="AP555">
        <f>IF($AE555="","",Sync!$R555)</f>
        <v/>
      </c>
      <c r="AQ555">
        <f>IF($AE555="","",Sync!$Y555)</f>
        <v/>
      </c>
    </row>
    <row r="556">
      <c r="A556">
        <f>IF(OR(Wages!$B559="",Wages!$E559=""),"",Wages!$E559)</f>
        <v/>
      </c>
      <c r="B556">
        <f>IF($A556="","",IF(Wages!$C559="دستمزد گروهی",2,1))</f>
        <v/>
      </c>
      <c r="C556">
        <f>IF($A556="","",IF(ISNUMBER(Wages!$B559),IF(AND(Wages!$B559&gt;=10000101,Wages!$B559&lt;=99991231),INT(Wages!$B559/10000),""),IFERROR(VALUE(TRIM(LEFT(Wages!$B559,FIND("/",Wages!$B559)-1))),"")))</f>
        <v/>
      </c>
      <c r="D556">
        <f>IF(OR($A556="",$C556=""),"",IF(ISNUMBER(Wages!$B559),INT(MOD(Wages!$B559,10000)/100),IFERROR(VALUE(TRIM(LEFT(MID(Wages!$B559,FIND("/",Wages!$B559)+1,20),FIND("/",MID(Wages!$B559,FIND("/",Wages!$B559)+1,20))-1))),"")))</f>
        <v/>
      </c>
      <c r="E556">
        <f>IF(OR($A556="",$C556=""),"",IF(ISNUMBER(Wages!$B559),MOD(Wages!$B559,100),IFERROR(VALUE(TRIM(MID(MID(Wages!$B559,FIND("/",Wages!$B559)+1,20),FIND("/",MID(Wages!$B559,FIND("/",Wages!$B559)+1,20))+1,20))),"")))</f>
        <v/>
      </c>
      <c r="F556">
        <f>IF($A556="","",IF(OR($C556="",$D556="",$E556="",$C556&lt;1300,$C556&gt;1500,$D556&lt;1,$D556&gt;12,$E556&lt;1,$E556&gt;31),"نامعتبر",RIGHT("0000"&amp;$C556,4)&amp;"/"&amp;RIGHT("00"&amp;$D556,2)&amp;"/"&amp;RIGHT("00"&amp;$E556,2)))</f>
        <v/>
      </c>
      <c r="G556">
        <f>IF(OR($A556="",$F556="",$F556="نامعتبر"),"",LEFT($F556,4)&amp;MID($F556,6,2)&amp;RIGHT($F556,2)&amp;"0000"&amp;"|"&amp;"1"&amp;RIGHT("00000"&amp;551,5))</f>
        <v/>
      </c>
      <c r="H556">
        <f>IF(OR($B556&lt;&gt;1,$G556=""),"",COUNTIFS(LdAParty,$A556,LdAType,1,LdAKey,"&lt;"&amp;$G556)+COUNTIFS(LdBMember,$A556,LdBKey,"&lt;"&amp;$G556)+COUNTIFS(LdCParty,$A556,LdCKey,"&lt;"&amp;$G556)+1)</f>
        <v/>
      </c>
      <c r="I556">
        <f>IF($H556="","",$A556&amp;"|"&amp;RIGHT("000000"&amp;$H556,6))</f>
        <v/>
      </c>
      <c r="J556">
        <f>IF(OR($B556&lt;&gt;2,$G556=""),"",COUNTIFS(LdAParty,$A556,LdAType,2,LdAKey,"&lt;"&amp;$G556)+1)</f>
        <v/>
      </c>
      <c r="K556">
        <f>IF($J556="","",$A556&amp;"|"&amp;RIGHT("000000"&amp;$J556,6))</f>
        <v/>
      </c>
      <c r="L556">
        <f>IF($A556="","",IF(Wages!$G559="",0,Wages!$G559))</f>
        <v/>
      </c>
      <c r="M556">
        <f>IF($A556="","",Wages!$J559)</f>
        <v/>
      </c>
      <c r="N556">
        <f>IF($A556="","",Wages!$D559)</f>
        <v/>
      </c>
      <c r="P556">
        <f>IF(OR(Shares!$B559="",Shares!$C559=""),"",Shares!$C559)</f>
        <v/>
      </c>
      <c r="Q556">
        <f>IF($P556="","",Shares!$B559)</f>
        <v/>
      </c>
      <c r="R556">
        <f>IF($P556="","",IFERROR(INDEX(WageParty,MATCH($Q556,WageIds,0)),""))</f>
        <v/>
      </c>
      <c r="S556">
        <f>IF($P556="","",IFERROR(INDEX($F$6:$F$2005,MATCH($Q556,WageIds,0)),""))</f>
        <v/>
      </c>
      <c r="T556">
        <f>IF(OR($P556="",$S556="",$S556="نامعتبر"),"",LEFT($S556,4)&amp;MID($S556,6,2)&amp;RIGHT($S556,2)&amp;"0000"&amp;"|"&amp;"2"&amp;RIGHT("00000"&amp;551,5))</f>
        <v/>
      </c>
      <c r="U556">
        <f>IF($T556="","",COUNTIFS(LdAParty,$P556,LdAType,1,LdAKey,"&lt;"&amp;$T556)+COUNTIFS(LdBMember,$P556,LdBKey,"&lt;"&amp;$T556)+COUNTIFS(LdCParty,$P556,LdCKey,"&lt;"&amp;$T556)+1)</f>
        <v/>
      </c>
      <c r="V556">
        <f>IF($U556="","",$P556&amp;"|"&amp;RIGHT("000000"&amp;$U556,6))</f>
        <v/>
      </c>
      <c r="W556">
        <f>IF($T556="","",COUNTIFS(LdBGroup,$R556,LdBKey,"&lt;"&amp;$T556)+1)</f>
        <v/>
      </c>
      <c r="X556">
        <f>IF($W556="","",$R556&amp;"|"&amp;RIGHT("000000"&amp;$W556,6))</f>
        <v/>
      </c>
      <c r="Y556">
        <f>IF($P556="","",IF(Shares!$E559="",0,Shares!$E559))</f>
        <v/>
      </c>
      <c r="Z556">
        <f>IF($P556="","",Shares!$H559)</f>
        <v/>
      </c>
      <c r="AE556">
        <f>IF(OR(Sync!$S556="",Sync!$P556=""),"",Sync!$S556)</f>
        <v/>
      </c>
      <c r="AF556">
        <f>IF($AE556="","",IF(ISNUMBER(Sync!$P556),IF(AND(Sync!$P556&gt;=10000101,Sync!$P556&lt;=99991231),INT(Sync!$P556/10000),""),IFERROR(VALUE(TRIM(LEFT(Sync!$P556,FIND("/",Sync!$P556)-1))),"")))</f>
        <v/>
      </c>
      <c r="AG556">
        <f>IF(OR($AE556="",$AF556=""),"",IF(ISNUMBER(Sync!$P556),INT(MOD(Sync!$P556,10000)/100),IFERROR(VALUE(TRIM(LEFT(MID(Sync!$P556,FIND("/",Sync!$P556)+1,20),FIND("/",MID(Sync!$P556,FIND("/",Sync!$P556)+1,20))-1))),"")))</f>
        <v/>
      </c>
      <c r="AH556">
        <f>IF(OR($AE556="",$AF556=""),"",IF(ISNUMBER(Sync!$P556),MOD(Sync!$P556,100),IFERROR(VALUE(TRIM(MID(MID(Sync!$P556,FIND("/",Sync!$P556)+1,20),FIND("/",MID(Sync!$P556,FIND("/",Sync!$P556)+1,20))+1,20))),"")))</f>
        <v/>
      </c>
      <c r="AI556">
        <f>IF($AE556="","",IF(OR($AF556="",$AG556="",$AH556="",$AF556&lt;1300,$AF556&gt;1500,$AG556&lt;1,$AG556&gt;12,$AH556&lt;1,$AH556&gt;31),"نامعتبر",RIGHT("0000"&amp;$AF556,4)&amp;"/"&amp;RIGHT("00"&amp;$AG556,2)&amp;"/"&amp;RIGHT("00"&amp;$AH556,2)))</f>
        <v/>
      </c>
      <c r="AJ556">
        <f>IF($AE556="","",IF(Sync!$Q556="","0000",IF(AND(ISNUMBER(Sync!$Q556),Sync!$Q556&gt;=0,Sync!$Q556&lt;1),RIGHT("00"&amp;HOUR(Sync!$Q556),2)&amp;RIGHT("00"&amp;MINUTE(Sync!$Q556),2),IFERROR(RIGHT("00"&amp;VALUE(LEFT(Sync!$Q556,FIND(":",Sync!$Q556)-1)),2)&amp;RIGHT("00"&amp;VALUE(MID(Sync!$Q556,FIND(":",Sync!$Q556)+1,2)),2),"0000"))))</f>
        <v/>
      </c>
      <c r="AK556">
        <f>IF(OR($AE556="",$AI556="",$AI556="نامعتبر"),"",LEFT($AI556,4)&amp;MID($AI556,6,2)&amp;RIGHT($AI556,2)&amp;$AJ556&amp;"|"&amp;"3"&amp;RIGHT("00000"&amp;551,5))</f>
        <v/>
      </c>
      <c r="AL556">
        <f>IF($AK556="","",COUNTIFS(LdAParty,$AE556,LdAType,1,LdAKey,"&lt;"&amp;$AK556)+COUNTIFS(LdBMember,$AE556,LdBKey,"&lt;"&amp;$AK556)+COUNTIFS(LdCParty,$AE556,LdCKey,"&lt;"&amp;$AK556)+1)</f>
        <v/>
      </c>
      <c r="AM556">
        <f>IF($AL556="","",$AE556&amp;"|"&amp;RIGHT("000000"&amp;$AL556,6))</f>
        <v/>
      </c>
      <c r="AN556">
        <f>IF($AE556="","",IF(Sync!$W556="",0,Sync!$W556))</f>
        <v/>
      </c>
      <c r="AO556">
        <f>IF($AE556="","",IF(Sync!$X556="",0,Sync!$X556))</f>
        <v/>
      </c>
      <c r="AP556">
        <f>IF($AE556="","",Sync!$R556)</f>
        <v/>
      </c>
      <c r="AQ556">
        <f>IF($AE556="","",Sync!$Y556)</f>
        <v/>
      </c>
    </row>
    <row r="557">
      <c r="A557">
        <f>IF(OR(Wages!$B560="",Wages!$E560=""),"",Wages!$E560)</f>
        <v/>
      </c>
      <c r="B557">
        <f>IF($A557="","",IF(Wages!$C560="دستمزد گروهی",2,1))</f>
        <v/>
      </c>
      <c r="C557">
        <f>IF($A557="","",IF(ISNUMBER(Wages!$B560),IF(AND(Wages!$B560&gt;=10000101,Wages!$B560&lt;=99991231),INT(Wages!$B560/10000),""),IFERROR(VALUE(TRIM(LEFT(Wages!$B560,FIND("/",Wages!$B560)-1))),"")))</f>
        <v/>
      </c>
      <c r="D557">
        <f>IF(OR($A557="",$C557=""),"",IF(ISNUMBER(Wages!$B560),INT(MOD(Wages!$B560,10000)/100),IFERROR(VALUE(TRIM(LEFT(MID(Wages!$B560,FIND("/",Wages!$B560)+1,20),FIND("/",MID(Wages!$B560,FIND("/",Wages!$B560)+1,20))-1))),"")))</f>
        <v/>
      </c>
      <c r="E557">
        <f>IF(OR($A557="",$C557=""),"",IF(ISNUMBER(Wages!$B560),MOD(Wages!$B560,100),IFERROR(VALUE(TRIM(MID(MID(Wages!$B560,FIND("/",Wages!$B560)+1,20),FIND("/",MID(Wages!$B560,FIND("/",Wages!$B560)+1,20))+1,20))),"")))</f>
        <v/>
      </c>
      <c r="F557">
        <f>IF($A557="","",IF(OR($C557="",$D557="",$E557="",$C557&lt;1300,$C557&gt;1500,$D557&lt;1,$D557&gt;12,$E557&lt;1,$E557&gt;31),"نامعتبر",RIGHT("0000"&amp;$C557,4)&amp;"/"&amp;RIGHT("00"&amp;$D557,2)&amp;"/"&amp;RIGHT("00"&amp;$E557,2)))</f>
        <v/>
      </c>
      <c r="G557">
        <f>IF(OR($A557="",$F557="",$F557="نامعتبر"),"",LEFT($F557,4)&amp;MID($F557,6,2)&amp;RIGHT($F557,2)&amp;"0000"&amp;"|"&amp;"1"&amp;RIGHT("00000"&amp;552,5))</f>
        <v/>
      </c>
      <c r="H557">
        <f>IF(OR($B557&lt;&gt;1,$G557=""),"",COUNTIFS(LdAParty,$A557,LdAType,1,LdAKey,"&lt;"&amp;$G557)+COUNTIFS(LdBMember,$A557,LdBKey,"&lt;"&amp;$G557)+COUNTIFS(LdCParty,$A557,LdCKey,"&lt;"&amp;$G557)+1)</f>
        <v/>
      </c>
      <c r="I557">
        <f>IF($H557="","",$A557&amp;"|"&amp;RIGHT("000000"&amp;$H557,6))</f>
        <v/>
      </c>
      <c r="J557">
        <f>IF(OR($B557&lt;&gt;2,$G557=""),"",COUNTIFS(LdAParty,$A557,LdAType,2,LdAKey,"&lt;"&amp;$G557)+1)</f>
        <v/>
      </c>
      <c r="K557">
        <f>IF($J557="","",$A557&amp;"|"&amp;RIGHT("000000"&amp;$J557,6))</f>
        <v/>
      </c>
      <c r="L557">
        <f>IF($A557="","",IF(Wages!$G560="",0,Wages!$G560))</f>
        <v/>
      </c>
      <c r="M557">
        <f>IF($A557="","",Wages!$J560)</f>
        <v/>
      </c>
      <c r="N557">
        <f>IF($A557="","",Wages!$D560)</f>
        <v/>
      </c>
      <c r="P557">
        <f>IF(OR(Shares!$B560="",Shares!$C560=""),"",Shares!$C560)</f>
        <v/>
      </c>
      <c r="Q557">
        <f>IF($P557="","",Shares!$B560)</f>
        <v/>
      </c>
      <c r="R557">
        <f>IF($P557="","",IFERROR(INDEX(WageParty,MATCH($Q557,WageIds,0)),""))</f>
        <v/>
      </c>
      <c r="S557">
        <f>IF($P557="","",IFERROR(INDEX($F$6:$F$2005,MATCH($Q557,WageIds,0)),""))</f>
        <v/>
      </c>
      <c r="T557">
        <f>IF(OR($P557="",$S557="",$S557="نامعتبر"),"",LEFT($S557,4)&amp;MID($S557,6,2)&amp;RIGHT($S557,2)&amp;"0000"&amp;"|"&amp;"2"&amp;RIGHT("00000"&amp;552,5))</f>
        <v/>
      </c>
      <c r="U557">
        <f>IF($T557="","",COUNTIFS(LdAParty,$P557,LdAType,1,LdAKey,"&lt;"&amp;$T557)+COUNTIFS(LdBMember,$P557,LdBKey,"&lt;"&amp;$T557)+COUNTIFS(LdCParty,$P557,LdCKey,"&lt;"&amp;$T557)+1)</f>
        <v/>
      </c>
      <c r="V557">
        <f>IF($U557="","",$P557&amp;"|"&amp;RIGHT("000000"&amp;$U557,6))</f>
        <v/>
      </c>
      <c r="W557">
        <f>IF($T557="","",COUNTIFS(LdBGroup,$R557,LdBKey,"&lt;"&amp;$T557)+1)</f>
        <v/>
      </c>
      <c r="X557">
        <f>IF($W557="","",$R557&amp;"|"&amp;RIGHT("000000"&amp;$W557,6))</f>
        <v/>
      </c>
      <c r="Y557">
        <f>IF($P557="","",IF(Shares!$E560="",0,Shares!$E560))</f>
        <v/>
      </c>
      <c r="Z557">
        <f>IF($P557="","",Shares!$H560)</f>
        <v/>
      </c>
      <c r="AE557">
        <f>IF(OR(Sync!$S557="",Sync!$P557=""),"",Sync!$S557)</f>
        <v/>
      </c>
      <c r="AF557">
        <f>IF($AE557="","",IF(ISNUMBER(Sync!$P557),IF(AND(Sync!$P557&gt;=10000101,Sync!$P557&lt;=99991231),INT(Sync!$P557/10000),""),IFERROR(VALUE(TRIM(LEFT(Sync!$P557,FIND("/",Sync!$P557)-1))),"")))</f>
        <v/>
      </c>
      <c r="AG557">
        <f>IF(OR($AE557="",$AF557=""),"",IF(ISNUMBER(Sync!$P557),INT(MOD(Sync!$P557,10000)/100),IFERROR(VALUE(TRIM(LEFT(MID(Sync!$P557,FIND("/",Sync!$P557)+1,20),FIND("/",MID(Sync!$P557,FIND("/",Sync!$P557)+1,20))-1))),"")))</f>
        <v/>
      </c>
      <c r="AH557">
        <f>IF(OR($AE557="",$AF557=""),"",IF(ISNUMBER(Sync!$P557),MOD(Sync!$P557,100),IFERROR(VALUE(TRIM(MID(MID(Sync!$P557,FIND("/",Sync!$P557)+1,20),FIND("/",MID(Sync!$P557,FIND("/",Sync!$P557)+1,20))+1,20))),"")))</f>
        <v/>
      </c>
      <c r="AI557">
        <f>IF($AE557="","",IF(OR($AF557="",$AG557="",$AH557="",$AF557&lt;1300,$AF557&gt;1500,$AG557&lt;1,$AG557&gt;12,$AH557&lt;1,$AH557&gt;31),"نامعتبر",RIGHT("0000"&amp;$AF557,4)&amp;"/"&amp;RIGHT("00"&amp;$AG557,2)&amp;"/"&amp;RIGHT("00"&amp;$AH557,2)))</f>
        <v/>
      </c>
      <c r="AJ557">
        <f>IF($AE557="","",IF(Sync!$Q557="","0000",IF(AND(ISNUMBER(Sync!$Q557),Sync!$Q557&gt;=0,Sync!$Q557&lt;1),RIGHT("00"&amp;HOUR(Sync!$Q557),2)&amp;RIGHT("00"&amp;MINUTE(Sync!$Q557),2),IFERROR(RIGHT("00"&amp;VALUE(LEFT(Sync!$Q557,FIND(":",Sync!$Q557)-1)),2)&amp;RIGHT("00"&amp;VALUE(MID(Sync!$Q557,FIND(":",Sync!$Q557)+1,2)),2),"0000"))))</f>
        <v/>
      </c>
      <c r="AK557">
        <f>IF(OR($AE557="",$AI557="",$AI557="نامعتبر"),"",LEFT($AI557,4)&amp;MID($AI557,6,2)&amp;RIGHT($AI557,2)&amp;$AJ557&amp;"|"&amp;"3"&amp;RIGHT("00000"&amp;552,5))</f>
        <v/>
      </c>
      <c r="AL557">
        <f>IF($AK557="","",COUNTIFS(LdAParty,$AE557,LdAType,1,LdAKey,"&lt;"&amp;$AK557)+COUNTIFS(LdBMember,$AE557,LdBKey,"&lt;"&amp;$AK557)+COUNTIFS(LdCParty,$AE557,LdCKey,"&lt;"&amp;$AK557)+1)</f>
        <v/>
      </c>
      <c r="AM557">
        <f>IF($AL557="","",$AE557&amp;"|"&amp;RIGHT("000000"&amp;$AL557,6))</f>
        <v/>
      </c>
      <c r="AN557">
        <f>IF($AE557="","",IF(Sync!$W557="",0,Sync!$W557))</f>
        <v/>
      </c>
      <c r="AO557">
        <f>IF($AE557="","",IF(Sync!$X557="",0,Sync!$X557))</f>
        <v/>
      </c>
      <c r="AP557">
        <f>IF($AE557="","",Sync!$R557)</f>
        <v/>
      </c>
      <c r="AQ557">
        <f>IF($AE557="","",Sync!$Y557)</f>
        <v/>
      </c>
    </row>
    <row r="558">
      <c r="A558">
        <f>IF(OR(Wages!$B561="",Wages!$E561=""),"",Wages!$E561)</f>
        <v/>
      </c>
      <c r="B558">
        <f>IF($A558="","",IF(Wages!$C561="دستمزد گروهی",2,1))</f>
        <v/>
      </c>
      <c r="C558">
        <f>IF($A558="","",IF(ISNUMBER(Wages!$B561),IF(AND(Wages!$B561&gt;=10000101,Wages!$B561&lt;=99991231),INT(Wages!$B561/10000),""),IFERROR(VALUE(TRIM(LEFT(Wages!$B561,FIND("/",Wages!$B561)-1))),"")))</f>
        <v/>
      </c>
      <c r="D558">
        <f>IF(OR($A558="",$C558=""),"",IF(ISNUMBER(Wages!$B561),INT(MOD(Wages!$B561,10000)/100),IFERROR(VALUE(TRIM(LEFT(MID(Wages!$B561,FIND("/",Wages!$B561)+1,20),FIND("/",MID(Wages!$B561,FIND("/",Wages!$B561)+1,20))-1))),"")))</f>
        <v/>
      </c>
      <c r="E558">
        <f>IF(OR($A558="",$C558=""),"",IF(ISNUMBER(Wages!$B561),MOD(Wages!$B561,100),IFERROR(VALUE(TRIM(MID(MID(Wages!$B561,FIND("/",Wages!$B561)+1,20),FIND("/",MID(Wages!$B561,FIND("/",Wages!$B561)+1,20))+1,20))),"")))</f>
        <v/>
      </c>
      <c r="F558">
        <f>IF($A558="","",IF(OR($C558="",$D558="",$E558="",$C558&lt;1300,$C558&gt;1500,$D558&lt;1,$D558&gt;12,$E558&lt;1,$E558&gt;31),"نامعتبر",RIGHT("0000"&amp;$C558,4)&amp;"/"&amp;RIGHT("00"&amp;$D558,2)&amp;"/"&amp;RIGHT("00"&amp;$E558,2)))</f>
        <v/>
      </c>
      <c r="G558">
        <f>IF(OR($A558="",$F558="",$F558="نامعتبر"),"",LEFT($F558,4)&amp;MID($F558,6,2)&amp;RIGHT($F558,2)&amp;"0000"&amp;"|"&amp;"1"&amp;RIGHT("00000"&amp;553,5))</f>
        <v/>
      </c>
      <c r="H558">
        <f>IF(OR($B558&lt;&gt;1,$G558=""),"",COUNTIFS(LdAParty,$A558,LdAType,1,LdAKey,"&lt;"&amp;$G558)+COUNTIFS(LdBMember,$A558,LdBKey,"&lt;"&amp;$G558)+COUNTIFS(LdCParty,$A558,LdCKey,"&lt;"&amp;$G558)+1)</f>
        <v/>
      </c>
      <c r="I558">
        <f>IF($H558="","",$A558&amp;"|"&amp;RIGHT("000000"&amp;$H558,6))</f>
        <v/>
      </c>
      <c r="J558">
        <f>IF(OR($B558&lt;&gt;2,$G558=""),"",COUNTIFS(LdAParty,$A558,LdAType,2,LdAKey,"&lt;"&amp;$G558)+1)</f>
        <v/>
      </c>
      <c r="K558">
        <f>IF($J558="","",$A558&amp;"|"&amp;RIGHT("000000"&amp;$J558,6))</f>
        <v/>
      </c>
      <c r="L558">
        <f>IF($A558="","",IF(Wages!$G561="",0,Wages!$G561))</f>
        <v/>
      </c>
      <c r="M558">
        <f>IF($A558="","",Wages!$J561)</f>
        <v/>
      </c>
      <c r="N558">
        <f>IF($A558="","",Wages!$D561)</f>
        <v/>
      </c>
      <c r="P558">
        <f>IF(OR(Shares!$B561="",Shares!$C561=""),"",Shares!$C561)</f>
        <v/>
      </c>
      <c r="Q558">
        <f>IF($P558="","",Shares!$B561)</f>
        <v/>
      </c>
      <c r="R558">
        <f>IF($P558="","",IFERROR(INDEX(WageParty,MATCH($Q558,WageIds,0)),""))</f>
        <v/>
      </c>
      <c r="S558">
        <f>IF($P558="","",IFERROR(INDEX($F$6:$F$2005,MATCH($Q558,WageIds,0)),""))</f>
        <v/>
      </c>
      <c r="T558">
        <f>IF(OR($P558="",$S558="",$S558="نامعتبر"),"",LEFT($S558,4)&amp;MID($S558,6,2)&amp;RIGHT($S558,2)&amp;"0000"&amp;"|"&amp;"2"&amp;RIGHT("00000"&amp;553,5))</f>
        <v/>
      </c>
      <c r="U558">
        <f>IF($T558="","",COUNTIFS(LdAParty,$P558,LdAType,1,LdAKey,"&lt;"&amp;$T558)+COUNTIFS(LdBMember,$P558,LdBKey,"&lt;"&amp;$T558)+COUNTIFS(LdCParty,$P558,LdCKey,"&lt;"&amp;$T558)+1)</f>
        <v/>
      </c>
      <c r="V558">
        <f>IF($U558="","",$P558&amp;"|"&amp;RIGHT("000000"&amp;$U558,6))</f>
        <v/>
      </c>
      <c r="W558">
        <f>IF($T558="","",COUNTIFS(LdBGroup,$R558,LdBKey,"&lt;"&amp;$T558)+1)</f>
        <v/>
      </c>
      <c r="X558">
        <f>IF($W558="","",$R558&amp;"|"&amp;RIGHT("000000"&amp;$W558,6))</f>
        <v/>
      </c>
      <c r="Y558">
        <f>IF($P558="","",IF(Shares!$E561="",0,Shares!$E561))</f>
        <v/>
      </c>
      <c r="Z558">
        <f>IF($P558="","",Shares!$H561)</f>
        <v/>
      </c>
      <c r="AE558">
        <f>IF(OR(Sync!$S558="",Sync!$P558=""),"",Sync!$S558)</f>
        <v/>
      </c>
      <c r="AF558">
        <f>IF($AE558="","",IF(ISNUMBER(Sync!$P558),IF(AND(Sync!$P558&gt;=10000101,Sync!$P558&lt;=99991231),INT(Sync!$P558/10000),""),IFERROR(VALUE(TRIM(LEFT(Sync!$P558,FIND("/",Sync!$P558)-1))),"")))</f>
        <v/>
      </c>
      <c r="AG558">
        <f>IF(OR($AE558="",$AF558=""),"",IF(ISNUMBER(Sync!$P558),INT(MOD(Sync!$P558,10000)/100),IFERROR(VALUE(TRIM(LEFT(MID(Sync!$P558,FIND("/",Sync!$P558)+1,20),FIND("/",MID(Sync!$P558,FIND("/",Sync!$P558)+1,20))-1))),"")))</f>
        <v/>
      </c>
      <c r="AH558">
        <f>IF(OR($AE558="",$AF558=""),"",IF(ISNUMBER(Sync!$P558),MOD(Sync!$P558,100),IFERROR(VALUE(TRIM(MID(MID(Sync!$P558,FIND("/",Sync!$P558)+1,20),FIND("/",MID(Sync!$P558,FIND("/",Sync!$P558)+1,20))+1,20))),"")))</f>
        <v/>
      </c>
      <c r="AI558">
        <f>IF($AE558="","",IF(OR($AF558="",$AG558="",$AH558="",$AF558&lt;1300,$AF558&gt;1500,$AG558&lt;1,$AG558&gt;12,$AH558&lt;1,$AH558&gt;31),"نامعتبر",RIGHT("0000"&amp;$AF558,4)&amp;"/"&amp;RIGHT("00"&amp;$AG558,2)&amp;"/"&amp;RIGHT("00"&amp;$AH558,2)))</f>
        <v/>
      </c>
      <c r="AJ558">
        <f>IF($AE558="","",IF(Sync!$Q558="","0000",IF(AND(ISNUMBER(Sync!$Q558),Sync!$Q558&gt;=0,Sync!$Q558&lt;1),RIGHT("00"&amp;HOUR(Sync!$Q558),2)&amp;RIGHT("00"&amp;MINUTE(Sync!$Q558),2),IFERROR(RIGHT("00"&amp;VALUE(LEFT(Sync!$Q558,FIND(":",Sync!$Q558)-1)),2)&amp;RIGHT("00"&amp;VALUE(MID(Sync!$Q558,FIND(":",Sync!$Q558)+1,2)),2),"0000"))))</f>
        <v/>
      </c>
      <c r="AK558">
        <f>IF(OR($AE558="",$AI558="",$AI558="نامعتبر"),"",LEFT($AI558,4)&amp;MID($AI558,6,2)&amp;RIGHT($AI558,2)&amp;$AJ558&amp;"|"&amp;"3"&amp;RIGHT("00000"&amp;553,5))</f>
        <v/>
      </c>
      <c r="AL558">
        <f>IF($AK558="","",COUNTIFS(LdAParty,$AE558,LdAType,1,LdAKey,"&lt;"&amp;$AK558)+COUNTIFS(LdBMember,$AE558,LdBKey,"&lt;"&amp;$AK558)+COUNTIFS(LdCParty,$AE558,LdCKey,"&lt;"&amp;$AK558)+1)</f>
        <v/>
      </c>
      <c r="AM558">
        <f>IF($AL558="","",$AE558&amp;"|"&amp;RIGHT("000000"&amp;$AL558,6))</f>
        <v/>
      </c>
      <c r="AN558">
        <f>IF($AE558="","",IF(Sync!$W558="",0,Sync!$W558))</f>
        <v/>
      </c>
      <c r="AO558">
        <f>IF($AE558="","",IF(Sync!$X558="",0,Sync!$X558))</f>
        <v/>
      </c>
      <c r="AP558">
        <f>IF($AE558="","",Sync!$R558)</f>
        <v/>
      </c>
      <c r="AQ558">
        <f>IF($AE558="","",Sync!$Y558)</f>
        <v/>
      </c>
    </row>
    <row r="559">
      <c r="A559">
        <f>IF(OR(Wages!$B562="",Wages!$E562=""),"",Wages!$E562)</f>
        <v/>
      </c>
      <c r="B559">
        <f>IF($A559="","",IF(Wages!$C562="دستمزد گروهی",2,1))</f>
        <v/>
      </c>
      <c r="C559">
        <f>IF($A559="","",IF(ISNUMBER(Wages!$B562),IF(AND(Wages!$B562&gt;=10000101,Wages!$B562&lt;=99991231),INT(Wages!$B562/10000),""),IFERROR(VALUE(TRIM(LEFT(Wages!$B562,FIND("/",Wages!$B562)-1))),"")))</f>
        <v/>
      </c>
      <c r="D559">
        <f>IF(OR($A559="",$C559=""),"",IF(ISNUMBER(Wages!$B562),INT(MOD(Wages!$B562,10000)/100),IFERROR(VALUE(TRIM(LEFT(MID(Wages!$B562,FIND("/",Wages!$B562)+1,20),FIND("/",MID(Wages!$B562,FIND("/",Wages!$B562)+1,20))-1))),"")))</f>
        <v/>
      </c>
      <c r="E559">
        <f>IF(OR($A559="",$C559=""),"",IF(ISNUMBER(Wages!$B562),MOD(Wages!$B562,100),IFERROR(VALUE(TRIM(MID(MID(Wages!$B562,FIND("/",Wages!$B562)+1,20),FIND("/",MID(Wages!$B562,FIND("/",Wages!$B562)+1,20))+1,20))),"")))</f>
        <v/>
      </c>
      <c r="F559">
        <f>IF($A559="","",IF(OR($C559="",$D559="",$E559="",$C559&lt;1300,$C559&gt;1500,$D559&lt;1,$D559&gt;12,$E559&lt;1,$E559&gt;31),"نامعتبر",RIGHT("0000"&amp;$C559,4)&amp;"/"&amp;RIGHT("00"&amp;$D559,2)&amp;"/"&amp;RIGHT("00"&amp;$E559,2)))</f>
        <v/>
      </c>
      <c r="G559">
        <f>IF(OR($A559="",$F559="",$F559="نامعتبر"),"",LEFT($F559,4)&amp;MID($F559,6,2)&amp;RIGHT($F559,2)&amp;"0000"&amp;"|"&amp;"1"&amp;RIGHT("00000"&amp;554,5))</f>
        <v/>
      </c>
      <c r="H559">
        <f>IF(OR($B559&lt;&gt;1,$G559=""),"",COUNTIFS(LdAParty,$A559,LdAType,1,LdAKey,"&lt;"&amp;$G559)+COUNTIFS(LdBMember,$A559,LdBKey,"&lt;"&amp;$G559)+COUNTIFS(LdCParty,$A559,LdCKey,"&lt;"&amp;$G559)+1)</f>
        <v/>
      </c>
      <c r="I559">
        <f>IF($H559="","",$A559&amp;"|"&amp;RIGHT("000000"&amp;$H559,6))</f>
        <v/>
      </c>
      <c r="J559">
        <f>IF(OR($B559&lt;&gt;2,$G559=""),"",COUNTIFS(LdAParty,$A559,LdAType,2,LdAKey,"&lt;"&amp;$G559)+1)</f>
        <v/>
      </c>
      <c r="K559">
        <f>IF($J559="","",$A559&amp;"|"&amp;RIGHT("000000"&amp;$J559,6))</f>
        <v/>
      </c>
      <c r="L559">
        <f>IF($A559="","",IF(Wages!$G562="",0,Wages!$G562))</f>
        <v/>
      </c>
      <c r="M559">
        <f>IF($A559="","",Wages!$J562)</f>
        <v/>
      </c>
      <c r="N559">
        <f>IF($A559="","",Wages!$D562)</f>
        <v/>
      </c>
      <c r="P559">
        <f>IF(OR(Shares!$B562="",Shares!$C562=""),"",Shares!$C562)</f>
        <v/>
      </c>
      <c r="Q559">
        <f>IF($P559="","",Shares!$B562)</f>
        <v/>
      </c>
      <c r="R559">
        <f>IF($P559="","",IFERROR(INDEX(WageParty,MATCH($Q559,WageIds,0)),""))</f>
        <v/>
      </c>
      <c r="S559">
        <f>IF($P559="","",IFERROR(INDEX($F$6:$F$2005,MATCH($Q559,WageIds,0)),""))</f>
        <v/>
      </c>
      <c r="T559">
        <f>IF(OR($P559="",$S559="",$S559="نامعتبر"),"",LEFT($S559,4)&amp;MID($S559,6,2)&amp;RIGHT($S559,2)&amp;"0000"&amp;"|"&amp;"2"&amp;RIGHT("00000"&amp;554,5))</f>
        <v/>
      </c>
      <c r="U559">
        <f>IF($T559="","",COUNTIFS(LdAParty,$P559,LdAType,1,LdAKey,"&lt;"&amp;$T559)+COUNTIFS(LdBMember,$P559,LdBKey,"&lt;"&amp;$T559)+COUNTIFS(LdCParty,$P559,LdCKey,"&lt;"&amp;$T559)+1)</f>
        <v/>
      </c>
      <c r="V559">
        <f>IF($U559="","",$P559&amp;"|"&amp;RIGHT("000000"&amp;$U559,6))</f>
        <v/>
      </c>
      <c r="W559">
        <f>IF($T559="","",COUNTIFS(LdBGroup,$R559,LdBKey,"&lt;"&amp;$T559)+1)</f>
        <v/>
      </c>
      <c r="X559">
        <f>IF($W559="","",$R559&amp;"|"&amp;RIGHT("000000"&amp;$W559,6))</f>
        <v/>
      </c>
      <c r="Y559">
        <f>IF($P559="","",IF(Shares!$E562="",0,Shares!$E562))</f>
        <v/>
      </c>
      <c r="Z559">
        <f>IF($P559="","",Shares!$H562)</f>
        <v/>
      </c>
      <c r="AE559">
        <f>IF(OR(Sync!$S559="",Sync!$P559=""),"",Sync!$S559)</f>
        <v/>
      </c>
      <c r="AF559">
        <f>IF($AE559="","",IF(ISNUMBER(Sync!$P559),IF(AND(Sync!$P559&gt;=10000101,Sync!$P559&lt;=99991231),INT(Sync!$P559/10000),""),IFERROR(VALUE(TRIM(LEFT(Sync!$P559,FIND("/",Sync!$P559)-1))),"")))</f>
        <v/>
      </c>
      <c r="AG559">
        <f>IF(OR($AE559="",$AF559=""),"",IF(ISNUMBER(Sync!$P559),INT(MOD(Sync!$P559,10000)/100),IFERROR(VALUE(TRIM(LEFT(MID(Sync!$P559,FIND("/",Sync!$P559)+1,20),FIND("/",MID(Sync!$P559,FIND("/",Sync!$P559)+1,20))-1))),"")))</f>
        <v/>
      </c>
      <c r="AH559">
        <f>IF(OR($AE559="",$AF559=""),"",IF(ISNUMBER(Sync!$P559),MOD(Sync!$P559,100),IFERROR(VALUE(TRIM(MID(MID(Sync!$P559,FIND("/",Sync!$P559)+1,20),FIND("/",MID(Sync!$P559,FIND("/",Sync!$P559)+1,20))+1,20))),"")))</f>
        <v/>
      </c>
      <c r="AI559">
        <f>IF($AE559="","",IF(OR($AF559="",$AG559="",$AH559="",$AF559&lt;1300,$AF559&gt;1500,$AG559&lt;1,$AG559&gt;12,$AH559&lt;1,$AH559&gt;31),"نامعتبر",RIGHT("0000"&amp;$AF559,4)&amp;"/"&amp;RIGHT("00"&amp;$AG559,2)&amp;"/"&amp;RIGHT("00"&amp;$AH559,2)))</f>
        <v/>
      </c>
      <c r="AJ559">
        <f>IF($AE559="","",IF(Sync!$Q559="","0000",IF(AND(ISNUMBER(Sync!$Q559),Sync!$Q559&gt;=0,Sync!$Q559&lt;1),RIGHT("00"&amp;HOUR(Sync!$Q559),2)&amp;RIGHT("00"&amp;MINUTE(Sync!$Q559),2),IFERROR(RIGHT("00"&amp;VALUE(LEFT(Sync!$Q559,FIND(":",Sync!$Q559)-1)),2)&amp;RIGHT("00"&amp;VALUE(MID(Sync!$Q559,FIND(":",Sync!$Q559)+1,2)),2),"0000"))))</f>
        <v/>
      </c>
      <c r="AK559">
        <f>IF(OR($AE559="",$AI559="",$AI559="نامعتبر"),"",LEFT($AI559,4)&amp;MID($AI559,6,2)&amp;RIGHT($AI559,2)&amp;$AJ559&amp;"|"&amp;"3"&amp;RIGHT("00000"&amp;554,5))</f>
        <v/>
      </c>
      <c r="AL559">
        <f>IF($AK559="","",COUNTIFS(LdAParty,$AE559,LdAType,1,LdAKey,"&lt;"&amp;$AK559)+COUNTIFS(LdBMember,$AE559,LdBKey,"&lt;"&amp;$AK559)+COUNTIFS(LdCParty,$AE559,LdCKey,"&lt;"&amp;$AK559)+1)</f>
        <v/>
      </c>
      <c r="AM559">
        <f>IF($AL559="","",$AE559&amp;"|"&amp;RIGHT("000000"&amp;$AL559,6))</f>
        <v/>
      </c>
      <c r="AN559">
        <f>IF($AE559="","",IF(Sync!$W559="",0,Sync!$W559))</f>
        <v/>
      </c>
      <c r="AO559">
        <f>IF($AE559="","",IF(Sync!$X559="",0,Sync!$X559))</f>
        <v/>
      </c>
      <c r="AP559">
        <f>IF($AE559="","",Sync!$R559)</f>
        <v/>
      </c>
      <c r="AQ559">
        <f>IF($AE559="","",Sync!$Y559)</f>
        <v/>
      </c>
    </row>
    <row r="560">
      <c r="A560">
        <f>IF(OR(Wages!$B563="",Wages!$E563=""),"",Wages!$E563)</f>
        <v/>
      </c>
      <c r="B560">
        <f>IF($A560="","",IF(Wages!$C563="دستمزد گروهی",2,1))</f>
        <v/>
      </c>
      <c r="C560">
        <f>IF($A560="","",IF(ISNUMBER(Wages!$B563),IF(AND(Wages!$B563&gt;=10000101,Wages!$B563&lt;=99991231),INT(Wages!$B563/10000),""),IFERROR(VALUE(TRIM(LEFT(Wages!$B563,FIND("/",Wages!$B563)-1))),"")))</f>
        <v/>
      </c>
      <c r="D560">
        <f>IF(OR($A560="",$C560=""),"",IF(ISNUMBER(Wages!$B563),INT(MOD(Wages!$B563,10000)/100),IFERROR(VALUE(TRIM(LEFT(MID(Wages!$B563,FIND("/",Wages!$B563)+1,20),FIND("/",MID(Wages!$B563,FIND("/",Wages!$B563)+1,20))-1))),"")))</f>
        <v/>
      </c>
      <c r="E560">
        <f>IF(OR($A560="",$C560=""),"",IF(ISNUMBER(Wages!$B563),MOD(Wages!$B563,100),IFERROR(VALUE(TRIM(MID(MID(Wages!$B563,FIND("/",Wages!$B563)+1,20),FIND("/",MID(Wages!$B563,FIND("/",Wages!$B563)+1,20))+1,20))),"")))</f>
        <v/>
      </c>
      <c r="F560">
        <f>IF($A560="","",IF(OR($C560="",$D560="",$E560="",$C560&lt;1300,$C560&gt;1500,$D560&lt;1,$D560&gt;12,$E560&lt;1,$E560&gt;31),"نامعتبر",RIGHT("0000"&amp;$C560,4)&amp;"/"&amp;RIGHT("00"&amp;$D560,2)&amp;"/"&amp;RIGHT("00"&amp;$E560,2)))</f>
        <v/>
      </c>
      <c r="G560">
        <f>IF(OR($A560="",$F560="",$F560="نامعتبر"),"",LEFT($F560,4)&amp;MID($F560,6,2)&amp;RIGHT($F560,2)&amp;"0000"&amp;"|"&amp;"1"&amp;RIGHT("00000"&amp;555,5))</f>
        <v/>
      </c>
      <c r="H560">
        <f>IF(OR($B560&lt;&gt;1,$G560=""),"",COUNTIFS(LdAParty,$A560,LdAType,1,LdAKey,"&lt;"&amp;$G560)+COUNTIFS(LdBMember,$A560,LdBKey,"&lt;"&amp;$G560)+COUNTIFS(LdCParty,$A560,LdCKey,"&lt;"&amp;$G560)+1)</f>
        <v/>
      </c>
      <c r="I560">
        <f>IF($H560="","",$A560&amp;"|"&amp;RIGHT("000000"&amp;$H560,6))</f>
        <v/>
      </c>
      <c r="J560">
        <f>IF(OR($B560&lt;&gt;2,$G560=""),"",COUNTIFS(LdAParty,$A560,LdAType,2,LdAKey,"&lt;"&amp;$G560)+1)</f>
        <v/>
      </c>
      <c r="K560">
        <f>IF($J560="","",$A560&amp;"|"&amp;RIGHT("000000"&amp;$J560,6))</f>
        <v/>
      </c>
      <c r="L560">
        <f>IF($A560="","",IF(Wages!$G563="",0,Wages!$G563))</f>
        <v/>
      </c>
      <c r="M560">
        <f>IF($A560="","",Wages!$J563)</f>
        <v/>
      </c>
      <c r="N560">
        <f>IF($A560="","",Wages!$D563)</f>
        <v/>
      </c>
      <c r="P560">
        <f>IF(OR(Shares!$B563="",Shares!$C563=""),"",Shares!$C563)</f>
        <v/>
      </c>
      <c r="Q560">
        <f>IF($P560="","",Shares!$B563)</f>
        <v/>
      </c>
      <c r="R560">
        <f>IF($P560="","",IFERROR(INDEX(WageParty,MATCH($Q560,WageIds,0)),""))</f>
        <v/>
      </c>
      <c r="S560">
        <f>IF($P560="","",IFERROR(INDEX($F$6:$F$2005,MATCH($Q560,WageIds,0)),""))</f>
        <v/>
      </c>
      <c r="T560">
        <f>IF(OR($P560="",$S560="",$S560="نامعتبر"),"",LEFT($S560,4)&amp;MID($S560,6,2)&amp;RIGHT($S560,2)&amp;"0000"&amp;"|"&amp;"2"&amp;RIGHT("00000"&amp;555,5))</f>
        <v/>
      </c>
      <c r="U560">
        <f>IF($T560="","",COUNTIFS(LdAParty,$P560,LdAType,1,LdAKey,"&lt;"&amp;$T560)+COUNTIFS(LdBMember,$P560,LdBKey,"&lt;"&amp;$T560)+COUNTIFS(LdCParty,$P560,LdCKey,"&lt;"&amp;$T560)+1)</f>
        <v/>
      </c>
      <c r="V560">
        <f>IF($U560="","",$P560&amp;"|"&amp;RIGHT("000000"&amp;$U560,6))</f>
        <v/>
      </c>
      <c r="W560">
        <f>IF($T560="","",COUNTIFS(LdBGroup,$R560,LdBKey,"&lt;"&amp;$T560)+1)</f>
        <v/>
      </c>
      <c r="X560">
        <f>IF($W560="","",$R560&amp;"|"&amp;RIGHT("000000"&amp;$W560,6))</f>
        <v/>
      </c>
      <c r="Y560">
        <f>IF($P560="","",IF(Shares!$E563="",0,Shares!$E563))</f>
        <v/>
      </c>
      <c r="Z560">
        <f>IF($P560="","",Shares!$H563)</f>
        <v/>
      </c>
      <c r="AE560">
        <f>IF(OR(Sync!$S560="",Sync!$P560=""),"",Sync!$S560)</f>
        <v/>
      </c>
      <c r="AF560">
        <f>IF($AE560="","",IF(ISNUMBER(Sync!$P560),IF(AND(Sync!$P560&gt;=10000101,Sync!$P560&lt;=99991231),INT(Sync!$P560/10000),""),IFERROR(VALUE(TRIM(LEFT(Sync!$P560,FIND("/",Sync!$P560)-1))),"")))</f>
        <v/>
      </c>
      <c r="AG560">
        <f>IF(OR($AE560="",$AF560=""),"",IF(ISNUMBER(Sync!$P560),INT(MOD(Sync!$P560,10000)/100),IFERROR(VALUE(TRIM(LEFT(MID(Sync!$P560,FIND("/",Sync!$P560)+1,20),FIND("/",MID(Sync!$P560,FIND("/",Sync!$P560)+1,20))-1))),"")))</f>
        <v/>
      </c>
      <c r="AH560">
        <f>IF(OR($AE560="",$AF560=""),"",IF(ISNUMBER(Sync!$P560),MOD(Sync!$P560,100),IFERROR(VALUE(TRIM(MID(MID(Sync!$P560,FIND("/",Sync!$P560)+1,20),FIND("/",MID(Sync!$P560,FIND("/",Sync!$P560)+1,20))+1,20))),"")))</f>
        <v/>
      </c>
      <c r="AI560">
        <f>IF($AE560="","",IF(OR($AF560="",$AG560="",$AH560="",$AF560&lt;1300,$AF560&gt;1500,$AG560&lt;1,$AG560&gt;12,$AH560&lt;1,$AH560&gt;31),"نامعتبر",RIGHT("0000"&amp;$AF560,4)&amp;"/"&amp;RIGHT("00"&amp;$AG560,2)&amp;"/"&amp;RIGHT("00"&amp;$AH560,2)))</f>
        <v/>
      </c>
      <c r="AJ560">
        <f>IF($AE560="","",IF(Sync!$Q560="","0000",IF(AND(ISNUMBER(Sync!$Q560),Sync!$Q560&gt;=0,Sync!$Q560&lt;1),RIGHT("00"&amp;HOUR(Sync!$Q560),2)&amp;RIGHT("00"&amp;MINUTE(Sync!$Q560),2),IFERROR(RIGHT("00"&amp;VALUE(LEFT(Sync!$Q560,FIND(":",Sync!$Q560)-1)),2)&amp;RIGHT("00"&amp;VALUE(MID(Sync!$Q560,FIND(":",Sync!$Q560)+1,2)),2),"0000"))))</f>
        <v/>
      </c>
      <c r="AK560">
        <f>IF(OR($AE560="",$AI560="",$AI560="نامعتبر"),"",LEFT($AI560,4)&amp;MID($AI560,6,2)&amp;RIGHT($AI560,2)&amp;$AJ560&amp;"|"&amp;"3"&amp;RIGHT("00000"&amp;555,5))</f>
        <v/>
      </c>
      <c r="AL560">
        <f>IF($AK560="","",COUNTIFS(LdAParty,$AE560,LdAType,1,LdAKey,"&lt;"&amp;$AK560)+COUNTIFS(LdBMember,$AE560,LdBKey,"&lt;"&amp;$AK560)+COUNTIFS(LdCParty,$AE560,LdCKey,"&lt;"&amp;$AK560)+1)</f>
        <v/>
      </c>
      <c r="AM560">
        <f>IF($AL560="","",$AE560&amp;"|"&amp;RIGHT("000000"&amp;$AL560,6))</f>
        <v/>
      </c>
      <c r="AN560">
        <f>IF($AE560="","",IF(Sync!$W560="",0,Sync!$W560))</f>
        <v/>
      </c>
      <c r="AO560">
        <f>IF($AE560="","",IF(Sync!$X560="",0,Sync!$X560))</f>
        <v/>
      </c>
      <c r="AP560">
        <f>IF($AE560="","",Sync!$R560)</f>
        <v/>
      </c>
      <c r="AQ560">
        <f>IF($AE560="","",Sync!$Y560)</f>
        <v/>
      </c>
    </row>
    <row r="561">
      <c r="A561">
        <f>IF(OR(Wages!$B564="",Wages!$E564=""),"",Wages!$E564)</f>
        <v/>
      </c>
      <c r="B561">
        <f>IF($A561="","",IF(Wages!$C564="دستمزد گروهی",2,1))</f>
        <v/>
      </c>
      <c r="C561">
        <f>IF($A561="","",IF(ISNUMBER(Wages!$B564),IF(AND(Wages!$B564&gt;=10000101,Wages!$B564&lt;=99991231),INT(Wages!$B564/10000),""),IFERROR(VALUE(TRIM(LEFT(Wages!$B564,FIND("/",Wages!$B564)-1))),"")))</f>
        <v/>
      </c>
      <c r="D561">
        <f>IF(OR($A561="",$C561=""),"",IF(ISNUMBER(Wages!$B564),INT(MOD(Wages!$B564,10000)/100),IFERROR(VALUE(TRIM(LEFT(MID(Wages!$B564,FIND("/",Wages!$B564)+1,20),FIND("/",MID(Wages!$B564,FIND("/",Wages!$B564)+1,20))-1))),"")))</f>
        <v/>
      </c>
      <c r="E561">
        <f>IF(OR($A561="",$C561=""),"",IF(ISNUMBER(Wages!$B564),MOD(Wages!$B564,100),IFERROR(VALUE(TRIM(MID(MID(Wages!$B564,FIND("/",Wages!$B564)+1,20),FIND("/",MID(Wages!$B564,FIND("/",Wages!$B564)+1,20))+1,20))),"")))</f>
        <v/>
      </c>
      <c r="F561">
        <f>IF($A561="","",IF(OR($C561="",$D561="",$E561="",$C561&lt;1300,$C561&gt;1500,$D561&lt;1,$D561&gt;12,$E561&lt;1,$E561&gt;31),"نامعتبر",RIGHT("0000"&amp;$C561,4)&amp;"/"&amp;RIGHT("00"&amp;$D561,2)&amp;"/"&amp;RIGHT("00"&amp;$E561,2)))</f>
        <v/>
      </c>
      <c r="G561">
        <f>IF(OR($A561="",$F561="",$F561="نامعتبر"),"",LEFT($F561,4)&amp;MID($F561,6,2)&amp;RIGHT($F561,2)&amp;"0000"&amp;"|"&amp;"1"&amp;RIGHT("00000"&amp;556,5))</f>
        <v/>
      </c>
      <c r="H561">
        <f>IF(OR($B561&lt;&gt;1,$G561=""),"",COUNTIFS(LdAParty,$A561,LdAType,1,LdAKey,"&lt;"&amp;$G561)+COUNTIFS(LdBMember,$A561,LdBKey,"&lt;"&amp;$G561)+COUNTIFS(LdCParty,$A561,LdCKey,"&lt;"&amp;$G561)+1)</f>
        <v/>
      </c>
      <c r="I561">
        <f>IF($H561="","",$A561&amp;"|"&amp;RIGHT("000000"&amp;$H561,6))</f>
        <v/>
      </c>
      <c r="J561">
        <f>IF(OR($B561&lt;&gt;2,$G561=""),"",COUNTIFS(LdAParty,$A561,LdAType,2,LdAKey,"&lt;"&amp;$G561)+1)</f>
        <v/>
      </c>
      <c r="K561">
        <f>IF($J561="","",$A561&amp;"|"&amp;RIGHT("000000"&amp;$J561,6))</f>
        <v/>
      </c>
      <c r="L561">
        <f>IF($A561="","",IF(Wages!$G564="",0,Wages!$G564))</f>
        <v/>
      </c>
      <c r="M561">
        <f>IF($A561="","",Wages!$J564)</f>
        <v/>
      </c>
      <c r="N561">
        <f>IF($A561="","",Wages!$D564)</f>
        <v/>
      </c>
      <c r="P561">
        <f>IF(OR(Shares!$B564="",Shares!$C564=""),"",Shares!$C564)</f>
        <v/>
      </c>
      <c r="Q561">
        <f>IF($P561="","",Shares!$B564)</f>
        <v/>
      </c>
      <c r="R561">
        <f>IF($P561="","",IFERROR(INDEX(WageParty,MATCH($Q561,WageIds,0)),""))</f>
        <v/>
      </c>
      <c r="S561">
        <f>IF($P561="","",IFERROR(INDEX($F$6:$F$2005,MATCH($Q561,WageIds,0)),""))</f>
        <v/>
      </c>
      <c r="T561">
        <f>IF(OR($P561="",$S561="",$S561="نامعتبر"),"",LEFT($S561,4)&amp;MID($S561,6,2)&amp;RIGHT($S561,2)&amp;"0000"&amp;"|"&amp;"2"&amp;RIGHT("00000"&amp;556,5))</f>
        <v/>
      </c>
      <c r="U561">
        <f>IF($T561="","",COUNTIFS(LdAParty,$P561,LdAType,1,LdAKey,"&lt;"&amp;$T561)+COUNTIFS(LdBMember,$P561,LdBKey,"&lt;"&amp;$T561)+COUNTIFS(LdCParty,$P561,LdCKey,"&lt;"&amp;$T561)+1)</f>
        <v/>
      </c>
      <c r="V561">
        <f>IF($U561="","",$P561&amp;"|"&amp;RIGHT("000000"&amp;$U561,6))</f>
        <v/>
      </c>
      <c r="W561">
        <f>IF($T561="","",COUNTIFS(LdBGroup,$R561,LdBKey,"&lt;"&amp;$T561)+1)</f>
        <v/>
      </c>
      <c r="X561">
        <f>IF($W561="","",$R561&amp;"|"&amp;RIGHT("000000"&amp;$W561,6))</f>
        <v/>
      </c>
      <c r="Y561">
        <f>IF($P561="","",IF(Shares!$E564="",0,Shares!$E564))</f>
        <v/>
      </c>
      <c r="Z561">
        <f>IF($P561="","",Shares!$H564)</f>
        <v/>
      </c>
      <c r="AE561">
        <f>IF(OR(Sync!$S561="",Sync!$P561=""),"",Sync!$S561)</f>
        <v/>
      </c>
      <c r="AF561">
        <f>IF($AE561="","",IF(ISNUMBER(Sync!$P561),IF(AND(Sync!$P561&gt;=10000101,Sync!$P561&lt;=99991231),INT(Sync!$P561/10000),""),IFERROR(VALUE(TRIM(LEFT(Sync!$P561,FIND("/",Sync!$P561)-1))),"")))</f>
        <v/>
      </c>
      <c r="AG561">
        <f>IF(OR($AE561="",$AF561=""),"",IF(ISNUMBER(Sync!$P561),INT(MOD(Sync!$P561,10000)/100),IFERROR(VALUE(TRIM(LEFT(MID(Sync!$P561,FIND("/",Sync!$P561)+1,20),FIND("/",MID(Sync!$P561,FIND("/",Sync!$P561)+1,20))-1))),"")))</f>
        <v/>
      </c>
      <c r="AH561">
        <f>IF(OR($AE561="",$AF561=""),"",IF(ISNUMBER(Sync!$P561),MOD(Sync!$P561,100),IFERROR(VALUE(TRIM(MID(MID(Sync!$P561,FIND("/",Sync!$P561)+1,20),FIND("/",MID(Sync!$P561,FIND("/",Sync!$P561)+1,20))+1,20))),"")))</f>
        <v/>
      </c>
      <c r="AI561">
        <f>IF($AE561="","",IF(OR($AF561="",$AG561="",$AH561="",$AF561&lt;1300,$AF561&gt;1500,$AG561&lt;1,$AG561&gt;12,$AH561&lt;1,$AH561&gt;31),"نامعتبر",RIGHT("0000"&amp;$AF561,4)&amp;"/"&amp;RIGHT("00"&amp;$AG561,2)&amp;"/"&amp;RIGHT("00"&amp;$AH561,2)))</f>
        <v/>
      </c>
      <c r="AJ561">
        <f>IF($AE561="","",IF(Sync!$Q561="","0000",IF(AND(ISNUMBER(Sync!$Q561),Sync!$Q561&gt;=0,Sync!$Q561&lt;1),RIGHT("00"&amp;HOUR(Sync!$Q561),2)&amp;RIGHT("00"&amp;MINUTE(Sync!$Q561),2),IFERROR(RIGHT("00"&amp;VALUE(LEFT(Sync!$Q561,FIND(":",Sync!$Q561)-1)),2)&amp;RIGHT("00"&amp;VALUE(MID(Sync!$Q561,FIND(":",Sync!$Q561)+1,2)),2),"0000"))))</f>
        <v/>
      </c>
      <c r="AK561">
        <f>IF(OR($AE561="",$AI561="",$AI561="نامعتبر"),"",LEFT($AI561,4)&amp;MID($AI561,6,2)&amp;RIGHT($AI561,2)&amp;$AJ561&amp;"|"&amp;"3"&amp;RIGHT("00000"&amp;556,5))</f>
        <v/>
      </c>
      <c r="AL561">
        <f>IF($AK561="","",COUNTIFS(LdAParty,$AE561,LdAType,1,LdAKey,"&lt;"&amp;$AK561)+COUNTIFS(LdBMember,$AE561,LdBKey,"&lt;"&amp;$AK561)+COUNTIFS(LdCParty,$AE561,LdCKey,"&lt;"&amp;$AK561)+1)</f>
        <v/>
      </c>
      <c r="AM561">
        <f>IF($AL561="","",$AE561&amp;"|"&amp;RIGHT("000000"&amp;$AL561,6))</f>
        <v/>
      </c>
      <c r="AN561">
        <f>IF($AE561="","",IF(Sync!$W561="",0,Sync!$W561))</f>
        <v/>
      </c>
      <c r="AO561">
        <f>IF($AE561="","",IF(Sync!$X561="",0,Sync!$X561))</f>
        <v/>
      </c>
      <c r="AP561">
        <f>IF($AE561="","",Sync!$R561)</f>
        <v/>
      </c>
      <c r="AQ561">
        <f>IF($AE561="","",Sync!$Y561)</f>
        <v/>
      </c>
    </row>
    <row r="562">
      <c r="A562">
        <f>IF(OR(Wages!$B565="",Wages!$E565=""),"",Wages!$E565)</f>
        <v/>
      </c>
      <c r="B562">
        <f>IF($A562="","",IF(Wages!$C565="دستمزد گروهی",2,1))</f>
        <v/>
      </c>
      <c r="C562">
        <f>IF($A562="","",IF(ISNUMBER(Wages!$B565),IF(AND(Wages!$B565&gt;=10000101,Wages!$B565&lt;=99991231),INT(Wages!$B565/10000),""),IFERROR(VALUE(TRIM(LEFT(Wages!$B565,FIND("/",Wages!$B565)-1))),"")))</f>
        <v/>
      </c>
      <c r="D562">
        <f>IF(OR($A562="",$C562=""),"",IF(ISNUMBER(Wages!$B565),INT(MOD(Wages!$B565,10000)/100),IFERROR(VALUE(TRIM(LEFT(MID(Wages!$B565,FIND("/",Wages!$B565)+1,20),FIND("/",MID(Wages!$B565,FIND("/",Wages!$B565)+1,20))-1))),"")))</f>
        <v/>
      </c>
      <c r="E562">
        <f>IF(OR($A562="",$C562=""),"",IF(ISNUMBER(Wages!$B565),MOD(Wages!$B565,100),IFERROR(VALUE(TRIM(MID(MID(Wages!$B565,FIND("/",Wages!$B565)+1,20),FIND("/",MID(Wages!$B565,FIND("/",Wages!$B565)+1,20))+1,20))),"")))</f>
        <v/>
      </c>
      <c r="F562">
        <f>IF($A562="","",IF(OR($C562="",$D562="",$E562="",$C562&lt;1300,$C562&gt;1500,$D562&lt;1,$D562&gt;12,$E562&lt;1,$E562&gt;31),"نامعتبر",RIGHT("0000"&amp;$C562,4)&amp;"/"&amp;RIGHT("00"&amp;$D562,2)&amp;"/"&amp;RIGHT("00"&amp;$E562,2)))</f>
        <v/>
      </c>
      <c r="G562">
        <f>IF(OR($A562="",$F562="",$F562="نامعتبر"),"",LEFT($F562,4)&amp;MID($F562,6,2)&amp;RIGHT($F562,2)&amp;"0000"&amp;"|"&amp;"1"&amp;RIGHT("00000"&amp;557,5))</f>
        <v/>
      </c>
      <c r="H562">
        <f>IF(OR($B562&lt;&gt;1,$G562=""),"",COUNTIFS(LdAParty,$A562,LdAType,1,LdAKey,"&lt;"&amp;$G562)+COUNTIFS(LdBMember,$A562,LdBKey,"&lt;"&amp;$G562)+COUNTIFS(LdCParty,$A562,LdCKey,"&lt;"&amp;$G562)+1)</f>
        <v/>
      </c>
      <c r="I562">
        <f>IF($H562="","",$A562&amp;"|"&amp;RIGHT("000000"&amp;$H562,6))</f>
        <v/>
      </c>
      <c r="J562">
        <f>IF(OR($B562&lt;&gt;2,$G562=""),"",COUNTIFS(LdAParty,$A562,LdAType,2,LdAKey,"&lt;"&amp;$G562)+1)</f>
        <v/>
      </c>
      <c r="K562">
        <f>IF($J562="","",$A562&amp;"|"&amp;RIGHT("000000"&amp;$J562,6))</f>
        <v/>
      </c>
      <c r="L562">
        <f>IF($A562="","",IF(Wages!$G565="",0,Wages!$G565))</f>
        <v/>
      </c>
      <c r="M562">
        <f>IF($A562="","",Wages!$J565)</f>
        <v/>
      </c>
      <c r="N562">
        <f>IF($A562="","",Wages!$D565)</f>
        <v/>
      </c>
      <c r="P562">
        <f>IF(OR(Shares!$B565="",Shares!$C565=""),"",Shares!$C565)</f>
        <v/>
      </c>
      <c r="Q562">
        <f>IF($P562="","",Shares!$B565)</f>
        <v/>
      </c>
      <c r="R562">
        <f>IF($P562="","",IFERROR(INDEX(WageParty,MATCH($Q562,WageIds,0)),""))</f>
        <v/>
      </c>
      <c r="S562">
        <f>IF($P562="","",IFERROR(INDEX($F$6:$F$2005,MATCH($Q562,WageIds,0)),""))</f>
        <v/>
      </c>
      <c r="T562">
        <f>IF(OR($P562="",$S562="",$S562="نامعتبر"),"",LEFT($S562,4)&amp;MID($S562,6,2)&amp;RIGHT($S562,2)&amp;"0000"&amp;"|"&amp;"2"&amp;RIGHT("00000"&amp;557,5))</f>
        <v/>
      </c>
      <c r="U562">
        <f>IF($T562="","",COUNTIFS(LdAParty,$P562,LdAType,1,LdAKey,"&lt;"&amp;$T562)+COUNTIFS(LdBMember,$P562,LdBKey,"&lt;"&amp;$T562)+COUNTIFS(LdCParty,$P562,LdCKey,"&lt;"&amp;$T562)+1)</f>
        <v/>
      </c>
      <c r="V562">
        <f>IF($U562="","",$P562&amp;"|"&amp;RIGHT("000000"&amp;$U562,6))</f>
        <v/>
      </c>
      <c r="W562">
        <f>IF($T562="","",COUNTIFS(LdBGroup,$R562,LdBKey,"&lt;"&amp;$T562)+1)</f>
        <v/>
      </c>
      <c r="X562">
        <f>IF($W562="","",$R562&amp;"|"&amp;RIGHT("000000"&amp;$W562,6))</f>
        <v/>
      </c>
      <c r="Y562">
        <f>IF($P562="","",IF(Shares!$E565="",0,Shares!$E565))</f>
        <v/>
      </c>
      <c r="Z562">
        <f>IF($P562="","",Shares!$H565)</f>
        <v/>
      </c>
      <c r="AE562">
        <f>IF(OR(Sync!$S562="",Sync!$P562=""),"",Sync!$S562)</f>
        <v/>
      </c>
      <c r="AF562">
        <f>IF($AE562="","",IF(ISNUMBER(Sync!$P562),IF(AND(Sync!$P562&gt;=10000101,Sync!$P562&lt;=99991231),INT(Sync!$P562/10000),""),IFERROR(VALUE(TRIM(LEFT(Sync!$P562,FIND("/",Sync!$P562)-1))),"")))</f>
        <v/>
      </c>
      <c r="AG562">
        <f>IF(OR($AE562="",$AF562=""),"",IF(ISNUMBER(Sync!$P562),INT(MOD(Sync!$P562,10000)/100),IFERROR(VALUE(TRIM(LEFT(MID(Sync!$P562,FIND("/",Sync!$P562)+1,20),FIND("/",MID(Sync!$P562,FIND("/",Sync!$P562)+1,20))-1))),"")))</f>
        <v/>
      </c>
      <c r="AH562">
        <f>IF(OR($AE562="",$AF562=""),"",IF(ISNUMBER(Sync!$P562),MOD(Sync!$P562,100),IFERROR(VALUE(TRIM(MID(MID(Sync!$P562,FIND("/",Sync!$P562)+1,20),FIND("/",MID(Sync!$P562,FIND("/",Sync!$P562)+1,20))+1,20))),"")))</f>
        <v/>
      </c>
      <c r="AI562">
        <f>IF($AE562="","",IF(OR($AF562="",$AG562="",$AH562="",$AF562&lt;1300,$AF562&gt;1500,$AG562&lt;1,$AG562&gt;12,$AH562&lt;1,$AH562&gt;31),"نامعتبر",RIGHT("0000"&amp;$AF562,4)&amp;"/"&amp;RIGHT("00"&amp;$AG562,2)&amp;"/"&amp;RIGHT("00"&amp;$AH562,2)))</f>
        <v/>
      </c>
      <c r="AJ562">
        <f>IF($AE562="","",IF(Sync!$Q562="","0000",IF(AND(ISNUMBER(Sync!$Q562),Sync!$Q562&gt;=0,Sync!$Q562&lt;1),RIGHT("00"&amp;HOUR(Sync!$Q562),2)&amp;RIGHT("00"&amp;MINUTE(Sync!$Q562),2),IFERROR(RIGHT("00"&amp;VALUE(LEFT(Sync!$Q562,FIND(":",Sync!$Q562)-1)),2)&amp;RIGHT("00"&amp;VALUE(MID(Sync!$Q562,FIND(":",Sync!$Q562)+1,2)),2),"0000"))))</f>
        <v/>
      </c>
      <c r="AK562">
        <f>IF(OR($AE562="",$AI562="",$AI562="نامعتبر"),"",LEFT($AI562,4)&amp;MID($AI562,6,2)&amp;RIGHT($AI562,2)&amp;$AJ562&amp;"|"&amp;"3"&amp;RIGHT("00000"&amp;557,5))</f>
        <v/>
      </c>
      <c r="AL562">
        <f>IF($AK562="","",COUNTIFS(LdAParty,$AE562,LdAType,1,LdAKey,"&lt;"&amp;$AK562)+COUNTIFS(LdBMember,$AE562,LdBKey,"&lt;"&amp;$AK562)+COUNTIFS(LdCParty,$AE562,LdCKey,"&lt;"&amp;$AK562)+1)</f>
        <v/>
      </c>
      <c r="AM562">
        <f>IF($AL562="","",$AE562&amp;"|"&amp;RIGHT("000000"&amp;$AL562,6))</f>
        <v/>
      </c>
      <c r="AN562">
        <f>IF($AE562="","",IF(Sync!$W562="",0,Sync!$W562))</f>
        <v/>
      </c>
      <c r="AO562">
        <f>IF($AE562="","",IF(Sync!$X562="",0,Sync!$X562))</f>
        <v/>
      </c>
      <c r="AP562">
        <f>IF($AE562="","",Sync!$R562)</f>
        <v/>
      </c>
      <c r="AQ562">
        <f>IF($AE562="","",Sync!$Y562)</f>
        <v/>
      </c>
    </row>
    <row r="563">
      <c r="A563">
        <f>IF(OR(Wages!$B566="",Wages!$E566=""),"",Wages!$E566)</f>
        <v/>
      </c>
      <c r="B563">
        <f>IF($A563="","",IF(Wages!$C566="دستمزد گروهی",2,1))</f>
        <v/>
      </c>
      <c r="C563">
        <f>IF($A563="","",IF(ISNUMBER(Wages!$B566),IF(AND(Wages!$B566&gt;=10000101,Wages!$B566&lt;=99991231),INT(Wages!$B566/10000),""),IFERROR(VALUE(TRIM(LEFT(Wages!$B566,FIND("/",Wages!$B566)-1))),"")))</f>
        <v/>
      </c>
      <c r="D563">
        <f>IF(OR($A563="",$C563=""),"",IF(ISNUMBER(Wages!$B566),INT(MOD(Wages!$B566,10000)/100),IFERROR(VALUE(TRIM(LEFT(MID(Wages!$B566,FIND("/",Wages!$B566)+1,20),FIND("/",MID(Wages!$B566,FIND("/",Wages!$B566)+1,20))-1))),"")))</f>
        <v/>
      </c>
      <c r="E563">
        <f>IF(OR($A563="",$C563=""),"",IF(ISNUMBER(Wages!$B566),MOD(Wages!$B566,100),IFERROR(VALUE(TRIM(MID(MID(Wages!$B566,FIND("/",Wages!$B566)+1,20),FIND("/",MID(Wages!$B566,FIND("/",Wages!$B566)+1,20))+1,20))),"")))</f>
        <v/>
      </c>
      <c r="F563">
        <f>IF($A563="","",IF(OR($C563="",$D563="",$E563="",$C563&lt;1300,$C563&gt;1500,$D563&lt;1,$D563&gt;12,$E563&lt;1,$E563&gt;31),"نامعتبر",RIGHT("0000"&amp;$C563,4)&amp;"/"&amp;RIGHT("00"&amp;$D563,2)&amp;"/"&amp;RIGHT("00"&amp;$E563,2)))</f>
        <v/>
      </c>
      <c r="G563">
        <f>IF(OR($A563="",$F563="",$F563="نامعتبر"),"",LEFT($F563,4)&amp;MID($F563,6,2)&amp;RIGHT($F563,2)&amp;"0000"&amp;"|"&amp;"1"&amp;RIGHT("00000"&amp;558,5))</f>
        <v/>
      </c>
      <c r="H563">
        <f>IF(OR($B563&lt;&gt;1,$G563=""),"",COUNTIFS(LdAParty,$A563,LdAType,1,LdAKey,"&lt;"&amp;$G563)+COUNTIFS(LdBMember,$A563,LdBKey,"&lt;"&amp;$G563)+COUNTIFS(LdCParty,$A563,LdCKey,"&lt;"&amp;$G563)+1)</f>
        <v/>
      </c>
      <c r="I563">
        <f>IF($H563="","",$A563&amp;"|"&amp;RIGHT("000000"&amp;$H563,6))</f>
        <v/>
      </c>
      <c r="J563">
        <f>IF(OR($B563&lt;&gt;2,$G563=""),"",COUNTIFS(LdAParty,$A563,LdAType,2,LdAKey,"&lt;"&amp;$G563)+1)</f>
        <v/>
      </c>
      <c r="K563">
        <f>IF($J563="","",$A563&amp;"|"&amp;RIGHT("000000"&amp;$J563,6))</f>
        <v/>
      </c>
      <c r="L563">
        <f>IF($A563="","",IF(Wages!$G566="",0,Wages!$G566))</f>
        <v/>
      </c>
      <c r="M563">
        <f>IF($A563="","",Wages!$J566)</f>
        <v/>
      </c>
      <c r="N563">
        <f>IF($A563="","",Wages!$D566)</f>
        <v/>
      </c>
      <c r="P563">
        <f>IF(OR(Shares!$B566="",Shares!$C566=""),"",Shares!$C566)</f>
        <v/>
      </c>
      <c r="Q563">
        <f>IF($P563="","",Shares!$B566)</f>
        <v/>
      </c>
      <c r="R563">
        <f>IF($P563="","",IFERROR(INDEX(WageParty,MATCH($Q563,WageIds,0)),""))</f>
        <v/>
      </c>
      <c r="S563">
        <f>IF($P563="","",IFERROR(INDEX($F$6:$F$2005,MATCH($Q563,WageIds,0)),""))</f>
        <v/>
      </c>
      <c r="T563">
        <f>IF(OR($P563="",$S563="",$S563="نامعتبر"),"",LEFT($S563,4)&amp;MID($S563,6,2)&amp;RIGHT($S563,2)&amp;"0000"&amp;"|"&amp;"2"&amp;RIGHT("00000"&amp;558,5))</f>
        <v/>
      </c>
      <c r="U563">
        <f>IF($T563="","",COUNTIFS(LdAParty,$P563,LdAType,1,LdAKey,"&lt;"&amp;$T563)+COUNTIFS(LdBMember,$P563,LdBKey,"&lt;"&amp;$T563)+COUNTIFS(LdCParty,$P563,LdCKey,"&lt;"&amp;$T563)+1)</f>
        <v/>
      </c>
      <c r="V563">
        <f>IF($U563="","",$P563&amp;"|"&amp;RIGHT("000000"&amp;$U563,6))</f>
        <v/>
      </c>
      <c r="W563">
        <f>IF($T563="","",COUNTIFS(LdBGroup,$R563,LdBKey,"&lt;"&amp;$T563)+1)</f>
        <v/>
      </c>
      <c r="X563">
        <f>IF($W563="","",$R563&amp;"|"&amp;RIGHT("000000"&amp;$W563,6))</f>
        <v/>
      </c>
      <c r="Y563">
        <f>IF($P563="","",IF(Shares!$E566="",0,Shares!$E566))</f>
        <v/>
      </c>
      <c r="Z563">
        <f>IF($P563="","",Shares!$H566)</f>
        <v/>
      </c>
      <c r="AE563">
        <f>IF(OR(Sync!$S563="",Sync!$P563=""),"",Sync!$S563)</f>
        <v/>
      </c>
      <c r="AF563">
        <f>IF($AE563="","",IF(ISNUMBER(Sync!$P563),IF(AND(Sync!$P563&gt;=10000101,Sync!$P563&lt;=99991231),INT(Sync!$P563/10000),""),IFERROR(VALUE(TRIM(LEFT(Sync!$P563,FIND("/",Sync!$P563)-1))),"")))</f>
        <v/>
      </c>
      <c r="AG563">
        <f>IF(OR($AE563="",$AF563=""),"",IF(ISNUMBER(Sync!$P563),INT(MOD(Sync!$P563,10000)/100),IFERROR(VALUE(TRIM(LEFT(MID(Sync!$P563,FIND("/",Sync!$P563)+1,20),FIND("/",MID(Sync!$P563,FIND("/",Sync!$P563)+1,20))-1))),"")))</f>
        <v/>
      </c>
      <c r="AH563">
        <f>IF(OR($AE563="",$AF563=""),"",IF(ISNUMBER(Sync!$P563),MOD(Sync!$P563,100),IFERROR(VALUE(TRIM(MID(MID(Sync!$P563,FIND("/",Sync!$P563)+1,20),FIND("/",MID(Sync!$P563,FIND("/",Sync!$P563)+1,20))+1,20))),"")))</f>
        <v/>
      </c>
      <c r="AI563">
        <f>IF($AE563="","",IF(OR($AF563="",$AG563="",$AH563="",$AF563&lt;1300,$AF563&gt;1500,$AG563&lt;1,$AG563&gt;12,$AH563&lt;1,$AH563&gt;31),"نامعتبر",RIGHT("0000"&amp;$AF563,4)&amp;"/"&amp;RIGHT("00"&amp;$AG563,2)&amp;"/"&amp;RIGHT("00"&amp;$AH563,2)))</f>
        <v/>
      </c>
      <c r="AJ563">
        <f>IF($AE563="","",IF(Sync!$Q563="","0000",IF(AND(ISNUMBER(Sync!$Q563),Sync!$Q563&gt;=0,Sync!$Q563&lt;1),RIGHT("00"&amp;HOUR(Sync!$Q563),2)&amp;RIGHT("00"&amp;MINUTE(Sync!$Q563),2),IFERROR(RIGHT("00"&amp;VALUE(LEFT(Sync!$Q563,FIND(":",Sync!$Q563)-1)),2)&amp;RIGHT("00"&amp;VALUE(MID(Sync!$Q563,FIND(":",Sync!$Q563)+1,2)),2),"0000"))))</f>
        <v/>
      </c>
      <c r="AK563">
        <f>IF(OR($AE563="",$AI563="",$AI563="نامعتبر"),"",LEFT($AI563,4)&amp;MID($AI563,6,2)&amp;RIGHT($AI563,2)&amp;$AJ563&amp;"|"&amp;"3"&amp;RIGHT("00000"&amp;558,5))</f>
        <v/>
      </c>
      <c r="AL563">
        <f>IF($AK563="","",COUNTIFS(LdAParty,$AE563,LdAType,1,LdAKey,"&lt;"&amp;$AK563)+COUNTIFS(LdBMember,$AE563,LdBKey,"&lt;"&amp;$AK563)+COUNTIFS(LdCParty,$AE563,LdCKey,"&lt;"&amp;$AK563)+1)</f>
        <v/>
      </c>
      <c r="AM563">
        <f>IF($AL563="","",$AE563&amp;"|"&amp;RIGHT("000000"&amp;$AL563,6))</f>
        <v/>
      </c>
      <c r="AN563">
        <f>IF($AE563="","",IF(Sync!$W563="",0,Sync!$W563))</f>
        <v/>
      </c>
      <c r="AO563">
        <f>IF($AE563="","",IF(Sync!$X563="",0,Sync!$X563))</f>
        <v/>
      </c>
      <c r="AP563">
        <f>IF($AE563="","",Sync!$R563)</f>
        <v/>
      </c>
      <c r="AQ563">
        <f>IF($AE563="","",Sync!$Y563)</f>
        <v/>
      </c>
    </row>
    <row r="564">
      <c r="A564">
        <f>IF(OR(Wages!$B567="",Wages!$E567=""),"",Wages!$E567)</f>
        <v/>
      </c>
      <c r="B564">
        <f>IF($A564="","",IF(Wages!$C567="دستمزد گروهی",2,1))</f>
        <v/>
      </c>
      <c r="C564">
        <f>IF($A564="","",IF(ISNUMBER(Wages!$B567),IF(AND(Wages!$B567&gt;=10000101,Wages!$B567&lt;=99991231),INT(Wages!$B567/10000),""),IFERROR(VALUE(TRIM(LEFT(Wages!$B567,FIND("/",Wages!$B567)-1))),"")))</f>
        <v/>
      </c>
      <c r="D564">
        <f>IF(OR($A564="",$C564=""),"",IF(ISNUMBER(Wages!$B567),INT(MOD(Wages!$B567,10000)/100),IFERROR(VALUE(TRIM(LEFT(MID(Wages!$B567,FIND("/",Wages!$B567)+1,20),FIND("/",MID(Wages!$B567,FIND("/",Wages!$B567)+1,20))-1))),"")))</f>
        <v/>
      </c>
      <c r="E564">
        <f>IF(OR($A564="",$C564=""),"",IF(ISNUMBER(Wages!$B567),MOD(Wages!$B567,100),IFERROR(VALUE(TRIM(MID(MID(Wages!$B567,FIND("/",Wages!$B567)+1,20),FIND("/",MID(Wages!$B567,FIND("/",Wages!$B567)+1,20))+1,20))),"")))</f>
        <v/>
      </c>
      <c r="F564">
        <f>IF($A564="","",IF(OR($C564="",$D564="",$E564="",$C564&lt;1300,$C564&gt;1500,$D564&lt;1,$D564&gt;12,$E564&lt;1,$E564&gt;31),"نامعتبر",RIGHT("0000"&amp;$C564,4)&amp;"/"&amp;RIGHT("00"&amp;$D564,2)&amp;"/"&amp;RIGHT("00"&amp;$E564,2)))</f>
        <v/>
      </c>
      <c r="G564">
        <f>IF(OR($A564="",$F564="",$F564="نامعتبر"),"",LEFT($F564,4)&amp;MID($F564,6,2)&amp;RIGHT($F564,2)&amp;"0000"&amp;"|"&amp;"1"&amp;RIGHT("00000"&amp;559,5))</f>
        <v/>
      </c>
      <c r="H564">
        <f>IF(OR($B564&lt;&gt;1,$G564=""),"",COUNTIFS(LdAParty,$A564,LdAType,1,LdAKey,"&lt;"&amp;$G564)+COUNTIFS(LdBMember,$A564,LdBKey,"&lt;"&amp;$G564)+COUNTIFS(LdCParty,$A564,LdCKey,"&lt;"&amp;$G564)+1)</f>
        <v/>
      </c>
      <c r="I564">
        <f>IF($H564="","",$A564&amp;"|"&amp;RIGHT("000000"&amp;$H564,6))</f>
        <v/>
      </c>
      <c r="J564">
        <f>IF(OR($B564&lt;&gt;2,$G564=""),"",COUNTIFS(LdAParty,$A564,LdAType,2,LdAKey,"&lt;"&amp;$G564)+1)</f>
        <v/>
      </c>
      <c r="K564">
        <f>IF($J564="","",$A564&amp;"|"&amp;RIGHT("000000"&amp;$J564,6))</f>
        <v/>
      </c>
      <c r="L564">
        <f>IF($A564="","",IF(Wages!$G567="",0,Wages!$G567))</f>
        <v/>
      </c>
      <c r="M564">
        <f>IF($A564="","",Wages!$J567)</f>
        <v/>
      </c>
      <c r="N564">
        <f>IF($A564="","",Wages!$D567)</f>
        <v/>
      </c>
      <c r="P564">
        <f>IF(OR(Shares!$B567="",Shares!$C567=""),"",Shares!$C567)</f>
        <v/>
      </c>
      <c r="Q564">
        <f>IF($P564="","",Shares!$B567)</f>
        <v/>
      </c>
      <c r="R564">
        <f>IF($P564="","",IFERROR(INDEX(WageParty,MATCH($Q564,WageIds,0)),""))</f>
        <v/>
      </c>
      <c r="S564">
        <f>IF($P564="","",IFERROR(INDEX($F$6:$F$2005,MATCH($Q564,WageIds,0)),""))</f>
        <v/>
      </c>
      <c r="T564">
        <f>IF(OR($P564="",$S564="",$S564="نامعتبر"),"",LEFT($S564,4)&amp;MID($S564,6,2)&amp;RIGHT($S564,2)&amp;"0000"&amp;"|"&amp;"2"&amp;RIGHT("00000"&amp;559,5))</f>
        <v/>
      </c>
      <c r="U564">
        <f>IF($T564="","",COUNTIFS(LdAParty,$P564,LdAType,1,LdAKey,"&lt;"&amp;$T564)+COUNTIFS(LdBMember,$P564,LdBKey,"&lt;"&amp;$T564)+COUNTIFS(LdCParty,$P564,LdCKey,"&lt;"&amp;$T564)+1)</f>
        <v/>
      </c>
      <c r="V564">
        <f>IF($U564="","",$P564&amp;"|"&amp;RIGHT("000000"&amp;$U564,6))</f>
        <v/>
      </c>
      <c r="W564">
        <f>IF($T564="","",COUNTIFS(LdBGroup,$R564,LdBKey,"&lt;"&amp;$T564)+1)</f>
        <v/>
      </c>
      <c r="X564">
        <f>IF($W564="","",$R564&amp;"|"&amp;RIGHT("000000"&amp;$W564,6))</f>
        <v/>
      </c>
      <c r="Y564">
        <f>IF($P564="","",IF(Shares!$E567="",0,Shares!$E567))</f>
        <v/>
      </c>
      <c r="Z564">
        <f>IF($P564="","",Shares!$H567)</f>
        <v/>
      </c>
      <c r="AE564">
        <f>IF(OR(Sync!$S564="",Sync!$P564=""),"",Sync!$S564)</f>
        <v/>
      </c>
      <c r="AF564">
        <f>IF($AE564="","",IF(ISNUMBER(Sync!$P564),IF(AND(Sync!$P564&gt;=10000101,Sync!$P564&lt;=99991231),INT(Sync!$P564/10000),""),IFERROR(VALUE(TRIM(LEFT(Sync!$P564,FIND("/",Sync!$P564)-1))),"")))</f>
        <v/>
      </c>
      <c r="AG564">
        <f>IF(OR($AE564="",$AF564=""),"",IF(ISNUMBER(Sync!$P564),INT(MOD(Sync!$P564,10000)/100),IFERROR(VALUE(TRIM(LEFT(MID(Sync!$P564,FIND("/",Sync!$P564)+1,20),FIND("/",MID(Sync!$P564,FIND("/",Sync!$P564)+1,20))-1))),"")))</f>
        <v/>
      </c>
      <c r="AH564">
        <f>IF(OR($AE564="",$AF564=""),"",IF(ISNUMBER(Sync!$P564),MOD(Sync!$P564,100),IFERROR(VALUE(TRIM(MID(MID(Sync!$P564,FIND("/",Sync!$P564)+1,20),FIND("/",MID(Sync!$P564,FIND("/",Sync!$P564)+1,20))+1,20))),"")))</f>
        <v/>
      </c>
      <c r="AI564">
        <f>IF($AE564="","",IF(OR($AF564="",$AG564="",$AH564="",$AF564&lt;1300,$AF564&gt;1500,$AG564&lt;1,$AG564&gt;12,$AH564&lt;1,$AH564&gt;31),"نامعتبر",RIGHT("0000"&amp;$AF564,4)&amp;"/"&amp;RIGHT("00"&amp;$AG564,2)&amp;"/"&amp;RIGHT("00"&amp;$AH564,2)))</f>
        <v/>
      </c>
      <c r="AJ564">
        <f>IF($AE564="","",IF(Sync!$Q564="","0000",IF(AND(ISNUMBER(Sync!$Q564),Sync!$Q564&gt;=0,Sync!$Q564&lt;1),RIGHT("00"&amp;HOUR(Sync!$Q564),2)&amp;RIGHT("00"&amp;MINUTE(Sync!$Q564),2),IFERROR(RIGHT("00"&amp;VALUE(LEFT(Sync!$Q564,FIND(":",Sync!$Q564)-1)),2)&amp;RIGHT("00"&amp;VALUE(MID(Sync!$Q564,FIND(":",Sync!$Q564)+1,2)),2),"0000"))))</f>
        <v/>
      </c>
      <c r="AK564">
        <f>IF(OR($AE564="",$AI564="",$AI564="نامعتبر"),"",LEFT($AI564,4)&amp;MID($AI564,6,2)&amp;RIGHT($AI564,2)&amp;$AJ564&amp;"|"&amp;"3"&amp;RIGHT("00000"&amp;559,5))</f>
        <v/>
      </c>
      <c r="AL564">
        <f>IF($AK564="","",COUNTIFS(LdAParty,$AE564,LdAType,1,LdAKey,"&lt;"&amp;$AK564)+COUNTIFS(LdBMember,$AE564,LdBKey,"&lt;"&amp;$AK564)+COUNTIFS(LdCParty,$AE564,LdCKey,"&lt;"&amp;$AK564)+1)</f>
        <v/>
      </c>
      <c r="AM564">
        <f>IF($AL564="","",$AE564&amp;"|"&amp;RIGHT("000000"&amp;$AL564,6))</f>
        <v/>
      </c>
      <c r="AN564">
        <f>IF($AE564="","",IF(Sync!$W564="",0,Sync!$W564))</f>
        <v/>
      </c>
      <c r="AO564">
        <f>IF($AE564="","",IF(Sync!$X564="",0,Sync!$X564))</f>
        <v/>
      </c>
      <c r="AP564">
        <f>IF($AE564="","",Sync!$R564)</f>
        <v/>
      </c>
      <c r="AQ564">
        <f>IF($AE564="","",Sync!$Y564)</f>
        <v/>
      </c>
    </row>
    <row r="565">
      <c r="A565">
        <f>IF(OR(Wages!$B568="",Wages!$E568=""),"",Wages!$E568)</f>
        <v/>
      </c>
      <c r="B565">
        <f>IF($A565="","",IF(Wages!$C568="دستمزد گروهی",2,1))</f>
        <v/>
      </c>
      <c r="C565">
        <f>IF($A565="","",IF(ISNUMBER(Wages!$B568),IF(AND(Wages!$B568&gt;=10000101,Wages!$B568&lt;=99991231),INT(Wages!$B568/10000),""),IFERROR(VALUE(TRIM(LEFT(Wages!$B568,FIND("/",Wages!$B568)-1))),"")))</f>
        <v/>
      </c>
      <c r="D565">
        <f>IF(OR($A565="",$C565=""),"",IF(ISNUMBER(Wages!$B568),INT(MOD(Wages!$B568,10000)/100),IFERROR(VALUE(TRIM(LEFT(MID(Wages!$B568,FIND("/",Wages!$B568)+1,20),FIND("/",MID(Wages!$B568,FIND("/",Wages!$B568)+1,20))-1))),"")))</f>
        <v/>
      </c>
      <c r="E565">
        <f>IF(OR($A565="",$C565=""),"",IF(ISNUMBER(Wages!$B568),MOD(Wages!$B568,100),IFERROR(VALUE(TRIM(MID(MID(Wages!$B568,FIND("/",Wages!$B568)+1,20),FIND("/",MID(Wages!$B568,FIND("/",Wages!$B568)+1,20))+1,20))),"")))</f>
        <v/>
      </c>
      <c r="F565">
        <f>IF($A565="","",IF(OR($C565="",$D565="",$E565="",$C565&lt;1300,$C565&gt;1500,$D565&lt;1,$D565&gt;12,$E565&lt;1,$E565&gt;31),"نامعتبر",RIGHT("0000"&amp;$C565,4)&amp;"/"&amp;RIGHT("00"&amp;$D565,2)&amp;"/"&amp;RIGHT("00"&amp;$E565,2)))</f>
        <v/>
      </c>
      <c r="G565">
        <f>IF(OR($A565="",$F565="",$F565="نامعتبر"),"",LEFT($F565,4)&amp;MID($F565,6,2)&amp;RIGHT($F565,2)&amp;"0000"&amp;"|"&amp;"1"&amp;RIGHT("00000"&amp;560,5))</f>
        <v/>
      </c>
      <c r="H565">
        <f>IF(OR($B565&lt;&gt;1,$G565=""),"",COUNTIFS(LdAParty,$A565,LdAType,1,LdAKey,"&lt;"&amp;$G565)+COUNTIFS(LdBMember,$A565,LdBKey,"&lt;"&amp;$G565)+COUNTIFS(LdCParty,$A565,LdCKey,"&lt;"&amp;$G565)+1)</f>
        <v/>
      </c>
      <c r="I565">
        <f>IF($H565="","",$A565&amp;"|"&amp;RIGHT("000000"&amp;$H565,6))</f>
        <v/>
      </c>
      <c r="J565">
        <f>IF(OR($B565&lt;&gt;2,$G565=""),"",COUNTIFS(LdAParty,$A565,LdAType,2,LdAKey,"&lt;"&amp;$G565)+1)</f>
        <v/>
      </c>
      <c r="K565">
        <f>IF($J565="","",$A565&amp;"|"&amp;RIGHT("000000"&amp;$J565,6))</f>
        <v/>
      </c>
      <c r="L565">
        <f>IF($A565="","",IF(Wages!$G568="",0,Wages!$G568))</f>
        <v/>
      </c>
      <c r="M565">
        <f>IF($A565="","",Wages!$J568)</f>
        <v/>
      </c>
      <c r="N565">
        <f>IF($A565="","",Wages!$D568)</f>
        <v/>
      </c>
      <c r="P565">
        <f>IF(OR(Shares!$B568="",Shares!$C568=""),"",Shares!$C568)</f>
        <v/>
      </c>
      <c r="Q565">
        <f>IF($P565="","",Shares!$B568)</f>
        <v/>
      </c>
      <c r="R565">
        <f>IF($P565="","",IFERROR(INDEX(WageParty,MATCH($Q565,WageIds,0)),""))</f>
        <v/>
      </c>
      <c r="S565">
        <f>IF($P565="","",IFERROR(INDEX($F$6:$F$2005,MATCH($Q565,WageIds,0)),""))</f>
        <v/>
      </c>
      <c r="T565">
        <f>IF(OR($P565="",$S565="",$S565="نامعتبر"),"",LEFT($S565,4)&amp;MID($S565,6,2)&amp;RIGHT($S565,2)&amp;"0000"&amp;"|"&amp;"2"&amp;RIGHT("00000"&amp;560,5))</f>
        <v/>
      </c>
      <c r="U565">
        <f>IF($T565="","",COUNTIFS(LdAParty,$P565,LdAType,1,LdAKey,"&lt;"&amp;$T565)+COUNTIFS(LdBMember,$P565,LdBKey,"&lt;"&amp;$T565)+COUNTIFS(LdCParty,$P565,LdCKey,"&lt;"&amp;$T565)+1)</f>
        <v/>
      </c>
      <c r="V565">
        <f>IF($U565="","",$P565&amp;"|"&amp;RIGHT("000000"&amp;$U565,6))</f>
        <v/>
      </c>
      <c r="W565">
        <f>IF($T565="","",COUNTIFS(LdBGroup,$R565,LdBKey,"&lt;"&amp;$T565)+1)</f>
        <v/>
      </c>
      <c r="X565">
        <f>IF($W565="","",$R565&amp;"|"&amp;RIGHT("000000"&amp;$W565,6))</f>
        <v/>
      </c>
      <c r="Y565">
        <f>IF($P565="","",IF(Shares!$E568="",0,Shares!$E568))</f>
        <v/>
      </c>
      <c r="Z565">
        <f>IF($P565="","",Shares!$H568)</f>
        <v/>
      </c>
      <c r="AE565">
        <f>IF(OR(Sync!$S565="",Sync!$P565=""),"",Sync!$S565)</f>
        <v/>
      </c>
      <c r="AF565">
        <f>IF($AE565="","",IF(ISNUMBER(Sync!$P565),IF(AND(Sync!$P565&gt;=10000101,Sync!$P565&lt;=99991231),INT(Sync!$P565/10000),""),IFERROR(VALUE(TRIM(LEFT(Sync!$P565,FIND("/",Sync!$P565)-1))),"")))</f>
        <v/>
      </c>
      <c r="AG565">
        <f>IF(OR($AE565="",$AF565=""),"",IF(ISNUMBER(Sync!$P565),INT(MOD(Sync!$P565,10000)/100),IFERROR(VALUE(TRIM(LEFT(MID(Sync!$P565,FIND("/",Sync!$P565)+1,20),FIND("/",MID(Sync!$P565,FIND("/",Sync!$P565)+1,20))-1))),"")))</f>
        <v/>
      </c>
      <c r="AH565">
        <f>IF(OR($AE565="",$AF565=""),"",IF(ISNUMBER(Sync!$P565),MOD(Sync!$P565,100),IFERROR(VALUE(TRIM(MID(MID(Sync!$P565,FIND("/",Sync!$P565)+1,20),FIND("/",MID(Sync!$P565,FIND("/",Sync!$P565)+1,20))+1,20))),"")))</f>
        <v/>
      </c>
      <c r="AI565">
        <f>IF($AE565="","",IF(OR($AF565="",$AG565="",$AH565="",$AF565&lt;1300,$AF565&gt;1500,$AG565&lt;1,$AG565&gt;12,$AH565&lt;1,$AH565&gt;31),"نامعتبر",RIGHT("0000"&amp;$AF565,4)&amp;"/"&amp;RIGHT("00"&amp;$AG565,2)&amp;"/"&amp;RIGHT("00"&amp;$AH565,2)))</f>
        <v/>
      </c>
      <c r="AJ565">
        <f>IF($AE565="","",IF(Sync!$Q565="","0000",IF(AND(ISNUMBER(Sync!$Q565),Sync!$Q565&gt;=0,Sync!$Q565&lt;1),RIGHT("00"&amp;HOUR(Sync!$Q565),2)&amp;RIGHT("00"&amp;MINUTE(Sync!$Q565),2),IFERROR(RIGHT("00"&amp;VALUE(LEFT(Sync!$Q565,FIND(":",Sync!$Q565)-1)),2)&amp;RIGHT("00"&amp;VALUE(MID(Sync!$Q565,FIND(":",Sync!$Q565)+1,2)),2),"0000"))))</f>
        <v/>
      </c>
      <c r="AK565">
        <f>IF(OR($AE565="",$AI565="",$AI565="نامعتبر"),"",LEFT($AI565,4)&amp;MID($AI565,6,2)&amp;RIGHT($AI565,2)&amp;$AJ565&amp;"|"&amp;"3"&amp;RIGHT("00000"&amp;560,5))</f>
        <v/>
      </c>
      <c r="AL565">
        <f>IF($AK565="","",COUNTIFS(LdAParty,$AE565,LdAType,1,LdAKey,"&lt;"&amp;$AK565)+COUNTIFS(LdBMember,$AE565,LdBKey,"&lt;"&amp;$AK565)+COUNTIFS(LdCParty,$AE565,LdCKey,"&lt;"&amp;$AK565)+1)</f>
        <v/>
      </c>
      <c r="AM565">
        <f>IF($AL565="","",$AE565&amp;"|"&amp;RIGHT("000000"&amp;$AL565,6))</f>
        <v/>
      </c>
      <c r="AN565">
        <f>IF($AE565="","",IF(Sync!$W565="",0,Sync!$W565))</f>
        <v/>
      </c>
      <c r="AO565">
        <f>IF($AE565="","",IF(Sync!$X565="",0,Sync!$X565))</f>
        <v/>
      </c>
      <c r="AP565">
        <f>IF($AE565="","",Sync!$R565)</f>
        <v/>
      </c>
      <c r="AQ565">
        <f>IF($AE565="","",Sync!$Y565)</f>
        <v/>
      </c>
    </row>
    <row r="566">
      <c r="A566">
        <f>IF(OR(Wages!$B569="",Wages!$E569=""),"",Wages!$E569)</f>
        <v/>
      </c>
      <c r="B566">
        <f>IF($A566="","",IF(Wages!$C569="دستمزد گروهی",2,1))</f>
        <v/>
      </c>
      <c r="C566">
        <f>IF($A566="","",IF(ISNUMBER(Wages!$B569),IF(AND(Wages!$B569&gt;=10000101,Wages!$B569&lt;=99991231),INT(Wages!$B569/10000),""),IFERROR(VALUE(TRIM(LEFT(Wages!$B569,FIND("/",Wages!$B569)-1))),"")))</f>
        <v/>
      </c>
      <c r="D566">
        <f>IF(OR($A566="",$C566=""),"",IF(ISNUMBER(Wages!$B569),INT(MOD(Wages!$B569,10000)/100),IFERROR(VALUE(TRIM(LEFT(MID(Wages!$B569,FIND("/",Wages!$B569)+1,20),FIND("/",MID(Wages!$B569,FIND("/",Wages!$B569)+1,20))-1))),"")))</f>
        <v/>
      </c>
      <c r="E566">
        <f>IF(OR($A566="",$C566=""),"",IF(ISNUMBER(Wages!$B569),MOD(Wages!$B569,100),IFERROR(VALUE(TRIM(MID(MID(Wages!$B569,FIND("/",Wages!$B569)+1,20),FIND("/",MID(Wages!$B569,FIND("/",Wages!$B569)+1,20))+1,20))),"")))</f>
        <v/>
      </c>
      <c r="F566">
        <f>IF($A566="","",IF(OR($C566="",$D566="",$E566="",$C566&lt;1300,$C566&gt;1500,$D566&lt;1,$D566&gt;12,$E566&lt;1,$E566&gt;31),"نامعتبر",RIGHT("0000"&amp;$C566,4)&amp;"/"&amp;RIGHT("00"&amp;$D566,2)&amp;"/"&amp;RIGHT("00"&amp;$E566,2)))</f>
        <v/>
      </c>
      <c r="G566">
        <f>IF(OR($A566="",$F566="",$F566="نامعتبر"),"",LEFT($F566,4)&amp;MID($F566,6,2)&amp;RIGHT($F566,2)&amp;"0000"&amp;"|"&amp;"1"&amp;RIGHT("00000"&amp;561,5))</f>
        <v/>
      </c>
      <c r="H566">
        <f>IF(OR($B566&lt;&gt;1,$G566=""),"",COUNTIFS(LdAParty,$A566,LdAType,1,LdAKey,"&lt;"&amp;$G566)+COUNTIFS(LdBMember,$A566,LdBKey,"&lt;"&amp;$G566)+COUNTIFS(LdCParty,$A566,LdCKey,"&lt;"&amp;$G566)+1)</f>
        <v/>
      </c>
      <c r="I566">
        <f>IF($H566="","",$A566&amp;"|"&amp;RIGHT("000000"&amp;$H566,6))</f>
        <v/>
      </c>
      <c r="J566">
        <f>IF(OR($B566&lt;&gt;2,$G566=""),"",COUNTIFS(LdAParty,$A566,LdAType,2,LdAKey,"&lt;"&amp;$G566)+1)</f>
        <v/>
      </c>
      <c r="K566">
        <f>IF($J566="","",$A566&amp;"|"&amp;RIGHT("000000"&amp;$J566,6))</f>
        <v/>
      </c>
      <c r="L566">
        <f>IF($A566="","",IF(Wages!$G569="",0,Wages!$G569))</f>
        <v/>
      </c>
      <c r="M566">
        <f>IF($A566="","",Wages!$J569)</f>
        <v/>
      </c>
      <c r="N566">
        <f>IF($A566="","",Wages!$D569)</f>
        <v/>
      </c>
      <c r="P566">
        <f>IF(OR(Shares!$B569="",Shares!$C569=""),"",Shares!$C569)</f>
        <v/>
      </c>
      <c r="Q566">
        <f>IF($P566="","",Shares!$B569)</f>
        <v/>
      </c>
      <c r="R566">
        <f>IF($P566="","",IFERROR(INDEX(WageParty,MATCH($Q566,WageIds,0)),""))</f>
        <v/>
      </c>
      <c r="S566">
        <f>IF($P566="","",IFERROR(INDEX($F$6:$F$2005,MATCH($Q566,WageIds,0)),""))</f>
        <v/>
      </c>
      <c r="T566">
        <f>IF(OR($P566="",$S566="",$S566="نامعتبر"),"",LEFT($S566,4)&amp;MID($S566,6,2)&amp;RIGHT($S566,2)&amp;"0000"&amp;"|"&amp;"2"&amp;RIGHT("00000"&amp;561,5))</f>
        <v/>
      </c>
      <c r="U566">
        <f>IF($T566="","",COUNTIFS(LdAParty,$P566,LdAType,1,LdAKey,"&lt;"&amp;$T566)+COUNTIFS(LdBMember,$P566,LdBKey,"&lt;"&amp;$T566)+COUNTIFS(LdCParty,$P566,LdCKey,"&lt;"&amp;$T566)+1)</f>
        <v/>
      </c>
      <c r="V566">
        <f>IF($U566="","",$P566&amp;"|"&amp;RIGHT("000000"&amp;$U566,6))</f>
        <v/>
      </c>
      <c r="W566">
        <f>IF($T566="","",COUNTIFS(LdBGroup,$R566,LdBKey,"&lt;"&amp;$T566)+1)</f>
        <v/>
      </c>
      <c r="X566">
        <f>IF($W566="","",$R566&amp;"|"&amp;RIGHT("000000"&amp;$W566,6))</f>
        <v/>
      </c>
      <c r="Y566">
        <f>IF($P566="","",IF(Shares!$E569="",0,Shares!$E569))</f>
        <v/>
      </c>
      <c r="Z566">
        <f>IF($P566="","",Shares!$H569)</f>
        <v/>
      </c>
      <c r="AE566">
        <f>IF(OR(Sync!$S566="",Sync!$P566=""),"",Sync!$S566)</f>
        <v/>
      </c>
      <c r="AF566">
        <f>IF($AE566="","",IF(ISNUMBER(Sync!$P566),IF(AND(Sync!$P566&gt;=10000101,Sync!$P566&lt;=99991231),INT(Sync!$P566/10000),""),IFERROR(VALUE(TRIM(LEFT(Sync!$P566,FIND("/",Sync!$P566)-1))),"")))</f>
        <v/>
      </c>
      <c r="AG566">
        <f>IF(OR($AE566="",$AF566=""),"",IF(ISNUMBER(Sync!$P566),INT(MOD(Sync!$P566,10000)/100),IFERROR(VALUE(TRIM(LEFT(MID(Sync!$P566,FIND("/",Sync!$P566)+1,20),FIND("/",MID(Sync!$P566,FIND("/",Sync!$P566)+1,20))-1))),"")))</f>
        <v/>
      </c>
      <c r="AH566">
        <f>IF(OR($AE566="",$AF566=""),"",IF(ISNUMBER(Sync!$P566),MOD(Sync!$P566,100),IFERROR(VALUE(TRIM(MID(MID(Sync!$P566,FIND("/",Sync!$P566)+1,20),FIND("/",MID(Sync!$P566,FIND("/",Sync!$P566)+1,20))+1,20))),"")))</f>
        <v/>
      </c>
      <c r="AI566">
        <f>IF($AE566="","",IF(OR($AF566="",$AG566="",$AH566="",$AF566&lt;1300,$AF566&gt;1500,$AG566&lt;1,$AG566&gt;12,$AH566&lt;1,$AH566&gt;31),"نامعتبر",RIGHT("0000"&amp;$AF566,4)&amp;"/"&amp;RIGHT("00"&amp;$AG566,2)&amp;"/"&amp;RIGHT("00"&amp;$AH566,2)))</f>
        <v/>
      </c>
      <c r="AJ566">
        <f>IF($AE566="","",IF(Sync!$Q566="","0000",IF(AND(ISNUMBER(Sync!$Q566),Sync!$Q566&gt;=0,Sync!$Q566&lt;1),RIGHT("00"&amp;HOUR(Sync!$Q566),2)&amp;RIGHT("00"&amp;MINUTE(Sync!$Q566),2),IFERROR(RIGHT("00"&amp;VALUE(LEFT(Sync!$Q566,FIND(":",Sync!$Q566)-1)),2)&amp;RIGHT("00"&amp;VALUE(MID(Sync!$Q566,FIND(":",Sync!$Q566)+1,2)),2),"0000"))))</f>
        <v/>
      </c>
      <c r="AK566">
        <f>IF(OR($AE566="",$AI566="",$AI566="نامعتبر"),"",LEFT($AI566,4)&amp;MID($AI566,6,2)&amp;RIGHT($AI566,2)&amp;$AJ566&amp;"|"&amp;"3"&amp;RIGHT("00000"&amp;561,5))</f>
        <v/>
      </c>
      <c r="AL566">
        <f>IF($AK566="","",COUNTIFS(LdAParty,$AE566,LdAType,1,LdAKey,"&lt;"&amp;$AK566)+COUNTIFS(LdBMember,$AE566,LdBKey,"&lt;"&amp;$AK566)+COUNTIFS(LdCParty,$AE566,LdCKey,"&lt;"&amp;$AK566)+1)</f>
        <v/>
      </c>
      <c r="AM566">
        <f>IF($AL566="","",$AE566&amp;"|"&amp;RIGHT("000000"&amp;$AL566,6))</f>
        <v/>
      </c>
      <c r="AN566">
        <f>IF($AE566="","",IF(Sync!$W566="",0,Sync!$W566))</f>
        <v/>
      </c>
      <c r="AO566">
        <f>IF($AE566="","",IF(Sync!$X566="",0,Sync!$X566))</f>
        <v/>
      </c>
      <c r="AP566">
        <f>IF($AE566="","",Sync!$R566)</f>
        <v/>
      </c>
      <c r="AQ566">
        <f>IF($AE566="","",Sync!$Y566)</f>
        <v/>
      </c>
    </row>
    <row r="567">
      <c r="A567">
        <f>IF(OR(Wages!$B570="",Wages!$E570=""),"",Wages!$E570)</f>
        <v/>
      </c>
      <c r="B567">
        <f>IF($A567="","",IF(Wages!$C570="دستمزد گروهی",2,1))</f>
        <v/>
      </c>
      <c r="C567">
        <f>IF($A567="","",IF(ISNUMBER(Wages!$B570),IF(AND(Wages!$B570&gt;=10000101,Wages!$B570&lt;=99991231),INT(Wages!$B570/10000),""),IFERROR(VALUE(TRIM(LEFT(Wages!$B570,FIND("/",Wages!$B570)-1))),"")))</f>
        <v/>
      </c>
      <c r="D567">
        <f>IF(OR($A567="",$C567=""),"",IF(ISNUMBER(Wages!$B570),INT(MOD(Wages!$B570,10000)/100),IFERROR(VALUE(TRIM(LEFT(MID(Wages!$B570,FIND("/",Wages!$B570)+1,20),FIND("/",MID(Wages!$B570,FIND("/",Wages!$B570)+1,20))-1))),"")))</f>
        <v/>
      </c>
      <c r="E567">
        <f>IF(OR($A567="",$C567=""),"",IF(ISNUMBER(Wages!$B570),MOD(Wages!$B570,100),IFERROR(VALUE(TRIM(MID(MID(Wages!$B570,FIND("/",Wages!$B570)+1,20),FIND("/",MID(Wages!$B570,FIND("/",Wages!$B570)+1,20))+1,20))),"")))</f>
        <v/>
      </c>
      <c r="F567">
        <f>IF($A567="","",IF(OR($C567="",$D567="",$E567="",$C567&lt;1300,$C567&gt;1500,$D567&lt;1,$D567&gt;12,$E567&lt;1,$E567&gt;31),"نامعتبر",RIGHT("0000"&amp;$C567,4)&amp;"/"&amp;RIGHT("00"&amp;$D567,2)&amp;"/"&amp;RIGHT("00"&amp;$E567,2)))</f>
        <v/>
      </c>
      <c r="G567">
        <f>IF(OR($A567="",$F567="",$F567="نامعتبر"),"",LEFT($F567,4)&amp;MID($F567,6,2)&amp;RIGHT($F567,2)&amp;"0000"&amp;"|"&amp;"1"&amp;RIGHT("00000"&amp;562,5))</f>
        <v/>
      </c>
      <c r="H567">
        <f>IF(OR($B567&lt;&gt;1,$G567=""),"",COUNTIFS(LdAParty,$A567,LdAType,1,LdAKey,"&lt;"&amp;$G567)+COUNTIFS(LdBMember,$A567,LdBKey,"&lt;"&amp;$G567)+COUNTIFS(LdCParty,$A567,LdCKey,"&lt;"&amp;$G567)+1)</f>
        <v/>
      </c>
      <c r="I567">
        <f>IF($H567="","",$A567&amp;"|"&amp;RIGHT("000000"&amp;$H567,6))</f>
        <v/>
      </c>
      <c r="J567">
        <f>IF(OR($B567&lt;&gt;2,$G567=""),"",COUNTIFS(LdAParty,$A567,LdAType,2,LdAKey,"&lt;"&amp;$G567)+1)</f>
        <v/>
      </c>
      <c r="K567">
        <f>IF($J567="","",$A567&amp;"|"&amp;RIGHT("000000"&amp;$J567,6))</f>
        <v/>
      </c>
      <c r="L567">
        <f>IF($A567="","",IF(Wages!$G570="",0,Wages!$G570))</f>
        <v/>
      </c>
      <c r="M567">
        <f>IF($A567="","",Wages!$J570)</f>
        <v/>
      </c>
      <c r="N567">
        <f>IF($A567="","",Wages!$D570)</f>
        <v/>
      </c>
      <c r="P567">
        <f>IF(OR(Shares!$B570="",Shares!$C570=""),"",Shares!$C570)</f>
        <v/>
      </c>
      <c r="Q567">
        <f>IF($P567="","",Shares!$B570)</f>
        <v/>
      </c>
      <c r="R567">
        <f>IF($P567="","",IFERROR(INDEX(WageParty,MATCH($Q567,WageIds,0)),""))</f>
        <v/>
      </c>
      <c r="S567">
        <f>IF($P567="","",IFERROR(INDEX($F$6:$F$2005,MATCH($Q567,WageIds,0)),""))</f>
        <v/>
      </c>
      <c r="T567">
        <f>IF(OR($P567="",$S567="",$S567="نامعتبر"),"",LEFT($S567,4)&amp;MID($S567,6,2)&amp;RIGHT($S567,2)&amp;"0000"&amp;"|"&amp;"2"&amp;RIGHT("00000"&amp;562,5))</f>
        <v/>
      </c>
      <c r="U567">
        <f>IF($T567="","",COUNTIFS(LdAParty,$P567,LdAType,1,LdAKey,"&lt;"&amp;$T567)+COUNTIFS(LdBMember,$P567,LdBKey,"&lt;"&amp;$T567)+COUNTIFS(LdCParty,$P567,LdCKey,"&lt;"&amp;$T567)+1)</f>
        <v/>
      </c>
      <c r="V567">
        <f>IF($U567="","",$P567&amp;"|"&amp;RIGHT("000000"&amp;$U567,6))</f>
        <v/>
      </c>
      <c r="W567">
        <f>IF($T567="","",COUNTIFS(LdBGroup,$R567,LdBKey,"&lt;"&amp;$T567)+1)</f>
        <v/>
      </c>
      <c r="X567">
        <f>IF($W567="","",$R567&amp;"|"&amp;RIGHT("000000"&amp;$W567,6))</f>
        <v/>
      </c>
      <c r="Y567">
        <f>IF($P567="","",IF(Shares!$E570="",0,Shares!$E570))</f>
        <v/>
      </c>
      <c r="Z567">
        <f>IF($P567="","",Shares!$H570)</f>
        <v/>
      </c>
      <c r="AE567">
        <f>IF(OR(Sync!$S567="",Sync!$P567=""),"",Sync!$S567)</f>
        <v/>
      </c>
      <c r="AF567">
        <f>IF($AE567="","",IF(ISNUMBER(Sync!$P567),IF(AND(Sync!$P567&gt;=10000101,Sync!$P567&lt;=99991231),INT(Sync!$P567/10000),""),IFERROR(VALUE(TRIM(LEFT(Sync!$P567,FIND("/",Sync!$P567)-1))),"")))</f>
        <v/>
      </c>
      <c r="AG567">
        <f>IF(OR($AE567="",$AF567=""),"",IF(ISNUMBER(Sync!$P567),INT(MOD(Sync!$P567,10000)/100),IFERROR(VALUE(TRIM(LEFT(MID(Sync!$P567,FIND("/",Sync!$P567)+1,20),FIND("/",MID(Sync!$P567,FIND("/",Sync!$P567)+1,20))-1))),"")))</f>
        <v/>
      </c>
      <c r="AH567">
        <f>IF(OR($AE567="",$AF567=""),"",IF(ISNUMBER(Sync!$P567),MOD(Sync!$P567,100),IFERROR(VALUE(TRIM(MID(MID(Sync!$P567,FIND("/",Sync!$P567)+1,20),FIND("/",MID(Sync!$P567,FIND("/",Sync!$P567)+1,20))+1,20))),"")))</f>
        <v/>
      </c>
      <c r="AI567">
        <f>IF($AE567="","",IF(OR($AF567="",$AG567="",$AH567="",$AF567&lt;1300,$AF567&gt;1500,$AG567&lt;1,$AG567&gt;12,$AH567&lt;1,$AH567&gt;31),"نامعتبر",RIGHT("0000"&amp;$AF567,4)&amp;"/"&amp;RIGHT("00"&amp;$AG567,2)&amp;"/"&amp;RIGHT("00"&amp;$AH567,2)))</f>
        <v/>
      </c>
      <c r="AJ567">
        <f>IF($AE567="","",IF(Sync!$Q567="","0000",IF(AND(ISNUMBER(Sync!$Q567),Sync!$Q567&gt;=0,Sync!$Q567&lt;1),RIGHT("00"&amp;HOUR(Sync!$Q567),2)&amp;RIGHT("00"&amp;MINUTE(Sync!$Q567),2),IFERROR(RIGHT("00"&amp;VALUE(LEFT(Sync!$Q567,FIND(":",Sync!$Q567)-1)),2)&amp;RIGHT("00"&amp;VALUE(MID(Sync!$Q567,FIND(":",Sync!$Q567)+1,2)),2),"0000"))))</f>
        <v/>
      </c>
      <c r="AK567">
        <f>IF(OR($AE567="",$AI567="",$AI567="نامعتبر"),"",LEFT($AI567,4)&amp;MID($AI567,6,2)&amp;RIGHT($AI567,2)&amp;$AJ567&amp;"|"&amp;"3"&amp;RIGHT("00000"&amp;562,5))</f>
        <v/>
      </c>
      <c r="AL567">
        <f>IF($AK567="","",COUNTIFS(LdAParty,$AE567,LdAType,1,LdAKey,"&lt;"&amp;$AK567)+COUNTIFS(LdBMember,$AE567,LdBKey,"&lt;"&amp;$AK567)+COUNTIFS(LdCParty,$AE567,LdCKey,"&lt;"&amp;$AK567)+1)</f>
        <v/>
      </c>
      <c r="AM567">
        <f>IF($AL567="","",$AE567&amp;"|"&amp;RIGHT("000000"&amp;$AL567,6))</f>
        <v/>
      </c>
      <c r="AN567">
        <f>IF($AE567="","",IF(Sync!$W567="",0,Sync!$W567))</f>
        <v/>
      </c>
      <c r="AO567">
        <f>IF($AE567="","",IF(Sync!$X567="",0,Sync!$X567))</f>
        <v/>
      </c>
      <c r="AP567">
        <f>IF($AE567="","",Sync!$R567)</f>
        <v/>
      </c>
      <c r="AQ567">
        <f>IF($AE567="","",Sync!$Y567)</f>
        <v/>
      </c>
    </row>
    <row r="568">
      <c r="A568">
        <f>IF(OR(Wages!$B571="",Wages!$E571=""),"",Wages!$E571)</f>
        <v/>
      </c>
      <c r="B568">
        <f>IF($A568="","",IF(Wages!$C571="دستمزد گروهی",2,1))</f>
        <v/>
      </c>
      <c r="C568">
        <f>IF($A568="","",IF(ISNUMBER(Wages!$B571),IF(AND(Wages!$B571&gt;=10000101,Wages!$B571&lt;=99991231),INT(Wages!$B571/10000),""),IFERROR(VALUE(TRIM(LEFT(Wages!$B571,FIND("/",Wages!$B571)-1))),"")))</f>
        <v/>
      </c>
      <c r="D568">
        <f>IF(OR($A568="",$C568=""),"",IF(ISNUMBER(Wages!$B571),INT(MOD(Wages!$B571,10000)/100),IFERROR(VALUE(TRIM(LEFT(MID(Wages!$B571,FIND("/",Wages!$B571)+1,20),FIND("/",MID(Wages!$B571,FIND("/",Wages!$B571)+1,20))-1))),"")))</f>
        <v/>
      </c>
      <c r="E568">
        <f>IF(OR($A568="",$C568=""),"",IF(ISNUMBER(Wages!$B571),MOD(Wages!$B571,100),IFERROR(VALUE(TRIM(MID(MID(Wages!$B571,FIND("/",Wages!$B571)+1,20),FIND("/",MID(Wages!$B571,FIND("/",Wages!$B571)+1,20))+1,20))),"")))</f>
        <v/>
      </c>
      <c r="F568">
        <f>IF($A568="","",IF(OR($C568="",$D568="",$E568="",$C568&lt;1300,$C568&gt;1500,$D568&lt;1,$D568&gt;12,$E568&lt;1,$E568&gt;31),"نامعتبر",RIGHT("0000"&amp;$C568,4)&amp;"/"&amp;RIGHT("00"&amp;$D568,2)&amp;"/"&amp;RIGHT("00"&amp;$E568,2)))</f>
        <v/>
      </c>
      <c r="G568">
        <f>IF(OR($A568="",$F568="",$F568="نامعتبر"),"",LEFT($F568,4)&amp;MID($F568,6,2)&amp;RIGHT($F568,2)&amp;"0000"&amp;"|"&amp;"1"&amp;RIGHT("00000"&amp;563,5))</f>
        <v/>
      </c>
      <c r="H568">
        <f>IF(OR($B568&lt;&gt;1,$G568=""),"",COUNTIFS(LdAParty,$A568,LdAType,1,LdAKey,"&lt;"&amp;$G568)+COUNTIFS(LdBMember,$A568,LdBKey,"&lt;"&amp;$G568)+COUNTIFS(LdCParty,$A568,LdCKey,"&lt;"&amp;$G568)+1)</f>
        <v/>
      </c>
      <c r="I568">
        <f>IF($H568="","",$A568&amp;"|"&amp;RIGHT("000000"&amp;$H568,6))</f>
        <v/>
      </c>
      <c r="J568">
        <f>IF(OR($B568&lt;&gt;2,$G568=""),"",COUNTIFS(LdAParty,$A568,LdAType,2,LdAKey,"&lt;"&amp;$G568)+1)</f>
        <v/>
      </c>
      <c r="K568">
        <f>IF($J568="","",$A568&amp;"|"&amp;RIGHT("000000"&amp;$J568,6))</f>
        <v/>
      </c>
      <c r="L568">
        <f>IF($A568="","",IF(Wages!$G571="",0,Wages!$G571))</f>
        <v/>
      </c>
      <c r="M568">
        <f>IF($A568="","",Wages!$J571)</f>
        <v/>
      </c>
      <c r="N568">
        <f>IF($A568="","",Wages!$D571)</f>
        <v/>
      </c>
      <c r="P568">
        <f>IF(OR(Shares!$B571="",Shares!$C571=""),"",Shares!$C571)</f>
        <v/>
      </c>
      <c r="Q568">
        <f>IF($P568="","",Shares!$B571)</f>
        <v/>
      </c>
      <c r="R568">
        <f>IF($P568="","",IFERROR(INDEX(WageParty,MATCH($Q568,WageIds,0)),""))</f>
        <v/>
      </c>
      <c r="S568">
        <f>IF($P568="","",IFERROR(INDEX($F$6:$F$2005,MATCH($Q568,WageIds,0)),""))</f>
        <v/>
      </c>
      <c r="T568">
        <f>IF(OR($P568="",$S568="",$S568="نامعتبر"),"",LEFT($S568,4)&amp;MID($S568,6,2)&amp;RIGHT($S568,2)&amp;"0000"&amp;"|"&amp;"2"&amp;RIGHT("00000"&amp;563,5))</f>
        <v/>
      </c>
      <c r="U568">
        <f>IF($T568="","",COUNTIFS(LdAParty,$P568,LdAType,1,LdAKey,"&lt;"&amp;$T568)+COUNTIFS(LdBMember,$P568,LdBKey,"&lt;"&amp;$T568)+COUNTIFS(LdCParty,$P568,LdCKey,"&lt;"&amp;$T568)+1)</f>
        <v/>
      </c>
      <c r="V568">
        <f>IF($U568="","",$P568&amp;"|"&amp;RIGHT("000000"&amp;$U568,6))</f>
        <v/>
      </c>
      <c r="W568">
        <f>IF($T568="","",COUNTIFS(LdBGroup,$R568,LdBKey,"&lt;"&amp;$T568)+1)</f>
        <v/>
      </c>
      <c r="X568">
        <f>IF($W568="","",$R568&amp;"|"&amp;RIGHT("000000"&amp;$W568,6))</f>
        <v/>
      </c>
      <c r="Y568">
        <f>IF($P568="","",IF(Shares!$E571="",0,Shares!$E571))</f>
        <v/>
      </c>
      <c r="Z568">
        <f>IF($P568="","",Shares!$H571)</f>
        <v/>
      </c>
      <c r="AE568">
        <f>IF(OR(Sync!$S568="",Sync!$P568=""),"",Sync!$S568)</f>
        <v/>
      </c>
      <c r="AF568">
        <f>IF($AE568="","",IF(ISNUMBER(Sync!$P568),IF(AND(Sync!$P568&gt;=10000101,Sync!$P568&lt;=99991231),INT(Sync!$P568/10000),""),IFERROR(VALUE(TRIM(LEFT(Sync!$P568,FIND("/",Sync!$P568)-1))),"")))</f>
        <v/>
      </c>
      <c r="AG568">
        <f>IF(OR($AE568="",$AF568=""),"",IF(ISNUMBER(Sync!$P568),INT(MOD(Sync!$P568,10000)/100),IFERROR(VALUE(TRIM(LEFT(MID(Sync!$P568,FIND("/",Sync!$P568)+1,20),FIND("/",MID(Sync!$P568,FIND("/",Sync!$P568)+1,20))-1))),"")))</f>
        <v/>
      </c>
      <c r="AH568">
        <f>IF(OR($AE568="",$AF568=""),"",IF(ISNUMBER(Sync!$P568),MOD(Sync!$P568,100),IFERROR(VALUE(TRIM(MID(MID(Sync!$P568,FIND("/",Sync!$P568)+1,20),FIND("/",MID(Sync!$P568,FIND("/",Sync!$P568)+1,20))+1,20))),"")))</f>
        <v/>
      </c>
      <c r="AI568">
        <f>IF($AE568="","",IF(OR($AF568="",$AG568="",$AH568="",$AF568&lt;1300,$AF568&gt;1500,$AG568&lt;1,$AG568&gt;12,$AH568&lt;1,$AH568&gt;31),"نامعتبر",RIGHT("0000"&amp;$AF568,4)&amp;"/"&amp;RIGHT("00"&amp;$AG568,2)&amp;"/"&amp;RIGHT("00"&amp;$AH568,2)))</f>
        <v/>
      </c>
      <c r="AJ568">
        <f>IF($AE568="","",IF(Sync!$Q568="","0000",IF(AND(ISNUMBER(Sync!$Q568),Sync!$Q568&gt;=0,Sync!$Q568&lt;1),RIGHT("00"&amp;HOUR(Sync!$Q568),2)&amp;RIGHT("00"&amp;MINUTE(Sync!$Q568),2),IFERROR(RIGHT("00"&amp;VALUE(LEFT(Sync!$Q568,FIND(":",Sync!$Q568)-1)),2)&amp;RIGHT("00"&amp;VALUE(MID(Sync!$Q568,FIND(":",Sync!$Q568)+1,2)),2),"0000"))))</f>
        <v/>
      </c>
      <c r="AK568">
        <f>IF(OR($AE568="",$AI568="",$AI568="نامعتبر"),"",LEFT($AI568,4)&amp;MID($AI568,6,2)&amp;RIGHT($AI568,2)&amp;$AJ568&amp;"|"&amp;"3"&amp;RIGHT("00000"&amp;563,5))</f>
        <v/>
      </c>
      <c r="AL568">
        <f>IF($AK568="","",COUNTIFS(LdAParty,$AE568,LdAType,1,LdAKey,"&lt;"&amp;$AK568)+COUNTIFS(LdBMember,$AE568,LdBKey,"&lt;"&amp;$AK568)+COUNTIFS(LdCParty,$AE568,LdCKey,"&lt;"&amp;$AK568)+1)</f>
        <v/>
      </c>
      <c r="AM568">
        <f>IF($AL568="","",$AE568&amp;"|"&amp;RIGHT("000000"&amp;$AL568,6))</f>
        <v/>
      </c>
      <c r="AN568">
        <f>IF($AE568="","",IF(Sync!$W568="",0,Sync!$W568))</f>
        <v/>
      </c>
      <c r="AO568">
        <f>IF($AE568="","",IF(Sync!$X568="",0,Sync!$X568))</f>
        <v/>
      </c>
      <c r="AP568">
        <f>IF($AE568="","",Sync!$R568)</f>
        <v/>
      </c>
      <c r="AQ568">
        <f>IF($AE568="","",Sync!$Y568)</f>
        <v/>
      </c>
    </row>
    <row r="569">
      <c r="A569">
        <f>IF(OR(Wages!$B572="",Wages!$E572=""),"",Wages!$E572)</f>
        <v/>
      </c>
      <c r="B569">
        <f>IF($A569="","",IF(Wages!$C572="دستمزد گروهی",2,1))</f>
        <v/>
      </c>
      <c r="C569">
        <f>IF($A569="","",IF(ISNUMBER(Wages!$B572),IF(AND(Wages!$B572&gt;=10000101,Wages!$B572&lt;=99991231),INT(Wages!$B572/10000),""),IFERROR(VALUE(TRIM(LEFT(Wages!$B572,FIND("/",Wages!$B572)-1))),"")))</f>
        <v/>
      </c>
      <c r="D569">
        <f>IF(OR($A569="",$C569=""),"",IF(ISNUMBER(Wages!$B572),INT(MOD(Wages!$B572,10000)/100),IFERROR(VALUE(TRIM(LEFT(MID(Wages!$B572,FIND("/",Wages!$B572)+1,20),FIND("/",MID(Wages!$B572,FIND("/",Wages!$B572)+1,20))-1))),"")))</f>
        <v/>
      </c>
      <c r="E569">
        <f>IF(OR($A569="",$C569=""),"",IF(ISNUMBER(Wages!$B572),MOD(Wages!$B572,100),IFERROR(VALUE(TRIM(MID(MID(Wages!$B572,FIND("/",Wages!$B572)+1,20),FIND("/",MID(Wages!$B572,FIND("/",Wages!$B572)+1,20))+1,20))),"")))</f>
        <v/>
      </c>
      <c r="F569">
        <f>IF($A569="","",IF(OR($C569="",$D569="",$E569="",$C569&lt;1300,$C569&gt;1500,$D569&lt;1,$D569&gt;12,$E569&lt;1,$E569&gt;31),"نامعتبر",RIGHT("0000"&amp;$C569,4)&amp;"/"&amp;RIGHT("00"&amp;$D569,2)&amp;"/"&amp;RIGHT("00"&amp;$E569,2)))</f>
        <v/>
      </c>
      <c r="G569">
        <f>IF(OR($A569="",$F569="",$F569="نامعتبر"),"",LEFT($F569,4)&amp;MID($F569,6,2)&amp;RIGHT($F569,2)&amp;"0000"&amp;"|"&amp;"1"&amp;RIGHT("00000"&amp;564,5))</f>
        <v/>
      </c>
      <c r="H569">
        <f>IF(OR($B569&lt;&gt;1,$G569=""),"",COUNTIFS(LdAParty,$A569,LdAType,1,LdAKey,"&lt;"&amp;$G569)+COUNTIFS(LdBMember,$A569,LdBKey,"&lt;"&amp;$G569)+COUNTIFS(LdCParty,$A569,LdCKey,"&lt;"&amp;$G569)+1)</f>
        <v/>
      </c>
      <c r="I569">
        <f>IF($H569="","",$A569&amp;"|"&amp;RIGHT("000000"&amp;$H569,6))</f>
        <v/>
      </c>
      <c r="J569">
        <f>IF(OR($B569&lt;&gt;2,$G569=""),"",COUNTIFS(LdAParty,$A569,LdAType,2,LdAKey,"&lt;"&amp;$G569)+1)</f>
        <v/>
      </c>
      <c r="K569">
        <f>IF($J569="","",$A569&amp;"|"&amp;RIGHT("000000"&amp;$J569,6))</f>
        <v/>
      </c>
      <c r="L569">
        <f>IF($A569="","",IF(Wages!$G572="",0,Wages!$G572))</f>
        <v/>
      </c>
      <c r="M569">
        <f>IF($A569="","",Wages!$J572)</f>
        <v/>
      </c>
      <c r="N569">
        <f>IF($A569="","",Wages!$D572)</f>
        <v/>
      </c>
      <c r="P569">
        <f>IF(OR(Shares!$B572="",Shares!$C572=""),"",Shares!$C572)</f>
        <v/>
      </c>
      <c r="Q569">
        <f>IF($P569="","",Shares!$B572)</f>
        <v/>
      </c>
      <c r="R569">
        <f>IF($P569="","",IFERROR(INDEX(WageParty,MATCH($Q569,WageIds,0)),""))</f>
        <v/>
      </c>
      <c r="S569">
        <f>IF($P569="","",IFERROR(INDEX($F$6:$F$2005,MATCH($Q569,WageIds,0)),""))</f>
        <v/>
      </c>
      <c r="T569">
        <f>IF(OR($P569="",$S569="",$S569="نامعتبر"),"",LEFT($S569,4)&amp;MID($S569,6,2)&amp;RIGHT($S569,2)&amp;"0000"&amp;"|"&amp;"2"&amp;RIGHT("00000"&amp;564,5))</f>
        <v/>
      </c>
      <c r="U569">
        <f>IF($T569="","",COUNTIFS(LdAParty,$P569,LdAType,1,LdAKey,"&lt;"&amp;$T569)+COUNTIFS(LdBMember,$P569,LdBKey,"&lt;"&amp;$T569)+COUNTIFS(LdCParty,$P569,LdCKey,"&lt;"&amp;$T569)+1)</f>
        <v/>
      </c>
      <c r="V569">
        <f>IF($U569="","",$P569&amp;"|"&amp;RIGHT("000000"&amp;$U569,6))</f>
        <v/>
      </c>
      <c r="W569">
        <f>IF($T569="","",COUNTIFS(LdBGroup,$R569,LdBKey,"&lt;"&amp;$T569)+1)</f>
        <v/>
      </c>
      <c r="X569">
        <f>IF($W569="","",$R569&amp;"|"&amp;RIGHT("000000"&amp;$W569,6))</f>
        <v/>
      </c>
      <c r="Y569">
        <f>IF($P569="","",IF(Shares!$E572="",0,Shares!$E572))</f>
        <v/>
      </c>
      <c r="Z569">
        <f>IF($P569="","",Shares!$H572)</f>
        <v/>
      </c>
      <c r="AE569">
        <f>IF(OR(Sync!$S569="",Sync!$P569=""),"",Sync!$S569)</f>
        <v/>
      </c>
      <c r="AF569">
        <f>IF($AE569="","",IF(ISNUMBER(Sync!$P569),IF(AND(Sync!$P569&gt;=10000101,Sync!$P569&lt;=99991231),INT(Sync!$P569/10000),""),IFERROR(VALUE(TRIM(LEFT(Sync!$P569,FIND("/",Sync!$P569)-1))),"")))</f>
        <v/>
      </c>
      <c r="AG569">
        <f>IF(OR($AE569="",$AF569=""),"",IF(ISNUMBER(Sync!$P569),INT(MOD(Sync!$P569,10000)/100),IFERROR(VALUE(TRIM(LEFT(MID(Sync!$P569,FIND("/",Sync!$P569)+1,20),FIND("/",MID(Sync!$P569,FIND("/",Sync!$P569)+1,20))-1))),"")))</f>
        <v/>
      </c>
      <c r="AH569">
        <f>IF(OR($AE569="",$AF569=""),"",IF(ISNUMBER(Sync!$P569),MOD(Sync!$P569,100),IFERROR(VALUE(TRIM(MID(MID(Sync!$P569,FIND("/",Sync!$P569)+1,20),FIND("/",MID(Sync!$P569,FIND("/",Sync!$P569)+1,20))+1,20))),"")))</f>
        <v/>
      </c>
      <c r="AI569">
        <f>IF($AE569="","",IF(OR($AF569="",$AG569="",$AH569="",$AF569&lt;1300,$AF569&gt;1500,$AG569&lt;1,$AG569&gt;12,$AH569&lt;1,$AH569&gt;31),"نامعتبر",RIGHT("0000"&amp;$AF569,4)&amp;"/"&amp;RIGHT("00"&amp;$AG569,2)&amp;"/"&amp;RIGHT("00"&amp;$AH569,2)))</f>
        <v/>
      </c>
      <c r="AJ569">
        <f>IF($AE569="","",IF(Sync!$Q569="","0000",IF(AND(ISNUMBER(Sync!$Q569),Sync!$Q569&gt;=0,Sync!$Q569&lt;1),RIGHT("00"&amp;HOUR(Sync!$Q569),2)&amp;RIGHT("00"&amp;MINUTE(Sync!$Q569),2),IFERROR(RIGHT("00"&amp;VALUE(LEFT(Sync!$Q569,FIND(":",Sync!$Q569)-1)),2)&amp;RIGHT("00"&amp;VALUE(MID(Sync!$Q569,FIND(":",Sync!$Q569)+1,2)),2),"0000"))))</f>
        <v/>
      </c>
      <c r="AK569">
        <f>IF(OR($AE569="",$AI569="",$AI569="نامعتبر"),"",LEFT($AI569,4)&amp;MID($AI569,6,2)&amp;RIGHT($AI569,2)&amp;$AJ569&amp;"|"&amp;"3"&amp;RIGHT("00000"&amp;564,5))</f>
        <v/>
      </c>
      <c r="AL569">
        <f>IF($AK569="","",COUNTIFS(LdAParty,$AE569,LdAType,1,LdAKey,"&lt;"&amp;$AK569)+COUNTIFS(LdBMember,$AE569,LdBKey,"&lt;"&amp;$AK569)+COUNTIFS(LdCParty,$AE569,LdCKey,"&lt;"&amp;$AK569)+1)</f>
        <v/>
      </c>
      <c r="AM569">
        <f>IF($AL569="","",$AE569&amp;"|"&amp;RIGHT("000000"&amp;$AL569,6))</f>
        <v/>
      </c>
      <c r="AN569">
        <f>IF($AE569="","",IF(Sync!$W569="",0,Sync!$W569))</f>
        <v/>
      </c>
      <c r="AO569">
        <f>IF($AE569="","",IF(Sync!$X569="",0,Sync!$X569))</f>
        <v/>
      </c>
      <c r="AP569">
        <f>IF($AE569="","",Sync!$R569)</f>
        <v/>
      </c>
      <c r="AQ569">
        <f>IF($AE569="","",Sync!$Y569)</f>
        <v/>
      </c>
    </row>
    <row r="570">
      <c r="A570">
        <f>IF(OR(Wages!$B573="",Wages!$E573=""),"",Wages!$E573)</f>
        <v/>
      </c>
      <c r="B570">
        <f>IF($A570="","",IF(Wages!$C573="دستمزد گروهی",2,1))</f>
        <v/>
      </c>
      <c r="C570">
        <f>IF($A570="","",IF(ISNUMBER(Wages!$B573),IF(AND(Wages!$B573&gt;=10000101,Wages!$B573&lt;=99991231),INT(Wages!$B573/10000),""),IFERROR(VALUE(TRIM(LEFT(Wages!$B573,FIND("/",Wages!$B573)-1))),"")))</f>
        <v/>
      </c>
      <c r="D570">
        <f>IF(OR($A570="",$C570=""),"",IF(ISNUMBER(Wages!$B573),INT(MOD(Wages!$B573,10000)/100),IFERROR(VALUE(TRIM(LEFT(MID(Wages!$B573,FIND("/",Wages!$B573)+1,20),FIND("/",MID(Wages!$B573,FIND("/",Wages!$B573)+1,20))-1))),"")))</f>
        <v/>
      </c>
      <c r="E570">
        <f>IF(OR($A570="",$C570=""),"",IF(ISNUMBER(Wages!$B573),MOD(Wages!$B573,100),IFERROR(VALUE(TRIM(MID(MID(Wages!$B573,FIND("/",Wages!$B573)+1,20),FIND("/",MID(Wages!$B573,FIND("/",Wages!$B573)+1,20))+1,20))),"")))</f>
        <v/>
      </c>
      <c r="F570">
        <f>IF($A570="","",IF(OR($C570="",$D570="",$E570="",$C570&lt;1300,$C570&gt;1500,$D570&lt;1,$D570&gt;12,$E570&lt;1,$E570&gt;31),"نامعتبر",RIGHT("0000"&amp;$C570,4)&amp;"/"&amp;RIGHT("00"&amp;$D570,2)&amp;"/"&amp;RIGHT("00"&amp;$E570,2)))</f>
        <v/>
      </c>
      <c r="G570">
        <f>IF(OR($A570="",$F570="",$F570="نامعتبر"),"",LEFT($F570,4)&amp;MID($F570,6,2)&amp;RIGHT($F570,2)&amp;"0000"&amp;"|"&amp;"1"&amp;RIGHT("00000"&amp;565,5))</f>
        <v/>
      </c>
      <c r="H570">
        <f>IF(OR($B570&lt;&gt;1,$G570=""),"",COUNTIFS(LdAParty,$A570,LdAType,1,LdAKey,"&lt;"&amp;$G570)+COUNTIFS(LdBMember,$A570,LdBKey,"&lt;"&amp;$G570)+COUNTIFS(LdCParty,$A570,LdCKey,"&lt;"&amp;$G570)+1)</f>
        <v/>
      </c>
      <c r="I570">
        <f>IF($H570="","",$A570&amp;"|"&amp;RIGHT("000000"&amp;$H570,6))</f>
        <v/>
      </c>
      <c r="J570">
        <f>IF(OR($B570&lt;&gt;2,$G570=""),"",COUNTIFS(LdAParty,$A570,LdAType,2,LdAKey,"&lt;"&amp;$G570)+1)</f>
        <v/>
      </c>
      <c r="K570">
        <f>IF($J570="","",$A570&amp;"|"&amp;RIGHT("000000"&amp;$J570,6))</f>
        <v/>
      </c>
      <c r="L570">
        <f>IF($A570="","",IF(Wages!$G573="",0,Wages!$G573))</f>
        <v/>
      </c>
      <c r="M570">
        <f>IF($A570="","",Wages!$J573)</f>
        <v/>
      </c>
      <c r="N570">
        <f>IF($A570="","",Wages!$D573)</f>
        <v/>
      </c>
      <c r="P570">
        <f>IF(OR(Shares!$B573="",Shares!$C573=""),"",Shares!$C573)</f>
        <v/>
      </c>
      <c r="Q570">
        <f>IF($P570="","",Shares!$B573)</f>
        <v/>
      </c>
      <c r="R570">
        <f>IF($P570="","",IFERROR(INDEX(WageParty,MATCH($Q570,WageIds,0)),""))</f>
        <v/>
      </c>
      <c r="S570">
        <f>IF($P570="","",IFERROR(INDEX($F$6:$F$2005,MATCH($Q570,WageIds,0)),""))</f>
        <v/>
      </c>
      <c r="T570">
        <f>IF(OR($P570="",$S570="",$S570="نامعتبر"),"",LEFT($S570,4)&amp;MID($S570,6,2)&amp;RIGHT($S570,2)&amp;"0000"&amp;"|"&amp;"2"&amp;RIGHT("00000"&amp;565,5))</f>
        <v/>
      </c>
      <c r="U570">
        <f>IF($T570="","",COUNTIFS(LdAParty,$P570,LdAType,1,LdAKey,"&lt;"&amp;$T570)+COUNTIFS(LdBMember,$P570,LdBKey,"&lt;"&amp;$T570)+COUNTIFS(LdCParty,$P570,LdCKey,"&lt;"&amp;$T570)+1)</f>
        <v/>
      </c>
      <c r="V570">
        <f>IF($U570="","",$P570&amp;"|"&amp;RIGHT("000000"&amp;$U570,6))</f>
        <v/>
      </c>
      <c r="W570">
        <f>IF($T570="","",COUNTIFS(LdBGroup,$R570,LdBKey,"&lt;"&amp;$T570)+1)</f>
        <v/>
      </c>
      <c r="X570">
        <f>IF($W570="","",$R570&amp;"|"&amp;RIGHT("000000"&amp;$W570,6))</f>
        <v/>
      </c>
      <c r="Y570">
        <f>IF($P570="","",IF(Shares!$E573="",0,Shares!$E573))</f>
        <v/>
      </c>
      <c r="Z570">
        <f>IF($P570="","",Shares!$H573)</f>
        <v/>
      </c>
      <c r="AE570">
        <f>IF(OR(Sync!$S570="",Sync!$P570=""),"",Sync!$S570)</f>
        <v/>
      </c>
      <c r="AF570">
        <f>IF($AE570="","",IF(ISNUMBER(Sync!$P570),IF(AND(Sync!$P570&gt;=10000101,Sync!$P570&lt;=99991231),INT(Sync!$P570/10000),""),IFERROR(VALUE(TRIM(LEFT(Sync!$P570,FIND("/",Sync!$P570)-1))),"")))</f>
        <v/>
      </c>
      <c r="AG570">
        <f>IF(OR($AE570="",$AF570=""),"",IF(ISNUMBER(Sync!$P570),INT(MOD(Sync!$P570,10000)/100),IFERROR(VALUE(TRIM(LEFT(MID(Sync!$P570,FIND("/",Sync!$P570)+1,20),FIND("/",MID(Sync!$P570,FIND("/",Sync!$P570)+1,20))-1))),"")))</f>
        <v/>
      </c>
      <c r="AH570">
        <f>IF(OR($AE570="",$AF570=""),"",IF(ISNUMBER(Sync!$P570),MOD(Sync!$P570,100),IFERROR(VALUE(TRIM(MID(MID(Sync!$P570,FIND("/",Sync!$P570)+1,20),FIND("/",MID(Sync!$P570,FIND("/",Sync!$P570)+1,20))+1,20))),"")))</f>
        <v/>
      </c>
      <c r="AI570">
        <f>IF($AE570="","",IF(OR($AF570="",$AG570="",$AH570="",$AF570&lt;1300,$AF570&gt;1500,$AG570&lt;1,$AG570&gt;12,$AH570&lt;1,$AH570&gt;31),"نامعتبر",RIGHT("0000"&amp;$AF570,4)&amp;"/"&amp;RIGHT("00"&amp;$AG570,2)&amp;"/"&amp;RIGHT("00"&amp;$AH570,2)))</f>
        <v/>
      </c>
      <c r="AJ570">
        <f>IF($AE570="","",IF(Sync!$Q570="","0000",IF(AND(ISNUMBER(Sync!$Q570),Sync!$Q570&gt;=0,Sync!$Q570&lt;1),RIGHT("00"&amp;HOUR(Sync!$Q570),2)&amp;RIGHT("00"&amp;MINUTE(Sync!$Q570),2),IFERROR(RIGHT("00"&amp;VALUE(LEFT(Sync!$Q570,FIND(":",Sync!$Q570)-1)),2)&amp;RIGHT("00"&amp;VALUE(MID(Sync!$Q570,FIND(":",Sync!$Q570)+1,2)),2),"0000"))))</f>
        <v/>
      </c>
      <c r="AK570">
        <f>IF(OR($AE570="",$AI570="",$AI570="نامعتبر"),"",LEFT($AI570,4)&amp;MID($AI570,6,2)&amp;RIGHT($AI570,2)&amp;$AJ570&amp;"|"&amp;"3"&amp;RIGHT("00000"&amp;565,5))</f>
        <v/>
      </c>
      <c r="AL570">
        <f>IF($AK570="","",COUNTIFS(LdAParty,$AE570,LdAType,1,LdAKey,"&lt;"&amp;$AK570)+COUNTIFS(LdBMember,$AE570,LdBKey,"&lt;"&amp;$AK570)+COUNTIFS(LdCParty,$AE570,LdCKey,"&lt;"&amp;$AK570)+1)</f>
        <v/>
      </c>
      <c r="AM570">
        <f>IF($AL570="","",$AE570&amp;"|"&amp;RIGHT("000000"&amp;$AL570,6))</f>
        <v/>
      </c>
      <c r="AN570">
        <f>IF($AE570="","",IF(Sync!$W570="",0,Sync!$W570))</f>
        <v/>
      </c>
      <c r="AO570">
        <f>IF($AE570="","",IF(Sync!$X570="",0,Sync!$X570))</f>
        <v/>
      </c>
      <c r="AP570">
        <f>IF($AE570="","",Sync!$R570)</f>
        <v/>
      </c>
      <c r="AQ570">
        <f>IF($AE570="","",Sync!$Y570)</f>
        <v/>
      </c>
    </row>
    <row r="571">
      <c r="A571">
        <f>IF(OR(Wages!$B574="",Wages!$E574=""),"",Wages!$E574)</f>
        <v/>
      </c>
      <c r="B571">
        <f>IF($A571="","",IF(Wages!$C574="دستمزد گروهی",2,1))</f>
        <v/>
      </c>
      <c r="C571">
        <f>IF($A571="","",IF(ISNUMBER(Wages!$B574),IF(AND(Wages!$B574&gt;=10000101,Wages!$B574&lt;=99991231),INT(Wages!$B574/10000),""),IFERROR(VALUE(TRIM(LEFT(Wages!$B574,FIND("/",Wages!$B574)-1))),"")))</f>
        <v/>
      </c>
      <c r="D571">
        <f>IF(OR($A571="",$C571=""),"",IF(ISNUMBER(Wages!$B574),INT(MOD(Wages!$B574,10000)/100),IFERROR(VALUE(TRIM(LEFT(MID(Wages!$B574,FIND("/",Wages!$B574)+1,20),FIND("/",MID(Wages!$B574,FIND("/",Wages!$B574)+1,20))-1))),"")))</f>
        <v/>
      </c>
      <c r="E571">
        <f>IF(OR($A571="",$C571=""),"",IF(ISNUMBER(Wages!$B574),MOD(Wages!$B574,100),IFERROR(VALUE(TRIM(MID(MID(Wages!$B574,FIND("/",Wages!$B574)+1,20),FIND("/",MID(Wages!$B574,FIND("/",Wages!$B574)+1,20))+1,20))),"")))</f>
        <v/>
      </c>
      <c r="F571">
        <f>IF($A571="","",IF(OR($C571="",$D571="",$E571="",$C571&lt;1300,$C571&gt;1500,$D571&lt;1,$D571&gt;12,$E571&lt;1,$E571&gt;31),"نامعتبر",RIGHT("0000"&amp;$C571,4)&amp;"/"&amp;RIGHT("00"&amp;$D571,2)&amp;"/"&amp;RIGHT("00"&amp;$E571,2)))</f>
        <v/>
      </c>
      <c r="G571">
        <f>IF(OR($A571="",$F571="",$F571="نامعتبر"),"",LEFT($F571,4)&amp;MID($F571,6,2)&amp;RIGHT($F571,2)&amp;"0000"&amp;"|"&amp;"1"&amp;RIGHT("00000"&amp;566,5))</f>
        <v/>
      </c>
      <c r="H571">
        <f>IF(OR($B571&lt;&gt;1,$G571=""),"",COUNTIFS(LdAParty,$A571,LdAType,1,LdAKey,"&lt;"&amp;$G571)+COUNTIFS(LdBMember,$A571,LdBKey,"&lt;"&amp;$G571)+COUNTIFS(LdCParty,$A571,LdCKey,"&lt;"&amp;$G571)+1)</f>
        <v/>
      </c>
      <c r="I571">
        <f>IF($H571="","",$A571&amp;"|"&amp;RIGHT("000000"&amp;$H571,6))</f>
        <v/>
      </c>
      <c r="J571">
        <f>IF(OR($B571&lt;&gt;2,$G571=""),"",COUNTIFS(LdAParty,$A571,LdAType,2,LdAKey,"&lt;"&amp;$G571)+1)</f>
        <v/>
      </c>
      <c r="K571">
        <f>IF($J571="","",$A571&amp;"|"&amp;RIGHT("000000"&amp;$J571,6))</f>
        <v/>
      </c>
      <c r="L571">
        <f>IF($A571="","",IF(Wages!$G574="",0,Wages!$G574))</f>
        <v/>
      </c>
      <c r="M571">
        <f>IF($A571="","",Wages!$J574)</f>
        <v/>
      </c>
      <c r="N571">
        <f>IF($A571="","",Wages!$D574)</f>
        <v/>
      </c>
      <c r="P571">
        <f>IF(OR(Shares!$B574="",Shares!$C574=""),"",Shares!$C574)</f>
        <v/>
      </c>
      <c r="Q571">
        <f>IF($P571="","",Shares!$B574)</f>
        <v/>
      </c>
      <c r="R571">
        <f>IF($P571="","",IFERROR(INDEX(WageParty,MATCH($Q571,WageIds,0)),""))</f>
        <v/>
      </c>
      <c r="S571">
        <f>IF($P571="","",IFERROR(INDEX($F$6:$F$2005,MATCH($Q571,WageIds,0)),""))</f>
        <v/>
      </c>
      <c r="T571">
        <f>IF(OR($P571="",$S571="",$S571="نامعتبر"),"",LEFT($S571,4)&amp;MID($S571,6,2)&amp;RIGHT($S571,2)&amp;"0000"&amp;"|"&amp;"2"&amp;RIGHT("00000"&amp;566,5))</f>
        <v/>
      </c>
      <c r="U571">
        <f>IF($T571="","",COUNTIFS(LdAParty,$P571,LdAType,1,LdAKey,"&lt;"&amp;$T571)+COUNTIFS(LdBMember,$P571,LdBKey,"&lt;"&amp;$T571)+COUNTIFS(LdCParty,$P571,LdCKey,"&lt;"&amp;$T571)+1)</f>
        <v/>
      </c>
      <c r="V571">
        <f>IF($U571="","",$P571&amp;"|"&amp;RIGHT("000000"&amp;$U571,6))</f>
        <v/>
      </c>
      <c r="W571">
        <f>IF($T571="","",COUNTIFS(LdBGroup,$R571,LdBKey,"&lt;"&amp;$T571)+1)</f>
        <v/>
      </c>
      <c r="X571">
        <f>IF($W571="","",$R571&amp;"|"&amp;RIGHT("000000"&amp;$W571,6))</f>
        <v/>
      </c>
      <c r="Y571">
        <f>IF($P571="","",IF(Shares!$E574="",0,Shares!$E574))</f>
        <v/>
      </c>
      <c r="Z571">
        <f>IF($P571="","",Shares!$H574)</f>
        <v/>
      </c>
      <c r="AE571">
        <f>IF(OR(Sync!$S571="",Sync!$P571=""),"",Sync!$S571)</f>
        <v/>
      </c>
      <c r="AF571">
        <f>IF($AE571="","",IF(ISNUMBER(Sync!$P571),IF(AND(Sync!$P571&gt;=10000101,Sync!$P571&lt;=99991231),INT(Sync!$P571/10000),""),IFERROR(VALUE(TRIM(LEFT(Sync!$P571,FIND("/",Sync!$P571)-1))),"")))</f>
        <v/>
      </c>
      <c r="AG571">
        <f>IF(OR($AE571="",$AF571=""),"",IF(ISNUMBER(Sync!$P571),INT(MOD(Sync!$P571,10000)/100),IFERROR(VALUE(TRIM(LEFT(MID(Sync!$P571,FIND("/",Sync!$P571)+1,20),FIND("/",MID(Sync!$P571,FIND("/",Sync!$P571)+1,20))-1))),"")))</f>
        <v/>
      </c>
      <c r="AH571">
        <f>IF(OR($AE571="",$AF571=""),"",IF(ISNUMBER(Sync!$P571),MOD(Sync!$P571,100),IFERROR(VALUE(TRIM(MID(MID(Sync!$P571,FIND("/",Sync!$P571)+1,20),FIND("/",MID(Sync!$P571,FIND("/",Sync!$P571)+1,20))+1,20))),"")))</f>
        <v/>
      </c>
      <c r="AI571">
        <f>IF($AE571="","",IF(OR($AF571="",$AG571="",$AH571="",$AF571&lt;1300,$AF571&gt;1500,$AG571&lt;1,$AG571&gt;12,$AH571&lt;1,$AH571&gt;31),"نامعتبر",RIGHT("0000"&amp;$AF571,4)&amp;"/"&amp;RIGHT("00"&amp;$AG571,2)&amp;"/"&amp;RIGHT("00"&amp;$AH571,2)))</f>
        <v/>
      </c>
      <c r="AJ571">
        <f>IF($AE571="","",IF(Sync!$Q571="","0000",IF(AND(ISNUMBER(Sync!$Q571),Sync!$Q571&gt;=0,Sync!$Q571&lt;1),RIGHT("00"&amp;HOUR(Sync!$Q571),2)&amp;RIGHT("00"&amp;MINUTE(Sync!$Q571),2),IFERROR(RIGHT("00"&amp;VALUE(LEFT(Sync!$Q571,FIND(":",Sync!$Q571)-1)),2)&amp;RIGHT("00"&amp;VALUE(MID(Sync!$Q571,FIND(":",Sync!$Q571)+1,2)),2),"0000"))))</f>
        <v/>
      </c>
      <c r="AK571">
        <f>IF(OR($AE571="",$AI571="",$AI571="نامعتبر"),"",LEFT($AI571,4)&amp;MID($AI571,6,2)&amp;RIGHT($AI571,2)&amp;$AJ571&amp;"|"&amp;"3"&amp;RIGHT("00000"&amp;566,5))</f>
        <v/>
      </c>
      <c r="AL571">
        <f>IF($AK571="","",COUNTIFS(LdAParty,$AE571,LdAType,1,LdAKey,"&lt;"&amp;$AK571)+COUNTIFS(LdBMember,$AE571,LdBKey,"&lt;"&amp;$AK571)+COUNTIFS(LdCParty,$AE571,LdCKey,"&lt;"&amp;$AK571)+1)</f>
        <v/>
      </c>
      <c r="AM571">
        <f>IF($AL571="","",$AE571&amp;"|"&amp;RIGHT("000000"&amp;$AL571,6))</f>
        <v/>
      </c>
      <c r="AN571">
        <f>IF($AE571="","",IF(Sync!$W571="",0,Sync!$W571))</f>
        <v/>
      </c>
      <c r="AO571">
        <f>IF($AE571="","",IF(Sync!$X571="",0,Sync!$X571))</f>
        <v/>
      </c>
      <c r="AP571">
        <f>IF($AE571="","",Sync!$R571)</f>
        <v/>
      </c>
      <c r="AQ571">
        <f>IF($AE571="","",Sync!$Y571)</f>
        <v/>
      </c>
    </row>
    <row r="572">
      <c r="A572">
        <f>IF(OR(Wages!$B575="",Wages!$E575=""),"",Wages!$E575)</f>
        <v/>
      </c>
      <c r="B572">
        <f>IF($A572="","",IF(Wages!$C575="دستمزد گروهی",2,1))</f>
        <v/>
      </c>
      <c r="C572">
        <f>IF($A572="","",IF(ISNUMBER(Wages!$B575),IF(AND(Wages!$B575&gt;=10000101,Wages!$B575&lt;=99991231),INT(Wages!$B575/10000),""),IFERROR(VALUE(TRIM(LEFT(Wages!$B575,FIND("/",Wages!$B575)-1))),"")))</f>
        <v/>
      </c>
      <c r="D572">
        <f>IF(OR($A572="",$C572=""),"",IF(ISNUMBER(Wages!$B575),INT(MOD(Wages!$B575,10000)/100),IFERROR(VALUE(TRIM(LEFT(MID(Wages!$B575,FIND("/",Wages!$B575)+1,20),FIND("/",MID(Wages!$B575,FIND("/",Wages!$B575)+1,20))-1))),"")))</f>
        <v/>
      </c>
      <c r="E572">
        <f>IF(OR($A572="",$C572=""),"",IF(ISNUMBER(Wages!$B575),MOD(Wages!$B575,100),IFERROR(VALUE(TRIM(MID(MID(Wages!$B575,FIND("/",Wages!$B575)+1,20),FIND("/",MID(Wages!$B575,FIND("/",Wages!$B575)+1,20))+1,20))),"")))</f>
        <v/>
      </c>
      <c r="F572">
        <f>IF($A572="","",IF(OR($C572="",$D572="",$E572="",$C572&lt;1300,$C572&gt;1500,$D572&lt;1,$D572&gt;12,$E572&lt;1,$E572&gt;31),"نامعتبر",RIGHT("0000"&amp;$C572,4)&amp;"/"&amp;RIGHT("00"&amp;$D572,2)&amp;"/"&amp;RIGHT("00"&amp;$E572,2)))</f>
        <v/>
      </c>
      <c r="G572">
        <f>IF(OR($A572="",$F572="",$F572="نامعتبر"),"",LEFT($F572,4)&amp;MID($F572,6,2)&amp;RIGHT($F572,2)&amp;"0000"&amp;"|"&amp;"1"&amp;RIGHT("00000"&amp;567,5))</f>
        <v/>
      </c>
      <c r="H572">
        <f>IF(OR($B572&lt;&gt;1,$G572=""),"",COUNTIFS(LdAParty,$A572,LdAType,1,LdAKey,"&lt;"&amp;$G572)+COUNTIFS(LdBMember,$A572,LdBKey,"&lt;"&amp;$G572)+COUNTIFS(LdCParty,$A572,LdCKey,"&lt;"&amp;$G572)+1)</f>
        <v/>
      </c>
      <c r="I572">
        <f>IF($H572="","",$A572&amp;"|"&amp;RIGHT("000000"&amp;$H572,6))</f>
        <v/>
      </c>
      <c r="J572">
        <f>IF(OR($B572&lt;&gt;2,$G572=""),"",COUNTIFS(LdAParty,$A572,LdAType,2,LdAKey,"&lt;"&amp;$G572)+1)</f>
        <v/>
      </c>
      <c r="K572">
        <f>IF($J572="","",$A572&amp;"|"&amp;RIGHT("000000"&amp;$J572,6))</f>
        <v/>
      </c>
      <c r="L572">
        <f>IF($A572="","",IF(Wages!$G575="",0,Wages!$G575))</f>
        <v/>
      </c>
      <c r="M572">
        <f>IF($A572="","",Wages!$J575)</f>
        <v/>
      </c>
      <c r="N572">
        <f>IF($A572="","",Wages!$D575)</f>
        <v/>
      </c>
      <c r="P572">
        <f>IF(OR(Shares!$B575="",Shares!$C575=""),"",Shares!$C575)</f>
        <v/>
      </c>
      <c r="Q572">
        <f>IF($P572="","",Shares!$B575)</f>
        <v/>
      </c>
      <c r="R572">
        <f>IF($P572="","",IFERROR(INDEX(WageParty,MATCH($Q572,WageIds,0)),""))</f>
        <v/>
      </c>
      <c r="S572">
        <f>IF($P572="","",IFERROR(INDEX($F$6:$F$2005,MATCH($Q572,WageIds,0)),""))</f>
        <v/>
      </c>
      <c r="T572">
        <f>IF(OR($P572="",$S572="",$S572="نامعتبر"),"",LEFT($S572,4)&amp;MID($S572,6,2)&amp;RIGHT($S572,2)&amp;"0000"&amp;"|"&amp;"2"&amp;RIGHT("00000"&amp;567,5))</f>
        <v/>
      </c>
      <c r="U572">
        <f>IF($T572="","",COUNTIFS(LdAParty,$P572,LdAType,1,LdAKey,"&lt;"&amp;$T572)+COUNTIFS(LdBMember,$P572,LdBKey,"&lt;"&amp;$T572)+COUNTIFS(LdCParty,$P572,LdCKey,"&lt;"&amp;$T572)+1)</f>
        <v/>
      </c>
      <c r="V572">
        <f>IF($U572="","",$P572&amp;"|"&amp;RIGHT("000000"&amp;$U572,6))</f>
        <v/>
      </c>
      <c r="W572">
        <f>IF($T572="","",COUNTIFS(LdBGroup,$R572,LdBKey,"&lt;"&amp;$T572)+1)</f>
        <v/>
      </c>
      <c r="X572">
        <f>IF($W572="","",$R572&amp;"|"&amp;RIGHT("000000"&amp;$W572,6))</f>
        <v/>
      </c>
      <c r="Y572">
        <f>IF($P572="","",IF(Shares!$E575="",0,Shares!$E575))</f>
        <v/>
      </c>
      <c r="Z572">
        <f>IF($P572="","",Shares!$H575)</f>
        <v/>
      </c>
      <c r="AE572">
        <f>IF(OR(Sync!$S572="",Sync!$P572=""),"",Sync!$S572)</f>
        <v/>
      </c>
      <c r="AF572">
        <f>IF($AE572="","",IF(ISNUMBER(Sync!$P572),IF(AND(Sync!$P572&gt;=10000101,Sync!$P572&lt;=99991231),INT(Sync!$P572/10000),""),IFERROR(VALUE(TRIM(LEFT(Sync!$P572,FIND("/",Sync!$P572)-1))),"")))</f>
        <v/>
      </c>
      <c r="AG572">
        <f>IF(OR($AE572="",$AF572=""),"",IF(ISNUMBER(Sync!$P572),INT(MOD(Sync!$P572,10000)/100),IFERROR(VALUE(TRIM(LEFT(MID(Sync!$P572,FIND("/",Sync!$P572)+1,20),FIND("/",MID(Sync!$P572,FIND("/",Sync!$P572)+1,20))-1))),"")))</f>
        <v/>
      </c>
      <c r="AH572">
        <f>IF(OR($AE572="",$AF572=""),"",IF(ISNUMBER(Sync!$P572),MOD(Sync!$P572,100),IFERROR(VALUE(TRIM(MID(MID(Sync!$P572,FIND("/",Sync!$P572)+1,20),FIND("/",MID(Sync!$P572,FIND("/",Sync!$P572)+1,20))+1,20))),"")))</f>
        <v/>
      </c>
      <c r="AI572">
        <f>IF($AE572="","",IF(OR($AF572="",$AG572="",$AH572="",$AF572&lt;1300,$AF572&gt;1500,$AG572&lt;1,$AG572&gt;12,$AH572&lt;1,$AH572&gt;31),"نامعتبر",RIGHT("0000"&amp;$AF572,4)&amp;"/"&amp;RIGHT("00"&amp;$AG572,2)&amp;"/"&amp;RIGHT("00"&amp;$AH572,2)))</f>
        <v/>
      </c>
      <c r="AJ572">
        <f>IF($AE572="","",IF(Sync!$Q572="","0000",IF(AND(ISNUMBER(Sync!$Q572),Sync!$Q572&gt;=0,Sync!$Q572&lt;1),RIGHT("00"&amp;HOUR(Sync!$Q572),2)&amp;RIGHT("00"&amp;MINUTE(Sync!$Q572),2),IFERROR(RIGHT("00"&amp;VALUE(LEFT(Sync!$Q572,FIND(":",Sync!$Q572)-1)),2)&amp;RIGHT("00"&amp;VALUE(MID(Sync!$Q572,FIND(":",Sync!$Q572)+1,2)),2),"0000"))))</f>
        <v/>
      </c>
      <c r="AK572">
        <f>IF(OR($AE572="",$AI572="",$AI572="نامعتبر"),"",LEFT($AI572,4)&amp;MID($AI572,6,2)&amp;RIGHT($AI572,2)&amp;$AJ572&amp;"|"&amp;"3"&amp;RIGHT("00000"&amp;567,5))</f>
        <v/>
      </c>
      <c r="AL572">
        <f>IF($AK572="","",COUNTIFS(LdAParty,$AE572,LdAType,1,LdAKey,"&lt;"&amp;$AK572)+COUNTIFS(LdBMember,$AE572,LdBKey,"&lt;"&amp;$AK572)+COUNTIFS(LdCParty,$AE572,LdCKey,"&lt;"&amp;$AK572)+1)</f>
        <v/>
      </c>
      <c r="AM572">
        <f>IF($AL572="","",$AE572&amp;"|"&amp;RIGHT("000000"&amp;$AL572,6))</f>
        <v/>
      </c>
      <c r="AN572">
        <f>IF($AE572="","",IF(Sync!$W572="",0,Sync!$W572))</f>
        <v/>
      </c>
      <c r="AO572">
        <f>IF($AE572="","",IF(Sync!$X572="",0,Sync!$X572))</f>
        <v/>
      </c>
      <c r="AP572">
        <f>IF($AE572="","",Sync!$R572)</f>
        <v/>
      </c>
      <c r="AQ572">
        <f>IF($AE572="","",Sync!$Y572)</f>
        <v/>
      </c>
    </row>
    <row r="573">
      <c r="A573">
        <f>IF(OR(Wages!$B576="",Wages!$E576=""),"",Wages!$E576)</f>
        <v/>
      </c>
      <c r="B573">
        <f>IF($A573="","",IF(Wages!$C576="دستمزد گروهی",2,1))</f>
        <v/>
      </c>
      <c r="C573">
        <f>IF($A573="","",IF(ISNUMBER(Wages!$B576),IF(AND(Wages!$B576&gt;=10000101,Wages!$B576&lt;=99991231),INT(Wages!$B576/10000),""),IFERROR(VALUE(TRIM(LEFT(Wages!$B576,FIND("/",Wages!$B576)-1))),"")))</f>
        <v/>
      </c>
      <c r="D573">
        <f>IF(OR($A573="",$C573=""),"",IF(ISNUMBER(Wages!$B576),INT(MOD(Wages!$B576,10000)/100),IFERROR(VALUE(TRIM(LEFT(MID(Wages!$B576,FIND("/",Wages!$B576)+1,20),FIND("/",MID(Wages!$B576,FIND("/",Wages!$B576)+1,20))-1))),"")))</f>
        <v/>
      </c>
      <c r="E573">
        <f>IF(OR($A573="",$C573=""),"",IF(ISNUMBER(Wages!$B576),MOD(Wages!$B576,100),IFERROR(VALUE(TRIM(MID(MID(Wages!$B576,FIND("/",Wages!$B576)+1,20),FIND("/",MID(Wages!$B576,FIND("/",Wages!$B576)+1,20))+1,20))),"")))</f>
        <v/>
      </c>
      <c r="F573">
        <f>IF($A573="","",IF(OR($C573="",$D573="",$E573="",$C573&lt;1300,$C573&gt;1500,$D573&lt;1,$D573&gt;12,$E573&lt;1,$E573&gt;31),"نامعتبر",RIGHT("0000"&amp;$C573,4)&amp;"/"&amp;RIGHT("00"&amp;$D573,2)&amp;"/"&amp;RIGHT("00"&amp;$E573,2)))</f>
        <v/>
      </c>
      <c r="G573">
        <f>IF(OR($A573="",$F573="",$F573="نامعتبر"),"",LEFT($F573,4)&amp;MID($F573,6,2)&amp;RIGHT($F573,2)&amp;"0000"&amp;"|"&amp;"1"&amp;RIGHT("00000"&amp;568,5))</f>
        <v/>
      </c>
      <c r="H573">
        <f>IF(OR($B573&lt;&gt;1,$G573=""),"",COUNTIFS(LdAParty,$A573,LdAType,1,LdAKey,"&lt;"&amp;$G573)+COUNTIFS(LdBMember,$A573,LdBKey,"&lt;"&amp;$G573)+COUNTIFS(LdCParty,$A573,LdCKey,"&lt;"&amp;$G573)+1)</f>
        <v/>
      </c>
      <c r="I573">
        <f>IF($H573="","",$A573&amp;"|"&amp;RIGHT("000000"&amp;$H573,6))</f>
        <v/>
      </c>
      <c r="J573">
        <f>IF(OR($B573&lt;&gt;2,$G573=""),"",COUNTIFS(LdAParty,$A573,LdAType,2,LdAKey,"&lt;"&amp;$G573)+1)</f>
        <v/>
      </c>
      <c r="K573">
        <f>IF($J573="","",$A573&amp;"|"&amp;RIGHT("000000"&amp;$J573,6))</f>
        <v/>
      </c>
      <c r="L573">
        <f>IF($A573="","",IF(Wages!$G576="",0,Wages!$G576))</f>
        <v/>
      </c>
      <c r="M573">
        <f>IF($A573="","",Wages!$J576)</f>
        <v/>
      </c>
      <c r="N573">
        <f>IF($A573="","",Wages!$D576)</f>
        <v/>
      </c>
      <c r="P573">
        <f>IF(OR(Shares!$B576="",Shares!$C576=""),"",Shares!$C576)</f>
        <v/>
      </c>
      <c r="Q573">
        <f>IF($P573="","",Shares!$B576)</f>
        <v/>
      </c>
      <c r="R573">
        <f>IF($P573="","",IFERROR(INDEX(WageParty,MATCH($Q573,WageIds,0)),""))</f>
        <v/>
      </c>
      <c r="S573">
        <f>IF($P573="","",IFERROR(INDEX($F$6:$F$2005,MATCH($Q573,WageIds,0)),""))</f>
        <v/>
      </c>
      <c r="T573">
        <f>IF(OR($P573="",$S573="",$S573="نامعتبر"),"",LEFT($S573,4)&amp;MID($S573,6,2)&amp;RIGHT($S573,2)&amp;"0000"&amp;"|"&amp;"2"&amp;RIGHT("00000"&amp;568,5))</f>
        <v/>
      </c>
      <c r="U573">
        <f>IF($T573="","",COUNTIFS(LdAParty,$P573,LdAType,1,LdAKey,"&lt;"&amp;$T573)+COUNTIFS(LdBMember,$P573,LdBKey,"&lt;"&amp;$T573)+COUNTIFS(LdCParty,$P573,LdCKey,"&lt;"&amp;$T573)+1)</f>
        <v/>
      </c>
      <c r="V573">
        <f>IF($U573="","",$P573&amp;"|"&amp;RIGHT("000000"&amp;$U573,6))</f>
        <v/>
      </c>
      <c r="W573">
        <f>IF($T573="","",COUNTIFS(LdBGroup,$R573,LdBKey,"&lt;"&amp;$T573)+1)</f>
        <v/>
      </c>
      <c r="X573">
        <f>IF($W573="","",$R573&amp;"|"&amp;RIGHT("000000"&amp;$W573,6))</f>
        <v/>
      </c>
      <c r="Y573">
        <f>IF($P573="","",IF(Shares!$E576="",0,Shares!$E576))</f>
        <v/>
      </c>
      <c r="Z573">
        <f>IF($P573="","",Shares!$H576)</f>
        <v/>
      </c>
      <c r="AE573">
        <f>IF(OR(Sync!$S573="",Sync!$P573=""),"",Sync!$S573)</f>
        <v/>
      </c>
      <c r="AF573">
        <f>IF($AE573="","",IF(ISNUMBER(Sync!$P573),IF(AND(Sync!$P573&gt;=10000101,Sync!$P573&lt;=99991231),INT(Sync!$P573/10000),""),IFERROR(VALUE(TRIM(LEFT(Sync!$P573,FIND("/",Sync!$P573)-1))),"")))</f>
        <v/>
      </c>
      <c r="AG573">
        <f>IF(OR($AE573="",$AF573=""),"",IF(ISNUMBER(Sync!$P573),INT(MOD(Sync!$P573,10000)/100),IFERROR(VALUE(TRIM(LEFT(MID(Sync!$P573,FIND("/",Sync!$P573)+1,20),FIND("/",MID(Sync!$P573,FIND("/",Sync!$P573)+1,20))-1))),"")))</f>
        <v/>
      </c>
      <c r="AH573">
        <f>IF(OR($AE573="",$AF573=""),"",IF(ISNUMBER(Sync!$P573),MOD(Sync!$P573,100),IFERROR(VALUE(TRIM(MID(MID(Sync!$P573,FIND("/",Sync!$P573)+1,20),FIND("/",MID(Sync!$P573,FIND("/",Sync!$P573)+1,20))+1,20))),"")))</f>
        <v/>
      </c>
      <c r="AI573">
        <f>IF($AE573="","",IF(OR($AF573="",$AG573="",$AH573="",$AF573&lt;1300,$AF573&gt;1500,$AG573&lt;1,$AG573&gt;12,$AH573&lt;1,$AH573&gt;31),"نامعتبر",RIGHT("0000"&amp;$AF573,4)&amp;"/"&amp;RIGHT("00"&amp;$AG573,2)&amp;"/"&amp;RIGHT("00"&amp;$AH573,2)))</f>
        <v/>
      </c>
      <c r="AJ573">
        <f>IF($AE573="","",IF(Sync!$Q573="","0000",IF(AND(ISNUMBER(Sync!$Q573),Sync!$Q573&gt;=0,Sync!$Q573&lt;1),RIGHT("00"&amp;HOUR(Sync!$Q573),2)&amp;RIGHT("00"&amp;MINUTE(Sync!$Q573),2),IFERROR(RIGHT("00"&amp;VALUE(LEFT(Sync!$Q573,FIND(":",Sync!$Q573)-1)),2)&amp;RIGHT("00"&amp;VALUE(MID(Sync!$Q573,FIND(":",Sync!$Q573)+1,2)),2),"0000"))))</f>
        <v/>
      </c>
      <c r="AK573">
        <f>IF(OR($AE573="",$AI573="",$AI573="نامعتبر"),"",LEFT($AI573,4)&amp;MID($AI573,6,2)&amp;RIGHT($AI573,2)&amp;$AJ573&amp;"|"&amp;"3"&amp;RIGHT("00000"&amp;568,5))</f>
        <v/>
      </c>
      <c r="AL573">
        <f>IF($AK573="","",COUNTIFS(LdAParty,$AE573,LdAType,1,LdAKey,"&lt;"&amp;$AK573)+COUNTIFS(LdBMember,$AE573,LdBKey,"&lt;"&amp;$AK573)+COUNTIFS(LdCParty,$AE573,LdCKey,"&lt;"&amp;$AK573)+1)</f>
        <v/>
      </c>
      <c r="AM573">
        <f>IF($AL573="","",$AE573&amp;"|"&amp;RIGHT("000000"&amp;$AL573,6))</f>
        <v/>
      </c>
      <c r="AN573">
        <f>IF($AE573="","",IF(Sync!$W573="",0,Sync!$W573))</f>
        <v/>
      </c>
      <c r="AO573">
        <f>IF($AE573="","",IF(Sync!$X573="",0,Sync!$X573))</f>
        <v/>
      </c>
      <c r="AP573">
        <f>IF($AE573="","",Sync!$R573)</f>
        <v/>
      </c>
      <c r="AQ573">
        <f>IF($AE573="","",Sync!$Y573)</f>
        <v/>
      </c>
    </row>
    <row r="574">
      <c r="A574">
        <f>IF(OR(Wages!$B577="",Wages!$E577=""),"",Wages!$E577)</f>
        <v/>
      </c>
      <c r="B574">
        <f>IF($A574="","",IF(Wages!$C577="دستمزد گروهی",2,1))</f>
        <v/>
      </c>
      <c r="C574">
        <f>IF($A574="","",IF(ISNUMBER(Wages!$B577),IF(AND(Wages!$B577&gt;=10000101,Wages!$B577&lt;=99991231),INT(Wages!$B577/10000),""),IFERROR(VALUE(TRIM(LEFT(Wages!$B577,FIND("/",Wages!$B577)-1))),"")))</f>
        <v/>
      </c>
      <c r="D574">
        <f>IF(OR($A574="",$C574=""),"",IF(ISNUMBER(Wages!$B577),INT(MOD(Wages!$B577,10000)/100),IFERROR(VALUE(TRIM(LEFT(MID(Wages!$B577,FIND("/",Wages!$B577)+1,20),FIND("/",MID(Wages!$B577,FIND("/",Wages!$B577)+1,20))-1))),"")))</f>
        <v/>
      </c>
      <c r="E574">
        <f>IF(OR($A574="",$C574=""),"",IF(ISNUMBER(Wages!$B577),MOD(Wages!$B577,100),IFERROR(VALUE(TRIM(MID(MID(Wages!$B577,FIND("/",Wages!$B577)+1,20),FIND("/",MID(Wages!$B577,FIND("/",Wages!$B577)+1,20))+1,20))),"")))</f>
        <v/>
      </c>
      <c r="F574">
        <f>IF($A574="","",IF(OR($C574="",$D574="",$E574="",$C574&lt;1300,$C574&gt;1500,$D574&lt;1,$D574&gt;12,$E574&lt;1,$E574&gt;31),"نامعتبر",RIGHT("0000"&amp;$C574,4)&amp;"/"&amp;RIGHT("00"&amp;$D574,2)&amp;"/"&amp;RIGHT("00"&amp;$E574,2)))</f>
        <v/>
      </c>
      <c r="G574">
        <f>IF(OR($A574="",$F574="",$F574="نامعتبر"),"",LEFT($F574,4)&amp;MID($F574,6,2)&amp;RIGHT($F574,2)&amp;"0000"&amp;"|"&amp;"1"&amp;RIGHT("00000"&amp;569,5))</f>
        <v/>
      </c>
      <c r="H574">
        <f>IF(OR($B574&lt;&gt;1,$G574=""),"",COUNTIFS(LdAParty,$A574,LdAType,1,LdAKey,"&lt;"&amp;$G574)+COUNTIFS(LdBMember,$A574,LdBKey,"&lt;"&amp;$G574)+COUNTIFS(LdCParty,$A574,LdCKey,"&lt;"&amp;$G574)+1)</f>
        <v/>
      </c>
      <c r="I574">
        <f>IF($H574="","",$A574&amp;"|"&amp;RIGHT("000000"&amp;$H574,6))</f>
        <v/>
      </c>
      <c r="J574">
        <f>IF(OR($B574&lt;&gt;2,$G574=""),"",COUNTIFS(LdAParty,$A574,LdAType,2,LdAKey,"&lt;"&amp;$G574)+1)</f>
        <v/>
      </c>
      <c r="K574">
        <f>IF($J574="","",$A574&amp;"|"&amp;RIGHT("000000"&amp;$J574,6))</f>
        <v/>
      </c>
      <c r="L574">
        <f>IF($A574="","",IF(Wages!$G577="",0,Wages!$G577))</f>
        <v/>
      </c>
      <c r="M574">
        <f>IF($A574="","",Wages!$J577)</f>
        <v/>
      </c>
      <c r="N574">
        <f>IF($A574="","",Wages!$D577)</f>
        <v/>
      </c>
      <c r="P574">
        <f>IF(OR(Shares!$B577="",Shares!$C577=""),"",Shares!$C577)</f>
        <v/>
      </c>
      <c r="Q574">
        <f>IF($P574="","",Shares!$B577)</f>
        <v/>
      </c>
      <c r="R574">
        <f>IF($P574="","",IFERROR(INDEX(WageParty,MATCH($Q574,WageIds,0)),""))</f>
        <v/>
      </c>
      <c r="S574">
        <f>IF($P574="","",IFERROR(INDEX($F$6:$F$2005,MATCH($Q574,WageIds,0)),""))</f>
        <v/>
      </c>
      <c r="T574">
        <f>IF(OR($P574="",$S574="",$S574="نامعتبر"),"",LEFT($S574,4)&amp;MID($S574,6,2)&amp;RIGHT($S574,2)&amp;"0000"&amp;"|"&amp;"2"&amp;RIGHT("00000"&amp;569,5))</f>
        <v/>
      </c>
      <c r="U574">
        <f>IF($T574="","",COUNTIFS(LdAParty,$P574,LdAType,1,LdAKey,"&lt;"&amp;$T574)+COUNTIFS(LdBMember,$P574,LdBKey,"&lt;"&amp;$T574)+COUNTIFS(LdCParty,$P574,LdCKey,"&lt;"&amp;$T574)+1)</f>
        <v/>
      </c>
      <c r="V574">
        <f>IF($U574="","",$P574&amp;"|"&amp;RIGHT("000000"&amp;$U574,6))</f>
        <v/>
      </c>
      <c r="W574">
        <f>IF($T574="","",COUNTIFS(LdBGroup,$R574,LdBKey,"&lt;"&amp;$T574)+1)</f>
        <v/>
      </c>
      <c r="X574">
        <f>IF($W574="","",$R574&amp;"|"&amp;RIGHT("000000"&amp;$W574,6))</f>
        <v/>
      </c>
      <c r="Y574">
        <f>IF($P574="","",IF(Shares!$E577="",0,Shares!$E577))</f>
        <v/>
      </c>
      <c r="Z574">
        <f>IF($P574="","",Shares!$H577)</f>
        <v/>
      </c>
      <c r="AE574">
        <f>IF(OR(Sync!$S574="",Sync!$P574=""),"",Sync!$S574)</f>
        <v/>
      </c>
      <c r="AF574">
        <f>IF($AE574="","",IF(ISNUMBER(Sync!$P574),IF(AND(Sync!$P574&gt;=10000101,Sync!$P574&lt;=99991231),INT(Sync!$P574/10000),""),IFERROR(VALUE(TRIM(LEFT(Sync!$P574,FIND("/",Sync!$P574)-1))),"")))</f>
        <v/>
      </c>
      <c r="AG574">
        <f>IF(OR($AE574="",$AF574=""),"",IF(ISNUMBER(Sync!$P574),INT(MOD(Sync!$P574,10000)/100),IFERROR(VALUE(TRIM(LEFT(MID(Sync!$P574,FIND("/",Sync!$P574)+1,20),FIND("/",MID(Sync!$P574,FIND("/",Sync!$P574)+1,20))-1))),"")))</f>
        <v/>
      </c>
      <c r="AH574">
        <f>IF(OR($AE574="",$AF574=""),"",IF(ISNUMBER(Sync!$P574),MOD(Sync!$P574,100),IFERROR(VALUE(TRIM(MID(MID(Sync!$P574,FIND("/",Sync!$P574)+1,20),FIND("/",MID(Sync!$P574,FIND("/",Sync!$P574)+1,20))+1,20))),"")))</f>
        <v/>
      </c>
      <c r="AI574">
        <f>IF($AE574="","",IF(OR($AF574="",$AG574="",$AH574="",$AF574&lt;1300,$AF574&gt;1500,$AG574&lt;1,$AG574&gt;12,$AH574&lt;1,$AH574&gt;31),"نامعتبر",RIGHT("0000"&amp;$AF574,4)&amp;"/"&amp;RIGHT("00"&amp;$AG574,2)&amp;"/"&amp;RIGHT("00"&amp;$AH574,2)))</f>
        <v/>
      </c>
      <c r="AJ574">
        <f>IF($AE574="","",IF(Sync!$Q574="","0000",IF(AND(ISNUMBER(Sync!$Q574),Sync!$Q574&gt;=0,Sync!$Q574&lt;1),RIGHT("00"&amp;HOUR(Sync!$Q574),2)&amp;RIGHT("00"&amp;MINUTE(Sync!$Q574),2),IFERROR(RIGHT("00"&amp;VALUE(LEFT(Sync!$Q574,FIND(":",Sync!$Q574)-1)),2)&amp;RIGHT("00"&amp;VALUE(MID(Sync!$Q574,FIND(":",Sync!$Q574)+1,2)),2),"0000"))))</f>
        <v/>
      </c>
      <c r="AK574">
        <f>IF(OR($AE574="",$AI574="",$AI574="نامعتبر"),"",LEFT($AI574,4)&amp;MID($AI574,6,2)&amp;RIGHT($AI574,2)&amp;$AJ574&amp;"|"&amp;"3"&amp;RIGHT("00000"&amp;569,5))</f>
        <v/>
      </c>
      <c r="AL574">
        <f>IF($AK574="","",COUNTIFS(LdAParty,$AE574,LdAType,1,LdAKey,"&lt;"&amp;$AK574)+COUNTIFS(LdBMember,$AE574,LdBKey,"&lt;"&amp;$AK574)+COUNTIFS(LdCParty,$AE574,LdCKey,"&lt;"&amp;$AK574)+1)</f>
        <v/>
      </c>
      <c r="AM574">
        <f>IF($AL574="","",$AE574&amp;"|"&amp;RIGHT("000000"&amp;$AL574,6))</f>
        <v/>
      </c>
      <c r="AN574">
        <f>IF($AE574="","",IF(Sync!$W574="",0,Sync!$W574))</f>
        <v/>
      </c>
      <c r="AO574">
        <f>IF($AE574="","",IF(Sync!$X574="",0,Sync!$X574))</f>
        <v/>
      </c>
      <c r="AP574">
        <f>IF($AE574="","",Sync!$R574)</f>
        <v/>
      </c>
      <c r="AQ574">
        <f>IF($AE574="","",Sync!$Y574)</f>
        <v/>
      </c>
    </row>
    <row r="575">
      <c r="A575">
        <f>IF(OR(Wages!$B578="",Wages!$E578=""),"",Wages!$E578)</f>
        <v/>
      </c>
      <c r="B575">
        <f>IF($A575="","",IF(Wages!$C578="دستمزد گروهی",2,1))</f>
        <v/>
      </c>
      <c r="C575">
        <f>IF($A575="","",IF(ISNUMBER(Wages!$B578),IF(AND(Wages!$B578&gt;=10000101,Wages!$B578&lt;=99991231),INT(Wages!$B578/10000),""),IFERROR(VALUE(TRIM(LEFT(Wages!$B578,FIND("/",Wages!$B578)-1))),"")))</f>
        <v/>
      </c>
      <c r="D575">
        <f>IF(OR($A575="",$C575=""),"",IF(ISNUMBER(Wages!$B578),INT(MOD(Wages!$B578,10000)/100),IFERROR(VALUE(TRIM(LEFT(MID(Wages!$B578,FIND("/",Wages!$B578)+1,20),FIND("/",MID(Wages!$B578,FIND("/",Wages!$B578)+1,20))-1))),"")))</f>
        <v/>
      </c>
      <c r="E575">
        <f>IF(OR($A575="",$C575=""),"",IF(ISNUMBER(Wages!$B578),MOD(Wages!$B578,100),IFERROR(VALUE(TRIM(MID(MID(Wages!$B578,FIND("/",Wages!$B578)+1,20),FIND("/",MID(Wages!$B578,FIND("/",Wages!$B578)+1,20))+1,20))),"")))</f>
        <v/>
      </c>
      <c r="F575">
        <f>IF($A575="","",IF(OR($C575="",$D575="",$E575="",$C575&lt;1300,$C575&gt;1500,$D575&lt;1,$D575&gt;12,$E575&lt;1,$E575&gt;31),"نامعتبر",RIGHT("0000"&amp;$C575,4)&amp;"/"&amp;RIGHT("00"&amp;$D575,2)&amp;"/"&amp;RIGHT("00"&amp;$E575,2)))</f>
        <v/>
      </c>
      <c r="G575">
        <f>IF(OR($A575="",$F575="",$F575="نامعتبر"),"",LEFT($F575,4)&amp;MID($F575,6,2)&amp;RIGHT($F575,2)&amp;"0000"&amp;"|"&amp;"1"&amp;RIGHT("00000"&amp;570,5))</f>
        <v/>
      </c>
      <c r="H575">
        <f>IF(OR($B575&lt;&gt;1,$G575=""),"",COUNTIFS(LdAParty,$A575,LdAType,1,LdAKey,"&lt;"&amp;$G575)+COUNTIFS(LdBMember,$A575,LdBKey,"&lt;"&amp;$G575)+COUNTIFS(LdCParty,$A575,LdCKey,"&lt;"&amp;$G575)+1)</f>
        <v/>
      </c>
      <c r="I575">
        <f>IF($H575="","",$A575&amp;"|"&amp;RIGHT("000000"&amp;$H575,6))</f>
        <v/>
      </c>
      <c r="J575">
        <f>IF(OR($B575&lt;&gt;2,$G575=""),"",COUNTIFS(LdAParty,$A575,LdAType,2,LdAKey,"&lt;"&amp;$G575)+1)</f>
        <v/>
      </c>
      <c r="K575">
        <f>IF($J575="","",$A575&amp;"|"&amp;RIGHT("000000"&amp;$J575,6))</f>
        <v/>
      </c>
      <c r="L575">
        <f>IF($A575="","",IF(Wages!$G578="",0,Wages!$G578))</f>
        <v/>
      </c>
      <c r="M575">
        <f>IF($A575="","",Wages!$J578)</f>
        <v/>
      </c>
      <c r="N575">
        <f>IF($A575="","",Wages!$D578)</f>
        <v/>
      </c>
      <c r="P575">
        <f>IF(OR(Shares!$B578="",Shares!$C578=""),"",Shares!$C578)</f>
        <v/>
      </c>
      <c r="Q575">
        <f>IF($P575="","",Shares!$B578)</f>
        <v/>
      </c>
      <c r="R575">
        <f>IF($P575="","",IFERROR(INDEX(WageParty,MATCH($Q575,WageIds,0)),""))</f>
        <v/>
      </c>
      <c r="S575">
        <f>IF($P575="","",IFERROR(INDEX($F$6:$F$2005,MATCH($Q575,WageIds,0)),""))</f>
        <v/>
      </c>
      <c r="T575">
        <f>IF(OR($P575="",$S575="",$S575="نامعتبر"),"",LEFT($S575,4)&amp;MID($S575,6,2)&amp;RIGHT($S575,2)&amp;"0000"&amp;"|"&amp;"2"&amp;RIGHT("00000"&amp;570,5))</f>
        <v/>
      </c>
      <c r="U575">
        <f>IF($T575="","",COUNTIFS(LdAParty,$P575,LdAType,1,LdAKey,"&lt;"&amp;$T575)+COUNTIFS(LdBMember,$P575,LdBKey,"&lt;"&amp;$T575)+COUNTIFS(LdCParty,$P575,LdCKey,"&lt;"&amp;$T575)+1)</f>
        <v/>
      </c>
      <c r="V575">
        <f>IF($U575="","",$P575&amp;"|"&amp;RIGHT("000000"&amp;$U575,6))</f>
        <v/>
      </c>
      <c r="W575">
        <f>IF($T575="","",COUNTIFS(LdBGroup,$R575,LdBKey,"&lt;"&amp;$T575)+1)</f>
        <v/>
      </c>
      <c r="X575">
        <f>IF($W575="","",$R575&amp;"|"&amp;RIGHT("000000"&amp;$W575,6))</f>
        <v/>
      </c>
      <c r="Y575">
        <f>IF($P575="","",IF(Shares!$E578="",0,Shares!$E578))</f>
        <v/>
      </c>
      <c r="Z575">
        <f>IF($P575="","",Shares!$H578)</f>
        <v/>
      </c>
      <c r="AE575">
        <f>IF(OR(Sync!$S575="",Sync!$P575=""),"",Sync!$S575)</f>
        <v/>
      </c>
      <c r="AF575">
        <f>IF($AE575="","",IF(ISNUMBER(Sync!$P575),IF(AND(Sync!$P575&gt;=10000101,Sync!$P575&lt;=99991231),INT(Sync!$P575/10000),""),IFERROR(VALUE(TRIM(LEFT(Sync!$P575,FIND("/",Sync!$P575)-1))),"")))</f>
        <v/>
      </c>
      <c r="AG575">
        <f>IF(OR($AE575="",$AF575=""),"",IF(ISNUMBER(Sync!$P575),INT(MOD(Sync!$P575,10000)/100),IFERROR(VALUE(TRIM(LEFT(MID(Sync!$P575,FIND("/",Sync!$P575)+1,20),FIND("/",MID(Sync!$P575,FIND("/",Sync!$P575)+1,20))-1))),"")))</f>
        <v/>
      </c>
      <c r="AH575">
        <f>IF(OR($AE575="",$AF575=""),"",IF(ISNUMBER(Sync!$P575),MOD(Sync!$P575,100),IFERROR(VALUE(TRIM(MID(MID(Sync!$P575,FIND("/",Sync!$P575)+1,20),FIND("/",MID(Sync!$P575,FIND("/",Sync!$P575)+1,20))+1,20))),"")))</f>
        <v/>
      </c>
      <c r="AI575">
        <f>IF($AE575="","",IF(OR($AF575="",$AG575="",$AH575="",$AF575&lt;1300,$AF575&gt;1500,$AG575&lt;1,$AG575&gt;12,$AH575&lt;1,$AH575&gt;31),"نامعتبر",RIGHT("0000"&amp;$AF575,4)&amp;"/"&amp;RIGHT("00"&amp;$AG575,2)&amp;"/"&amp;RIGHT("00"&amp;$AH575,2)))</f>
        <v/>
      </c>
      <c r="AJ575">
        <f>IF($AE575="","",IF(Sync!$Q575="","0000",IF(AND(ISNUMBER(Sync!$Q575),Sync!$Q575&gt;=0,Sync!$Q575&lt;1),RIGHT("00"&amp;HOUR(Sync!$Q575),2)&amp;RIGHT("00"&amp;MINUTE(Sync!$Q575),2),IFERROR(RIGHT("00"&amp;VALUE(LEFT(Sync!$Q575,FIND(":",Sync!$Q575)-1)),2)&amp;RIGHT("00"&amp;VALUE(MID(Sync!$Q575,FIND(":",Sync!$Q575)+1,2)),2),"0000"))))</f>
        <v/>
      </c>
      <c r="AK575">
        <f>IF(OR($AE575="",$AI575="",$AI575="نامعتبر"),"",LEFT($AI575,4)&amp;MID($AI575,6,2)&amp;RIGHT($AI575,2)&amp;$AJ575&amp;"|"&amp;"3"&amp;RIGHT("00000"&amp;570,5))</f>
        <v/>
      </c>
      <c r="AL575">
        <f>IF($AK575="","",COUNTIFS(LdAParty,$AE575,LdAType,1,LdAKey,"&lt;"&amp;$AK575)+COUNTIFS(LdBMember,$AE575,LdBKey,"&lt;"&amp;$AK575)+COUNTIFS(LdCParty,$AE575,LdCKey,"&lt;"&amp;$AK575)+1)</f>
        <v/>
      </c>
      <c r="AM575">
        <f>IF($AL575="","",$AE575&amp;"|"&amp;RIGHT("000000"&amp;$AL575,6))</f>
        <v/>
      </c>
      <c r="AN575">
        <f>IF($AE575="","",IF(Sync!$W575="",0,Sync!$W575))</f>
        <v/>
      </c>
      <c r="AO575">
        <f>IF($AE575="","",IF(Sync!$X575="",0,Sync!$X575))</f>
        <v/>
      </c>
      <c r="AP575">
        <f>IF($AE575="","",Sync!$R575)</f>
        <v/>
      </c>
      <c r="AQ575">
        <f>IF($AE575="","",Sync!$Y575)</f>
        <v/>
      </c>
    </row>
    <row r="576">
      <c r="A576">
        <f>IF(OR(Wages!$B579="",Wages!$E579=""),"",Wages!$E579)</f>
        <v/>
      </c>
      <c r="B576">
        <f>IF($A576="","",IF(Wages!$C579="دستمزد گروهی",2,1))</f>
        <v/>
      </c>
      <c r="C576">
        <f>IF($A576="","",IF(ISNUMBER(Wages!$B579),IF(AND(Wages!$B579&gt;=10000101,Wages!$B579&lt;=99991231),INT(Wages!$B579/10000),""),IFERROR(VALUE(TRIM(LEFT(Wages!$B579,FIND("/",Wages!$B579)-1))),"")))</f>
        <v/>
      </c>
      <c r="D576">
        <f>IF(OR($A576="",$C576=""),"",IF(ISNUMBER(Wages!$B579),INT(MOD(Wages!$B579,10000)/100),IFERROR(VALUE(TRIM(LEFT(MID(Wages!$B579,FIND("/",Wages!$B579)+1,20),FIND("/",MID(Wages!$B579,FIND("/",Wages!$B579)+1,20))-1))),"")))</f>
        <v/>
      </c>
      <c r="E576">
        <f>IF(OR($A576="",$C576=""),"",IF(ISNUMBER(Wages!$B579),MOD(Wages!$B579,100),IFERROR(VALUE(TRIM(MID(MID(Wages!$B579,FIND("/",Wages!$B579)+1,20),FIND("/",MID(Wages!$B579,FIND("/",Wages!$B579)+1,20))+1,20))),"")))</f>
        <v/>
      </c>
      <c r="F576">
        <f>IF($A576="","",IF(OR($C576="",$D576="",$E576="",$C576&lt;1300,$C576&gt;1500,$D576&lt;1,$D576&gt;12,$E576&lt;1,$E576&gt;31),"نامعتبر",RIGHT("0000"&amp;$C576,4)&amp;"/"&amp;RIGHT("00"&amp;$D576,2)&amp;"/"&amp;RIGHT("00"&amp;$E576,2)))</f>
        <v/>
      </c>
      <c r="G576">
        <f>IF(OR($A576="",$F576="",$F576="نامعتبر"),"",LEFT($F576,4)&amp;MID($F576,6,2)&amp;RIGHT($F576,2)&amp;"0000"&amp;"|"&amp;"1"&amp;RIGHT("00000"&amp;571,5))</f>
        <v/>
      </c>
      <c r="H576">
        <f>IF(OR($B576&lt;&gt;1,$G576=""),"",COUNTIFS(LdAParty,$A576,LdAType,1,LdAKey,"&lt;"&amp;$G576)+COUNTIFS(LdBMember,$A576,LdBKey,"&lt;"&amp;$G576)+COUNTIFS(LdCParty,$A576,LdCKey,"&lt;"&amp;$G576)+1)</f>
        <v/>
      </c>
      <c r="I576">
        <f>IF($H576="","",$A576&amp;"|"&amp;RIGHT("000000"&amp;$H576,6))</f>
        <v/>
      </c>
      <c r="J576">
        <f>IF(OR($B576&lt;&gt;2,$G576=""),"",COUNTIFS(LdAParty,$A576,LdAType,2,LdAKey,"&lt;"&amp;$G576)+1)</f>
        <v/>
      </c>
      <c r="K576">
        <f>IF($J576="","",$A576&amp;"|"&amp;RIGHT("000000"&amp;$J576,6))</f>
        <v/>
      </c>
      <c r="L576">
        <f>IF($A576="","",IF(Wages!$G579="",0,Wages!$G579))</f>
        <v/>
      </c>
      <c r="M576">
        <f>IF($A576="","",Wages!$J579)</f>
        <v/>
      </c>
      <c r="N576">
        <f>IF($A576="","",Wages!$D579)</f>
        <v/>
      </c>
      <c r="P576">
        <f>IF(OR(Shares!$B579="",Shares!$C579=""),"",Shares!$C579)</f>
        <v/>
      </c>
      <c r="Q576">
        <f>IF($P576="","",Shares!$B579)</f>
        <v/>
      </c>
      <c r="R576">
        <f>IF($P576="","",IFERROR(INDEX(WageParty,MATCH($Q576,WageIds,0)),""))</f>
        <v/>
      </c>
      <c r="S576">
        <f>IF($P576="","",IFERROR(INDEX($F$6:$F$2005,MATCH($Q576,WageIds,0)),""))</f>
        <v/>
      </c>
      <c r="T576">
        <f>IF(OR($P576="",$S576="",$S576="نامعتبر"),"",LEFT($S576,4)&amp;MID($S576,6,2)&amp;RIGHT($S576,2)&amp;"0000"&amp;"|"&amp;"2"&amp;RIGHT("00000"&amp;571,5))</f>
        <v/>
      </c>
      <c r="U576">
        <f>IF($T576="","",COUNTIFS(LdAParty,$P576,LdAType,1,LdAKey,"&lt;"&amp;$T576)+COUNTIFS(LdBMember,$P576,LdBKey,"&lt;"&amp;$T576)+COUNTIFS(LdCParty,$P576,LdCKey,"&lt;"&amp;$T576)+1)</f>
        <v/>
      </c>
      <c r="V576">
        <f>IF($U576="","",$P576&amp;"|"&amp;RIGHT("000000"&amp;$U576,6))</f>
        <v/>
      </c>
      <c r="W576">
        <f>IF($T576="","",COUNTIFS(LdBGroup,$R576,LdBKey,"&lt;"&amp;$T576)+1)</f>
        <v/>
      </c>
      <c r="X576">
        <f>IF($W576="","",$R576&amp;"|"&amp;RIGHT("000000"&amp;$W576,6))</f>
        <v/>
      </c>
      <c r="Y576">
        <f>IF($P576="","",IF(Shares!$E579="",0,Shares!$E579))</f>
        <v/>
      </c>
      <c r="Z576">
        <f>IF($P576="","",Shares!$H579)</f>
        <v/>
      </c>
      <c r="AE576">
        <f>IF(OR(Sync!$S576="",Sync!$P576=""),"",Sync!$S576)</f>
        <v/>
      </c>
      <c r="AF576">
        <f>IF($AE576="","",IF(ISNUMBER(Sync!$P576),IF(AND(Sync!$P576&gt;=10000101,Sync!$P576&lt;=99991231),INT(Sync!$P576/10000),""),IFERROR(VALUE(TRIM(LEFT(Sync!$P576,FIND("/",Sync!$P576)-1))),"")))</f>
        <v/>
      </c>
      <c r="AG576">
        <f>IF(OR($AE576="",$AF576=""),"",IF(ISNUMBER(Sync!$P576),INT(MOD(Sync!$P576,10000)/100),IFERROR(VALUE(TRIM(LEFT(MID(Sync!$P576,FIND("/",Sync!$P576)+1,20),FIND("/",MID(Sync!$P576,FIND("/",Sync!$P576)+1,20))-1))),"")))</f>
        <v/>
      </c>
      <c r="AH576">
        <f>IF(OR($AE576="",$AF576=""),"",IF(ISNUMBER(Sync!$P576),MOD(Sync!$P576,100),IFERROR(VALUE(TRIM(MID(MID(Sync!$P576,FIND("/",Sync!$P576)+1,20),FIND("/",MID(Sync!$P576,FIND("/",Sync!$P576)+1,20))+1,20))),"")))</f>
        <v/>
      </c>
      <c r="AI576">
        <f>IF($AE576="","",IF(OR($AF576="",$AG576="",$AH576="",$AF576&lt;1300,$AF576&gt;1500,$AG576&lt;1,$AG576&gt;12,$AH576&lt;1,$AH576&gt;31),"نامعتبر",RIGHT("0000"&amp;$AF576,4)&amp;"/"&amp;RIGHT("00"&amp;$AG576,2)&amp;"/"&amp;RIGHT("00"&amp;$AH576,2)))</f>
        <v/>
      </c>
      <c r="AJ576">
        <f>IF($AE576="","",IF(Sync!$Q576="","0000",IF(AND(ISNUMBER(Sync!$Q576),Sync!$Q576&gt;=0,Sync!$Q576&lt;1),RIGHT("00"&amp;HOUR(Sync!$Q576),2)&amp;RIGHT("00"&amp;MINUTE(Sync!$Q576),2),IFERROR(RIGHT("00"&amp;VALUE(LEFT(Sync!$Q576,FIND(":",Sync!$Q576)-1)),2)&amp;RIGHT("00"&amp;VALUE(MID(Sync!$Q576,FIND(":",Sync!$Q576)+1,2)),2),"0000"))))</f>
        <v/>
      </c>
      <c r="AK576">
        <f>IF(OR($AE576="",$AI576="",$AI576="نامعتبر"),"",LEFT($AI576,4)&amp;MID($AI576,6,2)&amp;RIGHT($AI576,2)&amp;$AJ576&amp;"|"&amp;"3"&amp;RIGHT("00000"&amp;571,5))</f>
        <v/>
      </c>
      <c r="AL576">
        <f>IF($AK576="","",COUNTIFS(LdAParty,$AE576,LdAType,1,LdAKey,"&lt;"&amp;$AK576)+COUNTIFS(LdBMember,$AE576,LdBKey,"&lt;"&amp;$AK576)+COUNTIFS(LdCParty,$AE576,LdCKey,"&lt;"&amp;$AK576)+1)</f>
        <v/>
      </c>
      <c r="AM576">
        <f>IF($AL576="","",$AE576&amp;"|"&amp;RIGHT("000000"&amp;$AL576,6))</f>
        <v/>
      </c>
      <c r="AN576">
        <f>IF($AE576="","",IF(Sync!$W576="",0,Sync!$W576))</f>
        <v/>
      </c>
      <c r="AO576">
        <f>IF($AE576="","",IF(Sync!$X576="",0,Sync!$X576))</f>
        <v/>
      </c>
      <c r="AP576">
        <f>IF($AE576="","",Sync!$R576)</f>
        <v/>
      </c>
      <c r="AQ576">
        <f>IF($AE576="","",Sync!$Y576)</f>
        <v/>
      </c>
    </row>
    <row r="577">
      <c r="A577">
        <f>IF(OR(Wages!$B580="",Wages!$E580=""),"",Wages!$E580)</f>
        <v/>
      </c>
      <c r="B577">
        <f>IF($A577="","",IF(Wages!$C580="دستمزد گروهی",2,1))</f>
        <v/>
      </c>
      <c r="C577">
        <f>IF($A577="","",IF(ISNUMBER(Wages!$B580),IF(AND(Wages!$B580&gt;=10000101,Wages!$B580&lt;=99991231),INT(Wages!$B580/10000),""),IFERROR(VALUE(TRIM(LEFT(Wages!$B580,FIND("/",Wages!$B580)-1))),"")))</f>
        <v/>
      </c>
      <c r="D577">
        <f>IF(OR($A577="",$C577=""),"",IF(ISNUMBER(Wages!$B580),INT(MOD(Wages!$B580,10000)/100),IFERROR(VALUE(TRIM(LEFT(MID(Wages!$B580,FIND("/",Wages!$B580)+1,20),FIND("/",MID(Wages!$B580,FIND("/",Wages!$B580)+1,20))-1))),"")))</f>
        <v/>
      </c>
      <c r="E577">
        <f>IF(OR($A577="",$C577=""),"",IF(ISNUMBER(Wages!$B580),MOD(Wages!$B580,100),IFERROR(VALUE(TRIM(MID(MID(Wages!$B580,FIND("/",Wages!$B580)+1,20),FIND("/",MID(Wages!$B580,FIND("/",Wages!$B580)+1,20))+1,20))),"")))</f>
        <v/>
      </c>
      <c r="F577">
        <f>IF($A577="","",IF(OR($C577="",$D577="",$E577="",$C577&lt;1300,$C577&gt;1500,$D577&lt;1,$D577&gt;12,$E577&lt;1,$E577&gt;31),"نامعتبر",RIGHT("0000"&amp;$C577,4)&amp;"/"&amp;RIGHT("00"&amp;$D577,2)&amp;"/"&amp;RIGHT("00"&amp;$E577,2)))</f>
        <v/>
      </c>
      <c r="G577">
        <f>IF(OR($A577="",$F577="",$F577="نامعتبر"),"",LEFT($F577,4)&amp;MID($F577,6,2)&amp;RIGHT($F577,2)&amp;"0000"&amp;"|"&amp;"1"&amp;RIGHT("00000"&amp;572,5))</f>
        <v/>
      </c>
      <c r="H577">
        <f>IF(OR($B577&lt;&gt;1,$G577=""),"",COUNTIFS(LdAParty,$A577,LdAType,1,LdAKey,"&lt;"&amp;$G577)+COUNTIFS(LdBMember,$A577,LdBKey,"&lt;"&amp;$G577)+COUNTIFS(LdCParty,$A577,LdCKey,"&lt;"&amp;$G577)+1)</f>
        <v/>
      </c>
      <c r="I577">
        <f>IF($H577="","",$A577&amp;"|"&amp;RIGHT("000000"&amp;$H577,6))</f>
        <v/>
      </c>
      <c r="J577">
        <f>IF(OR($B577&lt;&gt;2,$G577=""),"",COUNTIFS(LdAParty,$A577,LdAType,2,LdAKey,"&lt;"&amp;$G577)+1)</f>
        <v/>
      </c>
      <c r="K577">
        <f>IF($J577="","",$A577&amp;"|"&amp;RIGHT("000000"&amp;$J577,6))</f>
        <v/>
      </c>
      <c r="L577">
        <f>IF($A577="","",IF(Wages!$G580="",0,Wages!$G580))</f>
        <v/>
      </c>
      <c r="M577">
        <f>IF($A577="","",Wages!$J580)</f>
        <v/>
      </c>
      <c r="N577">
        <f>IF($A577="","",Wages!$D580)</f>
        <v/>
      </c>
      <c r="P577">
        <f>IF(OR(Shares!$B580="",Shares!$C580=""),"",Shares!$C580)</f>
        <v/>
      </c>
      <c r="Q577">
        <f>IF($P577="","",Shares!$B580)</f>
        <v/>
      </c>
      <c r="R577">
        <f>IF($P577="","",IFERROR(INDEX(WageParty,MATCH($Q577,WageIds,0)),""))</f>
        <v/>
      </c>
      <c r="S577">
        <f>IF($P577="","",IFERROR(INDEX($F$6:$F$2005,MATCH($Q577,WageIds,0)),""))</f>
        <v/>
      </c>
      <c r="T577">
        <f>IF(OR($P577="",$S577="",$S577="نامعتبر"),"",LEFT($S577,4)&amp;MID($S577,6,2)&amp;RIGHT($S577,2)&amp;"0000"&amp;"|"&amp;"2"&amp;RIGHT("00000"&amp;572,5))</f>
        <v/>
      </c>
      <c r="U577">
        <f>IF($T577="","",COUNTIFS(LdAParty,$P577,LdAType,1,LdAKey,"&lt;"&amp;$T577)+COUNTIFS(LdBMember,$P577,LdBKey,"&lt;"&amp;$T577)+COUNTIFS(LdCParty,$P577,LdCKey,"&lt;"&amp;$T577)+1)</f>
        <v/>
      </c>
      <c r="V577">
        <f>IF($U577="","",$P577&amp;"|"&amp;RIGHT("000000"&amp;$U577,6))</f>
        <v/>
      </c>
      <c r="W577">
        <f>IF($T577="","",COUNTIFS(LdBGroup,$R577,LdBKey,"&lt;"&amp;$T577)+1)</f>
        <v/>
      </c>
      <c r="X577">
        <f>IF($W577="","",$R577&amp;"|"&amp;RIGHT("000000"&amp;$W577,6))</f>
        <v/>
      </c>
      <c r="Y577">
        <f>IF($P577="","",IF(Shares!$E580="",0,Shares!$E580))</f>
        <v/>
      </c>
      <c r="Z577">
        <f>IF($P577="","",Shares!$H580)</f>
        <v/>
      </c>
      <c r="AE577">
        <f>IF(OR(Sync!$S577="",Sync!$P577=""),"",Sync!$S577)</f>
        <v/>
      </c>
      <c r="AF577">
        <f>IF($AE577="","",IF(ISNUMBER(Sync!$P577),IF(AND(Sync!$P577&gt;=10000101,Sync!$P577&lt;=99991231),INT(Sync!$P577/10000),""),IFERROR(VALUE(TRIM(LEFT(Sync!$P577,FIND("/",Sync!$P577)-1))),"")))</f>
        <v/>
      </c>
      <c r="AG577">
        <f>IF(OR($AE577="",$AF577=""),"",IF(ISNUMBER(Sync!$P577),INT(MOD(Sync!$P577,10000)/100),IFERROR(VALUE(TRIM(LEFT(MID(Sync!$P577,FIND("/",Sync!$P577)+1,20),FIND("/",MID(Sync!$P577,FIND("/",Sync!$P577)+1,20))-1))),"")))</f>
        <v/>
      </c>
      <c r="AH577">
        <f>IF(OR($AE577="",$AF577=""),"",IF(ISNUMBER(Sync!$P577),MOD(Sync!$P577,100),IFERROR(VALUE(TRIM(MID(MID(Sync!$P577,FIND("/",Sync!$P577)+1,20),FIND("/",MID(Sync!$P577,FIND("/",Sync!$P577)+1,20))+1,20))),"")))</f>
        <v/>
      </c>
      <c r="AI577">
        <f>IF($AE577="","",IF(OR($AF577="",$AG577="",$AH577="",$AF577&lt;1300,$AF577&gt;1500,$AG577&lt;1,$AG577&gt;12,$AH577&lt;1,$AH577&gt;31),"نامعتبر",RIGHT("0000"&amp;$AF577,4)&amp;"/"&amp;RIGHT("00"&amp;$AG577,2)&amp;"/"&amp;RIGHT("00"&amp;$AH577,2)))</f>
        <v/>
      </c>
      <c r="AJ577">
        <f>IF($AE577="","",IF(Sync!$Q577="","0000",IF(AND(ISNUMBER(Sync!$Q577),Sync!$Q577&gt;=0,Sync!$Q577&lt;1),RIGHT("00"&amp;HOUR(Sync!$Q577),2)&amp;RIGHT("00"&amp;MINUTE(Sync!$Q577),2),IFERROR(RIGHT("00"&amp;VALUE(LEFT(Sync!$Q577,FIND(":",Sync!$Q577)-1)),2)&amp;RIGHT("00"&amp;VALUE(MID(Sync!$Q577,FIND(":",Sync!$Q577)+1,2)),2),"0000"))))</f>
        <v/>
      </c>
      <c r="AK577">
        <f>IF(OR($AE577="",$AI577="",$AI577="نامعتبر"),"",LEFT($AI577,4)&amp;MID($AI577,6,2)&amp;RIGHT($AI577,2)&amp;$AJ577&amp;"|"&amp;"3"&amp;RIGHT("00000"&amp;572,5))</f>
        <v/>
      </c>
      <c r="AL577">
        <f>IF($AK577="","",COUNTIFS(LdAParty,$AE577,LdAType,1,LdAKey,"&lt;"&amp;$AK577)+COUNTIFS(LdBMember,$AE577,LdBKey,"&lt;"&amp;$AK577)+COUNTIFS(LdCParty,$AE577,LdCKey,"&lt;"&amp;$AK577)+1)</f>
        <v/>
      </c>
      <c r="AM577">
        <f>IF($AL577="","",$AE577&amp;"|"&amp;RIGHT("000000"&amp;$AL577,6))</f>
        <v/>
      </c>
      <c r="AN577">
        <f>IF($AE577="","",IF(Sync!$W577="",0,Sync!$W577))</f>
        <v/>
      </c>
      <c r="AO577">
        <f>IF($AE577="","",IF(Sync!$X577="",0,Sync!$X577))</f>
        <v/>
      </c>
      <c r="AP577">
        <f>IF($AE577="","",Sync!$R577)</f>
        <v/>
      </c>
      <c r="AQ577">
        <f>IF($AE577="","",Sync!$Y577)</f>
        <v/>
      </c>
    </row>
    <row r="578">
      <c r="A578">
        <f>IF(OR(Wages!$B581="",Wages!$E581=""),"",Wages!$E581)</f>
        <v/>
      </c>
      <c r="B578">
        <f>IF($A578="","",IF(Wages!$C581="دستمزد گروهی",2,1))</f>
        <v/>
      </c>
      <c r="C578">
        <f>IF($A578="","",IF(ISNUMBER(Wages!$B581),IF(AND(Wages!$B581&gt;=10000101,Wages!$B581&lt;=99991231),INT(Wages!$B581/10000),""),IFERROR(VALUE(TRIM(LEFT(Wages!$B581,FIND("/",Wages!$B581)-1))),"")))</f>
        <v/>
      </c>
      <c r="D578">
        <f>IF(OR($A578="",$C578=""),"",IF(ISNUMBER(Wages!$B581),INT(MOD(Wages!$B581,10000)/100),IFERROR(VALUE(TRIM(LEFT(MID(Wages!$B581,FIND("/",Wages!$B581)+1,20),FIND("/",MID(Wages!$B581,FIND("/",Wages!$B581)+1,20))-1))),"")))</f>
        <v/>
      </c>
      <c r="E578">
        <f>IF(OR($A578="",$C578=""),"",IF(ISNUMBER(Wages!$B581),MOD(Wages!$B581,100),IFERROR(VALUE(TRIM(MID(MID(Wages!$B581,FIND("/",Wages!$B581)+1,20),FIND("/",MID(Wages!$B581,FIND("/",Wages!$B581)+1,20))+1,20))),"")))</f>
        <v/>
      </c>
      <c r="F578">
        <f>IF($A578="","",IF(OR($C578="",$D578="",$E578="",$C578&lt;1300,$C578&gt;1500,$D578&lt;1,$D578&gt;12,$E578&lt;1,$E578&gt;31),"نامعتبر",RIGHT("0000"&amp;$C578,4)&amp;"/"&amp;RIGHT("00"&amp;$D578,2)&amp;"/"&amp;RIGHT("00"&amp;$E578,2)))</f>
        <v/>
      </c>
      <c r="G578">
        <f>IF(OR($A578="",$F578="",$F578="نامعتبر"),"",LEFT($F578,4)&amp;MID($F578,6,2)&amp;RIGHT($F578,2)&amp;"0000"&amp;"|"&amp;"1"&amp;RIGHT("00000"&amp;573,5))</f>
        <v/>
      </c>
      <c r="H578">
        <f>IF(OR($B578&lt;&gt;1,$G578=""),"",COUNTIFS(LdAParty,$A578,LdAType,1,LdAKey,"&lt;"&amp;$G578)+COUNTIFS(LdBMember,$A578,LdBKey,"&lt;"&amp;$G578)+COUNTIFS(LdCParty,$A578,LdCKey,"&lt;"&amp;$G578)+1)</f>
        <v/>
      </c>
      <c r="I578">
        <f>IF($H578="","",$A578&amp;"|"&amp;RIGHT("000000"&amp;$H578,6))</f>
        <v/>
      </c>
      <c r="J578">
        <f>IF(OR($B578&lt;&gt;2,$G578=""),"",COUNTIFS(LdAParty,$A578,LdAType,2,LdAKey,"&lt;"&amp;$G578)+1)</f>
        <v/>
      </c>
      <c r="K578">
        <f>IF($J578="","",$A578&amp;"|"&amp;RIGHT("000000"&amp;$J578,6))</f>
        <v/>
      </c>
      <c r="L578">
        <f>IF($A578="","",IF(Wages!$G581="",0,Wages!$G581))</f>
        <v/>
      </c>
      <c r="M578">
        <f>IF($A578="","",Wages!$J581)</f>
        <v/>
      </c>
      <c r="N578">
        <f>IF($A578="","",Wages!$D581)</f>
        <v/>
      </c>
      <c r="P578">
        <f>IF(OR(Shares!$B581="",Shares!$C581=""),"",Shares!$C581)</f>
        <v/>
      </c>
      <c r="Q578">
        <f>IF($P578="","",Shares!$B581)</f>
        <v/>
      </c>
      <c r="R578">
        <f>IF($P578="","",IFERROR(INDEX(WageParty,MATCH($Q578,WageIds,0)),""))</f>
        <v/>
      </c>
      <c r="S578">
        <f>IF($P578="","",IFERROR(INDEX($F$6:$F$2005,MATCH($Q578,WageIds,0)),""))</f>
        <v/>
      </c>
      <c r="T578">
        <f>IF(OR($P578="",$S578="",$S578="نامعتبر"),"",LEFT($S578,4)&amp;MID($S578,6,2)&amp;RIGHT($S578,2)&amp;"0000"&amp;"|"&amp;"2"&amp;RIGHT("00000"&amp;573,5))</f>
        <v/>
      </c>
      <c r="U578">
        <f>IF($T578="","",COUNTIFS(LdAParty,$P578,LdAType,1,LdAKey,"&lt;"&amp;$T578)+COUNTIFS(LdBMember,$P578,LdBKey,"&lt;"&amp;$T578)+COUNTIFS(LdCParty,$P578,LdCKey,"&lt;"&amp;$T578)+1)</f>
        <v/>
      </c>
      <c r="V578">
        <f>IF($U578="","",$P578&amp;"|"&amp;RIGHT("000000"&amp;$U578,6))</f>
        <v/>
      </c>
      <c r="W578">
        <f>IF($T578="","",COUNTIFS(LdBGroup,$R578,LdBKey,"&lt;"&amp;$T578)+1)</f>
        <v/>
      </c>
      <c r="X578">
        <f>IF($W578="","",$R578&amp;"|"&amp;RIGHT("000000"&amp;$W578,6))</f>
        <v/>
      </c>
      <c r="Y578">
        <f>IF($P578="","",IF(Shares!$E581="",0,Shares!$E581))</f>
        <v/>
      </c>
      <c r="Z578">
        <f>IF($P578="","",Shares!$H581)</f>
        <v/>
      </c>
      <c r="AE578">
        <f>IF(OR(Sync!$S578="",Sync!$P578=""),"",Sync!$S578)</f>
        <v/>
      </c>
      <c r="AF578">
        <f>IF($AE578="","",IF(ISNUMBER(Sync!$P578),IF(AND(Sync!$P578&gt;=10000101,Sync!$P578&lt;=99991231),INT(Sync!$P578/10000),""),IFERROR(VALUE(TRIM(LEFT(Sync!$P578,FIND("/",Sync!$P578)-1))),"")))</f>
        <v/>
      </c>
      <c r="AG578">
        <f>IF(OR($AE578="",$AF578=""),"",IF(ISNUMBER(Sync!$P578),INT(MOD(Sync!$P578,10000)/100),IFERROR(VALUE(TRIM(LEFT(MID(Sync!$P578,FIND("/",Sync!$P578)+1,20),FIND("/",MID(Sync!$P578,FIND("/",Sync!$P578)+1,20))-1))),"")))</f>
        <v/>
      </c>
      <c r="AH578">
        <f>IF(OR($AE578="",$AF578=""),"",IF(ISNUMBER(Sync!$P578),MOD(Sync!$P578,100),IFERROR(VALUE(TRIM(MID(MID(Sync!$P578,FIND("/",Sync!$P578)+1,20),FIND("/",MID(Sync!$P578,FIND("/",Sync!$P578)+1,20))+1,20))),"")))</f>
        <v/>
      </c>
      <c r="AI578">
        <f>IF($AE578="","",IF(OR($AF578="",$AG578="",$AH578="",$AF578&lt;1300,$AF578&gt;1500,$AG578&lt;1,$AG578&gt;12,$AH578&lt;1,$AH578&gt;31),"نامعتبر",RIGHT("0000"&amp;$AF578,4)&amp;"/"&amp;RIGHT("00"&amp;$AG578,2)&amp;"/"&amp;RIGHT("00"&amp;$AH578,2)))</f>
        <v/>
      </c>
      <c r="AJ578">
        <f>IF($AE578="","",IF(Sync!$Q578="","0000",IF(AND(ISNUMBER(Sync!$Q578),Sync!$Q578&gt;=0,Sync!$Q578&lt;1),RIGHT("00"&amp;HOUR(Sync!$Q578),2)&amp;RIGHT("00"&amp;MINUTE(Sync!$Q578),2),IFERROR(RIGHT("00"&amp;VALUE(LEFT(Sync!$Q578,FIND(":",Sync!$Q578)-1)),2)&amp;RIGHT("00"&amp;VALUE(MID(Sync!$Q578,FIND(":",Sync!$Q578)+1,2)),2),"0000"))))</f>
        <v/>
      </c>
      <c r="AK578">
        <f>IF(OR($AE578="",$AI578="",$AI578="نامعتبر"),"",LEFT($AI578,4)&amp;MID($AI578,6,2)&amp;RIGHT($AI578,2)&amp;$AJ578&amp;"|"&amp;"3"&amp;RIGHT("00000"&amp;573,5))</f>
        <v/>
      </c>
      <c r="AL578">
        <f>IF($AK578="","",COUNTIFS(LdAParty,$AE578,LdAType,1,LdAKey,"&lt;"&amp;$AK578)+COUNTIFS(LdBMember,$AE578,LdBKey,"&lt;"&amp;$AK578)+COUNTIFS(LdCParty,$AE578,LdCKey,"&lt;"&amp;$AK578)+1)</f>
        <v/>
      </c>
      <c r="AM578">
        <f>IF($AL578="","",$AE578&amp;"|"&amp;RIGHT("000000"&amp;$AL578,6))</f>
        <v/>
      </c>
      <c r="AN578">
        <f>IF($AE578="","",IF(Sync!$W578="",0,Sync!$W578))</f>
        <v/>
      </c>
      <c r="AO578">
        <f>IF($AE578="","",IF(Sync!$X578="",0,Sync!$X578))</f>
        <v/>
      </c>
      <c r="AP578">
        <f>IF($AE578="","",Sync!$R578)</f>
        <v/>
      </c>
      <c r="AQ578">
        <f>IF($AE578="","",Sync!$Y578)</f>
        <v/>
      </c>
    </row>
    <row r="579">
      <c r="A579">
        <f>IF(OR(Wages!$B582="",Wages!$E582=""),"",Wages!$E582)</f>
        <v/>
      </c>
      <c r="B579">
        <f>IF($A579="","",IF(Wages!$C582="دستمزد گروهی",2,1))</f>
        <v/>
      </c>
      <c r="C579">
        <f>IF($A579="","",IF(ISNUMBER(Wages!$B582),IF(AND(Wages!$B582&gt;=10000101,Wages!$B582&lt;=99991231),INT(Wages!$B582/10000),""),IFERROR(VALUE(TRIM(LEFT(Wages!$B582,FIND("/",Wages!$B582)-1))),"")))</f>
        <v/>
      </c>
      <c r="D579">
        <f>IF(OR($A579="",$C579=""),"",IF(ISNUMBER(Wages!$B582),INT(MOD(Wages!$B582,10000)/100),IFERROR(VALUE(TRIM(LEFT(MID(Wages!$B582,FIND("/",Wages!$B582)+1,20),FIND("/",MID(Wages!$B582,FIND("/",Wages!$B582)+1,20))-1))),"")))</f>
        <v/>
      </c>
      <c r="E579">
        <f>IF(OR($A579="",$C579=""),"",IF(ISNUMBER(Wages!$B582),MOD(Wages!$B582,100),IFERROR(VALUE(TRIM(MID(MID(Wages!$B582,FIND("/",Wages!$B582)+1,20),FIND("/",MID(Wages!$B582,FIND("/",Wages!$B582)+1,20))+1,20))),"")))</f>
        <v/>
      </c>
      <c r="F579">
        <f>IF($A579="","",IF(OR($C579="",$D579="",$E579="",$C579&lt;1300,$C579&gt;1500,$D579&lt;1,$D579&gt;12,$E579&lt;1,$E579&gt;31),"نامعتبر",RIGHT("0000"&amp;$C579,4)&amp;"/"&amp;RIGHT("00"&amp;$D579,2)&amp;"/"&amp;RIGHT("00"&amp;$E579,2)))</f>
        <v/>
      </c>
      <c r="G579">
        <f>IF(OR($A579="",$F579="",$F579="نامعتبر"),"",LEFT($F579,4)&amp;MID($F579,6,2)&amp;RIGHT($F579,2)&amp;"0000"&amp;"|"&amp;"1"&amp;RIGHT("00000"&amp;574,5))</f>
        <v/>
      </c>
      <c r="H579">
        <f>IF(OR($B579&lt;&gt;1,$G579=""),"",COUNTIFS(LdAParty,$A579,LdAType,1,LdAKey,"&lt;"&amp;$G579)+COUNTIFS(LdBMember,$A579,LdBKey,"&lt;"&amp;$G579)+COUNTIFS(LdCParty,$A579,LdCKey,"&lt;"&amp;$G579)+1)</f>
        <v/>
      </c>
      <c r="I579">
        <f>IF($H579="","",$A579&amp;"|"&amp;RIGHT("000000"&amp;$H579,6))</f>
        <v/>
      </c>
      <c r="J579">
        <f>IF(OR($B579&lt;&gt;2,$G579=""),"",COUNTIFS(LdAParty,$A579,LdAType,2,LdAKey,"&lt;"&amp;$G579)+1)</f>
        <v/>
      </c>
      <c r="K579">
        <f>IF($J579="","",$A579&amp;"|"&amp;RIGHT("000000"&amp;$J579,6))</f>
        <v/>
      </c>
      <c r="L579">
        <f>IF($A579="","",IF(Wages!$G582="",0,Wages!$G582))</f>
        <v/>
      </c>
      <c r="M579">
        <f>IF($A579="","",Wages!$J582)</f>
        <v/>
      </c>
      <c r="N579">
        <f>IF($A579="","",Wages!$D582)</f>
        <v/>
      </c>
      <c r="P579">
        <f>IF(OR(Shares!$B582="",Shares!$C582=""),"",Shares!$C582)</f>
        <v/>
      </c>
      <c r="Q579">
        <f>IF($P579="","",Shares!$B582)</f>
        <v/>
      </c>
      <c r="R579">
        <f>IF($P579="","",IFERROR(INDEX(WageParty,MATCH($Q579,WageIds,0)),""))</f>
        <v/>
      </c>
      <c r="S579">
        <f>IF($P579="","",IFERROR(INDEX($F$6:$F$2005,MATCH($Q579,WageIds,0)),""))</f>
        <v/>
      </c>
      <c r="T579">
        <f>IF(OR($P579="",$S579="",$S579="نامعتبر"),"",LEFT($S579,4)&amp;MID($S579,6,2)&amp;RIGHT($S579,2)&amp;"0000"&amp;"|"&amp;"2"&amp;RIGHT("00000"&amp;574,5))</f>
        <v/>
      </c>
      <c r="U579">
        <f>IF($T579="","",COUNTIFS(LdAParty,$P579,LdAType,1,LdAKey,"&lt;"&amp;$T579)+COUNTIFS(LdBMember,$P579,LdBKey,"&lt;"&amp;$T579)+COUNTIFS(LdCParty,$P579,LdCKey,"&lt;"&amp;$T579)+1)</f>
        <v/>
      </c>
      <c r="V579">
        <f>IF($U579="","",$P579&amp;"|"&amp;RIGHT("000000"&amp;$U579,6))</f>
        <v/>
      </c>
      <c r="W579">
        <f>IF($T579="","",COUNTIFS(LdBGroup,$R579,LdBKey,"&lt;"&amp;$T579)+1)</f>
        <v/>
      </c>
      <c r="X579">
        <f>IF($W579="","",$R579&amp;"|"&amp;RIGHT("000000"&amp;$W579,6))</f>
        <v/>
      </c>
      <c r="Y579">
        <f>IF($P579="","",IF(Shares!$E582="",0,Shares!$E582))</f>
        <v/>
      </c>
      <c r="Z579">
        <f>IF($P579="","",Shares!$H582)</f>
        <v/>
      </c>
      <c r="AE579">
        <f>IF(OR(Sync!$S579="",Sync!$P579=""),"",Sync!$S579)</f>
        <v/>
      </c>
      <c r="AF579">
        <f>IF($AE579="","",IF(ISNUMBER(Sync!$P579),IF(AND(Sync!$P579&gt;=10000101,Sync!$P579&lt;=99991231),INT(Sync!$P579/10000),""),IFERROR(VALUE(TRIM(LEFT(Sync!$P579,FIND("/",Sync!$P579)-1))),"")))</f>
        <v/>
      </c>
      <c r="AG579">
        <f>IF(OR($AE579="",$AF579=""),"",IF(ISNUMBER(Sync!$P579),INT(MOD(Sync!$P579,10000)/100),IFERROR(VALUE(TRIM(LEFT(MID(Sync!$P579,FIND("/",Sync!$P579)+1,20),FIND("/",MID(Sync!$P579,FIND("/",Sync!$P579)+1,20))-1))),"")))</f>
        <v/>
      </c>
      <c r="AH579">
        <f>IF(OR($AE579="",$AF579=""),"",IF(ISNUMBER(Sync!$P579),MOD(Sync!$P579,100),IFERROR(VALUE(TRIM(MID(MID(Sync!$P579,FIND("/",Sync!$P579)+1,20),FIND("/",MID(Sync!$P579,FIND("/",Sync!$P579)+1,20))+1,20))),"")))</f>
        <v/>
      </c>
      <c r="AI579">
        <f>IF($AE579="","",IF(OR($AF579="",$AG579="",$AH579="",$AF579&lt;1300,$AF579&gt;1500,$AG579&lt;1,$AG579&gt;12,$AH579&lt;1,$AH579&gt;31),"نامعتبر",RIGHT("0000"&amp;$AF579,4)&amp;"/"&amp;RIGHT("00"&amp;$AG579,2)&amp;"/"&amp;RIGHT("00"&amp;$AH579,2)))</f>
        <v/>
      </c>
      <c r="AJ579">
        <f>IF($AE579="","",IF(Sync!$Q579="","0000",IF(AND(ISNUMBER(Sync!$Q579),Sync!$Q579&gt;=0,Sync!$Q579&lt;1),RIGHT("00"&amp;HOUR(Sync!$Q579),2)&amp;RIGHT("00"&amp;MINUTE(Sync!$Q579),2),IFERROR(RIGHT("00"&amp;VALUE(LEFT(Sync!$Q579,FIND(":",Sync!$Q579)-1)),2)&amp;RIGHT("00"&amp;VALUE(MID(Sync!$Q579,FIND(":",Sync!$Q579)+1,2)),2),"0000"))))</f>
        <v/>
      </c>
      <c r="AK579">
        <f>IF(OR($AE579="",$AI579="",$AI579="نامعتبر"),"",LEFT($AI579,4)&amp;MID($AI579,6,2)&amp;RIGHT($AI579,2)&amp;$AJ579&amp;"|"&amp;"3"&amp;RIGHT("00000"&amp;574,5))</f>
        <v/>
      </c>
      <c r="AL579">
        <f>IF($AK579="","",COUNTIFS(LdAParty,$AE579,LdAType,1,LdAKey,"&lt;"&amp;$AK579)+COUNTIFS(LdBMember,$AE579,LdBKey,"&lt;"&amp;$AK579)+COUNTIFS(LdCParty,$AE579,LdCKey,"&lt;"&amp;$AK579)+1)</f>
        <v/>
      </c>
      <c r="AM579">
        <f>IF($AL579="","",$AE579&amp;"|"&amp;RIGHT("000000"&amp;$AL579,6))</f>
        <v/>
      </c>
      <c r="AN579">
        <f>IF($AE579="","",IF(Sync!$W579="",0,Sync!$W579))</f>
        <v/>
      </c>
      <c r="AO579">
        <f>IF($AE579="","",IF(Sync!$X579="",0,Sync!$X579))</f>
        <v/>
      </c>
      <c r="AP579">
        <f>IF($AE579="","",Sync!$R579)</f>
        <v/>
      </c>
      <c r="AQ579">
        <f>IF($AE579="","",Sync!$Y579)</f>
        <v/>
      </c>
    </row>
    <row r="580">
      <c r="A580">
        <f>IF(OR(Wages!$B583="",Wages!$E583=""),"",Wages!$E583)</f>
        <v/>
      </c>
      <c r="B580">
        <f>IF($A580="","",IF(Wages!$C583="دستمزد گروهی",2,1))</f>
        <v/>
      </c>
      <c r="C580">
        <f>IF($A580="","",IF(ISNUMBER(Wages!$B583),IF(AND(Wages!$B583&gt;=10000101,Wages!$B583&lt;=99991231),INT(Wages!$B583/10000),""),IFERROR(VALUE(TRIM(LEFT(Wages!$B583,FIND("/",Wages!$B583)-1))),"")))</f>
        <v/>
      </c>
      <c r="D580">
        <f>IF(OR($A580="",$C580=""),"",IF(ISNUMBER(Wages!$B583),INT(MOD(Wages!$B583,10000)/100),IFERROR(VALUE(TRIM(LEFT(MID(Wages!$B583,FIND("/",Wages!$B583)+1,20),FIND("/",MID(Wages!$B583,FIND("/",Wages!$B583)+1,20))-1))),"")))</f>
        <v/>
      </c>
      <c r="E580">
        <f>IF(OR($A580="",$C580=""),"",IF(ISNUMBER(Wages!$B583),MOD(Wages!$B583,100),IFERROR(VALUE(TRIM(MID(MID(Wages!$B583,FIND("/",Wages!$B583)+1,20),FIND("/",MID(Wages!$B583,FIND("/",Wages!$B583)+1,20))+1,20))),"")))</f>
        <v/>
      </c>
      <c r="F580">
        <f>IF($A580="","",IF(OR($C580="",$D580="",$E580="",$C580&lt;1300,$C580&gt;1500,$D580&lt;1,$D580&gt;12,$E580&lt;1,$E580&gt;31),"نامعتبر",RIGHT("0000"&amp;$C580,4)&amp;"/"&amp;RIGHT("00"&amp;$D580,2)&amp;"/"&amp;RIGHT("00"&amp;$E580,2)))</f>
        <v/>
      </c>
      <c r="G580">
        <f>IF(OR($A580="",$F580="",$F580="نامعتبر"),"",LEFT($F580,4)&amp;MID($F580,6,2)&amp;RIGHT($F580,2)&amp;"0000"&amp;"|"&amp;"1"&amp;RIGHT("00000"&amp;575,5))</f>
        <v/>
      </c>
      <c r="H580">
        <f>IF(OR($B580&lt;&gt;1,$G580=""),"",COUNTIFS(LdAParty,$A580,LdAType,1,LdAKey,"&lt;"&amp;$G580)+COUNTIFS(LdBMember,$A580,LdBKey,"&lt;"&amp;$G580)+COUNTIFS(LdCParty,$A580,LdCKey,"&lt;"&amp;$G580)+1)</f>
        <v/>
      </c>
      <c r="I580">
        <f>IF($H580="","",$A580&amp;"|"&amp;RIGHT("000000"&amp;$H580,6))</f>
        <v/>
      </c>
      <c r="J580">
        <f>IF(OR($B580&lt;&gt;2,$G580=""),"",COUNTIFS(LdAParty,$A580,LdAType,2,LdAKey,"&lt;"&amp;$G580)+1)</f>
        <v/>
      </c>
      <c r="K580">
        <f>IF($J580="","",$A580&amp;"|"&amp;RIGHT("000000"&amp;$J580,6))</f>
        <v/>
      </c>
      <c r="L580">
        <f>IF($A580="","",IF(Wages!$G583="",0,Wages!$G583))</f>
        <v/>
      </c>
      <c r="M580">
        <f>IF($A580="","",Wages!$J583)</f>
        <v/>
      </c>
      <c r="N580">
        <f>IF($A580="","",Wages!$D583)</f>
        <v/>
      </c>
      <c r="P580">
        <f>IF(OR(Shares!$B583="",Shares!$C583=""),"",Shares!$C583)</f>
        <v/>
      </c>
      <c r="Q580">
        <f>IF($P580="","",Shares!$B583)</f>
        <v/>
      </c>
      <c r="R580">
        <f>IF($P580="","",IFERROR(INDEX(WageParty,MATCH($Q580,WageIds,0)),""))</f>
        <v/>
      </c>
      <c r="S580">
        <f>IF($P580="","",IFERROR(INDEX($F$6:$F$2005,MATCH($Q580,WageIds,0)),""))</f>
        <v/>
      </c>
      <c r="T580">
        <f>IF(OR($P580="",$S580="",$S580="نامعتبر"),"",LEFT($S580,4)&amp;MID($S580,6,2)&amp;RIGHT($S580,2)&amp;"0000"&amp;"|"&amp;"2"&amp;RIGHT("00000"&amp;575,5))</f>
        <v/>
      </c>
      <c r="U580">
        <f>IF($T580="","",COUNTIFS(LdAParty,$P580,LdAType,1,LdAKey,"&lt;"&amp;$T580)+COUNTIFS(LdBMember,$P580,LdBKey,"&lt;"&amp;$T580)+COUNTIFS(LdCParty,$P580,LdCKey,"&lt;"&amp;$T580)+1)</f>
        <v/>
      </c>
      <c r="V580">
        <f>IF($U580="","",$P580&amp;"|"&amp;RIGHT("000000"&amp;$U580,6))</f>
        <v/>
      </c>
      <c r="W580">
        <f>IF($T580="","",COUNTIFS(LdBGroup,$R580,LdBKey,"&lt;"&amp;$T580)+1)</f>
        <v/>
      </c>
      <c r="X580">
        <f>IF($W580="","",$R580&amp;"|"&amp;RIGHT("000000"&amp;$W580,6))</f>
        <v/>
      </c>
      <c r="Y580">
        <f>IF($P580="","",IF(Shares!$E583="",0,Shares!$E583))</f>
        <v/>
      </c>
      <c r="Z580">
        <f>IF($P580="","",Shares!$H583)</f>
        <v/>
      </c>
      <c r="AE580">
        <f>IF(OR(Sync!$S580="",Sync!$P580=""),"",Sync!$S580)</f>
        <v/>
      </c>
      <c r="AF580">
        <f>IF($AE580="","",IF(ISNUMBER(Sync!$P580),IF(AND(Sync!$P580&gt;=10000101,Sync!$P580&lt;=99991231),INT(Sync!$P580/10000),""),IFERROR(VALUE(TRIM(LEFT(Sync!$P580,FIND("/",Sync!$P580)-1))),"")))</f>
        <v/>
      </c>
      <c r="AG580">
        <f>IF(OR($AE580="",$AF580=""),"",IF(ISNUMBER(Sync!$P580),INT(MOD(Sync!$P580,10000)/100),IFERROR(VALUE(TRIM(LEFT(MID(Sync!$P580,FIND("/",Sync!$P580)+1,20),FIND("/",MID(Sync!$P580,FIND("/",Sync!$P580)+1,20))-1))),"")))</f>
        <v/>
      </c>
      <c r="AH580">
        <f>IF(OR($AE580="",$AF580=""),"",IF(ISNUMBER(Sync!$P580),MOD(Sync!$P580,100),IFERROR(VALUE(TRIM(MID(MID(Sync!$P580,FIND("/",Sync!$P580)+1,20),FIND("/",MID(Sync!$P580,FIND("/",Sync!$P580)+1,20))+1,20))),"")))</f>
        <v/>
      </c>
      <c r="AI580">
        <f>IF($AE580="","",IF(OR($AF580="",$AG580="",$AH580="",$AF580&lt;1300,$AF580&gt;1500,$AG580&lt;1,$AG580&gt;12,$AH580&lt;1,$AH580&gt;31),"نامعتبر",RIGHT("0000"&amp;$AF580,4)&amp;"/"&amp;RIGHT("00"&amp;$AG580,2)&amp;"/"&amp;RIGHT("00"&amp;$AH580,2)))</f>
        <v/>
      </c>
      <c r="AJ580">
        <f>IF($AE580="","",IF(Sync!$Q580="","0000",IF(AND(ISNUMBER(Sync!$Q580),Sync!$Q580&gt;=0,Sync!$Q580&lt;1),RIGHT("00"&amp;HOUR(Sync!$Q580),2)&amp;RIGHT("00"&amp;MINUTE(Sync!$Q580),2),IFERROR(RIGHT("00"&amp;VALUE(LEFT(Sync!$Q580,FIND(":",Sync!$Q580)-1)),2)&amp;RIGHT("00"&amp;VALUE(MID(Sync!$Q580,FIND(":",Sync!$Q580)+1,2)),2),"0000"))))</f>
        <v/>
      </c>
      <c r="AK580">
        <f>IF(OR($AE580="",$AI580="",$AI580="نامعتبر"),"",LEFT($AI580,4)&amp;MID($AI580,6,2)&amp;RIGHT($AI580,2)&amp;$AJ580&amp;"|"&amp;"3"&amp;RIGHT("00000"&amp;575,5))</f>
        <v/>
      </c>
      <c r="AL580">
        <f>IF($AK580="","",COUNTIFS(LdAParty,$AE580,LdAType,1,LdAKey,"&lt;"&amp;$AK580)+COUNTIFS(LdBMember,$AE580,LdBKey,"&lt;"&amp;$AK580)+COUNTIFS(LdCParty,$AE580,LdCKey,"&lt;"&amp;$AK580)+1)</f>
        <v/>
      </c>
      <c r="AM580">
        <f>IF($AL580="","",$AE580&amp;"|"&amp;RIGHT("000000"&amp;$AL580,6))</f>
        <v/>
      </c>
      <c r="AN580">
        <f>IF($AE580="","",IF(Sync!$W580="",0,Sync!$W580))</f>
        <v/>
      </c>
      <c r="AO580">
        <f>IF($AE580="","",IF(Sync!$X580="",0,Sync!$X580))</f>
        <v/>
      </c>
      <c r="AP580">
        <f>IF($AE580="","",Sync!$R580)</f>
        <v/>
      </c>
      <c r="AQ580">
        <f>IF($AE580="","",Sync!$Y580)</f>
        <v/>
      </c>
    </row>
    <row r="581">
      <c r="A581">
        <f>IF(OR(Wages!$B584="",Wages!$E584=""),"",Wages!$E584)</f>
        <v/>
      </c>
      <c r="B581">
        <f>IF($A581="","",IF(Wages!$C584="دستمزد گروهی",2,1))</f>
        <v/>
      </c>
      <c r="C581">
        <f>IF($A581="","",IF(ISNUMBER(Wages!$B584),IF(AND(Wages!$B584&gt;=10000101,Wages!$B584&lt;=99991231),INT(Wages!$B584/10000),""),IFERROR(VALUE(TRIM(LEFT(Wages!$B584,FIND("/",Wages!$B584)-1))),"")))</f>
        <v/>
      </c>
      <c r="D581">
        <f>IF(OR($A581="",$C581=""),"",IF(ISNUMBER(Wages!$B584),INT(MOD(Wages!$B584,10000)/100),IFERROR(VALUE(TRIM(LEFT(MID(Wages!$B584,FIND("/",Wages!$B584)+1,20),FIND("/",MID(Wages!$B584,FIND("/",Wages!$B584)+1,20))-1))),"")))</f>
        <v/>
      </c>
      <c r="E581">
        <f>IF(OR($A581="",$C581=""),"",IF(ISNUMBER(Wages!$B584),MOD(Wages!$B584,100),IFERROR(VALUE(TRIM(MID(MID(Wages!$B584,FIND("/",Wages!$B584)+1,20),FIND("/",MID(Wages!$B584,FIND("/",Wages!$B584)+1,20))+1,20))),"")))</f>
        <v/>
      </c>
      <c r="F581">
        <f>IF($A581="","",IF(OR($C581="",$D581="",$E581="",$C581&lt;1300,$C581&gt;1500,$D581&lt;1,$D581&gt;12,$E581&lt;1,$E581&gt;31),"نامعتبر",RIGHT("0000"&amp;$C581,4)&amp;"/"&amp;RIGHT("00"&amp;$D581,2)&amp;"/"&amp;RIGHT("00"&amp;$E581,2)))</f>
        <v/>
      </c>
      <c r="G581">
        <f>IF(OR($A581="",$F581="",$F581="نامعتبر"),"",LEFT($F581,4)&amp;MID($F581,6,2)&amp;RIGHT($F581,2)&amp;"0000"&amp;"|"&amp;"1"&amp;RIGHT("00000"&amp;576,5))</f>
        <v/>
      </c>
      <c r="H581">
        <f>IF(OR($B581&lt;&gt;1,$G581=""),"",COUNTIFS(LdAParty,$A581,LdAType,1,LdAKey,"&lt;"&amp;$G581)+COUNTIFS(LdBMember,$A581,LdBKey,"&lt;"&amp;$G581)+COUNTIFS(LdCParty,$A581,LdCKey,"&lt;"&amp;$G581)+1)</f>
        <v/>
      </c>
      <c r="I581">
        <f>IF($H581="","",$A581&amp;"|"&amp;RIGHT("000000"&amp;$H581,6))</f>
        <v/>
      </c>
      <c r="J581">
        <f>IF(OR($B581&lt;&gt;2,$G581=""),"",COUNTIFS(LdAParty,$A581,LdAType,2,LdAKey,"&lt;"&amp;$G581)+1)</f>
        <v/>
      </c>
      <c r="K581">
        <f>IF($J581="","",$A581&amp;"|"&amp;RIGHT("000000"&amp;$J581,6))</f>
        <v/>
      </c>
      <c r="L581">
        <f>IF($A581="","",IF(Wages!$G584="",0,Wages!$G584))</f>
        <v/>
      </c>
      <c r="M581">
        <f>IF($A581="","",Wages!$J584)</f>
        <v/>
      </c>
      <c r="N581">
        <f>IF($A581="","",Wages!$D584)</f>
        <v/>
      </c>
      <c r="P581">
        <f>IF(OR(Shares!$B584="",Shares!$C584=""),"",Shares!$C584)</f>
        <v/>
      </c>
      <c r="Q581">
        <f>IF($P581="","",Shares!$B584)</f>
        <v/>
      </c>
      <c r="R581">
        <f>IF($P581="","",IFERROR(INDEX(WageParty,MATCH($Q581,WageIds,0)),""))</f>
        <v/>
      </c>
      <c r="S581">
        <f>IF($P581="","",IFERROR(INDEX($F$6:$F$2005,MATCH($Q581,WageIds,0)),""))</f>
        <v/>
      </c>
      <c r="T581">
        <f>IF(OR($P581="",$S581="",$S581="نامعتبر"),"",LEFT($S581,4)&amp;MID($S581,6,2)&amp;RIGHT($S581,2)&amp;"0000"&amp;"|"&amp;"2"&amp;RIGHT("00000"&amp;576,5))</f>
        <v/>
      </c>
      <c r="U581">
        <f>IF($T581="","",COUNTIFS(LdAParty,$P581,LdAType,1,LdAKey,"&lt;"&amp;$T581)+COUNTIFS(LdBMember,$P581,LdBKey,"&lt;"&amp;$T581)+COUNTIFS(LdCParty,$P581,LdCKey,"&lt;"&amp;$T581)+1)</f>
        <v/>
      </c>
      <c r="V581">
        <f>IF($U581="","",$P581&amp;"|"&amp;RIGHT("000000"&amp;$U581,6))</f>
        <v/>
      </c>
      <c r="W581">
        <f>IF($T581="","",COUNTIFS(LdBGroup,$R581,LdBKey,"&lt;"&amp;$T581)+1)</f>
        <v/>
      </c>
      <c r="X581">
        <f>IF($W581="","",$R581&amp;"|"&amp;RIGHT("000000"&amp;$W581,6))</f>
        <v/>
      </c>
      <c r="Y581">
        <f>IF($P581="","",IF(Shares!$E584="",0,Shares!$E584))</f>
        <v/>
      </c>
      <c r="Z581">
        <f>IF($P581="","",Shares!$H584)</f>
        <v/>
      </c>
      <c r="AE581">
        <f>IF(OR(Sync!$S581="",Sync!$P581=""),"",Sync!$S581)</f>
        <v/>
      </c>
      <c r="AF581">
        <f>IF($AE581="","",IF(ISNUMBER(Sync!$P581),IF(AND(Sync!$P581&gt;=10000101,Sync!$P581&lt;=99991231),INT(Sync!$P581/10000),""),IFERROR(VALUE(TRIM(LEFT(Sync!$P581,FIND("/",Sync!$P581)-1))),"")))</f>
        <v/>
      </c>
      <c r="AG581">
        <f>IF(OR($AE581="",$AF581=""),"",IF(ISNUMBER(Sync!$P581),INT(MOD(Sync!$P581,10000)/100),IFERROR(VALUE(TRIM(LEFT(MID(Sync!$P581,FIND("/",Sync!$P581)+1,20),FIND("/",MID(Sync!$P581,FIND("/",Sync!$P581)+1,20))-1))),"")))</f>
        <v/>
      </c>
      <c r="AH581">
        <f>IF(OR($AE581="",$AF581=""),"",IF(ISNUMBER(Sync!$P581),MOD(Sync!$P581,100),IFERROR(VALUE(TRIM(MID(MID(Sync!$P581,FIND("/",Sync!$P581)+1,20),FIND("/",MID(Sync!$P581,FIND("/",Sync!$P581)+1,20))+1,20))),"")))</f>
        <v/>
      </c>
      <c r="AI581">
        <f>IF($AE581="","",IF(OR($AF581="",$AG581="",$AH581="",$AF581&lt;1300,$AF581&gt;1500,$AG581&lt;1,$AG581&gt;12,$AH581&lt;1,$AH581&gt;31),"نامعتبر",RIGHT("0000"&amp;$AF581,4)&amp;"/"&amp;RIGHT("00"&amp;$AG581,2)&amp;"/"&amp;RIGHT("00"&amp;$AH581,2)))</f>
        <v/>
      </c>
      <c r="AJ581">
        <f>IF($AE581="","",IF(Sync!$Q581="","0000",IF(AND(ISNUMBER(Sync!$Q581),Sync!$Q581&gt;=0,Sync!$Q581&lt;1),RIGHT("00"&amp;HOUR(Sync!$Q581),2)&amp;RIGHT("00"&amp;MINUTE(Sync!$Q581),2),IFERROR(RIGHT("00"&amp;VALUE(LEFT(Sync!$Q581,FIND(":",Sync!$Q581)-1)),2)&amp;RIGHT("00"&amp;VALUE(MID(Sync!$Q581,FIND(":",Sync!$Q581)+1,2)),2),"0000"))))</f>
        <v/>
      </c>
      <c r="AK581">
        <f>IF(OR($AE581="",$AI581="",$AI581="نامعتبر"),"",LEFT($AI581,4)&amp;MID($AI581,6,2)&amp;RIGHT($AI581,2)&amp;$AJ581&amp;"|"&amp;"3"&amp;RIGHT("00000"&amp;576,5))</f>
        <v/>
      </c>
      <c r="AL581">
        <f>IF($AK581="","",COUNTIFS(LdAParty,$AE581,LdAType,1,LdAKey,"&lt;"&amp;$AK581)+COUNTIFS(LdBMember,$AE581,LdBKey,"&lt;"&amp;$AK581)+COUNTIFS(LdCParty,$AE581,LdCKey,"&lt;"&amp;$AK581)+1)</f>
        <v/>
      </c>
      <c r="AM581">
        <f>IF($AL581="","",$AE581&amp;"|"&amp;RIGHT("000000"&amp;$AL581,6))</f>
        <v/>
      </c>
      <c r="AN581">
        <f>IF($AE581="","",IF(Sync!$W581="",0,Sync!$W581))</f>
        <v/>
      </c>
      <c r="AO581">
        <f>IF($AE581="","",IF(Sync!$X581="",0,Sync!$X581))</f>
        <v/>
      </c>
      <c r="AP581">
        <f>IF($AE581="","",Sync!$R581)</f>
        <v/>
      </c>
      <c r="AQ581">
        <f>IF($AE581="","",Sync!$Y581)</f>
        <v/>
      </c>
    </row>
    <row r="582">
      <c r="A582">
        <f>IF(OR(Wages!$B585="",Wages!$E585=""),"",Wages!$E585)</f>
        <v/>
      </c>
      <c r="B582">
        <f>IF($A582="","",IF(Wages!$C585="دستمزد گروهی",2,1))</f>
        <v/>
      </c>
      <c r="C582">
        <f>IF($A582="","",IF(ISNUMBER(Wages!$B585),IF(AND(Wages!$B585&gt;=10000101,Wages!$B585&lt;=99991231),INT(Wages!$B585/10000),""),IFERROR(VALUE(TRIM(LEFT(Wages!$B585,FIND("/",Wages!$B585)-1))),"")))</f>
        <v/>
      </c>
      <c r="D582">
        <f>IF(OR($A582="",$C582=""),"",IF(ISNUMBER(Wages!$B585),INT(MOD(Wages!$B585,10000)/100),IFERROR(VALUE(TRIM(LEFT(MID(Wages!$B585,FIND("/",Wages!$B585)+1,20),FIND("/",MID(Wages!$B585,FIND("/",Wages!$B585)+1,20))-1))),"")))</f>
        <v/>
      </c>
      <c r="E582">
        <f>IF(OR($A582="",$C582=""),"",IF(ISNUMBER(Wages!$B585),MOD(Wages!$B585,100),IFERROR(VALUE(TRIM(MID(MID(Wages!$B585,FIND("/",Wages!$B585)+1,20),FIND("/",MID(Wages!$B585,FIND("/",Wages!$B585)+1,20))+1,20))),"")))</f>
        <v/>
      </c>
      <c r="F582">
        <f>IF($A582="","",IF(OR($C582="",$D582="",$E582="",$C582&lt;1300,$C582&gt;1500,$D582&lt;1,$D582&gt;12,$E582&lt;1,$E582&gt;31),"نامعتبر",RIGHT("0000"&amp;$C582,4)&amp;"/"&amp;RIGHT("00"&amp;$D582,2)&amp;"/"&amp;RIGHT("00"&amp;$E582,2)))</f>
        <v/>
      </c>
      <c r="G582">
        <f>IF(OR($A582="",$F582="",$F582="نامعتبر"),"",LEFT($F582,4)&amp;MID($F582,6,2)&amp;RIGHT($F582,2)&amp;"0000"&amp;"|"&amp;"1"&amp;RIGHT("00000"&amp;577,5))</f>
        <v/>
      </c>
      <c r="H582">
        <f>IF(OR($B582&lt;&gt;1,$G582=""),"",COUNTIFS(LdAParty,$A582,LdAType,1,LdAKey,"&lt;"&amp;$G582)+COUNTIFS(LdBMember,$A582,LdBKey,"&lt;"&amp;$G582)+COUNTIFS(LdCParty,$A582,LdCKey,"&lt;"&amp;$G582)+1)</f>
        <v/>
      </c>
      <c r="I582">
        <f>IF($H582="","",$A582&amp;"|"&amp;RIGHT("000000"&amp;$H582,6))</f>
        <v/>
      </c>
      <c r="J582">
        <f>IF(OR($B582&lt;&gt;2,$G582=""),"",COUNTIFS(LdAParty,$A582,LdAType,2,LdAKey,"&lt;"&amp;$G582)+1)</f>
        <v/>
      </c>
      <c r="K582">
        <f>IF($J582="","",$A582&amp;"|"&amp;RIGHT("000000"&amp;$J582,6))</f>
        <v/>
      </c>
      <c r="L582">
        <f>IF($A582="","",IF(Wages!$G585="",0,Wages!$G585))</f>
        <v/>
      </c>
      <c r="M582">
        <f>IF($A582="","",Wages!$J585)</f>
        <v/>
      </c>
      <c r="N582">
        <f>IF($A582="","",Wages!$D585)</f>
        <v/>
      </c>
      <c r="P582">
        <f>IF(OR(Shares!$B585="",Shares!$C585=""),"",Shares!$C585)</f>
        <v/>
      </c>
      <c r="Q582">
        <f>IF($P582="","",Shares!$B585)</f>
        <v/>
      </c>
      <c r="R582">
        <f>IF($P582="","",IFERROR(INDEX(WageParty,MATCH($Q582,WageIds,0)),""))</f>
        <v/>
      </c>
      <c r="S582">
        <f>IF($P582="","",IFERROR(INDEX($F$6:$F$2005,MATCH($Q582,WageIds,0)),""))</f>
        <v/>
      </c>
      <c r="T582">
        <f>IF(OR($P582="",$S582="",$S582="نامعتبر"),"",LEFT($S582,4)&amp;MID($S582,6,2)&amp;RIGHT($S582,2)&amp;"0000"&amp;"|"&amp;"2"&amp;RIGHT("00000"&amp;577,5))</f>
        <v/>
      </c>
      <c r="U582">
        <f>IF($T582="","",COUNTIFS(LdAParty,$P582,LdAType,1,LdAKey,"&lt;"&amp;$T582)+COUNTIFS(LdBMember,$P582,LdBKey,"&lt;"&amp;$T582)+COUNTIFS(LdCParty,$P582,LdCKey,"&lt;"&amp;$T582)+1)</f>
        <v/>
      </c>
      <c r="V582">
        <f>IF($U582="","",$P582&amp;"|"&amp;RIGHT("000000"&amp;$U582,6))</f>
        <v/>
      </c>
      <c r="W582">
        <f>IF($T582="","",COUNTIFS(LdBGroup,$R582,LdBKey,"&lt;"&amp;$T582)+1)</f>
        <v/>
      </c>
      <c r="X582">
        <f>IF($W582="","",$R582&amp;"|"&amp;RIGHT("000000"&amp;$W582,6))</f>
        <v/>
      </c>
      <c r="Y582">
        <f>IF($P582="","",IF(Shares!$E585="",0,Shares!$E585))</f>
        <v/>
      </c>
      <c r="Z582">
        <f>IF($P582="","",Shares!$H585)</f>
        <v/>
      </c>
      <c r="AE582">
        <f>IF(OR(Sync!$S582="",Sync!$P582=""),"",Sync!$S582)</f>
        <v/>
      </c>
      <c r="AF582">
        <f>IF($AE582="","",IF(ISNUMBER(Sync!$P582),IF(AND(Sync!$P582&gt;=10000101,Sync!$P582&lt;=99991231),INT(Sync!$P582/10000),""),IFERROR(VALUE(TRIM(LEFT(Sync!$P582,FIND("/",Sync!$P582)-1))),"")))</f>
        <v/>
      </c>
      <c r="AG582">
        <f>IF(OR($AE582="",$AF582=""),"",IF(ISNUMBER(Sync!$P582),INT(MOD(Sync!$P582,10000)/100),IFERROR(VALUE(TRIM(LEFT(MID(Sync!$P582,FIND("/",Sync!$P582)+1,20),FIND("/",MID(Sync!$P582,FIND("/",Sync!$P582)+1,20))-1))),"")))</f>
        <v/>
      </c>
      <c r="AH582">
        <f>IF(OR($AE582="",$AF582=""),"",IF(ISNUMBER(Sync!$P582),MOD(Sync!$P582,100),IFERROR(VALUE(TRIM(MID(MID(Sync!$P582,FIND("/",Sync!$P582)+1,20),FIND("/",MID(Sync!$P582,FIND("/",Sync!$P582)+1,20))+1,20))),"")))</f>
        <v/>
      </c>
      <c r="AI582">
        <f>IF($AE582="","",IF(OR($AF582="",$AG582="",$AH582="",$AF582&lt;1300,$AF582&gt;1500,$AG582&lt;1,$AG582&gt;12,$AH582&lt;1,$AH582&gt;31),"نامعتبر",RIGHT("0000"&amp;$AF582,4)&amp;"/"&amp;RIGHT("00"&amp;$AG582,2)&amp;"/"&amp;RIGHT("00"&amp;$AH582,2)))</f>
        <v/>
      </c>
      <c r="AJ582">
        <f>IF($AE582="","",IF(Sync!$Q582="","0000",IF(AND(ISNUMBER(Sync!$Q582),Sync!$Q582&gt;=0,Sync!$Q582&lt;1),RIGHT("00"&amp;HOUR(Sync!$Q582),2)&amp;RIGHT("00"&amp;MINUTE(Sync!$Q582),2),IFERROR(RIGHT("00"&amp;VALUE(LEFT(Sync!$Q582,FIND(":",Sync!$Q582)-1)),2)&amp;RIGHT("00"&amp;VALUE(MID(Sync!$Q582,FIND(":",Sync!$Q582)+1,2)),2),"0000"))))</f>
        <v/>
      </c>
      <c r="AK582">
        <f>IF(OR($AE582="",$AI582="",$AI582="نامعتبر"),"",LEFT($AI582,4)&amp;MID($AI582,6,2)&amp;RIGHT($AI582,2)&amp;$AJ582&amp;"|"&amp;"3"&amp;RIGHT("00000"&amp;577,5))</f>
        <v/>
      </c>
      <c r="AL582">
        <f>IF($AK582="","",COUNTIFS(LdAParty,$AE582,LdAType,1,LdAKey,"&lt;"&amp;$AK582)+COUNTIFS(LdBMember,$AE582,LdBKey,"&lt;"&amp;$AK582)+COUNTIFS(LdCParty,$AE582,LdCKey,"&lt;"&amp;$AK582)+1)</f>
        <v/>
      </c>
      <c r="AM582">
        <f>IF($AL582="","",$AE582&amp;"|"&amp;RIGHT("000000"&amp;$AL582,6))</f>
        <v/>
      </c>
      <c r="AN582">
        <f>IF($AE582="","",IF(Sync!$W582="",0,Sync!$W582))</f>
        <v/>
      </c>
      <c r="AO582">
        <f>IF($AE582="","",IF(Sync!$X582="",0,Sync!$X582))</f>
        <v/>
      </c>
      <c r="AP582">
        <f>IF($AE582="","",Sync!$R582)</f>
        <v/>
      </c>
      <c r="AQ582">
        <f>IF($AE582="","",Sync!$Y582)</f>
        <v/>
      </c>
    </row>
    <row r="583">
      <c r="A583">
        <f>IF(OR(Wages!$B586="",Wages!$E586=""),"",Wages!$E586)</f>
        <v/>
      </c>
      <c r="B583">
        <f>IF($A583="","",IF(Wages!$C586="دستمزد گروهی",2,1))</f>
        <v/>
      </c>
      <c r="C583">
        <f>IF($A583="","",IF(ISNUMBER(Wages!$B586),IF(AND(Wages!$B586&gt;=10000101,Wages!$B586&lt;=99991231),INT(Wages!$B586/10000),""),IFERROR(VALUE(TRIM(LEFT(Wages!$B586,FIND("/",Wages!$B586)-1))),"")))</f>
        <v/>
      </c>
      <c r="D583">
        <f>IF(OR($A583="",$C583=""),"",IF(ISNUMBER(Wages!$B586),INT(MOD(Wages!$B586,10000)/100),IFERROR(VALUE(TRIM(LEFT(MID(Wages!$B586,FIND("/",Wages!$B586)+1,20),FIND("/",MID(Wages!$B586,FIND("/",Wages!$B586)+1,20))-1))),"")))</f>
        <v/>
      </c>
      <c r="E583">
        <f>IF(OR($A583="",$C583=""),"",IF(ISNUMBER(Wages!$B586),MOD(Wages!$B586,100),IFERROR(VALUE(TRIM(MID(MID(Wages!$B586,FIND("/",Wages!$B586)+1,20),FIND("/",MID(Wages!$B586,FIND("/",Wages!$B586)+1,20))+1,20))),"")))</f>
        <v/>
      </c>
      <c r="F583">
        <f>IF($A583="","",IF(OR($C583="",$D583="",$E583="",$C583&lt;1300,$C583&gt;1500,$D583&lt;1,$D583&gt;12,$E583&lt;1,$E583&gt;31),"نامعتبر",RIGHT("0000"&amp;$C583,4)&amp;"/"&amp;RIGHT("00"&amp;$D583,2)&amp;"/"&amp;RIGHT("00"&amp;$E583,2)))</f>
        <v/>
      </c>
      <c r="G583">
        <f>IF(OR($A583="",$F583="",$F583="نامعتبر"),"",LEFT($F583,4)&amp;MID($F583,6,2)&amp;RIGHT($F583,2)&amp;"0000"&amp;"|"&amp;"1"&amp;RIGHT("00000"&amp;578,5))</f>
        <v/>
      </c>
      <c r="H583">
        <f>IF(OR($B583&lt;&gt;1,$G583=""),"",COUNTIFS(LdAParty,$A583,LdAType,1,LdAKey,"&lt;"&amp;$G583)+COUNTIFS(LdBMember,$A583,LdBKey,"&lt;"&amp;$G583)+COUNTIFS(LdCParty,$A583,LdCKey,"&lt;"&amp;$G583)+1)</f>
        <v/>
      </c>
      <c r="I583">
        <f>IF($H583="","",$A583&amp;"|"&amp;RIGHT("000000"&amp;$H583,6))</f>
        <v/>
      </c>
      <c r="J583">
        <f>IF(OR($B583&lt;&gt;2,$G583=""),"",COUNTIFS(LdAParty,$A583,LdAType,2,LdAKey,"&lt;"&amp;$G583)+1)</f>
        <v/>
      </c>
      <c r="K583">
        <f>IF($J583="","",$A583&amp;"|"&amp;RIGHT("000000"&amp;$J583,6))</f>
        <v/>
      </c>
      <c r="L583">
        <f>IF($A583="","",IF(Wages!$G586="",0,Wages!$G586))</f>
        <v/>
      </c>
      <c r="M583">
        <f>IF($A583="","",Wages!$J586)</f>
        <v/>
      </c>
      <c r="N583">
        <f>IF($A583="","",Wages!$D586)</f>
        <v/>
      </c>
      <c r="P583">
        <f>IF(OR(Shares!$B586="",Shares!$C586=""),"",Shares!$C586)</f>
        <v/>
      </c>
      <c r="Q583">
        <f>IF($P583="","",Shares!$B586)</f>
        <v/>
      </c>
      <c r="R583">
        <f>IF($P583="","",IFERROR(INDEX(WageParty,MATCH($Q583,WageIds,0)),""))</f>
        <v/>
      </c>
      <c r="S583">
        <f>IF($P583="","",IFERROR(INDEX($F$6:$F$2005,MATCH($Q583,WageIds,0)),""))</f>
        <v/>
      </c>
      <c r="T583">
        <f>IF(OR($P583="",$S583="",$S583="نامعتبر"),"",LEFT($S583,4)&amp;MID($S583,6,2)&amp;RIGHT($S583,2)&amp;"0000"&amp;"|"&amp;"2"&amp;RIGHT("00000"&amp;578,5))</f>
        <v/>
      </c>
      <c r="U583">
        <f>IF($T583="","",COUNTIFS(LdAParty,$P583,LdAType,1,LdAKey,"&lt;"&amp;$T583)+COUNTIFS(LdBMember,$P583,LdBKey,"&lt;"&amp;$T583)+COUNTIFS(LdCParty,$P583,LdCKey,"&lt;"&amp;$T583)+1)</f>
        <v/>
      </c>
      <c r="V583">
        <f>IF($U583="","",$P583&amp;"|"&amp;RIGHT("000000"&amp;$U583,6))</f>
        <v/>
      </c>
      <c r="W583">
        <f>IF($T583="","",COUNTIFS(LdBGroup,$R583,LdBKey,"&lt;"&amp;$T583)+1)</f>
        <v/>
      </c>
      <c r="X583">
        <f>IF($W583="","",$R583&amp;"|"&amp;RIGHT("000000"&amp;$W583,6))</f>
        <v/>
      </c>
      <c r="Y583">
        <f>IF($P583="","",IF(Shares!$E586="",0,Shares!$E586))</f>
        <v/>
      </c>
      <c r="Z583">
        <f>IF($P583="","",Shares!$H586)</f>
        <v/>
      </c>
      <c r="AE583">
        <f>IF(OR(Sync!$S583="",Sync!$P583=""),"",Sync!$S583)</f>
        <v/>
      </c>
      <c r="AF583">
        <f>IF($AE583="","",IF(ISNUMBER(Sync!$P583),IF(AND(Sync!$P583&gt;=10000101,Sync!$P583&lt;=99991231),INT(Sync!$P583/10000),""),IFERROR(VALUE(TRIM(LEFT(Sync!$P583,FIND("/",Sync!$P583)-1))),"")))</f>
        <v/>
      </c>
      <c r="AG583">
        <f>IF(OR($AE583="",$AF583=""),"",IF(ISNUMBER(Sync!$P583),INT(MOD(Sync!$P583,10000)/100),IFERROR(VALUE(TRIM(LEFT(MID(Sync!$P583,FIND("/",Sync!$P583)+1,20),FIND("/",MID(Sync!$P583,FIND("/",Sync!$P583)+1,20))-1))),"")))</f>
        <v/>
      </c>
      <c r="AH583">
        <f>IF(OR($AE583="",$AF583=""),"",IF(ISNUMBER(Sync!$P583),MOD(Sync!$P583,100),IFERROR(VALUE(TRIM(MID(MID(Sync!$P583,FIND("/",Sync!$P583)+1,20),FIND("/",MID(Sync!$P583,FIND("/",Sync!$P583)+1,20))+1,20))),"")))</f>
        <v/>
      </c>
      <c r="AI583">
        <f>IF($AE583="","",IF(OR($AF583="",$AG583="",$AH583="",$AF583&lt;1300,$AF583&gt;1500,$AG583&lt;1,$AG583&gt;12,$AH583&lt;1,$AH583&gt;31),"نامعتبر",RIGHT("0000"&amp;$AF583,4)&amp;"/"&amp;RIGHT("00"&amp;$AG583,2)&amp;"/"&amp;RIGHT("00"&amp;$AH583,2)))</f>
        <v/>
      </c>
      <c r="AJ583">
        <f>IF($AE583="","",IF(Sync!$Q583="","0000",IF(AND(ISNUMBER(Sync!$Q583),Sync!$Q583&gt;=0,Sync!$Q583&lt;1),RIGHT("00"&amp;HOUR(Sync!$Q583),2)&amp;RIGHT("00"&amp;MINUTE(Sync!$Q583),2),IFERROR(RIGHT("00"&amp;VALUE(LEFT(Sync!$Q583,FIND(":",Sync!$Q583)-1)),2)&amp;RIGHT("00"&amp;VALUE(MID(Sync!$Q583,FIND(":",Sync!$Q583)+1,2)),2),"0000"))))</f>
        <v/>
      </c>
      <c r="AK583">
        <f>IF(OR($AE583="",$AI583="",$AI583="نامعتبر"),"",LEFT($AI583,4)&amp;MID($AI583,6,2)&amp;RIGHT($AI583,2)&amp;$AJ583&amp;"|"&amp;"3"&amp;RIGHT("00000"&amp;578,5))</f>
        <v/>
      </c>
      <c r="AL583">
        <f>IF($AK583="","",COUNTIFS(LdAParty,$AE583,LdAType,1,LdAKey,"&lt;"&amp;$AK583)+COUNTIFS(LdBMember,$AE583,LdBKey,"&lt;"&amp;$AK583)+COUNTIFS(LdCParty,$AE583,LdCKey,"&lt;"&amp;$AK583)+1)</f>
        <v/>
      </c>
      <c r="AM583">
        <f>IF($AL583="","",$AE583&amp;"|"&amp;RIGHT("000000"&amp;$AL583,6))</f>
        <v/>
      </c>
      <c r="AN583">
        <f>IF($AE583="","",IF(Sync!$W583="",0,Sync!$W583))</f>
        <v/>
      </c>
      <c r="AO583">
        <f>IF($AE583="","",IF(Sync!$X583="",0,Sync!$X583))</f>
        <v/>
      </c>
      <c r="AP583">
        <f>IF($AE583="","",Sync!$R583)</f>
        <v/>
      </c>
      <c r="AQ583">
        <f>IF($AE583="","",Sync!$Y583)</f>
        <v/>
      </c>
    </row>
    <row r="584">
      <c r="A584">
        <f>IF(OR(Wages!$B587="",Wages!$E587=""),"",Wages!$E587)</f>
        <v/>
      </c>
      <c r="B584">
        <f>IF($A584="","",IF(Wages!$C587="دستمزد گروهی",2,1))</f>
        <v/>
      </c>
      <c r="C584">
        <f>IF($A584="","",IF(ISNUMBER(Wages!$B587),IF(AND(Wages!$B587&gt;=10000101,Wages!$B587&lt;=99991231),INT(Wages!$B587/10000),""),IFERROR(VALUE(TRIM(LEFT(Wages!$B587,FIND("/",Wages!$B587)-1))),"")))</f>
        <v/>
      </c>
      <c r="D584">
        <f>IF(OR($A584="",$C584=""),"",IF(ISNUMBER(Wages!$B587),INT(MOD(Wages!$B587,10000)/100),IFERROR(VALUE(TRIM(LEFT(MID(Wages!$B587,FIND("/",Wages!$B587)+1,20),FIND("/",MID(Wages!$B587,FIND("/",Wages!$B587)+1,20))-1))),"")))</f>
        <v/>
      </c>
      <c r="E584">
        <f>IF(OR($A584="",$C584=""),"",IF(ISNUMBER(Wages!$B587),MOD(Wages!$B587,100),IFERROR(VALUE(TRIM(MID(MID(Wages!$B587,FIND("/",Wages!$B587)+1,20),FIND("/",MID(Wages!$B587,FIND("/",Wages!$B587)+1,20))+1,20))),"")))</f>
        <v/>
      </c>
      <c r="F584">
        <f>IF($A584="","",IF(OR($C584="",$D584="",$E584="",$C584&lt;1300,$C584&gt;1500,$D584&lt;1,$D584&gt;12,$E584&lt;1,$E584&gt;31),"نامعتبر",RIGHT("0000"&amp;$C584,4)&amp;"/"&amp;RIGHT("00"&amp;$D584,2)&amp;"/"&amp;RIGHT("00"&amp;$E584,2)))</f>
        <v/>
      </c>
      <c r="G584">
        <f>IF(OR($A584="",$F584="",$F584="نامعتبر"),"",LEFT($F584,4)&amp;MID($F584,6,2)&amp;RIGHT($F584,2)&amp;"0000"&amp;"|"&amp;"1"&amp;RIGHT("00000"&amp;579,5))</f>
        <v/>
      </c>
      <c r="H584">
        <f>IF(OR($B584&lt;&gt;1,$G584=""),"",COUNTIFS(LdAParty,$A584,LdAType,1,LdAKey,"&lt;"&amp;$G584)+COUNTIFS(LdBMember,$A584,LdBKey,"&lt;"&amp;$G584)+COUNTIFS(LdCParty,$A584,LdCKey,"&lt;"&amp;$G584)+1)</f>
        <v/>
      </c>
      <c r="I584">
        <f>IF($H584="","",$A584&amp;"|"&amp;RIGHT("000000"&amp;$H584,6))</f>
        <v/>
      </c>
      <c r="J584">
        <f>IF(OR($B584&lt;&gt;2,$G584=""),"",COUNTIFS(LdAParty,$A584,LdAType,2,LdAKey,"&lt;"&amp;$G584)+1)</f>
        <v/>
      </c>
      <c r="K584">
        <f>IF($J584="","",$A584&amp;"|"&amp;RIGHT("000000"&amp;$J584,6))</f>
        <v/>
      </c>
      <c r="L584">
        <f>IF($A584="","",IF(Wages!$G587="",0,Wages!$G587))</f>
        <v/>
      </c>
      <c r="M584">
        <f>IF($A584="","",Wages!$J587)</f>
        <v/>
      </c>
      <c r="N584">
        <f>IF($A584="","",Wages!$D587)</f>
        <v/>
      </c>
      <c r="P584">
        <f>IF(OR(Shares!$B587="",Shares!$C587=""),"",Shares!$C587)</f>
        <v/>
      </c>
      <c r="Q584">
        <f>IF($P584="","",Shares!$B587)</f>
        <v/>
      </c>
      <c r="R584">
        <f>IF($P584="","",IFERROR(INDEX(WageParty,MATCH($Q584,WageIds,0)),""))</f>
        <v/>
      </c>
      <c r="S584">
        <f>IF($P584="","",IFERROR(INDEX($F$6:$F$2005,MATCH($Q584,WageIds,0)),""))</f>
        <v/>
      </c>
      <c r="T584">
        <f>IF(OR($P584="",$S584="",$S584="نامعتبر"),"",LEFT($S584,4)&amp;MID($S584,6,2)&amp;RIGHT($S584,2)&amp;"0000"&amp;"|"&amp;"2"&amp;RIGHT("00000"&amp;579,5))</f>
        <v/>
      </c>
      <c r="U584">
        <f>IF($T584="","",COUNTIFS(LdAParty,$P584,LdAType,1,LdAKey,"&lt;"&amp;$T584)+COUNTIFS(LdBMember,$P584,LdBKey,"&lt;"&amp;$T584)+COUNTIFS(LdCParty,$P584,LdCKey,"&lt;"&amp;$T584)+1)</f>
        <v/>
      </c>
      <c r="V584">
        <f>IF($U584="","",$P584&amp;"|"&amp;RIGHT("000000"&amp;$U584,6))</f>
        <v/>
      </c>
      <c r="W584">
        <f>IF($T584="","",COUNTIFS(LdBGroup,$R584,LdBKey,"&lt;"&amp;$T584)+1)</f>
        <v/>
      </c>
      <c r="X584">
        <f>IF($W584="","",$R584&amp;"|"&amp;RIGHT("000000"&amp;$W584,6))</f>
        <v/>
      </c>
      <c r="Y584">
        <f>IF($P584="","",IF(Shares!$E587="",0,Shares!$E587))</f>
        <v/>
      </c>
      <c r="Z584">
        <f>IF($P584="","",Shares!$H587)</f>
        <v/>
      </c>
      <c r="AE584">
        <f>IF(OR(Sync!$S584="",Sync!$P584=""),"",Sync!$S584)</f>
        <v/>
      </c>
      <c r="AF584">
        <f>IF($AE584="","",IF(ISNUMBER(Sync!$P584),IF(AND(Sync!$P584&gt;=10000101,Sync!$P584&lt;=99991231),INT(Sync!$P584/10000),""),IFERROR(VALUE(TRIM(LEFT(Sync!$P584,FIND("/",Sync!$P584)-1))),"")))</f>
        <v/>
      </c>
      <c r="AG584">
        <f>IF(OR($AE584="",$AF584=""),"",IF(ISNUMBER(Sync!$P584),INT(MOD(Sync!$P584,10000)/100),IFERROR(VALUE(TRIM(LEFT(MID(Sync!$P584,FIND("/",Sync!$P584)+1,20),FIND("/",MID(Sync!$P584,FIND("/",Sync!$P584)+1,20))-1))),"")))</f>
        <v/>
      </c>
      <c r="AH584">
        <f>IF(OR($AE584="",$AF584=""),"",IF(ISNUMBER(Sync!$P584),MOD(Sync!$P584,100),IFERROR(VALUE(TRIM(MID(MID(Sync!$P584,FIND("/",Sync!$P584)+1,20),FIND("/",MID(Sync!$P584,FIND("/",Sync!$P584)+1,20))+1,20))),"")))</f>
        <v/>
      </c>
      <c r="AI584">
        <f>IF($AE584="","",IF(OR($AF584="",$AG584="",$AH584="",$AF584&lt;1300,$AF584&gt;1500,$AG584&lt;1,$AG584&gt;12,$AH584&lt;1,$AH584&gt;31),"نامعتبر",RIGHT("0000"&amp;$AF584,4)&amp;"/"&amp;RIGHT("00"&amp;$AG584,2)&amp;"/"&amp;RIGHT("00"&amp;$AH584,2)))</f>
        <v/>
      </c>
      <c r="AJ584">
        <f>IF($AE584="","",IF(Sync!$Q584="","0000",IF(AND(ISNUMBER(Sync!$Q584),Sync!$Q584&gt;=0,Sync!$Q584&lt;1),RIGHT("00"&amp;HOUR(Sync!$Q584),2)&amp;RIGHT("00"&amp;MINUTE(Sync!$Q584),2),IFERROR(RIGHT("00"&amp;VALUE(LEFT(Sync!$Q584,FIND(":",Sync!$Q584)-1)),2)&amp;RIGHT("00"&amp;VALUE(MID(Sync!$Q584,FIND(":",Sync!$Q584)+1,2)),2),"0000"))))</f>
        <v/>
      </c>
      <c r="AK584">
        <f>IF(OR($AE584="",$AI584="",$AI584="نامعتبر"),"",LEFT($AI584,4)&amp;MID($AI584,6,2)&amp;RIGHT($AI584,2)&amp;$AJ584&amp;"|"&amp;"3"&amp;RIGHT("00000"&amp;579,5))</f>
        <v/>
      </c>
      <c r="AL584">
        <f>IF($AK584="","",COUNTIFS(LdAParty,$AE584,LdAType,1,LdAKey,"&lt;"&amp;$AK584)+COUNTIFS(LdBMember,$AE584,LdBKey,"&lt;"&amp;$AK584)+COUNTIFS(LdCParty,$AE584,LdCKey,"&lt;"&amp;$AK584)+1)</f>
        <v/>
      </c>
      <c r="AM584">
        <f>IF($AL584="","",$AE584&amp;"|"&amp;RIGHT("000000"&amp;$AL584,6))</f>
        <v/>
      </c>
      <c r="AN584">
        <f>IF($AE584="","",IF(Sync!$W584="",0,Sync!$W584))</f>
        <v/>
      </c>
      <c r="AO584">
        <f>IF($AE584="","",IF(Sync!$X584="",0,Sync!$X584))</f>
        <v/>
      </c>
      <c r="AP584">
        <f>IF($AE584="","",Sync!$R584)</f>
        <v/>
      </c>
      <c r="AQ584">
        <f>IF($AE584="","",Sync!$Y584)</f>
        <v/>
      </c>
    </row>
    <row r="585">
      <c r="A585">
        <f>IF(OR(Wages!$B588="",Wages!$E588=""),"",Wages!$E588)</f>
        <v/>
      </c>
      <c r="B585">
        <f>IF($A585="","",IF(Wages!$C588="دستمزد گروهی",2,1))</f>
        <v/>
      </c>
      <c r="C585">
        <f>IF($A585="","",IF(ISNUMBER(Wages!$B588),IF(AND(Wages!$B588&gt;=10000101,Wages!$B588&lt;=99991231),INT(Wages!$B588/10000),""),IFERROR(VALUE(TRIM(LEFT(Wages!$B588,FIND("/",Wages!$B588)-1))),"")))</f>
        <v/>
      </c>
      <c r="D585">
        <f>IF(OR($A585="",$C585=""),"",IF(ISNUMBER(Wages!$B588),INT(MOD(Wages!$B588,10000)/100),IFERROR(VALUE(TRIM(LEFT(MID(Wages!$B588,FIND("/",Wages!$B588)+1,20),FIND("/",MID(Wages!$B588,FIND("/",Wages!$B588)+1,20))-1))),"")))</f>
        <v/>
      </c>
      <c r="E585">
        <f>IF(OR($A585="",$C585=""),"",IF(ISNUMBER(Wages!$B588),MOD(Wages!$B588,100),IFERROR(VALUE(TRIM(MID(MID(Wages!$B588,FIND("/",Wages!$B588)+1,20),FIND("/",MID(Wages!$B588,FIND("/",Wages!$B588)+1,20))+1,20))),"")))</f>
        <v/>
      </c>
      <c r="F585">
        <f>IF($A585="","",IF(OR($C585="",$D585="",$E585="",$C585&lt;1300,$C585&gt;1500,$D585&lt;1,$D585&gt;12,$E585&lt;1,$E585&gt;31),"نامعتبر",RIGHT("0000"&amp;$C585,4)&amp;"/"&amp;RIGHT("00"&amp;$D585,2)&amp;"/"&amp;RIGHT("00"&amp;$E585,2)))</f>
        <v/>
      </c>
      <c r="G585">
        <f>IF(OR($A585="",$F585="",$F585="نامعتبر"),"",LEFT($F585,4)&amp;MID($F585,6,2)&amp;RIGHT($F585,2)&amp;"0000"&amp;"|"&amp;"1"&amp;RIGHT("00000"&amp;580,5))</f>
        <v/>
      </c>
      <c r="H585">
        <f>IF(OR($B585&lt;&gt;1,$G585=""),"",COUNTIFS(LdAParty,$A585,LdAType,1,LdAKey,"&lt;"&amp;$G585)+COUNTIFS(LdBMember,$A585,LdBKey,"&lt;"&amp;$G585)+COUNTIFS(LdCParty,$A585,LdCKey,"&lt;"&amp;$G585)+1)</f>
        <v/>
      </c>
      <c r="I585">
        <f>IF($H585="","",$A585&amp;"|"&amp;RIGHT("000000"&amp;$H585,6))</f>
        <v/>
      </c>
      <c r="J585">
        <f>IF(OR($B585&lt;&gt;2,$G585=""),"",COUNTIFS(LdAParty,$A585,LdAType,2,LdAKey,"&lt;"&amp;$G585)+1)</f>
        <v/>
      </c>
      <c r="K585">
        <f>IF($J585="","",$A585&amp;"|"&amp;RIGHT("000000"&amp;$J585,6))</f>
        <v/>
      </c>
      <c r="L585">
        <f>IF($A585="","",IF(Wages!$G588="",0,Wages!$G588))</f>
        <v/>
      </c>
      <c r="M585">
        <f>IF($A585="","",Wages!$J588)</f>
        <v/>
      </c>
      <c r="N585">
        <f>IF($A585="","",Wages!$D588)</f>
        <v/>
      </c>
      <c r="P585">
        <f>IF(OR(Shares!$B588="",Shares!$C588=""),"",Shares!$C588)</f>
        <v/>
      </c>
      <c r="Q585">
        <f>IF($P585="","",Shares!$B588)</f>
        <v/>
      </c>
      <c r="R585">
        <f>IF($P585="","",IFERROR(INDEX(WageParty,MATCH($Q585,WageIds,0)),""))</f>
        <v/>
      </c>
      <c r="S585">
        <f>IF($P585="","",IFERROR(INDEX($F$6:$F$2005,MATCH($Q585,WageIds,0)),""))</f>
        <v/>
      </c>
      <c r="T585">
        <f>IF(OR($P585="",$S585="",$S585="نامعتبر"),"",LEFT($S585,4)&amp;MID($S585,6,2)&amp;RIGHT($S585,2)&amp;"0000"&amp;"|"&amp;"2"&amp;RIGHT("00000"&amp;580,5))</f>
        <v/>
      </c>
      <c r="U585">
        <f>IF($T585="","",COUNTIFS(LdAParty,$P585,LdAType,1,LdAKey,"&lt;"&amp;$T585)+COUNTIFS(LdBMember,$P585,LdBKey,"&lt;"&amp;$T585)+COUNTIFS(LdCParty,$P585,LdCKey,"&lt;"&amp;$T585)+1)</f>
        <v/>
      </c>
      <c r="V585">
        <f>IF($U585="","",$P585&amp;"|"&amp;RIGHT("000000"&amp;$U585,6))</f>
        <v/>
      </c>
      <c r="W585">
        <f>IF($T585="","",COUNTIFS(LdBGroup,$R585,LdBKey,"&lt;"&amp;$T585)+1)</f>
        <v/>
      </c>
      <c r="X585">
        <f>IF($W585="","",$R585&amp;"|"&amp;RIGHT("000000"&amp;$W585,6))</f>
        <v/>
      </c>
      <c r="Y585">
        <f>IF($P585="","",IF(Shares!$E588="",0,Shares!$E588))</f>
        <v/>
      </c>
      <c r="Z585">
        <f>IF($P585="","",Shares!$H588)</f>
        <v/>
      </c>
      <c r="AE585">
        <f>IF(OR(Sync!$S585="",Sync!$P585=""),"",Sync!$S585)</f>
        <v/>
      </c>
      <c r="AF585">
        <f>IF($AE585="","",IF(ISNUMBER(Sync!$P585),IF(AND(Sync!$P585&gt;=10000101,Sync!$P585&lt;=99991231),INT(Sync!$P585/10000),""),IFERROR(VALUE(TRIM(LEFT(Sync!$P585,FIND("/",Sync!$P585)-1))),"")))</f>
        <v/>
      </c>
      <c r="AG585">
        <f>IF(OR($AE585="",$AF585=""),"",IF(ISNUMBER(Sync!$P585),INT(MOD(Sync!$P585,10000)/100),IFERROR(VALUE(TRIM(LEFT(MID(Sync!$P585,FIND("/",Sync!$P585)+1,20),FIND("/",MID(Sync!$P585,FIND("/",Sync!$P585)+1,20))-1))),"")))</f>
        <v/>
      </c>
      <c r="AH585">
        <f>IF(OR($AE585="",$AF585=""),"",IF(ISNUMBER(Sync!$P585),MOD(Sync!$P585,100),IFERROR(VALUE(TRIM(MID(MID(Sync!$P585,FIND("/",Sync!$P585)+1,20),FIND("/",MID(Sync!$P585,FIND("/",Sync!$P585)+1,20))+1,20))),"")))</f>
        <v/>
      </c>
      <c r="AI585">
        <f>IF($AE585="","",IF(OR($AF585="",$AG585="",$AH585="",$AF585&lt;1300,$AF585&gt;1500,$AG585&lt;1,$AG585&gt;12,$AH585&lt;1,$AH585&gt;31),"نامعتبر",RIGHT("0000"&amp;$AF585,4)&amp;"/"&amp;RIGHT("00"&amp;$AG585,2)&amp;"/"&amp;RIGHT("00"&amp;$AH585,2)))</f>
        <v/>
      </c>
      <c r="AJ585">
        <f>IF($AE585="","",IF(Sync!$Q585="","0000",IF(AND(ISNUMBER(Sync!$Q585),Sync!$Q585&gt;=0,Sync!$Q585&lt;1),RIGHT("00"&amp;HOUR(Sync!$Q585),2)&amp;RIGHT("00"&amp;MINUTE(Sync!$Q585),2),IFERROR(RIGHT("00"&amp;VALUE(LEFT(Sync!$Q585,FIND(":",Sync!$Q585)-1)),2)&amp;RIGHT("00"&amp;VALUE(MID(Sync!$Q585,FIND(":",Sync!$Q585)+1,2)),2),"0000"))))</f>
        <v/>
      </c>
      <c r="AK585">
        <f>IF(OR($AE585="",$AI585="",$AI585="نامعتبر"),"",LEFT($AI585,4)&amp;MID($AI585,6,2)&amp;RIGHT($AI585,2)&amp;$AJ585&amp;"|"&amp;"3"&amp;RIGHT("00000"&amp;580,5))</f>
        <v/>
      </c>
      <c r="AL585">
        <f>IF($AK585="","",COUNTIFS(LdAParty,$AE585,LdAType,1,LdAKey,"&lt;"&amp;$AK585)+COUNTIFS(LdBMember,$AE585,LdBKey,"&lt;"&amp;$AK585)+COUNTIFS(LdCParty,$AE585,LdCKey,"&lt;"&amp;$AK585)+1)</f>
        <v/>
      </c>
      <c r="AM585">
        <f>IF($AL585="","",$AE585&amp;"|"&amp;RIGHT("000000"&amp;$AL585,6))</f>
        <v/>
      </c>
      <c r="AN585">
        <f>IF($AE585="","",IF(Sync!$W585="",0,Sync!$W585))</f>
        <v/>
      </c>
      <c r="AO585">
        <f>IF($AE585="","",IF(Sync!$X585="",0,Sync!$X585))</f>
        <v/>
      </c>
      <c r="AP585">
        <f>IF($AE585="","",Sync!$R585)</f>
        <v/>
      </c>
      <c r="AQ585">
        <f>IF($AE585="","",Sync!$Y585)</f>
        <v/>
      </c>
    </row>
    <row r="586">
      <c r="A586">
        <f>IF(OR(Wages!$B589="",Wages!$E589=""),"",Wages!$E589)</f>
        <v/>
      </c>
      <c r="B586">
        <f>IF($A586="","",IF(Wages!$C589="دستمزد گروهی",2,1))</f>
        <v/>
      </c>
      <c r="C586">
        <f>IF($A586="","",IF(ISNUMBER(Wages!$B589),IF(AND(Wages!$B589&gt;=10000101,Wages!$B589&lt;=99991231),INT(Wages!$B589/10000),""),IFERROR(VALUE(TRIM(LEFT(Wages!$B589,FIND("/",Wages!$B589)-1))),"")))</f>
        <v/>
      </c>
      <c r="D586">
        <f>IF(OR($A586="",$C586=""),"",IF(ISNUMBER(Wages!$B589),INT(MOD(Wages!$B589,10000)/100),IFERROR(VALUE(TRIM(LEFT(MID(Wages!$B589,FIND("/",Wages!$B589)+1,20),FIND("/",MID(Wages!$B589,FIND("/",Wages!$B589)+1,20))-1))),"")))</f>
        <v/>
      </c>
      <c r="E586">
        <f>IF(OR($A586="",$C586=""),"",IF(ISNUMBER(Wages!$B589),MOD(Wages!$B589,100),IFERROR(VALUE(TRIM(MID(MID(Wages!$B589,FIND("/",Wages!$B589)+1,20),FIND("/",MID(Wages!$B589,FIND("/",Wages!$B589)+1,20))+1,20))),"")))</f>
        <v/>
      </c>
      <c r="F586">
        <f>IF($A586="","",IF(OR($C586="",$D586="",$E586="",$C586&lt;1300,$C586&gt;1500,$D586&lt;1,$D586&gt;12,$E586&lt;1,$E586&gt;31),"نامعتبر",RIGHT("0000"&amp;$C586,4)&amp;"/"&amp;RIGHT("00"&amp;$D586,2)&amp;"/"&amp;RIGHT("00"&amp;$E586,2)))</f>
        <v/>
      </c>
      <c r="G586">
        <f>IF(OR($A586="",$F586="",$F586="نامعتبر"),"",LEFT($F586,4)&amp;MID($F586,6,2)&amp;RIGHT($F586,2)&amp;"0000"&amp;"|"&amp;"1"&amp;RIGHT("00000"&amp;581,5))</f>
        <v/>
      </c>
      <c r="H586">
        <f>IF(OR($B586&lt;&gt;1,$G586=""),"",COUNTIFS(LdAParty,$A586,LdAType,1,LdAKey,"&lt;"&amp;$G586)+COUNTIFS(LdBMember,$A586,LdBKey,"&lt;"&amp;$G586)+COUNTIFS(LdCParty,$A586,LdCKey,"&lt;"&amp;$G586)+1)</f>
        <v/>
      </c>
      <c r="I586">
        <f>IF($H586="","",$A586&amp;"|"&amp;RIGHT("000000"&amp;$H586,6))</f>
        <v/>
      </c>
      <c r="J586">
        <f>IF(OR($B586&lt;&gt;2,$G586=""),"",COUNTIFS(LdAParty,$A586,LdAType,2,LdAKey,"&lt;"&amp;$G586)+1)</f>
        <v/>
      </c>
      <c r="K586">
        <f>IF($J586="","",$A586&amp;"|"&amp;RIGHT("000000"&amp;$J586,6))</f>
        <v/>
      </c>
      <c r="L586">
        <f>IF($A586="","",IF(Wages!$G589="",0,Wages!$G589))</f>
        <v/>
      </c>
      <c r="M586">
        <f>IF($A586="","",Wages!$J589)</f>
        <v/>
      </c>
      <c r="N586">
        <f>IF($A586="","",Wages!$D589)</f>
        <v/>
      </c>
      <c r="P586">
        <f>IF(OR(Shares!$B589="",Shares!$C589=""),"",Shares!$C589)</f>
        <v/>
      </c>
      <c r="Q586">
        <f>IF($P586="","",Shares!$B589)</f>
        <v/>
      </c>
      <c r="R586">
        <f>IF($P586="","",IFERROR(INDEX(WageParty,MATCH($Q586,WageIds,0)),""))</f>
        <v/>
      </c>
      <c r="S586">
        <f>IF($P586="","",IFERROR(INDEX($F$6:$F$2005,MATCH($Q586,WageIds,0)),""))</f>
        <v/>
      </c>
      <c r="T586">
        <f>IF(OR($P586="",$S586="",$S586="نامعتبر"),"",LEFT($S586,4)&amp;MID($S586,6,2)&amp;RIGHT($S586,2)&amp;"0000"&amp;"|"&amp;"2"&amp;RIGHT("00000"&amp;581,5))</f>
        <v/>
      </c>
      <c r="U586">
        <f>IF($T586="","",COUNTIFS(LdAParty,$P586,LdAType,1,LdAKey,"&lt;"&amp;$T586)+COUNTIFS(LdBMember,$P586,LdBKey,"&lt;"&amp;$T586)+COUNTIFS(LdCParty,$P586,LdCKey,"&lt;"&amp;$T586)+1)</f>
        <v/>
      </c>
      <c r="V586">
        <f>IF($U586="","",$P586&amp;"|"&amp;RIGHT("000000"&amp;$U586,6))</f>
        <v/>
      </c>
      <c r="W586">
        <f>IF($T586="","",COUNTIFS(LdBGroup,$R586,LdBKey,"&lt;"&amp;$T586)+1)</f>
        <v/>
      </c>
      <c r="X586">
        <f>IF($W586="","",$R586&amp;"|"&amp;RIGHT("000000"&amp;$W586,6))</f>
        <v/>
      </c>
      <c r="Y586">
        <f>IF($P586="","",IF(Shares!$E589="",0,Shares!$E589))</f>
        <v/>
      </c>
      <c r="Z586">
        <f>IF($P586="","",Shares!$H589)</f>
        <v/>
      </c>
      <c r="AE586">
        <f>IF(OR(Sync!$S586="",Sync!$P586=""),"",Sync!$S586)</f>
        <v/>
      </c>
      <c r="AF586">
        <f>IF($AE586="","",IF(ISNUMBER(Sync!$P586),IF(AND(Sync!$P586&gt;=10000101,Sync!$P586&lt;=99991231),INT(Sync!$P586/10000),""),IFERROR(VALUE(TRIM(LEFT(Sync!$P586,FIND("/",Sync!$P586)-1))),"")))</f>
        <v/>
      </c>
      <c r="AG586">
        <f>IF(OR($AE586="",$AF586=""),"",IF(ISNUMBER(Sync!$P586),INT(MOD(Sync!$P586,10000)/100),IFERROR(VALUE(TRIM(LEFT(MID(Sync!$P586,FIND("/",Sync!$P586)+1,20),FIND("/",MID(Sync!$P586,FIND("/",Sync!$P586)+1,20))-1))),"")))</f>
        <v/>
      </c>
      <c r="AH586">
        <f>IF(OR($AE586="",$AF586=""),"",IF(ISNUMBER(Sync!$P586),MOD(Sync!$P586,100),IFERROR(VALUE(TRIM(MID(MID(Sync!$P586,FIND("/",Sync!$P586)+1,20),FIND("/",MID(Sync!$P586,FIND("/",Sync!$P586)+1,20))+1,20))),"")))</f>
        <v/>
      </c>
      <c r="AI586">
        <f>IF($AE586="","",IF(OR($AF586="",$AG586="",$AH586="",$AF586&lt;1300,$AF586&gt;1500,$AG586&lt;1,$AG586&gt;12,$AH586&lt;1,$AH586&gt;31),"نامعتبر",RIGHT("0000"&amp;$AF586,4)&amp;"/"&amp;RIGHT("00"&amp;$AG586,2)&amp;"/"&amp;RIGHT("00"&amp;$AH586,2)))</f>
        <v/>
      </c>
      <c r="AJ586">
        <f>IF($AE586="","",IF(Sync!$Q586="","0000",IF(AND(ISNUMBER(Sync!$Q586),Sync!$Q586&gt;=0,Sync!$Q586&lt;1),RIGHT("00"&amp;HOUR(Sync!$Q586),2)&amp;RIGHT("00"&amp;MINUTE(Sync!$Q586),2),IFERROR(RIGHT("00"&amp;VALUE(LEFT(Sync!$Q586,FIND(":",Sync!$Q586)-1)),2)&amp;RIGHT("00"&amp;VALUE(MID(Sync!$Q586,FIND(":",Sync!$Q586)+1,2)),2),"0000"))))</f>
        <v/>
      </c>
      <c r="AK586">
        <f>IF(OR($AE586="",$AI586="",$AI586="نامعتبر"),"",LEFT($AI586,4)&amp;MID($AI586,6,2)&amp;RIGHT($AI586,2)&amp;$AJ586&amp;"|"&amp;"3"&amp;RIGHT("00000"&amp;581,5))</f>
        <v/>
      </c>
      <c r="AL586">
        <f>IF($AK586="","",COUNTIFS(LdAParty,$AE586,LdAType,1,LdAKey,"&lt;"&amp;$AK586)+COUNTIFS(LdBMember,$AE586,LdBKey,"&lt;"&amp;$AK586)+COUNTIFS(LdCParty,$AE586,LdCKey,"&lt;"&amp;$AK586)+1)</f>
        <v/>
      </c>
      <c r="AM586">
        <f>IF($AL586="","",$AE586&amp;"|"&amp;RIGHT("000000"&amp;$AL586,6))</f>
        <v/>
      </c>
      <c r="AN586">
        <f>IF($AE586="","",IF(Sync!$W586="",0,Sync!$W586))</f>
        <v/>
      </c>
      <c r="AO586">
        <f>IF($AE586="","",IF(Sync!$X586="",0,Sync!$X586))</f>
        <v/>
      </c>
      <c r="AP586">
        <f>IF($AE586="","",Sync!$R586)</f>
        <v/>
      </c>
      <c r="AQ586">
        <f>IF($AE586="","",Sync!$Y586)</f>
        <v/>
      </c>
    </row>
    <row r="587">
      <c r="A587">
        <f>IF(OR(Wages!$B590="",Wages!$E590=""),"",Wages!$E590)</f>
        <v/>
      </c>
      <c r="B587">
        <f>IF($A587="","",IF(Wages!$C590="دستمزد گروهی",2,1))</f>
        <v/>
      </c>
      <c r="C587">
        <f>IF($A587="","",IF(ISNUMBER(Wages!$B590),IF(AND(Wages!$B590&gt;=10000101,Wages!$B590&lt;=99991231),INT(Wages!$B590/10000),""),IFERROR(VALUE(TRIM(LEFT(Wages!$B590,FIND("/",Wages!$B590)-1))),"")))</f>
        <v/>
      </c>
      <c r="D587">
        <f>IF(OR($A587="",$C587=""),"",IF(ISNUMBER(Wages!$B590),INT(MOD(Wages!$B590,10000)/100),IFERROR(VALUE(TRIM(LEFT(MID(Wages!$B590,FIND("/",Wages!$B590)+1,20),FIND("/",MID(Wages!$B590,FIND("/",Wages!$B590)+1,20))-1))),"")))</f>
        <v/>
      </c>
      <c r="E587">
        <f>IF(OR($A587="",$C587=""),"",IF(ISNUMBER(Wages!$B590),MOD(Wages!$B590,100),IFERROR(VALUE(TRIM(MID(MID(Wages!$B590,FIND("/",Wages!$B590)+1,20),FIND("/",MID(Wages!$B590,FIND("/",Wages!$B590)+1,20))+1,20))),"")))</f>
        <v/>
      </c>
      <c r="F587">
        <f>IF($A587="","",IF(OR($C587="",$D587="",$E587="",$C587&lt;1300,$C587&gt;1500,$D587&lt;1,$D587&gt;12,$E587&lt;1,$E587&gt;31),"نامعتبر",RIGHT("0000"&amp;$C587,4)&amp;"/"&amp;RIGHT("00"&amp;$D587,2)&amp;"/"&amp;RIGHT("00"&amp;$E587,2)))</f>
        <v/>
      </c>
      <c r="G587">
        <f>IF(OR($A587="",$F587="",$F587="نامعتبر"),"",LEFT($F587,4)&amp;MID($F587,6,2)&amp;RIGHT($F587,2)&amp;"0000"&amp;"|"&amp;"1"&amp;RIGHT("00000"&amp;582,5))</f>
        <v/>
      </c>
      <c r="H587">
        <f>IF(OR($B587&lt;&gt;1,$G587=""),"",COUNTIFS(LdAParty,$A587,LdAType,1,LdAKey,"&lt;"&amp;$G587)+COUNTIFS(LdBMember,$A587,LdBKey,"&lt;"&amp;$G587)+COUNTIFS(LdCParty,$A587,LdCKey,"&lt;"&amp;$G587)+1)</f>
        <v/>
      </c>
      <c r="I587">
        <f>IF($H587="","",$A587&amp;"|"&amp;RIGHT("000000"&amp;$H587,6))</f>
        <v/>
      </c>
      <c r="J587">
        <f>IF(OR($B587&lt;&gt;2,$G587=""),"",COUNTIFS(LdAParty,$A587,LdAType,2,LdAKey,"&lt;"&amp;$G587)+1)</f>
        <v/>
      </c>
      <c r="K587">
        <f>IF($J587="","",$A587&amp;"|"&amp;RIGHT("000000"&amp;$J587,6))</f>
        <v/>
      </c>
      <c r="L587">
        <f>IF($A587="","",IF(Wages!$G590="",0,Wages!$G590))</f>
        <v/>
      </c>
      <c r="M587">
        <f>IF($A587="","",Wages!$J590)</f>
        <v/>
      </c>
      <c r="N587">
        <f>IF($A587="","",Wages!$D590)</f>
        <v/>
      </c>
      <c r="P587">
        <f>IF(OR(Shares!$B590="",Shares!$C590=""),"",Shares!$C590)</f>
        <v/>
      </c>
      <c r="Q587">
        <f>IF($P587="","",Shares!$B590)</f>
        <v/>
      </c>
      <c r="R587">
        <f>IF($P587="","",IFERROR(INDEX(WageParty,MATCH($Q587,WageIds,0)),""))</f>
        <v/>
      </c>
      <c r="S587">
        <f>IF($P587="","",IFERROR(INDEX($F$6:$F$2005,MATCH($Q587,WageIds,0)),""))</f>
        <v/>
      </c>
      <c r="T587">
        <f>IF(OR($P587="",$S587="",$S587="نامعتبر"),"",LEFT($S587,4)&amp;MID($S587,6,2)&amp;RIGHT($S587,2)&amp;"0000"&amp;"|"&amp;"2"&amp;RIGHT("00000"&amp;582,5))</f>
        <v/>
      </c>
      <c r="U587">
        <f>IF($T587="","",COUNTIFS(LdAParty,$P587,LdAType,1,LdAKey,"&lt;"&amp;$T587)+COUNTIFS(LdBMember,$P587,LdBKey,"&lt;"&amp;$T587)+COUNTIFS(LdCParty,$P587,LdCKey,"&lt;"&amp;$T587)+1)</f>
        <v/>
      </c>
      <c r="V587">
        <f>IF($U587="","",$P587&amp;"|"&amp;RIGHT("000000"&amp;$U587,6))</f>
        <v/>
      </c>
      <c r="W587">
        <f>IF($T587="","",COUNTIFS(LdBGroup,$R587,LdBKey,"&lt;"&amp;$T587)+1)</f>
        <v/>
      </c>
      <c r="X587">
        <f>IF($W587="","",$R587&amp;"|"&amp;RIGHT("000000"&amp;$W587,6))</f>
        <v/>
      </c>
      <c r="Y587">
        <f>IF($P587="","",IF(Shares!$E590="",0,Shares!$E590))</f>
        <v/>
      </c>
      <c r="Z587">
        <f>IF($P587="","",Shares!$H590)</f>
        <v/>
      </c>
      <c r="AE587">
        <f>IF(OR(Sync!$S587="",Sync!$P587=""),"",Sync!$S587)</f>
        <v/>
      </c>
      <c r="AF587">
        <f>IF($AE587="","",IF(ISNUMBER(Sync!$P587),IF(AND(Sync!$P587&gt;=10000101,Sync!$P587&lt;=99991231),INT(Sync!$P587/10000),""),IFERROR(VALUE(TRIM(LEFT(Sync!$P587,FIND("/",Sync!$P587)-1))),"")))</f>
        <v/>
      </c>
      <c r="AG587">
        <f>IF(OR($AE587="",$AF587=""),"",IF(ISNUMBER(Sync!$P587),INT(MOD(Sync!$P587,10000)/100),IFERROR(VALUE(TRIM(LEFT(MID(Sync!$P587,FIND("/",Sync!$P587)+1,20),FIND("/",MID(Sync!$P587,FIND("/",Sync!$P587)+1,20))-1))),"")))</f>
        <v/>
      </c>
      <c r="AH587">
        <f>IF(OR($AE587="",$AF587=""),"",IF(ISNUMBER(Sync!$P587),MOD(Sync!$P587,100),IFERROR(VALUE(TRIM(MID(MID(Sync!$P587,FIND("/",Sync!$P587)+1,20),FIND("/",MID(Sync!$P587,FIND("/",Sync!$P587)+1,20))+1,20))),"")))</f>
        <v/>
      </c>
      <c r="AI587">
        <f>IF($AE587="","",IF(OR($AF587="",$AG587="",$AH587="",$AF587&lt;1300,$AF587&gt;1500,$AG587&lt;1,$AG587&gt;12,$AH587&lt;1,$AH587&gt;31),"نامعتبر",RIGHT("0000"&amp;$AF587,4)&amp;"/"&amp;RIGHT("00"&amp;$AG587,2)&amp;"/"&amp;RIGHT("00"&amp;$AH587,2)))</f>
        <v/>
      </c>
      <c r="AJ587">
        <f>IF($AE587="","",IF(Sync!$Q587="","0000",IF(AND(ISNUMBER(Sync!$Q587),Sync!$Q587&gt;=0,Sync!$Q587&lt;1),RIGHT("00"&amp;HOUR(Sync!$Q587),2)&amp;RIGHT("00"&amp;MINUTE(Sync!$Q587),2),IFERROR(RIGHT("00"&amp;VALUE(LEFT(Sync!$Q587,FIND(":",Sync!$Q587)-1)),2)&amp;RIGHT("00"&amp;VALUE(MID(Sync!$Q587,FIND(":",Sync!$Q587)+1,2)),2),"0000"))))</f>
        <v/>
      </c>
      <c r="AK587">
        <f>IF(OR($AE587="",$AI587="",$AI587="نامعتبر"),"",LEFT($AI587,4)&amp;MID($AI587,6,2)&amp;RIGHT($AI587,2)&amp;$AJ587&amp;"|"&amp;"3"&amp;RIGHT("00000"&amp;582,5))</f>
        <v/>
      </c>
      <c r="AL587">
        <f>IF($AK587="","",COUNTIFS(LdAParty,$AE587,LdAType,1,LdAKey,"&lt;"&amp;$AK587)+COUNTIFS(LdBMember,$AE587,LdBKey,"&lt;"&amp;$AK587)+COUNTIFS(LdCParty,$AE587,LdCKey,"&lt;"&amp;$AK587)+1)</f>
        <v/>
      </c>
      <c r="AM587">
        <f>IF($AL587="","",$AE587&amp;"|"&amp;RIGHT("000000"&amp;$AL587,6))</f>
        <v/>
      </c>
      <c r="AN587">
        <f>IF($AE587="","",IF(Sync!$W587="",0,Sync!$W587))</f>
        <v/>
      </c>
      <c r="AO587">
        <f>IF($AE587="","",IF(Sync!$X587="",0,Sync!$X587))</f>
        <v/>
      </c>
      <c r="AP587">
        <f>IF($AE587="","",Sync!$R587)</f>
        <v/>
      </c>
      <c r="AQ587">
        <f>IF($AE587="","",Sync!$Y587)</f>
        <v/>
      </c>
    </row>
    <row r="588">
      <c r="A588">
        <f>IF(OR(Wages!$B591="",Wages!$E591=""),"",Wages!$E591)</f>
        <v/>
      </c>
      <c r="B588">
        <f>IF($A588="","",IF(Wages!$C591="دستمزد گروهی",2,1))</f>
        <v/>
      </c>
      <c r="C588">
        <f>IF($A588="","",IF(ISNUMBER(Wages!$B591),IF(AND(Wages!$B591&gt;=10000101,Wages!$B591&lt;=99991231),INT(Wages!$B591/10000),""),IFERROR(VALUE(TRIM(LEFT(Wages!$B591,FIND("/",Wages!$B591)-1))),"")))</f>
        <v/>
      </c>
      <c r="D588">
        <f>IF(OR($A588="",$C588=""),"",IF(ISNUMBER(Wages!$B591),INT(MOD(Wages!$B591,10000)/100),IFERROR(VALUE(TRIM(LEFT(MID(Wages!$B591,FIND("/",Wages!$B591)+1,20),FIND("/",MID(Wages!$B591,FIND("/",Wages!$B591)+1,20))-1))),"")))</f>
        <v/>
      </c>
      <c r="E588">
        <f>IF(OR($A588="",$C588=""),"",IF(ISNUMBER(Wages!$B591),MOD(Wages!$B591,100),IFERROR(VALUE(TRIM(MID(MID(Wages!$B591,FIND("/",Wages!$B591)+1,20),FIND("/",MID(Wages!$B591,FIND("/",Wages!$B591)+1,20))+1,20))),"")))</f>
        <v/>
      </c>
      <c r="F588">
        <f>IF($A588="","",IF(OR($C588="",$D588="",$E588="",$C588&lt;1300,$C588&gt;1500,$D588&lt;1,$D588&gt;12,$E588&lt;1,$E588&gt;31),"نامعتبر",RIGHT("0000"&amp;$C588,4)&amp;"/"&amp;RIGHT("00"&amp;$D588,2)&amp;"/"&amp;RIGHT("00"&amp;$E588,2)))</f>
        <v/>
      </c>
      <c r="G588">
        <f>IF(OR($A588="",$F588="",$F588="نامعتبر"),"",LEFT($F588,4)&amp;MID($F588,6,2)&amp;RIGHT($F588,2)&amp;"0000"&amp;"|"&amp;"1"&amp;RIGHT("00000"&amp;583,5))</f>
        <v/>
      </c>
      <c r="H588">
        <f>IF(OR($B588&lt;&gt;1,$G588=""),"",COUNTIFS(LdAParty,$A588,LdAType,1,LdAKey,"&lt;"&amp;$G588)+COUNTIFS(LdBMember,$A588,LdBKey,"&lt;"&amp;$G588)+COUNTIFS(LdCParty,$A588,LdCKey,"&lt;"&amp;$G588)+1)</f>
        <v/>
      </c>
      <c r="I588">
        <f>IF($H588="","",$A588&amp;"|"&amp;RIGHT("000000"&amp;$H588,6))</f>
        <v/>
      </c>
      <c r="J588">
        <f>IF(OR($B588&lt;&gt;2,$G588=""),"",COUNTIFS(LdAParty,$A588,LdAType,2,LdAKey,"&lt;"&amp;$G588)+1)</f>
        <v/>
      </c>
      <c r="K588">
        <f>IF($J588="","",$A588&amp;"|"&amp;RIGHT("000000"&amp;$J588,6))</f>
        <v/>
      </c>
      <c r="L588">
        <f>IF($A588="","",IF(Wages!$G591="",0,Wages!$G591))</f>
        <v/>
      </c>
      <c r="M588">
        <f>IF($A588="","",Wages!$J591)</f>
        <v/>
      </c>
      <c r="N588">
        <f>IF($A588="","",Wages!$D591)</f>
        <v/>
      </c>
      <c r="P588">
        <f>IF(OR(Shares!$B591="",Shares!$C591=""),"",Shares!$C591)</f>
        <v/>
      </c>
      <c r="Q588">
        <f>IF($P588="","",Shares!$B591)</f>
        <v/>
      </c>
      <c r="R588">
        <f>IF($P588="","",IFERROR(INDEX(WageParty,MATCH($Q588,WageIds,0)),""))</f>
        <v/>
      </c>
      <c r="S588">
        <f>IF($P588="","",IFERROR(INDEX($F$6:$F$2005,MATCH($Q588,WageIds,0)),""))</f>
        <v/>
      </c>
      <c r="T588">
        <f>IF(OR($P588="",$S588="",$S588="نامعتبر"),"",LEFT($S588,4)&amp;MID($S588,6,2)&amp;RIGHT($S588,2)&amp;"0000"&amp;"|"&amp;"2"&amp;RIGHT("00000"&amp;583,5))</f>
        <v/>
      </c>
      <c r="U588">
        <f>IF($T588="","",COUNTIFS(LdAParty,$P588,LdAType,1,LdAKey,"&lt;"&amp;$T588)+COUNTIFS(LdBMember,$P588,LdBKey,"&lt;"&amp;$T588)+COUNTIFS(LdCParty,$P588,LdCKey,"&lt;"&amp;$T588)+1)</f>
        <v/>
      </c>
      <c r="V588">
        <f>IF($U588="","",$P588&amp;"|"&amp;RIGHT("000000"&amp;$U588,6))</f>
        <v/>
      </c>
      <c r="W588">
        <f>IF($T588="","",COUNTIFS(LdBGroup,$R588,LdBKey,"&lt;"&amp;$T588)+1)</f>
        <v/>
      </c>
      <c r="X588">
        <f>IF($W588="","",$R588&amp;"|"&amp;RIGHT("000000"&amp;$W588,6))</f>
        <v/>
      </c>
      <c r="Y588">
        <f>IF($P588="","",IF(Shares!$E591="",0,Shares!$E591))</f>
        <v/>
      </c>
      <c r="Z588">
        <f>IF($P588="","",Shares!$H591)</f>
        <v/>
      </c>
      <c r="AE588">
        <f>IF(OR(Sync!$S588="",Sync!$P588=""),"",Sync!$S588)</f>
        <v/>
      </c>
      <c r="AF588">
        <f>IF($AE588="","",IF(ISNUMBER(Sync!$P588),IF(AND(Sync!$P588&gt;=10000101,Sync!$P588&lt;=99991231),INT(Sync!$P588/10000),""),IFERROR(VALUE(TRIM(LEFT(Sync!$P588,FIND("/",Sync!$P588)-1))),"")))</f>
        <v/>
      </c>
      <c r="AG588">
        <f>IF(OR($AE588="",$AF588=""),"",IF(ISNUMBER(Sync!$P588),INT(MOD(Sync!$P588,10000)/100),IFERROR(VALUE(TRIM(LEFT(MID(Sync!$P588,FIND("/",Sync!$P588)+1,20),FIND("/",MID(Sync!$P588,FIND("/",Sync!$P588)+1,20))-1))),"")))</f>
        <v/>
      </c>
      <c r="AH588">
        <f>IF(OR($AE588="",$AF588=""),"",IF(ISNUMBER(Sync!$P588),MOD(Sync!$P588,100),IFERROR(VALUE(TRIM(MID(MID(Sync!$P588,FIND("/",Sync!$P588)+1,20),FIND("/",MID(Sync!$P588,FIND("/",Sync!$P588)+1,20))+1,20))),"")))</f>
        <v/>
      </c>
      <c r="AI588">
        <f>IF($AE588="","",IF(OR($AF588="",$AG588="",$AH588="",$AF588&lt;1300,$AF588&gt;1500,$AG588&lt;1,$AG588&gt;12,$AH588&lt;1,$AH588&gt;31),"نامعتبر",RIGHT("0000"&amp;$AF588,4)&amp;"/"&amp;RIGHT("00"&amp;$AG588,2)&amp;"/"&amp;RIGHT("00"&amp;$AH588,2)))</f>
        <v/>
      </c>
      <c r="AJ588">
        <f>IF($AE588="","",IF(Sync!$Q588="","0000",IF(AND(ISNUMBER(Sync!$Q588),Sync!$Q588&gt;=0,Sync!$Q588&lt;1),RIGHT("00"&amp;HOUR(Sync!$Q588),2)&amp;RIGHT("00"&amp;MINUTE(Sync!$Q588),2),IFERROR(RIGHT("00"&amp;VALUE(LEFT(Sync!$Q588,FIND(":",Sync!$Q588)-1)),2)&amp;RIGHT("00"&amp;VALUE(MID(Sync!$Q588,FIND(":",Sync!$Q588)+1,2)),2),"0000"))))</f>
        <v/>
      </c>
      <c r="AK588">
        <f>IF(OR($AE588="",$AI588="",$AI588="نامعتبر"),"",LEFT($AI588,4)&amp;MID($AI588,6,2)&amp;RIGHT($AI588,2)&amp;$AJ588&amp;"|"&amp;"3"&amp;RIGHT("00000"&amp;583,5))</f>
        <v/>
      </c>
      <c r="AL588">
        <f>IF($AK588="","",COUNTIFS(LdAParty,$AE588,LdAType,1,LdAKey,"&lt;"&amp;$AK588)+COUNTIFS(LdBMember,$AE588,LdBKey,"&lt;"&amp;$AK588)+COUNTIFS(LdCParty,$AE588,LdCKey,"&lt;"&amp;$AK588)+1)</f>
        <v/>
      </c>
      <c r="AM588">
        <f>IF($AL588="","",$AE588&amp;"|"&amp;RIGHT("000000"&amp;$AL588,6))</f>
        <v/>
      </c>
      <c r="AN588">
        <f>IF($AE588="","",IF(Sync!$W588="",0,Sync!$W588))</f>
        <v/>
      </c>
      <c r="AO588">
        <f>IF($AE588="","",IF(Sync!$X588="",0,Sync!$X588))</f>
        <v/>
      </c>
      <c r="AP588">
        <f>IF($AE588="","",Sync!$R588)</f>
        <v/>
      </c>
      <c r="AQ588">
        <f>IF($AE588="","",Sync!$Y588)</f>
        <v/>
      </c>
    </row>
    <row r="589">
      <c r="A589">
        <f>IF(OR(Wages!$B592="",Wages!$E592=""),"",Wages!$E592)</f>
        <v/>
      </c>
      <c r="B589">
        <f>IF($A589="","",IF(Wages!$C592="دستمزد گروهی",2,1))</f>
        <v/>
      </c>
      <c r="C589">
        <f>IF($A589="","",IF(ISNUMBER(Wages!$B592),IF(AND(Wages!$B592&gt;=10000101,Wages!$B592&lt;=99991231),INT(Wages!$B592/10000),""),IFERROR(VALUE(TRIM(LEFT(Wages!$B592,FIND("/",Wages!$B592)-1))),"")))</f>
        <v/>
      </c>
      <c r="D589">
        <f>IF(OR($A589="",$C589=""),"",IF(ISNUMBER(Wages!$B592),INT(MOD(Wages!$B592,10000)/100),IFERROR(VALUE(TRIM(LEFT(MID(Wages!$B592,FIND("/",Wages!$B592)+1,20),FIND("/",MID(Wages!$B592,FIND("/",Wages!$B592)+1,20))-1))),"")))</f>
        <v/>
      </c>
      <c r="E589">
        <f>IF(OR($A589="",$C589=""),"",IF(ISNUMBER(Wages!$B592),MOD(Wages!$B592,100),IFERROR(VALUE(TRIM(MID(MID(Wages!$B592,FIND("/",Wages!$B592)+1,20),FIND("/",MID(Wages!$B592,FIND("/",Wages!$B592)+1,20))+1,20))),"")))</f>
        <v/>
      </c>
      <c r="F589">
        <f>IF($A589="","",IF(OR($C589="",$D589="",$E589="",$C589&lt;1300,$C589&gt;1500,$D589&lt;1,$D589&gt;12,$E589&lt;1,$E589&gt;31),"نامعتبر",RIGHT("0000"&amp;$C589,4)&amp;"/"&amp;RIGHT("00"&amp;$D589,2)&amp;"/"&amp;RIGHT("00"&amp;$E589,2)))</f>
        <v/>
      </c>
      <c r="G589">
        <f>IF(OR($A589="",$F589="",$F589="نامعتبر"),"",LEFT($F589,4)&amp;MID($F589,6,2)&amp;RIGHT($F589,2)&amp;"0000"&amp;"|"&amp;"1"&amp;RIGHT("00000"&amp;584,5))</f>
        <v/>
      </c>
      <c r="H589">
        <f>IF(OR($B589&lt;&gt;1,$G589=""),"",COUNTIFS(LdAParty,$A589,LdAType,1,LdAKey,"&lt;"&amp;$G589)+COUNTIFS(LdBMember,$A589,LdBKey,"&lt;"&amp;$G589)+COUNTIFS(LdCParty,$A589,LdCKey,"&lt;"&amp;$G589)+1)</f>
        <v/>
      </c>
      <c r="I589">
        <f>IF($H589="","",$A589&amp;"|"&amp;RIGHT("000000"&amp;$H589,6))</f>
        <v/>
      </c>
      <c r="J589">
        <f>IF(OR($B589&lt;&gt;2,$G589=""),"",COUNTIFS(LdAParty,$A589,LdAType,2,LdAKey,"&lt;"&amp;$G589)+1)</f>
        <v/>
      </c>
      <c r="K589">
        <f>IF($J589="","",$A589&amp;"|"&amp;RIGHT("000000"&amp;$J589,6))</f>
        <v/>
      </c>
      <c r="L589">
        <f>IF($A589="","",IF(Wages!$G592="",0,Wages!$G592))</f>
        <v/>
      </c>
      <c r="M589">
        <f>IF($A589="","",Wages!$J592)</f>
        <v/>
      </c>
      <c r="N589">
        <f>IF($A589="","",Wages!$D592)</f>
        <v/>
      </c>
      <c r="P589">
        <f>IF(OR(Shares!$B592="",Shares!$C592=""),"",Shares!$C592)</f>
        <v/>
      </c>
      <c r="Q589">
        <f>IF($P589="","",Shares!$B592)</f>
        <v/>
      </c>
      <c r="R589">
        <f>IF($P589="","",IFERROR(INDEX(WageParty,MATCH($Q589,WageIds,0)),""))</f>
        <v/>
      </c>
      <c r="S589">
        <f>IF($P589="","",IFERROR(INDEX($F$6:$F$2005,MATCH($Q589,WageIds,0)),""))</f>
        <v/>
      </c>
      <c r="T589">
        <f>IF(OR($P589="",$S589="",$S589="نامعتبر"),"",LEFT($S589,4)&amp;MID($S589,6,2)&amp;RIGHT($S589,2)&amp;"0000"&amp;"|"&amp;"2"&amp;RIGHT("00000"&amp;584,5))</f>
        <v/>
      </c>
      <c r="U589">
        <f>IF($T589="","",COUNTIFS(LdAParty,$P589,LdAType,1,LdAKey,"&lt;"&amp;$T589)+COUNTIFS(LdBMember,$P589,LdBKey,"&lt;"&amp;$T589)+COUNTIFS(LdCParty,$P589,LdCKey,"&lt;"&amp;$T589)+1)</f>
        <v/>
      </c>
      <c r="V589">
        <f>IF($U589="","",$P589&amp;"|"&amp;RIGHT("000000"&amp;$U589,6))</f>
        <v/>
      </c>
      <c r="W589">
        <f>IF($T589="","",COUNTIFS(LdBGroup,$R589,LdBKey,"&lt;"&amp;$T589)+1)</f>
        <v/>
      </c>
      <c r="X589">
        <f>IF($W589="","",$R589&amp;"|"&amp;RIGHT("000000"&amp;$W589,6))</f>
        <v/>
      </c>
      <c r="Y589">
        <f>IF($P589="","",IF(Shares!$E592="",0,Shares!$E592))</f>
        <v/>
      </c>
      <c r="Z589">
        <f>IF($P589="","",Shares!$H592)</f>
        <v/>
      </c>
      <c r="AE589">
        <f>IF(OR(Sync!$S589="",Sync!$P589=""),"",Sync!$S589)</f>
        <v/>
      </c>
      <c r="AF589">
        <f>IF($AE589="","",IF(ISNUMBER(Sync!$P589),IF(AND(Sync!$P589&gt;=10000101,Sync!$P589&lt;=99991231),INT(Sync!$P589/10000),""),IFERROR(VALUE(TRIM(LEFT(Sync!$P589,FIND("/",Sync!$P589)-1))),"")))</f>
        <v/>
      </c>
      <c r="AG589">
        <f>IF(OR($AE589="",$AF589=""),"",IF(ISNUMBER(Sync!$P589),INT(MOD(Sync!$P589,10000)/100),IFERROR(VALUE(TRIM(LEFT(MID(Sync!$P589,FIND("/",Sync!$P589)+1,20),FIND("/",MID(Sync!$P589,FIND("/",Sync!$P589)+1,20))-1))),"")))</f>
        <v/>
      </c>
      <c r="AH589">
        <f>IF(OR($AE589="",$AF589=""),"",IF(ISNUMBER(Sync!$P589),MOD(Sync!$P589,100),IFERROR(VALUE(TRIM(MID(MID(Sync!$P589,FIND("/",Sync!$P589)+1,20),FIND("/",MID(Sync!$P589,FIND("/",Sync!$P589)+1,20))+1,20))),"")))</f>
        <v/>
      </c>
      <c r="AI589">
        <f>IF($AE589="","",IF(OR($AF589="",$AG589="",$AH589="",$AF589&lt;1300,$AF589&gt;1500,$AG589&lt;1,$AG589&gt;12,$AH589&lt;1,$AH589&gt;31),"نامعتبر",RIGHT("0000"&amp;$AF589,4)&amp;"/"&amp;RIGHT("00"&amp;$AG589,2)&amp;"/"&amp;RIGHT("00"&amp;$AH589,2)))</f>
        <v/>
      </c>
      <c r="AJ589">
        <f>IF($AE589="","",IF(Sync!$Q589="","0000",IF(AND(ISNUMBER(Sync!$Q589),Sync!$Q589&gt;=0,Sync!$Q589&lt;1),RIGHT("00"&amp;HOUR(Sync!$Q589),2)&amp;RIGHT("00"&amp;MINUTE(Sync!$Q589),2),IFERROR(RIGHT("00"&amp;VALUE(LEFT(Sync!$Q589,FIND(":",Sync!$Q589)-1)),2)&amp;RIGHT("00"&amp;VALUE(MID(Sync!$Q589,FIND(":",Sync!$Q589)+1,2)),2),"0000"))))</f>
        <v/>
      </c>
      <c r="AK589">
        <f>IF(OR($AE589="",$AI589="",$AI589="نامعتبر"),"",LEFT($AI589,4)&amp;MID($AI589,6,2)&amp;RIGHT($AI589,2)&amp;$AJ589&amp;"|"&amp;"3"&amp;RIGHT("00000"&amp;584,5))</f>
        <v/>
      </c>
      <c r="AL589">
        <f>IF($AK589="","",COUNTIFS(LdAParty,$AE589,LdAType,1,LdAKey,"&lt;"&amp;$AK589)+COUNTIFS(LdBMember,$AE589,LdBKey,"&lt;"&amp;$AK589)+COUNTIFS(LdCParty,$AE589,LdCKey,"&lt;"&amp;$AK589)+1)</f>
        <v/>
      </c>
      <c r="AM589">
        <f>IF($AL589="","",$AE589&amp;"|"&amp;RIGHT("000000"&amp;$AL589,6))</f>
        <v/>
      </c>
      <c r="AN589">
        <f>IF($AE589="","",IF(Sync!$W589="",0,Sync!$W589))</f>
        <v/>
      </c>
      <c r="AO589">
        <f>IF($AE589="","",IF(Sync!$X589="",0,Sync!$X589))</f>
        <v/>
      </c>
      <c r="AP589">
        <f>IF($AE589="","",Sync!$R589)</f>
        <v/>
      </c>
      <c r="AQ589">
        <f>IF($AE589="","",Sync!$Y589)</f>
        <v/>
      </c>
    </row>
    <row r="590">
      <c r="A590">
        <f>IF(OR(Wages!$B593="",Wages!$E593=""),"",Wages!$E593)</f>
        <v/>
      </c>
      <c r="B590">
        <f>IF($A590="","",IF(Wages!$C593="دستمزد گروهی",2,1))</f>
        <v/>
      </c>
      <c r="C590">
        <f>IF($A590="","",IF(ISNUMBER(Wages!$B593),IF(AND(Wages!$B593&gt;=10000101,Wages!$B593&lt;=99991231),INT(Wages!$B593/10000),""),IFERROR(VALUE(TRIM(LEFT(Wages!$B593,FIND("/",Wages!$B593)-1))),"")))</f>
        <v/>
      </c>
      <c r="D590">
        <f>IF(OR($A590="",$C590=""),"",IF(ISNUMBER(Wages!$B593),INT(MOD(Wages!$B593,10000)/100),IFERROR(VALUE(TRIM(LEFT(MID(Wages!$B593,FIND("/",Wages!$B593)+1,20),FIND("/",MID(Wages!$B593,FIND("/",Wages!$B593)+1,20))-1))),"")))</f>
        <v/>
      </c>
      <c r="E590">
        <f>IF(OR($A590="",$C590=""),"",IF(ISNUMBER(Wages!$B593),MOD(Wages!$B593,100),IFERROR(VALUE(TRIM(MID(MID(Wages!$B593,FIND("/",Wages!$B593)+1,20),FIND("/",MID(Wages!$B593,FIND("/",Wages!$B593)+1,20))+1,20))),"")))</f>
        <v/>
      </c>
      <c r="F590">
        <f>IF($A590="","",IF(OR($C590="",$D590="",$E590="",$C590&lt;1300,$C590&gt;1500,$D590&lt;1,$D590&gt;12,$E590&lt;1,$E590&gt;31),"نامعتبر",RIGHT("0000"&amp;$C590,4)&amp;"/"&amp;RIGHT("00"&amp;$D590,2)&amp;"/"&amp;RIGHT("00"&amp;$E590,2)))</f>
        <v/>
      </c>
      <c r="G590">
        <f>IF(OR($A590="",$F590="",$F590="نامعتبر"),"",LEFT($F590,4)&amp;MID($F590,6,2)&amp;RIGHT($F590,2)&amp;"0000"&amp;"|"&amp;"1"&amp;RIGHT("00000"&amp;585,5))</f>
        <v/>
      </c>
      <c r="H590">
        <f>IF(OR($B590&lt;&gt;1,$G590=""),"",COUNTIFS(LdAParty,$A590,LdAType,1,LdAKey,"&lt;"&amp;$G590)+COUNTIFS(LdBMember,$A590,LdBKey,"&lt;"&amp;$G590)+COUNTIFS(LdCParty,$A590,LdCKey,"&lt;"&amp;$G590)+1)</f>
        <v/>
      </c>
      <c r="I590">
        <f>IF($H590="","",$A590&amp;"|"&amp;RIGHT("000000"&amp;$H590,6))</f>
        <v/>
      </c>
      <c r="J590">
        <f>IF(OR($B590&lt;&gt;2,$G590=""),"",COUNTIFS(LdAParty,$A590,LdAType,2,LdAKey,"&lt;"&amp;$G590)+1)</f>
        <v/>
      </c>
      <c r="K590">
        <f>IF($J590="","",$A590&amp;"|"&amp;RIGHT("000000"&amp;$J590,6))</f>
        <v/>
      </c>
      <c r="L590">
        <f>IF($A590="","",IF(Wages!$G593="",0,Wages!$G593))</f>
        <v/>
      </c>
      <c r="M590">
        <f>IF($A590="","",Wages!$J593)</f>
        <v/>
      </c>
      <c r="N590">
        <f>IF($A590="","",Wages!$D593)</f>
        <v/>
      </c>
      <c r="P590">
        <f>IF(OR(Shares!$B593="",Shares!$C593=""),"",Shares!$C593)</f>
        <v/>
      </c>
      <c r="Q590">
        <f>IF($P590="","",Shares!$B593)</f>
        <v/>
      </c>
      <c r="R590">
        <f>IF($P590="","",IFERROR(INDEX(WageParty,MATCH($Q590,WageIds,0)),""))</f>
        <v/>
      </c>
      <c r="S590">
        <f>IF($P590="","",IFERROR(INDEX($F$6:$F$2005,MATCH($Q590,WageIds,0)),""))</f>
        <v/>
      </c>
      <c r="T590">
        <f>IF(OR($P590="",$S590="",$S590="نامعتبر"),"",LEFT($S590,4)&amp;MID($S590,6,2)&amp;RIGHT($S590,2)&amp;"0000"&amp;"|"&amp;"2"&amp;RIGHT("00000"&amp;585,5))</f>
        <v/>
      </c>
      <c r="U590">
        <f>IF($T590="","",COUNTIFS(LdAParty,$P590,LdAType,1,LdAKey,"&lt;"&amp;$T590)+COUNTIFS(LdBMember,$P590,LdBKey,"&lt;"&amp;$T590)+COUNTIFS(LdCParty,$P590,LdCKey,"&lt;"&amp;$T590)+1)</f>
        <v/>
      </c>
      <c r="V590">
        <f>IF($U590="","",$P590&amp;"|"&amp;RIGHT("000000"&amp;$U590,6))</f>
        <v/>
      </c>
      <c r="W590">
        <f>IF($T590="","",COUNTIFS(LdBGroup,$R590,LdBKey,"&lt;"&amp;$T590)+1)</f>
        <v/>
      </c>
      <c r="X590">
        <f>IF($W590="","",$R590&amp;"|"&amp;RIGHT("000000"&amp;$W590,6))</f>
        <v/>
      </c>
      <c r="Y590">
        <f>IF($P590="","",IF(Shares!$E593="",0,Shares!$E593))</f>
        <v/>
      </c>
      <c r="Z590">
        <f>IF($P590="","",Shares!$H593)</f>
        <v/>
      </c>
      <c r="AE590">
        <f>IF(OR(Sync!$S590="",Sync!$P590=""),"",Sync!$S590)</f>
        <v/>
      </c>
      <c r="AF590">
        <f>IF($AE590="","",IF(ISNUMBER(Sync!$P590),IF(AND(Sync!$P590&gt;=10000101,Sync!$P590&lt;=99991231),INT(Sync!$P590/10000),""),IFERROR(VALUE(TRIM(LEFT(Sync!$P590,FIND("/",Sync!$P590)-1))),"")))</f>
        <v/>
      </c>
      <c r="AG590">
        <f>IF(OR($AE590="",$AF590=""),"",IF(ISNUMBER(Sync!$P590),INT(MOD(Sync!$P590,10000)/100),IFERROR(VALUE(TRIM(LEFT(MID(Sync!$P590,FIND("/",Sync!$P590)+1,20),FIND("/",MID(Sync!$P590,FIND("/",Sync!$P590)+1,20))-1))),"")))</f>
        <v/>
      </c>
      <c r="AH590">
        <f>IF(OR($AE590="",$AF590=""),"",IF(ISNUMBER(Sync!$P590),MOD(Sync!$P590,100),IFERROR(VALUE(TRIM(MID(MID(Sync!$P590,FIND("/",Sync!$P590)+1,20),FIND("/",MID(Sync!$P590,FIND("/",Sync!$P590)+1,20))+1,20))),"")))</f>
        <v/>
      </c>
      <c r="AI590">
        <f>IF($AE590="","",IF(OR($AF590="",$AG590="",$AH590="",$AF590&lt;1300,$AF590&gt;1500,$AG590&lt;1,$AG590&gt;12,$AH590&lt;1,$AH590&gt;31),"نامعتبر",RIGHT("0000"&amp;$AF590,4)&amp;"/"&amp;RIGHT("00"&amp;$AG590,2)&amp;"/"&amp;RIGHT("00"&amp;$AH590,2)))</f>
        <v/>
      </c>
      <c r="AJ590">
        <f>IF($AE590="","",IF(Sync!$Q590="","0000",IF(AND(ISNUMBER(Sync!$Q590),Sync!$Q590&gt;=0,Sync!$Q590&lt;1),RIGHT("00"&amp;HOUR(Sync!$Q590),2)&amp;RIGHT("00"&amp;MINUTE(Sync!$Q590),2),IFERROR(RIGHT("00"&amp;VALUE(LEFT(Sync!$Q590,FIND(":",Sync!$Q590)-1)),2)&amp;RIGHT("00"&amp;VALUE(MID(Sync!$Q590,FIND(":",Sync!$Q590)+1,2)),2),"0000"))))</f>
        <v/>
      </c>
      <c r="AK590">
        <f>IF(OR($AE590="",$AI590="",$AI590="نامعتبر"),"",LEFT($AI590,4)&amp;MID($AI590,6,2)&amp;RIGHT($AI590,2)&amp;$AJ590&amp;"|"&amp;"3"&amp;RIGHT("00000"&amp;585,5))</f>
        <v/>
      </c>
      <c r="AL590">
        <f>IF($AK590="","",COUNTIFS(LdAParty,$AE590,LdAType,1,LdAKey,"&lt;"&amp;$AK590)+COUNTIFS(LdBMember,$AE590,LdBKey,"&lt;"&amp;$AK590)+COUNTIFS(LdCParty,$AE590,LdCKey,"&lt;"&amp;$AK590)+1)</f>
        <v/>
      </c>
      <c r="AM590">
        <f>IF($AL590="","",$AE590&amp;"|"&amp;RIGHT("000000"&amp;$AL590,6))</f>
        <v/>
      </c>
      <c r="AN590">
        <f>IF($AE590="","",IF(Sync!$W590="",0,Sync!$W590))</f>
        <v/>
      </c>
      <c r="AO590">
        <f>IF($AE590="","",IF(Sync!$X590="",0,Sync!$X590))</f>
        <v/>
      </c>
      <c r="AP590">
        <f>IF($AE590="","",Sync!$R590)</f>
        <v/>
      </c>
      <c r="AQ590">
        <f>IF($AE590="","",Sync!$Y590)</f>
        <v/>
      </c>
    </row>
    <row r="591">
      <c r="A591">
        <f>IF(OR(Wages!$B594="",Wages!$E594=""),"",Wages!$E594)</f>
        <v/>
      </c>
      <c r="B591">
        <f>IF($A591="","",IF(Wages!$C594="دستمزد گروهی",2,1))</f>
        <v/>
      </c>
      <c r="C591">
        <f>IF($A591="","",IF(ISNUMBER(Wages!$B594),IF(AND(Wages!$B594&gt;=10000101,Wages!$B594&lt;=99991231),INT(Wages!$B594/10000),""),IFERROR(VALUE(TRIM(LEFT(Wages!$B594,FIND("/",Wages!$B594)-1))),"")))</f>
        <v/>
      </c>
      <c r="D591">
        <f>IF(OR($A591="",$C591=""),"",IF(ISNUMBER(Wages!$B594),INT(MOD(Wages!$B594,10000)/100),IFERROR(VALUE(TRIM(LEFT(MID(Wages!$B594,FIND("/",Wages!$B594)+1,20),FIND("/",MID(Wages!$B594,FIND("/",Wages!$B594)+1,20))-1))),"")))</f>
        <v/>
      </c>
      <c r="E591">
        <f>IF(OR($A591="",$C591=""),"",IF(ISNUMBER(Wages!$B594),MOD(Wages!$B594,100),IFERROR(VALUE(TRIM(MID(MID(Wages!$B594,FIND("/",Wages!$B594)+1,20),FIND("/",MID(Wages!$B594,FIND("/",Wages!$B594)+1,20))+1,20))),"")))</f>
        <v/>
      </c>
      <c r="F591">
        <f>IF($A591="","",IF(OR($C591="",$D591="",$E591="",$C591&lt;1300,$C591&gt;1500,$D591&lt;1,$D591&gt;12,$E591&lt;1,$E591&gt;31),"نامعتبر",RIGHT("0000"&amp;$C591,4)&amp;"/"&amp;RIGHT("00"&amp;$D591,2)&amp;"/"&amp;RIGHT("00"&amp;$E591,2)))</f>
        <v/>
      </c>
      <c r="G591">
        <f>IF(OR($A591="",$F591="",$F591="نامعتبر"),"",LEFT($F591,4)&amp;MID($F591,6,2)&amp;RIGHT($F591,2)&amp;"0000"&amp;"|"&amp;"1"&amp;RIGHT("00000"&amp;586,5))</f>
        <v/>
      </c>
      <c r="H591">
        <f>IF(OR($B591&lt;&gt;1,$G591=""),"",COUNTIFS(LdAParty,$A591,LdAType,1,LdAKey,"&lt;"&amp;$G591)+COUNTIFS(LdBMember,$A591,LdBKey,"&lt;"&amp;$G591)+COUNTIFS(LdCParty,$A591,LdCKey,"&lt;"&amp;$G591)+1)</f>
        <v/>
      </c>
      <c r="I591">
        <f>IF($H591="","",$A591&amp;"|"&amp;RIGHT("000000"&amp;$H591,6))</f>
        <v/>
      </c>
      <c r="J591">
        <f>IF(OR($B591&lt;&gt;2,$G591=""),"",COUNTIFS(LdAParty,$A591,LdAType,2,LdAKey,"&lt;"&amp;$G591)+1)</f>
        <v/>
      </c>
      <c r="K591">
        <f>IF($J591="","",$A591&amp;"|"&amp;RIGHT("000000"&amp;$J591,6))</f>
        <v/>
      </c>
      <c r="L591">
        <f>IF($A591="","",IF(Wages!$G594="",0,Wages!$G594))</f>
        <v/>
      </c>
      <c r="M591">
        <f>IF($A591="","",Wages!$J594)</f>
        <v/>
      </c>
      <c r="N591">
        <f>IF($A591="","",Wages!$D594)</f>
        <v/>
      </c>
      <c r="P591">
        <f>IF(OR(Shares!$B594="",Shares!$C594=""),"",Shares!$C594)</f>
        <v/>
      </c>
      <c r="Q591">
        <f>IF($P591="","",Shares!$B594)</f>
        <v/>
      </c>
      <c r="R591">
        <f>IF($P591="","",IFERROR(INDEX(WageParty,MATCH($Q591,WageIds,0)),""))</f>
        <v/>
      </c>
      <c r="S591">
        <f>IF($P591="","",IFERROR(INDEX($F$6:$F$2005,MATCH($Q591,WageIds,0)),""))</f>
        <v/>
      </c>
      <c r="T591">
        <f>IF(OR($P591="",$S591="",$S591="نامعتبر"),"",LEFT($S591,4)&amp;MID($S591,6,2)&amp;RIGHT($S591,2)&amp;"0000"&amp;"|"&amp;"2"&amp;RIGHT("00000"&amp;586,5))</f>
        <v/>
      </c>
      <c r="U591">
        <f>IF($T591="","",COUNTIFS(LdAParty,$P591,LdAType,1,LdAKey,"&lt;"&amp;$T591)+COUNTIFS(LdBMember,$P591,LdBKey,"&lt;"&amp;$T591)+COUNTIFS(LdCParty,$P591,LdCKey,"&lt;"&amp;$T591)+1)</f>
        <v/>
      </c>
      <c r="V591">
        <f>IF($U591="","",$P591&amp;"|"&amp;RIGHT("000000"&amp;$U591,6))</f>
        <v/>
      </c>
      <c r="W591">
        <f>IF($T591="","",COUNTIFS(LdBGroup,$R591,LdBKey,"&lt;"&amp;$T591)+1)</f>
        <v/>
      </c>
      <c r="X591">
        <f>IF($W591="","",$R591&amp;"|"&amp;RIGHT("000000"&amp;$W591,6))</f>
        <v/>
      </c>
      <c r="Y591">
        <f>IF($P591="","",IF(Shares!$E594="",0,Shares!$E594))</f>
        <v/>
      </c>
      <c r="Z591">
        <f>IF($P591="","",Shares!$H594)</f>
        <v/>
      </c>
      <c r="AE591">
        <f>IF(OR(Sync!$S591="",Sync!$P591=""),"",Sync!$S591)</f>
        <v/>
      </c>
      <c r="AF591">
        <f>IF($AE591="","",IF(ISNUMBER(Sync!$P591),IF(AND(Sync!$P591&gt;=10000101,Sync!$P591&lt;=99991231),INT(Sync!$P591/10000),""),IFERROR(VALUE(TRIM(LEFT(Sync!$P591,FIND("/",Sync!$P591)-1))),"")))</f>
        <v/>
      </c>
      <c r="AG591">
        <f>IF(OR($AE591="",$AF591=""),"",IF(ISNUMBER(Sync!$P591),INT(MOD(Sync!$P591,10000)/100),IFERROR(VALUE(TRIM(LEFT(MID(Sync!$P591,FIND("/",Sync!$P591)+1,20),FIND("/",MID(Sync!$P591,FIND("/",Sync!$P591)+1,20))-1))),"")))</f>
        <v/>
      </c>
      <c r="AH591">
        <f>IF(OR($AE591="",$AF591=""),"",IF(ISNUMBER(Sync!$P591),MOD(Sync!$P591,100),IFERROR(VALUE(TRIM(MID(MID(Sync!$P591,FIND("/",Sync!$P591)+1,20),FIND("/",MID(Sync!$P591,FIND("/",Sync!$P591)+1,20))+1,20))),"")))</f>
        <v/>
      </c>
      <c r="AI591">
        <f>IF($AE591="","",IF(OR($AF591="",$AG591="",$AH591="",$AF591&lt;1300,$AF591&gt;1500,$AG591&lt;1,$AG591&gt;12,$AH591&lt;1,$AH591&gt;31),"نامعتبر",RIGHT("0000"&amp;$AF591,4)&amp;"/"&amp;RIGHT("00"&amp;$AG591,2)&amp;"/"&amp;RIGHT("00"&amp;$AH591,2)))</f>
        <v/>
      </c>
      <c r="AJ591">
        <f>IF($AE591="","",IF(Sync!$Q591="","0000",IF(AND(ISNUMBER(Sync!$Q591),Sync!$Q591&gt;=0,Sync!$Q591&lt;1),RIGHT("00"&amp;HOUR(Sync!$Q591),2)&amp;RIGHT("00"&amp;MINUTE(Sync!$Q591),2),IFERROR(RIGHT("00"&amp;VALUE(LEFT(Sync!$Q591,FIND(":",Sync!$Q591)-1)),2)&amp;RIGHT("00"&amp;VALUE(MID(Sync!$Q591,FIND(":",Sync!$Q591)+1,2)),2),"0000"))))</f>
        <v/>
      </c>
      <c r="AK591">
        <f>IF(OR($AE591="",$AI591="",$AI591="نامعتبر"),"",LEFT($AI591,4)&amp;MID($AI591,6,2)&amp;RIGHT($AI591,2)&amp;$AJ591&amp;"|"&amp;"3"&amp;RIGHT("00000"&amp;586,5))</f>
        <v/>
      </c>
      <c r="AL591">
        <f>IF($AK591="","",COUNTIFS(LdAParty,$AE591,LdAType,1,LdAKey,"&lt;"&amp;$AK591)+COUNTIFS(LdBMember,$AE591,LdBKey,"&lt;"&amp;$AK591)+COUNTIFS(LdCParty,$AE591,LdCKey,"&lt;"&amp;$AK591)+1)</f>
        <v/>
      </c>
      <c r="AM591">
        <f>IF($AL591="","",$AE591&amp;"|"&amp;RIGHT("000000"&amp;$AL591,6))</f>
        <v/>
      </c>
      <c r="AN591">
        <f>IF($AE591="","",IF(Sync!$W591="",0,Sync!$W591))</f>
        <v/>
      </c>
      <c r="AO591">
        <f>IF($AE591="","",IF(Sync!$X591="",0,Sync!$X591))</f>
        <v/>
      </c>
      <c r="AP591">
        <f>IF($AE591="","",Sync!$R591)</f>
        <v/>
      </c>
      <c r="AQ591">
        <f>IF($AE591="","",Sync!$Y591)</f>
        <v/>
      </c>
    </row>
    <row r="592">
      <c r="A592">
        <f>IF(OR(Wages!$B595="",Wages!$E595=""),"",Wages!$E595)</f>
        <v/>
      </c>
      <c r="B592">
        <f>IF($A592="","",IF(Wages!$C595="دستمزد گروهی",2,1))</f>
        <v/>
      </c>
      <c r="C592">
        <f>IF($A592="","",IF(ISNUMBER(Wages!$B595),IF(AND(Wages!$B595&gt;=10000101,Wages!$B595&lt;=99991231),INT(Wages!$B595/10000),""),IFERROR(VALUE(TRIM(LEFT(Wages!$B595,FIND("/",Wages!$B595)-1))),"")))</f>
        <v/>
      </c>
      <c r="D592">
        <f>IF(OR($A592="",$C592=""),"",IF(ISNUMBER(Wages!$B595),INT(MOD(Wages!$B595,10000)/100),IFERROR(VALUE(TRIM(LEFT(MID(Wages!$B595,FIND("/",Wages!$B595)+1,20),FIND("/",MID(Wages!$B595,FIND("/",Wages!$B595)+1,20))-1))),"")))</f>
        <v/>
      </c>
      <c r="E592">
        <f>IF(OR($A592="",$C592=""),"",IF(ISNUMBER(Wages!$B595),MOD(Wages!$B595,100),IFERROR(VALUE(TRIM(MID(MID(Wages!$B595,FIND("/",Wages!$B595)+1,20),FIND("/",MID(Wages!$B595,FIND("/",Wages!$B595)+1,20))+1,20))),"")))</f>
        <v/>
      </c>
      <c r="F592">
        <f>IF($A592="","",IF(OR($C592="",$D592="",$E592="",$C592&lt;1300,$C592&gt;1500,$D592&lt;1,$D592&gt;12,$E592&lt;1,$E592&gt;31),"نامعتبر",RIGHT("0000"&amp;$C592,4)&amp;"/"&amp;RIGHT("00"&amp;$D592,2)&amp;"/"&amp;RIGHT("00"&amp;$E592,2)))</f>
        <v/>
      </c>
      <c r="G592">
        <f>IF(OR($A592="",$F592="",$F592="نامعتبر"),"",LEFT($F592,4)&amp;MID($F592,6,2)&amp;RIGHT($F592,2)&amp;"0000"&amp;"|"&amp;"1"&amp;RIGHT("00000"&amp;587,5))</f>
        <v/>
      </c>
      <c r="H592">
        <f>IF(OR($B592&lt;&gt;1,$G592=""),"",COUNTIFS(LdAParty,$A592,LdAType,1,LdAKey,"&lt;"&amp;$G592)+COUNTIFS(LdBMember,$A592,LdBKey,"&lt;"&amp;$G592)+COUNTIFS(LdCParty,$A592,LdCKey,"&lt;"&amp;$G592)+1)</f>
        <v/>
      </c>
      <c r="I592">
        <f>IF($H592="","",$A592&amp;"|"&amp;RIGHT("000000"&amp;$H592,6))</f>
        <v/>
      </c>
      <c r="J592">
        <f>IF(OR($B592&lt;&gt;2,$G592=""),"",COUNTIFS(LdAParty,$A592,LdAType,2,LdAKey,"&lt;"&amp;$G592)+1)</f>
        <v/>
      </c>
      <c r="K592">
        <f>IF($J592="","",$A592&amp;"|"&amp;RIGHT("000000"&amp;$J592,6))</f>
        <v/>
      </c>
      <c r="L592">
        <f>IF($A592="","",IF(Wages!$G595="",0,Wages!$G595))</f>
        <v/>
      </c>
      <c r="M592">
        <f>IF($A592="","",Wages!$J595)</f>
        <v/>
      </c>
      <c r="N592">
        <f>IF($A592="","",Wages!$D595)</f>
        <v/>
      </c>
      <c r="P592">
        <f>IF(OR(Shares!$B595="",Shares!$C595=""),"",Shares!$C595)</f>
        <v/>
      </c>
      <c r="Q592">
        <f>IF($P592="","",Shares!$B595)</f>
        <v/>
      </c>
      <c r="R592">
        <f>IF($P592="","",IFERROR(INDEX(WageParty,MATCH($Q592,WageIds,0)),""))</f>
        <v/>
      </c>
      <c r="S592">
        <f>IF($P592="","",IFERROR(INDEX($F$6:$F$2005,MATCH($Q592,WageIds,0)),""))</f>
        <v/>
      </c>
      <c r="T592">
        <f>IF(OR($P592="",$S592="",$S592="نامعتبر"),"",LEFT($S592,4)&amp;MID($S592,6,2)&amp;RIGHT($S592,2)&amp;"0000"&amp;"|"&amp;"2"&amp;RIGHT("00000"&amp;587,5))</f>
        <v/>
      </c>
      <c r="U592">
        <f>IF($T592="","",COUNTIFS(LdAParty,$P592,LdAType,1,LdAKey,"&lt;"&amp;$T592)+COUNTIFS(LdBMember,$P592,LdBKey,"&lt;"&amp;$T592)+COUNTIFS(LdCParty,$P592,LdCKey,"&lt;"&amp;$T592)+1)</f>
        <v/>
      </c>
      <c r="V592">
        <f>IF($U592="","",$P592&amp;"|"&amp;RIGHT("000000"&amp;$U592,6))</f>
        <v/>
      </c>
      <c r="W592">
        <f>IF($T592="","",COUNTIFS(LdBGroup,$R592,LdBKey,"&lt;"&amp;$T592)+1)</f>
        <v/>
      </c>
      <c r="X592">
        <f>IF($W592="","",$R592&amp;"|"&amp;RIGHT("000000"&amp;$W592,6))</f>
        <v/>
      </c>
      <c r="Y592">
        <f>IF($P592="","",IF(Shares!$E595="",0,Shares!$E595))</f>
        <v/>
      </c>
      <c r="Z592">
        <f>IF($P592="","",Shares!$H595)</f>
        <v/>
      </c>
      <c r="AE592">
        <f>IF(OR(Sync!$S592="",Sync!$P592=""),"",Sync!$S592)</f>
        <v/>
      </c>
      <c r="AF592">
        <f>IF($AE592="","",IF(ISNUMBER(Sync!$P592),IF(AND(Sync!$P592&gt;=10000101,Sync!$P592&lt;=99991231),INT(Sync!$P592/10000),""),IFERROR(VALUE(TRIM(LEFT(Sync!$P592,FIND("/",Sync!$P592)-1))),"")))</f>
        <v/>
      </c>
      <c r="AG592">
        <f>IF(OR($AE592="",$AF592=""),"",IF(ISNUMBER(Sync!$P592),INT(MOD(Sync!$P592,10000)/100),IFERROR(VALUE(TRIM(LEFT(MID(Sync!$P592,FIND("/",Sync!$P592)+1,20),FIND("/",MID(Sync!$P592,FIND("/",Sync!$P592)+1,20))-1))),"")))</f>
        <v/>
      </c>
      <c r="AH592">
        <f>IF(OR($AE592="",$AF592=""),"",IF(ISNUMBER(Sync!$P592),MOD(Sync!$P592,100),IFERROR(VALUE(TRIM(MID(MID(Sync!$P592,FIND("/",Sync!$P592)+1,20),FIND("/",MID(Sync!$P592,FIND("/",Sync!$P592)+1,20))+1,20))),"")))</f>
        <v/>
      </c>
      <c r="AI592">
        <f>IF($AE592="","",IF(OR($AF592="",$AG592="",$AH592="",$AF592&lt;1300,$AF592&gt;1500,$AG592&lt;1,$AG592&gt;12,$AH592&lt;1,$AH592&gt;31),"نامعتبر",RIGHT("0000"&amp;$AF592,4)&amp;"/"&amp;RIGHT("00"&amp;$AG592,2)&amp;"/"&amp;RIGHT("00"&amp;$AH592,2)))</f>
        <v/>
      </c>
      <c r="AJ592">
        <f>IF($AE592="","",IF(Sync!$Q592="","0000",IF(AND(ISNUMBER(Sync!$Q592),Sync!$Q592&gt;=0,Sync!$Q592&lt;1),RIGHT("00"&amp;HOUR(Sync!$Q592),2)&amp;RIGHT("00"&amp;MINUTE(Sync!$Q592),2),IFERROR(RIGHT("00"&amp;VALUE(LEFT(Sync!$Q592,FIND(":",Sync!$Q592)-1)),2)&amp;RIGHT("00"&amp;VALUE(MID(Sync!$Q592,FIND(":",Sync!$Q592)+1,2)),2),"0000"))))</f>
        <v/>
      </c>
      <c r="AK592">
        <f>IF(OR($AE592="",$AI592="",$AI592="نامعتبر"),"",LEFT($AI592,4)&amp;MID($AI592,6,2)&amp;RIGHT($AI592,2)&amp;$AJ592&amp;"|"&amp;"3"&amp;RIGHT("00000"&amp;587,5))</f>
        <v/>
      </c>
      <c r="AL592">
        <f>IF($AK592="","",COUNTIFS(LdAParty,$AE592,LdAType,1,LdAKey,"&lt;"&amp;$AK592)+COUNTIFS(LdBMember,$AE592,LdBKey,"&lt;"&amp;$AK592)+COUNTIFS(LdCParty,$AE592,LdCKey,"&lt;"&amp;$AK592)+1)</f>
        <v/>
      </c>
      <c r="AM592">
        <f>IF($AL592="","",$AE592&amp;"|"&amp;RIGHT("000000"&amp;$AL592,6))</f>
        <v/>
      </c>
      <c r="AN592">
        <f>IF($AE592="","",IF(Sync!$W592="",0,Sync!$W592))</f>
        <v/>
      </c>
      <c r="AO592">
        <f>IF($AE592="","",IF(Sync!$X592="",0,Sync!$X592))</f>
        <v/>
      </c>
      <c r="AP592">
        <f>IF($AE592="","",Sync!$R592)</f>
        <v/>
      </c>
      <c r="AQ592">
        <f>IF($AE592="","",Sync!$Y592)</f>
        <v/>
      </c>
    </row>
    <row r="593">
      <c r="A593">
        <f>IF(OR(Wages!$B596="",Wages!$E596=""),"",Wages!$E596)</f>
        <v/>
      </c>
      <c r="B593">
        <f>IF($A593="","",IF(Wages!$C596="دستمزد گروهی",2,1))</f>
        <v/>
      </c>
      <c r="C593">
        <f>IF($A593="","",IF(ISNUMBER(Wages!$B596),IF(AND(Wages!$B596&gt;=10000101,Wages!$B596&lt;=99991231),INT(Wages!$B596/10000),""),IFERROR(VALUE(TRIM(LEFT(Wages!$B596,FIND("/",Wages!$B596)-1))),"")))</f>
        <v/>
      </c>
      <c r="D593">
        <f>IF(OR($A593="",$C593=""),"",IF(ISNUMBER(Wages!$B596),INT(MOD(Wages!$B596,10000)/100),IFERROR(VALUE(TRIM(LEFT(MID(Wages!$B596,FIND("/",Wages!$B596)+1,20),FIND("/",MID(Wages!$B596,FIND("/",Wages!$B596)+1,20))-1))),"")))</f>
        <v/>
      </c>
      <c r="E593">
        <f>IF(OR($A593="",$C593=""),"",IF(ISNUMBER(Wages!$B596),MOD(Wages!$B596,100),IFERROR(VALUE(TRIM(MID(MID(Wages!$B596,FIND("/",Wages!$B596)+1,20),FIND("/",MID(Wages!$B596,FIND("/",Wages!$B596)+1,20))+1,20))),"")))</f>
        <v/>
      </c>
      <c r="F593">
        <f>IF($A593="","",IF(OR($C593="",$D593="",$E593="",$C593&lt;1300,$C593&gt;1500,$D593&lt;1,$D593&gt;12,$E593&lt;1,$E593&gt;31),"نامعتبر",RIGHT("0000"&amp;$C593,4)&amp;"/"&amp;RIGHT("00"&amp;$D593,2)&amp;"/"&amp;RIGHT("00"&amp;$E593,2)))</f>
        <v/>
      </c>
      <c r="G593">
        <f>IF(OR($A593="",$F593="",$F593="نامعتبر"),"",LEFT($F593,4)&amp;MID($F593,6,2)&amp;RIGHT($F593,2)&amp;"0000"&amp;"|"&amp;"1"&amp;RIGHT("00000"&amp;588,5))</f>
        <v/>
      </c>
      <c r="H593">
        <f>IF(OR($B593&lt;&gt;1,$G593=""),"",COUNTIFS(LdAParty,$A593,LdAType,1,LdAKey,"&lt;"&amp;$G593)+COUNTIFS(LdBMember,$A593,LdBKey,"&lt;"&amp;$G593)+COUNTIFS(LdCParty,$A593,LdCKey,"&lt;"&amp;$G593)+1)</f>
        <v/>
      </c>
      <c r="I593">
        <f>IF($H593="","",$A593&amp;"|"&amp;RIGHT("000000"&amp;$H593,6))</f>
        <v/>
      </c>
      <c r="J593">
        <f>IF(OR($B593&lt;&gt;2,$G593=""),"",COUNTIFS(LdAParty,$A593,LdAType,2,LdAKey,"&lt;"&amp;$G593)+1)</f>
        <v/>
      </c>
      <c r="K593">
        <f>IF($J593="","",$A593&amp;"|"&amp;RIGHT("000000"&amp;$J593,6))</f>
        <v/>
      </c>
      <c r="L593">
        <f>IF($A593="","",IF(Wages!$G596="",0,Wages!$G596))</f>
        <v/>
      </c>
      <c r="M593">
        <f>IF($A593="","",Wages!$J596)</f>
        <v/>
      </c>
      <c r="N593">
        <f>IF($A593="","",Wages!$D596)</f>
        <v/>
      </c>
      <c r="P593">
        <f>IF(OR(Shares!$B596="",Shares!$C596=""),"",Shares!$C596)</f>
        <v/>
      </c>
      <c r="Q593">
        <f>IF($P593="","",Shares!$B596)</f>
        <v/>
      </c>
      <c r="R593">
        <f>IF($P593="","",IFERROR(INDEX(WageParty,MATCH($Q593,WageIds,0)),""))</f>
        <v/>
      </c>
      <c r="S593">
        <f>IF($P593="","",IFERROR(INDEX($F$6:$F$2005,MATCH($Q593,WageIds,0)),""))</f>
        <v/>
      </c>
      <c r="T593">
        <f>IF(OR($P593="",$S593="",$S593="نامعتبر"),"",LEFT($S593,4)&amp;MID($S593,6,2)&amp;RIGHT($S593,2)&amp;"0000"&amp;"|"&amp;"2"&amp;RIGHT("00000"&amp;588,5))</f>
        <v/>
      </c>
      <c r="U593">
        <f>IF($T593="","",COUNTIFS(LdAParty,$P593,LdAType,1,LdAKey,"&lt;"&amp;$T593)+COUNTIFS(LdBMember,$P593,LdBKey,"&lt;"&amp;$T593)+COUNTIFS(LdCParty,$P593,LdCKey,"&lt;"&amp;$T593)+1)</f>
        <v/>
      </c>
      <c r="V593">
        <f>IF($U593="","",$P593&amp;"|"&amp;RIGHT("000000"&amp;$U593,6))</f>
        <v/>
      </c>
      <c r="W593">
        <f>IF($T593="","",COUNTIFS(LdBGroup,$R593,LdBKey,"&lt;"&amp;$T593)+1)</f>
        <v/>
      </c>
      <c r="X593">
        <f>IF($W593="","",$R593&amp;"|"&amp;RIGHT("000000"&amp;$W593,6))</f>
        <v/>
      </c>
      <c r="Y593">
        <f>IF($P593="","",IF(Shares!$E596="",0,Shares!$E596))</f>
        <v/>
      </c>
      <c r="Z593">
        <f>IF($P593="","",Shares!$H596)</f>
        <v/>
      </c>
      <c r="AE593">
        <f>IF(OR(Sync!$S593="",Sync!$P593=""),"",Sync!$S593)</f>
        <v/>
      </c>
      <c r="AF593">
        <f>IF($AE593="","",IF(ISNUMBER(Sync!$P593),IF(AND(Sync!$P593&gt;=10000101,Sync!$P593&lt;=99991231),INT(Sync!$P593/10000),""),IFERROR(VALUE(TRIM(LEFT(Sync!$P593,FIND("/",Sync!$P593)-1))),"")))</f>
        <v/>
      </c>
      <c r="AG593">
        <f>IF(OR($AE593="",$AF593=""),"",IF(ISNUMBER(Sync!$P593),INT(MOD(Sync!$P593,10000)/100),IFERROR(VALUE(TRIM(LEFT(MID(Sync!$P593,FIND("/",Sync!$P593)+1,20),FIND("/",MID(Sync!$P593,FIND("/",Sync!$P593)+1,20))-1))),"")))</f>
        <v/>
      </c>
      <c r="AH593">
        <f>IF(OR($AE593="",$AF593=""),"",IF(ISNUMBER(Sync!$P593),MOD(Sync!$P593,100),IFERROR(VALUE(TRIM(MID(MID(Sync!$P593,FIND("/",Sync!$P593)+1,20),FIND("/",MID(Sync!$P593,FIND("/",Sync!$P593)+1,20))+1,20))),"")))</f>
        <v/>
      </c>
      <c r="AI593">
        <f>IF($AE593="","",IF(OR($AF593="",$AG593="",$AH593="",$AF593&lt;1300,$AF593&gt;1500,$AG593&lt;1,$AG593&gt;12,$AH593&lt;1,$AH593&gt;31),"نامعتبر",RIGHT("0000"&amp;$AF593,4)&amp;"/"&amp;RIGHT("00"&amp;$AG593,2)&amp;"/"&amp;RIGHT("00"&amp;$AH593,2)))</f>
        <v/>
      </c>
      <c r="AJ593">
        <f>IF($AE593="","",IF(Sync!$Q593="","0000",IF(AND(ISNUMBER(Sync!$Q593),Sync!$Q593&gt;=0,Sync!$Q593&lt;1),RIGHT("00"&amp;HOUR(Sync!$Q593),2)&amp;RIGHT("00"&amp;MINUTE(Sync!$Q593),2),IFERROR(RIGHT("00"&amp;VALUE(LEFT(Sync!$Q593,FIND(":",Sync!$Q593)-1)),2)&amp;RIGHT("00"&amp;VALUE(MID(Sync!$Q593,FIND(":",Sync!$Q593)+1,2)),2),"0000"))))</f>
        <v/>
      </c>
      <c r="AK593">
        <f>IF(OR($AE593="",$AI593="",$AI593="نامعتبر"),"",LEFT($AI593,4)&amp;MID($AI593,6,2)&amp;RIGHT($AI593,2)&amp;$AJ593&amp;"|"&amp;"3"&amp;RIGHT("00000"&amp;588,5))</f>
        <v/>
      </c>
      <c r="AL593">
        <f>IF($AK593="","",COUNTIFS(LdAParty,$AE593,LdAType,1,LdAKey,"&lt;"&amp;$AK593)+COUNTIFS(LdBMember,$AE593,LdBKey,"&lt;"&amp;$AK593)+COUNTIFS(LdCParty,$AE593,LdCKey,"&lt;"&amp;$AK593)+1)</f>
        <v/>
      </c>
      <c r="AM593">
        <f>IF($AL593="","",$AE593&amp;"|"&amp;RIGHT("000000"&amp;$AL593,6))</f>
        <v/>
      </c>
      <c r="AN593">
        <f>IF($AE593="","",IF(Sync!$W593="",0,Sync!$W593))</f>
        <v/>
      </c>
      <c r="AO593">
        <f>IF($AE593="","",IF(Sync!$X593="",0,Sync!$X593))</f>
        <v/>
      </c>
      <c r="AP593">
        <f>IF($AE593="","",Sync!$R593)</f>
        <v/>
      </c>
      <c r="AQ593">
        <f>IF($AE593="","",Sync!$Y593)</f>
        <v/>
      </c>
    </row>
    <row r="594">
      <c r="A594">
        <f>IF(OR(Wages!$B597="",Wages!$E597=""),"",Wages!$E597)</f>
        <v/>
      </c>
      <c r="B594">
        <f>IF($A594="","",IF(Wages!$C597="دستمزد گروهی",2,1))</f>
        <v/>
      </c>
      <c r="C594">
        <f>IF($A594="","",IF(ISNUMBER(Wages!$B597),IF(AND(Wages!$B597&gt;=10000101,Wages!$B597&lt;=99991231),INT(Wages!$B597/10000),""),IFERROR(VALUE(TRIM(LEFT(Wages!$B597,FIND("/",Wages!$B597)-1))),"")))</f>
        <v/>
      </c>
      <c r="D594">
        <f>IF(OR($A594="",$C594=""),"",IF(ISNUMBER(Wages!$B597),INT(MOD(Wages!$B597,10000)/100),IFERROR(VALUE(TRIM(LEFT(MID(Wages!$B597,FIND("/",Wages!$B597)+1,20),FIND("/",MID(Wages!$B597,FIND("/",Wages!$B597)+1,20))-1))),"")))</f>
        <v/>
      </c>
      <c r="E594">
        <f>IF(OR($A594="",$C594=""),"",IF(ISNUMBER(Wages!$B597),MOD(Wages!$B597,100),IFERROR(VALUE(TRIM(MID(MID(Wages!$B597,FIND("/",Wages!$B597)+1,20),FIND("/",MID(Wages!$B597,FIND("/",Wages!$B597)+1,20))+1,20))),"")))</f>
        <v/>
      </c>
      <c r="F594">
        <f>IF($A594="","",IF(OR($C594="",$D594="",$E594="",$C594&lt;1300,$C594&gt;1500,$D594&lt;1,$D594&gt;12,$E594&lt;1,$E594&gt;31),"نامعتبر",RIGHT("0000"&amp;$C594,4)&amp;"/"&amp;RIGHT("00"&amp;$D594,2)&amp;"/"&amp;RIGHT("00"&amp;$E594,2)))</f>
        <v/>
      </c>
      <c r="G594">
        <f>IF(OR($A594="",$F594="",$F594="نامعتبر"),"",LEFT($F594,4)&amp;MID($F594,6,2)&amp;RIGHT($F594,2)&amp;"0000"&amp;"|"&amp;"1"&amp;RIGHT("00000"&amp;589,5))</f>
        <v/>
      </c>
      <c r="H594">
        <f>IF(OR($B594&lt;&gt;1,$G594=""),"",COUNTIFS(LdAParty,$A594,LdAType,1,LdAKey,"&lt;"&amp;$G594)+COUNTIFS(LdBMember,$A594,LdBKey,"&lt;"&amp;$G594)+COUNTIFS(LdCParty,$A594,LdCKey,"&lt;"&amp;$G594)+1)</f>
        <v/>
      </c>
      <c r="I594">
        <f>IF($H594="","",$A594&amp;"|"&amp;RIGHT("000000"&amp;$H594,6))</f>
        <v/>
      </c>
      <c r="J594">
        <f>IF(OR($B594&lt;&gt;2,$G594=""),"",COUNTIFS(LdAParty,$A594,LdAType,2,LdAKey,"&lt;"&amp;$G594)+1)</f>
        <v/>
      </c>
      <c r="K594">
        <f>IF($J594="","",$A594&amp;"|"&amp;RIGHT("000000"&amp;$J594,6))</f>
        <v/>
      </c>
      <c r="L594">
        <f>IF($A594="","",IF(Wages!$G597="",0,Wages!$G597))</f>
        <v/>
      </c>
      <c r="M594">
        <f>IF($A594="","",Wages!$J597)</f>
        <v/>
      </c>
      <c r="N594">
        <f>IF($A594="","",Wages!$D597)</f>
        <v/>
      </c>
      <c r="P594">
        <f>IF(OR(Shares!$B597="",Shares!$C597=""),"",Shares!$C597)</f>
        <v/>
      </c>
      <c r="Q594">
        <f>IF($P594="","",Shares!$B597)</f>
        <v/>
      </c>
      <c r="R594">
        <f>IF($P594="","",IFERROR(INDEX(WageParty,MATCH($Q594,WageIds,0)),""))</f>
        <v/>
      </c>
      <c r="S594">
        <f>IF($P594="","",IFERROR(INDEX($F$6:$F$2005,MATCH($Q594,WageIds,0)),""))</f>
        <v/>
      </c>
      <c r="T594">
        <f>IF(OR($P594="",$S594="",$S594="نامعتبر"),"",LEFT($S594,4)&amp;MID($S594,6,2)&amp;RIGHT($S594,2)&amp;"0000"&amp;"|"&amp;"2"&amp;RIGHT("00000"&amp;589,5))</f>
        <v/>
      </c>
      <c r="U594">
        <f>IF($T594="","",COUNTIFS(LdAParty,$P594,LdAType,1,LdAKey,"&lt;"&amp;$T594)+COUNTIFS(LdBMember,$P594,LdBKey,"&lt;"&amp;$T594)+COUNTIFS(LdCParty,$P594,LdCKey,"&lt;"&amp;$T594)+1)</f>
        <v/>
      </c>
      <c r="V594">
        <f>IF($U594="","",$P594&amp;"|"&amp;RIGHT("000000"&amp;$U594,6))</f>
        <v/>
      </c>
      <c r="W594">
        <f>IF($T594="","",COUNTIFS(LdBGroup,$R594,LdBKey,"&lt;"&amp;$T594)+1)</f>
        <v/>
      </c>
      <c r="X594">
        <f>IF($W594="","",$R594&amp;"|"&amp;RIGHT("000000"&amp;$W594,6))</f>
        <v/>
      </c>
      <c r="Y594">
        <f>IF($P594="","",IF(Shares!$E597="",0,Shares!$E597))</f>
        <v/>
      </c>
      <c r="Z594">
        <f>IF($P594="","",Shares!$H597)</f>
        <v/>
      </c>
      <c r="AE594">
        <f>IF(OR(Sync!$S594="",Sync!$P594=""),"",Sync!$S594)</f>
        <v/>
      </c>
      <c r="AF594">
        <f>IF($AE594="","",IF(ISNUMBER(Sync!$P594),IF(AND(Sync!$P594&gt;=10000101,Sync!$P594&lt;=99991231),INT(Sync!$P594/10000),""),IFERROR(VALUE(TRIM(LEFT(Sync!$P594,FIND("/",Sync!$P594)-1))),"")))</f>
        <v/>
      </c>
      <c r="AG594">
        <f>IF(OR($AE594="",$AF594=""),"",IF(ISNUMBER(Sync!$P594),INT(MOD(Sync!$P594,10000)/100),IFERROR(VALUE(TRIM(LEFT(MID(Sync!$P594,FIND("/",Sync!$P594)+1,20),FIND("/",MID(Sync!$P594,FIND("/",Sync!$P594)+1,20))-1))),"")))</f>
        <v/>
      </c>
      <c r="AH594">
        <f>IF(OR($AE594="",$AF594=""),"",IF(ISNUMBER(Sync!$P594),MOD(Sync!$P594,100),IFERROR(VALUE(TRIM(MID(MID(Sync!$P594,FIND("/",Sync!$P594)+1,20),FIND("/",MID(Sync!$P594,FIND("/",Sync!$P594)+1,20))+1,20))),"")))</f>
        <v/>
      </c>
      <c r="AI594">
        <f>IF($AE594="","",IF(OR($AF594="",$AG594="",$AH594="",$AF594&lt;1300,$AF594&gt;1500,$AG594&lt;1,$AG594&gt;12,$AH594&lt;1,$AH594&gt;31),"نامعتبر",RIGHT("0000"&amp;$AF594,4)&amp;"/"&amp;RIGHT("00"&amp;$AG594,2)&amp;"/"&amp;RIGHT("00"&amp;$AH594,2)))</f>
        <v/>
      </c>
      <c r="AJ594">
        <f>IF($AE594="","",IF(Sync!$Q594="","0000",IF(AND(ISNUMBER(Sync!$Q594),Sync!$Q594&gt;=0,Sync!$Q594&lt;1),RIGHT("00"&amp;HOUR(Sync!$Q594),2)&amp;RIGHT("00"&amp;MINUTE(Sync!$Q594),2),IFERROR(RIGHT("00"&amp;VALUE(LEFT(Sync!$Q594,FIND(":",Sync!$Q594)-1)),2)&amp;RIGHT("00"&amp;VALUE(MID(Sync!$Q594,FIND(":",Sync!$Q594)+1,2)),2),"0000"))))</f>
        <v/>
      </c>
      <c r="AK594">
        <f>IF(OR($AE594="",$AI594="",$AI594="نامعتبر"),"",LEFT($AI594,4)&amp;MID($AI594,6,2)&amp;RIGHT($AI594,2)&amp;$AJ594&amp;"|"&amp;"3"&amp;RIGHT("00000"&amp;589,5))</f>
        <v/>
      </c>
      <c r="AL594">
        <f>IF($AK594="","",COUNTIFS(LdAParty,$AE594,LdAType,1,LdAKey,"&lt;"&amp;$AK594)+COUNTIFS(LdBMember,$AE594,LdBKey,"&lt;"&amp;$AK594)+COUNTIFS(LdCParty,$AE594,LdCKey,"&lt;"&amp;$AK594)+1)</f>
        <v/>
      </c>
      <c r="AM594">
        <f>IF($AL594="","",$AE594&amp;"|"&amp;RIGHT("000000"&amp;$AL594,6))</f>
        <v/>
      </c>
      <c r="AN594">
        <f>IF($AE594="","",IF(Sync!$W594="",0,Sync!$W594))</f>
        <v/>
      </c>
      <c r="AO594">
        <f>IF($AE594="","",IF(Sync!$X594="",0,Sync!$X594))</f>
        <v/>
      </c>
      <c r="AP594">
        <f>IF($AE594="","",Sync!$R594)</f>
        <v/>
      </c>
      <c r="AQ594">
        <f>IF($AE594="","",Sync!$Y594)</f>
        <v/>
      </c>
    </row>
    <row r="595">
      <c r="A595">
        <f>IF(OR(Wages!$B598="",Wages!$E598=""),"",Wages!$E598)</f>
        <v/>
      </c>
      <c r="B595">
        <f>IF($A595="","",IF(Wages!$C598="دستمزد گروهی",2,1))</f>
        <v/>
      </c>
      <c r="C595">
        <f>IF($A595="","",IF(ISNUMBER(Wages!$B598),IF(AND(Wages!$B598&gt;=10000101,Wages!$B598&lt;=99991231),INT(Wages!$B598/10000),""),IFERROR(VALUE(TRIM(LEFT(Wages!$B598,FIND("/",Wages!$B598)-1))),"")))</f>
        <v/>
      </c>
      <c r="D595">
        <f>IF(OR($A595="",$C595=""),"",IF(ISNUMBER(Wages!$B598),INT(MOD(Wages!$B598,10000)/100),IFERROR(VALUE(TRIM(LEFT(MID(Wages!$B598,FIND("/",Wages!$B598)+1,20),FIND("/",MID(Wages!$B598,FIND("/",Wages!$B598)+1,20))-1))),"")))</f>
        <v/>
      </c>
      <c r="E595">
        <f>IF(OR($A595="",$C595=""),"",IF(ISNUMBER(Wages!$B598),MOD(Wages!$B598,100),IFERROR(VALUE(TRIM(MID(MID(Wages!$B598,FIND("/",Wages!$B598)+1,20),FIND("/",MID(Wages!$B598,FIND("/",Wages!$B598)+1,20))+1,20))),"")))</f>
        <v/>
      </c>
      <c r="F595">
        <f>IF($A595="","",IF(OR($C595="",$D595="",$E595="",$C595&lt;1300,$C595&gt;1500,$D595&lt;1,$D595&gt;12,$E595&lt;1,$E595&gt;31),"نامعتبر",RIGHT("0000"&amp;$C595,4)&amp;"/"&amp;RIGHT("00"&amp;$D595,2)&amp;"/"&amp;RIGHT("00"&amp;$E595,2)))</f>
        <v/>
      </c>
      <c r="G595">
        <f>IF(OR($A595="",$F595="",$F595="نامعتبر"),"",LEFT($F595,4)&amp;MID($F595,6,2)&amp;RIGHT($F595,2)&amp;"0000"&amp;"|"&amp;"1"&amp;RIGHT("00000"&amp;590,5))</f>
        <v/>
      </c>
      <c r="H595">
        <f>IF(OR($B595&lt;&gt;1,$G595=""),"",COUNTIFS(LdAParty,$A595,LdAType,1,LdAKey,"&lt;"&amp;$G595)+COUNTIFS(LdBMember,$A595,LdBKey,"&lt;"&amp;$G595)+COUNTIFS(LdCParty,$A595,LdCKey,"&lt;"&amp;$G595)+1)</f>
        <v/>
      </c>
      <c r="I595">
        <f>IF($H595="","",$A595&amp;"|"&amp;RIGHT("000000"&amp;$H595,6))</f>
        <v/>
      </c>
      <c r="J595">
        <f>IF(OR($B595&lt;&gt;2,$G595=""),"",COUNTIFS(LdAParty,$A595,LdAType,2,LdAKey,"&lt;"&amp;$G595)+1)</f>
        <v/>
      </c>
      <c r="K595">
        <f>IF($J595="","",$A595&amp;"|"&amp;RIGHT("000000"&amp;$J595,6))</f>
        <v/>
      </c>
      <c r="L595">
        <f>IF($A595="","",IF(Wages!$G598="",0,Wages!$G598))</f>
        <v/>
      </c>
      <c r="M595">
        <f>IF($A595="","",Wages!$J598)</f>
        <v/>
      </c>
      <c r="N595">
        <f>IF($A595="","",Wages!$D598)</f>
        <v/>
      </c>
      <c r="P595">
        <f>IF(OR(Shares!$B598="",Shares!$C598=""),"",Shares!$C598)</f>
        <v/>
      </c>
      <c r="Q595">
        <f>IF($P595="","",Shares!$B598)</f>
        <v/>
      </c>
      <c r="R595">
        <f>IF($P595="","",IFERROR(INDEX(WageParty,MATCH($Q595,WageIds,0)),""))</f>
        <v/>
      </c>
      <c r="S595">
        <f>IF($P595="","",IFERROR(INDEX($F$6:$F$2005,MATCH($Q595,WageIds,0)),""))</f>
        <v/>
      </c>
      <c r="T595">
        <f>IF(OR($P595="",$S595="",$S595="نامعتبر"),"",LEFT($S595,4)&amp;MID($S595,6,2)&amp;RIGHT($S595,2)&amp;"0000"&amp;"|"&amp;"2"&amp;RIGHT("00000"&amp;590,5))</f>
        <v/>
      </c>
      <c r="U595">
        <f>IF($T595="","",COUNTIFS(LdAParty,$P595,LdAType,1,LdAKey,"&lt;"&amp;$T595)+COUNTIFS(LdBMember,$P595,LdBKey,"&lt;"&amp;$T595)+COUNTIFS(LdCParty,$P595,LdCKey,"&lt;"&amp;$T595)+1)</f>
        <v/>
      </c>
      <c r="V595">
        <f>IF($U595="","",$P595&amp;"|"&amp;RIGHT("000000"&amp;$U595,6))</f>
        <v/>
      </c>
      <c r="W595">
        <f>IF($T595="","",COUNTIFS(LdBGroup,$R595,LdBKey,"&lt;"&amp;$T595)+1)</f>
        <v/>
      </c>
      <c r="X595">
        <f>IF($W595="","",$R595&amp;"|"&amp;RIGHT("000000"&amp;$W595,6))</f>
        <v/>
      </c>
      <c r="Y595">
        <f>IF($P595="","",IF(Shares!$E598="",0,Shares!$E598))</f>
        <v/>
      </c>
      <c r="Z595">
        <f>IF($P595="","",Shares!$H598)</f>
        <v/>
      </c>
      <c r="AE595">
        <f>IF(OR(Sync!$S595="",Sync!$P595=""),"",Sync!$S595)</f>
        <v/>
      </c>
      <c r="AF595">
        <f>IF($AE595="","",IF(ISNUMBER(Sync!$P595),IF(AND(Sync!$P595&gt;=10000101,Sync!$P595&lt;=99991231),INT(Sync!$P595/10000),""),IFERROR(VALUE(TRIM(LEFT(Sync!$P595,FIND("/",Sync!$P595)-1))),"")))</f>
        <v/>
      </c>
      <c r="AG595">
        <f>IF(OR($AE595="",$AF595=""),"",IF(ISNUMBER(Sync!$P595),INT(MOD(Sync!$P595,10000)/100),IFERROR(VALUE(TRIM(LEFT(MID(Sync!$P595,FIND("/",Sync!$P595)+1,20),FIND("/",MID(Sync!$P595,FIND("/",Sync!$P595)+1,20))-1))),"")))</f>
        <v/>
      </c>
      <c r="AH595">
        <f>IF(OR($AE595="",$AF595=""),"",IF(ISNUMBER(Sync!$P595),MOD(Sync!$P595,100),IFERROR(VALUE(TRIM(MID(MID(Sync!$P595,FIND("/",Sync!$P595)+1,20),FIND("/",MID(Sync!$P595,FIND("/",Sync!$P595)+1,20))+1,20))),"")))</f>
        <v/>
      </c>
      <c r="AI595">
        <f>IF($AE595="","",IF(OR($AF595="",$AG595="",$AH595="",$AF595&lt;1300,$AF595&gt;1500,$AG595&lt;1,$AG595&gt;12,$AH595&lt;1,$AH595&gt;31),"نامعتبر",RIGHT("0000"&amp;$AF595,4)&amp;"/"&amp;RIGHT("00"&amp;$AG595,2)&amp;"/"&amp;RIGHT("00"&amp;$AH595,2)))</f>
        <v/>
      </c>
      <c r="AJ595">
        <f>IF($AE595="","",IF(Sync!$Q595="","0000",IF(AND(ISNUMBER(Sync!$Q595),Sync!$Q595&gt;=0,Sync!$Q595&lt;1),RIGHT("00"&amp;HOUR(Sync!$Q595),2)&amp;RIGHT("00"&amp;MINUTE(Sync!$Q595),2),IFERROR(RIGHT("00"&amp;VALUE(LEFT(Sync!$Q595,FIND(":",Sync!$Q595)-1)),2)&amp;RIGHT("00"&amp;VALUE(MID(Sync!$Q595,FIND(":",Sync!$Q595)+1,2)),2),"0000"))))</f>
        <v/>
      </c>
      <c r="AK595">
        <f>IF(OR($AE595="",$AI595="",$AI595="نامعتبر"),"",LEFT($AI595,4)&amp;MID($AI595,6,2)&amp;RIGHT($AI595,2)&amp;$AJ595&amp;"|"&amp;"3"&amp;RIGHT("00000"&amp;590,5))</f>
        <v/>
      </c>
      <c r="AL595">
        <f>IF($AK595="","",COUNTIFS(LdAParty,$AE595,LdAType,1,LdAKey,"&lt;"&amp;$AK595)+COUNTIFS(LdBMember,$AE595,LdBKey,"&lt;"&amp;$AK595)+COUNTIFS(LdCParty,$AE595,LdCKey,"&lt;"&amp;$AK595)+1)</f>
        <v/>
      </c>
      <c r="AM595">
        <f>IF($AL595="","",$AE595&amp;"|"&amp;RIGHT("000000"&amp;$AL595,6))</f>
        <v/>
      </c>
      <c r="AN595">
        <f>IF($AE595="","",IF(Sync!$W595="",0,Sync!$W595))</f>
        <v/>
      </c>
      <c r="AO595">
        <f>IF($AE595="","",IF(Sync!$X595="",0,Sync!$X595))</f>
        <v/>
      </c>
      <c r="AP595">
        <f>IF($AE595="","",Sync!$R595)</f>
        <v/>
      </c>
      <c r="AQ595">
        <f>IF($AE595="","",Sync!$Y595)</f>
        <v/>
      </c>
    </row>
    <row r="596">
      <c r="A596">
        <f>IF(OR(Wages!$B599="",Wages!$E599=""),"",Wages!$E599)</f>
        <v/>
      </c>
      <c r="B596">
        <f>IF($A596="","",IF(Wages!$C599="دستمزد گروهی",2,1))</f>
        <v/>
      </c>
      <c r="C596">
        <f>IF($A596="","",IF(ISNUMBER(Wages!$B599),IF(AND(Wages!$B599&gt;=10000101,Wages!$B599&lt;=99991231),INT(Wages!$B599/10000),""),IFERROR(VALUE(TRIM(LEFT(Wages!$B599,FIND("/",Wages!$B599)-1))),"")))</f>
        <v/>
      </c>
      <c r="D596">
        <f>IF(OR($A596="",$C596=""),"",IF(ISNUMBER(Wages!$B599),INT(MOD(Wages!$B599,10000)/100),IFERROR(VALUE(TRIM(LEFT(MID(Wages!$B599,FIND("/",Wages!$B599)+1,20),FIND("/",MID(Wages!$B599,FIND("/",Wages!$B599)+1,20))-1))),"")))</f>
        <v/>
      </c>
      <c r="E596">
        <f>IF(OR($A596="",$C596=""),"",IF(ISNUMBER(Wages!$B599),MOD(Wages!$B599,100),IFERROR(VALUE(TRIM(MID(MID(Wages!$B599,FIND("/",Wages!$B599)+1,20),FIND("/",MID(Wages!$B599,FIND("/",Wages!$B599)+1,20))+1,20))),"")))</f>
        <v/>
      </c>
      <c r="F596">
        <f>IF($A596="","",IF(OR($C596="",$D596="",$E596="",$C596&lt;1300,$C596&gt;1500,$D596&lt;1,$D596&gt;12,$E596&lt;1,$E596&gt;31),"نامعتبر",RIGHT("0000"&amp;$C596,4)&amp;"/"&amp;RIGHT("00"&amp;$D596,2)&amp;"/"&amp;RIGHT("00"&amp;$E596,2)))</f>
        <v/>
      </c>
      <c r="G596">
        <f>IF(OR($A596="",$F596="",$F596="نامعتبر"),"",LEFT($F596,4)&amp;MID($F596,6,2)&amp;RIGHT($F596,2)&amp;"0000"&amp;"|"&amp;"1"&amp;RIGHT("00000"&amp;591,5))</f>
        <v/>
      </c>
      <c r="H596">
        <f>IF(OR($B596&lt;&gt;1,$G596=""),"",COUNTIFS(LdAParty,$A596,LdAType,1,LdAKey,"&lt;"&amp;$G596)+COUNTIFS(LdBMember,$A596,LdBKey,"&lt;"&amp;$G596)+COUNTIFS(LdCParty,$A596,LdCKey,"&lt;"&amp;$G596)+1)</f>
        <v/>
      </c>
      <c r="I596">
        <f>IF($H596="","",$A596&amp;"|"&amp;RIGHT("000000"&amp;$H596,6))</f>
        <v/>
      </c>
      <c r="J596">
        <f>IF(OR($B596&lt;&gt;2,$G596=""),"",COUNTIFS(LdAParty,$A596,LdAType,2,LdAKey,"&lt;"&amp;$G596)+1)</f>
        <v/>
      </c>
      <c r="K596">
        <f>IF($J596="","",$A596&amp;"|"&amp;RIGHT("000000"&amp;$J596,6))</f>
        <v/>
      </c>
      <c r="L596">
        <f>IF($A596="","",IF(Wages!$G599="",0,Wages!$G599))</f>
        <v/>
      </c>
      <c r="M596">
        <f>IF($A596="","",Wages!$J599)</f>
        <v/>
      </c>
      <c r="N596">
        <f>IF($A596="","",Wages!$D599)</f>
        <v/>
      </c>
      <c r="P596">
        <f>IF(OR(Shares!$B599="",Shares!$C599=""),"",Shares!$C599)</f>
        <v/>
      </c>
      <c r="Q596">
        <f>IF($P596="","",Shares!$B599)</f>
        <v/>
      </c>
      <c r="R596">
        <f>IF($P596="","",IFERROR(INDEX(WageParty,MATCH($Q596,WageIds,0)),""))</f>
        <v/>
      </c>
      <c r="S596">
        <f>IF($P596="","",IFERROR(INDEX($F$6:$F$2005,MATCH($Q596,WageIds,0)),""))</f>
        <v/>
      </c>
      <c r="T596">
        <f>IF(OR($P596="",$S596="",$S596="نامعتبر"),"",LEFT($S596,4)&amp;MID($S596,6,2)&amp;RIGHT($S596,2)&amp;"0000"&amp;"|"&amp;"2"&amp;RIGHT("00000"&amp;591,5))</f>
        <v/>
      </c>
      <c r="U596">
        <f>IF($T596="","",COUNTIFS(LdAParty,$P596,LdAType,1,LdAKey,"&lt;"&amp;$T596)+COUNTIFS(LdBMember,$P596,LdBKey,"&lt;"&amp;$T596)+COUNTIFS(LdCParty,$P596,LdCKey,"&lt;"&amp;$T596)+1)</f>
        <v/>
      </c>
      <c r="V596">
        <f>IF($U596="","",$P596&amp;"|"&amp;RIGHT("000000"&amp;$U596,6))</f>
        <v/>
      </c>
      <c r="W596">
        <f>IF($T596="","",COUNTIFS(LdBGroup,$R596,LdBKey,"&lt;"&amp;$T596)+1)</f>
        <v/>
      </c>
      <c r="X596">
        <f>IF($W596="","",$R596&amp;"|"&amp;RIGHT("000000"&amp;$W596,6))</f>
        <v/>
      </c>
      <c r="Y596">
        <f>IF($P596="","",IF(Shares!$E599="",0,Shares!$E599))</f>
        <v/>
      </c>
      <c r="Z596">
        <f>IF($P596="","",Shares!$H599)</f>
        <v/>
      </c>
      <c r="AE596">
        <f>IF(OR(Sync!$S596="",Sync!$P596=""),"",Sync!$S596)</f>
        <v/>
      </c>
      <c r="AF596">
        <f>IF($AE596="","",IF(ISNUMBER(Sync!$P596),IF(AND(Sync!$P596&gt;=10000101,Sync!$P596&lt;=99991231),INT(Sync!$P596/10000),""),IFERROR(VALUE(TRIM(LEFT(Sync!$P596,FIND("/",Sync!$P596)-1))),"")))</f>
        <v/>
      </c>
      <c r="AG596">
        <f>IF(OR($AE596="",$AF596=""),"",IF(ISNUMBER(Sync!$P596),INT(MOD(Sync!$P596,10000)/100),IFERROR(VALUE(TRIM(LEFT(MID(Sync!$P596,FIND("/",Sync!$P596)+1,20),FIND("/",MID(Sync!$P596,FIND("/",Sync!$P596)+1,20))-1))),"")))</f>
        <v/>
      </c>
      <c r="AH596">
        <f>IF(OR($AE596="",$AF596=""),"",IF(ISNUMBER(Sync!$P596),MOD(Sync!$P596,100),IFERROR(VALUE(TRIM(MID(MID(Sync!$P596,FIND("/",Sync!$P596)+1,20),FIND("/",MID(Sync!$P596,FIND("/",Sync!$P596)+1,20))+1,20))),"")))</f>
        <v/>
      </c>
      <c r="AI596">
        <f>IF($AE596="","",IF(OR($AF596="",$AG596="",$AH596="",$AF596&lt;1300,$AF596&gt;1500,$AG596&lt;1,$AG596&gt;12,$AH596&lt;1,$AH596&gt;31),"نامعتبر",RIGHT("0000"&amp;$AF596,4)&amp;"/"&amp;RIGHT("00"&amp;$AG596,2)&amp;"/"&amp;RIGHT("00"&amp;$AH596,2)))</f>
        <v/>
      </c>
      <c r="AJ596">
        <f>IF($AE596="","",IF(Sync!$Q596="","0000",IF(AND(ISNUMBER(Sync!$Q596),Sync!$Q596&gt;=0,Sync!$Q596&lt;1),RIGHT("00"&amp;HOUR(Sync!$Q596),2)&amp;RIGHT("00"&amp;MINUTE(Sync!$Q596),2),IFERROR(RIGHT("00"&amp;VALUE(LEFT(Sync!$Q596,FIND(":",Sync!$Q596)-1)),2)&amp;RIGHT("00"&amp;VALUE(MID(Sync!$Q596,FIND(":",Sync!$Q596)+1,2)),2),"0000"))))</f>
        <v/>
      </c>
      <c r="AK596">
        <f>IF(OR($AE596="",$AI596="",$AI596="نامعتبر"),"",LEFT($AI596,4)&amp;MID($AI596,6,2)&amp;RIGHT($AI596,2)&amp;$AJ596&amp;"|"&amp;"3"&amp;RIGHT("00000"&amp;591,5))</f>
        <v/>
      </c>
      <c r="AL596">
        <f>IF($AK596="","",COUNTIFS(LdAParty,$AE596,LdAType,1,LdAKey,"&lt;"&amp;$AK596)+COUNTIFS(LdBMember,$AE596,LdBKey,"&lt;"&amp;$AK596)+COUNTIFS(LdCParty,$AE596,LdCKey,"&lt;"&amp;$AK596)+1)</f>
        <v/>
      </c>
      <c r="AM596">
        <f>IF($AL596="","",$AE596&amp;"|"&amp;RIGHT("000000"&amp;$AL596,6))</f>
        <v/>
      </c>
      <c r="AN596">
        <f>IF($AE596="","",IF(Sync!$W596="",0,Sync!$W596))</f>
        <v/>
      </c>
      <c r="AO596">
        <f>IF($AE596="","",IF(Sync!$X596="",0,Sync!$X596))</f>
        <v/>
      </c>
      <c r="AP596">
        <f>IF($AE596="","",Sync!$R596)</f>
        <v/>
      </c>
      <c r="AQ596">
        <f>IF($AE596="","",Sync!$Y596)</f>
        <v/>
      </c>
    </row>
    <row r="597">
      <c r="A597">
        <f>IF(OR(Wages!$B600="",Wages!$E600=""),"",Wages!$E600)</f>
        <v/>
      </c>
      <c r="B597">
        <f>IF($A597="","",IF(Wages!$C600="دستمزد گروهی",2,1))</f>
        <v/>
      </c>
      <c r="C597">
        <f>IF($A597="","",IF(ISNUMBER(Wages!$B600),IF(AND(Wages!$B600&gt;=10000101,Wages!$B600&lt;=99991231),INT(Wages!$B600/10000),""),IFERROR(VALUE(TRIM(LEFT(Wages!$B600,FIND("/",Wages!$B600)-1))),"")))</f>
        <v/>
      </c>
      <c r="D597">
        <f>IF(OR($A597="",$C597=""),"",IF(ISNUMBER(Wages!$B600),INT(MOD(Wages!$B600,10000)/100),IFERROR(VALUE(TRIM(LEFT(MID(Wages!$B600,FIND("/",Wages!$B600)+1,20),FIND("/",MID(Wages!$B600,FIND("/",Wages!$B600)+1,20))-1))),"")))</f>
        <v/>
      </c>
      <c r="E597">
        <f>IF(OR($A597="",$C597=""),"",IF(ISNUMBER(Wages!$B600),MOD(Wages!$B600,100),IFERROR(VALUE(TRIM(MID(MID(Wages!$B600,FIND("/",Wages!$B600)+1,20),FIND("/",MID(Wages!$B600,FIND("/",Wages!$B600)+1,20))+1,20))),"")))</f>
        <v/>
      </c>
      <c r="F597">
        <f>IF($A597="","",IF(OR($C597="",$D597="",$E597="",$C597&lt;1300,$C597&gt;1500,$D597&lt;1,$D597&gt;12,$E597&lt;1,$E597&gt;31),"نامعتبر",RIGHT("0000"&amp;$C597,4)&amp;"/"&amp;RIGHT("00"&amp;$D597,2)&amp;"/"&amp;RIGHT("00"&amp;$E597,2)))</f>
        <v/>
      </c>
      <c r="G597">
        <f>IF(OR($A597="",$F597="",$F597="نامعتبر"),"",LEFT($F597,4)&amp;MID($F597,6,2)&amp;RIGHT($F597,2)&amp;"0000"&amp;"|"&amp;"1"&amp;RIGHT("00000"&amp;592,5))</f>
        <v/>
      </c>
      <c r="H597">
        <f>IF(OR($B597&lt;&gt;1,$G597=""),"",COUNTIFS(LdAParty,$A597,LdAType,1,LdAKey,"&lt;"&amp;$G597)+COUNTIFS(LdBMember,$A597,LdBKey,"&lt;"&amp;$G597)+COUNTIFS(LdCParty,$A597,LdCKey,"&lt;"&amp;$G597)+1)</f>
        <v/>
      </c>
      <c r="I597">
        <f>IF($H597="","",$A597&amp;"|"&amp;RIGHT("000000"&amp;$H597,6))</f>
        <v/>
      </c>
      <c r="J597">
        <f>IF(OR($B597&lt;&gt;2,$G597=""),"",COUNTIFS(LdAParty,$A597,LdAType,2,LdAKey,"&lt;"&amp;$G597)+1)</f>
        <v/>
      </c>
      <c r="K597">
        <f>IF($J597="","",$A597&amp;"|"&amp;RIGHT("000000"&amp;$J597,6))</f>
        <v/>
      </c>
      <c r="L597">
        <f>IF($A597="","",IF(Wages!$G600="",0,Wages!$G600))</f>
        <v/>
      </c>
      <c r="M597">
        <f>IF($A597="","",Wages!$J600)</f>
        <v/>
      </c>
      <c r="N597">
        <f>IF($A597="","",Wages!$D600)</f>
        <v/>
      </c>
      <c r="P597">
        <f>IF(OR(Shares!$B600="",Shares!$C600=""),"",Shares!$C600)</f>
        <v/>
      </c>
      <c r="Q597">
        <f>IF($P597="","",Shares!$B600)</f>
        <v/>
      </c>
      <c r="R597">
        <f>IF($P597="","",IFERROR(INDEX(WageParty,MATCH($Q597,WageIds,0)),""))</f>
        <v/>
      </c>
      <c r="S597">
        <f>IF($P597="","",IFERROR(INDEX($F$6:$F$2005,MATCH($Q597,WageIds,0)),""))</f>
        <v/>
      </c>
      <c r="T597">
        <f>IF(OR($P597="",$S597="",$S597="نامعتبر"),"",LEFT($S597,4)&amp;MID($S597,6,2)&amp;RIGHT($S597,2)&amp;"0000"&amp;"|"&amp;"2"&amp;RIGHT("00000"&amp;592,5))</f>
        <v/>
      </c>
      <c r="U597">
        <f>IF($T597="","",COUNTIFS(LdAParty,$P597,LdAType,1,LdAKey,"&lt;"&amp;$T597)+COUNTIFS(LdBMember,$P597,LdBKey,"&lt;"&amp;$T597)+COUNTIFS(LdCParty,$P597,LdCKey,"&lt;"&amp;$T597)+1)</f>
        <v/>
      </c>
      <c r="V597">
        <f>IF($U597="","",$P597&amp;"|"&amp;RIGHT("000000"&amp;$U597,6))</f>
        <v/>
      </c>
      <c r="W597">
        <f>IF($T597="","",COUNTIFS(LdBGroup,$R597,LdBKey,"&lt;"&amp;$T597)+1)</f>
        <v/>
      </c>
      <c r="X597">
        <f>IF($W597="","",$R597&amp;"|"&amp;RIGHT("000000"&amp;$W597,6))</f>
        <v/>
      </c>
      <c r="Y597">
        <f>IF($P597="","",IF(Shares!$E600="",0,Shares!$E600))</f>
        <v/>
      </c>
      <c r="Z597">
        <f>IF($P597="","",Shares!$H600)</f>
        <v/>
      </c>
      <c r="AE597">
        <f>IF(OR(Sync!$S597="",Sync!$P597=""),"",Sync!$S597)</f>
        <v/>
      </c>
      <c r="AF597">
        <f>IF($AE597="","",IF(ISNUMBER(Sync!$P597),IF(AND(Sync!$P597&gt;=10000101,Sync!$P597&lt;=99991231),INT(Sync!$P597/10000),""),IFERROR(VALUE(TRIM(LEFT(Sync!$P597,FIND("/",Sync!$P597)-1))),"")))</f>
        <v/>
      </c>
      <c r="AG597">
        <f>IF(OR($AE597="",$AF597=""),"",IF(ISNUMBER(Sync!$P597),INT(MOD(Sync!$P597,10000)/100),IFERROR(VALUE(TRIM(LEFT(MID(Sync!$P597,FIND("/",Sync!$P597)+1,20),FIND("/",MID(Sync!$P597,FIND("/",Sync!$P597)+1,20))-1))),"")))</f>
        <v/>
      </c>
      <c r="AH597">
        <f>IF(OR($AE597="",$AF597=""),"",IF(ISNUMBER(Sync!$P597),MOD(Sync!$P597,100),IFERROR(VALUE(TRIM(MID(MID(Sync!$P597,FIND("/",Sync!$P597)+1,20),FIND("/",MID(Sync!$P597,FIND("/",Sync!$P597)+1,20))+1,20))),"")))</f>
        <v/>
      </c>
      <c r="AI597">
        <f>IF($AE597="","",IF(OR($AF597="",$AG597="",$AH597="",$AF597&lt;1300,$AF597&gt;1500,$AG597&lt;1,$AG597&gt;12,$AH597&lt;1,$AH597&gt;31),"نامعتبر",RIGHT("0000"&amp;$AF597,4)&amp;"/"&amp;RIGHT("00"&amp;$AG597,2)&amp;"/"&amp;RIGHT("00"&amp;$AH597,2)))</f>
        <v/>
      </c>
      <c r="AJ597">
        <f>IF($AE597="","",IF(Sync!$Q597="","0000",IF(AND(ISNUMBER(Sync!$Q597),Sync!$Q597&gt;=0,Sync!$Q597&lt;1),RIGHT("00"&amp;HOUR(Sync!$Q597),2)&amp;RIGHT("00"&amp;MINUTE(Sync!$Q597),2),IFERROR(RIGHT("00"&amp;VALUE(LEFT(Sync!$Q597,FIND(":",Sync!$Q597)-1)),2)&amp;RIGHT("00"&amp;VALUE(MID(Sync!$Q597,FIND(":",Sync!$Q597)+1,2)),2),"0000"))))</f>
        <v/>
      </c>
      <c r="AK597">
        <f>IF(OR($AE597="",$AI597="",$AI597="نامعتبر"),"",LEFT($AI597,4)&amp;MID($AI597,6,2)&amp;RIGHT($AI597,2)&amp;$AJ597&amp;"|"&amp;"3"&amp;RIGHT("00000"&amp;592,5))</f>
        <v/>
      </c>
      <c r="AL597">
        <f>IF($AK597="","",COUNTIFS(LdAParty,$AE597,LdAType,1,LdAKey,"&lt;"&amp;$AK597)+COUNTIFS(LdBMember,$AE597,LdBKey,"&lt;"&amp;$AK597)+COUNTIFS(LdCParty,$AE597,LdCKey,"&lt;"&amp;$AK597)+1)</f>
        <v/>
      </c>
      <c r="AM597">
        <f>IF($AL597="","",$AE597&amp;"|"&amp;RIGHT("000000"&amp;$AL597,6))</f>
        <v/>
      </c>
      <c r="AN597">
        <f>IF($AE597="","",IF(Sync!$W597="",0,Sync!$W597))</f>
        <v/>
      </c>
      <c r="AO597">
        <f>IF($AE597="","",IF(Sync!$X597="",0,Sync!$X597))</f>
        <v/>
      </c>
      <c r="AP597">
        <f>IF($AE597="","",Sync!$R597)</f>
        <v/>
      </c>
      <c r="AQ597">
        <f>IF($AE597="","",Sync!$Y597)</f>
        <v/>
      </c>
    </row>
    <row r="598">
      <c r="A598">
        <f>IF(OR(Wages!$B601="",Wages!$E601=""),"",Wages!$E601)</f>
        <v/>
      </c>
      <c r="B598">
        <f>IF($A598="","",IF(Wages!$C601="دستمزد گروهی",2,1))</f>
        <v/>
      </c>
      <c r="C598">
        <f>IF($A598="","",IF(ISNUMBER(Wages!$B601),IF(AND(Wages!$B601&gt;=10000101,Wages!$B601&lt;=99991231),INT(Wages!$B601/10000),""),IFERROR(VALUE(TRIM(LEFT(Wages!$B601,FIND("/",Wages!$B601)-1))),"")))</f>
        <v/>
      </c>
      <c r="D598">
        <f>IF(OR($A598="",$C598=""),"",IF(ISNUMBER(Wages!$B601),INT(MOD(Wages!$B601,10000)/100),IFERROR(VALUE(TRIM(LEFT(MID(Wages!$B601,FIND("/",Wages!$B601)+1,20),FIND("/",MID(Wages!$B601,FIND("/",Wages!$B601)+1,20))-1))),"")))</f>
        <v/>
      </c>
      <c r="E598">
        <f>IF(OR($A598="",$C598=""),"",IF(ISNUMBER(Wages!$B601),MOD(Wages!$B601,100),IFERROR(VALUE(TRIM(MID(MID(Wages!$B601,FIND("/",Wages!$B601)+1,20),FIND("/",MID(Wages!$B601,FIND("/",Wages!$B601)+1,20))+1,20))),"")))</f>
        <v/>
      </c>
      <c r="F598">
        <f>IF($A598="","",IF(OR($C598="",$D598="",$E598="",$C598&lt;1300,$C598&gt;1500,$D598&lt;1,$D598&gt;12,$E598&lt;1,$E598&gt;31),"نامعتبر",RIGHT("0000"&amp;$C598,4)&amp;"/"&amp;RIGHT("00"&amp;$D598,2)&amp;"/"&amp;RIGHT("00"&amp;$E598,2)))</f>
        <v/>
      </c>
      <c r="G598">
        <f>IF(OR($A598="",$F598="",$F598="نامعتبر"),"",LEFT($F598,4)&amp;MID($F598,6,2)&amp;RIGHT($F598,2)&amp;"0000"&amp;"|"&amp;"1"&amp;RIGHT("00000"&amp;593,5))</f>
        <v/>
      </c>
      <c r="H598">
        <f>IF(OR($B598&lt;&gt;1,$G598=""),"",COUNTIFS(LdAParty,$A598,LdAType,1,LdAKey,"&lt;"&amp;$G598)+COUNTIFS(LdBMember,$A598,LdBKey,"&lt;"&amp;$G598)+COUNTIFS(LdCParty,$A598,LdCKey,"&lt;"&amp;$G598)+1)</f>
        <v/>
      </c>
      <c r="I598">
        <f>IF($H598="","",$A598&amp;"|"&amp;RIGHT("000000"&amp;$H598,6))</f>
        <v/>
      </c>
      <c r="J598">
        <f>IF(OR($B598&lt;&gt;2,$G598=""),"",COUNTIFS(LdAParty,$A598,LdAType,2,LdAKey,"&lt;"&amp;$G598)+1)</f>
        <v/>
      </c>
      <c r="K598">
        <f>IF($J598="","",$A598&amp;"|"&amp;RIGHT("000000"&amp;$J598,6))</f>
        <v/>
      </c>
      <c r="L598">
        <f>IF($A598="","",IF(Wages!$G601="",0,Wages!$G601))</f>
        <v/>
      </c>
      <c r="M598">
        <f>IF($A598="","",Wages!$J601)</f>
        <v/>
      </c>
      <c r="N598">
        <f>IF($A598="","",Wages!$D601)</f>
        <v/>
      </c>
      <c r="P598">
        <f>IF(OR(Shares!$B601="",Shares!$C601=""),"",Shares!$C601)</f>
        <v/>
      </c>
      <c r="Q598">
        <f>IF($P598="","",Shares!$B601)</f>
        <v/>
      </c>
      <c r="R598">
        <f>IF($P598="","",IFERROR(INDEX(WageParty,MATCH($Q598,WageIds,0)),""))</f>
        <v/>
      </c>
      <c r="S598">
        <f>IF($P598="","",IFERROR(INDEX($F$6:$F$2005,MATCH($Q598,WageIds,0)),""))</f>
        <v/>
      </c>
      <c r="T598">
        <f>IF(OR($P598="",$S598="",$S598="نامعتبر"),"",LEFT($S598,4)&amp;MID($S598,6,2)&amp;RIGHT($S598,2)&amp;"0000"&amp;"|"&amp;"2"&amp;RIGHT("00000"&amp;593,5))</f>
        <v/>
      </c>
      <c r="U598">
        <f>IF($T598="","",COUNTIFS(LdAParty,$P598,LdAType,1,LdAKey,"&lt;"&amp;$T598)+COUNTIFS(LdBMember,$P598,LdBKey,"&lt;"&amp;$T598)+COUNTIFS(LdCParty,$P598,LdCKey,"&lt;"&amp;$T598)+1)</f>
        <v/>
      </c>
      <c r="V598">
        <f>IF($U598="","",$P598&amp;"|"&amp;RIGHT("000000"&amp;$U598,6))</f>
        <v/>
      </c>
      <c r="W598">
        <f>IF($T598="","",COUNTIFS(LdBGroup,$R598,LdBKey,"&lt;"&amp;$T598)+1)</f>
        <v/>
      </c>
      <c r="X598">
        <f>IF($W598="","",$R598&amp;"|"&amp;RIGHT("000000"&amp;$W598,6))</f>
        <v/>
      </c>
      <c r="Y598">
        <f>IF($P598="","",IF(Shares!$E601="",0,Shares!$E601))</f>
        <v/>
      </c>
      <c r="Z598">
        <f>IF($P598="","",Shares!$H601)</f>
        <v/>
      </c>
      <c r="AE598">
        <f>IF(OR(Sync!$S598="",Sync!$P598=""),"",Sync!$S598)</f>
        <v/>
      </c>
      <c r="AF598">
        <f>IF($AE598="","",IF(ISNUMBER(Sync!$P598),IF(AND(Sync!$P598&gt;=10000101,Sync!$P598&lt;=99991231),INT(Sync!$P598/10000),""),IFERROR(VALUE(TRIM(LEFT(Sync!$P598,FIND("/",Sync!$P598)-1))),"")))</f>
        <v/>
      </c>
      <c r="AG598">
        <f>IF(OR($AE598="",$AF598=""),"",IF(ISNUMBER(Sync!$P598),INT(MOD(Sync!$P598,10000)/100),IFERROR(VALUE(TRIM(LEFT(MID(Sync!$P598,FIND("/",Sync!$P598)+1,20),FIND("/",MID(Sync!$P598,FIND("/",Sync!$P598)+1,20))-1))),"")))</f>
        <v/>
      </c>
      <c r="AH598">
        <f>IF(OR($AE598="",$AF598=""),"",IF(ISNUMBER(Sync!$P598),MOD(Sync!$P598,100),IFERROR(VALUE(TRIM(MID(MID(Sync!$P598,FIND("/",Sync!$P598)+1,20),FIND("/",MID(Sync!$P598,FIND("/",Sync!$P598)+1,20))+1,20))),"")))</f>
        <v/>
      </c>
      <c r="AI598">
        <f>IF($AE598="","",IF(OR($AF598="",$AG598="",$AH598="",$AF598&lt;1300,$AF598&gt;1500,$AG598&lt;1,$AG598&gt;12,$AH598&lt;1,$AH598&gt;31),"نامعتبر",RIGHT("0000"&amp;$AF598,4)&amp;"/"&amp;RIGHT("00"&amp;$AG598,2)&amp;"/"&amp;RIGHT("00"&amp;$AH598,2)))</f>
        <v/>
      </c>
      <c r="AJ598">
        <f>IF($AE598="","",IF(Sync!$Q598="","0000",IF(AND(ISNUMBER(Sync!$Q598),Sync!$Q598&gt;=0,Sync!$Q598&lt;1),RIGHT("00"&amp;HOUR(Sync!$Q598),2)&amp;RIGHT("00"&amp;MINUTE(Sync!$Q598),2),IFERROR(RIGHT("00"&amp;VALUE(LEFT(Sync!$Q598,FIND(":",Sync!$Q598)-1)),2)&amp;RIGHT("00"&amp;VALUE(MID(Sync!$Q598,FIND(":",Sync!$Q598)+1,2)),2),"0000"))))</f>
        <v/>
      </c>
      <c r="AK598">
        <f>IF(OR($AE598="",$AI598="",$AI598="نامعتبر"),"",LEFT($AI598,4)&amp;MID($AI598,6,2)&amp;RIGHT($AI598,2)&amp;$AJ598&amp;"|"&amp;"3"&amp;RIGHT("00000"&amp;593,5))</f>
        <v/>
      </c>
      <c r="AL598">
        <f>IF($AK598="","",COUNTIFS(LdAParty,$AE598,LdAType,1,LdAKey,"&lt;"&amp;$AK598)+COUNTIFS(LdBMember,$AE598,LdBKey,"&lt;"&amp;$AK598)+COUNTIFS(LdCParty,$AE598,LdCKey,"&lt;"&amp;$AK598)+1)</f>
        <v/>
      </c>
      <c r="AM598">
        <f>IF($AL598="","",$AE598&amp;"|"&amp;RIGHT("000000"&amp;$AL598,6))</f>
        <v/>
      </c>
      <c r="AN598">
        <f>IF($AE598="","",IF(Sync!$W598="",0,Sync!$W598))</f>
        <v/>
      </c>
      <c r="AO598">
        <f>IF($AE598="","",IF(Sync!$X598="",0,Sync!$X598))</f>
        <v/>
      </c>
      <c r="AP598">
        <f>IF($AE598="","",Sync!$R598)</f>
        <v/>
      </c>
      <c r="AQ598">
        <f>IF($AE598="","",Sync!$Y598)</f>
        <v/>
      </c>
    </row>
    <row r="599">
      <c r="A599">
        <f>IF(OR(Wages!$B602="",Wages!$E602=""),"",Wages!$E602)</f>
        <v/>
      </c>
      <c r="B599">
        <f>IF($A599="","",IF(Wages!$C602="دستمزد گروهی",2,1))</f>
        <v/>
      </c>
      <c r="C599">
        <f>IF($A599="","",IF(ISNUMBER(Wages!$B602),IF(AND(Wages!$B602&gt;=10000101,Wages!$B602&lt;=99991231),INT(Wages!$B602/10000),""),IFERROR(VALUE(TRIM(LEFT(Wages!$B602,FIND("/",Wages!$B602)-1))),"")))</f>
        <v/>
      </c>
      <c r="D599">
        <f>IF(OR($A599="",$C599=""),"",IF(ISNUMBER(Wages!$B602),INT(MOD(Wages!$B602,10000)/100),IFERROR(VALUE(TRIM(LEFT(MID(Wages!$B602,FIND("/",Wages!$B602)+1,20),FIND("/",MID(Wages!$B602,FIND("/",Wages!$B602)+1,20))-1))),"")))</f>
        <v/>
      </c>
      <c r="E599">
        <f>IF(OR($A599="",$C599=""),"",IF(ISNUMBER(Wages!$B602),MOD(Wages!$B602,100),IFERROR(VALUE(TRIM(MID(MID(Wages!$B602,FIND("/",Wages!$B602)+1,20),FIND("/",MID(Wages!$B602,FIND("/",Wages!$B602)+1,20))+1,20))),"")))</f>
        <v/>
      </c>
      <c r="F599">
        <f>IF($A599="","",IF(OR($C599="",$D599="",$E599="",$C599&lt;1300,$C599&gt;1500,$D599&lt;1,$D599&gt;12,$E599&lt;1,$E599&gt;31),"نامعتبر",RIGHT("0000"&amp;$C599,4)&amp;"/"&amp;RIGHT("00"&amp;$D599,2)&amp;"/"&amp;RIGHT("00"&amp;$E599,2)))</f>
        <v/>
      </c>
      <c r="G599">
        <f>IF(OR($A599="",$F599="",$F599="نامعتبر"),"",LEFT($F599,4)&amp;MID($F599,6,2)&amp;RIGHT($F599,2)&amp;"0000"&amp;"|"&amp;"1"&amp;RIGHT("00000"&amp;594,5))</f>
        <v/>
      </c>
      <c r="H599">
        <f>IF(OR($B599&lt;&gt;1,$G599=""),"",COUNTIFS(LdAParty,$A599,LdAType,1,LdAKey,"&lt;"&amp;$G599)+COUNTIFS(LdBMember,$A599,LdBKey,"&lt;"&amp;$G599)+COUNTIFS(LdCParty,$A599,LdCKey,"&lt;"&amp;$G599)+1)</f>
        <v/>
      </c>
      <c r="I599">
        <f>IF($H599="","",$A599&amp;"|"&amp;RIGHT("000000"&amp;$H599,6))</f>
        <v/>
      </c>
      <c r="J599">
        <f>IF(OR($B599&lt;&gt;2,$G599=""),"",COUNTIFS(LdAParty,$A599,LdAType,2,LdAKey,"&lt;"&amp;$G599)+1)</f>
        <v/>
      </c>
      <c r="K599">
        <f>IF($J599="","",$A599&amp;"|"&amp;RIGHT("000000"&amp;$J599,6))</f>
        <v/>
      </c>
      <c r="L599">
        <f>IF($A599="","",IF(Wages!$G602="",0,Wages!$G602))</f>
        <v/>
      </c>
      <c r="M599">
        <f>IF($A599="","",Wages!$J602)</f>
        <v/>
      </c>
      <c r="N599">
        <f>IF($A599="","",Wages!$D602)</f>
        <v/>
      </c>
      <c r="P599">
        <f>IF(OR(Shares!$B602="",Shares!$C602=""),"",Shares!$C602)</f>
        <v/>
      </c>
      <c r="Q599">
        <f>IF($P599="","",Shares!$B602)</f>
        <v/>
      </c>
      <c r="R599">
        <f>IF($P599="","",IFERROR(INDEX(WageParty,MATCH($Q599,WageIds,0)),""))</f>
        <v/>
      </c>
      <c r="S599">
        <f>IF($P599="","",IFERROR(INDEX($F$6:$F$2005,MATCH($Q599,WageIds,0)),""))</f>
        <v/>
      </c>
      <c r="T599">
        <f>IF(OR($P599="",$S599="",$S599="نامعتبر"),"",LEFT($S599,4)&amp;MID($S599,6,2)&amp;RIGHT($S599,2)&amp;"0000"&amp;"|"&amp;"2"&amp;RIGHT("00000"&amp;594,5))</f>
        <v/>
      </c>
      <c r="U599">
        <f>IF($T599="","",COUNTIFS(LdAParty,$P599,LdAType,1,LdAKey,"&lt;"&amp;$T599)+COUNTIFS(LdBMember,$P599,LdBKey,"&lt;"&amp;$T599)+COUNTIFS(LdCParty,$P599,LdCKey,"&lt;"&amp;$T599)+1)</f>
        <v/>
      </c>
      <c r="V599">
        <f>IF($U599="","",$P599&amp;"|"&amp;RIGHT("000000"&amp;$U599,6))</f>
        <v/>
      </c>
      <c r="W599">
        <f>IF($T599="","",COUNTIFS(LdBGroup,$R599,LdBKey,"&lt;"&amp;$T599)+1)</f>
        <v/>
      </c>
      <c r="X599">
        <f>IF($W599="","",$R599&amp;"|"&amp;RIGHT("000000"&amp;$W599,6))</f>
        <v/>
      </c>
      <c r="Y599">
        <f>IF($P599="","",IF(Shares!$E602="",0,Shares!$E602))</f>
        <v/>
      </c>
      <c r="Z599">
        <f>IF($P599="","",Shares!$H602)</f>
        <v/>
      </c>
      <c r="AE599">
        <f>IF(OR(Sync!$S599="",Sync!$P599=""),"",Sync!$S599)</f>
        <v/>
      </c>
      <c r="AF599">
        <f>IF($AE599="","",IF(ISNUMBER(Sync!$P599),IF(AND(Sync!$P599&gt;=10000101,Sync!$P599&lt;=99991231),INT(Sync!$P599/10000),""),IFERROR(VALUE(TRIM(LEFT(Sync!$P599,FIND("/",Sync!$P599)-1))),"")))</f>
        <v/>
      </c>
      <c r="AG599">
        <f>IF(OR($AE599="",$AF599=""),"",IF(ISNUMBER(Sync!$P599),INT(MOD(Sync!$P599,10000)/100),IFERROR(VALUE(TRIM(LEFT(MID(Sync!$P599,FIND("/",Sync!$P599)+1,20),FIND("/",MID(Sync!$P599,FIND("/",Sync!$P599)+1,20))-1))),"")))</f>
        <v/>
      </c>
      <c r="AH599">
        <f>IF(OR($AE599="",$AF599=""),"",IF(ISNUMBER(Sync!$P599),MOD(Sync!$P599,100),IFERROR(VALUE(TRIM(MID(MID(Sync!$P599,FIND("/",Sync!$P599)+1,20),FIND("/",MID(Sync!$P599,FIND("/",Sync!$P599)+1,20))+1,20))),"")))</f>
        <v/>
      </c>
      <c r="AI599">
        <f>IF($AE599="","",IF(OR($AF599="",$AG599="",$AH599="",$AF599&lt;1300,$AF599&gt;1500,$AG599&lt;1,$AG599&gt;12,$AH599&lt;1,$AH599&gt;31),"نامعتبر",RIGHT("0000"&amp;$AF599,4)&amp;"/"&amp;RIGHT("00"&amp;$AG599,2)&amp;"/"&amp;RIGHT("00"&amp;$AH599,2)))</f>
        <v/>
      </c>
      <c r="AJ599">
        <f>IF($AE599="","",IF(Sync!$Q599="","0000",IF(AND(ISNUMBER(Sync!$Q599),Sync!$Q599&gt;=0,Sync!$Q599&lt;1),RIGHT("00"&amp;HOUR(Sync!$Q599),2)&amp;RIGHT("00"&amp;MINUTE(Sync!$Q599),2),IFERROR(RIGHT("00"&amp;VALUE(LEFT(Sync!$Q599,FIND(":",Sync!$Q599)-1)),2)&amp;RIGHT("00"&amp;VALUE(MID(Sync!$Q599,FIND(":",Sync!$Q599)+1,2)),2),"0000"))))</f>
        <v/>
      </c>
      <c r="AK599">
        <f>IF(OR($AE599="",$AI599="",$AI599="نامعتبر"),"",LEFT($AI599,4)&amp;MID($AI599,6,2)&amp;RIGHT($AI599,2)&amp;$AJ599&amp;"|"&amp;"3"&amp;RIGHT("00000"&amp;594,5))</f>
        <v/>
      </c>
      <c r="AL599">
        <f>IF($AK599="","",COUNTIFS(LdAParty,$AE599,LdAType,1,LdAKey,"&lt;"&amp;$AK599)+COUNTIFS(LdBMember,$AE599,LdBKey,"&lt;"&amp;$AK599)+COUNTIFS(LdCParty,$AE599,LdCKey,"&lt;"&amp;$AK599)+1)</f>
        <v/>
      </c>
      <c r="AM599">
        <f>IF($AL599="","",$AE599&amp;"|"&amp;RIGHT("000000"&amp;$AL599,6))</f>
        <v/>
      </c>
      <c r="AN599">
        <f>IF($AE599="","",IF(Sync!$W599="",0,Sync!$W599))</f>
        <v/>
      </c>
      <c r="AO599">
        <f>IF($AE599="","",IF(Sync!$X599="",0,Sync!$X599))</f>
        <v/>
      </c>
      <c r="AP599">
        <f>IF($AE599="","",Sync!$R599)</f>
        <v/>
      </c>
      <c r="AQ599">
        <f>IF($AE599="","",Sync!$Y599)</f>
        <v/>
      </c>
    </row>
    <row r="600">
      <c r="A600">
        <f>IF(OR(Wages!$B603="",Wages!$E603=""),"",Wages!$E603)</f>
        <v/>
      </c>
      <c r="B600">
        <f>IF($A600="","",IF(Wages!$C603="دستمزد گروهی",2,1))</f>
        <v/>
      </c>
      <c r="C600">
        <f>IF($A600="","",IF(ISNUMBER(Wages!$B603),IF(AND(Wages!$B603&gt;=10000101,Wages!$B603&lt;=99991231),INT(Wages!$B603/10000),""),IFERROR(VALUE(TRIM(LEFT(Wages!$B603,FIND("/",Wages!$B603)-1))),"")))</f>
        <v/>
      </c>
      <c r="D600">
        <f>IF(OR($A600="",$C600=""),"",IF(ISNUMBER(Wages!$B603),INT(MOD(Wages!$B603,10000)/100),IFERROR(VALUE(TRIM(LEFT(MID(Wages!$B603,FIND("/",Wages!$B603)+1,20),FIND("/",MID(Wages!$B603,FIND("/",Wages!$B603)+1,20))-1))),"")))</f>
        <v/>
      </c>
      <c r="E600">
        <f>IF(OR($A600="",$C600=""),"",IF(ISNUMBER(Wages!$B603),MOD(Wages!$B603,100),IFERROR(VALUE(TRIM(MID(MID(Wages!$B603,FIND("/",Wages!$B603)+1,20),FIND("/",MID(Wages!$B603,FIND("/",Wages!$B603)+1,20))+1,20))),"")))</f>
        <v/>
      </c>
      <c r="F600">
        <f>IF($A600="","",IF(OR($C600="",$D600="",$E600="",$C600&lt;1300,$C600&gt;1500,$D600&lt;1,$D600&gt;12,$E600&lt;1,$E600&gt;31),"نامعتبر",RIGHT("0000"&amp;$C600,4)&amp;"/"&amp;RIGHT("00"&amp;$D600,2)&amp;"/"&amp;RIGHT("00"&amp;$E600,2)))</f>
        <v/>
      </c>
      <c r="G600">
        <f>IF(OR($A600="",$F600="",$F600="نامعتبر"),"",LEFT($F600,4)&amp;MID($F600,6,2)&amp;RIGHT($F600,2)&amp;"0000"&amp;"|"&amp;"1"&amp;RIGHT("00000"&amp;595,5))</f>
        <v/>
      </c>
      <c r="H600">
        <f>IF(OR($B600&lt;&gt;1,$G600=""),"",COUNTIFS(LdAParty,$A600,LdAType,1,LdAKey,"&lt;"&amp;$G600)+COUNTIFS(LdBMember,$A600,LdBKey,"&lt;"&amp;$G600)+COUNTIFS(LdCParty,$A600,LdCKey,"&lt;"&amp;$G600)+1)</f>
        <v/>
      </c>
      <c r="I600">
        <f>IF($H600="","",$A600&amp;"|"&amp;RIGHT("000000"&amp;$H600,6))</f>
        <v/>
      </c>
      <c r="J600">
        <f>IF(OR($B600&lt;&gt;2,$G600=""),"",COUNTIFS(LdAParty,$A600,LdAType,2,LdAKey,"&lt;"&amp;$G600)+1)</f>
        <v/>
      </c>
      <c r="K600">
        <f>IF($J600="","",$A600&amp;"|"&amp;RIGHT("000000"&amp;$J600,6))</f>
        <v/>
      </c>
      <c r="L600">
        <f>IF($A600="","",IF(Wages!$G603="",0,Wages!$G603))</f>
        <v/>
      </c>
      <c r="M600">
        <f>IF($A600="","",Wages!$J603)</f>
        <v/>
      </c>
      <c r="N600">
        <f>IF($A600="","",Wages!$D603)</f>
        <v/>
      </c>
      <c r="P600">
        <f>IF(OR(Shares!$B603="",Shares!$C603=""),"",Shares!$C603)</f>
        <v/>
      </c>
      <c r="Q600">
        <f>IF($P600="","",Shares!$B603)</f>
        <v/>
      </c>
      <c r="R600">
        <f>IF($P600="","",IFERROR(INDEX(WageParty,MATCH($Q600,WageIds,0)),""))</f>
        <v/>
      </c>
      <c r="S600">
        <f>IF($P600="","",IFERROR(INDEX($F$6:$F$2005,MATCH($Q600,WageIds,0)),""))</f>
        <v/>
      </c>
      <c r="T600">
        <f>IF(OR($P600="",$S600="",$S600="نامعتبر"),"",LEFT($S600,4)&amp;MID($S600,6,2)&amp;RIGHT($S600,2)&amp;"0000"&amp;"|"&amp;"2"&amp;RIGHT("00000"&amp;595,5))</f>
        <v/>
      </c>
      <c r="U600">
        <f>IF($T600="","",COUNTIFS(LdAParty,$P600,LdAType,1,LdAKey,"&lt;"&amp;$T600)+COUNTIFS(LdBMember,$P600,LdBKey,"&lt;"&amp;$T600)+COUNTIFS(LdCParty,$P600,LdCKey,"&lt;"&amp;$T600)+1)</f>
        <v/>
      </c>
      <c r="V600">
        <f>IF($U600="","",$P600&amp;"|"&amp;RIGHT("000000"&amp;$U600,6))</f>
        <v/>
      </c>
      <c r="W600">
        <f>IF($T600="","",COUNTIFS(LdBGroup,$R600,LdBKey,"&lt;"&amp;$T600)+1)</f>
        <v/>
      </c>
      <c r="X600">
        <f>IF($W600="","",$R600&amp;"|"&amp;RIGHT("000000"&amp;$W600,6))</f>
        <v/>
      </c>
      <c r="Y600">
        <f>IF($P600="","",IF(Shares!$E603="",0,Shares!$E603))</f>
        <v/>
      </c>
      <c r="Z600">
        <f>IF($P600="","",Shares!$H603)</f>
        <v/>
      </c>
      <c r="AE600">
        <f>IF(OR(Sync!$S600="",Sync!$P600=""),"",Sync!$S600)</f>
        <v/>
      </c>
      <c r="AF600">
        <f>IF($AE600="","",IF(ISNUMBER(Sync!$P600),IF(AND(Sync!$P600&gt;=10000101,Sync!$P600&lt;=99991231),INT(Sync!$P600/10000),""),IFERROR(VALUE(TRIM(LEFT(Sync!$P600,FIND("/",Sync!$P600)-1))),"")))</f>
        <v/>
      </c>
      <c r="AG600">
        <f>IF(OR($AE600="",$AF600=""),"",IF(ISNUMBER(Sync!$P600),INT(MOD(Sync!$P600,10000)/100),IFERROR(VALUE(TRIM(LEFT(MID(Sync!$P600,FIND("/",Sync!$P600)+1,20),FIND("/",MID(Sync!$P600,FIND("/",Sync!$P600)+1,20))-1))),"")))</f>
        <v/>
      </c>
      <c r="AH600">
        <f>IF(OR($AE600="",$AF600=""),"",IF(ISNUMBER(Sync!$P600),MOD(Sync!$P600,100),IFERROR(VALUE(TRIM(MID(MID(Sync!$P600,FIND("/",Sync!$P600)+1,20),FIND("/",MID(Sync!$P600,FIND("/",Sync!$P600)+1,20))+1,20))),"")))</f>
        <v/>
      </c>
      <c r="AI600">
        <f>IF($AE600="","",IF(OR($AF600="",$AG600="",$AH600="",$AF600&lt;1300,$AF600&gt;1500,$AG600&lt;1,$AG600&gt;12,$AH600&lt;1,$AH600&gt;31),"نامعتبر",RIGHT("0000"&amp;$AF600,4)&amp;"/"&amp;RIGHT("00"&amp;$AG600,2)&amp;"/"&amp;RIGHT("00"&amp;$AH600,2)))</f>
        <v/>
      </c>
      <c r="AJ600">
        <f>IF($AE600="","",IF(Sync!$Q600="","0000",IF(AND(ISNUMBER(Sync!$Q600),Sync!$Q600&gt;=0,Sync!$Q600&lt;1),RIGHT("00"&amp;HOUR(Sync!$Q600),2)&amp;RIGHT("00"&amp;MINUTE(Sync!$Q600),2),IFERROR(RIGHT("00"&amp;VALUE(LEFT(Sync!$Q600,FIND(":",Sync!$Q600)-1)),2)&amp;RIGHT("00"&amp;VALUE(MID(Sync!$Q600,FIND(":",Sync!$Q600)+1,2)),2),"0000"))))</f>
        <v/>
      </c>
      <c r="AK600">
        <f>IF(OR($AE600="",$AI600="",$AI600="نامعتبر"),"",LEFT($AI600,4)&amp;MID($AI600,6,2)&amp;RIGHT($AI600,2)&amp;$AJ600&amp;"|"&amp;"3"&amp;RIGHT("00000"&amp;595,5))</f>
        <v/>
      </c>
      <c r="AL600">
        <f>IF($AK600="","",COUNTIFS(LdAParty,$AE600,LdAType,1,LdAKey,"&lt;"&amp;$AK600)+COUNTIFS(LdBMember,$AE600,LdBKey,"&lt;"&amp;$AK600)+COUNTIFS(LdCParty,$AE600,LdCKey,"&lt;"&amp;$AK600)+1)</f>
        <v/>
      </c>
      <c r="AM600">
        <f>IF($AL600="","",$AE600&amp;"|"&amp;RIGHT("000000"&amp;$AL600,6))</f>
        <v/>
      </c>
      <c r="AN600">
        <f>IF($AE600="","",IF(Sync!$W600="",0,Sync!$W600))</f>
        <v/>
      </c>
      <c r="AO600">
        <f>IF($AE600="","",IF(Sync!$X600="",0,Sync!$X600))</f>
        <v/>
      </c>
      <c r="AP600">
        <f>IF($AE600="","",Sync!$R600)</f>
        <v/>
      </c>
      <c r="AQ600">
        <f>IF($AE600="","",Sync!$Y600)</f>
        <v/>
      </c>
    </row>
    <row r="601">
      <c r="A601">
        <f>IF(OR(Wages!$B604="",Wages!$E604=""),"",Wages!$E604)</f>
        <v/>
      </c>
      <c r="B601">
        <f>IF($A601="","",IF(Wages!$C604="دستمزد گروهی",2,1))</f>
        <v/>
      </c>
      <c r="C601">
        <f>IF($A601="","",IF(ISNUMBER(Wages!$B604),IF(AND(Wages!$B604&gt;=10000101,Wages!$B604&lt;=99991231),INT(Wages!$B604/10000),""),IFERROR(VALUE(TRIM(LEFT(Wages!$B604,FIND("/",Wages!$B604)-1))),"")))</f>
        <v/>
      </c>
      <c r="D601">
        <f>IF(OR($A601="",$C601=""),"",IF(ISNUMBER(Wages!$B604),INT(MOD(Wages!$B604,10000)/100),IFERROR(VALUE(TRIM(LEFT(MID(Wages!$B604,FIND("/",Wages!$B604)+1,20),FIND("/",MID(Wages!$B604,FIND("/",Wages!$B604)+1,20))-1))),"")))</f>
        <v/>
      </c>
      <c r="E601">
        <f>IF(OR($A601="",$C601=""),"",IF(ISNUMBER(Wages!$B604),MOD(Wages!$B604,100),IFERROR(VALUE(TRIM(MID(MID(Wages!$B604,FIND("/",Wages!$B604)+1,20),FIND("/",MID(Wages!$B604,FIND("/",Wages!$B604)+1,20))+1,20))),"")))</f>
        <v/>
      </c>
      <c r="F601">
        <f>IF($A601="","",IF(OR($C601="",$D601="",$E601="",$C601&lt;1300,$C601&gt;1500,$D601&lt;1,$D601&gt;12,$E601&lt;1,$E601&gt;31),"نامعتبر",RIGHT("0000"&amp;$C601,4)&amp;"/"&amp;RIGHT("00"&amp;$D601,2)&amp;"/"&amp;RIGHT("00"&amp;$E601,2)))</f>
        <v/>
      </c>
      <c r="G601">
        <f>IF(OR($A601="",$F601="",$F601="نامعتبر"),"",LEFT($F601,4)&amp;MID($F601,6,2)&amp;RIGHT($F601,2)&amp;"0000"&amp;"|"&amp;"1"&amp;RIGHT("00000"&amp;596,5))</f>
        <v/>
      </c>
      <c r="H601">
        <f>IF(OR($B601&lt;&gt;1,$G601=""),"",COUNTIFS(LdAParty,$A601,LdAType,1,LdAKey,"&lt;"&amp;$G601)+COUNTIFS(LdBMember,$A601,LdBKey,"&lt;"&amp;$G601)+COUNTIFS(LdCParty,$A601,LdCKey,"&lt;"&amp;$G601)+1)</f>
        <v/>
      </c>
      <c r="I601">
        <f>IF($H601="","",$A601&amp;"|"&amp;RIGHT("000000"&amp;$H601,6))</f>
        <v/>
      </c>
      <c r="J601">
        <f>IF(OR($B601&lt;&gt;2,$G601=""),"",COUNTIFS(LdAParty,$A601,LdAType,2,LdAKey,"&lt;"&amp;$G601)+1)</f>
        <v/>
      </c>
      <c r="K601">
        <f>IF($J601="","",$A601&amp;"|"&amp;RIGHT("000000"&amp;$J601,6))</f>
        <v/>
      </c>
      <c r="L601">
        <f>IF($A601="","",IF(Wages!$G604="",0,Wages!$G604))</f>
        <v/>
      </c>
      <c r="M601">
        <f>IF($A601="","",Wages!$J604)</f>
        <v/>
      </c>
      <c r="N601">
        <f>IF($A601="","",Wages!$D604)</f>
        <v/>
      </c>
      <c r="P601">
        <f>IF(OR(Shares!$B604="",Shares!$C604=""),"",Shares!$C604)</f>
        <v/>
      </c>
      <c r="Q601">
        <f>IF($P601="","",Shares!$B604)</f>
        <v/>
      </c>
      <c r="R601">
        <f>IF($P601="","",IFERROR(INDEX(WageParty,MATCH($Q601,WageIds,0)),""))</f>
        <v/>
      </c>
      <c r="S601">
        <f>IF($P601="","",IFERROR(INDEX($F$6:$F$2005,MATCH($Q601,WageIds,0)),""))</f>
        <v/>
      </c>
      <c r="T601">
        <f>IF(OR($P601="",$S601="",$S601="نامعتبر"),"",LEFT($S601,4)&amp;MID($S601,6,2)&amp;RIGHT($S601,2)&amp;"0000"&amp;"|"&amp;"2"&amp;RIGHT("00000"&amp;596,5))</f>
        <v/>
      </c>
      <c r="U601">
        <f>IF($T601="","",COUNTIFS(LdAParty,$P601,LdAType,1,LdAKey,"&lt;"&amp;$T601)+COUNTIFS(LdBMember,$P601,LdBKey,"&lt;"&amp;$T601)+COUNTIFS(LdCParty,$P601,LdCKey,"&lt;"&amp;$T601)+1)</f>
        <v/>
      </c>
      <c r="V601">
        <f>IF($U601="","",$P601&amp;"|"&amp;RIGHT("000000"&amp;$U601,6))</f>
        <v/>
      </c>
      <c r="W601">
        <f>IF($T601="","",COUNTIFS(LdBGroup,$R601,LdBKey,"&lt;"&amp;$T601)+1)</f>
        <v/>
      </c>
      <c r="X601">
        <f>IF($W601="","",$R601&amp;"|"&amp;RIGHT("000000"&amp;$W601,6))</f>
        <v/>
      </c>
      <c r="Y601">
        <f>IF($P601="","",IF(Shares!$E604="",0,Shares!$E604))</f>
        <v/>
      </c>
      <c r="Z601">
        <f>IF($P601="","",Shares!$H604)</f>
        <v/>
      </c>
      <c r="AE601">
        <f>IF(OR(Sync!$S601="",Sync!$P601=""),"",Sync!$S601)</f>
        <v/>
      </c>
      <c r="AF601">
        <f>IF($AE601="","",IF(ISNUMBER(Sync!$P601),IF(AND(Sync!$P601&gt;=10000101,Sync!$P601&lt;=99991231),INT(Sync!$P601/10000),""),IFERROR(VALUE(TRIM(LEFT(Sync!$P601,FIND("/",Sync!$P601)-1))),"")))</f>
        <v/>
      </c>
      <c r="AG601">
        <f>IF(OR($AE601="",$AF601=""),"",IF(ISNUMBER(Sync!$P601),INT(MOD(Sync!$P601,10000)/100),IFERROR(VALUE(TRIM(LEFT(MID(Sync!$P601,FIND("/",Sync!$P601)+1,20),FIND("/",MID(Sync!$P601,FIND("/",Sync!$P601)+1,20))-1))),"")))</f>
        <v/>
      </c>
      <c r="AH601">
        <f>IF(OR($AE601="",$AF601=""),"",IF(ISNUMBER(Sync!$P601),MOD(Sync!$P601,100),IFERROR(VALUE(TRIM(MID(MID(Sync!$P601,FIND("/",Sync!$P601)+1,20),FIND("/",MID(Sync!$P601,FIND("/",Sync!$P601)+1,20))+1,20))),"")))</f>
        <v/>
      </c>
      <c r="AI601">
        <f>IF($AE601="","",IF(OR($AF601="",$AG601="",$AH601="",$AF601&lt;1300,$AF601&gt;1500,$AG601&lt;1,$AG601&gt;12,$AH601&lt;1,$AH601&gt;31),"نامعتبر",RIGHT("0000"&amp;$AF601,4)&amp;"/"&amp;RIGHT("00"&amp;$AG601,2)&amp;"/"&amp;RIGHT("00"&amp;$AH601,2)))</f>
        <v/>
      </c>
      <c r="AJ601">
        <f>IF($AE601="","",IF(Sync!$Q601="","0000",IF(AND(ISNUMBER(Sync!$Q601),Sync!$Q601&gt;=0,Sync!$Q601&lt;1),RIGHT("00"&amp;HOUR(Sync!$Q601),2)&amp;RIGHT("00"&amp;MINUTE(Sync!$Q601),2),IFERROR(RIGHT("00"&amp;VALUE(LEFT(Sync!$Q601,FIND(":",Sync!$Q601)-1)),2)&amp;RIGHT("00"&amp;VALUE(MID(Sync!$Q601,FIND(":",Sync!$Q601)+1,2)),2),"0000"))))</f>
        <v/>
      </c>
      <c r="AK601">
        <f>IF(OR($AE601="",$AI601="",$AI601="نامعتبر"),"",LEFT($AI601,4)&amp;MID($AI601,6,2)&amp;RIGHT($AI601,2)&amp;$AJ601&amp;"|"&amp;"3"&amp;RIGHT("00000"&amp;596,5))</f>
        <v/>
      </c>
      <c r="AL601">
        <f>IF($AK601="","",COUNTIFS(LdAParty,$AE601,LdAType,1,LdAKey,"&lt;"&amp;$AK601)+COUNTIFS(LdBMember,$AE601,LdBKey,"&lt;"&amp;$AK601)+COUNTIFS(LdCParty,$AE601,LdCKey,"&lt;"&amp;$AK601)+1)</f>
        <v/>
      </c>
      <c r="AM601">
        <f>IF($AL601="","",$AE601&amp;"|"&amp;RIGHT("000000"&amp;$AL601,6))</f>
        <v/>
      </c>
      <c r="AN601">
        <f>IF($AE601="","",IF(Sync!$W601="",0,Sync!$W601))</f>
        <v/>
      </c>
      <c r="AO601">
        <f>IF($AE601="","",IF(Sync!$X601="",0,Sync!$X601))</f>
        <v/>
      </c>
      <c r="AP601">
        <f>IF($AE601="","",Sync!$R601)</f>
        <v/>
      </c>
      <c r="AQ601">
        <f>IF($AE601="","",Sync!$Y601)</f>
        <v/>
      </c>
    </row>
    <row r="602">
      <c r="A602">
        <f>IF(OR(Wages!$B605="",Wages!$E605=""),"",Wages!$E605)</f>
        <v/>
      </c>
      <c r="B602">
        <f>IF($A602="","",IF(Wages!$C605="دستمزد گروهی",2,1))</f>
        <v/>
      </c>
      <c r="C602">
        <f>IF($A602="","",IF(ISNUMBER(Wages!$B605),IF(AND(Wages!$B605&gt;=10000101,Wages!$B605&lt;=99991231),INT(Wages!$B605/10000),""),IFERROR(VALUE(TRIM(LEFT(Wages!$B605,FIND("/",Wages!$B605)-1))),"")))</f>
        <v/>
      </c>
      <c r="D602">
        <f>IF(OR($A602="",$C602=""),"",IF(ISNUMBER(Wages!$B605),INT(MOD(Wages!$B605,10000)/100),IFERROR(VALUE(TRIM(LEFT(MID(Wages!$B605,FIND("/",Wages!$B605)+1,20),FIND("/",MID(Wages!$B605,FIND("/",Wages!$B605)+1,20))-1))),"")))</f>
        <v/>
      </c>
      <c r="E602">
        <f>IF(OR($A602="",$C602=""),"",IF(ISNUMBER(Wages!$B605),MOD(Wages!$B605,100),IFERROR(VALUE(TRIM(MID(MID(Wages!$B605,FIND("/",Wages!$B605)+1,20),FIND("/",MID(Wages!$B605,FIND("/",Wages!$B605)+1,20))+1,20))),"")))</f>
        <v/>
      </c>
      <c r="F602">
        <f>IF($A602="","",IF(OR($C602="",$D602="",$E602="",$C602&lt;1300,$C602&gt;1500,$D602&lt;1,$D602&gt;12,$E602&lt;1,$E602&gt;31),"نامعتبر",RIGHT("0000"&amp;$C602,4)&amp;"/"&amp;RIGHT("00"&amp;$D602,2)&amp;"/"&amp;RIGHT("00"&amp;$E602,2)))</f>
        <v/>
      </c>
      <c r="G602">
        <f>IF(OR($A602="",$F602="",$F602="نامعتبر"),"",LEFT($F602,4)&amp;MID($F602,6,2)&amp;RIGHT($F602,2)&amp;"0000"&amp;"|"&amp;"1"&amp;RIGHT("00000"&amp;597,5))</f>
        <v/>
      </c>
      <c r="H602">
        <f>IF(OR($B602&lt;&gt;1,$G602=""),"",COUNTIFS(LdAParty,$A602,LdAType,1,LdAKey,"&lt;"&amp;$G602)+COUNTIFS(LdBMember,$A602,LdBKey,"&lt;"&amp;$G602)+COUNTIFS(LdCParty,$A602,LdCKey,"&lt;"&amp;$G602)+1)</f>
        <v/>
      </c>
      <c r="I602">
        <f>IF($H602="","",$A602&amp;"|"&amp;RIGHT("000000"&amp;$H602,6))</f>
        <v/>
      </c>
      <c r="J602">
        <f>IF(OR($B602&lt;&gt;2,$G602=""),"",COUNTIFS(LdAParty,$A602,LdAType,2,LdAKey,"&lt;"&amp;$G602)+1)</f>
        <v/>
      </c>
      <c r="K602">
        <f>IF($J602="","",$A602&amp;"|"&amp;RIGHT("000000"&amp;$J602,6))</f>
        <v/>
      </c>
      <c r="L602">
        <f>IF($A602="","",IF(Wages!$G605="",0,Wages!$G605))</f>
        <v/>
      </c>
      <c r="M602">
        <f>IF($A602="","",Wages!$J605)</f>
        <v/>
      </c>
      <c r="N602">
        <f>IF($A602="","",Wages!$D605)</f>
        <v/>
      </c>
      <c r="P602">
        <f>IF(OR(Shares!$B605="",Shares!$C605=""),"",Shares!$C605)</f>
        <v/>
      </c>
      <c r="Q602">
        <f>IF($P602="","",Shares!$B605)</f>
        <v/>
      </c>
      <c r="R602">
        <f>IF($P602="","",IFERROR(INDEX(WageParty,MATCH($Q602,WageIds,0)),""))</f>
        <v/>
      </c>
      <c r="S602">
        <f>IF($P602="","",IFERROR(INDEX($F$6:$F$2005,MATCH($Q602,WageIds,0)),""))</f>
        <v/>
      </c>
      <c r="T602">
        <f>IF(OR($P602="",$S602="",$S602="نامعتبر"),"",LEFT($S602,4)&amp;MID($S602,6,2)&amp;RIGHT($S602,2)&amp;"0000"&amp;"|"&amp;"2"&amp;RIGHT("00000"&amp;597,5))</f>
        <v/>
      </c>
      <c r="U602">
        <f>IF($T602="","",COUNTIFS(LdAParty,$P602,LdAType,1,LdAKey,"&lt;"&amp;$T602)+COUNTIFS(LdBMember,$P602,LdBKey,"&lt;"&amp;$T602)+COUNTIFS(LdCParty,$P602,LdCKey,"&lt;"&amp;$T602)+1)</f>
        <v/>
      </c>
      <c r="V602">
        <f>IF($U602="","",$P602&amp;"|"&amp;RIGHT("000000"&amp;$U602,6))</f>
        <v/>
      </c>
      <c r="W602">
        <f>IF($T602="","",COUNTIFS(LdBGroup,$R602,LdBKey,"&lt;"&amp;$T602)+1)</f>
        <v/>
      </c>
      <c r="X602">
        <f>IF($W602="","",$R602&amp;"|"&amp;RIGHT("000000"&amp;$W602,6))</f>
        <v/>
      </c>
      <c r="Y602">
        <f>IF($P602="","",IF(Shares!$E605="",0,Shares!$E605))</f>
        <v/>
      </c>
      <c r="Z602">
        <f>IF($P602="","",Shares!$H605)</f>
        <v/>
      </c>
      <c r="AE602">
        <f>IF(OR(Sync!$S602="",Sync!$P602=""),"",Sync!$S602)</f>
        <v/>
      </c>
      <c r="AF602">
        <f>IF($AE602="","",IF(ISNUMBER(Sync!$P602),IF(AND(Sync!$P602&gt;=10000101,Sync!$P602&lt;=99991231),INT(Sync!$P602/10000),""),IFERROR(VALUE(TRIM(LEFT(Sync!$P602,FIND("/",Sync!$P602)-1))),"")))</f>
        <v/>
      </c>
      <c r="AG602">
        <f>IF(OR($AE602="",$AF602=""),"",IF(ISNUMBER(Sync!$P602),INT(MOD(Sync!$P602,10000)/100),IFERROR(VALUE(TRIM(LEFT(MID(Sync!$P602,FIND("/",Sync!$P602)+1,20),FIND("/",MID(Sync!$P602,FIND("/",Sync!$P602)+1,20))-1))),"")))</f>
        <v/>
      </c>
      <c r="AH602">
        <f>IF(OR($AE602="",$AF602=""),"",IF(ISNUMBER(Sync!$P602),MOD(Sync!$P602,100),IFERROR(VALUE(TRIM(MID(MID(Sync!$P602,FIND("/",Sync!$P602)+1,20),FIND("/",MID(Sync!$P602,FIND("/",Sync!$P602)+1,20))+1,20))),"")))</f>
        <v/>
      </c>
      <c r="AI602">
        <f>IF($AE602="","",IF(OR($AF602="",$AG602="",$AH602="",$AF602&lt;1300,$AF602&gt;1500,$AG602&lt;1,$AG602&gt;12,$AH602&lt;1,$AH602&gt;31),"نامعتبر",RIGHT("0000"&amp;$AF602,4)&amp;"/"&amp;RIGHT("00"&amp;$AG602,2)&amp;"/"&amp;RIGHT("00"&amp;$AH602,2)))</f>
        <v/>
      </c>
      <c r="AJ602">
        <f>IF($AE602="","",IF(Sync!$Q602="","0000",IF(AND(ISNUMBER(Sync!$Q602),Sync!$Q602&gt;=0,Sync!$Q602&lt;1),RIGHT("00"&amp;HOUR(Sync!$Q602),2)&amp;RIGHT("00"&amp;MINUTE(Sync!$Q602),2),IFERROR(RIGHT("00"&amp;VALUE(LEFT(Sync!$Q602,FIND(":",Sync!$Q602)-1)),2)&amp;RIGHT("00"&amp;VALUE(MID(Sync!$Q602,FIND(":",Sync!$Q602)+1,2)),2),"0000"))))</f>
        <v/>
      </c>
      <c r="AK602">
        <f>IF(OR($AE602="",$AI602="",$AI602="نامعتبر"),"",LEFT($AI602,4)&amp;MID($AI602,6,2)&amp;RIGHT($AI602,2)&amp;$AJ602&amp;"|"&amp;"3"&amp;RIGHT("00000"&amp;597,5))</f>
        <v/>
      </c>
      <c r="AL602">
        <f>IF($AK602="","",COUNTIFS(LdAParty,$AE602,LdAType,1,LdAKey,"&lt;"&amp;$AK602)+COUNTIFS(LdBMember,$AE602,LdBKey,"&lt;"&amp;$AK602)+COUNTIFS(LdCParty,$AE602,LdCKey,"&lt;"&amp;$AK602)+1)</f>
        <v/>
      </c>
      <c r="AM602">
        <f>IF($AL602="","",$AE602&amp;"|"&amp;RIGHT("000000"&amp;$AL602,6))</f>
        <v/>
      </c>
      <c r="AN602">
        <f>IF($AE602="","",IF(Sync!$W602="",0,Sync!$W602))</f>
        <v/>
      </c>
      <c r="AO602">
        <f>IF($AE602="","",IF(Sync!$X602="",0,Sync!$X602))</f>
        <v/>
      </c>
      <c r="AP602">
        <f>IF($AE602="","",Sync!$R602)</f>
        <v/>
      </c>
      <c r="AQ602">
        <f>IF($AE602="","",Sync!$Y602)</f>
        <v/>
      </c>
    </row>
    <row r="603">
      <c r="A603">
        <f>IF(OR(Wages!$B606="",Wages!$E606=""),"",Wages!$E606)</f>
        <v/>
      </c>
      <c r="B603">
        <f>IF($A603="","",IF(Wages!$C606="دستمزد گروهی",2,1))</f>
        <v/>
      </c>
      <c r="C603">
        <f>IF($A603="","",IF(ISNUMBER(Wages!$B606),IF(AND(Wages!$B606&gt;=10000101,Wages!$B606&lt;=99991231),INT(Wages!$B606/10000),""),IFERROR(VALUE(TRIM(LEFT(Wages!$B606,FIND("/",Wages!$B606)-1))),"")))</f>
        <v/>
      </c>
      <c r="D603">
        <f>IF(OR($A603="",$C603=""),"",IF(ISNUMBER(Wages!$B606),INT(MOD(Wages!$B606,10000)/100),IFERROR(VALUE(TRIM(LEFT(MID(Wages!$B606,FIND("/",Wages!$B606)+1,20),FIND("/",MID(Wages!$B606,FIND("/",Wages!$B606)+1,20))-1))),"")))</f>
        <v/>
      </c>
      <c r="E603">
        <f>IF(OR($A603="",$C603=""),"",IF(ISNUMBER(Wages!$B606),MOD(Wages!$B606,100),IFERROR(VALUE(TRIM(MID(MID(Wages!$B606,FIND("/",Wages!$B606)+1,20),FIND("/",MID(Wages!$B606,FIND("/",Wages!$B606)+1,20))+1,20))),"")))</f>
        <v/>
      </c>
      <c r="F603">
        <f>IF($A603="","",IF(OR($C603="",$D603="",$E603="",$C603&lt;1300,$C603&gt;1500,$D603&lt;1,$D603&gt;12,$E603&lt;1,$E603&gt;31),"نامعتبر",RIGHT("0000"&amp;$C603,4)&amp;"/"&amp;RIGHT("00"&amp;$D603,2)&amp;"/"&amp;RIGHT("00"&amp;$E603,2)))</f>
        <v/>
      </c>
      <c r="G603">
        <f>IF(OR($A603="",$F603="",$F603="نامعتبر"),"",LEFT($F603,4)&amp;MID($F603,6,2)&amp;RIGHT($F603,2)&amp;"0000"&amp;"|"&amp;"1"&amp;RIGHT("00000"&amp;598,5))</f>
        <v/>
      </c>
      <c r="H603">
        <f>IF(OR($B603&lt;&gt;1,$G603=""),"",COUNTIFS(LdAParty,$A603,LdAType,1,LdAKey,"&lt;"&amp;$G603)+COUNTIFS(LdBMember,$A603,LdBKey,"&lt;"&amp;$G603)+COUNTIFS(LdCParty,$A603,LdCKey,"&lt;"&amp;$G603)+1)</f>
        <v/>
      </c>
      <c r="I603">
        <f>IF($H603="","",$A603&amp;"|"&amp;RIGHT("000000"&amp;$H603,6))</f>
        <v/>
      </c>
      <c r="J603">
        <f>IF(OR($B603&lt;&gt;2,$G603=""),"",COUNTIFS(LdAParty,$A603,LdAType,2,LdAKey,"&lt;"&amp;$G603)+1)</f>
        <v/>
      </c>
      <c r="K603">
        <f>IF($J603="","",$A603&amp;"|"&amp;RIGHT("000000"&amp;$J603,6))</f>
        <v/>
      </c>
      <c r="L603">
        <f>IF($A603="","",IF(Wages!$G606="",0,Wages!$G606))</f>
        <v/>
      </c>
      <c r="M603">
        <f>IF($A603="","",Wages!$J606)</f>
        <v/>
      </c>
      <c r="N603">
        <f>IF($A603="","",Wages!$D606)</f>
        <v/>
      </c>
      <c r="P603">
        <f>IF(OR(Shares!$B606="",Shares!$C606=""),"",Shares!$C606)</f>
        <v/>
      </c>
      <c r="Q603">
        <f>IF($P603="","",Shares!$B606)</f>
        <v/>
      </c>
      <c r="R603">
        <f>IF($P603="","",IFERROR(INDEX(WageParty,MATCH($Q603,WageIds,0)),""))</f>
        <v/>
      </c>
      <c r="S603">
        <f>IF($P603="","",IFERROR(INDEX($F$6:$F$2005,MATCH($Q603,WageIds,0)),""))</f>
        <v/>
      </c>
      <c r="T603">
        <f>IF(OR($P603="",$S603="",$S603="نامعتبر"),"",LEFT($S603,4)&amp;MID($S603,6,2)&amp;RIGHT($S603,2)&amp;"0000"&amp;"|"&amp;"2"&amp;RIGHT("00000"&amp;598,5))</f>
        <v/>
      </c>
      <c r="U603">
        <f>IF($T603="","",COUNTIFS(LdAParty,$P603,LdAType,1,LdAKey,"&lt;"&amp;$T603)+COUNTIFS(LdBMember,$P603,LdBKey,"&lt;"&amp;$T603)+COUNTIFS(LdCParty,$P603,LdCKey,"&lt;"&amp;$T603)+1)</f>
        <v/>
      </c>
      <c r="V603">
        <f>IF($U603="","",$P603&amp;"|"&amp;RIGHT("000000"&amp;$U603,6))</f>
        <v/>
      </c>
      <c r="W603">
        <f>IF($T603="","",COUNTIFS(LdBGroup,$R603,LdBKey,"&lt;"&amp;$T603)+1)</f>
        <v/>
      </c>
      <c r="X603">
        <f>IF($W603="","",$R603&amp;"|"&amp;RIGHT("000000"&amp;$W603,6))</f>
        <v/>
      </c>
      <c r="Y603">
        <f>IF($P603="","",IF(Shares!$E606="",0,Shares!$E606))</f>
        <v/>
      </c>
      <c r="Z603">
        <f>IF($P603="","",Shares!$H606)</f>
        <v/>
      </c>
      <c r="AE603">
        <f>IF(OR(Sync!$S603="",Sync!$P603=""),"",Sync!$S603)</f>
        <v/>
      </c>
      <c r="AF603">
        <f>IF($AE603="","",IF(ISNUMBER(Sync!$P603),IF(AND(Sync!$P603&gt;=10000101,Sync!$P603&lt;=99991231),INT(Sync!$P603/10000),""),IFERROR(VALUE(TRIM(LEFT(Sync!$P603,FIND("/",Sync!$P603)-1))),"")))</f>
        <v/>
      </c>
      <c r="AG603">
        <f>IF(OR($AE603="",$AF603=""),"",IF(ISNUMBER(Sync!$P603),INT(MOD(Sync!$P603,10000)/100),IFERROR(VALUE(TRIM(LEFT(MID(Sync!$P603,FIND("/",Sync!$P603)+1,20),FIND("/",MID(Sync!$P603,FIND("/",Sync!$P603)+1,20))-1))),"")))</f>
        <v/>
      </c>
      <c r="AH603">
        <f>IF(OR($AE603="",$AF603=""),"",IF(ISNUMBER(Sync!$P603),MOD(Sync!$P603,100),IFERROR(VALUE(TRIM(MID(MID(Sync!$P603,FIND("/",Sync!$P603)+1,20),FIND("/",MID(Sync!$P603,FIND("/",Sync!$P603)+1,20))+1,20))),"")))</f>
        <v/>
      </c>
      <c r="AI603">
        <f>IF($AE603="","",IF(OR($AF603="",$AG603="",$AH603="",$AF603&lt;1300,$AF603&gt;1500,$AG603&lt;1,$AG603&gt;12,$AH603&lt;1,$AH603&gt;31),"نامعتبر",RIGHT("0000"&amp;$AF603,4)&amp;"/"&amp;RIGHT("00"&amp;$AG603,2)&amp;"/"&amp;RIGHT("00"&amp;$AH603,2)))</f>
        <v/>
      </c>
      <c r="AJ603">
        <f>IF($AE603="","",IF(Sync!$Q603="","0000",IF(AND(ISNUMBER(Sync!$Q603),Sync!$Q603&gt;=0,Sync!$Q603&lt;1),RIGHT("00"&amp;HOUR(Sync!$Q603),2)&amp;RIGHT("00"&amp;MINUTE(Sync!$Q603),2),IFERROR(RIGHT("00"&amp;VALUE(LEFT(Sync!$Q603,FIND(":",Sync!$Q603)-1)),2)&amp;RIGHT("00"&amp;VALUE(MID(Sync!$Q603,FIND(":",Sync!$Q603)+1,2)),2),"0000"))))</f>
        <v/>
      </c>
      <c r="AK603">
        <f>IF(OR($AE603="",$AI603="",$AI603="نامعتبر"),"",LEFT($AI603,4)&amp;MID($AI603,6,2)&amp;RIGHT($AI603,2)&amp;$AJ603&amp;"|"&amp;"3"&amp;RIGHT("00000"&amp;598,5))</f>
        <v/>
      </c>
      <c r="AL603">
        <f>IF($AK603="","",COUNTIFS(LdAParty,$AE603,LdAType,1,LdAKey,"&lt;"&amp;$AK603)+COUNTIFS(LdBMember,$AE603,LdBKey,"&lt;"&amp;$AK603)+COUNTIFS(LdCParty,$AE603,LdCKey,"&lt;"&amp;$AK603)+1)</f>
        <v/>
      </c>
      <c r="AM603">
        <f>IF($AL603="","",$AE603&amp;"|"&amp;RIGHT("000000"&amp;$AL603,6))</f>
        <v/>
      </c>
      <c r="AN603">
        <f>IF($AE603="","",IF(Sync!$W603="",0,Sync!$W603))</f>
        <v/>
      </c>
      <c r="AO603">
        <f>IF($AE603="","",IF(Sync!$X603="",0,Sync!$X603))</f>
        <v/>
      </c>
      <c r="AP603">
        <f>IF($AE603="","",Sync!$R603)</f>
        <v/>
      </c>
      <c r="AQ603">
        <f>IF($AE603="","",Sync!$Y603)</f>
        <v/>
      </c>
    </row>
    <row r="604">
      <c r="A604">
        <f>IF(OR(Wages!$B607="",Wages!$E607=""),"",Wages!$E607)</f>
        <v/>
      </c>
      <c r="B604">
        <f>IF($A604="","",IF(Wages!$C607="دستمزد گروهی",2,1))</f>
        <v/>
      </c>
      <c r="C604">
        <f>IF($A604="","",IF(ISNUMBER(Wages!$B607),IF(AND(Wages!$B607&gt;=10000101,Wages!$B607&lt;=99991231),INT(Wages!$B607/10000),""),IFERROR(VALUE(TRIM(LEFT(Wages!$B607,FIND("/",Wages!$B607)-1))),"")))</f>
        <v/>
      </c>
      <c r="D604">
        <f>IF(OR($A604="",$C604=""),"",IF(ISNUMBER(Wages!$B607),INT(MOD(Wages!$B607,10000)/100),IFERROR(VALUE(TRIM(LEFT(MID(Wages!$B607,FIND("/",Wages!$B607)+1,20),FIND("/",MID(Wages!$B607,FIND("/",Wages!$B607)+1,20))-1))),"")))</f>
        <v/>
      </c>
      <c r="E604">
        <f>IF(OR($A604="",$C604=""),"",IF(ISNUMBER(Wages!$B607),MOD(Wages!$B607,100),IFERROR(VALUE(TRIM(MID(MID(Wages!$B607,FIND("/",Wages!$B607)+1,20),FIND("/",MID(Wages!$B607,FIND("/",Wages!$B607)+1,20))+1,20))),"")))</f>
        <v/>
      </c>
      <c r="F604">
        <f>IF($A604="","",IF(OR($C604="",$D604="",$E604="",$C604&lt;1300,$C604&gt;1500,$D604&lt;1,$D604&gt;12,$E604&lt;1,$E604&gt;31),"نامعتبر",RIGHT("0000"&amp;$C604,4)&amp;"/"&amp;RIGHT("00"&amp;$D604,2)&amp;"/"&amp;RIGHT("00"&amp;$E604,2)))</f>
        <v/>
      </c>
      <c r="G604">
        <f>IF(OR($A604="",$F604="",$F604="نامعتبر"),"",LEFT($F604,4)&amp;MID($F604,6,2)&amp;RIGHT($F604,2)&amp;"0000"&amp;"|"&amp;"1"&amp;RIGHT("00000"&amp;599,5))</f>
        <v/>
      </c>
      <c r="H604">
        <f>IF(OR($B604&lt;&gt;1,$G604=""),"",COUNTIFS(LdAParty,$A604,LdAType,1,LdAKey,"&lt;"&amp;$G604)+COUNTIFS(LdBMember,$A604,LdBKey,"&lt;"&amp;$G604)+COUNTIFS(LdCParty,$A604,LdCKey,"&lt;"&amp;$G604)+1)</f>
        <v/>
      </c>
      <c r="I604">
        <f>IF($H604="","",$A604&amp;"|"&amp;RIGHT("000000"&amp;$H604,6))</f>
        <v/>
      </c>
      <c r="J604">
        <f>IF(OR($B604&lt;&gt;2,$G604=""),"",COUNTIFS(LdAParty,$A604,LdAType,2,LdAKey,"&lt;"&amp;$G604)+1)</f>
        <v/>
      </c>
      <c r="K604">
        <f>IF($J604="","",$A604&amp;"|"&amp;RIGHT("000000"&amp;$J604,6))</f>
        <v/>
      </c>
      <c r="L604">
        <f>IF($A604="","",IF(Wages!$G607="",0,Wages!$G607))</f>
        <v/>
      </c>
      <c r="M604">
        <f>IF($A604="","",Wages!$J607)</f>
        <v/>
      </c>
      <c r="N604">
        <f>IF($A604="","",Wages!$D607)</f>
        <v/>
      </c>
      <c r="P604">
        <f>IF(OR(Shares!$B607="",Shares!$C607=""),"",Shares!$C607)</f>
        <v/>
      </c>
      <c r="Q604">
        <f>IF($P604="","",Shares!$B607)</f>
        <v/>
      </c>
      <c r="R604">
        <f>IF($P604="","",IFERROR(INDEX(WageParty,MATCH($Q604,WageIds,0)),""))</f>
        <v/>
      </c>
      <c r="S604">
        <f>IF($P604="","",IFERROR(INDEX($F$6:$F$2005,MATCH($Q604,WageIds,0)),""))</f>
        <v/>
      </c>
      <c r="T604">
        <f>IF(OR($P604="",$S604="",$S604="نامعتبر"),"",LEFT($S604,4)&amp;MID($S604,6,2)&amp;RIGHT($S604,2)&amp;"0000"&amp;"|"&amp;"2"&amp;RIGHT("00000"&amp;599,5))</f>
        <v/>
      </c>
      <c r="U604">
        <f>IF($T604="","",COUNTIFS(LdAParty,$P604,LdAType,1,LdAKey,"&lt;"&amp;$T604)+COUNTIFS(LdBMember,$P604,LdBKey,"&lt;"&amp;$T604)+COUNTIFS(LdCParty,$P604,LdCKey,"&lt;"&amp;$T604)+1)</f>
        <v/>
      </c>
      <c r="V604">
        <f>IF($U604="","",$P604&amp;"|"&amp;RIGHT("000000"&amp;$U604,6))</f>
        <v/>
      </c>
      <c r="W604">
        <f>IF($T604="","",COUNTIFS(LdBGroup,$R604,LdBKey,"&lt;"&amp;$T604)+1)</f>
        <v/>
      </c>
      <c r="X604">
        <f>IF($W604="","",$R604&amp;"|"&amp;RIGHT("000000"&amp;$W604,6))</f>
        <v/>
      </c>
      <c r="Y604">
        <f>IF($P604="","",IF(Shares!$E607="",0,Shares!$E607))</f>
        <v/>
      </c>
      <c r="Z604">
        <f>IF($P604="","",Shares!$H607)</f>
        <v/>
      </c>
      <c r="AE604">
        <f>IF(OR(Sync!$S604="",Sync!$P604=""),"",Sync!$S604)</f>
        <v/>
      </c>
      <c r="AF604">
        <f>IF($AE604="","",IF(ISNUMBER(Sync!$P604),IF(AND(Sync!$P604&gt;=10000101,Sync!$P604&lt;=99991231),INT(Sync!$P604/10000),""),IFERROR(VALUE(TRIM(LEFT(Sync!$P604,FIND("/",Sync!$P604)-1))),"")))</f>
        <v/>
      </c>
      <c r="AG604">
        <f>IF(OR($AE604="",$AF604=""),"",IF(ISNUMBER(Sync!$P604),INT(MOD(Sync!$P604,10000)/100),IFERROR(VALUE(TRIM(LEFT(MID(Sync!$P604,FIND("/",Sync!$P604)+1,20),FIND("/",MID(Sync!$P604,FIND("/",Sync!$P604)+1,20))-1))),"")))</f>
        <v/>
      </c>
      <c r="AH604">
        <f>IF(OR($AE604="",$AF604=""),"",IF(ISNUMBER(Sync!$P604),MOD(Sync!$P604,100),IFERROR(VALUE(TRIM(MID(MID(Sync!$P604,FIND("/",Sync!$P604)+1,20),FIND("/",MID(Sync!$P604,FIND("/",Sync!$P604)+1,20))+1,20))),"")))</f>
        <v/>
      </c>
      <c r="AI604">
        <f>IF($AE604="","",IF(OR($AF604="",$AG604="",$AH604="",$AF604&lt;1300,$AF604&gt;1500,$AG604&lt;1,$AG604&gt;12,$AH604&lt;1,$AH604&gt;31),"نامعتبر",RIGHT("0000"&amp;$AF604,4)&amp;"/"&amp;RIGHT("00"&amp;$AG604,2)&amp;"/"&amp;RIGHT("00"&amp;$AH604,2)))</f>
        <v/>
      </c>
      <c r="AJ604">
        <f>IF($AE604="","",IF(Sync!$Q604="","0000",IF(AND(ISNUMBER(Sync!$Q604),Sync!$Q604&gt;=0,Sync!$Q604&lt;1),RIGHT("00"&amp;HOUR(Sync!$Q604),2)&amp;RIGHT("00"&amp;MINUTE(Sync!$Q604),2),IFERROR(RIGHT("00"&amp;VALUE(LEFT(Sync!$Q604,FIND(":",Sync!$Q604)-1)),2)&amp;RIGHT("00"&amp;VALUE(MID(Sync!$Q604,FIND(":",Sync!$Q604)+1,2)),2),"0000"))))</f>
        <v/>
      </c>
      <c r="AK604">
        <f>IF(OR($AE604="",$AI604="",$AI604="نامعتبر"),"",LEFT($AI604,4)&amp;MID($AI604,6,2)&amp;RIGHT($AI604,2)&amp;$AJ604&amp;"|"&amp;"3"&amp;RIGHT("00000"&amp;599,5))</f>
        <v/>
      </c>
      <c r="AL604">
        <f>IF($AK604="","",COUNTIFS(LdAParty,$AE604,LdAType,1,LdAKey,"&lt;"&amp;$AK604)+COUNTIFS(LdBMember,$AE604,LdBKey,"&lt;"&amp;$AK604)+COUNTIFS(LdCParty,$AE604,LdCKey,"&lt;"&amp;$AK604)+1)</f>
        <v/>
      </c>
      <c r="AM604">
        <f>IF($AL604="","",$AE604&amp;"|"&amp;RIGHT("000000"&amp;$AL604,6))</f>
        <v/>
      </c>
      <c r="AN604">
        <f>IF($AE604="","",IF(Sync!$W604="",0,Sync!$W604))</f>
        <v/>
      </c>
      <c r="AO604">
        <f>IF($AE604="","",IF(Sync!$X604="",0,Sync!$X604))</f>
        <v/>
      </c>
      <c r="AP604">
        <f>IF($AE604="","",Sync!$R604)</f>
        <v/>
      </c>
      <c r="AQ604">
        <f>IF($AE604="","",Sync!$Y604)</f>
        <v/>
      </c>
    </row>
    <row r="605">
      <c r="A605">
        <f>IF(OR(Wages!$B608="",Wages!$E608=""),"",Wages!$E608)</f>
        <v/>
      </c>
      <c r="B605">
        <f>IF($A605="","",IF(Wages!$C608="دستمزد گروهی",2,1))</f>
        <v/>
      </c>
      <c r="C605">
        <f>IF($A605="","",IF(ISNUMBER(Wages!$B608),IF(AND(Wages!$B608&gt;=10000101,Wages!$B608&lt;=99991231),INT(Wages!$B608/10000),""),IFERROR(VALUE(TRIM(LEFT(Wages!$B608,FIND("/",Wages!$B608)-1))),"")))</f>
        <v/>
      </c>
      <c r="D605">
        <f>IF(OR($A605="",$C605=""),"",IF(ISNUMBER(Wages!$B608),INT(MOD(Wages!$B608,10000)/100),IFERROR(VALUE(TRIM(LEFT(MID(Wages!$B608,FIND("/",Wages!$B608)+1,20),FIND("/",MID(Wages!$B608,FIND("/",Wages!$B608)+1,20))-1))),"")))</f>
        <v/>
      </c>
      <c r="E605">
        <f>IF(OR($A605="",$C605=""),"",IF(ISNUMBER(Wages!$B608),MOD(Wages!$B608,100),IFERROR(VALUE(TRIM(MID(MID(Wages!$B608,FIND("/",Wages!$B608)+1,20),FIND("/",MID(Wages!$B608,FIND("/",Wages!$B608)+1,20))+1,20))),"")))</f>
        <v/>
      </c>
      <c r="F605">
        <f>IF($A605="","",IF(OR($C605="",$D605="",$E605="",$C605&lt;1300,$C605&gt;1500,$D605&lt;1,$D605&gt;12,$E605&lt;1,$E605&gt;31),"نامعتبر",RIGHT("0000"&amp;$C605,4)&amp;"/"&amp;RIGHT("00"&amp;$D605,2)&amp;"/"&amp;RIGHT("00"&amp;$E605,2)))</f>
        <v/>
      </c>
      <c r="G605">
        <f>IF(OR($A605="",$F605="",$F605="نامعتبر"),"",LEFT($F605,4)&amp;MID($F605,6,2)&amp;RIGHT($F605,2)&amp;"0000"&amp;"|"&amp;"1"&amp;RIGHT("00000"&amp;600,5))</f>
        <v/>
      </c>
      <c r="H605">
        <f>IF(OR($B605&lt;&gt;1,$G605=""),"",COUNTIFS(LdAParty,$A605,LdAType,1,LdAKey,"&lt;"&amp;$G605)+COUNTIFS(LdBMember,$A605,LdBKey,"&lt;"&amp;$G605)+COUNTIFS(LdCParty,$A605,LdCKey,"&lt;"&amp;$G605)+1)</f>
        <v/>
      </c>
      <c r="I605">
        <f>IF($H605="","",$A605&amp;"|"&amp;RIGHT("000000"&amp;$H605,6))</f>
        <v/>
      </c>
      <c r="J605">
        <f>IF(OR($B605&lt;&gt;2,$G605=""),"",COUNTIFS(LdAParty,$A605,LdAType,2,LdAKey,"&lt;"&amp;$G605)+1)</f>
        <v/>
      </c>
      <c r="K605">
        <f>IF($J605="","",$A605&amp;"|"&amp;RIGHT("000000"&amp;$J605,6))</f>
        <v/>
      </c>
      <c r="L605">
        <f>IF($A605="","",IF(Wages!$G608="",0,Wages!$G608))</f>
        <v/>
      </c>
      <c r="M605">
        <f>IF($A605="","",Wages!$J608)</f>
        <v/>
      </c>
      <c r="N605">
        <f>IF($A605="","",Wages!$D608)</f>
        <v/>
      </c>
      <c r="P605">
        <f>IF(OR(Shares!$B608="",Shares!$C608=""),"",Shares!$C608)</f>
        <v/>
      </c>
      <c r="Q605">
        <f>IF($P605="","",Shares!$B608)</f>
        <v/>
      </c>
      <c r="R605">
        <f>IF($P605="","",IFERROR(INDEX(WageParty,MATCH($Q605,WageIds,0)),""))</f>
        <v/>
      </c>
      <c r="S605">
        <f>IF($P605="","",IFERROR(INDEX($F$6:$F$2005,MATCH($Q605,WageIds,0)),""))</f>
        <v/>
      </c>
      <c r="T605">
        <f>IF(OR($P605="",$S605="",$S605="نامعتبر"),"",LEFT($S605,4)&amp;MID($S605,6,2)&amp;RIGHT($S605,2)&amp;"0000"&amp;"|"&amp;"2"&amp;RIGHT("00000"&amp;600,5))</f>
        <v/>
      </c>
      <c r="U605">
        <f>IF($T605="","",COUNTIFS(LdAParty,$P605,LdAType,1,LdAKey,"&lt;"&amp;$T605)+COUNTIFS(LdBMember,$P605,LdBKey,"&lt;"&amp;$T605)+COUNTIFS(LdCParty,$P605,LdCKey,"&lt;"&amp;$T605)+1)</f>
        <v/>
      </c>
      <c r="V605">
        <f>IF($U605="","",$P605&amp;"|"&amp;RIGHT("000000"&amp;$U605,6))</f>
        <v/>
      </c>
      <c r="W605">
        <f>IF($T605="","",COUNTIFS(LdBGroup,$R605,LdBKey,"&lt;"&amp;$T605)+1)</f>
        <v/>
      </c>
      <c r="X605">
        <f>IF($W605="","",$R605&amp;"|"&amp;RIGHT("000000"&amp;$W605,6))</f>
        <v/>
      </c>
      <c r="Y605">
        <f>IF($P605="","",IF(Shares!$E608="",0,Shares!$E608))</f>
        <v/>
      </c>
      <c r="Z605">
        <f>IF($P605="","",Shares!$H608)</f>
        <v/>
      </c>
      <c r="AE605">
        <f>IF(OR(Sync!$S605="",Sync!$P605=""),"",Sync!$S605)</f>
        <v/>
      </c>
      <c r="AF605">
        <f>IF($AE605="","",IF(ISNUMBER(Sync!$P605),IF(AND(Sync!$P605&gt;=10000101,Sync!$P605&lt;=99991231),INT(Sync!$P605/10000),""),IFERROR(VALUE(TRIM(LEFT(Sync!$P605,FIND("/",Sync!$P605)-1))),"")))</f>
        <v/>
      </c>
      <c r="AG605">
        <f>IF(OR($AE605="",$AF605=""),"",IF(ISNUMBER(Sync!$P605),INT(MOD(Sync!$P605,10000)/100),IFERROR(VALUE(TRIM(LEFT(MID(Sync!$P605,FIND("/",Sync!$P605)+1,20),FIND("/",MID(Sync!$P605,FIND("/",Sync!$P605)+1,20))-1))),"")))</f>
        <v/>
      </c>
      <c r="AH605">
        <f>IF(OR($AE605="",$AF605=""),"",IF(ISNUMBER(Sync!$P605),MOD(Sync!$P605,100),IFERROR(VALUE(TRIM(MID(MID(Sync!$P605,FIND("/",Sync!$P605)+1,20),FIND("/",MID(Sync!$P605,FIND("/",Sync!$P605)+1,20))+1,20))),"")))</f>
        <v/>
      </c>
      <c r="AI605">
        <f>IF($AE605="","",IF(OR($AF605="",$AG605="",$AH605="",$AF605&lt;1300,$AF605&gt;1500,$AG605&lt;1,$AG605&gt;12,$AH605&lt;1,$AH605&gt;31),"نامعتبر",RIGHT("0000"&amp;$AF605,4)&amp;"/"&amp;RIGHT("00"&amp;$AG605,2)&amp;"/"&amp;RIGHT("00"&amp;$AH605,2)))</f>
        <v/>
      </c>
      <c r="AJ605">
        <f>IF($AE605="","",IF(Sync!$Q605="","0000",IF(AND(ISNUMBER(Sync!$Q605),Sync!$Q605&gt;=0,Sync!$Q605&lt;1),RIGHT("00"&amp;HOUR(Sync!$Q605),2)&amp;RIGHT("00"&amp;MINUTE(Sync!$Q605),2),IFERROR(RIGHT("00"&amp;VALUE(LEFT(Sync!$Q605,FIND(":",Sync!$Q605)-1)),2)&amp;RIGHT("00"&amp;VALUE(MID(Sync!$Q605,FIND(":",Sync!$Q605)+1,2)),2),"0000"))))</f>
        <v/>
      </c>
      <c r="AK605">
        <f>IF(OR($AE605="",$AI605="",$AI605="نامعتبر"),"",LEFT($AI605,4)&amp;MID($AI605,6,2)&amp;RIGHT($AI605,2)&amp;$AJ605&amp;"|"&amp;"3"&amp;RIGHT("00000"&amp;600,5))</f>
        <v/>
      </c>
      <c r="AL605">
        <f>IF($AK605="","",COUNTIFS(LdAParty,$AE605,LdAType,1,LdAKey,"&lt;"&amp;$AK605)+COUNTIFS(LdBMember,$AE605,LdBKey,"&lt;"&amp;$AK605)+COUNTIFS(LdCParty,$AE605,LdCKey,"&lt;"&amp;$AK605)+1)</f>
        <v/>
      </c>
      <c r="AM605">
        <f>IF($AL605="","",$AE605&amp;"|"&amp;RIGHT("000000"&amp;$AL605,6))</f>
        <v/>
      </c>
      <c r="AN605">
        <f>IF($AE605="","",IF(Sync!$W605="",0,Sync!$W605))</f>
        <v/>
      </c>
      <c r="AO605">
        <f>IF($AE605="","",IF(Sync!$X605="",0,Sync!$X605))</f>
        <v/>
      </c>
      <c r="AP605">
        <f>IF($AE605="","",Sync!$R605)</f>
        <v/>
      </c>
      <c r="AQ605">
        <f>IF($AE605="","",Sync!$Y605)</f>
        <v/>
      </c>
    </row>
    <row r="606">
      <c r="A606">
        <f>IF(OR(Wages!$B609="",Wages!$E609=""),"",Wages!$E609)</f>
        <v/>
      </c>
      <c r="B606">
        <f>IF($A606="","",IF(Wages!$C609="دستمزد گروهی",2,1))</f>
        <v/>
      </c>
      <c r="C606">
        <f>IF($A606="","",IF(ISNUMBER(Wages!$B609),IF(AND(Wages!$B609&gt;=10000101,Wages!$B609&lt;=99991231),INT(Wages!$B609/10000),""),IFERROR(VALUE(TRIM(LEFT(Wages!$B609,FIND("/",Wages!$B609)-1))),"")))</f>
        <v/>
      </c>
      <c r="D606">
        <f>IF(OR($A606="",$C606=""),"",IF(ISNUMBER(Wages!$B609),INT(MOD(Wages!$B609,10000)/100),IFERROR(VALUE(TRIM(LEFT(MID(Wages!$B609,FIND("/",Wages!$B609)+1,20),FIND("/",MID(Wages!$B609,FIND("/",Wages!$B609)+1,20))-1))),"")))</f>
        <v/>
      </c>
      <c r="E606">
        <f>IF(OR($A606="",$C606=""),"",IF(ISNUMBER(Wages!$B609),MOD(Wages!$B609,100),IFERROR(VALUE(TRIM(MID(MID(Wages!$B609,FIND("/",Wages!$B609)+1,20),FIND("/",MID(Wages!$B609,FIND("/",Wages!$B609)+1,20))+1,20))),"")))</f>
        <v/>
      </c>
      <c r="F606">
        <f>IF($A606="","",IF(OR($C606="",$D606="",$E606="",$C606&lt;1300,$C606&gt;1500,$D606&lt;1,$D606&gt;12,$E606&lt;1,$E606&gt;31),"نامعتبر",RIGHT("0000"&amp;$C606,4)&amp;"/"&amp;RIGHT("00"&amp;$D606,2)&amp;"/"&amp;RIGHT("00"&amp;$E606,2)))</f>
        <v/>
      </c>
      <c r="G606">
        <f>IF(OR($A606="",$F606="",$F606="نامعتبر"),"",LEFT($F606,4)&amp;MID($F606,6,2)&amp;RIGHT($F606,2)&amp;"0000"&amp;"|"&amp;"1"&amp;RIGHT("00000"&amp;601,5))</f>
        <v/>
      </c>
      <c r="H606">
        <f>IF(OR($B606&lt;&gt;1,$G606=""),"",COUNTIFS(LdAParty,$A606,LdAType,1,LdAKey,"&lt;"&amp;$G606)+COUNTIFS(LdBMember,$A606,LdBKey,"&lt;"&amp;$G606)+COUNTIFS(LdCParty,$A606,LdCKey,"&lt;"&amp;$G606)+1)</f>
        <v/>
      </c>
      <c r="I606">
        <f>IF($H606="","",$A606&amp;"|"&amp;RIGHT("000000"&amp;$H606,6))</f>
        <v/>
      </c>
      <c r="J606">
        <f>IF(OR($B606&lt;&gt;2,$G606=""),"",COUNTIFS(LdAParty,$A606,LdAType,2,LdAKey,"&lt;"&amp;$G606)+1)</f>
        <v/>
      </c>
      <c r="K606">
        <f>IF($J606="","",$A606&amp;"|"&amp;RIGHT("000000"&amp;$J606,6))</f>
        <v/>
      </c>
      <c r="L606">
        <f>IF($A606="","",IF(Wages!$G609="",0,Wages!$G609))</f>
        <v/>
      </c>
      <c r="M606">
        <f>IF($A606="","",Wages!$J609)</f>
        <v/>
      </c>
      <c r="N606">
        <f>IF($A606="","",Wages!$D609)</f>
        <v/>
      </c>
      <c r="P606">
        <f>IF(OR(Shares!$B609="",Shares!$C609=""),"",Shares!$C609)</f>
        <v/>
      </c>
      <c r="Q606">
        <f>IF($P606="","",Shares!$B609)</f>
        <v/>
      </c>
      <c r="R606">
        <f>IF($P606="","",IFERROR(INDEX(WageParty,MATCH($Q606,WageIds,0)),""))</f>
        <v/>
      </c>
      <c r="S606">
        <f>IF($P606="","",IFERROR(INDEX($F$6:$F$2005,MATCH($Q606,WageIds,0)),""))</f>
        <v/>
      </c>
      <c r="T606">
        <f>IF(OR($P606="",$S606="",$S606="نامعتبر"),"",LEFT($S606,4)&amp;MID($S606,6,2)&amp;RIGHT($S606,2)&amp;"0000"&amp;"|"&amp;"2"&amp;RIGHT("00000"&amp;601,5))</f>
        <v/>
      </c>
      <c r="U606">
        <f>IF($T606="","",COUNTIFS(LdAParty,$P606,LdAType,1,LdAKey,"&lt;"&amp;$T606)+COUNTIFS(LdBMember,$P606,LdBKey,"&lt;"&amp;$T606)+COUNTIFS(LdCParty,$P606,LdCKey,"&lt;"&amp;$T606)+1)</f>
        <v/>
      </c>
      <c r="V606">
        <f>IF($U606="","",$P606&amp;"|"&amp;RIGHT("000000"&amp;$U606,6))</f>
        <v/>
      </c>
      <c r="W606">
        <f>IF($T606="","",COUNTIFS(LdBGroup,$R606,LdBKey,"&lt;"&amp;$T606)+1)</f>
        <v/>
      </c>
      <c r="X606">
        <f>IF($W606="","",$R606&amp;"|"&amp;RIGHT("000000"&amp;$W606,6))</f>
        <v/>
      </c>
      <c r="Y606">
        <f>IF($P606="","",IF(Shares!$E609="",0,Shares!$E609))</f>
        <v/>
      </c>
      <c r="Z606">
        <f>IF($P606="","",Shares!$H609)</f>
        <v/>
      </c>
      <c r="AE606">
        <f>IF(OR(Sync!$S606="",Sync!$P606=""),"",Sync!$S606)</f>
        <v/>
      </c>
      <c r="AF606">
        <f>IF($AE606="","",IF(ISNUMBER(Sync!$P606),IF(AND(Sync!$P606&gt;=10000101,Sync!$P606&lt;=99991231),INT(Sync!$P606/10000),""),IFERROR(VALUE(TRIM(LEFT(Sync!$P606,FIND("/",Sync!$P606)-1))),"")))</f>
        <v/>
      </c>
      <c r="AG606">
        <f>IF(OR($AE606="",$AF606=""),"",IF(ISNUMBER(Sync!$P606),INT(MOD(Sync!$P606,10000)/100),IFERROR(VALUE(TRIM(LEFT(MID(Sync!$P606,FIND("/",Sync!$P606)+1,20),FIND("/",MID(Sync!$P606,FIND("/",Sync!$P606)+1,20))-1))),"")))</f>
        <v/>
      </c>
      <c r="AH606">
        <f>IF(OR($AE606="",$AF606=""),"",IF(ISNUMBER(Sync!$P606),MOD(Sync!$P606,100),IFERROR(VALUE(TRIM(MID(MID(Sync!$P606,FIND("/",Sync!$P606)+1,20),FIND("/",MID(Sync!$P606,FIND("/",Sync!$P606)+1,20))+1,20))),"")))</f>
        <v/>
      </c>
      <c r="AI606">
        <f>IF($AE606="","",IF(OR($AF606="",$AG606="",$AH606="",$AF606&lt;1300,$AF606&gt;1500,$AG606&lt;1,$AG606&gt;12,$AH606&lt;1,$AH606&gt;31),"نامعتبر",RIGHT("0000"&amp;$AF606,4)&amp;"/"&amp;RIGHT("00"&amp;$AG606,2)&amp;"/"&amp;RIGHT("00"&amp;$AH606,2)))</f>
        <v/>
      </c>
      <c r="AJ606">
        <f>IF($AE606="","",IF(Sync!$Q606="","0000",IF(AND(ISNUMBER(Sync!$Q606),Sync!$Q606&gt;=0,Sync!$Q606&lt;1),RIGHT("00"&amp;HOUR(Sync!$Q606),2)&amp;RIGHT("00"&amp;MINUTE(Sync!$Q606),2),IFERROR(RIGHT("00"&amp;VALUE(LEFT(Sync!$Q606,FIND(":",Sync!$Q606)-1)),2)&amp;RIGHT("00"&amp;VALUE(MID(Sync!$Q606,FIND(":",Sync!$Q606)+1,2)),2),"0000"))))</f>
        <v/>
      </c>
      <c r="AK606">
        <f>IF(OR($AE606="",$AI606="",$AI606="نامعتبر"),"",LEFT($AI606,4)&amp;MID($AI606,6,2)&amp;RIGHT($AI606,2)&amp;$AJ606&amp;"|"&amp;"3"&amp;RIGHT("00000"&amp;601,5))</f>
        <v/>
      </c>
      <c r="AL606">
        <f>IF($AK606="","",COUNTIFS(LdAParty,$AE606,LdAType,1,LdAKey,"&lt;"&amp;$AK606)+COUNTIFS(LdBMember,$AE606,LdBKey,"&lt;"&amp;$AK606)+COUNTIFS(LdCParty,$AE606,LdCKey,"&lt;"&amp;$AK606)+1)</f>
        <v/>
      </c>
      <c r="AM606">
        <f>IF($AL606="","",$AE606&amp;"|"&amp;RIGHT("000000"&amp;$AL606,6))</f>
        <v/>
      </c>
      <c r="AN606">
        <f>IF($AE606="","",IF(Sync!$W606="",0,Sync!$W606))</f>
        <v/>
      </c>
      <c r="AO606">
        <f>IF($AE606="","",IF(Sync!$X606="",0,Sync!$X606))</f>
        <v/>
      </c>
      <c r="AP606">
        <f>IF($AE606="","",Sync!$R606)</f>
        <v/>
      </c>
      <c r="AQ606">
        <f>IF($AE606="","",Sync!$Y606)</f>
        <v/>
      </c>
    </row>
    <row r="607">
      <c r="A607">
        <f>IF(OR(Wages!$B610="",Wages!$E610=""),"",Wages!$E610)</f>
        <v/>
      </c>
      <c r="B607">
        <f>IF($A607="","",IF(Wages!$C610="دستمزد گروهی",2,1))</f>
        <v/>
      </c>
      <c r="C607">
        <f>IF($A607="","",IF(ISNUMBER(Wages!$B610),IF(AND(Wages!$B610&gt;=10000101,Wages!$B610&lt;=99991231),INT(Wages!$B610/10000),""),IFERROR(VALUE(TRIM(LEFT(Wages!$B610,FIND("/",Wages!$B610)-1))),"")))</f>
        <v/>
      </c>
      <c r="D607">
        <f>IF(OR($A607="",$C607=""),"",IF(ISNUMBER(Wages!$B610),INT(MOD(Wages!$B610,10000)/100),IFERROR(VALUE(TRIM(LEFT(MID(Wages!$B610,FIND("/",Wages!$B610)+1,20),FIND("/",MID(Wages!$B610,FIND("/",Wages!$B610)+1,20))-1))),"")))</f>
        <v/>
      </c>
      <c r="E607">
        <f>IF(OR($A607="",$C607=""),"",IF(ISNUMBER(Wages!$B610),MOD(Wages!$B610,100),IFERROR(VALUE(TRIM(MID(MID(Wages!$B610,FIND("/",Wages!$B610)+1,20),FIND("/",MID(Wages!$B610,FIND("/",Wages!$B610)+1,20))+1,20))),"")))</f>
        <v/>
      </c>
      <c r="F607">
        <f>IF($A607="","",IF(OR($C607="",$D607="",$E607="",$C607&lt;1300,$C607&gt;1500,$D607&lt;1,$D607&gt;12,$E607&lt;1,$E607&gt;31),"نامعتبر",RIGHT("0000"&amp;$C607,4)&amp;"/"&amp;RIGHT("00"&amp;$D607,2)&amp;"/"&amp;RIGHT("00"&amp;$E607,2)))</f>
        <v/>
      </c>
      <c r="G607">
        <f>IF(OR($A607="",$F607="",$F607="نامعتبر"),"",LEFT($F607,4)&amp;MID($F607,6,2)&amp;RIGHT($F607,2)&amp;"0000"&amp;"|"&amp;"1"&amp;RIGHT("00000"&amp;602,5))</f>
        <v/>
      </c>
      <c r="H607">
        <f>IF(OR($B607&lt;&gt;1,$G607=""),"",COUNTIFS(LdAParty,$A607,LdAType,1,LdAKey,"&lt;"&amp;$G607)+COUNTIFS(LdBMember,$A607,LdBKey,"&lt;"&amp;$G607)+COUNTIFS(LdCParty,$A607,LdCKey,"&lt;"&amp;$G607)+1)</f>
        <v/>
      </c>
      <c r="I607">
        <f>IF($H607="","",$A607&amp;"|"&amp;RIGHT("000000"&amp;$H607,6))</f>
        <v/>
      </c>
      <c r="J607">
        <f>IF(OR($B607&lt;&gt;2,$G607=""),"",COUNTIFS(LdAParty,$A607,LdAType,2,LdAKey,"&lt;"&amp;$G607)+1)</f>
        <v/>
      </c>
      <c r="K607">
        <f>IF($J607="","",$A607&amp;"|"&amp;RIGHT("000000"&amp;$J607,6))</f>
        <v/>
      </c>
      <c r="L607">
        <f>IF($A607="","",IF(Wages!$G610="",0,Wages!$G610))</f>
        <v/>
      </c>
      <c r="M607">
        <f>IF($A607="","",Wages!$J610)</f>
        <v/>
      </c>
      <c r="N607">
        <f>IF($A607="","",Wages!$D610)</f>
        <v/>
      </c>
      <c r="P607">
        <f>IF(OR(Shares!$B610="",Shares!$C610=""),"",Shares!$C610)</f>
        <v/>
      </c>
      <c r="Q607">
        <f>IF($P607="","",Shares!$B610)</f>
        <v/>
      </c>
      <c r="R607">
        <f>IF($P607="","",IFERROR(INDEX(WageParty,MATCH($Q607,WageIds,0)),""))</f>
        <v/>
      </c>
      <c r="S607">
        <f>IF($P607="","",IFERROR(INDEX($F$6:$F$2005,MATCH($Q607,WageIds,0)),""))</f>
        <v/>
      </c>
      <c r="T607">
        <f>IF(OR($P607="",$S607="",$S607="نامعتبر"),"",LEFT($S607,4)&amp;MID($S607,6,2)&amp;RIGHT($S607,2)&amp;"0000"&amp;"|"&amp;"2"&amp;RIGHT("00000"&amp;602,5))</f>
        <v/>
      </c>
      <c r="U607">
        <f>IF($T607="","",COUNTIFS(LdAParty,$P607,LdAType,1,LdAKey,"&lt;"&amp;$T607)+COUNTIFS(LdBMember,$P607,LdBKey,"&lt;"&amp;$T607)+COUNTIFS(LdCParty,$P607,LdCKey,"&lt;"&amp;$T607)+1)</f>
        <v/>
      </c>
      <c r="V607">
        <f>IF($U607="","",$P607&amp;"|"&amp;RIGHT("000000"&amp;$U607,6))</f>
        <v/>
      </c>
      <c r="W607">
        <f>IF($T607="","",COUNTIFS(LdBGroup,$R607,LdBKey,"&lt;"&amp;$T607)+1)</f>
        <v/>
      </c>
      <c r="X607">
        <f>IF($W607="","",$R607&amp;"|"&amp;RIGHT("000000"&amp;$W607,6))</f>
        <v/>
      </c>
      <c r="Y607">
        <f>IF($P607="","",IF(Shares!$E610="",0,Shares!$E610))</f>
        <v/>
      </c>
      <c r="Z607">
        <f>IF($P607="","",Shares!$H610)</f>
        <v/>
      </c>
      <c r="AE607">
        <f>IF(OR(Sync!$S607="",Sync!$P607=""),"",Sync!$S607)</f>
        <v/>
      </c>
      <c r="AF607">
        <f>IF($AE607="","",IF(ISNUMBER(Sync!$P607),IF(AND(Sync!$P607&gt;=10000101,Sync!$P607&lt;=99991231),INT(Sync!$P607/10000),""),IFERROR(VALUE(TRIM(LEFT(Sync!$P607,FIND("/",Sync!$P607)-1))),"")))</f>
        <v/>
      </c>
      <c r="AG607">
        <f>IF(OR($AE607="",$AF607=""),"",IF(ISNUMBER(Sync!$P607),INT(MOD(Sync!$P607,10000)/100),IFERROR(VALUE(TRIM(LEFT(MID(Sync!$P607,FIND("/",Sync!$P607)+1,20),FIND("/",MID(Sync!$P607,FIND("/",Sync!$P607)+1,20))-1))),"")))</f>
        <v/>
      </c>
      <c r="AH607">
        <f>IF(OR($AE607="",$AF607=""),"",IF(ISNUMBER(Sync!$P607),MOD(Sync!$P607,100),IFERROR(VALUE(TRIM(MID(MID(Sync!$P607,FIND("/",Sync!$P607)+1,20),FIND("/",MID(Sync!$P607,FIND("/",Sync!$P607)+1,20))+1,20))),"")))</f>
        <v/>
      </c>
      <c r="AI607">
        <f>IF($AE607="","",IF(OR($AF607="",$AG607="",$AH607="",$AF607&lt;1300,$AF607&gt;1500,$AG607&lt;1,$AG607&gt;12,$AH607&lt;1,$AH607&gt;31),"نامعتبر",RIGHT("0000"&amp;$AF607,4)&amp;"/"&amp;RIGHT("00"&amp;$AG607,2)&amp;"/"&amp;RIGHT("00"&amp;$AH607,2)))</f>
        <v/>
      </c>
      <c r="AJ607">
        <f>IF($AE607="","",IF(Sync!$Q607="","0000",IF(AND(ISNUMBER(Sync!$Q607),Sync!$Q607&gt;=0,Sync!$Q607&lt;1),RIGHT("00"&amp;HOUR(Sync!$Q607),2)&amp;RIGHT("00"&amp;MINUTE(Sync!$Q607),2),IFERROR(RIGHT("00"&amp;VALUE(LEFT(Sync!$Q607,FIND(":",Sync!$Q607)-1)),2)&amp;RIGHT("00"&amp;VALUE(MID(Sync!$Q607,FIND(":",Sync!$Q607)+1,2)),2),"0000"))))</f>
        <v/>
      </c>
      <c r="AK607">
        <f>IF(OR($AE607="",$AI607="",$AI607="نامعتبر"),"",LEFT($AI607,4)&amp;MID($AI607,6,2)&amp;RIGHT($AI607,2)&amp;$AJ607&amp;"|"&amp;"3"&amp;RIGHT("00000"&amp;602,5))</f>
        <v/>
      </c>
      <c r="AL607">
        <f>IF($AK607="","",COUNTIFS(LdAParty,$AE607,LdAType,1,LdAKey,"&lt;"&amp;$AK607)+COUNTIFS(LdBMember,$AE607,LdBKey,"&lt;"&amp;$AK607)+COUNTIFS(LdCParty,$AE607,LdCKey,"&lt;"&amp;$AK607)+1)</f>
        <v/>
      </c>
      <c r="AM607">
        <f>IF($AL607="","",$AE607&amp;"|"&amp;RIGHT("000000"&amp;$AL607,6))</f>
        <v/>
      </c>
      <c r="AN607">
        <f>IF($AE607="","",IF(Sync!$W607="",0,Sync!$W607))</f>
        <v/>
      </c>
      <c r="AO607">
        <f>IF($AE607="","",IF(Sync!$X607="",0,Sync!$X607))</f>
        <v/>
      </c>
      <c r="AP607">
        <f>IF($AE607="","",Sync!$R607)</f>
        <v/>
      </c>
      <c r="AQ607">
        <f>IF($AE607="","",Sync!$Y607)</f>
        <v/>
      </c>
    </row>
    <row r="608">
      <c r="A608">
        <f>IF(OR(Wages!$B611="",Wages!$E611=""),"",Wages!$E611)</f>
        <v/>
      </c>
      <c r="B608">
        <f>IF($A608="","",IF(Wages!$C611="دستمزد گروهی",2,1))</f>
        <v/>
      </c>
      <c r="C608">
        <f>IF($A608="","",IF(ISNUMBER(Wages!$B611),IF(AND(Wages!$B611&gt;=10000101,Wages!$B611&lt;=99991231),INT(Wages!$B611/10000),""),IFERROR(VALUE(TRIM(LEFT(Wages!$B611,FIND("/",Wages!$B611)-1))),"")))</f>
        <v/>
      </c>
      <c r="D608">
        <f>IF(OR($A608="",$C608=""),"",IF(ISNUMBER(Wages!$B611),INT(MOD(Wages!$B611,10000)/100),IFERROR(VALUE(TRIM(LEFT(MID(Wages!$B611,FIND("/",Wages!$B611)+1,20),FIND("/",MID(Wages!$B611,FIND("/",Wages!$B611)+1,20))-1))),"")))</f>
        <v/>
      </c>
      <c r="E608">
        <f>IF(OR($A608="",$C608=""),"",IF(ISNUMBER(Wages!$B611),MOD(Wages!$B611,100),IFERROR(VALUE(TRIM(MID(MID(Wages!$B611,FIND("/",Wages!$B611)+1,20),FIND("/",MID(Wages!$B611,FIND("/",Wages!$B611)+1,20))+1,20))),"")))</f>
        <v/>
      </c>
      <c r="F608">
        <f>IF($A608="","",IF(OR($C608="",$D608="",$E608="",$C608&lt;1300,$C608&gt;1500,$D608&lt;1,$D608&gt;12,$E608&lt;1,$E608&gt;31),"نامعتبر",RIGHT("0000"&amp;$C608,4)&amp;"/"&amp;RIGHT("00"&amp;$D608,2)&amp;"/"&amp;RIGHT("00"&amp;$E608,2)))</f>
        <v/>
      </c>
      <c r="G608">
        <f>IF(OR($A608="",$F608="",$F608="نامعتبر"),"",LEFT($F608,4)&amp;MID($F608,6,2)&amp;RIGHT($F608,2)&amp;"0000"&amp;"|"&amp;"1"&amp;RIGHT("00000"&amp;603,5))</f>
        <v/>
      </c>
      <c r="H608">
        <f>IF(OR($B608&lt;&gt;1,$G608=""),"",COUNTIFS(LdAParty,$A608,LdAType,1,LdAKey,"&lt;"&amp;$G608)+COUNTIFS(LdBMember,$A608,LdBKey,"&lt;"&amp;$G608)+COUNTIFS(LdCParty,$A608,LdCKey,"&lt;"&amp;$G608)+1)</f>
        <v/>
      </c>
      <c r="I608">
        <f>IF($H608="","",$A608&amp;"|"&amp;RIGHT("000000"&amp;$H608,6))</f>
        <v/>
      </c>
      <c r="J608">
        <f>IF(OR($B608&lt;&gt;2,$G608=""),"",COUNTIFS(LdAParty,$A608,LdAType,2,LdAKey,"&lt;"&amp;$G608)+1)</f>
        <v/>
      </c>
      <c r="K608">
        <f>IF($J608="","",$A608&amp;"|"&amp;RIGHT("000000"&amp;$J608,6))</f>
        <v/>
      </c>
      <c r="L608">
        <f>IF($A608="","",IF(Wages!$G611="",0,Wages!$G611))</f>
        <v/>
      </c>
      <c r="M608">
        <f>IF($A608="","",Wages!$J611)</f>
        <v/>
      </c>
      <c r="N608">
        <f>IF($A608="","",Wages!$D611)</f>
        <v/>
      </c>
      <c r="P608">
        <f>IF(OR(Shares!$B611="",Shares!$C611=""),"",Shares!$C611)</f>
        <v/>
      </c>
      <c r="Q608">
        <f>IF($P608="","",Shares!$B611)</f>
        <v/>
      </c>
      <c r="R608">
        <f>IF($P608="","",IFERROR(INDEX(WageParty,MATCH($Q608,WageIds,0)),""))</f>
        <v/>
      </c>
      <c r="S608">
        <f>IF($P608="","",IFERROR(INDEX($F$6:$F$2005,MATCH($Q608,WageIds,0)),""))</f>
        <v/>
      </c>
      <c r="T608">
        <f>IF(OR($P608="",$S608="",$S608="نامعتبر"),"",LEFT($S608,4)&amp;MID($S608,6,2)&amp;RIGHT($S608,2)&amp;"0000"&amp;"|"&amp;"2"&amp;RIGHT("00000"&amp;603,5))</f>
        <v/>
      </c>
      <c r="U608">
        <f>IF($T608="","",COUNTIFS(LdAParty,$P608,LdAType,1,LdAKey,"&lt;"&amp;$T608)+COUNTIFS(LdBMember,$P608,LdBKey,"&lt;"&amp;$T608)+COUNTIFS(LdCParty,$P608,LdCKey,"&lt;"&amp;$T608)+1)</f>
        <v/>
      </c>
      <c r="V608">
        <f>IF($U608="","",$P608&amp;"|"&amp;RIGHT("000000"&amp;$U608,6))</f>
        <v/>
      </c>
      <c r="W608">
        <f>IF($T608="","",COUNTIFS(LdBGroup,$R608,LdBKey,"&lt;"&amp;$T608)+1)</f>
        <v/>
      </c>
      <c r="X608">
        <f>IF($W608="","",$R608&amp;"|"&amp;RIGHT("000000"&amp;$W608,6))</f>
        <v/>
      </c>
      <c r="Y608">
        <f>IF($P608="","",IF(Shares!$E611="",0,Shares!$E611))</f>
        <v/>
      </c>
      <c r="Z608">
        <f>IF($P608="","",Shares!$H611)</f>
        <v/>
      </c>
      <c r="AE608">
        <f>IF(OR(Sync!$S608="",Sync!$P608=""),"",Sync!$S608)</f>
        <v/>
      </c>
      <c r="AF608">
        <f>IF($AE608="","",IF(ISNUMBER(Sync!$P608),IF(AND(Sync!$P608&gt;=10000101,Sync!$P608&lt;=99991231),INT(Sync!$P608/10000),""),IFERROR(VALUE(TRIM(LEFT(Sync!$P608,FIND("/",Sync!$P608)-1))),"")))</f>
        <v/>
      </c>
      <c r="AG608">
        <f>IF(OR($AE608="",$AF608=""),"",IF(ISNUMBER(Sync!$P608),INT(MOD(Sync!$P608,10000)/100),IFERROR(VALUE(TRIM(LEFT(MID(Sync!$P608,FIND("/",Sync!$P608)+1,20),FIND("/",MID(Sync!$P608,FIND("/",Sync!$P608)+1,20))-1))),"")))</f>
        <v/>
      </c>
      <c r="AH608">
        <f>IF(OR($AE608="",$AF608=""),"",IF(ISNUMBER(Sync!$P608),MOD(Sync!$P608,100),IFERROR(VALUE(TRIM(MID(MID(Sync!$P608,FIND("/",Sync!$P608)+1,20),FIND("/",MID(Sync!$P608,FIND("/",Sync!$P608)+1,20))+1,20))),"")))</f>
        <v/>
      </c>
      <c r="AI608">
        <f>IF($AE608="","",IF(OR($AF608="",$AG608="",$AH608="",$AF608&lt;1300,$AF608&gt;1500,$AG608&lt;1,$AG608&gt;12,$AH608&lt;1,$AH608&gt;31),"نامعتبر",RIGHT("0000"&amp;$AF608,4)&amp;"/"&amp;RIGHT("00"&amp;$AG608,2)&amp;"/"&amp;RIGHT("00"&amp;$AH608,2)))</f>
        <v/>
      </c>
      <c r="AJ608">
        <f>IF($AE608="","",IF(Sync!$Q608="","0000",IF(AND(ISNUMBER(Sync!$Q608),Sync!$Q608&gt;=0,Sync!$Q608&lt;1),RIGHT("00"&amp;HOUR(Sync!$Q608),2)&amp;RIGHT("00"&amp;MINUTE(Sync!$Q608),2),IFERROR(RIGHT("00"&amp;VALUE(LEFT(Sync!$Q608,FIND(":",Sync!$Q608)-1)),2)&amp;RIGHT("00"&amp;VALUE(MID(Sync!$Q608,FIND(":",Sync!$Q608)+1,2)),2),"0000"))))</f>
        <v/>
      </c>
      <c r="AK608">
        <f>IF(OR($AE608="",$AI608="",$AI608="نامعتبر"),"",LEFT($AI608,4)&amp;MID($AI608,6,2)&amp;RIGHT($AI608,2)&amp;$AJ608&amp;"|"&amp;"3"&amp;RIGHT("00000"&amp;603,5))</f>
        <v/>
      </c>
      <c r="AL608">
        <f>IF($AK608="","",COUNTIFS(LdAParty,$AE608,LdAType,1,LdAKey,"&lt;"&amp;$AK608)+COUNTIFS(LdBMember,$AE608,LdBKey,"&lt;"&amp;$AK608)+COUNTIFS(LdCParty,$AE608,LdCKey,"&lt;"&amp;$AK608)+1)</f>
        <v/>
      </c>
      <c r="AM608">
        <f>IF($AL608="","",$AE608&amp;"|"&amp;RIGHT("000000"&amp;$AL608,6))</f>
        <v/>
      </c>
      <c r="AN608">
        <f>IF($AE608="","",IF(Sync!$W608="",0,Sync!$W608))</f>
        <v/>
      </c>
      <c r="AO608">
        <f>IF($AE608="","",IF(Sync!$X608="",0,Sync!$X608))</f>
        <v/>
      </c>
      <c r="AP608">
        <f>IF($AE608="","",Sync!$R608)</f>
        <v/>
      </c>
      <c r="AQ608">
        <f>IF($AE608="","",Sync!$Y608)</f>
        <v/>
      </c>
    </row>
    <row r="609">
      <c r="A609">
        <f>IF(OR(Wages!$B612="",Wages!$E612=""),"",Wages!$E612)</f>
        <v/>
      </c>
      <c r="B609">
        <f>IF($A609="","",IF(Wages!$C612="دستمزد گروهی",2,1))</f>
        <v/>
      </c>
      <c r="C609">
        <f>IF($A609="","",IF(ISNUMBER(Wages!$B612),IF(AND(Wages!$B612&gt;=10000101,Wages!$B612&lt;=99991231),INT(Wages!$B612/10000),""),IFERROR(VALUE(TRIM(LEFT(Wages!$B612,FIND("/",Wages!$B612)-1))),"")))</f>
        <v/>
      </c>
      <c r="D609">
        <f>IF(OR($A609="",$C609=""),"",IF(ISNUMBER(Wages!$B612),INT(MOD(Wages!$B612,10000)/100),IFERROR(VALUE(TRIM(LEFT(MID(Wages!$B612,FIND("/",Wages!$B612)+1,20),FIND("/",MID(Wages!$B612,FIND("/",Wages!$B612)+1,20))-1))),"")))</f>
        <v/>
      </c>
      <c r="E609">
        <f>IF(OR($A609="",$C609=""),"",IF(ISNUMBER(Wages!$B612),MOD(Wages!$B612,100),IFERROR(VALUE(TRIM(MID(MID(Wages!$B612,FIND("/",Wages!$B612)+1,20),FIND("/",MID(Wages!$B612,FIND("/",Wages!$B612)+1,20))+1,20))),"")))</f>
        <v/>
      </c>
      <c r="F609">
        <f>IF($A609="","",IF(OR($C609="",$D609="",$E609="",$C609&lt;1300,$C609&gt;1500,$D609&lt;1,$D609&gt;12,$E609&lt;1,$E609&gt;31),"نامعتبر",RIGHT("0000"&amp;$C609,4)&amp;"/"&amp;RIGHT("00"&amp;$D609,2)&amp;"/"&amp;RIGHT("00"&amp;$E609,2)))</f>
        <v/>
      </c>
      <c r="G609">
        <f>IF(OR($A609="",$F609="",$F609="نامعتبر"),"",LEFT($F609,4)&amp;MID($F609,6,2)&amp;RIGHT($F609,2)&amp;"0000"&amp;"|"&amp;"1"&amp;RIGHT("00000"&amp;604,5))</f>
        <v/>
      </c>
      <c r="H609">
        <f>IF(OR($B609&lt;&gt;1,$G609=""),"",COUNTIFS(LdAParty,$A609,LdAType,1,LdAKey,"&lt;"&amp;$G609)+COUNTIFS(LdBMember,$A609,LdBKey,"&lt;"&amp;$G609)+COUNTIFS(LdCParty,$A609,LdCKey,"&lt;"&amp;$G609)+1)</f>
        <v/>
      </c>
      <c r="I609">
        <f>IF($H609="","",$A609&amp;"|"&amp;RIGHT("000000"&amp;$H609,6))</f>
        <v/>
      </c>
      <c r="J609">
        <f>IF(OR($B609&lt;&gt;2,$G609=""),"",COUNTIFS(LdAParty,$A609,LdAType,2,LdAKey,"&lt;"&amp;$G609)+1)</f>
        <v/>
      </c>
      <c r="K609">
        <f>IF($J609="","",$A609&amp;"|"&amp;RIGHT("000000"&amp;$J609,6))</f>
        <v/>
      </c>
      <c r="L609">
        <f>IF($A609="","",IF(Wages!$G612="",0,Wages!$G612))</f>
        <v/>
      </c>
      <c r="M609">
        <f>IF($A609="","",Wages!$J612)</f>
        <v/>
      </c>
      <c r="N609">
        <f>IF($A609="","",Wages!$D612)</f>
        <v/>
      </c>
      <c r="P609">
        <f>IF(OR(Shares!$B612="",Shares!$C612=""),"",Shares!$C612)</f>
        <v/>
      </c>
      <c r="Q609">
        <f>IF($P609="","",Shares!$B612)</f>
        <v/>
      </c>
      <c r="R609">
        <f>IF($P609="","",IFERROR(INDEX(WageParty,MATCH($Q609,WageIds,0)),""))</f>
        <v/>
      </c>
      <c r="S609">
        <f>IF($P609="","",IFERROR(INDEX($F$6:$F$2005,MATCH($Q609,WageIds,0)),""))</f>
        <v/>
      </c>
      <c r="T609">
        <f>IF(OR($P609="",$S609="",$S609="نامعتبر"),"",LEFT($S609,4)&amp;MID($S609,6,2)&amp;RIGHT($S609,2)&amp;"0000"&amp;"|"&amp;"2"&amp;RIGHT("00000"&amp;604,5))</f>
        <v/>
      </c>
      <c r="U609">
        <f>IF($T609="","",COUNTIFS(LdAParty,$P609,LdAType,1,LdAKey,"&lt;"&amp;$T609)+COUNTIFS(LdBMember,$P609,LdBKey,"&lt;"&amp;$T609)+COUNTIFS(LdCParty,$P609,LdCKey,"&lt;"&amp;$T609)+1)</f>
        <v/>
      </c>
      <c r="V609">
        <f>IF($U609="","",$P609&amp;"|"&amp;RIGHT("000000"&amp;$U609,6))</f>
        <v/>
      </c>
      <c r="W609">
        <f>IF($T609="","",COUNTIFS(LdBGroup,$R609,LdBKey,"&lt;"&amp;$T609)+1)</f>
        <v/>
      </c>
      <c r="X609">
        <f>IF($W609="","",$R609&amp;"|"&amp;RIGHT("000000"&amp;$W609,6))</f>
        <v/>
      </c>
      <c r="Y609">
        <f>IF($P609="","",IF(Shares!$E612="",0,Shares!$E612))</f>
        <v/>
      </c>
      <c r="Z609">
        <f>IF($P609="","",Shares!$H612)</f>
        <v/>
      </c>
      <c r="AE609">
        <f>IF(OR(Sync!$S609="",Sync!$P609=""),"",Sync!$S609)</f>
        <v/>
      </c>
      <c r="AF609">
        <f>IF($AE609="","",IF(ISNUMBER(Sync!$P609),IF(AND(Sync!$P609&gt;=10000101,Sync!$P609&lt;=99991231),INT(Sync!$P609/10000),""),IFERROR(VALUE(TRIM(LEFT(Sync!$P609,FIND("/",Sync!$P609)-1))),"")))</f>
        <v/>
      </c>
      <c r="AG609">
        <f>IF(OR($AE609="",$AF609=""),"",IF(ISNUMBER(Sync!$P609),INT(MOD(Sync!$P609,10000)/100),IFERROR(VALUE(TRIM(LEFT(MID(Sync!$P609,FIND("/",Sync!$P609)+1,20),FIND("/",MID(Sync!$P609,FIND("/",Sync!$P609)+1,20))-1))),"")))</f>
        <v/>
      </c>
      <c r="AH609">
        <f>IF(OR($AE609="",$AF609=""),"",IF(ISNUMBER(Sync!$P609),MOD(Sync!$P609,100),IFERROR(VALUE(TRIM(MID(MID(Sync!$P609,FIND("/",Sync!$P609)+1,20),FIND("/",MID(Sync!$P609,FIND("/",Sync!$P609)+1,20))+1,20))),"")))</f>
        <v/>
      </c>
      <c r="AI609">
        <f>IF($AE609="","",IF(OR($AF609="",$AG609="",$AH609="",$AF609&lt;1300,$AF609&gt;1500,$AG609&lt;1,$AG609&gt;12,$AH609&lt;1,$AH609&gt;31),"نامعتبر",RIGHT("0000"&amp;$AF609,4)&amp;"/"&amp;RIGHT("00"&amp;$AG609,2)&amp;"/"&amp;RIGHT("00"&amp;$AH609,2)))</f>
        <v/>
      </c>
      <c r="AJ609">
        <f>IF($AE609="","",IF(Sync!$Q609="","0000",IF(AND(ISNUMBER(Sync!$Q609),Sync!$Q609&gt;=0,Sync!$Q609&lt;1),RIGHT("00"&amp;HOUR(Sync!$Q609),2)&amp;RIGHT("00"&amp;MINUTE(Sync!$Q609),2),IFERROR(RIGHT("00"&amp;VALUE(LEFT(Sync!$Q609,FIND(":",Sync!$Q609)-1)),2)&amp;RIGHT("00"&amp;VALUE(MID(Sync!$Q609,FIND(":",Sync!$Q609)+1,2)),2),"0000"))))</f>
        <v/>
      </c>
      <c r="AK609">
        <f>IF(OR($AE609="",$AI609="",$AI609="نامعتبر"),"",LEFT($AI609,4)&amp;MID($AI609,6,2)&amp;RIGHT($AI609,2)&amp;$AJ609&amp;"|"&amp;"3"&amp;RIGHT("00000"&amp;604,5))</f>
        <v/>
      </c>
      <c r="AL609">
        <f>IF($AK609="","",COUNTIFS(LdAParty,$AE609,LdAType,1,LdAKey,"&lt;"&amp;$AK609)+COUNTIFS(LdBMember,$AE609,LdBKey,"&lt;"&amp;$AK609)+COUNTIFS(LdCParty,$AE609,LdCKey,"&lt;"&amp;$AK609)+1)</f>
        <v/>
      </c>
      <c r="AM609">
        <f>IF($AL609="","",$AE609&amp;"|"&amp;RIGHT("000000"&amp;$AL609,6))</f>
        <v/>
      </c>
      <c r="AN609">
        <f>IF($AE609="","",IF(Sync!$W609="",0,Sync!$W609))</f>
        <v/>
      </c>
      <c r="AO609">
        <f>IF($AE609="","",IF(Sync!$X609="",0,Sync!$X609))</f>
        <v/>
      </c>
      <c r="AP609">
        <f>IF($AE609="","",Sync!$R609)</f>
        <v/>
      </c>
      <c r="AQ609">
        <f>IF($AE609="","",Sync!$Y609)</f>
        <v/>
      </c>
    </row>
    <row r="610">
      <c r="A610">
        <f>IF(OR(Wages!$B613="",Wages!$E613=""),"",Wages!$E613)</f>
        <v/>
      </c>
      <c r="B610">
        <f>IF($A610="","",IF(Wages!$C613="دستمزد گروهی",2,1))</f>
        <v/>
      </c>
      <c r="C610">
        <f>IF($A610="","",IF(ISNUMBER(Wages!$B613),IF(AND(Wages!$B613&gt;=10000101,Wages!$B613&lt;=99991231),INT(Wages!$B613/10000),""),IFERROR(VALUE(TRIM(LEFT(Wages!$B613,FIND("/",Wages!$B613)-1))),"")))</f>
        <v/>
      </c>
      <c r="D610">
        <f>IF(OR($A610="",$C610=""),"",IF(ISNUMBER(Wages!$B613),INT(MOD(Wages!$B613,10000)/100),IFERROR(VALUE(TRIM(LEFT(MID(Wages!$B613,FIND("/",Wages!$B613)+1,20),FIND("/",MID(Wages!$B613,FIND("/",Wages!$B613)+1,20))-1))),"")))</f>
        <v/>
      </c>
      <c r="E610">
        <f>IF(OR($A610="",$C610=""),"",IF(ISNUMBER(Wages!$B613),MOD(Wages!$B613,100),IFERROR(VALUE(TRIM(MID(MID(Wages!$B613,FIND("/",Wages!$B613)+1,20),FIND("/",MID(Wages!$B613,FIND("/",Wages!$B613)+1,20))+1,20))),"")))</f>
        <v/>
      </c>
      <c r="F610">
        <f>IF($A610="","",IF(OR($C610="",$D610="",$E610="",$C610&lt;1300,$C610&gt;1500,$D610&lt;1,$D610&gt;12,$E610&lt;1,$E610&gt;31),"نامعتبر",RIGHT("0000"&amp;$C610,4)&amp;"/"&amp;RIGHT("00"&amp;$D610,2)&amp;"/"&amp;RIGHT("00"&amp;$E610,2)))</f>
        <v/>
      </c>
      <c r="G610">
        <f>IF(OR($A610="",$F610="",$F610="نامعتبر"),"",LEFT($F610,4)&amp;MID($F610,6,2)&amp;RIGHT($F610,2)&amp;"0000"&amp;"|"&amp;"1"&amp;RIGHT("00000"&amp;605,5))</f>
        <v/>
      </c>
      <c r="H610">
        <f>IF(OR($B610&lt;&gt;1,$G610=""),"",COUNTIFS(LdAParty,$A610,LdAType,1,LdAKey,"&lt;"&amp;$G610)+COUNTIFS(LdBMember,$A610,LdBKey,"&lt;"&amp;$G610)+COUNTIFS(LdCParty,$A610,LdCKey,"&lt;"&amp;$G610)+1)</f>
        <v/>
      </c>
      <c r="I610">
        <f>IF($H610="","",$A610&amp;"|"&amp;RIGHT("000000"&amp;$H610,6))</f>
        <v/>
      </c>
      <c r="J610">
        <f>IF(OR($B610&lt;&gt;2,$G610=""),"",COUNTIFS(LdAParty,$A610,LdAType,2,LdAKey,"&lt;"&amp;$G610)+1)</f>
        <v/>
      </c>
      <c r="K610">
        <f>IF($J610="","",$A610&amp;"|"&amp;RIGHT("000000"&amp;$J610,6))</f>
        <v/>
      </c>
      <c r="L610">
        <f>IF($A610="","",IF(Wages!$G613="",0,Wages!$G613))</f>
        <v/>
      </c>
      <c r="M610">
        <f>IF($A610="","",Wages!$J613)</f>
        <v/>
      </c>
      <c r="N610">
        <f>IF($A610="","",Wages!$D613)</f>
        <v/>
      </c>
      <c r="P610">
        <f>IF(OR(Shares!$B613="",Shares!$C613=""),"",Shares!$C613)</f>
        <v/>
      </c>
      <c r="Q610">
        <f>IF($P610="","",Shares!$B613)</f>
        <v/>
      </c>
      <c r="R610">
        <f>IF($P610="","",IFERROR(INDEX(WageParty,MATCH($Q610,WageIds,0)),""))</f>
        <v/>
      </c>
      <c r="S610">
        <f>IF($P610="","",IFERROR(INDEX($F$6:$F$2005,MATCH($Q610,WageIds,0)),""))</f>
        <v/>
      </c>
      <c r="T610">
        <f>IF(OR($P610="",$S610="",$S610="نامعتبر"),"",LEFT($S610,4)&amp;MID($S610,6,2)&amp;RIGHT($S610,2)&amp;"0000"&amp;"|"&amp;"2"&amp;RIGHT("00000"&amp;605,5))</f>
        <v/>
      </c>
      <c r="U610">
        <f>IF($T610="","",COUNTIFS(LdAParty,$P610,LdAType,1,LdAKey,"&lt;"&amp;$T610)+COUNTIFS(LdBMember,$P610,LdBKey,"&lt;"&amp;$T610)+COUNTIFS(LdCParty,$P610,LdCKey,"&lt;"&amp;$T610)+1)</f>
        <v/>
      </c>
      <c r="V610">
        <f>IF($U610="","",$P610&amp;"|"&amp;RIGHT("000000"&amp;$U610,6))</f>
        <v/>
      </c>
      <c r="W610">
        <f>IF($T610="","",COUNTIFS(LdBGroup,$R610,LdBKey,"&lt;"&amp;$T610)+1)</f>
        <v/>
      </c>
      <c r="X610">
        <f>IF($W610="","",$R610&amp;"|"&amp;RIGHT("000000"&amp;$W610,6))</f>
        <v/>
      </c>
      <c r="Y610">
        <f>IF($P610="","",IF(Shares!$E613="",0,Shares!$E613))</f>
        <v/>
      </c>
      <c r="Z610">
        <f>IF($P610="","",Shares!$H613)</f>
        <v/>
      </c>
      <c r="AE610">
        <f>IF(OR(Sync!$S610="",Sync!$P610=""),"",Sync!$S610)</f>
        <v/>
      </c>
      <c r="AF610">
        <f>IF($AE610="","",IF(ISNUMBER(Sync!$P610),IF(AND(Sync!$P610&gt;=10000101,Sync!$P610&lt;=99991231),INT(Sync!$P610/10000),""),IFERROR(VALUE(TRIM(LEFT(Sync!$P610,FIND("/",Sync!$P610)-1))),"")))</f>
        <v/>
      </c>
      <c r="AG610">
        <f>IF(OR($AE610="",$AF610=""),"",IF(ISNUMBER(Sync!$P610),INT(MOD(Sync!$P610,10000)/100),IFERROR(VALUE(TRIM(LEFT(MID(Sync!$P610,FIND("/",Sync!$P610)+1,20),FIND("/",MID(Sync!$P610,FIND("/",Sync!$P610)+1,20))-1))),"")))</f>
        <v/>
      </c>
      <c r="AH610">
        <f>IF(OR($AE610="",$AF610=""),"",IF(ISNUMBER(Sync!$P610),MOD(Sync!$P610,100),IFERROR(VALUE(TRIM(MID(MID(Sync!$P610,FIND("/",Sync!$P610)+1,20),FIND("/",MID(Sync!$P610,FIND("/",Sync!$P610)+1,20))+1,20))),"")))</f>
        <v/>
      </c>
      <c r="AI610">
        <f>IF($AE610="","",IF(OR($AF610="",$AG610="",$AH610="",$AF610&lt;1300,$AF610&gt;1500,$AG610&lt;1,$AG610&gt;12,$AH610&lt;1,$AH610&gt;31),"نامعتبر",RIGHT("0000"&amp;$AF610,4)&amp;"/"&amp;RIGHT("00"&amp;$AG610,2)&amp;"/"&amp;RIGHT("00"&amp;$AH610,2)))</f>
        <v/>
      </c>
      <c r="AJ610">
        <f>IF($AE610="","",IF(Sync!$Q610="","0000",IF(AND(ISNUMBER(Sync!$Q610),Sync!$Q610&gt;=0,Sync!$Q610&lt;1),RIGHT("00"&amp;HOUR(Sync!$Q610),2)&amp;RIGHT("00"&amp;MINUTE(Sync!$Q610),2),IFERROR(RIGHT("00"&amp;VALUE(LEFT(Sync!$Q610,FIND(":",Sync!$Q610)-1)),2)&amp;RIGHT("00"&amp;VALUE(MID(Sync!$Q610,FIND(":",Sync!$Q610)+1,2)),2),"0000"))))</f>
        <v/>
      </c>
      <c r="AK610">
        <f>IF(OR($AE610="",$AI610="",$AI610="نامعتبر"),"",LEFT($AI610,4)&amp;MID($AI610,6,2)&amp;RIGHT($AI610,2)&amp;$AJ610&amp;"|"&amp;"3"&amp;RIGHT("00000"&amp;605,5))</f>
        <v/>
      </c>
      <c r="AL610">
        <f>IF($AK610="","",COUNTIFS(LdAParty,$AE610,LdAType,1,LdAKey,"&lt;"&amp;$AK610)+COUNTIFS(LdBMember,$AE610,LdBKey,"&lt;"&amp;$AK610)+COUNTIFS(LdCParty,$AE610,LdCKey,"&lt;"&amp;$AK610)+1)</f>
        <v/>
      </c>
      <c r="AM610">
        <f>IF($AL610="","",$AE610&amp;"|"&amp;RIGHT("000000"&amp;$AL610,6))</f>
        <v/>
      </c>
      <c r="AN610">
        <f>IF($AE610="","",IF(Sync!$W610="",0,Sync!$W610))</f>
        <v/>
      </c>
      <c r="AO610">
        <f>IF($AE610="","",IF(Sync!$X610="",0,Sync!$X610))</f>
        <v/>
      </c>
      <c r="AP610">
        <f>IF($AE610="","",Sync!$R610)</f>
        <v/>
      </c>
      <c r="AQ610">
        <f>IF($AE610="","",Sync!$Y610)</f>
        <v/>
      </c>
    </row>
    <row r="611">
      <c r="A611">
        <f>IF(OR(Wages!$B614="",Wages!$E614=""),"",Wages!$E614)</f>
        <v/>
      </c>
      <c r="B611">
        <f>IF($A611="","",IF(Wages!$C614="دستمزد گروهی",2,1))</f>
        <v/>
      </c>
      <c r="C611">
        <f>IF($A611="","",IF(ISNUMBER(Wages!$B614),IF(AND(Wages!$B614&gt;=10000101,Wages!$B614&lt;=99991231),INT(Wages!$B614/10000),""),IFERROR(VALUE(TRIM(LEFT(Wages!$B614,FIND("/",Wages!$B614)-1))),"")))</f>
        <v/>
      </c>
      <c r="D611">
        <f>IF(OR($A611="",$C611=""),"",IF(ISNUMBER(Wages!$B614),INT(MOD(Wages!$B614,10000)/100),IFERROR(VALUE(TRIM(LEFT(MID(Wages!$B614,FIND("/",Wages!$B614)+1,20),FIND("/",MID(Wages!$B614,FIND("/",Wages!$B614)+1,20))-1))),"")))</f>
        <v/>
      </c>
      <c r="E611">
        <f>IF(OR($A611="",$C611=""),"",IF(ISNUMBER(Wages!$B614),MOD(Wages!$B614,100),IFERROR(VALUE(TRIM(MID(MID(Wages!$B614,FIND("/",Wages!$B614)+1,20),FIND("/",MID(Wages!$B614,FIND("/",Wages!$B614)+1,20))+1,20))),"")))</f>
        <v/>
      </c>
      <c r="F611">
        <f>IF($A611="","",IF(OR($C611="",$D611="",$E611="",$C611&lt;1300,$C611&gt;1500,$D611&lt;1,$D611&gt;12,$E611&lt;1,$E611&gt;31),"نامعتبر",RIGHT("0000"&amp;$C611,4)&amp;"/"&amp;RIGHT("00"&amp;$D611,2)&amp;"/"&amp;RIGHT("00"&amp;$E611,2)))</f>
        <v/>
      </c>
      <c r="G611">
        <f>IF(OR($A611="",$F611="",$F611="نامعتبر"),"",LEFT($F611,4)&amp;MID($F611,6,2)&amp;RIGHT($F611,2)&amp;"0000"&amp;"|"&amp;"1"&amp;RIGHT("00000"&amp;606,5))</f>
        <v/>
      </c>
      <c r="H611">
        <f>IF(OR($B611&lt;&gt;1,$G611=""),"",COUNTIFS(LdAParty,$A611,LdAType,1,LdAKey,"&lt;"&amp;$G611)+COUNTIFS(LdBMember,$A611,LdBKey,"&lt;"&amp;$G611)+COUNTIFS(LdCParty,$A611,LdCKey,"&lt;"&amp;$G611)+1)</f>
        <v/>
      </c>
      <c r="I611">
        <f>IF($H611="","",$A611&amp;"|"&amp;RIGHT("000000"&amp;$H611,6))</f>
        <v/>
      </c>
      <c r="J611">
        <f>IF(OR($B611&lt;&gt;2,$G611=""),"",COUNTIFS(LdAParty,$A611,LdAType,2,LdAKey,"&lt;"&amp;$G611)+1)</f>
        <v/>
      </c>
      <c r="K611">
        <f>IF($J611="","",$A611&amp;"|"&amp;RIGHT("000000"&amp;$J611,6))</f>
        <v/>
      </c>
      <c r="L611">
        <f>IF($A611="","",IF(Wages!$G614="",0,Wages!$G614))</f>
        <v/>
      </c>
      <c r="M611">
        <f>IF($A611="","",Wages!$J614)</f>
        <v/>
      </c>
      <c r="N611">
        <f>IF($A611="","",Wages!$D614)</f>
        <v/>
      </c>
      <c r="P611">
        <f>IF(OR(Shares!$B614="",Shares!$C614=""),"",Shares!$C614)</f>
        <v/>
      </c>
      <c r="Q611">
        <f>IF($P611="","",Shares!$B614)</f>
        <v/>
      </c>
      <c r="R611">
        <f>IF($P611="","",IFERROR(INDEX(WageParty,MATCH($Q611,WageIds,0)),""))</f>
        <v/>
      </c>
      <c r="S611">
        <f>IF($P611="","",IFERROR(INDEX($F$6:$F$2005,MATCH($Q611,WageIds,0)),""))</f>
        <v/>
      </c>
      <c r="T611">
        <f>IF(OR($P611="",$S611="",$S611="نامعتبر"),"",LEFT($S611,4)&amp;MID($S611,6,2)&amp;RIGHT($S611,2)&amp;"0000"&amp;"|"&amp;"2"&amp;RIGHT("00000"&amp;606,5))</f>
        <v/>
      </c>
      <c r="U611">
        <f>IF($T611="","",COUNTIFS(LdAParty,$P611,LdAType,1,LdAKey,"&lt;"&amp;$T611)+COUNTIFS(LdBMember,$P611,LdBKey,"&lt;"&amp;$T611)+COUNTIFS(LdCParty,$P611,LdCKey,"&lt;"&amp;$T611)+1)</f>
        <v/>
      </c>
      <c r="V611">
        <f>IF($U611="","",$P611&amp;"|"&amp;RIGHT("000000"&amp;$U611,6))</f>
        <v/>
      </c>
      <c r="W611">
        <f>IF($T611="","",COUNTIFS(LdBGroup,$R611,LdBKey,"&lt;"&amp;$T611)+1)</f>
        <v/>
      </c>
      <c r="X611">
        <f>IF($W611="","",$R611&amp;"|"&amp;RIGHT("000000"&amp;$W611,6))</f>
        <v/>
      </c>
      <c r="Y611">
        <f>IF($P611="","",IF(Shares!$E614="",0,Shares!$E614))</f>
        <v/>
      </c>
      <c r="Z611">
        <f>IF($P611="","",Shares!$H614)</f>
        <v/>
      </c>
      <c r="AE611">
        <f>IF(OR(Sync!$S611="",Sync!$P611=""),"",Sync!$S611)</f>
        <v/>
      </c>
      <c r="AF611">
        <f>IF($AE611="","",IF(ISNUMBER(Sync!$P611),IF(AND(Sync!$P611&gt;=10000101,Sync!$P611&lt;=99991231),INT(Sync!$P611/10000),""),IFERROR(VALUE(TRIM(LEFT(Sync!$P611,FIND("/",Sync!$P611)-1))),"")))</f>
        <v/>
      </c>
      <c r="AG611">
        <f>IF(OR($AE611="",$AF611=""),"",IF(ISNUMBER(Sync!$P611),INT(MOD(Sync!$P611,10000)/100),IFERROR(VALUE(TRIM(LEFT(MID(Sync!$P611,FIND("/",Sync!$P611)+1,20),FIND("/",MID(Sync!$P611,FIND("/",Sync!$P611)+1,20))-1))),"")))</f>
        <v/>
      </c>
      <c r="AH611">
        <f>IF(OR($AE611="",$AF611=""),"",IF(ISNUMBER(Sync!$P611),MOD(Sync!$P611,100),IFERROR(VALUE(TRIM(MID(MID(Sync!$P611,FIND("/",Sync!$P611)+1,20),FIND("/",MID(Sync!$P611,FIND("/",Sync!$P611)+1,20))+1,20))),"")))</f>
        <v/>
      </c>
      <c r="AI611">
        <f>IF($AE611="","",IF(OR($AF611="",$AG611="",$AH611="",$AF611&lt;1300,$AF611&gt;1500,$AG611&lt;1,$AG611&gt;12,$AH611&lt;1,$AH611&gt;31),"نامعتبر",RIGHT("0000"&amp;$AF611,4)&amp;"/"&amp;RIGHT("00"&amp;$AG611,2)&amp;"/"&amp;RIGHT("00"&amp;$AH611,2)))</f>
        <v/>
      </c>
      <c r="AJ611">
        <f>IF($AE611="","",IF(Sync!$Q611="","0000",IF(AND(ISNUMBER(Sync!$Q611),Sync!$Q611&gt;=0,Sync!$Q611&lt;1),RIGHT("00"&amp;HOUR(Sync!$Q611),2)&amp;RIGHT("00"&amp;MINUTE(Sync!$Q611),2),IFERROR(RIGHT("00"&amp;VALUE(LEFT(Sync!$Q611,FIND(":",Sync!$Q611)-1)),2)&amp;RIGHT("00"&amp;VALUE(MID(Sync!$Q611,FIND(":",Sync!$Q611)+1,2)),2),"0000"))))</f>
        <v/>
      </c>
      <c r="AK611">
        <f>IF(OR($AE611="",$AI611="",$AI611="نامعتبر"),"",LEFT($AI611,4)&amp;MID($AI611,6,2)&amp;RIGHT($AI611,2)&amp;$AJ611&amp;"|"&amp;"3"&amp;RIGHT("00000"&amp;606,5))</f>
        <v/>
      </c>
      <c r="AL611">
        <f>IF($AK611="","",COUNTIFS(LdAParty,$AE611,LdAType,1,LdAKey,"&lt;"&amp;$AK611)+COUNTIFS(LdBMember,$AE611,LdBKey,"&lt;"&amp;$AK611)+COUNTIFS(LdCParty,$AE611,LdCKey,"&lt;"&amp;$AK611)+1)</f>
        <v/>
      </c>
      <c r="AM611">
        <f>IF($AL611="","",$AE611&amp;"|"&amp;RIGHT("000000"&amp;$AL611,6))</f>
        <v/>
      </c>
      <c r="AN611">
        <f>IF($AE611="","",IF(Sync!$W611="",0,Sync!$W611))</f>
        <v/>
      </c>
      <c r="AO611">
        <f>IF($AE611="","",IF(Sync!$X611="",0,Sync!$X611))</f>
        <v/>
      </c>
      <c r="AP611">
        <f>IF($AE611="","",Sync!$R611)</f>
        <v/>
      </c>
      <c r="AQ611">
        <f>IF($AE611="","",Sync!$Y611)</f>
        <v/>
      </c>
    </row>
    <row r="612">
      <c r="A612">
        <f>IF(OR(Wages!$B615="",Wages!$E615=""),"",Wages!$E615)</f>
        <v/>
      </c>
      <c r="B612">
        <f>IF($A612="","",IF(Wages!$C615="دستمزد گروهی",2,1))</f>
        <v/>
      </c>
      <c r="C612">
        <f>IF($A612="","",IF(ISNUMBER(Wages!$B615),IF(AND(Wages!$B615&gt;=10000101,Wages!$B615&lt;=99991231),INT(Wages!$B615/10000),""),IFERROR(VALUE(TRIM(LEFT(Wages!$B615,FIND("/",Wages!$B615)-1))),"")))</f>
        <v/>
      </c>
      <c r="D612">
        <f>IF(OR($A612="",$C612=""),"",IF(ISNUMBER(Wages!$B615),INT(MOD(Wages!$B615,10000)/100),IFERROR(VALUE(TRIM(LEFT(MID(Wages!$B615,FIND("/",Wages!$B615)+1,20),FIND("/",MID(Wages!$B615,FIND("/",Wages!$B615)+1,20))-1))),"")))</f>
        <v/>
      </c>
      <c r="E612">
        <f>IF(OR($A612="",$C612=""),"",IF(ISNUMBER(Wages!$B615),MOD(Wages!$B615,100),IFERROR(VALUE(TRIM(MID(MID(Wages!$B615,FIND("/",Wages!$B615)+1,20),FIND("/",MID(Wages!$B615,FIND("/",Wages!$B615)+1,20))+1,20))),"")))</f>
        <v/>
      </c>
      <c r="F612">
        <f>IF($A612="","",IF(OR($C612="",$D612="",$E612="",$C612&lt;1300,$C612&gt;1500,$D612&lt;1,$D612&gt;12,$E612&lt;1,$E612&gt;31),"نامعتبر",RIGHT("0000"&amp;$C612,4)&amp;"/"&amp;RIGHT("00"&amp;$D612,2)&amp;"/"&amp;RIGHT("00"&amp;$E612,2)))</f>
        <v/>
      </c>
      <c r="G612">
        <f>IF(OR($A612="",$F612="",$F612="نامعتبر"),"",LEFT($F612,4)&amp;MID($F612,6,2)&amp;RIGHT($F612,2)&amp;"0000"&amp;"|"&amp;"1"&amp;RIGHT("00000"&amp;607,5))</f>
        <v/>
      </c>
      <c r="H612">
        <f>IF(OR($B612&lt;&gt;1,$G612=""),"",COUNTIFS(LdAParty,$A612,LdAType,1,LdAKey,"&lt;"&amp;$G612)+COUNTIFS(LdBMember,$A612,LdBKey,"&lt;"&amp;$G612)+COUNTIFS(LdCParty,$A612,LdCKey,"&lt;"&amp;$G612)+1)</f>
        <v/>
      </c>
      <c r="I612">
        <f>IF($H612="","",$A612&amp;"|"&amp;RIGHT("000000"&amp;$H612,6))</f>
        <v/>
      </c>
      <c r="J612">
        <f>IF(OR($B612&lt;&gt;2,$G612=""),"",COUNTIFS(LdAParty,$A612,LdAType,2,LdAKey,"&lt;"&amp;$G612)+1)</f>
        <v/>
      </c>
      <c r="K612">
        <f>IF($J612="","",$A612&amp;"|"&amp;RIGHT("000000"&amp;$J612,6))</f>
        <v/>
      </c>
      <c r="L612">
        <f>IF($A612="","",IF(Wages!$G615="",0,Wages!$G615))</f>
        <v/>
      </c>
      <c r="M612">
        <f>IF($A612="","",Wages!$J615)</f>
        <v/>
      </c>
      <c r="N612">
        <f>IF($A612="","",Wages!$D615)</f>
        <v/>
      </c>
      <c r="P612">
        <f>IF(OR(Shares!$B615="",Shares!$C615=""),"",Shares!$C615)</f>
        <v/>
      </c>
      <c r="Q612">
        <f>IF($P612="","",Shares!$B615)</f>
        <v/>
      </c>
      <c r="R612">
        <f>IF($P612="","",IFERROR(INDEX(WageParty,MATCH($Q612,WageIds,0)),""))</f>
        <v/>
      </c>
      <c r="S612">
        <f>IF($P612="","",IFERROR(INDEX($F$6:$F$2005,MATCH($Q612,WageIds,0)),""))</f>
        <v/>
      </c>
      <c r="T612">
        <f>IF(OR($P612="",$S612="",$S612="نامعتبر"),"",LEFT($S612,4)&amp;MID($S612,6,2)&amp;RIGHT($S612,2)&amp;"0000"&amp;"|"&amp;"2"&amp;RIGHT("00000"&amp;607,5))</f>
        <v/>
      </c>
      <c r="U612">
        <f>IF($T612="","",COUNTIFS(LdAParty,$P612,LdAType,1,LdAKey,"&lt;"&amp;$T612)+COUNTIFS(LdBMember,$P612,LdBKey,"&lt;"&amp;$T612)+COUNTIFS(LdCParty,$P612,LdCKey,"&lt;"&amp;$T612)+1)</f>
        <v/>
      </c>
      <c r="V612">
        <f>IF($U612="","",$P612&amp;"|"&amp;RIGHT("000000"&amp;$U612,6))</f>
        <v/>
      </c>
      <c r="W612">
        <f>IF($T612="","",COUNTIFS(LdBGroup,$R612,LdBKey,"&lt;"&amp;$T612)+1)</f>
        <v/>
      </c>
      <c r="X612">
        <f>IF($W612="","",$R612&amp;"|"&amp;RIGHT("000000"&amp;$W612,6))</f>
        <v/>
      </c>
      <c r="Y612">
        <f>IF($P612="","",IF(Shares!$E615="",0,Shares!$E615))</f>
        <v/>
      </c>
      <c r="Z612">
        <f>IF($P612="","",Shares!$H615)</f>
        <v/>
      </c>
      <c r="AE612">
        <f>IF(OR(Sync!$S612="",Sync!$P612=""),"",Sync!$S612)</f>
        <v/>
      </c>
      <c r="AF612">
        <f>IF($AE612="","",IF(ISNUMBER(Sync!$P612),IF(AND(Sync!$P612&gt;=10000101,Sync!$P612&lt;=99991231),INT(Sync!$P612/10000),""),IFERROR(VALUE(TRIM(LEFT(Sync!$P612,FIND("/",Sync!$P612)-1))),"")))</f>
        <v/>
      </c>
      <c r="AG612">
        <f>IF(OR($AE612="",$AF612=""),"",IF(ISNUMBER(Sync!$P612),INT(MOD(Sync!$P612,10000)/100),IFERROR(VALUE(TRIM(LEFT(MID(Sync!$P612,FIND("/",Sync!$P612)+1,20),FIND("/",MID(Sync!$P612,FIND("/",Sync!$P612)+1,20))-1))),"")))</f>
        <v/>
      </c>
      <c r="AH612">
        <f>IF(OR($AE612="",$AF612=""),"",IF(ISNUMBER(Sync!$P612),MOD(Sync!$P612,100),IFERROR(VALUE(TRIM(MID(MID(Sync!$P612,FIND("/",Sync!$P612)+1,20),FIND("/",MID(Sync!$P612,FIND("/",Sync!$P612)+1,20))+1,20))),"")))</f>
        <v/>
      </c>
      <c r="AI612">
        <f>IF($AE612="","",IF(OR($AF612="",$AG612="",$AH612="",$AF612&lt;1300,$AF612&gt;1500,$AG612&lt;1,$AG612&gt;12,$AH612&lt;1,$AH612&gt;31),"نامعتبر",RIGHT("0000"&amp;$AF612,4)&amp;"/"&amp;RIGHT("00"&amp;$AG612,2)&amp;"/"&amp;RIGHT("00"&amp;$AH612,2)))</f>
        <v/>
      </c>
      <c r="AJ612">
        <f>IF($AE612="","",IF(Sync!$Q612="","0000",IF(AND(ISNUMBER(Sync!$Q612),Sync!$Q612&gt;=0,Sync!$Q612&lt;1),RIGHT("00"&amp;HOUR(Sync!$Q612),2)&amp;RIGHT("00"&amp;MINUTE(Sync!$Q612),2),IFERROR(RIGHT("00"&amp;VALUE(LEFT(Sync!$Q612,FIND(":",Sync!$Q612)-1)),2)&amp;RIGHT("00"&amp;VALUE(MID(Sync!$Q612,FIND(":",Sync!$Q612)+1,2)),2),"0000"))))</f>
        <v/>
      </c>
      <c r="AK612">
        <f>IF(OR($AE612="",$AI612="",$AI612="نامعتبر"),"",LEFT($AI612,4)&amp;MID($AI612,6,2)&amp;RIGHT($AI612,2)&amp;$AJ612&amp;"|"&amp;"3"&amp;RIGHT("00000"&amp;607,5))</f>
        <v/>
      </c>
      <c r="AL612">
        <f>IF($AK612="","",COUNTIFS(LdAParty,$AE612,LdAType,1,LdAKey,"&lt;"&amp;$AK612)+COUNTIFS(LdBMember,$AE612,LdBKey,"&lt;"&amp;$AK612)+COUNTIFS(LdCParty,$AE612,LdCKey,"&lt;"&amp;$AK612)+1)</f>
        <v/>
      </c>
      <c r="AM612">
        <f>IF($AL612="","",$AE612&amp;"|"&amp;RIGHT("000000"&amp;$AL612,6))</f>
        <v/>
      </c>
      <c r="AN612">
        <f>IF($AE612="","",IF(Sync!$W612="",0,Sync!$W612))</f>
        <v/>
      </c>
      <c r="AO612">
        <f>IF($AE612="","",IF(Sync!$X612="",0,Sync!$X612))</f>
        <v/>
      </c>
      <c r="AP612">
        <f>IF($AE612="","",Sync!$R612)</f>
        <v/>
      </c>
      <c r="AQ612">
        <f>IF($AE612="","",Sync!$Y612)</f>
        <v/>
      </c>
    </row>
    <row r="613">
      <c r="A613">
        <f>IF(OR(Wages!$B616="",Wages!$E616=""),"",Wages!$E616)</f>
        <v/>
      </c>
      <c r="B613">
        <f>IF($A613="","",IF(Wages!$C616="دستمزد گروهی",2,1))</f>
        <v/>
      </c>
      <c r="C613">
        <f>IF($A613="","",IF(ISNUMBER(Wages!$B616),IF(AND(Wages!$B616&gt;=10000101,Wages!$B616&lt;=99991231),INT(Wages!$B616/10000),""),IFERROR(VALUE(TRIM(LEFT(Wages!$B616,FIND("/",Wages!$B616)-1))),"")))</f>
        <v/>
      </c>
      <c r="D613">
        <f>IF(OR($A613="",$C613=""),"",IF(ISNUMBER(Wages!$B616),INT(MOD(Wages!$B616,10000)/100),IFERROR(VALUE(TRIM(LEFT(MID(Wages!$B616,FIND("/",Wages!$B616)+1,20),FIND("/",MID(Wages!$B616,FIND("/",Wages!$B616)+1,20))-1))),"")))</f>
        <v/>
      </c>
      <c r="E613">
        <f>IF(OR($A613="",$C613=""),"",IF(ISNUMBER(Wages!$B616),MOD(Wages!$B616,100),IFERROR(VALUE(TRIM(MID(MID(Wages!$B616,FIND("/",Wages!$B616)+1,20),FIND("/",MID(Wages!$B616,FIND("/",Wages!$B616)+1,20))+1,20))),"")))</f>
        <v/>
      </c>
      <c r="F613">
        <f>IF($A613="","",IF(OR($C613="",$D613="",$E613="",$C613&lt;1300,$C613&gt;1500,$D613&lt;1,$D613&gt;12,$E613&lt;1,$E613&gt;31),"نامعتبر",RIGHT("0000"&amp;$C613,4)&amp;"/"&amp;RIGHT("00"&amp;$D613,2)&amp;"/"&amp;RIGHT("00"&amp;$E613,2)))</f>
        <v/>
      </c>
      <c r="G613">
        <f>IF(OR($A613="",$F613="",$F613="نامعتبر"),"",LEFT($F613,4)&amp;MID($F613,6,2)&amp;RIGHT($F613,2)&amp;"0000"&amp;"|"&amp;"1"&amp;RIGHT("00000"&amp;608,5))</f>
        <v/>
      </c>
      <c r="H613">
        <f>IF(OR($B613&lt;&gt;1,$G613=""),"",COUNTIFS(LdAParty,$A613,LdAType,1,LdAKey,"&lt;"&amp;$G613)+COUNTIFS(LdBMember,$A613,LdBKey,"&lt;"&amp;$G613)+COUNTIFS(LdCParty,$A613,LdCKey,"&lt;"&amp;$G613)+1)</f>
        <v/>
      </c>
      <c r="I613">
        <f>IF($H613="","",$A613&amp;"|"&amp;RIGHT("000000"&amp;$H613,6))</f>
        <v/>
      </c>
      <c r="J613">
        <f>IF(OR($B613&lt;&gt;2,$G613=""),"",COUNTIFS(LdAParty,$A613,LdAType,2,LdAKey,"&lt;"&amp;$G613)+1)</f>
        <v/>
      </c>
      <c r="K613">
        <f>IF($J613="","",$A613&amp;"|"&amp;RIGHT("000000"&amp;$J613,6))</f>
        <v/>
      </c>
      <c r="L613">
        <f>IF($A613="","",IF(Wages!$G616="",0,Wages!$G616))</f>
        <v/>
      </c>
      <c r="M613">
        <f>IF($A613="","",Wages!$J616)</f>
        <v/>
      </c>
      <c r="N613">
        <f>IF($A613="","",Wages!$D616)</f>
        <v/>
      </c>
      <c r="P613">
        <f>IF(OR(Shares!$B616="",Shares!$C616=""),"",Shares!$C616)</f>
        <v/>
      </c>
      <c r="Q613">
        <f>IF($P613="","",Shares!$B616)</f>
        <v/>
      </c>
      <c r="R613">
        <f>IF($P613="","",IFERROR(INDEX(WageParty,MATCH($Q613,WageIds,0)),""))</f>
        <v/>
      </c>
      <c r="S613">
        <f>IF($P613="","",IFERROR(INDEX($F$6:$F$2005,MATCH($Q613,WageIds,0)),""))</f>
        <v/>
      </c>
      <c r="T613">
        <f>IF(OR($P613="",$S613="",$S613="نامعتبر"),"",LEFT($S613,4)&amp;MID($S613,6,2)&amp;RIGHT($S613,2)&amp;"0000"&amp;"|"&amp;"2"&amp;RIGHT("00000"&amp;608,5))</f>
        <v/>
      </c>
      <c r="U613">
        <f>IF($T613="","",COUNTIFS(LdAParty,$P613,LdAType,1,LdAKey,"&lt;"&amp;$T613)+COUNTIFS(LdBMember,$P613,LdBKey,"&lt;"&amp;$T613)+COUNTIFS(LdCParty,$P613,LdCKey,"&lt;"&amp;$T613)+1)</f>
        <v/>
      </c>
      <c r="V613">
        <f>IF($U613="","",$P613&amp;"|"&amp;RIGHT("000000"&amp;$U613,6))</f>
        <v/>
      </c>
      <c r="W613">
        <f>IF($T613="","",COUNTIFS(LdBGroup,$R613,LdBKey,"&lt;"&amp;$T613)+1)</f>
        <v/>
      </c>
      <c r="X613">
        <f>IF($W613="","",$R613&amp;"|"&amp;RIGHT("000000"&amp;$W613,6))</f>
        <v/>
      </c>
      <c r="Y613">
        <f>IF($P613="","",IF(Shares!$E616="",0,Shares!$E616))</f>
        <v/>
      </c>
      <c r="Z613">
        <f>IF($P613="","",Shares!$H616)</f>
        <v/>
      </c>
      <c r="AE613">
        <f>IF(OR(Sync!$S613="",Sync!$P613=""),"",Sync!$S613)</f>
        <v/>
      </c>
      <c r="AF613">
        <f>IF($AE613="","",IF(ISNUMBER(Sync!$P613),IF(AND(Sync!$P613&gt;=10000101,Sync!$P613&lt;=99991231),INT(Sync!$P613/10000),""),IFERROR(VALUE(TRIM(LEFT(Sync!$P613,FIND("/",Sync!$P613)-1))),"")))</f>
        <v/>
      </c>
      <c r="AG613">
        <f>IF(OR($AE613="",$AF613=""),"",IF(ISNUMBER(Sync!$P613),INT(MOD(Sync!$P613,10000)/100),IFERROR(VALUE(TRIM(LEFT(MID(Sync!$P613,FIND("/",Sync!$P613)+1,20),FIND("/",MID(Sync!$P613,FIND("/",Sync!$P613)+1,20))-1))),"")))</f>
        <v/>
      </c>
      <c r="AH613">
        <f>IF(OR($AE613="",$AF613=""),"",IF(ISNUMBER(Sync!$P613),MOD(Sync!$P613,100),IFERROR(VALUE(TRIM(MID(MID(Sync!$P613,FIND("/",Sync!$P613)+1,20),FIND("/",MID(Sync!$P613,FIND("/",Sync!$P613)+1,20))+1,20))),"")))</f>
        <v/>
      </c>
      <c r="AI613">
        <f>IF($AE613="","",IF(OR($AF613="",$AG613="",$AH613="",$AF613&lt;1300,$AF613&gt;1500,$AG613&lt;1,$AG613&gt;12,$AH613&lt;1,$AH613&gt;31),"نامعتبر",RIGHT("0000"&amp;$AF613,4)&amp;"/"&amp;RIGHT("00"&amp;$AG613,2)&amp;"/"&amp;RIGHT("00"&amp;$AH613,2)))</f>
        <v/>
      </c>
      <c r="AJ613">
        <f>IF($AE613="","",IF(Sync!$Q613="","0000",IF(AND(ISNUMBER(Sync!$Q613),Sync!$Q613&gt;=0,Sync!$Q613&lt;1),RIGHT("00"&amp;HOUR(Sync!$Q613),2)&amp;RIGHT("00"&amp;MINUTE(Sync!$Q613),2),IFERROR(RIGHT("00"&amp;VALUE(LEFT(Sync!$Q613,FIND(":",Sync!$Q613)-1)),2)&amp;RIGHT("00"&amp;VALUE(MID(Sync!$Q613,FIND(":",Sync!$Q613)+1,2)),2),"0000"))))</f>
        <v/>
      </c>
      <c r="AK613">
        <f>IF(OR($AE613="",$AI613="",$AI613="نامعتبر"),"",LEFT($AI613,4)&amp;MID($AI613,6,2)&amp;RIGHT($AI613,2)&amp;$AJ613&amp;"|"&amp;"3"&amp;RIGHT("00000"&amp;608,5))</f>
        <v/>
      </c>
      <c r="AL613">
        <f>IF($AK613="","",COUNTIFS(LdAParty,$AE613,LdAType,1,LdAKey,"&lt;"&amp;$AK613)+COUNTIFS(LdBMember,$AE613,LdBKey,"&lt;"&amp;$AK613)+COUNTIFS(LdCParty,$AE613,LdCKey,"&lt;"&amp;$AK613)+1)</f>
        <v/>
      </c>
      <c r="AM613">
        <f>IF($AL613="","",$AE613&amp;"|"&amp;RIGHT("000000"&amp;$AL613,6))</f>
        <v/>
      </c>
      <c r="AN613">
        <f>IF($AE613="","",IF(Sync!$W613="",0,Sync!$W613))</f>
        <v/>
      </c>
      <c r="AO613">
        <f>IF($AE613="","",IF(Sync!$X613="",0,Sync!$X613))</f>
        <v/>
      </c>
      <c r="AP613">
        <f>IF($AE613="","",Sync!$R613)</f>
        <v/>
      </c>
      <c r="AQ613">
        <f>IF($AE613="","",Sync!$Y613)</f>
        <v/>
      </c>
    </row>
    <row r="614">
      <c r="A614">
        <f>IF(OR(Wages!$B617="",Wages!$E617=""),"",Wages!$E617)</f>
        <v/>
      </c>
      <c r="B614">
        <f>IF($A614="","",IF(Wages!$C617="دستمزد گروهی",2,1))</f>
        <v/>
      </c>
      <c r="C614">
        <f>IF($A614="","",IF(ISNUMBER(Wages!$B617),IF(AND(Wages!$B617&gt;=10000101,Wages!$B617&lt;=99991231),INT(Wages!$B617/10000),""),IFERROR(VALUE(TRIM(LEFT(Wages!$B617,FIND("/",Wages!$B617)-1))),"")))</f>
        <v/>
      </c>
      <c r="D614">
        <f>IF(OR($A614="",$C614=""),"",IF(ISNUMBER(Wages!$B617),INT(MOD(Wages!$B617,10000)/100),IFERROR(VALUE(TRIM(LEFT(MID(Wages!$B617,FIND("/",Wages!$B617)+1,20),FIND("/",MID(Wages!$B617,FIND("/",Wages!$B617)+1,20))-1))),"")))</f>
        <v/>
      </c>
      <c r="E614">
        <f>IF(OR($A614="",$C614=""),"",IF(ISNUMBER(Wages!$B617),MOD(Wages!$B617,100),IFERROR(VALUE(TRIM(MID(MID(Wages!$B617,FIND("/",Wages!$B617)+1,20),FIND("/",MID(Wages!$B617,FIND("/",Wages!$B617)+1,20))+1,20))),"")))</f>
        <v/>
      </c>
      <c r="F614">
        <f>IF($A614="","",IF(OR($C614="",$D614="",$E614="",$C614&lt;1300,$C614&gt;1500,$D614&lt;1,$D614&gt;12,$E614&lt;1,$E614&gt;31),"نامعتبر",RIGHT("0000"&amp;$C614,4)&amp;"/"&amp;RIGHT("00"&amp;$D614,2)&amp;"/"&amp;RIGHT("00"&amp;$E614,2)))</f>
        <v/>
      </c>
      <c r="G614">
        <f>IF(OR($A614="",$F614="",$F614="نامعتبر"),"",LEFT($F614,4)&amp;MID($F614,6,2)&amp;RIGHT($F614,2)&amp;"0000"&amp;"|"&amp;"1"&amp;RIGHT("00000"&amp;609,5))</f>
        <v/>
      </c>
      <c r="H614">
        <f>IF(OR($B614&lt;&gt;1,$G614=""),"",COUNTIFS(LdAParty,$A614,LdAType,1,LdAKey,"&lt;"&amp;$G614)+COUNTIFS(LdBMember,$A614,LdBKey,"&lt;"&amp;$G614)+COUNTIFS(LdCParty,$A614,LdCKey,"&lt;"&amp;$G614)+1)</f>
        <v/>
      </c>
      <c r="I614">
        <f>IF($H614="","",$A614&amp;"|"&amp;RIGHT("000000"&amp;$H614,6))</f>
        <v/>
      </c>
      <c r="J614">
        <f>IF(OR($B614&lt;&gt;2,$G614=""),"",COUNTIFS(LdAParty,$A614,LdAType,2,LdAKey,"&lt;"&amp;$G614)+1)</f>
        <v/>
      </c>
      <c r="K614">
        <f>IF($J614="","",$A614&amp;"|"&amp;RIGHT("000000"&amp;$J614,6))</f>
        <v/>
      </c>
      <c r="L614">
        <f>IF($A614="","",IF(Wages!$G617="",0,Wages!$G617))</f>
        <v/>
      </c>
      <c r="M614">
        <f>IF($A614="","",Wages!$J617)</f>
        <v/>
      </c>
      <c r="N614">
        <f>IF($A614="","",Wages!$D617)</f>
        <v/>
      </c>
      <c r="P614">
        <f>IF(OR(Shares!$B617="",Shares!$C617=""),"",Shares!$C617)</f>
        <v/>
      </c>
      <c r="Q614">
        <f>IF($P614="","",Shares!$B617)</f>
        <v/>
      </c>
      <c r="R614">
        <f>IF($P614="","",IFERROR(INDEX(WageParty,MATCH($Q614,WageIds,0)),""))</f>
        <v/>
      </c>
      <c r="S614">
        <f>IF($P614="","",IFERROR(INDEX($F$6:$F$2005,MATCH($Q614,WageIds,0)),""))</f>
        <v/>
      </c>
      <c r="T614">
        <f>IF(OR($P614="",$S614="",$S614="نامعتبر"),"",LEFT($S614,4)&amp;MID($S614,6,2)&amp;RIGHT($S614,2)&amp;"0000"&amp;"|"&amp;"2"&amp;RIGHT("00000"&amp;609,5))</f>
        <v/>
      </c>
      <c r="U614">
        <f>IF($T614="","",COUNTIFS(LdAParty,$P614,LdAType,1,LdAKey,"&lt;"&amp;$T614)+COUNTIFS(LdBMember,$P614,LdBKey,"&lt;"&amp;$T614)+COUNTIFS(LdCParty,$P614,LdCKey,"&lt;"&amp;$T614)+1)</f>
        <v/>
      </c>
      <c r="V614">
        <f>IF($U614="","",$P614&amp;"|"&amp;RIGHT("000000"&amp;$U614,6))</f>
        <v/>
      </c>
      <c r="W614">
        <f>IF($T614="","",COUNTIFS(LdBGroup,$R614,LdBKey,"&lt;"&amp;$T614)+1)</f>
        <v/>
      </c>
      <c r="X614">
        <f>IF($W614="","",$R614&amp;"|"&amp;RIGHT("000000"&amp;$W614,6))</f>
        <v/>
      </c>
      <c r="Y614">
        <f>IF($P614="","",IF(Shares!$E617="",0,Shares!$E617))</f>
        <v/>
      </c>
      <c r="Z614">
        <f>IF($P614="","",Shares!$H617)</f>
        <v/>
      </c>
      <c r="AE614">
        <f>IF(OR(Sync!$S614="",Sync!$P614=""),"",Sync!$S614)</f>
        <v/>
      </c>
      <c r="AF614">
        <f>IF($AE614="","",IF(ISNUMBER(Sync!$P614),IF(AND(Sync!$P614&gt;=10000101,Sync!$P614&lt;=99991231),INT(Sync!$P614/10000),""),IFERROR(VALUE(TRIM(LEFT(Sync!$P614,FIND("/",Sync!$P614)-1))),"")))</f>
        <v/>
      </c>
      <c r="AG614">
        <f>IF(OR($AE614="",$AF614=""),"",IF(ISNUMBER(Sync!$P614),INT(MOD(Sync!$P614,10000)/100),IFERROR(VALUE(TRIM(LEFT(MID(Sync!$P614,FIND("/",Sync!$P614)+1,20),FIND("/",MID(Sync!$P614,FIND("/",Sync!$P614)+1,20))-1))),"")))</f>
        <v/>
      </c>
      <c r="AH614">
        <f>IF(OR($AE614="",$AF614=""),"",IF(ISNUMBER(Sync!$P614),MOD(Sync!$P614,100),IFERROR(VALUE(TRIM(MID(MID(Sync!$P614,FIND("/",Sync!$P614)+1,20),FIND("/",MID(Sync!$P614,FIND("/",Sync!$P614)+1,20))+1,20))),"")))</f>
        <v/>
      </c>
      <c r="AI614">
        <f>IF($AE614="","",IF(OR($AF614="",$AG614="",$AH614="",$AF614&lt;1300,$AF614&gt;1500,$AG614&lt;1,$AG614&gt;12,$AH614&lt;1,$AH614&gt;31),"نامعتبر",RIGHT("0000"&amp;$AF614,4)&amp;"/"&amp;RIGHT("00"&amp;$AG614,2)&amp;"/"&amp;RIGHT("00"&amp;$AH614,2)))</f>
        <v/>
      </c>
      <c r="AJ614">
        <f>IF($AE614="","",IF(Sync!$Q614="","0000",IF(AND(ISNUMBER(Sync!$Q614),Sync!$Q614&gt;=0,Sync!$Q614&lt;1),RIGHT("00"&amp;HOUR(Sync!$Q614),2)&amp;RIGHT("00"&amp;MINUTE(Sync!$Q614),2),IFERROR(RIGHT("00"&amp;VALUE(LEFT(Sync!$Q614,FIND(":",Sync!$Q614)-1)),2)&amp;RIGHT("00"&amp;VALUE(MID(Sync!$Q614,FIND(":",Sync!$Q614)+1,2)),2),"0000"))))</f>
        <v/>
      </c>
      <c r="AK614">
        <f>IF(OR($AE614="",$AI614="",$AI614="نامعتبر"),"",LEFT($AI614,4)&amp;MID($AI614,6,2)&amp;RIGHT($AI614,2)&amp;$AJ614&amp;"|"&amp;"3"&amp;RIGHT("00000"&amp;609,5))</f>
        <v/>
      </c>
      <c r="AL614">
        <f>IF($AK614="","",COUNTIFS(LdAParty,$AE614,LdAType,1,LdAKey,"&lt;"&amp;$AK614)+COUNTIFS(LdBMember,$AE614,LdBKey,"&lt;"&amp;$AK614)+COUNTIFS(LdCParty,$AE614,LdCKey,"&lt;"&amp;$AK614)+1)</f>
        <v/>
      </c>
      <c r="AM614">
        <f>IF($AL614="","",$AE614&amp;"|"&amp;RIGHT("000000"&amp;$AL614,6))</f>
        <v/>
      </c>
      <c r="AN614">
        <f>IF($AE614="","",IF(Sync!$W614="",0,Sync!$W614))</f>
        <v/>
      </c>
      <c r="AO614">
        <f>IF($AE614="","",IF(Sync!$X614="",0,Sync!$X614))</f>
        <v/>
      </c>
      <c r="AP614">
        <f>IF($AE614="","",Sync!$R614)</f>
        <v/>
      </c>
      <c r="AQ614">
        <f>IF($AE614="","",Sync!$Y614)</f>
        <v/>
      </c>
    </row>
    <row r="615">
      <c r="A615">
        <f>IF(OR(Wages!$B618="",Wages!$E618=""),"",Wages!$E618)</f>
        <v/>
      </c>
      <c r="B615">
        <f>IF($A615="","",IF(Wages!$C618="دستمزد گروهی",2,1))</f>
        <v/>
      </c>
      <c r="C615">
        <f>IF($A615="","",IF(ISNUMBER(Wages!$B618),IF(AND(Wages!$B618&gt;=10000101,Wages!$B618&lt;=99991231),INT(Wages!$B618/10000),""),IFERROR(VALUE(TRIM(LEFT(Wages!$B618,FIND("/",Wages!$B618)-1))),"")))</f>
        <v/>
      </c>
      <c r="D615">
        <f>IF(OR($A615="",$C615=""),"",IF(ISNUMBER(Wages!$B618),INT(MOD(Wages!$B618,10000)/100),IFERROR(VALUE(TRIM(LEFT(MID(Wages!$B618,FIND("/",Wages!$B618)+1,20),FIND("/",MID(Wages!$B618,FIND("/",Wages!$B618)+1,20))-1))),"")))</f>
        <v/>
      </c>
      <c r="E615">
        <f>IF(OR($A615="",$C615=""),"",IF(ISNUMBER(Wages!$B618),MOD(Wages!$B618,100),IFERROR(VALUE(TRIM(MID(MID(Wages!$B618,FIND("/",Wages!$B618)+1,20),FIND("/",MID(Wages!$B618,FIND("/",Wages!$B618)+1,20))+1,20))),"")))</f>
        <v/>
      </c>
      <c r="F615">
        <f>IF($A615="","",IF(OR($C615="",$D615="",$E615="",$C615&lt;1300,$C615&gt;1500,$D615&lt;1,$D615&gt;12,$E615&lt;1,$E615&gt;31),"نامعتبر",RIGHT("0000"&amp;$C615,4)&amp;"/"&amp;RIGHT("00"&amp;$D615,2)&amp;"/"&amp;RIGHT("00"&amp;$E615,2)))</f>
        <v/>
      </c>
      <c r="G615">
        <f>IF(OR($A615="",$F615="",$F615="نامعتبر"),"",LEFT($F615,4)&amp;MID($F615,6,2)&amp;RIGHT($F615,2)&amp;"0000"&amp;"|"&amp;"1"&amp;RIGHT("00000"&amp;610,5))</f>
        <v/>
      </c>
      <c r="H615">
        <f>IF(OR($B615&lt;&gt;1,$G615=""),"",COUNTIFS(LdAParty,$A615,LdAType,1,LdAKey,"&lt;"&amp;$G615)+COUNTIFS(LdBMember,$A615,LdBKey,"&lt;"&amp;$G615)+COUNTIFS(LdCParty,$A615,LdCKey,"&lt;"&amp;$G615)+1)</f>
        <v/>
      </c>
      <c r="I615">
        <f>IF($H615="","",$A615&amp;"|"&amp;RIGHT("000000"&amp;$H615,6))</f>
        <v/>
      </c>
      <c r="J615">
        <f>IF(OR($B615&lt;&gt;2,$G615=""),"",COUNTIFS(LdAParty,$A615,LdAType,2,LdAKey,"&lt;"&amp;$G615)+1)</f>
        <v/>
      </c>
      <c r="K615">
        <f>IF($J615="","",$A615&amp;"|"&amp;RIGHT("000000"&amp;$J615,6))</f>
        <v/>
      </c>
      <c r="L615">
        <f>IF($A615="","",IF(Wages!$G618="",0,Wages!$G618))</f>
        <v/>
      </c>
      <c r="M615">
        <f>IF($A615="","",Wages!$J618)</f>
        <v/>
      </c>
      <c r="N615">
        <f>IF($A615="","",Wages!$D618)</f>
        <v/>
      </c>
      <c r="P615">
        <f>IF(OR(Shares!$B618="",Shares!$C618=""),"",Shares!$C618)</f>
        <v/>
      </c>
      <c r="Q615">
        <f>IF($P615="","",Shares!$B618)</f>
        <v/>
      </c>
      <c r="R615">
        <f>IF($P615="","",IFERROR(INDEX(WageParty,MATCH($Q615,WageIds,0)),""))</f>
        <v/>
      </c>
      <c r="S615">
        <f>IF($P615="","",IFERROR(INDEX($F$6:$F$2005,MATCH($Q615,WageIds,0)),""))</f>
        <v/>
      </c>
      <c r="T615">
        <f>IF(OR($P615="",$S615="",$S615="نامعتبر"),"",LEFT($S615,4)&amp;MID($S615,6,2)&amp;RIGHT($S615,2)&amp;"0000"&amp;"|"&amp;"2"&amp;RIGHT("00000"&amp;610,5))</f>
        <v/>
      </c>
      <c r="U615">
        <f>IF($T615="","",COUNTIFS(LdAParty,$P615,LdAType,1,LdAKey,"&lt;"&amp;$T615)+COUNTIFS(LdBMember,$P615,LdBKey,"&lt;"&amp;$T615)+COUNTIFS(LdCParty,$P615,LdCKey,"&lt;"&amp;$T615)+1)</f>
        <v/>
      </c>
      <c r="V615">
        <f>IF($U615="","",$P615&amp;"|"&amp;RIGHT("000000"&amp;$U615,6))</f>
        <v/>
      </c>
      <c r="W615">
        <f>IF($T615="","",COUNTIFS(LdBGroup,$R615,LdBKey,"&lt;"&amp;$T615)+1)</f>
        <v/>
      </c>
      <c r="X615">
        <f>IF($W615="","",$R615&amp;"|"&amp;RIGHT("000000"&amp;$W615,6))</f>
        <v/>
      </c>
      <c r="Y615">
        <f>IF($P615="","",IF(Shares!$E618="",0,Shares!$E618))</f>
        <v/>
      </c>
      <c r="Z615">
        <f>IF($P615="","",Shares!$H618)</f>
        <v/>
      </c>
      <c r="AE615">
        <f>IF(OR(Sync!$S615="",Sync!$P615=""),"",Sync!$S615)</f>
        <v/>
      </c>
      <c r="AF615">
        <f>IF($AE615="","",IF(ISNUMBER(Sync!$P615),IF(AND(Sync!$P615&gt;=10000101,Sync!$P615&lt;=99991231),INT(Sync!$P615/10000),""),IFERROR(VALUE(TRIM(LEFT(Sync!$P615,FIND("/",Sync!$P615)-1))),"")))</f>
        <v/>
      </c>
      <c r="AG615">
        <f>IF(OR($AE615="",$AF615=""),"",IF(ISNUMBER(Sync!$P615),INT(MOD(Sync!$P615,10000)/100),IFERROR(VALUE(TRIM(LEFT(MID(Sync!$P615,FIND("/",Sync!$P615)+1,20),FIND("/",MID(Sync!$P615,FIND("/",Sync!$P615)+1,20))-1))),"")))</f>
        <v/>
      </c>
      <c r="AH615">
        <f>IF(OR($AE615="",$AF615=""),"",IF(ISNUMBER(Sync!$P615),MOD(Sync!$P615,100),IFERROR(VALUE(TRIM(MID(MID(Sync!$P615,FIND("/",Sync!$P615)+1,20),FIND("/",MID(Sync!$P615,FIND("/",Sync!$P615)+1,20))+1,20))),"")))</f>
        <v/>
      </c>
      <c r="AI615">
        <f>IF($AE615="","",IF(OR($AF615="",$AG615="",$AH615="",$AF615&lt;1300,$AF615&gt;1500,$AG615&lt;1,$AG615&gt;12,$AH615&lt;1,$AH615&gt;31),"نامعتبر",RIGHT("0000"&amp;$AF615,4)&amp;"/"&amp;RIGHT("00"&amp;$AG615,2)&amp;"/"&amp;RIGHT("00"&amp;$AH615,2)))</f>
        <v/>
      </c>
      <c r="AJ615">
        <f>IF($AE615="","",IF(Sync!$Q615="","0000",IF(AND(ISNUMBER(Sync!$Q615),Sync!$Q615&gt;=0,Sync!$Q615&lt;1),RIGHT("00"&amp;HOUR(Sync!$Q615),2)&amp;RIGHT("00"&amp;MINUTE(Sync!$Q615),2),IFERROR(RIGHT("00"&amp;VALUE(LEFT(Sync!$Q615,FIND(":",Sync!$Q615)-1)),2)&amp;RIGHT("00"&amp;VALUE(MID(Sync!$Q615,FIND(":",Sync!$Q615)+1,2)),2),"0000"))))</f>
        <v/>
      </c>
      <c r="AK615">
        <f>IF(OR($AE615="",$AI615="",$AI615="نامعتبر"),"",LEFT($AI615,4)&amp;MID($AI615,6,2)&amp;RIGHT($AI615,2)&amp;$AJ615&amp;"|"&amp;"3"&amp;RIGHT("00000"&amp;610,5))</f>
        <v/>
      </c>
      <c r="AL615">
        <f>IF($AK615="","",COUNTIFS(LdAParty,$AE615,LdAType,1,LdAKey,"&lt;"&amp;$AK615)+COUNTIFS(LdBMember,$AE615,LdBKey,"&lt;"&amp;$AK615)+COUNTIFS(LdCParty,$AE615,LdCKey,"&lt;"&amp;$AK615)+1)</f>
        <v/>
      </c>
      <c r="AM615">
        <f>IF($AL615="","",$AE615&amp;"|"&amp;RIGHT("000000"&amp;$AL615,6))</f>
        <v/>
      </c>
      <c r="AN615">
        <f>IF($AE615="","",IF(Sync!$W615="",0,Sync!$W615))</f>
        <v/>
      </c>
      <c r="AO615">
        <f>IF($AE615="","",IF(Sync!$X615="",0,Sync!$X615))</f>
        <v/>
      </c>
      <c r="AP615">
        <f>IF($AE615="","",Sync!$R615)</f>
        <v/>
      </c>
      <c r="AQ615">
        <f>IF($AE615="","",Sync!$Y615)</f>
        <v/>
      </c>
    </row>
    <row r="616">
      <c r="A616">
        <f>IF(OR(Wages!$B619="",Wages!$E619=""),"",Wages!$E619)</f>
        <v/>
      </c>
      <c r="B616">
        <f>IF($A616="","",IF(Wages!$C619="دستمزد گروهی",2,1))</f>
        <v/>
      </c>
      <c r="C616">
        <f>IF($A616="","",IF(ISNUMBER(Wages!$B619),IF(AND(Wages!$B619&gt;=10000101,Wages!$B619&lt;=99991231),INT(Wages!$B619/10000),""),IFERROR(VALUE(TRIM(LEFT(Wages!$B619,FIND("/",Wages!$B619)-1))),"")))</f>
        <v/>
      </c>
      <c r="D616">
        <f>IF(OR($A616="",$C616=""),"",IF(ISNUMBER(Wages!$B619),INT(MOD(Wages!$B619,10000)/100),IFERROR(VALUE(TRIM(LEFT(MID(Wages!$B619,FIND("/",Wages!$B619)+1,20),FIND("/",MID(Wages!$B619,FIND("/",Wages!$B619)+1,20))-1))),"")))</f>
        <v/>
      </c>
      <c r="E616">
        <f>IF(OR($A616="",$C616=""),"",IF(ISNUMBER(Wages!$B619),MOD(Wages!$B619,100),IFERROR(VALUE(TRIM(MID(MID(Wages!$B619,FIND("/",Wages!$B619)+1,20),FIND("/",MID(Wages!$B619,FIND("/",Wages!$B619)+1,20))+1,20))),"")))</f>
        <v/>
      </c>
      <c r="F616">
        <f>IF($A616="","",IF(OR($C616="",$D616="",$E616="",$C616&lt;1300,$C616&gt;1500,$D616&lt;1,$D616&gt;12,$E616&lt;1,$E616&gt;31),"نامعتبر",RIGHT("0000"&amp;$C616,4)&amp;"/"&amp;RIGHT("00"&amp;$D616,2)&amp;"/"&amp;RIGHT("00"&amp;$E616,2)))</f>
        <v/>
      </c>
      <c r="G616">
        <f>IF(OR($A616="",$F616="",$F616="نامعتبر"),"",LEFT($F616,4)&amp;MID($F616,6,2)&amp;RIGHT($F616,2)&amp;"0000"&amp;"|"&amp;"1"&amp;RIGHT("00000"&amp;611,5))</f>
        <v/>
      </c>
      <c r="H616">
        <f>IF(OR($B616&lt;&gt;1,$G616=""),"",COUNTIFS(LdAParty,$A616,LdAType,1,LdAKey,"&lt;"&amp;$G616)+COUNTIFS(LdBMember,$A616,LdBKey,"&lt;"&amp;$G616)+COUNTIFS(LdCParty,$A616,LdCKey,"&lt;"&amp;$G616)+1)</f>
        <v/>
      </c>
      <c r="I616">
        <f>IF($H616="","",$A616&amp;"|"&amp;RIGHT("000000"&amp;$H616,6))</f>
        <v/>
      </c>
      <c r="J616">
        <f>IF(OR($B616&lt;&gt;2,$G616=""),"",COUNTIFS(LdAParty,$A616,LdAType,2,LdAKey,"&lt;"&amp;$G616)+1)</f>
        <v/>
      </c>
      <c r="K616">
        <f>IF($J616="","",$A616&amp;"|"&amp;RIGHT("000000"&amp;$J616,6))</f>
        <v/>
      </c>
      <c r="L616">
        <f>IF($A616="","",IF(Wages!$G619="",0,Wages!$G619))</f>
        <v/>
      </c>
      <c r="M616">
        <f>IF($A616="","",Wages!$J619)</f>
        <v/>
      </c>
      <c r="N616">
        <f>IF($A616="","",Wages!$D619)</f>
        <v/>
      </c>
      <c r="P616">
        <f>IF(OR(Shares!$B619="",Shares!$C619=""),"",Shares!$C619)</f>
        <v/>
      </c>
      <c r="Q616">
        <f>IF($P616="","",Shares!$B619)</f>
        <v/>
      </c>
      <c r="R616">
        <f>IF($P616="","",IFERROR(INDEX(WageParty,MATCH($Q616,WageIds,0)),""))</f>
        <v/>
      </c>
      <c r="S616">
        <f>IF($P616="","",IFERROR(INDEX($F$6:$F$2005,MATCH($Q616,WageIds,0)),""))</f>
        <v/>
      </c>
      <c r="T616">
        <f>IF(OR($P616="",$S616="",$S616="نامعتبر"),"",LEFT($S616,4)&amp;MID($S616,6,2)&amp;RIGHT($S616,2)&amp;"0000"&amp;"|"&amp;"2"&amp;RIGHT("00000"&amp;611,5))</f>
        <v/>
      </c>
      <c r="U616">
        <f>IF($T616="","",COUNTIFS(LdAParty,$P616,LdAType,1,LdAKey,"&lt;"&amp;$T616)+COUNTIFS(LdBMember,$P616,LdBKey,"&lt;"&amp;$T616)+COUNTIFS(LdCParty,$P616,LdCKey,"&lt;"&amp;$T616)+1)</f>
        <v/>
      </c>
      <c r="V616">
        <f>IF($U616="","",$P616&amp;"|"&amp;RIGHT("000000"&amp;$U616,6))</f>
        <v/>
      </c>
      <c r="W616">
        <f>IF($T616="","",COUNTIFS(LdBGroup,$R616,LdBKey,"&lt;"&amp;$T616)+1)</f>
        <v/>
      </c>
      <c r="X616">
        <f>IF($W616="","",$R616&amp;"|"&amp;RIGHT("000000"&amp;$W616,6))</f>
        <v/>
      </c>
      <c r="Y616">
        <f>IF($P616="","",IF(Shares!$E619="",0,Shares!$E619))</f>
        <v/>
      </c>
      <c r="Z616">
        <f>IF($P616="","",Shares!$H619)</f>
        <v/>
      </c>
      <c r="AE616">
        <f>IF(OR(Sync!$S616="",Sync!$P616=""),"",Sync!$S616)</f>
        <v/>
      </c>
      <c r="AF616">
        <f>IF($AE616="","",IF(ISNUMBER(Sync!$P616),IF(AND(Sync!$P616&gt;=10000101,Sync!$P616&lt;=99991231),INT(Sync!$P616/10000),""),IFERROR(VALUE(TRIM(LEFT(Sync!$P616,FIND("/",Sync!$P616)-1))),"")))</f>
        <v/>
      </c>
      <c r="AG616">
        <f>IF(OR($AE616="",$AF616=""),"",IF(ISNUMBER(Sync!$P616),INT(MOD(Sync!$P616,10000)/100),IFERROR(VALUE(TRIM(LEFT(MID(Sync!$P616,FIND("/",Sync!$P616)+1,20),FIND("/",MID(Sync!$P616,FIND("/",Sync!$P616)+1,20))-1))),"")))</f>
        <v/>
      </c>
      <c r="AH616">
        <f>IF(OR($AE616="",$AF616=""),"",IF(ISNUMBER(Sync!$P616),MOD(Sync!$P616,100),IFERROR(VALUE(TRIM(MID(MID(Sync!$P616,FIND("/",Sync!$P616)+1,20),FIND("/",MID(Sync!$P616,FIND("/",Sync!$P616)+1,20))+1,20))),"")))</f>
        <v/>
      </c>
      <c r="AI616">
        <f>IF($AE616="","",IF(OR($AF616="",$AG616="",$AH616="",$AF616&lt;1300,$AF616&gt;1500,$AG616&lt;1,$AG616&gt;12,$AH616&lt;1,$AH616&gt;31),"نامعتبر",RIGHT("0000"&amp;$AF616,4)&amp;"/"&amp;RIGHT("00"&amp;$AG616,2)&amp;"/"&amp;RIGHT("00"&amp;$AH616,2)))</f>
        <v/>
      </c>
      <c r="AJ616">
        <f>IF($AE616="","",IF(Sync!$Q616="","0000",IF(AND(ISNUMBER(Sync!$Q616),Sync!$Q616&gt;=0,Sync!$Q616&lt;1),RIGHT("00"&amp;HOUR(Sync!$Q616),2)&amp;RIGHT("00"&amp;MINUTE(Sync!$Q616),2),IFERROR(RIGHT("00"&amp;VALUE(LEFT(Sync!$Q616,FIND(":",Sync!$Q616)-1)),2)&amp;RIGHT("00"&amp;VALUE(MID(Sync!$Q616,FIND(":",Sync!$Q616)+1,2)),2),"0000"))))</f>
        <v/>
      </c>
      <c r="AK616">
        <f>IF(OR($AE616="",$AI616="",$AI616="نامعتبر"),"",LEFT($AI616,4)&amp;MID($AI616,6,2)&amp;RIGHT($AI616,2)&amp;$AJ616&amp;"|"&amp;"3"&amp;RIGHT("00000"&amp;611,5))</f>
        <v/>
      </c>
      <c r="AL616">
        <f>IF($AK616="","",COUNTIFS(LdAParty,$AE616,LdAType,1,LdAKey,"&lt;"&amp;$AK616)+COUNTIFS(LdBMember,$AE616,LdBKey,"&lt;"&amp;$AK616)+COUNTIFS(LdCParty,$AE616,LdCKey,"&lt;"&amp;$AK616)+1)</f>
        <v/>
      </c>
      <c r="AM616">
        <f>IF($AL616="","",$AE616&amp;"|"&amp;RIGHT("000000"&amp;$AL616,6))</f>
        <v/>
      </c>
      <c r="AN616">
        <f>IF($AE616="","",IF(Sync!$W616="",0,Sync!$W616))</f>
        <v/>
      </c>
      <c r="AO616">
        <f>IF($AE616="","",IF(Sync!$X616="",0,Sync!$X616))</f>
        <v/>
      </c>
      <c r="AP616">
        <f>IF($AE616="","",Sync!$R616)</f>
        <v/>
      </c>
      <c r="AQ616">
        <f>IF($AE616="","",Sync!$Y616)</f>
        <v/>
      </c>
    </row>
    <row r="617">
      <c r="A617">
        <f>IF(OR(Wages!$B620="",Wages!$E620=""),"",Wages!$E620)</f>
        <v/>
      </c>
      <c r="B617">
        <f>IF($A617="","",IF(Wages!$C620="دستمزد گروهی",2,1))</f>
        <v/>
      </c>
      <c r="C617">
        <f>IF($A617="","",IF(ISNUMBER(Wages!$B620),IF(AND(Wages!$B620&gt;=10000101,Wages!$B620&lt;=99991231),INT(Wages!$B620/10000),""),IFERROR(VALUE(TRIM(LEFT(Wages!$B620,FIND("/",Wages!$B620)-1))),"")))</f>
        <v/>
      </c>
      <c r="D617">
        <f>IF(OR($A617="",$C617=""),"",IF(ISNUMBER(Wages!$B620),INT(MOD(Wages!$B620,10000)/100),IFERROR(VALUE(TRIM(LEFT(MID(Wages!$B620,FIND("/",Wages!$B620)+1,20),FIND("/",MID(Wages!$B620,FIND("/",Wages!$B620)+1,20))-1))),"")))</f>
        <v/>
      </c>
      <c r="E617">
        <f>IF(OR($A617="",$C617=""),"",IF(ISNUMBER(Wages!$B620),MOD(Wages!$B620,100),IFERROR(VALUE(TRIM(MID(MID(Wages!$B620,FIND("/",Wages!$B620)+1,20),FIND("/",MID(Wages!$B620,FIND("/",Wages!$B620)+1,20))+1,20))),"")))</f>
        <v/>
      </c>
      <c r="F617">
        <f>IF($A617="","",IF(OR($C617="",$D617="",$E617="",$C617&lt;1300,$C617&gt;1500,$D617&lt;1,$D617&gt;12,$E617&lt;1,$E617&gt;31),"نامعتبر",RIGHT("0000"&amp;$C617,4)&amp;"/"&amp;RIGHT("00"&amp;$D617,2)&amp;"/"&amp;RIGHT("00"&amp;$E617,2)))</f>
        <v/>
      </c>
      <c r="G617">
        <f>IF(OR($A617="",$F617="",$F617="نامعتبر"),"",LEFT($F617,4)&amp;MID($F617,6,2)&amp;RIGHT($F617,2)&amp;"0000"&amp;"|"&amp;"1"&amp;RIGHT("00000"&amp;612,5))</f>
        <v/>
      </c>
      <c r="H617">
        <f>IF(OR($B617&lt;&gt;1,$G617=""),"",COUNTIFS(LdAParty,$A617,LdAType,1,LdAKey,"&lt;"&amp;$G617)+COUNTIFS(LdBMember,$A617,LdBKey,"&lt;"&amp;$G617)+COUNTIFS(LdCParty,$A617,LdCKey,"&lt;"&amp;$G617)+1)</f>
        <v/>
      </c>
      <c r="I617">
        <f>IF($H617="","",$A617&amp;"|"&amp;RIGHT("000000"&amp;$H617,6))</f>
        <v/>
      </c>
      <c r="J617">
        <f>IF(OR($B617&lt;&gt;2,$G617=""),"",COUNTIFS(LdAParty,$A617,LdAType,2,LdAKey,"&lt;"&amp;$G617)+1)</f>
        <v/>
      </c>
      <c r="K617">
        <f>IF($J617="","",$A617&amp;"|"&amp;RIGHT("000000"&amp;$J617,6))</f>
        <v/>
      </c>
      <c r="L617">
        <f>IF($A617="","",IF(Wages!$G620="",0,Wages!$G620))</f>
        <v/>
      </c>
      <c r="M617">
        <f>IF($A617="","",Wages!$J620)</f>
        <v/>
      </c>
      <c r="N617">
        <f>IF($A617="","",Wages!$D620)</f>
        <v/>
      </c>
      <c r="P617">
        <f>IF(OR(Shares!$B620="",Shares!$C620=""),"",Shares!$C620)</f>
        <v/>
      </c>
      <c r="Q617">
        <f>IF($P617="","",Shares!$B620)</f>
        <v/>
      </c>
      <c r="R617">
        <f>IF($P617="","",IFERROR(INDEX(WageParty,MATCH($Q617,WageIds,0)),""))</f>
        <v/>
      </c>
      <c r="S617">
        <f>IF($P617="","",IFERROR(INDEX($F$6:$F$2005,MATCH($Q617,WageIds,0)),""))</f>
        <v/>
      </c>
      <c r="T617">
        <f>IF(OR($P617="",$S617="",$S617="نامعتبر"),"",LEFT($S617,4)&amp;MID($S617,6,2)&amp;RIGHT($S617,2)&amp;"0000"&amp;"|"&amp;"2"&amp;RIGHT("00000"&amp;612,5))</f>
        <v/>
      </c>
      <c r="U617">
        <f>IF($T617="","",COUNTIFS(LdAParty,$P617,LdAType,1,LdAKey,"&lt;"&amp;$T617)+COUNTIFS(LdBMember,$P617,LdBKey,"&lt;"&amp;$T617)+COUNTIFS(LdCParty,$P617,LdCKey,"&lt;"&amp;$T617)+1)</f>
        <v/>
      </c>
      <c r="V617">
        <f>IF($U617="","",$P617&amp;"|"&amp;RIGHT("000000"&amp;$U617,6))</f>
        <v/>
      </c>
      <c r="W617">
        <f>IF($T617="","",COUNTIFS(LdBGroup,$R617,LdBKey,"&lt;"&amp;$T617)+1)</f>
        <v/>
      </c>
      <c r="X617">
        <f>IF($W617="","",$R617&amp;"|"&amp;RIGHT("000000"&amp;$W617,6))</f>
        <v/>
      </c>
      <c r="Y617">
        <f>IF($P617="","",IF(Shares!$E620="",0,Shares!$E620))</f>
        <v/>
      </c>
      <c r="Z617">
        <f>IF($P617="","",Shares!$H620)</f>
        <v/>
      </c>
      <c r="AE617">
        <f>IF(OR(Sync!$S617="",Sync!$P617=""),"",Sync!$S617)</f>
        <v/>
      </c>
      <c r="AF617">
        <f>IF($AE617="","",IF(ISNUMBER(Sync!$P617),IF(AND(Sync!$P617&gt;=10000101,Sync!$P617&lt;=99991231),INT(Sync!$P617/10000),""),IFERROR(VALUE(TRIM(LEFT(Sync!$P617,FIND("/",Sync!$P617)-1))),"")))</f>
        <v/>
      </c>
      <c r="AG617">
        <f>IF(OR($AE617="",$AF617=""),"",IF(ISNUMBER(Sync!$P617),INT(MOD(Sync!$P617,10000)/100),IFERROR(VALUE(TRIM(LEFT(MID(Sync!$P617,FIND("/",Sync!$P617)+1,20),FIND("/",MID(Sync!$P617,FIND("/",Sync!$P617)+1,20))-1))),"")))</f>
        <v/>
      </c>
      <c r="AH617">
        <f>IF(OR($AE617="",$AF617=""),"",IF(ISNUMBER(Sync!$P617),MOD(Sync!$P617,100),IFERROR(VALUE(TRIM(MID(MID(Sync!$P617,FIND("/",Sync!$P617)+1,20),FIND("/",MID(Sync!$P617,FIND("/",Sync!$P617)+1,20))+1,20))),"")))</f>
        <v/>
      </c>
      <c r="AI617">
        <f>IF($AE617="","",IF(OR($AF617="",$AG617="",$AH617="",$AF617&lt;1300,$AF617&gt;1500,$AG617&lt;1,$AG617&gt;12,$AH617&lt;1,$AH617&gt;31),"نامعتبر",RIGHT("0000"&amp;$AF617,4)&amp;"/"&amp;RIGHT("00"&amp;$AG617,2)&amp;"/"&amp;RIGHT("00"&amp;$AH617,2)))</f>
        <v/>
      </c>
      <c r="AJ617">
        <f>IF($AE617="","",IF(Sync!$Q617="","0000",IF(AND(ISNUMBER(Sync!$Q617),Sync!$Q617&gt;=0,Sync!$Q617&lt;1),RIGHT("00"&amp;HOUR(Sync!$Q617),2)&amp;RIGHT("00"&amp;MINUTE(Sync!$Q617),2),IFERROR(RIGHT("00"&amp;VALUE(LEFT(Sync!$Q617,FIND(":",Sync!$Q617)-1)),2)&amp;RIGHT("00"&amp;VALUE(MID(Sync!$Q617,FIND(":",Sync!$Q617)+1,2)),2),"0000"))))</f>
        <v/>
      </c>
      <c r="AK617">
        <f>IF(OR($AE617="",$AI617="",$AI617="نامعتبر"),"",LEFT($AI617,4)&amp;MID($AI617,6,2)&amp;RIGHT($AI617,2)&amp;$AJ617&amp;"|"&amp;"3"&amp;RIGHT("00000"&amp;612,5))</f>
        <v/>
      </c>
      <c r="AL617">
        <f>IF($AK617="","",COUNTIFS(LdAParty,$AE617,LdAType,1,LdAKey,"&lt;"&amp;$AK617)+COUNTIFS(LdBMember,$AE617,LdBKey,"&lt;"&amp;$AK617)+COUNTIFS(LdCParty,$AE617,LdCKey,"&lt;"&amp;$AK617)+1)</f>
        <v/>
      </c>
      <c r="AM617">
        <f>IF($AL617="","",$AE617&amp;"|"&amp;RIGHT("000000"&amp;$AL617,6))</f>
        <v/>
      </c>
      <c r="AN617">
        <f>IF($AE617="","",IF(Sync!$W617="",0,Sync!$W617))</f>
        <v/>
      </c>
      <c r="AO617">
        <f>IF($AE617="","",IF(Sync!$X617="",0,Sync!$X617))</f>
        <v/>
      </c>
      <c r="AP617">
        <f>IF($AE617="","",Sync!$R617)</f>
        <v/>
      </c>
      <c r="AQ617">
        <f>IF($AE617="","",Sync!$Y617)</f>
        <v/>
      </c>
    </row>
    <row r="618">
      <c r="A618">
        <f>IF(OR(Wages!$B621="",Wages!$E621=""),"",Wages!$E621)</f>
        <v/>
      </c>
      <c r="B618">
        <f>IF($A618="","",IF(Wages!$C621="دستمزد گروهی",2,1))</f>
        <v/>
      </c>
      <c r="C618">
        <f>IF($A618="","",IF(ISNUMBER(Wages!$B621),IF(AND(Wages!$B621&gt;=10000101,Wages!$B621&lt;=99991231),INT(Wages!$B621/10000),""),IFERROR(VALUE(TRIM(LEFT(Wages!$B621,FIND("/",Wages!$B621)-1))),"")))</f>
        <v/>
      </c>
      <c r="D618">
        <f>IF(OR($A618="",$C618=""),"",IF(ISNUMBER(Wages!$B621),INT(MOD(Wages!$B621,10000)/100),IFERROR(VALUE(TRIM(LEFT(MID(Wages!$B621,FIND("/",Wages!$B621)+1,20),FIND("/",MID(Wages!$B621,FIND("/",Wages!$B621)+1,20))-1))),"")))</f>
        <v/>
      </c>
      <c r="E618">
        <f>IF(OR($A618="",$C618=""),"",IF(ISNUMBER(Wages!$B621),MOD(Wages!$B621,100),IFERROR(VALUE(TRIM(MID(MID(Wages!$B621,FIND("/",Wages!$B621)+1,20),FIND("/",MID(Wages!$B621,FIND("/",Wages!$B621)+1,20))+1,20))),"")))</f>
        <v/>
      </c>
      <c r="F618">
        <f>IF($A618="","",IF(OR($C618="",$D618="",$E618="",$C618&lt;1300,$C618&gt;1500,$D618&lt;1,$D618&gt;12,$E618&lt;1,$E618&gt;31),"نامعتبر",RIGHT("0000"&amp;$C618,4)&amp;"/"&amp;RIGHT("00"&amp;$D618,2)&amp;"/"&amp;RIGHT("00"&amp;$E618,2)))</f>
        <v/>
      </c>
      <c r="G618">
        <f>IF(OR($A618="",$F618="",$F618="نامعتبر"),"",LEFT($F618,4)&amp;MID($F618,6,2)&amp;RIGHT($F618,2)&amp;"0000"&amp;"|"&amp;"1"&amp;RIGHT("00000"&amp;613,5))</f>
        <v/>
      </c>
      <c r="H618">
        <f>IF(OR($B618&lt;&gt;1,$G618=""),"",COUNTIFS(LdAParty,$A618,LdAType,1,LdAKey,"&lt;"&amp;$G618)+COUNTIFS(LdBMember,$A618,LdBKey,"&lt;"&amp;$G618)+COUNTIFS(LdCParty,$A618,LdCKey,"&lt;"&amp;$G618)+1)</f>
        <v/>
      </c>
      <c r="I618">
        <f>IF($H618="","",$A618&amp;"|"&amp;RIGHT("000000"&amp;$H618,6))</f>
        <v/>
      </c>
      <c r="J618">
        <f>IF(OR($B618&lt;&gt;2,$G618=""),"",COUNTIFS(LdAParty,$A618,LdAType,2,LdAKey,"&lt;"&amp;$G618)+1)</f>
        <v/>
      </c>
      <c r="K618">
        <f>IF($J618="","",$A618&amp;"|"&amp;RIGHT("000000"&amp;$J618,6))</f>
        <v/>
      </c>
      <c r="L618">
        <f>IF($A618="","",IF(Wages!$G621="",0,Wages!$G621))</f>
        <v/>
      </c>
      <c r="M618">
        <f>IF($A618="","",Wages!$J621)</f>
        <v/>
      </c>
      <c r="N618">
        <f>IF($A618="","",Wages!$D621)</f>
        <v/>
      </c>
      <c r="P618">
        <f>IF(OR(Shares!$B621="",Shares!$C621=""),"",Shares!$C621)</f>
        <v/>
      </c>
      <c r="Q618">
        <f>IF($P618="","",Shares!$B621)</f>
        <v/>
      </c>
      <c r="R618">
        <f>IF($P618="","",IFERROR(INDEX(WageParty,MATCH($Q618,WageIds,0)),""))</f>
        <v/>
      </c>
      <c r="S618">
        <f>IF($P618="","",IFERROR(INDEX($F$6:$F$2005,MATCH($Q618,WageIds,0)),""))</f>
        <v/>
      </c>
      <c r="T618">
        <f>IF(OR($P618="",$S618="",$S618="نامعتبر"),"",LEFT($S618,4)&amp;MID($S618,6,2)&amp;RIGHT($S618,2)&amp;"0000"&amp;"|"&amp;"2"&amp;RIGHT("00000"&amp;613,5))</f>
        <v/>
      </c>
      <c r="U618">
        <f>IF($T618="","",COUNTIFS(LdAParty,$P618,LdAType,1,LdAKey,"&lt;"&amp;$T618)+COUNTIFS(LdBMember,$P618,LdBKey,"&lt;"&amp;$T618)+COUNTIFS(LdCParty,$P618,LdCKey,"&lt;"&amp;$T618)+1)</f>
        <v/>
      </c>
      <c r="V618">
        <f>IF($U618="","",$P618&amp;"|"&amp;RIGHT("000000"&amp;$U618,6))</f>
        <v/>
      </c>
      <c r="W618">
        <f>IF($T618="","",COUNTIFS(LdBGroup,$R618,LdBKey,"&lt;"&amp;$T618)+1)</f>
        <v/>
      </c>
      <c r="X618">
        <f>IF($W618="","",$R618&amp;"|"&amp;RIGHT("000000"&amp;$W618,6))</f>
        <v/>
      </c>
      <c r="Y618">
        <f>IF($P618="","",IF(Shares!$E621="",0,Shares!$E621))</f>
        <v/>
      </c>
      <c r="Z618">
        <f>IF($P618="","",Shares!$H621)</f>
        <v/>
      </c>
      <c r="AE618">
        <f>IF(OR(Sync!$S618="",Sync!$P618=""),"",Sync!$S618)</f>
        <v/>
      </c>
      <c r="AF618">
        <f>IF($AE618="","",IF(ISNUMBER(Sync!$P618),IF(AND(Sync!$P618&gt;=10000101,Sync!$P618&lt;=99991231),INT(Sync!$P618/10000),""),IFERROR(VALUE(TRIM(LEFT(Sync!$P618,FIND("/",Sync!$P618)-1))),"")))</f>
        <v/>
      </c>
      <c r="AG618">
        <f>IF(OR($AE618="",$AF618=""),"",IF(ISNUMBER(Sync!$P618),INT(MOD(Sync!$P618,10000)/100),IFERROR(VALUE(TRIM(LEFT(MID(Sync!$P618,FIND("/",Sync!$P618)+1,20),FIND("/",MID(Sync!$P618,FIND("/",Sync!$P618)+1,20))-1))),"")))</f>
        <v/>
      </c>
      <c r="AH618">
        <f>IF(OR($AE618="",$AF618=""),"",IF(ISNUMBER(Sync!$P618),MOD(Sync!$P618,100),IFERROR(VALUE(TRIM(MID(MID(Sync!$P618,FIND("/",Sync!$P618)+1,20),FIND("/",MID(Sync!$P618,FIND("/",Sync!$P618)+1,20))+1,20))),"")))</f>
        <v/>
      </c>
      <c r="AI618">
        <f>IF($AE618="","",IF(OR($AF618="",$AG618="",$AH618="",$AF618&lt;1300,$AF618&gt;1500,$AG618&lt;1,$AG618&gt;12,$AH618&lt;1,$AH618&gt;31),"نامعتبر",RIGHT("0000"&amp;$AF618,4)&amp;"/"&amp;RIGHT("00"&amp;$AG618,2)&amp;"/"&amp;RIGHT("00"&amp;$AH618,2)))</f>
        <v/>
      </c>
      <c r="AJ618">
        <f>IF($AE618="","",IF(Sync!$Q618="","0000",IF(AND(ISNUMBER(Sync!$Q618),Sync!$Q618&gt;=0,Sync!$Q618&lt;1),RIGHT("00"&amp;HOUR(Sync!$Q618),2)&amp;RIGHT("00"&amp;MINUTE(Sync!$Q618),2),IFERROR(RIGHT("00"&amp;VALUE(LEFT(Sync!$Q618,FIND(":",Sync!$Q618)-1)),2)&amp;RIGHT("00"&amp;VALUE(MID(Sync!$Q618,FIND(":",Sync!$Q618)+1,2)),2),"0000"))))</f>
        <v/>
      </c>
      <c r="AK618">
        <f>IF(OR($AE618="",$AI618="",$AI618="نامعتبر"),"",LEFT($AI618,4)&amp;MID($AI618,6,2)&amp;RIGHT($AI618,2)&amp;$AJ618&amp;"|"&amp;"3"&amp;RIGHT("00000"&amp;613,5))</f>
        <v/>
      </c>
      <c r="AL618">
        <f>IF($AK618="","",COUNTIFS(LdAParty,$AE618,LdAType,1,LdAKey,"&lt;"&amp;$AK618)+COUNTIFS(LdBMember,$AE618,LdBKey,"&lt;"&amp;$AK618)+COUNTIFS(LdCParty,$AE618,LdCKey,"&lt;"&amp;$AK618)+1)</f>
        <v/>
      </c>
      <c r="AM618">
        <f>IF($AL618="","",$AE618&amp;"|"&amp;RIGHT("000000"&amp;$AL618,6))</f>
        <v/>
      </c>
      <c r="AN618">
        <f>IF($AE618="","",IF(Sync!$W618="",0,Sync!$W618))</f>
        <v/>
      </c>
      <c r="AO618">
        <f>IF($AE618="","",IF(Sync!$X618="",0,Sync!$X618))</f>
        <v/>
      </c>
      <c r="AP618">
        <f>IF($AE618="","",Sync!$R618)</f>
        <v/>
      </c>
      <c r="AQ618">
        <f>IF($AE618="","",Sync!$Y618)</f>
        <v/>
      </c>
    </row>
    <row r="619">
      <c r="A619">
        <f>IF(OR(Wages!$B622="",Wages!$E622=""),"",Wages!$E622)</f>
        <v/>
      </c>
      <c r="B619">
        <f>IF($A619="","",IF(Wages!$C622="دستمزد گروهی",2,1))</f>
        <v/>
      </c>
      <c r="C619">
        <f>IF($A619="","",IF(ISNUMBER(Wages!$B622),IF(AND(Wages!$B622&gt;=10000101,Wages!$B622&lt;=99991231),INT(Wages!$B622/10000),""),IFERROR(VALUE(TRIM(LEFT(Wages!$B622,FIND("/",Wages!$B622)-1))),"")))</f>
        <v/>
      </c>
      <c r="D619">
        <f>IF(OR($A619="",$C619=""),"",IF(ISNUMBER(Wages!$B622),INT(MOD(Wages!$B622,10000)/100),IFERROR(VALUE(TRIM(LEFT(MID(Wages!$B622,FIND("/",Wages!$B622)+1,20),FIND("/",MID(Wages!$B622,FIND("/",Wages!$B622)+1,20))-1))),"")))</f>
        <v/>
      </c>
      <c r="E619">
        <f>IF(OR($A619="",$C619=""),"",IF(ISNUMBER(Wages!$B622),MOD(Wages!$B622,100),IFERROR(VALUE(TRIM(MID(MID(Wages!$B622,FIND("/",Wages!$B622)+1,20),FIND("/",MID(Wages!$B622,FIND("/",Wages!$B622)+1,20))+1,20))),"")))</f>
        <v/>
      </c>
      <c r="F619">
        <f>IF($A619="","",IF(OR($C619="",$D619="",$E619="",$C619&lt;1300,$C619&gt;1500,$D619&lt;1,$D619&gt;12,$E619&lt;1,$E619&gt;31),"نامعتبر",RIGHT("0000"&amp;$C619,4)&amp;"/"&amp;RIGHT("00"&amp;$D619,2)&amp;"/"&amp;RIGHT("00"&amp;$E619,2)))</f>
        <v/>
      </c>
      <c r="G619">
        <f>IF(OR($A619="",$F619="",$F619="نامعتبر"),"",LEFT($F619,4)&amp;MID($F619,6,2)&amp;RIGHT($F619,2)&amp;"0000"&amp;"|"&amp;"1"&amp;RIGHT("00000"&amp;614,5))</f>
        <v/>
      </c>
      <c r="H619">
        <f>IF(OR($B619&lt;&gt;1,$G619=""),"",COUNTIFS(LdAParty,$A619,LdAType,1,LdAKey,"&lt;"&amp;$G619)+COUNTIFS(LdBMember,$A619,LdBKey,"&lt;"&amp;$G619)+COUNTIFS(LdCParty,$A619,LdCKey,"&lt;"&amp;$G619)+1)</f>
        <v/>
      </c>
      <c r="I619">
        <f>IF($H619="","",$A619&amp;"|"&amp;RIGHT("000000"&amp;$H619,6))</f>
        <v/>
      </c>
      <c r="J619">
        <f>IF(OR($B619&lt;&gt;2,$G619=""),"",COUNTIFS(LdAParty,$A619,LdAType,2,LdAKey,"&lt;"&amp;$G619)+1)</f>
        <v/>
      </c>
      <c r="K619">
        <f>IF($J619="","",$A619&amp;"|"&amp;RIGHT("000000"&amp;$J619,6))</f>
        <v/>
      </c>
      <c r="L619">
        <f>IF($A619="","",IF(Wages!$G622="",0,Wages!$G622))</f>
        <v/>
      </c>
      <c r="M619">
        <f>IF($A619="","",Wages!$J622)</f>
        <v/>
      </c>
      <c r="N619">
        <f>IF($A619="","",Wages!$D622)</f>
        <v/>
      </c>
      <c r="P619">
        <f>IF(OR(Shares!$B622="",Shares!$C622=""),"",Shares!$C622)</f>
        <v/>
      </c>
      <c r="Q619">
        <f>IF($P619="","",Shares!$B622)</f>
        <v/>
      </c>
      <c r="R619">
        <f>IF($P619="","",IFERROR(INDEX(WageParty,MATCH($Q619,WageIds,0)),""))</f>
        <v/>
      </c>
      <c r="S619">
        <f>IF($P619="","",IFERROR(INDEX($F$6:$F$2005,MATCH($Q619,WageIds,0)),""))</f>
        <v/>
      </c>
      <c r="T619">
        <f>IF(OR($P619="",$S619="",$S619="نامعتبر"),"",LEFT($S619,4)&amp;MID($S619,6,2)&amp;RIGHT($S619,2)&amp;"0000"&amp;"|"&amp;"2"&amp;RIGHT("00000"&amp;614,5))</f>
        <v/>
      </c>
      <c r="U619">
        <f>IF($T619="","",COUNTIFS(LdAParty,$P619,LdAType,1,LdAKey,"&lt;"&amp;$T619)+COUNTIFS(LdBMember,$P619,LdBKey,"&lt;"&amp;$T619)+COUNTIFS(LdCParty,$P619,LdCKey,"&lt;"&amp;$T619)+1)</f>
        <v/>
      </c>
      <c r="V619">
        <f>IF($U619="","",$P619&amp;"|"&amp;RIGHT("000000"&amp;$U619,6))</f>
        <v/>
      </c>
      <c r="W619">
        <f>IF($T619="","",COUNTIFS(LdBGroup,$R619,LdBKey,"&lt;"&amp;$T619)+1)</f>
        <v/>
      </c>
      <c r="X619">
        <f>IF($W619="","",$R619&amp;"|"&amp;RIGHT("000000"&amp;$W619,6))</f>
        <v/>
      </c>
      <c r="Y619">
        <f>IF($P619="","",IF(Shares!$E622="",0,Shares!$E622))</f>
        <v/>
      </c>
      <c r="Z619">
        <f>IF($P619="","",Shares!$H622)</f>
        <v/>
      </c>
      <c r="AE619">
        <f>IF(OR(Sync!$S619="",Sync!$P619=""),"",Sync!$S619)</f>
        <v/>
      </c>
      <c r="AF619">
        <f>IF($AE619="","",IF(ISNUMBER(Sync!$P619),IF(AND(Sync!$P619&gt;=10000101,Sync!$P619&lt;=99991231),INT(Sync!$P619/10000),""),IFERROR(VALUE(TRIM(LEFT(Sync!$P619,FIND("/",Sync!$P619)-1))),"")))</f>
        <v/>
      </c>
      <c r="AG619">
        <f>IF(OR($AE619="",$AF619=""),"",IF(ISNUMBER(Sync!$P619),INT(MOD(Sync!$P619,10000)/100),IFERROR(VALUE(TRIM(LEFT(MID(Sync!$P619,FIND("/",Sync!$P619)+1,20),FIND("/",MID(Sync!$P619,FIND("/",Sync!$P619)+1,20))-1))),"")))</f>
        <v/>
      </c>
      <c r="AH619">
        <f>IF(OR($AE619="",$AF619=""),"",IF(ISNUMBER(Sync!$P619),MOD(Sync!$P619,100),IFERROR(VALUE(TRIM(MID(MID(Sync!$P619,FIND("/",Sync!$P619)+1,20),FIND("/",MID(Sync!$P619,FIND("/",Sync!$P619)+1,20))+1,20))),"")))</f>
        <v/>
      </c>
      <c r="AI619">
        <f>IF($AE619="","",IF(OR($AF619="",$AG619="",$AH619="",$AF619&lt;1300,$AF619&gt;1500,$AG619&lt;1,$AG619&gt;12,$AH619&lt;1,$AH619&gt;31),"نامعتبر",RIGHT("0000"&amp;$AF619,4)&amp;"/"&amp;RIGHT("00"&amp;$AG619,2)&amp;"/"&amp;RIGHT("00"&amp;$AH619,2)))</f>
        <v/>
      </c>
      <c r="AJ619">
        <f>IF($AE619="","",IF(Sync!$Q619="","0000",IF(AND(ISNUMBER(Sync!$Q619),Sync!$Q619&gt;=0,Sync!$Q619&lt;1),RIGHT("00"&amp;HOUR(Sync!$Q619),2)&amp;RIGHT("00"&amp;MINUTE(Sync!$Q619),2),IFERROR(RIGHT("00"&amp;VALUE(LEFT(Sync!$Q619,FIND(":",Sync!$Q619)-1)),2)&amp;RIGHT("00"&amp;VALUE(MID(Sync!$Q619,FIND(":",Sync!$Q619)+1,2)),2),"0000"))))</f>
        <v/>
      </c>
      <c r="AK619">
        <f>IF(OR($AE619="",$AI619="",$AI619="نامعتبر"),"",LEFT($AI619,4)&amp;MID($AI619,6,2)&amp;RIGHT($AI619,2)&amp;$AJ619&amp;"|"&amp;"3"&amp;RIGHT("00000"&amp;614,5))</f>
        <v/>
      </c>
      <c r="AL619">
        <f>IF($AK619="","",COUNTIFS(LdAParty,$AE619,LdAType,1,LdAKey,"&lt;"&amp;$AK619)+COUNTIFS(LdBMember,$AE619,LdBKey,"&lt;"&amp;$AK619)+COUNTIFS(LdCParty,$AE619,LdCKey,"&lt;"&amp;$AK619)+1)</f>
        <v/>
      </c>
      <c r="AM619">
        <f>IF($AL619="","",$AE619&amp;"|"&amp;RIGHT("000000"&amp;$AL619,6))</f>
        <v/>
      </c>
      <c r="AN619">
        <f>IF($AE619="","",IF(Sync!$W619="",0,Sync!$W619))</f>
        <v/>
      </c>
      <c r="AO619">
        <f>IF($AE619="","",IF(Sync!$X619="",0,Sync!$X619))</f>
        <v/>
      </c>
      <c r="AP619">
        <f>IF($AE619="","",Sync!$R619)</f>
        <v/>
      </c>
      <c r="AQ619">
        <f>IF($AE619="","",Sync!$Y619)</f>
        <v/>
      </c>
    </row>
    <row r="620">
      <c r="A620">
        <f>IF(OR(Wages!$B623="",Wages!$E623=""),"",Wages!$E623)</f>
        <v/>
      </c>
      <c r="B620">
        <f>IF($A620="","",IF(Wages!$C623="دستمزد گروهی",2,1))</f>
        <v/>
      </c>
      <c r="C620">
        <f>IF($A620="","",IF(ISNUMBER(Wages!$B623),IF(AND(Wages!$B623&gt;=10000101,Wages!$B623&lt;=99991231),INT(Wages!$B623/10000),""),IFERROR(VALUE(TRIM(LEFT(Wages!$B623,FIND("/",Wages!$B623)-1))),"")))</f>
        <v/>
      </c>
      <c r="D620">
        <f>IF(OR($A620="",$C620=""),"",IF(ISNUMBER(Wages!$B623),INT(MOD(Wages!$B623,10000)/100),IFERROR(VALUE(TRIM(LEFT(MID(Wages!$B623,FIND("/",Wages!$B623)+1,20),FIND("/",MID(Wages!$B623,FIND("/",Wages!$B623)+1,20))-1))),"")))</f>
        <v/>
      </c>
      <c r="E620">
        <f>IF(OR($A620="",$C620=""),"",IF(ISNUMBER(Wages!$B623),MOD(Wages!$B623,100),IFERROR(VALUE(TRIM(MID(MID(Wages!$B623,FIND("/",Wages!$B623)+1,20),FIND("/",MID(Wages!$B623,FIND("/",Wages!$B623)+1,20))+1,20))),"")))</f>
        <v/>
      </c>
      <c r="F620">
        <f>IF($A620="","",IF(OR($C620="",$D620="",$E620="",$C620&lt;1300,$C620&gt;1500,$D620&lt;1,$D620&gt;12,$E620&lt;1,$E620&gt;31),"نامعتبر",RIGHT("0000"&amp;$C620,4)&amp;"/"&amp;RIGHT("00"&amp;$D620,2)&amp;"/"&amp;RIGHT("00"&amp;$E620,2)))</f>
        <v/>
      </c>
      <c r="G620">
        <f>IF(OR($A620="",$F620="",$F620="نامعتبر"),"",LEFT($F620,4)&amp;MID($F620,6,2)&amp;RIGHT($F620,2)&amp;"0000"&amp;"|"&amp;"1"&amp;RIGHT("00000"&amp;615,5))</f>
        <v/>
      </c>
      <c r="H620">
        <f>IF(OR($B620&lt;&gt;1,$G620=""),"",COUNTIFS(LdAParty,$A620,LdAType,1,LdAKey,"&lt;"&amp;$G620)+COUNTIFS(LdBMember,$A620,LdBKey,"&lt;"&amp;$G620)+COUNTIFS(LdCParty,$A620,LdCKey,"&lt;"&amp;$G620)+1)</f>
        <v/>
      </c>
      <c r="I620">
        <f>IF($H620="","",$A620&amp;"|"&amp;RIGHT("000000"&amp;$H620,6))</f>
        <v/>
      </c>
      <c r="J620">
        <f>IF(OR($B620&lt;&gt;2,$G620=""),"",COUNTIFS(LdAParty,$A620,LdAType,2,LdAKey,"&lt;"&amp;$G620)+1)</f>
        <v/>
      </c>
      <c r="K620">
        <f>IF($J620="","",$A620&amp;"|"&amp;RIGHT("000000"&amp;$J620,6))</f>
        <v/>
      </c>
      <c r="L620">
        <f>IF($A620="","",IF(Wages!$G623="",0,Wages!$G623))</f>
        <v/>
      </c>
      <c r="M620">
        <f>IF($A620="","",Wages!$J623)</f>
        <v/>
      </c>
      <c r="N620">
        <f>IF($A620="","",Wages!$D623)</f>
        <v/>
      </c>
      <c r="P620">
        <f>IF(OR(Shares!$B623="",Shares!$C623=""),"",Shares!$C623)</f>
        <v/>
      </c>
      <c r="Q620">
        <f>IF($P620="","",Shares!$B623)</f>
        <v/>
      </c>
      <c r="R620">
        <f>IF($P620="","",IFERROR(INDEX(WageParty,MATCH($Q620,WageIds,0)),""))</f>
        <v/>
      </c>
      <c r="S620">
        <f>IF($P620="","",IFERROR(INDEX($F$6:$F$2005,MATCH($Q620,WageIds,0)),""))</f>
        <v/>
      </c>
      <c r="T620">
        <f>IF(OR($P620="",$S620="",$S620="نامعتبر"),"",LEFT($S620,4)&amp;MID($S620,6,2)&amp;RIGHT($S620,2)&amp;"0000"&amp;"|"&amp;"2"&amp;RIGHT("00000"&amp;615,5))</f>
        <v/>
      </c>
      <c r="U620">
        <f>IF($T620="","",COUNTIFS(LdAParty,$P620,LdAType,1,LdAKey,"&lt;"&amp;$T620)+COUNTIFS(LdBMember,$P620,LdBKey,"&lt;"&amp;$T620)+COUNTIFS(LdCParty,$P620,LdCKey,"&lt;"&amp;$T620)+1)</f>
        <v/>
      </c>
      <c r="V620">
        <f>IF($U620="","",$P620&amp;"|"&amp;RIGHT("000000"&amp;$U620,6))</f>
        <v/>
      </c>
      <c r="W620">
        <f>IF($T620="","",COUNTIFS(LdBGroup,$R620,LdBKey,"&lt;"&amp;$T620)+1)</f>
        <v/>
      </c>
      <c r="X620">
        <f>IF($W620="","",$R620&amp;"|"&amp;RIGHT("000000"&amp;$W620,6))</f>
        <v/>
      </c>
      <c r="Y620">
        <f>IF($P620="","",IF(Shares!$E623="",0,Shares!$E623))</f>
        <v/>
      </c>
      <c r="Z620">
        <f>IF($P620="","",Shares!$H623)</f>
        <v/>
      </c>
      <c r="AE620">
        <f>IF(OR(Sync!$S620="",Sync!$P620=""),"",Sync!$S620)</f>
        <v/>
      </c>
      <c r="AF620">
        <f>IF($AE620="","",IF(ISNUMBER(Sync!$P620),IF(AND(Sync!$P620&gt;=10000101,Sync!$P620&lt;=99991231),INT(Sync!$P620/10000),""),IFERROR(VALUE(TRIM(LEFT(Sync!$P620,FIND("/",Sync!$P620)-1))),"")))</f>
        <v/>
      </c>
      <c r="AG620">
        <f>IF(OR($AE620="",$AF620=""),"",IF(ISNUMBER(Sync!$P620),INT(MOD(Sync!$P620,10000)/100),IFERROR(VALUE(TRIM(LEFT(MID(Sync!$P620,FIND("/",Sync!$P620)+1,20),FIND("/",MID(Sync!$P620,FIND("/",Sync!$P620)+1,20))-1))),"")))</f>
        <v/>
      </c>
      <c r="AH620">
        <f>IF(OR($AE620="",$AF620=""),"",IF(ISNUMBER(Sync!$P620),MOD(Sync!$P620,100),IFERROR(VALUE(TRIM(MID(MID(Sync!$P620,FIND("/",Sync!$P620)+1,20),FIND("/",MID(Sync!$P620,FIND("/",Sync!$P620)+1,20))+1,20))),"")))</f>
        <v/>
      </c>
      <c r="AI620">
        <f>IF($AE620="","",IF(OR($AF620="",$AG620="",$AH620="",$AF620&lt;1300,$AF620&gt;1500,$AG620&lt;1,$AG620&gt;12,$AH620&lt;1,$AH620&gt;31),"نامعتبر",RIGHT("0000"&amp;$AF620,4)&amp;"/"&amp;RIGHT("00"&amp;$AG620,2)&amp;"/"&amp;RIGHT("00"&amp;$AH620,2)))</f>
        <v/>
      </c>
      <c r="AJ620">
        <f>IF($AE620="","",IF(Sync!$Q620="","0000",IF(AND(ISNUMBER(Sync!$Q620),Sync!$Q620&gt;=0,Sync!$Q620&lt;1),RIGHT("00"&amp;HOUR(Sync!$Q620),2)&amp;RIGHT("00"&amp;MINUTE(Sync!$Q620),2),IFERROR(RIGHT("00"&amp;VALUE(LEFT(Sync!$Q620,FIND(":",Sync!$Q620)-1)),2)&amp;RIGHT("00"&amp;VALUE(MID(Sync!$Q620,FIND(":",Sync!$Q620)+1,2)),2),"0000"))))</f>
        <v/>
      </c>
      <c r="AK620">
        <f>IF(OR($AE620="",$AI620="",$AI620="نامعتبر"),"",LEFT($AI620,4)&amp;MID($AI620,6,2)&amp;RIGHT($AI620,2)&amp;$AJ620&amp;"|"&amp;"3"&amp;RIGHT("00000"&amp;615,5))</f>
        <v/>
      </c>
      <c r="AL620">
        <f>IF($AK620="","",COUNTIFS(LdAParty,$AE620,LdAType,1,LdAKey,"&lt;"&amp;$AK620)+COUNTIFS(LdBMember,$AE620,LdBKey,"&lt;"&amp;$AK620)+COUNTIFS(LdCParty,$AE620,LdCKey,"&lt;"&amp;$AK620)+1)</f>
        <v/>
      </c>
      <c r="AM620">
        <f>IF($AL620="","",$AE620&amp;"|"&amp;RIGHT("000000"&amp;$AL620,6))</f>
        <v/>
      </c>
      <c r="AN620">
        <f>IF($AE620="","",IF(Sync!$W620="",0,Sync!$W620))</f>
        <v/>
      </c>
      <c r="AO620">
        <f>IF($AE620="","",IF(Sync!$X620="",0,Sync!$X620))</f>
        <v/>
      </c>
      <c r="AP620">
        <f>IF($AE620="","",Sync!$R620)</f>
        <v/>
      </c>
      <c r="AQ620">
        <f>IF($AE620="","",Sync!$Y620)</f>
        <v/>
      </c>
    </row>
    <row r="621">
      <c r="A621">
        <f>IF(OR(Wages!$B624="",Wages!$E624=""),"",Wages!$E624)</f>
        <v/>
      </c>
      <c r="B621">
        <f>IF($A621="","",IF(Wages!$C624="دستمزد گروهی",2,1))</f>
        <v/>
      </c>
      <c r="C621">
        <f>IF($A621="","",IF(ISNUMBER(Wages!$B624),IF(AND(Wages!$B624&gt;=10000101,Wages!$B624&lt;=99991231),INT(Wages!$B624/10000),""),IFERROR(VALUE(TRIM(LEFT(Wages!$B624,FIND("/",Wages!$B624)-1))),"")))</f>
        <v/>
      </c>
      <c r="D621">
        <f>IF(OR($A621="",$C621=""),"",IF(ISNUMBER(Wages!$B624),INT(MOD(Wages!$B624,10000)/100),IFERROR(VALUE(TRIM(LEFT(MID(Wages!$B624,FIND("/",Wages!$B624)+1,20),FIND("/",MID(Wages!$B624,FIND("/",Wages!$B624)+1,20))-1))),"")))</f>
        <v/>
      </c>
      <c r="E621">
        <f>IF(OR($A621="",$C621=""),"",IF(ISNUMBER(Wages!$B624),MOD(Wages!$B624,100),IFERROR(VALUE(TRIM(MID(MID(Wages!$B624,FIND("/",Wages!$B624)+1,20),FIND("/",MID(Wages!$B624,FIND("/",Wages!$B624)+1,20))+1,20))),"")))</f>
        <v/>
      </c>
      <c r="F621">
        <f>IF($A621="","",IF(OR($C621="",$D621="",$E621="",$C621&lt;1300,$C621&gt;1500,$D621&lt;1,$D621&gt;12,$E621&lt;1,$E621&gt;31),"نامعتبر",RIGHT("0000"&amp;$C621,4)&amp;"/"&amp;RIGHT("00"&amp;$D621,2)&amp;"/"&amp;RIGHT("00"&amp;$E621,2)))</f>
        <v/>
      </c>
      <c r="G621">
        <f>IF(OR($A621="",$F621="",$F621="نامعتبر"),"",LEFT($F621,4)&amp;MID($F621,6,2)&amp;RIGHT($F621,2)&amp;"0000"&amp;"|"&amp;"1"&amp;RIGHT("00000"&amp;616,5))</f>
        <v/>
      </c>
      <c r="H621">
        <f>IF(OR($B621&lt;&gt;1,$G621=""),"",COUNTIFS(LdAParty,$A621,LdAType,1,LdAKey,"&lt;"&amp;$G621)+COUNTIFS(LdBMember,$A621,LdBKey,"&lt;"&amp;$G621)+COUNTIFS(LdCParty,$A621,LdCKey,"&lt;"&amp;$G621)+1)</f>
        <v/>
      </c>
      <c r="I621">
        <f>IF($H621="","",$A621&amp;"|"&amp;RIGHT("000000"&amp;$H621,6))</f>
        <v/>
      </c>
      <c r="J621">
        <f>IF(OR($B621&lt;&gt;2,$G621=""),"",COUNTIFS(LdAParty,$A621,LdAType,2,LdAKey,"&lt;"&amp;$G621)+1)</f>
        <v/>
      </c>
      <c r="K621">
        <f>IF($J621="","",$A621&amp;"|"&amp;RIGHT("000000"&amp;$J621,6))</f>
        <v/>
      </c>
      <c r="L621">
        <f>IF($A621="","",IF(Wages!$G624="",0,Wages!$G624))</f>
        <v/>
      </c>
      <c r="M621">
        <f>IF($A621="","",Wages!$J624)</f>
        <v/>
      </c>
      <c r="N621">
        <f>IF($A621="","",Wages!$D624)</f>
        <v/>
      </c>
      <c r="P621">
        <f>IF(OR(Shares!$B624="",Shares!$C624=""),"",Shares!$C624)</f>
        <v/>
      </c>
      <c r="Q621">
        <f>IF($P621="","",Shares!$B624)</f>
        <v/>
      </c>
      <c r="R621">
        <f>IF($P621="","",IFERROR(INDEX(WageParty,MATCH($Q621,WageIds,0)),""))</f>
        <v/>
      </c>
      <c r="S621">
        <f>IF($P621="","",IFERROR(INDEX($F$6:$F$2005,MATCH($Q621,WageIds,0)),""))</f>
        <v/>
      </c>
      <c r="T621">
        <f>IF(OR($P621="",$S621="",$S621="نامعتبر"),"",LEFT($S621,4)&amp;MID($S621,6,2)&amp;RIGHT($S621,2)&amp;"0000"&amp;"|"&amp;"2"&amp;RIGHT("00000"&amp;616,5))</f>
        <v/>
      </c>
      <c r="U621">
        <f>IF($T621="","",COUNTIFS(LdAParty,$P621,LdAType,1,LdAKey,"&lt;"&amp;$T621)+COUNTIFS(LdBMember,$P621,LdBKey,"&lt;"&amp;$T621)+COUNTIFS(LdCParty,$P621,LdCKey,"&lt;"&amp;$T621)+1)</f>
        <v/>
      </c>
      <c r="V621">
        <f>IF($U621="","",$P621&amp;"|"&amp;RIGHT("000000"&amp;$U621,6))</f>
        <v/>
      </c>
      <c r="W621">
        <f>IF($T621="","",COUNTIFS(LdBGroup,$R621,LdBKey,"&lt;"&amp;$T621)+1)</f>
        <v/>
      </c>
      <c r="X621">
        <f>IF($W621="","",$R621&amp;"|"&amp;RIGHT("000000"&amp;$W621,6))</f>
        <v/>
      </c>
      <c r="Y621">
        <f>IF($P621="","",IF(Shares!$E624="",0,Shares!$E624))</f>
        <v/>
      </c>
      <c r="Z621">
        <f>IF($P621="","",Shares!$H624)</f>
        <v/>
      </c>
      <c r="AE621">
        <f>IF(OR(Sync!$S621="",Sync!$P621=""),"",Sync!$S621)</f>
        <v/>
      </c>
      <c r="AF621">
        <f>IF($AE621="","",IF(ISNUMBER(Sync!$P621),IF(AND(Sync!$P621&gt;=10000101,Sync!$P621&lt;=99991231),INT(Sync!$P621/10000),""),IFERROR(VALUE(TRIM(LEFT(Sync!$P621,FIND("/",Sync!$P621)-1))),"")))</f>
        <v/>
      </c>
      <c r="AG621">
        <f>IF(OR($AE621="",$AF621=""),"",IF(ISNUMBER(Sync!$P621),INT(MOD(Sync!$P621,10000)/100),IFERROR(VALUE(TRIM(LEFT(MID(Sync!$P621,FIND("/",Sync!$P621)+1,20),FIND("/",MID(Sync!$P621,FIND("/",Sync!$P621)+1,20))-1))),"")))</f>
        <v/>
      </c>
      <c r="AH621">
        <f>IF(OR($AE621="",$AF621=""),"",IF(ISNUMBER(Sync!$P621),MOD(Sync!$P621,100),IFERROR(VALUE(TRIM(MID(MID(Sync!$P621,FIND("/",Sync!$P621)+1,20),FIND("/",MID(Sync!$P621,FIND("/",Sync!$P621)+1,20))+1,20))),"")))</f>
        <v/>
      </c>
      <c r="AI621">
        <f>IF($AE621="","",IF(OR($AF621="",$AG621="",$AH621="",$AF621&lt;1300,$AF621&gt;1500,$AG621&lt;1,$AG621&gt;12,$AH621&lt;1,$AH621&gt;31),"نامعتبر",RIGHT("0000"&amp;$AF621,4)&amp;"/"&amp;RIGHT("00"&amp;$AG621,2)&amp;"/"&amp;RIGHT("00"&amp;$AH621,2)))</f>
        <v/>
      </c>
      <c r="AJ621">
        <f>IF($AE621="","",IF(Sync!$Q621="","0000",IF(AND(ISNUMBER(Sync!$Q621),Sync!$Q621&gt;=0,Sync!$Q621&lt;1),RIGHT("00"&amp;HOUR(Sync!$Q621),2)&amp;RIGHT("00"&amp;MINUTE(Sync!$Q621),2),IFERROR(RIGHT("00"&amp;VALUE(LEFT(Sync!$Q621,FIND(":",Sync!$Q621)-1)),2)&amp;RIGHT("00"&amp;VALUE(MID(Sync!$Q621,FIND(":",Sync!$Q621)+1,2)),2),"0000"))))</f>
        <v/>
      </c>
      <c r="AK621">
        <f>IF(OR($AE621="",$AI621="",$AI621="نامعتبر"),"",LEFT($AI621,4)&amp;MID($AI621,6,2)&amp;RIGHT($AI621,2)&amp;$AJ621&amp;"|"&amp;"3"&amp;RIGHT("00000"&amp;616,5))</f>
        <v/>
      </c>
      <c r="AL621">
        <f>IF($AK621="","",COUNTIFS(LdAParty,$AE621,LdAType,1,LdAKey,"&lt;"&amp;$AK621)+COUNTIFS(LdBMember,$AE621,LdBKey,"&lt;"&amp;$AK621)+COUNTIFS(LdCParty,$AE621,LdCKey,"&lt;"&amp;$AK621)+1)</f>
        <v/>
      </c>
      <c r="AM621">
        <f>IF($AL621="","",$AE621&amp;"|"&amp;RIGHT("000000"&amp;$AL621,6))</f>
        <v/>
      </c>
      <c r="AN621">
        <f>IF($AE621="","",IF(Sync!$W621="",0,Sync!$W621))</f>
        <v/>
      </c>
      <c r="AO621">
        <f>IF($AE621="","",IF(Sync!$X621="",0,Sync!$X621))</f>
        <v/>
      </c>
      <c r="AP621">
        <f>IF($AE621="","",Sync!$R621)</f>
        <v/>
      </c>
      <c r="AQ621">
        <f>IF($AE621="","",Sync!$Y621)</f>
        <v/>
      </c>
    </row>
    <row r="622">
      <c r="A622">
        <f>IF(OR(Wages!$B625="",Wages!$E625=""),"",Wages!$E625)</f>
        <v/>
      </c>
      <c r="B622">
        <f>IF($A622="","",IF(Wages!$C625="دستمزد گروهی",2,1))</f>
        <v/>
      </c>
      <c r="C622">
        <f>IF($A622="","",IF(ISNUMBER(Wages!$B625),IF(AND(Wages!$B625&gt;=10000101,Wages!$B625&lt;=99991231),INT(Wages!$B625/10000),""),IFERROR(VALUE(TRIM(LEFT(Wages!$B625,FIND("/",Wages!$B625)-1))),"")))</f>
        <v/>
      </c>
      <c r="D622">
        <f>IF(OR($A622="",$C622=""),"",IF(ISNUMBER(Wages!$B625),INT(MOD(Wages!$B625,10000)/100),IFERROR(VALUE(TRIM(LEFT(MID(Wages!$B625,FIND("/",Wages!$B625)+1,20),FIND("/",MID(Wages!$B625,FIND("/",Wages!$B625)+1,20))-1))),"")))</f>
        <v/>
      </c>
      <c r="E622">
        <f>IF(OR($A622="",$C622=""),"",IF(ISNUMBER(Wages!$B625),MOD(Wages!$B625,100),IFERROR(VALUE(TRIM(MID(MID(Wages!$B625,FIND("/",Wages!$B625)+1,20),FIND("/",MID(Wages!$B625,FIND("/",Wages!$B625)+1,20))+1,20))),"")))</f>
        <v/>
      </c>
      <c r="F622">
        <f>IF($A622="","",IF(OR($C622="",$D622="",$E622="",$C622&lt;1300,$C622&gt;1500,$D622&lt;1,$D622&gt;12,$E622&lt;1,$E622&gt;31),"نامعتبر",RIGHT("0000"&amp;$C622,4)&amp;"/"&amp;RIGHT("00"&amp;$D622,2)&amp;"/"&amp;RIGHT("00"&amp;$E622,2)))</f>
        <v/>
      </c>
      <c r="G622">
        <f>IF(OR($A622="",$F622="",$F622="نامعتبر"),"",LEFT($F622,4)&amp;MID($F622,6,2)&amp;RIGHT($F622,2)&amp;"0000"&amp;"|"&amp;"1"&amp;RIGHT("00000"&amp;617,5))</f>
        <v/>
      </c>
      <c r="H622">
        <f>IF(OR($B622&lt;&gt;1,$G622=""),"",COUNTIFS(LdAParty,$A622,LdAType,1,LdAKey,"&lt;"&amp;$G622)+COUNTIFS(LdBMember,$A622,LdBKey,"&lt;"&amp;$G622)+COUNTIFS(LdCParty,$A622,LdCKey,"&lt;"&amp;$G622)+1)</f>
        <v/>
      </c>
      <c r="I622">
        <f>IF($H622="","",$A622&amp;"|"&amp;RIGHT("000000"&amp;$H622,6))</f>
        <v/>
      </c>
      <c r="J622">
        <f>IF(OR($B622&lt;&gt;2,$G622=""),"",COUNTIFS(LdAParty,$A622,LdAType,2,LdAKey,"&lt;"&amp;$G622)+1)</f>
        <v/>
      </c>
      <c r="K622">
        <f>IF($J622="","",$A622&amp;"|"&amp;RIGHT("000000"&amp;$J622,6))</f>
        <v/>
      </c>
      <c r="L622">
        <f>IF($A622="","",IF(Wages!$G625="",0,Wages!$G625))</f>
        <v/>
      </c>
      <c r="M622">
        <f>IF($A622="","",Wages!$J625)</f>
        <v/>
      </c>
      <c r="N622">
        <f>IF($A622="","",Wages!$D625)</f>
        <v/>
      </c>
      <c r="P622">
        <f>IF(OR(Shares!$B625="",Shares!$C625=""),"",Shares!$C625)</f>
        <v/>
      </c>
      <c r="Q622">
        <f>IF($P622="","",Shares!$B625)</f>
        <v/>
      </c>
      <c r="R622">
        <f>IF($P622="","",IFERROR(INDEX(WageParty,MATCH($Q622,WageIds,0)),""))</f>
        <v/>
      </c>
      <c r="S622">
        <f>IF($P622="","",IFERROR(INDEX($F$6:$F$2005,MATCH($Q622,WageIds,0)),""))</f>
        <v/>
      </c>
      <c r="T622">
        <f>IF(OR($P622="",$S622="",$S622="نامعتبر"),"",LEFT($S622,4)&amp;MID($S622,6,2)&amp;RIGHT($S622,2)&amp;"0000"&amp;"|"&amp;"2"&amp;RIGHT("00000"&amp;617,5))</f>
        <v/>
      </c>
      <c r="U622">
        <f>IF($T622="","",COUNTIFS(LdAParty,$P622,LdAType,1,LdAKey,"&lt;"&amp;$T622)+COUNTIFS(LdBMember,$P622,LdBKey,"&lt;"&amp;$T622)+COUNTIFS(LdCParty,$P622,LdCKey,"&lt;"&amp;$T622)+1)</f>
        <v/>
      </c>
      <c r="V622">
        <f>IF($U622="","",$P622&amp;"|"&amp;RIGHT("000000"&amp;$U622,6))</f>
        <v/>
      </c>
      <c r="W622">
        <f>IF($T622="","",COUNTIFS(LdBGroup,$R622,LdBKey,"&lt;"&amp;$T622)+1)</f>
        <v/>
      </c>
      <c r="X622">
        <f>IF($W622="","",$R622&amp;"|"&amp;RIGHT("000000"&amp;$W622,6))</f>
        <v/>
      </c>
      <c r="Y622">
        <f>IF($P622="","",IF(Shares!$E625="",0,Shares!$E625))</f>
        <v/>
      </c>
      <c r="Z622">
        <f>IF($P622="","",Shares!$H625)</f>
        <v/>
      </c>
      <c r="AE622">
        <f>IF(OR(Sync!$S622="",Sync!$P622=""),"",Sync!$S622)</f>
        <v/>
      </c>
      <c r="AF622">
        <f>IF($AE622="","",IF(ISNUMBER(Sync!$P622),IF(AND(Sync!$P622&gt;=10000101,Sync!$P622&lt;=99991231),INT(Sync!$P622/10000),""),IFERROR(VALUE(TRIM(LEFT(Sync!$P622,FIND("/",Sync!$P622)-1))),"")))</f>
        <v/>
      </c>
      <c r="AG622">
        <f>IF(OR($AE622="",$AF622=""),"",IF(ISNUMBER(Sync!$P622),INT(MOD(Sync!$P622,10000)/100),IFERROR(VALUE(TRIM(LEFT(MID(Sync!$P622,FIND("/",Sync!$P622)+1,20),FIND("/",MID(Sync!$P622,FIND("/",Sync!$P622)+1,20))-1))),"")))</f>
        <v/>
      </c>
      <c r="AH622">
        <f>IF(OR($AE622="",$AF622=""),"",IF(ISNUMBER(Sync!$P622),MOD(Sync!$P622,100),IFERROR(VALUE(TRIM(MID(MID(Sync!$P622,FIND("/",Sync!$P622)+1,20),FIND("/",MID(Sync!$P622,FIND("/",Sync!$P622)+1,20))+1,20))),"")))</f>
        <v/>
      </c>
      <c r="AI622">
        <f>IF($AE622="","",IF(OR($AF622="",$AG622="",$AH622="",$AF622&lt;1300,$AF622&gt;1500,$AG622&lt;1,$AG622&gt;12,$AH622&lt;1,$AH622&gt;31),"نامعتبر",RIGHT("0000"&amp;$AF622,4)&amp;"/"&amp;RIGHT("00"&amp;$AG622,2)&amp;"/"&amp;RIGHT("00"&amp;$AH622,2)))</f>
        <v/>
      </c>
      <c r="AJ622">
        <f>IF($AE622="","",IF(Sync!$Q622="","0000",IF(AND(ISNUMBER(Sync!$Q622),Sync!$Q622&gt;=0,Sync!$Q622&lt;1),RIGHT("00"&amp;HOUR(Sync!$Q622),2)&amp;RIGHT("00"&amp;MINUTE(Sync!$Q622),2),IFERROR(RIGHT("00"&amp;VALUE(LEFT(Sync!$Q622,FIND(":",Sync!$Q622)-1)),2)&amp;RIGHT("00"&amp;VALUE(MID(Sync!$Q622,FIND(":",Sync!$Q622)+1,2)),2),"0000"))))</f>
        <v/>
      </c>
      <c r="AK622">
        <f>IF(OR($AE622="",$AI622="",$AI622="نامعتبر"),"",LEFT($AI622,4)&amp;MID($AI622,6,2)&amp;RIGHT($AI622,2)&amp;$AJ622&amp;"|"&amp;"3"&amp;RIGHT("00000"&amp;617,5))</f>
        <v/>
      </c>
      <c r="AL622">
        <f>IF($AK622="","",COUNTIFS(LdAParty,$AE622,LdAType,1,LdAKey,"&lt;"&amp;$AK622)+COUNTIFS(LdBMember,$AE622,LdBKey,"&lt;"&amp;$AK622)+COUNTIFS(LdCParty,$AE622,LdCKey,"&lt;"&amp;$AK622)+1)</f>
        <v/>
      </c>
      <c r="AM622">
        <f>IF($AL622="","",$AE622&amp;"|"&amp;RIGHT("000000"&amp;$AL622,6))</f>
        <v/>
      </c>
      <c r="AN622">
        <f>IF($AE622="","",IF(Sync!$W622="",0,Sync!$W622))</f>
        <v/>
      </c>
      <c r="AO622">
        <f>IF($AE622="","",IF(Sync!$X622="",0,Sync!$X622))</f>
        <v/>
      </c>
      <c r="AP622">
        <f>IF($AE622="","",Sync!$R622)</f>
        <v/>
      </c>
      <c r="AQ622">
        <f>IF($AE622="","",Sync!$Y622)</f>
        <v/>
      </c>
    </row>
    <row r="623">
      <c r="A623">
        <f>IF(OR(Wages!$B626="",Wages!$E626=""),"",Wages!$E626)</f>
        <v/>
      </c>
      <c r="B623">
        <f>IF($A623="","",IF(Wages!$C626="دستمزد گروهی",2,1))</f>
        <v/>
      </c>
      <c r="C623">
        <f>IF($A623="","",IF(ISNUMBER(Wages!$B626),IF(AND(Wages!$B626&gt;=10000101,Wages!$B626&lt;=99991231),INT(Wages!$B626/10000),""),IFERROR(VALUE(TRIM(LEFT(Wages!$B626,FIND("/",Wages!$B626)-1))),"")))</f>
        <v/>
      </c>
      <c r="D623">
        <f>IF(OR($A623="",$C623=""),"",IF(ISNUMBER(Wages!$B626),INT(MOD(Wages!$B626,10000)/100),IFERROR(VALUE(TRIM(LEFT(MID(Wages!$B626,FIND("/",Wages!$B626)+1,20),FIND("/",MID(Wages!$B626,FIND("/",Wages!$B626)+1,20))-1))),"")))</f>
        <v/>
      </c>
      <c r="E623">
        <f>IF(OR($A623="",$C623=""),"",IF(ISNUMBER(Wages!$B626),MOD(Wages!$B626,100),IFERROR(VALUE(TRIM(MID(MID(Wages!$B626,FIND("/",Wages!$B626)+1,20),FIND("/",MID(Wages!$B626,FIND("/",Wages!$B626)+1,20))+1,20))),"")))</f>
        <v/>
      </c>
      <c r="F623">
        <f>IF($A623="","",IF(OR($C623="",$D623="",$E623="",$C623&lt;1300,$C623&gt;1500,$D623&lt;1,$D623&gt;12,$E623&lt;1,$E623&gt;31),"نامعتبر",RIGHT("0000"&amp;$C623,4)&amp;"/"&amp;RIGHT("00"&amp;$D623,2)&amp;"/"&amp;RIGHT("00"&amp;$E623,2)))</f>
        <v/>
      </c>
      <c r="G623">
        <f>IF(OR($A623="",$F623="",$F623="نامعتبر"),"",LEFT($F623,4)&amp;MID($F623,6,2)&amp;RIGHT($F623,2)&amp;"0000"&amp;"|"&amp;"1"&amp;RIGHT("00000"&amp;618,5))</f>
        <v/>
      </c>
      <c r="H623">
        <f>IF(OR($B623&lt;&gt;1,$G623=""),"",COUNTIFS(LdAParty,$A623,LdAType,1,LdAKey,"&lt;"&amp;$G623)+COUNTIFS(LdBMember,$A623,LdBKey,"&lt;"&amp;$G623)+COUNTIFS(LdCParty,$A623,LdCKey,"&lt;"&amp;$G623)+1)</f>
        <v/>
      </c>
      <c r="I623">
        <f>IF($H623="","",$A623&amp;"|"&amp;RIGHT("000000"&amp;$H623,6))</f>
        <v/>
      </c>
      <c r="J623">
        <f>IF(OR($B623&lt;&gt;2,$G623=""),"",COUNTIFS(LdAParty,$A623,LdAType,2,LdAKey,"&lt;"&amp;$G623)+1)</f>
        <v/>
      </c>
      <c r="K623">
        <f>IF($J623="","",$A623&amp;"|"&amp;RIGHT("000000"&amp;$J623,6))</f>
        <v/>
      </c>
      <c r="L623">
        <f>IF($A623="","",IF(Wages!$G626="",0,Wages!$G626))</f>
        <v/>
      </c>
      <c r="M623">
        <f>IF($A623="","",Wages!$J626)</f>
        <v/>
      </c>
      <c r="N623">
        <f>IF($A623="","",Wages!$D626)</f>
        <v/>
      </c>
      <c r="P623">
        <f>IF(OR(Shares!$B626="",Shares!$C626=""),"",Shares!$C626)</f>
        <v/>
      </c>
      <c r="Q623">
        <f>IF($P623="","",Shares!$B626)</f>
        <v/>
      </c>
      <c r="R623">
        <f>IF($P623="","",IFERROR(INDEX(WageParty,MATCH($Q623,WageIds,0)),""))</f>
        <v/>
      </c>
      <c r="S623">
        <f>IF($P623="","",IFERROR(INDEX($F$6:$F$2005,MATCH($Q623,WageIds,0)),""))</f>
        <v/>
      </c>
      <c r="T623">
        <f>IF(OR($P623="",$S623="",$S623="نامعتبر"),"",LEFT($S623,4)&amp;MID($S623,6,2)&amp;RIGHT($S623,2)&amp;"0000"&amp;"|"&amp;"2"&amp;RIGHT("00000"&amp;618,5))</f>
        <v/>
      </c>
      <c r="U623">
        <f>IF($T623="","",COUNTIFS(LdAParty,$P623,LdAType,1,LdAKey,"&lt;"&amp;$T623)+COUNTIFS(LdBMember,$P623,LdBKey,"&lt;"&amp;$T623)+COUNTIFS(LdCParty,$P623,LdCKey,"&lt;"&amp;$T623)+1)</f>
        <v/>
      </c>
      <c r="V623">
        <f>IF($U623="","",$P623&amp;"|"&amp;RIGHT("000000"&amp;$U623,6))</f>
        <v/>
      </c>
      <c r="W623">
        <f>IF($T623="","",COUNTIFS(LdBGroup,$R623,LdBKey,"&lt;"&amp;$T623)+1)</f>
        <v/>
      </c>
      <c r="X623">
        <f>IF($W623="","",$R623&amp;"|"&amp;RIGHT("000000"&amp;$W623,6))</f>
        <v/>
      </c>
      <c r="Y623">
        <f>IF($P623="","",IF(Shares!$E626="",0,Shares!$E626))</f>
        <v/>
      </c>
      <c r="Z623">
        <f>IF($P623="","",Shares!$H626)</f>
        <v/>
      </c>
      <c r="AE623">
        <f>IF(OR(Sync!$S623="",Sync!$P623=""),"",Sync!$S623)</f>
        <v/>
      </c>
      <c r="AF623">
        <f>IF($AE623="","",IF(ISNUMBER(Sync!$P623),IF(AND(Sync!$P623&gt;=10000101,Sync!$P623&lt;=99991231),INT(Sync!$P623/10000),""),IFERROR(VALUE(TRIM(LEFT(Sync!$P623,FIND("/",Sync!$P623)-1))),"")))</f>
        <v/>
      </c>
      <c r="AG623">
        <f>IF(OR($AE623="",$AF623=""),"",IF(ISNUMBER(Sync!$P623),INT(MOD(Sync!$P623,10000)/100),IFERROR(VALUE(TRIM(LEFT(MID(Sync!$P623,FIND("/",Sync!$P623)+1,20),FIND("/",MID(Sync!$P623,FIND("/",Sync!$P623)+1,20))-1))),"")))</f>
        <v/>
      </c>
      <c r="AH623">
        <f>IF(OR($AE623="",$AF623=""),"",IF(ISNUMBER(Sync!$P623),MOD(Sync!$P623,100),IFERROR(VALUE(TRIM(MID(MID(Sync!$P623,FIND("/",Sync!$P623)+1,20),FIND("/",MID(Sync!$P623,FIND("/",Sync!$P623)+1,20))+1,20))),"")))</f>
        <v/>
      </c>
      <c r="AI623">
        <f>IF($AE623="","",IF(OR($AF623="",$AG623="",$AH623="",$AF623&lt;1300,$AF623&gt;1500,$AG623&lt;1,$AG623&gt;12,$AH623&lt;1,$AH623&gt;31),"نامعتبر",RIGHT("0000"&amp;$AF623,4)&amp;"/"&amp;RIGHT("00"&amp;$AG623,2)&amp;"/"&amp;RIGHT("00"&amp;$AH623,2)))</f>
        <v/>
      </c>
      <c r="AJ623">
        <f>IF($AE623="","",IF(Sync!$Q623="","0000",IF(AND(ISNUMBER(Sync!$Q623),Sync!$Q623&gt;=0,Sync!$Q623&lt;1),RIGHT("00"&amp;HOUR(Sync!$Q623),2)&amp;RIGHT("00"&amp;MINUTE(Sync!$Q623),2),IFERROR(RIGHT("00"&amp;VALUE(LEFT(Sync!$Q623,FIND(":",Sync!$Q623)-1)),2)&amp;RIGHT("00"&amp;VALUE(MID(Sync!$Q623,FIND(":",Sync!$Q623)+1,2)),2),"0000"))))</f>
        <v/>
      </c>
      <c r="AK623">
        <f>IF(OR($AE623="",$AI623="",$AI623="نامعتبر"),"",LEFT($AI623,4)&amp;MID($AI623,6,2)&amp;RIGHT($AI623,2)&amp;$AJ623&amp;"|"&amp;"3"&amp;RIGHT("00000"&amp;618,5))</f>
        <v/>
      </c>
      <c r="AL623">
        <f>IF($AK623="","",COUNTIFS(LdAParty,$AE623,LdAType,1,LdAKey,"&lt;"&amp;$AK623)+COUNTIFS(LdBMember,$AE623,LdBKey,"&lt;"&amp;$AK623)+COUNTIFS(LdCParty,$AE623,LdCKey,"&lt;"&amp;$AK623)+1)</f>
        <v/>
      </c>
      <c r="AM623">
        <f>IF($AL623="","",$AE623&amp;"|"&amp;RIGHT("000000"&amp;$AL623,6))</f>
        <v/>
      </c>
      <c r="AN623">
        <f>IF($AE623="","",IF(Sync!$W623="",0,Sync!$W623))</f>
        <v/>
      </c>
      <c r="AO623">
        <f>IF($AE623="","",IF(Sync!$X623="",0,Sync!$X623))</f>
        <v/>
      </c>
      <c r="AP623">
        <f>IF($AE623="","",Sync!$R623)</f>
        <v/>
      </c>
      <c r="AQ623">
        <f>IF($AE623="","",Sync!$Y623)</f>
        <v/>
      </c>
    </row>
    <row r="624">
      <c r="A624">
        <f>IF(OR(Wages!$B627="",Wages!$E627=""),"",Wages!$E627)</f>
        <v/>
      </c>
      <c r="B624">
        <f>IF($A624="","",IF(Wages!$C627="دستمزد گروهی",2,1))</f>
        <v/>
      </c>
      <c r="C624">
        <f>IF($A624="","",IF(ISNUMBER(Wages!$B627),IF(AND(Wages!$B627&gt;=10000101,Wages!$B627&lt;=99991231),INT(Wages!$B627/10000),""),IFERROR(VALUE(TRIM(LEFT(Wages!$B627,FIND("/",Wages!$B627)-1))),"")))</f>
        <v/>
      </c>
      <c r="D624">
        <f>IF(OR($A624="",$C624=""),"",IF(ISNUMBER(Wages!$B627),INT(MOD(Wages!$B627,10000)/100),IFERROR(VALUE(TRIM(LEFT(MID(Wages!$B627,FIND("/",Wages!$B627)+1,20),FIND("/",MID(Wages!$B627,FIND("/",Wages!$B627)+1,20))-1))),"")))</f>
        <v/>
      </c>
      <c r="E624">
        <f>IF(OR($A624="",$C624=""),"",IF(ISNUMBER(Wages!$B627),MOD(Wages!$B627,100),IFERROR(VALUE(TRIM(MID(MID(Wages!$B627,FIND("/",Wages!$B627)+1,20),FIND("/",MID(Wages!$B627,FIND("/",Wages!$B627)+1,20))+1,20))),"")))</f>
        <v/>
      </c>
      <c r="F624">
        <f>IF($A624="","",IF(OR($C624="",$D624="",$E624="",$C624&lt;1300,$C624&gt;1500,$D624&lt;1,$D624&gt;12,$E624&lt;1,$E624&gt;31),"نامعتبر",RIGHT("0000"&amp;$C624,4)&amp;"/"&amp;RIGHT("00"&amp;$D624,2)&amp;"/"&amp;RIGHT("00"&amp;$E624,2)))</f>
        <v/>
      </c>
      <c r="G624">
        <f>IF(OR($A624="",$F624="",$F624="نامعتبر"),"",LEFT($F624,4)&amp;MID($F624,6,2)&amp;RIGHT($F624,2)&amp;"0000"&amp;"|"&amp;"1"&amp;RIGHT("00000"&amp;619,5))</f>
        <v/>
      </c>
      <c r="H624">
        <f>IF(OR($B624&lt;&gt;1,$G624=""),"",COUNTIFS(LdAParty,$A624,LdAType,1,LdAKey,"&lt;"&amp;$G624)+COUNTIFS(LdBMember,$A624,LdBKey,"&lt;"&amp;$G624)+COUNTIFS(LdCParty,$A624,LdCKey,"&lt;"&amp;$G624)+1)</f>
        <v/>
      </c>
      <c r="I624">
        <f>IF($H624="","",$A624&amp;"|"&amp;RIGHT("000000"&amp;$H624,6))</f>
        <v/>
      </c>
      <c r="J624">
        <f>IF(OR($B624&lt;&gt;2,$G624=""),"",COUNTIFS(LdAParty,$A624,LdAType,2,LdAKey,"&lt;"&amp;$G624)+1)</f>
        <v/>
      </c>
      <c r="K624">
        <f>IF($J624="","",$A624&amp;"|"&amp;RIGHT("000000"&amp;$J624,6))</f>
        <v/>
      </c>
      <c r="L624">
        <f>IF($A624="","",IF(Wages!$G627="",0,Wages!$G627))</f>
        <v/>
      </c>
      <c r="M624">
        <f>IF($A624="","",Wages!$J627)</f>
        <v/>
      </c>
      <c r="N624">
        <f>IF($A624="","",Wages!$D627)</f>
        <v/>
      </c>
      <c r="P624">
        <f>IF(OR(Shares!$B627="",Shares!$C627=""),"",Shares!$C627)</f>
        <v/>
      </c>
      <c r="Q624">
        <f>IF($P624="","",Shares!$B627)</f>
        <v/>
      </c>
      <c r="R624">
        <f>IF($P624="","",IFERROR(INDEX(WageParty,MATCH($Q624,WageIds,0)),""))</f>
        <v/>
      </c>
      <c r="S624">
        <f>IF($P624="","",IFERROR(INDEX($F$6:$F$2005,MATCH($Q624,WageIds,0)),""))</f>
        <v/>
      </c>
      <c r="T624">
        <f>IF(OR($P624="",$S624="",$S624="نامعتبر"),"",LEFT($S624,4)&amp;MID($S624,6,2)&amp;RIGHT($S624,2)&amp;"0000"&amp;"|"&amp;"2"&amp;RIGHT("00000"&amp;619,5))</f>
        <v/>
      </c>
      <c r="U624">
        <f>IF($T624="","",COUNTIFS(LdAParty,$P624,LdAType,1,LdAKey,"&lt;"&amp;$T624)+COUNTIFS(LdBMember,$P624,LdBKey,"&lt;"&amp;$T624)+COUNTIFS(LdCParty,$P624,LdCKey,"&lt;"&amp;$T624)+1)</f>
        <v/>
      </c>
      <c r="V624">
        <f>IF($U624="","",$P624&amp;"|"&amp;RIGHT("000000"&amp;$U624,6))</f>
        <v/>
      </c>
      <c r="W624">
        <f>IF($T624="","",COUNTIFS(LdBGroup,$R624,LdBKey,"&lt;"&amp;$T624)+1)</f>
        <v/>
      </c>
      <c r="X624">
        <f>IF($W624="","",$R624&amp;"|"&amp;RIGHT("000000"&amp;$W624,6))</f>
        <v/>
      </c>
      <c r="Y624">
        <f>IF($P624="","",IF(Shares!$E627="",0,Shares!$E627))</f>
        <v/>
      </c>
      <c r="Z624">
        <f>IF($P624="","",Shares!$H627)</f>
        <v/>
      </c>
      <c r="AE624">
        <f>IF(OR(Sync!$S624="",Sync!$P624=""),"",Sync!$S624)</f>
        <v/>
      </c>
      <c r="AF624">
        <f>IF($AE624="","",IF(ISNUMBER(Sync!$P624),IF(AND(Sync!$P624&gt;=10000101,Sync!$P624&lt;=99991231),INT(Sync!$P624/10000),""),IFERROR(VALUE(TRIM(LEFT(Sync!$P624,FIND("/",Sync!$P624)-1))),"")))</f>
        <v/>
      </c>
      <c r="AG624">
        <f>IF(OR($AE624="",$AF624=""),"",IF(ISNUMBER(Sync!$P624),INT(MOD(Sync!$P624,10000)/100),IFERROR(VALUE(TRIM(LEFT(MID(Sync!$P624,FIND("/",Sync!$P624)+1,20),FIND("/",MID(Sync!$P624,FIND("/",Sync!$P624)+1,20))-1))),"")))</f>
        <v/>
      </c>
      <c r="AH624">
        <f>IF(OR($AE624="",$AF624=""),"",IF(ISNUMBER(Sync!$P624),MOD(Sync!$P624,100),IFERROR(VALUE(TRIM(MID(MID(Sync!$P624,FIND("/",Sync!$P624)+1,20),FIND("/",MID(Sync!$P624,FIND("/",Sync!$P624)+1,20))+1,20))),"")))</f>
        <v/>
      </c>
      <c r="AI624">
        <f>IF($AE624="","",IF(OR($AF624="",$AG624="",$AH624="",$AF624&lt;1300,$AF624&gt;1500,$AG624&lt;1,$AG624&gt;12,$AH624&lt;1,$AH624&gt;31),"نامعتبر",RIGHT("0000"&amp;$AF624,4)&amp;"/"&amp;RIGHT("00"&amp;$AG624,2)&amp;"/"&amp;RIGHT("00"&amp;$AH624,2)))</f>
        <v/>
      </c>
      <c r="AJ624">
        <f>IF($AE624="","",IF(Sync!$Q624="","0000",IF(AND(ISNUMBER(Sync!$Q624),Sync!$Q624&gt;=0,Sync!$Q624&lt;1),RIGHT("00"&amp;HOUR(Sync!$Q624),2)&amp;RIGHT("00"&amp;MINUTE(Sync!$Q624),2),IFERROR(RIGHT("00"&amp;VALUE(LEFT(Sync!$Q624,FIND(":",Sync!$Q624)-1)),2)&amp;RIGHT("00"&amp;VALUE(MID(Sync!$Q624,FIND(":",Sync!$Q624)+1,2)),2),"0000"))))</f>
        <v/>
      </c>
      <c r="AK624">
        <f>IF(OR($AE624="",$AI624="",$AI624="نامعتبر"),"",LEFT($AI624,4)&amp;MID($AI624,6,2)&amp;RIGHT($AI624,2)&amp;$AJ624&amp;"|"&amp;"3"&amp;RIGHT("00000"&amp;619,5))</f>
        <v/>
      </c>
      <c r="AL624">
        <f>IF($AK624="","",COUNTIFS(LdAParty,$AE624,LdAType,1,LdAKey,"&lt;"&amp;$AK624)+COUNTIFS(LdBMember,$AE624,LdBKey,"&lt;"&amp;$AK624)+COUNTIFS(LdCParty,$AE624,LdCKey,"&lt;"&amp;$AK624)+1)</f>
        <v/>
      </c>
      <c r="AM624">
        <f>IF($AL624="","",$AE624&amp;"|"&amp;RIGHT("000000"&amp;$AL624,6))</f>
        <v/>
      </c>
      <c r="AN624">
        <f>IF($AE624="","",IF(Sync!$W624="",0,Sync!$W624))</f>
        <v/>
      </c>
      <c r="AO624">
        <f>IF($AE624="","",IF(Sync!$X624="",0,Sync!$X624))</f>
        <v/>
      </c>
      <c r="AP624">
        <f>IF($AE624="","",Sync!$R624)</f>
        <v/>
      </c>
      <c r="AQ624">
        <f>IF($AE624="","",Sync!$Y624)</f>
        <v/>
      </c>
    </row>
    <row r="625">
      <c r="A625">
        <f>IF(OR(Wages!$B628="",Wages!$E628=""),"",Wages!$E628)</f>
        <v/>
      </c>
      <c r="B625">
        <f>IF($A625="","",IF(Wages!$C628="دستمزد گروهی",2,1))</f>
        <v/>
      </c>
      <c r="C625">
        <f>IF($A625="","",IF(ISNUMBER(Wages!$B628),IF(AND(Wages!$B628&gt;=10000101,Wages!$B628&lt;=99991231),INT(Wages!$B628/10000),""),IFERROR(VALUE(TRIM(LEFT(Wages!$B628,FIND("/",Wages!$B628)-1))),"")))</f>
        <v/>
      </c>
      <c r="D625">
        <f>IF(OR($A625="",$C625=""),"",IF(ISNUMBER(Wages!$B628),INT(MOD(Wages!$B628,10000)/100),IFERROR(VALUE(TRIM(LEFT(MID(Wages!$B628,FIND("/",Wages!$B628)+1,20),FIND("/",MID(Wages!$B628,FIND("/",Wages!$B628)+1,20))-1))),"")))</f>
        <v/>
      </c>
      <c r="E625">
        <f>IF(OR($A625="",$C625=""),"",IF(ISNUMBER(Wages!$B628),MOD(Wages!$B628,100),IFERROR(VALUE(TRIM(MID(MID(Wages!$B628,FIND("/",Wages!$B628)+1,20),FIND("/",MID(Wages!$B628,FIND("/",Wages!$B628)+1,20))+1,20))),"")))</f>
        <v/>
      </c>
      <c r="F625">
        <f>IF($A625="","",IF(OR($C625="",$D625="",$E625="",$C625&lt;1300,$C625&gt;1500,$D625&lt;1,$D625&gt;12,$E625&lt;1,$E625&gt;31),"نامعتبر",RIGHT("0000"&amp;$C625,4)&amp;"/"&amp;RIGHT("00"&amp;$D625,2)&amp;"/"&amp;RIGHT("00"&amp;$E625,2)))</f>
        <v/>
      </c>
      <c r="G625">
        <f>IF(OR($A625="",$F625="",$F625="نامعتبر"),"",LEFT($F625,4)&amp;MID($F625,6,2)&amp;RIGHT($F625,2)&amp;"0000"&amp;"|"&amp;"1"&amp;RIGHT("00000"&amp;620,5))</f>
        <v/>
      </c>
      <c r="H625">
        <f>IF(OR($B625&lt;&gt;1,$G625=""),"",COUNTIFS(LdAParty,$A625,LdAType,1,LdAKey,"&lt;"&amp;$G625)+COUNTIFS(LdBMember,$A625,LdBKey,"&lt;"&amp;$G625)+COUNTIFS(LdCParty,$A625,LdCKey,"&lt;"&amp;$G625)+1)</f>
        <v/>
      </c>
      <c r="I625">
        <f>IF($H625="","",$A625&amp;"|"&amp;RIGHT("000000"&amp;$H625,6))</f>
        <v/>
      </c>
      <c r="J625">
        <f>IF(OR($B625&lt;&gt;2,$G625=""),"",COUNTIFS(LdAParty,$A625,LdAType,2,LdAKey,"&lt;"&amp;$G625)+1)</f>
        <v/>
      </c>
      <c r="K625">
        <f>IF($J625="","",$A625&amp;"|"&amp;RIGHT("000000"&amp;$J625,6))</f>
        <v/>
      </c>
      <c r="L625">
        <f>IF($A625="","",IF(Wages!$G628="",0,Wages!$G628))</f>
        <v/>
      </c>
      <c r="M625">
        <f>IF($A625="","",Wages!$J628)</f>
        <v/>
      </c>
      <c r="N625">
        <f>IF($A625="","",Wages!$D628)</f>
        <v/>
      </c>
      <c r="P625">
        <f>IF(OR(Shares!$B628="",Shares!$C628=""),"",Shares!$C628)</f>
        <v/>
      </c>
      <c r="Q625">
        <f>IF($P625="","",Shares!$B628)</f>
        <v/>
      </c>
      <c r="R625">
        <f>IF($P625="","",IFERROR(INDEX(WageParty,MATCH($Q625,WageIds,0)),""))</f>
        <v/>
      </c>
      <c r="S625">
        <f>IF($P625="","",IFERROR(INDEX($F$6:$F$2005,MATCH($Q625,WageIds,0)),""))</f>
        <v/>
      </c>
      <c r="T625">
        <f>IF(OR($P625="",$S625="",$S625="نامعتبر"),"",LEFT($S625,4)&amp;MID($S625,6,2)&amp;RIGHT($S625,2)&amp;"0000"&amp;"|"&amp;"2"&amp;RIGHT("00000"&amp;620,5))</f>
        <v/>
      </c>
      <c r="U625">
        <f>IF($T625="","",COUNTIFS(LdAParty,$P625,LdAType,1,LdAKey,"&lt;"&amp;$T625)+COUNTIFS(LdBMember,$P625,LdBKey,"&lt;"&amp;$T625)+COUNTIFS(LdCParty,$P625,LdCKey,"&lt;"&amp;$T625)+1)</f>
        <v/>
      </c>
      <c r="V625">
        <f>IF($U625="","",$P625&amp;"|"&amp;RIGHT("000000"&amp;$U625,6))</f>
        <v/>
      </c>
      <c r="W625">
        <f>IF($T625="","",COUNTIFS(LdBGroup,$R625,LdBKey,"&lt;"&amp;$T625)+1)</f>
        <v/>
      </c>
      <c r="X625">
        <f>IF($W625="","",$R625&amp;"|"&amp;RIGHT("000000"&amp;$W625,6))</f>
        <v/>
      </c>
      <c r="Y625">
        <f>IF($P625="","",IF(Shares!$E628="",0,Shares!$E628))</f>
        <v/>
      </c>
      <c r="Z625">
        <f>IF($P625="","",Shares!$H628)</f>
        <v/>
      </c>
      <c r="AE625">
        <f>IF(OR(Sync!$S625="",Sync!$P625=""),"",Sync!$S625)</f>
        <v/>
      </c>
      <c r="AF625">
        <f>IF($AE625="","",IF(ISNUMBER(Sync!$P625),IF(AND(Sync!$P625&gt;=10000101,Sync!$P625&lt;=99991231),INT(Sync!$P625/10000),""),IFERROR(VALUE(TRIM(LEFT(Sync!$P625,FIND("/",Sync!$P625)-1))),"")))</f>
        <v/>
      </c>
      <c r="AG625">
        <f>IF(OR($AE625="",$AF625=""),"",IF(ISNUMBER(Sync!$P625),INT(MOD(Sync!$P625,10000)/100),IFERROR(VALUE(TRIM(LEFT(MID(Sync!$P625,FIND("/",Sync!$P625)+1,20),FIND("/",MID(Sync!$P625,FIND("/",Sync!$P625)+1,20))-1))),"")))</f>
        <v/>
      </c>
      <c r="AH625">
        <f>IF(OR($AE625="",$AF625=""),"",IF(ISNUMBER(Sync!$P625),MOD(Sync!$P625,100),IFERROR(VALUE(TRIM(MID(MID(Sync!$P625,FIND("/",Sync!$P625)+1,20),FIND("/",MID(Sync!$P625,FIND("/",Sync!$P625)+1,20))+1,20))),"")))</f>
        <v/>
      </c>
      <c r="AI625">
        <f>IF($AE625="","",IF(OR($AF625="",$AG625="",$AH625="",$AF625&lt;1300,$AF625&gt;1500,$AG625&lt;1,$AG625&gt;12,$AH625&lt;1,$AH625&gt;31),"نامعتبر",RIGHT("0000"&amp;$AF625,4)&amp;"/"&amp;RIGHT("00"&amp;$AG625,2)&amp;"/"&amp;RIGHT("00"&amp;$AH625,2)))</f>
        <v/>
      </c>
      <c r="AJ625">
        <f>IF($AE625="","",IF(Sync!$Q625="","0000",IF(AND(ISNUMBER(Sync!$Q625),Sync!$Q625&gt;=0,Sync!$Q625&lt;1),RIGHT("00"&amp;HOUR(Sync!$Q625),2)&amp;RIGHT("00"&amp;MINUTE(Sync!$Q625),2),IFERROR(RIGHT("00"&amp;VALUE(LEFT(Sync!$Q625,FIND(":",Sync!$Q625)-1)),2)&amp;RIGHT("00"&amp;VALUE(MID(Sync!$Q625,FIND(":",Sync!$Q625)+1,2)),2),"0000"))))</f>
        <v/>
      </c>
      <c r="AK625">
        <f>IF(OR($AE625="",$AI625="",$AI625="نامعتبر"),"",LEFT($AI625,4)&amp;MID($AI625,6,2)&amp;RIGHT($AI625,2)&amp;$AJ625&amp;"|"&amp;"3"&amp;RIGHT("00000"&amp;620,5))</f>
        <v/>
      </c>
      <c r="AL625">
        <f>IF($AK625="","",COUNTIFS(LdAParty,$AE625,LdAType,1,LdAKey,"&lt;"&amp;$AK625)+COUNTIFS(LdBMember,$AE625,LdBKey,"&lt;"&amp;$AK625)+COUNTIFS(LdCParty,$AE625,LdCKey,"&lt;"&amp;$AK625)+1)</f>
        <v/>
      </c>
      <c r="AM625">
        <f>IF($AL625="","",$AE625&amp;"|"&amp;RIGHT("000000"&amp;$AL625,6))</f>
        <v/>
      </c>
      <c r="AN625">
        <f>IF($AE625="","",IF(Sync!$W625="",0,Sync!$W625))</f>
        <v/>
      </c>
      <c r="AO625">
        <f>IF($AE625="","",IF(Sync!$X625="",0,Sync!$X625))</f>
        <v/>
      </c>
      <c r="AP625">
        <f>IF($AE625="","",Sync!$R625)</f>
        <v/>
      </c>
      <c r="AQ625">
        <f>IF($AE625="","",Sync!$Y625)</f>
        <v/>
      </c>
    </row>
    <row r="626">
      <c r="A626">
        <f>IF(OR(Wages!$B629="",Wages!$E629=""),"",Wages!$E629)</f>
        <v/>
      </c>
      <c r="B626">
        <f>IF($A626="","",IF(Wages!$C629="دستمزد گروهی",2,1))</f>
        <v/>
      </c>
      <c r="C626">
        <f>IF($A626="","",IF(ISNUMBER(Wages!$B629),IF(AND(Wages!$B629&gt;=10000101,Wages!$B629&lt;=99991231),INT(Wages!$B629/10000),""),IFERROR(VALUE(TRIM(LEFT(Wages!$B629,FIND("/",Wages!$B629)-1))),"")))</f>
        <v/>
      </c>
      <c r="D626">
        <f>IF(OR($A626="",$C626=""),"",IF(ISNUMBER(Wages!$B629),INT(MOD(Wages!$B629,10000)/100),IFERROR(VALUE(TRIM(LEFT(MID(Wages!$B629,FIND("/",Wages!$B629)+1,20),FIND("/",MID(Wages!$B629,FIND("/",Wages!$B629)+1,20))-1))),"")))</f>
        <v/>
      </c>
      <c r="E626">
        <f>IF(OR($A626="",$C626=""),"",IF(ISNUMBER(Wages!$B629),MOD(Wages!$B629,100),IFERROR(VALUE(TRIM(MID(MID(Wages!$B629,FIND("/",Wages!$B629)+1,20),FIND("/",MID(Wages!$B629,FIND("/",Wages!$B629)+1,20))+1,20))),"")))</f>
        <v/>
      </c>
      <c r="F626">
        <f>IF($A626="","",IF(OR($C626="",$D626="",$E626="",$C626&lt;1300,$C626&gt;1500,$D626&lt;1,$D626&gt;12,$E626&lt;1,$E626&gt;31),"نامعتبر",RIGHT("0000"&amp;$C626,4)&amp;"/"&amp;RIGHT("00"&amp;$D626,2)&amp;"/"&amp;RIGHT("00"&amp;$E626,2)))</f>
        <v/>
      </c>
      <c r="G626">
        <f>IF(OR($A626="",$F626="",$F626="نامعتبر"),"",LEFT($F626,4)&amp;MID($F626,6,2)&amp;RIGHT($F626,2)&amp;"0000"&amp;"|"&amp;"1"&amp;RIGHT("00000"&amp;621,5))</f>
        <v/>
      </c>
      <c r="H626">
        <f>IF(OR($B626&lt;&gt;1,$G626=""),"",COUNTIFS(LdAParty,$A626,LdAType,1,LdAKey,"&lt;"&amp;$G626)+COUNTIFS(LdBMember,$A626,LdBKey,"&lt;"&amp;$G626)+COUNTIFS(LdCParty,$A626,LdCKey,"&lt;"&amp;$G626)+1)</f>
        <v/>
      </c>
      <c r="I626">
        <f>IF($H626="","",$A626&amp;"|"&amp;RIGHT("000000"&amp;$H626,6))</f>
        <v/>
      </c>
      <c r="J626">
        <f>IF(OR($B626&lt;&gt;2,$G626=""),"",COUNTIFS(LdAParty,$A626,LdAType,2,LdAKey,"&lt;"&amp;$G626)+1)</f>
        <v/>
      </c>
      <c r="K626">
        <f>IF($J626="","",$A626&amp;"|"&amp;RIGHT("000000"&amp;$J626,6))</f>
        <v/>
      </c>
      <c r="L626">
        <f>IF($A626="","",IF(Wages!$G629="",0,Wages!$G629))</f>
        <v/>
      </c>
      <c r="M626">
        <f>IF($A626="","",Wages!$J629)</f>
        <v/>
      </c>
      <c r="N626">
        <f>IF($A626="","",Wages!$D629)</f>
        <v/>
      </c>
      <c r="P626">
        <f>IF(OR(Shares!$B629="",Shares!$C629=""),"",Shares!$C629)</f>
        <v/>
      </c>
      <c r="Q626">
        <f>IF($P626="","",Shares!$B629)</f>
        <v/>
      </c>
      <c r="R626">
        <f>IF($P626="","",IFERROR(INDEX(WageParty,MATCH($Q626,WageIds,0)),""))</f>
        <v/>
      </c>
      <c r="S626">
        <f>IF($P626="","",IFERROR(INDEX($F$6:$F$2005,MATCH($Q626,WageIds,0)),""))</f>
        <v/>
      </c>
      <c r="T626">
        <f>IF(OR($P626="",$S626="",$S626="نامعتبر"),"",LEFT($S626,4)&amp;MID($S626,6,2)&amp;RIGHT($S626,2)&amp;"0000"&amp;"|"&amp;"2"&amp;RIGHT("00000"&amp;621,5))</f>
        <v/>
      </c>
      <c r="U626">
        <f>IF($T626="","",COUNTIFS(LdAParty,$P626,LdAType,1,LdAKey,"&lt;"&amp;$T626)+COUNTIFS(LdBMember,$P626,LdBKey,"&lt;"&amp;$T626)+COUNTIFS(LdCParty,$P626,LdCKey,"&lt;"&amp;$T626)+1)</f>
        <v/>
      </c>
      <c r="V626">
        <f>IF($U626="","",$P626&amp;"|"&amp;RIGHT("000000"&amp;$U626,6))</f>
        <v/>
      </c>
      <c r="W626">
        <f>IF($T626="","",COUNTIFS(LdBGroup,$R626,LdBKey,"&lt;"&amp;$T626)+1)</f>
        <v/>
      </c>
      <c r="X626">
        <f>IF($W626="","",$R626&amp;"|"&amp;RIGHT("000000"&amp;$W626,6))</f>
        <v/>
      </c>
      <c r="Y626">
        <f>IF($P626="","",IF(Shares!$E629="",0,Shares!$E629))</f>
        <v/>
      </c>
      <c r="Z626">
        <f>IF($P626="","",Shares!$H629)</f>
        <v/>
      </c>
      <c r="AE626">
        <f>IF(OR(Sync!$S626="",Sync!$P626=""),"",Sync!$S626)</f>
        <v/>
      </c>
      <c r="AF626">
        <f>IF($AE626="","",IF(ISNUMBER(Sync!$P626),IF(AND(Sync!$P626&gt;=10000101,Sync!$P626&lt;=99991231),INT(Sync!$P626/10000),""),IFERROR(VALUE(TRIM(LEFT(Sync!$P626,FIND("/",Sync!$P626)-1))),"")))</f>
        <v/>
      </c>
      <c r="AG626">
        <f>IF(OR($AE626="",$AF626=""),"",IF(ISNUMBER(Sync!$P626),INT(MOD(Sync!$P626,10000)/100),IFERROR(VALUE(TRIM(LEFT(MID(Sync!$P626,FIND("/",Sync!$P626)+1,20),FIND("/",MID(Sync!$P626,FIND("/",Sync!$P626)+1,20))-1))),"")))</f>
        <v/>
      </c>
      <c r="AH626">
        <f>IF(OR($AE626="",$AF626=""),"",IF(ISNUMBER(Sync!$P626),MOD(Sync!$P626,100),IFERROR(VALUE(TRIM(MID(MID(Sync!$P626,FIND("/",Sync!$P626)+1,20),FIND("/",MID(Sync!$P626,FIND("/",Sync!$P626)+1,20))+1,20))),"")))</f>
        <v/>
      </c>
      <c r="AI626">
        <f>IF($AE626="","",IF(OR($AF626="",$AG626="",$AH626="",$AF626&lt;1300,$AF626&gt;1500,$AG626&lt;1,$AG626&gt;12,$AH626&lt;1,$AH626&gt;31),"نامعتبر",RIGHT("0000"&amp;$AF626,4)&amp;"/"&amp;RIGHT("00"&amp;$AG626,2)&amp;"/"&amp;RIGHT("00"&amp;$AH626,2)))</f>
        <v/>
      </c>
      <c r="AJ626">
        <f>IF($AE626="","",IF(Sync!$Q626="","0000",IF(AND(ISNUMBER(Sync!$Q626),Sync!$Q626&gt;=0,Sync!$Q626&lt;1),RIGHT("00"&amp;HOUR(Sync!$Q626),2)&amp;RIGHT("00"&amp;MINUTE(Sync!$Q626),2),IFERROR(RIGHT("00"&amp;VALUE(LEFT(Sync!$Q626,FIND(":",Sync!$Q626)-1)),2)&amp;RIGHT("00"&amp;VALUE(MID(Sync!$Q626,FIND(":",Sync!$Q626)+1,2)),2),"0000"))))</f>
        <v/>
      </c>
      <c r="AK626">
        <f>IF(OR($AE626="",$AI626="",$AI626="نامعتبر"),"",LEFT($AI626,4)&amp;MID($AI626,6,2)&amp;RIGHT($AI626,2)&amp;$AJ626&amp;"|"&amp;"3"&amp;RIGHT("00000"&amp;621,5))</f>
        <v/>
      </c>
      <c r="AL626">
        <f>IF($AK626="","",COUNTIFS(LdAParty,$AE626,LdAType,1,LdAKey,"&lt;"&amp;$AK626)+COUNTIFS(LdBMember,$AE626,LdBKey,"&lt;"&amp;$AK626)+COUNTIFS(LdCParty,$AE626,LdCKey,"&lt;"&amp;$AK626)+1)</f>
        <v/>
      </c>
      <c r="AM626">
        <f>IF($AL626="","",$AE626&amp;"|"&amp;RIGHT("000000"&amp;$AL626,6))</f>
        <v/>
      </c>
      <c r="AN626">
        <f>IF($AE626="","",IF(Sync!$W626="",0,Sync!$W626))</f>
        <v/>
      </c>
      <c r="AO626">
        <f>IF($AE626="","",IF(Sync!$X626="",0,Sync!$X626))</f>
        <v/>
      </c>
      <c r="AP626">
        <f>IF($AE626="","",Sync!$R626)</f>
        <v/>
      </c>
      <c r="AQ626">
        <f>IF($AE626="","",Sync!$Y626)</f>
        <v/>
      </c>
    </row>
    <row r="627">
      <c r="A627">
        <f>IF(OR(Wages!$B630="",Wages!$E630=""),"",Wages!$E630)</f>
        <v/>
      </c>
      <c r="B627">
        <f>IF($A627="","",IF(Wages!$C630="دستمزد گروهی",2,1))</f>
        <v/>
      </c>
      <c r="C627">
        <f>IF($A627="","",IF(ISNUMBER(Wages!$B630),IF(AND(Wages!$B630&gt;=10000101,Wages!$B630&lt;=99991231),INT(Wages!$B630/10000),""),IFERROR(VALUE(TRIM(LEFT(Wages!$B630,FIND("/",Wages!$B630)-1))),"")))</f>
        <v/>
      </c>
      <c r="D627">
        <f>IF(OR($A627="",$C627=""),"",IF(ISNUMBER(Wages!$B630),INT(MOD(Wages!$B630,10000)/100),IFERROR(VALUE(TRIM(LEFT(MID(Wages!$B630,FIND("/",Wages!$B630)+1,20),FIND("/",MID(Wages!$B630,FIND("/",Wages!$B630)+1,20))-1))),"")))</f>
        <v/>
      </c>
      <c r="E627">
        <f>IF(OR($A627="",$C627=""),"",IF(ISNUMBER(Wages!$B630),MOD(Wages!$B630,100),IFERROR(VALUE(TRIM(MID(MID(Wages!$B630,FIND("/",Wages!$B630)+1,20),FIND("/",MID(Wages!$B630,FIND("/",Wages!$B630)+1,20))+1,20))),"")))</f>
        <v/>
      </c>
      <c r="F627">
        <f>IF($A627="","",IF(OR($C627="",$D627="",$E627="",$C627&lt;1300,$C627&gt;1500,$D627&lt;1,$D627&gt;12,$E627&lt;1,$E627&gt;31),"نامعتبر",RIGHT("0000"&amp;$C627,4)&amp;"/"&amp;RIGHT("00"&amp;$D627,2)&amp;"/"&amp;RIGHT("00"&amp;$E627,2)))</f>
        <v/>
      </c>
      <c r="G627">
        <f>IF(OR($A627="",$F627="",$F627="نامعتبر"),"",LEFT($F627,4)&amp;MID($F627,6,2)&amp;RIGHT($F627,2)&amp;"0000"&amp;"|"&amp;"1"&amp;RIGHT("00000"&amp;622,5))</f>
        <v/>
      </c>
      <c r="H627">
        <f>IF(OR($B627&lt;&gt;1,$G627=""),"",COUNTIFS(LdAParty,$A627,LdAType,1,LdAKey,"&lt;"&amp;$G627)+COUNTIFS(LdBMember,$A627,LdBKey,"&lt;"&amp;$G627)+COUNTIFS(LdCParty,$A627,LdCKey,"&lt;"&amp;$G627)+1)</f>
        <v/>
      </c>
      <c r="I627">
        <f>IF($H627="","",$A627&amp;"|"&amp;RIGHT("000000"&amp;$H627,6))</f>
        <v/>
      </c>
      <c r="J627">
        <f>IF(OR($B627&lt;&gt;2,$G627=""),"",COUNTIFS(LdAParty,$A627,LdAType,2,LdAKey,"&lt;"&amp;$G627)+1)</f>
        <v/>
      </c>
      <c r="K627">
        <f>IF($J627="","",$A627&amp;"|"&amp;RIGHT("000000"&amp;$J627,6))</f>
        <v/>
      </c>
      <c r="L627">
        <f>IF($A627="","",IF(Wages!$G630="",0,Wages!$G630))</f>
        <v/>
      </c>
      <c r="M627">
        <f>IF($A627="","",Wages!$J630)</f>
        <v/>
      </c>
      <c r="N627">
        <f>IF($A627="","",Wages!$D630)</f>
        <v/>
      </c>
      <c r="P627">
        <f>IF(OR(Shares!$B630="",Shares!$C630=""),"",Shares!$C630)</f>
        <v/>
      </c>
      <c r="Q627">
        <f>IF($P627="","",Shares!$B630)</f>
        <v/>
      </c>
      <c r="R627">
        <f>IF($P627="","",IFERROR(INDEX(WageParty,MATCH($Q627,WageIds,0)),""))</f>
        <v/>
      </c>
      <c r="S627">
        <f>IF($P627="","",IFERROR(INDEX($F$6:$F$2005,MATCH($Q627,WageIds,0)),""))</f>
        <v/>
      </c>
      <c r="T627">
        <f>IF(OR($P627="",$S627="",$S627="نامعتبر"),"",LEFT($S627,4)&amp;MID($S627,6,2)&amp;RIGHT($S627,2)&amp;"0000"&amp;"|"&amp;"2"&amp;RIGHT("00000"&amp;622,5))</f>
        <v/>
      </c>
      <c r="U627">
        <f>IF($T627="","",COUNTIFS(LdAParty,$P627,LdAType,1,LdAKey,"&lt;"&amp;$T627)+COUNTIFS(LdBMember,$P627,LdBKey,"&lt;"&amp;$T627)+COUNTIFS(LdCParty,$P627,LdCKey,"&lt;"&amp;$T627)+1)</f>
        <v/>
      </c>
      <c r="V627">
        <f>IF($U627="","",$P627&amp;"|"&amp;RIGHT("000000"&amp;$U627,6))</f>
        <v/>
      </c>
      <c r="W627">
        <f>IF($T627="","",COUNTIFS(LdBGroup,$R627,LdBKey,"&lt;"&amp;$T627)+1)</f>
        <v/>
      </c>
      <c r="X627">
        <f>IF($W627="","",$R627&amp;"|"&amp;RIGHT("000000"&amp;$W627,6))</f>
        <v/>
      </c>
      <c r="Y627">
        <f>IF($P627="","",IF(Shares!$E630="",0,Shares!$E630))</f>
        <v/>
      </c>
      <c r="Z627">
        <f>IF($P627="","",Shares!$H630)</f>
        <v/>
      </c>
      <c r="AE627">
        <f>IF(OR(Sync!$S627="",Sync!$P627=""),"",Sync!$S627)</f>
        <v/>
      </c>
      <c r="AF627">
        <f>IF($AE627="","",IF(ISNUMBER(Sync!$P627),IF(AND(Sync!$P627&gt;=10000101,Sync!$P627&lt;=99991231),INT(Sync!$P627/10000),""),IFERROR(VALUE(TRIM(LEFT(Sync!$P627,FIND("/",Sync!$P627)-1))),"")))</f>
        <v/>
      </c>
      <c r="AG627">
        <f>IF(OR($AE627="",$AF627=""),"",IF(ISNUMBER(Sync!$P627),INT(MOD(Sync!$P627,10000)/100),IFERROR(VALUE(TRIM(LEFT(MID(Sync!$P627,FIND("/",Sync!$P627)+1,20),FIND("/",MID(Sync!$P627,FIND("/",Sync!$P627)+1,20))-1))),"")))</f>
        <v/>
      </c>
      <c r="AH627">
        <f>IF(OR($AE627="",$AF627=""),"",IF(ISNUMBER(Sync!$P627),MOD(Sync!$P627,100),IFERROR(VALUE(TRIM(MID(MID(Sync!$P627,FIND("/",Sync!$P627)+1,20),FIND("/",MID(Sync!$P627,FIND("/",Sync!$P627)+1,20))+1,20))),"")))</f>
        <v/>
      </c>
      <c r="AI627">
        <f>IF($AE627="","",IF(OR($AF627="",$AG627="",$AH627="",$AF627&lt;1300,$AF627&gt;1500,$AG627&lt;1,$AG627&gt;12,$AH627&lt;1,$AH627&gt;31),"نامعتبر",RIGHT("0000"&amp;$AF627,4)&amp;"/"&amp;RIGHT("00"&amp;$AG627,2)&amp;"/"&amp;RIGHT("00"&amp;$AH627,2)))</f>
        <v/>
      </c>
      <c r="AJ627">
        <f>IF($AE627="","",IF(Sync!$Q627="","0000",IF(AND(ISNUMBER(Sync!$Q627),Sync!$Q627&gt;=0,Sync!$Q627&lt;1),RIGHT("00"&amp;HOUR(Sync!$Q627),2)&amp;RIGHT("00"&amp;MINUTE(Sync!$Q627),2),IFERROR(RIGHT("00"&amp;VALUE(LEFT(Sync!$Q627,FIND(":",Sync!$Q627)-1)),2)&amp;RIGHT("00"&amp;VALUE(MID(Sync!$Q627,FIND(":",Sync!$Q627)+1,2)),2),"0000"))))</f>
        <v/>
      </c>
      <c r="AK627">
        <f>IF(OR($AE627="",$AI627="",$AI627="نامعتبر"),"",LEFT($AI627,4)&amp;MID($AI627,6,2)&amp;RIGHT($AI627,2)&amp;$AJ627&amp;"|"&amp;"3"&amp;RIGHT("00000"&amp;622,5))</f>
        <v/>
      </c>
      <c r="AL627">
        <f>IF($AK627="","",COUNTIFS(LdAParty,$AE627,LdAType,1,LdAKey,"&lt;"&amp;$AK627)+COUNTIFS(LdBMember,$AE627,LdBKey,"&lt;"&amp;$AK627)+COUNTIFS(LdCParty,$AE627,LdCKey,"&lt;"&amp;$AK627)+1)</f>
        <v/>
      </c>
      <c r="AM627">
        <f>IF($AL627="","",$AE627&amp;"|"&amp;RIGHT("000000"&amp;$AL627,6))</f>
        <v/>
      </c>
      <c r="AN627">
        <f>IF($AE627="","",IF(Sync!$W627="",0,Sync!$W627))</f>
        <v/>
      </c>
      <c r="AO627">
        <f>IF($AE627="","",IF(Sync!$X627="",0,Sync!$X627))</f>
        <v/>
      </c>
      <c r="AP627">
        <f>IF($AE627="","",Sync!$R627)</f>
        <v/>
      </c>
      <c r="AQ627">
        <f>IF($AE627="","",Sync!$Y627)</f>
        <v/>
      </c>
    </row>
    <row r="628">
      <c r="A628">
        <f>IF(OR(Wages!$B631="",Wages!$E631=""),"",Wages!$E631)</f>
        <v/>
      </c>
      <c r="B628">
        <f>IF($A628="","",IF(Wages!$C631="دستمزد گروهی",2,1))</f>
        <v/>
      </c>
      <c r="C628">
        <f>IF($A628="","",IF(ISNUMBER(Wages!$B631),IF(AND(Wages!$B631&gt;=10000101,Wages!$B631&lt;=99991231),INT(Wages!$B631/10000),""),IFERROR(VALUE(TRIM(LEFT(Wages!$B631,FIND("/",Wages!$B631)-1))),"")))</f>
        <v/>
      </c>
      <c r="D628">
        <f>IF(OR($A628="",$C628=""),"",IF(ISNUMBER(Wages!$B631),INT(MOD(Wages!$B631,10000)/100),IFERROR(VALUE(TRIM(LEFT(MID(Wages!$B631,FIND("/",Wages!$B631)+1,20),FIND("/",MID(Wages!$B631,FIND("/",Wages!$B631)+1,20))-1))),"")))</f>
        <v/>
      </c>
      <c r="E628">
        <f>IF(OR($A628="",$C628=""),"",IF(ISNUMBER(Wages!$B631),MOD(Wages!$B631,100),IFERROR(VALUE(TRIM(MID(MID(Wages!$B631,FIND("/",Wages!$B631)+1,20),FIND("/",MID(Wages!$B631,FIND("/",Wages!$B631)+1,20))+1,20))),"")))</f>
        <v/>
      </c>
      <c r="F628">
        <f>IF($A628="","",IF(OR($C628="",$D628="",$E628="",$C628&lt;1300,$C628&gt;1500,$D628&lt;1,$D628&gt;12,$E628&lt;1,$E628&gt;31),"نامعتبر",RIGHT("0000"&amp;$C628,4)&amp;"/"&amp;RIGHT("00"&amp;$D628,2)&amp;"/"&amp;RIGHT("00"&amp;$E628,2)))</f>
        <v/>
      </c>
      <c r="G628">
        <f>IF(OR($A628="",$F628="",$F628="نامعتبر"),"",LEFT($F628,4)&amp;MID($F628,6,2)&amp;RIGHT($F628,2)&amp;"0000"&amp;"|"&amp;"1"&amp;RIGHT("00000"&amp;623,5))</f>
        <v/>
      </c>
      <c r="H628">
        <f>IF(OR($B628&lt;&gt;1,$G628=""),"",COUNTIFS(LdAParty,$A628,LdAType,1,LdAKey,"&lt;"&amp;$G628)+COUNTIFS(LdBMember,$A628,LdBKey,"&lt;"&amp;$G628)+COUNTIFS(LdCParty,$A628,LdCKey,"&lt;"&amp;$G628)+1)</f>
        <v/>
      </c>
      <c r="I628">
        <f>IF($H628="","",$A628&amp;"|"&amp;RIGHT("000000"&amp;$H628,6))</f>
        <v/>
      </c>
      <c r="J628">
        <f>IF(OR($B628&lt;&gt;2,$G628=""),"",COUNTIFS(LdAParty,$A628,LdAType,2,LdAKey,"&lt;"&amp;$G628)+1)</f>
        <v/>
      </c>
      <c r="K628">
        <f>IF($J628="","",$A628&amp;"|"&amp;RIGHT("000000"&amp;$J628,6))</f>
        <v/>
      </c>
      <c r="L628">
        <f>IF($A628="","",IF(Wages!$G631="",0,Wages!$G631))</f>
        <v/>
      </c>
      <c r="M628">
        <f>IF($A628="","",Wages!$J631)</f>
        <v/>
      </c>
      <c r="N628">
        <f>IF($A628="","",Wages!$D631)</f>
        <v/>
      </c>
      <c r="P628">
        <f>IF(OR(Shares!$B631="",Shares!$C631=""),"",Shares!$C631)</f>
        <v/>
      </c>
      <c r="Q628">
        <f>IF($P628="","",Shares!$B631)</f>
        <v/>
      </c>
      <c r="R628">
        <f>IF($P628="","",IFERROR(INDEX(WageParty,MATCH($Q628,WageIds,0)),""))</f>
        <v/>
      </c>
      <c r="S628">
        <f>IF($P628="","",IFERROR(INDEX($F$6:$F$2005,MATCH($Q628,WageIds,0)),""))</f>
        <v/>
      </c>
      <c r="T628">
        <f>IF(OR($P628="",$S628="",$S628="نامعتبر"),"",LEFT($S628,4)&amp;MID($S628,6,2)&amp;RIGHT($S628,2)&amp;"0000"&amp;"|"&amp;"2"&amp;RIGHT("00000"&amp;623,5))</f>
        <v/>
      </c>
      <c r="U628">
        <f>IF($T628="","",COUNTIFS(LdAParty,$P628,LdAType,1,LdAKey,"&lt;"&amp;$T628)+COUNTIFS(LdBMember,$P628,LdBKey,"&lt;"&amp;$T628)+COUNTIFS(LdCParty,$P628,LdCKey,"&lt;"&amp;$T628)+1)</f>
        <v/>
      </c>
      <c r="V628">
        <f>IF($U628="","",$P628&amp;"|"&amp;RIGHT("000000"&amp;$U628,6))</f>
        <v/>
      </c>
      <c r="W628">
        <f>IF($T628="","",COUNTIFS(LdBGroup,$R628,LdBKey,"&lt;"&amp;$T628)+1)</f>
        <v/>
      </c>
      <c r="X628">
        <f>IF($W628="","",$R628&amp;"|"&amp;RIGHT("000000"&amp;$W628,6))</f>
        <v/>
      </c>
      <c r="Y628">
        <f>IF($P628="","",IF(Shares!$E631="",0,Shares!$E631))</f>
        <v/>
      </c>
      <c r="Z628">
        <f>IF($P628="","",Shares!$H631)</f>
        <v/>
      </c>
      <c r="AE628">
        <f>IF(OR(Sync!$S628="",Sync!$P628=""),"",Sync!$S628)</f>
        <v/>
      </c>
      <c r="AF628">
        <f>IF($AE628="","",IF(ISNUMBER(Sync!$P628),IF(AND(Sync!$P628&gt;=10000101,Sync!$P628&lt;=99991231),INT(Sync!$P628/10000),""),IFERROR(VALUE(TRIM(LEFT(Sync!$P628,FIND("/",Sync!$P628)-1))),"")))</f>
        <v/>
      </c>
      <c r="AG628">
        <f>IF(OR($AE628="",$AF628=""),"",IF(ISNUMBER(Sync!$P628),INT(MOD(Sync!$P628,10000)/100),IFERROR(VALUE(TRIM(LEFT(MID(Sync!$P628,FIND("/",Sync!$P628)+1,20),FIND("/",MID(Sync!$P628,FIND("/",Sync!$P628)+1,20))-1))),"")))</f>
        <v/>
      </c>
      <c r="AH628">
        <f>IF(OR($AE628="",$AF628=""),"",IF(ISNUMBER(Sync!$P628),MOD(Sync!$P628,100),IFERROR(VALUE(TRIM(MID(MID(Sync!$P628,FIND("/",Sync!$P628)+1,20),FIND("/",MID(Sync!$P628,FIND("/",Sync!$P628)+1,20))+1,20))),"")))</f>
        <v/>
      </c>
      <c r="AI628">
        <f>IF($AE628="","",IF(OR($AF628="",$AG628="",$AH628="",$AF628&lt;1300,$AF628&gt;1500,$AG628&lt;1,$AG628&gt;12,$AH628&lt;1,$AH628&gt;31),"نامعتبر",RIGHT("0000"&amp;$AF628,4)&amp;"/"&amp;RIGHT("00"&amp;$AG628,2)&amp;"/"&amp;RIGHT("00"&amp;$AH628,2)))</f>
        <v/>
      </c>
      <c r="AJ628">
        <f>IF($AE628="","",IF(Sync!$Q628="","0000",IF(AND(ISNUMBER(Sync!$Q628),Sync!$Q628&gt;=0,Sync!$Q628&lt;1),RIGHT("00"&amp;HOUR(Sync!$Q628),2)&amp;RIGHT("00"&amp;MINUTE(Sync!$Q628),2),IFERROR(RIGHT("00"&amp;VALUE(LEFT(Sync!$Q628,FIND(":",Sync!$Q628)-1)),2)&amp;RIGHT("00"&amp;VALUE(MID(Sync!$Q628,FIND(":",Sync!$Q628)+1,2)),2),"0000"))))</f>
        <v/>
      </c>
      <c r="AK628">
        <f>IF(OR($AE628="",$AI628="",$AI628="نامعتبر"),"",LEFT($AI628,4)&amp;MID($AI628,6,2)&amp;RIGHT($AI628,2)&amp;$AJ628&amp;"|"&amp;"3"&amp;RIGHT("00000"&amp;623,5))</f>
        <v/>
      </c>
      <c r="AL628">
        <f>IF($AK628="","",COUNTIFS(LdAParty,$AE628,LdAType,1,LdAKey,"&lt;"&amp;$AK628)+COUNTIFS(LdBMember,$AE628,LdBKey,"&lt;"&amp;$AK628)+COUNTIFS(LdCParty,$AE628,LdCKey,"&lt;"&amp;$AK628)+1)</f>
        <v/>
      </c>
      <c r="AM628">
        <f>IF($AL628="","",$AE628&amp;"|"&amp;RIGHT("000000"&amp;$AL628,6))</f>
        <v/>
      </c>
      <c r="AN628">
        <f>IF($AE628="","",IF(Sync!$W628="",0,Sync!$W628))</f>
        <v/>
      </c>
      <c r="AO628">
        <f>IF($AE628="","",IF(Sync!$X628="",0,Sync!$X628))</f>
        <v/>
      </c>
      <c r="AP628">
        <f>IF($AE628="","",Sync!$R628)</f>
        <v/>
      </c>
      <c r="AQ628">
        <f>IF($AE628="","",Sync!$Y628)</f>
        <v/>
      </c>
    </row>
    <row r="629">
      <c r="A629">
        <f>IF(OR(Wages!$B632="",Wages!$E632=""),"",Wages!$E632)</f>
        <v/>
      </c>
      <c r="B629">
        <f>IF($A629="","",IF(Wages!$C632="دستمزد گروهی",2,1))</f>
        <v/>
      </c>
      <c r="C629">
        <f>IF($A629="","",IF(ISNUMBER(Wages!$B632),IF(AND(Wages!$B632&gt;=10000101,Wages!$B632&lt;=99991231),INT(Wages!$B632/10000),""),IFERROR(VALUE(TRIM(LEFT(Wages!$B632,FIND("/",Wages!$B632)-1))),"")))</f>
        <v/>
      </c>
      <c r="D629">
        <f>IF(OR($A629="",$C629=""),"",IF(ISNUMBER(Wages!$B632),INT(MOD(Wages!$B632,10000)/100),IFERROR(VALUE(TRIM(LEFT(MID(Wages!$B632,FIND("/",Wages!$B632)+1,20),FIND("/",MID(Wages!$B632,FIND("/",Wages!$B632)+1,20))-1))),"")))</f>
        <v/>
      </c>
      <c r="E629">
        <f>IF(OR($A629="",$C629=""),"",IF(ISNUMBER(Wages!$B632),MOD(Wages!$B632,100),IFERROR(VALUE(TRIM(MID(MID(Wages!$B632,FIND("/",Wages!$B632)+1,20),FIND("/",MID(Wages!$B632,FIND("/",Wages!$B632)+1,20))+1,20))),"")))</f>
        <v/>
      </c>
      <c r="F629">
        <f>IF($A629="","",IF(OR($C629="",$D629="",$E629="",$C629&lt;1300,$C629&gt;1500,$D629&lt;1,$D629&gt;12,$E629&lt;1,$E629&gt;31),"نامعتبر",RIGHT("0000"&amp;$C629,4)&amp;"/"&amp;RIGHT("00"&amp;$D629,2)&amp;"/"&amp;RIGHT("00"&amp;$E629,2)))</f>
        <v/>
      </c>
      <c r="G629">
        <f>IF(OR($A629="",$F629="",$F629="نامعتبر"),"",LEFT($F629,4)&amp;MID($F629,6,2)&amp;RIGHT($F629,2)&amp;"0000"&amp;"|"&amp;"1"&amp;RIGHT("00000"&amp;624,5))</f>
        <v/>
      </c>
      <c r="H629">
        <f>IF(OR($B629&lt;&gt;1,$G629=""),"",COUNTIFS(LdAParty,$A629,LdAType,1,LdAKey,"&lt;"&amp;$G629)+COUNTIFS(LdBMember,$A629,LdBKey,"&lt;"&amp;$G629)+COUNTIFS(LdCParty,$A629,LdCKey,"&lt;"&amp;$G629)+1)</f>
        <v/>
      </c>
      <c r="I629">
        <f>IF($H629="","",$A629&amp;"|"&amp;RIGHT("000000"&amp;$H629,6))</f>
        <v/>
      </c>
      <c r="J629">
        <f>IF(OR($B629&lt;&gt;2,$G629=""),"",COUNTIFS(LdAParty,$A629,LdAType,2,LdAKey,"&lt;"&amp;$G629)+1)</f>
        <v/>
      </c>
      <c r="K629">
        <f>IF($J629="","",$A629&amp;"|"&amp;RIGHT("000000"&amp;$J629,6))</f>
        <v/>
      </c>
      <c r="L629">
        <f>IF($A629="","",IF(Wages!$G632="",0,Wages!$G632))</f>
        <v/>
      </c>
      <c r="M629">
        <f>IF($A629="","",Wages!$J632)</f>
        <v/>
      </c>
      <c r="N629">
        <f>IF($A629="","",Wages!$D632)</f>
        <v/>
      </c>
      <c r="P629">
        <f>IF(OR(Shares!$B632="",Shares!$C632=""),"",Shares!$C632)</f>
        <v/>
      </c>
      <c r="Q629">
        <f>IF($P629="","",Shares!$B632)</f>
        <v/>
      </c>
      <c r="R629">
        <f>IF($P629="","",IFERROR(INDEX(WageParty,MATCH($Q629,WageIds,0)),""))</f>
        <v/>
      </c>
      <c r="S629">
        <f>IF($P629="","",IFERROR(INDEX($F$6:$F$2005,MATCH($Q629,WageIds,0)),""))</f>
        <v/>
      </c>
      <c r="T629">
        <f>IF(OR($P629="",$S629="",$S629="نامعتبر"),"",LEFT($S629,4)&amp;MID($S629,6,2)&amp;RIGHT($S629,2)&amp;"0000"&amp;"|"&amp;"2"&amp;RIGHT("00000"&amp;624,5))</f>
        <v/>
      </c>
      <c r="U629">
        <f>IF($T629="","",COUNTIFS(LdAParty,$P629,LdAType,1,LdAKey,"&lt;"&amp;$T629)+COUNTIFS(LdBMember,$P629,LdBKey,"&lt;"&amp;$T629)+COUNTIFS(LdCParty,$P629,LdCKey,"&lt;"&amp;$T629)+1)</f>
        <v/>
      </c>
      <c r="V629">
        <f>IF($U629="","",$P629&amp;"|"&amp;RIGHT("000000"&amp;$U629,6))</f>
        <v/>
      </c>
      <c r="W629">
        <f>IF($T629="","",COUNTIFS(LdBGroup,$R629,LdBKey,"&lt;"&amp;$T629)+1)</f>
        <v/>
      </c>
      <c r="X629">
        <f>IF($W629="","",$R629&amp;"|"&amp;RIGHT("000000"&amp;$W629,6))</f>
        <v/>
      </c>
      <c r="Y629">
        <f>IF($P629="","",IF(Shares!$E632="",0,Shares!$E632))</f>
        <v/>
      </c>
      <c r="Z629">
        <f>IF($P629="","",Shares!$H632)</f>
        <v/>
      </c>
      <c r="AE629">
        <f>IF(OR(Sync!$S629="",Sync!$P629=""),"",Sync!$S629)</f>
        <v/>
      </c>
      <c r="AF629">
        <f>IF($AE629="","",IF(ISNUMBER(Sync!$P629),IF(AND(Sync!$P629&gt;=10000101,Sync!$P629&lt;=99991231),INT(Sync!$P629/10000),""),IFERROR(VALUE(TRIM(LEFT(Sync!$P629,FIND("/",Sync!$P629)-1))),"")))</f>
        <v/>
      </c>
      <c r="AG629">
        <f>IF(OR($AE629="",$AF629=""),"",IF(ISNUMBER(Sync!$P629),INT(MOD(Sync!$P629,10000)/100),IFERROR(VALUE(TRIM(LEFT(MID(Sync!$P629,FIND("/",Sync!$P629)+1,20),FIND("/",MID(Sync!$P629,FIND("/",Sync!$P629)+1,20))-1))),"")))</f>
        <v/>
      </c>
      <c r="AH629">
        <f>IF(OR($AE629="",$AF629=""),"",IF(ISNUMBER(Sync!$P629),MOD(Sync!$P629,100),IFERROR(VALUE(TRIM(MID(MID(Sync!$P629,FIND("/",Sync!$P629)+1,20),FIND("/",MID(Sync!$P629,FIND("/",Sync!$P629)+1,20))+1,20))),"")))</f>
        <v/>
      </c>
      <c r="AI629">
        <f>IF($AE629="","",IF(OR($AF629="",$AG629="",$AH629="",$AF629&lt;1300,$AF629&gt;1500,$AG629&lt;1,$AG629&gt;12,$AH629&lt;1,$AH629&gt;31),"نامعتبر",RIGHT("0000"&amp;$AF629,4)&amp;"/"&amp;RIGHT("00"&amp;$AG629,2)&amp;"/"&amp;RIGHT("00"&amp;$AH629,2)))</f>
        <v/>
      </c>
      <c r="AJ629">
        <f>IF($AE629="","",IF(Sync!$Q629="","0000",IF(AND(ISNUMBER(Sync!$Q629),Sync!$Q629&gt;=0,Sync!$Q629&lt;1),RIGHT("00"&amp;HOUR(Sync!$Q629),2)&amp;RIGHT("00"&amp;MINUTE(Sync!$Q629),2),IFERROR(RIGHT("00"&amp;VALUE(LEFT(Sync!$Q629,FIND(":",Sync!$Q629)-1)),2)&amp;RIGHT("00"&amp;VALUE(MID(Sync!$Q629,FIND(":",Sync!$Q629)+1,2)),2),"0000"))))</f>
        <v/>
      </c>
      <c r="AK629">
        <f>IF(OR($AE629="",$AI629="",$AI629="نامعتبر"),"",LEFT($AI629,4)&amp;MID($AI629,6,2)&amp;RIGHT($AI629,2)&amp;$AJ629&amp;"|"&amp;"3"&amp;RIGHT("00000"&amp;624,5))</f>
        <v/>
      </c>
      <c r="AL629">
        <f>IF($AK629="","",COUNTIFS(LdAParty,$AE629,LdAType,1,LdAKey,"&lt;"&amp;$AK629)+COUNTIFS(LdBMember,$AE629,LdBKey,"&lt;"&amp;$AK629)+COUNTIFS(LdCParty,$AE629,LdCKey,"&lt;"&amp;$AK629)+1)</f>
        <v/>
      </c>
      <c r="AM629">
        <f>IF($AL629="","",$AE629&amp;"|"&amp;RIGHT("000000"&amp;$AL629,6))</f>
        <v/>
      </c>
      <c r="AN629">
        <f>IF($AE629="","",IF(Sync!$W629="",0,Sync!$W629))</f>
        <v/>
      </c>
      <c r="AO629">
        <f>IF($AE629="","",IF(Sync!$X629="",0,Sync!$X629))</f>
        <v/>
      </c>
      <c r="AP629">
        <f>IF($AE629="","",Sync!$R629)</f>
        <v/>
      </c>
      <c r="AQ629">
        <f>IF($AE629="","",Sync!$Y629)</f>
        <v/>
      </c>
    </row>
    <row r="630">
      <c r="A630">
        <f>IF(OR(Wages!$B633="",Wages!$E633=""),"",Wages!$E633)</f>
        <v/>
      </c>
      <c r="B630">
        <f>IF($A630="","",IF(Wages!$C633="دستمزد گروهی",2,1))</f>
        <v/>
      </c>
      <c r="C630">
        <f>IF($A630="","",IF(ISNUMBER(Wages!$B633),IF(AND(Wages!$B633&gt;=10000101,Wages!$B633&lt;=99991231),INT(Wages!$B633/10000),""),IFERROR(VALUE(TRIM(LEFT(Wages!$B633,FIND("/",Wages!$B633)-1))),"")))</f>
        <v/>
      </c>
      <c r="D630">
        <f>IF(OR($A630="",$C630=""),"",IF(ISNUMBER(Wages!$B633),INT(MOD(Wages!$B633,10000)/100),IFERROR(VALUE(TRIM(LEFT(MID(Wages!$B633,FIND("/",Wages!$B633)+1,20),FIND("/",MID(Wages!$B633,FIND("/",Wages!$B633)+1,20))-1))),"")))</f>
        <v/>
      </c>
      <c r="E630">
        <f>IF(OR($A630="",$C630=""),"",IF(ISNUMBER(Wages!$B633),MOD(Wages!$B633,100),IFERROR(VALUE(TRIM(MID(MID(Wages!$B633,FIND("/",Wages!$B633)+1,20),FIND("/",MID(Wages!$B633,FIND("/",Wages!$B633)+1,20))+1,20))),"")))</f>
        <v/>
      </c>
      <c r="F630">
        <f>IF($A630="","",IF(OR($C630="",$D630="",$E630="",$C630&lt;1300,$C630&gt;1500,$D630&lt;1,$D630&gt;12,$E630&lt;1,$E630&gt;31),"نامعتبر",RIGHT("0000"&amp;$C630,4)&amp;"/"&amp;RIGHT("00"&amp;$D630,2)&amp;"/"&amp;RIGHT("00"&amp;$E630,2)))</f>
        <v/>
      </c>
      <c r="G630">
        <f>IF(OR($A630="",$F630="",$F630="نامعتبر"),"",LEFT($F630,4)&amp;MID($F630,6,2)&amp;RIGHT($F630,2)&amp;"0000"&amp;"|"&amp;"1"&amp;RIGHT("00000"&amp;625,5))</f>
        <v/>
      </c>
      <c r="H630">
        <f>IF(OR($B630&lt;&gt;1,$G630=""),"",COUNTIFS(LdAParty,$A630,LdAType,1,LdAKey,"&lt;"&amp;$G630)+COUNTIFS(LdBMember,$A630,LdBKey,"&lt;"&amp;$G630)+COUNTIFS(LdCParty,$A630,LdCKey,"&lt;"&amp;$G630)+1)</f>
        <v/>
      </c>
      <c r="I630">
        <f>IF($H630="","",$A630&amp;"|"&amp;RIGHT("000000"&amp;$H630,6))</f>
        <v/>
      </c>
      <c r="J630">
        <f>IF(OR($B630&lt;&gt;2,$G630=""),"",COUNTIFS(LdAParty,$A630,LdAType,2,LdAKey,"&lt;"&amp;$G630)+1)</f>
        <v/>
      </c>
      <c r="K630">
        <f>IF($J630="","",$A630&amp;"|"&amp;RIGHT("000000"&amp;$J630,6))</f>
        <v/>
      </c>
      <c r="L630">
        <f>IF($A630="","",IF(Wages!$G633="",0,Wages!$G633))</f>
        <v/>
      </c>
      <c r="M630">
        <f>IF($A630="","",Wages!$J633)</f>
        <v/>
      </c>
      <c r="N630">
        <f>IF($A630="","",Wages!$D633)</f>
        <v/>
      </c>
      <c r="P630">
        <f>IF(OR(Shares!$B633="",Shares!$C633=""),"",Shares!$C633)</f>
        <v/>
      </c>
      <c r="Q630">
        <f>IF($P630="","",Shares!$B633)</f>
        <v/>
      </c>
      <c r="R630">
        <f>IF($P630="","",IFERROR(INDEX(WageParty,MATCH($Q630,WageIds,0)),""))</f>
        <v/>
      </c>
      <c r="S630">
        <f>IF($P630="","",IFERROR(INDEX($F$6:$F$2005,MATCH($Q630,WageIds,0)),""))</f>
        <v/>
      </c>
      <c r="T630">
        <f>IF(OR($P630="",$S630="",$S630="نامعتبر"),"",LEFT($S630,4)&amp;MID($S630,6,2)&amp;RIGHT($S630,2)&amp;"0000"&amp;"|"&amp;"2"&amp;RIGHT("00000"&amp;625,5))</f>
        <v/>
      </c>
      <c r="U630">
        <f>IF($T630="","",COUNTIFS(LdAParty,$P630,LdAType,1,LdAKey,"&lt;"&amp;$T630)+COUNTIFS(LdBMember,$P630,LdBKey,"&lt;"&amp;$T630)+COUNTIFS(LdCParty,$P630,LdCKey,"&lt;"&amp;$T630)+1)</f>
        <v/>
      </c>
      <c r="V630">
        <f>IF($U630="","",$P630&amp;"|"&amp;RIGHT("000000"&amp;$U630,6))</f>
        <v/>
      </c>
      <c r="W630">
        <f>IF($T630="","",COUNTIFS(LdBGroup,$R630,LdBKey,"&lt;"&amp;$T630)+1)</f>
        <v/>
      </c>
      <c r="X630">
        <f>IF($W630="","",$R630&amp;"|"&amp;RIGHT("000000"&amp;$W630,6))</f>
        <v/>
      </c>
      <c r="Y630">
        <f>IF($P630="","",IF(Shares!$E633="",0,Shares!$E633))</f>
        <v/>
      </c>
      <c r="Z630">
        <f>IF($P630="","",Shares!$H633)</f>
        <v/>
      </c>
      <c r="AE630">
        <f>IF(OR(Sync!$S630="",Sync!$P630=""),"",Sync!$S630)</f>
        <v/>
      </c>
      <c r="AF630">
        <f>IF($AE630="","",IF(ISNUMBER(Sync!$P630),IF(AND(Sync!$P630&gt;=10000101,Sync!$P630&lt;=99991231),INT(Sync!$P630/10000),""),IFERROR(VALUE(TRIM(LEFT(Sync!$P630,FIND("/",Sync!$P630)-1))),"")))</f>
        <v/>
      </c>
      <c r="AG630">
        <f>IF(OR($AE630="",$AF630=""),"",IF(ISNUMBER(Sync!$P630),INT(MOD(Sync!$P630,10000)/100),IFERROR(VALUE(TRIM(LEFT(MID(Sync!$P630,FIND("/",Sync!$P630)+1,20),FIND("/",MID(Sync!$P630,FIND("/",Sync!$P630)+1,20))-1))),"")))</f>
        <v/>
      </c>
      <c r="AH630">
        <f>IF(OR($AE630="",$AF630=""),"",IF(ISNUMBER(Sync!$P630),MOD(Sync!$P630,100),IFERROR(VALUE(TRIM(MID(MID(Sync!$P630,FIND("/",Sync!$P630)+1,20),FIND("/",MID(Sync!$P630,FIND("/",Sync!$P630)+1,20))+1,20))),"")))</f>
        <v/>
      </c>
      <c r="AI630">
        <f>IF($AE630="","",IF(OR($AF630="",$AG630="",$AH630="",$AF630&lt;1300,$AF630&gt;1500,$AG630&lt;1,$AG630&gt;12,$AH630&lt;1,$AH630&gt;31),"نامعتبر",RIGHT("0000"&amp;$AF630,4)&amp;"/"&amp;RIGHT("00"&amp;$AG630,2)&amp;"/"&amp;RIGHT("00"&amp;$AH630,2)))</f>
        <v/>
      </c>
      <c r="AJ630">
        <f>IF($AE630="","",IF(Sync!$Q630="","0000",IF(AND(ISNUMBER(Sync!$Q630),Sync!$Q630&gt;=0,Sync!$Q630&lt;1),RIGHT("00"&amp;HOUR(Sync!$Q630),2)&amp;RIGHT("00"&amp;MINUTE(Sync!$Q630),2),IFERROR(RIGHT("00"&amp;VALUE(LEFT(Sync!$Q630,FIND(":",Sync!$Q630)-1)),2)&amp;RIGHT("00"&amp;VALUE(MID(Sync!$Q630,FIND(":",Sync!$Q630)+1,2)),2),"0000"))))</f>
        <v/>
      </c>
      <c r="AK630">
        <f>IF(OR($AE630="",$AI630="",$AI630="نامعتبر"),"",LEFT($AI630,4)&amp;MID($AI630,6,2)&amp;RIGHT($AI630,2)&amp;$AJ630&amp;"|"&amp;"3"&amp;RIGHT("00000"&amp;625,5))</f>
        <v/>
      </c>
      <c r="AL630">
        <f>IF($AK630="","",COUNTIFS(LdAParty,$AE630,LdAType,1,LdAKey,"&lt;"&amp;$AK630)+COUNTIFS(LdBMember,$AE630,LdBKey,"&lt;"&amp;$AK630)+COUNTIFS(LdCParty,$AE630,LdCKey,"&lt;"&amp;$AK630)+1)</f>
        <v/>
      </c>
      <c r="AM630">
        <f>IF($AL630="","",$AE630&amp;"|"&amp;RIGHT("000000"&amp;$AL630,6))</f>
        <v/>
      </c>
      <c r="AN630">
        <f>IF($AE630="","",IF(Sync!$W630="",0,Sync!$W630))</f>
        <v/>
      </c>
      <c r="AO630">
        <f>IF($AE630="","",IF(Sync!$X630="",0,Sync!$X630))</f>
        <v/>
      </c>
      <c r="AP630">
        <f>IF($AE630="","",Sync!$R630)</f>
        <v/>
      </c>
      <c r="AQ630">
        <f>IF($AE630="","",Sync!$Y630)</f>
        <v/>
      </c>
    </row>
    <row r="631">
      <c r="A631">
        <f>IF(OR(Wages!$B634="",Wages!$E634=""),"",Wages!$E634)</f>
        <v/>
      </c>
      <c r="B631">
        <f>IF($A631="","",IF(Wages!$C634="دستمزد گروهی",2,1))</f>
        <v/>
      </c>
      <c r="C631">
        <f>IF($A631="","",IF(ISNUMBER(Wages!$B634),IF(AND(Wages!$B634&gt;=10000101,Wages!$B634&lt;=99991231),INT(Wages!$B634/10000),""),IFERROR(VALUE(TRIM(LEFT(Wages!$B634,FIND("/",Wages!$B634)-1))),"")))</f>
        <v/>
      </c>
      <c r="D631">
        <f>IF(OR($A631="",$C631=""),"",IF(ISNUMBER(Wages!$B634),INT(MOD(Wages!$B634,10000)/100),IFERROR(VALUE(TRIM(LEFT(MID(Wages!$B634,FIND("/",Wages!$B634)+1,20),FIND("/",MID(Wages!$B634,FIND("/",Wages!$B634)+1,20))-1))),"")))</f>
        <v/>
      </c>
      <c r="E631">
        <f>IF(OR($A631="",$C631=""),"",IF(ISNUMBER(Wages!$B634),MOD(Wages!$B634,100),IFERROR(VALUE(TRIM(MID(MID(Wages!$B634,FIND("/",Wages!$B634)+1,20),FIND("/",MID(Wages!$B634,FIND("/",Wages!$B634)+1,20))+1,20))),"")))</f>
        <v/>
      </c>
      <c r="F631">
        <f>IF($A631="","",IF(OR($C631="",$D631="",$E631="",$C631&lt;1300,$C631&gt;1500,$D631&lt;1,$D631&gt;12,$E631&lt;1,$E631&gt;31),"نامعتبر",RIGHT("0000"&amp;$C631,4)&amp;"/"&amp;RIGHT("00"&amp;$D631,2)&amp;"/"&amp;RIGHT("00"&amp;$E631,2)))</f>
        <v/>
      </c>
      <c r="G631">
        <f>IF(OR($A631="",$F631="",$F631="نامعتبر"),"",LEFT($F631,4)&amp;MID($F631,6,2)&amp;RIGHT($F631,2)&amp;"0000"&amp;"|"&amp;"1"&amp;RIGHT("00000"&amp;626,5))</f>
        <v/>
      </c>
      <c r="H631">
        <f>IF(OR($B631&lt;&gt;1,$G631=""),"",COUNTIFS(LdAParty,$A631,LdAType,1,LdAKey,"&lt;"&amp;$G631)+COUNTIFS(LdBMember,$A631,LdBKey,"&lt;"&amp;$G631)+COUNTIFS(LdCParty,$A631,LdCKey,"&lt;"&amp;$G631)+1)</f>
        <v/>
      </c>
      <c r="I631">
        <f>IF($H631="","",$A631&amp;"|"&amp;RIGHT("000000"&amp;$H631,6))</f>
        <v/>
      </c>
      <c r="J631">
        <f>IF(OR($B631&lt;&gt;2,$G631=""),"",COUNTIFS(LdAParty,$A631,LdAType,2,LdAKey,"&lt;"&amp;$G631)+1)</f>
        <v/>
      </c>
      <c r="K631">
        <f>IF($J631="","",$A631&amp;"|"&amp;RIGHT("000000"&amp;$J631,6))</f>
        <v/>
      </c>
      <c r="L631">
        <f>IF($A631="","",IF(Wages!$G634="",0,Wages!$G634))</f>
        <v/>
      </c>
      <c r="M631">
        <f>IF($A631="","",Wages!$J634)</f>
        <v/>
      </c>
      <c r="N631">
        <f>IF($A631="","",Wages!$D634)</f>
        <v/>
      </c>
      <c r="P631">
        <f>IF(OR(Shares!$B634="",Shares!$C634=""),"",Shares!$C634)</f>
        <v/>
      </c>
      <c r="Q631">
        <f>IF($P631="","",Shares!$B634)</f>
        <v/>
      </c>
      <c r="R631">
        <f>IF($P631="","",IFERROR(INDEX(WageParty,MATCH($Q631,WageIds,0)),""))</f>
        <v/>
      </c>
      <c r="S631">
        <f>IF($P631="","",IFERROR(INDEX($F$6:$F$2005,MATCH($Q631,WageIds,0)),""))</f>
        <v/>
      </c>
      <c r="T631">
        <f>IF(OR($P631="",$S631="",$S631="نامعتبر"),"",LEFT($S631,4)&amp;MID($S631,6,2)&amp;RIGHT($S631,2)&amp;"0000"&amp;"|"&amp;"2"&amp;RIGHT("00000"&amp;626,5))</f>
        <v/>
      </c>
      <c r="U631">
        <f>IF($T631="","",COUNTIFS(LdAParty,$P631,LdAType,1,LdAKey,"&lt;"&amp;$T631)+COUNTIFS(LdBMember,$P631,LdBKey,"&lt;"&amp;$T631)+COUNTIFS(LdCParty,$P631,LdCKey,"&lt;"&amp;$T631)+1)</f>
        <v/>
      </c>
      <c r="V631">
        <f>IF($U631="","",$P631&amp;"|"&amp;RIGHT("000000"&amp;$U631,6))</f>
        <v/>
      </c>
      <c r="W631">
        <f>IF($T631="","",COUNTIFS(LdBGroup,$R631,LdBKey,"&lt;"&amp;$T631)+1)</f>
        <v/>
      </c>
      <c r="X631">
        <f>IF($W631="","",$R631&amp;"|"&amp;RIGHT("000000"&amp;$W631,6))</f>
        <v/>
      </c>
      <c r="Y631">
        <f>IF($P631="","",IF(Shares!$E634="",0,Shares!$E634))</f>
        <v/>
      </c>
      <c r="Z631">
        <f>IF($P631="","",Shares!$H634)</f>
        <v/>
      </c>
      <c r="AE631">
        <f>IF(OR(Sync!$S631="",Sync!$P631=""),"",Sync!$S631)</f>
        <v/>
      </c>
      <c r="AF631">
        <f>IF($AE631="","",IF(ISNUMBER(Sync!$P631),IF(AND(Sync!$P631&gt;=10000101,Sync!$P631&lt;=99991231),INT(Sync!$P631/10000),""),IFERROR(VALUE(TRIM(LEFT(Sync!$P631,FIND("/",Sync!$P631)-1))),"")))</f>
        <v/>
      </c>
      <c r="AG631">
        <f>IF(OR($AE631="",$AF631=""),"",IF(ISNUMBER(Sync!$P631),INT(MOD(Sync!$P631,10000)/100),IFERROR(VALUE(TRIM(LEFT(MID(Sync!$P631,FIND("/",Sync!$P631)+1,20),FIND("/",MID(Sync!$P631,FIND("/",Sync!$P631)+1,20))-1))),"")))</f>
        <v/>
      </c>
      <c r="AH631">
        <f>IF(OR($AE631="",$AF631=""),"",IF(ISNUMBER(Sync!$P631),MOD(Sync!$P631,100),IFERROR(VALUE(TRIM(MID(MID(Sync!$P631,FIND("/",Sync!$P631)+1,20),FIND("/",MID(Sync!$P631,FIND("/",Sync!$P631)+1,20))+1,20))),"")))</f>
        <v/>
      </c>
      <c r="AI631">
        <f>IF($AE631="","",IF(OR($AF631="",$AG631="",$AH631="",$AF631&lt;1300,$AF631&gt;1500,$AG631&lt;1,$AG631&gt;12,$AH631&lt;1,$AH631&gt;31),"نامعتبر",RIGHT("0000"&amp;$AF631,4)&amp;"/"&amp;RIGHT("00"&amp;$AG631,2)&amp;"/"&amp;RIGHT("00"&amp;$AH631,2)))</f>
        <v/>
      </c>
      <c r="AJ631">
        <f>IF($AE631="","",IF(Sync!$Q631="","0000",IF(AND(ISNUMBER(Sync!$Q631),Sync!$Q631&gt;=0,Sync!$Q631&lt;1),RIGHT("00"&amp;HOUR(Sync!$Q631),2)&amp;RIGHT("00"&amp;MINUTE(Sync!$Q631),2),IFERROR(RIGHT("00"&amp;VALUE(LEFT(Sync!$Q631,FIND(":",Sync!$Q631)-1)),2)&amp;RIGHT("00"&amp;VALUE(MID(Sync!$Q631,FIND(":",Sync!$Q631)+1,2)),2),"0000"))))</f>
        <v/>
      </c>
      <c r="AK631">
        <f>IF(OR($AE631="",$AI631="",$AI631="نامعتبر"),"",LEFT($AI631,4)&amp;MID($AI631,6,2)&amp;RIGHT($AI631,2)&amp;$AJ631&amp;"|"&amp;"3"&amp;RIGHT("00000"&amp;626,5))</f>
        <v/>
      </c>
      <c r="AL631">
        <f>IF($AK631="","",COUNTIFS(LdAParty,$AE631,LdAType,1,LdAKey,"&lt;"&amp;$AK631)+COUNTIFS(LdBMember,$AE631,LdBKey,"&lt;"&amp;$AK631)+COUNTIFS(LdCParty,$AE631,LdCKey,"&lt;"&amp;$AK631)+1)</f>
        <v/>
      </c>
      <c r="AM631">
        <f>IF($AL631="","",$AE631&amp;"|"&amp;RIGHT("000000"&amp;$AL631,6))</f>
        <v/>
      </c>
      <c r="AN631">
        <f>IF($AE631="","",IF(Sync!$W631="",0,Sync!$W631))</f>
        <v/>
      </c>
      <c r="AO631">
        <f>IF($AE631="","",IF(Sync!$X631="",0,Sync!$X631))</f>
        <v/>
      </c>
      <c r="AP631">
        <f>IF($AE631="","",Sync!$R631)</f>
        <v/>
      </c>
      <c r="AQ631">
        <f>IF($AE631="","",Sync!$Y631)</f>
        <v/>
      </c>
    </row>
    <row r="632">
      <c r="A632">
        <f>IF(OR(Wages!$B635="",Wages!$E635=""),"",Wages!$E635)</f>
        <v/>
      </c>
      <c r="B632">
        <f>IF($A632="","",IF(Wages!$C635="دستمزد گروهی",2,1))</f>
        <v/>
      </c>
      <c r="C632">
        <f>IF($A632="","",IF(ISNUMBER(Wages!$B635),IF(AND(Wages!$B635&gt;=10000101,Wages!$B635&lt;=99991231),INT(Wages!$B635/10000),""),IFERROR(VALUE(TRIM(LEFT(Wages!$B635,FIND("/",Wages!$B635)-1))),"")))</f>
        <v/>
      </c>
      <c r="D632">
        <f>IF(OR($A632="",$C632=""),"",IF(ISNUMBER(Wages!$B635),INT(MOD(Wages!$B635,10000)/100),IFERROR(VALUE(TRIM(LEFT(MID(Wages!$B635,FIND("/",Wages!$B635)+1,20),FIND("/",MID(Wages!$B635,FIND("/",Wages!$B635)+1,20))-1))),"")))</f>
        <v/>
      </c>
      <c r="E632">
        <f>IF(OR($A632="",$C632=""),"",IF(ISNUMBER(Wages!$B635),MOD(Wages!$B635,100),IFERROR(VALUE(TRIM(MID(MID(Wages!$B635,FIND("/",Wages!$B635)+1,20),FIND("/",MID(Wages!$B635,FIND("/",Wages!$B635)+1,20))+1,20))),"")))</f>
        <v/>
      </c>
      <c r="F632">
        <f>IF($A632="","",IF(OR($C632="",$D632="",$E632="",$C632&lt;1300,$C632&gt;1500,$D632&lt;1,$D632&gt;12,$E632&lt;1,$E632&gt;31),"نامعتبر",RIGHT("0000"&amp;$C632,4)&amp;"/"&amp;RIGHT("00"&amp;$D632,2)&amp;"/"&amp;RIGHT("00"&amp;$E632,2)))</f>
        <v/>
      </c>
      <c r="G632">
        <f>IF(OR($A632="",$F632="",$F632="نامعتبر"),"",LEFT($F632,4)&amp;MID($F632,6,2)&amp;RIGHT($F632,2)&amp;"0000"&amp;"|"&amp;"1"&amp;RIGHT("00000"&amp;627,5))</f>
        <v/>
      </c>
      <c r="H632">
        <f>IF(OR($B632&lt;&gt;1,$G632=""),"",COUNTIFS(LdAParty,$A632,LdAType,1,LdAKey,"&lt;"&amp;$G632)+COUNTIFS(LdBMember,$A632,LdBKey,"&lt;"&amp;$G632)+COUNTIFS(LdCParty,$A632,LdCKey,"&lt;"&amp;$G632)+1)</f>
        <v/>
      </c>
      <c r="I632">
        <f>IF($H632="","",$A632&amp;"|"&amp;RIGHT("000000"&amp;$H632,6))</f>
        <v/>
      </c>
      <c r="J632">
        <f>IF(OR($B632&lt;&gt;2,$G632=""),"",COUNTIFS(LdAParty,$A632,LdAType,2,LdAKey,"&lt;"&amp;$G632)+1)</f>
        <v/>
      </c>
      <c r="K632">
        <f>IF($J632="","",$A632&amp;"|"&amp;RIGHT("000000"&amp;$J632,6))</f>
        <v/>
      </c>
      <c r="L632">
        <f>IF($A632="","",IF(Wages!$G635="",0,Wages!$G635))</f>
        <v/>
      </c>
      <c r="M632">
        <f>IF($A632="","",Wages!$J635)</f>
        <v/>
      </c>
      <c r="N632">
        <f>IF($A632="","",Wages!$D635)</f>
        <v/>
      </c>
      <c r="P632">
        <f>IF(OR(Shares!$B635="",Shares!$C635=""),"",Shares!$C635)</f>
        <v/>
      </c>
      <c r="Q632">
        <f>IF($P632="","",Shares!$B635)</f>
        <v/>
      </c>
      <c r="R632">
        <f>IF($P632="","",IFERROR(INDEX(WageParty,MATCH($Q632,WageIds,0)),""))</f>
        <v/>
      </c>
      <c r="S632">
        <f>IF($P632="","",IFERROR(INDEX($F$6:$F$2005,MATCH($Q632,WageIds,0)),""))</f>
        <v/>
      </c>
      <c r="T632">
        <f>IF(OR($P632="",$S632="",$S632="نامعتبر"),"",LEFT($S632,4)&amp;MID($S632,6,2)&amp;RIGHT($S632,2)&amp;"0000"&amp;"|"&amp;"2"&amp;RIGHT("00000"&amp;627,5))</f>
        <v/>
      </c>
      <c r="U632">
        <f>IF($T632="","",COUNTIFS(LdAParty,$P632,LdAType,1,LdAKey,"&lt;"&amp;$T632)+COUNTIFS(LdBMember,$P632,LdBKey,"&lt;"&amp;$T632)+COUNTIFS(LdCParty,$P632,LdCKey,"&lt;"&amp;$T632)+1)</f>
        <v/>
      </c>
      <c r="V632">
        <f>IF($U632="","",$P632&amp;"|"&amp;RIGHT("000000"&amp;$U632,6))</f>
        <v/>
      </c>
      <c r="W632">
        <f>IF($T632="","",COUNTIFS(LdBGroup,$R632,LdBKey,"&lt;"&amp;$T632)+1)</f>
        <v/>
      </c>
      <c r="X632">
        <f>IF($W632="","",$R632&amp;"|"&amp;RIGHT("000000"&amp;$W632,6))</f>
        <v/>
      </c>
      <c r="Y632">
        <f>IF($P632="","",IF(Shares!$E635="",0,Shares!$E635))</f>
        <v/>
      </c>
      <c r="Z632">
        <f>IF($P632="","",Shares!$H635)</f>
        <v/>
      </c>
      <c r="AE632">
        <f>IF(OR(Sync!$S632="",Sync!$P632=""),"",Sync!$S632)</f>
        <v/>
      </c>
      <c r="AF632">
        <f>IF($AE632="","",IF(ISNUMBER(Sync!$P632),IF(AND(Sync!$P632&gt;=10000101,Sync!$P632&lt;=99991231),INT(Sync!$P632/10000),""),IFERROR(VALUE(TRIM(LEFT(Sync!$P632,FIND("/",Sync!$P632)-1))),"")))</f>
        <v/>
      </c>
      <c r="AG632">
        <f>IF(OR($AE632="",$AF632=""),"",IF(ISNUMBER(Sync!$P632),INT(MOD(Sync!$P632,10000)/100),IFERROR(VALUE(TRIM(LEFT(MID(Sync!$P632,FIND("/",Sync!$P632)+1,20),FIND("/",MID(Sync!$P632,FIND("/",Sync!$P632)+1,20))-1))),"")))</f>
        <v/>
      </c>
      <c r="AH632">
        <f>IF(OR($AE632="",$AF632=""),"",IF(ISNUMBER(Sync!$P632),MOD(Sync!$P632,100),IFERROR(VALUE(TRIM(MID(MID(Sync!$P632,FIND("/",Sync!$P632)+1,20),FIND("/",MID(Sync!$P632,FIND("/",Sync!$P632)+1,20))+1,20))),"")))</f>
        <v/>
      </c>
      <c r="AI632">
        <f>IF($AE632="","",IF(OR($AF632="",$AG632="",$AH632="",$AF632&lt;1300,$AF632&gt;1500,$AG632&lt;1,$AG632&gt;12,$AH632&lt;1,$AH632&gt;31),"نامعتبر",RIGHT("0000"&amp;$AF632,4)&amp;"/"&amp;RIGHT("00"&amp;$AG632,2)&amp;"/"&amp;RIGHT("00"&amp;$AH632,2)))</f>
        <v/>
      </c>
      <c r="AJ632">
        <f>IF($AE632="","",IF(Sync!$Q632="","0000",IF(AND(ISNUMBER(Sync!$Q632),Sync!$Q632&gt;=0,Sync!$Q632&lt;1),RIGHT("00"&amp;HOUR(Sync!$Q632),2)&amp;RIGHT("00"&amp;MINUTE(Sync!$Q632),2),IFERROR(RIGHT("00"&amp;VALUE(LEFT(Sync!$Q632,FIND(":",Sync!$Q632)-1)),2)&amp;RIGHT("00"&amp;VALUE(MID(Sync!$Q632,FIND(":",Sync!$Q632)+1,2)),2),"0000"))))</f>
        <v/>
      </c>
      <c r="AK632">
        <f>IF(OR($AE632="",$AI632="",$AI632="نامعتبر"),"",LEFT($AI632,4)&amp;MID($AI632,6,2)&amp;RIGHT($AI632,2)&amp;$AJ632&amp;"|"&amp;"3"&amp;RIGHT("00000"&amp;627,5))</f>
        <v/>
      </c>
      <c r="AL632">
        <f>IF($AK632="","",COUNTIFS(LdAParty,$AE632,LdAType,1,LdAKey,"&lt;"&amp;$AK632)+COUNTIFS(LdBMember,$AE632,LdBKey,"&lt;"&amp;$AK632)+COUNTIFS(LdCParty,$AE632,LdCKey,"&lt;"&amp;$AK632)+1)</f>
        <v/>
      </c>
      <c r="AM632">
        <f>IF($AL632="","",$AE632&amp;"|"&amp;RIGHT("000000"&amp;$AL632,6))</f>
        <v/>
      </c>
      <c r="AN632">
        <f>IF($AE632="","",IF(Sync!$W632="",0,Sync!$W632))</f>
        <v/>
      </c>
      <c r="AO632">
        <f>IF($AE632="","",IF(Sync!$X632="",0,Sync!$X632))</f>
        <v/>
      </c>
      <c r="AP632">
        <f>IF($AE632="","",Sync!$R632)</f>
        <v/>
      </c>
      <c r="AQ632">
        <f>IF($AE632="","",Sync!$Y632)</f>
        <v/>
      </c>
    </row>
    <row r="633">
      <c r="A633">
        <f>IF(OR(Wages!$B636="",Wages!$E636=""),"",Wages!$E636)</f>
        <v/>
      </c>
      <c r="B633">
        <f>IF($A633="","",IF(Wages!$C636="دستمزد گروهی",2,1))</f>
        <v/>
      </c>
      <c r="C633">
        <f>IF($A633="","",IF(ISNUMBER(Wages!$B636),IF(AND(Wages!$B636&gt;=10000101,Wages!$B636&lt;=99991231),INT(Wages!$B636/10000),""),IFERROR(VALUE(TRIM(LEFT(Wages!$B636,FIND("/",Wages!$B636)-1))),"")))</f>
        <v/>
      </c>
      <c r="D633">
        <f>IF(OR($A633="",$C633=""),"",IF(ISNUMBER(Wages!$B636),INT(MOD(Wages!$B636,10000)/100),IFERROR(VALUE(TRIM(LEFT(MID(Wages!$B636,FIND("/",Wages!$B636)+1,20),FIND("/",MID(Wages!$B636,FIND("/",Wages!$B636)+1,20))-1))),"")))</f>
        <v/>
      </c>
      <c r="E633">
        <f>IF(OR($A633="",$C633=""),"",IF(ISNUMBER(Wages!$B636),MOD(Wages!$B636,100),IFERROR(VALUE(TRIM(MID(MID(Wages!$B636,FIND("/",Wages!$B636)+1,20),FIND("/",MID(Wages!$B636,FIND("/",Wages!$B636)+1,20))+1,20))),"")))</f>
        <v/>
      </c>
      <c r="F633">
        <f>IF($A633="","",IF(OR($C633="",$D633="",$E633="",$C633&lt;1300,$C633&gt;1500,$D633&lt;1,$D633&gt;12,$E633&lt;1,$E633&gt;31),"نامعتبر",RIGHT("0000"&amp;$C633,4)&amp;"/"&amp;RIGHT("00"&amp;$D633,2)&amp;"/"&amp;RIGHT("00"&amp;$E633,2)))</f>
        <v/>
      </c>
      <c r="G633">
        <f>IF(OR($A633="",$F633="",$F633="نامعتبر"),"",LEFT($F633,4)&amp;MID($F633,6,2)&amp;RIGHT($F633,2)&amp;"0000"&amp;"|"&amp;"1"&amp;RIGHT("00000"&amp;628,5))</f>
        <v/>
      </c>
      <c r="H633">
        <f>IF(OR($B633&lt;&gt;1,$G633=""),"",COUNTIFS(LdAParty,$A633,LdAType,1,LdAKey,"&lt;"&amp;$G633)+COUNTIFS(LdBMember,$A633,LdBKey,"&lt;"&amp;$G633)+COUNTIFS(LdCParty,$A633,LdCKey,"&lt;"&amp;$G633)+1)</f>
        <v/>
      </c>
      <c r="I633">
        <f>IF($H633="","",$A633&amp;"|"&amp;RIGHT("000000"&amp;$H633,6))</f>
        <v/>
      </c>
      <c r="J633">
        <f>IF(OR($B633&lt;&gt;2,$G633=""),"",COUNTIFS(LdAParty,$A633,LdAType,2,LdAKey,"&lt;"&amp;$G633)+1)</f>
        <v/>
      </c>
      <c r="K633">
        <f>IF($J633="","",$A633&amp;"|"&amp;RIGHT("000000"&amp;$J633,6))</f>
        <v/>
      </c>
      <c r="L633">
        <f>IF($A633="","",IF(Wages!$G636="",0,Wages!$G636))</f>
        <v/>
      </c>
      <c r="M633">
        <f>IF($A633="","",Wages!$J636)</f>
        <v/>
      </c>
      <c r="N633">
        <f>IF($A633="","",Wages!$D636)</f>
        <v/>
      </c>
      <c r="P633">
        <f>IF(OR(Shares!$B636="",Shares!$C636=""),"",Shares!$C636)</f>
        <v/>
      </c>
      <c r="Q633">
        <f>IF($P633="","",Shares!$B636)</f>
        <v/>
      </c>
      <c r="R633">
        <f>IF($P633="","",IFERROR(INDEX(WageParty,MATCH($Q633,WageIds,0)),""))</f>
        <v/>
      </c>
      <c r="S633">
        <f>IF($P633="","",IFERROR(INDEX($F$6:$F$2005,MATCH($Q633,WageIds,0)),""))</f>
        <v/>
      </c>
      <c r="T633">
        <f>IF(OR($P633="",$S633="",$S633="نامعتبر"),"",LEFT($S633,4)&amp;MID($S633,6,2)&amp;RIGHT($S633,2)&amp;"0000"&amp;"|"&amp;"2"&amp;RIGHT("00000"&amp;628,5))</f>
        <v/>
      </c>
      <c r="U633">
        <f>IF($T633="","",COUNTIFS(LdAParty,$P633,LdAType,1,LdAKey,"&lt;"&amp;$T633)+COUNTIFS(LdBMember,$P633,LdBKey,"&lt;"&amp;$T633)+COUNTIFS(LdCParty,$P633,LdCKey,"&lt;"&amp;$T633)+1)</f>
        <v/>
      </c>
      <c r="V633">
        <f>IF($U633="","",$P633&amp;"|"&amp;RIGHT("000000"&amp;$U633,6))</f>
        <v/>
      </c>
      <c r="W633">
        <f>IF($T633="","",COUNTIFS(LdBGroup,$R633,LdBKey,"&lt;"&amp;$T633)+1)</f>
        <v/>
      </c>
      <c r="X633">
        <f>IF($W633="","",$R633&amp;"|"&amp;RIGHT("000000"&amp;$W633,6))</f>
        <v/>
      </c>
      <c r="Y633">
        <f>IF($P633="","",IF(Shares!$E636="",0,Shares!$E636))</f>
        <v/>
      </c>
      <c r="Z633">
        <f>IF($P633="","",Shares!$H636)</f>
        <v/>
      </c>
      <c r="AE633">
        <f>IF(OR(Sync!$S633="",Sync!$P633=""),"",Sync!$S633)</f>
        <v/>
      </c>
      <c r="AF633">
        <f>IF($AE633="","",IF(ISNUMBER(Sync!$P633),IF(AND(Sync!$P633&gt;=10000101,Sync!$P633&lt;=99991231),INT(Sync!$P633/10000),""),IFERROR(VALUE(TRIM(LEFT(Sync!$P633,FIND("/",Sync!$P633)-1))),"")))</f>
        <v/>
      </c>
      <c r="AG633">
        <f>IF(OR($AE633="",$AF633=""),"",IF(ISNUMBER(Sync!$P633),INT(MOD(Sync!$P633,10000)/100),IFERROR(VALUE(TRIM(LEFT(MID(Sync!$P633,FIND("/",Sync!$P633)+1,20),FIND("/",MID(Sync!$P633,FIND("/",Sync!$P633)+1,20))-1))),"")))</f>
        <v/>
      </c>
      <c r="AH633">
        <f>IF(OR($AE633="",$AF633=""),"",IF(ISNUMBER(Sync!$P633),MOD(Sync!$P633,100),IFERROR(VALUE(TRIM(MID(MID(Sync!$P633,FIND("/",Sync!$P633)+1,20),FIND("/",MID(Sync!$P633,FIND("/",Sync!$P633)+1,20))+1,20))),"")))</f>
        <v/>
      </c>
      <c r="AI633">
        <f>IF($AE633="","",IF(OR($AF633="",$AG633="",$AH633="",$AF633&lt;1300,$AF633&gt;1500,$AG633&lt;1,$AG633&gt;12,$AH633&lt;1,$AH633&gt;31),"نامعتبر",RIGHT("0000"&amp;$AF633,4)&amp;"/"&amp;RIGHT("00"&amp;$AG633,2)&amp;"/"&amp;RIGHT("00"&amp;$AH633,2)))</f>
        <v/>
      </c>
      <c r="AJ633">
        <f>IF($AE633="","",IF(Sync!$Q633="","0000",IF(AND(ISNUMBER(Sync!$Q633),Sync!$Q633&gt;=0,Sync!$Q633&lt;1),RIGHT("00"&amp;HOUR(Sync!$Q633),2)&amp;RIGHT("00"&amp;MINUTE(Sync!$Q633),2),IFERROR(RIGHT("00"&amp;VALUE(LEFT(Sync!$Q633,FIND(":",Sync!$Q633)-1)),2)&amp;RIGHT("00"&amp;VALUE(MID(Sync!$Q633,FIND(":",Sync!$Q633)+1,2)),2),"0000"))))</f>
        <v/>
      </c>
      <c r="AK633">
        <f>IF(OR($AE633="",$AI633="",$AI633="نامعتبر"),"",LEFT($AI633,4)&amp;MID($AI633,6,2)&amp;RIGHT($AI633,2)&amp;$AJ633&amp;"|"&amp;"3"&amp;RIGHT("00000"&amp;628,5))</f>
        <v/>
      </c>
      <c r="AL633">
        <f>IF($AK633="","",COUNTIFS(LdAParty,$AE633,LdAType,1,LdAKey,"&lt;"&amp;$AK633)+COUNTIFS(LdBMember,$AE633,LdBKey,"&lt;"&amp;$AK633)+COUNTIFS(LdCParty,$AE633,LdCKey,"&lt;"&amp;$AK633)+1)</f>
        <v/>
      </c>
      <c r="AM633">
        <f>IF($AL633="","",$AE633&amp;"|"&amp;RIGHT("000000"&amp;$AL633,6))</f>
        <v/>
      </c>
      <c r="AN633">
        <f>IF($AE633="","",IF(Sync!$W633="",0,Sync!$W633))</f>
        <v/>
      </c>
      <c r="AO633">
        <f>IF($AE633="","",IF(Sync!$X633="",0,Sync!$X633))</f>
        <v/>
      </c>
      <c r="AP633">
        <f>IF($AE633="","",Sync!$R633)</f>
        <v/>
      </c>
      <c r="AQ633">
        <f>IF($AE633="","",Sync!$Y633)</f>
        <v/>
      </c>
    </row>
    <row r="634">
      <c r="A634">
        <f>IF(OR(Wages!$B637="",Wages!$E637=""),"",Wages!$E637)</f>
        <v/>
      </c>
      <c r="B634">
        <f>IF($A634="","",IF(Wages!$C637="دستمزد گروهی",2,1))</f>
        <v/>
      </c>
      <c r="C634">
        <f>IF($A634="","",IF(ISNUMBER(Wages!$B637),IF(AND(Wages!$B637&gt;=10000101,Wages!$B637&lt;=99991231),INT(Wages!$B637/10000),""),IFERROR(VALUE(TRIM(LEFT(Wages!$B637,FIND("/",Wages!$B637)-1))),"")))</f>
        <v/>
      </c>
      <c r="D634">
        <f>IF(OR($A634="",$C634=""),"",IF(ISNUMBER(Wages!$B637),INT(MOD(Wages!$B637,10000)/100),IFERROR(VALUE(TRIM(LEFT(MID(Wages!$B637,FIND("/",Wages!$B637)+1,20),FIND("/",MID(Wages!$B637,FIND("/",Wages!$B637)+1,20))-1))),"")))</f>
        <v/>
      </c>
      <c r="E634">
        <f>IF(OR($A634="",$C634=""),"",IF(ISNUMBER(Wages!$B637),MOD(Wages!$B637,100),IFERROR(VALUE(TRIM(MID(MID(Wages!$B637,FIND("/",Wages!$B637)+1,20),FIND("/",MID(Wages!$B637,FIND("/",Wages!$B637)+1,20))+1,20))),"")))</f>
        <v/>
      </c>
      <c r="F634">
        <f>IF($A634="","",IF(OR($C634="",$D634="",$E634="",$C634&lt;1300,$C634&gt;1500,$D634&lt;1,$D634&gt;12,$E634&lt;1,$E634&gt;31),"نامعتبر",RIGHT("0000"&amp;$C634,4)&amp;"/"&amp;RIGHT("00"&amp;$D634,2)&amp;"/"&amp;RIGHT("00"&amp;$E634,2)))</f>
        <v/>
      </c>
      <c r="G634">
        <f>IF(OR($A634="",$F634="",$F634="نامعتبر"),"",LEFT($F634,4)&amp;MID($F634,6,2)&amp;RIGHT($F634,2)&amp;"0000"&amp;"|"&amp;"1"&amp;RIGHT("00000"&amp;629,5))</f>
        <v/>
      </c>
      <c r="H634">
        <f>IF(OR($B634&lt;&gt;1,$G634=""),"",COUNTIFS(LdAParty,$A634,LdAType,1,LdAKey,"&lt;"&amp;$G634)+COUNTIFS(LdBMember,$A634,LdBKey,"&lt;"&amp;$G634)+COUNTIFS(LdCParty,$A634,LdCKey,"&lt;"&amp;$G634)+1)</f>
        <v/>
      </c>
      <c r="I634">
        <f>IF($H634="","",$A634&amp;"|"&amp;RIGHT("000000"&amp;$H634,6))</f>
        <v/>
      </c>
      <c r="J634">
        <f>IF(OR($B634&lt;&gt;2,$G634=""),"",COUNTIFS(LdAParty,$A634,LdAType,2,LdAKey,"&lt;"&amp;$G634)+1)</f>
        <v/>
      </c>
      <c r="K634">
        <f>IF($J634="","",$A634&amp;"|"&amp;RIGHT("000000"&amp;$J634,6))</f>
        <v/>
      </c>
      <c r="L634">
        <f>IF($A634="","",IF(Wages!$G637="",0,Wages!$G637))</f>
        <v/>
      </c>
      <c r="M634">
        <f>IF($A634="","",Wages!$J637)</f>
        <v/>
      </c>
      <c r="N634">
        <f>IF($A634="","",Wages!$D637)</f>
        <v/>
      </c>
      <c r="P634">
        <f>IF(OR(Shares!$B637="",Shares!$C637=""),"",Shares!$C637)</f>
        <v/>
      </c>
      <c r="Q634">
        <f>IF($P634="","",Shares!$B637)</f>
        <v/>
      </c>
      <c r="R634">
        <f>IF($P634="","",IFERROR(INDEX(WageParty,MATCH($Q634,WageIds,0)),""))</f>
        <v/>
      </c>
      <c r="S634">
        <f>IF($P634="","",IFERROR(INDEX($F$6:$F$2005,MATCH($Q634,WageIds,0)),""))</f>
        <v/>
      </c>
      <c r="T634">
        <f>IF(OR($P634="",$S634="",$S634="نامعتبر"),"",LEFT($S634,4)&amp;MID($S634,6,2)&amp;RIGHT($S634,2)&amp;"0000"&amp;"|"&amp;"2"&amp;RIGHT("00000"&amp;629,5))</f>
        <v/>
      </c>
      <c r="U634">
        <f>IF($T634="","",COUNTIFS(LdAParty,$P634,LdAType,1,LdAKey,"&lt;"&amp;$T634)+COUNTIFS(LdBMember,$P634,LdBKey,"&lt;"&amp;$T634)+COUNTIFS(LdCParty,$P634,LdCKey,"&lt;"&amp;$T634)+1)</f>
        <v/>
      </c>
      <c r="V634">
        <f>IF($U634="","",$P634&amp;"|"&amp;RIGHT("000000"&amp;$U634,6))</f>
        <v/>
      </c>
      <c r="W634">
        <f>IF($T634="","",COUNTIFS(LdBGroup,$R634,LdBKey,"&lt;"&amp;$T634)+1)</f>
        <v/>
      </c>
      <c r="X634">
        <f>IF($W634="","",$R634&amp;"|"&amp;RIGHT("000000"&amp;$W634,6))</f>
        <v/>
      </c>
      <c r="Y634">
        <f>IF($P634="","",IF(Shares!$E637="",0,Shares!$E637))</f>
        <v/>
      </c>
      <c r="Z634">
        <f>IF($P634="","",Shares!$H637)</f>
        <v/>
      </c>
      <c r="AE634">
        <f>IF(OR(Sync!$S634="",Sync!$P634=""),"",Sync!$S634)</f>
        <v/>
      </c>
      <c r="AF634">
        <f>IF($AE634="","",IF(ISNUMBER(Sync!$P634),IF(AND(Sync!$P634&gt;=10000101,Sync!$P634&lt;=99991231),INT(Sync!$P634/10000),""),IFERROR(VALUE(TRIM(LEFT(Sync!$P634,FIND("/",Sync!$P634)-1))),"")))</f>
        <v/>
      </c>
      <c r="AG634">
        <f>IF(OR($AE634="",$AF634=""),"",IF(ISNUMBER(Sync!$P634),INT(MOD(Sync!$P634,10000)/100),IFERROR(VALUE(TRIM(LEFT(MID(Sync!$P634,FIND("/",Sync!$P634)+1,20),FIND("/",MID(Sync!$P634,FIND("/",Sync!$P634)+1,20))-1))),"")))</f>
        <v/>
      </c>
      <c r="AH634">
        <f>IF(OR($AE634="",$AF634=""),"",IF(ISNUMBER(Sync!$P634),MOD(Sync!$P634,100),IFERROR(VALUE(TRIM(MID(MID(Sync!$P634,FIND("/",Sync!$P634)+1,20),FIND("/",MID(Sync!$P634,FIND("/",Sync!$P634)+1,20))+1,20))),"")))</f>
        <v/>
      </c>
      <c r="AI634">
        <f>IF($AE634="","",IF(OR($AF634="",$AG634="",$AH634="",$AF634&lt;1300,$AF634&gt;1500,$AG634&lt;1,$AG634&gt;12,$AH634&lt;1,$AH634&gt;31),"نامعتبر",RIGHT("0000"&amp;$AF634,4)&amp;"/"&amp;RIGHT("00"&amp;$AG634,2)&amp;"/"&amp;RIGHT("00"&amp;$AH634,2)))</f>
        <v/>
      </c>
      <c r="AJ634">
        <f>IF($AE634="","",IF(Sync!$Q634="","0000",IF(AND(ISNUMBER(Sync!$Q634),Sync!$Q634&gt;=0,Sync!$Q634&lt;1),RIGHT("00"&amp;HOUR(Sync!$Q634),2)&amp;RIGHT("00"&amp;MINUTE(Sync!$Q634),2),IFERROR(RIGHT("00"&amp;VALUE(LEFT(Sync!$Q634,FIND(":",Sync!$Q634)-1)),2)&amp;RIGHT("00"&amp;VALUE(MID(Sync!$Q634,FIND(":",Sync!$Q634)+1,2)),2),"0000"))))</f>
        <v/>
      </c>
      <c r="AK634">
        <f>IF(OR($AE634="",$AI634="",$AI634="نامعتبر"),"",LEFT($AI634,4)&amp;MID($AI634,6,2)&amp;RIGHT($AI634,2)&amp;$AJ634&amp;"|"&amp;"3"&amp;RIGHT("00000"&amp;629,5))</f>
        <v/>
      </c>
      <c r="AL634">
        <f>IF($AK634="","",COUNTIFS(LdAParty,$AE634,LdAType,1,LdAKey,"&lt;"&amp;$AK634)+COUNTIFS(LdBMember,$AE634,LdBKey,"&lt;"&amp;$AK634)+COUNTIFS(LdCParty,$AE634,LdCKey,"&lt;"&amp;$AK634)+1)</f>
        <v/>
      </c>
      <c r="AM634">
        <f>IF($AL634="","",$AE634&amp;"|"&amp;RIGHT("000000"&amp;$AL634,6))</f>
        <v/>
      </c>
      <c r="AN634">
        <f>IF($AE634="","",IF(Sync!$W634="",0,Sync!$W634))</f>
        <v/>
      </c>
      <c r="AO634">
        <f>IF($AE634="","",IF(Sync!$X634="",0,Sync!$X634))</f>
        <v/>
      </c>
      <c r="AP634">
        <f>IF($AE634="","",Sync!$R634)</f>
        <v/>
      </c>
      <c r="AQ634">
        <f>IF($AE634="","",Sync!$Y634)</f>
        <v/>
      </c>
    </row>
    <row r="635">
      <c r="A635">
        <f>IF(OR(Wages!$B638="",Wages!$E638=""),"",Wages!$E638)</f>
        <v/>
      </c>
      <c r="B635">
        <f>IF($A635="","",IF(Wages!$C638="دستمزد گروهی",2,1))</f>
        <v/>
      </c>
      <c r="C635">
        <f>IF($A635="","",IF(ISNUMBER(Wages!$B638),IF(AND(Wages!$B638&gt;=10000101,Wages!$B638&lt;=99991231),INT(Wages!$B638/10000),""),IFERROR(VALUE(TRIM(LEFT(Wages!$B638,FIND("/",Wages!$B638)-1))),"")))</f>
        <v/>
      </c>
      <c r="D635">
        <f>IF(OR($A635="",$C635=""),"",IF(ISNUMBER(Wages!$B638),INT(MOD(Wages!$B638,10000)/100),IFERROR(VALUE(TRIM(LEFT(MID(Wages!$B638,FIND("/",Wages!$B638)+1,20),FIND("/",MID(Wages!$B638,FIND("/",Wages!$B638)+1,20))-1))),"")))</f>
        <v/>
      </c>
      <c r="E635">
        <f>IF(OR($A635="",$C635=""),"",IF(ISNUMBER(Wages!$B638),MOD(Wages!$B638,100),IFERROR(VALUE(TRIM(MID(MID(Wages!$B638,FIND("/",Wages!$B638)+1,20),FIND("/",MID(Wages!$B638,FIND("/",Wages!$B638)+1,20))+1,20))),"")))</f>
        <v/>
      </c>
      <c r="F635">
        <f>IF($A635="","",IF(OR($C635="",$D635="",$E635="",$C635&lt;1300,$C635&gt;1500,$D635&lt;1,$D635&gt;12,$E635&lt;1,$E635&gt;31),"نامعتبر",RIGHT("0000"&amp;$C635,4)&amp;"/"&amp;RIGHT("00"&amp;$D635,2)&amp;"/"&amp;RIGHT("00"&amp;$E635,2)))</f>
        <v/>
      </c>
      <c r="G635">
        <f>IF(OR($A635="",$F635="",$F635="نامعتبر"),"",LEFT($F635,4)&amp;MID($F635,6,2)&amp;RIGHT($F635,2)&amp;"0000"&amp;"|"&amp;"1"&amp;RIGHT("00000"&amp;630,5))</f>
        <v/>
      </c>
      <c r="H635">
        <f>IF(OR($B635&lt;&gt;1,$G635=""),"",COUNTIFS(LdAParty,$A635,LdAType,1,LdAKey,"&lt;"&amp;$G635)+COUNTIFS(LdBMember,$A635,LdBKey,"&lt;"&amp;$G635)+COUNTIFS(LdCParty,$A635,LdCKey,"&lt;"&amp;$G635)+1)</f>
        <v/>
      </c>
      <c r="I635">
        <f>IF($H635="","",$A635&amp;"|"&amp;RIGHT("000000"&amp;$H635,6))</f>
        <v/>
      </c>
      <c r="J635">
        <f>IF(OR($B635&lt;&gt;2,$G635=""),"",COUNTIFS(LdAParty,$A635,LdAType,2,LdAKey,"&lt;"&amp;$G635)+1)</f>
        <v/>
      </c>
      <c r="K635">
        <f>IF($J635="","",$A635&amp;"|"&amp;RIGHT("000000"&amp;$J635,6))</f>
        <v/>
      </c>
      <c r="L635">
        <f>IF($A635="","",IF(Wages!$G638="",0,Wages!$G638))</f>
        <v/>
      </c>
      <c r="M635">
        <f>IF($A635="","",Wages!$J638)</f>
        <v/>
      </c>
      <c r="N635">
        <f>IF($A635="","",Wages!$D638)</f>
        <v/>
      </c>
      <c r="P635">
        <f>IF(OR(Shares!$B638="",Shares!$C638=""),"",Shares!$C638)</f>
        <v/>
      </c>
      <c r="Q635">
        <f>IF($P635="","",Shares!$B638)</f>
        <v/>
      </c>
      <c r="R635">
        <f>IF($P635="","",IFERROR(INDEX(WageParty,MATCH($Q635,WageIds,0)),""))</f>
        <v/>
      </c>
      <c r="S635">
        <f>IF($P635="","",IFERROR(INDEX($F$6:$F$2005,MATCH($Q635,WageIds,0)),""))</f>
        <v/>
      </c>
      <c r="T635">
        <f>IF(OR($P635="",$S635="",$S635="نامعتبر"),"",LEFT($S635,4)&amp;MID($S635,6,2)&amp;RIGHT($S635,2)&amp;"0000"&amp;"|"&amp;"2"&amp;RIGHT("00000"&amp;630,5))</f>
        <v/>
      </c>
      <c r="U635">
        <f>IF($T635="","",COUNTIFS(LdAParty,$P635,LdAType,1,LdAKey,"&lt;"&amp;$T635)+COUNTIFS(LdBMember,$P635,LdBKey,"&lt;"&amp;$T635)+COUNTIFS(LdCParty,$P635,LdCKey,"&lt;"&amp;$T635)+1)</f>
        <v/>
      </c>
      <c r="V635">
        <f>IF($U635="","",$P635&amp;"|"&amp;RIGHT("000000"&amp;$U635,6))</f>
        <v/>
      </c>
      <c r="W635">
        <f>IF($T635="","",COUNTIFS(LdBGroup,$R635,LdBKey,"&lt;"&amp;$T635)+1)</f>
        <v/>
      </c>
      <c r="X635">
        <f>IF($W635="","",$R635&amp;"|"&amp;RIGHT("000000"&amp;$W635,6))</f>
        <v/>
      </c>
      <c r="Y635">
        <f>IF($P635="","",IF(Shares!$E638="",0,Shares!$E638))</f>
        <v/>
      </c>
      <c r="Z635">
        <f>IF($P635="","",Shares!$H638)</f>
        <v/>
      </c>
      <c r="AE635">
        <f>IF(OR(Sync!$S635="",Sync!$P635=""),"",Sync!$S635)</f>
        <v/>
      </c>
      <c r="AF635">
        <f>IF($AE635="","",IF(ISNUMBER(Sync!$P635),IF(AND(Sync!$P635&gt;=10000101,Sync!$P635&lt;=99991231),INT(Sync!$P635/10000),""),IFERROR(VALUE(TRIM(LEFT(Sync!$P635,FIND("/",Sync!$P635)-1))),"")))</f>
        <v/>
      </c>
      <c r="AG635">
        <f>IF(OR($AE635="",$AF635=""),"",IF(ISNUMBER(Sync!$P635),INT(MOD(Sync!$P635,10000)/100),IFERROR(VALUE(TRIM(LEFT(MID(Sync!$P635,FIND("/",Sync!$P635)+1,20),FIND("/",MID(Sync!$P635,FIND("/",Sync!$P635)+1,20))-1))),"")))</f>
        <v/>
      </c>
      <c r="AH635">
        <f>IF(OR($AE635="",$AF635=""),"",IF(ISNUMBER(Sync!$P635),MOD(Sync!$P635,100),IFERROR(VALUE(TRIM(MID(MID(Sync!$P635,FIND("/",Sync!$P635)+1,20),FIND("/",MID(Sync!$P635,FIND("/",Sync!$P635)+1,20))+1,20))),"")))</f>
        <v/>
      </c>
      <c r="AI635">
        <f>IF($AE635="","",IF(OR($AF635="",$AG635="",$AH635="",$AF635&lt;1300,$AF635&gt;1500,$AG635&lt;1,$AG635&gt;12,$AH635&lt;1,$AH635&gt;31),"نامعتبر",RIGHT("0000"&amp;$AF635,4)&amp;"/"&amp;RIGHT("00"&amp;$AG635,2)&amp;"/"&amp;RIGHT("00"&amp;$AH635,2)))</f>
        <v/>
      </c>
      <c r="AJ635">
        <f>IF($AE635="","",IF(Sync!$Q635="","0000",IF(AND(ISNUMBER(Sync!$Q635),Sync!$Q635&gt;=0,Sync!$Q635&lt;1),RIGHT("00"&amp;HOUR(Sync!$Q635),2)&amp;RIGHT("00"&amp;MINUTE(Sync!$Q635),2),IFERROR(RIGHT("00"&amp;VALUE(LEFT(Sync!$Q635,FIND(":",Sync!$Q635)-1)),2)&amp;RIGHT("00"&amp;VALUE(MID(Sync!$Q635,FIND(":",Sync!$Q635)+1,2)),2),"0000"))))</f>
        <v/>
      </c>
      <c r="AK635">
        <f>IF(OR($AE635="",$AI635="",$AI635="نامعتبر"),"",LEFT($AI635,4)&amp;MID($AI635,6,2)&amp;RIGHT($AI635,2)&amp;$AJ635&amp;"|"&amp;"3"&amp;RIGHT("00000"&amp;630,5))</f>
        <v/>
      </c>
      <c r="AL635">
        <f>IF($AK635="","",COUNTIFS(LdAParty,$AE635,LdAType,1,LdAKey,"&lt;"&amp;$AK635)+COUNTIFS(LdBMember,$AE635,LdBKey,"&lt;"&amp;$AK635)+COUNTIFS(LdCParty,$AE635,LdCKey,"&lt;"&amp;$AK635)+1)</f>
        <v/>
      </c>
      <c r="AM635">
        <f>IF($AL635="","",$AE635&amp;"|"&amp;RIGHT("000000"&amp;$AL635,6))</f>
        <v/>
      </c>
      <c r="AN635">
        <f>IF($AE635="","",IF(Sync!$W635="",0,Sync!$W635))</f>
        <v/>
      </c>
      <c r="AO635">
        <f>IF($AE635="","",IF(Sync!$X635="",0,Sync!$X635))</f>
        <v/>
      </c>
      <c r="AP635">
        <f>IF($AE635="","",Sync!$R635)</f>
        <v/>
      </c>
      <c r="AQ635">
        <f>IF($AE635="","",Sync!$Y635)</f>
        <v/>
      </c>
    </row>
    <row r="636">
      <c r="A636">
        <f>IF(OR(Wages!$B639="",Wages!$E639=""),"",Wages!$E639)</f>
        <v/>
      </c>
      <c r="B636">
        <f>IF($A636="","",IF(Wages!$C639="دستمزد گروهی",2,1))</f>
        <v/>
      </c>
      <c r="C636">
        <f>IF($A636="","",IF(ISNUMBER(Wages!$B639),IF(AND(Wages!$B639&gt;=10000101,Wages!$B639&lt;=99991231),INT(Wages!$B639/10000),""),IFERROR(VALUE(TRIM(LEFT(Wages!$B639,FIND("/",Wages!$B639)-1))),"")))</f>
        <v/>
      </c>
      <c r="D636">
        <f>IF(OR($A636="",$C636=""),"",IF(ISNUMBER(Wages!$B639),INT(MOD(Wages!$B639,10000)/100),IFERROR(VALUE(TRIM(LEFT(MID(Wages!$B639,FIND("/",Wages!$B639)+1,20),FIND("/",MID(Wages!$B639,FIND("/",Wages!$B639)+1,20))-1))),"")))</f>
        <v/>
      </c>
      <c r="E636">
        <f>IF(OR($A636="",$C636=""),"",IF(ISNUMBER(Wages!$B639),MOD(Wages!$B639,100),IFERROR(VALUE(TRIM(MID(MID(Wages!$B639,FIND("/",Wages!$B639)+1,20),FIND("/",MID(Wages!$B639,FIND("/",Wages!$B639)+1,20))+1,20))),"")))</f>
        <v/>
      </c>
      <c r="F636">
        <f>IF($A636="","",IF(OR($C636="",$D636="",$E636="",$C636&lt;1300,$C636&gt;1500,$D636&lt;1,$D636&gt;12,$E636&lt;1,$E636&gt;31),"نامعتبر",RIGHT("0000"&amp;$C636,4)&amp;"/"&amp;RIGHT("00"&amp;$D636,2)&amp;"/"&amp;RIGHT("00"&amp;$E636,2)))</f>
        <v/>
      </c>
      <c r="G636">
        <f>IF(OR($A636="",$F636="",$F636="نامعتبر"),"",LEFT($F636,4)&amp;MID($F636,6,2)&amp;RIGHT($F636,2)&amp;"0000"&amp;"|"&amp;"1"&amp;RIGHT("00000"&amp;631,5))</f>
        <v/>
      </c>
      <c r="H636">
        <f>IF(OR($B636&lt;&gt;1,$G636=""),"",COUNTIFS(LdAParty,$A636,LdAType,1,LdAKey,"&lt;"&amp;$G636)+COUNTIFS(LdBMember,$A636,LdBKey,"&lt;"&amp;$G636)+COUNTIFS(LdCParty,$A636,LdCKey,"&lt;"&amp;$G636)+1)</f>
        <v/>
      </c>
      <c r="I636">
        <f>IF($H636="","",$A636&amp;"|"&amp;RIGHT("000000"&amp;$H636,6))</f>
        <v/>
      </c>
      <c r="J636">
        <f>IF(OR($B636&lt;&gt;2,$G636=""),"",COUNTIFS(LdAParty,$A636,LdAType,2,LdAKey,"&lt;"&amp;$G636)+1)</f>
        <v/>
      </c>
      <c r="K636">
        <f>IF($J636="","",$A636&amp;"|"&amp;RIGHT("000000"&amp;$J636,6))</f>
        <v/>
      </c>
      <c r="L636">
        <f>IF($A636="","",IF(Wages!$G639="",0,Wages!$G639))</f>
        <v/>
      </c>
      <c r="M636">
        <f>IF($A636="","",Wages!$J639)</f>
        <v/>
      </c>
      <c r="N636">
        <f>IF($A636="","",Wages!$D639)</f>
        <v/>
      </c>
      <c r="P636">
        <f>IF(OR(Shares!$B639="",Shares!$C639=""),"",Shares!$C639)</f>
        <v/>
      </c>
      <c r="Q636">
        <f>IF($P636="","",Shares!$B639)</f>
        <v/>
      </c>
      <c r="R636">
        <f>IF($P636="","",IFERROR(INDEX(WageParty,MATCH($Q636,WageIds,0)),""))</f>
        <v/>
      </c>
      <c r="S636">
        <f>IF($P636="","",IFERROR(INDEX($F$6:$F$2005,MATCH($Q636,WageIds,0)),""))</f>
        <v/>
      </c>
      <c r="T636">
        <f>IF(OR($P636="",$S636="",$S636="نامعتبر"),"",LEFT($S636,4)&amp;MID($S636,6,2)&amp;RIGHT($S636,2)&amp;"0000"&amp;"|"&amp;"2"&amp;RIGHT("00000"&amp;631,5))</f>
        <v/>
      </c>
      <c r="U636">
        <f>IF($T636="","",COUNTIFS(LdAParty,$P636,LdAType,1,LdAKey,"&lt;"&amp;$T636)+COUNTIFS(LdBMember,$P636,LdBKey,"&lt;"&amp;$T636)+COUNTIFS(LdCParty,$P636,LdCKey,"&lt;"&amp;$T636)+1)</f>
        <v/>
      </c>
      <c r="V636">
        <f>IF($U636="","",$P636&amp;"|"&amp;RIGHT("000000"&amp;$U636,6))</f>
        <v/>
      </c>
      <c r="W636">
        <f>IF($T636="","",COUNTIFS(LdBGroup,$R636,LdBKey,"&lt;"&amp;$T636)+1)</f>
        <v/>
      </c>
      <c r="X636">
        <f>IF($W636="","",$R636&amp;"|"&amp;RIGHT("000000"&amp;$W636,6))</f>
        <v/>
      </c>
      <c r="Y636">
        <f>IF($P636="","",IF(Shares!$E639="",0,Shares!$E639))</f>
        <v/>
      </c>
      <c r="Z636">
        <f>IF($P636="","",Shares!$H639)</f>
        <v/>
      </c>
      <c r="AE636">
        <f>IF(OR(Sync!$S636="",Sync!$P636=""),"",Sync!$S636)</f>
        <v/>
      </c>
      <c r="AF636">
        <f>IF($AE636="","",IF(ISNUMBER(Sync!$P636),IF(AND(Sync!$P636&gt;=10000101,Sync!$P636&lt;=99991231),INT(Sync!$P636/10000),""),IFERROR(VALUE(TRIM(LEFT(Sync!$P636,FIND("/",Sync!$P636)-1))),"")))</f>
        <v/>
      </c>
      <c r="AG636">
        <f>IF(OR($AE636="",$AF636=""),"",IF(ISNUMBER(Sync!$P636),INT(MOD(Sync!$P636,10000)/100),IFERROR(VALUE(TRIM(LEFT(MID(Sync!$P636,FIND("/",Sync!$P636)+1,20),FIND("/",MID(Sync!$P636,FIND("/",Sync!$P636)+1,20))-1))),"")))</f>
        <v/>
      </c>
      <c r="AH636">
        <f>IF(OR($AE636="",$AF636=""),"",IF(ISNUMBER(Sync!$P636),MOD(Sync!$P636,100),IFERROR(VALUE(TRIM(MID(MID(Sync!$P636,FIND("/",Sync!$P636)+1,20),FIND("/",MID(Sync!$P636,FIND("/",Sync!$P636)+1,20))+1,20))),"")))</f>
        <v/>
      </c>
      <c r="AI636">
        <f>IF($AE636="","",IF(OR($AF636="",$AG636="",$AH636="",$AF636&lt;1300,$AF636&gt;1500,$AG636&lt;1,$AG636&gt;12,$AH636&lt;1,$AH636&gt;31),"نامعتبر",RIGHT("0000"&amp;$AF636,4)&amp;"/"&amp;RIGHT("00"&amp;$AG636,2)&amp;"/"&amp;RIGHT("00"&amp;$AH636,2)))</f>
        <v/>
      </c>
      <c r="AJ636">
        <f>IF($AE636="","",IF(Sync!$Q636="","0000",IF(AND(ISNUMBER(Sync!$Q636),Sync!$Q636&gt;=0,Sync!$Q636&lt;1),RIGHT("00"&amp;HOUR(Sync!$Q636),2)&amp;RIGHT("00"&amp;MINUTE(Sync!$Q636),2),IFERROR(RIGHT("00"&amp;VALUE(LEFT(Sync!$Q636,FIND(":",Sync!$Q636)-1)),2)&amp;RIGHT("00"&amp;VALUE(MID(Sync!$Q636,FIND(":",Sync!$Q636)+1,2)),2),"0000"))))</f>
        <v/>
      </c>
      <c r="AK636">
        <f>IF(OR($AE636="",$AI636="",$AI636="نامعتبر"),"",LEFT($AI636,4)&amp;MID($AI636,6,2)&amp;RIGHT($AI636,2)&amp;$AJ636&amp;"|"&amp;"3"&amp;RIGHT("00000"&amp;631,5))</f>
        <v/>
      </c>
      <c r="AL636">
        <f>IF($AK636="","",COUNTIFS(LdAParty,$AE636,LdAType,1,LdAKey,"&lt;"&amp;$AK636)+COUNTIFS(LdBMember,$AE636,LdBKey,"&lt;"&amp;$AK636)+COUNTIFS(LdCParty,$AE636,LdCKey,"&lt;"&amp;$AK636)+1)</f>
        <v/>
      </c>
      <c r="AM636">
        <f>IF($AL636="","",$AE636&amp;"|"&amp;RIGHT("000000"&amp;$AL636,6))</f>
        <v/>
      </c>
      <c r="AN636">
        <f>IF($AE636="","",IF(Sync!$W636="",0,Sync!$W636))</f>
        <v/>
      </c>
      <c r="AO636">
        <f>IF($AE636="","",IF(Sync!$X636="",0,Sync!$X636))</f>
        <v/>
      </c>
      <c r="AP636">
        <f>IF($AE636="","",Sync!$R636)</f>
        <v/>
      </c>
      <c r="AQ636">
        <f>IF($AE636="","",Sync!$Y636)</f>
        <v/>
      </c>
    </row>
    <row r="637">
      <c r="A637">
        <f>IF(OR(Wages!$B640="",Wages!$E640=""),"",Wages!$E640)</f>
        <v/>
      </c>
      <c r="B637">
        <f>IF($A637="","",IF(Wages!$C640="دستمزد گروهی",2,1))</f>
        <v/>
      </c>
      <c r="C637">
        <f>IF($A637="","",IF(ISNUMBER(Wages!$B640),IF(AND(Wages!$B640&gt;=10000101,Wages!$B640&lt;=99991231),INT(Wages!$B640/10000),""),IFERROR(VALUE(TRIM(LEFT(Wages!$B640,FIND("/",Wages!$B640)-1))),"")))</f>
        <v/>
      </c>
      <c r="D637">
        <f>IF(OR($A637="",$C637=""),"",IF(ISNUMBER(Wages!$B640),INT(MOD(Wages!$B640,10000)/100),IFERROR(VALUE(TRIM(LEFT(MID(Wages!$B640,FIND("/",Wages!$B640)+1,20),FIND("/",MID(Wages!$B640,FIND("/",Wages!$B640)+1,20))-1))),"")))</f>
        <v/>
      </c>
      <c r="E637">
        <f>IF(OR($A637="",$C637=""),"",IF(ISNUMBER(Wages!$B640),MOD(Wages!$B640,100),IFERROR(VALUE(TRIM(MID(MID(Wages!$B640,FIND("/",Wages!$B640)+1,20),FIND("/",MID(Wages!$B640,FIND("/",Wages!$B640)+1,20))+1,20))),"")))</f>
        <v/>
      </c>
      <c r="F637">
        <f>IF($A637="","",IF(OR($C637="",$D637="",$E637="",$C637&lt;1300,$C637&gt;1500,$D637&lt;1,$D637&gt;12,$E637&lt;1,$E637&gt;31),"نامعتبر",RIGHT("0000"&amp;$C637,4)&amp;"/"&amp;RIGHT("00"&amp;$D637,2)&amp;"/"&amp;RIGHT("00"&amp;$E637,2)))</f>
        <v/>
      </c>
      <c r="G637">
        <f>IF(OR($A637="",$F637="",$F637="نامعتبر"),"",LEFT($F637,4)&amp;MID($F637,6,2)&amp;RIGHT($F637,2)&amp;"0000"&amp;"|"&amp;"1"&amp;RIGHT("00000"&amp;632,5))</f>
        <v/>
      </c>
      <c r="H637">
        <f>IF(OR($B637&lt;&gt;1,$G637=""),"",COUNTIFS(LdAParty,$A637,LdAType,1,LdAKey,"&lt;"&amp;$G637)+COUNTIFS(LdBMember,$A637,LdBKey,"&lt;"&amp;$G637)+COUNTIFS(LdCParty,$A637,LdCKey,"&lt;"&amp;$G637)+1)</f>
        <v/>
      </c>
      <c r="I637">
        <f>IF($H637="","",$A637&amp;"|"&amp;RIGHT("000000"&amp;$H637,6))</f>
        <v/>
      </c>
      <c r="J637">
        <f>IF(OR($B637&lt;&gt;2,$G637=""),"",COUNTIFS(LdAParty,$A637,LdAType,2,LdAKey,"&lt;"&amp;$G637)+1)</f>
        <v/>
      </c>
      <c r="K637">
        <f>IF($J637="","",$A637&amp;"|"&amp;RIGHT("000000"&amp;$J637,6))</f>
        <v/>
      </c>
      <c r="L637">
        <f>IF($A637="","",IF(Wages!$G640="",0,Wages!$G640))</f>
        <v/>
      </c>
      <c r="M637">
        <f>IF($A637="","",Wages!$J640)</f>
        <v/>
      </c>
      <c r="N637">
        <f>IF($A637="","",Wages!$D640)</f>
        <v/>
      </c>
      <c r="P637">
        <f>IF(OR(Shares!$B640="",Shares!$C640=""),"",Shares!$C640)</f>
        <v/>
      </c>
      <c r="Q637">
        <f>IF($P637="","",Shares!$B640)</f>
        <v/>
      </c>
      <c r="R637">
        <f>IF($P637="","",IFERROR(INDEX(WageParty,MATCH($Q637,WageIds,0)),""))</f>
        <v/>
      </c>
      <c r="S637">
        <f>IF($P637="","",IFERROR(INDEX($F$6:$F$2005,MATCH($Q637,WageIds,0)),""))</f>
        <v/>
      </c>
      <c r="T637">
        <f>IF(OR($P637="",$S637="",$S637="نامعتبر"),"",LEFT($S637,4)&amp;MID($S637,6,2)&amp;RIGHT($S637,2)&amp;"0000"&amp;"|"&amp;"2"&amp;RIGHT("00000"&amp;632,5))</f>
        <v/>
      </c>
      <c r="U637">
        <f>IF($T637="","",COUNTIFS(LdAParty,$P637,LdAType,1,LdAKey,"&lt;"&amp;$T637)+COUNTIFS(LdBMember,$P637,LdBKey,"&lt;"&amp;$T637)+COUNTIFS(LdCParty,$P637,LdCKey,"&lt;"&amp;$T637)+1)</f>
        <v/>
      </c>
      <c r="V637">
        <f>IF($U637="","",$P637&amp;"|"&amp;RIGHT("000000"&amp;$U637,6))</f>
        <v/>
      </c>
      <c r="W637">
        <f>IF($T637="","",COUNTIFS(LdBGroup,$R637,LdBKey,"&lt;"&amp;$T637)+1)</f>
        <v/>
      </c>
      <c r="X637">
        <f>IF($W637="","",$R637&amp;"|"&amp;RIGHT("000000"&amp;$W637,6))</f>
        <v/>
      </c>
      <c r="Y637">
        <f>IF($P637="","",IF(Shares!$E640="",0,Shares!$E640))</f>
        <v/>
      </c>
      <c r="Z637">
        <f>IF($P637="","",Shares!$H640)</f>
        <v/>
      </c>
      <c r="AE637">
        <f>IF(OR(Sync!$S637="",Sync!$P637=""),"",Sync!$S637)</f>
        <v/>
      </c>
      <c r="AF637">
        <f>IF($AE637="","",IF(ISNUMBER(Sync!$P637),IF(AND(Sync!$P637&gt;=10000101,Sync!$P637&lt;=99991231),INT(Sync!$P637/10000),""),IFERROR(VALUE(TRIM(LEFT(Sync!$P637,FIND("/",Sync!$P637)-1))),"")))</f>
        <v/>
      </c>
      <c r="AG637">
        <f>IF(OR($AE637="",$AF637=""),"",IF(ISNUMBER(Sync!$P637),INT(MOD(Sync!$P637,10000)/100),IFERROR(VALUE(TRIM(LEFT(MID(Sync!$P637,FIND("/",Sync!$P637)+1,20),FIND("/",MID(Sync!$P637,FIND("/",Sync!$P637)+1,20))-1))),"")))</f>
        <v/>
      </c>
      <c r="AH637">
        <f>IF(OR($AE637="",$AF637=""),"",IF(ISNUMBER(Sync!$P637),MOD(Sync!$P637,100),IFERROR(VALUE(TRIM(MID(MID(Sync!$P637,FIND("/",Sync!$P637)+1,20),FIND("/",MID(Sync!$P637,FIND("/",Sync!$P637)+1,20))+1,20))),"")))</f>
        <v/>
      </c>
      <c r="AI637">
        <f>IF($AE637="","",IF(OR($AF637="",$AG637="",$AH637="",$AF637&lt;1300,$AF637&gt;1500,$AG637&lt;1,$AG637&gt;12,$AH637&lt;1,$AH637&gt;31),"نامعتبر",RIGHT("0000"&amp;$AF637,4)&amp;"/"&amp;RIGHT("00"&amp;$AG637,2)&amp;"/"&amp;RIGHT("00"&amp;$AH637,2)))</f>
        <v/>
      </c>
      <c r="AJ637">
        <f>IF($AE637="","",IF(Sync!$Q637="","0000",IF(AND(ISNUMBER(Sync!$Q637),Sync!$Q637&gt;=0,Sync!$Q637&lt;1),RIGHT("00"&amp;HOUR(Sync!$Q637),2)&amp;RIGHT("00"&amp;MINUTE(Sync!$Q637),2),IFERROR(RIGHT("00"&amp;VALUE(LEFT(Sync!$Q637,FIND(":",Sync!$Q637)-1)),2)&amp;RIGHT("00"&amp;VALUE(MID(Sync!$Q637,FIND(":",Sync!$Q637)+1,2)),2),"0000"))))</f>
        <v/>
      </c>
      <c r="AK637">
        <f>IF(OR($AE637="",$AI637="",$AI637="نامعتبر"),"",LEFT($AI637,4)&amp;MID($AI637,6,2)&amp;RIGHT($AI637,2)&amp;$AJ637&amp;"|"&amp;"3"&amp;RIGHT("00000"&amp;632,5))</f>
        <v/>
      </c>
      <c r="AL637">
        <f>IF($AK637="","",COUNTIFS(LdAParty,$AE637,LdAType,1,LdAKey,"&lt;"&amp;$AK637)+COUNTIFS(LdBMember,$AE637,LdBKey,"&lt;"&amp;$AK637)+COUNTIFS(LdCParty,$AE637,LdCKey,"&lt;"&amp;$AK637)+1)</f>
        <v/>
      </c>
      <c r="AM637">
        <f>IF($AL637="","",$AE637&amp;"|"&amp;RIGHT("000000"&amp;$AL637,6))</f>
        <v/>
      </c>
      <c r="AN637">
        <f>IF($AE637="","",IF(Sync!$W637="",0,Sync!$W637))</f>
        <v/>
      </c>
      <c r="AO637">
        <f>IF($AE637="","",IF(Sync!$X637="",0,Sync!$X637))</f>
        <v/>
      </c>
      <c r="AP637">
        <f>IF($AE637="","",Sync!$R637)</f>
        <v/>
      </c>
      <c r="AQ637">
        <f>IF($AE637="","",Sync!$Y637)</f>
        <v/>
      </c>
    </row>
    <row r="638">
      <c r="A638">
        <f>IF(OR(Wages!$B641="",Wages!$E641=""),"",Wages!$E641)</f>
        <v/>
      </c>
      <c r="B638">
        <f>IF($A638="","",IF(Wages!$C641="دستمزد گروهی",2,1))</f>
        <v/>
      </c>
      <c r="C638">
        <f>IF($A638="","",IF(ISNUMBER(Wages!$B641),IF(AND(Wages!$B641&gt;=10000101,Wages!$B641&lt;=99991231),INT(Wages!$B641/10000),""),IFERROR(VALUE(TRIM(LEFT(Wages!$B641,FIND("/",Wages!$B641)-1))),"")))</f>
        <v/>
      </c>
      <c r="D638">
        <f>IF(OR($A638="",$C638=""),"",IF(ISNUMBER(Wages!$B641),INT(MOD(Wages!$B641,10000)/100),IFERROR(VALUE(TRIM(LEFT(MID(Wages!$B641,FIND("/",Wages!$B641)+1,20),FIND("/",MID(Wages!$B641,FIND("/",Wages!$B641)+1,20))-1))),"")))</f>
        <v/>
      </c>
      <c r="E638">
        <f>IF(OR($A638="",$C638=""),"",IF(ISNUMBER(Wages!$B641),MOD(Wages!$B641,100),IFERROR(VALUE(TRIM(MID(MID(Wages!$B641,FIND("/",Wages!$B641)+1,20),FIND("/",MID(Wages!$B641,FIND("/",Wages!$B641)+1,20))+1,20))),"")))</f>
        <v/>
      </c>
      <c r="F638">
        <f>IF($A638="","",IF(OR($C638="",$D638="",$E638="",$C638&lt;1300,$C638&gt;1500,$D638&lt;1,$D638&gt;12,$E638&lt;1,$E638&gt;31),"نامعتبر",RIGHT("0000"&amp;$C638,4)&amp;"/"&amp;RIGHT("00"&amp;$D638,2)&amp;"/"&amp;RIGHT("00"&amp;$E638,2)))</f>
        <v/>
      </c>
      <c r="G638">
        <f>IF(OR($A638="",$F638="",$F638="نامعتبر"),"",LEFT($F638,4)&amp;MID($F638,6,2)&amp;RIGHT($F638,2)&amp;"0000"&amp;"|"&amp;"1"&amp;RIGHT("00000"&amp;633,5))</f>
        <v/>
      </c>
      <c r="H638">
        <f>IF(OR($B638&lt;&gt;1,$G638=""),"",COUNTIFS(LdAParty,$A638,LdAType,1,LdAKey,"&lt;"&amp;$G638)+COUNTIFS(LdBMember,$A638,LdBKey,"&lt;"&amp;$G638)+COUNTIFS(LdCParty,$A638,LdCKey,"&lt;"&amp;$G638)+1)</f>
        <v/>
      </c>
      <c r="I638">
        <f>IF($H638="","",$A638&amp;"|"&amp;RIGHT("000000"&amp;$H638,6))</f>
        <v/>
      </c>
      <c r="J638">
        <f>IF(OR($B638&lt;&gt;2,$G638=""),"",COUNTIFS(LdAParty,$A638,LdAType,2,LdAKey,"&lt;"&amp;$G638)+1)</f>
        <v/>
      </c>
      <c r="K638">
        <f>IF($J638="","",$A638&amp;"|"&amp;RIGHT("000000"&amp;$J638,6))</f>
        <v/>
      </c>
      <c r="L638">
        <f>IF($A638="","",IF(Wages!$G641="",0,Wages!$G641))</f>
        <v/>
      </c>
      <c r="M638">
        <f>IF($A638="","",Wages!$J641)</f>
        <v/>
      </c>
      <c r="N638">
        <f>IF($A638="","",Wages!$D641)</f>
        <v/>
      </c>
      <c r="P638">
        <f>IF(OR(Shares!$B641="",Shares!$C641=""),"",Shares!$C641)</f>
        <v/>
      </c>
      <c r="Q638">
        <f>IF($P638="","",Shares!$B641)</f>
        <v/>
      </c>
      <c r="R638">
        <f>IF($P638="","",IFERROR(INDEX(WageParty,MATCH($Q638,WageIds,0)),""))</f>
        <v/>
      </c>
      <c r="S638">
        <f>IF($P638="","",IFERROR(INDEX($F$6:$F$2005,MATCH($Q638,WageIds,0)),""))</f>
        <v/>
      </c>
      <c r="T638">
        <f>IF(OR($P638="",$S638="",$S638="نامعتبر"),"",LEFT($S638,4)&amp;MID($S638,6,2)&amp;RIGHT($S638,2)&amp;"0000"&amp;"|"&amp;"2"&amp;RIGHT("00000"&amp;633,5))</f>
        <v/>
      </c>
      <c r="U638">
        <f>IF($T638="","",COUNTIFS(LdAParty,$P638,LdAType,1,LdAKey,"&lt;"&amp;$T638)+COUNTIFS(LdBMember,$P638,LdBKey,"&lt;"&amp;$T638)+COUNTIFS(LdCParty,$P638,LdCKey,"&lt;"&amp;$T638)+1)</f>
        <v/>
      </c>
      <c r="V638">
        <f>IF($U638="","",$P638&amp;"|"&amp;RIGHT("000000"&amp;$U638,6))</f>
        <v/>
      </c>
      <c r="W638">
        <f>IF($T638="","",COUNTIFS(LdBGroup,$R638,LdBKey,"&lt;"&amp;$T638)+1)</f>
        <v/>
      </c>
      <c r="X638">
        <f>IF($W638="","",$R638&amp;"|"&amp;RIGHT("000000"&amp;$W638,6))</f>
        <v/>
      </c>
      <c r="Y638">
        <f>IF($P638="","",IF(Shares!$E641="",0,Shares!$E641))</f>
        <v/>
      </c>
      <c r="Z638">
        <f>IF($P638="","",Shares!$H641)</f>
        <v/>
      </c>
      <c r="AE638">
        <f>IF(OR(Sync!$S638="",Sync!$P638=""),"",Sync!$S638)</f>
        <v/>
      </c>
      <c r="AF638">
        <f>IF($AE638="","",IF(ISNUMBER(Sync!$P638),IF(AND(Sync!$P638&gt;=10000101,Sync!$P638&lt;=99991231),INT(Sync!$P638/10000),""),IFERROR(VALUE(TRIM(LEFT(Sync!$P638,FIND("/",Sync!$P638)-1))),"")))</f>
        <v/>
      </c>
      <c r="AG638">
        <f>IF(OR($AE638="",$AF638=""),"",IF(ISNUMBER(Sync!$P638),INT(MOD(Sync!$P638,10000)/100),IFERROR(VALUE(TRIM(LEFT(MID(Sync!$P638,FIND("/",Sync!$P638)+1,20),FIND("/",MID(Sync!$P638,FIND("/",Sync!$P638)+1,20))-1))),"")))</f>
        <v/>
      </c>
      <c r="AH638">
        <f>IF(OR($AE638="",$AF638=""),"",IF(ISNUMBER(Sync!$P638),MOD(Sync!$P638,100),IFERROR(VALUE(TRIM(MID(MID(Sync!$P638,FIND("/",Sync!$P638)+1,20),FIND("/",MID(Sync!$P638,FIND("/",Sync!$P638)+1,20))+1,20))),"")))</f>
        <v/>
      </c>
      <c r="AI638">
        <f>IF($AE638="","",IF(OR($AF638="",$AG638="",$AH638="",$AF638&lt;1300,$AF638&gt;1500,$AG638&lt;1,$AG638&gt;12,$AH638&lt;1,$AH638&gt;31),"نامعتبر",RIGHT("0000"&amp;$AF638,4)&amp;"/"&amp;RIGHT("00"&amp;$AG638,2)&amp;"/"&amp;RIGHT("00"&amp;$AH638,2)))</f>
        <v/>
      </c>
      <c r="AJ638">
        <f>IF($AE638="","",IF(Sync!$Q638="","0000",IF(AND(ISNUMBER(Sync!$Q638),Sync!$Q638&gt;=0,Sync!$Q638&lt;1),RIGHT("00"&amp;HOUR(Sync!$Q638),2)&amp;RIGHT("00"&amp;MINUTE(Sync!$Q638),2),IFERROR(RIGHT("00"&amp;VALUE(LEFT(Sync!$Q638,FIND(":",Sync!$Q638)-1)),2)&amp;RIGHT("00"&amp;VALUE(MID(Sync!$Q638,FIND(":",Sync!$Q638)+1,2)),2),"0000"))))</f>
        <v/>
      </c>
      <c r="AK638">
        <f>IF(OR($AE638="",$AI638="",$AI638="نامعتبر"),"",LEFT($AI638,4)&amp;MID($AI638,6,2)&amp;RIGHT($AI638,2)&amp;$AJ638&amp;"|"&amp;"3"&amp;RIGHT("00000"&amp;633,5))</f>
        <v/>
      </c>
      <c r="AL638">
        <f>IF($AK638="","",COUNTIFS(LdAParty,$AE638,LdAType,1,LdAKey,"&lt;"&amp;$AK638)+COUNTIFS(LdBMember,$AE638,LdBKey,"&lt;"&amp;$AK638)+COUNTIFS(LdCParty,$AE638,LdCKey,"&lt;"&amp;$AK638)+1)</f>
        <v/>
      </c>
      <c r="AM638">
        <f>IF($AL638="","",$AE638&amp;"|"&amp;RIGHT("000000"&amp;$AL638,6))</f>
        <v/>
      </c>
      <c r="AN638">
        <f>IF($AE638="","",IF(Sync!$W638="",0,Sync!$W638))</f>
        <v/>
      </c>
      <c r="AO638">
        <f>IF($AE638="","",IF(Sync!$X638="",0,Sync!$X638))</f>
        <v/>
      </c>
      <c r="AP638">
        <f>IF($AE638="","",Sync!$R638)</f>
        <v/>
      </c>
      <c r="AQ638">
        <f>IF($AE638="","",Sync!$Y638)</f>
        <v/>
      </c>
    </row>
    <row r="639">
      <c r="A639">
        <f>IF(OR(Wages!$B642="",Wages!$E642=""),"",Wages!$E642)</f>
        <v/>
      </c>
      <c r="B639">
        <f>IF($A639="","",IF(Wages!$C642="دستمزد گروهی",2,1))</f>
        <v/>
      </c>
      <c r="C639">
        <f>IF($A639="","",IF(ISNUMBER(Wages!$B642),IF(AND(Wages!$B642&gt;=10000101,Wages!$B642&lt;=99991231),INT(Wages!$B642/10000),""),IFERROR(VALUE(TRIM(LEFT(Wages!$B642,FIND("/",Wages!$B642)-1))),"")))</f>
        <v/>
      </c>
      <c r="D639">
        <f>IF(OR($A639="",$C639=""),"",IF(ISNUMBER(Wages!$B642),INT(MOD(Wages!$B642,10000)/100),IFERROR(VALUE(TRIM(LEFT(MID(Wages!$B642,FIND("/",Wages!$B642)+1,20),FIND("/",MID(Wages!$B642,FIND("/",Wages!$B642)+1,20))-1))),"")))</f>
        <v/>
      </c>
      <c r="E639">
        <f>IF(OR($A639="",$C639=""),"",IF(ISNUMBER(Wages!$B642),MOD(Wages!$B642,100),IFERROR(VALUE(TRIM(MID(MID(Wages!$B642,FIND("/",Wages!$B642)+1,20),FIND("/",MID(Wages!$B642,FIND("/",Wages!$B642)+1,20))+1,20))),"")))</f>
        <v/>
      </c>
      <c r="F639">
        <f>IF($A639="","",IF(OR($C639="",$D639="",$E639="",$C639&lt;1300,$C639&gt;1500,$D639&lt;1,$D639&gt;12,$E639&lt;1,$E639&gt;31),"نامعتبر",RIGHT("0000"&amp;$C639,4)&amp;"/"&amp;RIGHT("00"&amp;$D639,2)&amp;"/"&amp;RIGHT("00"&amp;$E639,2)))</f>
        <v/>
      </c>
      <c r="G639">
        <f>IF(OR($A639="",$F639="",$F639="نامعتبر"),"",LEFT($F639,4)&amp;MID($F639,6,2)&amp;RIGHT($F639,2)&amp;"0000"&amp;"|"&amp;"1"&amp;RIGHT("00000"&amp;634,5))</f>
        <v/>
      </c>
      <c r="H639">
        <f>IF(OR($B639&lt;&gt;1,$G639=""),"",COUNTIFS(LdAParty,$A639,LdAType,1,LdAKey,"&lt;"&amp;$G639)+COUNTIFS(LdBMember,$A639,LdBKey,"&lt;"&amp;$G639)+COUNTIFS(LdCParty,$A639,LdCKey,"&lt;"&amp;$G639)+1)</f>
        <v/>
      </c>
      <c r="I639">
        <f>IF($H639="","",$A639&amp;"|"&amp;RIGHT("000000"&amp;$H639,6))</f>
        <v/>
      </c>
      <c r="J639">
        <f>IF(OR($B639&lt;&gt;2,$G639=""),"",COUNTIFS(LdAParty,$A639,LdAType,2,LdAKey,"&lt;"&amp;$G639)+1)</f>
        <v/>
      </c>
      <c r="K639">
        <f>IF($J639="","",$A639&amp;"|"&amp;RIGHT("000000"&amp;$J639,6))</f>
        <v/>
      </c>
      <c r="L639">
        <f>IF($A639="","",IF(Wages!$G642="",0,Wages!$G642))</f>
        <v/>
      </c>
      <c r="M639">
        <f>IF($A639="","",Wages!$J642)</f>
        <v/>
      </c>
      <c r="N639">
        <f>IF($A639="","",Wages!$D642)</f>
        <v/>
      </c>
      <c r="P639">
        <f>IF(OR(Shares!$B642="",Shares!$C642=""),"",Shares!$C642)</f>
        <v/>
      </c>
      <c r="Q639">
        <f>IF($P639="","",Shares!$B642)</f>
        <v/>
      </c>
      <c r="R639">
        <f>IF($P639="","",IFERROR(INDEX(WageParty,MATCH($Q639,WageIds,0)),""))</f>
        <v/>
      </c>
      <c r="S639">
        <f>IF($P639="","",IFERROR(INDEX($F$6:$F$2005,MATCH($Q639,WageIds,0)),""))</f>
        <v/>
      </c>
      <c r="T639">
        <f>IF(OR($P639="",$S639="",$S639="نامعتبر"),"",LEFT($S639,4)&amp;MID($S639,6,2)&amp;RIGHT($S639,2)&amp;"0000"&amp;"|"&amp;"2"&amp;RIGHT("00000"&amp;634,5))</f>
        <v/>
      </c>
      <c r="U639">
        <f>IF($T639="","",COUNTIFS(LdAParty,$P639,LdAType,1,LdAKey,"&lt;"&amp;$T639)+COUNTIFS(LdBMember,$P639,LdBKey,"&lt;"&amp;$T639)+COUNTIFS(LdCParty,$P639,LdCKey,"&lt;"&amp;$T639)+1)</f>
        <v/>
      </c>
      <c r="V639">
        <f>IF($U639="","",$P639&amp;"|"&amp;RIGHT("000000"&amp;$U639,6))</f>
        <v/>
      </c>
      <c r="W639">
        <f>IF($T639="","",COUNTIFS(LdBGroup,$R639,LdBKey,"&lt;"&amp;$T639)+1)</f>
        <v/>
      </c>
      <c r="X639">
        <f>IF($W639="","",$R639&amp;"|"&amp;RIGHT("000000"&amp;$W639,6))</f>
        <v/>
      </c>
      <c r="Y639">
        <f>IF($P639="","",IF(Shares!$E642="",0,Shares!$E642))</f>
        <v/>
      </c>
      <c r="Z639">
        <f>IF($P639="","",Shares!$H642)</f>
        <v/>
      </c>
      <c r="AE639">
        <f>IF(OR(Sync!$S639="",Sync!$P639=""),"",Sync!$S639)</f>
        <v/>
      </c>
      <c r="AF639">
        <f>IF($AE639="","",IF(ISNUMBER(Sync!$P639),IF(AND(Sync!$P639&gt;=10000101,Sync!$P639&lt;=99991231),INT(Sync!$P639/10000),""),IFERROR(VALUE(TRIM(LEFT(Sync!$P639,FIND("/",Sync!$P639)-1))),"")))</f>
        <v/>
      </c>
      <c r="AG639">
        <f>IF(OR($AE639="",$AF639=""),"",IF(ISNUMBER(Sync!$P639),INT(MOD(Sync!$P639,10000)/100),IFERROR(VALUE(TRIM(LEFT(MID(Sync!$P639,FIND("/",Sync!$P639)+1,20),FIND("/",MID(Sync!$P639,FIND("/",Sync!$P639)+1,20))-1))),"")))</f>
        <v/>
      </c>
      <c r="AH639">
        <f>IF(OR($AE639="",$AF639=""),"",IF(ISNUMBER(Sync!$P639),MOD(Sync!$P639,100),IFERROR(VALUE(TRIM(MID(MID(Sync!$P639,FIND("/",Sync!$P639)+1,20),FIND("/",MID(Sync!$P639,FIND("/",Sync!$P639)+1,20))+1,20))),"")))</f>
        <v/>
      </c>
      <c r="AI639">
        <f>IF($AE639="","",IF(OR($AF639="",$AG639="",$AH639="",$AF639&lt;1300,$AF639&gt;1500,$AG639&lt;1,$AG639&gt;12,$AH639&lt;1,$AH639&gt;31),"نامعتبر",RIGHT("0000"&amp;$AF639,4)&amp;"/"&amp;RIGHT("00"&amp;$AG639,2)&amp;"/"&amp;RIGHT("00"&amp;$AH639,2)))</f>
        <v/>
      </c>
      <c r="AJ639">
        <f>IF($AE639="","",IF(Sync!$Q639="","0000",IF(AND(ISNUMBER(Sync!$Q639),Sync!$Q639&gt;=0,Sync!$Q639&lt;1),RIGHT("00"&amp;HOUR(Sync!$Q639),2)&amp;RIGHT("00"&amp;MINUTE(Sync!$Q639),2),IFERROR(RIGHT("00"&amp;VALUE(LEFT(Sync!$Q639,FIND(":",Sync!$Q639)-1)),2)&amp;RIGHT("00"&amp;VALUE(MID(Sync!$Q639,FIND(":",Sync!$Q639)+1,2)),2),"0000"))))</f>
        <v/>
      </c>
      <c r="AK639">
        <f>IF(OR($AE639="",$AI639="",$AI639="نامعتبر"),"",LEFT($AI639,4)&amp;MID($AI639,6,2)&amp;RIGHT($AI639,2)&amp;$AJ639&amp;"|"&amp;"3"&amp;RIGHT("00000"&amp;634,5))</f>
        <v/>
      </c>
      <c r="AL639">
        <f>IF($AK639="","",COUNTIFS(LdAParty,$AE639,LdAType,1,LdAKey,"&lt;"&amp;$AK639)+COUNTIFS(LdBMember,$AE639,LdBKey,"&lt;"&amp;$AK639)+COUNTIFS(LdCParty,$AE639,LdCKey,"&lt;"&amp;$AK639)+1)</f>
        <v/>
      </c>
      <c r="AM639">
        <f>IF($AL639="","",$AE639&amp;"|"&amp;RIGHT("000000"&amp;$AL639,6))</f>
        <v/>
      </c>
      <c r="AN639">
        <f>IF($AE639="","",IF(Sync!$W639="",0,Sync!$W639))</f>
        <v/>
      </c>
      <c r="AO639">
        <f>IF($AE639="","",IF(Sync!$X639="",0,Sync!$X639))</f>
        <v/>
      </c>
      <c r="AP639">
        <f>IF($AE639="","",Sync!$R639)</f>
        <v/>
      </c>
      <c r="AQ639">
        <f>IF($AE639="","",Sync!$Y639)</f>
        <v/>
      </c>
    </row>
    <row r="640">
      <c r="A640">
        <f>IF(OR(Wages!$B643="",Wages!$E643=""),"",Wages!$E643)</f>
        <v/>
      </c>
      <c r="B640">
        <f>IF($A640="","",IF(Wages!$C643="دستمزد گروهی",2,1))</f>
        <v/>
      </c>
      <c r="C640">
        <f>IF($A640="","",IF(ISNUMBER(Wages!$B643),IF(AND(Wages!$B643&gt;=10000101,Wages!$B643&lt;=99991231),INT(Wages!$B643/10000),""),IFERROR(VALUE(TRIM(LEFT(Wages!$B643,FIND("/",Wages!$B643)-1))),"")))</f>
        <v/>
      </c>
      <c r="D640">
        <f>IF(OR($A640="",$C640=""),"",IF(ISNUMBER(Wages!$B643),INT(MOD(Wages!$B643,10000)/100),IFERROR(VALUE(TRIM(LEFT(MID(Wages!$B643,FIND("/",Wages!$B643)+1,20),FIND("/",MID(Wages!$B643,FIND("/",Wages!$B643)+1,20))-1))),"")))</f>
        <v/>
      </c>
      <c r="E640">
        <f>IF(OR($A640="",$C640=""),"",IF(ISNUMBER(Wages!$B643),MOD(Wages!$B643,100),IFERROR(VALUE(TRIM(MID(MID(Wages!$B643,FIND("/",Wages!$B643)+1,20),FIND("/",MID(Wages!$B643,FIND("/",Wages!$B643)+1,20))+1,20))),"")))</f>
        <v/>
      </c>
      <c r="F640">
        <f>IF($A640="","",IF(OR($C640="",$D640="",$E640="",$C640&lt;1300,$C640&gt;1500,$D640&lt;1,$D640&gt;12,$E640&lt;1,$E640&gt;31),"نامعتبر",RIGHT("0000"&amp;$C640,4)&amp;"/"&amp;RIGHT("00"&amp;$D640,2)&amp;"/"&amp;RIGHT("00"&amp;$E640,2)))</f>
        <v/>
      </c>
      <c r="G640">
        <f>IF(OR($A640="",$F640="",$F640="نامعتبر"),"",LEFT($F640,4)&amp;MID($F640,6,2)&amp;RIGHT($F640,2)&amp;"0000"&amp;"|"&amp;"1"&amp;RIGHT("00000"&amp;635,5))</f>
        <v/>
      </c>
      <c r="H640">
        <f>IF(OR($B640&lt;&gt;1,$G640=""),"",COUNTIFS(LdAParty,$A640,LdAType,1,LdAKey,"&lt;"&amp;$G640)+COUNTIFS(LdBMember,$A640,LdBKey,"&lt;"&amp;$G640)+COUNTIFS(LdCParty,$A640,LdCKey,"&lt;"&amp;$G640)+1)</f>
        <v/>
      </c>
      <c r="I640">
        <f>IF($H640="","",$A640&amp;"|"&amp;RIGHT("000000"&amp;$H640,6))</f>
        <v/>
      </c>
      <c r="J640">
        <f>IF(OR($B640&lt;&gt;2,$G640=""),"",COUNTIFS(LdAParty,$A640,LdAType,2,LdAKey,"&lt;"&amp;$G640)+1)</f>
        <v/>
      </c>
      <c r="K640">
        <f>IF($J640="","",$A640&amp;"|"&amp;RIGHT("000000"&amp;$J640,6))</f>
        <v/>
      </c>
      <c r="L640">
        <f>IF($A640="","",IF(Wages!$G643="",0,Wages!$G643))</f>
        <v/>
      </c>
      <c r="M640">
        <f>IF($A640="","",Wages!$J643)</f>
        <v/>
      </c>
      <c r="N640">
        <f>IF($A640="","",Wages!$D643)</f>
        <v/>
      </c>
      <c r="P640">
        <f>IF(OR(Shares!$B643="",Shares!$C643=""),"",Shares!$C643)</f>
        <v/>
      </c>
      <c r="Q640">
        <f>IF($P640="","",Shares!$B643)</f>
        <v/>
      </c>
      <c r="R640">
        <f>IF($P640="","",IFERROR(INDEX(WageParty,MATCH($Q640,WageIds,0)),""))</f>
        <v/>
      </c>
      <c r="S640">
        <f>IF($P640="","",IFERROR(INDEX($F$6:$F$2005,MATCH($Q640,WageIds,0)),""))</f>
        <v/>
      </c>
      <c r="T640">
        <f>IF(OR($P640="",$S640="",$S640="نامعتبر"),"",LEFT($S640,4)&amp;MID($S640,6,2)&amp;RIGHT($S640,2)&amp;"0000"&amp;"|"&amp;"2"&amp;RIGHT("00000"&amp;635,5))</f>
        <v/>
      </c>
      <c r="U640">
        <f>IF($T640="","",COUNTIFS(LdAParty,$P640,LdAType,1,LdAKey,"&lt;"&amp;$T640)+COUNTIFS(LdBMember,$P640,LdBKey,"&lt;"&amp;$T640)+COUNTIFS(LdCParty,$P640,LdCKey,"&lt;"&amp;$T640)+1)</f>
        <v/>
      </c>
      <c r="V640">
        <f>IF($U640="","",$P640&amp;"|"&amp;RIGHT("000000"&amp;$U640,6))</f>
        <v/>
      </c>
      <c r="W640">
        <f>IF($T640="","",COUNTIFS(LdBGroup,$R640,LdBKey,"&lt;"&amp;$T640)+1)</f>
        <v/>
      </c>
      <c r="X640">
        <f>IF($W640="","",$R640&amp;"|"&amp;RIGHT("000000"&amp;$W640,6))</f>
        <v/>
      </c>
      <c r="Y640">
        <f>IF($P640="","",IF(Shares!$E643="",0,Shares!$E643))</f>
        <v/>
      </c>
      <c r="Z640">
        <f>IF($P640="","",Shares!$H643)</f>
        <v/>
      </c>
      <c r="AE640">
        <f>IF(OR(Sync!$S640="",Sync!$P640=""),"",Sync!$S640)</f>
        <v/>
      </c>
      <c r="AF640">
        <f>IF($AE640="","",IF(ISNUMBER(Sync!$P640),IF(AND(Sync!$P640&gt;=10000101,Sync!$P640&lt;=99991231),INT(Sync!$P640/10000),""),IFERROR(VALUE(TRIM(LEFT(Sync!$P640,FIND("/",Sync!$P640)-1))),"")))</f>
        <v/>
      </c>
      <c r="AG640">
        <f>IF(OR($AE640="",$AF640=""),"",IF(ISNUMBER(Sync!$P640),INT(MOD(Sync!$P640,10000)/100),IFERROR(VALUE(TRIM(LEFT(MID(Sync!$P640,FIND("/",Sync!$P640)+1,20),FIND("/",MID(Sync!$P640,FIND("/",Sync!$P640)+1,20))-1))),"")))</f>
        <v/>
      </c>
      <c r="AH640">
        <f>IF(OR($AE640="",$AF640=""),"",IF(ISNUMBER(Sync!$P640),MOD(Sync!$P640,100),IFERROR(VALUE(TRIM(MID(MID(Sync!$P640,FIND("/",Sync!$P640)+1,20),FIND("/",MID(Sync!$P640,FIND("/",Sync!$P640)+1,20))+1,20))),"")))</f>
        <v/>
      </c>
      <c r="AI640">
        <f>IF($AE640="","",IF(OR($AF640="",$AG640="",$AH640="",$AF640&lt;1300,$AF640&gt;1500,$AG640&lt;1,$AG640&gt;12,$AH640&lt;1,$AH640&gt;31),"نامعتبر",RIGHT("0000"&amp;$AF640,4)&amp;"/"&amp;RIGHT("00"&amp;$AG640,2)&amp;"/"&amp;RIGHT("00"&amp;$AH640,2)))</f>
        <v/>
      </c>
      <c r="AJ640">
        <f>IF($AE640="","",IF(Sync!$Q640="","0000",IF(AND(ISNUMBER(Sync!$Q640),Sync!$Q640&gt;=0,Sync!$Q640&lt;1),RIGHT("00"&amp;HOUR(Sync!$Q640),2)&amp;RIGHT("00"&amp;MINUTE(Sync!$Q640),2),IFERROR(RIGHT("00"&amp;VALUE(LEFT(Sync!$Q640,FIND(":",Sync!$Q640)-1)),2)&amp;RIGHT("00"&amp;VALUE(MID(Sync!$Q640,FIND(":",Sync!$Q640)+1,2)),2),"0000"))))</f>
        <v/>
      </c>
      <c r="AK640">
        <f>IF(OR($AE640="",$AI640="",$AI640="نامعتبر"),"",LEFT($AI640,4)&amp;MID($AI640,6,2)&amp;RIGHT($AI640,2)&amp;$AJ640&amp;"|"&amp;"3"&amp;RIGHT("00000"&amp;635,5))</f>
        <v/>
      </c>
      <c r="AL640">
        <f>IF($AK640="","",COUNTIFS(LdAParty,$AE640,LdAType,1,LdAKey,"&lt;"&amp;$AK640)+COUNTIFS(LdBMember,$AE640,LdBKey,"&lt;"&amp;$AK640)+COUNTIFS(LdCParty,$AE640,LdCKey,"&lt;"&amp;$AK640)+1)</f>
        <v/>
      </c>
      <c r="AM640">
        <f>IF($AL640="","",$AE640&amp;"|"&amp;RIGHT("000000"&amp;$AL640,6))</f>
        <v/>
      </c>
      <c r="AN640">
        <f>IF($AE640="","",IF(Sync!$W640="",0,Sync!$W640))</f>
        <v/>
      </c>
      <c r="AO640">
        <f>IF($AE640="","",IF(Sync!$X640="",0,Sync!$X640))</f>
        <v/>
      </c>
      <c r="AP640">
        <f>IF($AE640="","",Sync!$R640)</f>
        <v/>
      </c>
      <c r="AQ640">
        <f>IF($AE640="","",Sync!$Y640)</f>
        <v/>
      </c>
    </row>
    <row r="641">
      <c r="A641">
        <f>IF(OR(Wages!$B644="",Wages!$E644=""),"",Wages!$E644)</f>
        <v/>
      </c>
      <c r="B641">
        <f>IF($A641="","",IF(Wages!$C644="دستمزد گروهی",2,1))</f>
        <v/>
      </c>
      <c r="C641">
        <f>IF($A641="","",IF(ISNUMBER(Wages!$B644),IF(AND(Wages!$B644&gt;=10000101,Wages!$B644&lt;=99991231),INT(Wages!$B644/10000),""),IFERROR(VALUE(TRIM(LEFT(Wages!$B644,FIND("/",Wages!$B644)-1))),"")))</f>
        <v/>
      </c>
      <c r="D641">
        <f>IF(OR($A641="",$C641=""),"",IF(ISNUMBER(Wages!$B644),INT(MOD(Wages!$B644,10000)/100),IFERROR(VALUE(TRIM(LEFT(MID(Wages!$B644,FIND("/",Wages!$B644)+1,20),FIND("/",MID(Wages!$B644,FIND("/",Wages!$B644)+1,20))-1))),"")))</f>
        <v/>
      </c>
      <c r="E641">
        <f>IF(OR($A641="",$C641=""),"",IF(ISNUMBER(Wages!$B644),MOD(Wages!$B644,100),IFERROR(VALUE(TRIM(MID(MID(Wages!$B644,FIND("/",Wages!$B644)+1,20),FIND("/",MID(Wages!$B644,FIND("/",Wages!$B644)+1,20))+1,20))),"")))</f>
        <v/>
      </c>
      <c r="F641">
        <f>IF($A641="","",IF(OR($C641="",$D641="",$E641="",$C641&lt;1300,$C641&gt;1500,$D641&lt;1,$D641&gt;12,$E641&lt;1,$E641&gt;31),"نامعتبر",RIGHT("0000"&amp;$C641,4)&amp;"/"&amp;RIGHT("00"&amp;$D641,2)&amp;"/"&amp;RIGHT("00"&amp;$E641,2)))</f>
        <v/>
      </c>
      <c r="G641">
        <f>IF(OR($A641="",$F641="",$F641="نامعتبر"),"",LEFT($F641,4)&amp;MID($F641,6,2)&amp;RIGHT($F641,2)&amp;"0000"&amp;"|"&amp;"1"&amp;RIGHT("00000"&amp;636,5))</f>
        <v/>
      </c>
      <c r="H641">
        <f>IF(OR($B641&lt;&gt;1,$G641=""),"",COUNTIFS(LdAParty,$A641,LdAType,1,LdAKey,"&lt;"&amp;$G641)+COUNTIFS(LdBMember,$A641,LdBKey,"&lt;"&amp;$G641)+COUNTIFS(LdCParty,$A641,LdCKey,"&lt;"&amp;$G641)+1)</f>
        <v/>
      </c>
      <c r="I641">
        <f>IF($H641="","",$A641&amp;"|"&amp;RIGHT("000000"&amp;$H641,6))</f>
        <v/>
      </c>
      <c r="J641">
        <f>IF(OR($B641&lt;&gt;2,$G641=""),"",COUNTIFS(LdAParty,$A641,LdAType,2,LdAKey,"&lt;"&amp;$G641)+1)</f>
        <v/>
      </c>
      <c r="K641">
        <f>IF($J641="","",$A641&amp;"|"&amp;RIGHT("000000"&amp;$J641,6))</f>
        <v/>
      </c>
      <c r="L641">
        <f>IF($A641="","",IF(Wages!$G644="",0,Wages!$G644))</f>
        <v/>
      </c>
      <c r="M641">
        <f>IF($A641="","",Wages!$J644)</f>
        <v/>
      </c>
      <c r="N641">
        <f>IF($A641="","",Wages!$D644)</f>
        <v/>
      </c>
      <c r="P641">
        <f>IF(OR(Shares!$B644="",Shares!$C644=""),"",Shares!$C644)</f>
        <v/>
      </c>
      <c r="Q641">
        <f>IF($P641="","",Shares!$B644)</f>
        <v/>
      </c>
      <c r="R641">
        <f>IF($P641="","",IFERROR(INDEX(WageParty,MATCH($Q641,WageIds,0)),""))</f>
        <v/>
      </c>
      <c r="S641">
        <f>IF($P641="","",IFERROR(INDEX($F$6:$F$2005,MATCH($Q641,WageIds,0)),""))</f>
        <v/>
      </c>
      <c r="T641">
        <f>IF(OR($P641="",$S641="",$S641="نامعتبر"),"",LEFT($S641,4)&amp;MID($S641,6,2)&amp;RIGHT($S641,2)&amp;"0000"&amp;"|"&amp;"2"&amp;RIGHT("00000"&amp;636,5))</f>
        <v/>
      </c>
      <c r="U641">
        <f>IF($T641="","",COUNTIFS(LdAParty,$P641,LdAType,1,LdAKey,"&lt;"&amp;$T641)+COUNTIFS(LdBMember,$P641,LdBKey,"&lt;"&amp;$T641)+COUNTIFS(LdCParty,$P641,LdCKey,"&lt;"&amp;$T641)+1)</f>
        <v/>
      </c>
      <c r="V641">
        <f>IF($U641="","",$P641&amp;"|"&amp;RIGHT("000000"&amp;$U641,6))</f>
        <v/>
      </c>
      <c r="W641">
        <f>IF($T641="","",COUNTIFS(LdBGroup,$R641,LdBKey,"&lt;"&amp;$T641)+1)</f>
        <v/>
      </c>
      <c r="X641">
        <f>IF($W641="","",$R641&amp;"|"&amp;RIGHT("000000"&amp;$W641,6))</f>
        <v/>
      </c>
      <c r="Y641">
        <f>IF($P641="","",IF(Shares!$E644="",0,Shares!$E644))</f>
        <v/>
      </c>
      <c r="Z641">
        <f>IF($P641="","",Shares!$H644)</f>
        <v/>
      </c>
      <c r="AE641">
        <f>IF(OR(Sync!$S641="",Sync!$P641=""),"",Sync!$S641)</f>
        <v/>
      </c>
      <c r="AF641">
        <f>IF($AE641="","",IF(ISNUMBER(Sync!$P641),IF(AND(Sync!$P641&gt;=10000101,Sync!$P641&lt;=99991231),INT(Sync!$P641/10000),""),IFERROR(VALUE(TRIM(LEFT(Sync!$P641,FIND("/",Sync!$P641)-1))),"")))</f>
        <v/>
      </c>
      <c r="AG641">
        <f>IF(OR($AE641="",$AF641=""),"",IF(ISNUMBER(Sync!$P641),INT(MOD(Sync!$P641,10000)/100),IFERROR(VALUE(TRIM(LEFT(MID(Sync!$P641,FIND("/",Sync!$P641)+1,20),FIND("/",MID(Sync!$P641,FIND("/",Sync!$P641)+1,20))-1))),"")))</f>
        <v/>
      </c>
      <c r="AH641">
        <f>IF(OR($AE641="",$AF641=""),"",IF(ISNUMBER(Sync!$P641),MOD(Sync!$P641,100),IFERROR(VALUE(TRIM(MID(MID(Sync!$P641,FIND("/",Sync!$P641)+1,20),FIND("/",MID(Sync!$P641,FIND("/",Sync!$P641)+1,20))+1,20))),"")))</f>
        <v/>
      </c>
      <c r="AI641">
        <f>IF($AE641="","",IF(OR($AF641="",$AG641="",$AH641="",$AF641&lt;1300,$AF641&gt;1500,$AG641&lt;1,$AG641&gt;12,$AH641&lt;1,$AH641&gt;31),"نامعتبر",RIGHT("0000"&amp;$AF641,4)&amp;"/"&amp;RIGHT("00"&amp;$AG641,2)&amp;"/"&amp;RIGHT("00"&amp;$AH641,2)))</f>
        <v/>
      </c>
      <c r="AJ641">
        <f>IF($AE641="","",IF(Sync!$Q641="","0000",IF(AND(ISNUMBER(Sync!$Q641),Sync!$Q641&gt;=0,Sync!$Q641&lt;1),RIGHT("00"&amp;HOUR(Sync!$Q641),2)&amp;RIGHT("00"&amp;MINUTE(Sync!$Q641),2),IFERROR(RIGHT("00"&amp;VALUE(LEFT(Sync!$Q641,FIND(":",Sync!$Q641)-1)),2)&amp;RIGHT("00"&amp;VALUE(MID(Sync!$Q641,FIND(":",Sync!$Q641)+1,2)),2),"0000"))))</f>
        <v/>
      </c>
      <c r="AK641">
        <f>IF(OR($AE641="",$AI641="",$AI641="نامعتبر"),"",LEFT($AI641,4)&amp;MID($AI641,6,2)&amp;RIGHT($AI641,2)&amp;$AJ641&amp;"|"&amp;"3"&amp;RIGHT("00000"&amp;636,5))</f>
        <v/>
      </c>
      <c r="AL641">
        <f>IF($AK641="","",COUNTIFS(LdAParty,$AE641,LdAType,1,LdAKey,"&lt;"&amp;$AK641)+COUNTIFS(LdBMember,$AE641,LdBKey,"&lt;"&amp;$AK641)+COUNTIFS(LdCParty,$AE641,LdCKey,"&lt;"&amp;$AK641)+1)</f>
        <v/>
      </c>
      <c r="AM641">
        <f>IF($AL641="","",$AE641&amp;"|"&amp;RIGHT("000000"&amp;$AL641,6))</f>
        <v/>
      </c>
      <c r="AN641">
        <f>IF($AE641="","",IF(Sync!$W641="",0,Sync!$W641))</f>
        <v/>
      </c>
      <c r="AO641">
        <f>IF($AE641="","",IF(Sync!$X641="",0,Sync!$X641))</f>
        <v/>
      </c>
      <c r="AP641">
        <f>IF($AE641="","",Sync!$R641)</f>
        <v/>
      </c>
      <c r="AQ641">
        <f>IF($AE641="","",Sync!$Y641)</f>
        <v/>
      </c>
    </row>
    <row r="642">
      <c r="A642">
        <f>IF(OR(Wages!$B645="",Wages!$E645=""),"",Wages!$E645)</f>
        <v/>
      </c>
      <c r="B642">
        <f>IF($A642="","",IF(Wages!$C645="دستمزد گروهی",2,1))</f>
        <v/>
      </c>
      <c r="C642">
        <f>IF($A642="","",IF(ISNUMBER(Wages!$B645),IF(AND(Wages!$B645&gt;=10000101,Wages!$B645&lt;=99991231),INT(Wages!$B645/10000),""),IFERROR(VALUE(TRIM(LEFT(Wages!$B645,FIND("/",Wages!$B645)-1))),"")))</f>
        <v/>
      </c>
      <c r="D642">
        <f>IF(OR($A642="",$C642=""),"",IF(ISNUMBER(Wages!$B645),INT(MOD(Wages!$B645,10000)/100),IFERROR(VALUE(TRIM(LEFT(MID(Wages!$B645,FIND("/",Wages!$B645)+1,20),FIND("/",MID(Wages!$B645,FIND("/",Wages!$B645)+1,20))-1))),"")))</f>
        <v/>
      </c>
      <c r="E642">
        <f>IF(OR($A642="",$C642=""),"",IF(ISNUMBER(Wages!$B645),MOD(Wages!$B645,100),IFERROR(VALUE(TRIM(MID(MID(Wages!$B645,FIND("/",Wages!$B645)+1,20),FIND("/",MID(Wages!$B645,FIND("/",Wages!$B645)+1,20))+1,20))),"")))</f>
        <v/>
      </c>
      <c r="F642">
        <f>IF($A642="","",IF(OR($C642="",$D642="",$E642="",$C642&lt;1300,$C642&gt;1500,$D642&lt;1,$D642&gt;12,$E642&lt;1,$E642&gt;31),"نامعتبر",RIGHT("0000"&amp;$C642,4)&amp;"/"&amp;RIGHT("00"&amp;$D642,2)&amp;"/"&amp;RIGHT("00"&amp;$E642,2)))</f>
        <v/>
      </c>
      <c r="G642">
        <f>IF(OR($A642="",$F642="",$F642="نامعتبر"),"",LEFT($F642,4)&amp;MID($F642,6,2)&amp;RIGHT($F642,2)&amp;"0000"&amp;"|"&amp;"1"&amp;RIGHT("00000"&amp;637,5))</f>
        <v/>
      </c>
      <c r="H642">
        <f>IF(OR($B642&lt;&gt;1,$G642=""),"",COUNTIFS(LdAParty,$A642,LdAType,1,LdAKey,"&lt;"&amp;$G642)+COUNTIFS(LdBMember,$A642,LdBKey,"&lt;"&amp;$G642)+COUNTIFS(LdCParty,$A642,LdCKey,"&lt;"&amp;$G642)+1)</f>
        <v/>
      </c>
      <c r="I642">
        <f>IF($H642="","",$A642&amp;"|"&amp;RIGHT("000000"&amp;$H642,6))</f>
        <v/>
      </c>
      <c r="J642">
        <f>IF(OR($B642&lt;&gt;2,$G642=""),"",COUNTIFS(LdAParty,$A642,LdAType,2,LdAKey,"&lt;"&amp;$G642)+1)</f>
        <v/>
      </c>
      <c r="K642">
        <f>IF($J642="","",$A642&amp;"|"&amp;RIGHT("000000"&amp;$J642,6))</f>
        <v/>
      </c>
      <c r="L642">
        <f>IF($A642="","",IF(Wages!$G645="",0,Wages!$G645))</f>
        <v/>
      </c>
      <c r="M642">
        <f>IF($A642="","",Wages!$J645)</f>
        <v/>
      </c>
      <c r="N642">
        <f>IF($A642="","",Wages!$D645)</f>
        <v/>
      </c>
      <c r="P642">
        <f>IF(OR(Shares!$B645="",Shares!$C645=""),"",Shares!$C645)</f>
        <v/>
      </c>
      <c r="Q642">
        <f>IF($P642="","",Shares!$B645)</f>
        <v/>
      </c>
      <c r="R642">
        <f>IF($P642="","",IFERROR(INDEX(WageParty,MATCH($Q642,WageIds,0)),""))</f>
        <v/>
      </c>
      <c r="S642">
        <f>IF($P642="","",IFERROR(INDEX($F$6:$F$2005,MATCH($Q642,WageIds,0)),""))</f>
        <v/>
      </c>
      <c r="T642">
        <f>IF(OR($P642="",$S642="",$S642="نامعتبر"),"",LEFT($S642,4)&amp;MID($S642,6,2)&amp;RIGHT($S642,2)&amp;"0000"&amp;"|"&amp;"2"&amp;RIGHT("00000"&amp;637,5))</f>
        <v/>
      </c>
      <c r="U642">
        <f>IF($T642="","",COUNTIFS(LdAParty,$P642,LdAType,1,LdAKey,"&lt;"&amp;$T642)+COUNTIFS(LdBMember,$P642,LdBKey,"&lt;"&amp;$T642)+COUNTIFS(LdCParty,$P642,LdCKey,"&lt;"&amp;$T642)+1)</f>
        <v/>
      </c>
      <c r="V642">
        <f>IF($U642="","",$P642&amp;"|"&amp;RIGHT("000000"&amp;$U642,6))</f>
        <v/>
      </c>
      <c r="W642">
        <f>IF($T642="","",COUNTIFS(LdBGroup,$R642,LdBKey,"&lt;"&amp;$T642)+1)</f>
        <v/>
      </c>
      <c r="X642">
        <f>IF($W642="","",$R642&amp;"|"&amp;RIGHT("000000"&amp;$W642,6))</f>
        <v/>
      </c>
      <c r="Y642">
        <f>IF($P642="","",IF(Shares!$E645="",0,Shares!$E645))</f>
        <v/>
      </c>
      <c r="Z642">
        <f>IF($P642="","",Shares!$H645)</f>
        <v/>
      </c>
      <c r="AE642">
        <f>IF(OR(Sync!$S642="",Sync!$P642=""),"",Sync!$S642)</f>
        <v/>
      </c>
      <c r="AF642">
        <f>IF($AE642="","",IF(ISNUMBER(Sync!$P642),IF(AND(Sync!$P642&gt;=10000101,Sync!$P642&lt;=99991231),INT(Sync!$P642/10000),""),IFERROR(VALUE(TRIM(LEFT(Sync!$P642,FIND("/",Sync!$P642)-1))),"")))</f>
        <v/>
      </c>
      <c r="AG642">
        <f>IF(OR($AE642="",$AF642=""),"",IF(ISNUMBER(Sync!$P642),INT(MOD(Sync!$P642,10000)/100),IFERROR(VALUE(TRIM(LEFT(MID(Sync!$P642,FIND("/",Sync!$P642)+1,20),FIND("/",MID(Sync!$P642,FIND("/",Sync!$P642)+1,20))-1))),"")))</f>
        <v/>
      </c>
      <c r="AH642">
        <f>IF(OR($AE642="",$AF642=""),"",IF(ISNUMBER(Sync!$P642),MOD(Sync!$P642,100),IFERROR(VALUE(TRIM(MID(MID(Sync!$P642,FIND("/",Sync!$P642)+1,20),FIND("/",MID(Sync!$P642,FIND("/",Sync!$P642)+1,20))+1,20))),"")))</f>
        <v/>
      </c>
      <c r="AI642">
        <f>IF($AE642="","",IF(OR($AF642="",$AG642="",$AH642="",$AF642&lt;1300,$AF642&gt;1500,$AG642&lt;1,$AG642&gt;12,$AH642&lt;1,$AH642&gt;31),"نامعتبر",RIGHT("0000"&amp;$AF642,4)&amp;"/"&amp;RIGHT("00"&amp;$AG642,2)&amp;"/"&amp;RIGHT("00"&amp;$AH642,2)))</f>
        <v/>
      </c>
      <c r="AJ642">
        <f>IF($AE642="","",IF(Sync!$Q642="","0000",IF(AND(ISNUMBER(Sync!$Q642),Sync!$Q642&gt;=0,Sync!$Q642&lt;1),RIGHT("00"&amp;HOUR(Sync!$Q642),2)&amp;RIGHT("00"&amp;MINUTE(Sync!$Q642),2),IFERROR(RIGHT("00"&amp;VALUE(LEFT(Sync!$Q642,FIND(":",Sync!$Q642)-1)),2)&amp;RIGHT("00"&amp;VALUE(MID(Sync!$Q642,FIND(":",Sync!$Q642)+1,2)),2),"0000"))))</f>
        <v/>
      </c>
      <c r="AK642">
        <f>IF(OR($AE642="",$AI642="",$AI642="نامعتبر"),"",LEFT($AI642,4)&amp;MID($AI642,6,2)&amp;RIGHT($AI642,2)&amp;$AJ642&amp;"|"&amp;"3"&amp;RIGHT("00000"&amp;637,5))</f>
        <v/>
      </c>
      <c r="AL642">
        <f>IF($AK642="","",COUNTIFS(LdAParty,$AE642,LdAType,1,LdAKey,"&lt;"&amp;$AK642)+COUNTIFS(LdBMember,$AE642,LdBKey,"&lt;"&amp;$AK642)+COUNTIFS(LdCParty,$AE642,LdCKey,"&lt;"&amp;$AK642)+1)</f>
        <v/>
      </c>
      <c r="AM642">
        <f>IF($AL642="","",$AE642&amp;"|"&amp;RIGHT("000000"&amp;$AL642,6))</f>
        <v/>
      </c>
      <c r="AN642">
        <f>IF($AE642="","",IF(Sync!$W642="",0,Sync!$W642))</f>
        <v/>
      </c>
      <c r="AO642">
        <f>IF($AE642="","",IF(Sync!$X642="",0,Sync!$X642))</f>
        <v/>
      </c>
      <c r="AP642">
        <f>IF($AE642="","",Sync!$R642)</f>
        <v/>
      </c>
      <c r="AQ642">
        <f>IF($AE642="","",Sync!$Y642)</f>
        <v/>
      </c>
    </row>
    <row r="643">
      <c r="A643">
        <f>IF(OR(Wages!$B646="",Wages!$E646=""),"",Wages!$E646)</f>
        <v/>
      </c>
      <c r="B643">
        <f>IF($A643="","",IF(Wages!$C646="دستمزد گروهی",2,1))</f>
        <v/>
      </c>
      <c r="C643">
        <f>IF($A643="","",IF(ISNUMBER(Wages!$B646),IF(AND(Wages!$B646&gt;=10000101,Wages!$B646&lt;=99991231),INT(Wages!$B646/10000),""),IFERROR(VALUE(TRIM(LEFT(Wages!$B646,FIND("/",Wages!$B646)-1))),"")))</f>
        <v/>
      </c>
      <c r="D643">
        <f>IF(OR($A643="",$C643=""),"",IF(ISNUMBER(Wages!$B646),INT(MOD(Wages!$B646,10000)/100),IFERROR(VALUE(TRIM(LEFT(MID(Wages!$B646,FIND("/",Wages!$B646)+1,20),FIND("/",MID(Wages!$B646,FIND("/",Wages!$B646)+1,20))-1))),"")))</f>
        <v/>
      </c>
      <c r="E643">
        <f>IF(OR($A643="",$C643=""),"",IF(ISNUMBER(Wages!$B646),MOD(Wages!$B646,100),IFERROR(VALUE(TRIM(MID(MID(Wages!$B646,FIND("/",Wages!$B646)+1,20),FIND("/",MID(Wages!$B646,FIND("/",Wages!$B646)+1,20))+1,20))),"")))</f>
        <v/>
      </c>
      <c r="F643">
        <f>IF($A643="","",IF(OR($C643="",$D643="",$E643="",$C643&lt;1300,$C643&gt;1500,$D643&lt;1,$D643&gt;12,$E643&lt;1,$E643&gt;31),"نامعتبر",RIGHT("0000"&amp;$C643,4)&amp;"/"&amp;RIGHT("00"&amp;$D643,2)&amp;"/"&amp;RIGHT("00"&amp;$E643,2)))</f>
        <v/>
      </c>
      <c r="G643">
        <f>IF(OR($A643="",$F643="",$F643="نامعتبر"),"",LEFT($F643,4)&amp;MID($F643,6,2)&amp;RIGHT($F643,2)&amp;"0000"&amp;"|"&amp;"1"&amp;RIGHT("00000"&amp;638,5))</f>
        <v/>
      </c>
      <c r="H643">
        <f>IF(OR($B643&lt;&gt;1,$G643=""),"",COUNTIFS(LdAParty,$A643,LdAType,1,LdAKey,"&lt;"&amp;$G643)+COUNTIFS(LdBMember,$A643,LdBKey,"&lt;"&amp;$G643)+COUNTIFS(LdCParty,$A643,LdCKey,"&lt;"&amp;$G643)+1)</f>
        <v/>
      </c>
      <c r="I643">
        <f>IF($H643="","",$A643&amp;"|"&amp;RIGHT("000000"&amp;$H643,6))</f>
        <v/>
      </c>
      <c r="J643">
        <f>IF(OR($B643&lt;&gt;2,$G643=""),"",COUNTIFS(LdAParty,$A643,LdAType,2,LdAKey,"&lt;"&amp;$G643)+1)</f>
        <v/>
      </c>
      <c r="K643">
        <f>IF($J643="","",$A643&amp;"|"&amp;RIGHT("000000"&amp;$J643,6))</f>
        <v/>
      </c>
      <c r="L643">
        <f>IF($A643="","",IF(Wages!$G646="",0,Wages!$G646))</f>
        <v/>
      </c>
      <c r="M643">
        <f>IF($A643="","",Wages!$J646)</f>
        <v/>
      </c>
      <c r="N643">
        <f>IF($A643="","",Wages!$D646)</f>
        <v/>
      </c>
      <c r="P643">
        <f>IF(OR(Shares!$B646="",Shares!$C646=""),"",Shares!$C646)</f>
        <v/>
      </c>
      <c r="Q643">
        <f>IF($P643="","",Shares!$B646)</f>
        <v/>
      </c>
      <c r="R643">
        <f>IF($P643="","",IFERROR(INDEX(WageParty,MATCH($Q643,WageIds,0)),""))</f>
        <v/>
      </c>
      <c r="S643">
        <f>IF($P643="","",IFERROR(INDEX($F$6:$F$2005,MATCH($Q643,WageIds,0)),""))</f>
        <v/>
      </c>
      <c r="T643">
        <f>IF(OR($P643="",$S643="",$S643="نامعتبر"),"",LEFT($S643,4)&amp;MID($S643,6,2)&amp;RIGHT($S643,2)&amp;"0000"&amp;"|"&amp;"2"&amp;RIGHT("00000"&amp;638,5))</f>
        <v/>
      </c>
      <c r="U643">
        <f>IF($T643="","",COUNTIFS(LdAParty,$P643,LdAType,1,LdAKey,"&lt;"&amp;$T643)+COUNTIFS(LdBMember,$P643,LdBKey,"&lt;"&amp;$T643)+COUNTIFS(LdCParty,$P643,LdCKey,"&lt;"&amp;$T643)+1)</f>
        <v/>
      </c>
      <c r="V643">
        <f>IF($U643="","",$P643&amp;"|"&amp;RIGHT("000000"&amp;$U643,6))</f>
        <v/>
      </c>
      <c r="W643">
        <f>IF($T643="","",COUNTIFS(LdBGroup,$R643,LdBKey,"&lt;"&amp;$T643)+1)</f>
        <v/>
      </c>
      <c r="X643">
        <f>IF($W643="","",$R643&amp;"|"&amp;RIGHT("000000"&amp;$W643,6))</f>
        <v/>
      </c>
      <c r="Y643">
        <f>IF($P643="","",IF(Shares!$E646="",0,Shares!$E646))</f>
        <v/>
      </c>
      <c r="Z643">
        <f>IF($P643="","",Shares!$H646)</f>
        <v/>
      </c>
      <c r="AE643">
        <f>IF(OR(Sync!$S643="",Sync!$P643=""),"",Sync!$S643)</f>
        <v/>
      </c>
      <c r="AF643">
        <f>IF($AE643="","",IF(ISNUMBER(Sync!$P643),IF(AND(Sync!$P643&gt;=10000101,Sync!$P643&lt;=99991231),INT(Sync!$P643/10000),""),IFERROR(VALUE(TRIM(LEFT(Sync!$P643,FIND("/",Sync!$P643)-1))),"")))</f>
        <v/>
      </c>
      <c r="AG643">
        <f>IF(OR($AE643="",$AF643=""),"",IF(ISNUMBER(Sync!$P643),INT(MOD(Sync!$P643,10000)/100),IFERROR(VALUE(TRIM(LEFT(MID(Sync!$P643,FIND("/",Sync!$P643)+1,20),FIND("/",MID(Sync!$P643,FIND("/",Sync!$P643)+1,20))-1))),"")))</f>
        <v/>
      </c>
      <c r="AH643">
        <f>IF(OR($AE643="",$AF643=""),"",IF(ISNUMBER(Sync!$P643),MOD(Sync!$P643,100),IFERROR(VALUE(TRIM(MID(MID(Sync!$P643,FIND("/",Sync!$P643)+1,20),FIND("/",MID(Sync!$P643,FIND("/",Sync!$P643)+1,20))+1,20))),"")))</f>
        <v/>
      </c>
      <c r="AI643">
        <f>IF($AE643="","",IF(OR($AF643="",$AG643="",$AH643="",$AF643&lt;1300,$AF643&gt;1500,$AG643&lt;1,$AG643&gt;12,$AH643&lt;1,$AH643&gt;31),"نامعتبر",RIGHT("0000"&amp;$AF643,4)&amp;"/"&amp;RIGHT("00"&amp;$AG643,2)&amp;"/"&amp;RIGHT("00"&amp;$AH643,2)))</f>
        <v/>
      </c>
      <c r="AJ643">
        <f>IF($AE643="","",IF(Sync!$Q643="","0000",IF(AND(ISNUMBER(Sync!$Q643),Sync!$Q643&gt;=0,Sync!$Q643&lt;1),RIGHT("00"&amp;HOUR(Sync!$Q643),2)&amp;RIGHT("00"&amp;MINUTE(Sync!$Q643),2),IFERROR(RIGHT("00"&amp;VALUE(LEFT(Sync!$Q643,FIND(":",Sync!$Q643)-1)),2)&amp;RIGHT("00"&amp;VALUE(MID(Sync!$Q643,FIND(":",Sync!$Q643)+1,2)),2),"0000"))))</f>
        <v/>
      </c>
      <c r="AK643">
        <f>IF(OR($AE643="",$AI643="",$AI643="نامعتبر"),"",LEFT($AI643,4)&amp;MID($AI643,6,2)&amp;RIGHT($AI643,2)&amp;$AJ643&amp;"|"&amp;"3"&amp;RIGHT("00000"&amp;638,5))</f>
        <v/>
      </c>
      <c r="AL643">
        <f>IF($AK643="","",COUNTIFS(LdAParty,$AE643,LdAType,1,LdAKey,"&lt;"&amp;$AK643)+COUNTIFS(LdBMember,$AE643,LdBKey,"&lt;"&amp;$AK643)+COUNTIFS(LdCParty,$AE643,LdCKey,"&lt;"&amp;$AK643)+1)</f>
        <v/>
      </c>
      <c r="AM643">
        <f>IF($AL643="","",$AE643&amp;"|"&amp;RIGHT("000000"&amp;$AL643,6))</f>
        <v/>
      </c>
      <c r="AN643">
        <f>IF($AE643="","",IF(Sync!$W643="",0,Sync!$W643))</f>
        <v/>
      </c>
      <c r="AO643">
        <f>IF($AE643="","",IF(Sync!$X643="",0,Sync!$X643))</f>
        <v/>
      </c>
      <c r="AP643">
        <f>IF($AE643="","",Sync!$R643)</f>
        <v/>
      </c>
      <c r="AQ643">
        <f>IF($AE643="","",Sync!$Y643)</f>
        <v/>
      </c>
    </row>
    <row r="644">
      <c r="A644">
        <f>IF(OR(Wages!$B647="",Wages!$E647=""),"",Wages!$E647)</f>
        <v/>
      </c>
      <c r="B644">
        <f>IF($A644="","",IF(Wages!$C647="دستمزد گروهی",2,1))</f>
        <v/>
      </c>
      <c r="C644">
        <f>IF($A644="","",IF(ISNUMBER(Wages!$B647),IF(AND(Wages!$B647&gt;=10000101,Wages!$B647&lt;=99991231),INT(Wages!$B647/10000),""),IFERROR(VALUE(TRIM(LEFT(Wages!$B647,FIND("/",Wages!$B647)-1))),"")))</f>
        <v/>
      </c>
      <c r="D644">
        <f>IF(OR($A644="",$C644=""),"",IF(ISNUMBER(Wages!$B647),INT(MOD(Wages!$B647,10000)/100),IFERROR(VALUE(TRIM(LEFT(MID(Wages!$B647,FIND("/",Wages!$B647)+1,20),FIND("/",MID(Wages!$B647,FIND("/",Wages!$B647)+1,20))-1))),"")))</f>
        <v/>
      </c>
      <c r="E644">
        <f>IF(OR($A644="",$C644=""),"",IF(ISNUMBER(Wages!$B647),MOD(Wages!$B647,100),IFERROR(VALUE(TRIM(MID(MID(Wages!$B647,FIND("/",Wages!$B647)+1,20),FIND("/",MID(Wages!$B647,FIND("/",Wages!$B647)+1,20))+1,20))),"")))</f>
        <v/>
      </c>
      <c r="F644">
        <f>IF($A644="","",IF(OR($C644="",$D644="",$E644="",$C644&lt;1300,$C644&gt;1500,$D644&lt;1,$D644&gt;12,$E644&lt;1,$E644&gt;31),"نامعتبر",RIGHT("0000"&amp;$C644,4)&amp;"/"&amp;RIGHT("00"&amp;$D644,2)&amp;"/"&amp;RIGHT("00"&amp;$E644,2)))</f>
        <v/>
      </c>
      <c r="G644">
        <f>IF(OR($A644="",$F644="",$F644="نامعتبر"),"",LEFT($F644,4)&amp;MID($F644,6,2)&amp;RIGHT($F644,2)&amp;"0000"&amp;"|"&amp;"1"&amp;RIGHT("00000"&amp;639,5))</f>
        <v/>
      </c>
      <c r="H644">
        <f>IF(OR($B644&lt;&gt;1,$G644=""),"",COUNTIFS(LdAParty,$A644,LdAType,1,LdAKey,"&lt;"&amp;$G644)+COUNTIFS(LdBMember,$A644,LdBKey,"&lt;"&amp;$G644)+COUNTIFS(LdCParty,$A644,LdCKey,"&lt;"&amp;$G644)+1)</f>
        <v/>
      </c>
      <c r="I644">
        <f>IF($H644="","",$A644&amp;"|"&amp;RIGHT("000000"&amp;$H644,6))</f>
        <v/>
      </c>
      <c r="J644">
        <f>IF(OR($B644&lt;&gt;2,$G644=""),"",COUNTIFS(LdAParty,$A644,LdAType,2,LdAKey,"&lt;"&amp;$G644)+1)</f>
        <v/>
      </c>
      <c r="K644">
        <f>IF($J644="","",$A644&amp;"|"&amp;RIGHT("000000"&amp;$J644,6))</f>
        <v/>
      </c>
      <c r="L644">
        <f>IF($A644="","",IF(Wages!$G647="",0,Wages!$G647))</f>
        <v/>
      </c>
      <c r="M644">
        <f>IF($A644="","",Wages!$J647)</f>
        <v/>
      </c>
      <c r="N644">
        <f>IF($A644="","",Wages!$D647)</f>
        <v/>
      </c>
      <c r="P644">
        <f>IF(OR(Shares!$B647="",Shares!$C647=""),"",Shares!$C647)</f>
        <v/>
      </c>
      <c r="Q644">
        <f>IF($P644="","",Shares!$B647)</f>
        <v/>
      </c>
      <c r="R644">
        <f>IF($P644="","",IFERROR(INDEX(WageParty,MATCH($Q644,WageIds,0)),""))</f>
        <v/>
      </c>
      <c r="S644">
        <f>IF($P644="","",IFERROR(INDEX($F$6:$F$2005,MATCH($Q644,WageIds,0)),""))</f>
        <v/>
      </c>
      <c r="T644">
        <f>IF(OR($P644="",$S644="",$S644="نامعتبر"),"",LEFT($S644,4)&amp;MID($S644,6,2)&amp;RIGHT($S644,2)&amp;"0000"&amp;"|"&amp;"2"&amp;RIGHT("00000"&amp;639,5))</f>
        <v/>
      </c>
      <c r="U644">
        <f>IF($T644="","",COUNTIFS(LdAParty,$P644,LdAType,1,LdAKey,"&lt;"&amp;$T644)+COUNTIFS(LdBMember,$P644,LdBKey,"&lt;"&amp;$T644)+COUNTIFS(LdCParty,$P644,LdCKey,"&lt;"&amp;$T644)+1)</f>
        <v/>
      </c>
      <c r="V644">
        <f>IF($U644="","",$P644&amp;"|"&amp;RIGHT("000000"&amp;$U644,6))</f>
        <v/>
      </c>
      <c r="W644">
        <f>IF($T644="","",COUNTIFS(LdBGroup,$R644,LdBKey,"&lt;"&amp;$T644)+1)</f>
        <v/>
      </c>
      <c r="X644">
        <f>IF($W644="","",$R644&amp;"|"&amp;RIGHT("000000"&amp;$W644,6))</f>
        <v/>
      </c>
      <c r="Y644">
        <f>IF($P644="","",IF(Shares!$E647="",0,Shares!$E647))</f>
        <v/>
      </c>
      <c r="Z644">
        <f>IF($P644="","",Shares!$H647)</f>
        <v/>
      </c>
      <c r="AE644">
        <f>IF(OR(Sync!$S644="",Sync!$P644=""),"",Sync!$S644)</f>
        <v/>
      </c>
      <c r="AF644">
        <f>IF($AE644="","",IF(ISNUMBER(Sync!$P644),IF(AND(Sync!$P644&gt;=10000101,Sync!$P644&lt;=99991231),INT(Sync!$P644/10000),""),IFERROR(VALUE(TRIM(LEFT(Sync!$P644,FIND("/",Sync!$P644)-1))),"")))</f>
        <v/>
      </c>
      <c r="AG644">
        <f>IF(OR($AE644="",$AF644=""),"",IF(ISNUMBER(Sync!$P644),INT(MOD(Sync!$P644,10000)/100),IFERROR(VALUE(TRIM(LEFT(MID(Sync!$P644,FIND("/",Sync!$P644)+1,20),FIND("/",MID(Sync!$P644,FIND("/",Sync!$P644)+1,20))-1))),"")))</f>
        <v/>
      </c>
      <c r="AH644">
        <f>IF(OR($AE644="",$AF644=""),"",IF(ISNUMBER(Sync!$P644),MOD(Sync!$P644,100),IFERROR(VALUE(TRIM(MID(MID(Sync!$P644,FIND("/",Sync!$P644)+1,20),FIND("/",MID(Sync!$P644,FIND("/",Sync!$P644)+1,20))+1,20))),"")))</f>
        <v/>
      </c>
      <c r="AI644">
        <f>IF($AE644="","",IF(OR($AF644="",$AG644="",$AH644="",$AF644&lt;1300,$AF644&gt;1500,$AG644&lt;1,$AG644&gt;12,$AH644&lt;1,$AH644&gt;31),"نامعتبر",RIGHT("0000"&amp;$AF644,4)&amp;"/"&amp;RIGHT("00"&amp;$AG644,2)&amp;"/"&amp;RIGHT("00"&amp;$AH644,2)))</f>
        <v/>
      </c>
      <c r="AJ644">
        <f>IF($AE644="","",IF(Sync!$Q644="","0000",IF(AND(ISNUMBER(Sync!$Q644),Sync!$Q644&gt;=0,Sync!$Q644&lt;1),RIGHT("00"&amp;HOUR(Sync!$Q644),2)&amp;RIGHT("00"&amp;MINUTE(Sync!$Q644),2),IFERROR(RIGHT("00"&amp;VALUE(LEFT(Sync!$Q644,FIND(":",Sync!$Q644)-1)),2)&amp;RIGHT("00"&amp;VALUE(MID(Sync!$Q644,FIND(":",Sync!$Q644)+1,2)),2),"0000"))))</f>
        <v/>
      </c>
      <c r="AK644">
        <f>IF(OR($AE644="",$AI644="",$AI644="نامعتبر"),"",LEFT($AI644,4)&amp;MID($AI644,6,2)&amp;RIGHT($AI644,2)&amp;$AJ644&amp;"|"&amp;"3"&amp;RIGHT("00000"&amp;639,5))</f>
        <v/>
      </c>
      <c r="AL644">
        <f>IF($AK644="","",COUNTIFS(LdAParty,$AE644,LdAType,1,LdAKey,"&lt;"&amp;$AK644)+COUNTIFS(LdBMember,$AE644,LdBKey,"&lt;"&amp;$AK644)+COUNTIFS(LdCParty,$AE644,LdCKey,"&lt;"&amp;$AK644)+1)</f>
        <v/>
      </c>
      <c r="AM644">
        <f>IF($AL644="","",$AE644&amp;"|"&amp;RIGHT("000000"&amp;$AL644,6))</f>
        <v/>
      </c>
      <c r="AN644">
        <f>IF($AE644="","",IF(Sync!$W644="",0,Sync!$W644))</f>
        <v/>
      </c>
      <c r="AO644">
        <f>IF($AE644="","",IF(Sync!$X644="",0,Sync!$X644))</f>
        <v/>
      </c>
      <c r="AP644">
        <f>IF($AE644="","",Sync!$R644)</f>
        <v/>
      </c>
      <c r="AQ644">
        <f>IF($AE644="","",Sync!$Y644)</f>
        <v/>
      </c>
    </row>
    <row r="645">
      <c r="A645">
        <f>IF(OR(Wages!$B648="",Wages!$E648=""),"",Wages!$E648)</f>
        <v/>
      </c>
      <c r="B645">
        <f>IF($A645="","",IF(Wages!$C648="دستمزد گروهی",2,1))</f>
        <v/>
      </c>
      <c r="C645">
        <f>IF($A645="","",IF(ISNUMBER(Wages!$B648),IF(AND(Wages!$B648&gt;=10000101,Wages!$B648&lt;=99991231),INT(Wages!$B648/10000),""),IFERROR(VALUE(TRIM(LEFT(Wages!$B648,FIND("/",Wages!$B648)-1))),"")))</f>
        <v/>
      </c>
      <c r="D645">
        <f>IF(OR($A645="",$C645=""),"",IF(ISNUMBER(Wages!$B648),INT(MOD(Wages!$B648,10000)/100),IFERROR(VALUE(TRIM(LEFT(MID(Wages!$B648,FIND("/",Wages!$B648)+1,20),FIND("/",MID(Wages!$B648,FIND("/",Wages!$B648)+1,20))-1))),"")))</f>
        <v/>
      </c>
      <c r="E645">
        <f>IF(OR($A645="",$C645=""),"",IF(ISNUMBER(Wages!$B648),MOD(Wages!$B648,100),IFERROR(VALUE(TRIM(MID(MID(Wages!$B648,FIND("/",Wages!$B648)+1,20),FIND("/",MID(Wages!$B648,FIND("/",Wages!$B648)+1,20))+1,20))),"")))</f>
        <v/>
      </c>
      <c r="F645">
        <f>IF($A645="","",IF(OR($C645="",$D645="",$E645="",$C645&lt;1300,$C645&gt;1500,$D645&lt;1,$D645&gt;12,$E645&lt;1,$E645&gt;31),"نامعتبر",RIGHT("0000"&amp;$C645,4)&amp;"/"&amp;RIGHT("00"&amp;$D645,2)&amp;"/"&amp;RIGHT("00"&amp;$E645,2)))</f>
        <v/>
      </c>
      <c r="G645">
        <f>IF(OR($A645="",$F645="",$F645="نامعتبر"),"",LEFT($F645,4)&amp;MID($F645,6,2)&amp;RIGHT($F645,2)&amp;"0000"&amp;"|"&amp;"1"&amp;RIGHT("00000"&amp;640,5))</f>
        <v/>
      </c>
      <c r="H645">
        <f>IF(OR($B645&lt;&gt;1,$G645=""),"",COUNTIFS(LdAParty,$A645,LdAType,1,LdAKey,"&lt;"&amp;$G645)+COUNTIFS(LdBMember,$A645,LdBKey,"&lt;"&amp;$G645)+COUNTIFS(LdCParty,$A645,LdCKey,"&lt;"&amp;$G645)+1)</f>
        <v/>
      </c>
      <c r="I645">
        <f>IF($H645="","",$A645&amp;"|"&amp;RIGHT("000000"&amp;$H645,6))</f>
        <v/>
      </c>
      <c r="J645">
        <f>IF(OR($B645&lt;&gt;2,$G645=""),"",COUNTIFS(LdAParty,$A645,LdAType,2,LdAKey,"&lt;"&amp;$G645)+1)</f>
        <v/>
      </c>
      <c r="K645">
        <f>IF($J645="","",$A645&amp;"|"&amp;RIGHT("000000"&amp;$J645,6))</f>
        <v/>
      </c>
      <c r="L645">
        <f>IF($A645="","",IF(Wages!$G648="",0,Wages!$G648))</f>
        <v/>
      </c>
      <c r="M645">
        <f>IF($A645="","",Wages!$J648)</f>
        <v/>
      </c>
      <c r="N645">
        <f>IF($A645="","",Wages!$D648)</f>
        <v/>
      </c>
      <c r="P645">
        <f>IF(OR(Shares!$B648="",Shares!$C648=""),"",Shares!$C648)</f>
        <v/>
      </c>
      <c r="Q645">
        <f>IF($P645="","",Shares!$B648)</f>
        <v/>
      </c>
      <c r="R645">
        <f>IF($P645="","",IFERROR(INDEX(WageParty,MATCH($Q645,WageIds,0)),""))</f>
        <v/>
      </c>
      <c r="S645">
        <f>IF($P645="","",IFERROR(INDEX($F$6:$F$2005,MATCH($Q645,WageIds,0)),""))</f>
        <v/>
      </c>
      <c r="T645">
        <f>IF(OR($P645="",$S645="",$S645="نامعتبر"),"",LEFT($S645,4)&amp;MID($S645,6,2)&amp;RIGHT($S645,2)&amp;"0000"&amp;"|"&amp;"2"&amp;RIGHT("00000"&amp;640,5))</f>
        <v/>
      </c>
      <c r="U645">
        <f>IF($T645="","",COUNTIFS(LdAParty,$P645,LdAType,1,LdAKey,"&lt;"&amp;$T645)+COUNTIFS(LdBMember,$P645,LdBKey,"&lt;"&amp;$T645)+COUNTIFS(LdCParty,$P645,LdCKey,"&lt;"&amp;$T645)+1)</f>
        <v/>
      </c>
      <c r="V645">
        <f>IF($U645="","",$P645&amp;"|"&amp;RIGHT("000000"&amp;$U645,6))</f>
        <v/>
      </c>
      <c r="W645">
        <f>IF($T645="","",COUNTIFS(LdBGroup,$R645,LdBKey,"&lt;"&amp;$T645)+1)</f>
        <v/>
      </c>
      <c r="X645">
        <f>IF($W645="","",$R645&amp;"|"&amp;RIGHT("000000"&amp;$W645,6))</f>
        <v/>
      </c>
      <c r="Y645">
        <f>IF($P645="","",IF(Shares!$E648="",0,Shares!$E648))</f>
        <v/>
      </c>
      <c r="Z645">
        <f>IF($P645="","",Shares!$H648)</f>
        <v/>
      </c>
      <c r="AE645">
        <f>IF(OR(Sync!$S645="",Sync!$P645=""),"",Sync!$S645)</f>
        <v/>
      </c>
      <c r="AF645">
        <f>IF($AE645="","",IF(ISNUMBER(Sync!$P645),IF(AND(Sync!$P645&gt;=10000101,Sync!$P645&lt;=99991231),INT(Sync!$P645/10000),""),IFERROR(VALUE(TRIM(LEFT(Sync!$P645,FIND("/",Sync!$P645)-1))),"")))</f>
        <v/>
      </c>
      <c r="AG645">
        <f>IF(OR($AE645="",$AF645=""),"",IF(ISNUMBER(Sync!$P645),INT(MOD(Sync!$P645,10000)/100),IFERROR(VALUE(TRIM(LEFT(MID(Sync!$P645,FIND("/",Sync!$P645)+1,20),FIND("/",MID(Sync!$P645,FIND("/",Sync!$P645)+1,20))-1))),"")))</f>
        <v/>
      </c>
      <c r="AH645">
        <f>IF(OR($AE645="",$AF645=""),"",IF(ISNUMBER(Sync!$P645),MOD(Sync!$P645,100),IFERROR(VALUE(TRIM(MID(MID(Sync!$P645,FIND("/",Sync!$P645)+1,20),FIND("/",MID(Sync!$P645,FIND("/",Sync!$P645)+1,20))+1,20))),"")))</f>
        <v/>
      </c>
      <c r="AI645">
        <f>IF($AE645="","",IF(OR($AF645="",$AG645="",$AH645="",$AF645&lt;1300,$AF645&gt;1500,$AG645&lt;1,$AG645&gt;12,$AH645&lt;1,$AH645&gt;31),"نامعتبر",RIGHT("0000"&amp;$AF645,4)&amp;"/"&amp;RIGHT("00"&amp;$AG645,2)&amp;"/"&amp;RIGHT("00"&amp;$AH645,2)))</f>
        <v/>
      </c>
      <c r="AJ645">
        <f>IF($AE645="","",IF(Sync!$Q645="","0000",IF(AND(ISNUMBER(Sync!$Q645),Sync!$Q645&gt;=0,Sync!$Q645&lt;1),RIGHT("00"&amp;HOUR(Sync!$Q645),2)&amp;RIGHT("00"&amp;MINUTE(Sync!$Q645),2),IFERROR(RIGHT("00"&amp;VALUE(LEFT(Sync!$Q645,FIND(":",Sync!$Q645)-1)),2)&amp;RIGHT("00"&amp;VALUE(MID(Sync!$Q645,FIND(":",Sync!$Q645)+1,2)),2),"0000"))))</f>
        <v/>
      </c>
      <c r="AK645">
        <f>IF(OR($AE645="",$AI645="",$AI645="نامعتبر"),"",LEFT($AI645,4)&amp;MID($AI645,6,2)&amp;RIGHT($AI645,2)&amp;$AJ645&amp;"|"&amp;"3"&amp;RIGHT("00000"&amp;640,5))</f>
        <v/>
      </c>
      <c r="AL645">
        <f>IF($AK645="","",COUNTIFS(LdAParty,$AE645,LdAType,1,LdAKey,"&lt;"&amp;$AK645)+COUNTIFS(LdBMember,$AE645,LdBKey,"&lt;"&amp;$AK645)+COUNTIFS(LdCParty,$AE645,LdCKey,"&lt;"&amp;$AK645)+1)</f>
        <v/>
      </c>
      <c r="AM645">
        <f>IF($AL645="","",$AE645&amp;"|"&amp;RIGHT("000000"&amp;$AL645,6))</f>
        <v/>
      </c>
      <c r="AN645">
        <f>IF($AE645="","",IF(Sync!$W645="",0,Sync!$W645))</f>
        <v/>
      </c>
      <c r="AO645">
        <f>IF($AE645="","",IF(Sync!$X645="",0,Sync!$X645))</f>
        <v/>
      </c>
      <c r="AP645">
        <f>IF($AE645="","",Sync!$R645)</f>
        <v/>
      </c>
      <c r="AQ645">
        <f>IF($AE645="","",Sync!$Y645)</f>
        <v/>
      </c>
    </row>
    <row r="646">
      <c r="A646">
        <f>IF(OR(Wages!$B649="",Wages!$E649=""),"",Wages!$E649)</f>
        <v/>
      </c>
      <c r="B646">
        <f>IF($A646="","",IF(Wages!$C649="دستمزد گروهی",2,1))</f>
        <v/>
      </c>
      <c r="C646">
        <f>IF($A646="","",IF(ISNUMBER(Wages!$B649),IF(AND(Wages!$B649&gt;=10000101,Wages!$B649&lt;=99991231),INT(Wages!$B649/10000),""),IFERROR(VALUE(TRIM(LEFT(Wages!$B649,FIND("/",Wages!$B649)-1))),"")))</f>
        <v/>
      </c>
      <c r="D646">
        <f>IF(OR($A646="",$C646=""),"",IF(ISNUMBER(Wages!$B649),INT(MOD(Wages!$B649,10000)/100),IFERROR(VALUE(TRIM(LEFT(MID(Wages!$B649,FIND("/",Wages!$B649)+1,20),FIND("/",MID(Wages!$B649,FIND("/",Wages!$B649)+1,20))-1))),"")))</f>
        <v/>
      </c>
      <c r="E646">
        <f>IF(OR($A646="",$C646=""),"",IF(ISNUMBER(Wages!$B649),MOD(Wages!$B649,100),IFERROR(VALUE(TRIM(MID(MID(Wages!$B649,FIND("/",Wages!$B649)+1,20),FIND("/",MID(Wages!$B649,FIND("/",Wages!$B649)+1,20))+1,20))),"")))</f>
        <v/>
      </c>
      <c r="F646">
        <f>IF($A646="","",IF(OR($C646="",$D646="",$E646="",$C646&lt;1300,$C646&gt;1500,$D646&lt;1,$D646&gt;12,$E646&lt;1,$E646&gt;31),"نامعتبر",RIGHT("0000"&amp;$C646,4)&amp;"/"&amp;RIGHT("00"&amp;$D646,2)&amp;"/"&amp;RIGHT("00"&amp;$E646,2)))</f>
        <v/>
      </c>
      <c r="G646">
        <f>IF(OR($A646="",$F646="",$F646="نامعتبر"),"",LEFT($F646,4)&amp;MID($F646,6,2)&amp;RIGHT($F646,2)&amp;"0000"&amp;"|"&amp;"1"&amp;RIGHT("00000"&amp;641,5))</f>
        <v/>
      </c>
      <c r="H646">
        <f>IF(OR($B646&lt;&gt;1,$G646=""),"",COUNTIFS(LdAParty,$A646,LdAType,1,LdAKey,"&lt;"&amp;$G646)+COUNTIFS(LdBMember,$A646,LdBKey,"&lt;"&amp;$G646)+COUNTIFS(LdCParty,$A646,LdCKey,"&lt;"&amp;$G646)+1)</f>
        <v/>
      </c>
      <c r="I646">
        <f>IF($H646="","",$A646&amp;"|"&amp;RIGHT("000000"&amp;$H646,6))</f>
        <v/>
      </c>
      <c r="J646">
        <f>IF(OR($B646&lt;&gt;2,$G646=""),"",COUNTIFS(LdAParty,$A646,LdAType,2,LdAKey,"&lt;"&amp;$G646)+1)</f>
        <v/>
      </c>
      <c r="K646">
        <f>IF($J646="","",$A646&amp;"|"&amp;RIGHT("000000"&amp;$J646,6))</f>
        <v/>
      </c>
      <c r="L646">
        <f>IF($A646="","",IF(Wages!$G649="",0,Wages!$G649))</f>
        <v/>
      </c>
      <c r="M646">
        <f>IF($A646="","",Wages!$J649)</f>
        <v/>
      </c>
      <c r="N646">
        <f>IF($A646="","",Wages!$D649)</f>
        <v/>
      </c>
      <c r="P646">
        <f>IF(OR(Shares!$B649="",Shares!$C649=""),"",Shares!$C649)</f>
        <v/>
      </c>
      <c r="Q646">
        <f>IF($P646="","",Shares!$B649)</f>
        <v/>
      </c>
      <c r="R646">
        <f>IF($P646="","",IFERROR(INDEX(WageParty,MATCH($Q646,WageIds,0)),""))</f>
        <v/>
      </c>
      <c r="S646">
        <f>IF($P646="","",IFERROR(INDEX($F$6:$F$2005,MATCH($Q646,WageIds,0)),""))</f>
        <v/>
      </c>
      <c r="T646">
        <f>IF(OR($P646="",$S646="",$S646="نامعتبر"),"",LEFT($S646,4)&amp;MID($S646,6,2)&amp;RIGHT($S646,2)&amp;"0000"&amp;"|"&amp;"2"&amp;RIGHT("00000"&amp;641,5))</f>
        <v/>
      </c>
      <c r="U646">
        <f>IF($T646="","",COUNTIFS(LdAParty,$P646,LdAType,1,LdAKey,"&lt;"&amp;$T646)+COUNTIFS(LdBMember,$P646,LdBKey,"&lt;"&amp;$T646)+COUNTIFS(LdCParty,$P646,LdCKey,"&lt;"&amp;$T646)+1)</f>
        <v/>
      </c>
      <c r="V646">
        <f>IF($U646="","",$P646&amp;"|"&amp;RIGHT("000000"&amp;$U646,6))</f>
        <v/>
      </c>
      <c r="W646">
        <f>IF($T646="","",COUNTIFS(LdBGroup,$R646,LdBKey,"&lt;"&amp;$T646)+1)</f>
        <v/>
      </c>
      <c r="X646">
        <f>IF($W646="","",$R646&amp;"|"&amp;RIGHT("000000"&amp;$W646,6))</f>
        <v/>
      </c>
      <c r="Y646">
        <f>IF($P646="","",IF(Shares!$E649="",0,Shares!$E649))</f>
        <v/>
      </c>
      <c r="Z646">
        <f>IF($P646="","",Shares!$H649)</f>
        <v/>
      </c>
      <c r="AE646">
        <f>IF(OR(Sync!$S646="",Sync!$P646=""),"",Sync!$S646)</f>
        <v/>
      </c>
      <c r="AF646">
        <f>IF($AE646="","",IF(ISNUMBER(Sync!$P646),IF(AND(Sync!$P646&gt;=10000101,Sync!$P646&lt;=99991231),INT(Sync!$P646/10000),""),IFERROR(VALUE(TRIM(LEFT(Sync!$P646,FIND("/",Sync!$P646)-1))),"")))</f>
        <v/>
      </c>
      <c r="AG646">
        <f>IF(OR($AE646="",$AF646=""),"",IF(ISNUMBER(Sync!$P646),INT(MOD(Sync!$P646,10000)/100),IFERROR(VALUE(TRIM(LEFT(MID(Sync!$P646,FIND("/",Sync!$P646)+1,20),FIND("/",MID(Sync!$P646,FIND("/",Sync!$P646)+1,20))-1))),"")))</f>
        <v/>
      </c>
      <c r="AH646">
        <f>IF(OR($AE646="",$AF646=""),"",IF(ISNUMBER(Sync!$P646),MOD(Sync!$P646,100),IFERROR(VALUE(TRIM(MID(MID(Sync!$P646,FIND("/",Sync!$P646)+1,20),FIND("/",MID(Sync!$P646,FIND("/",Sync!$P646)+1,20))+1,20))),"")))</f>
        <v/>
      </c>
      <c r="AI646">
        <f>IF($AE646="","",IF(OR($AF646="",$AG646="",$AH646="",$AF646&lt;1300,$AF646&gt;1500,$AG646&lt;1,$AG646&gt;12,$AH646&lt;1,$AH646&gt;31),"نامعتبر",RIGHT("0000"&amp;$AF646,4)&amp;"/"&amp;RIGHT("00"&amp;$AG646,2)&amp;"/"&amp;RIGHT("00"&amp;$AH646,2)))</f>
        <v/>
      </c>
      <c r="AJ646">
        <f>IF($AE646="","",IF(Sync!$Q646="","0000",IF(AND(ISNUMBER(Sync!$Q646),Sync!$Q646&gt;=0,Sync!$Q646&lt;1),RIGHT("00"&amp;HOUR(Sync!$Q646),2)&amp;RIGHT("00"&amp;MINUTE(Sync!$Q646),2),IFERROR(RIGHT("00"&amp;VALUE(LEFT(Sync!$Q646,FIND(":",Sync!$Q646)-1)),2)&amp;RIGHT("00"&amp;VALUE(MID(Sync!$Q646,FIND(":",Sync!$Q646)+1,2)),2),"0000"))))</f>
        <v/>
      </c>
      <c r="AK646">
        <f>IF(OR($AE646="",$AI646="",$AI646="نامعتبر"),"",LEFT($AI646,4)&amp;MID($AI646,6,2)&amp;RIGHT($AI646,2)&amp;$AJ646&amp;"|"&amp;"3"&amp;RIGHT("00000"&amp;641,5))</f>
        <v/>
      </c>
      <c r="AL646">
        <f>IF($AK646="","",COUNTIFS(LdAParty,$AE646,LdAType,1,LdAKey,"&lt;"&amp;$AK646)+COUNTIFS(LdBMember,$AE646,LdBKey,"&lt;"&amp;$AK646)+COUNTIFS(LdCParty,$AE646,LdCKey,"&lt;"&amp;$AK646)+1)</f>
        <v/>
      </c>
      <c r="AM646">
        <f>IF($AL646="","",$AE646&amp;"|"&amp;RIGHT("000000"&amp;$AL646,6))</f>
        <v/>
      </c>
      <c r="AN646">
        <f>IF($AE646="","",IF(Sync!$W646="",0,Sync!$W646))</f>
        <v/>
      </c>
      <c r="AO646">
        <f>IF($AE646="","",IF(Sync!$X646="",0,Sync!$X646))</f>
        <v/>
      </c>
      <c r="AP646">
        <f>IF($AE646="","",Sync!$R646)</f>
        <v/>
      </c>
      <c r="AQ646">
        <f>IF($AE646="","",Sync!$Y646)</f>
        <v/>
      </c>
    </row>
    <row r="647">
      <c r="A647">
        <f>IF(OR(Wages!$B650="",Wages!$E650=""),"",Wages!$E650)</f>
        <v/>
      </c>
      <c r="B647">
        <f>IF($A647="","",IF(Wages!$C650="دستمزد گروهی",2,1))</f>
        <v/>
      </c>
      <c r="C647">
        <f>IF($A647="","",IF(ISNUMBER(Wages!$B650),IF(AND(Wages!$B650&gt;=10000101,Wages!$B650&lt;=99991231),INT(Wages!$B650/10000),""),IFERROR(VALUE(TRIM(LEFT(Wages!$B650,FIND("/",Wages!$B650)-1))),"")))</f>
        <v/>
      </c>
      <c r="D647">
        <f>IF(OR($A647="",$C647=""),"",IF(ISNUMBER(Wages!$B650),INT(MOD(Wages!$B650,10000)/100),IFERROR(VALUE(TRIM(LEFT(MID(Wages!$B650,FIND("/",Wages!$B650)+1,20),FIND("/",MID(Wages!$B650,FIND("/",Wages!$B650)+1,20))-1))),"")))</f>
        <v/>
      </c>
      <c r="E647">
        <f>IF(OR($A647="",$C647=""),"",IF(ISNUMBER(Wages!$B650),MOD(Wages!$B650,100),IFERROR(VALUE(TRIM(MID(MID(Wages!$B650,FIND("/",Wages!$B650)+1,20),FIND("/",MID(Wages!$B650,FIND("/",Wages!$B650)+1,20))+1,20))),"")))</f>
        <v/>
      </c>
      <c r="F647">
        <f>IF($A647="","",IF(OR($C647="",$D647="",$E647="",$C647&lt;1300,$C647&gt;1500,$D647&lt;1,$D647&gt;12,$E647&lt;1,$E647&gt;31),"نامعتبر",RIGHT("0000"&amp;$C647,4)&amp;"/"&amp;RIGHT("00"&amp;$D647,2)&amp;"/"&amp;RIGHT("00"&amp;$E647,2)))</f>
        <v/>
      </c>
      <c r="G647">
        <f>IF(OR($A647="",$F647="",$F647="نامعتبر"),"",LEFT($F647,4)&amp;MID($F647,6,2)&amp;RIGHT($F647,2)&amp;"0000"&amp;"|"&amp;"1"&amp;RIGHT("00000"&amp;642,5))</f>
        <v/>
      </c>
      <c r="H647">
        <f>IF(OR($B647&lt;&gt;1,$G647=""),"",COUNTIFS(LdAParty,$A647,LdAType,1,LdAKey,"&lt;"&amp;$G647)+COUNTIFS(LdBMember,$A647,LdBKey,"&lt;"&amp;$G647)+COUNTIFS(LdCParty,$A647,LdCKey,"&lt;"&amp;$G647)+1)</f>
        <v/>
      </c>
      <c r="I647">
        <f>IF($H647="","",$A647&amp;"|"&amp;RIGHT("000000"&amp;$H647,6))</f>
        <v/>
      </c>
      <c r="J647">
        <f>IF(OR($B647&lt;&gt;2,$G647=""),"",COUNTIFS(LdAParty,$A647,LdAType,2,LdAKey,"&lt;"&amp;$G647)+1)</f>
        <v/>
      </c>
      <c r="K647">
        <f>IF($J647="","",$A647&amp;"|"&amp;RIGHT("000000"&amp;$J647,6))</f>
        <v/>
      </c>
      <c r="L647">
        <f>IF($A647="","",IF(Wages!$G650="",0,Wages!$G650))</f>
        <v/>
      </c>
      <c r="M647">
        <f>IF($A647="","",Wages!$J650)</f>
        <v/>
      </c>
      <c r="N647">
        <f>IF($A647="","",Wages!$D650)</f>
        <v/>
      </c>
      <c r="P647">
        <f>IF(OR(Shares!$B650="",Shares!$C650=""),"",Shares!$C650)</f>
        <v/>
      </c>
      <c r="Q647">
        <f>IF($P647="","",Shares!$B650)</f>
        <v/>
      </c>
      <c r="R647">
        <f>IF($P647="","",IFERROR(INDEX(WageParty,MATCH($Q647,WageIds,0)),""))</f>
        <v/>
      </c>
      <c r="S647">
        <f>IF($P647="","",IFERROR(INDEX($F$6:$F$2005,MATCH($Q647,WageIds,0)),""))</f>
        <v/>
      </c>
      <c r="T647">
        <f>IF(OR($P647="",$S647="",$S647="نامعتبر"),"",LEFT($S647,4)&amp;MID($S647,6,2)&amp;RIGHT($S647,2)&amp;"0000"&amp;"|"&amp;"2"&amp;RIGHT("00000"&amp;642,5))</f>
        <v/>
      </c>
      <c r="U647">
        <f>IF($T647="","",COUNTIFS(LdAParty,$P647,LdAType,1,LdAKey,"&lt;"&amp;$T647)+COUNTIFS(LdBMember,$P647,LdBKey,"&lt;"&amp;$T647)+COUNTIFS(LdCParty,$P647,LdCKey,"&lt;"&amp;$T647)+1)</f>
        <v/>
      </c>
      <c r="V647">
        <f>IF($U647="","",$P647&amp;"|"&amp;RIGHT("000000"&amp;$U647,6))</f>
        <v/>
      </c>
      <c r="W647">
        <f>IF($T647="","",COUNTIFS(LdBGroup,$R647,LdBKey,"&lt;"&amp;$T647)+1)</f>
        <v/>
      </c>
      <c r="X647">
        <f>IF($W647="","",$R647&amp;"|"&amp;RIGHT("000000"&amp;$W647,6))</f>
        <v/>
      </c>
      <c r="Y647">
        <f>IF($P647="","",IF(Shares!$E650="",0,Shares!$E650))</f>
        <v/>
      </c>
      <c r="Z647">
        <f>IF($P647="","",Shares!$H650)</f>
        <v/>
      </c>
      <c r="AE647">
        <f>IF(OR(Sync!$S647="",Sync!$P647=""),"",Sync!$S647)</f>
        <v/>
      </c>
      <c r="AF647">
        <f>IF($AE647="","",IF(ISNUMBER(Sync!$P647),IF(AND(Sync!$P647&gt;=10000101,Sync!$P647&lt;=99991231),INT(Sync!$P647/10000),""),IFERROR(VALUE(TRIM(LEFT(Sync!$P647,FIND("/",Sync!$P647)-1))),"")))</f>
        <v/>
      </c>
      <c r="AG647">
        <f>IF(OR($AE647="",$AF647=""),"",IF(ISNUMBER(Sync!$P647),INT(MOD(Sync!$P647,10000)/100),IFERROR(VALUE(TRIM(LEFT(MID(Sync!$P647,FIND("/",Sync!$P647)+1,20),FIND("/",MID(Sync!$P647,FIND("/",Sync!$P647)+1,20))-1))),"")))</f>
        <v/>
      </c>
      <c r="AH647">
        <f>IF(OR($AE647="",$AF647=""),"",IF(ISNUMBER(Sync!$P647),MOD(Sync!$P647,100),IFERROR(VALUE(TRIM(MID(MID(Sync!$P647,FIND("/",Sync!$P647)+1,20),FIND("/",MID(Sync!$P647,FIND("/",Sync!$P647)+1,20))+1,20))),"")))</f>
        <v/>
      </c>
      <c r="AI647">
        <f>IF($AE647="","",IF(OR($AF647="",$AG647="",$AH647="",$AF647&lt;1300,$AF647&gt;1500,$AG647&lt;1,$AG647&gt;12,$AH647&lt;1,$AH647&gt;31),"نامعتبر",RIGHT("0000"&amp;$AF647,4)&amp;"/"&amp;RIGHT("00"&amp;$AG647,2)&amp;"/"&amp;RIGHT("00"&amp;$AH647,2)))</f>
        <v/>
      </c>
      <c r="AJ647">
        <f>IF($AE647="","",IF(Sync!$Q647="","0000",IF(AND(ISNUMBER(Sync!$Q647),Sync!$Q647&gt;=0,Sync!$Q647&lt;1),RIGHT("00"&amp;HOUR(Sync!$Q647),2)&amp;RIGHT("00"&amp;MINUTE(Sync!$Q647),2),IFERROR(RIGHT("00"&amp;VALUE(LEFT(Sync!$Q647,FIND(":",Sync!$Q647)-1)),2)&amp;RIGHT("00"&amp;VALUE(MID(Sync!$Q647,FIND(":",Sync!$Q647)+1,2)),2),"0000"))))</f>
        <v/>
      </c>
      <c r="AK647">
        <f>IF(OR($AE647="",$AI647="",$AI647="نامعتبر"),"",LEFT($AI647,4)&amp;MID($AI647,6,2)&amp;RIGHT($AI647,2)&amp;$AJ647&amp;"|"&amp;"3"&amp;RIGHT("00000"&amp;642,5))</f>
        <v/>
      </c>
      <c r="AL647">
        <f>IF($AK647="","",COUNTIFS(LdAParty,$AE647,LdAType,1,LdAKey,"&lt;"&amp;$AK647)+COUNTIFS(LdBMember,$AE647,LdBKey,"&lt;"&amp;$AK647)+COUNTIFS(LdCParty,$AE647,LdCKey,"&lt;"&amp;$AK647)+1)</f>
        <v/>
      </c>
      <c r="AM647">
        <f>IF($AL647="","",$AE647&amp;"|"&amp;RIGHT("000000"&amp;$AL647,6))</f>
        <v/>
      </c>
      <c r="AN647">
        <f>IF($AE647="","",IF(Sync!$W647="",0,Sync!$W647))</f>
        <v/>
      </c>
      <c r="AO647">
        <f>IF($AE647="","",IF(Sync!$X647="",0,Sync!$X647))</f>
        <v/>
      </c>
      <c r="AP647">
        <f>IF($AE647="","",Sync!$R647)</f>
        <v/>
      </c>
      <c r="AQ647">
        <f>IF($AE647="","",Sync!$Y647)</f>
        <v/>
      </c>
    </row>
    <row r="648">
      <c r="A648">
        <f>IF(OR(Wages!$B651="",Wages!$E651=""),"",Wages!$E651)</f>
        <v/>
      </c>
      <c r="B648">
        <f>IF($A648="","",IF(Wages!$C651="دستمزد گروهی",2,1))</f>
        <v/>
      </c>
      <c r="C648">
        <f>IF($A648="","",IF(ISNUMBER(Wages!$B651),IF(AND(Wages!$B651&gt;=10000101,Wages!$B651&lt;=99991231),INT(Wages!$B651/10000),""),IFERROR(VALUE(TRIM(LEFT(Wages!$B651,FIND("/",Wages!$B651)-1))),"")))</f>
        <v/>
      </c>
      <c r="D648">
        <f>IF(OR($A648="",$C648=""),"",IF(ISNUMBER(Wages!$B651),INT(MOD(Wages!$B651,10000)/100),IFERROR(VALUE(TRIM(LEFT(MID(Wages!$B651,FIND("/",Wages!$B651)+1,20),FIND("/",MID(Wages!$B651,FIND("/",Wages!$B651)+1,20))-1))),"")))</f>
        <v/>
      </c>
      <c r="E648">
        <f>IF(OR($A648="",$C648=""),"",IF(ISNUMBER(Wages!$B651),MOD(Wages!$B651,100),IFERROR(VALUE(TRIM(MID(MID(Wages!$B651,FIND("/",Wages!$B651)+1,20),FIND("/",MID(Wages!$B651,FIND("/",Wages!$B651)+1,20))+1,20))),"")))</f>
        <v/>
      </c>
      <c r="F648">
        <f>IF($A648="","",IF(OR($C648="",$D648="",$E648="",$C648&lt;1300,$C648&gt;1500,$D648&lt;1,$D648&gt;12,$E648&lt;1,$E648&gt;31),"نامعتبر",RIGHT("0000"&amp;$C648,4)&amp;"/"&amp;RIGHT("00"&amp;$D648,2)&amp;"/"&amp;RIGHT("00"&amp;$E648,2)))</f>
        <v/>
      </c>
      <c r="G648">
        <f>IF(OR($A648="",$F648="",$F648="نامعتبر"),"",LEFT($F648,4)&amp;MID($F648,6,2)&amp;RIGHT($F648,2)&amp;"0000"&amp;"|"&amp;"1"&amp;RIGHT("00000"&amp;643,5))</f>
        <v/>
      </c>
      <c r="H648">
        <f>IF(OR($B648&lt;&gt;1,$G648=""),"",COUNTIFS(LdAParty,$A648,LdAType,1,LdAKey,"&lt;"&amp;$G648)+COUNTIFS(LdBMember,$A648,LdBKey,"&lt;"&amp;$G648)+COUNTIFS(LdCParty,$A648,LdCKey,"&lt;"&amp;$G648)+1)</f>
        <v/>
      </c>
      <c r="I648">
        <f>IF($H648="","",$A648&amp;"|"&amp;RIGHT("000000"&amp;$H648,6))</f>
        <v/>
      </c>
      <c r="J648">
        <f>IF(OR($B648&lt;&gt;2,$G648=""),"",COUNTIFS(LdAParty,$A648,LdAType,2,LdAKey,"&lt;"&amp;$G648)+1)</f>
        <v/>
      </c>
      <c r="K648">
        <f>IF($J648="","",$A648&amp;"|"&amp;RIGHT("000000"&amp;$J648,6))</f>
        <v/>
      </c>
      <c r="L648">
        <f>IF($A648="","",IF(Wages!$G651="",0,Wages!$G651))</f>
        <v/>
      </c>
      <c r="M648">
        <f>IF($A648="","",Wages!$J651)</f>
        <v/>
      </c>
      <c r="N648">
        <f>IF($A648="","",Wages!$D651)</f>
        <v/>
      </c>
      <c r="P648">
        <f>IF(OR(Shares!$B651="",Shares!$C651=""),"",Shares!$C651)</f>
        <v/>
      </c>
      <c r="Q648">
        <f>IF($P648="","",Shares!$B651)</f>
        <v/>
      </c>
      <c r="R648">
        <f>IF($P648="","",IFERROR(INDEX(WageParty,MATCH($Q648,WageIds,0)),""))</f>
        <v/>
      </c>
      <c r="S648">
        <f>IF($P648="","",IFERROR(INDEX($F$6:$F$2005,MATCH($Q648,WageIds,0)),""))</f>
        <v/>
      </c>
      <c r="T648">
        <f>IF(OR($P648="",$S648="",$S648="نامعتبر"),"",LEFT($S648,4)&amp;MID($S648,6,2)&amp;RIGHT($S648,2)&amp;"0000"&amp;"|"&amp;"2"&amp;RIGHT("00000"&amp;643,5))</f>
        <v/>
      </c>
      <c r="U648">
        <f>IF($T648="","",COUNTIFS(LdAParty,$P648,LdAType,1,LdAKey,"&lt;"&amp;$T648)+COUNTIFS(LdBMember,$P648,LdBKey,"&lt;"&amp;$T648)+COUNTIFS(LdCParty,$P648,LdCKey,"&lt;"&amp;$T648)+1)</f>
        <v/>
      </c>
      <c r="V648">
        <f>IF($U648="","",$P648&amp;"|"&amp;RIGHT("000000"&amp;$U648,6))</f>
        <v/>
      </c>
      <c r="W648">
        <f>IF($T648="","",COUNTIFS(LdBGroup,$R648,LdBKey,"&lt;"&amp;$T648)+1)</f>
        <v/>
      </c>
      <c r="X648">
        <f>IF($W648="","",$R648&amp;"|"&amp;RIGHT("000000"&amp;$W648,6))</f>
        <v/>
      </c>
      <c r="Y648">
        <f>IF($P648="","",IF(Shares!$E651="",0,Shares!$E651))</f>
        <v/>
      </c>
      <c r="Z648">
        <f>IF($P648="","",Shares!$H651)</f>
        <v/>
      </c>
      <c r="AE648">
        <f>IF(OR(Sync!$S648="",Sync!$P648=""),"",Sync!$S648)</f>
        <v/>
      </c>
      <c r="AF648">
        <f>IF($AE648="","",IF(ISNUMBER(Sync!$P648),IF(AND(Sync!$P648&gt;=10000101,Sync!$P648&lt;=99991231),INT(Sync!$P648/10000),""),IFERROR(VALUE(TRIM(LEFT(Sync!$P648,FIND("/",Sync!$P648)-1))),"")))</f>
        <v/>
      </c>
      <c r="AG648">
        <f>IF(OR($AE648="",$AF648=""),"",IF(ISNUMBER(Sync!$P648),INT(MOD(Sync!$P648,10000)/100),IFERROR(VALUE(TRIM(LEFT(MID(Sync!$P648,FIND("/",Sync!$P648)+1,20),FIND("/",MID(Sync!$P648,FIND("/",Sync!$P648)+1,20))-1))),"")))</f>
        <v/>
      </c>
      <c r="AH648">
        <f>IF(OR($AE648="",$AF648=""),"",IF(ISNUMBER(Sync!$P648),MOD(Sync!$P648,100),IFERROR(VALUE(TRIM(MID(MID(Sync!$P648,FIND("/",Sync!$P648)+1,20),FIND("/",MID(Sync!$P648,FIND("/",Sync!$P648)+1,20))+1,20))),"")))</f>
        <v/>
      </c>
      <c r="AI648">
        <f>IF($AE648="","",IF(OR($AF648="",$AG648="",$AH648="",$AF648&lt;1300,$AF648&gt;1500,$AG648&lt;1,$AG648&gt;12,$AH648&lt;1,$AH648&gt;31),"نامعتبر",RIGHT("0000"&amp;$AF648,4)&amp;"/"&amp;RIGHT("00"&amp;$AG648,2)&amp;"/"&amp;RIGHT("00"&amp;$AH648,2)))</f>
        <v/>
      </c>
      <c r="AJ648">
        <f>IF($AE648="","",IF(Sync!$Q648="","0000",IF(AND(ISNUMBER(Sync!$Q648),Sync!$Q648&gt;=0,Sync!$Q648&lt;1),RIGHT("00"&amp;HOUR(Sync!$Q648),2)&amp;RIGHT("00"&amp;MINUTE(Sync!$Q648),2),IFERROR(RIGHT("00"&amp;VALUE(LEFT(Sync!$Q648,FIND(":",Sync!$Q648)-1)),2)&amp;RIGHT("00"&amp;VALUE(MID(Sync!$Q648,FIND(":",Sync!$Q648)+1,2)),2),"0000"))))</f>
        <v/>
      </c>
      <c r="AK648">
        <f>IF(OR($AE648="",$AI648="",$AI648="نامعتبر"),"",LEFT($AI648,4)&amp;MID($AI648,6,2)&amp;RIGHT($AI648,2)&amp;$AJ648&amp;"|"&amp;"3"&amp;RIGHT("00000"&amp;643,5))</f>
        <v/>
      </c>
      <c r="AL648">
        <f>IF($AK648="","",COUNTIFS(LdAParty,$AE648,LdAType,1,LdAKey,"&lt;"&amp;$AK648)+COUNTIFS(LdBMember,$AE648,LdBKey,"&lt;"&amp;$AK648)+COUNTIFS(LdCParty,$AE648,LdCKey,"&lt;"&amp;$AK648)+1)</f>
        <v/>
      </c>
      <c r="AM648">
        <f>IF($AL648="","",$AE648&amp;"|"&amp;RIGHT("000000"&amp;$AL648,6))</f>
        <v/>
      </c>
      <c r="AN648">
        <f>IF($AE648="","",IF(Sync!$W648="",0,Sync!$W648))</f>
        <v/>
      </c>
      <c r="AO648">
        <f>IF($AE648="","",IF(Sync!$X648="",0,Sync!$X648))</f>
        <v/>
      </c>
      <c r="AP648">
        <f>IF($AE648="","",Sync!$R648)</f>
        <v/>
      </c>
      <c r="AQ648">
        <f>IF($AE648="","",Sync!$Y648)</f>
        <v/>
      </c>
    </row>
    <row r="649">
      <c r="A649">
        <f>IF(OR(Wages!$B652="",Wages!$E652=""),"",Wages!$E652)</f>
        <v/>
      </c>
      <c r="B649">
        <f>IF($A649="","",IF(Wages!$C652="دستمزد گروهی",2,1))</f>
        <v/>
      </c>
      <c r="C649">
        <f>IF($A649="","",IF(ISNUMBER(Wages!$B652),IF(AND(Wages!$B652&gt;=10000101,Wages!$B652&lt;=99991231),INT(Wages!$B652/10000),""),IFERROR(VALUE(TRIM(LEFT(Wages!$B652,FIND("/",Wages!$B652)-1))),"")))</f>
        <v/>
      </c>
      <c r="D649">
        <f>IF(OR($A649="",$C649=""),"",IF(ISNUMBER(Wages!$B652),INT(MOD(Wages!$B652,10000)/100),IFERROR(VALUE(TRIM(LEFT(MID(Wages!$B652,FIND("/",Wages!$B652)+1,20),FIND("/",MID(Wages!$B652,FIND("/",Wages!$B652)+1,20))-1))),"")))</f>
        <v/>
      </c>
      <c r="E649">
        <f>IF(OR($A649="",$C649=""),"",IF(ISNUMBER(Wages!$B652),MOD(Wages!$B652,100),IFERROR(VALUE(TRIM(MID(MID(Wages!$B652,FIND("/",Wages!$B652)+1,20),FIND("/",MID(Wages!$B652,FIND("/",Wages!$B652)+1,20))+1,20))),"")))</f>
        <v/>
      </c>
      <c r="F649">
        <f>IF($A649="","",IF(OR($C649="",$D649="",$E649="",$C649&lt;1300,$C649&gt;1500,$D649&lt;1,$D649&gt;12,$E649&lt;1,$E649&gt;31),"نامعتبر",RIGHT("0000"&amp;$C649,4)&amp;"/"&amp;RIGHT("00"&amp;$D649,2)&amp;"/"&amp;RIGHT("00"&amp;$E649,2)))</f>
        <v/>
      </c>
      <c r="G649">
        <f>IF(OR($A649="",$F649="",$F649="نامعتبر"),"",LEFT($F649,4)&amp;MID($F649,6,2)&amp;RIGHT($F649,2)&amp;"0000"&amp;"|"&amp;"1"&amp;RIGHT("00000"&amp;644,5))</f>
        <v/>
      </c>
      <c r="H649">
        <f>IF(OR($B649&lt;&gt;1,$G649=""),"",COUNTIFS(LdAParty,$A649,LdAType,1,LdAKey,"&lt;"&amp;$G649)+COUNTIFS(LdBMember,$A649,LdBKey,"&lt;"&amp;$G649)+COUNTIFS(LdCParty,$A649,LdCKey,"&lt;"&amp;$G649)+1)</f>
        <v/>
      </c>
      <c r="I649">
        <f>IF($H649="","",$A649&amp;"|"&amp;RIGHT("000000"&amp;$H649,6))</f>
        <v/>
      </c>
      <c r="J649">
        <f>IF(OR($B649&lt;&gt;2,$G649=""),"",COUNTIFS(LdAParty,$A649,LdAType,2,LdAKey,"&lt;"&amp;$G649)+1)</f>
        <v/>
      </c>
      <c r="K649">
        <f>IF($J649="","",$A649&amp;"|"&amp;RIGHT("000000"&amp;$J649,6))</f>
        <v/>
      </c>
      <c r="L649">
        <f>IF($A649="","",IF(Wages!$G652="",0,Wages!$G652))</f>
        <v/>
      </c>
      <c r="M649">
        <f>IF($A649="","",Wages!$J652)</f>
        <v/>
      </c>
      <c r="N649">
        <f>IF($A649="","",Wages!$D652)</f>
        <v/>
      </c>
      <c r="P649">
        <f>IF(OR(Shares!$B652="",Shares!$C652=""),"",Shares!$C652)</f>
        <v/>
      </c>
      <c r="Q649">
        <f>IF($P649="","",Shares!$B652)</f>
        <v/>
      </c>
      <c r="R649">
        <f>IF($P649="","",IFERROR(INDEX(WageParty,MATCH($Q649,WageIds,0)),""))</f>
        <v/>
      </c>
      <c r="S649">
        <f>IF($P649="","",IFERROR(INDEX($F$6:$F$2005,MATCH($Q649,WageIds,0)),""))</f>
        <v/>
      </c>
      <c r="T649">
        <f>IF(OR($P649="",$S649="",$S649="نامعتبر"),"",LEFT($S649,4)&amp;MID($S649,6,2)&amp;RIGHT($S649,2)&amp;"0000"&amp;"|"&amp;"2"&amp;RIGHT("00000"&amp;644,5))</f>
        <v/>
      </c>
      <c r="U649">
        <f>IF($T649="","",COUNTIFS(LdAParty,$P649,LdAType,1,LdAKey,"&lt;"&amp;$T649)+COUNTIFS(LdBMember,$P649,LdBKey,"&lt;"&amp;$T649)+COUNTIFS(LdCParty,$P649,LdCKey,"&lt;"&amp;$T649)+1)</f>
        <v/>
      </c>
      <c r="V649">
        <f>IF($U649="","",$P649&amp;"|"&amp;RIGHT("000000"&amp;$U649,6))</f>
        <v/>
      </c>
      <c r="W649">
        <f>IF($T649="","",COUNTIFS(LdBGroup,$R649,LdBKey,"&lt;"&amp;$T649)+1)</f>
        <v/>
      </c>
      <c r="X649">
        <f>IF($W649="","",$R649&amp;"|"&amp;RIGHT("000000"&amp;$W649,6))</f>
        <v/>
      </c>
      <c r="Y649">
        <f>IF($P649="","",IF(Shares!$E652="",0,Shares!$E652))</f>
        <v/>
      </c>
      <c r="Z649">
        <f>IF($P649="","",Shares!$H652)</f>
        <v/>
      </c>
      <c r="AE649">
        <f>IF(OR(Sync!$S649="",Sync!$P649=""),"",Sync!$S649)</f>
        <v/>
      </c>
      <c r="AF649">
        <f>IF($AE649="","",IF(ISNUMBER(Sync!$P649),IF(AND(Sync!$P649&gt;=10000101,Sync!$P649&lt;=99991231),INT(Sync!$P649/10000),""),IFERROR(VALUE(TRIM(LEFT(Sync!$P649,FIND("/",Sync!$P649)-1))),"")))</f>
        <v/>
      </c>
      <c r="AG649">
        <f>IF(OR($AE649="",$AF649=""),"",IF(ISNUMBER(Sync!$P649),INT(MOD(Sync!$P649,10000)/100),IFERROR(VALUE(TRIM(LEFT(MID(Sync!$P649,FIND("/",Sync!$P649)+1,20),FIND("/",MID(Sync!$P649,FIND("/",Sync!$P649)+1,20))-1))),"")))</f>
        <v/>
      </c>
      <c r="AH649">
        <f>IF(OR($AE649="",$AF649=""),"",IF(ISNUMBER(Sync!$P649),MOD(Sync!$P649,100),IFERROR(VALUE(TRIM(MID(MID(Sync!$P649,FIND("/",Sync!$P649)+1,20),FIND("/",MID(Sync!$P649,FIND("/",Sync!$P649)+1,20))+1,20))),"")))</f>
        <v/>
      </c>
      <c r="AI649">
        <f>IF($AE649="","",IF(OR($AF649="",$AG649="",$AH649="",$AF649&lt;1300,$AF649&gt;1500,$AG649&lt;1,$AG649&gt;12,$AH649&lt;1,$AH649&gt;31),"نامعتبر",RIGHT("0000"&amp;$AF649,4)&amp;"/"&amp;RIGHT("00"&amp;$AG649,2)&amp;"/"&amp;RIGHT("00"&amp;$AH649,2)))</f>
        <v/>
      </c>
      <c r="AJ649">
        <f>IF($AE649="","",IF(Sync!$Q649="","0000",IF(AND(ISNUMBER(Sync!$Q649),Sync!$Q649&gt;=0,Sync!$Q649&lt;1),RIGHT("00"&amp;HOUR(Sync!$Q649),2)&amp;RIGHT("00"&amp;MINUTE(Sync!$Q649),2),IFERROR(RIGHT("00"&amp;VALUE(LEFT(Sync!$Q649,FIND(":",Sync!$Q649)-1)),2)&amp;RIGHT("00"&amp;VALUE(MID(Sync!$Q649,FIND(":",Sync!$Q649)+1,2)),2),"0000"))))</f>
        <v/>
      </c>
      <c r="AK649">
        <f>IF(OR($AE649="",$AI649="",$AI649="نامعتبر"),"",LEFT($AI649,4)&amp;MID($AI649,6,2)&amp;RIGHT($AI649,2)&amp;$AJ649&amp;"|"&amp;"3"&amp;RIGHT("00000"&amp;644,5))</f>
        <v/>
      </c>
      <c r="AL649">
        <f>IF($AK649="","",COUNTIFS(LdAParty,$AE649,LdAType,1,LdAKey,"&lt;"&amp;$AK649)+COUNTIFS(LdBMember,$AE649,LdBKey,"&lt;"&amp;$AK649)+COUNTIFS(LdCParty,$AE649,LdCKey,"&lt;"&amp;$AK649)+1)</f>
        <v/>
      </c>
      <c r="AM649">
        <f>IF($AL649="","",$AE649&amp;"|"&amp;RIGHT("000000"&amp;$AL649,6))</f>
        <v/>
      </c>
      <c r="AN649">
        <f>IF($AE649="","",IF(Sync!$W649="",0,Sync!$W649))</f>
        <v/>
      </c>
      <c r="AO649">
        <f>IF($AE649="","",IF(Sync!$X649="",0,Sync!$X649))</f>
        <v/>
      </c>
      <c r="AP649">
        <f>IF($AE649="","",Sync!$R649)</f>
        <v/>
      </c>
      <c r="AQ649">
        <f>IF($AE649="","",Sync!$Y649)</f>
        <v/>
      </c>
    </row>
    <row r="650">
      <c r="A650">
        <f>IF(OR(Wages!$B653="",Wages!$E653=""),"",Wages!$E653)</f>
        <v/>
      </c>
      <c r="B650">
        <f>IF($A650="","",IF(Wages!$C653="دستمزد گروهی",2,1))</f>
        <v/>
      </c>
      <c r="C650">
        <f>IF($A650="","",IF(ISNUMBER(Wages!$B653),IF(AND(Wages!$B653&gt;=10000101,Wages!$B653&lt;=99991231),INT(Wages!$B653/10000),""),IFERROR(VALUE(TRIM(LEFT(Wages!$B653,FIND("/",Wages!$B653)-1))),"")))</f>
        <v/>
      </c>
      <c r="D650">
        <f>IF(OR($A650="",$C650=""),"",IF(ISNUMBER(Wages!$B653),INT(MOD(Wages!$B653,10000)/100),IFERROR(VALUE(TRIM(LEFT(MID(Wages!$B653,FIND("/",Wages!$B653)+1,20),FIND("/",MID(Wages!$B653,FIND("/",Wages!$B653)+1,20))-1))),"")))</f>
        <v/>
      </c>
      <c r="E650">
        <f>IF(OR($A650="",$C650=""),"",IF(ISNUMBER(Wages!$B653),MOD(Wages!$B653,100),IFERROR(VALUE(TRIM(MID(MID(Wages!$B653,FIND("/",Wages!$B653)+1,20),FIND("/",MID(Wages!$B653,FIND("/",Wages!$B653)+1,20))+1,20))),"")))</f>
        <v/>
      </c>
      <c r="F650">
        <f>IF($A650="","",IF(OR($C650="",$D650="",$E650="",$C650&lt;1300,$C650&gt;1500,$D650&lt;1,$D650&gt;12,$E650&lt;1,$E650&gt;31),"نامعتبر",RIGHT("0000"&amp;$C650,4)&amp;"/"&amp;RIGHT("00"&amp;$D650,2)&amp;"/"&amp;RIGHT("00"&amp;$E650,2)))</f>
        <v/>
      </c>
      <c r="G650">
        <f>IF(OR($A650="",$F650="",$F650="نامعتبر"),"",LEFT($F650,4)&amp;MID($F650,6,2)&amp;RIGHT($F650,2)&amp;"0000"&amp;"|"&amp;"1"&amp;RIGHT("00000"&amp;645,5))</f>
        <v/>
      </c>
      <c r="H650">
        <f>IF(OR($B650&lt;&gt;1,$G650=""),"",COUNTIFS(LdAParty,$A650,LdAType,1,LdAKey,"&lt;"&amp;$G650)+COUNTIFS(LdBMember,$A650,LdBKey,"&lt;"&amp;$G650)+COUNTIFS(LdCParty,$A650,LdCKey,"&lt;"&amp;$G650)+1)</f>
        <v/>
      </c>
      <c r="I650">
        <f>IF($H650="","",$A650&amp;"|"&amp;RIGHT("000000"&amp;$H650,6))</f>
        <v/>
      </c>
      <c r="J650">
        <f>IF(OR($B650&lt;&gt;2,$G650=""),"",COUNTIFS(LdAParty,$A650,LdAType,2,LdAKey,"&lt;"&amp;$G650)+1)</f>
        <v/>
      </c>
      <c r="K650">
        <f>IF($J650="","",$A650&amp;"|"&amp;RIGHT("000000"&amp;$J650,6))</f>
        <v/>
      </c>
      <c r="L650">
        <f>IF($A650="","",IF(Wages!$G653="",0,Wages!$G653))</f>
        <v/>
      </c>
      <c r="M650">
        <f>IF($A650="","",Wages!$J653)</f>
        <v/>
      </c>
      <c r="N650">
        <f>IF($A650="","",Wages!$D653)</f>
        <v/>
      </c>
      <c r="P650">
        <f>IF(OR(Shares!$B653="",Shares!$C653=""),"",Shares!$C653)</f>
        <v/>
      </c>
      <c r="Q650">
        <f>IF($P650="","",Shares!$B653)</f>
        <v/>
      </c>
      <c r="R650">
        <f>IF($P650="","",IFERROR(INDEX(WageParty,MATCH($Q650,WageIds,0)),""))</f>
        <v/>
      </c>
      <c r="S650">
        <f>IF($P650="","",IFERROR(INDEX($F$6:$F$2005,MATCH($Q650,WageIds,0)),""))</f>
        <v/>
      </c>
      <c r="T650">
        <f>IF(OR($P650="",$S650="",$S650="نامعتبر"),"",LEFT($S650,4)&amp;MID($S650,6,2)&amp;RIGHT($S650,2)&amp;"0000"&amp;"|"&amp;"2"&amp;RIGHT("00000"&amp;645,5))</f>
        <v/>
      </c>
      <c r="U650">
        <f>IF($T650="","",COUNTIFS(LdAParty,$P650,LdAType,1,LdAKey,"&lt;"&amp;$T650)+COUNTIFS(LdBMember,$P650,LdBKey,"&lt;"&amp;$T650)+COUNTIFS(LdCParty,$P650,LdCKey,"&lt;"&amp;$T650)+1)</f>
        <v/>
      </c>
      <c r="V650">
        <f>IF($U650="","",$P650&amp;"|"&amp;RIGHT("000000"&amp;$U650,6))</f>
        <v/>
      </c>
      <c r="W650">
        <f>IF($T650="","",COUNTIFS(LdBGroup,$R650,LdBKey,"&lt;"&amp;$T650)+1)</f>
        <v/>
      </c>
      <c r="X650">
        <f>IF($W650="","",$R650&amp;"|"&amp;RIGHT("000000"&amp;$W650,6))</f>
        <v/>
      </c>
      <c r="Y650">
        <f>IF($P650="","",IF(Shares!$E653="",0,Shares!$E653))</f>
        <v/>
      </c>
      <c r="Z650">
        <f>IF($P650="","",Shares!$H653)</f>
        <v/>
      </c>
      <c r="AE650">
        <f>IF(OR(Sync!$S650="",Sync!$P650=""),"",Sync!$S650)</f>
        <v/>
      </c>
      <c r="AF650">
        <f>IF($AE650="","",IF(ISNUMBER(Sync!$P650),IF(AND(Sync!$P650&gt;=10000101,Sync!$P650&lt;=99991231),INT(Sync!$P650/10000),""),IFERROR(VALUE(TRIM(LEFT(Sync!$P650,FIND("/",Sync!$P650)-1))),"")))</f>
        <v/>
      </c>
      <c r="AG650">
        <f>IF(OR($AE650="",$AF650=""),"",IF(ISNUMBER(Sync!$P650),INT(MOD(Sync!$P650,10000)/100),IFERROR(VALUE(TRIM(LEFT(MID(Sync!$P650,FIND("/",Sync!$P650)+1,20),FIND("/",MID(Sync!$P650,FIND("/",Sync!$P650)+1,20))-1))),"")))</f>
        <v/>
      </c>
      <c r="AH650">
        <f>IF(OR($AE650="",$AF650=""),"",IF(ISNUMBER(Sync!$P650),MOD(Sync!$P650,100),IFERROR(VALUE(TRIM(MID(MID(Sync!$P650,FIND("/",Sync!$P650)+1,20),FIND("/",MID(Sync!$P650,FIND("/",Sync!$P650)+1,20))+1,20))),"")))</f>
        <v/>
      </c>
      <c r="AI650">
        <f>IF($AE650="","",IF(OR($AF650="",$AG650="",$AH650="",$AF650&lt;1300,$AF650&gt;1500,$AG650&lt;1,$AG650&gt;12,$AH650&lt;1,$AH650&gt;31),"نامعتبر",RIGHT("0000"&amp;$AF650,4)&amp;"/"&amp;RIGHT("00"&amp;$AG650,2)&amp;"/"&amp;RIGHT("00"&amp;$AH650,2)))</f>
        <v/>
      </c>
      <c r="AJ650">
        <f>IF($AE650="","",IF(Sync!$Q650="","0000",IF(AND(ISNUMBER(Sync!$Q650),Sync!$Q650&gt;=0,Sync!$Q650&lt;1),RIGHT("00"&amp;HOUR(Sync!$Q650),2)&amp;RIGHT("00"&amp;MINUTE(Sync!$Q650),2),IFERROR(RIGHT("00"&amp;VALUE(LEFT(Sync!$Q650,FIND(":",Sync!$Q650)-1)),2)&amp;RIGHT("00"&amp;VALUE(MID(Sync!$Q650,FIND(":",Sync!$Q650)+1,2)),2),"0000"))))</f>
        <v/>
      </c>
      <c r="AK650">
        <f>IF(OR($AE650="",$AI650="",$AI650="نامعتبر"),"",LEFT($AI650,4)&amp;MID($AI650,6,2)&amp;RIGHT($AI650,2)&amp;$AJ650&amp;"|"&amp;"3"&amp;RIGHT("00000"&amp;645,5))</f>
        <v/>
      </c>
      <c r="AL650">
        <f>IF($AK650="","",COUNTIFS(LdAParty,$AE650,LdAType,1,LdAKey,"&lt;"&amp;$AK650)+COUNTIFS(LdBMember,$AE650,LdBKey,"&lt;"&amp;$AK650)+COUNTIFS(LdCParty,$AE650,LdCKey,"&lt;"&amp;$AK650)+1)</f>
        <v/>
      </c>
      <c r="AM650">
        <f>IF($AL650="","",$AE650&amp;"|"&amp;RIGHT("000000"&amp;$AL650,6))</f>
        <v/>
      </c>
      <c r="AN650">
        <f>IF($AE650="","",IF(Sync!$W650="",0,Sync!$W650))</f>
        <v/>
      </c>
      <c r="AO650">
        <f>IF($AE650="","",IF(Sync!$X650="",0,Sync!$X650))</f>
        <v/>
      </c>
      <c r="AP650">
        <f>IF($AE650="","",Sync!$R650)</f>
        <v/>
      </c>
      <c r="AQ650">
        <f>IF($AE650="","",Sync!$Y650)</f>
        <v/>
      </c>
    </row>
    <row r="651">
      <c r="A651">
        <f>IF(OR(Wages!$B654="",Wages!$E654=""),"",Wages!$E654)</f>
        <v/>
      </c>
      <c r="B651">
        <f>IF($A651="","",IF(Wages!$C654="دستمزد گروهی",2,1))</f>
        <v/>
      </c>
      <c r="C651">
        <f>IF($A651="","",IF(ISNUMBER(Wages!$B654),IF(AND(Wages!$B654&gt;=10000101,Wages!$B654&lt;=99991231),INT(Wages!$B654/10000),""),IFERROR(VALUE(TRIM(LEFT(Wages!$B654,FIND("/",Wages!$B654)-1))),"")))</f>
        <v/>
      </c>
      <c r="D651">
        <f>IF(OR($A651="",$C651=""),"",IF(ISNUMBER(Wages!$B654),INT(MOD(Wages!$B654,10000)/100),IFERROR(VALUE(TRIM(LEFT(MID(Wages!$B654,FIND("/",Wages!$B654)+1,20),FIND("/",MID(Wages!$B654,FIND("/",Wages!$B654)+1,20))-1))),"")))</f>
        <v/>
      </c>
      <c r="E651">
        <f>IF(OR($A651="",$C651=""),"",IF(ISNUMBER(Wages!$B654),MOD(Wages!$B654,100),IFERROR(VALUE(TRIM(MID(MID(Wages!$B654,FIND("/",Wages!$B654)+1,20),FIND("/",MID(Wages!$B654,FIND("/",Wages!$B654)+1,20))+1,20))),"")))</f>
        <v/>
      </c>
      <c r="F651">
        <f>IF($A651="","",IF(OR($C651="",$D651="",$E651="",$C651&lt;1300,$C651&gt;1500,$D651&lt;1,$D651&gt;12,$E651&lt;1,$E651&gt;31),"نامعتبر",RIGHT("0000"&amp;$C651,4)&amp;"/"&amp;RIGHT("00"&amp;$D651,2)&amp;"/"&amp;RIGHT("00"&amp;$E651,2)))</f>
        <v/>
      </c>
      <c r="G651">
        <f>IF(OR($A651="",$F651="",$F651="نامعتبر"),"",LEFT($F651,4)&amp;MID($F651,6,2)&amp;RIGHT($F651,2)&amp;"0000"&amp;"|"&amp;"1"&amp;RIGHT("00000"&amp;646,5))</f>
        <v/>
      </c>
      <c r="H651">
        <f>IF(OR($B651&lt;&gt;1,$G651=""),"",COUNTIFS(LdAParty,$A651,LdAType,1,LdAKey,"&lt;"&amp;$G651)+COUNTIFS(LdBMember,$A651,LdBKey,"&lt;"&amp;$G651)+COUNTIFS(LdCParty,$A651,LdCKey,"&lt;"&amp;$G651)+1)</f>
        <v/>
      </c>
      <c r="I651">
        <f>IF($H651="","",$A651&amp;"|"&amp;RIGHT("000000"&amp;$H651,6))</f>
        <v/>
      </c>
      <c r="J651">
        <f>IF(OR($B651&lt;&gt;2,$G651=""),"",COUNTIFS(LdAParty,$A651,LdAType,2,LdAKey,"&lt;"&amp;$G651)+1)</f>
        <v/>
      </c>
      <c r="K651">
        <f>IF($J651="","",$A651&amp;"|"&amp;RIGHT("000000"&amp;$J651,6))</f>
        <v/>
      </c>
      <c r="L651">
        <f>IF($A651="","",IF(Wages!$G654="",0,Wages!$G654))</f>
        <v/>
      </c>
      <c r="M651">
        <f>IF($A651="","",Wages!$J654)</f>
        <v/>
      </c>
      <c r="N651">
        <f>IF($A651="","",Wages!$D654)</f>
        <v/>
      </c>
      <c r="P651">
        <f>IF(OR(Shares!$B654="",Shares!$C654=""),"",Shares!$C654)</f>
        <v/>
      </c>
      <c r="Q651">
        <f>IF($P651="","",Shares!$B654)</f>
        <v/>
      </c>
      <c r="R651">
        <f>IF($P651="","",IFERROR(INDEX(WageParty,MATCH($Q651,WageIds,0)),""))</f>
        <v/>
      </c>
      <c r="S651">
        <f>IF($P651="","",IFERROR(INDEX($F$6:$F$2005,MATCH($Q651,WageIds,0)),""))</f>
        <v/>
      </c>
      <c r="T651">
        <f>IF(OR($P651="",$S651="",$S651="نامعتبر"),"",LEFT($S651,4)&amp;MID($S651,6,2)&amp;RIGHT($S651,2)&amp;"0000"&amp;"|"&amp;"2"&amp;RIGHT("00000"&amp;646,5))</f>
        <v/>
      </c>
      <c r="U651">
        <f>IF($T651="","",COUNTIFS(LdAParty,$P651,LdAType,1,LdAKey,"&lt;"&amp;$T651)+COUNTIFS(LdBMember,$P651,LdBKey,"&lt;"&amp;$T651)+COUNTIFS(LdCParty,$P651,LdCKey,"&lt;"&amp;$T651)+1)</f>
        <v/>
      </c>
      <c r="V651">
        <f>IF($U651="","",$P651&amp;"|"&amp;RIGHT("000000"&amp;$U651,6))</f>
        <v/>
      </c>
      <c r="W651">
        <f>IF($T651="","",COUNTIFS(LdBGroup,$R651,LdBKey,"&lt;"&amp;$T651)+1)</f>
        <v/>
      </c>
      <c r="X651">
        <f>IF($W651="","",$R651&amp;"|"&amp;RIGHT("000000"&amp;$W651,6))</f>
        <v/>
      </c>
      <c r="Y651">
        <f>IF($P651="","",IF(Shares!$E654="",0,Shares!$E654))</f>
        <v/>
      </c>
      <c r="Z651">
        <f>IF($P651="","",Shares!$H654)</f>
        <v/>
      </c>
      <c r="AE651">
        <f>IF(OR(Sync!$S651="",Sync!$P651=""),"",Sync!$S651)</f>
        <v/>
      </c>
      <c r="AF651">
        <f>IF($AE651="","",IF(ISNUMBER(Sync!$P651),IF(AND(Sync!$P651&gt;=10000101,Sync!$P651&lt;=99991231),INT(Sync!$P651/10000),""),IFERROR(VALUE(TRIM(LEFT(Sync!$P651,FIND("/",Sync!$P651)-1))),"")))</f>
        <v/>
      </c>
      <c r="AG651">
        <f>IF(OR($AE651="",$AF651=""),"",IF(ISNUMBER(Sync!$P651),INT(MOD(Sync!$P651,10000)/100),IFERROR(VALUE(TRIM(LEFT(MID(Sync!$P651,FIND("/",Sync!$P651)+1,20),FIND("/",MID(Sync!$P651,FIND("/",Sync!$P651)+1,20))-1))),"")))</f>
        <v/>
      </c>
      <c r="AH651">
        <f>IF(OR($AE651="",$AF651=""),"",IF(ISNUMBER(Sync!$P651),MOD(Sync!$P651,100),IFERROR(VALUE(TRIM(MID(MID(Sync!$P651,FIND("/",Sync!$P651)+1,20),FIND("/",MID(Sync!$P651,FIND("/",Sync!$P651)+1,20))+1,20))),"")))</f>
        <v/>
      </c>
      <c r="AI651">
        <f>IF($AE651="","",IF(OR($AF651="",$AG651="",$AH651="",$AF651&lt;1300,$AF651&gt;1500,$AG651&lt;1,$AG651&gt;12,$AH651&lt;1,$AH651&gt;31),"نامعتبر",RIGHT("0000"&amp;$AF651,4)&amp;"/"&amp;RIGHT("00"&amp;$AG651,2)&amp;"/"&amp;RIGHT("00"&amp;$AH651,2)))</f>
        <v/>
      </c>
      <c r="AJ651">
        <f>IF($AE651="","",IF(Sync!$Q651="","0000",IF(AND(ISNUMBER(Sync!$Q651),Sync!$Q651&gt;=0,Sync!$Q651&lt;1),RIGHT("00"&amp;HOUR(Sync!$Q651),2)&amp;RIGHT("00"&amp;MINUTE(Sync!$Q651),2),IFERROR(RIGHT("00"&amp;VALUE(LEFT(Sync!$Q651,FIND(":",Sync!$Q651)-1)),2)&amp;RIGHT("00"&amp;VALUE(MID(Sync!$Q651,FIND(":",Sync!$Q651)+1,2)),2),"0000"))))</f>
        <v/>
      </c>
      <c r="AK651">
        <f>IF(OR($AE651="",$AI651="",$AI651="نامعتبر"),"",LEFT($AI651,4)&amp;MID($AI651,6,2)&amp;RIGHT($AI651,2)&amp;$AJ651&amp;"|"&amp;"3"&amp;RIGHT("00000"&amp;646,5))</f>
        <v/>
      </c>
      <c r="AL651">
        <f>IF($AK651="","",COUNTIFS(LdAParty,$AE651,LdAType,1,LdAKey,"&lt;"&amp;$AK651)+COUNTIFS(LdBMember,$AE651,LdBKey,"&lt;"&amp;$AK651)+COUNTIFS(LdCParty,$AE651,LdCKey,"&lt;"&amp;$AK651)+1)</f>
        <v/>
      </c>
      <c r="AM651">
        <f>IF($AL651="","",$AE651&amp;"|"&amp;RIGHT("000000"&amp;$AL651,6))</f>
        <v/>
      </c>
      <c r="AN651">
        <f>IF($AE651="","",IF(Sync!$W651="",0,Sync!$W651))</f>
        <v/>
      </c>
      <c r="AO651">
        <f>IF($AE651="","",IF(Sync!$X651="",0,Sync!$X651))</f>
        <v/>
      </c>
      <c r="AP651">
        <f>IF($AE651="","",Sync!$R651)</f>
        <v/>
      </c>
      <c r="AQ651">
        <f>IF($AE651="","",Sync!$Y651)</f>
        <v/>
      </c>
    </row>
    <row r="652">
      <c r="A652">
        <f>IF(OR(Wages!$B655="",Wages!$E655=""),"",Wages!$E655)</f>
        <v/>
      </c>
      <c r="B652">
        <f>IF($A652="","",IF(Wages!$C655="دستمزد گروهی",2,1))</f>
        <v/>
      </c>
      <c r="C652">
        <f>IF($A652="","",IF(ISNUMBER(Wages!$B655),IF(AND(Wages!$B655&gt;=10000101,Wages!$B655&lt;=99991231),INT(Wages!$B655/10000),""),IFERROR(VALUE(TRIM(LEFT(Wages!$B655,FIND("/",Wages!$B655)-1))),"")))</f>
        <v/>
      </c>
      <c r="D652">
        <f>IF(OR($A652="",$C652=""),"",IF(ISNUMBER(Wages!$B655),INT(MOD(Wages!$B655,10000)/100),IFERROR(VALUE(TRIM(LEFT(MID(Wages!$B655,FIND("/",Wages!$B655)+1,20),FIND("/",MID(Wages!$B655,FIND("/",Wages!$B655)+1,20))-1))),"")))</f>
        <v/>
      </c>
      <c r="E652">
        <f>IF(OR($A652="",$C652=""),"",IF(ISNUMBER(Wages!$B655),MOD(Wages!$B655,100),IFERROR(VALUE(TRIM(MID(MID(Wages!$B655,FIND("/",Wages!$B655)+1,20),FIND("/",MID(Wages!$B655,FIND("/",Wages!$B655)+1,20))+1,20))),"")))</f>
        <v/>
      </c>
      <c r="F652">
        <f>IF($A652="","",IF(OR($C652="",$D652="",$E652="",$C652&lt;1300,$C652&gt;1500,$D652&lt;1,$D652&gt;12,$E652&lt;1,$E652&gt;31),"نامعتبر",RIGHT("0000"&amp;$C652,4)&amp;"/"&amp;RIGHT("00"&amp;$D652,2)&amp;"/"&amp;RIGHT("00"&amp;$E652,2)))</f>
        <v/>
      </c>
      <c r="G652">
        <f>IF(OR($A652="",$F652="",$F652="نامعتبر"),"",LEFT($F652,4)&amp;MID($F652,6,2)&amp;RIGHT($F652,2)&amp;"0000"&amp;"|"&amp;"1"&amp;RIGHT("00000"&amp;647,5))</f>
        <v/>
      </c>
      <c r="H652">
        <f>IF(OR($B652&lt;&gt;1,$G652=""),"",COUNTIFS(LdAParty,$A652,LdAType,1,LdAKey,"&lt;"&amp;$G652)+COUNTIFS(LdBMember,$A652,LdBKey,"&lt;"&amp;$G652)+COUNTIFS(LdCParty,$A652,LdCKey,"&lt;"&amp;$G652)+1)</f>
        <v/>
      </c>
      <c r="I652">
        <f>IF($H652="","",$A652&amp;"|"&amp;RIGHT("000000"&amp;$H652,6))</f>
        <v/>
      </c>
      <c r="J652">
        <f>IF(OR($B652&lt;&gt;2,$G652=""),"",COUNTIFS(LdAParty,$A652,LdAType,2,LdAKey,"&lt;"&amp;$G652)+1)</f>
        <v/>
      </c>
      <c r="K652">
        <f>IF($J652="","",$A652&amp;"|"&amp;RIGHT("000000"&amp;$J652,6))</f>
        <v/>
      </c>
      <c r="L652">
        <f>IF($A652="","",IF(Wages!$G655="",0,Wages!$G655))</f>
        <v/>
      </c>
      <c r="M652">
        <f>IF($A652="","",Wages!$J655)</f>
        <v/>
      </c>
      <c r="N652">
        <f>IF($A652="","",Wages!$D655)</f>
        <v/>
      </c>
      <c r="P652">
        <f>IF(OR(Shares!$B655="",Shares!$C655=""),"",Shares!$C655)</f>
        <v/>
      </c>
      <c r="Q652">
        <f>IF($P652="","",Shares!$B655)</f>
        <v/>
      </c>
      <c r="R652">
        <f>IF($P652="","",IFERROR(INDEX(WageParty,MATCH($Q652,WageIds,0)),""))</f>
        <v/>
      </c>
      <c r="S652">
        <f>IF($P652="","",IFERROR(INDEX($F$6:$F$2005,MATCH($Q652,WageIds,0)),""))</f>
        <v/>
      </c>
      <c r="T652">
        <f>IF(OR($P652="",$S652="",$S652="نامعتبر"),"",LEFT($S652,4)&amp;MID($S652,6,2)&amp;RIGHT($S652,2)&amp;"0000"&amp;"|"&amp;"2"&amp;RIGHT("00000"&amp;647,5))</f>
        <v/>
      </c>
      <c r="U652">
        <f>IF($T652="","",COUNTIFS(LdAParty,$P652,LdAType,1,LdAKey,"&lt;"&amp;$T652)+COUNTIFS(LdBMember,$P652,LdBKey,"&lt;"&amp;$T652)+COUNTIFS(LdCParty,$P652,LdCKey,"&lt;"&amp;$T652)+1)</f>
        <v/>
      </c>
      <c r="V652">
        <f>IF($U652="","",$P652&amp;"|"&amp;RIGHT("000000"&amp;$U652,6))</f>
        <v/>
      </c>
      <c r="W652">
        <f>IF($T652="","",COUNTIFS(LdBGroup,$R652,LdBKey,"&lt;"&amp;$T652)+1)</f>
        <v/>
      </c>
      <c r="X652">
        <f>IF($W652="","",$R652&amp;"|"&amp;RIGHT("000000"&amp;$W652,6))</f>
        <v/>
      </c>
      <c r="Y652">
        <f>IF($P652="","",IF(Shares!$E655="",0,Shares!$E655))</f>
        <v/>
      </c>
      <c r="Z652">
        <f>IF($P652="","",Shares!$H655)</f>
        <v/>
      </c>
      <c r="AE652">
        <f>IF(OR(Sync!$S652="",Sync!$P652=""),"",Sync!$S652)</f>
        <v/>
      </c>
      <c r="AF652">
        <f>IF($AE652="","",IF(ISNUMBER(Sync!$P652),IF(AND(Sync!$P652&gt;=10000101,Sync!$P652&lt;=99991231),INT(Sync!$P652/10000),""),IFERROR(VALUE(TRIM(LEFT(Sync!$P652,FIND("/",Sync!$P652)-1))),"")))</f>
        <v/>
      </c>
      <c r="AG652">
        <f>IF(OR($AE652="",$AF652=""),"",IF(ISNUMBER(Sync!$P652),INT(MOD(Sync!$P652,10000)/100),IFERROR(VALUE(TRIM(LEFT(MID(Sync!$P652,FIND("/",Sync!$P652)+1,20),FIND("/",MID(Sync!$P652,FIND("/",Sync!$P652)+1,20))-1))),"")))</f>
        <v/>
      </c>
      <c r="AH652">
        <f>IF(OR($AE652="",$AF652=""),"",IF(ISNUMBER(Sync!$P652),MOD(Sync!$P652,100),IFERROR(VALUE(TRIM(MID(MID(Sync!$P652,FIND("/",Sync!$P652)+1,20),FIND("/",MID(Sync!$P652,FIND("/",Sync!$P652)+1,20))+1,20))),"")))</f>
        <v/>
      </c>
      <c r="AI652">
        <f>IF($AE652="","",IF(OR($AF652="",$AG652="",$AH652="",$AF652&lt;1300,$AF652&gt;1500,$AG652&lt;1,$AG652&gt;12,$AH652&lt;1,$AH652&gt;31),"نامعتبر",RIGHT("0000"&amp;$AF652,4)&amp;"/"&amp;RIGHT("00"&amp;$AG652,2)&amp;"/"&amp;RIGHT("00"&amp;$AH652,2)))</f>
        <v/>
      </c>
      <c r="AJ652">
        <f>IF($AE652="","",IF(Sync!$Q652="","0000",IF(AND(ISNUMBER(Sync!$Q652),Sync!$Q652&gt;=0,Sync!$Q652&lt;1),RIGHT("00"&amp;HOUR(Sync!$Q652),2)&amp;RIGHT("00"&amp;MINUTE(Sync!$Q652),2),IFERROR(RIGHT("00"&amp;VALUE(LEFT(Sync!$Q652,FIND(":",Sync!$Q652)-1)),2)&amp;RIGHT("00"&amp;VALUE(MID(Sync!$Q652,FIND(":",Sync!$Q652)+1,2)),2),"0000"))))</f>
        <v/>
      </c>
      <c r="AK652">
        <f>IF(OR($AE652="",$AI652="",$AI652="نامعتبر"),"",LEFT($AI652,4)&amp;MID($AI652,6,2)&amp;RIGHT($AI652,2)&amp;$AJ652&amp;"|"&amp;"3"&amp;RIGHT("00000"&amp;647,5))</f>
        <v/>
      </c>
      <c r="AL652">
        <f>IF($AK652="","",COUNTIFS(LdAParty,$AE652,LdAType,1,LdAKey,"&lt;"&amp;$AK652)+COUNTIFS(LdBMember,$AE652,LdBKey,"&lt;"&amp;$AK652)+COUNTIFS(LdCParty,$AE652,LdCKey,"&lt;"&amp;$AK652)+1)</f>
        <v/>
      </c>
      <c r="AM652">
        <f>IF($AL652="","",$AE652&amp;"|"&amp;RIGHT("000000"&amp;$AL652,6))</f>
        <v/>
      </c>
      <c r="AN652">
        <f>IF($AE652="","",IF(Sync!$W652="",0,Sync!$W652))</f>
        <v/>
      </c>
      <c r="AO652">
        <f>IF($AE652="","",IF(Sync!$X652="",0,Sync!$X652))</f>
        <v/>
      </c>
      <c r="AP652">
        <f>IF($AE652="","",Sync!$R652)</f>
        <v/>
      </c>
      <c r="AQ652">
        <f>IF($AE652="","",Sync!$Y652)</f>
        <v/>
      </c>
    </row>
    <row r="653">
      <c r="A653">
        <f>IF(OR(Wages!$B656="",Wages!$E656=""),"",Wages!$E656)</f>
        <v/>
      </c>
      <c r="B653">
        <f>IF($A653="","",IF(Wages!$C656="دستمزد گروهی",2,1))</f>
        <v/>
      </c>
      <c r="C653">
        <f>IF($A653="","",IF(ISNUMBER(Wages!$B656),IF(AND(Wages!$B656&gt;=10000101,Wages!$B656&lt;=99991231),INT(Wages!$B656/10000),""),IFERROR(VALUE(TRIM(LEFT(Wages!$B656,FIND("/",Wages!$B656)-1))),"")))</f>
        <v/>
      </c>
      <c r="D653">
        <f>IF(OR($A653="",$C653=""),"",IF(ISNUMBER(Wages!$B656),INT(MOD(Wages!$B656,10000)/100),IFERROR(VALUE(TRIM(LEFT(MID(Wages!$B656,FIND("/",Wages!$B656)+1,20),FIND("/",MID(Wages!$B656,FIND("/",Wages!$B656)+1,20))-1))),"")))</f>
        <v/>
      </c>
      <c r="E653">
        <f>IF(OR($A653="",$C653=""),"",IF(ISNUMBER(Wages!$B656),MOD(Wages!$B656,100),IFERROR(VALUE(TRIM(MID(MID(Wages!$B656,FIND("/",Wages!$B656)+1,20),FIND("/",MID(Wages!$B656,FIND("/",Wages!$B656)+1,20))+1,20))),"")))</f>
        <v/>
      </c>
      <c r="F653">
        <f>IF($A653="","",IF(OR($C653="",$D653="",$E653="",$C653&lt;1300,$C653&gt;1500,$D653&lt;1,$D653&gt;12,$E653&lt;1,$E653&gt;31),"نامعتبر",RIGHT("0000"&amp;$C653,4)&amp;"/"&amp;RIGHT("00"&amp;$D653,2)&amp;"/"&amp;RIGHT("00"&amp;$E653,2)))</f>
        <v/>
      </c>
      <c r="G653">
        <f>IF(OR($A653="",$F653="",$F653="نامعتبر"),"",LEFT($F653,4)&amp;MID($F653,6,2)&amp;RIGHT($F653,2)&amp;"0000"&amp;"|"&amp;"1"&amp;RIGHT("00000"&amp;648,5))</f>
        <v/>
      </c>
      <c r="H653">
        <f>IF(OR($B653&lt;&gt;1,$G653=""),"",COUNTIFS(LdAParty,$A653,LdAType,1,LdAKey,"&lt;"&amp;$G653)+COUNTIFS(LdBMember,$A653,LdBKey,"&lt;"&amp;$G653)+COUNTIFS(LdCParty,$A653,LdCKey,"&lt;"&amp;$G653)+1)</f>
        <v/>
      </c>
      <c r="I653">
        <f>IF($H653="","",$A653&amp;"|"&amp;RIGHT("000000"&amp;$H653,6))</f>
        <v/>
      </c>
      <c r="J653">
        <f>IF(OR($B653&lt;&gt;2,$G653=""),"",COUNTIFS(LdAParty,$A653,LdAType,2,LdAKey,"&lt;"&amp;$G653)+1)</f>
        <v/>
      </c>
      <c r="K653">
        <f>IF($J653="","",$A653&amp;"|"&amp;RIGHT("000000"&amp;$J653,6))</f>
        <v/>
      </c>
      <c r="L653">
        <f>IF($A653="","",IF(Wages!$G656="",0,Wages!$G656))</f>
        <v/>
      </c>
      <c r="M653">
        <f>IF($A653="","",Wages!$J656)</f>
        <v/>
      </c>
      <c r="N653">
        <f>IF($A653="","",Wages!$D656)</f>
        <v/>
      </c>
      <c r="P653">
        <f>IF(OR(Shares!$B656="",Shares!$C656=""),"",Shares!$C656)</f>
        <v/>
      </c>
      <c r="Q653">
        <f>IF($P653="","",Shares!$B656)</f>
        <v/>
      </c>
      <c r="R653">
        <f>IF($P653="","",IFERROR(INDEX(WageParty,MATCH($Q653,WageIds,0)),""))</f>
        <v/>
      </c>
      <c r="S653">
        <f>IF($P653="","",IFERROR(INDEX($F$6:$F$2005,MATCH($Q653,WageIds,0)),""))</f>
        <v/>
      </c>
      <c r="T653">
        <f>IF(OR($P653="",$S653="",$S653="نامعتبر"),"",LEFT($S653,4)&amp;MID($S653,6,2)&amp;RIGHT($S653,2)&amp;"0000"&amp;"|"&amp;"2"&amp;RIGHT("00000"&amp;648,5))</f>
        <v/>
      </c>
      <c r="U653">
        <f>IF($T653="","",COUNTIFS(LdAParty,$P653,LdAType,1,LdAKey,"&lt;"&amp;$T653)+COUNTIFS(LdBMember,$P653,LdBKey,"&lt;"&amp;$T653)+COUNTIFS(LdCParty,$P653,LdCKey,"&lt;"&amp;$T653)+1)</f>
        <v/>
      </c>
      <c r="V653">
        <f>IF($U653="","",$P653&amp;"|"&amp;RIGHT("000000"&amp;$U653,6))</f>
        <v/>
      </c>
      <c r="W653">
        <f>IF($T653="","",COUNTIFS(LdBGroup,$R653,LdBKey,"&lt;"&amp;$T653)+1)</f>
        <v/>
      </c>
      <c r="X653">
        <f>IF($W653="","",$R653&amp;"|"&amp;RIGHT("000000"&amp;$W653,6))</f>
        <v/>
      </c>
      <c r="Y653">
        <f>IF($P653="","",IF(Shares!$E656="",0,Shares!$E656))</f>
        <v/>
      </c>
      <c r="Z653">
        <f>IF($P653="","",Shares!$H656)</f>
        <v/>
      </c>
      <c r="AE653">
        <f>IF(OR(Sync!$S653="",Sync!$P653=""),"",Sync!$S653)</f>
        <v/>
      </c>
      <c r="AF653">
        <f>IF($AE653="","",IF(ISNUMBER(Sync!$P653),IF(AND(Sync!$P653&gt;=10000101,Sync!$P653&lt;=99991231),INT(Sync!$P653/10000),""),IFERROR(VALUE(TRIM(LEFT(Sync!$P653,FIND("/",Sync!$P653)-1))),"")))</f>
        <v/>
      </c>
      <c r="AG653">
        <f>IF(OR($AE653="",$AF653=""),"",IF(ISNUMBER(Sync!$P653),INT(MOD(Sync!$P653,10000)/100),IFERROR(VALUE(TRIM(LEFT(MID(Sync!$P653,FIND("/",Sync!$P653)+1,20),FIND("/",MID(Sync!$P653,FIND("/",Sync!$P653)+1,20))-1))),"")))</f>
        <v/>
      </c>
      <c r="AH653">
        <f>IF(OR($AE653="",$AF653=""),"",IF(ISNUMBER(Sync!$P653),MOD(Sync!$P653,100),IFERROR(VALUE(TRIM(MID(MID(Sync!$P653,FIND("/",Sync!$P653)+1,20),FIND("/",MID(Sync!$P653,FIND("/",Sync!$P653)+1,20))+1,20))),"")))</f>
        <v/>
      </c>
      <c r="AI653">
        <f>IF($AE653="","",IF(OR($AF653="",$AG653="",$AH653="",$AF653&lt;1300,$AF653&gt;1500,$AG653&lt;1,$AG653&gt;12,$AH653&lt;1,$AH653&gt;31),"نامعتبر",RIGHT("0000"&amp;$AF653,4)&amp;"/"&amp;RIGHT("00"&amp;$AG653,2)&amp;"/"&amp;RIGHT("00"&amp;$AH653,2)))</f>
        <v/>
      </c>
      <c r="AJ653">
        <f>IF($AE653="","",IF(Sync!$Q653="","0000",IF(AND(ISNUMBER(Sync!$Q653),Sync!$Q653&gt;=0,Sync!$Q653&lt;1),RIGHT("00"&amp;HOUR(Sync!$Q653),2)&amp;RIGHT("00"&amp;MINUTE(Sync!$Q653),2),IFERROR(RIGHT("00"&amp;VALUE(LEFT(Sync!$Q653,FIND(":",Sync!$Q653)-1)),2)&amp;RIGHT("00"&amp;VALUE(MID(Sync!$Q653,FIND(":",Sync!$Q653)+1,2)),2),"0000"))))</f>
        <v/>
      </c>
      <c r="AK653">
        <f>IF(OR($AE653="",$AI653="",$AI653="نامعتبر"),"",LEFT($AI653,4)&amp;MID($AI653,6,2)&amp;RIGHT($AI653,2)&amp;$AJ653&amp;"|"&amp;"3"&amp;RIGHT("00000"&amp;648,5))</f>
        <v/>
      </c>
      <c r="AL653">
        <f>IF($AK653="","",COUNTIFS(LdAParty,$AE653,LdAType,1,LdAKey,"&lt;"&amp;$AK653)+COUNTIFS(LdBMember,$AE653,LdBKey,"&lt;"&amp;$AK653)+COUNTIFS(LdCParty,$AE653,LdCKey,"&lt;"&amp;$AK653)+1)</f>
        <v/>
      </c>
      <c r="AM653">
        <f>IF($AL653="","",$AE653&amp;"|"&amp;RIGHT("000000"&amp;$AL653,6))</f>
        <v/>
      </c>
      <c r="AN653">
        <f>IF($AE653="","",IF(Sync!$W653="",0,Sync!$W653))</f>
        <v/>
      </c>
      <c r="AO653">
        <f>IF($AE653="","",IF(Sync!$X653="",0,Sync!$X653))</f>
        <v/>
      </c>
      <c r="AP653">
        <f>IF($AE653="","",Sync!$R653)</f>
        <v/>
      </c>
      <c r="AQ653">
        <f>IF($AE653="","",Sync!$Y653)</f>
        <v/>
      </c>
    </row>
    <row r="654">
      <c r="A654">
        <f>IF(OR(Wages!$B657="",Wages!$E657=""),"",Wages!$E657)</f>
        <v/>
      </c>
      <c r="B654">
        <f>IF($A654="","",IF(Wages!$C657="دستمزد گروهی",2,1))</f>
        <v/>
      </c>
      <c r="C654">
        <f>IF($A654="","",IF(ISNUMBER(Wages!$B657),IF(AND(Wages!$B657&gt;=10000101,Wages!$B657&lt;=99991231),INT(Wages!$B657/10000),""),IFERROR(VALUE(TRIM(LEFT(Wages!$B657,FIND("/",Wages!$B657)-1))),"")))</f>
        <v/>
      </c>
      <c r="D654">
        <f>IF(OR($A654="",$C654=""),"",IF(ISNUMBER(Wages!$B657),INT(MOD(Wages!$B657,10000)/100),IFERROR(VALUE(TRIM(LEFT(MID(Wages!$B657,FIND("/",Wages!$B657)+1,20),FIND("/",MID(Wages!$B657,FIND("/",Wages!$B657)+1,20))-1))),"")))</f>
        <v/>
      </c>
      <c r="E654">
        <f>IF(OR($A654="",$C654=""),"",IF(ISNUMBER(Wages!$B657),MOD(Wages!$B657,100),IFERROR(VALUE(TRIM(MID(MID(Wages!$B657,FIND("/",Wages!$B657)+1,20),FIND("/",MID(Wages!$B657,FIND("/",Wages!$B657)+1,20))+1,20))),"")))</f>
        <v/>
      </c>
      <c r="F654">
        <f>IF($A654="","",IF(OR($C654="",$D654="",$E654="",$C654&lt;1300,$C654&gt;1500,$D654&lt;1,$D654&gt;12,$E654&lt;1,$E654&gt;31),"نامعتبر",RIGHT("0000"&amp;$C654,4)&amp;"/"&amp;RIGHT("00"&amp;$D654,2)&amp;"/"&amp;RIGHT("00"&amp;$E654,2)))</f>
        <v/>
      </c>
      <c r="G654">
        <f>IF(OR($A654="",$F654="",$F654="نامعتبر"),"",LEFT($F654,4)&amp;MID($F654,6,2)&amp;RIGHT($F654,2)&amp;"0000"&amp;"|"&amp;"1"&amp;RIGHT("00000"&amp;649,5))</f>
        <v/>
      </c>
      <c r="H654">
        <f>IF(OR($B654&lt;&gt;1,$G654=""),"",COUNTIFS(LdAParty,$A654,LdAType,1,LdAKey,"&lt;"&amp;$G654)+COUNTIFS(LdBMember,$A654,LdBKey,"&lt;"&amp;$G654)+COUNTIFS(LdCParty,$A654,LdCKey,"&lt;"&amp;$G654)+1)</f>
        <v/>
      </c>
      <c r="I654">
        <f>IF($H654="","",$A654&amp;"|"&amp;RIGHT("000000"&amp;$H654,6))</f>
        <v/>
      </c>
      <c r="J654">
        <f>IF(OR($B654&lt;&gt;2,$G654=""),"",COUNTIFS(LdAParty,$A654,LdAType,2,LdAKey,"&lt;"&amp;$G654)+1)</f>
        <v/>
      </c>
      <c r="K654">
        <f>IF($J654="","",$A654&amp;"|"&amp;RIGHT("000000"&amp;$J654,6))</f>
        <v/>
      </c>
      <c r="L654">
        <f>IF($A654="","",IF(Wages!$G657="",0,Wages!$G657))</f>
        <v/>
      </c>
      <c r="M654">
        <f>IF($A654="","",Wages!$J657)</f>
        <v/>
      </c>
      <c r="N654">
        <f>IF($A654="","",Wages!$D657)</f>
        <v/>
      </c>
      <c r="P654">
        <f>IF(OR(Shares!$B657="",Shares!$C657=""),"",Shares!$C657)</f>
        <v/>
      </c>
      <c r="Q654">
        <f>IF($P654="","",Shares!$B657)</f>
        <v/>
      </c>
      <c r="R654">
        <f>IF($P654="","",IFERROR(INDEX(WageParty,MATCH($Q654,WageIds,0)),""))</f>
        <v/>
      </c>
      <c r="S654">
        <f>IF($P654="","",IFERROR(INDEX($F$6:$F$2005,MATCH($Q654,WageIds,0)),""))</f>
        <v/>
      </c>
      <c r="T654">
        <f>IF(OR($P654="",$S654="",$S654="نامعتبر"),"",LEFT($S654,4)&amp;MID($S654,6,2)&amp;RIGHT($S654,2)&amp;"0000"&amp;"|"&amp;"2"&amp;RIGHT("00000"&amp;649,5))</f>
        <v/>
      </c>
      <c r="U654">
        <f>IF($T654="","",COUNTIFS(LdAParty,$P654,LdAType,1,LdAKey,"&lt;"&amp;$T654)+COUNTIFS(LdBMember,$P654,LdBKey,"&lt;"&amp;$T654)+COUNTIFS(LdCParty,$P654,LdCKey,"&lt;"&amp;$T654)+1)</f>
        <v/>
      </c>
      <c r="V654">
        <f>IF($U654="","",$P654&amp;"|"&amp;RIGHT("000000"&amp;$U654,6))</f>
        <v/>
      </c>
      <c r="W654">
        <f>IF($T654="","",COUNTIFS(LdBGroup,$R654,LdBKey,"&lt;"&amp;$T654)+1)</f>
        <v/>
      </c>
      <c r="X654">
        <f>IF($W654="","",$R654&amp;"|"&amp;RIGHT("000000"&amp;$W654,6))</f>
        <v/>
      </c>
      <c r="Y654">
        <f>IF($P654="","",IF(Shares!$E657="",0,Shares!$E657))</f>
        <v/>
      </c>
      <c r="Z654">
        <f>IF($P654="","",Shares!$H657)</f>
        <v/>
      </c>
      <c r="AE654">
        <f>IF(OR(Sync!$S654="",Sync!$P654=""),"",Sync!$S654)</f>
        <v/>
      </c>
      <c r="AF654">
        <f>IF($AE654="","",IF(ISNUMBER(Sync!$P654),IF(AND(Sync!$P654&gt;=10000101,Sync!$P654&lt;=99991231),INT(Sync!$P654/10000),""),IFERROR(VALUE(TRIM(LEFT(Sync!$P654,FIND("/",Sync!$P654)-1))),"")))</f>
        <v/>
      </c>
      <c r="AG654">
        <f>IF(OR($AE654="",$AF654=""),"",IF(ISNUMBER(Sync!$P654),INT(MOD(Sync!$P654,10000)/100),IFERROR(VALUE(TRIM(LEFT(MID(Sync!$P654,FIND("/",Sync!$P654)+1,20),FIND("/",MID(Sync!$P654,FIND("/",Sync!$P654)+1,20))-1))),"")))</f>
        <v/>
      </c>
      <c r="AH654">
        <f>IF(OR($AE654="",$AF654=""),"",IF(ISNUMBER(Sync!$P654),MOD(Sync!$P654,100),IFERROR(VALUE(TRIM(MID(MID(Sync!$P654,FIND("/",Sync!$P654)+1,20),FIND("/",MID(Sync!$P654,FIND("/",Sync!$P654)+1,20))+1,20))),"")))</f>
        <v/>
      </c>
      <c r="AI654">
        <f>IF($AE654="","",IF(OR($AF654="",$AG654="",$AH654="",$AF654&lt;1300,$AF654&gt;1500,$AG654&lt;1,$AG654&gt;12,$AH654&lt;1,$AH654&gt;31),"نامعتبر",RIGHT("0000"&amp;$AF654,4)&amp;"/"&amp;RIGHT("00"&amp;$AG654,2)&amp;"/"&amp;RIGHT("00"&amp;$AH654,2)))</f>
        <v/>
      </c>
      <c r="AJ654">
        <f>IF($AE654="","",IF(Sync!$Q654="","0000",IF(AND(ISNUMBER(Sync!$Q654),Sync!$Q654&gt;=0,Sync!$Q654&lt;1),RIGHT("00"&amp;HOUR(Sync!$Q654),2)&amp;RIGHT("00"&amp;MINUTE(Sync!$Q654),2),IFERROR(RIGHT("00"&amp;VALUE(LEFT(Sync!$Q654,FIND(":",Sync!$Q654)-1)),2)&amp;RIGHT("00"&amp;VALUE(MID(Sync!$Q654,FIND(":",Sync!$Q654)+1,2)),2),"0000"))))</f>
        <v/>
      </c>
      <c r="AK654">
        <f>IF(OR($AE654="",$AI654="",$AI654="نامعتبر"),"",LEFT($AI654,4)&amp;MID($AI654,6,2)&amp;RIGHT($AI654,2)&amp;$AJ654&amp;"|"&amp;"3"&amp;RIGHT("00000"&amp;649,5))</f>
        <v/>
      </c>
      <c r="AL654">
        <f>IF($AK654="","",COUNTIFS(LdAParty,$AE654,LdAType,1,LdAKey,"&lt;"&amp;$AK654)+COUNTIFS(LdBMember,$AE654,LdBKey,"&lt;"&amp;$AK654)+COUNTIFS(LdCParty,$AE654,LdCKey,"&lt;"&amp;$AK654)+1)</f>
        <v/>
      </c>
      <c r="AM654">
        <f>IF($AL654="","",$AE654&amp;"|"&amp;RIGHT("000000"&amp;$AL654,6))</f>
        <v/>
      </c>
      <c r="AN654">
        <f>IF($AE654="","",IF(Sync!$W654="",0,Sync!$W654))</f>
        <v/>
      </c>
      <c r="AO654">
        <f>IF($AE654="","",IF(Sync!$X654="",0,Sync!$X654))</f>
        <v/>
      </c>
      <c r="AP654">
        <f>IF($AE654="","",Sync!$R654)</f>
        <v/>
      </c>
      <c r="AQ654">
        <f>IF($AE654="","",Sync!$Y654)</f>
        <v/>
      </c>
    </row>
    <row r="655">
      <c r="A655">
        <f>IF(OR(Wages!$B658="",Wages!$E658=""),"",Wages!$E658)</f>
        <v/>
      </c>
      <c r="B655">
        <f>IF($A655="","",IF(Wages!$C658="دستمزد گروهی",2,1))</f>
        <v/>
      </c>
      <c r="C655">
        <f>IF($A655="","",IF(ISNUMBER(Wages!$B658),IF(AND(Wages!$B658&gt;=10000101,Wages!$B658&lt;=99991231),INT(Wages!$B658/10000),""),IFERROR(VALUE(TRIM(LEFT(Wages!$B658,FIND("/",Wages!$B658)-1))),"")))</f>
        <v/>
      </c>
      <c r="D655">
        <f>IF(OR($A655="",$C655=""),"",IF(ISNUMBER(Wages!$B658),INT(MOD(Wages!$B658,10000)/100),IFERROR(VALUE(TRIM(LEFT(MID(Wages!$B658,FIND("/",Wages!$B658)+1,20),FIND("/",MID(Wages!$B658,FIND("/",Wages!$B658)+1,20))-1))),"")))</f>
        <v/>
      </c>
      <c r="E655">
        <f>IF(OR($A655="",$C655=""),"",IF(ISNUMBER(Wages!$B658),MOD(Wages!$B658,100),IFERROR(VALUE(TRIM(MID(MID(Wages!$B658,FIND("/",Wages!$B658)+1,20),FIND("/",MID(Wages!$B658,FIND("/",Wages!$B658)+1,20))+1,20))),"")))</f>
        <v/>
      </c>
      <c r="F655">
        <f>IF($A655="","",IF(OR($C655="",$D655="",$E655="",$C655&lt;1300,$C655&gt;1500,$D655&lt;1,$D655&gt;12,$E655&lt;1,$E655&gt;31),"نامعتبر",RIGHT("0000"&amp;$C655,4)&amp;"/"&amp;RIGHT("00"&amp;$D655,2)&amp;"/"&amp;RIGHT("00"&amp;$E655,2)))</f>
        <v/>
      </c>
      <c r="G655">
        <f>IF(OR($A655="",$F655="",$F655="نامعتبر"),"",LEFT($F655,4)&amp;MID($F655,6,2)&amp;RIGHT($F655,2)&amp;"0000"&amp;"|"&amp;"1"&amp;RIGHT("00000"&amp;650,5))</f>
        <v/>
      </c>
      <c r="H655">
        <f>IF(OR($B655&lt;&gt;1,$G655=""),"",COUNTIFS(LdAParty,$A655,LdAType,1,LdAKey,"&lt;"&amp;$G655)+COUNTIFS(LdBMember,$A655,LdBKey,"&lt;"&amp;$G655)+COUNTIFS(LdCParty,$A655,LdCKey,"&lt;"&amp;$G655)+1)</f>
        <v/>
      </c>
      <c r="I655">
        <f>IF($H655="","",$A655&amp;"|"&amp;RIGHT("000000"&amp;$H655,6))</f>
        <v/>
      </c>
      <c r="J655">
        <f>IF(OR($B655&lt;&gt;2,$G655=""),"",COUNTIFS(LdAParty,$A655,LdAType,2,LdAKey,"&lt;"&amp;$G655)+1)</f>
        <v/>
      </c>
      <c r="K655">
        <f>IF($J655="","",$A655&amp;"|"&amp;RIGHT("000000"&amp;$J655,6))</f>
        <v/>
      </c>
      <c r="L655">
        <f>IF($A655="","",IF(Wages!$G658="",0,Wages!$G658))</f>
        <v/>
      </c>
      <c r="M655">
        <f>IF($A655="","",Wages!$J658)</f>
        <v/>
      </c>
      <c r="N655">
        <f>IF($A655="","",Wages!$D658)</f>
        <v/>
      </c>
      <c r="P655">
        <f>IF(OR(Shares!$B658="",Shares!$C658=""),"",Shares!$C658)</f>
        <v/>
      </c>
      <c r="Q655">
        <f>IF($P655="","",Shares!$B658)</f>
        <v/>
      </c>
      <c r="R655">
        <f>IF($P655="","",IFERROR(INDEX(WageParty,MATCH($Q655,WageIds,0)),""))</f>
        <v/>
      </c>
      <c r="S655">
        <f>IF($P655="","",IFERROR(INDEX($F$6:$F$2005,MATCH($Q655,WageIds,0)),""))</f>
        <v/>
      </c>
      <c r="T655">
        <f>IF(OR($P655="",$S655="",$S655="نامعتبر"),"",LEFT($S655,4)&amp;MID($S655,6,2)&amp;RIGHT($S655,2)&amp;"0000"&amp;"|"&amp;"2"&amp;RIGHT("00000"&amp;650,5))</f>
        <v/>
      </c>
      <c r="U655">
        <f>IF($T655="","",COUNTIFS(LdAParty,$P655,LdAType,1,LdAKey,"&lt;"&amp;$T655)+COUNTIFS(LdBMember,$P655,LdBKey,"&lt;"&amp;$T655)+COUNTIFS(LdCParty,$P655,LdCKey,"&lt;"&amp;$T655)+1)</f>
        <v/>
      </c>
      <c r="V655">
        <f>IF($U655="","",$P655&amp;"|"&amp;RIGHT("000000"&amp;$U655,6))</f>
        <v/>
      </c>
      <c r="W655">
        <f>IF($T655="","",COUNTIFS(LdBGroup,$R655,LdBKey,"&lt;"&amp;$T655)+1)</f>
        <v/>
      </c>
      <c r="X655">
        <f>IF($W655="","",$R655&amp;"|"&amp;RIGHT("000000"&amp;$W655,6))</f>
        <v/>
      </c>
      <c r="Y655">
        <f>IF($P655="","",IF(Shares!$E658="",0,Shares!$E658))</f>
        <v/>
      </c>
      <c r="Z655">
        <f>IF($P655="","",Shares!$H658)</f>
        <v/>
      </c>
      <c r="AE655">
        <f>IF(OR(Sync!$S655="",Sync!$P655=""),"",Sync!$S655)</f>
        <v/>
      </c>
      <c r="AF655">
        <f>IF($AE655="","",IF(ISNUMBER(Sync!$P655),IF(AND(Sync!$P655&gt;=10000101,Sync!$P655&lt;=99991231),INT(Sync!$P655/10000),""),IFERROR(VALUE(TRIM(LEFT(Sync!$P655,FIND("/",Sync!$P655)-1))),"")))</f>
        <v/>
      </c>
      <c r="AG655">
        <f>IF(OR($AE655="",$AF655=""),"",IF(ISNUMBER(Sync!$P655),INT(MOD(Sync!$P655,10000)/100),IFERROR(VALUE(TRIM(LEFT(MID(Sync!$P655,FIND("/",Sync!$P655)+1,20),FIND("/",MID(Sync!$P655,FIND("/",Sync!$P655)+1,20))-1))),"")))</f>
        <v/>
      </c>
      <c r="AH655">
        <f>IF(OR($AE655="",$AF655=""),"",IF(ISNUMBER(Sync!$P655),MOD(Sync!$P655,100),IFERROR(VALUE(TRIM(MID(MID(Sync!$P655,FIND("/",Sync!$P655)+1,20),FIND("/",MID(Sync!$P655,FIND("/",Sync!$P655)+1,20))+1,20))),"")))</f>
        <v/>
      </c>
      <c r="AI655">
        <f>IF($AE655="","",IF(OR($AF655="",$AG655="",$AH655="",$AF655&lt;1300,$AF655&gt;1500,$AG655&lt;1,$AG655&gt;12,$AH655&lt;1,$AH655&gt;31),"نامعتبر",RIGHT("0000"&amp;$AF655,4)&amp;"/"&amp;RIGHT("00"&amp;$AG655,2)&amp;"/"&amp;RIGHT("00"&amp;$AH655,2)))</f>
        <v/>
      </c>
      <c r="AJ655">
        <f>IF($AE655="","",IF(Sync!$Q655="","0000",IF(AND(ISNUMBER(Sync!$Q655),Sync!$Q655&gt;=0,Sync!$Q655&lt;1),RIGHT("00"&amp;HOUR(Sync!$Q655),2)&amp;RIGHT("00"&amp;MINUTE(Sync!$Q655),2),IFERROR(RIGHT("00"&amp;VALUE(LEFT(Sync!$Q655,FIND(":",Sync!$Q655)-1)),2)&amp;RIGHT("00"&amp;VALUE(MID(Sync!$Q655,FIND(":",Sync!$Q655)+1,2)),2),"0000"))))</f>
        <v/>
      </c>
      <c r="AK655">
        <f>IF(OR($AE655="",$AI655="",$AI655="نامعتبر"),"",LEFT($AI655,4)&amp;MID($AI655,6,2)&amp;RIGHT($AI655,2)&amp;$AJ655&amp;"|"&amp;"3"&amp;RIGHT("00000"&amp;650,5))</f>
        <v/>
      </c>
      <c r="AL655">
        <f>IF($AK655="","",COUNTIFS(LdAParty,$AE655,LdAType,1,LdAKey,"&lt;"&amp;$AK655)+COUNTIFS(LdBMember,$AE655,LdBKey,"&lt;"&amp;$AK655)+COUNTIFS(LdCParty,$AE655,LdCKey,"&lt;"&amp;$AK655)+1)</f>
        <v/>
      </c>
      <c r="AM655">
        <f>IF($AL655="","",$AE655&amp;"|"&amp;RIGHT("000000"&amp;$AL655,6))</f>
        <v/>
      </c>
      <c r="AN655">
        <f>IF($AE655="","",IF(Sync!$W655="",0,Sync!$W655))</f>
        <v/>
      </c>
      <c r="AO655">
        <f>IF($AE655="","",IF(Sync!$X655="",0,Sync!$X655))</f>
        <v/>
      </c>
      <c r="AP655">
        <f>IF($AE655="","",Sync!$R655)</f>
        <v/>
      </c>
      <c r="AQ655">
        <f>IF($AE655="","",Sync!$Y655)</f>
        <v/>
      </c>
    </row>
    <row r="656">
      <c r="A656">
        <f>IF(OR(Wages!$B659="",Wages!$E659=""),"",Wages!$E659)</f>
        <v/>
      </c>
      <c r="B656">
        <f>IF($A656="","",IF(Wages!$C659="دستمزد گروهی",2,1))</f>
        <v/>
      </c>
      <c r="C656">
        <f>IF($A656="","",IF(ISNUMBER(Wages!$B659),IF(AND(Wages!$B659&gt;=10000101,Wages!$B659&lt;=99991231),INT(Wages!$B659/10000),""),IFERROR(VALUE(TRIM(LEFT(Wages!$B659,FIND("/",Wages!$B659)-1))),"")))</f>
        <v/>
      </c>
      <c r="D656">
        <f>IF(OR($A656="",$C656=""),"",IF(ISNUMBER(Wages!$B659),INT(MOD(Wages!$B659,10000)/100),IFERROR(VALUE(TRIM(LEFT(MID(Wages!$B659,FIND("/",Wages!$B659)+1,20),FIND("/",MID(Wages!$B659,FIND("/",Wages!$B659)+1,20))-1))),"")))</f>
        <v/>
      </c>
      <c r="E656">
        <f>IF(OR($A656="",$C656=""),"",IF(ISNUMBER(Wages!$B659),MOD(Wages!$B659,100),IFERROR(VALUE(TRIM(MID(MID(Wages!$B659,FIND("/",Wages!$B659)+1,20),FIND("/",MID(Wages!$B659,FIND("/",Wages!$B659)+1,20))+1,20))),"")))</f>
        <v/>
      </c>
      <c r="F656">
        <f>IF($A656="","",IF(OR($C656="",$D656="",$E656="",$C656&lt;1300,$C656&gt;1500,$D656&lt;1,$D656&gt;12,$E656&lt;1,$E656&gt;31),"نامعتبر",RIGHT("0000"&amp;$C656,4)&amp;"/"&amp;RIGHT("00"&amp;$D656,2)&amp;"/"&amp;RIGHT("00"&amp;$E656,2)))</f>
        <v/>
      </c>
      <c r="G656">
        <f>IF(OR($A656="",$F656="",$F656="نامعتبر"),"",LEFT($F656,4)&amp;MID($F656,6,2)&amp;RIGHT($F656,2)&amp;"0000"&amp;"|"&amp;"1"&amp;RIGHT("00000"&amp;651,5))</f>
        <v/>
      </c>
      <c r="H656">
        <f>IF(OR($B656&lt;&gt;1,$G656=""),"",COUNTIFS(LdAParty,$A656,LdAType,1,LdAKey,"&lt;"&amp;$G656)+COUNTIFS(LdBMember,$A656,LdBKey,"&lt;"&amp;$G656)+COUNTIFS(LdCParty,$A656,LdCKey,"&lt;"&amp;$G656)+1)</f>
        <v/>
      </c>
      <c r="I656">
        <f>IF($H656="","",$A656&amp;"|"&amp;RIGHT("000000"&amp;$H656,6))</f>
        <v/>
      </c>
      <c r="J656">
        <f>IF(OR($B656&lt;&gt;2,$G656=""),"",COUNTIFS(LdAParty,$A656,LdAType,2,LdAKey,"&lt;"&amp;$G656)+1)</f>
        <v/>
      </c>
      <c r="K656">
        <f>IF($J656="","",$A656&amp;"|"&amp;RIGHT("000000"&amp;$J656,6))</f>
        <v/>
      </c>
      <c r="L656">
        <f>IF($A656="","",IF(Wages!$G659="",0,Wages!$G659))</f>
        <v/>
      </c>
      <c r="M656">
        <f>IF($A656="","",Wages!$J659)</f>
        <v/>
      </c>
      <c r="N656">
        <f>IF($A656="","",Wages!$D659)</f>
        <v/>
      </c>
      <c r="P656">
        <f>IF(OR(Shares!$B659="",Shares!$C659=""),"",Shares!$C659)</f>
        <v/>
      </c>
      <c r="Q656">
        <f>IF($P656="","",Shares!$B659)</f>
        <v/>
      </c>
      <c r="R656">
        <f>IF($P656="","",IFERROR(INDEX(WageParty,MATCH($Q656,WageIds,0)),""))</f>
        <v/>
      </c>
      <c r="S656">
        <f>IF($P656="","",IFERROR(INDEX($F$6:$F$2005,MATCH($Q656,WageIds,0)),""))</f>
        <v/>
      </c>
      <c r="T656">
        <f>IF(OR($P656="",$S656="",$S656="نامعتبر"),"",LEFT($S656,4)&amp;MID($S656,6,2)&amp;RIGHT($S656,2)&amp;"0000"&amp;"|"&amp;"2"&amp;RIGHT("00000"&amp;651,5))</f>
        <v/>
      </c>
      <c r="U656">
        <f>IF($T656="","",COUNTIFS(LdAParty,$P656,LdAType,1,LdAKey,"&lt;"&amp;$T656)+COUNTIFS(LdBMember,$P656,LdBKey,"&lt;"&amp;$T656)+COUNTIFS(LdCParty,$P656,LdCKey,"&lt;"&amp;$T656)+1)</f>
        <v/>
      </c>
      <c r="V656">
        <f>IF($U656="","",$P656&amp;"|"&amp;RIGHT("000000"&amp;$U656,6))</f>
        <v/>
      </c>
      <c r="W656">
        <f>IF($T656="","",COUNTIFS(LdBGroup,$R656,LdBKey,"&lt;"&amp;$T656)+1)</f>
        <v/>
      </c>
      <c r="X656">
        <f>IF($W656="","",$R656&amp;"|"&amp;RIGHT("000000"&amp;$W656,6))</f>
        <v/>
      </c>
      <c r="Y656">
        <f>IF($P656="","",IF(Shares!$E659="",0,Shares!$E659))</f>
        <v/>
      </c>
      <c r="Z656">
        <f>IF($P656="","",Shares!$H659)</f>
        <v/>
      </c>
      <c r="AE656">
        <f>IF(OR(Sync!$S656="",Sync!$P656=""),"",Sync!$S656)</f>
        <v/>
      </c>
      <c r="AF656">
        <f>IF($AE656="","",IF(ISNUMBER(Sync!$P656),IF(AND(Sync!$P656&gt;=10000101,Sync!$P656&lt;=99991231),INT(Sync!$P656/10000),""),IFERROR(VALUE(TRIM(LEFT(Sync!$P656,FIND("/",Sync!$P656)-1))),"")))</f>
        <v/>
      </c>
      <c r="AG656">
        <f>IF(OR($AE656="",$AF656=""),"",IF(ISNUMBER(Sync!$P656),INT(MOD(Sync!$P656,10000)/100),IFERROR(VALUE(TRIM(LEFT(MID(Sync!$P656,FIND("/",Sync!$P656)+1,20),FIND("/",MID(Sync!$P656,FIND("/",Sync!$P656)+1,20))-1))),"")))</f>
        <v/>
      </c>
      <c r="AH656">
        <f>IF(OR($AE656="",$AF656=""),"",IF(ISNUMBER(Sync!$P656),MOD(Sync!$P656,100),IFERROR(VALUE(TRIM(MID(MID(Sync!$P656,FIND("/",Sync!$P656)+1,20),FIND("/",MID(Sync!$P656,FIND("/",Sync!$P656)+1,20))+1,20))),"")))</f>
        <v/>
      </c>
      <c r="AI656">
        <f>IF($AE656="","",IF(OR($AF656="",$AG656="",$AH656="",$AF656&lt;1300,$AF656&gt;1500,$AG656&lt;1,$AG656&gt;12,$AH656&lt;1,$AH656&gt;31),"نامعتبر",RIGHT("0000"&amp;$AF656,4)&amp;"/"&amp;RIGHT("00"&amp;$AG656,2)&amp;"/"&amp;RIGHT("00"&amp;$AH656,2)))</f>
        <v/>
      </c>
      <c r="AJ656">
        <f>IF($AE656="","",IF(Sync!$Q656="","0000",IF(AND(ISNUMBER(Sync!$Q656),Sync!$Q656&gt;=0,Sync!$Q656&lt;1),RIGHT("00"&amp;HOUR(Sync!$Q656),2)&amp;RIGHT("00"&amp;MINUTE(Sync!$Q656),2),IFERROR(RIGHT("00"&amp;VALUE(LEFT(Sync!$Q656,FIND(":",Sync!$Q656)-1)),2)&amp;RIGHT("00"&amp;VALUE(MID(Sync!$Q656,FIND(":",Sync!$Q656)+1,2)),2),"0000"))))</f>
        <v/>
      </c>
      <c r="AK656">
        <f>IF(OR($AE656="",$AI656="",$AI656="نامعتبر"),"",LEFT($AI656,4)&amp;MID($AI656,6,2)&amp;RIGHT($AI656,2)&amp;$AJ656&amp;"|"&amp;"3"&amp;RIGHT("00000"&amp;651,5))</f>
        <v/>
      </c>
      <c r="AL656">
        <f>IF($AK656="","",COUNTIFS(LdAParty,$AE656,LdAType,1,LdAKey,"&lt;"&amp;$AK656)+COUNTIFS(LdBMember,$AE656,LdBKey,"&lt;"&amp;$AK656)+COUNTIFS(LdCParty,$AE656,LdCKey,"&lt;"&amp;$AK656)+1)</f>
        <v/>
      </c>
      <c r="AM656">
        <f>IF($AL656="","",$AE656&amp;"|"&amp;RIGHT("000000"&amp;$AL656,6))</f>
        <v/>
      </c>
      <c r="AN656">
        <f>IF($AE656="","",IF(Sync!$W656="",0,Sync!$W656))</f>
        <v/>
      </c>
      <c r="AO656">
        <f>IF($AE656="","",IF(Sync!$X656="",0,Sync!$X656))</f>
        <v/>
      </c>
      <c r="AP656">
        <f>IF($AE656="","",Sync!$R656)</f>
        <v/>
      </c>
      <c r="AQ656">
        <f>IF($AE656="","",Sync!$Y656)</f>
        <v/>
      </c>
    </row>
    <row r="657">
      <c r="A657">
        <f>IF(OR(Wages!$B660="",Wages!$E660=""),"",Wages!$E660)</f>
        <v/>
      </c>
      <c r="B657">
        <f>IF($A657="","",IF(Wages!$C660="دستمزد گروهی",2,1))</f>
        <v/>
      </c>
      <c r="C657">
        <f>IF($A657="","",IF(ISNUMBER(Wages!$B660),IF(AND(Wages!$B660&gt;=10000101,Wages!$B660&lt;=99991231),INT(Wages!$B660/10000),""),IFERROR(VALUE(TRIM(LEFT(Wages!$B660,FIND("/",Wages!$B660)-1))),"")))</f>
        <v/>
      </c>
      <c r="D657">
        <f>IF(OR($A657="",$C657=""),"",IF(ISNUMBER(Wages!$B660),INT(MOD(Wages!$B660,10000)/100),IFERROR(VALUE(TRIM(LEFT(MID(Wages!$B660,FIND("/",Wages!$B660)+1,20),FIND("/",MID(Wages!$B660,FIND("/",Wages!$B660)+1,20))-1))),"")))</f>
        <v/>
      </c>
      <c r="E657">
        <f>IF(OR($A657="",$C657=""),"",IF(ISNUMBER(Wages!$B660),MOD(Wages!$B660,100),IFERROR(VALUE(TRIM(MID(MID(Wages!$B660,FIND("/",Wages!$B660)+1,20),FIND("/",MID(Wages!$B660,FIND("/",Wages!$B660)+1,20))+1,20))),"")))</f>
        <v/>
      </c>
      <c r="F657">
        <f>IF($A657="","",IF(OR($C657="",$D657="",$E657="",$C657&lt;1300,$C657&gt;1500,$D657&lt;1,$D657&gt;12,$E657&lt;1,$E657&gt;31),"نامعتبر",RIGHT("0000"&amp;$C657,4)&amp;"/"&amp;RIGHT("00"&amp;$D657,2)&amp;"/"&amp;RIGHT("00"&amp;$E657,2)))</f>
        <v/>
      </c>
      <c r="G657">
        <f>IF(OR($A657="",$F657="",$F657="نامعتبر"),"",LEFT($F657,4)&amp;MID($F657,6,2)&amp;RIGHT($F657,2)&amp;"0000"&amp;"|"&amp;"1"&amp;RIGHT("00000"&amp;652,5))</f>
        <v/>
      </c>
      <c r="H657">
        <f>IF(OR($B657&lt;&gt;1,$G657=""),"",COUNTIFS(LdAParty,$A657,LdAType,1,LdAKey,"&lt;"&amp;$G657)+COUNTIFS(LdBMember,$A657,LdBKey,"&lt;"&amp;$G657)+COUNTIFS(LdCParty,$A657,LdCKey,"&lt;"&amp;$G657)+1)</f>
        <v/>
      </c>
      <c r="I657">
        <f>IF($H657="","",$A657&amp;"|"&amp;RIGHT("000000"&amp;$H657,6))</f>
        <v/>
      </c>
      <c r="J657">
        <f>IF(OR($B657&lt;&gt;2,$G657=""),"",COUNTIFS(LdAParty,$A657,LdAType,2,LdAKey,"&lt;"&amp;$G657)+1)</f>
        <v/>
      </c>
      <c r="K657">
        <f>IF($J657="","",$A657&amp;"|"&amp;RIGHT("000000"&amp;$J657,6))</f>
        <v/>
      </c>
      <c r="L657">
        <f>IF($A657="","",IF(Wages!$G660="",0,Wages!$G660))</f>
        <v/>
      </c>
      <c r="M657">
        <f>IF($A657="","",Wages!$J660)</f>
        <v/>
      </c>
      <c r="N657">
        <f>IF($A657="","",Wages!$D660)</f>
        <v/>
      </c>
      <c r="P657">
        <f>IF(OR(Shares!$B660="",Shares!$C660=""),"",Shares!$C660)</f>
        <v/>
      </c>
      <c r="Q657">
        <f>IF($P657="","",Shares!$B660)</f>
        <v/>
      </c>
      <c r="R657">
        <f>IF($P657="","",IFERROR(INDEX(WageParty,MATCH($Q657,WageIds,0)),""))</f>
        <v/>
      </c>
      <c r="S657">
        <f>IF($P657="","",IFERROR(INDEX($F$6:$F$2005,MATCH($Q657,WageIds,0)),""))</f>
        <v/>
      </c>
      <c r="T657">
        <f>IF(OR($P657="",$S657="",$S657="نامعتبر"),"",LEFT($S657,4)&amp;MID($S657,6,2)&amp;RIGHT($S657,2)&amp;"0000"&amp;"|"&amp;"2"&amp;RIGHT("00000"&amp;652,5))</f>
        <v/>
      </c>
      <c r="U657">
        <f>IF($T657="","",COUNTIFS(LdAParty,$P657,LdAType,1,LdAKey,"&lt;"&amp;$T657)+COUNTIFS(LdBMember,$P657,LdBKey,"&lt;"&amp;$T657)+COUNTIFS(LdCParty,$P657,LdCKey,"&lt;"&amp;$T657)+1)</f>
        <v/>
      </c>
      <c r="V657">
        <f>IF($U657="","",$P657&amp;"|"&amp;RIGHT("000000"&amp;$U657,6))</f>
        <v/>
      </c>
      <c r="W657">
        <f>IF($T657="","",COUNTIFS(LdBGroup,$R657,LdBKey,"&lt;"&amp;$T657)+1)</f>
        <v/>
      </c>
      <c r="X657">
        <f>IF($W657="","",$R657&amp;"|"&amp;RIGHT("000000"&amp;$W657,6))</f>
        <v/>
      </c>
      <c r="Y657">
        <f>IF($P657="","",IF(Shares!$E660="",0,Shares!$E660))</f>
        <v/>
      </c>
      <c r="Z657">
        <f>IF($P657="","",Shares!$H660)</f>
        <v/>
      </c>
      <c r="AE657">
        <f>IF(OR(Sync!$S657="",Sync!$P657=""),"",Sync!$S657)</f>
        <v/>
      </c>
      <c r="AF657">
        <f>IF($AE657="","",IF(ISNUMBER(Sync!$P657),IF(AND(Sync!$P657&gt;=10000101,Sync!$P657&lt;=99991231),INT(Sync!$P657/10000),""),IFERROR(VALUE(TRIM(LEFT(Sync!$P657,FIND("/",Sync!$P657)-1))),"")))</f>
        <v/>
      </c>
      <c r="AG657">
        <f>IF(OR($AE657="",$AF657=""),"",IF(ISNUMBER(Sync!$P657),INT(MOD(Sync!$P657,10000)/100),IFERROR(VALUE(TRIM(LEFT(MID(Sync!$P657,FIND("/",Sync!$P657)+1,20),FIND("/",MID(Sync!$P657,FIND("/",Sync!$P657)+1,20))-1))),"")))</f>
        <v/>
      </c>
      <c r="AH657">
        <f>IF(OR($AE657="",$AF657=""),"",IF(ISNUMBER(Sync!$P657),MOD(Sync!$P657,100),IFERROR(VALUE(TRIM(MID(MID(Sync!$P657,FIND("/",Sync!$P657)+1,20),FIND("/",MID(Sync!$P657,FIND("/",Sync!$P657)+1,20))+1,20))),"")))</f>
        <v/>
      </c>
      <c r="AI657">
        <f>IF($AE657="","",IF(OR($AF657="",$AG657="",$AH657="",$AF657&lt;1300,$AF657&gt;1500,$AG657&lt;1,$AG657&gt;12,$AH657&lt;1,$AH657&gt;31),"نامعتبر",RIGHT("0000"&amp;$AF657,4)&amp;"/"&amp;RIGHT("00"&amp;$AG657,2)&amp;"/"&amp;RIGHT("00"&amp;$AH657,2)))</f>
        <v/>
      </c>
      <c r="AJ657">
        <f>IF($AE657="","",IF(Sync!$Q657="","0000",IF(AND(ISNUMBER(Sync!$Q657),Sync!$Q657&gt;=0,Sync!$Q657&lt;1),RIGHT("00"&amp;HOUR(Sync!$Q657),2)&amp;RIGHT("00"&amp;MINUTE(Sync!$Q657),2),IFERROR(RIGHT("00"&amp;VALUE(LEFT(Sync!$Q657,FIND(":",Sync!$Q657)-1)),2)&amp;RIGHT("00"&amp;VALUE(MID(Sync!$Q657,FIND(":",Sync!$Q657)+1,2)),2),"0000"))))</f>
        <v/>
      </c>
      <c r="AK657">
        <f>IF(OR($AE657="",$AI657="",$AI657="نامعتبر"),"",LEFT($AI657,4)&amp;MID($AI657,6,2)&amp;RIGHT($AI657,2)&amp;$AJ657&amp;"|"&amp;"3"&amp;RIGHT("00000"&amp;652,5))</f>
        <v/>
      </c>
      <c r="AL657">
        <f>IF($AK657="","",COUNTIFS(LdAParty,$AE657,LdAType,1,LdAKey,"&lt;"&amp;$AK657)+COUNTIFS(LdBMember,$AE657,LdBKey,"&lt;"&amp;$AK657)+COUNTIFS(LdCParty,$AE657,LdCKey,"&lt;"&amp;$AK657)+1)</f>
        <v/>
      </c>
      <c r="AM657">
        <f>IF($AL657="","",$AE657&amp;"|"&amp;RIGHT("000000"&amp;$AL657,6))</f>
        <v/>
      </c>
      <c r="AN657">
        <f>IF($AE657="","",IF(Sync!$W657="",0,Sync!$W657))</f>
        <v/>
      </c>
      <c r="AO657">
        <f>IF($AE657="","",IF(Sync!$X657="",0,Sync!$X657))</f>
        <v/>
      </c>
      <c r="AP657">
        <f>IF($AE657="","",Sync!$R657)</f>
        <v/>
      </c>
      <c r="AQ657">
        <f>IF($AE657="","",Sync!$Y657)</f>
        <v/>
      </c>
    </row>
    <row r="658">
      <c r="A658">
        <f>IF(OR(Wages!$B661="",Wages!$E661=""),"",Wages!$E661)</f>
        <v/>
      </c>
      <c r="B658">
        <f>IF($A658="","",IF(Wages!$C661="دستمزد گروهی",2,1))</f>
        <v/>
      </c>
      <c r="C658">
        <f>IF($A658="","",IF(ISNUMBER(Wages!$B661),IF(AND(Wages!$B661&gt;=10000101,Wages!$B661&lt;=99991231),INT(Wages!$B661/10000),""),IFERROR(VALUE(TRIM(LEFT(Wages!$B661,FIND("/",Wages!$B661)-1))),"")))</f>
        <v/>
      </c>
      <c r="D658">
        <f>IF(OR($A658="",$C658=""),"",IF(ISNUMBER(Wages!$B661),INT(MOD(Wages!$B661,10000)/100),IFERROR(VALUE(TRIM(LEFT(MID(Wages!$B661,FIND("/",Wages!$B661)+1,20),FIND("/",MID(Wages!$B661,FIND("/",Wages!$B661)+1,20))-1))),"")))</f>
        <v/>
      </c>
      <c r="E658">
        <f>IF(OR($A658="",$C658=""),"",IF(ISNUMBER(Wages!$B661),MOD(Wages!$B661,100),IFERROR(VALUE(TRIM(MID(MID(Wages!$B661,FIND("/",Wages!$B661)+1,20),FIND("/",MID(Wages!$B661,FIND("/",Wages!$B661)+1,20))+1,20))),"")))</f>
        <v/>
      </c>
      <c r="F658">
        <f>IF($A658="","",IF(OR($C658="",$D658="",$E658="",$C658&lt;1300,$C658&gt;1500,$D658&lt;1,$D658&gt;12,$E658&lt;1,$E658&gt;31),"نامعتبر",RIGHT("0000"&amp;$C658,4)&amp;"/"&amp;RIGHT("00"&amp;$D658,2)&amp;"/"&amp;RIGHT("00"&amp;$E658,2)))</f>
        <v/>
      </c>
      <c r="G658">
        <f>IF(OR($A658="",$F658="",$F658="نامعتبر"),"",LEFT($F658,4)&amp;MID($F658,6,2)&amp;RIGHT($F658,2)&amp;"0000"&amp;"|"&amp;"1"&amp;RIGHT("00000"&amp;653,5))</f>
        <v/>
      </c>
      <c r="H658">
        <f>IF(OR($B658&lt;&gt;1,$G658=""),"",COUNTIFS(LdAParty,$A658,LdAType,1,LdAKey,"&lt;"&amp;$G658)+COUNTIFS(LdBMember,$A658,LdBKey,"&lt;"&amp;$G658)+COUNTIFS(LdCParty,$A658,LdCKey,"&lt;"&amp;$G658)+1)</f>
        <v/>
      </c>
      <c r="I658">
        <f>IF($H658="","",$A658&amp;"|"&amp;RIGHT("000000"&amp;$H658,6))</f>
        <v/>
      </c>
      <c r="J658">
        <f>IF(OR($B658&lt;&gt;2,$G658=""),"",COUNTIFS(LdAParty,$A658,LdAType,2,LdAKey,"&lt;"&amp;$G658)+1)</f>
        <v/>
      </c>
      <c r="K658">
        <f>IF($J658="","",$A658&amp;"|"&amp;RIGHT("000000"&amp;$J658,6))</f>
        <v/>
      </c>
      <c r="L658">
        <f>IF($A658="","",IF(Wages!$G661="",0,Wages!$G661))</f>
        <v/>
      </c>
      <c r="M658">
        <f>IF($A658="","",Wages!$J661)</f>
        <v/>
      </c>
      <c r="N658">
        <f>IF($A658="","",Wages!$D661)</f>
        <v/>
      </c>
      <c r="P658">
        <f>IF(OR(Shares!$B661="",Shares!$C661=""),"",Shares!$C661)</f>
        <v/>
      </c>
      <c r="Q658">
        <f>IF($P658="","",Shares!$B661)</f>
        <v/>
      </c>
      <c r="R658">
        <f>IF($P658="","",IFERROR(INDEX(WageParty,MATCH($Q658,WageIds,0)),""))</f>
        <v/>
      </c>
      <c r="S658">
        <f>IF($P658="","",IFERROR(INDEX($F$6:$F$2005,MATCH($Q658,WageIds,0)),""))</f>
        <v/>
      </c>
      <c r="T658">
        <f>IF(OR($P658="",$S658="",$S658="نامعتبر"),"",LEFT($S658,4)&amp;MID($S658,6,2)&amp;RIGHT($S658,2)&amp;"0000"&amp;"|"&amp;"2"&amp;RIGHT("00000"&amp;653,5))</f>
        <v/>
      </c>
      <c r="U658">
        <f>IF($T658="","",COUNTIFS(LdAParty,$P658,LdAType,1,LdAKey,"&lt;"&amp;$T658)+COUNTIFS(LdBMember,$P658,LdBKey,"&lt;"&amp;$T658)+COUNTIFS(LdCParty,$P658,LdCKey,"&lt;"&amp;$T658)+1)</f>
        <v/>
      </c>
      <c r="V658">
        <f>IF($U658="","",$P658&amp;"|"&amp;RIGHT("000000"&amp;$U658,6))</f>
        <v/>
      </c>
      <c r="W658">
        <f>IF($T658="","",COUNTIFS(LdBGroup,$R658,LdBKey,"&lt;"&amp;$T658)+1)</f>
        <v/>
      </c>
      <c r="X658">
        <f>IF($W658="","",$R658&amp;"|"&amp;RIGHT("000000"&amp;$W658,6))</f>
        <v/>
      </c>
      <c r="Y658">
        <f>IF($P658="","",IF(Shares!$E661="",0,Shares!$E661))</f>
        <v/>
      </c>
      <c r="Z658">
        <f>IF($P658="","",Shares!$H661)</f>
        <v/>
      </c>
      <c r="AE658">
        <f>IF(OR(Sync!$S658="",Sync!$P658=""),"",Sync!$S658)</f>
        <v/>
      </c>
      <c r="AF658">
        <f>IF($AE658="","",IF(ISNUMBER(Sync!$P658),IF(AND(Sync!$P658&gt;=10000101,Sync!$P658&lt;=99991231),INT(Sync!$P658/10000),""),IFERROR(VALUE(TRIM(LEFT(Sync!$P658,FIND("/",Sync!$P658)-1))),"")))</f>
        <v/>
      </c>
      <c r="AG658">
        <f>IF(OR($AE658="",$AF658=""),"",IF(ISNUMBER(Sync!$P658),INT(MOD(Sync!$P658,10000)/100),IFERROR(VALUE(TRIM(LEFT(MID(Sync!$P658,FIND("/",Sync!$P658)+1,20),FIND("/",MID(Sync!$P658,FIND("/",Sync!$P658)+1,20))-1))),"")))</f>
        <v/>
      </c>
      <c r="AH658">
        <f>IF(OR($AE658="",$AF658=""),"",IF(ISNUMBER(Sync!$P658),MOD(Sync!$P658,100),IFERROR(VALUE(TRIM(MID(MID(Sync!$P658,FIND("/",Sync!$P658)+1,20),FIND("/",MID(Sync!$P658,FIND("/",Sync!$P658)+1,20))+1,20))),"")))</f>
        <v/>
      </c>
      <c r="AI658">
        <f>IF($AE658="","",IF(OR($AF658="",$AG658="",$AH658="",$AF658&lt;1300,$AF658&gt;1500,$AG658&lt;1,$AG658&gt;12,$AH658&lt;1,$AH658&gt;31),"نامعتبر",RIGHT("0000"&amp;$AF658,4)&amp;"/"&amp;RIGHT("00"&amp;$AG658,2)&amp;"/"&amp;RIGHT("00"&amp;$AH658,2)))</f>
        <v/>
      </c>
      <c r="AJ658">
        <f>IF($AE658="","",IF(Sync!$Q658="","0000",IF(AND(ISNUMBER(Sync!$Q658),Sync!$Q658&gt;=0,Sync!$Q658&lt;1),RIGHT("00"&amp;HOUR(Sync!$Q658),2)&amp;RIGHT("00"&amp;MINUTE(Sync!$Q658),2),IFERROR(RIGHT("00"&amp;VALUE(LEFT(Sync!$Q658,FIND(":",Sync!$Q658)-1)),2)&amp;RIGHT("00"&amp;VALUE(MID(Sync!$Q658,FIND(":",Sync!$Q658)+1,2)),2),"0000"))))</f>
        <v/>
      </c>
      <c r="AK658">
        <f>IF(OR($AE658="",$AI658="",$AI658="نامعتبر"),"",LEFT($AI658,4)&amp;MID($AI658,6,2)&amp;RIGHT($AI658,2)&amp;$AJ658&amp;"|"&amp;"3"&amp;RIGHT("00000"&amp;653,5))</f>
        <v/>
      </c>
      <c r="AL658">
        <f>IF($AK658="","",COUNTIFS(LdAParty,$AE658,LdAType,1,LdAKey,"&lt;"&amp;$AK658)+COUNTIFS(LdBMember,$AE658,LdBKey,"&lt;"&amp;$AK658)+COUNTIFS(LdCParty,$AE658,LdCKey,"&lt;"&amp;$AK658)+1)</f>
        <v/>
      </c>
      <c r="AM658">
        <f>IF($AL658="","",$AE658&amp;"|"&amp;RIGHT("000000"&amp;$AL658,6))</f>
        <v/>
      </c>
      <c r="AN658">
        <f>IF($AE658="","",IF(Sync!$W658="",0,Sync!$W658))</f>
        <v/>
      </c>
      <c r="AO658">
        <f>IF($AE658="","",IF(Sync!$X658="",0,Sync!$X658))</f>
        <v/>
      </c>
      <c r="AP658">
        <f>IF($AE658="","",Sync!$R658)</f>
        <v/>
      </c>
      <c r="AQ658">
        <f>IF($AE658="","",Sync!$Y658)</f>
        <v/>
      </c>
    </row>
    <row r="659">
      <c r="A659">
        <f>IF(OR(Wages!$B662="",Wages!$E662=""),"",Wages!$E662)</f>
        <v/>
      </c>
      <c r="B659">
        <f>IF($A659="","",IF(Wages!$C662="دستمزد گروهی",2,1))</f>
        <v/>
      </c>
      <c r="C659">
        <f>IF($A659="","",IF(ISNUMBER(Wages!$B662),IF(AND(Wages!$B662&gt;=10000101,Wages!$B662&lt;=99991231),INT(Wages!$B662/10000),""),IFERROR(VALUE(TRIM(LEFT(Wages!$B662,FIND("/",Wages!$B662)-1))),"")))</f>
        <v/>
      </c>
      <c r="D659">
        <f>IF(OR($A659="",$C659=""),"",IF(ISNUMBER(Wages!$B662),INT(MOD(Wages!$B662,10000)/100),IFERROR(VALUE(TRIM(LEFT(MID(Wages!$B662,FIND("/",Wages!$B662)+1,20),FIND("/",MID(Wages!$B662,FIND("/",Wages!$B662)+1,20))-1))),"")))</f>
        <v/>
      </c>
      <c r="E659">
        <f>IF(OR($A659="",$C659=""),"",IF(ISNUMBER(Wages!$B662),MOD(Wages!$B662,100),IFERROR(VALUE(TRIM(MID(MID(Wages!$B662,FIND("/",Wages!$B662)+1,20),FIND("/",MID(Wages!$B662,FIND("/",Wages!$B662)+1,20))+1,20))),"")))</f>
        <v/>
      </c>
      <c r="F659">
        <f>IF($A659="","",IF(OR($C659="",$D659="",$E659="",$C659&lt;1300,$C659&gt;1500,$D659&lt;1,$D659&gt;12,$E659&lt;1,$E659&gt;31),"نامعتبر",RIGHT("0000"&amp;$C659,4)&amp;"/"&amp;RIGHT("00"&amp;$D659,2)&amp;"/"&amp;RIGHT("00"&amp;$E659,2)))</f>
        <v/>
      </c>
      <c r="G659">
        <f>IF(OR($A659="",$F659="",$F659="نامعتبر"),"",LEFT($F659,4)&amp;MID($F659,6,2)&amp;RIGHT($F659,2)&amp;"0000"&amp;"|"&amp;"1"&amp;RIGHT("00000"&amp;654,5))</f>
        <v/>
      </c>
      <c r="H659">
        <f>IF(OR($B659&lt;&gt;1,$G659=""),"",COUNTIFS(LdAParty,$A659,LdAType,1,LdAKey,"&lt;"&amp;$G659)+COUNTIFS(LdBMember,$A659,LdBKey,"&lt;"&amp;$G659)+COUNTIFS(LdCParty,$A659,LdCKey,"&lt;"&amp;$G659)+1)</f>
        <v/>
      </c>
      <c r="I659">
        <f>IF($H659="","",$A659&amp;"|"&amp;RIGHT("000000"&amp;$H659,6))</f>
        <v/>
      </c>
      <c r="J659">
        <f>IF(OR($B659&lt;&gt;2,$G659=""),"",COUNTIFS(LdAParty,$A659,LdAType,2,LdAKey,"&lt;"&amp;$G659)+1)</f>
        <v/>
      </c>
      <c r="K659">
        <f>IF($J659="","",$A659&amp;"|"&amp;RIGHT("000000"&amp;$J659,6))</f>
        <v/>
      </c>
      <c r="L659">
        <f>IF($A659="","",IF(Wages!$G662="",0,Wages!$G662))</f>
        <v/>
      </c>
      <c r="M659">
        <f>IF($A659="","",Wages!$J662)</f>
        <v/>
      </c>
      <c r="N659">
        <f>IF($A659="","",Wages!$D662)</f>
        <v/>
      </c>
      <c r="P659">
        <f>IF(OR(Shares!$B662="",Shares!$C662=""),"",Shares!$C662)</f>
        <v/>
      </c>
      <c r="Q659">
        <f>IF($P659="","",Shares!$B662)</f>
        <v/>
      </c>
      <c r="R659">
        <f>IF($P659="","",IFERROR(INDEX(WageParty,MATCH($Q659,WageIds,0)),""))</f>
        <v/>
      </c>
      <c r="S659">
        <f>IF($P659="","",IFERROR(INDEX($F$6:$F$2005,MATCH($Q659,WageIds,0)),""))</f>
        <v/>
      </c>
      <c r="T659">
        <f>IF(OR($P659="",$S659="",$S659="نامعتبر"),"",LEFT($S659,4)&amp;MID($S659,6,2)&amp;RIGHT($S659,2)&amp;"0000"&amp;"|"&amp;"2"&amp;RIGHT("00000"&amp;654,5))</f>
        <v/>
      </c>
      <c r="U659">
        <f>IF($T659="","",COUNTIFS(LdAParty,$P659,LdAType,1,LdAKey,"&lt;"&amp;$T659)+COUNTIFS(LdBMember,$P659,LdBKey,"&lt;"&amp;$T659)+COUNTIFS(LdCParty,$P659,LdCKey,"&lt;"&amp;$T659)+1)</f>
        <v/>
      </c>
      <c r="V659">
        <f>IF($U659="","",$P659&amp;"|"&amp;RIGHT("000000"&amp;$U659,6))</f>
        <v/>
      </c>
      <c r="W659">
        <f>IF($T659="","",COUNTIFS(LdBGroup,$R659,LdBKey,"&lt;"&amp;$T659)+1)</f>
        <v/>
      </c>
      <c r="X659">
        <f>IF($W659="","",$R659&amp;"|"&amp;RIGHT("000000"&amp;$W659,6))</f>
        <v/>
      </c>
      <c r="Y659">
        <f>IF($P659="","",IF(Shares!$E662="",0,Shares!$E662))</f>
        <v/>
      </c>
      <c r="Z659">
        <f>IF($P659="","",Shares!$H662)</f>
        <v/>
      </c>
      <c r="AE659">
        <f>IF(OR(Sync!$S659="",Sync!$P659=""),"",Sync!$S659)</f>
        <v/>
      </c>
      <c r="AF659">
        <f>IF($AE659="","",IF(ISNUMBER(Sync!$P659),IF(AND(Sync!$P659&gt;=10000101,Sync!$P659&lt;=99991231),INT(Sync!$P659/10000),""),IFERROR(VALUE(TRIM(LEFT(Sync!$P659,FIND("/",Sync!$P659)-1))),"")))</f>
        <v/>
      </c>
      <c r="AG659">
        <f>IF(OR($AE659="",$AF659=""),"",IF(ISNUMBER(Sync!$P659),INT(MOD(Sync!$P659,10000)/100),IFERROR(VALUE(TRIM(LEFT(MID(Sync!$P659,FIND("/",Sync!$P659)+1,20),FIND("/",MID(Sync!$P659,FIND("/",Sync!$P659)+1,20))-1))),"")))</f>
        <v/>
      </c>
      <c r="AH659">
        <f>IF(OR($AE659="",$AF659=""),"",IF(ISNUMBER(Sync!$P659),MOD(Sync!$P659,100),IFERROR(VALUE(TRIM(MID(MID(Sync!$P659,FIND("/",Sync!$P659)+1,20),FIND("/",MID(Sync!$P659,FIND("/",Sync!$P659)+1,20))+1,20))),"")))</f>
        <v/>
      </c>
      <c r="AI659">
        <f>IF($AE659="","",IF(OR($AF659="",$AG659="",$AH659="",$AF659&lt;1300,$AF659&gt;1500,$AG659&lt;1,$AG659&gt;12,$AH659&lt;1,$AH659&gt;31),"نامعتبر",RIGHT("0000"&amp;$AF659,4)&amp;"/"&amp;RIGHT("00"&amp;$AG659,2)&amp;"/"&amp;RIGHT("00"&amp;$AH659,2)))</f>
        <v/>
      </c>
      <c r="AJ659">
        <f>IF($AE659="","",IF(Sync!$Q659="","0000",IF(AND(ISNUMBER(Sync!$Q659),Sync!$Q659&gt;=0,Sync!$Q659&lt;1),RIGHT("00"&amp;HOUR(Sync!$Q659),2)&amp;RIGHT("00"&amp;MINUTE(Sync!$Q659),2),IFERROR(RIGHT("00"&amp;VALUE(LEFT(Sync!$Q659,FIND(":",Sync!$Q659)-1)),2)&amp;RIGHT("00"&amp;VALUE(MID(Sync!$Q659,FIND(":",Sync!$Q659)+1,2)),2),"0000"))))</f>
        <v/>
      </c>
      <c r="AK659">
        <f>IF(OR($AE659="",$AI659="",$AI659="نامعتبر"),"",LEFT($AI659,4)&amp;MID($AI659,6,2)&amp;RIGHT($AI659,2)&amp;$AJ659&amp;"|"&amp;"3"&amp;RIGHT("00000"&amp;654,5))</f>
        <v/>
      </c>
      <c r="AL659">
        <f>IF($AK659="","",COUNTIFS(LdAParty,$AE659,LdAType,1,LdAKey,"&lt;"&amp;$AK659)+COUNTIFS(LdBMember,$AE659,LdBKey,"&lt;"&amp;$AK659)+COUNTIFS(LdCParty,$AE659,LdCKey,"&lt;"&amp;$AK659)+1)</f>
        <v/>
      </c>
      <c r="AM659">
        <f>IF($AL659="","",$AE659&amp;"|"&amp;RIGHT("000000"&amp;$AL659,6))</f>
        <v/>
      </c>
      <c r="AN659">
        <f>IF($AE659="","",IF(Sync!$W659="",0,Sync!$W659))</f>
        <v/>
      </c>
      <c r="AO659">
        <f>IF($AE659="","",IF(Sync!$X659="",0,Sync!$X659))</f>
        <v/>
      </c>
      <c r="AP659">
        <f>IF($AE659="","",Sync!$R659)</f>
        <v/>
      </c>
      <c r="AQ659">
        <f>IF($AE659="","",Sync!$Y659)</f>
        <v/>
      </c>
    </row>
    <row r="660">
      <c r="A660">
        <f>IF(OR(Wages!$B663="",Wages!$E663=""),"",Wages!$E663)</f>
        <v/>
      </c>
      <c r="B660">
        <f>IF($A660="","",IF(Wages!$C663="دستمزد گروهی",2,1))</f>
        <v/>
      </c>
      <c r="C660">
        <f>IF($A660="","",IF(ISNUMBER(Wages!$B663),IF(AND(Wages!$B663&gt;=10000101,Wages!$B663&lt;=99991231),INT(Wages!$B663/10000),""),IFERROR(VALUE(TRIM(LEFT(Wages!$B663,FIND("/",Wages!$B663)-1))),"")))</f>
        <v/>
      </c>
      <c r="D660">
        <f>IF(OR($A660="",$C660=""),"",IF(ISNUMBER(Wages!$B663),INT(MOD(Wages!$B663,10000)/100),IFERROR(VALUE(TRIM(LEFT(MID(Wages!$B663,FIND("/",Wages!$B663)+1,20),FIND("/",MID(Wages!$B663,FIND("/",Wages!$B663)+1,20))-1))),"")))</f>
        <v/>
      </c>
      <c r="E660">
        <f>IF(OR($A660="",$C660=""),"",IF(ISNUMBER(Wages!$B663),MOD(Wages!$B663,100),IFERROR(VALUE(TRIM(MID(MID(Wages!$B663,FIND("/",Wages!$B663)+1,20),FIND("/",MID(Wages!$B663,FIND("/",Wages!$B663)+1,20))+1,20))),"")))</f>
        <v/>
      </c>
      <c r="F660">
        <f>IF($A660="","",IF(OR($C660="",$D660="",$E660="",$C660&lt;1300,$C660&gt;1500,$D660&lt;1,$D660&gt;12,$E660&lt;1,$E660&gt;31),"نامعتبر",RIGHT("0000"&amp;$C660,4)&amp;"/"&amp;RIGHT("00"&amp;$D660,2)&amp;"/"&amp;RIGHT("00"&amp;$E660,2)))</f>
        <v/>
      </c>
      <c r="G660">
        <f>IF(OR($A660="",$F660="",$F660="نامعتبر"),"",LEFT($F660,4)&amp;MID($F660,6,2)&amp;RIGHT($F660,2)&amp;"0000"&amp;"|"&amp;"1"&amp;RIGHT("00000"&amp;655,5))</f>
        <v/>
      </c>
      <c r="H660">
        <f>IF(OR($B660&lt;&gt;1,$G660=""),"",COUNTIFS(LdAParty,$A660,LdAType,1,LdAKey,"&lt;"&amp;$G660)+COUNTIFS(LdBMember,$A660,LdBKey,"&lt;"&amp;$G660)+COUNTIFS(LdCParty,$A660,LdCKey,"&lt;"&amp;$G660)+1)</f>
        <v/>
      </c>
      <c r="I660">
        <f>IF($H660="","",$A660&amp;"|"&amp;RIGHT("000000"&amp;$H660,6))</f>
        <v/>
      </c>
      <c r="J660">
        <f>IF(OR($B660&lt;&gt;2,$G660=""),"",COUNTIFS(LdAParty,$A660,LdAType,2,LdAKey,"&lt;"&amp;$G660)+1)</f>
        <v/>
      </c>
      <c r="K660">
        <f>IF($J660="","",$A660&amp;"|"&amp;RIGHT("000000"&amp;$J660,6))</f>
        <v/>
      </c>
      <c r="L660">
        <f>IF($A660="","",IF(Wages!$G663="",0,Wages!$G663))</f>
        <v/>
      </c>
      <c r="M660">
        <f>IF($A660="","",Wages!$J663)</f>
        <v/>
      </c>
      <c r="N660">
        <f>IF($A660="","",Wages!$D663)</f>
        <v/>
      </c>
      <c r="P660">
        <f>IF(OR(Shares!$B663="",Shares!$C663=""),"",Shares!$C663)</f>
        <v/>
      </c>
      <c r="Q660">
        <f>IF($P660="","",Shares!$B663)</f>
        <v/>
      </c>
      <c r="R660">
        <f>IF($P660="","",IFERROR(INDEX(WageParty,MATCH($Q660,WageIds,0)),""))</f>
        <v/>
      </c>
      <c r="S660">
        <f>IF($P660="","",IFERROR(INDEX($F$6:$F$2005,MATCH($Q660,WageIds,0)),""))</f>
        <v/>
      </c>
      <c r="T660">
        <f>IF(OR($P660="",$S660="",$S660="نامعتبر"),"",LEFT($S660,4)&amp;MID($S660,6,2)&amp;RIGHT($S660,2)&amp;"0000"&amp;"|"&amp;"2"&amp;RIGHT("00000"&amp;655,5))</f>
        <v/>
      </c>
      <c r="U660">
        <f>IF($T660="","",COUNTIFS(LdAParty,$P660,LdAType,1,LdAKey,"&lt;"&amp;$T660)+COUNTIFS(LdBMember,$P660,LdBKey,"&lt;"&amp;$T660)+COUNTIFS(LdCParty,$P660,LdCKey,"&lt;"&amp;$T660)+1)</f>
        <v/>
      </c>
      <c r="V660">
        <f>IF($U660="","",$P660&amp;"|"&amp;RIGHT("000000"&amp;$U660,6))</f>
        <v/>
      </c>
      <c r="W660">
        <f>IF($T660="","",COUNTIFS(LdBGroup,$R660,LdBKey,"&lt;"&amp;$T660)+1)</f>
        <v/>
      </c>
      <c r="X660">
        <f>IF($W660="","",$R660&amp;"|"&amp;RIGHT("000000"&amp;$W660,6))</f>
        <v/>
      </c>
      <c r="Y660">
        <f>IF($P660="","",IF(Shares!$E663="",0,Shares!$E663))</f>
        <v/>
      </c>
      <c r="Z660">
        <f>IF($P660="","",Shares!$H663)</f>
        <v/>
      </c>
      <c r="AE660">
        <f>IF(OR(Sync!$S660="",Sync!$P660=""),"",Sync!$S660)</f>
        <v/>
      </c>
      <c r="AF660">
        <f>IF($AE660="","",IF(ISNUMBER(Sync!$P660),IF(AND(Sync!$P660&gt;=10000101,Sync!$P660&lt;=99991231),INT(Sync!$P660/10000),""),IFERROR(VALUE(TRIM(LEFT(Sync!$P660,FIND("/",Sync!$P660)-1))),"")))</f>
        <v/>
      </c>
      <c r="AG660">
        <f>IF(OR($AE660="",$AF660=""),"",IF(ISNUMBER(Sync!$P660),INT(MOD(Sync!$P660,10000)/100),IFERROR(VALUE(TRIM(LEFT(MID(Sync!$P660,FIND("/",Sync!$P660)+1,20),FIND("/",MID(Sync!$P660,FIND("/",Sync!$P660)+1,20))-1))),"")))</f>
        <v/>
      </c>
      <c r="AH660">
        <f>IF(OR($AE660="",$AF660=""),"",IF(ISNUMBER(Sync!$P660),MOD(Sync!$P660,100),IFERROR(VALUE(TRIM(MID(MID(Sync!$P660,FIND("/",Sync!$P660)+1,20),FIND("/",MID(Sync!$P660,FIND("/",Sync!$P660)+1,20))+1,20))),"")))</f>
        <v/>
      </c>
      <c r="AI660">
        <f>IF($AE660="","",IF(OR($AF660="",$AG660="",$AH660="",$AF660&lt;1300,$AF660&gt;1500,$AG660&lt;1,$AG660&gt;12,$AH660&lt;1,$AH660&gt;31),"نامعتبر",RIGHT("0000"&amp;$AF660,4)&amp;"/"&amp;RIGHT("00"&amp;$AG660,2)&amp;"/"&amp;RIGHT("00"&amp;$AH660,2)))</f>
        <v/>
      </c>
      <c r="AJ660">
        <f>IF($AE660="","",IF(Sync!$Q660="","0000",IF(AND(ISNUMBER(Sync!$Q660),Sync!$Q660&gt;=0,Sync!$Q660&lt;1),RIGHT("00"&amp;HOUR(Sync!$Q660),2)&amp;RIGHT("00"&amp;MINUTE(Sync!$Q660),2),IFERROR(RIGHT("00"&amp;VALUE(LEFT(Sync!$Q660,FIND(":",Sync!$Q660)-1)),2)&amp;RIGHT("00"&amp;VALUE(MID(Sync!$Q660,FIND(":",Sync!$Q660)+1,2)),2),"0000"))))</f>
        <v/>
      </c>
      <c r="AK660">
        <f>IF(OR($AE660="",$AI660="",$AI660="نامعتبر"),"",LEFT($AI660,4)&amp;MID($AI660,6,2)&amp;RIGHT($AI660,2)&amp;$AJ660&amp;"|"&amp;"3"&amp;RIGHT("00000"&amp;655,5))</f>
        <v/>
      </c>
      <c r="AL660">
        <f>IF($AK660="","",COUNTIFS(LdAParty,$AE660,LdAType,1,LdAKey,"&lt;"&amp;$AK660)+COUNTIFS(LdBMember,$AE660,LdBKey,"&lt;"&amp;$AK660)+COUNTIFS(LdCParty,$AE660,LdCKey,"&lt;"&amp;$AK660)+1)</f>
        <v/>
      </c>
      <c r="AM660">
        <f>IF($AL660="","",$AE660&amp;"|"&amp;RIGHT("000000"&amp;$AL660,6))</f>
        <v/>
      </c>
      <c r="AN660">
        <f>IF($AE660="","",IF(Sync!$W660="",0,Sync!$W660))</f>
        <v/>
      </c>
      <c r="AO660">
        <f>IF($AE660="","",IF(Sync!$X660="",0,Sync!$X660))</f>
        <v/>
      </c>
      <c r="AP660">
        <f>IF($AE660="","",Sync!$R660)</f>
        <v/>
      </c>
      <c r="AQ660">
        <f>IF($AE660="","",Sync!$Y660)</f>
        <v/>
      </c>
    </row>
    <row r="661">
      <c r="A661">
        <f>IF(OR(Wages!$B664="",Wages!$E664=""),"",Wages!$E664)</f>
        <v/>
      </c>
      <c r="B661">
        <f>IF($A661="","",IF(Wages!$C664="دستمزد گروهی",2,1))</f>
        <v/>
      </c>
      <c r="C661">
        <f>IF($A661="","",IF(ISNUMBER(Wages!$B664),IF(AND(Wages!$B664&gt;=10000101,Wages!$B664&lt;=99991231),INT(Wages!$B664/10000),""),IFERROR(VALUE(TRIM(LEFT(Wages!$B664,FIND("/",Wages!$B664)-1))),"")))</f>
        <v/>
      </c>
      <c r="D661">
        <f>IF(OR($A661="",$C661=""),"",IF(ISNUMBER(Wages!$B664),INT(MOD(Wages!$B664,10000)/100),IFERROR(VALUE(TRIM(LEFT(MID(Wages!$B664,FIND("/",Wages!$B664)+1,20),FIND("/",MID(Wages!$B664,FIND("/",Wages!$B664)+1,20))-1))),"")))</f>
        <v/>
      </c>
      <c r="E661">
        <f>IF(OR($A661="",$C661=""),"",IF(ISNUMBER(Wages!$B664),MOD(Wages!$B664,100),IFERROR(VALUE(TRIM(MID(MID(Wages!$B664,FIND("/",Wages!$B664)+1,20),FIND("/",MID(Wages!$B664,FIND("/",Wages!$B664)+1,20))+1,20))),"")))</f>
        <v/>
      </c>
      <c r="F661">
        <f>IF($A661="","",IF(OR($C661="",$D661="",$E661="",$C661&lt;1300,$C661&gt;1500,$D661&lt;1,$D661&gt;12,$E661&lt;1,$E661&gt;31),"نامعتبر",RIGHT("0000"&amp;$C661,4)&amp;"/"&amp;RIGHT("00"&amp;$D661,2)&amp;"/"&amp;RIGHT("00"&amp;$E661,2)))</f>
        <v/>
      </c>
      <c r="G661">
        <f>IF(OR($A661="",$F661="",$F661="نامعتبر"),"",LEFT($F661,4)&amp;MID($F661,6,2)&amp;RIGHT($F661,2)&amp;"0000"&amp;"|"&amp;"1"&amp;RIGHT("00000"&amp;656,5))</f>
        <v/>
      </c>
      <c r="H661">
        <f>IF(OR($B661&lt;&gt;1,$G661=""),"",COUNTIFS(LdAParty,$A661,LdAType,1,LdAKey,"&lt;"&amp;$G661)+COUNTIFS(LdBMember,$A661,LdBKey,"&lt;"&amp;$G661)+COUNTIFS(LdCParty,$A661,LdCKey,"&lt;"&amp;$G661)+1)</f>
        <v/>
      </c>
      <c r="I661">
        <f>IF($H661="","",$A661&amp;"|"&amp;RIGHT("000000"&amp;$H661,6))</f>
        <v/>
      </c>
      <c r="J661">
        <f>IF(OR($B661&lt;&gt;2,$G661=""),"",COUNTIFS(LdAParty,$A661,LdAType,2,LdAKey,"&lt;"&amp;$G661)+1)</f>
        <v/>
      </c>
      <c r="K661">
        <f>IF($J661="","",$A661&amp;"|"&amp;RIGHT("000000"&amp;$J661,6))</f>
        <v/>
      </c>
      <c r="L661">
        <f>IF($A661="","",IF(Wages!$G664="",0,Wages!$G664))</f>
        <v/>
      </c>
      <c r="M661">
        <f>IF($A661="","",Wages!$J664)</f>
        <v/>
      </c>
      <c r="N661">
        <f>IF($A661="","",Wages!$D664)</f>
        <v/>
      </c>
      <c r="P661">
        <f>IF(OR(Shares!$B664="",Shares!$C664=""),"",Shares!$C664)</f>
        <v/>
      </c>
      <c r="Q661">
        <f>IF($P661="","",Shares!$B664)</f>
        <v/>
      </c>
      <c r="R661">
        <f>IF($P661="","",IFERROR(INDEX(WageParty,MATCH($Q661,WageIds,0)),""))</f>
        <v/>
      </c>
      <c r="S661">
        <f>IF($P661="","",IFERROR(INDEX($F$6:$F$2005,MATCH($Q661,WageIds,0)),""))</f>
        <v/>
      </c>
      <c r="T661">
        <f>IF(OR($P661="",$S661="",$S661="نامعتبر"),"",LEFT($S661,4)&amp;MID($S661,6,2)&amp;RIGHT($S661,2)&amp;"0000"&amp;"|"&amp;"2"&amp;RIGHT("00000"&amp;656,5))</f>
        <v/>
      </c>
      <c r="U661">
        <f>IF($T661="","",COUNTIFS(LdAParty,$P661,LdAType,1,LdAKey,"&lt;"&amp;$T661)+COUNTIFS(LdBMember,$P661,LdBKey,"&lt;"&amp;$T661)+COUNTIFS(LdCParty,$P661,LdCKey,"&lt;"&amp;$T661)+1)</f>
        <v/>
      </c>
      <c r="V661">
        <f>IF($U661="","",$P661&amp;"|"&amp;RIGHT("000000"&amp;$U661,6))</f>
        <v/>
      </c>
      <c r="W661">
        <f>IF($T661="","",COUNTIFS(LdBGroup,$R661,LdBKey,"&lt;"&amp;$T661)+1)</f>
        <v/>
      </c>
      <c r="X661">
        <f>IF($W661="","",$R661&amp;"|"&amp;RIGHT("000000"&amp;$W661,6))</f>
        <v/>
      </c>
      <c r="Y661">
        <f>IF($P661="","",IF(Shares!$E664="",0,Shares!$E664))</f>
        <v/>
      </c>
      <c r="Z661">
        <f>IF($P661="","",Shares!$H664)</f>
        <v/>
      </c>
      <c r="AE661">
        <f>IF(OR(Sync!$S661="",Sync!$P661=""),"",Sync!$S661)</f>
        <v/>
      </c>
      <c r="AF661">
        <f>IF($AE661="","",IF(ISNUMBER(Sync!$P661),IF(AND(Sync!$P661&gt;=10000101,Sync!$P661&lt;=99991231),INT(Sync!$P661/10000),""),IFERROR(VALUE(TRIM(LEFT(Sync!$P661,FIND("/",Sync!$P661)-1))),"")))</f>
        <v/>
      </c>
      <c r="AG661">
        <f>IF(OR($AE661="",$AF661=""),"",IF(ISNUMBER(Sync!$P661),INT(MOD(Sync!$P661,10000)/100),IFERROR(VALUE(TRIM(LEFT(MID(Sync!$P661,FIND("/",Sync!$P661)+1,20),FIND("/",MID(Sync!$P661,FIND("/",Sync!$P661)+1,20))-1))),"")))</f>
        <v/>
      </c>
      <c r="AH661">
        <f>IF(OR($AE661="",$AF661=""),"",IF(ISNUMBER(Sync!$P661),MOD(Sync!$P661,100),IFERROR(VALUE(TRIM(MID(MID(Sync!$P661,FIND("/",Sync!$P661)+1,20),FIND("/",MID(Sync!$P661,FIND("/",Sync!$P661)+1,20))+1,20))),"")))</f>
        <v/>
      </c>
      <c r="AI661">
        <f>IF($AE661="","",IF(OR($AF661="",$AG661="",$AH661="",$AF661&lt;1300,$AF661&gt;1500,$AG661&lt;1,$AG661&gt;12,$AH661&lt;1,$AH661&gt;31),"نامعتبر",RIGHT("0000"&amp;$AF661,4)&amp;"/"&amp;RIGHT("00"&amp;$AG661,2)&amp;"/"&amp;RIGHT("00"&amp;$AH661,2)))</f>
        <v/>
      </c>
      <c r="AJ661">
        <f>IF($AE661="","",IF(Sync!$Q661="","0000",IF(AND(ISNUMBER(Sync!$Q661),Sync!$Q661&gt;=0,Sync!$Q661&lt;1),RIGHT("00"&amp;HOUR(Sync!$Q661),2)&amp;RIGHT("00"&amp;MINUTE(Sync!$Q661),2),IFERROR(RIGHT("00"&amp;VALUE(LEFT(Sync!$Q661,FIND(":",Sync!$Q661)-1)),2)&amp;RIGHT("00"&amp;VALUE(MID(Sync!$Q661,FIND(":",Sync!$Q661)+1,2)),2),"0000"))))</f>
        <v/>
      </c>
      <c r="AK661">
        <f>IF(OR($AE661="",$AI661="",$AI661="نامعتبر"),"",LEFT($AI661,4)&amp;MID($AI661,6,2)&amp;RIGHT($AI661,2)&amp;$AJ661&amp;"|"&amp;"3"&amp;RIGHT("00000"&amp;656,5))</f>
        <v/>
      </c>
      <c r="AL661">
        <f>IF($AK661="","",COUNTIFS(LdAParty,$AE661,LdAType,1,LdAKey,"&lt;"&amp;$AK661)+COUNTIFS(LdBMember,$AE661,LdBKey,"&lt;"&amp;$AK661)+COUNTIFS(LdCParty,$AE661,LdCKey,"&lt;"&amp;$AK661)+1)</f>
        <v/>
      </c>
      <c r="AM661">
        <f>IF($AL661="","",$AE661&amp;"|"&amp;RIGHT("000000"&amp;$AL661,6))</f>
        <v/>
      </c>
      <c r="AN661">
        <f>IF($AE661="","",IF(Sync!$W661="",0,Sync!$W661))</f>
        <v/>
      </c>
      <c r="AO661">
        <f>IF($AE661="","",IF(Sync!$X661="",0,Sync!$X661))</f>
        <v/>
      </c>
      <c r="AP661">
        <f>IF($AE661="","",Sync!$R661)</f>
        <v/>
      </c>
      <c r="AQ661">
        <f>IF($AE661="","",Sync!$Y661)</f>
        <v/>
      </c>
    </row>
    <row r="662">
      <c r="A662">
        <f>IF(OR(Wages!$B665="",Wages!$E665=""),"",Wages!$E665)</f>
        <v/>
      </c>
      <c r="B662">
        <f>IF($A662="","",IF(Wages!$C665="دستمزد گروهی",2,1))</f>
        <v/>
      </c>
      <c r="C662">
        <f>IF($A662="","",IF(ISNUMBER(Wages!$B665),IF(AND(Wages!$B665&gt;=10000101,Wages!$B665&lt;=99991231),INT(Wages!$B665/10000),""),IFERROR(VALUE(TRIM(LEFT(Wages!$B665,FIND("/",Wages!$B665)-1))),"")))</f>
        <v/>
      </c>
      <c r="D662">
        <f>IF(OR($A662="",$C662=""),"",IF(ISNUMBER(Wages!$B665),INT(MOD(Wages!$B665,10000)/100),IFERROR(VALUE(TRIM(LEFT(MID(Wages!$B665,FIND("/",Wages!$B665)+1,20),FIND("/",MID(Wages!$B665,FIND("/",Wages!$B665)+1,20))-1))),"")))</f>
        <v/>
      </c>
      <c r="E662">
        <f>IF(OR($A662="",$C662=""),"",IF(ISNUMBER(Wages!$B665),MOD(Wages!$B665,100),IFERROR(VALUE(TRIM(MID(MID(Wages!$B665,FIND("/",Wages!$B665)+1,20),FIND("/",MID(Wages!$B665,FIND("/",Wages!$B665)+1,20))+1,20))),"")))</f>
        <v/>
      </c>
      <c r="F662">
        <f>IF($A662="","",IF(OR($C662="",$D662="",$E662="",$C662&lt;1300,$C662&gt;1500,$D662&lt;1,$D662&gt;12,$E662&lt;1,$E662&gt;31),"نامعتبر",RIGHT("0000"&amp;$C662,4)&amp;"/"&amp;RIGHT("00"&amp;$D662,2)&amp;"/"&amp;RIGHT("00"&amp;$E662,2)))</f>
        <v/>
      </c>
      <c r="G662">
        <f>IF(OR($A662="",$F662="",$F662="نامعتبر"),"",LEFT($F662,4)&amp;MID($F662,6,2)&amp;RIGHT($F662,2)&amp;"0000"&amp;"|"&amp;"1"&amp;RIGHT("00000"&amp;657,5))</f>
        <v/>
      </c>
      <c r="H662">
        <f>IF(OR($B662&lt;&gt;1,$G662=""),"",COUNTIFS(LdAParty,$A662,LdAType,1,LdAKey,"&lt;"&amp;$G662)+COUNTIFS(LdBMember,$A662,LdBKey,"&lt;"&amp;$G662)+COUNTIFS(LdCParty,$A662,LdCKey,"&lt;"&amp;$G662)+1)</f>
        <v/>
      </c>
      <c r="I662">
        <f>IF($H662="","",$A662&amp;"|"&amp;RIGHT("000000"&amp;$H662,6))</f>
        <v/>
      </c>
      <c r="J662">
        <f>IF(OR($B662&lt;&gt;2,$G662=""),"",COUNTIFS(LdAParty,$A662,LdAType,2,LdAKey,"&lt;"&amp;$G662)+1)</f>
        <v/>
      </c>
      <c r="K662">
        <f>IF($J662="","",$A662&amp;"|"&amp;RIGHT("000000"&amp;$J662,6))</f>
        <v/>
      </c>
      <c r="L662">
        <f>IF($A662="","",IF(Wages!$G665="",0,Wages!$G665))</f>
        <v/>
      </c>
      <c r="M662">
        <f>IF($A662="","",Wages!$J665)</f>
        <v/>
      </c>
      <c r="N662">
        <f>IF($A662="","",Wages!$D665)</f>
        <v/>
      </c>
      <c r="P662">
        <f>IF(OR(Shares!$B665="",Shares!$C665=""),"",Shares!$C665)</f>
        <v/>
      </c>
      <c r="Q662">
        <f>IF($P662="","",Shares!$B665)</f>
        <v/>
      </c>
      <c r="R662">
        <f>IF($P662="","",IFERROR(INDEX(WageParty,MATCH($Q662,WageIds,0)),""))</f>
        <v/>
      </c>
      <c r="S662">
        <f>IF($P662="","",IFERROR(INDEX($F$6:$F$2005,MATCH($Q662,WageIds,0)),""))</f>
        <v/>
      </c>
      <c r="T662">
        <f>IF(OR($P662="",$S662="",$S662="نامعتبر"),"",LEFT($S662,4)&amp;MID($S662,6,2)&amp;RIGHT($S662,2)&amp;"0000"&amp;"|"&amp;"2"&amp;RIGHT("00000"&amp;657,5))</f>
        <v/>
      </c>
      <c r="U662">
        <f>IF($T662="","",COUNTIFS(LdAParty,$P662,LdAType,1,LdAKey,"&lt;"&amp;$T662)+COUNTIFS(LdBMember,$P662,LdBKey,"&lt;"&amp;$T662)+COUNTIFS(LdCParty,$P662,LdCKey,"&lt;"&amp;$T662)+1)</f>
        <v/>
      </c>
      <c r="V662">
        <f>IF($U662="","",$P662&amp;"|"&amp;RIGHT("000000"&amp;$U662,6))</f>
        <v/>
      </c>
      <c r="W662">
        <f>IF($T662="","",COUNTIFS(LdBGroup,$R662,LdBKey,"&lt;"&amp;$T662)+1)</f>
        <v/>
      </c>
      <c r="X662">
        <f>IF($W662="","",$R662&amp;"|"&amp;RIGHT("000000"&amp;$W662,6))</f>
        <v/>
      </c>
      <c r="Y662">
        <f>IF($P662="","",IF(Shares!$E665="",0,Shares!$E665))</f>
        <v/>
      </c>
      <c r="Z662">
        <f>IF($P662="","",Shares!$H665)</f>
        <v/>
      </c>
      <c r="AE662">
        <f>IF(OR(Sync!$S662="",Sync!$P662=""),"",Sync!$S662)</f>
        <v/>
      </c>
      <c r="AF662">
        <f>IF($AE662="","",IF(ISNUMBER(Sync!$P662),IF(AND(Sync!$P662&gt;=10000101,Sync!$P662&lt;=99991231),INT(Sync!$P662/10000),""),IFERROR(VALUE(TRIM(LEFT(Sync!$P662,FIND("/",Sync!$P662)-1))),"")))</f>
        <v/>
      </c>
      <c r="AG662">
        <f>IF(OR($AE662="",$AF662=""),"",IF(ISNUMBER(Sync!$P662),INT(MOD(Sync!$P662,10000)/100),IFERROR(VALUE(TRIM(LEFT(MID(Sync!$P662,FIND("/",Sync!$P662)+1,20),FIND("/",MID(Sync!$P662,FIND("/",Sync!$P662)+1,20))-1))),"")))</f>
        <v/>
      </c>
      <c r="AH662">
        <f>IF(OR($AE662="",$AF662=""),"",IF(ISNUMBER(Sync!$P662),MOD(Sync!$P662,100),IFERROR(VALUE(TRIM(MID(MID(Sync!$P662,FIND("/",Sync!$P662)+1,20),FIND("/",MID(Sync!$P662,FIND("/",Sync!$P662)+1,20))+1,20))),"")))</f>
        <v/>
      </c>
      <c r="AI662">
        <f>IF($AE662="","",IF(OR($AF662="",$AG662="",$AH662="",$AF662&lt;1300,$AF662&gt;1500,$AG662&lt;1,$AG662&gt;12,$AH662&lt;1,$AH662&gt;31),"نامعتبر",RIGHT("0000"&amp;$AF662,4)&amp;"/"&amp;RIGHT("00"&amp;$AG662,2)&amp;"/"&amp;RIGHT("00"&amp;$AH662,2)))</f>
        <v/>
      </c>
      <c r="AJ662">
        <f>IF($AE662="","",IF(Sync!$Q662="","0000",IF(AND(ISNUMBER(Sync!$Q662),Sync!$Q662&gt;=0,Sync!$Q662&lt;1),RIGHT("00"&amp;HOUR(Sync!$Q662),2)&amp;RIGHT("00"&amp;MINUTE(Sync!$Q662),2),IFERROR(RIGHT("00"&amp;VALUE(LEFT(Sync!$Q662,FIND(":",Sync!$Q662)-1)),2)&amp;RIGHT("00"&amp;VALUE(MID(Sync!$Q662,FIND(":",Sync!$Q662)+1,2)),2),"0000"))))</f>
        <v/>
      </c>
      <c r="AK662">
        <f>IF(OR($AE662="",$AI662="",$AI662="نامعتبر"),"",LEFT($AI662,4)&amp;MID($AI662,6,2)&amp;RIGHT($AI662,2)&amp;$AJ662&amp;"|"&amp;"3"&amp;RIGHT("00000"&amp;657,5))</f>
        <v/>
      </c>
      <c r="AL662">
        <f>IF($AK662="","",COUNTIFS(LdAParty,$AE662,LdAType,1,LdAKey,"&lt;"&amp;$AK662)+COUNTIFS(LdBMember,$AE662,LdBKey,"&lt;"&amp;$AK662)+COUNTIFS(LdCParty,$AE662,LdCKey,"&lt;"&amp;$AK662)+1)</f>
        <v/>
      </c>
      <c r="AM662">
        <f>IF($AL662="","",$AE662&amp;"|"&amp;RIGHT("000000"&amp;$AL662,6))</f>
        <v/>
      </c>
      <c r="AN662">
        <f>IF($AE662="","",IF(Sync!$W662="",0,Sync!$W662))</f>
        <v/>
      </c>
      <c r="AO662">
        <f>IF($AE662="","",IF(Sync!$X662="",0,Sync!$X662))</f>
        <v/>
      </c>
      <c r="AP662">
        <f>IF($AE662="","",Sync!$R662)</f>
        <v/>
      </c>
      <c r="AQ662">
        <f>IF($AE662="","",Sync!$Y662)</f>
        <v/>
      </c>
    </row>
    <row r="663">
      <c r="A663">
        <f>IF(OR(Wages!$B666="",Wages!$E666=""),"",Wages!$E666)</f>
        <v/>
      </c>
      <c r="B663">
        <f>IF($A663="","",IF(Wages!$C666="دستمزد گروهی",2,1))</f>
        <v/>
      </c>
      <c r="C663">
        <f>IF($A663="","",IF(ISNUMBER(Wages!$B666),IF(AND(Wages!$B666&gt;=10000101,Wages!$B666&lt;=99991231),INT(Wages!$B666/10000),""),IFERROR(VALUE(TRIM(LEFT(Wages!$B666,FIND("/",Wages!$B666)-1))),"")))</f>
        <v/>
      </c>
      <c r="D663">
        <f>IF(OR($A663="",$C663=""),"",IF(ISNUMBER(Wages!$B666),INT(MOD(Wages!$B666,10000)/100),IFERROR(VALUE(TRIM(LEFT(MID(Wages!$B666,FIND("/",Wages!$B666)+1,20),FIND("/",MID(Wages!$B666,FIND("/",Wages!$B666)+1,20))-1))),"")))</f>
        <v/>
      </c>
      <c r="E663">
        <f>IF(OR($A663="",$C663=""),"",IF(ISNUMBER(Wages!$B666),MOD(Wages!$B666,100),IFERROR(VALUE(TRIM(MID(MID(Wages!$B666,FIND("/",Wages!$B666)+1,20),FIND("/",MID(Wages!$B666,FIND("/",Wages!$B666)+1,20))+1,20))),"")))</f>
        <v/>
      </c>
      <c r="F663">
        <f>IF($A663="","",IF(OR($C663="",$D663="",$E663="",$C663&lt;1300,$C663&gt;1500,$D663&lt;1,$D663&gt;12,$E663&lt;1,$E663&gt;31),"نامعتبر",RIGHT("0000"&amp;$C663,4)&amp;"/"&amp;RIGHT("00"&amp;$D663,2)&amp;"/"&amp;RIGHT("00"&amp;$E663,2)))</f>
        <v/>
      </c>
      <c r="G663">
        <f>IF(OR($A663="",$F663="",$F663="نامعتبر"),"",LEFT($F663,4)&amp;MID($F663,6,2)&amp;RIGHT($F663,2)&amp;"0000"&amp;"|"&amp;"1"&amp;RIGHT("00000"&amp;658,5))</f>
        <v/>
      </c>
      <c r="H663">
        <f>IF(OR($B663&lt;&gt;1,$G663=""),"",COUNTIFS(LdAParty,$A663,LdAType,1,LdAKey,"&lt;"&amp;$G663)+COUNTIFS(LdBMember,$A663,LdBKey,"&lt;"&amp;$G663)+COUNTIFS(LdCParty,$A663,LdCKey,"&lt;"&amp;$G663)+1)</f>
        <v/>
      </c>
      <c r="I663">
        <f>IF($H663="","",$A663&amp;"|"&amp;RIGHT("000000"&amp;$H663,6))</f>
        <v/>
      </c>
      <c r="J663">
        <f>IF(OR($B663&lt;&gt;2,$G663=""),"",COUNTIFS(LdAParty,$A663,LdAType,2,LdAKey,"&lt;"&amp;$G663)+1)</f>
        <v/>
      </c>
      <c r="K663">
        <f>IF($J663="","",$A663&amp;"|"&amp;RIGHT("000000"&amp;$J663,6))</f>
        <v/>
      </c>
      <c r="L663">
        <f>IF($A663="","",IF(Wages!$G666="",0,Wages!$G666))</f>
        <v/>
      </c>
      <c r="M663">
        <f>IF($A663="","",Wages!$J666)</f>
        <v/>
      </c>
      <c r="N663">
        <f>IF($A663="","",Wages!$D666)</f>
        <v/>
      </c>
      <c r="P663">
        <f>IF(OR(Shares!$B666="",Shares!$C666=""),"",Shares!$C666)</f>
        <v/>
      </c>
      <c r="Q663">
        <f>IF($P663="","",Shares!$B666)</f>
        <v/>
      </c>
      <c r="R663">
        <f>IF($P663="","",IFERROR(INDEX(WageParty,MATCH($Q663,WageIds,0)),""))</f>
        <v/>
      </c>
      <c r="S663">
        <f>IF($P663="","",IFERROR(INDEX($F$6:$F$2005,MATCH($Q663,WageIds,0)),""))</f>
        <v/>
      </c>
      <c r="T663">
        <f>IF(OR($P663="",$S663="",$S663="نامعتبر"),"",LEFT($S663,4)&amp;MID($S663,6,2)&amp;RIGHT($S663,2)&amp;"0000"&amp;"|"&amp;"2"&amp;RIGHT("00000"&amp;658,5))</f>
        <v/>
      </c>
      <c r="U663">
        <f>IF($T663="","",COUNTIFS(LdAParty,$P663,LdAType,1,LdAKey,"&lt;"&amp;$T663)+COUNTIFS(LdBMember,$P663,LdBKey,"&lt;"&amp;$T663)+COUNTIFS(LdCParty,$P663,LdCKey,"&lt;"&amp;$T663)+1)</f>
        <v/>
      </c>
      <c r="V663">
        <f>IF($U663="","",$P663&amp;"|"&amp;RIGHT("000000"&amp;$U663,6))</f>
        <v/>
      </c>
      <c r="W663">
        <f>IF($T663="","",COUNTIFS(LdBGroup,$R663,LdBKey,"&lt;"&amp;$T663)+1)</f>
        <v/>
      </c>
      <c r="X663">
        <f>IF($W663="","",$R663&amp;"|"&amp;RIGHT("000000"&amp;$W663,6))</f>
        <v/>
      </c>
      <c r="Y663">
        <f>IF($P663="","",IF(Shares!$E666="",0,Shares!$E666))</f>
        <v/>
      </c>
      <c r="Z663">
        <f>IF($P663="","",Shares!$H666)</f>
        <v/>
      </c>
      <c r="AE663">
        <f>IF(OR(Sync!$S663="",Sync!$P663=""),"",Sync!$S663)</f>
        <v/>
      </c>
      <c r="AF663">
        <f>IF($AE663="","",IF(ISNUMBER(Sync!$P663),IF(AND(Sync!$P663&gt;=10000101,Sync!$P663&lt;=99991231),INT(Sync!$P663/10000),""),IFERROR(VALUE(TRIM(LEFT(Sync!$P663,FIND("/",Sync!$P663)-1))),"")))</f>
        <v/>
      </c>
      <c r="AG663">
        <f>IF(OR($AE663="",$AF663=""),"",IF(ISNUMBER(Sync!$P663),INT(MOD(Sync!$P663,10000)/100),IFERROR(VALUE(TRIM(LEFT(MID(Sync!$P663,FIND("/",Sync!$P663)+1,20),FIND("/",MID(Sync!$P663,FIND("/",Sync!$P663)+1,20))-1))),"")))</f>
        <v/>
      </c>
      <c r="AH663">
        <f>IF(OR($AE663="",$AF663=""),"",IF(ISNUMBER(Sync!$P663),MOD(Sync!$P663,100),IFERROR(VALUE(TRIM(MID(MID(Sync!$P663,FIND("/",Sync!$P663)+1,20),FIND("/",MID(Sync!$P663,FIND("/",Sync!$P663)+1,20))+1,20))),"")))</f>
        <v/>
      </c>
      <c r="AI663">
        <f>IF($AE663="","",IF(OR($AF663="",$AG663="",$AH663="",$AF663&lt;1300,$AF663&gt;1500,$AG663&lt;1,$AG663&gt;12,$AH663&lt;1,$AH663&gt;31),"نامعتبر",RIGHT("0000"&amp;$AF663,4)&amp;"/"&amp;RIGHT("00"&amp;$AG663,2)&amp;"/"&amp;RIGHT("00"&amp;$AH663,2)))</f>
        <v/>
      </c>
      <c r="AJ663">
        <f>IF($AE663="","",IF(Sync!$Q663="","0000",IF(AND(ISNUMBER(Sync!$Q663),Sync!$Q663&gt;=0,Sync!$Q663&lt;1),RIGHT("00"&amp;HOUR(Sync!$Q663),2)&amp;RIGHT("00"&amp;MINUTE(Sync!$Q663),2),IFERROR(RIGHT("00"&amp;VALUE(LEFT(Sync!$Q663,FIND(":",Sync!$Q663)-1)),2)&amp;RIGHT("00"&amp;VALUE(MID(Sync!$Q663,FIND(":",Sync!$Q663)+1,2)),2),"0000"))))</f>
        <v/>
      </c>
      <c r="AK663">
        <f>IF(OR($AE663="",$AI663="",$AI663="نامعتبر"),"",LEFT($AI663,4)&amp;MID($AI663,6,2)&amp;RIGHT($AI663,2)&amp;$AJ663&amp;"|"&amp;"3"&amp;RIGHT("00000"&amp;658,5))</f>
        <v/>
      </c>
      <c r="AL663">
        <f>IF($AK663="","",COUNTIFS(LdAParty,$AE663,LdAType,1,LdAKey,"&lt;"&amp;$AK663)+COUNTIFS(LdBMember,$AE663,LdBKey,"&lt;"&amp;$AK663)+COUNTIFS(LdCParty,$AE663,LdCKey,"&lt;"&amp;$AK663)+1)</f>
        <v/>
      </c>
      <c r="AM663">
        <f>IF($AL663="","",$AE663&amp;"|"&amp;RIGHT("000000"&amp;$AL663,6))</f>
        <v/>
      </c>
      <c r="AN663">
        <f>IF($AE663="","",IF(Sync!$W663="",0,Sync!$W663))</f>
        <v/>
      </c>
      <c r="AO663">
        <f>IF($AE663="","",IF(Sync!$X663="",0,Sync!$X663))</f>
        <v/>
      </c>
      <c r="AP663">
        <f>IF($AE663="","",Sync!$R663)</f>
        <v/>
      </c>
      <c r="AQ663">
        <f>IF($AE663="","",Sync!$Y663)</f>
        <v/>
      </c>
    </row>
    <row r="664">
      <c r="A664">
        <f>IF(OR(Wages!$B667="",Wages!$E667=""),"",Wages!$E667)</f>
        <v/>
      </c>
      <c r="B664">
        <f>IF($A664="","",IF(Wages!$C667="دستمزد گروهی",2,1))</f>
        <v/>
      </c>
      <c r="C664">
        <f>IF($A664="","",IF(ISNUMBER(Wages!$B667),IF(AND(Wages!$B667&gt;=10000101,Wages!$B667&lt;=99991231),INT(Wages!$B667/10000),""),IFERROR(VALUE(TRIM(LEFT(Wages!$B667,FIND("/",Wages!$B667)-1))),"")))</f>
        <v/>
      </c>
      <c r="D664">
        <f>IF(OR($A664="",$C664=""),"",IF(ISNUMBER(Wages!$B667),INT(MOD(Wages!$B667,10000)/100),IFERROR(VALUE(TRIM(LEFT(MID(Wages!$B667,FIND("/",Wages!$B667)+1,20),FIND("/",MID(Wages!$B667,FIND("/",Wages!$B667)+1,20))-1))),"")))</f>
        <v/>
      </c>
      <c r="E664">
        <f>IF(OR($A664="",$C664=""),"",IF(ISNUMBER(Wages!$B667),MOD(Wages!$B667,100),IFERROR(VALUE(TRIM(MID(MID(Wages!$B667,FIND("/",Wages!$B667)+1,20),FIND("/",MID(Wages!$B667,FIND("/",Wages!$B667)+1,20))+1,20))),"")))</f>
        <v/>
      </c>
      <c r="F664">
        <f>IF($A664="","",IF(OR($C664="",$D664="",$E664="",$C664&lt;1300,$C664&gt;1500,$D664&lt;1,$D664&gt;12,$E664&lt;1,$E664&gt;31),"نامعتبر",RIGHT("0000"&amp;$C664,4)&amp;"/"&amp;RIGHT("00"&amp;$D664,2)&amp;"/"&amp;RIGHT("00"&amp;$E664,2)))</f>
        <v/>
      </c>
      <c r="G664">
        <f>IF(OR($A664="",$F664="",$F664="نامعتبر"),"",LEFT($F664,4)&amp;MID($F664,6,2)&amp;RIGHT($F664,2)&amp;"0000"&amp;"|"&amp;"1"&amp;RIGHT("00000"&amp;659,5))</f>
        <v/>
      </c>
      <c r="H664">
        <f>IF(OR($B664&lt;&gt;1,$G664=""),"",COUNTIFS(LdAParty,$A664,LdAType,1,LdAKey,"&lt;"&amp;$G664)+COUNTIFS(LdBMember,$A664,LdBKey,"&lt;"&amp;$G664)+COUNTIFS(LdCParty,$A664,LdCKey,"&lt;"&amp;$G664)+1)</f>
        <v/>
      </c>
      <c r="I664">
        <f>IF($H664="","",$A664&amp;"|"&amp;RIGHT("000000"&amp;$H664,6))</f>
        <v/>
      </c>
      <c r="J664">
        <f>IF(OR($B664&lt;&gt;2,$G664=""),"",COUNTIFS(LdAParty,$A664,LdAType,2,LdAKey,"&lt;"&amp;$G664)+1)</f>
        <v/>
      </c>
      <c r="K664">
        <f>IF($J664="","",$A664&amp;"|"&amp;RIGHT("000000"&amp;$J664,6))</f>
        <v/>
      </c>
      <c r="L664">
        <f>IF($A664="","",IF(Wages!$G667="",0,Wages!$G667))</f>
        <v/>
      </c>
      <c r="M664">
        <f>IF($A664="","",Wages!$J667)</f>
        <v/>
      </c>
      <c r="N664">
        <f>IF($A664="","",Wages!$D667)</f>
        <v/>
      </c>
      <c r="P664">
        <f>IF(OR(Shares!$B667="",Shares!$C667=""),"",Shares!$C667)</f>
        <v/>
      </c>
      <c r="Q664">
        <f>IF($P664="","",Shares!$B667)</f>
        <v/>
      </c>
      <c r="R664">
        <f>IF($P664="","",IFERROR(INDEX(WageParty,MATCH($Q664,WageIds,0)),""))</f>
        <v/>
      </c>
      <c r="S664">
        <f>IF($P664="","",IFERROR(INDEX($F$6:$F$2005,MATCH($Q664,WageIds,0)),""))</f>
        <v/>
      </c>
      <c r="T664">
        <f>IF(OR($P664="",$S664="",$S664="نامعتبر"),"",LEFT($S664,4)&amp;MID($S664,6,2)&amp;RIGHT($S664,2)&amp;"0000"&amp;"|"&amp;"2"&amp;RIGHT("00000"&amp;659,5))</f>
        <v/>
      </c>
      <c r="U664">
        <f>IF($T664="","",COUNTIFS(LdAParty,$P664,LdAType,1,LdAKey,"&lt;"&amp;$T664)+COUNTIFS(LdBMember,$P664,LdBKey,"&lt;"&amp;$T664)+COUNTIFS(LdCParty,$P664,LdCKey,"&lt;"&amp;$T664)+1)</f>
        <v/>
      </c>
      <c r="V664">
        <f>IF($U664="","",$P664&amp;"|"&amp;RIGHT("000000"&amp;$U664,6))</f>
        <v/>
      </c>
      <c r="W664">
        <f>IF($T664="","",COUNTIFS(LdBGroup,$R664,LdBKey,"&lt;"&amp;$T664)+1)</f>
        <v/>
      </c>
      <c r="X664">
        <f>IF($W664="","",$R664&amp;"|"&amp;RIGHT("000000"&amp;$W664,6))</f>
        <v/>
      </c>
      <c r="Y664">
        <f>IF($P664="","",IF(Shares!$E667="",0,Shares!$E667))</f>
        <v/>
      </c>
      <c r="Z664">
        <f>IF($P664="","",Shares!$H667)</f>
        <v/>
      </c>
      <c r="AE664">
        <f>IF(OR(Sync!$S664="",Sync!$P664=""),"",Sync!$S664)</f>
        <v/>
      </c>
      <c r="AF664">
        <f>IF($AE664="","",IF(ISNUMBER(Sync!$P664),IF(AND(Sync!$P664&gt;=10000101,Sync!$P664&lt;=99991231),INT(Sync!$P664/10000),""),IFERROR(VALUE(TRIM(LEFT(Sync!$P664,FIND("/",Sync!$P664)-1))),"")))</f>
        <v/>
      </c>
      <c r="AG664">
        <f>IF(OR($AE664="",$AF664=""),"",IF(ISNUMBER(Sync!$P664),INT(MOD(Sync!$P664,10000)/100),IFERROR(VALUE(TRIM(LEFT(MID(Sync!$P664,FIND("/",Sync!$P664)+1,20),FIND("/",MID(Sync!$P664,FIND("/",Sync!$P664)+1,20))-1))),"")))</f>
        <v/>
      </c>
      <c r="AH664">
        <f>IF(OR($AE664="",$AF664=""),"",IF(ISNUMBER(Sync!$P664),MOD(Sync!$P664,100),IFERROR(VALUE(TRIM(MID(MID(Sync!$P664,FIND("/",Sync!$P664)+1,20),FIND("/",MID(Sync!$P664,FIND("/",Sync!$P664)+1,20))+1,20))),"")))</f>
        <v/>
      </c>
      <c r="AI664">
        <f>IF($AE664="","",IF(OR($AF664="",$AG664="",$AH664="",$AF664&lt;1300,$AF664&gt;1500,$AG664&lt;1,$AG664&gt;12,$AH664&lt;1,$AH664&gt;31),"نامعتبر",RIGHT("0000"&amp;$AF664,4)&amp;"/"&amp;RIGHT("00"&amp;$AG664,2)&amp;"/"&amp;RIGHT("00"&amp;$AH664,2)))</f>
        <v/>
      </c>
      <c r="AJ664">
        <f>IF($AE664="","",IF(Sync!$Q664="","0000",IF(AND(ISNUMBER(Sync!$Q664),Sync!$Q664&gt;=0,Sync!$Q664&lt;1),RIGHT("00"&amp;HOUR(Sync!$Q664),2)&amp;RIGHT("00"&amp;MINUTE(Sync!$Q664),2),IFERROR(RIGHT("00"&amp;VALUE(LEFT(Sync!$Q664,FIND(":",Sync!$Q664)-1)),2)&amp;RIGHT("00"&amp;VALUE(MID(Sync!$Q664,FIND(":",Sync!$Q664)+1,2)),2),"0000"))))</f>
        <v/>
      </c>
      <c r="AK664">
        <f>IF(OR($AE664="",$AI664="",$AI664="نامعتبر"),"",LEFT($AI664,4)&amp;MID($AI664,6,2)&amp;RIGHT($AI664,2)&amp;$AJ664&amp;"|"&amp;"3"&amp;RIGHT("00000"&amp;659,5))</f>
        <v/>
      </c>
      <c r="AL664">
        <f>IF($AK664="","",COUNTIFS(LdAParty,$AE664,LdAType,1,LdAKey,"&lt;"&amp;$AK664)+COUNTIFS(LdBMember,$AE664,LdBKey,"&lt;"&amp;$AK664)+COUNTIFS(LdCParty,$AE664,LdCKey,"&lt;"&amp;$AK664)+1)</f>
        <v/>
      </c>
      <c r="AM664">
        <f>IF($AL664="","",$AE664&amp;"|"&amp;RIGHT("000000"&amp;$AL664,6))</f>
        <v/>
      </c>
      <c r="AN664">
        <f>IF($AE664="","",IF(Sync!$W664="",0,Sync!$W664))</f>
        <v/>
      </c>
      <c r="AO664">
        <f>IF($AE664="","",IF(Sync!$X664="",0,Sync!$X664))</f>
        <v/>
      </c>
      <c r="AP664">
        <f>IF($AE664="","",Sync!$R664)</f>
        <v/>
      </c>
      <c r="AQ664">
        <f>IF($AE664="","",Sync!$Y664)</f>
        <v/>
      </c>
    </row>
    <row r="665">
      <c r="A665">
        <f>IF(OR(Wages!$B668="",Wages!$E668=""),"",Wages!$E668)</f>
        <v/>
      </c>
      <c r="B665">
        <f>IF($A665="","",IF(Wages!$C668="دستمزد گروهی",2,1))</f>
        <v/>
      </c>
      <c r="C665">
        <f>IF($A665="","",IF(ISNUMBER(Wages!$B668),IF(AND(Wages!$B668&gt;=10000101,Wages!$B668&lt;=99991231),INT(Wages!$B668/10000),""),IFERROR(VALUE(TRIM(LEFT(Wages!$B668,FIND("/",Wages!$B668)-1))),"")))</f>
        <v/>
      </c>
      <c r="D665">
        <f>IF(OR($A665="",$C665=""),"",IF(ISNUMBER(Wages!$B668),INT(MOD(Wages!$B668,10000)/100),IFERROR(VALUE(TRIM(LEFT(MID(Wages!$B668,FIND("/",Wages!$B668)+1,20),FIND("/",MID(Wages!$B668,FIND("/",Wages!$B668)+1,20))-1))),"")))</f>
        <v/>
      </c>
      <c r="E665">
        <f>IF(OR($A665="",$C665=""),"",IF(ISNUMBER(Wages!$B668),MOD(Wages!$B668,100),IFERROR(VALUE(TRIM(MID(MID(Wages!$B668,FIND("/",Wages!$B668)+1,20),FIND("/",MID(Wages!$B668,FIND("/",Wages!$B668)+1,20))+1,20))),"")))</f>
        <v/>
      </c>
      <c r="F665">
        <f>IF($A665="","",IF(OR($C665="",$D665="",$E665="",$C665&lt;1300,$C665&gt;1500,$D665&lt;1,$D665&gt;12,$E665&lt;1,$E665&gt;31),"نامعتبر",RIGHT("0000"&amp;$C665,4)&amp;"/"&amp;RIGHT("00"&amp;$D665,2)&amp;"/"&amp;RIGHT("00"&amp;$E665,2)))</f>
        <v/>
      </c>
      <c r="G665">
        <f>IF(OR($A665="",$F665="",$F665="نامعتبر"),"",LEFT($F665,4)&amp;MID($F665,6,2)&amp;RIGHT($F665,2)&amp;"0000"&amp;"|"&amp;"1"&amp;RIGHT("00000"&amp;660,5))</f>
        <v/>
      </c>
      <c r="H665">
        <f>IF(OR($B665&lt;&gt;1,$G665=""),"",COUNTIFS(LdAParty,$A665,LdAType,1,LdAKey,"&lt;"&amp;$G665)+COUNTIFS(LdBMember,$A665,LdBKey,"&lt;"&amp;$G665)+COUNTIFS(LdCParty,$A665,LdCKey,"&lt;"&amp;$G665)+1)</f>
        <v/>
      </c>
      <c r="I665">
        <f>IF($H665="","",$A665&amp;"|"&amp;RIGHT("000000"&amp;$H665,6))</f>
        <v/>
      </c>
      <c r="J665">
        <f>IF(OR($B665&lt;&gt;2,$G665=""),"",COUNTIFS(LdAParty,$A665,LdAType,2,LdAKey,"&lt;"&amp;$G665)+1)</f>
        <v/>
      </c>
      <c r="K665">
        <f>IF($J665="","",$A665&amp;"|"&amp;RIGHT("000000"&amp;$J665,6))</f>
        <v/>
      </c>
      <c r="L665">
        <f>IF($A665="","",IF(Wages!$G668="",0,Wages!$G668))</f>
        <v/>
      </c>
      <c r="M665">
        <f>IF($A665="","",Wages!$J668)</f>
        <v/>
      </c>
      <c r="N665">
        <f>IF($A665="","",Wages!$D668)</f>
        <v/>
      </c>
      <c r="P665">
        <f>IF(OR(Shares!$B668="",Shares!$C668=""),"",Shares!$C668)</f>
        <v/>
      </c>
      <c r="Q665">
        <f>IF($P665="","",Shares!$B668)</f>
        <v/>
      </c>
      <c r="R665">
        <f>IF($P665="","",IFERROR(INDEX(WageParty,MATCH($Q665,WageIds,0)),""))</f>
        <v/>
      </c>
      <c r="S665">
        <f>IF($P665="","",IFERROR(INDEX($F$6:$F$2005,MATCH($Q665,WageIds,0)),""))</f>
        <v/>
      </c>
      <c r="T665">
        <f>IF(OR($P665="",$S665="",$S665="نامعتبر"),"",LEFT($S665,4)&amp;MID($S665,6,2)&amp;RIGHT($S665,2)&amp;"0000"&amp;"|"&amp;"2"&amp;RIGHT("00000"&amp;660,5))</f>
        <v/>
      </c>
      <c r="U665">
        <f>IF($T665="","",COUNTIFS(LdAParty,$P665,LdAType,1,LdAKey,"&lt;"&amp;$T665)+COUNTIFS(LdBMember,$P665,LdBKey,"&lt;"&amp;$T665)+COUNTIFS(LdCParty,$P665,LdCKey,"&lt;"&amp;$T665)+1)</f>
        <v/>
      </c>
      <c r="V665">
        <f>IF($U665="","",$P665&amp;"|"&amp;RIGHT("000000"&amp;$U665,6))</f>
        <v/>
      </c>
      <c r="W665">
        <f>IF($T665="","",COUNTIFS(LdBGroup,$R665,LdBKey,"&lt;"&amp;$T665)+1)</f>
        <v/>
      </c>
      <c r="X665">
        <f>IF($W665="","",$R665&amp;"|"&amp;RIGHT("000000"&amp;$W665,6))</f>
        <v/>
      </c>
      <c r="Y665">
        <f>IF($P665="","",IF(Shares!$E668="",0,Shares!$E668))</f>
        <v/>
      </c>
      <c r="Z665">
        <f>IF($P665="","",Shares!$H668)</f>
        <v/>
      </c>
      <c r="AE665">
        <f>IF(OR(Sync!$S665="",Sync!$P665=""),"",Sync!$S665)</f>
        <v/>
      </c>
      <c r="AF665">
        <f>IF($AE665="","",IF(ISNUMBER(Sync!$P665),IF(AND(Sync!$P665&gt;=10000101,Sync!$P665&lt;=99991231),INT(Sync!$P665/10000),""),IFERROR(VALUE(TRIM(LEFT(Sync!$P665,FIND("/",Sync!$P665)-1))),"")))</f>
        <v/>
      </c>
      <c r="AG665">
        <f>IF(OR($AE665="",$AF665=""),"",IF(ISNUMBER(Sync!$P665),INT(MOD(Sync!$P665,10000)/100),IFERROR(VALUE(TRIM(LEFT(MID(Sync!$P665,FIND("/",Sync!$P665)+1,20),FIND("/",MID(Sync!$P665,FIND("/",Sync!$P665)+1,20))-1))),"")))</f>
        <v/>
      </c>
      <c r="AH665">
        <f>IF(OR($AE665="",$AF665=""),"",IF(ISNUMBER(Sync!$P665),MOD(Sync!$P665,100),IFERROR(VALUE(TRIM(MID(MID(Sync!$P665,FIND("/",Sync!$P665)+1,20),FIND("/",MID(Sync!$P665,FIND("/",Sync!$P665)+1,20))+1,20))),"")))</f>
        <v/>
      </c>
      <c r="AI665">
        <f>IF($AE665="","",IF(OR($AF665="",$AG665="",$AH665="",$AF665&lt;1300,$AF665&gt;1500,$AG665&lt;1,$AG665&gt;12,$AH665&lt;1,$AH665&gt;31),"نامعتبر",RIGHT("0000"&amp;$AF665,4)&amp;"/"&amp;RIGHT("00"&amp;$AG665,2)&amp;"/"&amp;RIGHT("00"&amp;$AH665,2)))</f>
        <v/>
      </c>
      <c r="AJ665">
        <f>IF($AE665="","",IF(Sync!$Q665="","0000",IF(AND(ISNUMBER(Sync!$Q665),Sync!$Q665&gt;=0,Sync!$Q665&lt;1),RIGHT("00"&amp;HOUR(Sync!$Q665),2)&amp;RIGHT("00"&amp;MINUTE(Sync!$Q665),2),IFERROR(RIGHT("00"&amp;VALUE(LEFT(Sync!$Q665,FIND(":",Sync!$Q665)-1)),2)&amp;RIGHT("00"&amp;VALUE(MID(Sync!$Q665,FIND(":",Sync!$Q665)+1,2)),2),"0000"))))</f>
        <v/>
      </c>
      <c r="AK665">
        <f>IF(OR($AE665="",$AI665="",$AI665="نامعتبر"),"",LEFT($AI665,4)&amp;MID($AI665,6,2)&amp;RIGHT($AI665,2)&amp;$AJ665&amp;"|"&amp;"3"&amp;RIGHT("00000"&amp;660,5))</f>
        <v/>
      </c>
      <c r="AL665">
        <f>IF($AK665="","",COUNTIFS(LdAParty,$AE665,LdAType,1,LdAKey,"&lt;"&amp;$AK665)+COUNTIFS(LdBMember,$AE665,LdBKey,"&lt;"&amp;$AK665)+COUNTIFS(LdCParty,$AE665,LdCKey,"&lt;"&amp;$AK665)+1)</f>
        <v/>
      </c>
      <c r="AM665">
        <f>IF($AL665="","",$AE665&amp;"|"&amp;RIGHT("000000"&amp;$AL665,6))</f>
        <v/>
      </c>
      <c r="AN665">
        <f>IF($AE665="","",IF(Sync!$W665="",0,Sync!$W665))</f>
        <v/>
      </c>
      <c r="AO665">
        <f>IF($AE665="","",IF(Sync!$X665="",0,Sync!$X665))</f>
        <v/>
      </c>
      <c r="AP665">
        <f>IF($AE665="","",Sync!$R665)</f>
        <v/>
      </c>
      <c r="AQ665">
        <f>IF($AE665="","",Sync!$Y665)</f>
        <v/>
      </c>
    </row>
    <row r="666">
      <c r="A666">
        <f>IF(OR(Wages!$B669="",Wages!$E669=""),"",Wages!$E669)</f>
        <v/>
      </c>
      <c r="B666">
        <f>IF($A666="","",IF(Wages!$C669="دستمزد گروهی",2,1))</f>
        <v/>
      </c>
      <c r="C666">
        <f>IF($A666="","",IF(ISNUMBER(Wages!$B669),IF(AND(Wages!$B669&gt;=10000101,Wages!$B669&lt;=99991231),INT(Wages!$B669/10000),""),IFERROR(VALUE(TRIM(LEFT(Wages!$B669,FIND("/",Wages!$B669)-1))),"")))</f>
        <v/>
      </c>
      <c r="D666">
        <f>IF(OR($A666="",$C666=""),"",IF(ISNUMBER(Wages!$B669),INT(MOD(Wages!$B669,10000)/100),IFERROR(VALUE(TRIM(LEFT(MID(Wages!$B669,FIND("/",Wages!$B669)+1,20),FIND("/",MID(Wages!$B669,FIND("/",Wages!$B669)+1,20))-1))),"")))</f>
        <v/>
      </c>
      <c r="E666">
        <f>IF(OR($A666="",$C666=""),"",IF(ISNUMBER(Wages!$B669),MOD(Wages!$B669,100),IFERROR(VALUE(TRIM(MID(MID(Wages!$B669,FIND("/",Wages!$B669)+1,20),FIND("/",MID(Wages!$B669,FIND("/",Wages!$B669)+1,20))+1,20))),"")))</f>
        <v/>
      </c>
      <c r="F666">
        <f>IF($A666="","",IF(OR($C666="",$D666="",$E666="",$C666&lt;1300,$C666&gt;1500,$D666&lt;1,$D666&gt;12,$E666&lt;1,$E666&gt;31),"نامعتبر",RIGHT("0000"&amp;$C666,4)&amp;"/"&amp;RIGHT("00"&amp;$D666,2)&amp;"/"&amp;RIGHT("00"&amp;$E666,2)))</f>
        <v/>
      </c>
      <c r="G666">
        <f>IF(OR($A666="",$F666="",$F666="نامعتبر"),"",LEFT($F666,4)&amp;MID($F666,6,2)&amp;RIGHT($F666,2)&amp;"0000"&amp;"|"&amp;"1"&amp;RIGHT("00000"&amp;661,5))</f>
        <v/>
      </c>
      <c r="H666">
        <f>IF(OR($B666&lt;&gt;1,$G666=""),"",COUNTIFS(LdAParty,$A666,LdAType,1,LdAKey,"&lt;"&amp;$G666)+COUNTIFS(LdBMember,$A666,LdBKey,"&lt;"&amp;$G666)+COUNTIFS(LdCParty,$A666,LdCKey,"&lt;"&amp;$G666)+1)</f>
        <v/>
      </c>
      <c r="I666">
        <f>IF($H666="","",$A666&amp;"|"&amp;RIGHT("000000"&amp;$H666,6))</f>
        <v/>
      </c>
      <c r="J666">
        <f>IF(OR($B666&lt;&gt;2,$G666=""),"",COUNTIFS(LdAParty,$A666,LdAType,2,LdAKey,"&lt;"&amp;$G666)+1)</f>
        <v/>
      </c>
      <c r="K666">
        <f>IF($J666="","",$A666&amp;"|"&amp;RIGHT("000000"&amp;$J666,6))</f>
        <v/>
      </c>
      <c r="L666">
        <f>IF($A666="","",IF(Wages!$G669="",0,Wages!$G669))</f>
        <v/>
      </c>
      <c r="M666">
        <f>IF($A666="","",Wages!$J669)</f>
        <v/>
      </c>
      <c r="N666">
        <f>IF($A666="","",Wages!$D669)</f>
        <v/>
      </c>
      <c r="P666">
        <f>IF(OR(Shares!$B669="",Shares!$C669=""),"",Shares!$C669)</f>
        <v/>
      </c>
      <c r="Q666">
        <f>IF($P666="","",Shares!$B669)</f>
        <v/>
      </c>
      <c r="R666">
        <f>IF($P666="","",IFERROR(INDEX(WageParty,MATCH($Q666,WageIds,0)),""))</f>
        <v/>
      </c>
      <c r="S666">
        <f>IF($P666="","",IFERROR(INDEX($F$6:$F$2005,MATCH($Q666,WageIds,0)),""))</f>
        <v/>
      </c>
      <c r="T666">
        <f>IF(OR($P666="",$S666="",$S666="نامعتبر"),"",LEFT($S666,4)&amp;MID($S666,6,2)&amp;RIGHT($S666,2)&amp;"0000"&amp;"|"&amp;"2"&amp;RIGHT("00000"&amp;661,5))</f>
        <v/>
      </c>
      <c r="U666">
        <f>IF($T666="","",COUNTIFS(LdAParty,$P666,LdAType,1,LdAKey,"&lt;"&amp;$T666)+COUNTIFS(LdBMember,$P666,LdBKey,"&lt;"&amp;$T666)+COUNTIFS(LdCParty,$P666,LdCKey,"&lt;"&amp;$T666)+1)</f>
        <v/>
      </c>
      <c r="V666">
        <f>IF($U666="","",$P666&amp;"|"&amp;RIGHT("000000"&amp;$U666,6))</f>
        <v/>
      </c>
      <c r="W666">
        <f>IF($T666="","",COUNTIFS(LdBGroup,$R666,LdBKey,"&lt;"&amp;$T666)+1)</f>
        <v/>
      </c>
      <c r="X666">
        <f>IF($W666="","",$R666&amp;"|"&amp;RIGHT("000000"&amp;$W666,6))</f>
        <v/>
      </c>
      <c r="Y666">
        <f>IF($P666="","",IF(Shares!$E669="",0,Shares!$E669))</f>
        <v/>
      </c>
      <c r="Z666">
        <f>IF($P666="","",Shares!$H669)</f>
        <v/>
      </c>
      <c r="AE666">
        <f>IF(OR(Sync!$S666="",Sync!$P666=""),"",Sync!$S666)</f>
        <v/>
      </c>
      <c r="AF666">
        <f>IF($AE666="","",IF(ISNUMBER(Sync!$P666),IF(AND(Sync!$P666&gt;=10000101,Sync!$P666&lt;=99991231),INT(Sync!$P666/10000),""),IFERROR(VALUE(TRIM(LEFT(Sync!$P666,FIND("/",Sync!$P666)-1))),"")))</f>
        <v/>
      </c>
      <c r="AG666">
        <f>IF(OR($AE666="",$AF666=""),"",IF(ISNUMBER(Sync!$P666),INT(MOD(Sync!$P666,10000)/100),IFERROR(VALUE(TRIM(LEFT(MID(Sync!$P666,FIND("/",Sync!$P666)+1,20),FIND("/",MID(Sync!$P666,FIND("/",Sync!$P666)+1,20))-1))),"")))</f>
        <v/>
      </c>
      <c r="AH666">
        <f>IF(OR($AE666="",$AF666=""),"",IF(ISNUMBER(Sync!$P666),MOD(Sync!$P666,100),IFERROR(VALUE(TRIM(MID(MID(Sync!$P666,FIND("/",Sync!$P666)+1,20),FIND("/",MID(Sync!$P666,FIND("/",Sync!$P666)+1,20))+1,20))),"")))</f>
        <v/>
      </c>
      <c r="AI666">
        <f>IF($AE666="","",IF(OR($AF666="",$AG666="",$AH666="",$AF666&lt;1300,$AF666&gt;1500,$AG666&lt;1,$AG666&gt;12,$AH666&lt;1,$AH666&gt;31),"نامعتبر",RIGHT("0000"&amp;$AF666,4)&amp;"/"&amp;RIGHT("00"&amp;$AG666,2)&amp;"/"&amp;RIGHT("00"&amp;$AH666,2)))</f>
        <v/>
      </c>
      <c r="AJ666">
        <f>IF($AE666="","",IF(Sync!$Q666="","0000",IF(AND(ISNUMBER(Sync!$Q666),Sync!$Q666&gt;=0,Sync!$Q666&lt;1),RIGHT("00"&amp;HOUR(Sync!$Q666),2)&amp;RIGHT("00"&amp;MINUTE(Sync!$Q666),2),IFERROR(RIGHT("00"&amp;VALUE(LEFT(Sync!$Q666,FIND(":",Sync!$Q666)-1)),2)&amp;RIGHT("00"&amp;VALUE(MID(Sync!$Q666,FIND(":",Sync!$Q666)+1,2)),2),"0000"))))</f>
        <v/>
      </c>
      <c r="AK666">
        <f>IF(OR($AE666="",$AI666="",$AI666="نامعتبر"),"",LEFT($AI666,4)&amp;MID($AI666,6,2)&amp;RIGHT($AI666,2)&amp;$AJ666&amp;"|"&amp;"3"&amp;RIGHT("00000"&amp;661,5))</f>
        <v/>
      </c>
      <c r="AL666">
        <f>IF($AK666="","",COUNTIFS(LdAParty,$AE666,LdAType,1,LdAKey,"&lt;"&amp;$AK666)+COUNTIFS(LdBMember,$AE666,LdBKey,"&lt;"&amp;$AK666)+COUNTIFS(LdCParty,$AE666,LdCKey,"&lt;"&amp;$AK666)+1)</f>
        <v/>
      </c>
      <c r="AM666">
        <f>IF($AL666="","",$AE666&amp;"|"&amp;RIGHT("000000"&amp;$AL666,6))</f>
        <v/>
      </c>
      <c r="AN666">
        <f>IF($AE666="","",IF(Sync!$W666="",0,Sync!$W666))</f>
        <v/>
      </c>
      <c r="AO666">
        <f>IF($AE666="","",IF(Sync!$X666="",0,Sync!$X666))</f>
        <v/>
      </c>
      <c r="AP666">
        <f>IF($AE666="","",Sync!$R666)</f>
        <v/>
      </c>
      <c r="AQ666">
        <f>IF($AE666="","",Sync!$Y666)</f>
        <v/>
      </c>
    </row>
    <row r="667">
      <c r="A667">
        <f>IF(OR(Wages!$B670="",Wages!$E670=""),"",Wages!$E670)</f>
        <v/>
      </c>
      <c r="B667">
        <f>IF($A667="","",IF(Wages!$C670="دستمزد گروهی",2,1))</f>
        <v/>
      </c>
      <c r="C667">
        <f>IF($A667="","",IF(ISNUMBER(Wages!$B670),IF(AND(Wages!$B670&gt;=10000101,Wages!$B670&lt;=99991231),INT(Wages!$B670/10000),""),IFERROR(VALUE(TRIM(LEFT(Wages!$B670,FIND("/",Wages!$B670)-1))),"")))</f>
        <v/>
      </c>
      <c r="D667">
        <f>IF(OR($A667="",$C667=""),"",IF(ISNUMBER(Wages!$B670),INT(MOD(Wages!$B670,10000)/100),IFERROR(VALUE(TRIM(LEFT(MID(Wages!$B670,FIND("/",Wages!$B670)+1,20),FIND("/",MID(Wages!$B670,FIND("/",Wages!$B670)+1,20))-1))),"")))</f>
        <v/>
      </c>
      <c r="E667">
        <f>IF(OR($A667="",$C667=""),"",IF(ISNUMBER(Wages!$B670),MOD(Wages!$B670,100),IFERROR(VALUE(TRIM(MID(MID(Wages!$B670,FIND("/",Wages!$B670)+1,20),FIND("/",MID(Wages!$B670,FIND("/",Wages!$B670)+1,20))+1,20))),"")))</f>
        <v/>
      </c>
      <c r="F667">
        <f>IF($A667="","",IF(OR($C667="",$D667="",$E667="",$C667&lt;1300,$C667&gt;1500,$D667&lt;1,$D667&gt;12,$E667&lt;1,$E667&gt;31),"نامعتبر",RIGHT("0000"&amp;$C667,4)&amp;"/"&amp;RIGHT("00"&amp;$D667,2)&amp;"/"&amp;RIGHT("00"&amp;$E667,2)))</f>
        <v/>
      </c>
      <c r="G667">
        <f>IF(OR($A667="",$F667="",$F667="نامعتبر"),"",LEFT($F667,4)&amp;MID($F667,6,2)&amp;RIGHT($F667,2)&amp;"0000"&amp;"|"&amp;"1"&amp;RIGHT("00000"&amp;662,5))</f>
        <v/>
      </c>
      <c r="H667">
        <f>IF(OR($B667&lt;&gt;1,$G667=""),"",COUNTIFS(LdAParty,$A667,LdAType,1,LdAKey,"&lt;"&amp;$G667)+COUNTIFS(LdBMember,$A667,LdBKey,"&lt;"&amp;$G667)+COUNTIFS(LdCParty,$A667,LdCKey,"&lt;"&amp;$G667)+1)</f>
        <v/>
      </c>
      <c r="I667">
        <f>IF($H667="","",$A667&amp;"|"&amp;RIGHT("000000"&amp;$H667,6))</f>
        <v/>
      </c>
      <c r="J667">
        <f>IF(OR($B667&lt;&gt;2,$G667=""),"",COUNTIFS(LdAParty,$A667,LdAType,2,LdAKey,"&lt;"&amp;$G667)+1)</f>
        <v/>
      </c>
      <c r="K667">
        <f>IF($J667="","",$A667&amp;"|"&amp;RIGHT("000000"&amp;$J667,6))</f>
        <v/>
      </c>
      <c r="L667">
        <f>IF($A667="","",IF(Wages!$G670="",0,Wages!$G670))</f>
        <v/>
      </c>
      <c r="M667">
        <f>IF($A667="","",Wages!$J670)</f>
        <v/>
      </c>
      <c r="N667">
        <f>IF($A667="","",Wages!$D670)</f>
        <v/>
      </c>
      <c r="P667">
        <f>IF(OR(Shares!$B670="",Shares!$C670=""),"",Shares!$C670)</f>
        <v/>
      </c>
      <c r="Q667">
        <f>IF($P667="","",Shares!$B670)</f>
        <v/>
      </c>
      <c r="R667">
        <f>IF($P667="","",IFERROR(INDEX(WageParty,MATCH($Q667,WageIds,0)),""))</f>
        <v/>
      </c>
      <c r="S667">
        <f>IF($P667="","",IFERROR(INDEX($F$6:$F$2005,MATCH($Q667,WageIds,0)),""))</f>
        <v/>
      </c>
      <c r="T667">
        <f>IF(OR($P667="",$S667="",$S667="نامعتبر"),"",LEFT($S667,4)&amp;MID($S667,6,2)&amp;RIGHT($S667,2)&amp;"0000"&amp;"|"&amp;"2"&amp;RIGHT("00000"&amp;662,5))</f>
        <v/>
      </c>
      <c r="U667">
        <f>IF($T667="","",COUNTIFS(LdAParty,$P667,LdAType,1,LdAKey,"&lt;"&amp;$T667)+COUNTIFS(LdBMember,$P667,LdBKey,"&lt;"&amp;$T667)+COUNTIFS(LdCParty,$P667,LdCKey,"&lt;"&amp;$T667)+1)</f>
        <v/>
      </c>
      <c r="V667">
        <f>IF($U667="","",$P667&amp;"|"&amp;RIGHT("000000"&amp;$U667,6))</f>
        <v/>
      </c>
      <c r="W667">
        <f>IF($T667="","",COUNTIFS(LdBGroup,$R667,LdBKey,"&lt;"&amp;$T667)+1)</f>
        <v/>
      </c>
      <c r="X667">
        <f>IF($W667="","",$R667&amp;"|"&amp;RIGHT("000000"&amp;$W667,6))</f>
        <v/>
      </c>
      <c r="Y667">
        <f>IF($P667="","",IF(Shares!$E670="",0,Shares!$E670))</f>
        <v/>
      </c>
      <c r="Z667">
        <f>IF($P667="","",Shares!$H670)</f>
        <v/>
      </c>
      <c r="AE667">
        <f>IF(OR(Sync!$S667="",Sync!$P667=""),"",Sync!$S667)</f>
        <v/>
      </c>
      <c r="AF667">
        <f>IF($AE667="","",IF(ISNUMBER(Sync!$P667),IF(AND(Sync!$P667&gt;=10000101,Sync!$P667&lt;=99991231),INT(Sync!$P667/10000),""),IFERROR(VALUE(TRIM(LEFT(Sync!$P667,FIND("/",Sync!$P667)-1))),"")))</f>
        <v/>
      </c>
      <c r="AG667">
        <f>IF(OR($AE667="",$AF667=""),"",IF(ISNUMBER(Sync!$P667),INT(MOD(Sync!$P667,10000)/100),IFERROR(VALUE(TRIM(LEFT(MID(Sync!$P667,FIND("/",Sync!$P667)+1,20),FIND("/",MID(Sync!$P667,FIND("/",Sync!$P667)+1,20))-1))),"")))</f>
        <v/>
      </c>
      <c r="AH667">
        <f>IF(OR($AE667="",$AF667=""),"",IF(ISNUMBER(Sync!$P667),MOD(Sync!$P667,100),IFERROR(VALUE(TRIM(MID(MID(Sync!$P667,FIND("/",Sync!$P667)+1,20),FIND("/",MID(Sync!$P667,FIND("/",Sync!$P667)+1,20))+1,20))),"")))</f>
        <v/>
      </c>
      <c r="AI667">
        <f>IF($AE667="","",IF(OR($AF667="",$AG667="",$AH667="",$AF667&lt;1300,$AF667&gt;1500,$AG667&lt;1,$AG667&gt;12,$AH667&lt;1,$AH667&gt;31),"نامعتبر",RIGHT("0000"&amp;$AF667,4)&amp;"/"&amp;RIGHT("00"&amp;$AG667,2)&amp;"/"&amp;RIGHT("00"&amp;$AH667,2)))</f>
        <v/>
      </c>
      <c r="AJ667">
        <f>IF($AE667="","",IF(Sync!$Q667="","0000",IF(AND(ISNUMBER(Sync!$Q667),Sync!$Q667&gt;=0,Sync!$Q667&lt;1),RIGHT("00"&amp;HOUR(Sync!$Q667),2)&amp;RIGHT("00"&amp;MINUTE(Sync!$Q667),2),IFERROR(RIGHT("00"&amp;VALUE(LEFT(Sync!$Q667,FIND(":",Sync!$Q667)-1)),2)&amp;RIGHT("00"&amp;VALUE(MID(Sync!$Q667,FIND(":",Sync!$Q667)+1,2)),2),"0000"))))</f>
        <v/>
      </c>
      <c r="AK667">
        <f>IF(OR($AE667="",$AI667="",$AI667="نامعتبر"),"",LEFT($AI667,4)&amp;MID($AI667,6,2)&amp;RIGHT($AI667,2)&amp;$AJ667&amp;"|"&amp;"3"&amp;RIGHT("00000"&amp;662,5))</f>
        <v/>
      </c>
      <c r="AL667">
        <f>IF($AK667="","",COUNTIFS(LdAParty,$AE667,LdAType,1,LdAKey,"&lt;"&amp;$AK667)+COUNTIFS(LdBMember,$AE667,LdBKey,"&lt;"&amp;$AK667)+COUNTIFS(LdCParty,$AE667,LdCKey,"&lt;"&amp;$AK667)+1)</f>
        <v/>
      </c>
      <c r="AM667">
        <f>IF($AL667="","",$AE667&amp;"|"&amp;RIGHT("000000"&amp;$AL667,6))</f>
        <v/>
      </c>
      <c r="AN667">
        <f>IF($AE667="","",IF(Sync!$W667="",0,Sync!$W667))</f>
        <v/>
      </c>
      <c r="AO667">
        <f>IF($AE667="","",IF(Sync!$X667="",0,Sync!$X667))</f>
        <v/>
      </c>
      <c r="AP667">
        <f>IF($AE667="","",Sync!$R667)</f>
        <v/>
      </c>
      <c r="AQ667">
        <f>IF($AE667="","",Sync!$Y667)</f>
        <v/>
      </c>
    </row>
    <row r="668">
      <c r="A668">
        <f>IF(OR(Wages!$B671="",Wages!$E671=""),"",Wages!$E671)</f>
        <v/>
      </c>
      <c r="B668">
        <f>IF($A668="","",IF(Wages!$C671="دستمزد گروهی",2,1))</f>
        <v/>
      </c>
      <c r="C668">
        <f>IF($A668="","",IF(ISNUMBER(Wages!$B671),IF(AND(Wages!$B671&gt;=10000101,Wages!$B671&lt;=99991231),INT(Wages!$B671/10000),""),IFERROR(VALUE(TRIM(LEFT(Wages!$B671,FIND("/",Wages!$B671)-1))),"")))</f>
        <v/>
      </c>
      <c r="D668">
        <f>IF(OR($A668="",$C668=""),"",IF(ISNUMBER(Wages!$B671),INT(MOD(Wages!$B671,10000)/100),IFERROR(VALUE(TRIM(LEFT(MID(Wages!$B671,FIND("/",Wages!$B671)+1,20),FIND("/",MID(Wages!$B671,FIND("/",Wages!$B671)+1,20))-1))),"")))</f>
        <v/>
      </c>
      <c r="E668">
        <f>IF(OR($A668="",$C668=""),"",IF(ISNUMBER(Wages!$B671),MOD(Wages!$B671,100),IFERROR(VALUE(TRIM(MID(MID(Wages!$B671,FIND("/",Wages!$B671)+1,20),FIND("/",MID(Wages!$B671,FIND("/",Wages!$B671)+1,20))+1,20))),"")))</f>
        <v/>
      </c>
      <c r="F668">
        <f>IF($A668="","",IF(OR($C668="",$D668="",$E668="",$C668&lt;1300,$C668&gt;1500,$D668&lt;1,$D668&gt;12,$E668&lt;1,$E668&gt;31),"نامعتبر",RIGHT("0000"&amp;$C668,4)&amp;"/"&amp;RIGHT("00"&amp;$D668,2)&amp;"/"&amp;RIGHT("00"&amp;$E668,2)))</f>
        <v/>
      </c>
      <c r="G668">
        <f>IF(OR($A668="",$F668="",$F668="نامعتبر"),"",LEFT($F668,4)&amp;MID($F668,6,2)&amp;RIGHT($F668,2)&amp;"0000"&amp;"|"&amp;"1"&amp;RIGHT("00000"&amp;663,5))</f>
        <v/>
      </c>
      <c r="H668">
        <f>IF(OR($B668&lt;&gt;1,$G668=""),"",COUNTIFS(LdAParty,$A668,LdAType,1,LdAKey,"&lt;"&amp;$G668)+COUNTIFS(LdBMember,$A668,LdBKey,"&lt;"&amp;$G668)+COUNTIFS(LdCParty,$A668,LdCKey,"&lt;"&amp;$G668)+1)</f>
        <v/>
      </c>
      <c r="I668">
        <f>IF($H668="","",$A668&amp;"|"&amp;RIGHT("000000"&amp;$H668,6))</f>
        <v/>
      </c>
      <c r="J668">
        <f>IF(OR($B668&lt;&gt;2,$G668=""),"",COUNTIFS(LdAParty,$A668,LdAType,2,LdAKey,"&lt;"&amp;$G668)+1)</f>
        <v/>
      </c>
      <c r="K668">
        <f>IF($J668="","",$A668&amp;"|"&amp;RIGHT("000000"&amp;$J668,6))</f>
        <v/>
      </c>
      <c r="L668">
        <f>IF($A668="","",IF(Wages!$G671="",0,Wages!$G671))</f>
        <v/>
      </c>
      <c r="M668">
        <f>IF($A668="","",Wages!$J671)</f>
        <v/>
      </c>
      <c r="N668">
        <f>IF($A668="","",Wages!$D671)</f>
        <v/>
      </c>
      <c r="P668">
        <f>IF(OR(Shares!$B671="",Shares!$C671=""),"",Shares!$C671)</f>
        <v/>
      </c>
      <c r="Q668">
        <f>IF($P668="","",Shares!$B671)</f>
        <v/>
      </c>
      <c r="R668">
        <f>IF($P668="","",IFERROR(INDEX(WageParty,MATCH($Q668,WageIds,0)),""))</f>
        <v/>
      </c>
      <c r="S668">
        <f>IF($P668="","",IFERROR(INDEX($F$6:$F$2005,MATCH($Q668,WageIds,0)),""))</f>
        <v/>
      </c>
      <c r="T668">
        <f>IF(OR($P668="",$S668="",$S668="نامعتبر"),"",LEFT($S668,4)&amp;MID($S668,6,2)&amp;RIGHT($S668,2)&amp;"0000"&amp;"|"&amp;"2"&amp;RIGHT("00000"&amp;663,5))</f>
        <v/>
      </c>
      <c r="U668">
        <f>IF($T668="","",COUNTIFS(LdAParty,$P668,LdAType,1,LdAKey,"&lt;"&amp;$T668)+COUNTIFS(LdBMember,$P668,LdBKey,"&lt;"&amp;$T668)+COUNTIFS(LdCParty,$P668,LdCKey,"&lt;"&amp;$T668)+1)</f>
        <v/>
      </c>
      <c r="V668">
        <f>IF($U668="","",$P668&amp;"|"&amp;RIGHT("000000"&amp;$U668,6))</f>
        <v/>
      </c>
      <c r="W668">
        <f>IF($T668="","",COUNTIFS(LdBGroup,$R668,LdBKey,"&lt;"&amp;$T668)+1)</f>
        <v/>
      </c>
      <c r="X668">
        <f>IF($W668="","",$R668&amp;"|"&amp;RIGHT("000000"&amp;$W668,6))</f>
        <v/>
      </c>
      <c r="Y668">
        <f>IF($P668="","",IF(Shares!$E671="",0,Shares!$E671))</f>
        <v/>
      </c>
      <c r="Z668">
        <f>IF($P668="","",Shares!$H671)</f>
        <v/>
      </c>
      <c r="AE668">
        <f>IF(OR(Sync!$S668="",Sync!$P668=""),"",Sync!$S668)</f>
        <v/>
      </c>
      <c r="AF668">
        <f>IF($AE668="","",IF(ISNUMBER(Sync!$P668),IF(AND(Sync!$P668&gt;=10000101,Sync!$P668&lt;=99991231),INT(Sync!$P668/10000),""),IFERROR(VALUE(TRIM(LEFT(Sync!$P668,FIND("/",Sync!$P668)-1))),"")))</f>
        <v/>
      </c>
      <c r="AG668">
        <f>IF(OR($AE668="",$AF668=""),"",IF(ISNUMBER(Sync!$P668),INT(MOD(Sync!$P668,10000)/100),IFERROR(VALUE(TRIM(LEFT(MID(Sync!$P668,FIND("/",Sync!$P668)+1,20),FIND("/",MID(Sync!$P668,FIND("/",Sync!$P668)+1,20))-1))),"")))</f>
        <v/>
      </c>
      <c r="AH668">
        <f>IF(OR($AE668="",$AF668=""),"",IF(ISNUMBER(Sync!$P668),MOD(Sync!$P668,100),IFERROR(VALUE(TRIM(MID(MID(Sync!$P668,FIND("/",Sync!$P668)+1,20),FIND("/",MID(Sync!$P668,FIND("/",Sync!$P668)+1,20))+1,20))),"")))</f>
        <v/>
      </c>
      <c r="AI668">
        <f>IF($AE668="","",IF(OR($AF668="",$AG668="",$AH668="",$AF668&lt;1300,$AF668&gt;1500,$AG668&lt;1,$AG668&gt;12,$AH668&lt;1,$AH668&gt;31),"نامعتبر",RIGHT("0000"&amp;$AF668,4)&amp;"/"&amp;RIGHT("00"&amp;$AG668,2)&amp;"/"&amp;RIGHT("00"&amp;$AH668,2)))</f>
        <v/>
      </c>
      <c r="AJ668">
        <f>IF($AE668="","",IF(Sync!$Q668="","0000",IF(AND(ISNUMBER(Sync!$Q668),Sync!$Q668&gt;=0,Sync!$Q668&lt;1),RIGHT("00"&amp;HOUR(Sync!$Q668),2)&amp;RIGHT("00"&amp;MINUTE(Sync!$Q668),2),IFERROR(RIGHT("00"&amp;VALUE(LEFT(Sync!$Q668,FIND(":",Sync!$Q668)-1)),2)&amp;RIGHT("00"&amp;VALUE(MID(Sync!$Q668,FIND(":",Sync!$Q668)+1,2)),2),"0000"))))</f>
        <v/>
      </c>
      <c r="AK668">
        <f>IF(OR($AE668="",$AI668="",$AI668="نامعتبر"),"",LEFT($AI668,4)&amp;MID($AI668,6,2)&amp;RIGHT($AI668,2)&amp;$AJ668&amp;"|"&amp;"3"&amp;RIGHT("00000"&amp;663,5))</f>
        <v/>
      </c>
      <c r="AL668">
        <f>IF($AK668="","",COUNTIFS(LdAParty,$AE668,LdAType,1,LdAKey,"&lt;"&amp;$AK668)+COUNTIFS(LdBMember,$AE668,LdBKey,"&lt;"&amp;$AK668)+COUNTIFS(LdCParty,$AE668,LdCKey,"&lt;"&amp;$AK668)+1)</f>
        <v/>
      </c>
      <c r="AM668">
        <f>IF($AL668="","",$AE668&amp;"|"&amp;RIGHT("000000"&amp;$AL668,6))</f>
        <v/>
      </c>
      <c r="AN668">
        <f>IF($AE668="","",IF(Sync!$W668="",0,Sync!$W668))</f>
        <v/>
      </c>
      <c r="AO668">
        <f>IF($AE668="","",IF(Sync!$X668="",0,Sync!$X668))</f>
        <v/>
      </c>
      <c r="AP668">
        <f>IF($AE668="","",Sync!$R668)</f>
        <v/>
      </c>
      <c r="AQ668">
        <f>IF($AE668="","",Sync!$Y668)</f>
        <v/>
      </c>
    </row>
    <row r="669">
      <c r="A669">
        <f>IF(OR(Wages!$B672="",Wages!$E672=""),"",Wages!$E672)</f>
        <v/>
      </c>
      <c r="B669">
        <f>IF($A669="","",IF(Wages!$C672="دستمزد گروهی",2,1))</f>
        <v/>
      </c>
      <c r="C669">
        <f>IF($A669="","",IF(ISNUMBER(Wages!$B672),IF(AND(Wages!$B672&gt;=10000101,Wages!$B672&lt;=99991231),INT(Wages!$B672/10000),""),IFERROR(VALUE(TRIM(LEFT(Wages!$B672,FIND("/",Wages!$B672)-1))),"")))</f>
        <v/>
      </c>
      <c r="D669">
        <f>IF(OR($A669="",$C669=""),"",IF(ISNUMBER(Wages!$B672),INT(MOD(Wages!$B672,10000)/100),IFERROR(VALUE(TRIM(LEFT(MID(Wages!$B672,FIND("/",Wages!$B672)+1,20),FIND("/",MID(Wages!$B672,FIND("/",Wages!$B672)+1,20))-1))),"")))</f>
        <v/>
      </c>
      <c r="E669">
        <f>IF(OR($A669="",$C669=""),"",IF(ISNUMBER(Wages!$B672),MOD(Wages!$B672,100),IFERROR(VALUE(TRIM(MID(MID(Wages!$B672,FIND("/",Wages!$B672)+1,20),FIND("/",MID(Wages!$B672,FIND("/",Wages!$B672)+1,20))+1,20))),"")))</f>
        <v/>
      </c>
      <c r="F669">
        <f>IF($A669="","",IF(OR($C669="",$D669="",$E669="",$C669&lt;1300,$C669&gt;1500,$D669&lt;1,$D669&gt;12,$E669&lt;1,$E669&gt;31),"نامعتبر",RIGHT("0000"&amp;$C669,4)&amp;"/"&amp;RIGHT("00"&amp;$D669,2)&amp;"/"&amp;RIGHT("00"&amp;$E669,2)))</f>
        <v/>
      </c>
      <c r="G669">
        <f>IF(OR($A669="",$F669="",$F669="نامعتبر"),"",LEFT($F669,4)&amp;MID($F669,6,2)&amp;RIGHT($F669,2)&amp;"0000"&amp;"|"&amp;"1"&amp;RIGHT("00000"&amp;664,5))</f>
        <v/>
      </c>
      <c r="H669">
        <f>IF(OR($B669&lt;&gt;1,$G669=""),"",COUNTIFS(LdAParty,$A669,LdAType,1,LdAKey,"&lt;"&amp;$G669)+COUNTIFS(LdBMember,$A669,LdBKey,"&lt;"&amp;$G669)+COUNTIFS(LdCParty,$A669,LdCKey,"&lt;"&amp;$G669)+1)</f>
        <v/>
      </c>
      <c r="I669">
        <f>IF($H669="","",$A669&amp;"|"&amp;RIGHT("000000"&amp;$H669,6))</f>
        <v/>
      </c>
      <c r="J669">
        <f>IF(OR($B669&lt;&gt;2,$G669=""),"",COUNTIFS(LdAParty,$A669,LdAType,2,LdAKey,"&lt;"&amp;$G669)+1)</f>
        <v/>
      </c>
      <c r="K669">
        <f>IF($J669="","",$A669&amp;"|"&amp;RIGHT("000000"&amp;$J669,6))</f>
        <v/>
      </c>
      <c r="L669">
        <f>IF($A669="","",IF(Wages!$G672="",0,Wages!$G672))</f>
        <v/>
      </c>
      <c r="M669">
        <f>IF($A669="","",Wages!$J672)</f>
        <v/>
      </c>
      <c r="N669">
        <f>IF($A669="","",Wages!$D672)</f>
        <v/>
      </c>
      <c r="P669">
        <f>IF(OR(Shares!$B672="",Shares!$C672=""),"",Shares!$C672)</f>
        <v/>
      </c>
      <c r="Q669">
        <f>IF($P669="","",Shares!$B672)</f>
        <v/>
      </c>
      <c r="R669">
        <f>IF($P669="","",IFERROR(INDEX(WageParty,MATCH($Q669,WageIds,0)),""))</f>
        <v/>
      </c>
      <c r="S669">
        <f>IF($P669="","",IFERROR(INDEX($F$6:$F$2005,MATCH($Q669,WageIds,0)),""))</f>
        <v/>
      </c>
      <c r="T669">
        <f>IF(OR($P669="",$S669="",$S669="نامعتبر"),"",LEFT($S669,4)&amp;MID($S669,6,2)&amp;RIGHT($S669,2)&amp;"0000"&amp;"|"&amp;"2"&amp;RIGHT("00000"&amp;664,5))</f>
        <v/>
      </c>
      <c r="U669">
        <f>IF($T669="","",COUNTIFS(LdAParty,$P669,LdAType,1,LdAKey,"&lt;"&amp;$T669)+COUNTIFS(LdBMember,$P669,LdBKey,"&lt;"&amp;$T669)+COUNTIFS(LdCParty,$P669,LdCKey,"&lt;"&amp;$T669)+1)</f>
        <v/>
      </c>
      <c r="V669">
        <f>IF($U669="","",$P669&amp;"|"&amp;RIGHT("000000"&amp;$U669,6))</f>
        <v/>
      </c>
      <c r="W669">
        <f>IF($T669="","",COUNTIFS(LdBGroup,$R669,LdBKey,"&lt;"&amp;$T669)+1)</f>
        <v/>
      </c>
      <c r="X669">
        <f>IF($W669="","",$R669&amp;"|"&amp;RIGHT("000000"&amp;$W669,6))</f>
        <v/>
      </c>
      <c r="Y669">
        <f>IF($P669="","",IF(Shares!$E672="",0,Shares!$E672))</f>
        <v/>
      </c>
      <c r="Z669">
        <f>IF($P669="","",Shares!$H672)</f>
        <v/>
      </c>
      <c r="AE669">
        <f>IF(OR(Sync!$S669="",Sync!$P669=""),"",Sync!$S669)</f>
        <v/>
      </c>
      <c r="AF669">
        <f>IF($AE669="","",IF(ISNUMBER(Sync!$P669),IF(AND(Sync!$P669&gt;=10000101,Sync!$P669&lt;=99991231),INT(Sync!$P669/10000),""),IFERROR(VALUE(TRIM(LEFT(Sync!$P669,FIND("/",Sync!$P669)-1))),"")))</f>
        <v/>
      </c>
      <c r="AG669">
        <f>IF(OR($AE669="",$AF669=""),"",IF(ISNUMBER(Sync!$P669),INT(MOD(Sync!$P669,10000)/100),IFERROR(VALUE(TRIM(LEFT(MID(Sync!$P669,FIND("/",Sync!$P669)+1,20),FIND("/",MID(Sync!$P669,FIND("/",Sync!$P669)+1,20))-1))),"")))</f>
        <v/>
      </c>
      <c r="AH669">
        <f>IF(OR($AE669="",$AF669=""),"",IF(ISNUMBER(Sync!$P669),MOD(Sync!$P669,100),IFERROR(VALUE(TRIM(MID(MID(Sync!$P669,FIND("/",Sync!$P669)+1,20),FIND("/",MID(Sync!$P669,FIND("/",Sync!$P669)+1,20))+1,20))),"")))</f>
        <v/>
      </c>
      <c r="AI669">
        <f>IF($AE669="","",IF(OR($AF669="",$AG669="",$AH669="",$AF669&lt;1300,$AF669&gt;1500,$AG669&lt;1,$AG669&gt;12,$AH669&lt;1,$AH669&gt;31),"نامعتبر",RIGHT("0000"&amp;$AF669,4)&amp;"/"&amp;RIGHT("00"&amp;$AG669,2)&amp;"/"&amp;RIGHT("00"&amp;$AH669,2)))</f>
        <v/>
      </c>
      <c r="AJ669">
        <f>IF($AE669="","",IF(Sync!$Q669="","0000",IF(AND(ISNUMBER(Sync!$Q669),Sync!$Q669&gt;=0,Sync!$Q669&lt;1),RIGHT("00"&amp;HOUR(Sync!$Q669),2)&amp;RIGHT("00"&amp;MINUTE(Sync!$Q669),2),IFERROR(RIGHT("00"&amp;VALUE(LEFT(Sync!$Q669,FIND(":",Sync!$Q669)-1)),2)&amp;RIGHT("00"&amp;VALUE(MID(Sync!$Q669,FIND(":",Sync!$Q669)+1,2)),2),"0000"))))</f>
        <v/>
      </c>
      <c r="AK669">
        <f>IF(OR($AE669="",$AI669="",$AI669="نامعتبر"),"",LEFT($AI669,4)&amp;MID($AI669,6,2)&amp;RIGHT($AI669,2)&amp;$AJ669&amp;"|"&amp;"3"&amp;RIGHT("00000"&amp;664,5))</f>
        <v/>
      </c>
      <c r="AL669">
        <f>IF($AK669="","",COUNTIFS(LdAParty,$AE669,LdAType,1,LdAKey,"&lt;"&amp;$AK669)+COUNTIFS(LdBMember,$AE669,LdBKey,"&lt;"&amp;$AK669)+COUNTIFS(LdCParty,$AE669,LdCKey,"&lt;"&amp;$AK669)+1)</f>
        <v/>
      </c>
      <c r="AM669">
        <f>IF($AL669="","",$AE669&amp;"|"&amp;RIGHT("000000"&amp;$AL669,6))</f>
        <v/>
      </c>
      <c r="AN669">
        <f>IF($AE669="","",IF(Sync!$W669="",0,Sync!$W669))</f>
        <v/>
      </c>
      <c r="AO669">
        <f>IF($AE669="","",IF(Sync!$X669="",0,Sync!$X669))</f>
        <v/>
      </c>
      <c r="AP669">
        <f>IF($AE669="","",Sync!$R669)</f>
        <v/>
      </c>
      <c r="AQ669">
        <f>IF($AE669="","",Sync!$Y669)</f>
        <v/>
      </c>
    </row>
    <row r="670">
      <c r="A670">
        <f>IF(OR(Wages!$B673="",Wages!$E673=""),"",Wages!$E673)</f>
        <v/>
      </c>
      <c r="B670">
        <f>IF($A670="","",IF(Wages!$C673="دستمزد گروهی",2,1))</f>
        <v/>
      </c>
      <c r="C670">
        <f>IF($A670="","",IF(ISNUMBER(Wages!$B673),IF(AND(Wages!$B673&gt;=10000101,Wages!$B673&lt;=99991231),INT(Wages!$B673/10000),""),IFERROR(VALUE(TRIM(LEFT(Wages!$B673,FIND("/",Wages!$B673)-1))),"")))</f>
        <v/>
      </c>
      <c r="D670">
        <f>IF(OR($A670="",$C670=""),"",IF(ISNUMBER(Wages!$B673),INT(MOD(Wages!$B673,10000)/100),IFERROR(VALUE(TRIM(LEFT(MID(Wages!$B673,FIND("/",Wages!$B673)+1,20),FIND("/",MID(Wages!$B673,FIND("/",Wages!$B673)+1,20))-1))),"")))</f>
        <v/>
      </c>
      <c r="E670">
        <f>IF(OR($A670="",$C670=""),"",IF(ISNUMBER(Wages!$B673),MOD(Wages!$B673,100),IFERROR(VALUE(TRIM(MID(MID(Wages!$B673,FIND("/",Wages!$B673)+1,20),FIND("/",MID(Wages!$B673,FIND("/",Wages!$B673)+1,20))+1,20))),"")))</f>
        <v/>
      </c>
      <c r="F670">
        <f>IF($A670="","",IF(OR($C670="",$D670="",$E670="",$C670&lt;1300,$C670&gt;1500,$D670&lt;1,$D670&gt;12,$E670&lt;1,$E670&gt;31),"نامعتبر",RIGHT("0000"&amp;$C670,4)&amp;"/"&amp;RIGHT("00"&amp;$D670,2)&amp;"/"&amp;RIGHT("00"&amp;$E670,2)))</f>
        <v/>
      </c>
      <c r="G670">
        <f>IF(OR($A670="",$F670="",$F670="نامعتبر"),"",LEFT($F670,4)&amp;MID($F670,6,2)&amp;RIGHT($F670,2)&amp;"0000"&amp;"|"&amp;"1"&amp;RIGHT("00000"&amp;665,5))</f>
        <v/>
      </c>
      <c r="H670">
        <f>IF(OR($B670&lt;&gt;1,$G670=""),"",COUNTIFS(LdAParty,$A670,LdAType,1,LdAKey,"&lt;"&amp;$G670)+COUNTIFS(LdBMember,$A670,LdBKey,"&lt;"&amp;$G670)+COUNTIFS(LdCParty,$A670,LdCKey,"&lt;"&amp;$G670)+1)</f>
        <v/>
      </c>
      <c r="I670">
        <f>IF($H670="","",$A670&amp;"|"&amp;RIGHT("000000"&amp;$H670,6))</f>
        <v/>
      </c>
      <c r="J670">
        <f>IF(OR($B670&lt;&gt;2,$G670=""),"",COUNTIFS(LdAParty,$A670,LdAType,2,LdAKey,"&lt;"&amp;$G670)+1)</f>
        <v/>
      </c>
      <c r="K670">
        <f>IF($J670="","",$A670&amp;"|"&amp;RIGHT("000000"&amp;$J670,6))</f>
        <v/>
      </c>
      <c r="L670">
        <f>IF($A670="","",IF(Wages!$G673="",0,Wages!$G673))</f>
        <v/>
      </c>
      <c r="M670">
        <f>IF($A670="","",Wages!$J673)</f>
        <v/>
      </c>
      <c r="N670">
        <f>IF($A670="","",Wages!$D673)</f>
        <v/>
      </c>
      <c r="P670">
        <f>IF(OR(Shares!$B673="",Shares!$C673=""),"",Shares!$C673)</f>
        <v/>
      </c>
      <c r="Q670">
        <f>IF($P670="","",Shares!$B673)</f>
        <v/>
      </c>
      <c r="R670">
        <f>IF($P670="","",IFERROR(INDEX(WageParty,MATCH($Q670,WageIds,0)),""))</f>
        <v/>
      </c>
      <c r="S670">
        <f>IF($P670="","",IFERROR(INDEX($F$6:$F$2005,MATCH($Q670,WageIds,0)),""))</f>
        <v/>
      </c>
      <c r="T670">
        <f>IF(OR($P670="",$S670="",$S670="نامعتبر"),"",LEFT($S670,4)&amp;MID($S670,6,2)&amp;RIGHT($S670,2)&amp;"0000"&amp;"|"&amp;"2"&amp;RIGHT("00000"&amp;665,5))</f>
        <v/>
      </c>
      <c r="U670">
        <f>IF($T670="","",COUNTIFS(LdAParty,$P670,LdAType,1,LdAKey,"&lt;"&amp;$T670)+COUNTIFS(LdBMember,$P670,LdBKey,"&lt;"&amp;$T670)+COUNTIFS(LdCParty,$P670,LdCKey,"&lt;"&amp;$T670)+1)</f>
        <v/>
      </c>
      <c r="V670">
        <f>IF($U670="","",$P670&amp;"|"&amp;RIGHT("000000"&amp;$U670,6))</f>
        <v/>
      </c>
      <c r="W670">
        <f>IF($T670="","",COUNTIFS(LdBGroup,$R670,LdBKey,"&lt;"&amp;$T670)+1)</f>
        <v/>
      </c>
      <c r="X670">
        <f>IF($W670="","",$R670&amp;"|"&amp;RIGHT("000000"&amp;$W670,6))</f>
        <v/>
      </c>
      <c r="Y670">
        <f>IF($P670="","",IF(Shares!$E673="",0,Shares!$E673))</f>
        <v/>
      </c>
      <c r="Z670">
        <f>IF($P670="","",Shares!$H673)</f>
        <v/>
      </c>
      <c r="AE670">
        <f>IF(OR(Sync!$S670="",Sync!$P670=""),"",Sync!$S670)</f>
        <v/>
      </c>
      <c r="AF670">
        <f>IF($AE670="","",IF(ISNUMBER(Sync!$P670),IF(AND(Sync!$P670&gt;=10000101,Sync!$P670&lt;=99991231),INT(Sync!$P670/10000),""),IFERROR(VALUE(TRIM(LEFT(Sync!$P670,FIND("/",Sync!$P670)-1))),"")))</f>
        <v/>
      </c>
      <c r="AG670">
        <f>IF(OR($AE670="",$AF670=""),"",IF(ISNUMBER(Sync!$P670),INT(MOD(Sync!$P670,10000)/100),IFERROR(VALUE(TRIM(LEFT(MID(Sync!$P670,FIND("/",Sync!$P670)+1,20),FIND("/",MID(Sync!$P670,FIND("/",Sync!$P670)+1,20))-1))),"")))</f>
        <v/>
      </c>
      <c r="AH670">
        <f>IF(OR($AE670="",$AF670=""),"",IF(ISNUMBER(Sync!$P670),MOD(Sync!$P670,100),IFERROR(VALUE(TRIM(MID(MID(Sync!$P670,FIND("/",Sync!$P670)+1,20),FIND("/",MID(Sync!$P670,FIND("/",Sync!$P670)+1,20))+1,20))),"")))</f>
        <v/>
      </c>
      <c r="AI670">
        <f>IF($AE670="","",IF(OR($AF670="",$AG670="",$AH670="",$AF670&lt;1300,$AF670&gt;1500,$AG670&lt;1,$AG670&gt;12,$AH670&lt;1,$AH670&gt;31),"نامعتبر",RIGHT("0000"&amp;$AF670,4)&amp;"/"&amp;RIGHT("00"&amp;$AG670,2)&amp;"/"&amp;RIGHT("00"&amp;$AH670,2)))</f>
        <v/>
      </c>
      <c r="AJ670">
        <f>IF($AE670="","",IF(Sync!$Q670="","0000",IF(AND(ISNUMBER(Sync!$Q670),Sync!$Q670&gt;=0,Sync!$Q670&lt;1),RIGHT("00"&amp;HOUR(Sync!$Q670),2)&amp;RIGHT("00"&amp;MINUTE(Sync!$Q670),2),IFERROR(RIGHT("00"&amp;VALUE(LEFT(Sync!$Q670,FIND(":",Sync!$Q670)-1)),2)&amp;RIGHT("00"&amp;VALUE(MID(Sync!$Q670,FIND(":",Sync!$Q670)+1,2)),2),"0000"))))</f>
        <v/>
      </c>
      <c r="AK670">
        <f>IF(OR($AE670="",$AI670="",$AI670="نامعتبر"),"",LEFT($AI670,4)&amp;MID($AI670,6,2)&amp;RIGHT($AI670,2)&amp;$AJ670&amp;"|"&amp;"3"&amp;RIGHT("00000"&amp;665,5))</f>
        <v/>
      </c>
      <c r="AL670">
        <f>IF($AK670="","",COUNTIFS(LdAParty,$AE670,LdAType,1,LdAKey,"&lt;"&amp;$AK670)+COUNTIFS(LdBMember,$AE670,LdBKey,"&lt;"&amp;$AK670)+COUNTIFS(LdCParty,$AE670,LdCKey,"&lt;"&amp;$AK670)+1)</f>
        <v/>
      </c>
      <c r="AM670">
        <f>IF($AL670="","",$AE670&amp;"|"&amp;RIGHT("000000"&amp;$AL670,6))</f>
        <v/>
      </c>
      <c r="AN670">
        <f>IF($AE670="","",IF(Sync!$W670="",0,Sync!$W670))</f>
        <v/>
      </c>
      <c r="AO670">
        <f>IF($AE670="","",IF(Sync!$X670="",0,Sync!$X670))</f>
        <v/>
      </c>
      <c r="AP670">
        <f>IF($AE670="","",Sync!$R670)</f>
        <v/>
      </c>
      <c r="AQ670">
        <f>IF($AE670="","",Sync!$Y670)</f>
        <v/>
      </c>
    </row>
    <row r="671">
      <c r="A671">
        <f>IF(OR(Wages!$B674="",Wages!$E674=""),"",Wages!$E674)</f>
        <v/>
      </c>
      <c r="B671">
        <f>IF($A671="","",IF(Wages!$C674="دستمزد گروهی",2,1))</f>
        <v/>
      </c>
      <c r="C671">
        <f>IF($A671="","",IF(ISNUMBER(Wages!$B674),IF(AND(Wages!$B674&gt;=10000101,Wages!$B674&lt;=99991231),INT(Wages!$B674/10000),""),IFERROR(VALUE(TRIM(LEFT(Wages!$B674,FIND("/",Wages!$B674)-1))),"")))</f>
        <v/>
      </c>
      <c r="D671">
        <f>IF(OR($A671="",$C671=""),"",IF(ISNUMBER(Wages!$B674),INT(MOD(Wages!$B674,10000)/100),IFERROR(VALUE(TRIM(LEFT(MID(Wages!$B674,FIND("/",Wages!$B674)+1,20),FIND("/",MID(Wages!$B674,FIND("/",Wages!$B674)+1,20))-1))),"")))</f>
        <v/>
      </c>
      <c r="E671">
        <f>IF(OR($A671="",$C671=""),"",IF(ISNUMBER(Wages!$B674),MOD(Wages!$B674,100),IFERROR(VALUE(TRIM(MID(MID(Wages!$B674,FIND("/",Wages!$B674)+1,20),FIND("/",MID(Wages!$B674,FIND("/",Wages!$B674)+1,20))+1,20))),"")))</f>
        <v/>
      </c>
      <c r="F671">
        <f>IF($A671="","",IF(OR($C671="",$D671="",$E671="",$C671&lt;1300,$C671&gt;1500,$D671&lt;1,$D671&gt;12,$E671&lt;1,$E671&gt;31),"نامعتبر",RIGHT("0000"&amp;$C671,4)&amp;"/"&amp;RIGHT("00"&amp;$D671,2)&amp;"/"&amp;RIGHT("00"&amp;$E671,2)))</f>
        <v/>
      </c>
      <c r="G671">
        <f>IF(OR($A671="",$F671="",$F671="نامعتبر"),"",LEFT($F671,4)&amp;MID($F671,6,2)&amp;RIGHT($F671,2)&amp;"0000"&amp;"|"&amp;"1"&amp;RIGHT("00000"&amp;666,5))</f>
        <v/>
      </c>
      <c r="H671">
        <f>IF(OR($B671&lt;&gt;1,$G671=""),"",COUNTIFS(LdAParty,$A671,LdAType,1,LdAKey,"&lt;"&amp;$G671)+COUNTIFS(LdBMember,$A671,LdBKey,"&lt;"&amp;$G671)+COUNTIFS(LdCParty,$A671,LdCKey,"&lt;"&amp;$G671)+1)</f>
        <v/>
      </c>
      <c r="I671">
        <f>IF($H671="","",$A671&amp;"|"&amp;RIGHT("000000"&amp;$H671,6))</f>
        <v/>
      </c>
      <c r="J671">
        <f>IF(OR($B671&lt;&gt;2,$G671=""),"",COUNTIFS(LdAParty,$A671,LdAType,2,LdAKey,"&lt;"&amp;$G671)+1)</f>
        <v/>
      </c>
      <c r="K671">
        <f>IF($J671="","",$A671&amp;"|"&amp;RIGHT("000000"&amp;$J671,6))</f>
        <v/>
      </c>
      <c r="L671">
        <f>IF($A671="","",IF(Wages!$G674="",0,Wages!$G674))</f>
        <v/>
      </c>
      <c r="M671">
        <f>IF($A671="","",Wages!$J674)</f>
        <v/>
      </c>
      <c r="N671">
        <f>IF($A671="","",Wages!$D674)</f>
        <v/>
      </c>
      <c r="P671">
        <f>IF(OR(Shares!$B674="",Shares!$C674=""),"",Shares!$C674)</f>
        <v/>
      </c>
      <c r="Q671">
        <f>IF($P671="","",Shares!$B674)</f>
        <v/>
      </c>
      <c r="R671">
        <f>IF($P671="","",IFERROR(INDEX(WageParty,MATCH($Q671,WageIds,0)),""))</f>
        <v/>
      </c>
      <c r="S671">
        <f>IF($P671="","",IFERROR(INDEX($F$6:$F$2005,MATCH($Q671,WageIds,0)),""))</f>
        <v/>
      </c>
      <c r="T671">
        <f>IF(OR($P671="",$S671="",$S671="نامعتبر"),"",LEFT($S671,4)&amp;MID($S671,6,2)&amp;RIGHT($S671,2)&amp;"0000"&amp;"|"&amp;"2"&amp;RIGHT("00000"&amp;666,5))</f>
        <v/>
      </c>
      <c r="U671">
        <f>IF($T671="","",COUNTIFS(LdAParty,$P671,LdAType,1,LdAKey,"&lt;"&amp;$T671)+COUNTIFS(LdBMember,$P671,LdBKey,"&lt;"&amp;$T671)+COUNTIFS(LdCParty,$P671,LdCKey,"&lt;"&amp;$T671)+1)</f>
        <v/>
      </c>
      <c r="V671">
        <f>IF($U671="","",$P671&amp;"|"&amp;RIGHT("000000"&amp;$U671,6))</f>
        <v/>
      </c>
      <c r="W671">
        <f>IF($T671="","",COUNTIFS(LdBGroup,$R671,LdBKey,"&lt;"&amp;$T671)+1)</f>
        <v/>
      </c>
      <c r="X671">
        <f>IF($W671="","",$R671&amp;"|"&amp;RIGHT("000000"&amp;$W671,6))</f>
        <v/>
      </c>
      <c r="Y671">
        <f>IF($P671="","",IF(Shares!$E674="",0,Shares!$E674))</f>
        <v/>
      </c>
      <c r="Z671">
        <f>IF($P671="","",Shares!$H674)</f>
        <v/>
      </c>
      <c r="AE671">
        <f>IF(OR(Sync!$S671="",Sync!$P671=""),"",Sync!$S671)</f>
        <v/>
      </c>
      <c r="AF671">
        <f>IF($AE671="","",IF(ISNUMBER(Sync!$P671),IF(AND(Sync!$P671&gt;=10000101,Sync!$P671&lt;=99991231),INT(Sync!$P671/10000),""),IFERROR(VALUE(TRIM(LEFT(Sync!$P671,FIND("/",Sync!$P671)-1))),"")))</f>
        <v/>
      </c>
      <c r="AG671">
        <f>IF(OR($AE671="",$AF671=""),"",IF(ISNUMBER(Sync!$P671),INT(MOD(Sync!$P671,10000)/100),IFERROR(VALUE(TRIM(LEFT(MID(Sync!$P671,FIND("/",Sync!$P671)+1,20),FIND("/",MID(Sync!$P671,FIND("/",Sync!$P671)+1,20))-1))),"")))</f>
        <v/>
      </c>
      <c r="AH671">
        <f>IF(OR($AE671="",$AF671=""),"",IF(ISNUMBER(Sync!$P671),MOD(Sync!$P671,100),IFERROR(VALUE(TRIM(MID(MID(Sync!$P671,FIND("/",Sync!$P671)+1,20),FIND("/",MID(Sync!$P671,FIND("/",Sync!$P671)+1,20))+1,20))),"")))</f>
        <v/>
      </c>
      <c r="AI671">
        <f>IF($AE671="","",IF(OR($AF671="",$AG671="",$AH671="",$AF671&lt;1300,$AF671&gt;1500,$AG671&lt;1,$AG671&gt;12,$AH671&lt;1,$AH671&gt;31),"نامعتبر",RIGHT("0000"&amp;$AF671,4)&amp;"/"&amp;RIGHT("00"&amp;$AG671,2)&amp;"/"&amp;RIGHT("00"&amp;$AH671,2)))</f>
        <v/>
      </c>
      <c r="AJ671">
        <f>IF($AE671="","",IF(Sync!$Q671="","0000",IF(AND(ISNUMBER(Sync!$Q671),Sync!$Q671&gt;=0,Sync!$Q671&lt;1),RIGHT("00"&amp;HOUR(Sync!$Q671),2)&amp;RIGHT("00"&amp;MINUTE(Sync!$Q671),2),IFERROR(RIGHT("00"&amp;VALUE(LEFT(Sync!$Q671,FIND(":",Sync!$Q671)-1)),2)&amp;RIGHT("00"&amp;VALUE(MID(Sync!$Q671,FIND(":",Sync!$Q671)+1,2)),2),"0000"))))</f>
        <v/>
      </c>
      <c r="AK671">
        <f>IF(OR($AE671="",$AI671="",$AI671="نامعتبر"),"",LEFT($AI671,4)&amp;MID($AI671,6,2)&amp;RIGHT($AI671,2)&amp;$AJ671&amp;"|"&amp;"3"&amp;RIGHT("00000"&amp;666,5))</f>
        <v/>
      </c>
      <c r="AL671">
        <f>IF($AK671="","",COUNTIFS(LdAParty,$AE671,LdAType,1,LdAKey,"&lt;"&amp;$AK671)+COUNTIFS(LdBMember,$AE671,LdBKey,"&lt;"&amp;$AK671)+COUNTIFS(LdCParty,$AE671,LdCKey,"&lt;"&amp;$AK671)+1)</f>
        <v/>
      </c>
      <c r="AM671">
        <f>IF($AL671="","",$AE671&amp;"|"&amp;RIGHT("000000"&amp;$AL671,6))</f>
        <v/>
      </c>
      <c r="AN671">
        <f>IF($AE671="","",IF(Sync!$W671="",0,Sync!$W671))</f>
        <v/>
      </c>
      <c r="AO671">
        <f>IF($AE671="","",IF(Sync!$X671="",0,Sync!$X671))</f>
        <v/>
      </c>
      <c r="AP671">
        <f>IF($AE671="","",Sync!$R671)</f>
        <v/>
      </c>
      <c r="AQ671">
        <f>IF($AE671="","",Sync!$Y671)</f>
        <v/>
      </c>
    </row>
    <row r="672">
      <c r="A672">
        <f>IF(OR(Wages!$B675="",Wages!$E675=""),"",Wages!$E675)</f>
        <v/>
      </c>
      <c r="B672">
        <f>IF($A672="","",IF(Wages!$C675="دستمزد گروهی",2,1))</f>
        <v/>
      </c>
      <c r="C672">
        <f>IF($A672="","",IF(ISNUMBER(Wages!$B675),IF(AND(Wages!$B675&gt;=10000101,Wages!$B675&lt;=99991231),INT(Wages!$B675/10000),""),IFERROR(VALUE(TRIM(LEFT(Wages!$B675,FIND("/",Wages!$B675)-1))),"")))</f>
        <v/>
      </c>
      <c r="D672">
        <f>IF(OR($A672="",$C672=""),"",IF(ISNUMBER(Wages!$B675),INT(MOD(Wages!$B675,10000)/100),IFERROR(VALUE(TRIM(LEFT(MID(Wages!$B675,FIND("/",Wages!$B675)+1,20),FIND("/",MID(Wages!$B675,FIND("/",Wages!$B675)+1,20))-1))),"")))</f>
        <v/>
      </c>
      <c r="E672">
        <f>IF(OR($A672="",$C672=""),"",IF(ISNUMBER(Wages!$B675),MOD(Wages!$B675,100),IFERROR(VALUE(TRIM(MID(MID(Wages!$B675,FIND("/",Wages!$B675)+1,20),FIND("/",MID(Wages!$B675,FIND("/",Wages!$B675)+1,20))+1,20))),"")))</f>
        <v/>
      </c>
      <c r="F672">
        <f>IF($A672="","",IF(OR($C672="",$D672="",$E672="",$C672&lt;1300,$C672&gt;1500,$D672&lt;1,$D672&gt;12,$E672&lt;1,$E672&gt;31),"نامعتبر",RIGHT("0000"&amp;$C672,4)&amp;"/"&amp;RIGHT("00"&amp;$D672,2)&amp;"/"&amp;RIGHT("00"&amp;$E672,2)))</f>
        <v/>
      </c>
      <c r="G672">
        <f>IF(OR($A672="",$F672="",$F672="نامعتبر"),"",LEFT($F672,4)&amp;MID($F672,6,2)&amp;RIGHT($F672,2)&amp;"0000"&amp;"|"&amp;"1"&amp;RIGHT("00000"&amp;667,5))</f>
        <v/>
      </c>
      <c r="H672">
        <f>IF(OR($B672&lt;&gt;1,$G672=""),"",COUNTIFS(LdAParty,$A672,LdAType,1,LdAKey,"&lt;"&amp;$G672)+COUNTIFS(LdBMember,$A672,LdBKey,"&lt;"&amp;$G672)+COUNTIFS(LdCParty,$A672,LdCKey,"&lt;"&amp;$G672)+1)</f>
        <v/>
      </c>
      <c r="I672">
        <f>IF($H672="","",$A672&amp;"|"&amp;RIGHT("000000"&amp;$H672,6))</f>
        <v/>
      </c>
      <c r="J672">
        <f>IF(OR($B672&lt;&gt;2,$G672=""),"",COUNTIFS(LdAParty,$A672,LdAType,2,LdAKey,"&lt;"&amp;$G672)+1)</f>
        <v/>
      </c>
      <c r="K672">
        <f>IF($J672="","",$A672&amp;"|"&amp;RIGHT("000000"&amp;$J672,6))</f>
        <v/>
      </c>
      <c r="L672">
        <f>IF($A672="","",IF(Wages!$G675="",0,Wages!$G675))</f>
        <v/>
      </c>
      <c r="M672">
        <f>IF($A672="","",Wages!$J675)</f>
        <v/>
      </c>
      <c r="N672">
        <f>IF($A672="","",Wages!$D675)</f>
        <v/>
      </c>
      <c r="P672">
        <f>IF(OR(Shares!$B675="",Shares!$C675=""),"",Shares!$C675)</f>
        <v/>
      </c>
      <c r="Q672">
        <f>IF($P672="","",Shares!$B675)</f>
        <v/>
      </c>
      <c r="R672">
        <f>IF($P672="","",IFERROR(INDEX(WageParty,MATCH($Q672,WageIds,0)),""))</f>
        <v/>
      </c>
      <c r="S672">
        <f>IF($P672="","",IFERROR(INDEX($F$6:$F$2005,MATCH($Q672,WageIds,0)),""))</f>
        <v/>
      </c>
      <c r="T672">
        <f>IF(OR($P672="",$S672="",$S672="نامعتبر"),"",LEFT($S672,4)&amp;MID($S672,6,2)&amp;RIGHT($S672,2)&amp;"0000"&amp;"|"&amp;"2"&amp;RIGHT("00000"&amp;667,5))</f>
        <v/>
      </c>
      <c r="U672">
        <f>IF($T672="","",COUNTIFS(LdAParty,$P672,LdAType,1,LdAKey,"&lt;"&amp;$T672)+COUNTIFS(LdBMember,$P672,LdBKey,"&lt;"&amp;$T672)+COUNTIFS(LdCParty,$P672,LdCKey,"&lt;"&amp;$T672)+1)</f>
        <v/>
      </c>
      <c r="V672">
        <f>IF($U672="","",$P672&amp;"|"&amp;RIGHT("000000"&amp;$U672,6))</f>
        <v/>
      </c>
      <c r="W672">
        <f>IF($T672="","",COUNTIFS(LdBGroup,$R672,LdBKey,"&lt;"&amp;$T672)+1)</f>
        <v/>
      </c>
      <c r="X672">
        <f>IF($W672="","",$R672&amp;"|"&amp;RIGHT("000000"&amp;$W672,6))</f>
        <v/>
      </c>
      <c r="Y672">
        <f>IF($P672="","",IF(Shares!$E675="",0,Shares!$E675))</f>
        <v/>
      </c>
      <c r="Z672">
        <f>IF($P672="","",Shares!$H675)</f>
        <v/>
      </c>
      <c r="AE672">
        <f>IF(OR(Sync!$S672="",Sync!$P672=""),"",Sync!$S672)</f>
        <v/>
      </c>
      <c r="AF672">
        <f>IF($AE672="","",IF(ISNUMBER(Sync!$P672),IF(AND(Sync!$P672&gt;=10000101,Sync!$P672&lt;=99991231),INT(Sync!$P672/10000),""),IFERROR(VALUE(TRIM(LEFT(Sync!$P672,FIND("/",Sync!$P672)-1))),"")))</f>
        <v/>
      </c>
      <c r="AG672">
        <f>IF(OR($AE672="",$AF672=""),"",IF(ISNUMBER(Sync!$P672),INT(MOD(Sync!$P672,10000)/100),IFERROR(VALUE(TRIM(LEFT(MID(Sync!$P672,FIND("/",Sync!$P672)+1,20),FIND("/",MID(Sync!$P672,FIND("/",Sync!$P672)+1,20))-1))),"")))</f>
        <v/>
      </c>
      <c r="AH672">
        <f>IF(OR($AE672="",$AF672=""),"",IF(ISNUMBER(Sync!$P672),MOD(Sync!$P672,100),IFERROR(VALUE(TRIM(MID(MID(Sync!$P672,FIND("/",Sync!$P672)+1,20),FIND("/",MID(Sync!$P672,FIND("/",Sync!$P672)+1,20))+1,20))),"")))</f>
        <v/>
      </c>
      <c r="AI672">
        <f>IF($AE672="","",IF(OR($AF672="",$AG672="",$AH672="",$AF672&lt;1300,$AF672&gt;1500,$AG672&lt;1,$AG672&gt;12,$AH672&lt;1,$AH672&gt;31),"نامعتبر",RIGHT("0000"&amp;$AF672,4)&amp;"/"&amp;RIGHT("00"&amp;$AG672,2)&amp;"/"&amp;RIGHT("00"&amp;$AH672,2)))</f>
        <v/>
      </c>
      <c r="AJ672">
        <f>IF($AE672="","",IF(Sync!$Q672="","0000",IF(AND(ISNUMBER(Sync!$Q672),Sync!$Q672&gt;=0,Sync!$Q672&lt;1),RIGHT("00"&amp;HOUR(Sync!$Q672),2)&amp;RIGHT("00"&amp;MINUTE(Sync!$Q672),2),IFERROR(RIGHT("00"&amp;VALUE(LEFT(Sync!$Q672,FIND(":",Sync!$Q672)-1)),2)&amp;RIGHT("00"&amp;VALUE(MID(Sync!$Q672,FIND(":",Sync!$Q672)+1,2)),2),"0000"))))</f>
        <v/>
      </c>
      <c r="AK672">
        <f>IF(OR($AE672="",$AI672="",$AI672="نامعتبر"),"",LEFT($AI672,4)&amp;MID($AI672,6,2)&amp;RIGHT($AI672,2)&amp;$AJ672&amp;"|"&amp;"3"&amp;RIGHT("00000"&amp;667,5))</f>
        <v/>
      </c>
      <c r="AL672">
        <f>IF($AK672="","",COUNTIFS(LdAParty,$AE672,LdAType,1,LdAKey,"&lt;"&amp;$AK672)+COUNTIFS(LdBMember,$AE672,LdBKey,"&lt;"&amp;$AK672)+COUNTIFS(LdCParty,$AE672,LdCKey,"&lt;"&amp;$AK672)+1)</f>
        <v/>
      </c>
      <c r="AM672">
        <f>IF($AL672="","",$AE672&amp;"|"&amp;RIGHT("000000"&amp;$AL672,6))</f>
        <v/>
      </c>
      <c r="AN672">
        <f>IF($AE672="","",IF(Sync!$W672="",0,Sync!$W672))</f>
        <v/>
      </c>
      <c r="AO672">
        <f>IF($AE672="","",IF(Sync!$X672="",0,Sync!$X672))</f>
        <v/>
      </c>
      <c r="AP672">
        <f>IF($AE672="","",Sync!$R672)</f>
        <v/>
      </c>
      <c r="AQ672">
        <f>IF($AE672="","",Sync!$Y672)</f>
        <v/>
      </c>
    </row>
    <row r="673">
      <c r="A673">
        <f>IF(OR(Wages!$B676="",Wages!$E676=""),"",Wages!$E676)</f>
        <v/>
      </c>
      <c r="B673">
        <f>IF($A673="","",IF(Wages!$C676="دستمزد گروهی",2,1))</f>
        <v/>
      </c>
      <c r="C673">
        <f>IF($A673="","",IF(ISNUMBER(Wages!$B676),IF(AND(Wages!$B676&gt;=10000101,Wages!$B676&lt;=99991231),INT(Wages!$B676/10000),""),IFERROR(VALUE(TRIM(LEFT(Wages!$B676,FIND("/",Wages!$B676)-1))),"")))</f>
        <v/>
      </c>
      <c r="D673">
        <f>IF(OR($A673="",$C673=""),"",IF(ISNUMBER(Wages!$B676),INT(MOD(Wages!$B676,10000)/100),IFERROR(VALUE(TRIM(LEFT(MID(Wages!$B676,FIND("/",Wages!$B676)+1,20),FIND("/",MID(Wages!$B676,FIND("/",Wages!$B676)+1,20))-1))),"")))</f>
        <v/>
      </c>
      <c r="E673">
        <f>IF(OR($A673="",$C673=""),"",IF(ISNUMBER(Wages!$B676),MOD(Wages!$B676,100),IFERROR(VALUE(TRIM(MID(MID(Wages!$B676,FIND("/",Wages!$B676)+1,20),FIND("/",MID(Wages!$B676,FIND("/",Wages!$B676)+1,20))+1,20))),"")))</f>
        <v/>
      </c>
      <c r="F673">
        <f>IF($A673="","",IF(OR($C673="",$D673="",$E673="",$C673&lt;1300,$C673&gt;1500,$D673&lt;1,$D673&gt;12,$E673&lt;1,$E673&gt;31),"نامعتبر",RIGHT("0000"&amp;$C673,4)&amp;"/"&amp;RIGHT("00"&amp;$D673,2)&amp;"/"&amp;RIGHT("00"&amp;$E673,2)))</f>
        <v/>
      </c>
      <c r="G673">
        <f>IF(OR($A673="",$F673="",$F673="نامعتبر"),"",LEFT($F673,4)&amp;MID($F673,6,2)&amp;RIGHT($F673,2)&amp;"0000"&amp;"|"&amp;"1"&amp;RIGHT("00000"&amp;668,5))</f>
        <v/>
      </c>
      <c r="H673">
        <f>IF(OR($B673&lt;&gt;1,$G673=""),"",COUNTIFS(LdAParty,$A673,LdAType,1,LdAKey,"&lt;"&amp;$G673)+COUNTIFS(LdBMember,$A673,LdBKey,"&lt;"&amp;$G673)+COUNTIFS(LdCParty,$A673,LdCKey,"&lt;"&amp;$G673)+1)</f>
        <v/>
      </c>
      <c r="I673">
        <f>IF($H673="","",$A673&amp;"|"&amp;RIGHT("000000"&amp;$H673,6))</f>
        <v/>
      </c>
      <c r="J673">
        <f>IF(OR($B673&lt;&gt;2,$G673=""),"",COUNTIFS(LdAParty,$A673,LdAType,2,LdAKey,"&lt;"&amp;$G673)+1)</f>
        <v/>
      </c>
      <c r="K673">
        <f>IF($J673="","",$A673&amp;"|"&amp;RIGHT("000000"&amp;$J673,6))</f>
        <v/>
      </c>
      <c r="L673">
        <f>IF($A673="","",IF(Wages!$G676="",0,Wages!$G676))</f>
        <v/>
      </c>
      <c r="M673">
        <f>IF($A673="","",Wages!$J676)</f>
        <v/>
      </c>
      <c r="N673">
        <f>IF($A673="","",Wages!$D676)</f>
        <v/>
      </c>
      <c r="P673">
        <f>IF(OR(Shares!$B676="",Shares!$C676=""),"",Shares!$C676)</f>
        <v/>
      </c>
      <c r="Q673">
        <f>IF($P673="","",Shares!$B676)</f>
        <v/>
      </c>
      <c r="R673">
        <f>IF($P673="","",IFERROR(INDEX(WageParty,MATCH($Q673,WageIds,0)),""))</f>
        <v/>
      </c>
      <c r="S673">
        <f>IF($P673="","",IFERROR(INDEX($F$6:$F$2005,MATCH($Q673,WageIds,0)),""))</f>
        <v/>
      </c>
      <c r="T673">
        <f>IF(OR($P673="",$S673="",$S673="نامعتبر"),"",LEFT($S673,4)&amp;MID($S673,6,2)&amp;RIGHT($S673,2)&amp;"0000"&amp;"|"&amp;"2"&amp;RIGHT("00000"&amp;668,5))</f>
        <v/>
      </c>
      <c r="U673">
        <f>IF($T673="","",COUNTIFS(LdAParty,$P673,LdAType,1,LdAKey,"&lt;"&amp;$T673)+COUNTIFS(LdBMember,$P673,LdBKey,"&lt;"&amp;$T673)+COUNTIFS(LdCParty,$P673,LdCKey,"&lt;"&amp;$T673)+1)</f>
        <v/>
      </c>
      <c r="V673">
        <f>IF($U673="","",$P673&amp;"|"&amp;RIGHT("000000"&amp;$U673,6))</f>
        <v/>
      </c>
      <c r="W673">
        <f>IF($T673="","",COUNTIFS(LdBGroup,$R673,LdBKey,"&lt;"&amp;$T673)+1)</f>
        <v/>
      </c>
      <c r="X673">
        <f>IF($W673="","",$R673&amp;"|"&amp;RIGHT("000000"&amp;$W673,6))</f>
        <v/>
      </c>
      <c r="Y673">
        <f>IF($P673="","",IF(Shares!$E676="",0,Shares!$E676))</f>
        <v/>
      </c>
      <c r="Z673">
        <f>IF($P673="","",Shares!$H676)</f>
        <v/>
      </c>
      <c r="AE673">
        <f>IF(OR(Sync!$S673="",Sync!$P673=""),"",Sync!$S673)</f>
        <v/>
      </c>
      <c r="AF673">
        <f>IF($AE673="","",IF(ISNUMBER(Sync!$P673),IF(AND(Sync!$P673&gt;=10000101,Sync!$P673&lt;=99991231),INT(Sync!$P673/10000),""),IFERROR(VALUE(TRIM(LEFT(Sync!$P673,FIND("/",Sync!$P673)-1))),"")))</f>
        <v/>
      </c>
      <c r="AG673">
        <f>IF(OR($AE673="",$AF673=""),"",IF(ISNUMBER(Sync!$P673),INT(MOD(Sync!$P673,10000)/100),IFERROR(VALUE(TRIM(LEFT(MID(Sync!$P673,FIND("/",Sync!$P673)+1,20),FIND("/",MID(Sync!$P673,FIND("/",Sync!$P673)+1,20))-1))),"")))</f>
        <v/>
      </c>
      <c r="AH673">
        <f>IF(OR($AE673="",$AF673=""),"",IF(ISNUMBER(Sync!$P673),MOD(Sync!$P673,100),IFERROR(VALUE(TRIM(MID(MID(Sync!$P673,FIND("/",Sync!$P673)+1,20),FIND("/",MID(Sync!$P673,FIND("/",Sync!$P673)+1,20))+1,20))),"")))</f>
        <v/>
      </c>
      <c r="AI673">
        <f>IF($AE673="","",IF(OR($AF673="",$AG673="",$AH673="",$AF673&lt;1300,$AF673&gt;1500,$AG673&lt;1,$AG673&gt;12,$AH673&lt;1,$AH673&gt;31),"نامعتبر",RIGHT("0000"&amp;$AF673,4)&amp;"/"&amp;RIGHT("00"&amp;$AG673,2)&amp;"/"&amp;RIGHT("00"&amp;$AH673,2)))</f>
        <v/>
      </c>
      <c r="AJ673">
        <f>IF($AE673="","",IF(Sync!$Q673="","0000",IF(AND(ISNUMBER(Sync!$Q673),Sync!$Q673&gt;=0,Sync!$Q673&lt;1),RIGHT("00"&amp;HOUR(Sync!$Q673),2)&amp;RIGHT("00"&amp;MINUTE(Sync!$Q673),2),IFERROR(RIGHT("00"&amp;VALUE(LEFT(Sync!$Q673,FIND(":",Sync!$Q673)-1)),2)&amp;RIGHT("00"&amp;VALUE(MID(Sync!$Q673,FIND(":",Sync!$Q673)+1,2)),2),"0000"))))</f>
        <v/>
      </c>
      <c r="AK673">
        <f>IF(OR($AE673="",$AI673="",$AI673="نامعتبر"),"",LEFT($AI673,4)&amp;MID($AI673,6,2)&amp;RIGHT($AI673,2)&amp;$AJ673&amp;"|"&amp;"3"&amp;RIGHT("00000"&amp;668,5))</f>
        <v/>
      </c>
      <c r="AL673">
        <f>IF($AK673="","",COUNTIFS(LdAParty,$AE673,LdAType,1,LdAKey,"&lt;"&amp;$AK673)+COUNTIFS(LdBMember,$AE673,LdBKey,"&lt;"&amp;$AK673)+COUNTIFS(LdCParty,$AE673,LdCKey,"&lt;"&amp;$AK673)+1)</f>
        <v/>
      </c>
      <c r="AM673">
        <f>IF($AL673="","",$AE673&amp;"|"&amp;RIGHT("000000"&amp;$AL673,6))</f>
        <v/>
      </c>
      <c r="AN673">
        <f>IF($AE673="","",IF(Sync!$W673="",0,Sync!$W673))</f>
        <v/>
      </c>
      <c r="AO673">
        <f>IF($AE673="","",IF(Sync!$X673="",0,Sync!$X673))</f>
        <v/>
      </c>
      <c r="AP673">
        <f>IF($AE673="","",Sync!$R673)</f>
        <v/>
      </c>
      <c r="AQ673">
        <f>IF($AE673="","",Sync!$Y673)</f>
        <v/>
      </c>
    </row>
    <row r="674">
      <c r="A674">
        <f>IF(OR(Wages!$B677="",Wages!$E677=""),"",Wages!$E677)</f>
        <v/>
      </c>
      <c r="B674">
        <f>IF($A674="","",IF(Wages!$C677="دستمزد گروهی",2,1))</f>
        <v/>
      </c>
      <c r="C674">
        <f>IF($A674="","",IF(ISNUMBER(Wages!$B677),IF(AND(Wages!$B677&gt;=10000101,Wages!$B677&lt;=99991231),INT(Wages!$B677/10000),""),IFERROR(VALUE(TRIM(LEFT(Wages!$B677,FIND("/",Wages!$B677)-1))),"")))</f>
        <v/>
      </c>
      <c r="D674">
        <f>IF(OR($A674="",$C674=""),"",IF(ISNUMBER(Wages!$B677),INT(MOD(Wages!$B677,10000)/100),IFERROR(VALUE(TRIM(LEFT(MID(Wages!$B677,FIND("/",Wages!$B677)+1,20),FIND("/",MID(Wages!$B677,FIND("/",Wages!$B677)+1,20))-1))),"")))</f>
        <v/>
      </c>
      <c r="E674">
        <f>IF(OR($A674="",$C674=""),"",IF(ISNUMBER(Wages!$B677),MOD(Wages!$B677,100),IFERROR(VALUE(TRIM(MID(MID(Wages!$B677,FIND("/",Wages!$B677)+1,20),FIND("/",MID(Wages!$B677,FIND("/",Wages!$B677)+1,20))+1,20))),"")))</f>
        <v/>
      </c>
      <c r="F674">
        <f>IF($A674="","",IF(OR($C674="",$D674="",$E674="",$C674&lt;1300,$C674&gt;1500,$D674&lt;1,$D674&gt;12,$E674&lt;1,$E674&gt;31),"نامعتبر",RIGHT("0000"&amp;$C674,4)&amp;"/"&amp;RIGHT("00"&amp;$D674,2)&amp;"/"&amp;RIGHT("00"&amp;$E674,2)))</f>
        <v/>
      </c>
      <c r="G674">
        <f>IF(OR($A674="",$F674="",$F674="نامعتبر"),"",LEFT($F674,4)&amp;MID($F674,6,2)&amp;RIGHT($F674,2)&amp;"0000"&amp;"|"&amp;"1"&amp;RIGHT("00000"&amp;669,5))</f>
        <v/>
      </c>
      <c r="H674">
        <f>IF(OR($B674&lt;&gt;1,$G674=""),"",COUNTIFS(LdAParty,$A674,LdAType,1,LdAKey,"&lt;"&amp;$G674)+COUNTIFS(LdBMember,$A674,LdBKey,"&lt;"&amp;$G674)+COUNTIFS(LdCParty,$A674,LdCKey,"&lt;"&amp;$G674)+1)</f>
        <v/>
      </c>
      <c r="I674">
        <f>IF($H674="","",$A674&amp;"|"&amp;RIGHT("000000"&amp;$H674,6))</f>
        <v/>
      </c>
      <c r="J674">
        <f>IF(OR($B674&lt;&gt;2,$G674=""),"",COUNTIFS(LdAParty,$A674,LdAType,2,LdAKey,"&lt;"&amp;$G674)+1)</f>
        <v/>
      </c>
      <c r="K674">
        <f>IF($J674="","",$A674&amp;"|"&amp;RIGHT("000000"&amp;$J674,6))</f>
        <v/>
      </c>
      <c r="L674">
        <f>IF($A674="","",IF(Wages!$G677="",0,Wages!$G677))</f>
        <v/>
      </c>
      <c r="M674">
        <f>IF($A674="","",Wages!$J677)</f>
        <v/>
      </c>
      <c r="N674">
        <f>IF($A674="","",Wages!$D677)</f>
        <v/>
      </c>
      <c r="P674">
        <f>IF(OR(Shares!$B677="",Shares!$C677=""),"",Shares!$C677)</f>
        <v/>
      </c>
      <c r="Q674">
        <f>IF($P674="","",Shares!$B677)</f>
        <v/>
      </c>
      <c r="R674">
        <f>IF($P674="","",IFERROR(INDEX(WageParty,MATCH($Q674,WageIds,0)),""))</f>
        <v/>
      </c>
      <c r="S674">
        <f>IF($P674="","",IFERROR(INDEX($F$6:$F$2005,MATCH($Q674,WageIds,0)),""))</f>
        <v/>
      </c>
      <c r="T674">
        <f>IF(OR($P674="",$S674="",$S674="نامعتبر"),"",LEFT($S674,4)&amp;MID($S674,6,2)&amp;RIGHT($S674,2)&amp;"0000"&amp;"|"&amp;"2"&amp;RIGHT("00000"&amp;669,5))</f>
        <v/>
      </c>
      <c r="U674">
        <f>IF($T674="","",COUNTIFS(LdAParty,$P674,LdAType,1,LdAKey,"&lt;"&amp;$T674)+COUNTIFS(LdBMember,$P674,LdBKey,"&lt;"&amp;$T674)+COUNTIFS(LdCParty,$P674,LdCKey,"&lt;"&amp;$T674)+1)</f>
        <v/>
      </c>
      <c r="V674">
        <f>IF($U674="","",$P674&amp;"|"&amp;RIGHT("000000"&amp;$U674,6))</f>
        <v/>
      </c>
      <c r="W674">
        <f>IF($T674="","",COUNTIFS(LdBGroup,$R674,LdBKey,"&lt;"&amp;$T674)+1)</f>
        <v/>
      </c>
      <c r="X674">
        <f>IF($W674="","",$R674&amp;"|"&amp;RIGHT("000000"&amp;$W674,6))</f>
        <v/>
      </c>
      <c r="Y674">
        <f>IF($P674="","",IF(Shares!$E677="",0,Shares!$E677))</f>
        <v/>
      </c>
      <c r="Z674">
        <f>IF($P674="","",Shares!$H677)</f>
        <v/>
      </c>
      <c r="AE674">
        <f>IF(OR(Sync!$S674="",Sync!$P674=""),"",Sync!$S674)</f>
        <v/>
      </c>
      <c r="AF674">
        <f>IF($AE674="","",IF(ISNUMBER(Sync!$P674),IF(AND(Sync!$P674&gt;=10000101,Sync!$P674&lt;=99991231),INT(Sync!$P674/10000),""),IFERROR(VALUE(TRIM(LEFT(Sync!$P674,FIND("/",Sync!$P674)-1))),"")))</f>
        <v/>
      </c>
      <c r="AG674">
        <f>IF(OR($AE674="",$AF674=""),"",IF(ISNUMBER(Sync!$P674),INT(MOD(Sync!$P674,10000)/100),IFERROR(VALUE(TRIM(LEFT(MID(Sync!$P674,FIND("/",Sync!$P674)+1,20),FIND("/",MID(Sync!$P674,FIND("/",Sync!$P674)+1,20))-1))),"")))</f>
        <v/>
      </c>
      <c r="AH674">
        <f>IF(OR($AE674="",$AF674=""),"",IF(ISNUMBER(Sync!$P674),MOD(Sync!$P674,100),IFERROR(VALUE(TRIM(MID(MID(Sync!$P674,FIND("/",Sync!$P674)+1,20),FIND("/",MID(Sync!$P674,FIND("/",Sync!$P674)+1,20))+1,20))),"")))</f>
        <v/>
      </c>
      <c r="AI674">
        <f>IF($AE674="","",IF(OR($AF674="",$AG674="",$AH674="",$AF674&lt;1300,$AF674&gt;1500,$AG674&lt;1,$AG674&gt;12,$AH674&lt;1,$AH674&gt;31),"نامعتبر",RIGHT("0000"&amp;$AF674,4)&amp;"/"&amp;RIGHT("00"&amp;$AG674,2)&amp;"/"&amp;RIGHT("00"&amp;$AH674,2)))</f>
        <v/>
      </c>
      <c r="AJ674">
        <f>IF($AE674="","",IF(Sync!$Q674="","0000",IF(AND(ISNUMBER(Sync!$Q674),Sync!$Q674&gt;=0,Sync!$Q674&lt;1),RIGHT("00"&amp;HOUR(Sync!$Q674),2)&amp;RIGHT("00"&amp;MINUTE(Sync!$Q674),2),IFERROR(RIGHT("00"&amp;VALUE(LEFT(Sync!$Q674,FIND(":",Sync!$Q674)-1)),2)&amp;RIGHT("00"&amp;VALUE(MID(Sync!$Q674,FIND(":",Sync!$Q674)+1,2)),2),"0000"))))</f>
        <v/>
      </c>
      <c r="AK674">
        <f>IF(OR($AE674="",$AI674="",$AI674="نامعتبر"),"",LEFT($AI674,4)&amp;MID($AI674,6,2)&amp;RIGHT($AI674,2)&amp;$AJ674&amp;"|"&amp;"3"&amp;RIGHT("00000"&amp;669,5))</f>
        <v/>
      </c>
      <c r="AL674">
        <f>IF($AK674="","",COUNTIFS(LdAParty,$AE674,LdAType,1,LdAKey,"&lt;"&amp;$AK674)+COUNTIFS(LdBMember,$AE674,LdBKey,"&lt;"&amp;$AK674)+COUNTIFS(LdCParty,$AE674,LdCKey,"&lt;"&amp;$AK674)+1)</f>
        <v/>
      </c>
      <c r="AM674">
        <f>IF($AL674="","",$AE674&amp;"|"&amp;RIGHT("000000"&amp;$AL674,6))</f>
        <v/>
      </c>
      <c r="AN674">
        <f>IF($AE674="","",IF(Sync!$W674="",0,Sync!$W674))</f>
        <v/>
      </c>
      <c r="AO674">
        <f>IF($AE674="","",IF(Sync!$X674="",0,Sync!$X674))</f>
        <v/>
      </c>
      <c r="AP674">
        <f>IF($AE674="","",Sync!$R674)</f>
        <v/>
      </c>
      <c r="AQ674">
        <f>IF($AE674="","",Sync!$Y674)</f>
        <v/>
      </c>
    </row>
    <row r="675">
      <c r="A675">
        <f>IF(OR(Wages!$B678="",Wages!$E678=""),"",Wages!$E678)</f>
        <v/>
      </c>
      <c r="B675">
        <f>IF($A675="","",IF(Wages!$C678="دستمزد گروهی",2,1))</f>
        <v/>
      </c>
      <c r="C675">
        <f>IF($A675="","",IF(ISNUMBER(Wages!$B678),IF(AND(Wages!$B678&gt;=10000101,Wages!$B678&lt;=99991231),INT(Wages!$B678/10000),""),IFERROR(VALUE(TRIM(LEFT(Wages!$B678,FIND("/",Wages!$B678)-1))),"")))</f>
        <v/>
      </c>
      <c r="D675">
        <f>IF(OR($A675="",$C675=""),"",IF(ISNUMBER(Wages!$B678),INT(MOD(Wages!$B678,10000)/100),IFERROR(VALUE(TRIM(LEFT(MID(Wages!$B678,FIND("/",Wages!$B678)+1,20),FIND("/",MID(Wages!$B678,FIND("/",Wages!$B678)+1,20))-1))),"")))</f>
        <v/>
      </c>
      <c r="E675">
        <f>IF(OR($A675="",$C675=""),"",IF(ISNUMBER(Wages!$B678),MOD(Wages!$B678,100),IFERROR(VALUE(TRIM(MID(MID(Wages!$B678,FIND("/",Wages!$B678)+1,20),FIND("/",MID(Wages!$B678,FIND("/",Wages!$B678)+1,20))+1,20))),"")))</f>
        <v/>
      </c>
      <c r="F675">
        <f>IF($A675="","",IF(OR($C675="",$D675="",$E675="",$C675&lt;1300,$C675&gt;1500,$D675&lt;1,$D675&gt;12,$E675&lt;1,$E675&gt;31),"نامعتبر",RIGHT("0000"&amp;$C675,4)&amp;"/"&amp;RIGHT("00"&amp;$D675,2)&amp;"/"&amp;RIGHT("00"&amp;$E675,2)))</f>
        <v/>
      </c>
      <c r="G675">
        <f>IF(OR($A675="",$F675="",$F675="نامعتبر"),"",LEFT($F675,4)&amp;MID($F675,6,2)&amp;RIGHT($F675,2)&amp;"0000"&amp;"|"&amp;"1"&amp;RIGHT("00000"&amp;670,5))</f>
        <v/>
      </c>
      <c r="H675">
        <f>IF(OR($B675&lt;&gt;1,$G675=""),"",COUNTIFS(LdAParty,$A675,LdAType,1,LdAKey,"&lt;"&amp;$G675)+COUNTIFS(LdBMember,$A675,LdBKey,"&lt;"&amp;$G675)+COUNTIFS(LdCParty,$A675,LdCKey,"&lt;"&amp;$G675)+1)</f>
        <v/>
      </c>
      <c r="I675">
        <f>IF($H675="","",$A675&amp;"|"&amp;RIGHT("000000"&amp;$H675,6))</f>
        <v/>
      </c>
      <c r="J675">
        <f>IF(OR($B675&lt;&gt;2,$G675=""),"",COUNTIFS(LdAParty,$A675,LdAType,2,LdAKey,"&lt;"&amp;$G675)+1)</f>
        <v/>
      </c>
      <c r="K675">
        <f>IF($J675="","",$A675&amp;"|"&amp;RIGHT("000000"&amp;$J675,6))</f>
        <v/>
      </c>
      <c r="L675">
        <f>IF($A675="","",IF(Wages!$G678="",0,Wages!$G678))</f>
        <v/>
      </c>
      <c r="M675">
        <f>IF($A675="","",Wages!$J678)</f>
        <v/>
      </c>
      <c r="N675">
        <f>IF($A675="","",Wages!$D678)</f>
        <v/>
      </c>
      <c r="P675">
        <f>IF(OR(Shares!$B678="",Shares!$C678=""),"",Shares!$C678)</f>
        <v/>
      </c>
      <c r="Q675">
        <f>IF($P675="","",Shares!$B678)</f>
        <v/>
      </c>
      <c r="R675">
        <f>IF($P675="","",IFERROR(INDEX(WageParty,MATCH($Q675,WageIds,0)),""))</f>
        <v/>
      </c>
      <c r="S675">
        <f>IF($P675="","",IFERROR(INDEX($F$6:$F$2005,MATCH($Q675,WageIds,0)),""))</f>
        <v/>
      </c>
      <c r="T675">
        <f>IF(OR($P675="",$S675="",$S675="نامعتبر"),"",LEFT($S675,4)&amp;MID($S675,6,2)&amp;RIGHT($S675,2)&amp;"0000"&amp;"|"&amp;"2"&amp;RIGHT("00000"&amp;670,5))</f>
        <v/>
      </c>
      <c r="U675">
        <f>IF($T675="","",COUNTIFS(LdAParty,$P675,LdAType,1,LdAKey,"&lt;"&amp;$T675)+COUNTIFS(LdBMember,$P675,LdBKey,"&lt;"&amp;$T675)+COUNTIFS(LdCParty,$P675,LdCKey,"&lt;"&amp;$T675)+1)</f>
        <v/>
      </c>
      <c r="V675">
        <f>IF($U675="","",$P675&amp;"|"&amp;RIGHT("000000"&amp;$U675,6))</f>
        <v/>
      </c>
      <c r="W675">
        <f>IF($T675="","",COUNTIFS(LdBGroup,$R675,LdBKey,"&lt;"&amp;$T675)+1)</f>
        <v/>
      </c>
      <c r="X675">
        <f>IF($W675="","",$R675&amp;"|"&amp;RIGHT("000000"&amp;$W675,6))</f>
        <v/>
      </c>
      <c r="Y675">
        <f>IF($P675="","",IF(Shares!$E678="",0,Shares!$E678))</f>
        <v/>
      </c>
      <c r="Z675">
        <f>IF($P675="","",Shares!$H678)</f>
        <v/>
      </c>
      <c r="AE675">
        <f>IF(OR(Sync!$S675="",Sync!$P675=""),"",Sync!$S675)</f>
        <v/>
      </c>
      <c r="AF675">
        <f>IF($AE675="","",IF(ISNUMBER(Sync!$P675),IF(AND(Sync!$P675&gt;=10000101,Sync!$P675&lt;=99991231),INT(Sync!$P675/10000),""),IFERROR(VALUE(TRIM(LEFT(Sync!$P675,FIND("/",Sync!$P675)-1))),"")))</f>
        <v/>
      </c>
      <c r="AG675">
        <f>IF(OR($AE675="",$AF675=""),"",IF(ISNUMBER(Sync!$P675),INT(MOD(Sync!$P675,10000)/100),IFERROR(VALUE(TRIM(LEFT(MID(Sync!$P675,FIND("/",Sync!$P675)+1,20),FIND("/",MID(Sync!$P675,FIND("/",Sync!$P675)+1,20))-1))),"")))</f>
        <v/>
      </c>
      <c r="AH675">
        <f>IF(OR($AE675="",$AF675=""),"",IF(ISNUMBER(Sync!$P675),MOD(Sync!$P675,100),IFERROR(VALUE(TRIM(MID(MID(Sync!$P675,FIND("/",Sync!$P675)+1,20),FIND("/",MID(Sync!$P675,FIND("/",Sync!$P675)+1,20))+1,20))),"")))</f>
        <v/>
      </c>
      <c r="AI675">
        <f>IF($AE675="","",IF(OR($AF675="",$AG675="",$AH675="",$AF675&lt;1300,$AF675&gt;1500,$AG675&lt;1,$AG675&gt;12,$AH675&lt;1,$AH675&gt;31),"نامعتبر",RIGHT("0000"&amp;$AF675,4)&amp;"/"&amp;RIGHT("00"&amp;$AG675,2)&amp;"/"&amp;RIGHT("00"&amp;$AH675,2)))</f>
        <v/>
      </c>
      <c r="AJ675">
        <f>IF($AE675="","",IF(Sync!$Q675="","0000",IF(AND(ISNUMBER(Sync!$Q675),Sync!$Q675&gt;=0,Sync!$Q675&lt;1),RIGHT("00"&amp;HOUR(Sync!$Q675),2)&amp;RIGHT("00"&amp;MINUTE(Sync!$Q675),2),IFERROR(RIGHT("00"&amp;VALUE(LEFT(Sync!$Q675,FIND(":",Sync!$Q675)-1)),2)&amp;RIGHT("00"&amp;VALUE(MID(Sync!$Q675,FIND(":",Sync!$Q675)+1,2)),2),"0000"))))</f>
        <v/>
      </c>
      <c r="AK675">
        <f>IF(OR($AE675="",$AI675="",$AI675="نامعتبر"),"",LEFT($AI675,4)&amp;MID($AI675,6,2)&amp;RIGHT($AI675,2)&amp;$AJ675&amp;"|"&amp;"3"&amp;RIGHT("00000"&amp;670,5))</f>
        <v/>
      </c>
      <c r="AL675">
        <f>IF($AK675="","",COUNTIFS(LdAParty,$AE675,LdAType,1,LdAKey,"&lt;"&amp;$AK675)+COUNTIFS(LdBMember,$AE675,LdBKey,"&lt;"&amp;$AK675)+COUNTIFS(LdCParty,$AE675,LdCKey,"&lt;"&amp;$AK675)+1)</f>
        <v/>
      </c>
      <c r="AM675">
        <f>IF($AL675="","",$AE675&amp;"|"&amp;RIGHT("000000"&amp;$AL675,6))</f>
        <v/>
      </c>
      <c r="AN675">
        <f>IF($AE675="","",IF(Sync!$W675="",0,Sync!$W675))</f>
        <v/>
      </c>
      <c r="AO675">
        <f>IF($AE675="","",IF(Sync!$X675="",0,Sync!$X675))</f>
        <v/>
      </c>
      <c r="AP675">
        <f>IF($AE675="","",Sync!$R675)</f>
        <v/>
      </c>
      <c r="AQ675">
        <f>IF($AE675="","",Sync!$Y675)</f>
        <v/>
      </c>
    </row>
    <row r="676">
      <c r="A676">
        <f>IF(OR(Wages!$B679="",Wages!$E679=""),"",Wages!$E679)</f>
        <v/>
      </c>
      <c r="B676">
        <f>IF($A676="","",IF(Wages!$C679="دستمزد گروهی",2,1))</f>
        <v/>
      </c>
      <c r="C676">
        <f>IF($A676="","",IF(ISNUMBER(Wages!$B679),IF(AND(Wages!$B679&gt;=10000101,Wages!$B679&lt;=99991231),INT(Wages!$B679/10000),""),IFERROR(VALUE(TRIM(LEFT(Wages!$B679,FIND("/",Wages!$B679)-1))),"")))</f>
        <v/>
      </c>
      <c r="D676">
        <f>IF(OR($A676="",$C676=""),"",IF(ISNUMBER(Wages!$B679),INT(MOD(Wages!$B679,10000)/100),IFERROR(VALUE(TRIM(LEFT(MID(Wages!$B679,FIND("/",Wages!$B679)+1,20),FIND("/",MID(Wages!$B679,FIND("/",Wages!$B679)+1,20))-1))),"")))</f>
        <v/>
      </c>
      <c r="E676">
        <f>IF(OR($A676="",$C676=""),"",IF(ISNUMBER(Wages!$B679),MOD(Wages!$B679,100),IFERROR(VALUE(TRIM(MID(MID(Wages!$B679,FIND("/",Wages!$B679)+1,20),FIND("/",MID(Wages!$B679,FIND("/",Wages!$B679)+1,20))+1,20))),"")))</f>
        <v/>
      </c>
      <c r="F676">
        <f>IF($A676="","",IF(OR($C676="",$D676="",$E676="",$C676&lt;1300,$C676&gt;1500,$D676&lt;1,$D676&gt;12,$E676&lt;1,$E676&gt;31),"نامعتبر",RIGHT("0000"&amp;$C676,4)&amp;"/"&amp;RIGHT("00"&amp;$D676,2)&amp;"/"&amp;RIGHT("00"&amp;$E676,2)))</f>
        <v/>
      </c>
      <c r="G676">
        <f>IF(OR($A676="",$F676="",$F676="نامعتبر"),"",LEFT($F676,4)&amp;MID($F676,6,2)&amp;RIGHT($F676,2)&amp;"0000"&amp;"|"&amp;"1"&amp;RIGHT("00000"&amp;671,5))</f>
        <v/>
      </c>
      <c r="H676">
        <f>IF(OR($B676&lt;&gt;1,$G676=""),"",COUNTIFS(LdAParty,$A676,LdAType,1,LdAKey,"&lt;"&amp;$G676)+COUNTIFS(LdBMember,$A676,LdBKey,"&lt;"&amp;$G676)+COUNTIFS(LdCParty,$A676,LdCKey,"&lt;"&amp;$G676)+1)</f>
        <v/>
      </c>
      <c r="I676">
        <f>IF($H676="","",$A676&amp;"|"&amp;RIGHT("000000"&amp;$H676,6))</f>
        <v/>
      </c>
      <c r="J676">
        <f>IF(OR($B676&lt;&gt;2,$G676=""),"",COUNTIFS(LdAParty,$A676,LdAType,2,LdAKey,"&lt;"&amp;$G676)+1)</f>
        <v/>
      </c>
      <c r="K676">
        <f>IF($J676="","",$A676&amp;"|"&amp;RIGHT("000000"&amp;$J676,6))</f>
        <v/>
      </c>
      <c r="L676">
        <f>IF($A676="","",IF(Wages!$G679="",0,Wages!$G679))</f>
        <v/>
      </c>
      <c r="M676">
        <f>IF($A676="","",Wages!$J679)</f>
        <v/>
      </c>
      <c r="N676">
        <f>IF($A676="","",Wages!$D679)</f>
        <v/>
      </c>
      <c r="P676">
        <f>IF(OR(Shares!$B679="",Shares!$C679=""),"",Shares!$C679)</f>
        <v/>
      </c>
      <c r="Q676">
        <f>IF($P676="","",Shares!$B679)</f>
        <v/>
      </c>
      <c r="R676">
        <f>IF($P676="","",IFERROR(INDEX(WageParty,MATCH($Q676,WageIds,0)),""))</f>
        <v/>
      </c>
      <c r="S676">
        <f>IF($P676="","",IFERROR(INDEX($F$6:$F$2005,MATCH($Q676,WageIds,0)),""))</f>
        <v/>
      </c>
      <c r="T676">
        <f>IF(OR($P676="",$S676="",$S676="نامعتبر"),"",LEFT($S676,4)&amp;MID($S676,6,2)&amp;RIGHT($S676,2)&amp;"0000"&amp;"|"&amp;"2"&amp;RIGHT("00000"&amp;671,5))</f>
        <v/>
      </c>
      <c r="U676">
        <f>IF($T676="","",COUNTIFS(LdAParty,$P676,LdAType,1,LdAKey,"&lt;"&amp;$T676)+COUNTIFS(LdBMember,$P676,LdBKey,"&lt;"&amp;$T676)+COUNTIFS(LdCParty,$P676,LdCKey,"&lt;"&amp;$T676)+1)</f>
        <v/>
      </c>
      <c r="V676">
        <f>IF($U676="","",$P676&amp;"|"&amp;RIGHT("000000"&amp;$U676,6))</f>
        <v/>
      </c>
      <c r="W676">
        <f>IF($T676="","",COUNTIFS(LdBGroup,$R676,LdBKey,"&lt;"&amp;$T676)+1)</f>
        <v/>
      </c>
      <c r="X676">
        <f>IF($W676="","",$R676&amp;"|"&amp;RIGHT("000000"&amp;$W676,6))</f>
        <v/>
      </c>
      <c r="Y676">
        <f>IF($P676="","",IF(Shares!$E679="",0,Shares!$E679))</f>
        <v/>
      </c>
      <c r="Z676">
        <f>IF($P676="","",Shares!$H679)</f>
        <v/>
      </c>
      <c r="AE676">
        <f>IF(OR(Sync!$S676="",Sync!$P676=""),"",Sync!$S676)</f>
        <v/>
      </c>
      <c r="AF676">
        <f>IF($AE676="","",IF(ISNUMBER(Sync!$P676),IF(AND(Sync!$P676&gt;=10000101,Sync!$P676&lt;=99991231),INT(Sync!$P676/10000),""),IFERROR(VALUE(TRIM(LEFT(Sync!$P676,FIND("/",Sync!$P676)-1))),"")))</f>
        <v/>
      </c>
      <c r="AG676">
        <f>IF(OR($AE676="",$AF676=""),"",IF(ISNUMBER(Sync!$P676),INT(MOD(Sync!$P676,10000)/100),IFERROR(VALUE(TRIM(LEFT(MID(Sync!$P676,FIND("/",Sync!$P676)+1,20),FIND("/",MID(Sync!$P676,FIND("/",Sync!$P676)+1,20))-1))),"")))</f>
        <v/>
      </c>
      <c r="AH676">
        <f>IF(OR($AE676="",$AF676=""),"",IF(ISNUMBER(Sync!$P676),MOD(Sync!$P676,100),IFERROR(VALUE(TRIM(MID(MID(Sync!$P676,FIND("/",Sync!$P676)+1,20),FIND("/",MID(Sync!$P676,FIND("/",Sync!$P676)+1,20))+1,20))),"")))</f>
        <v/>
      </c>
      <c r="AI676">
        <f>IF($AE676="","",IF(OR($AF676="",$AG676="",$AH676="",$AF676&lt;1300,$AF676&gt;1500,$AG676&lt;1,$AG676&gt;12,$AH676&lt;1,$AH676&gt;31),"نامعتبر",RIGHT("0000"&amp;$AF676,4)&amp;"/"&amp;RIGHT("00"&amp;$AG676,2)&amp;"/"&amp;RIGHT("00"&amp;$AH676,2)))</f>
        <v/>
      </c>
      <c r="AJ676">
        <f>IF($AE676="","",IF(Sync!$Q676="","0000",IF(AND(ISNUMBER(Sync!$Q676),Sync!$Q676&gt;=0,Sync!$Q676&lt;1),RIGHT("00"&amp;HOUR(Sync!$Q676),2)&amp;RIGHT("00"&amp;MINUTE(Sync!$Q676),2),IFERROR(RIGHT("00"&amp;VALUE(LEFT(Sync!$Q676,FIND(":",Sync!$Q676)-1)),2)&amp;RIGHT("00"&amp;VALUE(MID(Sync!$Q676,FIND(":",Sync!$Q676)+1,2)),2),"0000"))))</f>
        <v/>
      </c>
      <c r="AK676">
        <f>IF(OR($AE676="",$AI676="",$AI676="نامعتبر"),"",LEFT($AI676,4)&amp;MID($AI676,6,2)&amp;RIGHT($AI676,2)&amp;$AJ676&amp;"|"&amp;"3"&amp;RIGHT("00000"&amp;671,5))</f>
        <v/>
      </c>
      <c r="AL676">
        <f>IF($AK676="","",COUNTIFS(LdAParty,$AE676,LdAType,1,LdAKey,"&lt;"&amp;$AK676)+COUNTIFS(LdBMember,$AE676,LdBKey,"&lt;"&amp;$AK676)+COUNTIFS(LdCParty,$AE676,LdCKey,"&lt;"&amp;$AK676)+1)</f>
        <v/>
      </c>
      <c r="AM676">
        <f>IF($AL676="","",$AE676&amp;"|"&amp;RIGHT("000000"&amp;$AL676,6))</f>
        <v/>
      </c>
      <c r="AN676">
        <f>IF($AE676="","",IF(Sync!$W676="",0,Sync!$W676))</f>
        <v/>
      </c>
      <c r="AO676">
        <f>IF($AE676="","",IF(Sync!$X676="",0,Sync!$X676))</f>
        <v/>
      </c>
      <c r="AP676">
        <f>IF($AE676="","",Sync!$R676)</f>
        <v/>
      </c>
      <c r="AQ676">
        <f>IF($AE676="","",Sync!$Y676)</f>
        <v/>
      </c>
    </row>
    <row r="677">
      <c r="A677">
        <f>IF(OR(Wages!$B680="",Wages!$E680=""),"",Wages!$E680)</f>
        <v/>
      </c>
      <c r="B677">
        <f>IF($A677="","",IF(Wages!$C680="دستمزد گروهی",2,1))</f>
        <v/>
      </c>
      <c r="C677">
        <f>IF($A677="","",IF(ISNUMBER(Wages!$B680),IF(AND(Wages!$B680&gt;=10000101,Wages!$B680&lt;=99991231),INT(Wages!$B680/10000),""),IFERROR(VALUE(TRIM(LEFT(Wages!$B680,FIND("/",Wages!$B680)-1))),"")))</f>
        <v/>
      </c>
      <c r="D677">
        <f>IF(OR($A677="",$C677=""),"",IF(ISNUMBER(Wages!$B680),INT(MOD(Wages!$B680,10000)/100),IFERROR(VALUE(TRIM(LEFT(MID(Wages!$B680,FIND("/",Wages!$B680)+1,20),FIND("/",MID(Wages!$B680,FIND("/",Wages!$B680)+1,20))-1))),"")))</f>
        <v/>
      </c>
      <c r="E677">
        <f>IF(OR($A677="",$C677=""),"",IF(ISNUMBER(Wages!$B680),MOD(Wages!$B680,100),IFERROR(VALUE(TRIM(MID(MID(Wages!$B680,FIND("/",Wages!$B680)+1,20),FIND("/",MID(Wages!$B680,FIND("/",Wages!$B680)+1,20))+1,20))),"")))</f>
        <v/>
      </c>
      <c r="F677">
        <f>IF($A677="","",IF(OR($C677="",$D677="",$E677="",$C677&lt;1300,$C677&gt;1500,$D677&lt;1,$D677&gt;12,$E677&lt;1,$E677&gt;31),"نامعتبر",RIGHT("0000"&amp;$C677,4)&amp;"/"&amp;RIGHT("00"&amp;$D677,2)&amp;"/"&amp;RIGHT("00"&amp;$E677,2)))</f>
        <v/>
      </c>
      <c r="G677">
        <f>IF(OR($A677="",$F677="",$F677="نامعتبر"),"",LEFT($F677,4)&amp;MID($F677,6,2)&amp;RIGHT($F677,2)&amp;"0000"&amp;"|"&amp;"1"&amp;RIGHT("00000"&amp;672,5))</f>
        <v/>
      </c>
      <c r="H677">
        <f>IF(OR($B677&lt;&gt;1,$G677=""),"",COUNTIFS(LdAParty,$A677,LdAType,1,LdAKey,"&lt;"&amp;$G677)+COUNTIFS(LdBMember,$A677,LdBKey,"&lt;"&amp;$G677)+COUNTIFS(LdCParty,$A677,LdCKey,"&lt;"&amp;$G677)+1)</f>
        <v/>
      </c>
      <c r="I677">
        <f>IF($H677="","",$A677&amp;"|"&amp;RIGHT("000000"&amp;$H677,6))</f>
        <v/>
      </c>
      <c r="J677">
        <f>IF(OR($B677&lt;&gt;2,$G677=""),"",COUNTIFS(LdAParty,$A677,LdAType,2,LdAKey,"&lt;"&amp;$G677)+1)</f>
        <v/>
      </c>
      <c r="K677">
        <f>IF($J677="","",$A677&amp;"|"&amp;RIGHT("000000"&amp;$J677,6))</f>
        <v/>
      </c>
      <c r="L677">
        <f>IF($A677="","",IF(Wages!$G680="",0,Wages!$G680))</f>
        <v/>
      </c>
      <c r="M677">
        <f>IF($A677="","",Wages!$J680)</f>
        <v/>
      </c>
      <c r="N677">
        <f>IF($A677="","",Wages!$D680)</f>
        <v/>
      </c>
      <c r="P677">
        <f>IF(OR(Shares!$B680="",Shares!$C680=""),"",Shares!$C680)</f>
        <v/>
      </c>
      <c r="Q677">
        <f>IF($P677="","",Shares!$B680)</f>
        <v/>
      </c>
      <c r="R677">
        <f>IF($P677="","",IFERROR(INDEX(WageParty,MATCH($Q677,WageIds,0)),""))</f>
        <v/>
      </c>
      <c r="S677">
        <f>IF($P677="","",IFERROR(INDEX($F$6:$F$2005,MATCH($Q677,WageIds,0)),""))</f>
        <v/>
      </c>
      <c r="T677">
        <f>IF(OR($P677="",$S677="",$S677="نامعتبر"),"",LEFT($S677,4)&amp;MID($S677,6,2)&amp;RIGHT($S677,2)&amp;"0000"&amp;"|"&amp;"2"&amp;RIGHT("00000"&amp;672,5))</f>
        <v/>
      </c>
      <c r="U677">
        <f>IF($T677="","",COUNTIFS(LdAParty,$P677,LdAType,1,LdAKey,"&lt;"&amp;$T677)+COUNTIFS(LdBMember,$P677,LdBKey,"&lt;"&amp;$T677)+COUNTIFS(LdCParty,$P677,LdCKey,"&lt;"&amp;$T677)+1)</f>
        <v/>
      </c>
      <c r="V677">
        <f>IF($U677="","",$P677&amp;"|"&amp;RIGHT("000000"&amp;$U677,6))</f>
        <v/>
      </c>
      <c r="W677">
        <f>IF($T677="","",COUNTIFS(LdBGroup,$R677,LdBKey,"&lt;"&amp;$T677)+1)</f>
        <v/>
      </c>
      <c r="X677">
        <f>IF($W677="","",$R677&amp;"|"&amp;RIGHT("000000"&amp;$W677,6))</f>
        <v/>
      </c>
      <c r="Y677">
        <f>IF($P677="","",IF(Shares!$E680="",0,Shares!$E680))</f>
        <v/>
      </c>
      <c r="Z677">
        <f>IF($P677="","",Shares!$H680)</f>
        <v/>
      </c>
      <c r="AE677">
        <f>IF(OR(Sync!$S677="",Sync!$P677=""),"",Sync!$S677)</f>
        <v/>
      </c>
      <c r="AF677">
        <f>IF($AE677="","",IF(ISNUMBER(Sync!$P677),IF(AND(Sync!$P677&gt;=10000101,Sync!$P677&lt;=99991231),INT(Sync!$P677/10000),""),IFERROR(VALUE(TRIM(LEFT(Sync!$P677,FIND("/",Sync!$P677)-1))),"")))</f>
        <v/>
      </c>
      <c r="AG677">
        <f>IF(OR($AE677="",$AF677=""),"",IF(ISNUMBER(Sync!$P677),INT(MOD(Sync!$P677,10000)/100),IFERROR(VALUE(TRIM(LEFT(MID(Sync!$P677,FIND("/",Sync!$P677)+1,20),FIND("/",MID(Sync!$P677,FIND("/",Sync!$P677)+1,20))-1))),"")))</f>
        <v/>
      </c>
      <c r="AH677">
        <f>IF(OR($AE677="",$AF677=""),"",IF(ISNUMBER(Sync!$P677),MOD(Sync!$P677,100),IFERROR(VALUE(TRIM(MID(MID(Sync!$P677,FIND("/",Sync!$P677)+1,20),FIND("/",MID(Sync!$P677,FIND("/",Sync!$P677)+1,20))+1,20))),"")))</f>
        <v/>
      </c>
      <c r="AI677">
        <f>IF($AE677="","",IF(OR($AF677="",$AG677="",$AH677="",$AF677&lt;1300,$AF677&gt;1500,$AG677&lt;1,$AG677&gt;12,$AH677&lt;1,$AH677&gt;31),"نامعتبر",RIGHT("0000"&amp;$AF677,4)&amp;"/"&amp;RIGHT("00"&amp;$AG677,2)&amp;"/"&amp;RIGHT("00"&amp;$AH677,2)))</f>
        <v/>
      </c>
      <c r="AJ677">
        <f>IF($AE677="","",IF(Sync!$Q677="","0000",IF(AND(ISNUMBER(Sync!$Q677),Sync!$Q677&gt;=0,Sync!$Q677&lt;1),RIGHT("00"&amp;HOUR(Sync!$Q677),2)&amp;RIGHT("00"&amp;MINUTE(Sync!$Q677),2),IFERROR(RIGHT("00"&amp;VALUE(LEFT(Sync!$Q677,FIND(":",Sync!$Q677)-1)),2)&amp;RIGHT("00"&amp;VALUE(MID(Sync!$Q677,FIND(":",Sync!$Q677)+1,2)),2),"0000"))))</f>
        <v/>
      </c>
      <c r="AK677">
        <f>IF(OR($AE677="",$AI677="",$AI677="نامعتبر"),"",LEFT($AI677,4)&amp;MID($AI677,6,2)&amp;RIGHT($AI677,2)&amp;$AJ677&amp;"|"&amp;"3"&amp;RIGHT("00000"&amp;672,5))</f>
        <v/>
      </c>
      <c r="AL677">
        <f>IF($AK677="","",COUNTIFS(LdAParty,$AE677,LdAType,1,LdAKey,"&lt;"&amp;$AK677)+COUNTIFS(LdBMember,$AE677,LdBKey,"&lt;"&amp;$AK677)+COUNTIFS(LdCParty,$AE677,LdCKey,"&lt;"&amp;$AK677)+1)</f>
        <v/>
      </c>
      <c r="AM677">
        <f>IF($AL677="","",$AE677&amp;"|"&amp;RIGHT("000000"&amp;$AL677,6))</f>
        <v/>
      </c>
      <c r="AN677">
        <f>IF($AE677="","",IF(Sync!$W677="",0,Sync!$W677))</f>
        <v/>
      </c>
      <c r="AO677">
        <f>IF($AE677="","",IF(Sync!$X677="",0,Sync!$X677))</f>
        <v/>
      </c>
      <c r="AP677">
        <f>IF($AE677="","",Sync!$R677)</f>
        <v/>
      </c>
      <c r="AQ677">
        <f>IF($AE677="","",Sync!$Y677)</f>
        <v/>
      </c>
    </row>
    <row r="678">
      <c r="A678">
        <f>IF(OR(Wages!$B681="",Wages!$E681=""),"",Wages!$E681)</f>
        <v/>
      </c>
      <c r="B678">
        <f>IF($A678="","",IF(Wages!$C681="دستمزد گروهی",2,1))</f>
        <v/>
      </c>
      <c r="C678">
        <f>IF($A678="","",IF(ISNUMBER(Wages!$B681),IF(AND(Wages!$B681&gt;=10000101,Wages!$B681&lt;=99991231),INT(Wages!$B681/10000),""),IFERROR(VALUE(TRIM(LEFT(Wages!$B681,FIND("/",Wages!$B681)-1))),"")))</f>
        <v/>
      </c>
      <c r="D678">
        <f>IF(OR($A678="",$C678=""),"",IF(ISNUMBER(Wages!$B681),INT(MOD(Wages!$B681,10000)/100),IFERROR(VALUE(TRIM(LEFT(MID(Wages!$B681,FIND("/",Wages!$B681)+1,20),FIND("/",MID(Wages!$B681,FIND("/",Wages!$B681)+1,20))-1))),"")))</f>
        <v/>
      </c>
      <c r="E678">
        <f>IF(OR($A678="",$C678=""),"",IF(ISNUMBER(Wages!$B681),MOD(Wages!$B681,100),IFERROR(VALUE(TRIM(MID(MID(Wages!$B681,FIND("/",Wages!$B681)+1,20),FIND("/",MID(Wages!$B681,FIND("/",Wages!$B681)+1,20))+1,20))),"")))</f>
        <v/>
      </c>
      <c r="F678">
        <f>IF($A678="","",IF(OR($C678="",$D678="",$E678="",$C678&lt;1300,$C678&gt;1500,$D678&lt;1,$D678&gt;12,$E678&lt;1,$E678&gt;31),"نامعتبر",RIGHT("0000"&amp;$C678,4)&amp;"/"&amp;RIGHT("00"&amp;$D678,2)&amp;"/"&amp;RIGHT("00"&amp;$E678,2)))</f>
        <v/>
      </c>
      <c r="G678">
        <f>IF(OR($A678="",$F678="",$F678="نامعتبر"),"",LEFT($F678,4)&amp;MID($F678,6,2)&amp;RIGHT($F678,2)&amp;"0000"&amp;"|"&amp;"1"&amp;RIGHT("00000"&amp;673,5))</f>
        <v/>
      </c>
      <c r="H678">
        <f>IF(OR($B678&lt;&gt;1,$G678=""),"",COUNTIFS(LdAParty,$A678,LdAType,1,LdAKey,"&lt;"&amp;$G678)+COUNTIFS(LdBMember,$A678,LdBKey,"&lt;"&amp;$G678)+COUNTIFS(LdCParty,$A678,LdCKey,"&lt;"&amp;$G678)+1)</f>
        <v/>
      </c>
      <c r="I678">
        <f>IF($H678="","",$A678&amp;"|"&amp;RIGHT("000000"&amp;$H678,6))</f>
        <v/>
      </c>
      <c r="J678">
        <f>IF(OR($B678&lt;&gt;2,$G678=""),"",COUNTIFS(LdAParty,$A678,LdAType,2,LdAKey,"&lt;"&amp;$G678)+1)</f>
        <v/>
      </c>
      <c r="K678">
        <f>IF($J678="","",$A678&amp;"|"&amp;RIGHT("000000"&amp;$J678,6))</f>
        <v/>
      </c>
      <c r="L678">
        <f>IF($A678="","",IF(Wages!$G681="",0,Wages!$G681))</f>
        <v/>
      </c>
      <c r="M678">
        <f>IF($A678="","",Wages!$J681)</f>
        <v/>
      </c>
      <c r="N678">
        <f>IF($A678="","",Wages!$D681)</f>
        <v/>
      </c>
      <c r="P678">
        <f>IF(OR(Shares!$B681="",Shares!$C681=""),"",Shares!$C681)</f>
        <v/>
      </c>
      <c r="Q678">
        <f>IF($P678="","",Shares!$B681)</f>
        <v/>
      </c>
      <c r="R678">
        <f>IF($P678="","",IFERROR(INDEX(WageParty,MATCH($Q678,WageIds,0)),""))</f>
        <v/>
      </c>
      <c r="S678">
        <f>IF($P678="","",IFERROR(INDEX($F$6:$F$2005,MATCH($Q678,WageIds,0)),""))</f>
        <v/>
      </c>
      <c r="T678">
        <f>IF(OR($P678="",$S678="",$S678="نامعتبر"),"",LEFT($S678,4)&amp;MID($S678,6,2)&amp;RIGHT($S678,2)&amp;"0000"&amp;"|"&amp;"2"&amp;RIGHT("00000"&amp;673,5))</f>
        <v/>
      </c>
      <c r="U678">
        <f>IF($T678="","",COUNTIFS(LdAParty,$P678,LdAType,1,LdAKey,"&lt;"&amp;$T678)+COUNTIFS(LdBMember,$P678,LdBKey,"&lt;"&amp;$T678)+COUNTIFS(LdCParty,$P678,LdCKey,"&lt;"&amp;$T678)+1)</f>
        <v/>
      </c>
      <c r="V678">
        <f>IF($U678="","",$P678&amp;"|"&amp;RIGHT("000000"&amp;$U678,6))</f>
        <v/>
      </c>
      <c r="W678">
        <f>IF($T678="","",COUNTIFS(LdBGroup,$R678,LdBKey,"&lt;"&amp;$T678)+1)</f>
        <v/>
      </c>
      <c r="X678">
        <f>IF($W678="","",$R678&amp;"|"&amp;RIGHT("000000"&amp;$W678,6))</f>
        <v/>
      </c>
      <c r="Y678">
        <f>IF($P678="","",IF(Shares!$E681="",0,Shares!$E681))</f>
        <v/>
      </c>
      <c r="Z678">
        <f>IF($P678="","",Shares!$H681)</f>
        <v/>
      </c>
      <c r="AE678">
        <f>IF(OR(Sync!$S678="",Sync!$P678=""),"",Sync!$S678)</f>
        <v/>
      </c>
      <c r="AF678">
        <f>IF($AE678="","",IF(ISNUMBER(Sync!$P678),IF(AND(Sync!$P678&gt;=10000101,Sync!$P678&lt;=99991231),INT(Sync!$P678/10000),""),IFERROR(VALUE(TRIM(LEFT(Sync!$P678,FIND("/",Sync!$P678)-1))),"")))</f>
        <v/>
      </c>
      <c r="AG678">
        <f>IF(OR($AE678="",$AF678=""),"",IF(ISNUMBER(Sync!$P678),INT(MOD(Sync!$P678,10000)/100),IFERROR(VALUE(TRIM(LEFT(MID(Sync!$P678,FIND("/",Sync!$P678)+1,20),FIND("/",MID(Sync!$P678,FIND("/",Sync!$P678)+1,20))-1))),"")))</f>
        <v/>
      </c>
      <c r="AH678">
        <f>IF(OR($AE678="",$AF678=""),"",IF(ISNUMBER(Sync!$P678),MOD(Sync!$P678,100),IFERROR(VALUE(TRIM(MID(MID(Sync!$P678,FIND("/",Sync!$P678)+1,20),FIND("/",MID(Sync!$P678,FIND("/",Sync!$P678)+1,20))+1,20))),"")))</f>
        <v/>
      </c>
      <c r="AI678">
        <f>IF($AE678="","",IF(OR($AF678="",$AG678="",$AH678="",$AF678&lt;1300,$AF678&gt;1500,$AG678&lt;1,$AG678&gt;12,$AH678&lt;1,$AH678&gt;31),"نامعتبر",RIGHT("0000"&amp;$AF678,4)&amp;"/"&amp;RIGHT("00"&amp;$AG678,2)&amp;"/"&amp;RIGHT("00"&amp;$AH678,2)))</f>
        <v/>
      </c>
      <c r="AJ678">
        <f>IF($AE678="","",IF(Sync!$Q678="","0000",IF(AND(ISNUMBER(Sync!$Q678),Sync!$Q678&gt;=0,Sync!$Q678&lt;1),RIGHT("00"&amp;HOUR(Sync!$Q678),2)&amp;RIGHT("00"&amp;MINUTE(Sync!$Q678),2),IFERROR(RIGHT("00"&amp;VALUE(LEFT(Sync!$Q678,FIND(":",Sync!$Q678)-1)),2)&amp;RIGHT("00"&amp;VALUE(MID(Sync!$Q678,FIND(":",Sync!$Q678)+1,2)),2),"0000"))))</f>
        <v/>
      </c>
      <c r="AK678">
        <f>IF(OR($AE678="",$AI678="",$AI678="نامعتبر"),"",LEFT($AI678,4)&amp;MID($AI678,6,2)&amp;RIGHT($AI678,2)&amp;$AJ678&amp;"|"&amp;"3"&amp;RIGHT("00000"&amp;673,5))</f>
        <v/>
      </c>
      <c r="AL678">
        <f>IF($AK678="","",COUNTIFS(LdAParty,$AE678,LdAType,1,LdAKey,"&lt;"&amp;$AK678)+COUNTIFS(LdBMember,$AE678,LdBKey,"&lt;"&amp;$AK678)+COUNTIFS(LdCParty,$AE678,LdCKey,"&lt;"&amp;$AK678)+1)</f>
        <v/>
      </c>
      <c r="AM678">
        <f>IF($AL678="","",$AE678&amp;"|"&amp;RIGHT("000000"&amp;$AL678,6))</f>
        <v/>
      </c>
      <c r="AN678">
        <f>IF($AE678="","",IF(Sync!$W678="",0,Sync!$W678))</f>
        <v/>
      </c>
      <c r="AO678">
        <f>IF($AE678="","",IF(Sync!$X678="",0,Sync!$X678))</f>
        <v/>
      </c>
      <c r="AP678">
        <f>IF($AE678="","",Sync!$R678)</f>
        <v/>
      </c>
      <c r="AQ678">
        <f>IF($AE678="","",Sync!$Y678)</f>
        <v/>
      </c>
    </row>
    <row r="679">
      <c r="A679">
        <f>IF(OR(Wages!$B682="",Wages!$E682=""),"",Wages!$E682)</f>
        <v/>
      </c>
      <c r="B679">
        <f>IF($A679="","",IF(Wages!$C682="دستمزد گروهی",2,1))</f>
        <v/>
      </c>
      <c r="C679">
        <f>IF($A679="","",IF(ISNUMBER(Wages!$B682),IF(AND(Wages!$B682&gt;=10000101,Wages!$B682&lt;=99991231),INT(Wages!$B682/10000),""),IFERROR(VALUE(TRIM(LEFT(Wages!$B682,FIND("/",Wages!$B682)-1))),"")))</f>
        <v/>
      </c>
      <c r="D679">
        <f>IF(OR($A679="",$C679=""),"",IF(ISNUMBER(Wages!$B682),INT(MOD(Wages!$B682,10000)/100),IFERROR(VALUE(TRIM(LEFT(MID(Wages!$B682,FIND("/",Wages!$B682)+1,20),FIND("/",MID(Wages!$B682,FIND("/",Wages!$B682)+1,20))-1))),"")))</f>
        <v/>
      </c>
      <c r="E679">
        <f>IF(OR($A679="",$C679=""),"",IF(ISNUMBER(Wages!$B682),MOD(Wages!$B682,100),IFERROR(VALUE(TRIM(MID(MID(Wages!$B682,FIND("/",Wages!$B682)+1,20),FIND("/",MID(Wages!$B682,FIND("/",Wages!$B682)+1,20))+1,20))),"")))</f>
        <v/>
      </c>
      <c r="F679">
        <f>IF($A679="","",IF(OR($C679="",$D679="",$E679="",$C679&lt;1300,$C679&gt;1500,$D679&lt;1,$D679&gt;12,$E679&lt;1,$E679&gt;31),"نامعتبر",RIGHT("0000"&amp;$C679,4)&amp;"/"&amp;RIGHT("00"&amp;$D679,2)&amp;"/"&amp;RIGHT("00"&amp;$E679,2)))</f>
        <v/>
      </c>
      <c r="G679">
        <f>IF(OR($A679="",$F679="",$F679="نامعتبر"),"",LEFT($F679,4)&amp;MID($F679,6,2)&amp;RIGHT($F679,2)&amp;"0000"&amp;"|"&amp;"1"&amp;RIGHT("00000"&amp;674,5))</f>
        <v/>
      </c>
      <c r="H679">
        <f>IF(OR($B679&lt;&gt;1,$G679=""),"",COUNTIFS(LdAParty,$A679,LdAType,1,LdAKey,"&lt;"&amp;$G679)+COUNTIFS(LdBMember,$A679,LdBKey,"&lt;"&amp;$G679)+COUNTIFS(LdCParty,$A679,LdCKey,"&lt;"&amp;$G679)+1)</f>
        <v/>
      </c>
      <c r="I679">
        <f>IF($H679="","",$A679&amp;"|"&amp;RIGHT("000000"&amp;$H679,6))</f>
        <v/>
      </c>
      <c r="J679">
        <f>IF(OR($B679&lt;&gt;2,$G679=""),"",COUNTIFS(LdAParty,$A679,LdAType,2,LdAKey,"&lt;"&amp;$G679)+1)</f>
        <v/>
      </c>
      <c r="K679">
        <f>IF($J679="","",$A679&amp;"|"&amp;RIGHT("000000"&amp;$J679,6))</f>
        <v/>
      </c>
      <c r="L679">
        <f>IF($A679="","",IF(Wages!$G682="",0,Wages!$G682))</f>
        <v/>
      </c>
      <c r="M679">
        <f>IF($A679="","",Wages!$J682)</f>
        <v/>
      </c>
      <c r="N679">
        <f>IF($A679="","",Wages!$D682)</f>
        <v/>
      </c>
      <c r="P679">
        <f>IF(OR(Shares!$B682="",Shares!$C682=""),"",Shares!$C682)</f>
        <v/>
      </c>
      <c r="Q679">
        <f>IF($P679="","",Shares!$B682)</f>
        <v/>
      </c>
      <c r="R679">
        <f>IF($P679="","",IFERROR(INDEX(WageParty,MATCH($Q679,WageIds,0)),""))</f>
        <v/>
      </c>
      <c r="S679">
        <f>IF($P679="","",IFERROR(INDEX($F$6:$F$2005,MATCH($Q679,WageIds,0)),""))</f>
        <v/>
      </c>
      <c r="T679">
        <f>IF(OR($P679="",$S679="",$S679="نامعتبر"),"",LEFT($S679,4)&amp;MID($S679,6,2)&amp;RIGHT($S679,2)&amp;"0000"&amp;"|"&amp;"2"&amp;RIGHT("00000"&amp;674,5))</f>
        <v/>
      </c>
      <c r="U679">
        <f>IF($T679="","",COUNTIFS(LdAParty,$P679,LdAType,1,LdAKey,"&lt;"&amp;$T679)+COUNTIFS(LdBMember,$P679,LdBKey,"&lt;"&amp;$T679)+COUNTIFS(LdCParty,$P679,LdCKey,"&lt;"&amp;$T679)+1)</f>
        <v/>
      </c>
      <c r="V679">
        <f>IF($U679="","",$P679&amp;"|"&amp;RIGHT("000000"&amp;$U679,6))</f>
        <v/>
      </c>
      <c r="W679">
        <f>IF($T679="","",COUNTIFS(LdBGroup,$R679,LdBKey,"&lt;"&amp;$T679)+1)</f>
        <v/>
      </c>
      <c r="X679">
        <f>IF($W679="","",$R679&amp;"|"&amp;RIGHT("000000"&amp;$W679,6))</f>
        <v/>
      </c>
      <c r="Y679">
        <f>IF($P679="","",IF(Shares!$E682="",0,Shares!$E682))</f>
        <v/>
      </c>
      <c r="Z679">
        <f>IF($P679="","",Shares!$H682)</f>
        <v/>
      </c>
      <c r="AE679">
        <f>IF(OR(Sync!$S679="",Sync!$P679=""),"",Sync!$S679)</f>
        <v/>
      </c>
      <c r="AF679">
        <f>IF($AE679="","",IF(ISNUMBER(Sync!$P679),IF(AND(Sync!$P679&gt;=10000101,Sync!$P679&lt;=99991231),INT(Sync!$P679/10000),""),IFERROR(VALUE(TRIM(LEFT(Sync!$P679,FIND("/",Sync!$P679)-1))),"")))</f>
        <v/>
      </c>
      <c r="AG679">
        <f>IF(OR($AE679="",$AF679=""),"",IF(ISNUMBER(Sync!$P679),INT(MOD(Sync!$P679,10000)/100),IFERROR(VALUE(TRIM(LEFT(MID(Sync!$P679,FIND("/",Sync!$P679)+1,20),FIND("/",MID(Sync!$P679,FIND("/",Sync!$P679)+1,20))-1))),"")))</f>
        <v/>
      </c>
      <c r="AH679">
        <f>IF(OR($AE679="",$AF679=""),"",IF(ISNUMBER(Sync!$P679),MOD(Sync!$P679,100),IFERROR(VALUE(TRIM(MID(MID(Sync!$P679,FIND("/",Sync!$P679)+1,20),FIND("/",MID(Sync!$P679,FIND("/",Sync!$P679)+1,20))+1,20))),"")))</f>
        <v/>
      </c>
      <c r="AI679">
        <f>IF($AE679="","",IF(OR($AF679="",$AG679="",$AH679="",$AF679&lt;1300,$AF679&gt;1500,$AG679&lt;1,$AG679&gt;12,$AH679&lt;1,$AH679&gt;31),"نامعتبر",RIGHT("0000"&amp;$AF679,4)&amp;"/"&amp;RIGHT("00"&amp;$AG679,2)&amp;"/"&amp;RIGHT("00"&amp;$AH679,2)))</f>
        <v/>
      </c>
      <c r="AJ679">
        <f>IF($AE679="","",IF(Sync!$Q679="","0000",IF(AND(ISNUMBER(Sync!$Q679),Sync!$Q679&gt;=0,Sync!$Q679&lt;1),RIGHT("00"&amp;HOUR(Sync!$Q679),2)&amp;RIGHT("00"&amp;MINUTE(Sync!$Q679),2),IFERROR(RIGHT("00"&amp;VALUE(LEFT(Sync!$Q679,FIND(":",Sync!$Q679)-1)),2)&amp;RIGHT("00"&amp;VALUE(MID(Sync!$Q679,FIND(":",Sync!$Q679)+1,2)),2),"0000"))))</f>
        <v/>
      </c>
      <c r="AK679">
        <f>IF(OR($AE679="",$AI679="",$AI679="نامعتبر"),"",LEFT($AI679,4)&amp;MID($AI679,6,2)&amp;RIGHT($AI679,2)&amp;$AJ679&amp;"|"&amp;"3"&amp;RIGHT("00000"&amp;674,5))</f>
        <v/>
      </c>
      <c r="AL679">
        <f>IF($AK679="","",COUNTIFS(LdAParty,$AE679,LdAType,1,LdAKey,"&lt;"&amp;$AK679)+COUNTIFS(LdBMember,$AE679,LdBKey,"&lt;"&amp;$AK679)+COUNTIFS(LdCParty,$AE679,LdCKey,"&lt;"&amp;$AK679)+1)</f>
        <v/>
      </c>
      <c r="AM679">
        <f>IF($AL679="","",$AE679&amp;"|"&amp;RIGHT("000000"&amp;$AL679,6))</f>
        <v/>
      </c>
      <c r="AN679">
        <f>IF($AE679="","",IF(Sync!$W679="",0,Sync!$W679))</f>
        <v/>
      </c>
      <c r="AO679">
        <f>IF($AE679="","",IF(Sync!$X679="",0,Sync!$X679))</f>
        <v/>
      </c>
      <c r="AP679">
        <f>IF($AE679="","",Sync!$R679)</f>
        <v/>
      </c>
      <c r="AQ679">
        <f>IF($AE679="","",Sync!$Y679)</f>
        <v/>
      </c>
    </row>
    <row r="680">
      <c r="A680">
        <f>IF(OR(Wages!$B683="",Wages!$E683=""),"",Wages!$E683)</f>
        <v/>
      </c>
      <c r="B680">
        <f>IF($A680="","",IF(Wages!$C683="دستمزد گروهی",2,1))</f>
        <v/>
      </c>
      <c r="C680">
        <f>IF($A680="","",IF(ISNUMBER(Wages!$B683),IF(AND(Wages!$B683&gt;=10000101,Wages!$B683&lt;=99991231),INT(Wages!$B683/10000),""),IFERROR(VALUE(TRIM(LEFT(Wages!$B683,FIND("/",Wages!$B683)-1))),"")))</f>
        <v/>
      </c>
      <c r="D680">
        <f>IF(OR($A680="",$C680=""),"",IF(ISNUMBER(Wages!$B683),INT(MOD(Wages!$B683,10000)/100),IFERROR(VALUE(TRIM(LEFT(MID(Wages!$B683,FIND("/",Wages!$B683)+1,20),FIND("/",MID(Wages!$B683,FIND("/",Wages!$B683)+1,20))-1))),"")))</f>
        <v/>
      </c>
      <c r="E680">
        <f>IF(OR($A680="",$C680=""),"",IF(ISNUMBER(Wages!$B683),MOD(Wages!$B683,100),IFERROR(VALUE(TRIM(MID(MID(Wages!$B683,FIND("/",Wages!$B683)+1,20),FIND("/",MID(Wages!$B683,FIND("/",Wages!$B683)+1,20))+1,20))),"")))</f>
        <v/>
      </c>
      <c r="F680">
        <f>IF($A680="","",IF(OR($C680="",$D680="",$E680="",$C680&lt;1300,$C680&gt;1500,$D680&lt;1,$D680&gt;12,$E680&lt;1,$E680&gt;31),"نامعتبر",RIGHT("0000"&amp;$C680,4)&amp;"/"&amp;RIGHT("00"&amp;$D680,2)&amp;"/"&amp;RIGHT("00"&amp;$E680,2)))</f>
        <v/>
      </c>
      <c r="G680">
        <f>IF(OR($A680="",$F680="",$F680="نامعتبر"),"",LEFT($F680,4)&amp;MID($F680,6,2)&amp;RIGHT($F680,2)&amp;"0000"&amp;"|"&amp;"1"&amp;RIGHT("00000"&amp;675,5))</f>
        <v/>
      </c>
      <c r="H680">
        <f>IF(OR($B680&lt;&gt;1,$G680=""),"",COUNTIFS(LdAParty,$A680,LdAType,1,LdAKey,"&lt;"&amp;$G680)+COUNTIFS(LdBMember,$A680,LdBKey,"&lt;"&amp;$G680)+COUNTIFS(LdCParty,$A680,LdCKey,"&lt;"&amp;$G680)+1)</f>
        <v/>
      </c>
      <c r="I680">
        <f>IF($H680="","",$A680&amp;"|"&amp;RIGHT("000000"&amp;$H680,6))</f>
        <v/>
      </c>
      <c r="J680">
        <f>IF(OR($B680&lt;&gt;2,$G680=""),"",COUNTIFS(LdAParty,$A680,LdAType,2,LdAKey,"&lt;"&amp;$G680)+1)</f>
        <v/>
      </c>
      <c r="K680">
        <f>IF($J680="","",$A680&amp;"|"&amp;RIGHT("000000"&amp;$J680,6))</f>
        <v/>
      </c>
      <c r="L680">
        <f>IF($A680="","",IF(Wages!$G683="",0,Wages!$G683))</f>
        <v/>
      </c>
      <c r="M680">
        <f>IF($A680="","",Wages!$J683)</f>
        <v/>
      </c>
      <c r="N680">
        <f>IF($A680="","",Wages!$D683)</f>
        <v/>
      </c>
      <c r="P680">
        <f>IF(OR(Shares!$B683="",Shares!$C683=""),"",Shares!$C683)</f>
        <v/>
      </c>
      <c r="Q680">
        <f>IF($P680="","",Shares!$B683)</f>
        <v/>
      </c>
      <c r="R680">
        <f>IF($P680="","",IFERROR(INDEX(WageParty,MATCH($Q680,WageIds,0)),""))</f>
        <v/>
      </c>
      <c r="S680">
        <f>IF($P680="","",IFERROR(INDEX($F$6:$F$2005,MATCH($Q680,WageIds,0)),""))</f>
        <v/>
      </c>
      <c r="T680">
        <f>IF(OR($P680="",$S680="",$S680="نامعتبر"),"",LEFT($S680,4)&amp;MID($S680,6,2)&amp;RIGHT($S680,2)&amp;"0000"&amp;"|"&amp;"2"&amp;RIGHT("00000"&amp;675,5))</f>
        <v/>
      </c>
      <c r="U680">
        <f>IF($T680="","",COUNTIFS(LdAParty,$P680,LdAType,1,LdAKey,"&lt;"&amp;$T680)+COUNTIFS(LdBMember,$P680,LdBKey,"&lt;"&amp;$T680)+COUNTIFS(LdCParty,$P680,LdCKey,"&lt;"&amp;$T680)+1)</f>
        <v/>
      </c>
      <c r="V680">
        <f>IF($U680="","",$P680&amp;"|"&amp;RIGHT("000000"&amp;$U680,6))</f>
        <v/>
      </c>
      <c r="W680">
        <f>IF($T680="","",COUNTIFS(LdBGroup,$R680,LdBKey,"&lt;"&amp;$T680)+1)</f>
        <v/>
      </c>
      <c r="X680">
        <f>IF($W680="","",$R680&amp;"|"&amp;RIGHT("000000"&amp;$W680,6))</f>
        <v/>
      </c>
      <c r="Y680">
        <f>IF($P680="","",IF(Shares!$E683="",0,Shares!$E683))</f>
        <v/>
      </c>
      <c r="Z680">
        <f>IF($P680="","",Shares!$H683)</f>
        <v/>
      </c>
      <c r="AE680">
        <f>IF(OR(Sync!$S680="",Sync!$P680=""),"",Sync!$S680)</f>
        <v/>
      </c>
      <c r="AF680">
        <f>IF($AE680="","",IF(ISNUMBER(Sync!$P680),IF(AND(Sync!$P680&gt;=10000101,Sync!$P680&lt;=99991231),INT(Sync!$P680/10000),""),IFERROR(VALUE(TRIM(LEFT(Sync!$P680,FIND("/",Sync!$P680)-1))),"")))</f>
        <v/>
      </c>
      <c r="AG680">
        <f>IF(OR($AE680="",$AF680=""),"",IF(ISNUMBER(Sync!$P680),INT(MOD(Sync!$P680,10000)/100),IFERROR(VALUE(TRIM(LEFT(MID(Sync!$P680,FIND("/",Sync!$P680)+1,20),FIND("/",MID(Sync!$P680,FIND("/",Sync!$P680)+1,20))-1))),"")))</f>
        <v/>
      </c>
      <c r="AH680">
        <f>IF(OR($AE680="",$AF680=""),"",IF(ISNUMBER(Sync!$P680),MOD(Sync!$P680,100),IFERROR(VALUE(TRIM(MID(MID(Sync!$P680,FIND("/",Sync!$P680)+1,20),FIND("/",MID(Sync!$P680,FIND("/",Sync!$P680)+1,20))+1,20))),"")))</f>
        <v/>
      </c>
      <c r="AI680">
        <f>IF($AE680="","",IF(OR($AF680="",$AG680="",$AH680="",$AF680&lt;1300,$AF680&gt;1500,$AG680&lt;1,$AG680&gt;12,$AH680&lt;1,$AH680&gt;31),"نامعتبر",RIGHT("0000"&amp;$AF680,4)&amp;"/"&amp;RIGHT("00"&amp;$AG680,2)&amp;"/"&amp;RIGHT("00"&amp;$AH680,2)))</f>
        <v/>
      </c>
      <c r="AJ680">
        <f>IF($AE680="","",IF(Sync!$Q680="","0000",IF(AND(ISNUMBER(Sync!$Q680),Sync!$Q680&gt;=0,Sync!$Q680&lt;1),RIGHT("00"&amp;HOUR(Sync!$Q680),2)&amp;RIGHT("00"&amp;MINUTE(Sync!$Q680),2),IFERROR(RIGHT("00"&amp;VALUE(LEFT(Sync!$Q680,FIND(":",Sync!$Q680)-1)),2)&amp;RIGHT("00"&amp;VALUE(MID(Sync!$Q680,FIND(":",Sync!$Q680)+1,2)),2),"0000"))))</f>
        <v/>
      </c>
      <c r="AK680">
        <f>IF(OR($AE680="",$AI680="",$AI680="نامعتبر"),"",LEFT($AI680,4)&amp;MID($AI680,6,2)&amp;RIGHT($AI680,2)&amp;$AJ680&amp;"|"&amp;"3"&amp;RIGHT("00000"&amp;675,5))</f>
        <v/>
      </c>
      <c r="AL680">
        <f>IF($AK680="","",COUNTIFS(LdAParty,$AE680,LdAType,1,LdAKey,"&lt;"&amp;$AK680)+COUNTIFS(LdBMember,$AE680,LdBKey,"&lt;"&amp;$AK680)+COUNTIFS(LdCParty,$AE680,LdCKey,"&lt;"&amp;$AK680)+1)</f>
        <v/>
      </c>
      <c r="AM680">
        <f>IF($AL680="","",$AE680&amp;"|"&amp;RIGHT("000000"&amp;$AL680,6))</f>
        <v/>
      </c>
      <c r="AN680">
        <f>IF($AE680="","",IF(Sync!$W680="",0,Sync!$W680))</f>
        <v/>
      </c>
      <c r="AO680">
        <f>IF($AE680="","",IF(Sync!$X680="",0,Sync!$X680))</f>
        <v/>
      </c>
      <c r="AP680">
        <f>IF($AE680="","",Sync!$R680)</f>
        <v/>
      </c>
      <c r="AQ680">
        <f>IF($AE680="","",Sync!$Y680)</f>
        <v/>
      </c>
    </row>
    <row r="681">
      <c r="A681">
        <f>IF(OR(Wages!$B684="",Wages!$E684=""),"",Wages!$E684)</f>
        <v/>
      </c>
      <c r="B681">
        <f>IF($A681="","",IF(Wages!$C684="دستمزد گروهی",2,1))</f>
        <v/>
      </c>
      <c r="C681">
        <f>IF($A681="","",IF(ISNUMBER(Wages!$B684),IF(AND(Wages!$B684&gt;=10000101,Wages!$B684&lt;=99991231),INT(Wages!$B684/10000),""),IFERROR(VALUE(TRIM(LEFT(Wages!$B684,FIND("/",Wages!$B684)-1))),"")))</f>
        <v/>
      </c>
      <c r="D681">
        <f>IF(OR($A681="",$C681=""),"",IF(ISNUMBER(Wages!$B684),INT(MOD(Wages!$B684,10000)/100),IFERROR(VALUE(TRIM(LEFT(MID(Wages!$B684,FIND("/",Wages!$B684)+1,20),FIND("/",MID(Wages!$B684,FIND("/",Wages!$B684)+1,20))-1))),"")))</f>
        <v/>
      </c>
      <c r="E681">
        <f>IF(OR($A681="",$C681=""),"",IF(ISNUMBER(Wages!$B684),MOD(Wages!$B684,100),IFERROR(VALUE(TRIM(MID(MID(Wages!$B684,FIND("/",Wages!$B684)+1,20),FIND("/",MID(Wages!$B684,FIND("/",Wages!$B684)+1,20))+1,20))),"")))</f>
        <v/>
      </c>
      <c r="F681">
        <f>IF($A681="","",IF(OR($C681="",$D681="",$E681="",$C681&lt;1300,$C681&gt;1500,$D681&lt;1,$D681&gt;12,$E681&lt;1,$E681&gt;31),"نامعتبر",RIGHT("0000"&amp;$C681,4)&amp;"/"&amp;RIGHT("00"&amp;$D681,2)&amp;"/"&amp;RIGHT("00"&amp;$E681,2)))</f>
        <v/>
      </c>
      <c r="G681">
        <f>IF(OR($A681="",$F681="",$F681="نامعتبر"),"",LEFT($F681,4)&amp;MID($F681,6,2)&amp;RIGHT($F681,2)&amp;"0000"&amp;"|"&amp;"1"&amp;RIGHT("00000"&amp;676,5))</f>
        <v/>
      </c>
      <c r="H681">
        <f>IF(OR($B681&lt;&gt;1,$G681=""),"",COUNTIFS(LdAParty,$A681,LdAType,1,LdAKey,"&lt;"&amp;$G681)+COUNTIFS(LdBMember,$A681,LdBKey,"&lt;"&amp;$G681)+COUNTIFS(LdCParty,$A681,LdCKey,"&lt;"&amp;$G681)+1)</f>
        <v/>
      </c>
      <c r="I681">
        <f>IF($H681="","",$A681&amp;"|"&amp;RIGHT("000000"&amp;$H681,6))</f>
        <v/>
      </c>
      <c r="J681">
        <f>IF(OR($B681&lt;&gt;2,$G681=""),"",COUNTIFS(LdAParty,$A681,LdAType,2,LdAKey,"&lt;"&amp;$G681)+1)</f>
        <v/>
      </c>
      <c r="K681">
        <f>IF($J681="","",$A681&amp;"|"&amp;RIGHT("000000"&amp;$J681,6))</f>
        <v/>
      </c>
      <c r="L681">
        <f>IF($A681="","",IF(Wages!$G684="",0,Wages!$G684))</f>
        <v/>
      </c>
      <c r="M681">
        <f>IF($A681="","",Wages!$J684)</f>
        <v/>
      </c>
      <c r="N681">
        <f>IF($A681="","",Wages!$D684)</f>
        <v/>
      </c>
      <c r="P681">
        <f>IF(OR(Shares!$B684="",Shares!$C684=""),"",Shares!$C684)</f>
        <v/>
      </c>
      <c r="Q681">
        <f>IF($P681="","",Shares!$B684)</f>
        <v/>
      </c>
      <c r="R681">
        <f>IF($P681="","",IFERROR(INDEX(WageParty,MATCH($Q681,WageIds,0)),""))</f>
        <v/>
      </c>
      <c r="S681">
        <f>IF($P681="","",IFERROR(INDEX($F$6:$F$2005,MATCH($Q681,WageIds,0)),""))</f>
        <v/>
      </c>
      <c r="T681">
        <f>IF(OR($P681="",$S681="",$S681="نامعتبر"),"",LEFT($S681,4)&amp;MID($S681,6,2)&amp;RIGHT($S681,2)&amp;"0000"&amp;"|"&amp;"2"&amp;RIGHT("00000"&amp;676,5))</f>
        <v/>
      </c>
      <c r="U681">
        <f>IF($T681="","",COUNTIFS(LdAParty,$P681,LdAType,1,LdAKey,"&lt;"&amp;$T681)+COUNTIFS(LdBMember,$P681,LdBKey,"&lt;"&amp;$T681)+COUNTIFS(LdCParty,$P681,LdCKey,"&lt;"&amp;$T681)+1)</f>
        <v/>
      </c>
      <c r="V681">
        <f>IF($U681="","",$P681&amp;"|"&amp;RIGHT("000000"&amp;$U681,6))</f>
        <v/>
      </c>
      <c r="W681">
        <f>IF($T681="","",COUNTIFS(LdBGroup,$R681,LdBKey,"&lt;"&amp;$T681)+1)</f>
        <v/>
      </c>
      <c r="X681">
        <f>IF($W681="","",$R681&amp;"|"&amp;RIGHT("000000"&amp;$W681,6))</f>
        <v/>
      </c>
      <c r="Y681">
        <f>IF($P681="","",IF(Shares!$E684="",0,Shares!$E684))</f>
        <v/>
      </c>
      <c r="Z681">
        <f>IF($P681="","",Shares!$H684)</f>
        <v/>
      </c>
      <c r="AE681">
        <f>IF(OR(Sync!$S681="",Sync!$P681=""),"",Sync!$S681)</f>
        <v/>
      </c>
      <c r="AF681">
        <f>IF($AE681="","",IF(ISNUMBER(Sync!$P681),IF(AND(Sync!$P681&gt;=10000101,Sync!$P681&lt;=99991231),INT(Sync!$P681/10000),""),IFERROR(VALUE(TRIM(LEFT(Sync!$P681,FIND("/",Sync!$P681)-1))),"")))</f>
        <v/>
      </c>
      <c r="AG681">
        <f>IF(OR($AE681="",$AF681=""),"",IF(ISNUMBER(Sync!$P681),INT(MOD(Sync!$P681,10000)/100),IFERROR(VALUE(TRIM(LEFT(MID(Sync!$P681,FIND("/",Sync!$P681)+1,20),FIND("/",MID(Sync!$P681,FIND("/",Sync!$P681)+1,20))-1))),"")))</f>
        <v/>
      </c>
      <c r="AH681">
        <f>IF(OR($AE681="",$AF681=""),"",IF(ISNUMBER(Sync!$P681),MOD(Sync!$P681,100),IFERROR(VALUE(TRIM(MID(MID(Sync!$P681,FIND("/",Sync!$P681)+1,20),FIND("/",MID(Sync!$P681,FIND("/",Sync!$P681)+1,20))+1,20))),"")))</f>
        <v/>
      </c>
      <c r="AI681">
        <f>IF($AE681="","",IF(OR($AF681="",$AG681="",$AH681="",$AF681&lt;1300,$AF681&gt;1500,$AG681&lt;1,$AG681&gt;12,$AH681&lt;1,$AH681&gt;31),"نامعتبر",RIGHT("0000"&amp;$AF681,4)&amp;"/"&amp;RIGHT("00"&amp;$AG681,2)&amp;"/"&amp;RIGHT("00"&amp;$AH681,2)))</f>
        <v/>
      </c>
      <c r="AJ681">
        <f>IF($AE681="","",IF(Sync!$Q681="","0000",IF(AND(ISNUMBER(Sync!$Q681),Sync!$Q681&gt;=0,Sync!$Q681&lt;1),RIGHT("00"&amp;HOUR(Sync!$Q681),2)&amp;RIGHT("00"&amp;MINUTE(Sync!$Q681),2),IFERROR(RIGHT("00"&amp;VALUE(LEFT(Sync!$Q681,FIND(":",Sync!$Q681)-1)),2)&amp;RIGHT("00"&amp;VALUE(MID(Sync!$Q681,FIND(":",Sync!$Q681)+1,2)),2),"0000"))))</f>
        <v/>
      </c>
      <c r="AK681">
        <f>IF(OR($AE681="",$AI681="",$AI681="نامعتبر"),"",LEFT($AI681,4)&amp;MID($AI681,6,2)&amp;RIGHT($AI681,2)&amp;$AJ681&amp;"|"&amp;"3"&amp;RIGHT("00000"&amp;676,5))</f>
        <v/>
      </c>
      <c r="AL681">
        <f>IF($AK681="","",COUNTIFS(LdAParty,$AE681,LdAType,1,LdAKey,"&lt;"&amp;$AK681)+COUNTIFS(LdBMember,$AE681,LdBKey,"&lt;"&amp;$AK681)+COUNTIFS(LdCParty,$AE681,LdCKey,"&lt;"&amp;$AK681)+1)</f>
        <v/>
      </c>
      <c r="AM681">
        <f>IF($AL681="","",$AE681&amp;"|"&amp;RIGHT("000000"&amp;$AL681,6))</f>
        <v/>
      </c>
      <c r="AN681">
        <f>IF($AE681="","",IF(Sync!$W681="",0,Sync!$W681))</f>
        <v/>
      </c>
      <c r="AO681">
        <f>IF($AE681="","",IF(Sync!$X681="",0,Sync!$X681))</f>
        <v/>
      </c>
      <c r="AP681">
        <f>IF($AE681="","",Sync!$R681)</f>
        <v/>
      </c>
      <c r="AQ681">
        <f>IF($AE681="","",Sync!$Y681)</f>
        <v/>
      </c>
    </row>
    <row r="682">
      <c r="A682">
        <f>IF(OR(Wages!$B685="",Wages!$E685=""),"",Wages!$E685)</f>
        <v/>
      </c>
      <c r="B682">
        <f>IF($A682="","",IF(Wages!$C685="دستمزد گروهی",2,1))</f>
        <v/>
      </c>
      <c r="C682">
        <f>IF($A682="","",IF(ISNUMBER(Wages!$B685),IF(AND(Wages!$B685&gt;=10000101,Wages!$B685&lt;=99991231),INT(Wages!$B685/10000),""),IFERROR(VALUE(TRIM(LEFT(Wages!$B685,FIND("/",Wages!$B685)-1))),"")))</f>
        <v/>
      </c>
      <c r="D682">
        <f>IF(OR($A682="",$C682=""),"",IF(ISNUMBER(Wages!$B685),INT(MOD(Wages!$B685,10000)/100),IFERROR(VALUE(TRIM(LEFT(MID(Wages!$B685,FIND("/",Wages!$B685)+1,20),FIND("/",MID(Wages!$B685,FIND("/",Wages!$B685)+1,20))-1))),"")))</f>
        <v/>
      </c>
      <c r="E682">
        <f>IF(OR($A682="",$C682=""),"",IF(ISNUMBER(Wages!$B685),MOD(Wages!$B685,100),IFERROR(VALUE(TRIM(MID(MID(Wages!$B685,FIND("/",Wages!$B685)+1,20),FIND("/",MID(Wages!$B685,FIND("/",Wages!$B685)+1,20))+1,20))),"")))</f>
        <v/>
      </c>
      <c r="F682">
        <f>IF($A682="","",IF(OR($C682="",$D682="",$E682="",$C682&lt;1300,$C682&gt;1500,$D682&lt;1,$D682&gt;12,$E682&lt;1,$E682&gt;31),"نامعتبر",RIGHT("0000"&amp;$C682,4)&amp;"/"&amp;RIGHT("00"&amp;$D682,2)&amp;"/"&amp;RIGHT("00"&amp;$E682,2)))</f>
        <v/>
      </c>
      <c r="G682">
        <f>IF(OR($A682="",$F682="",$F682="نامعتبر"),"",LEFT($F682,4)&amp;MID($F682,6,2)&amp;RIGHT($F682,2)&amp;"0000"&amp;"|"&amp;"1"&amp;RIGHT("00000"&amp;677,5))</f>
        <v/>
      </c>
      <c r="H682">
        <f>IF(OR($B682&lt;&gt;1,$G682=""),"",COUNTIFS(LdAParty,$A682,LdAType,1,LdAKey,"&lt;"&amp;$G682)+COUNTIFS(LdBMember,$A682,LdBKey,"&lt;"&amp;$G682)+COUNTIFS(LdCParty,$A682,LdCKey,"&lt;"&amp;$G682)+1)</f>
        <v/>
      </c>
      <c r="I682">
        <f>IF($H682="","",$A682&amp;"|"&amp;RIGHT("000000"&amp;$H682,6))</f>
        <v/>
      </c>
      <c r="J682">
        <f>IF(OR($B682&lt;&gt;2,$G682=""),"",COUNTIFS(LdAParty,$A682,LdAType,2,LdAKey,"&lt;"&amp;$G682)+1)</f>
        <v/>
      </c>
      <c r="K682">
        <f>IF($J682="","",$A682&amp;"|"&amp;RIGHT("000000"&amp;$J682,6))</f>
        <v/>
      </c>
      <c r="L682">
        <f>IF($A682="","",IF(Wages!$G685="",0,Wages!$G685))</f>
        <v/>
      </c>
      <c r="M682">
        <f>IF($A682="","",Wages!$J685)</f>
        <v/>
      </c>
      <c r="N682">
        <f>IF($A682="","",Wages!$D685)</f>
        <v/>
      </c>
      <c r="P682">
        <f>IF(OR(Shares!$B685="",Shares!$C685=""),"",Shares!$C685)</f>
        <v/>
      </c>
      <c r="Q682">
        <f>IF($P682="","",Shares!$B685)</f>
        <v/>
      </c>
      <c r="R682">
        <f>IF($P682="","",IFERROR(INDEX(WageParty,MATCH($Q682,WageIds,0)),""))</f>
        <v/>
      </c>
      <c r="S682">
        <f>IF($P682="","",IFERROR(INDEX($F$6:$F$2005,MATCH($Q682,WageIds,0)),""))</f>
        <v/>
      </c>
      <c r="T682">
        <f>IF(OR($P682="",$S682="",$S682="نامعتبر"),"",LEFT($S682,4)&amp;MID($S682,6,2)&amp;RIGHT($S682,2)&amp;"0000"&amp;"|"&amp;"2"&amp;RIGHT("00000"&amp;677,5))</f>
        <v/>
      </c>
      <c r="U682">
        <f>IF($T682="","",COUNTIFS(LdAParty,$P682,LdAType,1,LdAKey,"&lt;"&amp;$T682)+COUNTIFS(LdBMember,$P682,LdBKey,"&lt;"&amp;$T682)+COUNTIFS(LdCParty,$P682,LdCKey,"&lt;"&amp;$T682)+1)</f>
        <v/>
      </c>
      <c r="V682">
        <f>IF($U682="","",$P682&amp;"|"&amp;RIGHT("000000"&amp;$U682,6))</f>
        <v/>
      </c>
      <c r="W682">
        <f>IF($T682="","",COUNTIFS(LdBGroup,$R682,LdBKey,"&lt;"&amp;$T682)+1)</f>
        <v/>
      </c>
      <c r="X682">
        <f>IF($W682="","",$R682&amp;"|"&amp;RIGHT("000000"&amp;$W682,6))</f>
        <v/>
      </c>
      <c r="Y682">
        <f>IF($P682="","",IF(Shares!$E685="",0,Shares!$E685))</f>
        <v/>
      </c>
      <c r="Z682">
        <f>IF($P682="","",Shares!$H685)</f>
        <v/>
      </c>
      <c r="AE682">
        <f>IF(OR(Sync!$S682="",Sync!$P682=""),"",Sync!$S682)</f>
        <v/>
      </c>
      <c r="AF682">
        <f>IF($AE682="","",IF(ISNUMBER(Sync!$P682),IF(AND(Sync!$P682&gt;=10000101,Sync!$P682&lt;=99991231),INT(Sync!$P682/10000),""),IFERROR(VALUE(TRIM(LEFT(Sync!$P682,FIND("/",Sync!$P682)-1))),"")))</f>
        <v/>
      </c>
      <c r="AG682">
        <f>IF(OR($AE682="",$AF682=""),"",IF(ISNUMBER(Sync!$P682),INT(MOD(Sync!$P682,10000)/100),IFERROR(VALUE(TRIM(LEFT(MID(Sync!$P682,FIND("/",Sync!$P682)+1,20),FIND("/",MID(Sync!$P682,FIND("/",Sync!$P682)+1,20))-1))),"")))</f>
        <v/>
      </c>
      <c r="AH682">
        <f>IF(OR($AE682="",$AF682=""),"",IF(ISNUMBER(Sync!$P682),MOD(Sync!$P682,100),IFERROR(VALUE(TRIM(MID(MID(Sync!$P682,FIND("/",Sync!$P682)+1,20),FIND("/",MID(Sync!$P682,FIND("/",Sync!$P682)+1,20))+1,20))),"")))</f>
        <v/>
      </c>
      <c r="AI682">
        <f>IF($AE682="","",IF(OR($AF682="",$AG682="",$AH682="",$AF682&lt;1300,$AF682&gt;1500,$AG682&lt;1,$AG682&gt;12,$AH682&lt;1,$AH682&gt;31),"نامعتبر",RIGHT("0000"&amp;$AF682,4)&amp;"/"&amp;RIGHT("00"&amp;$AG682,2)&amp;"/"&amp;RIGHT("00"&amp;$AH682,2)))</f>
        <v/>
      </c>
      <c r="AJ682">
        <f>IF($AE682="","",IF(Sync!$Q682="","0000",IF(AND(ISNUMBER(Sync!$Q682),Sync!$Q682&gt;=0,Sync!$Q682&lt;1),RIGHT("00"&amp;HOUR(Sync!$Q682),2)&amp;RIGHT("00"&amp;MINUTE(Sync!$Q682),2),IFERROR(RIGHT("00"&amp;VALUE(LEFT(Sync!$Q682,FIND(":",Sync!$Q682)-1)),2)&amp;RIGHT("00"&amp;VALUE(MID(Sync!$Q682,FIND(":",Sync!$Q682)+1,2)),2),"0000"))))</f>
        <v/>
      </c>
      <c r="AK682">
        <f>IF(OR($AE682="",$AI682="",$AI682="نامعتبر"),"",LEFT($AI682,4)&amp;MID($AI682,6,2)&amp;RIGHT($AI682,2)&amp;$AJ682&amp;"|"&amp;"3"&amp;RIGHT("00000"&amp;677,5))</f>
        <v/>
      </c>
      <c r="AL682">
        <f>IF($AK682="","",COUNTIFS(LdAParty,$AE682,LdAType,1,LdAKey,"&lt;"&amp;$AK682)+COUNTIFS(LdBMember,$AE682,LdBKey,"&lt;"&amp;$AK682)+COUNTIFS(LdCParty,$AE682,LdCKey,"&lt;"&amp;$AK682)+1)</f>
        <v/>
      </c>
      <c r="AM682">
        <f>IF($AL682="","",$AE682&amp;"|"&amp;RIGHT("000000"&amp;$AL682,6))</f>
        <v/>
      </c>
      <c r="AN682">
        <f>IF($AE682="","",IF(Sync!$W682="",0,Sync!$W682))</f>
        <v/>
      </c>
      <c r="AO682">
        <f>IF($AE682="","",IF(Sync!$X682="",0,Sync!$X682))</f>
        <v/>
      </c>
      <c r="AP682">
        <f>IF($AE682="","",Sync!$R682)</f>
        <v/>
      </c>
      <c r="AQ682">
        <f>IF($AE682="","",Sync!$Y682)</f>
        <v/>
      </c>
    </row>
    <row r="683">
      <c r="A683">
        <f>IF(OR(Wages!$B686="",Wages!$E686=""),"",Wages!$E686)</f>
        <v/>
      </c>
      <c r="B683">
        <f>IF($A683="","",IF(Wages!$C686="دستمزد گروهی",2,1))</f>
        <v/>
      </c>
      <c r="C683">
        <f>IF($A683="","",IF(ISNUMBER(Wages!$B686),IF(AND(Wages!$B686&gt;=10000101,Wages!$B686&lt;=99991231),INT(Wages!$B686/10000),""),IFERROR(VALUE(TRIM(LEFT(Wages!$B686,FIND("/",Wages!$B686)-1))),"")))</f>
        <v/>
      </c>
      <c r="D683">
        <f>IF(OR($A683="",$C683=""),"",IF(ISNUMBER(Wages!$B686),INT(MOD(Wages!$B686,10000)/100),IFERROR(VALUE(TRIM(LEFT(MID(Wages!$B686,FIND("/",Wages!$B686)+1,20),FIND("/",MID(Wages!$B686,FIND("/",Wages!$B686)+1,20))-1))),"")))</f>
        <v/>
      </c>
      <c r="E683">
        <f>IF(OR($A683="",$C683=""),"",IF(ISNUMBER(Wages!$B686),MOD(Wages!$B686,100),IFERROR(VALUE(TRIM(MID(MID(Wages!$B686,FIND("/",Wages!$B686)+1,20),FIND("/",MID(Wages!$B686,FIND("/",Wages!$B686)+1,20))+1,20))),"")))</f>
        <v/>
      </c>
      <c r="F683">
        <f>IF($A683="","",IF(OR($C683="",$D683="",$E683="",$C683&lt;1300,$C683&gt;1500,$D683&lt;1,$D683&gt;12,$E683&lt;1,$E683&gt;31),"نامعتبر",RIGHT("0000"&amp;$C683,4)&amp;"/"&amp;RIGHT("00"&amp;$D683,2)&amp;"/"&amp;RIGHT("00"&amp;$E683,2)))</f>
        <v/>
      </c>
      <c r="G683">
        <f>IF(OR($A683="",$F683="",$F683="نامعتبر"),"",LEFT($F683,4)&amp;MID($F683,6,2)&amp;RIGHT($F683,2)&amp;"0000"&amp;"|"&amp;"1"&amp;RIGHT("00000"&amp;678,5))</f>
        <v/>
      </c>
      <c r="H683">
        <f>IF(OR($B683&lt;&gt;1,$G683=""),"",COUNTIFS(LdAParty,$A683,LdAType,1,LdAKey,"&lt;"&amp;$G683)+COUNTIFS(LdBMember,$A683,LdBKey,"&lt;"&amp;$G683)+COUNTIFS(LdCParty,$A683,LdCKey,"&lt;"&amp;$G683)+1)</f>
        <v/>
      </c>
      <c r="I683">
        <f>IF($H683="","",$A683&amp;"|"&amp;RIGHT("000000"&amp;$H683,6))</f>
        <v/>
      </c>
      <c r="J683">
        <f>IF(OR($B683&lt;&gt;2,$G683=""),"",COUNTIFS(LdAParty,$A683,LdAType,2,LdAKey,"&lt;"&amp;$G683)+1)</f>
        <v/>
      </c>
      <c r="K683">
        <f>IF($J683="","",$A683&amp;"|"&amp;RIGHT("000000"&amp;$J683,6))</f>
        <v/>
      </c>
      <c r="L683">
        <f>IF($A683="","",IF(Wages!$G686="",0,Wages!$G686))</f>
        <v/>
      </c>
      <c r="M683">
        <f>IF($A683="","",Wages!$J686)</f>
        <v/>
      </c>
      <c r="N683">
        <f>IF($A683="","",Wages!$D686)</f>
        <v/>
      </c>
      <c r="P683">
        <f>IF(OR(Shares!$B686="",Shares!$C686=""),"",Shares!$C686)</f>
        <v/>
      </c>
      <c r="Q683">
        <f>IF($P683="","",Shares!$B686)</f>
        <v/>
      </c>
      <c r="R683">
        <f>IF($P683="","",IFERROR(INDEX(WageParty,MATCH($Q683,WageIds,0)),""))</f>
        <v/>
      </c>
      <c r="S683">
        <f>IF($P683="","",IFERROR(INDEX($F$6:$F$2005,MATCH($Q683,WageIds,0)),""))</f>
        <v/>
      </c>
      <c r="T683">
        <f>IF(OR($P683="",$S683="",$S683="نامعتبر"),"",LEFT($S683,4)&amp;MID($S683,6,2)&amp;RIGHT($S683,2)&amp;"0000"&amp;"|"&amp;"2"&amp;RIGHT("00000"&amp;678,5))</f>
        <v/>
      </c>
      <c r="U683">
        <f>IF($T683="","",COUNTIFS(LdAParty,$P683,LdAType,1,LdAKey,"&lt;"&amp;$T683)+COUNTIFS(LdBMember,$P683,LdBKey,"&lt;"&amp;$T683)+COUNTIFS(LdCParty,$P683,LdCKey,"&lt;"&amp;$T683)+1)</f>
        <v/>
      </c>
      <c r="V683">
        <f>IF($U683="","",$P683&amp;"|"&amp;RIGHT("000000"&amp;$U683,6))</f>
        <v/>
      </c>
      <c r="W683">
        <f>IF($T683="","",COUNTIFS(LdBGroup,$R683,LdBKey,"&lt;"&amp;$T683)+1)</f>
        <v/>
      </c>
      <c r="X683">
        <f>IF($W683="","",$R683&amp;"|"&amp;RIGHT("000000"&amp;$W683,6))</f>
        <v/>
      </c>
      <c r="Y683">
        <f>IF($P683="","",IF(Shares!$E686="",0,Shares!$E686))</f>
        <v/>
      </c>
      <c r="Z683">
        <f>IF($P683="","",Shares!$H686)</f>
        <v/>
      </c>
      <c r="AE683">
        <f>IF(OR(Sync!$S683="",Sync!$P683=""),"",Sync!$S683)</f>
        <v/>
      </c>
      <c r="AF683">
        <f>IF($AE683="","",IF(ISNUMBER(Sync!$P683),IF(AND(Sync!$P683&gt;=10000101,Sync!$P683&lt;=99991231),INT(Sync!$P683/10000),""),IFERROR(VALUE(TRIM(LEFT(Sync!$P683,FIND("/",Sync!$P683)-1))),"")))</f>
        <v/>
      </c>
      <c r="AG683">
        <f>IF(OR($AE683="",$AF683=""),"",IF(ISNUMBER(Sync!$P683),INT(MOD(Sync!$P683,10000)/100),IFERROR(VALUE(TRIM(LEFT(MID(Sync!$P683,FIND("/",Sync!$P683)+1,20),FIND("/",MID(Sync!$P683,FIND("/",Sync!$P683)+1,20))-1))),"")))</f>
        <v/>
      </c>
      <c r="AH683">
        <f>IF(OR($AE683="",$AF683=""),"",IF(ISNUMBER(Sync!$P683),MOD(Sync!$P683,100),IFERROR(VALUE(TRIM(MID(MID(Sync!$P683,FIND("/",Sync!$P683)+1,20),FIND("/",MID(Sync!$P683,FIND("/",Sync!$P683)+1,20))+1,20))),"")))</f>
        <v/>
      </c>
      <c r="AI683">
        <f>IF($AE683="","",IF(OR($AF683="",$AG683="",$AH683="",$AF683&lt;1300,$AF683&gt;1500,$AG683&lt;1,$AG683&gt;12,$AH683&lt;1,$AH683&gt;31),"نامعتبر",RIGHT("0000"&amp;$AF683,4)&amp;"/"&amp;RIGHT("00"&amp;$AG683,2)&amp;"/"&amp;RIGHT("00"&amp;$AH683,2)))</f>
        <v/>
      </c>
      <c r="AJ683">
        <f>IF($AE683="","",IF(Sync!$Q683="","0000",IF(AND(ISNUMBER(Sync!$Q683),Sync!$Q683&gt;=0,Sync!$Q683&lt;1),RIGHT("00"&amp;HOUR(Sync!$Q683),2)&amp;RIGHT("00"&amp;MINUTE(Sync!$Q683),2),IFERROR(RIGHT("00"&amp;VALUE(LEFT(Sync!$Q683,FIND(":",Sync!$Q683)-1)),2)&amp;RIGHT("00"&amp;VALUE(MID(Sync!$Q683,FIND(":",Sync!$Q683)+1,2)),2),"0000"))))</f>
        <v/>
      </c>
      <c r="AK683">
        <f>IF(OR($AE683="",$AI683="",$AI683="نامعتبر"),"",LEFT($AI683,4)&amp;MID($AI683,6,2)&amp;RIGHT($AI683,2)&amp;$AJ683&amp;"|"&amp;"3"&amp;RIGHT("00000"&amp;678,5))</f>
        <v/>
      </c>
      <c r="AL683">
        <f>IF($AK683="","",COUNTIFS(LdAParty,$AE683,LdAType,1,LdAKey,"&lt;"&amp;$AK683)+COUNTIFS(LdBMember,$AE683,LdBKey,"&lt;"&amp;$AK683)+COUNTIFS(LdCParty,$AE683,LdCKey,"&lt;"&amp;$AK683)+1)</f>
        <v/>
      </c>
      <c r="AM683">
        <f>IF($AL683="","",$AE683&amp;"|"&amp;RIGHT("000000"&amp;$AL683,6))</f>
        <v/>
      </c>
      <c r="AN683">
        <f>IF($AE683="","",IF(Sync!$W683="",0,Sync!$W683))</f>
        <v/>
      </c>
      <c r="AO683">
        <f>IF($AE683="","",IF(Sync!$X683="",0,Sync!$X683))</f>
        <v/>
      </c>
      <c r="AP683">
        <f>IF($AE683="","",Sync!$R683)</f>
        <v/>
      </c>
      <c r="AQ683">
        <f>IF($AE683="","",Sync!$Y683)</f>
        <v/>
      </c>
    </row>
    <row r="684">
      <c r="A684">
        <f>IF(OR(Wages!$B687="",Wages!$E687=""),"",Wages!$E687)</f>
        <v/>
      </c>
      <c r="B684">
        <f>IF($A684="","",IF(Wages!$C687="دستمزد گروهی",2,1))</f>
        <v/>
      </c>
      <c r="C684">
        <f>IF($A684="","",IF(ISNUMBER(Wages!$B687),IF(AND(Wages!$B687&gt;=10000101,Wages!$B687&lt;=99991231),INT(Wages!$B687/10000),""),IFERROR(VALUE(TRIM(LEFT(Wages!$B687,FIND("/",Wages!$B687)-1))),"")))</f>
        <v/>
      </c>
      <c r="D684">
        <f>IF(OR($A684="",$C684=""),"",IF(ISNUMBER(Wages!$B687),INT(MOD(Wages!$B687,10000)/100),IFERROR(VALUE(TRIM(LEFT(MID(Wages!$B687,FIND("/",Wages!$B687)+1,20),FIND("/",MID(Wages!$B687,FIND("/",Wages!$B687)+1,20))-1))),"")))</f>
        <v/>
      </c>
      <c r="E684">
        <f>IF(OR($A684="",$C684=""),"",IF(ISNUMBER(Wages!$B687),MOD(Wages!$B687,100),IFERROR(VALUE(TRIM(MID(MID(Wages!$B687,FIND("/",Wages!$B687)+1,20),FIND("/",MID(Wages!$B687,FIND("/",Wages!$B687)+1,20))+1,20))),"")))</f>
        <v/>
      </c>
      <c r="F684">
        <f>IF($A684="","",IF(OR($C684="",$D684="",$E684="",$C684&lt;1300,$C684&gt;1500,$D684&lt;1,$D684&gt;12,$E684&lt;1,$E684&gt;31),"نامعتبر",RIGHT("0000"&amp;$C684,4)&amp;"/"&amp;RIGHT("00"&amp;$D684,2)&amp;"/"&amp;RIGHT("00"&amp;$E684,2)))</f>
        <v/>
      </c>
      <c r="G684">
        <f>IF(OR($A684="",$F684="",$F684="نامعتبر"),"",LEFT($F684,4)&amp;MID($F684,6,2)&amp;RIGHT($F684,2)&amp;"0000"&amp;"|"&amp;"1"&amp;RIGHT("00000"&amp;679,5))</f>
        <v/>
      </c>
      <c r="H684">
        <f>IF(OR($B684&lt;&gt;1,$G684=""),"",COUNTIFS(LdAParty,$A684,LdAType,1,LdAKey,"&lt;"&amp;$G684)+COUNTIFS(LdBMember,$A684,LdBKey,"&lt;"&amp;$G684)+COUNTIFS(LdCParty,$A684,LdCKey,"&lt;"&amp;$G684)+1)</f>
        <v/>
      </c>
      <c r="I684">
        <f>IF($H684="","",$A684&amp;"|"&amp;RIGHT("000000"&amp;$H684,6))</f>
        <v/>
      </c>
      <c r="J684">
        <f>IF(OR($B684&lt;&gt;2,$G684=""),"",COUNTIFS(LdAParty,$A684,LdAType,2,LdAKey,"&lt;"&amp;$G684)+1)</f>
        <v/>
      </c>
      <c r="K684">
        <f>IF($J684="","",$A684&amp;"|"&amp;RIGHT("000000"&amp;$J684,6))</f>
        <v/>
      </c>
      <c r="L684">
        <f>IF($A684="","",IF(Wages!$G687="",0,Wages!$G687))</f>
        <v/>
      </c>
      <c r="M684">
        <f>IF($A684="","",Wages!$J687)</f>
        <v/>
      </c>
      <c r="N684">
        <f>IF($A684="","",Wages!$D687)</f>
        <v/>
      </c>
      <c r="P684">
        <f>IF(OR(Shares!$B687="",Shares!$C687=""),"",Shares!$C687)</f>
        <v/>
      </c>
      <c r="Q684">
        <f>IF($P684="","",Shares!$B687)</f>
        <v/>
      </c>
      <c r="R684">
        <f>IF($P684="","",IFERROR(INDEX(WageParty,MATCH($Q684,WageIds,0)),""))</f>
        <v/>
      </c>
      <c r="S684">
        <f>IF($P684="","",IFERROR(INDEX($F$6:$F$2005,MATCH($Q684,WageIds,0)),""))</f>
        <v/>
      </c>
      <c r="T684">
        <f>IF(OR($P684="",$S684="",$S684="نامعتبر"),"",LEFT($S684,4)&amp;MID($S684,6,2)&amp;RIGHT($S684,2)&amp;"0000"&amp;"|"&amp;"2"&amp;RIGHT("00000"&amp;679,5))</f>
        <v/>
      </c>
      <c r="U684">
        <f>IF($T684="","",COUNTIFS(LdAParty,$P684,LdAType,1,LdAKey,"&lt;"&amp;$T684)+COUNTIFS(LdBMember,$P684,LdBKey,"&lt;"&amp;$T684)+COUNTIFS(LdCParty,$P684,LdCKey,"&lt;"&amp;$T684)+1)</f>
        <v/>
      </c>
      <c r="V684">
        <f>IF($U684="","",$P684&amp;"|"&amp;RIGHT("000000"&amp;$U684,6))</f>
        <v/>
      </c>
      <c r="W684">
        <f>IF($T684="","",COUNTIFS(LdBGroup,$R684,LdBKey,"&lt;"&amp;$T684)+1)</f>
        <v/>
      </c>
      <c r="X684">
        <f>IF($W684="","",$R684&amp;"|"&amp;RIGHT("000000"&amp;$W684,6))</f>
        <v/>
      </c>
      <c r="Y684">
        <f>IF($P684="","",IF(Shares!$E687="",0,Shares!$E687))</f>
        <v/>
      </c>
      <c r="Z684">
        <f>IF($P684="","",Shares!$H687)</f>
        <v/>
      </c>
      <c r="AE684">
        <f>IF(OR(Sync!$S684="",Sync!$P684=""),"",Sync!$S684)</f>
        <v/>
      </c>
      <c r="AF684">
        <f>IF($AE684="","",IF(ISNUMBER(Sync!$P684),IF(AND(Sync!$P684&gt;=10000101,Sync!$P684&lt;=99991231),INT(Sync!$P684/10000),""),IFERROR(VALUE(TRIM(LEFT(Sync!$P684,FIND("/",Sync!$P684)-1))),"")))</f>
        <v/>
      </c>
      <c r="AG684">
        <f>IF(OR($AE684="",$AF684=""),"",IF(ISNUMBER(Sync!$P684),INT(MOD(Sync!$P684,10000)/100),IFERROR(VALUE(TRIM(LEFT(MID(Sync!$P684,FIND("/",Sync!$P684)+1,20),FIND("/",MID(Sync!$P684,FIND("/",Sync!$P684)+1,20))-1))),"")))</f>
        <v/>
      </c>
      <c r="AH684">
        <f>IF(OR($AE684="",$AF684=""),"",IF(ISNUMBER(Sync!$P684),MOD(Sync!$P684,100),IFERROR(VALUE(TRIM(MID(MID(Sync!$P684,FIND("/",Sync!$P684)+1,20),FIND("/",MID(Sync!$P684,FIND("/",Sync!$P684)+1,20))+1,20))),"")))</f>
        <v/>
      </c>
      <c r="AI684">
        <f>IF($AE684="","",IF(OR($AF684="",$AG684="",$AH684="",$AF684&lt;1300,$AF684&gt;1500,$AG684&lt;1,$AG684&gt;12,$AH684&lt;1,$AH684&gt;31),"نامعتبر",RIGHT("0000"&amp;$AF684,4)&amp;"/"&amp;RIGHT("00"&amp;$AG684,2)&amp;"/"&amp;RIGHT("00"&amp;$AH684,2)))</f>
        <v/>
      </c>
      <c r="AJ684">
        <f>IF($AE684="","",IF(Sync!$Q684="","0000",IF(AND(ISNUMBER(Sync!$Q684),Sync!$Q684&gt;=0,Sync!$Q684&lt;1),RIGHT("00"&amp;HOUR(Sync!$Q684),2)&amp;RIGHT("00"&amp;MINUTE(Sync!$Q684),2),IFERROR(RIGHT("00"&amp;VALUE(LEFT(Sync!$Q684,FIND(":",Sync!$Q684)-1)),2)&amp;RIGHT("00"&amp;VALUE(MID(Sync!$Q684,FIND(":",Sync!$Q684)+1,2)),2),"0000"))))</f>
        <v/>
      </c>
      <c r="AK684">
        <f>IF(OR($AE684="",$AI684="",$AI684="نامعتبر"),"",LEFT($AI684,4)&amp;MID($AI684,6,2)&amp;RIGHT($AI684,2)&amp;$AJ684&amp;"|"&amp;"3"&amp;RIGHT("00000"&amp;679,5))</f>
        <v/>
      </c>
      <c r="AL684">
        <f>IF($AK684="","",COUNTIFS(LdAParty,$AE684,LdAType,1,LdAKey,"&lt;"&amp;$AK684)+COUNTIFS(LdBMember,$AE684,LdBKey,"&lt;"&amp;$AK684)+COUNTIFS(LdCParty,$AE684,LdCKey,"&lt;"&amp;$AK684)+1)</f>
        <v/>
      </c>
      <c r="AM684">
        <f>IF($AL684="","",$AE684&amp;"|"&amp;RIGHT("000000"&amp;$AL684,6))</f>
        <v/>
      </c>
      <c r="AN684">
        <f>IF($AE684="","",IF(Sync!$W684="",0,Sync!$W684))</f>
        <v/>
      </c>
      <c r="AO684">
        <f>IF($AE684="","",IF(Sync!$X684="",0,Sync!$X684))</f>
        <v/>
      </c>
      <c r="AP684">
        <f>IF($AE684="","",Sync!$R684)</f>
        <v/>
      </c>
      <c r="AQ684">
        <f>IF($AE684="","",Sync!$Y684)</f>
        <v/>
      </c>
    </row>
    <row r="685">
      <c r="A685">
        <f>IF(OR(Wages!$B688="",Wages!$E688=""),"",Wages!$E688)</f>
        <v/>
      </c>
      <c r="B685">
        <f>IF($A685="","",IF(Wages!$C688="دستمزد گروهی",2,1))</f>
        <v/>
      </c>
      <c r="C685">
        <f>IF($A685="","",IF(ISNUMBER(Wages!$B688),IF(AND(Wages!$B688&gt;=10000101,Wages!$B688&lt;=99991231),INT(Wages!$B688/10000),""),IFERROR(VALUE(TRIM(LEFT(Wages!$B688,FIND("/",Wages!$B688)-1))),"")))</f>
        <v/>
      </c>
      <c r="D685">
        <f>IF(OR($A685="",$C685=""),"",IF(ISNUMBER(Wages!$B688),INT(MOD(Wages!$B688,10000)/100),IFERROR(VALUE(TRIM(LEFT(MID(Wages!$B688,FIND("/",Wages!$B688)+1,20),FIND("/",MID(Wages!$B688,FIND("/",Wages!$B688)+1,20))-1))),"")))</f>
        <v/>
      </c>
      <c r="E685">
        <f>IF(OR($A685="",$C685=""),"",IF(ISNUMBER(Wages!$B688),MOD(Wages!$B688,100),IFERROR(VALUE(TRIM(MID(MID(Wages!$B688,FIND("/",Wages!$B688)+1,20),FIND("/",MID(Wages!$B688,FIND("/",Wages!$B688)+1,20))+1,20))),"")))</f>
        <v/>
      </c>
      <c r="F685">
        <f>IF($A685="","",IF(OR($C685="",$D685="",$E685="",$C685&lt;1300,$C685&gt;1500,$D685&lt;1,$D685&gt;12,$E685&lt;1,$E685&gt;31),"نامعتبر",RIGHT("0000"&amp;$C685,4)&amp;"/"&amp;RIGHT("00"&amp;$D685,2)&amp;"/"&amp;RIGHT("00"&amp;$E685,2)))</f>
        <v/>
      </c>
      <c r="G685">
        <f>IF(OR($A685="",$F685="",$F685="نامعتبر"),"",LEFT($F685,4)&amp;MID($F685,6,2)&amp;RIGHT($F685,2)&amp;"0000"&amp;"|"&amp;"1"&amp;RIGHT("00000"&amp;680,5))</f>
        <v/>
      </c>
      <c r="H685">
        <f>IF(OR($B685&lt;&gt;1,$G685=""),"",COUNTIFS(LdAParty,$A685,LdAType,1,LdAKey,"&lt;"&amp;$G685)+COUNTIFS(LdBMember,$A685,LdBKey,"&lt;"&amp;$G685)+COUNTIFS(LdCParty,$A685,LdCKey,"&lt;"&amp;$G685)+1)</f>
        <v/>
      </c>
      <c r="I685">
        <f>IF($H685="","",$A685&amp;"|"&amp;RIGHT("000000"&amp;$H685,6))</f>
        <v/>
      </c>
      <c r="J685">
        <f>IF(OR($B685&lt;&gt;2,$G685=""),"",COUNTIFS(LdAParty,$A685,LdAType,2,LdAKey,"&lt;"&amp;$G685)+1)</f>
        <v/>
      </c>
      <c r="K685">
        <f>IF($J685="","",$A685&amp;"|"&amp;RIGHT("000000"&amp;$J685,6))</f>
        <v/>
      </c>
      <c r="L685">
        <f>IF($A685="","",IF(Wages!$G688="",0,Wages!$G688))</f>
        <v/>
      </c>
      <c r="M685">
        <f>IF($A685="","",Wages!$J688)</f>
        <v/>
      </c>
      <c r="N685">
        <f>IF($A685="","",Wages!$D688)</f>
        <v/>
      </c>
      <c r="P685">
        <f>IF(OR(Shares!$B688="",Shares!$C688=""),"",Shares!$C688)</f>
        <v/>
      </c>
      <c r="Q685">
        <f>IF($P685="","",Shares!$B688)</f>
        <v/>
      </c>
      <c r="R685">
        <f>IF($P685="","",IFERROR(INDEX(WageParty,MATCH($Q685,WageIds,0)),""))</f>
        <v/>
      </c>
      <c r="S685">
        <f>IF($P685="","",IFERROR(INDEX($F$6:$F$2005,MATCH($Q685,WageIds,0)),""))</f>
        <v/>
      </c>
      <c r="T685">
        <f>IF(OR($P685="",$S685="",$S685="نامعتبر"),"",LEFT($S685,4)&amp;MID($S685,6,2)&amp;RIGHT($S685,2)&amp;"0000"&amp;"|"&amp;"2"&amp;RIGHT("00000"&amp;680,5))</f>
        <v/>
      </c>
      <c r="U685">
        <f>IF($T685="","",COUNTIFS(LdAParty,$P685,LdAType,1,LdAKey,"&lt;"&amp;$T685)+COUNTIFS(LdBMember,$P685,LdBKey,"&lt;"&amp;$T685)+COUNTIFS(LdCParty,$P685,LdCKey,"&lt;"&amp;$T685)+1)</f>
        <v/>
      </c>
      <c r="V685">
        <f>IF($U685="","",$P685&amp;"|"&amp;RIGHT("000000"&amp;$U685,6))</f>
        <v/>
      </c>
      <c r="W685">
        <f>IF($T685="","",COUNTIFS(LdBGroup,$R685,LdBKey,"&lt;"&amp;$T685)+1)</f>
        <v/>
      </c>
      <c r="X685">
        <f>IF($W685="","",$R685&amp;"|"&amp;RIGHT("000000"&amp;$W685,6))</f>
        <v/>
      </c>
      <c r="Y685">
        <f>IF($P685="","",IF(Shares!$E688="",0,Shares!$E688))</f>
        <v/>
      </c>
      <c r="Z685">
        <f>IF($P685="","",Shares!$H688)</f>
        <v/>
      </c>
      <c r="AE685">
        <f>IF(OR(Sync!$S685="",Sync!$P685=""),"",Sync!$S685)</f>
        <v/>
      </c>
      <c r="AF685">
        <f>IF($AE685="","",IF(ISNUMBER(Sync!$P685),IF(AND(Sync!$P685&gt;=10000101,Sync!$P685&lt;=99991231),INT(Sync!$P685/10000),""),IFERROR(VALUE(TRIM(LEFT(Sync!$P685,FIND("/",Sync!$P685)-1))),"")))</f>
        <v/>
      </c>
      <c r="AG685">
        <f>IF(OR($AE685="",$AF685=""),"",IF(ISNUMBER(Sync!$P685),INT(MOD(Sync!$P685,10000)/100),IFERROR(VALUE(TRIM(LEFT(MID(Sync!$P685,FIND("/",Sync!$P685)+1,20),FIND("/",MID(Sync!$P685,FIND("/",Sync!$P685)+1,20))-1))),"")))</f>
        <v/>
      </c>
      <c r="AH685">
        <f>IF(OR($AE685="",$AF685=""),"",IF(ISNUMBER(Sync!$P685),MOD(Sync!$P685,100),IFERROR(VALUE(TRIM(MID(MID(Sync!$P685,FIND("/",Sync!$P685)+1,20),FIND("/",MID(Sync!$P685,FIND("/",Sync!$P685)+1,20))+1,20))),"")))</f>
        <v/>
      </c>
      <c r="AI685">
        <f>IF($AE685="","",IF(OR($AF685="",$AG685="",$AH685="",$AF685&lt;1300,$AF685&gt;1500,$AG685&lt;1,$AG685&gt;12,$AH685&lt;1,$AH685&gt;31),"نامعتبر",RIGHT("0000"&amp;$AF685,4)&amp;"/"&amp;RIGHT("00"&amp;$AG685,2)&amp;"/"&amp;RIGHT("00"&amp;$AH685,2)))</f>
        <v/>
      </c>
      <c r="AJ685">
        <f>IF($AE685="","",IF(Sync!$Q685="","0000",IF(AND(ISNUMBER(Sync!$Q685),Sync!$Q685&gt;=0,Sync!$Q685&lt;1),RIGHT("00"&amp;HOUR(Sync!$Q685),2)&amp;RIGHT("00"&amp;MINUTE(Sync!$Q685),2),IFERROR(RIGHT("00"&amp;VALUE(LEFT(Sync!$Q685,FIND(":",Sync!$Q685)-1)),2)&amp;RIGHT("00"&amp;VALUE(MID(Sync!$Q685,FIND(":",Sync!$Q685)+1,2)),2),"0000"))))</f>
        <v/>
      </c>
      <c r="AK685">
        <f>IF(OR($AE685="",$AI685="",$AI685="نامعتبر"),"",LEFT($AI685,4)&amp;MID($AI685,6,2)&amp;RIGHT($AI685,2)&amp;$AJ685&amp;"|"&amp;"3"&amp;RIGHT("00000"&amp;680,5))</f>
        <v/>
      </c>
      <c r="AL685">
        <f>IF($AK685="","",COUNTIFS(LdAParty,$AE685,LdAType,1,LdAKey,"&lt;"&amp;$AK685)+COUNTIFS(LdBMember,$AE685,LdBKey,"&lt;"&amp;$AK685)+COUNTIFS(LdCParty,$AE685,LdCKey,"&lt;"&amp;$AK685)+1)</f>
        <v/>
      </c>
      <c r="AM685">
        <f>IF($AL685="","",$AE685&amp;"|"&amp;RIGHT("000000"&amp;$AL685,6))</f>
        <v/>
      </c>
      <c r="AN685">
        <f>IF($AE685="","",IF(Sync!$W685="",0,Sync!$W685))</f>
        <v/>
      </c>
      <c r="AO685">
        <f>IF($AE685="","",IF(Sync!$X685="",0,Sync!$X685))</f>
        <v/>
      </c>
      <c r="AP685">
        <f>IF($AE685="","",Sync!$R685)</f>
        <v/>
      </c>
      <c r="AQ685">
        <f>IF($AE685="","",Sync!$Y685)</f>
        <v/>
      </c>
    </row>
    <row r="686">
      <c r="A686">
        <f>IF(OR(Wages!$B689="",Wages!$E689=""),"",Wages!$E689)</f>
        <v/>
      </c>
      <c r="B686">
        <f>IF($A686="","",IF(Wages!$C689="دستمزد گروهی",2,1))</f>
        <v/>
      </c>
      <c r="C686">
        <f>IF($A686="","",IF(ISNUMBER(Wages!$B689),IF(AND(Wages!$B689&gt;=10000101,Wages!$B689&lt;=99991231),INT(Wages!$B689/10000),""),IFERROR(VALUE(TRIM(LEFT(Wages!$B689,FIND("/",Wages!$B689)-1))),"")))</f>
        <v/>
      </c>
      <c r="D686">
        <f>IF(OR($A686="",$C686=""),"",IF(ISNUMBER(Wages!$B689),INT(MOD(Wages!$B689,10000)/100),IFERROR(VALUE(TRIM(LEFT(MID(Wages!$B689,FIND("/",Wages!$B689)+1,20),FIND("/",MID(Wages!$B689,FIND("/",Wages!$B689)+1,20))-1))),"")))</f>
        <v/>
      </c>
      <c r="E686">
        <f>IF(OR($A686="",$C686=""),"",IF(ISNUMBER(Wages!$B689),MOD(Wages!$B689,100),IFERROR(VALUE(TRIM(MID(MID(Wages!$B689,FIND("/",Wages!$B689)+1,20),FIND("/",MID(Wages!$B689,FIND("/",Wages!$B689)+1,20))+1,20))),"")))</f>
        <v/>
      </c>
      <c r="F686">
        <f>IF($A686="","",IF(OR($C686="",$D686="",$E686="",$C686&lt;1300,$C686&gt;1500,$D686&lt;1,$D686&gt;12,$E686&lt;1,$E686&gt;31),"نامعتبر",RIGHT("0000"&amp;$C686,4)&amp;"/"&amp;RIGHT("00"&amp;$D686,2)&amp;"/"&amp;RIGHT("00"&amp;$E686,2)))</f>
        <v/>
      </c>
      <c r="G686">
        <f>IF(OR($A686="",$F686="",$F686="نامعتبر"),"",LEFT($F686,4)&amp;MID($F686,6,2)&amp;RIGHT($F686,2)&amp;"0000"&amp;"|"&amp;"1"&amp;RIGHT("00000"&amp;681,5))</f>
        <v/>
      </c>
      <c r="H686">
        <f>IF(OR($B686&lt;&gt;1,$G686=""),"",COUNTIFS(LdAParty,$A686,LdAType,1,LdAKey,"&lt;"&amp;$G686)+COUNTIFS(LdBMember,$A686,LdBKey,"&lt;"&amp;$G686)+COUNTIFS(LdCParty,$A686,LdCKey,"&lt;"&amp;$G686)+1)</f>
        <v/>
      </c>
      <c r="I686">
        <f>IF($H686="","",$A686&amp;"|"&amp;RIGHT("000000"&amp;$H686,6))</f>
        <v/>
      </c>
      <c r="J686">
        <f>IF(OR($B686&lt;&gt;2,$G686=""),"",COUNTIFS(LdAParty,$A686,LdAType,2,LdAKey,"&lt;"&amp;$G686)+1)</f>
        <v/>
      </c>
      <c r="K686">
        <f>IF($J686="","",$A686&amp;"|"&amp;RIGHT("000000"&amp;$J686,6))</f>
        <v/>
      </c>
      <c r="L686">
        <f>IF($A686="","",IF(Wages!$G689="",0,Wages!$G689))</f>
        <v/>
      </c>
      <c r="M686">
        <f>IF($A686="","",Wages!$J689)</f>
        <v/>
      </c>
      <c r="N686">
        <f>IF($A686="","",Wages!$D689)</f>
        <v/>
      </c>
      <c r="P686">
        <f>IF(OR(Shares!$B689="",Shares!$C689=""),"",Shares!$C689)</f>
        <v/>
      </c>
      <c r="Q686">
        <f>IF($P686="","",Shares!$B689)</f>
        <v/>
      </c>
      <c r="R686">
        <f>IF($P686="","",IFERROR(INDEX(WageParty,MATCH($Q686,WageIds,0)),""))</f>
        <v/>
      </c>
      <c r="S686">
        <f>IF($P686="","",IFERROR(INDEX($F$6:$F$2005,MATCH($Q686,WageIds,0)),""))</f>
        <v/>
      </c>
      <c r="T686">
        <f>IF(OR($P686="",$S686="",$S686="نامعتبر"),"",LEFT($S686,4)&amp;MID($S686,6,2)&amp;RIGHT($S686,2)&amp;"0000"&amp;"|"&amp;"2"&amp;RIGHT("00000"&amp;681,5))</f>
        <v/>
      </c>
      <c r="U686">
        <f>IF($T686="","",COUNTIFS(LdAParty,$P686,LdAType,1,LdAKey,"&lt;"&amp;$T686)+COUNTIFS(LdBMember,$P686,LdBKey,"&lt;"&amp;$T686)+COUNTIFS(LdCParty,$P686,LdCKey,"&lt;"&amp;$T686)+1)</f>
        <v/>
      </c>
      <c r="V686">
        <f>IF($U686="","",$P686&amp;"|"&amp;RIGHT("000000"&amp;$U686,6))</f>
        <v/>
      </c>
      <c r="W686">
        <f>IF($T686="","",COUNTIFS(LdBGroup,$R686,LdBKey,"&lt;"&amp;$T686)+1)</f>
        <v/>
      </c>
      <c r="X686">
        <f>IF($W686="","",$R686&amp;"|"&amp;RIGHT("000000"&amp;$W686,6))</f>
        <v/>
      </c>
      <c r="Y686">
        <f>IF($P686="","",IF(Shares!$E689="",0,Shares!$E689))</f>
        <v/>
      </c>
      <c r="Z686">
        <f>IF($P686="","",Shares!$H689)</f>
        <v/>
      </c>
      <c r="AE686">
        <f>IF(OR(Sync!$S686="",Sync!$P686=""),"",Sync!$S686)</f>
        <v/>
      </c>
      <c r="AF686">
        <f>IF($AE686="","",IF(ISNUMBER(Sync!$P686),IF(AND(Sync!$P686&gt;=10000101,Sync!$P686&lt;=99991231),INT(Sync!$P686/10000),""),IFERROR(VALUE(TRIM(LEFT(Sync!$P686,FIND("/",Sync!$P686)-1))),"")))</f>
        <v/>
      </c>
      <c r="AG686">
        <f>IF(OR($AE686="",$AF686=""),"",IF(ISNUMBER(Sync!$P686),INT(MOD(Sync!$P686,10000)/100),IFERROR(VALUE(TRIM(LEFT(MID(Sync!$P686,FIND("/",Sync!$P686)+1,20),FIND("/",MID(Sync!$P686,FIND("/",Sync!$P686)+1,20))-1))),"")))</f>
        <v/>
      </c>
      <c r="AH686">
        <f>IF(OR($AE686="",$AF686=""),"",IF(ISNUMBER(Sync!$P686),MOD(Sync!$P686,100),IFERROR(VALUE(TRIM(MID(MID(Sync!$P686,FIND("/",Sync!$P686)+1,20),FIND("/",MID(Sync!$P686,FIND("/",Sync!$P686)+1,20))+1,20))),"")))</f>
        <v/>
      </c>
      <c r="AI686">
        <f>IF($AE686="","",IF(OR($AF686="",$AG686="",$AH686="",$AF686&lt;1300,$AF686&gt;1500,$AG686&lt;1,$AG686&gt;12,$AH686&lt;1,$AH686&gt;31),"نامعتبر",RIGHT("0000"&amp;$AF686,4)&amp;"/"&amp;RIGHT("00"&amp;$AG686,2)&amp;"/"&amp;RIGHT("00"&amp;$AH686,2)))</f>
        <v/>
      </c>
      <c r="AJ686">
        <f>IF($AE686="","",IF(Sync!$Q686="","0000",IF(AND(ISNUMBER(Sync!$Q686),Sync!$Q686&gt;=0,Sync!$Q686&lt;1),RIGHT("00"&amp;HOUR(Sync!$Q686),2)&amp;RIGHT("00"&amp;MINUTE(Sync!$Q686),2),IFERROR(RIGHT("00"&amp;VALUE(LEFT(Sync!$Q686,FIND(":",Sync!$Q686)-1)),2)&amp;RIGHT("00"&amp;VALUE(MID(Sync!$Q686,FIND(":",Sync!$Q686)+1,2)),2),"0000"))))</f>
        <v/>
      </c>
      <c r="AK686">
        <f>IF(OR($AE686="",$AI686="",$AI686="نامعتبر"),"",LEFT($AI686,4)&amp;MID($AI686,6,2)&amp;RIGHT($AI686,2)&amp;$AJ686&amp;"|"&amp;"3"&amp;RIGHT("00000"&amp;681,5))</f>
        <v/>
      </c>
      <c r="AL686">
        <f>IF($AK686="","",COUNTIFS(LdAParty,$AE686,LdAType,1,LdAKey,"&lt;"&amp;$AK686)+COUNTIFS(LdBMember,$AE686,LdBKey,"&lt;"&amp;$AK686)+COUNTIFS(LdCParty,$AE686,LdCKey,"&lt;"&amp;$AK686)+1)</f>
        <v/>
      </c>
      <c r="AM686">
        <f>IF($AL686="","",$AE686&amp;"|"&amp;RIGHT("000000"&amp;$AL686,6))</f>
        <v/>
      </c>
      <c r="AN686">
        <f>IF($AE686="","",IF(Sync!$W686="",0,Sync!$W686))</f>
        <v/>
      </c>
      <c r="AO686">
        <f>IF($AE686="","",IF(Sync!$X686="",0,Sync!$X686))</f>
        <v/>
      </c>
      <c r="AP686">
        <f>IF($AE686="","",Sync!$R686)</f>
        <v/>
      </c>
      <c r="AQ686">
        <f>IF($AE686="","",Sync!$Y686)</f>
        <v/>
      </c>
    </row>
    <row r="687">
      <c r="A687">
        <f>IF(OR(Wages!$B690="",Wages!$E690=""),"",Wages!$E690)</f>
        <v/>
      </c>
      <c r="B687">
        <f>IF($A687="","",IF(Wages!$C690="دستمزد گروهی",2,1))</f>
        <v/>
      </c>
      <c r="C687">
        <f>IF($A687="","",IF(ISNUMBER(Wages!$B690),IF(AND(Wages!$B690&gt;=10000101,Wages!$B690&lt;=99991231),INT(Wages!$B690/10000),""),IFERROR(VALUE(TRIM(LEFT(Wages!$B690,FIND("/",Wages!$B690)-1))),"")))</f>
        <v/>
      </c>
      <c r="D687">
        <f>IF(OR($A687="",$C687=""),"",IF(ISNUMBER(Wages!$B690),INT(MOD(Wages!$B690,10000)/100),IFERROR(VALUE(TRIM(LEFT(MID(Wages!$B690,FIND("/",Wages!$B690)+1,20),FIND("/",MID(Wages!$B690,FIND("/",Wages!$B690)+1,20))-1))),"")))</f>
        <v/>
      </c>
      <c r="E687">
        <f>IF(OR($A687="",$C687=""),"",IF(ISNUMBER(Wages!$B690),MOD(Wages!$B690,100),IFERROR(VALUE(TRIM(MID(MID(Wages!$B690,FIND("/",Wages!$B690)+1,20),FIND("/",MID(Wages!$B690,FIND("/",Wages!$B690)+1,20))+1,20))),"")))</f>
        <v/>
      </c>
      <c r="F687">
        <f>IF($A687="","",IF(OR($C687="",$D687="",$E687="",$C687&lt;1300,$C687&gt;1500,$D687&lt;1,$D687&gt;12,$E687&lt;1,$E687&gt;31),"نامعتبر",RIGHT("0000"&amp;$C687,4)&amp;"/"&amp;RIGHT("00"&amp;$D687,2)&amp;"/"&amp;RIGHT("00"&amp;$E687,2)))</f>
        <v/>
      </c>
      <c r="G687">
        <f>IF(OR($A687="",$F687="",$F687="نامعتبر"),"",LEFT($F687,4)&amp;MID($F687,6,2)&amp;RIGHT($F687,2)&amp;"0000"&amp;"|"&amp;"1"&amp;RIGHT("00000"&amp;682,5))</f>
        <v/>
      </c>
      <c r="H687">
        <f>IF(OR($B687&lt;&gt;1,$G687=""),"",COUNTIFS(LdAParty,$A687,LdAType,1,LdAKey,"&lt;"&amp;$G687)+COUNTIFS(LdBMember,$A687,LdBKey,"&lt;"&amp;$G687)+COUNTIFS(LdCParty,$A687,LdCKey,"&lt;"&amp;$G687)+1)</f>
        <v/>
      </c>
      <c r="I687">
        <f>IF($H687="","",$A687&amp;"|"&amp;RIGHT("000000"&amp;$H687,6))</f>
        <v/>
      </c>
      <c r="J687">
        <f>IF(OR($B687&lt;&gt;2,$G687=""),"",COUNTIFS(LdAParty,$A687,LdAType,2,LdAKey,"&lt;"&amp;$G687)+1)</f>
        <v/>
      </c>
      <c r="K687">
        <f>IF($J687="","",$A687&amp;"|"&amp;RIGHT("000000"&amp;$J687,6))</f>
        <v/>
      </c>
      <c r="L687">
        <f>IF($A687="","",IF(Wages!$G690="",0,Wages!$G690))</f>
        <v/>
      </c>
      <c r="M687">
        <f>IF($A687="","",Wages!$J690)</f>
        <v/>
      </c>
      <c r="N687">
        <f>IF($A687="","",Wages!$D690)</f>
        <v/>
      </c>
      <c r="P687">
        <f>IF(OR(Shares!$B690="",Shares!$C690=""),"",Shares!$C690)</f>
        <v/>
      </c>
      <c r="Q687">
        <f>IF($P687="","",Shares!$B690)</f>
        <v/>
      </c>
      <c r="R687">
        <f>IF($P687="","",IFERROR(INDEX(WageParty,MATCH($Q687,WageIds,0)),""))</f>
        <v/>
      </c>
      <c r="S687">
        <f>IF($P687="","",IFERROR(INDEX($F$6:$F$2005,MATCH($Q687,WageIds,0)),""))</f>
        <v/>
      </c>
      <c r="T687">
        <f>IF(OR($P687="",$S687="",$S687="نامعتبر"),"",LEFT($S687,4)&amp;MID($S687,6,2)&amp;RIGHT($S687,2)&amp;"0000"&amp;"|"&amp;"2"&amp;RIGHT("00000"&amp;682,5))</f>
        <v/>
      </c>
      <c r="U687">
        <f>IF($T687="","",COUNTIFS(LdAParty,$P687,LdAType,1,LdAKey,"&lt;"&amp;$T687)+COUNTIFS(LdBMember,$P687,LdBKey,"&lt;"&amp;$T687)+COUNTIFS(LdCParty,$P687,LdCKey,"&lt;"&amp;$T687)+1)</f>
        <v/>
      </c>
      <c r="V687">
        <f>IF($U687="","",$P687&amp;"|"&amp;RIGHT("000000"&amp;$U687,6))</f>
        <v/>
      </c>
      <c r="W687">
        <f>IF($T687="","",COUNTIFS(LdBGroup,$R687,LdBKey,"&lt;"&amp;$T687)+1)</f>
        <v/>
      </c>
      <c r="X687">
        <f>IF($W687="","",$R687&amp;"|"&amp;RIGHT("000000"&amp;$W687,6))</f>
        <v/>
      </c>
      <c r="Y687">
        <f>IF($P687="","",IF(Shares!$E690="",0,Shares!$E690))</f>
        <v/>
      </c>
      <c r="Z687">
        <f>IF($P687="","",Shares!$H690)</f>
        <v/>
      </c>
      <c r="AE687">
        <f>IF(OR(Sync!$S687="",Sync!$P687=""),"",Sync!$S687)</f>
        <v/>
      </c>
      <c r="AF687">
        <f>IF($AE687="","",IF(ISNUMBER(Sync!$P687),IF(AND(Sync!$P687&gt;=10000101,Sync!$P687&lt;=99991231),INT(Sync!$P687/10000),""),IFERROR(VALUE(TRIM(LEFT(Sync!$P687,FIND("/",Sync!$P687)-1))),"")))</f>
        <v/>
      </c>
      <c r="AG687">
        <f>IF(OR($AE687="",$AF687=""),"",IF(ISNUMBER(Sync!$P687),INT(MOD(Sync!$P687,10000)/100),IFERROR(VALUE(TRIM(LEFT(MID(Sync!$P687,FIND("/",Sync!$P687)+1,20),FIND("/",MID(Sync!$P687,FIND("/",Sync!$P687)+1,20))-1))),"")))</f>
        <v/>
      </c>
      <c r="AH687">
        <f>IF(OR($AE687="",$AF687=""),"",IF(ISNUMBER(Sync!$P687),MOD(Sync!$P687,100),IFERROR(VALUE(TRIM(MID(MID(Sync!$P687,FIND("/",Sync!$P687)+1,20),FIND("/",MID(Sync!$P687,FIND("/",Sync!$P687)+1,20))+1,20))),"")))</f>
        <v/>
      </c>
      <c r="AI687">
        <f>IF($AE687="","",IF(OR($AF687="",$AG687="",$AH687="",$AF687&lt;1300,$AF687&gt;1500,$AG687&lt;1,$AG687&gt;12,$AH687&lt;1,$AH687&gt;31),"نامعتبر",RIGHT("0000"&amp;$AF687,4)&amp;"/"&amp;RIGHT("00"&amp;$AG687,2)&amp;"/"&amp;RIGHT("00"&amp;$AH687,2)))</f>
        <v/>
      </c>
      <c r="AJ687">
        <f>IF($AE687="","",IF(Sync!$Q687="","0000",IF(AND(ISNUMBER(Sync!$Q687),Sync!$Q687&gt;=0,Sync!$Q687&lt;1),RIGHT("00"&amp;HOUR(Sync!$Q687),2)&amp;RIGHT("00"&amp;MINUTE(Sync!$Q687),2),IFERROR(RIGHT("00"&amp;VALUE(LEFT(Sync!$Q687,FIND(":",Sync!$Q687)-1)),2)&amp;RIGHT("00"&amp;VALUE(MID(Sync!$Q687,FIND(":",Sync!$Q687)+1,2)),2),"0000"))))</f>
        <v/>
      </c>
      <c r="AK687">
        <f>IF(OR($AE687="",$AI687="",$AI687="نامعتبر"),"",LEFT($AI687,4)&amp;MID($AI687,6,2)&amp;RIGHT($AI687,2)&amp;$AJ687&amp;"|"&amp;"3"&amp;RIGHT("00000"&amp;682,5))</f>
        <v/>
      </c>
      <c r="AL687">
        <f>IF($AK687="","",COUNTIFS(LdAParty,$AE687,LdAType,1,LdAKey,"&lt;"&amp;$AK687)+COUNTIFS(LdBMember,$AE687,LdBKey,"&lt;"&amp;$AK687)+COUNTIFS(LdCParty,$AE687,LdCKey,"&lt;"&amp;$AK687)+1)</f>
        <v/>
      </c>
      <c r="AM687">
        <f>IF($AL687="","",$AE687&amp;"|"&amp;RIGHT("000000"&amp;$AL687,6))</f>
        <v/>
      </c>
      <c r="AN687">
        <f>IF($AE687="","",IF(Sync!$W687="",0,Sync!$W687))</f>
        <v/>
      </c>
      <c r="AO687">
        <f>IF($AE687="","",IF(Sync!$X687="",0,Sync!$X687))</f>
        <v/>
      </c>
      <c r="AP687">
        <f>IF($AE687="","",Sync!$R687)</f>
        <v/>
      </c>
      <c r="AQ687">
        <f>IF($AE687="","",Sync!$Y687)</f>
        <v/>
      </c>
    </row>
    <row r="688">
      <c r="A688">
        <f>IF(OR(Wages!$B691="",Wages!$E691=""),"",Wages!$E691)</f>
        <v/>
      </c>
      <c r="B688">
        <f>IF($A688="","",IF(Wages!$C691="دستمزد گروهی",2,1))</f>
        <v/>
      </c>
      <c r="C688">
        <f>IF($A688="","",IF(ISNUMBER(Wages!$B691),IF(AND(Wages!$B691&gt;=10000101,Wages!$B691&lt;=99991231),INT(Wages!$B691/10000),""),IFERROR(VALUE(TRIM(LEFT(Wages!$B691,FIND("/",Wages!$B691)-1))),"")))</f>
        <v/>
      </c>
      <c r="D688">
        <f>IF(OR($A688="",$C688=""),"",IF(ISNUMBER(Wages!$B691),INT(MOD(Wages!$B691,10000)/100),IFERROR(VALUE(TRIM(LEFT(MID(Wages!$B691,FIND("/",Wages!$B691)+1,20),FIND("/",MID(Wages!$B691,FIND("/",Wages!$B691)+1,20))-1))),"")))</f>
        <v/>
      </c>
      <c r="E688">
        <f>IF(OR($A688="",$C688=""),"",IF(ISNUMBER(Wages!$B691),MOD(Wages!$B691,100),IFERROR(VALUE(TRIM(MID(MID(Wages!$B691,FIND("/",Wages!$B691)+1,20),FIND("/",MID(Wages!$B691,FIND("/",Wages!$B691)+1,20))+1,20))),"")))</f>
        <v/>
      </c>
      <c r="F688">
        <f>IF($A688="","",IF(OR($C688="",$D688="",$E688="",$C688&lt;1300,$C688&gt;1500,$D688&lt;1,$D688&gt;12,$E688&lt;1,$E688&gt;31),"نامعتبر",RIGHT("0000"&amp;$C688,4)&amp;"/"&amp;RIGHT("00"&amp;$D688,2)&amp;"/"&amp;RIGHT("00"&amp;$E688,2)))</f>
        <v/>
      </c>
      <c r="G688">
        <f>IF(OR($A688="",$F688="",$F688="نامعتبر"),"",LEFT($F688,4)&amp;MID($F688,6,2)&amp;RIGHT($F688,2)&amp;"0000"&amp;"|"&amp;"1"&amp;RIGHT("00000"&amp;683,5))</f>
        <v/>
      </c>
      <c r="H688">
        <f>IF(OR($B688&lt;&gt;1,$G688=""),"",COUNTIFS(LdAParty,$A688,LdAType,1,LdAKey,"&lt;"&amp;$G688)+COUNTIFS(LdBMember,$A688,LdBKey,"&lt;"&amp;$G688)+COUNTIFS(LdCParty,$A688,LdCKey,"&lt;"&amp;$G688)+1)</f>
        <v/>
      </c>
      <c r="I688">
        <f>IF($H688="","",$A688&amp;"|"&amp;RIGHT("000000"&amp;$H688,6))</f>
        <v/>
      </c>
      <c r="J688">
        <f>IF(OR($B688&lt;&gt;2,$G688=""),"",COUNTIFS(LdAParty,$A688,LdAType,2,LdAKey,"&lt;"&amp;$G688)+1)</f>
        <v/>
      </c>
      <c r="K688">
        <f>IF($J688="","",$A688&amp;"|"&amp;RIGHT("000000"&amp;$J688,6))</f>
        <v/>
      </c>
      <c r="L688">
        <f>IF($A688="","",IF(Wages!$G691="",0,Wages!$G691))</f>
        <v/>
      </c>
      <c r="M688">
        <f>IF($A688="","",Wages!$J691)</f>
        <v/>
      </c>
      <c r="N688">
        <f>IF($A688="","",Wages!$D691)</f>
        <v/>
      </c>
      <c r="P688">
        <f>IF(OR(Shares!$B691="",Shares!$C691=""),"",Shares!$C691)</f>
        <v/>
      </c>
      <c r="Q688">
        <f>IF($P688="","",Shares!$B691)</f>
        <v/>
      </c>
      <c r="R688">
        <f>IF($P688="","",IFERROR(INDEX(WageParty,MATCH($Q688,WageIds,0)),""))</f>
        <v/>
      </c>
      <c r="S688">
        <f>IF($P688="","",IFERROR(INDEX($F$6:$F$2005,MATCH($Q688,WageIds,0)),""))</f>
        <v/>
      </c>
      <c r="T688">
        <f>IF(OR($P688="",$S688="",$S688="نامعتبر"),"",LEFT($S688,4)&amp;MID($S688,6,2)&amp;RIGHT($S688,2)&amp;"0000"&amp;"|"&amp;"2"&amp;RIGHT("00000"&amp;683,5))</f>
        <v/>
      </c>
      <c r="U688">
        <f>IF($T688="","",COUNTIFS(LdAParty,$P688,LdAType,1,LdAKey,"&lt;"&amp;$T688)+COUNTIFS(LdBMember,$P688,LdBKey,"&lt;"&amp;$T688)+COUNTIFS(LdCParty,$P688,LdCKey,"&lt;"&amp;$T688)+1)</f>
        <v/>
      </c>
      <c r="V688">
        <f>IF($U688="","",$P688&amp;"|"&amp;RIGHT("000000"&amp;$U688,6))</f>
        <v/>
      </c>
      <c r="W688">
        <f>IF($T688="","",COUNTIFS(LdBGroup,$R688,LdBKey,"&lt;"&amp;$T688)+1)</f>
        <v/>
      </c>
      <c r="X688">
        <f>IF($W688="","",$R688&amp;"|"&amp;RIGHT("000000"&amp;$W688,6))</f>
        <v/>
      </c>
      <c r="Y688">
        <f>IF($P688="","",IF(Shares!$E691="",0,Shares!$E691))</f>
        <v/>
      </c>
      <c r="Z688">
        <f>IF($P688="","",Shares!$H691)</f>
        <v/>
      </c>
      <c r="AE688">
        <f>IF(OR(Sync!$S688="",Sync!$P688=""),"",Sync!$S688)</f>
        <v/>
      </c>
      <c r="AF688">
        <f>IF($AE688="","",IF(ISNUMBER(Sync!$P688),IF(AND(Sync!$P688&gt;=10000101,Sync!$P688&lt;=99991231),INT(Sync!$P688/10000),""),IFERROR(VALUE(TRIM(LEFT(Sync!$P688,FIND("/",Sync!$P688)-1))),"")))</f>
        <v/>
      </c>
      <c r="AG688">
        <f>IF(OR($AE688="",$AF688=""),"",IF(ISNUMBER(Sync!$P688),INT(MOD(Sync!$P688,10000)/100),IFERROR(VALUE(TRIM(LEFT(MID(Sync!$P688,FIND("/",Sync!$P688)+1,20),FIND("/",MID(Sync!$P688,FIND("/",Sync!$P688)+1,20))-1))),"")))</f>
        <v/>
      </c>
      <c r="AH688">
        <f>IF(OR($AE688="",$AF688=""),"",IF(ISNUMBER(Sync!$P688),MOD(Sync!$P688,100),IFERROR(VALUE(TRIM(MID(MID(Sync!$P688,FIND("/",Sync!$P688)+1,20),FIND("/",MID(Sync!$P688,FIND("/",Sync!$P688)+1,20))+1,20))),"")))</f>
        <v/>
      </c>
      <c r="AI688">
        <f>IF($AE688="","",IF(OR($AF688="",$AG688="",$AH688="",$AF688&lt;1300,$AF688&gt;1500,$AG688&lt;1,$AG688&gt;12,$AH688&lt;1,$AH688&gt;31),"نامعتبر",RIGHT("0000"&amp;$AF688,4)&amp;"/"&amp;RIGHT("00"&amp;$AG688,2)&amp;"/"&amp;RIGHT("00"&amp;$AH688,2)))</f>
        <v/>
      </c>
      <c r="AJ688">
        <f>IF($AE688="","",IF(Sync!$Q688="","0000",IF(AND(ISNUMBER(Sync!$Q688),Sync!$Q688&gt;=0,Sync!$Q688&lt;1),RIGHT("00"&amp;HOUR(Sync!$Q688),2)&amp;RIGHT("00"&amp;MINUTE(Sync!$Q688),2),IFERROR(RIGHT("00"&amp;VALUE(LEFT(Sync!$Q688,FIND(":",Sync!$Q688)-1)),2)&amp;RIGHT("00"&amp;VALUE(MID(Sync!$Q688,FIND(":",Sync!$Q688)+1,2)),2),"0000"))))</f>
        <v/>
      </c>
      <c r="AK688">
        <f>IF(OR($AE688="",$AI688="",$AI688="نامعتبر"),"",LEFT($AI688,4)&amp;MID($AI688,6,2)&amp;RIGHT($AI688,2)&amp;$AJ688&amp;"|"&amp;"3"&amp;RIGHT("00000"&amp;683,5))</f>
        <v/>
      </c>
      <c r="AL688">
        <f>IF($AK688="","",COUNTIFS(LdAParty,$AE688,LdAType,1,LdAKey,"&lt;"&amp;$AK688)+COUNTIFS(LdBMember,$AE688,LdBKey,"&lt;"&amp;$AK688)+COUNTIFS(LdCParty,$AE688,LdCKey,"&lt;"&amp;$AK688)+1)</f>
        <v/>
      </c>
      <c r="AM688">
        <f>IF($AL688="","",$AE688&amp;"|"&amp;RIGHT("000000"&amp;$AL688,6))</f>
        <v/>
      </c>
      <c r="AN688">
        <f>IF($AE688="","",IF(Sync!$W688="",0,Sync!$W688))</f>
        <v/>
      </c>
      <c r="AO688">
        <f>IF($AE688="","",IF(Sync!$X688="",0,Sync!$X688))</f>
        <v/>
      </c>
      <c r="AP688">
        <f>IF($AE688="","",Sync!$R688)</f>
        <v/>
      </c>
      <c r="AQ688">
        <f>IF($AE688="","",Sync!$Y688)</f>
        <v/>
      </c>
    </row>
    <row r="689">
      <c r="A689">
        <f>IF(OR(Wages!$B692="",Wages!$E692=""),"",Wages!$E692)</f>
        <v/>
      </c>
      <c r="B689">
        <f>IF($A689="","",IF(Wages!$C692="دستمزد گروهی",2,1))</f>
        <v/>
      </c>
      <c r="C689">
        <f>IF($A689="","",IF(ISNUMBER(Wages!$B692),IF(AND(Wages!$B692&gt;=10000101,Wages!$B692&lt;=99991231),INT(Wages!$B692/10000),""),IFERROR(VALUE(TRIM(LEFT(Wages!$B692,FIND("/",Wages!$B692)-1))),"")))</f>
        <v/>
      </c>
      <c r="D689">
        <f>IF(OR($A689="",$C689=""),"",IF(ISNUMBER(Wages!$B692),INT(MOD(Wages!$B692,10000)/100),IFERROR(VALUE(TRIM(LEFT(MID(Wages!$B692,FIND("/",Wages!$B692)+1,20),FIND("/",MID(Wages!$B692,FIND("/",Wages!$B692)+1,20))-1))),"")))</f>
        <v/>
      </c>
      <c r="E689">
        <f>IF(OR($A689="",$C689=""),"",IF(ISNUMBER(Wages!$B692),MOD(Wages!$B692,100),IFERROR(VALUE(TRIM(MID(MID(Wages!$B692,FIND("/",Wages!$B692)+1,20),FIND("/",MID(Wages!$B692,FIND("/",Wages!$B692)+1,20))+1,20))),"")))</f>
        <v/>
      </c>
      <c r="F689">
        <f>IF($A689="","",IF(OR($C689="",$D689="",$E689="",$C689&lt;1300,$C689&gt;1500,$D689&lt;1,$D689&gt;12,$E689&lt;1,$E689&gt;31),"نامعتبر",RIGHT("0000"&amp;$C689,4)&amp;"/"&amp;RIGHT("00"&amp;$D689,2)&amp;"/"&amp;RIGHT("00"&amp;$E689,2)))</f>
        <v/>
      </c>
      <c r="G689">
        <f>IF(OR($A689="",$F689="",$F689="نامعتبر"),"",LEFT($F689,4)&amp;MID($F689,6,2)&amp;RIGHT($F689,2)&amp;"0000"&amp;"|"&amp;"1"&amp;RIGHT("00000"&amp;684,5))</f>
        <v/>
      </c>
      <c r="H689">
        <f>IF(OR($B689&lt;&gt;1,$G689=""),"",COUNTIFS(LdAParty,$A689,LdAType,1,LdAKey,"&lt;"&amp;$G689)+COUNTIFS(LdBMember,$A689,LdBKey,"&lt;"&amp;$G689)+COUNTIFS(LdCParty,$A689,LdCKey,"&lt;"&amp;$G689)+1)</f>
        <v/>
      </c>
      <c r="I689">
        <f>IF($H689="","",$A689&amp;"|"&amp;RIGHT("000000"&amp;$H689,6))</f>
        <v/>
      </c>
      <c r="J689">
        <f>IF(OR($B689&lt;&gt;2,$G689=""),"",COUNTIFS(LdAParty,$A689,LdAType,2,LdAKey,"&lt;"&amp;$G689)+1)</f>
        <v/>
      </c>
      <c r="K689">
        <f>IF($J689="","",$A689&amp;"|"&amp;RIGHT("000000"&amp;$J689,6))</f>
        <v/>
      </c>
      <c r="L689">
        <f>IF($A689="","",IF(Wages!$G692="",0,Wages!$G692))</f>
        <v/>
      </c>
      <c r="M689">
        <f>IF($A689="","",Wages!$J692)</f>
        <v/>
      </c>
      <c r="N689">
        <f>IF($A689="","",Wages!$D692)</f>
        <v/>
      </c>
      <c r="P689">
        <f>IF(OR(Shares!$B692="",Shares!$C692=""),"",Shares!$C692)</f>
        <v/>
      </c>
      <c r="Q689">
        <f>IF($P689="","",Shares!$B692)</f>
        <v/>
      </c>
      <c r="R689">
        <f>IF($P689="","",IFERROR(INDEX(WageParty,MATCH($Q689,WageIds,0)),""))</f>
        <v/>
      </c>
      <c r="S689">
        <f>IF($P689="","",IFERROR(INDEX($F$6:$F$2005,MATCH($Q689,WageIds,0)),""))</f>
        <v/>
      </c>
      <c r="T689">
        <f>IF(OR($P689="",$S689="",$S689="نامعتبر"),"",LEFT($S689,4)&amp;MID($S689,6,2)&amp;RIGHT($S689,2)&amp;"0000"&amp;"|"&amp;"2"&amp;RIGHT("00000"&amp;684,5))</f>
        <v/>
      </c>
      <c r="U689">
        <f>IF($T689="","",COUNTIFS(LdAParty,$P689,LdAType,1,LdAKey,"&lt;"&amp;$T689)+COUNTIFS(LdBMember,$P689,LdBKey,"&lt;"&amp;$T689)+COUNTIFS(LdCParty,$P689,LdCKey,"&lt;"&amp;$T689)+1)</f>
        <v/>
      </c>
      <c r="V689">
        <f>IF($U689="","",$P689&amp;"|"&amp;RIGHT("000000"&amp;$U689,6))</f>
        <v/>
      </c>
      <c r="W689">
        <f>IF($T689="","",COUNTIFS(LdBGroup,$R689,LdBKey,"&lt;"&amp;$T689)+1)</f>
        <v/>
      </c>
      <c r="X689">
        <f>IF($W689="","",$R689&amp;"|"&amp;RIGHT("000000"&amp;$W689,6))</f>
        <v/>
      </c>
      <c r="Y689">
        <f>IF($P689="","",IF(Shares!$E692="",0,Shares!$E692))</f>
        <v/>
      </c>
      <c r="Z689">
        <f>IF($P689="","",Shares!$H692)</f>
        <v/>
      </c>
      <c r="AE689">
        <f>IF(OR(Sync!$S689="",Sync!$P689=""),"",Sync!$S689)</f>
        <v/>
      </c>
      <c r="AF689">
        <f>IF($AE689="","",IF(ISNUMBER(Sync!$P689),IF(AND(Sync!$P689&gt;=10000101,Sync!$P689&lt;=99991231),INT(Sync!$P689/10000),""),IFERROR(VALUE(TRIM(LEFT(Sync!$P689,FIND("/",Sync!$P689)-1))),"")))</f>
        <v/>
      </c>
      <c r="AG689">
        <f>IF(OR($AE689="",$AF689=""),"",IF(ISNUMBER(Sync!$P689),INT(MOD(Sync!$P689,10000)/100),IFERROR(VALUE(TRIM(LEFT(MID(Sync!$P689,FIND("/",Sync!$P689)+1,20),FIND("/",MID(Sync!$P689,FIND("/",Sync!$P689)+1,20))-1))),"")))</f>
        <v/>
      </c>
      <c r="AH689">
        <f>IF(OR($AE689="",$AF689=""),"",IF(ISNUMBER(Sync!$P689),MOD(Sync!$P689,100),IFERROR(VALUE(TRIM(MID(MID(Sync!$P689,FIND("/",Sync!$P689)+1,20),FIND("/",MID(Sync!$P689,FIND("/",Sync!$P689)+1,20))+1,20))),"")))</f>
        <v/>
      </c>
      <c r="AI689">
        <f>IF($AE689="","",IF(OR($AF689="",$AG689="",$AH689="",$AF689&lt;1300,$AF689&gt;1500,$AG689&lt;1,$AG689&gt;12,$AH689&lt;1,$AH689&gt;31),"نامعتبر",RIGHT("0000"&amp;$AF689,4)&amp;"/"&amp;RIGHT("00"&amp;$AG689,2)&amp;"/"&amp;RIGHT("00"&amp;$AH689,2)))</f>
        <v/>
      </c>
      <c r="AJ689">
        <f>IF($AE689="","",IF(Sync!$Q689="","0000",IF(AND(ISNUMBER(Sync!$Q689),Sync!$Q689&gt;=0,Sync!$Q689&lt;1),RIGHT("00"&amp;HOUR(Sync!$Q689),2)&amp;RIGHT("00"&amp;MINUTE(Sync!$Q689),2),IFERROR(RIGHT("00"&amp;VALUE(LEFT(Sync!$Q689,FIND(":",Sync!$Q689)-1)),2)&amp;RIGHT("00"&amp;VALUE(MID(Sync!$Q689,FIND(":",Sync!$Q689)+1,2)),2),"0000"))))</f>
        <v/>
      </c>
      <c r="AK689">
        <f>IF(OR($AE689="",$AI689="",$AI689="نامعتبر"),"",LEFT($AI689,4)&amp;MID($AI689,6,2)&amp;RIGHT($AI689,2)&amp;$AJ689&amp;"|"&amp;"3"&amp;RIGHT("00000"&amp;684,5))</f>
        <v/>
      </c>
      <c r="AL689">
        <f>IF($AK689="","",COUNTIFS(LdAParty,$AE689,LdAType,1,LdAKey,"&lt;"&amp;$AK689)+COUNTIFS(LdBMember,$AE689,LdBKey,"&lt;"&amp;$AK689)+COUNTIFS(LdCParty,$AE689,LdCKey,"&lt;"&amp;$AK689)+1)</f>
        <v/>
      </c>
      <c r="AM689">
        <f>IF($AL689="","",$AE689&amp;"|"&amp;RIGHT("000000"&amp;$AL689,6))</f>
        <v/>
      </c>
      <c r="AN689">
        <f>IF($AE689="","",IF(Sync!$W689="",0,Sync!$W689))</f>
        <v/>
      </c>
      <c r="AO689">
        <f>IF($AE689="","",IF(Sync!$X689="",0,Sync!$X689))</f>
        <v/>
      </c>
      <c r="AP689">
        <f>IF($AE689="","",Sync!$R689)</f>
        <v/>
      </c>
      <c r="AQ689">
        <f>IF($AE689="","",Sync!$Y689)</f>
        <v/>
      </c>
    </row>
    <row r="690">
      <c r="A690">
        <f>IF(OR(Wages!$B693="",Wages!$E693=""),"",Wages!$E693)</f>
        <v/>
      </c>
      <c r="B690">
        <f>IF($A690="","",IF(Wages!$C693="دستمزد گروهی",2,1))</f>
        <v/>
      </c>
      <c r="C690">
        <f>IF($A690="","",IF(ISNUMBER(Wages!$B693),IF(AND(Wages!$B693&gt;=10000101,Wages!$B693&lt;=99991231),INT(Wages!$B693/10000),""),IFERROR(VALUE(TRIM(LEFT(Wages!$B693,FIND("/",Wages!$B693)-1))),"")))</f>
        <v/>
      </c>
      <c r="D690">
        <f>IF(OR($A690="",$C690=""),"",IF(ISNUMBER(Wages!$B693),INT(MOD(Wages!$B693,10000)/100),IFERROR(VALUE(TRIM(LEFT(MID(Wages!$B693,FIND("/",Wages!$B693)+1,20),FIND("/",MID(Wages!$B693,FIND("/",Wages!$B693)+1,20))-1))),"")))</f>
        <v/>
      </c>
      <c r="E690">
        <f>IF(OR($A690="",$C690=""),"",IF(ISNUMBER(Wages!$B693),MOD(Wages!$B693,100),IFERROR(VALUE(TRIM(MID(MID(Wages!$B693,FIND("/",Wages!$B693)+1,20),FIND("/",MID(Wages!$B693,FIND("/",Wages!$B693)+1,20))+1,20))),"")))</f>
        <v/>
      </c>
      <c r="F690">
        <f>IF($A690="","",IF(OR($C690="",$D690="",$E690="",$C690&lt;1300,$C690&gt;1500,$D690&lt;1,$D690&gt;12,$E690&lt;1,$E690&gt;31),"نامعتبر",RIGHT("0000"&amp;$C690,4)&amp;"/"&amp;RIGHT("00"&amp;$D690,2)&amp;"/"&amp;RIGHT("00"&amp;$E690,2)))</f>
        <v/>
      </c>
      <c r="G690">
        <f>IF(OR($A690="",$F690="",$F690="نامعتبر"),"",LEFT($F690,4)&amp;MID($F690,6,2)&amp;RIGHT($F690,2)&amp;"0000"&amp;"|"&amp;"1"&amp;RIGHT("00000"&amp;685,5))</f>
        <v/>
      </c>
      <c r="H690">
        <f>IF(OR($B690&lt;&gt;1,$G690=""),"",COUNTIFS(LdAParty,$A690,LdAType,1,LdAKey,"&lt;"&amp;$G690)+COUNTIFS(LdBMember,$A690,LdBKey,"&lt;"&amp;$G690)+COUNTIFS(LdCParty,$A690,LdCKey,"&lt;"&amp;$G690)+1)</f>
        <v/>
      </c>
      <c r="I690">
        <f>IF($H690="","",$A690&amp;"|"&amp;RIGHT("000000"&amp;$H690,6))</f>
        <v/>
      </c>
      <c r="J690">
        <f>IF(OR($B690&lt;&gt;2,$G690=""),"",COUNTIFS(LdAParty,$A690,LdAType,2,LdAKey,"&lt;"&amp;$G690)+1)</f>
        <v/>
      </c>
      <c r="K690">
        <f>IF($J690="","",$A690&amp;"|"&amp;RIGHT("000000"&amp;$J690,6))</f>
        <v/>
      </c>
      <c r="L690">
        <f>IF($A690="","",IF(Wages!$G693="",0,Wages!$G693))</f>
        <v/>
      </c>
      <c r="M690">
        <f>IF($A690="","",Wages!$J693)</f>
        <v/>
      </c>
      <c r="N690">
        <f>IF($A690="","",Wages!$D693)</f>
        <v/>
      </c>
      <c r="P690">
        <f>IF(OR(Shares!$B693="",Shares!$C693=""),"",Shares!$C693)</f>
        <v/>
      </c>
      <c r="Q690">
        <f>IF($P690="","",Shares!$B693)</f>
        <v/>
      </c>
      <c r="R690">
        <f>IF($P690="","",IFERROR(INDEX(WageParty,MATCH($Q690,WageIds,0)),""))</f>
        <v/>
      </c>
      <c r="S690">
        <f>IF($P690="","",IFERROR(INDEX($F$6:$F$2005,MATCH($Q690,WageIds,0)),""))</f>
        <v/>
      </c>
      <c r="T690">
        <f>IF(OR($P690="",$S690="",$S690="نامعتبر"),"",LEFT($S690,4)&amp;MID($S690,6,2)&amp;RIGHT($S690,2)&amp;"0000"&amp;"|"&amp;"2"&amp;RIGHT("00000"&amp;685,5))</f>
        <v/>
      </c>
      <c r="U690">
        <f>IF($T690="","",COUNTIFS(LdAParty,$P690,LdAType,1,LdAKey,"&lt;"&amp;$T690)+COUNTIFS(LdBMember,$P690,LdBKey,"&lt;"&amp;$T690)+COUNTIFS(LdCParty,$P690,LdCKey,"&lt;"&amp;$T690)+1)</f>
        <v/>
      </c>
      <c r="V690">
        <f>IF($U690="","",$P690&amp;"|"&amp;RIGHT("000000"&amp;$U690,6))</f>
        <v/>
      </c>
      <c r="W690">
        <f>IF($T690="","",COUNTIFS(LdBGroup,$R690,LdBKey,"&lt;"&amp;$T690)+1)</f>
        <v/>
      </c>
      <c r="X690">
        <f>IF($W690="","",$R690&amp;"|"&amp;RIGHT("000000"&amp;$W690,6))</f>
        <v/>
      </c>
      <c r="Y690">
        <f>IF($P690="","",IF(Shares!$E693="",0,Shares!$E693))</f>
        <v/>
      </c>
      <c r="Z690">
        <f>IF($P690="","",Shares!$H693)</f>
        <v/>
      </c>
      <c r="AE690">
        <f>IF(OR(Sync!$S690="",Sync!$P690=""),"",Sync!$S690)</f>
        <v/>
      </c>
      <c r="AF690">
        <f>IF($AE690="","",IF(ISNUMBER(Sync!$P690),IF(AND(Sync!$P690&gt;=10000101,Sync!$P690&lt;=99991231),INT(Sync!$P690/10000),""),IFERROR(VALUE(TRIM(LEFT(Sync!$P690,FIND("/",Sync!$P690)-1))),"")))</f>
        <v/>
      </c>
      <c r="AG690">
        <f>IF(OR($AE690="",$AF690=""),"",IF(ISNUMBER(Sync!$P690),INT(MOD(Sync!$P690,10000)/100),IFERROR(VALUE(TRIM(LEFT(MID(Sync!$P690,FIND("/",Sync!$P690)+1,20),FIND("/",MID(Sync!$P690,FIND("/",Sync!$P690)+1,20))-1))),"")))</f>
        <v/>
      </c>
      <c r="AH690">
        <f>IF(OR($AE690="",$AF690=""),"",IF(ISNUMBER(Sync!$P690),MOD(Sync!$P690,100),IFERROR(VALUE(TRIM(MID(MID(Sync!$P690,FIND("/",Sync!$P690)+1,20),FIND("/",MID(Sync!$P690,FIND("/",Sync!$P690)+1,20))+1,20))),"")))</f>
        <v/>
      </c>
      <c r="AI690">
        <f>IF($AE690="","",IF(OR($AF690="",$AG690="",$AH690="",$AF690&lt;1300,$AF690&gt;1500,$AG690&lt;1,$AG690&gt;12,$AH690&lt;1,$AH690&gt;31),"نامعتبر",RIGHT("0000"&amp;$AF690,4)&amp;"/"&amp;RIGHT("00"&amp;$AG690,2)&amp;"/"&amp;RIGHT("00"&amp;$AH690,2)))</f>
        <v/>
      </c>
      <c r="AJ690">
        <f>IF($AE690="","",IF(Sync!$Q690="","0000",IF(AND(ISNUMBER(Sync!$Q690),Sync!$Q690&gt;=0,Sync!$Q690&lt;1),RIGHT("00"&amp;HOUR(Sync!$Q690),2)&amp;RIGHT("00"&amp;MINUTE(Sync!$Q690),2),IFERROR(RIGHT("00"&amp;VALUE(LEFT(Sync!$Q690,FIND(":",Sync!$Q690)-1)),2)&amp;RIGHT("00"&amp;VALUE(MID(Sync!$Q690,FIND(":",Sync!$Q690)+1,2)),2),"0000"))))</f>
        <v/>
      </c>
      <c r="AK690">
        <f>IF(OR($AE690="",$AI690="",$AI690="نامعتبر"),"",LEFT($AI690,4)&amp;MID($AI690,6,2)&amp;RIGHT($AI690,2)&amp;$AJ690&amp;"|"&amp;"3"&amp;RIGHT("00000"&amp;685,5))</f>
        <v/>
      </c>
      <c r="AL690">
        <f>IF($AK690="","",COUNTIFS(LdAParty,$AE690,LdAType,1,LdAKey,"&lt;"&amp;$AK690)+COUNTIFS(LdBMember,$AE690,LdBKey,"&lt;"&amp;$AK690)+COUNTIFS(LdCParty,$AE690,LdCKey,"&lt;"&amp;$AK690)+1)</f>
        <v/>
      </c>
      <c r="AM690">
        <f>IF($AL690="","",$AE690&amp;"|"&amp;RIGHT("000000"&amp;$AL690,6))</f>
        <v/>
      </c>
      <c r="AN690">
        <f>IF($AE690="","",IF(Sync!$W690="",0,Sync!$W690))</f>
        <v/>
      </c>
      <c r="AO690">
        <f>IF($AE690="","",IF(Sync!$X690="",0,Sync!$X690))</f>
        <v/>
      </c>
      <c r="AP690">
        <f>IF($AE690="","",Sync!$R690)</f>
        <v/>
      </c>
      <c r="AQ690">
        <f>IF($AE690="","",Sync!$Y690)</f>
        <v/>
      </c>
    </row>
    <row r="691">
      <c r="A691">
        <f>IF(OR(Wages!$B694="",Wages!$E694=""),"",Wages!$E694)</f>
        <v/>
      </c>
      <c r="B691">
        <f>IF($A691="","",IF(Wages!$C694="دستمزد گروهی",2,1))</f>
        <v/>
      </c>
      <c r="C691">
        <f>IF($A691="","",IF(ISNUMBER(Wages!$B694),IF(AND(Wages!$B694&gt;=10000101,Wages!$B694&lt;=99991231),INT(Wages!$B694/10000),""),IFERROR(VALUE(TRIM(LEFT(Wages!$B694,FIND("/",Wages!$B694)-1))),"")))</f>
        <v/>
      </c>
      <c r="D691">
        <f>IF(OR($A691="",$C691=""),"",IF(ISNUMBER(Wages!$B694),INT(MOD(Wages!$B694,10000)/100),IFERROR(VALUE(TRIM(LEFT(MID(Wages!$B694,FIND("/",Wages!$B694)+1,20),FIND("/",MID(Wages!$B694,FIND("/",Wages!$B694)+1,20))-1))),"")))</f>
        <v/>
      </c>
      <c r="E691">
        <f>IF(OR($A691="",$C691=""),"",IF(ISNUMBER(Wages!$B694),MOD(Wages!$B694,100),IFERROR(VALUE(TRIM(MID(MID(Wages!$B694,FIND("/",Wages!$B694)+1,20),FIND("/",MID(Wages!$B694,FIND("/",Wages!$B694)+1,20))+1,20))),"")))</f>
        <v/>
      </c>
      <c r="F691">
        <f>IF($A691="","",IF(OR($C691="",$D691="",$E691="",$C691&lt;1300,$C691&gt;1500,$D691&lt;1,$D691&gt;12,$E691&lt;1,$E691&gt;31),"نامعتبر",RIGHT("0000"&amp;$C691,4)&amp;"/"&amp;RIGHT("00"&amp;$D691,2)&amp;"/"&amp;RIGHT("00"&amp;$E691,2)))</f>
        <v/>
      </c>
      <c r="G691">
        <f>IF(OR($A691="",$F691="",$F691="نامعتبر"),"",LEFT($F691,4)&amp;MID($F691,6,2)&amp;RIGHT($F691,2)&amp;"0000"&amp;"|"&amp;"1"&amp;RIGHT("00000"&amp;686,5))</f>
        <v/>
      </c>
      <c r="H691">
        <f>IF(OR($B691&lt;&gt;1,$G691=""),"",COUNTIFS(LdAParty,$A691,LdAType,1,LdAKey,"&lt;"&amp;$G691)+COUNTIFS(LdBMember,$A691,LdBKey,"&lt;"&amp;$G691)+COUNTIFS(LdCParty,$A691,LdCKey,"&lt;"&amp;$G691)+1)</f>
        <v/>
      </c>
      <c r="I691">
        <f>IF($H691="","",$A691&amp;"|"&amp;RIGHT("000000"&amp;$H691,6))</f>
        <v/>
      </c>
      <c r="J691">
        <f>IF(OR($B691&lt;&gt;2,$G691=""),"",COUNTIFS(LdAParty,$A691,LdAType,2,LdAKey,"&lt;"&amp;$G691)+1)</f>
        <v/>
      </c>
      <c r="K691">
        <f>IF($J691="","",$A691&amp;"|"&amp;RIGHT("000000"&amp;$J691,6))</f>
        <v/>
      </c>
      <c r="L691">
        <f>IF($A691="","",IF(Wages!$G694="",0,Wages!$G694))</f>
        <v/>
      </c>
      <c r="M691">
        <f>IF($A691="","",Wages!$J694)</f>
        <v/>
      </c>
      <c r="N691">
        <f>IF($A691="","",Wages!$D694)</f>
        <v/>
      </c>
      <c r="P691">
        <f>IF(OR(Shares!$B694="",Shares!$C694=""),"",Shares!$C694)</f>
        <v/>
      </c>
      <c r="Q691">
        <f>IF($P691="","",Shares!$B694)</f>
        <v/>
      </c>
      <c r="R691">
        <f>IF($P691="","",IFERROR(INDEX(WageParty,MATCH($Q691,WageIds,0)),""))</f>
        <v/>
      </c>
      <c r="S691">
        <f>IF($P691="","",IFERROR(INDEX($F$6:$F$2005,MATCH($Q691,WageIds,0)),""))</f>
        <v/>
      </c>
      <c r="T691">
        <f>IF(OR($P691="",$S691="",$S691="نامعتبر"),"",LEFT($S691,4)&amp;MID($S691,6,2)&amp;RIGHT($S691,2)&amp;"0000"&amp;"|"&amp;"2"&amp;RIGHT("00000"&amp;686,5))</f>
        <v/>
      </c>
      <c r="U691">
        <f>IF($T691="","",COUNTIFS(LdAParty,$P691,LdAType,1,LdAKey,"&lt;"&amp;$T691)+COUNTIFS(LdBMember,$P691,LdBKey,"&lt;"&amp;$T691)+COUNTIFS(LdCParty,$P691,LdCKey,"&lt;"&amp;$T691)+1)</f>
        <v/>
      </c>
      <c r="V691">
        <f>IF($U691="","",$P691&amp;"|"&amp;RIGHT("000000"&amp;$U691,6))</f>
        <v/>
      </c>
      <c r="W691">
        <f>IF($T691="","",COUNTIFS(LdBGroup,$R691,LdBKey,"&lt;"&amp;$T691)+1)</f>
        <v/>
      </c>
      <c r="X691">
        <f>IF($W691="","",$R691&amp;"|"&amp;RIGHT("000000"&amp;$W691,6))</f>
        <v/>
      </c>
      <c r="Y691">
        <f>IF($P691="","",IF(Shares!$E694="",0,Shares!$E694))</f>
        <v/>
      </c>
      <c r="Z691">
        <f>IF($P691="","",Shares!$H694)</f>
        <v/>
      </c>
      <c r="AE691">
        <f>IF(OR(Sync!$S691="",Sync!$P691=""),"",Sync!$S691)</f>
        <v/>
      </c>
      <c r="AF691">
        <f>IF($AE691="","",IF(ISNUMBER(Sync!$P691),IF(AND(Sync!$P691&gt;=10000101,Sync!$P691&lt;=99991231),INT(Sync!$P691/10000),""),IFERROR(VALUE(TRIM(LEFT(Sync!$P691,FIND("/",Sync!$P691)-1))),"")))</f>
        <v/>
      </c>
      <c r="AG691">
        <f>IF(OR($AE691="",$AF691=""),"",IF(ISNUMBER(Sync!$P691),INT(MOD(Sync!$P691,10000)/100),IFERROR(VALUE(TRIM(LEFT(MID(Sync!$P691,FIND("/",Sync!$P691)+1,20),FIND("/",MID(Sync!$P691,FIND("/",Sync!$P691)+1,20))-1))),"")))</f>
        <v/>
      </c>
      <c r="AH691">
        <f>IF(OR($AE691="",$AF691=""),"",IF(ISNUMBER(Sync!$P691),MOD(Sync!$P691,100),IFERROR(VALUE(TRIM(MID(MID(Sync!$P691,FIND("/",Sync!$P691)+1,20),FIND("/",MID(Sync!$P691,FIND("/",Sync!$P691)+1,20))+1,20))),"")))</f>
        <v/>
      </c>
      <c r="AI691">
        <f>IF($AE691="","",IF(OR($AF691="",$AG691="",$AH691="",$AF691&lt;1300,$AF691&gt;1500,$AG691&lt;1,$AG691&gt;12,$AH691&lt;1,$AH691&gt;31),"نامعتبر",RIGHT("0000"&amp;$AF691,4)&amp;"/"&amp;RIGHT("00"&amp;$AG691,2)&amp;"/"&amp;RIGHT("00"&amp;$AH691,2)))</f>
        <v/>
      </c>
      <c r="AJ691">
        <f>IF($AE691="","",IF(Sync!$Q691="","0000",IF(AND(ISNUMBER(Sync!$Q691),Sync!$Q691&gt;=0,Sync!$Q691&lt;1),RIGHT("00"&amp;HOUR(Sync!$Q691),2)&amp;RIGHT("00"&amp;MINUTE(Sync!$Q691),2),IFERROR(RIGHT("00"&amp;VALUE(LEFT(Sync!$Q691,FIND(":",Sync!$Q691)-1)),2)&amp;RIGHT("00"&amp;VALUE(MID(Sync!$Q691,FIND(":",Sync!$Q691)+1,2)),2),"0000"))))</f>
        <v/>
      </c>
      <c r="AK691">
        <f>IF(OR($AE691="",$AI691="",$AI691="نامعتبر"),"",LEFT($AI691,4)&amp;MID($AI691,6,2)&amp;RIGHT($AI691,2)&amp;$AJ691&amp;"|"&amp;"3"&amp;RIGHT("00000"&amp;686,5))</f>
        <v/>
      </c>
      <c r="AL691">
        <f>IF($AK691="","",COUNTIFS(LdAParty,$AE691,LdAType,1,LdAKey,"&lt;"&amp;$AK691)+COUNTIFS(LdBMember,$AE691,LdBKey,"&lt;"&amp;$AK691)+COUNTIFS(LdCParty,$AE691,LdCKey,"&lt;"&amp;$AK691)+1)</f>
        <v/>
      </c>
      <c r="AM691">
        <f>IF($AL691="","",$AE691&amp;"|"&amp;RIGHT("000000"&amp;$AL691,6))</f>
        <v/>
      </c>
      <c r="AN691">
        <f>IF($AE691="","",IF(Sync!$W691="",0,Sync!$W691))</f>
        <v/>
      </c>
      <c r="AO691">
        <f>IF($AE691="","",IF(Sync!$X691="",0,Sync!$X691))</f>
        <v/>
      </c>
      <c r="AP691">
        <f>IF($AE691="","",Sync!$R691)</f>
        <v/>
      </c>
      <c r="AQ691">
        <f>IF($AE691="","",Sync!$Y691)</f>
        <v/>
      </c>
    </row>
    <row r="692">
      <c r="A692">
        <f>IF(OR(Wages!$B695="",Wages!$E695=""),"",Wages!$E695)</f>
        <v/>
      </c>
      <c r="B692">
        <f>IF($A692="","",IF(Wages!$C695="دستمزد گروهی",2,1))</f>
        <v/>
      </c>
      <c r="C692">
        <f>IF($A692="","",IF(ISNUMBER(Wages!$B695),IF(AND(Wages!$B695&gt;=10000101,Wages!$B695&lt;=99991231),INT(Wages!$B695/10000),""),IFERROR(VALUE(TRIM(LEFT(Wages!$B695,FIND("/",Wages!$B695)-1))),"")))</f>
        <v/>
      </c>
      <c r="D692">
        <f>IF(OR($A692="",$C692=""),"",IF(ISNUMBER(Wages!$B695),INT(MOD(Wages!$B695,10000)/100),IFERROR(VALUE(TRIM(LEFT(MID(Wages!$B695,FIND("/",Wages!$B695)+1,20),FIND("/",MID(Wages!$B695,FIND("/",Wages!$B695)+1,20))-1))),"")))</f>
        <v/>
      </c>
      <c r="E692">
        <f>IF(OR($A692="",$C692=""),"",IF(ISNUMBER(Wages!$B695),MOD(Wages!$B695,100),IFERROR(VALUE(TRIM(MID(MID(Wages!$B695,FIND("/",Wages!$B695)+1,20),FIND("/",MID(Wages!$B695,FIND("/",Wages!$B695)+1,20))+1,20))),"")))</f>
        <v/>
      </c>
      <c r="F692">
        <f>IF($A692="","",IF(OR($C692="",$D692="",$E692="",$C692&lt;1300,$C692&gt;1500,$D692&lt;1,$D692&gt;12,$E692&lt;1,$E692&gt;31),"نامعتبر",RIGHT("0000"&amp;$C692,4)&amp;"/"&amp;RIGHT("00"&amp;$D692,2)&amp;"/"&amp;RIGHT("00"&amp;$E692,2)))</f>
        <v/>
      </c>
      <c r="G692">
        <f>IF(OR($A692="",$F692="",$F692="نامعتبر"),"",LEFT($F692,4)&amp;MID($F692,6,2)&amp;RIGHT($F692,2)&amp;"0000"&amp;"|"&amp;"1"&amp;RIGHT("00000"&amp;687,5))</f>
        <v/>
      </c>
      <c r="H692">
        <f>IF(OR($B692&lt;&gt;1,$G692=""),"",COUNTIFS(LdAParty,$A692,LdAType,1,LdAKey,"&lt;"&amp;$G692)+COUNTIFS(LdBMember,$A692,LdBKey,"&lt;"&amp;$G692)+COUNTIFS(LdCParty,$A692,LdCKey,"&lt;"&amp;$G692)+1)</f>
        <v/>
      </c>
      <c r="I692">
        <f>IF($H692="","",$A692&amp;"|"&amp;RIGHT("000000"&amp;$H692,6))</f>
        <v/>
      </c>
      <c r="J692">
        <f>IF(OR($B692&lt;&gt;2,$G692=""),"",COUNTIFS(LdAParty,$A692,LdAType,2,LdAKey,"&lt;"&amp;$G692)+1)</f>
        <v/>
      </c>
      <c r="K692">
        <f>IF($J692="","",$A692&amp;"|"&amp;RIGHT("000000"&amp;$J692,6))</f>
        <v/>
      </c>
      <c r="L692">
        <f>IF($A692="","",IF(Wages!$G695="",0,Wages!$G695))</f>
        <v/>
      </c>
      <c r="M692">
        <f>IF($A692="","",Wages!$J695)</f>
        <v/>
      </c>
      <c r="N692">
        <f>IF($A692="","",Wages!$D695)</f>
        <v/>
      </c>
      <c r="P692">
        <f>IF(OR(Shares!$B695="",Shares!$C695=""),"",Shares!$C695)</f>
        <v/>
      </c>
      <c r="Q692">
        <f>IF($P692="","",Shares!$B695)</f>
        <v/>
      </c>
      <c r="R692">
        <f>IF($P692="","",IFERROR(INDEX(WageParty,MATCH($Q692,WageIds,0)),""))</f>
        <v/>
      </c>
      <c r="S692">
        <f>IF($P692="","",IFERROR(INDEX($F$6:$F$2005,MATCH($Q692,WageIds,0)),""))</f>
        <v/>
      </c>
      <c r="T692">
        <f>IF(OR($P692="",$S692="",$S692="نامعتبر"),"",LEFT($S692,4)&amp;MID($S692,6,2)&amp;RIGHT($S692,2)&amp;"0000"&amp;"|"&amp;"2"&amp;RIGHT("00000"&amp;687,5))</f>
        <v/>
      </c>
      <c r="U692">
        <f>IF($T692="","",COUNTIFS(LdAParty,$P692,LdAType,1,LdAKey,"&lt;"&amp;$T692)+COUNTIFS(LdBMember,$P692,LdBKey,"&lt;"&amp;$T692)+COUNTIFS(LdCParty,$P692,LdCKey,"&lt;"&amp;$T692)+1)</f>
        <v/>
      </c>
      <c r="V692">
        <f>IF($U692="","",$P692&amp;"|"&amp;RIGHT("000000"&amp;$U692,6))</f>
        <v/>
      </c>
      <c r="W692">
        <f>IF($T692="","",COUNTIFS(LdBGroup,$R692,LdBKey,"&lt;"&amp;$T692)+1)</f>
        <v/>
      </c>
      <c r="X692">
        <f>IF($W692="","",$R692&amp;"|"&amp;RIGHT("000000"&amp;$W692,6))</f>
        <v/>
      </c>
      <c r="Y692">
        <f>IF($P692="","",IF(Shares!$E695="",0,Shares!$E695))</f>
        <v/>
      </c>
      <c r="Z692">
        <f>IF($P692="","",Shares!$H695)</f>
        <v/>
      </c>
      <c r="AE692">
        <f>IF(OR(Sync!$S692="",Sync!$P692=""),"",Sync!$S692)</f>
        <v/>
      </c>
      <c r="AF692">
        <f>IF($AE692="","",IF(ISNUMBER(Sync!$P692),IF(AND(Sync!$P692&gt;=10000101,Sync!$P692&lt;=99991231),INT(Sync!$P692/10000),""),IFERROR(VALUE(TRIM(LEFT(Sync!$P692,FIND("/",Sync!$P692)-1))),"")))</f>
        <v/>
      </c>
      <c r="AG692">
        <f>IF(OR($AE692="",$AF692=""),"",IF(ISNUMBER(Sync!$P692),INT(MOD(Sync!$P692,10000)/100),IFERROR(VALUE(TRIM(LEFT(MID(Sync!$P692,FIND("/",Sync!$P692)+1,20),FIND("/",MID(Sync!$P692,FIND("/",Sync!$P692)+1,20))-1))),"")))</f>
        <v/>
      </c>
      <c r="AH692">
        <f>IF(OR($AE692="",$AF692=""),"",IF(ISNUMBER(Sync!$P692),MOD(Sync!$P692,100),IFERROR(VALUE(TRIM(MID(MID(Sync!$P692,FIND("/",Sync!$P692)+1,20),FIND("/",MID(Sync!$P692,FIND("/",Sync!$P692)+1,20))+1,20))),"")))</f>
        <v/>
      </c>
      <c r="AI692">
        <f>IF($AE692="","",IF(OR($AF692="",$AG692="",$AH692="",$AF692&lt;1300,$AF692&gt;1500,$AG692&lt;1,$AG692&gt;12,$AH692&lt;1,$AH692&gt;31),"نامعتبر",RIGHT("0000"&amp;$AF692,4)&amp;"/"&amp;RIGHT("00"&amp;$AG692,2)&amp;"/"&amp;RIGHT("00"&amp;$AH692,2)))</f>
        <v/>
      </c>
      <c r="AJ692">
        <f>IF($AE692="","",IF(Sync!$Q692="","0000",IF(AND(ISNUMBER(Sync!$Q692),Sync!$Q692&gt;=0,Sync!$Q692&lt;1),RIGHT("00"&amp;HOUR(Sync!$Q692),2)&amp;RIGHT("00"&amp;MINUTE(Sync!$Q692),2),IFERROR(RIGHT("00"&amp;VALUE(LEFT(Sync!$Q692,FIND(":",Sync!$Q692)-1)),2)&amp;RIGHT("00"&amp;VALUE(MID(Sync!$Q692,FIND(":",Sync!$Q692)+1,2)),2),"0000"))))</f>
        <v/>
      </c>
      <c r="AK692">
        <f>IF(OR($AE692="",$AI692="",$AI692="نامعتبر"),"",LEFT($AI692,4)&amp;MID($AI692,6,2)&amp;RIGHT($AI692,2)&amp;$AJ692&amp;"|"&amp;"3"&amp;RIGHT("00000"&amp;687,5))</f>
        <v/>
      </c>
      <c r="AL692">
        <f>IF($AK692="","",COUNTIFS(LdAParty,$AE692,LdAType,1,LdAKey,"&lt;"&amp;$AK692)+COUNTIFS(LdBMember,$AE692,LdBKey,"&lt;"&amp;$AK692)+COUNTIFS(LdCParty,$AE692,LdCKey,"&lt;"&amp;$AK692)+1)</f>
        <v/>
      </c>
      <c r="AM692">
        <f>IF($AL692="","",$AE692&amp;"|"&amp;RIGHT("000000"&amp;$AL692,6))</f>
        <v/>
      </c>
      <c r="AN692">
        <f>IF($AE692="","",IF(Sync!$W692="",0,Sync!$W692))</f>
        <v/>
      </c>
      <c r="AO692">
        <f>IF($AE692="","",IF(Sync!$X692="",0,Sync!$X692))</f>
        <v/>
      </c>
      <c r="AP692">
        <f>IF($AE692="","",Sync!$R692)</f>
        <v/>
      </c>
      <c r="AQ692">
        <f>IF($AE692="","",Sync!$Y692)</f>
        <v/>
      </c>
    </row>
    <row r="693">
      <c r="A693">
        <f>IF(OR(Wages!$B696="",Wages!$E696=""),"",Wages!$E696)</f>
        <v/>
      </c>
      <c r="B693">
        <f>IF($A693="","",IF(Wages!$C696="دستمزد گروهی",2,1))</f>
        <v/>
      </c>
      <c r="C693">
        <f>IF($A693="","",IF(ISNUMBER(Wages!$B696),IF(AND(Wages!$B696&gt;=10000101,Wages!$B696&lt;=99991231),INT(Wages!$B696/10000),""),IFERROR(VALUE(TRIM(LEFT(Wages!$B696,FIND("/",Wages!$B696)-1))),"")))</f>
        <v/>
      </c>
      <c r="D693">
        <f>IF(OR($A693="",$C693=""),"",IF(ISNUMBER(Wages!$B696),INT(MOD(Wages!$B696,10000)/100),IFERROR(VALUE(TRIM(LEFT(MID(Wages!$B696,FIND("/",Wages!$B696)+1,20),FIND("/",MID(Wages!$B696,FIND("/",Wages!$B696)+1,20))-1))),"")))</f>
        <v/>
      </c>
      <c r="E693">
        <f>IF(OR($A693="",$C693=""),"",IF(ISNUMBER(Wages!$B696),MOD(Wages!$B696,100),IFERROR(VALUE(TRIM(MID(MID(Wages!$B696,FIND("/",Wages!$B696)+1,20),FIND("/",MID(Wages!$B696,FIND("/",Wages!$B696)+1,20))+1,20))),"")))</f>
        <v/>
      </c>
      <c r="F693">
        <f>IF($A693="","",IF(OR($C693="",$D693="",$E693="",$C693&lt;1300,$C693&gt;1500,$D693&lt;1,$D693&gt;12,$E693&lt;1,$E693&gt;31),"نامعتبر",RIGHT("0000"&amp;$C693,4)&amp;"/"&amp;RIGHT("00"&amp;$D693,2)&amp;"/"&amp;RIGHT("00"&amp;$E693,2)))</f>
        <v/>
      </c>
      <c r="G693">
        <f>IF(OR($A693="",$F693="",$F693="نامعتبر"),"",LEFT($F693,4)&amp;MID($F693,6,2)&amp;RIGHT($F693,2)&amp;"0000"&amp;"|"&amp;"1"&amp;RIGHT("00000"&amp;688,5))</f>
        <v/>
      </c>
      <c r="H693">
        <f>IF(OR($B693&lt;&gt;1,$G693=""),"",COUNTIFS(LdAParty,$A693,LdAType,1,LdAKey,"&lt;"&amp;$G693)+COUNTIFS(LdBMember,$A693,LdBKey,"&lt;"&amp;$G693)+COUNTIFS(LdCParty,$A693,LdCKey,"&lt;"&amp;$G693)+1)</f>
        <v/>
      </c>
      <c r="I693">
        <f>IF($H693="","",$A693&amp;"|"&amp;RIGHT("000000"&amp;$H693,6))</f>
        <v/>
      </c>
      <c r="J693">
        <f>IF(OR($B693&lt;&gt;2,$G693=""),"",COUNTIFS(LdAParty,$A693,LdAType,2,LdAKey,"&lt;"&amp;$G693)+1)</f>
        <v/>
      </c>
      <c r="K693">
        <f>IF($J693="","",$A693&amp;"|"&amp;RIGHT("000000"&amp;$J693,6))</f>
        <v/>
      </c>
      <c r="L693">
        <f>IF($A693="","",IF(Wages!$G696="",0,Wages!$G696))</f>
        <v/>
      </c>
      <c r="M693">
        <f>IF($A693="","",Wages!$J696)</f>
        <v/>
      </c>
      <c r="N693">
        <f>IF($A693="","",Wages!$D696)</f>
        <v/>
      </c>
      <c r="P693">
        <f>IF(OR(Shares!$B696="",Shares!$C696=""),"",Shares!$C696)</f>
        <v/>
      </c>
      <c r="Q693">
        <f>IF($P693="","",Shares!$B696)</f>
        <v/>
      </c>
      <c r="R693">
        <f>IF($P693="","",IFERROR(INDEX(WageParty,MATCH($Q693,WageIds,0)),""))</f>
        <v/>
      </c>
      <c r="S693">
        <f>IF($P693="","",IFERROR(INDEX($F$6:$F$2005,MATCH($Q693,WageIds,0)),""))</f>
        <v/>
      </c>
      <c r="T693">
        <f>IF(OR($P693="",$S693="",$S693="نامعتبر"),"",LEFT($S693,4)&amp;MID($S693,6,2)&amp;RIGHT($S693,2)&amp;"0000"&amp;"|"&amp;"2"&amp;RIGHT("00000"&amp;688,5))</f>
        <v/>
      </c>
      <c r="U693">
        <f>IF($T693="","",COUNTIFS(LdAParty,$P693,LdAType,1,LdAKey,"&lt;"&amp;$T693)+COUNTIFS(LdBMember,$P693,LdBKey,"&lt;"&amp;$T693)+COUNTIFS(LdCParty,$P693,LdCKey,"&lt;"&amp;$T693)+1)</f>
        <v/>
      </c>
      <c r="V693">
        <f>IF($U693="","",$P693&amp;"|"&amp;RIGHT("000000"&amp;$U693,6))</f>
        <v/>
      </c>
      <c r="W693">
        <f>IF($T693="","",COUNTIFS(LdBGroup,$R693,LdBKey,"&lt;"&amp;$T693)+1)</f>
        <v/>
      </c>
      <c r="X693">
        <f>IF($W693="","",$R693&amp;"|"&amp;RIGHT("000000"&amp;$W693,6))</f>
        <v/>
      </c>
      <c r="Y693">
        <f>IF($P693="","",IF(Shares!$E696="",0,Shares!$E696))</f>
        <v/>
      </c>
      <c r="Z693">
        <f>IF($P693="","",Shares!$H696)</f>
        <v/>
      </c>
      <c r="AE693">
        <f>IF(OR(Sync!$S693="",Sync!$P693=""),"",Sync!$S693)</f>
        <v/>
      </c>
      <c r="AF693">
        <f>IF($AE693="","",IF(ISNUMBER(Sync!$P693),IF(AND(Sync!$P693&gt;=10000101,Sync!$P693&lt;=99991231),INT(Sync!$P693/10000),""),IFERROR(VALUE(TRIM(LEFT(Sync!$P693,FIND("/",Sync!$P693)-1))),"")))</f>
        <v/>
      </c>
      <c r="AG693">
        <f>IF(OR($AE693="",$AF693=""),"",IF(ISNUMBER(Sync!$P693),INT(MOD(Sync!$P693,10000)/100),IFERROR(VALUE(TRIM(LEFT(MID(Sync!$P693,FIND("/",Sync!$P693)+1,20),FIND("/",MID(Sync!$P693,FIND("/",Sync!$P693)+1,20))-1))),"")))</f>
        <v/>
      </c>
      <c r="AH693">
        <f>IF(OR($AE693="",$AF693=""),"",IF(ISNUMBER(Sync!$P693),MOD(Sync!$P693,100),IFERROR(VALUE(TRIM(MID(MID(Sync!$P693,FIND("/",Sync!$P693)+1,20),FIND("/",MID(Sync!$P693,FIND("/",Sync!$P693)+1,20))+1,20))),"")))</f>
        <v/>
      </c>
      <c r="AI693">
        <f>IF($AE693="","",IF(OR($AF693="",$AG693="",$AH693="",$AF693&lt;1300,$AF693&gt;1500,$AG693&lt;1,$AG693&gt;12,$AH693&lt;1,$AH693&gt;31),"نامعتبر",RIGHT("0000"&amp;$AF693,4)&amp;"/"&amp;RIGHT("00"&amp;$AG693,2)&amp;"/"&amp;RIGHT("00"&amp;$AH693,2)))</f>
        <v/>
      </c>
      <c r="AJ693">
        <f>IF($AE693="","",IF(Sync!$Q693="","0000",IF(AND(ISNUMBER(Sync!$Q693),Sync!$Q693&gt;=0,Sync!$Q693&lt;1),RIGHT("00"&amp;HOUR(Sync!$Q693),2)&amp;RIGHT("00"&amp;MINUTE(Sync!$Q693),2),IFERROR(RIGHT("00"&amp;VALUE(LEFT(Sync!$Q693,FIND(":",Sync!$Q693)-1)),2)&amp;RIGHT("00"&amp;VALUE(MID(Sync!$Q693,FIND(":",Sync!$Q693)+1,2)),2),"0000"))))</f>
        <v/>
      </c>
      <c r="AK693">
        <f>IF(OR($AE693="",$AI693="",$AI693="نامعتبر"),"",LEFT($AI693,4)&amp;MID($AI693,6,2)&amp;RIGHT($AI693,2)&amp;$AJ693&amp;"|"&amp;"3"&amp;RIGHT("00000"&amp;688,5))</f>
        <v/>
      </c>
      <c r="AL693">
        <f>IF($AK693="","",COUNTIFS(LdAParty,$AE693,LdAType,1,LdAKey,"&lt;"&amp;$AK693)+COUNTIFS(LdBMember,$AE693,LdBKey,"&lt;"&amp;$AK693)+COUNTIFS(LdCParty,$AE693,LdCKey,"&lt;"&amp;$AK693)+1)</f>
        <v/>
      </c>
      <c r="AM693">
        <f>IF($AL693="","",$AE693&amp;"|"&amp;RIGHT("000000"&amp;$AL693,6))</f>
        <v/>
      </c>
      <c r="AN693">
        <f>IF($AE693="","",IF(Sync!$W693="",0,Sync!$W693))</f>
        <v/>
      </c>
      <c r="AO693">
        <f>IF($AE693="","",IF(Sync!$X693="",0,Sync!$X693))</f>
        <v/>
      </c>
      <c r="AP693">
        <f>IF($AE693="","",Sync!$R693)</f>
        <v/>
      </c>
      <c r="AQ693">
        <f>IF($AE693="","",Sync!$Y693)</f>
        <v/>
      </c>
    </row>
    <row r="694">
      <c r="A694">
        <f>IF(OR(Wages!$B697="",Wages!$E697=""),"",Wages!$E697)</f>
        <v/>
      </c>
      <c r="B694">
        <f>IF($A694="","",IF(Wages!$C697="دستمزد گروهی",2,1))</f>
        <v/>
      </c>
      <c r="C694">
        <f>IF($A694="","",IF(ISNUMBER(Wages!$B697),IF(AND(Wages!$B697&gt;=10000101,Wages!$B697&lt;=99991231),INT(Wages!$B697/10000),""),IFERROR(VALUE(TRIM(LEFT(Wages!$B697,FIND("/",Wages!$B697)-1))),"")))</f>
        <v/>
      </c>
      <c r="D694">
        <f>IF(OR($A694="",$C694=""),"",IF(ISNUMBER(Wages!$B697),INT(MOD(Wages!$B697,10000)/100),IFERROR(VALUE(TRIM(LEFT(MID(Wages!$B697,FIND("/",Wages!$B697)+1,20),FIND("/",MID(Wages!$B697,FIND("/",Wages!$B697)+1,20))-1))),"")))</f>
        <v/>
      </c>
      <c r="E694">
        <f>IF(OR($A694="",$C694=""),"",IF(ISNUMBER(Wages!$B697),MOD(Wages!$B697,100),IFERROR(VALUE(TRIM(MID(MID(Wages!$B697,FIND("/",Wages!$B697)+1,20),FIND("/",MID(Wages!$B697,FIND("/",Wages!$B697)+1,20))+1,20))),"")))</f>
        <v/>
      </c>
      <c r="F694">
        <f>IF($A694="","",IF(OR($C694="",$D694="",$E694="",$C694&lt;1300,$C694&gt;1500,$D694&lt;1,$D694&gt;12,$E694&lt;1,$E694&gt;31),"نامعتبر",RIGHT("0000"&amp;$C694,4)&amp;"/"&amp;RIGHT("00"&amp;$D694,2)&amp;"/"&amp;RIGHT("00"&amp;$E694,2)))</f>
        <v/>
      </c>
      <c r="G694">
        <f>IF(OR($A694="",$F694="",$F694="نامعتبر"),"",LEFT($F694,4)&amp;MID($F694,6,2)&amp;RIGHT($F694,2)&amp;"0000"&amp;"|"&amp;"1"&amp;RIGHT("00000"&amp;689,5))</f>
        <v/>
      </c>
      <c r="H694">
        <f>IF(OR($B694&lt;&gt;1,$G694=""),"",COUNTIFS(LdAParty,$A694,LdAType,1,LdAKey,"&lt;"&amp;$G694)+COUNTIFS(LdBMember,$A694,LdBKey,"&lt;"&amp;$G694)+COUNTIFS(LdCParty,$A694,LdCKey,"&lt;"&amp;$G694)+1)</f>
        <v/>
      </c>
      <c r="I694">
        <f>IF($H694="","",$A694&amp;"|"&amp;RIGHT("000000"&amp;$H694,6))</f>
        <v/>
      </c>
      <c r="J694">
        <f>IF(OR($B694&lt;&gt;2,$G694=""),"",COUNTIFS(LdAParty,$A694,LdAType,2,LdAKey,"&lt;"&amp;$G694)+1)</f>
        <v/>
      </c>
      <c r="K694">
        <f>IF($J694="","",$A694&amp;"|"&amp;RIGHT("000000"&amp;$J694,6))</f>
        <v/>
      </c>
      <c r="L694">
        <f>IF($A694="","",IF(Wages!$G697="",0,Wages!$G697))</f>
        <v/>
      </c>
      <c r="M694">
        <f>IF($A694="","",Wages!$J697)</f>
        <v/>
      </c>
      <c r="N694">
        <f>IF($A694="","",Wages!$D697)</f>
        <v/>
      </c>
      <c r="P694">
        <f>IF(OR(Shares!$B697="",Shares!$C697=""),"",Shares!$C697)</f>
        <v/>
      </c>
      <c r="Q694">
        <f>IF($P694="","",Shares!$B697)</f>
        <v/>
      </c>
      <c r="R694">
        <f>IF($P694="","",IFERROR(INDEX(WageParty,MATCH($Q694,WageIds,0)),""))</f>
        <v/>
      </c>
      <c r="S694">
        <f>IF($P694="","",IFERROR(INDEX($F$6:$F$2005,MATCH($Q694,WageIds,0)),""))</f>
        <v/>
      </c>
      <c r="T694">
        <f>IF(OR($P694="",$S694="",$S694="نامعتبر"),"",LEFT($S694,4)&amp;MID($S694,6,2)&amp;RIGHT($S694,2)&amp;"0000"&amp;"|"&amp;"2"&amp;RIGHT("00000"&amp;689,5))</f>
        <v/>
      </c>
      <c r="U694">
        <f>IF($T694="","",COUNTIFS(LdAParty,$P694,LdAType,1,LdAKey,"&lt;"&amp;$T694)+COUNTIFS(LdBMember,$P694,LdBKey,"&lt;"&amp;$T694)+COUNTIFS(LdCParty,$P694,LdCKey,"&lt;"&amp;$T694)+1)</f>
        <v/>
      </c>
      <c r="V694">
        <f>IF($U694="","",$P694&amp;"|"&amp;RIGHT("000000"&amp;$U694,6))</f>
        <v/>
      </c>
      <c r="W694">
        <f>IF($T694="","",COUNTIFS(LdBGroup,$R694,LdBKey,"&lt;"&amp;$T694)+1)</f>
        <v/>
      </c>
      <c r="X694">
        <f>IF($W694="","",$R694&amp;"|"&amp;RIGHT("000000"&amp;$W694,6))</f>
        <v/>
      </c>
      <c r="Y694">
        <f>IF($P694="","",IF(Shares!$E697="",0,Shares!$E697))</f>
        <v/>
      </c>
      <c r="Z694">
        <f>IF($P694="","",Shares!$H697)</f>
        <v/>
      </c>
      <c r="AE694">
        <f>IF(OR(Sync!$S694="",Sync!$P694=""),"",Sync!$S694)</f>
        <v/>
      </c>
      <c r="AF694">
        <f>IF($AE694="","",IF(ISNUMBER(Sync!$P694),IF(AND(Sync!$P694&gt;=10000101,Sync!$P694&lt;=99991231),INT(Sync!$P694/10000),""),IFERROR(VALUE(TRIM(LEFT(Sync!$P694,FIND("/",Sync!$P694)-1))),"")))</f>
        <v/>
      </c>
      <c r="AG694">
        <f>IF(OR($AE694="",$AF694=""),"",IF(ISNUMBER(Sync!$P694),INT(MOD(Sync!$P694,10000)/100),IFERROR(VALUE(TRIM(LEFT(MID(Sync!$P694,FIND("/",Sync!$P694)+1,20),FIND("/",MID(Sync!$P694,FIND("/",Sync!$P694)+1,20))-1))),"")))</f>
        <v/>
      </c>
      <c r="AH694">
        <f>IF(OR($AE694="",$AF694=""),"",IF(ISNUMBER(Sync!$P694),MOD(Sync!$P694,100),IFERROR(VALUE(TRIM(MID(MID(Sync!$P694,FIND("/",Sync!$P694)+1,20),FIND("/",MID(Sync!$P694,FIND("/",Sync!$P694)+1,20))+1,20))),"")))</f>
        <v/>
      </c>
      <c r="AI694">
        <f>IF($AE694="","",IF(OR($AF694="",$AG694="",$AH694="",$AF694&lt;1300,$AF694&gt;1500,$AG694&lt;1,$AG694&gt;12,$AH694&lt;1,$AH694&gt;31),"نامعتبر",RIGHT("0000"&amp;$AF694,4)&amp;"/"&amp;RIGHT("00"&amp;$AG694,2)&amp;"/"&amp;RIGHT("00"&amp;$AH694,2)))</f>
        <v/>
      </c>
      <c r="AJ694">
        <f>IF($AE694="","",IF(Sync!$Q694="","0000",IF(AND(ISNUMBER(Sync!$Q694),Sync!$Q694&gt;=0,Sync!$Q694&lt;1),RIGHT("00"&amp;HOUR(Sync!$Q694),2)&amp;RIGHT("00"&amp;MINUTE(Sync!$Q694),2),IFERROR(RIGHT("00"&amp;VALUE(LEFT(Sync!$Q694,FIND(":",Sync!$Q694)-1)),2)&amp;RIGHT("00"&amp;VALUE(MID(Sync!$Q694,FIND(":",Sync!$Q694)+1,2)),2),"0000"))))</f>
        <v/>
      </c>
      <c r="AK694">
        <f>IF(OR($AE694="",$AI694="",$AI694="نامعتبر"),"",LEFT($AI694,4)&amp;MID($AI694,6,2)&amp;RIGHT($AI694,2)&amp;$AJ694&amp;"|"&amp;"3"&amp;RIGHT("00000"&amp;689,5))</f>
        <v/>
      </c>
      <c r="AL694">
        <f>IF($AK694="","",COUNTIFS(LdAParty,$AE694,LdAType,1,LdAKey,"&lt;"&amp;$AK694)+COUNTIFS(LdBMember,$AE694,LdBKey,"&lt;"&amp;$AK694)+COUNTIFS(LdCParty,$AE694,LdCKey,"&lt;"&amp;$AK694)+1)</f>
        <v/>
      </c>
      <c r="AM694">
        <f>IF($AL694="","",$AE694&amp;"|"&amp;RIGHT("000000"&amp;$AL694,6))</f>
        <v/>
      </c>
      <c r="AN694">
        <f>IF($AE694="","",IF(Sync!$W694="",0,Sync!$W694))</f>
        <v/>
      </c>
      <c r="AO694">
        <f>IF($AE694="","",IF(Sync!$X694="",0,Sync!$X694))</f>
        <v/>
      </c>
      <c r="AP694">
        <f>IF($AE694="","",Sync!$R694)</f>
        <v/>
      </c>
      <c r="AQ694">
        <f>IF($AE694="","",Sync!$Y694)</f>
        <v/>
      </c>
    </row>
    <row r="695">
      <c r="A695">
        <f>IF(OR(Wages!$B698="",Wages!$E698=""),"",Wages!$E698)</f>
        <v/>
      </c>
      <c r="B695">
        <f>IF($A695="","",IF(Wages!$C698="دستمزد گروهی",2,1))</f>
        <v/>
      </c>
      <c r="C695">
        <f>IF($A695="","",IF(ISNUMBER(Wages!$B698),IF(AND(Wages!$B698&gt;=10000101,Wages!$B698&lt;=99991231),INT(Wages!$B698/10000),""),IFERROR(VALUE(TRIM(LEFT(Wages!$B698,FIND("/",Wages!$B698)-1))),"")))</f>
        <v/>
      </c>
      <c r="D695">
        <f>IF(OR($A695="",$C695=""),"",IF(ISNUMBER(Wages!$B698),INT(MOD(Wages!$B698,10000)/100),IFERROR(VALUE(TRIM(LEFT(MID(Wages!$B698,FIND("/",Wages!$B698)+1,20),FIND("/",MID(Wages!$B698,FIND("/",Wages!$B698)+1,20))-1))),"")))</f>
        <v/>
      </c>
      <c r="E695">
        <f>IF(OR($A695="",$C695=""),"",IF(ISNUMBER(Wages!$B698),MOD(Wages!$B698,100),IFERROR(VALUE(TRIM(MID(MID(Wages!$B698,FIND("/",Wages!$B698)+1,20),FIND("/",MID(Wages!$B698,FIND("/",Wages!$B698)+1,20))+1,20))),"")))</f>
        <v/>
      </c>
      <c r="F695">
        <f>IF($A695="","",IF(OR($C695="",$D695="",$E695="",$C695&lt;1300,$C695&gt;1500,$D695&lt;1,$D695&gt;12,$E695&lt;1,$E695&gt;31),"نامعتبر",RIGHT("0000"&amp;$C695,4)&amp;"/"&amp;RIGHT("00"&amp;$D695,2)&amp;"/"&amp;RIGHT("00"&amp;$E695,2)))</f>
        <v/>
      </c>
      <c r="G695">
        <f>IF(OR($A695="",$F695="",$F695="نامعتبر"),"",LEFT($F695,4)&amp;MID($F695,6,2)&amp;RIGHT($F695,2)&amp;"0000"&amp;"|"&amp;"1"&amp;RIGHT("00000"&amp;690,5))</f>
        <v/>
      </c>
      <c r="H695">
        <f>IF(OR($B695&lt;&gt;1,$G695=""),"",COUNTIFS(LdAParty,$A695,LdAType,1,LdAKey,"&lt;"&amp;$G695)+COUNTIFS(LdBMember,$A695,LdBKey,"&lt;"&amp;$G695)+COUNTIFS(LdCParty,$A695,LdCKey,"&lt;"&amp;$G695)+1)</f>
        <v/>
      </c>
      <c r="I695">
        <f>IF($H695="","",$A695&amp;"|"&amp;RIGHT("000000"&amp;$H695,6))</f>
        <v/>
      </c>
      <c r="J695">
        <f>IF(OR($B695&lt;&gt;2,$G695=""),"",COUNTIFS(LdAParty,$A695,LdAType,2,LdAKey,"&lt;"&amp;$G695)+1)</f>
        <v/>
      </c>
      <c r="K695">
        <f>IF($J695="","",$A695&amp;"|"&amp;RIGHT("000000"&amp;$J695,6))</f>
        <v/>
      </c>
      <c r="L695">
        <f>IF($A695="","",IF(Wages!$G698="",0,Wages!$G698))</f>
        <v/>
      </c>
      <c r="M695">
        <f>IF($A695="","",Wages!$J698)</f>
        <v/>
      </c>
      <c r="N695">
        <f>IF($A695="","",Wages!$D698)</f>
        <v/>
      </c>
      <c r="P695">
        <f>IF(OR(Shares!$B698="",Shares!$C698=""),"",Shares!$C698)</f>
        <v/>
      </c>
      <c r="Q695">
        <f>IF($P695="","",Shares!$B698)</f>
        <v/>
      </c>
      <c r="R695">
        <f>IF($P695="","",IFERROR(INDEX(WageParty,MATCH($Q695,WageIds,0)),""))</f>
        <v/>
      </c>
      <c r="S695">
        <f>IF($P695="","",IFERROR(INDEX($F$6:$F$2005,MATCH($Q695,WageIds,0)),""))</f>
        <v/>
      </c>
      <c r="T695">
        <f>IF(OR($P695="",$S695="",$S695="نامعتبر"),"",LEFT($S695,4)&amp;MID($S695,6,2)&amp;RIGHT($S695,2)&amp;"0000"&amp;"|"&amp;"2"&amp;RIGHT("00000"&amp;690,5))</f>
        <v/>
      </c>
      <c r="U695">
        <f>IF($T695="","",COUNTIFS(LdAParty,$P695,LdAType,1,LdAKey,"&lt;"&amp;$T695)+COUNTIFS(LdBMember,$P695,LdBKey,"&lt;"&amp;$T695)+COUNTIFS(LdCParty,$P695,LdCKey,"&lt;"&amp;$T695)+1)</f>
        <v/>
      </c>
      <c r="V695">
        <f>IF($U695="","",$P695&amp;"|"&amp;RIGHT("000000"&amp;$U695,6))</f>
        <v/>
      </c>
      <c r="W695">
        <f>IF($T695="","",COUNTIFS(LdBGroup,$R695,LdBKey,"&lt;"&amp;$T695)+1)</f>
        <v/>
      </c>
      <c r="X695">
        <f>IF($W695="","",$R695&amp;"|"&amp;RIGHT("000000"&amp;$W695,6))</f>
        <v/>
      </c>
      <c r="Y695">
        <f>IF($P695="","",IF(Shares!$E698="",0,Shares!$E698))</f>
        <v/>
      </c>
      <c r="Z695">
        <f>IF($P695="","",Shares!$H698)</f>
        <v/>
      </c>
      <c r="AE695">
        <f>IF(OR(Sync!$S695="",Sync!$P695=""),"",Sync!$S695)</f>
        <v/>
      </c>
      <c r="AF695">
        <f>IF($AE695="","",IF(ISNUMBER(Sync!$P695),IF(AND(Sync!$P695&gt;=10000101,Sync!$P695&lt;=99991231),INT(Sync!$P695/10000),""),IFERROR(VALUE(TRIM(LEFT(Sync!$P695,FIND("/",Sync!$P695)-1))),"")))</f>
        <v/>
      </c>
      <c r="AG695">
        <f>IF(OR($AE695="",$AF695=""),"",IF(ISNUMBER(Sync!$P695),INT(MOD(Sync!$P695,10000)/100),IFERROR(VALUE(TRIM(LEFT(MID(Sync!$P695,FIND("/",Sync!$P695)+1,20),FIND("/",MID(Sync!$P695,FIND("/",Sync!$P695)+1,20))-1))),"")))</f>
        <v/>
      </c>
      <c r="AH695">
        <f>IF(OR($AE695="",$AF695=""),"",IF(ISNUMBER(Sync!$P695),MOD(Sync!$P695,100),IFERROR(VALUE(TRIM(MID(MID(Sync!$P695,FIND("/",Sync!$P695)+1,20),FIND("/",MID(Sync!$P695,FIND("/",Sync!$P695)+1,20))+1,20))),"")))</f>
        <v/>
      </c>
      <c r="AI695">
        <f>IF($AE695="","",IF(OR($AF695="",$AG695="",$AH695="",$AF695&lt;1300,$AF695&gt;1500,$AG695&lt;1,$AG695&gt;12,$AH695&lt;1,$AH695&gt;31),"نامعتبر",RIGHT("0000"&amp;$AF695,4)&amp;"/"&amp;RIGHT("00"&amp;$AG695,2)&amp;"/"&amp;RIGHT("00"&amp;$AH695,2)))</f>
        <v/>
      </c>
      <c r="AJ695">
        <f>IF($AE695="","",IF(Sync!$Q695="","0000",IF(AND(ISNUMBER(Sync!$Q695),Sync!$Q695&gt;=0,Sync!$Q695&lt;1),RIGHT("00"&amp;HOUR(Sync!$Q695),2)&amp;RIGHT("00"&amp;MINUTE(Sync!$Q695),2),IFERROR(RIGHT("00"&amp;VALUE(LEFT(Sync!$Q695,FIND(":",Sync!$Q695)-1)),2)&amp;RIGHT("00"&amp;VALUE(MID(Sync!$Q695,FIND(":",Sync!$Q695)+1,2)),2),"0000"))))</f>
        <v/>
      </c>
      <c r="AK695">
        <f>IF(OR($AE695="",$AI695="",$AI695="نامعتبر"),"",LEFT($AI695,4)&amp;MID($AI695,6,2)&amp;RIGHT($AI695,2)&amp;$AJ695&amp;"|"&amp;"3"&amp;RIGHT("00000"&amp;690,5))</f>
        <v/>
      </c>
      <c r="AL695">
        <f>IF($AK695="","",COUNTIFS(LdAParty,$AE695,LdAType,1,LdAKey,"&lt;"&amp;$AK695)+COUNTIFS(LdBMember,$AE695,LdBKey,"&lt;"&amp;$AK695)+COUNTIFS(LdCParty,$AE695,LdCKey,"&lt;"&amp;$AK695)+1)</f>
        <v/>
      </c>
      <c r="AM695">
        <f>IF($AL695="","",$AE695&amp;"|"&amp;RIGHT("000000"&amp;$AL695,6))</f>
        <v/>
      </c>
      <c r="AN695">
        <f>IF($AE695="","",IF(Sync!$W695="",0,Sync!$W695))</f>
        <v/>
      </c>
      <c r="AO695">
        <f>IF($AE695="","",IF(Sync!$X695="",0,Sync!$X695))</f>
        <v/>
      </c>
      <c r="AP695">
        <f>IF($AE695="","",Sync!$R695)</f>
        <v/>
      </c>
      <c r="AQ695">
        <f>IF($AE695="","",Sync!$Y695)</f>
        <v/>
      </c>
    </row>
    <row r="696">
      <c r="A696">
        <f>IF(OR(Wages!$B699="",Wages!$E699=""),"",Wages!$E699)</f>
        <v/>
      </c>
      <c r="B696">
        <f>IF($A696="","",IF(Wages!$C699="دستمزد گروهی",2,1))</f>
        <v/>
      </c>
      <c r="C696">
        <f>IF($A696="","",IF(ISNUMBER(Wages!$B699),IF(AND(Wages!$B699&gt;=10000101,Wages!$B699&lt;=99991231),INT(Wages!$B699/10000),""),IFERROR(VALUE(TRIM(LEFT(Wages!$B699,FIND("/",Wages!$B699)-1))),"")))</f>
        <v/>
      </c>
      <c r="D696">
        <f>IF(OR($A696="",$C696=""),"",IF(ISNUMBER(Wages!$B699),INT(MOD(Wages!$B699,10000)/100),IFERROR(VALUE(TRIM(LEFT(MID(Wages!$B699,FIND("/",Wages!$B699)+1,20),FIND("/",MID(Wages!$B699,FIND("/",Wages!$B699)+1,20))-1))),"")))</f>
        <v/>
      </c>
      <c r="E696">
        <f>IF(OR($A696="",$C696=""),"",IF(ISNUMBER(Wages!$B699),MOD(Wages!$B699,100),IFERROR(VALUE(TRIM(MID(MID(Wages!$B699,FIND("/",Wages!$B699)+1,20),FIND("/",MID(Wages!$B699,FIND("/",Wages!$B699)+1,20))+1,20))),"")))</f>
        <v/>
      </c>
      <c r="F696">
        <f>IF($A696="","",IF(OR($C696="",$D696="",$E696="",$C696&lt;1300,$C696&gt;1500,$D696&lt;1,$D696&gt;12,$E696&lt;1,$E696&gt;31),"نامعتبر",RIGHT("0000"&amp;$C696,4)&amp;"/"&amp;RIGHT("00"&amp;$D696,2)&amp;"/"&amp;RIGHT("00"&amp;$E696,2)))</f>
        <v/>
      </c>
      <c r="G696">
        <f>IF(OR($A696="",$F696="",$F696="نامعتبر"),"",LEFT($F696,4)&amp;MID($F696,6,2)&amp;RIGHT($F696,2)&amp;"0000"&amp;"|"&amp;"1"&amp;RIGHT("00000"&amp;691,5))</f>
        <v/>
      </c>
      <c r="H696">
        <f>IF(OR($B696&lt;&gt;1,$G696=""),"",COUNTIFS(LdAParty,$A696,LdAType,1,LdAKey,"&lt;"&amp;$G696)+COUNTIFS(LdBMember,$A696,LdBKey,"&lt;"&amp;$G696)+COUNTIFS(LdCParty,$A696,LdCKey,"&lt;"&amp;$G696)+1)</f>
        <v/>
      </c>
      <c r="I696">
        <f>IF($H696="","",$A696&amp;"|"&amp;RIGHT("000000"&amp;$H696,6))</f>
        <v/>
      </c>
      <c r="J696">
        <f>IF(OR($B696&lt;&gt;2,$G696=""),"",COUNTIFS(LdAParty,$A696,LdAType,2,LdAKey,"&lt;"&amp;$G696)+1)</f>
        <v/>
      </c>
      <c r="K696">
        <f>IF($J696="","",$A696&amp;"|"&amp;RIGHT("000000"&amp;$J696,6))</f>
        <v/>
      </c>
      <c r="L696">
        <f>IF($A696="","",IF(Wages!$G699="",0,Wages!$G699))</f>
        <v/>
      </c>
      <c r="M696">
        <f>IF($A696="","",Wages!$J699)</f>
        <v/>
      </c>
      <c r="N696">
        <f>IF($A696="","",Wages!$D699)</f>
        <v/>
      </c>
      <c r="P696">
        <f>IF(OR(Shares!$B699="",Shares!$C699=""),"",Shares!$C699)</f>
        <v/>
      </c>
      <c r="Q696">
        <f>IF($P696="","",Shares!$B699)</f>
        <v/>
      </c>
      <c r="R696">
        <f>IF($P696="","",IFERROR(INDEX(WageParty,MATCH($Q696,WageIds,0)),""))</f>
        <v/>
      </c>
      <c r="S696">
        <f>IF($P696="","",IFERROR(INDEX($F$6:$F$2005,MATCH($Q696,WageIds,0)),""))</f>
        <v/>
      </c>
      <c r="T696">
        <f>IF(OR($P696="",$S696="",$S696="نامعتبر"),"",LEFT($S696,4)&amp;MID($S696,6,2)&amp;RIGHT($S696,2)&amp;"0000"&amp;"|"&amp;"2"&amp;RIGHT("00000"&amp;691,5))</f>
        <v/>
      </c>
      <c r="U696">
        <f>IF($T696="","",COUNTIFS(LdAParty,$P696,LdAType,1,LdAKey,"&lt;"&amp;$T696)+COUNTIFS(LdBMember,$P696,LdBKey,"&lt;"&amp;$T696)+COUNTIFS(LdCParty,$P696,LdCKey,"&lt;"&amp;$T696)+1)</f>
        <v/>
      </c>
      <c r="V696">
        <f>IF($U696="","",$P696&amp;"|"&amp;RIGHT("000000"&amp;$U696,6))</f>
        <v/>
      </c>
      <c r="W696">
        <f>IF($T696="","",COUNTIFS(LdBGroup,$R696,LdBKey,"&lt;"&amp;$T696)+1)</f>
        <v/>
      </c>
      <c r="X696">
        <f>IF($W696="","",$R696&amp;"|"&amp;RIGHT("000000"&amp;$W696,6))</f>
        <v/>
      </c>
      <c r="Y696">
        <f>IF($P696="","",IF(Shares!$E699="",0,Shares!$E699))</f>
        <v/>
      </c>
      <c r="Z696">
        <f>IF($P696="","",Shares!$H699)</f>
        <v/>
      </c>
      <c r="AE696">
        <f>IF(OR(Sync!$S696="",Sync!$P696=""),"",Sync!$S696)</f>
        <v/>
      </c>
      <c r="AF696">
        <f>IF($AE696="","",IF(ISNUMBER(Sync!$P696),IF(AND(Sync!$P696&gt;=10000101,Sync!$P696&lt;=99991231),INT(Sync!$P696/10000),""),IFERROR(VALUE(TRIM(LEFT(Sync!$P696,FIND("/",Sync!$P696)-1))),"")))</f>
        <v/>
      </c>
      <c r="AG696">
        <f>IF(OR($AE696="",$AF696=""),"",IF(ISNUMBER(Sync!$P696),INT(MOD(Sync!$P696,10000)/100),IFERROR(VALUE(TRIM(LEFT(MID(Sync!$P696,FIND("/",Sync!$P696)+1,20),FIND("/",MID(Sync!$P696,FIND("/",Sync!$P696)+1,20))-1))),"")))</f>
        <v/>
      </c>
      <c r="AH696">
        <f>IF(OR($AE696="",$AF696=""),"",IF(ISNUMBER(Sync!$P696),MOD(Sync!$P696,100),IFERROR(VALUE(TRIM(MID(MID(Sync!$P696,FIND("/",Sync!$P696)+1,20),FIND("/",MID(Sync!$P696,FIND("/",Sync!$P696)+1,20))+1,20))),"")))</f>
        <v/>
      </c>
      <c r="AI696">
        <f>IF($AE696="","",IF(OR($AF696="",$AG696="",$AH696="",$AF696&lt;1300,$AF696&gt;1500,$AG696&lt;1,$AG696&gt;12,$AH696&lt;1,$AH696&gt;31),"نامعتبر",RIGHT("0000"&amp;$AF696,4)&amp;"/"&amp;RIGHT("00"&amp;$AG696,2)&amp;"/"&amp;RIGHT("00"&amp;$AH696,2)))</f>
        <v/>
      </c>
      <c r="AJ696">
        <f>IF($AE696="","",IF(Sync!$Q696="","0000",IF(AND(ISNUMBER(Sync!$Q696),Sync!$Q696&gt;=0,Sync!$Q696&lt;1),RIGHT("00"&amp;HOUR(Sync!$Q696),2)&amp;RIGHT("00"&amp;MINUTE(Sync!$Q696),2),IFERROR(RIGHT("00"&amp;VALUE(LEFT(Sync!$Q696,FIND(":",Sync!$Q696)-1)),2)&amp;RIGHT("00"&amp;VALUE(MID(Sync!$Q696,FIND(":",Sync!$Q696)+1,2)),2),"0000"))))</f>
        <v/>
      </c>
      <c r="AK696">
        <f>IF(OR($AE696="",$AI696="",$AI696="نامعتبر"),"",LEFT($AI696,4)&amp;MID($AI696,6,2)&amp;RIGHT($AI696,2)&amp;$AJ696&amp;"|"&amp;"3"&amp;RIGHT("00000"&amp;691,5))</f>
        <v/>
      </c>
      <c r="AL696">
        <f>IF($AK696="","",COUNTIFS(LdAParty,$AE696,LdAType,1,LdAKey,"&lt;"&amp;$AK696)+COUNTIFS(LdBMember,$AE696,LdBKey,"&lt;"&amp;$AK696)+COUNTIFS(LdCParty,$AE696,LdCKey,"&lt;"&amp;$AK696)+1)</f>
        <v/>
      </c>
      <c r="AM696">
        <f>IF($AL696="","",$AE696&amp;"|"&amp;RIGHT("000000"&amp;$AL696,6))</f>
        <v/>
      </c>
      <c r="AN696">
        <f>IF($AE696="","",IF(Sync!$W696="",0,Sync!$W696))</f>
        <v/>
      </c>
      <c r="AO696">
        <f>IF($AE696="","",IF(Sync!$X696="",0,Sync!$X696))</f>
        <v/>
      </c>
      <c r="AP696">
        <f>IF($AE696="","",Sync!$R696)</f>
        <v/>
      </c>
      <c r="AQ696">
        <f>IF($AE696="","",Sync!$Y696)</f>
        <v/>
      </c>
    </row>
    <row r="697">
      <c r="A697">
        <f>IF(OR(Wages!$B700="",Wages!$E700=""),"",Wages!$E700)</f>
        <v/>
      </c>
      <c r="B697">
        <f>IF($A697="","",IF(Wages!$C700="دستمزد گروهی",2,1))</f>
        <v/>
      </c>
      <c r="C697">
        <f>IF($A697="","",IF(ISNUMBER(Wages!$B700),IF(AND(Wages!$B700&gt;=10000101,Wages!$B700&lt;=99991231),INT(Wages!$B700/10000),""),IFERROR(VALUE(TRIM(LEFT(Wages!$B700,FIND("/",Wages!$B700)-1))),"")))</f>
        <v/>
      </c>
      <c r="D697">
        <f>IF(OR($A697="",$C697=""),"",IF(ISNUMBER(Wages!$B700),INT(MOD(Wages!$B700,10000)/100),IFERROR(VALUE(TRIM(LEFT(MID(Wages!$B700,FIND("/",Wages!$B700)+1,20),FIND("/",MID(Wages!$B700,FIND("/",Wages!$B700)+1,20))-1))),"")))</f>
        <v/>
      </c>
      <c r="E697">
        <f>IF(OR($A697="",$C697=""),"",IF(ISNUMBER(Wages!$B700),MOD(Wages!$B700,100),IFERROR(VALUE(TRIM(MID(MID(Wages!$B700,FIND("/",Wages!$B700)+1,20),FIND("/",MID(Wages!$B700,FIND("/",Wages!$B700)+1,20))+1,20))),"")))</f>
        <v/>
      </c>
      <c r="F697">
        <f>IF($A697="","",IF(OR($C697="",$D697="",$E697="",$C697&lt;1300,$C697&gt;1500,$D697&lt;1,$D697&gt;12,$E697&lt;1,$E697&gt;31),"نامعتبر",RIGHT("0000"&amp;$C697,4)&amp;"/"&amp;RIGHT("00"&amp;$D697,2)&amp;"/"&amp;RIGHT("00"&amp;$E697,2)))</f>
        <v/>
      </c>
      <c r="G697">
        <f>IF(OR($A697="",$F697="",$F697="نامعتبر"),"",LEFT($F697,4)&amp;MID($F697,6,2)&amp;RIGHT($F697,2)&amp;"0000"&amp;"|"&amp;"1"&amp;RIGHT("00000"&amp;692,5))</f>
        <v/>
      </c>
      <c r="H697">
        <f>IF(OR($B697&lt;&gt;1,$G697=""),"",COUNTIFS(LdAParty,$A697,LdAType,1,LdAKey,"&lt;"&amp;$G697)+COUNTIFS(LdBMember,$A697,LdBKey,"&lt;"&amp;$G697)+COUNTIFS(LdCParty,$A697,LdCKey,"&lt;"&amp;$G697)+1)</f>
        <v/>
      </c>
      <c r="I697">
        <f>IF($H697="","",$A697&amp;"|"&amp;RIGHT("000000"&amp;$H697,6))</f>
        <v/>
      </c>
      <c r="J697">
        <f>IF(OR($B697&lt;&gt;2,$G697=""),"",COUNTIFS(LdAParty,$A697,LdAType,2,LdAKey,"&lt;"&amp;$G697)+1)</f>
        <v/>
      </c>
      <c r="K697">
        <f>IF($J697="","",$A697&amp;"|"&amp;RIGHT("000000"&amp;$J697,6))</f>
        <v/>
      </c>
      <c r="L697">
        <f>IF($A697="","",IF(Wages!$G700="",0,Wages!$G700))</f>
        <v/>
      </c>
      <c r="M697">
        <f>IF($A697="","",Wages!$J700)</f>
        <v/>
      </c>
      <c r="N697">
        <f>IF($A697="","",Wages!$D700)</f>
        <v/>
      </c>
      <c r="P697">
        <f>IF(OR(Shares!$B700="",Shares!$C700=""),"",Shares!$C700)</f>
        <v/>
      </c>
      <c r="Q697">
        <f>IF($P697="","",Shares!$B700)</f>
        <v/>
      </c>
      <c r="R697">
        <f>IF($P697="","",IFERROR(INDEX(WageParty,MATCH($Q697,WageIds,0)),""))</f>
        <v/>
      </c>
      <c r="S697">
        <f>IF($P697="","",IFERROR(INDEX($F$6:$F$2005,MATCH($Q697,WageIds,0)),""))</f>
        <v/>
      </c>
      <c r="T697">
        <f>IF(OR($P697="",$S697="",$S697="نامعتبر"),"",LEFT($S697,4)&amp;MID($S697,6,2)&amp;RIGHT($S697,2)&amp;"0000"&amp;"|"&amp;"2"&amp;RIGHT("00000"&amp;692,5))</f>
        <v/>
      </c>
      <c r="U697">
        <f>IF($T697="","",COUNTIFS(LdAParty,$P697,LdAType,1,LdAKey,"&lt;"&amp;$T697)+COUNTIFS(LdBMember,$P697,LdBKey,"&lt;"&amp;$T697)+COUNTIFS(LdCParty,$P697,LdCKey,"&lt;"&amp;$T697)+1)</f>
        <v/>
      </c>
      <c r="V697">
        <f>IF($U697="","",$P697&amp;"|"&amp;RIGHT("000000"&amp;$U697,6))</f>
        <v/>
      </c>
      <c r="W697">
        <f>IF($T697="","",COUNTIFS(LdBGroup,$R697,LdBKey,"&lt;"&amp;$T697)+1)</f>
        <v/>
      </c>
      <c r="X697">
        <f>IF($W697="","",$R697&amp;"|"&amp;RIGHT("000000"&amp;$W697,6))</f>
        <v/>
      </c>
      <c r="Y697">
        <f>IF($P697="","",IF(Shares!$E700="",0,Shares!$E700))</f>
        <v/>
      </c>
      <c r="Z697">
        <f>IF($P697="","",Shares!$H700)</f>
        <v/>
      </c>
      <c r="AE697">
        <f>IF(OR(Sync!$S697="",Sync!$P697=""),"",Sync!$S697)</f>
        <v/>
      </c>
      <c r="AF697">
        <f>IF($AE697="","",IF(ISNUMBER(Sync!$P697),IF(AND(Sync!$P697&gt;=10000101,Sync!$P697&lt;=99991231),INT(Sync!$P697/10000),""),IFERROR(VALUE(TRIM(LEFT(Sync!$P697,FIND("/",Sync!$P697)-1))),"")))</f>
        <v/>
      </c>
      <c r="AG697">
        <f>IF(OR($AE697="",$AF697=""),"",IF(ISNUMBER(Sync!$P697),INT(MOD(Sync!$P697,10000)/100),IFERROR(VALUE(TRIM(LEFT(MID(Sync!$P697,FIND("/",Sync!$P697)+1,20),FIND("/",MID(Sync!$P697,FIND("/",Sync!$P697)+1,20))-1))),"")))</f>
        <v/>
      </c>
      <c r="AH697">
        <f>IF(OR($AE697="",$AF697=""),"",IF(ISNUMBER(Sync!$P697),MOD(Sync!$P697,100),IFERROR(VALUE(TRIM(MID(MID(Sync!$P697,FIND("/",Sync!$P697)+1,20),FIND("/",MID(Sync!$P697,FIND("/",Sync!$P697)+1,20))+1,20))),"")))</f>
        <v/>
      </c>
      <c r="AI697">
        <f>IF($AE697="","",IF(OR($AF697="",$AG697="",$AH697="",$AF697&lt;1300,$AF697&gt;1500,$AG697&lt;1,$AG697&gt;12,$AH697&lt;1,$AH697&gt;31),"نامعتبر",RIGHT("0000"&amp;$AF697,4)&amp;"/"&amp;RIGHT("00"&amp;$AG697,2)&amp;"/"&amp;RIGHT("00"&amp;$AH697,2)))</f>
        <v/>
      </c>
      <c r="AJ697">
        <f>IF($AE697="","",IF(Sync!$Q697="","0000",IF(AND(ISNUMBER(Sync!$Q697),Sync!$Q697&gt;=0,Sync!$Q697&lt;1),RIGHT("00"&amp;HOUR(Sync!$Q697),2)&amp;RIGHT("00"&amp;MINUTE(Sync!$Q697),2),IFERROR(RIGHT("00"&amp;VALUE(LEFT(Sync!$Q697,FIND(":",Sync!$Q697)-1)),2)&amp;RIGHT("00"&amp;VALUE(MID(Sync!$Q697,FIND(":",Sync!$Q697)+1,2)),2),"0000"))))</f>
        <v/>
      </c>
      <c r="AK697">
        <f>IF(OR($AE697="",$AI697="",$AI697="نامعتبر"),"",LEFT($AI697,4)&amp;MID($AI697,6,2)&amp;RIGHT($AI697,2)&amp;$AJ697&amp;"|"&amp;"3"&amp;RIGHT("00000"&amp;692,5))</f>
        <v/>
      </c>
      <c r="AL697">
        <f>IF($AK697="","",COUNTIFS(LdAParty,$AE697,LdAType,1,LdAKey,"&lt;"&amp;$AK697)+COUNTIFS(LdBMember,$AE697,LdBKey,"&lt;"&amp;$AK697)+COUNTIFS(LdCParty,$AE697,LdCKey,"&lt;"&amp;$AK697)+1)</f>
        <v/>
      </c>
      <c r="AM697">
        <f>IF($AL697="","",$AE697&amp;"|"&amp;RIGHT("000000"&amp;$AL697,6))</f>
        <v/>
      </c>
      <c r="AN697">
        <f>IF($AE697="","",IF(Sync!$W697="",0,Sync!$W697))</f>
        <v/>
      </c>
      <c r="AO697">
        <f>IF($AE697="","",IF(Sync!$X697="",0,Sync!$X697))</f>
        <v/>
      </c>
      <c r="AP697">
        <f>IF($AE697="","",Sync!$R697)</f>
        <v/>
      </c>
      <c r="AQ697">
        <f>IF($AE697="","",Sync!$Y697)</f>
        <v/>
      </c>
    </row>
    <row r="698">
      <c r="A698">
        <f>IF(OR(Wages!$B701="",Wages!$E701=""),"",Wages!$E701)</f>
        <v/>
      </c>
      <c r="B698">
        <f>IF($A698="","",IF(Wages!$C701="دستمزد گروهی",2,1))</f>
        <v/>
      </c>
      <c r="C698">
        <f>IF($A698="","",IF(ISNUMBER(Wages!$B701),IF(AND(Wages!$B701&gt;=10000101,Wages!$B701&lt;=99991231),INT(Wages!$B701/10000),""),IFERROR(VALUE(TRIM(LEFT(Wages!$B701,FIND("/",Wages!$B701)-1))),"")))</f>
        <v/>
      </c>
      <c r="D698">
        <f>IF(OR($A698="",$C698=""),"",IF(ISNUMBER(Wages!$B701),INT(MOD(Wages!$B701,10000)/100),IFERROR(VALUE(TRIM(LEFT(MID(Wages!$B701,FIND("/",Wages!$B701)+1,20),FIND("/",MID(Wages!$B701,FIND("/",Wages!$B701)+1,20))-1))),"")))</f>
        <v/>
      </c>
      <c r="E698">
        <f>IF(OR($A698="",$C698=""),"",IF(ISNUMBER(Wages!$B701),MOD(Wages!$B701,100),IFERROR(VALUE(TRIM(MID(MID(Wages!$B701,FIND("/",Wages!$B701)+1,20),FIND("/",MID(Wages!$B701,FIND("/",Wages!$B701)+1,20))+1,20))),"")))</f>
        <v/>
      </c>
      <c r="F698">
        <f>IF($A698="","",IF(OR($C698="",$D698="",$E698="",$C698&lt;1300,$C698&gt;1500,$D698&lt;1,$D698&gt;12,$E698&lt;1,$E698&gt;31),"نامعتبر",RIGHT("0000"&amp;$C698,4)&amp;"/"&amp;RIGHT("00"&amp;$D698,2)&amp;"/"&amp;RIGHT("00"&amp;$E698,2)))</f>
        <v/>
      </c>
      <c r="G698">
        <f>IF(OR($A698="",$F698="",$F698="نامعتبر"),"",LEFT($F698,4)&amp;MID($F698,6,2)&amp;RIGHT($F698,2)&amp;"0000"&amp;"|"&amp;"1"&amp;RIGHT("00000"&amp;693,5))</f>
        <v/>
      </c>
      <c r="H698">
        <f>IF(OR($B698&lt;&gt;1,$G698=""),"",COUNTIFS(LdAParty,$A698,LdAType,1,LdAKey,"&lt;"&amp;$G698)+COUNTIFS(LdBMember,$A698,LdBKey,"&lt;"&amp;$G698)+COUNTIFS(LdCParty,$A698,LdCKey,"&lt;"&amp;$G698)+1)</f>
        <v/>
      </c>
      <c r="I698">
        <f>IF($H698="","",$A698&amp;"|"&amp;RIGHT("000000"&amp;$H698,6))</f>
        <v/>
      </c>
      <c r="J698">
        <f>IF(OR($B698&lt;&gt;2,$G698=""),"",COUNTIFS(LdAParty,$A698,LdAType,2,LdAKey,"&lt;"&amp;$G698)+1)</f>
        <v/>
      </c>
      <c r="K698">
        <f>IF($J698="","",$A698&amp;"|"&amp;RIGHT("000000"&amp;$J698,6))</f>
        <v/>
      </c>
      <c r="L698">
        <f>IF($A698="","",IF(Wages!$G701="",0,Wages!$G701))</f>
        <v/>
      </c>
      <c r="M698">
        <f>IF($A698="","",Wages!$J701)</f>
        <v/>
      </c>
      <c r="N698">
        <f>IF($A698="","",Wages!$D701)</f>
        <v/>
      </c>
      <c r="P698">
        <f>IF(OR(Shares!$B701="",Shares!$C701=""),"",Shares!$C701)</f>
        <v/>
      </c>
      <c r="Q698">
        <f>IF($P698="","",Shares!$B701)</f>
        <v/>
      </c>
      <c r="R698">
        <f>IF($P698="","",IFERROR(INDEX(WageParty,MATCH($Q698,WageIds,0)),""))</f>
        <v/>
      </c>
      <c r="S698">
        <f>IF($P698="","",IFERROR(INDEX($F$6:$F$2005,MATCH($Q698,WageIds,0)),""))</f>
        <v/>
      </c>
      <c r="T698">
        <f>IF(OR($P698="",$S698="",$S698="نامعتبر"),"",LEFT($S698,4)&amp;MID($S698,6,2)&amp;RIGHT($S698,2)&amp;"0000"&amp;"|"&amp;"2"&amp;RIGHT("00000"&amp;693,5))</f>
        <v/>
      </c>
      <c r="U698">
        <f>IF($T698="","",COUNTIFS(LdAParty,$P698,LdAType,1,LdAKey,"&lt;"&amp;$T698)+COUNTIFS(LdBMember,$P698,LdBKey,"&lt;"&amp;$T698)+COUNTIFS(LdCParty,$P698,LdCKey,"&lt;"&amp;$T698)+1)</f>
        <v/>
      </c>
      <c r="V698">
        <f>IF($U698="","",$P698&amp;"|"&amp;RIGHT("000000"&amp;$U698,6))</f>
        <v/>
      </c>
      <c r="W698">
        <f>IF($T698="","",COUNTIFS(LdBGroup,$R698,LdBKey,"&lt;"&amp;$T698)+1)</f>
        <v/>
      </c>
      <c r="X698">
        <f>IF($W698="","",$R698&amp;"|"&amp;RIGHT("000000"&amp;$W698,6))</f>
        <v/>
      </c>
      <c r="Y698">
        <f>IF($P698="","",IF(Shares!$E701="",0,Shares!$E701))</f>
        <v/>
      </c>
      <c r="Z698">
        <f>IF($P698="","",Shares!$H701)</f>
        <v/>
      </c>
      <c r="AE698">
        <f>IF(OR(Sync!$S698="",Sync!$P698=""),"",Sync!$S698)</f>
        <v/>
      </c>
      <c r="AF698">
        <f>IF($AE698="","",IF(ISNUMBER(Sync!$P698),IF(AND(Sync!$P698&gt;=10000101,Sync!$P698&lt;=99991231),INT(Sync!$P698/10000),""),IFERROR(VALUE(TRIM(LEFT(Sync!$P698,FIND("/",Sync!$P698)-1))),"")))</f>
        <v/>
      </c>
      <c r="AG698">
        <f>IF(OR($AE698="",$AF698=""),"",IF(ISNUMBER(Sync!$P698),INT(MOD(Sync!$P698,10000)/100),IFERROR(VALUE(TRIM(LEFT(MID(Sync!$P698,FIND("/",Sync!$P698)+1,20),FIND("/",MID(Sync!$P698,FIND("/",Sync!$P698)+1,20))-1))),"")))</f>
        <v/>
      </c>
      <c r="AH698">
        <f>IF(OR($AE698="",$AF698=""),"",IF(ISNUMBER(Sync!$P698),MOD(Sync!$P698,100),IFERROR(VALUE(TRIM(MID(MID(Sync!$P698,FIND("/",Sync!$P698)+1,20),FIND("/",MID(Sync!$P698,FIND("/",Sync!$P698)+1,20))+1,20))),"")))</f>
        <v/>
      </c>
      <c r="AI698">
        <f>IF($AE698="","",IF(OR($AF698="",$AG698="",$AH698="",$AF698&lt;1300,$AF698&gt;1500,$AG698&lt;1,$AG698&gt;12,$AH698&lt;1,$AH698&gt;31),"نامعتبر",RIGHT("0000"&amp;$AF698,4)&amp;"/"&amp;RIGHT("00"&amp;$AG698,2)&amp;"/"&amp;RIGHT("00"&amp;$AH698,2)))</f>
        <v/>
      </c>
      <c r="AJ698">
        <f>IF($AE698="","",IF(Sync!$Q698="","0000",IF(AND(ISNUMBER(Sync!$Q698),Sync!$Q698&gt;=0,Sync!$Q698&lt;1),RIGHT("00"&amp;HOUR(Sync!$Q698),2)&amp;RIGHT("00"&amp;MINUTE(Sync!$Q698),2),IFERROR(RIGHT("00"&amp;VALUE(LEFT(Sync!$Q698,FIND(":",Sync!$Q698)-1)),2)&amp;RIGHT("00"&amp;VALUE(MID(Sync!$Q698,FIND(":",Sync!$Q698)+1,2)),2),"0000"))))</f>
        <v/>
      </c>
      <c r="AK698">
        <f>IF(OR($AE698="",$AI698="",$AI698="نامعتبر"),"",LEFT($AI698,4)&amp;MID($AI698,6,2)&amp;RIGHT($AI698,2)&amp;$AJ698&amp;"|"&amp;"3"&amp;RIGHT("00000"&amp;693,5))</f>
        <v/>
      </c>
      <c r="AL698">
        <f>IF($AK698="","",COUNTIFS(LdAParty,$AE698,LdAType,1,LdAKey,"&lt;"&amp;$AK698)+COUNTIFS(LdBMember,$AE698,LdBKey,"&lt;"&amp;$AK698)+COUNTIFS(LdCParty,$AE698,LdCKey,"&lt;"&amp;$AK698)+1)</f>
        <v/>
      </c>
      <c r="AM698">
        <f>IF($AL698="","",$AE698&amp;"|"&amp;RIGHT("000000"&amp;$AL698,6))</f>
        <v/>
      </c>
      <c r="AN698">
        <f>IF($AE698="","",IF(Sync!$W698="",0,Sync!$W698))</f>
        <v/>
      </c>
      <c r="AO698">
        <f>IF($AE698="","",IF(Sync!$X698="",0,Sync!$X698))</f>
        <v/>
      </c>
      <c r="AP698">
        <f>IF($AE698="","",Sync!$R698)</f>
        <v/>
      </c>
      <c r="AQ698">
        <f>IF($AE698="","",Sync!$Y698)</f>
        <v/>
      </c>
    </row>
    <row r="699">
      <c r="A699">
        <f>IF(OR(Wages!$B702="",Wages!$E702=""),"",Wages!$E702)</f>
        <v/>
      </c>
      <c r="B699">
        <f>IF($A699="","",IF(Wages!$C702="دستمزد گروهی",2,1))</f>
        <v/>
      </c>
      <c r="C699">
        <f>IF($A699="","",IF(ISNUMBER(Wages!$B702),IF(AND(Wages!$B702&gt;=10000101,Wages!$B702&lt;=99991231),INT(Wages!$B702/10000),""),IFERROR(VALUE(TRIM(LEFT(Wages!$B702,FIND("/",Wages!$B702)-1))),"")))</f>
        <v/>
      </c>
      <c r="D699">
        <f>IF(OR($A699="",$C699=""),"",IF(ISNUMBER(Wages!$B702),INT(MOD(Wages!$B702,10000)/100),IFERROR(VALUE(TRIM(LEFT(MID(Wages!$B702,FIND("/",Wages!$B702)+1,20),FIND("/",MID(Wages!$B702,FIND("/",Wages!$B702)+1,20))-1))),"")))</f>
        <v/>
      </c>
      <c r="E699">
        <f>IF(OR($A699="",$C699=""),"",IF(ISNUMBER(Wages!$B702),MOD(Wages!$B702,100),IFERROR(VALUE(TRIM(MID(MID(Wages!$B702,FIND("/",Wages!$B702)+1,20),FIND("/",MID(Wages!$B702,FIND("/",Wages!$B702)+1,20))+1,20))),"")))</f>
        <v/>
      </c>
      <c r="F699">
        <f>IF($A699="","",IF(OR($C699="",$D699="",$E699="",$C699&lt;1300,$C699&gt;1500,$D699&lt;1,$D699&gt;12,$E699&lt;1,$E699&gt;31),"نامعتبر",RIGHT("0000"&amp;$C699,4)&amp;"/"&amp;RIGHT("00"&amp;$D699,2)&amp;"/"&amp;RIGHT("00"&amp;$E699,2)))</f>
        <v/>
      </c>
      <c r="G699">
        <f>IF(OR($A699="",$F699="",$F699="نامعتبر"),"",LEFT($F699,4)&amp;MID($F699,6,2)&amp;RIGHT($F699,2)&amp;"0000"&amp;"|"&amp;"1"&amp;RIGHT("00000"&amp;694,5))</f>
        <v/>
      </c>
      <c r="H699">
        <f>IF(OR($B699&lt;&gt;1,$G699=""),"",COUNTIFS(LdAParty,$A699,LdAType,1,LdAKey,"&lt;"&amp;$G699)+COUNTIFS(LdBMember,$A699,LdBKey,"&lt;"&amp;$G699)+COUNTIFS(LdCParty,$A699,LdCKey,"&lt;"&amp;$G699)+1)</f>
        <v/>
      </c>
      <c r="I699">
        <f>IF($H699="","",$A699&amp;"|"&amp;RIGHT("000000"&amp;$H699,6))</f>
        <v/>
      </c>
      <c r="J699">
        <f>IF(OR($B699&lt;&gt;2,$G699=""),"",COUNTIFS(LdAParty,$A699,LdAType,2,LdAKey,"&lt;"&amp;$G699)+1)</f>
        <v/>
      </c>
      <c r="K699">
        <f>IF($J699="","",$A699&amp;"|"&amp;RIGHT("000000"&amp;$J699,6))</f>
        <v/>
      </c>
      <c r="L699">
        <f>IF($A699="","",IF(Wages!$G702="",0,Wages!$G702))</f>
        <v/>
      </c>
      <c r="M699">
        <f>IF($A699="","",Wages!$J702)</f>
        <v/>
      </c>
      <c r="N699">
        <f>IF($A699="","",Wages!$D702)</f>
        <v/>
      </c>
      <c r="P699">
        <f>IF(OR(Shares!$B702="",Shares!$C702=""),"",Shares!$C702)</f>
        <v/>
      </c>
      <c r="Q699">
        <f>IF($P699="","",Shares!$B702)</f>
        <v/>
      </c>
      <c r="R699">
        <f>IF($P699="","",IFERROR(INDEX(WageParty,MATCH($Q699,WageIds,0)),""))</f>
        <v/>
      </c>
      <c r="S699">
        <f>IF($P699="","",IFERROR(INDEX($F$6:$F$2005,MATCH($Q699,WageIds,0)),""))</f>
        <v/>
      </c>
      <c r="T699">
        <f>IF(OR($P699="",$S699="",$S699="نامعتبر"),"",LEFT($S699,4)&amp;MID($S699,6,2)&amp;RIGHT($S699,2)&amp;"0000"&amp;"|"&amp;"2"&amp;RIGHT("00000"&amp;694,5))</f>
        <v/>
      </c>
      <c r="U699">
        <f>IF($T699="","",COUNTIFS(LdAParty,$P699,LdAType,1,LdAKey,"&lt;"&amp;$T699)+COUNTIFS(LdBMember,$P699,LdBKey,"&lt;"&amp;$T699)+COUNTIFS(LdCParty,$P699,LdCKey,"&lt;"&amp;$T699)+1)</f>
        <v/>
      </c>
      <c r="V699">
        <f>IF($U699="","",$P699&amp;"|"&amp;RIGHT("000000"&amp;$U699,6))</f>
        <v/>
      </c>
      <c r="W699">
        <f>IF($T699="","",COUNTIFS(LdBGroup,$R699,LdBKey,"&lt;"&amp;$T699)+1)</f>
        <v/>
      </c>
      <c r="X699">
        <f>IF($W699="","",$R699&amp;"|"&amp;RIGHT("000000"&amp;$W699,6))</f>
        <v/>
      </c>
      <c r="Y699">
        <f>IF($P699="","",IF(Shares!$E702="",0,Shares!$E702))</f>
        <v/>
      </c>
      <c r="Z699">
        <f>IF($P699="","",Shares!$H702)</f>
        <v/>
      </c>
      <c r="AE699">
        <f>IF(OR(Sync!$S699="",Sync!$P699=""),"",Sync!$S699)</f>
        <v/>
      </c>
      <c r="AF699">
        <f>IF($AE699="","",IF(ISNUMBER(Sync!$P699),IF(AND(Sync!$P699&gt;=10000101,Sync!$P699&lt;=99991231),INT(Sync!$P699/10000),""),IFERROR(VALUE(TRIM(LEFT(Sync!$P699,FIND("/",Sync!$P699)-1))),"")))</f>
        <v/>
      </c>
      <c r="AG699">
        <f>IF(OR($AE699="",$AF699=""),"",IF(ISNUMBER(Sync!$P699),INT(MOD(Sync!$P699,10000)/100),IFERROR(VALUE(TRIM(LEFT(MID(Sync!$P699,FIND("/",Sync!$P699)+1,20),FIND("/",MID(Sync!$P699,FIND("/",Sync!$P699)+1,20))-1))),"")))</f>
        <v/>
      </c>
      <c r="AH699">
        <f>IF(OR($AE699="",$AF699=""),"",IF(ISNUMBER(Sync!$P699),MOD(Sync!$P699,100),IFERROR(VALUE(TRIM(MID(MID(Sync!$P699,FIND("/",Sync!$P699)+1,20),FIND("/",MID(Sync!$P699,FIND("/",Sync!$P699)+1,20))+1,20))),"")))</f>
        <v/>
      </c>
      <c r="AI699">
        <f>IF($AE699="","",IF(OR($AF699="",$AG699="",$AH699="",$AF699&lt;1300,$AF699&gt;1500,$AG699&lt;1,$AG699&gt;12,$AH699&lt;1,$AH699&gt;31),"نامعتبر",RIGHT("0000"&amp;$AF699,4)&amp;"/"&amp;RIGHT("00"&amp;$AG699,2)&amp;"/"&amp;RIGHT("00"&amp;$AH699,2)))</f>
        <v/>
      </c>
      <c r="AJ699">
        <f>IF($AE699="","",IF(Sync!$Q699="","0000",IF(AND(ISNUMBER(Sync!$Q699),Sync!$Q699&gt;=0,Sync!$Q699&lt;1),RIGHT("00"&amp;HOUR(Sync!$Q699),2)&amp;RIGHT("00"&amp;MINUTE(Sync!$Q699),2),IFERROR(RIGHT("00"&amp;VALUE(LEFT(Sync!$Q699,FIND(":",Sync!$Q699)-1)),2)&amp;RIGHT("00"&amp;VALUE(MID(Sync!$Q699,FIND(":",Sync!$Q699)+1,2)),2),"0000"))))</f>
        <v/>
      </c>
      <c r="AK699">
        <f>IF(OR($AE699="",$AI699="",$AI699="نامعتبر"),"",LEFT($AI699,4)&amp;MID($AI699,6,2)&amp;RIGHT($AI699,2)&amp;$AJ699&amp;"|"&amp;"3"&amp;RIGHT("00000"&amp;694,5))</f>
        <v/>
      </c>
      <c r="AL699">
        <f>IF($AK699="","",COUNTIFS(LdAParty,$AE699,LdAType,1,LdAKey,"&lt;"&amp;$AK699)+COUNTIFS(LdBMember,$AE699,LdBKey,"&lt;"&amp;$AK699)+COUNTIFS(LdCParty,$AE699,LdCKey,"&lt;"&amp;$AK699)+1)</f>
        <v/>
      </c>
      <c r="AM699">
        <f>IF($AL699="","",$AE699&amp;"|"&amp;RIGHT("000000"&amp;$AL699,6))</f>
        <v/>
      </c>
      <c r="AN699">
        <f>IF($AE699="","",IF(Sync!$W699="",0,Sync!$W699))</f>
        <v/>
      </c>
      <c r="AO699">
        <f>IF($AE699="","",IF(Sync!$X699="",0,Sync!$X699))</f>
        <v/>
      </c>
      <c r="AP699">
        <f>IF($AE699="","",Sync!$R699)</f>
        <v/>
      </c>
      <c r="AQ699">
        <f>IF($AE699="","",Sync!$Y699)</f>
        <v/>
      </c>
    </row>
    <row r="700">
      <c r="A700">
        <f>IF(OR(Wages!$B703="",Wages!$E703=""),"",Wages!$E703)</f>
        <v/>
      </c>
      <c r="B700">
        <f>IF($A700="","",IF(Wages!$C703="دستمزد گروهی",2,1))</f>
        <v/>
      </c>
      <c r="C700">
        <f>IF($A700="","",IF(ISNUMBER(Wages!$B703),IF(AND(Wages!$B703&gt;=10000101,Wages!$B703&lt;=99991231),INT(Wages!$B703/10000),""),IFERROR(VALUE(TRIM(LEFT(Wages!$B703,FIND("/",Wages!$B703)-1))),"")))</f>
        <v/>
      </c>
      <c r="D700">
        <f>IF(OR($A700="",$C700=""),"",IF(ISNUMBER(Wages!$B703),INT(MOD(Wages!$B703,10000)/100),IFERROR(VALUE(TRIM(LEFT(MID(Wages!$B703,FIND("/",Wages!$B703)+1,20),FIND("/",MID(Wages!$B703,FIND("/",Wages!$B703)+1,20))-1))),"")))</f>
        <v/>
      </c>
      <c r="E700">
        <f>IF(OR($A700="",$C700=""),"",IF(ISNUMBER(Wages!$B703),MOD(Wages!$B703,100),IFERROR(VALUE(TRIM(MID(MID(Wages!$B703,FIND("/",Wages!$B703)+1,20),FIND("/",MID(Wages!$B703,FIND("/",Wages!$B703)+1,20))+1,20))),"")))</f>
        <v/>
      </c>
      <c r="F700">
        <f>IF($A700="","",IF(OR($C700="",$D700="",$E700="",$C700&lt;1300,$C700&gt;1500,$D700&lt;1,$D700&gt;12,$E700&lt;1,$E700&gt;31),"نامعتبر",RIGHT("0000"&amp;$C700,4)&amp;"/"&amp;RIGHT("00"&amp;$D700,2)&amp;"/"&amp;RIGHT("00"&amp;$E700,2)))</f>
        <v/>
      </c>
      <c r="G700">
        <f>IF(OR($A700="",$F700="",$F700="نامعتبر"),"",LEFT($F700,4)&amp;MID($F700,6,2)&amp;RIGHT($F700,2)&amp;"0000"&amp;"|"&amp;"1"&amp;RIGHT("00000"&amp;695,5))</f>
        <v/>
      </c>
      <c r="H700">
        <f>IF(OR($B700&lt;&gt;1,$G700=""),"",COUNTIFS(LdAParty,$A700,LdAType,1,LdAKey,"&lt;"&amp;$G700)+COUNTIFS(LdBMember,$A700,LdBKey,"&lt;"&amp;$G700)+COUNTIFS(LdCParty,$A700,LdCKey,"&lt;"&amp;$G700)+1)</f>
        <v/>
      </c>
      <c r="I700">
        <f>IF($H700="","",$A700&amp;"|"&amp;RIGHT("000000"&amp;$H700,6))</f>
        <v/>
      </c>
      <c r="J700">
        <f>IF(OR($B700&lt;&gt;2,$G700=""),"",COUNTIFS(LdAParty,$A700,LdAType,2,LdAKey,"&lt;"&amp;$G700)+1)</f>
        <v/>
      </c>
      <c r="K700">
        <f>IF($J700="","",$A700&amp;"|"&amp;RIGHT("000000"&amp;$J700,6))</f>
        <v/>
      </c>
      <c r="L700">
        <f>IF($A700="","",IF(Wages!$G703="",0,Wages!$G703))</f>
        <v/>
      </c>
      <c r="M700">
        <f>IF($A700="","",Wages!$J703)</f>
        <v/>
      </c>
      <c r="N700">
        <f>IF($A700="","",Wages!$D703)</f>
        <v/>
      </c>
      <c r="P700">
        <f>IF(OR(Shares!$B703="",Shares!$C703=""),"",Shares!$C703)</f>
        <v/>
      </c>
      <c r="Q700">
        <f>IF($P700="","",Shares!$B703)</f>
        <v/>
      </c>
      <c r="R700">
        <f>IF($P700="","",IFERROR(INDEX(WageParty,MATCH($Q700,WageIds,0)),""))</f>
        <v/>
      </c>
      <c r="S700">
        <f>IF($P700="","",IFERROR(INDEX($F$6:$F$2005,MATCH($Q700,WageIds,0)),""))</f>
        <v/>
      </c>
      <c r="T700">
        <f>IF(OR($P700="",$S700="",$S700="نامعتبر"),"",LEFT($S700,4)&amp;MID($S700,6,2)&amp;RIGHT($S700,2)&amp;"0000"&amp;"|"&amp;"2"&amp;RIGHT("00000"&amp;695,5))</f>
        <v/>
      </c>
      <c r="U700">
        <f>IF($T700="","",COUNTIFS(LdAParty,$P700,LdAType,1,LdAKey,"&lt;"&amp;$T700)+COUNTIFS(LdBMember,$P700,LdBKey,"&lt;"&amp;$T700)+COUNTIFS(LdCParty,$P700,LdCKey,"&lt;"&amp;$T700)+1)</f>
        <v/>
      </c>
      <c r="V700">
        <f>IF($U700="","",$P700&amp;"|"&amp;RIGHT("000000"&amp;$U700,6))</f>
        <v/>
      </c>
      <c r="W700">
        <f>IF($T700="","",COUNTIFS(LdBGroup,$R700,LdBKey,"&lt;"&amp;$T700)+1)</f>
        <v/>
      </c>
      <c r="X700">
        <f>IF($W700="","",$R700&amp;"|"&amp;RIGHT("000000"&amp;$W700,6))</f>
        <v/>
      </c>
      <c r="Y700">
        <f>IF($P700="","",IF(Shares!$E703="",0,Shares!$E703))</f>
        <v/>
      </c>
      <c r="Z700">
        <f>IF($P700="","",Shares!$H703)</f>
        <v/>
      </c>
      <c r="AE700">
        <f>IF(OR(Sync!$S700="",Sync!$P700=""),"",Sync!$S700)</f>
        <v/>
      </c>
      <c r="AF700">
        <f>IF($AE700="","",IF(ISNUMBER(Sync!$P700),IF(AND(Sync!$P700&gt;=10000101,Sync!$P700&lt;=99991231),INT(Sync!$P700/10000),""),IFERROR(VALUE(TRIM(LEFT(Sync!$P700,FIND("/",Sync!$P700)-1))),"")))</f>
        <v/>
      </c>
      <c r="AG700">
        <f>IF(OR($AE700="",$AF700=""),"",IF(ISNUMBER(Sync!$P700),INT(MOD(Sync!$P700,10000)/100),IFERROR(VALUE(TRIM(LEFT(MID(Sync!$P700,FIND("/",Sync!$P700)+1,20),FIND("/",MID(Sync!$P700,FIND("/",Sync!$P700)+1,20))-1))),"")))</f>
        <v/>
      </c>
      <c r="AH700">
        <f>IF(OR($AE700="",$AF700=""),"",IF(ISNUMBER(Sync!$P700),MOD(Sync!$P700,100),IFERROR(VALUE(TRIM(MID(MID(Sync!$P700,FIND("/",Sync!$P700)+1,20),FIND("/",MID(Sync!$P700,FIND("/",Sync!$P700)+1,20))+1,20))),"")))</f>
        <v/>
      </c>
      <c r="AI700">
        <f>IF($AE700="","",IF(OR($AF700="",$AG700="",$AH700="",$AF700&lt;1300,$AF700&gt;1500,$AG700&lt;1,$AG700&gt;12,$AH700&lt;1,$AH700&gt;31),"نامعتبر",RIGHT("0000"&amp;$AF700,4)&amp;"/"&amp;RIGHT("00"&amp;$AG700,2)&amp;"/"&amp;RIGHT("00"&amp;$AH700,2)))</f>
        <v/>
      </c>
      <c r="AJ700">
        <f>IF($AE700="","",IF(Sync!$Q700="","0000",IF(AND(ISNUMBER(Sync!$Q700),Sync!$Q700&gt;=0,Sync!$Q700&lt;1),RIGHT("00"&amp;HOUR(Sync!$Q700),2)&amp;RIGHT("00"&amp;MINUTE(Sync!$Q700),2),IFERROR(RIGHT("00"&amp;VALUE(LEFT(Sync!$Q700,FIND(":",Sync!$Q700)-1)),2)&amp;RIGHT("00"&amp;VALUE(MID(Sync!$Q700,FIND(":",Sync!$Q700)+1,2)),2),"0000"))))</f>
        <v/>
      </c>
      <c r="AK700">
        <f>IF(OR($AE700="",$AI700="",$AI700="نامعتبر"),"",LEFT($AI700,4)&amp;MID($AI700,6,2)&amp;RIGHT($AI700,2)&amp;$AJ700&amp;"|"&amp;"3"&amp;RIGHT("00000"&amp;695,5))</f>
        <v/>
      </c>
      <c r="AL700">
        <f>IF($AK700="","",COUNTIFS(LdAParty,$AE700,LdAType,1,LdAKey,"&lt;"&amp;$AK700)+COUNTIFS(LdBMember,$AE700,LdBKey,"&lt;"&amp;$AK700)+COUNTIFS(LdCParty,$AE700,LdCKey,"&lt;"&amp;$AK700)+1)</f>
        <v/>
      </c>
      <c r="AM700">
        <f>IF($AL700="","",$AE700&amp;"|"&amp;RIGHT("000000"&amp;$AL700,6))</f>
        <v/>
      </c>
      <c r="AN700">
        <f>IF($AE700="","",IF(Sync!$W700="",0,Sync!$W700))</f>
        <v/>
      </c>
      <c r="AO700">
        <f>IF($AE700="","",IF(Sync!$X700="",0,Sync!$X700))</f>
        <v/>
      </c>
      <c r="AP700">
        <f>IF($AE700="","",Sync!$R700)</f>
        <v/>
      </c>
      <c r="AQ700">
        <f>IF($AE700="","",Sync!$Y700)</f>
        <v/>
      </c>
    </row>
    <row r="701">
      <c r="A701">
        <f>IF(OR(Wages!$B704="",Wages!$E704=""),"",Wages!$E704)</f>
        <v/>
      </c>
      <c r="B701">
        <f>IF($A701="","",IF(Wages!$C704="دستمزد گروهی",2,1))</f>
        <v/>
      </c>
      <c r="C701">
        <f>IF($A701="","",IF(ISNUMBER(Wages!$B704),IF(AND(Wages!$B704&gt;=10000101,Wages!$B704&lt;=99991231),INT(Wages!$B704/10000),""),IFERROR(VALUE(TRIM(LEFT(Wages!$B704,FIND("/",Wages!$B704)-1))),"")))</f>
        <v/>
      </c>
      <c r="D701">
        <f>IF(OR($A701="",$C701=""),"",IF(ISNUMBER(Wages!$B704),INT(MOD(Wages!$B704,10000)/100),IFERROR(VALUE(TRIM(LEFT(MID(Wages!$B704,FIND("/",Wages!$B704)+1,20),FIND("/",MID(Wages!$B704,FIND("/",Wages!$B704)+1,20))-1))),"")))</f>
        <v/>
      </c>
      <c r="E701">
        <f>IF(OR($A701="",$C701=""),"",IF(ISNUMBER(Wages!$B704),MOD(Wages!$B704,100),IFERROR(VALUE(TRIM(MID(MID(Wages!$B704,FIND("/",Wages!$B704)+1,20),FIND("/",MID(Wages!$B704,FIND("/",Wages!$B704)+1,20))+1,20))),"")))</f>
        <v/>
      </c>
      <c r="F701">
        <f>IF($A701="","",IF(OR($C701="",$D701="",$E701="",$C701&lt;1300,$C701&gt;1500,$D701&lt;1,$D701&gt;12,$E701&lt;1,$E701&gt;31),"نامعتبر",RIGHT("0000"&amp;$C701,4)&amp;"/"&amp;RIGHT("00"&amp;$D701,2)&amp;"/"&amp;RIGHT("00"&amp;$E701,2)))</f>
        <v/>
      </c>
      <c r="G701">
        <f>IF(OR($A701="",$F701="",$F701="نامعتبر"),"",LEFT($F701,4)&amp;MID($F701,6,2)&amp;RIGHT($F701,2)&amp;"0000"&amp;"|"&amp;"1"&amp;RIGHT("00000"&amp;696,5))</f>
        <v/>
      </c>
      <c r="H701">
        <f>IF(OR($B701&lt;&gt;1,$G701=""),"",COUNTIFS(LdAParty,$A701,LdAType,1,LdAKey,"&lt;"&amp;$G701)+COUNTIFS(LdBMember,$A701,LdBKey,"&lt;"&amp;$G701)+COUNTIFS(LdCParty,$A701,LdCKey,"&lt;"&amp;$G701)+1)</f>
        <v/>
      </c>
      <c r="I701">
        <f>IF($H701="","",$A701&amp;"|"&amp;RIGHT("000000"&amp;$H701,6))</f>
        <v/>
      </c>
      <c r="J701">
        <f>IF(OR($B701&lt;&gt;2,$G701=""),"",COUNTIFS(LdAParty,$A701,LdAType,2,LdAKey,"&lt;"&amp;$G701)+1)</f>
        <v/>
      </c>
      <c r="K701">
        <f>IF($J701="","",$A701&amp;"|"&amp;RIGHT("000000"&amp;$J701,6))</f>
        <v/>
      </c>
      <c r="L701">
        <f>IF($A701="","",IF(Wages!$G704="",0,Wages!$G704))</f>
        <v/>
      </c>
      <c r="M701">
        <f>IF($A701="","",Wages!$J704)</f>
        <v/>
      </c>
      <c r="N701">
        <f>IF($A701="","",Wages!$D704)</f>
        <v/>
      </c>
      <c r="P701">
        <f>IF(OR(Shares!$B704="",Shares!$C704=""),"",Shares!$C704)</f>
        <v/>
      </c>
      <c r="Q701">
        <f>IF($P701="","",Shares!$B704)</f>
        <v/>
      </c>
      <c r="R701">
        <f>IF($P701="","",IFERROR(INDEX(WageParty,MATCH($Q701,WageIds,0)),""))</f>
        <v/>
      </c>
      <c r="S701">
        <f>IF($P701="","",IFERROR(INDEX($F$6:$F$2005,MATCH($Q701,WageIds,0)),""))</f>
        <v/>
      </c>
      <c r="T701">
        <f>IF(OR($P701="",$S701="",$S701="نامعتبر"),"",LEFT($S701,4)&amp;MID($S701,6,2)&amp;RIGHT($S701,2)&amp;"0000"&amp;"|"&amp;"2"&amp;RIGHT("00000"&amp;696,5))</f>
        <v/>
      </c>
      <c r="U701">
        <f>IF($T701="","",COUNTIFS(LdAParty,$P701,LdAType,1,LdAKey,"&lt;"&amp;$T701)+COUNTIFS(LdBMember,$P701,LdBKey,"&lt;"&amp;$T701)+COUNTIFS(LdCParty,$P701,LdCKey,"&lt;"&amp;$T701)+1)</f>
        <v/>
      </c>
      <c r="V701">
        <f>IF($U701="","",$P701&amp;"|"&amp;RIGHT("000000"&amp;$U701,6))</f>
        <v/>
      </c>
      <c r="W701">
        <f>IF($T701="","",COUNTIFS(LdBGroup,$R701,LdBKey,"&lt;"&amp;$T701)+1)</f>
        <v/>
      </c>
      <c r="X701">
        <f>IF($W701="","",$R701&amp;"|"&amp;RIGHT("000000"&amp;$W701,6))</f>
        <v/>
      </c>
      <c r="Y701">
        <f>IF($P701="","",IF(Shares!$E704="",0,Shares!$E704))</f>
        <v/>
      </c>
      <c r="Z701">
        <f>IF($P701="","",Shares!$H704)</f>
        <v/>
      </c>
      <c r="AE701">
        <f>IF(OR(Sync!$S701="",Sync!$P701=""),"",Sync!$S701)</f>
        <v/>
      </c>
      <c r="AF701">
        <f>IF($AE701="","",IF(ISNUMBER(Sync!$P701),IF(AND(Sync!$P701&gt;=10000101,Sync!$P701&lt;=99991231),INT(Sync!$P701/10000),""),IFERROR(VALUE(TRIM(LEFT(Sync!$P701,FIND("/",Sync!$P701)-1))),"")))</f>
        <v/>
      </c>
      <c r="AG701">
        <f>IF(OR($AE701="",$AF701=""),"",IF(ISNUMBER(Sync!$P701),INT(MOD(Sync!$P701,10000)/100),IFERROR(VALUE(TRIM(LEFT(MID(Sync!$P701,FIND("/",Sync!$P701)+1,20),FIND("/",MID(Sync!$P701,FIND("/",Sync!$P701)+1,20))-1))),"")))</f>
        <v/>
      </c>
      <c r="AH701">
        <f>IF(OR($AE701="",$AF701=""),"",IF(ISNUMBER(Sync!$P701),MOD(Sync!$P701,100),IFERROR(VALUE(TRIM(MID(MID(Sync!$P701,FIND("/",Sync!$P701)+1,20),FIND("/",MID(Sync!$P701,FIND("/",Sync!$P701)+1,20))+1,20))),"")))</f>
        <v/>
      </c>
      <c r="AI701">
        <f>IF($AE701="","",IF(OR($AF701="",$AG701="",$AH701="",$AF701&lt;1300,$AF701&gt;1500,$AG701&lt;1,$AG701&gt;12,$AH701&lt;1,$AH701&gt;31),"نامعتبر",RIGHT("0000"&amp;$AF701,4)&amp;"/"&amp;RIGHT("00"&amp;$AG701,2)&amp;"/"&amp;RIGHT("00"&amp;$AH701,2)))</f>
        <v/>
      </c>
      <c r="AJ701">
        <f>IF($AE701="","",IF(Sync!$Q701="","0000",IF(AND(ISNUMBER(Sync!$Q701),Sync!$Q701&gt;=0,Sync!$Q701&lt;1),RIGHT("00"&amp;HOUR(Sync!$Q701),2)&amp;RIGHT("00"&amp;MINUTE(Sync!$Q701),2),IFERROR(RIGHT("00"&amp;VALUE(LEFT(Sync!$Q701,FIND(":",Sync!$Q701)-1)),2)&amp;RIGHT("00"&amp;VALUE(MID(Sync!$Q701,FIND(":",Sync!$Q701)+1,2)),2),"0000"))))</f>
        <v/>
      </c>
      <c r="AK701">
        <f>IF(OR($AE701="",$AI701="",$AI701="نامعتبر"),"",LEFT($AI701,4)&amp;MID($AI701,6,2)&amp;RIGHT($AI701,2)&amp;$AJ701&amp;"|"&amp;"3"&amp;RIGHT("00000"&amp;696,5))</f>
        <v/>
      </c>
      <c r="AL701">
        <f>IF($AK701="","",COUNTIFS(LdAParty,$AE701,LdAType,1,LdAKey,"&lt;"&amp;$AK701)+COUNTIFS(LdBMember,$AE701,LdBKey,"&lt;"&amp;$AK701)+COUNTIFS(LdCParty,$AE701,LdCKey,"&lt;"&amp;$AK701)+1)</f>
        <v/>
      </c>
      <c r="AM701">
        <f>IF($AL701="","",$AE701&amp;"|"&amp;RIGHT("000000"&amp;$AL701,6))</f>
        <v/>
      </c>
      <c r="AN701">
        <f>IF($AE701="","",IF(Sync!$W701="",0,Sync!$W701))</f>
        <v/>
      </c>
      <c r="AO701">
        <f>IF($AE701="","",IF(Sync!$X701="",0,Sync!$X701))</f>
        <v/>
      </c>
      <c r="AP701">
        <f>IF($AE701="","",Sync!$R701)</f>
        <v/>
      </c>
      <c r="AQ701">
        <f>IF($AE701="","",Sync!$Y701)</f>
        <v/>
      </c>
    </row>
    <row r="702">
      <c r="A702">
        <f>IF(OR(Wages!$B705="",Wages!$E705=""),"",Wages!$E705)</f>
        <v/>
      </c>
      <c r="B702">
        <f>IF($A702="","",IF(Wages!$C705="دستمزد گروهی",2,1))</f>
        <v/>
      </c>
      <c r="C702">
        <f>IF($A702="","",IF(ISNUMBER(Wages!$B705),IF(AND(Wages!$B705&gt;=10000101,Wages!$B705&lt;=99991231),INT(Wages!$B705/10000),""),IFERROR(VALUE(TRIM(LEFT(Wages!$B705,FIND("/",Wages!$B705)-1))),"")))</f>
        <v/>
      </c>
      <c r="D702">
        <f>IF(OR($A702="",$C702=""),"",IF(ISNUMBER(Wages!$B705),INT(MOD(Wages!$B705,10000)/100),IFERROR(VALUE(TRIM(LEFT(MID(Wages!$B705,FIND("/",Wages!$B705)+1,20),FIND("/",MID(Wages!$B705,FIND("/",Wages!$B705)+1,20))-1))),"")))</f>
        <v/>
      </c>
      <c r="E702">
        <f>IF(OR($A702="",$C702=""),"",IF(ISNUMBER(Wages!$B705),MOD(Wages!$B705,100),IFERROR(VALUE(TRIM(MID(MID(Wages!$B705,FIND("/",Wages!$B705)+1,20),FIND("/",MID(Wages!$B705,FIND("/",Wages!$B705)+1,20))+1,20))),"")))</f>
        <v/>
      </c>
      <c r="F702">
        <f>IF($A702="","",IF(OR($C702="",$D702="",$E702="",$C702&lt;1300,$C702&gt;1500,$D702&lt;1,$D702&gt;12,$E702&lt;1,$E702&gt;31),"نامعتبر",RIGHT("0000"&amp;$C702,4)&amp;"/"&amp;RIGHT("00"&amp;$D702,2)&amp;"/"&amp;RIGHT("00"&amp;$E702,2)))</f>
        <v/>
      </c>
      <c r="G702">
        <f>IF(OR($A702="",$F702="",$F702="نامعتبر"),"",LEFT($F702,4)&amp;MID($F702,6,2)&amp;RIGHT($F702,2)&amp;"0000"&amp;"|"&amp;"1"&amp;RIGHT("00000"&amp;697,5))</f>
        <v/>
      </c>
      <c r="H702">
        <f>IF(OR($B702&lt;&gt;1,$G702=""),"",COUNTIFS(LdAParty,$A702,LdAType,1,LdAKey,"&lt;"&amp;$G702)+COUNTIFS(LdBMember,$A702,LdBKey,"&lt;"&amp;$G702)+COUNTIFS(LdCParty,$A702,LdCKey,"&lt;"&amp;$G702)+1)</f>
        <v/>
      </c>
      <c r="I702">
        <f>IF($H702="","",$A702&amp;"|"&amp;RIGHT("000000"&amp;$H702,6))</f>
        <v/>
      </c>
      <c r="J702">
        <f>IF(OR($B702&lt;&gt;2,$G702=""),"",COUNTIFS(LdAParty,$A702,LdAType,2,LdAKey,"&lt;"&amp;$G702)+1)</f>
        <v/>
      </c>
      <c r="K702">
        <f>IF($J702="","",$A702&amp;"|"&amp;RIGHT("000000"&amp;$J702,6))</f>
        <v/>
      </c>
      <c r="L702">
        <f>IF($A702="","",IF(Wages!$G705="",0,Wages!$G705))</f>
        <v/>
      </c>
      <c r="M702">
        <f>IF($A702="","",Wages!$J705)</f>
        <v/>
      </c>
      <c r="N702">
        <f>IF($A702="","",Wages!$D705)</f>
        <v/>
      </c>
      <c r="P702">
        <f>IF(OR(Shares!$B705="",Shares!$C705=""),"",Shares!$C705)</f>
        <v/>
      </c>
      <c r="Q702">
        <f>IF($P702="","",Shares!$B705)</f>
        <v/>
      </c>
      <c r="R702">
        <f>IF($P702="","",IFERROR(INDEX(WageParty,MATCH($Q702,WageIds,0)),""))</f>
        <v/>
      </c>
      <c r="S702">
        <f>IF($P702="","",IFERROR(INDEX($F$6:$F$2005,MATCH($Q702,WageIds,0)),""))</f>
        <v/>
      </c>
      <c r="T702">
        <f>IF(OR($P702="",$S702="",$S702="نامعتبر"),"",LEFT($S702,4)&amp;MID($S702,6,2)&amp;RIGHT($S702,2)&amp;"0000"&amp;"|"&amp;"2"&amp;RIGHT("00000"&amp;697,5))</f>
        <v/>
      </c>
      <c r="U702">
        <f>IF($T702="","",COUNTIFS(LdAParty,$P702,LdAType,1,LdAKey,"&lt;"&amp;$T702)+COUNTIFS(LdBMember,$P702,LdBKey,"&lt;"&amp;$T702)+COUNTIFS(LdCParty,$P702,LdCKey,"&lt;"&amp;$T702)+1)</f>
        <v/>
      </c>
      <c r="V702">
        <f>IF($U702="","",$P702&amp;"|"&amp;RIGHT("000000"&amp;$U702,6))</f>
        <v/>
      </c>
      <c r="W702">
        <f>IF($T702="","",COUNTIFS(LdBGroup,$R702,LdBKey,"&lt;"&amp;$T702)+1)</f>
        <v/>
      </c>
      <c r="X702">
        <f>IF($W702="","",$R702&amp;"|"&amp;RIGHT("000000"&amp;$W702,6))</f>
        <v/>
      </c>
      <c r="Y702">
        <f>IF($P702="","",IF(Shares!$E705="",0,Shares!$E705))</f>
        <v/>
      </c>
      <c r="Z702">
        <f>IF($P702="","",Shares!$H705)</f>
        <v/>
      </c>
      <c r="AE702">
        <f>IF(OR(Sync!$S702="",Sync!$P702=""),"",Sync!$S702)</f>
        <v/>
      </c>
      <c r="AF702">
        <f>IF($AE702="","",IF(ISNUMBER(Sync!$P702),IF(AND(Sync!$P702&gt;=10000101,Sync!$P702&lt;=99991231),INT(Sync!$P702/10000),""),IFERROR(VALUE(TRIM(LEFT(Sync!$P702,FIND("/",Sync!$P702)-1))),"")))</f>
        <v/>
      </c>
      <c r="AG702">
        <f>IF(OR($AE702="",$AF702=""),"",IF(ISNUMBER(Sync!$P702),INT(MOD(Sync!$P702,10000)/100),IFERROR(VALUE(TRIM(LEFT(MID(Sync!$P702,FIND("/",Sync!$P702)+1,20),FIND("/",MID(Sync!$P702,FIND("/",Sync!$P702)+1,20))-1))),"")))</f>
        <v/>
      </c>
      <c r="AH702">
        <f>IF(OR($AE702="",$AF702=""),"",IF(ISNUMBER(Sync!$P702),MOD(Sync!$P702,100),IFERROR(VALUE(TRIM(MID(MID(Sync!$P702,FIND("/",Sync!$P702)+1,20),FIND("/",MID(Sync!$P702,FIND("/",Sync!$P702)+1,20))+1,20))),"")))</f>
        <v/>
      </c>
      <c r="AI702">
        <f>IF($AE702="","",IF(OR($AF702="",$AG702="",$AH702="",$AF702&lt;1300,$AF702&gt;1500,$AG702&lt;1,$AG702&gt;12,$AH702&lt;1,$AH702&gt;31),"نامعتبر",RIGHT("0000"&amp;$AF702,4)&amp;"/"&amp;RIGHT("00"&amp;$AG702,2)&amp;"/"&amp;RIGHT("00"&amp;$AH702,2)))</f>
        <v/>
      </c>
      <c r="AJ702">
        <f>IF($AE702="","",IF(Sync!$Q702="","0000",IF(AND(ISNUMBER(Sync!$Q702),Sync!$Q702&gt;=0,Sync!$Q702&lt;1),RIGHT("00"&amp;HOUR(Sync!$Q702),2)&amp;RIGHT("00"&amp;MINUTE(Sync!$Q702),2),IFERROR(RIGHT("00"&amp;VALUE(LEFT(Sync!$Q702,FIND(":",Sync!$Q702)-1)),2)&amp;RIGHT("00"&amp;VALUE(MID(Sync!$Q702,FIND(":",Sync!$Q702)+1,2)),2),"0000"))))</f>
        <v/>
      </c>
      <c r="AK702">
        <f>IF(OR($AE702="",$AI702="",$AI702="نامعتبر"),"",LEFT($AI702,4)&amp;MID($AI702,6,2)&amp;RIGHT($AI702,2)&amp;$AJ702&amp;"|"&amp;"3"&amp;RIGHT("00000"&amp;697,5))</f>
        <v/>
      </c>
      <c r="AL702">
        <f>IF($AK702="","",COUNTIFS(LdAParty,$AE702,LdAType,1,LdAKey,"&lt;"&amp;$AK702)+COUNTIFS(LdBMember,$AE702,LdBKey,"&lt;"&amp;$AK702)+COUNTIFS(LdCParty,$AE702,LdCKey,"&lt;"&amp;$AK702)+1)</f>
        <v/>
      </c>
      <c r="AM702">
        <f>IF($AL702="","",$AE702&amp;"|"&amp;RIGHT("000000"&amp;$AL702,6))</f>
        <v/>
      </c>
      <c r="AN702">
        <f>IF($AE702="","",IF(Sync!$W702="",0,Sync!$W702))</f>
        <v/>
      </c>
      <c r="AO702">
        <f>IF($AE702="","",IF(Sync!$X702="",0,Sync!$X702))</f>
        <v/>
      </c>
      <c r="AP702">
        <f>IF($AE702="","",Sync!$R702)</f>
        <v/>
      </c>
      <c r="AQ702">
        <f>IF($AE702="","",Sync!$Y702)</f>
        <v/>
      </c>
    </row>
    <row r="703">
      <c r="A703">
        <f>IF(OR(Wages!$B706="",Wages!$E706=""),"",Wages!$E706)</f>
        <v/>
      </c>
      <c r="B703">
        <f>IF($A703="","",IF(Wages!$C706="دستمزد گروهی",2,1))</f>
        <v/>
      </c>
      <c r="C703">
        <f>IF($A703="","",IF(ISNUMBER(Wages!$B706),IF(AND(Wages!$B706&gt;=10000101,Wages!$B706&lt;=99991231),INT(Wages!$B706/10000),""),IFERROR(VALUE(TRIM(LEFT(Wages!$B706,FIND("/",Wages!$B706)-1))),"")))</f>
        <v/>
      </c>
      <c r="D703">
        <f>IF(OR($A703="",$C703=""),"",IF(ISNUMBER(Wages!$B706),INT(MOD(Wages!$B706,10000)/100),IFERROR(VALUE(TRIM(LEFT(MID(Wages!$B706,FIND("/",Wages!$B706)+1,20),FIND("/",MID(Wages!$B706,FIND("/",Wages!$B706)+1,20))-1))),"")))</f>
        <v/>
      </c>
      <c r="E703">
        <f>IF(OR($A703="",$C703=""),"",IF(ISNUMBER(Wages!$B706),MOD(Wages!$B706,100),IFERROR(VALUE(TRIM(MID(MID(Wages!$B706,FIND("/",Wages!$B706)+1,20),FIND("/",MID(Wages!$B706,FIND("/",Wages!$B706)+1,20))+1,20))),"")))</f>
        <v/>
      </c>
      <c r="F703">
        <f>IF($A703="","",IF(OR($C703="",$D703="",$E703="",$C703&lt;1300,$C703&gt;1500,$D703&lt;1,$D703&gt;12,$E703&lt;1,$E703&gt;31),"نامعتبر",RIGHT("0000"&amp;$C703,4)&amp;"/"&amp;RIGHT("00"&amp;$D703,2)&amp;"/"&amp;RIGHT("00"&amp;$E703,2)))</f>
        <v/>
      </c>
      <c r="G703">
        <f>IF(OR($A703="",$F703="",$F703="نامعتبر"),"",LEFT($F703,4)&amp;MID($F703,6,2)&amp;RIGHT($F703,2)&amp;"0000"&amp;"|"&amp;"1"&amp;RIGHT("00000"&amp;698,5))</f>
        <v/>
      </c>
      <c r="H703">
        <f>IF(OR($B703&lt;&gt;1,$G703=""),"",COUNTIFS(LdAParty,$A703,LdAType,1,LdAKey,"&lt;"&amp;$G703)+COUNTIFS(LdBMember,$A703,LdBKey,"&lt;"&amp;$G703)+COUNTIFS(LdCParty,$A703,LdCKey,"&lt;"&amp;$G703)+1)</f>
        <v/>
      </c>
      <c r="I703">
        <f>IF($H703="","",$A703&amp;"|"&amp;RIGHT("000000"&amp;$H703,6))</f>
        <v/>
      </c>
      <c r="J703">
        <f>IF(OR($B703&lt;&gt;2,$G703=""),"",COUNTIFS(LdAParty,$A703,LdAType,2,LdAKey,"&lt;"&amp;$G703)+1)</f>
        <v/>
      </c>
      <c r="K703">
        <f>IF($J703="","",$A703&amp;"|"&amp;RIGHT("000000"&amp;$J703,6))</f>
        <v/>
      </c>
      <c r="L703">
        <f>IF($A703="","",IF(Wages!$G706="",0,Wages!$G706))</f>
        <v/>
      </c>
      <c r="M703">
        <f>IF($A703="","",Wages!$J706)</f>
        <v/>
      </c>
      <c r="N703">
        <f>IF($A703="","",Wages!$D706)</f>
        <v/>
      </c>
      <c r="P703">
        <f>IF(OR(Shares!$B706="",Shares!$C706=""),"",Shares!$C706)</f>
        <v/>
      </c>
      <c r="Q703">
        <f>IF($P703="","",Shares!$B706)</f>
        <v/>
      </c>
      <c r="R703">
        <f>IF($P703="","",IFERROR(INDEX(WageParty,MATCH($Q703,WageIds,0)),""))</f>
        <v/>
      </c>
      <c r="S703">
        <f>IF($P703="","",IFERROR(INDEX($F$6:$F$2005,MATCH($Q703,WageIds,0)),""))</f>
        <v/>
      </c>
      <c r="T703">
        <f>IF(OR($P703="",$S703="",$S703="نامعتبر"),"",LEFT($S703,4)&amp;MID($S703,6,2)&amp;RIGHT($S703,2)&amp;"0000"&amp;"|"&amp;"2"&amp;RIGHT("00000"&amp;698,5))</f>
        <v/>
      </c>
      <c r="U703">
        <f>IF($T703="","",COUNTIFS(LdAParty,$P703,LdAType,1,LdAKey,"&lt;"&amp;$T703)+COUNTIFS(LdBMember,$P703,LdBKey,"&lt;"&amp;$T703)+COUNTIFS(LdCParty,$P703,LdCKey,"&lt;"&amp;$T703)+1)</f>
        <v/>
      </c>
      <c r="V703">
        <f>IF($U703="","",$P703&amp;"|"&amp;RIGHT("000000"&amp;$U703,6))</f>
        <v/>
      </c>
      <c r="W703">
        <f>IF($T703="","",COUNTIFS(LdBGroup,$R703,LdBKey,"&lt;"&amp;$T703)+1)</f>
        <v/>
      </c>
      <c r="X703">
        <f>IF($W703="","",$R703&amp;"|"&amp;RIGHT("000000"&amp;$W703,6))</f>
        <v/>
      </c>
      <c r="Y703">
        <f>IF($P703="","",IF(Shares!$E706="",0,Shares!$E706))</f>
        <v/>
      </c>
      <c r="Z703">
        <f>IF($P703="","",Shares!$H706)</f>
        <v/>
      </c>
      <c r="AE703">
        <f>IF(OR(Sync!$S703="",Sync!$P703=""),"",Sync!$S703)</f>
        <v/>
      </c>
      <c r="AF703">
        <f>IF($AE703="","",IF(ISNUMBER(Sync!$P703),IF(AND(Sync!$P703&gt;=10000101,Sync!$P703&lt;=99991231),INT(Sync!$P703/10000),""),IFERROR(VALUE(TRIM(LEFT(Sync!$P703,FIND("/",Sync!$P703)-1))),"")))</f>
        <v/>
      </c>
      <c r="AG703">
        <f>IF(OR($AE703="",$AF703=""),"",IF(ISNUMBER(Sync!$P703),INT(MOD(Sync!$P703,10000)/100),IFERROR(VALUE(TRIM(LEFT(MID(Sync!$P703,FIND("/",Sync!$P703)+1,20),FIND("/",MID(Sync!$P703,FIND("/",Sync!$P703)+1,20))-1))),"")))</f>
        <v/>
      </c>
      <c r="AH703">
        <f>IF(OR($AE703="",$AF703=""),"",IF(ISNUMBER(Sync!$P703),MOD(Sync!$P703,100),IFERROR(VALUE(TRIM(MID(MID(Sync!$P703,FIND("/",Sync!$P703)+1,20),FIND("/",MID(Sync!$P703,FIND("/",Sync!$P703)+1,20))+1,20))),"")))</f>
        <v/>
      </c>
      <c r="AI703">
        <f>IF($AE703="","",IF(OR($AF703="",$AG703="",$AH703="",$AF703&lt;1300,$AF703&gt;1500,$AG703&lt;1,$AG703&gt;12,$AH703&lt;1,$AH703&gt;31),"نامعتبر",RIGHT("0000"&amp;$AF703,4)&amp;"/"&amp;RIGHT("00"&amp;$AG703,2)&amp;"/"&amp;RIGHT("00"&amp;$AH703,2)))</f>
        <v/>
      </c>
      <c r="AJ703">
        <f>IF($AE703="","",IF(Sync!$Q703="","0000",IF(AND(ISNUMBER(Sync!$Q703),Sync!$Q703&gt;=0,Sync!$Q703&lt;1),RIGHT("00"&amp;HOUR(Sync!$Q703),2)&amp;RIGHT("00"&amp;MINUTE(Sync!$Q703),2),IFERROR(RIGHT("00"&amp;VALUE(LEFT(Sync!$Q703,FIND(":",Sync!$Q703)-1)),2)&amp;RIGHT("00"&amp;VALUE(MID(Sync!$Q703,FIND(":",Sync!$Q703)+1,2)),2),"0000"))))</f>
        <v/>
      </c>
      <c r="AK703">
        <f>IF(OR($AE703="",$AI703="",$AI703="نامعتبر"),"",LEFT($AI703,4)&amp;MID($AI703,6,2)&amp;RIGHT($AI703,2)&amp;$AJ703&amp;"|"&amp;"3"&amp;RIGHT("00000"&amp;698,5))</f>
        <v/>
      </c>
      <c r="AL703">
        <f>IF($AK703="","",COUNTIFS(LdAParty,$AE703,LdAType,1,LdAKey,"&lt;"&amp;$AK703)+COUNTIFS(LdBMember,$AE703,LdBKey,"&lt;"&amp;$AK703)+COUNTIFS(LdCParty,$AE703,LdCKey,"&lt;"&amp;$AK703)+1)</f>
        <v/>
      </c>
      <c r="AM703">
        <f>IF($AL703="","",$AE703&amp;"|"&amp;RIGHT("000000"&amp;$AL703,6))</f>
        <v/>
      </c>
      <c r="AN703">
        <f>IF($AE703="","",IF(Sync!$W703="",0,Sync!$W703))</f>
        <v/>
      </c>
      <c r="AO703">
        <f>IF($AE703="","",IF(Sync!$X703="",0,Sync!$X703))</f>
        <v/>
      </c>
      <c r="AP703">
        <f>IF($AE703="","",Sync!$R703)</f>
        <v/>
      </c>
      <c r="AQ703">
        <f>IF($AE703="","",Sync!$Y703)</f>
        <v/>
      </c>
    </row>
    <row r="704">
      <c r="A704">
        <f>IF(OR(Wages!$B707="",Wages!$E707=""),"",Wages!$E707)</f>
        <v/>
      </c>
      <c r="B704">
        <f>IF($A704="","",IF(Wages!$C707="دستمزد گروهی",2,1))</f>
        <v/>
      </c>
      <c r="C704">
        <f>IF($A704="","",IF(ISNUMBER(Wages!$B707),IF(AND(Wages!$B707&gt;=10000101,Wages!$B707&lt;=99991231),INT(Wages!$B707/10000),""),IFERROR(VALUE(TRIM(LEFT(Wages!$B707,FIND("/",Wages!$B707)-1))),"")))</f>
        <v/>
      </c>
      <c r="D704">
        <f>IF(OR($A704="",$C704=""),"",IF(ISNUMBER(Wages!$B707),INT(MOD(Wages!$B707,10000)/100),IFERROR(VALUE(TRIM(LEFT(MID(Wages!$B707,FIND("/",Wages!$B707)+1,20),FIND("/",MID(Wages!$B707,FIND("/",Wages!$B707)+1,20))-1))),"")))</f>
        <v/>
      </c>
      <c r="E704">
        <f>IF(OR($A704="",$C704=""),"",IF(ISNUMBER(Wages!$B707),MOD(Wages!$B707,100),IFERROR(VALUE(TRIM(MID(MID(Wages!$B707,FIND("/",Wages!$B707)+1,20),FIND("/",MID(Wages!$B707,FIND("/",Wages!$B707)+1,20))+1,20))),"")))</f>
        <v/>
      </c>
      <c r="F704">
        <f>IF($A704="","",IF(OR($C704="",$D704="",$E704="",$C704&lt;1300,$C704&gt;1500,$D704&lt;1,$D704&gt;12,$E704&lt;1,$E704&gt;31),"نامعتبر",RIGHT("0000"&amp;$C704,4)&amp;"/"&amp;RIGHT("00"&amp;$D704,2)&amp;"/"&amp;RIGHT("00"&amp;$E704,2)))</f>
        <v/>
      </c>
      <c r="G704">
        <f>IF(OR($A704="",$F704="",$F704="نامعتبر"),"",LEFT($F704,4)&amp;MID($F704,6,2)&amp;RIGHT($F704,2)&amp;"0000"&amp;"|"&amp;"1"&amp;RIGHT("00000"&amp;699,5))</f>
        <v/>
      </c>
      <c r="H704">
        <f>IF(OR($B704&lt;&gt;1,$G704=""),"",COUNTIFS(LdAParty,$A704,LdAType,1,LdAKey,"&lt;"&amp;$G704)+COUNTIFS(LdBMember,$A704,LdBKey,"&lt;"&amp;$G704)+COUNTIFS(LdCParty,$A704,LdCKey,"&lt;"&amp;$G704)+1)</f>
        <v/>
      </c>
      <c r="I704">
        <f>IF($H704="","",$A704&amp;"|"&amp;RIGHT("000000"&amp;$H704,6))</f>
        <v/>
      </c>
      <c r="J704">
        <f>IF(OR($B704&lt;&gt;2,$G704=""),"",COUNTIFS(LdAParty,$A704,LdAType,2,LdAKey,"&lt;"&amp;$G704)+1)</f>
        <v/>
      </c>
      <c r="K704">
        <f>IF($J704="","",$A704&amp;"|"&amp;RIGHT("000000"&amp;$J704,6))</f>
        <v/>
      </c>
      <c r="L704">
        <f>IF($A704="","",IF(Wages!$G707="",0,Wages!$G707))</f>
        <v/>
      </c>
      <c r="M704">
        <f>IF($A704="","",Wages!$J707)</f>
        <v/>
      </c>
      <c r="N704">
        <f>IF($A704="","",Wages!$D707)</f>
        <v/>
      </c>
      <c r="P704">
        <f>IF(OR(Shares!$B707="",Shares!$C707=""),"",Shares!$C707)</f>
        <v/>
      </c>
      <c r="Q704">
        <f>IF($P704="","",Shares!$B707)</f>
        <v/>
      </c>
      <c r="R704">
        <f>IF($P704="","",IFERROR(INDEX(WageParty,MATCH($Q704,WageIds,0)),""))</f>
        <v/>
      </c>
      <c r="S704">
        <f>IF($P704="","",IFERROR(INDEX($F$6:$F$2005,MATCH($Q704,WageIds,0)),""))</f>
        <v/>
      </c>
      <c r="T704">
        <f>IF(OR($P704="",$S704="",$S704="نامعتبر"),"",LEFT($S704,4)&amp;MID($S704,6,2)&amp;RIGHT($S704,2)&amp;"0000"&amp;"|"&amp;"2"&amp;RIGHT("00000"&amp;699,5))</f>
        <v/>
      </c>
      <c r="U704">
        <f>IF($T704="","",COUNTIFS(LdAParty,$P704,LdAType,1,LdAKey,"&lt;"&amp;$T704)+COUNTIFS(LdBMember,$P704,LdBKey,"&lt;"&amp;$T704)+COUNTIFS(LdCParty,$P704,LdCKey,"&lt;"&amp;$T704)+1)</f>
        <v/>
      </c>
      <c r="V704">
        <f>IF($U704="","",$P704&amp;"|"&amp;RIGHT("000000"&amp;$U704,6))</f>
        <v/>
      </c>
      <c r="W704">
        <f>IF($T704="","",COUNTIFS(LdBGroup,$R704,LdBKey,"&lt;"&amp;$T704)+1)</f>
        <v/>
      </c>
      <c r="X704">
        <f>IF($W704="","",$R704&amp;"|"&amp;RIGHT("000000"&amp;$W704,6))</f>
        <v/>
      </c>
      <c r="Y704">
        <f>IF($P704="","",IF(Shares!$E707="",0,Shares!$E707))</f>
        <v/>
      </c>
      <c r="Z704">
        <f>IF($P704="","",Shares!$H707)</f>
        <v/>
      </c>
      <c r="AE704">
        <f>IF(OR(Sync!$S704="",Sync!$P704=""),"",Sync!$S704)</f>
        <v/>
      </c>
      <c r="AF704">
        <f>IF($AE704="","",IF(ISNUMBER(Sync!$P704),IF(AND(Sync!$P704&gt;=10000101,Sync!$P704&lt;=99991231),INT(Sync!$P704/10000),""),IFERROR(VALUE(TRIM(LEFT(Sync!$P704,FIND("/",Sync!$P704)-1))),"")))</f>
        <v/>
      </c>
      <c r="AG704">
        <f>IF(OR($AE704="",$AF704=""),"",IF(ISNUMBER(Sync!$P704),INT(MOD(Sync!$P704,10000)/100),IFERROR(VALUE(TRIM(LEFT(MID(Sync!$P704,FIND("/",Sync!$P704)+1,20),FIND("/",MID(Sync!$P704,FIND("/",Sync!$P704)+1,20))-1))),"")))</f>
        <v/>
      </c>
      <c r="AH704">
        <f>IF(OR($AE704="",$AF704=""),"",IF(ISNUMBER(Sync!$P704),MOD(Sync!$P704,100),IFERROR(VALUE(TRIM(MID(MID(Sync!$P704,FIND("/",Sync!$P704)+1,20),FIND("/",MID(Sync!$P704,FIND("/",Sync!$P704)+1,20))+1,20))),"")))</f>
        <v/>
      </c>
      <c r="AI704">
        <f>IF($AE704="","",IF(OR($AF704="",$AG704="",$AH704="",$AF704&lt;1300,$AF704&gt;1500,$AG704&lt;1,$AG704&gt;12,$AH704&lt;1,$AH704&gt;31),"نامعتبر",RIGHT("0000"&amp;$AF704,4)&amp;"/"&amp;RIGHT("00"&amp;$AG704,2)&amp;"/"&amp;RIGHT("00"&amp;$AH704,2)))</f>
        <v/>
      </c>
      <c r="AJ704">
        <f>IF($AE704="","",IF(Sync!$Q704="","0000",IF(AND(ISNUMBER(Sync!$Q704),Sync!$Q704&gt;=0,Sync!$Q704&lt;1),RIGHT("00"&amp;HOUR(Sync!$Q704),2)&amp;RIGHT("00"&amp;MINUTE(Sync!$Q704),2),IFERROR(RIGHT("00"&amp;VALUE(LEFT(Sync!$Q704,FIND(":",Sync!$Q704)-1)),2)&amp;RIGHT("00"&amp;VALUE(MID(Sync!$Q704,FIND(":",Sync!$Q704)+1,2)),2),"0000"))))</f>
        <v/>
      </c>
      <c r="AK704">
        <f>IF(OR($AE704="",$AI704="",$AI704="نامعتبر"),"",LEFT($AI704,4)&amp;MID($AI704,6,2)&amp;RIGHT($AI704,2)&amp;$AJ704&amp;"|"&amp;"3"&amp;RIGHT("00000"&amp;699,5))</f>
        <v/>
      </c>
      <c r="AL704">
        <f>IF($AK704="","",COUNTIFS(LdAParty,$AE704,LdAType,1,LdAKey,"&lt;"&amp;$AK704)+COUNTIFS(LdBMember,$AE704,LdBKey,"&lt;"&amp;$AK704)+COUNTIFS(LdCParty,$AE704,LdCKey,"&lt;"&amp;$AK704)+1)</f>
        <v/>
      </c>
      <c r="AM704">
        <f>IF($AL704="","",$AE704&amp;"|"&amp;RIGHT("000000"&amp;$AL704,6))</f>
        <v/>
      </c>
      <c r="AN704">
        <f>IF($AE704="","",IF(Sync!$W704="",0,Sync!$W704))</f>
        <v/>
      </c>
      <c r="AO704">
        <f>IF($AE704="","",IF(Sync!$X704="",0,Sync!$X704))</f>
        <v/>
      </c>
      <c r="AP704">
        <f>IF($AE704="","",Sync!$R704)</f>
        <v/>
      </c>
      <c r="AQ704">
        <f>IF($AE704="","",Sync!$Y704)</f>
        <v/>
      </c>
    </row>
    <row r="705">
      <c r="A705">
        <f>IF(OR(Wages!$B708="",Wages!$E708=""),"",Wages!$E708)</f>
        <v/>
      </c>
      <c r="B705">
        <f>IF($A705="","",IF(Wages!$C708="دستمزد گروهی",2,1))</f>
        <v/>
      </c>
      <c r="C705">
        <f>IF($A705="","",IF(ISNUMBER(Wages!$B708),IF(AND(Wages!$B708&gt;=10000101,Wages!$B708&lt;=99991231),INT(Wages!$B708/10000),""),IFERROR(VALUE(TRIM(LEFT(Wages!$B708,FIND("/",Wages!$B708)-1))),"")))</f>
        <v/>
      </c>
      <c r="D705">
        <f>IF(OR($A705="",$C705=""),"",IF(ISNUMBER(Wages!$B708),INT(MOD(Wages!$B708,10000)/100),IFERROR(VALUE(TRIM(LEFT(MID(Wages!$B708,FIND("/",Wages!$B708)+1,20),FIND("/",MID(Wages!$B708,FIND("/",Wages!$B708)+1,20))-1))),"")))</f>
        <v/>
      </c>
      <c r="E705">
        <f>IF(OR($A705="",$C705=""),"",IF(ISNUMBER(Wages!$B708),MOD(Wages!$B708,100),IFERROR(VALUE(TRIM(MID(MID(Wages!$B708,FIND("/",Wages!$B708)+1,20),FIND("/",MID(Wages!$B708,FIND("/",Wages!$B708)+1,20))+1,20))),"")))</f>
        <v/>
      </c>
      <c r="F705">
        <f>IF($A705="","",IF(OR($C705="",$D705="",$E705="",$C705&lt;1300,$C705&gt;1500,$D705&lt;1,$D705&gt;12,$E705&lt;1,$E705&gt;31),"نامعتبر",RIGHT("0000"&amp;$C705,4)&amp;"/"&amp;RIGHT("00"&amp;$D705,2)&amp;"/"&amp;RIGHT("00"&amp;$E705,2)))</f>
        <v/>
      </c>
      <c r="G705">
        <f>IF(OR($A705="",$F705="",$F705="نامعتبر"),"",LEFT($F705,4)&amp;MID($F705,6,2)&amp;RIGHT($F705,2)&amp;"0000"&amp;"|"&amp;"1"&amp;RIGHT("00000"&amp;700,5))</f>
        <v/>
      </c>
      <c r="H705">
        <f>IF(OR($B705&lt;&gt;1,$G705=""),"",COUNTIFS(LdAParty,$A705,LdAType,1,LdAKey,"&lt;"&amp;$G705)+COUNTIFS(LdBMember,$A705,LdBKey,"&lt;"&amp;$G705)+COUNTIFS(LdCParty,$A705,LdCKey,"&lt;"&amp;$G705)+1)</f>
        <v/>
      </c>
      <c r="I705">
        <f>IF($H705="","",$A705&amp;"|"&amp;RIGHT("000000"&amp;$H705,6))</f>
        <v/>
      </c>
      <c r="J705">
        <f>IF(OR($B705&lt;&gt;2,$G705=""),"",COUNTIFS(LdAParty,$A705,LdAType,2,LdAKey,"&lt;"&amp;$G705)+1)</f>
        <v/>
      </c>
      <c r="K705">
        <f>IF($J705="","",$A705&amp;"|"&amp;RIGHT("000000"&amp;$J705,6))</f>
        <v/>
      </c>
      <c r="L705">
        <f>IF($A705="","",IF(Wages!$G708="",0,Wages!$G708))</f>
        <v/>
      </c>
      <c r="M705">
        <f>IF($A705="","",Wages!$J708)</f>
        <v/>
      </c>
      <c r="N705">
        <f>IF($A705="","",Wages!$D708)</f>
        <v/>
      </c>
      <c r="P705">
        <f>IF(OR(Shares!$B708="",Shares!$C708=""),"",Shares!$C708)</f>
        <v/>
      </c>
      <c r="Q705">
        <f>IF($P705="","",Shares!$B708)</f>
        <v/>
      </c>
      <c r="R705">
        <f>IF($P705="","",IFERROR(INDEX(WageParty,MATCH($Q705,WageIds,0)),""))</f>
        <v/>
      </c>
      <c r="S705">
        <f>IF($P705="","",IFERROR(INDEX($F$6:$F$2005,MATCH($Q705,WageIds,0)),""))</f>
        <v/>
      </c>
      <c r="T705">
        <f>IF(OR($P705="",$S705="",$S705="نامعتبر"),"",LEFT($S705,4)&amp;MID($S705,6,2)&amp;RIGHT($S705,2)&amp;"0000"&amp;"|"&amp;"2"&amp;RIGHT("00000"&amp;700,5))</f>
        <v/>
      </c>
      <c r="U705">
        <f>IF($T705="","",COUNTIFS(LdAParty,$P705,LdAType,1,LdAKey,"&lt;"&amp;$T705)+COUNTIFS(LdBMember,$P705,LdBKey,"&lt;"&amp;$T705)+COUNTIFS(LdCParty,$P705,LdCKey,"&lt;"&amp;$T705)+1)</f>
        <v/>
      </c>
      <c r="V705">
        <f>IF($U705="","",$P705&amp;"|"&amp;RIGHT("000000"&amp;$U705,6))</f>
        <v/>
      </c>
      <c r="W705">
        <f>IF($T705="","",COUNTIFS(LdBGroup,$R705,LdBKey,"&lt;"&amp;$T705)+1)</f>
        <v/>
      </c>
      <c r="X705">
        <f>IF($W705="","",$R705&amp;"|"&amp;RIGHT("000000"&amp;$W705,6))</f>
        <v/>
      </c>
      <c r="Y705">
        <f>IF($P705="","",IF(Shares!$E708="",0,Shares!$E708))</f>
        <v/>
      </c>
      <c r="Z705">
        <f>IF($P705="","",Shares!$H708)</f>
        <v/>
      </c>
      <c r="AE705">
        <f>IF(OR(Sync!$S705="",Sync!$P705=""),"",Sync!$S705)</f>
        <v/>
      </c>
      <c r="AF705">
        <f>IF($AE705="","",IF(ISNUMBER(Sync!$P705),IF(AND(Sync!$P705&gt;=10000101,Sync!$P705&lt;=99991231),INT(Sync!$P705/10000),""),IFERROR(VALUE(TRIM(LEFT(Sync!$P705,FIND("/",Sync!$P705)-1))),"")))</f>
        <v/>
      </c>
      <c r="AG705">
        <f>IF(OR($AE705="",$AF705=""),"",IF(ISNUMBER(Sync!$P705),INT(MOD(Sync!$P705,10000)/100),IFERROR(VALUE(TRIM(LEFT(MID(Sync!$P705,FIND("/",Sync!$P705)+1,20),FIND("/",MID(Sync!$P705,FIND("/",Sync!$P705)+1,20))-1))),"")))</f>
        <v/>
      </c>
      <c r="AH705">
        <f>IF(OR($AE705="",$AF705=""),"",IF(ISNUMBER(Sync!$P705),MOD(Sync!$P705,100),IFERROR(VALUE(TRIM(MID(MID(Sync!$P705,FIND("/",Sync!$P705)+1,20),FIND("/",MID(Sync!$P705,FIND("/",Sync!$P705)+1,20))+1,20))),"")))</f>
        <v/>
      </c>
      <c r="AI705">
        <f>IF($AE705="","",IF(OR($AF705="",$AG705="",$AH705="",$AF705&lt;1300,$AF705&gt;1500,$AG705&lt;1,$AG705&gt;12,$AH705&lt;1,$AH705&gt;31),"نامعتبر",RIGHT("0000"&amp;$AF705,4)&amp;"/"&amp;RIGHT("00"&amp;$AG705,2)&amp;"/"&amp;RIGHT("00"&amp;$AH705,2)))</f>
        <v/>
      </c>
      <c r="AJ705">
        <f>IF($AE705="","",IF(Sync!$Q705="","0000",IF(AND(ISNUMBER(Sync!$Q705),Sync!$Q705&gt;=0,Sync!$Q705&lt;1),RIGHT("00"&amp;HOUR(Sync!$Q705),2)&amp;RIGHT("00"&amp;MINUTE(Sync!$Q705),2),IFERROR(RIGHT("00"&amp;VALUE(LEFT(Sync!$Q705,FIND(":",Sync!$Q705)-1)),2)&amp;RIGHT("00"&amp;VALUE(MID(Sync!$Q705,FIND(":",Sync!$Q705)+1,2)),2),"0000"))))</f>
        <v/>
      </c>
      <c r="AK705">
        <f>IF(OR($AE705="",$AI705="",$AI705="نامعتبر"),"",LEFT($AI705,4)&amp;MID($AI705,6,2)&amp;RIGHT($AI705,2)&amp;$AJ705&amp;"|"&amp;"3"&amp;RIGHT("00000"&amp;700,5))</f>
        <v/>
      </c>
      <c r="AL705">
        <f>IF($AK705="","",COUNTIFS(LdAParty,$AE705,LdAType,1,LdAKey,"&lt;"&amp;$AK705)+COUNTIFS(LdBMember,$AE705,LdBKey,"&lt;"&amp;$AK705)+COUNTIFS(LdCParty,$AE705,LdCKey,"&lt;"&amp;$AK705)+1)</f>
        <v/>
      </c>
      <c r="AM705">
        <f>IF($AL705="","",$AE705&amp;"|"&amp;RIGHT("000000"&amp;$AL705,6))</f>
        <v/>
      </c>
      <c r="AN705">
        <f>IF($AE705="","",IF(Sync!$W705="",0,Sync!$W705))</f>
        <v/>
      </c>
      <c r="AO705">
        <f>IF($AE705="","",IF(Sync!$X705="",0,Sync!$X705))</f>
        <v/>
      </c>
      <c r="AP705">
        <f>IF($AE705="","",Sync!$R705)</f>
        <v/>
      </c>
      <c r="AQ705">
        <f>IF($AE705="","",Sync!$Y705)</f>
        <v/>
      </c>
    </row>
    <row r="706">
      <c r="A706">
        <f>IF(OR(Wages!$B709="",Wages!$E709=""),"",Wages!$E709)</f>
        <v/>
      </c>
      <c r="B706">
        <f>IF($A706="","",IF(Wages!$C709="دستمزد گروهی",2,1))</f>
        <v/>
      </c>
      <c r="C706">
        <f>IF($A706="","",IF(ISNUMBER(Wages!$B709),IF(AND(Wages!$B709&gt;=10000101,Wages!$B709&lt;=99991231),INT(Wages!$B709/10000),""),IFERROR(VALUE(TRIM(LEFT(Wages!$B709,FIND("/",Wages!$B709)-1))),"")))</f>
        <v/>
      </c>
      <c r="D706">
        <f>IF(OR($A706="",$C706=""),"",IF(ISNUMBER(Wages!$B709),INT(MOD(Wages!$B709,10000)/100),IFERROR(VALUE(TRIM(LEFT(MID(Wages!$B709,FIND("/",Wages!$B709)+1,20),FIND("/",MID(Wages!$B709,FIND("/",Wages!$B709)+1,20))-1))),"")))</f>
        <v/>
      </c>
      <c r="E706">
        <f>IF(OR($A706="",$C706=""),"",IF(ISNUMBER(Wages!$B709),MOD(Wages!$B709,100),IFERROR(VALUE(TRIM(MID(MID(Wages!$B709,FIND("/",Wages!$B709)+1,20),FIND("/",MID(Wages!$B709,FIND("/",Wages!$B709)+1,20))+1,20))),"")))</f>
        <v/>
      </c>
      <c r="F706">
        <f>IF($A706="","",IF(OR($C706="",$D706="",$E706="",$C706&lt;1300,$C706&gt;1500,$D706&lt;1,$D706&gt;12,$E706&lt;1,$E706&gt;31),"نامعتبر",RIGHT("0000"&amp;$C706,4)&amp;"/"&amp;RIGHT("00"&amp;$D706,2)&amp;"/"&amp;RIGHT("00"&amp;$E706,2)))</f>
        <v/>
      </c>
      <c r="G706">
        <f>IF(OR($A706="",$F706="",$F706="نامعتبر"),"",LEFT($F706,4)&amp;MID($F706,6,2)&amp;RIGHT($F706,2)&amp;"0000"&amp;"|"&amp;"1"&amp;RIGHT("00000"&amp;701,5))</f>
        <v/>
      </c>
      <c r="H706">
        <f>IF(OR($B706&lt;&gt;1,$G706=""),"",COUNTIFS(LdAParty,$A706,LdAType,1,LdAKey,"&lt;"&amp;$G706)+COUNTIFS(LdBMember,$A706,LdBKey,"&lt;"&amp;$G706)+COUNTIFS(LdCParty,$A706,LdCKey,"&lt;"&amp;$G706)+1)</f>
        <v/>
      </c>
      <c r="I706">
        <f>IF($H706="","",$A706&amp;"|"&amp;RIGHT("000000"&amp;$H706,6))</f>
        <v/>
      </c>
      <c r="J706">
        <f>IF(OR($B706&lt;&gt;2,$G706=""),"",COUNTIFS(LdAParty,$A706,LdAType,2,LdAKey,"&lt;"&amp;$G706)+1)</f>
        <v/>
      </c>
      <c r="K706">
        <f>IF($J706="","",$A706&amp;"|"&amp;RIGHT("000000"&amp;$J706,6))</f>
        <v/>
      </c>
      <c r="L706">
        <f>IF($A706="","",IF(Wages!$G709="",0,Wages!$G709))</f>
        <v/>
      </c>
      <c r="M706">
        <f>IF($A706="","",Wages!$J709)</f>
        <v/>
      </c>
      <c r="N706">
        <f>IF($A706="","",Wages!$D709)</f>
        <v/>
      </c>
      <c r="P706">
        <f>IF(OR(Shares!$B709="",Shares!$C709=""),"",Shares!$C709)</f>
        <v/>
      </c>
      <c r="Q706">
        <f>IF($P706="","",Shares!$B709)</f>
        <v/>
      </c>
      <c r="R706">
        <f>IF($P706="","",IFERROR(INDEX(WageParty,MATCH($Q706,WageIds,0)),""))</f>
        <v/>
      </c>
      <c r="S706">
        <f>IF($P706="","",IFERROR(INDEX($F$6:$F$2005,MATCH($Q706,WageIds,0)),""))</f>
        <v/>
      </c>
      <c r="T706">
        <f>IF(OR($P706="",$S706="",$S706="نامعتبر"),"",LEFT($S706,4)&amp;MID($S706,6,2)&amp;RIGHT($S706,2)&amp;"0000"&amp;"|"&amp;"2"&amp;RIGHT("00000"&amp;701,5))</f>
        <v/>
      </c>
      <c r="U706">
        <f>IF($T706="","",COUNTIFS(LdAParty,$P706,LdAType,1,LdAKey,"&lt;"&amp;$T706)+COUNTIFS(LdBMember,$P706,LdBKey,"&lt;"&amp;$T706)+COUNTIFS(LdCParty,$P706,LdCKey,"&lt;"&amp;$T706)+1)</f>
        <v/>
      </c>
      <c r="V706">
        <f>IF($U706="","",$P706&amp;"|"&amp;RIGHT("000000"&amp;$U706,6))</f>
        <v/>
      </c>
      <c r="W706">
        <f>IF($T706="","",COUNTIFS(LdBGroup,$R706,LdBKey,"&lt;"&amp;$T706)+1)</f>
        <v/>
      </c>
      <c r="X706">
        <f>IF($W706="","",$R706&amp;"|"&amp;RIGHT("000000"&amp;$W706,6))</f>
        <v/>
      </c>
      <c r="Y706">
        <f>IF($P706="","",IF(Shares!$E709="",0,Shares!$E709))</f>
        <v/>
      </c>
      <c r="Z706">
        <f>IF($P706="","",Shares!$H709)</f>
        <v/>
      </c>
      <c r="AE706">
        <f>IF(OR(Sync!$S706="",Sync!$P706=""),"",Sync!$S706)</f>
        <v/>
      </c>
      <c r="AF706">
        <f>IF($AE706="","",IF(ISNUMBER(Sync!$P706),IF(AND(Sync!$P706&gt;=10000101,Sync!$P706&lt;=99991231),INT(Sync!$P706/10000),""),IFERROR(VALUE(TRIM(LEFT(Sync!$P706,FIND("/",Sync!$P706)-1))),"")))</f>
        <v/>
      </c>
      <c r="AG706">
        <f>IF(OR($AE706="",$AF706=""),"",IF(ISNUMBER(Sync!$P706),INT(MOD(Sync!$P706,10000)/100),IFERROR(VALUE(TRIM(LEFT(MID(Sync!$P706,FIND("/",Sync!$P706)+1,20),FIND("/",MID(Sync!$P706,FIND("/",Sync!$P706)+1,20))-1))),"")))</f>
        <v/>
      </c>
      <c r="AH706">
        <f>IF(OR($AE706="",$AF706=""),"",IF(ISNUMBER(Sync!$P706),MOD(Sync!$P706,100),IFERROR(VALUE(TRIM(MID(MID(Sync!$P706,FIND("/",Sync!$P706)+1,20),FIND("/",MID(Sync!$P706,FIND("/",Sync!$P706)+1,20))+1,20))),"")))</f>
        <v/>
      </c>
      <c r="AI706">
        <f>IF($AE706="","",IF(OR($AF706="",$AG706="",$AH706="",$AF706&lt;1300,$AF706&gt;1500,$AG706&lt;1,$AG706&gt;12,$AH706&lt;1,$AH706&gt;31),"نامعتبر",RIGHT("0000"&amp;$AF706,4)&amp;"/"&amp;RIGHT("00"&amp;$AG706,2)&amp;"/"&amp;RIGHT("00"&amp;$AH706,2)))</f>
        <v/>
      </c>
      <c r="AJ706">
        <f>IF($AE706="","",IF(Sync!$Q706="","0000",IF(AND(ISNUMBER(Sync!$Q706),Sync!$Q706&gt;=0,Sync!$Q706&lt;1),RIGHT("00"&amp;HOUR(Sync!$Q706),2)&amp;RIGHT("00"&amp;MINUTE(Sync!$Q706),2),IFERROR(RIGHT("00"&amp;VALUE(LEFT(Sync!$Q706,FIND(":",Sync!$Q706)-1)),2)&amp;RIGHT("00"&amp;VALUE(MID(Sync!$Q706,FIND(":",Sync!$Q706)+1,2)),2),"0000"))))</f>
        <v/>
      </c>
      <c r="AK706">
        <f>IF(OR($AE706="",$AI706="",$AI706="نامعتبر"),"",LEFT($AI706,4)&amp;MID($AI706,6,2)&amp;RIGHT($AI706,2)&amp;$AJ706&amp;"|"&amp;"3"&amp;RIGHT("00000"&amp;701,5))</f>
        <v/>
      </c>
      <c r="AL706">
        <f>IF($AK706="","",COUNTIFS(LdAParty,$AE706,LdAType,1,LdAKey,"&lt;"&amp;$AK706)+COUNTIFS(LdBMember,$AE706,LdBKey,"&lt;"&amp;$AK706)+COUNTIFS(LdCParty,$AE706,LdCKey,"&lt;"&amp;$AK706)+1)</f>
        <v/>
      </c>
      <c r="AM706">
        <f>IF($AL706="","",$AE706&amp;"|"&amp;RIGHT("000000"&amp;$AL706,6))</f>
        <v/>
      </c>
      <c r="AN706">
        <f>IF($AE706="","",IF(Sync!$W706="",0,Sync!$W706))</f>
        <v/>
      </c>
      <c r="AO706">
        <f>IF($AE706="","",IF(Sync!$X706="",0,Sync!$X706))</f>
        <v/>
      </c>
      <c r="AP706">
        <f>IF($AE706="","",Sync!$R706)</f>
        <v/>
      </c>
      <c r="AQ706">
        <f>IF($AE706="","",Sync!$Y706)</f>
        <v/>
      </c>
    </row>
    <row r="707">
      <c r="A707">
        <f>IF(OR(Wages!$B710="",Wages!$E710=""),"",Wages!$E710)</f>
        <v/>
      </c>
      <c r="B707">
        <f>IF($A707="","",IF(Wages!$C710="دستمزد گروهی",2,1))</f>
        <v/>
      </c>
      <c r="C707">
        <f>IF($A707="","",IF(ISNUMBER(Wages!$B710),IF(AND(Wages!$B710&gt;=10000101,Wages!$B710&lt;=99991231),INT(Wages!$B710/10000),""),IFERROR(VALUE(TRIM(LEFT(Wages!$B710,FIND("/",Wages!$B710)-1))),"")))</f>
        <v/>
      </c>
      <c r="D707">
        <f>IF(OR($A707="",$C707=""),"",IF(ISNUMBER(Wages!$B710),INT(MOD(Wages!$B710,10000)/100),IFERROR(VALUE(TRIM(LEFT(MID(Wages!$B710,FIND("/",Wages!$B710)+1,20),FIND("/",MID(Wages!$B710,FIND("/",Wages!$B710)+1,20))-1))),"")))</f>
        <v/>
      </c>
      <c r="E707">
        <f>IF(OR($A707="",$C707=""),"",IF(ISNUMBER(Wages!$B710),MOD(Wages!$B710,100),IFERROR(VALUE(TRIM(MID(MID(Wages!$B710,FIND("/",Wages!$B710)+1,20),FIND("/",MID(Wages!$B710,FIND("/",Wages!$B710)+1,20))+1,20))),"")))</f>
        <v/>
      </c>
      <c r="F707">
        <f>IF($A707="","",IF(OR($C707="",$D707="",$E707="",$C707&lt;1300,$C707&gt;1500,$D707&lt;1,$D707&gt;12,$E707&lt;1,$E707&gt;31),"نامعتبر",RIGHT("0000"&amp;$C707,4)&amp;"/"&amp;RIGHT("00"&amp;$D707,2)&amp;"/"&amp;RIGHT("00"&amp;$E707,2)))</f>
        <v/>
      </c>
      <c r="G707">
        <f>IF(OR($A707="",$F707="",$F707="نامعتبر"),"",LEFT($F707,4)&amp;MID($F707,6,2)&amp;RIGHT($F707,2)&amp;"0000"&amp;"|"&amp;"1"&amp;RIGHT("00000"&amp;702,5))</f>
        <v/>
      </c>
      <c r="H707">
        <f>IF(OR($B707&lt;&gt;1,$G707=""),"",COUNTIFS(LdAParty,$A707,LdAType,1,LdAKey,"&lt;"&amp;$G707)+COUNTIFS(LdBMember,$A707,LdBKey,"&lt;"&amp;$G707)+COUNTIFS(LdCParty,$A707,LdCKey,"&lt;"&amp;$G707)+1)</f>
        <v/>
      </c>
      <c r="I707">
        <f>IF($H707="","",$A707&amp;"|"&amp;RIGHT("000000"&amp;$H707,6))</f>
        <v/>
      </c>
      <c r="J707">
        <f>IF(OR($B707&lt;&gt;2,$G707=""),"",COUNTIFS(LdAParty,$A707,LdAType,2,LdAKey,"&lt;"&amp;$G707)+1)</f>
        <v/>
      </c>
      <c r="K707">
        <f>IF($J707="","",$A707&amp;"|"&amp;RIGHT("000000"&amp;$J707,6))</f>
        <v/>
      </c>
      <c r="L707">
        <f>IF($A707="","",IF(Wages!$G710="",0,Wages!$G710))</f>
        <v/>
      </c>
      <c r="M707">
        <f>IF($A707="","",Wages!$J710)</f>
        <v/>
      </c>
      <c r="N707">
        <f>IF($A707="","",Wages!$D710)</f>
        <v/>
      </c>
      <c r="P707">
        <f>IF(OR(Shares!$B710="",Shares!$C710=""),"",Shares!$C710)</f>
        <v/>
      </c>
      <c r="Q707">
        <f>IF($P707="","",Shares!$B710)</f>
        <v/>
      </c>
      <c r="R707">
        <f>IF($P707="","",IFERROR(INDEX(WageParty,MATCH($Q707,WageIds,0)),""))</f>
        <v/>
      </c>
      <c r="S707">
        <f>IF($P707="","",IFERROR(INDEX($F$6:$F$2005,MATCH($Q707,WageIds,0)),""))</f>
        <v/>
      </c>
      <c r="T707">
        <f>IF(OR($P707="",$S707="",$S707="نامعتبر"),"",LEFT($S707,4)&amp;MID($S707,6,2)&amp;RIGHT($S707,2)&amp;"0000"&amp;"|"&amp;"2"&amp;RIGHT("00000"&amp;702,5))</f>
        <v/>
      </c>
      <c r="U707">
        <f>IF($T707="","",COUNTIFS(LdAParty,$P707,LdAType,1,LdAKey,"&lt;"&amp;$T707)+COUNTIFS(LdBMember,$P707,LdBKey,"&lt;"&amp;$T707)+COUNTIFS(LdCParty,$P707,LdCKey,"&lt;"&amp;$T707)+1)</f>
        <v/>
      </c>
      <c r="V707">
        <f>IF($U707="","",$P707&amp;"|"&amp;RIGHT("000000"&amp;$U707,6))</f>
        <v/>
      </c>
      <c r="W707">
        <f>IF($T707="","",COUNTIFS(LdBGroup,$R707,LdBKey,"&lt;"&amp;$T707)+1)</f>
        <v/>
      </c>
      <c r="X707">
        <f>IF($W707="","",$R707&amp;"|"&amp;RIGHT("000000"&amp;$W707,6))</f>
        <v/>
      </c>
      <c r="Y707">
        <f>IF($P707="","",IF(Shares!$E710="",0,Shares!$E710))</f>
        <v/>
      </c>
      <c r="Z707">
        <f>IF($P707="","",Shares!$H710)</f>
        <v/>
      </c>
      <c r="AE707">
        <f>IF(OR(Sync!$S707="",Sync!$P707=""),"",Sync!$S707)</f>
        <v/>
      </c>
      <c r="AF707">
        <f>IF($AE707="","",IF(ISNUMBER(Sync!$P707),IF(AND(Sync!$P707&gt;=10000101,Sync!$P707&lt;=99991231),INT(Sync!$P707/10000),""),IFERROR(VALUE(TRIM(LEFT(Sync!$P707,FIND("/",Sync!$P707)-1))),"")))</f>
        <v/>
      </c>
      <c r="AG707">
        <f>IF(OR($AE707="",$AF707=""),"",IF(ISNUMBER(Sync!$P707),INT(MOD(Sync!$P707,10000)/100),IFERROR(VALUE(TRIM(LEFT(MID(Sync!$P707,FIND("/",Sync!$P707)+1,20),FIND("/",MID(Sync!$P707,FIND("/",Sync!$P707)+1,20))-1))),"")))</f>
        <v/>
      </c>
      <c r="AH707">
        <f>IF(OR($AE707="",$AF707=""),"",IF(ISNUMBER(Sync!$P707),MOD(Sync!$P707,100),IFERROR(VALUE(TRIM(MID(MID(Sync!$P707,FIND("/",Sync!$P707)+1,20),FIND("/",MID(Sync!$P707,FIND("/",Sync!$P707)+1,20))+1,20))),"")))</f>
        <v/>
      </c>
      <c r="AI707">
        <f>IF($AE707="","",IF(OR($AF707="",$AG707="",$AH707="",$AF707&lt;1300,$AF707&gt;1500,$AG707&lt;1,$AG707&gt;12,$AH707&lt;1,$AH707&gt;31),"نامعتبر",RIGHT("0000"&amp;$AF707,4)&amp;"/"&amp;RIGHT("00"&amp;$AG707,2)&amp;"/"&amp;RIGHT("00"&amp;$AH707,2)))</f>
        <v/>
      </c>
      <c r="AJ707">
        <f>IF($AE707="","",IF(Sync!$Q707="","0000",IF(AND(ISNUMBER(Sync!$Q707),Sync!$Q707&gt;=0,Sync!$Q707&lt;1),RIGHT("00"&amp;HOUR(Sync!$Q707),2)&amp;RIGHT("00"&amp;MINUTE(Sync!$Q707),2),IFERROR(RIGHT("00"&amp;VALUE(LEFT(Sync!$Q707,FIND(":",Sync!$Q707)-1)),2)&amp;RIGHT("00"&amp;VALUE(MID(Sync!$Q707,FIND(":",Sync!$Q707)+1,2)),2),"0000"))))</f>
        <v/>
      </c>
      <c r="AK707">
        <f>IF(OR($AE707="",$AI707="",$AI707="نامعتبر"),"",LEFT($AI707,4)&amp;MID($AI707,6,2)&amp;RIGHT($AI707,2)&amp;$AJ707&amp;"|"&amp;"3"&amp;RIGHT("00000"&amp;702,5))</f>
        <v/>
      </c>
      <c r="AL707">
        <f>IF($AK707="","",COUNTIFS(LdAParty,$AE707,LdAType,1,LdAKey,"&lt;"&amp;$AK707)+COUNTIFS(LdBMember,$AE707,LdBKey,"&lt;"&amp;$AK707)+COUNTIFS(LdCParty,$AE707,LdCKey,"&lt;"&amp;$AK707)+1)</f>
        <v/>
      </c>
      <c r="AM707">
        <f>IF($AL707="","",$AE707&amp;"|"&amp;RIGHT("000000"&amp;$AL707,6))</f>
        <v/>
      </c>
      <c r="AN707">
        <f>IF($AE707="","",IF(Sync!$W707="",0,Sync!$W707))</f>
        <v/>
      </c>
      <c r="AO707">
        <f>IF($AE707="","",IF(Sync!$X707="",0,Sync!$X707))</f>
        <v/>
      </c>
      <c r="AP707">
        <f>IF($AE707="","",Sync!$R707)</f>
        <v/>
      </c>
      <c r="AQ707">
        <f>IF($AE707="","",Sync!$Y707)</f>
        <v/>
      </c>
    </row>
    <row r="708">
      <c r="A708">
        <f>IF(OR(Wages!$B711="",Wages!$E711=""),"",Wages!$E711)</f>
        <v/>
      </c>
      <c r="B708">
        <f>IF($A708="","",IF(Wages!$C711="دستمزد گروهی",2,1))</f>
        <v/>
      </c>
      <c r="C708">
        <f>IF($A708="","",IF(ISNUMBER(Wages!$B711),IF(AND(Wages!$B711&gt;=10000101,Wages!$B711&lt;=99991231),INT(Wages!$B711/10000),""),IFERROR(VALUE(TRIM(LEFT(Wages!$B711,FIND("/",Wages!$B711)-1))),"")))</f>
        <v/>
      </c>
      <c r="D708">
        <f>IF(OR($A708="",$C708=""),"",IF(ISNUMBER(Wages!$B711),INT(MOD(Wages!$B711,10000)/100),IFERROR(VALUE(TRIM(LEFT(MID(Wages!$B711,FIND("/",Wages!$B711)+1,20),FIND("/",MID(Wages!$B711,FIND("/",Wages!$B711)+1,20))-1))),"")))</f>
        <v/>
      </c>
      <c r="E708">
        <f>IF(OR($A708="",$C708=""),"",IF(ISNUMBER(Wages!$B711),MOD(Wages!$B711,100),IFERROR(VALUE(TRIM(MID(MID(Wages!$B711,FIND("/",Wages!$B711)+1,20),FIND("/",MID(Wages!$B711,FIND("/",Wages!$B711)+1,20))+1,20))),"")))</f>
        <v/>
      </c>
      <c r="F708">
        <f>IF($A708="","",IF(OR($C708="",$D708="",$E708="",$C708&lt;1300,$C708&gt;1500,$D708&lt;1,$D708&gt;12,$E708&lt;1,$E708&gt;31),"نامعتبر",RIGHT("0000"&amp;$C708,4)&amp;"/"&amp;RIGHT("00"&amp;$D708,2)&amp;"/"&amp;RIGHT("00"&amp;$E708,2)))</f>
        <v/>
      </c>
      <c r="G708">
        <f>IF(OR($A708="",$F708="",$F708="نامعتبر"),"",LEFT($F708,4)&amp;MID($F708,6,2)&amp;RIGHT($F708,2)&amp;"0000"&amp;"|"&amp;"1"&amp;RIGHT("00000"&amp;703,5))</f>
        <v/>
      </c>
      <c r="H708">
        <f>IF(OR($B708&lt;&gt;1,$G708=""),"",COUNTIFS(LdAParty,$A708,LdAType,1,LdAKey,"&lt;"&amp;$G708)+COUNTIFS(LdBMember,$A708,LdBKey,"&lt;"&amp;$G708)+COUNTIFS(LdCParty,$A708,LdCKey,"&lt;"&amp;$G708)+1)</f>
        <v/>
      </c>
      <c r="I708">
        <f>IF($H708="","",$A708&amp;"|"&amp;RIGHT("000000"&amp;$H708,6))</f>
        <v/>
      </c>
      <c r="J708">
        <f>IF(OR($B708&lt;&gt;2,$G708=""),"",COUNTIFS(LdAParty,$A708,LdAType,2,LdAKey,"&lt;"&amp;$G708)+1)</f>
        <v/>
      </c>
      <c r="K708">
        <f>IF($J708="","",$A708&amp;"|"&amp;RIGHT("000000"&amp;$J708,6))</f>
        <v/>
      </c>
      <c r="L708">
        <f>IF($A708="","",IF(Wages!$G711="",0,Wages!$G711))</f>
        <v/>
      </c>
      <c r="M708">
        <f>IF($A708="","",Wages!$J711)</f>
        <v/>
      </c>
      <c r="N708">
        <f>IF($A708="","",Wages!$D711)</f>
        <v/>
      </c>
      <c r="P708">
        <f>IF(OR(Shares!$B711="",Shares!$C711=""),"",Shares!$C711)</f>
        <v/>
      </c>
      <c r="Q708">
        <f>IF($P708="","",Shares!$B711)</f>
        <v/>
      </c>
      <c r="R708">
        <f>IF($P708="","",IFERROR(INDEX(WageParty,MATCH($Q708,WageIds,0)),""))</f>
        <v/>
      </c>
      <c r="S708">
        <f>IF($P708="","",IFERROR(INDEX($F$6:$F$2005,MATCH($Q708,WageIds,0)),""))</f>
        <v/>
      </c>
      <c r="T708">
        <f>IF(OR($P708="",$S708="",$S708="نامعتبر"),"",LEFT($S708,4)&amp;MID($S708,6,2)&amp;RIGHT($S708,2)&amp;"0000"&amp;"|"&amp;"2"&amp;RIGHT("00000"&amp;703,5))</f>
        <v/>
      </c>
      <c r="U708">
        <f>IF($T708="","",COUNTIFS(LdAParty,$P708,LdAType,1,LdAKey,"&lt;"&amp;$T708)+COUNTIFS(LdBMember,$P708,LdBKey,"&lt;"&amp;$T708)+COUNTIFS(LdCParty,$P708,LdCKey,"&lt;"&amp;$T708)+1)</f>
        <v/>
      </c>
      <c r="V708">
        <f>IF($U708="","",$P708&amp;"|"&amp;RIGHT("000000"&amp;$U708,6))</f>
        <v/>
      </c>
      <c r="W708">
        <f>IF($T708="","",COUNTIFS(LdBGroup,$R708,LdBKey,"&lt;"&amp;$T708)+1)</f>
        <v/>
      </c>
      <c r="X708">
        <f>IF($W708="","",$R708&amp;"|"&amp;RIGHT("000000"&amp;$W708,6))</f>
        <v/>
      </c>
      <c r="Y708">
        <f>IF($P708="","",IF(Shares!$E711="",0,Shares!$E711))</f>
        <v/>
      </c>
      <c r="Z708">
        <f>IF($P708="","",Shares!$H711)</f>
        <v/>
      </c>
      <c r="AE708">
        <f>IF(OR(Sync!$S708="",Sync!$P708=""),"",Sync!$S708)</f>
        <v/>
      </c>
      <c r="AF708">
        <f>IF($AE708="","",IF(ISNUMBER(Sync!$P708),IF(AND(Sync!$P708&gt;=10000101,Sync!$P708&lt;=99991231),INT(Sync!$P708/10000),""),IFERROR(VALUE(TRIM(LEFT(Sync!$P708,FIND("/",Sync!$P708)-1))),"")))</f>
        <v/>
      </c>
      <c r="AG708">
        <f>IF(OR($AE708="",$AF708=""),"",IF(ISNUMBER(Sync!$P708),INT(MOD(Sync!$P708,10000)/100),IFERROR(VALUE(TRIM(LEFT(MID(Sync!$P708,FIND("/",Sync!$P708)+1,20),FIND("/",MID(Sync!$P708,FIND("/",Sync!$P708)+1,20))-1))),"")))</f>
        <v/>
      </c>
      <c r="AH708">
        <f>IF(OR($AE708="",$AF708=""),"",IF(ISNUMBER(Sync!$P708),MOD(Sync!$P708,100),IFERROR(VALUE(TRIM(MID(MID(Sync!$P708,FIND("/",Sync!$P708)+1,20),FIND("/",MID(Sync!$P708,FIND("/",Sync!$P708)+1,20))+1,20))),"")))</f>
        <v/>
      </c>
      <c r="AI708">
        <f>IF($AE708="","",IF(OR($AF708="",$AG708="",$AH708="",$AF708&lt;1300,$AF708&gt;1500,$AG708&lt;1,$AG708&gt;12,$AH708&lt;1,$AH708&gt;31),"نامعتبر",RIGHT("0000"&amp;$AF708,4)&amp;"/"&amp;RIGHT("00"&amp;$AG708,2)&amp;"/"&amp;RIGHT("00"&amp;$AH708,2)))</f>
        <v/>
      </c>
      <c r="AJ708">
        <f>IF($AE708="","",IF(Sync!$Q708="","0000",IF(AND(ISNUMBER(Sync!$Q708),Sync!$Q708&gt;=0,Sync!$Q708&lt;1),RIGHT("00"&amp;HOUR(Sync!$Q708),2)&amp;RIGHT("00"&amp;MINUTE(Sync!$Q708),2),IFERROR(RIGHT("00"&amp;VALUE(LEFT(Sync!$Q708,FIND(":",Sync!$Q708)-1)),2)&amp;RIGHT("00"&amp;VALUE(MID(Sync!$Q708,FIND(":",Sync!$Q708)+1,2)),2),"0000"))))</f>
        <v/>
      </c>
      <c r="AK708">
        <f>IF(OR($AE708="",$AI708="",$AI708="نامعتبر"),"",LEFT($AI708,4)&amp;MID($AI708,6,2)&amp;RIGHT($AI708,2)&amp;$AJ708&amp;"|"&amp;"3"&amp;RIGHT("00000"&amp;703,5))</f>
        <v/>
      </c>
      <c r="AL708">
        <f>IF($AK708="","",COUNTIFS(LdAParty,$AE708,LdAType,1,LdAKey,"&lt;"&amp;$AK708)+COUNTIFS(LdBMember,$AE708,LdBKey,"&lt;"&amp;$AK708)+COUNTIFS(LdCParty,$AE708,LdCKey,"&lt;"&amp;$AK708)+1)</f>
        <v/>
      </c>
      <c r="AM708">
        <f>IF($AL708="","",$AE708&amp;"|"&amp;RIGHT("000000"&amp;$AL708,6))</f>
        <v/>
      </c>
      <c r="AN708">
        <f>IF($AE708="","",IF(Sync!$W708="",0,Sync!$W708))</f>
        <v/>
      </c>
      <c r="AO708">
        <f>IF($AE708="","",IF(Sync!$X708="",0,Sync!$X708))</f>
        <v/>
      </c>
      <c r="AP708">
        <f>IF($AE708="","",Sync!$R708)</f>
        <v/>
      </c>
      <c r="AQ708">
        <f>IF($AE708="","",Sync!$Y708)</f>
        <v/>
      </c>
    </row>
    <row r="709">
      <c r="A709">
        <f>IF(OR(Wages!$B712="",Wages!$E712=""),"",Wages!$E712)</f>
        <v/>
      </c>
      <c r="B709">
        <f>IF($A709="","",IF(Wages!$C712="دستمزد گروهی",2,1))</f>
        <v/>
      </c>
      <c r="C709">
        <f>IF($A709="","",IF(ISNUMBER(Wages!$B712),IF(AND(Wages!$B712&gt;=10000101,Wages!$B712&lt;=99991231),INT(Wages!$B712/10000),""),IFERROR(VALUE(TRIM(LEFT(Wages!$B712,FIND("/",Wages!$B712)-1))),"")))</f>
        <v/>
      </c>
      <c r="D709">
        <f>IF(OR($A709="",$C709=""),"",IF(ISNUMBER(Wages!$B712),INT(MOD(Wages!$B712,10000)/100),IFERROR(VALUE(TRIM(LEFT(MID(Wages!$B712,FIND("/",Wages!$B712)+1,20),FIND("/",MID(Wages!$B712,FIND("/",Wages!$B712)+1,20))-1))),"")))</f>
        <v/>
      </c>
      <c r="E709">
        <f>IF(OR($A709="",$C709=""),"",IF(ISNUMBER(Wages!$B712),MOD(Wages!$B712,100),IFERROR(VALUE(TRIM(MID(MID(Wages!$B712,FIND("/",Wages!$B712)+1,20),FIND("/",MID(Wages!$B712,FIND("/",Wages!$B712)+1,20))+1,20))),"")))</f>
        <v/>
      </c>
      <c r="F709">
        <f>IF($A709="","",IF(OR($C709="",$D709="",$E709="",$C709&lt;1300,$C709&gt;1500,$D709&lt;1,$D709&gt;12,$E709&lt;1,$E709&gt;31),"نامعتبر",RIGHT("0000"&amp;$C709,4)&amp;"/"&amp;RIGHT("00"&amp;$D709,2)&amp;"/"&amp;RIGHT("00"&amp;$E709,2)))</f>
        <v/>
      </c>
      <c r="G709">
        <f>IF(OR($A709="",$F709="",$F709="نامعتبر"),"",LEFT($F709,4)&amp;MID($F709,6,2)&amp;RIGHT($F709,2)&amp;"0000"&amp;"|"&amp;"1"&amp;RIGHT("00000"&amp;704,5))</f>
        <v/>
      </c>
      <c r="H709">
        <f>IF(OR($B709&lt;&gt;1,$G709=""),"",COUNTIFS(LdAParty,$A709,LdAType,1,LdAKey,"&lt;"&amp;$G709)+COUNTIFS(LdBMember,$A709,LdBKey,"&lt;"&amp;$G709)+COUNTIFS(LdCParty,$A709,LdCKey,"&lt;"&amp;$G709)+1)</f>
        <v/>
      </c>
      <c r="I709">
        <f>IF($H709="","",$A709&amp;"|"&amp;RIGHT("000000"&amp;$H709,6))</f>
        <v/>
      </c>
      <c r="J709">
        <f>IF(OR($B709&lt;&gt;2,$G709=""),"",COUNTIFS(LdAParty,$A709,LdAType,2,LdAKey,"&lt;"&amp;$G709)+1)</f>
        <v/>
      </c>
      <c r="K709">
        <f>IF($J709="","",$A709&amp;"|"&amp;RIGHT("000000"&amp;$J709,6))</f>
        <v/>
      </c>
      <c r="L709">
        <f>IF($A709="","",IF(Wages!$G712="",0,Wages!$G712))</f>
        <v/>
      </c>
      <c r="M709">
        <f>IF($A709="","",Wages!$J712)</f>
        <v/>
      </c>
      <c r="N709">
        <f>IF($A709="","",Wages!$D712)</f>
        <v/>
      </c>
      <c r="P709">
        <f>IF(OR(Shares!$B712="",Shares!$C712=""),"",Shares!$C712)</f>
        <v/>
      </c>
      <c r="Q709">
        <f>IF($P709="","",Shares!$B712)</f>
        <v/>
      </c>
      <c r="R709">
        <f>IF($P709="","",IFERROR(INDEX(WageParty,MATCH($Q709,WageIds,0)),""))</f>
        <v/>
      </c>
      <c r="S709">
        <f>IF($P709="","",IFERROR(INDEX($F$6:$F$2005,MATCH($Q709,WageIds,0)),""))</f>
        <v/>
      </c>
      <c r="T709">
        <f>IF(OR($P709="",$S709="",$S709="نامعتبر"),"",LEFT($S709,4)&amp;MID($S709,6,2)&amp;RIGHT($S709,2)&amp;"0000"&amp;"|"&amp;"2"&amp;RIGHT("00000"&amp;704,5))</f>
        <v/>
      </c>
      <c r="U709">
        <f>IF($T709="","",COUNTIFS(LdAParty,$P709,LdAType,1,LdAKey,"&lt;"&amp;$T709)+COUNTIFS(LdBMember,$P709,LdBKey,"&lt;"&amp;$T709)+COUNTIFS(LdCParty,$P709,LdCKey,"&lt;"&amp;$T709)+1)</f>
        <v/>
      </c>
      <c r="V709">
        <f>IF($U709="","",$P709&amp;"|"&amp;RIGHT("000000"&amp;$U709,6))</f>
        <v/>
      </c>
      <c r="W709">
        <f>IF($T709="","",COUNTIFS(LdBGroup,$R709,LdBKey,"&lt;"&amp;$T709)+1)</f>
        <v/>
      </c>
      <c r="X709">
        <f>IF($W709="","",$R709&amp;"|"&amp;RIGHT("000000"&amp;$W709,6))</f>
        <v/>
      </c>
      <c r="Y709">
        <f>IF($P709="","",IF(Shares!$E712="",0,Shares!$E712))</f>
        <v/>
      </c>
      <c r="Z709">
        <f>IF($P709="","",Shares!$H712)</f>
        <v/>
      </c>
      <c r="AE709">
        <f>IF(OR(Sync!$S709="",Sync!$P709=""),"",Sync!$S709)</f>
        <v/>
      </c>
      <c r="AF709">
        <f>IF($AE709="","",IF(ISNUMBER(Sync!$P709),IF(AND(Sync!$P709&gt;=10000101,Sync!$P709&lt;=99991231),INT(Sync!$P709/10000),""),IFERROR(VALUE(TRIM(LEFT(Sync!$P709,FIND("/",Sync!$P709)-1))),"")))</f>
        <v/>
      </c>
      <c r="AG709">
        <f>IF(OR($AE709="",$AF709=""),"",IF(ISNUMBER(Sync!$P709),INT(MOD(Sync!$P709,10000)/100),IFERROR(VALUE(TRIM(LEFT(MID(Sync!$P709,FIND("/",Sync!$P709)+1,20),FIND("/",MID(Sync!$P709,FIND("/",Sync!$P709)+1,20))-1))),"")))</f>
        <v/>
      </c>
      <c r="AH709">
        <f>IF(OR($AE709="",$AF709=""),"",IF(ISNUMBER(Sync!$P709),MOD(Sync!$P709,100),IFERROR(VALUE(TRIM(MID(MID(Sync!$P709,FIND("/",Sync!$P709)+1,20),FIND("/",MID(Sync!$P709,FIND("/",Sync!$P709)+1,20))+1,20))),"")))</f>
        <v/>
      </c>
      <c r="AI709">
        <f>IF($AE709="","",IF(OR($AF709="",$AG709="",$AH709="",$AF709&lt;1300,$AF709&gt;1500,$AG709&lt;1,$AG709&gt;12,$AH709&lt;1,$AH709&gt;31),"نامعتبر",RIGHT("0000"&amp;$AF709,4)&amp;"/"&amp;RIGHT("00"&amp;$AG709,2)&amp;"/"&amp;RIGHT("00"&amp;$AH709,2)))</f>
        <v/>
      </c>
      <c r="AJ709">
        <f>IF($AE709="","",IF(Sync!$Q709="","0000",IF(AND(ISNUMBER(Sync!$Q709),Sync!$Q709&gt;=0,Sync!$Q709&lt;1),RIGHT("00"&amp;HOUR(Sync!$Q709),2)&amp;RIGHT("00"&amp;MINUTE(Sync!$Q709),2),IFERROR(RIGHT("00"&amp;VALUE(LEFT(Sync!$Q709,FIND(":",Sync!$Q709)-1)),2)&amp;RIGHT("00"&amp;VALUE(MID(Sync!$Q709,FIND(":",Sync!$Q709)+1,2)),2),"0000"))))</f>
        <v/>
      </c>
      <c r="AK709">
        <f>IF(OR($AE709="",$AI709="",$AI709="نامعتبر"),"",LEFT($AI709,4)&amp;MID($AI709,6,2)&amp;RIGHT($AI709,2)&amp;$AJ709&amp;"|"&amp;"3"&amp;RIGHT("00000"&amp;704,5))</f>
        <v/>
      </c>
      <c r="AL709">
        <f>IF($AK709="","",COUNTIFS(LdAParty,$AE709,LdAType,1,LdAKey,"&lt;"&amp;$AK709)+COUNTIFS(LdBMember,$AE709,LdBKey,"&lt;"&amp;$AK709)+COUNTIFS(LdCParty,$AE709,LdCKey,"&lt;"&amp;$AK709)+1)</f>
        <v/>
      </c>
      <c r="AM709">
        <f>IF($AL709="","",$AE709&amp;"|"&amp;RIGHT("000000"&amp;$AL709,6))</f>
        <v/>
      </c>
      <c r="AN709">
        <f>IF($AE709="","",IF(Sync!$W709="",0,Sync!$W709))</f>
        <v/>
      </c>
      <c r="AO709">
        <f>IF($AE709="","",IF(Sync!$X709="",0,Sync!$X709))</f>
        <v/>
      </c>
      <c r="AP709">
        <f>IF($AE709="","",Sync!$R709)</f>
        <v/>
      </c>
      <c r="AQ709">
        <f>IF($AE709="","",Sync!$Y709)</f>
        <v/>
      </c>
    </row>
    <row r="710">
      <c r="A710">
        <f>IF(OR(Wages!$B713="",Wages!$E713=""),"",Wages!$E713)</f>
        <v/>
      </c>
      <c r="B710">
        <f>IF($A710="","",IF(Wages!$C713="دستمزد گروهی",2,1))</f>
        <v/>
      </c>
      <c r="C710">
        <f>IF($A710="","",IF(ISNUMBER(Wages!$B713),IF(AND(Wages!$B713&gt;=10000101,Wages!$B713&lt;=99991231),INT(Wages!$B713/10000),""),IFERROR(VALUE(TRIM(LEFT(Wages!$B713,FIND("/",Wages!$B713)-1))),"")))</f>
        <v/>
      </c>
      <c r="D710">
        <f>IF(OR($A710="",$C710=""),"",IF(ISNUMBER(Wages!$B713),INT(MOD(Wages!$B713,10000)/100),IFERROR(VALUE(TRIM(LEFT(MID(Wages!$B713,FIND("/",Wages!$B713)+1,20),FIND("/",MID(Wages!$B713,FIND("/",Wages!$B713)+1,20))-1))),"")))</f>
        <v/>
      </c>
      <c r="E710">
        <f>IF(OR($A710="",$C710=""),"",IF(ISNUMBER(Wages!$B713),MOD(Wages!$B713,100),IFERROR(VALUE(TRIM(MID(MID(Wages!$B713,FIND("/",Wages!$B713)+1,20),FIND("/",MID(Wages!$B713,FIND("/",Wages!$B713)+1,20))+1,20))),"")))</f>
        <v/>
      </c>
      <c r="F710">
        <f>IF($A710="","",IF(OR($C710="",$D710="",$E710="",$C710&lt;1300,$C710&gt;1500,$D710&lt;1,$D710&gt;12,$E710&lt;1,$E710&gt;31),"نامعتبر",RIGHT("0000"&amp;$C710,4)&amp;"/"&amp;RIGHT("00"&amp;$D710,2)&amp;"/"&amp;RIGHT("00"&amp;$E710,2)))</f>
        <v/>
      </c>
      <c r="G710">
        <f>IF(OR($A710="",$F710="",$F710="نامعتبر"),"",LEFT($F710,4)&amp;MID($F710,6,2)&amp;RIGHT($F710,2)&amp;"0000"&amp;"|"&amp;"1"&amp;RIGHT("00000"&amp;705,5))</f>
        <v/>
      </c>
      <c r="H710">
        <f>IF(OR($B710&lt;&gt;1,$G710=""),"",COUNTIFS(LdAParty,$A710,LdAType,1,LdAKey,"&lt;"&amp;$G710)+COUNTIFS(LdBMember,$A710,LdBKey,"&lt;"&amp;$G710)+COUNTIFS(LdCParty,$A710,LdCKey,"&lt;"&amp;$G710)+1)</f>
        <v/>
      </c>
      <c r="I710">
        <f>IF($H710="","",$A710&amp;"|"&amp;RIGHT("000000"&amp;$H710,6))</f>
        <v/>
      </c>
      <c r="J710">
        <f>IF(OR($B710&lt;&gt;2,$G710=""),"",COUNTIFS(LdAParty,$A710,LdAType,2,LdAKey,"&lt;"&amp;$G710)+1)</f>
        <v/>
      </c>
      <c r="K710">
        <f>IF($J710="","",$A710&amp;"|"&amp;RIGHT("000000"&amp;$J710,6))</f>
        <v/>
      </c>
      <c r="L710">
        <f>IF($A710="","",IF(Wages!$G713="",0,Wages!$G713))</f>
        <v/>
      </c>
      <c r="M710">
        <f>IF($A710="","",Wages!$J713)</f>
        <v/>
      </c>
      <c r="N710">
        <f>IF($A710="","",Wages!$D713)</f>
        <v/>
      </c>
      <c r="P710">
        <f>IF(OR(Shares!$B713="",Shares!$C713=""),"",Shares!$C713)</f>
        <v/>
      </c>
      <c r="Q710">
        <f>IF($P710="","",Shares!$B713)</f>
        <v/>
      </c>
      <c r="R710">
        <f>IF($P710="","",IFERROR(INDEX(WageParty,MATCH($Q710,WageIds,0)),""))</f>
        <v/>
      </c>
      <c r="S710">
        <f>IF($P710="","",IFERROR(INDEX($F$6:$F$2005,MATCH($Q710,WageIds,0)),""))</f>
        <v/>
      </c>
      <c r="T710">
        <f>IF(OR($P710="",$S710="",$S710="نامعتبر"),"",LEFT($S710,4)&amp;MID($S710,6,2)&amp;RIGHT($S710,2)&amp;"0000"&amp;"|"&amp;"2"&amp;RIGHT("00000"&amp;705,5))</f>
        <v/>
      </c>
      <c r="U710">
        <f>IF($T710="","",COUNTIFS(LdAParty,$P710,LdAType,1,LdAKey,"&lt;"&amp;$T710)+COUNTIFS(LdBMember,$P710,LdBKey,"&lt;"&amp;$T710)+COUNTIFS(LdCParty,$P710,LdCKey,"&lt;"&amp;$T710)+1)</f>
        <v/>
      </c>
      <c r="V710">
        <f>IF($U710="","",$P710&amp;"|"&amp;RIGHT("000000"&amp;$U710,6))</f>
        <v/>
      </c>
      <c r="W710">
        <f>IF($T710="","",COUNTIFS(LdBGroup,$R710,LdBKey,"&lt;"&amp;$T710)+1)</f>
        <v/>
      </c>
      <c r="X710">
        <f>IF($W710="","",$R710&amp;"|"&amp;RIGHT("000000"&amp;$W710,6))</f>
        <v/>
      </c>
      <c r="Y710">
        <f>IF($P710="","",IF(Shares!$E713="",0,Shares!$E713))</f>
        <v/>
      </c>
      <c r="Z710">
        <f>IF($P710="","",Shares!$H713)</f>
        <v/>
      </c>
      <c r="AE710">
        <f>IF(OR(Sync!$S710="",Sync!$P710=""),"",Sync!$S710)</f>
        <v/>
      </c>
      <c r="AF710">
        <f>IF($AE710="","",IF(ISNUMBER(Sync!$P710),IF(AND(Sync!$P710&gt;=10000101,Sync!$P710&lt;=99991231),INT(Sync!$P710/10000),""),IFERROR(VALUE(TRIM(LEFT(Sync!$P710,FIND("/",Sync!$P710)-1))),"")))</f>
        <v/>
      </c>
      <c r="AG710">
        <f>IF(OR($AE710="",$AF710=""),"",IF(ISNUMBER(Sync!$P710),INT(MOD(Sync!$P710,10000)/100),IFERROR(VALUE(TRIM(LEFT(MID(Sync!$P710,FIND("/",Sync!$P710)+1,20),FIND("/",MID(Sync!$P710,FIND("/",Sync!$P710)+1,20))-1))),"")))</f>
        <v/>
      </c>
      <c r="AH710">
        <f>IF(OR($AE710="",$AF710=""),"",IF(ISNUMBER(Sync!$P710),MOD(Sync!$P710,100),IFERROR(VALUE(TRIM(MID(MID(Sync!$P710,FIND("/",Sync!$P710)+1,20),FIND("/",MID(Sync!$P710,FIND("/",Sync!$P710)+1,20))+1,20))),"")))</f>
        <v/>
      </c>
      <c r="AI710">
        <f>IF($AE710="","",IF(OR($AF710="",$AG710="",$AH710="",$AF710&lt;1300,$AF710&gt;1500,$AG710&lt;1,$AG710&gt;12,$AH710&lt;1,$AH710&gt;31),"نامعتبر",RIGHT("0000"&amp;$AF710,4)&amp;"/"&amp;RIGHT("00"&amp;$AG710,2)&amp;"/"&amp;RIGHT("00"&amp;$AH710,2)))</f>
        <v/>
      </c>
      <c r="AJ710">
        <f>IF($AE710="","",IF(Sync!$Q710="","0000",IF(AND(ISNUMBER(Sync!$Q710),Sync!$Q710&gt;=0,Sync!$Q710&lt;1),RIGHT("00"&amp;HOUR(Sync!$Q710),2)&amp;RIGHT("00"&amp;MINUTE(Sync!$Q710),2),IFERROR(RIGHT("00"&amp;VALUE(LEFT(Sync!$Q710,FIND(":",Sync!$Q710)-1)),2)&amp;RIGHT("00"&amp;VALUE(MID(Sync!$Q710,FIND(":",Sync!$Q710)+1,2)),2),"0000"))))</f>
        <v/>
      </c>
      <c r="AK710">
        <f>IF(OR($AE710="",$AI710="",$AI710="نامعتبر"),"",LEFT($AI710,4)&amp;MID($AI710,6,2)&amp;RIGHT($AI710,2)&amp;$AJ710&amp;"|"&amp;"3"&amp;RIGHT("00000"&amp;705,5))</f>
        <v/>
      </c>
      <c r="AL710">
        <f>IF($AK710="","",COUNTIFS(LdAParty,$AE710,LdAType,1,LdAKey,"&lt;"&amp;$AK710)+COUNTIFS(LdBMember,$AE710,LdBKey,"&lt;"&amp;$AK710)+COUNTIFS(LdCParty,$AE710,LdCKey,"&lt;"&amp;$AK710)+1)</f>
        <v/>
      </c>
      <c r="AM710">
        <f>IF($AL710="","",$AE710&amp;"|"&amp;RIGHT("000000"&amp;$AL710,6))</f>
        <v/>
      </c>
      <c r="AN710">
        <f>IF($AE710="","",IF(Sync!$W710="",0,Sync!$W710))</f>
        <v/>
      </c>
      <c r="AO710">
        <f>IF($AE710="","",IF(Sync!$X710="",0,Sync!$X710))</f>
        <v/>
      </c>
      <c r="AP710">
        <f>IF($AE710="","",Sync!$R710)</f>
        <v/>
      </c>
      <c r="AQ710">
        <f>IF($AE710="","",Sync!$Y710)</f>
        <v/>
      </c>
    </row>
    <row r="711">
      <c r="A711">
        <f>IF(OR(Wages!$B714="",Wages!$E714=""),"",Wages!$E714)</f>
        <v/>
      </c>
      <c r="B711">
        <f>IF($A711="","",IF(Wages!$C714="دستمزد گروهی",2,1))</f>
        <v/>
      </c>
      <c r="C711">
        <f>IF($A711="","",IF(ISNUMBER(Wages!$B714),IF(AND(Wages!$B714&gt;=10000101,Wages!$B714&lt;=99991231),INT(Wages!$B714/10000),""),IFERROR(VALUE(TRIM(LEFT(Wages!$B714,FIND("/",Wages!$B714)-1))),"")))</f>
        <v/>
      </c>
      <c r="D711">
        <f>IF(OR($A711="",$C711=""),"",IF(ISNUMBER(Wages!$B714),INT(MOD(Wages!$B714,10000)/100),IFERROR(VALUE(TRIM(LEFT(MID(Wages!$B714,FIND("/",Wages!$B714)+1,20),FIND("/",MID(Wages!$B714,FIND("/",Wages!$B714)+1,20))-1))),"")))</f>
        <v/>
      </c>
      <c r="E711">
        <f>IF(OR($A711="",$C711=""),"",IF(ISNUMBER(Wages!$B714),MOD(Wages!$B714,100),IFERROR(VALUE(TRIM(MID(MID(Wages!$B714,FIND("/",Wages!$B714)+1,20),FIND("/",MID(Wages!$B714,FIND("/",Wages!$B714)+1,20))+1,20))),"")))</f>
        <v/>
      </c>
      <c r="F711">
        <f>IF($A711="","",IF(OR($C711="",$D711="",$E711="",$C711&lt;1300,$C711&gt;1500,$D711&lt;1,$D711&gt;12,$E711&lt;1,$E711&gt;31),"نامعتبر",RIGHT("0000"&amp;$C711,4)&amp;"/"&amp;RIGHT("00"&amp;$D711,2)&amp;"/"&amp;RIGHT("00"&amp;$E711,2)))</f>
        <v/>
      </c>
      <c r="G711">
        <f>IF(OR($A711="",$F711="",$F711="نامعتبر"),"",LEFT($F711,4)&amp;MID($F711,6,2)&amp;RIGHT($F711,2)&amp;"0000"&amp;"|"&amp;"1"&amp;RIGHT("00000"&amp;706,5))</f>
        <v/>
      </c>
      <c r="H711">
        <f>IF(OR($B711&lt;&gt;1,$G711=""),"",COUNTIFS(LdAParty,$A711,LdAType,1,LdAKey,"&lt;"&amp;$G711)+COUNTIFS(LdBMember,$A711,LdBKey,"&lt;"&amp;$G711)+COUNTIFS(LdCParty,$A711,LdCKey,"&lt;"&amp;$G711)+1)</f>
        <v/>
      </c>
      <c r="I711">
        <f>IF($H711="","",$A711&amp;"|"&amp;RIGHT("000000"&amp;$H711,6))</f>
        <v/>
      </c>
      <c r="J711">
        <f>IF(OR($B711&lt;&gt;2,$G711=""),"",COUNTIFS(LdAParty,$A711,LdAType,2,LdAKey,"&lt;"&amp;$G711)+1)</f>
        <v/>
      </c>
      <c r="K711">
        <f>IF($J711="","",$A711&amp;"|"&amp;RIGHT("000000"&amp;$J711,6))</f>
        <v/>
      </c>
      <c r="L711">
        <f>IF($A711="","",IF(Wages!$G714="",0,Wages!$G714))</f>
        <v/>
      </c>
      <c r="M711">
        <f>IF($A711="","",Wages!$J714)</f>
        <v/>
      </c>
      <c r="N711">
        <f>IF($A711="","",Wages!$D714)</f>
        <v/>
      </c>
      <c r="P711">
        <f>IF(OR(Shares!$B714="",Shares!$C714=""),"",Shares!$C714)</f>
        <v/>
      </c>
      <c r="Q711">
        <f>IF($P711="","",Shares!$B714)</f>
        <v/>
      </c>
      <c r="R711">
        <f>IF($P711="","",IFERROR(INDEX(WageParty,MATCH($Q711,WageIds,0)),""))</f>
        <v/>
      </c>
      <c r="S711">
        <f>IF($P711="","",IFERROR(INDEX($F$6:$F$2005,MATCH($Q711,WageIds,0)),""))</f>
        <v/>
      </c>
      <c r="T711">
        <f>IF(OR($P711="",$S711="",$S711="نامعتبر"),"",LEFT($S711,4)&amp;MID($S711,6,2)&amp;RIGHT($S711,2)&amp;"0000"&amp;"|"&amp;"2"&amp;RIGHT("00000"&amp;706,5))</f>
        <v/>
      </c>
      <c r="U711">
        <f>IF($T711="","",COUNTIFS(LdAParty,$P711,LdAType,1,LdAKey,"&lt;"&amp;$T711)+COUNTIFS(LdBMember,$P711,LdBKey,"&lt;"&amp;$T711)+COUNTIFS(LdCParty,$P711,LdCKey,"&lt;"&amp;$T711)+1)</f>
        <v/>
      </c>
      <c r="V711">
        <f>IF($U711="","",$P711&amp;"|"&amp;RIGHT("000000"&amp;$U711,6))</f>
        <v/>
      </c>
      <c r="W711">
        <f>IF($T711="","",COUNTIFS(LdBGroup,$R711,LdBKey,"&lt;"&amp;$T711)+1)</f>
        <v/>
      </c>
      <c r="X711">
        <f>IF($W711="","",$R711&amp;"|"&amp;RIGHT("000000"&amp;$W711,6))</f>
        <v/>
      </c>
      <c r="Y711">
        <f>IF($P711="","",IF(Shares!$E714="",0,Shares!$E714))</f>
        <v/>
      </c>
      <c r="Z711">
        <f>IF($P711="","",Shares!$H714)</f>
        <v/>
      </c>
      <c r="AE711">
        <f>IF(OR(Sync!$S711="",Sync!$P711=""),"",Sync!$S711)</f>
        <v/>
      </c>
      <c r="AF711">
        <f>IF($AE711="","",IF(ISNUMBER(Sync!$P711),IF(AND(Sync!$P711&gt;=10000101,Sync!$P711&lt;=99991231),INT(Sync!$P711/10000),""),IFERROR(VALUE(TRIM(LEFT(Sync!$P711,FIND("/",Sync!$P711)-1))),"")))</f>
        <v/>
      </c>
      <c r="AG711">
        <f>IF(OR($AE711="",$AF711=""),"",IF(ISNUMBER(Sync!$P711),INT(MOD(Sync!$P711,10000)/100),IFERROR(VALUE(TRIM(LEFT(MID(Sync!$P711,FIND("/",Sync!$P711)+1,20),FIND("/",MID(Sync!$P711,FIND("/",Sync!$P711)+1,20))-1))),"")))</f>
        <v/>
      </c>
      <c r="AH711">
        <f>IF(OR($AE711="",$AF711=""),"",IF(ISNUMBER(Sync!$P711),MOD(Sync!$P711,100),IFERROR(VALUE(TRIM(MID(MID(Sync!$P711,FIND("/",Sync!$P711)+1,20),FIND("/",MID(Sync!$P711,FIND("/",Sync!$P711)+1,20))+1,20))),"")))</f>
        <v/>
      </c>
      <c r="AI711">
        <f>IF($AE711="","",IF(OR($AF711="",$AG711="",$AH711="",$AF711&lt;1300,$AF711&gt;1500,$AG711&lt;1,$AG711&gt;12,$AH711&lt;1,$AH711&gt;31),"نامعتبر",RIGHT("0000"&amp;$AF711,4)&amp;"/"&amp;RIGHT("00"&amp;$AG711,2)&amp;"/"&amp;RIGHT("00"&amp;$AH711,2)))</f>
        <v/>
      </c>
      <c r="AJ711">
        <f>IF($AE711="","",IF(Sync!$Q711="","0000",IF(AND(ISNUMBER(Sync!$Q711),Sync!$Q711&gt;=0,Sync!$Q711&lt;1),RIGHT("00"&amp;HOUR(Sync!$Q711),2)&amp;RIGHT("00"&amp;MINUTE(Sync!$Q711),2),IFERROR(RIGHT("00"&amp;VALUE(LEFT(Sync!$Q711,FIND(":",Sync!$Q711)-1)),2)&amp;RIGHT("00"&amp;VALUE(MID(Sync!$Q711,FIND(":",Sync!$Q711)+1,2)),2),"0000"))))</f>
        <v/>
      </c>
      <c r="AK711">
        <f>IF(OR($AE711="",$AI711="",$AI711="نامعتبر"),"",LEFT($AI711,4)&amp;MID($AI711,6,2)&amp;RIGHT($AI711,2)&amp;$AJ711&amp;"|"&amp;"3"&amp;RIGHT("00000"&amp;706,5))</f>
        <v/>
      </c>
      <c r="AL711">
        <f>IF($AK711="","",COUNTIFS(LdAParty,$AE711,LdAType,1,LdAKey,"&lt;"&amp;$AK711)+COUNTIFS(LdBMember,$AE711,LdBKey,"&lt;"&amp;$AK711)+COUNTIFS(LdCParty,$AE711,LdCKey,"&lt;"&amp;$AK711)+1)</f>
        <v/>
      </c>
      <c r="AM711">
        <f>IF($AL711="","",$AE711&amp;"|"&amp;RIGHT("000000"&amp;$AL711,6))</f>
        <v/>
      </c>
      <c r="AN711">
        <f>IF($AE711="","",IF(Sync!$W711="",0,Sync!$W711))</f>
        <v/>
      </c>
      <c r="AO711">
        <f>IF($AE711="","",IF(Sync!$X711="",0,Sync!$X711))</f>
        <v/>
      </c>
      <c r="AP711">
        <f>IF($AE711="","",Sync!$R711)</f>
        <v/>
      </c>
      <c r="AQ711">
        <f>IF($AE711="","",Sync!$Y711)</f>
        <v/>
      </c>
    </row>
    <row r="712">
      <c r="A712">
        <f>IF(OR(Wages!$B715="",Wages!$E715=""),"",Wages!$E715)</f>
        <v/>
      </c>
      <c r="B712">
        <f>IF($A712="","",IF(Wages!$C715="دستمزد گروهی",2,1))</f>
        <v/>
      </c>
      <c r="C712">
        <f>IF($A712="","",IF(ISNUMBER(Wages!$B715),IF(AND(Wages!$B715&gt;=10000101,Wages!$B715&lt;=99991231),INT(Wages!$B715/10000),""),IFERROR(VALUE(TRIM(LEFT(Wages!$B715,FIND("/",Wages!$B715)-1))),"")))</f>
        <v/>
      </c>
      <c r="D712">
        <f>IF(OR($A712="",$C712=""),"",IF(ISNUMBER(Wages!$B715),INT(MOD(Wages!$B715,10000)/100),IFERROR(VALUE(TRIM(LEFT(MID(Wages!$B715,FIND("/",Wages!$B715)+1,20),FIND("/",MID(Wages!$B715,FIND("/",Wages!$B715)+1,20))-1))),"")))</f>
        <v/>
      </c>
      <c r="E712">
        <f>IF(OR($A712="",$C712=""),"",IF(ISNUMBER(Wages!$B715),MOD(Wages!$B715,100),IFERROR(VALUE(TRIM(MID(MID(Wages!$B715,FIND("/",Wages!$B715)+1,20),FIND("/",MID(Wages!$B715,FIND("/",Wages!$B715)+1,20))+1,20))),"")))</f>
        <v/>
      </c>
      <c r="F712">
        <f>IF($A712="","",IF(OR($C712="",$D712="",$E712="",$C712&lt;1300,$C712&gt;1500,$D712&lt;1,$D712&gt;12,$E712&lt;1,$E712&gt;31),"نامعتبر",RIGHT("0000"&amp;$C712,4)&amp;"/"&amp;RIGHT("00"&amp;$D712,2)&amp;"/"&amp;RIGHT("00"&amp;$E712,2)))</f>
        <v/>
      </c>
      <c r="G712">
        <f>IF(OR($A712="",$F712="",$F712="نامعتبر"),"",LEFT($F712,4)&amp;MID($F712,6,2)&amp;RIGHT($F712,2)&amp;"0000"&amp;"|"&amp;"1"&amp;RIGHT("00000"&amp;707,5))</f>
        <v/>
      </c>
      <c r="H712">
        <f>IF(OR($B712&lt;&gt;1,$G712=""),"",COUNTIFS(LdAParty,$A712,LdAType,1,LdAKey,"&lt;"&amp;$G712)+COUNTIFS(LdBMember,$A712,LdBKey,"&lt;"&amp;$G712)+COUNTIFS(LdCParty,$A712,LdCKey,"&lt;"&amp;$G712)+1)</f>
        <v/>
      </c>
      <c r="I712">
        <f>IF($H712="","",$A712&amp;"|"&amp;RIGHT("000000"&amp;$H712,6))</f>
        <v/>
      </c>
      <c r="J712">
        <f>IF(OR($B712&lt;&gt;2,$G712=""),"",COUNTIFS(LdAParty,$A712,LdAType,2,LdAKey,"&lt;"&amp;$G712)+1)</f>
        <v/>
      </c>
      <c r="K712">
        <f>IF($J712="","",$A712&amp;"|"&amp;RIGHT("000000"&amp;$J712,6))</f>
        <v/>
      </c>
      <c r="L712">
        <f>IF($A712="","",IF(Wages!$G715="",0,Wages!$G715))</f>
        <v/>
      </c>
      <c r="M712">
        <f>IF($A712="","",Wages!$J715)</f>
        <v/>
      </c>
      <c r="N712">
        <f>IF($A712="","",Wages!$D715)</f>
        <v/>
      </c>
      <c r="P712">
        <f>IF(OR(Shares!$B715="",Shares!$C715=""),"",Shares!$C715)</f>
        <v/>
      </c>
      <c r="Q712">
        <f>IF($P712="","",Shares!$B715)</f>
        <v/>
      </c>
      <c r="R712">
        <f>IF($P712="","",IFERROR(INDEX(WageParty,MATCH($Q712,WageIds,0)),""))</f>
        <v/>
      </c>
      <c r="S712">
        <f>IF($P712="","",IFERROR(INDEX($F$6:$F$2005,MATCH($Q712,WageIds,0)),""))</f>
        <v/>
      </c>
      <c r="T712">
        <f>IF(OR($P712="",$S712="",$S712="نامعتبر"),"",LEFT($S712,4)&amp;MID($S712,6,2)&amp;RIGHT($S712,2)&amp;"0000"&amp;"|"&amp;"2"&amp;RIGHT("00000"&amp;707,5))</f>
        <v/>
      </c>
      <c r="U712">
        <f>IF($T712="","",COUNTIFS(LdAParty,$P712,LdAType,1,LdAKey,"&lt;"&amp;$T712)+COUNTIFS(LdBMember,$P712,LdBKey,"&lt;"&amp;$T712)+COUNTIFS(LdCParty,$P712,LdCKey,"&lt;"&amp;$T712)+1)</f>
        <v/>
      </c>
      <c r="V712">
        <f>IF($U712="","",$P712&amp;"|"&amp;RIGHT("000000"&amp;$U712,6))</f>
        <v/>
      </c>
      <c r="W712">
        <f>IF($T712="","",COUNTIFS(LdBGroup,$R712,LdBKey,"&lt;"&amp;$T712)+1)</f>
        <v/>
      </c>
      <c r="X712">
        <f>IF($W712="","",$R712&amp;"|"&amp;RIGHT("000000"&amp;$W712,6))</f>
        <v/>
      </c>
      <c r="Y712">
        <f>IF($P712="","",IF(Shares!$E715="",0,Shares!$E715))</f>
        <v/>
      </c>
      <c r="Z712">
        <f>IF($P712="","",Shares!$H715)</f>
        <v/>
      </c>
      <c r="AE712">
        <f>IF(OR(Sync!$S712="",Sync!$P712=""),"",Sync!$S712)</f>
        <v/>
      </c>
      <c r="AF712">
        <f>IF($AE712="","",IF(ISNUMBER(Sync!$P712),IF(AND(Sync!$P712&gt;=10000101,Sync!$P712&lt;=99991231),INT(Sync!$P712/10000),""),IFERROR(VALUE(TRIM(LEFT(Sync!$P712,FIND("/",Sync!$P712)-1))),"")))</f>
        <v/>
      </c>
      <c r="AG712">
        <f>IF(OR($AE712="",$AF712=""),"",IF(ISNUMBER(Sync!$P712),INT(MOD(Sync!$P712,10000)/100),IFERROR(VALUE(TRIM(LEFT(MID(Sync!$P712,FIND("/",Sync!$P712)+1,20),FIND("/",MID(Sync!$P712,FIND("/",Sync!$P712)+1,20))-1))),"")))</f>
        <v/>
      </c>
      <c r="AH712">
        <f>IF(OR($AE712="",$AF712=""),"",IF(ISNUMBER(Sync!$P712),MOD(Sync!$P712,100),IFERROR(VALUE(TRIM(MID(MID(Sync!$P712,FIND("/",Sync!$P712)+1,20),FIND("/",MID(Sync!$P712,FIND("/",Sync!$P712)+1,20))+1,20))),"")))</f>
        <v/>
      </c>
      <c r="AI712">
        <f>IF($AE712="","",IF(OR($AF712="",$AG712="",$AH712="",$AF712&lt;1300,$AF712&gt;1500,$AG712&lt;1,$AG712&gt;12,$AH712&lt;1,$AH712&gt;31),"نامعتبر",RIGHT("0000"&amp;$AF712,4)&amp;"/"&amp;RIGHT("00"&amp;$AG712,2)&amp;"/"&amp;RIGHT("00"&amp;$AH712,2)))</f>
        <v/>
      </c>
      <c r="AJ712">
        <f>IF($AE712="","",IF(Sync!$Q712="","0000",IF(AND(ISNUMBER(Sync!$Q712),Sync!$Q712&gt;=0,Sync!$Q712&lt;1),RIGHT("00"&amp;HOUR(Sync!$Q712),2)&amp;RIGHT("00"&amp;MINUTE(Sync!$Q712),2),IFERROR(RIGHT("00"&amp;VALUE(LEFT(Sync!$Q712,FIND(":",Sync!$Q712)-1)),2)&amp;RIGHT("00"&amp;VALUE(MID(Sync!$Q712,FIND(":",Sync!$Q712)+1,2)),2),"0000"))))</f>
        <v/>
      </c>
      <c r="AK712">
        <f>IF(OR($AE712="",$AI712="",$AI712="نامعتبر"),"",LEFT($AI712,4)&amp;MID($AI712,6,2)&amp;RIGHT($AI712,2)&amp;$AJ712&amp;"|"&amp;"3"&amp;RIGHT("00000"&amp;707,5))</f>
        <v/>
      </c>
      <c r="AL712">
        <f>IF($AK712="","",COUNTIFS(LdAParty,$AE712,LdAType,1,LdAKey,"&lt;"&amp;$AK712)+COUNTIFS(LdBMember,$AE712,LdBKey,"&lt;"&amp;$AK712)+COUNTIFS(LdCParty,$AE712,LdCKey,"&lt;"&amp;$AK712)+1)</f>
        <v/>
      </c>
      <c r="AM712">
        <f>IF($AL712="","",$AE712&amp;"|"&amp;RIGHT("000000"&amp;$AL712,6))</f>
        <v/>
      </c>
      <c r="AN712">
        <f>IF($AE712="","",IF(Sync!$W712="",0,Sync!$W712))</f>
        <v/>
      </c>
      <c r="AO712">
        <f>IF($AE712="","",IF(Sync!$X712="",0,Sync!$X712))</f>
        <v/>
      </c>
      <c r="AP712">
        <f>IF($AE712="","",Sync!$R712)</f>
        <v/>
      </c>
      <c r="AQ712">
        <f>IF($AE712="","",Sync!$Y712)</f>
        <v/>
      </c>
    </row>
    <row r="713">
      <c r="A713">
        <f>IF(OR(Wages!$B716="",Wages!$E716=""),"",Wages!$E716)</f>
        <v/>
      </c>
      <c r="B713">
        <f>IF($A713="","",IF(Wages!$C716="دستمزد گروهی",2,1))</f>
        <v/>
      </c>
      <c r="C713">
        <f>IF($A713="","",IF(ISNUMBER(Wages!$B716),IF(AND(Wages!$B716&gt;=10000101,Wages!$B716&lt;=99991231),INT(Wages!$B716/10000),""),IFERROR(VALUE(TRIM(LEFT(Wages!$B716,FIND("/",Wages!$B716)-1))),"")))</f>
        <v/>
      </c>
      <c r="D713">
        <f>IF(OR($A713="",$C713=""),"",IF(ISNUMBER(Wages!$B716),INT(MOD(Wages!$B716,10000)/100),IFERROR(VALUE(TRIM(LEFT(MID(Wages!$B716,FIND("/",Wages!$B716)+1,20),FIND("/",MID(Wages!$B716,FIND("/",Wages!$B716)+1,20))-1))),"")))</f>
        <v/>
      </c>
      <c r="E713">
        <f>IF(OR($A713="",$C713=""),"",IF(ISNUMBER(Wages!$B716),MOD(Wages!$B716,100),IFERROR(VALUE(TRIM(MID(MID(Wages!$B716,FIND("/",Wages!$B716)+1,20),FIND("/",MID(Wages!$B716,FIND("/",Wages!$B716)+1,20))+1,20))),"")))</f>
        <v/>
      </c>
      <c r="F713">
        <f>IF($A713="","",IF(OR($C713="",$D713="",$E713="",$C713&lt;1300,$C713&gt;1500,$D713&lt;1,$D713&gt;12,$E713&lt;1,$E713&gt;31),"نامعتبر",RIGHT("0000"&amp;$C713,4)&amp;"/"&amp;RIGHT("00"&amp;$D713,2)&amp;"/"&amp;RIGHT("00"&amp;$E713,2)))</f>
        <v/>
      </c>
      <c r="G713">
        <f>IF(OR($A713="",$F713="",$F713="نامعتبر"),"",LEFT($F713,4)&amp;MID($F713,6,2)&amp;RIGHT($F713,2)&amp;"0000"&amp;"|"&amp;"1"&amp;RIGHT("00000"&amp;708,5))</f>
        <v/>
      </c>
      <c r="H713">
        <f>IF(OR($B713&lt;&gt;1,$G713=""),"",COUNTIFS(LdAParty,$A713,LdAType,1,LdAKey,"&lt;"&amp;$G713)+COUNTIFS(LdBMember,$A713,LdBKey,"&lt;"&amp;$G713)+COUNTIFS(LdCParty,$A713,LdCKey,"&lt;"&amp;$G713)+1)</f>
        <v/>
      </c>
      <c r="I713">
        <f>IF($H713="","",$A713&amp;"|"&amp;RIGHT("000000"&amp;$H713,6))</f>
        <v/>
      </c>
      <c r="J713">
        <f>IF(OR($B713&lt;&gt;2,$G713=""),"",COUNTIFS(LdAParty,$A713,LdAType,2,LdAKey,"&lt;"&amp;$G713)+1)</f>
        <v/>
      </c>
      <c r="K713">
        <f>IF($J713="","",$A713&amp;"|"&amp;RIGHT("000000"&amp;$J713,6))</f>
        <v/>
      </c>
      <c r="L713">
        <f>IF($A713="","",IF(Wages!$G716="",0,Wages!$G716))</f>
        <v/>
      </c>
      <c r="M713">
        <f>IF($A713="","",Wages!$J716)</f>
        <v/>
      </c>
      <c r="N713">
        <f>IF($A713="","",Wages!$D716)</f>
        <v/>
      </c>
      <c r="P713">
        <f>IF(OR(Shares!$B716="",Shares!$C716=""),"",Shares!$C716)</f>
        <v/>
      </c>
      <c r="Q713">
        <f>IF($P713="","",Shares!$B716)</f>
        <v/>
      </c>
      <c r="R713">
        <f>IF($P713="","",IFERROR(INDEX(WageParty,MATCH($Q713,WageIds,0)),""))</f>
        <v/>
      </c>
      <c r="S713">
        <f>IF($P713="","",IFERROR(INDEX($F$6:$F$2005,MATCH($Q713,WageIds,0)),""))</f>
        <v/>
      </c>
      <c r="T713">
        <f>IF(OR($P713="",$S713="",$S713="نامعتبر"),"",LEFT($S713,4)&amp;MID($S713,6,2)&amp;RIGHT($S713,2)&amp;"0000"&amp;"|"&amp;"2"&amp;RIGHT("00000"&amp;708,5))</f>
        <v/>
      </c>
      <c r="U713">
        <f>IF($T713="","",COUNTIFS(LdAParty,$P713,LdAType,1,LdAKey,"&lt;"&amp;$T713)+COUNTIFS(LdBMember,$P713,LdBKey,"&lt;"&amp;$T713)+COUNTIFS(LdCParty,$P713,LdCKey,"&lt;"&amp;$T713)+1)</f>
        <v/>
      </c>
      <c r="V713">
        <f>IF($U713="","",$P713&amp;"|"&amp;RIGHT("000000"&amp;$U713,6))</f>
        <v/>
      </c>
      <c r="W713">
        <f>IF($T713="","",COUNTIFS(LdBGroup,$R713,LdBKey,"&lt;"&amp;$T713)+1)</f>
        <v/>
      </c>
      <c r="X713">
        <f>IF($W713="","",$R713&amp;"|"&amp;RIGHT("000000"&amp;$W713,6))</f>
        <v/>
      </c>
      <c r="Y713">
        <f>IF($P713="","",IF(Shares!$E716="",0,Shares!$E716))</f>
        <v/>
      </c>
      <c r="Z713">
        <f>IF($P713="","",Shares!$H716)</f>
        <v/>
      </c>
      <c r="AE713">
        <f>IF(OR(Sync!$S713="",Sync!$P713=""),"",Sync!$S713)</f>
        <v/>
      </c>
      <c r="AF713">
        <f>IF($AE713="","",IF(ISNUMBER(Sync!$P713),IF(AND(Sync!$P713&gt;=10000101,Sync!$P713&lt;=99991231),INT(Sync!$P713/10000),""),IFERROR(VALUE(TRIM(LEFT(Sync!$P713,FIND("/",Sync!$P713)-1))),"")))</f>
        <v/>
      </c>
      <c r="AG713">
        <f>IF(OR($AE713="",$AF713=""),"",IF(ISNUMBER(Sync!$P713),INT(MOD(Sync!$P713,10000)/100),IFERROR(VALUE(TRIM(LEFT(MID(Sync!$P713,FIND("/",Sync!$P713)+1,20),FIND("/",MID(Sync!$P713,FIND("/",Sync!$P713)+1,20))-1))),"")))</f>
        <v/>
      </c>
      <c r="AH713">
        <f>IF(OR($AE713="",$AF713=""),"",IF(ISNUMBER(Sync!$P713),MOD(Sync!$P713,100),IFERROR(VALUE(TRIM(MID(MID(Sync!$P713,FIND("/",Sync!$P713)+1,20),FIND("/",MID(Sync!$P713,FIND("/",Sync!$P713)+1,20))+1,20))),"")))</f>
        <v/>
      </c>
      <c r="AI713">
        <f>IF($AE713="","",IF(OR($AF713="",$AG713="",$AH713="",$AF713&lt;1300,$AF713&gt;1500,$AG713&lt;1,$AG713&gt;12,$AH713&lt;1,$AH713&gt;31),"نامعتبر",RIGHT("0000"&amp;$AF713,4)&amp;"/"&amp;RIGHT("00"&amp;$AG713,2)&amp;"/"&amp;RIGHT("00"&amp;$AH713,2)))</f>
        <v/>
      </c>
      <c r="AJ713">
        <f>IF($AE713="","",IF(Sync!$Q713="","0000",IF(AND(ISNUMBER(Sync!$Q713),Sync!$Q713&gt;=0,Sync!$Q713&lt;1),RIGHT("00"&amp;HOUR(Sync!$Q713),2)&amp;RIGHT("00"&amp;MINUTE(Sync!$Q713),2),IFERROR(RIGHT("00"&amp;VALUE(LEFT(Sync!$Q713,FIND(":",Sync!$Q713)-1)),2)&amp;RIGHT("00"&amp;VALUE(MID(Sync!$Q713,FIND(":",Sync!$Q713)+1,2)),2),"0000"))))</f>
        <v/>
      </c>
      <c r="AK713">
        <f>IF(OR($AE713="",$AI713="",$AI713="نامعتبر"),"",LEFT($AI713,4)&amp;MID($AI713,6,2)&amp;RIGHT($AI713,2)&amp;$AJ713&amp;"|"&amp;"3"&amp;RIGHT("00000"&amp;708,5))</f>
        <v/>
      </c>
      <c r="AL713">
        <f>IF($AK713="","",COUNTIFS(LdAParty,$AE713,LdAType,1,LdAKey,"&lt;"&amp;$AK713)+COUNTIFS(LdBMember,$AE713,LdBKey,"&lt;"&amp;$AK713)+COUNTIFS(LdCParty,$AE713,LdCKey,"&lt;"&amp;$AK713)+1)</f>
        <v/>
      </c>
      <c r="AM713">
        <f>IF($AL713="","",$AE713&amp;"|"&amp;RIGHT("000000"&amp;$AL713,6))</f>
        <v/>
      </c>
      <c r="AN713">
        <f>IF($AE713="","",IF(Sync!$W713="",0,Sync!$W713))</f>
        <v/>
      </c>
      <c r="AO713">
        <f>IF($AE713="","",IF(Sync!$X713="",0,Sync!$X713))</f>
        <v/>
      </c>
      <c r="AP713">
        <f>IF($AE713="","",Sync!$R713)</f>
        <v/>
      </c>
      <c r="AQ713">
        <f>IF($AE713="","",Sync!$Y713)</f>
        <v/>
      </c>
    </row>
    <row r="714">
      <c r="A714">
        <f>IF(OR(Wages!$B717="",Wages!$E717=""),"",Wages!$E717)</f>
        <v/>
      </c>
      <c r="B714">
        <f>IF($A714="","",IF(Wages!$C717="دستمزد گروهی",2,1))</f>
        <v/>
      </c>
      <c r="C714">
        <f>IF($A714="","",IF(ISNUMBER(Wages!$B717),IF(AND(Wages!$B717&gt;=10000101,Wages!$B717&lt;=99991231),INT(Wages!$B717/10000),""),IFERROR(VALUE(TRIM(LEFT(Wages!$B717,FIND("/",Wages!$B717)-1))),"")))</f>
        <v/>
      </c>
      <c r="D714">
        <f>IF(OR($A714="",$C714=""),"",IF(ISNUMBER(Wages!$B717),INT(MOD(Wages!$B717,10000)/100),IFERROR(VALUE(TRIM(LEFT(MID(Wages!$B717,FIND("/",Wages!$B717)+1,20),FIND("/",MID(Wages!$B717,FIND("/",Wages!$B717)+1,20))-1))),"")))</f>
        <v/>
      </c>
      <c r="E714">
        <f>IF(OR($A714="",$C714=""),"",IF(ISNUMBER(Wages!$B717),MOD(Wages!$B717,100),IFERROR(VALUE(TRIM(MID(MID(Wages!$B717,FIND("/",Wages!$B717)+1,20),FIND("/",MID(Wages!$B717,FIND("/",Wages!$B717)+1,20))+1,20))),"")))</f>
        <v/>
      </c>
      <c r="F714">
        <f>IF($A714="","",IF(OR($C714="",$D714="",$E714="",$C714&lt;1300,$C714&gt;1500,$D714&lt;1,$D714&gt;12,$E714&lt;1,$E714&gt;31),"نامعتبر",RIGHT("0000"&amp;$C714,4)&amp;"/"&amp;RIGHT("00"&amp;$D714,2)&amp;"/"&amp;RIGHT("00"&amp;$E714,2)))</f>
        <v/>
      </c>
      <c r="G714">
        <f>IF(OR($A714="",$F714="",$F714="نامعتبر"),"",LEFT($F714,4)&amp;MID($F714,6,2)&amp;RIGHT($F714,2)&amp;"0000"&amp;"|"&amp;"1"&amp;RIGHT("00000"&amp;709,5))</f>
        <v/>
      </c>
      <c r="H714">
        <f>IF(OR($B714&lt;&gt;1,$G714=""),"",COUNTIFS(LdAParty,$A714,LdAType,1,LdAKey,"&lt;"&amp;$G714)+COUNTIFS(LdBMember,$A714,LdBKey,"&lt;"&amp;$G714)+COUNTIFS(LdCParty,$A714,LdCKey,"&lt;"&amp;$G714)+1)</f>
        <v/>
      </c>
      <c r="I714">
        <f>IF($H714="","",$A714&amp;"|"&amp;RIGHT("000000"&amp;$H714,6))</f>
        <v/>
      </c>
      <c r="J714">
        <f>IF(OR($B714&lt;&gt;2,$G714=""),"",COUNTIFS(LdAParty,$A714,LdAType,2,LdAKey,"&lt;"&amp;$G714)+1)</f>
        <v/>
      </c>
      <c r="K714">
        <f>IF($J714="","",$A714&amp;"|"&amp;RIGHT("000000"&amp;$J714,6))</f>
        <v/>
      </c>
      <c r="L714">
        <f>IF($A714="","",IF(Wages!$G717="",0,Wages!$G717))</f>
        <v/>
      </c>
      <c r="M714">
        <f>IF($A714="","",Wages!$J717)</f>
        <v/>
      </c>
      <c r="N714">
        <f>IF($A714="","",Wages!$D717)</f>
        <v/>
      </c>
      <c r="P714">
        <f>IF(OR(Shares!$B717="",Shares!$C717=""),"",Shares!$C717)</f>
        <v/>
      </c>
      <c r="Q714">
        <f>IF($P714="","",Shares!$B717)</f>
        <v/>
      </c>
      <c r="R714">
        <f>IF($P714="","",IFERROR(INDEX(WageParty,MATCH($Q714,WageIds,0)),""))</f>
        <v/>
      </c>
      <c r="S714">
        <f>IF($P714="","",IFERROR(INDEX($F$6:$F$2005,MATCH($Q714,WageIds,0)),""))</f>
        <v/>
      </c>
      <c r="T714">
        <f>IF(OR($P714="",$S714="",$S714="نامعتبر"),"",LEFT($S714,4)&amp;MID($S714,6,2)&amp;RIGHT($S714,2)&amp;"0000"&amp;"|"&amp;"2"&amp;RIGHT("00000"&amp;709,5))</f>
        <v/>
      </c>
      <c r="U714">
        <f>IF($T714="","",COUNTIFS(LdAParty,$P714,LdAType,1,LdAKey,"&lt;"&amp;$T714)+COUNTIFS(LdBMember,$P714,LdBKey,"&lt;"&amp;$T714)+COUNTIFS(LdCParty,$P714,LdCKey,"&lt;"&amp;$T714)+1)</f>
        <v/>
      </c>
      <c r="V714">
        <f>IF($U714="","",$P714&amp;"|"&amp;RIGHT("000000"&amp;$U714,6))</f>
        <v/>
      </c>
      <c r="W714">
        <f>IF($T714="","",COUNTIFS(LdBGroup,$R714,LdBKey,"&lt;"&amp;$T714)+1)</f>
        <v/>
      </c>
      <c r="X714">
        <f>IF($W714="","",$R714&amp;"|"&amp;RIGHT("000000"&amp;$W714,6))</f>
        <v/>
      </c>
      <c r="Y714">
        <f>IF($P714="","",IF(Shares!$E717="",0,Shares!$E717))</f>
        <v/>
      </c>
      <c r="Z714">
        <f>IF($P714="","",Shares!$H717)</f>
        <v/>
      </c>
      <c r="AE714">
        <f>IF(OR(Sync!$S714="",Sync!$P714=""),"",Sync!$S714)</f>
        <v/>
      </c>
      <c r="AF714">
        <f>IF($AE714="","",IF(ISNUMBER(Sync!$P714),IF(AND(Sync!$P714&gt;=10000101,Sync!$P714&lt;=99991231),INT(Sync!$P714/10000),""),IFERROR(VALUE(TRIM(LEFT(Sync!$P714,FIND("/",Sync!$P714)-1))),"")))</f>
        <v/>
      </c>
      <c r="AG714">
        <f>IF(OR($AE714="",$AF714=""),"",IF(ISNUMBER(Sync!$P714),INT(MOD(Sync!$P714,10000)/100),IFERROR(VALUE(TRIM(LEFT(MID(Sync!$P714,FIND("/",Sync!$P714)+1,20),FIND("/",MID(Sync!$P714,FIND("/",Sync!$P714)+1,20))-1))),"")))</f>
        <v/>
      </c>
      <c r="AH714">
        <f>IF(OR($AE714="",$AF714=""),"",IF(ISNUMBER(Sync!$P714),MOD(Sync!$P714,100),IFERROR(VALUE(TRIM(MID(MID(Sync!$P714,FIND("/",Sync!$P714)+1,20),FIND("/",MID(Sync!$P714,FIND("/",Sync!$P714)+1,20))+1,20))),"")))</f>
        <v/>
      </c>
      <c r="AI714">
        <f>IF($AE714="","",IF(OR($AF714="",$AG714="",$AH714="",$AF714&lt;1300,$AF714&gt;1500,$AG714&lt;1,$AG714&gt;12,$AH714&lt;1,$AH714&gt;31),"نامعتبر",RIGHT("0000"&amp;$AF714,4)&amp;"/"&amp;RIGHT("00"&amp;$AG714,2)&amp;"/"&amp;RIGHT("00"&amp;$AH714,2)))</f>
        <v/>
      </c>
      <c r="AJ714">
        <f>IF($AE714="","",IF(Sync!$Q714="","0000",IF(AND(ISNUMBER(Sync!$Q714),Sync!$Q714&gt;=0,Sync!$Q714&lt;1),RIGHT("00"&amp;HOUR(Sync!$Q714),2)&amp;RIGHT("00"&amp;MINUTE(Sync!$Q714),2),IFERROR(RIGHT("00"&amp;VALUE(LEFT(Sync!$Q714,FIND(":",Sync!$Q714)-1)),2)&amp;RIGHT("00"&amp;VALUE(MID(Sync!$Q714,FIND(":",Sync!$Q714)+1,2)),2),"0000"))))</f>
        <v/>
      </c>
      <c r="AK714">
        <f>IF(OR($AE714="",$AI714="",$AI714="نامعتبر"),"",LEFT($AI714,4)&amp;MID($AI714,6,2)&amp;RIGHT($AI714,2)&amp;$AJ714&amp;"|"&amp;"3"&amp;RIGHT("00000"&amp;709,5))</f>
        <v/>
      </c>
      <c r="AL714">
        <f>IF($AK714="","",COUNTIFS(LdAParty,$AE714,LdAType,1,LdAKey,"&lt;"&amp;$AK714)+COUNTIFS(LdBMember,$AE714,LdBKey,"&lt;"&amp;$AK714)+COUNTIFS(LdCParty,$AE714,LdCKey,"&lt;"&amp;$AK714)+1)</f>
        <v/>
      </c>
      <c r="AM714">
        <f>IF($AL714="","",$AE714&amp;"|"&amp;RIGHT("000000"&amp;$AL714,6))</f>
        <v/>
      </c>
      <c r="AN714">
        <f>IF($AE714="","",IF(Sync!$W714="",0,Sync!$W714))</f>
        <v/>
      </c>
      <c r="AO714">
        <f>IF($AE714="","",IF(Sync!$X714="",0,Sync!$X714))</f>
        <v/>
      </c>
      <c r="AP714">
        <f>IF($AE714="","",Sync!$R714)</f>
        <v/>
      </c>
      <c r="AQ714">
        <f>IF($AE714="","",Sync!$Y714)</f>
        <v/>
      </c>
    </row>
    <row r="715">
      <c r="A715">
        <f>IF(OR(Wages!$B718="",Wages!$E718=""),"",Wages!$E718)</f>
        <v/>
      </c>
      <c r="B715">
        <f>IF($A715="","",IF(Wages!$C718="دستمزد گروهی",2,1))</f>
        <v/>
      </c>
      <c r="C715">
        <f>IF($A715="","",IF(ISNUMBER(Wages!$B718),IF(AND(Wages!$B718&gt;=10000101,Wages!$B718&lt;=99991231),INT(Wages!$B718/10000),""),IFERROR(VALUE(TRIM(LEFT(Wages!$B718,FIND("/",Wages!$B718)-1))),"")))</f>
        <v/>
      </c>
      <c r="D715">
        <f>IF(OR($A715="",$C715=""),"",IF(ISNUMBER(Wages!$B718),INT(MOD(Wages!$B718,10000)/100),IFERROR(VALUE(TRIM(LEFT(MID(Wages!$B718,FIND("/",Wages!$B718)+1,20),FIND("/",MID(Wages!$B718,FIND("/",Wages!$B718)+1,20))-1))),"")))</f>
        <v/>
      </c>
      <c r="E715">
        <f>IF(OR($A715="",$C715=""),"",IF(ISNUMBER(Wages!$B718),MOD(Wages!$B718,100),IFERROR(VALUE(TRIM(MID(MID(Wages!$B718,FIND("/",Wages!$B718)+1,20),FIND("/",MID(Wages!$B718,FIND("/",Wages!$B718)+1,20))+1,20))),"")))</f>
        <v/>
      </c>
      <c r="F715">
        <f>IF($A715="","",IF(OR($C715="",$D715="",$E715="",$C715&lt;1300,$C715&gt;1500,$D715&lt;1,$D715&gt;12,$E715&lt;1,$E715&gt;31),"نامعتبر",RIGHT("0000"&amp;$C715,4)&amp;"/"&amp;RIGHT("00"&amp;$D715,2)&amp;"/"&amp;RIGHT("00"&amp;$E715,2)))</f>
        <v/>
      </c>
      <c r="G715">
        <f>IF(OR($A715="",$F715="",$F715="نامعتبر"),"",LEFT($F715,4)&amp;MID($F715,6,2)&amp;RIGHT($F715,2)&amp;"0000"&amp;"|"&amp;"1"&amp;RIGHT("00000"&amp;710,5))</f>
        <v/>
      </c>
      <c r="H715">
        <f>IF(OR($B715&lt;&gt;1,$G715=""),"",COUNTIFS(LdAParty,$A715,LdAType,1,LdAKey,"&lt;"&amp;$G715)+COUNTIFS(LdBMember,$A715,LdBKey,"&lt;"&amp;$G715)+COUNTIFS(LdCParty,$A715,LdCKey,"&lt;"&amp;$G715)+1)</f>
        <v/>
      </c>
      <c r="I715">
        <f>IF($H715="","",$A715&amp;"|"&amp;RIGHT("000000"&amp;$H715,6))</f>
        <v/>
      </c>
      <c r="J715">
        <f>IF(OR($B715&lt;&gt;2,$G715=""),"",COUNTIFS(LdAParty,$A715,LdAType,2,LdAKey,"&lt;"&amp;$G715)+1)</f>
        <v/>
      </c>
      <c r="K715">
        <f>IF($J715="","",$A715&amp;"|"&amp;RIGHT("000000"&amp;$J715,6))</f>
        <v/>
      </c>
      <c r="L715">
        <f>IF($A715="","",IF(Wages!$G718="",0,Wages!$G718))</f>
        <v/>
      </c>
      <c r="M715">
        <f>IF($A715="","",Wages!$J718)</f>
        <v/>
      </c>
      <c r="N715">
        <f>IF($A715="","",Wages!$D718)</f>
        <v/>
      </c>
      <c r="P715">
        <f>IF(OR(Shares!$B718="",Shares!$C718=""),"",Shares!$C718)</f>
        <v/>
      </c>
      <c r="Q715">
        <f>IF($P715="","",Shares!$B718)</f>
        <v/>
      </c>
      <c r="R715">
        <f>IF($P715="","",IFERROR(INDEX(WageParty,MATCH($Q715,WageIds,0)),""))</f>
        <v/>
      </c>
      <c r="S715">
        <f>IF($P715="","",IFERROR(INDEX($F$6:$F$2005,MATCH($Q715,WageIds,0)),""))</f>
        <v/>
      </c>
      <c r="T715">
        <f>IF(OR($P715="",$S715="",$S715="نامعتبر"),"",LEFT($S715,4)&amp;MID($S715,6,2)&amp;RIGHT($S715,2)&amp;"0000"&amp;"|"&amp;"2"&amp;RIGHT("00000"&amp;710,5))</f>
        <v/>
      </c>
      <c r="U715">
        <f>IF($T715="","",COUNTIFS(LdAParty,$P715,LdAType,1,LdAKey,"&lt;"&amp;$T715)+COUNTIFS(LdBMember,$P715,LdBKey,"&lt;"&amp;$T715)+COUNTIFS(LdCParty,$P715,LdCKey,"&lt;"&amp;$T715)+1)</f>
        <v/>
      </c>
      <c r="V715">
        <f>IF($U715="","",$P715&amp;"|"&amp;RIGHT("000000"&amp;$U715,6))</f>
        <v/>
      </c>
      <c r="W715">
        <f>IF($T715="","",COUNTIFS(LdBGroup,$R715,LdBKey,"&lt;"&amp;$T715)+1)</f>
        <v/>
      </c>
      <c r="X715">
        <f>IF($W715="","",$R715&amp;"|"&amp;RIGHT("000000"&amp;$W715,6))</f>
        <v/>
      </c>
      <c r="Y715">
        <f>IF($P715="","",IF(Shares!$E718="",0,Shares!$E718))</f>
        <v/>
      </c>
      <c r="Z715">
        <f>IF($P715="","",Shares!$H718)</f>
        <v/>
      </c>
      <c r="AE715">
        <f>IF(OR(Sync!$S715="",Sync!$P715=""),"",Sync!$S715)</f>
        <v/>
      </c>
      <c r="AF715">
        <f>IF($AE715="","",IF(ISNUMBER(Sync!$P715),IF(AND(Sync!$P715&gt;=10000101,Sync!$P715&lt;=99991231),INT(Sync!$P715/10000),""),IFERROR(VALUE(TRIM(LEFT(Sync!$P715,FIND("/",Sync!$P715)-1))),"")))</f>
        <v/>
      </c>
      <c r="AG715">
        <f>IF(OR($AE715="",$AF715=""),"",IF(ISNUMBER(Sync!$P715),INT(MOD(Sync!$P715,10000)/100),IFERROR(VALUE(TRIM(LEFT(MID(Sync!$P715,FIND("/",Sync!$P715)+1,20),FIND("/",MID(Sync!$P715,FIND("/",Sync!$P715)+1,20))-1))),"")))</f>
        <v/>
      </c>
      <c r="AH715">
        <f>IF(OR($AE715="",$AF715=""),"",IF(ISNUMBER(Sync!$P715),MOD(Sync!$P715,100),IFERROR(VALUE(TRIM(MID(MID(Sync!$P715,FIND("/",Sync!$P715)+1,20),FIND("/",MID(Sync!$P715,FIND("/",Sync!$P715)+1,20))+1,20))),"")))</f>
        <v/>
      </c>
      <c r="AI715">
        <f>IF($AE715="","",IF(OR($AF715="",$AG715="",$AH715="",$AF715&lt;1300,$AF715&gt;1500,$AG715&lt;1,$AG715&gt;12,$AH715&lt;1,$AH715&gt;31),"نامعتبر",RIGHT("0000"&amp;$AF715,4)&amp;"/"&amp;RIGHT("00"&amp;$AG715,2)&amp;"/"&amp;RIGHT("00"&amp;$AH715,2)))</f>
        <v/>
      </c>
      <c r="AJ715">
        <f>IF($AE715="","",IF(Sync!$Q715="","0000",IF(AND(ISNUMBER(Sync!$Q715),Sync!$Q715&gt;=0,Sync!$Q715&lt;1),RIGHT("00"&amp;HOUR(Sync!$Q715),2)&amp;RIGHT("00"&amp;MINUTE(Sync!$Q715),2),IFERROR(RIGHT("00"&amp;VALUE(LEFT(Sync!$Q715,FIND(":",Sync!$Q715)-1)),2)&amp;RIGHT("00"&amp;VALUE(MID(Sync!$Q715,FIND(":",Sync!$Q715)+1,2)),2),"0000"))))</f>
        <v/>
      </c>
      <c r="AK715">
        <f>IF(OR($AE715="",$AI715="",$AI715="نامعتبر"),"",LEFT($AI715,4)&amp;MID($AI715,6,2)&amp;RIGHT($AI715,2)&amp;$AJ715&amp;"|"&amp;"3"&amp;RIGHT("00000"&amp;710,5))</f>
        <v/>
      </c>
      <c r="AL715">
        <f>IF($AK715="","",COUNTIFS(LdAParty,$AE715,LdAType,1,LdAKey,"&lt;"&amp;$AK715)+COUNTIFS(LdBMember,$AE715,LdBKey,"&lt;"&amp;$AK715)+COUNTIFS(LdCParty,$AE715,LdCKey,"&lt;"&amp;$AK715)+1)</f>
        <v/>
      </c>
      <c r="AM715">
        <f>IF($AL715="","",$AE715&amp;"|"&amp;RIGHT("000000"&amp;$AL715,6))</f>
        <v/>
      </c>
      <c r="AN715">
        <f>IF($AE715="","",IF(Sync!$W715="",0,Sync!$W715))</f>
        <v/>
      </c>
      <c r="AO715">
        <f>IF($AE715="","",IF(Sync!$X715="",0,Sync!$X715))</f>
        <v/>
      </c>
      <c r="AP715">
        <f>IF($AE715="","",Sync!$R715)</f>
        <v/>
      </c>
      <c r="AQ715">
        <f>IF($AE715="","",Sync!$Y715)</f>
        <v/>
      </c>
    </row>
    <row r="716">
      <c r="A716">
        <f>IF(OR(Wages!$B719="",Wages!$E719=""),"",Wages!$E719)</f>
        <v/>
      </c>
      <c r="B716">
        <f>IF($A716="","",IF(Wages!$C719="دستمزد گروهی",2,1))</f>
        <v/>
      </c>
      <c r="C716">
        <f>IF($A716="","",IF(ISNUMBER(Wages!$B719),IF(AND(Wages!$B719&gt;=10000101,Wages!$B719&lt;=99991231),INT(Wages!$B719/10000),""),IFERROR(VALUE(TRIM(LEFT(Wages!$B719,FIND("/",Wages!$B719)-1))),"")))</f>
        <v/>
      </c>
      <c r="D716">
        <f>IF(OR($A716="",$C716=""),"",IF(ISNUMBER(Wages!$B719),INT(MOD(Wages!$B719,10000)/100),IFERROR(VALUE(TRIM(LEFT(MID(Wages!$B719,FIND("/",Wages!$B719)+1,20),FIND("/",MID(Wages!$B719,FIND("/",Wages!$B719)+1,20))-1))),"")))</f>
        <v/>
      </c>
      <c r="E716">
        <f>IF(OR($A716="",$C716=""),"",IF(ISNUMBER(Wages!$B719),MOD(Wages!$B719,100),IFERROR(VALUE(TRIM(MID(MID(Wages!$B719,FIND("/",Wages!$B719)+1,20),FIND("/",MID(Wages!$B719,FIND("/",Wages!$B719)+1,20))+1,20))),"")))</f>
        <v/>
      </c>
      <c r="F716">
        <f>IF($A716="","",IF(OR($C716="",$D716="",$E716="",$C716&lt;1300,$C716&gt;1500,$D716&lt;1,$D716&gt;12,$E716&lt;1,$E716&gt;31),"نامعتبر",RIGHT("0000"&amp;$C716,4)&amp;"/"&amp;RIGHT("00"&amp;$D716,2)&amp;"/"&amp;RIGHT("00"&amp;$E716,2)))</f>
        <v/>
      </c>
      <c r="G716">
        <f>IF(OR($A716="",$F716="",$F716="نامعتبر"),"",LEFT($F716,4)&amp;MID($F716,6,2)&amp;RIGHT($F716,2)&amp;"0000"&amp;"|"&amp;"1"&amp;RIGHT("00000"&amp;711,5))</f>
        <v/>
      </c>
      <c r="H716">
        <f>IF(OR($B716&lt;&gt;1,$G716=""),"",COUNTIFS(LdAParty,$A716,LdAType,1,LdAKey,"&lt;"&amp;$G716)+COUNTIFS(LdBMember,$A716,LdBKey,"&lt;"&amp;$G716)+COUNTIFS(LdCParty,$A716,LdCKey,"&lt;"&amp;$G716)+1)</f>
        <v/>
      </c>
      <c r="I716">
        <f>IF($H716="","",$A716&amp;"|"&amp;RIGHT("000000"&amp;$H716,6))</f>
        <v/>
      </c>
      <c r="J716">
        <f>IF(OR($B716&lt;&gt;2,$G716=""),"",COUNTIFS(LdAParty,$A716,LdAType,2,LdAKey,"&lt;"&amp;$G716)+1)</f>
        <v/>
      </c>
      <c r="K716">
        <f>IF($J716="","",$A716&amp;"|"&amp;RIGHT("000000"&amp;$J716,6))</f>
        <v/>
      </c>
      <c r="L716">
        <f>IF($A716="","",IF(Wages!$G719="",0,Wages!$G719))</f>
        <v/>
      </c>
      <c r="M716">
        <f>IF($A716="","",Wages!$J719)</f>
        <v/>
      </c>
      <c r="N716">
        <f>IF($A716="","",Wages!$D719)</f>
        <v/>
      </c>
      <c r="P716">
        <f>IF(OR(Shares!$B719="",Shares!$C719=""),"",Shares!$C719)</f>
        <v/>
      </c>
      <c r="Q716">
        <f>IF($P716="","",Shares!$B719)</f>
        <v/>
      </c>
      <c r="R716">
        <f>IF($P716="","",IFERROR(INDEX(WageParty,MATCH($Q716,WageIds,0)),""))</f>
        <v/>
      </c>
      <c r="S716">
        <f>IF($P716="","",IFERROR(INDEX($F$6:$F$2005,MATCH($Q716,WageIds,0)),""))</f>
        <v/>
      </c>
      <c r="T716">
        <f>IF(OR($P716="",$S716="",$S716="نامعتبر"),"",LEFT($S716,4)&amp;MID($S716,6,2)&amp;RIGHT($S716,2)&amp;"0000"&amp;"|"&amp;"2"&amp;RIGHT("00000"&amp;711,5))</f>
        <v/>
      </c>
      <c r="U716">
        <f>IF($T716="","",COUNTIFS(LdAParty,$P716,LdAType,1,LdAKey,"&lt;"&amp;$T716)+COUNTIFS(LdBMember,$P716,LdBKey,"&lt;"&amp;$T716)+COUNTIFS(LdCParty,$P716,LdCKey,"&lt;"&amp;$T716)+1)</f>
        <v/>
      </c>
      <c r="V716">
        <f>IF($U716="","",$P716&amp;"|"&amp;RIGHT("000000"&amp;$U716,6))</f>
        <v/>
      </c>
      <c r="W716">
        <f>IF($T716="","",COUNTIFS(LdBGroup,$R716,LdBKey,"&lt;"&amp;$T716)+1)</f>
        <v/>
      </c>
      <c r="X716">
        <f>IF($W716="","",$R716&amp;"|"&amp;RIGHT("000000"&amp;$W716,6))</f>
        <v/>
      </c>
      <c r="Y716">
        <f>IF($P716="","",IF(Shares!$E719="",0,Shares!$E719))</f>
        <v/>
      </c>
      <c r="Z716">
        <f>IF($P716="","",Shares!$H719)</f>
        <v/>
      </c>
      <c r="AE716">
        <f>IF(OR(Sync!$S716="",Sync!$P716=""),"",Sync!$S716)</f>
        <v/>
      </c>
      <c r="AF716">
        <f>IF($AE716="","",IF(ISNUMBER(Sync!$P716),IF(AND(Sync!$P716&gt;=10000101,Sync!$P716&lt;=99991231),INT(Sync!$P716/10000),""),IFERROR(VALUE(TRIM(LEFT(Sync!$P716,FIND("/",Sync!$P716)-1))),"")))</f>
        <v/>
      </c>
      <c r="AG716">
        <f>IF(OR($AE716="",$AF716=""),"",IF(ISNUMBER(Sync!$P716),INT(MOD(Sync!$P716,10000)/100),IFERROR(VALUE(TRIM(LEFT(MID(Sync!$P716,FIND("/",Sync!$P716)+1,20),FIND("/",MID(Sync!$P716,FIND("/",Sync!$P716)+1,20))-1))),"")))</f>
        <v/>
      </c>
      <c r="AH716">
        <f>IF(OR($AE716="",$AF716=""),"",IF(ISNUMBER(Sync!$P716),MOD(Sync!$P716,100),IFERROR(VALUE(TRIM(MID(MID(Sync!$P716,FIND("/",Sync!$P716)+1,20),FIND("/",MID(Sync!$P716,FIND("/",Sync!$P716)+1,20))+1,20))),"")))</f>
        <v/>
      </c>
      <c r="AI716">
        <f>IF($AE716="","",IF(OR($AF716="",$AG716="",$AH716="",$AF716&lt;1300,$AF716&gt;1500,$AG716&lt;1,$AG716&gt;12,$AH716&lt;1,$AH716&gt;31),"نامعتبر",RIGHT("0000"&amp;$AF716,4)&amp;"/"&amp;RIGHT("00"&amp;$AG716,2)&amp;"/"&amp;RIGHT("00"&amp;$AH716,2)))</f>
        <v/>
      </c>
      <c r="AJ716">
        <f>IF($AE716="","",IF(Sync!$Q716="","0000",IF(AND(ISNUMBER(Sync!$Q716),Sync!$Q716&gt;=0,Sync!$Q716&lt;1),RIGHT("00"&amp;HOUR(Sync!$Q716),2)&amp;RIGHT("00"&amp;MINUTE(Sync!$Q716),2),IFERROR(RIGHT("00"&amp;VALUE(LEFT(Sync!$Q716,FIND(":",Sync!$Q716)-1)),2)&amp;RIGHT("00"&amp;VALUE(MID(Sync!$Q716,FIND(":",Sync!$Q716)+1,2)),2),"0000"))))</f>
        <v/>
      </c>
      <c r="AK716">
        <f>IF(OR($AE716="",$AI716="",$AI716="نامعتبر"),"",LEFT($AI716,4)&amp;MID($AI716,6,2)&amp;RIGHT($AI716,2)&amp;$AJ716&amp;"|"&amp;"3"&amp;RIGHT("00000"&amp;711,5))</f>
        <v/>
      </c>
      <c r="AL716">
        <f>IF($AK716="","",COUNTIFS(LdAParty,$AE716,LdAType,1,LdAKey,"&lt;"&amp;$AK716)+COUNTIFS(LdBMember,$AE716,LdBKey,"&lt;"&amp;$AK716)+COUNTIFS(LdCParty,$AE716,LdCKey,"&lt;"&amp;$AK716)+1)</f>
        <v/>
      </c>
      <c r="AM716">
        <f>IF($AL716="","",$AE716&amp;"|"&amp;RIGHT("000000"&amp;$AL716,6))</f>
        <v/>
      </c>
      <c r="AN716">
        <f>IF($AE716="","",IF(Sync!$W716="",0,Sync!$W716))</f>
        <v/>
      </c>
      <c r="AO716">
        <f>IF($AE716="","",IF(Sync!$X716="",0,Sync!$X716))</f>
        <v/>
      </c>
      <c r="AP716">
        <f>IF($AE716="","",Sync!$R716)</f>
        <v/>
      </c>
      <c r="AQ716">
        <f>IF($AE716="","",Sync!$Y716)</f>
        <v/>
      </c>
    </row>
    <row r="717">
      <c r="A717">
        <f>IF(OR(Wages!$B720="",Wages!$E720=""),"",Wages!$E720)</f>
        <v/>
      </c>
      <c r="B717">
        <f>IF($A717="","",IF(Wages!$C720="دستمزد گروهی",2,1))</f>
        <v/>
      </c>
      <c r="C717">
        <f>IF($A717="","",IF(ISNUMBER(Wages!$B720),IF(AND(Wages!$B720&gt;=10000101,Wages!$B720&lt;=99991231),INT(Wages!$B720/10000),""),IFERROR(VALUE(TRIM(LEFT(Wages!$B720,FIND("/",Wages!$B720)-1))),"")))</f>
        <v/>
      </c>
      <c r="D717">
        <f>IF(OR($A717="",$C717=""),"",IF(ISNUMBER(Wages!$B720),INT(MOD(Wages!$B720,10000)/100),IFERROR(VALUE(TRIM(LEFT(MID(Wages!$B720,FIND("/",Wages!$B720)+1,20),FIND("/",MID(Wages!$B720,FIND("/",Wages!$B720)+1,20))-1))),"")))</f>
        <v/>
      </c>
      <c r="E717">
        <f>IF(OR($A717="",$C717=""),"",IF(ISNUMBER(Wages!$B720),MOD(Wages!$B720,100),IFERROR(VALUE(TRIM(MID(MID(Wages!$B720,FIND("/",Wages!$B720)+1,20),FIND("/",MID(Wages!$B720,FIND("/",Wages!$B720)+1,20))+1,20))),"")))</f>
        <v/>
      </c>
      <c r="F717">
        <f>IF($A717="","",IF(OR($C717="",$D717="",$E717="",$C717&lt;1300,$C717&gt;1500,$D717&lt;1,$D717&gt;12,$E717&lt;1,$E717&gt;31),"نامعتبر",RIGHT("0000"&amp;$C717,4)&amp;"/"&amp;RIGHT("00"&amp;$D717,2)&amp;"/"&amp;RIGHT("00"&amp;$E717,2)))</f>
        <v/>
      </c>
      <c r="G717">
        <f>IF(OR($A717="",$F717="",$F717="نامعتبر"),"",LEFT($F717,4)&amp;MID($F717,6,2)&amp;RIGHT($F717,2)&amp;"0000"&amp;"|"&amp;"1"&amp;RIGHT("00000"&amp;712,5))</f>
        <v/>
      </c>
      <c r="H717">
        <f>IF(OR($B717&lt;&gt;1,$G717=""),"",COUNTIFS(LdAParty,$A717,LdAType,1,LdAKey,"&lt;"&amp;$G717)+COUNTIFS(LdBMember,$A717,LdBKey,"&lt;"&amp;$G717)+COUNTIFS(LdCParty,$A717,LdCKey,"&lt;"&amp;$G717)+1)</f>
        <v/>
      </c>
      <c r="I717">
        <f>IF($H717="","",$A717&amp;"|"&amp;RIGHT("000000"&amp;$H717,6))</f>
        <v/>
      </c>
      <c r="J717">
        <f>IF(OR($B717&lt;&gt;2,$G717=""),"",COUNTIFS(LdAParty,$A717,LdAType,2,LdAKey,"&lt;"&amp;$G717)+1)</f>
        <v/>
      </c>
      <c r="K717">
        <f>IF($J717="","",$A717&amp;"|"&amp;RIGHT("000000"&amp;$J717,6))</f>
        <v/>
      </c>
      <c r="L717">
        <f>IF($A717="","",IF(Wages!$G720="",0,Wages!$G720))</f>
        <v/>
      </c>
      <c r="M717">
        <f>IF($A717="","",Wages!$J720)</f>
        <v/>
      </c>
      <c r="N717">
        <f>IF($A717="","",Wages!$D720)</f>
        <v/>
      </c>
      <c r="P717">
        <f>IF(OR(Shares!$B720="",Shares!$C720=""),"",Shares!$C720)</f>
        <v/>
      </c>
      <c r="Q717">
        <f>IF($P717="","",Shares!$B720)</f>
        <v/>
      </c>
      <c r="R717">
        <f>IF($P717="","",IFERROR(INDEX(WageParty,MATCH($Q717,WageIds,0)),""))</f>
        <v/>
      </c>
      <c r="S717">
        <f>IF($P717="","",IFERROR(INDEX($F$6:$F$2005,MATCH($Q717,WageIds,0)),""))</f>
        <v/>
      </c>
      <c r="T717">
        <f>IF(OR($P717="",$S717="",$S717="نامعتبر"),"",LEFT($S717,4)&amp;MID($S717,6,2)&amp;RIGHT($S717,2)&amp;"0000"&amp;"|"&amp;"2"&amp;RIGHT("00000"&amp;712,5))</f>
        <v/>
      </c>
      <c r="U717">
        <f>IF($T717="","",COUNTIFS(LdAParty,$P717,LdAType,1,LdAKey,"&lt;"&amp;$T717)+COUNTIFS(LdBMember,$P717,LdBKey,"&lt;"&amp;$T717)+COUNTIFS(LdCParty,$P717,LdCKey,"&lt;"&amp;$T717)+1)</f>
        <v/>
      </c>
      <c r="V717">
        <f>IF($U717="","",$P717&amp;"|"&amp;RIGHT("000000"&amp;$U717,6))</f>
        <v/>
      </c>
      <c r="W717">
        <f>IF($T717="","",COUNTIFS(LdBGroup,$R717,LdBKey,"&lt;"&amp;$T717)+1)</f>
        <v/>
      </c>
      <c r="X717">
        <f>IF($W717="","",$R717&amp;"|"&amp;RIGHT("000000"&amp;$W717,6))</f>
        <v/>
      </c>
      <c r="Y717">
        <f>IF($P717="","",IF(Shares!$E720="",0,Shares!$E720))</f>
        <v/>
      </c>
      <c r="Z717">
        <f>IF($P717="","",Shares!$H720)</f>
        <v/>
      </c>
      <c r="AE717">
        <f>IF(OR(Sync!$S717="",Sync!$P717=""),"",Sync!$S717)</f>
        <v/>
      </c>
      <c r="AF717">
        <f>IF($AE717="","",IF(ISNUMBER(Sync!$P717),IF(AND(Sync!$P717&gt;=10000101,Sync!$P717&lt;=99991231),INT(Sync!$P717/10000),""),IFERROR(VALUE(TRIM(LEFT(Sync!$P717,FIND("/",Sync!$P717)-1))),"")))</f>
        <v/>
      </c>
      <c r="AG717">
        <f>IF(OR($AE717="",$AF717=""),"",IF(ISNUMBER(Sync!$P717),INT(MOD(Sync!$P717,10000)/100),IFERROR(VALUE(TRIM(LEFT(MID(Sync!$P717,FIND("/",Sync!$P717)+1,20),FIND("/",MID(Sync!$P717,FIND("/",Sync!$P717)+1,20))-1))),"")))</f>
        <v/>
      </c>
      <c r="AH717">
        <f>IF(OR($AE717="",$AF717=""),"",IF(ISNUMBER(Sync!$P717),MOD(Sync!$P717,100),IFERROR(VALUE(TRIM(MID(MID(Sync!$P717,FIND("/",Sync!$P717)+1,20),FIND("/",MID(Sync!$P717,FIND("/",Sync!$P717)+1,20))+1,20))),"")))</f>
        <v/>
      </c>
      <c r="AI717">
        <f>IF($AE717="","",IF(OR($AF717="",$AG717="",$AH717="",$AF717&lt;1300,$AF717&gt;1500,$AG717&lt;1,$AG717&gt;12,$AH717&lt;1,$AH717&gt;31),"نامعتبر",RIGHT("0000"&amp;$AF717,4)&amp;"/"&amp;RIGHT("00"&amp;$AG717,2)&amp;"/"&amp;RIGHT("00"&amp;$AH717,2)))</f>
        <v/>
      </c>
      <c r="AJ717">
        <f>IF($AE717="","",IF(Sync!$Q717="","0000",IF(AND(ISNUMBER(Sync!$Q717),Sync!$Q717&gt;=0,Sync!$Q717&lt;1),RIGHT("00"&amp;HOUR(Sync!$Q717),2)&amp;RIGHT("00"&amp;MINUTE(Sync!$Q717),2),IFERROR(RIGHT("00"&amp;VALUE(LEFT(Sync!$Q717,FIND(":",Sync!$Q717)-1)),2)&amp;RIGHT("00"&amp;VALUE(MID(Sync!$Q717,FIND(":",Sync!$Q717)+1,2)),2),"0000"))))</f>
        <v/>
      </c>
      <c r="AK717">
        <f>IF(OR($AE717="",$AI717="",$AI717="نامعتبر"),"",LEFT($AI717,4)&amp;MID($AI717,6,2)&amp;RIGHT($AI717,2)&amp;$AJ717&amp;"|"&amp;"3"&amp;RIGHT("00000"&amp;712,5))</f>
        <v/>
      </c>
      <c r="AL717">
        <f>IF($AK717="","",COUNTIFS(LdAParty,$AE717,LdAType,1,LdAKey,"&lt;"&amp;$AK717)+COUNTIFS(LdBMember,$AE717,LdBKey,"&lt;"&amp;$AK717)+COUNTIFS(LdCParty,$AE717,LdCKey,"&lt;"&amp;$AK717)+1)</f>
        <v/>
      </c>
      <c r="AM717">
        <f>IF($AL717="","",$AE717&amp;"|"&amp;RIGHT("000000"&amp;$AL717,6))</f>
        <v/>
      </c>
      <c r="AN717">
        <f>IF($AE717="","",IF(Sync!$W717="",0,Sync!$W717))</f>
        <v/>
      </c>
      <c r="AO717">
        <f>IF($AE717="","",IF(Sync!$X717="",0,Sync!$X717))</f>
        <v/>
      </c>
      <c r="AP717">
        <f>IF($AE717="","",Sync!$R717)</f>
        <v/>
      </c>
      <c r="AQ717">
        <f>IF($AE717="","",Sync!$Y717)</f>
        <v/>
      </c>
    </row>
    <row r="718">
      <c r="A718">
        <f>IF(OR(Wages!$B721="",Wages!$E721=""),"",Wages!$E721)</f>
        <v/>
      </c>
      <c r="B718">
        <f>IF($A718="","",IF(Wages!$C721="دستمزد گروهی",2,1))</f>
        <v/>
      </c>
      <c r="C718">
        <f>IF($A718="","",IF(ISNUMBER(Wages!$B721),IF(AND(Wages!$B721&gt;=10000101,Wages!$B721&lt;=99991231),INT(Wages!$B721/10000),""),IFERROR(VALUE(TRIM(LEFT(Wages!$B721,FIND("/",Wages!$B721)-1))),"")))</f>
        <v/>
      </c>
      <c r="D718">
        <f>IF(OR($A718="",$C718=""),"",IF(ISNUMBER(Wages!$B721),INT(MOD(Wages!$B721,10000)/100),IFERROR(VALUE(TRIM(LEFT(MID(Wages!$B721,FIND("/",Wages!$B721)+1,20),FIND("/",MID(Wages!$B721,FIND("/",Wages!$B721)+1,20))-1))),"")))</f>
        <v/>
      </c>
      <c r="E718">
        <f>IF(OR($A718="",$C718=""),"",IF(ISNUMBER(Wages!$B721),MOD(Wages!$B721,100),IFERROR(VALUE(TRIM(MID(MID(Wages!$B721,FIND("/",Wages!$B721)+1,20),FIND("/",MID(Wages!$B721,FIND("/",Wages!$B721)+1,20))+1,20))),"")))</f>
        <v/>
      </c>
      <c r="F718">
        <f>IF($A718="","",IF(OR($C718="",$D718="",$E718="",$C718&lt;1300,$C718&gt;1500,$D718&lt;1,$D718&gt;12,$E718&lt;1,$E718&gt;31),"نامعتبر",RIGHT("0000"&amp;$C718,4)&amp;"/"&amp;RIGHT("00"&amp;$D718,2)&amp;"/"&amp;RIGHT("00"&amp;$E718,2)))</f>
        <v/>
      </c>
      <c r="G718">
        <f>IF(OR($A718="",$F718="",$F718="نامعتبر"),"",LEFT($F718,4)&amp;MID($F718,6,2)&amp;RIGHT($F718,2)&amp;"0000"&amp;"|"&amp;"1"&amp;RIGHT("00000"&amp;713,5))</f>
        <v/>
      </c>
      <c r="H718">
        <f>IF(OR($B718&lt;&gt;1,$G718=""),"",COUNTIFS(LdAParty,$A718,LdAType,1,LdAKey,"&lt;"&amp;$G718)+COUNTIFS(LdBMember,$A718,LdBKey,"&lt;"&amp;$G718)+COUNTIFS(LdCParty,$A718,LdCKey,"&lt;"&amp;$G718)+1)</f>
        <v/>
      </c>
      <c r="I718">
        <f>IF($H718="","",$A718&amp;"|"&amp;RIGHT("000000"&amp;$H718,6))</f>
        <v/>
      </c>
      <c r="J718">
        <f>IF(OR($B718&lt;&gt;2,$G718=""),"",COUNTIFS(LdAParty,$A718,LdAType,2,LdAKey,"&lt;"&amp;$G718)+1)</f>
        <v/>
      </c>
      <c r="K718">
        <f>IF($J718="","",$A718&amp;"|"&amp;RIGHT("000000"&amp;$J718,6))</f>
        <v/>
      </c>
      <c r="L718">
        <f>IF($A718="","",IF(Wages!$G721="",0,Wages!$G721))</f>
        <v/>
      </c>
      <c r="M718">
        <f>IF($A718="","",Wages!$J721)</f>
        <v/>
      </c>
      <c r="N718">
        <f>IF($A718="","",Wages!$D721)</f>
        <v/>
      </c>
      <c r="P718">
        <f>IF(OR(Shares!$B721="",Shares!$C721=""),"",Shares!$C721)</f>
        <v/>
      </c>
      <c r="Q718">
        <f>IF($P718="","",Shares!$B721)</f>
        <v/>
      </c>
      <c r="R718">
        <f>IF($P718="","",IFERROR(INDEX(WageParty,MATCH($Q718,WageIds,0)),""))</f>
        <v/>
      </c>
      <c r="S718">
        <f>IF($P718="","",IFERROR(INDEX($F$6:$F$2005,MATCH($Q718,WageIds,0)),""))</f>
        <v/>
      </c>
      <c r="T718">
        <f>IF(OR($P718="",$S718="",$S718="نامعتبر"),"",LEFT($S718,4)&amp;MID($S718,6,2)&amp;RIGHT($S718,2)&amp;"0000"&amp;"|"&amp;"2"&amp;RIGHT("00000"&amp;713,5))</f>
        <v/>
      </c>
      <c r="U718">
        <f>IF($T718="","",COUNTIFS(LdAParty,$P718,LdAType,1,LdAKey,"&lt;"&amp;$T718)+COUNTIFS(LdBMember,$P718,LdBKey,"&lt;"&amp;$T718)+COUNTIFS(LdCParty,$P718,LdCKey,"&lt;"&amp;$T718)+1)</f>
        <v/>
      </c>
      <c r="V718">
        <f>IF($U718="","",$P718&amp;"|"&amp;RIGHT("000000"&amp;$U718,6))</f>
        <v/>
      </c>
      <c r="W718">
        <f>IF($T718="","",COUNTIFS(LdBGroup,$R718,LdBKey,"&lt;"&amp;$T718)+1)</f>
        <v/>
      </c>
      <c r="X718">
        <f>IF($W718="","",$R718&amp;"|"&amp;RIGHT("000000"&amp;$W718,6))</f>
        <v/>
      </c>
      <c r="Y718">
        <f>IF($P718="","",IF(Shares!$E721="",0,Shares!$E721))</f>
        <v/>
      </c>
      <c r="Z718">
        <f>IF($P718="","",Shares!$H721)</f>
        <v/>
      </c>
      <c r="AE718">
        <f>IF(OR(Sync!$S718="",Sync!$P718=""),"",Sync!$S718)</f>
        <v/>
      </c>
      <c r="AF718">
        <f>IF($AE718="","",IF(ISNUMBER(Sync!$P718),IF(AND(Sync!$P718&gt;=10000101,Sync!$P718&lt;=99991231),INT(Sync!$P718/10000),""),IFERROR(VALUE(TRIM(LEFT(Sync!$P718,FIND("/",Sync!$P718)-1))),"")))</f>
        <v/>
      </c>
      <c r="AG718">
        <f>IF(OR($AE718="",$AF718=""),"",IF(ISNUMBER(Sync!$P718),INT(MOD(Sync!$P718,10000)/100),IFERROR(VALUE(TRIM(LEFT(MID(Sync!$P718,FIND("/",Sync!$P718)+1,20),FIND("/",MID(Sync!$P718,FIND("/",Sync!$P718)+1,20))-1))),"")))</f>
        <v/>
      </c>
      <c r="AH718">
        <f>IF(OR($AE718="",$AF718=""),"",IF(ISNUMBER(Sync!$P718),MOD(Sync!$P718,100),IFERROR(VALUE(TRIM(MID(MID(Sync!$P718,FIND("/",Sync!$P718)+1,20),FIND("/",MID(Sync!$P718,FIND("/",Sync!$P718)+1,20))+1,20))),"")))</f>
        <v/>
      </c>
      <c r="AI718">
        <f>IF($AE718="","",IF(OR($AF718="",$AG718="",$AH718="",$AF718&lt;1300,$AF718&gt;1500,$AG718&lt;1,$AG718&gt;12,$AH718&lt;1,$AH718&gt;31),"نامعتبر",RIGHT("0000"&amp;$AF718,4)&amp;"/"&amp;RIGHT("00"&amp;$AG718,2)&amp;"/"&amp;RIGHT("00"&amp;$AH718,2)))</f>
        <v/>
      </c>
      <c r="AJ718">
        <f>IF($AE718="","",IF(Sync!$Q718="","0000",IF(AND(ISNUMBER(Sync!$Q718),Sync!$Q718&gt;=0,Sync!$Q718&lt;1),RIGHT("00"&amp;HOUR(Sync!$Q718),2)&amp;RIGHT("00"&amp;MINUTE(Sync!$Q718),2),IFERROR(RIGHT("00"&amp;VALUE(LEFT(Sync!$Q718,FIND(":",Sync!$Q718)-1)),2)&amp;RIGHT("00"&amp;VALUE(MID(Sync!$Q718,FIND(":",Sync!$Q718)+1,2)),2),"0000"))))</f>
        <v/>
      </c>
      <c r="AK718">
        <f>IF(OR($AE718="",$AI718="",$AI718="نامعتبر"),"",LEFT($AI718,4)&amp;MID($AI718,6,2)&amp;RIGHT($AI718,2)&amp;$AJ718&amp;"|"&amp;"3"&amp;RIGHT("00000"&amp;713,5))</f>
        <v/>
      </c>
      <c r="AL718">
        <f>IF($AK718="","",COUNTIFS(LdAParty,$AE718,LdAType,1,LdAKey,"&lt;"&amp;$AK718)+COUNTIFS(LdBMember,$AE718,LdBKey,"&lt;"&amp;$AK718)+COUNTIFS(LdCParty,$AE718,LdCKey,"&lt;"&amp;$AK718)+1)</f>
        <v/>
      </c>
      <c r="AM718">
        <f>IF($AL718="","",$AE718&amp;"|"&amp;RIGHT("000000"&amp;$AL718,6))</f>
        <v/>
      </c>
      <c r="AN718">
        <f>IF($AE718="","",IF(Sync!$W718="",0,Sync!$W718))</f>
        <v/>
      </c>
      <c r="AO718">
        <f>IF($AE718="","",IF(Sync!$X718="",0,Sync!$X718))</f>
        <v/>
      </c>
      <c r="AP718">
        <f>IF($AE718="","",Sync!$R718)</f>
        <v/>
      </c>
      <c r="AQ718">
        <f>IF($AE718="","",Sync!$Y718)</f>
        <v/>
      </c>
    </row>
    <row r="719">
      <c r="A719">
        <f>IF(OR(Wages!$B722="",Wages!$E722=""),"",Wages!$E722)</f>
        <v/>
      </c>
      <c r="B719">
        <f>IF($A719="","",IF(Wages!$C722="دستمزد گروهی",2,1))</f>
        <v/>
      </c>
      <c r="C719">
        <f>IF($A719="","",IF(ISNUMBER(Wages!$B722),IF(AND(Wages!$B722&gt;=10000101,Wages!$B722&lt;=99991231),INT(Wages!$B722/10000),""),IFERROR(VALUE(TRIM(LEFT(Wages!$B722,FIND("/",Wages!$B722)-1))),"")))</f>
        <v/>
      </c>
      <c r="D719">
        <f>IF(OR($A719="",$C719=""),"",IF(ISNUMBER(Wages!$B722),INT(MOD(Wages!$B722,10000)/100),IFERROR(VALUE(TRIM(LEFT(MID(Wages!$B722,FIND("/",Wages!$B722)+1,20),FIND("/",MID(Wages!$B722,FIND("/",Wages!$B722)+1,20))-1))),"")))</f>
        <v/>
      </c>
      <c r="E719">
        <f>IF(OR($A719="",$C719=""),"",IF(ISNUMBER(Wages!$B722),MOD(Wages!$B722,100),IFERROR(VALUE(TRIM(MID(MID(Wages!$B722,FIND("/",Wages!$B722)+1,20),FIND("/",MID(Wages!$B722,FIND("/",Wages!$B722)+1,20))+1,20))),"")))</f>
        <v/>
      </c>
      <c r="F719">
        <f>IF($A719="","",IF(OR($C719="",$D719="",$E719="",$C719&lt;1300,$C719&gt;1500,$D719&lt;1,$D719&gt;12,$E719&lt;1,$E719&gt;31),"نامعتبر",RIGHT("0000"&amp;$C719,4)&amp;"/"&amp;RIGHT("00"&amp;$D719,2)&amp;"/"&amp;RIGHT("00"&amp;$E719,2)))</f>
        <v/>
      </c>
      <c r="G719">
        <f>IF(OR($A719="",$F719="",$F719="نامعتبر"),"",LEFT($F719,4)&amp;MID($F719,6,2)&amp;RIGHT($F719,2)&amp;"0000"&amp;"|"&amp;"1"&amp;RIGHT("00000"&amp;714,5))</f>
        <v/>
      </c>
      <c r="H719">
        <f>IF(OR($B719&lt;&gt;1,$G719=""),"",COUNTIFS(LdAParty,$A719,LdAType,1,LdAKey,"&lt;"&amp;$G719)+COUNTIFS(LdBMember,$A719,LdBKey,"&lt;"&amp;$G719)+COUNTIFS(LdCParty,$A719,LdCKey,"&lt;"&amp;$G719)+1)</f>
        <v/>
      </c>
      <c r="I719">
        <f>IF($H719="","",$A719&amp;"|"&amp;RIGHT("000000"&amp;$H719,6))</f>
        <v/>
      </c>
      <c r="J719">
        <f>IF(OR($B719&lt;&gt;2,$G719=""),"",COUNTIFS(LdAParty,$A719,LdAType,2,LdAKey,"&lt;"&amp;$G719)+1)</f>
        <v/>
      </c>
      <c r="K719">
        <f>IF($J719="","",$A719&amp;"|"&amp;RIGHT("000000"&amp;$J719,6))</f>
        <v/>
      </c>
      <c r="L719">
        <f>IF($A719="","",IF(Wages!$G722="",0,Wages!$G722))</f>
        <v/>
      </c>
      <c r="M719">
        <f>IF($A719="","",Wages!$J722)</f>
        <v/>
      </c>
      <c r="N719">
        <f>IF($A719="","",Wages!$D722)</f>
        <v/>
      </c>
      <c r="P719">
        <f>IF(OR(Shares!$B722="",Shares!$C722=""),"",Shares!$C722)</f>
        <v/>
      </c>
      <c r="Q719">
        <f>IF($P719="","",Shares!$B722)</f>
        <v/>
      </c>
      <c r="R719">
        <f>IF($P719="","",IFERROR(INDEX(WageParty,MATCH($Q719,WageIds,0)),""))</f>
        <v/>
      </c>
      <c r="S719">
        <f>IF($P719="","",IFERROR(INDEX($F$6:$F$2005,MATCH($Q719,WageIds,0)),""))</f>
        <v/>
      </c>
      <c r="T719">
        <f>IF(OR($P719="",$S719="",$S719="نامعتبر"),"",LEFT($S719,4)&amp;MID($S719,6,2)&amp;RIGHT($S719,2)&amp;"0000"&amp;"|"&amp;"2"&amp;RIGHT("00000"&amp;714,5))</f>
        <v/>
      </c>
      <c r="U719">
        <f>IF($T719="","",COUNTIFS(LdAParty,$P719,LdAType,1,LdAKey,"&lt;"&amp;$T719)+COUNTIFS(LdBMember,$P719,LdBKey,"&lt;"&amp;$T719)+COUNTIFS(LdCParty,$P719,LdCKey,"&lt;"&amp;$T719)+1)</f>
        <v/>
      </c>
      <c r="V719">
        <f>IF($U719="","",$P719&amp;"|"&amp;RIGHT("000000"&amp;$U719,6))</f>
        <v/>
      </c>
      <c r="W719">
        <f>IF($T719="","",COUNTIFS(LdBGroup,$R719,LdBKey,"&lt;"&amp;$T719)+1)</f>
        <v/>
      </c>
      <c r="X719">
        <f>IF($W719="","",$R719&amp;"|"&amp;RIGHT("000000"&amp;$W719,6))</f>
        <v/>
      </c>
      <c r="Y719">
        <f>IF($P719="","",IF(Shares!$E722="",0,Shares!$E722))</f>
        <v/>
      </c>
      <c r="Z719">
        <f>IF($P719="","",Shares!$H722)</f>
        <v/>
      </c>
      <c r="AE719">
        <f>IF(OR(Sync!$S719="",Sync!$P719=""),"",Sync!$S719)</f>
        <v/>
      </c>
      <c r="AF719">
        <f>IF($AE719="","",IF(ISNUMBER(Sync!$P719),IF(AND(Sync!$P719&gt;=10000101,Sync!$P719&lt;=99991231),INT(Sync!$P719/10000),""),IFERROR(VALUE(TRIM(LEFT(Sync!$P719,FIND("/",Sync!$P719)-1))),"")))</f>
        <v/>
      </c>
      <c r="AG719">
        <f>IF(OR($AE719="",$AF719=""),"",IF(ISNUMBER(Sync!$P719),INT(MOD(Sync!$P719,10000)/100),IFERROR(VALUE(TRIM(LEFT(MID(Sync!$P719,FIND("/",Sync!$P719)+1,20),FIND("/",MID(Sync!$P719,FIND("/",Sync!$P719)+1,20))-1))),"")))</f>
        <v/>
      </c>
      <c r="AH719">
        <f>IF(OR($AE719="",$AF719=""),"",IF(ISNUMBER(Sync!$P719),MOD(Sync!$P719,100),IFERROR(VALUE(TRIM(MID(MID(Sync!$P719,FIND("/",Sync!$P719)+1,20),FIND("/",MID(Sync!$P719,FIND("/",Sync!$P719)+1,20))+1,20))),"")))</f>
        <v/>
      </c>
      <c r="AI719">
        <f>IF($AE719="","",IF(OR($AF719="",$AG719="",$AH719="",$AF719&lt;1300,$AF719&gt;1500,$AG719&lt;1,$AG719&gt;12,$AH719&lt;1,$AH719&gt;31),"نامعتبر",RIGHT("0000"&amp;$AF719,4)&amp;"/"&amp;RIGHT("00"&amp;$AG719,2)&amp;"/"&amp;RIGHT("00"&amp;$AH719,2)))</f>
        <v/>
      </c>
      <c r="AJ719">
        <f>IF($AE719="","",IF(Sync!$Q719="","0000",IF(AND(ISNUMBER(Sync!$Q719),Sync!$Q719&gt;=0,Sync!$Q719&lt;1),RIGHT("00"&amp;HOUR(Sync!$Q719),2)&amp;RIGHT("00"&amp;MINUTE(Sync!$Q719),2),IFERROR(RIGHT("00"&amp;VALUE(LEFT(Sync!$Q719,FIND(":",Sync!$Q719)-1)),2)&amp;RIGHT("00"&amp;VALUE(MID(Sync!$Q719,FIND(":",Sync!$Q719)+1,2)),2),"0000"))))</f>
        <v/>
      </c>
      <c r="AK719">
        <f>IF(OR($AE719="",$AI719="",$AI719="نامعتبر"),"",LEFT($AI719,4)&amp;MID($AI719,6,2)&amp;RIGHT($AI719,2)&amp;$AJ719&amp;"|"&amp;"3"&amp;RIGHT("00000"&amp;714,5))</f>
        <v/>
      </c>
      <c r="AL719">
        <f>IF($AK719="","",COUNTIFS(LdAParty,$AE719,LdAType,1,LdAKey,"&lt;"&amp;$AK719)+COUNTIFS(LdBMember,$AE719,LdBKey,"&lt;"&amp;$AK719)+COUNTIFS(LdCParty,$AE719,LdCKey,"&lt;"&amp;$AK719)+1)</f>
        <v/>
      </c>
      <c r="AM719">
        <f>IF($AL719="","",$AE719&amp;"|"&amp;RIGHT("000000"&amp;$AL719,6))</f>
        <v/>
      </c>
      <c r="AN719">
        <f>IF($AE719="","",IF(Sync!$W719="",0,Sync!$W719))</f>
        <v/>
      </c>
      <c r="AO719">
        <f>IF($AE719="","",IF(Sync!$X719="",0,Sync!$X719))</f>
        <v/>
      </c>
      <c r="AP719">
        <f>IF($AE719="","",Sync!$R719)</f>
        <v/>
      </c>
      <c r="AQ719">
        <f>IF($AE719="","",Sync!$Y719)</f>
        <v/>
      </c>
    </row>
    <row r="720">
      <c r="A720">
        <f>IF(OR(Wages!$B723="",Wages!$E723=""),"",Wages!$E723)</f>
        <v/>
      </c>
      <c r="B720">
        <f>IF($A720="","",IF(Wages!$C723="دستمزد گروهی",2,1))</f>
        <v/>
      </c>
      <c r="C720">
        <f>IF($A720="","",IF(ISNUMBER(Wages!$B723),IF(AND(Wages!$B723&gt;=10000101,Wages!$B723&lt;=99991231),INT(Wages!$B723/10000),""),IFERROR(VALUE(TRIM(LEFT(Wages!$B723,FIND("/",Wages!$B723)-1))),"")))</f>
        <v/>
      </c>
      <c r="D720">
        <f>IF(OR($A720="",$C720=""),"",IF(ISNUMBER(Wages!$B723),INT(MOD(Wages!$B723,10000)/100),IFERROR(VALUE(TRIM(LEFT(MID(Wages!$B723,FIND("/",Wages!$B723)+1,20),FIND("/",MID(Wages!$B723,FIND("/",Wages!$B723)+1,20))-1))),"")))</f>
        <v/>
      </c>
      <c r="E720">
        <f>IF(OR($A720="",$C720=""),"",IF(ISNUMBER(Wages!$B723),MOD(Wages!$B723,100),IFERROR(VALUE(TRIM(MID(MID(Wages!$B723,FIND("/",Wages!$B723)+1,20),FIND("/",MID(Wages!$B723,FIND("/",Wages!$B723)+1,20))+1,20))),"")))</f>
        <v/>
      </c>
      <c r="F720">
        <f>IF($A720="","",IF(OR($C720="",$D720="",$E720="",$C720&lt;1300,$C720&gt;1500,$D720&lt;1,$D720&gt;12,$E720&lt;1,$E720&gt;31),"نامعتبر",RIGHT("0000"&amp;$C720,4)&amp;"/"&amp;RIGHT("00"&amp;$D720,2)&amp;"/"&amp;RIGHT("00"&amp;$E720,2)))</f>
        <v/>
      </c>
      <c r="G720">
        <f>IF(OR($A720="",$F720="",$F720="نامعتبر"),"",LEFT($F720,4)&amp;MID($F720,6,2)&amp;RIGHT($F720,2)&amp;"0000"&amp;"|"&amp;"1"&amp;RIGHT("00000"&amp;715,5))</f>
        <v/>
      </c>
      <c r="H720">
        <f>IF(OR($B720&lt;&gt;1,$G720=""),"",COUNTIFS(LdAParty,$A720,LdAType,1,LdAKey,"&lt;"&amp;$G720)+COUNTIFS(LdBMember,$A720,LdBKey,"&lt;"&amp;$G720)+COUNTIFS(LdCParty,$A720,LdCKey,"&lt;"&amp;$G720)+1)</f>
        <v/>
      </c>
      <c r="I720">
        <f>IF($H720="","",$A720&amp;"|"&amp;RIGHT("000000"&amp;$H720,6))</f>
        <v/>
      </c>
      <c r="J720">
        <f>IF(OR($B720&lt;&gt;2,$G720=""),"",COUNTIFS(LdAParty,$A720,LdAType,2,LdAKey,"&lt;"&amp;$G720)+1)</f>
        <v/>
      </c>
      <c r="K720">
        <f>IF($J720="","",$A720&amp;"|"&amp;RIGHT("000000"&amp;$J720,6))</f>
        <v/>
      </c>
      <c r="L720">
        <f>IF($A720="","",IF(Wages!$G723="",0,Wages!$G723))</f>
        <v/>
      </c>
      <c r="M720">
        <f>IF($A720="","",Wages!$J723)</f>
        <v/>
      </c>
      <c r="N720">
        <f>IF($A720="","",Wages!$D723)</f>
        <v/>
      </c>
      <c r="P720">
        <f>IF(OR(Shares!$B723="",Shares!$C723=""),"",Shares!$C723)</f>
        <v/>
      </c>
      <c r="Q720">
        <f>IF($P720="","",Shares!$B723)</f>
        <v/>
      </c>
      <c r="R720">
        <f>IF($P720="","",IFERROR(INDEX(WageParty,MATCH($Q720,WageIds,0)),""))</f>
        <v/>
      </c>
      <c r="S720">
        <f>IF($P720="","",IFERROR(INDEX($F$6:$F$2005,MATCH($Q720,WageIds,0)),""))</f>
        <v/>
      </c>
      <c r="T720">
        <f>IF(OR($P720="",$S720="",$S720="نامعتبر"),"",LEFT($S720,4)&amp;MID($S720,6,2)&amp;RIGHT($S720,2)&amp;"0000"&amp;"|"&amp;"2"&amp;RIGHT("00000"&amp;715,5))</f>
        <v/>
      </c>
      <c r="U720">
        <f>IF($T720="","",COUNTIFS(LdAParty,$P720,LdAType,1,LdAKey,"&lt;"&amp;$T720)+COUNTIFS(LdBMember,$P720,LdBKey,"&lt;"&amp;$T720)+COUNTIFS(LdCParty,$P720,LdCKey,"&lt;"&amp;$T720)+1)</f>
        <v/>
      </c>
      <c r="V720">
        <f>IF($U720="","",$P720&amp;"|"&amp;RIGHT("000000"&amp;$U720,6))</f>
        <v/>
      </c>
      <c r="W720">
        <f>IF($T720="","",COUNTIFS(LdBGroup,$R720,LdBKey,"&lt;"&amp;$T720)+1)</f>
        <v/>
      </c>
      <c r="X720">
        <f>IF($W720="","",$R720&amp;"|"&amp;RIGHT("000000"&amp;$W720,6))</f>
        <v/>
      </c>
      <c r="Y720">
        <f>IF($P720="","",IF(Shares!$E723="",0,Shares!$E723))</f>
        <v/>
      </c>
      <c r="Z720">
        <f>IF($P720="","",Shares!$H723)</f>
        <v/>
      </c>
      <c r="AE720">
        <f>IF(OR(Sync!$S720="",Sync!$P720=""),"",Sync!$S720)</f>
        <v/>
      </c>
      <c r="AF720">
        <f>IF($AE720="","",IF(ISNUMBER(Sync!$P720),IF(AND(Sync!$P720&gt;=10000101,Sync!$P720&lt;=99991231),INT(Sync!$P720/10000),""),IFERROR(VALUE(TRIM(LEFT(Sync!$P720,FIND("/",Sync!$P720)-1))),"")))</f>
        <v/>
      </c>
      <c r="AG720">
        <f>IF(OR($AE720="",$AF720=""),"",IF(ISNUMBER(Sync!$P720),INT(MOD(Sync!$P720,10000)/100),IFERROR(VALUE(TRIM(LEFT(MID(Sync!$P720,FIND("/",Sync!$P720)+1,20),FIND("/",MID(Sync!$P720,FIND("/",Sync!$P720)+1,20))-1))),"")))</f>
        <v/>
      </c>
      <c r="AH720">
        <f>IF(OR($AE720="",$AF720=""),"",IF(ISNUMBER(Sync!$P720),MOD(Sync!$P720,100),IFERROR(VALUE(TRIM(MID(MID(Sync!$P720,FIND("/",Sync!$P720)+1,20),FIND("/",MID(Sync!$P720,FIND("/",Sync!$P720)+1,20))+1,20))),"")))</f>
        <v/>
      </c>
      <c r="AI720">
        <f>IF($AE720="","",IF(OR($AF720="",$AG720="",$AH720="",$AF720&lt;1300,$AF720&gt;1500,$AG720&lt;1,$AG720&gt;12,$AH720&lt;1,$AH720&gt;31),"نامعتبر",RIGHT("0000"&amp;$AF720,4)&amp;"/"&amp;RIGHT("00"&amp;$AG720,2)&amp;"/"&amp;RIGHT("00"&amp;$AH720,2)))</f>
        <v/>
      </c>
      <c r="AJ720">
        <f>IF($AE720="","",IF(Sync!$Q720="","0000",IF(AND(ISNUMBER(Sync!$Q720),Sync!$Q720&gt;=0,Sync!$Q720&lt;1),RIGHT("00"&amp;HOUR(Sync!$Q720),2)&amp;RIGHT("00"&amp;MINUTE(Sync!$Q720),2),IFERROR(RIGHT("00"&amp;VALUE(LEFT(Sync!$Q720,FIND(":",Sync!$Q720)-1)),2)&amp;RIGHT("00"&amp;VALUE(MID(Sync!$Q720,FIND(":",Sync!$Q720)+1,2)),2),"0000"))))</f>
        <v/>
      </c>
      <c r="AK720">
        <f>IF(OR($AE720="",$AI720="",$AI720="نامعتبر"),"",LEFT($AI720,4)&amp;MID($AI720,6,2)&amp;RIGHT($AI720,2)&amp;$AJ720&amp;"|"&amp;"3"&amp;RIGHT("00000"&amp;715,5))</f>
        <v/>
      </c>
      <c r="AL720">
        <f>IF($AK720="","",COUNTIFS(LdAParty,$AE720,LdAType,1,LdAKey,"&lt;"&amp;$AK720)+COUNTIFS(LdBMember,$AE720,LdBKey,"&lt;"&amp;$AK720)+COUNTIFS(LdCParty,$AE720,LdCKey,"&lt;"&amp;$AK720)+1)</f>
        <v/>
      </c>
      <c r="AM720">
        <f>IF($AL720="","",$AE720&amp;"|"&amp;RIGHT("000000"&amp;$AL720,6))</f>
        <v/>
      </c>
      <c r="AN720">
        <f>IF($AE720="","",IF(Sync!$W720="",0,Sync!$W720))</f>
        <v/>
      </c>
      <c r="AO720">
        <f>IF($AE720="","",IF(Sync!$X720="",0,Sync!$X720))</f>
        <v/>
      </c>
      <c r="AP720">
        <f>IF($AE720="","",Sync!$R720)</f>
        <v/>
      </c>
      <c r="AQ720">
        <f>IF($AE720="","",Sync!$Y720)</f>
        <v/>
      </c>
    </row>
    <row r="721">
      <c r="A721">
        <f>IF(OR(Wages!$B724="",Wages!$E724=""),"",Wages!$E724)</f>
        <v/>
      </c>
      <c r="B721">
        <f>IF($A721="","",IF(Wages!$C724="دستمزد گروهی",2,1))</f>
        <v/>
      </c>
      <c r="C721">
        <f>IF($A721="","",IF(ISNUMBER(Wages!$B724),IF(AND(Wages!$B724&gt;=10000101,Wages!$B724&lt;=99991231),INT(Wages!$B724/10000),""),IFERROR(VALUE(TRIM(LEFT(Wages!$B724,FIND("/",Wages!$B724)-1))),"")))</f>
        <v/>
      </c>
      <c r="D721">
        <f>IF(OR($A721="",$C721=""),"",IF(ISNUMBER(Wages!$B724),INT(MOD(Wages!$B724,10000)/100),IFERROR(VALUE(TRIM(LEFT(MID(Wages!$B724,FIND("/",Wages!$B724)+1,20),FIND("/",MID(Wages!$B724,FIND("/",Wages!$B724)+1,20))-1))),"")))</f>
        <v/>
      </c>
      <c r="E721">
        <f>IF(OR($A721="",$C721=""),"",IF(ISNUMBER(Wages!$B724),MOD(Wages!$B724,100),IFERROR(VALUE(TRIM(MID(MID(Wages!$B724,FIND("/",Wages!$B724)+1,20),FIND("/",MID(Wages!$B724,FIND("/",Wages!$B724)+1,20))+1,20))),"")))</f>
        <v/>
      </c>
      <c r="F721">
        <f>IF($A721="","",IF(OR($C721="",$D721="",$E721="",$C721&lt;1300,$C721&gt;1500,$D721&lt;1,$D721&gt;12,$E721&lt;1,$E721&gt;31),"نامعتبر",RIGHT("0000"&amp;$C721,4)&amp;"/"&amp;RIGHT("00"&amp;$D721,2)&amp;"/"&amp;RIGHT("00"&amp;$E721,2)))</f>
        <v/>
      </c>
      <c r="G721">
        <f>IF(OR($A721="",$F721="",$F721="نامعتبر"),"",LEFT($F721,4)&amp;MID($F721,6,2)&amp;RIGHT($F721,2)&amp;"0000"&amp;"|"&amp;"1"&amp;RIGHT("00000"&amp;716,5))</f>
        <v/>
      </c>
      <c r="H721">
        <f>IF(OR($B721&lt;&gt;1,$G721=""),"",COUNTIFS(LdAParty,$A721,LdAType,1,LdAKey,"&lt;"&amp;$G721)+COUNTIFS(LdBMember,$A721,LdBKey,"&lt;"&amp;$G721)+COUNTIFS(LdCParty,$A721,LdCKey,"&lt;"&amp;$G721)+1)</f>
        <v/>
      </c>
      <c r="I721">
        <f>IF($H721="","",$A721&amp;"|"&amp;RIGHT("000000"&amp;$H721,6))</f>
        <v/>
      </c>
      <c r="J721">
        <f>IF(OR($B721&lt;&gt;2,$G721=""),"",COUNTIFS(LdAParty,$A721,LdAType,2,LdAKey,"&lt;"&amp;$G721)+1)</f>
        <v/>
      </c>
      <c r="K721">
        <f>IF($J721="","",$A721&amp;"|"&amp;RIGHT("000000"&amp;$J721,6))</f>
        <v/>
      </c>
      <c r="L721">
        <f>IF($A721="","",IF(Wages!$G724="",0,Wages!$G724))</f>
        <v/>
      </c>
      <c r="M721">
        <f>IF($A721="","",Wages!$J724)</f>
        <v/>
      </c>
      <c r="N721">
        <f>IF($A721="","",Wages!$D724)</f>
        <v/>
      </c>
      <c r="P721">
        <f>IF(OR(Shares!$B724="",Shares!$C724=""),"",Shares!$C724)</f>
        <v/>
      </c>
      <c r="Q721">
        <f>IF($P721="","",Shares!$B724)</f>
        <v/>
      </c>
      <c r="R721">
        <f>IF($P721="","",IFERROR(INDEX(WageParty,MATCH($Q721,WageIds,0)),""))</f>
        <v/>
      </c>
      <c r="S721">
        <f>IF($P721="","",IFERROR(INDEX($F$6:$F$2005,MATCH($Q721,WageIds,0)),""))</f>
        <v/>
      </c>
      <c r="T721">
        <f>IF(OR($P721="",$S721="",$S721="نامعتبر"),"",LEFT($S721,4)&amp;MID($S721,6,2)&amp;RIGHT($S721,2)&amp;"0000"&amp;"|"&amp;"2"&amp;RIGHT("00000"&amp;716,5))</f>
        <v/>
      </c>
      <c r="U721">
        <f>IF($T721="","",COUNTIFS(LdAParty,$P721,LdAType,1,LdAKey,"&lt;"&amp;$T721)+COUNTIFS(LdBMember,$P721,LdBKey,"&lt;"&amp;$T721)+COUNTIFS(LdCParty,$P721,LdCKey,"&lt;"&amp;$T721)+1)</f>
        <v/>
      </c>
      <c r="V721">
        <f>IF($U721="","",$P721&amp;"|"&amp;RIGHT("000000"&amp;$U721,6))</f>
        <v/>
      </c>
      <c r="W721">
        <f>IF($T721="","",COUNTIFS(LdBGroup,$R721,LdBKey,"&lt;"&amp;$T721)+1)</f>
        <v/>
      </c>
      <c r="X721">
        <f>IF($W721="","",$R721&amp;"|"&amp;RIGHT("000000"&amp;$W721,6))</f>
        <v/>
      </c>
      <c r="Y721">
        <f>IF($P721="","",IF(Shares!$E724="",0,Shares!$E724))</f>
        <v/>
      </c>
      <c r="Z721">
        <f>IF($P721="","",Shares!$H724)</f>
        <v/>
      </c>
      <c r="AE721">
        <f>IF(OR(Sync!$S721="",Sync!$P721=""),"",Sync!$S721)</f>
        <v/>
      </c>
      <c r="AF721">
        <f>IF($AE721="","",IF(ISNUMBER(Sync!$P721),IF(AND(Sync!$P721&gt;=10000101,Sync!$P721&lt;=99991231),INT(Sync!$P721/10000),""),IFERROR(VALUE(TRIM(LEFT(Sync!$P721,FIND("/",Sync!$P721)-1))),"")))</f>
        <v/>
      </c>
      <c r="AG721">
        <f>IF(OR($AE721="",$AF721=""),"",IF(ISNUMBER(Sync!$P721),INT(MOD(Sync!$P721,10000)/100),IFERROR(VALUE(TRIM(LEFT(MID(Sync!$P721,FIND("/",Sync!$P721)+1,20),FIND("/",MID(Sync!$P721,FIND("/",Sync!$P721)+1,20))-1))),"")))</f>
        <v/>
      </c>
      <c r="AH721">
        <f>IF(OR($AE721="",$AF721=""),"",IF(ISNUMBER(Sync!$P721),MOD(Sync!$P721,100),IFERROR(VALUE(TRIM(MID(MID(Sync!$P721,FIND("/",Sync!$P721)+1,20),FIND("/",MID(Sync!$P721,FIND("/",Sync!$P721)+1,20))+1,20))),"")))</f>
        <v/>
      </c>
      <c r="AI721">
        <f>IF($AE721="","",IF(OR($AF721="",$AG721="",$AH721="",$AF721&lt;1300,$AF721&gt;1500,$AG721&lt;1,$AG721&gt;12,$AH721&lt;1,$AH721&gt;31),"نامعتبر",RIGHT("0000"&amp;$AF721,4)&amp;"/"&amp;RIGHT("00"&amp;$AG721,2)&amp;"/"&amp;RIGHT("00"&amp;$AH721,2)))</f>
        <v/>
      </c>
      <c r="AJ721">
        <f>IF($AE721="","",IF(Sync!$Q721="","0000",IF(AND(ISNUMBER(Sync!$Q721),Sync!$Q721&gt;=0,Sync!$Q721&lt;1),RIGHT("00"&amp;HOUR(Sync!$Q721),2)&amp;RIGHT("00"&amp;MINUTE(Sync!$Q721),2),IFERROR(RIGHT("00"&amp;VALUE(LEFT(Sync!$Q721,FIND(":",Sync!$Q721)-1)),2)&amp;RIGHT("00"&amp;VALUE(MID(Sync!$Q721,FIND(":",Sync!$Q721)+1,2)),2),"0000"))))</f>
        <v/>
      </c>
      <c r="AK721">
        <f>IF(OR($AE721="",$AI721="",$AI721="نامعتبر"),"",LEFT($AI721,4)&amp;MID($AI721,6,2)&amp;RIGHT($AI721,2)&amp;$AJ721&amp;"|"&amp;"3"&amp;RIGHT("00000"&amp;716,5))</f>
        <v/>
      </c>
      <c r="AL721">
        <f>IF($AK721="","",COUNTIFS(LdAParty,$AE721,LdAType,1,LdAKey,"&lt;"&amp;$AK721)+COUNTIFS(LdBMember,$AE721,LdBKey,"&lt;"&amp;$AK721)+COUNTIFS(LdCParty,$AE721,LdCKey,"&lt;"&amp;$AK721)+1)</f>
        <v/>
      </c>
      <c r="AM721">
        <f>IF($AL721="","",$AE721&amp;"|"&amp;RIGHT("000000"&amp;$AL721,6))</f>
        <v/>
      </c>
      <c r="AN721">
        <f>IF($AE721="","",IF(Sync!$W721="",0,Sync!$W721))</f>
        <v/>
      </c>
      <c r="AO721">
        <f>IF($AE721="","",IF(Sync!$X721="",0,Sync!$X721))</f>
        <v/>
      </c>
      <c r="AP721">
        <f>IF($AE721="","",Sync!$R721)</f>
        <v/>
      </c>
      <c r="AQ721">
        <f>IF($AE721="","",Sync!$Y721)</f>
        <v/>
      </c>
    </row>
    <row r="722">
      <c r="A722">
        <f>IF(OR(Wages!$B725="",Wages!$E725=""),"",Wages!$E725)</f>
        <v/>
      </c>
      <c r="B722">
        <f>IF($A722="","",IF(Wages!$C725="دستمزد گروهی",2,1))</f>
        <v/>
      </c>
      <c r="C722">
        <f>IF($A722="","",IF(ISNUMBER(Wages!$B725),IF(AND(Wages!$B725&gt;=10000101,Wages!$B725&lt;=99991231),INT(Wages!$B725/10000),""),IFERROR(VALUE(TRIM(LEFT(Wages!$B725,FIND("/",Wages!$B725)-1))),"")))</f>
        <v/>
      </c>
      <c r="D722">
        <f>IF(OR($A722="",$C722=""),"",IF(ISNUMBER(Wages!$B725),INT(MOD(Wages!$B725,10000)/100),IFERROR(VALUE(TRIM(LEFT(MID(Wages!$B725,FIND("/",Wages!$B725)+1,20),FIND("/",MID(Wages!$B725,FIND("/",Wages!$B725)+1,20))-1))),"")))</f>
        <v/>
      </c>
      <c r="E722">
        <f>IF(OR($A722="",$C722=""),"",IF(ISNUMBER(Wages!$B725),MOD(Wages!$B725,100),IFERROR(VALUE(TRIM(MID(MID(Wages!$B725,FIND("/",Wages!$B725)+1,20),FIND("/",MID(Wages!$B725,FIND("/",Wages!$B725)+1,20))+1,20))),"")))</f>
        <v/>
      </c>
      <c r="F722">
        <f>IF($A722="","",IF(OR($C722="",$D722="",$E722="",$C722&lt;1300,$C722&gt;1500,$D722&lt;1,$D722&gt;12,$E722&lt;1,$E722&gt;31),"نامعتبر",RIGHT("0000"&amp;$C722,4)&amp;"/"&amp;RIGHT("00"&amp;$D722,2)&amp;"/"&amp;RIGHT("00"&amp;$E722,2)))</f>
        <v/>
      </c>
      <c r="G722">
        <f>IF(OR($A722="",$F722="",$F722="نامعتبر"),"",LEFT($F722,4)&amp;MID($F722,6,2)&amp;RIGHT($F722,2)&amp;"0000"&amp;"|"&amp;"1"&amp;RIGHT("00000"&amp;717,5))</f>
        <v/>
      </c>
      <c r="H722">
        <f>IF(OR($B722&lt;&gt;1,$G722=""),"",COUNTIFS(LdAParty,$A722,LdAType,1,LdAKey,"&lt;"&amp;$G722)+COUNTIFS(LdBMember,$A722,LdBKey,"&lt;"&amp;$G722)+COUNTIFS(LdCParty,$A722,LdCKey,"&lt;"&amp;$G722)+1)</f>
        <v/>
      </c>
      <c r="I722">
        <f>IF($H722="","",$A722&amp;"|"&amp;RIGHT("000000"&amp;$H722,6))</f>
        <v/>
      </c>
      <c r="J722">
        <f>IF(OR($B722&lt;&gt;2,$G722=""),"",COUNTIFS(LdAParty,$A722,LdAType,2,LdAKey,"&lt;"&amp;$G722)+1)</f>
        <v/>
      </c>
      <c r="K722">
        <f>IF($J722="","",$A722&amp;"|"&amp;RIGHT("000000"&amp;$J722,6))</f>
        <v/>
      </c>
      <c r="L722">
        <f>IF($A722="","",IF(Wages!$G725="",0,Wages!$G725))</f>
        <v/>
      </c>
      <c r="M722">
        <f>IF($A722="","",Wages!$J725)</f>
        <v/>
      </c>
      <c r="N722">
        <f>IF($A722="","",Wages!$D725)</f>
        <v/>
      </c>
      <c r="P722">
        <f>IF(OR(Shares!$B725="",Shares!$C725=""),"",Shares!$C725)</f>
        <v/>
      </c>
      <c r="Q722">
        <f>IF($P722="","",Shares!$B725)</f>
        <v/>
      </c>
      <c r="R722">
        <f>IF($P722="","",IFERROR(INDEX(WageParty,MATCH($Q722,WageIds,0)),""))</f>
        <v/>
      </c>
      <c r="S722">
        <f>IF($P722="","",IFERROR(INDEX($F$6:$F$2005,MATCH($Q722,WageIds,0)),""))</f>
        <v/>
      </c>
      <c r="T722">
        <f>IF(OR($P722="",$S722="",$S722="نامعتبر"),"",LEFT($S722,4)&amp;MID($S722,6,2)&amp;RIGHT($S722,2)&amp;"0000"&amp;"|"&amp;"2"&amp;RIGHT("00000"&amp;717,5))</f>
        <v/>
      </c>
      <c r="U722">
        <f>IF($T722="","",COUNTIFS(LdAParty,$P722,LdAType,1,LdAKey,"&lt;"&amp;$T722)+COUNTIFS(LdBMember,$P722,LdBKey,"&lt;"&amp;$T722)+COUNTIFS(LdCParty,$P722,LdCKey,"&lt;"&amp;$T722)+1)</f>
        <v/>
      </c>
      <c r="V722">
        <f>IF($U722="","",$P722&amp;"|"&amp;RIGHT("000000"&amp;$U722,6))</f>
        <v/>
      </c>
      <c r="W722">
        <f>IF($T722="","",COUNTIFS(LdBGroup,$R722,LdBKey,"&lt;"&amp;$T722)+1)</f>
        <v/>
      </c>
      <c r="X722">
        <f>IF($W722="","",$R722&amp;"|"&amp;RIGHT("000000"&amp;$W722,6))</f>
        <v/>
      </c>
      <c r="Y722">
        <f>IF($P722="","",IF(Shares!$E725="",0,Shares!$E725))</f>
        <v/>
      </c>
      <c r="Z722">
        <f>IF($P722="","",Shares!$H725)</f>
        <v/>
      </c>
      <c r="AE722">
        <f>IF(OR(Sync!$S722="",Sync!$P722=""),"",Sync!$S722)</f>
        <v/>
      </c>
      <c r="AF722">
        <f>IF($AE722="","",IF(ISNUMBER(Sync!$P722),IF(AND(Sync!$P722&gt;=10000101,Sync!$P722&lt;=99991231),INT(Sync!$P722/10000),""),IFERROR(VALUE(TRIM(LEFT(Sync!$P722,FIND("/",Sync!$P722)-1))),"")))</f>
        <v/>
      </c>
      <c r="AG722">
        <f>IF(OR($AE722="",$AF722=""),"",IF(ISNUMBER(Sync!$P722),INT(MOD(Sync!$P722,10000)/100),IFERROR(VALUE(TRIM(LEFT(MID(Sync!$P722,FIND("/",Sync!$P722)+1,20),FIND("/",MID(Sync!$P722,FIND("/",Sync!$P722)+1,20))-1))),"")))</f>
        <v/>
      </c>
      <c r="AH722">
        <f>IF(OR($AE722="",$AF722=""),"",IF(ISNUMBER(Sync!$P722),MOD(Sync!$P722,100),IFERROR(VALUE(TRIM(MID(MID(Sync!$P722,FIND("/",Sync!$P722)+1,20),FIND("/",MID(Sync!$P722,FIND("/",Sync!$P722)+1,20))+1,20))),"")))</f>
        <v/>
      </c>
      <c r="AI722">
        <f>IF($AE722="","",IF(OR($AF722="",$AG722="",$AH722="",$AF722&lt;1300,$AF722&gt;1500,$AG722&lt;1,$AG722&gt;12,$AH722&lt;1,$AH722&gt;31),"نامعتبر",RIGHT("0000"&amp;$AF722,4)&amp;"/"&amp;RIGHT("00"&amp;$AG722,2)&amp;"/"&amp;RIGHT("00"&amp;$AH722,2)))</f>
        <v/>
      </c>
      <c r="AJ722">
        <f>IF($AE722="","",IF(Sync!$Q722="","0000",IF(AND(ISNUMBER(Sync!$Q722),Sync!$Q722&gt;=0,Sync!$Q722&lt;1),RIGHT("00"&amp;HOUR(Sync!$Q722),2)&amp;RIGHT("00"&amp;MINUTE(Sync!$Q722),2),IFERROR(RIGHT("00"&amp;VALUE(LEFT(Sync!$Q722,FIND(":",Sync!$Q722)-1)),2)&amp;RIGHT("00"&amp;VALUE(MID(Sync!$Q722,FIND(":",Sync!$Q722)+1,2)),2),"0000"))))</f>
        <v/>
      </c>
      <c r="AK722">
        <f>IF(OR($AE722="",$AI722="",$AI722="نامعتبر"),"",LEFT($AI722,4)&amp;MID($AI722,6,2)&amp;RIGHT($AI722,2)&amp;$AJ722&amp;"|"&amp;"3"&amp;RIGHT("00000"&amp;717,5))</f>
        <v/>
      </c>
      <c r="AL722">
        <f>IF($AK722="","",COUNTIFS(LdAParty,$AE722,LdAType,1,LdAKey,"&lt;"&amp;$AK722)+COUNTIFS(LdBMember,$AE722,LdBKey,"&lt;"&amp;$AK722)+COUNTIFS(LdCParty,$AE722,LdCKey,"&lt;"&amp;$AK722)+1)</f>
        <v/>
      </c>
      <c r="AM722">
        <f>IF($AL722="","",$AE722&amp;"|"&amp;RIGHT("000000"&amp;$AL722,6))</f>
        <v/>
      </c>
      <c r="AN722">
        <f>IF($AE722="","",IF(Sync!$W722="",0,Sync!$W722))</f>
        <v/>
      </c>
      <c r="AO722">
        <f>IF($AE722="","",IF(Sync!$X722="",0,Sync!$X722))</f>
        <v/>
      </c>
      <c r="AP722">
        <f>IF($AE722="","",Sync!$R722)</f>
        <v/>
      </c>
      <c r="AQ722">
        <f>IF($AE722="","",Sync!$Y722)</f>
        <v/>
      </c>
    </row>
    <row r="723">
      <c r="A723">
        <f>IF(OR(Wages!$B726="",Wages!$E726=""),"",Wages!$E726)</f>
        <v/>
      </c>
      <c r="B723">
        <f>IF($A723="","",IF(Wages!$C726="دستمزد گروهی",2,1))</f>
        <v/>
      </c>
      <c r="C723">
        <f>IF($A723="","",IF(ISNUMBER(Wages!$B726),IF(AND(Wages!$B726&gt;=10000101,Wages!$B726&lt;=99991231),INT(Wages!$B726/10000),""),IFERROR(VALUE(TRIM(LEFT(Wages!$B726,FIND("/",Wages!$B726)-1))),"")))</f>
        <v/>
      </c>
      <c r="D723">
        <f>IF(OR($A723="",$C723=""),"",IF(ISNUMBER(Wages!$B726),INT(MOD(Wages!$B726,10000)/100),IFERROR(VALUE(TRIM(LEFT(MID(Wages!$B726,FIND("/",Wages!$B726)+1,20),FIND("/",MID(Wages!$B726,FIND("/",Wages!$B726)+1,20))-1))),"")))</f>
        <v/>
      </c>
      <c r="E723">
        <f>IF(OR($A723="",$C723=""),"",IF(ISNUMBER(Wages!$B726),MOD(Wages!$B726,100),IFERROR(VALUE(TRIM(MID(MID(Wages!$B726,FIND("/",Wages!$B726)+1,20),FIND("/",MID(Wages!$B726,FIND("/",Wages!$B726)+1,20))+1,20))),"")))</f>
        <v/>
      </c>
      <c r="F723">
        <f>IF($A723="","",IF(OR($C723="",$D723="",$E723="",$C723&lt;1300,$C723&gt;1500,$D723&lt;1,$D723&gt;12,$E723&lt;1,$E723&gt;31),"نامعتبر",RIGHT("0000"&amp;$C723,4)&amp;"/"&amp;RIGHT("00"&amp;$D723,2)&amp;"/"&amp;RIGHT("00"&amp;$E723,2)))</f>
        <v/>
      </c>
      <c r="G723">
        <f>IF(OR($A723="",$F723="",$F723="نامعتبر"),"",LEFT($F723,4)&amp;MID($F723,6,2)&amp;RIGHT($F723,2)&amp;"0000"&amp;"|"&amp;"1"&amp;RIGHT("00000"&amp;718,5))</f>
        <v/>
      </c>
      <c r="H723">
        <f>IF(OR($B723&lt;&gt;1,$G723=""),"",COUNTIFS(LdAParty,$A723,LdAType,1,LdAKey,"&lt;"&amp;$G723)+COUNTIFS(LdBMember,$A723,LdBKey,"&lt;"&amp;$G723)+COUNTIFS(LdCParty,$A723,LdCKey,"&lt;"&amp;$G723)+1)</f>
        <v/>
      </c>
      <c r="I723">
        <f>IF($H723="","",$A723&amp;"|"&amp;RIGHT("000000"&amp;$H723,6))</f>
        <v/>
      </c>
      <c r="J723">
        <f>IF(OR($B723&lt;&gt;2,$G723=""),"",COUNTIFS(LdAParty,$A723,LdAType,2,LdAKey,"&lt;"&amp;$G723)+1)</f>
        <v/>
      </c>
      <c r="K723">
        <f>IF($J723="","",$A723&amp;"|"&amp;RIGHT("000000"&amp;$J723,6))</f>
        <v/>
      </c>
      <c r="L723">
        <f>IF($A723="","",IF(Wages!$G726="",0,Wages!$G726))</f>
        <v/>
      </c>
      <c r="M723">
        <f>IF($A723="","",Wages!$J726)</f>
        <v/>
      </c>
      <c r="N723">
        <f>IF($A723="","",Wages!$D726)</f>
        <v/>
      </c>
      <c r="P723">
        <f>IF(OR(Shares!$B726="",Shares!$C726=""),"",Shares!$C726)</f>
        <v/>
      </c>
      <c r="Q723">
        <f>IF($P723="","",Shares!$B726)</f>
        <v/>
      </c>
      <c r="R723">
        <f>IF($P723="","",IFERROR(INDEX(WageParty,MATCH($Q723,WageIds,0)),""))</f>
        <v/>
      </c>
      <c r="S723">
        <f>IF($P723="","",IFERROR(INDEX($F$6:$F$2005,MATCH($Q723,WageIds,0)),""))</f>
        <v/>
      </c>
      <c r="T723">
        <f>IF(OR($P723="",$S723="",$S723="نامعتبر"),"",LEFT($S723,4)&amp;MID($S723,6,2)&amp;RIGHT($S723,2)&amp;"0000"&amp;"|"&amp;"2"&amp;RIGHT("00000"&amp;718,5))</f>
        <v/>
      </c>
      <c r="U723">
        <f>IF($T723="","",COUNTIFS(LdAParty,$P723,LdAType,1,LdAKey,"&lt;"&amp;$T723)+COUNTIFS(LdBMember,$P723,LdBKey,"&lt;"&amp;$T723)+COUNTIFS(LdCParty,$P723,LdCKey,"&lt;"&amp;$T723)+1)</f>
        <v/>
      </c>
      <c r="V723">
        <f>IF($U723="","",$P723&amp;"|"&amp;RIGHT("000000"&amp;$U723,6))</f>
        <v/>
      </c>
      <c r="W723">
        <f>IF($T723="","",COUNTIFS(LdBGroup,$R723,LdBKey,"&lt;"&amp;$T723)+1)</f>
        <v/>
      </c>
      <c r="X723">
        <f>IF($W723="","",$R723&amp;"|"&amp;RIGHT("000000"&amp;$W723,6))</f>
        <v/>
      </c>
      <c r="Y723">
        <f>IF($P723="","",IF(Shares!$E726="",0,Shares!$E726))</f>
        <v/>
      </c>
      <c r="Z723">
        <f>IF($P723="","",Shares!$H726)</f>
        <v/>
      </c>
      <c r="AE723">
        <f>IF(OR(Sync!$S723="",Sync!$P723=""),"",Sync!$S723)</f>
        <v/>
      </c>
      <c r="AF723">
        <f>IF($AE723="","",IF(ISNUMBER(Sync!$P723),IF(AND(Sync!$P723&gt;=10000101,Sync!$P723&lt;=99991231),INT(Sync!$P723/10000),""),IFERROR(VALUE(TRIM(LEFT(Sync!$P723,FIND("/",Sync!$P723)-1))),"")))</f>
        <v/>
      </c>
      <c r="AG723">
        <f>IF(OR($AE723="",$AF723=""),"",IF(ISNUMBER(Sync!$P723),INT(MOD(Sync!$P723,10000)/100),IFERROR(VALUE(TRIM(LEFT(MID(Sync!$P723,FIND("/",Sync!$P723)+1,20),FIND("/",MID(Sync!$P723,FIND("/",Sync!$P723)+1,20))-1))),"")))</f>
        <v/>
      </c>
      <c r="AH723">
        <f>IF(OR($AE723="",$AF723=""),"",IF(ISNUMBER(Sync!$P723),MOD(Sync!$P723,100),IFERROR(VALUE(TRIM(MID(MID(Sync!$P723,FIND("/",Sync!$P723)+1,20),FIND("/",MID(Sync!$P723,FIND("/",Sync!$P723)+1,20))+1,20))),"")))</f>
        <v/>
      </c>
      <c r="AI723">
        <f>IF($AE723="","",IF(OR($AF723="",$AG723="",$AH723="",$AF723&lt;1300,$AF723&gt;1500,$AG723&lt;1,$AG723&gt;12,$AH723&lt;1,$AH723&gt;31),"نامعتبر",RIGHT("0000"&amp;$AF723,4)&amp;"/"&amp;RIGHT("00"&amp;$AG723,2)&amp;"/"&amp;RIGHT("00"&amp;$AH723,2)))</f>
        <v/>
      </c>
      <c r="AJ723">
        <f>IF($AE723="","",IF(Sync!$Q723="","0000",IF(AND(ISNUMBER(Sync!$Q723),Sync!$Q723&gt;=0,Sync!$Q723&lt;1),RIGHT("00"&amp;HOUR(Sync!$Q723),2)&amp;RIGHT("00"&amp;MINUTE(Sync!$Q723),2),IFERROR(RIGHT("00"&amp;VALUE(LEFT(Sync!$Q723,FIND(":",Sync!$Q723)-1)),2)&amp;RIGHT("00"&amp;VALUE(MID(Sync!$Q723,FIND(":",Sync!$Q723)+1,2)),2),"0000"))))</f>
        <v/>
      </c>
      <c r="AK723">
        <f>IF(OR($AE723="",$AI723="",$AI723="نامعتبر"),"",LEFT($AI723,4)&amp;MID($AI723,6,2)&amp;RIGHT($AI723,2)&amp;$AJ723&amp;"|"&amp;"3"&amp;RIGHT("00000"&amp;718,5))</f>
        <v/>
      </c>
      <c r="AL723">
        <f>IF($AK723="","",COUNTIFS(LdAParty,$AE723,LdAType,1,LdAKey,"&lt;"&amp;$AK723)+COUNTIFS(LdBMember,$AE723,LdBKey,"&lt;"&amp;$AK723)+COUNTIFS(LdCParty,$AE723,LdCKey,"&lt;"&amp;$AK723)+1)</f>
        <v/>
      </c>
      <c r="AM723">
        <f>IF($AL723="","",$AE723&amp;"|"&amp;RIGHT("000000"&amp;$AL723,6))</f>
        <v/>
      </c>
      <c r="AN723">
        <f>IF($AE723="","",IF(Sync!$W723="",0,Sync!$W723))</f>
        <v/>
      </c>
      <c r="AO723">
        <f>IF($AE723="","",IF(Sync!$X723="",0,Sync!$X723))</f>
        <v/>
      </c>
      <c r="AP723">
        <f>IF($AE723="","",Sync!$R723)</f>
        <v/>
      </c>
      <c r="AQ723">
        <f>IF($AE723="","",Sync!$Y723)</f>
        <v/>
      </c>
    </row>
    <row r="724">
      <c r="A724">
        <f>IF(OR(Wages!$B727="",Wages!$E727=""),"",Wages!$E727)</f>
        <v/>
      </c>
      <c r="B724">
        <f>IF($A724="","",IF(Wages!$C727="دستمزد گروهی",2,1))</f>
        <v/>
      </c>
      <c r="C724">
        <f>IF($A724="","",IF(ISNUMBER(Wages!$B727),IF(AND(Wages!$B727&gt;=10000101,Wages!$B727&lt;=99991231),INT(Wages!$B727/10000),""),IFERROR(VALUE(TRIM(LEFT(Wages!$B727,FIND("/",Wages!$B727)-1))),"")))</f>
        <v/>
      </c>
      <c r="D724">
        <f>IF(OR($A724="",$C724=""),"",IF(ISNUMBER(Wages!$B727),INT(MOD(Wages!$B727,10000)/100),IFERROR(VALUE(TRIM(LEFT(MID(Wages!$B727,FIND("/",Wages!$B727)+1,20),FIND("/",MID(Wages!$B727,FIND("/",Wages!$B727)+1,20))-1))),"")))</f>
        <v/>
      </c>
      <c r="E724">
        <f>IF(OR($A724="",$C724=""),"",IF(ISNUMBER(Wages!$B727),MOD(Wages!$B727,100),IFERROR(VALUE(TRIM(MID(MID(Wages!$B727,FIND("/",Wages!$B727)+1,20),FIND("/",MID(Wages!$B727,FIND("/",Wages!$B727)+1,20))+1,20))),"")))</f>
        <v/>
      </c>
      <c r="F724">
        <f>IF($A724="","",IF(OR($C724="",$D724="",$E724="",$C724&lt;1300,$C724&gt;1500,$D724&lt;1,$D724&gt;12,$E724&lt;1,$E724&gt;31),"نامعتبر",RIGHT("0000"&amp;$C724,4)&amp;"/"&amp;RIGHT("00"&amp;$D724,2)&amp;"/"&amp;RIGHT("00"&amp;$E724,2)))</f>
        <v/>
      </c>
      <c r="G724">
        <f>IF(OR($A724="",$F724="",$F724="نامعتبر"),"",LEFT($F724,4)&amp;MID($F724,6,2)&amp;RIGHT($F724,2)&amp;"0000"&amp;"|"&amp;"1"&amp;RIGHT("00000"&amp;719,5))</f>
        <v/>
      </c>
      <c r="H724">
        <f>IF(OR($B724&lt;&gt;1,$G724=""),"",COUNTIFS(LdAParty,$A724,LdAType,1,LdAKey,"&lt;"&amp;$G724)+COUNTIFS(LdBMember,$A724,LdBKey,"&lt;"&amp;$G724)+COUNTIFS(LdCParty,$A724,LdCKey,"&lt;"&amp;$G724)+1)</f>
        <v/>
      </c>
      <c r="I724">
        <f>IF($H724="","",$A724&amp;"|"&amp;RIGHT("000000"&amp;$H724,6))</f>
        <v/>
      </c>
      <c r="J724">
        <f>IF(OR($B724&lt;&gt;2,$G724=""),"",COUNTIFS(LdAParty,$A724,LdAType,2,LdAKey,"&lt;"&amp;$G724)+1)</f>
        <v/>
      </c>
      <c r="K724">
        <f>IF($J724="","",$A724&amp;"|"&amp;RIGHT("000000"&amp;$J724,6))</f>
        <v/>
      </c>
      <c r="L724">
        <f>IF($A724="","",IF(Wages!$G727="",0,Wages!$G727))</f>
        <v/>
      </c>
      <c r="M724">
        <f>IF($A724="","",Wages!$J727)</f>
        <v/>
      </c>
      <c r="N724">
        <f>IF($A724="","",Wages!$D727)</f>
        <v/>
      </c>
      <c r="P724">
        <f>IF(OR(Shares!$B727="",Shares!$C727=""),"",Shares!$C727)</f>
        <v/>
      </c>
      <c r="Q724">
        <f>IF($P724="","",Shares!$B727)</f>
        <v/>
      </c>
      <c r="R724">
        <f>IF($P724="","",IFERROR(INDEX(WageParty,MATCH($Q724,WageIds,0)),""))</f>
        <v/>
      </c>
      <c r="S724">
        <f>IF($P724="","",IFERROR(INDEX($F$6:$F$2005,MATCH($Q724,WageIds,0)),""))</f>
        <v/>
      </c>
      <c r="T724">
        <f>IF(OR($P724="",$S724="",$S724="نامعتبر"),"",LEFT($S724,4)&amp;MID($S724,6,2)&amp;RIGHT($S724,2)&amp;"0000"&amp;"|"&amp;"2"&amp;RIGHT("00000"&amp;719,5))</f>
        <v/>
      </c>
      <c r="U724">
        <f>IF($T724="","",COUNTIFS(LdAParty,$P724,LdAType,1,LdAKey,"&lt;"&amp;$T724)+COUNTIFS(LdBMember,$P724,LdBKey,"&lt;"&amp;$T724)+COUNTIFS(LdCParty,$P724,LdCKey,"&lt;"&amp;$T724)+1)</f>
        <v/>
      </c>
      <c r="V724">
        <f>IF($U724="","",$P724&amp;"|"&amp;RIGHT("000000"&amp;$U724,6))</f>
        <v/>
      </c>
      <c r="W724">
        <f>IF($T724="","",COUNTIFS(LdBGroup,$R724,LdBKey,"&lt;"&amp;$T724)+1)</f>
        <v/>
      </c>
      <c r="X724">
        <f>IF($W724="","",$R724&amp;"|"&amp;RIGHT("000000"&amp;$W724,6))</f>
        <v/>
      </c>
      <c r="Y724">
        <f>IF($P724="","",IF(Shares!$E727="",0,Shares!$E727))</f>
        <v/>
      </c>
      <c r="Z724">
        <f>IF($P724="","",Shares!$H727)</f>
        <v/>
      </c>
      <c r="AE724">
        <f>IF(OR(Sync!$S724="",Sync!$P724=""),"",Sync!$S724)</f>
        <v/>
      </c>
      <c r="AF724">
        <f>IF($AE724="","",IF(ISNUMBER(Sync!$P724),IF(AND(Sync!$P724&gt;=10000101,Sync!$P724&lt;=99991231),INT(Sync!$P724/10000),""),IFERROR(VALUE(TRIM(LEFT(Sync!$P724,FIND("/",Sync!$P724)-1))),"")))</f>
        <v/>
      </c>
      <c r="AG724">
        <f>IF(OR($AE724="",$AF724=""),"",IF(ISNUMBER(Sync!$P724),INT(MOD(Sync!$P724,10000)/100),IFERROR(VALUE(TRIM(LEFT(MID(Sync!$P724,FIND("/",Sync!$P724)+1,20),FIND("/",MID(Sync!$P724,FIND("/",Sync!$P724)+1,20))-1))),"")))</f>
        <v/>
      </c>
      <c r="AH724">
        <f>IF(OR($AE724="",$AF724=""),"",IF(ISNUMBER(Sync!$P724),MOD(Sync!$P724,100),IFERROR(VALUE(TRIM(MID(MID(Sync!$P724,FIND("/",Sync!$P724)+1,20),FIND("/",MID(Sync!$P724,FIND("/",Sync!$P724)+1,20))+1,20))),"")))</f>
        <v/>
      </c>
      <c r="AI724">
        <f>IF($AE724="","",IF(OR($AF724="",$AG724="",$AH724="",$AF724&lt;1300,$AF724&gt;1500,$AG724&lt;1,$AG724&gt;12,$AH724&lt;1,$AH724&gt;31),"نامعتبر",RIGHT("0000"&amp;$AF724,4)&amp;"/"&amp;RIGHT("00"&amp;$AG724,2)&amp;"/"&amp;RIGHT("00"&amp;$AH724,2)))</f>
        <v/>
      </c>
      <c r="AJ724">
        <f>IF($AE724="","",IF(Sync!$Q724="","0000",IF(AND(ISNUMBER(Sync!$Q724),Sync!$Q724&gt;=0,Sync!$Q724&lt;1),RIGHT("00"&amp;HOUR(Sync!$Q724),2)&amp;RIGHT("00"&amp;MINUTE(Sync!$Q724),2),IFERROR(RIGHT("00"&amp;VALUE(LEFT(Sync!$Q724,FIND(":",Sync!$Q724)-1)),2)&amp;RIGHT("00"&amp;VALUE(MID(Sync!$Q724,FIND(":",Sync!$Q724)+1,2)),2),"0000"))))</f>
        <v/>
      </c>
      <c r="AK724">
        <f>IF(OR($AE724="",$AI724="",$AI724="نامعتبر"),"",LEFT($AI724,4)&amp;MID($AI724,6,2)&amp;RIGHT($AI724,2)&amp;$AJ724&amp;"|"&amp;"3"&amp;RIGHT("00000"&amp;719,5))</f>
        <v/>
      </c>
      <c r="AL724">
        <f>IF($AK724="","",COUNTIFS(LdAParty,$AE724,LdAType,1,LdAKey,"&lt;"&amp;$AK724)+COUNTIFS(LdBMember,$AE724,LdBKey,"&lt;"&amp;$AK724)+COUNTIFS(LdCParty,$AE724,LdCKey,"&lt;"&amp;$AK724)+1)</f>
        <v/>
      </c>
      <c r="AM724">
        <f>IF($AL724="","",$AE724&amp;"|"&amp;RIGHT("000000"&amp;$AL724,6))</f>
        <v/>
      </c>
      <c r="AN724">
        <f>IF($AE724="","",IF(Sync!$W724="",0,Sync!$W724))</f>
        <v/>
      </c>
      <c r="AO724">
        <f>IF($AE724="","",IF(Sync!$X724="",0,Sync!$X724))</f>
        <v/>
      </c>
      <c r="AP724">
        <f>IF($AE724="","",Sync!$R724)</f>
        <v/>
      </c>
      <c r="AQ724">
        <f>IF($AE724="","",Sync!$Y724)</f>
        <v/>
      </c>
    </row>
    <row r="725">
      <c r="A725">
        <f>IF(OR(Wages!$B728="",Wages!$E728=""),"",Wages!$E728)</f>
        <v/>
      </c>
      <c r="B725">
        <f>IF($A725="","",IF(Wages!$C728="دستمزد گروهی",2,1))</f>
        <v/>
      </c>
      <c r="C725">
        <f>IF($A725="","",IF(ISNUMBER(Wages!$B728),IF(AND(Wages!$B728&gt;=10000101,Wages!$B728&lt;=99991231),INT(Wages!$B728/10000),""),IFERROR(VALUE(TRIM(LEFT(Wages!$B728,FIND("/",Wages!$B728)-1))),"")))</f>
        <v/>
      </c>
      <c r="D725">
        <f>IF(OR($A725="",$C725=""),"",IF(ISNUMBER(Wages!$B728),INT(MOD(Wages!$B728,10000)/100),IFERROR(VALUE(TRIM(LEFT(MID(Wages!$B728,FIND("/",Wages!$B728)+1,20),FIND("/",MID(Wages!$B728,FIND("/",Wages!$B728)+1,20))-1))),"")))</f>
        <v/>
      </c>
      <c r="E725">
        <f>IF(OR($A725="",$C725=""),"",IF(ISNUMBER(Wages!$B728),MOD(Wages!$B728,100),IFERROR(VALUE(TRIM(MID(MID(Wages!$B728,FIND("/",Wages!$B728)+1,20),FIND("/",MID(Wages!$B728,FIND("/",Wages!$B728)+1,20))+1,20))),"")))</f>
        <v/>
      </c>
      <c r="F725">
        <f>IF($A725="","",IF(OR($C725="",$D725="",$E725="",$C725&lt;1300,$C725&gt;1500,$D725&lt;1,$D725&gt;12,$E725&lt;1,$E725&gt;31),"نامعتبر",RIGHT("0000"&amp;$C725,4)&amp;"/"&amp;RIGHT("00"&amp;$D725,2)&amp;"/"&amp;RIGHT("00"&amp;$E725,2)))</f>
        <v/>
      </c>
      <c r="G725">
        <f>IF(OR($A725="",$F725="",$F725="نامعتبر"),"",LEFT($F725,4)&amp;MID($F725,6,2)&amp;RIGHT($F725,2)&amp;"0000"&amp;"|"&amp;"1"&amp;RIGHT("00000"&amp;720,5))</f>
        <v/>
      </c>
      <c r="H725">
        <f>IF(OR($B725&lt;&gt;1,$G725=""),"",COUNTIFS(LdAParty,$A725,LdAType,1,LdAKey,"&lt;"&amp;$G725)+COUNTIFS(LdBMember,$A725,LdBKey,"&lt;"&amp;$G725)+COUNTIFS(LdCParty,$A725,LdCKey,"&lt;"&amp;$G725)+1)</f>
        <v/>
      </c>
      <c r="I725">
        <f>IF($H725="","",$A725&amp;"|"&amp;RIGHT("000000"&amp;$H725,6))</f>
        <v/>
      </c>
      <c r="J725">
        <f>IF(OR($B725&lt;&gt;2,$G725=""),"",COUNTIFS(LdAParty,$A725,LdAType,2,LdAKey,"&lt;"&amp;$G725)+1)</f>
        <v/>
      </c>
      <c r="K725">
        <f>IF($J725="","",$A725&amp;"|"&amp;RIGHT("000000"&amp;$J725,6))</f>
        <v/>
      </c>
      <c r="L725">
        <f>IF($A725="","",IF(Wages!$G728="",0,Wages!$G728))</f>
        <v/>
      </c>
      <c r="M725">
        <f>IF($A725="","",Wages!$J728)</f>
        <v/>
      </c>
      <c r="N725">
        <f>IF($A725="","",Wages!$D728)</f>
        <v/>
      </c>
      <c r="P725">
        <f>IF(OR(Shares!$B728="",Shares!$C728=""),"",Shares!$C728)</f>
        <v/>
      </c>
      <c r="Q725">
        <f>IF($P725="","",Shares!$B728)</f>
        <v/>
      </c>
      <c r="R725">
        <f>IF($P725="","",IFERROR(INDEX(WageParty,MATCH($Q725,WageIds,0)),""))</f>
        <v/>
      </c>
      <c r="S725">
        <f>IF($P725="","",IFERROR(INDEX($F$6:$F$2005,MATCH($Q725,WageIds,0)),""))</f>
        <v/>
      </c>
      <c r="T725">
        <f>IF(OR($P725="",$S725="",$S725="نامعتبر"),"",LEFT($S725,4)&amp;MID($S725,6,2)&amp;RIGHT($S725,2)&amp;"0000"&amp;"|"&amp;"2"&amp;RIGHT("00000"&amp;720,5))</f>
        <v/>
      </c>
      <c r="U725">
        <f>IF($T725="","",COUNTIFS(LdAParty,$P725,LdAType,1,LdAKey,"&lt;"&amp;$T725)+COUNTIFS(LdBMember,$P725,LdBKey,"&lt;"&amp;$T725)+COUNTIFS(LdCParty,$P725,LdCKey,"&lt;"&amp;$T725)+1)</f>
        <v/>
      </c>
      <c r="V725">
        <f>IF($U725="","",$P725&amp;"|"&amp;RIGHT("000000"&amp;$U725,6))</f>
        <v/>
      </c>
      <c r="W725">
        <f>IF($T725="","",COUNTIFS(LdBGroup,$R725,LdBKey,"&lt;"&amp;$T725)+1)</f>
        <v/>
      </c>
      <c r="X725">
        <f>IF($W725="","",$R725&amp;"|"&amp;RIGHT("000000"&amp;$W725,6))</f>
        <v/>
      </c>
      <c r="Y725">
        <f>IF($P725="","",IF(Shares!$E728="",0,Shares!$E728))</f>
        <v/>
      </c>
      <c r="Z725">
        <f>IF($P725="","",Shares!$H728)</f>
        <v/>
      </c>
      <c r="AE725">
        <f>IF(OR(Sync!$S725="",Sync!$P725=""),"",Sync!$S725)</f>
        <v/>
      </c>
      <c r="AF725">
        <f>IF($AE725="","",IF(ISNUMBER(Sync!$P725),IF(AND(Sync!$P725&gt;=10000101,Sync!$P725&lt;=99991231),INT(Sync!$P725/10000),""),IFERROR(VALUE(TRIM(LEFT(Sync!$P725,FIND("/",Sync!$P725)-1))),"")))</f>
        <v/>
      </c>
      <c r="AG725">
        <f>IF(OR($AE725="",$AF725=""),"",IF(ISNUMBER(Sync!$P725),INT(MOD(Sync!$P725,10000)/100),IFERROR(VALUE(TRIM(LEFT(MID(Sync!$P725,FIND("/",Sync!$P725)+1,20),FIND("/",MID(Sync!$P725,FIND("/",Sync!$P725)+1,20))-1))),"")))</f>
        <v/>
      </c>
      <c r="AH725">
        <f>IF(OR($AE725="",$AF725=""),"",IF(ISNUMBER(Sync!$P725),MOD(Sync!$P725,100),IFERROR(VALUE(TRIM(MID(MID(Sync!$P725,FIND("/",Sync!$P725)+1,20),FIND("/",MID(Sync!$P725,FIND("/",Sync!$P725)+1,20))+1,20))),"")))</f>
        <v/>
      </c>
      <c r="AI725">
        <f>IF($AE725="","",IF(OR($AF725="",$AG725="",$AH725="",$AF725&lt;1300,$AF725&gt;1500,$AG725&lt;1,$AG725&gt;12,$AH725&lt;1,$AH725&gt;31),"نامعتبر",RIGHT("0000"&amp;$AF725,4)&amp;"/"&amp;RIGHT("00"&amp;$AG725,2)&amp;"/"&amp;RIGHT("00"&amp;$AH725,2)))</f>
        <v/>
      </c>
      <c r="AJ725">
        <f>IF($AE725="","",IF(Sync!$Q725="","0000",IF(AND(ISNUMBER(Sync!$Q725),Sync!$Q725&gt;=0,Sync!$Q725&lt;1),RIGHT("00"&amp;HOUR(Sync!$Q725),2)&amp;RIGHT("00"&amp;MINUTE(Sync!$Q725),2),IFERROR(RIGHT("00"&amp;VALUE(LEFT(Sync!$Q725,FIND(":",Sync!$Q725)-1)),2)&amp;RIGHT("00"&amp;VALUE(MID(Sync!$Q725,FIND(":",Sync!$Q725)+1,2)),2),"0000"))))</f>
        <v/>
      </c>
      <c r="AK725">
        <f>IF(OR($AE725="",$AI725="",$AI725="نامعتبر"),"",LEFT($AI725,4)&amp;MID($AI725,6,2)&amp;RIGHT($AI725,2)&amp;$AJ725&amp;"|"&amp;"3"&amp;RIGHT("00000"&amp;720,5))</f>
        <v/>
      </c>
      <c r="AL725">
        <f>IF($AK725="","",COUNTIFS(LdAParty,$AE725,LdAType,1,LdAKey,"&lt;"&amp;$AK725)+COUNTIFS(LdBMember,$AE725,LdBKey,"&lt;"&amp;$AK725)+COUNTIFS(LdCParty,$AE725,LdCKey,"&lt;"&amp;$AK725)+1)</f>
        <v/>
      </c>
      <c r="AM725">
        <f>IF($AL725="","",$AE725&amp;"|"&amp;RIGHT("000000"&amp;$AL725,6))</f>
        <v/>
      </c>
      <c r="AN725">
        <f>IF($AE725="","",IF(Sync!$W725="",0,Sync!$W725))</f>
        <v/>
      </c>
      <c r="AO725">
        <f>IF($AE725="","",IF(Sync!$X725="",0,Sync!$X725))</f>
        <v/>
      </c>
      <c r="AP725">
        <f>IF($AE725="","",Sync!$R725)</f>
        <v/>
      </c>
      <c r="AQ725">
        <f>IF($AE725="","",Sync!$Y725)</f>
        <v/>
      </c>
    </row>
    <row r="726">
      <c r="A726">
        <f>IF(OR(Wages!$B729="",Wages!$E729=""),"",Wages!$E729)</f>
        <v/>
      </c>
      <c r="B726">
        <f>IF($A726="","",IF(Wages!$C729="دستمزد گروهی",2,1))</f>
        <v/>
      </c>
      <c r="C726">
        <f>IF($A726="","",IF(ISNUMBER(Wages!$B729),IF(AND(Wages!$B729&gt;=10000101,Wages!$B729&lt;=99991231),INT(Wages!$B729/10000),""),IFERROR(VALUE(TRIM(LEFT(Wages!$B729,FIND("/",Wages!$B729)-1))),"")))</f>
        <v/>
      </c>
      <c r="D726">
        <f>IF(OR($A726="",$C726=""),"",IF(ISNUMBER(Wages!$B729),INT(MOD(Wages!$B729,10000)/100),IFERROR(VALUE(TRIM(LEFT(MID(Wages!$B729,FIND("/",Wages!$B729)+1,20),FIND("/",MID(Wages!$B729,FIND("/",Wages!$B729)+1,20))-1))),"")))</f>
        <v/>
      </c>
      <c r="E726">
        <f>IF(OR($A726="",$C726=""),"",IF(ISNUMBER(Wages!$B729),MOD(Wages!$B729,100),IFERROR(VALUE(TRIM(MID(MID(Wages!$B729,FIND("/",Wages!$B729)+1,20),FIND("/",MID(Wages!$B729,FIND("/",Wages!$B729)+1,20))+1,20))),"")))</f>
        <v/>
      </c>
      <c r="F726">
        <f>IF($A726="","",IF(OR($C726="",$D726="",$E726="",$C726&lt;1300,$C726&gt;1500,$D726&lt;1,$D726&gt;12,$E726&lt;1,$E726&gt;31),"نامعتبر",RIGHT("0000"&amp;$C726,4)&amp;"/"&amp;RIGHT("00"&amp;$D726,2)&amp;"/"&amp;RIGHT("00"&amp;$E726,2)))</f>
        <v/>
      </c>
      <c r="G726">
        <f>IF(OR($A726="",$F726="",$F726="نامعتبر"),"",LEFT($F726,4)&amp;MID($F726,6,2)&amp;RIGHT($F726,2)&amp;"0000"&amp;"|"&amp;"1"&amp;RIGHT("00000"&amp;721,5))</f>
        <v/>
      </c>
      <c r="H726">
        <f>IF(OR($B726&lt;&gt;1,$G726=""),"",COUNTIFS(LdAParty,$A726,LdAType,1,LdAKey,"&lt;"&amp;$G726)+COUNTIFS(LdBMember,$A726,LdBKey,"&lt;"&amp;$G726)+COUNTIFS(LdCParty,$A726,LdCKey,"&lt;"&amp;$G726)+1)</f>
        <v/>
      </c>
      <c r="I726">
        <f>IF($H726="","",$A726&amp;"|"&amp;RIGHT("000000"&amp;$H726,6))</f>
        <v/>
      </c>
      <c r="J726">
        <f>IF(OR($B726&lt;&gt;2,$G726=""),"",COUNTIFS(LdAParty,$A726,LdAType,2,LdAKey,"&lt;"&amp;$G726)+1)</f>
        <v/>
      </c>
      <c r="K726">
        <f>IF($J726="","",$A726&amp;"|"&amp;RIGHT("000000"&amp;$J726,6))</f>
        <v/>
      </c>
      <c r="L726">
        <f>IF($A726="","",IF(Wages!$G729="",0,Wages!$G729))</f>
        <v/>
      </c>
      <c r="M726">
        <f>IF($A726="","",Wages!$J729)</f>
        <v/>
      </c>
      <c r="N726">
        <f>IF($A726="","",Wages!$D729)</f>
        <v/>
      </c>
      <c r="P726">
        <f>IF(OR(Shares!$B729="",Shares!$C729=""),"",Shares!$C729)</f>
        <v/>
      </c>
      <c r="Q726">
        <f>IF($P726="","",Shares!$B729)</f>
        <v/>
      </c>
      <c r="R726">
        <f>IF($P726="","",IFERROR(INDEX(WageParty,MATCH($Q726,WageIds,0)),""))</f>
        <v/>
      </c>
      <c r="S726">
        <f>IF($P726="","",IFERROR(INDEX($F$6:$F$2005,MATCH($Q726,WageIds,0)),""))</f>
        <v/>
      </c>
      <c r="T726">
        <f>IF(OR($P726="",$S726="",$S726="نامعتبر"),"",LEFT($S726,4)&amp;MID($S726,6,2)&amp;RIGHT($S726,2)&amp;"0000"&amp;"|"&amp;"2"&amp;RIGHT("00000"&amp;721,5))</f>
        <v/>
      </c>
      <c r="U726">
        <f>IF($T726="","",COUNTIFS(LdAParty,$P726,LdAType,1,LdAKey,"&lt;"&amp;$T726)+COUNTIFS(LdBMember,$P726,LdBKey,"&lt;"&amp;$T726)+COUNTIFS(LdCParty,$P726,LdCKey,"&lt;"&amp;$T726)+1)</f>
        <v/>
      </c>
      <c r="V726">
        <f>IF($U726="","",$P726&amp;"|"&amp;RIGHT("000000"&amp;$U726,6))</f>
        <v/>
      </c>
      <c r="W726">
        <f>IF($T726="","",COUNTIFS(LdBGroup,$R726,LdBKey,"&lt;"&amp;$T726)+1)</f>
        <v/>
      </c>
      <c r="X726">
        <f>IF($W726="","",$R726&amp;"|"&amp;RIGHT("000000"&amp;$W726,6))</f>
        <v/>
      </c>
      <c r="Y726">
        <f>IF($P726="","",IF(Shares!$E729="",0,Shares!$E729))</f>
        <v/>
      </c>
      <c r="Z726">
        <f>IF($P726="","",Shares!$H729)</f>
        <v/>
      </c>
      <c r="AE726">
        <f>IF(OR(Sync!$S726="",Sync!$P726=""),"",Sync!$S726)</f>
        <v/>
      </c>
      <c r="AF726">
        <f>IF($AE726="","",IF(ISNUMBER(Sync!$P726),IF(AND(Sync!$P726&gt;=10000101,Sync!$P726&lt;=99991231),INT(Sync!$P726/10000),""),IFERROR(VALUE(TRIM(LEFT(Sync!$P726,FIND("/",Sync!$P726)-1))),"")))</f>
        <v/>
      </c>
      <c r="AG726">
        <f>IF(OR($AE726="",$AF726=""),"",IF(ISNUMBER(Sync!$P726),INT(MOD(Sync!$P726,10000)/100),IFERROR(VALUE(TRIM(LEFT(MID(Sync!$P726,FIND("/",Sync!$P726)+1,20),FIND("/",MID(Sync!$P726,FIND("/",Sync!$P726)+1,20))-1))),"")))</f>
        <v/>
      </c>
      <c r="AH726">
        <f>IF(OR($AE726="",$AF726=""),"",IF(ISNUMBER(Sync!$P726),MOD(Sync!$P726,100),IFERROR(VALUE(TRIM(MID(MID(Sync!$P726,FIND("/",Sync!$P726)+1,20),FIND("/",MID(Sync!$P726,FIND("/",Sync!$P726)+1,20))+1,20))),"")))</f>
        <v/>
      </c>
      <c r="AI726">
        <f>IF($AE726="","",IF(OR($AF726="",$AG726="",$AH726="",$AF726&lt;1300,$AF726&gt;1500,$AG726&lt;1,$AG726&gt;12,$AH726&lt;1,$AH726&gt;31),"نامعتبر",RIGHT("0000"&amp;$AF726,4)&amp;"/"&amp;RIGHT("00"&amp;$AG726,2)&amp;"/"&amp;RIGHT("00"&amp;$AH726,2)))</f>
        <v/>
      </c>
      <c r="AJ726">
        <f>IF($AE726="","",IF(Sync!$Q726="","0000",IF(AND(ISNUMBER(Sync!$Q726),Sync!$Q726&gt;=0,Sync!$Q726&lt;1),RIGHT("00"&amp;HOUR(Sync!$Q726),2)&amp;RIGHT("00"&amp;MINUTE(Sync!$Q726),2),IFERROR(RIGHT("00"&amp;VALUE(LEFT(Sync!$Q726,FIND(":",Sync!$Q726)-1)),2)&amp;RIGHT("00"&amp;VALUE(MID(Sync!$Q726,FIND(":",Sync!$Q726)+1,2)),2),"0000"))))</f>
        <v/>
      </c>
      <c r="AK726">
        <f>IF(OR($AE726="",$AI726="",$AI726="نامعتبر"),"",LEFT($AI726,4)&amp;MID($AI726,6,2)&amp;RIGHT($AI726,2)&amp;$AJ726&amp;"|"&amp;"3"&amp;RIGHT("00000"&amp;721,5))</f>
        <v/>
      </c>
      <c r="AL726">
        <f>IF($AK726="","",COUNTIFS(LdAParty,$AE726,LdAType,1,LdAKey,"&lt;"&amp;$AK726)+COUNTIFS(LdBMember,$AE726,LdBKey,"&lt;"&amp;$AK726)+COUNTIFS(LdCParty,$AE726,LdCKey,"&lt;"&amp;$AK726)+1)</f>
        <v/>
      </c>
      <c r="AM726">
        <f>IF($AL726="","",$AE726&amp;"|"&amp;RIGHT("000000"&amp;$AL726,6))</f>
        <v/>
      </c>
      <c r="AN726">
        <f>IF($AE726="","",IF(Sync!$W726="",0,Sync!$W726))</f>
        <v/>
      </c>
      <c r="AO726">
        <f>IF($AE726="","",IF(Sync!$X726="",0,Sync!$X726))</f>
        <v/>
      </c>
      <c r="AP726">
        <f>IF($AE726="","",Sync!$R726)</f>
        <v/>
      </c>
      <c r="AQ726">
        <f>IF($AE726="","",Sync!$Y726)</f>
        <v/>
      </c>
    </row>
    <row r="727">
      <c r="A727">
        <f>IF(OR(Wages!$B730="",Wages!$E730=""),"",Wages!$E730)</f>
        <v/>
      </c>
      <c r="B727">
        <f>IF($A727="","",IF(Wages!$C730="دستمزد گروهی",2,1))</f>
        <v/>
      </c>
      <c r="C727">
        <f>IF($A727="","",IF(ISNUMBER(Wages!$B730),IF(AND(Wages!$B730&gt;=10000101,Wages!$B730&lt;=99991231),INT(Wages!$B730/10000),""),IFERROR(VALUE(TRIM(LEFT(Wages!$B730,FIND("/",Wages!$B730)-1))),"")))</f>
        <v/>
      </c>
      <c r="D727">
        <f>IF(OR($A727="",$C727=""),"",IF(ISNUMBER(Wages!$B730),INT(MOD(Wages!$B730,10000)/100),IFERROR(VALUE(TRIM(LEFT(MID(Wages!$B730,FIND("/",Wages!$B730)+1,20),FIND("/",MID(Wages!$B730,FIND("/",Wages!$B730)+1,20))-1))),"")))</f>
        <v/>
      </c>
      <c r="E727">
        <f>IF(OR($A727="",$C727=""),"",IF(ISNUMBER(Wages!$B730),MOD(Wages!$B730,100),IFERROR(VALUE(TRIM(MID(MID(Wages!$B730,FIND("/",Wages!$B730)+1,20),FIND("/",MID(Wages!$B730,FIND("/",Wages!$B730)+1,20))+1,20))),"")))</f>
        <v/>
      </c>
      <c r="F727">
        <f>IF($A727="","",IF(OR($C727="",$D727="",$E727="",$C727&lt;1300,$C727&gt;1500,$D727&lt;1,$D727&gt;12,$E727&lt;1,$E727&gt;31),"نامعتبر",RIGHT("0000"&amp;$C727,4)&amp;"/"&amp;RIGHT("00"&amp;$D727,2)&amp;"/"&amp;RIGHT("00"&amp;$E727,2)))</f>
        <v/>
      </c>
      <c r="G727">
        <f>IF(OR($A727="",$F727="",$F727="نامعتبر"),"",LEFT($F727,4)&amp;MID($F727,6,2)&amp;RIGHT($F727,2)&amp;"0000"&amp;"|"&amp;"1"&amp;RIGHT("00000"&amp;722,5))</f>
        <v/>
      </c>
      <c r="H727">
        <f>IF(OR($B727&lt;&gt;1,$G727=""),"",COUNTIFS(LdAParty,$A727,LdAType,1,LdAKey,"&lt;"&amp;$G727)+COUNTIFS(LdBMember,$A727,LdBKey,"&lt;"&amp;$G727)+COUNTIFS(LdCParty,$A727,LdCKey,"&lt;"&amp;$G727)+1)</f>
        <v/>
      </c>
      <c r="I727">
        <f>IF($H727="","",$A727&amp;"|"&amp;RIGHT("000000"&amp;$H727,6))</f>
        <v/>
      </c>
      <c r="J727">
        <f>IF(OR($B727&lt;&gt;2,$G727=""),"",COUNTIFS(LdAParty,$A727,LdAType,2,LdAKey,"&lt;"&amp;$G727)+1)</f>
        <v/>
      </c>
      <c r="K727">
        <f>IF($J727="","",$A727&amp;"|"&amp;RIGHT("000000"&amp;$J727,6))</f>
        <v/>
      </c>
      <c r="L727">
        <f>IF($A727="","",IF(Wages!$G730="",0,Wages!$G730))</f>
        <v/>
      </c>
      <c r="M727">
        <f>IF($A727="","",Wages!$J730)</f>
        <v/>
      </c>
      <c r="N727">
        <f>IF($A727="","",Wages!$D730)</f>
        <v/>
      </c>
      <c r="P727">
        <f>IF(OR(Shares!$B730="",Shares!$C730=""),"",Shares!$C730)</f>
        <v/>
      </c>
      <c r="Q727">
        <f>IF($P727="","",Shares!$B730)</f>
        <v/>
      </c>
      <c r="R727">
        <f>IF($P727="","",IFERROR(INDEX(WageParty,MATCH($Q727,WageIds,0)),""))</f>
        <v/>
      </c>
      <c r="S727">
        <f>IF($P727="","",IFERROR(INDEX($F$6:$F$2005,MATCH($Q727,WageIds,0)),""))</f>
        <v/>
      </c>
      <c r="T727">
        <f>IF(OR($P727="",$S727="",$S727="نامعتبر"),"",LEFT($S727,4)&amp;MID($S727,6,2)&amp;RIGHT($S727,2)&amp;"0000"&amp;"|"&amp;"2"&amp;RIGHT("00000"&amp;722,5))</f>
        <v/>
      </c>
      <c r="U727">
        <f>IF($T727="","",COUNTIFS(LdAParty,$P727,LdAType,1,LdAKey,"&lt;"&amp;$T727)+COUNTIFS(LdBMember,$P727,LdBKey,"&lt;"&amp;$T727)+COUNTIFS(LdCParty,$P727,LdCKey,"&lt;"&amp;$T727)+1)</f>
        <v/>
      </c>
      <c r="V727">
        <f>IF($U727="","",$P727&amp;"|"&amp;RIGHT("000000"&amp;$U727,6))</f>
        <v/>
      </c>
      <c r="W727">
        <f>IF($T727="","",COUNTIFS(LdBGroup,$R727,LdBKey,"&lt;"&amp;$T727)+1)</f>
        <v/>
      </c>
      <c r="X727">
        <f>IF($W727="","",$R727&amp;"|"&amp;RIGHT("000000"&amp;$W727,6))</f>
        <v/>
      </c>
      <c r="Y727">
        <f>IF($P727="","",IF(Shares!$E730="",0,Shares!$E730))</f>
        <v/>
      </c>
      <c r="Z727">
        <f>IF($P727="","",Shares!$H730)</f>
        <v/>
      </c>
      <c r="AE727">
        <f>IF(OR(Sync!$S727="",Sync!$P727=""),"",Sync!$S727)</f>
        <v/>
      </c>
      <c r="AF727">
        <f>IF($AE727="","",IF(ISNUMBER(Sync!$P727),IF(AND(Sync!$P727&gt;=10000101,Sync!$P727&lt;=99991231),INT(Sync!$P727/10000),""),IFERROR(VALUE(TRIM(LEFT(Sync!$P727,FIND("/",Sync!$P727)-1))),"")))</f>
        <v/>
      </c>
      <c r="AG727">
        <f>IF(OR($AE727="",$AF727=""),"",IF(ISNUMBER(Sync!$P727),INT(MOD(Sync!$P727,10000)/100),IFERROR(VALUE(TRIM(LEFT(MID(Sync!$P727,FIND("/",Sync!$P727)+1,20),FIND("/",MID(Sync!$P727,FIND("/",Sync!$P727)+1,20))-1))),"")))</f>
        <v/>
      </c>
      <c r="AH727">
        <f>IF(OR($AE727="",$AF727=""),"",IF(ISNUMBER(Sync!$P727),MOD(Sync!$P727,100),IFERROR(VALUE(TRIM(MID(MID(Sync!$P727,FIND("/",Sync!$P727)+1,20),FIND("/",MID(Sync!$P727,FIND("/",Sync!$P727)+1,20))+1,20))),"")))</f>
        <v/>
      </c>
      <c r="AI727">
        <f>IF($AE727="","",IF(OR($AF727="",$AG727="",$AH727="",$AF727&lt;1300,$AF727&gt;1500,$AG727&lt;1,$AG727&gt;12,$AH727&lt;1,$AH727&gt;31),"نامعتبر",RIGHT("0000"&amp;$AF727,4)&amp;"/"&amp;RIGHT("00"&amp;$AG727,2)&amp;"/"&amp;RIGHT("00"&amp;$AH727,2)))</f>
        <v/>
      </c>
      <c r="AJ727">
        <f>IF($AE727="","",IF(Sync!$Q727="","0000",IF(AND(ISNUMBER(Sync!$Q727),Sync!$Q727&gt;=0,Sync!$Q727&lt;1),RIGHT("00"&amp;HOUR(Sync!$Q727),2)&amp;RIGHT("00"&amp;MINUTE(Sync!$Q727),2),IFERROR(RIGHT("00"&amp;VALUE(LEFT(Sync!$Q727,FIND(":",Sync!$Q727)-1)),2)&amp;RIGHT("00"&amp;VALUE(MID(Sync!$Q727,FIND(":",Sync!$Q727)+1,2)),2),"0000"))))</f>
        <v/>
      </c>
      <c r="AK727">
        <f>IF(OR($AE727="",$AI727="",$AI727="نامعتبر"),"",LEFT($AI727,4)&amp;MID($AI727,6,2)&amp;RIGHT($AI727,2)&amp;$AJ727&amp;"|"&amp;"3"&amp;RIGHT("00000"&amp;722,5))</f>
        <v/>
      </c>
      <c r="AL727">
        <f>IF($AK727="","",COUNTIFS(LdAParty,$AE727,LdAType,1,LdAKey,"&lt;"&amp;$AK727)+COUNTIFS(LdBMember,$AE727,LdBKey,"&lt;"&amp;$AK727)+COUNTIFS(LdCParty,$AE727,LdCKey,"&lt;"&amp;$AK727)+1)</f>
        <v/>
      </c>
      <c r="AM727">
        <f>IF($AL727="","",$AE727&amp;"|"&amp;RIGHT("000000"&amp;$AL727,6))</f>
        <v/>
      </c>
      <c r="AN727">
        <f>IF($AE727="","",IF(Sync!$W727="",0,Sync!$W727))</f>
        <v/>
      </c>
      <c r="AO727">
        <f>IF($AE727="","",IF(Sync!$X727="",0,Sync!$X727))</f>
        <v/>
      </c>
      <c r="AP727">
        <f>IF($AE727="","",Sync!$R727)</f>
        <v/>
      </c>
      <c r="AQ727">
        <f>IF($AE727="","",Sync!$Y727)</f>
        <v/>
      </c>
    </row>
    <row r="728">
      <c r="A728">
        <f>IF(OR(Wages!$B731="",Wages!$E731=""),"",Wages!$E731)</f>
        <v/>
      </c>
      <c r="B728">
        <f>IF($A728="","",IF(Wages!$C731="دستمزد گروهی",2,1))</f>
        <v/>
      </c>
      <c r="C728">
        <f>IF($A728="","",IF(ISNUMBER(Wages!$B731),IF(AND(Wages!$B731&gt;=10000101,Wages!$B731&lt;=99991231),INT(Wages!$B731/10000),""),IFERROR(VALUE(TRIM(LEFT(Wages!$B731,FIND("/",Wages!$B731)-1))),"")))</f>
        <v/>
      </c>
      <c r="D728">
        <f>IF(OR($A728="",$C728=""),"",IF(ISNUMBER(Wages!$B731),INT(MOD(Wages!$B731,10000)/100),IFERROR(VALUE(TRIM(LEFT(MID(Wages!$B731,FIND("/",Wages!$B731)+1,20),FIND("/",MID(Wages!$B731,FIND("/",Wages!$B731)+1,20))-1))),"")))</f>
        <v/>
      </c>
      <c r="E728">
        <f>IF(OR($A728="",$C728=""),"",IF(ISNUMBER(Wages!$B731),MOD(Wages!$B731,100),IFERROR(VALUE(TRIM(MID(MID(Wages!$B731,FIND("/",Wages!$B731)+1,20),FIND("/",MID(Wages!$B731,FIND("/",Wages!$B731)+1,20))+1,20))),"")))</f>
        <v/>
      </c>
      <c r="F728">
        <f>IF($A728="","",IF(OR($C728="",$D728="",$E728="",$C728&lt;1300,$C728&gt;1500,$D728&lt;1,$D728&gt;12,$E728&lt;1,$E728&gt;31),"نامعتبر",RIGHT("0000"&amp;$C728,4)&amp;"/"&amp;RIGHT("00"&amp;$D728,2)&amp;"/"&amp;RIGHT("00"&amp;$E728,2)))</f>
        <v/>
      </c>
      <c r="G728">
        <f>IF(OR($A728="",$F728="",$F728="نامعتبر"),"",LEFT($F728,4)&amp;MID($F728,6,2)&amp;RIGHT($F728,2)&amp;"0000"&amp;"|"&amp;"1"&amp;RIGHT("00000"&amp;723,5))</f>
        <v/>
      </c>
      <c r="H728">
        <f>IF(OR($B728&lt;&gt;1,$G728=""),"",COUNTIFS(LdAParty,$A728,LdAType,1,LdAKey,"&lt;"&amp;$G728)+COUNTIFS(LdBMember,$A728,LdBKey,"&lt;"&amp;$G728)+COUNTIFS(LdCParty,$A728,LdCKey,"&lt;"&amp;$G728)+1)</f>
        <v/>
      </c>
      <c r="I728">
        <f>IF($H728="","",$A728&amp;"|"&amp;RIGHT("000000"&amp;$H728,6))</f>
        <v/>
      </c>
      <c r="J728">
        <f>IF(OR($B728&lt;&gt;2,$G728=""),"",COUNTIFS(LdAParty,$A728,LdAType,2,LdAKey,"&lt;"&amp;$G728)+1)</f>
        <v/>
      </c>
      <c r="K728">
        <f>IF($J728="","",$A728&amp;"|"&amp;RIGHT("000000"&amp;$J728,6))</f>
        <v/>
      </c>
      <c r="L728">
        <f>IF($A728="","",IF(Wages!$G731="",0,Wages!$G731))</f>
        <v/>
      </c>
      <c r="M728">
        <f>IF($A728="","",Wages!$J731)</f>
        <v/>
      </c>
      <c r="N728">
        <f>IF($A728="","",Wages!$D731)</f>
        <v/>
      </c>
      <c r="P728">
        <f>IF(OR(Shares!$B731="",Shares!$C731=""),"",Shares!$C731)</f>
        <v/>
      </c>
      <c r="Q728">
        <f>IF($P728="","",Shares!$B731)</f>
        <v/>
      </c>
      <c r="R728">
        <f>IF($P728="","",IFERROR(INDEX(WageParty,MATCH($Q728,WageIds,0)),""))</f>
        <v/>
      </c>
      <c r="S728">
        <f>IF($P728="","",IFERROR(INDEX($F$6:$F$2005,MATCH($Q728,WageIds,0)),""))</f>
        <v/>
      </c>
      <c r="T728">
        <f>IF(OR($P728="",$S728="",$S728="نامعتبر"),"",LEFT($S728,4)&amp;MID($S728,6,2)&amp;RIGHT($S728,2)&amp;"0000"&amp;"|"&amp;"2"&amp;RIGHT("00000"&amp;723,5))</f>
        <v/>
      </c>
      <c r="U728">
        <f>IF($T728="","",COUNTIFS(LdAParty,$P728,LdAType,1,LdAKey,"&lt;"&amp;$T728)+COUNTIFS(LdBMember,$P728,LdBKey,"&lt;"&amp;$T728)+COUNTIFS(LdCParty,$P728,LdCKey,"&lt;"&amp;$T728)+1)</f>
        <v/>
      </c>
      <c r="V728">
        <f>IF($U728="","",$P728&amp;"|"&amp;RIGHT("000000"&amp;$U728,6))</f>
        <v/>
      </c>
      <c r="W728">
        <f>IF($T728="","",COUNTIFS(LdBGroup,$R728,LdBKey,"&lt;"&amp;$T728)+1)</f>
        <v/>
      </c>
      <c r="X728">
        <f>IF($W728="","",$R728&amp;"|"&amp;RIGHT("000000"&amp;$W728,6))</f>
        <v/>
      </c>
      <c r="Y728">
        <f>IF($P728="","",IF(Shares!$E731="",0,Shares!$E731))</f>
        <v/>
      </c>
      <c r="Z728">
        <f>IF($P728="","",Shares!$H731)</f>
        <v/>
      </c>
      <c r="AE728">
        <f>IF(OR(Sync!$S728="",Sync!$P728=""),"",Sync!$S728)</f>
        <v/>
      </c>
      <c r="AF728">
        <f>IF($AE728="","",IF(ISNUMBER(Sync!$P728),IF(AND(Sync!$P728&gt;=10000101,Sync!$P728&lt;=99991231),INT(Sync!$P728/10000),""),IFERROR(VALUE(TRIM(LEFT(Sync!$P728,FIND("/",Sync!$P728)-1))),"")))</f>
        <v/>
      </c>
      <c r="AG728">
        <f>IF(OR($AE728="",$AF728=""),"",IF(ISNUMBER(Sync!$P728),INT(MOD(Sync!$P728,10000)/100),IFERROR(VALUE(TRIM(LEFT(MID(Sync!$P728,FIND("/",Sync!$P728)+1,20),FIND("/",MID(Sync!$P728,FIND("/",Sync!$P728)+1,20))-1))),"")))</f>
        <v/>
      </c>
      <c r="AH728">
        <f>IF(OR($AE728="",$AF728=""),"",IF(ISNUMBER(Sync!$P728),MOD(Sync!$P728,100),IFERROR(VALUE(TRIM(MID(MID(Sync!$P728,FIND("/",Sync!$P728)+1,20),FIND("/",MID(Sync!$P728,FIND("/",Sync!$P728)+1,20))+1,20))),"")))</f>
        <v/>
      </c>
      <c r="AI728">
        <f>IF($AE728="","",IF(OR($AF728="",$AG728="",$AH728="",$AF728&lt;1300,$AF728&gt;1500,$AG728&lt;1,$AG728&gt;12,$AH728&lt;1,$AH728&gt;31),"نامعتبر",RIGHT("0000"&amp;$AF728,4)&amp;"/"&amp;RIGHT("00"&amp;$AG728,2)&amp;"/"&amp;RIGHT("00"&amp;$AH728,2)))</f>
        <v/>
      </c>
      <c r="AJ728">
        <f>IF($AE728="","",IF(Sync!$Q728="","0000",IF(AND(ISNUMBER(Sync!$Q728),Sync!$Q728&gt;=0,Sync!$Q728&lt;1),RIGHT("00"&amp;HOUR(Sync!$Q728),2)&amp;RIGHT("00"&amp;MINUTE(Sync!$Q728),2),IFERROR(RIGHT("00"&amp;VALUE(LEFT(Sync!$Q728,FIND(":",Sync!$Q728)-1)),2)&amp;RIGHT("00"&amp;VALUE(MID(Sync!$Q728,FIND(":",Sync!$Q728)+1,2)),2),"0000"))))</f>
        <v/>
      </c>
      <c r="AK728">
        <f>IF(OR($AE728="",$AI728="",$AI728="نامعتبر"),"",LEFT($AI728,4)&amp;MID($AI728,6,2)&amp;RIGHT($AI728,2)&amp;$AJ728&amp;"|"&amp;"3"&amp;RIGHT("00000"&amp;723,5))</f>
        <v/>
      </c>
      <c r="AL728">
        <f>IF($AK728="","",COUNTIFS(LdAParty,$AE728,LdAType,1,LdAKey,"&lt;"&amp;$AK728)+COUNTIFS(LdBMember,$AE728,LdBKey,"&lt;"&amp;$AK728)+COUNTIFS(LdCParty,$AE728,LdCKey,"&lt;"&amp;$AK728)+1)</f>
        <v/>
      </c>
      <c r="AM728">
        <f>IF($AL728="","",$AE728&amp;"|"&amp;RIGHT("000000"&amp;$AL728,6))</f>
        <v/>
      </c>
      <c r="AN728">
        <f>IF($AE728="","",IF(Sync!$W728="",0,Sync!$W728))</f>
        <v/>
      </c>
      <c r="AO728">
        <f>IF($AE728="","",IF(Sync!$X728="",0,Sync!$X728))</f>
        <v/>
      </c>
      <c r="AP728">
        <f>IF($AE728="","",Sync!$R728)</f>
        <v/>
      </c>
      <c r="AQ728">
        <f>IF($AE728="","",Sync!$Y728)</f>
        <v/>
      </c>
    </row>
    <row r="729">
      <c r="A729">
        <f>IF(OR(Wages!$B732="",Wages!$E732=""),"",Wages!$E732)</f>
        <v/>
      </c>
      <c r="B729">
        <f>IF($A729="","",IF(Wages!$C732="دستمزد گروهی",2,1))</f>
        <v/>
      </c>
      <c r="C729">
        <f>IF($A729="","",IF(ISNUMBER(Wages!$B732),IF(AND(Wages!$B732&gt;=10000101,Wages!$B732&lt;=99991231),INT(Wages!$B732/10000),""),IFERROR(VALUE(TRIM(LEFT(Wages!$B732,FIND("/",Wages!$B732)-1))),"")))</f>
        <v/>
      </c>
      <c r="D729">
        <f>IF(OR($A729="",$C729=""),"",IF(ISNUMBER(Wages!$B732),INT(MOD(Wages!$B732,10000)/100),IFERROR(VALUE(TRIM(LEFT(MID(Wages!$B732,FIND("/",Wages!$B732)+1,20),FIND("/",MID(Wages!$B732,FIND("/",Wages!$B732)+1,20))-1))),"")))</f>
        <v/>
      </c>
      <c r="E729">
        <f>IF(OR($A729="",$C729=""),"",IF(ISNUMBER(Wages!$B732),MOD(Wages!$B732,100),IFERROR(VALUE(TRIM(MID(MID(Wages!$B732,FIND("/",Wages!$B732)+1,20),FIND("/",MID(Wages!$B732,FIND("/",Wages!$B732)+1,20))+1,20))),"")))</f>
        <v/>
      </c>
      <c r="F729">
        <f>IF($A729="","",IF(OR($C729="",$D729="",$E729="",$C729&lt;1300,$C729&gt;1500,$D729&lt;1,$D729&gt;12,$E729&lt;1,$E729&gt;31),"نامعتبر",RIGHT("0000"&amp;$C729,4)&amp;"/"&amp;RIGHT("00"&amp;$D729,2)&amp;"/"&amp;RIGHT("00"&amp;$E729,2)))</f>
        <v/>
      </c>
      <c r="G729">
        <f>IF(OR($A729="",$F729="",$F729="نامعتبر"),"",LEFT($F729,4)&amp;MID($F729,6,2)&amp;RIGHT($F729,2)&amp;"0000"&amp;"|"&amp;"1"&amp;RIGHT("00000"&amp;724,5))</f>
        <v/>
      </c>
      <c r="H729">
        <f>IF(OR($B729&lt;&gt;1,$G729=""),"",COUNTIFS(LdAParty,$A729,LdAType,1,LdAKey,"&lt;"&amp;$G729)+COUNTIFS(LdBMember,$A729,LdBKey,"&lt;"&amp;$G729)+COUNTIFS(LdCParty,$A729,LdCKey,"&lt;"&amp;$G729)+1)</f>
        <v/>
      </c>
      <c r="I729">
        <f>IF($H729="","",$A729&amp;"|"&amp;RIGHT("000000"&amp;$H729,6))</f>
        <v/>
      </c>
      <c r="J729">
        <f>IF(OR($B729&lt;&gt;2,$G729=""),"",COUNTIFS(LdAParty,$A729,LdAType,2,LdAKey,"&lt;"&amp;$G729)+1)</f>
        <v/>
      </c>
      <c r="K729">
        <f>IF($J729="","",$A729&amp;"|"&amp;RIGHT("000000"&amp;$J729,6))</f>
        <v/>
      </c>
      <c r="L729">
        <f>IF($A729="","",IF(Wages!$G732="",0,Wages!$G732))</f>
        <v/>
      </c>
      <c r="M729">
        <f>IF($A729="","",Wages!$J732)</f>
        <v/>
      </c>
      <c r="N729">
        <f>IF($A729="","",Wages!$D732)</f>
        <v/>
      </c>
      <c r="P729">
        <f>IF(OR(Shares!$B732="",Shares!$C732=""),"",Shares!$C732)</f>
        <v/>
      </c>
      <c r="Q729">
        <f>IF($P729="","",Shares!$B732)</f>
        <v/>
      </c>
      <c r="R729">
        <f>IF($P729="","",IFERROR(INDEX(WageParty,MATCH($Q729,WageIds,0)),""))</f>
        <v/>
      </c>
      <c r="S729">
        <f>IF($P729="","",IFERROR(INDEX($F$6:$F$2005,MATCH($Q729,WageIds,0)),""))</f>
        <v/>
      </c>
      <c r="T729">
        <f>IF(OR($P729="",$S729="",$S729="نامعتبر"),"",LEFT($S729,4)&amp;MID($S729,6,2)&amp;RIGHT($S729,2)&amp;"0000"&amp;"|"&amp;"2"&amp;RIGHT("00000"&amp;724,5))</f>
        <v/>
      </c>
      <c r="U729">
        <f>IF($T729="","",COUNTIFS(LdAParty,$P729,LdAType,1,LdAKey,"&lt;"&amp;$T729)+COUNTIFS(LdBMember,$P729,LdBKey,"&lt;"&amp;$T729)+COUNTIFS(LdCParty,$P729,LdCKey,"&lt;"&amp;$T729)+1)</f>
        <v/>
      </c>
      <c r="V729">
        <f>IF($U729="","",$P729&amp;"|"&amp;RIGHT("000000"&amp;$U729,6))</f>
        <v/>
      </c>
      <c r="W729">
        <f>IF($T729="","",COUNTIFS(LdBGroup,$R729,LdBKey,"&lt;"&amp;$T729)+1)</f>
        <v/>
      </c>
      <c r="X729">
        <f>IF($W729="","",$R729&amp;"|"&amp;RIGHT("000000"&amp;$W729,6))</f>
        <v/>
      </c>
      <c r="Y729">
        <f>IF($P729="","",IF(Shares!$E732="",0,Shares!$E732))</f>
        <v/>
      </c>
      <c r="Z729">
        <f>IF($P729="","",Shares!$H732)</f>
        <v/>
      </c>
      <c r="AE729">
        <f>IF(OR(Sync!$S729="",Sync!$P729=""),"",Sync!$S729)</f>
        <v/>
      </c>
      <c r="AF729">
        <f>IF($AE729="","",IF(ISNUMBER(Sync!$P729),IF(AND(Sync!$P729&gt;=10000101,Sync!$P729&lt;=99991231),INT(Sync!$P729/10000),""),IFERROR(VALUE(TRIM(LEFT(Sync!$P729,FIND("/",Sync!$P729)-1))),"")))</f>
        <v/>
      </c>
      <c r="AG729">
        <f>IF(OR($AE729="",$AF729=""),"",IF(ISNUMBER(Sync!$P729),INT(MOD(Sync!$P729,10000)/100),IFERROR(VALUE(TRIM(LEFT(MID(Sync!$P729,FIND("/",Sync!$P729)+1,20),FIND("/",MID(Sync!$P729,FIND("/",Sync!$P729)+1,20))-1))),"")))</f>
        <v/>
      </c>
      <c r="AH729">
        <f>IF(OR($AE729="",$AF729=""),"",IF(ISNUMBER(Sync!$P729),MOD(Sync!$P729,100),IFERROR(VALUE(TRIM(MID(MID(Sync!$P729,FIND("/",Sync!$P729)+1,20),FIND("/",MID(Sync!$P729,FIND("/",Sync!$P729)+1,20))+1,20))),"")))</f>
        <v/>
      </c>
      <c r="AI729">
        <f>IF($AE729="","",IF(OR($AF729="",$AG729="",$AH729="",$AF729&lt;1300,$AF729&gt;1500,$AG729&lt;1,$AG729&gt;12,$AH729&lt;1,$AH729&gt;31),"نامعتبر",RIGHT("0000"&amp;$AF729,4)&amp;"/"&amp;RIGHT("00"&amp;$AG729,2)&amp;"/"&amp;RIGHT("00"&amp;$AH729,2)))</f>
        <v/>
      </c>
      <c r="AJ729">
        <f>IF($AE729="","",IF(Sync!$Q729="","0000",IF(AND(ISNUMBER(Sync!$Q729),Sync!$Q729&gt;=0,Sync!$Q729&lt;1),RIGHT("00"&amp;HOUR(Sync!$Q729),2)&amp;RIGHT("00"&amp;MINUTE(Sync!$Q729),2),IFERROR(RIGHT("00"&amp;VALUE(LEFT(Sync!$Q729,FIND(":",Sync!$Q729)-1)),2)&amp;RIGHT("00"&amp;VALUE(MID(Sync!$Q729,FIND(":",Sync!$Q729)+1,2)),2),"0000"))))</f>
        <v/>
      </c>
      <c r="AK729">
        <f>IF(OR($AE729="",$AI729="",$AI729="نامعتبر"),"",LEFT($AI729,4)&amp;MID($AI729,6,2)&amp;RIGHT($AI729,2)&amp;$AJ729&amp;"|"&amp;"3"&amp;RIGHT("00000"&amp;724,5))</f>
        <v/>
      </c>
      <c r="AL729">
        <f>IF($AK729="","",COUNTIFS(LdAParty,$AE729,LdAType,1,LdAKey,"&lt;"&amp;$AK729)+COUNTIFS(LdBMember,$AE729,LdBKey,"&lt;"&amp;$AK729)+COUNTIFS(LdCParty,$AE729,LdCKey,"&lt;"&amp;$AK729)+1)</f>
        <v/>
      </c>
      <c r="AM729">
        <f>IF($AL729="","",$AE729&amp;"|"&amp;RIGHT("000000"&amp;$AL729,6))</f>
        <v/>
      </c>
      <c r="AN729">
        <f>IF($AE729="","",IF(Sync!$W729="",0,Sync!$W729))</f>
        <v/>
      </c>
      <c r="AO729">
        <f>IF($AE729="","",IF(Sync!$X729="",0,Sync!$X729))</f>
        <v/>
      </c>
      <c r="AP729">
        <f>IF($AE729="","",Sync!$R729)</f>
        <v/>
      </c>
      <c r="AQ729">
        <f>IF($AE729="","",Sync!$Y729)</f>
        <v/>
      </c>
    </row>
    <row r="730">
      <c r="A730">
        <f>IF(OR(Wages!$B733="",Wages!$E733=""),"",Wages!$E733)</f>
        <v/>
      </c>
      <c r="B730">
        <f>IF($A730="","",IF(Wages!$C733="دستمزد گروهی",2,1))</f>
        <v/>
      </c>
      <c r="C730">
        <f>IF($A730="","",IF(ISNUMBER(Wages!$B733),IF(AND(Wages!$B733&gt;=10000101,Wages!$B733&lt;=99991231),INT(Wages!$B733/10000),""),IFERROR(VALUE(TRIM(LEFT(Wages!$B733,FIND("/",Wages!$B733)-1))),"")))</f>
        <v/>
      </c>
      <c r="D730">
        <f>IF(OR($A730="",$C730=""),"",IF(ISNUMBER(Wages!$B733),INT(MOD(Wages!$B733,10000)/100),IFERROR(VALUE(TRIM(LEFT(MID(Wages!$B733,FIND("/",Wages!$B733)+1,20),FIND("/",MID(Wages!$B733,FIND("/",Wages!$B733)+1,20))-1))),"")))</f>
        <v/>
      </c>
      <c r="E730">
        <f>IF(OR($A730="",$C730=""),"",IF(ISNUMBER(Wages!$B733),MOD(Wages!$B733,100),IFERROR(VALUE(TRIM(MID(MID(Wages!$B733,FIND("/",Wages!$B733)+1,20),FIND("/",MID(Wages!$B733,FIND("/",Wages!$B733)+1,20))+1,20))),"")))</f>
        <v/>
      </c>
      <c r="F730">
        <f>IF($A730="","",IF(OR($C730="",$D730="",$E730="",$C730&lt;1300,$C730&gt;1500,$D730&lt;1,$D730&gt;12,$E730&lt;1,$E730&gt;31),"نامعتبر",RIGHT("0000"&amp;$C730,4)&amp;"/"&amp;RIGHT("00"&amp;$D730,2)&amp;"/"&amp;RIGHT("00"&amp;$E730,2)))</f>
        <v/>
      </c>
      <c r="G730">
        <f>IF(OR($A730="",$F730="",$F730="نامعتبر"),"",LEFT($F730,4)&amp;MID($F730,6,2)&amp;RIGHT($F730,2)&amp;"0000"&amp;"|"&amp;"1"&amp;RIGHT("00000"&amp;725,5))</f>
        <v/>
      </c>
      <c r="H730">
        <f>IF(OR($B730&lt;&gt;1,$G730=""),"",COUNTIFS(LdAParty,$A730,LdAType,1,LdAKey,"&lt;"&amp;$G730)+COUNTIFS(LdBMember,$A730,LdBKey,"&lt;"&amp;$G730)+COUNTIFS(LdCParty,$A730,LdCKey,"&lt;"&amp;$G730)+1)</f>
        <v/>
      </c>
      <c r="I730">
        <f>IF($H730="","",$A730&amp;"|"&amp;RIGHT("000000"&amp;$H730,6))</f>
        <v/>
      </c>
      <c r="J730">
        <f>IF(OR($B730&lt;&gt;2,$G730=""),"",COUNTIFS(LdAParty,$A730,LdAType,2,LdAKey,"&lt;"&amp;$G730)+1)</f>
        <v/>
      </c>
      <c r="K730">
        <f>IF($J730="","",$A730&amp;"|"&amp;RIGHT("000000"&amp;$J730,6))</f>
        <v/>
      </c>
      <c r="L730">
        <f>IF($A730="","",IF(Wages!$G733="",0,Wages!$G733))</f>
        <v/>
      </c>
      <c r="M730">
        <f>IF($A730="","",Wages!$J733)</f>
        <v/>
      </c>
      <c r="N730">
        <f>IF($A730="","",Wages!$D733)</f>
        <v/>
      </c>
      <c r="P730">
        <f>IF(OR(Shares!$B733="",Shares!$C733=""),"",Shares!$C733)</f>
        <v/>
      </c>
      <c r="Q730">
        <f>IF($P730="","",Shares!$B733)</f>
        <v/>
      </c>
      <c r="R730">
        <f>IF($P730="","",IFERROR(INDEX(WageParty,MATCH($Q730,WageIds,0)),""))</f>
        <v/>
      </c>
      <c r="S730">
        <f>IF($P730="","",IFERROR(INDEX($F$6:$F$2005,MATCH($Q730,WageIds,0)),""))</f>
        <v/>
      </c>
      <c r="T730">
        <f>IF(OR($P730="",$S730="",$S730="نامعتبر"),"",LEFT($S730,4)&amp;MID($S730,6,2)&amp;RIGHT($S730,2)&amp;"0000"&amp;"|"&amp;"2"&amp;RIGHT("00000"&amp;725,5))</f>
        <v/>
      </c>
      <c r="U730">
        <f>IF($T730="","",COUNTIFS(LdAParty,$P730,LdAType,1,LdAKey,"&lt;"&amp;$T730)+COUNTIFS(LdBMember,$P730,LdBKey,"&lt;"&amp;$T730)+COUNTIFS(LdCParty,$P730,LdCKey,"&lt;"&amp;$T730)+1)</f>
        <v/>
      </c>
      <c r="V730">
        <f>IF($U730="","",$P730&amp;"|"&amp;RIGHT("000000"&amp;$U730,6))</f>
        <v/>
      </c>
      <c r="W730">
        <f>IF($T730="","",COUNTIFS(LdBGroup,$R730,LdBKey,"&lt;"&amp;$T730)+1)</f>
        <v/>
      </c>
      <c r="X730">
        <f>IF($W730="","",$R730&amp;"|"&amp;RIGHT("000000"&amp;$W730,6))</f>
        <v/>
      </c>
      <c r="Y730">
        <f>IF($P730="","",IF(Shares!$E733="",0,Shares!$E733))</f>
        <v/>
      </c>
      <c r="Z730">
        <f>IF($P730="","",Shares!$H733)</f>
        <v/>
      </c>
      <c r="AE730">
        <f>IF(OR(Sync!$S730="",Sync!$P730=""),"",Sync!$S730)</f>
        <v/>
      </c>
      <c r="AF730">
        <f>IF($AE730="","",IF(ISNUMBER(Sync!$P730),IF(AND(Sync!$P730&gt;=10000101,Sync!$P730&lt;=99991231),INT(Sync!$P730/10000),""),IFERROR(VALUE(TRIM(LEFT(Sync!$P730,FIND("/",Sync!$P730)-1))),"")))</f>
        <v/>
      </c>
      <c r="AG730">
        <f>IF(OR($AE730="",$AF730=""),"",IF(ISNUMBER(Sync!$P730),INT(MOD(Sync!$P730,10000)/100),IFERROR(VALUE(TRIM(LEFT(MID(Sync!$P730,FIND("/",Sync!$P730)+1,20),FIND("/",MID(Sync!$P730,FIND("/",Sync!$P730)+1,20))-1))),"")))</f>
        <v/>
      </c>
      <c r="AH730">
        <f>IF(OR($AE730="",$AF730=""),"",IF(ISNUMBER(Sync!$P730),MOD(Sync!$P730,100),IFERROR(VALUE(TRIM(MID(MID(Sync!$P730,FIND("/",Sync!$P730)+1,20),FIND("/",MID(Sync!$P730,FIND("/",Sync!$P730)+1,20))+1,20))),"")))</f>
        <v/>
      </c>
      <c r="AI730">
        <f>IF($AE730="","",IF(OR($AF730="",$AG730="",$AH730="",$AF730&lt;1300,$AF730&gt;1500,$AG730&lt;1,$AG730&gt;12,$AH730&lt;1,$AH730&gt;31),"نامعتبر",RIGHT("0000"&amp;$AF730,4)&amp;"/"&amp;RIGHT("00"&amp;$AG730,2)&amp;"/"&amp;RIGHT("00"&amp;$AH730,2)))</f>
        <v/>
      </c>
      <c r="AJ730">
        <f>IF($AE730="","",IF(Sync!$Q730="","0000",IF(AND(ISNUMBER(Sync!$Q730),Sync!$Q730&gt;=0,Sync!$Q730&lt;1),RIGHT("00"&amp;HOUR(Sync!$Q730),2)&amp;RIGHT("00"&amp;MINUTE(Sync!$Q730),2),IFERROR(RIGHT("00"&amp;VALUE(LEFT(Sync!$Q730,FIND(":",Sync!$Q730)-1)),2)&amp;RIGHT("00"&amp;VALUE(MID(Sync!$Q730,FIND(":",Sync!$Q730)+1,2)),2),"0000"))))</f>
        <v/>
      </c>
      <c r="AK730">
        <f>IF(OR($AE730="",$AI730="",$AI730="نامعتبر"),"",LEFT($AI730,4)&amp;MID($AI730,6,2)&amp;RIGHT($AI730,2)&amp;$AJ730&amp;"|"&amp;"3"&amp;RIGHT("00000"&amp;725,5))</f>
        <v/>
      </c>
      <c r="AL730">
        <f>IF($AK730="","",COUNTIFS(LdAParty,$AE730,LdAType,1,LdAKey,"&lt;"&amp;$AK730)+COUNTIFS(LdBMember,$AE730,LdBKey,"&lt;"&amp;$AK730)+COUNTIFS(LdCParty,$AE730,LdCKey,"&lt;"&amp;$AK730)+1)</f>
        <v/>
      </c>
      <c r="AM730">
        <f>IF($AL730="","",$AE730&amp;"|"&amp;RIGHT("000000"&amp;$AL730,6))</f>
        <v/>
      </c>
      <c r="AN730">
        <f>IF($AE730="","",IF(Sync!$W730="",0,Sync!$W730))</f>
        <v/>
      </c>
      <c r="AO730">
        <f>IF($AE730="","",IF(Sync!$X730="",0,Sync!$X730))</f>
        <v/>
      </c>
      <c r="AP730">
        <f>IF($AE730="","",Sync!$R730)</f>
        <v/>
      </c>
      <c r="AQ730">
        <f>IF($AE730="","",Sync!$Y730)</f>
        <v/>
      </c>
    </row>
    <row r="731">
      <c r="A731">
        <f>IF(OR(Wages!$B734="",Wages!$E734=""),"",Wages!$E734)</f>
        <v/>
      </c>
      <c r="B731">
        <f>IF($A731="","",IF(Wages!$C734="دستمزد گروهی",2,1))</f>
        <v/>
      </c>
      <c r="C731">
        <f>IF($A731="","",IF(ISNUMBER(Wages!$B734),IF(AND(Wages!$B734&gt;=10000101,Wages!$B734&lt;=99991231),INT(Wages!$B734/10000),""),IFERROR(VALUE(TRIM(LEFT(Wages!$B734,FIND("/",Wages!$B734)-1))),"")))</f>
        <v/>
      </c>
      <c r="D731">
        <f>IF(OR($A731="",$C731=""),"",IF(ISNUMBER(Wages!$B734),INT(MOD(Wages!$B734,10000)/100),IFERROR(VALUE(TRIM(LEFT(MID(Wages!$B734,FIND("/",Wages!$B734)+1,20),FIND("/",MID(Wages!$B734,FIND("/",Wages!$B734)+1,20))-1))),"")))</f>
        <v/>
      </c>
      <c r="E731">
        <f>IF(OR($A731="",$C731=""),"",IF(ISNUMBER(Wages!$B734),MOD(Wages!$B734,100),IFERROR(VALUE(TRIM(MID(MID(Wages!$B734,FIND("/",Wages!$B734)+1,20),FIND("/",MID(Wages!$B734,FIND("/",Wages!$B734)+1,20))+1,20))),"")))</f>
        <v/>
      </c>
      <c r="F731">
        <f>IF($A731="","",IF(OR($C731="",$D731="",$E731="",$C731&lt;1300,$C731&gt;1500,$D731&lt;1,$D731&gt;12,$E731&lt;1,$E731&gt;31),"نامعتبر",RIGHT("0000"&amp;$C731,4)&amp;"/"&amp;RIGHT("00"&amp;$D731,2)&amp;"/"&amp;RIGHT("00"&amp;$E731,2)))</f>
        <v/>
      </c>
      <c r="G731">
        <f>IF(OR($A731="",$F731="",$F731="نامعتبر"),"",LEFT($F731,4)&amp;MID($F731,6,2)&amp;RIGHT($F731,2)&amp;"0000"&amp;"|"&amp;"1"&amp;RIGHT("00000"&amp;726,5))</f>
        <v/>
      </c>
      <c r="H731">
        <f>IF(OR($B731&lt;&gt;1,$G731=""),"",COUNTIFS(LdAParty,$A731,LdAType,1,LdAKey,"&lt;"&amp;$G731)+COUNTIFS(LdBMember,$A731,LdBKey,"&lt;"&amp;$G731)+COUNTIFS(LdCParty,$A731,LdCKey,"&lt;"&amp;$G731)+1)</f>
        <v/>
      </c>
      <c r="I731">
        <f>IF($H731="","",$A731&amp;"|"&amp;RIGHT("000000"&amp;$H731,6))</f>
        <v/>
      </c>
      <c r="J731">
        <f>IF(OR($B731&lt;&gt;2,$G731=""),"",COUNTIFS(LdAParty,$A731,LdAType,2,LdAKey,"&lt;"&amp;$G731)+1)</f>
        <v/>
      </c>
      <c r="K731">
        <f>IF($J731="","",$A731&amp;"|"&amp;RIGHT("000000"&amp;$J731,6))</f>
        <v/>
      </c>
      <c r="L731">
        <f>IF($A731="","",IF(Wages!$G734="",0,Wages!$G734))</f>
        <v/>
      </c>
      <c r="M731">
        <f>IF($A731="","",Wages!$J734)</f>
        <v/>
      </c>
      <c r="N731">
        <f>IF($A731="","",Wages!$D734)</f>
        <v/>
      </c>
      <c r="P731">
        <f>IF(OR(Shares!$B734="",Shares!$C734=""),"",Shares!$C734)</f>
        <v/>
      </c>
      <c r="Q731">
        <f>IF($P731="","",Shares!$B734)</f>
        <v/>
      </c>
      <c r="R731">
        <f>IF($P731="","",IFERROR(INDEX(WageParty,MATCH($Q731,WageIds,0)),""))</f>
        <v/>
      </c>
      <c r="S731">
        <f>IF($P731="","",IFERROR(INDEX($F$6:$F$2005,MATCH($Q731,WageIds,0)),""))</f>
        <v/>
      </c>
      <c r="T731">
        <f>IF(OR($P731="",$S731="",$S731="نامعتبر"),"",LEFT($S731,4)&amp;MID($S731,6,2)&amp;RIGHT($S731,2)&amp;"0000"&amp;"|"&amp;"2"&amp;RIGHT("00000"&amp;726,5))</f>
        <v/>
      </c>
      <c r="U731">
        <f>IF($T731="","",COUNTIFS(LdAParty,$P731,LdAType,1,LdAKey,"&lt;"&amp;$T731)+COUNTIFS(LdBMember,$P731,LdBKey,"&lt;"&amp;$T731)+COUNTIFS(LdCParty,$P731,LdCKey,"&lt;"&amp;$T731)+1)</f>
        <v/>
      </c>
      <c r="V731">
        <f>IF($U731="","",$P731&amp;"|"&amp;RIGHT("000000"&amp;$U731,6))</f>
        <v/>
      </c>
      <c r="W731">
        <f>IF($T731="","",COUNTIFS(LdBGroup,$R731,LdBKey,"&lt;"&amp;$T731)+1)</f>
        <v/>
      </c>
      <c r="X731">
        <f>IF($W731="","",$R731&amp;"|"&amp;RIGHT("000000"&amp;$W731,6))</f>
        <v/>
      </c>
      <c r="Y731">
        <f>IF($P731="","",IF(Shares!$E734="",0,Shares!$E734))</f>
        <v/>
      </c>
      <c r="Z731">
        <f>IF($P731="","",Shares!$H734)</f>
        <v/>
      </c>
      <c r="AE731">
        <f>IF(OR(Sync!$S731="",Sync!$P731=""),"",Sync!$S731)</f>
        <v/>
      </c>
      <c r="AF731">
        <f>IF($AE731="","",IF(ISNUMBER(Sync!$P731),IF(AND(Sync!$P731&gt;=10000101,Sync!$P731&lt;=99991231),INT(Sync!$P731/10000),""),IFERROR(VALUE(TRIM(LEFT(Sync!$P731,FIND("/",Sync!$P731)-1))),"")))</f>
        <v/>
      </c>
      <c r="AG731">
        <f>IF(OR($AE731="",$AF731=""),"",IF(ISNUMBER(Sync!$P731),INT(MOD(Sync!$P731,10000)/100),IFERROR(VALUE(TRIM(LEFT(MID(Sync!$P731,FIND("/",Sync!$P731)+1,20),FIND("/",MID(Sync!$P731,FIND("/",Sync!$P731)+1,20))-1))),"")))</f>
        <v/>
      </c>
      <c r="AH731">
        <f>IF(OR($AE731="",$AF731=""),"",IF(ISNUMBER(Sync!$P731),MOD(Sync!$P731,100),IFERROR(VALUE(TRIM(MID(MID(Sync!$P731,FIND("/",Sync!$P731)+1,20),FIND("/",MID(Sync!$P731,FIND("/",Sync!$P731)+1,20))+1,20))),"")))</f>
        <v/>
      </c>
      <c r="AI731">
        <f>IF($AE731="","",IF(OR($AF731="",$AG731="",$AH731="",$AF731&lt;1300,$AF731&gt;1500,$AG731&lt;1,$AG731&gt;12,$AH731&lt;1,$AH731&gt;31),"نامعتبر",RIGHT("0000"&amp;$AF731,4)&amp;"/"&amp;RIGHT("00"&amp;$AG731,2)&amp;"/"&amp;RIGHT("00"&amp;$AH731,2)))</f>
        <v/>
      </c>
      <c r="AJ731">
        <f>IF($AE731="","",IF(Sync!$Q731="","0000",IF(AND(ISNUMBER(Sync!$Q731),Sync!$Q731&gt;=0,Sync!$Q731&lt;1),RIGHT("00"&amp;HOUR(Sync!$Q731),2)&amp;RIGHT("00"&amp;MINUTE(Sync!$Q731),2),IFERROR(RIGHT("00"&amp;VALUE(LEFT(Sync!$Q731,FIND(":",Sync!$Q731)-1)),2)&amp;RIGHT("00"&amp;VALUE(MID(Sync!$Q731,FIND(":",Sync!$Q731)+1,2)),2),"0000"))))</f>
        <v/>
      </c>
      <c r="AK731">
        <f>IF(OR($AE731="",$AI731="",$AI731="نامعتبر"),"",LEFT($AI731,4)&amp;MID($AI731,6,2)&amp;RIGHT($AI731,2)&amp;$AJ731&amp;"|"&amp;"3"&amp;RIGHT("00000"&amp;726,5))</f>
        <v/>
      </c>
      <c r="AL731">
        <f>IF($AK731="","",COUNTIFS(LdAParty,$AE731,LdAType,1,LdAKey,"&lt;"&amp;$AK731)+COUNTIFS(LdBMember,$AE731,LdBKey,"&lt;"&amp;$AK731)+COUNTIFS(LdCParty,$AE731,LdCKey,"&lt;"&amp;$AK731)+1)</f>
        <v/>
      </c>
      <c r="AM731">
        <f>IF($AL731="","",$AE731&amp;"|"&amp;RIGHT("000000"&amp;$AL731,6))</f>
        <v/>
      </c>
      <c r="AN731">
        <f>IF($AE731="","",IF(Sync!$W731="",0,Sync!$W731))</f>
        <v/>
      </c>
      <c r="AO731">
        <f>IF($AE731="","",IF(Sync!$X731="",0,Sync!$X731))</f>
        <v/>
      </c>
      <c r="AP731">
        <f>IF($AE731="","",Sync!$R731)</f>
        <v/>
      </c>
      <c r="AQ731">
        <f>IF($AE731="","",Sync!$Y731)</f>
        <v/>
      </c>
    </row>
    <row r="732">
      <c r="A732">
        <f>IF(OR(Wages!$B735="",Wages!$E735=""),"",Wages!$E735)</f>
        <v/>
      </c>
      <c r="B732">
        <f>IF($A732="","",IF(Wages!$C735="دستمزد گروهی",2,1))</f>
        <v/>
      </c>
      <c r="C732">
        <f>IF($A732="","",IF(ISNUMBER(Wages!$B735),IF(AND(Wages!$B735&gt;=10000101,Wages!$B735&lt;=99991231),INT(Wages!$B735/10000),""),IFERROR(VALUE(TRIM(LEFT(Wages!$B735,FIND("/",Wages!$B735)-1))),"")))</f>
        <v/>
      </c>
      <c r="D732">
        <f>IF(OR($A732="",$C732=""),"",IF(ISNUMBER(Wages!$B735),INT(MOD(Wages!$B735,10000)/100),IFERROR(VALUE(TRIM(LEFT(MID(Wages!$B735,FIND("/",Wages!$B735)+1,20),FIND("/",MID(Wages!$B735,FIND("/",Wages!$B735)+1,20))-1))),"")))</f>
        <v/>
      </c>
      <c r="E732">
        <f>IF(OR($A732="",$C732=""),"",IF(ISNUMBER(Wages!$B735),MOD(Wages!$B735,100),IFERROR(VALUE(TRIM(MID(MID(Wages!$B735,FIND("/",Wages!$B735)+1,20),FIND("/",MID(Wages!$B735,FIND("/",Wages!$B735)+1,20))+1,20))),"")))</f>
        <v/>
      </c>
      <c r="F732">
        <f>IF($A732="","",IF(OR($C732="",$D732="",$E732="",$C732&lt;1300,$C732&gt;1500,$D732&lt;1,$D732&gt;12,$E732&lt;1,$E732&gt;31),"نامعتبر",RIGHT("0000"&amp;$C732,4)&amp;"/"&amp;RIGHT("00"&amp;$D732,2)&amp;"/"&amp;RIGHT("00"&amp;$E732,2)))</f>
        <v/>
      </c>
      <c r="G732">
        <f>IF(OR($A732="",$F732="",$F732="نامعتبر"),"",LEFT($F732,4)&amp;MID($F732,6,2)&amp;RIGHT($F732,2)&amp;"0000"&amp;"|"&amp;"1"&amp;RIGHT("00000"&amp;727,5))</f>
        <v/>
      </c>
      <c r="H732">
        <f>IF(OR($B732&lt;&gt;1,$G732=""),"",COUNTIFS(LdAParty,$A732,LdAType,1,LdAKey,"&lt;"&amp;$G732)+COUNTIFS(LdBMember,$A732,LdBKey,"&lt;"&amp;$G732)+COUNTIFS(LdCParty,$A732,LdCKey,"&lt;"&amp;$G732)+1)</f>
        <v/>
      </c>
      <c r="I732">
        <f>IF($H732="","",$A732&amp;"|"&amp;RIGHT("000000"&amp;$H732,6))</f>
        <v/>
      </c>
      <c r="J732">
        <f>IF(OR($B732&lt;&gt;2,$G732=""),"",COUNTIFS(LdAParty,$A732,LdAType,2,LdAKey,"&lt;"&amp;$G732)+1)</f>
        <v/>
      </c>
      <c r="K732">
        <f>IF($J732="","",$A732&amp;"|"&amp;RIGHT("000000"&amp;$J732,6))</f>
        <v/>
      </c>
      <c r="L732">
        <f>IF($A732="","",IF(Wages!$G735="",0,Wages!$G735))</f>
        <v/>
      </c>
      <c r="M732">
        <f>IF($A732="","",Wages!$J735)</f>
        <v/>
      </c>
      <c r="N732">
        <f>IF($A732="","",Wages!$D735)</f>
        <v/>
      </c>
      <c r="P732">
        <f>IF(OR(Shares!$B735="",Shares!$C735=""),"",Shares!$C735)</f>
        <v/>
      </c>
      <c r="Q732">
        <f>IF($P732="","",Shares!$B735)</f>
        <v/>
      </c>
      <c r="R732">
        <f>IF($P732="","",IFERROR(INDEX(WageParty,MATCH($Q732,WageIds,0)),""))</f>
        <v/>
      </c>
      <c r="S732">
        <f>IF($P732="","",IFERROR(INDEX($F$6:$F$2005,MATCH($Q732,WageIds,0)),""))</f>
        <v/>
      </c>
      <c r="T732">
        <f>IF(OR($P732="",$S732="",$S732="نامعتبر"),"",LEFT($S732,4)&amp;MID($S732,6,2)&amp;RIGHT($S732,2)&amp;"0000"&amp;"|"&amp;"2"&amp;RIGHT("00000"&amp;727,5))</f>
        <v/>
      </c>
      <c r="U732">
        <f>IF($T732="","",COUNTIFS(LdAParty,$P732,LdAType,1,LdAKey,"&lt;"&amp;$T732)+COUNTIFS(LdBMember,$P732,LdBKey,"&lt;"&amp;$T732)+COUNTIFS(LdCParty,$P732,LdCKey,"&lt;"&amp;$T732)+1)</f>
        <v/>
      </c>
      <c r="V732">
        <f>IF($U732="","",$P732&amp;"|"&amp;RIGHT("000000"&amp;$U732,6))</f>
        <v/>
      </c>
      <c r="W732">
        <f>IF($T732="","",COUNTIFS(LdBGroup,$R732,LdBKey,"&lt;"&amp;$T732)+1)</f>
        <v/>
      </c>
      <c r="X732">
        <f>IF($W732="","",$R732&amp;"|"&amp;RIGHT("000000"&amp;$W732,6))</f>
        <v/>
      </c>
      <c r="Y732">
        <f>IF($P732="","",IF(Shares!$E735="",0,Shares!$E735))</f>
        <v/>
      </c>
      <c r="Z732">
        <f>IF($P732="","",Shares!$H735)</f>
        <v/>
      </c>
      <c r="AE732">
        <f>IF(OR(Sync!$S732="",Sync!$P732=""),"",Sync!$S732)</f>
        <v/>
      </c>
      <c r="AF732">
        <f>IF($AE732="","",IF(ISNUMBER(Sync!$P732),IF(AND(Sync!$P732&gt;=10000101,Sync!$P732&lt;=99991231),INT(Sync!$P732/10000),""),IFERROR(VALUE(TRIM(LEFT(Sync!$P732,FIND("/",Sync!$P732)-1))),"")))</f>
        <v/>
      </c>
      <c r="AG732">
        <f>IF(OR($AE732="",$AF732=""),"",IF(ISNUMBER(Sync!$P732),INT(MOD(Sync!$P732,10000)/100),IFERROR(VALUE(TRIM(LEFT(MID(Sync!$P732,FIND("/",Sync!$P732)+1,20),FIND("/",MID(Sync!$P732,FIND("/",Sync!$P732)+1,20))-1))),"")))</f>
        <v/>
      </c>
      <c r="AH732">
        <f>IF(OR($AE732="",$AF732=""),"",IF(ISNUMBER(Sync!$P732),MOD(Sync!$P732,100),IFERROR(VALUE(TRIM(MID(MID(Sync!$P732,FIND("/",Sync!$P732)+1,20),FIND("/",MID(Sync!$P732,FIND("/",Sync!$P732)+1,20))+1,20))),"")))</f>
        <v/>
      </c>
      <c r="AI732">
        <f>IF($AE732="","",IF(OR($AF732="",$AG732="",$AH732="",$AF732&lt;1300,$AF732&gt;1500,$AG732&lt;1,$AG732&gt;12,$AH732&lt;1,$AH732&gt;31),"نامعتبر",RIGHT("0000"&amp;$AF732,4)&amp;"/"&amp;RIGHT("00"&amp;$AG732,2)&amp;"/"&amp;RIGHT("00"&amp;$AH732,2)))</f>
        <v/>
      </c>
      <c r="AJ732">
        <f>IF($AE732="","",IF(Sync!$Q732="","0000",IF(AND(ISNUMBER(Sync!$Q732),Sync!$Q732&gt;=0,Sync!$Q732&lt;1),RIGHT("00"&amp;HOUR(Sync!$Q732),2)&amp;RIGHT("00"&amp;MINUTE(Sync!$Q732),2),IFERROR(RIGHT("00"&amp;VALUE(LEFT(Sync!$Q732,FIND(":",Sync!$Q732)-1)),2)&amp;RIGHT("00"&amp;VALUE(MID(Sync!$Q732,FIND(":",Sync!$Q732)+1,2)),2),"0000"))))</f>
        <v/>
      </c>
      <c r="AK732">
        <f>IF(OR($AE732="",$AI732="",$AI732="نامعتبر"),"",LEFT($AI732,4)&amp;MID($AI732,6,2)&amp;RIGHT($AI732,2)&amp;$AJ732&amp;"|"&amp;"3"&amp;RIGHT("00000"&amp;727,5))</f>
        <v/>
      </c>
      <c r="AL732">
        <f>IF($AK732="","",COUNTIFS(LdAParty,$AE732,LdAType,1,LdAKey,"&lt;"&amp;$AK732)+COUNTIFS(LdBMember,$AE732,LdBKey,"&lt;"&amp;$AK732)+COUNTIFS(LdCParty,$AE732,LdCKey,"&lt;"&amp;$AK732)+1)</f>
        <v/>
      </c>
      <c r="AM732">
        <f>IF($AL732="","",$AE732&amp;"|"&amp;RIGHT("000000"&amp;$AL732,6))</f>
        <v/>
      </c>
      <c r="AN732">
        <f>IF($AE732="","",IF(Sync!$W732="",0,Sync!$W732))</f>
        <v/>
      </c>
      <c r="AO732">
        <f>IF($AE732="","",IF(Sync!$X732="",0,Sync!$X732))</f>
        <v/>
      </c>
      <c r="AP732">
        <f>IF($AE732="","",Sync!$R732)</f>
        <v/>
      </c>
      <c r="AQ732">
        <f>IF($AE732="","",Sync!$Y732)</f>
        <v/>
      </c>
    </row>
    <row r="733">
      <c r="A733">
        <f>IF(OR(Wages!$B736="",Wages!$E736=""),"",Wages!$E736)</f>
        <v/>
      </c>
      <c r="B733">
        <f>IF($A733="","",IF(Wages!$C736="دستمزد گروهی",2,1))</f>
        <v/>
      </c>
      <c r="C733">
        <f>IF($A733="","",IF(ISNUMBER(Wages!$B736),IF(AND(Wages!$B736&gt;=10000101,Wages!$B736&lt;=99991231),INT(Wages!$B736/10000),""),IFERROR(VALUE(TRIM(LEFT(Wages!$B736,FIND("/",Wages!$B736)-1))),"")))</f>
        <v/>
      </c>
      <c r="D733">
        <f>IF(OR($A733="",$C733=""),"",IF(ISNUMBER(Wages!$B736),INT(MOD(Wages!$B736,10000)/100),IFERROR(VALUE(TRIM(LEFT(MID(Wages!$B736,FIND("/",Wages!$B736)+1,20),FIND("/",MID(Wages!$B736,FIND("/",Wages!$B736)+1,20))-1))),"")))</f>
        <v/>
      </c>
      <c r="E733">
        <f>IF(OR($A733="",$C733=""),"",IF(ISNUMBER(Wages!$B736),MOD(Wages!$B736,100),IFERROR(VALUE(TRIM(MID(MID(Wages!$B736,FIND("/",Wages!$B736)+1,20),FIND("/",MID(Wages!$B736,FIND("/",Wages!$B736)+1,20))+1,20))),"")))</f>
        <v/>
      </c>
      <c r="F733">
        <f>IF($A733="","",IF(OR($C733="",$D733="",$E733="",$C733&lt;1300,$C733&gt;1500,$D733&lt;1,$D733&gt;12,$E733&lt;1,$E733&gt;31),"نامعتبر",RIGHT("0000"&amp;$C733,4)&amp;"/"&amp;RIGHT("00"&amp;$D733,2)&amp;"/"&amp;RIGHT("00"&amp;$E733,2)))</f>
        <v/>
      </c>
      <c r="G733">
        <f>IF(OR($A733="",$F733="",$F733="نامعتبر"),"",LEFT($F733,4)&amp;MID($F733,6,2)&amp;RIGHT($F733,2)&amp;"0000"&amp;"|"&amp;"1"&amp;RIGHT("00000"&amp;728,5))</f>
        <v/>
      </c>
      <c r="H733">
        <f>IF(OR($B733&lt;&gt;1,$G733=""),"",COUNTIFS(LdAParty,$A733,LdAType,1,LdAKey,"&lt;"&amp;$G733)+COUNTIFS(LdBMember,$A733,LdBKey,"&lt;"&amp;$G733)+COUNTIFS(LdCParty,$A733,LdCKey,"&lt;"&amp;$G733)+1)</f>
        <v/>
      </c>
      <c r="I733">
        <f>IF($H733="","",$A733&amp;"|"&amp;RIGHT("000000"&amp;$H733,6))</f>
        <v/>
      </c>
      <c r="J733">
        <f>IF(OR($B733&lt;&gt;2,$G733=""),"",COUNTIFS(LdAParty,$A733,LdAType,2,LdAKey,"&lt;"&amp;$G733)+1)</f>
        <v/>
      </c>
      <c r="K733">
        <f>IF($J733="","",$A733&amp;"|"&amp;RIGHT("000000"&amp;$J733,6))</f>
        <v/>
      </c>
      <c r="L733">
        <f>IF($A733="","",IF(Wages!$G736="",0,Wages!$G736))</f>
        <v/>
      </c>
      <c r="M733">
        <f>IF($A733="","",Wages!$J736)</f>
        <v/>
      </c>
      <c r="N733">
        <f>IF($A733="","",Wages!$D736)</f>
        <v/>
      </c>
      <c r="P733">
        <f>IF(OR(Shares!$B736="",Shares!$C736=""),"",Shares!$C736)</f>
        <v/>
      </c>
      <c r="Q733">
        <f>IF($P733="","",Shares!$B736)</f>
        <v/>
      </c>
      <c r="R733">
        <f>IF($P733="","",IFERROR(INDEX(WageParty,MATCH($Q733,WageIds,0)),""))</f>
        <v/>
      </c>
      <c r="S733">
        <f>IF($P733="","",IFERROR(INDEX($F$6:$F$2005,MATCH($Q733,WageIds,0)),""))</f>
        <v/>
      </c>
      <c r="T733">
        <f>IF(OR($P733="",$S733="",$S733="نامعتبر"),"",LEFT($S733,4)&amp;MID($S733,6,2)&amp;RIGHT($S733,2)&amp;"0000"&amp;"|"&amp;"2"&amp;RIGHT("00000"&amp;728,5))</f>
        <v/>
      </c>
      <c r="U733">
        <f>IF($T733="","",COUNTIFS(LdAParty,$P733,LdAType,1,LdAKey,"&lt;"&amp;$T733)+COUNTIFS(LdBMember,$P733,LdBKey,"&lt;"&amp;$T733)+COUNTIFS(LdCParty,$P733,LdCKey,"&lt;"&amp;$T733)+1)</f>
        <v/>
      </c>
      <c r="V733">
        <f>IF($U733="","",$P733&amp;"|"&amp;RIGHT("000000"&amp;$U733,6))</f>
        <v/>
      </c>
      <c r="W733">
        <f>IF($T733="","",COUNTIFS(LdBGroup,$R733,LdBKey,"&lt;"&amp;$T733)+1)</f>
        <v/>
      </c>
      <c r="X733">
        <f>IF($W733="","",$R733&amp;"|"&amp;RIGHT("000000"&amp;$W733,6))</f>
        <v/>
      </c>
      <c r="Y733">
        <f>IF($P733="","",IF(Shares!$E736="",0,Shares!$E736))</f>
        <v/>
      </c>
      <c r="Z733">
        <f>IF($P733="","",Shares!$H736)</f>
        <v/>
      </c>
      <c r="AE733">
        <f>IF(OR(Sync!$S733="",Sync!$P733=""),"",Sync!$S733)</f>
        <v/>
      </c>
      <c r="AF733">
        <f>IF($AE733="","",IF(ISNUMBER(Sync!$P733),IF(AND(Sync!$P733&gt;=10000101,Sync!$P733&lt;=99991231),INT(Sync!$P733/10000),""),IFERROR(VALUE(TRIM(LEFT(Sync!$P733,FIND("/",Sync!$P733)-1))),"")))</f>
        <v/>
      </c>
      <c r="AG733">
        <f>IF(OR($AE733="",$AF733=""),"",IF(ISNUMBER(Sync!$P733),INT(MOD(Sync!$P733,10000)/100),IFERROR(VALUE(TRIM(LEFT(MID(Sync!$P733,FIND("/",Sync!$P733)+1,20),FIND("/",MID(Sync!$P733,FIND("/",Sync!$P733)+1,20))-1))),"")))</f>
        <v/>
      </c>
      <c r="AH733">
        <f>IF(OR($AE733="",$AF733=""),"",IF(ISNUMBER(Sync!$P733),MOD(Sync!$P733,100),IFERROR(VALUE(TRIM(MID(MID(Sync!$P733,FIND("/",Sync!$P733)+1,20),FIND("/",MID(Sync!$P733,FIND("/",Sync!$P733)+1,20))+1,20))),"")))</f>
        <v/>
      </c>
      <c r="AI733">
        <f>IF($AE733="","",IF(OR($AF733="",$AG733="",$AH733="",$AF733&lt;1300,$AF733&gt;1500,$AG733&lt;1,$AG733&gt;12,$AH733&lt;1,$AH733&gt;31),"نامعتبر",RIGHT("0000"&amp;$AF733,4)&amp;"/"&amp;RIGHT("00"&amp;$AG733,2)&amp;"/"&amp;RIGHT("00"&amp;$AH733,2)))</f>
        <v/>
      </c>
      <c r="AJ733">
        <f>IF($AE733="","",IF(Sync!$Q733="","0000",IF(AND(ISNUMBER(Sync!$Q733),Sync!$Q733&gt;=0,Sync!$Q733&lt;1),RIGHT("00"&amp;HOUR(Sync!$Q733),2)&amp;RIGHT("00"&amp;MINUTE(Sync!$Q733),2),IFERROR(RIGHT("00"&amp;VALUE(LEFT(Sync!$Q733,FIND(":",Sync!$Q733)-1)),2)&amp;RIGHT("00"&amp;VALUE(MID(Sync!$Q733,FIND(":",Sync!$Q733)+1,2)),2),"0000"))))</f>
        <v/>
      </c>
      <c r="AK733">
        <f>IF(OR($AE733="",$AI733="",$AI733="نامعتبر"),"",LEFT($AI733,4)&amp;MID($AI733,6,2)&amp;RIGHT($AI733,2)&amp;$AJ733&amp;"|"&amp;"3"&amp;RIGHT("00000"&amp;728,5))</f>
        <v/>
      </c>
      <c r="AL733">
        <f>IF($AK733="","",COUNTIFS(LdAParty,$AE733,LdAType,1,LdAKey,"&lt;"&amp;$AK733)+COUNTIFS(LdBMember,$AE733,LdBKey,"&lt;"&amp;$AK733)+COUNTIFS(LdCParty,$AE733,LdCKey,"&lt;"&amp;$AK733)+1)</f>
        <v/>
      </c>
      <c r="AM733">
        <f>IF($AL733="","",$AE733&amp;"|"&amp;RIGHT("000000"&amp;$AL733,6))</f>
        <v/>
      </c>
      <c r="AN733">
        <f>IF($AE733="","",IF(Sync!$W733="",0,Sync!$W733))</f>
        <v/>
      </c>
      <c r="AO733">
        <f>IF($AE733="","",IF(Sync!$X733="",0,Sync!$X733))</f>
        <v/>
      </c>
      <c r="AP733">
        <f>IF($AE733="","",Sync!$R733)</f>
        <v/>
      </c>
      <c r="AQ733">
        <f>IF($AE733="","",Sync!$Y733)</f>
        <v/>
      </c>
    </row>
    <row r="734">
      <c r="A734">
        <f>IF(OR(Wages!$B737="",Wages!$E737=""),"",Wages!$E737)</f>
        <v/>
      </c>
      <c r="B734">
        <f>IF($A734="","",IF(Wages!$C737="دستمزد گروهی",2,1))</f>
        <v/>
      </c>
      <c r="C734">
        <f>IF($A734="","",IF(ISNUMBER(Wages!$B737),IF(AND(Wages!$B737&gt;=10000101,Wages!$B737&lt;=99991231),INT(Wages!$B737/10000),""),IFERROR(VALUE(TRIM(LEFT(Wages!$B737,FIND("/",Wages!$B737)-1))),"")))</f>
        <v/>
      </c>
      <c r="D734">
        <f>IF(OR($A734="",$C734=""),"",IF(ISNUMBER(Wages!$B737),INT(MOD(Wages!$B737,10000)/100),IFERROR(VALUE(TRIM(LEFT(MID(Wages!$B737,FIND("/",Wages!$B737)+1,20),FIND("/",MID(Wages!$B737,FIND("/",Wages!$B737)+1,20))-1))),"")))</f>
        <v/>
      </c>
      <c r="E734">
        <f>IF(OR($A734="",$C734=""),"",IF(ISNUMBER(Wages!$B737),MOD(Wages!$B737,100),IFERROR(VALUE(TRIM(MID(MID(Wages!$B737,FIND("/",Wages!$B737)+1,20),FIND("/",MID(Wages!$B737,FIND("/",Wages!$B737)+1,20))+1,20))),"")))</f>
        <v/>
      </c>
      <c r="F734">
        <f>IF($A734="","",IF(OR($C734="",$D734="",$E734="",$C734&lt;1300,$C734&gt;1500,$D734&lt;1,$D734&gt;12,$E734&lt;1,$E734&gt;31),"نامعتبر",RIGHT("0000"&amp;$C734,4)&amp;"/"&amp;RIGHT("00"&amp;$D734,2)&amp;"/"&amp;RIGHT("00"&amp;$E734,2)))</f>
        <v/>
      </c>
      <c r="G734">
        <f>IF(OR($A734="",$F734="",$F734="نامعتبر"),"",LEFT($F734,4)&amp;MID($F734,6,2)&amp;RIGHT($F734,2)&amp;"0000"&amp;"|"&amp;"1"&amp;RIGHT("00000"&amp;729,5))</f>
        <v/>
      </c>
      <c r="H734">
        <f>IF(OR($B734&lt;&gt;1,$G734=""),"",COUNTIFS(LdAParty,$A734,LdAType,1,LdAKey,"&lt;"&amp;$G734)+COUNTIFS(LdBMember,$A734,LdBKey,"&lt;"&amp;$G734)+COUNTIFS(LdCParty,$A734,LdCKey,"&lt;"&amp;$G734)+1)</f>
        <v/>
      </c>
      <c r="I734">
        <f>IF($H734="","",$A734&amp;"|"&amp;RIGHT("000000"&amp;$H734,6))</f>
        <v/>
      </c>
      <c r="J734">
        <f>IF(OR($B734&lt;&gt;2,$G734=""),"",COUNTIFS(LdAParty,$A734,LdAType,2,LdAKey,"&lt;"&amp;$G734)+1)</f>
        <v/>
      </c>
      <c r="K734">
        <f>IF($J734="","",$A734&amp;"|"&amp;RIGHT("000000"&amp;$J734,6))</f>
        <v/>
      </c>
      <c r="L734">
        <f>IF($A734="","",IF(Wages!$G737="",0,Wages!$G737))</f>
        <v/>
      </c>
      <c r="M734">
        <f>IF($A734="","",Wages!$J737)</f>
        <v/>
      </c>
      <c r="N734">
        <f>IF($A734="","",Wages!$D737)</f>
        <v/>
      </c>
      <c r="P734">
        <f>IF(OR(Shares!$B737="",Shares!$C737=""),"",Shares!$C737)</f>
        <v/>
      </c>
      <c r="Q734">
        <f>IF($P734="","",Shares!$B737)</f>
        <v/>
      </c>
      <c r="R734">
        <f>IF($P734="","",IFERROR(INDEX(WageParty,MATCH($Q734,WageIds,0)),""))</f>
        <v/>
      </c>
      <c r="S734">
        <f>IF($P734="","",IFERROR(INDEX($F$6:$F$2005,MATCH($Q734,WageIds,0)),""))</f>
        <v/>
      </c>
      <c r="T734">
        <f>IF(OR($P734="",$S734="",$S734="نامعتبر"),"",LEFT($S734,4)&amp;MID($S734,6,2)&amp;RIGHT($S734,2)&amp;"0000"&amp;"|"&amp;"2"&amp;RIGHT("00000"&amp;729,5))</f>
        <v/>
      </c>
      <c r="U734">
        <f>IF($T734="","",COUNTIFS(LdAParty,$P734,LdAType,1,LdAKey,"&lt;"&amp;$T734)+COUNTIFS(LdBMember,$P734,LdBKey,"&lt;"&amp;$T734)+COUNTIFS(LdCParty,$P734,LdCKey,"&lt;"&amp;$T734)+1)</f>
        <v/>
      </c>
      <c r="V734">
        <f>IF($U734="","",$P734&amp;"|"&amp;RIGHT("000000"&amp;$U734,6))</f>
        <v/>
      </c>
      <c r="W734">
        <f>IF($T734="","",COUNTIFS(LdBGroup,$R734,LdBKey,"&lt;"&amp;$T734)+1)</f>
        <v/>
      </c>
      <c r="X734">
        <f>IF($W734="","",$R734&amp;"|"&amp;RIGHT("000000"&amp;$W734,6))</f>
        <v/>
      </c>
      <c r="Y734">
        <f>IF($P734="","",IF(Shares!$E737="",0,Shares!$E737))</f>
        <v/>
      </c>
      <c r="Z734">
        <f>IF($P734="","",Shares!$H737)</f>
        <v/>
      </c>
      <c r="AE734">
        <f>IF(OR(Sync!$S734="",Sync!$P734=""),"",Sync!$S734)</f>
        <v/>
      </c>
      <c r="AF734">
        <f>IF($AE734="","",IF(ISNUMBER(Sync!$P734),IF(AND(Sync!$P734&gt;=10000101,Sync!$P734&lt;=99991231),INT(Sync!$P734/10000),""),IFERROR(VALUE(TRIM(LEFT(Sync!$P734,FIND("/",Sync!$P734)-1))),"")))</f>
        <v/>
      </c>
      <c r="AG734">
        <f>IF(OR($AE734="",$AF734=""),"",IF(ISNUMBER(Sync!$P734),INT(MOD(Sync!$P734,10000)/100),IFERROR(VALUE(TRIM(LEFT(MID(Sync!$P734,FIND("/",Sync!$P734)+1,20),FIND("/",MID(Sync!$P734,FIND("/",Sync!$P734)+1,20))-1))),"")))</f>
        <v/>
      </c>
      <c r="AH734">
        <f>IF(OR($AE734="",$AF734=""),"",IF(ISNUMBER(Sync!$P734),MOD(Sync!$P734,100),IFERROR(VALUE(TRIM(MID(MID(Sync!$P734,FIND("/",Sync!$P734)+1,20),FIND("/",MID(Sync!$P734,FIND("/",Sync!$P734)+1,20))+1,20))),"")))</f>
        <v/>
      </c>
      <c r="AI734">
        <f>IF($AE734="","",IF(OR($AF734="",$AG734="",$AH734="",$AF734&lt;1300,$AF734&gt;1500,$AG734&lt;1,$AG734&gt;12,$AH734&lt;1,$AH734&gt;31),"نامعتبر",RIGHT("0000"&amp;$AF734,4)&amp;"/"&amp;RIGHT("00"&amp;$AG734,2)&amp;"/"&amp;RIGHT("00"&amp;$AH734,2)))</f>
        <v/>
      </c>
      <c r="AJ734">
        <f>IF($AE734="","",IF(Sync!$Q734="","0000",IF(AND(ISNUMBER(Sync!$Q734),Sync!$Q734&gt;=0,Sync!$Q734&lt;1),RIGHT("00"&amp;HOUR(Sync!$Q734),2)&amp;RIGHT("00"&amp;MINUTE(Sync!$Q734),2),IFERROR(RIGHT("00"&amp;VALUE(LEFT(Sync!$Q734,FIND(":",Sync!$Q734)-1)),2)&amp;RIGHT("00"&amp;VALUE(MID(Sync!$Q734,FIND(":",Sync!$Q734)+1,2)),2),"0000"))))</f>
        <v/>
      </c>
      <c r="AK734">
        <f>IF(OR($AE734="",$AI734="",$AI734="نامعتبر"),"",LEFT($AI734,4)&amp;MID($AI734,6,2)&amp;RIGHT($AI734,2)&amp;$AJ734&amp;"|"&amp;"3"&amp;RIGHT("00000"&amp;729,5))</f>
        <v/>
      </c>
      <c r="AL734">
        <f>IF($AK734="","",COUNTIFS(LdAParty,$AE734,LdAType,1,LdAKey,"&lt;"&amp;$AK734)+COUNTIFS(LdBMember,$AE734,LdBKey,"&lt;"&amp;$AK734)+COUNTIFS(LdCParty,$AE734,LdCKey,"&lt;"&amp;$AK734)+1)</f>
        <v/>
      </c>
      <c r="AM734">
        <f>IF($AL734="","",$AE734&amp;"|"&amp;RIGHT("000000"&amp;$AL734,6))</f>
        <v/>
      </c>
      <c r="AN734">
        <f>IF($AE734="","",IF(Sync!$W734="",0,Sync!$W734))</f>
        <v/>
      </c>
      <c r="AO734">
        <f>IF($AE734="","",IF(Sync!$X734="",0,Sync!$X734))</f>
        <v/>
      </c>
      <c r="AP734">
        <f>IF($AE734="","",Sync!$R734)</f>
        <v/>
      </c>
      <c r="AQ734">
        <f>IF($AE734="","",Sync!$Y734)</f>
        <v/>
      </c>
    </row>
    <row r="735">
      <c r="A735">
        <f>IF(OR(Wages!$B738="",Wages!$E738=""),"",Wages!$E738)</f>
        <v/>
      </c>
      <c r="B735">
        <f>IF($A735="","",IF(Wages!$C738="دستمزد گروهی",2,1))</f>
        <v/>
      </c>
      <c r="C735">
        <f>IF($A735="","",IF(ISNUMBER(Wages!$B738),IF(AND(Wages!$B738&gt;=10000101,Wages!$B738&lt;=99991231),INT(Wages!$B738/10000),""),IFERROR(VALUE(TRIM(LEFT(Wages!$B738,FIND("/",Wages!$B738)-1))),"")))</f>
        <v/>
      </c>
      <c r="D735">
        <f>IF(OR($A735="",$C735=""),"",IF(ISNUMBER(Wages!$B738),INT(MOD(Wages!$B738,10000)/100),IFERROR(VALUE(TRIM(LEFT(MID(Wages!$B738,FIND("/",Wages!$B738)+1,20),FIND("/",MID(Wages!$B738,FIND("/",Wages!$B738)+1,20))-1))),"")))</f>
        <v/>
      </c>
      <c r="E735">
        <f>IF(OR($A735="",$C735=""),"",IF(ISNUMBER(Wages!$B738),MOD(Wages!$B738,100),IFERROR(VALUE(TRIM(MID(MID(Wages!$B738,FIND("/",Wages!$B738)+1,20),FIND("/",MID(Wages!$B738,FIND("/",Wages!$B738)+1,20))+1,20))),"")))</f>
        <v/>
      </c>
      <c r="F735">
        <f>IF($A735="","",IF(OR($C735="",$D735="",$E735="",$C735&lt;1300,$C735&gt;1500,$D735&lt;1,$D735&gt;12,$E735&lt;1,$E735&gt;31),"نامعتبر",RIGHT("0000"&amp;$C735,4)&amp;"/"&amp;RIGHT("00"&amp;$D735,2)&amp;"/"&amp;RIGHT("00"&amp;$E735,2)))</f>
        <v/>
      </c>
      <c r="G735">
        <f>IF(OR($A735="",$F735="",$F735="نامعتبر"),"",LEFT($F735,4)&amp;MID($F735,6,2)&amp;RIGHT($F735,2)&amp;"0000"&amp;"|"&amp;"1"&amp;RIGHT("00000"&amp;730,5))</f>
        <v/>
      </c>
      <c r="H735">
        <f>IF(OR($B735&lt;&gt;1,$G735=""),"",COUNTIFS(LdAParty,$A735,LdAType,1,LdAKey,"&lt;"&amp;$G735)+COUNTIFS(LdBMember,$A735,LdBKey,"&lt;"&amp;$G735)+COUNTIFS(LdCParty,$A735,LdCKey,"&lt;"&amp;$G735)+1)</f>
        <v/>
      </c>
      <c r="I735">
        <f>IF($H735="","",$A735&amp;"|"&amp;RIGHT("000000"&amp;$H735,6))</f>
        <v/>
      </c>
      <c r="J735">
        <f>IF(OR($B735&lt;&gt;2,$G735=""),"",COUNTIFS(LdAParty,$A735,LdAType,2,LdAKey,"&lt;"&amp;$G735)+1)</f>
        <v/>
      </c>
      <c r="K735">
        <f>IF($J735="","",$A735&amp;"|"&amp;RIGHT("000000"&amp;$J735,6))</f>
        <v/>
      </c>
      <c r="L735">
        <f>IF($A735="","",IF(Wages!$G738="",0,Wages!$G738))</f>
        <v/>
      </c>
      <c r="M735">
        <f>IF($A735="","",Wages!$J738)</f>
        <v/>
      </c>
      <c r="N735">
        <f>IF($A735="","",Wages!$D738)</f>
        <v/>
      </c>
      <c r="P735">
        <f>IF(OR(Shares!$B738="",Shares!$C738=""),"",Shares!$C738)</f>
        <v/>
      </c>
      <c r="Q735">
        <f>IF($P735="","",Shares!$B738)</f>
        <v/>
      </c>
      <c r="R735">
        <f>IF($P735="","",IFERROR(INDEX(WageParty,MATCH($Q735,WageIds,0)),""))</f>
        <v/>
      </c>
      <c r="S735">
        <f>IF($P735="","",IFERROR(INDEX($F$6:$F$2005,MATCH($Q735,WageIds,0)),""))</f>
        <v/>
      </c>
      <c r="T735">
        <f>IF(OR($P735="",$S735="",$S735="نامعتبر"),"",LEFT($S735,4)&amp;MID($S735,6,2)&amp;RIGHT($S735,2)&amp;"0000"&amp;"|"&amp;"2"&amp;RIGHT("00000"&amp;730,5))</f>
        <v/>
      </c>
      <c r="U735">
        <f>IF($T735="","",COUNTIFS(LdAParty,$P735,LdAType,1,LdAKey,"&lt;"&amp;$T735)+COUNTIFS(LdBMember,$P735,LdBKey,"&lt;"&amp;$T735)+COUNTIFS(LdCParty,$P735,LdCKey,"&lt;"&amp;$T735)+1)</f>
        <v/>
      </c>
      <c r="V735">
        <f>IF($U735="","",$P735&amp;"|"&amp;RIGHT("000000"&amp;$U735,6))</f>
        <v/>
      </c>
      <c r="W735">
        <f>IF($T735="","",COUNTIFS(LdBGroup,$R735,LdBKey,"&lt;"&amp;$T735)+1)</f>
        <v/>
      </c>
      <c r="X735">
        <f>IF($W735="","",$R735&amp;"|"&amp;RIGHT("000000"&amp;$W735,6))</f>
        <v/>
      </c>
      <c r="Y735">
        <f>IF($P735="","",IF(Shares!$E738="",0,Shares!$E738))</f>
        <v/>
      </c>
      <c r="Z735">
        <f>IF($P735="","",Shares!$H738)</f>
        <v/>
      </c>
      <c r="AE735">
        <f>IF(OR(Sync!$S735="",Sync!$P735=""),"",Sync!$S735)</f>
        <v/>
      </c>
      <c r="AF735">
        <f>IF($AE735="","",IF(ISNUMBER(Sync!$P735),IF(AND(Sync!$P735&gt;=10000101,Sync!$P735&lt;=99991231),INT(Sync!$P735/10000),""),IFERROR(VALUE(TRIM(LEFT(Sync!$P735,FIND("/",Sync!$P735)-1))),"")))</f>
        <v/>
      </c>
      <c r="AG735">
        <f>IF(OR($AE735="",$AF735=""),"",IF(ISNUMBER(Sync!$P735),INT(MOD(Sync!$P735,10000)/100),IFERROR(VALUE(TRIM(LEFT(MID(Sync!$P735,FIND("/",Sync!$P735)+1,20),FIND("/",MID(Sync!$P735,FIND("/",Sync!$P735)+1,20))-1))),"")))</f>
        <v/>
      </c>
      <c r="AH735">
        <f>IF(OR($AE735="",$AF735=""),"",IF(ISNUMBER(Sync!$P735),MOD(Sync!$P735,100),IFERROR(VALUE(TRIM(MID(MID(Sync!$P735,FIND("/",Sync!$P735)+1,20),FIND("/",MID(Sync!$P735,FIND("/",Sync!$P735)+1,20))+1,20))),"")))</f>
        <v/>
      </c>
      <c r="AI735">
        <f>IF($AE735="","",IF(OR($AF735="",$AG735="",$AH735="",$AF735&lt;1300,$AF735&gt;1500,$AG735&lt;1,$AG735&gt;12,$AH735&lt;1,$AH735&gt;31),"نامعتبر",RIGHT("0000"&amp;$AF735,4)&amp;"/"&amp;RIGHT("00"&amp;$AG735,2)&amp;"/"&amp;RIGHT("00"&amp;$AH735,2)))</f>
        <v/>
      </c>
      <c r="AJ735">
        <f>IF($AE735="","",IF(Sync!$Q735="","0000",IF(AND(ISNUMBER(Sync!$Q735),Sync!$Q735&gt;=0,Sync!$Q735&lt;1),RIGHT("00"&amp;HOUR(Sync!$Q735),2)&amp;RIGHT("00"&amp;MINUTE(Sync!$Q735),2),IFERROR(RIGHT("00"&amp;VALUE(LEFT(Sync!$Q735,FIND(":",Sync!$Q735)-1)),2)&amp;RIGHT("00"&amp;VALUE(MID(Sync!$Q735,FIND(":",Sync!$Q735)+1,2)),2),"0000"))))</f>
        <v/>
      </c>
      <c r="AK735">
        <f>IF(OR($AE735="",$AI735="",$AI735="نامعتبر"),"",LEFT($AI735,4)&amp;MID($AI735,6,2)&amp;RIGHT($AI735,2)&amp;$AJ735&amp;"|"&amp;"3"&amp;RIGHT("00000"&amp;730,5))</f>
        <v/>
      </c>
      <c r="AL735">
        <f>IF($AK735="","",COUNTIFS(LdAParty,$AE735,LdAType,1,LdAKey,"&lt;"&amp;$AK735)+COUNTIFS(LdBMember,$AE735,LdBKey,"&lt;"&amp;$AK735)+COUNTIFS(LdCParty,$AE735,LdCKey,"&lt;"&amp;$AK735)+1)</f>
        <v/>
      </c>
      <c r="AM735">
        <f>IF($AL735="","",$AE735&amp;"|"&amp;RIGHT("000000"&amp;$AL735,6))</f>
        <v/>
      </c>
      <c r="AN735">
        <f>IF($AE735="","",IF(Sync!$W735="",0,Sync!$W735))</f>
        <v/>
      </c>
      <c r="AO735">
        <f>IF($AE735="","",IF(Sync!$X735="",0,Sync!$X735))</f>
        <v/>
      </c>
      <c r="AP735">
        <f>IF($AE735="","",Sync!$R735)</f>
        <v/>
      </c>
      <c r="AQ735">
        <f>IF($AE735="","",Sync!$Y735)</f>
        <v/>
      </c>
    </row>
    <row r="736">
      <c r="A736">
        <f>IF(OR(Wages!$B739="",Wages!$E739=""),"",Wages!$E739)</f>
        <v/>
      </c>
      <c r="B736">
        <f>IF($A736="","",IF(Wages!$C739="دستمزد گروهی",2,1))</f>
        <v/>
      </c>
      <c r="C736">
        <f>IF($A736="","",IF(ISNUMBER(Wages!$B739),IF(AND(Wages!$B739&gt;=10000101,Wages!$B739&lt;=99991231),INT(Wages!$B739/10000),""),IFERROR(VALUE(TRIM(LEFT(Wages!$B739,FIND("/",Wages!$B739)-1))),"")))</f>
        <v/>
      </c>
      <c r="D736">
        <f>IF(OR($A736="",$C736=""),"",IF(ISNUMBER(Wages!$B739),INT(MOD(Wages!$B739,10000)/100),IFERROR(VALUE(TRIM(LEFT(MID(Wages!$B739,FIND("/",Wages!$B739)+1,20),FIND("/",MID(Wages!$B739,FIND("/",Wages!$B739)+1,20))-1))),"")))</f>
        <v/>
      </c>
      <c r="E736">
        <f>IF(OR($A736="",$C736=""),"",IF(ISNUMBER(Wages!$B739),MOD(Wages!$B739,100),IFERROR(VALUE(TRIM(MID(MID(Wages!$B739,FIND("/",Wages!$B739)+1,20),FIND("/",MID(Wages!$B739,FIND("/",Wages!$B739)+1,20))+1,20))),"")))</f>
        <v/>
      </c>
      <c r="F736">
        <f>IF($A736="","",IF(OR($C736="",$D736="",$E736="",$C736&lt;1300,$C736&gt;1500,$D736&lt;1,$D736&gt;12,$E736&lt;1,$E736&gt;31),"نامعتبر",RIGHT("0000"&amp;$C736,4)&amp;"/"&amp;RIGHT("00"&amp;$D736,2)&amp;"/"&amp;RIGHT("00"&amp;$E736,2)))</f>
        <v/>
      </c>
      <c r="G736">
        <f>IF(OR($A736="",$F736="",$F736="نامعتبر"),"",LEFT($F736,4)&amp;MID($F736,6,2)&amp;RIGHT($F736,2)&amp;"0000"&amp;"|"&amp;"1"&amp;RIGHT("00000"&amp;731,5))</f>
        <v/>
      </c>
      <c r="H736">
        <f>IF(OR($B736&lt;&gt;1,$G736=""),"",COUNTIFS(LdAParty,$A736,LdAType,1,LdAKey,"&lt;"&amp;$G736)+COUNTIFS(LdBMember,$A736,LdBKey,"&lt;"&amp;$G736)+COUNTIFS(LdCParty,$A736,LdCKey,"&lt;"&amp;$G736)+1)</f>
        <v/>
      </c>
      <c r="I736">
        <f>IF($H736="","",$A736&amp;"|"&amp;RIGHT("000000"&amp;$H736,6))</f>
        <v/>
      </c>
      <c r="J736">
        <f>IF(OR($B736&lt;&gt;2,$G736=""),"",COUNTIFS(LdAParty,$A736,LdAType,2,LdAKey,"&lt;"&amp;$G736)+1)</f>
        <v/>
      </c>
      <c r="K736">
        <f>IF($J736="","",$A736&amp;"|"&amp;RIGHT("000000"&amp;$J736,6))</f>
        <v/>
      </c>
      <c r="L736">
        <f>IF($A736="","",IF(Wages!$G739="",0,Wages!$G739))</f>
        <v/>
      </c>
      <c r="M736">
        <f>IF($A736="","",Wages!$J739)</f>
        <v/>
      </c>
      <c r="N736">
        <f>IF($A736="","",Wages!$D739)</f>
        <v/>
      </c>
      <c r="P736">
        <f>IF(OR(Shares!$B739="",Shares!$C739=""),"",Shares!$C739)</f>
        <v/>
      </c>
      <c r="Q736">
        <f>IF($P736="","",Shares!$B739)</f>
        <v/>
      </c>
      <c r="R736">
        <f>IF($P736="","",IFERROR(INDEX(WageParty,MATCH($Q736,WageIds,0)),""))</f>
        <v/>
      </c>
      <c r="S736">
        <f>IF($P736="","",IFERROR(INDEX($F$6:$F$2005,MATCH($Q736,WageIds,0)),""))</f>
        <v/>
      </c>
      <c r="T736">
        <f>IF(OR($P736="",$S736="",$S736="نامعتبر"),"",LEFT($S736,4)&amp;MID($S736,6,2)&amp;RIGHT($S736,2)&amp;"0000"&amp;"|"&amp;"2"&amp;RIGHT("00000"&amp;731,5))</f>
        <v/>
      </c>
      <c r="U736">
        <f>IF($T736="","",COUNTIFS(LdAParty,$P736,LdAType,1,LdAKey,"&lt;"&amp;$T736)+COUNTIFS(LdBMember,$P736,LdBKey,"&lt;"&amp;$T736)+COUNTIFS(LdCParty,$P736,LdCKey,"&lt;"&amp;$T736)+1)</f>
        <v/>
      </c>
      <c r="V736">
        <f>IF($U736="","",$P736&amp;"|"&amp;RIGHT("000000"&amp;$U736,6))</f>
        <v/>
      </c>
      <c r="W736">
        <f>IF($T736="","",COUNTIFS(LdBGroup,$R736,LdBKey,"&lt;"&amp;$T736)+1)</f>
        <v/>
      </c>
      <c r="X736">
        <f>IF($W736="","",$R736&amp;"|"&amp;RIGHT("000000"&amp;$W736,6))</f>
        <v/>
      </c>
      <c r="Y736">
        <f>IF($P736="","",IF(Shares!$E739="",0,Shares!$E739))</f>
        <v/>
      </c>
      <c r="Z736">
        <f>IF($P736="","",Shares!$H739)</f>
        <v/>
      </c>
      <c r="AE736">
        <f>IF(OR(Sync!$S736="",Sync!$P736=""),"",Sync!$S736)</f>
        <v/>
      </c>
      <c r="AF736">
        <f>IF($AE736="","",IF(ISNUMBER(Sync!$P736),IF(AND(Sync!$P736&gt;=10000101,Sync!$P736&lt;=99991231),INT(Sync!$P736/10000),""),IFERROR(VALUE(TRIM(LEFT(Sync!$P736,FIND("/",Sync!$P736)-1))),"")))</f>
        <v/>
      </c>
      <c r="AG736">
        <f>IF(OR($AE736="",$AF736=""),"",IF(ISNUMBER(Sync!$P736),INT(MOD(Sync!$P736,10000)/100),IFERROR(VALUE(TRIM(LEFT(MID(Sync!$P736,FIND("/",Sync!$P736)+1,20),FIND("/",MID(Sync!$P736,FIND("/",Sync!$P736)+1,20))-1))),"")))</f>
        <v/>
      </c>
      <c r="AH736">
        <f>IF(OR($AE736="",$AF736=""),"",IF(ISNUMBER(Sync!$P736),MOD(Sync!$P736,100),IFERROR(VALUE(TRIM(MID(MID(Sync!$P736,FIND("/",Sync!$P736)+1,20),FIND("/",MID(Sync!$P736,FIND("/",Sync!$P736)+1,20))+1,20))),"")))</f>
        <v/>
      </c>
      <c r="AI736">
        <f>IF($AE736="","",IF(OR($AF736="",$AG736="",$AH736="",$AF736&lt;1300,$AF736&gt;1500,$AG736&lt;1,$AG736&gt;12,$AH736&lt;1,$AH736&gt;31),"نامعتبر",RIGHT("0000"&amp;$AF736,4)&amp;"/"&amp;RIGHT("00"&amp;$AG736,2)&amp;"/"&amp;RIGHT("00"&amp;$AH736,2)))</f>
        <v/>
      </c>
      <c r="AJ736">
        <f>IF($AE736="","",IF(Sync!$Q736="","0000",IF(AND(ISNUMBER(Sync!$Q736),Sync!$Q736&gt;=0,Sync!$Q736&lt;1),RIGHT("00"&amp;HOUR(Sync!$Q736),2)&amp;RIGHT("00"&amp;MINUTE(Sync!$Q736),2),IFERROR(RIGHT("00"&amp;VALUE(LEFT(Sync!$Q736,FIND(":",Sync!$Q736)-1)),2)&amp;RIGHT("00"&amp;VALUE(MID(Sync!$Q736,FIND(":",Sync!$Q736)+1,2)),2),"0000"))))</f>
        <v/>
      </c>
      <c r="AK736">
        <f>IF(OR($AE736="",$AI736="",$AI736="نامعتبر"),"",LEFT($AI736,4)&amp;MID($AI736,6,2)&amp;RIGHT($AI736,2)&amp;$AJ736&amp;"|"&amp;"3"&amp;RIGHT("00000"&amp;731,5))</f>
        <v/>
      </c>
      <c r="AL736">
        <f>IF($AK736="","",COUNTIFS(LdAParty,$AE736,LdAType,1,LdAKey,"&lt;"&amp;$AK736)+COUNTIFS(LdBMember,$AE736,LdBKey,"&lt;"&amp;$AK736)+COUNTIFS(LdCParty,$AE736,LdCKey,"&lt;"&amp;$AK736)+1)</f>
        <v/>
      </c>
      <c r="AM736">
        <f>IF($AL736="","",$AE736&amp;"|"&amp;RIGHT("000000"&amp;$AL736,6))</f>
        <v/>
      </c>
      <c r="AN736">
        <f>IF($AE736="","",IF(Sync!$W736="",0,Sync!$W736))</f>
        <v/>
      </c>
      <c r="AO736">
        <f>IF($AE736="","",IF(Sync!$X736="",0,Sync!$X736))</f>
        <v/>
      </c>
      <c r="AP736">
        <f>IF($AE736="","",Sync!$R736)</f>
        <v/>
      </c>
      <c r="AQ736">
        <f>IF($AE736="","",Sync!$Y736)</f>
        <v/>
      </c>
    </row>
    <row r="737">
      <c r="A737">
        <f>IF(OR(Wages!$B740="",Wages!$E740=""),"",Wages!$E740)</f>
        <v/>
      </c>
      <c r="B737">
        <f>IF($A737="","",IF(Wages!$C740="دستمزد گروهی",2,1))</f>
        <v/>
      </c>
      <c r="C737">
        <f>IF($A737="","",IF(ISNUMBER(Wages!$B740),IF(AND(Wages!$B740&gt;=10000101,Wages!$B740&lt;=99991231),INT(Wages!$B740/10000),""),IFERROR(VALUE(TRIM(LEFT(Wages!$B740,FIND("/",Wages!$B740)-1))),"")))</f>
        <v/>
      </c>
      <c r="D737">
        <f>IF(OR($A737="",$C737=""),"",IF(ISNUMBER(Wages!$B740),INT(MOD(Wages!$B740,10000)/100),IFERROR(VALUE(TRIM(LEFT(MID(Wages!$B740,FIND("/",Wages!$B740)+1,20),FIND("/",MID(Wages!$B740,FIND("/",Wages!$B740)+1,20))-1))),"")))</f>
        <v/>
      </c>
      <c r="E737">
        <f>IF(OR($A737="",$C737=""),"",IF(ISNUMBER(Wages!$B740),MOD(Wages!$B740,100),IFERROR(VALUE(TRIM(MID(MID(Wages!$B740,FIND("/",Wages!$B740)+1,20),FIND("/",MID(Wages!$B740,FIND("/",Wages!$B740)+1,20))+1,20))),"")))</f>
        <v/>
      </c>
      <c r="F737">
        <f>IF($A737="","",IF(OR($C737="",$D737="",$E737="",$C737&lt;1300,$C737&gt;1500,$D737&lt;1,$D737&gt;12,$E737&lt;1,$E737&gt;31),"نامعتبر",RIGHT("0000"&amp;$C737,4)&amp;"/"&amp;RIGHT("00"&amp;$D737,2)&amp;"/"&amp;RIGHT("00"&amp;$E737,2)))</f>
        <v/>
      </c>
      <c r="G737">
        <f>IF(OR($A737="",$F737="",$F737="نامعتبر"),"",LEFT($F737,4)&amp;MID($F737,6,2)&amp;RIGHT($F737,2)&amp;"0000"&amp;"|"&amp;"1"&amp;RIGHT("00000"&amp;732,5))</f>
        <v/>
      </c>
      <c r="H737">
        <f>IF(OR($B737&lt;&gt;1,$G737=""),"",COUNTIFS(LdAParty,$A737,LdAType,1,LdAKey,"&lt;"&amp;$G737)+COUNTIFS(LdBMember,$A737,LdBKey,"&lt;"&amp;$G737)+COUNTIFS(LdCParty,$A737,LdCKey,"&lt;"&amp;$G737)+1)</f>
        <v/>
      </c>
      <c r="I737">
        <f>IF($H737="","",$A737&amp;"|"&amp;RIGHT("000000"&amp;$H737,6))</f>
        <v/>
      </c>
      <c r="J737">
        <f>IF(OR($B737&lt;&gt;2,$G737=""),"",COUNTIFS(LdAParty,$A737,LdAType,2,LdAKey,"&lt;"&amp;$G737)+1)</f>
        <v/>
      </c>
      <c r="K737">
        <f>IF($J737="","",$A737&amp;"|"&amp;RIGHT("000000"&amp;$J737,6))</f>
        <v/>
      </c>
      <c r="L737">
        <f>IF($A737="","",IF(Wages!$G740="",0,Wages!$G740))</f>
        <v/>
      </c>
      <c r="M737">
        <f>IF($A737="","",Wages!$J740)</f>
        <v/>
      </c>
      <c r="N737">
        <f>IF($A737="","",Wages!$D740)</f>
        <v/>
      </c>
      <c r="P737">
        <f>IF(OR(Shares!$B740="",Shares!$C740=""),"",Shares!$C740)</f>
        <v/>
      </c>
      <c r="Q737">
        <f>IF($P737="","",Shares!$B740)</f>
        <v/>
      </c>
      <c r="R737">
        <f>IF($P737="","",IFERROR(INDEX(WageParty,MATCH($Q737,WageIds,0)),""))</f>
        <v/>
      </c>
      <c r="S737">
        <f>IF($P737="","",IFERROR(INDEX($F$6:$F$2005,MATCH($Q737,WageIds,0)),""))</f>
        <v/>
      </c>
      <c r="T737">
        <f>IF(OR($P737="",$S737="",$S737="نامعتبر"),"",LEFT($S737,4)&amp;MID($S737,6,2)&amp;RIGHT($S737,2)&amp;"0000"&amp;"|"&amp;"2"&amp;RIGHT("00000"&amp;732,5))</f>
        <v/>
      </c>
      <c r="U737">
        <f>IF($T737="","",COUNTIFS(LdAParty,$P737,LdAType,1,LdAKey,"&lt;"&amp;$T737)+COUNTIFS(LdBMember,$P737,LdBKey,"&lt;"&amp;$T737)+COUNTIFS(LdCParty,$P737,LdCKey,"&lt;"&amp;$T737)+1)</f>
        <v/>
      </c>
      <c r="V737">
        <f>IF($U737="","",$P737&amp;"|"&amp;RIGHT("000000"&amp;$U737,6))</f>
        <v/>
      </c>
      <c r="W737">
        <f>IF($T737="","",COUNTIFS(LdBGroup,$R737,LdBKey,"&lt;"&amp;$T737)+1)</f>
        <v/>
      </c>
      <c r="X737">
        <f>IF($W737="","",$R737&amp;"|"&amp;RIGHT("000000"&amp;$W737,6))</f>
        <v/>
      </c>
      <c r="Y737">
        <f>IF($P737="","",IF(Shares!$E740="",0,Shares!$E740))</f>
        <v/>
      </c>
      <c r="Z737">
        <f>IF($P737="","",Shares!$H740)</f>
        <v/>
      </c>
      <c r="AE737">
        <f>IF(OR(Sync!$S737="",Sync!$P737=""),"",Sync!$S737)</f>
        <v/>
      </c>
      <c r="AF737">
        <f>IF($AE737="","",IF(ISNUMBER(Sync!$P737),IF(AND(Sync!$P737&gt;=10000101,Sync!$P737&lt;=99991231),INT(Sync!$P737/10000),""),IFERROR(VALUE(TRIM(LEFT(Sync!$P737,FIND("/",Sync!$P737)-1))),"")))</f>
        <v/>
      </c>
      <c r="AG737">
        <f>IF(OR($AE737="",$AF737=""),"",IF(ISNUMBER(Sync!$P737),INT(MOD(Sync!$P737,10000)/100),IFERROR(VALUE(TRIM(LEFT(MID(Sync!$P737,FIND("/",Sync!$P737)+1,20),FIND("/",MID(Sync!$P737,FIND("/",Sync!$P737)+1,20))-1))),"")))</f>
        <v/>
      </c>
      <c r="AH737">
        <f>IF(OR($AE737="",$AF737=""),"",IF(ISNUMBER(Sync!$P737),MOD(Sync!$P737,100),IFERROR(VALUE(TRIM(MID(MID(Sync!$P737,FIND("/",Sync!$P737)+1,20),FIND("/",MID(Sync!$P737,FIND("/",Sync!$P737)+1,20))+1,20))),"")))</f>
        <v/>
      </c>
      <c r="AI737">
        <f>IF($AE737="","",IF(OR($AF737="",$AG737="",$AH737="",$AF737&lt;1300,$AF737&gt;1500,$AG737&lt;1,$AG737&gt;12,$AH737&lt;1,$AH737&gt;31),"نامعتبر",RIGHT("0000"&amp;$AF737,4)&amp;"/"&amp;RIGHT("00"&amp;$AG737,2)&amp;"/"&amp;RIGHT("00"&amp;$AH737,2)))</f>
        <v/>
      </c>
      <c r="AJ737">
        <f>IF($AE737="","",IF(Sync!$Q737="","0000",IF(AND(ISNUMBER(Sync!$Q737),Sync!$Q737&gt;=0,Sync!$Q737&lt;1),RIGHT("00"&amp;HOUR(Sync!$Q737),2)&amp;RIGHT("00"&amp;MINUTE(Sync!$Q737),2),IFERROR(RIGHT("00"&amp;VALUE(LEFT(Sync!$Q737,FIND(":",Sync!$Q737)-1)),2)&amp;RIGHT("00"&amp;VALUE(MID(Sync!$Q737,FIND(":",Sync!$Q737)+1,2)),2),"0000"))))</f>
        <v/>
      </c>
      <c r="AK737">
        <f>IF(OR($AE737="",$AI737="",$AI737="نامعتبر"),"",LEFT($AI737,4)&amp;MID($AI737,6,2)&amp;RIGHT($AI737,2)&amp;$AJ737&amp;"|"&amp;"3"&amp;RIGHT("00000"&amp;732,5))</f>
        <v/>
      </c>
      <c r="AL737">
        <f>IF($AK737="","",COUNTIFS(LdAParty,$AE737,LdAType,1,LdAKey,"&lt;"&amp;$AK737)+COUNTIFS(LdBMember,$AE737,LdBKey,"&lt;"&amp;$AK737)+COUNTIFS(LdCParty,$AE737,LdCKey,"&lt;"&amp;$AK737)+1)</f>
        <v/>
      </c>
      <c r="AM737">
        <f>IF($AL737="","",$AE737&amp;"|"&amp;RIGHT("000000"&amp;$AL737,6))</f>
        <v/>
      </c>
      <c r="AN737">
        <f>IF($AE737="","",IF(Sync!$W737="",0,Sync!$W737))</f>
        <v/>
      </c>
      <c r="AO737">
        <f>IF($AE737="","",IF(Sync!$X737="",0,Sync!$X737))</f>
        <v/>
      </c>
      <c r="AP737">
        <f>IF($AE737="","",Sync!$R737)</f>
        <v/>
      </c>
      <c r="AQ737">
        <f>IF($AE737="","",Sync!$Y737)</f>
        <v/>
      </c>
    </row>
    <row r="738">
      <c r="A738">
        <f>IF(OR(Wages!$B741="",Wages!$E741=""),"",Wages!$E741)</f>
        <v/>
      </c>
      <c r="B738">
        <f>IF($A738="","",IF(Wages!$C741="دستمزد گروهی",2,1))</f>
        <v/>
      </c>
      <c r="C738">
        <f>IF($A738="","",IF(ISNUMBER(Wages!$B741),IF(AND(Wages!$B741&gt;=10000101,Wages!$B741&lt;=99991231),INT(Wages!$B741/10000),""),IFERROR(VALUE(TRIM(LEFT(Wages!$B741,FIND("/",Wages!$B741)-1))),"")))</f>
        <v/>
      </c>
      <c r="D738">
        <f>IF(OR($A738="",$C738=""),"",IF(ISNUMBER(Wages!$B741),INT(MOD(Wages!$B741,10000)/100),IFERROR(VALUE(TRIM(LEFT(MID(Wages!$B741,FIND("/",Wages!$B741)+1,20),FIND("/",MID(Wages!$B741,FIND("/",Wages!$B741)+1,20))-1))),"")))</f>
        <v/>
      </c>
      <c r="E738">
        <f>IF(OR($A738="",$C738=""),"",IF(ISNUMBER(Wages!$B741),MOD(Wages!$B741,100),IFERROR(VALUE(TRIM(MID(MID(Wages!$B741,FIND("/",Wages!$B741)+1,20),FIND("/",MID(Wages!$B741,FIND("/",Wages!$B741)+1,20))+1,20))),"")))</f>
        <v/>
      </c>
      <c r="F738">
        <f>IF($A738="","",IF(OR($C738="",$D738="",$E738="",$C738&lt;1300,$C738&gt;1500,$D738&lt;1,$D738&gt;12,$E738&lt;1,$E738&gt;31),"نامعتبر",RIGHT("0000"&amp;$C738,4)&amp;"/"&amp;RIGHT("00"&amp;$D738,2)&amp;"/"&amp;RIGHT("00"&amp;$E738,2)))</f>
        <v/>
      </c>
      <c r="G738">
        <f>IF(OR($A738="",$F738="",$F738="نامعتبر"),"",LEFT($F738,4)&amp;MID($F738,6,2)&amp;RIGHT($F738,2)&amp;"0000"&amp;"|"&amp;"1"&amp;RIGHT("00000"&amp;733,5))</f>
        <v/>
      </c>
      <c r="H738">
        <f>IF(OR($B738&lt;&gt;1,$G738=""),"",COUNTIFS(LdAParty,$A738,LdAType,1,LdAKey,"&lt;"&amp;$G738)+COUNTIFS(LdBMember,$A738,LdBKey,"&lt;"&amp;$G738)+COUNTIFS(LdCParty,$A738,LdCKey,"&lt;"&amp;$G738)+1)</f>
        <v/>
      </c>
      <c r="I738">
        <f>IF($H738="","",$A738&amp;"|"&amp;RIGHT("000000"&amp;$H738,6))</f>
        <v/>
      </c>
      <c r="J738">
        <f>IF(OR($B738&lt;&gt;2,$G738=""),"",COUNTIFS(LdAParty,$A738,LdAType,2,LdAKey,"&lt;"&amp;$G738)+1)</f>
        <v/>
      </c>
      <c r="K738">
        <f>IF($J738="","",$A738&amp;"|"&amp;RIGHT("000000"&amp;$J738,6))</f>
        <v/>
      </c>
      <c r="L738">
        <f>IF($A738="","",IF(Wages!$G741="",0,Wages!$G741))</f>
        <v/>
      </c>
      <c r="M738">
        <f>IF($A738="","",Wages!$J741)</f>
        <v/>
      </c>
      <c r="N738">
        <f>IF($A738="","",Wages!$D741)</f>
        <v/>
      </c>
      <c r="P738">
        <f>IF(OR(Shares!$B741="",Shares!$C741=""),"",Shares!$C741)</f>
        <v/>
      </c>
      <c r="Q738">
        <f>IF($P738="","",Shares!$B741)</f>
        <v/>
      </c>
      <c r="R738">
        <f>IF($P738="","",IFERROR(INDEX(WageParty,MATCH($Q738,WageIds,0)),""))</f>
        <v/>
      </c>
      <c r="S738">
        <f>IF($P738="","",IFERROR(INDEX($F$6:$F$2005,MATCH($Q738,WageIds,0)),""))</f>
        <v/>
      </c>
      <c r="T738">
        <f>IF(OR($P738="",$S738="",$S738="نامعتبر"),"",LEFT($S738,4)&amp;MID($S738,6,2)&amp;RIGHT($S738,2)&amp;"0000"&amp;"|"&amp;"2"&amp;RIGHT("00000"&amp;733,5))</f>
        <v/>
      </c>
      <c r="U738">
        <f>IF($T738="","",COUNTIFS(LdAParty,$P738,LdAType,1,LdAKey,"&lt;"&amp;$T738)+COUNTIFS(LdBMember,$P738,LdBKey,"&lt;"&amp;$T738)+COUNTIFS(LdCParty,$P738,LdCKey,"&lt;"&amp;$T738)+1)</f>
        <v/>
      </c>
      <c r="V738">
        <f>IF($U738="","",$P738&amp;"|"&amp;RIGHT("000000"&amp;$U738,6))</f>
        <v/>
      </c>
      <c r="W738">
        <f>IF($T738="","",COUNTIFS(LdBGroup,$R738,LdBKey,"&lt;"&amp;$T738)+1)</f>
        <v/>
      </c>
      <c r="X738">
        <f>IF($W738="","",$R738&amp;"|"&amp;RIGHT("000000"&amp;$W738,6))</f>
        <v/>
      </c>
      <c r="Y738">
        <f>IF($P738="","",IF(Shares!$E741="",0,Shares!$E741))</f>
        <v/>
      </c>
      <c r="Z738">
        <f>IF($P738="","",Shares!$H741)</f>
        <v/>
      </c>
      <c r="AE738">
        <f>IF(OR(Sync!$S738="",Sync!$P738=""),"",Sync!$S738)</f>
        <v/>
      </c>
      <c r="AF738">
        <f>IF($AE738="","",IF(ISNUMBER(Sync!$P738),IF(AND(Sync!$P738&gt;=10000101,Sync!$P738&lt;=99991231),INT(Sync!$P738/10000),""),IFERROR(VALUE(TRIM(LEFT(Sync!$P738,FIND("/",Sync!$P738)-1))),"")))</f>
        <v/>
      </c>
      <c r="AG738">
        <f>IF(OR($AE738="",$AF738=""),"",IF(ISNUMBER(Sync!$P738),INT(MOD(Sync!$P738,10000)/100),IFERROR(VALUE(TRIM(LEFT(MID(Sync!$P738,FIND("/",Sync!$P738)+1,20),FIND("/",MID(Sync!$P738,FIND("/",Sync!$P738)+1,20))-1))),"")))</f>
        <v/>
      </c>
      <c r="AH738">
        <f>IF(OR($AE738="",$AF738=""),"",IF(ISNUMBER(Sync!$P738),MOD(Sync!$P738,100),IFERROR(VALUE(TRIM(MID(MID(Sync!$P738,FIND("/",Sync!$P738)+1,20),FIND("/",MID(Sync!$P738,FIND("/",Sync!$P738)+1,20))+1,20))),"")))</f>
        <v/>
      </c>
      <c r="AI738">
        <f>IF($AE738="","",IF(OR($AF738="",$AG738="",$AH738="",$AF738&lt;1300,$AF738&gt;1500,$AG738&lt;1,$AG738&gt;12,$AH738&lt;1,$AH738&gt;31),"نامعتبر",RIGHT("0000"&amp;$AF738,4)&amp;"/"&amp;RIGHT("00"&amp;$AG738,2)&amp;"/"&amp;RIGHT("00"&amp;$AH738,2)))</f>
        <v/>
      </c>
      <c r="AJ738">
        <f>IF($AE738="","",IF(Sync!$Q738="","0000",IF(AND(ISNUMBER(Sync!$Q738),Sync!$Q738&gt;=0,Sync!$Q738&lt;1),RIGHT("00"&amp;HOUR(Sync!$Q738),2)&amp;RIGHT("00"&amp;MINUTE(Sync!$Q738),2),IFERROR(RIGHT("00"&amp;VALUE(LEFT(Sync!$Q738,FIND(":",Sync!$Q738)-1)),2)&amp;RIGHT("00"&amp;VALUE(MID(Sync!$Q738,FIND(":",Sync!$Q738)+1,2)),2),"0000"))))</f>
        <v/>
      </c>
      <c r="AK738">
        <f>IF(OR($AE738="",$AI738="",$AI738="نامعتبر"),"",LEFT($AI738,4)&amp;MID($AI738,6,2)&amp;RIGHT($AI738,2)&amp;$AJ738&amp;"|"&amp;"3"&amp;RIGHT("00000"&amp;733,5))</f>
        <v/>
      </c>
      <c r="AL738">
        <f>IF($AK738="","",COUNTIFS(LdAParty,$AE738,LdAType,1,LdAKey,"&lt;"&amp;$AK738)+COUNTIFS(LdBMember,$AE738,LdBKey,"&lt;"&amp;$AK738)+COUNTIFS(LdCParty,$AE738,LdCKey,"&lt;"&amp;$AK738)+1)</f>
        <v/>
      </c>
      <c r="AM738">
        <f>IF($AL738="","",$AE738&amp;"|"&amp;RIGHT("000000"&amp;$AL738,6))</f>
        <v/>
      </c>
      <c r="AN738">
        <f>IF($AE738="","",IF(Sync!$W738="",0,Sync!$W738))</f>
        <v/>
      </c>
      <c r="AO738">
        <f>IF($AE738="","",IF(Sync!$X738="",0,Sync!$X738))</f>
        <v/>
      </c>
      <c r="AP738">
        <f>IF($AE738="","",Sync!$R738)</f>
        <v/>
      </c>
      <c r="AQ738">
        <f>IF($AE738="","",Sync!$Y738)</f>
        <v/>
      </c>
    </row>
    <row r="739">
      <c r="A739">
        <f>IF(OR(Wages!$B742="",Wages!$E742=""),"",Wages!$E742)</f>
        <v/>
      </c>
      <c r="B739">
        <f>IF($A739="","",IF(Wages!$C742="دستمزد گروهی",2,1))</f>
        <v/>
      </c>
      <c r="C739">
        <f>IF($A739="","",IF(ISNUMBER(Wages!$B742),IF(AND(Wages!$B742&gt;=10000101,Wages!$B742&lt;=99991231),INT(Wages!$B742/10000),""),IFERROR(VALUE(TRIM(LEFT(Wages!$B742,FIND("/",Wages!$B742)-1))),"")))</f>
        <v/>
      </c>
      <c r="D739">
        <f>IF(OR($A739="",$C739=""),"",IF(ISNUMBER(Wages!$B742),INT(MOD(Wages!$B742,10000)/100),IFERROR(VALUE(TRIM(LEFT(MID(Wages!$B742,FIND("/",Wages!$B742)+1,20),FIND("/",MID(Wages!$B742,FIND("/",Wages!$B742)+1,20))-1))),"")))</f>
        <v/>
      </c>
      <c r="E739">
        <f>IF(OR($A739="",$C739=""),"",IF(ISNUMBER(Wages!$B742),MOD(Wages!$B742,100),IFERROR(VALUE(TRIM(MID(MID(Wages!$B742,FIND("/",Wages!$B742)+1,20),FIND("/",MID(Wages!$B742,FIND("/",Wages!$B742)+1,20))+1,20))),"")))</f>
        <v/>
      </c>
      <c r="F739">
        <f>IF($A739="","",IF(OR($C739="",$D739="",$E739="",$C739&lt;1300,$C739&gt;1500,$D739&lt;1,$D739&gt;12,$E739&lt;1,$E739&gt;31),"نامعتبر",RIGHT("0000"&amp;$C739,4)&amp;"/"&amp;RIGHT("00"&amp;$D739,2)&amp;"/"&amp;RIGHT("00"&amp;$E739,2)))</f>
        <v/>
      </c>
      <c r="G739">
        <f>IF(OR($A739="",$F739="",$F739="نامعتبر"),"",LEFT($F739,4)&amp;MID($F739,6,2)&amp;RIGHT($F739,2)&amp;"0000"&amp;"|"&amp;"1"&amp;RIGHT("00000"&amp;734,5))</f>
        <v/>
      </c>
      <c r="H739">
        <f>IF(OR($B739&lt;&gt;1,$G739=""),"",COUNTIFS(LdAParty,$A739,LdAType,1,LdAKey,"&lt;"&amp;$G739)+COUNTIFS(LdBMember,$A739,LdBKey,"&lt;"&amp;$G739)+COUNTIFS(LdCParty,$A739,LdCKey,"&lt;"&amp;$G739)+1)</f>
        <v/>
      </c>
      <c r="I739">
        <f>IF($H739="","",$A739&amp;"|"&amp;RIGHT("000000"&amp;$H739,6))</f>
        <v/>
      </c>
      <c r="J739">
        <f>IF(OR($B739&lt;&gt;2,$G739=""),"",COUNTIFS(LdAParty,$A739,LdAType,2,LdAKey,"&lt;"&amp;$G739)+1)</f>
        <v/>
      </c>
      <c r="K739">
        <f>IF($J739="","",$A739&amp;"|"&amp;RIGHT("000000"&amp;$J739,6))</f>
        <v/>
      </c>
      <c r="L739">
        <f>IF($A739="","",IF(Wages!$G742="",0,Wages!$G742))</f>
        <v/>
      </c>
      <c r="M739">
        <f>IF($A739="","",Wages!$J742)</f>
        <v/>
      </c>
      <c r="N739">
        <f>IF($A739="","",Wages!$D742)</f>
        <v/>
      </c>
      <c r="P739">
        <f>IF(OR(Shares!$B742="",Shares!$C742=""),"",Shares!$C742)</f>
        <v/>
      </c>
      <c r="Q739">
        <f>IF($P739="","",Shares!$B742)</f>
        <v/>
      </c>
      <c r="R739">
        <f>IF($P739="","",IFERROR(INDEX(WageParty,MATCH($Q739,WageIds,0)),""))</f>
        <v/>
      </c>
      <c r="S739">
        <f>IF($P739="","",IFERROR(INDEX($F$6:$F$2005,MATCH($Q739,WageIds,0)),""))</f>
        <v/>
      </c>
      <c r="T739">
        <f>IF(OR($P739="",$S739="",$S739="نامعتبر"),"",LEFT($S739,4)&amp;MID($S739,6,2)&amp;RIGHT($S739,2)&amp;"0000"&amp;"|"&amp;"2"&amp;RIGHT("00000"&amp;734,5))</f>
        <v/>
      </c>
      <c r="U739">
        <f>IF($T739="","",COUNTIFS(LdAParty,$P739,LdAType,1,LdAKey,"&lt;"&amp;$T739)+COUNTIFS(LdBMember,$P739,LdBKey,"&lt;"&amp;$T739)+COUNTIFS(LdCParty,$P739,LdCKey,"&lt;"&amp;$T739)+1)</f>
        <v/>
      </c>
      <c r="V739">
        <f>IF($U739="","",$P739&amp;"|"&amp;RIGHT("000000"&amp;$U739,6))</f>
        <v/>
      </c>
      <c r="W739">
        <f>IF($T739="","",COUNTIFS(LdBGroup,$R739,LdBKey,"&lt;"&amp;$T739)+1)</f>
        <v/>
      </c>
      <c r="X739">
        <f>IF($W739="","",$R739&amp;"|"&amp;RIGHT("000000"&amp;$W739,6))</f>
        <v/>
      </c>
      <c r="Y739">
        <f>IF($P739="","",IF(Shares!$E742="",0,Shares!$E742))</f>
        <v/>
      </c>
      <c r="Z739">
        <f>IF($P739="","",Shares!$H742)</f>
        <v/>
      </c>
      <c r="AE739">
        <f>IF(OR(Sync!$S739="",Sync!$P739=""),"",Sync!$S739)</f>
        <v/>
      </c>
      <c r="AF739">
        <f>IF($AE739="","",IF(ISNUMBER(Sync!$P739),IF(AND(Sync!$P739&gt;=10000101,Sync!$P739&lt;=99991231),INT(Sync!$P739/10000),""),IFERROR(VALUE(TRIM(LEFT(Sync!$P739,FIND("/",Sync!$P739)-1))),"")))</f>
        <v/>
      </c>
      <c r="AG739">
        <f>IF(OR($AE739="",$AF739=""),"",IF(ISNUMBER(Sync!$P739),INT(MOD(Sync!$P739,10000)/100),IFERROR(VALUE(TRIM(LEFT(MID(Sync!$P739,FIND("/",Sync!$P739)+1,20),FIND("/",MID(Sync!$P739,FIND("/",Sync!$P739)+1,20))-1))),"")))</f>
        <v/>
      </c>
      <c r="AH739">
        <f>IF(OR($AE739="",$AF739=""),"",IF(ISNUMBER(Sync!$P739),MOD(Sync!$P739,100),IFERROR(VALUE(TRIM(MID(MID(Sync!$P739,FIND("/",Sync!$P739)+1,20),FIND("/",MID(Sync!$P739,FIND("/",Sync!$P739)+1,20))+1,20))),"")))</f>
        <v/>
      </c>
      <c r="AI739">
        <f>IF($AE739="","",IF(OR($AF739="",$AG739="",$AH739="",$AF739&lt;1300,$AF739&gt;1500,$AG739&lt;1,$AG739&gt;12,$AH739&lt;1,$AH739&gt;31),"نامعتبر",RIGHT("0000"&amp;$AF739,4)&amp;"/"&amp;RIGHT("00"&amp;$AG739,2)&amp;"/"&amp;RIGHT("00"&amp;$AH739,2)))</f>
        <v/>
      </c>
      <c r="AJ739">
        <f>IF($AE739="","",IF(Sync!$Q739="","0000",IF(AND(ISNUMBER(Sync!$Q739),Sync!$Q739&gt;=0,Sync!$Q739&lt;1),RIGHT("00"&amp;HOUR(Sync!$Q739),2)&amp;RIGHT("00"&amp;MINUTE(Sync!$Q739),2),IFERROR(RIGHT("00"&amp;VALUE(LEFT(Sync!$Q739,FIND(":",Sync!$Q739)-1)),2)&amp;RIGHT("00"&amp;VALUE(MID(Sync!$Q739,FIND(":",Sync!$Q739)+1,2)),2),"0000"))))</f>
        <v/>
      </c>
      <c r="AK739">
        <f>IF(OR($AE739="",$AI739="",$AI739="نامعتبر"),"",LEFT($AI739,4)&amp;MID($AI739,6,2)&amp;RIGHT($AI739,2)&amp;$AJ739&amp;"|"&amp;"3"&amp;RIGHT("00000"&amp;734,5))</f>
        <v/>
      </c>
      <c r="AL739">
        <f>IF($AK739="","",COUNTIFS(LdAParty,$AE739,LdAType,1,LdAKey,"&lt;"&amp;$AK739)+COUNTIFS(LdBMember,$AE739,LdBKey,"&lt;"&amp;$AK739)+COUNTIFS(LdCParty,$AE739,LdCKey,"&lt;"&amp;$AK739)+1)</f>
        <v/>
      </c>
      <c r="AM739">
        <f>IF($AL739="","",$AE739&amp;"|"&amp;RIGHT("000000"&amp;$AL739,6))</f>
        <v/>
      </c>
      <c r="AN739">
        <f>IF($AE739="","",IF(Sync!$W739="",0,Sync!$W739))</f>
        <v/>
      </c>
      <c r="AO739">
        <f>IF($AE739="","",IF(Sync!$X739="",0,Sync!$X739))</f>
        <v/>
      </c>
      <c r="AP739">
        <f>IF($AE739="","",Sync!$R739)</f>
        <v/>
      </c>
      <c r="AQ739">
        <f>IF($AE739="","",Sync!$Y739)</f>
        <v/>
      </c>
    </row>
    <row r="740">
      <c r="A740">
        <f>IF(OR(Wages!$B743="",Wages!$E743=""),"",Wages!$E743)</f>
        <v/>
      </c>
      <c r="B740">
        <f>IF($A740="","",IF(Wages!$C743="دستمزد گروهی",2,1))</f>
        <v/>
      </c>
      <c r="C740">
        <f>IF($A740="","",IF(ISNUMBER(Wages!$B743),IF(AND(Wages!$B743&gt;=10000101,Wages!$B743&lt;=99991231),INT(Wages!$B743/10000),""),IFERROR(VALUE(TRIM(LEFT(Wages!$B743,FIND("/",Wages!$B743)-1))),"")))</f>
        <v/>
      </c>
      <c r="D740">
        <f>IF(OR($A740="",$C740=""),"",IF(ISNUMBER(Wages!$B743),INT(MOD(Wages!$B743,10000)/100),IFERROR(VALUE(TRIM(LEFT(MID(Wages!$B743,FIND("/",Wages!$B743)+1,20),FIND("/",MID(Wages!$B743,FIND("/",Wages!$B743)+1,20))-1))),"")))</f>
        <v/>
      </c>
      <c r="E740">
        <f>IF(OR($A740="",$C740=""),"",IF(ISNUMBER(Wages!$B743),MOD(Wages!$B743,100),IFERROR(VALUE(TRIM(MID(MID(Wages!$B743,FIND("/",Wages!$B743)+1,20),FIND("/",MID(Wages!$B743,FIND("/",Wages!$B743)+1,20))+1,20))),"")))</f>
        <v/>
      </c>
      <c r="F740">
        <f>IF($A740="","",IF(OR($C740="",$D740="",$E740="",$C740&lt;1300,$C740&gt;1500,$D740&lt;1,$D740&gt;12,$E740&lt;1,$E740&gt;31),"نامعتبر",RIGHT("0000"&amp;$C740,4)&amp;"/"&amp;RIGHT("00"&amp;$D740,2)&amp;"/"&amp;RIGHT("00"&amp;$E740,2)))</f>
        <v/>
      </c>
      <c r="G740">
        <f>IF(OR($A740="",$F740="",$F740="نامعتبر"),"",LEFT($F740,4)&amp;MID($F740,6,2)&amp;RIGHT($F740,2)&amp;"0000"&amp;"|"&amp;"1"&amp;RIGHT("00000"&amp;735,5))</f>
        <v/>
      </c>
      <c r="H740">
        <f>IF(OR($B740&lt;&gt;1,$G740=""),"",COUNTIFS(LdAParty,$A740,LdAType,1,LdAKey,"&lt;"&amp;$G740)+COUNTIFS(LdBMember,$A740,LdBKey,"&lt;"&amp;$G740)+COUNTIFS(LdCParty,$A740,LdCKey,"&lt;"&amp;$G740)+1)</f>
        <v/>
      </c>
      <c r="I740">
        <f>IF($H740="","",$A740&amp;"|"&amp;RIGHT("000000"&amp;$H740,6))</f>
        <v/>
      </c>
      <c r="J740">
        <f>IF(OR($B740&lt;&gt;2,$G740=""),"",COUNTIFS(LdAParty,$A740,LdAType,2,LdAKey,"&lt;"&amp;$G740)+1)</f>
        <v/>
      </c>
      <c r="K740">
        <f>IF($J740="","",$A740&amp;"|"&amp;RIGHT("000000"&amp;$J740,6))</f>
        <v/>
      </c>
      <c r="L740">
        <f>IF($A740="","",IF(Wages!$G743="",0,Wages!$G743))</f>
        <v/>
      </c>
      <c r="M740">
        <f>IF($A740="","",Wages!$J743)</f>
        <v/>
      </c>
      <c r="N740">
        <f>IF($A740="","",Wages!$D743)</f>
        <v/>
      </c>
      <c r="P740">
        <f>IF(OR(Shares!$B743="",Shares!$C743=""),"",Shares!$C743)</f>
        <v/>
      </c>
      <c r="Q740">
        <f>IF($P740="","",Shares!$B743)</f>
        <v/>
      </c>
      <c r="R740">
        <f>IF($P740="","",IFERROR(INDEX(WageParty,MATCH($Q740,WageIds,0)),""))</f>
        <v/>
      </c>
      <c r="S740">
        <f>IF($P740="","",IFERROR(INDEX($F$6:$F$2005,MATCH($Q740,WageIds,0)),""))</f>
        <v/>
      </c>
      <c r="T740">
        <f>IF(OR($P740="",$S740="",$S740="نامعتبر"),"",LEFT($S740,4)&amp;MID($S740,6,2)&amp;RIGHT($S740,2)&amp;"0000"&amp;"|"&amp;"2"&amp;RIGHT("00000"&amp;735,5))</f>
        <v/>
      </c>
      <c r="U740">
        <f>IF($T740="","",COUNTIFS(LdAParty,$P740,LdAType,1,LdAKey,"&lt;"&amp;$T740)+COUNTIFS(LdBMember,$P740,LdBKey,"&lt;"&amp;$T740)+COUNTIFS(LdCParty,$P740,LdCKey,"&lt;"&amp;$T740)+1)</f>
        <v/>
      </c>
      <c r="V740">
        <f>IF($U740="","",$P740&amp;"|"&amp;RIGHT("000000"&amp;$U740,6))</f>
        <v/>
      </c>
      <c r="W740">
        <f>IF($T740="","",COUNTIFS(LdBGroup,$R740,LdBKey,"&lt;"&amp;$T740)+1)</f>
        <v/>
      </c>
      <c r="X740">
        <f>IF($W740="","",$R740&amp;"|"&amp;RIGHT("000000"&amp;$W740,6))</f>
        <v/>
      </c>
      <c r="Y740">
        <f>IF($P740="","",IF(Shares!$E743="",0,Shares!$E743))</f>
        <v/>
      </c>
      <c r="Z740">
        <f>IF($P740="","",Shares!$H743)</f>
        <v/>
      </c>
      <c r="AE740">
        <f>IF(OR(Sync!$S740="",Sync!$P740=""),"",Sync!$S740)</f>
        <v/>
      </c>
      <c r="AF740">
        <f>IF($AE740="","",IF(ISNUMBER(Sync!$P740),IF(AND(Sync!$P740&gt;=10000101,Sync!$P740&lt;=99991231),INT(Sync!$P740/10000),""),IFERROR(VALUE(TRIM(LEFT(Sync!$P740,FIND("/",Sync!$P740)-1))),"")))</f>
        <v/>
      </c>
      <c r="AG740">
        <f>IF(OR($AE740="",$AF740=""),"",IF(ISNUMBER(Sync!$P740),INT(MOD(Sync!$P740,10000)/100),IFERROR(VALUE(TRIM(LEFT(MID(Sync!$P740,FIND("/",Sync!$P740)+1,20),FIND("/",MID(Sync!$P740,FIND("/",Sync!$P740)+1,20))-1))),"")))</f>
        <v/>
      </c>
      <c r="AH740">
        <f>IF(OR($AE740="",$AF740=""),"",IF(ISNUMBER(Sync!$P740),MOD(Sync!$P740,100),IFERROR(VALUE(TRIM(MID(MID(Sync!$P740,FIND("/",Sync!$P740)+1,20),FIND("/",MID(Sync!$P740,FIND("/",Sync!$P740)+1,20))+1,20))),"")))</f>
        <v/>
      </c>
      <c r="AI740">
        <f>IF($AE740="","",IF(OR($AF740="",$AG740="",$AH740="",$AF740&lt;1300,$AF740&gt;1500,$AG740&lt;1,$AG740&gt;12,$AH740&lt;1,$AH740&gt;31),"نامعتبر",RIGHT("0000"&amp;$AF740,4)&amp;"/"&amp;RIGHT("00"&amp;$AG740,2)&amp;"/"&amp;RIGHT("00"&amp;$AH740,2)))</f>
        <v/>
      </c>
      <c r="AJ740">
        <f>IF($AE740="","",IF(Sync!$Q740="","0000",IF(AND(ISNUMBER(Sync!$Q740),Sync!$Q740&gt;=0,Sync!$Q740&lt;1),RIGHT("00"&amp;HOUR(Sync!$Q740),2)&amp;RIGHT("00"&amp;MINUTE(Sync!$Q740),2),IFERROR(RIGHT("00"&amp;VALUE(LEFT(Sync!$Q740,FIND(":",Sync!$Q740)-1)),2)&amp;RIGHT("00"&amp;VALUE(MID(Sync!$Q740,FIND(":",Sync!$Q740)+1,2)),2),"0000"))))</f>
        <v/>
      </c>
      <c r="AK740">
        <f>IF(OR($AE740="",$AI740="",$AI740="نامعتبر"),"",LEFT($AI740,4)&amp;MID($AI740,6,2)&amp;RIGHT($AI740,2)&amp;$AJ740&amp;"|"&amp;"3"&amp;RIGHT("00000"&amp;735,5))</f>
        <v/>
      </c>
      <c r="AL740">
        <f>IF($AK740="","",COUNTIFS(LdAParty,$AE740,LdAType,1,LdAKey,"&lt;"&amp;$AK740)+COUNTIFS(LdBMember,$AE740,LdBKey,"&lt;"&amp;$AK740)+COUNTIFS(LdCParty,$AE740,LdCKey,"&lt;"&amp;$AK740)+1)</f>
        <v/>
      </c>
      <c r="AM740">
        <f>IF($AL740="","",$AE740&amp;"|"&amp;RIGHT("000000"&amp;$AL740,6))</f>
        <v/>
      </c>
      <c r="AN740">
        <f>IF($AE740="","",IF(Sync!$W740="",0,Sync!$W740))</f>
        <v/>
      </c>
      <c r="AO740">
        <f>IF($AE740="","",IF(Sync!$X740="",0,Sync!$X740))</f>
        <v/>
      </c>
      <c r="AP740">
        <f>IF($AE740="","",Sync!$R740)</f>
        <v/>
      </c>
      <c r="AQ740">
        <f>IF($AE740="","",Sync!$Y740)</f>
        <v/>
      </c>
    </row>
    <row r="741">
      <c r="A741">
        <f>IF(OR(Wages!$B744="",Wages!$E744=""),"",Wages!$E744)</f>
        <v/>
      </c>
      <c r="B741">
        <f>IF($A741="","",IF(Wages!$C744="دستمزد گروهی",2,1))</f>
        <v/>
      </c>
      <c r="C741">
        <f>IF($A741="","",IF(ISNUMBER(Wages!$B744),IF(AND(Wages!$B744&gt;=10000101,Wages!$B744&lt;=99991231),INT(Wages!$B744/10000),""),IFERROR(VALUE(TRIM(LEFT(Wages!$B744,FIND("/",Wages!$B744)-1))),"")))</f>
        <v/>
      </c>
      <c r="D741">
        <f>IF(OR($A741="",$C741=""),"",IF(ISNUMBER(Wages!$B744),INT(MOD(Wages!$B744,10000)/100),IFERROR(VALUE(TRIM(LEFT(MID(Wages!$B744,FIND("/",Wages!$B744)+1,20),FIND("/",MID(Wages!$B744,FIND("/",Wages!$B744)+1,20))-1))),"")))</f>
        <v/>
      </c>
      <c r="E741">
        <f>IF(OR($A741="",$C741=""),"",IF(ISNUMBER(Wages!$B744),MOD(Wages!$B744,100),IFERROR(VALUE(TRIM(MID(MID(Wages!$B744,FIND("/",Wages!$B744)+1,20),FIND("/",MID(Wages!$B744,FIND("/",Wages!$B744)+1,20))+1,20))),"")))</f>
        <v/>
      </c>
      <c r="F741">
        <f>IF($A741="","",IF(OR($C741="",$D741="",$E741="",$C741&lt;1300,$C741&gt;1500,$D741&lt;1,$D741&gt;12,$E741&lt;1,$E741&gt;31),"نامعتبر",RIGHT("0000"&amp;$C741,4)&amp;"/"&amp;RIGHT("00"&amp;$D741,2)&amp;"/"&amp;RIGHT("00"&amp;$E741,2)))</f>
        <v/>
      </c>
      <c r="G741">
        <f>IF(OR($A741="",$F741="",$F741="نامعتبر"),"",LEFT($F741,4)&amp;MID($F741,6,2)&amp;RIGHT($F741,2)&amp;"0000"&amp;"|"&amp;"1"&amp;RIGHT("00000"&amp;736,5))</f>
        <v/>
      </c>
      <c r="H741">
        <f>IF(OR($B741&lt;&gt;1,$G741=""),"",COUNTIFS(LdAParty,$A741,LdAType,1,LdAKey,"&lt;"&amp;$G741)+COUNTIFS(LdBMember,$A741,LdBKey,"&lt;"&amp;$G741)+COUNTIFS(LdCParty,$A741,LdCKey,"&lt;"&amp;$G741)+1)</f>
        <v/>
      </c>
      <c r="I741">
        <f>IF($H741="","",$A741&amp;"|"&amp;RIGHT("000000"&amp;$H741,6))</f>
        <v/>
      </c>
      <c r="J741">
        <f>IF(OR($B741&lt;&gt;2,$G741=""),"",COUNTIFS(LdAParty,$A741,LdAType,2,LdAKey,"&lt;"&amp;$G741)+1)</f>
        <v/>
      </c>
      <c r="K741">
        <f>IF($J741="","",$A741&amp;"|"&amp;RIGHT("000000"&amp;$J741,6))</f>
        <v/>
      </c>
      <c r="L741">
        <f>IF($A741="","",IF(Wages!$G744="",0,Wages!$G744))</f>
        <v/>
      </c>
      <c r="M741">
        <f>IF($A741="","",Wages!$J744)</f>
        <v/>
      </c>
      <c r="N741">
        <f>IF($A741="","",Wages!$D744)</f>
        <v/>
      </c>
      <c r="P741">
        <f>IF(OR(Shares!$B744="",Shares!$C744=""),"",Shares!$C744)</f>
        <v/>
      </c>
      <c r="Q741">
        <f>IF($P741="","",Shares!$B744)</f>
        <v/>
      </c>
      <c r="R741">
        <f>IF($P741="","",IFERROR(INDEX(WageParty,MATCH($Q741,WageIds,0)),""))</f>
        <v/>
      </c>
      <c r="S741">
        <f>IF($P741="","",IFERROR(INDEX($F$6:$F$2005,MATCH($Q741,WageIds,0)),""))</f>
        <v/>
      </c>
      <c r="T741">
        <f>IF(OR($P741="",$S741="",$S741="نامعتبر"),"",LEFT($S741,4)&amp;MID($S741,6,2)&amp;RIGHT($S741,2)&amp;"0000"&amp;"|"&amp;"2"&amp;RIGHT("00000"&amp;736,5))</f>
        <v/>
      </c>
      <c r="U741">
        <f>IF($T741="","",COUNTIFS(LdAParty,$P741,LdAType,1,LdAKey,"&lt;"&amp;$T741)+COUNTIFS(LdBMember,$P741,LdBKey,"&lt;"&amp;$T741)+COUNTIFS(LdCParty,$P741,LdCKey,"&lt;"&amp;$T741)+1)</f>
        <v/>
      </c>
      <c r="V741">
        <f>IF($U741="","",$P741&amp;"|"&amp;RIGHT("000000"&amp;$U741,6))</f>
        <v/>
      </c>
      <c r="W741">
        <f>IF($T741="","",COUNTIFS(LdBGroup,$R741,LdBKey,"&lt;"&amp;$T741)+1)</f>
        <v/>
      </c>
      <c r="X741">
        <f>IF($W741="","",$R741&amp;"|"&amp;RIGHT("000000"&amp;$W741,6))</f>
        <v/>
      </c>
      <c r="Y741">
        <f>IF($P741="","",IF(Shares!$E744="",0,Shares!$E744))</f>
        <v/>
      </c>
      <c r="Z741">
        <f>IF($P741="","",Shares!$H744)</f>
        <v/>
      </c>
      <c r="AE741">
        <f>IF(OR(Sync!$S741="",Sync!$P741=""),"",Sync!$S741)</f>
        <v/>
      </c>
      <c r="AF741">
        <f>IF($AE741="","",IF(ISNUMBER(Sync!$P741),IF(AND(Sync!$P741&gt;=10000101,Sync!$P741&lt;=99991231),INT(Sync!$P741/10000),""),IFERROR(VALUE(TRIM(LEFT(Sync!$P741,FIND("/",Sync!$P741)-1))),"")))</f>
        <v/>
      </c>
      <c r="AG741">
        <f>IF(OR($AE741="",$AF741=""),"",IF(ISNUMBER(Sync!$P741),INT(MOD(Sync!$P741,10000)/100),IFERROR(VALUE(TRIM(LEFT(MID(Sync!$P741,FIND("/",Sync!$P741)+1,20),FIND("/",MID(Sync!$P741,FIND("/",Sync!$P741)+1,20))-1))),"")))</f>
        <v/>
      </c>
      <c r="AH741">
        <f>IF(OR($AE741="",$AF741=""),"",IF(ISNUMBER(Sync!$P741),MOD(Sync!$P741,100),IFERROR(VALUE(TRIM(MID(MID(Sync!$P741,FIND("/",Sync!$P741)+1,20),FIND("/",MID(Sync!$P741,FIND("/",Sync!$P741)+1,20))+1,20))),"")))</f>
        <v/>
      </c>
      <c r="AI741">
        <f>IF($AE741="","",IF(OR($AF741="",$AG741="",$AH741="",$AF741&lt;1300,$AF741&gt;1500,$AG741&lt;1,$AG741&gt;12,$AH741&lt;1,$AH741&gt;31),"نامعتبر",RIGHT("0000"&amp;$AF741,4)&amp;"/"&amp;RIGHT("00"&amp;$AG741,2)&amp;"/"&amp;RIGHT("00"&amp;$AH741,2)))</f>
        <v/>
      </c>
      <c r="AJ741">
        <f>IF($AE741="","",IF(Sync!$Q741="","0000",IF(AND(ISNUMBER(Sync!$Q741),Sync!$Q741&gt;=0,Sync!$Q741&lt;1),RIGHT("00"&amp;HOUR(Sync!$Q741),2)&amp;RIGHT("00"&amp;MINUTE(Sync!$Q741),2),IFERROR(RIGHT("00"&amp;VALUE(LEFT(Sync!$Q741,FIND(":",Sync!$Q741)-1)),2)&amp;RIGHT("00"&amp;VALUE(MID(Sync!$Q741,FIND(":",Sync!$Q741)+1,2)),2),"0000"))))</f>
        <v/>
      </c>
      <c r="AK741">
        <f>IF(OR($AE741="",$AI741="",$AI741="نامعتبر"),"",LEFT($AI741,4)&amp;MID($AI741,6,2)&amp;RIGHT($AI741,2)&amp;$AJ741&amp;"|"&amp;"3"&amp;RIGHT("00000"&amp;736,5))</f>
        <v/>
      </c>
      <c r="AL741">
        <f>IF($AK741="","",COUNTIFS(LdAParty,$AE741,LdAType,1,LdAKey,"&lt;"&amp;$AK741)+COUNTIFS(LdBMember,$AE741,LdBKey,"&lt;"&amp;$AK741)+COUNTIFS(LdCParty,$AE741,LdCKey,"&lt;"&amp;$AK741)+1)</f>
        <v/>
      </c>
      <c r="AM741">
        <f>IF($AL741="","",$AE741&amp;"|"&amp;RIGHT("000000"&amp;$AL741,6))</f>
        <v/>
      </c>
      <c r="AN741">
        <f>IF($AE741="","",IF(Sync!$W741="",0,Sync!$W741))</f>
        <v/>
      </c>
      <c r="AO741">
        <f>IF($AE741="","",IF(Sync!$X741="",0,Sync!$X741))</f>
        <v/>
      </c>
      <c r="AP741">
        <f>IF($AE741="","",Sync!$R741)</f>
        <v/>
      </c>
      <c r="AQ741">
        <f>IF($AE741="","",Sync!$Y741)</f>
        <v/>
      </c>
    </row>
    <row r="742">
      <c r="A742">
        <f>IF(OR(Wages!$B745="",Wages!$E745=""),"",Wages!$E745)</f>
        <v/>
      </c>
      <c r="B742">
        <f>IF($A742="","",IF(Wages!$C745="دستمزد گروهی",2,1))</f>
        <v/>
      </c>
      <c r="C742">
        <f>IF($A742="","",IF(ISNUMBER(Wages!$B745),IF(AND(Wages!$B745&gt;=10000101,Wages!$B745&lt;=99991231),INT(Wages!$B745/10000),""),IFERROR(VALUE(TRIM(LEFT(Wages!$B745,FIND("/",Wages!$B745)-1))),"")))</f>
        <v/>
      </c>
      <c r="D742">
        <f>IF(OR($A742="",$C742=""),"",IF(ISNUMBER(Wages!$B745),INT(MOD(Wages!$B745,10000)/100),IFERROR(VALUE(TRIM(LEFT(MID(Wages!$B745,FIND("/",Wages!$B745)+1,20),FIND("/",MID(Wages!$B745,FIND("/",Wages!$B745)+1,20))-1))),"")))</f>
        <v/>
      </c>
      <c r="E742">
        <f>IF(OR($A742="",$C742=""),"",IF(ISNUMBER(Wages!$B745),MOD(Wages!$B745,100),IFERROR(VALUE(TRIM(MID(MID(Wages!$B745,FIND("/",Wages!$B745)+1,20),FIND("/",MID(Wages!$B745,FIND("/",Wages!$B745)+1,20))+1,20))),"")))</f>
        <v/>
      </c>
      <c r="F742">
        <f>IF($A742="","",IF(OR($C742="",$D742="",$E742="",$C742&lt;1300,$C742&gt;1500,$D742&lt;1,$D742&gt;12,$E742&lt;1,$E742&gt;31),"نامعتبر",RIGHT("0000"&amp;$C742,4)&amp;"/"&amp;RIGHT("00"&amp;$D742,2)&amp;"/"&amp;RIGHT("00"&amp;$E742,2)))</f>
        <v/>
      </c>
      <c r="G742">
        <f>IF(OR($A742="",$F742="",$F742="نامعتبر"),"",LEFT($F742,4)&amp;MID($F742,6,2)&amp;RIGHT($F742,2)&amp;"0000"&amp;"|"&amp;"1"&amp;RIGHT("00000"&amp;737,5))</f>
        <v/>
      </c>
      <c r="H742">
        <f>IF(OR($B742&lt;&gt;1,$G742=""),"",COUNTIFS(LdAParty,$A742,LdAType,1,LdAKey,"&lt;"&amp;$G742)+COUNTIFS(LdBMember,$A742,LdBKey,"&lt;"&amp;$G742)+COUNTIFS(LdCParty,$A742,LdCKey,"&lt;"&amp;$G742)+1)</f>
        <v/>
      </c>
      <c r="I742">
        <f>IF($H742="","",$A742&amp;"|"&amp;RIGHT("000000"&amp;$H742,6))</f>
        <v/>
      </c>
      <c r="J742">
        <f>IF(OR($B742&lt;&gt;2,$G742=""),"",COUNTIFS(LdAParty,$A742,LdAType,2,LdAKey,"&lt;"&amp;$G742)+1)</f>
        <v/>
      </c>
      <c r="K742">
        <f>IF($J742="","",$A742&amp;"|"&amp;RIGHT("000000"&amp;$J742,6))</f>
        <v/>
      </c>
      <c r="L742">
        <f>IF($A742="","",IF(Wages!$G745="",0,Wages!$G745))</f>
        <v/>
      </c>
      <c r="M742">
        <f>IF($A742="","",Wages!$J745)</f>
        <v/>
      </c>
      <c r="N742">
        <f>IF($A742="","",Wages!$D745)</f>
        <v/>
      </c>
      <c r="P742">
        <f>IF(OR(Shares!$B745="",Shares!$C745=""),"",Shares!$C745)</f>
        <v/>
      </c>
      <c r="Q742">
        <f>IF($P742="","",Shares!$B745)</f>
        <v/>
      </c>
      <c r="R742">
        <f>IF($P742="","",IFERROR(INDEX(WageParty,MATCH($Q742,WageIds,0)),""))</f>
        <v/>
      </c>
      <c r="S742">
        <f>IF($P742="","",IFERROR(INDEX($F$6:$F$2005,MATCH($Q742,WageIds,0)),""))</f>
        <v/>
      </c>
      <c r="T742">
        <f>IF(OR($P742="",$S742="",$S742="نامعتبر"),"",LEFT($S742,4)&amp;MID($S742,6,2)&amp;RIGHT($S742,2)&amp;"0000"&amp;"|"&amp;"2"&amp;RIGHT("00000"&amp;737,5))</f>
        <v/>
      </c>
      <c r="U742">
        <f>IF($T742="","",COUNTIFS(LdAParty,$P742,LdAType,1,LdAKey,"&lt;"&amp;$T742)+COUNTIFS(LdBMember,$P742,LdBKey,"&lt;"&amp;$T742)+COUNTIFS(LdCParty,$P742,LdCKey,"&lt;"&amp;$T742)+1)</f>
        <v/>
      </c>
      <c r="V742">
        <f>IF($U742="","",$P742&amp;"|"&amp;RIGHT("000000"&amp;$U742,6))</f>
        <v/>
      </c>
      <c r="W742">
        <f>IF($T742="","",COUNTIFS(LdBGroup,$R742,LdBKey,"&lt;"&amp;$T742)+1)</f>
        <v/>
      </c>
      <c r="X742">
        <f>IF($W742="","",$R742&amp;"|"&amp;RIGHT("000000"&amp;$W742,6))</f>
        <v/>
      </c>
      <c r="Y742">
        <f>IF($P742="","",IF(Shares!$E745="",0,Shares!$E745))</f>
        <v/>
      </c>
      <c r="Z742">
        <f>IF($P742="","",Shares!$H745)</f>
        <v/>
      </c>
      <c r="AE742">
        <f>IF(OR(Sync!$S742="",Sync!$P742=""),"",Sync!$S742)</f>
        <v/>
      </c>
      <c r="AF742">
        <f>IF($AE742="","",IF(ISNUMBER(Sync!$P742),IF(AND(Sync!$P742&gt;=10000101,Sync!$P742&lt;=99991231),INT(Sync!$P742/10000),""),IFERROR(VALUE(TRIM(LEFT(Sync!$P742,FIND("/",Sync!$P742)-1))),"")))</f>
        <v/>
      </c>
      <c r="AG742">
        <f>IF(OR($AE742="",$AF742=""),"",IF(ISNUMBER(Sync!$P742),INT(MOD(Sync!$P742,10000)/100),IFERROR(VALUE(TRIM(LEFT(MID(Sync!$P742,FIND("/",Sync!$P742)+1,20),FIND("/",MID(Sync!$P742,FIND("/",Sync!$P742)+1,20))-1))),"")))</f>
        <v/>
      </c>
      <c r="AH742">
        <f>IF(OR($AE742="",$AF742=""),"",IF(ISNUMBER(Sync!$P742),MOD(Sync!$P742,100),IFERROR(VALUE(TRIM(MID(MID(Sync!$P742,FIND("/",Sync!$P742)+1,20),FIND("/",MID(Sync!$P742,FIND("/",Sync!$P742)+1,20))+1,20))),"")))</f>
        <v/>
      </c>
      <c r="AI742">
        <f>IF($AE742="","",IF(OR($AF742="",$AG742="",$AH742="",$AF742&lt;1300,$AF742&gt;1500,$AG742&lt;1,$AG742&gt;12,$AH742&lt;1,$AH742&gt;31),"نامعتبر",RIGHT("0000"&amp;$AF742,4)&amp;"/"&amp;RIGHT("00"&amp;$AG742,2)&amp;"/"&amp;RIGHT("00"&amp;$AH742,2)))</f>
        <v/>
      </c>
      <c r="AJ742">
        <f>IF($AE742="","",IF(Sync!$Q742="","0000",IF(AND(ISNUMBER(Sync!$Q742),Sync!$Q742&gt;=0,Sync!$Q742&lt;1),RIGHT("00"&amp;HOUR(Sync!$Q742),2)&amp;RIGHT("00"&amp;MINUTE(Sync!$Q742),2),IFERROR(RIGHT("00"&amp;VALUE(LEFT(Sync!$Q742,FIND(":",Sync!$Q742)-1)),2)&amp;RIGHT("00"&amp;VALUE(MID(Sync!$Q742,FIND(":",Sync!$Q742)+1,2)),2),"0000"))))</f>
        <v/>
      </c>
      <c r="AK742">
        <f>IF(OR($AE742="",$AI742="",$AI742="نامعتبر"),"",LEFT($AI742,4)&amp;MID($AI742,6,2)&amp;RIGHT($AI742,2)&amp;$AJ742&amp;"|"&amp;"3"&amp;RIGHT("00000"&amp;737,5))</f>
        <v/>
      </c>
      <c r="AL742">
        <f>IF($AK742="","",COUNTIFS(LdAParty,$AE742,LdAType,1,LdAKey,"&lt;"&amp;$AK742)+COUNTIFS(LdBMember,$AE742,LdBKey,"&lt;"&amp;$AK742)+COUNTIFS(LdCParty,$AE742,LdCKey,"&lt;"&amp;$AK742)+1)</f>
        <v/>
      </c>
      <c r="AM742">
        <f>IF($AL742="","",$AE742&amp;"|"&amp;RIGHT("000000"&amp;$AL742,6))</f>
        <v/>
      </c>
      <c r="AN742">
        <f>IF($AE742="","",IF(Sync!$W742="",0,Sync!$W742))</f>
        <v/>
      </c>
      <c r="AO742">
        <f>IF($AE742="","",IF(Sync!$X742="",0,Sync!$X742))</f>
        <v/>
      </c>
      <c r="AP742">
        <f>IF($AE742="","",Sync!$R742)</f>
        <v/>
      </c>
      <c r="AQ742">
        <f>IF($AE742="","",Sync!$Y742)</f>
        <v/>
      </c>
    </row>
    <row r="743">
      <c r="A743">
        <f>IF(OR(Wages!$B746="",Wages!$E746=""),"",Wages!$E746)</f>
        <v/>
      </c>
      <c r="B743">
        <f>IF($A743="","",IF(Wages!$C746="دستمزد گروهی",2,1))</f>
        <v/>
      </c>
      <c r="C743">
        <f>IF($A743="","",IF(ISNUMBER(Wages!$B746),IF(AND(Wages!$B746&gt;=10000101,Wages!$B746&lt;=99991231),INT(Wages!$B746/10000),""),IFERROR(VALUE(TRIM(LEFT(Wages!$B746,FIND("/",Wages!$B746)-1))),"")))</f>
        <v/>
      </c>
      <c r="D743">
        <f>IF(OR($A743="",$C743=""),"",IF(ISNUMBER(Wages!$B746),INT(MOD(Wages!$B746,10000)/100),IFERROR(VALUE(TRIM(LEFT(MID(Wages!$B746,FIND("/",Wages!$B746)+1,20),FIND("/",MID(Wages!$B746,FIND("/",Wages!$B746)+1,20))-1))),"")))</f>
        <v/>
      </c>
      <c r="E743">
        <f>IF(OR($A743="",$C743=""),"",IF(ISNUMBER(Wages!$B746),MOD(Wages!$B746,100),IFERROR(VALUE(TRIM(MID(MID(Wages!$B746,FIND("/",Wages!$B746)+1,20),FIND("/",MID(Wages!$B746,FIND("/",Wages!$B746)+1,20))+1,20))),"")))</f>
        <v/>
      </c>
      <c r="F743">
        <f>IF($A743="","",IF(OR($C743="",$D743="",$E743="",$C743&lt;1300,$C743&gt;1500,$D743&lt;1,$D743&gt;12,$E743&lt;1,$E743&gt;31),"نامعتبر",RIGHT("0000"&amp;$C743,4)&amp;"/"&amp;RIGHT("00"&amp;$D743,2)&amp;"/"&amp;RIGHT("00"&amp;$E743,2)))</f>
        <v/>
      </c>
      <c r="G743">
        <f>IF(OR($A743="",$F743="",$F743="نامعتبر"),"",LEFT($F743,4)&amp;MID($F743,6,2)&amp;RIGHT($F743,2)&amp;"0000"&amp;"|"&amp;"1"&amp;RIGHT("00000"&amp;738,5))</f>
        <v/>
      </c>
      <c r="H743">
        <f>IF(OR($B743&lt;&gt;1,$G743=""),"",COUNTIFS(LdAParty,$A743,LdAType,1,LdAKey,"&lt;"&amp;$G743)+COUNTIFS(LdBMember,$A743,LdBKey,"&lt;"&amp;$G743)+COUNTIFS(LdCParty,$A743,LdCKey,"&lt;"&amp;$G743)+1)</f>
        <v/>
      </c>
      <c r="I743">
        <f>IF($H743="","",$A743&amp;"|"&amp;RIGHT("000000"&amp;$H743,6))</f>
        <v/>
      </c>
      <c r="J743">
        <f>IF(OR($B743&lt;&gt;2,$G743=""),"",COUNTIFS(LdAParty,$A743,LdAType,2,LdAKey,"&lt;"&amp;$G743)+1)</f>
        <v/>
      </c>
      <c r="K743">
        <f>IF($J743="","",$A743&amp;"|"&amp;RIGHT("000000"&amp;$J743,6))</f>
        <v/>
      </c>
      <c r="L743">
        <f>IF($A743="","",IF(Wages!$G746="",0,Wages!$G746))</f>
        <v/>
      </c>
      <c r="M743">
        <f>IF($A743="","",Wages!$J746)</f>
        <v/>
      </c>
      <c r="N743">
        <f>IF($A743="","",Wages!$D746)</f>
        <v/>
      </c>
      <c r="P743">
        <f>IF(OR(Shares!$B746="",Shares!$C746=""),"",Shares!$C746)</f>
        <v/>
      </c>
      <c r="Q743">
        <f>IF($P743="","",Shares!$B746)</f>
        <v/>
      </c>
      <c r="R743">
        <f>IF($P743="","",IFERROR(INDEX(WageParty,MATCH($Q743,WageIds,0)),""))</f>
        <v/>
      </c>
      <c r="S743">
        <f>IF($P743="","",IFERROR(INDEX($F$6:$F$2005,MATCH($Q743,WageIds,0)),""))</f>
        <v/>
      </c>
      <c r="T743">
        <f>IF(OR($P743="",$S743="",$S743="نامعتبر"),"",LEFT($S743,4)&amp;MID($S743,6,2)&amp;RIGHT($S743,2)&amp;"0000"&amp;"|"&amp;"2"&amp;RIGHT("00000"&amp;738,5))</f>
        <v/>
      </c>
      <c r="U743">
        <f>IF($T743="","",COUNTIFS(LdAParty,$P743,LdAType,1,LdAKey,"&lt;"&amp;$T743)+COUNTIFS(LdBMember,$P743,LdBKey,"&lt;"&amp;$T743)+COUNTIFS(LdCParty,$P743,LdCKey,"&lt;"&amp;$T743)+1)</f>
        <v/>
      </c>
      <c r="V743">
        <f>IF($U743="","",$P743&amp;"|"&amp;RIGHT("000000"&amp;$U743,6))</f>
        <v/>
      </c>
      <c r="W743">
        <f>IF($T743="","",COUNTIFS(LdBGroup,$R743,LdBKey,"&lt;"&amp;$T743)+1)</f>
        <v/>
      </c>
      <c r="X743">
        <f>IF($W743="","",$R743&amp;"|"&amp;RIGHT("000000"&amp;$W743,6))</f>
        <v/>
      </c>
      <c r="Y743">
        <f>IF($P743="","",IF(Shares!$E746="",0,Shares!$E746))</f>
        <v/>
      </c>
      <c r="Z743">
        <f>IF($P743="","",Shares!$H746)</f>
        <v/>
      </c>
      <c r="AE743">
        <f>IF(OR(Sync!$S743="",Sync!$P743=""),"",Sync!$S743)</f>
        <v/>
      </c>
      <c r="AF743">
        <f>IF($AE743="","",IF(ISNUMBER(Sync!$P743),IF(AND(Sync!$P743&gt;=10000101,Sync!$P743&lt;=99991231),INT(Sync!$P743/10000),""),IFERROR(VALUE(TRIM(LEFT(Sync!$P743,FIND("/",Sync!$P743)-1))),"")))</f>
        <v/>
      </c>
      <c r="AG743">
        <f>IF(OR($AE743="",$AF743=""),"",IF(ISNUMBER(Sync!$P743),INT(MOD(Sync!$P743,10000)/100),IFERROR(VALUE(TRIM(LEFT(MID(Sync!$P743,FIND("/",Sync!$P743)+1,20),FIND("/",MID(Sync!$P743,FIND("/",Sync!$P743)+1,20))-1))),"")))</f>
        <v/>
      </c>
      <c r="AH743">
        <f>IF(OR($AE743="",$AF743=""),"",IF(ISNUMBER(Sync!$P743),MOD(Sync!$P743,100),IFERROR(VALUE(TRIM(MID(MID(Sync!$P743,FIND("/",Sync!$P743)+1,20),FIND("/",MID(Sync!$P743,FIND("/",Sync!$P743)+1,20))+1,20))),"")))</f>
        <v/>
      </c>
      <c r="AI743">
        <f>IF($AE743="","",IF(OR($AF743="",$AG743="",$AH743="",$AF743&lt;1300,$AF743&gt;1500,$AG743&lt;1,$AG743&gt;12,$AH743&lt;1,$AH743&gt;31),"نامعتبر",RIGHT("0000"&amp;$AF743,4)&amp;"/"&amp;RIGHT("00"&amp;$AG743,2)&amp;"/"&amp;RIGHT("00"&amp;$AH743,2)))</f>
        <v/>
      </c>
      <c r="AJ743">
        <f>IF($AE743="","",IF(Sync!$Q743="","0000",IF(AND(ISNUMBER(Sync!$Q743),Sync!$Q743&gt;=0,Sync!$Q743&lt;1),RIGHT("00"&amp;HOUR(Sync!$Q743),2)&amp;RIGHT("00"&amp;MINUTE(Sync!$Q743),2),IFERROR(RIGHT("00"&amp;VALUE(LEFT(Sync!$Q743,FIND(":",Sync!$Q743)-1)),2)&amp;RIGHT("00"&amp;VALUE(MID(Sync!$Q743,FIND(":",Sync!$Q743)+1,2)),2),"0000"))))</f>
        <v/>
      </c>
      <c r="AK743">
        <f>IF(OR($AE743="",$AI743="",$AI743="نامعتبر"),"",LEFT($AI743,4)&amp;MID($AI743,6,2)&amp;RIGHT($AI743,2)&amp;$AJ743&amp;"|"&amp;"3"&amp;RIGHT("00000"&amp;738,5))</f>
        <v/>
      </c>
      <c r="AL743">
        <f>IF($AK743="","",COUNTIFS(LdAParty,$AE743,LdAType,1,LdAKey,"&lt;"&amp;$AK743)+COUNTIFS(LdBMember,$AE743,LdBKey,"&lt;"&amp;$AK743)+COUNTIFS(LdCParty,$AE743,LdCKey,"&lt;"&amp;$AK743)+1)</f>
        <v/>
      </c>
      <c r="AM743">
        <f>IF($AL743="","",$AE743&amp;"|"&amp;RIGHT("000000"&amp;$AL743,6))</f>
        <v/>
      </c>
      <c r="AN743">
        <f>IF($AE743="","",IF(Sync!$W743="",0,Sync!$W743))</f>
        <v/>
      </c>
      <c r="AO743">
        <f>IF($AE743="","",IF(Sync!$X743="",0,Sync!$X743))</f>
        <v/>
      </c>
      <c r="AP743">
        <f>IF($AE743="","",Sync!$R743)</f>
        <v/>
      </c>
      <c r="AQ743">
        <f>IF($AE743="","",Sync!$Y743)</f>
        <v/>
      </c>
    </row>
    <row r="744">
      <c r="A744">
        <f>IF(OR(Wages!$B747="",Wages!$E747=""),"",Wages!$E747)</f>
        <v/>
      </c>
      <c r="B744">
        <f>IF($A744="","",IF(Wages!$C747="دستمزد گروهی",2,1))</f>
        <v/>
      </c>
      <c r="C744">
        <f>IF($A744="","",IF(ISNUMBER(Wages!$B747),IF(AND(Wages!$B747&gt;=10000101,Wages!$B747&lt;=99991231),INT(Wages!$B747/10000),""),IFERROR(VALUE(TRIM(LEFT(Wages!$B747,FIND("/",Wages!$B747)-1))),"")))</f>
        <v/>
      </c>
      <c r="D744">
        <f>IF(OR($A744="",$C744=""),"",IF(ISNUMBER(Wages!$B747),INT(MOD(Wages!$B747,10000)/100),IFERROR(VALUE(TRIM(LEFT(MID(Wages!$B747,FIND("/",Wages!$B747)+1,20),FIND("/",MID(Wages!$B747,FIND("/",Wages!$B747)+1,20))-1))),"")))</f>
        <v/>
      </c>
      <c r="E744">
        <f>IF(OR($A744="",$C744=""),"",IF(ISNUMBER(Wages!$B747),MOD(Wages!$B747,100),IFERROR(VALUE(TRIM(MID(MID(Wages!$B747,FIND("/",Wages!$B747)+1,20),FIND("/",MID(Wages!$B747,FIND("/",Wages!$B747)+1,20))+1,20))),"")))</f>
        <v/>
      </c>
      <c r="F744">
        <f>IF($A744="","",IF(OR($C744="",$D744="",$E744="",$C744&lt;1300,$C744&gt;1500,$D744&lt;1,$D744&gt;12,$E744&lt;1,$E744&gt;31),"نامعتبر",RIGHT("0000"&amp;$C744,4)&amp;"/"&amp;RIGHT("00"&amp;$D744,2)&amp;"/"&amp;RIGHT("00"&amp;$E744,2)))</f>
        <v/>
      </c>
      <c r="G744">
        <f>IF(OR($A744="",$F744="",$F744="نامعتبر"),"",LEFT($F744,4)&amp;MID($F744,6,2)&amp;RIGHT($F744,2)&amp;"0000"&amp;"|"&amp;"1"&amp;RIGHT("00000"&amp;739,5))</f>
        <v/>
      </c>
      <c r="H744">
        <f>IF(OR($B744&lt;&gt;1,$G744=""),"",COUNTIFS(LdAParty,$A744,LdAType,1,LdAKey,"&lt;"&amp;$G744)+COUNTIFS(LdBMember,$A744,LdBKey,"&lt;"&amp;$G744)+COUNTIFS(LdCParty,$A744,LdCKey,"&lt;"&amp;$G744)+1)</f>
        <v/>
      </c>
      <c r="I744">
        <f>IF($H744="","",$A744&amp;"|"&amp;RIGHT("000000"&amp;$H744,6))</f>
        <v/>
      </c>
      <c r="J744">
        <f>IF(OR($B744&lt;&gt;2,$G744=""),"",COUNTIFS(LdAParty,$A744,LdAType,2,LdAKey,"&lt;"&amp;$G744)+1)</f>
        <v/>
      </c>
      <c r="K744">
        <f>IF($J744="","",$A744&amp;"|"&amp;RIGHT("000000"&amp;$J744,6))</f>
        <v/>
      </c>
      <c r="L744">
        <f>IF($A744="","",IF(Wages!$G747="",0,Wages!$G747))</f>
        <v/>
      </c>
      <c r="M744">
        <f>IF($A744="","",Wages!$J747)</f>
        <v/>
      </c>
      <c r="N744">
        <f>IF($A744="","",Wages!$D747)</f>
        <v/>
      </c>
      <c r="P744">
        <f>IF(OR(Shares!$B747="",Shares!$C747=""),"",Shares!$C747)</f>
        <v/>
      </c>
      <c r="Q744">
        <f>IF($P744="","",Shares!$B747)</f>
        <v/>
      </c>
      <c r="R744">
        <f>IF($P744="","",IFERROR(INDEX(WageParty,MATCH($Q744,WageIds,0)),""))</f>
        <v/>
      </c>
      <c r="S744">
        <f>IF($P744="","",IFERROR(INDEX($F$6:$F$2005,MATCH($Q744,WageIds,0)),""))</f>
        <v/>
      </c>
      <c r="T744">
        <f>IF(OR($P744="",$S744="",$S744="نامعتبر"),"",LEFT($S744,4)&amp;MID($S744,6,2)&amp;RIGHT($S744,2)&amp;"0000"&amp;"|"&amp;"2"&amp;RIGHT("00000"&amp;739,5))</f>
        <v/>
      </c>
      <c r="U744">
        <f>IF($T744="","",COUNTIFS(LdAParty,$P744,LdAType,1,LdAKey,"&lt;"&amp;$T744)+COUNTIFS(LdBMember,$P744,LdBKey,"&lt;"&amp;$T744)+COUNTIFS(LdCParty,$P744,LdCKey,"&lt;"&amp;$T744)+1)</f>
        <v/>
      </c>
      <c r="V744">
        <f>IF($U744="","",$P744&amp;"|"&amp;RIGHT("000000"&amp;$U744,6))</f>
        <v/>
      </c>
      <c r="W744">
        <f>IF($T744="","",COUNTIFS(LdBGroup,$R744,LdBKey,"&lt;"&amp;$T744)+1)</f>
        <v/>
      </c>
      <c r="X744">
        <f>IF($W744="","",$R744&amp;"|"&amp;RIGHT("000000"&amp;$W744,6))</f>
        <v/>
      </c>
      <c r="Y744">
        <f>IF($P744="","",IF(Shares!$E747="",0,Shares!$E747))</f>
        <v/>
      </c>
      <c r="Z744">
        <f>IF($P744="","",Shares!$H747)</f>
        <v/>
      </c>
      <c r="AE744">
        <f>IF(OR(Sync!$S744="",Sync!$P744=""),"",Sync!$S744)</f>
        <v/>
      </c>
      <c r="AF744">
        <f>IF($AE744="","",IF(ISNUMBER(Sync!$P744),IF(AND(Sync!$P744&gt;=10000101,Sync!$P744&lt;=99991231),INT(Sync!$P744/10000),""),IFERROR(VALUE(TRIM(LEFT(Sync!$P744,FIND("/",Sync!$P744)-1))),"")))</f>
        <v/>
      </c>
      <c r="AG744">
        <f>IF(OR($AE744="",$AF744=""),"",IF(ISNUMBER(Sync!$P744),INT(MOD(Sync!$P744,10000)/100),IFERROR(VALUE(TRIM(LEFT(MID(Sync!$P744,FIND("/",Sync!$P744)+1,20),FIND("/",MID(Sync!$P744,FIND("/",Sync!$P744)+1,20))-1))),"")))</f>
        <v/>
      </c>
      <c r="AH744">
        <f>IF(OR($AE744="",$AF744=""),"",IF(ISNUMBER(Sync!$P744),MOD(Sync!$P744,100),IFERROR(VALUE(TRIM(MID(MID(Sync!$P744,FIND("/",Sync!$P744)+1,20),FIND("/",MID(Sync!$P744,FIND("/",Sync!$P744)+1,20))+1,20))),"")))</f>
        <v/>
      </c>
      <c r="AI744">
        <f>IF($AE744="","",IF(OR($AF744="",$AG744="",$AH744="",$AF744&lt;1300,$AF744&gt;1500,$AG744&lt;1,$AG744&gt;12,$AH744&lt;1,$AH744&gt;31),"نامعتبر",RIGHT("0000"&amp;$AF744,4)&amp;"/"&amp;RIGHT("00"&amp;$AG744,2)&amp;"/"&amp;RIGHT("00"&amp;$AH744,2)))</f>
        <v/>
      </c>
      <c r="AJ744">
        <f>IF($AE744="","",IF(Sync!$Q744="","0000",IF(AND(ISNUMBER(Sync!$Q744),Sync!$Q744&gt;=0,Sync!$Q744&lt;1),RIGHT("00"&amp;HOUR(Sync!$Q744),2)&amp;RIGHT("00"&amp;MINUTE(Sync!$Q744),2),IFERROR(RIGHT("00"&amp;VALUE(LEFT(Sync!$Q744,FIND(":",Sync!$Q744)-1)),2)&amp;RIGHT("00"&amp;VALUE(MID(Sync!$Q744,FIND(":",Sync!$Q744)+1,2)),2),"0000"))))</f>
        <v/>
      </c>
      <c r="AK744">
        <f>IF(OR($AE744="",$AI744="",$AI744="نامعتبر"),"",LEFT($AI744,4)&amp;MID($AI744,6,2)&amp;RIGHT($AI744,2)&amp;$AJ744&amp;"|"&amp;"3"&amp;RIGHT("00000"&amp;739,5))</f>
        <v/>
      </c>
      <c r="AL744">
        <f>IF($AK744="","",COUNTIFS(LdAParty,$AE744,LdAType,1,LdAKey,"&lt;"&amp;$AK744)+COUNTIFS(LdBMember,$AE744,LdBKey,"&lt;"&amp;$AK744)+COUNTIFS(LdCParty,$AE744,LdCKey,"&lt;"&amp;$AK744)+1)</f>
        <v/>
      </c>
      <c r="AM744">
        <f>IF($AL744="","",$AE744&amp;"|"&amp;RIGHT("000000"&amp;$AL744,6))</f>
        <v/>
      </c>
      <c r="AN744">
        <f>IF($AE744="","",IF(Sync!$W744="",0,Sync!$W744))</f>
        <v/>
      </c>
      <c r="AO744">
        <f>IF($AE744="","",IF(Sync!$X744="",0,Sync!$X744))</f>
        <v/>
      </c>
      <c r="AP744">
        <f>IF($AE744="","",Sync!$R744)</f>
        <v/>
      </c>
      <c r="AQ744">
        <f>IF($AE744="","",Sync!$Y744)</f>
        <v/>
      </c>
    </row>
    <row r="745">
      <c r="A745">
        <f>IF(OR(Wages!$B748="",Wages!$E748=""),"",Wages!$E748)</f>
        <v/>
      </c>
      <c r="B745">
        <f>IF($A745="","",IF(Wages!$C748="دستمزد گروهی",2,1))</f>
        <v/>
      </c>
      <c r="C745">
        <f>IF($A745="","",IF(ISNUMBER(Wages!$B748),IF(AND(Wages!$B748&gt;=10000101,Wages!$B748&lt;=99991231),INT(Wages!$B748/10000),""),IFERROR(VALUE(TRIM(LEFT(Wages!$B748,FIND("/",Wages!$B748)-1))),"")))</f>
        <v/>
      </c>
      <c r="D745">
        <f>IF(OR($A745="",$C745=""),"",IF(ISNUMBER(Wages!$B748),INT(MOD(Wages!$B748,10000)/100),IFERROR(VALUE(TRIM(LEFT(MID(Wages!$B748,FIND("/",Wages!$B748)+1,20),FIND("/",MID(Wages!$B748,FIND("/",Wages!$B748)+1,20))-1))),"")))</f>
        <v/>
      </c>
      <c r="E745">
        <f>IF(OR($A745="",$C745=""),"",IF(ISNUMBER(Wages!$B748),MOD(Wages!$B748,100),IFERROR(VALUE(TRIM(MID(MID(Wages!$B748,FIND("/",Wages!$B748)+1,20),FIND("/",MID(Wages!$B748,FIND("/",Wages!$B748)+1,20))+1,20))),"")))</f>
        <v/>
      </c>
      <c r="F745">
        <f>IF($A745="","",IF(OR($C745="",$D745="",$E745="",$C745&lt;1300,$C745&gt;1500,$D745&lt;1,$D745&gt;12,$E745&lt;1,$E745&gt;31),"نامعتبر",RIGHT("0000"&amp;$C745,4)&amp;"/"&amp;RIGHT("00"&amp;$D745,2)&amp;"/"&amp;RIGHT("00"&amp;$E745,2)))</f>
        <v/>
      </c>
      <c r="G745">
        <f>IF(OR($A745="",$F745="",$F745="نامعتبر"),"",LEFT($F745,4)&amp;MID($F745,6,2)&amp;RIGHT($F745,2)&amp;"0000"&amp;"|"&amp;"1"&amp;RIGHT("00000"&amp;740,5))</f>
        <v/>
      </c>
      <c r="H745">
        <f>IF(OR($B745&lt;&gt;1,$G745=""),"",COUNTIFS(LdAParty,$A745,LdAType,1,LdAKey,"&lt;"&amp;$G745)+COUNTIFS(LdBMember,$A745,LdBKey,"&lt;"&amp;$G745)+COUNTIFS(LdCParty,$A745,LdCKey,"&lt;"&amp;$G745)+1)</f>
        <v/>
      </c>
      <c r="I745">
        <f>IF($H745="","",$A745&amp;"|"&amp;RIGHT("000000"&amp;$H745,6))</f>
        <v/>
      </c>
      <c r="J745">
        <f>IF(OR($B745&lt;&gt;2,$G745=""),"",COUNTIFS(LdAParty,$A745,LdAType,2,LdAKey,"&lt;"&amp;$G745)+1)</f>
        <v/>
      </c>
      <c r="K745">
        <f>IF($J745="","",$A745&amp;"|"&amp;RIGHT("000000"&amp;$J745,6))</f>
        <v/>
      </c>
      <c r="L745">
        <f>IF($A745="","",IF(Wages!$G748="",0,Wages!$G748))</f>
        <v/>
      </c>
      <c r="M745">
        <f>IF($A745="","",Wages!$J748)</f>
        <v/>
      </c>
      <c r="N745">
        <f>IF($A745="","",Wages!$D748)</f>
        <v/>
      </c>
      <c r="P745">
        <f>IF(OR(Shares!$B748="",Shares!$C748=""),"",Shares!$C748)</f>
        <v/>
      </c>
      <c r="Q745">
        <f>IF($P745="","",Shares!$B748)</f>
        <v/>
      </c>
      <c r="R745">
        <f>IF($P745="","",IFERROR(INDEX(WageParty,MATCH($Q745,WageIds,0)),""))</f>
        <v/>
      </c>
      <c r="S745">
        <f>IF($P745="","",IFERROR(INDEX($F$6:$F$2005,MATCH($Q745,WageIds,0)),""))</f>
        <v/>
      </c>
      <c r="T745">
        <f>IF(OR($P745="",$S745="",$S745="نامعتبر"),"",LEFT($S745,4)&amp;MID($S745,6,2)&amp;RIGHT($S745,2)&amp;"0000"&amp;"|"&amp;"2"&amp;RIGHT("00000"&amp;740,5))</f>
        <v/>
      </c>
      <c r="U745">
        <f>IF($T745="","",COUNTIFS(LdAParty,$P745,LdAType,1,LdAKey,"&lt;"&amp;$T745)+COUNTIFS(LdBMember,$P745,LdBKey,"&lt;"&amp;$T745)+COUNTIFS(LdCParty,$P745,LdCKey,"&lt;"&amp;$T745)+1)</f>
        <v/>
      </c>
      <c r="V745">
        <f>IF($U745="","",$P745&amp;"|"&amp;RIGHT("000000"&amp;$U745,6))</f>
        <v/>
      </c>
      <c r="W745">
        <f>IF($T745="","",COUNTIFS(LdBGroup,$R745,LdBKey,"&lt;"&amp;$T745)+1)</f>
        <v/>
      </c>
      <c r="X745">
        <f>IF($W745="","",$R745&amp;"|"&amp;RIGHT("000000"&amp;$W745,6))</f>
        <v/>
      </c>
      <c r="Y745">
        <f>IF($P745="","",IF(Shares!$E748="",0,Shares!$E748))</f>
        <v/>
      </c>
      <c r="Z745">
        <f>IF($P745="","",Shares!$H748)</f>
        <v/>
      </c>
      <c r="AE745">
        <f>IF(OR(Sync!$S745="",Sync!$P745=""),"",Sync!$S745)</f>
        <v/>
      </c>
      <c r="AF745">
        <f>IF($AE745="","",IF(ISNUMBER(Sync!$P745),IF(AND(Sync!$P745&gt;=10000101,Sync!$P745&lt;=99991231),INT(Sync!$P745/10000),""),IFERROR(VALUE(TRIM(LEFT(Sync!$P745,FIND("/",Sync!$P745)-1))),"")))</f>
        <v/>
      </c>
      <c r="AG745">
        <f>IF(OR($AE745="",$AF745=""),"",IF(ISNUMBER(Sync!$P745),INT(MOD(Sync!$P745,10000)/100),IFERROR(VALUE(TRIM(LEFT(MID(Sync!$P745,FIND("/",Sync!$P745)+1,20),FIND("/",MID(Sync!$P745,FIND("/",Sync!$P745)+1,20))-1))),"")))</f>
        <v/>
      </c>
      <c r="AH745">
        <f>IF(OR($AE745="",$AF745=""),"",IF(ISNUMBER(Sync!$P745),MOD(Sync!$P745,100),IFERROR(VALUE(TRIM(MID(MID(Sync!$P745,FIND("/",Sync!$P745)+1,20),FIND("/",MID(Sync!$P745,FIND("/",Sync!$P745)+1,20))+1,20))),"")))</f>
        <v/>
      </c>
      <c r="AI745">
        <f>IF($AE745="","",IF(OR($AF745="",$AG745="",$AH745="",$AF745&lt;1300,$AF745&gt;1500,$AG745&lt;1,$AG745&gt;12,$AH745&lt;1,$AH745&gt;31),"نامعتبر",RIGHT("0000"&amp;$AF745,4)&amp;"/"&amp;RIGHT("00"&amp;$AG745,2)&amp;"/"&amp;RIGHT("00"&amp;$AH745,2)))</f>
        <v/>
      </c>
      <c r="AJ745">
        <f>IF($AE745="","",IF(Sync!$Q745="","0000",IF(AND(ISNUMBER(Sync!$Q745),Sync!$Q745&gt;=0,Sync!$Q745&lt;1),RIGHT("00"&amp;HOUR(Sync!$Q745),2)&amp;RIGHT("00"&amp;MINUTE(Sync!$Q745),2),IFERROR(RIGHT("00"&amp;VALUE(LEFT(Sync!$Q745,FIND(":",Sync!$Q745)-1)),2)&amp;RIGHT("00"&amp;VALUE(MID(Sync!$Q745,FIND(":",Sync!$Q745)+1,2)),2),"0000"))))</f>
        <v/>
      </c>
      <c r="AK745">
        <f>IF(OR($AE745="",$AI745="",$AI745="نامعتبر"),"",LEFT($AI745,4)&amp;MID($AI745,6,2)&amp;RIGHT($AI745,2)&amp;$AJ745&amp;"|"&amp;"3"&amp;RIGHT("00000"&amp;740,5))</f>
        <v/>
      </c>
      <c r="AL745">
        <f>IF($AK745="","",COUNTIFS(LdAParty,$AE745,LdAType,1,LdAKey,"&lt;"&amp;$AK745)+COUNTIFS(LdBMember,$AE745,LdBKey,"&lt;"&amp;$AK745)+COUNTIFS(LdCParty,$AE745,LdCKey,"&lt;"&amp;$AK745)+1)</f>
        <v/>
      </c>
      <c r="AM745">
        <f>IF($AL745="","",$AE745&amp;"|"&amp;RIGHT("000000"&amp;$AL745,6))</f>
        <v/>
      </c>
      <c r="AN745">
        <f>IF($AE745="","",IF(Sync!$W745="",0,Sync!$W745))</f>
        <v/>
      </c>
      <c r="AO745">
        <f>IF($AE745="","",IF(Sync!$X745="",0,Sync!$X745))</f>
        <v/>
      </c>
      <c r="AP745">
        <f>IF($AE745="","",Sync!$R745)</f>
        <v/>
      </c>
      <c r="AQ745">
        <f>IF($AE745="","",Sync!$Y745)</f>
        <v/>
      </c>
    </row>
    <row r="746">
      <c r="A746">
        <f>IF(OR(Wages!$B749="",Wages!$E749=""),"",Wages!$E749)</f>
        <v/>
      </c>
      <c r="B746">
        <f>IF($A746="","",IF(Wages!$C749="دستمزد گروهی",2,1))</f>
        <v/>
      </c>
      <c r="C746">
        <f>IF($A746="","",IF(ISNUMBER(Wages!$B749),IF(AND(Wages!$B749&gt;=10000101,Wages!$B749&lt;=99991231),INT(Wages!$B749/10000),""),IFERROR(VALUE(TRIM(LEFT(Wages!$B749,FIND("/",Wages!$B749)-1))),"")))</f>
        <v/>
      </c>
      <c r="D746">
        <f>IF(OR($A746="",$C746=""),"",IF(ISNUMBER(Wages!$B749),INT(MOD(Wages!$B749,10000)/100),IFERROR(VALUE(TRIM(LEFT(MID(Wages!$B749,FIND("/",Wages!$B749)+1,20),FIND("/",MID(Wages!$B749,FIND("/",Wages!$B749)+1,20))-1))),"")))</f>
        <v/>
      </c>
      <c r="E746">
        <f>IF(OR($A746="",$C746=""),"",IF(ISNUMBER(Wages!$B749),MOD(Wages!$B749,100),IFERROR(VALUE(TRIM(MID(MID(Wages!$B749,FIND("/",Wages!$B749)+1,20),FIND("/",MID(Wages!$B749,FIND("/",Wages!$B749)+1,20))+1,20))),"")))</f>
        <v/>
      </c>
      <c r="F746">
        <f>IF($A746="","",IF(OR($C746="",$D746="",$E746="",$C746&lt;1300,$C746&gt;1500,$D746&lt;1,$D746&gt;12,$E746&lt;1,$E746&gt;31),"نامعتبر",RIGHT("0000"&amp;$C746,4)&amp;"/"&amp;RIGHT("00"&amp;$D746,2)&amp;"/"&amp;RIGHT("00"&amp;$E746,2)))</f>
        <v/>
      </c>
      <c r="G746">
        <f>IF(OR($A746="",$F746="",$F746="نامعتبر"),"",LEFT($F746,4)&amp;MID($F746,6,2)&amp;RIGHT($F746,2)&amp;"0000"&amp;"|"&amp;"1"&amp;RIGHT("00000"&amp;741,5))</f>
        <v/>
      </c>
      <c r="H746">
        <f>IF(OR($B746&lt;&gt;1,$G746=""),"",COUNTIFS(LdAParty,$A746,LdAType,1,LdAKey,"&lt;"&amp;$G746)+COUNTIFS(LdBMember,$A746,LdBKey,"&lt;"&amp;$G746)+COUNTIFS(LdCParty,$A746,LdCKey,"&lt;"&amp;$G746)+1)</f>
        <v/>
      </c>
      <c r="I746">
        <f>IF($H746="","",$A746&amp;"|"&amp;RIGHT("000000"&amp;$H746,6))</f>
        <v/>
      </c>
      <c r="J746">
        <f>IF(OR($B746&lt;&gt;2,$G746=""),"",COUNTIFS(LdAParty,$A746,LdAType,2,LdAKey,"&lt;"&amp;$G746)+1)</f>
        <v/>
      </c>
      <c r="K746">
        <f>IF($J746="","",$A746&amp;"|"&amp;RIGHT("000000"&amp;$J746,6))</f>
        <v/>
      </c>
      <c r="L746">
        <f>IF($A746="","",IF(Wages!$G749="",0,Wages!$G749))</f>
        <v/>
      </c>
      <c r="M746">
        <f>IF($A746="","",Wages!$J749)</f>
        <v/>
      </c>
      <c r="N746">
        <f>IF($A746="","",Wages!$D749)</f>
        <v/>
      </c>
      <c r="P746">
        <f>IF(OR(Shares!$B749="",Shares!$C749=""),"",Shares!$C749)</f>
        <v/>
      </c>
      <c r="Q746">
        <f>IF($P746="","",Shares!$B749)</f>
        <v/>
      </c>
      <c r="R746">
        <f>IF($P746="","",IFERROR(INDEX(WageParty,MATCH($Q746,WageIds,0)),""))</f>
        <v/>
      </c>
      <c r="S746">
        <f>IF($P746="","",IFERROR(INDEX($F$6:$F$2005,MATCH($Q746,WageIds,0)),""))</f>
        <v/>
      </c>
      <c r="T746">
        <f>IF(OR($P746="",$S746="",$S746="نامعتبر"),"",LEFT($S746,4)&amp;MID($S746,6,2)&amp;RIGHT($S746,2)&amp;"0000"&amp;"|"&amp;"2"&amp;RIGHT("00000"&amp;741,5))</f>
        <v/>
      </c>
      <c r="U746">
        <f>IF($T746="","",COUNTIFS(LdAParty,$P746,LdAType,1,LdAKey,"&lt;"&amp;$T746)+COUNTIFS(LdBMember,$P746,LdBKey,"&lt;"&amp;$T746)+COUNTIFS(LdCParty,$P746,LdCKey,"&lt;"&amp;$T746)+1)</f>
        <v/>
      </c>
      <c r="V746">
        <f>IF($U746="","",$P746&amp;"|"&amp;RIGHT("000000"&amp;$U746,6))</f>
        <v/>
      </c>
      <c r="W746">
        <f>IF($T746="","",COUNTIFS(LdBGroup,$R746,LdBKey,"&lt;"&amp;$T746)+1)</f>
        <v/>
      </c>
      <c r="X746">
        <f>IF($W746="","",$R746&amp;"|"&amp;RIGHT("000000"&amp;$W746,6))</f>
        <v/>
      </c>
      <c r="Y746">
        <f>IF($P746="","",IF(Shares!$E749="",0,Shares!$E749))</f>
        <v/>
      </c>
      <c r="Z746">
        <f>IF($P746="","",Shares!$H749)</f>
        <v/>
      </c>
      <c r="AE746">
        <f>IF(OR(Sync!$S746="",Sync!$P746=""),"",Sync!$S746)</f>
        <v/>
      </c>
      <c r="AF746">
        <f>IF($AE746="","",IF(ISNUMBER(Sync!$P746),IF(AND(Sync!$P746&gt;=10000101,Sync!$P746&lt;=99991231),INT(Sync!$P746/10000),""),IFERROR(VALUE(TRIM(LEFT(Sync!$P746,FIND("/",Sync!$P746)-1))),"")))</f>
        <v/>
      </c>
      <c r="AG746">
        <f>IF(OR($AE746="",$AF746=""),"",IF(ISNUMBER(Sync!$P746),INT(MOD(Sync!$P746,10000)/100),IFERROR(VALUE(TRIM(LEFT(MID(Sync!$P746,FIND("/",Sync!$P746)+1,20),FIND("/",MID(Sync!$P746,FIND("/",Sync!$P746)+1,20))-1))),"")))</f>
        <v/>
      </c>
      <c r="AH746">
        <f>IF(OR($AE746="",$AF746=""),"",IF(ISNUMBER(Sync!$P746),MOD(Sync!$P746,100),IFERROR(VALUE(TRIM(MID(MID(Sync!$P746,FIND("/",Sync!$P746)+1,20),FIND("/",MID(Sync!$P746,FIND("/",Sync!$P746)+1,20))+1,20))),"")))</f>
        <v/>
      </c>
      <c r="AI746">
        <f>IF($AE746="","",IF(OR($AF746="",$AG746="",$AH746="",$AF746&lt;1300,$AF746&gt;1500,$AG746&lt;1,$AG746&gt;12,$AH746&lt;1,$AH746&gt;31),"نامعتبر",RIGHT("0000"&amp;$AF746,4)&amp;"/"&amp;RIGHT("00"&amp;$AG746,2)&amp;"/"&amp;RIGHT("00"&amp;$AH746,2)))</f>
        <v/>
      </c>
      <c r="AJ746">
        <f>IF($AE746="","",IF(Sync!$Q746="","0000",IF(AND(ISNUMBER(Sync!$Q746),Sync!$Q746&gt;=0,Sync!$Q746&lt;1),RIGHT("00"&amp;HOUR(Sync!$Q746),2)&amp;RIGHT("00"&amp;MINUTE(Sync!$Q746),2),IFERROR(RIGHT("00"&amp;VALUE(LEFT(Sync!$Q746,FIND(":",Sync!$Q746)-1)),2)&amp;RIGHT("00"&amp;VALUE(MID(Sync!$Q746,FIND(":",Sync!$Q746)+1,2)),2),"0000"))))</f>
        <v/>
      </c>
      <c r="AK746">
        <f>IF(OR($AE746="",$AI746="",$AI746="نامعتبر"),"",LEFT($AI746,4)&amp;MID($AI746,6,2)&amp;RIGHT($AI746,2)&amp;$AJ746&amp;"|"&amp;"3"&amp;RIGHT("00000"&amp;741,5))</f>
        <v/>
      </c>
      <c r="AL746">
        <f>IF($AK746="","",COUNTIFS(LdAParty,$AE746,LdAType,1,LdAKey,"&lt;"&amp;$AK746)+COUNTIFS(LdBMember,$AE746,LdBKey,"&lt;"&amp;$AK746)+COUNTIFS(LdCParty,$AE746,LdCKey,"&lt;"&amp;$AK746)+1)</f>
        <v/>
      </c>
      <c r="AM746">
        <f>IF($AL746="","",$AE746&amp;"|"&amp;RIGHT("000000"&amp;$AL746,6))</f>
        <v/>
      </c>
      <c r="AN746">
        <f>IF($AE746="","",IF(Sync!$W746="",0,Sync!$W746))</f>
        <v/>
      </c>
      <c r="AO746">
        <f>IF($AE746="","",IF(Sync!$X746="",0,Sync!$X746))</f>
        <v/>
      </c>
      <c r="AP746">
        <f>IF($AE746="","",Sync!$R746)</f>
        <v/>
      </c>
      <c r="AQ746">
        <f>IF($AE746="","",Sync!$Y746)</f>
        <v/>
      </c>
    </row>
    <row r="747">
      <c r="A747">
        <f>IF(OR(Wages!$B750="",Wages!$E750=""),"",Wages!$E750)</f>
        <v/>
      </c>
      <c r="B747">
        <f>IF($A747="","",IF(Wages!$C750="دستمزد گروهی",2,1))</f>
        <v/>
      </c>
      <c r="C747">
        <f>IF($A747="","",IF(ISNUMBER(Wages!$B750),IF(AND(Wages!$B750&gt;=10000101,Wages!$B750&lt;=99991231),INT(Wages!$B750/10000),""),IFERROR(VALUE(TRIM(LEFT(Wages!$B750,FIND("/",Wages!$B750)-1))),"")))</f>
        <v/>
      </c>
      <c r="D747">
        <f>IF(OR($A747="",$C747=""),"",IF(ISNUMBER(Wages!$B750),INT(MOD(Wages!$B750,10000)/100),IFERROR(VALUE(TRIM(LEFT(MID(Wages!$B750,FIND("/",Wages!$B750)+1,20),FIND("/",MID(Wages!$B750,FIND("/",Wages!$B750)+1,20))-1))),"")))</f>
        <v/>
      </c>
      <c r="E747">
        <f>IF(OR($A747="",$C747=""),"",IF(ISNUMBER(Wages!$B750),MOD(Wages!$B750,100),IFERROR(VALUE(TRIM(MID(MID(Wages!$B750,FIND("/",Wages!$B750)+1,20),FIND("/",MID(Wages!$B750,FIND("/",Wages!$B750)+1,20))+1,20))),"")))</f>
        <v/>
      </c>
      <c r="F747">
        <f>IF($A747="","",IF(OR($C747="",$D747="",$E747="",$C747&lt;1300,$C747&gt;1500,$D747&lt;1,$D747&gt;12,$E747&lt;1,$E747&gt;31),"نامعتبر",RIGHT("0000"&amp;$C747,4)&amp;"/"&amp;RIGHT("00"&amp;$D747,2)&amp;"/"&amp;RIGHT("00"&amp;$E747,2)))</f>
        <v/>
      </c>
      <c r="G747">
        <f>IF(OR($A747="",$F747="",$F747="نامعتبر"),"",LEFT($F747,4)&amp;MID($F747,6,2)&amp;RIGHT($F747,2)&amp;"0000"&amp;"|"&amp;"1"&amp;RIGHT("00000"&amp;742,5))</f>
        <v/>
      </c>
      <c r="H747">
        <f>IF(OR($B747&lt;&gt;1,$G747=""),"",COUNTIFS(LdAParty,$A747,LdAType,1,LdAKey,"&lt;"&amp;$G747)+COUNTIFS(LdBMember,$A747,LdBKey,"&lt;"&amp;$G747)+COUNTIFS(LdCParty,$A747,LdCKey,"&lt;"&amp;$G747)+1)</f>
        <v/>
      </c>
      <c r="I747">
        <f>IF($H747="","",$A747&amp;"|"&amp;RIGHT("000000"&amp;$H747,6))</f>
        <v/>
      </c>
      <c r="J747">
        <f>IF(OR($B747&lt;&gt;2,$G747=""),"",COUNTIFS(LdAParty,$A747,LdAType,2,LdAKey,"&lt;"&amp;$G747)+1)</f>
        <v/>
      </c>
      <c r="K747">
        <f>IF($J747="","",$A747&amp;"|"&amp;RIGHT("000000"&amp;$J747,6))</f>
        <v/>
      </c>
      <c r="L747">
        <f>IF($A747="","",IF(Wages!$G750="",0,Wages!$G750))</f>
        <v/>
      </c>
      <c r="M747">
        <f>IF($A747="","",Wages!$J750)</f>
        <v/>
      </c>
      <c r="N747">
        <f>IF($A747="","",Wages!$D750)</f>
        <v/>
      </c>
      <c r="P747">
        <f>IF(OR(Shares!$B750="",Shares!$C750=""),"",Shares!$C750)</f>
        <v/>
      </c>
      <c r="Q747">
        <f>IF($P747="","",Shares!$B750)</f>
        <v/>
      </c>
      <c r="R747">
        <f>IF($P747="","",IFERROR(INDEX(WageParty,MATCH($Q747,WageIds,0)),""))</f>
        <v/>
      </c>
      <c r="S747">
        <f>IF($P747="","",IFERROR(INDEX($F$6:$F$2005,MATCH($Q747,WageIds,0)),""))</f>
        <v/>
      </c>
      <c r="T747">
        <f>IF(OR($P747="",$S747="",$S747="نامعتبر"),"",LEFT($S747,4)&amp;MID($S747,6,2)&amp;RIGHT($S747,2)&amp;"0000"&amp;"|"&amp;"2"&amp;RIGHT("00000"&amp;742,5))</f>
        <v/>
      </c>
      <c r="U747">
        <f>IF($T747="","",COUNTIFS(LdAParty,$P747,LdAType,1,LdAKey,"&lt;"&amp;$T747)+COUNTIFS(LdBMember,$P747,LdBKey,"&lt;"&amp;$T747)+COUNTIFS(LdCParty,$P747,LdCKey,"&lt;"&amp;$T747)+1)</f>
        <v/>
      </c>
      <c r="V747">
        <f>IF($U747="","",$P747&amp;"|"&amp;RIGHT("000000"&amp;$U747,6))</f>
        <v/>
      </c>
      <c r="W747">
        <f>IF($T747="","",COUNTIFS(LdBGroup,$R747,LdBKey,"&lt;"&amp;$T747)+1)</f>
        <v/>
      </c>
      <c r="X747">
        <f>IF($W747="","",$R747&amp;"|"&amp;RIGHT("000000"&amp;$W747,6))</f>
        <v/>
      </c>
      <c r="Y747">
        <f>IF($P747="","",IF(Shares!$E750="",0,Shares!$E750))</f>
        <v/>
      </c>
      <c r="Z747">
        <f>IF($P747="","",Shares!$H750)</f>
        <v/>
      </c>
      <c r="AE747">
        <f>IF(OR(Sync!$S747="",Sync!$P747=""),"",Sync!$S747)</f>
        <v/>
      </c>
      <c r="AF747">
        <f>IF($AE747="","",IF(ISNUMBER(Sync!$P747),IF(AND(Sync!$P747&gt;=10000101,Sync!$P747&lt;=99991231),INT(Sync!$P747/10000),""),IFERROR(VALUE(TRIM(LEFT(Sync!$P747,FIND("/",Sync!$P747)-1))),"")))</f>
        <v/>
      </c>
      <c r="AG747">
        <f>IF(OR($AE747="",$AF747=""),"",IF(ISNUMBER(Sync!$P747),INT(MOD(Sync!$P747,10000)/100),IFERROR(VALUE(TRIM(LEFT(MID(Sync!$P747,FIND("/",Sync!$P747)+1,20),FIND("/",MID(Sync!$P747,FIND("/",Sync!$P747)+1,20))-1))),"")))</f>
        <v/>
      </c>
      <c r="AH747">
        <f>IF(OR($AE747="",$AF747=""),"",IF(ISNUMBER(Sync!$P747),MOD(Sync!$P747,100),IFERROR(VALUE(TRIM(MID(MID(Sync!$P747,FIND("/",Sync!$P747)+1,20),FIND("/",MID(Sync!$P747,FIND("/",Sync!$P747)+1,20))+1,20))),"")))</f>
        <v/>
      </c>
      <c r="AI747">
        <f>IF($AE747="","",IF(OR($AF747="",$AG747="",$AH747="",$AF747&lt;1300,$AF747&gt;1500,$AG747&lt;1,$AG747&gt;12,$AH747&lt;1,$AH747&gt;31),"نامعتبر",RIGHT("0000"&amp;$AF747,4)&amp;"/"&amp;RIGHT("00"&amp;$AG747,2)&amp;"/"&amp;RIGHT("00"&amp;$AH747,2)))</f>
        <v/>
      </c>
      <c r="AJ747">
        <f>IF($AE747="","",IF(Sync!$Q747="","0000",IF(AND(ISNUMBER(Sync!$Q747),Sync!$Q747&gt;=0,Sync!$Q747&lt;1),RIGHT("00"&amp;HOUR(Sync!$Q747),2)&amp;RIGHT("00"&amp;MINUTE(Sync!$Q747),2),IFERROR(RIGHT("00"&amp;VALUE(LEFT(Sync!$Q747,FIND(":",Sync!$Q747)-1)),2)&amp;RIGHT("00"&amp;VALUE(MID(Sync!$Q747,FIND(":",Sync!$Q747)+1,2)),2),"0000"))))</f>
        <v/>
      </c>
      <c r="AK747">
        <f>IF(OR($AE747="",$AI747="",$AI747="نامعتبر"),"",LEFT($AI747,4)&amp;MID($AI747,6,2)&amp;RIGHT($AI747,2)&amp;$AJ747&amp;"|"&amp;"3"&amp;RIGHT("00000"&amp;742,5))</f>
        <v/>
      </c>
      <c r="AL747">
        <f>IF($AK747="","",COUNTIFS(LdAParty,$AE747,LdAType,1,LdAKey,"&lt;"&amp;$AK747)+COUNTIFS(LdBMember,$AE747,LdBKey,"&lt;"&amp;$AK747)+COUNTIFS(LdCParty,$AE747,LdCKey,"&lt;"&amp;$AK747)+1)</f>
        <v/>
      </c>
      <c r="AM747">
        <f>IF($AL747="","",$AE747&amp;"|"&amp;RIGHT("000000"&amp;$AL747,6))</f>
        <v/>
      </c>
      <c r="AN747">
        <f>IF($AE747="","",IF(Sync!$W747="",0,Sync!$W747))</f>
        <v/>
      </c>
      <c r="AO747">
        <f>IF($AE747="","",IF(Sync!$X747="",0,Sync!$X747))</f>
        <v/>
      </c>
      <c r="AP747">
        <f>IF($AE747="","",Sync!$R747)</f>
        <v/>
      </c>
      <c r="AQ747">
        <f>IF($AE747="","",Sync!$Y747)</f>
        <v/>
      </c>
    </row>
    <row r="748">
      <c r="A748">
        <f>IF(OR(Wages!$B751="",Wages!$E751=""),"",Wages!$E751)</f>
        <v/>
      </c>
      <c r="B748">
        <f>IF($A748="","",IF(Wages!$C751="دستمزد گروهی",2,1))</f>
        <v/>
      </c>
      <c r="C748">
        <f>IF($A748="","",IF(ISNUMBER(Wages!$B751),IF(AND(Wages!$B751&gt;=10000101,Wages!$B751&lt;=99991231),INT(Wages!$B751/10000),""),IFERROR(VALUE(TRIM(LEFT(Wages!$B751,FIND("/",Wages!$B751)-1))),"")))</f>
        <v/>
      </c>
      <c r="D748">
        <f>IF(OR($A748="",$C748=""),"",IF(ISNUMBER(Wages!$B751),INT(MOD(Wages!$B751,10000)/100),IFERROR(VALUE(TRIM(LEFT(MID(Wages!$B751,FIND("/",Wages!$B751)+1,20),FIND("/",MID(Wages!$B751,FIND("/",Wages!$B751)+1,20))-1))),"")))</f>
        <v/>
      </c>
      <c r="E748">
        <f>IF(OR($A748="",$C748=""),"",IF(ISNUMBER(Wages!$B751),MOD(Wages!$B751,100),IFERROR(VALUE(TRIM(MID(MID(Wages!$B751,FIND("/",Wages!$B751)+1,20),FIND("/",MID(Wages!$B751,FIND("/",Wages!$B751)+1,20))+1,20))),"")))</f>
        <v/>
      </c>
      <c r="F748">
        <f>IF($A748="","",IF(OR($C748="",$D748="",$E748="",$C748&lt;1300,$C748&gt;1500,$D748&lt;1,$D748&gt;12,$E748&lt;1,$E748&gt;31),"نامعتبر",RIGHT("0000"&amp;$C748,4)&amp;"/"&amp;RIGHT("00"&amp;$D748,2)&amp;"/"&amp;RIGHT("00"&amp;$E748,2)))</f>
        <v/>
      </c>
      <c r="G748">
        <f>IF(OR($A748="",$F748="",$F748="نامعتبر"),"",LEFT($F748,4)&amp;MID($F748,6,2)&amp;RIGHT($F748,2)&amp;"0000"&amp;"|"&amp;"1"&amp;RIGHT("00000"&amp;743,5))</f>
        <v/>
      </c>
      <c r="H748">
        <f>IF(OR($B748&lt;&gt;1,$G748=""),"",COUNTIFS(LdAParty,$A748,LdAType,1,LdAKey,"&lt;"&amp;$G748)+COUNTIFS(LdBMember,$A748,LdBKey,"&lt;"&amp;$G748)+COUNTIFS(LdCParty,$A748,LdCKey,"&lt;"&amp;$G748)+1)</f>
        <v/>
      </c>
      <c r="I748">
        <f>IF($H748="","",$A748&amp;"|"&amp;RIGHT("000000"&amp;$H748,6))</f>
        <v/>
      </c>
      <c r="J748">
        <f>IF(OR($B748&lt;&gt;2,$G748=""),"",COUNTIFS(LdAParty,$A748,LdAType,2,LdAKey,"&lt;"&amp;$G748)+1)</f>
        <v/>
      </c>
      <c r="K748">
        <f>IF($J748="","",$A748&amp;"|"&amp;RIGHT("000000"&amp;$J748,6))</f>
        <v/>
      </c>
      <c r="L748">
        <f>IF($A748="","",IF(Wages!$G751="",0,Wages!$G751))</f>
        <v/>
      </c>
      <c r="M748">
        <f>IF($A748="","",Wages!$J751)</f>
        <v/>
      </c>
      <c r="N748">
        <f>IF($A748="","",Wages!$D751)</f>
        <v/>
      </c>
      <c r="P748">
        <f>IF(OR(Shares!$B751="",Shares!$C751=""),"",Shares!$C751)</f>
        <v/>
      </c>
      <c r="Q748">
        <f>IF($P748="","",Shares!$B751)</f>
        <v/>
      </c>
      <c r="R748">
        <f>IF($P748="","",IFERROR(INDEX(WageParty,MATCH($Q748,WageIds,0)),""))</f>
        <v/>
      </c>
      <c r="S748">
        <f>IF($P748="","",IFERROR(INDEX($F$6:$F$2005,MATCH($Q748,WageIds,0)),""))</f>
        <v/>
      </c>
      <c r="T748">
        <f>IF(OR($P748="",$S748="",$S748="نامعتبر"),"",LEFT($S748,4)&amp;MID($S748,6,2)&amp;RIGHT($S748,2)&amp;"0000"&amp;"|"&amp;"2"&amp;RIGHT("00000"&amp;743,5))</f>
        <v/>
      </c>
      <c r="U748">
        <f>IF($T748="","",COUNTIFS(LdAParty,$P748,LdAType,1,LdAKey,"&lt;"&amp;$T748)+COUNTIFS(LdBMember,$P748,LdBKey,"&lt;"&amp;$T748)+COUNTIFS(LdCParty,$P748,LdCKey,"&lt;"&amp;$T748)+1)</f>
        <v/>
      </c>
      <c r="V748">
        <f>IF($U748="","",$P748&amp;"|"&amp;RIGHT("000000"&amp;$U748,6))</f>
        <v/>
      </c>
      <c r="W748">
        <f>IF($T748="","",COUNTIFS(LdBGroup,$R748,LdBKey,"&lt;"&amp;$T748)+1)</f>
        <v/>
      </c>
      <c r="X748">
        <f>IF($W748="","",$R748&amp;"|"&amp;RIGHT("000000"&amp;$W748,6))</f>
        <v/>
      </c>
      <c r="Y748">
        <f>IF($P748="","",IF(Shares!$E751="",0,Shares!$E751))</f>
        <v/>
      </c>
      <c r="Z748">
        <f>IF($P748="","",Shares!$H751)</f>
        <v/>
      </c>
      <c r="AE748">
        <f>IF(OR(Sync!$S748="",Sync!$P748=""),"",Sync!$S748)</f>
        <v/>
      </c>
      <c r="AF748">
        <f>IF($AE748="","",IF(ISNUMBER(Sync!$P748),IF(AND(Sync!$P748&gt;=10000101,Sync!$P748&lt;=99991231),INT(Sync!$P748/10000),""),IFERROR(VALUE(TRIM(LEFT(Sync!$P748,FIND("/",Sync!$P748)-1))),"")))</f>
        <v/>
      </c>
      <c r="AG748">
        <f>IF(OR($AE748="",$AF748=""),"",IF(ISNUMBER(Sync!$P748),INT(MOD(Sync!$P748,10000)/100),IFERROR(VALUE(TRIM(LEFT(MID(Sync!$P748,FIND("/",Sync!$P748)+1,20),FIND("/",MID(Sync!$P748,FIND("/",Sync!$P748)+1,20))-1))),"")))</f>
        <v/>
      </c>
      <c r="AH748">
        <f>IF(OR($AE748="",$AF748=""),"",IF(ISNUMBER(Sync!$P748),MOD(Sync!$P748,100),IFERROR(VALUE(TRIM(MID(MID(Sync!$P748,FIND("/",Sync!$P748)+1,20),FIND("/",MID(Sync!$P748,FIND("/",Sync!$P748)+1,20))+1,20))),"")))</f>
        <v/>
      </c>
      <c r="AI748">
        <f>IF($AE748="","",IF(OR($AF748="",$AG748="",$AH748="",$AF748&lt;1300,$AF748&gt;1500,$AG748&lt;1,$AG748&gt;12,$AH748&lt;1,$AH748&gt;31),"نامعتبر",RIGHT("0000"&amp;$AF748,4)&amp;"/"&amp;RIGHT("00"&amp;$AG748,2)&amp;"/"&amp;RIGHT("00"&amp;$AH748,2)))</f>
        <v/>
      </c>
      <c r="AJ748">
        <f>IF($AE748="","",IF(Sync!$Q748="","0000",IF(AND(ISNUMBER(Sync!$Q748),Sync!$Q748&gt;=0,Sync!$Q748&lt;1),RIGHT("00"&amp;HOUR(Sync!$Q748),2)&amp;RIGHT("00"&amp;MINUTE(Sync!$Q748),2),IFERROR(RIGHT("00"&amp;VALUE(LEFT(Sync!$Q748,FIND(":",Sync!$Q748)-1)),2)&amp;RIGHT("00"&amp;VALUE(MID(Sync!$Q748,FIND(":",Sync!$Q748)+1,2)),2),"0000"))))</f>
        <v/>
      </c>
      <c r="AK748">
        <f>IF(OR($AE748="",$AI748="",$AI748="نامعتبر"),"",LEFT($AI748,4)&amp;MID($AI748,6,2)&amp;RIGHT($AI748,2)&amp;$AJ748&amp;"|"&amp;"3"&amp;RIGHT("00000"&amp;743,5))</f>
        <v/>
      </c>
      <c r="AL748">
        <f>IF($AK748="","",COUNTIFS(LdAParty,$AE748,LdAType,1,LdAKey,"&lt;"&amp;$AK748)+COUNTIFS(LdBMember,$AE748,LdBKey,"&lt;"&amp;$AK748)+COUNTIFS(LdCParty,$AE748,LdCKey,"&lt;"&amp;$AK748)+1)</f>
        <v/>
      </c>
      <c r="AM748">
        <f>IF($AL748="","",$AE748&amp;"|"&amp;RIGHT("000000"&amp;$AL748,6))</f>
        <v/>
      </c>
      <c r="AN748">
        <f>IF($AE748="","",IF(Sync!$W748="",0,Sync!$W748))</f>
        <v/>
      </c>
      <c r="AO748">
        <f>IF($AE748="","",IF(Sync!$X748="",0,Sync!$X748))</f>
        <v/>
      </c>
      <c r="AP748">
        <f>IF($AE748="","",Sync!$R748)</f>
        <v/>
      </c>
      <c r="AQ748">
        <f>IF($AE748="","",Sync!$Y748)</f>
        <v/>
      </c>
    </row>
    <row r="749">
      <c r="A749">
        <f>IF(OR(Wages!$B752="",Wages!$E752=""),"",Wages!$E752)</f>
        <v/>
      </c>
      <c r="B749">
        <f>IF($A749="","",IF(Wages!$C752="دستمزد گروهی",2,1))</f>
        <v/>
      </c>
      <c r="C749">
        <f>IF($A749="","",IF(ISNUMBER(Wages!$B752),IF(AND(Wages!$B752&gt;=10000101,Wages!$B752&lt;=99991231),INT(Wages!$B752/10000),""),IFERROR(VALUE(TRIM(LEFT(Wages!$B752,FIND("/",Wages!$B752)-1))),"")))</f>
        <v/>
      </c>
      <c r="D749">
        <f>IF(OR($A749="",$C749=""),"",IF(ISNUMBER(Wages!$B752),INT(MOD(Wages!$B752,10000)/100),IFERROR(VALUE(TRIM(LEFT(MID(Wages!$B752,FIND("/",Wages!$B752)+1,20),FIND("/",MID(Wages!$B752,FIND("/",Wages!$B752)+1,20))-1))),"")))</f>
        <v/>
      </c>
      <c r="E749">
        <f>IF(OR($A749="",$C749=""),"",IF(ISNUMBER(Wages!$B752),MOD(Wages!$B752,100),IFERROR(VALUE(TRIM(MID(MID(Wages!$B752,FIND("/",Wages!$B752)+1,20),FIND("/",MID(Wages!$B752,FIND("/",Wages!$B752)+1,20))+1,20))),"")))</f>
        <v/>
      </c>
      <c r="F749">
        <f>IF($A749="","",IF(OR($C749="",$D749="",$E749="",$C749&lt;1300,$C749&gt;1500,$D749&lt;1,$D749&gt;12,$E749&lt;1,$E749&gt;31),"نامعتبر",RIGHT("0000"&amp;$C749,4)&amp;"/"&amp;RIGHT("00"&amp;$D749,2)&amp;"/"&amp;RIGHT("00"&amp;$E749,2)))</f>
        <v/>
      </c>
      <c r="G749">
        <f>IF(OR($A749="",$F749="",$F749="نامعتبر"),"",LEFT($F749,4)&amp;MID($F749,6,2)&amp;RIGHT($F749,2)&amp;"0000"&amp;"|"&amp;"1"&amp;RIGHT("00000"&amp;744,5))</f>
        <v/>
      </c>
      <c r="H749">
        <f>IF(OR($B749&lt;&gt;1,$G749=""),"",COUNTIFS(LdAParty,$A749,LdAType,1,LdAKey,"&lt;"&amp;$G749)+COUNTIFS(LdBMember,$A749,LdBKey,"&lt;"&amp;$G749)+COUNTIFS(LdCParty,$A749,LdCKey,"&lt;"&amp;$G749)+1)</f>
        <v/>
      </c>
      <c r="I749">
        <f>IF($H749="","",$A749&amp;"|"&amp;RIGHT("000000"&amp;$H749,6))</f>
        <v/>
      </c>
      <c r="J749">
        <f>IF(OR($B749&lt;&gt;2,$G749=""),"",COUNTIFS(LdAParty,$A749,LdAType,2,LdAKey,"&lt;"&amp;$G749)+1)</f>
        <v/>
      </c>
      <c r="K749">
        <f>IF($J749="","",$A749&amp;"|"&amp;RIGHT("000000"&amp;$J749,6))</f>
        <v/>
      </c>
      <c r="L749">
        <f>IF($A749="","",IF(Wages!$G752="",0,Wages!$G752))</f>
        <v/>
      </c>
      <c r="M749">
        <f>IF($A749="","",Wages!$J752)</f>
        <v/>
      </c>
      <c r="N749">
        <f>IF($A749="","",Wages!$D752)</f>
        <v/>
      </c>
      <c r="P749">
        <f>IF(OR(Shares!$B752="",Shares!$C752=""),"",Shares!$C752)</f>
        <v/>
      </c>
      <c r="Q749">
        <f>IF($P749="","",Shares!$B752)</f>
        <v/>
      </c>
      <c r="R749">
        <f>IF($P749="","",IFERROR(INDEX(WageParty,MATCH($Q749,WageIds,0)),""))</f>
        <v/>
      </c>
      <c r="S749">
        <f>IF($P749="","",IFERROR(INDEX($F$6:$F$2005,MATCH($Q749,WageIds,0)),""))</f>
        <v/>
      </c>
      <c r="T749">
        <f>IF(OR($P749="",$S749="",$S749="نامعتبر"),"",LEFT($S749,4)&amp;MID($S749,6,2)&amp;RIGHT($S749,2)&amp;"0000"&amp;"|"&amp;"2"&amp;RIGHT("00000"&amp;744,5))</f>
        <v/>
      </c>
      <c r="U749">
        <f>IF($T749="","",COUNTIFS(LdAParty,$P749,LdAType,1,LdAKey,"&lt;"&amp;$T749)+COUNTIFS(LdBMember,$P749,LdBKey,"&lt;"&amp;$T749)+COUNTIFS(LdCParty,$P749,LdCKey,"&lt;"&amp;$T749)+1)</f>
        <v/>
      </c>
      <c r="V749">
        <f>IF($U749="","",$P749&amp;"|"&amp;RIGHT("000000"&amp;$U749,6))</f>
        <v/>
      </c>
      <c r="W749">
        <f>IF($T749="","",COUNTIFS(LdBGroup,$R749,LdBKey,"&lt;"&amp;$T749)+1)</f>
        <v/>
      </c>
      <c r="X749">
        <f>IF($W749="","",$R749&amp;"|"&amp;RIGHT("000000"&amp;$W749,6))</f>
        <v/>
      </c>
      <c r="Y749">
        <f>IF($P749="","",IF(Shares!$E752="",0,Shares!$E752))</f>
        <v/>
      </c>
      <c r="Z749">
        <f>IF($P749="","",Shares!$H752)</f>
        <v/>
      </c>
      <c r="AE749">
        <f>IF(OR(Sync!$S749="",Sync!$P749=""),"",Sync!$S749)</f>
        <v/>
      </c>
      <c r="AF749">
        <f>IF($AE749="","",IF(ISNUMBER(Sync!$P749),IF(AND(Sync!$P749&gt;=10000101,Sync!$P749&lt;=99991231),INT(Sync!$P749/10000),""),IFERROR(VALUE(TRIM(LEFT(Sync!$P749,FIND("/",Sync!$P749)-1))),"")))</f>
        <v/>
      </c>
      <c r="AG749">
        <f>IF(OR($AE749="",$AF749=""),"",IF(ISNUMBER(Sync!$P749),INT(MOD(Sync!$P749,10000)/100),IFERROR(VALUE(TRIM(LEFT(MID(Sync!$P749,FIND("/",Sync!$P749)+1,20),FIND("/",MID(Sync!$P749,FIND("/",Sync!$P749)+1,20))-1))),"")))</f>
        <v/>
      </c>
      <c r="AH749">
        <f>IF(OR($AE749="",$AF749=""),"",IF(ISNUMBER(Sync!$P749),MOD(Sync!$P749,100),IFERROR(VALUE(TRIM(MID(MID(Sync!$P749,FIND("/",Sync!$P749)+1,20),FIND("/",MID(Sync!$P749,FIND("/",Sync!$P749)+1,20))+1,20))),"")))</f>
        <v/>
      </c>
      <c r="AI749">
        <f>IF($AE749="","",IF(OR($AF749="",$AG749="",$AH749="",$AF749&lt;1300,$AF749&gt;1500,$AG749&lt;1,$AG749&gt;12,$AH749&lt;1,$AH749&gt;31),"نامعتبر",RIGHT("0000"&amp;$AF749,4)&amp;"/"&amp;RIGHT("00"&amp;$AG749,2)&amp;"/"&amp;RIGHT("00"&amp;$AH749,2)))</f>
        <v/>
      </c>
      <c r="AJ749">
        <f>IF($AE749="","",IF(Sync!$Q749="","0000",IF(AND(ISNUMBER(Sync!$Q749),Sync!$Q749&gt;=0,Sync!$Q749&lt;1),RIGHT("00"&amp;HOUR(Sync!$Q749),2)&amp;RIGHT("00"&amp;MINUTE(Sync!$Q749),2),IFERROR(RIGHT("00"&amp;VALUE(LEFT(Sync!$Q749,FIND(":",Sync!$Q749)-1)),2)&amp;RIGHT("00"&amp;VALUE(MID(Sync!$Q749,FIND(":",Sync!$Q749)+1,2)),2),"0000"))))</f>
        <v/>
      </c>
      <c r="AK749">
        <f>IF(OR($AE749="",$AI749="",$AI749="نامعتبر"),"",LEFT($AI749,4)&amp;MID($AI749,6,2)&amp;RIGHT($AI749,2)&amp;$AJ749&amp;"|"&amp;"3"&amp;RIGHT("00000"&amp;744,5))</f>
        <v/>
      </c>
      <c r="AL749">
        <f>IF($AK749="","",COUNTIFS(LdAParty,$AE749,LdAType,1,LdAKey,"&lt;"&amp;$AK749)+COUNTIFS(LdBMember,$AE749,LdBKey,"&lt;"&amp;$AK749)+COUNTIFS(LdCParty,$AE749,LdCKey,"&lt;"&amp;$AK749)+1)</f>
        <v/>
      </c>
      <c r="AM749">
        <f>IF($AL749="","",$AE749&amp;"|"&amp;RIGHT("000000"&amp;$AL749,6))</f>
        <v/>
      </c>
      <c r="AN749">
        <f>IF($AE749="","",IF(Sync!$W749="",0,Sync!$W749))</f>
        <v/>
      </c>
      <c r="AO749">
        <f>IF($AE749="","",IF(Sync!$X749="",0,Sync!$X749))</f>
        <v/>
      </c>
      <c r="AP749">
        <f>IF($AE749="","",Sync!$R749)</f>
        <v/>
      </c>
      <c r="AQ749">
        <f>IF($AE749="","",Sync!$Y749)</f>
        <v/>
      </c>
    </row>
    <row r="750">
      <c r="A750">
        <f>IF(OR(Wages!$B753="",Wages!$E753=""),"",Wages!$E753)</f>
        <v/>
      </c>
      <c r="B750">
        <f>IF($A750="","",IF(Wages!$C753="دستمزد گروهی",2,1))</f>
        <v/>
      </c>
      <c r="C750">
        <f>IF($A750="","",IF(ISNUMBER(Wages!$B753),IF(AND(Wages!$B753&gt;=10000101,Wages!$B753&lt;=99991231),INT(Wages!$B753/10000),""),IFERROR(VALUE(TRIM(LEFT(Wages!$B753,FIND("/",Wages!$B753)-1))),"")))</f>
        <v/>
      </c>
      <c r="D750">
        <f>IF(OR($A750="",$C750=""),"",IF(ISNUMBER(Wages!$B753),INT(MOD(Wages!$B753,10000)/100),IFERROR(VALUE(TRIM(LEFT(MID(Wages!$B753,FIND("/",Wages!$B753)+1,20),FIND("/",MID(Wages!$B753,FIND("/",Wages!$B753)+1,20))-1))),"")))</f>
        <v/>
      </c>
      <c r="E750">
        <f>IF(OR($A750="",$C750=""),"",IF(ISNUMBER(Wages!$B753),MOD(Wages!$B753,100),IFERROR(VALUE(TRIM(MID(MID(Wages!$B753,FIND("/",Wages!$B753)+1,20),FIND("/",MID(Wages!$B753,FIND("/",Wages!$B753)+1,20))+1,20))),"")))</f>
        <v/>
      </c>
      <c r="F750">
        <f>IF($A750="","",IF(OR($C750="",$D750="",$E750="",$C750&lt;1300,$C750&gt;1500,$D750&lt;1,$D750&gt;12,$E750&lt;1,$E750&gt;31),"نامعتبر",RIGHT("0000"&amp;$C750,4)&amp;"/"&amp;RIGHT("00"&amp;$D750,2)&amp;"/"&amp;RIGHT("00"&amp;$E750,2)))</f>
        <v/>
      </c>
      <c r="G750">
        <f>IF(OR($A750="",$F750="",$F750="نامعتبر"),"",LEFT($F750,4)&amp;MID($F750,6,2)&amp;RIGHT($F750,2)&amp;"0000"&amp;"|"&amp;"1"&amp;RIGHT("00000"&amp;745,5))</f>
        <v/>
      </c>
      <c r="H750">
        <f>IF(OR($B750&lt;&gt;1,$G750=""),"",COUNTIFS(LdAParty,$A750,LdAType,1,LdAKey,"&lt;"&amp;$G750)+COUNTIFS(LdBMember,$A750,LdBKey,"&lt;"&amp;$G750)+COUNTIFS(LdCParty,$A750,LdCKey,"&lt;"&amp;$G750)+1)</f>
        <v/>
      </c>
      <c r="I750">
        <f>IF($H750="","",$A750&amp;"|"&amp;RIGHT("000000"&amp;$H750,6))</f>
        <v/>
      </c>
      <c r="J750">
        <f>IF(OR($B750&lt;&gt;2,$G750=""),"",COUNTIFS(LdAParty,$A750,LdAType,2,LdAKey,"&lt;"&amp;$G750)+1)</f>
        <v/>
      </c>
      <c r="K750">
        <f>IF($J750="","",$A750&amp;"|"&amp;RIGHT("000000"&amp;$J750,6))</f>
        <v/>
      </c>
      <c r="L750">
        <f>IF($A750="","",IF(Wages!$G753="",0,Wages!$G753))</f>
        <v/>
      </c>
      <c r="M750">
        <f>IF($A750="","",Wages!$J753)</f>
        <v/>
      </c>
      <c r="N750">
        <f>IF($A750="","",Wages!$D753)</f>
        <v/>
      </c>
      <c r="P750">
        <f>IF(OR(Shares!$B753="",Shares!$C753=""),"",Shares!$C753)</f>
        <v/>
      </c>
      <c r="Q750">
        <f>IF($P750="","",Shares!$B753)</f>
        <v/>
      </c>
      <c r="R750">
        <f>IF($P750="","",IFERROR(INDEX(WageParty,MATCH($Q750,WageIds,0)),""))</f>
        <v/>
      </c>
      <c r="S750">
        <f>IF($P750="","",IFERROR(INDEX($F$6:$F$2005,MATCH($Q750,WageIds,0)),""))</f>
        <v/>
      </c>
      <c r="T750">
        <f>IF(OR($P750="",$S750="",$S750="نامعتبر"),"",LEFT($S750,4)&amp;MID($S750,6,2)&amp;RIGHT($S750,2)&amp;"0000"&amp;"|"&amp;"2"&amp;RIGHT("00000"&amp;745,5))</f>
        <v/>
      </c>
      <c r="U750">
        <f>IF($T750="","",COUNTIFS(LdAParty,$P750,LdAType,1,LdAKey,"&lt;"&amp;$T750)+COUNTIFS(LdBMember,$P750,LdBKey,"&lt;"&amp;$T750)+COUNTIFS(LdCParty,$P750,LdCKey,"&lt;"&amp;$T750)+1)</f>
        <v/>
      </c>
      <c r="V750">
        <f>IF($U750="","",$P750&amp;"|"&amp;RIGHT("000000"&amp;$U750,6))</f>
        <v/>
      </c>
      <c r="W750">
        <f>IF($T750="","",COUNTIFS(LdBGroup,$R750,LdBKey,"&lt;"&amp;$T750)+1)</f>
        <v/>
      </c>
      <c r="X750">
        <f>IF($W750="","",$R750&amp;"|"&amp;RIGHT("000000"&amp;$W750,6))</f>
        <v/>
      </c>
      <c r="Y750">
        <f>IF($P750="","",IF(Shares!$E753="",0,Shares!$E753))</f>
        <v/>
      </c>
      <c r="Z750">
        <f>IF($P750="","",Shares!$H753)</f>
        <v/>
      </c>
      <c r="AE750">
        <f>IF(OR(Sync!$S750="",Sync!$P750=""),"",Sync!$S750)</f>
        <v/>
      </c>
      <c r="AF750">
        <f>IF($AE750="","",IF(ISNUMBER(Sync!$P750),IF(AND(Sync!$P750&gt;=10000101,Sync!$P750&lt;=99991231),INT(Sync!$P750/10000),""),IFERROR(VALUE(TRIM(LEFT(Sync!$P750,FIND("/",Sync!$P750)-1))),"")))</f>
        <v/>
      </c>
      <c r="AG750">
        <f>IF(OR($AE750="",$AF750=""),"",IF(ISNUMBER(Sync!$P750),INT(MOD(Sync!$P750,10000)/100),IFERROR(VALUE(TRIM(LEFT(MID(Sync!$P750,FIND("/",Sync!$P750)+1,20),FIND("/",MID(Sync!$P750,FIND("/",Sync!$P750)+1,20))-1))),"")))</f>
        <v/>
      </c>
      <c r="AH750">
        <f>IF(OR($AE750="",$AF750=""),"",IF(ISNUMBER(Sync!$P750),MOD(Sync!$P750,100),IFERROR(VALUE(TRIM(MID(MID(Sync!$P750,FIND("/",Sync!$P750)+1,20),FIND("/",MID(Sync!$P750,FIND("/",Sync!$P750)+1,20))+1,20))),"")))</f>
        <v/>
      </c>
      <c r="AI750">
        <f>IF($AE750="","",IF(OR($AF750="",$AG750="",$AH750="",$AF750&lt;1300,$AF750&gt;1500,$AG750&lt;1,$AG750&gt;12,$AH750&lt;1,$AH750&gt;31),"نامعتبر",RIGHT("0000"&amp;$AF750,4)&amp;"/"&amp;RIGHT("00"&amp;$AG750,2)&amp;"/"&amp;RIGHT("00"&amp;$AH750,2)))</f>
        <v/>
      </c>
      <c r="AJ750">
        <f>IF($AE750="","",IF(Sync!$Q750="","0000",IF(AND(ISNUMBER(Sync!$Q750),Sync!$Q750&gt;=0,Sync!$Q750&lt;1),RIGHT("00"&amp;HOUR(Sync!$Q750),2)&amp;RIGHT("00"&amp;MINUTE(Sync!$Q750),2),IFERROR(RIGHT("00"&amp;VALUE(LEFT(Sync!$Q750,FIND(":",Sync!$Q750)-1)),2)&amp;RIGHT("00"&amp;VALUE(MID(Sync!$Q750,FIND(":",Sync!$Q750)+1,2)),2),"0000"))))</f>
        <v/>
      </c>
      <c r="AK750">
        <f>IF(OR($AE750="",$AI750="",$AI750="نامعتبر"),"",LEFT($AI750,4)&amp;MID($AI750,6,2)&amp;RIGHT($AI750,2)&amp;$AJ750&amp;"|"&amp;"3"&amp;RIGHT("00000"&amp;745,5))</f>
        <v/>
      </c>
      <c r="AL750">
        <f>IF($AK750="","",COUNTIFS(LdAParty,$AE750,LdAType,1,LdAKey,"&lt;"&amp;$AK750)+COUNTIFS(LdBMember,$AE750,LdBKey,"&lt;"&amp;$AK750)+COUNTIFS(LdCParty,$AE750,LdCKey,"&lt;"&amp;$AK750)+1)</f>
        <v/>
      </c>
      <c r="AM750">
        <f>IF($AL750="","",$AE750&amp;"|"&amp;RIGHT("000000"&amp;$AL750,6))</f>
        <v/>
      </c>
      <c r="AN750">
        <f>IF($AE750="","",IF(Sync!$W750="",0,Sync!$W750))</f>
        <v/>
      </c>
      <c r="AO750">
        <f>IF($AE750="","",IF(Sync!$X750="",0,Sync!$X750))</f>
        <v/>
      </c>
      <c r="AP750">
        <f>IF($AE750="","",Sync!$R750)</f>
        <v/>
      </c>
      <c r="AQ750">
        <f>IF($AE750="","",Sync!$Y750)</f>
        <v/>
      </c>
    </row>
    <row r="751">
      <c r="A751">
        <f>IF(OR(Wages!$B754="",Wages!$E754=""),"",Wages!$E754)</f>
        <v/>
      </c>
      <c r="B751">
        <f>IF($A751="","",IF(Wages!$C754="دستمزد گروهی",2,1))</f>
        <v/>
      </c>
      <c r="C751">
        <f>IF($A751="","",IF(ISNUMBER(Wages!$B754),IF(AND(Wages!$B754&gt;=10000101,Wages!$B754&lt;=99991231),INT(Wages!$B754/10000),""),IFERROR(VALUE(TRIM(LEFT(Wages!$B754,FIND("/",Wages!$B754)-1))),"")))</f>
        <v/>
      </c>
      <c r="D751">
        <f>IF(OR($A751="",$C751=""),"",IF(ISNUMBER(Wages!$B754),INT(MOD(Wages!$B754,10000)/100),IFERROR(VALUE(TRIM(LEFT(MID(Wages!$B754,FIND("/",Wages!$B754)+1,20),FIND("/",MID(Wages!$B754,FIND("/",Wages!$B754)+1,20))-1))),"")))</f>
        <v/>
      </c>
      <c r="E751">
        <f>IF(OR($A751="",$C751=""),"",IF(ISNUMBER(Wages!$B754),MOD(Wages!$B754,100),IFERROR(VALUE(TRIM(MID(MID(Wages!$B754,FIND("/",Wages!$B754)+1,20),FIND("/",MID(Wages!$B754,FIND("/",Wages!$B754)+1,20))+1,20))),"")))</f>
        <v/>
      </c>
      <c r="F751">
        <f>IF($A751="","",IF(OR($C751="",$D751="",$E751="",$C751&lt;1300,$C751&gt;1500,$D751&lt;1,$D751&gt;12,$E751&lt;1,$E751&gt;31),"نامعتبر",RIGHT("0000"&amp;$C751,4)&amp;"/"&amp;RIGHT("00"&amp;$D751,2)&amp;"/"&amp;RIGHT("00"&amp;$E751,2)))</f>
        <v/>
      </c>
      <c r="G751">
        <f>IF(OR($A751="",$F751="",$F751="نامعتبر"),"",LEFT($F751,4)&amp;MID($F751,6,2)&amp;RIGHT($F751,2)&amp;"0000"&amp;"|"&amp;"1"&amp;RIGHT("00000"&amp;746,5))</f>
        <v/>
      </c>
      <c r="H751">
        <f>IF(OR($B751&lt;&gt;1,$G751=""),"",COUNTIFS(LdAParty,$A751,LdAType,1,LdAKey,"&lt;"&amp;$G751)+COUNTIFS(LdBMember,$A751,LdBKey,"&lt;"&amp;$G751)+COUNTIFS(LdCParty,$A751,LdCKey,"&lt;"&amp;$G751)+1)</f>
        <v/>
      </c>
      <c r="I751">
        <f>IF($H751="","",$A751&amp;"|"&amp;RIGHT("000000"&amp;$H751,6))</f>
        <v/>
      </c>
      <c r="J751">
        <f>IF(OR($B751&lt;&gt;2,$G751=""),"",COUNTIFS(LdAParty,$A751,LdAType,2,LdAKey,"&lt;"&amp;$G751)+1)</f>
        <v/>
      </c>
      <c r="K751">
        <f>IF($J751="","",$A751&amp;"|"&amp;RIGHT("000000"&amp;$J751,6))</f>
        <v/>
      </c>
      <c r="L751">
        <f>IF($A751="","",IF(Wages!$G754="",0,Wages!$G754))</f>
        <v/>
      </c>
      <c r="M751">
        <f>IF($A751="","",Wages!$J754)</f>
        <v/>
      </c>
      <c r="N751">
        <f>IF($A751="","",Wages!$D754)</f>
        <v/>
      </c>
      <c r="P751">
        <f>IF(OR(Shares!$B754="",Shares!$C754=""),"",Shares!$C754)</f>
        <v/>
      </c>
      <c r="Q751">
        <f>IF($P751="","",Shares!$B754)</f>
        <v/>
      </c>
      <c r="R751">
        <f>IF($P751="","",IFERROR(INDEX(WageParty,MATCH($Q751,WageIds,0)),""))</f>
        <v/>
      </c>
      <c r="S751">
        <f>IF($P751="","",IFERROR(INDEX($F$6:$F$2005,MATCH($Q751,WageIds,0)),""))</f>
        <v/>
      </c>
      <c r="T751">
        <f>IF(OR($P751="",$S751="",$S751="نامعتبر"),"",LEFT($S751,4)&amp;MID($S751,6,2)&amp;RIGHT($S751,2)&amp;"0000"&amp;"|"&amp;"2"&amp;RIGHT("00000"&amp;746,5))</f>
        <v/>
      </c>
      <c r="U751">
        <f>IF($T751="","",COUNTIFS(LdAParty,$P751,LdAType,1,LdAKey,"&lt;"&amp;$T751)+COUNTIFS(LdBMember,$P751,LdBKey,"&lt;"&amp;$T751)+COUNTIFS(LdCParty,$P751,LdCKey,"&lt;"&amp;$T751)+1)</f>
        <v/>
      </c>
      <c r="V751">
        <f>IF($U751="","",$P751&amp;"|"&amp;RIGHT("000000"&amp;$U751,6))</f>
        <v/>
      </c>
      <c r="W751">
        <f>IF($T751="","",COUNTIFS(LdBGroup,$R751,LdBKey,"&lt;"&amp;$T751)+1)</f>
        <v/>
      </c>
      <c r="X751">
        <f>IF($W751="","",$R751&amp;"|"&amp;RIGHT("000000"&amp;$W751,6))</f>
        <v/>
      </c>
      <c r="Y751">
        <f>IF($P751="","",IF(Shares!$E754="",0,Shares!$E754))</f>
        <v/>
      </c>
      <c r="Z751">
        <f>IF($P751="","",Shares!$H754)</f>
        <v/>
      </c>
      <c r="AE751">
        <f>IF(OR(Sync!$S751="",Sync!$P751=""),"",Sync!$S751)</f>
        <v/>
      </c>
      <c r="AF751">
        <f>IF($AE751="","",IF(ISNUMBER(Sync!$P751),IF(AND(Sync!$P751&gt;=10000101,Sync!$P751&lt;=99991231),INT(Sync!$P751/10000),""),IFERROR(VALUE(TRIM(LEFT(Sync!$P751,FIND("/",Sync!$P751)-1))),"")))</f>
        <v/>
      </c>
      <c r="AG751">
        <f>IF(OR($AE751="",$AF751=""),"",IF(ISNUMBER(Sync!$P751),INT(MOD(Sync!$P751,10000)/100),IFERROR(VALUE(TRIM(LEFT(MID(Sync!$P751,FIND("/",Sync!$P751)+1,20),FIND("/",MID(Sync!$P751,FIND("/",Sync!$P751)+1,20))-1))),"")))</f>
        <v/>
      </c>
      <c r="AH751">
        <f>IF(OR($AE751="",$AF751=""),"",IF(ISNUMBER(Sync!$P751),MOD(Sync!$P751,100),IFERROR(VALUE(TRIM(MID(MID(Sync!$P751,FIND("/",Sync!$P751)+1,20),FIND("/",MID(Sync!$P751,FIND("/",Sync!$P751)+1,20))+1,20))),"")))</f>
        <v/>
      </c>
      <c r="AI751">
        <f>IF($AE751="","",IF(OR($AF751="",$AG751="",$AH751="",$AF751&lt;1300,$AF751&gt;1500,$AG751&lt;1,$AG751&gt;12,$AH751&lt;1,$AH751&gt;31),"نامعتبر",RIGHT("0000"&amp;$AF751,4)&amp;"/"&amp;RIGHT("00"&amp;$AG751,2)&amp;"/"&amp;RIGHT("00"&amp;$AH751,2)))</f>
        <v/>
      </c>
      <c r="AJ751">
        <f>IF($AE751="","",IF(Sync!$Q751="","0000",IF(AND(ISNUMBER(Sync!$Q751),Sync!$Q751&gt;=0,Sync!$Q751&lt;1),RIGHT("00"&amp;HOUR(Sync!$Q751),2)&amp;RIGHT("00"&amp;MINUTE(Sync!$Q751),2),IFERROR(RIGHT("00"&amp;VALUE(LEFT(Sync!$Q751,FIND(":",Sync!$Q751)-1)),2)&amp;RIGHT("00"&amp;VALUE(MID(Sync!$Q751,FIND(":",Sync!$Q751)+1,2)),2),"0000"))))</f>
        <v/>
      </c>
      <c r="AK751">
        <f>IF(OR($AE751="",$AI751="",$AI751="نامعتبر"),"",LEFT($AI751,4)&amp;MID($AI751,6,2)&amp;RIGHT($AI751,2)&amp;$AJ751&amp;"|"&amp;"3"&amp;RIGHT("00000"&amp;746,5))</f>
        <v/>
      </c>
      <c r="AL751">
        <f>IF($AK751="","",COUNTIFS(LdAParty,$AE751,LdAType,1,LdAKey,"&lt;"&amp;$AK751)+COUNTIFS(LdBMember,$AE751,LdBKey,"&lt;"&amp;$AK751)+COUNTIFS(LdCParty,$AE751,LdCKey,"&lt;"&amp;$AK751)+1)</f>
        <v/>
      </c>
      <c r="AM751">
        <f>IF($AL751="","",$AE751&amp;"|"&amp;RIGHT("000000"&amp;$AL751,6))</f>
        <v/>
      </c>
      <c r="AN751">
        <f>IF($AE751="","",IF(Sync!$W751="",0,Sync!$W751))</f>
        <v/>
      </c>
      <c r="AO751">
        <f>IF($AE751="","",IF(Sync!$X751="",0,Sync!$X751))</f>
        <v/>
      </c>
      <c r="AP751">
        <f>IF($AE751="","",Sync!$R751)</f>
        <v/>
      </c>
      <c r="AQ751">
        <f>IF($AE751="","",Sync!$Y751)</f>
        <v/>
      </c>
    </row>
    <row r="752">
      <c r="A752">
        <f>IF(OR(Wages!$B755="",Wages!$E755=""),"",Wages!$E755)</f>
        <v/>
      </c>
      <c r="B752">
        <f>IF($A752="","",IF(Wages!$C755="دستمزد گروهی",2,1))</f>
        <v/>
      </c>
      <c r="C752">
        <f>IF($A752="","",IF(ISNUMBER(Wages!$B755),IF(AND(Wages!$B755&gt;=10000101,Wages!$B755&lt;=99991231),INT(Wages!$B755/10000),""),IFERROR(VALUE(TRIM(LEFT(Wages!$B755,FIND("/",Wages!$B755)-1))),"")))</f>
        <v/>
      </c>
      <c r="D752">
        <f>IF(OR($A752="",$C752=""),"",IF(ISNUMBER(Wages!$B755),INT(MOD(Wages!$B755,10000)/100),IFERROR(VALUE(TRIM(LEFT(MID(Wages!$B755,FIND("/",Wages!$B755)+1,20),FIND("/",MID(Wages!$B755,FIND("/",Wages!$B755)+1,20))-1))),"")))</f>
        <v/>
      </c>
      <c r="E752">
        <f>IF(OR($A752="",$C752=""),"",IF(ISNUMBER(Wages!$B755),MOD(Wages!$B755,100),IFERROR(VALUE(TRIM(MID(MID(Wages!$B755,FIND("/",Wages!$B755)+1,20),FIND("/",MID(Wages!$B755,FIND("/",Wages!$B755)+1,20))+1,20))),"")))</f>
        <v/>
      </c>
      <c r="F752">
        <f>IF($A752="","",IF(OR($C752="",$D752="",$E752="",$C752&lt;1300,$C752&gt;1500,$D752&lt;1,$D752&gt;12,$E752&lt;1,$E752&gt;31),"نامعتبر",RIGHT("0000"&amp;$C752,4)&amp;"/"&amp;RIGHT("00"&amp;$D752,2)&amp;"/"&amp;RIGHT("00"&amp;$E752,2)))</f>
        <v/>
      </c>
      <c r="G752">
        <f>IF(OR($A752="",$F752="",$F752="نامعتبر"),"",LEFT($F752,4)&amp;MID($F752,6,2)&amp;RIGHT($F752,2)&amp;"0000"&amp;"|"&amp;"1"&amp;RIGHT("00000"&amp;747,5))</f>
        <v/>
      </c>
      <c r="H752">
        <f>IF(OR($B752&lt;&gt;1,$G752=""),"",COUNTIFS(LdAParty,$A752,LdAType,1,LdAKey,"&lt;"&amp;$G752)+COUNTIFS(LdBMember,$A752,LdBKey,"&lt;"&amp;$G752)+COUNTIFS(LdCParty,$A752,LdCKey,"&lt;"&amp;$G752)+1)</f>
        <v/>
      </c>
      <c r="I752">
        <f>IF($H752="","",$A752&amp;"|"&amp;RIGHT("000000"&amp;$H752,6))</f>
        <v/>
      </c>
      <c r="J752">
        <f>IF(OR($B752&lt;&gt;2,$G752=""),"",COUNTIFS(LdAParty,$A752,LdAType,2,LdAKey,"&lt;"&amp;$G752)+1)</f>
        <v/>
      </c>
      <c r="K752">
        <f>IF($J752="","",$A752&amp;"|"&amp;RIGHT("000000"&amp;$J752,6))</f>
        <v/>
      </c>
      <c r="L752">
        <f>IF($A752="","",IF(Wages!$G755="",0,Wages!$G755))</f>
        <v/>
      </c>
      <c r="M752">
        <f>IF($A752="","",Wages!$J755)</f>
        <v/>
      </c>
      <c r="N752">
        <f>IF($A752="","",Wages!$D755)</f>
        <v/>
      </c>
      <c r="P752">
        <f>IF(OR(Shares!$B755="",Shares!$C755=""),"",Shares!$C755)</f>
        <v/>
      </c>
      <c r="Q752">
        <f>IF($P752="","",Shares!$B755)</f>
        <v/>
      </c>
      <c r="R752">
        <f>IF($P752="","",IFERROR(INDEX(WageParty,MATCH($Q752,WageIds,0)),""))</f>
        <v/>
      </c>
      <c r="S752">
        <f>IF($P752="","",IFERROR(INDEX($F$6:$F$2005,MATCH($Q752,WageIds,0)),""))</f>
        <v/>
      </c>
      <c r="T752">
        <f>IF(OR($P752="",$S752="",$S752="نامعتبر"),"",LEFT($S752,4)&amp;MID($S752,6,2)&amp;RIGHT($S752,2)&amp;"0000"&amp;"|"&amp;"2"&amp;RIGHT("00000"&amp;747,5))</f>
        <v/>
      </c>
      <c r="U752">
        <f>IF($T752="","",COUNTIFS(LdAParty,$P752,LdAType,1,LdAKey,"&lt;"&amp;$T752)+COUNTIFS(LdBMember,$P752,LdBKey,"&lt;"&amp;$T752)+COUNTIFS(LdCParty,$P752,LdCKey,"&lt;"&amp;$T752)+1)</f>
        <v/>
      </c>
      <c r="V752">
        <f>IF($U752="","",$P752&amp;"|"&amp;RIGHT("000000"&amp;$U752,6))</f>
        <v/>
      </c>
      <c r="W752">
        <f>IF($T752="","",COUNTIFS(LdBGroup,$R752,LdBKey,"&lt;"&amp;$T752)+1)</f>
        <v/>
      </c>
      <c r="X752">
        <f>IF($W752="","",$R752&amp;"|"&amp;RIGHT("000000"&amp;$W752,6))</f>
        <v/>
      </c>
      <c r="Y752">
        <f>IF($P752="","",IF(Shares!$E755="",0,Shares!$E755))</f>
        <v/>
      </c>
      <c r="Z752">
        <f>IF($P752="","",Shares!$H755)</f>
        <v/>
      </c>
      <c r="AE752">
        <f>IF(OR(Sync!$S752="",Sync!$P752=""),"",Sync!$S752)</f>
        <v/>
      </c>
      <c r="AF752">
        <f>IF($AE752="","",IF(ISNUMBER(Sync!$P752),IF(AND(Sync!$P752&gt;=10000101,Sync!$P752&lt;=99991231),INT(Sync!$P752/10000),""),IFERROR(VALUE(TRIM(LEFT(Sync!$P752,FIND("/",Sync!$P752)-1))),"")))</f>
        <v/>
      </c>
      <c r="AG752">
        <f>IF(OR($AE752="",$AF752=""),"",IF(ISNUMBER(Sync!$P752),INT(MOD(Sync!$P752,10000)/100),IFERROR(VALUE(TRIM(LEFT(MID(Sync!$P752,FIND("/",Sync!$P752)+1,20),FIND("/",MID(Sync!$P752,FIND("/",Sync!$P752)+1,20))-1))),"")))</f>
        <v/>
      </c>
      <c r="AH752">
        <f>IF(OR($AE752="",$AF752=""),"",IF(ISNUMBER(Sync!$P752),MOD(Sync!$P752,100),IFERROR(VALUE(TRIM(MID(MID(Sync!$P752,FIND("/",Sync!$P752)+1,20),FIND("/",MID(Sync!$P752,FIND("/",Sync!$P752)+1,20))+1,20))),"")))</f>
        <v/>
      </c>
      <c r="AI752">
        <f>IF($AE752="","",IF(OR($AF752="",$AG752="",$AH752="",$AF752&lt;1300,$AF752&gt;1500,$AG752&lt;1,$AG752&gt;12,$AH752&lt;1,$AH752&gt;31),"نامعتبر",RIGHT("0000"&amp;$AF752,4)&amp;"/"&amp;RIGHT("00"&amp;$AG752,2)&amp;"/"&amp;RIGHT("00"&amp;$AH752,2)))</f>
        <v/>
      </c>
      <c r="AJ752">
        <f>IF($AE752="","",IF(Sync!$Q752="","0000",IF(AND(ISNUMBER(Sync!$Q752),Sync!$Q752&gt;=0,Sync!$Q752&lt;1),RIGHT("00"&amp;HOUR(Sync!$Q752),2)&amp;RIGHT("00"&amp;MINUTE(Sync!$Q752),2),IFERROR(RIGHT("00"&amp;VALUE(LEFT(Sync!$Q752,FIND(":",Sync!$Q752)-1)),2)&amp;RIGHT("00"&amp;VALUE(MID(Sync!$Q752,FIND(":",Sync!$Q752)+1,2)),2),"0000"))))</f>
        <v/>
      </c>
      <c r="AK752">
        <f>IF(OR($AE752="",$AI752="",$AI752="نامعتبر"),"",LEFT($AI752,4)&amp;MID($AI752,6,2)&amp;RIGHT($AI752,2)&amp;$AJ752&amp;"|"&amp;"3"&amp;RIGHT("00000"&amp;747,5))</f>
        <v/>
      </c>
      <c r="AL752">
        <f>IF($AK752="","",COUNTIFS(LdAParty,$AE752,LdAType,1,LdAKey,"&lt;"&amp;$AK752)+COUNTIFS(LdBMember,$AE752,LdBKey,"&lt;"&amp;$AK752)+COUNTIFS(LdCParty,$AE752,LdCKey,"&lt;"&amp;$AK752)+1)</f>
        <v/>
      </c>
      <c r="AM752">
        <f>IF($AL752="","",$AE752&amp;"|"&amp;RIGHT("000000"&amp;$AL752,6))</f>
        <v/>
      </c>
      <c r="AN752">
        <f>IF($AE752="","",IF(Sync!$W752="",0,Sync!$W752))</f>
        <v/>
      </c>
      <c r="AO752">
        <f>IF($AE752="","",IF(Sync!$X752="",0,Sync!$X752))</f>
        <v/>
      </c>
      <c r="AP752">
        <f>IF($AE752="","",Sync!$R752)</f>
        <v/>
      </c>
      <c r="AQ752">
        <f>IF($AE752="","",Sync!$Y752)</f>
        <v/>
      </c>
    </row>
    <row r="753">
      <c r="A753">
        <f>IF(OR(Wages!$B756="",Wages!$E756=""),"",Wages!$E756)</f>
        <v/>
      </c>
      <c r="B753">
        <f>IF($A753="","",IF(Wages!$C756="دستمزد گروهی",2,1))</f>
        <v/>
      </c>
      <c r="C753">
        <f>IF($A753="","",IF(ISNUMBER(Wages!$B756),IF(AND(Wages!$B756&gt;=10000101,Wages!$B756&lt;=99991231),INT(Wages!$B756/10000),""),IFERROR(VALUE(TRIM(LEFT(Wages!$B756,FIND("/",Wages!$B756)-1))),"")))</f>
        <v/>
      </c>
      <c r="D753">
        <f>IF(OR($A753="",$C753=""),"",IF(ISNUMBER(Wages!$B756),INT(MOD(Wages!$B756,10000)/100),IFERROR(VALUE(TRIM(LEFT(MID(Wages!$B756,FIND("/",Wages!$B756)+1,20),FIND("/",MID(Wages!$B756,FIND("/",Wages!$B756)+1,20))-1))),"")))</f>
        <v/>
      </c>
      <c r="E753">
        <f>IF(OR($A753="",$C753=""),"",IF(ISNUMBER(Wages!$B756),MOD(Wages!$B756,100),IFERROR(VALUE(TRIM(MID(MID(Wages!$B756,FIND("/",Wages!$B756)+1,20),FIND("/",MID(Wages!$B756,FIND("/",Wages!$B756)+1,20))+1,20))),"")))</f>
        <v/>
      </c>
      <c r="F753">
        <f>IF($A753="","",IF(OR($C753="",$D753="",$E753="",$C753&lt;1300,$C753&gt;1500,$D753&lt;1,$D753&gt;12,$E753&lt;1,$E753&gt;31),"نامعتبر",RIGHT("0000"&amp;$C753,4)&amp;"/"&amp;RIGHT("00"&amp;$D753,2)&amp;"/"&amp;RIGHT("00"&amp;$E753,2)))</f>
        <v/>
      </c>
      <c r="G753">
        <f>IF(OR($A753="",$F753="",$F753="نامعتبر"),"",LEFT($F753,4)&amp;MID($F753,6,2)&amp;RIGHT($F753,2)&amp;"0000"&amp;"|"&amp;"1"&amp;RIGHT("00000"&amp;748,5))</f>
        <v/>
      </c>
      <c r="H753">
        <f>IF(OR($B753&lt;&gt;1,$G753=""),"",COUNTIFS(LdAParty,$A753,LdAType,1,LdAKey,"&lt;"&amp;$G753)+COUNTIFS(LdBMember,$A753,LdBKey,"&lt;"&amp;$G753)+COUNTIFS(LdCParty,$A753,LdCKey,"&lt;"&amp;$G753)+1)</f>
        <v/>
      </c>
      <c r="I753">
        <f>IF($H753="","",$A753&amp;"|"&amp;RIGHT("000000"&amp;$H753,6))</f>
        <v/>
      </c>
      <c r="J753">
        <f>IF(OR($B753&lt;&gt;2,$G753=""),"",COUNTIFS(LdAParty,$A753,LdAType,2,LdAKey,"&lt;"&amp;$G753)+1)</f>
        <v/>
      </c>
      <c r="K753">
        <f>IF($J753="","",$A753&amp;"|"&amp;RIGHT("000000"&amp;$J753,6))</f>
        <v/>
      </c>
      <c r="L753">
        <f>IF($A753="","",IF(Wages!$G756="",0,Wages!$G756))</f>
        <v/>
      </c>
      <c r="M753">
        <f>IF($A753="","",Wages!$J756)</f>
        <v/>
      </c>
      <c r="N753">
        <f>IF($A753="","",Wages!$D756)</f>
        <v/>
      </c>
      <c r="P753">
        <f>IF(OR(Shares!$B756="",Shares!$C756=""),"",Shares!$C756)</f>
        <v/>
      </c>
      <c r="Q753">
        <f>IF($P753="","",Shares!$B756)</f>
        <v/>
      </c>
      <c r="R753">
        <f>IF($P753="","",IFERROR(INDEX(WageParty,MATCH($Q753,WageIds,0)),""))</f>
        <v/>
      </c>
      <c r="S753">
        <f>IF($P753="","",IFERROR(INDEX($F$6:$F$2005,MATCH($Q753,WageIds,0)),""))</f>
        <v/>
      </c>
      <c r="T753">
        <f>IF(OR($P753="",$S753="",$S753="نامعتبر"),"",LEFT($S753,4)&amp;MID($S753,6,2)&amp;RIGHT($S753,2)&amp;"0000"&amp;"|"&amp;"2"&amp;RIGHT("00000"&amp;748,5))</f>
        <v/>
      </c>
      <c r="U753">
        <f>IF($T753="","",COUNTIFS(LdAParty,$P753,LdAType,1,LdAKey,"&lt;"&amp;$T753)+COUNTIFS(LdBMember,$P753,LdBKey,"&lt;"&amp;$T753)+COUNTIFS(LdCParty,$P753,LdCKey,"&lt;"&amp;$T753)+1)</f>
        <v/>
      </c>
      <c r="V753">
        <f>IF($U753="","",$P753&amp;"|"&amp;RIGHT("000000"&amp;$U753,6))</f>
        <v/>
      </c>
      <c r="W753">
        <f>IF($T753="","",COUNTIFS(LdBGroup,$R753,LdBKey,"&lt;"&amp;$T753)+1)</f>
        <v/>
      </c>
      <c r="X753">
        <f>IF($W753="","",$R753&amp;"|"&amp;RIGHT("000000"&amp;$W753,6))</f>
        <v/>
      </c>
      <c r="Y753">
        <f>IF($P753="","",IF(Shares!$E756="",0,Shares!$E756))</f>
        <v/>
      </c>
      <c r="Z753">
        <f>IF($P753="","",Shares!$H756)</f>
        <v/>
      </c>
      <c r="AE753">
        <f>IF(OR(Sync!$S753="",Sync!$P753=""),"",Sync!$S753)</f>
        <v/>
      </c>
      <c r="AF753">
        <f>IF($AE753="","",IF(ISNUMBER(Sync!$P753),IF(AND(Sync!$P753&gt;=10000101,Sync!$P753&lt;=99991231),INT(Sync!$P753/10000),""),IFERROR(VALUE(TRIM(LEFT(Sync!$P753,FIND("/",Sync!$P753)-1))),"")))</f>
        <v/>
      </c>
      <c r="AG753">
        <f>IF(OR($AE753="",$AF753=""),"",IF(ISNUMBER(Sync!$P753),INT(MOD(Sync!$P753,10000)/100),IFERROR(VALUE(TRIM(LEFT(MID(Sync!$P753,FIND("/",Sync!$P753)+1,20),FIND("/",MID(Sync!$P753,FIND("/",Sync!$P753)+1,20))-1))),"")))</f>
        <v/>
      </c>
      <c r="AH753">
        <f>IF(OR($AE753="",$AF753=""),"",IF(ISNUMBER(Sync!$P753),MOD(Sync!$P753,100),IFERROR(VALUE(TRIM(MID(MID(Sync!$P753,FIND("/",Sync!$P753)+1,20),FIND("/",MID(Sync!$P753,FIND("/",Sync!$P753)+1,20))+1,20))),"")))</f>
        <v/>
      </c>
      <c r="AI753">
        <f>IF($AE753="","",IF(OR($AF753="",$AG753="",$AH753="",$AF753&lt;1300,$AF753&gt;1500,$AG753&lt;1,$AG753&gt;12,$AH753&lt;1,$AH753&gt;31),"نامعتبر",RIGHT("0000"&amp;$AF753,4)&amp;"/"&amp;RIGHT("00"&amp;$AG753,2)&amp;"/"&amp;RIGHT("00"&amp;$AH753,2)))</f>
        <v/>
      </c>
      <c r="AJ753">
        <f>IF($AE753="","",IF(Sync!$Q753="","0000",IF(AND(ISNUMBER(Sync!$Q753),Sync!$Q753&gt;=0,Sync!$Q753&lt;1),RIGHT("00"&amp;HOUR(Sync!$Q753),2)&amp;RIGHT("00"&amp;MINUTE(Sync!$Q753),2),IFERROR(RIGHT("00"&amp;VALUE(LEFT(Sync!$Q753,FIND(":",Sync!$Q753)-1)),2)&amp;RIGHT("00"&amp;VALUE(MID(Sync!$Q753,FIND(":",Sync!$Q753)+1,2)),2),"0000"))))</f>
        <v/>
      </c>
      <c r="AK753">
        <f>IF(OR($AE753="",$AI753="",$AI753="نامعتبر"),"",LEFT($AI753,4)&amp;MID($AI753,6,2)&amp;RIGHT($AI753,2)&amp;$AJ753&amp;"|"&amp;"3"&amp;RIGHT("00000"&amp;748,5))</f>
        <v/>
      </c>
      <c r="AL753">
        <f>IF($AK753="","",COUNTIFS(LdAParty,$AE753,LdAType,1,LdAKey,"&lt;"&amp;$AK753)+COUNTIFS(LdBMember,$AE753,LdBKey,"&lt;"&amp;$AK753)+COUNTIFS(LdCParty,$AE753,LdCKey,"&lt;"&amp;$AK753)+1)</f>
        <v/>
      </c>
      <c r="AM753">
        <f>IF($AL753="","",$AE753&amp;"|"&amp;RIGHT("000000"&amp;$AL753,6))</f>
        <v/>
      </c>
      <c r="AN753">
        <f>IF($AE753="","",IF(Sync!$W753="",0,Sync!$W753))</f>
        <v/>
      </c>
      <c r="AO753">
        <f>IF($AE753="","",IF(Sync!$X753="",0,Sync!$X753))</f>
        <v/>
      </c>
      <c r="AP753">
        <f>IF($AE753="","",Sync!$R753)</f>
        <v/>
      </c>
      <c r="AQ753">
        <f>IF($AE753="","",Sync!$Y753)</f>
        <v/>
      </c>
    </row>
    <row r="754">
      <c r="A754">
        <f>IF(OR(Wages!$B757="",Wages!$E757=""),"",Wages!$E757)</f>
        <v/>
      </c>
      <c r="B754">
        <f>IF($A754="","",IF(Wages!$C757="دستمزد گروهی",2,1))</f>
        <v/>
      </c>
      <c r="C754">
        <f>IF($A754="","",IF(ISNUMBER(Wages!$B757),IF(AND(Wages!$B757&gt;=10000101,Wages!$B757&lt;=99991231),INT(Wages!$B757/10000),""),IFERROR(VALUE(TRIM(LEFT(Wages!$B757,FIND("/",Wages!$B757)-1))),"")))</f>
        <v/>
      </c>
      <c r="D754">
        <f>IF(OR($A754="",$C754=""),"",IF(ISNUMBER(Wages!$B757),INT(MOD(Wages!$B757,10000)/100),IFERROR(VALUE(TRIM(LEFT(MID(Wages!$B757,FIND("/",Wages!$B757)+1,20),FIND("/",MID(Wages!$B757,FIND("/",Wages!$B757)+1,20))-1))),"")))</f>
        <v/>
      </c>
      <c r="E754">
        <f>IF(OR($A754="",$C754=""),"",IF(ISNUMBER(Wages!$B757),MOD(Wages!$B757,100),IFERROR(VALUE(TRIM(MID(MID(Wages!$B757,FIND("/",Wages!$B757)+1,20),FIND("/",MID(Wages!$B757,FIND("/",Wages!$B757)+1,20))+1,20))),"")))</f>
        <v/>
      </c>
      <c r="F754">
        <f>IF($A754="","",IF(OR($C754="",$D754="",$E754="",$C754&lt;1300,$C754&gt;1500,$D754&lt;1,$D754&gt;12,$E754&lt;1,$E754&gt;31),"نامعتبر",RIGHT("0000"&amp;$C754,4)&amp;"/"&amp;RIGHT("00"&amp;$D754,2)&amp;"/"&amp;RIGHT("00"&amp;$E754,2)))</f>
        <v/>
      </c>
      <c r="G754">
        <f>IF(OR($A754="",$F754="",$F754="نامعتبر"),"",LEFT($F754,4)&amp;MID($F754,6,2)&amp;RIGHT($F754,2)&amp;"0000"&amp;"|"&amp;"1"&amp;RIGHT("00000"&amp;749,5))</f>
        <v/>
      </c>
      <c r="H754">
        <f>IF(OR($B754&lt;&gt;1,$G754=""),"",COUNTIFS(LdAParty,$A754,LdAType,1,LdAKey,"&lt;"&amp;$G754)+COUNTIFS(LdBMember,$A754,LdBKey,"&lt;"&amp;$G754)+COUNTIFS(LdCParty,$A754,LdCKey,"&lt;"&amp;$G754)+1)</f>
        <v/>
      </c>
      <c r="I754">
        <f>IF($H754="","",$A754&amp;"|"&amp;RIGHT("000000"&amp;$H754,6))</f>
        <v/>
      </c>
      <c r="J754">
        <f>IF(OR($B754&lt;&gt;2,$G754=""),"",COUNTIFS(LdAParty,$A754,LdAType,2,LdAKey,"&lt;"&amp;$G754)+1)</f>
        <v/>
      </c>
      <c r="K754">
        <f>IF($J754="","",$A754&amp;"|"&amp;RIGHT("000000"&amp;$J754,6))</f>
        <v/>
      </c>
      <c r="L754">
        <f>IF($A754="","",IF(Wages!$G757="",0,Wages!$G757))</f>
        <v/>
      </c>
      <c r="M754">
        <f>IF($A754="","",Wages!$J757)</f>
        <v/>
      </c>
      <c r="N754">
        <f>IF($A754="","",Wages!$D757)</f>
        <v/>
      </c>
      <c r="P754">
        <f>IF(OR(Shares!$B757="",Shares!$C757=""),"",Shares!$C757)</f>
        <v/>
      </c>
      <c r="Q754">
        <f>IF($P754="","",Shares!$B757)</f>
        <v/>
      </c>
      <c r="R754">
        <f>IF($P754="","",IFERROR(INDEX(WageParty,MATCH($Q754,WageIds,0)),""))</f>
        <v/>
      </c>
      <c r="S754">
        <f>IF($P754="","",IFERROR(INDEX($F$6:$F$2005,MATCH($Q754,WageIds,0)),""))</f>
        <v/>
      </c>
      <c r="T754">
        <f>IF(OR($P754="",$S754="",$S754="نامعتبر"),"",LEFT($S754,4)&amp;MID($S754,6,2)&amp;RIGHT($S754,2)&amp;"0000"&amp;"|"&amp;"2"&amp;RIGHT("00000"&amp;749,5))</f>
        <v/>
      </c>
      <c r="U754">
        <f>IF($T754="","",COUNTIFS(LdAParty,$P754,LdAType,1,LdAKey,"&lt;"&amp;$T754)+COUNTIFS(LdBMember,$P754,LdBKey,"&lt;"&amp;$T754)+COUNTIFS(LdCParty,$P754,LdCKey,"&lt;"&amp;$T754)+1)</f>
        <v/>
      </c>
      <c r="V754">
        <f>IF($U754="","",$P754&amp;"|"&amp;RIGHT("000000"&amp;$U754,6))</f>
        <v/>
      </c>
      <c r="W754">
        <f>IF($T754="","",COUNTIFS(LdBGroup,$R754,LdBKey,"&lt;"&amp;$T754)+1)</f>
        <v/>
      </c>
      <c r="X754">
        <f>IF($W754="","",$R754&amp;"|"&amp;RIGHT("000000"&amp;$W754,6))</f>
        <v/>
      </c>
      <c r="Y754">
        <f>IF($P754="","",IF(Shares!$E757="",0,Shares!$E757))</f>
        <v/>
      </c>
      <c r="Z754">
        <f>IF($P754="","",Shares!$H757)</f>
        <v/>
      </c>
      <c r="AE754">
        <f>IF(OR(Sync!$S754="",Sync!$P754=""),"",Sync!$S754)</f>
        <v/>
      </c>
      <c r="AF754">
        <f>IF($AE754="","",IF(ISNUMBER(Sync!$P754),IF(AND(Sync!$P754&gt;=10000101,Sync!$P754&lt;=99991231),INT(Sync!$P754/10000),""),IFERROR(VALUE(TRIM(LEFT(Sync!$P754,FIND("/",Sync!$P754)-1))),"")))</f>
        <v/>
      </c>
      <c r="AG754">
        <f>IF(OR($AE754="",$AF754=""),"",IF(ISNUMBER(Sync!$P754),INT(MOD(Sync!$P754,10000)/100),IFERROR(VALUE(TRIM(LEFT(MID(Sync!$P754,FIND("/",Sync!$P754)+1,20),FIND("/",MID(Sync!$P754,FIND("/",Sync!$P754)+1,20))-1))),"")))</f>
        <v/>
      </c>
      <c r="AH754">
        <f>IF(OR($AE754="",$AF754=""),"",IF(ISNUMBER(Sync!$P754),MOD(Sync!$P754,100),IFERROR(VALUE(TRIM(MID(MID(Sync!$P754,FIND("/",Sync!$P754)+1,20),FIND("/",MID(Sync!$P754,FIND("/",Sync!$P754)+1,20))+1,20))),"")))</f>
        <v/>
      </c>
      <c r="AI754">
        <f>IF($AE754="","",IF(OR($AF754="",$AG754="",$AH754="",$AF754&lt;1300,$AF754&gt;1500,$AG754&lt;1,$AG754&gt;12,$AH754&lt;1,$AH754&gt;31),"نامعتبر",RIGHT("0000"&amp;$AF754,4)&amp;"/"&amp;RIGHT("00"&amp;$AG754,2)&amp;"/"&amp;RIGHT("00"&amp;$AH754,2)))</f>
        <v/>
      </c>
      <c r="AJ754">
        <f>IF($AE754="","",IF(Sync!$Q754="","0000",IF(AND(ISNUMBER(Sync!$Q754),Sync!$Q754&gt;=0,Sync!$Q754&lt;1),RIGHT("00"&amp;HOUR(Sync!$Q754),2)&amp;RIGHT("00"&amp;MINUTE(Sync!$Q754),2),IFERROR(RIGHT("00"&amp;VALUE(LEFT(Sync!$Q754,FIND(":",Sync!$Q754)-1)),2)&amp;RIGHT("00"&amp;VALUE(MID(Sync!$Q754,FIND(":",Sync!$Q754)+1,2)),2),"0000"))))</f>
        <v/>
      </c>
      <c r="AK754">
        <f>IF(OR($AE754="",$AI754="",$AI754="نامعتبر"),"",LEFT($AI754,4)&amp;MID($AI754,6,2)&amp;RIGHT($AI754,2)&amp;$AJ754&amp;"|"&amp;"3"&amp;RIGHT("00000"&amp;749,5))</f>
        <v/>
      </c>
      <c r="AL754">
        <f>IF($AK754="","",COUNTIFS(LdAParty,$AE754,LdAType,1,LdAKey,"&lt;"&amp;$AK754)+COUNTIFS(LdBMember,$AE754,LdBKey,"&lt;"&amp;$AK754)+COUNTIFS(LdCParty,$AE754,LdCKey,"&lt;"&amp;$AK754)+1)</f>
        <v/>
      </c>
      <c r="AM754">
        <f>IF($AL754="","",$AE754&amp;"|"&amp;RIGHT("000000"&amp;$AL754,6))</f>
        <v/>
      </c>
      <c r="AN754">
        <f>IF($AE754="","",IF(Sync!$W754="",0,Sync!$W754))</f>
        <v/>
      </c>
      <c r="AO754">
        <f>IF($AE754="","",IF(Sync!$X754="",0,Sync!$X754))</f>
        <v/>
      </c>
      <c r="AP754">
        <f>IF($AE754="","",Sync!$R754)</f>
        <v/>
      </c>
      <c r="AQ754">
        <f>IF($AE754="","",Sync!$Y754)</f>
        <v/>
      </c>
    </row>
    <row r="755">
      <c r="A755">
        <f>IF(OR(Wages!$B758="",Wages!$E758=""),"",Wages!$E758)</f>
        <v/>
      </c>
      <c r="B755">
        <f>IF($A755="","",IF(Wages!$C758="دستمزد گروهی",2,1))</f>
        <v/>
      </c>
      <c r="C755">
        <f>IF($A755="","",IF(ISNUMBER(Wages!$B758),IF(AND(Wages!$B758&gt;=10000101,Wages!$B758&lt;=99991231),INT(Wages!$B758/10000),""),IFERROR(VALUE(TRIM(LEFT(Wages!$B758,FIND("/",Wages!$B758)-1))),"")))</f>
        <v/>
      </c>
      <c r="D755">
        <f>IF(OR($A755="",$C755=""),"",IF(ISNUMBER(Wages!$B758),INT(MOD(Wages!$B758,10000)/100),IFERROR(VALUE(TRIM(LEFT(MID(Wages!$B758,FIND("/",Wages!$B758)+1,20),FIND("/",MID(Wages!$B758,FIND("/",Wages!$B758)+1,20))-1))),"")))</f>
        <v/>
      </c>
      <c r="E755">
        <f>IF(OR($A755="",$C755=""),"",IF(ISNUMBER(Wages!$B758),MOD(Wages!$B758,100),IFERROR(VALUE(TRIM(MID(MID(Wages!$B758,FIND("/",Wages!$B758)+1,20),FIND("/",MID(Wages!$B758,FIND("/",Wages!$B758)+1,20))+1,20))),"")))</f>
        <v/>
      </c>
      <c r="F755">
        <f>IF($A755="","",IF(OR($C755="",$D755="",$E755="",$C755&lt;1300,$C755&gt;1500,$D755&lt;1,$D755&gt;12,$E755&lt;1,$E755&gt;31),"نامعتبر",RIGHT("0000"&amp;$C755,4)&amp;"/"&amp;RIGHT("00"&amp;$D755,2)&amp;"/"&amp;RIGHT("00"&amp;$E755,2)))</f>
        <v/>
      </c>
      <c r="G755">
        <f>IF(OR($A755="",$F755="",$F755="نامعتبر"),"",LEFT($F755,4)&amp;MID($F755,6,2)&amp;RIGHT($F755,2)&amp;"0000"&amp;"|"&amp;"1"&amp;RIGHT("00000"&amp;750,5))</f>
        <v/>
      </c>
      <c r="H755">
        <f>IF(OR($B755&lt;&gt;1,$G755=""),"",COUNTIFS(LdAParty,$A755,LdAType,1,LdAKey,"&lt;"&amp;$G755)+COUNTIFS(LdBMember,$A755,LdBKey,"&lt;"&amp;$G755)+COUNTIFS(LdCParty,$A755,LdCKey,"&lt;"&amp;$G755)+1)</f>
        <v/>
      </c>
      <c r="I755">
        <f>IF($H755="","",$A755&amp;"|"&amp;RIGHT("000000"&amp;$H755,6))</f>
        <v/>
      </c>
      <c r="J755">
        <f>IF(OR($B755&lt;&gt;2,$G755=""),"",COUNTIFS(LdAParty,$A755,LdAType,2,LdAKey,"&lt;"&amp;$G755)+1)</f>
        <v/>
      </c>
      <c r="K755">
        <f>IF($J755="","",$A755&amp;"|"&amp;RIGHT("000000"&amp;$J755,6))</f>
        <v/>
      </c>
      <c r="L755">
        <f>IF($A755="","",IF(Wages!$G758="",0,Wages!$G758))</f>
        <v/>
      </c>
      <c r="M755">
        <f>IF($A755="","",Wages!$J758)</f>
        <v/>
      </c>
      <c r="N755">
        <f>IF($A755="","",Wages!$D758)</f>
        <v/>
      </c>
      <c r="P755">
        <f>IF(OR(Shares!$B758="",Shares!$C758=""),"",Shares!$C758)</f>
        <v/>
      </c>
      <c r="Q755">
        <f>IF($P755="","",Shares!$B758)</f>
        <v/>
      </c>
      <c r="R755">
        <f>IF($P755="","",IFERROR(INDEX(WageParty,MATCH($Q755,WageIds,0)),""))</f>
        <v/>
      </c>
      <c r="S755">
        <f>IF($P755="","",IFERROR(INDEX($F$6:$F$2005,MATCH($Q755,WageIds,0)),""))</f>
        <v/>
      </c>
      <c r="T755">
        <f>IF(OR($P755="",$S755="",$S755="نامعتبر"),"",LEFT($S755,4)&amp;MID($S755,6,2)&amp;RIGHT($S755,2)&amp;"0000"&amp;"|"&amp;"2"&amp;RIGHT("00000"&amp;750,5))</f>
        <v/>
      </c>
      <c r="U755">
        <f>IF($T755="","",COUNTIFS(LdAParty,$P755,LdAType,1,LdAKey,"&lt;"&amp;$T755)+COUNTIFS(LdBMember,$P755,LdBKey,"&lt;"&amp;$T755)+COUNTIFS(LdCParty,$P755,LdCKey,"&lt;"&amp;$T755)+1)</f>
        <v/>
      </c>
      <c r="V755">
        <f>IF($U755="","",$P755&amp;"|"&amp;RIGHT("000000"&amp;$U755,6))</f>
        <v/>
      </c>
      <c r="W755">
        <f>IF($T755="","",COUNTIFS(LdBGroup,$R755,LdBKey,"&lt;"&amp;$T755)+1)</f>
        <v/>
      </c>
      <c r="X755">
        <f>IF($W755="","",$R755&amp;"|"&amp;RIGHT("000000"&amp;$W755,6))</f>
        <v/>
      </c>
      <c r="Y755">
        <f>IF($P755="","",IF(Shares!$E758="",0,Shares!$E758))</f>
        <v/>
      </c>
      <c r="Z755">
        <f>IF($P755="","",Shares!$H758)</f>
        <v/>
      </c>
      <c r="AE755">
        <f>IF(OR(Sync!$S755="",Sync!$P755=""),"",Sync!$S755)</f>
        <v/>
      </c>
      <c r="AF755">
        <f>IF($AE755="","",IF(ISNUMBER(Sync!$P755),IF(AND(Sync!$P755&gt;=10000101,Sync!$P755&lt;=99991231),INT(Sync!$P755/10000),""),IFERROR(VALUE(TRIM(LEFT(Sync!$P755,FIND("/",Sync!$P755)-1))),"")))</f>
        <v/>
      </c>
      <c r="AG755">
        <f>IF(OR($AE755="",$AF755=""),"",IF(ISNUMBER(Sync!$P755),INT(MOD(Sync!$P755,10000)/100),IFERROR(VALUE(TRIM(LEFT(MID(Sync!$P755,FIND("/",Sync!$P755)+1,20),FIND("/",MID(Sync!$P755,FIND("/",Sync!$P755)+1,20))-1))),"")))</f>
        <v/>
      </c>
      <c r="AH755">
        <f>IF(OR($AE755="",$AF755=""),"",IF(ISNUMBER(Sync!$P755),MOD(Sync!$P755,100),IFERROR(VALUE(TRIM(MID(MID(Sync!$P755,FIND("/",Sync!$P755)+1,20),FIND("/",MID(Sync!$P755,FIND("/",Sync!$P755)+1,20))+1,20))),"")))</f>
        <v/>
      </c>
      <c r="AI755">
        <f>IF($AE755="","",IF(OR($AF755="",$AG755="",$AH755="",$AF755&lt;1300,$AF755&gt;1500,$AG755&lt;1,$AG755&gt;12,$AH755&lt;1,$AH755&gt;31),"نامعتبر",RIGHT("0000"&amp;$AF755,4)&amp;"/"&amp;RIGHT("00"&amp;$AG755,2)&amp;"/"&amp;RIGHT("00"&amp;$AH755,2)))</f>
        <v/>
      </c>
      <c r="AJ755">
        <f>IF($AE755="","",IF(Sync!$Q755="","0000",IF(AND(ISNUMBER(Sync!$Q755),Sync!$Q755&gt;=0,Sync!$Q755&lt;1),RIGHT("00"&amp;HOUR(Sync!$Q755),2)&amp;RIGHT("00"&amp;MINUTE(Sync!$Q755),2),IFERROR(RIGHT("00"&amp;VALUE(LEFT(Sync!$Q755,FIND(":",Sync!$Q755)-1)),2)&amp;RIGHT("00"&amp;VALUE(MID(Sync!$Q755,FIND(":",Sync!$Q755)+1,2)),2),"0000"))))</f>
        <v/>
      </c>
      <c r="AK755">
        <f>IF(OR($AE755="",$AI755="",$AI755="نامعتبر"),"",LEFT($AI755,4)&amp;MID($AI755,6,2)&amp;RIGHT($AI755,2)&amp;$AJ755&amp;"|"&amp;"3"&amp;RIGHT("00000"&amp;750,5))</f>
        <v/>
      </c>
      <c r="AL755">
        <f>IF($AK755="","",COUNTIFS(LdAParty,$AE755,LdAType,1,LdAKey,"&lt;"&amp;$AK755)+COUNTIFS(LdBMember,$AE755,LdBKey,"&lt;"&amp;$AK755)+COUNTIFS(LdCParty,$AE755,LdCKey,"&lt;"&amp;$AK755)+1)</f>
        <v/>
      </c>
      <c r="AM755">
        <f>IF($AL755="","",$AE755&amp;"|"&amp;RIGHT("000000"&amp;$AL755,6))</f>
        <v/>
      </c>
      <c r="AN755">
        <f>IF($AE755="","",IF(Sync!$W755="",0,Sync!$W755))</f>
        <v/>
      </c>
      <c r="AO755">
        <f>IF($AE755="","",IF(Sync!$X755="",0,Sync!$X755))</f>
        <v/>
      </c>
      <c r="AP755">
        <f>IF($AE755="","",Sync!$R755)</f>
        <v/>
      </c>
      <c r="AQ755">
        <f>IF($AE755="","",Sync!$Y755)</f>
        <v/>
      </c>
    </row>
    <row r="756">
      <c r="A756">
        <f>IF(OR(Wages!$B759="",Wages!$E759=""),"",Wages!$E759)</f>
        <v/>
      </c>
      <c r="B756">
        <f>IF($A756="","",IF(Wages!$C759="دستمزد گروهی",2,1))</f>
        <v/>
      </c>
      <c r="C756">
        <f>IF($A756="","",IF(ISNUMBER(Wages!$B759),IF(AND(Wages!$B759&gt;=10000101,Wages!$B759&lt;=99991231),INT(Wages!$B759/10000),""),IFERROR(VALUE(TRIM(LEFT(Wages!$B759,FIND("/",Wages!$B759)-1))),"")))</f>
        <v/>
      </c>
      <c r="D756">
        <f>IF(OR($A756="",$C756=""),"",IF(ISNUMBER(Wages!$B759),INT(MOD(Wages!$B759,10000)/100),IFERROR(VALUE(TRIM(LEFT(MID(Wages!$B759,FIND("/",Wages!$B759)+1,20),FIND("/",MID(Wages!$B759,FIND("/",Wages!$B759)+1,20))-1))),"")))</f>
        <v/>
      </c>
      <c r="E756">
        <f>IF(OR($A756="",$C756=""),"",IF(ISNUMBER(Wages!$B759),MOD(Wages!$B759,100),IFERROR(VALUE(TRIM(MID(MID(Wages!$B759,FIND("/",Wages!$B759)+1,20),FIND("/",MID(Wages!$B759,FIND("/",Wages!$B759)+1,20))+1,20))),"")))</f>
        <v/>
      </c>
      <c r="F756">
        <f>IF($A756="","",IF(OR($C756="",$D756="",$E756="",$C756&lt;1300,$C756&gt;1500,$D756&lt;1,$D756&gt;12,$E756&lt;1,$E756&gt;31),"نامعتبر",RIGHT("0000"&amp;$C756,4)&amp;"/"&amp;RIGHT("00"&amp;$D756,2)&amp;"/"&amp;RIGHT("00"&amp;$E756,2)))</f>
        <v/>
      </c>
      <c r="G756">
        <f>IF(OR($A756="",$F756="",$F756="نامعتبر"),"",LEFT($F756,4)&amp;MID($F756,6,2)&amp;RIGHT($F756,2)&amp;"0000"&amp;"|"&amp;"1"&amp;RIGHT("00000"&amp;751,5))</f>
        <v/>
      </c>
      <c r="H756">
        <f>IF(OR($B756&lt;&gt;1,$G756=""),"",COUNTIFS(LdAParty,$A756,LdAType,1,LdAKey,"&lt;"&amp;$G756)+COUNTIFS(LdBMember,$A756,LdBKey,"&lt;"&amp;$G756)+COUNTIFS(LdCParty,$A756,LdCKey,"&lt;"&amp;$G756)+1)</f>
        <v/>
      </c>
      <c r="I756">
        <f>IF($H756="","",$A756&amp;"|"&amp;RIGHT("000000"&amp;$H756,6))</f>
        <v/>
      </c>
      <c r="J756">
        <f>IF(OR($B756&lt;&gt;2,$G756=""),"",COUNTIFS(LdAParty,$A756,LdAType,2,LdAKey,"&lt;"&amp;$G756)+1)</f>
        <v/>
      </c>
      <c r="K756">
        <f>IF($J756="","",$A756&amp;"|"&amp;RIGHT("000000"&amp;$J756,6))</f>
        <v/>
      </c>
      <c r="L756">
        <f>IF($A756="","",IF(Wages!$G759="",0,Wages!$G759))</f>
        <v/>
      </c>
      <c r="M756">
        <f>IF($A756="","",Wages!$J759)</f>
        <v/>
      </c>
      <c r="N756">
        <f>IF($A756="","",Wages!$D759)</f>
        <v/>
      </c>
      <c r="P756">
        <f>IF(OR(Shares!$B759="",Shares!$C759=""),"",Shares!$C759)</f>
        <v/>
      </c>
      <c r="Q756">
        <f>IF($P756="","",Shares!$B759)</f>
        <v/>
      </c>
      <c r="R756">
        <f>IF($P756="","",IFERROR(INDEX(WageParty,MATCH($Q756,WageIds,0)),""))</f>
        <v/>
      </c>
      <c r="S756">
        <f>IF($P756="","",IFERROR(INDEX($F$6:$F$2005,MATCH($Q756,WageIds,0)),""))</f>
        <v/>
      </c>
      <c r="T756">
        <f>IF(OR($P756="",$S756="",$S756="نامعتبر"),"",LEFT($S756,4)&amp;MID($S756,6,2)&amp;RIGHT($S756,2)&amp;"0000"&amp;"|"&amp;"2"&amp;RIGHT("00000"&amp;751,5))</f>
        <v/>
      </c>
      <c r="U756">
        <f>IF($T756="","",COUNTIFS(LdAParty,$P756,LdAType,1,LdAKey,"&lt;"&amp;$T756)+COUNTIFS(LdBMember,$P756,LdBKey,"&lt;"&amp;$T756)+COUNTIFS(LdCParty,$P756,LdCKey,"&lt;"&amp;$T756)+1)</f>
        <v/>
      </c>
      <c r="V756">
        <f>IF($U756="","",$P756&amp;"|"&amp;RIGHT("000000"&amp;$U756,6))</f>
        <v/>
      </c>
      <c r="W756">
        <f>IF($T756="","",COUNTIFS(LdBGroup,$R756,LdBKey,"&lt;"&amp;$T756)+1)</f>
        <v/>
      </c>
      <c r="X756">
        <f>IF($W756="","",$R756&amp;"|"&amp;RIGHT("000000"&amp;$W756,6))</f>
        <v/>
      </c>
      <c r="Y756">
        <f>IF($P756="","",IF(Shares!$E759="",0,Shares!$E759))</f>
        <v/>
      </c>
      <c r="Z756">
        <f>IF($P756="","",Shares!$H759)</f>
        <v/>
      </c>
      <c r="AE756">
        <f>IF(OR(Sync!$S756="",Sync!$P756=""),"",Sync!$S756)</f>
        <v/>
      </c>
      <c r="AF756">
        <f>IF($AE756="","",IF(ISNUMBER(Sync!$P756),IF(AND(Sync!$P756&gt;=10000101,Sync!$P756&lt;=99991231),INT(Sync!$P756/10000),""),IFERROR(VALUE(TRIM(LEFT(Sync!$P756,FIND("/",Sync!$P756)-1))),"")))</f>
        <v/>
      </c>
      <c r="AG756">
        <f>IF(OR($AE756="",$AF756=""),"",IF(ISNUMBER(Sync!$P756),INT(MOD(Sync!$P756,10000)/100),IFERROR(VALUE(TRIM(LEFT(MID(Sync!$P756,FIND("/",Sync!$P756)+1,20),FIND("/",MID(Sync!$P756,FIND("/",Sync!$P756)+1,20))-1))),"")))</f>
        <v/>
      </c>
      <c r="AH756">
        <f>IF(OR($AE756="",$AF756=""),"",IF(ISNUMBER(Sync!$P756),MOD(Sync!$P756,100),IFERROR(VALUE(TRIM(MID(MID(Sync!$P756,FIND("/",Sync!$P756)+1,20),FIND("/",MID(Sync!$P756,FIND("/",Sync!$P756)+1,20))+1,20))),"")))</f>
        <v/>
      </c>
      <c r="AI756">
        <f>IF($AE756="","",IF(OR($AF756="",$AG756="",$AH756="",$AF756&lt;1300,$AF756&gt;1500,$AG756&lt;1,$AG756&gt;12,$AH756&lt;1,$AH756&gt;31),"نامعتبر",RIGHT("0000"&amp;$AF756,4)&amp;"/"&amp;RIGHT("00"&amp;$AG756,2)&amp;"/"&amp;RIGHT("00"&amp;$AH756,2)))</f>
        <v/>
      </c>
      <c r="AJ756">
        <f>IF($AE756="","",IF(Sync!$Q756="","0000",IF(AND(ISNUMBER(Sync!$Q756),Sync!$Q756&gt;=0,Sync!$Q756&lt;1),RIGHT("00"&amp;HOUR(Sync!$Q756),2)&amp;RIGHT("00"&amp;MINUTE(Sync!$Q756),2),IFERROR(RIGHT("00"&amp;VALUE(LEFT(Sync!$Q756,FIND(":",Sync!$Q756)-1)),2)&amp;RIGHT("00"&amp;VALUE(MID(Sync!$Q756,FIND(":",Sync!$Q756)+1,2)),2),"0000"))))</f>
        <v/>
      </c>
      <c r="AK756">
        <f>IF(OR($AE756="",$AI756="",$AI756="نامعتبر"),"",LEFT($AI756,4)&amp;MID($AI756,6,2)&amp;RIGHT($AI756,2)&amp;$AJ756&amp;"|"&amp;"3"&amp;RIGHT("00000"&amp;751,5))</f>
        <v/>
      </c>
      <c r="AL756">
        <f>IF($AK756="","",COUNTIFS(LdAParty,$AE756,LdAType,1,LdAKey,"&lt;"&amp;$AK756)+COUNTIFS(LdBMember,$AE756,LdBKey,"&lt;"&amp;$AK756)+COUNTIFS(LdCParty,$AE756,LdCKey,"&lt;"&amp;$AK756)+1)</f>
        <v/>
      </c>
      <c r="AM756">
        <f>IF($AL756="","",$AE756&amp;"|"&amp;RIGHT("000000"&amp;$AL756,6))</f>
        <v/>
      </c>
      <c r="AN756">
        <f>IF($AE756="","",IF(Sync!$W756="",0,Sync!$W756))</f>
        <v/>
      </c>
      <c r="AO756">
        <f>IF($AE756="","",IF(Sync!$X756="",0,Sync!$X756))</f>
        <v/>
      </c>
      <c r="AP756">
        <f>IF($AE756="","",Sync!$R756)</f>
        <v/>
      </c>
      <c r="AQ756">
        <f>IF($AE756="","",Sync!$Y756)</f>
        <v/>
      </c>
    </row>
    <row r="757">
      <c r="A757">
        <f>IF(OR(Wages!$B760="",Wages!$E760=""),"",Wages!$E760)</f>
        <v/>
      </c>
      <c r="B757">
        <f>IF($A757="","",IF(Wages!$C760="دستمزد گروهی",2,1))</f>
        <v/>
      </c>
      <c r="C757">
        <f>IF($A757="","",IF(ISNUMBER(Wages!$B760),IF(AND(Wages!$B760&gt;=10000101,Wages!$B760&lt;=99991231),INT(Wages!$B760/10000),""),IFERROR(VALUE(TRIM(LEFT(Wages!$B760,FIND("/",Wages!$B760)-1))),"")))</f>
        <v/>
      </c>
      <c r="D757">
        <f>IF(OR($A757="",$C757=""),"",IF(ISNUMBER(Wages!$B760),INT(MOD(Wages!$B760,10000)/100),IFERROR(VALUE(TRIM(LEFT(MID(Wages!$B760,FIND("/",Wages!$B760)+1,20),FIND("/",MID(Wages!$B760,FIND("/",Wages!$B760)+1,20))-1))),"")))</f>
        <v/>
      </c>
      <c r="E757">
        <f>IF(OR($A757="",$C757=""),"",IF(ISNUMBER(Wages!$B760),MOD(Wages!$B760,100),IFERROR(VALUE(TRIM(MID(MID(Wages!$B760,FIND("/",Wages!$B760)+1,20),FIND("/",MID(Wages!$B760,FIND("/",Wages!$B760)+1,20))+1,20))),"")))</f>
        <v/>
      </c>
      <c r="F757">
        <f>IF($A757="","",IF(OR($C757="",$D757="",$E757="",$C757&lt;1300,$C757&gt;1500,$D757&lt;1,$D757&gt;12,$E757&lt;1,$E757&gt;31),"نامعتبر",RIGHT("0000"&amp;$C757,4)&amp;"/"&amp;RIGHT("00"&amp;$D757,2)&amp;"/"&amp;RIGHT("00"&amp;$E757,2)))</f>
        <v/>
      </c>
      <c r="G757">
        <f>IF(OR($A757="",$F757="",$F757="نامعتبر"),"",LEFT($F757,4)&amp;MID($F757,6,2)&amp;RIGHT($F757,2)&amp;"0000"&amp;"|"&amp;"1"&amp;RIGHT("00000"&amp;752,5))</f>
        <v/>
      </c>
      <c r="H757">
        <f>IF(OR($B757&lt;&gt;1,$G757=""),"",COUNTIFS(LdAParty,$A757,LdAType,1,LdAKey,"&lt;"&amp;$G757)+COUNTIFS(LdBMember,$A757,LdBKey,"&lt;"&amp;$G757)+COUNTIFS(LdCParty,$A757,LdCKey,"&lt;"&amp;$G757)+1)</f>
        <v/>
      </c>
      <c r="I757">
        <f>IF($H757="","",$A757&amp;"|"&amp;RIGHT("000000"&amp;$H757,6))</f>
        <v/>
      </c>
      <c r="J757">
        <f>IF(OR($B757&lt;&gt;2,$G757=""),"",COUNTIFS(LdAParty,$A757,LdAType,2,LdAKey,"&lt;"&amp;$G757)+1)</f>
        <v/>
      </c>
      <c r="K757">
        <f>IF($J757="","",$A757&amp;"|"&amp;RIGHT("000000"&amp;$J757,6))</f>
        <v/>
      </c>
      <c r="L757">
        <f>IF($A757="","",IF(Wages!$G760="",0,Wages!$G760))</f>
        <v/>
      </c>
      <c r="M757">
        <f>IF($A757="","",Wages!$J760)</f>
        <v/>
      </c>
      <c r="N757">
        <f>IF($A757="","",Wages!$D760)</f>
        <v/>
      </c>
      <c r="P757">
        <f>IF(OR(Shares!$B760="",Shares!$C760=""),"",Shares!$C760)</f>
        <v/>
      </c>
      <c r="Q757">
        <f>IF($P757="","",Shares!$B760)</f>
        <v/>
      </c>
      <c r="R757">
        <f>IF($P757="","",IFERROR(INDEX(WageParty,MATCH($Q757,WageIds,0)),""))</f>
        <v/>
      </c>
      <c r="S757">
        <f>IF($P757="","",IFERROR(INDEX($F$6:$F$2005,MATCH($Q757,WageIds,0)),""))</f>
        <v/>
      </c>
      <c r="T757">
        <f>IF(OR($P757="",$S757="",$S757="نامعتبر"),"",LEFT($S757,4)&amp;MID($S757,6,2)&amp;RIGHT($S757,2)&amp;"0000"&amp;"|"&amp;"2"&amp;RIGHT("00000"&amp;752,5))</f>
        <v/>
      </c>
      <c r="U757">
        <f>IF($T757="","",COUNTIFS(LdAParty,$P757,LdAType,1,LdAKey,"&lt;"&amp;$T757)+COUNTIFS(LdBMember,$P757,LdBKey,"&lt;"&amp;$T757)+COUNTIFS(LdCParty,$P757,LdCKey,"&lt;"&amp;$T757)+1)</f>
        <v/>
      </c>
      <c r="V757">
        <f>IF($U757="","",$P757&amp;"|"&amp;RIGHT("000000"&amp;$U757,6))</f>
        <v/>
      </c>
      <c r="W757">
        <f>IF($T757="","",COUNTIFS(LdBGroup,$R757,LdBKey,"&lt;"&amp;$T757)+1)</f>
        <v/>
      </c>
      <c r="X757">
        <f>IF($W757="","",$R757&amp;"|"&amp;RIGHT("000000"&amp;$W757,6))</f>
        <v/>
      </c>
      <c r="Y757">
        <f>IF($P757="","",IF(Shares!$E760="",0,Shares!$E760))</f>
        <v/>
      </c>
      <c r="Z757">
        <f>IF($P757="","",Shares!$H760)</f>
        <v/>
      </c>
      <c r="AE757">
        <f>IF(OR(Sync!$S757="",Sync!$P757=""),"",Sync!$S757)</f>
        <v/>
      </c>
      <c r="AF757">
        <f>IF($AE757="","",IF(ISNUMBER(Sync!$P757),IF(AND(Sync!$P757&gt;=10000101,Sync!$P757&lt;=99991231),INT(Sync!$P757/10000),""),IFERROR(VALUE(TRIM(LEFT(Sync!$P757,FIND("/",Sync!$P757)-1))),"")))</f>
        <v/>
      </c>
      <c r="AG757">
        <f>IF(OR($AE757="",$AF757=""),"",IF(ISNUMBER(Sync!$P757),INT(MOD(Sync!$P757,10000)/100),IFERROR(VALUE(TRIM(LEFT(MID(Sync!$P757,FIND("/",Sync!$P757)+1,20),FIND("/",MID(Sync!$P757,FIND("/",Sync!$P757)+1,20))-1))),"")))</f>
        <v/>
      </c>
      <c r="AH757">
        <f>IF(OR($AE757="",$AF757=""),"",IF(ISNUMBER(Sync!$P757),MOD(Sync!$P757,100),IFERROR(VALUE(TRIM(MID(MID(Sync!$P757,FIND("/",Sync!$P757)+1,20),FIND("/",MID(Sync!$P757,FIND("/",Sync!$P757)+1,20))+1,20))),"")))</f>
        <v/>
      </c>
      <c r="AI757">
        <f>IF($AE757="","",IF(OR($AF757="",$AG757="",$AH757="",$AF757&lt;1300,$AF757&gt;1500,$AG757&lt;1,$AG757&gt;12,$AH757&lt;1,$AH757&gt;31),"نامعتبر",RIGHT("0000"&amp;$AF757,4)&amp;"/"&amp;RIGHT("00"&amp;$AG757,2)&amp;"/"&amp;RIGHT("00"&amp;$AH757,2)))</f>
        <v/>
      </c>
      <c r="AJ757">
        <f>IF($AE757="","",IF(Sync!$Q757="","0000",IF(AND(ISNUMBER(Sync!$Q757),Sync!$Q757&gt;=0,Sync!$Q757&lt;1),RIGHT("00"&amp;HOUR(Sync!$Q757),2)&amp;RIGHT("00"&amp;MINUTE(Sync!$Q757),2),IFERROR(RIGHT("00"&amp;VALUE(LEFT(Sync!$Q757,FIND(":",Sync!$Q757)-1)),2)&amp;RIGHT("00"&amp;VALUE(MID(Sync!$Q757,FIND(":",Sync!$Q757)+1,2)),2),"0000"))))</f>
        <v/>
      </c>
      <c r="AK757">
        <f>IF(OR($AE757="",$AI757="",$AI757="نامعتبر"),"",LEFT($AI757,4)&amp;MID($AI757,6,2)&amp;RIGHT($AI757,2)&amp;$AJ757&amp;"|"&amp;"3"&amp;RIGHT("00000"&amp;752,5))</f>
        <v/>
      </c>
      <c r="AL757">
        <f>IF($AK757="","",COUNTIFS(LdAParty,$AE757,LdAType,1,LdAKey,"&lt;"&amp;$AK757)+COUNTIFS(LdBMember,$AE757,LdBKey,"&lt;"&amp;$AK757)+COUNTIFS(LdCParty,$AE757,LdCKey,"&lt;"&amp;$AK757)+1)</f>
        <v/>
      </c>
      <c r="AM757">
        <f>IF($AL757="","",$AE757&amp;"|"&amp;RIGHT("000000"&amp;$AL757,6))</f>
        <v/>
      </c>
      <c r="AN757">
        <f>IF($AE757="","",IF(Sync!$W757="",0,Sync!$W757))</f>
        <v/>
      </c>
      <c r="AO757">
        <f>IF($AE757="","",IF(Sync!$X757="",0,Sync!$X757))</f>
        <v/>
      </c>
      <c r="AP757">
        <f>IF($AE757="","",Sync!$R757)</f>
        <v/>
      </c>
      <c r="AQ757">
        <f>IF($AE757="","",Sync!$Y757)</f>
        <v/>
      </c>
    </row>
    <row r="758">
      <c r="A758">
        <f>IF(OR(Wages!$B761="",Wages!$E761=""),"",Wages!$E761)</f>
        <v/>
      </c>
      <c r="B758">
        <f>IF($A758="","",IF(Wages!$C761="دستمزد گروهی",2,1))</f>
        <v/>
      </c>
      <c r="C758">
        <f>IF($A758="","",IF(ISNUMBER(Wages!$B761),IF(AND(Wages!$B761&gt;=10000101,Wages!$B761&lt;=99991231),INT(Wages!$B761/10000),""),IFERROR(VALUE(TRIM(LEFT(Wages!$B761,FIND("/",Wages!$B761)-1))),"")))</f>
        <v/>
      </c>
      <c r="D758">
        <f>IF(OR($A758="",$C758=""),"",IF(ISNUMBER(Wages!$B761),INT(MOD(Wages!$B761,10000)/100),IFERROR(VALUE(TRIM(LEFT(MID(Wages!$B761,FIND("/",Wages!$B761)+1,20),FIND("/",MID(Wages!$B761,FIND("/",Wages!$B761)+1,20))-1))),"")))</f>
        <v/>
      </c>
      <c r="E758">
        <f>IF(OR($A758="",$C758=""),"",IF(ISNUMBER(Wages!$B761),MOD(Wages!$B761,100),IFERROR(VALUE(TRIM(MID(MID(Wages!$B761,FIND("/",Wages!$B761)+1,20),FIND("/",MID(Wages!$B761,FIND("/",Wages!$B761)+1,20))+1,20))),"")))</f>
        <v/>
      </c>
      <c r="F758">
        <f>IF($A758="","",IF(OR($C758="",$D758="",$E758="",$C758&lt;1300,$C758&gt;1500,$D758&lt;1,$D758&gt;12,$E758&lt;1,$E758&gt;31),"نامعتبر",RIGHT("0000"&amp;$C758,4)&amp;"/"&amp;RIGHT("00"&amp;$D758,2)&amp;"/"&amp;RIGHT("00"&amp;$E758,2)))</f>
        <v/>
      </c>
      <c r="G758">
        <f>IF(OR($A758="",$F758="",$F758="نامعتبر"),"",LEFT($F758,4)&amp;MID($F758,6,2)&amp;RIGHT($F758,2)&amp;"0000"&amp;"|"&amp;"1"&amp;RIGHT("00000"&amp;753,5))</f>
        <v/>
      </c>
      <c r="H758">
        <f>IF(OR($B758&lt;&gt;1,$G758=""),"",COUNTIFS(LdAParty,$A758,LdAType,1,LdAKey,"&lt;"&amp;$G758)+COUNTIFS(LdBMember,$A758,LdBKey,"&lt;"&amp;$G758)+COUNTIFS(LdCParty,$A758,LdCKey,"&lt;"&amp;$G758)+1)</f>
        <v/>
      </c>
      <c r="I758">
        <f>IF($H758="","",$A758&amp;"|"&amp;RIGHT("000000"&amp;$H758,6))</f>
        <v/>
      </c>
      <c r="J758">
        <f>IF(OR($B758&lt;&gt;2,$G758=""),"",COUNTIFS(LdAParty,$A758,LdAType,2,LdAKey,"&lt;"&amp;$G758)+1)</f>
        <v/>
      </c>
      <c r="K758">
        <f>IF($J758="","",$A758&amp;"|"&amp;RIGHT("000000"&amp;$J758,6))</f>
        <v/>
      </c>
      <c r="L758">
        <f>IF($A758="","",IF(Wages!$G761="",0,Wages!$G761))</f>
        <v/>
      </c>
      <c r="M758">
        <f>IF($A758="","",Wages!$J761)</f>
        <v/>
      </c>
      <c r="N758">
        <f>IF($A758="","",Wages!$D761)</f>
        <v/>
      </c>
      <c r="P758">
        <f>IF(OR(Shares!$B761="",Shares!$C761=""),"",Shares!$C761)</f>
        <v/>
      </c>
      <c r="Q758">
        <f>IF($P758="","",Shares!$B761)</f>
        <v/>
      </c>
      <c r="R758">
        <f>IF($P758="","",IFERROR(INDEX(WageParty,MATCH($Q758,WageIds,0)),""))</f>
        <v/>
      </c>
      <c r="S758">
        <f>IF($P758="","",IFERROR(INDEX($F$6:$F$2005,MATCH($Q758,WageIds,0)),""))</f>
        <v/>
      </c>
      <c r="T758">
        <f>IF(OR($P758="",$S758="",$S758="نامعتبر"),"",LEFT($S758,4)&amp;MID($S758,6,2)&amp;RIGHT($S758,2)&amp;"0000"&amp;"|"&amp;"2"&amp;RIGHT("00000"&amp;753,5))</f>
        <v/>
      </c>
      <c r="U758">
        <f>IF($T758="","",COUNTIFS(LdAParty,$P758,LdAType,1,LdAKey,"&lt;"&amp;$T758)+COUNTIFS(LdBMember,$P758,LdBKey,"&lt;"&amp;$T758)+COUNTIFS(LdCParty,$P758,LdCKey,"&lt;"&amp;$T758)+1)</f>
        <v/>
      </c>
      <c r="V758">
        <f>IF($U758="","",$P758&amp;"|"&amp;RIGHT("000000"&amp;$U758,6))</f>
        <v/>
      </c>
      <c r="W758">
        <f>IF($T758="","",COUNTIFS(LdBGroup,$R758,LdBKey,"&lt;"&amp;$T758)+1)</f>
        <v/>
      </c>
      <c r="X758">
        <f>IF($W758="","",$R758&amp;"|"&amp;RIGHT("000000"&amp;$W758,6))</f>
        <v/>
      </c>
      <c r="Y758">
        <f>IF($P758="","",IF(Shares!$E761="",0,Shares!$E761))</f>
        <v/>
      </c>
      <c r="Z758">
        <f>IF($P758="","",Shares!$H761)</f>
        <v/>
      </c>
      <c r="AE758">
        <f>IF(OR(Sync!$S758="",Sync!$P758=""),"",Sync!$S758)</f>
        <v/>
      </c>
      <c r="AF758">
        <f>IF($AE758="","",IF(ISNUMBER(Sync!$P758),IF(AND(Sync!$P758&gt;=10000101,Sync!$P758&lt;=99991231),INT(Sync!$P758/10000),""),IFERROR(VALUE(TRIM(LEFT(Sync!$P758,FIND("/",Sync!$P758)-1))),"")))</f>
        <v/>
      </c>
      <c r="AG758">
        <f>IF(OR($AE758="",$AF758=""),"",IF(ISNUMBER(Sync!$P758),INT(MOD(Sync!$P758,10000)/100),IFERROR(VALUE(TRIM(LEFT(MID(Sync!$P758,FIND("/",Sync!$P758)+1,20),FIND("/",MID(Sync!$P758,FIND("/",Sync!$P758)+1,20))-1))),"")))</f>
        <v/>
      </c>
      <c r="AH758">
        <f>IF(OR($AE758="",$AF758=""),"",IF(ISNUMBER(Sync!$P758),MOD(Sync!$P758,100),IFERROR(VALUE(TRIM(MID(MID(Sync!$P758,FIND("/",Sync!$P758)+1,20),FIND("/",MID(Sync!$P758,FIND("/",Sync!$P758)+1,20))+1,20))),"")))</f>
        <v/>
      </c>
      <c r="AI758">
        <f>IF($AE758="","",IF(OR($AF758="",$AG758="",$AH758="",$AF758&lt;1300,$AF758&gt;1500,$AG758&lt;1,$AG758&gt;12,$AH758&lt;1,$AH758&gt;31),"نامعتبر",RIGHT("0000"&amp;$AF758,4)&amp;"/"&amp;RIGHT("00"&amp;$AG758,2)&amp;"/"&amp;RIGHT("00"&amp;$AH758,2)))</f>
        <v/>
      </c>
      <c r="AJ758">
        <f>IF($AE758="","",IF(Sync!$Q758="","0000",IF(AND(ISNUMBER(Sync!$Q758),Sync!$Q758&gt;=0,Sync!$Q758&lt;1),RIGHT("00"&amp;HOUR(Sync!$Q758),2)&amp;RIGHT("00"&amp;MINUTE(Sync!$Q758),2),IFERROR(RIGHT("00"&amp;VALUE(LEFT(Sync!$Q758,FIND(":",Sync!$Q758)-1)),2)&amp;RIGHT("00"&amp;VALUE(MID(Sync!$Q758,FIND(":",Sync!$Q758)+1,2)),2),"0000"))))</f>
        <v/>
      </c>
      <c r="AK758">
        <f>IF(OR($AE758="",$AI758="",$AI758="نامعتبر"),"",LEFT($AI758,4)&amp;MID($AI758,6,2)&amp;RIGHT($AI758,2)&amp;$AJ758&amp;"|"&amp;"3"&amp;RIGHT("00000"&amp;753,5))</f>
        <v/>
      </c>
      <c r="AL758">
        <f>IF($AK758="","",COUNTIFS(LdAParty,$AE758,LdAType,1,LdAKey,"&lt;"&amp;$AK758)+COUNTIFS(LdBMember,$AE758,LdBKey,"&lt;"&amp;$AK758)+COUNTIFS(LdCParty,$AE758,LdCKey,"&lt;"&amp;$AK758)+1)</f>
        <v/>
      </c>
      <c r="AM758">
        <f>IF($AL758="","",$AE758&amp;"|"&amp;RIGHT("000000"&amp;$AL758,6))</f>
        <v/>
      </c>
      <c r="AN758">
        <f>IF($AE758="","",IF(Sync!$W758="",0,Sync!$W758))</f>
        <v/>
      </c>
      <c r="AO758">
        <f>IF($AE758="","",IF(Sync!$X758="",0,Sync!$X758))</f>
        <v/>
      </c>
      <c r="AP758">
        <f>IF($AE758="","",Sync!$R758)</f>
        <v/>
      </c>
      <c r="AQ758">
        <f>IF($AE758="","",Sync!$Y758)</f>
        <v/>
      </c>
    </row>
    <row r="759">
      <c r="A759">
        <f>IF(OR(Wages!$B762="",Wages!$E762=""),"",Wages!$E762)</f>
        <v/>
      </c>
      <c r="B759">
        <f>IF($A759="","",IF(Wages!$C762="دستمزد گروهی",2,1))</f>
        <v/>
      </c>
      <c r="C759">
        <f>IF($A759="","",IF(ISNUMBER(Wages!$B762),IF(AND(Wages!$B762&gt;=10000101,Wages!$B762&lt;=99991231),INT(Wages!$B762/10000),""),IFERROR(VALUE(TRIM(LEFT(Wages!$B762,FIND("/",Wages!$B762)-1))),"")))</f>
        <v/>
      </c>
      <c r="D759">
        <f>IF(OR($A759="",$C759=""),"",IF(ISNUMBER(Wages!$B762),INT(MOD(Wages!$B762,10000)/100),IFERROR(VALUE(TRIM(LEFT(MID(Wages!$B762,FIND("/",Wages!$B762)+1,20),FIND("/",MID(Wages!$B762,FIND("/",Wages!$B762)+1,20))-1))),"")))</f>
        <v/>
      </c>
      <c r="E759">
        <f>IF(OR($A759="",$C759=""),"",IF(ISNUMBER(Wages!$B762),MOD(Wages!$B762,100),IFERROR(VALUE(TRIM(MID(MID(Wages!$B762,FIND("/",Wages!$B762)+1,20),FIND("/",MID(Wages!$B762,FIND("/",Wages!$B762)+1,20))+1,20))),"")))</f>
        <v/>
      </c>
      <c r="F759">
        <f>IF($A759="","",IF(OR($C759="",$D759="",$E759="",$C759&lt;1300,$C759&gt;1500,$D759&lt;1,$D759&gt;12,$E759&lt;1,$E759&gt;31),"نامعتبر",RIGHT("0000"&amp;$C759,4)&amp;"/"&amp;RIGHT("00"&amp;$D759,2)&amp;"/"&amp;RIGHT("00"&amp;$E759,2)))</f>
        <v/>
      </c>
      <c r="G759">
        <f>IF(OR($A759="",$F759="",$F759="نامعتبر"),"",LEFT($F759,4)&amp;MID($F759,6,2)&amp;RIGHT($F759,2)&amp;"0000"&amp;"|"&amp;"1"&amp;RIGHT("00000"&amp;754,5))</f>
        <v/>
      </c>
      <c r="H759">
        <f>IF(OR($B759&lt;&gt;1,$G759=""),"",COUNTIFS(LdAParty,$A759,LdAType,1,LdAKey,"&lt;"&amp;$G759)+COUNTIFS(LdBMember,$A759,LdBKey,"&lt;"&amp;$G759)+COUNTIFS(LdCParty,$A759,LdCKey,"&lt;"&amp;$G759)+1)</f>
        <v/>
      </c>
      <c r="I759">
        <f>IF($H759="","",$A759&amp;"|"&amp;RIGHT("000000"&amp;$H759,6))</f>
        <v/>
      </c>
      <c r="J759">
        <f>IF(OR($B759&lt;&gt;2,$G759=""),"",COUNTIFS(LdAParty,$A759,LdAType,2,LdAKey,"&lt;"&amp;$G759)+1)</f>
        <v/>
      </c>
      <c r="K759">
        <f>IF($J759="","",$A759&amp;"|"&amp;RIGHT("000000"&amp;$J759,6))</f>
        <v/>
      </c>
      <c r="L759">
        <f>IF($A759="","",IF(Wages!$G762="",0,Wages!$G762))</f>
        <v/>
      </c>
      <c r="M759">
        <f>IF($A759="","",Wages!$J762)</f>
        <v/>
      </c>
      <c r="N759">
        <f>IF($A759="","",Wages!$D762)</f>
        <v/>
      </c>
      <c r="P759">
        <f>IF(OR(Shares!$B762="",Shares!$C762=""),"",Shares!$C762)</f>
        <v/>
      </c>
      <c r="Q759">
        <f>IF($P759="","",Shares!$B762)</f>
        <v/>
      </c>
      <c r="R759">
        <f>IF($P759="","",IFERROR(INDEX(WageParty,MATCH($Q759,WageIds,0)),""))</f>
        <v/>
      </c>
      <c r="S759">
        <f>IF($P759="","",IFERROR(INDEX($F$6:$F$2005,MATCH($Q759,WageIds,0)),""))</f>
        <v/>
      </c>
      <c r="T759">
        <f>IF(OR($P759="",$S759="",$S759="نامعتبر"),"",LEFT($S759,4)&amp;MID($S759,6,2)&amp;RIGHT($S759,2)&amp;"0000"&amp;"|"&amp;"2"&amp;RIGHT("00000"&amp;754,5))</f>
        <v/>
      </c>
      <c r="U759">
        <f>IF($T759="","",COUNTIFS(LdAParty,$P759,LdAType,1,LdAKey,"&lt;"&amp;$T759)+COUNTIFS(LdBMember,$P759,LdBKey,"&lt;"&amp;$T759)+COUNTIFS(LdCParty,$P759,LdCKey,"&lt;"&amp;$T759)+1)</f>
        <v/>
      </c>
      <c r="V759">
        <f>IF($U759="","",$P759&amp;"|"&amp;RIGHT("000000"&amp;$U759,6))</f>
        <v/>
      </c>
      <c r="W759">
        <f>IF($T759="","",COUNTIFS(LdBGroup,$R759,LdBKey,"&lt;"&amp;$T759)+1)</f>
        <v/>
      </c>
      <c r="X759">
        <f>IF($W759="","",$R759&amp;"|"&amp;RIGHT("000000"&amp;$W759,6))</f>
        <v/>
      </c>
      <c r="Y759">
        <f>IF($P759="","",IF(Shares!$E762="",0,Shares!$E762))</f>
        <v/>
      </c>
      <c r="Z759">
        <f>IF($P759="","",Shares!$H762)</f>
        <v/>
      </c>
      <c r="AE759">
        <f>IF(OR(Sync!$S759="",Sync!$P759=""),"",Sync!$S759)</f>
        <v/>
      </c>
      <c r="AF759">
        <f>IF($AE759="","",IF(ISNUMBER(Sync!$P759),IF(AND(Sync!$P759&gt;=10000101,Sync!$P759&lt;=99991231),INT(Sync!$P759/10000),""),IFERROR(VALUE(TRIM(LEFT(Sync!$P759,FIND("/",Sync!$P759)-1))),"")))</f>
        <v/>
      </c>
      <c r="AG759">
        <f>IF(OR($AE759="",$AF759=""),"",IF(ISNUMBER(Sync!$P759),INT(MOD(Sync!$P759,10000)/100),IFERROR(VALUE(TRIM(LEFT(MID(Sync!$P759,FIND("/",Sync!$P759)+1,20),FIND("/",MID(Sync!$P759,FIND("/",Sync!$P759)+1,20))-1))),"")))</f>
        <v/>
      </c>
      <c r="AH759">
        <f>IF(OR($AE759="",$AF759=""),"",IF(ISNUMBER(Sync!$P759),MOD(Sync!$P759,100),IFERROR(VALUE(TRIM(MID(MID(Sync!$P759,FIND("/",Sync!$P759)+1,20),FIND("/",MID(Sync!$P759,FIND("/",Sync!$P759)+1,20))+1,20))),"")))</f>
        <v/>
      </c>
      <c r="AI759">
        <f>IF($AE759="","",IF(OR($AF759="",$AG759="",$AH759="",$AF759&lt;1300,$AF759&gt;1500,$AG759&lt;1,$AG759&gt;12,$AH759&lt;1,$AH759&gt;31),"نامعتبر",RIGHT("0000"&amp;$AF759,4)&amp;"/"&amp;RIGHT("00"&amp;$AG759,2)&amp;"/"&amp;RIGHT("00"&amp;$AH759,2)))</f>
        <v/>
      </c>
      <c r="AJ759">
        <f>IF($AE759="","",IF(Sync!$Q759="","0000",IF(AND(ISNUMBER(Sync!$Q759),Sync!$Q759&gt;=0,Sync!$Q759&lt;1),RIGHT("00"&amp;HOUR(Sync!$Q759),2)&amp;RIGHT("00"&amp;MINUTE(Sync!$Q759),2),IFERROR(RIGHT("00"&amp;VALUE(LEFT(Sync!$Q759,FIND(":",Sync!$Q759)-1)),2)&amp;RIGHT("00"&amp;VALUE(MID(Sync!$Q759,FIND(":",Sync!$Q759)+1,2)),2),"0000"))))</f>
        <v/>
      </c>
      <c r="AK759">
        <f>IF(OR($AE759="",$AI759="",$AI759="نامعتبر"),"",LEFT($AI759,4)&amp;MID($AI759,6,2)&amp;RIGHT($AI759,2)&amp;$AJ759&amp;"|"&amp;"3"&amp;RIGHT("00000"&amp;754,5))</f>
        <v/>
      </c>
      <c r="AL759">
        <f>IF($AK759="","",COUNTIFS(LdAParty,$AE759,LdAType,1,LdAKey,"&lt;"&amp;$AK759)+COUNTIFS(LdBMember,$AE759,LdBKey,"&lt;"&amp;$AK759)+COUNTIFS(LdCParty,$AE759,LdCKey,"&lt;"&amp;$AK759)+1)</f>
        <v/>
      </c>
      <c r="AM759">
        <f>IF($AL759="","",$AE759&amp;"|"&amp;RIGHT("000000"&amp;$AL759,6))</f>
        <v/>
      </c>
      <c r="AN759">
        <f>IF($AE759="","",IF(Sync!$W759="",0,Sync!$W759))</f>
        <v/>
      </c>
      <c r="AO759">
        <f>IF($AE759="","",IF(Sync!$X759="",0,Sync!$X759))</f>
        <v/>
      </c>
      <c r="AP759">
        <f>IF($AE759="","",Sync!$R759)</f>
        <v/>
      </c>
      <c r="AQ759">
        <f>IF($AE759="","",Sync!$Y759)</f>
        <v/>
      </c>
    </row>
    <row r="760">
      <c r="A760">
        <f>IF(OR(Wages!$B763="",Wages!$E763=""),"",Wages!$E763)</f>
        <v/>
      </c>
      <c r="B760">
        <f>IF($A760="","",IF(Wages!$C763="دستمزد گروهی",2,1))</f>
        <v/>
      </c>
      <c r="C760">
        <f>IF($A760="","",IF(ISNUMBER(Wages!$B763),IF(AND(Wages!$B763&gt;=10000101,Wages!$B763&lt;=99991231),INT(Wages!$B763/10000),""),IFERROR(VALUE(TRIM(LEFT(Wages!$B763,FIND("/",Wages!$B763)-1))),"")))</f>
        <v/>
      </c>
      <c r="D760">
        <f>IF(OR($A760="",$C760=""),"",IF(ISNUMBER(Wages!$B763),INT(MOD(Wages!$B763,10000)/100),IFERROR(VALUE(TRIM(LEFT(MID(Wages!$B763,FIND("/",Wages!$B763)+1,20),FIND("/",MID(Wages!$B763,FIND("/",Wages!$B763)+1,20))-1))),"")))</f>
        <v/>
      </c>
      <c r="E760">
        <f>IF(OR($A760="",$C760=""),"",IF(ISNUMBER(Wages!$B763),MOD(Wages!$B763,100),IFERROR(VALUE(TRIM(MID(MID(Wages!$B763,FIND("/",Wages!$B763)+1,20),FIND("/",MID(Wages!$B763,FIND("/",Wages!$B763)+1,20))+1,20))),"")))</f>
        <v/>
      </c>
      <c r="F760">
        <f>IF($A760="","",IF(OR($C760="",$D760="",$E760="",$C760&lt;1300,$C760&gt;1500,$D760&lt;1,$D760&gt;12,$E760&lt;1,$E760&gt;31),"نامعتبر",RIGHT("0000"&amp;$C760,4)&amp;"/"&amp;RIGHT("00"&amp;$D760,2)&amp;"/"&amp;RIGHT("00"&amp;$E760,2)))</f>
        <v/>
      </c>
      <c r="G760">
        <f>IF(OR($A760="",$F760="",$F760="نامعتبر"),"",LEFT($F760,4)&amp;MID($F760,6,2)&amp;RIGHT($F760,2)&amp;"0000"&amp;"|"&amp;"1"&amp;RIGHT("00000"&amp;755,5))</f>
        <v/>
      </c>
      <c r="H760">
        <f>IF(OR($B760&lt;&gt;1,$G760=""),"",COUNTIFS(LdAParty,$A760,LdAType,1,LdAKey,"&lt;"&amp;$G760)+COUNTIFS(LdBMember,$A760,LdBKey,"&lt;"&amp;$G760)+COUNTIFS(LdCParty,$A760,LdCKey,"&lt;"&amp;$G760)+1)</f>
        <v/>
      </c>
      <c r="I760">
        <f>IF($H760="","",$A760&amp;"|"&amp;RIGHT("000000"&amp;$H760,6))</f>
        <v/>
      </c>
      <c r="J760">
        <f>IF(OR($B760&lt;&gt;2,$G760=""),"",COUNTIFS(LdAParty,$A760,LdAType,2,LdAKey,"&lt;"&amp;$G760)+1)</f>
        <v/>
      </c>
      <c r="K760">
        <f>IF($J760="","",$A760&amp;"|"&amp;RIGHT("000000"&amp;$J760,6))</f>
        <v/>
      </c>
      <c r="L760">
        <f>IF($A760="","",IF(Wages!$G763="",0,Wages!$G763))</f>
        <v/>
      </c>
      <c r="M760">
        <f>IF($A760="","",Wages!$J763)</f>
        <v/>
      </c>
      <c r="N760">
        <f>IF($A760="","",Wages!$D763)</f>
        <v/>
      </c>
      <c r="P760">
        <f>IF(OR(Shares!$B763="",Shares!$C763=""),"",Shares!$C763)</f>
        <v/>
      </c>
      <c r="Q760">
        <f>IF($P760="","",Shares!$B763)</f>
        <v/>
      </c>
      <c r="R760">
        <f>IF($P760="","",IFERROR(INDEX(WageParty,MATCH($Q760,WageIds,0)),""))</f>
        <v/>
      </c>
      <c r="S760">
        <f>IF($P760="","",IFERROR(INDEX($F$6:$F$2005,MATCH($Q760,WageIds,0)),""))</f>
        <v/>
      </c>
      <c r="T760">
        <f>IF(OR($P760="",$S760="",$S760="نامعتبر"),"",LEFT($S760,4)&amp;MID($S760,6,2)&amp;RIGHT($S760,2)&amp;"0000"&amp;"|"&amp;"2"&amp;RIGHT("00000"&amp;755,5))</f>
        <v/>
      </c>
      <c r="U760">
        <f>IF($T760="","",COUNTIFS(LdAParty,$P760,LdAType,1,LdAKey,"&lt;"&amp;$T760)+COUNTIFS(LdBMember,$P760,LdBKey,"&lt;"&amp;$T760)+COUNTIFS(LdCParty,$P760,LdCKey,"&lt;"&amp;$T760)+1)</f>
        <v/>
      </c>
      <c r="V760">
        <f>IF($U760="","",$P760&amp;"|"&amp;RIGHT("000000"&amp;$U760,6))</f>
        <v/>
      </c>
      <c r="W760">
        <f>IF($T760="","",COUNTIFS(LdBGroup,$R760,LdBKey,"&lt;"&amp;$T760)+1)</f>
        <v/>
      </c>
      <c r="X760">
        <f>IF($W760="","",$R760&amp;"|"&amp;RIGHT("000000"&amp;$W760,6))</f>
        <v/>
      </c>
      <c r="Y760">
        <f>IF($P760="","",IF(Shares!$E763="",0,Shares!$E763))</f>
        <v/>
      </c>
      <c r="Z760">
        <f>IF($P760="","",Shares!$H763)</f>
        <v/>
      </c>
      <c r="AE760">
        <f>IF(OR(Sync!$S760="",Sync!$P760=""),"",Sync!$S760)</f>
        <v/>
      </c>
      <c r="AF760">
        <f>IF($AE760="","",IF(ISNUMBER(Sync!$P760),IF(AND(Sync!$P760&gt;=10000101,Sync!$P760&lt;=99991231),INT(Sync!$P760/10000),""),IFERROR(VALUE(TRIM(LEFT(Sync!$P760,FIND("/",Sync!$P760)-1))),"")))</f>
        <v/>
      </c>
      <c r="AG760">
        <f>IF(OR($AE760="",$AF760=""),"",IF(ISNUMBER(Sync!$P760),INT(MOD(Sync!$P760,10000)/100),IFERROR(VALUE(TRIM(LEFT(MID(Sync!$P760,FIND("/",Sync!$P760)+1,20),FIND("/",MID(Sync!$P760,FIND("/",Sync!$P760)+1,20))-1))),"")))</f>
        <v/>
      </c>
      <c r="AH760">
        <f>IF(OR($AE760="",$AF760=""),"",IF(ISNUMBER(Sync!$P760),MOD(Sync!$P760,100),IFERROR(VALUE(TRIM(MID(MID(Sync!$P760,FIND("/",Sync!$P760)+1,20),FIND("/",MID(Sync!$P760,FIND("/",Sync!$P760)+1,20))+1,20))),"")))</f>
        <v/>
      </c>
      <c r="AI760">
        <f>IF($AE760="","",IF(OR($AF760="",$AG760="",$AH760="",$AF760&lt;1300,$AF760&gt;1500,$AG760&lt;1,$AG760&gt;12,$AH760&lt;1,$AH760&gt;31),"نامعتبر",RIGHT("0000"&amp;$AF760,4)&amp;"/"&amp;RIGHT("00"&amp;$AG760,2)&amp;"/"&amp;RIGHT("00"&amp;$AH760,2)))</f>
        <v/>
      </c>
      <c r="AJ760">
        <f>IF($AE760="","",IF(Sync!$Q760="","0000",IF(AND(ISNUMBER(Sync!$Q760),Sync!$Q760&gt;=0,Sync!$Q760&lt;1),RIGHT("00"&amp;HOUR(Sync!$Q760),2)&amp;RIGHT("00"&amp;MINUTE(Sync!$Q760),2),IFERROR(RIGHT("00"&amp;VALUE(LEFT(Sync!$Q760,FIND(":",Sync!$Q760)-1)),2)&amp;RIGHT("00"&amp;VALUE(MID(Sync!$Q760,FIND(":",Sync!$Q760)+1,2)),2),"0000"))))</f>
        <v/>
      </c>
      <c r="AK760">
        <f>IF(OR($AE760="",$AI760="",$AI760="نامعتبر"),"",LEFT($AI760,4)&amp;MID($AI760,6,2)&amp;RIGHT($AI760,2)&amp;$AJ760&amp;"|"&amp;"3"&amp;RIGHT("00000"&amp;755,5))</f>
        <v/>
      </c>
      <c r="AL760">
        <f>IF($AK760="","",COUNTIFS(LdAParty,$AE760,LdAType,1,LdAKey,"&lt;"&amp;$AK760)+COUNTIFS(LdBMember,$AE760,LdBKey,"&lt;"&amp;$AK760)+COUNTIFS(LdCParty,$AE760,LdCKey,"&lt;"&amp;$AK760)+1)</f>
        <v/>
      </c>
      <c r="AM760">
        <f>IF($AL760="","",$AE760&amp;"|"&amp;RIGHT("000000"&amp;$AL760,6))</f>
        <v/>
      </c>
      <c r="AN760">
        <f>IF($AE760="","",IF(Sync!$W760="",0,Sync!$W760))</f>
        <v/>
      </c>
      <c r="AO760">
        <f>IF($AE760="","",IF(Sync!$X760="",0,Sync!$X760))</f>
        <v/>
      </c>
      <c r="AP760">
        <f>IF($AE760="","",Sync!$R760)</f>
        <v/>
      </c>
      <c r="AQ760">
        <f>IF($AE760="","",Sync!$Y760)</f>
        <v/>
      </c>
    </row>
    <row r="761">
      <c r="A761">
        <f>IF(OR(Wages!$B764="",Wages!$E764=""),"",Wages!$E764)</f>
        <v/>
      </c>
      <c r="B761">
        <f>IF($A761="","",IF(Wages!$C764="دستمزد گروهی",2,1))</f>
        <v/>
      </c>
      <c r="C761">
        <f>IF($A761="","",IF(ISNUMBER(Wages!$B764),IF(AND(Wages!$B764&gt;=10000101,Wages!$B764&lt;=99991231),INT(Wages!$B764/10000),""),IFERROR(VALUE(TRIM(LEFT(Wages!$B764,FIND("/",Wages!$B764)-1))),"")))</f>
        <v/>
      </c>
      <c r="D761">
        <f>IF(OR($A761="",$C761=""),"",IF(ISNUMBER(Wages!$B764),INT(MOD(Wages!$B764,10000)/100),IFERROR(VALUE(TRIM(LEFT(MID(Wages!$B764,FIND("/",Wages!$B764)+1,20),FIND("/",MID(Wages!$B764,FIND("/",Wages!$B764)+1,20))-1))),"")))</f>
        <v/>
      </c>
      <c r="E761">
        <f>IF(OR($A761="",$C761=""),"",IF(ISNUMBER(Wages!$B764),MOD(Wages!$B764,100),IFERROR(VALUE(TRIM(MID(MID(Wages!$B764,FIND("/",Wages!$B764)+1,20),FIND("/",MID(Wages!$B764,FIND("/",Wages!$B764)+1,20))+1,20))),"")))</f>
        <v/>
      </c>
      <c r="F761">
        <f>IF($A761="","",IF(OR($C761="",$D761="",$E761="",$C761&lt;1300,$C761&gt;1500,$D761&lt;1,$D761&gt;12,$E761&lt;1,$E761&gt;31),"نامعتبر",RIGHT("0000"&amp;$C761,4)&amp;"/"&amp;RIGHT("00"&amp;$D761,2)&amp;"/"&amp;RIGHT("00"&amp;$E761,2)))</f>
        <v/>
      </c>
      <c r="G761">
        <f>IF(OR($A761="",$F761="",$F761="نامعتبر"),"",LEFT($F761,4)&amp;MID($F761,6,2)&amp;RIGHT($F761,2)&amp;"0000"&amp;"|"&amp;"1"&amp;RIGHT("00000"&amp;756,5))</f>
        <v/>
      </c>
      <c r="H761">
        <f>IF(OR($B761&lt;&gt;1,$G761=""),"",COUNTIFS(LdAParty,$A761,LdAType,1,LdAKey,"&lt;"&amp;$G761)+COUNTIFS(LdBMember,$A761,LdBKey,"&lt;"&amp;$G761)+COUNTIFS(LdCParty,$A761,LdCKey,"&lt;"&amp;$G761)+1)</f>
        <v/>
      </c>
      <c r="I761">
        <f>IF($H761="","",$A761&amp;"|"&amp;RIGHT("000000"&amp;$H761,6))</f>
        <v/>
      </c>
      <c r="J761">
        <f>IF(OR($B761&lt;&gt;2,$G761=""),"",COUNTIFS(LdAParty,$A761,LdAType,2,LdAKey,"&lt;"&amp;$G761)+1)</f>
        <v/>
      </c>
      <c r="K761">
        <f>IF($J761="","",$A761&amp;"|"&amp;RIGHT("000000"&amp;$J761,6))</f>
        <v/>
      </c>
      <c r="L761">
        <f>IF($A761="","",IF(Wages!$G764="",0,Wages!$G764))</f>
        <v/>
      </c>
      <c r="M761">
        <f>IF($A761="","",Wages!$J764)</f>
        <v/>
      </c>
      <c r="N761">
        <f>IF($A761="","",Wages!$D764)</f>
        <v/>
      </c>
      <c r="P761">
        <f>IF(OR(Shares!$B764="",Shares!$C764=""),"",Shares!$C764)</f>
        <v/>
      </c>
      <c r="Q761">
        <f>IF($P761="","",Shares!$B764)</f>
        <v/>
      </c>
      <c r="R761">
        <f>IF($P761="","",IFERROR(INDEX(WageParty,MATCH($Q761,WageIds,0)),""))</f>
        <v/>
      </c>
      <c r="S761">
        <f>IF($P761="","",IFERROR(INDEX($F$6:$F$2005,MATCH($Q761,WageIds,0)),""))</f>
        <v/>
      </c>
      <c r="T761">
        <f>IF(OR($P761="",$S761="",$S761="نامعتبر"),"",LEFT($S761,4)&amp;MID($S761,6,2)&amp;RIGHT($S761,2)&amp;"0000"&amp;"|"&amp;"2"&amp;RIGHT("00000"&amp;756,5))</f>
        <v/>
      </c>
      <c r="U761">
        <f>IF($T761="","",COUNTIFS(LdAParty,$P761,LdAType,1,LdAKey,"&lt;"&amp;$T761)+COUNTIFS(LdBMember,$P761,LdBKey,"&lt;"&amp;$T761)+COUNTIFS(LdCParty,$P761,LdCKey,"&lt;"&amp;$T761)+1)</f>
        <v/>
      </c>
      <c r="V761">
        <f>IF($U761="","",$P761&amp;"|"&amp;RIGHT("000000"&amp;$U761,6))</f>
        <v/>
      </c>
      <c r="W761">
        <f>IF($T761="","",COUNTIFS(LdBGroup,$R761,LdBKey,"&lt;"&amp;$T761)+1)</f>
        <v/>
      </c>
      <c r="X761">
        <f>IF($W761="","",$R761&amp;"|"&amp;RIGHT("000000"&amp;$W761,6))</f>
        <v/>
      </c>
      <c r="Y761">
        <f>IF($P761="","",IF(Shares!$E764="",0,Shares!$E764))</f>
        <v/>
      </c>
      <c r="Z761">
        <f>IF($P761="","",Shares!$H764)</f>
        <v/>
      </c>
      <c r="AE761">
        <f>IF(OR(Sync!$S761="",Sync!$P761=""),"",Sync!$S761)</f>
        <v/>
      </c>
      <c r="AF761">
        <f>IF($AE761="","",IF(ISNUMBER(Sync!$P761),IF(AND(Sync!$P761&gt;=10000101,Sync!$P761&lt;=99991231),INT(Sync!$P761/10000),""),IFERROR(VALUE(TRIM(LEFT(Sync!$P761,FIND("/",Sync!$P761)-1))),"")))</f>
        <v/>
      </c>
      <c r="AG761">
        <f>IF(OR($AE761="",$AF761=""),"",IF(ISNUMBER(Sync!$P761),INT(MOD(Sync!$P761,10000)/100),IFERROR(VALUE(TRIM(LEFT(MID(Sync!$P761,FIND("/",Sync!$P761)+1,20),FIND("/",MID(Sync!$P761,FIND("/",Sync!$P761)+1,20))-1))),"")))</f>
        <v/>
      </c>
      <c r="AH761">
        <f>IF(OR($AE761="",$AF761=""),"",IF(ISNUMBER(Sync!$P761),MOD(Sync!$P761,100),IFERROR(VALUE(TRIM(MID(MID(Sync!$P761,FIND("/",Sync!$P761)+1,20),FIND("/",MID(Sync!$P761,FIND("/",Sync!$P761)+1,20))+1,20))),"")))</f>
        <v/>
      </c>
      <c r="AI761">
        <f>IF($AE761="","",IF(OR($AF761="",$AG761="",$AH761="",$AF761&lt;1300,$AF761&gt;1500,$AG761&lt;1,$AG761&gt;12,$AH761&lt;1,$AH761&gt;31),"نامعتبر",RIGHT("0000"&amp;$AF761,4)&amp;"/"&amp;RIGHT("00"&amp;$AG761,2)&amp;"/"&amp;RIGHT("00"&amp;$AH761,2)))</f>
        <v/>
      </c>
      <c r="AJ761">
        <f>IF($AE761="","",IF(Sync!$Q761="","0000",IF(AND(ISNUMBER(Sync!$Q761),Sync!$Q761&gt;=0,Sync!$Q761&lt;1),RIGHT("00"&amp;HOUR(Sync!$Q761),2)&amp;RIGHT("00"&amp;MINUTE(Sync!$Q761),2),IFERROR(RIGHT("00"&amp;VALUE(LEFT(Sync!$Q761,FIND(":",Sync!$Q761)-1)),2)&amp;RIGHT("00"&amp;VALUE(MID(Sync!$Q761,FIND(":",Sync!$Q761)+1,2)),2),"0000"))))</f>
        <v/>
      </c>
      <c r="AK761">
        <f>IF(OR($AE761="",$AI761="",$AI761="نامعتبر"),"",LEFT($AI761,4)&amp;MID($AI761,6,2)&amp;RIGHT($AI761,2)&amp;$AJ761&amp;"|"&amp;"3"&amp;RIGHT("00000"&amp;756,5))</f>
        <v/>
      </c>
      <c r="AL761">
        <f>IF($AK761="","",COUNTIFS(LdAParty,$AE761,LdAType,1,LdAKey,"&lt;"&amp;$AK761)+COUNTIFS(LdBMember,$AE761,LdBKey,"&lt;"&amp;$AK761)+COUNTIFS(LdCParty,$AE761,LdCKey,"&lt;"&amp;$AK761)+1)</f>
        <v/>
      </c>
      <c r="AM761">
        <f>IF($AL761="","",$AE761&amp;"|"&amp;RIGHT("000000"&amp;$AL761,6))</f>
        <v/>
      </c>
      <c r="AN761">
        <f>IF($AE761="","",IF(Sync!$W761="",0,Sync!$W761))</f>
        <v/>
      </c>
      <c r="AO761">
        <f>IF($AE761="","",IF(Sync!$X761="",0,Sync!$X761))</f>
        <v/>
      </c>
      <c r="AP761">
        <f>IF($AE761="","",Sync!$R761)</f>
        <v/>
      </c>
      <c r="AQ761">
        <f>IF($AE761="","",Sync!$Y761)</f>
        <v/>
      </c>
    </row>
    <row r="762">
      <c r="A762">
        <f>IF(OR(Wages!$B765="",Wages!$E765=""),"",Wages!$E765)</f>
        <v/>
      </c>
      <c r="B762">
        <f>IF($A762="","",IF(Wages!$C765="دستمزد گروهی",2,1))</f>
        <v/>
      </c>
      <c r="C762">
        <f>IF($A762="","",IF(ISNUMBER(Wages!$B765),IF(AND(Wages!$B765&gt;=10000101,Wages!$B765&lt;=99991231),INT(Wages!$B765/10000),""),IFERROR(VALUE(TRIM(LEFT(Wages!$B765,FIND("/",Wages!$B765)-1))),"")))</f>
        <v/>
      </c>
      <c r="D762">
        <f>IF(OR($A762="",$C762=""),"",IF(ISNUMBER(Wages!$B765),INT(MOD(Wages!$B765,10000)/100),IFERROR(VALUE(TRIM(LEFT(MID(Wages!$B765,FIND("/",Wages!$B765)+1,20),FIND("/",MID(Wages!$B765,FIND("/",Wages!$B765)+1,20))-1))),"")))</f>
        <v/>
      </c>
      <c r="E762">
        <f>IF(OR($A762="",$C762=""),"",IF(ISNUMBER(Wages!$B765),MOD(Wages!$B765,100),IFERROR(VALUE(TRIM(MID(MID(Wages!$B765,FIND("/",Wages!$B765)+1,20),FIND("/",MID(Wages!$B765,FIND("/",Wages!$B765)+1,20))+1,20))),"")))</f>
        <v/>
      </c>
      <c r="F762">
        <f>IF($A762="","",IF(OR($C762="",$D762="",$E762="",$C762&lt;1300,$C762&gt;1500,$D762&lt;1,$D762&gt;12,$E762&lt;1,$E762&gt;31),"نامعتبر",RIGHT("0000"&amp;$C762,4)&amp;"/"&amp;RIGHT("00"&amp;$D762,2)&amp;"/"&amp;RIGHT("00"&amp;$E762,2)))</f>
        <v/>
      </c>
      <c r="G762">
        <f>IF(OR($A762="",$F762="",$F762="نامعتبر"),"",LEFT($F762,4)&amp;MID($F762,6,2)&amp;RIGHT($F762,2)&amp;"0000"&amp;"|"&amp;"1"&amp;RIGHT("00000"&amp;757,5))</f>
        <v/>
      </c>
      <c r="H762">
        <f>IF(OR($B762&lt;&gt;1,$G762=""),"",COUNTIFS(LdAParty,$A762,LdAType,1,LdAKey,"&lt;"&amp;$G762)+COUNTIFS(LdBMember,$A762,LdBKey,"&lt;"&amp;$G762)+COUNTIFS(LdCParty,$A762,LdCKey,"&lt;"&amp;$G762)+1)</f>
        <v/>
      </c>
      <c r="I762">
        <f>IF($H762="","",$A762&amp;"|"&amp;RIGHT("000000"&amp;$H762,6))</f>
        <v/>
      </c>
      <c r="J762">
        <f>IF(OR($B762&lt;&gt;2,$G762=""),"",COUNTIFS(LdAParty,$A762,LdAType,2,LdAKey,"&lt;"&amp;$G762)+1)</f>
        <v/>
      </c>
      <c r="K762">
        <f>IF($J762="","",$A762&amp;"|"&amp;RIGHT("000000"&amp;$J762,6))</f>
        <v/>
      </c>
      <c r="L762">
        <f>IF($A762="","",IF(Wages!$G765="",0,Wages!$G765))</f>
        <v/>
      </c>
      <c r="M762">
        <f>IF($A762="","",Wages!$J765)</f>
        <v/>
      </c>
      <c r="N762">
        <f>IF($A762="","",Wages!$D765)</f>
        <v/>
      </c>
      <c r="P762">
        <f>IF(OR(Shares!$B765="",Shares!$C765=""),"",Shares!$C765)</f>
        <v/>
      </c>
      <c r="Q762">
        <f>IF($P762="","",Shares!$B765)</f>
        <v/>
      </c>
      <c r="R762">
        <f>IF($P762="","",IFERROR(INDEX(WageParty,MATCH($Q762,WageIds,0)),""))</f>
        <v/>
      </c>
      <c r="S762">
        <f>IF($P762="","",IFERROR(INDEX($F$6:$F$2005,MATCH($Q762,WageIds,0)),""))</f>
        <v/>
      </c>
      <c r="T762">
        <f>IF(OR($P762="",$S762="",$S762="نامعتبر"),"",LEFT($S762,4)&amp;MID($S762,6,2)&amp;RIGHT($S762,2)&amp;"0000"&amp;"|"&amp;"2"&amp;RIGHT("00000"&amp;757,5))</f>
        <v/>
      </c>
      <c r="U762">
        <f>IF($T762="","",COUNTIFS(LdAParty,$P762,LdAType,1,LdAKey,"&lt;"&amp;$T762)+COUNTIFS(LdBMember,$P762,LdBKey,"&lt;"&amp;$T762)+COUNTIFS(LdCParty,$P762,LdCKey,"&lt;"&amp;$T762)+1)</f>
        <v/>
      </c>
      <c r="V762">
        <f>IF($U762="","",$P762&amp;"|"&amp;RIGHT("000000"&amp;$U762,6))</f>
        <v/>
      </c>
      <c r="W762">
        <f>IF($T762="","",COUNTIFS(LdBGroup,$R762,LdBKey,"&lt;"&amp;$T762)+1)</f>
        <v/>
      </c>
      <c r="X762">
        <f>IF($W762="","",$R762&amp;"|"&amp;RIGHT("000000"&amp;$W762,6))</f>
        <v/>
      </c>
      <c r="Y762">
        <f>IF($P762="","",IF(Shares!$E765="",0,Shares!$E765))</f>
        <v/>
      </c>
      <c r="Z762">
        <f>IF($P762="","",Shares!$H765)</f>
        <v/>
      </c>
      <c r="AE762">
        <f>IF(OR(Sync!$S762="",Sync!$P762=""),"",Sync!$S762)</f>
        <v/>
      </c>
      <c r="AF762">
        <f>IF($AE762="","",IF(ISNUMBER(Sync!$P762),IF(AND(Sync!$P762&gt;=10000101,Sync!$P762&lt;=99991231),INT(Sync!$P762/10000),""),IFERROR(VALUE(TRIM(LEFT(Sync!$P762,FIND("/",Sync!$P762)-1))),"")))</f>
        <v/>
      </c>
      <c r="AG762">
        <f>IF(OR($AE762="",$AF762=""),"",IF(ISNUMBER(Sync!$P762),INT(MOD(Sync!$P762,10000)/100),IFERROR(VALUE(TRIM(LEFT(MID(Sync!$P762,FIND("/",Sync!$P762)+1,20),FIND("/",MID(Sync!$P762,FIND("/",Sync!$P762)+1,20))-1))),"")))</f>
        <v/>
      </c>
      <c r="AH762">
        <f>IF(OR($AE762="",$AF762=""),"",IF(ISNUMBER(Sync!$P762),MOD(Sync!$P762,100),IFERROR(VALUE(TRIM(MID(MID(Sync!$P762,FIND("/",Sync!$P762)+1,20),FIND("/",MID(Sync!$P762,FIND("/",Sync!$P762)+1,20))+1,20))),"")))</f>
        <v/>
      </c>
      <c r="AI762">
        <f>IF($AE762="","",IF(OR($AF762="",$AG762="",$AH762="",$AF762&lt;1300,$AF762&gt;1500,$AG762&lt;1,$AG762&gt;12,$AH762&lt;1,$AH762&gt;31),"نامعتبر",RIGHT("0000"&amp;$AF762,4)&amp;"/"&amp;RIGHT("00"&amp;$AG762,2)&amp;"/"&amp;RIGHT("00"&amp;$AH762,2)))</f>
        <v/>
      </c>
      <c r="AJ762">
        <f>IF($AE762="","",IF(Sync!$Q762="","0000",IF(AND(ISNUMBER(Sync!$Q762),Sync!$Q762&gt;=0,Sync!$Q762&lt;1),RIGHT("00"&amp;HOUR(Sync!$Q762),2)&amp;RIGHT("00"&amp;MINUTE(Sync!$Q762),2),IFERROR(RIGHT("00"&amp;VALUE(LEFT(Sync!$Q762,FIND(":",Sync!$Q762)-1)),2)&amp;RIGHT("00"&amp;VALUE(MID(Sync!$Q762,FIND(":",Sync!$Q762)+1,2)),2),"0000"))))</f>
        <v/>
      </c>
      <c r="AK762">
        <f>IF(OR($AE762="",$AI762="",$AI762="نامعتبر"),"",LEFT($AI762,4)&amp;MID($AI762,6,2)&amp;RIGHT($AI762,2)&amp;$AJ762&amp;"|"&amp;"3"&amp;RIGHT("00000"&amp;757,5))</f>
        <v/>
      </c>
      <c r="AL762">
        <f>IF($AK762="","",COUNTIFS(LdAParty,$AE762,LdAType,1,LdAKey,"&lt;"&amp;$AK762)+COUNTIFS(LdBMember,$AE762,LdBKey,"&lt;"&amp;$AK762)+COUNTIFS(LdCParty,$AE762,LdCKey,"&lt;"&amp;$AK762)+1)</f>
        <v/>
      </c>
      <c r="AM762">
        <f>IF($AL762="","",$AE762&amp;"|"&amp;RIGHT("000000"&amp;$AL762,6))</f>
        <v/>
      </c>
      <c r="AN762">
        <f>IF($AE762="","",IF(Sync!$W762="",0,Sync!$W762))</f>
        <v/>
      </c>
      <c r="AO762">
        <f>IF($AE762="","",IF(Sync!$X762="",0,Sync!$X762))</f>
        <v/>
      </c>
      <c r="AP762">
        <f>IF($AE762="","",Sync!$R762)</f>
        <v/>
      </c>
      <c r="AQ762">
        <f>IF($AE762="","",Sync!$Y762)</f>
        <v/>
      </c>
    </row>
    <row r="763">
      <c r="A763">
        <f>IF(OR(Wages!$B766="",Wages!$E766=""),"",Wages!$E766)</f>
        <v/>
      </c>
      <c r="B763">
        <f>IF($A763="","",IF(Wages!$C766="دستمزد گروهی",2,1))</f>
        <v/>
      </c>
      <c r="C763">
        <f>IF($A763="","",IF(ISNUMBER(Wages!$B766),IF(AND(Wages!$B766&gt;=10000101,Wages!$B766&lt;=99991231),INT(Wages!$B766/10000),""),IFERROR(VALUE(TRIM(LEFT(Wages!$B766,FIND("/",Wages!$B766)-1))),"")))</f>
        <v/>
      </c>
      <c r="D763">
        <f>IF(OR($A763="",$C763=""),"",IF(ISNUMBER(Wages!$B766),INT(MOD(Wages!$B766,10000)/100),IFERROR(VALUE(TRIM(LEFT(MID(Wages!$B766,FIND("/",Wages!$B766)+1,20),FIND("/",MID(Wages!$B766,FIND("/",Wages!$B766)+1,20))-1))),"")))</f>
        <v/>
      </c>
      <c r="E763">
        <f>IF(OR($A763="",$C763=""),"",IF(ISNUMBER(Wages!$B766),MOD(Wages!$B766,100),IFERROR(VALUE(TRIM(MID(MID(Wages!$B766,FIND("/",Wages!$B766)+1,20),FIND("/",MID(Wages!$B766,FIND("/",Wages!$B766)+1,20))+1,20))),"")))</f>
        <v/>
      </c>
      <c r="F763">
        <f>IF($A763="","",IF(OR($C763="",$D763="",$E763="",$C763&lt;1300,$C763&gt;1500,$D763&lt;1,$D763&gt;12,$E763&lt;1,$E763&gt;31),"نامعتبر",RIGHT("0000"&amp;$C763,4)&amp;"/"&amp;RIGHT("00"&amp;$D763,2)&amp;"/"&amp;RIGHT("00"&amp;$E763,2)))</f>
        <v/>
      </c>
      <c r="G763">
        <f>IF(OR($A763="",$F763="",$F763="نامعتبر"),"",LEFT($F763,4)&amp;MID($F763,6,2)&amp;RIGHT($F763,2)&amp;"0000"&amp;"|"&amp;"1"&amp;RIGHT("00000"&amp;758,5))</f>
        <v/>
      </c>
      <c r="H763">
        <f>IF(OR($B763&lt;&gt;1,$G763=""),"",COUNTIFS(LdAParty,$A763,LdAType,1,LdAKey,"&lt;"&amp;$G763)+COUNTIFS(LdBMember,$A763,LdBKey,"&lt;"&amp;$G763)+COUNTIFS(LdCParty,$A763,LdCKey,"&lt;"&amp;$G763)+1)</f>
        <v/>
      </c>
      <c r="I763">
        <f>IF($H763="","",$A763&amp;"|"&amp;RIGHT("000000"&amp;$H763,6))</f>
        <v/>
      </c>
      <c r="J763">
        <f>IF(OR($B763&lt;&gt;2,$G763=""),"",COUNTIFS(LdAParty,$A763,LdAType,2,LdAKey,"&lt;"&amp;$G763)+1)</f>
        <v/>
      </c>
      <c r="K763">
        <f>IF($J763="","",$A763&amp;"|"&amp;RIGHT("000000"&amp;$J763,6))</f>
        <v/>
      </c>
      <c r="L763">
        <f>IF($A763="","",IF(Wages!$G766="",0,Wages!$G766))</f>
        <v/>
      </c>
      <c r="M763">
        <f>IF($A763="","",Wages!$J766)</f>
        <v/>
      </c>
      <c r="N763">
        <f>IF($A763="","",Wages!$D766)</f>
        <v/>
      </c>
      <c r="P763">
        <f>IF(OR(Shares!$B766="",Shares!$C766=""),"",Shares!$C766)</f>
        <v/>
      </c>
      <c r="Q763">
        <f>IF($P763="","",Shares!$B766)</f>
        <v/>
      </c>
      <c r="R763">
        <f>IF($P763="","",IFERROR(INDEX(WageParty,MATCH($Q763,WageIds,0)),""))</f>
        <v/>
      </c>
      <c r="S763">
        <f>IF($P763="","",IFERROR(INDEX($F$6:$F$2005,MATCH($Q763,WageIds,0)),""))</f>
        <v/>
      </c>
      <c r="T763">
        <f>IF(OR($P763="",$S763="",$S763="نامعتبر"),"",LEFT($S763,4)&amp;MID($S763,6,2)&amp;RIGHT($S763,2)&amp;"0000"&amp;"|"&amp;"2"&amp;RIGHT("00000"&amp;758,5))</f>
        <v/>
      </c>
      <c r="U763">
        <f>IF($T763="","",COUNTIFS(LdAParty,$P763,LdAType,1,LdAKey,"&lt;"&amp;$T763)+COUNTIFS(LdBMember,$P763,LdBKey,"&lt;"&amp;$T763)+COUNTIFS(LdCParty,$P763,LdCKey,"&lt;"&amp;$T763)+1)</f>
        <v/>
      </c>
      <c r="V763">
        <f>IF($U763="","",$P763&amp;"|"&amp;RIGHT("000000"&amp;$U763,6))</f>
        <v/>
      </c>
      <c r="W763">
        <f>IF($T763="","",COUNTIFS(LdBGroup,$R763,LdBKey,"&lt;"&amp;$T763)+1)</f>
        <v/>
      </c>
      <c r="X763">
        <f>IF($W763="","",$R763&amp;"|"&amp;RIGHT("000000"&amp;$W763,6))</f>
        <v/>
      </c>
      <c r="Y763">
        <f>IF($P763="","",IF(Shares!$E766="",0,Shares!$E766))</f>
        <v/>
      </c>
      <c r="Z763">
        <f>IF($P763="","",Shares!$H766)</f>
        <v/>
      </c>
      <c r="AE763">
        <f>IF(OR(Sync!$S763="",Sync!$P763=""),"",Sync!$S763)</f>
        <v/>
      </c>
      <c r="AF763">
        <f>IF($AE763="","",IF(ISNUMBER(Sync!$P763),IF(AND(Sync!$P763&gt;=10000101,Sync!$P763&lt;=99991231),INT(Sync!$P763/10000),""),IFERROR(VALUE(TRIM(LEFT(Sync!$P763,FIND("/",Sync!$P763)-1))),"")))</f>
        <v/>
      </c>
      <c r="AG763">
        <f>IF(OR($AE763="",$AF763=""),"",IF(ISNUMBER(Sync!$P763),INT(MOD(Sync!$P763,10000)/100),IFERROR(VALUE(TRIM(LEFT(MID(Sync!$P763,FIND("/",Sync!$P763)+1,20),FIND("/",MID(Sync!$P763,FIND("/",Sync!$P763)+1,20))-1))),"")))</f>
        <v/>
      </c>
      <c r="AH763">
        <f>IF(OR($AE763="",$AF763=""),"",IF(ISNUMBER(Sync!$P763),MOD(Sync!$P763,100),IFERROR(VALUE(TRIM(MID(MID(Sync!$P763,FIND("/",Sync!$P763)+1,20),FIND("/",MID(Sync!$P763,FIND("/",Sync!$P763)+1,20))+1,20))),"")))</f>
        <v/>
      </c>
      <c r="AI763">
        <f>IF($AE763="","",IF(OR($AF763="",$AG763="",$AH763="",$AF763&lt;1300,$AF763&gt;1500,$AG763&lt;1,$AG763&gt;12,$AH763&lt;1,$AH763&gt;31),"نامعتبر",RIGHT("0000"&amp;$AF763,4)&amp;"/"&amp;RIGHT("00"&amp;$AG763,2)&amp;"/"&amp;RIGHT("00"&amp;$AH763,2)))</f>
        <v/>
      </c>
      <c r="AJ763">
        <f>IF($AE763="","",IF(Sync!$Q763="","0000",IF(AND(ISNUMBER(Sync!$Q763),Sync!$Q763&gt;=0,Sync!$Q763&lt;1),RIGHT("00"&amp;HOUR(Sync!$Q763),2)&amp;RIGHT("00"&amp;MINUTE(Sync!$Q763),2),IFERROR(RIGHT("00"&amp;VALUE(LEFT(Sync!$Q763,FIND(":",Sync!$Q763)-1)),2)&amp;RIGHT("00"&amp;VALUE(MID(Sync!$Q763,FIND(":",Sync!$Q763)+1,2)),2),"0000"))))</f>
        <v/>
      </c>
      <c r="AK763">
        <f>IF(OR($AE763="",$AI763="",$AI763="نامعتبر"),"",LEFT($AI763,4)&amp;MID($AI763,6,2)&amp;RIGHT($AI763,2)&amp;$AJ763&amp;"|"&amp;"3"&amp;RIGHT("00000"&amp;758,5))</f>
        <v/>
      </c>
      <c r="AL763">
        <f>IF($AK763="","",COUNTIFS(LdAParty,$AE763,LdAType,1,LdAKey,"&lt;"&amp;$AK763)+COUNTIFS(LdBMember,$AE763,LdBKey,"&lt;"&amp;$AK763)+COUNTIFS(LdCParty,$AE763,LdCKey,"&lt;"&amp;$AK763)+1)</f>
        <v/>
      </c>
      <c r="AM763">
        <f>IF($AL763="","",$AE763&amp;"|"&amp;RIGHT("000000"&amp;$AL763,6))</f>
        <v/>
      </c>
      <c r="AN763">
        <f>IF($AE763="","",IF(Sync!$W763="",0,Sync!$W763))</f>
        <v/>
      </c>
      <c r="AO763">
        <f>IF($AE763="","",IF(Sync!$X763="",0,Sync!$X763))</f>
        <v/>
      </c>
      <c r="AP763">
        <f>IF($AE763="","",Sync!$R763)</f>
        <v/>
      </c>
      <c r="AQ763">
        <f>IF($AE763="","",Sync!$Y763)</f>
        <v/>
      </c>
    </row>
    <row r="764">
      <c r="A764">
        <f>IF(OR(Wages!$B767="",Wages!$E767=""),"",Wages!$E767)</f>
        <v/>
      </c>
      <c r="B764">
        <f>IF($A764="","",IF(Wages!$C767="دستمزد گروهی",2,1))</f>
        <v/>
      </c>
      <c r="C764">
        <f>IF($A764="","",IF(ISNUMBER(Wages!$B767),IF(AND(Wages!$B767&gt;=10000101,Wages!$B767&lt;=99991231),INT(Wages!$B767/10000),""),IFERROR(VALUE(TRIM(LEFT(Wages!$B767,FIND("/",Wages!$B767)-1))),"")))</f>
        <v/>
      </c>
      <c r="D764">
        <f>IF(OR($A764="",$C764=""),"",IF(ISNUMBER(Wages!$B767),INT(MOD(Wages!$B767,10000)/100),IFERROR(VALUE(TRIM(LEFT(MID(Wages!$B767,FIND("/",Wages!$B767)+1,20),FIND("/",MID(Wages!$B767,FIND("/",Wages!$B767)+1,20))-1))),"")))</f>
        <v/>
      </c>
      <c r="E764">
        <f>IF(OR($A764="",$C764=""),"",IF(ISNUMBER(Wages!$B767),MOD(Wages!$B767,100),IFERROR(VALUE(TRIM(MID(MID(Wages!$B767,FIND("/",Wages!$B767)+1,20),FIND("/",MID(Wages!$B767,FIND("/",Wages!$B767)+1,20))+1,20))),"")))</f>
        <v/>
      </c>
      <c r="F764">
        <f>IF($A764="","",IF(OR($C764="",$D764="",$E764="",$C764&lt;1300,$C764&gt;1500,$D764&lt;1,$D764&gt;12,$E764&lt;1,$E764&gt;31),"نامعتبر",RIGHT("0000"&amp;$C764,4)&amp;"/"&amp;RIGHT("00"&amp;$D764,2)&amp;"/"&amp;RIGHT("00"&amp;$E764,2)))</f>
        <v/>
      </c>
      <c r="G764">
        <f>IF(OR($A764="",$F764="",$F764="نامعتبر"),"",LEFT($F764,4)&amp;MID($F764,6,2)&amp;RIGHT($F764,2)&amp;"0000"&amp;"|"&amp;"1"&amp;RIGHT("00000"&amp;759,5))</f>
        <v/>
      </c>
      <c r="H764">
        <f>IF(OR($B764&lt;&gt;1,$G764=""),"",COUNTIFS(LdAParty,$A764,LdAType,1,LdAKey,"&lt;"&amp;$G764)+COUNTIFS(LdBMember,$A764,LdBKey,"&lt;"&amp;$G764)+COUNTIFS(LdCParty,$A764,LdCKey,"&lt;"&amp;$G764)+1)</f>
        <v/>
      </c>
      <c r="I764">
        <f>IF($H764="","",$A764&amp;"|"&amp;RIGHT("000000"&amp;$H764,6))</f>
        <v/>
      </c>
      <c r="J764">
        <f>IF(OR($B764&lt;&gt;2,$G764=""),"",COUNTIFS(LdAParty,$A764,LdAType,2,LdAKey,"&lt;"&amp;$G764)+1)</f>
        <v/>
      </c>
      <c r="K764">
        <f>IF($J764="","",$A764&amp;"|"&amp;RIGHT("000000"&amp;$J764,6))</f>
        <v/>
      </c>
      <c r="L764">
        <f>IF($A764="","",IF(Wages!$G767="",0,Wages!$G767))</f>
        <v/>
      </c>
      <c r="M764">
        <f>IF($A764="","",Wages!$J767)</f>
        <v/>
      </c>
      <c r="N764">
        <f>IF($A764="","",Wages!$D767)</f>
        <v/>
      </c>
      <c r="P764">
        <f>IF(OR(Shares!$B767="",Shares!$C767=""),"",Shares!$C767)</f>
        <v/>
      </c>
      <c r="Q764">
        <f>IF($P764="","",Shares!$B767)</f>
        <v/>
      </c>
      <c r="R764">
        <f>IF($P764="","",IFERROR(INDEX(WageParty,MATCH($Q764,WageIds,0)),""))</f>
        <v/>
      </c>
      <c r="S764">
        <f>IF($P764="","",IFERROR(INDEX($F$6:$F$2005,MATCH($Q764,WageIds,0)),""))</f>
        <v/>
      </c>
      <c r="T764">
        <f>IF(OR($P764="",$S764="",$S764="نامعتبر"),"",LEFT($S764,4)&amp;MID($S764,6,2)&amp;RIGHT($S764,2)&amp;"0000"&amp;"|"&amp;"2"&amp;RIGHT("00000"&amp;759,5))</f>
        <v/>
      </c>
      <c r="U764">
        <f>IF($T764="","",COUNTIFS(LdAParty,$P764,LdAType,1,LdAKey,"&lt;"&amp;$T764)+COUNTIFS(LdBMember,$P764,LdBKey,"&lt;"&amp;$T764)+COUNTIFS(LdCParty,$P764,LdCKey,"&lt;"&amp;$T764)+1)</f>
        <v/>
      </c>
      <c r="V764">
        <f>IF($U764="","",$P764&amp;"|"&amp;RIGHT("000000"&amp;$U764,6))</f>
        <v/>
      </c>
      <c r="W764">
        <f>IF($T764="","",COUNTIFS(LdBGroup,$R764,LdBKey,"&lt;"&amp;$T764)+1)</f>
        <v/>
      </c>
      <c r="X764">
        <f>IF($W764="","",$R764&amp;"|"&amp;RIGHT("000000"&amp;$W764,6))</f>
        <v/>
      </c>
      <c r="Y764">
        <f>IF($P764="","",IF(Shares!$E767="",0,Shares!$E767))</f>
        <v/>
      </c>
      <c r="Z764">
        <f>IF($P764="","",Shares!$H767)</f>
        <v/>
      </c>
      <c r="AE764">
        <f>IF(OR(Sync!$S764="",Sync!$P764=""),"",Sync!$S764)</f>
        <v/>
      </c>
      <c r="AF764">
        <f>IF($AE764="","",IF(ISNUMBER(Sync!$P764),IF(AND(Sync!$P764&gt;=10000101,Sync!$P764&lt;=99991231),INT(Sync!$P764/10000),""),IFERROR(VALUE(TRIM(LEFT(Sync!$P764,FIND("/",Sync!$P764)-1))),"")))</f>
        <v/>
      </c>
      <c r="AG764">
        <f>IF(OR($AE764="",$AF764=""),"",IF(ISNUMBER(Sync!$P764),INT(MOD(Sync!$P764,10000)/100),IFERROR(VALUE(TRIM(LEFT(MID(Sync!$P764,FIND("/",Sync!$P764)+1,20),FIND("/",MID(Sync!$P764,FIND("/",Sync!$P764)+1,20))-1))),"")))</f>
        <v/>
      </c>
      <c r="AH764">
        <f>IF(OR($AE764="",$AF764=""),"",IF(ISNUMBER(Sync!$P764),MOD(Sync!$P764,100),IFERROR(VALUE(TRIM(MID(MID(Sync!$P764,FIND("/",Sync!$P764)+1,20),FIND("/",MID(Sync!$P764,FIND("/",Sync!$P764)+1,20))+1,20))),"")))</f>
        <v/>
      </c>
      <c r="AI764">
        <f>IF($AE764="","",IF(OR($AF764="",$AG764="",$AH764="",$AF764&lt;1300,$AF764&gt;1500,$AG764&lt;1,$AG764&gt;12,$AH764&lt;1,$AH764&gt;31),"نامعتبر",RIGHT("0000"&amp;$AF764,4)&amp;"/"&amp;RIGHT("00"&amp;$AG764,2)&amp;"/"&amp;RIGHT("00"&amp;$AH764,2)))</f>
        <v/>
      </c>
      <c r="AJ764">
        <f>IF($AE764="","",IF(Sync!$Q764="","0000",IF(AND(ISNUMBER(Sync!$Q764),Sync!$Q764&gt;=0,Sync!$Q764&lt;1),RIGHT("00"&amp;HOUR(Sync!$Q764),2)&amp;RIGHT("00"&amp;MINUTE(Sync!$Q764),2),IFERROR(RIGHT("00"&amp;VALUE(LEFT(Sync!$Q764,FIND(":",Sync!$Q764)-1)),2)&amp;RIGHT("00"&amp;VALUE(MID(Sync!$Q764,FIND(":",Sync!$Q764)+1,2)),2),"0000"))))</f>
        <v/>
      </c>
      <c r="AK764">
        <f>IF(OR($AE764="",$AI764="",$AI764="نامعتبر"),"",LEFT($AI764,4)&amp;MID($AI764,6,2)&amp;RIGHT($AI764,2)&amp;$AJ764&amp;"|"&amp;"3"&amp;RIGHT("00000"&amp;759,5))</f>
        <v/>
      </c>
      <c r="AL764">
        <f>IF($AK764="","",COUNTIFS(LdAParty,$AE764,LdAType,1,LdAKey,"&lt;"&amp;$AK764)+COUNTIFS(LdBMember,$AE764,LdBKey,"&lt;"&amp;$AK764)+COUNTIFS(LdCParty,$AE764,LdCKey,"&lt;"&amp;$AK764)+1)</f>
        <v/>
      </c>
      <c r="AM764">
        <f>IF($AL764="","",$AE764&amp;"|"&amp;RIGHT("000000"&amp;$AL764,6))</f>
        <v/>
      </c>
      <c r="AN764">
        <f>IF($AE764="","",IF(Sync!$W764="",0,Sync!$W764))</f>
        <v/>
      </c>
      <c r="AO764">
        <f>IF($AE764="","",IF(Sync!$X764="",0,Sync!$X764))</f>
        <v/>
      </c>
      <c r="AP764">
        <f>IF($AE764="","",Sync!$R764)</f>
        <v/>
      </c>
      <c r="AQ764">
        <f>IF($AE764="","",Sync!$Y764)</f>
        <v/>
      </c>
    </row>
    <row r="765">
      <c r="A765">
        <f>IF(OR(Wages!$B768="",Wages!$E768=""),"",Wages!$E768)</f>
        <v/>
      </c>
      <c r="B765">
        <f>IF($A765="","",IF(Wages!$C768="دستمزد گروهی",2,1))</f>
        <v/>
      </c>
      <c r="C765">
        <f>IF($A765="","",IF(ISNUMBER(Wages!$B768),IF(AND(Wages!$B768&gt;=10000101,Wages!$B768&lt;=99991231),INT(Wages!$B768/10000),""),IFERROR(VALUE(TRIM(LEFT(Wages!$B768,FIND("/",Wages!$B768)-1))),"")))</f>
        <v/>
      </c>
      <c r="D765">
        <f>IF(OR($A765="",$C765=""),"",IF(ISNUMBER(Wages!$B768),INT(MOD(Wages!$B768,10000)/100),IFERROR(VALUE(TRIM(LEFT(MID(Wages!$B768,FIND("/",Wages!$B768)+1,20),FIND("/",MID(Wages!$B768,FIND("/",Wages!$B768)+1,20))-1))),"")))</f>
        <v/>
      </c>
      <c r="E765">
        <f>IF(OR($A765="",$C765=""),"",IF(ISNUMBER(Wages!$B768),MOD(Wages!$B768,100),IFERROR(VALUE(TRIM(MID(MID(Wages!$B768,FIND("/",Wages!$B768)+1,20),FIND("/",MID(Wages!$B768,FIND("/",Wages!$B768)+1,20))+1,20))),"")))</f>
        <v/>
      </c>
      <c r="F765">
        <f>IF($A765="","",IF(OR($C765="",$D765="",$E765="",$C765&lt;1300,$C765&gt;1500,$D765&lt;1,$D765&gt;12,$E765&lt;1,$E765&gt;31),"نامعتبر",RIGHT("0000"&amp;$C765,4)&amp;"/"&amp;RIGHT("00"&amp;$D765,2)&amp;"/"&amp;RIGHT("00"&amp;$E765,2)))</f>
        <v/>
      </c>
      <c r="G765">
        <f>IF(OR($A765="",$F765="",$F765="نامعتبر"),"",LEFT($F765,4)&amp;MID($F765,6,2)&amp;RIGHT($F765,2)&amp;"0000"&amp;"|"&amp;"1"&amp;RIGHT("00000"&amp;760,5))</f>
        <v/>
      </c>
      <c r="H765">
        <f>IF(OR($B765&lt;&gt;1,$G765=""),"",COUNTIFS(LdAParty,$A765,LdAType,1,LdAKey,"&lt;"&amp;$G765)+COUNTIFS(LdBMember,$A765,LdBKey,"&lt;"&amp;$G765)+COUNTIFS(LdCParty,$A765,LdCKey,"&lt;"&amp;$G765)+1)</f>
        <v/>
      </c>
      <c r="I765">
        <f>IF($H765="","",$A765&amp;"|"&amp;RIGHT("000000"&amp;$H765,6))</f>
        <v/>
      </c>
      <c r="J765">
        <f>IF(OR($B765&lt;&gt;2,$G765=""),"",COUNTIFS(LdAParty,$A765,LdAType,2,LdAKey,"&lt;"&amp;$G765)+1)</f>
        <v/>
      </c>
      <c r="K765">
        <f>IF($J765="","",$A765&amp;"|"&amp;RIGHT("000000"&amp;$J765,6))</f>
        <v/>
      </c>
      <c r="L765">
        <f>IF($A765="","",IF(Wages!$G768="",0,Wages!$G768))</f>
        <v/>
      </c>
      <c r="M765">
        <f>IF($A765="","",Wages!$J768)</f>
        <v/>
      </c>
      <c r="N765">
        <f>IF($A765="","",Wages!$D768)</f>
        <v/>
      </c>
      <c r="P765">
        <f>IF(OR(Shares!$B768="",Shares!$C768=""),"",Shares!$C768)</f>
        <v/>
      </c>
      <c r="Q765">
        <f>IF($P765="","",Shares!$B768)</f>
        <v/>
      </c>
      <c r="R765">
        <f>IF($P765="","",IFERROR(INDEX(WageParty,MATCH($Q765,WageIds,0)),""))</f>
        <v/>
      </c>
      <c r="S765">
        <f>IF($P765="","",IFERROR(INDEX($F$6:$F$2005,MATCH($Q765,WageIds,0)),""))</f>
        <v/>
      </c>
      <c r="T765">
        <f>IF(OR($P765="",$S765="",$S765="نامعتبر"),"",LEFT($S765,4)&amp;MID($S765,6,2)&amp;RIGHT($S765,2)&amp;"0000"&amp;"|"&amp;"2"&amp;RIGHT("00000"&amp;760,5))</f>
        <v/>
      </c>
      <c r="U765">
        <f>IF($T765="","",COUNTIFS(LdAParty,$P765,LdAType,1,LdAKey,"&lt;"&amp;$T765)+COUNTIFS(LdBMember,$P765,LdBKey,"&lt;"&amp;$T765)+COUNTIFS(LdCParty,$P765,LdCKey,"&lt;"&amp;$T765)+1)</f>
        <v/>
      </c>
      <c r="V765">
        <f>IF($U765="","",$P765&amp;"|"&amp;RIGHT("000000"&amp;$U765,6))</f>
        <v/>
      </c>
      <c r="W765">
        <f>IF($T765="","",COUNTIFS(LdBGroup,$R765,LdBKey,"&lt;"&amp;$T765)+1)</f>
        <v/>
      </c>
      <c r="X765">
        <f>IF($W765="","",$R765&amp;"|"&amp;RIGHT("000000"&amp;$W765,6))</f>
        <v/>
      </c>
      <c r="Y765">
        <f>IF($P765="","",IF(Shares!$E768="",0,Shares!$E768))</f>
        <v/>
      </c>
      <c r="Z765">
        <f>IF($P765="","",Shares!$H768)</f>
        <v/>
      </c>
      <c r="AE765">
        <f>IF(OR(Sync!$S765="",Sync!$P765=""),"",Sync!$S765)</f>
        <v/>
      </c>
      <c r="AF765">
        <f>IF($AE765="","",IF(ISNUMBER(Sync!$P765),IF(AND(Sync!$P765&gt;=10000101,Sync!$P765&lt;=99991231),INT(Sync!$P765/10000),""),IFERROR(VALUE(TRIM(LEFT(Sync!$P765,FIND("/",Sync!$P765)-1))),"")))</f>
        <v/>
      </c>
      <c r="AG765">
        <f>IF(OR($AE765="",$AF765=""),"",IF(ISNUMBER(Sync!$P765),INT(MOD(Sync!$P765,10000)/100),IFERROR(VALUE(TRIM(LEFT(MID(Sync!$P765,FIND("/",Sync!$P765)+1,20),FIND("/",MID(Sync!$P765,FIND("/",Sync!$P765)+1,20))-1))),"")))</f>
        <v/>
      </c>
      <c r="AH765">
        <f>IF(OR($AE765="",$AF765=""),"",IF(ISNUMBER(Sync!$P765),MOD(Sync!$P765,100),IFERROR(VALUE(TRIM(MID(MID(Sync!$P765,FIND("/",Sync!$P765)+1,20),FIND("/",MID(Sync!$P765,FIND("/",Sync!$P765)+1,20))+1,20))),"")))</f>
        <v/>
      </c>
      <c r="AI765">
        <f>IF($AE765="","",IF(OR($AF765="",$AG765="",$AH765="",$AF765&lt;1300,$AF765&gt;1500,$AG765&lt;1,$AG765&gt;12,$AH765&lt;1,$AH765&gt;31),"نامعتبر",RIGHT("0000"&amp;$AF765,4)&amp;"/"&amp;RIGHT("00"&amp;$AG765,2)&amp;"/"&amp;RIGHT("00"&amp;$AH765,2)))</f>
        <v/>
      </c>
      <c r="AJ765">
        <f>IF($AE765="","",IF(Sync!$Q765="","0000",IF(AND(ISNUMBER(Sync!$Q765),Sync!$Q765&gt;=0,Sync!$Q765&lt;1),RIGHT("00"&amp;HOUR(Sync!$Q765),2)&amp;RIGHT("00"&amp;MINUTE(Sync!$Q765),2),IFERROR(RIGHT("00"&amp;VALUE(LEFT(Sync!$Q765,FIND(":",Sync!$Q765)-1)),2)&amp;RIGHT("00"&amp;VALUE(MID(Sync!$Q765,FIND(":",Sync!$Q765)+1,2)),2),"0000"))))</f>
        <v/>
      </c>
      <c r="AK765">
        <f>IF(OR($AE765="",$AI765="",$AI765="نامعتبر"),"",LEFT($AI765,4)&amp;MID($AI765,6,2)&amp;RIGHT($AI765,2)&amp;$AJ765&amp;"|"&amp;"3"&amp;RIGHT("00000"&amp;760,5))</f>
        <v/>
      </c>
      <c r="AL765">
        <f>IF($AK765="","",COUNTIFS(LdAParty,$AE765,LdAType,1,LdAKey,"&lt;"&amp;$AK765)+COUNTIFS(LdBMember,$AE765,LdBKey,"&lt;"&amp;$AK765)+COUNTIFS(LdCParty,$AE765,LdCKey,"&lt;"&amp;$AK765)+1)</f>
        <v/>
      </c>
      <c r="AM765">
        <f>IF($AL765="","",$AE765&amp;"|"&amp;RIGHT("000000"&amp;$AL765,6))</f>
        <v/>
      </c>
      <c r="AN765">
        <f>IF($AE765="","",IF(Sync!$W765="",0,Sync!$W765))</f>
        <v/>
      </c>
      <c r="AO765">
        <f>IF($AE765="","",IF(Sync!$X765="",0,Sync!$X765))</f>
        <v/>
      </c>
      <c r="AP765">
        <f>IF($AE765="","",Sync!$R765)</f>
        <v/>
      </c>
      <c r="AQ765">
        <f>IF($AE765="","",Sync!$Y765)</f>
        <v/>
      </c>
    </row>
    <row r="766">
      <c r="A766">
        <f>IF(OR(Wages!$B769="",Wages!$E769=""),"",Wages!$E769)</f>
        <v/>
      </c>
      <c r="B766">
        <f>IF($A766="","",IF(Wages!$C769="دستمزد گروهی",2,1))</f>
        <v/>
      </c>
      <c r="C766">
        <f>IF($A766="","",IF(ISNUMBER(Wages!$B769),IF(AND(Wages!$B769&gt;=10000101,Wages!$B769&lt;=99991231),INT(Wages!$B769/10000),""),IFERROR(VALUE(TRIM(LEFT(Wages!$B769,FIND("/",Wages!$B769)-1))),"")))</f>
        <v/>
      </c>
      <c r="D766">
        <f>IF(OR($A766="",$C766=""),"",IF(ISNUMBER(Wages!$B769),INT(MOD(Wages!$B769,10000)/100),IFERROR(VALUE(TRIM(LEFT(MID(Wages!$B769,FIND("/",Wages!$B769)+1,20),FIND("/",MID(Wages!$B769,FIND("/",Wages!$B769)+1,20))-1))),"")))</f>
        <v/>
      </c>
      <c r="E766">
        <f>IF(OR($A766="",$C766=""),"",IF(ISNUMBER(Wages!$B769),MOD(Wages!$B769,100),IFERROR(VALUE(TRIM(MID(MID(Wages!$B769,FIND("/",Wages!$B769)+1,20),FIND("/",MID(Wages!$B769,FIND("/",Wages!$B769)+1,20))+1,20))),"")))</f>
        <v/>
      </c>
      <c r="F766">
        <f>IF($A766="","",IF(OR($C766="",$D766="",$E766="",$C766&lt;1300,$C766&gt;1500,$D766&lt;1,$D766&gt;12,$E766&lt;1,$E766&gt;31),"نامعتبر",RIGHT("0000"&amp;$C766,4)&amp;"/"&amp;RIGHT("00"&amp;$D766,2)&amp;"/"&amp;RIGHT("00"&amp;$E766,2)))</f>
        <v/>
      </c>
      <c r="G766">
        <f>IF(OR($A766="",$F766="",$F766="نامعتبر"),"",LEFT($F766,4)&amp;MID($F766,6,2)&amp;RIGHT($F766,2)&amp;"0000"&amp;"|"&amp;"1"&amp;RIGHT("00000"&amp;761,5))</f>
        <v/>
      </c>
      <c r="H766">
        <f>IF(OR($B766&lt;&gt;1,$G766=""),"",COUNTIFS(LdAParty,$A766,LdAType,1,LdAKey,"&lt;"&amp;$G766)+COUNTIFS(LdBMember,$A766,LdBKey,"&lt;"&amp;$G766)+COUNTIFS(LdCParty,$A766,LdCKey,"&lt;"&amp;$G766)+1)</f>
        <v/>
      </c>
      <c r="I766">
        <f>IF($H766="","",$A766&amp;"|"&amp;RIGHT("000000"&amp;$H766,6))</f>
        <v/>
      </c>
      <c r="J766">
        <f>IF(OR($B766&lt;&gt;2,$G766=""),"",COUNTIFS(LdAParty,$A766,LdAType,2,LdAKey,"&lt;"&amp;$G766)+1)</f>
        <v/>
      </c>
      <c r="K766">
        <f>IF($J766="","",$A766&amp;"|"&amp;RIGHT("000000"&amp;$J766,6))</f>
        <v/>
      </c>
      <c r="L766">
        <f>IF($A766="","",IF(Wages!$G769="",0,Wages!$G769))</f>
        <v/>
      </c>
      <c r="M766">
        <f>IF($A766="","",Wages!$J769)</f>
        <v/>
      </c>
      <c r="N766">
        <f>IF($A766="","",Wages!$D769)</f>
        <v/>
      </c>
      <c r="P766">
        <f>IF(OR(Shares!$B769="",Shares!$C769=""),"",Shares!$C769)</f>
        <v/>
      </c>
      <c r="Q766">
        <f>IF($P766="","",Shares!$B769)</f>
        <v/>
      </c>
      <c r="R766">
        <f>IF($P766="","",IFERROR(INDEX(WageParty,MATCH($Q766,WageIds,0)),""))</f>
        <v/>
      </c>
      <c r="S766">
        <f>IF($P766="","",IFERROR(INDEX($F$6:$F$2005,MATCH($Q766,WageIds,0)),""))</f>
        <v/>
      </c>
      <c r="T766">
        <f>IF(OR($P766="",$S766="",$S766="نامعتبر"),"",LEFT($S766,4)&amp;MID($S766,6,2)&amp;RIGHT($S766,2)&amp;"0000"&amp;"|"&amp;"2"&amp;RIGHT("00000"&amp;761,5))</f>
        <v/>
      </c>
      <c r="U766">
        <f>IF($T766="","",COUNTIFS(LdAParty,$P766,LdAType,1,LdAKey,"&lt;"&amp;$T766)+COUNTIFS(LdBMember,$P766,LdBKey,"&lt;"&amp;$T766)+COUNTIFS(LdCParty,$P766,LdCKey,"&lt;"&amp;$T766)+1)</f>
        <v/>
      </c>
      <c r="V766">
        <f>IF($U766="","",$P766&amp;"|"&amp;RIGHT("000000"&amp;$U766,6))</f>
        <v/>
      </c>
      <c r="W766">
        <f>IF($T766="","",COUNTIFS(LdBGroup,$R766,LdBKey,"&lt;"&amp;$T766)+1)</f>
        <v/>
      </c>
      <c r="X766">
        <f>IF($W766="","",$R766&amp;"|"&amp;RIGHT("000000"&amp;$W766,6))</f>
        <v/>
      </c>
      <c r="Y766">
        <f>IF($P766="","",IF(Shares!$E769="",0,Shares!$E769))</f>
        <v/>
      </c>
      <c r="Z766">
        <f>IF($P766="","",Shares!$H769)</f>
        <v/>
      </c>
      <c r="AE766">
        <f>IF(OR(Sync!$S766="",Sync!$P766=""),"",Sync!$S766)</f>
        <v/>
      </c>
      <c r="AF766">
        <f>IF($AE766="","",IF(ISNUMBER(Sync!$P766),IF(AND(Sync!$P766&gt;=10000101,Sync!$P766&lt;=99991231),INT(Sync!$P766/10000),""),IFERROR(VALUE(TRIM(LEFT(Sync!$P766,FIND("/",Sync!$P766)-1))),"")))</f>
        <v/>
      </c>
      <c r="AG766">
        <f>IF(OR($AE766="",$AF766=""),"",IF(ISNUMBER(Sync!$P766),INT(MOD(Sync!$P766,10000)/100),IFERROR(VALUE(TRIM(LEFT(MID(Sync!$P766,FIND("/",Sync!$P766)+1,20),FIND("/",MID(Sync!$P766,FIND("/",Sync!$P766)+1,20))-1))),"")))</f>
        <v/>
      </c>
      <c r="AH766">
        <f>IF(OR($AE766="",$AF766=""),"",IF(ISNUMBER(Sync!$P766),MOD(Sync!$P766,100),IFERROR(VALUE(TRIM(MID(MID(Sync!$P766,FIND("/",Sync!$P766)+1,20),FIND("/",MID(Sync!$P766,FIND("/",Sync!$P766)+1,20))+1,20))),"")))</f>
        <v/>
      </c>
      <c r="AI766">
        <f>IF($AE766="","",IF(OR($AF766="",$AG766="",$AH766="",$AF766&lt;1300,$AF766&gt;1500,$AG766&lt;1,$AG766&gt;12,$AH766&lt;1,$AH766&gt;31),"نامعتبر",RIGHT("0000"&amp;$AF766,4)&amp;"/"&amp;RIGHT("00"&amp;$AG766,2)&amp;"/"&amp;RIGHT("00"&amp;$AH766,2)))</f>
        <v/>
      </c>
      <c r="AJ766">
        <f>IF($AE766="","",IF(Sync!$Q766="","0000",IF(AND(ISNUMBER(Sync!$Q766),Sync!$Q766&gt;=0,Sync!$Q766&lt;1),RIGHT("00"&amp;HOUR(Sync!$Q766),2)&amp;RIGHT("00"&amp;MINUTE(Sync!$Q766),2),IFERROR(RIGHT("00"&amp;VALUE(LEFT(Sync!$Q766,FIND(":",Sync!$Q766)-1)),2)&amp;RIGHT("00"&amp;VALUE(MID(Sync!$Q766,FIND(":",Sync!$Q766)+1,2)),2),"0000"))))</f>
        <v/>
      </c>
      <c r="AK766">
        <f>IF(OR($AE766="",$AI766="",$AI766="نامعتبر"),"",LEFT($AI766,4)&amp;MID($AI766,6,2)&amp;RIGHT($AI766,2)&amp;$AJ766&amp;"|"&amp;"3"&amp;RIGHT("00000"&amp;761,5))</f>
        <v/>
      </c>
      <c r="AL766">
        <f>IF($AK766="","",COUNTIFS(LdAParty,$AE766,LdAType,1,LdAKey,"&lt;"&amp;$AK766)+COUNTIFS(LdBMember,$AE766,LdBKey,"&lt;"&amp;$AK766)+COUNTIFS(LdCParty,$AE766,LdCKey,"&lt;"&amp;$AK766)+1)</f>
        <v/>
      </c>
      <c r="AM766">
        <f>IF($AL766="","",$AE766&amp;"|"&amp;RIGHT("000000"&amp;$AL766,6))</f>
        <v/>
      </c>
      <c r="AN766">
        <f>IF($AE766="","",IF(Sync!$W766="",0,Sync!$W766))</f>
        <v/>
      </c>
      <c r="AO766">
        <f>IF($AE766="","",IF(Sync!$X766="",0,Sync!$X766))</f>
        <v/>
      </c>
      <c r="AP766">
        <f>IF($AE766="","",Sync!$R766)</f>
        <v/>
      </c>
      <c r="AQ766">
        <f>IF($AE766="","",Sync!$Y766)</f>
        <v/>
      </c>
    </row>
    <row r="767">
      <c r="A767">
        <f>IF(OR(Wages!$B770="",Wages!$E770=""),"",Wages!$E770)</f>
        <v/>
      </c>
      <c r="B767">
        <f>IF($A767="","",IF(Wages!$C770="دستمزد گروهی",2,1))</f>
        <v/>
      </c>
      <c r="C767">
        <f>IF($A767="","",IF(ISNUMBER(Wages!$B770),IF(AND(Wages!$B770&gt;=10000101,Wages!$B770&lt;=99991231),INT(Wages!$B770/10000),""),IFERROR(VALUE(TRIM(LEFT(Wages!$B770,FIND("/",Wages!$B770)-1))),"")))</f>
        <v/>
      </c>
      <c r="D767">
        <f>IF(OR($A767="",$C767=""),"",IF(ISNUMBER(Wages!$B770),INT(MOD(Wages!$B770,10000)/100),IFERROR(VALUE(TRIM(LEFT(MID(Wages!$B770,FIND("/",Wages!$B770)+1,20),FIND("/",MID(Wages!$B770,FIND("/",Wages!$B770)+1,20))-1))),"")))</f>
        <v/>
      </c>
      <c r="E767">
        <f>IF(OR($A767="",$C767=""),"",IF(ISNUMBER(Wages!$B770),MOD(Wages!$B770,100),IFERROR(VALUE(TRIM(MID(MID(Wages!$B770,FIND("/",Wages!$B770)+1,20),FIND("/",MID(Wages!$B770,FIND("/",Wages!$B770)+1,20))+1,20))),"")))</f>
        <v/>
      </c>
      <c r="F767">
        <f>IF($A767="","",IF(OR($C767="",$D767="",$E767="",$C767&lt;1300,$C767&gt;1500,$D767&lt;1,$D767&gt;12,$E767&lt;1,$E767&gt;31),"نامعتبر",RIGHT("0000"&amp;$C767,4)&amp;"/"&amp;RIGHT("00"&amp;$D767,2)&amp;"/"&amp;RIGHT("00"&amp;$E767,2)))</f>
        <v/>
      </c>
      <c r="G767">
        <f>IF(OR($A767="",$F767="",$F767="نامعتبر"),"",LEFT($F767,4)&amp;MID($F767,6,2)&amp;RIGHT($F767,2)&amp;"0000"&amp;"|"&amp;"1"&amp;RIGHT("00000"&amp;762,5))</f>
        <v/>
      </c>
      <c r="H767">
        <f>IF(OR($B767&lt;&gt;1,$G767=""),"",COUNTIFS(LdAParty,$A767,LdAType,1,LdAKey,"&lt;"&amp;$G767)+COUNTIFS(LdBMember,$A767,LdBKey,"&lt;"&amp;$G767)+COUNTIFS(LdCParty,$A767,LdCKey,"&lt;"&amp;$G767)+1)</f>
        <v/>
      </c>
      <c r="I767">
        <f>IF($H767="","",$A767&amp;"|"&amp;RIGHT("000000"&amp;$H767,6))</f>
        <v/>
      </c>
      <c r="J767">
        <f>IF(OR($B767&lt;&gt;2,$G767=""),"",COUNTIFS(LdAParty,$A767,LdAType,2,LdAKey,"&lt;"&amp;$G767)+1)</f>
        <v/>
      </c>
      <c r="K767">
        <f>IF($J767="","",$A767&amp;"|"&amp;RIGHT("000000"&amp;$J767,6))</f>
        <v/>
      </c>
      <c r="L767">
        <f>IF($A767="","",IF(Wages!$G770="",0,Wages!$G770))</f>
        <v/>
      </c>
      <c r="M767">
        <f>IF($A767="","",Wages!$J770)</f>
        <v/>
      </c>
      <c r="N767">
        <f>IF($A767="","",Wages!$D770)</f>
        <v/>
      </c>
      <c r="P767">
        <f>IF(OR(Shares!$B770="",Shares!$C770=""),"",Shares!$C770)</f>
        <v/>
      </c>
      <c r="Q767">
        <f>IF($P767="","",Shares!$B770)</f>
        <v/>
      </c>
      <c r="R767">
        <f>IF($P767="","",IFERROR(INDEX(WageParty,MATCH($Q767,WageIds,0)),""))</f>
        <v/>
      </c>
      <c r="S767">
        <f>IF($P767="","",IFERROR(INDEX($F$6:$F$2005,MATCH($Q767,WageIds,0)),""))</f>
        <v/>
      </c>
      <c r="T767">
        <f>IF(OR($P767="",$S767="",$S767="نامعتبر"),"",LEFT($S767,4)&amp;MID($S767,6,2)&amp;RIGHT($S767,2)&amp;"0000"&amp;"|"&amp;"2"&amp;RIGHT("00000"&amp;762,5))</f>
        <v/>
      </c>
      <c r="U767">
        <f>IF($T767="","",COUNTIFS(LdAParty,$P767,LdAType,1,LdAKey,"&lt;"&amp;$T767)+COUNTIFS(LdBMember,$P767,LdBKey,"&lt;"&amp;$T767)+COUNTIFS(LdCParty,$P767,LdCKey,"&lt;"&amp;$T767)+1)</f>
        <v/>
      </c>
      <c r="V767">
        <f>IF($U767="","",$P767&amp;"|"&amp;RIGHT("000000"&amp;$U767,6))</f>
        <v/>
      </c>
      <c r="W767">
        <f>IF($T767="","",COUNTIFS(LdBGroup,$R767,LdBKey,"&lt;"&amp;$T767)+1)</f>
        <v/>
      </c>
      <c r="X767">
        <f>IF($W767="","",$R767&amp;"|"&amp;RIGHT("000000"&amp;$W767,6))</f>
        <v/>
      </c>
      <c r="Y767">
        <f>IF($P767="","",IF(Shares!$E770="",0,Shares!$E770))</f>
        <v/>
      </c>
      <c r="Z767">
        <f>IF($P767="","",Shares!$H770)</f>
        <v/>
      </c>
      <c r="AE767">
        <f>IF(OR(Sync!$S767="",Sync!$P767=""),"",Sync!$S767)</f>
        <v/>
      </c>
      <c r="AF767">
        <f>IF($AE767="","",IF(ISNUMBER(Sync!$P767),IF(AND(Sync!$P767&gt;=10000101,Sync!$P767&lt;=99991231),INT(Sync!$P767/10000),""),IFERROR(VALUE(TRIM(LEFT(Sync!$P767,FIND("/",Sync!$P767)-1))),"")))</f>
        <v/>
      </c>
      <c r="AG767">
        <f>IF(OR($AE767="",$AF767=""),"",IF(ISNUMBER(Sync!$P767),INT(MOD(Sync!$P767,10000)/100),IFERROR(VALUE(TRIM(LEFT(MID(Sync!$P767,FIND("/",Sync!$P767)+1,20),FIND("/",MID(Sync!$P767,FIND("/",Sync!$P767)+1,20))-1))),"")))</f>
        <v/>
      </c>
      <c r="AH767">
        <f>IF(OR($AE767="",$AF767=""),"",IF(ISNUMBER(Sync!$P767),MOD(Sync!$P767,100),IFERROR(VALUE(TRIM(MID(MID(Sync!$P767,FIND("/",Sync!$P767)+1,20),FIND("/",MID(Sync!$P767,FIND("/",Sync!$P767)+1,20))+1,20))),"")))</f>
        <v/>
      </c>
      <c r="AI767">
        <f>IF($AE767="","",IF(OR($AF767="",$AG767="",$AH767="",$AF767&lt;1300,$AF767&gt;1500,$AG767&lt;1,$AG767&gt;12,$AH767&lt;1,$AH767&gt;31),"نامعتبر",RIGHT("0000"&amp;$AF767,4)&amp;"/"&amp;RIGHT("00"&amp;$AG767,2)&amp;"/"&amp;RIGHT("00"&amp;$AH767,2)))</f>
        <v/>
      </c>
      <c r="AJ767">
        <f>IF($AE767="","",IF(Sync!$Q767="","0000",IF(AND(ISNUMBER(Sync!$Q767),Sync!$Q767&gt;=0,Sync!$Q767&lt;1),RIGHT("00"&amp;HOUR(Sync!$Q767),2)&amp;RIGHT("00"&amp;MINUTE(Sync!$Q767),2),IFERROR(RIGHT("00"&amp;VALUE(LEFT(Sync!$Q767,FIND(":",Sync!$Q767)-1)),2)&amp;RIGHT("00"&amp;VALUE(MID(Sync!$Q767,FIND(":",Sync!$Q767)+1,2)),2),"0000"))))</f>
        <v/>
      </c>
      <c r="AK767">
        <f>IF(OR($AE767="",$AI767="",$AI767="نامعتبر"),"",LEFT($AI767,4)&amp;MID($AI767,6,2)&amp;RIGHT($AI767,2)&amp;$AJ767&amp;"|"&amp;"3"&amp;RIGHT("00000"&amp;762,5))</f>
        <v/>
      </c>
      <c r="AL767">
        <f>IF($AK767="","",COUNTIFS(LdAParty,$AE767,LdAType,1,LdAKey,"&lt;"&amp;$AK767)+COUNTIFS(LdBMember,$AE767,LdBKey,"&lt;"&amp;$AK767)+COUNTIFS(LdCParty,$AE767,LdCKey,"&lt;"&amp;$AK767)+1)</f>
        <v/>
      </c>
      <c r="AM767">
        <f>IF($AL767="","",$AE767&amp;"|"&amp;RIGHT("000000"&amp;$AL767,6))</f>
        <v/>
      </c>
      <c r="AN767">
        <f>IF($AE767="","",IF(Sync!$W767="",0,Sync!$W767))</f>
        <v/>
      </c>
      <c r="AO767">
        <f>IF($AE767="","",IF(Sync!$X767="",0,Sync!$X767))</f>
        <v/>
      </c>
      <c r="AP767">
        <f>IF($AE767="","",Sync!$R767)</f>
        <v/>
      </c>
      <c r="AQ767">
        <f>IF($AE767="","",Sync!$Y767)</f>
        <v/>
      </c>
    </row>
    <row r="768">
      <c r="A768">
        <f>IF(OR(Wages!$B771="",Wages!$E771=""),"",Wages!$E771)</f>
        <v/>
      </c>
      <c r="B768">
        <f>IF($A768="","",IF(Wages!$C771="دستمزد گروهی",2,1))</f>
        <v/>
      </c>
      <c r="C768">
        <f>IF($A768="","",IF(ISNUMBER(Wages!$B771),IF(AND(Wages!$B771&gt;=10000101,Wages!$B771&lt;=99991231),INT(Wages!$B771/10000),""),IFERROR(VALUE(TRIM(LEFT(Wages!$B771,FIND("/",Wages!$B771)-1))),"")))</f>
        <v/>
      </c>
      <c r="D768">
        <f>IF(OR($A768="",$C768=""),"",IF(ISNUMBER(Wages!$B771),INT(MOD(Wages!$B771,10000)/100),IFERROR(VALUE(TRIM(LEFT(MID(Wages!$B771,FIND("/",Wages!$B771)+1,20),FIND("/",MID(Wages!$B771,FIND("/",Wages!$B771)+1,20))-1))),"")))</f>
        <v/>
      </c>
      <c r="E768">
        <f>IF(OR($A768="",$C768=""),"",IF(ISNUMBER(Wages!$B771),MOD(Wages!$B771,100),IFERROR(VALUE(TRIM(MID(MID(Wages!$B771,FIND("/",Wages!$B771)+1,20),FIND("/",MID(Wages!$B771,FIND("/",Wages!$B771)+1,20))+1,20))),"")))</f>
        <v/>
      </c>
      <c r="F768">
        <f>IF($A768="","",IF(OR($C768="",$D768="",$E768="",$C768&lt;1300,$C768&gt;1500,$D768&lt;1,$D768&gt;12,$E768&lt;1,$E768&gt;31),"نامعتبر",RIGHT("0000"&amp;$C768,4)&amp;"/"&amp;RIGHT("00"&amp;$D768,2)&amp;"/"&amp;RIGHT("00"&amp;$E768,2)))</f>
        <v/>
      </c>
      <c r="G768">
        <f>IF(OR($A768="",$F768="",$F768="نامعتبر"),"",LEFT($F768,4)&amp;MID($F768,6,2)&amp;RIGHT($F768,2)&amp;"0000"&amp;"|"&amp;"1"&amp;RIGHT("00000"&amp;763,5))</f>
        <v/>
      </c>
      <c r="H768">
        <f>IF(OR($B768&lt;&gt;1,$G768=""),"",COUNTIFS(LdAParty,$A768,LdAType,1,LdAKey,"&lt;"&amp;$G768)+COUNTIFS(LdBMember,$A768,LdBKey,"&lt;"&amp;$G768)+COUNTIFS(LdCParty,$A768,LdCKey,"&lt;"&amp;$G768)+1)</f>
        <v/>
      </c>
      <c r="I768">
        <f>IF($H768="","",$A768&amp;"|"&amp;RIGHT("000000"&amp;$H768,6))</f>
        <v/>
      </c>
      <c r="J768">
        <f>IF(OR($B768&lt;&gt;2,$G768=""),"",COUNTIFS(LdAParty,$A768,LdAType,2,LdAKey,"&lt;"&amp;$G768)+1)</f>
        <v/>
      </c>
      <c r="K768">
        <f>IF($J768="","",$A768&amp;"|"&amp;RIGHT("000000"&amp;$J768,6))</f>
        <v/>
      </c>
      <c r="L768">
        <f>IF($A768="","",IF(Wages!$G771="",0,Wages!$G771))</f>
        <v/>
      </c>
      <c r="M768">
        <f>IF($A768="","",Wages!$J771)</f>
        <v/>
      </c>
      <c r="N768">
        <f>IF($A768="","",Wages!$D771)</f>
        <v/>
      </c>
      <c r="P768">
        <f>IF(OR(Shares!$B771="",Shares!$C771=""),"",Shares!$C771)</f>
        <v/>
      </c>
      <c r="Q768">
        <f>IF($P768="","",Shares!$B771)</f>
        <v/>
      </c>
      <c r="R768">
        <f>IF($P768="","",IFERROR(INDEX(WageParty,MATCH($Q768,WageIds,0)),""))</f>
        <v/>
      </c>
      <c r="S768">
        <f>IF($P768="","",IFERROR(INDEX($F$6:$F$2005,MATCH($Q768,WageIds,0)),""))</f>
        <v/>
      </c>
      <c r="T768">
        <f>IF(OR($P768="",$S768="",$S768="نامعتبر"),"",LEFT($S768,4)&amp;MID($S768,6,2)&amp;RIGHT($S768,2)&amp;"0000"&amp;"|"&amp;"2"&amp;RIGHT("00000"&amp;763,5))</f>
        <v/>
      </c>
      <c r="U768">
        <f>IF($T768="","",COUNTIFS(LdAParty,$P768,LdAType,1,LdAKey,"&lt;"&amp;$T768)+COUNTIFS(LdBMember,$P768,LdBKey,"&lt;"&amp;$T768)+COUNTIFS(LdCParty,$P768,LdCKey,"&lt;"&amp;$T768)+1)</f>
        <v/>
      </c>
      <c r="V768">
        <f>IF($U768="","",$P768&amp;"|"&amp;RIGHT("000000"&amp;$U768,6))</f>
        <v/>
      </c>
      <c r="W768">
        <f>IF($T768="","",COUNTIFS(LdBGroup,$R768,LdBKey,"&lt;"&amp;$T768)+1)</f>
        <v/>
      </c>
      <c r="X768">
        <f>IF($W768="","",$R768&amp;"|"&amp;RIGHT("000000"&amp;$W768,6))</f>
        <v/>
      </c>
      <c r="Y768">
        <f>IF($P768="","",IF(Shares!$E771="",0,Shares!$E771))</f>
        <v/>
      </c>
      <c r="Z768">
        <f>IF($P768="","",Shares!$H771)</f>
        <v/>
      </c>
      <c r="AE768">
        <f>IF(OR(Sync!$S768="",Sync!$P768=""),"",Sync!$S768)</f>
        <v/>
      </c>
      <c r="AF768">
        <f>IF($AE768="","",IF(ISNUMBER(Sync!$P768),IF(AND(Sync!$P768&gt;=10000101,Sync!$P768&lt;=99991231),INT(Sync!$P768/10000),""),IFERROR(VALUE(TRIM(LEFT(Sync!$P768,FIND("/",Sync!$P768)-1))),"")))</f>
        <v/>
      </c>
      <c r="AG768">
        <f>IF(OR($AE768="",$AF768=""),"",IF(ISNUMBER(Sync!$P768),INT(MOD(Sync!$P768,10000)/100),IFERROR(VALUE(TRIM(LEFT(MID(Sync!$P768,FIND("/",Sync!$P768)+1,20),FIND("/",MID(Sync!$P768,FIND("/",Sync!$P768)+1,20))-1))),"")))</f>
        <v/>
      </c>
      <c r="AH768">
        <f>IF(OR($AE768="",$AF768=""),"",IF(ISNUMBER(Sync!$P768),MOD(Sync!$P768,100),IFERROR(VALUE(TRIM(MID(MID(Sync!$P768,FIND("/",Sync!$P768)+1,20),FIND("/",MID(Sync!$P768,FIND("/",Sync!$P768)+1,20))+1,20))),"")))</f>
        <v/>
      </c>
      <c r="AI768">
        <f>IF($AE768="","",IF(OR($AF768="",$AG768="",$AH768="",$AF768&lt;1300,$AF768&gt;1500,$AG768&lt;1,$AG768&gt;12,$AH768&lt;1,$AH768&gt;31),"نامعتبر",RIGHT("0000"&amp;$AF768,4)&amp;"/"&amp;RIGHT("00"&amp;$AG768,2)&amp;"/"&amp;RIGHT("00"&amp;$AH768,2)))</f>
        <v/>
      </c>
      <c r="AJ768">
        <f>IF($AE768="","",IF(Sync!$Q768="","0000",IF(AND(ISNUMBER(Sync!$Q768),Sync!$Q768&gt;=0,Sync!$Q768&lt;1),RIGHT("00"&amp;HOUR(Sync!$Q768),2)&amp;RIGHT("00"&amp;MINUTE(Sync!$Q768),2),IFERROR(RIGHT("00"&amp;VALUE(LEFT(Sync!$Q768,FIND(":",Sync!$Q768)-1)),2)&amp;RIGHT("00"&amp;VALUE(MID(Sync!$Q768,FIND(":",Sync!$Q768)+1,2)),2),"0000"))))</f>
        <v/>
      </c>
      <c r="AK768">
        <f>IF(OR($AE768="",$AI768="",$AI768="نامعتبر"),"",LEFT($AI768,4)&amp;MID($AI768,6,2)&amp;RIGHT($AI768,2)&amp;$AJ768&amp;"|"&amp;"3"&amp;RIGHT("00000"&amp;763,5))</f>
        <v/>
      </c>
      <c r="AL768">
        <f>IF($AK768="","",COUNTIFS(LdAParty,$AE768,LdAType,1,LdAKey,"&lt;"&amp;$AK768)+COUNTIFS(LdBMember,$AE768,LdBKey,"&lt;"&amp;$AK768)+COUNTIFS(LdCParty,$AE768,LdCKey,"&lt;"&amp;$AK768)+1)</f>
        <v/>
      </c>
      <c r="AM768">
        <f>IF($AL768="","",$AE768&amp;"|"&amp;RIGHT("000000"&amp;$AL768,6))</f>
        <v/>
      </c>
      <c r="AN768">
        <f>IF($AE768="","",IF(Sync!$W768="",0,Sync!$W768))</f>
        <v/>
      </c>
      <c r="AO768">
        <f>IF($AE768="","",IF(Sync!$X768="",0,Sync!$X768))</f>
        <v/>
      </c>
      <c r="AP768">
        <f>IF($AE768="","",Sync!$R768)</f>
        <v/>
      </c>
      <c r="AQ768">
        <f>IF($AE768="","",Sync!$Y768)</f>
        <v/>
      </c>
    </row>
    <row r="769">
      <c r="A769">
        <f>IF(OR(Wages!$B772="",Wages!$E772=""),"",Wages!$E772)</f>
        <v/>
      </c>
      <c r="B769">
        <f>IF($A769="","",IF(Wages!$C772="دستمزد گروهی",2,1))</f>
        <v/>
      </c>
      <c r="C769">
        <f>IF($A769="","",IF(ISNUMBER(Wages!$B772),IF(AND(Wages!$B772&gt;=10000101,Wages!$B772&lt;=99991231),INT(Wages!$B772/10000),""),IFERROR(VALUE(TRIM(LEFT(Wages!$B772,FIND("/",Wages!$B772)-1))),"")))</f>
        <v/>
      </c>
      <c r="D769">
        <f>IF(OR($A769="",$C769=""),"",IF(ISNUMBER(Wages!$B772),INT(MOD(Wages!$B772,10000)/100),IFERROR(VALUE(TRIM(LEFT(MID(Wages!$B772,FIND("/",Wages!$B772)+1,20),FIND("/",MID(Wages!$B772,FIND("/",Wages!$B772)+1,20))-1))),"")))</f>
        <v/>
      </c>
      <c r="E769">
        <f>IF(OR($A769="",$C769=""),"",IF(ISNUMBER(Wages!$B772),MOD(Wages!$B772,100),IFERROR(VALUE(TRIM(MID(MID(Wages!$B772,FIND("/",Wages!$B772)+1,20),FIND("/",MID(Wages!$B772,FIND("/",Wages!$B772)+1,20))+1,20))),"")))</f>
        <v/>
      </c>
      <c r="F769">
        <f>IF($A769="","",IF(OR($C769="",$D769="",$E769="",$C769&lt;1300,$C769&gt;1500,$D769&lt;1,$D769&gt;12,$E769&lt;1,$E769&gt;31),"نامعتبر",RIGHT("0000"&amp;$C769,4)&amp;"/"&amp;RIGHT("00"&amp;$D769,2)&amp;"/"&amp;RIGHT("00"&amp;$E769,2)))</f>
        <v/>
      </c>
      <c r="G769">
        <f>IF(OR($A769="",$F769="",$F769="نامعتبر"),"",LEFT($F769,4)&amp;MID($F769,6,2)&amp;RIGHT($F769,2)&amp;"0000"&amp;"|"&amp;"1"&amp;RIGHT("00000"&amp;764,5))</f>
        <v/>
      </c>
      <c r="H769">
        <f>IF(OR($B769&lt;&gt;1,$G769=""),"",COUNTIFS(LdAParty,$A769,LdAType,1,LdAKey,"&lt;"&amp;$G769)+COUNTIFS(LdBMember,$A769,LdBKey,"&lt;"&amp;$G769)+COUNTIFS(LdCParty,$A769,LdCKey,"&lt;"&amp;$G769)+1)</f>
        <v/>
      </c>
      <c r="I769">
        <f>IF($H769="","",$A769&amp;"|"&amp;RIGHT("000000"&amp;$H769,6))</f>
        <v/>
      </c>
      <c r="J769">
        <f>IF(OR($B769&lt;&gt;2,$G769=""),"",COUNTIFS(LdAParty,$A769,LdAType,2,LdAKey,"&lt;"&amp;$G769)+1)</f>
        <v/>
      </c>
      <c r="K769">
        <f>IF($J769="","",$A769&amp;"|"&amp;RIGHT("000000"&amp;$J769,6))</f>
        <v/>
      </c>
      <c r="L769">
        <f>IF($A769="","",IF(Wages!$G772="",0,Wages!$G772))</f>
        <v/>
      </c>
      <c r="M769">
        <f>IF($A769="","",Wages!$J772)</f>
        <v/>
      </c>
      <c r="N769">
        <f>IF($A769="","",Wages!$D772)</f>
        <v/>
      </c>
      <c r="P769">
        <f>IF(OR(Shares!$B772="",Shares!$C772=""),"",Shares!$C772)</f>
        <v/>
      </c>
      <c r="Q769">
        <f>IF($P769="","",Shares!$B772)</f>
        <v/>
      </c>
      <c r="R769">
        <f>IF($P769="","",IFERROR(INDEX(WageParty,MATCH($Q769,WageIds,0)),""))</f>
        <v/>
      </c>
      <c r="S769">
        <f>IF($P769="","",IFERROR(INDEX($F$6:$F$2005,MATCH($Q769,WageIds,0)),""))</f>
        <v/>
      </c>
      <c r="T769">
        <f>IF(OR($P769="",$S769="",$S769="نامعتبر"),"",LEFT($S769,4)&amp;MID($S769,6,2)&amp;RIGHT($S769,2)&amp;"0000"&amp;"|"&amp;"2"&amp;RIGHT("00000"&amp;764,5))</f>
        <v/>
      </c>
      <c r="U769">
        <f>IF($T769="","",COUNTIFS(LdAParty,$P769,LdAType,1,LdAKey,"&lt;"&amp;$T769)+COUNTIFS(LdBMember,$P769,LdBKey,"&lt;"&amp;$T769)+COUNTIFS(LdCParty,$P769,LdCKey,"&lt;"&amp;$T769)+1)</f>
        <v/>
      </c>
      <c r="V769">
        <f>IF($U769="","",$P769&amp;"|"&amp;RIGHT("000000"&amp;$U769,6))</f>
        <v/>
      </c>
      <c r="W769">
        <f>IF($T769="","",COUNTIFS(LdBGroup,$R769,LdBKey,"&lt;"&amp;$T769)+1)</f>
        <v/>
      </c>
      <c r="X769">
        <f>IF($W769="","",$R769&amp;"|"&amp;RIGHT("000000"&amp;$W769,6))</f>
        <v/>
      </c>
      <c r="Y769">
        <f>IF($P769="","",IF(Shares!$E772="",0,Shares!$E772))</f>
        <v/>
      </c>
      <c r="Z769">
        <f>IF($P769="","",Shares!$H772)</f>
        <v/>
      </c>
      <c r="AE769">
        <f>IF(OR(Sync!$S769="",Sync!$P769=""),"",Sync!$S769)</f>
        <v/>
      </c>
      <c r="AF769">
        <f>IF($AE769="","",IF(ISNUMBER(Sync!$P769),IF(AND(Sync!$P769&gt;=10000101,Sync!$P769&lt;=99991231),INT(Sync!$P769/10000),""),IFERROR(VALUE(TRIM(LEFT(Sync!$P769,FIND("/",Sync!$P769)-1))),"")))</f>
        <v/>
      </c>
      <c r="AG769">
        <f>IF(OR($AE769="",$AF769=""),"",IF(ISNUMBER(Sync!$P769),INT(MOD(Sync!$P769,10000)/100),IFERROR(VALUE(TRIM(LEFT(MID(Sync!$P769,FIND("/",Sync!$P769)+1,20),FIND("/",MID(Sync!$P769,FIND("/",Sync!$P769)+1,20))-1))),"")))</f>
        <v/>
      </c>
      <c r="AH769">
        <f>IF(OR($AE769="",$AF769=""),"",IF(ISNUMBER(Sync!$P769),MOD(Sync!$P769,100),IFERROR(VALUE(TRIM(MID(MID(Sync!$P769,FIND("/",Sync!$P769)+1,20),FIND("/",MID(Sync!$P769,FIND("/",Sync!$P769)+1,20))+1,20))),"")))</f>
        <v/>
      </c>
      <c r="AI769">
        <f>IF($AE769="","",IF(OR($AF769="",$AG769="",$AH769="",$AF769&lt;1300,$AF769&gt;1500,$AG769&lt;1,$AG769&gt;12,$AH769&lt;1,$AH769&gt;31),"نامعتبر",RIGHT("0000"&amp;$AF769,4)&amp;"/"&amp;RIGHT("00"&amp;$AG769,2)&amp;"/"&amp;RIGHT("00"&amp;$AH769,2)))</f>
        <v/>
      </c>
      <c r="AJ769">
        <f>IF($AE769="","",IF(Sync!$Q769="","0000",IF(AND(ISNUMBER(Sync!$Q769),Sync!$Q769&gt;=0,Sync!$Q769&lt;1),RIGHT("00"&amp;HOUR(Sync!$Q769),2)&amp;RIGHT("00"&amp;MINUTE(Sync!$Q769),2),IFERROR(RIGHT("00"&amp;VALUE(LEFT(Sync!$Q769,FIND(":",Sync!$Q769)-1)),2)&amp;RIGHT("00"&amp;VALUE(MID(Sync!$Q769,FIND(":",Sync!$Q769)+1,2)),2),"0000"))))</f>
        <v/>
      </c>
      <c r="AK769">
        <f>IF(OR($AE769="",$AI769="",$AI769="نامعتبر"),"",LEFT($AI769,4)&amp;MID($AI769,6,2)&amp;RIGHT($AI769,2)&amp;$AJ769&amp;"|"&amp;"3"&amp;RIGHT("00000"&amp;764,5))</f>
        <v/>
      </c>
      <c r="AL769">
        <f>IF($AK769="","",COUNTIFS(LdAParty,$AE769,LdAType,1,LdAKey,"&lt;"&amp;$AK769)+COUNTIFS(LdBMember,$AE769,LdBKey,"&lt;"&amp;$AK769)+COUNTIFS(LdCParty,$AE769,LdCKey,"&lt;"&amp;$AK769)+1)</f>
        <v/>
      </c>
      <c r="AM769">
        <f>IF($AL769="","",$AE769&amp;"|"&amp;RIGHT("000000"&amp;$AL769,6))</f>
        <v/>
      </c>
      <c r="AN769">
        <f>IF($AE769="","",IF(Sync!$W769="",0,Sync!$W769))</f>
        <v/>
      </c>
      <c r="AO769">
        <f>IF($AE769="","",IF(Sync!$X769="",0,Sync!$X769))</f>
        <v/>
      </c>
      <c r="AP769">
        <f>IF($AE769="","",Sync!$R769)</f>
        <v/>
      </c>
      <c r="AQ769">
        <f>IF($AE769="","",Sync!$Y769)</f>
        <v/>
      </c>
    </row>
    <row r="770">
      <c r="A770">
        <f>IF(OR(Wages!$B773="",Wages!$E773=""),"",Wages!$E773)</f>
        <v/>
      </c>
      <c r="B770">
        <f>IF($A770="","",IF(Wages!$C773="دستمزد گروهی",2,1))</f>
        <v/>
      </c>
      <c r="C770">
        <f>IF($A770="","",IF(ISNUMBER(Wages!$B773),IF(AND(Wages!$B773&gt;=10000101,Wages!$B773&lt;=99991231),INT(Wages!$B773/10000),""),IFERROR(VALUE(TRIM(LEFT(Wages!$B773,FIND("/",Wages!$B773)-1))),"")))</f>
        <v/>
      </c>
      <c r="D770">
        <f>IF(OR($A770="",$C770=""),"",IF(ISNUMBER(Wages!$B773),INT(MOD(Wages!$B773,10000)/100),IFERROR(VALUE(TRIM(LEFT(MID(Wages!$B773,FIND("/",Wages!$B773)+1,20),FIND("/",MID(Wages!$B773,FIND("/",Wages!$B773)+1,20))-1))),"")))</f>
        <v/>
      </c>
      <c r="E770">
        <f>IF(OR($A770="",$C770=""),"",IF(ISNUMBER(Wages!$B773),MOD(Wages!$B773,100),IFERROR(VALUE(TRIM(MID(MID(Wages!$B773,FIND("/",Wages!$B773)+1,20),FIND("/",MID(Wages!$B773,FIND("/",Wages!$B773)+1,20))+1,20))),"")))</f>
        <v/>
      </c>
      <c r="F770">
        <f>IF($A770="","",IF(OR($C770="",$D770="",$E770="",$C770&lt;1300,$C770&gt;1500,$D770&lt;1,$D770&gt;12,$E770&lt;1,$E770&gt;31),"نامعتبر",RIGHT("0000"&amp;$C770,4)&amp;"/"&amp;RIGHT("00"&amp;$D770,2)&amp;"/"&amp;RIGHT("00"&amp;$E770,2)))</f>
        <v/>
      </c>
      <c r="G770">
        <f>IF(OR($A770="",$F770="",$F770="نامعتبر"),"",LEFT($F770,4)&amp;MID($F770,6,2)&amp;RIGHT($F770,2)&amp;"0000"&amp;"|"&amp;"1"&amp;RIGHT("00000"&amp;765,5))</f>
        <v/>
      </c>
      <c r="H770">
        <f>IF(OR($B770&lt;&gt;1,$G770=""),"",COUNTIFS(LdAParty,$A770,LdAType,1,LdAKey,"&lt;"&amp;$G770)+COUNTIFS(LdBMember,$A770,LdBKey,"&lt;"&amp;$G770)+COUNTIFS(LdCParty,$A770,LdCKey,"&lt;"&amp;$G770)+1)</f>
        <v/>
      </c>
      <c r="I770">
        <f>IF($H770="","",$A770&amp;"|"&amp;RIGHT("000000"&amp;$H770,6))</f>
        <v/>
      </c>
      <c r="J770">
        <f>IF(OR($B770&lt;&gt;2,$G770=""),"",COUNTIFS(LdAParty,$A770,LdAType,2,LdAKey,"&lt;"&amp;$G770)+1)</f>
        <v/>
      </c>
      <c r="K770">
        <f>IF($J770="","",$A770&amp;"|"&amp;RIGHT("000000"&amp;$J770,6))</f>
        <v/>
      </c>
      <c r="L770">
        <f>IF($A770="","",IF(Wages!$G773="",0,Wages!$G773))</f>
        <v/>
      </c>
      <c r="M770">
        <f>IF($A770="","",Wages!$J773)</f>
        <v/>
      </c>
      <c r="N770">
        <f>IF($A770="","",Wages!$D773)</f>
        <v/>
      </c>
      <c r="P770">
        <f>IF(OR(Shares!$B773="",Shares!$C773=""),"",Shares!$C773)</f>
        <v/>
      </c>
      <c r="Q770">
        <f>IF($P770="","",Shares!$B773)</f>
        <v/>
      </c>
      <c r="R770">
        <f>IF($P770="","",IFERROR(INDEX(WageParty,MATCH($Q770,WageIds,0)),""))</f>
        <v/>
      </c>
      <c r="S770">
        <f>IF($P770="","",IFERROR(INDEX($F$6:$F$2005,MATCH($Q770,WageIds,0)),""))</f>
        <v/>
      </c>
      <c r="T770">
        <f>IF(OR($P770="",$S770="",$S770="نامعتبر"),"",LEFT($S770,4)&amp;MID($S770,6,2)&amp;RIGHT($S770,2)&amp;"0000"&amp;"|"&amp;"2"&amp;RIGHT("00000"&amp;765,5))</f>
        <v/>
      </c>
      <c r="U770">
        <f>IF($T770="","",COUNTIFS(LdAParty,$P770,LdAType,1,LdAKey,"&lt;"&amp;$T770)+COUNTIFS(LdBMember,$P770,LdBKey,"&lt;"&amp;$T770)+COUNTIFS(LdCParty,$P770,LdCKey,"&lt;"&amp;$T770)+1)</f>
        <v/>
      </c>
      <c r="V770">
        <f>IF($U770="","",$P770&amp;"|"&amp;RIGHT("000000"&amp;$U770,6))</f>
        <v/>
      </c>
      <c r="W770">
        <f>IF($T770="","",COUNTIFS(LdBGroup,$R770,LdBKey,"&lt;"&amp;$T770)+1)</f>
        <v/>
      </c>
      <c r="X770">
        <f>IF($W770="","",$R770&amp;"|"&amp;RIGHT("000000"&amp;$W770,6))</f>
        <v/>
      </c>
      <c r="Y770">
        <f>IF($P770="","",IF(Shares!$E773="",0,Shares!$E773))</f>
        <v/>
      </c>
      <c r="Z770">
        <f>IF($P770="","",Shares!$H773)</f>
        <v/>
      </c>
      <c r="AE770">
        <f>IF(OR(Sync!$S770="",Sync!$P770=""),"",Sync!$S770)</f>
        <v/>
      </c>
      <c r="AF770">
        <f>IF($AE770="","",IF(ISNUMBER(Sync!$P770),IF(AND(Sync!$P770&gt;=10000101,Sync!$P770&lt;=99991231),INT(Sync!$P770/10000),""),IFERROR(VALUE(TRIM(LEFT(Sync!$P770,FIND("/",Sync!$P770)-1))),"")))</f>
        <v/>
      </c>
      <c r="AG770">
        <f>IF(OR($AE770="",$AF770=""),"",IF(ISNUMBER(Sync!$P770),INT(MOD(Sync!$P770,10000)/100),IFERROR(VALUE(TRIM(LEFT(MID(Sync!$P770,FIND("/",Sync!$P770)+1,20),FIND("/",MID(Sync!$P770,FIND("/",Sync!$P770)+1,20))-1))),"")))</f>
        <v/>
      </c>
      <c r="AH770">
        <f>IF(OR($AE770="",$AF770=""),"",IF(ISNUMBER(Sync!$P770),MOD(Sync!$P770,100),IFERROR(VALUE(TRIM(MID(MID(Sync!$P770,FIND("/",Sync!$P770)+1,20),FIND("/",MID(Sync!$P770,FIND("/",Sync!$P770)+1,20))+1,20))),"")))</f>
        <v/>
      </c>
      <c r="AI770">
        <f>IF($AE770="","",IF(OR($AF770="",$AG770="",$AH770="",$AF770&lt;1300,$AF770&gt;1500,$AG770&lt;1,$AG770&gt;12,$AH770&lt;1,$AH770&gt;31),"نامعتبر",RIGHT("0000"&amp;$AF770,4)&amp;"/"&amp;RIGHT("00"&amp;$AG770,2)&amp;"/"&amp;RIGHT("00"&amp;$AH770,2)))</f>
        <v/>
      </c>
      <c r="AJ770">
        <f>IF($AE770="","",IF(Sync!$Q770="","0000",IF(AND(ISNUMBER(Sync!$Q770),Sync!$Q770&gt;=0,Sync!$Q770&lt;1),RIGHT("00"&amp;HOUR(Sync!$Q770),2)&amp;RIGHT("00"&amp;MINUTE(Sync!$Q770),2),IFERROR(RIGHT("00"&amp;VALUE(LEFT(Sync!$Q770,FIND(":",Sync!$Q770)-1)),2)&amp;RIGHT("00"&amp;VALUE(MID(Sync!$Q770,FIND(":",Sync!$Q770)+1,2)),2),"0000"))))</f>
        <v/>
      </c>
      <c r="AK770">
        <f>IF(OR($AE770="",$AI770="",$AI770="نامعتبر"),"",LEFT($AI770,4)&amp;MID($AI770,6,2)&amp;RIGHT($AI770,2)&amp;$AJ770&amp;"|"&amp;"3"&amp;RIGHT("00000"&amp;765,5))</f>
        <v/>
      </c>
      <c r="AL770">
        <f>IF($AK770="","",COUNTIFS(LdAParty,$AE770,LdAType,1,LdAKey,"&lt;"&amp;$AK770)+COUNTIFS(LdBMember,$AE770,LdBKey,"&lt;"&amp;$AK770)+COUNTIFS(LdCParty,$AE770,LdCKey,"&lt;"&amp;$AK770)+1)</f>
        <v/>
      </c>
      <c r="AM770">
        <f>IF($AL770="","",$AE770&amp;"|"&amp;RIGHT("000000"&amp;$AL770,6))</f>
        <v/>
      </c>
      <c r="AN770">
        <f>IF($AE770="","",IF(Sync!$W770="",0,Sync!$W770))</f>
        <v/>
      </c>
      <c r="AO770">
        <f>IF($AE770="","",IF(Sync!$X770="",0,Sync!$X770))</f>
        <v/>
      </c>
      <c r="AP770">
        <f>IF($AE770="","",Sync!$R770)</f>
        <v/>
      </c>
      <c r="AQ770">
        <f>IF($AE770="","",Sync!$Y770)</f>
        <v/>
      </c>
    </row>
    <row r="771">
      <c r="A771">
        <f>IF(OR(Wages!$B774="",Wages!$E774=""),"",Wages!$E774)</f>
        <v/>
      </c>
      <c r="B771">
        <f>IF($A771="","",IF(Wages!$C774="دستمزد گروهی",2,1))</f>
        <v/>
      </c>
      <c r="C771">
        <f>IF($A771="","",IF(ISNUMBER(Wages!$B774),IF(AND(Wages!$B774&gt;=10000101,Wages!$B774&lt;=99991231),INT(Wages!$B774/10000),""),IFERROR(VALUE(TRIM(LEFT(Wages!$B774,FIND("/",Wages!$B774)-1))),"")))</f>
        <v/>
      </c>
      <c r="D771">
        <f>IF(OR($A771="",$C771=""),"",IF(ISNUMBER(Wages!$B774),INT(MOD(Wages!$B774,10000)/100),IFERROR(VALUE(TRIM(LEFT(MID(Wages!$B774,FIND("/",Wages!$B774)+1,20),FIND("/",MID(Wages!$B774,FIND("/",Wages!$B774)+1,20))-1))),"")))</f>
        <v/>
      </c>
      <c r="E771">
        <f>IF(OR($A771="",$C771=""),"",IF(ISNUMBER(Wages!$B774),MOD(Wages!$B774,100),IFERROR(VALUE(TRIM(MID(MID(Wages!$B774,FIND("/",Wages!$B774)+1,20),FIND("/",MID(Wages!$B774,FIND("/",Wages!$B774)+1,20))+1,20))),"")))</f>
        <v/>
      </c>
      <c r="F771">
        <f>IF($A771="","",IF(OR($C771="",$D771="",$E771="",$C771&lt;1300,$C771&gt;1500,$D771&lt;1,$D771&gt;12,$E771&lt;1,$E771&gt;31),"نامعتبر",RIGHT("0000"&amp;$C771,4)&amp;"/"&amp;RIGHT("00"&amp;$D771,2)&amp;"/"&amp;RIGHT("00"&amp;$E771,2)))</f>
        <v/>
      </c>
      <c r="G771">
        <f>IF(OR($A771="",$F771="",$F771="نامعتبر"),"",LEFT($F771,4)&amp;MID($F771,6,2)&amp;RIGHT($F771,2)&amp;"0000"&amp;"|"&amp;"1"&amp;RIGHT("00000"&amp;766,5))</f>
        <v/>
      </c>
      <c r="H771">
        <f>IF(OR($B771&lt;&gt;1,$G771=""),"",COUNTIFS(LdAParty,$A771,LdAType,1,LdAKey,"&lt;"&amp;$G771)+COUNTIFS(LdBMember,$A771,LdBKey,"&lt;"&amp;$G771)+COUNTIFS(LdCParty,$A771,LdCKey,"&lt;"&amp;$G771)+1)</f>
        <v/>
      </c>
      <c r="I771">
        <f>IF($H771="","",$A771&amp;"|"&amp;RIGHT("000000"&amp;$H771,6))</f>
        <v/>
      </c>
      <c r="J771">
        <f>IF(OR($B771&lt;&gt;2,$G771=""),"",COUNTIFS(LdAParty,$A771,LdAType,2,LdAKey,"&lt;"&amp;$G771)+1)</f>
        <v/>
      </c>
      <c r="K771">
        <f>IF($J771="","",$A771&amp;"|"&amp;RIGHT("000000"&amp;$J771,6))</f>
        <v/>
      </c>
      <c r="L771">
        <f>IF($A771="","",IF(Wages!$G774="",0,Wages!$G774))</f>
        <v/>
      </c>
      <c r="M771">
        <f>IF($A771="","",Wages!$J774)</f>
        <v/>
      </c>
      <c r="N771">
        <f>IF($A771="","",Wages!$D774)</f>
        <v/>
      </c>
      <c r="P771">
        <f>IF(OR(Shares!$B774="",Shares!$C774=""),"",Shares!$C774)</f>
        <v/>
      </c>
      <c r="Q771">
        <f>IF($P771="","",Shares!$B774)</f>
        <v/>
      </c>
      <c r="R771">
        <f>IF($P771="","",IFERROR(INDEX(WageParty,MATCH($Q771,WageIds,0)),""))</f>
        <v/>
      </c>
      <c r="S771">
        <f>IF($P771="","",IFERROR(INDEX($F$6:$F$2005,MATCH($Q771,WageIds,0)),""))</f>
        <v/>
      </c>
      <c r="T771">
        <f>IF(OR($P771="",$S771="",$S771="نامعتبر"),"",LEFT($S771,4)&amp;MID($S771,6,2)&amp;RIGHT($S771,2)&amp;"0000"&amp;"|"&amp;"2"&amp;RIGHT("00000"&amp;766,5))</f>
        <v/>
      </c>
      <c r="U771">
        <f>IF($T771="","",COUNTIFS(LdAParty,$P771,LdAType,1,LdAKey,"&lt;"&amp;$T771)+COUNTIFS(LdBMember,$P771,LdBKey,"&lt;"&amp;$T771)+COUNTIFS(LdCParty,$P771,LdCKey,"&lt;"&amp;$T771)+1)</f>
        <v/>
      </c>
      <c r="V771">
        <f>IF($U771="","",$P771&amp;"|"&amp;RIGHT("000000"&amp;$U771,6))</f>
        <v/>
      </c>
      <c r="W771">
        <f>IF($T771="","",COUNTIFS(LdBGroup,$R771,LdBKey,"&lt;"&amp;$T771)+1)</f>
        <v/>
      </c>
      <c r="X771">
        <f>IF($W771="","",$R771&amp;"|"&amp;RIGHT("000000"&amp;$W771,6))</f>
        <v/>
      </c>
      <c r="Y771">
        <f>IF($P771="","",IF(Shares!$E774="",0,Shares!$E774))</f>
        <v/>
      </c>
      <c r="Z771">
        <f>IF($P771="","",Shares!$H774)</f>
        <v/>
      </c>
      <c r="AE771">
        <f>IF(OR(Sync!$S771="",Sync!$P771=""),"",Sync!$S771)</f>
        <v/>
      </c>
      <c r="AF771">
        <f>IF($AE771="","",IF(ISNUMBER(Sync!$P771),IF(AND(Sync!$P771&gt;=10000101,Sync!$P771&lt;=99991231),INT(Sync!$P771/10000),""),IFERROR(VALUE(TRIM(LEFT(Sync!$P771,FIND("/",Sync!$P771)-1))),"")))</f>
        <v/>
      </c>
      <c r="AG771">
        <f>IF(OR($AE771="",$AF771=""),"",IF(ISNUMBER(Sync!$P771),INT(MOD(Sync!$P771,10000)/100),IFERROR(VALUE(TRIM(LEFT(MID(Sync!$P771,FIND("/",Sync!$P771)+1,20),FIND("/",MID(Sync!$P771,FIND("/",Sync!$P771)+1,20))-1))),"")))</f>
        <v/>
      </c>
      <c r="AH771">
        <f>IF(OR($AE771="",$AF771=""),"",IF(ISNUMBER(Sync!$P771),MOD(Sync!$P771,100),IFERROR(VALUE(TRIM(MID(MID(Sync!$P771,FIND("/",Sync!$P771)+1,20),FIND("/",MID(Sync!$P771,FIND("/",Sync!$P771)+1,20))+1,20))),"")))</f>
        <v/>
      </c>
      <c r="AI771">
        <f>IF($AE771="","",IF(OR($AF771="",$AG771="",$AH771="",$AF771&lt;1300,$AF771&gt;1500,$AG771&lt;1,$AG771&gt;12,$AH771&lt;1,$AH771&gt;31),"نامعتبر",RIGHT("0000"&amp;$AF771,4)&amp;"/"&amp;RIGHT("00"&amp;$AG771,2)&amp;"/"&amp;RIGHT("00"&amp;$AH771,2)))</f>
        <v/>
      </c>
      <c r="AJ771">
        <f>IF($AE771="","",IF(Sync!$Q771="","0000",IF(AND(ISNUMBER(Sync!$Q771),Sync!$Q771&gt;=0,Sync!$Q771&lt;1),RIGHT("00"&amp;HOUR(Sync!$Q771),2)&amp;RIGHT("00"&amp;MINUTE(Sync!$Q771),2),IFERROR(RIGHT("00"&amp;VALUE(LEFT(Sync!$Q771,FIND(":",Sync!$Q771)-1)),2)&amp;RIGHT("00"&amp;VALUE(MID(Sync!$Q771,FIND(":",Sync!$Q771)+1,2)),2),"0000"))))</f>
        <v/>
      </c>
      <c r="AK771">
        <f>IF(OR($AE771="",$AI771="",$AI771="نامعتبر"),"",LEFT($AI771,4)&amp;MID($AI771,6,2)&amp;RIGHT($AI771,2)&amp;$AJ771&amp;"|"&amp;"3"&amp;RIGHT("00000"&amp;766,5))</f>
        <v/>
      </c>
      <c r="AL771">
        <f>IF($AK771="","",COUNTIFS(LdAParty,$AE771,LdAType,1,LdAKey,"&lt;"&amp;$AK771)+COUNTIFS(LdBMember,$AE771,LdBKey,"&lt;"&amp;$AK771)+COUNTIFS(LdCParty,$AE771,LdCKey,"&lt;"&amp;$AK771)+1)</f>
        <v/>
      </c>
      <c r="AM771">
        <f>IF($AL771="","",$AE771&amp;"|"&amp;RIGHT("000000"&amp;$AL771,6))</f>
        <v/>
      </c>
      <c r="AN771">
        <f>IF($AE771="","",IF(Sync!$W771="",0,Sync!$W771))</f>
        <v/>
      </c>
      <c r="AO771">
        <f>IF($AE771="","",IF(Sync!$X771="",0,Sync!$X771))</f>
        <v/>
      </c>
      <c r="AP771">
        <f>IF($AE771="","",Sync!$R771)</f>
        <v/>
      </c>
      <c r="AQ771">
        <f>IF($AE771="","",Sync!$Y771)</f>
        <v/>
      </c>
    </row>
    <row r="772">
      <c r="A772">
        <f>IF(OR(Wages!$B775="",Wages!$E775=""),"",Wages!$E775)</f>
        <v/>
      </c>
      <c r="B772">
        <f>IF($A772="","",IF(Wages!$C775="دستمزد گروهی",2,1))</f>
        <v/>
      </c>
      <c r="C772">
        <f>IF($A772="","",IF(ISNUMBER(Wages!$B775),IF(AND(Wages!$B775&gt;=10000101,Wages!$B775&lt;=99991231),INT(Wages!$B775/10000),""),IFERROR(VALUE(TRIM(LEFT(Wages!$B775,FIND("/",Wages!$B775)-1))),"")))</f>
        <v/>
      </c>
      <c r="D772">
        <f>IF(OR($A772="",$C772=""),"",IF(ISNUMBER(Wages!$B775),INT(MOD(Wages!$B775,10000)/100),IFERROR(VALUE(TRIM(LEFT(MID(Wages!$B775,FIND("/",Wages!$B775)+1,20),FIND("/",MID(Wages!$B775,FIND("/",Wages!$B775)+1,20))-1))),"")))</f>
        <v/>
      </c>
      <c r="E772">
        <f>IF(OR($A772="",$C772=""),"",IF(ISNUMBER(Wages!$B775),MOD(Wages!$B775,100),IFERROR(VALUE(TRIM(MID(MID(Wages!$B775,FIND("/",Wages!$B775)+1,20),FIND("/",MID(Wages!$B775,FIND("/",Wages!$B775)+1,20))+1,20))),"")))</f>
        <v/>
      </c>
      <c r="F772">
        <f>IF($A772="","",IF(OR($C772="",$D772="",$E772="",$C772&lt;1300,$C772&gt;1500,$D772&lt;1,$D772&gt;12,$E772&lt;1,$E772&gt;31),"نامعتبر",RIGHT("0000"&amp;$C772,4)&amp;"/"&amp;RIGHT("00"&amp;$D772,2)&amp;"/"&amp;RIGHT("00"&amp;$E772,2)))</f>
        <v/>
      </c>
      <c r="G772">
        <f>IF(OR($A772="",$F772="",$F772="نامعتبر"),"",LEFT($F772,4)&amp;MID($F772,6,2)&amp;RIGHT($F772,2)&amp;"0000"&amp;"|"&amp;"1"&amp;RIGHT("00000"&amp;767,5))</f>
        <v/>
      </c>
      <c r="H772">
        <f>IF(OR($B772&lt;&gt;1,$G772=""),"",COUNTIFS(LdAParty,$A772,LdAType,1,LdAKey,"&lt;"&amp;$G772)+COUNTIFS(LdBMember,$A772,LdBKey,"&lt;"&amp;$G772)+COUNTIFS(LdCParty,$A772,LdCKey,"&lt;"&amp;$G772)+1)</f>
        <v/>
      </c>
      <c r="I772">
        <f>IF($H772="","",$A772&amp;"|"&amp;RIGHT("000000"&amp;$H772,6))</f>
        <v/>
      </c>
      <c r="J772">
        <f>IF(OR($B772&lt;&gt;2,$G772=""),"",COUNTIFS(LdAParty,$A772,LdAType,2,LdAKey,"&lt;"&amp;$G772)+1)</f>
        <v/>
      </c>
      <c r="K772">
        <f>IF($J772="","",$A772&amp;"|"&amp;RIGHT("000000"&amp;$J772,6))</f>
        <v/>
      </c>
      <c r="L772">
        <f>IF($A772="","",IF(Wages!$G775="",0,Wages!$G775))</f>
        <v/>
      </c>
      <c r="M772">
        <f>IF($A772="","",Wages!$J775)</f>
        <v/>
      </c>
      <c r="N772">
        <f>IF($A772="","",Wages!$D775)</f>
        <v/>
      </c>
      <c r="P772">
        <f>IF(OR(Shares!$B775="",Shares!$C775=""),"",Shares!$C775)</f>
        <v/>
      </c>
      <c r="Q772">
        <f>IF($P772="","",Shares!$B775)</f>
        <v/>
      </c>
      <c r="R772">
        <f>IF($P772="","",IFERROR(INDEX(WageParty,MATCH($Q772,WageIds,0)),""))</f>
        <v/>
      </c>
      <c r="S772">
        <f>IF($P772="","",IFERROR(INDEX($F$6:$F$2005,MATCH($Q772,WageIds,0)),""))</f>
        <v/>
      </c>
      <c r="T772">
        <f>IF(OR($P772="",$S772="",$S772="نامعتبر"),"",LEFT($S772,4)&amp;MID($S772,6,2)&amp;RIGHT($S772,2)&amp;"0000"&amp;"|"&amp;"2"&amp;RIGHT("00000"&amp;767,5))</f>
        <v/>
      </c>
      <c r="U772">
        <f>IF($T772="","",COUNTIFS(LdAParty,$P772,LdAType,1,LdAKey,"&lt;"&amp;$T772)+COUNTIFS(LdBMember,$P772,LdBKey,"&lt;"&amp;$T772)+COUNTIFS(LdCParty,$P772,LdCKey,"&lt;"&amp;$T772)+1)</f>
        <v/>
      </c>
      <c r="V772">
        <f>IF($U772="","",$P772&amp;"|"&amp;RIGHT("000000"&amp;$U772,6))</f>
        <v/>
      </c>
      <c r="W772">
        <f>IF($T772="","",COUNTIFS(LdBGroup,$R772,LdBKey,"&lt;"&amp;$T772)+1)</f>
        <v/>
      </c>
      <c r="X772">
        <f>IF($W772="","",$R772&amp;"|"&amp;RIGHT("000000"&amp;$W772,6))</f>
        <v/>
      </c>
      <c r="Y772">
        <f>IF($P772="","",IF(Shares!$E775="",0,Shares!$E775))</f>
        <v/>
      </c>
      <c r="Z772">
        <f>IF($P772="","",Shares!$H775)</f>
        <v/>
      </c>
      <c r="AE772">
        <f>IF(OR(Sync!$S772="",Sync!$P772=""),"",Sync!$S772)</f>
        <v/>
      </c>
      <c r="AF772">
        <f>IF($AE772="","",IF(ISNUMBER(Sync!$P772),IF(AND(Sync!$P772&gt;=10000101,Sync!$P772&lt;=99991231),INT(Sync!$P772/10000),""),IFERROR(VALUE(TRIM(LEFT(Sync!$P772,FIND("/",Sync!$P772)-1))),"")))</f>
        <v/>
      </c>
      <c r="AG772">
        <f>IF(OR($AE772="",$AF772=""),"",IF(ISNUMBER(Sync!$P772),INT(MOD(Sync!$P772,10000)/100),IFERROR(VALUE(TRIM(LEFT(MID(Sync!$P772,FIND("/",Sync!$P772)+1,20),FIND("/",MID(Sync!$P772,FIND("/",Sync!$P772)+1,20))-1))),"")))</f>
        <v/>
      </c>
      <c r="AH772">
        <f>IF(OR($AE772="",$AF772=""),"",IF(ISNUMBER(Sync!$P772),MOD(Sync!$P772,100),IFERROR(VALUE(TRIM(MID(MID(Sync!$P772,FIND("/",Sync!$P772)+1,20),FIND("/",MID(Sync!$P772,FIND("/",Sync!$P772)+1,20))+1,20))),"")))</f>
        <v/>
      </c>
      <c r="AI772">
        <f>IF($AE772="","",IF(OR($AF772="",$AG772="",$AH772="",$AF772&lt;1300,$AF772&gt;1500,$AG772&lt;1,$AG772&gt;12,$AH772&lt;1,$AH772&gt;31),"نامعتبر",RIGHT("0000"&amp;$AF772,4)&amp;"/"&amp;RIGHT("00"&amp;$AG772,2)&amp;"/"&amp;RIGHT("00"&amp;$AH772,2)))</f>
        <v/>
      </c>
      <c r="AJ772">
        <f>IF($AE772="","",IF(Sync!$Q772="","0000",IF(AND(ISNUMBER(Sync!$Q772),Sync!$Q772&gt;=0,Sync!$Q772&lt;1),RIGHT("00"&amp;HOUR(Sync!$Q772),2)&amp;RIGHT("00"&amp;MINUTE(Sync!$Q772),2),IFERROR(RIGHT("00"&amp;VALUE(LEFT(Sync!$Q772,FIND(":",Sync!$Q772)-1)),2)&amp;RIGHT("00"&amp;VALUE(MID(Sync!$Q772,FIND(":",Sync!$Q772)+1,2)),2),"0000"))))</f>
        <v/>
      </c>
      <c r="AK772">
        <f>IF(OR($AE772="",$AI772="",$AI772="نامعتبر"),"",LEFT($AI772,4)&amp;MID($AI772,6,2)&amp;RIGHT($AI772,2)&amp;$AJ772&amp;"|"&amp;"3"&amp;RIGHT("00000"&amp;767,5))</f>
        <v/>
      </c>
      <c r="AL772">
        <f>IF($AK772="","",COUNTIFS(LdAParty,$AE772,LdAType,1,LdAKey,"&lt;"&amp;$AK772)+COUNTIFS(LdBMember,$AE772,LdBKey,"&lt;"&amp;$AK772)+COUNTIFS(LdCParty,$AE772,LdCKey,"&lt;"&amp;$AK772)+1)</f>
        <v/>
      </c>
      <c r="AM772">
        <f>IF($AL772="","",$AE772&amp;"|"&amp;RIGHT("000000"&amp;$AL772,6))</f>
        <v/>
      </c>
      <c r="AN772">
        <f>IF($AE772="","",IF(Sync!$W772="",0,Sync!$W772))</f>
        <v/>
      </c>
      <c r="AO772">
        <f>IF($AE772="","",IF(Sync!$X772="",0,Sync!$X772))</f>
        <v/>
      </c>
      <c r="AP772">
        <f>IF($AE772="","",Sync!$R772)</f>
        <v/>
      </c>
      <c r="AQ772">
        <f>IF($AE772="","",Sync!$Y772)</f>
        <v/>
      </c>
    </row>
    <row r="773">
      <c r="A773">
        <f>IF(OR(Wages!$B776="",Wages!$E776=""),"",Wages!$E776)</f>
        <v/>
      </c>
      <c r="B773">
        <f>IF($A773="","",IF(Wages!$C776="دستمزد گروهی",2,1))</f>
        <v/>
      </c>
      <c r="C773">
        <f>IF($A773="","",IF(ISNUMBER(Wages!$B776),IF(AND(Wages!$B776&gt;=10000101,Wages!$B776&lt;=99991231),INT(Wages!$B776/10000),""),IFERROR(VALUE(TRIM(LEFT(Wages!$B776,FIND("/",Wages!$B776)-1))),"")))</f>
        <v/>
      </c>
      <c r="D773">
        <f>IF(OR($A773="",$C773=""),"",IF(ISNUMBER(Wages!$B776),INT(MOD(Wages!$B776,10000)/100),IFERROR(VALUE(TRIM(LEFT(MID(Wages!$B776,FIND("/",Wages!$B776)+1,20),FIND("/",MID(Wages!$B776,FIND("/",Wages!$B776)+1,20))-1))),"")))</f>
        <v/>
      </c>
      <c r="E773">
        <f>IF(OR($A773="",$C773=""),"",IF(ISNUMBER(Wages!$B776),MOD(Wages!$B776,100),IFERROR(VALUE(TRIM(MID(MID(Wages!$B776,FIND("/",Wages!$B776)+1,20),FIND("/",MID(Wages!$B776,FIND("/",Wages!$B776)+1,20))+1,20))),"")))</f>
        <v/>
      </c>
      <c r="F773">
        <f>IF($A773="","",IF(OR($C773="",$D773="",$E773="",$C773&lt;1300,$C773&gt;1500,$D773&lt;1,$D773&gt;12,$E773&lt;1,$E773&gt;31),"نامعتبر",RIGHT("0000"&amp;$C773,4)&amp;"/"&amp;RIGHT("00"&amp;$D773,2)&amp;"/"&amp;RIGHT("00"&amp;$E773,2)))</f>
        <v/>
      </c>
      <c r="G773">
        <f>IF(OR($A773="",$F773="",$F773="نامعتبر"),"",LEFT($F773,4)&amp;MID($F773,6,2)&amp;RIGHT($F773,2)&amp;"0000"&amp;"|"&amp;"1"&amp;RIGHT("00000"&amp;768,5))</f>
        <v/>
      </c>
      <c r="H773">
        <f>IF(OR($B773&lt;&gt;1,$G773=""),"",COUNTIFS(LdAParty,$A773,LdAType,1,LdAKey,"&lt;"&amp;$G773)+COUNTIFS(LdBMember,$A773,LdBKey,"&lt;"&amp;$G773)+COUNTIFS(LdCParty,$A773,LdCKey,"&lt;"&amp;$G773)+1)</f>
        <v/>
      </c>
      <c r="I773">
        <f>IF($H773="","",$A773&amp;"|"&amp;RIGHT("000000"&amp;$H773,6))</f>
        <v/>
      </c>
      <c r="J773">
        <f>IF(OR($B773&lt;&gt;2,$G773=""),"",COUNTIFS(LdAParty,$A773,LdAType,2,LdAKey,"&lt;"&amp;$G773)+1)</f>
        <v/>
      </c>
      <c r="K773">
        <f>IF($J773="","",$A773&amp;"|"&amp;RIGHT("000000"&amp;$J773,6))</f>
        <v/>
      </c>
      <c r="L773">
        <f>IF($A773="","",IF(Wages!$G776="",0,Wages!$G776))</f>
        <v/>
      </c>
      <c r="M773">
        <f>IF($A773="","",Wages!$J776)</f>
        <v/>
      </c>
      <c r="N773">
        <f>IF($A773="","",Wages!$D776)</f>
        <v/>
      </c>
      <c r="P773">
        <f>IF(OR(Shares!$B776="",Shares!$C776=""),"",Shares!$C776)</f>
        <v/>
      </c>
      <c r="Q773">
        <f>IF($P773="","",Shares!$B776)</f>
        <v/>
      </c>
      <c r="R773">
        <f>IF($P773="","",IFERROR(INDEX(WageParty,MATCH($Q773,WageIds,0)),""))</f>
        <v/>
      </c>
      <c r="S773">
        <f>IF($P773="","",IFERROR(INDEX($F$6:$F$2005,MATCH($Q773,WageIds,0)),""))</f>
        <v/>
      </c>
      <c r="T773">
        <f>IF(OR($P773="",$S773="",$S773="نامعتبر"),"",LEFT($S773,4)&amp;MID($S773,6,2)&amp;RIGHT($S773,2)&amp;"0000"&amp;"|"&amp;"2"&amp;RIGHT("00000"&amp;768,5))</f>
        <v/>
      </c>
      <c r="U773">
        <f>IF($T773="","",COUNTIFS(LdAParty,$P773,LdAType,1,LdAKey,"&lt;"&amp;$T773)+COUNTIFS(LdBMember,$P773,LdBKey,"&lt;"&amp;$T773)+COUNTIFS(LdCParty,$P773,LdCKey,"&lt;"&amp;$T773)+1)</f>
        <v/>
      </c>
      <c r="V773">
        <f>IF($U773="","",$P773&amp;"|"&amp;RIGHT("000000"&amp;$U773,6))</f>
        <v/>
      </c>
      <c r="W773">
        <f>IF($T773="","",COUNTIFS(LdBGroup,$R773,LdBKey,"&lt;"&amp;$T773)+1)</f>
        <v/>
      </c>
      <c r="X773">
        <f>IF($W773="","",$R773&amp;"|"&amp;RIGHT("000000"&amp;$W773,6))</f>
        <v/>
      </c>
      <c r="Y773">
        <f>IF($P773="","",IF(Shares!$E776="",0,Shares!$E776))</f>
        <v/>
      </c>
      <c r="Z773">
        <f>IF($P773="","",Shares!$H776)</f>
        <v/>
      </c>
      <c r="AE773">
        <f>IF(OR(Sync!$S773="",Sync!$P773=""),"",Sync!$S773)</f>
        <v/>
      </c>
      <c r="AF773">
        <f>IF($AE773="","",IF(ISNUMBER(Sync!$P773),IF(AND(Sync!$P773&gt;=10000101,Sync!$P773&lt;=99991231),INT(Sync!$P773/10000),""),IFERROR(VALUE(TRIM(LEFT(Sync!$P773,FIND("/",Sync!$P773)-1))),"")))</f>
        <v/>
      </c>
      <c r="AG773">
        <f>IF(OR($AE773="",$AF773=""),"",IF(ISNUMBER(Sync!$P773),INT(MOD(Sync!$P773,10000)/100),IFERROR(VALUE(TRIM(LEFT(MID(Sync!$P773,FIND("/",Sync!$P773)+1,20),FIND("/",MID(Sync!$P773,FIND("/",Sync!$P773)+1,20))-1))),"")))</f>
        <v/>
      </c>
      <c r="AH773">
        <f>IF(OR($AE773="",$AF773=""),"",IF(ISNUMBER(Sync!$P773),MOD(Sync!$P773,100),IFERROR(VALUE(TRIM(MID(MID(Sync!$P773,FIND("/",Sync!$P773)+1,20),FIND("/",MID(Sync!$P773,FIND("/",Sync!$P773)+1,20))+1,20))),"")))</f>
        <v/>
      </c>
      <c r="AI773">
        <f>IF($AE773="","",IF(OR($AF773="",$AG773="",$AH773="",$AF773&lt;1300,$AF773&gt;1500,$AG773&lt;1,$AG773&gt;12,$AH773&lt;1,$AH773&gt;31),"نامعتبر",RIGHT("0000"&amp;$AF773,4)&amp;"/"&amp;RIGHT("00"&amp;$AG773,2)&amp;"/"&amp;RIGHT("00"&amp;$AH773,2)))</f>
        <v/>
      </c>
      <c r="AJ773">
        <f>IF($AE773="","",IF(Sync!$Q773="","0000",IF(AND(ISNUMBER(Sync!$Q773),Sync!$Q773&gt;=0,Sync!$Q773&lt;1),RIGHT("00"&amp;HOUR(Sync!$Q773),2)&amp;RIGHT("00"&amp;MINUTE(Sync!$Q773),2),IFERROR(RIGHT("00"&amp;VALUE(LEFT(Sync!$Q773,FIND(":",Sync!$Q773)-1)),2)&amp;RIGHT("00"&amp;VALUE(MID(Sync!$Q773,FIND(":",Sync!$Q773)+1,2)),2),"0000"))))</f>
        <v/>
      </c>
      <c r="AK773">
        <f>IF(OR($AE773="",$AI773="",$AI773="نامعتبر"),"",LEFT($AI773,4)&amp;MID($AI773,6,2)&amp;RIGHT($AI773,2)&amp;$AJ773&amp;"|"&amp;"3"&amp;RIGHT("00000"&amp;768,5))</f>
        <v/>
      </c>
      <c r="AL773">
        <f>IF($AK773="","",COUNTIFS(LdAParty,$AE773,LdAType,1,LdAKey,"&lt;"&amp;$AK773)+COUNTIFS(LdBMember,$AE773,LdBKey,"&lt;"&amp;$AK773)+COUNTIFS(LdCParty,$AE773,LdCKey,"&lt;"&amp;$AK773)+1)</f>
        <v/>
      </c>
      <c r="AM773">
        <f>IF($AL773="","",$AE773&amp;"|"&amp;RIGHT("000000"&amp;$AL773,6))</f>
        <v/>
      </c>
      <c r="AN773">
        <f>IF($AE773="","",IF(Sync!$W773="",0,Sync!$W773))</f>
        <v/>
      </c>
      <c r="AO773">
        <f>IF($AE773="","",IF(Sync!$X773="",0,Sync!$X773))</f>
        <v/>
      </c>
      <c r="AP773">
        <f>IF($AE773="","",Sync!$R773)</f>
        <v/>
      </c>
      <c r="AQ773">
        <f>IF($AE773="","",Sync!$Y773)</f>
        <v/>
      </c>
    </row>
    <row r="774">
      <c r="A774">
        <f>IF(OR(Wages!$B777="",Wages!$E777=""),"",Wages!$E777)</f>
        <v/>
      </c>
      <c r="B774">
        <f>IF($A774="","",IF(Wages!$C777="دستمزد گروهی",2,1))</f>
        <v/>
      </c>
      <c r="C774">
        <f>IF($A774="","",IF(ISNUMBER(Wages!$B777),IF(AND(Wages!$B777&gt;=10000101,Wages!$B777&lt;=99991231),INT(Wages!$B777/10000),""),IFERROR(VALUE(TRIM(LEFT(Wages!$B777,FIND("/",Wages!$B777)-1))),"")))</f>
        <v/>
      </c>
      <c r="D774">
        <f>IF(OR($A774="",$C774=""),"",IF(ISNUMBER(Wages!$B777),INT(MOD(Wages!$B777,10000)/100),IFERROR(VALUE(TRIM(LEFT(MID(Wages!$B777,FIND("/",Wages!$B777)+1,20),FIND("/",MID(Wages!$B777,FIND("/",Wages!$B777)+1,20))-1))),"")))</f>
        <v/>
      </c>
      <c r="E774">
        <f>IF(OR($A774="",$C774=""),"",IF(ISNUMBER(Wages!$B777),MOD(Wages!$B777,100),IFERROR(VALUE(TRIM(MID(MID(Wages!$B777,FIND("/",Wages!$B777)+1,20),FIND("/",MID(Wages!$B777,FIND("/",Wages!$B777)+1,20))+1,20))),"")))</f>
        <v/>
      </c>
      <c r="F774">
        <f>IF($A774="","",IF(OR($C774="",$D774="",$E774="",$C774&lt;1300,$C774&gt;1500,$D774&lt;1,$D774&gt;12,$E774&lt;1,$E774&gt;31),"نامعتبر",RIGHT("0000"&amp;$C774,4)&amp;"/"&amp;RIGHT("00"&amp;$D774,2)&amp;"/"&amp;RIGHT("00"&amp;$E774,2)))</f>
        <v/>
      </c>
      <c r="G774">
        <f>IF(OR($A774="",$F774="",$F774="نامعتبر"),"",LEFT($F774,4)&amp;MID($F774,6,2)&amp;RIGHT($F774,2)&amp;"0000"&amp;"|"&amp;"1"&amp;RIGHT("00000"&amp;769,5))</f>
        <v/>
      </c>
      <c r="H774">
        <f>IF(OR($B774&lt;&gt;1,$G774=""),"",COUNTIFS(LdAParty,$A774,LdAType,1,LdAKey,"&lt;"&amp;$G774)+COUNTIFS(LdBMember,$A774,LdBKey,"&lt;"&amp;$G774)+COUNTIFS(LdCParty,$A774,LdCKey,"&lt;"&amp;$G774)+1)</f>
        <v/>
      </c>
      <c r="I774">
        <f>IF($H774="","",$A774&amp;"|"&amp;RIGHT("000000"&amp;$H774,6))</f>
        <v/>
      </c>
      <c r="J774">
        <f>IF(OR($B774&lt;&gt;2,$G774=""),"",COUNTIFS(LdAParty,$A774,LdAType,2,LdAKey,"&lt;"&amp;$G774)+1)</f>
        <v/>
      </c>
      <c r="K774">
        <f>IF($J774="","",$A774&amp;"|"&amp;RIGHT("000000"&amp;$J774,6))</f>
        <v/>
      </c>
      <c r="L774">
        <f>IF($A774="","",IF(Wages!$G777="",0,Wages!$G777))</f>
        <v/>
      </c>
      <c r="M774">
        <f>IF($A774="","",Wages!$J777)</f>
        <v/>
      </c>
      <c r="N774">
        <f>IF($A774="","",Wages!$D777)</f>
        <v/>
      </c>
      <c r="P774">
        <f>IF(OR(Shares!$B777="",Shares!$C777=""),"",Shares!$C777)</f>
        <v/>
      </c>
      <c r="Q774">
        <f>IF($P774="","",Shares!$B777)</f>
        <v/>
      </c>
      <c r="R774">
        <f>IF($P774="","",IFERROR(INDEX(WageParty,MATCH($Q774,WageIds,0)),""))</f>
        <v/>
      </c>
      <c r="S774">
        <f>IF($P774="","",IFERROR(INDEX($F$6:$F$2005,MATCH($Q774,WageIds,0)),""))</f>
        <v/>
      </c>
      <c r="T774">
        <f>IF(OR($P774="",$S774="",$S774="نامعتبر"),"",LEFT($S774,4)&amp;MID($S774,6,2)&amp;RIGHT($S774,2)&amp;"0000"&amp;"|"&amp;"2"&amp;RIGHT("00000"&amp;769,5))</f>
        <v/>
      </c>
      <c r="U774">
        <f>IF($T774="","",COUNTIFS(LdAParty,$P774,LdAType,1,LdAKey,"&lt;"&amp;$T774)+COUNTIFS(LdBMember,$P774,LdBKey,"&lt;"&amp;$T774)+COUNTIFS(LdCParty,$P774,LdCKey,"&lt;"&amp;$T774)+1)</f>
        <v/>
      </c>
      <c r="V774">
        <f>IF($U774="","",$P774&amp;"|"&amp;RIGHT("000000"&amp;$U774,6))</f>
        <v/>
      </c>
      <c r="W774">
        <f>IF($T774="","",COUNTIFS(LdBGroup,$R774,LdBKey,"&lt;"&amp;$T774)+1)</f>
        <v/>
      </c>
      <c r="X774">
        <f>IF($W774="","",$R774&amp;"|"&amp;RIGHT("000000"&amp;$W774,6))</f>
        <v/>
      </c>
      <c r="Y774">
        <f>IF($P774="","",IF(Shares!$E777="",0,Shares!$E777))</f>
        <v/>
      </c>
      <c r="Z774">
        <f>IF($P774="","",Shares!$H777)</f>
        <v/>
      </c>
      <c r="AE774">
        <f>IF(OR(Sync!$S774="",Sync!$P774=""),"",Sync!$S774)</f>
        <v/>
      </c>
      <c r="AF774">
        <f>IF($AE774="","",IF(ISNUMBER(Sync!$P774),IF(AND(Sync!$P774&gt;=10000101,Sync!$P774&lt;=99991231),INT(Sync!$P774/10000),""),IFERROR(VALUE(TRIM(LEFT(Sync!$P774,FIND("/",Sync!$P774)-1))),"")))</f>
        <v/>
      </c>
      <c r="AG774">
        <f>IF(OR($AE774="",$AF774=""),"",IF(ISNUMBER(Sync!$P774),INT(MOD(Sync!$P774,10000)/100),IFERROR(VALUE(TRIM(LEFT(MID(Sync!$P774,FIND("/",Sync!$P774)+1,20),FIND("/",MID(Sync!$P774,FIND("/",Sync!$P774)+1,20))-1))),"")))</f>
        <v/>
      </c>
      <c r="AH774">
        <f>IF(OR($AE774="",$AF774=""),"",IF(ISNUMBER(Sync!$P774),MOD(Sync!$P774,100),IFERROR(VALUE(TRIM(MID(MID(Sync!$P774,FIND("/",Sync!$P774)+1,20),FIND("/",MID(Sync!$P774,FIND("/",Sync!$P774)+1,20))+1,20))),"")))</f>
        <v/>
      </c>
      <c r="AI774">
        <f>IF($AE774="","",IF(OR($AF774="",$AG774="",$AH774="",$AF774&lt;1300,$AF774&gt;1500,$AG774&lt;1,$AG774&gt;12,$AH774&lt;1,$AH774&gt;31),"نامعتبر",RIGHT("0000"&amp;$AF774,4)&amp;"/"&amp;RIGHT("00"&amp;$AG774,2)&amp;"/"&amp;RIGHT("00"&amp;$AH774,2)))</f>
        <v/>
      </c>
      <c r="AJ774">
        <f>IF($AE774="","",IF(Sync!$Q774="","0000",IF(AND(ISNUMBER(Sync!$Q774),Sync!$Q774&gt;=0,Sync!$Q774&lt;1),RIGHT("00"&amp;HOUR(Sync!$Q774),2)&amp;RIGHT("00"&amp;MINUTE(Sync!$Q774),2),IFERROR(RIGHT("00"&amp;VALUE(LEFT(Sync!$Q774,FIND(":",Sync!$Q774)-1)),2)&amp;RIGHT("00"&amp;VALUE(MID(Sync!$Q774,FIND(":",Sync!$Q774)+1,2)),2),"0000"))))</f>
        <v/>
      </c>
      <c r="AK774">
        <f>IF(OR($AE774="",$AI774="",$AI774="نامعتبر"),"",LEFT($AI774,4)&amp;MID($AI774,6,2)&amp;RIGHT($AI774,2)&amp;$AJ774&amp;"|"&amp;"3"&amp;RIGHT("00000"&amp;769,5))</f>
        <v/>
      </c>
      <c r="AL774">
        <f>IF($AK774="","",COUNTIFS(LdAParty,$AE774,LdAType,1,LdAKey,"&lt;"&amp;$AK774)+COUNTIFS(LdBMember,$AE774,LdBKey,"&lt;"&amp;$AK774)+COUNTIFS(LdCParty,$AE774,LdCKey,"&lt;"&amp;$AK774)+1)</f>
        <v/>
      </c>
      <c r="AM774">
        <f>IF($AL774="","",$AE774&amp;"|"&amp;RIGHT("000000"&amp;$AL774,6))</f>
        <v/>
      </c>
      <c r="AN774">
        <f>IF($AE774="","",IF(Sync!$W774="",0,Sync!$W774))</f>
        <v/>
      </c>
      <c r="AO774">
        <f>IF($AE774="","",IF(Sync!$X774="",0,Sync!$X774))</f>
        <v/>
      </c>
      <c r="AP774">
        <f>IF($AE774="","",Sync!$R774)</f>
        <v/>
      </c>
      <c r="AQ774">
        <f>IF($AE774="","",Sync!$Y774)</f>
        <v/>
      </c>
    </row>
    <row r="775">
      <c r="A775">
        <f>IF(OR(Wages!$B778="",Wages!$E778=""),"",Wages!$E778)</f>
        <v/>
      </c>
      <c r="B775">
        <f>IF($A775="","",IF(Wages!$C778="دستمزد گروهی",2,1))</f>
        <v/>
      </c>
      <c r="C775">
        <f>IF($A775="","",IF(ISNUMBER(Wages!$B778),IF(AND(Wages!$B778&gt;=10000101,Wages!$B778&lt;=99991231),INT(Wages!$B778/10000),""),IFERROR(VALUE(TRIM(LEFT(Wages!$B778,FIND("/",Wages!$B778)-1))),"")))</f>
        <v/>
      </c>
      <c r="D775">
        <f>IF(OR($A775="",$C775=""),"",IF(ISNUMBER(Wages!$B778),INT(MOD(Wages!$B778,10000)/100),IFERROR(VALUE(TRIM(LEFT(MID(Wages!$B778,FIND("/",Wages!$B778)+1,20),FIND("/",MID(Wages!$B778,FIND("/",Wages!$B778)+1,20))-1))),"")))</f>
        <v/>
      </c>
      <c r="E775">
        <f>IF(OR($A775="",$C775=""),"",IF(ISNUMBER(Wages!$B778),MOD(Wages!$B778,100),IFERROR(VALUE(TRIM(MID(MID(Wages!$B778,FIND("/",Wages!$B778)+1,20),FIND("/",MID(Wages!$B778,FIND("/",Wages!$B778)+1,20))+1,20))),"")))</f>
        <v/>
      </c>
      <c r="F775">
        <f>IF($A775="","",IF(OR($C775="",$D775="",$E775="",$C775&lt;1300,$C775&gt;1500,$D775&lt;1,$D775&gt;12,$E775&lt;1,$E775&gt;31),"نامعتبر",RIGHT("0000"&amp;$C775,4)&amp;"/"&amp;RIGHT("00"&amp;$D775,2)&amp;"/"&amp;RIGHT("00"&amp;$E775,2)))</f>
        <v/>
      </c>
      <c r="G775">
        <f>IF(OR($A775="",$F775="",$F775="نامعتبر"),"",LEFT($F775,4)&amp;MID($F775,6,2)&amp;RIGHT($F775,2)&amp;"0000"&amp;"|"&amp;"1"&amp;RIGHT("00000"&amp;770,5))</f>
        <v/>
      </c>
      <c r="H775">
        <f>IF(OR($B775&lt;&gt;1,$G775=""),"",COUNTIFS(LdAParty,$A775,LdAType,1,LdAKey,"&lt;"&amp;$G775)+COUNTIFS(LdBMember,$A775,LdBKey,"&lt;"&amp;$G775)+COUNTIFS(LdCParty,$A775,LdCKey,"&lt;"&amp;$G775)+1)</f>
        <v/>
      </c>
      <c r="I775">
        <f>IF($H775="","",$A775&amp;"|"&amp;RIGHT("000000"&amp;$H775,6))</f>
        <v/>
      </c>
      <c r="J775">
        <f>IF(OR($B775&lt;&gt;2,$G775=""),"",COUNTIFS(LdAParty,$A775,LdAType,2,LdAKey,"&lt;"&amp;$G775)+1)</f>
        <v/>
      </c>
      <c r="K775">
        <f>IF($J775="","",$A775&amp;"|"&amp;RIGHT("000000"&amp;$J775,6))</f>
        <v/>
      </c>
      <c r="L775">
        <f>IF($A775="","",IF(Wages!$G778="",0,Wages!$G778))</f>
        <v/>
      </c>
      <c r="M775">
        <f>IF($A775="","",Wages!$J778)</f>
        <v/>
      </c>
      <c r="N775">
        <f>IF($A775="","",Wages!$D778)</f>
        <v/>
      </c>
      <c r="P775">
        <f>IF(OR(Shares!$B778="",Shares!$C778=""),"",Shares!$C778)</f>
        <v/>
      </c>
      <c r="Q775">
        <f>IF($P775="","",Shares!$B778)</f>
        <v/>
      </c>
      <c r="R775">
        <f>IF($P775="","",IFERROR(INDEX(WageParty,MATCH($Q775,WageIds,0)),""))</f>
        <v/>
      </c>
      <c r="S775">
        <f>IF($P775="","",IFERROR(INDEX($F$6:$F$2005,MATCH($Q775,WageIds,0)),""))</f>
        <v/>
      </c>
      <c r="T775">
        <f>IF(OR($P775="",$S775="",$S775="نامعتبر"),"",LEFT($S775,4)&amp;MID($S775,6,2)&amp;RIGHT($S775,2)&amp;"0000"&amp;"|"&amp;"2"&amp;RIGHT("00000"&amp;770,5))</f>
        <v/>
      </c>
      <c r="U775">
        <f>IF($T775="","",COUNTIFS(LdAParty,$P775,LdAType,1,LdAKey,"&lt;"&amp;$T775)+COUNTIFS(LdBMember,$P775,LdBKey,"&lt;"&amp;$T775)+COUNTIFS(LdCParty,$P775,LdCKey,"&lt;"&amp;$T775)+1)</f>
        <v/>
      </c>
      <c r="V775">
        <f>IF($U775="","",$P775&amp;"|"&amp;RIGHT("000000"&amp;$U775,6))</f>
        <v/>
      </c>
      <c r="W775">
        <f>IF($T775="","",COUNTIFS(LdBGroup,$R775,LdBKey,"&lt;"&amp;$T775)+1)</f>
        <v/>
      </c>
      <c r="X775">
        <f>IF($W775="","",$R775&amp;"|"&amp;RIGHT("000000"&amp;$W775,6))</f>
        <v/>
      </c>
      <c r="Y775">
        <f>IF($P775="","",IF(Shares!$E778="",0,Shares!$E778))</f>
        <v/>
      </c>
      <c r="Z775">
        <f>IF($P775="","",Shares!$H778)</f>
        <v/>
      </c>
      <c r="AE775">
        <f>IF(OR(Sync!$S775="",Sync!$P775=""),"",Sync!$S775)</f>
        <v/>
      </c>
      <c r="AF775">
        <f>IF($AE775="","",IF(ISNUMBER(Sync!$P775),IF(AND(Sync!$P775&gt;=10000101,Sync!$P775&lt;=99991231),INT(Sync!$P775/10000),""),IFERROR(VALUE(TRIM(LEFT(Sync!$P775,FIND("/",Sync!$P775)-1))),"")))</f>
        <v/>
      </c>
      <c r="AG775">
        <f>IF(OR($AE775="",$AF775=""),"",IF(ISNUMBER(Sync!$P775),INT(MOD(Sync!$P775,10000)/100),IFERROR(VALUE(TRIM(LEFT(MID(Sync!$P775,FIND("/",Sync!$P775)+1,20),FIND("/",MID(Sync!$P775,FIND("/",Sync!$P775)+1,20))-1))),"")))</f>
        <v/>
      </c>
      <c r="AH775">
        <f>IF(OR($AE775="",$AF775=""),"",IF(ISNUMBER(Sync!$P775),MOD(Sync!$P775,100),IFERROR(VALUE(TRIM(MID(MID(Sync!$P775,FIND("/",Sync!$P775)+1,20),FIND("/",MID(Sync!$P775,FIND("/",Sync!$P775)+1,20))+1,20))),"")))</f>
        <v/>
      </c>
      <c r="AI775">
        <f>IF($AE775="","",IF(OR($AF775="",$AG775="",$AH775="",$AF775&lt;1300,$AF775&gt;1500,$AG775&lt;1,$AG775&gt;12,$AH775&lt;1,$AH775&gt;31),"نامعتبر",RIGHT("0000"&amp;$AF775,4)&amp;"/"&amp;RIGHT("00"&amp;$AG775,2)&amp;"/"&amp;RIGHT("00"&amp;$AH775,2)))</f>
        <v/>
      </c>
      <c r="AJ775">
        <f>IF($AE775="","",IF(Sync!$Q775="","0000",IF(AND(ISNUMBER(Sync!$Q775),Sync!$Q775&gt;=0,Sync!$Q775&lt;1),RIGHT("00"&amp;HOUR(Sync!$Q775),2)&amp;RIGHT("00"&amp;MINUTE(Sync!$Q775),2),IFERROR(RIGHT("00"&amp;VALUE(LEFT(Sync!$Q775,FIND(":",Sync!$Q775)-1)),2)&amp;RIGHT("00"&amp;VALUE(MID(Sync!$Q775,FIND(":",Sync!$Q775)+1,2)),2),"0000"))))</f>
        <v/>
      </c>
      <c r="AK775">
        <f>IF(OR($AE775="",$AI775="",$AI775="نامعتبر"),"",LEFT($AI775,4)&amp;MID($AI775,6,2)&amp;RIGHT($AI775,2)&amp;$AJ775&amp;"|"&amp;"3"&amp;RIGHT("00000"&amp;770,5))</f>
        <v/>
      </c>
      <c r="AL775">
        <f>IF($AK775="","",COUNTIFS(LdAParty,$AE775,LdAType,1,LdAKey,"&lt;"&amp;$AK775)+COUNTIFS(LdBMember,$AE775,LdBKey,"&lt;"&amp;$AK775)+COUNTIFS(LdCParty,$AE775,LdCKey,"&lt;"&amp;$AK775)+1)</f>
        <v/>
      </c>
      <c r="AM775">
        <f>IF($AL775="","",$AE775&amp;"|"&amp;RIGHT("000000"&amp;$AL775,6))</f>
        <v/>
      </c>
      <c r="AN775">
        <f>IF($AE775="","",IF(Sync!$W775="",0,Sync!$W775))</f>
        <v/>
      </c>
      <c r="AO775">
        <f>IF($AE775="","",IF(Sync!$X775="",0,Sync!$X775))</f>
        <v/>
      </c>
      <c r="AP775">
        <f>IF($AE775="","",Sync!$R775)</f>
        <v/>
      </c>
      <c r="AQ775">
        <f>IF($AE775="","",Sync!$Y775)</f>
        <v/>
      </c>
    </row>
    <row r="776">
      <c r="A776">
        <f>IF(OR(Wages!$B779="",Wages!$E779=""),"",Wages!$E779)</f>
        <v/>
      </c>
      <c r="B776">
        <f>IF($A776="","",IF(Wages!$C779="دستمزد گروهی",2,1))</f>
        <v/>
      </c>
      <c r="C776">
        <f>IF($A776="","",IF(ISNUMBER(Wages!$B779),IF(AND(Wages!$B779&gt;=10000101,Wages!$B779&lt;=99991231),INT(Wages!$B779/10000),""),IFERROR(VALUE(TRIM(LEFT(Wages!$B779,FIND("/",Wages!$B779)-1))),"")))</f>
        <v/>
      </c>
      <c r="D776">
        <f>IF(OR($A776="",$C776=""),"",IF(ISNUMBER(Wages!$B779),INT(MOD(Wages!$B779,10000)/100),IFERROR(VALUE(TRIM(LEFT(MID(Wages!$B779,FIND("/",Wages!$B779)+1,20),FIND("/",MID(Wages!$B779,FIND("/",Wages!$B779)+1,20))-1))),"")))</f>
        <v/>
      </c>
      <c r="E776">
        <f>IF(OR($A776="",$C776=""),"",IF(ISNUMBER(Wages!$B779),MOD(Wages!$B779,100),IFERROR(VALUE(TRIM(MID(MID(Wages!$B779,FIND("/",Wages!$B779)+1,20),FIND("/",MID(Wages!$B779,FIND("/",Wages!$B779)+1,20))+1,20))),"")))</f>
        <v/>
      </c>
      <c r="F776">
        <f>IF($A776="","",IF(OR($C776="",$D776="",$E776="",$C776&lt;1300,$C776&gt;1500,$D776&lt;1,$D776&gt;12,$E776&lt;1,$E776&gt;31),"نامعتبر",RIGHT("0000"&amp;$C776,4)&amp;"/"&amp;RIGHT("00"&amp;$D776,2)&amp;"/"&amp;RIGHT("00"&amp;$E776,2)))</f>
        <v/>
      </c>
      <c r="G776">
        <f>IF(OR($A776="",$F776="",$F776="نامعتبر"),"",LEFT($F776,4)&amp;MID($F776,6,2)&amp;RIGHT($F776,2)&amp;"0000"&amp;"|"&amp;"1"&amp;RIGHT("00000"&amp;771,5))</f>
        <v/>
      </c>
      <c r="H776">
        <f>IF(OR($B776&lt;&gt;1,$G776=""),"",COUNTIFS(LdAParty,$A776,LdAType,1,LdAKey,"&lt;"&amp;$G776)+COUNTIFS(LdBMember,$A776,LdBKey,"&lt;"&amp;$G776)+COUNTIFS(LdCParty,$A776,LdCKey,"&lt;"&amp;$G776)+1)</f>
        <v/>
      </c>
      <c r="I776">
        <f>IF($H776="","",$A776&amp;"|"&amp;RIGHT("000000"&amp;$H776,6))</f>
        <v/>
      </c>
      <c r="J776">
        <f>IF(OR($B776&lt;&gt;2,$G776=""),"",COUNTIFS(LdAParty,$A776,LdAType,2,LdAKey,"&lt;"&amp;$G776)+1)</f>
        <v/>
      </c>
      <c r="K776">
        <f>IF($J776="","",$A776&amp;"|"&amp;RIGHT("000000"&amp;$J776,6))</f>
        <v/>
      </c>
      <c r="L776">
        <f>IF($A776="","",IF(Wages!$G779="",0,Wages!$G779))</f>
        <v/>
      </c>
      <c r="M776">
        <f>IF($A776="","",Wages!$J779)</f>
        <v/>
      </c>
      <c r="N776">
        <f>IF($A776="","",Wages!$D779)</f>
        <v/>
      </c>
      <c r="P776">
        <f>IF(OR(Shares!$B779="",Shares!$C779=""),"",Shares!$C779)</f>
        <v/>
      </c>
      <c r="Q776">
        <f>IF($P776="","",Shares!$B779)</f>
        <v/>
      </c>
      <c r="R776">
        <f>IF($P776="","",IFERROR(INDEX(WageParty,MATCH($Q776,WageIds,0)),""))</f>
        <v/>
      </c>
      <c r="S776">
        <f>IF($P776="","",IFERROR(INDEX($F$6:$F$2005,MATCH($Q776,WageIds,0)),""))</f>
        <v/>
      </c>
      <c r="T776">
        <f>IF(OR($P776="",$S776="",$S776="نامعتبر"),"",LEFT($S776,4)&amp;MID($S776,6,2)&amp;RIGHT($S776,2)&amp;"0000"&amp;"|"&amp;"2"&amp;RIGHT("00000"&amp;771,5))</f>
        <v/>
      </c>
      <c r="U776">
        <f>IF($T776="","",COUNTIFS(LdAParty,$P776,LdAType,1,LdAKey,"&lt;"&amp;$T776)+COUNTIFS(LdBMember,$P776,LdBKey,"&lt;"&amp;$T776)+COUNTIFS(LdCParty,$P776,LdCKey,"&lt;"&amp;$T776)+1)</f>
        <v/>
      </c>
      <c r="V776">
        <f>IF($U776="","",$P776&amp;"|"&amp;RIGHT("000000"&amp;$U776,6))</f>
        <v/>
      </c>
      <c r="W776">
        <f>IF($T776="","",COUNTIFS(LdBGroup,$R776,LdBKey,"&lt;"&amp;$T776)+1)</f>
        <v/>
      </c>
      <c r="X776">
        <f>IF($W776="","",$R776&amp;"|"&amp;RIGHT("000000"&amp;$W776,6))</f>
        <v/>
      </c>
      <c r="Y776">
        <f>IF($P776="","",IF(Shares!$E779="",0,Shares!$E779))</f>
        <v/>
      </c>
      <c r="Z776">
        <f>IF($P776="","",Shares!$H779)</f>
        <v/>
      </c>
      <c r="AE776">
        <f>IF(OR(Sync!$S776="",Sync!$P776=""),"",Sync!$S776)</f>
        <v/>
      </c>
      <c r="AF776">
        <f>IF($AE776="","",IF(ISNUMBER(Sync!$P776),IF(AND(Sync!$P776&gt;=10000101,Sync!$P776&lt;=99991231),INT(Sync!$P776/10000),""),IFERROR(VALUE(TRIM(LEFT(Sync!$P776,FIND("/",Sync!$P776)-1))),"")))</f>
        <v/>
      </c>
      <c r="AG776">
        <f>IF(OR($AE776="",$AF776=""),"",IF(ISNUMBER(Sync!$P776),INT(MOD(Sync!$P776,10000)/100),IFERROR(VALUE(TRIM(LEFT(MID(Sync!$P776,FIND("/",Sync!$P776)+1,20),FIND("/",MID(Sync!$P776,FIND("/",Sync!$P776)+1,20))-1))),"")))</f>
        <v/>
      </c>
      <c r="AH776">
        <f>IF(OR($AE776="",$AF776=""),"",IF(ISNUMBER(Sync!$P776),MOD(Sync!$P776,100),IFERROR(VALUE(TRIM(MID(MID(Sync!$P776,FIND("/",Sync!$P776)+1,20),FIND("/",MID(Sync!$P776,FIND("/",Sync!$P776)+1,20))+1,20))),"")))</f>
        <v/>
      </c>
      <c r="AI776">
        <f>IF($AE776="","",IF(OR($AF776="",$AG776="",$AH776="",$AF776&lt;1300,$AF776&gt;1500,$AG776&lt;1,$AG776&gt;12,$AH776&lt;1,$AH776&gt;31),"نامعتبر",RIGHT("0000"&amp;$AF776,4)&amp;"/"&amp;RIGHT("00"&amp;$AG776,2)&amp;"/"&amp;RIGHT("00"&amp;$AH776,2)))</f>
        <v/>
      </c>
      <c r="AJ776">
        <f>IF($AE776="","",IF(Sync!$Q776="","0000",IF(AND(ISNUMBER(Sync!$Q776),Sync!$Q776&gt;=0,Sync!$Q776&lt;1),RIGHT("00"&amp;HOUR(Sync!$Q776),2)&amp;RIGHT("00"&amp;MINUTE(Sync!$Q776),2),IFERROR(RIGHT("00"&amp;VALUE(LEFT(Sync!$Q776,FIND(":",Sync!$Q776)-1)),2)&amp;RIGHT("00"&amp;VALUE(MID(Sync!$Q776,FIND(":",Sync!$Q776)+1,2)),2),"0000"))))</f>
        <v/>
      </c>
      <c r="AK776">
        <f>IF(OR($AE776="",$AI776="",$AI776="نامعتبر"),"",LEFT($AI776,4)&amp;MID($AI776,6,2)&amp;RIGHT($AI776,2)&amp;$AJ776&amp;"|"&amp;"3"&amp;RIGHT("00000"&amp;771,5))</f>
        <v/>
      </c>
      <c r="AL776">
        <f>IF($AK776="","",COUNTIFS(LdAParty,$AE776,LdAType,1,LdAKey,"&lt;"&amp;$AK776)+COUNTIFS(LdBMember,$AE776,LdBKey,"&lt;"&amp;$AK776)+COUNTIFS(LdCParty,$AE776,LdCKey,"&lt;"&amp;$AK776)+1)</f>
        <v/>
      </c>
      <c r="AM776">
        <f>IF($AL776="","",$AE776&amp;"|"&amp;RIGHT("000000"&amp;$AL776,6))</f>
        <v/>
      </c>
      <c r="AN776">
        <f>IF($AE776="","",IF(Sync!$W776="",0,Sync!$W776))</f>
        <v/>
      </c>
      <c r="AO776">
        <f>IF($AE776="","",IF(Sync!$X776="",0,Sync!$X776))</f>
        <v/>
      </c>
      <c r="AP776">
        <f>IF($AE776="","",Sync!$R776)</f>
        <v/>
      </c>
      <c r="AQ776">
        <f>IF($AE776="","",Sync!$Y776)</f>
        <v/>
      </c>
    </row>
    <row r="777">
      <c r="A777">
        <f>IF(OR(Wages!$B780="",Wages!$E780=""),"",Wages!$E780)</f>
        <v/>
      </c>
      <c r="B777">
        <f>IF($A777="","",IF(Wages!$C780="دستمزد گروهی",2,1))</f>
        <v/>
      </c>
      <c r="C777">
        <f>IF($A777="","",IF(ISNUMBER(Wages!$B780),IF(AND(Wages!$B780&gt;=10000101,Wages!$B780&lt;=99991231),INT(Wages!$B780/10000),""),IFERROR(VALUE(TRIM(LEFT(Wages!$B780,FIND("/",Wages!$B780)-1))),"")))</f>
        <v/>
      </c>
      <c r="D777">
        <f>IF(OR($A777="",$C777=""),"",IF(ISNUMBER(Wages!$B780),INT(MOD(Wages!$B780,10000)/100),IFERROR(VALUE(TRIM(LEFT(MID(Wages!$B780,FIND("/",Wages!$B780)+1,20),FIND("/",MID(Wages!$B780,FIND("/",Wages!$B780)+1,20))-1))),"")))</f>
        <v/>
      </c>
      <c r="E777">
        <f>IF(OR($A777="",$C777=""),"",IF(ISNUMBER(Wages!$B780),MOD(Wages!$B780,100),IFERROR(VALUE(TRIM(MID(MID(Wages!$B780,FIND("/",Wages!$B780)+1,20),FIND("/",MID(Wages!$B780,FIND("/",Wages!$B780)+1,20))+1,20))),"")))</f>
        <v/>
      </c>
      <c r="F777">
        <f>IF($A777="","",IF(OR($C777="",$D777="",$E777="",$C777&lt;1300,$C777&gt;1500,$D777&lt;1,$D777&gt;12,$E777&lt;1,$E777&gt;31),"نامعتبر",RIGHT("0000"&amp;$C777,4)&amp;"/"&amp;RIGHT("00"&amp;$D777,2)&amp;"/"&amp;RIGHT("00"&amp;$E777,2)))</f>
        <v/>
      </c>
      <c r="G777">
        <f>IF(OR($A777="",$F777="",$F777="نامعتبر"),"",LEFT($F777,4)&amp;MID($F777,6,2)&amp;RIGHT($F777,2)&amp;"0000"&amp;"|"&amp;"1"&amp;RIGHT("00000"&amp;772,5))</f>
        <v/>
      </c>
      <c r="H777">
        <f>IF(OR($B777&lt;&gt;1,$G777=""),"",COUNTIFS(LdAParty,$A777,LdAType,1,LdAKey,"&lt;"&amp;$G777)+COUNTIFS(LdBMember,$A777,LdBKey,"&lt;"&amp;$G777)+COUNTIFS(LdCParty,$A777,LdCKey,"&lt;"&amp;$G777)+1)</f>
        <v/>
      </c>
      <c r="I777">
        <f>IF($H777="","",$A777&amp;"|"&amp;RIGHT("000000"&amp;$H777,6))</f>
        <v/>
      </c>
      <c r="J777">
        <f>IF(OR($B777&lt;&gt;2,$G777=""),"",COUNTIFS(LdAParty,$A777,LdAType,2,LdAKey,"&lt;"&amp;$G777)+1)</f>
        <v/>
      </c>
      <c r="K777">
        <f>IF($J777="","",$A777&amp;"|"&amp;RIGHT("000000"&amp;$J777,6))</f>
        <v/>
      </c>
      <c r="L777">
        <f>IF($A777="","",IF(Wages!$G780="",0,Wages!$G780))</f>
        <v/>
      </c>
      <c r="M777">
        <f>IF($A777="","",Wages!$J780)</f>
        <v/>
      </c>
      <c r="N777">
        <f>IF($A777="","",Wages!$D780)</f>
        <v/>
      </c>
      <c r="P777">
        <f>IF(OR(Shares!$B780="",Shares!$C780=""),"",Shares!$C780)</f>
        <v/>
      </c>
      <c r="Q777">
        <f>IF($P777="","",Shares!$B780)</f>
        <v/>
      </c>
      <c r="R777">
        <f>IF($P777="","",IFERROR(INDEX(WageParty,MATCH($Q777,WageIds,0)),""))</f>
        <v/>
      </c>
      <c r="S777">
        <f>IF($P777="","",IFERROR(INDEX($F$6:$F$2005,MATCH($Q777,WageIds,0)),""))</f>
        <v/>
      </c>
      <c r="T777">
        <f>IF(OR($P777="",$S777="",$S777="نامعتبر"),"",LEFT($S777,4)&amp;MID($S777,6,2)&amp;RIGHT($S777,2)&amp;"0000"&amp;"|"&amp;"2"&amp;RIGHT("00000"&amp;772,5))</f>
        <v/>
      </c>
      <c r="U777">
        <f>IF($T777="","",COUNTIFS(LdAParty,$P777,LdAType,1,LdAKey,"&lt;"&amp;$T777)+COUNTIFS(LdBMember,$P777,LdBKey,"&lt;"&amp;$T777)+COUNTIFS(LdCParty,$P777,LdCKey,"&lt;"&amp;$T777)+1)</f>
        <v/>
      </c>
      <c r="V777">
        <f>IF($U777="","",$P777&amp;"|"&amp;RIGHT("000000"&amp;$U777,6))</f>
        <v/>
      </c>
      <c r="W777">
        <f>IF($T777="","",COUNTIFS(LdBGroup,$R777,LdBKey,"&lt;"&amp;$T777)+1)</f>
        <v/>
      </c>
      <c r="X777">
        <f>IF($W777="","",$R777&amp;"|"&amp;RIGHT("000000"&amp;$W777,6))</f>
        <v/>
      </c>
      <c r="Y777">
        <f>IF($P777="","",IF(Shares!$E780="",0,Shares!$E780))</f>
        <v/>
      </c>
      <c r="Z777">
        <f>IF($P777="","",Shares!$H780)</f>
        <v/>
      </c>
      <c r="AE777">
        <f>IF(OR(Sync!$S777="",Sync!$P777=""),"",Sync!$S777)</f>
        <v/>
      </c>
      <c r="AF777">
        <f>IF($AE777="","",IF(ISNUMBER(Sync!$P777),IF(AND(Sync!$P777&gt;=10000101,Sync!$P777&lt;=99991231),INT(Sync!$P777/10000),""),IFERROR(VALUE(TRIM(LEFT(Sync!$P777,FIND("/",Sync!$P777)-1))),"")))</f>
        <v/>
      </c>
      <c r="AG777">
        <f>IF(OR($AE777="",$AF777=""),"",IF(ISNUMBER(Sync!$P777),INT(MOD(Sync!$P777,10000)/100),IFERROR(VALUE(TRIM(LEFT(MID(Sync!$P777,FIND("/",Sync!$P777)+1,20),FIND("/",MID(Sync!$P777,FIND("/",Sync!$P777)+1,20))-1))),"")))</f>
        <v/>
      </c>
      <c r="AH777">
        <f>IF(OR($AE777="",$AF777=""),"",IF(ISNUMBER(Sync!$P777),MOD(Sync!$P777,100),IFERROR(VALUE(TRIM(MID(MID(Sync!$P777,FIND("/",Sync!$P777)+1,20),FIND("/",MID(Sync!$P777,FIND("/",Sync!$P777)+1,20))+1,20))),"")))</f>
        <v/>
      </c>
      <c r="AI777">
        <f>IF($AE777="","",IF(OR($AF777="",$AG777="",$AH777="",$AF777&lt;1300,$AF777&gt;1500,$AG777&lt;1,$AG777&gt;12,$AH777&lt;1,$AH777&gt;31),"نامعتبر",RIGHT("0000"&amp;$AF777,4)&amp;"/"&amp;RIGHT("00"&amp;$AG777,2)&amp;"/"&amp;RIGHT("00"&amp;$AH777,2)))</f>
        <v/>
      </c>
      <c r="AJ777">
        <f>IF($AE777="","",IF(Sync!$Q777="","0000",IF(AND(ISNUMBER(Sync!$Q777),Sync!$Q777&gt;=0,Sync!$Q777&lt;1),RIGHT("00"&amp;HOUR(Sync!$Q777),2)&amp;RIGHT("00"&amp;MINUTE(Sync!$Q777),2),IFERROR(RIGHT("00"&amp;VALUE(LEFT(Sync!$Q777,FIND(":",Sync!$Q777)-1)),2)&amp;RIGHT("00"&amp;VALUE(MID(Sync!$Q777,FIND(":",Sync!$Q777)+1,2)),2),"0000"))))</f>
        <v/>
      </c>
      <c r="AK777">
        <f>IF(OR($AE777="",$AI777="",$AI777="نامعتبر"),"",LEFT($AI777,4)&amp;MID($AI777,6,2)&amp;RIGHT($AI777,2)&amp;$AJ777&amp;"|"&amp;"3"&amp;RIGHT("00000"&amp;772,5))</f>
        <v/>
      </c>
      <c r="AL777">
        <f>IF($AK777="","",COUNTIFS(LdAParty,$AE777,LdAType,1,LdAKey,"&lt;"&amp;$AK777)+COUNTIFS(LdBMember,$AE777,LdBKey,"&lt;"&amp;$AK777)+COUNTIFS(LdCParty,$AE777,LdCKey,"&lt;"&amp;$AK777)+1)</f>
        <v/>
      </c>
      <c r="AM777">
        <f>IF($AL777="","",$AE777&amp;"|"&amp;RIGHT("000000"&amp;$AL777,6))</f>
        <v/>
      </c>
      <c r="AN777">
        <f>IF($AE777="","",IF(Sync!$W777="",0,Sync!$W777))</f>
        <v/>
      </c>
      <c r="AO777">
        <f>IF($AE777="","",IF(Sync!$X777="",0,Sync!$X777))</f>
        <v/>
      </c>
      <c r="AP777">
        <f>IF($AE777="","",Sync!$R777)</f>
        <v/>
      </c>
      <c r="AQ777">
        <f>IF($AE777="","",Sync!$Y777)</f>
        <v/>
      </c>
    </row>
    <row r="778">
      <c r="A778">
        <f>IF(OR(Wages!$B781="",Wages!$E781=""),"",Wages!$E781)</f>
        <v/>
      </c>
      <c r="B778">
        <f>IF($A778="","",IF(Wages!$C781="دستمزد گروهی",2,1))</f>
        <v/>
      </c>
      <c r="C778">
        <f>IF($A778="","",IF(ISNUMBER(Wages!$B781),IF(AND(Wages!$B781&gt;=10000101,Wages!$B781&lt;=99991231),INT(Wages!$B781/10000),""),IFERROR(VALUE(TRIM(LEFT(Wages!$B781,FIND("/",Wages!$B781)-1))),"")))</f>
        <v/>
      </c>
      <c r="D778">
        <f>IF(OR($A778="",$C778=""),"",IF(ISNUMBER(Wages!$B781),INT(MOD(Wages!$B781,10000)/100),IFERROR(VALUE(TRIM(LEFT(MID(Wages!$B781,FIND("/",Wages!$B781)+1,20),FIND("/",MID(Wages!$B781,FIND("/",Wages!$B781)+1,20))-1))),"")))</f>
        <v/>
      </c>
      <c r="E778">
        <f>IF(OR($A778="",$C778=""),"",IF(ISNUMBER(Wages!$B781),MOD(Wages!$B781,100),IFERROR(VALUE(TRIM(MID(MID(Wages!$B781,FIND("/",Wages!$B781)+1,20),FIND("/",MID(Wages!$B781,FIND("/",Wages!$B781)+1,20))+1,20))),"")))</f>
        <v/>
      </c>
      <c r="F778">
        <f>IF($A778="","",IF(OR($C778="",$D778="",$E778="",$C778&lt;1300,$C778&gt;1500,$D778&lt;1,$D778&gt;12,$E778&lt;1,$E778&gt;31),"نامعتبر",RIGHT("0000"&amp;$C778,4)&amp;"/"&amp;RIGHT("00"&amp;$D778,2)&amp;"/"&amp;RIGHT("00"&amp;$E778,2)))</f>
        <v/>
      </c>
      <c r="G778">
        <f>IF(OR($A778="",$F778="",$F778="نامعتبر"),"",LEFT($F778,4)&amp;MID($F778,6,2)&amp;RIGHT($F778,2)&amp;"0000"&amp;"|"&amp;"1"&amp;RIGHT("00000"&amp;773,5))</f>
        <v/>
      </c>
      <c r="H778">
        <f>IF(OR($B778&lt;&gt;1,$G778=""),"",COUNTIFS(LdAParty,$A778,LdAType,1,LdAKey,"&lt;"&amp;$G778)+COUNTIFS(LdBMember,$A778,LdBKey,"&lt;"&amp;$G778)+COUNTIFS(LdCParty,$A778,LdCKey,"&lt;"&amp;$G778)+1)</f>
        <v/>
      </c>
      <c r="I778">
        <f>IF($H778="","",$A778&amp;"|"&amp;RIGHT("000000"&amp;$H778,6))</f>
        <v/>
      </c>
      <c r="J778">
        <f>IF(OR($B778&lt;&gt;2,$G778=""),"",COUNTIFS(LdAParty,$A778,LdAType,2,LdAKey,"&lt;"&amp;$G778)+1)</f>
        <v/>
      </c>
      <c r="K778">
        <f>IF($J778="","",$A778&amp;"|"&amp;RIGHT("000000"&amp;$J778,6))</f>
        <v/>
      </c>
      <c r="L778">
        <f>IF($A778="","",IF(Wages!$G781="",0,Wages!$G781))</f>
        <v/>
      </c>
      <c r="M778">
        <f>IF($A778="","",Wages!$J781)</f>
        <v/>
      </c>
      <c r="N778">
        <f>IF($A778="","",Wages!$D781)</f>
        <v/>
      </c>
      <c r="P778">
        <f>IF(OR(Shares!$B781="",Shares!$C781=""),"",Shares!$C781)</f>
        <v/>
      </c>
      <c r="Q778">
        <f>IF($P778="","",Shares!$B781)</f>
        <v/>
      </c>
      <c r="R778">
        <f>IF($P778="","",IFERROR(INDEX(WageParty,MATCH($Q778,WageIds,0)),""))</f>
        <v/>
      </c>
      <c r="S778">
        <f>IF($P778="","",IFERROR(INDEX($F$6:$F$2005,MATCH($Q778,WageIds,0)),""))</f>
        <v/>
      </c>
      <c r="T778">
        <f>IF(OR($P778="",$S778="",$S778="نامعتبر"),"",LEFT($S778,4)&amp;MID($S778,6,2)&amp;RIGHT($S778,2)&amp;"0000"&amp;"|"&amp;"2"&amp;RIGHT("00000"&amp;773,5))</f>
        <v/>
      </c>
      <c r="U778">
        <f>IF($T778="","",COUNTIFS(LdAParty,$P778,LdAType,1,LdAKey,"&lt;"&amp;$T778)+COUNTIFS(LdBMember,$P778,LdBKey,"&lt;"&amp;$T778)+COUNTIFS(LdCParty,$P778,LdCKey,"&lt;"&amp;$T778)+1)</f>
        <v/>
      </c>
      <c r="V778">
        <f>IF($U778="","",$P778&amp;"|"&amp;RIGHT("000000"&amp;$U778,6))</f>
        <v/>
      </c>
      <c r="W778">
        <f>IF($T778="","",COUNTIFS(LdBGroup,$R778,LdBKey,"&lt;"&amp;$T778)+1)</f>
        <v/>
      </c>
      <c r="X778">
        <f>IF($W778="","",$R778&amp;"|"&amp;RIGHT("000000"&amp;$W778,6))</f>
        <v/>
      </c>
      <c r="Y778">
        <f>IF($P778="","",IF(Shares!$E781="",0,Shares!$E781))</f>
        <v/>
      </c>
      <c r="Z778">
        <f>IF($P778="","",Shares!$H781)</f>
        <v/>
      </c>
      <c r="AE778">
        <f>IF(OR(Sync!$S778="",Sync!$P778=""),"",Sync!$S778)</f>
        <v/>
      </c>
      <c r="AF778">
        <f>IF($AE778="","",IF(ISNUMBER(Sync!$P778),IF(AND(Sync!$P778&gt;=10000101,Sync!$P778&lt;=99991231),INT(Sync!$P778/10000),""),IFERROR(VALUE(TRIM(LEFT(Sync!$P778,FIND("/",Sync!$P778)-1))),"")))</f>
        <v/>
      </c>
      <c r="AG778">
        <f>IF(OR($AE778="",$AF778=""),"",IF(ISNUMBER(Sync!$P778),INT(MOD(Sync!$P778,10000)/100),IFERROR(VALUE(TRIM(LEFT(MID(Sync!$P778,FIND("/",Sync!$P778)+1,20),FIND("/",MID(Sync!$P778,FIND("/",Sync!$P778)+1,20))-1))),"")))</f>
        <v/>
      </c>
      <c r="AH778">
        <f>IF(OR($AE778="",$AF778=""),"",IF(ISNUMBER(Sync!$P778),MOD(Sync!$P778,100),IFERROR(VALUE(TRIM(MID(MID(Sync!$P778,FIND("/",Sync!$P778)+1,20),FIND("/",MID(Sync!$P778,FIND("/",Sync!$P778)+1,20))+1,20))),"")))</f>
        <v/>
      </c>
      <c r="AI778">
        <f>IF($AE778="","",IF(OR($AF778="",$AG778="",$AH778="",$AF778&lt;1300,$AF778&gt;1500,$AG778&lt;1,$AG778&gt;12,$AH778&lt;1,$AH778&gt;31),"نامعتبر",RIGHT("0000"&amp;$AF778,4)&amp;"/"&amp;RIGHT("00"&amp;$AG778,2)&amp;"/"&amp;RIGHT("00"&amp;$AH778,2)))</f>
        <v/>
      </c>
      <c r="AJ778">
        <f>IF($AE778="","",IF(Sync!$Q778="","0000",IF(AND(ISNUMBER(Sync!$Q778),Sync!$Q778&gt;=0,Sync!$Q778&lt;1),RIGHT("00"&amp;HOUR(Sync!$Q778),2)&amp;RIGHT("00"&amp;MINUTE(Sync!$Q778),2),IFERROR(RIGHT("00"&amp;VALUE(LEFT(Sync!$Q778,FIND(":",Sync!$Q778)-1)),2)&amp;RIGHT("00"&amp;VALUE(MID(Sync!$Q778,FIND(":",Sync!$Q778)+1,2)),2),"0000"))))</f>
        <v/>
      </c>
      <c r="AK778">
        <f>IF(OR($AE778="",$AI778="",$AI778="نامعتبر"),"",LEFT($AI778,4)&amp;MID($AI778,6,2)&amp;RIGHT($AI778,2)&amp;$AJ778&amp;"|"&amp;"3"&amp;RIGHT("00000"&amp;773,5))</f>
        <v/>
      </c>
      <c r="AL778">
        <f>IF($AK778="","",COUNTIFS(LdAParty,$AE778,LdAType,1,LdAKey,"&lt;"&amp;$AK778)+COUNTIFS(LdBMember,$AE778,LdBKey,"&lt;"&amp;$AK778)+COUNTIFS(LdCParty,$AE778,LdCKey,"&lt;"&amp;$AK778)+1)</f>
        <v/>
      </c>
      <c r="AM778">
        <f>IF($AL778="","",$AE778&amp;"|"&amp;RIGHT("000000"&amp;$AL778,6))</f>
        <v/>
      </c>
      <c r="AN778">
        <f>IF($AE778="","",IF(Sync!$W778="",0,Sync!$W778))</f>
        <v/>
      </c>
      <c r="AO778">
        <f>IF($AE778="","",IF(Sync!$X778="",0,Sync!$X778))</f>
        <v/>
      </c>
      <c r="AP778">
        <f>IF($AE778="","",Sync!$R778)</f>
        <v/>
      </c>
      <c r="AQ778">
        <f>IF($AE778="","",Sync!$Y778)</f>
        <v/>
      </c>
    </row>
    <row r="779">
      <c r="A779">
        <f>IF(OR(Wages!$B782="",Wages!$E782=""),"",Wages!$E782)</f>
        <v/>
      </c>
      <c r="B779">
        <f>IF($A779="","",IF(Wages!$C782="دستمزد گروهی",2,1))</f>
        <v/>
      </c>
      <c r="C779">
        <f>IF($A779="","",IF(ISNUMBER(Wages!$B782),IF(AND(Wages!$B782&gt;=10000101,Wages!$B782&lt;=99991231),INT(Wages!$B782/10000),""),IFERROR(VALUE(TRIM(LEFT(Wages!$B782,FIND("/",Wages!$B782)-1))),"")))</f>
        <v/>
      </c>
      <c r="D779">
        <f>IF(OR($A779="",$C779=""),"",IF(ISNUMBER(Wages!$B782),INT(MOD(Wages!$B782,10000)/100),IFERROR(VALUE(TRIM(LEFT(MID(Wages!$B782,FIND("/",Wages!$B782)+1,20),FIND("/",MID(Wages!$B782,FIND("/",Wages!$B782)+1,20))-1))),"")))</f>
        <v/>
      </c>
      <c r="E779">
        <f>IF(OR($A779="",$C779=""),"",IF(ISNUMBER(Wages!$B782),MOD(Wages!$B782,100),IFERROR(VALUE(TRIM(MID(MID(Wages!$B782,FIND("/",Wages!$B782)+1,20),FIND("/",MID(Wages!$B782,FIND("/",Wages!$B782)+1,20))+1,20))),"")))</f>
        <v/>
      </c>
      <c r="F779">
        <f>IF($A779="","",IF(OR($C779="",$D779="",$E779="",$C779&lt;1300,$C779&gt;1500,$D779&lt;1,$D779&gt;12,$E779&lt;1,$E779&gt;31),"نامعتبر",RIGHT("0000"&amp;$C779,4)&amp;"/"&amp;RIGHT("00"&amp;$D779,2)&amp;"/"&amp;RIGHT("00"&amp;$E779,2)))</f>
        <v/>
      </c>
      <c r="G779">
        <f>IF(OR($A779="",$F779="",$F779="نامعتبر"),"",LEFT($F779,4)&amp;MID($F779,6,2)&amp;RIGHT($F779,2)&amp;"0000"&amp;"|"&amp;"1"&amp;RIGHT("00000"&amp;774,5))</f>
        <v/>
      </c>
      <c r="H779">
        <f>IF(OR($B779&lt;&gt;1,$G779=""),"",COUNTIFS(LdAParty,$A779,LdAType,1,LdAKey,"&lt;"&amp;$G779)+COUNTIFS(LdBMember,$A779,LdBKey,"&lt;"&amp;$G779)+COUNTIFS(LdCParty,$A779,LdCKey,"&lt;"&amp;$G779)+1)</f>
        <v/>
      </c>
      <c r="I779">
        <f>IF($H779="","",$A779&amp;"|"&amp;RIGHT("000000"&amp;$H779,6))</f>
        <v/>
      </c>
      <c r="J779">
        <f>IF(OR($B779&lt;&gt;2,$G779=""),"",COUNTIFS(LdAParty,$A779,LdAType,2,LdAKey,"&lt;"&amp;$G779)+1)</f>
        <v/>
      </c>
      <c r="K779">
        <f>IF($J779="","",$A779&amp;"|"&amp;RIGHT("000000"&amp;$J779,6))</f>
        <v/>
      </c>
      <c r="L779">
        <f>IF($A779="","",IF(Wages!$G782="",0,Wages!$G782))</f>
        <v/>
      </c>
      <c r="M779">
        <f>IF($A779="","",Wages!$J782)</f>
        <v/>
      </c>
      <c r="N779">
        <f>IF($A779="","",Wages!$D782)</f>
        <v/>
      </c>
      <c r="P779">
        <f>IF(OR(Shares!$B782="",Shares!$C782=""),"",Shares!$C782)</f>
        <v/>
      </c>
      <c r="Q779">
        <f>IF($P779="","",Shares!$B782)</f>
        <v/>
      </c>
      <c r="R779">
        <f>IF($P779="","",IFERROR(INDEX(WageParty,MATCH($Q779,WageIds,0)),""))</f>
        <v/>
      </c>
      <c r="S779">
        <f>IF($P779="","",IFERROR(INDEX($F$6:$F$2005,MATCH($Q779,WageIds,0)),""))</f>
        <v/>
      </c>
      <c r="T779">
        <f>IF(OR($P779="",$S779="",$S779="نامعتبر"),"",LEFT($S779,4)&amp;MID($S779,6,2)&amp;RIGHT($S779,2)&amp;"0000"&amp;"|"&amp;"2"&amp;RIGHT("00000"&amp;774,5))</f>
        <v/>
      </c>
      <c r="U779">
        <f>IF($T779="","",COUNTIFS(LdAParty,$P779,LdAType,1,LdAKey,"&lt;"&amp;$T779)+COUNTIFS(LdBMember,$P779,LdBKey,"&lt;"&amp;$T779)+COUNTIFS(LdCParty,$P779,LdCKey,"&lt;"&amp;$T779)+1)</f>
        <v/>
      </c>
      <c r="V779">
        <f>IF($U779="","",$P779&amp;"|"&amp;RIGHT("000000"&amp;$U779,6))</f>
        <v/>
      </c>
      <c r="W779">
        <f>IF($T779="","",COUNTIFS(LdBGroup,$R779,LdBKey,"&lt;"&amp;$T779)+1)</f>
        <v/>
      </c>
      <c r="X779">
        <f>IF($W779="","",$R779&amp;"|"&amp;RIGHT("000000"&amp;$W779,6))</f>
        <v/>
      </c>
      <c r="Y779">
        <f>IF($P779="","",IF(Shares!$E782="",0,Shares!$E782))</f>
        <v/>
      </c>
      <c r="Z779">
        <f>IF($P779="","",Shares!$H782)</f>
        <v/>
      </c>
      <c r="AE779">
        <f>IF(OR(Sync!$S779="",Sync!$P779=""),"",Sync!$S779)</f>
        <v/>
      </c>
      <c r="AF779">
        <f>IF($AE779="","",IF(ISNUMBER(Sync!$P779),IF(AND(Sync!$P779&gt;=10000101,Sync!$P779&lt;=99991231),INT(Sync!$P779/10000),""),IFERROR(VALUE(TRIM(LEFT(Sync!$P779,FIND("/",Sync!$P779)-1))),"")))</f>
        <v/>
      </c>
      <c r="AG779">
        <f>IF(OR($AE779="",$AF779=""),"",IF(ISNUMBER(Sync!$P779),INT(MOD(Sync!$P779,10000)/100),IFERROR(VALUE(TRIM(LEFT(MID(Sync!$P779,FIND("/",Sync!$P779)+1,20),FIND("/",MID(Sync!$P779,FIND("/",Sync!$P779)+1,20))-1))),"")))</f>
        <v/>
      </c>
      <c r="AH779">
        <f>IF(OR($AE779="",$AF779=""),"",IF(ISNUMBER(Sync!$P779),MOD(Sync!$P779,100),IFERROR(VALUE(TRIM(MID(MID(Sync!$P779,FIND("/",Sync!$P779)+1,20),FIND("/",MID(Sync!$P779,FIND("/",Sync!$P779)+1,20))+1,20))),"")))</f>
        <v/>
      </c>
      <c r="AI779">
        <f>IF($AE779="","",IF(OR($AF779="",$AG779="",$AH779="",$AF779&lt;1300,$AF779&gt;1500,$AG779&lt;1,$AG779&gt;12,$AH779&lt;1,$AH779&gt;31),"نامعتبر",RIGHT("0000"&amp;$AF779,4)&amp;"/"&amp;RIGHT("00"&amp;$AG779,2)&amp;"/"&amp;RIGHT("00"&amp;$AH779,2)))</f>
        <v/>
      </c>
      <c r="AJ779">
        <f>IF($AE779="","",IF(Sync!$Q779="","0000",IF(AND(ISNUMBER(Sync!$Q779),Sync!$Q779&gt;=0,Sync!$Q779&lt;1),RIGHT("00"&amp;HOUR(Sync!$Q779),2)&amp;RIGHT("00"&amp;MINUTE(Sync!$Q779),2),IFERROR(RIGHT("00"&amp;VALUE(LEFT(Sync!$Q779,FIND(":",Sync!$Q779)-1)),2)&amp;RIGHT("00"&amp;VALUE(MID(Sync!$Q779,FIND(":",Sync!$Q779)+1,2)),2),"0000"))))</f>
        <v/>
      </c>
      <c r="AK779">
        <f>IF(OR($AE779="",$AI779="",$AI779="نامعتبر"),"",LEFT($AI779,4)&amp;MID($AI779,6,2)&amp;RIGHT($AI779,2)&amp;$AJ779&amp;"|"&amp;"3"&amp;RIGHT("00000"&amp;774,5))</f>
        <v/>
      </c>
      <c r="AL779">
        <f>IF($AK779="","",COUNTIFS(LdAParty,$AE779,LdAType,1,LdAKey,"&lt;"&amp;$AK779)+COUNTIFS(LdBMember,$AE779,LdBKey,"&lt;"&amp;$AK779)+COUNTIFS(LdCParty,$AE779,LdCKey,"&lt;"&amp;$AK779)+1)</f>
        <v/>
      </c>
      <c r="AM779">
        <f>IF($AL779="","",$AE779&amp;"|"&amp;RIGHT("000000"&amp;$AL779,6))</f>
        <v/>
      </c>
      <c r="AN779">
        <f>IF($AE779="","",IF(Sync!$W779="",0,Sync!$W779))</f>
        <v/>
      </c>
      <c r="AO779">
        <f>IF($AE779="","",IF(Sync!$X779="",0,Sync!$X779))</f>
        <v/>
      </c>
      <c r="AP779">
        <f>IF($AE779="","",Sync!$R779)</f>
        <v/>
      </c>
      <c r="AQ779">
        <f>IF($AE779="","",Sync!$Y779)</f>
        <v/>
      </c>
    </row>
    <row r="780">
      <c r="A780">
        <f>IF(OR(Wages!$B783="",Wages!$E783=""),"",Wages!$E783)</f>
        <v/>
      </c>
      <c r="B780">
        <f>IF($A780="","",IF(Wages!$C783="دستمزد گروهی",2,1))</f>
        <v/>
      </c>
      <c r="C780">
        <f>IF($A780="","",IF(ISNUMBER(Wages!$B783),IF(AND(Wages!$B783&gt;=10000101,Wages!$B783&lt;=99991231),INT(Wages!$B783/10000),""),IFERROR(VALUE(TRIM(LEFT(Wages!$B783,FIND("/",Wages!$B783)-1))),"")))</f>
        <v/>
      </c>
      <c r="D780">
        <f>IF(OR($A780="",$C780=""),"",IF(ISNUMBER(Wages!$B783),INT(MOD(Wages!$B783,10000)/100),IFERROR(VALUE(TRIM(LEFT(MID(Wages!$B783,FIND("/",Wages!$B783)+1,20),FIND("/",MID(Wages!$B783,FIND("/",Wages!$B783)+1,20))-1))),"")))</f>
        <v/>
      </c>
      <c r="E780">
        <f>IF(OR($A780="",$C780=""),"",IF(ISNUMBER(Wages!$B783),MOD(Wages!$B783,100),IFERROR(VALUE(TRIM(MID(MID(Wages!$B783,FIND("/",Wages!$B783)+1,20),FIND("/",MID(Wages!$B783,FIND("/",Wages!$B783)+1,20))+1,20))),"")))</f>
        <v/>
      </c>
      <c r="F780">
        <f>IF($A780="","",IF(OR($C780="",$D780="",$E780="",$C780&lt;1300,$C780&gt;1500,$D780&lt;1,$D780&gt;12,$E780&lt;1,$E780&gt;31),"نامعتبر",RIGHT("0000"&amp;$C780,4)&amp;"/"&amp;RIGHT("00"&amp;$D780,2)&amp;"/"&amp;RIGHT("00"&amp;$E780,2)))</f>
        <v/>
      </c>
      <c r="G780">
        <f>IF(OR($A780="",$F780="",$F780="نامعتبر"),"",LEFT($F780,4)&amp;MID($F780,6,2)&amp;RIGHT($F780,2)&amp;"0000"&amp;"|"&amp;"1"&amp;RIGHT("00000"&amp;775,5))</f>
        <v/>
      </c>
      <c r="H780">
        <f>IF(OR($B780&lt;&gt;1,$G780=""),"",COUNTIFS(LdAParty,$A780,LdAType,1,LdAKey,"&lt;"&amp;$G780)+COUNTIFS(LdBMember,$A780,LdBKey,"&lt;"&amp;$G780)+COUNTIFS(LdCParty,$A780,LdCKey,"&lt;"&amp;$G780)+1)</f>
        <v/>
      </c>
      <c r="I780">
        <f>IF($H780="","",$A780&amp;"|"&amp;RIGHT("000000"&amp;$H780,6))</f>
        <v/>
      </c>
      <c r="J780">
        <f>IF(OR($B780&lt;&gt;2,$G780=""),"",COUNTIFS(LdAParty,$A780,LdAType,2,LdAKey,"&lt;"&amp;$G780)+1)</f>
        <v/>
      </c>
      <c r="K780">
        <f>IF($J780="","",$A780&amp;"|"&amp;RIGHT("000000"&amp;$J780,6))</f>
        <v/>
      </c>
      <c r="L780">
        <f>IF($A780="","",IF(Wages!$G783="",0,Wages!$G783))</f>
        <v/>
      </c>
      <c r="M780">
        <f>IF($A780="","",Wages!$J783)</f>
        <v/>
      </c>
      <c r="N780">
        <f>IF($A780="","",Wages!$D783)</f>
        <v/>
      </c>
      <c r="P780">
        <f>IF(OR(Shares!$B783="",Shares!$C783=""),"",Shares!$C783)</f>
        <v/>
      </c>
      <c r="Q780">
        <f>IF($P780="","",Shares!$B783)</f>
        <v/>
      </c>
      <c r="R780">
        <f>IF($P780="","",IFERROR(INDEX(WageParty,MATCH($Q780,WageIds,0)),""))</f>
        <v/>
      </c>
      <c r="S780">
        <f>IF($P780="","",IFERROR(INDEX($F$6:$F$2005,MATCH($Q780,WageIds,0)),""))</f>
        <v/>
      </c>
      <c r="T780">
        <f>IF(OR($P780="",$S780="",$S780="نامعتبر"),"",LEFT($S780,4)&amp;MID($S780,6,2)&amp;RIGHT($S780,2)&amp;"0000"&amp;"|"&amp;"2"&amp;RIGHT("00000"&amp;775,5))</f>
        <v/>
      </c>
      <c r="U780">
        <f>IF($T780="","",COUNTIFS(LdAParty,$P780,LdAType,1,LdAKey,"&lt;"&amp;$T780)+COUNTIFS(LdBMember,$P780,LdBKey,"&lt;"&amp;$T780)+COUNTIFS(LdCParty,$P780,LdCKey,"&lt;"&amp;$T780)+1)</f>
        <v/>
      </c>
      <c r="V780">
        <f>IF($U780="","",$P780&amp;"|"&amp;RIGHT("000000"&amp;$U780,6))</f>
        <v/>
      </c>
      <c r="W780">
        <f>IF($T780="","",COUNTIFS(LdBGroup,$R780,LdBKey,"&lt;"&amp;$T780)+1)</f>
        <v/>
      </c>
      <c r="X780">
        <f>IF($W780="","",$R780&amp;"|"&amp;RIGHT("000000"&amp;$W780,6))</f>
        <v/>
      </c>
      <c r="Y780">
        <f>IF($P780="","",IF(Shares!$E783="",0,Shares!$E783))</f>
        <v/>
      </c>
      <c r="Z780">
        <f>IF($P780="","",Shares!$H783)</f>
        <v/>
      </c>
      <c r="AE780">
        <f>IF(OR(Sync!$S780="",Sync!$P780=""),"",Sync!$S780)</f>
        <v/>
      </c>
      <c r="AF780">
        <f>IF($AE780="","",IF(ISNUMBER(Sync!$P780),IF(AND(Sync!$P780&gt;=10000101,Sync!$P780&lt;=99991231),INT(Sync!$P780/10000),""),IFERROR(VALUE(TRIM(LEFT(Sync!$P780,FIND("/",Sync!$P780)-1))),"")))</f>
        <v/>
      </c>
      <c r="AG780">
        <f>IF(OR($AE780="",$AF780=""),"",IF(ISNUMBER(Sync!$P780),INT(MOD(Sync!$P780,10000)/100),IFERROR(VALUE(TRIM(LEFT(MID(Sync!$P780,FIND("/",Sync!$P780)+1,20),FIND("/",MID(Sync!$P780,FIND("/",Sync!$P780)+1,20))-1))),"")))</f>
        <v/>
      </c>
      <c r="AH780">
        <f>IF(OR($AE780="",$AF780=""),"",IF(ISNUMBER(Sync!$P780),MOD(Sync!$P780,100),IFERROR(VALUE(TRIM(MID(MID(Sync!$P780,FIND("/",Sync!$P780)+1,20),FIND("/",MID(Sync!$P780,FIND("/",Sync!$P780)+1,20))+1,20))),"")))</f>
        <v/>
      </c>
      <c r="AI780">
        <f>IF($AE780="","",IF(OR($AF780="",$AG780="",$AH780="",$AF780&lt;1300,$AF780&gt;1500,$AG780&lt;1,$AG780&gt;12,$AH780&lt;1,$AH780&gt;31),"نامعتبر",RIGHT("0000"&amp;$AF780,4)&amp;"/"&amp;RIGHT("00"&amp;$AG780,2)&amp;"/"&amp;RIGHT("00"&amp;$AH780,2)))</f>
        <v/>
      </c>
      <c r="AJ780">
        <f>IF($AE780="","",IF(Sync!$Q780="","0000",IF(AND(ISNUMBER(Sync!$Q780),Sync!$Q780&gt;=0,Sync!$Q780&lt;1),RIGHT("00"&amp;HOUR(Sync!$Q780),2)&amp;RIGHT("00"&amp;MINUTE(Sync!$Q780),2),IFERROR(RIGHT("00"&amp;VALUE(LEFT(Sync!$Q780,FIND(":",Sync!$Q780)-1)),2)&amp;RIGHT("00"&amp;VALUE(MID(Sync!$Q780,FIND(":",Sync!$Q780)+1,2)),2),"0000"))))</f>
        <v/>
      </c>
      <c r="AK780">
        <f>IF(OR($AE780="",$AI780="",$AI780="نامعتبر"),"",LEFT($AI780,4)&amp;MID($AI780,6,2)&amp;RIGHT($AI780,2)&amp;$AJ780&amp;"|"&amp;"3"&amp;RIGHT("00000"&amp;775,5))</f>
        <v/>
      </c>
      <c r="AL780">
        <f>IF($AK780="","",COUNTIFS(LdAParty,$AE780,LdAType,1,LdAKey,"&lt;"&amp;$AK780)+COUNTIFS(LdBMember,$AE780,LdBKey,"&lt;"&amp;$AK780)+COUNTIFS(LdCParty,$AE780,LdCKey,"&lt;"&amp;$AK780)+1)</f>
        <v/>
      </c>
      <c r="AM780">
        <f>IF($AL780="","",$AE780&amp;"|"&amp;RIGHT("000000"&amp;$AL780,6))</f>
        <v/>
      </c>
      <c r="AN780">
        <f>IF($AE780="","",IF(Sync!$W780="",0,Sync!$W780))</f>
        <v/>
      </c>
      <c r="AO780">
        <f>IF($AE780="","",IF(Sync!$X780="",0,Sync!$X780))</f>
        <v/>
      </c>
      <c r="AP780">
        <f>IF($AE780="","",Sync!$R780)</f>
        <v/>
      </c>
      <c r="AQ780">
        <f>IF($AE780="","",Sync!$Y780)</f>
        <v/>
      </c>
    </row>
    <row r="781">
      <c r="A781">
        <f>IF(OR(Wages!$B784="",Wages!$E784=""),"",Wages!$E784)</f>
        <v/>
      </c>
      <c r="B781">
        <f>IF($A781="","",IF(Wages!$C784="دستمزد گروهی",2,1))</f>
        <v/>
      </c>
      <c r="C781">
        <f>IF($A781="","",IF(ISNUMBER(Wages!$B784),IF(AND(Wages!$B784&gt;=10000101,Wages!$B784&lt;=99991231),INT(Wages!$B784/10000),""),IFERROR(VALUE(TRIM(LEFT(Wages!$B784,FIND("/",Wages!$B784)-1))),"")))</f>
        <v/>
      </c>
      <c r="D781">
        <f>IF(OR($A781="",$C781=""),"",IF(ISNUMBER(Wages!$B784),INT(MOD(Wages!$B784,10000)/100),IFERROR(VALUE(TRIM(LEFT(MID(Wages!$B784,FIND("/",Wages!$B784)+1,20),FIND("/",MID(Wages!$B784,FIND("/",Wages!$B784)+1,20))-1))),"")))</f>
        <v/>
      </c>
      <c r="E781">
        <f>IF(OR($A781="",$C781=""),"",IF(ISNUMBER(Wages!$B784),MOD(Wages!$B784,100),IFERROR(VALUE(TRIM(MID(MID(Wages!$B784,FIND("/",Wages!$B784)+1,20),FIND("/",MID(Wages!$B784,FIND("/",Wages!$B784)+1,20))+1,20))),"")))</f>
        <v/>
      </c>
      <c r="F781">
        <f>IF($A781="","",IF(OR($C781="",$D781="",$E781="",$C781&lt;1300,$C781&gt;1500,$D781&lt;1,$D781&gt;12,$E781&lt;1,$E781&gt;31),"نامعتبر",RIGHT("0000"&amp;$C781,4)&amp;"/"&amp;RIGHT("00"&amp;$D781,2)&amp;"/"&amp;RIGHT("00"&amp;$E781,2)))</f>
        <v/>
      </c>
      <c r="G781">
        <f>IF(OR($A781="",$F781="",$F781="نامعتبر"),"",LEFT($F781,4)&amp;MID($F781,6,2)&amp;RIGHT($F781,2)&amp;"0000"&amp;"|"&amp;"1"&amp;RIGHT("00000"&amp;776,5))</f>
        <v/>
      </c>
      <c r="H781">
        <f>IF(OR($B781&lt;&gt;1,$G781=""),"",COUNTIFS(LdAParty,$A781,LdAType,1,LdAKey,"&lt;"&amp;$G781)+COUNTIFS(LdBMember,$A781,LdBKey,"&lt;"&amp;$G781)+COUNTIFS(LdCParty,$A781,LdCKey,"&lt;"&amp;$G781)+1)</f>
        <v/>
      </c>
      <c r="I781">
        <f>IF($H781="","",$A781&amp;"|"&amp;RIGHT("000000"&amp;$H781,6))</f>
        <v/>
      </c>
      <c r="J781">
        <f>IF(OR($B781&lt;&gt;2,$G781=""),"",COUNTIFS(LdAParty,$A781,LdAType,2,LdAKey,"&lt;"&amp;$G781)+1)</f>
        <v/>
      </c>
      <c r="K781">
        <f>IF($J781="","",$A781&amp;"|"&amp;RIGHT("000000"&amp;$J781,6))</f>
        <v/>
      </c>
      <c r="L781">
        <f>IF($A781="","",IF(Wages!$G784="",0,Wages!$G784))</f>
        <v/>
      </c>
      <c r="M781">
        <f>IF($A781="","",Wages!$J784)</f>
        <v/>
      </c>
      <c r="N781">
        <f>IF($A781="","",Wages!$D784)</f>
        <v/>
      </c>
      <c r="P781">
        <f>IF(OR(Shares!$B784="",Shares!$C784=""),"",Shares!$C784)</f>
        <v/>
      </c>
      <c r="Q781">
        <f>IF($P781="","",Shares!$B784)</f>
        <v/>
      </c>
      <c r="R781">
        <f>IF($P781="","",IFERROR(INDEX(WageParty,MATCH($Q781,WageIds,0)),""))</f>
        <v/>
      </c>
      <c r="S781">
        <f>IF($P781="","",IFERROR(INDEX($F$6:$F$2005,MATCH($Q781,WageIds,0)),""))</f>
        <v/>
      </c>
      <c r="T781">
        <f>IF(OR($P781="",$S781="",$S781="نامعتبر"),"",LEFT($S781,4)&amp;MID($S781,6,2)&amp;RIGHT($S781,2)&amp;"0000"&amp;"|"&amp;"2"&amp;RIGHT("00000"&amp;776,5))</f>
        <v/>
      </c>
      <c r="U781">
        <f>IF($T781="","",COUNTIFS(LdAParty,$P781,LdAType,1,LdAKey,"&lt;"&amp;$T781)+COUNTIFS(LdBMember,$P781,LdBKey,"&lt;"&amp;$T781)+COUNTIFS(LdCParty,$P781,LdCKey,"&lt;"&amp;$T781)+1)</f>
        <v/>
      </c>
      <c r="V781">
        <f>IF($U781="","",$P781&amp;"|"&amp;RIGHT("000000"&amp;$U781,6))</f>
        <v/>
      </c>
      <c r="W781">
        <f>IF($T781="","",COUNTIFS(LdBGroup,$R781,LdBKey,"&lt;"&amp;$T781)+1)</f>
        <v/>
      </c>
      <c r="X781">
        <f>IF($W781="","",$R781&amp;"|"&amp;RIGHT("000000"&amp;$W781,6))</f>
        <v/>
      </c>
      <c r="Y781">
        <f>IF($P781="","",IF(Shares!$E784="",0,Shares!$E784))</f>
        <v/>
      </c>
      <c r="Z781">
        <f>IF($P781="","",Shares!$H784)</f>
        <v/>
      </c>
      <c r="AE781">
        <f>IF(OR(Sync!$S781="",Sync!$P781=""),"",Sync!$S781)</f>
        <v/>
      </c>
      <c r="AF781">
        <f>IF($AE781="","",IF(ISNUMBER(Sync!$P781),IF(AND(Sync!$P781&gt;=10000101,Sync!$P781&lt;=99991231),INT(Sync!$P781/10000),""),IFERROR(VALUE(TRIM(LEFT(Sync!$P781,FIND("/",Sync!$P781)-1))),"")))</f>
        <v/>
      </c>
      <c r="AG781">
        <f>IF(OR($AE781="",$AF781=""),"",IF(ISNUMBER(Sync!$P781),INT(MOD(Sync!$P781,10000)/100),IFERROR(VALUE(TRIM(LEFT(MID(Sync!$P781,FIND("/",Sync!$P781)+1,20),FIND("/",MID(Sync!$P781,FIND("/",Sync!$P781)+1,20))-1))),"")))</f>
        <v/>
      </c>
      <c r="AH781">
        <f>IF(OR($AE781="",$AF781=""),"",IF(ISNUMBER(Sync!$P781),MOD(Sync!$P781,100),IFERROR(VALUE(TRIM(MID(MID(Sync!$P781,FIND("/",Sync!$P781)+1,20),FIND("/",MID(Sync!$P781,FIND("/",Sync!$P781)+1,20))+1,20))),"")))</f>
        <v/>
      </c>
      <c r="AI781">
        <f>IF($AE781="","",IF(OR($AF781="",$AG781="",$AH781="",$AF781&lt;1300,$AF781&gt;1500,$AG781&lt;1,$AG781&gt;12,$AH781&lt;1,$AH781&gt;31),"نامعتبر",RIGHT("0000"&amp;$AF781,4)&amp;"/"&amp;RIGHT("00"&amp;$AG781,2)&amp;"/"&amp;RIGHT("00"&amp;$AH781,2)))</f>
        <v/>
      </c>
      <c r="AJ781">
        <f>IF($AE781="","",IF(Sync!$Q781="","0000",IF(AND(ISNUMBER(Sync!$Q781),Sync!$Q781&gt;=0,Sync!$Q781&lt;1),RIGHT("00"&amp;HOUR(Sync!$Q781),2)&amp;RIGHT("00"&amp;MINUTE(Sync!$Q781),2),IFERROR(RIGHT("00"&amp;VALUE(LEFT(Sync!$Q781,FIND(":",Sync!$Q781)-1)),2)&amp;RIGHT("00"&amp;VALUE(MID(Sync!$Q781,FIND(":",Sync!$Q781)+1,2)),2),"0000"))))</f>
        <v/>
      </c>
      <c r="AK781">
        <f>IF(OR($AE781="",$AI781="",$AI781="نامعتبر"),"",LEFT($AI781,4)&amp;MID($AI781,6,2)&amp;RIGHT($AI781,2)&amp;$AJ781&amp;"|"&amp;"3"&amp;RIGHT("00000"&amp;776,5))</f>
        <v/>
      </c>
      <c r="AL781">
        <f>IF($AK781="","",COUNTIFS(LdAParty,$AE781,LdAType,1,LdAKey,"&lt;"&amp;$AK781)+COUNTIFS(LdBMember,$AE781,LdBKey,"&lt;"&amp;$AK781)+COUNTIFS(LdCParty,$AE781,LdCKey,"&lt;"&amp;$AK781)+1)</f>
        <v/>
      </c>
      <c r="AM781">
        <f>IF($AL781="","",$AE781&amp;"|"&amp;RIGHT("000000"&amp;$AL781,6))</f>
        <v/>
      </c>
      <c r="AN781">
        <f>IF($AE781="","",IF(Sync!$W781="",0,Sync!$W781))</f>
        <v/>
      </c>
      <c r="AO781">
        <f>IF($AE781="","",IF(Sync!$X781="",0,Sync!$X781))</f>
        <v/>
      </c>
      <c r="AP781">
        <f>IF($AE781="","",Sync!$R781)</f>
        <v/>
      </c>
      <c r="AQ781">
        <f>IF($AE781="","",Sync!$Y781)</f>
        <v/>
      </c>
    </row>
    <row r="782">
      <c r="A782">
        <f>IF(OR(Wages!$B785="",Wages!$E785=""),"",Wages!$E785)</f>
        <v/>
      </c>
      <c r="B782">
        <f>IF($A782="","",IF(Wages!$C785="دستمزد گروهی",2,1))</f>
        <v/>
      </c>
      <c r="C782">
        <f>IF($A782="","",IF(ISNUMBER(Wages!$B785),IF(AND(Wages!$B785&gt;=10000101,Wages!$B785&lt;=99991231),INT(Wages!$B785/10000),""),IFERROR(VALUE(TRIM(LEFT(Wages!$B785,FIND("/",Wages!$B785)-1))),"")))</f>
        <v/>
      </c>
      <c r="D782">
        <f>IF(OR($A782="",$C782=""),"",IF(ISNUMBER(Wages!$B785),INT(MOD(Wages!$B785,10000)/100),IFERROR(VALUE(TRIM(LEFT(MID(Wages!$B785,FIND("/",Wages!$B785)+1,20),FIND("/",MID(Wages!$B785,FIND("/",Wages!$B785)+1,20))-1))),"")))</f>
        <v/>
      </c>
      <c r="E782">
        <f>IF(OR($A782="",$C782=""),"",IF(ISNUMBER(Wages!$B785),MOD(Wages!$B785,100),IFERROR(VALUE(TRIM(MID(MID(Wages!$B785,FIND("/",Wages!$B785)+1,20),FIND("/",MID(Wages!$B785,FIND("/",Wages!$B785)+1,20))+1,20))),"")))</f>
        <v/>
      </c>
      <c r="F782">
        <f>IF($A782="","",IF(OR($C782="",$D782="",$E782="",$C782&lt;1300,$C782&gt;1500,$D782&lt;1,$D782&gt;12,$E782&lt;1,$E782&gt;31),"نامعتبر",RIGHT("0000"&amp;$C782,4)&amp;"/"&amp;RIGHT("00"&amp;$D782,2)&amp;"/"&amp;RIGHT("00"&amp;$E782,2)))</f>
        <v/>
      </c>
      <c r="G782">
        <f>IF(OR($A782="",$F782="",$F782="نامعتبر"),"",LEFT($F782,4)&amp;MID($F782,6,2)&amp;RIGHT($F782,2)&amp;"0000"&amp;"|"&amp;"1"&amp;RIGHT("00000"&amp;777,5))</f>
        <v/>
      </c>
      <c r="H782">
        <f>IF(OR($B782&lt;&gt;1,$G782=""),"",COUNTIFS(LdAParty,$A782,LdAType,1,LdAKey,"&lt;"&amp;$G782)+COUNTIFS(LdBMember,$A782,LdBKey,"&lt;"&amp;$G782)+COUNTIFS(LdCParty,$A782,LdCKey,"&lt;"&amp;$G782)+1)</f>
        <v/>
      </c>
      <c r="I782">
        <f>IF($H782="","",$A782&amp;"|"&amp;RIGHT("000000"&amp;$H782,6))</f>
        <v/>
      </c>
      <c r="J782">
        <f>IF(OR($B782&lt;&gt;2,$G782=""),"",COUNTIFS(LdAParty,$A782,LdAType,2,LdAKey,"&lt;"&amp;$G782)+1)</f>
        <v/>
      </c>
      <c r="K782">
        <f>IF($J782="","",$A782&amp;"|"&amp;RIGHT("000000"&amp;$J782,6))</f>
        <v/>
      </c>
      <c r="L782">
        <f>IF($A782="","",IF(Wages!$G785="",0,Wages!$G785))</f>
        <v/>
      </c>
      <c r="M782">
        <f>IF($A782="","",Wages!$J785)</f>
        <v/>
      </c>
      <c r="N782">
        <f>IF($A782="","",Wages!$D785)</f>
        <v/>
      </c>
      <c r="P782">
        <f>IF(OR(Shares!$B785="",Shares!$C785=""),"",Shares!$C785)</f>
        <v/>
      </c>
      <c r="Q782">
        <f>IF($P782="","",Shares!$B785)</f>
        <v/>
      </c>
      <c r="R782">
        <f>IF($P782="","",IFERROR(INDEX(WageParty,MATCH($Q782,WageIds,0)),""))</f>
        <v/>
      </c>
      <c r="S782">
        <f>IF($P782="","",IFERROR(INDEX($F$6:$F$2005,MATCH($Q782,WageIds,0)),""))</f>
        <v/>
      </c>
      <c r="T782">
        <f>IF(OR($P782="",$S782="",$S782="نامعتبر"),"",LEFT($S782,4)&amp;MID($S782,6,2)&amp;RIGHT($S782,2)&amp;"0000"&amp;"|"&amp;"2"&amp;RIGHT("00000"&amp;777,5))</f>
        <v/>
      </c>
      <c r="U782">
        <f>IF($T782="","",COUNTIFS(LdAParty,$P782,LdAType,1,LdAKey,"&lt;"&amp;$T782)+COUNTIFS(LdBMember,$P782,LdBKey,"&lt;"&amp;$T782)+COUNTIFS(LdCParty,$P782,LdCKey,"&lt;"&amp;$T782)+1)</f>
        <v/>
      </c>
      <c r="V782">
        <f>IF($U782="","",$P782&amp;"|"&amp;RIGHT("000000"&amp;$U782,6))</f>
        <v/>
      </c>
      <c r="W782">
        <f>IF($T782="","",COUNTIFS(LdBGroup,$R782,LdBKey,"&lt;"&amp;$T782)+1)</f>
        <v/>
      </c>
      <c r="X782">
        <f>IF($W782="","",$R782&amp;"|"&amp;RIGHT("000000"&amp;$W782,6))</f>
        <v/>
      </c>
      <c r="Y782">
        <f>IF($P782="","",IF(Shares!$E785="",0,Shares!$E785))</f>
        <v/>
      </c>
      <c r="Z782">
        <f>IF($P782="","",Shares!$H785)</f>
        <v/>
      </c>
      <c r="AE782">
        <f>IF(OR(Sync!$S782="",Sync!$P782=""),"",Sync!$S782)</f>
        <v/>
      </c>
      <c r="AF782">
        <f>IF($AE782="","",IF(ISNUMBER(Sync!$P782),IF(AND(Sync!$P782&gt;=10000101,Sync!$P782&lt;=99991231),INT(Sync!$P782/10000),""),IFERROR(VALUE(TRIM(LEFT(Sync!$P782,FIND("/",Sync!$P782)-1))),"")))</f>
        <v/>
      </c>
      <c r="AG782">
        <f>IF(OR($AE782="",$AF782=""),"",IF(ISNUMBER(Sync!$P782),INT(MOD(Sync!$P782,10000)/100),IFERROR(VALUE(TRIM(LEFT(MID(Sync!$P782,FIND("/",Sync!$P782)+1,20),FIND("/",MID(Sync!$P782,FIND("/",Sync!$P782)+1,20))-1))),"")))</f>
        <v/>
      </c>
      <c r="AH782">
        <f>IF(OR($AE782="",$AF782=""),"",IF(ISNUMBER(Sync!$P782),MOD(Sync!$P782,100),IFERROR(VALUE(TRIM(MID(MID(Sync!$P782,FIND("/",Sync!$P782)+1,20),FIND("/",MID(Sync!$P782,FIND("/",Sync!$P782)+1,20))+1,20))),"")))</f>
        <v/>
      </c>
      <c r="AI782">
        <f>IF($AE782="","",IF(OR($AF782="",$AG782="",$AH782="",$AF782&lt;1300,$AF782&gt;1500,$AG782&lt;1,$AG782&gt;12,$AH782&lt;1,$AH782&gt;31),"نامعتبر",RIGHT("0000"&amp;$AF782,4)&amp;"/"&amp;RIGHT("00"&amp;$AG782,2)&amp;"/"&amp;RIGHT("00"&amp;$AH782,2)))</f>
        <v/>
      </c>
      <c r="AJ782">
        <f>IF($AE782="","",IF(Sync!$Q782="","0000",IF(AND(ISNUMBER(Sync!$Q782),Sync!$Q782&gt;=0,Sync!$Q782&lt;1),RIGHT("00"&amp;HOUR(Sync!$Q782),2)&amp;RIGHT("00"&amp;MINUTE(Sync!$Q782),2),IFERROR(RIGHT("00"&amp;VALUE(LEFT(Sync!$Q782,FIND(":",Sync!$Q782)-1)),2)&amp;RIGHT("00"&amp;VALUE(MID(Sync!$Q782,FIND(":",Sync!$Q782)+1,2)),2),"0000"))))</f>
        <v/>
      </c>
      <c r="AK782">
        <f>IF(OR($AE782="",$AI782="",$AI782="نامعتبر"),"",LEFT($AI782,4)&amp;MID($AI782,6,2)&amp;RIGHT($AI782,2)&amp;$AJ782&amp;"|"&amp;"3"&amp;RIGHT("00000"&amp;777,5))</f>
        <v/>
      </c>
      <c r="AL782">
        <f>IF($AK782="","",COUNTIFS(LdAParty,$AE782,LdAType,1,LdAKey,"&lt;"&amp;$AK782)+COUNTIFS(LdBMember,$AE782,LdBKey,"&lt;"&amp;$AK782)+COUNTIFS(LdCParty,$AE782,LdCKey,"&lt;"&amp;$AK782)+1)</f>
        <v/>
      </c>
      <c r="AM782">
        <f>IF($AL782="","",$AE782&amp;"|"&amp;RIGHT("000000"&amp;$AL782,6))</f>
        <v/>
      </c>
      <c r="AN782">
        <f>IF($AE782="","",IF(Sync!$W782="",0,Sync!$W782))</f>
        <v/>
      </c>
      <c r="AO782">
        <f>IF($AE782="","",IF(Sync!$X782="",0,Sync!$X782))</f>
        <v/>
      </c>
      <c r="AP782">
        <f>IF($AE782="","",Sync!$R782)</f>
        <v/>
      </c>
      <c r="AQ782">
        <f>IF($AE782="","",Sync!$Y782)</f>
        <v/>
      </c>
    </row>
    <row r="783">
      <c r="A783">
        <f>IF(OR(Wages!$B786="",Wages!$E786=""),"",Wages!$E786)</f>
        <v/>
      </c>
      <c r="B783">
        <f>IF($A783="","",IF(Wages!$C786="دستمزد گروهی",2,1))</f>
        <v/>
      </c>
      <c r="C783">
        <f>IF($A783="","",IF(ISNUMBER(Wages!$B786),IF(AND(Wages!$B786&gt;=10000101,Wages!$B786&lt;=99991231),INT(Wages!$B786/10000),""),IFERROR(VALUE(TRIM(LEFT(Wages!$B786,FIND("/",Wages!$B786)-1))),"")))</f>
        <v/>
      </c>
      <c r="D783">
        <f>IF(OR($A783="",$C783=""),"",IF(ISNUMBER(Wages!$B786),INT(MOD(Wages!$B786,10000)/100),IFERROR(VALUE(TRIM(LEFT(MID(Wages!$B786,FIND("/",Wages!$B786)+1,20),FIND("/",MID(Wages!$B786,FIND("/",Wages!$B786)+1,20))-1))),"")))</f>
        <v/>
      </c>
      <c r="E783">
        <f>IF(OR($A783="",$C783=""),"",IF(ISNUMBER(Wages!$B786),MOD(Wages!$B786,100),IFERROR(VALUE(TRIM(MID(MID(Wages!$B786,FIND("/",Wages!$B786)+1,20),FIND("/",MID(Wages!$B786,FIND("/",Wages!$B786)+1,20))+1,20))),"")))</f>
        <v/>
      </c>
      <c r="F783">
        <f>IF($A783="","",IF(OR($C783="",$D783="",$E783="",$C783&lt;1300,$C783&gt;1500,$D783&lt;1,$D783&gt;12,$E783&lt;1,$E783&gt;31),"نامعتبر",RIGHT("0000"&amp;$C783,4)&amp;"/"&amp;RIGHT("00"&amp;$D783,2)&amp;"/"&amp;RIGHT("00"&amp;$E783,2)))</f>
        <v/>
      </c>
      <c r="G783">
        <f>IF(OR($A783="",$F783="",$F783="نامعتبر"),"",LEFT($F783,4)&amp;MID($F783,6,2)&amp;RIGHT($F783,2)&amp;"0000"&amp;"|"&amp;"1"&amp;RIGHT("00000"&amp;778,5))</f>
        <v/>
      </c>
      <c r="H783">
        <f>IF(OR($B783&lt;&gt;1,$G783=""),"",COUNTIFS(LdAParty,$A783,LdAType,1,LdAKey,"&lt;"&amp;$G783)+COUNTIFS(LdBMember,$A783,LdBKey,"&lt;"&amp;$G783)+COUNTIFS(LdCParty,$A783,LdCKey,"&lt;"&amp;$G783)+1)</f>
        <v/>
      </c>
      <c r="I783">
        <f>IF($H783="","",$A783&amp;"|"&amp;RIGHT("000000"&amp;$H783,6))</f>
        <v/>
      </c>
      <c r="J783">
        <f>IF(OR($B783&lt;&gt;2,$G783=""),"",COUNTIFS(LdAParty,$A783,LdAType,2,LdAKey,"&lt;"&amp;$G783)+1)</f>
        <v/>
      </c>
      <c r="K783">
        <f>IF($J783="","",$A783&amp;"|"&amp;RIGHT("000000"&amp;$J783,6))</f>
        <v/>
      </c>
      <c r="L783">
        <f>IF($A783="","",IF(Wages!$G786="",0,Wages!$G786))</f>
        <v/>
      </c>
      <c r="M783">
        <f>IF($A783="","",Wages!$J786)</f>
        <v/>
      </c>
      <c r="N783">
        <f>IF($A783="","",Wages!$D786)</f>
        <v/>
      </c>
      <c r="P783">
        <f>IF(OR(Shares!$B786="",Shares!$C786=""),"",Shares!$C786)</f>
        <v/>
      </c>
      <c r="Q783">
        <f>IF($P783="","",Shares!$B786)</f>
        <v/>
      </c>
      <c r="R783">
        <f>IF($P783="","",IFERROR(INDEX(WageParty,MATCH($Q783,WageIds,0)),""))</f>
        <v/>
      </c>
      <c r="S783">
        <f>IF($P783="","",IFERROR(INDEX($F$6:$F$2005,MATCH($Q783,WageIds,0)),""))</f>
        <v/>
      </c>
      <c r="T783">
        <f>IF(OR($P783="",$S783="",$S783="نامعتبر"),"",LEFT($S783,4)&amp;MID($S783,6,2)&amp;RIGHT($S783,2)&amp;"0000"&amp;"|"&amp;"2"&amp;RIGHT("00000"&amp;778,5))</f>
        <v/>
      </c>
      <c r="U783">
        <f>IF($T783="","",COUNTIFS(LdAParty,$P783,LdAType,1,LdAKey,"&lt;"&amp;$T783)+COUNTIFS(LdBMember,$P783,LdBKey,"&lt;"&amp;$T783)+COUNTIFS(LdCParty,$P783,LdCKey,"&lt;"&amp;$T783)+1)</f>
        <v/>
      </c>
      <c r="V783">
        <f>IF($U783="","",$P783&amp;"|"&amp;RIGHT("000000"&amp;$U783,6))</f>
        <v/>
      </c>
      <c r="W783">
        <f>IF($T783="","",COUNTIFS(LdBGroup,$R783,LdBKey,"&lt;"&amp;$T783)+1)</f>
        <v/>
      </c>
      <c r="X783">
        <f>IF($W783="","",$R783&amp;"|"&amp;RIGHT("000000"&amp;$W783,6))</f>
        <v/>
      </c>
      <c r="Y783">
        <f>IF($P783="","",IF(Shares!$E786="",0,Shares!$E786))</f>
        <v/>
      </c>
      <c r="Z783">
        <f>IF($P783="","",Shares!$H786)</f>
        <v/>
      </c>
      <c r="AE783">
        <f>IF(OR(Sync!$S783="",Sync!$P783=""),"",Sync!$S783)</f>
        <v/>
      </c>
      <c r="AF783">
        <f>IF($AE783="","",IF(ISNUMBER(Sync!$P783),IF(AND(Sync!$P783&gt;=10000101,Sync!$P783&lt;=99991231),INT(Sync!$P783/10000),""),IFERROR(VALUE(TRIM(LEFT(Sync!$P783,FIND("/",Sync!$P783)-1))),"")))</f>
        <v/>
      </c>
      <c r="AG783">
        <f>IF(OR($AE783="",$AF783=""),"",IF(ISNUMBER(Sync!$P783),INT(MOD(Sync!$P783,10000)/100),IFERROR(VALUE(TRIM(LEFT(MID(Sync!$P783,FIND("/",Sync!$P783)+1,20),FIND("/",MID(Sync!$P783,FIND("/",Sync!$P783)+1,20))-1))),"")))</f>
        <v/>
      </c>
      <c r="AH783">
        <f>IF(OR($AE783="",$AF783=""),"",IF(ISNUMBER(Sync!$P783),MOD(Sync!$P783,100),IFERROR(VALUE(TRIM(MID(MID(Sync!$P783,FIND("/",Sync!$P783)+1,20),FIND("/",MID(Sync!$P783,FIND("/",Sync!$P783)+1,20))+1,20))),"")))</f>
        <v/>
      </c>
      <c r="AI783">
        <f>IF($AE783="","",IF(OR($AF783="",$AG783="",$AH783="",$AF783&lt;1300,$AF783&gt;1500,$AG783&lt;1,$AG783&gt;12,$AH783&lt;1,$AH783&gt;31),"نامعتبر",RIGHT("0000"&amp;$AF783,4)&amp;"/"&amp;RIGHT("00"&amp;$AG783,2)&amp;"/"&amp;RIGHT("00"&amp;$AH783,2)))</f>
        <v/>
      </c>
      <c r="AJ783">
        <f>IF($AE783="","",IF(Sync!$Q783="","0000",IF(AND(ISNUMBER(Sync!$Q783),Sync!$Q783&gt;=0,Sync!$Q783&lt;1),RIGHT("00"&amp;HOUR(Sync!$Q783),2)&amp;RIGHT("00"&amp;MINUTE(Sync!$Q783),2),IFERROR(RIGHT("00"&amp;VALUE(LEFT(Sync!$Q783,FIND(":",Sync!$Q783)-1)),2)&amp;RIGHT("00"&amp;VALUE(MID(Sync!$Q783,FIND(":",Sync!$Q783)+1,2)),2),"0000"))))</f>
        <v/>
      </c>
      <c r="AK783">
        <f>IF(OR($AE783="",$AI783="",$AI783="نامعتبر"),"",LEFT($AI783,4)&amp;MID($AI783,6,2)&amp;RIGHT($AI783,2)&amp;$AJ783&amp;"|"&amp;"3"&amp;RIGHT("00000"&amp;778,5))</f>
        <v/>
      </c>
      <c r="AL783">
        <f>IF($AK783="","",COUNTIFS(LdAParty,$AE783,LdAType,1,LdAKey,"&lt;"&amp;$AK783)+COUNTIFS(LdBMember,$AE783,LdBKey,"&lt;"&amp;$AK783)+COUNTIFS(LdCParty,$AE783,LdCKey,"&lt;"&amp;$AK783)+1)</f>
        <v/>
      </c>
      <c r="AM783">
        <f>IF($AL783="","",$AE783&amp;"|"&amp;RIGHT("000000"&amp;$AL783,6))</f>
        <v/>
      </c>
      <c r="AN783">
        <f>IF($AE783="","",IF(Sync!$W783="",0,Sync!$W783))</f>
        <v/>
      </c>
      <c r="AO783">
        <f>IF($AE783="","",IF(Sync!$X783="",0,Sync!$X783))</f>
        <v/>
      </c>
      <c r="AP783">
        <f>IF($AE783="","",Sync!$R783)</f>
        <v/>
      </c>
      <c r="AQ783">
        <f>IF($AE783="","",Sync!$Y783)</f>
        <v/>
      </c>
    </row>
    <row r="784">
      <c r="A784">
        <f>IF(OR(Wages!$B787="",Wages!$E787=""),"",Wages!$E787)</f>
        <v/>
      </c>
      <c r="B784">
        <f>IF($A784="","",IF(Wages!$C787="دستمزد گروهی",2,1))</f>
        <v/>
      </c>
      <c r="C784">
        <f>IF($A784="","",IF(ISNUMBER(Wages!$B787),IF(AND(Wages!$B787&gt;=10000101,Wages!$B787&lt;=99991231),INT(Wages!$B787/10000),""),IFERROR(VALUE(TRIM(LEFT(Wages!$B787,FIND("/",Wages!$B787)-1))),"")))</f>
        <v/>
      </c>
      <c r="D784">
        <f>IF(OR($A784="",$C784=""),"",IF(ISNUMBER(Wages!$B787),INT(MOD(Wages!$B787,10000)/100),IFERROR(VALUE(TRIM(LEFT(MID(Wages!$B787,FIND("/",Wages!$B787)+1,20),FIND("/",MID(Wages!$B787,FIND("/",Wages!$B787)+1,20))-1))),"")))</f>
        <v/>
      </c>
      <c r="E784">
        <f>IF(OR($A784="",$C784=""),"",IF(ISNUMBER(Wages!$B787),MOD(Wages!$B787,100),IFERROR(VALUE(TRIM(MID(MID(Wages!$B787,FIND("/",Wages!$B787)+1,20),FIND("/",MID(Wages!$B787,FIND("/",Wages!$B787)+1,20))+1,20))),"")))</f>
        <v/>
      </c>
      <c r="F784">
        <f>IF($A784="","",IF(OR($C784="",$D784="",$E784="",$C784&lt;1300,$C784&gt;1500,$D784&lt;1,$D784&gt;12,$E784&lt;1,$E784&gt;31),"نامعتبر",RIGHT("0000"&amp;$C784,4)&amp;"/"&amp;RIGHT("00"&amp;$D784,2)&amp;"/"&amp;RIGHT("00"&amp;$E784,2)))</f>
        <v/>
      </c>
      <c r="G784">
        <f>IF(OR($A784="",$F784="",$F784="نامعتبر"),"",LEFT($F784,4)&amp;MID($F784,6,2)&amp;RIGHT($F784,2)&amp;"0000"&amp;"|"&amp;"1"&amp;RIGHT("00000"&amp;779,5))</f>
        <v/>
      </c>
      <c r="H784">
        <f>IF(OR($B784&lt;&gt;1,$G784=""),"",COUNTIFS(LdAParty,$A784,LdAType,1,LdAKey,"&lt;"&amp;$G784)+COUNTIFS(LdBMember,$A784,LdBKey,"&lt;"&amp;$G784)+COUNTIFS(LdCParty,$A784,LdCKey,"&lt;"&amp;$G784)+1)</f>
        <v/>
      </c>
      <c r="I784">
        <f>IF($H784="","",$A784&amp;"|"&amp;RIGHT("000000"&amp;$H784,6))</f>
        <v/>
      </c>
      <c r="J784">
        <f>IF(OR($B784&lt;&gt;2,$G784=""),"",COUNTIFS(LdAParty,$A784,LdAType,2,LdAKey,"&lt;"&amp;$G784)+1)</f>
        <v/>
      </c>
      <c r="K784">
        <f>IF($J784="","",$A784&amp;"|"&amp;RIGHT("000000"&amp;$J784,6))</f>
        <v/>
      </c>
      <c r="L784">
        <f>IF($A784="","",IF(Wages!$G787="",0,Wages!$G787))</f>
        <v/>
      </c>
      <c r="M784">
        <f>IF($A784="","",Wages!$J787)</f>
        <v/>
      </c>
      <c r="N784">
        <f>IF($A784="","",Wages!$D787)</f>
        <v/>
      </c>
      <c r="P784">
        <f>IF(OR(Shares!$B787="",Shares!$C787=""),"",Shares!$C787)</f>
        <v/>
      </c>
      <c r="Q784">
        <f>IF($P784="","",Shares!$B787)</f>
        <v/>
      </c>
      <c r="R784">
        <f>IF($P784="","",IFERROR(INDEX(WageParty,MATCH($Q784,WageIds,0)),""))</f>
        <v/>
      </c>
      <c r="S784">
        <f>IF($P784="","",IFERROR(INDEX($F$6:$F$2005,MATCH($Q784,WageIds,0)),""))</f>
        <v/>
      </c>
      <c r="T784">
        <f>IF(OR($P784="",$S784="",$S784="نامعتبر"),"",LEFT($S784,4)&amp;MID($S784,6,2)&amp;RIGHT($S784,2)&amp;"0000"&amp;"|"&amp;"2"&amp;RIGHT("00000"&amp;779,5))</f>
        <v/>
      </c>
      <c r="U784">
        <f>IF($T784="","",COUNTIFS(LdAParty,$P784,LdAType,1,LdAKey,"&lt;"&amp;$T784)+COUNTIFS(LdBMember,$P784,LdBKey,"&lt;"&amp;$T784)+COUNTIFS(LdCParty,$P784,LdCKey,"&lt;"&amp;$T784)+1)</f>
        <v/>
      </c>
      <c r="V784">
        <f>IF($U784="","",$P784&amp;"|"&amp;RIGHT("000000"&amp;$U784,6))</f>
        <v/>
      </c>
      <c r="W784">
        <f>IF($T784="","",COUNTIFS(LdBGroup,$R784,LdBKey,"&lt;"&amp;$T784)+1)</f>
        <v/>
      </c>
      <c r="X784">
        <f>IF($W784="","",$R784&amp;"|"&amp;RIGHT("000000"&amp;$W784,6))</f>
        <v/>
      </c>
      <c r="Y784">
        <f>IF($P784="","",IF(Shares!$E787="",0,Shares!$E787))</f>
        <v/>
      </c>
      <c r="Z784">
        <f>IF($P784="","",Shares!$H787)</f>
        <v/>
      </c>
      <c r="AE784">
        <f>IF(OR(Sync!$S784="",Sync!$P784=""),"",Sync!$S784)</f>
        <v/>
      </c>
      <c r="AF784">
        <f>IF($AE784="","",IF(ISNUMBER(Sync!$P784),IF(AND(Sync!$P784&gt;=10000101,Sync!$P784&lt;=99991231),INT(Sync!$P784/10000),""),IFERROR(VALUE(TRIM(LEFT(Sync!$P784,FIND("/",Sync!$P784)-1))),"")))</f>
        <v/>
      </c>
      <c r="AG784">
        <f>IF(OR($AE784="",$AF784=""),"",IF(ISNUMBER(Sync!$P784),INT(MOD(Sync!$P784,10000)/100),IFERROR(VALUE(TRIM(LEFT(MID(Sync!$P784,FIND("/",Sync!$P784)+1,20),FIND("/",MID(Sync!$P784,FIND("/",Sync!$P784)+1,20))-1))),"")))</f>
        <v/>
      </c>
      <c r="AH784">
        <f>IF(OR($AE784="",$AF784=""),"",IF(ISNUMBER(Sync!$P784),MOD(Sync!$P784,100),IFERROR(VALUE(TRIM(MID(MID(Sync!$P784,FIND("/",Sync!$P784)+1,20),FIND("/",MID(Sync!$P784,FIND("/",Sync!$P784)+1,20))+1,20))),"")))</f>
        <v/>
      </c>
      <c r="AI784">
        <f>IF($AE784="","",IF(OR($AF784="",$AG784="",$AH784="",$AF784&lt;1300,$AF784&gt;1500,$AG784&lt;1,$AG784&gt;12,$AH784&lt;1,$AH784&gt;31),"نامعتبر",RIGHT("0000"&amp;$AF784,4)&amp;"/"&amp;RIGHT("00"&amp;$AG784,2)&amp;"/"&amp;RIGHT("00"&amp;$AH784,2)))</f>
        <v/>
      </c>
      <c r="AJ784">
        <f>IF($AE784="","",IF(Sync!$Q784="","0000",IF(AND(ISNUMBER(Sync!$Q784),Sync!$Q784&gt;=0,Sync!$Q784&lt;1),RIGHT("00"&amp;HOUR(Sync!$Q784),2)&amp;RIGHT("00"&amp;MINUTE(Sync!$Q784),2),IFERROR(RIGHT("00"&amp;VALUE(LEFT(Sync!$Q784,FIND(":",Sync!$Q784)-1)),2)&amp;RIGHT("00"&amp;VALUE(MID(Sync!$Q784,FIND(":",Sync!$Q784)+1,2)),2),"0000"))))</f>
        <v/>
      </c>
      <c r="AK784">
        <f>IF(OR($AE784="",$AI784="",$AI784="نامعتبر"),"",LEFT($AI784,4)&amp;MID($AI784,6,2)&amp;RIGHT($AI784,2)&amp;$AJ784&amp;"|"&amp;"3"&amp;RIGHT("00000"&amp;779,5))</f>
        <v/>
      </c>
      <c r="AL784">
        <f>IF($AK784="","",COUNTIFS(LdAParty,$AE784,LdAType,1,LdAKey,"&lt;"&amp;$AK784)+COUNTIFS(LdBMember,$AE784,LdBKey,"&lt;"&amp;$AK784)+COUNTIFS(LdCParty,$AE784,LdCKey,"&lt;"&amp;$AK784)+1)</f>
        <v/>
      </c>
      <c r="AM784">
        <f>IF($AL784="","",$AE784&amp;"|"&amp;RIGHT("000000"&amp;$AL784,6))</f>
        <v/>
      </c>
      <c r="AN784">
        <f>IF($AE784="","",IF(Sync!$W784="",0,Sync!$W784))</f>
        <v/>
      </c>
      <c r="AO784">
        <f>IF($AE784="","",IF(Sync!$X784="",0,Sync!$X784))</f>
        <v/>
      </c>
      <c r="AP784">
        <f>IF($AE784="","",Sync!$R784)</f>
        <v/>
      </c>
      <c r="AQ784">
        <f>IF($AE784="","",Sync!$Y784)</f>
        <v/>
      </c>
    </row>
    <row r="785">
      <c r="A785">
        <f>IF(OR(Wages!$B788="",Wages!$E788=""),"",Wages!$E788)</f>
        <v/>
      </c>
      <c r="B785">
        <f>IF($A785="","",IF(Wages!$C788="دستمزد گروهی",2,1))</f>
        <v/>
      </c>
      <c r="C785">
        <f>IF($A785="","",IF(ISNUMBER(Wages!$B788),IF(AND(Wages!$B788&gt;=10000101,Wages!$B788&lt;=99991231),INT(Wages!$B788/10000),""),IFERROR(VALUE(TRIM(LEFT(Wages!$B788,FIND("/",Wages!$B788)-1))),"")))</f>
        <v/>
      </c>
      <c r="D785">
        <f>IF(OR($A785="",$C785=""),"",IF(ISNUMBER(Wages!$B788),INT(MOD(Wages!$B788,10000)/100),IFERROR(VALUE(TRIM(LEFT(MID(Wages!$B788,FIND("/",Wages!$B788)+1,20),FIND("/",MID(Wages!$B788,FIND("/",Wages!$B788)+1,20))-1))),"")))</f>
        <v/>
      </c>
      <c r="E785">
        <f>IF(OR($A785="",$C785=""),"",IF(ISNUMBER(Wages!$B788),MOD(Wages!$B788,100),IFERROR(VALUE(TRIM(MID(MID(Wages!$B788,FIND("/",Wages!$B788)+1,20),FIND("/",MID(Wages!$B788,FIND("/",Wages!$B788)+1,20))+1,20))),"")))</f>
        <v/>
      </c>
      <c r="F785">
        <f>IF($A785="","",IF(OR($C785="",$D785="",$E785="",$C785&lt;1300,$C785&gt;1500,$D785&lt;1,$D785&gt;12,$E785&lt;1,$E785&gt;31),"نامعتبر",RIGHT("0000"&amp;$C785,4)&amp;"/"&amp;RIGHT("00"&amp;$D785,2)&amp;"/"&amp;RIGHT("00"&amp;$E785,2)))</f>
        <v/>
      </c>
      <c r="G785">
        <f>IF(OR($A785="",$F785="",$F785="نامعتبر"),"",LEFT($F785,4)&amp;MID($F785,6,2)&amp;RIGHT($F785,2)&amp;"0000"&amp;"|"&amp;"1"&amp;RIGHT("00000"&amp;780,5))</f>
        <v/>
      </c>
      <c r="H785">
        <f>IF(OR($B785&lt;&gt;1,$G785=""),"",COUNTIFS(LdAParty,$A785,LdAType,1,LdAKey,"&lt;"&amp;$G785)+COUNTIFS(LdBMember,$A785,LdBKey,"&lt;"&amp;$G785)+COUNTIFS(LdCParty,$A785,LdCKey,"&lt;"&amp;$G785)+1)</f>
        <v/>
      </c>
      <c r="I785">
        <f>IF($H785="","",$A785&amp;"|"&amp;RIGHT("000000"&amp;$H785,6))</f>
        <v/>
      </c>
      <c r="J785">
        <f>IF(OR($B785&lt;&gt;2,$G785=""),"",COUNTIFS(LdAParty,$A785,LdAType,2,LdAKey,"&lt;"&amp;$G785)+1)</f>
        <v/>
      </c>
      <c r="K785">
        <f>IF($J785="","",$A785&amp;"|"&amp;RIGHT("000000"&amp;$J785,6))</f>
        <v/>
      </c>
      <c r="L785">
        <f>IF($A785="","",IF(Wages!$G788="",0,Wages!$G788))</f>
        <v/>
      </c>
      <c r="M785">
        <f>IF($A785="","",Wages!$J788)</f>
        <v/>
      </c>
      <c r="N785">
        <f>IF($A785="","",Wages!$D788)</f>
        <v/>
      </c>
      <c r="P785">
        <f>IF(OR(Shares!$B788="",Shares!$C788=""),"",Shares!$C788)</f>
        <v/>
      </c>
      <c r="Q785">
        <f>IF($P785="","",Shares!$B788)</f>
        <v/>
      </c>
      <c r="R785">
        <f>IF($P785="","",IFERROR(INDEX(WageParty,MATCH($Q785,WageIds,0)),""))</f>
        <v/>
      </c>
      <c r="S785">
        <f>IF($P785="","",IFERROR(INDEX($F$6:$F$2005,MATCH($Q785,WageIds,0)),""))</f>
        <v/>
      </c>
      <c r="T785">
        <f>IF(OR($P785="",$S785="",$S785="نامعتبر"),"",LEFT($S785,4)&amp;MID($S785,6,2)&amp;RIGHT($S785,2)&amp;"0000"&amp;"|"&amp;"2"&amp;RIGHT("00000"&amp;780,5))</f>
        <v/>
      </c>
      <c r="U785">
        <f>IF($T785="","",COUNTIFS(LdAParty,$P785,LdAType,1,LdAKey,"&lt;"&amp;$T785)+COUNTIFS(LdBMember,$P785,LdBKey,"&lt;"&amp;$T785)+COUNTIFS(LdCParty,$P785,LdCKey,"&lt;"&amp;$T785)+1)</f>
        <v/>
      </c>
      <c r="V785">
        <f>IF($U785="","",$P785&amp;"|"&amp;RIGHT("000000"&amp;$U785,6))</f>
        <v/>
      </c>
      <c r="W785">
        <f>IF($T785="","",COUNTIFS(LdBGroup,$R785,LdBKey,"&lt;"&amp;$T785)+1)</f>
        <v/>
      </c>
      <c r="X785">
        <f>IF($W785="","",$R785&amp;"|"&amp;RIGHT("000000"&amp;$W785,6))</f>
        <v/>
      </c>
      <c r="Y785">
        <f>IF($P785="","",IF(Shares!$E788="",0,Shares!$E788))</f>
        <v/>
      </c>
      <c r="Z785">
        <f>IF($P785="","",Shares!$H788)</f>
        <v/>
      </c>
      <c r="AE785">
        <f>IF(OR(Sync!$S785="",Sync!$P785=""),"",Sync!$S785)</f>
        <v/>
      </c>
      <c r="AF785">
        <f>IF($AE785="","",IF(ISNUMBER(Sync!$P785),IF(AND(Sync!$P785&gt;=10000101,Sync!$P785&lt;=99991231),INT(Sync!$P785/10000),""),IFERROR(VALUE(TRIM(LEFT(Sync!$P785,FIND("/",Sync!$P785)-1))),"")))</f>
        <v/>
      </c>
      <c r="AG785">
        <f>IF(OR($AE785="",$AF785=""),"",IF(ISNUMBER(Sync!$P785),INT(MOD(Sync!$P785,10000)/100),IFERROR(VALUE(TRIM(LEFT(MID(Sync!$P785,FIND("/",Sync!$P785)+1,20),FIND("/",MID(Sync!$P785,FIND("/",Sync!$P785)+1,20))-1))),"")))</f>
        <v/>
      </c>
      <c r="AH785">
        <f>IF(OR($AE785="",$AF785=""),"",IF(ISNUMBER(Sync!$P785),MOD(Sync!$P785,100),IFERROR(VALUE(TRIM(MID(MID(Sync!$P785,FIND("/",Sync!$P785)+1,20),FIND("/",MID(Sync!$P785,FIND("/",Sync!$P785)+1,20))+1,20))),"")))</f>
        <v/>
      </c>
      <c r="AI785">
        <f>IF($AE785="","",IF(OR($AF785="",$AG785="",$AH785="",$AF785&lt;1300,$AF785&gt;1500,$AG785&lt;1,$AG785&gt;12,$AH785&lt;1,$AH785&gt;31),"نامعتبر",RIGHT("0000"&amp;$AF785,4)&amp;"/"&amp;RIGHT("00"&amp;$AG785,2)&amp;"/"&amp;RIGHT("00"&amp;$AH785,2)))</f>
        <v/>
      </c>
      <c r="AJ785">
        <f>IF($AE785="","",IF(Sync!$Q785="","0000",IF(AND(ISNUMBER(Sync!$Q785),Sync!$Q785&gt;=0,Sync!$Q785&lt;1),RIGHT("00"&amp;HOUR(Sync!$Q785),2)&amp;RIGHT("00"&amp;MINUTE(Sync!$Q785),2),IFERROR(RIGHT("00"&amp;VALUE(LEFT(Sync!$Q785,FIND(":",Sync!$Q785)-1)),2)&amp;RIGHT("00"&amp;VALUE(MID(Sync!$Q785,FIND(":",Sync!$Q785)+1,2)),2),"0000"))))</f>
        <v/>
      </c>
      <c r="AK785">
        <f>IF(OR($AE785="",$AI785="",$AI785="نامعتبر"),"",LEFT($AI785,4)&amp;MID($AI785,6,2)&amp;RIGHT($AI785,2)&amp;$AJ785&amp;"|"&amp;"3"&amp;RIGHT("00000"&amp;780,5))</f>
        <v/>
      </c>
      <c r="AL785">
        <f>IF($AK785="","",COUNTIFS(LdAParty,$AE785,LdAType,1,LdAKey,"&lt;"&amp;$AK785)+COUNTIFS(LdBMember,$AE785,LdBKey,"&lt;"&amp;$AK785)+COUNTIFS(LdCParty,$AE785,LdCKey,"&lt;"&amp;$AK785)+1)</f>
        <v/>
      </c>
      <c r="AM785">
        <f>IF($AL785="","",$AE785&amp;"|"&amp;RIGHT("000000"&amp;$AL785,6))</f>
        <v/>
      </c>
      <c r="AN785">
        <f>IF($AE785="","",IF(Sync!$W785="",0,Sync!$W785))</f>
        <v/>
      </c>
      <c r="AO785">
        <f>IF($AE785="","",IF(Sync!$X785="",0,Sync!$X785))</f>
        <v/>
      </c>
      <c r="AP785">
        <f>IF($AE785="","",Sync!$R785)</f>
        <v/>
      </c>
      <c r="AQ785">
        <f>IF($AE785="","",Sync!$Y785)</f>
        <v/>
      </c>
    </row>
    <row r="786">
      <c r="A786">
        <f>IF(OR(Wages!$B789="",Wages!$E789=""),"",Wages!$E789)</f>
        <v/>
      </c>
      <c r="B786">
        <f>IF($A786="","",IF(Wages!$C789="دستمزد گروهی",2,1))</f>
        <v/>
      </c>
      <c r="C786">
        <f>IF($A786="","",IF(ISNUMBER(Wages!$B789),IF(AND(Wages!$B789&gt;=10000101,Wages!$B789&lt;=99991231),INT(Wages!$B789/10000),""),IFERROR(VALUE(TRIM(LEFT(Wages!$B789,FIND("/",Wages!$B789)-1))),"")))</f>
        <v/>
      </c>
      <c r="D786">
        <f>IF(OR($A786="",$C786=""),"",IF(ISNUMBER(Wages!$B789),INT(MOD(Wages!$B789,10000)/100),IFERROR(VALUE(TRIM(LEFT(MID(Wages!$B789,FIND("/",Wages!$B789)+1,20),FIND("/",MID(Wages!$B789,FIND("/",Wages!$B789)+1,20))-1))),"")))</f>
        <v/>
      </c>
      <c r="E786">
        <f>IF(OR($A786="",$C786=""),"",IF(ISNUMBER(Wages!$B789),MOD(Wages!$B789,100),IFERROR(VALUE(TRIM(MID(MID(Wages!$B789,FIND("/",Wages!$B789)+1,20),FIND("/",MID(Wages!$B789,FIND("/",Wages!$B789)+1,20))+1,20))),"")))</f>
        <v/>
      </c>
      <c r="F786">
        <f>IF($A786="","",IF(OR($C786="",$D786="",$E786="",$C786&lt;1300,$C786&gt;1500,$D786&lt;1,$D786&gt;12,$E786&lt;1,$E786&gt;31),"نامعتبر",RIGHT("0000"&amp;$C786,4)&amp;"/"&amp;RIGHT("00"&amp;$D786,2)&amp;"/"&amp;RIGHT("00"&amp;$E786,2)))</f>
        <v/>
      </c>
      <c r="G786">
        <f>IF(OR($A786="",$F786="",$F786="نامعتبر"),"",LEFT($F786,4)&amp;MID($F786,6,2)&amp;RIGHT($F786,2)&amp;"0000"&amp;"|"&amp;"1"&amp;RIGHT("00000"&amp;781,5))</f>
        <v/>
      </c>
      <c r="H786">
        <f>IF(OR($B786&lt;&gt;1,$G786=""),"",COUNTIFS(LdAParty,$A786,LdAType,1,LdAKey,"&lt;"&amp;$G786)+COUNTIFS(LdBMember,$A786,LdBKey,"&lt;"&amp;$G786)+COUNTIFS(LdCParty,$A786,LdCKey,"&lt;"&amp;$G786)+1)</f>
        <v/>
      </c>
      <c r="I786">
        <f>IF($H786="","",$A786&amp;"|"&amp;RIGHT("000000"&amp;$H786,6))</f>
        <v/>
      </c>
      <c r="J786">
        <f>IF(OR($B786&lt;&gt;2,$G786=""),"",COUNTIFS(LdAParty,$A786,LdAType,2,LdAKey,"&lt;"&amp;$G786)+1)</f>
        <v/>
      </c>
      <c r="K786">
        <f>IF($J786="","",$A786&amp;"|"&amp;RIGHT("000000"&amp;$J786,6))</f>
        <v/>
      </c>
      <c r="L786">
        <f>IF($A786="","",IF(Wages!$G789="",0,Wages!$G789))</f>
        <v/>
      </c>
      <c r="M786">
        <f>IF($A786="","",Wages!$J789)</f>
        <v/>
      </c>
      <c r="N786">
        <f>IF($A786="","",Wages!$D789)</f>
        <v/>
      </c>
      <c r="P786">
        <f>IF(OR(Shares!$B789="",Shares!$C789=""),"",Shares!$C789)</f>
        <v/>
      </c>
      <c r="Q786">
        <f>IF($P786="","",Shares!$B789)</f>
        <v/>
      </c>
      <c r="R786">
        <f>IF($P786="","",IFERROR(INDEX(WageParty,MATCH($Q786,WageIds,0)),""))</f>
        <v/>
      </c>
      <c r="S786">
        <f>IF($P786="","",IFERROR(INDEX($F$6:$F$2005,MATCH($Q786,WageIds,0)),""))</f>
        <v/>
      </c>
      <c r="T786">
        <f>IF(OR($P786="",$S786="",$S786="نامعتبر"),"",LEFT($S786,4)&amp;MID($S786,6,2)&amp;RIGHT($S786,2)&amp;"0000"&amp;"|"&amp;"2"&amp;RIGHT("00000"&amp;781,5))</f>
        <v/>
      </c>
      <c r="U786">
        <f>IF($T786="","",COUNTIFS(LdAParty,$P786,LdAType,1,LdAKey,"&lt;"&amp;$T786)+COUNTIFS(LdBMember,$P786,LdBKey,"&lt;"&amp;$T786)+COUNTIFS(LdCParty,$P786,LdCKey,"&lt;"&amp;$T786)+1)</f>
        <v/>
      </c>
      <c r="V786">
        <f>IF($U786="","",$P786&amp;"|"&amp;RIGHT("000000"&amp;$U786,6))</f>
        <v/>
      </c>
      <c r="W786">
        <f>IF($T786="","",COUNTIFS(LdBGroup,$R786,LdBKey,"&lt;"&amp;$T786)+1)</f>
        <v/>
      </c>
      <c r="X786">
        <f>IF($W786="","",$R786&amp;"|"&amp;RIGHT("000000"&amp;$W786,6))</f>
        <v/>
      </c>
      <c r="Y786">
        <f>IF($P786="","",IF(Shares!$E789="",0,Shares!$E789))</f>
        <v/>
      </c>
      <c r="Z786">
        <f>IF($P786="","",Shares!$H789)</f>
        <v/>
      </c>
      <c r="AE786">
        <f>IF(OR(Sync!$S786="",Sync!$P786=""),"",Sync!$S786)</f>
        <v/>
      </c>
      <c r="AF786">
        <f>IF($AE786="","",IF(ISNUMBER(Sync!$P786),IF(AND(Sync!$P786&gt;=10000101,Sync!$P786&lt;=99991231),INT(Sync!$P786/10000),""),IFERROR(VALUE(TRIM(LEFT(Sync!$P786,FIND("/",Sync!$P786)-1))),"")))</f>
        <v/>
      </c>
      <c r="AG786">
        <f>IF(OR($AE786="",$AF786=""),"",IF(ISNUMBER(Sync!$P786),INT(MOD(Sync!$P786,10000)/100),IFERROR(VALUE(TRIM(LEFT(MID(Sync!$P786,FIND("/",Sync!$P786)+1,20),FIND("/",MID(Sync!$P786,FIND("/",Sync!$P786)+1,20))-1))),"")))</f>
        <v/>
      </c>
      <c r="AH786">
        <f>IF(OR($AE786="",$AF786=""),"",IF(ISNUMBER(Sync!$P786),MOD(Sync!$P786,100),IFERROR(VALUE(TRIM(MID(MID(Sync!$P786,FIND("/",Sync!$P786)+1,20),FIND("/",MID(Sync!$P786,FIND("/",Sync!$P786)+1,20))+1,20))),"")))</f>
        <v/>
      </c>
      <c r="AI786">
        <f>IF($AE786="","",IF(OR($AF786="",$AG786="",$AH786="",$AF786&lt;1300,$AF786&gt;1500,$AG786&lt;1,$AG786&gt;12,$AH786&lt;1,$AH786&gt;31),"نامعتبر",RIGHT("0000"&amp;$AF786,4)&amp;"/"&amp;RIGHT("00"&amp;$AG786,2)&amp;"/"&amp;RIGHT("00"&amp;$AH786,2)))</f>
        <v/>
      </c>
      <c r="AJ786">
        <f>IF($AE786="","",IF(Sync!$Q786="","0000",IF(AND(ISNUMBER(Sync!$Q786),Sync!$Q786&gt;=0,Sync!$Q786&lt;1),RIGHT("00"&amp;HOUR(Sync!$Q786),2)&amp;RIGHT("00"&amp;MINUTE(Sync!$Q786),2),IFERROR(RIGHT("00"&amp;VALUE(LEFT(Sync!$Q786,FIND(":",Sync!$Q786)-1)),2)&amp;RIGHT("00"&amp;VALUE(MID(Sync!$Q786,FIND(":",Sync!$Q786)+1,2)),2),"0000"))))</f>
        <v/>
      </c>
      <c r="AK786">
        <f>IF(OR($AE786="",$AI786="",$AI786="نامعتبر"),"",LEFT($AI786,4)&amp;MID($AI786,6,2)&amp;RIGHT($AI786,2)&amp;$AJ786&amp;"|"&amp;"3"&amp;RIGHT("00000"&amp;781,5))</f>
        <v/>
      </c>
      <c r="AL786">
        <f>IF($AK786="","",COUNTIFS(LdAParty,$AE786,LdAType,1,LdAKey,"&lt;"&amp;$AK786)+COUNTIFS(LdBMember,$AE786,LdBKey,"&lt;"&amp;$AK786)+COUNTIFS(LdCParty,$AE786,LdCKey,"&lt;"&amp;$AK786)+1)</f>
        <v/>
      </c>
      <c r="AM786">
        <f>IF($AL786="","",$AE786&amp;"|"&amp;RIGHT("000000"&amp;$AL786,6))</f>
        <v/>
      </c>
      <c r="AN786">
        <f>IF($AE786="","",IF(Sync!$W786="",0,Sync!$W786))</f>
        <v/>
      </c>
      <c r="AO786">
        <f>IF($AE786="","",IF(Sync!$X786="",0,Sync!$X786))</f>
        <v/>
      </c>
      <c r="AP786">
        <f>IF($AE786="","",Sync!$R786)</f>
        <v/>
      </c>
      <c r="AQ786">
        <f>IF($AE786="","",Sync!$Y786)</f>
        <v/>
      </c>
    </row>
    <row r="787">
      <c r="A787">
        <f>IF(OR(Wages!$B790="",Wages!$E790=""),"",Wages!$E790)</f>
        <v/>
      </c>
      <c r="B787">
        <f>IF($A787="","",IF(Wages!$C790="دستمزد گروهی",2,1))</f>
        <v/>
      </c>
      <c r="C787">
        <f>IF($A787="","",IF(ISNUMBER(Wages!$B790),IF(AND(Wages!$B790&gt;=10000101,Wages!$B790&lt;=99991231),INT(Wages!$B790/10000),""),IFERROR(VALUE(TRIM(LEFT(Wages!$B790,FIND("/",Wages!$B790)-1))),"")))</f>
        <v/>
      </c>
      <c r="D787">
        <f>IF(OR($A787="",$C787=""),"",IF(ISNUMBER(Wages!$B790),INT(MOD(Wages!$B790,10000)/100),IFERROR(VALUE(TRIM(LEFT(MID(Wages!$B790,FIND("/",Wages!$B790)+1,20),FIND("/",MID(Wages!$B790,FIND("/",Wages!$B790)+1,20))-1))),"")))</f>
        <v/>
      </c>
      <c r="E787">
        <f>IF(OR($A787="",$C787=""),"",IF(ISNUMBER(Wages!$B790),MOD(Wages!$B790,100),IFERROR(VALUE(TRIM(MID(MID(Wages!$B790,FIND("/",Wages!$B790)+1,20),FIND("/",MID(Wages!$B790,FIND("/",Wages!$B790)+1,20))+1,20))),"")))</f>
        <v/>
      </c>
      <c r="F787">
        <f>IF($A787="","",IF(OR($C787="",$D787="",$E787="",$C787&lt;1300,$C787&gt;1500,$D787&lt;1,$D787&gt;12,$E787&lt;1,$E787&gt;31),"نامعتبر",RIGHT("0000"&amp;$C787,4)&amp;"/"&amp;RIGHT("00"&amp;$D787,2)&amp;"/"&amp;RIGHT("00"&amp;$E787,2)))</f>
        <v/>
      </c>
      <c r="G787">
        <f>IF(OR($A787="",$F787="",$F787="نامعتبر"),"",LEFT($F787,4)&amp;MID($F787,6,2)&amp;RIGHT($F787,2)&amp;"0000"&amp;"|"&amp;"1"&amp;RIGHT("00000"&amp;782,5))</f>
        <v/>
      </c>
      <c r="H787">
        <f>IF(OR($B787&lt;&gt;1,$G787=""),"",COUNTIFS(LdAParty,$A787,LdAType,1,LdAKey,"&lt;"&amp;$G787)+COUNTIFS(LdBMember,$A787,LdBKey,"&lt;"&amp;$G787)+COUNTIFS(LdCParty,$A787,LdCKey,"&lt;"&amp;$G787)+1)</f>
        <v/>
      </c>
      <c r="I787">
        <f>IF($H787="","",$A787&amp;"|"&amp;RIGHT("000000"&amp;$H787,6))</f>
        <v/>
      </c>
      <c r="J787">
        <f>IF(OR($B787&lt;&gt;2,$G787=""),"",COUNTIFS(LdAParty,$A787,LdAType,2,LdAKey,"&lt;"&amp;$G787)+1)</f>
        <v/>
      </c>
      <c r="K787">
        <f>IF($J787="","",$A787&amp;"|"&amp;RIGHT("000000"&amp;$J787,6))</f>
        <v/>
      </c>
      <c r="L787">
        <f>IF($A787="","",IF(Wages!$G790="",0,Wages!$G790))</f>
        <v/>
      </c>
      <c r="M787">
        <f>IF($A787="","",Wages!$J790)</f>
        <v/>
      </c>
      <c r="N787">
        <f>IF($A787="","",Wages!$D790)</f>
        <v/>
      </c>
      <c r="P787">
        <f>IF(OR(Shares!$B790="",Shares!$C790=""),"",Shares!$C790)</f>
        <v/>
      </c>
      <c r="Q787">
        <f>IF($P787="","",Shares!$B790)</f>
        <v/>
      </c>
      <c r="R787">
        <f>IF($P787="","",IFERROR(INDEX(WageParty,MATCH($Q787,WageIds,0)),""))</f>
        <v/>
      </c>
      <c r="S787">
        <f>IF($P787="","",IFERROR(INDEX($F$6:$F$2005,MATCH($Q787,WageIds,0)),""))</f>
        <v/>
      </c>
      <c r="T787">
        <f>IF(OR($P787="",$S787="",$S787="نامعتبر"),"",LEFT($S787,4)&amp;MID($S787,6,2)&amp;RIGHT($S787,2)&amp;"0000"&amp;"|"&amp;"2"&amp;RIGHT("00000"&amp;782,5))</f>
        <v/>
      </c>
      <c r="U787">
        <f>IF($T787="","",COUNTIFS(LdAParty,$P787,LdAType,1,LdAKey,"&lt;"&amp;$T787)+COUNTIFS(LdBMember,$P787,LdBKey,"&lt;"&amp;$T787)+COUNTIFS(LdCParty,$P787,LdCKey,"&lt;"&amp;$T787)+1)</f>
        <v/>
      </c>
      <c r="V787">
        <f>IF($U787="","",$P787&amp;"|"&amp;RIGHT("000000"&amp;$U787,6))</f>
        <v/>
      </c>
      <c r="W787">
        <f>IF($T787="","",COUNTIFS(LdBGroup,$R787,LdBKey,"&lt;"&amp;$T787)+1)</f>
        <v/>
      </c>
      <c r="X787">
        <f>IF($W787="","",$R787&amp;"|"&amp;RIGHT("000000"&amp;$W787,6))</f>
        <v/>
      </c>
      <c r="Y787">
        <f>IF($P787="","",IF(Shares!$E790="",0,Shares!$E790))</f>
        <v/>
      </c>
      <c r="Z787">
        <f>IF($P787="","",Shares!$H790)</f>
        <v/>
      </c>
      <c r="AE787">
        <f>IF(OR(Sync!$S787="",Sync!$P787=""),"",Sync!$S787)</f>
        <v/>
      </c>
      <c r="AF787">
        <f>IF($AE787="","",IF(ISNUMBER(Sync!$P787),IF(AND(Sync!$P787&gt;=10000101,Sync!$P787&lt;=99991231),INT(Sync!$P787/10000),""),IFERROR(VALUE(TRIM(LEFT(Sync!$P787,FIND("/",Sync!$P787)-1))),"")))</f>
        <v/>
      </c>
      <c r="AG787">
        <f>IF(OR($AE787="",$AF787=""),"",IF(ISNUMBER(Sync!$P787),INT(MOD(Sync!$P787,10000)/100),IFERROR(VALUE(TRIM(LEFT(MID(Sync!$P787,FIND("/",Sync!$P787)+1,20),FIND("/",MID(Sync!$P787,FIND("/",Sync!$P787)+1,20))-1))),"")))</f>
        <v/>
      </c>
      <c r="AH787">
        <f>IF(OR($AE787="",$AF787=""),"",IF(ISNUMBER(Sync!$P787),MOD(Sync!$P787,100),IFERROR(VALUE(TRIM(MID(MID(Sync!$P787,FIND("/",Sync!$P787)+1,20),FIND("/",MID(Sync!$P787,FIND("/",Sync!$P787)+1,20))+1,20))),"")))</f>
        <v/>
      </c>
      <c r="AI787">
        <f>IF($AE787="","",IF(OR($AF787="",$AG787="",$AH787="",$AF787&lt;1300,$AF787&gt;1500,$AG787&lt;1,$AG787&gt;12,$AH787&lt;1,$AH787&gt;31),"نامعتبر",RIGHT("0000"&amp;$AF787,4)&amp;"/"&amp;RIGHT("00"&amp;$AG787,2)&amp;"/"&amp;RIGHT("00"&amp;$AH787,2)))</f>
        <v/>
      </c>
      <c r="AJ787">
        <f>IF($AE787="","",IF(Sync!$Q787="","0000",IF(AND(ISNUMBER(Sync!$Q787),Sync!$Q787&gt;=0,Sync!$Q787&lt;1),RIGHT("00"&amp;HOUR(Sync!$Q787),2)&amp;RIGHT("00"&amp;MINUTE(Sync!$Q787),2),IFERROR(RIGHT("00"&amp;VALUE(LEFT(Sync!$Q787,FIND(":",Sync!$Q787)-1)),2)&amp;RIGHT("00"&amp;VALUE(MID(Sync!$Q787,FIND(":",Sync!$Q787)+1,2)),2),"0000"))))</f>
        <v/>
      </c>
      <c r="AK787">
        <f>IF(OR($AE787="",$AI787="",$AI787="نامعتبر"),"",LEFT($AI787,4)&amp;MID($AI787,6,2)&amp;RIGHT($AI787,2)&amp;$AJ787&amp;"|"&amp;"3"&amp;RIGHT("00000"&amp;782,5))</f>
        <v/>
      </c>
      <c r="AL787">
        <f>IF($AK787="","",COUNTIFS(LdAParty,$AE787,LdAType,1,LdAKey,"&lt;"&amp;$AK787)+COUNTIFS(LdBMember,$AE787,LdBKey,"&lt;"&amp;$AK787)+COUNTIFS(LdCParty,$AE787,LdCKey,"&lt;"&amp;$AK787)+1)</f>
        <v/>
      </c>
      <c r="AM787">
        <f>IF($AL787="","",$AE787&amp;"|"&amp;RIGHT("000000"&amp;$AL787,6))</f>
        <v/>
      </c>
      <c r="AN787">
        <f>IF($AE787="","",IF(Sync!$W787="",0,Sync!$W787))</f>
        <v/>
      </c>
      <c r="AO787">
        <f>IF($AE787="","",IF(Sync!$X787="",0,Sync!$X787))</f>
        <v/>
      </c>
      <c r="AP787">
        <f>IF($AE787="","",Sync!$R787)</f>
        <v/>
      </c>
      <c r="AQ787">
        <f>IF($AE787="","",Sync!$Y787)</f>
        <v/>
      </c>
    </row>
    <row r="788">
      <c r="A788">
        <f>IF(OR(Wages!$B791="",Wages!$E791=""),"",Wages!$E791)</f>
        <v/>
      </c>
      <c r="B788">
        <f>IF($A788="","",IF(Wages!$C791="دستمزد گروهی",2,1))</f>
        <v/>
      </c>
      <c r="C788">
        <f>IF($A788="","",IF(ISNUMBER(Wages!$B791),IF(AND(Wages!$B791&gt;=10000101,Wages!$B791&lt;=99991231),INT(Wages!$B791/10000),""),IFERROR(VALUE(TRIM(LEFT(Wages!$B791,FIND("/",Wages!$B791)-1))),"")))</f>
        <v/>
      </c>
      <c r="D788">
        <f>IF(OR($A788="",$C788=""),"",IF(ISNUMBER(Wages!$B791),INT(MOD(Wages!$B791,10000)/100),IFERROR(VALUE(TRIM(LEFT(MID(Wages!$B791,FIND("/",Wages!$B791)+1,20),FIND("/",MID(Wages!$B791,FIND("/",Wages!$B791)+1,20))-1))),"")))</f>
        <v/>
      </c>
      <c r="E788">
        <f>IF(OR($A788="",$C788=""),"",IF(ISNUMBER(Wages!$B791),MOD(Wages!$B791,100),IFERROR(VALUE(TRIM(MID(MID(Wages!$B791,FIND("/",Wages!$B791)+1,20),FIND("/",MID(Wages!$B791,FIND("/",Wages!$B791)+1,20))+1,20))),"")))</f>
        <v/>
      </c>
      <c r="F788">
        <f>IF($A788="","",IF(OR($C788="",$D788="",$E788="",$C788&lt;1300,$C788&gt;1500,$D788&lt;1,$D788&gt;12,$E788&lt;1,$E788&gt;31),"نامعتبر",RIGHT("0000"&amp;$C788,4)&amp;"/"&amp;RIGHT("00"&amp;$D788,2)&amp;"/"&amp;RIGHT("00"&amp;$E788,2)))</f>
        <v/>
      </c>
      <c r="G788">
        <f>IF(OR($A788="",$F788="",$F788="نامعتبر"),"",LEFT($F788,4)&amp;MID($F788,6,2)&amp;RIGHT($F788,2)&amp;"0000"&amp;"|"&amp;"1"&amp;RIGHT("00000"&amp;783,5))</f>
        <v/>
      </c>
      <c r="H788">
        <f>IF(OR($B788&lt;&gt;1,$G788=""),"",COUNTIFS(LdAParty,$A788,LdAType,1,LdAKey,"&lt;"&amp;$G788)+COUNTIFS(LdBMember,$A788,LdBKey,"&lt;"&amp;$G788)+COUNTIFS(LdCParty,$A788,LdCKey,"&lt;"&amp;$G788)+1)</f>
        <v/>
      </c>
      <c r="I788">
        <f>IF($H788="","",$A788&amp;"|"&amp;RIGHT("000000"&amp;$H788,6))</f>
        <v/>
      </c>
      <c r="J788">
        <f>IF(OR($B788&lt;&gt;2,$G788=""),"",COUNTIFS(LdAParty,$A788,LdAType,2,LdAKey,"&lt;"&amp;$G788)+1)</f>
        <v/>
      </c>
      <c r="K788">
        <f>IF($J788="","",$A788&amp;"|"&amp;RIGHT("000000"&amp;$J788,6))</f>
        <v/>
      </c>
      <c r="L788">
        <f>IF($A788="","",IF(Wages!$G791="",0,Wages!$G791))</f>
        <v/>
      </c>
      <c r="M788">
        <f>IF($A788="","",Wages!$J791)</f>
        <v/>
      </c>
      <c r="N788">
        <f>IF($A788="","",Wages!$D791)</f>
        <v/>
      </c>
      <c r="P788">
        <f>IF(OR(Shares!$B791="",Shares!$C791=""),"",Shares!$C791)</f>
        <v/>
      </c>
      <c r="Q788">
        <f>IF($P788="","",Shares!$B791)</f>
        <v/>
      </c>
      <c r="R788">
        <f>IF($P788="","",IFERROR(INDEX(WageParty,MATCH($Q788,WageIds,0)),""))</f>
        <v/>
      </c>
      <c r="S788">
        <f>IF($P788="","",IFERROR(INDEX($F$6:$F$2005,MATCH($Q788,WageIds,0)),""))</f>
        <v/>
      </c>
      <c r="T788">
        <f>IF(OR($P788="",$S788="",$S788="نامعتبر"),"",LEFT($S788,4)&amp;MID($S788,6,2)&amp;RIGHT($S788,2)&amp;"0000"&amp;"|"&amp;"2"&amp;RIGHT("00000"&amp;783,5))</f>
        <v/>
      </c>
      <c r="U788">
        <f>IF($T788="","",COUNTIFS(LdAParty,$P788,LdAType,1,LdAKey,"&lt;"&amp;$T788)+COUNTIFS(LdBMember,$P788,LdBKey,"&lt;"&amp;$T788)+COUNTIFS(LdCParty,$P788,LdCKey,"&lt;"&amp;$T788)+1)</f>
        <v/>
      </c>
      <c r="V788">
        <f>IF($U788="","",$P788&amp;"|"&amp;RIGHT("000000"&amp;$U788,6))</f>
        <v/>
      </c>
      <c r="W788">
        <f>IF($T788="","",COUNTIFS(LdBGroup,$R788,LdBKey,"&lt;"&amp;$T788)+1)</f>
        <v/>
      </c>
      <c r="X788">
        <f>IF($W788="","",$R788&amp;"|"&amp;RIGHT("000000"&amp;$W788,6))</f>
        <v/>
      </c>
      <c r="Y788">
        <f>IF($P788="","",IF(Shares!$E791="",0,Shares!$E791))</f>
        <v/>
      </c>
      <c r="Z788">
        <f>IF($P788="","",Shares!$H791)</f>
        <v/>
      </c>
      <c r="AE788">
        <f>IF(OR(Sync!$S788="",Sync!$P788=""),"",Sync!$S788)</f>
        <v/>
      </c>
      <c r="AF788">
        <f>IF($AE788="","",IF(ISNUMBER(Sync!$P788),IF(AND(Sync!$P788&gt;=10000101,Sync!$P788&lt;=99991231),INT(Sync!$P788/10000),""),IFERROR(VALUE(TRIM(LEFT(Sync!$P788,FIND("/",Sync!$P788)-1))),"")))</f>
        <v/>
      </c>
      <c r="AG788">
        <f>IF(OR($AE788="",$AF788=""),"",IF(ISNUMBER(Sync!$P788),INT(MOD(Sync!$P788,10000)/100),IFERROR(VALUE(TRIM(LEFT(MID(Sync!$P788,FIND("/",Sync!$P788)+1,20),FIND("/",MID(Sync!$P788,FIND("/",Sync!$P788)+1,20))-1))),"")))</f>
        <v/>
      </c>
      <c r="AH788">
        <f>IF(OR($AE788="",$AF788=""),"",IF(ISNUMBER(Sync!$P788),MOD(Sync!$P788,100),IFERROR(VALUE(TRIM(MID(MID(Sync!$P788,FIND("/",Sync!$P788)+1,20),FIND("/",MID(Sync!$P788,FIND("/",Sync!$P788)+1,20))+1,20))),"")))</f>
        <v/>
      </c>
      <c r="AI788">
        <f>IF($AE788="","",IF(OR($AF788="",$AG788="",$AH788="",$AF788&lt;1300,$AF788&gt;1500,$AG788&lt;1,$AG788&gt;12,$AH788&lt;1,$AH788&gt;31),"نامعتبر",RIGHT("0000"&amp;$AF788,4)&amp;"/"&amp;RIGHT("00"&amp;$AG788,2)&amp;"/"&amp;RIGHT("00"&amp;$AH788,2)))</f>
        <v/>
      </c>
      <c r="AJ788">
        <f>IF($AE788="","",IF(Sync!$Q788="","0000",IF(AND(ISNUMBER(Sync!$Q788),Sync!$Q788&gt;=0,Sync!$Q788&lt;1),RIGHT("00"&amp;HOUR(Sync!$Q788),2)&amp;RIGHT("00"&amp;MINUTE(Sync!$Q788),2),IFERROR(RIGHT("00"&amp;VALUE(LEFT(Sync!$Q788,FIND(":",Sync!$Q788)-1)),2)&amp;RIGHT("00"&amp;VALUE(MID(Sync!$Q788,FIND(":",Sync!$Q788)+1,2)),2),"0000"))))</f>
        <v/>
      </c>
      <c r="AK788">
        <f>IF(OR($AE788="",$AI788="",$AI788="نامعتبر"),"",LEFT($AI788,4)&amp;MID($AI788,6,2)&amp;RIGHT($AI788,2)&amp;$AJ788&amp;"|"&amp;"3"&amp;RIGHT("00000"&amp;783,5))</f>
        <v/>
      </c>
      <c r="AL788">
        <f>IF($AK788="","",COUNTIFS(LdAParty,$AE788,LdAType,1,LdAKey,"&lt;"&amp;$AK788)+COUNTIFS(LdBMember,$AE788,LdBKey,"&lt;"&amp;$AK788)+COUNTIFS(LdCParty,$AE788,LdCKey,"&lt;"&amp;$AK788)+1)</f>
        <v/>
      </c>
      <c r="AM788">
        <f>IF($AL788="","",$AE788&amp;"|"&amp;RIGHT("000000"&amp;$AL788,6))</f>
        <v/>
      </c>
      <c r="AN788">
        <f>IF($AE788="","",IF(Sync!$W788="",0,Sync!$W788))</f>
        <v/>
      </c>
      <c r="AO788">
        <f>IF($AE788="","",IF(Sync!$X788="",0,Sync!$X788))</f>
        <v/>
      </c>
      <c r="AP788">
        <f>IF($AE788="","",Sync!$R788)</f>
        <v/>
      </c>
      <c r="AQ788">
        <f>IF($AE788="","",Sync!$Y788)</f>
        <v/>
      </c>
    </row>
    <row r="789">
      <c r="A789">
        <f>IF(OR(Wages!$B792="",Wages!$E792=""),"",Wages!$E792)</f>
        <v/>
      </c>
      <c r="B789">
        <f>IF($A789="","",IF(Wages!$C792="دستمزد گروهی",2,1))</f>
        <v/>
      </c>
      <c r="C789">
        <f>IF($A789="","",IF(ISNUMBER(Wages!$B792),IF(AND(Wages!$B792&gt;=10000101,Wages!$B792&lt;=99991231),INT(Wages!$B792/10000),""),IFERROR(VALUE(TRIM(LEFT(Wages!$B792,FIND("/",Wages!$B792)-1))),"")))</f>
        <v/>
      </c>
      <c r="D789">
        <f>IF(OR($A789="",$C789=""),"",IF(ISNUMBER(Wages!$B792),INT(MOD(Wages!$B792,10000)/100),IFERROR(VALUE(TRIM(LEFT(MID(Wages!$B792,FIND("/",Wages!$B792)+1,20),FIND("/",MID(Wages!$B792,FIND("/",Wages!$B792)+1,20))-1))),"")))</f>
        <v/>
      </c>
      <c r="E789">
        <f>IF(OR($A789="",$C789=""),"",IF(ISNUMBER(Wages!$B792),MOD(Wages!$B792,100),IFERROR(VALUE(TRIM(MID(MID(Wages!$B792,FIND("/",Wages!$B792)+1,20),FIND("/",MID(Wages!$B792,FIND("/",Wages!$B792)+1,20))+1,20))),"")))</f>
        <v/>
      </c>
      <c r="F789">
        <f>IF($A789="","",IF(OR($C789="",$D789="",$E789="",$C789&lt;1300,$C789&gt;1500,$D789&lt;1,$D789&gt;12,$E789&lt;1,$E789&gt;31),"نامعتبر",RIGHT("0000"&amp;$C789,4)&amp;"/"&amp;RIGHT("00"&amp;$D789,2)&amp;"/"&amp;RIGHT("00"&amp;$E789,2)))</f>
        <v/>
      </c>
      <c r="G789">
        <f>IF(OR($A789="",$F789="",$F789="نامعتبر"),"",LEFT($F789,4)&amp;MID($F789,6,2)&amp;RIGHT($F789,2)&amp;"0000"&amp;"|"&amp;"1"&amp;RIGHT("00000"&amp;784,5))</f>
        <v/>
      </c>
      <c r="H789">
        <f>IF(OR($B789&lt;&gt;1,$G789=""),"",COUNTIFS(LdAParty,$A789,LdAType,1,LdAKey,"&lt;"&amp;$G789)+COUNTIFS(LdBMember,$A789,LdBKey,"&lt;"&amp;$G789)+COUNTIFS(LdCParty,$A789,LdCKey,"&lt;"&amp;$G789)+1)</f>
        <v/>
      </c>
      <c r="I789">
        <f>IF($H789="","",$A789&amp;"|"&amp;RIGHT("000000"&amp;$H789,6))</f>
        <v/>
      </c>
      <c r="J789">
        <f>IF(OR($B789&lt;&gt;2,$G789=""),"",COUNTIFS(LdAParty,$A789,LdAType,2,LdAKey,"&lt;"&amp;$G789)+1)</f>
        <v/>
      </c>
      <c r="K789">
        <f>IF($J789="","",$A789&amp;"|"&amp;RIGHT("000000"&amp;$J789,6))</f>
        <v/>
      </c>
      <c r="L789">
        <f>IF($A789="","",IF(Wages!$G792="",0,Wages!$G792))</f>
        <v/>
      </c>
      <c r="M789">
        <f>IF($A789="","",Wages!$J792)</f>
        <v/>
      </c>
      <c r="N789">
        <f>IF($A789="","",Wages!$D792)</f>
        <v/>
      </c>
      <c r="P789">
        <f>IF(OR(Shares!$B792="",Shares!$C792=""),"",Shares!$C792)</f>
        <v/>
      </c>
      <c r="Q789">
        <f>IF($P789="","",Shares!$B792)</f>
        <v/>
      </c>
      <c r="R789">
        <f>IF($P789="","",IFERROR(INDEX(WageParty,MATCH($Q789,WageIds,0)),""))</f>
        <v/>
      </c>
      <c r="S789">
        <f>IF($P789="","",IFERROR(INDEX($F$6:$F$2005,MATCH($Q789,WageIds,0)),""))</f>
        <v/>
      </c>
      <c r="T789">
        <f>IF(OR($P789="",$S789="",$S789="نامعتبر"),"",LEFT($S789,4)&amp;MID($S789,6,2)&amp;RIGHT($S789,2)&amp;"0000"&amp;"|"&amp;"2"&amp;RIGHT("00000"&amp;784,5))</f>
        <v/>
      </c>
      <c r="U789">
        <f>IF($T789="","",COUNTIFS(LdAParty,$P789,LdAType,1,LdAKey,"&lt;"&amp;$T789)+COUNTIFS(LdBMember,$P789,LdBKey,"&lt;"&amp;$T789)+COUNTIFS(LdCParty,$P789,LdCKey,"&lt;"&amp;$T789)+1)</f>
        <v/>
      </c>
      <c r="V789">
        <f>IF($U789="","",$P789&amp;"|"&amp;RIGHT("000000"&amp;$U789,6))</f>
        <v/>
      </c>
      <c r="W789">
        <f>IF($T789="","",COUNTIFS(LdBGroup,$R789,LdBKey,"&lt;"&amp;$T789)+1)</f>
        <v/>
      </c>
      <c r="X789">
        <f>IF($W789="","",$R789&amp;"|"&amp;RIGHT("000000"&amp;$W789,6))</f>
        <v/>
      </c>
      <c r="Y789">
        <f>IF($P789="","",IF(Shares!$E792="",0,Shares!$E792))</f>
        <v/>
      </c>
      <c r="Z789">
        <f>IF($P789="","",Shares!$H792)</f>
        <v/>
      </c>
      <c r="AE789">
        <f>IF(OR(Sync!$S789="",Sync!$P789=""),"",Sync!$S789)</f>
        <v/>
      </c>
      <c r="AF789">
        <f>IF($AE789="","",IF(ISNUMBER(Sync!$P789),IF(AND(Sync!$P789&gt;=10000101,Sync!$P789&lt;=99991231),INT(Sync!$P789/10000),""),IFERROR(VALUE(TRIM(LEFT(Sync!$P789,FIND("/",Sync!$P789)-1))),"")))</f>
        <v/>
      </c>
      <c r="AG789">
        <f>IF(OR($AE789="",$AF789=""),"",IF(ISNUMBER(Sync!$P789),INT(MOD(Sync!$P789,10000)/100),IFERROR(VALUE(TRIM(LEFT(MID(Sync!$P789,FIND("/",Sync!$P789)+1,20),FIND("/",MID(Sync!$P789,FIND("/",Sync!$P789)+1,20))-1))),"")))</f>
        <v/>
      </c>
      <c r="AH789">
        <f>IF(OR($AE789="",$AF789=""),"",IF(ISNUMBER(Sync!$P789),MOD(Sync!$P789,100),IFERROR(VALUE(TRIM(MID(MID(Sync!$P789,FIND("/",Sync!$P789)+1,20),FIND("/",MID(Sync!$P789,FIND("/",Sync!$P789)+1,20))+1,20))),"")))</f>
        <v/>
      </c>
      <c r="AI789">
        <f>IF($AE789="","",IF(OR($AF789="",$AG789="",$AH789="",$AF789&lt;1300,$AF789&gt;1500,$AG789&lt;1,$AG789&gt;12,$AH789&lt;1,$AH789&gt;31),"نامعتبر",RIGHT("0000"&amp;$AF789,4)&amp;"/"&amp;RIGHT("00"&amp;$AG789,2)&amp;"/"&amp;RIGHT("00"&amp;$AH789,2)))</f>
        <v/>
      </c>
      <c r="AJ789">
        <f>IF($AE789="","",IF(Sync!$Q789="","0000",IF(AND(ISNUMBER(Sync!$Q789),Sync!$Q789&gt;=0,Sync!$Q789&lt;1),RIGHT("00"&amp;HOUR(Sync!$Q789),2)&amp;RIGHT("00"&amp;MINUTE(Sync!$Q789),2),IFERROR(RIGHT("00"&amp;VALUE(LEFT(Sync!$Q789,FIND(":",Sync!$Q789)-1)),2)&amp;RIGHT("00"&amp;VALUE(MID(Sync!$Q789,FIND(":",Sync!$Q789)+1,2)),2),"0000"))))</f>
        <v/>
      </c>
      <c r="AK789">
        <f>IF(OR($AE789="",$AI789="",$AI789="نامعتبر"),"",LEFT($AI789,4)&amp;MID($AI789,6,2)&amp;RIGHT($AI789,2)&amp;$AJ789&amp;"|"&amp;"3"&amp;RIGHT("00000"&amp;784,5))</f>
        <v/>
      </c>
      <c r="AL789">
        <f>IF($AK789="","",COUNTIFS(LdAParty,$AE789,LdAType,1,LdAKey,"&lt;"&amp;$AK789)+COUNTIFS(LdBMember,$AE789,LdBKey,"&lt;"&amp;$AK789)+COUNTIFS(LdCParty,$AE789,LdCKey,"&lt;"&amp;$AK789)+1)</f>
        <v/>
      </c>
      <c r="AM789">
        <f>IF($AL789="","",$AE789&amp;"|"&amp;RIGHT("000000"&amp;$AL789,6))</f>
        <v/>
      </c>
      <c r="AN789">
        <f>IF($AE789="","",IF(Sync!$W789="",0,Sync!$W789))</f>
        <v/>
      </c>
      <c r="AO789">
        <f>IF($AE789="","",IF(Sync!$X789="",0,Sync!$X789))</f>
        <v/>
      </c>
      <c r="AP789">
        <f>IF($AE789="","",Sync!$R789)</f>
        <v/>
      </c>
      <c r="AQ789">
        <f>IF($AE789="","",Sync!$Y789)</f>
        <v/>
      </c>
    </row>
    <row r="790">
      <c r="A790">
        <f>IF(OR(Wages!$B793="",Wages!$E793=""),"",Wages!$E793)</f>
        <v/>
      </c>
      <c r="B790">
        <f>IF($A790="","",IF(Wages!$C793="دستمزد گروهی",2,1))</f>
        <v/>
      </c>
      <c r="C790">
        <f>IF($A790="","",IF(ISNUMBER(Wages!$B793),IF(AND(Wages!$B793&gt;=10000101,Wages!$B793&lt;=99991231),INT(Wages!$B793/10000),""),IFERROR(VALUE(TRIM(LEFT(Wages!$B793,FIND("/",Wages!$B793)-1))),"")))</f>
        <v/>
      </c>
      <c r="D790">
        <f>IF(OR($A790="",$C790=""),"",IF(ISNUMBER(Wages!$B793),INT(MOD(Wages!$B793,10000)/100),IFERROR(VALUE(TRIM(LEFT(MID(Wages!$B793,FIND("/",Wages!$B793)+1,20),FIND("/",MID(Wages!$B793,FIND("/",Wages!$B793)+1,20))-1))),"")))</f>
        <v/>
      </c>
      <c r="E790">
        <f>IF(OR($A790="",$C790=""),"",IF(ISNUMBER(Wages!$B793),MOD(Wages!$B793,100),IFERROR(VALUE(TRIM(MID(MID(Wages!$B793,FIND("/",Wages!$B793)+1,20),FIND("/",MID(Wages!$B793,FIND("/",Wages!$B793)+1,20))+1,20))),"")))</f>
        <v/>
      </c>
      <c r="F790">
        <f>IF($A790="","",IF(OR($C790="",$D790="",$E790="",$C790&lt;1300,$C790&gt;1500,$D790&lt;1,$D790&gt;12,$E790&lt;1,$E790&gt;31),"نامعتبر",RIGHT("0000"&amp;$C790,4)&amp;"/"&amp;RIGHT("00"&amp;$D790,2)&amp;"/"&amp;RIGHT("00"&amp;$E790,2)))</f>
        <v/>
      </c>
      <c r="G790">
        <f>IF(OR($A790="",$F790="",$F790="نامعتبر"),"",LEFT($F790,4)&amp;MID($F790,6,2)&amp;RIGHT($F790,2)&amp;"0000"&amp;"|"&amp;"1"&amp;RIGHT("00000"&amp;785,5))</f>
        <v/>
      </c>
      <c r="H790">
        <f>IF(OR($B790&lt;&gt;1,$G790=""),"",COUNTIFS(LdAParty,$A790,LdAType,1,LdAKey,"&lt;"&amp;$G790)+COUNTIFS(LdBMember,$A790,LdBKey,"&lt;"&amp;$G790)+COUNTIFS(LdCParty,$A790,LdCKey,"&lt;"&amp;$G790)+1)</f>
        <v/>
      </c>
      <c r="I790">
        <f>IF($H790="","",$A790&amp;"|"&amp;RIGHT("000000"&amp;$H790,6))</f>
        <v/>
      </c>
      <c r="J790">
        <f>IF(OR($B790&lt;&gt;2,$G790=""),"",COUNTIFS(LdAParty,$A790,LdAType,2,LdAKey,"&lt;"&amp;$G790)+1)</f>
        <v/>
      </c>
      <c r="K790">
        <f>IF($J790="","",$A790&amp;"|"&amp;RIGHT("000000"&amp;$J790,6))</f>
        <v/>
      </c>
      <c r="L790">
        <f>IF($A790="","",IF(Wages!$G793="",0,Wages!$G793))</f>
        <v/>
      </c>
      <c r="M790">
        <f>IF($A790="","",Wages!$J793)</f>
        <v/>
      </c>
      <c r="N790">
        <f>IF($A790="","",Wages!$D793)</f>
        <v/>
      </c>
      <c r="P790">
        <f>IF(OR(Shares!$B793="",Shares!$C793=""),"",Shares!$C793)</f>
        <v/>
      </c>
      <c r="Q790">
        <f>IF($P790="","",Shares!$B793)</f>
        <v/>
      </c>
      <c r="R790">
        <f>IF($P790="","",IFERROR(INDEX(WageParty,MATCH($Q790,WageIds,0)),""))</f>
        <v/>
      </c>
      <c r="S790">
        <f>IF($P790="","",IFERROR(INDEX($F$6:$F$2005,MATCH($Q790,WageIds,0)),""))</f>
        <v/>
      </c>
      <c r="T790">
        <f>IF(OR($P790="",$S790="",$S790="نامعتبر"),"",LEFT($S790,4)&amp;MID($S790,6,2)&amp;RIGHT($S790,2)&amp;"0000"&amp;"|"&amp;"2"&amp;RIGHT("00000"&amp;785,5))</f>
        <v/>
      </c>
      <c r="U790">
        <f>IF($T790="","",COUNTIFS(LdAParty,$P790,LdAType,1,LdAKey,"&lt;"&amp;$T790)+COUNTIFS(LdBMember,$P790,LdBKey,"&lt;"&amp;$T790)+COUNTIFS(LdCParty,$P790,LdCKey,"&lt;"&amp;$T790)+1)</f>
        <v/>
      </c>
      <c r="V790">
        <f>IF($U790="","",$P790&amp;"|"&amp;RIGHT("000000"&amp;$U790,6))</f>
        <v/>
      </c>
      <c r="W790">
        <f>IF($T790="","",COUNTIFS(LdBGroup,$R790,LdBKey,"&lt;"&amp;$T790)+1)</f>
        <v/>
      </c>
      <c r="X790">
        <f>IF($W790="","",$R790&amp;"|"&amp;RIGHT("000000"&amp;$W790,6))</f>
        <v/>
      </c>
      <c r="Y790">
        <f>IF($P790="","",IF(Shares!$E793="",0,Shares!$E793))</f>
        <v/>
      </c>
      <c r="Z790">
        <f>IF($P790="","",Shares!$H793)</f>
        <v/>
      </c>
      <c r="AE790">
        <f>IF(OR(Sync!$S790="",Sync!$P790=""),"",Sync!$S790)</f>
        <v/>
      </c>
      <c r="AF790">
        <f>IF($AE790="","",IF(ISNUMBER(Sync!$P790),IF(AND(Sync!$P790&gt;=10000101,Sync!$P790&lt;=99991231),INT(Sync!$P790/10000),""),IFERROR(VALUE(TRIM(LEFT(Sync!$P790,FIND("/",Sync!$P790)-1))),"")))</f>
        <v/>
      </c>
      <c r="AG790">
        <f>IF(OR($AE790="",$AF790=""),"",IF(ISNUMBER(Sync!$P790),INT(MOD(Sync!$P790,10000)/100),IFERROR(VALUE(TRIM(LEFT(MID(Sync!$P790,FIND("/",Sync!$P790)+1,20),FIND("/",MID(Sync!$P790,FIND("/",Sync!$P790)+1,20))-1))),"")))</f>
        <v/>
      </c>
      <c r="AH790">
        <f>IF(OR($AE790="",$AF790=""),"",IF(ISNUMBER(Sync!$P790),MOD(Sync!$P790,100),IFERROR(VALUE(TRIM(MID(MID(Sync!$P790,FIND("/",Sync!$P790)+1,20),FIND("/",MID(Sync!$P790,FIND("/",Sync!$P790)+1,20))+1,20))),"")))</f>
        <v/>
      </c>
      <c r="AI790">
        <f>IF($AE790="","",IF(OR($AF790="",$AG790="",$AH790="",$AF790&lt;1300,$AF790&gt;1500,$AG790&lt;1,$AG790&gt;12,$AH790&lt;1,$AH790&gt;31),"نامعتبر",RIGHT("0000"&amp;$AF790,4)&amp;"/"&amp;RIGHT("00"&amp;$AG790,2)&amp;"/"&amp;RIGHT("00"&amp;$AH790,2)))</f>
        <v/>
      </c>
      <c r="AJ790">
        <f>IF($AE790="","",IF(Sync!$Q790="","0000",IF(AND(ISNUMBER(Sync!$Q790),Sync!$Q790&gt;=0,Sync!$Q790&lt;1),RIGHT("00"&amp;HOUR(Sync!$Q790),2)&amp;RIGHT("00"&amp;MINUTE(Sync!$Q790),2),IFERROR(RIGHT("00"&amp;VALUE(LEFT(Sync!$Q790,FIND(":",Sync!$Q790)-1)),2)&amp;RIGHT("00"&amp;VALUE(MID(Sync!$Q790,FIND(":",Sync!$Q790)+1,2)),2),"0000"))))</f>
        <v/>
      </c>
      <c r="AK790">
        <f>IF(OR($AE790="",$AI790="",$AI790="نامعتبر"),"",LEFT($AI790,4)&amp;MID($AI790,6,2)&amp;RIGHT($AI790,2)&amp;$AJ790&amp;"|"&amp;"3"&amp;RIGHT("00000"&amp;785,5))</f>
        <v/>
      </c>
      <c r="AL790">
        <f>IF($AK790="","",COUNTIFS(LdAParty,$AE790,LdAType,1,LdAKey,"&lt;"&amp;$AK790)+COUNTIFS(LdBMember,$AE790,LdBKey,"&lt;"&amp;$AK790)+COUNTIFS(LdCParty,$AE790,LdCKey,"&lt;"&amp;$AK790)+1)</f>
        <v/>
      </c>
      <c r="AM790">
        <f>IF($AL790="","",$AE790&amp;"|"&amp;RIGHT("000000"&amp;$AL790,6))</f>
        <v/>
      </c>
      <c r="AN790">
        <f>IF($AE790="","",IF(Sync!$W790="",0,Sync!$W790))</f>
        <v/>
      </c>
      <c r="AO790">
        <f>IF($AE790="","",IF(Sync!$X790="",0,Sync!$X790))</f>
        <v/>
      </c>
      <c r="AP790">
        <f>IF($AE790="","",Sync!$R790)</f>
        <v/>
      </c>
      <c r="AQ790">
        <f>IF($AE790="","",Sync!$Y790)</f>
        <v/>
      </c>
    </row>
    <row r="791">
      <c r="A791">
        <f>IF(OR(Wages!$B794="",Wages!$E794=""),"",Wages!$E794)</f>
        <v/>
      </c>
      <c r="B791">
        <f>IF($A791="","",IF(Wages!$C794="دستمزد گروهی",2,1))</f>
        <v/>
      </c>
      <c r="C791">
        <f>IF($A791="","",IF(ISNUMBER(Wages!$B794),IF(AND(Wages!$B794&gt;=10000101,Wages!$B794&lt;=99991231),INT(Wages!$B794/10000),""),IFERROR(VALUE(TRIM(LEFT(Wages!$B794,FIND("/",Wages!$B794)-1))),"")))</f>
        <v/>
      </c>
      <c r="D791">
        <f>IF(OR($A791="",$C791=""),"",IF(ISNUMBER(Wages!$B794),INT(MOD(Wages!$B794,10000)/100),IFERROR(VALUE(TRIM(LEFT(MID(Wages!$B794,FIND("/",Wages!$B794)+1,20),FIND("/",MID(Wages!$B794,FIND("/",Wages!$B794)+1,20))-1))),"")))</f>
        <v/>
      </c>
      <c r="E791">
        <f>IF(OR($A791="",$C791=""),"",IF(ISNUMBER(Wages!$B794),MOD(Wages!$B794,100),IFERROR(VALUE(TRIM(MID(MID(Wages!$B794,FIND("/",Wages!$B794)+1,20),FIND("/",MID(Wages!$B794,FIND("/",Wages!$B794)+1,20))+1,20))),"")))</f>
        <v/>
      </c>
      <c r="F791">
        <f>IF($A791="","",IF(OR($C791="",$D791="",$E791="",$C791&lt;1300,$C791&gt;1500,$D791&lt;1,$D791&gt;12,$E791&lt;1,$E791&gt;31),"نامعتبر",RIGHT("0000"&amp;$C791,4)&amp;"/"&amp;RIGHT("00"&amp;$D791,2)&amp;"/"&amp;RIGHT("00"&amp;$E791,2)))</f>
        <v/>
      </c>
      <c r="G791">
        <f>IF(OR($A791="",$F791="",$F791="نامعتبر"),"",LEFT($F791,4)&amp;MID($F791,6,2)&amp;RIGHT($F791,2)&amp;"0000"&amp;"|"&amp;"1"&amp;RIGHT("00000"&amp;786,5))</f>
        <v/>
      </c>
      <c r="H791">
        <f>IF(OR($B791&lt;&gt;1,$G791=""),"",COUNTIFS(LdAParty,$A791,LdAType,1,LdAKey,"&lt;"&amp;$G791)+COUNTIFS(LdBMember,$A791,LdBKey,"&lt;"&amp;$G791)+COUNTIFS(LdCParty,$A791,LdCKey,"&lt;"&amp;$G791)+1)</f>
        <v/>
      </c>
      <c r="I791">
        <f>IF($H791="","",$A791&amp;"|"&amp;RIGHT("000000"&amp;$H791,6))</f>
        <v/>
      </c>
      <c r="J791">
        <f>IF(OR($B791&lt;&gt;2,$G791=""),"",COUNTIFS(LdAParty,$A791,LdAType,2,LdAKey,"&lt;"&amp;$G791)+1)</f>
        <v/>
      </c>
      <c r="K791">
        <f>IF($J791="","",$A791&amp;"|"&amp;RIGHT("000000"&amp;$J791,6))</f>
        <v/>
      </c>
      <c r="L791">
        <f>IF($A791="","",IF(Wages!$G794="",0,Wages!$G794))</f>
        <v/>
      </c>
      <c r="M791">
        <f>IF($A791="","",Wages!$J794)</f>
        <v/>
      </c>
      <c r="N791">
        <f>IF($A791="","",Wages!$D794)</f>
        <v/>
      </c>
      <c r="P791">
        <f>IF(OR(Shares!$B794="",Shares!$C794=""),"",Shares!$C794)</f>
        <v/>
      </c>
      <c r="Q791">
        <f>IF($P791="","",Shares!$B794)</f>
        <v/>
      </c>
      <c r="R791">
        <f>IF($P791="","",IFERROR(INDEX(WageParty,MATCH($Q791,WageIds,0)),""))</f>
        <v/>
      </c>
      <c r="S791">
        <f>IF($P791="","",IFERROR(INDEX($F$6:$F$2005,MATCH($Q791,WageIds,0)),""))</f>
        <v/>
      </c>
      <c r="T791">
        <f>IF(OR($P791="",$S791="",$S791="نامعتبر"),"",LEFT($S791,4)&amp;MID($S791,6,2)&amp;RIGHT($S791,2)&amp;"0000"&amp;"|"&amp;"2"&amp;RIGHT("00000"&amp;786,5))</f>
        <v/>
      </c>
      <c r="U791">
        <f>IF($T791="","",COUNTIFS(LdAParty,$P791,LdAType,1,LdAKey,"&lt;"&amp;$T791)+COUNTIFS(LdBMember,$P791,LdBKey,"&lt;"&amp;$T791)+COUNTIFS(LdCParty,$P791,LdCKey,"&lt;"&amp;$T791)+1)</f>
        <v/>
      </c>
      <c r="V791">
        <f>IF($U791="","",$P791&amp;"|"&amp;RIGHT("000000"&amp;$U791,6))</f>
        <v/>
      </c>
      <c r="W791">
        <f>IF($T791="","",COUNTIFS(LdBGroup,$R791,LdBKey,"&lt;"&amp;$T791)+1)</f>
        <v/>
      </c>
      <c r="X791">
        <f>IF($W791="","",$R791&amp;"|"&amp;RIGHT("000000"&amp;$W791,6))</f>
        <v/>
      </c>
      <c r="Y791">
        <f>IF($P791="","",IF(Shares!$E794="",0,Shares!$E794))</f>
        <v/>
      </c>
      <c r="Z791">
        <f>IF($P791="","",Shares!$H794)</f>
        <v/>
      </c>
      <c r="AE791">
        <f>IF(OR(Sync!$S791="",Sync!$P791=""),"",Sync!$S791)</f>
        <v/>
      </c>
      <c r="AF791">
        <f>IF($AE791="","",IF(ISNUMBER(Sync!$P791),IF(AND(Sync!$P791&gt;=10000101,Sync!$P791&lt;=99991231),INT(Sync!$P791/10000),""),IFERROR(VALUE(TRIM(LEFT(Sync!$P791,FIND("/",Sync!$P791)-1))),"")))</f>
        <v/>
      </c>
      <c r="AG791">
        <f>IF(OR($AE791="",$AF791=""),"",IF(ISNUMBER(Sync!$P791),INT(MOD(Sync!$P791,10000)/100),IFERROR(VALUE(TRIM(LEFT(MID(Sync!$P791,FIND("/",Sync!$P791)+1,20),FIND("/",MID(Sync!$P791,FIND("/",Sync!$P791)+1,20))-1))),"")))</f>
        <v/>
      </c>
      <c r="AH791">
        <f>IF(OR($AE791="",$AF791=""),"",IF(ISNUMBER(Sync!$P791),MOD(Sync!$P791,100),IFERROR(VALUE(TRIM(MID(MID(Sync!$P791,FIND("/",Sync!$P791)+1,20),FIND("/",MID(Sync!$P791,FIND("/",Sync!$P791)+1,20))+1,20))),"")))</f>
        <v/>
      </c>
      <c r="AI791">
        <f>IF($AE791="","",IF(OR($AF791="",$AG791="",$AH791="",$AF791&lt;1300,$AF791&gt;1500,$AG791&lt;1,$AG791&gt;12,$AH791&lt;1,$AH791&gt;31),"نامعتبر",RIGHT("0000"&amp;$AF791,4)&amp;"/"&amp;RIGHT("00"&amp;$AG791,2)&amp;"/"&amp;RIGHT("00"&amp;$AH791,2)))</f>
        <v/>
      </c>
      <c r="AJ791">
        <f>IF($AE791="","",IF(Sync!$Q791="","0000",IF(AND(ISNUMBER(Sync!$Q791),Sync!$Q791&gt;=0,Sync!$Q791&lt;1),RIGHT("00"&amp;HOUR(Sync!$Q791),2)&amp;RIGHT("00"&amp;MINUTE(Sync!$Q791),2),IFERROR(RIGHT("00"&amp;VALUE(LEFT(Sync!$Q791,FIND(":",Sync!$Q791)-1)),2)&amp;RIGHT("00"&amp;VALUE(MID(Sync!$Q791,FIND(":",Sync!$Q791)+1,2)),2),"0000"))))</f>
        <v/>
      </c>
      <c r="AK791">
        <f>IF(OR($AE791="",$AI791="",$AI791="نامعتبر"),"",LEFT($AI791,4)&amp;MID($AI791,6,2)&amp;RIGHT($AI791,2)&amp;$AJ791&amp;"|"&amp;"3"&amp;RIGHT("00000"&amp;786,5))</f>
        <v/>
      </c>
      <c r="AL791">
        <f>IF($AK791="","",COUNTIFS(LdAParty,$AE791,LdAType,1,LdAKey,"&lt;"&amp;$AK791)+COUNTIFS(LdBMember,$AE791,LdBKey,"&lt;"&amp;$AK791)+COUNTIFS(LdCParty,$AE791,LdCKey,"&lt;"&amp;$AK791)+1)</f>
        <v/>
      </c>
      <c r="AM791">
        <f>IF($AL791="","",$AE791&amp;"|"&amp;RIGHT("000000"&amp;$AL791,6))</f>
        <v/>
      </c>
      <c r="AN791">
        <f>IF($AE791="","",IF(Sync!$W791="",0,Sync!$W791))</f>
        <v/>
      </c>
      <c r="AO791">
        <f>IF($AE791="","",IF(Sync!$X791="",0,Sync!$X791))</f>
        <v/>
      </c>
      <c r="AP791">
        <f>IF($AE791="","",Sync!$R791)</f>
        <v/>
      </c>
      <c r="AQ791">
        <f>IF($AE791="","",Sync!$Y791)</f>
        <v/>
      </c>
    </row>
    <row r="792">
      <c r="A792">
        <f>IF(OR(Wages!$B795="",Wages!$E795=""),"",Wages!$E795)</f>
        <v/>
      </c>
      <c r="B792">
        <f>IF($A792="","",IF(Wages!$C795="دستمزد گروهی",2,1))</f>
        <v/>
      </c>
      <c r="C792">
        <f>IF($A792="","",IF(ISNUMBER(Wages!$B795),IF(AND(Wages!$B795&gt;=10000101,Wages!$B795&lt;=99991231),INT(Wages!$B795/10000),""),IFERROR(VALUE(TRIM(LEFT(Wages!$B795,FIND("/",Wages!$B795)-1))),"")))</f>
        <v/>
      </c>
      <c r="D792">
        <f>IF(OR($A792="",$C792=""),"",IF(ISNUMBER(Wages!$B795),INT(MOD(Wages!$B795,10000)/100),IFERROR(VALUE(TRIM(LEFT(MID(Wages!$B795,FIND("/",Wages!$B795)+1,20),FIND("/",MID(Wages!$B795,FIND("/",Wages!$B795)+1,20))-1))),"")))</f>
        <v/>
      </c>
      <c r="E792">
        <f>IF(OR($A792="",$C792=""),"",IF(ISNUMBER(Wages!$B795),MOD(Wages!$B795,100),IFERROR(VALUE(TRIM(MID(MID(Wages!$B795,FIND("/",Wages!$B795)+1,20),FIND("/",MID(Wages!$B795,FIND("/",Wages!$B795)+1,20))+1,20))),"")))</f>
        <v/>
      </c>
      <c r="F792">
        <f>IF($A792="","",IF(OR($C792="",$D792="",$E792="",$C792&lt;1300,$C792&gt;1500,$D792&lt;1,$D792&gt;12,$E792&lt;1,$E792&gt;31),"نامعتبر",RIGHT("0000"&amp;$C792,4)&amp;"/"&amp;RIGHT("00"&amp;$D792,2)&amp;"/"&amp;RIGHT("00"&amp;$E792,2)))</f>
        <v/>
      </c>
      <c r="G792">
        <f>IF(OR($A792="",$F792="",$F792="نامعتبر"),"",LEFT($F792,4)&amp;MID($F792,6,2)&amp;RIGHT($F792,2)&amp;"0000"&amp;"|"&amp;"1"&amp;RIGHT("00000"&amp;787,5))</f>
        <v/>
      </c>
      <c r="H792">
        <f>IF(OR($B792&lt;&gt;1,$G792=""),"",COUNTIFS(LdAParty,$A792,LdAType,1,LdAKey,"&lt;"&amp;$G792)+COUNTIFS(LdBMember,$A792,LdBKey,"&lt;"&amp;$G792)+COUNTIFS(LdCParty,$A792,LdCKey,"&lt;"&amp;$G792)+1)</f>
        <v/>
      </c>
      <c r="I792">
        <f>IF($H792="","",$A792&amp;"|"&amp;RIGHT("000000"&amp;$H792,6))</f>
        <v/>
      </c>
      <c r="J792">
        <f>IF(OR($B792&lt;&gt;2,$G792=""),"",COUNTIFS(LdAParty,$A792,LdAType,2,LdAKey,"&lt;"&amp;$G792)+1)</f>
        <v/>
      </c>
      <c r="K792">
        <f>IF($J792="","",$A792&amp;"|"&amp;RIGHT("000000"&amp;$J792,6))</f>
        <v/>
      </c>
      <c r="L792">
        <f>IF($A792="","",IF(Wages!$G795="",0,Wages!$G795))</f>
        <v/>
      </c>
      <c r="M792">
        <f>IF($A792="","",Wages!$J795)</f>
        <v/>
      </c>
      <c r="N792">
        <f>IF($A792="","",Wages!$D795)</f>
        <v/>
      </c>
      <c r="P792">
        <f>IF(OR(Shares!$B795="",Shares!$C795=""),"",Shares!$C795)</f>
        <v/>
      </c>
      <c r="Q792">
        <f>IF($P792="","",Shares!$B795)</f>
        <v/>
      </c>
      <c r="R792">
        <f>IF($P792="","",IFERROR(INDEX(WageParty,MATCH($Q792,WageIds,0)),""))</f>
        <v/>
      </c>
      <c r="S792">
        <f>IF($P792="","",IFERROR(INDEX($F$6:$F$2005,MATCH($Q792,WageIds,0)),""))</f>
        <v/>
      </c>
      <c r="T792">
        <f>IF(OR($P792="",$S792="",$S792="نامعتبر"),"",LEFT($S792,4)&amp;MID($S792,6,2)&amp;RIGHT($S792,2)&amp;"0000"&amp;"|"&amp;"2"&amp;RIGHT("00000"&amp;787,5))</f>
        <v/>
      </c>
      <c r="U792">
        <f>IF($T792="","",COUNTIFS(LdAParty,$P792,LdAType,1,LdAKey,"&lt;"&amp;$T792)+COUNTIFS(LdBMember,$P792,LdBKey,"&lt;"&amp;$T792)+COUNTIFS(LdCParty,$P792,LdCKey,"&lt;"&amp;$T792)+1)</f>
        <v/>
      </c>
      <c r="V792">
        <f>IF($U792="","",$P792&amp;"|"&amp;RIGHT("000000"&amp;$U792,6))</f>
        <v/>
      </c>
      <c r="W792">
        <f>IF($T792="","",COUNTIFS(LdBGroup,$R792,LdBKey,"&lt;"&amp;$T792)+1)</f>
        <v/>
      </c>
      <c r="X792">
        <f>IF($W792="","",$R792&amp;"|"&amp;RIGHT("000000"&amp;$W792,6))</f>
        <v/>
      </c>
      <c r="Y792">
        <f>IF($P792="","",IF(Shares!$E795="",0,Shares!$E795))</f>
        <v/>
      </c>
      <c r="Z792">
        <f>IF($P792="","",Shares!$H795)</f>
        <v/>
      </c>
      <c r="AE792">
        <f>IF(OR(Sync!$S792="",Sync!$P792=""),"",Sync!$S792)</f>
        <v/>
      </c>
      <c r="AF792">
        <f>IF($AE792="","",IF(ISNUMBER(Sync!$P792),IF(AND(Sync!$P792&gt;=10000101,Sync!$P792&lt;=99991231),INT(Sync!$P792/10000),""),IFERROR(VALUE(TRIM(LEFT(Sync!$P792,FIND("/",Sync!$P792)-1))),"")))</f>
        <v/>
      </c>
      <c r="AG792">
        <f>IF(OR($AE792="",$AF792=""),"",IF(ISNUMBER(Sync!$P792),INT(MOD(Sync!$P792,10000)/100),IFERROR(VALUE(TRIM(LEFT(MID(Sync!$P792,FIND("/",Sync!$P792)+1,20),FIND("/",MID(Sync!$P792,FIND("/",Sync!$P792)+1,20))-1))),"")))</f>
        <v/>
      </c>
      <c r="AH792">
        <f>IF(OR($AE792="",$AF792=""),"",IF(ISNUMBER(Sync!$P792),MOD(Sync!$P792,100),IFERROR(VALUE(TRIM(MID(MID(Sync!$P792,FIND("/",Sync!$P792)+1,20),FIND("/",MID(Sync!$P792,FIND("/",Sync!$P792)+1,20))+1,20))),"")))</f>
        <v/>
      </c>
      <c r="AI792">
        <f>IF($AE792="","",IF(OR($AF792="",$AG792="",$AH792="",$AF792&lt;1300,$AF792&gt;1500,$AG792&lt;1,$AG792&gt;12,$AH792&lt;1,$AH792&gt;31),"نامعتبر",RIGHT("0000"&amp;$AF792,4)&amp;"/"&amp;RIGHT("00"&amp;$AG792,2)&amp;"/"&amp;RIGHT("00"&amp;$AH792,2)))</f>
        <v/>
      </c>
      <c r="AJ792">
        <f>IF($AE792="","",IF(Sync!$Q792="","0000",IF(AND(ISNUMBER(Sync!$Q792),Sync!$Q792&gt;=0,Sync!$Q792&lt;1),RIGHT("00"&amp;HOUR(Sync!$Q792),2)&amp;RIGHT("00"&amp;MINUTE(Sync!$Q792),2),IFERROR(RIGHT("00"&amp;VALUE(LEFT(Sync!$Q792,FIND(":",Sync!$Q792)-1)),2)&amp;RIGHT("00"&amp;VALUE(MID(Sync!$Q792,FIND(":",Sync!$Q792)+1,2)),2),"0000"))))</f>
        <v/>
      </c>
      <c r="AK792">
        <f>IF(OR($AE792="",$AI792="",$AI792="نامعتبر"),"",LEFT($AI792,4)&amp;MID($AI792,6,2)&amp;RIGHT($AI792,2)&amp;$AJ792&amp;"|"&amp;"3"&amp;RIGHT("00000"&amp;787,5))</f>
        <v/>
      </c>
      <c r="AL792">
        <f>IF($AK792="","",COUNTIFS(LdAParty,$AE792,LdAType,1,LdAKey,"&lt;"&amp;$AK792)+COUNTIFS(LdBMember,$AE792,LdBKey,"&lt;"&amp;$AK792)+COUNTIFS(LdCParty,$AE792,LdCKey,"&lt;"&amp;$AK792)+1)</f>
        <v/>
      </c>
      <c r="AM792">
        <f>IF($AL792="","",$AE792&amp;"|"&amp;RIGHT("000000"&amp;$AL792,6))</f>
        <v/>
      </c>
      <c r="AN792">
        <f>IF($AE792="","",IF(Sync!$W792="",0,Sync!$W792))</f>
        <v/>
      </c>
      <c r="AO792">
        <f>IF($AE792="","",IF(Sync!$X792="",0,Sync!$X792))</f>
        <v/>
      </c>
      <c r="AP792">
        <f>IF($AE792="","",Sync!$R792)</f>
        <v/>
      </c>
      <c r="AQ792">
        <f>IF($AE792="","",Sync!$Y792)</f>
        <v/>
      </c>
    </row>
    <row r="793">
      <c r="A793">
        <f>IF(OR(Wages!$B796="",Wages!$E796=""),"",Wages!$E796)</f>
        <v/>
      </c>
      <c r="B793">
        <f>IF($A793="","",IF(Wages!$C796="دستمزد گروهی",2,1))</f>
        <v/>
      </c>
      <c r="C793">
        <f>IF($A793="","",IF(ISNUMBER(Wages!$B796),IF(AND(Wages!$B796&gt;=10000101,Wages!$B796&lt;=99991231),INT(Wages!$B796/10000),""),IFERROR(VALUE(TRIM(LEFT(Wages!$B796,FIND("/",Wages!$B796)-1))),"")))</f>
        <v/>
      </c>
      <c r="D793">
        <f>IF(OR($A793="",$C793=""),"",IF(ISNUMBER(Wages!$B796),INT(MOD(Wages!$B796,10000)/100),IFERROR(VALUE(TRIM(LEFT(MID(Wages!$B796,FIND("/",Wages!$B796)+1,20),FIND("/",MID(Wages!$B796,FIND("/",Wages!$B796)+1,20))-1))),"")))</f>
        <v/>
      </c>
      <c r="E793">
        <f>IF(OR($A793="",$C793=""),"",IF(ISNUMBER(Wages!$B796),MOD(Wages!$B796,100),IFERROR(VALUE(TRIM(MID(MID(Wages!$B796,FIND("/",Wages!$B796)+1,20),FIND("/",MID(Wages!$B796,FIND("/",Wages!$B796)+1,20))+1,20))),"")))</f>
        <v/>
      </c>
      <c r="F793">
        <f>IF($A793="","",IF(OR($C793="",$D793="",$E793="",$C793&lt;1300,$C793&gt;1500,$D793&lt;1,$D793&gt;12,$E793&lt;1,$E793&gt;31),"نامعتبر",RIGHT("0000"&amp;$C793,4)&amp;"/"&amp;RIGHT("00"&amp;$D793,2)&amp;"/"&amp;RIGHT("00"&amp;$E793,2)))</f>
        <v/>
      </c>
      <c r="G793">
        <f>IF(OR($A793="",$F793="",$F793="نامعتبر"),"",LEFT($F793,4)&amp;MID($F793,6,2)&amp;RIGHT($F793,2)&amp;"0000"&amp;"|"&amp;"1"&amp;RIGHT("00000"&amp;788,5))</f>
        <v/>
      </c>
      <c r="H793">
        <f>IF(OR($B793&lt;&gt;1,$G793=""),"",COUNTIFS(LdAParty,$A793,LdAType,1,LdAKey,"&lt;"&amp;$G793)+COUNTIFS(LdBMember,$A793,LdBKey,"&lt;"&amp;$G793)+COUNTIFS(LdCParty,$A793,LdCKey,"&lt;"&amp;$G793)+1)</f>
        <v/>
      </c>
      <c r="I793">
        <f>IF($H793="","",$A793&amp;"|"&amp;RIGHT("000000"&amp;$H793,6))</f>
        <v/>
      </c>
      <c r="J793">
        <f>IF(OR($B793&lt;&gt;2,$G793=""),"",COUNTIFS(LdAParty,$A793,LdAType,2,LdAKey,"&lt;"&amp;$G793)+1)</f>
        <v/>
      </c>
      <c r="K793">
        <f>IF($J793="","",$A793&amp;"|"&amp;RIGHT("000000"&amp;$J793,6))</f>
        <v/>
      </c>
      <c r="L793">
        <f>IF($A793="","",IF(Wages!$G796="",0,Wages!$G796))</f>
        <v/>
      </c>
      <c r="M793">
        <f>IF($A793="","",Wages!$J796)</f>
        <v/>
      </c>
      <c r="N793">
        <f>IF($A793="","",Wages!$D796)</f>
        <v/>
      </c>
      <c r="P793">
        <f>IF(OR(Shares!$B796="",Shares!$C796=""),"",Shares!$C796)</f>
        <v/>
      </c>
      <c r="Q793">
        <f>IF($P793="","",Shares!$B796)</f>
        <v/>
      </c>
      <c r="R793">
        <f>IF($P793="","",IFERROR(INDEX(WageParty,MATCH($Q793,WageIds,0)),""))</f>
        <v/>
      </c>
      <c r="S793">
        <f>IF($P793="","",IFERROR(INDEX($F$6:$F$2005,MATCH($Q793,WageIds,0)),""))</f>
        <v/>
      </c>
      <c r="T793">
        <f>IF(OR($P793="",$S793="",$S793="نامعتبر"),"",LEFT($S793,4)&amp;MID($S793,6,2)&amp;RIGHT($S793,2)&amp;"0000"&amp;"|"&amp;"2"&amp;RIGHT("00000"&amp;788,5))</f>
        <v/>
      </c>
      <c r="U793">
        <f>IF($T793="","",COUNTIFS(LdAParty,$P793,LdAType,1,LdAKey,"&lt;"&amp;$T793)+COUNTIFS(LdBMember,$P793,LdBKey,"&lt;"&amp;$T793)+COUNTIFS(LdCParty,$P793,LdCKey,"&lt;"&amp;$T793)+1)</f>
        <v/>
      </c>
      <c r="V793">
        <f>IF($U793="","",$P793&amp;"|"&amp;RIGHT("000000"&amp;$U793,6))</f>
        <v/>
      </c>
      <c r="W793">
        <f>IF($T793="","",COUNTIFS(LdBGroup,$R793,LdBKey,"&lt;"&amp;$T793)+1)</f>
        <v/>
      </c>
      <c r="X793">
        <f>IF($W793="","",$R793&amp;"|"&amp;RIGHT("000000"&amp;$W793,6))</f>
        <v/>
      </c>
      <c r="Y793">
        <f>IF($P793="","",IF(Shares!$E796="",0,Shares!$E796))</f>
        <v/>
      </c>
      <c r="Z793">
        <f>IF($P793="","",Shares!$H796)</f>
        <v/>
      </c>
      <c r="AE793">
        <f>IF(OR(Sync!$S793="",Sync!$P793=""),"",Sync!$S793)</f>
        <v/>
      </c>
      <c r="AF793">
        <f>IF($AE793="","",IF(ISNUMBER(Sync!$P793),IF(AND(Sync!$P793&gt;=10000101,Sync!$P793&lt;=99991231),INT(Sync!$P793/10000),""),IFERROR(VALUE(TRIM(LEFT(Sync!$P793,FIND("/",Sync!$P793)-1))),"")))</f>
        <v/>
      </c>
      <c r="AG793">
        <f>IF(OR($AE793="",$AF793=""),"",IF(ISNUMBER(Sync!$P793),INT(MOD(Sync!$P793,10000)/100),IFERROR(VALUE(TRIM(LEFT(MID(Sync!$P793,FIND("/",Sync!$P793)+1,20),FIND("/",MID(Sync!$P793,FIND("/",Sync!$P793)+1,20))-1))),"")))</f>
        <v/>
      </c>
      <c r="AH793">
        <f>IF(OR($AE793="",$AF793=""),"",IF(ISNUMBER(Sync!$P793),MOD(Sync!$P793,100),IFERROR(VALUE(TRIM(MID(MID(Sync!$P793,FIND("/",Sync!$P793)+1,20),FIND("/",MID(Sync!$P793,FIND("/",Sync!$P793)+1,20))+1,20))),"")))</f>
        <v/>
      </c>
      <c r="AI793">
        <f>IF($AE793="","",IF(OR($AF793="",$AG793="",$AH793="",$AF793&lt;1300,$AF793&gt;1500,$AG793&lt;1,$AG793&gt;12,$AH793&lt;1,$AH793&gt;31),"نامعتبر",RIGHT("0000"&amp;$AF793,4)&amp;"/"&amp;RIGHT("00"&amp;$AG793,2)&amp;"/"&amp;RIGHT("00"&amp;$AH793,2)))</f>
        <v/>
      </c>
      <c r="AJ793">
        <f>IF($AE793="","",IF(Sync!$Q793="","0000",IF(AND(ISNUMBER(Sync!$Q793),Sync!$Q793&gt;=0,Sync!$Q793&lt;1),RIGHT("00"&amp;HOUR(Sync!$Q793),2)&amp;RIGHT("00"&amp;MINUTE(Sync!$Q793),2),IFERROR(RIGHT("00"&amp;VALUE(LEFT(Sync!$Q793,FIND(":",Sync!$Q793)-1)),2)&amp;RIGHT("00"&amp;VALUE(MID(Sync!$Q793,FIND(":",Sync!$Q793)+1,2)),2),"0000"))))</f>
        <v/>
      </c>
      <c r="AK793">
        <f>IF(OR($AE793="",$AI793="",$AI793="نامعتبر"),"",LEFT($AI793,4)&amp;MID($AI793,6,2)&amp;RIGHT($AI793,2)&amp;$AJ793&amp;"|"&amp;"3"&amp;RIGHT("00000"&amp;788,5))</f>
        <v/>
      </c>
      <c r="AL793">
        <f>IF($AK793="","",COUNTIFS(LdAParty,$AE793,LdAType,1,LdAKey,"&lt;"&amp;$AK793)+COUNTIFS(LdBMember,$AE793,LdBKey,"&lt;"&amp;$AK793)+COUNTIFS(LdCParty,$AE793,LdCKey,"&lt;"&amp;$AK793)+1)</f>
        <v/>
      </c>
      <c r="AM793">
        <f>IF($AL793="","",$AE793&amp;"|"&amp;RIGHT("000000"&amp;$AL793,6))</f>
        <v/>
      </c>
      <c r="AN793">
        <f>IF($AE793="","",IF(Sync!$W793="",0,Sync!$W793))</f>
        <v/>
      </c>
      <c r="AO793">
        <f>IF($AE793="","",IF(Sync!$X793="",0,Sync!$X793))</f>
        <v/>
      </c>
      <c r="AP793">
        <f>IF($AE793="","",Sync!$R793)</f>
        <v/>
      </c>
      <c r="AQ793">
        <f>IF($AE793="","",Sync!$Y793)</f>
        <v/>
      </c>
    </row>
    <row r="794">
      <c r="A794">
        <f>IF(OR(Wages!$B797="",Wages!$E797=""),"",Wages!$E797)</f>
        <v/>
      </c>
      <c r="B794">
        <f>IF($A794="","",IF(Wages!$C797="دستمزد گروهی",2,1))</f>
        <v/>
      </c>
      <c r="C794">
        <f>IF($A794="","",IF(ISNUMBER(Wages!$B797),IF(AND(Wages!$B797&gt;=10000101,Wages!$B797&lt;=99991231),INT(Wages!$B797/10000),""),IFERROR(VALUE(TRIM(LEFT(Wages!$B797,FIND("/",Wages!$B797)-1))),"")))</f>
        <v/>
      </c>
      <c r="D794">
        <f>IF(OR($A794="",$C794=""),"",IF(ISNUMBER(Wages!$B797),INT(MOD(Wages!$B797,10000)/100),IFERROR(VALUE(TRIM(LEFT(MID(Wages!$B797,FIND("/",Wages!$B797)+1,20),FIND("/",MID(Wages!$B797,FIND("/",Wages!$B797)+1,20))-1))),"")))</f>
        <v/>
      </c>
      <c r="E794">
        <f>IF(OR($A794="",$C794=""),"",IF(ISNUMBER(Wages!$B797),MOD(Wages!$B797,100),IFERROR(VALUE(TRIM(MID(MID(Wages!$B797,FIND("/",Wages!$B797)+1,20),FIND("/",MID(Wages!$B797,FIND("/",Wages!$B797)+1,20))+1,20))),"")))</f>
        <v/>
      </c>
      <c r="F794">
        <f>IF($A794="","",IF(OR($C794="",$D794="",$E794="",$C794&lt;1300,$C794&gt;1500,$D794&lt;1,$D794&gt;12,$E794&lt;1,$E794&gt;31),"نامعتبر",RIGHT("0000"&amp;$C794,4)&amp;"/"&amp;RIGHT("00"&amp;$D794,2)&amp;"/"&amp;RIGHT("00"&amp;$E794,2)))</f>
        <v/>
      </c>
      <c r="G794">
        <f>IF(OR($A794="",$F794="",$F794="نامعتبر"),"",LEFT($F794,4)&amp;MID($F794,6,2)&amp;RIGHT($F794,2)&amp;"0000"&amp;"|"&amp;"1"&amp;RIGHT("00000"&amp;789,5))</f>
        <v/>
      </c>
      <c r="H794">
        <f>IF(OR($B794&lt;&gt;1,$G794=""),"",COUNTIFS(LdAParty,$A794,LdAType,1,LdAKey,"&lt;"&amp;$G794)+COUNTIFS(LdBMember,$A794,LdBKey,"&lt;"&amp;$G794)+COUNTIFS(LdCParty,$A794,LdCKey,"&lt;"&amp;$G794)+1)</f>
        <v/>
      </c>
      <c r="I794">
        <f>IF($H794="","",$A794&amp;"|"&amp;RIGHT("000000"&amp;$H794,6))</f>
        <v/>
      </c>
      <c r="J794">
        <f>IF(OR($B794&lt;&gt;2,$G794=""),"",COUNTIFS(LdAParty,$A794,LdAType,2,LdAKey,"&lt;"&amp;$G794)+1)</f>
        <v/>
      </c>
      <c r="K794">
        <f>IF($J794="","",$A794&amp;"|"&amp;RIGHT("000000"&amp;$J794,6))</f>
        <v/>
      </c>
      <c r="L794">
        <f>IF($A794="","",IF(Wages!$G797="",0,Wages!$G797))</f>
        <v/>
      </c>
      <c r="M794">
        <f>IF($A794="","",Wages!$J797)</f>
        <v/>
      </c>
      <c r="N794">
        <f>IF($A794="","",Wages!$D797)</f>
        <v/>
      </c>
      <c r="P794">
        <f>IF(OR(Shares!$B797="",Shares!$C797=""),"",Shares!$C797)</f>
        <v/>
      </c>
      <c r="Q794">
        <f>IF($P794="","",Shares!$B797)</f>
        <v/>
      </c>
      <c r="R794">
        <f>IF($P794="","",IFERROR(INDEX(WageParty,MATCH($Q794,WageIds,0)),""))</f>
        <v/>
      </c>
      <c r="S794">
        <f>IF($P794="","",IFERROR(INDEX($F$6:$F$2005,MATCH($Q794,WageIds,0)),""))</f>
        <v/>
      </c>
      <c r="T794">
        <f>IF(OR($P794="",$S794="",$S794="نامعتبر"),"",LEFT($S794,4)&amp;MID($S794,6,2)&amp;RIGHT($S794,2)&amp;"0000"&amp;"|"&amp;"2"&amp;RIGHT("00000"&amp;789,5))</f>
        <v/>
      </c>
      <c r="U794">
        <f>IF($T794="","",COUNTIFS(LdAParty,$P794,LdAType,1,LdAKey,"&lt;"&amp;$T794)+COUNTIFS(LdBMember,$P794,LdBKey,"&lt;"&amp;$T794)+COUNTIFS(LdCParty,$P794,LdCKey,"&lt;"&amp;$T794)+1)</f>
        <v/>
      </c>
      <c r="V794">
        <f>IF($U794="","",$P794&amp;"|"&amp;RIGHT("000000"&amp;$U794,6))</f>
        <v/>
      </c>
      <c r="W794">
        <f>IF($T794="","",COUNTIFS(LdBGroup,$R794,LdBKey,"&lt;"&amp;$T794)+1)</f>
        <v/>
      </c>
      <c r="X794">
        <f>IF($W794="","",$R794&amp;"|"&amp;RIGHT("000000"&amp;$W794,6))</f>
        <v/>
      </c>
      <c r="Y794">
        <f>IF($P794="","",IF(Shares!$E797="",0,Shares!$E797))</f>
        <v/>
      </c>
      <c r="Z794">
        <f>IF($P794="","",Shares!$H797)</f>
        <v/>
      </c>
      <c r="AE794">
        <f>IF(OR(Sync!$S794="",Sync!$P794=""),"",Sync!$S794)</f>
        <v/>
      </c>
      <c r="AF794">
        <f>IF($AE794="","",IF(ISNUMBER(Sync!$P794),IF(AND(Sync!$P794&gt;=10000101,Sync!$P794&lt;=99991231),INT(Sync!$P794/10000),""),IFERROR(VALUE(TRIM(LEFT(Sync!$P794,FIND("/",Sync!$P794)-1))),"")))</f>
        <v/>
      </c>
      <c r="AG794">
        <f>IF(OR($AE794="",$AF794=""),"",IF(ISNUMBER(Sync!$P794),INT(MOD(Sync!$P794,10000)/100),IFERROR(VALUE(TRIM(LEFT(MID(Sync!$P794,FIND("/",Sync!$P794)+1,20),FIND("/",MID(Sync!$P794,FIND("/",Sync!$P794)+1,20))-1))),"")))</f>
        <v/>
      </c>
      <c r="AH794">
        <f>IF(OR($AE794="",$AF794=""),"",IF(ISNUMBER(Sync!$P794),MOD(Sync!$P794,100),IFERROR(VALUE(TRIM(MID(MID(Sync!$P794,FIND("/",Sync!$P794)+1,20),FIND("/",MID(Sync!$P794,FIND("/",Sync!$P794)+1,20))+1,20))),"")))</f>
        <v/>
      </c>
      <c r="AI794">
        <f>IF($AE794="","",IF(OR($AF794="",$AG794="",$AH794="",$AF794&lt;1300,$AF794&gt;1500,$AG794&lt;1,$AG794&gt;12,$AH794&lt;1,$AH794&gt;31),"نامعتبر",RIGHT("0000"&amp;$AF794,4)&amp;"/"&amp;RIGHT("00"&amp;$AG794,2)&amp;"/"&amp;RIGHT("00"&amp;$AH794,2)))</f>
        <v/>
      </c>
      <c r="AJ794">
        <f>IF($AE794="","",IF(Sync!$Q794="","0000",IF(AND(ISNUMBER(Sync!$Q794),Sync!$Q794&gt;=0,Sync!$Q794&lt;1),RIGHT("00"&amp;HOUR(Sync!$Q794),2)&amp;RIGHT("00"&amp;MINUTE(Sync!$Q794),2),IFERROR(RIGHT("00"&amp;VALUE(LEFT(Sync!$Q794,FIND(":",Sync!$Q794)-1)),2)&amp;RIGHT("00"&amp;VALUE(MID(Sync!$Q794,FIND(":",Sync!$Q794)+1,2)),2),"0000"))))</f>
        <v/>
      </c>
      <c r="AK794">
        <f>IF(OR($AE794="",$AI794="",$AI794="نامعتبر"),"",LEFT($AI794,4)&amp;MID($AI794,6,2)&amp;RIGHT($AI794,2)&amp;$AJ794&amp;"|"&amp;"3"&amp;RIGHT("00000"&amp;789,5))</f>
        <v/>
      </c>
      <c r="AL794">
        <f>IF($AK794="","",COUNTIFS(LdAParty,$AE794,LdAType,1,LdAKey,"&lt;"&amp;$AK794)+COUNTIFS(LdBMember,$AE794,LdBKey,"&lt;"&amp;$AK794)+COUNTIFS(LdCParty,$AE794,LdCKey,"&lt;"&amp;$AK794)+1)</f>
        <v/>
      </c>
      <c r="AM794">
        <f>IF($AL794="","",$AE794&amp;"|"&amp;RIGHT("000000"&amp;$AL794,6))</f>
        <v/>
      </c>
      <c r="AN794">
        <f>IF($AE794="","",IF(Sync!$W794="",0,Sync!$W794))</f>
        <v/>
      </c>
      <c r="AO794">
        <f>IF($AE794="","",IF(Sync!$X794="",0,Sync!$X794))</f>
        <v/>
      </c>
      <c r="AP794">
        <f>IF($AE794="","",Sync!$R794)</f>
        <v/>
      </c>
      <c r="AQ794">
        <f>IF($AE794="","",Sync!$Y794)</f>
        <v/>
      </c>
    </row>
    <row r="795">
      <c r="A795">
        <f>IF(OR(Wages!$B798="",Wages!$E798=""),"",Wages!$E798)</f>
        <v/>
      </c>
      <c r="B795">
        <f>IF($A795="","",IF(Wages!$C798="دستمزد گروهی",2,1))</f>
        <v/>
      </c>
      <c r="C795">
        <f>IF($A795="","",IF(ISNUMBER(Wages!$B798),IF(AND(Wages!$B798&gt;=10000101,Wages!$B798&lt;=99991231),INT(Wages!$B798/10000),""),IFERROR(VALUE(TRIM(LEFT(Wages!$B798,FIND("/",Wages!$B798)-1))),"")))</f>
        <v/>
      </c>
      <c r="D795">
        <f>IF(OR($A795="",$C795=""),"",IF(ISNUMBER(Wages!$B798),INT(MOD(Wages!$B798,10000)/100),IFERROR(VALUE(TRIM(LEFT(MID(Wages!$B798,FIND("/",Wages!$B798)+1,20),FIND("/",MID(Wages!$B798,FIND("/",Wages!$B798)+1,20))-1))),"")))</f>
        <v/>
      </c>
      <c r="E795">
        <f>IF(OR($A795="",$C795=""),"",IF(ISNUMBER(Wages!$B798),MOD(Wages!$B798,100),IFERROR(VALUE(TRIM(MID(MID(Wages!$B798,FIND("/",Wages!$B798)+1,20),FIND("/",MID(Wages!$B798,FIND("/",Wages!$B798)+1,20))+1,20))),"")))</f>
        <v/>
      </c>
      <c r="F795">
        <f>IF($A795="","",IF(OR($C795="",$D795="",$E795="",$C795&lt;1300,$C795&gt;1500,$D795&lt;1,$D795&gt;12,$E795&lt;1,$E795&gt;31),"نامعتبر",RIGHT("0000"&amp;$C795,4)&amp;"/"&amp;RIGHT("00"&amp;$D795,2)&amp;"/"&amp;RIGHT("00"&amp;$E795,2)))</f>
        <v/>
      </c>
      <c r="G795">
        <f>IF(OR($A795="",$F795="",$F795="نامعتبر"),"",LEFT($F795,4)&amp;MID($F795,6,2)&amp;RIGHT($F795,2)&amp;"0000"&amp;"|"&amp;"1"&amp;RIGHT("00000"&amp;790,5))</f>
        <v/>
      </c>
      <c r="H795">
        <f>IF(OR($B795&lt;&gt;1,$G795=""),"",COUNTIFS(LdAParty,$A795,LdAType,1,LdAKey,"&lt;"&amp;$G795)+COUNTIFS(LdBMember,$A795,LdBKey,"&lt;"&amp;$G795)+COUNTIFS(LdCParty,$A795,LdCKey,"&lt;"&amp;$G795)+1)</f>
        <v/>
      </c>
      <c r="I795">
        <f>IF($H795="","",$A795&amp;"|"&amp;RIGHT("000000"&amp;$H795,6))</f>
        <v/>
      </c>
      <c r="J795">
        <f>IF(OR($B795&lt;&gt;2,$G795=""),"",COUNTIFS(LdAParty,$A795,LdAType,2,LdAKey,"&lt;"&amp;$G795)+1)</f>
        <v/>
      </c>
      <c r="K795">
        <f>IF($J795="","",$A795&amp;"|"&amp;RIGHT("000000"&amp;$J795,6))</f>
        <v/>
      </c>
      <c r="L795">
        <f>IF($A795="","",IF(Wages!$G798="",0,Wages!$G798))</f>
        <v/>
      </c>
      <c r="M795">
        <f>IF($A795="","",Wages!$J798)</f>
        <v/>
      </c>
      <c r="N795">
        <f>IF($A795="","",Wages!$D798)</f>
        <v/>
      </c>
      <c r="P795">
        <f>IF(OR(Shares!$B798="",Shares!$C798=""),"",Shares!$C798)</f>
        <v/>
      </c>
      <c r="Q795">
        <f>IF($P795="","",Shares!$B798)</f>
        <v/>
      </c>
      <c r="R795">
        <f>IF($P795="","",IFERROR(INDEX(WageParty,MATCH($Q795,WageIds,0)),""))</f>
        <v/>
      </c>
      <c r="S795">
        <f>IF($P795="","",IFERROR(INDEX($F$6:$F$2005,MATCH($Q795,WageIds,0)),""))</f>
        <v/>
      </c>
      <c r="T795">
        <f>IF(OR($P795="",$S795="",$S795="نامعتبر"),"",LEFT($S795,4)&amp;MID($S795,6,2)&amp;RIGHT($S795,2)&amp;"0000"&amp;"|"&amp;"2"&amp;RIGHT("00000"&amp;790,5))</f>
        <v/>
      </c>
      <c r="U795">
        <f>IF($T795="","",COUNTIFS(LdAParty,$P795,LdAType,1,LdAKey,"&lt;"&amp;$T795)+COUNTIFS(LdBMember,$P795,LdBKey,"&lt;"&amp;$T795)+COUNTIFS(LdCParty,$P795,LdCKey,"&lt;"&amp;$T795)+1)</f>
        <v/>
      </c>
      <c r="V795">
        <f>IF($U795="","",$P795&amp;"|"&amp;RIGHT("000000"&amp;$U795,6))</f>
        <v/>
      </c>
      <c r="W795">
        <f>IF($T795="","",COUNTIFS(LdBGroup,$R795,LdBKey,"&lt;"&amp;$T795)+1)</f>
        <v/>
      </c>
      <c r="X795">
        <f>IF($W795="","",$R795&amp;"|"&amp;RIGHT("000000"&amp;$W795,6))</f>
        <v/>
      </c>
      <c r="Y795">
        <f>IF($P795="","",IF(Shares!$E798="",0,Shares!$E798))</f>
        <v/>
      </c>
      <c r="Z795">
        <f>IF($P795="","",Shares!$H798)</f>
        <v/>
      </c>
      <c r="AE795">
        <f>IF(OR(Sync!$S795="",Sync!$P795=""),"",Sync!$S795)</f>
        <v/>
      </c>
      <c r="AF795">
        <f>IF($AE795="","",IF(ISNUMBER(Sync!$P795),IF(AND(Sync!$P795&gt;=10000101,Sync!$P795&lt;=99991231),INT(Sync!$P795/10000),""),IFERROR(VALUE(TRIM(LEFT(Sync!$P795,FIND("/",Sync!$P795)-1))),"")))</f>
        <v/>
      </c>
      <c r="AG795">
        <f>IF(OR($AE795="",$AF795=""),"",IF(ISNUMBER(Sync!$P795),INT(MOD(Sync!$P795,10000)/100),IFERROR(VALUE(TRIM(LEFT(MID(Sync!$P795,FIND("/",Sync!$P795)+1,20),FIND("/",MID(Sync!$P795,FIND("/",Sync!$P795)+1,20))-1))),"")))</f>
        <v/>
      </c>
      <c r="AH795">
        <f>IF(OR($AE795="",$AF795=""),"",IF(ISNUMBER(Sync!$P795),MOD(Sync!$P795,100),IFERROR(VALUE(TRIM(MID(MID(Sync!$P795,FIND("/",Sync!$P795)+1,20),FIND("/",MID(Sync!$P795,FIND("/",Sync!$P795)+1,20))+1,20))),"")))</f>
        <v/>
      </c>
      <c r="AI795">
        <f>IF($AE795="","",IF(OR($AF795="",$AG795="",$AH795="",$AF795&lt;1300,$AF795&gt;1500,$AG795&lt;1,$AG795&gt;12,$AH795&lt;1,$AH795&gt;31),"نامعتبر",RIGHT("0000"&amp;$AF795,4)&amp;"/"&amp;RIGHT("00"&amp;$AG795,2)&amp;"/"&amp;RIGHT("00"&amp;$AH795,2)))</f>
        <v/>
      </c>
      <c r="AJ795">
        <f>IF($AE795="","",IF(Sync!$Q795="","0000",IF(AND(ISNUMBER(Sync!$Q795),Sync!$Q795&gt;=0,Sync!$Q795&lt;1),RIGHT("00"&amp;HOUR(Sync!$Q795),2)&amp;RIGHT("00"&amp;MINUTE(Sync!$Q795),2),IFERROR(RIGHT("00"&amp;VALUE(LEFT(Sync!$Q795,FIND(":",Sync!$Q795)-1)),2)&amp;RIGHT("00"&amp;VALUE(MID(Sync!$Q795,FIND(":",Sync!$Q795)+1,2)),2),"0000"))))</f>
        <v/>
      </c>
      <c r="AK795">
        <f>IF(OR($AE795="",$AI795="",$AI795="نامعتبر"),"",LEFT($AI795,4)&amp;MID($AI795,6,2)&amp;RIGHT($AI795,2)&amp;$AJ795&amp;"|"&amp;"3"&amp;RIGHT("00000"&amp;790,5))</f>
        <v/>
      </c>
      <c r="AL795">
        <f>IF($AK795="","",COUNTIFS(LdAParty,$AE795,LdAType,1,LdAKey,"&lt;"&amp;$AK795)+COUNTIFS(LdBMember,$AE795,LdBKey,"&lt;"&amp;$AK795)+COUNTIFS(LdCParty,$AE795,LdCKey,"&lt;"&amp;$AK795)+1)</f>
        <v/>
      </c>
      <c r="AM795">
        <f>IF($AL795="","",$AE795&amp;"|"&amp;RIGHT("000000"&amp;$AL795,6))</f>
        <v/>
      </c>
      <c r="AN795">
        <f>IF($AE795="","",IF(Sync!$W795="",0,Sync!$W795))</f>
        <v/>
      </c>
      <c r="AO795">
        <f>IF($AE795="","",IF(Sync!$X795="",0,Sync!$X795))</f>
        <v/>
      </c>
      <c r="AP795">
        <f>IF($AE795="","",Sync!$R795)</f>
        <v/>
      </c>
      <c r="AQ795">
        <f>IF($AE795="","",Sync!$Y795)</f>
        <v/>
      </c>
    </row>
    <row r="796">
      <c r="A796">
        <f>IF(OR(Wages!$B799="",Wages!$E799=""),"",Wages!$E799)</f>
        <v/>
      </c>
      <c r="B796">
        <f>IF($A796="","",IF(Wages!$C799="دستمزد گروهی",2,1))</f>
        <v/>
      </c>
      <c r="C796">
        <f>IF($A796="","",IF(ISNUMBER(Wages!$B799),IF(AND(Wages!$B799&gt;=10000101,Wages!$B799&lt;=99991231),INT(Wages!$B799/10000),""),IFERROR(VALUE(TRIM(LEFT(Wages!$B799,FIND("/",Wages!$B799)-1))),"")))</f>
        <v/>
      </c>
      <c r="D796">
        <f>IF(OR($A796="",$C796=""),"",IF(ISNUMBER(Wages!$B799),INT(MOD(Wages!$B799,10000)/100),IFERROR(VALUE(TRIM(LEFT(MID(Wages!$B799,FIND("/",Wages!$B799)+1,20),FIND("/",MID(Wages!$B799,FIND("/",Wages!$B799)+1,20))-1))),"")))</f>
        <v/>
      </c>
      <c r="E796">
        <f>IF(OR($A796="",$C796=""),"",IF(ISNUMBER(Wages!$B799),MOD(Wages!$B799,100),IFERROR(VALUE(TRIM(MID(MID(Wages!$B799,FIND("/",Wages!$B799)+1,20),FIND("/",MID(Wages!$B799,FIND("/",Wages!$B799)+1,20))+1,20))),"")))</f>
        <v/>
      </c>
      <c r="F796">
        <f>IF($A796="","",IF(OR($C796="",$D796="",$E796="",$C796&lt;1300,$C796&gt;1500,$D796&lt;1,$D796&gt;12,$E796&lt;1,$E796&gt;31),"نامعتبر",RIGHT("0000"&amp;$C796,4)&amp;"/"&amp;RIGHT("00"&amp;$D796,2)&amp;"/"&amp;RIGHT("00"&amp;$E796,2)))</f>
        <v/>
      </c>
      <c r="G796">
        <f>IF(OR($A796="",$F796="",$F796="نامعتبر"),"",LEFT($F796,4)&amp;MID($F796,6,2)&amp;RIGHT($F796,2)&amp;"0000"&amp;"|"&amp;"1"&amp;RIGHT("00000"&amp;791,5))</f>
        <v/>
      </c>
      <c r="H796">
        <f>IF(OR($B796&lt;&gt;1,$G796=""),"",COUNTIFS(LdAParty,$A796,LdAType,1,LdAKey,"&lt;"&amp;$G796)+COUNTIFS(LdBMember,$A796,LdBKey,"&lt;"&amp;$G796)+COUNTIFS(LdCParty,$A796,LdCKey,"&lt;"&amp;$G796)+1)</f>
        <v/>
      </c>
      <c r="I796">
        <f>IF($H796="","",$A796&amp;"|"&amp;RIGHT("000000"&amp;$H796,6))</f>
        <v/>
      </c>
      <c r="J796">
        <f>IF(OR($B796&lt;&gt;2,$G796=""),"",COUNTIFS(LdAParty,$A796,LdAType,2,LdAKey,"&lt;"&amp;$G796)+1)</f>
        <v/>
      </c>
      <c r="K796">
        <f>IF($J796="","",$A796&amp;"|"&amp;RIGHT("000000"&amp;$J796,6))</f>
        <v/>
      </c>
      <c r="L796">
        <f>IF($A796="","",IF(Wages!$G799="",0,Wages!$G799))</f>
        <v/>
      </c>
      <c r="M796">
        <f>IF($A796="","",Wages!$J799)</f>
        <v/>
      </c>
      <c r="N796">
        <f>IF($A796="","",Wages!$D799)</f>
        <v/>
      </c>
      <c r="P796">
        <f>IF(OR(Shares!$B799="",Shares!$C799=""),"",Shares!$C799)</f>
        <v/>
      </c>
      <c r="Q796">
        <f>IF($P796="","",Shares!$B799)</f>
        <v/>
      </c>
      <c r="R796">
        <f>IF($P796="","",IFERROR(INDEX(WageParty,MATCH($Q796,WageIds,0)),""))</f>
        <v/>
      </c>
      <c r="S796">
        <f>IF($P796="","",IFERROR(INDEX($F$6:$F$2005,MATCH($Q796,WageIds,0)),""))</f>
        <v/>
      </c>
      <c r="T796">
        <f>IF(OR($P796="",$S796="",$S796="نامعتبر"),"",LEFT($S796,4)&amp;MID($S796,6,2)&amp;RIGHT($S796,2)&amp;"0000"&amp;"|"&amp;"2"&amp;RIGHT("00000"&amp;791,5))</f>
        <v/>
      </c>
      <c r="U796">
        <f>IF($T796="","",COUNTIFS(LdAParty,$P796,LdAType,1,LdAKey,"&lt;"&amp;$T796)+COUNTIFS(LdBMember,$P796,LdBKey,"&lt;"&amp;$T796)+COUNTIFS(LdCParty,$P796,LdCKey,"&lt;"&amp;$T796)+1)</f>
        <v/>
      </c>
      <c r="V796">
        <f>IF($U796="","",$P796&amp;"|"&amp;RIGHT("000000"&amp;$U796,6))</f>
        <v/>
      </c>
      <c r="W796">
        <f>IF($T796="","",COUNTIFS(LdBGroup,$R796,LdBKey,"&lt;"&amp;$T796)+1)</f>
        <v/>
      </c>
      <c r="X796">
        <f>IF($W796="","",$R796&amp;"|"&amp;RIGHT("000000"&amp;$W796,6))</f>
        <v/>
      </c>
      <c r="Y796">
        <f>IF($P796="","",IF(Shares!$E799="",0,Shares!$E799))</f>
        <v/>
      </c>
      <c r="Z796">
        <f>IF($P796="","",Shares!$H799)</f>
        <v/>
      </c>
      <c r="AE796">
        <f>IF(OR(Sync!$S796="",Sync!$P796=""),"",Sync!$S796)</f>
        <v/>
      </c>
      <c r="AF796">
        <f>IF($AE796="","",IF(ISNUMBER(Sync!$P796),IF(AND(Sync!$P796&gt;=10000101,Sync!$P796&lt;=99991231),INT(Sync!$P796/10000),""),IFERROR(VALUE(TRIM(LEFT(Sync!$P796,FIND("/",Sync!$P796)-1))),"")))</f>
        <v/>
      </c>
      <c r="AG796">
        <f>IF(OR($AE796="",$AF796=""),"",IF(ISNUMBER(Sync!$P796),INT(MOD(Sync!$P796,10000)/100),IFERROR(VALUE(TRIM(LEFT(MID(Sync!$P796,FIND("/",Sync!$P796)+1,20),FIND("/",MID(Sync!$P796,FIND("/",Sync!$P796)+1,20))-1))),"")))</f>
        <v/>
      </c>
      <c r="AH796">
        <f>IF(OR($AE796="",$AF796=""),"",IF(ISNUMBER(Sync!$P796),MOD(Sync!$P796,100),IFERROR(VALUE(TRIM(MID(MID(Sync!$P796,FIND("/",Sync!$P796)+1,20),FIND("/",MID(Sync!$P796,FIND("/",Sync!$P796)+1,20))+1,20))),"")))</f>
        <v/>
      </c>
      <c r="AI796">
        <f>IF($AE796="","",IF(OR($AF796="",$AG796="",$AH796="",$AF796&lt;1300,$AF796&gt;1500,$AG796&lt;1,$AG796&gt;12,$AH796&lt;1,$AH796&gt;31),"نامعتبر",RIGHT("0000"&amp;$AF796,4)&amp;"/"&amp;RIGHT("00"&amp;$AG796,2)&amp;"/"&amp;RIGHT("00"&amp;$AH796,2)))</f>
        <v/>
      </c>
      <c r="AJ796">
        <f>IF($AE796="","",IF(Sync!$Q796="","0000",IF(AND(ISNUMBER(Sync!$Q796),Sync!$Q796&gt;=0,Sync!$Q796&lt;1),RIGHT("00"&amp;HOUR(Sync!$Q796),2)&amp;RIGHT("00"&amp;MINUTE(Sync!$Q796),2),IFERROR(RIGHT("00"&amp;VALUE(LEFT(Sync!$Q796,FIND(":",Sync!$Q796)-1)),2)&amp;RIGHT("00"&amp;VALUE(MID(Sync!$Q796,FIND(":",Sync!$Q796)+1,2)),2),"0000"))))</f>
        <v/>
      </c>
      <c r="AK796">
        <f>IF(OR($AE796="",$AI796="",$AI796="نامعتبر"),"",LEFT($AI796,4)&amp;MID($AI796,6,2)&amp;RIGHT($AI796,2)&amp;$AJ796&amp;"|"&amp;"3"&amp;RIGHT("00000"&amp;791,5))</f>
        <v/>
      </c>
      <c r="AL796">
        <f>IF($AK796="","",COUNTIFS(LdAParty,$AE796,LdAType,1,LdAKey,"&lt;"&amp;$AK796)+COUNTIFS(LdBMember,$AE796,LdBKey,"&lt;"&amp;$AK796)+COUNTIFS(LdCParty,$AE796,LdCKey,"&lt;"&amp;$AK796)+1)</f>
        <v/>
      </c>
      <c r="AM796">
        <f>IF($AL796="","",$AE796&amp;"|"&amp;RIGHT("000000"&amp;$AL796,6))</f>
        <v/>
      </c>
      <c r="AN796">
        <f>IF($AE796="","",IF(Sync!$W796="",0,Sync!$W796))</f>
        <v/>
      </c>
      <c r="AO796">
        <f>IF($AE796="","",IF(Sync!$X796="",0,Sync!$X796))</f>
        <v/>
      </c>
      <c r="AP796">
        <f>IF($AE796="","",Sync!$R796)</f>
        <v/>
      </c>
      <c r="AQ796">
        <f>IF($AE796="","",Sync!$Y796)</f>
        <v/>
      </c>
    </row>
    <row r="797">
      <c r="A797">
        <f>IF(OR(Wages!$B800="",Wages!$E800=""),"",Wages!$E800)</f>
        <v/>
      </c>
      <c r="B797">
        <f>IF($A797="","",IF(Wages!$C800="دستمزد گروهی",2,1))</f>
        <v/>
      </c>
      <c r="C797">
        <f>IF($A797="","",IF(ISNUMBER(Wages!$B800),IF(AND(Wages!$B800&gt;=10000101,Wages!$B800&lt;=99991231),INT(Wages!$B800/10000),""),IFERROR(VALUE(TRIM(LEFT(Wages!$B800,FIND("/",Wages!$B800)-1))),"")))</f>
        <v/>
      </c>
      <c r="D797">
        <f>IF(OR($A797="",$C797=""),"",IF(ISNUMBER(Wages!$B800),INT(MOD(Wages!$B800,10000)/100),IFERROR(VALUE(TRIM(LEFT(MID(Wages!$B800,FIND("/",Wages!$B800)+1,20),FIND("/",MID(Wages!$B800,FIND("/",Wages!$B800)+1,20))-1))),"")))</f>
        <v/>
      </c>
      <c r="E797">
        <f>IF(OR($A797="",$C797=""),"",IF(ISNUMBER(Wages!$B800),MOD(Wages!$B800,100),IFERROR(VALUE(TRIM(MID(MID(Wages!$B800,FIND("/",Wages!$B800)+1,20),FIND("/",MID(Wages!$B800,FIND("/",Wages!$B800)+1,20))+1,20))),"")))</f>
        <v/>
      </c>
      <c r="F797">
        <f>IF($A797="","",IF(OR($C797="",$D797="",$E797="",$C797&lt;1300,$C797&gt;1500,$D797&lt;1,$D797&gt;12,$E797&lt;1,$E797&gt;31),"نامعتبر",RIGHT("0000"&amp;$C797,4)&amp;"/"&amp;RIGHT("00"&amp;$D797,2)&amp;"/"&amp;RIGHT("00"&amp;$E797,2)))</f>
        <v/>
      </c>
      <c r="G797">
        <f>IF(OR($A797="",$F797="",$F797="نامعتبر"),"",LEFT($F797,4)&amp;MID($F797,6,2)&amp;RIGHT($F797,2)&amp;"0000"&amp;"|"&amp;"1"&amp;RIGHT("00000"&amp;792,5))</f>
        <v/>
      </c>
      <c r="H797">
        <f>IF(OR($B797&lt;&gt;1,$G797=""),"",COUNTIFS(LdAParty,$A797,LdAType,1,LdAKey,"&lt;"&amp;$G797)+COUNTIFS(LdBMember,$A797,LdBKey,"&lt;"&amp;$G797)+COUNTIFS(LdCParty,$A797,LdCKey,"&lt;"&amp;$G797)+1)</f>
        <v/>
      </c>
      <c r="I797">
        <f>IF($H797="","",$A797&amp;"|"&amp;RIGHT("000000"&amp;$H797,6))</f>
        <v/>
      </c>
      <c r="J797">
        <f>IF(OR($B797&lt;&gt;2,$G797=""),"",COUNTIFS(LdAParty,$A797,LdAType,2,LdAKey,"&lt;"&amp;$G797)+1)</f>
        <v/>
      </c>
      <c r="K797">
        <f>IF($J797="","",$A797&amp;"|"&amp;RIGHT("000000"&amp;$J797,6))</f>
        <v/>
      </c>
      <c r="L797">
        <f>IF($A797="","",IF(Wages!$G800="",0,Wages!$G800))</f>
        <v/>
      </c>
      <c r="M797">
        <f>IF($A797="","",Wages!$J800)</f>
        <v/>
      </c>
      <c r="N797">
        <f>IF($A797="","",Wages!$D800)</f>
        <v/>
      </c>
      <c r="P797">
        <f>IF(OR(Shares!$B800="",Shares!$C800=""),"",Shares!$C800)</f>
        <v/>
      </c>
      <c r="Q797">
        <f>IF($P797="","",Shares!$B800)</f>
        <v/>
      </c>
      <c r="R797">
        <f>IF($P797="","",IFERROR(INDEX(WageParty,MATCH($Q797,WageIds,0)),""))</f>
        <v/>
      </c>
      <c r="S797">
        <f>IF($P797="","",IFERROR(INDEX($F$6:$F$2005,MATCH($Q797,WageIds,0)),""))</f>
        <v/>
      </c>
      <c r="T797">
        <f>IF(OR($P797="",$S797="",$S797="نامعتبر"),"",LEFT($S797,4)&amp;MID($S797,6,2)&amp;RIGHT($S797,2)&amp;"0000"&amp;"|"&amp;"2"&amp;RIGHT("00000"&amp;792,5))</f>
        <v/>
      </c>
      <c r="U797">
        <f>IF($T797="","",COUNTIFS(LdAParty,$P797,LdAType,1,LdAKey,"&lt;"&amp;$T797)+COUNTIFS(LdBMember,$P797,LdBKey,"&lt;"&amp;$T797)+COUNTIFS(LdCParty,$P797,LdCKey,"&lt;"&amp;$T797)+1)</f>
        <v/>
      </c>
      <c r="V797">
        <f>IF($U797="","",$P797&amp;"|"&amp;RIGHT("000000"&amp;$U797,6))</f>
        <v/>
      </c>
      <c r="W797">
        <f>IF($T797="","",COUNTIFS(LdBGroup,$R797,LdBKey,"&lt;"&amp;$T797)+1)</f>
        <v/>
      </c>
      <c r="X797">
        <f>IF($W797="","",$R797&amp;"|"&amp;RIGHT("000000"&amp;$W797,6))</f>
        <v/>
      </c>
      <c r="Y797">
        <f>IF($P797="","",IF(Shares!$E800="",0,Shares!$E800))</f>
        <v/>
      </c>
      <c r="Z797">
        <f>IF($P797="","",Shares!$H800)</f>
        <v/>
      </c>
      <c r="AE797">
        <f>IF(OR(Sync!$S797="",Sync!$P797=""),"",Sync!$S797)</f>
        <v/>
      </c>
      <c r="AF797">
        <f>IF($AE797="","",IF(ISNUMBER(Sync!$P797),IF(AND(Sync!$P797&gt;=10000101,Sync!$P797&lt;=99991231),INT(Sync!$P797/10000),""),IFERROR(VALUE(TRIM(LEFT(Sync!$P797,FIND("/",Sync!$P797)-1))),"")))</f>
        <v/>
      </c>
      <c r="AG797">
        <f>IF(OR($AE797="",$AF797=""),"",IF(ISNUMBER(Sync!$P797),INT(MOD(Sync!$P797,10000)/100),IFERROR(VALUE(TRIM(LEFT(MID(Sync!$P797,FIND("/",Sync!$P797)+1,20),FIND("/",MID(Sync!$P797,FIND("/",Sync!$P797)+1,20))-1))),"")))</f>
        <v/>
      </c>
      <c r="AH797">
        <f>IF(OR($AE797="",$AF797=""),"",IF(ISNUMBER(Sync!$P797),MOD(Sync!$P797,100),IFERROR(VALUE(TRIM(MID(MID(Sync!$P797,FIND("/",Sync!$P797)+1,20),FIND("/",MID(Sync!$P797,FIND("/",Sync!$P797)+1,20))+1,20))),"")))</f>
        <v/>
      </c>
      <c r="AI797">
        <f>IF($AE797="","",IF(OR($AF797="",$AG797="",$AH797="",$AF797&lt;1300,$AF797&gt;1500,$AG797&lt;1,$AG797&gt;12,$AH797&lt;1,$AH797&gt;31),"نامعتبر",RIGHT("0000"&amp;$AF797,4)&amp;"/"&amp;RIGHT("00"&amp;$AG797,2)&amp;"/"&amp;RIGHT("00"&amp;$AH797,2)))</f>
        <v/>
      </c>
      <c r="AJ797">
        <f>IF($AE797="","",IF(Sync!$Q797="","0000",IF(AND(ISNUMBER(Sync!$Q797),Sync!$Q797&gt;=0,Sync!$Q797&lt;1),RIGHT("00"&amp;HOUR(Sync!$Q797),2)&amp;RIGHT("00"&amp;MINUTE(Sync!$Q797),2),IFERROR(RIGHT("00"&amp;VALUE(LEFT(Sync!$Q797,FIND(":",Sync!$Q797)-1)),2)&amp;RIGHT("00"&amp;VALUE(MID(Sync!$Q797,FIND(":",Sync!$Q797)+1,2)),2),"0000"))))</f>
        <v/>
      </c>
      <c r="AK797">
        <f>IF(OR($AE797="",$AI797="",$AI797="نامعتبر"),"",LEFT($AI797,4)&amp;MID($AI797,6,2)&amp;RIGHT($AI797,2)&amp;$AJ797&amp;"|"&amp;"3"&amp;RIGHT("00000"&amp;792,5))</f>
        <v/>
      </c>
      <c r="AL797">
        <f>IF($AK797="","",COUNTIFS(LdAParty,$AE797,LdAType,1,LdAKey,"&lt;"&amp;$AK797)+COUNTIFS(LdBMember,$AE797,LdBKey,"&lt;"&amp;$AK797)+COUNTIFS(LdCParty,$AE797,LdCKey,"&lt;"&amp;$AK797)+1)</f>
        <v/>
      </c>
      <c r="AM797">
        <f>IF($AL797="","",$AE797&amp;"|"&amp;RIGHT("000000"&amp;$AL797,6))</f>
        <v/>
      </c>
      <c r="AN797">
        <f>IF($AE797="","",IF(Sync!$W797="",0,Sync!$W797))</f>
        <v/>
      </c>
      <c r="AO797">
        <f>IF($AE797="","",IF(Sync!$X797="",0,Sync!$X797))</f>
        <v/>
      </c>
      <c r="AP797">
        <f>IF($AE797="","",Sync!$R797)</f>
        <v/>
      </c>
      <c r="AQ797">
        <f>IF($AE797="","",Sync!$Y797)</f>
        <v/>
      </c>
    </row>
    <row r="798">
      <c r="A798">
        <f>IF(OR(Wages!$B801="",Wages!$E801=""),"",Wages!$E801)</f>
        <v/>
      </c>
      <c r="B798">
        <f>IF($A798="","",IF(Wages!$C801="دستمزد گروهی",2,1))</f>
        <v/>
      </c>
      <c r="C798">
        <f>IF($A798="","",IF(ISNUMBER(Wages!$B801),IF(AND(Wages!$B801&gt;=10000101,Wages!$B801&lt;=99991231),INT(Wages!$B801/10000),""),IFERROR(VALUE(TRIM(LEFT(Wages!$B801,FIND("/",Wages!$B801)-1))),"")))</f>
        <v/>
      </c>
      <c r="D798">
        <f>IF(OR($A798="",$C798=""),"",IF(ISNUMBER(Wages!$B801),INT(MOD(Wages!$B801,10000)/100),IFERROR(VALUE(TRIM(LEFT(MID(Wages!$B801,FIND("/",Wages!$B801)+1,20),FIND("/",MID(Wages!$B801,FIND("/",Wages!$B801)+1,20))-1))),"")))</f>
        <v/>
      </c>
      <c r="E798">
        <f>IF(OR($A798="",$C798=""),"",IF(ISNUMBER(Wages!$B801),MOD(Wages!$B801,100),IFERROR(VALUE(TRIM(MID(MID(Wages!$B801,FIND("/",Wages!$B801)+1,20),FIND("/",MID(Wages!$B801,FIND("/",Wages!$B801)+1,20))+1,20))),"")))</f>
        <v/>
      </c>
      <c r="F798">
        <f>IF($A798="","",IF(OR($C798="",$D798="",$E798="",$C798&lt;1300,$C798&gt;1500,$D798&lt;1,$D798&gt;12,$E798&lt;1,$E798&gt;31),"نامعتبر",RIGHT("0000"&amp;$C798,4)&amp;"/"&amp;RIGHT("00"&amp;$D798,2)&amp;"/"&amp;RIGHT("00"&amp;$E798,2)))</f>
        <v/>
      </c>
      <c r="G798">
        <f>IF(OR($A798="",$F798="",$F798="نامعتبر"),"",LEFT($F798,4)&amp;MID($F798,6,2)&amp;RIGHT($F798,2)&amp;"0000"&amp;"|"&amp;"1"&amp;RIGHT("00000"&amp;793,5))</f>
        <v/>
      </c>
      <c r="H798">
        <f>IF(OR($B798&lt;&gt;1,$G798=""),"",COUNTIFS(LdAParty,$A798,LdAType,1,LdAKey,"&lt;"&amp;$G798)+COUNTIFS(LdBMember,$A798,LdBKey,"&lt;"&amp;$G798)+COUNTIFS(LdCParty,$A798,LdCKey,"&lt;"&amp;$G798)+1)</f>
        <v/>
      </c>
      <c r="I798">
        <f>IF($H798="","",$A798&amp;"|"&amp;RIGHT("000000"&amp;$H798,6))</f>
        <v/>
      </c>
      <c r="J798">
        <f>IF(OR($B798&lt;&gt;2,$G798=""),"",COUNTIFS(LdAParty,$A798,LdAType,2,LdAKey,"&lt;"&amp;$G798)+1)</f>
        <v/>
      </c>
      <c r="K798">
        <f>IF($J798="","",$A798&amp;"|"&amp;RIGHT("000000"&amp;$J798,6))</f>
        <v/>
      </c>
      <c r="L798">
        <f>IF($A798="","",IF(Wages!$G801="",0,Wages!$G801))</f>
        <v/>
      </c>
      <c r="M798">
        <f>IF($A798="","",Wages!$J801)</f>
        <v/>
      </c>
      <c r="N798">
        <f>IF($A798="","",Wages!$D801)</f>
        <v/>
      </c>
      <c r="P798">
        <f>IF(OR(Shares!$B801="",Shares!$C801=""),"",Shares!$C801)</f>
        <v/>
      </c>
      <c r="Q798">
        <f>IF($P798="","",Shares!$B801)</f>
        <v/>
      </c>
      <c r="R798">
        <f>IF($P798="","",IFERROR(INDEX(WageParty,MATCH($Q798,WageIds,0)),""))</f>
        <v/>
      </c>
      <c r="S798">
        <f>IF($P798="","",IFERROR(INDEX($F$6:$F$2005,MATCH($Q798,WageIds,0)),""))</f>
        <v/>
      </c>
      <c r="T798">
        <f>IF(OR($P798="",$S798="",$S798="نامعتبر"),"",LEFT($S798,4)&amp;MID($S798,6,2)&amp;RIGHT($S798,2)&amp;"0000"&amp;"|"&amp;"2"&amp;RIGHT("00000"&amp;793,5))</f>
        <v/>
      </c>
      <c r="U798">
        <f>IF($T798="","",COUNTIFS(LdAParty,$P798,LdAType,1,LdAKey,"&lt;"&amp;$T798)+COUNTIFS(LdBMember,$P798,LdBKey,"&lt;"&amp;$T798)+COUNTIFS(LdCParty,$P798,LdCKey,"&lt;"&amp;$T798)+1)</f>
        <v/>
      </c>
      <c r="V798">
        <f>IF($U798="","",$P798&amp;"|"&amp;RIGHT("000000"&amp;$U798,6))</f>
        <v/>
      </c>
      <c r="W798">
        <f>IF($T798="","",COUNTIFS(LdBGroup,$R798,LdBKey,"&lt;"&amp;$T798)+1)</f>
        <v/>
      </c>
      <c r="X798">
        <f>IF($W798="","",$R798&amp;"|"&amp;RIGHT("000000"&amp;$W798,6))</f>
        <v/>
      </c>
      <c r="Y798">
        <f>IF($P798="","",IF(Shares!$E801="",0,Shares!$E801))</f>
        <v/>
      </c>
      <c r="Z798">
        <f>IF($P798="","",Shares!$H801)</f>
        <v/>
      </c>
      <c r="AE798">
        <f>IF(OR(Sync!$S798="",Sync!$P798=""),"",Sync!$S798)</f>
        <v/>
      </c>
      <c r="AF798">
        <f>IF($AE798="","",IF(ISNUMBER(Sync!$P798),IF(AND(Sync!$P798&gt;=10000101,Sync!$P798&lt;=99991231),INT(Sync!$P798/10000),""),IFERROR(VALUE(TRIM(LEFT(Sync!$P798,FIND("/",Sync!$P798)-1))),"")))</f>
        <v/>
      </c>
      <c r="AG798">
        <f>IF(OR($AE798="",$AF798=""),"",IF(ISNUMBER(Sync!$P798),INT(MOD(Sync!$P798,10000)/100),IFERROR(VALUE(TRIM(LEFT(MID(Sync!$P798,FIND("/",Sync!$P798)+1,20),FIND("/",MID(Sync!$P798,FIND("/",Sync!$P798)+1,20))-1))),"")))</f>
        <v/>
      </c>
      <c r="AH798">
        <f>IF(OR($AE798="",$AF798=""),"",IF(ISNUMBER(Sync!$P798),MOD(Sync!$P798,100),IFERROR(VALUE(TRIM(MID(MID(Sync!$P798,FIND("/",Sync!$P798)+1,20),FIND("/",MID(Sync!$P798,FIND("/",Sync!$P798)+1,20))+1,20))),"")))</f>
        <v/>
      </c>
      <c r="AI798">
        <f>IF($AE798="","",IF(OR($AF798="",$AG798="",$AH798="",$AF798&lt;1300,$AF798&gt;1500,$AG798&lt;1,$AG798&gt;12,$AH798&lt;1,$AH798&gt;31),"نامعتبر",RIGHT("0000"&amp;$AF798,4)&amp;"/"&amp;RIGHT("00"&amp;$AG798,2)&amp;"/"&amp;RIGHT("00"&amp;$AH798,2)))</f>
        <v/>
      </c>
      <c r="AJ798">
        <f>IF($AE798="","",IF(Sync!$Q798="","0000",IF(AND(ISNUMBER(Sync!$Q798),Sync!$Q798&gt;=0,Sync!$Q798&lt;1),RIGHT("00"&amp;HOUR(Sync!$Q798),2)&amp;RIGHT("00"&amp;MINUTE(Sync!$Q798),2),IFERROR(RIGHT("00"&amp;VALUE(LEFT(Sync!$Q798,FIND(":",Sync!$Q798)-1)),2)&amp;RIGHT("00"&amp;VALUE(MID(Sync!$Q798,FIND(":",Sync!$Q798)+1,2)),2),"0000"))))</f>
        <v/>
      </c>
      <c r="AK798">
        <f>IF(OR($AE798="",$AI798="",$AI798="نامعتبر"),"",LEFT($AI798,4)&amp;MID($AI798,6,2)&amp;RIGHT($AI798,2)&amp;$AJ798&amp;"|"&amp;"3"&amp;RIGHT("00000"&amp;793,5))</f>
        <v/>
      </c>
      <c r="AL798">
        <f>IF($AK798="","",COUNTIFS(LdAParty,$AE798,LdAType,1,LdAKey,"&lt;"&amp;$AK798)+COUNTIFS(LdBMember,$AE798,LdBKey,"&lt;"&amp;$AK798)+COUNTIFS(LdCParty,$AE798,LdCKey,"&lt;"&amp;$AK798)+1)</f>
        <v/>
      </c>
      <c r="AM798">
        <f>IF($AL798="","",$AE798&amp;"|"&amp;RIGHT("000000"&amp;$AL798,6))</f>
        <v/>
      </c>
      <c r="AN798">
        <f>IF($AE798="","",IF(Sync!$W798="",0,Sync!$W798))</f>
        <v/>
      </c>
      <c r="AO798">
        <f>IF($AE798="","",IF(Sync!$X798="",0,Sync!$X798))</f>
        <v/>
      </c>
      <c r="AP798">
        <f>IF($AE798="","",Sync!$R798)</f>
        <v/>
      </c>
      <c r="AQ798">
        <f>IF($AE798="","",Sync!$Y798)</f>
        <v/>
      </c>
    </row>
    <row r="799">
      <c r="A799">
        <f>IF(OR(Wages!$B802="",Wages!$E802=""),"",Wages!$E802)</f>
        <v/>
      </c>
      <c r="B799">
        <f>IF($A799="","",IF(Wages!$C802="دستمزد گروهی",2,1))</f>
        <v/>
      </c>
      <c r="C799">
        <f>IF($A799="","",IF(ISNUMBER(Wages!$B802),IF(AND(Wages!$B802&gt;=10000101,Wages!$B802&lt;=99991231),INT(Wages!$B802/10000),""),IFERROR(VALUE(TRIM(LEFT(Wages!$B802,FIND("/",Wages!$B802)-1))),"")))</f>
        <v/>
      </c>
      <c r="D799">
        <f>IF(OR($A799="",$C799=""),"",IF(ISNUMBER(Wages!$B802),INT(MOD(Wages!$B802,10000)/100),IFERROR(VALUE(TRIM(LEFT(MID(Wages!$B802,FIND("/",Wages!$B802)+1,20),FIND("/",MID(Wages!$B802,FIND("/",Wages!$B802)+1,20))-1))),"")))</f>
        <v/>
      </c>
      <c r="E799">
        <f>IF(OR($A799="",$C799=""),"",IF(ISNUMBER(Wages!$B802),MOD(Wages!$B802,100),IFERROR(VALUE(TRIM(MID(MID(Wages!$B802,FIND("/",Wages!$B802)+1,20),FIND("/",MID(Wages!$B802,FIND("/",Wages!$B802)+1,20))+1,20))),"")))</f>
        <v/>
      </c>
      <c r="F799">
        <f>IF($A799="","",IF(OR($C799="",$D799="",$E799="",$C799&lt;1300,$C799&gt;1500,$D799&lt;1,$D799&gt;12,$E799&lt;1,$E799&gt;31),"نامعتبر",RIGHT("0000"&amp;$C799,4)&amp;"/"&amp;RIGHT("00"&amp;$D799,2)&amp;"/"&amp;RIGHT("00"&amp;$E799,2)))</f>
        <v/>
      </c>
      <c r="G799">
        <f>IF(OR($A799="",$F799="",$F799="نامعتبر"),"",LEFT($F799,4)&amp;MID($F799,6,2)&amp;RIGHT($F799,2)&amp;"0000"&amp;"|"&amp;"1"&amp;RIGHT("00000"&amp;794,5))</f>
        <v/>
      </c>
      <c r="H799">
        <f>IF(OR($B799&lt;&gt;1,$G799=""),"",COUNTIFS(LdAParty,$A799,LdAType,1,LdAKey,"&lt;"&amp;$G799)+COUNTIFS(LdBMember,$A799,LdBKey,"&lt;"&amp;$G799)+COUNTIFS(LdCParty,$A799,LdCKey,"&lt;"&amp;$G799)+1)</f>
        <v/>
      </c>
      <c r="I799">
        <f>IF($H799="","",$A799&amp;"|"&amp;RIGHT("000000"&amp;$H799,6))</f>
        <v/>
      </c>
      <c r="J799">
        <f>IF(OR($B799&lt;&gt;2,$G799=""),"",COUNTIFS(LdAParty,$A799,LdAType,2,LdAKey,"&lt;"&amp;$G799)+1)</f>
        <v/>
      </c>
      <c r="K799">
        <f>IF($J799="","",$A799&amp;"|"&amp;RIGHT("000000"&amp;$J799,6))</f>
        <v/>
      </c>
      <c r="L799">
        <f>IF($A799="","",IF(Wages!$G802="",0,Wages!$G802))</f>
        <v/>
      </c>
      <c r="M799">
        <f>IF($A799="","",Wages!$J802)</f>
        <v/>
      </c>
      <c r="N799">
        <f>IF($A799="","",Wages!$D802)</f>
        <v/>
      </c>
      <c r="P799">
        <f>IF(OR(Shares!$B802="",Shares!$C802=""),"",Shares!$C802)</f>
        <v/>
      </c>
      <c r="Q799">
        <f>IF($P799="","",Shares!$B802)</f>
        <v/>
      </c>
      <c r="R799">
        <f>IF($P799="","",IFERROR(INDEX(WageParty,MATCH($Q799,WageIds,0)),""))</f>
        <v/>
      </c>
      <c r="S799">
        <f>IF($P799="","",IFERROR(INDEX($F$6:$F$2005,MATCH($Q799,WageIds,0)),""))</f>
        <v/>
      </c>
      <c r="T799">
        <f>IF(OR($P799="",$S799="",$S799="نامعتبر"),"",LEFT($S799,4)&amp;MID($S799,6,2)&amp;RIGHT($S799,2)&amp;"0000"&amp;"|"&amp;"2"&amp;RIGHT("00000"&amp;794,5))</f>
        <v/>
      </c>
      <c r="U799">
        <f>IF($T799="","",COUNTIFS(LdAParty,$P799,LdAType,1,LdAKey,"&lt;"&amp;$T799)+COUNTIFS(LdBMember,$P799,LdBKey,"&lt;"&amp;$T799)+COUNTIFS(LdCParty,$P799,LdCKey,"&lt;"&amp;$T799)+1)</f>
        <v/>
      </c>
      <c r="V799">
        <f>IF($U799="","",$P799&amp;"|"&amp;RIGHT("000000"&amp;$U799,6))</f>
        <v/>
      </c>
      <c r="W799">
        <f>IF($T799="","",COUNTIFS(LdBGroup,$R799,LdBKey,"&lt;"&amp;$T799)+1)</f>
        <v/>
      </c>
      <c r="X799">
        <f>IF($W799="","",$R799&amp;"|"&amp;RIGHT("000000"&amp;$W799,6))</f>
        <v/>
      </c>
      <c r="Y799">
        <f>IF($P799="","",IF(Shares!$E802="",0,Shares!$E802))</f>
        <v/>
      </c>
      <c r="Z799">
        <f>IF($P799="","",Shares!$H802)</f>
        <v/>
      </c>
      <c r="AE799">
        <f>IF(OR(Sync!$S799="",Sync!$P799=""),"",Sync!$S799)</f>
        <v/>
      </c>
      <c r="AF799">
        <f>IF($AE799="","",IF(ISNUMBER(Sync!$P799),IF(AND(Sync!$P799&gt;=10000101,Sync!$P799&lt;=99991231),INT(Sync!$P799/10000),""),IFERROR(VALUE(TRIM(LEFT(Sync!$P799,FIND("/",Sync!$P799)-1))),"")))</f>
        <v/>
      </c>
      <c r="AG799">
        <f>IF(OR($AE799="",$AF799=""),"",IF(ISNUMBER(Sync!$P799),INT(MOD(Sync!$P799,10000)/100),IFERROR(VALUE(TRIM(LEFT(MID(Sync!$P799,FIND("/",Sync!$P799)+1,20),FIND("/",MID(Sync!$P799,FIND("/",Sync!$P799)+1,20))-1))),"")))</f>
        <v/>
      </c>
      <c r="AH799">
        <f>IF(OR($AE799="",$AF799=""),"",IF(ISNUMBER(Sync!$P799),MOD(Sync!$P799,100),IFERROR(VALUE(TRIM(MID(MID(Sync!$P799,FIND("/",Sync!$P799)+1,20),FIND("/",MID(Sync!$P799,FIND("/",Sync!$P799)+1,20))+1,20))),"")))</f>
        <v/>
      </c>
      <c r="AI799">
        <f>IF($AE799="","",IF(OR($AF799="",$AG799="",$AH799="",$AF799&lt;1300,$AF799&gt;1500,$AG799&lt;1,$AG799&gt;12,$AH799&lt;1,$AH799&gt;31),"نامعتبر",RIGHT("0000"&amp;$AF799,4)&amp;"/"&amp;RIGHT("00"&amp;$AG799,2)&amp;"/"&amp;RIGHT("00"&amp;$AH799,2)))</f>
        <v/>
      </c>
      <c r="AJ799">
        <f>IF($AE799="","",IF(Sync!$Q799="","0000",IF(AND(ISNUMBER(Sync!$Q799),Sync!$Q799&gt;=0,Sync!$Q799&lt;1),RIGHT("00"&amp;HOUR(Sync!$Q799),2)&amp;RIGHT("00"&amp;MINUTE(Sync!$Q799),2),IFERROR(RIGHT("00"&amp;VALUE(LEFT(Sync!$Q799,FIND(":",Sync!$Q799)-1)),2)&amp;RIGHT("00"&amp;VALUE(MID(Sync!$Q799,FIND(":",Sync!$Q799)+1,2)),2),"0000"))))</f>
        <v/>
      </c>
      <c r="AK799">
        <f>IF(OR($AE799="",$AI799="",$AI799="نامعتبر"),"",LEFT($AI799,4)&amp;MID($AI799,6,2)&amp;RIGHT($AI799,2)&amp;$AJ799&amp;"|"&amp;"3"&amp;RIGHT("00000"&amp;794,5))</f>
        <v/>
      </c>
      <c r="AL799">
        <f>IF($AK799="","",COUNTIFS(LdAParty,$AE799,LdAType,1,LdAKey,"&lt;"&amp;$AK799)+COUNTIFS(LdBMember,$AE799,LdBKey,"&lt;"&amp;$AK799)+COUNTIFS(LdCParty,$AE799,LdCKey,"&lt;"&amp;$AK799)+1)</f>
        <v/>
      </c>
      <c r="AM799">
        <f>IF($AL799="","",$AE799&amp;"|"&amp;RIGHT("000000"&amp;$AL799,6))</f>
        <v/>
      </c>
      <c r="AN799">
        <f>IF($AE799="","",IF(Sync!$W799="",0,Sync!$W799))</f>
        <v/>
      </c>
      <c r="AO799">
        <f>IF($AE799="","",IF(Sync!$X799="",0,Sync!$X799))</f>
        <v/>
      </c>
      <c r="AP799">
        <f>IF($AE799="","",Sync!$R799)</f>
        <v/>
      </c>
      <c r="AQ799">
        <f>IF($AE799="","",Sync!$Y799)</f>
        <v/>
      </c>
    </row>
    <row r="800">
      <c r="A800">
        <f>IF(OR(Wages!$B803="",Wages!$E803=""),"",Wages!$E803)</f>
        <v/>
      </c>
      <c r="B800">
        <f>IF($A800="","",IF(Wages!$C803="دستمزد گروهی",2,1))</f>
        <v/>
      </c>
      <c r="C800">
        <f>IF($A800="","",IF(ISNUMBER(Wages!$B803),IF(AND(Wages!$B803&gt;=10000101,Wages!$B803&lt;=99991231),INT(Wages!$B803/10000),""),IFERROR(VALUE(TRIM(LEFT(Wages!$B803,FIND("/",Wages!$B803)-1))),"")))</f>
        <v/>
      </c>
      <c r="D800">
        <f>IF(OR($A800="",$C800=""),"",IF(ISNUMBER(Wages!$B803),INT(MOD(Wages!$B803,10000)/100),IFERROR(VALUE(TRIM(LEFT(MID(Wages!$B803,FIND("/",Wages!$B803)+1,20),FIND("/",MID(Wages!$B803,FIND("/",Wages!$B803)+1,20))-1))),"")))</f>
        <v/>
      </c>
      <c r="E800">
        <f>IF(OR($A800="",$C800=""),"",IF(ISNUMBER(Wages!$B803),MOD(Wages!$B803,100),IFERROR(VALUE(TRIM(MID(MID(Wages!$B803,FIND("/",Wages!$B803)+1,20),FIND("/",MID(Wages!$B803,FIND("/",Wages!$B803)+1,20))+1,20))),"")))</f>
        <v/>
      </c>
      <c r="F800">
        <f>IF($A800="","",IF(OR($C800="",$D800="",$E800="",$C800&lt;1300,$C800&gt;1500,$D800&lt;1,$D800&gt;12,$E800&lt;1,$E800&gt;31),"نامعتبر",RIGHT("0000"&amp;$C800,4)&amp;"/"&amp;RIGHT("00"&amp;$D800,2)&amp;"/"&amp;RIGHT("00"&amp;$E800,2)))</f>
        <v/>
      </c>
      <c r="G800">
        <f>IF(OR($A800="",$F800="",$F800="نامعتبر"),"",LEFT($F800,4)&amp;MID($F800,6,2)&amp;RIGHT($F800,2)&amp;"0000"&amp;"|"&amp;"1"&amp;RIGHT("00000"&amp;795,5))</f>
        <v/>
      </c>
      <c r="H800">
        <f>IF(OR($B800&lt;&gt;1,$G800=""),"",COUNTIFS(LdAParty,$A800,LdAType,1,LdAKey,"&lt;"&amp;$G800)+COUNTIFS(LdBMember,$A800,LdBKey,"&lt;"&amp;$G800)+COUNTIFS(LdCParty,$A800,LdCKey,"&lt;"&amp;$G800)+1)</f>
        <v/>
      </c>
      <c r="I800">
        <f>IF($H800="","",$A800&amp;"|"&amp;RIGHT("000000"&amp;$H800,6))</f>
        <v/>
      </c>
      <c r="J800">
        <f>IF(OR($B800&lt;&gt;2,$G800=""),"",COUNTIFS(LdAParty,$A800,LdAType,2,LdAKey,"&lt;"&amp;$G800)+1)</f>
        <v/>
      </c>
      <c r="K800">
        <f>IF($J800="","",$A800&amp;"|"&amp;RIGHT("000000"&amp;$J800,6))</f>
        <v/>
      </c>
      <c r="L800">
        <f>IF($A800="","",IF(Wages!$G803="",0,Wages!$G803))</f>
        <v/>
      </c>
      <c r="M800">
        <f>IF($A800="","",Wages!$J803)</f>
        <v/>
      </c>
      <c r="N800">
        <f>IF($A800="","",Wages!$D803)</f>
        <v/>
      </c>
      <c r="P800">
        <f>IF(OR(Shares!$B803="",Shares!$C803=""),"",Shares!$C803)</f>
        <v/>
      </c>
      <c r="Q800">
        <f>IF($P800="","",Shares!$B803)</f>
        <v/>
      </c>
      <c r="R800">
        <f>IF($P800="","",IFERROR(INDEX(WageParty,MATCH($Q800,WageIds,0)),""))</f>
        <v/>
      </c>
      <c r="S800">
        <f>IF($P800="","",IFERROR(INDEX($F$6:$F$2005,MATCH($Q800,WageIds,0)),""))</f>
        <v/>
      </c>
      <c r="T800">
        <f>IF(OR($P800="",$S800="",$S800="نامعتبر"),"",LEFT($S800,4)&amp;MID($S800,6,2)&amp;RIGHT($S800,2)&amp;"0000"&amp;"|"&amp;"2"&amp;RIGHT("00000"&amp;795,5))</f>
        <v/>
      </c>
      <c r="U800">
        <f>IF($T800="","",COUNTIFS(LdAParty,$P800,LdAType,1,LdAKey,"&lt;"&amp;$T800)+COUNTIFS(LdBMember,$P800,LdBKey,"&lt;"&amp;$T800)+COUNTIFS(LdCParty,$P800,LdCKey,"&lt;"&amp;$T800)+1)</f>
        <v/>
      </c>
      <c r="V800">
        <f>IF($U800="","",$P800&amp;"|"&amp;RIGHT("000000"&amp;$U800,6))</f>
        <v/>
      </c>
      <c r="W800">
        <f>IF($T800="","",COUNTIFS(LdBGroup,$R800,LdBKey,"&lt;"&amp;$T800)+1)</f>
        <v/>
      </c>
      <c r="X800">
        <f>IF($W800="","",$R800&amp;"|"&amp;RIGHT("000000"&amp;$W800,6))</f>
        <v/>
      </c>
      <c r="Y800">
        <f>IF($P800="","",IF(Shares!$E803="",0,Shares!$E803))</f>
        <v/>
      </c>
      <c r="Z800">
        <f>IF($P800="","",Shares!$H803)</f>
        <v/>
      </c>
      <c r="AE800">
        <f>IF(OR(Sync!$S800="",Sync!$P800=""),"",Sync!$S800)</f>
        <v/>
      </c>
      <c r="AF800">
        <f>IF($AE800="","",IF(ISNUMBER(Sync!$P800),IF(AND(Sync!$P800&gt;=10000101,Sync!$P800&lt;=99991231),INT(Sync!$P800/10000),""),IFERROR(VALUE(TRIM(LEFT(Sync!$P800,FIND("/",Sync!$P800)-1))),"")))</f>
        <v/>
      </c>
      <c r="AG800">
        <f>IF(OR($AE800="",$AF800=""),"",IF(ISNUMBER(Sync!$P800),INT(MOD(Sync!$P800,10000)/100),IFERROR(VALUE(TRIM(LEFT(MID(Sync!$P800,FIND("/",Sync!$P800)+1,20),FIND("/",MID(Sync!$P800,FIND("/",Sync!$P800)+1,20))-1))),"")))</f>
        <v/>
      </c>
      <c r="AH800">
        <f>IF(OR($AE800="",$AF800=""),"",IF(ISNUMBER(Sync!$P800),MOD(Sync!$P800,100),IFERROR(VALUE(TRIM(MID(MID(Sync!$P800,FIND("/",Sync!$P800)+1,20),FIND("/",MID(Sync!$P800,FIND("/",Sync!$P800)+1,20))+1,20))),"")))</f>
        <v/>
      </c>
      <c r="AI800">
        <f>IF($AE800="","",IF(OR($AF800="",$AG800="",$AH800="",$AF800&lt;1300,$AF800&gt;1500,$AG800&lt;1,$AG800&gt;12,$AH800&lt;1,$AH800&gt;31),"نامعتبر",RIGHT("0000"&amp;$AF800,4)&amp;"/"&amp;RIGHT("00"&amp;$AG800,2)&amp;"/"&amp;RIGHT("00"&amp;$AH800,2)))</f>
        <v/>
      </c>
      <c r="AJ800">
        <f>IF($AE800="","",IF(Sync!$Q800="","0000",IF(AND(ISNUMBER(Sync!$Q800),Sync!$Q800&gt;=0,Sync!$Q800&lt;1),RIGHT("00"&amp;HOUR(Sync!$Q800),2)&amp;RIGHT("00"&amp;MINUTE(Sync!$Q800),2),IFERROR(RIGHT("00"&amp;VALUE(LEFT(Sync!$Q800,FIND(":",Sync!$Q800)-1)),2)&amp;RIGHT("00"&amp;VALUE(MID(Sync!$Q800,FIND(":",Sync!$Q800)+1,2)),2),"0000"))))</f>
        <v/>
      </c>
      <c r="AK800">
        <f>IF(OR($AE800="",$AI800="",$AI800="نامعتبر"),"",LEFT($AI800,4)&amp;MID($AI800,6,2)&amp;RIGHT($AI800,2)&amp;$AJ800&amp;"|"&amp;"3"&amp;RIGHT("00000"&amp;795,5))</f>
        <v/>
      </c>
      <c r="AL800">
        <f>IF($AK800="","",COUNTIFS(LdAParty,$AE800,LdAType,1,LdAKey,"&lt;"&amp;$AK800)+COUNTIFS(LdBMember,$AE800,LdBKey,"&lt;"&amp;$AK800)+COUNTIFS(LdCParty,$AE800,LdCKey,"&lt;"&amp;$AK800)+1)</f>
        <v/>
      </c>
      <c r="AM800">
        <f>IF($AL800="","",$AE800&amp;"|"&amp;RIGHT("000000"&amp;$AL800,6))</f>
        <v/>
      </c>
      <c r="AN800">
        <f>IF($AE800="","",IF(Sync!$W800="",0,Sync!$W800))</f>
        <v/>
      </c>
      <c r="AO800">
        <f>IF($AE800="","",IF(Sync!$X800="",0,Sync!$X800))</f>
        <v/>
      </c>
      <c r="AP800">
        <f>IF($AE800="","",Sync!$R800)</f>
        <v/>
      </c>
      <c r="AQ800">
        <f>IF($AE800="","",Sync!$Y800)</f>
        <v/>
      </c>
    </row>
    <row r="801">
      <c r="A801">
        <f>IF(OR(Wages!$B804="",Wages!$E804=""),"",Wages!$E804)</f>
        <v/>
      </c>
      <c r="B801">
        <f>IF($A801="","",IF(Wages!$C804="دستمزد گروهی",2,1))</f>
        <v/>
      </c>
      <c r="C801">
        <f>IF($A801="","",IF(ISNUMBER(Wages!$B804),IF(AND(Wages!$B804&gt;=10000101,Wages!$B804&lt;=99991231),INT(Wages!$B804/10000),""),IFERROR(VALUE(TRIM(LEFT(Wages!$B804,FIND("/",Wages!$B804)-1))),"")))</f>
        <v/>
      </c>
      <c r="D801">
        <f>IF(OR($A801="",$C801=""),"",IF(ISNUMBER(Wages!$B804),INT(MOD(Wages!$B804,10000)/100),IFERROR(VALUE(TRIM(LEFT(MID(Wages!$B804,FIND("/",Wages!$B804)+1,20),FIND("/",MID(Wages!$B804,FIND("/",Wages!$B804)+1,20))-1))),"")))</f>
        <v/>
      </c>
      <c r="E801">
        <f>IF(OR($A801="",$C801=""),"",IF(ISNUMBER(Wages!$B804),MOD(Wages!$B804,100),IFERROR(VALUE(TRIM(MID(MID(Wages!$B804,FIND("/",Wages!$B804)+1,20),FIND("/",MID(Wages!$B804,FIND("/",Wages!$B804)+1,20))+1,20))),"")))</f>
        <v/>
      </c>
      <c r="F801">
        <f>IF($A801="","",IF(OR($C801="",$D801="",$E801="",$C801&lt;1300,$C801&gt;1500,$D801&lt;1,$D801&gt;12,$E801&lt;1,$E801&gt;31),"نامعتبر",RIGHT("0000"&amp;$C801,4)&amp;"/"&amp;RIGHT("00"&amp;$D801,2)&amp;"/"&amp;RIGHT("00"&amp;$E801,2)))</f>
        <v/>
      </c>
      <c r="G801">
        <f>IF(OR($A801="",$F801="",$F801="نامعتبر"),"",LEFT($F801,4)&amp;MID($F801,6,2)&amp;RIGHT($F801,2)&amp;"0000"&amp;"|"&amp;"1"&amp;RIGHT("00000"&amp;796,5))</f>
        <v/>
      </c>
      <c r="H801">
        <f>IF(OR($B801&lt;&gt;1,$G801=""),"",COUNTIFS(LdAParty,$A801,LdAType,1,LdAKey,"&lt;"&amp;$G801)+COUNTIFS(LdBMember,$A801,LdBKey,"&lt;"&amp;$G801)+COUNTIFS(LdCParty,$A801,LdCKey,"&lt;"&amp;$G801)+1)</f>
        <v/>
      </c>
      <c r="I801">
        <f>IF($H801="","",$A801&amp;"|"&amp;RIGHT("000000"&amp;$H801,6))</f>
        <v/>
      </c>
      <c r="J801">
        <f>IF(OR($B801&lt;&gt;2,$G801=""),"",COUNTIFS(LdAParty,$A801,LdAType,2,LdAKey,"&lt;"&amp;$G801)+1)</f>
        <v/>
      </c>
      <c r="K801">
        <f>IF($J801="","",$A801&amp;"|"&amp;RIGHT("000000"&amp;$J801,6))</f>
        <v/>
      </c>
      <c r="L801">
        <f>IF($A801="","",IF(Wages!$G804="",0,Wages!$G804))</f>
        <v/>
      </c>
      <c r="M801">
        <f>IF($A801="","",Wages!$J804)</f>
        <v/>
      </c>
      <c r="N801">
        <f>IF($A801="","",Wages!$D804)</f>
        <v/>
      </c>
      <c r="P801">
        <f>IF(OR(Shares!$B804="",Shares!$C804=""),"",Shares!$C804)</f>
        <v/>
      </c>
      <c r="Q801">
        <f>IF($P801="","",Shares!$B804)</f>
        <v/>
      </c>
      <c r="R801">
        <f>IF($P801="","",IFERROR(INDEX(WageParty,MATCH($Q801,WageIds,0)),""))</f>
        <v/>
      </c>
      <c r="S801">
        <f>IF($P801="","",IFERROR(INDEX($F$6:$F$2005,MATCH($Q801,WageIds,0)),""))</f>
        <v/>
      </c>
      <c r="T801">
        <f>IF(OR($P801="",$S801="",$S801="نامعتبر"),"",LEFT($S801,4)&amp;MID($S801,6,2)&amp;RIGHT($S801,2)&amp;"0000"&amp;"|"&amp;"2"&amp;RIGHT("00000"&amp;796,5))</f>
        <v/>
      </c>
      <c r="U801">
        <f>IF($T801="","",COUNTIFS(LdAParty,$P801,LdAType,1,LdAKey,"&lt;"&amp;$T801)+COUNTIFS(LdBMember,$P801,LdBKey,"&lt;"&amp;$T801)+COUNTIFS(LdCParty,$P801,LdCKey,"&lt;"&amp;$T801)+1)</f>
        <v/>
      </c>
      <c r="V801">
        <f>IF($U801="","",$P801&amp;"|"&amp;RIGHT("000000"&amp;$U801,6))</f>
        <v/>
      </c>
      <c r="W801">
        <f>IF($T801="","",COUNTIFS(LdBGroup,$R801,LdBKey,"&lt;"&amp;$T801)+1)</f>
        <v/>
      </c>
      <c r="X801">
        <f>IF($W801="","",$R801&amp;"|"&amp;RIGHT("000000"&amp;$W801,6))</f>
        <v/>
      </c>
      <c r="Y801">
        <f>IF($P801="","",IF(Shares!$E804="",0,Shares!$E804))</f>
        <v/>
      </c>
      <c r="Z801">
        <f>IF($P801="","",Shares!$H804)</f>
        <v/>
      </c>
      <c r="AE801">
        <f>IF(OR(Sync!$S801="",Sync!$P801=""),"",Sync!$S801)</f>
        <v/>
      </c>
      <c r="AF801">
        <f>IF($AE801="","",IF(ISNUMBER(Sync!$P801),IF(AND(Sync!$P801&gt;=10000101,Sync!$P801&lt;=99991231),INT(Sync!$P801/10000),""),IFERROR(VALUE(TRIM(LEFT(Sync!$P801,FIND("/",Sync!$P801)-1))),"")))</f>
        <v/>
      </c>
      <c r="AG801">
        <f>IF(OR($AE801="",$AF801=""),"",IF(ISNUMBER(Sync!$P801),INT(MOD(Sync!$P801,10000)/100),IFERROR(VALUE(TRIM(LEFT(MID(Sync!$P801,FIND("/",Sync!$P801)+1,20),FIND("/",MID(Sync!$P801,FIND("/",Sync!$P801)+1,20))-1))),"")))</f>
        <v/>
      </c>
      <c r="AH801">
        <f>IF(OR($AE801="",$AF801=""),"",IF(ISNUMBER(Sync!$P801),MOD(Sync!$P801,100),IFERROR(VALUE(TRIM(MID(MID(Sync!$P801,FIND("/",Sync!$P801)+1,20),FIND("/",MID(Sync!$P801,FIND("/",Sync!$P801)+1,20))+1,20))),"")))</f>
        <v/>
      </c>
      <c r="AI801">
        <f>IF($AE801="","",IF(OR($AF801="",$AG801="",$AH801="",$AF801&lt;1300,$AF801&gt;1500,$AG801&lt;1,$AG801&gt;12,$AH801&lt;1,$AH801&gt;31),"نامعتبر",RIGHT("0000"&amp;$AF801,4)&amp;"/"&amp;RIGHT("00"&amp;$AG801,2)&amp;"/"&amp;RIGHT("00"&amp;$AH801,2)))</f>
        <v/>
      </c>
      <c r="AJ801">
        <f>IF($AE801="","",IF(Sync!$Q801="","0000",IF(AND(ISNUMBER(Sync!$Q801),Sync!$Q801&gt;=0,Sync!$Q801&lt;1),RIGHT("00"&amp;HOUR(Sync!$Q801),2)&amp;RIGHT("00"&amp;MINUTE(Sync!$Q801),2),IFERROR(RIGHT("00"&amp;VALUE(LEFT(Sync!$Q801,FIND(":",Sync!$Q801)-1)),2)&amp;RIGHT("00"&amp;VALUE(MID(Sync!$Q801,FIND(":",Sync!$Q801)+1,2)),2),"0000"))))</f>
        <v/>
      </c>
      <c r="AK801">
        <f>IF(OR($AE801="",$AI801="",$AI801="نامعتبر"),"",LEFT($AI801,4)&amp;MID($AI801,6,2)&amp;RIGHT($AI801,2)&amp;$AJ801&amp;"|"&amp;"3"&amp;RIGHT("00000"&amp;796,5))</f>
        <v/>
      </c>
      <c r="AL801">
        <f>IF($AK801="","",COUNTIFS(LdAParty,$AE801,LdAType,1,LdAKey,"&lt;"&amp;$AK801)+COUNTIFS(LdBMember,$AE801,LdBKey,"&lt;"&amp;$AK801)+COUNTIFS(LdCParty,$AE801,LdCKey,"&lt;"&amp;$AK801)+1)</f>
        <v/>
      </c>
      <c r="AM801">
        <f>IF($AL801="","",$AE801&amp;"|"&amp;RIGHT("000000"&amp;$AL801,6))</f>
        <v/>
      </c>
      <c r="AN801">
        <f>IF($AE801="","",IF(Sync!$W801="",0,Sync!$W801))</f>
        <v/>
      </c>
      <c r="AO801">
        <f>IF($AE801="","",IF(Sync!$X801="",0,Sync!$X801))</f>
        <v/>
      </c>
      <c r="AP801">
        <f>IF($AE801="","",Sync!$R801)</f>
        <v/>
      </c>
      <c r="AQ801">
        <f>IF($AE801="","",Sync!$Y801)</f>
        <v/>
      </c>
    </row>
    <row r="802">
      <c r="A802">
        <f>IF(OR(Wages!$B805="",Wages!$E805=""),"",Wages!$E805)</f>
        <v/>
      </c>
      <c r="B802">
        <f>IF($A802="","",IF(Wages!$C805="دستمزد گروهی",2,1))</f>
        <v/>
      </c>
      <c r="C802">
        <f>IF($A802="","",IF(ISNUMBER(Wages!$B805),IF(AND(Wages!$B805&gt;=10000101,Wages!$B805&lt;=99991231),INT(Wages!$B805/10000),""),IFERROR(VALUE(TRIM(LEFT(Wages!$B805,FIND("/",Wages!$B805)-1))),"")))</f>
        <v/>
      </c>
      <c r="D802">
        <f>IF(OR($A802="",$C802=""),"",IF(ISNUMBER(Wages!$B805),INT(MOD(Wages!$B805,10000)/100),IFERROR(VALUE(TRIM(LEFT(MID(Wages!$B805,FIND("/",Wages!$B805)+1,20),FIND("/",MID(Wages!$B805,FIND("/",Wages!$B805)+1,20))-1))),"")))</f>
        <v/>
      </c>
      <c r="E802">
        <f>IF(OR($A802="",$C802=""),"",IF(ISNUMBER(Wages!$B805),MOD(Wages!$B805,100),IFERROR(VALUE(TRIM(MID(MID(Wages!$B805,FIND("/",Wages!$B805)+1,20),FIND("/",MID(Wages!$B805,FIND("/",Wages!$B805)+1,20))+1,20))),"")))</f>
        <v/>
      </c>
      <c r="F802">
        <f>IF($A802="","",IF(OR($C802="",$D802="",$E802="",$C802&lt;1300,$C802&gt;1500,$D802&lt;1,$D802&gt;12,$E802&lt;1,$E802&gt;31),"نامعتبر",RIGHT("0000"&amp;$C802,4)&amp;"/"&amp;RIGHT("00"&amp;$D802,2)&amp;"/"&amp;RIGHT("00"&amp;$E802,2)))</f>
        <v/>
      </c>
      <c r="G802">
        <f>IF(OR($A802="",$F802="",$F802="نامعتبر"),"",LEFT($F802,4)&amp;MID($F802,6,2)&amp;RIGHT($F802,2)&amp;"0000"&amp;"|"&amp;"1"&amp;RIGHT("00000"&amp;797,5))</f>
        <v/>
      </c>
      <c r="H802">
        <f>IF(OR($B802&lt;&gt;1,$G802=""),"",COUNTIFS(LdAParty,$A802,LdAType,1,LdAKey,"&lt;"&amp;$G802)+COUNTIFS(LdBMember,$A802,LdBKey,"&lt;"&amp;$G802)+COUNTIFS(LdCParty,$A802,LdCKey,"&lt;"&amp;$G802)+1)</f>
        <v/>
      </c>
      <c r="I802">
        <f>IF($H802="","",$A802&amp;"|"&amp;RIGHT("000000"&amp;$H802,6))</f>
        <v/>
      </c>
      <c r="J802">
        <f>IF(OR($B802&lt;&gt;2,$G802=""),"",COUNTIFS(LdAParty,$A802,LdAType,2,LdAKey,"&lt;"&amp;$G802)+1)</f>
        <v/>
      </c>
      <c r="K802">
        <f>IF($J802="","",$A802&amp;"|"&amp;RIGHT("000000"&amp;$J802,6))</f>
        <v/>
      </c>
      <c r="L802">
        <f>IF($A802="","",IF(Wages!$G805="",0,Wages!$G805))</f>
        <v/>
      </c>
      <c r="M802">
        <f>IF($A802="","",Wages!$J805)</f>
        <v/>
      </c>
      <c r="N802">
        <f>IF($A802="","",Wages!$D805)</f>
        <v/>
      </c>
      <c r="P802">
        <f>IF(OR(Shares!$B805="",Shares!$C805=""),"",Shares!$C805)</f>
        <v/>
      </c>
      <c r="Q802">
        <f>IF($P802="","",Shares!$B805)</f>
        <v/>
      </c>
      <c r="R802">
        <f>IF($P802="","",IFERROR(INDEX(WageParty,MATCH($Q802,WageIds,0)),""))</f>
        <v/>
      </c>
      <c r="S802">
        <f>IF($P802="","",IFERROR(INDEX($F$6:$F$2005,MATCH($Q802,WageIds,0)),""))</f>
        <v/>
      </c>
      <c r="T802">
        <f>IF(OR($P802="",$S802="",$S802="نامعتبر"),"",LEFT($S802,4)&amp;MID($S802,6,2)&amp;RIGHT($S802,2)&amp;"0000"&amp;"|"&amp;"2"&amp;RIGHT("00000"&amp;797,5))</f>
        <v/>
      </c>
      <c r="U802">
        <f>IF($T802="","",COUNTIFS(LdAParty,$P802,LdAType,1,LdAKey,"&lt;"&amp;$T802)+COUNTIFS(LdBMember,$P802,LdBKey,"&lt;"&amp;$T802)+COUNTIFS(LdCParty,$P802,LdCKey,"&lt;"&amp;$T802)+1)</f>
        <v/>
      </c>
      <c r="V802">
        <f>IF($U802="","",$P802&amp;"|"&amp;RIGHT("000000"&amp;$U802,6))</f>
        <v/>
      </c>
      <c r="W802">
        <f>IF($T802="","",COUNTIFS(LdBGroup,$R802,LdBKey,"&lt;"&amp;$T802)+1)</f>
        <v/>
      </c>
      <c r="X802">
        <f>IF($W802="","",$R802&amp;"|"&amp;RIGHT("000000"&amp;$W802,6))</f>
        <v/>
      </c>
      <c r="Y802">
        <f>IF($P802="","",IF(Shares!$E805="",0,Shares!$E805))</f>
        <v/>
      </c>
      <c r="Z802">
        <f>IF($P802="","",Shares!$H805)</f>
        <v/>
      </c>
      <c r="AE802">
        <f>IF(OR(Sync!$S802="",Sync!$P802=""),"",Sync!$S802)</f>
        <v/>
      </c>
      <c r="AF802">
        <f>IF($AE802="","",IF(ISNUMBER(Sync!$P802),IF(AND(Sync!$P802&gt;=10000101,Sync!$P802&lt;=99991231),INT(Sync!$P802/10000),""),IFERROR(VALUE(TRIM(LEFT(Sync!$P802,FIND("/",Sync!$P802)-1))),"")))</f>
        <v/>
      </c>
      <c r="AG802">
        <f>IF(OR($AE802="",$AF802=""),"",IF(ISNUMBER(Sync!$P802),INT(MOD(Sync!$P802,10000)/100),IFERROR(VALUE(TRIM(LEFT(MID(Sync!$P802,FIND("/",Sync!$P802)+1,20),FIND("/",MID(Sync!$P802,FIND("/",Sync!$P802)+1,20))-1))),"")))</f>
        <v/>
      </c>
      <c r="AH802">
        <f>IF(OR($AE802="",$AF802=""),"",IF(ISNUMBER(Sync!$P802),MOD(Sync!$P802,100),IFERROR(VALUE(TRIM(MID(MID(Sync!$P802,FIND("/",Sync!$P802)+1,20),FIND("/",MID(Sync!$P802,FIND("/",Sync!$P802)+1,20))+1,20))),"")))</f>
        <v/>
      </c>
      <c r="AI802">
        <f>IF($AE802="","",IF(OR($AF802="",$AG802="",$AH802="",$AF802&lt;1300,$AF802&gt;1500,$AG802&lt;1,$AG802&gt;12,$AH802&lt;1,$AH802&gt;31),"نامعتبر",RIGHT("0000"&amp;$AF802,4)&amp;"/"&amp;RIGHT("00"&amp;$AG802,2)&amp;"/"&amp;RIGHT("00"&amp;$AH802,2)))</f>
        <v/>
      </c>
      <c r="AJ802">
        <f>IF($AE802="","",IF(Sync!$Q802="","0000",IF(AND(ISNUMBER(Sync!$Q802),Sync!$Q802&gt;=0,Sync!$Q802&lt;1),RIGHT("00"&amp;HOUR(Sync!$Q802),2)&amp;RIGHT("00"&amp;MINUTE(Sync!$Q802),2),IFERROR(RIGHT("00"&amp;VALUE(LEFT(Sync!$Q802,FIND(":",Sync!$Q802)-1)),2)&amp;RIGHT("00"&amp;VALUE(MID(Sync!$Q802,FIND(":",Sync!$Q802)+1,2)),2),"0000"))))</f>
        <v/>
      </c>
      <c r="AK802">
        <f>IF(OR($AE802="",$AI802="",$AI802="نامعتبر"),"",LEFT($AI802,4)&amp;MID($AI802,6,2)&amp;RIGHT($AI802,2)&amp;$AJ802&amp;"|"&amp;"3"&amp;RIGHT("00000"&amp;797,5))</f>
        <v/>
      </c>
      <c r="AL802">
        <f>IF($AK802="","",COUNTIFS(LdAParty,$AE802,LdAType,1,LdAKey,"&lt;"&amp;$AK802)+COUNTIFS(LdBMember,$AE802,LdBKey,"&lt;"&amp;$AK802)+COUNTIFS(LdCParty,$AE802,LdCKey,"&lt;"&amp;$AK802)+1)</f>
        <v/>
      </c>
      <c r="AM802">
        <f>IF($AL802="","",$AE802&amp;"|"&amp;RIGHT("000000"&amp;$AL802,6))</f>
        <v/>
      </c>
      <c r="AN802">
        <f>IF($AE802="","",IF(Sync!$W802="",0,Sync!$W802))</f>
        <v/>
      </c>
      <c r="AO802">
        <f>IF($AE802="","",IF(Sync!$X802="",0,Sync!$X802))</f>
        <v/>
      </c>
      <c r="AP802">
        <f>IF($AE802="","",Sync!$R802)</f>
        <v/>
      </c>
      <c r="AQ802">
        <f>IF($AE802="","",Sync!$Y802)</f>
        <v/>
      </c>
    </row>
    <row r="803">
      <c r="A803">
        <f>IF(OR(Wages!$B806="",Wages!$E806=""),"",Wages!$E806)</f>
        <v/>
      </c>
      <c r="B803">
        <f>IF($A803="","",IF(Wages!$C806="دستمزد گروهی",2,1))</f>
        <v/>
      </c>
      <c r="C803">
        <f>IF($A803="","",IF(ISNUMBER(Wages!$B806),IF(AND(Wages!$B806&gt;=10000101,Wages!$B806&lt;=99991231),INT(Wages!$B806/10000),""),IFERROR(VALUE(TRIM(LEFT(Wages!$B806,FIND("/",Wages!$B806)-1))),"")))</f>
        <v/>
      </c>
      <c r="D803">
        <f>IF(OR($A803="",$C803=""),"",IF(ISNUMBER(Wages!$B806),INT(MOD(Wages!$B806,10000)/100),IFERROR(VALUE(TRIM(LEFT(MID(Wages!$B806,FIND("/",Wages!$B806)+1,20),FIND("/",MID(Wages!$B806,FIND("/",Wages!$B806)+1,20))-1))),"")))</f>
        <v/>
      </c>
      <c r="E803">
        <f>IF(OR($A803="",$C803=""),"",IF(ISNUMBER(Wages!$B806),MOD(Wages!$B806,100),IFERROR(VALUE(TRIM(MID(MID(Wages!$B806,FIND("/",Wages!$B806)+1,20),FIND("/",MID(Wages!$B806,FIND("/",Wages!$B806)+1,20))+1,20))),"")))</f>
        <v/>
      </c>
      <c r="F803">
        <f>IF($A803="","",IF(OR($C803="",$D803="",$E803="",$C803&lt;1300,$C803&gt;1500,$D803&lt;1,$D803&gt;12,$E803&lt;1,$E803&gt;31),"نامعتبر",RIGHT("0000"&amp;$C803,4)&amp;"/"&amp;RIGHT("00"&amp;$D803,2)&amp;"/"&amp;RIGHT("00"&amp;$E803,2)))</f>
        <v/>
      </c>
      <c r="G803">
        <f>IF(OR($A803="",$F803="",$F803="نامعتبر"),"",LEFT($F803,4)&amp;MID($F803,6,2)&amp;RIGHT($F803,2)&amp;"0000"&amp;"|"&amp;"1"&amp;RIGHT("00000"&amp;798,5))</f>
        <v/>
      </c>
      <c r="H803">
        <f>IF(OR($B803&lt;&gt;1,$G803=""),"",COUNTIFS(LdAParty,$A803,LdAType,1,LdAKey,"&lt;"&amp;$G803)+COUNTIFS(LdBMember,$A803,LdBKey,"&lt;"&amp;$G803)+COUNTIFS(LdCParty,$A803,LdCKey,"&lt;"&amp;$G803)+1)</f>
        <v/>
      </c>
      <c r="I803">
        <f>IF($H803="","",$A803&amp;"|"&amp;RIGHT("000000"&amp;$H803,6))</f>
        <v/>
      </c>
      <c r="J803">
        <f>IF(OR($B803&lt;&gt;2,$G803=""),"",COUNTIFS(LdAParty,$A803,LdAType,2,LdAKey,"&lt;"&amp;$G803)+1)</f>
        <v/>
      </c>
      <c r="K803">
        <f>IF($J803="","",$A803&amp;"|"&amp;RIGHT("000000"&amp;$J803,6))</f>
        <v/>
      </c>
      <c r="L803">
        <f>IF($A803="","",IF(Wages!$G806="",0,Wages!$G806))</f>
        <v/>
      </c>
      <c r="M803">
        <f>IF($A803="","",Wages!$J806)</f>
        <v/>
      </c>
      <c r="N803">
        <f>IF($A803="","",Wages!$D806)</f>
        <v/>
      </c>
      <c r="P803">
        <f>IF(OR(Shares!$B806="",Shares!$C806=""),"",Shares!$C806)</f>
        <v/>
      </c>
      <c r="Q803">
        <f>IF($P803="","",Shares!$B806)</f>
        <v/>
      </c>
      <c r="R803">
        <f>IF($P803="","",IFERROR(INDEX(WageParty,MATCH($Q803,WageIds,0)),""))</f>
        <v/>
      </c>
      <c r="S803">
        <f>IF($P803="","",IFERROR(INDEX($F$6:$F$2005,MATCH($Q803,WageIds,0)),""))</f>
        <v/>
      </c>
      <c r="T803">
        <f>IF(OR($P803="",$S803="",$S803="نامعتبر"),"",LEFT($S803,4)&amp;MID($S803,6,2)&amp;RIGHT($S803,2)&amp;"0000"&amp;"|"&amp;"2"&amp;RIGHT("00000"&amp;798,5))</f>
        <v/>
      </c>
      <c r="U803">
        <f>IF($T803="","",COUNTIFS(LdAParty,$P803,LdAType,1,LdAKey,"&lt;"&amp;$T803)+COUNTIFS(LdBMember,$P803,LdBKey,"&lt;"&amp;$T803)+COUNTIFS(LdCParty,$P803,LdCKey,"&lt;"&amp;$T803)+1)</f>
        <v/>
      </c>
      <c r="V803">
        <f>IF($U803="","",$P803&amp;"|"&amp;RIGHT("000000"&amp;$U803,6))</f>
        <v/>
      </c>
      <c r="W803">
        <f>IF($T803="","",COUNTIFS(LdBGroup,$R803,LdBKey,"&lt;"&amp;$T803)+1)</f>
        <v/>
      </c>
      <c r="X803">
        <f>IF($W803="","",$R803&amp;"|"&amp;RIGHT("000000"&amp;$W803,6))</f>
        <v/>
      </c>
      <c r="Y803">
        <f>IF($P803="","",IF(Shares!$E806="",0,Shares!$E806))</f>
        <v/>
      </c>
      <c r="Z803">
        <f>IF($P803="","",Shares!$H806)</f>
        <v/>
      </c>
      <c r="AE803">
        <f>IF(OR(Sync!$S803="",Sync!$P803=""),"",Sync!$S803)</f>
        <v/>
      </c>
      <c r="AF803">
        <f>IF($AE803="","",IF(ISNUMBER(Sync!$P803),IF(AND(Sync!$P803&gt;=10000101,Sync!$P803&lt;=99991231),INT(Sync!$P803/10000),""),IFERROR(VALUE(TRIM(LEFT(Sync!$P803,FIND("/",Sync!$P803)-1))),"")))</f>
        <v/>
      </c>
      <c r="AG803">
        <f>IF(OR($AE803="",$AF803=""),"",IF(ISNUMBER(Sync!$P803),INT(MOD(Sync!$P803,10000)/100),IFERROR(VALUE(TRIM(LEFT(MID(Sync!$P803,FIND("/",Sync!$P803)+1,20),FIND("/",MID(Sync!$P803,FIND("/",Sync!$P803)+1,20))-1))),"")))</f>
        <v/>
      </c>
      <c r="AH803">
        <f>IF(OR($AE803="",$AF803=""),"",IF(ISNUMBER(Sync!$P803),MOD(Sync!$P803,100),IFERROR(VALUE(TRIM(MID(MID(Sync!$P803,FIND("/",Sync!$P803)+1,20),FIND("/",MID(Sync!$P803,FIND("/",Sync!$P803)+1,20))+1,20))),"")))</f>
        <v/>
      </c>
      <c r="AI803">
        <f>IF($AE803="","",IF(OR($AF803="",$AG803="",$AH803="",$AF803&lt;1300,$AF803&gt;1500,$AG803&lt;1,$AG803&gt;12,$AH803&lt;1,$AH803&gt;31),"نامعتبر",RIGHT("0000"&amp;$AF803,4)&amp;"/"&amp;RIGHT("00"&amp;$AG803,2)&amp;"/"&amp;RIGHT("00"&amp;$AH803,2)))</f>
        <v/>
      </c>
      <c r="AJ803">
        <f>IF($AE803="","",IF(Sync!$Q803="","0000",IF(AND(ISNUMBER(Sync!$Q803),Sync!$Q803&gt;=0,Sync!$Q803&lt;1),RIGHT("00"&amp;HOUR(Sync!$Q803),2)&amp;RIGHT("00"&amp;MINUTE(Sync!$Q803),2),IFERROR(RIGHT("00"&amp;VALUE(LEFT(Sync!$Q803,FIND(":",Sync!$Q803)-1)),2)&amp;RIGHT("00"&amp;VALUE(MID(Sync!$Q803,FIND(":",Sync!$Q803)+1,2)),2),"0000"))))</f>
        <v/>
      </c>
      <c r="AK803">
        <f>IF(OR($AE803="",$AI803="",$AI803="نامعتبر"),"",LEFT($AI803,4)&amp;MID($AI803,6,2)&amp;RIGHT($AI803,2)&amp;$AJ803&amp;"|"&amp;"3"&amp;RIGHT("00000"&amp;798,5))</f>
        <v/>
      </c>
      <c r="AL803">
        <f>IF($AK803="","",COUNTIFS(LdAParty,$AE803,LdAType,1,LdAKey,"&lt;"&amp;$AK803)+COUNTIFS(LdBMember,$AE803,LdBKey,"&lt;"&amp;$AK803)+COUNTIFS(LdCParty,$AE803,LdCKey,"&lt;"&amp;$AK803)+1)</f>
        <v/>
      </c>
      <c r="AM803">
        <f>IF($AL803="","",$AE803&amp;"|"&amp;RIGHT("000000"&amp;$AL803,6))</f>
        <v/>
      </c>
      <c r="AN803">
        <f>IF($AE803="","",IF(Sync!$W803="",0,Sync!$W803))</f>
        <v/>
      </c>
      <c r="AO803">
        <f>IF($AE803="","",IF(Sync!$X803="",0,Sync!$X803))</f>
        <v/>
      </c>
      <c r="AP803">
        <f>IF($AE803="","",Sync!$R803)</f>
        <v/>
      </c>
      <c r="AQ803">
        <f>IF($AE803="","",Sync!$Y803)</f>
        <v/>
      </c>
    </row>
    <row r="804">
      <c r="A804">
        <f>IF(OR(Wages!$B807="",Wages!$E807=""),"",Wages!$E807)</f>
        <v/>
      </c>
      <c r="B804">
        <f>IF($A804="","",IF(Wages!$C807="دستمزد گروهی",2,1))</f>
        <v/>
      </c>
      <c r="C804">
        <f>IF($A804="","",IF(ISNUMBER(Wages!$B807),IF(AND(Wages!$B807&gt;=10000101,Wages!$B807&lt;=99991231),INT(Wages!$B807/10000),""),IFERROR(VALUE(TRIM(LEFT(Wages!$B807,FIND("/",Wages!$B807)-1))),"")))</f>
        <v/>
      </c>
      <c r="D804">
        <f>IF(OR($A804="",$C804=""),"",IF(ISNUMBER(Wages!$B807),INT(MOD(Wages!$B807,10000)/100),IFERROR(VALUE(TRIM(LEFT(MID(Wages!$B807,FIND("/",Wages!$B807)+1,20),FIND("/",MID(Wages!$B807,FIND("/",Wages!$B807)+1,20))-1))),"")))</f>
        <v/>
      </c>
      <c r="E804">
        <f>IF(OR($A804="",$C804=""),"",IF(ISNUMBER(Wages!$B807),MOD(Wages!$B807,100),IFERROR(VALUE(TRIM(MID(MID(Wages!$B807,FIND("/",Wages!$B807)+1,20),FIND("/",MID(Wages!$B807,FIND("/",Wages!$B807)+1,20))+1,20))),"")))</f>
        <v/>
      </c>
      <c r="F804">
        <f>IF($A804="","",IF(OR($C804="",$D804="",$E804="",$C804&lt;1300,$C804&gt;1500,$D804&lt;1,$D804&gt;12,$E804&lt;1,$E804&gt;31),"نامعتبر",RIGHT("0000"&amp;$C804,4)&amp;"/"&amp;RIGHT("00"&amp;$D804,2)&amp;"/"&amp;RIGHT("00"&amp;$E804,2)))</f>
        <v/>
      </c>
      <c r="G804">
        <f>IF(OR($A804="",$F804="",$F804="نامعتبر"),"",LEFT($F804,4)&amp;MID($F804,6,2)&amp;RIGHT($F804,2)&amp;"0000"&amp;"|"&amp;"1"&amp;RIGHT("00000"&amp;799,5))</f>
        <v/>
      </c>
      <c r="H804">
        <f>IF(OR($B804&lt;&gt;1,$G804=""),"",COUNTIFS(LdAParty,$A804,LdAType,1,LdAKey,"&lt;"&amp;$G804)+COUNTIFS(LdBMember,$A804,LdBKey,"&lt;"&amp;$G804)+COUNTIFS(LdCParty,$A804,LdCKey,"&lt;"&amp;$G804)+1)</f>
        <v/>
      </c>
      <c r="I804">
        <f>IF($H804="","",$A804&amp;"|"&amp;RIGHT("000000"&amp;$H804,6))</f>
        <v/>
      </c>
      <c r="J804">
        <f>IF(OR($B804&lt;&gt;2,$G804=""),"",COUNTIFS(LdAParty,$A804,LdAType,2,LdAKey,"&lt;"&amp;$G804)+1)</f>
        <v/>
      </c>
      <c r="K804">
        <f>IF($J804="","",$A804&amp;"|"&amp;RIGHT("000000"&amp;$J804,6))</f>
        <v/>
      </c>
      <c r="L804">
        <f>IF($A804="","",IF(Wages!$G807="",0,Wages!$G807))</f>
        <v/>
      </c>
      <c r="M804">
        <f>IF($A804="","",Wages!$J807)</f>
        <v/>
      </c>
      <c r="N804">
        <f>IF($A804="","",Wages!$D807)</f>
        <v/>
      </c>
      <c r="P804">
        <f>IF(OR(Shares!$B807="",Shares!$C807=""),"",Shares!$C807)</f>
        <v/>
      </c>
      <c r="Q804">
        <f>IF($P804="","",Shares!$B807)</f>
        <v/>
      </c>
      <c r="R804">
        <f>IF($P804="","",IFERROR(INDEX(WageParty,MATCH($Q804,WageIds,0)),""))</f>
        <v/>
      </c>
      <c r="S804">
        <f>IF($P804="","",IFERROR(INDEX($F$6:$F$2005,MATCH($Q804,WageIds,0)),""))</f>
        <v/>
      </c>
      <c r="T804">
        <f>IF(OR($P804="",$S804="",$S804="نامعتبر"),"",LEFT($S804,4)&amp;MID($S804,6,2)&amp;RIGHT($S804,2)&amp;"0000"&amp;"|"&amp;"2"&amp;RIGHT("00000"&amp;799,5))</f>
        <v/>
      </c>
      <c r="U804">
        <f>IF($T804="","",COUNTIFS(LdAParty,$P804,LdAType,1,LdAKey,"&lt;"&amp;$T804)+COUNTIFS(LdBMember,$P804,LdBKey,"&lt;"&amp;$T804)+COUNTIFS(LdCParty,$P804,LdCKey,"&lt;"&amp;$T804)+1)</f>
        <v/>
      </c>
      <c r="V804">
        <f>IF($U804="","",$P804&amp;"|"&amp;RIGHT("000000"&amp;$U804,6))</f>
        <v/>
      </c>
      <c r="W804">
        <f>IF($T804="","",COUNTIFS(LdBGroup,$R804,LdBKey,"&lt;"&amp;$T804)+1)</f>
        <v/>
      </c>
      <c r="X804">
        <f>IF($W804="","",$R804&amp;"|"&amp;RIGHT("000000"&amp;$W804,6))</f>
        <v/>
      </c>
      <c r="Y804">
        <f>IF($P804="","",IF(Shares!$E807="",0,Shares!$E807))</f>
        <v/>
      </c>
      <c r="Z804">
        <f>IF($P804="","",Shares!$H807)</f>
        <v/>
      </c>
      <c r="AE804">
        <f>IF(OR(Sync!$S804="",Sync!$P804=""),"",Sync!$S804)</f>
        <v/>
      </c>
      <c r="AF804">
        <f>IF($AE804="","",IF(ISNUMBER(Sync!$P804),IF(AND(Sync!$P804&gt;=10000101,Sync!$P804&lt;=99991231),INT(Sync!$P804/10000),""),IFERROR(VALUE(TRIM(LEFT(Sync!$P804,FIND("/",Sync!$P804)-1))),"")))</f>
        <v/>
      </c>
      <c r="AG804">
        <f>IF(OR($AE804="",$AF804=""),"",IF(ISNUMBER(Sync!$P804),INT(MOD(Sync!$P804,10000)/100),IFERROR(VALUE(TRIM(LEFT(MID(Sync!$P804,FIND("/",Sync!$P804)+1,20),FIND("/",MID(Sync!$P804,FIND("/",Sync!$P804)+1,20))-1))),"")))</f>
        <v/>
      </c>
      <c r="AH804">
        <f>IF(OR($AE804="",$AF804=""),"",IF(ISNUMBER(Sync!$P804),MOD(Sync!$P804,100),IFERROR(VALUE(TRIM(MID(MID(Sync!$P804,FIND("/",Sync!$P804)+1,20),FIND("/",MID(Sync!$P804,FIND("/",Sync!$P804)+1,20))+1,20))),"")))</f>
        <v/>
      </c>
      <c r="AI804">
        <f>IF($AE804="","",IF(OR($AF804="",$AG804="",$AH804="",$AF804&lt;1300,$AF804&gt;1500,$AG804&lt;1,$AG804&gt;12,$AH804&lt;1,$AH804&gt;31),"نامعتبر",RIGHT("0000"&amp;$AF804,4)&amp;"/"&amp;RIGHT("00"&amp;$AG804,2)&amp;"/"&amp;RIGHT("00"&amp;$AH804,2)))</f>
        <v/>
      </c>
      <c r="AJ804">
        <f>IF($AE804="","",IF(Sync!$Q804="","0000",IF(AND(ISNUMBER(Sync!$Q804),Sync!$Q804&gt;=0,Sync!$Q804&lt;1),RIGHT("00"&amp;HOUR(Sync!$Q804),2)&amp;RIGHT("00"&amp;MINUTE(Sync!$Q804),2),IFERROR(RIGHT("00"&amp;VALUE(LEFT(Sync!$Q804,FIND(":",Sync!$Q804)-1)),2)&amp;RIGHT("00"&amp;VALUE(MID(Sync!$Q804,FIND(":",Sync!$Q804)+1,2)),2),"0000"))))</f>
        <v/>
      </c>
      <c r="AK804">
        <f>IF(OR($AE804="",$AI804="",$AI804="نامعتبر"),"",LEFT($AI804,4)&amp;MID($AI804,6,2)&amp;RIGHT($AI804,2)&amp;$AJ804&amp;"|"&amp;"3"&amp;RIGHT("00000"&amp;799,5))</f>
        <v/>
      </c>
      <c r="AL804">
        <f>IF($AK804="","",COUNTIFS(LdAParty,$AE804,LdAType,1,LdAKey,"&lt;"&amp;$AK804)+COUNTIFS(LdBMember,$AE804,LdBKey,"&lt;"&amp;$AK804)+COUNTIFS(LdCParty,$AE804,LdCKey,"&lt;"&amp;$AK804)+1)</f>
        <v/>
      </c>
      <c r="AM804">
        <f>IF($AL804="","",$AE804&amp;"|"&amp;RIGHT("000000"&amp;$AL804,6))</f>
        <v/>
      </c>
      <c r="AN804">
        <f>IF($AE804="","",IF(Sync!$W804="",0,Sync!$W804))</f>
        <v/>
      </c>
      <c r="AO804">
        <f>IF($AE804="","",IF(Sync!$X804="",0,Sync!$X804))</f>
        <v/>
      </c>
      <c r="AP804">
        <f>IF($AE804="","",Sync!$R804)</f>
        <v/>
      </c>
      <c r="AQ804">
        <f>IF($AE804="","",Sync!$Y804)</f>
        <v/>
      </c>
    </row>
    <row r="805">
      <c r="A805">
        <f>IF(OR(Wages!$B808="",Wages!$E808=""),"",Wages!$E808)</f>
        <v/>
      </c>
      <c r="B805">
        <f>IF($A805="","",IF(Wages!$C808="دستمزد گروهی",2,1))</f>
        <v/>
      </c>
      <c r="C805">
        <f>IF($A805="","",IF(ISNUMBER(Wages!$B808),IF(AND(Wages!$B808&gt;=10000101,Wages!$B808&lt;=99991231),INT(Wages!$B808/10000),""),IFERROR(VALUE(TRIM(LEFT(Wages!$B808,FIND("/",Wages!$B808)-1))),"")))</f>
        <v/>
      </c>
      <c r="D805">
        <f>IF(OR($A805="",$C805=""),"",IF(ISNUMBER(Wages!$B808),INT(MOD(Wages!$B808,10000)/100),IFERROR(VALUE(TRIM(LEFT(MID(Wages!$B808,FIND("/",Wages!$B808)+1,20),FIND("/",MID(Wages!$B808,FIND("/",Wages!$B808)+1,20))-1))),"")))</f>
        <v/>
      </c>
      <c r="E805">
        <f>IF(OR($A805="",$C805=""),"",IF(ISNUMBER(Wages!$B808),MOD(Wages!$B808,100),IFERROR(VALUE(TRIM(MID(MID(Wages!$B808,FIND("/",Wages!$B808)+1,20),FIND("/",MID(Wages!$B808,FIND("/",Wages!$B808)+1,20))+1,20))),"")))</f>
        <v/>
      </c>
      <c r="F805">
        <f>IF($A805="","",IF(OR($C805="",$D805="",$E805="",$C805&lt;1300,$C805&gt;1500,$D805&lt;1,$D805&gt;12,$E805&lt;1,$E805&gt;31),"نامعتبر",RIGHT("0000"&amp;$C805,4)&amp;"/"&amp;RIGHT("00"&amp;$D805,2)&amp;"/"&amp;RIGHT("00"&amp;$E805,2)))</f>
        <v/>
      </c>
      <c r="G805">
        <f>IF(OR($A805="",$F805="",$F805="نامعتبر"),"",LEFT($F805,4)&amp;MID($F805,6,2)&amp;RIGHT($F805,2)&amp;"0000"&amp;"|"&amp;"1"&amp;RIGHT("00000"&amp;800,5))</f>
        <v/>
      </c>
      <c r="H805">
        <f>IF(OR($B805&lt;&gt;1,$G805=""),"",COUNTIFS(LdAParty,$A805,LdAType,1,LdAKey,"&lt;"&amp;$G805)+COUNTIFS(LdBMember,$A805,LdBKey,"&lt;"&amp;$G805)+COUNTIFS(LdCParty,$A805,LdCKey,"&lt;"&amp;$G805)+1)</f>
        <v/>
      </c>
      <c r="I805">
        <f>IF($H805="","",$A805&amp;"|"&amp;RIGHT("000000"&amp;$H805,6))</f>
        <v/>
      </c>
      <c r="J805">
        <f>IF(OR($B805&lt;&gt;2,$G805=""),"",COUNTIFS(LdAParty,$A805,LdAType,2,LdAKey,"&lt;"&amp;$G805)+1)</f>
        <v/>
      </c>
      <c r="K805">
        <f>IF($J805="","",$A805&amp;"|"&amp;RIGHT("000000"&amp;$J805,6))</f>
        <v/>
      </c>
      <c r="L805">
        <f>IF($A805="","",IF(Wages!$G808="",0,Wages!$G808))</f>
        <v/>
      </c>
      <c r="M805">
        <f>IF($A805="","",Wages!$J808)</f>
        <v/>
      </c>
      <c r="N805">
        <f>IF($A805="","",Wages!$D808)</f>
        <v/>
      </c>
      <c r="P805">
        <f>IF(OR(Shares!$B808="",Shares!$C808=""),"",Shares!$C808)</f>
        <v/>
      </c>
      <c r="Q805">
        <f>IF($P805="","",Shares!$B808)</f>
        <v/>
      </c>
      <c r="R805">
        <f>IF($P805="","",IFERROR(INDEX(WageParty,MATCH($Q805,WageIds,0)),""))</f>
        <v/>
      </c>
      <c r="S805">
        <f>IF($P805="","",IFERROR(INDEX($F$6:$F$2005,MATCH($Q805,WageIds,0)),""))</f>
        <v/>
      </c>
      <c r="T805">
        <f>IF(OR($P805="",$S805="",$S805="نامعتبر"),"",LEFT($S805,4)&amp;MID($S805,6,2)&amp;RIGHT($S805,2)&amp;"0000"&amp;"|"&amp;"2"&amp;RIGHT("00000"&amp;800,5))</f>
        <v/>
      </c>
      <c r="U805">
        <f>IF($T805="","",COUNTIFS(LdAParty,$P805,LdAType,1,LdAKey,"&lt;"&amp;$T805)+COUNTIFS(LdBMember,$P805,LdBKey,"&lt;"&amp;$T805)+COUNTIFS(LdCParty,$P805,LdCKey,"&lt;"&amp;$T805)+1)</f>
        <v/>
      </c>
      <c r="V805">
        <f>IF($U805="","",$P805&amp;"|"&amp;RIGHT("000000"&amp;$U805,6))</f>
        <v/>
      </c>
      <c r="W805">
        <f>IF($T805="","",COUNTIFS(LdBGroup,$R805,LdBKey,"&lt;"&amp;$T805)+1)</f>
        <v/>
      </c>
      <c r="X805">
        <f>IF($W805="","",$R805&amp;"|"&amp;RIGHT("000000"&amp;$W805,6))</f>
        <v/>
      </c>
      <c r="Y805">
        <f>IF($P805="","",IF(Shares!$E808="",0,Shares!$E808))</f>
        <v/>
      </c>
      <c r="Z805">
        <f>IF($P805="","",Shares!$H808)</f>
        <v/>
      </c>
      <c r="AE805">
        <f>IF(OR(Sync!$S805="",Sync!$P805=""),"",Sync!$S805)</f>
        <v/>
      </c>
      <c r="AF805">
        <f>IF($AE805="","",IF(ISNUMBER(Sync!$P805),IF(AND(Sync!$P805&gt;=10000101,Sync!$P805&lt;=99991231),INT(Sync!$P805/10000),""),IFERROR(VALUE(TRIM(LEFT(Sync!$P805,FIND("/",Sync!$P805)-1))),"")))</f>
        <v/>
      </c>
      <c r="AG805">
        <f>IF(OR($AE805="",$AF805=""),"",IF(ISNUMBER(Sync!$P805),INT(MOD(Sync!$P805,10000)/100),IFERROR(VALUE(TRIM(LEFT(MID(Sync!$P805,FIND("/",Sync!$P805)+1,20),FIND("/",MID(Sync!$P805,FIND("/",Sync!$P805)+1,20))-1))),"")))</f>
        <v/>
      </c>
      <c r="AH805">
        <f>IF(OR($AE805="",$AF805=""),"",IF(ISNUMBER(Sync!$P805),MOD(Sync!$P805,100),IFERROR(VALUE(TRIM(MID(MID(Sync!$P805,FIND("/",Sync!$P805)+1,20),FIND("/",MID(Sync!$P805,FIND("/",Sync!$P805)+1,20))+1,20))),"")))</f>
        <v/>
      </c>
      <c r="AI805">
        <f>IF($AE805="","",IF(OR($AF805="",$AG805="",$AH805="",$AF805&lt;1300,$AF805&gt;1500,$AG805&lt;1,$AG805&gt;12,$AH805&lt;1,$AH805&gt;31),"نامعتبر",RIGHT("0000"&amp;$AF805,4)&amp;"/"&amp;RIGHT("00"&amp;$AG805,2)&amp;"/"&amp;RIGHT("00"&amp;$AH805,2)))</f>
        <v/>
      </c>
      <c r="AJ805">
        <f>IF($AE805="","",IF(Sync!$Q805="","0000",IF(AND(ISNUMBER(Sync!$Q805),Sync!$Q805&gt;=0,Sync!$Q805&lt;1),RIGHT("00"&amp;HOUR(Sync!$Q805),2)&amp;RIGHT("00"&amp;MINUTE(Sync!$Q805),2),IFERROR(RIGHT("00"&amp;VALUE(LEFT(Sync!$Q805,FIND(":",Sync!$Q805)-1)),2)&amp;RIGHT("00"&amp;VALUE(MID(Sync!$Q805,FIND(":",Sync!$Q805)+1,2)),2),"0000"))))</f>
        <v/>
      </c>
      <c r="AK805">
        <f>IF(OR($AE805="",$AI805="",$AI805="نامعتبر"),"",LEFT($AI805,4)&amp;MID($AI805,6,2)&amp;RIGHT($AI805,2)&amp;$AJ805&amp;"|"&amp;"3"&amp;RIGHT("00000"&amp;800,5))</f>
        <v/>
      </c>
      <c r="AL805">
        <f>IF($AK805="","",COUNTIFS(LdAParty,$AE805,LdAType,1,LdAKey,"&lt;"&amp;$AK805)+COUNTIFS(LdBMember,$AE805,LdBKey,"&lt;"&amp;$AK805)+COUNTIFS(LdCParty,$AE805,LdCKey,"&lt;"&amp;$AK805)+1)</f>
        <v/>
      </c>
      <c r="AM805">
        <f>IF($AL805="","",$AE805&amp;"|"&amp;RIGHT("000000"&amp;$AL805,6))</f>
        <v/>
      </c>
      <c r="AN805">
        <f>IF($AE805="","",IF(Sync!$W805="",0,Sync!$W805))</f>
        <v/>
      </c>
      <c r="AO805">
        <f>IF($AE805="","",IF(Sync!$X805="",0,Sync!$X805))</f>
        <v/>
      </c>
      <c r="AP805">
        <f>IF($AE805="","",Sync!$R805)</f>
        <v/>
      </c>
      <c r="AQ805">
        <f>IF($AE805="","",Sync!$Y805)</f>
        <v/>
      </c>
    </row>
    <row r="806">
      <c r="A806">
        <f>IF(OR(Wages!$B809="",Wages!$E809=""),"",Wages!$E809)</f>
        <v/>
      </c>
      <c r="B806">
        <f>IF($A806="","",IF(Wages!$C809="دستمزد گروهی",2,1))</f>
        <v/>
      </c>
      <c r="C806">
        <f>IF($A806="","",IF(ISNUMBER(Wages!$B809),IF(AND(Wages!$B809&gt;=10000101,Wages!$B809&lt;=99991231),INT(Wages!$B809/10000),""),IFERROR(VALUE(TRIM(LEFT(Wages!$B809,FIND("/",Wages!$B809)-1))),"")))</f>
        <v/>
      </c>
      <c r="D806">
        <f>IF(OR($A806="",$C806=""),"",IF(ISNUMBER(Wages!$B809),INT(MOD(Wages!$B809,10000)/100),IFERROR(VALUE(TRIM(LEFT(MID(Wages!$B809,FIND("/",Wages!$B809)+1,20),FIND("/",MID(Wages!$B809,FIND("/",Wages!$B809)+1,20))-1))),"")))</f>
        <v/>
      </c>
      <c r="E806">
        <f>IF(OR($A806="",$C806=""),"",IF(ISNUMBER(Wages!$B809),MOD(Wages!$B809,100),IFERROR(VALUE(TRIM(MID(MID(Wages!$B809,FIND("/",Wages!$B809)+1,20),FIND("/",MID(Wages!$B809,FIND("/",Wages!$B809)+1,20))+1,20))),"")))</f>
        <v/>
      </c>
      <c r="F806">
        <f>IF($A806="","",IF(OR($C806="",$D806="",$E806="",$C806&lt;1300,$C806&gt;1500,$D806&lt;1,$D806&gt;12,$E806&lt;1,$E806&gt;31),"نامعتبر",RIGHT("0000"&amp;$C806,4)&amp;"/"&amp;RIGHT("00"&amp;$D806,2)&amp;"/"&amp;RIGHT("00"&amp;$E806,2)))</f>
        <v/>
      </c>
      <c r="G806">
        <f>IF(OR($A806="",$F806="",$F806="نامعتبر"),"",LEFT($F806,4)&amp;MID($F806,6,2)&amp;RIGHT($F806,2)&amp;"0000"&amp;"|"&amp;"1"&amp;RIGHT("00000"&amp;801,5))</f>
        <v/>
      </c>
      <c r="H806">
        <f>IF(OR($B806&lt;&gt;1,$G806=""),"",COUNTIFS(LdAParty,$A806,LdAType,1,LdAKey,"&lt;"&amp;$G806)+COUNTIFS(LdBMember,$A806,LdBKey,"&lt;"&amp;$G806)+COUNTIFS(LdCParty,$A806,LdCKey,"&lt;"&amp;$G806)+1)</f>
        <v/>
      </c>
      <c r="I806">
        <f>IF($H806="","",$A806&amp;"|"&amp;RIGHT("000000"&amp;$H806,6))</f>
        <v/>
      </c>
      <c r="J806">
        <f>IF(OR($B806&lt;&gt;2,$G806=""),"",COUNTIFS(LdAParty,$A806,LdAType,2,LdAKey,"&lt;"&amp;$G806)+1)</f>
        <v/>
      </c>
      <c r="K806">
        <f>IF($J806="","",$A806&amp;"|"&amp;RIGHT("000000"&amp;$J806,6))</f>
        <v/>
      </c>
      <c r="L806">
        <f>IF($A806="","",IF(Wages!$G809="",0,Wages!$G809))</f>
        <v/>
      </c>
      <c r="M806">
        <f>IF($A806="","",Wages!$J809)</f>
        <v/>
      </c>
      <c r="N806">
        <f>IF($A806="","",Wages!$D809)</f>
        <v/>
      </c>
      <c r="P806">
        <f>IF(OR(Shares!$B809="",Shares!$C809=""),"",Shares!$C809)</f>
        <v/>
      </c>
      <c r="Q806">
        <f>IF($P806="","",Shares!$B809)</f>
        <v/>
      </c>
      <c r="R806">
        <f>IF($P806="","",IFERROR(INDEX(WageParty,MATCH($Q806,WageIds,0)),""))</f>
        <v/>
      </c>
      <c r="S806">
        <f>IF($P806="","",IFERROR(INDEX($F$6:$F$2005,MATCH($Q806,WageIds,0)),""))</f>
        <v/>
      </c>
      <c r="T806">
        <f>IF(OR($P806="",$S806="",$S806="نامعتبر"),"",LEFT($S806,4)&amp;MID($S806,6,2)&amp;RIGHT($S806,2)&amp;"0000"&amp;"|"&amp;"2"&amp;RIGHT("00000"&amp;801,5))</f>
        <v/>
      </c>
      <c r="U806">
        <f>IF($T806="","",COUNTIFS(LdAParty,$P806,LdAType,1,LdAKey,"&lt;"&amp;$T806)+COUNTIFS(LdBMember,$P806,LdBKey,"&lt;"&amp;$T806)+COUNTIFS(LdCParty,$P806,LdCKey,"&lt;"&amp;$T806)+1)</f>
        <v/>
      </c>
      <c r="V806">
        <f>IF($U806="","",$P806&amp;"|"&amp;RIGHT("000000"&amp;$U806,6))</f>
        <v/>
      </c>
      <c r="W806">
        <f>IF($T806="","",COUNTIFS(LdBGroup,$R806,LdBKey,"&lt;"&amp;$T806)+1)</f>
        <v/>
      </c>
      <c r="X806">
        <f>IF($W806="","",$R806&amp;"|"&amp;RIGHT("000000"&amp;$W806,6))</f>
        <v/>
      </c>
      <c r="Y806">
        <f>IF($P806="","",IF(Shares!$E809="",0,Shares!$E809))</f>
        <v/>
      </c>
      <c r="Z806">
        <f>IF($P806="","",Shares!$H809)</f>
        <v/>
      </c>
      <c r="AE806">
        <f>IF(OR(Sync!$S806="",Sync!$P806=""),"",Sync!$S806)</f>
        <v/>
      </c>
      <c r="AF806">
        <f>IF($AE806="","",IF(ISNUMBER(Sync!$P806),IF(AND(Sync!$P806&gt;=10000101,Sync!$P806&lt;=99991231),INT(Sync!$P806/10000),""),IFERROR(VALUE(TRIM(LEFT(Sync!$P806,FIND("/",Sync!$P806)-1))),"")))</f>
        <v/>
      </c>
      <c r="AG806">
        <f>IF(OR($AE806="",$AF806=""),"",IF(ISNUMBER(Sync!$P806),INT(MOD(Sync!$P806,10000)/100),IFERROR(VALUE(TRIM(LEFT(MID(Sync!$P806,FIND("/",Sync!$P806)+1,20),FIND("/",MID(Sync!$P806,FIND("/",Sync!$P806)+1,20))-1))),"")))</f>
        <v/>
      </c>
      <c r="AH806">
        <f>IF(OR($AE806="",$AF806=""),"",IF(ISNUMBER(Sync!$P806),MOD(Sync!$P806,100),IFERROR(VALUE(TRIM(MID(MID(Sync!$P806,FIND("/",Sync!$P806)+1,20),FIND("/",MID(Sync!$P806,FIND("/",Sync!$P806)+1,20))+1,20))),"")))</f>
        <v/>
      </c>
      <c r="AI806">
        <f>IF($AE806="","",IF(OR($AF806="",$AG806="",$AH806="",$AF806&lt;1300,$AF806&gt;1500,$AG806&lt;1,$AG806&gt;12,$AH806&lt;1,$AH806&gt;31),"نامعتبر",RIGHT("0000"&amp;$AF806,4)&amp;"/"&amp;RIGHT("00"&amp;$AG806,2)&amp;"/"&amp;RIGHT("00"&amp;$AH806,2)))</f>
        <v/>
      </c>
      <c r="AJ806">
        <f>IF($AE806="","",IF(Sync!$Q806="","0000",IF(AND(ISNUMBER(Sync!$Q806),Sync!$Q806&gt;=0,Sync!$Q806&lt;1),RIGHT("00"&amp;HOUR(Sync!$Q806),2)&amp;RIGHT("00"&amp;MINUTE(Sync!$Q806),2),IFERROR(RIGHT("00"&amp;VALUE(LEFT(Sync!$Q806,FIND(":",Sync!$Q806)-1)),2)&amp;RIGHT("00"&amp;VALUE(MID(Sync!$Q806,FIND(":",Sync!$Q806)+1,2)),2),"0000"))))</f>
        <v/>
      </c>
      <c r="AK806">
        <f>IF(OR($AE806="",$AI806="",$AI806="نامعتبر"),"",LEFT($AI806,4)&amp;MID($AI806,6,2)&amp;RIGHT($AI806,2)&amp;$AJ806&amp;"|"&amp;"3"&amp;RIGHT("00000"&amp;801,5))</f>
        <v/>
      </c>
      <c r="AL806">
        <f>IF($AK806="","",COUNTIFS(LdAParty,$AE806,LdAType,1,LdAKey,"&lt;"&amp;$AK806)+COUNTIFS(LdBMember,$AE806,LdBKey,"&lt;"&amp;$AK806)+COUNTIFS(LdCParty,$AE806,LdCKey,"&lt;"&amp;$AK806)+1)</f>
        <v/>
      </c>
      <c r="AM806">
        <f>IF($AL806="","",$AE806&amp;"|"&amp;RIGHT("000000"&amp;$AL806,6))</f>
        <v/>
      </c>
      <c r="AN806">
        <f>IF($AE806="","",IF(Sync!$W806="",0,Sync!$W806))</f>
        <v/>
      </c>
      <c r="AO806">
        <f>IF($AE806="","",IF(Sync!$X806="",0,Sync!$X806))</f>
        <v/>
      </c>
      <c r="AP806">
        <f>IF($AE806="","",Sync!$R806)</f>
        <v/>
      </c>
      <c r="AQ806">
        <f>IF($AE806="","",Sync!$Y806)</f>
        <v/>
      </c>
    </row>
    <row r="807">
      <c r="A807">
        <f>IF(OR(Wages!$B810="",Wages!$E810=""),"",Wages!$E810)</f>
        <v/>
      </c>
      <c r="B807">
        <f>IF($A807="","",IF(Wages!$C810="دستمزد گروهی",2,1))</f>
        <v/>
      </c>
      <c r="C807">
        <f>IF($A807="","",IF(ISNUMBER(Wages!$B810),IF(AND(Wages!$B810&gt;=10000101,Wages!$B810&lt;=99991231),INT(Wages!$B810/10000),""),IFERROR(VALUE(TRIM(LEFT(Wages!$B810,FIND("/",Wages!$B810)-1))),"")))</f>
        <v/>
      </c>
      <c r="D807">
        <f>IF(OR($A807="",$C807=""),"",IF(ISNUMBER(Wages!$B810),INT(MOD(Wages!$B810,10000)/100),IFERROR(VALUE(TRIM(LEFT(MID(Wages!$B810,FIND("/",Wages!$B810)+1,20),FIND("/",MID(Wages!$B810,FIND("/",Wages!$B810)+1,20))-1))),"")))</f>
        <v/>
      </c>
      <c r="E807">
        <f>IF(OR($A807="",$C807=""),"",IF(ISNUMBER(Wages!$B810),MOD(Wages!$B810,100),IFERROR(VALUE(TRIM(MID(MID(Wages!$B810,FIND("/",Wages!$B810)+1,20),FIND("/",MID(Wages!$B810,FIND("/",Wages!$B810)+1,20))+1,20))),"")))</f>
        <v/>
      </c>
      <c r="F807">
        <f>IF($A807="","",IF(OR($C807="",$D807="",$E807="",$C807&lt;1300,$C807&gt;1500,$D807&lt;1,$D807&gt;12,$E807&lt;1,$E807&gt;31),"نامعتبر",RIGHT("0000"&amp;$C807,4)&amp;"/"&amp;RIGHT("00"&amp;$D807,2)&amp;"/"&amp;RIGHT("00"&amp;$E807,2)))</f>
        <v/>
      </c>
      <c r="G807">
        <f>IF(OR($A807="",$F807="",$F807="نامعتبر"),"",LEFT($F807,4)&amp;MID($F807,6,2)&amp;RIGHT($F807,2)&amp;"0000"&amp;"|"&amp;"1"&amp;RIGHT("00000"&amp;802,5))</f>
        <v/>
      </c>
      <c r="H807">
        <f>IF(OR($B807&lt;&gt;1,$G807=""),"",COUNTIFS(LdAParty,$A807,LdAType,1,LdAKey,"&lt;"&amp;$G807)+COUNTIFS(LdBMember,$A807,LdBKey,"&lt;"&amp;$G807)+COUNTIFS(LdCParty,$A807,LdCKey,"&lt;"&amp;$G807)+1)</f>
        <v/>
      </c>
      <c r="I807">
        <f>IF($H807="","",$A807&amp;"|"&amp;RIGHT("000000"&amp;$H807,6))</f>
        <v/>
      </c>
      <c r="J807">
        <f>IF(OR($B807&lt;&gt;2,$G807=""),"",COUNTIFS(LdAParty,$A807,LdAType,2,LdAKey,"&lt;"&amp;$G807)+1)</f>
        <v/>
      </c>
      <c r="K807">
        <f>IF($J807="","",$A807&amp;"|"&amp;RIGHT("000000"&amp;$J807,6))</f>
        <v/>
      </c>
      <c r="L807">
        <f>IF($A807="","",IF(Wages!$G810="",0,Wages!$G810))</f>
        <v/>
      </c>
      <c r="M807">
        <f>IF($A807="","",Wages!$J810)</f>
        <v/>
      </c>
      <c r="N807">
        <f>IF($A807="","",Wages!$D810)</f>
        <v/>
      </c>
      <c r="P807">
        <f>IF(OR(Shares!$B810="",Shares!$C810=""),"",Shares!$C810)</f>
        <v/>
      </c>
      <c r="Q807">
        <f>IF($P807="","",Shares!$B810)</f>
        <v/>
      </c>
      <c r="R807">
        <f>IF($P807="","",IFERROR(INDEX(WageParty,MATCH($Q807,WageIds,0)),""))</f>
        <v/>
      </c>
      <c r="S807">
        <f>IF($P807="","",IFERROR(INDEX($F$6:$F$2005,MATCH($Q807,WageIds,0)),""))</f>
        <v/>
      </c>
      <c r="T807">
        <f>IF(OR($P807="",$S807="",$S807="نامعتبر"),"",LEFT($S807,4)&amp;MID($S807,6,2)&amp;RIGHT($S807,2)&amp;"0000"&amp;"|"&amp;"2"&amp;RIGHT("00000"&amp;802,5))</f>
        <v/>
      </c>
      <c r="U807">
        <f>IF($T807="","",COUNTIFS(LdAParty,$P807,LdAType,1,LdAKey,"&lt;"&amp;$T807)+COUNTIFS(LdBMember,$P807,LdBKey,"&lt;"&amp;$T807)+COUNTIFS(LdCParty,$P807,LdCKey,"&lt;"&amp;$T807)+1)</f>
        <v/>
      </c>
      <c r="V807">
        <f>IF($U807="","",$P807&amp;"|"&amp;RIGHT("000000"&amp;$U807,6))</f>
        <v/>
      </c>
      <c r="W807">
        <f>IF($T807="","",COUNTIFS(LdBGroup,$R807,LdBKey,"&lt;"&amp;$T807)+1)</f>
        <v/>
      </c>
      <c r="X807">
        <f>IF($W807="","",$R807&amp;"|"&amp;RIGHT("000000"&amp;$W807,6))</f>
        <v/>
      </c>
      <c r="Y807">
        <f>IF($P807="","",IF(Shares!$E810="",0,Shares!$E810))</f>
        <v/>
      </c>
      <c r="Z807">
        <f>IF($P807="","",Shares!$H810)</f>
        <v/>
      </c>
      <c r="AE807">
        <f>IF(OR(Sync!$S807="",Sync!$P807=""),"",Sync!$S807)</f>
        <v/>
      </c>
      <c r="AF807">
        <f>IF($AE807="","",IF(ISNUMBER(Sync!$P807),IF(AND(Sync!$P807&gt;=10000101,Sync!$P807&lt;=99991231),INT(Sync!$P807/10000),""),IFERROR(VALUE(TRIM(LEFT(Sync!$P807,FIND("/",Sync!$P807)-1))),"")))</f>
        <v/>
      </c>
      <c r="AG807">
        <f>IF(OR($AE807="",$AF807=""),"",IF(ISNUMBER(Sync!$P807),INT(MOD(Sync!$P807,10000)/100),IFERROR(VALUE(TRIM(LEFT(MID(Sync!$P807,FIND("/",Sync!$P807)+1,20),FIND("/",MID(Sync!$P807,FIND("/",Sync!$P807)+1,20))-1))),"")))</f>
        <v/>
      </c>
      <c r="AH807">
        <f>IF(OR($AE807="",$AF807=""),"",IF(ISNUMBER(Sync!$P807),MOD(Sync!$P807,100),IFERROR(VALUE(TRIM(MID(MID(Sync!$P807,FIND("/",Sync!$P807)+1,20),FIND("/",MID(Sync!$P807,FIND("/",Sync!$P807)+1,20))+1,20))),"")))</f>
        <v/>
      </c>
      <c r="AI807">
        <f>IF($AE807="","",IF(OR($AF807="",$AG807="",$AH807="",$AF807&lt;1300,$AF807&gt;1500,$AG807&lt;1,$AG807&gt;12,$AH807&lt;1,$AH807&gt;31),"نامعتبر",RIGHT("0000"&amp;$AF807,4)&amp;"/"&amp;RIGHT("00"&amp;$AG807,2)&amp;"/"&amp;RIGHT("00"&amp;$AH807,2)))</f>
        <v/>
      </c>
      <c r="AJ807">
        <f>IF($AE807="","",IF(Sync!$Q807="","0000",IF(AND(ISNUMBER(Sync!$Q807),Sync!$Q807&gt;=0,Sync!$Q807&lt;1),RIGHT("00"&amp;HOUR(Sync!$Q807),2)&amp;RIGHT("00"&amp;MINUTE(Sync!$Q807),2),IFERROR(RIGHT("00"&amp;VALUE(LEFT(Sync!$Q807,FIND(":",Sync!$Q807)-1)),2)&amp;RIGHT("00"&amp;VALUE(MID(Sync!$Q807,FIND(":",Sync!$Q807)+1,2)),2),"0000"))))</f>
        <v/>
      </c>
      <c r="AK807">
        <f>IF(OR($AE807="",$AI807="",$AI807="نامعتبر"),"",LEFT($AI807,4)&amp;MID($AI807,6,2)&amp;RIGHT($AI807,2)&amp;$AJ807&amp;"|"&amp;"3"&amp;RIGHT("00000"&amp;802,5))</f>
        <v/>
      </c>
      <c r="AL807">
        <f>IF($AK807="","",COUNTIFS(LdAParty,$AE807,LdAType,1,LdAKey,"&lt;"&amp;$AK807)+COUNTIFS(LdBMember,$AE807,LdBKey,"&lt;"&amp;$AK807)+COUNTIFS(LdCParty,$AE807,LdCKey,"&lt;"&amp;$AK807)+1)</f>
        <v/>
      </c>
      <c r="AM807">
        <f>IF($AL807="","",$AE807&amp;"|"&amp;RIGHT("000000"&amp;$AL807,6))</f>
        <v/>
      </c>
      <c r="AN807">
        <f>IF($AE807="","",IF(Sync!$W807="",0,Sync!$W807))</f>
        <v/>
      </c>
      <c r="AO807">
        <f>IF($AE807="","",IF(Sync!$X807="",0,Sync!$X807))</f>
        <v/>
      </c>
      <c r="AP807">
        <f>IF($AE807="","",Sync!$R807)</f>
        <v/>
      </c>
      <c r="AQ807">
        <f>IF($AE807="","",Sync!$Y807)</f>
        <v/>
      </c>
    </row>
    <row r="808">
      <c r="A808">
        <f>IF(OR(Wages!$B811="",Wages!$E811=""),"",Wages!$E811)</f>
        <v/>
      </c>
      <c r="B808">
        <f>IF($A808="","",IF(Wages!$C811="دستمزد گروهی",2,1))</f>
        <v/>
      </c>
      <c r="C808">
        <f>IF($A808="","",IF(ISNUMBER(Wages!$B811),IF(AND(Wages!$B811&gt;=10000101,Wages!$B811&lt;=99991231),INT(Wages!$B811/10000),""),IFERROR(VALUE(TRIM(LEFT(Wages!$B811,FIND("/",Wages!$B811)-1))),"")))</f>
        <v/>
      </c>
      <c r="D808">
        <f>IF(OR($A808="",$C808=""),"",IF(ISNUMBER(Wages!$B811),INT(MOD(Wages!$B811,10000)/100),IFERROR(VALUE(TRIM(LEFT(MID(Wages!$B811,FIND("/",Wages!$B811)+1,20),FIND("/",MID(Wages!$B811,FIND("/",Wages!$B811)+1,20))-1))),"")))</f>
        <v/>
      </c>
      <c r="E808">
        <f>IF(OR($A808="",$C808=""),"",IF(ISNUMBER(Wages!$B811),MOD(Wages!$B811,100),IFERROR(VALUE(TRIM(MID(MID(Wages!$B811,FIND("/",Wages!$B811)+1,20),FIND("/",MID(Wages!$B811,FIND("/",Wages!$B811)+1,20))+1,20))),"")))</f>
        <v/>
      </c>
      <c r="F808">
        <f>IF($A808="","",IF(OR($C808="",$D808="",$E808="",$C808&lt;1300,$C808&gt;1500,$D808&lt;1,$D808&gt;12,$E808&lt;1,$E808&gt;31),"نامعتبر",RIGHT("0000"&amp;$C808,4)&amp;"/"&amp;RIGHT("00"&amp;$D808,2)&amp;"/"&amp;RIGHT("00"&amp;$E808,2)))</f>
        <v/>
      </c>
      <c r="G808">
        <f>IF(OR($A808="",$F808="",$F808="نامعتبر"),"",LEFT($F808,4)&amp;MID($F808,6,2)&amp;RIGHT($F808,2)&amp;"0000"&amp;"|"&amp;"1"&amp;RIGHT("00000"&amp;803,5))</f>
        <v/>
      </c>
      <c r="H808">
        <f>IF(OR($B808&lt;&gt;1,$G808=""),"",COUNTIFS(LdAParty,$A808,LdAType,1,LdAKey,"&lt;"&amp;$G808)+COUNTIFS(LdBMember,$A808,LdBKey,"&lt;"&amp;$G808)+COUNTIFS(LdCParty,$A808,LdCKey,"&lt;"&amp;$G808)+1)</f>
        <v/>
      </c>
      <c r="I808">
        <f>IF($H808="","",$A808&amp;"|"&amp;RIGHT("000000"&amp;$H808,6))</f>
        <v/>
      </c>
      <c r="J808">
        <f>IF(OR($B808&lt;&gt;2,$G808=""),"",COUNTIFS(LdAParty,$A808,LdAType,2,LdAKey,"&lt;"&amp;$G808)+1)</f>
        <v/>
      </c>
      <c r="K808">
        <f>IF($J808="","",$A808&amp;"|"&amp;RIGHT("000000"&amp;$J808,6))</f>
        <v/>
      </c>
      <c r="L808">
        <f>IF($A808="","",IF(Wages!$G811="",0,Wages!$G811))</f>
        <v/>
      </c>
      <c r="M808">
        <f>IF($A808="","",Wages!$J811)</f>
        <v/>
      </c>
      <c r="N808">
        <f>IF($A808="","",Wages!$D811)</f>
        <v/>
      </c>
      <c r="P808">
        <f>IF(OR(Shares!$B811="",Shares!$C811=""),"",Shares!$C811)</f>
        <v/>
      </c>
      <c r="Q808">
        <f>IF($P808="","",Shares!$B811)</f>
        <v/>
      </c>
      <c r="R808">
        <f>IF($P808="","",IFERROR(INDEX(WageParty,MATCH($Q808,WageIds,0)),""))</f>
        <v/>
      </c>
      <c r="S808">
        <f>IF($P808="","",IFERROR(INDEX($F$6:$F$2005,MATCH($Q808,WageIds,0)),""))</f>
        <v/>
      </c>
      <c r="T808">
        <f>IF(OR($P808="",$S808="",$S808="نامعتبر"),"",LEFT($S808,4)&amp;MID($S808,6,2)&amp;RIGHT($S808,2)&amp;"0000"&amp;"|"&amp;"2"&amp;RIGHT("00000"&amp;803,5))</f>
        <v/>
      </c>
      <c r="U808">
        <f>IF($T808="","",COUNTIFS(LdAParty,$P808,LdAType,1,LdAKey,"&lt;"&amp;$T808)+COUNTIFS(LdBMember,$P808,LdBKey,"&lt;"&amp;$T808)+COUNTIFS(LdCParty,$P808,LdCKey,"&lt;"&amp;$T808)+1)</f>
        <v/>
      </c>
      <c r="V808">
        <f>IF($U808="","",$P808&amp;"|"&amp;RIGHT("000000"&amp;$U808,6))</f>
        <v/>
      </c>
      <c r="W808">
        <f>IF($T808="","",COUNTIFS(LdBGroup,$R808,LdBKey,"&lt;"&amp;$T808)+1)</f>
        <v/>
      </c>
      <c r="X808">
        <f>IF($W808="","",$R808&amp;"|"&amp;RIGHT("000000"&amp;$W808,6))</f>
        <v/>
      </c>
      <c r="Y808">
        <f>IF($P808="","",IF(Shares!$E811="",0,Shares!$E811))</f>
        <v/>
      </c>
      <c r="Z808">
        <f>IF($P808="","",Shares!$H811)</f>
        <v/>
      </c>
      <c r="AE808">
        <f>IF(OR(Sync!$S808="",Sync!$P808=""),"",Sync!$S808)</f>
        <v/>
      </c>
      <c r="AF808">
        <f>IF($AE808="","",IF(ISNUMBER(Sync!$P808),IF(AND(Sync!$P808&gt;=10000101,Sync!$P808&lt;=99991231),INT(Sync!$P808/10000),""),IFERROR(VALUE(TRIM(LEFT(Sync!$P808,FIND("/",Sync!$P808)-1))),"")))</f>
        <v/>
      </c>
      <c r="AG808">
        <f>IF(OR($AE808="",$AF808=""),"",IF(ISNUMBER(Sync!$P808),INT(MOD(Sync!$P808,10000)/100),IFERROR(VALUE(TRIM(LEFT(MID(Sync!$P808,FIND("/",Sync!$P808)+1,20),FIND("/",MID(Sync!$P808,FIND("/",Sync!$P808)+1,20))-1))),"")))</f>
        <v/>
      </c>
      <c r="AH808">
        <f>IF(OR($AE808="",$AF808=""),"",IF(ISNUMBER(Sync!$P808),MOD(Sync!$P808,100),IFERROR(VALUE(TRIM(MID(MID(Sync!$P808,FIND("/",Sync!$P808)+1,20),FIND("/",MID(Sync!$P808,FIND("/",Sync!$P808)+1,20))+1,20))),"")))</f>
        <v/>
      </c>
      <c r="AI808">
        <f>IF($AE808="","",IF(OR($AF808="",$AG808="",$AH808="",$AF808&lt;1300,$AF808&gt;1500,$AG808&lt;1,$AG808&gt;12,$AH808&lt;1,$AH808&gt;31),"نامعتبر",RIGHT("0000"&amp;$AF808,4)&amp;"/"&amp;RIGHT("00"&amp;$AG808,2)&amp;"/"&amp;RIGHT("00"&amp;$AH808,2)))</f>
        <v/>
      </c>
      <c r="AJ808">
        <f>IF($AE808="","",IF(Sync!$Q808="","0000",IF(AND(ISNUMBER(Sync!$Q808),Sync!$Q808&gt;=0,Sync!$Q808&lt;1),RIGHT("00"&amp;HOUR(Sync!$Q808),2)&amp;RIGHT("00"&amp;MINUTE(Sync!$Q808),2),IFERROR(RIGHT("00"&amp;VALUE(LEFT(Sync!$Q808,FIND(":",Sync!$Q808)-1)),2)&amp;RIGHT("00"&amp;VALUE(MID(Sync!$Q808,FIND(":",Sync!$Q808)+1,2)),2),"0000"))))</f>
        <v/>
      </c>
      <c r="AK808">
        <f>IF(OR($AE808="",$AI808="",$AI808="نامعتبر"),"",LEFT($AI808,4)&amp;MID($AI808,6,2)&amp;RIGHT($AI808,2)&amp;$AJ808&amp;"|"&amp;"3"&amp;RIGHT("00000"&amp;803,5))</f>
        <v/>
      </c>
      <c r="AL808">
        <f>IF($AK808="","",COUNTIFS(LdAParty,$AE808,LdAType,1,LdAKey,"&lt;"&amp;$AK808)+COUNTIFS(LdBMember,$AE808,LdBKey,"&lt;"&amp;$AK808)+COUNTIFS(LdCParty,$AE808,LdCKey,"&lt;"&amp;$AK808)+1)</f>
        <v/>
      </c>
      <c r="AM808">
        <f>IF($AL808="","",$AE808&amp;"|"&amp;RIGHT("000000"&amp;$AL808,6))</f>
        <v/>
      </c>
      <c r="AN808">
        <f>IF($AE808="","",IF(Sync!$W808="",0,Sync!$W808))</f>
        <v/>
      </c>
      <c r="AO808">
        <f>IF($AE808="","",IF(Sync!$X808="",0,Sync!$X808))</f>
        <v/>
      </c>
      <c r="AP808">
        <f>IF($AE808="","",Sync!$R808)</f>
        <v/>
      </c>
      <c r="AQ808">
        <f>IF($AE808="","",Sync!$Y808)</f>
        <v/>
      </c>
    </row>
    <row r="809">
      <c r="A809">
        <f>IF(OR(Wages!$B812="",Wages!$E812=""),"",Wages!$E812)</f>
        <v/>
      </c>
      <c r="B809">
        <f>IF($A809="","",IF(Wages!$C812="دستمزد گروهی",2,1))</f>
        <v/>
      </c>
      <c r="C809">
        <f>IF($A809="","",IF(ISNUMBER(Wages!$B812),IF(AND(Wages!$B812&gt;=10000101,Wages!$B812&lt;=99991231),INT(Wages!$B812/10000),""),IFERROR(VALUE(TRIM(LEFT(Wages!$B812,FIND("/",Wages!$B812)-1))),"")))</f>
        <v/>
      </c>
      <c r="D809">
        <f>IF(OR($A809="",$C809=""),"",IF(ISNUMBER(Wages!$B812),INT(MOD(Wages!$B812,10000)/100),IFERROR(VALUE(TRIM(LEFT(MID(Wages!$B812,FIND("/",Wages!$B812)+1,20),FIND("/",MID(Wages!$B812,FIND("/",Wages!$B812)+1,20))-1))),"")))</f>
        <v/>
      </c>
      <c r="E809">
        <f>IF(OR($A809="",$C809=""),"",IF(ISNUMBER(Wages!$B812),MOD(Wages!$B812,100),IFERROR(VALUE(TRIM(MID(MID(Wages!$B812,FIND("/",Wages!$B812)+1,20),FIND("/",MID(Wages!$B812,FIND("/",Wages!$B812)+1,20))+1,20))),"")))</f>
        <v/>
      </c>
      <c r="F809">
        <f>IF($A809="","",IF(OR($C809="",$D809="",$E809="",$C809&lt;1300,$C809&gt;1500,$D809&lt;1,$D809&gt;12,$E809&lt;1,$E809&gt;31),"نامعتبر",RIGHT("0000"&amp;$C809,4)&amp;"/"&amp;RIGHT("00"&amp;$D809,2)&amp;"/"&amp;RIGHT("00"&amp;$E809,2)))</f>
        <v/>
      </c>
      <c r="G809">
        <f>IF(OR($A809="",$F809="",$F809="نامعتبر"),"",LEFT($F809,4)&amp;MID($F809,6,2)&amp;RIGHT($F809,2)&amp;"0000"&amp;"|"&amp;"1"&amp;RIGHT("00000"&amp;804,5))</f>
        <v/>
      </c>
      <c r="H809">
        <f>IF(OR($B809&lt;&gt;1,$G809=""),"",COUNTIFS(LdAParty,$A809,LdAType,1,LdAKey,"&lt;"&amp;$G809)+COUNTIFS(LdBMember,$A809,LdBKey,"&lt;"&amp;$G809)+COUNTIFS(LdCParty,$A809,LdCKey,"&lt;"&amp;$G809)+1)</f>
        <v/>
      </c>
      <c r="I809">
        <f>IF($H809="","",$A809&amp;"|"&amp;RIGHT("000000"&amp;$H809,6))</f>
        <v/>
      </c>
      <c r="J809">
        <f>IF(OR($B809&lt;&gt;2,$G809=""),"",COUNTIFS(LdAParty,$A809,LdAType,2,LdAKey,"&lt;"&amp;$G809)+1)</f>
        <v/>
      </c>
      <c r="K809">
        <f>IF($J809="","",$A809&amp;"|"&amp;RIGHT("000000"&amp;$J809,6))</f>
        <v/>
      </c>
      <c r="L809">
        <f>IF($A809="","",IF(Wages!$G812="",0,Wages!$G812))</f>
        <v/>
      </c>
      <c r="M809">
        <f>IF($A809="","",Wages!$J812)</f>
        <v/>
      </c>
      <c r="N809">
        <f>IF($A809="","",Wages!$D812)</f>
        <v/>
      </c>
      <c r="P809">
        <f>IF(OR(Shares!$B812="",Shares!$C812=""),"",Shares!$C812)</f>
        <v/>
      </c>
      <c r="Q809">
        <f>IF($P809="","",Shares!$B812)</f>
        <v/>
      </c>
      <c r="R809">
        <f>IF($P809="","",IFERROR(INDEX(WageParty,MATCH($Q809,WageIds,0)),""))</f>
        <v/>
      </c>
      <c r="S809">
        <f>IF($P809="","",IFERROR(INDEX($F$6:$F$2005,MATCH($Q809,WageIds,0)),""))</f>
        <v/>
      </c>
      <c r="T809">
        <f>IF(OR($P809="",$S809="",$S809="نامعتبر"),"",LEFT($S809,4)&amp;MID($S809,6,2)&amp;RIGHT($S809,2)&amp;"0000"&amp;"|"&amp;"2"&amp;RIGHT("00000"&amp;804,5))</f>
        <v/>
      </c>
      <c r="U809">
        <f>IF($T809="","",COUNTIFS(LdAParty,$P809,LdAType,1,LdAKey,"&lt;"&amp;$T809)+COUNTIFS(LdBMember,$P809,LdBKey,"&lt;"&amp;$T809)+COUNTIFS(LdCParty,$P809,LdCKey,"&lt;"&amp;$T809)+1)</f>
        <v/>
      </c>
      <c r="V809">
        <f>IF($U809="","",$P809&amp;"|"&amp;RIGHT("000000"&amp;$U809,6))</f>
        <v/>
      </c>
      <c r="W809">
        <f>IF($T809="","",COUNTIFS(LdBGroup,$R809,LdBKey,"&lt;"&amp;$T809)+1)</f>
        <v/>
      </c>
      <c r="X809">
        <f>IF($W809="","",$R809&amp;"|"&amp;RIGHT("000000"&amp;$W809,6))</f>
        <v/>
      </c>
      <c r="Y809">
        <f>IF($P809="","",IF(Shares!$E812="",0,Shares!$E812))</f>
        <v/>
      </c>
      <c r="Z809">
        <f>IF($P809="","",Shares!$H812)</f>
        <v/>
      </c>
      <c r="AE809">
        <f>IF(OR(Sync!$S809="",Sync!$P809=""),"",Sync!$S809)</f>
        <v/>
      </c>
      <c r="AF809">
        <f>IF($AE809="","",IF(ISNUMBER(Sync!$P809),IF(AND(Sync!$P809&gt;=10000101,Sync!$P809&lt;=99991231),INT(Sync!$P809/10000),""),IFERROR(VALUE(TRIM(LEFT(Sync!$P809,FIND("/",Sync!$P809)-1))),"")))</f>
        <v/>
      </c>
      <c r="AG809">
        <f>IF(OR($AE809="",$AF809=""),"",IF(ISNUMBER(Sync!$P809),INT(MOD(Sync!$P809,10000)/100),IFERROR(VALUE(TRIM(LEFT(MID(Sync!$P809,FIND("/",Sync!$P809)+1,20),FIND("/",MID(Sync!$P809,FIND("/",Sync!$P809)+1,20))-1))),"")))</f>
        <v/>
      </c>
      <c r="AH809">
        <f>IF(OR($AE809="",$AF809=""),"",IF(ISNUMBER(Sync!$P809),MOD(Sync!$P809,100),IFERROR(VALUE(TRIM(MID(MID(Sync!$P809,FIND("/",Sync!$P809)+1,20),FIND("/",MID(Sync!$P809,FIND("/",Sync!$P809)+1,20))+1,20))),"")))</f>
        <v/>
      </c>
      <c r="AI809">
        <f>IF($AE809="","",IF(OR($AF809="",$AG809="",$AH809="",$AF809&lt;1300,$AF809&gt;1500,$AG809&lt;1,$AG809&gt;12,$AH809&lt;1,$AH809&gt;31),"نامعتبر",RIGHT("0000"&amp;$AF809,4)&amp;"/"&amp;RIGHT("00"&amp;$AG809,2)&amp;"/"&amp;RIGHT("00"&amp;$AH809,2)))</f>
        <v/>
      </c>
      <c r="AJ809">
        <f>IF($AE809="","",IF(Sync!$Q809="","0000",IF(AND(ISNUMBER(Sync!$Q809),Sync!$Q809&gt;=0,Sync!$Q809&lt;1),RIGHT("00"&amp;HOUR(Sync!$Q809),2)&amp;RIGHT("00"&amp;MINUTE(Sync!$Q809),2),IFERROR(RIGHT("00"&amp;VALUE(LEFT(Sync!$Q809,FIND(":",Sync!$Q809)-1)),2)&amp;RIGHT("00"&amp;VALUE(MID(Sync!$Q809,FIND(":",Sync!$Q809)+1,2)),2),"0000"))))</f>
        <v/>
      </c>
      <c r="AK809">
        <f>IF(OR($AE809="",$AI809="",$AI809="نامعتبر"),"",LEFT($AI809,4)&amp;MID($AI809,6,2)&amp;RIGHT($AI809,2)&amp;$AJ809&amp;"|"&amp;"3"&amp;RIGHT("00000"&amp;804,5))</f>
        <v/>
      </c>
      <c r="AL809">
        <f>IF($AK809="","",COUNTIFS(LdAParty,$AE809,LdAType,1,LdAKey,"&lt;"&amp;$AK809)+COUNTIFS(LdBMember,$AE809,LdBKey,"&lt;"&amp;$AK809)+COUNTIFS(LdCParty,$AE809,LdCKey,"&lt;"&amp;$AK809)+1)</f>
        <v/>
      </c>
      <c r="AM809">
        <f>IF($AL809="","",$AE809&amp;"|"&amp;RIGHT("000000"&amp;$AL809,6))</f>
        <v/>
      </c>
      <c r="AN809">
        <f>IF($AE809="","",IF(Sync!$W809="",0,Sync!$W809))</f>
        <v/>
      </c>
      <c r="AO809">
        <f>IF($AE809="","",IF(Sync!$X809="",0,Sync!$X809))</f>
        <v/>
      </c>
      <c r="AP809">
        <f>IF($AE809="","",Sync!$R809)</f>
        <v/>
      </c>
      <c r="AQ809">
        <f>IF($AE809="","",Sync!$Y809)</f>
        <v/>
      </c>
    </row>
    <row r="810">
      <c r="A810">
        <f>IF(OR(Wages!$B813="",Wages!$E813=""),"",Wages!$E813)</f>
        <v/>
      </c>
      <c r="B810">
        <f>IF($A810="","",IF(Wages!$C813="دستمزد گروهی",2,1))</f>
        <v/>
      </c>
      <c r="C810">
        <f>IF($A810="","",IF(ISNUMBER(Wages!$B813),IF(AND(Wages!$B813&gt;=10000101,Wages!$B813&lt;=99991231),INT(Wages!$B813/10000),""),IFERROR(VALUE(TRIM(LEFT(Wages!$B813,FIND("/",Wages!$B813)-1))),"")))</f>
        <v/>
      </c>
      <c r="D810">
        <f>IF(OR($A810="",$C810=""),"",IF(ISNUMBER(Wages!$B813),INT(MOD(Wages!$B813,10000)/100),IFERROR(VALUE(TRIM(LEFT(MID(Wages!$B813,FIND("/",Wages!$B813)+1,20),FIND("/",MID(Wages!$B813,FIND("/",Wages!$B813)+1,20))-1))),"")))</f>
        <v/>
      </c>
      <c r="E810">
        <f>IF(OR($A810="",$C810=""),"",IF(ISNUMBER(Wages!$B813),MOD(Wages!$B813,100),IFERROR(VALUE(TRIM(MID(MID(Wages!$B813,FIND("/",Wages!$B813)+1,20),FIND("/",MID(Wages!$B813,FIND("/",Wages!$B813)+1,20))+1,20))),"")))</f>
        <v/>
      </c>
      <c r="F810">
        <f>IF($A810="","",IF(OR($C810="",$D810="",$E810="",$C810&lt;1300,$C810&gt;1500,$D810&lt;1,$D810&gt;12,$E810&lt;1,$E810&gt;31),"نامعتبر",RIGHT("0000"&amp;$C810,4)&amp;"/"&amp;RIGHT("00"&amp;$D810,2)&amp;"/"&amp;RIGHT("00"&amp;$E810,2)))</f>
        <v/>
      </c>
      <c r="G810">
        <f>IF(OR($A810="",$F810="",$F810="نامعتبر"),"",LEFT($F810,4)&amp;MID($F810,6,2)&amp;RIGHT($F810,2)&amp;"0000"&amp;"|"&amp;"1"&amp;RIGHT("00000"&amp;805,5))</f>
        <v/>
      </c>
      <c r="H810">
        <f>IF(OR($B810&lt;&gt;1,$G810=""),"",COUNTIFS(LdAParty,$A810,LdAType,1,LdAKey,"&lt;"&amp;$G810)+COUNTIFS(LdBMember,$A810,LdBKey,"&lt;"&amp;$G810)+COUNTIFS(LdCParty,$A810,LdCKey,"&lt;"&amp;$G810)+1)</f>
        <v/>
      </c>
      <c r="I810">
        <f>IF($H810="","",$A810&amp;"|"&amp;RIGHT("000000"&amp;$H810,6))</f>
        <v/>
      </c>
      <c r="J810">
        <f>IF(OR($B810&lt;&gt;2,$G810=""),"",COUNTIFS(LdAParty,$A810,LdAType,2,LdAKey,"&lt;"&amp;$G810)+1)</f>
        <v/>
      </c>
      <c r="K810">
        <f>IF($J810="","",$A810&amp;"|"&amp;RIGHT("000000"&amp;$J810,6))</f>
        <v/>
      </c>
      <c r="L810">
        <f>IF($A810="","",IF(Wages!$G813="",0,Wages!$G813))</f>
        <v/>
      </c>
      <c r="M810">
        <f>IF($A810="","",Wages!$J813)</f>
        <v/>
      </c>
      <c r="N810">
        <f>IF($A810="","",Wages!$D813)</f>
        <v/>
      </c>
      <c r="P810">
        <f>IF(OR(Shares!$B813="",Shares!$C813=""),"",Shares!$C813)</f>
        <v/>
      </c>
      <c r="Q810">
        <f>IF($P810="","",Shares!$B813)</f>
        <v/>
      </c>
      <c r="R810">
        <f>IF($P810="","",IFERROR(INDEX(WageParty,MATCH($Q810,WageIds,0)),""))</f>
        <v/>
      </c>
      <c r="S810">
        <f>IF($P810="","",IFERROR(INDEX($F$6:$F$2005,MATCH($Q810,WageIds,0)),""))</f>
        <v/>
      </c>
      <c r="T810">
        <f>IF(OR($P810="",$S810="",$S810="نامعتبر"),"",LEFT($S810,4)&amp;MID($S810,6,2)&amp;RIGHT($S810,2)&amp;"0000"&amp;"|"&amp;"2"&amp;RIGHT("00000"&amp;805,5))</f>
        <v/>
      </c>
      <c r="U810">
        <f>IF($T810="","",COUNTIFS(LdAParty,$P810,LdAType,1,LdAKey,"&lt;"&amp;$T810)+COUNTIFS(LdBMember,$P810,LdBKey,"&lt;"&amp;$T810)+COUNTIFS(LdCParty,$P810,LdCKey,"&lt;"&amp;$T810)+1)</f>
        <v/>
      </c>
      <c r="V810">
        <f>IF($U810="","",$P810&amp;"|"&amp;RIGHT("000000"&amp;$U810,6))</f>
        <v/>
      </c>
      <c r="W810">
        <f>IF($T810="","",COUNTIFS(LdBGroup,$R810,LdBKey,"&lt;"&amp;$T810)+1)</f>
        <v/>
      </c>
      <c r="X810">
        <f>IF($W810="","",$R810&amp;"|"&amp;RIGHT("000000"&amp;$W810,6))</f>
        <v/>
      </c>
      <c r="Y810">
        <f>IF($P810="","",IF(Shares!$E813="",0,Shares!$E813))</f>
        <v/>
      </c>
      <c r="Z810">
        <f>IF($P810="","",Shares!$H813)</f>
        <v/>
      </c>
      <c r="AE810">
        <f>IF(OR(Sync!$S810="",Sync!$P810=""),"",Sync!$S810)</f>
        <v/>
      </c>
      <c r="AF810">
        <f>IF($AE810="","",IF(ISNUMBER(Sync!$P810),IF(AND(Sync!$P810&gt;=10000101,Sync!$P810&lt;=99991231),INT(Sync!$P810/10000),""),IFERROR(VALUE(TRIM(LEFT(Sync!$P810,FIND("/",Sync!$P810)-1))),"")))</f>
        <v/>
      </c>
      <c r="AG810">
        <f>IF(OR($AE810="",$AF810=""),"",IF(ISNUMBER(Sync!$P810),INT(MOD(Sync!$P810,10000)/100),IFERROR(VALUE(TRIM(LEFT(MID(Sync!$P810,FIND("/",Sync!$P810)+1,20),FIND("/",MID(Sync!$P810,FIND("/",Sync!$P810)+1,20))-1))),"")))</f>
        <v/>
      </c>
      <c r="AH810">
        <f>IF(OR($AE810="",$AF810=""),"",IF(ISNUMBER(Sync!$P810),MOD(Sync!$P810,100),IFERROR(VALUE(TRIM(MID(MID(Sync!$P810,FIND("/",Sync!$P810)+1,20),FIND("/",MID(Sync!$P810,FIND("/",Sync!$P810)+1,20))+1,20))),"")))</f>
        <v/>
      </c>
      <c r="AI810">
        <f>IF($AE810="","",IF(OR($AF810="",$AG810="",$AH810="",$AF810&lt;1300,$AF810&gt;1500,$AG810&lt;1,$AG810&gt;12,$AH810&lt;1,$AH810&gt;31),"نامعتبر",RIGHT("0000"&amp;$AF810,4)&amp;"/"&amp;RIGHT("00"&amp;$AG810,2)&amp;"/"&amp;RIGHT("00"&amp;$AH810,2)))</f>
        <v/>
      </c>
      <c r="AJ810">
        <f>IF($AE810="","",IF(Sync!$Q810="","0000",IF(AND(ISNUMBER(Sync!$Q810),Sync!$Q810&gt;=0,Sync!$Q810&lt;1),RIGHT("00"&amp;HOUR(Sync!$Q810),2)&amp;RIGHT("00"&amp;MINUTE(Sync!$Q810),2),IFERROR(RIGHT("00"&amp;VALUE(LEFT(Sync!$Q810,FIND(":",Sync!$Q810)-1)),2)&amp;RIGHT("00"&amp;VALUE(MID(Sync!$Q810,FIND(":",Sync!$Q810)+1,2)),2),"0000"))))</f>
        <v/>
      </c>
      <c r="AK810">
        <f>IF(OR($AE810="",$AI810="",$AI810="نامعتبر"),"",LEFT($AI810,4)&amp;MID($AI810,6,2)&amp;RIGHT($AI810,2)&amp;$AJ810&amp;"|"&amp;"3"&amp;RIGHT("00000"&amp;805,5))</f>
        <v/>
      </c>
      <c r="AL810">
        <f>IF($AK810="","",COUNTIFS(LdAParty,$AE810,LdAType,1,LdAKey,"&lt;"&amp;$AK810)+COUNTIFS(LdBMember,$AE810,LdBKey,"&lt;"&amp;$AK810)+COUNTIFS(LdCParty,$AE810,LdCKey,"&lt;"&amp;$AK810)+1)</f>
        <v/>
      </c>
      <c r="AM810">
        <f>IF($AL810="","",$AE810&amp;"|"&amp;RIGHT("000000"&amp;$AL810,6))</f>
        <v/>
      </c>
      <c r="AN810">
        <f>IF($AE810="","",IF(Sync!$W810="",0,Sync!$W810))</f>
        <v/>
      </c>
      <c r="AO810">
        <f>IF($AE810="","",IF(Sync!$X810="",0,Sync!$X810))</f>
        <v/>
      </c>
      <c r="AP810">
        <f>IF($AE810="","",Sync!$R810)</f>
        <v/>
      </c>
      <c r="AQ810">
        <f>IF($AE810="","",Sync!$Y810)</f>
        <v/>
      </c>
    </row>
    <row r="811">
      <c r="A811">
        <f>IF(OR(Wages!$B814="",Wages!$E814=""),"",Wages!$E814)</f>
        <v/>
      </c>
      <c r="B811">
        <f>IF($A811="","",IF(Wages!$C814="دستمزد گروهی",2,1))</f>
        <v/>
      </c>
      <c r="C811">
        <f>IF($A811="","",IF(ISNUMBER(Wages!$B814),IF(AND(Wages!$B814&gt;=10000101,Wages!$B814&lt;=99991231),INT(Wages!$B814/10000),""),IFERROR(VALUE(TRIM(LEFT(Wages!$B814,FIND("/",Wages!$B814)-1))),"")))</f>
        <v/>
      </c>
      <c r="D811">
        <f>IF(OR($A811="",$C811=""),"",IF(ISNUMBER(Wages!$B814),INT(MOD(Wages!$B814,10000)/100),IFERROR(VALUE(TRIM(LEFT(MID(Wages!$B814,FIND("/",Wages!$B814)+1,20),FIND("/",MID(Wages!$B814,FIND("/",Wages!$B814)+1,20))-1))),"")))</f>
        <v/>
      </c>
      <c r="E811">
        <f>IF(OR($A811="",$C811=""),"",IF(ISNUMBER(Wages!$B814),MOD(Wages!$B814,100),IFERROR(VALUE(TRIM(MID(MID(Wages!$B814,FIND("/",Wages!$B814)+1,20),FIND("/",MID(Wages!$B814,FIND("/",Wages!$B814)+1,20))+1,20))),"")))</f>
        <v/>
      </c>
      <c r="F811">
        <f>IF($A811="","",IF(OR($C811="",$D811="",$E811="",$C811&lt;1300,$C811&gt;1500,$D811&lt;1,$D811&gt;12,$E811&lt;1,$E811&gt;31),"نامعتبر",RIGHT("0000"&amp;$C811,4)&amp;"/"&amp;RIGHT("00"&amp;$D811,2)&amp;"/"&amp;RIGHT("00"&amp;$E811,2)))</f>
        <v/>
      </c>
      <c r="G811">
        <f>IF(OR($A811="",$F811="",$F811="نامعتبر"),"",LEFT($F811,4)&amp;MID($F811,6,2)&amp;RIGHT($F811,2)&amp;"0000"&amp;"|"&amp;"1"&amp;RIGHT("00000"&amp;806,5))</f>
        <v/>
      </c>
      <c r="H811">
        <f>IF(OR($B811&lt;&gt;1,$G811=""),"",COUNTIFS(LdAParty,$A811,LdAType,1,LdAKey,"&lt;"&amp;$G811)+COUNTIFS(LdBMember,$A811,LdBKey,"&lt;"&amp;$G811)+COUNTIFS(LdCParty,$A811,LdCKey,"&lt;"&amp;$G811)+1)</f>
        <v/>
      </c>
      <c r="I811">
        <f>IF($H811="","",$A811&amp;"|"&amp;RIGHT("000000"&amp;$H811,6))</f>
        <v/>
      </c>
      <c r="J811">
        <f>IF(OR($B811&lt;&gt;2,$G811=""),"",COUNTIFS(LdAParty,$A811,LdAType,2,LdAKey,"&lt;"&amp;$G811)+1)</f>
        <v/>
      </c>
      <c r="K811">
        <f>IF($J811="","",$A811&amp;"|"&amp;RIGHT("000000"&amp;$J811,6))</f>
        <v/>
      </c>
      <c r="L811">
        <f>IF($A811="","",IF(Wages!$G814="",0,Wages!$G814))</f>
        <v/>
      </c>
      <c r="M811">
        <f>IF($A811="","",Wages!$J814)</f>
        <v/>
      </c>
      <c r="N811">
        <f>IF($A811="","",Wages!$D814)</f>
        <v/>
      </c>
      <c r="P811">
        <f>IF(OR(Shares!$B814="",Shares!$C814=""),"",Shares!$C814)</f>
        <v/>
      </c>
      <c r="Q811">
        <f>IF($P811="","",Shares!$B814)</f>
        <v/>
      </c>
      <c r="R811">
        <f>IF($P811="","",IFERROR(INDEX(WageParty,MATCH($Q811,WageIds,0)),""))</f>
        <v/>
      </c>
      <c r="S811">
        <f>IF($P811="","",IFERROR(INDEX($F$6:$F$2005,MATCH($Q811,WageIds,0)),""))</f>
        <v/>
      </c>
      <c r="T811">
        <f>IF(OR($P811="",$S811="",$S811="نامعتبر"),"",LEFT($S811,4)&amp;MID($S811,6,2)&amp;RIGHT($S811,2)&amp;"0000"&amp;"|"&amp;"2"&amp;RIGHT("00000"&amp;806,5))</f>
        <v/>
      </c>
      <c r="U811">
        <f>IF($T811="","",COUNTIFS(LdAParty,$P811,LdAType,1,LdAKey,"&lt;"&amp;$T811)+COUNTIFS(LdBMember,$P811,LdBKey,"&lt;"&amp;$T811)+COUNTIFS(LdCParty,$P811,LdCKey,"&lt;"&amp;$T811)+1)</f>
        <v/>
      </c>
      <c r="V811">
        <f>IF($U811="","",$P811&amp;"|"&amp;RIGHT("000000"&amp;$U811,6))</f>
        <v/>
      </c>
      <c r="W811">
        <f>IF($T811="","",COUNTIFS(LdBGroup,$R811,LdBKey,"&lt;"&amp;$T811)+1)</f>
        <v/>
      </c>
      <c r="X811">
        <f>IF($W811="","",$R811&amp;"|"&amp;RIGHT("000000"&amp;$W811,6))</f>
        <v/>
      </c>
      <c r="Y811">
        <f>IF($P811="","",IF(Shares!$E814="",0,Shares!$E814))</f>
        <v/>
      </c>
      <c r="Z811">
        <f>IF($P811="","",Shares!$H814)</f>
        <v/>
      </c>
      <c r="AE811">
        <f>IF(OR(Sync!$S811="",Sync!$P811=""),"",Sync!$S811)</f>
        <v/>
      </c>
      <c r="AF811">
        <f>IF($AE811="","",IF(ISNUMBER(Sync!$P811),IF(AND(Sync!$P811&gt;=10000101,Sync!$P811&lt;=99991231),INT(Sync!$P811/10000),""),IFERROR(VALUE(TRIM(LEFT(Sync!$P811,FIND("/",Sync!$P811)-1))),"")))</f>
        <v/>
      </c>
      <c r="AG811">
        <f>IF(OR($AE811="",$AF811=""),"",IF(ISNUMBER(Sync!$P811),INT(MOD(Sync!$P811,10000)/100),IFERROR(VALUE(TRIM(LEFT(MID(Sync!$P811,FIND("/",Sync!$P811)+1,20),FIND("/",MID(Sync!$P811,FIND("/",Sync!$P811)+1,20))-1))),"")))</f>
        <v/>
      </c>
      <c r="AH811">
        <f>IF(OR($AE811="",$AF811=""),"",IF(ISNUMBER(Sync!$P811),MOD(Sync!$P811,100),IFERROR(VALUE(TRIM(MID(MID(Sync!$P811,FIND("/",Sync!$P811)+1,20),FIND("/",MID(Sync!$P811,FIND("/",Sync!$P811)+1,20))+1,20))),"")))</f>
        <v/>
      </c>
      <c r="AI811">
        <f>IF($AE811="","",IF(OR($AF811="",$AG811="",$AH811="",$AF811&lt;1300,$AF811&gt;1500,$AG811&lt;1,$AG811&gt;12,$AH811&lt;1,$AH811&gt;31),"نامعتبر",RIGHT("0000"&amp;$AF811,4)&amp;"/"&amp;RIGHT("00"&amp;$AG811,2)&amp;"/"&amp;RIGHT("00"&amp;$AH811,2)))</f>
        <v/>
      </c>
      <c r="AJ811">
        <f>IF($AE811="","",IF(Sync!$Q811="","0000",IF(AND(ISNUMBER(Sync!$Q811),Sync!$Q811&gt;=0,Sync!$Q811&lt;1),RIGHT("00"&amp;HOUR(Sync!$Q811),2)&amp;RIGHT("00"&amp;MINUTE(Sync!$Q811),2),IFERROR(RIGHT("00"&amp;VALUE(LEFT(Sync!$Q811,FIND(":",Sync!$Q811)-1)),2)&amp;RIGHT("00"&amp;VALUE(MID(Sync!$Q811,FIND(":",Sync!$Q811)+1,2)),2),"0000"))))</f>
        <v/>
      </c>
      <c r="AK811">
        <f>IF(OR($AE811="",$AI811="",$AI811="نامعتبر"),"",LEFT($AI811,4)&amp;MID($AI811,6,2)&amp;RIGHT($AI811,2)&amp;$AJ811&amp;"|"&amp;"3"&amp;RIGHT("00000"&amp;806,5))</f>
        <v/>
      </c>
      <c r="AL811">
        <f>IF($AK811="","",COUNTIFS(LdAParty,$AE811,LdAType,1,LdAKey,"&lt;"&amp;$AK811)+COUNTIFS(LdBMember,$AE811,LdBKey,"&lt;"&amp;$AK811)+COUNTIFS(LdCParty,$AE811,LdCKey,"&lt;"&amp;$AK811)+1)</f>
        <v/>
      </c>
      <c r="AM811">
        <f>IF($AL811="","",$AE811&amp;"|"&amp;RIGHT("000000"&amp;$AL811,6))</f>
        <v/>
      </c>
      <c r="AN811">
        <f>IF($AE811="","",IF(Sync!$W811="",0,Sync!$W811))</f>
        <v/>
      </c>
      <c r="AO811">
        <f>IF($AE811="","",IF(Sync!$X811="",0,Sync!$X811))</f>
        <v/>
      </c>
      <c r="AP811">
        <f>IF($AE811="","",Sync!$R811)</f>
        <v/>
      </c>
      <c r="AQ811">
        <f>IF($AE811="","",Sync!$Y811)</f>
        <v/>
      </c>
    </row>
    <row r="812">
      <c r="A812">
        <f>IF(OR(Wages!$B815="",Wages!$E815=""),"",Wages!$E815)</f>
        <v/>
      </c>
      <c r="B812">
        <f>IF($A812="","",IF(Wages!$C815="دستمزد گروهی",2,1))</f>
        <v/>
      </c>
      <c r="C812">
        <f>IF($A812="","",IF(ISNUMBER(Wages!$B815),IF(AND(Wages!$B815&gt;=10000101,Wages!$B815&lt;=99991231),INT(Wages!$B815/10000),""),IFERROR(VALUE(TRIM(LEFT(Wages!$B815,FIND("/",Wages!$B815)-1))),"")))</f>
        <v/>
      </c>
      <c r="D812">
        <f>IF(OR($A812="",$C812=""),"",IF(ISNUMBER(Wages!$B815),INT(MOD(Wages!$B815,10000)/100),IFERROR(VALUE(TRIM(LEFT(MID(Wages!$B815,FIND("/",Wages!$B815)+1,20),FIND("/",MID(Wages!$B815,FIND("/",Wages!$B815)+1,20))-1))),"")))</f>
        <v/>
      </c>
      <c r="E812">
        <f>IF(OR($A812="",$C812=""),"",IF(ISNUMBER(Wages!$B815),MOD(Wages!$B815,100),IFERROR(VALUE(TRIM(MID(MID(Wages!$B815,FIND("/",Wages!$B815)+1,20),FIND("/",MID(Wages!$B815,FIND("/",Wages!$B815)+1,20))+1,20))),"")))</f>
        <v/>
      </c>
      <c r="F812">
        <f>IF($A812="","",IF(OR($C812="",$D812="",$E812="",$C812&lt;1300,$C812&gt;1500,$D812&lt;1,$D812&gt;12,$E812&lt;1,$E812&gt;31),"نامعتبر",RIGHT("0000"&amp;$C812,4)&amp;"/"&amp;RIGHT("00"&amp;$D812,2)&amp;"/"&amp;RIGHT("00"&amp;$E812,2)))</f>
        <v/>
      </c>
      <c r="G812">
        <f>IF(OR($A812="",$F812="",$F812="نامعتبر"),"",LEFT($F812,4)&amp;MID($F812,6,2)&amp;RIGHT($F812,2)&amp;"0000"&amp;"|"&amp;"1"&amp;RIGHT("00000"&amp;807,5))</f>
        <v/>
      </c>
      <c r="H812">
        <f>IF(OR($B812&lt;&gt;1,$G812=""),"",COUNTIFS(LdAParty,$A812,LdAType,1,LdAKey,"&lt;"&amp;$G812)+COUNTIFS(LdBMember,$A812,LdBKey,"&lt;"&amp;$G812)+COUNTIFS(LdCParty,$A812,LdCKey,"&lt;"&amp;$G812)+1)</f>
        <v/>
      </c>
      <c r="I812">
        <f>IF($H812="","",$A812&amp;"|"&amp;RIGHT("000000"&amp;$H812,6))</f>
        <v/>
      </c>
      <c r="J812">
        <f>IF(OR($B812&lt;&gt;2,$G812=""),"",COUNTIFS(LdAParty,$A812,LdAType,2,LdAKey,"&lt;"&amp;$G812)+1)</f>
        <v/>
      </c>
      <c r="K812">
        <f>IF($J812="","",$A812&amp;"|"&amp;RIGHT("000000"&amp;$J812,6))</f>
        <v/>
      </c>
      <c r="L812">
        <f>IF($A812="","",IF(Wages!$G815="",0,Wages!$G815))</f>
        <v/>
      </c>
      <c r="M812">
        <f>IF($A812="","",Wages!$J815)</f>
        <v/>
      </c>
      <c r="N812">
        <f>IF($A812="","",Wages!$D815)</f>
        <v/>
      </c>
      <c r="P812">
        <f>IF(OR(Shares!$B815="",Shares!$C815=""),"",Shares!$C815)</f>
        <v/>
      </c>
      <c r="Q812">
        <f>IF($P812="","",Shares!$B815)</f>
        <v/>
      </c>
      <c r="R812">
        <f>IF($P812="","",IFERROR(INDEX(WageParty,MATCH($Q812,WageIds,0)),""))</f>
        <v/>
      </c>
      <c r="S812">
        <f>IF($P812="","",IFERROR(INDEX($F$6:$F$2005,MATCH($Q812,WageIds,0)),""))</f>
        <v/>
      </c>
      <c r="T812">
        <f>IF(OR($P812="",$S812="",$S812="نامعتبر"),"",LEFT($S812,4)&amp;MID($S812,6,2)&amp;RIGHT($S812,2)&amp;"0000"&amp;"|"&amp;"2"&amp;RIGHT("00000"&amp;807,5))</f>
        <v/>
      </c>
      <c r="U812">
        <f>IF($T812="","",COUNTIFS(LdAParty,$P812,LdAType,1,LdAKey,"&lt;"&amp;$T812)+COUNTIFS(LdBMember,$P812,LdBKey,"&lt;"&amp;$T812)+COUNTIFS(LdCParty,$P812,LdCKey,"&lt;"&amp;$T812)+1)</f>
        <v/>
      </c>
      <c r="V812">
        <f>IF($U812="","",$P812&amp;"|"&amp;RIGHT("000000"&amp;$U812,6))</f>
        <v/>
      </c>
      <c r="W812">
        <f>IF($T812="","",COUNTIFS(LdBGroup,$R812,LdBKey,"&lt;"&amp;$T812)+1)</f>
        <v/>
      </c>
      <c r="X812">
        <f>IF($W812="","",$R812&amp;"|"&amp;RIGHT("000000"&amp;$W812,6))</f>
        <v/>
      </c>
      <c r="Y812">
        <f>IF($P812="","",IF(Shares!$E815="",0,Shares!$E815))</f>
        <v/>
      </c>
      <c r="Z812">
        <f>IF($P812="","",Shares!$H815)</f>
        <v/>
      </c>
      <c r="AE812">
        <f>IF(OR(Sync!$S812="",Sync!$P812=""),"",Sync!$S812)</f>
        <v/>
      </c>
      <c r="AF812">
        <f>IF($AE812="","",IF(ISNUMBER(Sync!$P812),IF(AND(Sync!$P812&gt;=10000101,Sync!$P812&lt;=99991231),INT(Sync!$P812/10000),""),IFERROR(VALUE(TRIM(LEFT(Sync!$P812,FIND("/",Sync!$P812)-1))),"")))</f>
        <v/>
      </c>
      <c r="AG812">
        <f>IF(OR($AE812="",$AF812=""),"",IF(ISNUMBER(Sync!$P812),INT(MOD(Sync!$P812,10000)/100),IFERROR(VALUE(TRIM(LEFT(MID(Sync!$P812,FIND("/",Sync!$P812)+1,20),FIND("/",MID(Sync!$P812,FIND("/",Sync!$P812)+1,20))-1))),"")))</f>
        <v/>
      </c>
      <c r="AH812">
        <f>IF(OR($AE812="",$AF812=""),"",IF(ISNUMBER(Sync!$P812),MOD(Sync!$P812,100),IFERROR(VALUE(TRIM(MID(MID(Sync!$P812,FIND("/",Sync!$P812)+1,20),FIND("/",MID(Sync!$P812,FIND("/",Sync!$P812)+1,20))+1,20))),"")))</f>
        <v/>
      </c>
      <c r="AI812">
        <f>IF($AE812="","",IF(OR($AF812="",$AG812="",$AH812="",$AF812&lt;1300,$AF812&gt;1500,$AG812&lt;1,$AG812&gt;12,$AH812&lt;1,$AH812&gt;31),"نامعتبر",RIGHT("0000"&amp;$AF812,4)&amp;"/"&amp;RIGHT("00"&amp;$AG812,2)&amp;"/"&amp;RIGHT("00"&amp;$AH812,2)))</f>
        <v/>
      </c>
      <c r="AJ812">
        <f>IF($AE812="","",IF(Sync!$Q812="","0000",IF(AND(ISNUMBER(Sync!$Q812),Sync!$Q812&gt;=0,Sync!$Q812&lt;1),RIGHT("00"&amp;HOUR(Sync!$Q812),2)&amp;RIGHT("00"&amp;MINUTE(Sync!$Q812),2),IFERROR(RIGHT("00"&amp;VALUE(LEFT(Sync!$Q812,FIND(":",Sync!$Q812)-1)),2)&amp;RIGHT("00"&amp;VALUE(MID(Sync!$Q812,FIND(":",Sync!$Q812)+1,2)),2),"0000"))))</f>
        <v/>
      </c>
      <c r="AK812">
        <f>IF(OR($AE812="",$AI812="",$AI812="نامعتبر"),"",LEFT($AI812,4)&amp;MID($AI812,6,2)&amp;RIGHT($AI812,2)&amp;$AJ812&amp;"|"&amp;"3"&amp;RIGHT("00000"&amp;807,5))</f>
        <v/>
      </c>
      <c r="AL812">
        <f>IF($AK812="","",COUNTIFS(LdAParty,$AE812,LdAType,1,LdAKey,"&lt;"&amp;$AK812)+COUNTIFS(LdBMember,$AE812,LdBKey,"&lt;"&amp;$AK812)+COUNTIFS(LdCParty,$AE812,LdCKey,"&lt;"&amp;$AK812)+1)</f>
        <v/>
      </c>
      <c r="AM812">
        <f>IF($AL812="","",$AE812&amp;"|"&amp;RIGHT("000000"&amp;$AL812,6))</f>
        <v/>
      </c>
      <c r="AN812">
        <f>IF($AE812="","",IF(Sync!$W812="",0,Sync!$W812))</f>
        <v/>
      </c>
      <c r="AO812">
        <f>IF($AE812="","",IF(Sync!$X812="",0,Sync!$X812))</f>
        <v/>
      </c>
      <c r="AP812">
        <f>IF($AE812="","",Sync!$R812)</f>
        <v/>
      </c>
      <c r="AQ812">
        <f>IF($AE812="","",Sync!$Y812)</f>
        <v/>
      </c>
    </row>
    <row r="813">
      <c r="A813">
        <f>IF(OR(Wages!$B816="",Wages!$E816=""),"",Wages!$E816)</f>
        <v/>
      </c>
      <c r="B813">
        <f>IF($A813="","",IF(Wages!$C816="دستمزد گروهی",2,1))</f>
        <v/>
      </c>
      <c r="C813">
        <f>IF($A813="","",IF(ISNUMBER(Wages!$B816),IF(AND(Wages!$B816&gt;=10000101,Wages!$B816&lt;=99991231),INT(Wages!$B816/10000),""),IFERROR(VALUE(TRIM(LEFT(Wages!$B816,FIND("/",Wages!$B816)-1))),"")))</f>
        <v/>
      </c>
      <c r="D813">
        <f>IF(OR($A813="",$C813=""),"",IF(ISNUMBER(Wages!$B816),INT(MOD(Wages!$B816,10000)/100),IFERROR(VALUE(TRIM(LEFT(MID(Wages!$B816,FIND("/",Wages!$B816)+1,20),FIND("/",MID(Wages!$B816,FIND("/",Wages!$B816)+1,20))-1))),"")))</f>
        <v/>
      </c>
      <c r="E813">
        <f>IF(OR($A813="",$C813=""),"",IF(ISNUMBER(Wages!$B816),MOD(Wages!$B816,100),IFERROR(VALUE(TRIM(MID(MID(Wages!$B816,FIND("/",Wages!$B816)+1,20),FIND("/",MID(Wages!$B816,FIND("/",Wages!$B816)+1,20))+1,20))),"")))</f>
        <v/>
      </c>
      <c r="F813">
        <f>IF($A813="","",IF(OR($C813="",$D813="",$E813="",$C813&lt;1300,$C813&gt;1500,$D813&lt;1,$D813&gt;12,$E813&lt;1,$E813&gt;31),"نامعتبر",RIGHT("0000"&amp;$C813,4)&amp;"/"&amp;RIGHT("00"&amp;$D813,2)&amp;"/"&amp;RIGHT("00"&amp;$E813,2)))</f>
        <v/>
      </c>
      <c r="G813">
        <f>IF(OR($A813="",$F813="",$F813="نامعتبر"),"",LEFT($F813,4)&amp;MID($F813,6,2)&amp;RIGHT($F813,2)&amp;"0000"&amp;"|"&amp;"1"&amp;RIGHT("00000"&amp;808,5))</f>
        <v/>
      </c>
      <c r="H813">
        <f>IF(OR($B813&lt;&gt;1,$G813=""),"",COUNTIFS(LdAParty,$A813,LdAType,1,LdAKey,"&lt;"&amp;$G813)+COUNTIFS(LdBMember,$A813,LdBKey,"&lt;"&amp;$G813)+COUNTIFS(LdCParty,$A813,LdCKey,"&lt;"&amp;$G813)+1)</f>
        <v/>
      </c>
      <c r="I813">
        <f>IF($H813="","",$A813&amp;"|"&amp;RIGHT("000000"&amp;$H813,6))</f>
        <v/>
      </c>
      <c r="J813">
        <f>IF(OR($B813&lt;&gt;2,$G813=""),"",COUNTIFS(LdAParty,$A813,LdAType,2,LdAKey,"&lt;"&amp;$G813)+1)</f>
        <v/>
      </c>
      <c r="K813">
        <f>IF($J813="","",$A813&amp;"|"&amp;RIGHT("000000"&amp;$J813,6))</f>
        <v/>
      </c>
      <c r="L813">
        <f>IF($A813="","",IF(Wages!$G816="",0,Wages!$G816))</f>
        <v/>
      </c>
      <c r="M813">
        <f>IF($A813="","",Wages!$J816)</f>
        <v/>
      </c>
      <c r="N813">
        <f>IF($A813="","",Wages!$D816)</f>
        <v/>
      </c>
      <c r="P813">
        <f>IF(OR(Shares!$B816="",Shares!$C816=""),"",Shares!$C816)</f>
        <v/>
      </c>
      <c r="Q813">
        <f>IF($P813="","",Shares!$B816)</f>
        <v/>
      </c>
      <c r="R813">
        <f>IF($P813="","",IFERROR(INDEX(WageParty,MATCH($Q813,WageIds,0)),""))</f>
        <v/>
      </c>
      <c r="S813">
        <f>IF($P813="","",IFERROR(INDEX($F$6:$F$2005,MATCH($Q813,WageIds,0)),""))</f>
        <v/>
      </c>
      <c r="T813">
        <f>IF(OR($P813="",$S813="",$S813="نامعتبر"),"",LEFT($S813,4)&amp;MID($S813,6,2)&amp;RIGHT($S813,2)&amp;"0000"&amp;"|"&amp;"2"&amp;RIGHT("00000"&amp;808,5))</f>
        <v/>
      </c>
      <c r="U813">
        <f>IF($T813="","",COUNTIFS(LdAParty,$P813,LdAType,1,LdAKey,"&lt;"&amp;$T813)+COUNTIFS(LdBMember,$P813,LdBKey,"&lt;"&amp;$T813)+COUNTIFS(LdCParty,$P813,LdCKey,"&lt;"&amp;$T813)+1)</f>
        <v/>
      </c>
      <c r="V813">
        <f>IF($U813="","",$P813&amp;"|"&amp;RIGHT("000000"&amp;$U813,6))</f>
        <v/>
      </c>
      <c r="W813">
        <f>IF($T813="","",COUNTIFS(LdBGroup,$R813,LdBKey,"&lt;"&amp;$T813)+1)</f>
        <v/>
      </c>
      <c r="X813">
        <f>IF($W813="","",$R813&amp;"|"&amp;RIGHT("000000"&amp;$W813,6))</f>
        <v/>
      </c>
      <c r="Y813">
        <f>IF($P813="","",IF(Shares!$E816="",0,Shares!$E816))</f>
        <v/>
      </c>
      <c r="Z813">
        <f>IF($P813="","",Shares!$H816)</f>
        <v/>
      </c>
      <c r="AE813">
        <f>IF(OR(Sync!$S813="",Sync!$P813=""),"",Sync!$S813)</f>
        <v/>
      </c>
      <c r="AF813">
        <f>IF($AE813="","",IF(ISNUMBER(Sync!$P813),IF(AND(Sync!$P813&gt;=10000101,Sync!$P813&lt;=99991231),INT(Sync!$P813/10000),""),IFERROR(VALUE(TRIM(LEFT(Sync!$P813,FIND("/",Sync!$P813)-1))),"")))</f>
        <v/>
      </c>
      <c r="AG813">
        <f>IF(OR($AE813="",$AF813=""),"",IF(ISNUMBER(Sync!$P813),INT(MOD(Sync!$P813,10000)/100),IFERROR(VALUE(TRIM(LEFT(MID(Sync!$P813,FIND("/",Sync!$P813)+1,20),FIND("/",MID(Sync!$P813,FIND("/",Sync!$P813)+1,20))-1))),"")))</f>
        <v/>
      </c>
      <c r="AH813">
        <f>IF(OR($AE813="",$AF813=""),"",IF(ISNUMBER(Sync!$P813),MOD(Sync!$P813,100),IFERROR(VALUE(TRIM(MID(MID(Sync!$P813,FIND("/",Sync!$P813)+1,20),FIND("/",MID(Sync!$P813,FIND("/",Sync!$P813)+1,20))+1,20))),"")))</f>
        <v/>
      </c>
      <c r="AI813">
        <f>IF($AE813="","",IF(OR($AF813="",$AG813="",$AH813="",$AF813&lt;1300,$AF813&gt;1500,$AG813&lt;1,$AG813&gt;12,$AH813&lt;1,$AH813&gt;31),"نامعتبر",RIGHT("0000"&amp;$AF813,4)&amp;"/"&amp;RIGHT("00"&amp;$AG813,2)&amp;"/"&amp;RIGHT("00"&amp;$AH813,2)))</f>
        <v/>
      </c>
      <c r="AJ813">
        <f>IF($AE813="","",IF(Sync!$Q813="","0000",IF(AND(ISNUMBER(Sync!$Q813),Sync!$Q813&gt;=0,Sync!$Q813&lt;1),RIGHT("00"&amp;HOUR(Sync!$Q813),2)&amp;RIGHT("00"&amp;MINUTE(Sync!$Q813),2),IFERROR(RIGHT("00"&amp;VALUE(LEFT(Sync!$Q813,FIND(":",Sync!$Q813)-1)),2)&amp;RIGHT("00"&amp;VALUE(MID(Sync!$Q813,FIND(":",Sync!$Q813)+1,2)),2),"0000"))))</f>
        <v/>
      </c>
      <c r="AK813">
        <f>IF(OR($AE813="",$AI813="",$AI813="نامعتبر"),"",LEFT($AI813,4)&amp;MID($AI813,6,2)&amp;RIGHT($AI813,2)&amp;$AJ813&amp;"|"&amp;"3"&amp;RIGHT("00000"&amp;808,5))</f>
        <v/>
      </c>
      <c r="AL813">
        <f>IF($AK813="","",COUNTIFS(LdAParty,$AE813,LdAType,1,LdAKey,"&lt;"&amp;$AK813)+COUNTIFS(LdBMember,$AE813,LdBKey,"&lt;"&amp;$AK813)+COUNTIFS(LdCParty,$AE813,LdCKey,"&lt;"&amp;$AK813)+1)</f>
        <v/>
      </c>
      <c r="AM813">
        <f>IF($AL813="","",$AE813&amp;"|"&amp;RIGHT("000000"&amp;$AL813,6))</f>
        <v/>
      </c>
      <c r="AN813">
        <f>IF($AE813="","",IF(Sync!$W813="",0,Sync!$W813))</f>
        <v/>
      </c>
      <c r="AO813">
        <f>IF($AE813="","",IF(Sync!$X813="",0,Sync!$X813))</f>
        <v/>
      </c>
      <c r="AP813">
        <f>IF($AE813="","",Sync!$R813)</f>
        <v/>
      </c>
      <c r="AQ813">
        <f>IF($AE813="","",Sync!$Y813)</f>
        <v/>
      </c>
    </row>
    <row r="814">
      <c r="A814">
        <f>IF(OR(Wages!$B817="",Wages!$E817=""),"",Wages!$E817)</f>
        <v/>
      </c>
      <c r="B814">
        <f>IF($A814="","",IF(Wages!$C817="دستمزد گروهی",2,1))</f>
        <v/>
      </c>
      <c r="C814">
        <f>IF($A814="","",IF(ISNUMBER(Wages!$B817),IF(AND(Wages!$B817&gt;=10000101,Wages!$B817&lt;=99991231),INT(Wages!$B817/10000),""),IFERROR(VALUE(TRIM(LEFT(Wages!$B817,FIND("/",Wages!$B817)-1))),"")))</f>
        <v/>
      </c>
      <c r="D814">
        <f>IF(OR($A814="",$C814=""),"",IF(ISNUMBER(Wages!$B817),INT(MOD(Wages!$B817,10000)/100),IFERROR(VALUE(TRIM(LEFT(MID(Wages!$B817,FIND("/",Wages!$B817)+1,20),FIND("/",MID(Wages!$B817,FIND("/",Wages!$B817)+1,20))-1))),"")))</f>
        <v/>
      </c>
      <c r="E814">
        <f>IF(OR($A814="",$C814=""),"",IF(ISNUMBER(Wages!$B817),MOD(Wages!$B817,100),IFERROR(VALUE(TRIM(MID(MID(Wages!$B817,FIND("/",Wages!$B817)+1,20),FIND("/",MID(Wages!$B817,FIND("/",Wages!$B817)+1,20))+1,20))),"")))</f>
        <v/>
      </c>
      <c r="F814">
        <f>IF($A814="","",IF(OR($C814="",$D814="",$E814="",$C814&lt;1300,$C814&gt;1500,$D814&lt;1,$D814&gt;12,$E814&lt;1,$E814&gt;31),"نامعتبر",RIGHT("0000"&amp;$C814,4)&amp;"/"&amp;RIGHT("00"&amp;$D814,2)&amp;"/"&amp;RIGHT("00"&amp;$E814,2)))</f>
        <v/>
      </c>
      <c r="G814">
        <f>IF(OR($A814="",$F814="",$F814="نامعتبر"),"",LEFT($F814,4)&amp;MID($F814,6,2)&amp;RIGHT($F814,2)&amp;"0000"&amp;"|"&amp;"1"&amp;RIGHT("00000"&amp;809,5))</f>
        <v/>
      </c>
      <c r="H814">
        <f>IF(OR($B814&lt;&gt;1,$G814=""),"",COUNTIFS(LdAParty,$A814,LdAType,1,LdAKey,"&lt;"&amp;$G814)+COUNTIFS(LdBMember,$A814,LdBKey,"&lt;"&amp;$G814)+COUNTIFS(LdCParty,$A814,LdCKey,"&lt;"&amp;$G814)+1)</f>
        <v/>
      </c>
      <c r="I814">
        <f>IF($H814="","",$A814&amp;"|"&amp;RIGHT("000000"&amp;$H814,6))</f>
        <v/>
      </c>
      <c r="J814">
        <f>IF(OR($B814&lt;&gt;2,$G814=""),"",COUNTIFS(LdAParty,$A814,LdAType,2,LdAKey,"&lt;"&amp;$G814)+1)</f>
        <v/>
      </c>
      <c r="K814">
        <f>IF($J814="","",$A814&amp;"|"&amp;RIGHT("000000"&amp;$J814,6))</f>
        <v/>
      </c>
      <c r="L814">
        <f>IF($A814="","",IF(Wages!$G817="",0,Wages!$G817))</f>
        <v/>
      </c>
      <c r="M814">
        <f>IF($A814="","",Wages!$J817)</f>
        <v/>
      </c>
      <c r="N814">
        <f>IF($A814="","",Wages!$D817)</f>
        <v/>
      </c>
      <c r="P814">
        <f>IF(OR(Shares!$B817="",Shares!$C817=""),"",Shares!$C817)</f>
        <v/>
      </c>
      <c r="Q814">
        <f>IF($P814="","",Shares!$B817)</f>
        <v/>
      </c>
      <c r="R814">
        <f>IF($P814="","",IFERROR(INDEX(WageParty,MATCH($Q814,WageIds,0)),""))</f>
        <v/>
      </c>
      <c r="S814">
        <f>IF($P814="","",IFERROR(INDEX($F$6:$F$2005,MATCH($Q814,WageIds,0)),""))</f>
        <v/>
      </c>
      <c r="T814">
        <f>IF(OR($P814="",$S814="",$S814="نامعتبر"),"",LEFT($S814,4)&amp;MID($S814,6,2)&amp;RIGHT($S814,2)&amp;"0000"&amp;"|"&amp;"2"&amp;RIGHT("00000"&amp;809,5))</f>
        <v/>
      </c>
      <c r="U814">
        <f>IF($T814="","",COUNTIFS(LdAParty,$P814,LdAType,1,LdAKey,"&lt;"&amp;$T814)+COUNTIFS(LdBMember,$P814,LdBKey,"&lt;"&amp;$T814)+COUNTIFS(LdCParty,$P814,LdCKey,"&lt;"&amp;$T814)+1)</f>
        <v/>
      </c>
      <c r="V814">
        <f>IF($U814="","",$P814&amp;"|"&amp;RIGHT("000000"&amp;$U814,6))</f>
        <v/>
      </c>
      <c r="W814">
        <f>IF($T814="","",COUNTIFS(LdBGroup,$R814,LdBKey,"&lt;"&amp;$T814)+1)</f>
        <v/>
      </c>
      <c r="X814">
        <f>IF($W814="","",$R814&amp;"|"&amp;RIGHT("000000"&amp;$W814,6))</f>
        <v/>
      </c>
      <c r="Y814">
        <f>IF($P814="","",IF(Shares!$E817="",0,Shares!$E817))</f>
        <v/>
      </c>
      <c r="Z814">
        <f>IF($P814="","",Shares!$H817)</f>
        <v/>
      </c>
      <c r="AE814">
        <f>IF(OR(Sync!$S814="",Sync!$P814=""),"",Sync!$S814)</f>
        <v/>
      </c>
      <c r="AF814">
        <f>IF($AE814="","",IF(ISNUMBER(Sync!$P814),IF(AND(Sync!$P814&gt;=10000101,Sync!$P814&lt;=99991231),INT(Sync!$P814/10000),""),IFERROR(VALUE(TRIM(LEFT(Sync!$P814,FIND("/",Sync!$P814)-1))),"")))</f>
        <v/>
      </c>
      <c r="AG814">
        <f>IF(OR($AE814="",$AF814=""),"",IF(ISNUMBER(Sync!$P814),INT(MOD(Sync!$P814,10000)/100),IFERROR(VALUE(TRIM(LEFT(MID(Sync!$P814,FIND("/",Sync!$P814)+1,20),FIND("/",MID(Sync!$P814,FIND("/",Sync!$P814)+1,20))-1))),"")))</f>
        <v/>
      </c>
      <c r="AH814">
        <f>IF(OR($AE814="",$AF814=""),"",IF(ISNUMBER(Sync!$P814),MOD(Sync!$P814,100),IFERROR(VALUE(TRIM(MID(MID(Sync!$P814,FIND("/",Sync!$P814)+1,20),FIND("/",MID(Sync!$P814,FIND("/",Sync!$P814)+1,20))+1,20))),"")))</f>
        <v/>
      </c>
      <c r="AI814">
        <f>IF($AE814="","",IF(OR($AF814="",$AG814="",$AH814="",$AF814&lt;1300,$AF814&gt;1500,$AG814&lt;1,$AG814&gt;12,$AH814&lt;1,$AH814&gt;31),"نامعتبر",RIGHT("0000"&amp;$AF814,4)&amp;"/"&amp;RIGHT("00"&amp;$AG814,2)&amp;"/"&amp;RIGHT("00"&amp;$AH814,2)))</f>
        <v/>
      </c>
      <c r="AJ814">
        <f>IF($AE814="","",IF(Sync!$Q814="","0000",IF(AND(ISNUMBER(Sync!$Q814),Sync!$Q814&gt;=0,Sync!$Q814&lt;1),RIGHT("00"&amp;HOUR(Sync!$Q814),2)&amp;RIGHT("00"&amp;MINUTE(Sync!$Q814),2),IFERROR(RIGHT("00"&amp;VALUE(LEFT(Sync!$Q814,FIND(":",Sync!$Q814)-1)),2)&amp;RIGHT("00"&amp;VALUE(MID(Sync!$Q814,FIND(":",Sync!$Q814)+1,2)),2),"0000"))))</f>
        <v/>
      </c>
      <c r="AK814">
        <f>IF(OR($AE814="",$AI814="",$AI814="نامعتبر"),"",LEFT($AI814,4)&amp;MID($AI814,6,2)&amp;RIGHT($AI814,2)&amp;$AJ814&amp;"|"&amp;"3"&amp;RIGHT("00000"&amp;809,5))</f>
        <v/>
      </c>
      <c r="AL814">
        <f>IF($AK814="","",COUNTIFS(LdAParty,$AE814,LdAType,1,LdAKey,"&lt;"&amp;$AK814)+COUNTIFS(LdBMember,$AE814,LdBKey,"&lt;"&amp;$AK814)+COUNTIFS(LdCParty,$AE814,LdCKey,"&lt;"&amp;$AK814)+1)</f>
        <v/>
      </c>
      <c r="AM814">
        <f>IF($AL814="","",$AE814&amp;"|"&amp;RIGHT("000000"&amp;$AL814,6))</f>
        <v/>
      </c>
      <c r="AN814">
        <f>IF($AE814="","",IF(Sync!$W814="",0,Sync!$W814))</f>
        <v/>
      </c>
      <c r="AO814">
        <f>IF($AE814="","",IF(Sync!$X814="",0,Sync!$X814))</f>
        <v/>
      </c>
      <c r="AP814">
        <f>IF($AE814="","",Sync!$R814)</f>
        <v/>
      </c>
      <c r="AQ814">
        <f>IF($AE814="","",Sync!$Y814)</f>
        <v/>
      </c>
    </row>
    <row r="815">
      <c r="A815">
        <f>IF(OR(Wages!$B818="",Wages!$E818=""),"",Wages!$E818)</f>
        <v/>
      </c>
      <c r="B815">
        <f>IF($A815="","",IF(Wages!$C818="دستمزد گروهی",2,1))</f>
        <v/>
      </c>
      <c r="C815">
        <f>IF($A815="","",IF(ISNUMBER(Wages!$B818),IF(AND(Wages!$B818&gt;=10000101,Wages!$B818&lt;=99991231),INT(Wages!$B818/10000),""),IFERROR(VALUE(TRIM(LEFT(Wages!$B818,FIND("/",Wages!$B818)-1))),"")))</f>
        <v/>
      </c>
      <c r="D815">
        <f>IF(OR($A815="",$C815=""),"",IF(ISNUMBER(Wages!$B818),INT(MOD(Wages!$B818,10000)/100),IFERROR(VALUE(TRIM(LEFT(MID(Wages!$B818,FIND("/",Wages!$B818)+1,20),FIND("/",MID(Wages!$B818,FIND("/",Wages!$B818)+1,20))-1))),"")))</f>
        <v/>
      </c>
      <c r="E815">
        <f>IF(OR($A815="",$C815=""),"",IF(ISNUMBER(Wages!$B818),MOD(Wages!$B818,100),IFERROR(VALUE(TRIM(MID(MID(Wages!$B818,FIND("/",Wages!$B818)+1,20),FIND("/",MID(Wages!$B818,FIND("/",Wages!$B818)+1,20))+1,20))),"")))</f>
        <v/>
      </c>
      <c r="F815">
        <f>IF($A815="","",IF(OR($C815="",$D815="",$E815="",$C815&lt;1300,$C815&gt;1500,$D815&lt;1,$D815&gt;12,$E815&lt;1,$E815&gt;31),"نامعتبر",RIGHT("0000"&amp;$C815,4)&amp;"/"&amp;RIGHT("00"&amp;$D815,2)&amp;"/"&amp;RIGHT("00"&amp;$E815,2)))</f>
        <v/>
      </c>
      <c r="G815">
        <f>IF(OR($A815="",$F815="",$F815="نامعتبر"),"",LEFT($F815,4)&amp;MID($F815,6,2)&amp;RIGHT($F815,2)&amp;"0000"&amp;"|"&amp;"1"&amp;RIGHT("00000"&amp;810,5))</f>
        <v/>
      </c>
      <c r="H815">
        <f>IF(OR($B815&lt;&gt;1,$G815=""),"",COUNTIFS(LdAParty,$A815,LdAType,1,LdAKey,"&lt;"&amp;$G815)+COUNTIFS(LdBMember,$A815,LdBKey,"&lt;"&amp;$G815)+COUNTIFS(LdCParty,$A815,LdCKey,"&lt;"&amp;$G815)+1)</f>
        <v/>
      </c>
      <c r="I815">
        <f>IF($H815="","",$A815&amp;"|"&amp;RIGHT("000000"&amp;$H815,6))</f>
        <v/>
      </c>
      <c r="J815">
        <f>IF(OR($B815&lt;&gt;2,$G815=""),"",COUNTIFS(LdAParty,$A815,LdAType,2,LdAKey,"&lt;"&amp;$G815)+1)</f>
        <v/>
      </c>
      <c r="K815">
        <f>IF($J815="","",$A815&amp;"|"&amp;RIGHT("000000"&amp;$J815,6))</f>
        <v/>
      </c>
      <c r="L815">
        <f>IF($A815="","",IF(Wages!$G818="",0,Wages!$G818))</f>
        <v/>
      </c>
      <c r="M815">
        <f>IF($A815="","",Wages!$J818)</f>
        <v/>
      </c>
      <c r="N815">
        <f>IF($A815="","",Wages!$D818)</f>
        <v/>
      </c>
      <c r="P815">
        <f>IF(OR(Shares!$B818="",Shares!$C818=""),"",Shares!$C818)</f>
        <v/>
      </c>
      <c r="Q815">
        <f>IF($P815="","",Shares!$B818)</f>
        <v/>
      </c>
      <c r="R815">
        <f>IF($P815="","",IFERROR(INDEX(WageParty,MATCH($Q815,WageIds,0)),""))</f>
        <v/>
      </c>
      <c r="S815">
        <f>IF($P815="","",IFERROR(INDEX($F$6:$F$2005,MATCH($Q815,WageIds,0)),""))</f>
        <v/>
      </c>
      <c r="T815">
        <f>IF(OR($P815="",$S815="",$S815="نامعتبر"),"",LEFT($S815,4)&amp;MID($S815,6,2)&amp;RIGHT($S815,2)&amp;"0000"&amp;"|"&amp;"2"&amp;RIGHT("00000"&amp;810,5))</f>
        <v/>
      </c>
      <c r="U815">
        <f>IF($T815="","",COUNTIFS(LdAParty,$P815,LdAType,1,LdAKey,"&lt;"&amp;$T815)+COUNTIFS(LdBMember,$P815,LdBKey,"&lt;"&amp;$T815)+COUNTIFS(LdCParty,$P815,LdCKey,"&lt;"&amp;$T815)+1)</f>
        <v/>
      </c>
      <c r="V815">
        <f>IF($U815="","",$P815&amp;"|"&amp;RIGHT("000000"&amp;$U815,6))</f>
        <v/>
      </c>
      <c r="W815">
        <f>IF($T815="","",COUNTIFS(LdBGroup,$R815,LdBKey,"&lt;"&amp;$T815)+1)</f>
        <v/>
      </c>
      <c r="X815">
        <f>IF($W815="","",$R815&amp;"|"&amp;RIGHT("000000"&amp;$W815,6))</f>
        <v/>
      </c>
      <c r="Y815">
        <f>IF($P815="","",IF(Shares!$E818="",0,Shares!$E818))</f>
        <v/>
      </c>
      <c r="Z815">
        <f>IF($P815="","",Shares!$H818)</f>
        <v/>
      </c>
      <c r="AE815">
        <f>IF(OR(Sync!$S815="",Sync!$P815=""),"",Sync!$S815)</f>
        <v/>
      </c>
      <c r="AF815">
        <f>IF($AE815="","",IF(ISNUMBER(Sync!$P815),IF(AND(Sync!$P815&gt;=10000101,Sync!$P815&lt;=99991231),INT(Sync!$P815/10000),""),IFERROR(VALUE(TRIM(LEFT(Sync!$P815,FIND("/",Sync!$P815)-1))),"")))</f>
        <v/>
      </c>
      <c r="AG815">
        <f>IF(OR($AE815="",$AF815=""),"",IF(ISNUMBER(Sync!$P815),INT(MOD(Sync!$P815,10000)/100),IFERROR(VALUE(TRIM(LEFT(MID(Sync!$P815,FIND("/",Sync!$P815)+1,20),FIND("/",MID(Sync!$P815,FIND("/",Sync!$P815)+1,20))-1))),"")))</f>
        <v/>
      </c>
      <c r="AH815">
        <f>IF(OR($AE815="",$AF815=""),"",IF(ISNUMBER(Sync!$P815),MOD(Sync!$P815,100),IFERROR(VALUE(TRIM(MID(MID(Sync!$P815,FIND("/",Sync!$P815)+1,20),FIND("/",MID(Sync!$P815,FIND("/",Sync!$P815)+1,20))+1,20))),"")))</f>
        <v/>
      </c>
      <c r="AI815">
        <f>IF($AE815="","",IF(OR($AF815="",$AG815="",$AH815="",$AF815&lt;1300,$AF815&gt;1500,$AG815&lt;1,$AG815&gt;12,$AH815&lt;1,$AH815&gt;31),"نامعتبر",RIGHT("0000"&amp;$AF815,4)&amp;"/"&amp;RIGHT("00"&amp;$AG815,2)&amp;"/"&amp;RIGHT("00"&amp;$AH815,2)))</f>
        <v/>
      </c>
      <c r="AJ815">
        <f>IF($AE815="","",IF(Sync!$Q815="","0000",IF(AND(ISNUMBER(Sync!$Q815),Sync!$Q815&gt;=0,Sync!$Q815&lt;1),RIGHT("00"&amp;HOUR(Sync!$Q815),2)&amp;RIGHT("00"&amp;MINUTE(Sync!$Q815),2),IFERROR(RIGHT("00"&amp;VALUE(LEFT(Sync!$Q815,FIND(":",Sync!$Q815)-1)),2)&amp;RIGHT("00"&amp;VALUE(MID(Sync!$Q815,FIND(":",Sync!$Q815)+1,2)),2),"0000"))))</f>
        <v/>
      </c>
      <c r="AK815">
        <f>IF(OR($AE815="",$AI815="",$AI815="نامعتبر"),"",LEFT($AI815,4)&amp;MID($AI815,6,2)&amp;RIGHT($AI815,2)&amp;$AJ815&amp;"|"&amp;"3"&amp;RIGHT("00000"&amp;810,5))</f>
        <v/>
      </c>
      <c r="AL815">
        <f>IF($AK815="","",COUNTIFS(LdAParty,$AE815,LdAType,1,LdAKey,"&lt;"&amp;$AK815)+COUNTIFS(LdBMember,$AE815,LdBKey,"&lt;"&amp;$AK815)+COUNTIFS(LdCParty,$AE815,LdCKey,"&lt;"&amp;$AK815)+1)</f>
        <v/>
      </c>
      <c r="AM815">
        <f>IF($AL815="","",$AE815&amp;"|"&amp;RIGHT("000000"&amp;$AL815,6))</f>
        <v/>
      </c>
      <c r="AN815">
        <f>IF($AE815="","",IF(Sync!$W815="",0,Sync!$W815))</f>
        <v/>
      </c>
      <c r="AO815">
        <f>IF($AE815="","",IF(Sync!$X815="",0,Sync!$X815))</f>
        <v/>
      </c>
      <c r="AP815">
        <f>IF($AE815="","",Sync!$R815)</f>
        <v/>
      </c>
      <c r="AQ815">
        <f>IF($AE815="","",Sync!$Y815)</f>
        <v/>
      </c>
    </row>
    <row r="816">
      <c r="A816">
        <f>IF(OR(Wages!$B819="",Wages!$E819=""),"",Wages!$E819)</f>
        <v/>
      </c>
      <c r="B816">
        <f>IF($A816="","",IF(Wages!$C819="دستمزد گروهی",2,1))</f>
        <v/>
      </c>
      <c r="C816">
        <f>IF($A816="","",IF(ISNUMBER(Wages!$B819),IF(AND(Wages!$B819&gt;=10000101,Wages!$B819&lt;=99991231),INT(Wages!$B819/10000),""),IFERROR(VALUE(TRIM(LEFT(Wages!$B819,FIND("/",Wages!$B819)-1))),"")))</f>
        <v/>
      </c>
      <c r="D816">
        <f>IF(OR($A816="",$C816=""),"",IF(ISNUMBER(Wages!$B819),INT(MOD(Wages!$B819,10000)/100),IFERROR(VALUE(TRIM(LEFT(MID(Wages!$B819,FIND("/",Wages!$B819)+1,20),FIND("/",MID(Wages!$B819,FIND("/",Wages!$B819)+1,20))-1))),"")))</f>
        <v/>
      </c>
      <c r="E816">
        <f>IF(OR($A816="",$C816=""),"",IF(ISNUMBER(Wages!$B819),MOD(Wages!$B819,100),IFERROR(VALUE(TRIM(MID(MID(Wages!$B819,FIND("/",Wages!$B819)+1,20),FIND("/",MID(Wages!$B819,FIND("/",Wages!$B819)+1,20))+1,20))),"")))</f>
        <v/>
      </c>
      <c r="F816">
        <f>IF($A816="","",IF(OR($C816="",$D816="",$E816="",$C816&lt;1300,$C816&gt;1500,$D816&lt;1,$D816&gt;12,$E816&lt;1,$E816&gt;31),"نامعتبر",RIGHT("0000"&amp;$C816,4)&amp;"/"&amp;RIGHT("00"&amp;$D816,2)&amp;"/"&amp;RIGHT("00"&amp;$E816,2)))</f>
        <v/>
      </c>
      <c r="G816">
        <f>IF(OR($A816="",$F816="",$F816="نامعتبر"),"",LEFT($F816,4)&amp;MID($F816,6,2)&amp;RIGHT($F816,2)&amp;"0000"&amp;"|"&amp;"1"&amp;RIGHT("00000"&amp;811,5))</f>
        <v/>
      </c>
      <c r="H816">
        <f>IF(OR($B816&lt;&gt;1,$G816=""),"",COUNTIFS(LdAParty,$A816,LdAType,1,LdAKey,"&lt;"&amp;$G816)+COUNTIFS(LdBMember,$A816,LdBKey,"&lt;"&amp;$G816)+COUNTIFS(LdCParty,$A816,LdCKey,"&lt;"&amp;$G816)+1)</f>
        <v/>
      </c>
      <c r="I816">
        <f>IF($H816="","",$A816&amp;"|"&amp;RIGHT("000000"&amp;$H816,6))</f>
        <v/>
      </c>
      <c r="J816">
        <f>IF(OR($B816&lt;&gt;2,$G816=""),"",COUNTIFS(LdAParty,$A816,LdAType,2,LdAKey,"&lt;"&amp;$G816)+1)</f>
        <v/>
      </c>
      <c r="K816">
        <f>IF($J816="","",$A816&amp;"|"&amp;RIGHT("000000"&amp;$J816,6))</f>
        <v/>
      </c>
      <c r="L816">
        <f>IF($A816="","",IF(Wages!$G819="",0,Wages!$G819))</f>
        <v/>
      </c>
      <c r="M816">
        <f>IF($A816="","",Wages!$J819)</f>
        <v/>
      </c>
      <c r="N816">
        <f>IF($A816="","",Wages!$D819)</f>
        <v/>
      </c>
      <c r="P816">
        <f>IF(OR(Shares!$B819="",Shares!$C819=""),"",Shares!$C819)</f>
        <v/>
      </c>
      <c r="Q816">
        <f>IF($P816="","",Shares!$B819)</f>
        <v/>
      </c>
      <c r="R816">
        <f>IF($P816="","",IFERROR(INDEX(WageParty,MATCH($Q816,WageIds,0)),""))</f>
        <v/>
      </c>
      <c r="S816">
        <f>IF($P816="","",IFERROR(INDEX($F$6:$F$2005,MATCH($Q816,WageIds,0)),""))</f>
        <v/>
      </c>
      <c r="T816">
        <f>IF(OR($P816="",$S816="",$S816="نامعتبر"),"",LEFT($S816,4)&amp;MID($S816,6,2)&amp;RIGHT($S816,2)&amp;"0000"&amp;"|"&amp;"2"&amp;RIGHT("00000"&amp;811,5))</f>
        <v/>
      </c>
      <c r="U816">
        <f>IF($T816="","",COUNTIFS(LdAParty,$P816,LdAType,1,LdAKey,"&lt;"&amp;$T816)+COUNTIFS(LdBMember,$P816,LdBKey,"&lt;"&amp;$T816)+COUNTIFS(LdCParty,$P816,LdCKey,"&lt;"&amp;$T816)+1)</f>
        <v/>
      </c>
      <c r="V816">
        <f>IF($U816="","",$P816&amp;"|"&amp;RIGHT("000000"&amp;$U816,6))</f>
        <v/>
      </c>
      <c r="W816">
        <f>IF($T816="","",COUNTIFS(LdBGroup,$R816,LdBKey,"&lt;"&amp;$T816)+1)</f>
        <v/>
      </c>
      <c r="X816">
        <f>IF($W816="","",$R816&amp;"|"&amp;RIGHT("000000"&amp;$W816,6))</f>
        <v/>
      </c>
      <c r="Y816">
        <f>IF($P816="","",IF(Shares!$E819="",0,Shares!$E819))</f>
        <v/>
      </c>
      <c r="Z816">
        <f>IF($P816="","",Shares!$H819)</f>
        <v/>
      </c>
      <c r="AE816">
        <f>IF(OR(Sync!$S816="",Sync!$P816=""),"",Sync!$S816)</f>
        <v/>
      </c>
      <c r="AF816">
        <f>IF($AE816="","",IF(ISNUMBER(Sync!$P816),IF(AND(Sync!$P816&gt;=10000101,Sync!$P816&lt;=99991231),INT(Sync!$P816/10000),""),IFERROR(VALUE(TRIM(LEFT(Sync!$P816,FIND("/",Sync!$P816)-1))),"")))</f>
        <v/>
      </c>
      <c r="AG816">
        <f>IF(OR($AE816="",$AF816=""),"",IF(ISNUMBER(Sync!$P816),INT(MOD(Sync!$P816,10000)/100),IFERROR(VALUE(TRIM(LEFT(MID(Sync!$P816,FIND("/",Sync!$P816)+1,20),FIND("/",MID(Sync!$P816,FIND("/",Sync!$P816)+1,20))-1))),"")))</f>
        <v/>
      </c>
      <c r="AH816">
        <f>IF(OR($AE816="",$AF816=""),"",IF(ISNUMBER(Sync!$P816),MOD(Sync!$P816,100),IFERROR(VALUE(TRIM(MID(MID(Sync!$P816,FIND("/",Sync!$P816)+1,20),FIND("/",MID(Sync!$P816,FIND("/",Sync!$P816)+1,20))+1,20))),"")))</f>
        <v/>
      </c>
      <c r="AI816">
        <f>IF($AE816="","",IF(OR($AF816="",$AG816="",$AH816="",$AF816&lt;1300,$AF816&gt;1500,$AG816&lt;1,$AG816&gt;12,$AH816&lt;1,$AH816&gt;31),"نامعتبر",RIGHT("0000"&amp;$AF816,4)&amp;"/"&amp;RIGHT("00"&amp;$AG816,2)&amp;"/"&amp;RIGHT("00"&amp;$AH816,2)))</f>
        <v/>
      </c>
      <c r="AJ816">
        <f>IF($AE816="","",IF(Sync!$Q816="","0000",IF(AND(ISNUMBER(Sync!$Q816),Sync!$Q816&gt;=0,Sync!$Q816&lt;1),RIGHT("00"&amp;HOUR(Sync!$Q816),2)&amp;RIGHT("00"&amp;MINUTE(Sync!$Q816),2),IFERROR(RIGHT("00"&amp;VALUE(LEFT(Sync!$Q816,FIND(":",Sync!$Q816)-1)),2)&amp;RIGHT("00"&amp;VALUE(MID(Sync!$Q816,FIND(":",Sync!$Q816)+1,2)),2),"0000"))))</f>
        <v/>
      </c>
      <c r="AK816">
        <f>IF(OR($AE816="",$AI816="",$AI816="نامعتبر"),"",LEFT($AI816,4)&amp;MID($AI816,6,2)&amp;RIGHT($AI816,2)&amp;$AJ816&amp;"|"&amp;"3"&amp;RIGHT("00000"&amp;811,5))</f>
        <v/>
      </c>
      <c r="AL816">
        <f>IF($AK816="","",COUNTIFS(LdAParty,$AE816,LdAType,1,LdAKey,"&lt;"&amp;$AK816)+COUNTIFS(LdBMember,$AE816,LdBKey,"&lt;"&amp;$AK816)+COUNTIFS(LdCParty,$AE816,LdCKey,"&lt;"&amp;$AK816)+1)</f>
        <v/>
      </c>
      <c r="AM816">
        <f>IF($AL816="","",$AE816&amp;"|"&amp;RIGHT("000000"&amp;$AL816,6))</f>
        <v/>
      </c>
      <c r="AN816">
        <f>IF($AE816="","",IF(Sync!$W816="",0,Sync!$W816))</f>
        <v/>
      </c>
      <c r="AO816">
        <f>IF($AE816="","",IF(Sync!$X816="",0,Sync!$X816))</f>
        <v/>
      </c>
      <c r="AP816">
        <f>IF($AE816="","",Sync!$R816)</f>
        <v/>
      </c>
      <c r="AQ816">
        <f>IF($AE816="","",Sync!$Y816)</f>
        <v/>
      </c>
    </row>
    <row r="817">
      <c r="A817">
        <f>IF(OR(Wages!$B820="",Wages!$E820=""),"",Wages!$E820)</f>
        <v/>
      </c>
      <c r="B817">
        <f>IF($A817="","",IF(Wages!$C820="دستمزد گروهی",2,1))</f>
        <v/>
      </c>
      <c r="C817">
        <f>IF($A817="","",IF(ISNUMBER(Wages!$B820),IF(AND(Wages!$B820&gt;=10000101,Wages!$B820&lt;=99991231),INT(Wages!$B820/10000),""),IFERROR(VALUE(TRIM(LEFT(Wages!$B820,FIND("/",Wages!$B820)-1))),"")))</f>
        <v/>
      </c>
      <c r="D817">
        <f>IF(OR($A817="",$C817=""),"",IF(ISNUMBER(Wages!$B820),INT(MOD(Wages!$B820,10000)/100),IFERROR(VALUE(TRIM(LEFT(MID(Wages!$B820,FIND("/",Wages!$B820)+1,20),FIND("/",MID(Wages!$B820,FIND("/",Wages!$B820)+1,20))-1))),"")))</f>
        <v/>
      </c>
      <c r="E817">
        <f>IF(OR($A817="",$C817=""),"",IF(ISNUMBER(Wages!$B820),MOD(Wages!$B820,100),IFERROR(VALUE(TRIM(MID(MID(Wages!$B820,FIND("/",Wages!$B820)+1,20),FIND("/",MID(Wages!$B820,FIND("/",Wages!$B820)+1,20))+1,20))),"")))</f>
        <v/>
      </c>
      <c r="F817">
        <f>IF($A817="","",IF(OR($C817="",$D817="",$E817="",$C817&lt;1300,$C817&gt;1500,$D817&lt;1,$D817&gt;12,$E817&lt;1,$E817&gt;31),"نامعتبر",RIGHT("0000"&amp;$C817,4)&amp;"/"&amp;RIGHT("00"&amp;$D817,2)&amp;"/"&amp;RIGHT("00"&amp;$E817,2)))</f>
        <v/>
      </c>
      <c r="G817">
        <f>IF(OR($A817="",$F817="",$F817="نامعتبر"),"",LEFT($F817,4)&amp;MID($F817,6,2)&amp;RIGHT($F817,2)&amp;"0000"&amp;"|"&amp;"1"&amp;RIGHT("00000"&amp;812,5))</f>
        <v/>
      </c>
      <c r="H817">
        <f>IF(OR($B817&lt;&gt;1,$G817=""),"",COUNTIFS(LdAParty,$A817,LdAType,1,LdAKey,"&lt;"&amp;$G817)+COUNTIFS(LdBMember,$A817,LdBKey,"&lt;"&amp;$G817)+COUNTIFS(LdCParty,$A817,LdCKey,"&lt;"&amp;$G817)+1)</f>
        <v/>
      </c>
      <c r="I817">
        <f>IF($H817="","",$A817&amp;"|"&amp;RIGHT("000000"&amp;$H817,6))</f>
        <v/>
      </c>
      <c r="J817">
        <f>IF(OR($B817&lt;&gt;2,$G817=""),"",COUNTIFS(LdAParty,$A817,LdAType,2,LdAKey,"&lt;"&amp;$G817)+1)</f>
        <v/>
      </c>
      <c r="K817">
        <f>IF($J817="","",$A817&amp;"|"&amp;RIGHT("000000"&amp;$J817,6))</f>
        <v/>
      </c>
      <c r="L817">
        <f>IF($A817="","",IF(Wages!$G820="",0,Wages!$G820))</f>
        <v/>
      </c>
      <c r="M817">
        <f>IF($A817="","",Wages!$J820)</f>
        <v/>
      </c>
      <c r="N817">
        <f>IF($A817="","",Wages!$D820)</f>
        <v/>
      </c>
      <c r="P817">
        <f>IF(OR(Shares!$B820="",Shares!$C820=""),"",Shares!$C820)</f>
        <v/>
      </c>
      <c r="Q817">
        <f>IF($P817="","",Shares!$B820)</f>
        <v/>
      </c>
      <c r="R817">
        <f>IF($P817="","",IFERROR(INDEX(WageParty,MATCH($Q817,WageIds,0)),""))</f>
        <v/>
      </c>
      <c r="S817">
        <f>IF($P817="","",IFERROR(INDEX($F$6:$F$2005,MATCH($Q817,WageIds,0)),""))</f>
        <v/>
      </c>
      <c r="T817">
        <f>IF(OR($P817="",$S817="",$S817="نامعتبر"),"",LEFT($S817,4)&amp;MID($S817,6,2)&amp;RIGHT($S817,2)&amp;"0000"&amp;"|"&amp;"2"&amp;RIGHT("00000"&amp;812,5))</f>
        <v/>
      </c>
      <c r="U817">
        <f>IF($T817="","",COUNTIFS(LdAParty,$P817,LdAType,1,LdAKey,"&lt;"&amp;$T817)+COUNTIFS(LdBMember,$P817,LdBKey,"&lt;"&amp;$T817)+COUNTIFS(LdCParty,$P817,LdCKey,"&lt;"&amp;$T817)+1)</f>
        <v/>
      </c>
      <c r="V817">
        <f>IF($U817="","",$P817&amp;"|"&amp;RIGHT("000000"&amp;$U817,6))</f>
        <v/>
      </c>
      <c r="W817">
        <f>IF($T817="","",COUNTIFS(LdBGroup,$R817,LdBKey,"&lt;"&amp;$T817)+1)</f>
        <v/>
      </c>
      <c r="X817">
        <f>IF($W817="","",$R817&amp;"|"&amp;RIGHT("000000"&amp;$W817,6))</f>
        <v/>
      </c>
      <c r="Y817">
        <f>IF($P817="","",IF(Shares!$E820="",0,Shares!$E820))</f>
        <v/>
      </c>
      <c r="Z817">
        <f>IF($P817="","",Shares!$H820)</f>
        <v/>
      </c>
      <c r="AE817">
        <f>IF(OR(Sync!$S817="",Sync!$P817=""),"",Sync!$S817)</f>
        <v/>
      </c>
      <c r="AF817">
        <f>IF($AE817="","",IF(ISNUMBER(Sync!$P817),IF(AND(Sync!$P817&gt;=10000101,Sync!$P817&lt;=99991231),INT(Sync!$P817/10000),""),IFERROR(VALUE(TRIM(LEFT(Sync!$P817,FIND("/",Sync!$P817)-1))),"")))</f>
        <v/>
      </c>
      <c r="AG817">
        <f>IF(OR($AE817="",$AF817=""),"",IF(ISNUMBER(Sync!$P817),INT(MOD(Sync!$P817,10000)/100),IFERROR(VALUE(TRIM(LEFT(MID(Sync!$P817,FIND("/",Sync!$P817)+1,20),FIND("/",MID(Sync!$P817,FIND("/",Sync!$P817)+1,20))-1))),"")))</f>
        <v/>
      </c>
      <c r="AH817">
        <f>IF(OR($AE817="",$AF817=""),"",IF(ISNUMBER(Sync!$P817),MOD(Sync!$P817,100),IFERROR(VALUE(TRIM(MID(MID(Sync!$P817,FIND("/",Sync!$P817)+1,20),FIND("/",MID(Sync!$P817,FIND("/",Sync!$P817)+1,20))+1,20))),"")))</f>
        <v/>
      </c>
      <c r="AI817">
        <f>IF($AE817="","",IF(OR($AF817="",$AG817="",$AH817="",$AF817&lt;1300,$AF817&gt;1500,$AG817&lt;1,$AG817&gt;12,$AH817&lt;1,$AH817&gt;31),"نامعتبر",RIGHT("0000"&amp;$AF817,4)&amp;"/"&amp;RIGHT("00"&amp;$AG817,2)&amp;"/"&amp;RIGHT("00"&amp;$AH817,2)))</f>
        <v/>
      </c>
      <c r="AJ817">
        <f>IF($AE817="","",IF(Sync!$Q817="","0000",IF(AND(ISNUMBER(Sync!$Q817),Sync!$Q817&gt;=0,Sync!$Q817&lt;1),RIGHT("00"&amp;HOUR(Sync!$Q817),2)&amp;RIGHT("00"&amp;MINUTE(Sync!$Q817),2),IFERROR(RIGHT("00"&amp;VALUE(LEFT(Sync!$Q817,FIND(":",Sync!$Q817)-1)),2)&amp;RIGHT("00"&amp;VALUE(MID(Sync!$Q817,FIND(":",Sync!$Q817)+1,2)),2),"0000"))))</f>
        <v/>
      </c>
      <c r="AK817">
        <f>IF(OR($AE817="",$AI817="",$AI817="نامعتبر"),"",LEFT($AI817,4)&amp;MID($AI817,6,2)&amp;RIGHT($AI817,2)&amp;$AJ817&amp;"|"&amp;"3"&amp;RIGHT("00000"&amp;812,5))</f>
        <v/>
      </c>
      <c r="AL817">
        <f>IF($AK817="","",COUNTIFS(LdAParty,$AE817,LdAType,1,LdAKey,"&lt;"&amp;$AK817)+COUNTIFS(LdBMember,$AE817,LdBKey,"&lt;"&amp;$AK817)+COUNTIFS(LdCParty,$AE817,LdCKey,"&lt;"&amp;$AK817)+1)</f>
        <v/>
      </c>
      <c r="AM817">
        <f>IF($AL817="","",$AE817&amp;"|"&amp;RIGHT("000000"&amp;$AL817,6))</f>
        <v/>
      </c>
      <c r="AN817">
        <f>IF($AE817="","",IF(Sync!$W817="",0,Sync!$W817))</f>
        <v/>
      </c>
      <c r="AO817">
        <f>IF($AE817="","",IF(Sync!$X817="",0,Sync!$X817))</f>
        <v/>
      </c>
      <c r="AP817">
        <f>IF($AE817="","",Sync!$R817)</f>
        <v/>
      </c>
      <c r="AQ817">
        <f>IF($AE817="","",Sync!$Y817)</f>
        <v/>
      </c>
    </row>
    <row r="818">
      <c r="A818">
        <f>IF(OR(Wages!$B821="",Wages!$E821=""),"",Wages!$E821)</f>
        <v/>
      </c>
      <c r="B818">
        <f>IF($A818="","",IF(Wages!$C821="دستمزد گروهی",2,1))</f>
        <v/>
      </c>
      <c r="C818">
        <f>IF($A818="","",IF(ISNUMBER(Wages!$B821),IF(AND(Wages!$B821&gt;=10000101,Wages!$B821&lt;=99991231),INT(Wages!$B821/10000),""),IFERROR(VALUE(TRIM(LEFT(Wages!$B821,FIND("/",Wages!$B821)-1))),"")))</f>
        <v/>
      </c>
      <c r="D818">
        <f>IF(OR($A818="",$C818=""),"",IF(ISNUMBER(Wages!$B821),INT(MOD(Wages!$B821,10000)/100),IFERROR(VALUE(TRIM(LEFT(MID(Wages!$B821,FIND("/",Wages!$B821)+1,20),FIND("/",MID(Wages!$B821,FIND("/",Wages!$B821)+1,20))-1))),"")))</f>
        <v/>
      </c>
      <c r="E818">
        <f>IF(OR($A818="",$C818=""),"",IF(ISNUMBER(Wages!$B821),MOD(Wages!$B821,100),IFERROR(VALUE(TRIM(MID(MID(Wages!$B821,FIND("/",Wages!$B821)+1,20),FIND("/",MID(Wages!$B821,FIND("/",Wages!$B821)+1,20))+1,20))),"")))</f>
        <v/>
      </c>
      <c r="F818">
        <f>IF($A818="","",IF(OR($C818="",$D818="",$E818="",$C818&lt;1300,$C818&gt;1500,$D818&lt;1,$D818&gt;12,$E818&lt;1,$E818&gt;31),"نامعتبر",RIGHT("0000"&amp;$C818,4)&amp;"/"&amp;RIGHT("00"&amp;$D818,2)&amp;"/"&amp;RIGHT("00"&amp;$E818,2)))</f>
        <v/>
      </c>
      <c r="G818">
        <f>IF(OR($A818="",$F818="",$F818="نامعتبر"),"",LEFT($F818,4)&amp;MID($F818,6,2)&amp;RIGHT($F818,2)&amp;"0000"&amp;"|"&amp;"1"&amp;RIGHT("00000"&amp;813,5))</f>
        <v/>
      </c>
      <c r="H818">
        <f>IF(OR($B818&lt;&gt;1,$G818=""),"",COUNTIFS(LdAParty,$A818,LdAType,1,LdAKey,"&lt;"&amp;$G818)+COUNTIFS(LdBMember,$A818,LdBKey,"&lt;"&amp;$G818)+COUNTIFS(LdCParty,$A818,LdCKey,"&lt;"&amp;$G818)+1)</f>
        <v/>
      </c>
      <c r="I818">
        <f>IF($H818="","",$A818&amp;"|"&amp;RIGHT("000000"&amp;$H818,6))</f>
        <v/>
      </c>
      <c r="J818">
        <f>IF(OR($B818&lt;&gt;2,$G818=""),"",COUNTIFS(LdAParty,$A818,LdAType,2,LdAKey,"&lt;"&amp;$G818)+1)</f>
        <v/>
      </c>
      <c r="K818">
        <f>IF($J818="","",$A818&amp;"|"&amp;RIGHT("000000"&amp;$J818,6))</f>
        <v/>
      </c>
      <c r="L818">
        <f>IF($A818="","",IF(Wages!$G821="",0,Wages!$G821))</f>
        <v/>
      </c>
      <c r="M818">
        <f>IF($A818="","",Wages!$J821)</f>
        <v/>
      </c>
      <c r="N818">
        <f>IF($A818="","",Wages!$D821)</f>
        <v/>
      </c>
      <c r="P818">
        <f>IF(OR(Shares!$B821="",Shares!$C821=""),"",Shares!$C821)</f>
        <v/>
      </c>
      <c r="Q818">
        <f>IF($P818="","",Shares!$B821)</f>
        <v/>
      </c>
      <c r="R818">
        <f>IF($P818="","",IFERROR(INDEX(WageParty,MATCH($Q818,WageIds,0)),""))</f>
        <v/>
      </c>
      <c r="S818">
        <f>IF($P818="","",IFERROR(INDEX($F$6:$F$2005,MATCH($Q818,WageIds,0)),""))</f>
        <v/>
      </c>
      <c r="T818">
        <f>IF(OR($P818="",$S818="",$S818="نامعتبر"),"",LEFT($S818,4)&amp;MID($S818,6,2)&amp;RIGHT($S818,2)&amp;"0000"&amp;"|"&amp;"2"&amp;RIGHT("00000"&amp;813,5))</f>
        <v/>
      </c>
      <c r="U818">
        <f>IF($T818="","",COUNTIFS(LdAParty,$P818,LdAType,1,LdAKey,"&lt;"&amp;$T818)+COUNTIFS(LdBMember,$P818,LdBKey,"&lt;"&amp;$T818)+COUNTIFS(LdCParty,$P818,LdCKey,"&lt;"&amp;$T818)+1)</f>
        <v/>
      </c>
      <c r="V818">
        <f>IF($U818="","",$P818&amp;"|"&amp;RIGHT("000000"&amp;$U818,6))</f>
        <v/>
      </c>
      <c r="W818">
        <f>IF($T818="","",COUNTIFS(LdBGroup,$R818,LdBKey,"&lt;"&amp;$T818)+1)</f>
        <v/>
      </c>
      <c r="X818">
        <f>IF($W818="","",$R818&amp;"|"&amp;RIGHT("000000"&amp;$W818,6))</f>
        <v/>
      </c>
      <c r="Y818">
        <f>IF($P818="","",IF(Shares!$E821="",0,Shares!$E821))</f>
        <v/>
      </c>
      <c r="Z818">
        <f>IF($P818="","",Shares!$H821)</f>
        <v/>
      </c>
      <c r="AE818">
        <f>IF(OR(Sync!$S818="",Sync!$P818=""),"",Sync!$S818)</f>
        <v/>
      </c>
      <c r="AF818">
        <f>IF($AE818="","",IF(ISNUMBER(Sync!$P818),IF(AND(Sync!$P818&gt;=10000101,Sync!$P818&lt;=99991231),INT(Sync!$P818/10000),""),IFERROR(VALUE(TRIM(LEFT(Sync!$P818,FIND("/",Sync!$P818)-1))),"")))</f>
        <v/>
      </c>
      <c r="AG818">
        <f>IF(OR($AE818="",$AF818=""),"",IF(ISNUMBER(Sync!$P818),INT(MOD(Sync!$P818,10000)/100),IFERROR(VALUE(TRIM(LEFT(MID(Sync!$P818,FIND("/",Sync!$P818)+1,20),FIND("/",MID(Sync!$P818,FIND("/",Sync!$P818)+1,20))-1))),"")))</f>
        <v/>
      </c>
      <c r="AH818">
        <f>IF(OR($AE818="",$AF818=""),"",IF(ISNUMBER(Sync!$P818),MOD(Sync!$P818,100),IFERROR(VALUE(TRIM(MID(MID(Sync!$P818,FIND("/",Sync!$P818)+1,20),FIND("/",MID(Sync!$P818,FIND("/",Sync!$P818)+1,20))+1,20))),"")))</f>
        <v/>
      </c>
      <c r="AI818">
        <f>IF($AE818="","",IF(OR($AF818="",$AG818="",$AH818="",$AF818&lt;1300,$AF818&gt;1500,$AG818&lt;1,$AG818&gt;12,$AH818&lt;1,$AH818&gt;31),"نامعتبر",RIGHT("0000"&amp;$AF818,4)&amp;"/"&amp;RIGHT("00"&amp;$AG818,2)&amp;"/"&amp;RIGHT("00"&amp;$AH818,2)))</f>
        <v/>
      </c>
      <c r="AJ818">
        <f>IF($AE818="","",IF(Sync!$Q818="","0000",IF(AND(ISNUMBER(Sync!$Q818),Sync!$Q818&gt;=0,Sync!$Q818&lt;1),RIGHT("00"&amp;HOUR(Sync!$Q818),2)&amp;RIGHT("00"&amp;MINUTE(Sync!$Q818),2),IFERROR(RIGHT("00"&amp;VALUE(LEFT(Sync!$Q818,FIND(":",Sync!$Q818)-1)),2)&amp;RIGHT("00"&amp;VALUE(MID(Sync!$Q818,FIND(":",Sync!$Q818)+1,2)),2),"0000"))))</f>
        <v/>
      </c>
      <c r="AK818">
        <f>IF(OR($AE818="",$AI818="",$AI818="نامعتبر"),"",LEFT($AI818,4)&amp;MID($AI818,6,2)&amp;RIGHT($AI818,2)&amp;$AJ818&amp;"|"&amp;"3"&amp;RIGHT("00000"&amp;813,5))</f>
        <v/>
      </c>
      <c r="AL818">
        <f>IF($AK818="","",COUNTIFS(LdAParty,$AE818,LdAType,1,LdAKey,"&lt;"&amp;$AK818)+COUNTIFS(LdBMember,$AE818,LdBKey,"&lt;"&amp;$AK818)+COUNTIFS(LdCParty,$AE818,LdCKey,"&lt;"&amp;$AK818)+1)</f>
        <v/>
      </c>
      <c r="AM818">
        <f>IF($AL818="","",$AE818&amp;"|"&amp;RIGHT("000000"&amp;$AL818,6))</f>
        <v/>
      </c>
      <c r="AN818">
        <f>IF($AE818="","",IF(Sync!$W818="",0,Sync!$W818))</f>
        <v/>
      </c>
      <c r="AO818">
        <f>IF($AE818="","",IF(Sync!$X818="",0,Sync!$X818))</f>
        <v/>
      </c>
      <c r="AP818">
        <f>IF($AE818="","",Sync!$R818)</f>
        <v/>
      </c>
      <c r="AQ818">
        <f>IF($AE818="","",Sync!$Y818)</f>
        <v/>
      </c>
    </row>
    <row r="819">
      <c r="A819">
        <f>IF(OR(Wages!$B822="",Wages!$E822=""),"",Wages!$E822)</f>
        <v/>
      </c>
      <c r="B819">
        <f>IF($A819="","",IF(Wages!$C822="دستمزد گروهی",2,1))</f>
        <v/>
      </c>
      <c r="C819">
        <f>IF($A819="","",IF(ISNUMBER(Wages!$B822),IF(AND(Wages!$B822&gt;=10000101,Wages!$B822&lt;=99991231),INT(Wages!$B822/10000),""),IFERROR(VALUE(TRIM(LEFT(Wages!$B822,FIND("/",Wages!$B822)-1))),"")))</f>
        <v/>
      </c>
      <c r="D819">
        <f>IF(OR($A819="",$C819=""),"",IF(ISNUMBER(Wages!$B822),INT(MOD(Wages!$B822,10000)/100),IFERROR(VALUE(TRIM(LEFT(MID(Wages!$B822,FIND("/",Wages!$B822)+1,20),FIND("/",MID(Wages!$B822,FIND("/",Wages!$B822)+1,20))-1))),"")))</f>
        <v/>
      </c>
      <c r="E819">
        <f>IF(OR($A819="",$C819=""),"",IF(ISNUMBER(Wages!$B822),MOD(Wages!$B822,100),IFERROR(VALUE(TRIM(MID(MID(Wages!$B822,FIND("/",Wages!$B822)+1,20),FIND("/",MID(Wages!$B822,FIND("/",Wages!$B822)+1,20))+1,20))),"")))</f>
        <v/>
      </c>
      <c r="F819">
        <f>IF($A819="","",IF(OR($C819="",$D819="",$E819="",$C819&lt;1300,$C819&gt;1500,$D819&lt;1,$D819&gt;12,$E819&lt;1,$E819&gt;31),"نامعتبر",RIGHT("0000"&amp;$C819,4)&amp;"/"&amp;RIGHT("00"&amp;$D819,2)&amp;"/"&amp;RIGHT("00"&amp;$E819,2)))</f>
        <v/>
      </c>
      <c r="G819">
        <f>IF(OR($A819="",$F819="",$F819="نامعتبر"),"",LEFT($F819,4)&amp;MID($F819,6,2)&amp;RIGHT($F819,2)&amp;"0000"&amp;"|"&amp;"1"&amp;RIGHT("00000"&amp;814,5))</f>
        <v/>
      </c>
      <c r="H819">
        <f>IF(OR($B819&lt;&gt;1,$G819=""),"",COUNTIFS(LdAParty,$A819,LdAType,1,LdAKey,"&lt;"&amp;$G819)+COUNTIFS(LdBMember,$A819,LdBKey,"&lt;"&amp;$G819)+COUNTIFS(LdCParty,$A819,LdCKey,"&lt;"&amp;$G819)+1)</f>
        <v/>
      </c>
      <c r="I819">
        <f>IF($H819="","",$A819&amp;"|"&amp;RIGHT("000000"&amp;$H819,6))</f>
        <v/>
      </c>
      <c r="J819">
        <f>IF(OR($B819&lt;&gt;2,$G819=""),"",COUNTIFS(LdAParty,$A819,LdAType,2,LdAKey,"&lt;"&amp;$G819)+1)</f>
        <v/>
      </c>
      <c r="K819">
        <f>IF($J819="","",$A819&amp;"|"&amp;RIGHT("000000"&amp;$J819,6))</f>
        <v/>
      </c>
      <c r="L819">
        <f>IF($A819="","",IF(Wages!$G822="",0,Wages!$G822))</f>
        <v/>
      </c>
      <c r="M819">
        <f>IF($A819="","",Wages!$J822)</f>
        <v/>
      </c>
      <c r="N819">
        <f>IF($A819="","",Wages!$D822)</f>
        <v/>
      </c>
      <c r="P819">
        <f>IF(OR(Shares!$B822="",Shares!$C822=""),"",Shares!$C822)</f>
        <v/>
      </c>
      <c r="Q819">
        <f>IF($P819="","",Shares!$B822)</f>
        <v/>
      </c>
      <c r="R819">
        <f>IF($P819="","",IFERROR(INDEX(WageParty,MATCH($Q819,WageIds,0)),""))</f>
        <v/>
      </c>
      <c r="S819">
        <f>IF($P819="","",IFERROR(INDEX($F$6:$F$2005,MATCH($Q819,WageIds,0)),""))</f>
        <v/>
      </c>
      <c r="T819">
        <f>IF(OR($P819="",$S819="",$S819="نامعتبر"),"",LEFT($S819,4)&amp;MID($S819,6,2)&amp;RIGHT($S819,2)&amp;"0000"&amp;"|"&amp;"2"&amp;RIGHT("00000"&amp;814,5))</f>
        <v/>
      </c>
      <c r="U819">
        <f>IF($T819="","",COUNTIFS(LdAParty,$P819,LdAType,1,LdAKey,"&lt;"&amp;$T819)+COUNTIFS(LdBMember,$P819,LdBKey,"&lt;"&amp;$T819)+COUNTIFS(LdCParty,$P819,LdCKey,"&lt;"&amp;$T819)+1)</f>
        <v/>
      </c>
      <c r="V819">
        <f>IF($U819="","",$P819&amp;"|"&amp;RIGHT("000000"&amp;$U819,6))</f>
        <v/>
      </c>
      <c r="W819">
        <f>IF($T819="","",COUNTIFS(LdBGroup,$R819,LdBKey,"&lt;"&amp;$T819)+1)</f>
        <v/>
      </c>
      <c r="X819">
        <f>IF($W819="","",$R819&amp;"|"&amp;RIGHT("000000"&amp;$W819,6))</f>
        <v/>
      </c>
      <c r="Y819">
        <f>IF($P819="","",IF(Shares!$E822="",0,Shares!$E822))</f>
        <v/>
      </c>
      <c r="Z819">
        <f>IF($P819="","",Shares!$H822)</f>
        <v/>
      </c>
      <c r="AE819">
        <f>IF(OR(Sync!$S819="",Sync!$P819=""),"",Sync!$S819)</f>
        <v/>
      </c>
      <c r="AF819">
        <f>IF($AE819="","",IF(ISNUMBER(Sync!$P819),IF(AND(Sync!$P819&gt;=10000101,Sync!$P819&lt;=99991231),INT(Sync!$P819/10000),""),IFERROR(VALUE(TRIM(LEFT(Sync!$P819,FIND("/",Sync!$P819)-1))),"")))</f>
        <v/>
      </c>
      <c r="AG819">
        <f>IF(OR($AE819="",$AF819=""),"",IF(ISNUMBER(Sync!$P819),INT(MOD(Sync!$P819,10000)/100),IFERROR(VALUE(TRIM(LEFT(MID(Sync!$P819,FIND("/",Sync!$P819)+1,20),FIND("/",MID(Sync!$P819,FIND("/",Sync!$P819)+1,20))-1))),"")))</f>
        <v/>
      </c>
      <c r="AH819">
        <f>IF(OR($AE819="",$AF819=""),"",IF(ISNUMBER(Sync!$P819),MOD(Sync!$P819,100),IFERROR(VALUE(TRIM(MID(MID(Sync!$P819,FIND("/",Sync!$P819)+1,20),FIND("/",MID(Sync!$P819,FIND("/",Sync!$P819)+1,20))+1,20))),"")))</f>
        <v/>
      </c>
      <c r="AI819">
        <f>IF($AE819="","",IF(OR($AF819="",$AG819="",$AH819="",$AF819&lt;1300,$AF819&gt;1500,$AG819&lt;1,$AG819&gt;12,$AH819&lt;1,$AH819&gt;31),"نامعتبر",RIGHT("0000"&amp;$AF819,4)&amp;"/"&amp;RIGHT("00"&amp;$AG819,2)&amp;"/"&amp;RIGHT("00"&amp;$AH819,2)))</f>
        <v/>
      </c>
      <c r="AJ819">
        <f>IF($AE819="","",IF(Sync!$Q819="","0000",IF(AND(ISNUMBER(Sync!$Q819),Sync!$Q819&gt;=0,Sync!$Q819&lt;1),RIGHT("00"&amp;HOUR(Sync!$Q819),2)&amp;RIGHT("00"&amp;MINUTE(Sync!$Q819),2),IFERROR(RIGHT("00"&amp;VALUE(LEFT(Sync!$Q819,FIND(":",Sync!$Q819)-1)),2)&amp;RIGHT("00"&amp;VALUE(MID(Sync!$Q819,FIND(":",Sync!$Q819)+1,2)),2),"0000"))))</f>
        <v/>
      </c>
      <c r="AK819">
        <f>IF(OR($AE819="",$AI819="",$AI819="نامعتبر"),"",LEFT($AI819,4)&amp;MID($AI819,6,2)&amp;RIGHT($AI819,2)&amp;$AJ819&amp;"|"&amp;"3"&amp;RIGHT("00000"&amp;814,5))</f>
        <v/>
      </c>
      <c r="AL819">
        <f>IF($AK819="","",COUNTIFS(LdAParty,$AE819,LdAType,1,LdAKey,"&lt;"&amp;$AK819)+COUNTIFS(LdBMember,$AE819,LdBKey,"&lt;"&amp;$AK819)+COUNTIFS(LdCParty,$AE819,LdCKey,"&lt;"&amp;$AK819)+1)</f>
        <v/>
      </c>
      <c r="AM819">
        <f>IF($AL819="","",$AE819&amp;"|"&amp;RIGHT("000000"&amp;$AL819,6))</f>
        <v/>
      </c>
      <c r="AN819">
        <f>IF($AE819="","",IF(Sync!$W819="",0,Sync!$W819))</f>
        <v/>
      </c>
      <c r="AO819">
        <f>IF($AE819="","",IF(Sync!$X819="",0,Sync!$X819))</f>
        <v/>
      </c>
      <c r="AP819">
        <f>IF($AE819="","",Sync!$R819)</f>
        <v/>
      </c>
      <c r="AQ819">
        <f>IF($AE819="","",Sync!$Y819)</f>
        <v/>
      </c>
    </row>
    <row r="820">
      <c r="A820">
        <f>IF(OR(Wages!$B823="",Wages!$E823=""),"",Wages!$E823)</f>
        <v/>
      </c>
      <c r="B820">
        <f>IF($A820="","",IF(Wages!$C823="دستمزد گروهی",2,1))</f>
        <v/>
      </c>
      <c r="C820">
        <f>IF($A820="","",IF(ISNUMBER(Wages!$B823),IF(AND(Wages!$B823&gt;=10000101,Wages!$B823&lt;=99991231),INT(Wages!$B823/10000),""),IFERROR(VALUE(TRIM(LEFT(Wages!$B823,FIND("/",Wages!$B823)-1))),"")))</f>
        <v/>
      </c>
      <c r="D820">
        <f>IF(OR($A820="",$C820=""),"",IF(ISNUMBER(Wages!$B823),INT(MOD(Wages!$B823,10000)/100),IFERROR(VALUE(TRIM(LEFT(MID(Wages!$B823,FIND("/",Wages!$B823)+1,20),FIND("/",MID(Wages!$B823,FIND("/",Wages!$B823)+1,20))-1))),"")))</f>
        <v/>
      </c>
      <c r="E820">
        <f>IF(OR($A820="",$C820=""),"",IF(ISNUMBER(Wages!$B823),MOD(Wages!$B823,100),IFERROR(VALUE(TRIM(MID(MID(Wages!$B823,FIND("/",Wages!$B823)+1,20),FIND("/",MID(Wages!$B823,FIND("/",Wages!$B823)+1,20))+1,20))),"")))</f>
        <v/>
      </c>
      <c r="F820">
        <f>IF($A820="","",IF(OR($C820="",$D820="",$E820="",$C820&lt;1300,$C820&gt;1500,$D820&lt;1,$D820&gt;12,$E820&lt;1,$E820&gt;31),"نامعتبر",RIGHT("0000"&amp;$C820,4)&amp;"/"&amp;RIGHT("00"&amp;$D820,2)&amp;"/"&amp;RIGHT("00"&amp;$E820,2)))</f>
        <v/>
      </c>
      <c r="G820">
        <f>IF(OR($A820="",$F820="",$F820="نامعتبر"),"",LEFT($F820,4)&amp;MID($F820,6,2)&amp;RIGHT($F820,2)&amp;"0000"&amp;"|"&amp;"1"&amp;RIGHT("00000"&amp;815,5))</f>
        <v/>
      </c>
      <c r="H820">
        <f>IF(OR($B820&lt;&gt;1,$G820=""),"",COUNTIFS(LdAParty,$A820,LdAType,1,LdAKey,"&lt;"&amp;$G820)+COUNTIFS(LdBMember,$A820,LdBKey,"&lt;"&amp;$G820)+COUNTIFS(LdCParty,$A820,LdCKey,"&lt;"&amp;$G820)+1)</f>
        <v/>
      </c>
      <c r="I820">
        <f>IF($H820="","",$A820&amp;"|"&amp;RIGHT("000000"&amp;$H820,6))</f>
        <v/>
      </c>
      <c r="J820">
        <f>IF(OR($B820&lt;&gt;2,$G820=""),"",COUNTIFS(LdAParty,$A820,LdAType,2,LdAKey,"&lt;"&amp;$G820)+1)</f>
        <v/>
      </c>
      <c r="K820">
        <f>IF($J820="","",$A820&amp;"|"&amp;RIGHT("000000"&amp;$J820,6))</f>
        <v/>
      </c>
      <c r="L820">
        <f>IF($A820="","",IF(Wages!$G823="",0,Wages!$G823))</f>
        <v/>
      </c>
      <c r="M820">
        <f>IF($A820="","",Wages!$J823)</f>
        <v/>
      </c>
      <c r="N820">
        <f>IF($A820="","",Wages!$D823)</f>
        <v/>
      </c>
      <c r="P820">
        <f>IF(OR(Shares!$B823="",Shares!$C823=""),"",Shares!$C823)</f>
        <v/>
      </c>
      <c r="Q820">
        <f>IF($P820="","",Shares!$B823)</f>
        <v/>
      </c>
      <c r="R820">
        <f>IF($P820="","",IFERROR(INDEX(WageParty,MATCH($Q820,WageIds,0)),""))</f>
        <v/>
      </c>
      <c r="S820">
        <f>IF($P820="","",IFERROR(INDEX($F$6:$F$2005,MATCH($Q820,WageIds,0)),""))</f>
        <v/>
      </c>
      <c r="T820">
        <f>IF(OR($P820="",$S820="",$S820="نامعتبر"),"",LEFT($S820,4)&amp;MID($S820,6,2)&amp;RIGHT($S820,2)&amp;"0000"&amp;"|"&amp;"2"&amp;RIGHT("00000"&amp;815,5))</f>
        <v/>
      </c>
      <c r="U820">
        <f>IF($T820="","",COUNTIFS(LdAParty,$P820,LdAType,1,LdAKey,"&lt;"&amp;$T820)+COUNTIFS(LdBMember,$P820,LdBKey,"&lt;"&amp;$T820)+COUNTIFS(LdCParty,$P820,LdCKey,"&lt;"&amp;$T820)+1)</f>
        <v/>
      </c>
      <c r="V820">
        <f>IF($U820="","",$P820&amp;"|"&amp;RIGHT("000000"&amp;$U820,6))</f>
        <v/>
      </c>
      <c r="W820">
        <f>IF($T820="","",COUNTIFS(LdBGroup,$R820,LdBKey,"&lt;"&amp;$T820)+1)</f>
        <v/>
      </c>
      <c r="X820">
        <f>IF($W820="","",$R820&amp;"|"&amp;RIGHT("000000"&amp;$W820,6))</f>
        <v/>
      </c>
      <c r="Y820">
        <f>IF($P820="","",IF(Shares!$E823="",0,Shares!$E823))</f>
        <v/>
      </c>
      <c r="Z820">
        <f>IF($P820="","",Shares!$H823)</f>
        <v/>
      </c>
      <c r="AE820">
        <f>IF(OR(Sync!$S820="",Sync!$P820=""),"",Sync!$S820)</f>
        <v/>
      </c>
      <c r="AF820">
        <f>IF($AE820="","",IF(ISNUMBER(Sync!$P820),IF(AND(Sync!$P820&gt;=10000101,Sync!$P820&lt;=99991231),INT(Sync!$P820/10000),""),IFERROR(VALUE(TRIM(LEFT(Sync!$P820,FIND("/",Sync!$P820)-1))),"")))</f>
        <v/>
      </c>
      <c r="AG820">
        <f>IF(OR($AE820="",$AF820=""),"",IF(ISNUMBER(Sync!$P820),INT(MOD(Sync!$P820,10000)/100),IFERROR(VALUE(TRIM(LEFT(MID(Sync!$P820,FIND("/",Sync!$P820)+1,20),FIND("/",MID(Sync!$P820,FIND("/",Sync!$P820)+1,20))-1))),"")))</f>
        <v/>
      </c>
      <c r="AH820">
        <f>IF(OR($AE820="",$AF820=""),"",IF(ISNUMBER(Sync!$P820),MOD(Sync!$P820,100),IFERROR(VALUE(TRIM(MID(MID(Sync!$P820,FIND("/",Sync!$P820)+1,20),FIND("/",MID(Sync!$P820,FIND("/",Sync!$P820)+1,20))+1,20))),"")))</f>
        <v/>
      </c>
      <c r="AI820">
        <f>IF($AE820="","",IF(OR($AF820="",$AG820="",$AH820="",$AF820&lt;1300,$AF820&gt;1500,$AG820&lt;1,$AG820&gt;12,$AH820&lt;1,$AH820&gt;31),"نامعتبر",RIGHT("0000"&amp;$AF820,4)&amp;"/"&amp;RIGHT("00"&amp;$AG820,2)&amp;"/"&amp;RIGHT("00"&amp;$AH820,2)))</f>
        <v/>
      </c>
      <c r="AJ820">
        <f>IF($AE820="","",IF(Sync!$Q820="","0000",IF(AND(ISNUMBER(Sync!$Q820),Sync!$Q820&gt;=0,Sync!$Q820&lt;1),RIGHT("00"&amp;HOUR(Sync!$Q820),2)&amp;RIGHT("00"&amp;MINUTE(Sync!$Q820),2),IFERROR(RIGHT("00"&amp;VALUE(LEFT(Sync!$Q820,FIND(":",Sync!$Q820)-1)),2)&amp;RIGHT("00"&amp;VALUE(MID(Sync!$Q820,FIND(":",Sync!$Q820)+1,2)),2),"0000"))))</f>
        <v/>
      </c>
      <c r="AK820">
        <f>IF(OR($AE820="",$AI820="",$AI820="نامعتبر"),"",LEFT($AI820,4)&amp;MID($AI820,6,2)&amp;RIGHT($AI820,2)&amp;$AJ820&amp;"|"&amp;"3"&amp;RIGHT("00000"&amp;815,5))</f>
        <v/>
      </c>
      <c r="AL820">
        <f>IF($AK820="","",COUNTIFS(LdAParty,$AE820,LdAType,1,LdAKey,"&lt;"&amp;$AK820)+COUNTIFS(LdBMember,$AE820,LdBKey,"&lt;"&amp;$AK820)+COUNTIFS(LdCParty,$AE820,LdCKey,"&lt;"&amp;$AK820)+1)</f>
        <v/>
      </c>
      <c r="AM820">
        <f>IF($AL820="","",$AE820&amp;"|"&amp;RIGHT("000000"&amp;$AL820,6))</f>
        <v/>
      </c>
      <c r="AN820">
        <f>IF($AE820="","",IF(Sync!$W820="",0,Sync!$W820))</f>
        <v/>
      </c>
      <c r="AO820">
        <f>IF($AE820="","",IF(Sync!$X820="",0,Sync!$X820))</f>
        <v/>
      </c>
      <c r="AP820">
        <f>IF($AE820="","",Sync!$R820)</f>
        <v/>
      </c>
      <c r="AQ820">
        <f>IF($AE820="","",Sync!$Y820)</f>
        <v/>
      </c>
    </row>
    <row r="821">
      <c r="A821">
        <f>IF(OR(Wages!$B824="",Wages!$E824=""),"",Wages!$E824)</f>
        <v/>
      </c>
      <c r="B821">
        <f>IF($A821="","",IF(Wages!$C824="دستمزد گروهی",2,1))</f>
        <v/>
      </c>
      <c r="C821">
        <f>IF($A821="","",IF(ISNUMBER(Wages!$B824),IF(AND(Wages!$B824&gt;=10000101,Wages!$B824&lt;=99991231),INT(Wages!$B824/10000),""),IFERROR(VALUE(TRIM(LEFT(Wages!$B824,FIND("/",Wages!$B824)-1))),"")))</f>
        <v/>
      </c>
      <c r="D821">
        <f>IF(OR($A821="",$C821=""),"",IF(ISNUMBER(Wages!$B824),INT(MOD(Wages!$B824,10000)/100),IFERROR(VALUE(TRIM(LEFT(MID(Wages!$B824,FIND("/",Wages!$B824)+1,20),FIND("/",MID(Wages!$B824,FIND("/",Wages!$B824)+1,20))-1))),"")))</f>
        <v/>
      </c>
      <c r="E821">
        <f>IF(OR($A821="",$C821=""),"",IF(ISNUMBER(Wages!$B824),MOD(Wages!$B824,100),IFERROR(VALUE(TRIM(MID(MID(Wages!$B824,FIND("/",Wages!$B824)+1,20),FIND("/",MID(Wages!$B824,FIND("/",Wages!$B824)+1,20))+1,20))),"")))</f>
        <v/>
      </c>
      <c r="F821">
        <f>IF($A821="","",IF(OR($C821="",$D821="",$E821="",$C821&lt;1300,$C821&gt;1500,$D821&lt;1,$D821&gt;12,$E821&lt;1,$E821&gt;31),"نامعتبر",RIGHT("0000"&amp;$C821,4)&amp;"/"&amp;RIGHT("00"&amp;$D821,2)&amp;"/"&amp;RIGHT("00"&amp;$E821,2)))</f>
        <v/>
      </c>
      <c r="G821">
        <f>IF(OR($A821="",$F821="",$F821="نامعتبر"),"",LEFT($F821,4)&amp;MID($F821,6,2)&amp;RIGHT($F821,2)&amp;"0000"&amp;"|"&amp;"1"&amp;RIGHT("00000"&amp;816,5))</f>
        <v/>
      </c>
      <c r="H821">
        <f>IF(OR($B821&lt;&gt;1,$G821=""),"",COUNTIFS(LdAParty,$A821,LdAType,1,LdAKey,"&lt;"&amp;$G821)+COUNTIFS(LdBMember,$A821,LdBKey,"&lt;"&amp;$G821)+COUNTIFS(LdCParty,$A821,LdCKey,"&lt;"&amp;$G821)+1)</f>
        <v/>
      </c>
      <c r="I821">
        <f>IF($H821="","",$A821&amp;"|"&amp;RIGHT("000000"&amp;$H821,6))</f>
        <v/>
      </c>
      <c r="J821">
        <f>IF(OR($B821&lt;&gt;2,$G821=""),"",COUNTIFS(LdAParty,$A821,LdAType,2,LdAKey,"&lt;"&amp;$G821)+1)</f>
        <v/>
      </c>
      <c r="K821">
        <f>IF($J821="","",$A821&amp;"|"&amp;RIGHT("000000"&amp;$J821,6))</f>
        <v/>
      </c>
      <c r="L821">
        <f>IF($A821="","",IF(Wages!$G824="",0,Wages!$G824))</f>
        <v/>
      </c>
      <c r="M821">
        <f>IF($A821="","",Wages!$J824)</f>
        <v/>
      </c>
      <c r="N821">
        <f>IF($A821="","",Wages!$D824)</f>
        <v/>
      </c>
      <c r="P821">
        <f>IF(OR(Shares!$B824="",Shares!$C824=""),"",Shares!$C824)</f>
        <v/>
      </c>
      <c r="Q821">
        <f>IF($P821="","",Shares!$B824)</f>
        <v/>
      </c>
      <c r="R821">
        <f>IF($P821="","",IFERROR(INDEX(WageParty,MATCH($Q821,WageIds,0)),""))</f>
        <v/>
      </c>
      <c r="S821">
        <f>IF($P821="","",IFERROR(INDEX($F$6:$F$2005,MATCH($Q821,WageIds,0)),""))</f>
        <v/>
      </c>
      <c r="T821">
        <f>IF(OR($P821="",$S821="",$S821="نامعتبر"),"",LEFT($S821,4)&amp;MID($S821,6,2)&amp;RIGHT($S821,2)&amp;"0000"&amp;"|"&amp;"2"&amp;RIGHT("00000"&amp;816,5))</f>
        <v/>
      </c>
      <c r="U821">
        <f>IF($T821="","",COUNTIFS(LdAParty,$P821,LdAType,1,LdAKey,"&lt;"&amp;$T821)+COUNTIFS(LdBMember,$P821,LdBKey,"&lt;"&amp;$T821)+COUNTIFS(LdCParty,$P821,LdCKey,"&lt;"&amp;$T821)+1)</f>
        <v/>
      </c>
      <c r="V821">
        <f>IF($U821="","",$P821&amp;"|"&amp;RIGHT("000000"&amp;$U821,6))</f>
        <v/>
      </c>
      <c r="W821">
        <f>IF($T821="","",COUNTIFS(LdBGroup,$R821,LdBKey,"&lt;"&amp;$T821)+1)</f>
        <v/>
      </c>
      <c r="X821">
        <f>IF($W821="","",$R821&amp;"|"&amp;RIGHT("000000"&amp;$W821,6))</f>
        <v/>
      </c>
      <c r="Y821">
        <f>IF($P821="","",IF(Shares!$E824="",0,Shares!$E824))</f>
        <v/>
      </c>
      <c r="Z821">
        <f>IF($P821="","",Shares!$H824)</f>
        <v/>
      </c>
      <c r="AE821">
        <f>IF(OR(Sync!$S821="",Sync!$P821=""),"",Sync!$S821)</f>
        <v/>
      </c>
      <c r="AF821">
        <f>IF($AE821="","",IF(ISNUMBER(Sync!$P821),IF(AND(Sync!$P821&gt;=10000101,Sync!$P821&lt;=99991231),INT(Sync!$P821/10000),""),IFERROR(VALUE(TRIM(LEFT(Sync!$P821,FIND("/",Sync!$P821)-1))),"")))</f>
        <v/>
      </c>
      <c r="AG821">
        <f>IF(OR($AE821="",$AF821=""),"",IF(ISNUMBER(Sync!$P821),INT(MOD(Sync!$P821,10000)/100),IFERROR(VALUE(TRIM(LEFT(MID(Sync!$P821,FIND("/",Sync!$P821)+1,20),FIND("/",MID(Sync!$P821,FIND("/",Sync!$P821)+1,20))-1))),"")))</f>
        <v/>
      </c>
      <c r="AH821">
        <f>IF(OR($AE821="",$AF821=""),"",IF(ISNUMBER(Sync!$P821),MOD(Sync!$P821,100),IFERROR(VALUE(TRIM(MID(MID(Sync!$P821,FIND("/",Sync!$P821)+1,20),FIND("/",MID(Sync!$P821,FIND("/",Sync!$P821)+1,20))+1,20))),"")))</f>
        <v/>
      </c>
      <c r="AI821">
        <f>IF($AE821="","",IF(OR($AF821="",$AG821="",$AH821="",$AF821&lt;1300,$AF821&gt;1500,$AG821&lt;1,$AG821&gt;12,$AH821&lt;1,$AH821&gt;31),"نامعتبر",RIGHT("0000"&amp;$AF821,4)&amp;"/"&amp;RIGHT("00"&amp;$AG821,2)&amp;"/"&amp;RIGHT("00"&amp;$AH821,2)))</f>
        <v/>
      </c>
      <c r="AJ821">
        <f>IF($AE821="","",IF(Sync!$Q821="","0000",IF(AND(ISNUMBER(Sync!$Q821),Sync!$Q821&gt;=0,Sync!$Q821&lt;1),RIGHT("00"&amp;HOUR(Sync!$Q821),2)&amp;RIGHT("00"&amp;MINUTE(Sync!$Q821),2),IFERROR(RIGHT("00"&amp;VALUE(LEFT(Sync!$Q821,FIND(":",Sync!$Q821)-1)),2)&amp;RIGHT("00"&amp;VALUE(MID(Sync!$Q821,FIND(":",Sync!$Q821)+1,2)),2),"0000"))))</f>
        <v/>
      </c>
      <c r="AK821">
        <f>IF(OR($AE821="",$AI821="",$AI821="نامعتبر"),"",LEFT($AI821,4)&amp;MID($AI821,6,2)&amp;RIGHT($AI821,2)&amp;$AJ821&amp;"|"&amp;"3"&amp;RIGHT("00000"&amp;816,5))</f>
        <v/>
      </c>
      <c r="AL821">
        <f>IF($AK821="","",COUNTIFS(LdAParty,$AE821,LdAType,1,LdAKey,"&lt;"&amp;$AK821)+COUNTIFS(LdBMember,$AE821,LdBKey,"&lt;"&amp;$AK821)+COUNTIFS(LdCParty,$AE821,LdCKey,"&lt;"&amp;$AK821)+1)</f>
        <v/>
      </c>
      <c r="AM821">
        <f>IF($AL821="","",$AE821&amp;"|"&amp;RIGHT("000000"&amp;$AL821,6))</f>
        <v/>
      </c>
      <c r="AN821">
        <f>IF($AE821="","",IF(Sync!$W821="",0,Sync!$W821))</f>
        <v/>
      </c>
      <c r="AO821">
        <f>IF($AE821="","",IF(Sync!$X821="",0,Sync!$X821))</f>
        <v/>
      </c>
      <c r="AP821">
        <f>IF($AE821="","",Sync!$R821)</f>
        <v/>
      </c>
      <c r="AQ821">
        <f>IF($AE821="","",Sync!$Y821)</f>
        <v/>
      </c>
    </row>
    <row r="822">
      <c r="A822">
        <f>IF(OR(Wages!$B825="",Wages!$E825=""),"",Wages!$E825)</f>
        <v/>
      </c>
      <c r="B822">
        <f>IF($A822="","",IF(Wages!$C825="دستمزد گروهی",2,1))</f>
        <v/>
      </c>
      <c r="C822">
        <f>IF($A822="","",IF(ISNUMBER(Wages!$B825),IF(AND(Wages!$B825&gt;=10000101,Wages!$B825&lt;=99991231),INT(Wages!$B825/10000),""),IFERROR(VALUE(TRIM(LEFT(Wages!$B825,FIND("/",Wages!$B825)-1))),"")))</f>
        <v/>
      </c>
      <c r="D822">
        <f>IF(OR($A822="",$C822=""),"",IF(ISNUMBER(Wages!$B825),INT(MOD(Wages!$B825,10000)/100),IFERROR(VALUE(TRIM(LEFT(MID(Wages!$B825,FIND("/",Wages!$B825)+1,20),FIND("/",MID(Wages!$B825,FIND("/",Wages!$B825)+1,20))-1))),"")))</f>
        <v/>
      </c>
      <c r="E822">
        <f>IF(OR($A822="",$C822=""),"",IF(ISNUMBER(Wages!$B825),MOD(Wages!$B825,100),IFERROR(VALUE(TRIM(MID(MID(Wages!$B825,FIND("/",Wages!$B825)+1,20),FIND("/",MID(Wages!$B825,FIND("/",Wages!$B825)+1,20))+1,20))),"")))</f>
        <v/>
      </c>
      <c r="F822">
        <f>IF($A822="","",IF(OR($C822="",$D822="",$E822="",$C822&lt;1300,$C822&gt;1500,$D822&lt;1,$D822&gt;12,$E822&lt;1,$E822&gt;31),"نامعتبر",RIGHT("0000"&amp;$C822,4)&amp;"/"&amp;RIGHT("00"&amp;$D822,2)&amp;"/"&amp;RIGHT("00"&amp;$E822,2)))</f>
        <v/>
      </c>
      <c r="G822">
        <f>IF(OR($A822="",$F822="",$F822="نامعتبر"),"",LEFT($F822,4)&amp;MID($F822,6,2)&amp;RIGHT($F822,2)&amp;"0000"&amp;"|"&amp;"1"&amp;RIGHT("00000"&amp;817,5))</f>
        <v/>
      </c>
      <c r="H822">
        <f>IF(OR($B822&lt;&gt;1,$G822=""),"",COUNTIFS(LdAParty,$A822,LdAType,1,LdAKey,"&lt;"&amp;$G822)+COUNTIFS(LdBMember,$A822,LdBKey,"&lt;"&amp;$G822)+COUNTIFS(LdCParty,$A822,LdCKey,"&lt;"&amp;$G822)+1)</f>
        <v/>
      </c>
      <c r="I822">
        <f>IF($H822="","",$A822&amp;"|"&amp;RIGHT("000000"&amp;$H822,6))</f>
        <v/>
      </c>
      <c r="J822">
        <f>IF(OR($B822&lt;&gt;2,$G822=""),"",COUNTIFS(LdAParty,$A822,LdAType,2,LdAKey,"&lt;"&amp;$G822)+1)</f>
        <v/>
      </c>
      <c r="K822">
        <f>IF($J822="","",$A822&amp;"|"&amp;RIGHT("000000"&amp;$J822,6))</f>
        <v/>
      </c>
      <c r="L822">
        <f>IF($A822="","",IF(Wages!$G825="",0,Wages!$G825))</f>
        <v/>
      </c>
      <c r="M822">
        <f>IF($A822="","",Wages!$J825)</f>
        <v/>
      </c>
      <c r="N822">
        <f>IF($A822="","",Wages!$D825)</f>
        <v/>
      </c>
      <c r="P822">
        <f>IF(OR(Shares!$B825="",Shares!$C825=""),"",Shares!$C825)</f>
        <v/>
      </c>
      <c r="Q822">
        <f>IF($P822="","",Shares!$B825)</f>
        <v/>
      </c>
      <c r="R822">
        <f>IF($P822="","",IFERROR(INDEX(WageParty,MATCH($Q822,WageIds,0)),""))</f>
        <v/>
      </c>
      <c r="S822">
        <f>IF($P822="","",IFERROR(INDEX($F$6:$F$2005,MATCH($Q822,WageIds,0)),""))</f>
        <v/>
      </c>
      <c r="T822">
        <f>IF(OR($P822="",$S822="",$S822="نامعتبر"),"",LEFT($S822,4)&amp;MID($S822,6,2)&amp;RIGHT($S822,2)&amp;"0000"&amp;"|"&amp;"2"&amp;RIGHT("00000"&amp;817,5))</f>
        <v/>
      </c>
      <c r="U822">
        <f>IF($T822="","",COUNTIFS(LdAParty,$P822,LdAType,1,LdAKey,"&lt;"&amp;$T822)+COUNTIFS(LdBMember,$P822,LdBKey,"&lt;"&amp;$T822)+COUNTIFS(LdCParty,$P822,LdCKey,"&lt;"&amp;$T822)+1)</f>
        <v/>
      </c>
      <c r="V822">
        <f>IF($U822="","",$P822&amp;"|"&amp;RIGHT("000000"&amp;$U822,6))</f>
        <v/>
      </c>
      <c r="W822">
        <f>IF($T822="","",COUNTIFS(LdBGroup,$R822,LdBKey,"&lt;"&amp;$T822)+1)</f>
        <v/>
      </c>
      <c r="X822">
        <f>IF($W822="","",$R822&amp;"|"&amp;RIGHT("000000"&amp;$W822,6))</f>
        <v/>
      </c>
      <c r="Y822">
        <f>IF($P822="","",IF(Shares!$E825="",0,Shares!$E825))</f>
        <v/>
      </c>
      <c r="Z822">
        <f>IF($P822="","",Shares!$H825)</f>
        <v/>
      </c>
      <c r="AE822">
        <f>IF(OR(Sync!$S822="",Sync!$P822=""),"",Sync!$S822)</f>
        <v/>
      </c>
      <c r="AF822">
        <f>IF($AE822="","",IF(ISNUMBER(Sync!$P822),IF(AND(Sync!$P822&gt;=10000101,Sync!$P822&lt;=99991231),INT(Sync!$P822/10000),""),IFERROR(VALUE(TRIM(LEFT(Sync!$P822,FIND("/",Sync!$P822)-1))),"")))</f>
        <v/>
      </c>
      <c r="AG822">
        <f>IF(OR($AE822="",$AF822=""),"",IF(ISNUMBER(Sync!$P822),INT(MOD(Sync!$P822,10000)/100),IFERROR(VALUE(TRIM(LEFT(MID(Sync!$P822,FIND("/",Sync!$P822)+1,20),FIND("/",MID(Sync!$P822,FIND("/",Sync!$P822)+1,20))-1))),"")))</f>
        <v/>
      </c>
      <c r="AH822">
        <f>IF(OR($AE822="",$AF822=""),"",IF(ISNUMBER(Sync!$P822),MOD(Sync!$P822,100),IFERROR(VALUE(TRIM(MID(MID(Sync!$P822,FIND("/",Sync!$P822)+1,20),FIND("/",MID(Sync!$P822,FIND("/",Sync!$P822)+1,20))+1,20))),"")))</f>
        <v/>
      </c>
      <c r="AI822">
        <f>IF($AE822="","",IF(OR($AF822="",$AG822="",$AH822="",$AF822&lt;1300,$AF822&gt;1500,$AG822&lt;1,$AG822&gt;12,$AH822&lt;1,$AH822&gt;31),"نامعتبر",RIGHT("0000"&amp;$AF822,4)&amp;"/"&amp;RIGHT("00"&amp;$AG822,2)&amp;"/"&amp;RIGHT("00"&amp;$AH822,2)))</f>
        <v/>
      </c>
      <c r="AJ822">
        <f>IF($AE822="","",IF(Sync!$Q822="","0000",IF(AND(ISNUMBER(Sync!$Q822),Sync!$Q822&gt;=0,Sync!$Q822&lt;1),RIGHT("00"&amp;HOUR(Sync!$Q822),2)&amp;RIGHT("00"&amp;MINUTE(Sync!$Q822),2),IFERROR(RIGHT("00"&amp;VALUE(LEFT(Sync!$Q822,FIND(":",Sync!$Q822)-1)),2)&amp;RIGHT("00"&amp;VALUE(MID(Sync!$Q822,FIND(":",Sync!$Q822)+1,2)),2),"0000"))))</f>
        <v/>
      </c>
      <c r="AK822">
        <f>IF(OR($AE822="",$AI822="",$AI822="نامعتبر"),"",LEFT($AI822,4)&amp;MID($AI822,6,2)&amp;RIGHT($AI822,2)&amp;$AJ822&amp;"|"&amp;"3"&amp;RIGHT("00000"&amp;817,5))</f>
        <v/>
      </c>
      <c r="AL822">
        <f>IF($AK822="","",COUNTIFS(LdAParty,$AE822,LdAType,1,LdAKey,"&lt;"&amp;$AK822)+COUNTIFS(LdBMember,$AE822,LdBKey,"&lt;"&amp;$AK822)+COUNTIFS(LdCParty,$AE822,LdCKey,"&lt;"&amp;$AK822)+1)</f>
        <v/>
      </c>
      <c r="AM822">
        <f>IF($AL822="","",$AE822&amp;"|"&amp;RIGHT("000000"&amp;$AL822,6))</f>
        <v/>
      </c>
      <c r="AN822">
        <f>IF($AE822="","",IF(Sync!$W822="",0,Sync!$W822))</f>
        <v/>
      </c>
      <c r="AO822">
        <f>IF($AE822="","",IF(Sync!$X822="",0,Sync!$X822))</f>
        <v/>
      </c>
      <c r="AP822">
        <f>IF($AE822="","",Sync!$R822)</f>
        <v/>
      </c>
      <c r="AQ822">
        <f>IF($AE822="","",Sync!$Y822)</f>
        <v/>
      </c>
    </row>
    <row r="823">
      <c r="A823">
        <f>IF(OR(Wages!$B826="",Wages!$E826=""),"",Wages!$E826)</f>
        <v/>
      </c>
      <c r="B823">
        <f>IF($A823="","",IF(Wages!$C826="دستمزد گروهی",2,1))</f>
        <v/>
      </c>
      <c r="C823">
        <f>IF($A823="","",IF(ISNUMBER(Wages!$B826),IF(AND(Wages!$B826&gt;=10000101,Wages!$B826&lt;=99991231),INT(Wages!$B826/10000),""),IFERROR(VALUE(TRIM(LEFT(Wages!$B826,FIND("/",Wages!$B826)-1))),"")))</f>
        <v/>
      </c>
      <c r="D823">
        <f>IF(OR($A823="",$C823=""),"",IF(ISNUMBER(Wages!$B826),INT(MOD(Wages!$B826,10000)/100),IFERROR(VALUE(TRIM(LEFT(MID(Wages!$B826,FIND("/",Wages!$B826)+1,20),FIND("/",MID(Wages!$B826,FIND("/",Wages!$B826)+1,20))-1))),"")))</f>
        <v/>
      </c>
      <c r="E823">
        <f>IF(OR($A823="",$C823=""),"",IF(ISNUMBER(Wages!$B826),MOD(Wages!$B826,100),IFERROR(VALUE(TRIM(MID(MID(Wages!$B826,FIND("/",Wages!$B826)+1,20),FIND("/",MID(Wages!$B826,FIND("/",Wages!$B826)+1,20))+1,20))),"")))</f>
        <v/>
      </c>
      <c r="F823">
        <f>IF($A823="","",IF(OR($C823="",$D823="",$E823="",$C823&lt;1300,$C823&gt;1500,$D823&lt;1,$D823&gt;12,$E823&lt;1,$E823&gt;31),"نامعتبر",RIGHT("0000"&amp;$C823,4)&amp;"/"&amp;RIGHT("00"&amp;$D823,2)&amp;"/"&amp;RIGHT("00"&amp;$E823,2)))</f>
        <v/>
      </c>
      <c r="G823">
        <f>IF(OR($A823="",$F823="",$F823="نامعتبر"),"",LEFT($F823,4)&amp;MID($F823,6,2)&amp;RIGHT($F823,2)&amp;"0000"&amp;"|"&amp;"1"&amp;RIGHT("00000"&amp;818,5))</f>
        <v/>
      </c>
      <c r="H823">
        <f>IF(OR($B823&lt;&gt;1,$G823=""),"",COUNTIFS(LdAParty,$A823,LdAType,1,LdAKey,"&lt;"&amp;$G823)+COUNTIFS(LdBMember,$A823,LdBKey,"&lt;"&amp;$G823)+COUNTIFS(LdCParty,$A823,LdCKey,"&lt;"&amp;$G823)+1)</f>
        <v/>
      </c>
      <c r="I823">
        <f>IF($H823="","",$A823&amp;"|"&amp;RIGHT("000000"&amp;$H823,6))</f>
        <v/>
      </c>
      <c r="J823">
        <f>IF(OR($B823&lt;&gt;2,$G823=""),"",COUNTIFS(LdAParty,$A823,LdAType,2,LdAKey,"&lt;"&amp;$G823)+1)</f>
        <v/>
      </c>
      <c r="K823">
        <f>IF($J823="","",$A823&amp;"|"&amp;RIGHT("000000"&amp;$J823,6))</f>
        <v/>
      </c>
      <c r="L823">
        <f>IF($A823="","",IF(Wages!$G826="",0,Wages!$G826))</f>
        <v/>
      </c>
      <c r="M823">
        <f>IF($A823="","",Wages!$J826)</f>
        <v/>
      </c>
      <c r="N823">
        <f>IF($A823="","",Wages!$D826)</f>
        <v/>
      </c>
      <c r="P823">
        <f>IF(OR(Shares!$B826="",Shares!$C826=""),"",Shares!$C826)</f>
        <v/>
      </c>
      <c r="Q823">
        <f>IF($P823="","",Shares!$B826)</f>
        <v/>
      </c>
      <c r="R823">
        <f>IF($P823="","",IFERROR(INDEX(WageParty,MATCH($Q823,WageIds,0)),""))</f>
        <v/>
      </c>
      <c r="S823">
        <f>IF($P823="","",IFERROR(INDEX($F$6:$F$2005,MATCH($Q823,WageIds,0)),""))</f>
        <v/>
      </c>
      <c r="T823">
        <f>IF(OR($P823="",$S823="",$S823="نامعتبر"),"",LEFT($S823,4)&amp;MID($S823,6,2)&amp;RIGHT($S823,2)&amp;"0000"&amp;"|"&amp;"2"&amp;RIGHT("00000"&amp;818,5))</f>
        <v/>
      </c>
      <c r="U823">
        <f>IF($T823="","",COUNTIFS(LdAParty,$P823,LdAType,1,LdAKey,"&lt;"&amp;$T823)+COUNTIFS(LdBMember,$P823,LdBKey,"&lt;"&amp;$T823)+COUNTIFS(LdCParty,$P823,LdCKey,"&lt;"&amp;$T823)+1)</f>
        <v/>
      </c>
      <c r="V823">
        <f>IF($U823="","",$P823&amp;"|"&amp;RIGHT("000000"&amp;$U823,6))</f>
        <v/>
      </c>
      <c r="W823">
        <f>IF($T823="","",COUNTIFS(LdBGroup,$R823,LdBKey,"&lt;"&amp;$T823)+1)</f>
        <v/>
      </c>
      <c r="X823">
        <f>IF($W823="","",$R823&amp;"|"&amp;RIGHT("000000"&amp;$W823,6))</f>
        <v/>
      </c>
      <c r="Y823">
        <f>IF($P823="","",IF(Shares!$E826="",0,Shares!$E826))</f>
        <v/>
      </c>
      <c r="Z823">
        <f>IF($P823="","",Shares!$H826)</f>
        <v/>
      </c>
      <c r="AE823">
        <f>IF(OR(Sync!$S823="",Sync!$P823=""),"",Sync!$S823)</f>
        <v/>
      </c>
      <c r="AF823">
        <f>IF($AE823="","",IF(ISNUMBER(Sync!$P823),IF(AND(Sync!$P823&gt;=10000101,Sync!$P823&lt;=99991231),INT(Sync!$P823/10000),""),IFERROR(VALUE(TRIM(LEFT(Sync!$P823,FIND("/",Sync!$P823)-1))),"")))</f>
        <v/>
      </c>
      <c r="AG823">
        <f>IF(OR($AE823="",$AF823=""),"",IF(ISNUMBER(Sync!$P823),INT(MOD(Sync!$P823,10000)/100),IFERROR(VALUE(TRIM(LEFT(MID(Sync!$P823,FIND("/",Sync!$P823)+1,20),FIND("/",MID(Sync!$P823,FIND("/",Sync!$P823)+1,20))-1))),"")))</f>
        <v/>
      </c>
      <c r="AH823">
        <f>IF(OR($AE823="",$AF823=""),"",IF(ISNUMBER(Sync!$P823),MOD(Sync!$P823,100),IFERROR(VALUE(TRIM(MID(MID(Sync!$P823,FIND("/",Sync!$P823)+1,20),FIND("/",MID(Sync!$P823,FIND("/",Sync!$P823)+1,20))+1,20))),"")))</f>
        <v/>
      </c>
      <c r="AI823">
        <f>IF($AE823="","",IF(OR($AF823="",$AG823="",$AH823="",$AF823&lt;1300,$AF823&gt;1500,$AG823&lt;1,$AG823&gt;12,$AH823&lt;1,$AH823&gt;31),"نامعتبر",RIGHT("0000"&amp;$AF823,4)&amp;"/"&amp;RIGHT("00"&amp;$AG823,2)&amp;"/"&amp;RIGHT("00"&amp;$AH823,2)))</f>
        <v/>
      </c>
      <c r="AJ823">
        <f>IF($AE823="","",IF(Sync!$Q823="","0000",IF(AND(ISNUMBER(Sync!$Q823),Sync!$Q823&gt;=0,Sync!$Q823&lt;1),RIGHT("00"&amp;HOUR(Sync!$Q823),2)&amp;RIGHT("00"&amp;MINUTE(Sync!$Q823),2),IFERROR(RIGHT("00"&amp;VALUE(LEFT(Sync!$Q823,FIND(":",Sync!$Q823)-1)),2)&amp;RIGHT("00"&amp;VALUE(MID(Sync!$Q823,FIND(":",Sync!$Q823)+1,2)),2),"0000"))))</f>
        <v/>
      </c>
      <c r="AK823">
        <f>IF(OR($AE823="",$AI823="",$AI823="نامعتبر"),"",LEFT($AI823,4)&amp;MID($AI823,6,2)&amp;RIGHT($AI823,2)&amp;$AJ823&amp;"|"&amp;"3"&amp;RIGHT("00000"&amp;818,5))</f>
        <v/>
      </c>
      <c r="AL823">
        <f>IF($AK823="","",COUNTIFS(LdAParty,$AE823,LdAType,1,LdAKey,"&lt;"&amp;$AK823)+COUNTIFS(LdBMember,$AE823,LdBKey,"&lt;"&amp;$AK823)+COUNTIFS(LdCParty,$AE823,LdCKey,"&lt;"&amp;$AK823)+1)</f>
        <v/>
      </c>
      <c r="AM823">
        <f>IF($AL823="","",$AE823&amp;"|"&amp;RIGHT("000000"&amp;$AL823,6))</f>
        <v/>
      </c>
      <c r="AN823">
        <f>IF($AE823="","",IF(Sync!$W823="",0,Sync!$W823))</f>
        <v/>
      </c>
      <c r="AO823">
        <f>IF($AE823="","",IF(Sync!$X823="",0,Sync!$X823))</f>
        <v/>
      </c>
      <c r="AP823">
        <f>IF($AE823="","",Sync!$R823)</f>
        <v/>
      </c>
      <c r="AQ823">
        <f>IF($AE823="","",Sync!$Y823)</f>
        <v/>
      </c>
    </row>
    <row r="824">
      <c r="A824">
        <f>IF(OR(Wages!$B827="",Wages!$E827=""),"",Wages!$E827)</f>
        <v/>
      </c>
      <c r="B824">
        <f>IF($A824="","",IF(Wages!$C827="دستمزد گروهی",2,1))</f>
        <v/>
      </c>
      <c r="C824">
        <f>IF($A824="","",IF(ISNUMBER(Wages!$B827),IF(AND(Wages!$B827&gt;=10000101,Wages!$B827&lt;=99991231),INT(Wages!$B827/10000),""),IFERROR(VALUE(TRIM(LEFT(Wages!$B827,FIND("/",Wages!$B827)-1))),"")))</f>
        <v/>
      </c>
      <c r="D824">
        <f>IF(OR($A824="",$C824=""),"",IF(ISNUMBER(Wages!$B827),INT(MOD(Wages!$B827,10000)/100),IFERROR(VALUE(TRIM(LEFT(MID(Wages!$B827,FIND("/",Wages!$B827)+1,20),FIND("/",MID(Wages!$B827,FIND("/",Wages!$B827)+1,20))-1))),"")))</f>
        <v/>
      </c>
      <c r="E824">
        <f>IF(OR($A824="",$C824=""),"",IF(ISNUMBER(Wages!$B827),MOD(Wages!$B827,100),IFERROR(VALUE(TRIM(MID(MID(Wages!$B827,FIND("/",Wages!$B827)+1,20),FIND("/",MID(Wages!$B827,FIND("/",Wages!$B827)+1,20))+1,20))),"")))</f>
        <v/>
      </c>
      <c r="F824">
        <f>IF($A824="","",IF(OR($C824="",$D824="",$E824="",$C824&lt;1300,$C824&gt;1500,$D824&lt;1,$D824&gt;12,$E824&lt;1,$E824&gt;31),"نامعتبر",RIGHT("0000"&amp;$C824,4)&amp;"/"&amp;RIGHT("00"&amp;$D824,2)&amp;"/"&amp;RIGHT("00"&amp;$E824,2)))</f>
        <v/>
      </c>
      <c r="G824">
        <f>IF(OR($A824="",$F824="",$F824="نامعتبر"),"",LEFT($F824,4)&amp;MID($F824,6,2)&amp;RIGHT($F824,2)&amp;"0000"&amp;"|"&amp;"1"&amp;RIGHT("00000"&amp;819,5))</f>
        <v/>
      </c>
      <c r="H824">
        <f>IF(OR($B824&lt;&gt;1,$G824=""),"",COUNTIFS(LdAParty,$A824,LdAType,1,LdAKey,"&lt;"&amp;$G824)+COUNTIFS(LdBMember,$A824,LdBKey,"&lt;"&amp;$G824)+COUNTIFS(LdCParty,$A824,LdCKey,"&lt;"&amp;$G824)+1)</f>
        <v/>
      </c>
      <c r="I824">
        <f>IF($H824="","",$A824&amp;"|"&amp;RIGHT("000000"&amp;$H824,6))</f>
        <v/>
      </c>
      <c r="J824">
        <f>IF(OR($B824&lt;&gt;2,$G824=""),"",COUNTIFS(LdAParty,$A824,LdAType,2,LdAKey,"&lt;"&amp;$G824)+1)</f>
        <v/>
      </c>
      <c r="K824">
        <f>IF($J824="","",$A824&amp;"|"&amp;RIGHT("000000"&amp;$J824,6))</f>
        <v/>
      </c>
      <c r="L824">
        <f>IF($A824="","",IF(Wages!$G827="",0,Wages!$G827))</f>
        <v/>
      </c>
      <c r="M824">
        <f>IF($A824="","",Wages!$J827)</f>
        <v/>
      </c>
      <c r="N824">
        <f>IF($A824="","",Wages!$D827)</f>
        <v/>
      </c>
      <c r="P824">
        <f>IF(OR(Shares!$B827="",Shares!$C827=""),"",Shares!$C827)</f>
        <v/>
      </c>
      <c r="Q824">
        <f>IF($P824="","",Shares!$B827)</f>
        <v/>
      </c>
      <c r="R824">
        <f>IF($P824="","",IFERROR(INDEX(WageParty,MATCH($Q824,WageIds,0)),""))</f>
        <v/>
      </c>
      <c r="S824">
        <f>IF($P824="","",IFERROR(INDEX($F$6:$F$2005,MATCH($Q824,WageIds,0)),""))</f>
        <v/>
      </c>
      <c r="T824">
        <f>IF(OR($P824="",$S824="",$S824="نامعتبر"),"",LEFT($S824,4)&amp;MID($S824,6,2)&amp;RIGHT($S824,2)&amp;"0000"&amp;"|"&amp;"2"&amp;RIGHT("00000"&amp;819,5))</f>
        <v/>
      </c>
      <c r="U824">
        <f>IF($T824="","",COUNTIFS(LdAParty,$P824,LdAType,1,LdAKey,"&lt;"&amp;$T824)+COUNTIFS(LdBMember,$P824,LdBKey,"&lt;"&amp;$T824)+COUNTIFS(LdCParty,$P824,LdCKey,"&lt;"&amp;$T824)+1)</f>
        <v/>
      </c>
      <c r="V824">
        <f>IF($U824="","",$P824&amp;"|"&amp;RIGHT("000000"&amp;$U824,6))</f>
        <v/>
      </c>
      <c r="W824">
        <f>IF($T824="","",COUNTIFS(LdBGroup,$R824,LdBKey,"&lt;"&amp;$T824)+1)</f>
        <v/>
      </c>
      <c r="X824">
        <f>IF($W824="","",$R824&amp;"|"&amp;RIGHT("000000"&amp;$W824,6))</f>
        <v/>
      </c>
      <c r="Y824">
        <f>IF($P824="","",IF(Shares!$E827="",0,Shares!$E827))</f>
        <v/>
      </c>
      <c r="Z824">
        <f>IF($P824="","",Shares!$H827)</f>
        <v/>
      </c>
      <c r="AE824">
        <f>IF(OR(Sync!$S824="",Sync!$P824=""),"",Sync!$S824)</f>
        <v/>
      </c>
      <c r="AF824">
        <f>IF($AE824="","",IF(ISNUMBER(Sync!$P824),IF(AND(Sync!$P824&gt;=10000101,Sync!$P824&lt;=99991231),INT(Sync!$P824/10000),""),IFERROR(VALUE(TRIM(LEFT(Sync!$P824,FIND("/",Sync!$P824)-1))),"")))</f>
        <v/>
      </c>
      <c r="AG824">
        <f>IF(OR($AE824="",$AF824=""),"",IF(ISNUMBER(Sync!$P824),INT(MOD(Sync!$P824,10000)/100),IFERROR(VALUE(TRIM(LEFT(MID(Sync!$P824,FIND("/",Sync!$P824)+1,20),FIND("/",MID(Sync!$P824,FIND("/",Sync!$P824)+1,20))-1))),"")))</f>
        <v/>
      </c>
      <c r="AH824">
        <f>IF(OR($AE824="",$AF824=""),"",IF(ISNUMBER(Sync!$P824),MOD(Sync!$P824,100),IFERROR(VALUE(TRIM(MID(MID(Sync!$P824,FIND("/",Sync!$P824)+1,20),FIND("/",MID(Sync!$P824,FIND("/",Sync!$P824)+1,20))+1,20))),"")))</f>
        <v/>
      </c>
      <c r="AI824">
        <f>IF($AE824="","",IF(OR($AF824="",$AG824="",$AH824="",$AF824&lt;1300,$AF824&gt;1500,$AG824&lt;1,$AG824&gt;12,$AH824&lt;1,$AH824&gt;31),"نامعتبر",RIGHT("0000"&amp;$AF824,4)&amp;"/"&amp;RIGHT("00"&amp;$AG824,2)&amp;"/"&amp;RIGHT("00"&amp;$AH824,2)))</f>
        <v/>
      </c>
      <c r="AJ824">
        <f>IF($AE824="","",IF(Sync!$Q824="","0000",IF(AND(ISNUMBER(Sync!$Q824),Sync!$Q824&gt;=0,Sync!$Q824&lt;1),RIGHT("00"&amp;HOUR(Sync!$Q824),2)&amp;RIGHT("00"&amp;MINUTE(Sync!$Q824),2),IFERROR(RIGHT("00"&amp;VALUE(LEFT(Sync!$Q824,FIND(":",Sync!$Q824)-1)),2)&amp;RIGHT("00"&amp;VALUE(MID(Sync!$Q824,FIND(":",Sync!$Q824)+1,2)),2),"0000"))))</f>
        <v/>
      </c>
      <c r="AK824">
        <f>IF(OR($AE824="",$AI824="",$AI824="نامعتبر"),"",LEFT($AI824,4)&amp;MID($AI824,6,2)&amp;RIGHT($AI824,2)&amp;$AJ824&amp;"|"&amp;"3"&amp;RIGHT("00000"&amp;819,5))</f>
        <v/>
      </c>
      <c r="AL824">
        <f>IF($AK824="","",COUNTIFS(LdAParty,$AE824,LdAType,1,LdAKey,"&lt;"&amp;$AK824)+COUNTIFS(LdBMember,$AE824,LdBKey,"&lt;"&amp;$AK824)+COUNTIFS(LdCParty,$AE824,LdCKey,"&lt;"&amp;$AK824)+1)</f>
        <v/>
      </c>
      <c r="AM824">
        <f>IF($AL824="","",$AE824&amp;"|"&amp;RIGHT("000000"&amp;$AL824,6))</f>
        <v/>
      </c>
      <c r="AN824">
        <f>IF($AE824="","",IF(Sync!$W824="",0,Sync!$W824))</f>
        <v/>
      </c>
      <c r="AO824">
        <f>IF($AE824="","",IF(Sync!$X824="",0,Sync!$X824))</f>
        <v/>
      </c>
      <c r="AP824">
        <f>IF($AE824="","",Sync!$R824)</f>
        <v/>
      </c>
      <c r="AQ824">
        <f>IF($AE824="","",Sync!$Y824)</f>
        <v/>
      </c>
    </row>
    <row r="825">
      <c r="A825">
        <f>IF(OR(Wages!$B828="",Wages!$E828=""),"",Wages!$E828)</f>
        <v/>
      </c>
      <c r="B825">
        <f>IF($A825="","",IF(Wages!$C828="دستمزد گروهی",2,1))</f>
        <v/>
      </c>
      <c r="C825">
        <f>IF($A825="","",IF(ISNUMBER(Wages!$B828),IF(AND(Wages!$B828&gt;=10000101,Wages!$B828&lt;=99991231),INT(Wages!$B828/10000),""),IFERROR(VALUE(TRIM(LEFT(Wages!$B828,FIND("/",Wages!$B828)-1))),"")))</f>
        <v/>
      </c>
      <c r="D825">
        <f>IF(OR($A825="",$C825=""),"",IF(ISNUMBER(Wages!$B828),INT(MOD(Wages!$B828,10000)/100),IFERROR(VALUE(TRIM(LEFT(MID(Wages!$B828,FIND("/",Wages!$B828)+1,20),FIND("/",MID(Wages!$B828,FIND("/",Wages!$B828)+1,20))-1))),"")))</f>
        <v/>
      </c>
      <c r="E825">
        <f>IF(OR($A825="",$C825=""),"",IF(ISNUMBER(Wages!$B828),MOD(Wages!$B828,100),IFERROR(VALUE(TRIM(MID(MID(Wages!$B828,FIND("/",Wages!$B828)+1,20),FIND("/",MID(Wages!$B828,FIND("/",Wages!$B828)+1,20))+1,20))),"")))</f>
        <v/>
      </c>
      <c r="F825">
        <f>IF($A825="","",IF(OR($C825="",$D825="",$E825="",$C825&lt;1300,$C825&gt;1500,$D825&lt;1,$D825&gt;12,$E825&lt;1,$E825&gt;31),"نامعتبر",RIGHT("0000"&amp;$C825,4)&amp;"/"&amp;RIGHT("00"&amp;$D825,2)&amp;"/"&amp;RIGHT("00"&amp;$E825,2)))</f>
        <v/>
      </c>
      <c r="G825">
        <f>IF(OR($A825="",$F825="",$F825="نامعتبر"),"",LEFT($F825,4)&amp;MID($F825,6,2)&amp;RIGHT($F825,2)&amp;"0000"&amp;"|"&amp;"1"&amp;RIGHT("00000"&amp;820,5))</f>
        <v/>
      </c>
      <c r="H825">
        <f>IF(OR($B825&lt;&gt;1,$G825=""),"",COUNTIFS(LdAParty,$A825,LdAType,1,LdAKey,"&lt;"&amp;$G825)+COUNTIFS(LdBMember,$A825,LdBKey,"&lt;"&amp;$G825)+COUNTIFS(LdCParty,$A825,LdCKey,"&lt;"&amp;$G825)+1)</f>
        <v/>
      </c>
      <c r="I825">
        <f>IF($H825="","",$A825&amp;"|"&amp;RIGHT("000000"&amp;$H825,6))</f>
        <v/>
      </c>
      <c r="J825">
        <f>IF(OR($B825&lt;&gt;2,$G825=""),"",COUNTIFS(LdAParty,$A825,LdAType,2,LdAKey,"&lt;"&amp;$G825)+1)</f>
        <v/>
      </c>
      <c r="K825">
        <f>IF($J825="","",$A825&amp;"|"&amp;RIGHT("000000"&amp;$J825,6))</f>
        <v/>
      </c>
      <c r="L825">
        <f>IF($A825="","",IF(Wages!$G828="",0,Wages!$G828))</f>
        <v/>
      </c>
      <c r="M825">
        <f>IF($A825="","",Wages!$J828)</f>
        <v/>
      </c>
      <c r="N825">
        <f>IF($A825="","",Wages!$D828)</f>
        <v/>
      </c>
      <c r="P825">
        <f>IF(OR(Shares!$B828="",Shares!$C828=""),"",Shares!$C828)</f>
        <v/>
      </c>
      <c r="Q825">
        <f>IF($P825="","",Shares!$B828)</f>
        <v/>
      </c>
      <c r="R825">
        <f>IF($P825="","",IFERROR(INDEX(WageParty,MATCH($Q825,WageIds,0)),""))</f>
        <v/>
      </c>
      <c r="S825">
        <f>IF($P825="","",IFERROR(INDEX($F$6:$F$2005,MATCH($Q825,WageIds,0)),""))</f>
        <v/>
      </c>
      <c r="T825">
        <f>IF(OR($P825="",$S825="",$S825="نامعتبر"),"",LEFT($S825,4)&amp;MID($S825,6,2)&amp;RIGHT($S825,2)&amp;"0000"&amp;"|"&amp;"2"&amp;RIGHT("00000"&amp;820,5))</f>
        <v/>
      </c>
      <c r="U825">
        <f>IF($T825="","",COUNTIFS(LdAParty,$P825,LdAType,1,LdAKey,"&lt;"&amp;$T825)+COUNTIFS(LdBMember,$P825,LdBKey,"&lt;"&amp;$T825)+COUNTIFS(LdCParty,$P825,LdCKey,"&lt;"&amp;$T825)+1)</f>
        <v/>
      </c>
      <c r="V825">
        <f>IF($U825="","",$P825&amp;"|"&amp;RIGHT("000000"&amp;$U825,6))</f>
        <v/>
      </c>
      <c r="W825">
        <f>IF($T825="","",COUNTIFS(LdBGroup,$R825,LdBKey,"&lt;"&amp;$T825)+1)</f>
        <v/>
      </c>
      <c r="X825">
        <f>IF($W825="","",$R825&amp;"|"&amp;RIGHT("000000"&amp;$W825,6))</f>
        <v/>
      </c>
      <c r="Y825">
        <f>IF($P825="","",IF(Shares!$E828="",0,Shares!$E828))</f>
        <v/>
      </c>
      <c r="Z825">
        <f>IF($P825="","",Shares!$H828)</f>
        <v/>
      </c>
      <c r="AE825">
        <f>IF(OR(Sync!$S825="",Sync!$P825=""),"",Sync!$S825)</f>
        <v/>
      </c>
      <c r="AF825">
        <f>IF($AE825="","",IF(ISNUMBER(Sync!$P825),IF(AND(Sync!$P825&gt;=10000101,Sync!$P825&lt;=99991231),INT(Sync!$P825/10000),""),IFERROR(VALUE(TRIM(LEFT(Sync!$P825,FIND("/",Sync!$P825)-1))),"")))</f>
        <v/>
      </c>
      <c r="AG825">
        <f>IF(OR($AE825="",$AF825=""),"",IF(ISNUMBER(Sync!$P825),INT(MOD(Sync!$P825,10000)/100),IFERROR(VALUE(TRIM(LEFT(MID(Sync!$P825,FIND("/",Sync!$P825)+1,20),FIND("/",MID(Sync!$P825,FIND("/",Sync!$P825)+1,20))-1))),"")))</f>
        <v/>
      </c>
      <c r="AH825">
        <f>IF(OR($AE825="",$AF825=""),"",IF(ISNUMBER(Sync!$P825),MOD(Sync!$P825,100),IFERROR(VALUE(TRIM(MID(MID(Sync!$P825,FIND("/",Sync!$P825)+1,20),FIND("/",MID(Sync!$P825,FIND("/",Sync!$P825)+1,20))+1,20))),"")))</f>
        <v/>
      </c>
      <c r="AI825">
        <f>IF($AE825="","",IF(OR($AF825="",$AG825="",$AH825="",$AF825&lt;1300,$AF825&gt;1500,$AG825&lt;1,$AG825&gt;12,$AH825&lt;1,$AH825&gt;31),"نامعتبر",RIGHT("0000"&amp;$AF825,4)&amp;"/"&amp;RIGHT("00"&amp;$AG825,2)&amp;"/"&amp;RIGHT("00"&amp;$AH825,2)))</f>
        <v/>
      </c>
      <c r="AJ825">
        <f>IF($AE825="","",IF(Sync!$Q825="","0000",IF(AND(ISNUMBER(Sync!$Q825),Sync!$Q825&gt;=0,Sync!$Q825&lt;1),RIGHT("00"&amp;HOUR(Sync!$Q825),2)&amp;RIGHT("00"&amp;MINUTE(Sync!$Q825),2),IFERROR(RIGHT("00"&amp;VALUE(LEFT(Sync!$Q825,FIND(":",Sync!$Q825)-1)),2)&amp;RIGHT("00"&amp;VALUE(MID(Sync!$Q825,FIND(":",Sync!$Q825)+1,2)),2),"0000"))))</f>
        <v/>
      </c>
      <c r="AK825">
        <f>IF(OR($AE825="",$AI825="",$AI825="نامعتبر"),"",LEFT($AI825,4)&amp;MID($AI825,6,2)&amp;RIGHT($AI825,2)&amp;$AJ825&amp;"|"&amp;"3"&amp;RIGHT("00000"&amp;820,5))</f>
        <v/>
      </c>
      <c r="AL825">
        <f>IF($AK825="","",COUNTIFS(LdAParty,$AE825,LdAType,1,LdAKey,"&lt;"&amp;$AK825)+COUNTIFS(LdBMember,$AE825,LdBKey,"&lt;"&amp;$AK825)+COUNTIFS(LdCParty,$AE825,LdCKey,"&lt;"&amp;$AK825)+1)</f>
        <v/>
      </c>
      <c r="AM825">
        <f>IF($AL825="","",$AE825&amp;"|"&amp;RIGHT("000000"&amp;$AL825,6))</f>
        <v/>
      </c>
      <c r="AN825">
        <f>IF($AE825="","",IF(Sync!$W825="",0,Sync!$W825))</f>
        <v/>
      </c>
      <c r="AO825">
        <f>IF($AE825="","",IF(Sync!$X825="",0,Sync!$X825))</f>
        <v/>
      </c>
      <c r="AP825">
        <f>IF($AE825="","",Sync!$R825)</f>
        <v/>
      </c>
      <c r="AQ825">
        <f>IF($AE825="","",Sync!$Y825)</f>
        <v/>
      </c>
    </row>
    <row r="826">
      <c r="A826">
        <f>IF(OR(Wages!$B829="",Wages!$E829=""),"",Wages!$E829)</f>
        <v/>
      </c>
      <c r="B826">
        <f>IF($A826="","",IF(Wages!$C829="دستمزد گروهی",2,1))</f>
        <v/>
      </c>
      <c r="C826">
        <f>IF($A826="","",IF(ISNUMBER(Wages!$B829),IF(AND(Wages!$B829&gt;=10000101,Wages!$B829&lt;=99991231),INT(Wages!$B829/10000),""),IFERROR(VALUE(TRIM(LEFT(Wages!$B829,FIND("/",Wages!$B829)-1))),"")))</f>
        <v/>
      </c>
      <c r="D826">
        <f>IF(OR($A826="",$C826=""),"",IF(ISNUMBER(Wages!$B829),INT(MOD(Wages!$B829,10000)/100),IFERROR(VALUE(TRIM(LEFT(MID(Wages!$B829,FIND("/",Wages!$B829)+1,20),FIND("/",MID(Wages!$B829,FIND("/",Wages!$B829)+1,20))-1))),"")))</f>
        <v/>
      </c>
      <c r="E826">
        <f>IF(OR($A826="",$C826=""),"",IF(ISNUMBER(Wages!$B829),MOD(Wages!$B829,100),IFERROR(VALUE(TRIM(MID(MID(Wages!$B829,FIND("/",Wages!$B829)+1,20),FIND("/",MID(Wages!$B829,FIND("/",Wages!$B829)+1,20))+1,20))),"")))</f>
        <v/>
      </c>
      <c r="F826">
        <f>IF($A826="","",IF(OR($C826="",$D826="",$E826="",$C826&lt;1300,$C826&gt;1500,$D826&lt;1,$D826&gt;12,$E826&lt;1,$E826&gt;31),"نامعتبر",RIGHT("0000"&amp;$C826,4)&amp;"/"&amp;RIGHT("00"&amp;$D826,2)&amp;"/"&amp;RIGHT("00"&amp;$E826,2)))</f>
        <v/>
      </c>
      <c r="G826">
        <f>IF(OR($A826="",$F826="",$F826="نامعتبر"),"",LEFT($F826,4)&amp;MID($F826,6,2)&amp;RIGHT($F826,2)&amp;"0000"&amp;"|"&amp;"1"&amp;RIGHT("00000"&amp;821,5))</f>
        <v/>
      </c>
      <c r="H826">
        <f>IF(OR($B826&lt;&gt;1,$G826=""),"",COUNTIFS(LdAParty,$A826,LdAType,1,LdAKey,"&lt;"&amp;$G826)+COUNTIFS(LdBMember,$A826,LdBKey,"&lt;"&amp;$G826)+COUNTIFS(LdCParty,$A826,LdCKey,"&lt;"&amp;$G826)+1)</f>
        <v/>
      </c>
      <c r="I826">
        <f>IF($H826="","",$A826&amp;"|"&amp;RIGHT("000000"&amp;$H826,6))</f>
        <v/>
      </c>
      <c r="J826">
        <f>IF(OR($B826&lt;&gt;2,$G826=""),"",COUNTIFS(LdAParty,$A826,LdAType,2,LdAKey,"&lt;"&amp;$G826)+1)</f>
        <v/>
      </c>
      <c r="K826">
        <f>IF($J826="","",$A826&amp;"|"&amp;RIGHT("000000"&amp;$J826,6))</f>
        <v/>
      </c>
      <c r="L826">
        <f>IF($A826="","",IF(Wages!$G829="",0,Wages!$G829))</f>
        <v/>
      </c>
      <c r="M826">
        <f>IF($A826="","",Wages!$J829)</f>
        <v/>
      </c>
      <c r="N826">
        <f>IF($A826="","",Wages!$D829)</f>
        <v/>
      </c>
      <c r="P826">
        <f>IF(OR(Shares!$B829="",Shares!$C829=""),"",Shares!$C829)</f>
        <v/>
      </c>
      <c r="Q826">
        <f>IF($P826="","",Shares!$B829)</f>
        <v/>
      </c>
      <c r="R826">
        <f>IF($P826="","",IFERROR(INDEX(WageParty,MATCH($Q826,WageIds,0)),""))</f>
        <v/>
      </c>
      <c r="S826">
        <f>IF($P826="","",IFERROR(INDEX($F$6:$F$2005,MATCH($Q826,WageIds,0)),""))</f>
        <v/>
      </c>
      <c r="T826">
        <f>IF(OR($P826="",$S826="",$S826="نامعتبر"),"",LEFT($S826,4)&amp;MID($S826,6,2)&amp;RIGHT($S826,2)&amp;"0000"&amp;"|"&amp;"2"&amp;RIGHT("00000"&amp;821,5))</f>
        <v/>
      </c>
      <c r="U826">
        <f>IF($T826="","",COUNTIFS(LdAParty,$P826,LdAType,1,LdAKey,"&lt;"&amp;$T826)+COUNTIFS(LdBMember,$P826,LdBKey,"&lt;"&amp;$T826)+COUNTIFS(LdCParty,$P826,LdCKey,"&lt;"&amp;$T826)+1)</f>
        <v/>
      </c>
      <c r="V826">
        <f>IF($U826="","",$P826&amp;"|"&amp;RIGHT("000000"&amp;$U826,6))</f>
        <v/>
      </c>
      <c r="W826">
        <f>IF($T826="","",COUNTIFS(LdBGroup,$R826,LdBKey,"&lt;"&amp;$T826)+1)</f>
        <v/>
      </c>
      <c r="X826">
        <f>IF($W826="","",$R826&amp;"|"&amp;RIGHT("000000"&amp;$W826,6))</f>
        <v/>
      </c>
      <c r="Y826">
        <f>IF($P826="","",IF(Shares!$E829="",0,Shares!$E829))</f>
        <v/>
      </c>
      <c r="Z826">
        <f>IF($P826="","",Shares!$H829)</f>
        <v/>
      </c>
      <c r="AE826">
        <f>IF(OR(Sync!$S826="",Sync!$P826=""),"",Sync!$S826)</f>
        <v/>
      </c>
      <c r="AF826">
        <f>IF($AE826="","",IF(ISNUMBER(Sync!$P826),IF(AND(Sync!$P826&gt;=10000101,Sync!$P826&lt;=99991231),INT(Sync!$P826/10000),""),IFERROR(VALUE(TRIM(LEFT(Sync!$P826,FIND("/",Sync!$P826)-1))),"")))</f>
        <v/>
      </c>
      <c r="AG826">
        <f>IF(OR($AE826="",$AF826=""),"",IF(ISNUMBER(Sync!$P826),INT(MOD(Sync!$P826,10000)/100),IFERROR(VALUE(TRIM(LEFT(MID(Sync!$P826,FIND("/",Sync!$P826)+1,20),FIND("/",MID(Sync!$P826,FIND("/",Sync!$P826)+1,20))-1))),"")))</f>
        <v/>
      </c>
      <c r="AH826">
        <f>IF(OR($AE826="",$AF826=""),"",IF(ISNUMBER(Sync!$P826),MOD(Sync!$P826,100),IFERROR(VALUE(TRIM(MID(MID(Sync!$P826,FIND("/",Sync!$P826)+1,20),FIND("/",MID(Sync!$P826,FIND("/",Sync!$P826)+1,20))+1,20))),"")))</f>
        <v/>
      </c>
      <c r="AI826">
        <f>IF($AE826="","",IF(OR($AF826="",$AG826="",$AH826="",$AF826&lt;1300,$AF826&gt;1500,$AG826&lt;1,$AG826&gt;12,$AH826&lt;1,$AH826&gt;31),"نامعتبر",RIGHT("0000"&amp;$AF826,4)&amp;"/"&amp;RIGHT("00"&amp;$AG826,2)&amp;"/"&amp;RIGHT("00"&amp;$AH826,2)))</f>
        <v/>
      </c>
      <c r="AJ826">
        <f>IF($AE826="","",IF(Sync!$Q826="","0000",IF(AND(ISNUMBER(Sync!$Q826),Sync!$Q826&gt;=0,Sync!$Q826&lt;1),RIGHT("00"&amp;HOUR(Sync!$Q826),2)&amp;RIGHT("00"&amp;MINUTE(Sync!$Q826),2),IFERROR(RIGHT("00"&amp;VALUE(LEFT(Sync!$Q826,FIND(":",Sync!$Q826)-1)),2)&amp;RIGHT("00"&amp;VALUE(MID(Sync!$Q826,FIND(":",Sync!$Q826)+1,2)),2),"0000"))))</f>
        <v/>
      </c>
      <c r="AK826">
        <f>IF(OR($AE826="",$AI826="",$AI826="نامعتبر"),"",LEFT($AI826,4)&amp;MID($AI826,6,2)&amp;RIGHT($AI826,2)&amp;$AJ826&amp;"|"&amp;"3"&amp;RIGHT("00000"&amp;821,5))</f>
        <v/>
      </c>
      <c r="AL826">
        <f>IF($AK826="","",COUNTIFS(LdAParty,$AE826,LdAType,1,LdAKey,"&lt;"&amp;$AK826)+COUNTIFS(LdBMember,$AE826,LdBKey,"&lt;"&amp;$AK826)+COUNTIFS(LdCParty,$AE826,LdCKey,"&lt;"&amp;$AK826)+1)</f>
        <v/>
      </c>
      <c r="AM826">
        <f>IF($AL826="","",$AE826&amp;"|"&amp;RIGHT("000000"&amp;$AL826,6))</f>
        <v/>
      </c>
      <c r="AN826">
        <f>IF($AE826="","",IF(Sync!$W826="",0,Sync!$W826))</f>
        <v/>
      </c>
      <c r="AO826">
        <f>IF($AE826="","",IF(Sync!$X826="",0,Sync!$X826))</f>
        <v/>
      </c>
      <c r="AP826">
        <f>IF($AE826="","",Sync!$R826)</f>
        <v/>
      </c>
      <c r="AQ826">
        <f>IF($AE826="","",Sync!$Y826)</f>
        <v/>
      </c>
    </row>
    <row r="827">
      <c r="A827">
        <f>IF(OR(Wages!$B830="",Wages!$E830=""),"",Wages!$E830)</f>
        <v/>
      </c>
      <c r="B827">
        <f>IF($A827="","",IF(Wages!$C830="دستمزد گروهی",2,1))</f>
        <v/>
      </c>
      <c r="C827">
        <f>IF($A827="","",IF(ISNUMBER(Wages!$B830),IF(AND(Wages!$B830&gt;=10000101,Wages!$B830&lt;=99991231),INT(Wages!$B830/10000),""),IFERROR(VALUE(TRIM(LEFT(Wages!$B830,FIND("/",Wages!$B830)-1))),"")))</f>
        <v/>
      </c>
      <c r="D827">
        <f>IF(OR($A827="",$C827=""),"",IF(ISNUMBER(Wages!$B830),INT(MOD(Wages!$B830,10000)/100),IFERROR(VALUE(TRIM(LEFT(MID(Wages!$B830,FIND("/",Wages!$B830)+1,20),FIND("/",MID(Wages!$B830,FIND("/",Wages!$B830)+1,20))-1))),"")))</f>
        <v/>
      </c>
      <c r="E827">
        <f>IF(OR($A827="",$C827=""),"",IF(ISNUMBER(Wages!$B830),MOD(Wages!$B830,100),IFERROR(VALUE(TRIM(MID(MID(Wages!$B830,FIND("/",Wages!$B830)+1,20),FIND("/",MID(Wages!$B830,FIND("/",Wages!$B830)+1,20))+1,20))),"")))</f>
        <v/>
      </c>
      <c r="F827">
        <f>IF($A827="","",IF(OR($C827="",$D827="",$E827="",$C827&lt;1300,$C827&gt;1500,$D827&lt;1,$D827&gt;12,$E827&lt;1,$E827&gt;31),"نامعتبر",RIGHT("0000"&amp;$C827,4)&amp;"/"&amp;RIGHT("00"&amp;$D827,2)&amp;"/"&amp;RIGHT("00"&amp;$E827,2)))</f>
        <v/>
      </c>
      <c r="G827">
        <f>IF(OR($A827="",$F827="",$F827="نامعتبر"),"",LEFT($F827,4)&amp;MID($F827,6,2)&amp;RIGHT($F827,2)&amp;"0000"&amp;"|"&amp;"1"&amp;RIGHT("00000"&amp;822,5))</f>
        <v/>
      </c>
      <c r="H827">
        <f>IF(OR($B827&lt;&gt;1,$G827=""),"",COUNTIFS(LdAParty,$A827,LdAType,1,LdAKey,"&lt;"&amp;$G827)+COUNTIFS(LdBMember,$A827,LdBKey,"&lt;"&amp;$G827)+COUNTIFS(LdCParty,$A827,LdCKey,"&lt;"&amp;$G827)+1)</f>
        <v/>
      </c>
      <c r="I827">
        <f>IF($H827="","",$A827&amp;"|"&amp;RIGHT("000000"&amp;$H827,6))</f>
        <v/>
      </c>
      <c r="J827">
        <f>IF(OR($B827&lt;&gt;2,$G827=""),"",COUNTIFS(LdAParty,$A827,LdAType,2,LdAKey,"&lt;"&amp;$G827)+1)</f>
        <v/>
      </c>
      <c r="K827">
        <f>IF($J827="","",$A827&amp;"|"&amp;RIGHT("000000"&amp;$J827,6))</f>
        <v/>
      </c>
      <c r="L827">
        <f>IF($A827="","",IF(Wages!$G830="",0,Wages!$G830))</f>
        <v/>
      </c>
      <c r="M827">
        <f>IF($A827="","",Wages!$J830)</f>
        <v/>
      </c>
      <c r="N827">
        <f>IF($A827="","",Wages!$D830)</f>
        <v/>
      </c>
      <c r="P827">
        <f>IF(OR(Shares!$B830="",Shares!$C830=""),"",Shares!$C830)</f>
        <v/>
      </c>
      <c r="Q827">
        <f>IF($P827="","",Shares!$B830)</f>
        <v/>
      </c>
      <c r="R827">
        <f>IF($P827="","",IFERROR(INDEX(WageParty,MATCH($Q827,WageIds,0)),""))</f>
        <v/>
      </c>
      <c r="S827">
        <f>IF($P827="","",IFERROR(INDEX($F$6:$F$2005,MATCH($Q827,WageIds,0)),""))</f>
        <v/>
      </c>
      <c r="T827">
        <f>IF(OR($P827="",$S827="",$S827="نامعتبر"),"",LEFT($S827,4)&amp;MID($S827,6,2)&amp;RIGHT($S827,2)&amp;"0000"&amp;"|"&amp;"2"&amp;RIGHT("00000"&amp;822,5))</f>
        <v/>
      </c>
      <c r="U827">
        <f>IF($T827="","",COUNTIFS(LdAParty,$P827,LdAType,1,LdAKey,"&lt;"&amp;$T827)+COUNTIFS(LdBMember,$P827,LdBKey,"&lt;"&amp;$T827)+COUNTIFS(LdCParty,$P827,LdCKey,"&lt;"&amp;$T827)+1)</f>
        <v/>
      </c>
      <c r="V827">
        <f>IF($U827="","",$P827&amp;"|"&amp;RIGHT("000000"&amp;$U827,6))</f>
        <v/>
      </c>
      <c r="W827">
        <f>IF($T827="","",COUNTIFS(LdBGroup,$R827,LdBKey,"&lt;"&amp;$T827)+1)</f>
        <v/>
      </c>
      <c r="X827">
        <f>IF($W827="","",$R827&amp;"|"&amp;RIGHT("000000"&amp;$W827,6))</f>
        <v/>
      </c>
      <c r="Y827">
        <f>IF($P827="","",IF(Shares!$E830="",0,Shares!$E830))</f>
        <v/>
      </c>
      <c r="Z827">
        <f>IF($P827="","",Shares!$H830)</f>
        <v/>
      </c>
      <c r="AE827">
        <f>IF(OR(Sync!$S827="",Sync!$P827=""),"",Sync!$S827)</f>
        <v/>
      </c>
      <c r="AF827">
        <f>IF($AE827="","",IF(ISNUMBER(Sync!$P827),IF(AND(Sync!$P827&gt;=10000101,Sync!$P827&lt;=99991231),INT(Sync!$P827/10000),""),IFERROR(VALUE(TRIM(LEFT(Sync!$P827,FIND("/",Sync!$P827)-1))),"")))</f>
        <v/>
      </c>
      <c r="AG827">
        <f>IF(OR($AE827="",$AF827=""),"",IF(ISNUMBER(Sync!$P827),INT(MOD(Sync!$P827,10000)/100),IFERROR(VALUE(TRIM(LEFT(MID(Sync!$P827,FIND("/",Sync!$P827)+1,20),FIND("/",MID(Sync!$P827,FIND("/",Sync!$P827)+1,20))-1))),"")))</f>
        <v/>
      </c>
      <c r="AH827">
        <f>IF(OR($AE827="",$AF827=""),"",IF(ISNUMBER(Sync!$P827),MOD(Sync!$P827,100),IFERROR(VALUE(TRIM(MID(MID(Sync!$P827,FIND("/",Sync!$P827)+1,20),FIND("/",MID(Sync!$P827,FIND("/",Sync!$P827)+1,20))+1,20))),"")))</f>
        <v/>
      </c>
      <c r="AI827">
        <f>IF($AE827="","",IF(OR($AF827="",$AG827="",$AH827="",$AF827&lt;1300,$AF827&gt;1500,$AG827&lt;1,$AG827&gt;12,$AH827&lt;1,$AH827&gt;31),"نامعتبر",RIGHT("0000"&amp;$AF827,4)&amp;"/"&amp;RIGHT("00"&amp;$AG827,2)&amp;"/"&amp;RIGHT("00"&amp;$AH827,2)))</f>
        <v/>
      </c>
      <c r="AJ827">
        <f>IF($AE827="","",IF(Sync!$Q827="","0000",IF(AND(ISNUMBER(Sync!$Q827),Sync!$Q827&gt;=0,Sync!$Q827&lt;1),RIGHT("00"&amp;HOUR(Sync!$Q827),2)&amp;RIGHT("00"&amp;MINUTE(Sync!$Q827),2),IFERROR(RIGHT("00"&amp;VALUE(LEFT(Sync!$Q827,FIND(":",Sync!$Q827)-1)),2)&amp;RIGHT("00"&amp;VALUE(MID(Sync!$Q827,FIND(":",Sync!$Q827)+1,2)),2),"0000"))))</f>
        <v/>
      </c>
      <c r="AK827">
        <f>IF(OR($AE827="",$AI827="",$AI827="نامعتبر"),"",LEFT($AI827,4)&amp;MID($AI827,6,2)&amp;RIGHT($AI827,2)&amp;$AJ827&amp;"|"&amp;"3"&amp;RIGHT("00000"&amp;822,5))</f>
        <v/>
      </c>
      <c r="AL827">
        <f>IF($AK827="","",COUNTIFS(LdAParty,$AE827,LdAType,1,LdAKey,"&lt;"&amp;$AK827)+COUNTIFS(LdBMember,$AE827,LdBKey,"&lt;"&amp;$AK827)+COUNTIFS(LdCParty,$AE827,LdCKey,"&lt;"&amp;$AK827)+1)</f>
        <v/>
      </c>
      <c r="AM827">
        <f>IF($AL827="","",$AE827&amp;"|"&amp;RIGHT("000000"&amp;$AL827,6))</f>
        <v/>
      </c>
      <c r="AN827">
        <f>IF($AE827="","",IF(Sync!$W827="",0,Sync!$W827))</f>
        <v/>
      </c>
      <c r="AO827">
        <f>IF($AE827="","",IF(Sync!$X827="",0,Sync!$X827))</f>
        <v/>
      </c>
      <c r="AP827">
        <f>IF($AE827="","",Sync!$R827)</f>
        <v/>
      </c>
      <c r="AQ827">
        <f>IF($AE827="","",Sync!$Y827)</f>
        <v/>
      </c>
    </row>
    <row r="828">
      <c r="A828">
        <f>IF(OR(Wages!$B831="",Wages!$E831=""),"",Wages!$E831)</f>
        <v/>
      </c>
      <c r="B828">
        <f>IF($A828="","",IF(Wages!$C831="دستمزد گروهی",2,1))</f>
        <v/>
      </c>
      <c r="C828">
        <f>IF($A828="","",IF(ISNUMBER(Wages!$B831),IF(AND(Wages!$B831&gt;=10000101,Wages!$B831&lt;=99991231),INT(Wages!$B831/10000),""),IFERROR(VALUE(TRIM(LEFT(Wages!$B831,FIND("/",Wages!$B831)-1))),"")))</f>
        <v/>
      </c>
      <c r="D828">
        <f>IF(OR($A828="",$C828=""),"",IF(ISNUMBER(Wages!$B831),INT(MOD(Wages!$B831,10000)/100),IFERROR(VALUE(TRIM(LEFT(MID(Wages!$B831,FIND("/",Wages!$B831)+1,20),FIND("/",MID(Wages!$B831,FIND("/",Wages!$B831)+1,20))-1))),"")))</f>
        <v/>
      </c>
      <c r="E828">
        <f>IF(OR($A828="",$C828=""),"",IF(ISNUMBER(Wages!$B831),MOD(Wages!$B831,100),IFERROR(VALUE(TRIM(MID(MID(Wages!$B831,FIND("/",Wages!$B831)+1,20),FIND("/",MID(Wages!$B831,FIND("/",Wages!$B831)+1,20))+1,20))),"")))</f>
        <v/>
      </c>
      <c r="F828">
        <f>IF($A828="","",IF(OR($C828="",$D828="",$E828="",$C828&lt;1300,$C828&gt;1500,$D828&lt;1,$D828&gt;12,$E828&lt;1,$E828&gt;31),"نامعتبر",RIGHT("0000"&amp;$C828,4)&amp;"/"&amp;RIGHT("00"&amp;$D828,2)&amp;"/"&amp;RIGHT("00"&amp;$E828,2)))</f>
        <v/>
      </c>
      <c r="G828">
        <f>IF(OR($A828="",$F828="",$F828="نامعتبر"),"",LEFT($F828,4)&amp;MID($F828,6,2)&amp;RIGHT($F828,2)&amp;"0000"&amp;"|"&amp;"1"&amp;RIGHT("00000"&amp;823,5))</f>
        <v/>
      </c>
      <c r="H828">
        <f>IF(OR($B828&lt;&gt;1,$G828=""),"",COUNTIFS(LdAParty,$A828,LdAType,1,LdAKey,"&lt;"&amp;$G828)+COUNTIFS(LdBMember,$A828,LdBKey,"&lt;"&amp;$G828)+COUNTIFS(LdCParty,$A828,LdCKey,"&lt;"&amp;$G828)+1)</f>
        <v/>
      </c>
      <c r="I828">
        <f>IF($H828="","",$A828&amp;"|"&amp;RIGHT("000000"&amp;$H828,6))</f>
        <v/>
      </c>
      <c r="J828">
        <f>IF(OR($B828&lt;&gt;2,$G828=""),"",COUNTIFS(LdAParty,$A828,LdAType,2,LdAKey,"&lt;"&amp;$G828)+1)</f>
        <v/>
      </c>
      <c r="K828">
        <f>IF($J828="","",$A828&amp;"|"&amp;RIGHT("000000"&amp;$J828,6))</f>
        <v/>
      </c>
      <c r="L828">
        <f>IF($A828="","",IF(Wages!$G831="",0,Wages!$G831))</f>
        <v/>
      </c>
      <c r="M828">
        <f>IF($A828="","",Wages!$J831)</f>
        <v/>
      </c>
      <c r="N828">
        <f>IF($A828="","",Wages!$D831)</f>
        <v/>
      </c>
      <c r="P828">
        <f>IF(OR(Shares!$B831="",Shares!$C831=""),"",Shares!$C831)</f>
        <v/>
      </c>
      <c r="Q828">
        <f>IF($P828="","",Shares!$B831)</f>
        <v/>
      </c>
      <c r="R828">
        <f>IF($P828="","",IFERROR(INDEX(WageParty,MATCH($Q828,WageIds,0)),""))</f>
        <v/>
      </c>
      <c r="S828">
        <f>IF($P828="","",IFERROR(INDEX($F$6:$F$2005,MATCH($Q828,WageIds,0)),""))</f>
        <v/>
      </c>
      <c r="T828">
        <f>IF(OR($P828="",$S828="",$S828="نامعتبر"),"",LEFT($S828,4)&amp;MID($S828,6,2)&amp;RIGHT($S828,2)&amp;"0000"&amp;"|"&amp;"2"&amp;RIGHT("00000"&amp;823,5))</f>
        <v/>
      </c>
      <c r="U828">
        <f>IF($T828="","",COUNTIFS(LdAParty,$P828,LdAType,1,LdAKey,"&lt;"&amp;$T828)+COUNTIFS(LdBMember,$P828,LdBKey,"&lt;"&amp;$T828)+COUNTIFS(LdCParty,$P828,LdCKey,"&lt;"&amp;$T828)+1)</f>
        <v/>
      </c>
      <c r="V828">
        <f>IF($U828="","",$P828&amp;"|"&amp;RIGHT("000000"&amp;$U828,6))</f>
        <v/>
      </c>
      <c r="W828">
        <f>IF($T828="","",COUNTIFS(LdBGroup,$R828,LdBKey,"&lt;"&amp;$T828)+1)</f>
        <v/>
      </c>
      <c r="X828">
        <f>IF($W828="","",$R828&amp;"|"&amp;RIGHT("000000"&amp;$W828,6))</f>
        <v/>
      </c>
      <c r="Y828">
        <f>IF($P828="","",IF(Shares!$E831="",0,Shares!$E831))</f>
        <v/>
      </c>
      <c r="Z828">
        <f>IF($P828="","",Shares!$H831)</f>
        <v/>
      </c>
      <c r="AE828">
        <f>IF(OR(Sync!$S828="",Sync!$P828=""),"",Sync!$S828)</f>
        <v/>
      </c>
      <c r="AF828">
        <f>IF($AE828="","",IF(ISNUMBER(Sync!$P828),IF(AND(Sync!$P828&gt;=10000101,Sync!$P828&lt;=99991231),INT(Sync!$P828/10000),""),IFERROR(VALUE(TRIM(LEFT(Sync!$P828,FIND("/",Sync!$P828)-1))),"")))</f>
        <v/>
      </c>
      <c r="AG828">
        <f>IF(OR($AE828="",$AF828=""),"",IF(ISNUMBER(Sync!$P828),INT(MOD(Sync!$P828,10000)/100),IFERROR(VALUE(TRIM(LEFT(MID(Sync!$P828,FIND("/",Sync!$P828)+1,20),FIND("/",MID(Sync!$P828,FIND("/",Sync!$P828)+1,20))-1))),"")))</f>
        <v/>
      </c>
      <c r="AH828">
        <f>IF(OR($AE828="",$AF828=""),"",IF(ISNUMBER(Sync!$P828),MOD(Sync!$P828,100),IFERROR(VALUE(TRIM(MID(MID(Sync!$P828,FIND("/",Sync!$P828)+1,20),FIND("/",MID(Sync!$P828,FIND("/",Sync!$P828)+1,20))+1,20))),"")))</f>
        <v/>
      </c>
      <c r="AI828">
        <f>IF($AE828="","",IF(OR($AF828="",$AG828="",$AH828="",$AF828&lt;1300,$AF828&gt;1500,$AG828&lt;1,$AG828&gt;12,$AH828&lt;1,$AH828&gt;31),"نامعتبر",RIGHT("0000"&amp;$AF828,4)&amp;"/"&amp;RIGHT("00"&amp;$AG828,2)&amp;"/"&amp;RIGHT("00"&amp;$AH828,2)))</f>
        <v/>
      </c>
      <c r="AJ828">
        <f>IF($AE828="","",IF(Sync!$Q828="","0000",IF(AND(ISNUMBER(Sync!$Q828),Sync!$Q828&gt;=0,Sync!$Q828&lt;1),RIGHT("00"&amp;HOUR(Sync!$Q828),2)&amp;RIGHT("00"&amp;MINUTE(Sync!$Q828),2),IFERROR(RIGHT("00"&amp;VALUE(LEFT(Sync!$Q828,FIND(":",Sync!$Q828)-1)),2)&amp;RIGHT("00"&amp;VALUE(MID(Sync!$Q828,FIND(":",Sync!$Q828)+1,2)),2),"0000"))))</f>
        <v/>
      </c>
      <c r="AK828">
        <f>IF(OR($AE828="",$AI828="",$AI828="نامعتبر"),"",LEFT($AI828,4)&amp;MID($AI828,6,2)&amp;RIGHT($AI828,2)&amp;$AJ828&amp;"|"&amp;"3"&amp;RIGHT("00000"&amp;823,5))</f>
        <v/>
      </c>
      <c r="AL828">
        <f>IF($AK828="","",COUNTIFS(LdAParty,$AE828,LdAType,1,LdAKey,"&lt;"&amp;$AK828)+COUNTIFS(LdBMember,$AE828,LdBKey,"&lt;"&amp;$AK828)+COUNTIFS(LdCParty,$AE828,LdCKey,"&lt;"&amp;$AK828)+1)</f>
        <v/>
      </c>
      <c r="AM828">
        <f>IF($AL828="","",$AE828&amp;"|"&amp;RIGHT("000000"&amp;$AL828,6))</f>
        <v/>
      </c>
      <c r="AN828">
        <f>IF($AE828="","",IF(Sync!$W828="",0,Sync!$W828))</f>
        <v/>
      </c>
      <c r="AO828">
        <f>IF($AE828="","",IF(Sync!$X828="",0,Sync!$X828))</f>
        <v/>
      </c>
      <c r="AP828">
        <f>IF($AE828="","",Sync!$R828)</f>
        <v/>
      </c>
      <c r="AQ828">
        <f>IF($AE828="","",Sync!$Y828)</f>
        <v/>
      </c>
    </row>
    <row r="829">
      <c r="A829">
        <f>IF(OR(Wages!$B832="",Wages!$E832=""),"",Wages!$E832)</f>
        <v/>
      </c>
      <c r="B829">
        <f>IF($A829="","",IF(Wages!$C832="دستمزد گروهی",2,1))</f>
        <v/>
      </c>
      <c r="C829">
        <f>IF($A829="","",IF(ISNUMBER(Wages!$B832),IF(AND(Wages!$B832&gt;=10000101,Wages!$B832&lt;=99991231),INT(Wages!$B832/10000),""),IFERROR(VALUE(TRIM(LEFT(Wages!$B832,FIND("/",Wages!$B832)-1))),"")))</f>
        <v/>
      </c>
      <c r="D829">
        <f>IF(OR($A829="",$C829=""),"",IF(ISNUMBER(Wages!$B832),INT(MOD(Wages!$B832,10000)/100),IFERROR(VALUE(TRIM(LEFT(MID(Wages!$B832,FIND("/",Wages!$B832)+1,20),FIND("/",MID(Wages!$B832,FIND("/",Wages!$B832)+1,20))-1))),"")))</f>
        <v/>
      </c>
      <c r="E829">
        <f>IF(OR($A829="",$C829=""),"",IF(ISNUMBER(Wages!$B832),MOD(Wages!$B832,100),IFERROR(VALUE(TRIM(MID(MID(Wages!$B832,FIND("/",Wages!$B832)+1,20),FIND("/",MID(Wages!$B832,FIND("/",Wages!$B832)+1,20))+1,20))),"")))</f>
        <v/>
      </c>
      <c r="F829">
        <f>IF($A829="","",IF(OR($C829="",$D829="",$E829="",$C829&lt;1300,$C829&gt;1500,$D829&lt;1,$D829&gt;12,$E829&lt;1,$E829&gt;31),"نامعتبر",RIGHT("0000"&amp;$C829,4)&amp;"/"&amp;RIGHT("00"&amp;$D829,2)&amp;"/"&amp;RIGHT("00"&amp;$E829,2)))</f>
        <v/>
      </c>
      <c r="G829">
        <f>IF(OR($A829="",$F829="",$F829="نامعتبر"),"",LEFT($F829,4)&amp;MID($F829,6,2)&amp;RIGHT($F829,2)&amp;"0000"&amp;"|"&amp;"1"&amp;RIGHT("00000"&amp;824,5))</f>
        <v/>
      </c>
      <c r="H829">
        <f>IF(OR($B829&lt;&gt;1,$G829=""),"",COUNTIFS(LdAParty,$A829,LdAType,1,LdAKey,"&lt;"&amp;$G829)+COUNTIFS(LdBMember,$A829,LdBKey,"&lt;"&amp;$G829)+COUNTIFS(LdCParty,$A829,LdCKey,"&lt;"&amp;$G829)+1)</f>
        <v/>
      </c>
      <c r="I829">
        <f>IF($H829="","",$A829&amp;"|"&amp;RIGHT("000000"&amp;$H829,6))</f>
        <v/>
      </c>
      <c r="J829">
        <f>IF(OR($B829&lt;&gt;2,$G829=""),"",COUNTIFS(LdAParty,$A829,LdAType,2,LdAKey,"&lt;"&amp;$G829)+1)</f>
        <v/>
      </c>
      <c r="K829">
        <f>IF($J829="","",$A829&amp;"|"&amp;RIGHT("000000"&amp;$J829,6))</f>
        <v/>
      </c>
      <c r="L829">
        <f>IF($A829="","",IF(Wages!$G832="",0,Wages!$G832))</f>
        <v/>
      </c>
      <c r="M829">
        <f>IF($A829="","",Wages!$J832)</f>
        <v/>
      </c>
      <c r="N829">
        <f>IF($A829="","",Wages!$D832)</f>
        <v/>
      </c>
      <c r="P829">
        <f>IF(OR(Shares!$B832="",Shares!$C832=""),"",Shares!$C832)</f>
        <v/>
      </c>
      <c r="Q829">
        <f>IF($P829="","",Shares!$B832)</f>
        <v/>
      </c>
      <c r="R829">
        <f>IF($P829="","",IFERROR(INDEX(WageParty,MATCH($Q829,WageIds,0)),""))</f>
        <v/>
      </c>
      <c r="S829">
        <f>IF($P829="","",IFERROR(INDEX($F$6:$F$2005,MATCH($Q829,WageIds,0)),""))</f>
        <v/>
      </c>
      <c r="T829">
        <f>IF(OR($P829="",$S829="",$S829="نامعتبر"),"",LEFT($S829,4)&amp;MID($S829,6,2)&amp;RIGHT($S829,2)&amp;"0000"&amp;"|"&amp;"2"&amp;RIGHT("00000"&amp;824,5))</f>
        <v/>
      </c>
      <c r="U829">
        <f>IF($T829="","",COUNTIFS(LdAParty,$P829,LdAType,1,LdAKey,"&lt;"&amp;$T829)+COUNTIFS(LdBMember,$P829,LdBKey,"&lt;"&amp;$T829)+COUNTIFS(LdCParty,$P829,LdCKey,"&lt;"&amp;$T829)+1)</f>
        <v/>
      </c>
      <c r="V829">
        <f>IF($U829="","",$P829&amp;"|"&amp;RIGHT("000000"&amp;$U829,6))</f>
        <v/>
      </c>
      <c r="W829">
        <f>IF($T829="","",COUNTIFS(LdBGroup,$R829,LdBKey,"&lt;"&amp;$T829)+1)</f>
        <v/>
      </c>
      <c r="X829">
        <f>IF($W829="","",$R829&amp;"|"&amp;RIGHT("000000"&amp;$W829,6))</f>
        <v/>
      </c>
      <c r="Y829">
        <f>IF($P829="","",IF(Shares!$E832="",0,Shares!$E832))</f>
        <v/>
      </c>
      <c r="Z829">
        <f>IF($P829="","",Shares!$H832)</f>
        <v/>
      </c>
      <c r="AE829">
        <f>IF(OR(Sync!$S829="",Sync!$P829=""),"",Sync!$S829)</f>
        <v/>
      </c>
      <c r="AF829">
        <f>IF($AE829="","",IF(ISNUMBER(Sync!$P829),IF(AND(Sync!$P829&gt;=10000101,Sync!$P829&lt;=99991231),INT(Sync!$P829/10000),""),IFERROR(VALUE(TRIM(LEFT(Sync!$P829,FIND("/",Sync!$P829)-1))),"")))</f>
        <v/>
      </c>
      <c r="AG829">
        <f>IF(OR($AE829="",$AF829=""),"",IF(ISNUMBER(Sync!$P829),INT(MOD(Sync!$P829,10000)/100),IFERROR(VALUE(TRIM(LEFT(MID(Sync!$P829,FIND("/",Sync!$P829)+1,20),FIND("/",MID(Sync!$P829,FIND("/",Sync!$P829)+1,20))-1))),"")))</f>
        <v/>
      </c>
      <c r="AH829">
        <f>IF(OR($AE829="",$AF829=""),"",IF(ISNUMBER(Sync!$P829),MOD(Sync!$P829,100),IFERROR(VALUE(TRIM(MID(MID(Sync!$P829,FIND("/",Sync!$P829)+1,20),FIND("/",MID(Sync!$P829,FIND("/",Sync!$P829)+1,20))+1,20))),"")))</f>
        <v/>
      </c>
      <c r="AI829">
        <f>IF($AE829="","",IF(OR($AF829="",$AG829="",$AH829="",$AF829&lt;1300,$AF829&gt;1500,$AG829&lt;1,$AG829&gt;12,$AH829&lt;1,$AH829&gt;31),"نامعتبر",RIGHT("0000"&amp;$AF829,4)&amp;"/"&amp;RIGHT("00"&amp;$AG829,2)&amp;"/"&amp;RIGHT("00"&amp;$AH829,2)))</f>
        <v/>
      </c>
      <c r="AJ829">
        <f>IF($AE829="","",IF(Sync!$Q829="","0000",IF(AND(ISNUMBER(Sync!$Q829),Sync!$Q829&gt;=0,Sync!$Q829&lt;1),RIGHT("00"&amp;HOUR(Sync!$Q829),2)&amp;RIGHT("00"&amp;MINUTE(Sync!$Q829),2),IFERROR(RIGHT("00"&amp;VALUE(LEFT(Sync!$Q829,FIND(":",Sync!$Q829)-1)),2)&amp;RIGHT("00"&amp;VALUE(MID(Sync!$Q829,FIND(":",Sync!$Q829)+1,2)),2),"0000"))))</f>
        <v/>
      </c>
      <c r="AK829">
        <f>IF(OR($AE829="",$AI829="",$AI829="نامعتبر"),"",LEFT($AI829,4)&amp;MID($AI829,6,2)&amp;RIGHT($AI829,2)&amp;$AJ829&amp;"|"&amp;"3"&amp;RIGHT("00000"&amp;824,5))</f>
        <v/>
      </c>
      <c r="AL829">
        <f>IF($AK829="","",COUNTIFS(LdAParty,$AE829,LdAType,1,LdAKey,"&lt;"&amp;$AK829)+COUNTIFS(LdBMember,$AE829,LdBKey,"&lt;"&amp;$AK829)+COUNTIFS(LdCParty,$AE829,LdCKey,"&lt;"&amp;$AK829)+1)</f>
        <v/>
      </c>
      <c r="AM829">
        <f>IF($AL829="","",$AE829&amp;"|"&amp;RIGHT("000000"&amp;$AL829,6))</f>
        <v/>
      </c>
      <c r="AN829">
        <f>IF($AE829="","",IF(Sync!$W829="",0,Sync!$W829))</f>
        <v/>
      </c>
      <c r="AO829">
        <f>IF($AE829="","",IF(Sync!$X829="",0,Sync!$X829))</f>
        <v/>
      </c>
      <c r="AP829">
        <f>IF($AE829="","",Sync!$R829)</f>
        <v/>
      </c>
      <c r="AQ829">
        <f>IF($AE829="","",Sync!$Y829)</f>
        <v/>
      </c>
    </row>
    <row r="830">
      <c r="A830">
        <f>IF(OR(Wages!$B833="",Wages!$E833=""),"",Wages!$E833)</f>
        <v/>
      </c>
      <c r="B830">
        <f>IF($A830="","",IF(Wages!$C833="دستمزد گروهی",2,1))</f>
        <v/>
      </c>
      <c r="C830">
        <f>IF($A830="","",IF(ISNUMBER(Wages!$B833),IF(AND(Wages!$B833&gt;=10000101,Wages!$B833&lt;=99991231),INT(Wages!$B833/10000),""),IFERROR(VALUE(TRIM(LEFT(Wages!$B833,FIND("/",Wages!$B833)-1))),"")))</f>
        <v/>
      </c>
      <c r="D830">
        <f>IF(OR($A830="",$C830=""),"",IF(ISNUMBER(Wages!$B833),INT(MOD(Wages!$B833,10000)/100),IFERROR(VALUE(TRIM(LEFT(MID(Wages!$B833,FIND("/",Wages!$B833)+1,20),FIND("/",MID(Wages!$B833,FIND("/",Wages!$B833)+1,20))-1))),"")))</f>
        <v/>
      </c>
      <c r="E830">
        <f>IF(OR($A830="",$C830=""),"",IF(ISNUMBER(Wages!$B833),MOD(Wages!$B833,100),IFERROR(VALUE(TRIM(MID(MID(Wages!$B833,FIND("/",Wages!$B833)+1,20),FIND("/",MID(Wages!$B833,FIND("/",Wages!$B833)+1,20))+1,20))),"")))</f>
        <v/>
      </c>
      <c r="F830">
        <f>IF($A830="","",IF(OR($C830="",$D830="",$E830="",$C830&lt;1300,$C830&gt;1500,$D830&lt;1,$D830&gt;12,$E830&lt;1,$E830&gt;31),"نامعتبر",RIGHT("0000"&amp;$C830,4)&amp;"/"&amp;RIGHT("00"&amp;$D830,2)&amp;"/"&amp;RIGHT("00"&amp;$E830,2)))</f>
        <v/>
      </c>
      <c r="G830">
        <f>IF(OR($A830="",$F830="",$F830="نامعتبر"),"",LEFT($F830,4)&amp;MID($F830,6,2)&amp;RIGHT($F830,2)&amp;"0000"&amp;"|"&amp;"1"&amp;RIGHT("00000"&amp;825,5))</f>
        <v/>
      </c>
      <c r="H830">
        <f>IF(OR($B830&lt;&gt;1,$G830=""),"",COUNTIFS(LdAParty,$A830,LdAType,1,LdAKey,"&lt;"&amp;$G830)+COUNTIFS(LdBMember,$A830,LdBKey,"&lt;"&amp;$G830)+COUNTIFS(LdCParty,$A830,LdCKey,"&lt;"&amp;$G830)+1)</f>
        <v/>
      </c>
      <c r="I830">
        <f>IF($H830="","",$A830&amp;"|"&amp;RIGHT("000000"&amp;$H830,6))</f>
        <v/>
      </c>
      <c r="J830">
        <f>IF(OR($B830&lt;&gt;2,$G830=""),"",COUNTIFS(LdAParty,$A830,LdAType,2,LdAKey,"&lt;"&amp;$G830)+1)</f>
        <v/>
      </c>
      <c r="K830">
        <f>IF($J830="","",$A830&amp;"|"&amp;RIGHT("000000"&amp;$J830,6))</f>
        <v/>
      </c>
      <c r="L830">
        <f>IF($A830="","",IF(Wages!$G833="",0,Wages!$G833))</f>
        <v/>
      </c>
      <c r="M830">
        <f>IF($A830="","",Wages!$J833)</f>
        <v/>
      </c>
      <c r="N830">
        <f>IF($A830="","",Wages!$D833)</f>
        <v/>
      </c>
      <c r="P830">
        <f>IF(OR(Shares!$B833="",Shares!$C833=""),"",Shares!$C833)</f>
        <v/>
      </c>
      <c r="Q830">
        <f>IF($P830="","",Shares!$B833)</f>
        <v/>
      </c>
      <c r="R830">
        <f>IF($P830="","",IFERROR(INDEX(WageParty,MATCH($Q830,WageIds,0)),""))</f>
        <v/>
      </c>
      <c r="S830">
        <f>IF($P830="","",IFERROR(INDEX($F$6:$F$2005,MATCH($Q830,WageIds,0)),""))</f>
        <v/>
      </c>
      <c r="T830">
        <f>IF(OR($P830="",$S830="",$S830="نامعتبر"),"",LEFT($S830,4)&amp;MID($S830,6,2)&amp;RIGHT($S830,2)&amp;"0000"&amp;"|"&amp;"2"&amp;RIGHT("00000"&amp;825,5))</f>
        <v/>
      </c>
      <c r="U830">
        <f>IF($T830="","",COUNTIFS(LdAParty,$P830,LdAType,1,LdAKey,"&lt;"&amp;$T830)+COUNTIFS(LdBMember,$P830,LdBKey,"&lt;"&amp;$T830)+COUNTIFS(LdCParty,$P830,LdCKey,"&lt;"&amp;$T830)+1)</f>
        <v/>
      </c>
      <c r="V830">
        <f>IF($U830="","",$P830&amp;"|"&amp;RIGHT("000000"&amp;$U830,6))</f>
        <v/>
      </c>
      <c r="W830">
        <f>IF($T830="","",COUNTIFS(LdBGroup,$R830,LdBKey,"&lt;"&amp;$T830)+1)</f>
        <v/>
      </c>
      <c r="X830">
        <f>IF($W830="","",$R830&amp;"|"&amp;RIGHT("000000"&amp;$W830,6))</f>
        <v/>
      </c>
      <c r="Y830">
        <f>IF($P830="","",IF(Shares!$E833="",0,Shares!$E833))</f>
        <v/>
      </c>
      <c r="Z830">
        <f>IF($P830="","",Shares!$H833)</f>
        <v/>
      </c>
      <c r="AE830">
        <f>IF(OR(Sync!$S830="",Sync!$P830=""),"",Sync!$S830)</f>
        <v/>
      </c>
      <c r="AF830">
        <f>IF($AE830="","",IF(ISNUMBER(Sync!$P830),IF(AND(Sync!$P830&gt;=10000101,Sync!$P830&lt;=99991231),INT(Sync!$P830/10000),""),IFERROR(VALUE(TRIM(LEFT(Sync!$P830,FIND("/",Sync!$P830)-1))),"")))</f>
        <v/>
      </c>
      <c r="AG830">
        <f>IF(OR($AE830="",$AF830=""),"",IF(ISNUMBER(Sync!$P830),INT(MOD(Sync!$P830,10000)/100),IFERROR(VALUE(TRIM(LEFT(MID(Sync!$P830,FIND("/",Sync!$P830)+1,20),FIND("/",MID(Sync!$P830,FIND("/",Sync!$P830)+1,20))-1))),"")))</f>
        <v/>
      </c>
      <c r="AH830">
        <f>IF(OR($AE830="",$AF830=""),"",IF(ISNUMBER(Sync!$P830),MOD(Sync!$P830,100),IFERROR(VALUE(TRIM(MID(MID(Sync!$P830,FIND("/",Sync!$P830)+1,20),FIND("/",MID(Sync!$P830,FIND("/",Sync!$P830)+1,20))+1,20))),"")))</f>
        <v/>
      </c>
      <c r="AI830">
        <f>IF($AE830="","",IF(OR($AF830="",$AG830="",$AH830="",$AF830&lt;1300,$AF830&gt;1500,$AG830&lt;1,$AG830&gt;12,$AH830&lt;1,$AH830&gt;31),"نامعتبر",RIGHT("0000"&amp;$AF830,4)&amp;"/"&amp;RIGHT("00"&amp;$AG830,2)&amp;"/"&amp;RIGHT("00"&amp;$AH830,2)))</f>
        <v/>
      </c>
      <c r="AJ830">
        <f>IF($AE830="","",IF(Sync!$Q830="","0000",IF(AND(ISNUMBER(Sync!$Q830),Sync!$Q830&gt;=0,Sync!$Q830&lt;1),RIGHT("00"&amp;HOUR(Sync!$Q830),2)&amp;RIGHT("00"&amp;MINUTE(Sync!$Q830),2),IFERROR(RIGHT("00"&amp;VALUE(LEFT(Sync!$Q830,FIND(":",Sync!$Q830)-1)),2)&amp;RIGHT("00"&amp;VALUE(MID(Sync!$Q830,FIND(":",Sync!$Q830)+1,2)),2),"0000"))))</f>
        <v/>
      </c>
      <c r="AK830">
        <f>IF(OR($AE830="",$AI830="",$AI830="نامعتبر"),"",LEFT($AI830,4)&amp;MID($AI830,6,2)&amp;RIGHT($AI830,2)&amp;$AJ830&amp;"|"&amp;"3"&amp;RIGHT("00000"&amp;825,5))</f>
        <v/>
      </c>
      <c r="AL830">
        <f>IF($AK830="","",COUNTIFS(LdAParty,$AE830,LdAType,1,LdAKey,"&lt;"&amp;$AK830)+COUNTIFS(LdBMember,$AE830,LdBKey,"&lt;"&amp;$AK830)+COUNTIFS(LdCParty,$AE830,LdCKey,"&lt;"&amp;$AK830)+1)</f>
        <v/>
      </c>
      <c r="AM830">
        <f>IF($AL830="","",$AE830&amp;"|"&amp;RIGHT("000000"&amp;$AL830,6))</f>
        <v/>
      </c>
      <c r="AN830">
        <f>IF($AE830="","",IF(Sync!$W830="",0,Sync!$W830))</f>
        <v/>
      </c>
      <c r="AO830">
        <f>IF($AE830="","",IF(Sync!$X830="",0,Sync!$X830))</f>
        <v/>
      </c>
      <c r="AP830">
        <f>IF($AE830="","",Sync!$R830)</f>
        <v/>
      </c>
      <c r="AQ830">
        <f>IF($AE830="","",Sync!$Y830)</f>
        <v/>
      </c>
    </row>
    <row r="831">
      <c r="A831">
        <f>IF(OR(Wages!$B834="",Wages!$E834=""),"",Wages!$E834)</f>
        <v/>
      </c>
      <c r="B831">
        <f>IF($A831="","",IF(Wages!$C834="دستمزد گروهی",2,1))</f>
        <v/>
      </c>
      <c r="C831">
        <f>IF($A831="","",IF(ISNUMBER(Wages!$B834),IF(AND(Wages!$B834&gt;=10000101,Wages!$B834&lt;=99991231),INT(Wages!$B834/10000),""),IFERROR(VALUE(TRIM(LEFT(Wages!$B834,FIND("/",Wages!$B834)-1))),"")))</f>
        <v/>
      </c>
      <c r="D831">
        <f>IF(OR($A831="",$C831=""),"",IF(ISNUMBER(Wages!$B834),INT(MOD(Wages!$B834,10000)/100),IFERROR(VALUE(TRIM(LEFT(MID(Wages!$B834,FIND("/",Wages!$B834)+1,20),FIND("/",MID(Wages!$B834,FIND("/",Wages!$B834)+1,20))-1))),"")))</f>
        <v/>
      </c>
      <c r="E831">
        <f>IF(OR($A831="",$C831=""),"",IF(ISNUMBER(Wages!$B834),MOD(Wages!$B834,100),IFERROR(VALUE(TRIM(MID(MID(Wages!$B834,FIND("/",Wages!$B834)+1,20),FIND("/",MID(Wages!$B834,FIND("/",Wages!$B834)+1,20))+1,20))),"")))</f>
        <v/>
      </c>
      <c r="F831">
        <f>IF($A831="","",IF(OR($C831="",$D831="",$E831="",$C831&lt;1300,$C831&gt;1500,$D831&lt;1,$D831&gt;12,$E831&lt;1,$E831&gt;31),"نامعتبر",RIGHT("0000"&amp;$C831,4)&amp;"/"&amp;RIGHT("00"&amp;$D831,2)&amp;"/"&amp;RIGHT("00"&amp;$E831,2)))</f>
        <v/>
      </c>
      <c r="G831">
        <f>IF(OR($A831="",$F831="",$F831="نامعتبر"),"",LEFT($F831,4)&amp;MID($F831,6,2)&amp;RIGHT($F831,2)&amp;"0000"&amp;"|"&amp;"1"&amp;RIGHT("00000"&amp;826,5))</f>
        <v/>
      </c>
      <c r="H831">
        <f>IF(OR($B831&lt;&gt;1,$G831=""),"",COUNTIFS(LdAParty,$A831,LdAType,1,LdAKey,"&lt;"&amp;$G831)+COUNTIFS(LdBMember,$A831,LdBKey,"&lt;"&amp;$G831)+COUNTIFS(LdCParty,$A831,LdCKey,"&lt;"&amp;$G831)+1)</f>
        <v/>
      </c>
      <c r="I831">
        <f>IF($H831="","",$A831&amp;"|"&amp;RIGHT("000000"&amp;$H831,6))</f>
        <v/>
      </c>
      <c r="J831">
        <f>IF(OR($B831&lt;&gt;2,$G831=""),"",COUNTIFS(LdAParty,$A831,LdAType,2,LdAKey,"&lt;"&amp;$G831)+1)</f>
        <v/>
      </c>
      <c r="K831">
        <f>IF($J831="","",$A831&amp;"|"&amp;RIGHT("000000"&amp;$J831,6))</f>
        <v/>
      </c>
      <c r="L831">
        <f>IF($A831="","",IF(Wages!$G834="",0,Wages!$G834))</f>
        <v/>
      </c>
      <c r="M831">
        <f>IF($A831="","",Wages!$J834)</f>
        <v/>
      </c>
      <c r="N831">
        <f>IF($A831="","",Wages!$D834)</f>
        <v/>
      </c>
      <c r="P831">
        <f>IF(OR(Shares!$B834="",Shares!$C834=""),"",Shares!$C834)</f>
        <v/>
      </c>
      <c r="Q831">
        <f>IF($P831="","",Shares!$B834)</f>
        <v/>
      </c>
      <c r="R831">
        <f>IF($P831="","",IFERROR(INDEX(WageParty,MATCH($Q831,WageIds,0)),""))</f>
        <v/>
      </c>
      <c r="S831">
        <f>IF($P831="","",IFERROR(INDEX($F$6:$F$2005,MATCH($Q831,WageIds,0)),""))</f>
        <v/>
      </c>
      <c r="T831">
        <f>IF(OR($P831="",$S831="",$S831="نامعتبر"),"",LEFT($S831,4)&amp;MID($S831,6,2)&amp;RIGHT($S831,2)&amp;"0000"&amp;"|"&amp;"2"&amp;RIGHT("00000"&amp;826,5))</f>
        <v/>
      </c>
      <c r="U831">
        <f>IF($T831="","",COUNTIFS(LdAParty,$P831,LdAType,1,LdAKey,"&lt;"&amp;$T831)+COUNTIFS(LdBMember,$P831,LdBKey,"&lt;"&amp;$T831)+COUNTIFS(LdCParty,$P831,LdCKey,"&lt;"&amp;$T831)+1)</f>
        <v/>
      </c>
      <c r="V831">
        <f>IF($U831="","",$P831&amp;"|"&amp;RIGHT("000000"&amp;$U831,6))</f>
        <v/>
      </c>
      <c r="W831">
        <f>IF($T831="","",COUNTIFS(LdBGroup,$R831,LdBKey,"&lt;"&amp;$T831)+1)</f>
        <v/>
      </c>
      <c r="X831">
        <f>IF($W831="","",$R831&amp;"|"&amp;RIGHT("000000"&amp;$W831,6))</f>
        <v/>
      </c>
      <c r="Y831">
        <f>IF($P831="","",IF(Shares!$E834="",0,Shares!$E834))</f>
        <v/>
      </c>
      <c r="Z831">
        <f>IF($P831="","",Shares!$H834)</f>
        <v/>
      </c>
      <c r="AE831">
        <f>IF(OR(Sync!$S831="",Sync!$P831=""),"",Sync!$S831)</f>
        <v/>
      </c>
      <c r="AF831">
        <f>IF($AE831="","",IF(ISNUMBER(Sync!$P831),IF(AND(Sync!$P831&gt;=10000101,Sync!$P831&lt;=99991231),INT(Sync!$P831/10000),""),IFERROR(VALUE(TRIM(LEFT(Sync!$P831,FIND("/",Sync!$P831)-1))),"")))</f>
        <v/>
      </c>
      <c r="AG831">
        <f>IF(OR($AE831="",$AF831=""),"",IF(ISNUMBER(Sync!$P831),INT(MOD(Sync!$P831,10000)/100),IFERROR(VALUE(TRIM(LEFT(MID(Sync!$P831,FIND("/",Sync!$P831)+1,20),FIND("/",MID(Sync!$P831,FIND("/",Sync!$P831)+1,20))-1))),"")))</f>
        <v/>
      </c>
      <c r="AH831">
        <f>IF(OR($AE831="",$AF831=""),"",IF(ISNUMBER(Sync!$P831),MOD(Sync!$P831,100),IFERROR(VALUE(TRIM(MID(MID(Sync!$P831,FIND("/",Sync!$P831)+1,20),FIND("/",MID(Sync!$P831,FIND("/",Sync!$P831)+1,20))+1,20))),"")))</f>
        <v/>
      </c>
      <c r="AI831">
        <f>IF($AE831="","",IF(OR($AF831="",$AG831="",$AH831="",$AF831&lt;1300,$AF831&gt;1500,$AG831&lt;1,$AG831&gt;12,$AH831&lt;1,$AH831&gt;31),"نامعتبر",RIGHT("0000"&amp;$AF831,4)&amp;"/"&amp;RIGHT("00"&amp;$AG831,2)&amp;"/"&amp;RIGHT("00"&amp;$AH831,2)))</f>
        <v/>
      </c>
      <c r="AJ831">
        <f>IF($AE831="","",IF(Sync!$Q831="","0000",IF(AND(ISNUMBER(Sync!$Q831),Sync!$Q831&gt;=0,Sync!$Q831&lt;1),RIGHT("00"&amp;HOUR(Sync!$Q831),2)&amp;RIGHT("00"&amp;MINUTE(Sync!$Q831),2),IFERROR(RIGHT("00"&amp;VALUE(LEFT(Sync!$Q831,FIND(":",Sync!$Q831)-1)),2)&amp;RIGHT("00"&amp;VALUE(MID(Sync!$Q831,FIND(":",Sync!$Q831)+1,2)),2),"0000"))))</f>
        <v/>
      </c>
      <c r="AK831">
        <f>IF(OR($AE831="",$AI831="",$AI831="نامعتبر"),"",LEFT($AI831,4)&amp;MID($AI831,6,2)&amp;RIGHT($AI831,2)&amp;$AJ831&amp;"|"&amp;"3"&amp;RIGHT("00000"&amp;826,5))</f>
        <v/>
      </c>
      <c r="AL831">
        <f>IF($AK831="","",COUNTIFS(LdAParty,$AE831,LdAType,1,LdAKey,"&lt;"&amp;$AK831)+COUNTIFS(LdBMember,$AE831,LdBKey,"&lt;"&amp;$AK831)+COUNTIFS(LdCParty,$AE831,LdCKey,"&lt;"&amp;$AK831)+1)</f>
        <v/>
      </c>
      <c r="AM831">
        <f>IF($AL831="","",$AE831&amp;"|"&amp;RIGHT("000000"&amp;$AL831,6))</f>
        <v/>
      </c>
      <c r="AN831">
        <f>IF($AE831="","",IF(Sync!$W831="",0,Sync!$W831))</f>
        <v/>
      </c>
      <c r="AO831">
        <f>IF($AE831="","",IF(Sync!$X831="",0,Sync!$X831))</f>
        <v/>
      </c>
      <c r="AP831">
        <f>IF($AE831="","",Sync!$R831)</f>
        <v/>
      </c>
      <c r="AQ831">
        <f>IF($AE831="","",Sync!$Y831)</f>
        <v/>
      </c>
    </row>
    <row r="832">
      <c r="A832">
        <f>IF(OR(Wages!$B835="",Wages!$E835=""),"",Wages!$E835)</f>
        <v/>
      </c>
      <c r="B832">
        <f>IF($A832="","",IF(Wages!$C835="دستمزد گروهی",2,1))</f>
        <v/>
      </c>
      <c r="C832">
        <f>IF($A832="","",IF(ISNUMBER(Wages!$B835),IF(AND(Wages!$B835&gt;=10000101,Wages!$B835&lt;=99991231),INT(Wages!$B835/10000),""),IFERROR(VALUE(TRIM(LEFT(Wages!$B835,FIND("/",Wages!$B835)-1))),"")))</f>
        <v/>
      </c>
      <c r="D832">
        <f>IF(OR($A832="",$C832=""),"",IF(ISNUMBER(Wages!$B835),INT(MOD(Wages!$B835,10000)/100),IFERROR(VALUE(TRIM(LEFT(MID(Wages!$B835,FIND("/",Wages!$B835)+1,20),FIND("/",MID(Wages!$B835,FIND("/",Wages!$B835)+1,20))-1))),"")))</f>
        <v/>
      </c>
      <c r="E832">
        <f>IF(OR($A832="",$C832=""),"",IF(ISNUMBER(Wages!$B835),MOD(Wages!$B835,100),IFERROR(VALUE(TRIM(MID(MID(Wages!$B835,FIND("/",Wages!$B835)+1,20),FIND("/",MID(Wages!$B835,FIND("/",Wages!$B835)+1,20))+1,20))),"")))</f>
        <v/>
      </c>
      <c r="F832">
        <f>IF($A832="","",IF(OR($C832="",$D832="",$E832="",$C832&lt;1300,$C832&gt;1500,$D832&lt;1,$D832&gt;12,$E832&lt;1,$E832&gt;31),"نامعتبر",RIGHT("0000"&amp;$C832,4)&amp;"/"&amp;RIGHT("00"&amp;$D832,2)&amp;"/"&amp;RIGHT("00"&amp;$E832,2)))</f>
        <v/>
      </c>
      <c r="G832">
        <f>IF(OR($A832="",$F832="",$F832="نامعتبر"),"",LEFT($F832,4)&amp;MID($F832,6,2)&amp;RIGHT($F832,2)&amp;"0000"&amp;"|"&amp;"1"&amp;RIGHT("00000"&amp;827,5))</f>
        <v/>
      </c>
      <c r="H832">
        <f>IF(OR($B832&lt;&gt;1,$G832=""),"",COUNTIFS(LdAParty,$A832,LdAType,1,LdAKey,"&lt;"&amp;$G832)+COUNTIFS(LdBMember,$A832,LdBKey,"&lt;"&amp;$G832)+COUNTIFS(LdCParty,$A832,LdCKey,"&lt;"&amp;$G832)+1)</f>
        <v/>
      </c>
      <c r="I832">
        <f>IF($H832="","",$A832&amp;"|"&amp;RIGHT("000000"&amp;$H832,6))</f>
        <v/>
      </c>
      <c r="J832">
        <f>IF(OR($B832&lt;&gt;2,$G832=""),"",COUNTIFS(LdAParty,$A832,LdAType,2,LdAKey,"&lt;"&amp;$G832)+1)</f>
        <v/>
      </c>
      <c r="K832">
        <f>IF($J832="","",$A832&amp;"|"&amp;RIGHT("000000"&amp;$J832,6))</f>
        <v/>
      </c>
      <c r="L832">
        <f>IF($A832="","",IF(Wages!$G835="",0,Wages!$G835))</f>
        <v/>
      </c>
      <c r="M832">
        <f>IF($A832="","",Wages!$J835)</f>
        <v/>
      </c>
      <c r="N832">
        <f>IF($A832="","",Wages!$D835)</f>
        <v/>
      </c>
      <c r="P832">
        <f>IF(OR(Shares!$B835="",Shares!$C835=""),"",Shares!$C835)</f>
        <v/>
      </c>
      <c r="Q832">
        <f>IF($P832="","",Shares!$B835)</f>
        <v/>
      </c>
      <c r="R832">
        <f>IF($P832="","",IFERROR(INDEX(WageParty,MATCH($Q832,WageIds,0)),""))</f>
        <v/>
      </c>
      <c r="S832">
        <f>IF($P832="","",IFERROR(INDEX($F$6:$F$2005,MATCH($Q832,WageIds,0)),""))</f>
        <v/>
      </c>
      <c r="T832">
        <f>IF(OR($P832="",$S832="",$S832="نامعتبر"),"",LEFT($S832,4)&amp;MID($S832,6,2)&amp;RIGHT($S832,2)&amp;"0000"&amp;"|"&amp;"2"&amp;RIGHT("00000"&amp;827,5))</f>
        <v/>
      </c>
      <c r="U832">
        <f>IF($T832="","",COUNTIFS(LdAParty,$P832,LdAType,1,LdAKey,"&lt;"&amp;$T832)+COUNTIFS(LdBMember,$P832,LdBKey,"&lt;"&amp;$T832)+COUNTIFS(LdCParty,$P832,LdCKey,"&lt;"&amp;$T832)+1)</f>
        <v/>
      </c>
      <c r="V832">
        <f>IF($U832="","",$P832&amp;"|"&amp;RIGHT("000000"&amp;$U832,6))</f>
        <v/>
      </c>
      <c r="W832">
        <f>IF($T832="","",COUNTIFS(LdBGroup,$R832,LdBKey,"&lt;"&amp;$T832)+1)</f>
        <v/>
      </c>
      <c r="X832">
        <f>IF($W832="","",$R832&amp;"|"&amp;RIGHT("000000"&amp;$W832,6))</f>
        <v/>
      </c>
      <c r="Y832">
        <f>IF($P832="","",IF(Shares!$E835="",0,Shares!$E835))</f>
        <v/>
      </c>
      <c r="Z832">
        <f>IF($P832="","",Shares!$H835)</f>
        <v/>
      </c>
      <c r="AE832">
        <f>IF(OR(Sync!$S832="",Sync!$P832=""),"",Sync!$S832)</f>
        <v/>
      </c>
      <c r="AF832">
        <f>IF($AE832="","",IF(ISNUMBER(Sync!$P832),IF(AND(Sync!$P832&gt;=10000101,Sync!$P832&lt;=99991231),INT(Sync!$P832/10000),""),IFERROR(VALUE(TRIM(LEFT(Sync!$P832,FIND("/",Sync!$P832)-1))),"")))</f>
        <v/>
      </c>
      <c r="AG832">
        <f>IF(OR($AE832="",$AF832=""),"",IF(ISNUMBER(Sync!$P832),INT(MOD(Sync!$P832,10000)/100),IFERROR(VALUE(TRIM(LEFT(MID(Sync!$P832,FIND("/",Sync!$P832)+1,20),FIND("/",MID(Sync!$P832,FIND("/",Sync!$P832)+1,20))-1))),"")))</f>
        <v/>
      </c>
      <c r="AH832">
        <f>IF(OR($AE832="",$AF832=""),"",IF(ISNUMBER(Sync!$P832),MOD(Sync!$P832,100),IFERROR(VALUE(TRIM(MID(MID(Sync!$P832,FIND("/",Sync!$P832)+1,20),FIND("/",MID(Sync!$P832,FIND("/",Sync!$P832)+1,20))+1,20))),"")))</f>
        <v/>
      </c>
      <c r="AI832">
        <f>IF($AE832="","",IF(OR($AF832="",$AG832="",$AH832="",$AF832&lt;1300,$AF832&gt;1500,$AG832&lt;1,$AG832&gt;12,$AH832&lt;1,$AH832&gt;31),"نامعتبر",RIGHT("0000"&amp;$AF832,4)&amp;"/"&amp;RIGHT("00"&amp;$AG832,2)&amp;"/"&amp;RIGHT("00"&amp;$AH832,2)))</f>
        <v/>
      </c>
      <c r="AJ832">
        <f>IF($AE832="","",IF(Sync!$Q832="","0000",IF(AND(ISNUMBER(Sync!$Q832),Sync!$Q832&gt;=0,Sync!$Q832&lt;1),RIGHT("00"&amp;HOUR(Sync!$Q832),2)&amp;RIGHT("00"&amp;MINUTE(Sync!$Q832),2),IFERROR(RIGHT("00"&amp;VALUE(LEFT(Sync!$Q832,FIND(":",Sync!$Q832)-1)),2)&amp;RIGHT("00"&amp;VALUE(MID(Sync!$Q832,FIND(":",Sync!$Q832)+1,2)),2),"0000"))))</f>
        <v/>
      </c>
      <c r="AK832">
        <f>IF(OR($AE832="",$AI832="",$AI832="نامعتبر"),"",LEFT($AI832,4)&amp;MID($AI832,6,2)&amp;RIGHT($AI832,2)&amp;$AJ832&amp;"|"&amp;"3"&amp;RIGHT("00000"&amp;827,5))</f>
        <v/>
      </c>
      <c r="AL832">
        <f>IF($AK832="","",COUNTIFS(LdAParty,$AE832,LdAType,1,LdAKey,"&lt;"&amp;$AK832)+COUNTIFS(LdBMember,$AE832,LdBKey,"&lt;"&amp;$AK832)+COUNTIFS(LdCParty,$AE832,LdCKey,"&lt;"&amp;$AK832)+1)</f>
        <v/>
      </c>
      <c r="AM832">
        <f>IF($AL832="","",$AE832&amp;"|"&amp;RIGHT("000000"&amp;$AL832,6))</f>
        <v/>
      </c>
      <c r="AN832">
        <f>IF($AE832="","",IF(Sync!$W832="",0,Sync!$W832))</f>
        <v/>
      </c>
      <c r="AO832">
        <f>IF($AE832="","",IF(Sync!$X832="",0,Sync!$X832))</f>
        <v/>
      </c>
      <c r="AP832">
        <f>IF($AE832="","",Sync!$R832)</f>
        <v/>
      </c>
      <c r="AQ832">
        <f>IF($AE832="","",Sync!$Y832)</f>
        <v/>
      </c>
    </row>
    <row r="833">
      <c r="A833">
        <f>IF(OR(Wages!$B836="",Wages!$E836=""),"",Wages!$E836)</f>
        <v/>
      </c>
      <c r="B833">
        <f>IF($A833="","",IF(Wages!$C836="دستمزد گروهی",2,1))</f>
        <v/>
      </c>
      <c r="C833">
        <f>IF($A833="","",IF(ISNUMBER(Wages!$B836),IF(AND(Wages!$B836&gt;=10000101,Wages!$B836&lt;=99991231),INT(Wages!$B836/10000),""),IFERROR(VALUE(TRIM(LEFT(Wages!$B836,FIND("/",Wages!$B836)-1))),"")))</f>
        <v/>
      </c>
      <c r="D833">
        <f>IF(OR($A833="",$C833=""),"",IF(ISNUMBER(Wages!$B836),INT(MOD(Wages!$B836,10000)/100),IFERROR(VALUE(TRIM(LEFT(MID(Wages!$B836,FIND("/",Wages!$B836)+1,20),FIND("/",MID(Wages!$B836,FIND("/",Wages!$B836)+1,20))-1))),"")))</f>
        <v/>
      </c>
      <c r="E833">
        <f>IF(OR($A833="",$C833=""),"",IF(ISNUMBER(Wages!$B836),MOD(Wages!$B836,100),IFERROR(VALUE(TRIM(MID(MID(Wages!$B836,FIND("/",Wages!$B836)+1,20),FIND("/",MID(Wages!$B836,FIND("/",Wages!$B836)+1,20))+1,20))),"")))</f>
        <v/>
      </c>
      <c r="F833">
        <f>IF($A833="","",IF(OR($C833="",$D833="",$E833="",$C833&lt;1300,$C833&gt;1500,$D833&lt;1,$D833&gt;12,$E833&lt;1,$E833&gt;31),"نامعتبر",RIGHT("0000"&amp;$C833,4)&amp;"/"&amp;RIGHT("00"&amp;$D833,2)&amp;"/"&amp;RIGHT("00"&amp;$E833,2)))</f>
        <v/>
      </c>
      <c r="G833">
        <f>IF(OR($A833="",$F833="",$F833="نامعتبر"),"",LEFT($F833,4)&amp;MID($F833,6,2)&amp;RIGHT($F833,2)&amp;"0000"&amp;"|"&amp;"1"&amp;RIGHT("00000"&amp;828,5))</f>
        <v/>
      </c>
      <c r="H833">
        <f>IF(OR($B833&lt;&gt;1,$G833=""),"",COUNTIFS(LdAParty,$A833,LdAType,1,LdAKey,"&lt;"&amp;$G833)+COUNTIFS(LdBMember,$A833,LdBKey,"&lt;"&amp;$G833)+COUNTIFS(LdCParty,$A833,LdCKey,"&lt;"&amp;$G833)+1)</f>
        <v/>
      </c>
      <c r="I833">
        <f>IF($H833="","",$A833&amp;"|"&amp;RIGHT("000000"&amp;$H833,6))</f>
        <v/>
      </c>
      <c r="J833">
        <f>IF(OR($B833&lt;&gt;2,$G833=""),"",COUNTIFS(LdAParty,$A833,LdAType,2,LdAKey,"&lt;"&amp;$G833)+1)</f>
        <v/>
      </c>
      <c r="K833">
        <f>IF($J833="","",$A833&amp;"|"&amp;RIGHT("000000"&amp;$J833,6))</f>
        <v/>
      </c>
      <c r="L833">
        <f>IF($A833="","",IF(Wages!$G836="",0,Wages!$G836))</f>
        <v/>
      </c>
      <c r="M833">
        <f>IF($A833="","",Wages!$J836)</f>
        <v/>
      </c>
      <c r="N833">
        <f>IF($A833="","",Wages!$D836)</f>
        <v/>
      </c>
      <c r="P833">
        <f>IF(OR(Shares!$B836="",Shares!$C836=""),"",Shares!$C836)</f>
        <v/>
      </c>
      <c r="Q833">
        <f>IF($P833="","",Shares!$B836)</f>
        <v/>
      </c>
      <c r="R833">
        <f>IF($P833="","",IFERROR(INDEX(WageParty,MATCH($Q833,WageIds,0)),""))</f>
        <v/>
      </c>
      <c r="S833">
        <f>IF($P833="","",IFERROR(INDEX($F$6:$F$2005,MATCH($Q833,WageIds,0)),""))</f>
        <v/>
      </c>
      <c r="T833">
        <f>IF(OR($P833="",$S833="",$S833="نامعتبر"),"",LEFT($S833,4)&amp;MID($S833,6,2)&amp;RIGHT($S833,2)&amp;"0000"&amp;"|"&amp;"2"&amp;RIGHT("00000"&amp;828,5))</f>
        <v/>
      </c>
      <c r="U833">
        <f>IF($T833="","",COUNTIFS(LdAParty,$P833,LdAType,1,LdAKey,"&lt;"&amp;$T833)+COUNTIFS(LdBMember,$P833,LdBKey,"&lt;"&amp;$T833)+COUNTIFS(LdCParty,$P833,LdCKey,"&lt;"&amp;$T833)+1)</f>
        <v/>
      </c>
      <c r="V833">
        <f>IF($U833="","",$P833&amp;"|"&amp;RIGHT("000000"&amp;$U833,6))</f>
        <v/>
      </c>
      <c r="W833">
        <f>IF($T833="","",COUNTIFS(LdBGroup,$R833,LdBKey,"&lt;"&amp;$T833)+1)</f>
        <v/>
      </c>
      <c r="X833">
        <f>IF($W833="","",$R833&amp;"|"&amp;RIGHT("000000"&amp;$W833,6))</f>
        <v/>
      </c>
      <c r="Y833">
        <f>IF($P833="","",IF(Shares!$E836="",0,Shares!$E836))</f>
        <v/>
      </c>
      <c r="Z833">
        <f>IF($P833="","",Shares!$H836)</f>
        <v/>
      </c>
      <c r="AE833">
        <f>IF(OR(Sync!$S833="",Sync!$P833=""),"",Sync!$S833)</f>
        <v/>
      </c>
      <c r="AF833">
        <f>IF($AE833="","",IF(ISNUMBER(Sync!$P833),IF(AND(Sync!$P833&gt;=10000101,Sync!$P833&lt;=99991231),INT(Sync!$P833/10000),""),IFERROR(VALUE(TRIM(LEFT(Sync!$P833,FIND("/",Sync!$P833)-1))),"")))</f>
        <v/>
      </c>
      <c r="AG833">
        <f>IF(OR($AE833="",$AF833=""),"",IF(ISNUMBER(Sync!$P833),INT(MOD(Sync!$P833,10000)/100),IFERROR(VALUE(TRIM(LEFT(MID(Sync!$P833,FIND("/",Sync!$P833)+1,20),FIND("/",MID(Sync!$P833,FIND("/",Sync!$P833)+1,20))-1))),"")))</f>
        <v/>
      </c>
      <c r="AH833">
        <f>IF(OR($AE833="",$AF833=""),"",IF(ISNUMBER(Sync!$P833),MOD(Sync!$P833,100),IFERROR(VALUE(TRIM(MID(MID(Sync!$P833,FIND("/",Sync!$P833)+1,20),FIND("/",MID(Sync!$P833,FIND("/",Sync!$P833)+1,20))+1,20))),"")))</f>
        <v/>
      </c>
      <c r="AI833">
        <f>IF($AE833="","",IF(OR($AF833="",$AG833="",$AH833="",$AF833&lt;1300,$AF833&gt;1500,$AG833&lt;1,$AG833&gt;12,$AH833&lt;1,$AH833&gt;31),"نامعتبر",RIGHT("0000"&amp;$AF833,4)&amp;"/"&amp;RIGHT("00"&amp;$AG833,2)&amp;"/"&amp;RIGHT("00"&amp;$AH833,2)))</f>
        <v/>
      </c>
      <c r="AJ833">
        <f>IF($AE833="","",IF(Sync!$Q833="","0000",IF(AND(ISNUMBER(Sync!$Q833),Sync!$Q833&gt;=0,Sync!$Q833&lt;1),RIGHT("00"&amp;HOUR(Sync!$Q833),2)&amp;RIGHT("00"&amp;MINUTE(Sync!$Q833),2),IFERROR(RIGHT("00"&amp;VALUE(LEFT(Sync!$Q833,FIND(":",Sync!$Q833)-1)),2)&amp;RIGHT("00"&amp;VALUE(MID(Sync!$Q833,FIND(":",Sync!$Q833)+1,2)),2),"0000"))))</f>
        <v/>
      </c>
      <c r="AK833">
        <f>IF(OR($AE833="",$AI833="",$AI833="نامعتبر"),"",LEFT($AI833,4)&amp;MID($AI833,6,2)&amp;RIGHT($AI833,2)&amp;$AJ833&amp;"|"&amp;"3"&amp;RIGHT("00000"&amp;828,5))</f>
        <v/>
      </c>
      <c r="AL833">
        <f>IF($AK833="","",COUNTIFS(LdAParty,$AE833,LdAType,1,LdAKey,"&lt;"&amp;$AK833)+COUNTIFS(LdBMember,$AE833,LdBKey,"&lt;"&amp;$AK833)+COUNTIFS(LdCParty,$AE833,LdCKey,"&lt;"&amp;$AK833)+1)</f>
        <v/>
      </c>
      <c r="AM833">
        <f>IF($AL833="","",$AE833&amp;"|"&amp;RIGHT("000000"&amp;$AL833,6))</f>
        <v/>
      </c>
      <c r="AN833">
        <f>IF($AE833="","",IF(Sync!$W833="",0,Sync!$W833))</f>
        <v/>
      </c>
      <c r="AO833">
        <f>IF($AE833="","",IF(Sync!$X833="",0,Sync!$X833))</f>
        <v/>
      </c>
      <c r="AP833">
        <f>IF($AE833="","",Sync!$R833)</f>
        <v/>
      </c>
      <c r="AQ833">
        <f>IF($AE833="","",Sync!$Y833)</f>
        <v/>
      </c>
    </row>
    <row r="834">
      <c r="A834">
        <f>IF(OR(Wages!$B837="",Wages!$E837=""),"",Wages!$E837)</f>
        <v/>
      </c>
      <c r="B834">
        <f>IF($A834="","",IF(Wages!$C837="دستمزد گروهی",2,1))</f>
        <v/>
      </c>
      <c r="C834">
        <f>IF($A834="","",IF(ISNUMBER(Wages!$B837),IF(AND(Wages!$B837&gt;=10000101,Wages!$B837&lt;=99991231),INT(Wages!$B837/10000),""),IFERROR(VALUE(TRIM(LEFT(Wages!$B837,FIND("/",Wages!$B837)-1))),"")))</f>
        <v/>
      </c>
      <c r="D834">
        <f>IF(OR($A834="",$C834=""),"",IF(ISNUMBER(Wages!$B837),INT(MOD(Wages!$B837,10000)/100),IFERROR(VALUE(TRIM(LEFT(MID(Wages!$B837,FIND("/",Wages!$B837)+1,20),FIND("/",MID(Wages!$B837,FIND("/",Wages!$B837)+1,20))-1))),"")))</f>
        <v/>
      </c>
      <c r="E834">
        <f>IF(OR($A834="",$C834=""),"",IF(ISNUMBER(Wages!$B837),MOD(Wages!$B837,100),IFERROR(VALUE(TRIM(MID(MID(Wages!$B837,FIND("/",Wages!$B837)+1,20),FIND("/",MID(Wages!$B837,FIND("/",Wages!$B837)+1,20))+1,20))),"")))</f>
        <v/>
      </c>
      <c r="F834">
        <f>IF($A834="","",IF(OR($C834="",$D834="",$E834="",$C834&lt;1300,$C834&gt;1500,$D834&lt;1,$D834&gt;12,$E834&lt;1,$E834&gt;31),"نامعتبر",RIGHT("0000"&amp;$C834,4)&amp;"/"&amp;RIGHT("00"&amp;$D834,2)&amp;"/"&amp;RIGHT("00"&amp;$E834,2)))</f>
        <v/>
      </c>
      <c r="G834">
        <f>IF(OR($A834="",$F834="",$F834="نامعتبر"),"",LEFT($F834,4)&amp;MID($F834,6,2)&amp;RIGHT($F834,2)&amp;"0000"&amp;"|"&amp;"1"&amp;RIGHT("00000"&amp;829,5))</f>
        <v/>
      </c>
      <c r="H834">
        <f>IF(OR($B834&lt;&gt;1,$G834=""),"",COUNTIFS(LdAParty,$A834,LdAType,1,LdAKey,"&lt;"&amp;$G834)+COUNTIFS(LdBMember,$A834,LdBKey,"&lt;"&amp;$G834)+COUNTIFS(LdCParty,$A834,LdCKey,"&lt;"&amp;$G834)+1)</f>
        <v/>
      </c>
      <c r="I834">
        <f>IF($H834="","",$A834&amp;"|"&amp;RIGHT("000000"&amp;$H834,6))</f>
        <v/>
      </c>
      <c r="J834">
        <f>IF(OR($B834&lt;&gt;2,$G834=""),"",COUNTIFS(LdAParty,$A834,LdAType,2,LdAKey,"&lt;"&amp;$G834)+1)</f>
        <v/>
      </c>
      <c r="K834">
        <f>IF($J834="","",$A834&amp;"|"&amp;RIGHT("000000"&amp;$J834,6))</f>
        <v/>
      </c>
      <c r="L834">
        <f>IF($A834="","",IF(Wages!$G837="",0,Wages!$G837))</f>
        <v/>
      </c>
      <c r="M834">
        <f>IF($A834="","",Wages!$J837)</f>
        <v/>
      </c>
      <c r="N834">
        <f>IF($A834="","",Wages!$D837)</f>
        <v/>
      </c>
      <c r="P834">
        <f>IF(OR(Shares!$B837="",Shares!$C837=""),"",Shares!$C837)</f>
        <v/>
      </c>
      <c r="Q834">
        <f>IF($P834="","",Shares!$B837)</f>
        <v/>
      </c>
      <c r="R834">
        <f>IF($P834="","",IFERROR(INDEX(WageParty,MATCH($Q834,WageIds,0)),""))</f>
        <v/>
      </c>
      <c r="S834">
        <f>IF($P834="","",IFERROR(INDEX($F$6:$F$2005,MATCH($Q834,WageIds,0)),""))</f>
        <v/>
      </c>
      <c r="T834">
        <f>IF(OR($P834="",$S834="",$S834="نامعتبر"),"",LEFT($S834,4)&amp;MID($S834,6,2)&amp;RIGHT($S834,2)&amp;"0000"&amp;"|"&amp;"2"&amp;RIGHT("00000"&amp;829,5))</f>
        <v/>
      </c>
      <c r="U834">
        <f>IF($T834="","",COUNTIFS(LdAParty,$P834,LdAType,1,LdAKey,"&lt;"&amp;$T834)+COUNTIFS(LdBMember,$P834,LdBKey,"&lt;"&amp;$T834)+COUNTIFS(LdCParty,$P834,LdCKey,"&lt;"&amp;$T834)+1)</f>
        <v/>
      </c>
      <c r="V834">
        <f>IF($U834="","",$P834&amp;"|"&amp;RIGHT("000000"&amp;$U834,6))</f>
        <v/>
      </c>
      <c r="W834">
        <f>IF($T834="","",COUNTIFS(LdBGroup,$R834,LdBKey,"&lt;"&amp;$T834)+1)</f>
        <v/>
      </c>
      <c r="X834">
        <f>IF($W834="","",$R834&amp;"|"&amp;RIGHT("000000"&amp;$W834,6))</f>
        <v/>
      </c>
      <c r="Y834">
        <f>IF($P834="","",IF(Shares!$E837="",0,Shares!$E837))</f>
        <v/>
      </c>
      <c r="Z834">
        <f>IF($P834="","",Shares!$H837)</f>
        <v/>
      </c>
      <c r="AE834">
        <f>IF(OR(Sync!$S834="",Sync!$P834=""),"",Sync!$S834)</f>
        <v/>
      </c>
      <c r="AF834">
        <f>IF($AE834="","",IF(ISNUMBER(Sync!$P834),IF(AND(Sync!$P834&gt;=10000101,Sync!$P834&lt;=99991231),INT(Sync!$P834/10000),""),IFERROR(VALUE(TRIM(LEFT(Sync!$P834,FIND("/",Sync!$P834)-1))),"")))</f>
        <v/>
      </c>
      <c r="AG834">
        <f>IF(OR($AE834="",$AF834=""),"",IF(ISNUMBER(Sync!$P834),INT(MOD(Sync!$P834,10000)/100),IFERROR(VALUE(TRIM(LEFT(MID(Sync!$P834,FIND("/",Sync!$P834)+1,20),FIND("/",MID(Sync!$P834,FIND("/",Sync!$P834)+1,20))-1))),"")))</f>
        <v/>
      </c>
      <c r="AH834">
        <f>IF(OR($AE834="",$AF834=""),"",IF(ISNUMBER(Sync!$P834),MOD(Sync!$P834,100),IFERROR(VALUE(TRIM(MID(MID(Sync!$P834,FIND("/",Sync!$P834)+1,20),FIND("/",MID(Sync!$P834,FIND("/",Sync!$P834)+1,20))+1,20))),"")))</f>
        <v/>
      </c>
      <c r="AI834">
        <f>IF($AE834="","",IF(OR($AF834="",$AG834="",$AH834="",$AF834&lt;1300,$AF834&gt;1500,$AG834&lt;1,$AG834&gt;12,$AH834&lt;1,$AH834&gt;31),"نامعتبر",RIGHT("0000"&amp;$AF834,4)&amp;"/"&amp;RIGHT("00"&amp;$AG834,2)&amp;"/"&amp;RIGHT("00"&amp;$AH834,2)))</f>
        <v/>
      </c>
      <c r="AJ834">
        <f>IF($AE834="","",IF(Sync!$Q834="","0000",IF(AND(ISNUMBER(Sync!$Q834),Sync!$Q834&gt;=0,Sync!$Q834&lt;1),RIGHT("00"&amp;HOUR(Sync!$Q834),2)&amp;RIGHT("00"&amp;MINUTE(Sync!$Q834),2),IFERROR(RIGHT("00"&amp;VALUE(LEFT(Sync!$Q834,FIND(":",Sync!$Q834)-1)),2)&amp;RIGHT("00"&amp;VALUE(MID(Sync!$Q834,FIND(":",Sync!$Q834)+1,2)),2),"0000"))))</f>
        <v/>
      </c>
      <c r="AK834">
        <f>IF(OR($AE834="",$AI834="",$AI834="نامعتبر"),"",LEFT($AI834,4)&amp;MID($AI834,6,2)&amp;RIGHT($AI834,2)&amp;$AJ834&amp;"|"&amp;"3"&amp;RIGHT("00000"&amp;829,5))</f>
        <v/>
      </c>
      <c r="AL834">
        <f>IF($AK834="","",COUNTIFS(LdAParty,$AE834,LdAType,1,LdAKey,"&lt;"&amp;$AK834)+COUNTIFS(LdBMember,$AE834,LdBKey,"&lt;"&amp;$AK834)+COUNTIFS(LdCParty,$AE834,LdCKey,"&lt;"&amp;$AK834)+1)</f>
        <v/>
      </c>
      <c r="AM834">
        <f>IF($AL834="","",$AE834&amp;"|"&amp;RIGHT("000000"&amp;$AL834,6))</f>
        <v/>
      </c>
      <c r="AN834">
        <f>IF($AE834="","",IF(Sync!$W834="",0,Sync!$W834))</f>
        <v/>
      </c>
      <c r="AO834">
        <f>IF($AE834="","",IF(Sync!$X834="",0,Sync!$X834))</f>
        <v/>
      </c>
      <c r="AP834">
        <f>IF($AE834="","",Sync!$R834)</f>
        <v/>
      </c>
      <c r="AQ834">
        <f>IF($AE834="","",Sync!$Y834)</f>
        <v/>
      </c>
    </row>
    <row r="835">
      <c r="A835">
        <f>IF(OR(Wages!$B838="",Wages!$E838=""),"",Wages!$E838)</f>
        <v/>
      </c>
      <c r="B835">
        <f>IF($A835="","",IF(Wages!$C838="دستمزد گروهی",2,1))</f>
        <v/>
      </c>
      <c r="C835">
        <f>IF($A835="","",IF(ISNUMBER(Wages!$B838),IF(AND(Wages!$B838&gt;=10000101,Wages!$B838&lt;=99991231),INT(Wages!$B838/10000),""),IFERROR(VALUE(TRIM(LEFT(Wages!$B838,FIND("/",Wages!$B838)-1))),"")))</f>
        <v/>
      </c>
      <c r="D835">
        <f>IF(OR($A835="",$C835=""),"",IF(ISNUMBER(Wages!$B838),INT(MOD(Wages!$B838,10000)/100),IFERROR(VALUE(TRIM(LEFT(MID(Wages!$B838,FIND("/",Wages!$B838)+1,20),FIND("/",MID(Wages!$B838,FIND("/",Wages!$B838)+1,20))-1))),"")))</f>
        <v/>
      </c>
      <c r="E835">
        <f>IF(OR($A835="",$C835=""),"",IF(ISNUMBER(Wages!$B838),MOD(Wages!$B838,100),IFERROR(VALUE(TRIM(MID(MID(Wages!$B838,FIND("/",Wages!$B838)+1,20),FIND("/",MID(Wages!$B838,FIND("/",Wages!$B838)+1,20))+1,20))),"")))</f>
        <v/>
      </c>
      <c r="F835">
        <f>IF($A835="","",IF(OR($C835="",$D835="",$E835="",$C835&lt;1300,$C835&gt;1500,$D835&lt;1,$D835&gt;12,$E835&lt;1,$E835&gt;31),"نامعتبر",RIGHT("0000"&amp;$C835,4)&amp;"/"&amp;RIGHT("00"&amp;$D835,2)&amp;"/"&amp;RIGHT("00"&amp;$E835,2)))</f>
        <v/>
      </c>
      <c r="G835">
        <f>IF(OR($A835="",$F835="",$F835="نامعتبر"),"",LEFT($F835,4)&amp;MID($F835,6,2)&amp;RIGHT($F835,2)&amp;"0000"&amp;"|"&amp;"1"&amp;RIGHT("00000"&amp;830,5))</f>
        <v/>
      </c>
      <c r="H835">
        <f>IF(OR($B835&lt;&gt;1,$G835=""),"",COUNTIFS(LdAParty,$A835,LdAType,1,LdAKey,"&lt;"&amp;$G835)+COUNTIFS(LdBMember,$A835,LdBKey,"&lt;"&amp;$G835)+COUNTIFS(LdCParty,$A835,LdCKey,"&lt;"&amp;$G835)+1)</f>
        <v/>
      </c>
      <c r="I835">
        <f>IF($H835="","",$A835&amp;"|"&amp;RIGHT("000000"&amp;$H835,6))</f>
        <v/>
      </c>
      <c r="J835">
        <f>IF(OR($B835&lt;&gt;2,$G835=""),"",COUNTIFS(LdAParty,$A835,LdAType,2,LdAKey,"&lt;"&amp;$G835)+1)</f>
        <v/>
      </c>
      <c r="K835">
        <f>IF($J835="","",$A835&amp;"|"&amp;RIGHT("000000"&amp;$J835,6))</f>
        <v/>
      </c>
      <c r="L835">
        <f>IF($A835="","",IF(Wages!$G838="",0,Wages!$G838))</f>
        <v/>
      </c>
      <c r="M835">
        <f>IF($A835="","",Wages!$J838)</f>
        <v/>
      </c>
      <c r="N835">
        <f>IF($A835="","",Wages!$D838)</f>
        <v/>
      </c>
      <c r="P835">
        <f>IF(OR(Shares!$B838="",Shares!$C838=""),"",Shares!$C838)</f>
        <v/>
      </c>
      <c r="Q835">
        <f>IF($P835="","",Shares!$B838)</f>
        <v/>
      </c>
      <c r="R835">
        <f>IF($P835="","",IFERROR(INDEX(WageParty,MATCH($Q835,WageIds,0)),""))</f>
        <v/>
      </c>
      <c r="S835">
        <f>IF($P835="","",IFERROR(INDEX($F$6:$F$2005,MATCH($Q835,WageIds,0)),""))</f>
        <v/>
      </c>
      <c r="T835">
        <f>IF(OR($P835="",$S835="",$S835="نامعتبر"),"",LEFT($S835,4)&amp;MID($S835,6,2)&amp;RIGHT($S835,2)&amp;"0000"&amp;"|"&amp;"2"&amp;RIGHT("00000"&amp;830,5))</f>
        <v/>
      </c>
      <c r="U835">
        <f>IF($T835="","",COUNTIFS(LdAParty,$P835,LdAType,1,LdAKey,"&lt;"&amp;$T835)+COUNTIFS(LdBMember,$P835,LdBKey,"&lt;"&amp;$T835)+COUNTIFS(LdCParty,$P835,LdCKey,"&lt;"&amp;$T835)+1)</f>
        <v/>
      </c>
      <c r="V835">
        <f>IF($U835="","",$P835&amp;"|"&amp;RIGHT("000000"&amp;$U835,6))</f>
        <v/>
      </c>
      <c r="W835">
        <f>IF($T835="","",COUNTIFS(LdBGroup,$R835,LdBKey,"&lt;"&amp;$T835)+1)</f>
        <v/>
      </c>
      <c r="X835">
        <f>IF($W835="","",$R835&amp;"|"&amp;RIGHT("000000"&amp;$W835,6))</f>
        <v/>
      </c>
      <c r="Y835">
        <f>IF($P835="","",IF(Shares!$E838="",0,Shares!$E838))</f>
        <v/>
      </c>
      <c r="Z835">
        <f>IF($P835="","",Shares!$H838)</f>
        <v/>
      </c>
      <c r="AE835">
        <f>IF(OR(Sync!$S835="",Sync!$P835=""),"",Sync!$S835)</f>
        <v/>
      </c>
      <c r="AF835">
        <f>IF($AE835="","",IF(ISNUMBER(Sync!$P835),IF(AND(Sync!$P835&gt;=10000101,Sync!$P835&lt;=99991231),INT(Sync!$P835/10000),""),IFERROR(VALUE(TRIM(LEFT(Sync!$P835,FIND("/",Sync!$P835)-1))),"")))</f>
        <v/>
      </c>
      <c r="AG835">
        <f>IF(OR($AE835="",$AF835=""),"",IF(ISNUMBER(Sync!$P835),INT(MOD(Sync!$P835,10000)/100),IFERROR(VALUE(TRIM(LEFT(MID(Sync!$P835,FIND("/",Sync!$P835)+1,20),FIND("/",MID(Sync!$P835,FIND("/",Sync!$P835)+1,20))-1))),"")))</f>
        <v/>
      </c>
      <c r="AH835">
        <f>IF(OR($AE835="",$AF835=""),"",IF(ISNUMBER(Sync!$P835),MOD(Sync!$P835,100),IFERROR(VALUE(TRIM(MID(MID(Sync!$P835,FIND("/",Sync!$P835)+1,20),FIND("/",MID(Sync!$P835,FIND("/",Sync!$P835)+1,20))+1,20))),"")))</f>
        <v/>
      </c>
      <c r="AI835">
        <f>IF($AE835="","",IF(OR($AF835="",$AG835="",$AH835="",$AF835&lt;1300,$AF835&gt;1500,$AG835&lt;1,$AG835&gt;12,$AH835&lt;1,$AH835&gt;31),"نامعتبر",RIGHT("0000"&amp;$AF835,4)&amp;"/"&amp;RIGHT("00"&amp;$AG835,2)&amp;"/"&amp;RIGHT("00"&amp;$AH835,2)))</f>
        <v/>
      </c>
      <c r="AJ835">
        <f>IF($AE835="","",IF(Sync!$Q835="","0000",IF(AND(ISNUMBER(Sync!$Q835),Sync!$Q835&gt;=0,Sync!$Q835&lt;1),RIGHT("00"&amp;HOUR(Sync!$Q835),2)&amp;RIGHT("00"&amp;MINUTE(Sync!$Q835),2),IFERROR(RIGHT("00"&amp;VALUE(LEFT(Sync!$Q835,FIND(":",Sync!$Q835)-1)),2)&amp;RIGHT("00"&amp;VALUE(MID(Sync!$Q835,FIND(":",Sync!$Q835)+1,2)),2),"0000"))))</f>
        <v/>
      </c>
      <c r="AK835">
        <f>IF(OR($AE835="",$AI835="",$AI835="نامعتبر"),"",LEFT($AI835,4)&amp;MID($AI835,6,2)&amp;RIGHT($AI835,2)&amp;$AJ835&amp;"|"&amp;"3"&amp;RIGHT("00000"&amp;830,5))</f>
        <v/>
      </c>
      <c r="AL835">
        <f>IF($AK835="","",COUNTIFS(LdAParty,$AE835,LdAType,1,LdAKey,"&lt;"&amp;$AK835)+COUNTIFS(LdBMember,$AE835,LdBKey,"&lt;"&amp;$AK835)+COUNTIFS(LdCParty,$AE835,LdCKey,"&lt;"&amp;$AK835)+1)</f>
        <v/>
      </c>
      <c r="AM835">
        <f>IF($AL835="","",$AE835&amp;"|"&amp;RIGHT("000000"&amp;$AL835,6))</f>
        <v/>
      </c>
      <c r="AN835">
        <f>IF($AE835="","",IF(Sync!$W835="",0,Sync!$W835))</f>
        <v/>
      </c>
      <c r="AO835">
        <f>IF($AE835="","",IF(Sync!$X835="",0,Sync!$X835))</f>
        <v/>
      </c>
      <c r="AP835">
        <f>IF($AE835="","",Sync!$R835)</f>
        <v/>
      </c>
      <c r="AQ835">
        <f>IF($AE835="","",Sync!$Y835)</f>
        <v/>
      </c>
    </row>
    <row r="836">
      <c r="A836">
        <f>IF(OR(Wages!$B839="",Wages!$E839=""),"",Wages!$E839)</f>
        <v/>
      </c>
      <c r="B836">
        <f>IF($A836="","",IF(Wages!$C839="دستمزد گروهی",2,1))</f>
        <v/>
      </c>
      <c r="C836">
        <f>IF($A836="","",IF(ISNUMBER(Wages!$B839),IF(AND(Wages!$B839&gt;=10000101,Wages!$B839&lt;=99991231),INT(Wages!$B839/10000),""),IFERROR(VALUE(TRIM(LEFT(Wages!$B839,FIND("/",Wages!$B839)-1))),"")))</f>
        <v/>
      </c>
      <c r="D836">
        <f>IF(OR($A836="",$C836=""),"",IF(ISNUMBER(Wages!$B839),INT(MOD(Wages!$B839,10000)/100),IFERROR(VALUE(TRIM(LEFT(MID(Wages!$B839,FIND("/",Wages!$B839)+1,20),FIND("/",MID(Wages!$B839,FIND("/",Wages!$B839)+1,20))-1))),"")))</f>
        <v/>
      </c>
      <c r="E836">
        <f>IF(OR($A836="",$C836=""),"",IF(ISNUMBER(Wages!$B839),MOD(Wages!$B839,100),IFERROR(VALUE(TRIM(MID(MID(Wages!$B839,FIND("/",Wages!$B839)+1,20),FIND("/",MID(Wages!$B839,FIND("/",Wages!$B839)+1,20))+1,20))),"")))</f>
        <v/>
      </c>
      <c r="F836">
        <f>IF($A836="","",IF(OR($C836="",$D836="",$E836="",$C836&lt;1300,$C836&gt;1500,$D836&lt;1,$D836&gt;12,$E836&lt;1,$E836&gt;31),"نامعتبر",RIGHT("0000"&amp;$C836,4)&amp;"/"&amp;RIGHT("00"&amp;$D836,2)&amp;"/"&amp;RIGHT("00"&amp;$E836,2)))</f>
        <v/>
      </c>
      <c r="G836">
        <f>IF(OR($A836="",$F836="",$F836="نامعتبر"),"",LEFT($F836,4)&amp;MID($F836,6,2)&amp;RIGHT($F836,2)&amp;"0000"&amp;"|"&amp;"1"&amp;RIGHT("00000"&amp;831,5))</f>
        <v/>
      </c>
      <c r="H836">
        <f>IF(OR($B836&lt;&gt;1,$G836=""),"",COUNTIFS(LdAParty,$A836,LdAType,1,LdAKey,"&lt;"&amp;$G836)+COUNTIFS(LdBMember,$A836,LdBKey,"&lt;"&amp;$G836)+COUNTIFS(LdCParty,$A836,LdCKey,"&lt;"&amp;$G836)+1)</f>
        <v/>
      </c>
      <c r="I836">
        <f>IF($H836="","",$A836&amp;"|"&amp;RIGHT("000000"&amp;$H836,6))</f>
        <v/>
      </c>
      <c r="J836">
        <f>IF(OR($B836&lt;&gt;2,$G836=""),"",COUNTIFS(LdAParty,$A836,LdAType,2,LdAKey,"&lt;"&amp;$G836)+1)</f>
        <v/>
      </c>
      <c r="K836">
        <f>IF($J836="","",$A836&amp;"|"&amp;RIGHT("000000"&amp;$J836,6))</f>
        <v/>
      </c>
      <c r="L836">
        <f>IF($A836="","",IF(Wages!$G839="",0,Wages!$G839))</f>
        <v/>
      </c>
      <c r="M836">
        <f>IF($A836="","",Wages!$J839)</f>
        <v/>
      </c>
      <c r="N836">
        <f>IF($A836="","",Wages!$D839)</f>
        <v/>
      </c>
      <c r="P836">
        <f>IF(OR(Shares!$B839="",Shares!$C839=""),"",Shares!$C839)</f>
        <v/>
      </c>
      <c r="Q836">
        <f>IF($P836="","",Shares!$B839)</f>
        <v/>
      </c>
      <c r="R836">
        <f>IF($P836="","",IFERROR(INDEX(WageParty,MATCH($Q836,WageIds,0)),""))</f>
        <v/>
      </c>
      <c r="S836">
        <f>IF($P836="","",IFERROR(INDEX($F$6:$F$2005,MATCH($Q836,WageIds,0)),""))</f>
        <v/>
      </c>
      <c r="T836">
        <f>IF(OR($P836="",$S836="",$S836="نامعتبر"),"",LEFT($S836,4)&amp;MID($S836,6,2)&amp;RIGHT($S836,2)&amp;"0000"&amp;"|"&amp;"2"&amp;RIGHT("00000"&amp;831,5))</f>
        <v/>
      </c>
      <c r="U836">
        <f>IF($T836="","",COUNTIFS(LdAParty,$P836,LdAType,1,LdAKey,"&lt;"&amp;$T836)+COUNTIFS(LdBMember,$P836,LdBKey,"&lt;"&amp;$T836)+COUNTIFS(LdCParty,$P836,LdCKey,"&lt;"&amp;$T836)+1)</f>
        <v/>
      </c>
      <c r="V836">
        <f>IF($U836="","",$P836&amp;"|"&amp;RIGHT("000000"&amp;$U836,6))</f>
        <v/>
      </c>
      <c r="W836">
        <f>IF($T836="","",COUNTIFS(LdBGroup,$R836,LdBKey,"&lt;"&amp;$T836)+1)</f>
        <v/>
      </c>
      <c r="X836">
        <f>IF($W836="","",$R836&amp;"|"&amp;RIGHT("000000"&amp;$W836,6))</f>
        <v/>
      </c>
      <c r="Y836">
        <f>IF($P836="","",IF(Shares!$E839="",0,Shares!$E839))</f>
        <v/>
      </c>
      <c r="Z836">
        <f>IF($P836="","",Shares!$H839)</f>
        <v/>
      </c>
      <c r="AE836">
        <f>IF(OR(Sync!$S836="",Sync!$P836=""),"",Sync!$S836)</f>
        <v/>
      </c>
      <c r="AF836">
        <f>IF($AE836="","",IF(ISNUMBER(Sync!$P836),IF(AND(Sync!$P836&gt;=10000101,Sync!$P836&lt;=99991231),INT(Sync!$P836/10000),""),IFERROR(VALUE(TRIM(LEFT(Sync!$P836,FIND("/",Sync!$P836)-1))),"")))</f>
        <v/>
      </c>
      <c r="AG836">
        <f>IF(OR($AE836="",$AF836=""),"",IF(ISNUMBER(Sync!$P836),INT(MOD(Sync!$P836,10000)/100),IFERROR(VALUE(TRIM(LEFT(MID(Sync!$P836,FIND("/",Sync!$P836)+1,20),FIND("/",MID(Sync!$P836,FIND("/",Sync!$P836)+1,20))-1))),"")))</f>
        <v/>
      </c>
      <c r="AH836">
        <f>IF(OR($AE836="",$AF836=""),"",IF(ISNUMBER(Sync!$P836),MOD(Sync!$P836,100),IFERROR(VALUE(TRIM(MID(MID(Sync!$P836,FIND("/",Sync!$P836)+1,20),FIND("/",MID(Sync!$P836,FIND("/",Sync!$P836)+1,20))+1,20))),"")))</f>
        <v/>
      </c>
      <c r="AI836">
        <f>IF($AE836="","",IF(OR($AF836="",$AG836="",$AH836="",$AF836&lt;1300,$AF836&gt;1500,$AG836&lt;1,$AG836&gt;12,$AH836&lt;1,$AH836&gt;31),"نامعتبر",RIGHT("0000"&amp;$AF836,4)&amp;"/"&amp;RIGHT("00"&amp;$AG836,2)&amp;"/"&amp;RIGHT("00"&amp;$AH836,2)))</f>
        <v/>
      </c>
      <c r="AJ836">
        <f>IF($AE836="","",IF(Sync!$Q836="","0000",IF(AND(ISNUMBER(Sync!$Q836),Sync!$Q836&gt;=0,Sync!$Q836&lt;1),RIGHT("00"&amp;HOUR(Sync!$Q836),2)&amp;RIGHT("00"&amp;MINUTE(Sync!$Q836),2),IFERROR(RIGHT("00"&amp;VALUE(LEFT(Sync!$Q836,FIND(":",Sync!$Q836)-1)),2)&amp;RIGHT("00"&amp;VALUE(MID(Sync!$Q836,FIND(":",Sync!$Q836)+1,2)),2),"0000"))))</f>
        <v/>
      </c>
      <c r="AK836">
        <f>IF(OR($AE836="",$AI836="",$AI836="نامعتبر"),"",LEFT($AI836,4)&amp;MID($AI836,6,2)&amp;RIGHT($AI836,2)&amp;$AJ836&amp;"|"&amp;"3"&amp;RIGHT("00000"&amp;831,5))</f>
        <v/>
      </c>
      <c r="AL836">
        <f>IF($AK836="","",COUNTIFS(LdAParty,$AE836,LdAType,1,LdAKey,"&lt;"&amp;$AK836)+COUNTIFS(LdBMember,$AE836,LdBKey,"&lt;"&amp;$AK836)+COUNTIFS(LdCParty,$AE836,LdCKey,"&lt;"&amp;$AK836)+1)</f>
        <v/>
      </c>
      <c r="AM836">
        <f>IF($AL836="","",$AE836&amp;"|"&amp;RIGHT("000000"&amp;$AL836,6))</f>
        <v/>
      </c>
      <c r="AN836">
        <f>IF($AE836="","",IF(Sync!$W836="",0,Sync!$W836))</f>
        <v/>
      </c>
      <c r="AO836">
        <f>IF($AE836="","",IF(Sync!$X836="",0,Sync!$X836))</f>
        <v/>
      </c>
      <c r="AP836">
        <f>IF($AE836="","",Sync!$R836)</f>
        <v/>
      </c>
      <c r="AQ836">
        <f>IF($AE836="","",Sync!$Y836)</f>
        <v/>
      </c>
    </row>
    <row r="837">
      <c r="A837">
        <f>IF(OR(Wages!$B840="",Wages!$E840=""),"",Wages!$E840)</f>
        <v/>
      </c>
      <c r="B837">
        <f>IF($A837="","",IF(Wages!$C840="دستمزد گروهی",2,1))</f>
        <v/>
      </c>
      <c r="C837">
        <f>IF($A837="","",IF(ISNUMBER(Wages!$B840),IF(AND(Wages!$B840&gt;=10000101,Wages!$B840&lt;=99991231),INT(Wages!$B840/10000),""),IFERROR(VALUE(TRIM(LEFT(Wages!$B840,FIND("/",Wages!$B840)-1))),"")))</f>
        <v/>
      </c>
      <c r="D837">
        <f>IF(OR($A837="",$C837=""),"",IF(ISNUMBER(Wages!$B840),INT(MOD(Wages!$B840,10000)/100),IFERROR(VALUE(TRIM(LEFT(MID(Wages!$B840,FIND("/",Wages!$B840)+1,20),FIND("/",MID(Wages!$B840,FIND("/",Wages!$B840)+1,20))-1))),"")))</f>
        <v/>
      </c>
      <c r="E837">
        <f>IF(OR($A837="",$C837=""),"",IF(ISNUMBER(Wages!$B840),MOD(Wages!$B840,100),IFERROR(VALUE(TRIM(MID(MID(Wages!$B840,FIND("/",Wages!$B840)+1,20),FIND("/",MID(Wages!$B840,FIND("/",Wages!$B840)+1,20))+1,20))),"")))</f>
        <v/>
      </c>
      <c r="F837">
        <f>IF($A837="","",IF(OR($C837="",$D837="",$E837="",$C837&lt;1300,$C837&gt;1500,$D837&lt;1,$D837&gt;12,$E837&lt;1,$E837&gt;31),"نامعتبر",RIGHT("0000"&amp;$C837,4)&amp;"/"&amp;RIGHT("00"&amp;$D837,2)&amp;"/"&amp;RIGHT("00"&amp;$E837,2)))</f>
        <v/>
      </c>
      <c r="G837">
        <f>IF(OR($A837="",$F837="",$F837="نامعتبر"),"",LEFT($F837,4)&amp;MID($F837,6,2)&amp;RIGHT($F837,2)&amp;"0000"&amp;"|"&amp;"1"&amp;RIGHT("00000"&amp;832,5))</f>
        <v/>
      </c>
      <c r="H837">
        <f>IF(OR($B837&lt;&gt;1,$G837=""),"",COUNTIFS(LdAParty,$A837,LdAType,1,LdAKey,"&lt;"&amp;$G837)+COUNTIFS(LdBMember,$A837,LdBKey,"&lt;"&amp;$G837)+COUNTIFS(LdCParty,$A837,LdCKey,"&lt;"&amp;$G837)+1)</f>
        <v/>
      </c>
      <c r="I837">
        <f>IF($H837="","",$A837&amp;"|"&amp;RIGHT("000000"&amp;$H837,6))</f>
        <v/>
      </c>
      <c r="J837">
        <f>IF(OR($B837&lt;&gt;2,$G837=""),"",COUNTIFS(LdAParty,$A837,LdAType,2,LdAKey,"&lt;"&amp;$G837)+1)</f>
        <v/>
      </c>
      <c r="K837">
        <f>IF($J837="","",$A837&amp;"|"&amp;RIGHT("000000"&amp;$J837,6))</f>
        <v/>
      </c>
      <c r="L837">
        <f>IF($A837="","",IF(Wages!$G840="",0,Wages!$G840))</f>
        <v/>
      </c>
      <c r="M837">
        <f>IF($A837="","",Wages!$J840)</f>
        <v/>
      </c>
      <c r="N837">
        <f>IF($A837="","",Wages!$D840)</f>
        <v/>
      </c>
      <c r="P837">
        <f>IF(OR(Shares!$B840="",Shares!$C840=""),"",Shares!$C840)</f>
        <v/>
      </c>
      <c r="Q837">
        <f>IF($P837="","",Shares!$B840)</f>
        <v/>
      </c>
      <c r="R837">
        <f>IF($P837="","",IFERROR(INDEX(WageParty,MATCH($Q837,WageIds,0)),""))</f>
        <v/>
      </c>
      <c r="S837">
        <f>IF($P837="","",IFERROR(INDEX($F$6:$F$2005,MATCH($Q837,WageIds,0)),""))</f>
        <v/>
      </c>
      <c r="T837">
        <f>IF(OR($P837="",$S837="",$S837="نامعتبر"),"",LEFT($S837,4)&amp;MID($S837,6,2)&amp;RIGHT($S837,2)&amp;"0000"&amp;"|"&amp;"2"&amp;RIGHT("00000"&amp;832,5))</f>
        <v/>
      </c>
      <c r="U837">
        <f>IF($T837="","",COUNTIFS(LdAParty,$P837,LdAType,1,LdAKey,"&lt;"&amp;$T837)+COUNTIFS(LdBMember,$P837,LdBKey,"&lt;"&amp;$T837)+COUNTIFS(LdCParty,$P837,LdCKey,"&lt;"&amp;$T837)+1)</f>
        <v/>
      </c>
      <c r="V837">
        <f>IF($U837="","",$P837&amp;"|"&amp;RIGHT("000000"&amp;$U837,6))</f>
        <v/>
      </c>
      <c r="W837">
        <f>IF($T837="","",COUNTIFS(LdBGroup,$R837,LdBKey,"&lt;"&amp;$T837)+1)</f>
        <v/>
      </c>
      <c r="X837">
        <f>IF($W837="","",$R837&amp;"|"&amp;RIGHT("000000"&amp;$W837,6))</f>
        <v/>
      </c>
      <c r="Y837">
        <f>IF($P837="","",IF(Shares!$E840="",0,Shares!$E840))</f>
        <v/>
      </c>
      <c r="Z837">
        <f>IF($P837="","",Shares!$H840)</f>
        <v/>
      </c>
      <c r="AE837">
        <f>IF(OR(Sync!$S837="",Sync!$P837=""),"",Sync!$S837)</f>
        <v/>
      </c>
      <c r="AF837">
        <f>IF($AE837="","",IF(ISNUMBER(Sync!$P837),IF(AND(Sync!$P837&gt;=10000101,Sync!$P837&lt;=99991231),INT(Sync!$P837/10000),""),IFERROR(VALUE(TRIM(LEFT(Sync!$P837,FIND("/",Sync!$P837)-1))),"")))</f>
        <v/>
      </c>
      <c r="AG837">
        <f>IF(OR($AE837="",$AF837=""),"",IF(ISNUMBER(Sync!$P837),INT(MOD(Sync!$P837,10000)/100),IFERROR(VALUE(TRIM(LEFT(MID(Sync!$P837,FIND("/",Sync!$P837)+1,20),FIND("/",MID(Sync!$P837,FIND("/",Sync!$P837)+1,20))-1))),"")))</f>
        <v/>
      </c>
      <c r="AH837">
        <f>IF(OR($AE837="",$AF837=""),"",IF(ISNUMBER(Sync!$P837),MOD(Sync!$P837,100),IFERROR(VALUE(TRIM(MID(MID(Sync!$P837,FIND("/",Sync!$P837)+1,20),FIND("/",MID(Sync!$P837,FIND("/",Sync!$P837)+1,20))+1,20))),"")))</f>
        <v/>
      </c>
      <c r="AI837">
        <f>IF($AE837="","",IF(OR($AF837="",$AG837="",$AH837="",$AF837&lt;1300,$AF837&gt;1500,$AG837&lt;1,$AG837&gt;12,$AH837&lt;1,$AH837&gt;31),"نامعتبر",RIGHT("0000"&amp;$AF837,4)&amp;"/"&amp;RIGHT("00"&amp;$AG837,2)&amp;"/"&amp;RIGHT("00"&amp;$AH837,2)))</f>
        <v/>
      </c>
      <c r="AJ837">
        <f>IF($AE837="","",IF(Sync!$Q837="","0000",IF(AND(ISNUMBER(Sync!$Q837),Sync!$Q837&gt;=0,Sync!$Q837&lt;1),RIGHT("00"&amp;HOUR(Sync!$Q837),2)&amp;RIGHT("00"&amp;MINUTE(Sync!$Q837),2),IFERROR(RIGHT("00"&amp;VALUE(LEFT(Sync!$Q837,FIND(":",Sync!$Q837)-1)),2)&amp;RIGHT("00"&amp;VALUE(MID(Sync!$Q837,FIND(":",Sync!$Q837)+1,2)),2),"0000"))))</f>
        <v/>
      </c>
      <c r="AK837">
        <f>IF(OR($AE837="",$AI837="",$AI837="نامعتبر"),"",LEFT($AI837,4)&amp;MID($AI837,6,2)&amp;RIGHT($AI837,2)&amp;$AJ837&amp;"|"&amp;"3"&amp;RIGHT("00000"&amp;832,5))</f>
        <v/>
      </c>
      <c r="AL837">
        <f>IF($AK837="","",COUNTIFS(LdAParty,$AE837,LdAType,1,LdAKey,"&lt;"&amp;$AK837)+COUNTIFS(LdBMember,$AE837,LdBKey,"&lt;"&amp;$AK837)+COUNTIFS(LdCParty,$AE837,LdCKey,"&lt;"&amp;$AK837)+1)</f>
        <v/>
      </c>
      <c r="AM837">
        <f>IF($AL837="","",$AE837&amp;"|"&amp;RIGHT("000000"&amp;$AL837,6))</f>
        <v/>
      </c>
      <c r="AN837">
        <f>IF($AE837="","",IF(Sync!$W837="",0,Sync!$W837))</f>
        <v/>
      </c>
      <c r="AO837">
        <f>IF($AE837="","",IF(Sync!$X837="",0,Sync!$X837))</f>
        <v/>
      </c>
      <c r="AP837">
        <f>IF($AE837="","",Sync!$R837)</f>
        <v/>
      </c>
      <c r="AQ837">
        <f>IF($AE837="","",Sync!$Y837)</f>
        <v/>
      </c>
    </row>
    <row r="838">
      <c r="A838">
        <f>IF(OR(Wages!$B841="",Wages!$E841=""),"",Wages!$E841)</f>
        <v/>
      </c>
      <c r="B838">
        <f>IF($A838="","",IF(Wages!$C841="دستمزد گروهی",2,1))</f>
        <v/>
      </c>
      <c r="C838">
        <f>IF($A838="","",IF(ISNUMBER(Wages!$B841),IF(AND(Wages!$B841&gt;=10000101,Wages!$B841&lt;=99991231),INT(Wages!$B841/10000),""),IFERROR(VALUE(TRIM(LEFT(Wages!$B841,FIND("/",Wages!$B841)-1))),"")))</f>
        <v/>
      </c>
      <c r="D838">
        <f>IF(OR($A838="",$C838=""),"",IF(ISNUMBER(Wages!$B841),INT(MOD(Wages!$B841,10000)/100),IFERROR(VALUE(TRIM(LEFT(MID(Wages!$B841,FIND("/",Wages!$B841)+1,20),FIND("/",MID(Wages!$B841,FIND("/",Wages!$B841)+1,20))-1))),"")))</f>
        <v/>
      </c>
      <c r="E838">
        <f>IF(OR($A838="",$C838=""),"",IF(ISNUMBER(Wages!$B841),MOD(Wages!$B841,100),IFERROR(VALUE(TRIM(MID(MID(Wages!$B841,FIND("/",Wages!$B841)+1,20),FIND("/",MID(Wages!$B841,FIND("/",Wages!$B841)+1,20))+1,20))),"")))</f>
        <v/>
      </c>
      <c r="F838">
        <f>IF($A838="","",IF(OR($C838="",$D838="",$E838="",$C838&lt;1300,$C838&gt;1500,$D838&lt;1,$D838&gt;12,$E838&lt;1,$E838&gt;31),"نامعتبر",RIGHT("0000"&amp;$C838,4)&amp;"/"&amp;RIGHT("00"&amp;$D838,2)&amp;"/"&amp;RIGHT("00"&amp;$E838,2)))</f>
        <v/>
      </c>
      <c r="G838">
        <f>IF(OR($A838="",$F838="",$F838="نامعتبر"),"",LEFT($F838,4)&amp;MID($F838,6,2)&amp;RIGHT($F838,2)&amp;"0000"&amp;"|"&amp;"1"&amp;RIGHT("00000"&amp;833,5))</f>
        <v/>
      </c>
      <c r="H838">
        <f>IF(OR($B838&lt;&gt;1,$G838=""),"",COUNTIFS(LdAParty,$A838,LdAType,1,LdAKey,"&lt;"&amp;$G838)+COUNTIFS(LdBMember,$A838,LdBKey,"&lt;"&amp;$G838)+COUNTIFS(LdCParty,$A838,LdCKey,"&lt;"&amp;$G838)+1)</f>
        <v/>
      </c>
      <c r="I838">
        <f>IF($H838="","",$A838&amp;"|"&amp;RIGHT("000000"&amp;$H838,6))</f>
        <v/>
      </c>
      <c r="J838">
        <f>IF(OR($B838&lt;&gt;2,$G838=""),"",COUNTIFS(LdAParty,$A838,LdAType,2,LdAKey,"&lt;"&amp;$G838)+1)</f>
        <v/>
      </c>
      <c r="K838">
        <f>IF($J838="","",$A838&amp;"|"&amp;RIGHT("000000"&amp;$J838,6))</f>
        <v/>
      </c>
      <c r="L838">
        <f>IF($A838="","",IF(Wages!$G841="",0,Wages!$G841))</f>
        <v/>
      </c>
      <c r="M838">
        <f>IF($A838="","",Wages!$J841)</f>
        <v/>
      </c>
      <c r="N838">
        <f>IF($A838="","",Wages!$D841)</f>
        <v/>
      </c>
      <c r="P838">
        <f>IF(OR(Shares!$B841="",Shares!$C841=""),"",Shares!$C841)</f>
        <v/>
      </c>
      <c r="Q838">
        <f>IF($P838="","",Shares!$B841)</f>
        <v/>
      </c>
      <c r="R838">
        <f>IF($P838="","",IFERROR(INDEX(WageParty,MATCH($Q838,WageIds,0)),""))</f>
        <v/>
      </c>
      <c r="S838">
        <f>IF($P838="","",IFERROR(INDEX($F$6:$F$2005,MATCH($Q838,WageIds,0)),""))</f>
        <v/>
      </c>
      <c r="T838">
        <f>IF(OR($P838="",$S838="",$S838="نامعتبر"),"",LEFT($S838,4)&amp;MID($S838,6,2)&amp;RIGHT($S838,2)&amp;"0000"&amp;"|"&amp;"2"&amp;RIGHT("00000"&amp;833,5))</f>
        <v/>
      </c>
      <c r="U838">
        <f>IF($T838="","",COUNTIFS(LdAParty,$P838,LdAType,1,LdAKey,"&lt;"&amp;$T838)+COUNTIFS(LdBMember,$P838,LdBKey,"&lt;"&amp;$T838)+COUNTIFS(LdCParty,$P838,LdCKey,"&lt;"&amp;$T838)+1)</f>
        <v/>
      </c>
      <c r="V838">
        <f>IF($U838="","",$P838&amp;"|"&amp;RIGHT("000000"&amp;$U838,6))</f>
        <v/>
      </c>
      <c r="W838">
        <f>IF($T838="","",COUNTIFS(LdBGroup,$R838,LdBKey,"&lt;"&amp;$T838)+1)</f>
        <v/>
      </c>
      <c r="X838">
        <f>IF($W838="","",$R838&amp;"|"&amp;RIGHT("000000"&amp;$W838,6))</f>
        <v/>
      </c>
      <c r="Y838">
        <f>IF($P838="","",IF(Shares!$E841="",0,Shares!$E841))</f>
        <v/>
      </c>
      <c r="Z838">
        <f>IF($P838="","",Shares!$H841)</f>
        <v/>
      </c>
      <c r="AE838">
        <f>IF(OR(Sync!$S838="",Sync!$P838=""),"",Sync!$S838)</f>
        <v/>
      </c>
      <c r="AF838">
        <f>IF($AE838="","",IF(ISNUMBER(Sync!$P838),IF(AND(Sync!$P838&gt;=10000101,Sync!$P838&lt;=99991231),INT(Sync!$P838/10000),""),IFERROR(VALUE(TRIM(LEFT(Sync!$P838,FIND("/",Sync!$P838)-1))),"")))</f>
        <v/>
      </c>
      <c r="AG838">
        <f>IF(OR($AE838="",$AF838=""),"",IF(ISNUMBER(Sync!$P838),INT(MOD(Sync!$P838,10000)/100),IFERROR(VALUE(TRIM(LEFT(MID(Sync!$P838,FIND("/",Sync!$P838)+1,20),FIND("/",MID(Sync!$P838,FIND("/",Sync!$P838)+1,20))-1))),"")))</f>
        <v/>
      </c>
      <c r="AH838">
        <f>IF(OR($AE838="",$AF838=""),"",IF(ISNUMBER(Sync!$P838),MOD(Sync!$P838,100),IFERROR(VALUE(TRIM(MID(MID(Sync!$P838,FIND("/",Sync!$P838)+1,20),FIND("/",MID(Sync!$P838,FIND("/",Sync!$P838)+1,20))+1,20))),"")))</f>
        <v/>
      </c>
      <c r="AI838">
        <f>IF($AE838="","",IF(OR($AF838="",$AG838="",$AH838="",$AF838&lt;1300,$AF838&gt;1500,$AG838&lt;1,$AG838&gt;12,$AH838&lt;1,$AH838&gt;31),"نامعتبر",RIGHT("0000"&amp;$AF838,4)&amp;"/"&amp;RIGHT("00"&amp;$AG838,2)&amp;"/"&amp;RIGHT("00"&amp;$AH838,2)))</f>
        <v/>
      </c>
      <c r="AJ838">
        <f>IF($AE838="","",IF(Sync!$Q838="","0000",IF(AND(ISNUMBER(Sync!$Q838),Sync!$Q838&gt;=0,Sync!$Q838&lt;1),RIGHT("00"&amp;HOUR(Sync!$Q838),2)&amp;RIGHT("00"&amp;MINUTE(Sync!$Q838),2),IFERROR(RIGHT("00"&amp;VALUE(LEFT(Sync!$Q838,FIND(":",Sync!$Q838)-1)),2)&amp;RIGHT("00"&amp;VALUE(MID(Sync!$Q838,FIND(":",Sync!$Q838)+1,2)),2),"0000"))))</f>
        <v/>
      </c>
      <c r="AK838">
        <f>IF(OR($AE838="",$AI838="",$AI838="نامعتبر"),"",LEFT($AI838,4)&amp;MID($AI838,6,2)&amp;RIGHT($AI838,2)&amp;$AJ838&amp;"|"&amp;"3"&amp;RIGHT("00000"&amp;833,5))</f>
        <v/>
      </c>
      <c r="AL838">
        <f>IF($AK838="","",COUNTIFS(LdAParty,$AE838,LdAType,1,LdAKey,"&lt;"&amp;$AK838)+COUNTIFS(LdBMember,$AE838,LdBKey,"&lt;"&amp;$AK838)+COUNTIFS(LdCParty,$AE838,LdCKey,"&lt;"&amp;$AK838)+1)</f>
        <v/>
      </c>
      <c r="AM838">
        <f>IF($AL838="","",$AE838&amp;"|"&amp;RIGHT("000000"&amp;$AL838,6))</f>
        <v/>
      </c>
      <c r="AN838">
        <f>IF($AE838="","",IF(Sync!$W838="",0,Sync!$W838))</f>
        <v/>
      </c>
      <c r="AO838">
        <f>IF($AE838="","",IF(Sync!$X838="",0,Sync!$X838))</f>
        <v/>
      </c>
      <c r="AP838">
        <f>IF($AE838="","",Sync!$R838)</f>
        <v/>
      </c>
      <c r="AQ838">
        <f>IF($AE838="","",Sync!$Y838)</f>
        <v/>
      </c>
    </row>
    <row r="839">
      <c r="A839">
        <f>IF(OR(Wages!$B842="",Wages!$E842=""),"",Wages!$E842)</f>
        <v/>
      </c>
      <c r="B839">
        <f>IF($A839="","",IF(Wages!$C842="دستمزد گروهی",2,1))</f>
        <v/>
      </c>
      <c r="C839">
        <f>IF($A839="","",IF(ISNUMBER(Wages!$B842),IF(AND(Wages!$B842&gt;=10000101,Wages!$B842&lt;=99991231),INT(Wages!$B842/10000),""),IFERROR(VALUE(TRIM(LEFT(Wages!$B842,FIND("/",Wages!$B842)-1))),"")))</f>
        <v/>
      </c>
      <c r="D839">
        <f>IF(OR($A839="",$C839=""),"",IF(ISNUMBER(Wages!$B842),INT(MOD(Wages!$B842,10000)/100),IFERROR(VALUE(TRIM(LEFT(MID(Wages!$B842,FIND("/",Wages!$B842)+1,20),FIND("/",MID(Wages!$B842,FIND("/",Wages!$B842)+1,20))-1))),"")))</f>
        <v/>
      </c>
      <c r="E839">
        <f>IF(OR($A839="",$C839=""),"",IF(ISNUMBER(Wages!$B842),MOD(Wages!$B842,100),IFERROR(VALUE(TRIM(MID(MID(Wages!$B842,FIND("/",Wages!$B842)+1,20),FIND("/",MID(Wages!$B842,FIND("/",Wages!$B842)+1,20))+1,20))),"")))</f>
        <v/>
      </c>
      <c r="F839">
        <f>IF($A839="","",IF(OR($C839="",$D839="",$E839="",$C839&lt;1300,$C839&gt;1500,$D839&lt;1,$D839&gt;12,$E839&lt;1,$E839&gt;31),"نامعتبر",RIGHT("0000"&amp;$C839,4)&amp;"/"&amp;RIGHT("00"&amp;$D839,2)&amp;"/"&amp;RIGHT("00"&amp;$E839,2)))</f>
        <v/>
      </c>
      <c r="G839">
        <f>IF(OR($A839="",$F839="",$F839="نامعتبر"),"",LEFT($F839,4)&amp;MID($F839,6,2)&amp;RIGHT($F839,2)&amp;"0000"&amp;"|"&amp;"1"&amp;RIGHT("00000"&amp;834,5))</f>
        <v/>
      </c>
      <c r="H839">
        <f>IF(OR($B839&lt;&gt;1,$G839=""),"",COUNTIFS(LdAParty,$A839,LdAType,1,LdAKey,"&lt;"&amp;$G839)+COUNTIFS(LdBMember,$A839,LdBKey,"&lt;"&amp;$G839)+COUNTIFS(LdCParty,$A839,LdCKey,"&lt;"&amp;$G839)+1)</f>
        <v/>
      </c>
      <c r="I839">
        <f>IF($H839="","",$A839&amp;"|"&amp;RIGHT("000000"&amp;$H839,6))</f>
        <v/>
      </c>
      <c r="J839">
        <f>IF(OR($B839&lt;&gt;2,$G839=""),"",COUNTIFS(LdAParty,$A839,LdAType,2,LdAKey,"&lt;"&amp;$G839)+1)</f>
        <v/>
      </c>
      <c r="K839">
        <f>IF($J839="","",$A839&amp;"|"&amp;RIGHT("000000"&amp;$J839,6))</f>
        <v/>
      </c>
      <c r="L839">
        <f>IF($A839="","",IF(Wages!$G842="",0,Wages!$G842))</f>
        <v/>
      </c>
      <c r="M839">
        <f>IF($A839="","",Wages!$J842)</f>
        <v/>
      </c>
      <c r="N839">
        <f>IF($A839="","",Wages!$D842)</f>
        <v/>
      </c>
      <c r="P839">
        <f>IF(OR(Shares!$B842="",Shares!$C842=""),"",Shares!$C842)</f>
        <v/>
      </c>
      <c r="Q839">
        <f>IF($P839="","",Shares!$B842)</f>
        <v/>
      </c>
      <c r="R839">
        <f>IF($P839="","",IFERROR(INDEX(WageParty,MATCH($Q839,WageIds,0)),""))</f>
        <v/>
      </c>
      <c r="S839">
        <f>IF($P839="","",IFERROR(INDEX($F$6:$F$2005,MATCH($Q839,WageIds,0)),""))</f>
        <v/>
      </c>
      <c r="T839">
        <f>IF(OR($P839="",$S839="",$S839="نامعتبر"),"",LEFT($S839,4)&amp;MID($S839,6,2)&amp;RIGHT($S839,2)&amp;"0000"&amp;"|"&amp;"2"&amp;RIGHT("00000"&amp;834,5))</f>
        <v/>
      </c>
      <c r="U839">
        <f>IF($T839="","",COUNTIFS(LdAParty,$P839,LdAType,1,LdAKey,"&lt;"&amp;$T839)+COUNTIFS(LdBMember,$P839,LdBKey,"&lt;"&amp;$T839)+COUNTIFS(LdCParty,$P839,LdCKey,"&lt;"&amp;$T839)+1)</f>
        <v/>
      </c>
      <c r="V839">
        <f>IF($U839="","",$P839&amp;"|"&amp;RIGHT("000000"&amp;$U839,6))</f>
        <v/>
      </c>
      <c r="W839">
        <f>IF($T839="","",COUNTIFS(LdBGroup,$R839,LdBKey,"&lt;"&amp;$T839)+1)</f>
        <v/>
      </c>
      <c r="X839">
        <f>IF($W839="","",$R839&amp;"|"&amp;RIGHT("000000"&amp;$W839,6))</f>
        <v/>
      </c>
      <c r="Y839">
        <f>IF($P839="","",IF(Shares!$E842="",0,Shares!$E842))</f>
        <v/>
      </c>
      <c r="Z839">
        <f>IF($P839="","",Shares!$H842)</f>
        <v/>
      </c>
      <c r="AE839">
        <f>IF(OR(Sync!$S839="",Sync!$P839=""),"",Sync!$S839)</f>
        <v/>
      </c>
      <c r="AF839">
        <f>IF($AE839="","",IF(ISNUMBER(Sync!$P839),IF(AND(Sync!$P839&gt;=10000101,Sync!$P839&lt;=99991231),INT(Sync!$P839/10000),""),IFERROR(VALUE(TRIM(LEFT(Sync!$P839,FIND("/",Sync!$P839)-1))),"")))</f>
        <v/>
      </c>
      <c r="AG839">
        <f>IF(OR($AE839="",$AF839=""),"",IF(ISNUMBER(Sync!$P839),INT(MOD(Sync!$P839,10000)/100),IFERROR(VALUE(TRIM(LEFT(MID(Sync!$P839,FIND("/",Sync!$P839)+1,20),FIND("/",MID(Sync!$P839,FIND("/",Sync!$P839)+1,20))-1))),"")))</f>
        <v/>
      </c>
      <c r="AH839">
        <f>IF(OR($AE839="",$AF839=""),"",IF(ISNUMBER(Sync!$P839),MOD(Sync!$P839,100),IFERROR(VALUE(TRIM(MID(MID(Sync!$P839,FIND("/",Sync!$P839)+1,20),FIND("/",MID(Sync!$P839,FIND("/",Sync!$P839)+1,20))+1,20))),"")))</f>
        <v/>
      </c>
      <c r="AI839">
        <f>IF($AE839="","",IF(OR($AF839="",$AG839="",$AH839="",$AF839&lt;1300,$AF839&gt;1500,$AG839&lt;1,$AG839&gt;12,$AH839&lt;1,$AH839&gt;31),"نامعتبر",RIGHT("0000"&amp;$AF839,4)&amp;"/"&amp;RIGHT("00"&amp;$AG839,2)&amp;"/"&amp;RIGHT("00"&amp;$AH839,2)))</f>
        <v/>
      </c>
      <c r="AJ839">
        <f>IF($AE839="","",IF(Sync!$Q839="","0000",IF(AND(ISNUMBER(Sync!$Q839),Sync!$Q839&gt;=0,Sync!$Q839&lt;1),RIGHT("00"&amp;HOUR(Sync!$Q839),2)&amp;RIGHT("00"&amp;MINUTE(Sync!$Q839),2),IFERROR(RIGHT("00"&amp;VALUE(LEFT(Sync!$Q839,FIND(":",Sync!$Q839)-1)),2)&amp;RIGHT("00"&amp;VALUE(MID(Sync!$Q839,FIND(":",Sync!$Q839)+1,2)),2),"0000"))))</f>
        <v/>
      </c>
      <c r="AK839">
        <f>IF(OR($AE839="",$AI839="",$AI839="نامعتبر"),"",LEFT($AI839,4)&amp;MID($AI839,6,2)&amp;RIGHT($AI839,2)&amp;$AJ839&amp;"|"&amp;"3"&amp;RIGHT("00000"&amp;834,5))</f>
        <v/>
      </c>
      <c r="AL839">
        <f>IF($AK839="","",COUNTIFS(LdAParty,$AE839,LdAType,1,LdAKey,"&lt;"&amp;$AK839)+COUNTIFS(LdBMember,$AE839,LdBKey,"&lt;"&amp;$AK839)+COUNTIFS(LdCParty,$AE839,LdCKey,"&lt;"&amp;$AK839)+1)</f>
        <v/>
      </c>
      <c r="AM839">
        <f>IF($AL839="","",$AE839&amp;"|"&amp;RIGHT("000000"&amp;$AL839,6))</f>
        <v/>
      </c>
      <c r="AN839">
        <f>IF($AE839="","",IF(Sync!$W839="",0,Sync!$W839))</f>
        <v/>
      </c>
      <c r="AO839">
        <f>IF($AE839="","",IF(Sync!$X839="",0,Sync!$X839))</f>
        <v/>
      </c>
      <c r="AP839">
        <f>IF($AE839="","",Sync!$R839)</f>
        <v/>
      </c>
      <c r="AQ839">
        <f>IF($AE839="","",Sync!$Y839)</f>
        <v/>
      </c>
    </row>
    <row r="840">
      <c r="A840">
        <f>IF(OR(Wages!$B843="",Wages!$E843=""),"",Wages!$E843)</f>
        <v/>
      </c>
      <c r="B840">
        <f>IF($A840="","",IF(Wages!$C843="دستمزد گروهی",2,1))</f>
        <v/>
      </c>
      <c r="C840">
        <f>IF($A840="","",IF(ISNUMBER(Wages!$B843),IF(AND(Wages!$B843&gt;=10000101,Wages!$B843&lt;=99991231),INT(Wages!$B843/10000),""),IFERROR(VALUE(TRIM(LEFT(Wages!$B843,FIND("/",Wages!$B843)-1))),"")))</f>
        <v/>
      </c>
      <c r="D840">
        <f>IF(OR($A840="",$C840=""),"",IF(ISNUMBER(Wages!$B843),INT(MOD(Wages!$B843,10000)/100),IFERROR(VALUE(TRIM(LEFT(MID(Wages!$B843,FIND("/",Wages!$B843)+1,20),FIND("/",MID(Wages!$B843,FIND("/",Wages!$B843)+1,20))-1))),"")))</f>
        <v/>
      </c>
      <c r="E840">
        <f>IF(OR($A840="",$C840=""),"",IF(ISNUMBER(Wages!$B843),MOD(Wages!$B843,100),IFERROR(VALUE(TRIM(MID(MID(Wages!$B843,FIND("/",Wages!$B843)+1,20),FIND("/",MID(Wages!$B843,FIND("/",Wages!$B843)+1,20))+1,20))),"")))</f>
        <v/>
      </c>
      <c r="F840">
        <f>IF($A840="","",IF(OR($C840="",$D840="",$E840="",$C840&lt;1300,$C840&gt;1500,$D840&lt;1,$D840&gt;12,$E840&lt;1,$E840&gt;31),"نامعتبر",RIGHT("0000"&amp;$C840,4)&amp;"/"&amp;RIGHT("00"&amp;$D840,2)&amp;"/"&amp;RIGHT("00"&amp;$E840,2)))</f>
        <v/>
      </c>
      <c r="G840">
        <f>IF(OR($A840="",$F840="",$F840="نامعتبر"),"",LEFT($F840,4)&amp;MID($F840,6,2)&amp;RIGHT($F840,2)&amp;"0000"&amp;"|"&amp;"1"&amp;RIGHT("00000"&amp;835,5))</f>
        <v/>
      </c>
      <c r="H840">
        <f>IF(OR($B840&lt;&gt;1,$G840=""),"",COUNTIFS(LdAParty,$A840,LdAType,1,LdAKey,"&lt;"&amp;$G840)+COUNTIFS(LdBMember,$A840,LdBKey,"&lt;"&amp;$G840)+COUNTIFS(LdCParty,$A840,LdCKey,"&lt;"&amp;$G840)+1)</f>
        <v/>
      </c>
      <c r="I840">
        <f>IF($H840="","",$A840&amp;"|"&amp;RIGHT("000000"&amp;$H840,6))</f>
        <v/>
      </c>
      <c r="J840">
        <f>IF(OR($B840&lt;&gt;2,$G840=""),"",COUNTIFS(LdAParty,$A840,LdAType,2,LdAKey,"&lt;"&amp;$G840)+1)</f>
        <v/>
      </c>
      <c r="K840">
        <f>IF($J840="","",$A840&amp;"|"&amp;RIGHT("000000"&amp;$J840,6))</f>
        <v/>
      </c>
      <c r="L840">
        <f>IF($A840="","",IF(Wages!$G843="",0,Wages!$G843))</f>
        <v/>
      </c>
      <c r="M840">
        <f>IF($A840="","",Wages!$J843)</f>
        <v/>
      </c>
      <c r="N840">
        <f>IF($A840="","",Wages!$D843)</f>
        <v/>
      </c>
      <c r="P840">
        <f>IF(OR(Shares!$B843="",Shares!$C843=""),"",Shares!$C843)</f>
        <v/>
      </c>
      <c r="Q840">
        <f>IF($P840="","",Shares!$B843)</f>
        <v/>
      </c>
      <c r="R840">
        <f>IF($P840="","",IFERROR(INDEX(WageParty,MATCH($Q840,WageIds,0)),""))</f>
        <v/>
      </c>
      <c r="S840">
        <f>IF($P840="","",IFERROR(INDEX($F$6:$F$2005,MATCH($Q840,WageIds,0)),""))</f>
        <v/>
      </c>
      <c r="T840">
        <f>IF(OR($P840="",$S840="",$S840="نامعتبر"),"",LEFT($S840,4)&amp;MID($S840,6,2)&amp;RIGHT($S840,2)&amp;"0000"&amp;"|"&amp;"2"&amp;RIGHT("00000"&amp;835,5))</f>
        <v/>
      </c>
      <c r="U840">
        <f>IF($T840="","",COUNTIFS(LdAParty,$P840,LdAType,1,LdAKey,"&lt;"&amp;$T840)+COUNTIFS(LdBMember,$P840,LdBKey,"&lt;"&amp;$T840)+COUNTIFS(LdCParty,$P840,LdCKey,"&lt;"&amp;$T840)+1)</f>
        <v/>
      </c>
      <c r="V840">
        <f>IF($U840="","",$P840&amp;"|"&amp;RIGHT("000000"&amp;$U840,6))</f>
        <v/>
      </c>
      <c r="W840">
        <f>IF($T840="","",COUNTIFS(LdBGroup,$R840,LdBKey,"&lt;"&amp;$T840)+1)</f>
        <v/>
      </c>
      <c r="X840">
        <f>IF($W840="","",$R840&amp;"|"&amp;RIGHT("000000"&amp;$W840,6))</f>
        <v/>
      </c>
      <c r="Y840">
        <f>IF($P840="","",IF(Shares!$E843="",0,Shares!$E843))</f>
        <v/>
      </c>
      <c r="Z840">
        <f>IF($P840="","",Shares!$H843)</f>
        <v/>
      </c>
      <c r="AE840">
        <f>IF(OR(Sync!$S840="",Sync!$P840=""),"",Sync!$S840)</f>
        <v/>
      </c>
      <c r="AF840">
        <f>IF($AE840="","",IF(ISNUMBER(Sync!$P840),IF(AND(Sync!$P840&gt;=10000101,Sync!$P840&lt;=99991231),INT(Sync!$P840/10000),""),IFERROR(VALUE(TRIM(LEFT(Sync!$P840,FIND("/",Sync!$P840)-1))),"")))</f>
        <v/>
      </c>
      <c r="AG840">
        <f>IF(OR($AE840="",$AF840=""),"",IF(ISNUMBER(Sync!$P840),INT(MOD(Sync!$P840,10000)/100),IFERROR(VALUE(TRIM(LEFT(MID(Sync!$P840,FIND("/",Sync!$P840)+1,20),FIND("/",MID(Sync!$P840,FIND("/",Sync!$P840)+1,20))-1))),"")))</f>
        <v/>
      </c>
      <c r="AH840">
        <f>IF(OR($AE840="",$AF840=""),"",IF(ISNUMBER(Sync!$P840),MOD(Sync!$P840,100),IFERROR(VALUE(TRIM(MID(MID(Sync!$P840,FIND("/",Sync!$P840)+1,20),FIND("/",MID(Sync!$P840,FIND("/",Sync!$P840)+1,20))+1,20))),"")))</f>
        <v/>
      </c>
      <c r="AI840">
        <f>IF($AE840="","",IF(OR($AF840="",$AG840="",$AH840="",$AF840&lt;1300,$AF840&gt;1500,$AG840&lt;1,$AG840&gt;12,$AH840&lt;1,$AH840&gt;31),"نامعتبر",RIGHT("0000"&amp;$AF840,4)&amp;"/"&amp;RIGHT("00"&amp;$AG840,2)&amp;"/"&amp;RIGHT("00"&amp;$AH840,2)))</f>
        <v/>
      </c>
      <c r="AJ840">
        <f>IF($AE840="","",IF(Sync!$Q840="","0000",IF(AND(ISNUMBER(Sync!$Q840),Sync!$Q840&gt;=0,Sync!$Q840&lt;1),RIGHT("00"&amp;HOUR(Sync!$Q840),2)&amp;RIGHT("00"&amp;MINUTE(Sync!$Q840),2),IFERROR(RIGHT("00"&amp;VALUE(LEFT(Sync!$Q840,FIND(":",Sync!$Q840)-1)),2)&amp;RIGHT("00"&amp;VALUE(MID(Sync!$Q840,FIND(":",Sync!$Q840)+1,2)),2),"0000"))))</f>
        <v/>
      </c>
      <c r="AK840">
        <f>IF(OR($AE840="",$AI840="",$AI840="نامعتبر"),"",LEFT($AI840,4)&amp;MID($AI840,6,2)&amp;RIGHT($AI840,2)&amp;$AJ840&amp;"|"&amp;"3"&amp;RIGHT("00000"&amp;835,5))</f>
        <v/>
      </c>
      <c r="AL840">
        <f>IF($AK840="","",COUNTIFS(LdAParty,$AE840,LdAType,1,LdAKey,"&lt;"&amp;$AK840)+COUNTIFS(LdBMember,$AE840,LdBKey,"&lt;"&amp;$AK840)+COUNTIFS(LdCParty,$AE840,LdCKey,"&lt;"&amp;$AK840)+1)</f>
        <v/>
      </c>
      <c r="AM840">
        <f>IF($AL840="","",$AE840&amp;"|"&amp;RIGHT("000000"&amp;$AL840,6))</f>
        <v/>
      </c>
      <c r="AN840">
        <f>IF($AE840="","",IF(Sync!$W840="",0,Sync!$W840))</f>
        <v/>
      </c>
      <c r="AO840">
        <f>IF($AE840="","",IF(Sync!$X840="",0,Sync!$X840))</f>
        <v/>
      </c>
      <c r="AP840">
        <f>IF($AE840="","",Sync!$R840)</f>
        <v/>
      </c>
      <c r="AQ840">
        <f>IF($AE840="","",Sync!$Y840)</f>
        <v/>
      </c>
    </row>
    <row r="841">
      <c r="A841">
        <f>IF(OR(Wages!$B844="",Wages!$E844=""),"",Wages!$E844)</f>
        <v/>
      </c>
      <c r="B841">
        <f>IF($A841="","",IF(Wages!$C844="دستمزد گروهی",2,1))</f>
        <v/>
      </c>
      <c r="C841">
        <f>IF($A841="","",IF(ISNUMBER(Wages!$B844),IF(AND(Wages!$B844&gt;=10000101,Wages!$B844&lt;=99991231),INT(Wages!$B844/10000),""),IFERROR(VALUE(TRIM(LEFT(Wages!$B844,FIND("/",Wages!$B844)-1))),"")))</f>
        <v/>
      </c>
      <c r="D841">
        <f>IF(OR($A841="",$C841=""),"",IF(ISNUMBER(Wages!$B844),INT(MOD(Wages!$B844,10000)/100),IFERROR(VALUE(TRIM(LEFT(MID(Wages!$B844,FIND("/",Wages!$B844)+1,20),FIND("/",MID(Wages!$B844,FIND("/",Wages!$B844)+1,20))-1))),"")))</f>
        <v/>
      </c>
      <c r="E841">
        <f>IF(OR($A841="",$C841=""),"",IF(ISNUMBER(Wages!$B844),MOD(Wages!$B844,100),IFERROR(VALUE(TRIM(MID(MID(Wages!$B844,FIND("/",Wages!$B844)+1,20),FIND("/",MID(Wages!$B844,FIND("/",Wages!$B844)+1,20))+1,20))),"")))</f>
        <v/>
      </c>
      <c r="F841">
        <f>IF($A841="","",IF(OR($C841="",$D841="",$E841="",$C841&lt;1300,$C841&gt;1500,$D841&lt;1,$D841&gt;12,$E841&lt;1,$E841&gt;31),"نامعتبر",RIGHT("0000"&amp;$C841,4)&amp;"/"&amp;RIGHT("00"&amp;$D841,2)&amp;"/"&amp;RIGHT("00"&amp;$E841,2)))</f>
        <v/>
      </c>
      <c r="G841">
        <f>IF(OR($A841="",$F841="",$F841="نامعتبر"),"",LEFT($F841,4)&amp;MID($F841,6,2)&amp;RIGHT($F841,2)&amp;"0000"&amp;"|"&amp;"1"&amp;RIGHT("00000"&amp;836,5))</f>
        <v/>
      </c>
      <c r="H841">
        <f>IF(OR($B841&lt;&gt;1,$G841=""),"",COUNTIFS(LdAParty,$A841,LdAType,1,LdAKey,"&lt;"&amp;$G841)+COUNTIFS(LdBMember,$A841,LdBKey,"&lt;"&amp;$G841)+COUNTIFS(LdCParty,$A841,LdCKey,"&lt;"&amp;$G841)+1)</f>
        <v/>
      </c>
      <c r="I841">
        <f>IF($H841="","",$A841&amp;"|"&amp;RIGHT("000000"&amp;$H841,6))</f>
        <v/>
      </c>
      <c r="J841">
        <f>IF(OR($B841&lt;&gt;2,$G841=""),"",COUNTIFS(LdAParty,$A841,LdAType,2,LdAKey,"&lt;"&amp;$G841)+1)</f>
        <v/>
      </c>
      <c r="K841">
        <f>IF($J841="","",$A841&amp;"|"&amp;RIGHT("000000"&amp;$J841,6))</f>
        <v/>
      </c>
      <c r="L841">
        <f>IF($A841="","",IF(Wages!$G844="",0,Wages!$G844))</f>
        <v/>
      </c>
      <c r="M841">
        <f>IF($A841="","",Wages!$J844)</f>
        <v/>
      </c>
      <c r="N841">
        <f>IF($A841="","",Wages!$D844)</f>
        <v/>
      </c>
      <c r="P841">
        <f>IF(OR(Shares!$B844="",Shares!$C844=""),"",Shares!$C844)</f>
        <v/>
      </c>
      <c r="Q841">
        <f>IF($P841="","",Shares!$B844)</f>
        <v/>
      </c>
      <c r="R841">
        <f>IF($P841="","",IFERROR(INDEX(WageParty,MATCH($Q841,WageIds,0)),""))</f>
        <v/>
      </c>
      <c r="S841">
        <f>IF($P841="","",IFERROR(INDEX($F$6:$F$2005,MATCH($Q841,WageIds,0)),""))</f>
        <v/>
      </c>
      <c r="T841">
        <f>IF(OR($P841="",$S841="",$S841="نامعتبر"),"",LEFT($S841,4)&amp;MID($S841,6,2)&amp;RIGHT($S841,2)&amp;"0000"&amp;"|"&amp;"2"&amp;RIGHT("00000"&amp;836,5))</f>
        <v/>
      </c>
      <c r="U841">
        <f>IF($T841="","",COUNTIFS(LdAParty,$P841,LdAType,1,LdAKey,"&lt;"&amp;$T841)+COUNTIFS(LdBMember,$P841,LdBKey,"&lt;"&amp;$T841)+COUNTIFS(LdCParty,$P841,LdCKey,"&lt;"&amp;$T841)+1)</f>
        <v/>
      </c>
      <c r="V841">
        <f>IF($U841="","",$P841&amp;"|"&amp;RIGHT("000000"&amp;$U841,6))</f>
        <v/>
      </c>
      <c r="W841">
        <f>IF($T841="","",COUNTIFS(LdBGroup,$R841,LdBKey,"&lt;"&amp;$T841)+1)</f>
        <v/>
      </c>
      <c r="X841">
        <f>IF($W841="","",$R841&amp;"|"&amp;RIGHT("000000"&amp;$W841,6))</f>
        <v/>
      </c>
      <c r="Y841">
        <f>IF($P841="","",IF(Shares!$E844="",0,Shares!$E844))</f>
        <v/>
      </c>
      <c r="Z841">
        <f>IF($P841="","",Shares!$H844)</f>
        <v/>
      </c>
      <c r="AE841">
        <f>IF(OR(Sync!$S841="",Sync!$P841=""),"",Sync!$S841)</f>
        <v/>
      </c>
      <c r="AF841">
        <f>IF($AE841="","",IF(ISNUMBER(Sync!$P841),IF(AND(Sync!$P841&gt;=10000101,Sync!$P841&lt;=99991231),INT(Sync!$P841/10000),""),IFERROR(VALUE(TRIM(LEFT(Sync!$P841,FIND("/",Sync!$P841)-1))),"")))</f>
        <v/>
      </c>
      <c r="AG841">
        <f>IF(OR($AE841="",$AF841=""),"",IF(ISNUMBER(Sync!$P841),INT(MOD(Sync!$P841,10000)/100),IFERROR(VALUE(TRIM(LEFT(MID(Sync!$P841,FIND("/",Sync!$P841)+1,20),FIND("/",MID(Sync!$P841,FIND("/",Sync!$P841)+1,20))-1))),"")))</f>
        <v/>
      </c>
      <c r="AH841">
        <f>IF(OR($AE841="",$AF841=""),"",IF(ISNUMBER(Sync!$P841),MOD(Sync!$P841,100),IFERROR(VALUE(TRIM(MID(MID(Sync!$P841,FIND("/",Sync!$P841)+1,20),FIND("/",MID(Sync!$P841,FIND("/",Sync!$P841)+1,20))+1,20))),"")))</f>
        <v/>
      </c>
      <c r="AI841">
        <f>IF($AE841="","",IF(OR($AF841="",$AG841="",$AH841="",$AF841&lt;1300,$AF841&gt;1500,$AG841&lt;1,$AG841&gt;12,$AH841&lt;1,$AH841&gt;31),"نامعتبر",RIGHT("0000"&amp;$AF841,4)&amp;"/"&amp;RIGHT("00"&amp;$AG841,2)&amp;"/"&amp;RIGHT("00"&amp;$AH841,2)))</f>
        <v/>
      </c>
      <c r="AJ841">
        <f>IF($AE841="","",IF(Sync!$Q841="","0000",IF(AND(ISNUMBER(Sync!$Q841),Sync!$Q841&gt;=0,Sync!$Q841&lt;1),RIGHT("00"&amp;HOUR(Sync!$Q841),2)&amp;RIGHT("00"&amp;MINUTE(Sync!$Q841),2),IFERROR(RIGHT("00"&amp;VALUE(LEFT(Sync!$Q841,FIND(":",Sync!$Q841)-1)),2)&amp;RIGHT("00"&amp;VALUE(MID(Sync!$Q841,FIND(":",Sync!$Q841)+1,2)),2),"0000"))))</f>
        <v/>
      </c>
      <c r="AK841">
        <f>IF(OR($AE841="",$AI841="",$AI841="نامعتبر"),"",LEFT($AI841,4)&amp;MID($AI841,6,2)&amp;RIGHT($AI841,2)&amp;$AJ841&amp;"|"&amp;"3"&amp;RIGHT("00000"&amp;836,5))</f>
        <v/>
      </c>
      <c r="AL841">
        <f>IF($AK841="","",COUNTIFS(LdAParty,$AE841,LdAType,1,LdAKey,"&lt;"&amp;$AK841)+COUNTIFS(LdBMember,$AE841,LdBKey,"&lt;"&amp;$AK841)+COUNTIFS(LdCParty,$AE841,LdCKey,"&lt;"&amp;$AK841)+1)</f>
        <v/>
      </c>
      <c r="AM841">
        <f>IF($AL841="","",$AE841&amp;"|"&amp;RIGHT("000000"&amp;$AL841,6))</f>
        <v/>
      </c>
      <c r="AN841">
        <f>IF($AE841="","",IF(Sync!$W841="",0,Sync!$W841))</f>
        <v/>
      </c>
      <c r="AO841">
        <f>IF($AE841="","",IF(Sync!$X841="",0,Sync!$X841))</f>
        <v/>
      </c>
      <c r="AP841">
        <f>IF($AE841="","",Sync!$R841)</f>
        <v/>
      </c>
      <c r="AQ841">
        <f>IF($AE841="","",Sync!$Y841)</f>
        <v/>
      </c>
    </row>
    <row r="842">
      <c r="A842">
        <f>IF(OR(Wages!$B845="",Wages!$E845=""),"",Wages!$E845)</f>
        <v/>
      </c>
      <c r="B842">
        <f>IF($A842="","",IF(Wages!$C845="دستمزد گروهی",2,1))</f>
        <v/>
      </c>
      <c r="C842">
        <f>IF($A842="","",IF(ISNUMBER(Wages!$B845),IF(AND(Wages!$B845&gt;=10000101,Wages!$B845&lt;=99991231),INT(Wages!$B845/10000),""),IFERROR(VALUE(TRIM(LEFT(Wages!$B845,FIND("/",Wages!$B845)-1))),"")))</f>
        <v/>
      </c>
      <c r="D842">
        <f>IF(OR($A842="",$C842=""),"",IF(ISNUMBER(Wages!$B845),INT(MOD(Wages!$B845,10000)/100),IFERROR(VALUE(TRIM(LEFT(MID(Wages!$B845,FIND("/",Wages!$B845)+1,20),FIND("/",MID(Wages!$B845,FIND("/",Wages!$B845)+1,20))-1))),"")))</f>
        <v/>
      </c>
      <c r="E842">
        <f>IF(OR($A842="",$C842=""),"",IF(ISNUMBER(Wages!$B845),MOD(Wages!$B845,100),IFERROR(VALUE(TRIM(MID(MID(Wages!$B845,FIND("/",Wages!$B845)+1,20),FIND("/",MID(Wages!$B845,FIND("/",Wages!$B845)+1,20))+1,20))),"")))</f>
        <v/>
      </c>
      <c r="F842">
        <f>IF($A842="","",IF(OR($C842="",$D842="",$E842="",$C842&lt;1300,$C842&gt;1500,$D842&lt;1,$D842&gt;12,$E842&lt;1,$E842&gt;31),"نامعتبر",RIGHT("0000"&amp;$C842,4)&amp;"/"&amp;RIGHT("00"&amp;$D842,2)&amp;"/"&amp;RIGHT("00"&amp;$E842,2)))</f>
        <v/>
      </c>
      <c r="G842">
        <f>IF(OR($A842="",$F842="",$F842="نامعتبر"),"",LEFT($F842,4)&amp;MID($F842,6,2)&amp;RIGHT($F842,2)&amp;"0000"&amp;"|"&amp;"1"&amp;RIGHT("00000"&amp;837,5))</f>
        <v/>
      </c>
      <c r="H842">
        <f>IF(OR($B842&lt;&gt;1,$G842=""),"",COUNTIFS(LdAParty,$A842,LdAType,1,LdAKey,"&lt;"&amp;$G842)+COUNTIFS(LdBMember,$A842,LdBKey,"&lt;"&amp;$G842)+COUNTIFS(LdCParty,$A842,LdCKey,"&lt;"&amp;$G842)+1)</f>
        <v/>
      </c>
      <c r="I842">
        <f>IF($H842="","",$A842&amp;"|"&amp;RIGHT("000000"&amp;$H842,6))</f>
        <v/>
      </c>
      <c r="J842">
        <f>IF(OR($B842&lt;&gt;2,$G842=""),"",COUNTIFS(LdAParty,$A842,LdAType,2,LdAKey,"&lt;"&amp;$G842)+1)</f>
        <v/>
      </c>
      <c r="K842">
        <f>IF($J842="","",$A842&amp;"|"&amp;RIGHT("000000"&amp;$J842,6))</f>
        <v/>
      </c>
      <c r="L842">
        <f>IF($A842="","",IF(Wages!$G845="",0,Wages!$G845))</f>
        <v/>
      </c>
      <c r="M842">
        <f>IF($A842="","",Wages!$J845)</f>
        <v/>
      </c>
      <c r="N842">
        <f>IF($A842="","",Wages!$D845)</f>
        <v/>
      </c>
      <c r="P842">
        <f>IF(OR(Shares!$B845="",Shares!$C845=""),"",Shares!$C845)</f>
        <v/>
      </c>
      <c r="Q842">
        <f>IF($P842="","",Shares!$B845)</f>
        <v/>
      </c>
      <c r="R842">
        <f>IF($P842="","",IFERROR(INDEX(WageParty,MATCH($Q842,WageIds,0)),""))</f>
        <v/>
      </c>
      <c r="S842">
        <f>IF($P842="","",IFERROR(INDEX($F$6:$F$2005,MATCH($Q842,WageIds,0)),""))</f>
        <v/>
      </c>
      <c r="T842">
        <f>IF(OR($P842="",$S842="",$S842="نامعتبر"),"",LEFT($S842,4)&amp;MID($S842,6,2)&amp;RIGHT($S842,2)&amp;"0000"&amp;"|"&amp;"2"&amp;RIGHT("00000"&amp;837,5))</f>
        <v/>
      </c>
      <c r="U842">
        <f>IF($T842="","",COUNTIFS(LdAParty,$P842,LdAType,1,LdAKey,"&lt;"&amp;$T842)+COUNTIFS(LdBMember,$P842,LdBKey,"&lt;"&amp;$T842)+COUNTIFS(LdCParty,$P842,LdCKey,"&lt;"&amp;$T842)+1)</f>
        <v/>
      </c>
      <c r="V842">
        <f>IF($U842="","",$P842&amp;"|"&amp;RIGHT("000000"&amp;$U842,6))</f>
        <v/>
      </c>
      <c r="W842">
        <f>IF($T842="","",COUNTIFS(LdBGroup,$R842,LdBKey,"&lt;"&amp;$T842)+1)</f>
        <v/>
      </c>
      <c r="X842">
        <f>IF($W842="","",$R842&amp;"|"&amp;RIGHT("000000"&amp;$W842,6))</f>
        <v/>
      </c>
      <c r="Y842">
        <f>IF($P842="","",IF(Shares!$E845="",0,Shares!$E845))</f>
        <v/>
      </c>
      <c r="Z842">
        <f>IF($P842="","",Shares!$H845)</f>
        <v/>
      </c>
      <c r="AE842">
        <f>IF(OR(Sync!$S842="",Sync!$P842=""),"",Sync!$S842)</f>
        <v/>
      </c>
      <c r="AF842">
        <f>IF($AE842="","",IF(ISNUMBER(Sync!$P842),IF(AND(Sync!$P842&gt;=10000101,Sync!$P842&lt;=99991231),INT(Sync!$P842/10000),""),IFERROR(VALUE(TRIM(LEFT(Sync!$P842,FIND("/",Sync!$P842)-1))),"")))</f>
        <v/>
      </c>
      <c r="AG842">
        <f>IF(OR($AE842="",$AF842=""),"",IF(ISNUMBER(Sync!$P842),INT(MOD(Sync!$P842,10000)/100),IFERROR(VALUE(TRIM(LEFT(MID(Sync!$P842,FIND("/",Sync!$P842)+1,20),FIND("/",MID(Sync!$P842,FIND("/",Sync!$P842)+1,20))-1))),"")))</f>
        <v/>
      </c>
      <c r="AH842">
        <f>IF(OR($AE842="",$AF842=""),"",IF(ISNUMBER(Sync!$P842),MOD(Sync!$P842,100),IFERROR(VALUE(TRIM(MID(MID(Sync!$P842,FIND("/",Sync!$P842)+1,20),FIND("/",MID(Sync!$P842,FIND("/",Sync!$P842)+1,20))+1,20))),"")))</f>
        <v/>
      </c>
      <c r="AI842">
        <f>IF($AE842="","",IF(OR($AF842="",$AG842="",$AH842="",$AF842&lt;1300,$AF842&gt;1500,$AG842&lt;1,$AG842&gt;12,$AH842&lt;1,$AH842&gt;31),"نامعتبر",RIGHT("0000"&amp;$AF842,4)&amp;"/"&amp;RIGHT("00"&amp;$AG842,2)&amp;"/"&amp;RIGHT("00"&amp;$AH842,2)))</f>
        <v/>
      </c>
      <c r="AJ842">
        <f>IF($AE842="","",IF(Sync!$Q842="","0000",IF(AND(ISNUMBER(Sync!$Q842),Sync!$Q842&gt;=0,Sync!$Q842&lt;1),RIGHT("00"&amp;HOUR(Sync!$Q842),2)&amp;RIGHT("00"&amp;MINUTE(Sync!$Q842),2),IFERROR(RIGHT("00"&amp;VALUE(LEFT(Sync!$Q842,FIND(":",Sync!$Q842)-1)),2)&amp;RIGHT("00"&amp;VALUE(MID(Sync!$Q842,FIND(":",Sync!$Q842)+1,2)),2),"0000"))))</f>
        <v/>
      </c>
      <c r="AK842">
        <f>IF(OR($AE842="",$AI842="",$AI842="نامعتبر"),"",LEFT($AI842,4)&amp;MID($AI842,6,2)&amp;RIGHT($AI842,2)&amp;$AJ842&amp;"|"&amp;"3"&amp;RIGHT("00000"&amp;837,5))</f>
        <v/>
      </c>
      <c r="AL842">
        <f>IF($AK842="","",COUNTIFS(LdAParty,$AE842,LdAType,1,LdAKey,"&lt;"&amp;$AK842)+COUNTIFS(LdBMember,$AE842,LdBKey,"&lt;"&amp;$AK842)+COUNTIFS(LdCParty,$AE842,LdCKey,"&lt;"&amp;$AK842)+1)</f>
        <v/>
      </c>
      <c r="AM842">
        <f>IF($AL842="","",$AE842&amp;"|"&amp;RIGHT("000000"&amp;$AL842,6))</f>
        <v/>
      </c>
      <c r="AN842">
        <f>IF($AE842="","",IF(Sync!$W842="",0,Sync!$W842))</f>
        <v/>
      </c>
      <c r="AO842">
        <f>IF($AE842="","",IF(Sync!$X842="",0,Sync!$X842))</f>
        <v/>
      </c>
      <c r="AP842">
        <f>IF($AE842="","",Sync!$R842)</f>
        <v/>
      </c>
      <c r="AQ842">
        <f>IF($AE842="","",Sync!$Y842)</f>
        <v/>
      </c>
    </row>
    <row r="843">
      <c r="A843">
        <f>IF(OR(Wages!$B846="",Wages!$E846=""),"",Wages!$E846)</f>
        <v/>
      </c>
      <c r="B843">
        <f>IF($A843="","",IF(Wages!$C846="دستمزد گروهی",2,1))</f>
        <v/>
      </c>
      <c r="C843">
        <f>IF($A843="","",IF(ISNUMBER(Wages!$B846),IF(AND(Wages!$B846&gt;=10000101,Wages!$B846&lt;=99991231),INT(Wages!$B846/10000),""),IFERROR(VALUE(TRIM(LEFT(Wages!$B846,FIND("/",Wages!$B846)-1))),"")))</f>
        <v/>
      </c>
      <c r="D843">
        <f>IF(OR($A843="",$C843=""),"",IF(ISNUMBER(Wages!$B846),INT(MOD(Wages!$B846,10000)/100),IFERROR(VALUE(TRIM(LEFT(MID(Wages!$B846,FIND("/",Wages!$B846)+1,20),FIND("/",MID(Wages!$B846,FIND("/",Wages!$B846)+1,20))-1))),"")))</f>
        <v/>
      </c>
      <c r="E843">
        <f>IF(OR($A843="",$C843=""),"",IF(ISNUMBER(Wages!$B846),MOD(Wages!$B846,100),IFERROR(VALUE(TRIM(MID(MID(Wages!$B846,FIND("/",Wages!$B846)+1,20),FIND("/",MID(Wages!$B846,FIND("/",Wages!$B846)+1,20))+1,20))),"")))</f>
        <v/>
      </c>
      <c r="F843">
        <f>IF($A843="","",IF(OR($C843="",$D843="",$E843="",$C843&lt;1300,$C843&gt;1500,$D843&lt;1,$D843&gt;12,$E843&lt;1,$E843&gt;31),"نامعتبر",RIGHT("0000"&amp;$C843,4)&amp;"/"&amp;RIGHT("00"&amp;$D843,2)&amp;"/"&amp;RIGHT("00"&amp;$E843,2)))</f>
        <v/>
      </c>
      <c r="G843">
        <f>IF(OR($A843="",$F843="",$F843="نامعتبر"),"",LEFT($F843,4)&amp;MID($F843,6,2)&amp;RIGHT($F843,2)&amp;"0000"&amp;"|"&amp;"1"&amp;RIGHT("00000"&amp;838,5))</f>
        <v/>
      </c>
      <c r="H843">
        <f>IF(OR($B843&lt;&gt;1,$G843=""),"",COUNTIFS(LdAParty,$A843,LdAType,1,LdAKey,"&lt;"&amp;$G843)+COUNTIFS(LdBMember,$A843,LdBKey,"&lt;"&amp;$G843)+COUNTIFS(LdCParty,$A843,LdCKey,"&lt;"&amp;$G843)+1)</f>
        <v/>
      </c>
      <c r="I843">
        <f>IF($H843="","",$A843&amp;"|"&amp;RIGHT("000000"&amp;$H843,6))</f>
        <v/>
      </c>
      <c r="J843">
        <f>IF(OR($B843&lt;&gt;2,$G843=""),"",COUNTIFS(LdAParty,$A843,LdAType,2,LdAKey,"&lt;"&amp;$G843)+1)</f>
        <v/>
      </c>
      <c r="K843">
        <f>IF($J843="","",$A843&amp;"|"&amp;RIGHT("000000"&amp;$J843,6))</f>
        <v/>
      </c>
      <c r="L843">
        <f>IF($A843="","",IF(Wages!$G846="",0,Wages!$G846))</f>
        <v/>
      </c>
      <c r="M843">
        <f>IF($A843="","",Wages!$J846)</f>
        <v/>
      </c>
      <c r="N843">
        <f>IF($A843="","",Wages!$D846)</f>
        <v/>
      </c>
      <c r="P843">
        <f>IF(OR(Shares!$B846="",Shares!$C846=""),"",Shares!$C846)</f>
        <v/>
      </c>
      <c r="Q843">
        <f>IF($P843="","",Shares!$B846)</f>
        <v/>
      </c>
      <c r="R843">
        <f>IF($P843="","",IFERROR(INDEX(WageParty,MATCH($Q843,WageIds,0)),""))</f>
        <v/>
      </c>
      <c r="S843">
        <f>IF($P843="","",IFERROR(INDEX($F$6:$F$2005,MATCH($Q843,WageIds,0)),""))</f>
        <v/>
      </c>
      <c r="T843">
        <f>IF(OR($P843="",$S843="",$S843="نامعتبر"),"",LEFT($S843,4)&amp;MID($S843,6,2)&amp;RIGHT($S843,2)&amp;"0000"&amp;"|"&amp;"2"&amp;RIGHT("00000"&amp;838,5))</f>
        <v/>
      </c>
      <c r="U843">
        <f>IF($T843="","",COUNTIFS(LdAParty,$P843,LdAType,1,LdAKey,"&lt;"&amp;$T843)+COUNTIFS(LdBMember,$P843,LdBKey,"&lt;"&amp;$T843)+COUNTIFS(LdCParty,$P843,LdCKey,"&lt;"&amp;$T843)+1)</f>
        <v/>
      </c>
      <c r="V843">
        <f>IF($U843="","",$P843&amp;"|"&amp;RIGHT("000000"&amp;$U843,6))</f>
        <v/>
      </c>
      <c r="W843">
        <f>IF($T843="","",COUNTIFS(LdBGroup,$R843,LdBKey,"&lt;"&amp;$T843)+1)</f>
        <v/>
      </c>
      <c r="X843">
        <f>IF($W843="","",$R843&amp;"|"&amp;RIGHT("000000"&amp;$W843,6))</f>
        <v/>
      </c>
      <c r="Y843">
        <f>IF($P843="","",IF(Shares!$E846="",0,Shares!$E846))</f>
        <v/>
      </c>
      <c r="Z843">
        <f>IF($P843="","",Shares!$H846)</f>
        <v/>
      </c>
      <c r="AE843">
        <f>IF(OR(Sync!$S843="",Sync!$P843=""),"",Sync!$S843)</f>
        <v/>
      </c>
      <c r="AF843">
        <f>IF($AE843="","",IF(ISNUMBER(Sync!$P843),IF(AND(Sync!$P843&gt;=10000101,Sync!$P843&lt;=99991231),INT(Sync!$P843/10000),""),IFERROR(VALUE(TRIM(LEFT(Sync!$P843,FIND("/",Sync!$P843)-1))),"")))</f>
        <v/>
      </c>
      <c r="AG843">
        <f>IF(OR($AE843="",$AF843=""),"",IF(ISNUMBER(Sync!$P843),INT(MOD(Sync!$P843,10000)/100),IFERROR(VALUE(TRIM(LEFT(MID(Sync!$P843,FIND("/",Sync!$P843)+1,20),FIND("/",MID(Sync!$P843,FIND("/",Sync!$P843)+1,20))-1))),"")))</f>
        <v/>
      </c>
      <c r="AH843">
        <f>IF(OR($AE843="",$AF843=""),"",IF(ISNUMBER(Sync!$P843),MOD(Sync!$P843,100),IFERROR(VALUE(TRIM(MID(MID(Sync!$P843,FIND("/",Sync!$P843)+1,20),FIND("/",MID(Sync!$P843,FIND("/",Sync!$P843)+1,20))+1,20))),"")))</f>
        <v/>
      </c>
      <c r="AI843">
        <f>IF($AE843="","",IF(OR($AF843="",$AG843="",$AH843="",$AF843&lt;1300,$AF843&gt;1500,$AG843&lt;1,$AG843&gt;12,$AH843&lt;1,$AH843&gt;31),"نامعتبر",RIGHT("0000"&amp;$AF843,4)&amp;"/"&amp;RIGHT("00"&amp;$AG843,2)&amp;"/"&amp;RIGHT("00"&amp;$AH843,2)))</f>
        <v/>
      </c>
      <c r="AJ843">
        <f>IF($AE843="","",IF(Sync!$Q843="","0000",IF(AND(ISNUMBER(Sync!$Q843),Sync!$Q843&gt;=0,Sync!$Q843&lt;1),RIGHT("00"&amp;HOUR(Sync!$Q843),2)&amp;RIGHT("00"&amp;MINUTE(Sync!$Q843),2),IFERROR(RIGHT("00"&amp;VALUE(LEFT(Sync!$Q843,FIND(":",Sync!$Q843)-1)),2)&amp;RIGHT("00"&amp;VALUE(MID(Sync!$Q843,FIND(":",Sync!$Q843)+1,2)),2),"0000"))))</f>
        <v/>
      </c>
      <c r="AK843">
        <f>IF(OR($AE843="",$AI843="",$AI843="نامعتبر"),"",LEFT($AI843,4)&amp;MID($AI843,6,2)&amp;RIGHT($AI843,2)&amp;$AJ843&amp;"|"&amp;"3"&amp;RIGHT("00000"&amp;838,5))</f>
        <v/>
      </c>
      <c r="AL843">
        <f>IF($AK843="","",COUNTIFS(LdAParty,$AE843,LdAType,1,LdAKey,"&lt;"&amp;$AK843)+COUNTIFS(LdBMember,$AE843,LdBKey,"&lt;"&amp;$AK843)+COUNTIFS(LdCParty,$AE843,LdCKey,"&lt;"&amp;$AK843)+1)</f>
        <v/>
      </c>
      <c r="AM843">
        <f>IF($AL843="","",$AE843&amp;"|"&amp;RIGHT("000000"&amp;$AL843,6))</f>
        <v/>
      </c>
      <c r="AN843">
        <f>IF($AE843="","",IF(Sync!$W843="",0,Sync!$W843))</f>
        <v/>
      </c>
      <c r="AO843">
        <f>IF($AE843="","",IF(Sync!$X843="",0,Sync!$X843))</f>
        <v/>
      </c>
      <c r="AP843">
        <f>IF($AE843="","",Sync!$R843)</f>
        <v/>
      </c>
      <c r="AQ843">
        <f>IF($AE843="","",Sync!$Y843)</f>
        <v/>
      </c>
    </row>
    <row r="844">
      <c r="A844">
        <f>IF(OR(Wages!$B847="",Wages!$E847=""),"",Wages!$E847)</f>
        <v/>
      </c>
      <c r="B844">
        <f>IF($A844="","",IF(Wages!$C847="دستمزد گروهی",2,1))</f>
        <v/>
      </c>
      <c r="C844">
        <f>IF($A844="","",IF(ISNUMBER(Wages!$B847),IF(AND(Wages!$B847&gt;=10000101,Wages!$B847&lt;=99991231),INT(Wages!$B847/10000),""),IFERROR(VALUE(TRIM(LEFT(Wages!$B847,FIND("/",Wages!$B847)-1))),"")))</f>
        <v/>
      </c>
      <c r="D844">
        <f>IF(OR($A844="",$C844=""),"",IF(ISNUMBER(Wages!$B847),INT(MOD(Wages!$B847,10000)/100),IFERROR(VALUE(TRIM(LEFT(MID(Wages!$B847,FIND("/",Wages!$B847)+1,20),FIND("/",MID(Wages!$B847,FIND("/",Wages!$B847)+1,20))-1))),"")))</f>
        <v/>
      </c>
      <c r="E844">
        <f>IF(OR($A844="",$C844=""),"",IF(ISNUMBER(Wages!$B847),MOD(Wages!$B847,100),IFERROR(VALUE(TRIM(MID(MID(Wages!$B847,FIND("/",Wages!$B847)+1,20),FIND("/",MID(Wages!$B847,FIND("/",Wages!$B847)+1,20))+1,20))),"")))</f>
        <v/>
      </c>
      <c r="F844">
        <f>IF($A844="","",IF(OR($C844="",$D844="",$E844="",$C844&lt;1300,$C844&gt;1500,$D844&lt;1,$D844&gt;12,$E844&lt;1,$E844&gt;31),"نامعتبر",RIGHT("0000"&amp;$C844,4)&amp;"/"&amp;RIGHT("00"&amp;$D844,2)&amp;"/"&amp;RIGHT("00"&amp;$E844,2)))</f>
        <v/>
      </c>
      <c r="G844">
        <f>IF(OR($A844="",$F844="",$F844="نامعتبر"),"",LEFT($F844,4)&amp;MID($F844,6,2)&amp;RIGHT($F844,2)&amp;"0000"&amp;"|"&amp;"1"&amp;RIGHT("00000"&amp;839,5))</f>
        <v/>
      </c>
      <c r="H844">
        <f>IF(OR($B844&lt;&gt;1,$G844=""),"",COUNTIFS(LdAParty,$A844,LdAType,1,LdAKey,"&lt;"&amp;$G844)+COUNTIFS(LdBMember,$A844,LdBKey,"&lt;"&amp;$G844)+COUNTIFS(LdCParty,$A844,LdCKey,"&lt;"&amp;$G844)+1)</f>
        <v/>
      </c>
      <c r="I844">
        <f>IF($H844="","",$A844&amp;"|"&amp;RIGHT("000000"&amp;$H844,6))</f>
        <v/>
      </c>
      <c r="J844">
        <f>IF(OR($B844&lt;&gt;2,$G844=""),"",COUNTIFS(LdAParty,$A844,LdAType,2,LdAKey,"&lt;"&amp;$G844)+1)</f>
        <v/>
      </c>
      <c r="K844">
        <f>IF($J844="","",$A844&amp;"|"&amp;RIGHT("000000"&amp;$J844,6))</f>
        <v/>
      </c>
      <c r="L844">
        <f>IF($A844="","",IF(Wages!$G847="",0,Wages!$G847))</f>
        <v/>
      </c>
      <c r="M844">
        <f>IF($A844="","",Wages!$J847)</f>
        <v/>
      </c>
      <c r="N844">
        <f>IF($A844="","",Wages!$D847)</f>
        <v/>
      </c>
      <c r="P844">
        <f>IF(OR(Shares!$B847="",Shares!$C847=""),"",Shares!$C847)</f>
        <v/>
      </c>
      <c r="Q844">
        <f>IF($P844="","",Shares!$B847)</f>
        <v/>
      </c>
      <c r="R844">
        <f>IF($P844="","",IFERROR(INDEX(WageParty,MATCH($Q844,WageIds,0)),""))</f>
        <v/>
      </c>
      <c r="S844">
        <f>IF($P844="","",IFERROR(INDEX($F$6:$F$2005,MATCH($Q844,WageIds,0)),""))</f>
        <v/>
      </c>
      <c r="T844">
        <f>IF(OR($P844="",$S844="",$S844="نامعتبر"),"",LEFT($S844,4)&amp;MID($S844,6,2)&amp;RIGHT($S844,2)&amp;"0000"&amp;"|"&amp;"2"&amp;RIGHT("00000"&amp;839,5))</f>
        <v/>
      </c>
      <c r="U844">
        <f>IF($T844="","",COUNTIFS(LdAParty,$P844,LdAType,1,LdAKey,"&lt;"&amp;$T844)+COUNTIFS(LdBMember,$P844,LdBKey,"&lt;"&amp;$T844)+COUNTIFS(LdCParty,$P844,LdCKey,"&lt;"&amp;$T844)+1)</f>
        <v/>
      </c>
      <c r="V844">
        <f>IF($U844="","",$P844&amp;"|"&amp;RIGHT("000000"&amp;$U844,6))</f>
        <v/>
      </c>
      <c r="W844">
        <f>IF($T844="","",COUNTIFS(LdBGroup,$R844,LdBKey,"&lt;"&amp;$T844)+1)</f>
        <v/>
      </c>
      <c r="X844">
        <f>IF($W844="","",$R844&amp;"|"&amp;RIGHT("000000"&amp;$W844,6))</f>
        <v/>
      </c>
      <c r="Y844">
        <f>IF($P844="","",IF(Shares!$E847="",0,Shares!$E847))</f>
        <v/>
      </c>
      <c r="Z844">
        <f>IF($P844="","",Shares!$H847)</f>
        <v/>
      </c>
      <c r="AE844">
        <f>IF(OR(Sync!$S844="",Sync!$P844=""),"",Sync!$S844)</f>
        <v/>
      </c>
      <c r="AF844">
        <f>IF($AE844="","",IF(ISNUMBER(Sync!$P844),IF(AND(Sync!$P844&gt;=10000101,Sync!$P844&lt;=99991231),INT(Sync!$P844/10000),""),IFERROR(VALUE(TRIM(LEFT(Sync!$P844,FIND("/",Sync!$P844)-1))),"")))</f>
        <v/>
      </c>
      <c r="AG844">
        <f>IF(OR($AE844="",$AF844=""),"",IF(ISNUMBER(Sync!$P844),INT(MOD(Sync!$P844,10000)/100),IFERROR(VALUE(TRIM(LEFT(MID(Sync!$P844,FIND("/",Sync!$P844)+1,20),FIND("/",MID(Sync!$P844,FIND("/",Sync!$P844)+1,20))-1))),"")))</f>
        <v/>
      </c>
      <c r="AH844">
        <f>IF(OR($AE844="",$AF844=""),"",IF(ISNUMBER(Sync!$P844),MOD(Sync!$P844,100),IFERROR(VALUE(TRIM(MID(MID(Sync!$P844,FIND("/",Sync!$P844)+1,20),FIND("/",MID(Sync!$P844,FIND("/",Sync!$P844)+1,20))+1,20))),"")))</f>
        <v/>
      </c>
      <c r="AI844">
        <f>IF($AE844="","",IF(OR($AF844="",$AG844="",$AH844="",$AF844&lt;1300,$AF844&gt;1500,$AG844&lt;1,$AG844&gt;12,$AH844&lt;1,$AH844&gt;31),"نامعتبر",RIGHT("0000"&amp;$AF844,4)&amp;"/"&amp;RIGHT("00"&amp;$AG844,2)&amp;"/"&amp;RIGHT("00"&amp;$AH844,2)))</f>
        <v/>
      </c>
      <c r="AJ844">
        <f>IF($AE844="","",IF(Sync!$Q844="","0000",IF(AND(ISNUMBER(Sync!$Q844),Sync!$Q844&gt;=0,Sync!$Q844&lt;1),RIGHT("00"&amp;HOUR(Sync!$Q844),2)&amp;RIGHT("00"&amp;MINUTE(Sync!$Q844),2),IFERROR(RIGHT("00"&amp;VALUE(LEFT(Sync!$Q844,FIND(":",Sync!$Q844)-1)),2)&amp;RIGHT("00"&amp;VALUE(MID(Sync!$Q844,FIND(":",Sync!$Q844)+1,2)),2),"0000"))))</f>
        <v/>
      </c>
      <c r="AK844">
        <f>IF(OR($AE844="",$AI844="",$AI844="نامعتبر"),"",LEFT($AI844,4)&amp;MID($AI844,6,2)&amp;RIGHT($AI844,2)&amp;$AJ844&amp;"|"&amp;"3"&amp;RIGHT("00000"&amp;839,5))</f>
        <v/>
      </c>
      <c r="AL844">
        <f>IF($AK844="","",COUNTIFS(LdAParty,$AE844,LdAType,1,LdAKey,"&lt;"&amp;$AK844)+COUNTIFS(LdBMember,$AE844,LdBKey,"&lt;"&amp;$AK844)+COUNTIFS(LdCParty,$AE844,LdCKey,"&lt;"&amp;$AK844)+1)</f>
        <v/>
      </c>
      <c r="AM844">
        <f>IF($AL844="","",$AE844&amp;"|"&amp;RIGHT("000000"&amp;$AL844,6))</f>
        <v/>
      </c>
      <c r="AN844">
        <f>IF($AE844="","",IF(Sync!$W844="",0,Sync!$W844))</f>
        <v/>
      </c>
      <c r="AO844">
        <f>IF($AE844="","",IF(Sync!$X844="",0,Sync!$X844))</f>
        <v/>
      </c>
      <c r="AP844">
        <f>IF($AE844="","",Sync!$R844)</f>
        <v/>
      </c>
      <c r="AQ844">
        <f>IF($AE844="","",Sync!$Y844)</f>
        <v/>
      </c>
    </row>
    <row r="845">
      <c r="A845">
        <f>IF(OR(Wages!$B848="",Wages!$E848=""),"",Wages!$E848)</f>
        <v/>
      </c>
      <c r="B845">
        <f>IF($A845="","",IF(Wages!$C848="دستمزد گروهی",2,1))</f>
        <v/>
      </c>
      <c r="C845">
        <f>IF($A845="","",IF(ISNUMBER(Wages!$B848),IF(AND(Wages!$B848&gt;=10000101,Wages!$B848&lt;=99991231),INT(Wages!$B848/10000),""),IFERROR(VALUE(TRIM(LEFT(Wages!$B848,FIND("/",Wages!$B848)-1))),"")))</f>
        <v/>
      </c>
      <c r="D845">
        <f>IF(OR($A845="",$C845=""),"",IF(ISNUMBER(Wages!$B848),INT(MOD(Wages!$B848,10000)/100),IFERROR(VALUE(TRIM(LEFT(MID(Wages!$B848,FIND("/",Wages!$B848)+1,20),FIND("/",MID(Wages!$B848,FIND("/",Wages!$B848)+1,20))-1))),"")))</f>
        <v/>
      </c>
      <c r="E845">
        <f>IF(OR($A845="",$C845=""),"",IF(ISNUMBER(Wages!$B848),MOD(Wages!$B848,100),IFERROR(VALUE(TRIM(MID(MID(Wages!$B848,FIND("/",Wages!$B848)+1,20),FIND("/",MID(Wages!$B848,FIND("/",Wages!$B848)+1,20))+1,20))),"")))</f>
        <v/>
      </c>
      <c r="F845">
        <f>IF($A845="","",IF(OR($C845="",$D845="",$E845="",$C845&lt;1300,$C845&gt;1500,$D845&lt;1,$D845&gt;12,$E845&lt;1,$E845&gt;31),"نامعتبر",RIGHT("0000"&amp;$C845,4)&amp;"/"&amp;RIGHT("00"&amp;$D845,2)&amp;"/"&amp;RIGHT("00"&amp;$E845,2)))</f>
        <v/>
      </c>
      <c r="G845">
        <f>IF(OR($A845="",$F845="",$F845="نامعتبر"),"",LEFT($F845,4)&amp;MID($F845,6,2)&amp;RIGHT($F845,2)&amp;"0000"&amp;"|"&amp;"1"&amp;RIGHT("00000"&amp;840,5))</f>
        <v/>
      </c>
      <c r="H845">
        <f>IF(OR($B845&lt;&gt;1,$G845=""),"",COUNTIFS(LdAParty,$A845,LdAType,1,LdAKey,"&lt;"&amp;$G845)+COUNTIFS(LdBMember,$A845,LdBKey,"&lt;"&amp;$G845)+COUNTIFS(LdCParty,$A845,LdCKey,"&lt;"&amp;$G845)+1)</f>
        <v/>
      </c>
      <c r="I845">
        <f>IF($H845="","",$A845&amp;"|"&amp;RIGHT("000000"&amp;$H845,6))</f>
        <v/>
      </c>
      <c r="J845">
        <f>IF(OR($B845&lt;&gt;2,$G845=""),"",COUNTIFS(LdAParty,$A845,LdAType,2,LdAKey,"&lt;"&amp;$G845)+1)</f>
        <v/>
      </c>
      <c r="K845">
        <f>IF($J845="","",$A845&amp;"|"&amp;RIGHT("000000"&amp;$J845,6))</f>
        <v/>
      </c>
      <c r="L845">
        <f>IF($A845="","",IF(Wages!$G848="",0,Wages!$G848))</f>
        <v/>
      </c>
      <c r="M845">
        <f>IF($A845="","",Wages!$J848)</f>
        <v/>
      </c>
      <c r="N845">
        <f>IF($A845="","",Wages!$D848)</f>
        <v/>
      </c>
      <c r="P845">
        <f>IF(OR(Shares!$B848="",Shares!$C848=""),"",Shares!$C848)</f>
        <v/>
      </c>
      <c r="Q845">
        <f>IF($P845="","",Shares!$B848)</f>
        <v/>
      </c>
      <c r="R845">
        <f>IF($P845="","",IFERROR(INDEX(WageParty,MATCH($Q845,WageIds,0)),""))</f>
        <v/>
      </c>
      <c r="S845">
        <f>IF($P845="","",IFERROR(INDEX($F$6:$F$2005,MATCH($Q845,WageIds,0)),""))</f>
        <v/>
      </c>
      <c r="T845">
        <f>IF(OR($P845="",$S845="",$S845="نامعتبر"),"",LEFT($S845,4)&amp;MID($S845,6,2)&amp;RIGHT($S845,2)&amp;"0000"&amp;"|"&amp;"2"&amp;RIGHT("00000"&amp;840,5))</f>
        <v/>
      </c>
      <c r="U845">
        <f>IF($T845="","",COUNTIFS(LdAParty,$P845,LdAType,1,LdAKey,"&lt;"&amp;$T845)+COUNTIFS(LdBMember,$P845,LdBKey,"&lt;"&amp;$T845)+COUNTIFS(LdCParty,$P845,LdCKey,"&lt;"&amp;$T845)+1)</f>
        <v/>
      </c>
      <c r="V845">
        <f>IF($U845="","",$P845&amp;"|"&amp;RIGHT("000000"&amp;$U845,6))</f>
        <v/>
      </c>
      <c r="W845">
        <f>IF($T845="","",COUNTIFS(LdBGroup,$R845,LdBKey,"&lt;"&amp;$T845)+1)</f>
        <v/>
      </c>
      <c r="X845">
        <f>IF($W845="","",$R845&amp;"|"&amp;RIGHT("000000"&amp;$W845,6))</f>
        <v/>
      </c>
      <c r="Y845">
        <f>IF($P845="","",IF(Shares!$E848="",0,Shares!$E848))</f>
        <v/>
      </c>
      <c r="Z845">
        <f>IF($P845="","",Shares!$H848)</f>
        <v/>
      </c>
      <c r="AE845">
        <f>IF(OR(Sync!$S845="",Sync!$P845=""),"",Sync!$S845)</f>
        <v/>
      </c>
      <c r="AF845">
        <f>IF($AE845="","",IF(ISNUMBER(Sync!$P845),IF(AND(Sync!$P845&gt;=10000101,Sync!$P845&lt;=99991231),INT(Sync!$P845/10000),""),IFERROR(VALUE(TRIM(LEFT(Sync!$P845,FIND("/",Sync!$P845)-1))),"")))</f>
        <v/>
      </c>
      <c r="AG845">
        <f>IF(OR($AE845="",$AF845=""),"",IF(ISNUMBER(Sync!$P845),INT(MOD(Sync!$P845,10000)/100),IFERROR(VALUE(TRIM(LEFT(MID(Sync!$P845,FIND("/",Sync!$P845)+1,20),FIND("/",MID(Sync!$P845,FIND("/",Sync!$P845)+1,20))-1))),"")))</f>
        <v/>
      </c>
      <c r="AH845">
        <f>IF(OR($AE845="",$AF845=""),"",IF(ISNUMBER(Sync!$P845),MOD(Sync!$P845,100),IFERROR(VALUE(TRIM(MID(MID(Sync!$P845,FIND("/",Sync!$P845)+1,20),FIND("/",MID(Sync!$P845,FIND("/",Sync!$P845)+1,20))+1,20))),"")))</f>
        <v/>
      </c>
      <c r="AI845">
        <f>IF($AE845="","",IF(OR($AF845="",$AG845="",$AH845="",$AF845&lt;1300,$AF845&gt;1500,$AG845&lt;1,$AG845&gt;12,$AH845&lt;1,$AH845&gt;31),"نامعتبر",RIGHT("0000"&amp;$AF845,4)&amp;"/"&amp;RIGHT("00"&amp;$AG845,2)&amp;"/"&amp;RIGHT("00"&amp;$AH845,2)))</f>
        <v/>
      </c>
      <c r="AJ845">
        <f>IF($AE845="","",IF(Sync!$Q845="","0000",IF(AND(ISNUMBER(Sync!$Q845),Sync!$Q845&gt;=0,Sync!$Q845&lt;1),RIGHT("00"&amp;HOUR(Sync!$Q845),2)&amp;RIGHT("00"&amp;MINUTE(Sync!$Q845),2),IFERROR(RIGHT("00"&amp;VALUE(LEFT(Sync!$Q845,FIND(":",Sync!$Q845)-1)),2)&amp;RIGHT("00"&amp;VALUE(MID(Sync!$Q845,FIND(":",Sync!$Q845)+1,2)),2),"0000"))))</f>
        <v/>
      </c>
      <c r="AK845">
        <f>IF(OR($AE845="",$AI845="",$AI845="نامعتبر"),"",LEFT($AI845,4)&amp;MID($AI845,6,2)&amp;RIGHT($AI845,2)&amp;$AJ845&amp;"|"&amp;"3"&amp;RIGHT("00000"&amp;840,5))</f>
        <v/>
      </c>
      <c r="AL845">
        <f>IF($AK845="","",COUNTIFS(LdAParty,$AE845,LdAType,1,LdAKey,"&lt;"&amp;$AK845)+COUNTIFS(LdBMember,$AE845,LdBKey,"&lt;"&amp;$AK845)+COUNTIFS(LdCParty,$AE845,LdCKey,"&lt;"&amp;$AK845)+1)</f>
        <v/>
      </c>
      <c r="AM845">
        <f>IF($AL845="","",$AE845&amp;"|"&amp;RIGHT("000000"&amp;$AL845,6))</f>
        <v/>
      </c>
      <c r="AN845">
        <f>IF($AE845="","",IF(Sync!$W845="",0,Sync!$W845))</f>
        <v/>
      </c>
      <c r="AO845">
        <f>IF($AE845="","",IF(Sync!$X845="",0,Sync!$X845))</f>
        <v/>
      </c>
      <c r="AP845">
        <f>IF($AE845="","",Sync!$R845)</f>
        <v/>
      </c>
      <c r="AQ845">
        <f>IF($AE845="","",Sync!$Y845)</f>
        <v/>
      </c>
    </row>
    <row r="846">
      <c r="A846">
        <f>IF(OR(Wages!$B849="",Wages!$E849=""),"",Wages!$E849)</f>
        <v/>
      </c>
      <c r="B846">
        <f>IF($A846="","",IF(Wages!$C849="دستمزد گروهی",2,1))</f>
        <v/>
      </c>
      <c r="C846">
        <f>IF($A846="","",IF(ISNUMBER(Wages!$B849),IF(AND(Wages!$B849&gt;=10000101,Wages!$B849&lt;=99991231),INT(Wages!$B849/10000),""),IFERROR(VALUE(TRIM(LEFT(Wages!$B849,FIND("/",Wages!$B849)-1))),"")))</f>
        <v/>
      </c>
      <c r="D846">
        <f>IF(OR($A846="",$C846=""),"",IF(ISNUMBER(Wages!$B849),INT(MOD(Wages!$B849,10000)/100),IFERROR(VALUE(TRIM(LEFT(MID(Wages!$B849,FIND("/",Wages!$B849)+1,20),FIND("/",MID(Wages!$B849,FIND("/",Wages!$B849)+1,20))-1))),"")))</f>
        <v/>
      </c>
      <c r="E846">
        <f>IF(OR($A846="",$C846=""),"",IF(ISNUMBER(Wages!$B849),MOD(Wages!$B849,100),IFERROR(VALUE(TRIM(MID(MID(Wages!$B849,FIND("/",Wages!$B849)+1,20),FIND("/",MID(Wages!$B849,FIND("/",Wages!$B849)+1,20))+1,20))),"")))</f>
        <v/>
      </c>
      <c r="F846">
        <f>IF($A846="","",IF(OR($C846="",$D846="",$E846="",$C846&lt;1300,$C846&gt;1500,$D846&lt;1,$D846&gt;12,$E846&lt;1,$E846&gt;31),"نامعتبر",RIGHT("0000"&amp;$C846,4)&amp;"/"&amp;RIGHT("00"&amp;$D846,2)&amp;"/"&amp;RIGHT("00"&amp;$E846,2)))</f>
        <v/>
      </c>
      <c r="G846">
        <f>IF(OR($A846="",$F846="",$F846="نامعتبر"),"",LEFT($F846,4)&amp;MID($F846,6,2)&amp;RIGHT($F846,2)&amp;"0000"&amp;"|"&amp;"1"&amp;RIGHT("00000"&amp;841,5))</f>
        <v/>
      </c>
      <c r="H846">
        <f>IF(OR($B846&lt;&gt;1,$G846=""),"",COUNTIFS(LdAParty,$A846,LdAType,1,LdAKey,"&lt;"&amp;$G846)+COUNTIFS(LdBMember,$A846,LdBKey,"&lt;"&amp;$G846)+COUNTIFS(LdCParty,$A846,LdCKey,"&lt;"&amp;$G846)+1)</f>
        <v/>
      </c>
      <c r="I846">
        <f>IF($H846="","",$A846&amp;"|"&amp;RIGHT("000000"&amp;$H846,6))</f>
        <v/>
      </c>
      <c r="J846">
        <f>IF(OR($B846&lt;&gt;2,$G846=""),"",COUNTIFS(LdAParty,$A846,LdAType,2,LdAKey,"&lt;"&amp;$G846)+1)</f>
        <v/>
      </c>
      <c r="K846">
        <f>IF($J846="","",$A846&amp;"|"&amp;RIGHT("000000"&amp;$J846,6))</f>
        <v/>
      </c>
      <c r="L846">
        <f>IF($A846="","",IF(Wages!$G849="",0,Wages!$G849))</f>
        <v/>
      </c>
      <c r="M846">
        <f>IF($A846="","",Wages!$J849)</f>
        <v/>
      </c>
      <c r="N846">
        <f>IF($A846="","",Wages!$D849)</f>
        <v/>
      </c>
      <c r="P846">
        <f>IF(OR(Shares!$B849="",Shares!$C849=""),"",Shares!$C849)</f>
        <v/>
      </c>
      <c r="Q846">
        <f>IF($P846="","",Shares!$B849)</f>
        <v/>
      </c>
      <c r="R846">
        <f>IF($P846="","",IFERROR(INDEX(WageParty,MATCH($Q846,WageIds,0)),""))</f>
        <v/>
      </c>
      <c r="S846">
        <f>IF($P846="","",IFERROR(INDEX($F$6:$F$2005,MATCH($Q846,WageIds,0)),""))</f>
        <v/>
      </c>
      <c r="T846">
        <f>IF(OR($P846="",$S846="",$S846="نامعتبر"),"",LEFT($S846,4)&amp;MID($S846,6,2)&amp;RIGHT($S846,2)&amp;"0000"&amp;"|"&amp;"2"&amp;RIGHT("00000"&amp;841,5))</f>
        <v/>
      </c>
      <c r="U846">
        <f>IF($T846="","",COUNTIFS(LdAParty,$P846,LdAType,1,LdAKey,"&lt;"&amp;$T846)+COUNTIFS(LdBMember,$P846,LdBKey,"&lt;"&amp;$T846)+COUNTIFS(LdCParty,$P846,LdCKey,"&lt;"&amp;$T846)+1)</f>
        <v/>
      </c>
      <c r="V846">
        <f>IF($U846="","",$P846&amp;"|"&amp;RIGHT("000000"&amp;$U846,6))</f>
        <v/>
      </c>
      <c r="W846">
        <f>IF($T846="","",COUNTIFS(LdBGroup,$R846,LdBKey,"&lt;"&amp;$T846)+1)</f>
        <v/>
      </c>
      <c r="X846">
        <f>IF($W846="","",$R846&amp;"|"&amp;RIGHT("000000"&amp;$W846,6))</f>
        <v/>
      </c>
      <c r="Y846">
        <f>IF($P846="","",IF(Shares!$E849="",0,Shares!$E849))</f>
        <v/>
      </c>
      <c r="Z846">
        <f>IF($P846="","",Shares!$H849)</f>
        <v/>
      </c>
      <c r="AE846">
        <f>IF(OR(Sync!$S846="",Sync!$P846=""),"",Sync!$S846)</f>
        <v/>
      </c>
      <c r="AF846">
        <f>IF($AE846="","",IF(ISNUMBER(Sync!$P846),IF(AND(Sync!$P846&gt;=10000101,Sync!$P846&lt;=99991231),INT(Sync!$P846/10000),""),IFERROR(VALUE(TRIM(LEFT(Sync!$P846,FIND("/",Sync!$P846)-1))),"")))</f>
        <v/>
      </c>
      <c r="AG846">
        <f>IF(OR($AE846="",$AF846=""),"",IF(ISNUMBER(Sync!$P846),INT(MOD(Sync!$P846,10000)/100),IFERROR(VALUE(TRIM(LEFT(MID(Sync!$P846,FIND("/",Sync!$P846)+1,20),FIND("/",MID(Sync!$P846,FIND("/",Sync!$P846)+1,20))-1))),"")))</f>
        <v/>
      </c>
      <c r="AH846">
        <f>IF(OR($AE846="",$AF846=""),"",IF(ISNUMBER(Sync!$P846),MOD(Sync!$P846,100),IFERROR(VALUE(TRIM(MID(MID(Sync!$P846,FIND("/",Sync!$P846)+1,20),FIND("/",MID(Sync!$P846,FIND("/",Sync!$P846)+1,20))+1,20))),"")))</f>
        <v/>
      </c>
      <c r="AI846">
        <f>IF($AE846="","",IF(OR($AF846="",$AG846="",$AH846="",$AF846&lt;1300,$AF846&gt;1500,$AG846&lt;1,$AG846&gt;12,$AH846&lt;1,$AH846&gt;31),"نامعتبر",RIGHT("0000"&amp;$AF846,4)&amp;"/"&amp;RIGHT("00"&amp;$AG846,2)&amp;"/"&amp;RIGHT("00"&amp;$AH846,2)))</f>
        <v/>
      </c>
      <c r="AJ846">
        <f>IF($AE846="","",IF(Sync!$Q846="","0000",IF(AND(ISNUMBER(Sync!$Q846),Sync!$Q846&gt;=0,Sync!$Q846&lt;1),RIGHT("00"&amp;HOUR(Sync!$Q846),2)&amp;RIGHT("00"&amp;MINUTE(Sync!$Q846),2),IFERROR(RIGHT("00"&amp;VALUE(LEFT(Sync!$Q846,FIND(":",Sync!$Q846)-1)),2)&amp;RIGHT("00"&amp;VALUE(MID(Sync!$Q846,FIND(":",Sync!$Q846)+1,2)),2),"0000"))))</f>
        <v/>
      </c>
      <c r="AK846">
        <f>IF(OR($AE846="",$AI846="",$AI846="نامعتبر"),"",LEFT($AI846,4)&amp;MID($AI846,6,2)&amp;RIGHT($AI846,2)&amp;$AJ846&amp;"|"&amp;"3"&amp;RIGHT("00000"&amp;841,5))</f>
        <v/>
      </c>
      <c r="AL846">
        <f>IF($AK846="","",COUNTIFS(LdAParty,$AE846,LdAType,1,LdAKey,"&lt;"&amp;$AK846)+COUNTIFS(LdBMember,$AE846,LdBKey,"&lt;"&amp;$AK846)+COUNTIFS(LdCParty,$AE846,LdCKey,"&lt;"&amp;$AK846)+1)</f>
        <v/>
      </c>
      <c r="AM846">
        <f>IF($AL846="","",$AE846&amp;"|"&amp;RIGHT("000000"&amp;$AL846,6))</f>
        <v/>
      </c>
      <c r="AN846">
        <f>IF($AE846="","",IF(Sync!$W846="",0,Sync!$W846))</f>
        <v/>
      </c>
      <c r="AO846">
        <f>IF($AE846="","",IF(Sync!$X846="",0,Sync!$X846))</f>
        <v/>
      </c>
      <c r="AP846">
        <f>IF($AE846="","",Sync!$R846)</f>
        <v/>
      </c>
      <c r="AQ846">
        <f>IF($AE846="","",Sync!$Y846)</f>
        <v/>
      </c>
    </row>
    <row r="847">
      <c r="A847">
        <f>IF(OR(Wages!$B850="",Wages!$E850=""),"",Wages!$E850)</f>
        <v/>
      </c>
      <c r="B847">
        <f>IF($A847="","",IF(Wages!$C850="دستمزد گروهی",2,1))</f>
        <v/>
      </c>
      <c r="C847">
        <f>IF($A847="","",IF(ISNUMBER(Wages!$B850),IF(AND(Wages!$B850&gt;=10000101,Wages!$B850&lt;=99991231),INT(Wages!$B850/10000),""),IFERROR(VALUE(TRIM(LEFT(Wages!$B850,FIND("/",Wages!$B850)-1))),"")))</f>
        <v/>
      </c>
      <c r="D847">
        <f>IF(OR($A847="",$C847=""),"",IF(ISNUMBER(Wages!$B850),INT(MOD(Wages!$B850,10000)/100),IFERROR(VALUE(TRIM(LEFT(MID(Wages!$B850,FIND("/",Wages!$B850)+1,20),FIND("/",MID(Wages!$B850,FIND("/",Wages!$B850)+1,20))-1))),"")))</f>
        <v/>
      </c>
      <c r="E847">
        <f>IF(OR($A847="",$C847=""),"",IF(ISNUMBER(Wages!$B850),MOD(Wages!$B850,100),IFERROR(VALUE(TRIM(MID(MID(Wages!$B850,FIND("/",Wages!$B850)+1,20),FIND("/",MID(Wages!$B850,FIND("/",Wages!$B850)+1,20))+1,20))),"")))</f>
        <v/>
      </c>
      <c r="F847">
        <f>IF($A847="","",IF(OR($C847="",$D847="",$E847="",$C847&lt;1300,$C847&gt;1500,$D847&lt;1,$D847&gt;12,$E847&lt;1,$E847&gt;31),"نامعتبر",RIGHT("0000"&amp;$C847,4)&amp;"/"&amp;RIGHT("00"&amp;$D847,2)&amp;"/"&amp;RIGHT("00"&amp;$E847,2)))</f>
        <v/>
      </c>
      <c r="G847">
        <f>IF(OR($A847="",$F847="",$F847="نامعتبر"),"",LEFT($F847,4)&amp;MID($F847,6,2)&amp;RIGHT($F847,2)&amp;"0000"&amp;"|"&amp;"1"&amp;RIGHT("00000"&amp;842,5))</f>
        <v/>
      </c>
      <c r="H847">
        <f>IF(OR($B847&lt;&gt;1,$G847=""),"",COUNTIFS(LdAParty,$A847,LdAType,1,LdAKey,"&lt;"&amp;$G847)+COUNTIFS(LdBMember,$A847,LdBKey,"&lt;"&amp;$G847)+COUNTIFS(LdCParty,$A847,LdCKey,"&lt;"&amp;$G847)+1)</f>
        <v/>
      </c>
      <c r="I847">
        <f>IF($H847="","",$A847&amp;"|"&amp;RIGHT("000000"&amp;$H847,6))</f>
        <v/>
      </c>
      <c r="J847">
        <f>IF(OR($B847&lt;&gt;2,$G847=""),"",COUNTIFS(LdAParty,$A847,LdAType,2,LdAKey,"&lt;"&amp;$G847)+1)</f>
        <v/>
      </c>
      <c r="K847">
        <f>IF($J847="","",$A847&amp;"|"&amp;RIGHT("000000"&amp;$J847,6))</f>
        <v/>
      </c>
      <c r="L847">
        <f>IF($A847="","",IF(Wages!$G850="",0,Wages!$G850))</f>
        <v/>
      </c>
      <c r="M847">
        <f>IF($A847="","",Wages!$J850)</f>
        <v/>
      </c>
      <c r="N847">
        <f>IF($A847="","",Wages!$D850)</f>
        <v/>
      </c>
      <c r="P847">
        <f>IF(OR(Shares!$B850="",Shares!$C850=""),"",Shares!$C850)</f>
        <v/>
      </c>
      <c r="Q847">
        <f>IF($P847="","",Shares!$B850)</f>
        <v/>
      </c>
      <c r="R847">
        <f>IF($P847="","",IFERROR(INDEX(WageParty,MATCH($Q847,WageIds,0)),""))</f>
        <v/>
      </c>
      <c r="S847">
        <f>IF($P847="","",IFERROR(INDEX($F$6:$F$2005,MATCH($Q847,WageIds,0)),""))</f>
        <v/>
      </c>
      <c r="T847">
        <f>IF(OR($P847="",$S847="",$S847="نامعتبر"),"",LEFT($S847,4)&amp;MID($S847,6,2)&amp;RIGHT($S847,2)&amp;"0000"&amp;"|"&amp;"2"&amp;RIGHT("00000"&amp;842,5))</f>
        <v/>
      </c>
      <c r="U847">
        <f>IF($T847="","",COUNTIFS(LdAParty,$P847,LdAType,1,LdAKey,"&lt;"&amp;$T847)+COUNTIFS(LdBMember,$P847,LdBKey,"&lt;"&amp;$T847)+COUNTIFS(LdCParty,$P847,LdCKey,"&lt;"&amp;$T847)+1)</f>
        <v/>
      </c>
      <c r="V847">
        <f>IF($U847="","",$P847&amp;"|"&amp;RIGHT("000000"&amp;$U847,6))</f>
        <v/>
      </c>
      <c r="W847">
        <f>IF($T847="","",COUNTIFS(LdBGroup,$R847,LdBKey,"&lt;"&amp;$T847)+1)</f>
        <v/>
      </c>
      <c r="X847">
        <f>IF($W847="","",$R847&amp;"|"&amp;RIGHT("000000"&amp;$W847,6))</f>
        <v/>
      </c>
      <c r="Y847">
        <f>IF($P847="","",IF(Shares!$E850="",0,Shares!$E850))</f>
        <v/>
      </c>
      <c r="Z847">
        <f>IF($P847="","",Shares!$H850)</f>
        <v/>
      </c>
      <c r="AE847">
        <f>IF(OR(Sync!$S847="",Sync!$P847=""),"",Sync!$S847)</f>
        <v/>
      </c>
      <c r="AF847">
        <f>IF($AE847="","",IF(ISNUMBER(Sync!$P847),IF(AND(Sync!$P847&gt;=10000101,Sync!$P847&lt;=99991231),INT(Sync!$P847/10000),""),IFERROR(VALUE(TRIM(LEFT(Sync!$P847,FIND("/",Sync!$P847)-1))),"")))</f>
        <v/>
      </c>
      <c r="AG847">
        <f>IF(OR($AE847="",$AF847=""),"",IF(ISNUMBER(Sync!$P847),INT(MOD(Sync!$P847,10000)/100),IFERROR(VALUE(TRIM(LEFT(MID(Sync!$P847,FIND("/",Sync!$P847)+1,20),FIND("/",MID(Sync!$P847,FIND("/",Sync!$P847)+1,20))-1))),"")))</f>
        <v/>
      </c>
      <c r="AH847">
        <f>IF(OR($AE847="",$AF847=""),"",IF(ISNUMBER(Sync!$P847),MOD(Sync!$P847,100),IFERROR(VALUE(TRIM(MID(MID(Sync!$P847,FIND("/",Sync!$P847)+1,20),FIND("/",MID(Sync!$P847,FIND("/",Sync!$P847)+1,20))+1,20))),"")))</f>
        <v/>
      </c>
      <c r="AI847">
        <f>IF($AE847="","",IF(OR($AF847="",$AG847="",$AH847="",$AF847&lt;1300,$AF847&gt;1500,$AG847&lt;1,$AG847&gt;12,$AH847&lt;1,$AH847&gt;31),"نامعتبر",RIGHT("0000"&amp;$AF847,4)&amp;"/"&amp;RIGHT("00"&amp;$AG847,2)&amp;"/"&amp;RIGHT("00"&amp;$AH847,2)))</f>
        <v/>
      </c>
      <c r="AJ847">
        <f>IF($AE847="","",IF(Sync!$Q847="","0000",IF(AND(ISNUMBER(Sync!$Q847),Sync!$Q847&gt;=0,Sync!$Q847&lt;1),RIGHT("00"&amp;HOUR(Sync!$Q847),2)&amp;RIGHT("00"&amp;MINUTE(Sync!$Q847),2),IFERROR(RIGHT("00"&amp;VALUE(LEFT(Sync!$Q847,FIND(":",Sync!$Q847)-1)),2)&amp;RIGHT("00"&amp;VALUE(MID(Sync!$Q847,FIND(":",Sync!$Q847)+1,2)),2),"0000"))))</f>
        <v/>
      </c>
      <c r="AK847">
        <f>IF(OR($AE847="",$AI847="",$AI847="نامعتبر"),"",LEFT($AI847,4)&amp;MID($AI847,6,2)&amp;RIGHT($AI847,2)&amp;$AJ847&amp;"|"&amp;"3"&amp;RIGHT("00000"&amp;842,5))</f>
        <v/>
      </c>
      <c r="AL847">
        <f>IF($AK847="","",COUNTIFS(LdAParty,$AE847,LdAType,1,LdAKey,"&lt;"&amp;$AK847)+COUNTIFS(LdBMember,$AE847,LdBKey,"&lt;"&amp;$AK847)+COUNTIFS(LdCParty,$AE847,LdCKey,"&lt;"&amp;$AK847)+1)</f>
        <v/>
      </c>
      <c r="AM847">
        <f>IF($AL847="","",$AE847&amp;"|"&amp;RIGHT("000000"&amp;$AL847,6))</f>
        <v/>
      </c>
      <c r="AN847">
        <f>IF($AE847="","",IF(Sync!$W847="",0,Sync!$W847))</f>
        <v/>
      </c>
      <c r="AO847">
        <f>IF($AE847="","",IF(Sync!$X847="",0,Sync!$X847))</f>
        <v/>
      </c>
      <c r="AP847">
        <f>IF($AE847="","",Sync!$R847)</f>
        <v/>
      </c>
      <c r="AQ847">
        <f>IF($AE847="","",Sync!$Y847)</f>
        <v/>
      </c>
    </row>
    <row r="848">
      <c r="A848">
        <f>IF(OR(Wages!$B851="",Wages!$E851=""),"",Wages!$E851)</f>
        <v/>
      </c>
      <c r="B848">
        <f>IF($A848="","",IF(Wages!$C851="دستمزد گروهی",2,1))</f>
        <v/>
      </c>
      <c r="C848">
        <f>IF($A848="","",IF(ISNUMBER(Wages!$B851),IF(AND(Wages!$B851&gt;=10000101,Wages!$B851&lt;=99991231),INT(Wages!$B851/10000),""),IFERROR(VALUE(TRIM(LEFT(Wages!$B851,FIND("/",Wages!$B851)-1))),"")))</f>
        <v/>
      </c>
      <c r="D848">
        <f>IF(OR($A848="",$C848=""),"",IF(ISNUMBER(Wages!$B851),INT(MOD(Wages!$B851,10000)/100),IFERROR(VALUE(TRIM(LEFT(MID(Wages!$B851,FIND("/",Wages!$B851)+1,20),FIND("/",MID(Wages!$B851,FIND("/",Wages!$B851)+1,20))-1))),"")))</f>
        <v/>
      </c>
      <c r="E848">
        <f>IF(OR($A848="",$C848=""),"",IF(ISNUMBER(Wages!$B851),MOD(Wages!$B851,100),IFERROR(VALUE(TRIM(MID(MID(Wages!$B851,FIND("/",Wages!$B851)+1,20),FIND("/",MID(Wages!$B851,FIND("/",Wages!$B851)+1,20))+1,20))),"")))</f>
        <v/>
      </c>
      <c r="F848">
        <f>IF($A848="","",IF(OR($C848="",$D848="",$E848="",$C848&lt;1300,$C848&gt;1500,$D848&lt;1,$D848&gt;12,$E848&lt;1,$E848&gt;31),"نامعتبر",RIGHT("0000"&amp;$C848,4)&amp;"/"&amp;RIGHT("00"&amp;$D848,2)&amp;"/"&amp;RIGHT("00"&amp;$E848,2)))</f>
        <v/>
      </c>
      <c r="G848">
        <f>IF(OR($A848="",$F848="",$F848="نامعتبر"),"",LEFT($F848,4)&amp;MID($F848,6,2)&amp;RIGHT($F848,2)&amp;"0000"&amp;"|"&amp;"1"&amp;RIGHT("00000"&amp;843,5))</f>
        <v/>
      </c>
      <c r="H848">
        <f>IF(OR($B848&lt;&gt;1,$G848=""),"",COUNTIFS(LdAParty,$A848,LdAType,1,LdAKey,"&lt;"&amp;$G848)+COUNTIFS(LdBMember,$A848,LdBKey,"&lt;"&amp;$G848)+COUNTIFS(LdCParty,$A848,LdCKey,"&lt;"&amp;$G848)+1)</f>
        <v/>
      </c>
      <c r="I848">
        <f>IF($H848="","",$A848&amp;"|"&amp;RIGHT("000000"&amp;$H848,6))</f>
        <v/>
      </c>
      <c r="J848">
        <f>IF(OR($B848&lt;&gt;2,$G848=""),"",COUNTIFS(LdAParty,$A848,LdAType,2,LdAKey,"&lt;"&amp;$G848)+1)</f>
        <v/>
      </c>
      <c r="K848">
        <f>IF($J848="","",$A848&amp;"|"&amp;RIGHT("000000"&amp;$J848,6))</f>
        <v/>
      </c>
      <c r="L848">
        <f>IF($A848="","",IF(Wages!$G851="",0,Wages!$G851))</f>
        <v/>
      </c>
      <c r="M848">
        <f>IF($A848="","",Wages!$J851)</f>
        <v/>
      </c>
      <c r="N848">
        <f>IF($A848="","",Wages!$D851)</f>
        <v/>
      </c>
      <c r="P848">
        <f>IF(OR(Shares!$B851="",Shares!$C851=""),"",Shares!$C851)</f>
        <v/>
      </c>
      <c r="Q848">
        <f>IF($P848="","",Shares!$B851)</f>
        <v/>
      </c>
      <c r="R848">
        <f>IF($P848="","",IFERROR(INDEX(WageParty,MATCH($Q848,WageIds,0)),""))</f>
        <v/>
      </c>
      <c r="S848">
        <f>IF($P848="","",IFERROR(INDEX($F$6:$F$2005,MATCH($Q848,WageIds,0)),""))</f>
        <v/>
      </c>
      <c r="T848">
        <f>IF(OR($P848="",$S848="",$S848="نامعتبر"),"",LEFT($S848,4)&amp;MID($S848,6,2)&amp;RIGHT($S848,2)&amp;"0000"&amp;"|"&amp;"2"&amp;RIGHT("00000"&amp;843,5))</f>
        <v/>
      </c>
      <c r="U848">
        <f>IF($T848="","",COUNTIFS(LdAParty,$P848,LdAType,1,LdAKey,"&lt;"&amp;$T848)+COUNTIFS(LdBMember,$P848,LdBKey,"&lt;"&amp;$T848)+COUNTIFS(LdCParty,$P848,LdCKey,"&lt;"&amp;$T848)+1)</f>
        <v/>
      </c>
      <c r="V848">
        <f>IF($U848="","",$P848&amp;"|"&amp;RIGHT("000000"&amp;$U848,6))</f>
        <v/>
      </c>
      <c r="W848">
        <f>IF($T848="","",COUNTIFS(LdBGroup,$R848,LdBKey,"&lt;"&amp;$T848)+1)</f>
        <v/>
      </c>
      <c r="X848">
        <f>IF($W848="","",$R848&amp;"|"&amp;RIGHT("000000"&amp;$W848,6))</f>
        <v/>
      </c>
      <c r="Y848">
        <f>IF($P848="","",IF(Shares!$E851="",0,Shares!$E851))</f>
        <v/>
      </c>
      <c r="Z848">
        <f>IF($P848="","",Shares!$H851)</f>
        <v/>
      </c>
      <c r="AE848">
        <f>IF(OR(Sync!$S848="",Sync!$P848=""),"",Sync!$S848)</f>
        <v/>
      </c>
      <c r="AF848">
        <f>IF($AE848="","",IF(ISNUMBER(Sync!$P848),IF(AND(Sync!$P848&gt;=10000101,Sync!$P848&lt;=99991231),INT(Sync!$P848/10000),""),IFERROR(VALUE(TRIM(LEFT(Sync!$P848,FIND("/",Sync!$P848)-1))),"")))</f>
        <v/>
      </c>
      <c r="AG848">
        <f>IF(OR($AE848="",$AF848=""),"",IF(ISNUMBER(Sync!$P848),INT(MOD(Sync!$P848,10000)/100),IFERROR(VALUE(TRIM(LEFT(MID(Sync!$P848,FIND("/",Sync!$P848)+1,20),FIND("/",MID(Sync!$P848,FIND("/",Sync!$P848)+1,20))-1))),"")))</f>
        <v/>
      </c>
      <c r="AH848">
        <f>IF(OR($AE848="",$AF848=""),"",IF(ISNUMBER(Sync!$P848),MOD(Sync!$P848,100),IFERROR(VALUE(TRIM(MID(MID(Sync!$P848,FIND("/",Sync!$P848)+1,20),FIND("/",MID(Sync!$P848,FIND("/",Sync!$P848)+1,20))+1,20))),"")))</f>
        <v/>
      </c>
      <c r="AI848">
        <f>IF($AE848="","",IF(OR($AF848="",$AG848="",$AH848="",$AF848&lt;1300,$AF848&gt;1500,$AG848&lt;1,$AG848&gt;12,$AH848&lt;1,$AH848&gt;31),"نامعتبر",RIGHT("0000"&amp;$AF848,4)&amp;"/"&amp;RIGHT("00"&amp;$AG848,2)&amp;"/"&amp;RIGHT("00"&amp;$AH848,2)))</f>
        <v/>
      </c>
      <c r="AJ848">
        <f>IF($AE848="","",IF(Sync!$Q848="","0000",IF(AND(ISNUMBER(Sync!$Q848),Sync!$Q848&gt;=0,Sync!$Q848&lt;1),RIGHT("00"&amp;HOUR(Sync!$Q848),2)&amp;RIGHT("00"&amp;MINUTE(Sync!$Q848),2),IFERROR(RIGHT("00"&amp;VALUE(LEFT(Sync!$Q848,FIND(":",Sync!$Q848)-1)),2)&amp;RIGHT("00"&amp;VALUE(MID(Sync!$Q848,FIND(":",Sync!$Q848)+1,2)),2),"0000"))))</f>
        <v/>
      </c>
      <c r="AK848">
        <f>IF(OR($AE848="",$AI848="",$AI848="نامعتبر"),"",LEFT($AI848,4)&amp;MID($AI848,6,2)&amp;RIGHT($AI848,2)&amp;$AJ848&amp;"|"&amp;"3"&amp;RIGHT("00000"&amp;843,5))</f>
        <v/>
      </c>
      <c r="AL848">
        <f>IF($AK848="","",COUNTIFS(LdAParty,$AE848,LdAType,1,LdAKey,"&lt;"&amp;$AK848)+COUNTIFS(LdBMember,$AE848,LdBKey,"&lt;"&amp;$AK848)+COUNTIFS(LdCParty,$AE848,LdCKey,"&lt;"&amp;$AK848)+1)</f>
        <v/>
      </c>
      <c r="AM848">
        <f>IF($AL848="","",$AE848&amp;"|"&amp;RIGHT("000000"&amp;$AL848,6))</f>
        <v/>
      </c>
      <c r="AN848">
        <f>IF($AE848="","",IF(Sync!$W848="",0,Sync!$W848))</f>
        <v/>
      </c>
      <c r="AO848">
        <f>IF($AE848="","",IF(Sync!$X848="",0,Sync!$X848))</f>
        <v/>
      </c>
      <c r="AP848">
        <f>IF($AE848="","",Sync!$R848)</f>
        <v/>
      </c>
      <c r="AQ848">
        <f>IF($AE848="","",Sync!$Y848)</f>
        <v/>
      </c>
    </row>
    <row r="849">
      <c r="A849">
        <f>IF(OR(Wages!$B852="",Wages!$E852=""),"",Wages!$E852)</f>
        <v/>
      </c>
      <c r="B849">
        <f>IF($A849="","",IF(Wages!$C852="دستمزد گروهی",2,1))</f>
        <v/>
      </c>
      <c r="C849">
        <f>IF($A849="","",IF(ISNUMBER(Wages!$B852),IF(AND(Wages!$B852&gt;=10000101,Wages!$B852&lt;=99991231),INT(Wages!$B852/10000),""),IFERROR(VALUE(TRIM(LEFT(Wages!$B852,FIND("/",Wages!$B852)-1))),"")))</f>
        <v/>
      </c>
      <c r="D849">
        <f>IF(OR($A849="",$C849=""),"",IF(ISNUMBER(Wages!$B852),INT(MOD(Wages!$B852,10000)/100),IFERROR(VALUE(TRIM(LEFT(MID(Wages!$B852,FIND("/",Wages!$B852)+1,20),FIND("/",MID(Wages!$B852,FIND("/",Wages!$B852)+1,20))-1))),"")))</f>
        <v/>
      </c>
      <c r="E849">
        <f>IF(OR($A849="",$C849=""),"",IF(ISNUMBER(Wages!$B852),MOD(Wages!$B852,100),IFERROR(VALUE(TRIM(MID(MID(Wages!$B852,FIND("/",Wages!$B852)+1,20),FIND("/",MID(Wages!$B852,FIND("/",Wages!$B852)+1,20))+1,20))),"")))</f>
        <v/>
      </c>
      <c r="F849">
        <f>IF($A849="","",IF(OR($C849="",$D849="",$E849="",$C849&lt;1300,$C849&gt;1500,$D849&lt;1,$D849&gt;12,$E849&lt;1,$E849&gt;31),"نامعتبر",RIGHT("0000"&amp;$C849,4)&amp;"/"&amp;RIGHT("00"&amp;$D849,2)&amp;"/"&amp;RIGHT("00"&amp;$E849,2)))</f>
        <v/>
      </c>
      <c r="G849">
        <f>IF(OR($A849="",$F849="",$F849="نامعتبر"),"",LEFT($F849,4)&amp;MID($F849,6,2)&amp;RIGHT($F849,2)&amp;"0000"&amp;"|"&amp;"1"&amp;RIGHT("00000"&amp;844,5))</f>
        <v/>
      </c>
      <c r="H849">
        <f>IF(OR($B849&lt;&gt;1,$G849=""),"",COUNTIFS(LdAParty,$A849,LdAType,1,LdAKey,"&lt;"&amp;$G849)+COUNTIFS(LdBMember,$A849,LdBKey,"&lt;"&amp;$G849)+COUNTIFS(LdCParty,$A849,LdCKey,"&lt;"&amp;$G849)+1)</f>
        <v/>
      </c>
      <c r="I849">
        <f>IF($H849="","",$A849&amp;"|"&amp;RIGHT("000000"&amp;$H849,6))</f>
        <v/>
      </c>
      <c r="J849">
        <f>IF(OR($B849&lt;&gt;2,$G849=""),"",COUNTIFS(LdAParty,$A849,LdAType,2,LdAKey,"&lt;"&amp;$G849)+1)</f>
        <v/>
      </c>
      <c r="K849">
        <f>IF($J849="","",$A849&amp;"|"&amp;RIGHT("000000"&amp;$J849,6))</f>
        <v/>
      </c>
      <c r="L849">
        <f>IF($A849="","",IF(Wages!$G852="",0,Wages!$G852))</f>
        <v/>
      </c>
      <c r="M849">
        <f>IF($A849="","",Wages!$J852)</f>
        <v/>
      </c>
      <c r="N849">
        <f>IF($A849="","",Wages!$D852)</f>
        <v/>
      </c>
      <c r="P849">
        <f>IF(OR(Shares!$B852="",Shares!$C852=""),"",Shares!$C852)</f>
        <v/>
      </c>
      <c r="Q849">
        <f>IF($P849="","",Shares!$B852)</f>
        <v/>
      </c>
      <c r="R849">
        <f>IF($P849="","",IFERROR(INDEX(WageParty,MATCH($Q849,WageIds,0)),""))</f>
        <v/>
      </c>
      <c r="S849">
        <f>IF($P849="","",IFERROR(INDEX($F$6:$F$2005,MATCH($Q849,WageIds,0)),""))</f>
        <v/>
      </c>
      <c r="T849">
        <f>IF(OR($P849="",$S849="",$S849="نامعتبر"),"",LEFT($S849,4)&amp;MID($S849,6,2)&amp;RIGHT($S849,2)&amp;"0000"&amp;"|"&amp;"2"&amp;RIGHT("00000"&amp;844,5))</f>
        <v/>
      </c>
      <c r="U849">
        <f>IF($T849="","",COUNTIFS(LdAParty,$P849,LdAType,1,LdAKey,"&lt;"&amp;$T849)+COUNTIFS(LdBMember,$P849,LdBKey,"&lt;"&amp;$T849)+COUNTIFS(LdCParty,$P849,LdCKey,"&lt;"&amp;$T849)+1)</f>
        <v/>
      </c>
      <c r="V849">
        <f>IF($U849="","",$P849&amp;"|"&amp;RIGHT("000000"&amp;$U849,6))</f>
        <v/>
      </c>
      <c r="W849">
        <f>IF($T849="","",COUNTIFS(LdBGroup,$R849,LdBKey,"&lt;"&amp;$T849)+1)</f>
        <v/>
      </c>
      <c r="X849">
        <f>IF($W849="","",$R849&amp;"|"&amp;RIGHT("000000"&amp;$W849,6))</f>
        <v/>
      </c>
      <c r="Y849">
        <f>IF($P849="","",IF(Shares!$E852="",0,Shares!$E852))</f>
        <v/>
      </c>
      <c r="Z849">
        <f>IF($P849="","",Shares!$H852)</f>
        <v/>
      </c>
      <c r="AE849">
        <f>IF(OR(Sync!$S849="",Sync!$P849=""),"",Sync!$S849)</f>
        <v/>
      </c>
      <c r="AF849">
        <f>IF($AE849="","",IF(ISNUMBER(Sync!$P849),IF(AND(Sync!$P849&gt;=10000101,Sync!$P849&lt;=99991231),INT(Sync!$P849/10000),""),IFERROR(VALUE(TRIM(LEFT(Sync!$P849,FIND("/",Sync!$P849)-1))),"")))</f>
        <v/>
      </c>
      <c r="AG849">
        <f>IF(OR($AE849="",$AF849=""),"",IF(ISNUMBER(Sync!$P849),INT(MOD(Sync!$P849,10000)/100),IFERROR(VALUE(TRIM(LEFT(MID(Sync!$P849,FIND("/",Sync!$P849)+1,20),FIND("/",MID(Sync!$P849,FIND("/",Sync!$P849)+1,20))-1))),"")))</f>
        <v/>
      </c>
      <c r="AH849">
        <f>IF(OR($AE849="",$AF849=""),"",IF(ISNUMBER(Sync!$P849),MOD(Sync!$P849,100),IFERROR(VALUE(TRIM(MID(MID(Sync!$P849,FIND("/",Sync!$P849)+1,20),FIND("/",MID(Sync!$P849,FIND("/",Sync!$P849)+1,20))+1,20))),"")))</f>
        <v/>
      </c>
      <c r="AI849">
        <f>IF($AE849="","",IF(OR($AF849="",$AG849="",$AH849="",$AF849&lt;1300,$AF849&gt;1500,$AG849&lt;1,$AG849&gt;12,$AH849&lt;1,$AH849&gt;31),"نامعتبر",RIGHT("0000"&amp;$AF849,4)&amp;"/"&amp;RIGHT("00"&amp;$AG849,2)&amp;"/"&amp;RIGHT("00"&amp;$AH849,2)))</f>
        <v/>
      </c>
      <c r="AJ849">
        <f>IF($AE849="","",IF(Sync!$Q849="","0000",IF(AND(ISNUMBER(Sync!$Q849),Sync!$Q849&gt;=0,Sync!$Q849&lt;1),RIGHT("00"&amp;HOUR(Sync!$Q849),2)&amp;RIGHT("00"&amp;MINUTE(Sync!$Q849),2),IFERROR(RIGHT("00"&amp;VALUE(LEFT(Sync!$Q849,FIND(":",Sync!$Q849)-1)),2)&amp;RIGHT("00"&amp;VALUE(MID(Sync!$Q849,FIND(":",Sync!$Q849)+1,2)),2),"0000"))))</f>
        <v/>
      </c>
      <c r="AK849">
        <f>IF(OR($AE849="",$AI849="",$AI849="نامعتبر"),"",LEFT($AI849,4)&amp;MID($AI849,6,2)&amp;RIGHT($AI849,2)&amp;$AJ849&amp;"|"&amp;"3"&amp;RIGHT("00000"&amp;844,5))</f>
        <v/>
      </c>
      <c r="AL849">
        <f>IF($AK849="","",COUNTIFS(LdAParty,$AE849,LdAType,1,LdAKey,"&lt;"&amp;$AK849)+COUNTIFS(LdBMember,$AE849,LdBKey,"&lt;"&amp;$AK849)+COUNTIFS(LdCParty,$AE849,LdCKey,"&lt;"&amp;$AK849)+1)</f>
        <v/>
      </c>
      <c r="AM849">
        <f>IF($AL849="","",$AE849&amp;"|"&amp;RIGHT("000000"&amp;$AL849,6))</f>
        <v/>
      </c>
      <c r="AN849">
        <f>IF($AE849="","",IF(Sync!$W849="",0,Sync!$W849))</f>
        <v/>
      </c>
      <c r="AO849">
        <f>IF($AE849="","",IF(Sync!$X849="",0,Sync!$X849))</f>
        <v/>
      </c>
      <c r="AP849">
        <f>IF($AE849="","",Sync!$R849)</f>
        <v/>
      </c>
      <c r="AQ849">
        <f>IF($AE849="","",Sync!$Y849)</f>
        <v/>
      </c>
    </row>
    <row r="850">
      <c r="A850">
        <f>IF(OR(Wages!$B853="",Wages!$E853=""),"",Wages!$E853)</f>
        <v/>
      </c>
      <c r="B850">
        <f>IF($A850="","",IF(Wages!$C853="دستمزد گروهی",2,1))</f>
        <v/>
      </c>
      <c r="C850">
        <f>IF($A850="","",IF(ISNUMBER(Wages!$B853),IF(AND(Wages!$B853&gt;=10000101,Wages!$B853&lt;=99991231),INT(Wages!$B853/10000),""),IFERROR(VALUE(TRIM(LEFT(Wages!$B853,FIND("/",Wages!$B853)-1))),"")))</f>
        <v/>
      </c>
      <c r="D850">
        <f>IF(OR($A850="",$C850=""),"",IF(ISNUMBER(Wages!$B853),INT(MOD(Wages!$B853,10000)/100),IFERROR(VALUE(TRIM(LEFT(MID(Wages!$B853,FIND("/",Wages!$B853)+1,20),FIND("/",MID(Wages!$B853,FIND("/",Wages!$B853)+1,20))-1))),"")))</f>
        <v/>
      </c>
      <c r="E850">
        <f>IF(OR($A850="",$C850=""),"",IF(ISNUMBER(Wages!$B853),MOD(Wages!$B853,100),IFERROR(VALUE(TRIM(MID(MID(Wages!$B853,FIND("/",Wages!$B853)+1,20),FIND("/",MID(Wages!$B853,FIND("/",Wages!$B853)+1,20))+1,20))),"")))</f>
        <v/>
      </c>
      <c r="F850">
        <f>IF($A850="","",IF(OR($C850="",$D850="",$E850="",$C850&lt;1300,$C850&gt;1500,$D850&lt;1,$D850&gt;12,$E850&lt;1,$E850&gt;31),"نامعتبر",RIGHT("0000"&amp;$C850,4)&amp;"/"&amp;RIGHT("00"&amp;$D850,2)&amp;"/"&amp;RIGHT("00"&amp;$E850,2)))</f>
        <v/>
      </c>
      <c r="G850">
        <f>IF(OR($A850="",$F850="",$F850="نامعتبر"),"",LEFT($F850,4)&amp;MID($F850,6,2)&amp;RIGHT($F850,2)&amp;"0000"&amp;"|"&amp;"1"&amp;RIGHT("00000"&amp;845,5))</f>
        <v/>
      </c>
      <c r="H850">
        <f>IF(OR($B850&lt;&gt;1,$G850=""),"",COUNTIFS(LdAParty,$A850,LdAType,1,LdAKey,"&lt;"&amp;$G850)+COUNTIFS(LdBMember,$A850,LdBKey,"&lt;"&amp;$G850)+COUNTIFS(LdCParty,$A850,LdCKey,"&lt;"&amp;$G850)+1)</f>
        <v/>
      </c>
      <c r="I850">
        <f>IF($H850="","",$A850&amp;"|"&amp;RIGHT("000000"&amp;$H850,6))</f>
        <v/>
      </c>
      <c r="J850">
        <f>IF(OR($B850&lt;&gt;2,$G850=""),"",COUNTIFS(LdAParty,$A850,LdAType,2,LdAKey,"&lt;"&amp;$G850)+1)</f>
        <v/>
      </c>
      <c r="K850">
        <f>IF($J850="","",$A850&amp;"|"&amp;RIGHT("000000"&amp;$J850,6))</f>
        <v/>
      </c>
      <c r="L850">
        <f>IF($A850="","",IF(Wages!$G853="",0,Wages!$G853))</f>
        <v/>
      </c>
      <c r="M850">
        <f>IF($A850="","",Wages!$J853)</f>
        <v/>
      </c>
      <c r="N850">
        <f>IF($A850="","",Wages!$D853)</f>
        <v/>
      </c>
      <c r="P850">
        <f>IF(OR(Shares!$B853="",Shares!$C853=""),"",Shares!$C853)</f>
        <v/>
      </c>
      <c r="Q850">
        <f>IF($P850="","",Shares!$B853)</f>
        <v/>
      </c>
      <c r="R850">
        <f>IF($P850="","",IFERROR(INDEX(WageParty,MATCH($Q850,WageIds,0)),""))</f>
        <v/>
      </c>
      <c r="S850">
        <f>IF($P850="","",IFERROR(INDEX($F$6:$F$2005,MATCH($Q850,WageIds,0)),""))</f>
        <v/>
      </c>
      <c r="T850">
        <f>IF(OR($P850="",$S850="",$S850="نامعتبر"),"",LEFT($S850,4)&amp;MID($S850,6,2)&amp;RIGHT($S850,2)&amp;"0000"&amp;"|"&amp;"2"&amp;RIGHT("00000"&amp;845,5))</f>
        <v/>
      </c>
      <c r="U850">
        <f>IF($T850="","",COUNTIFS(LdAParty,$P850,LdAType,1,LdAKey,"&lt;"&amp;$T850)+COUNTIFS(LdBMember,$P850,LdBKey,"&lt;"&amp;$T850)+COUNTIFS(LdCParty,$P850,LdCKey,"&lt;"&amp;$T850)+1)</f>
        <v/>
      </c>
      <c r="V850">
        <f>IF($U850="","",$P850&amp;"|"&amp;RIGHT("000000"&amp;$U850,6))</f>
        <v/>
      </c>
      <c r="W850">
        <f>IF($T850="","",COUNTIFS(LdBGroup,$R850,LdBKey,"&lt;"&amp;$T850)+1)</f>
        <v/>
      </c>
      <c r="X850">
        <f>IF($W850="","",$R850&amp;"|"&amp;RIGHT("000000"&amp;$W850,6))</f>
        <v/>
      </c>
      <c r="Y850">
        <f>IF($P850="","",IF(Shares!$E853="",0,Shares!$E853))</f>
        <v/>
      </c>
      <c r="Z850">
        <f>IF($P850="","",Shares!$H853)</f>
        <v/>
      </c>
      <c r="AE850">
        <f>IF(OR(Sync!$S850="",Sync!$P850=""),"",Sync!$S850)</f>
        <v/>
      </c>
      <c r="AF850">
        <f>IF($AE850="","",IF(ISNUMBER(Sync!$P850),IF(AND(Sync!$P850&gt;=10000101,Sync!$P850&lt;=99991231),INT(Sync!$P850/10000),""),IFERROR(VALUE(TRIM(LEFT(Sync!$P850,FIND("/",Sync!$P850)-1))),"")))</f>
        <v/>
      </c>
      <c r="AG850">
        <f>IF(OR($AE850="",$AF850=""),"",IF(ISNUMBER(Sync!$P850),INT(MOD(Sync!$P850,10000)/100),IFERROR(VALUE(TRIM(LEFT(MID(Sync!$P850,FIND("/",Sync!$P850)+1,20),FIND("/",MID(Sync!$P850,FIND("/",Sync!$P850)+1,20))-1))),"")))</f>
        <v/>
      </c>
      <c r="AH850">
        <f>IF(OR($AE850="",$AF850=""),"",IF(ISNUMBER(Sync!$P850),MOD(Sync!$P850,100),IFERROR(VALUE(TRIM(MID(MID(Sync!$P850,FIND("/",Sync!$P850)+1,20),FIND("/",MID(Sync!$P850,FIND("/",Sync!$P850)+1,20))+1,20))),"")))</f>
        <v/>
      </c>
      <c r="AI850">
        <f>IF($AE850="","",IF(OR($AF850="",$AG850="",$AH850="",$AF850&lt;1300,$AF850&gt;1500,$AG850&lt;1,$AG850&gt;12,$AH850&lt;1,$AH850&gt;31),"نامعتبر",RIGHT("0000"&amp;$AF850,4)&amp;"/"&amp;RIGHT("00"&amp;$AG850,2)&amp;"/"&amp;RIGHT("00"&amp;$AH850,2)))</f>
        <v/>
      </c>
      <c r="AJ850">
        <f>IF($AE850="","",IF(Sync!$Q850="","0000",IF(AND(ISNUMBER(Sync!$Q850),Sync!$Q850&gt;=0,Sync!$Q850&lt;1),RIGHT("00"&amp;HOUR(Sync!$Q850),2)&amp;RIGHT("00"&amp;MINUTE(Sync!$Q850),2),IFERROR(RIGHT("00"&amp;VALUE(LEFT(Sync!$Q850,FIND(":",Sync!$Q850)-1)),2)&amp;RIGHT("00"&amp;VALUE(MID(Sync!$Q850,FIND(":",Sync!$Q850)+1,2)),2),"0000"))))</f>
        <v/>
      </c>
      <c r="AK850">
        <f>IF(OR($AE850="",$AI850="",$AI850="نامعتبر"),"",LEFT($AI850,4)&amp;MID($AI850,6,2)&amp;RIGHT($AI850,2)&amp;$AJ850&amp;"|"&amp;"3"&amp;RIGHT("00000"&amp;845,5))</f>
        <v/>
      </c>
      <c r="AL850">
        <f>IF($AK850="","",COUNTIFS(LdAParty,$AE850,LdAType,1,LdAKey,"&lt;"&amp;$AK850)+COUNTIFS(LdBMember,$AE850,LdBKey,"&lt;"&amp;$AK850)+COUNTIFS(LdCParty,$AE850,LdCKey,"&lt;"&amp;$AK850)+1)</f>
        <v/>
      </c>
      <c r="AM850">
        <f>IF($AL850="","",$AE850&amp;"|"&amp;RIGHT("000000"&amp;$AL850,6))</f>
        <v/>
      </c>
      <c r="AN850">
        <f>IF($AE850="","",IF(Sync!$W850="",0,Sync!$W850))</f>
        <v/>
      </c>
      <c r="AO850">
        <f>IF($AE850="","",IF(Sync!$X850="",0,Sync!$X850))</f>
        <v/>
      </c>
      <c r="AP850">
        <f>IF($AE850="","",Sync!$R850)</f>
        <v/>
      </c>
      <c r="AQ850">
        <f>IF($AE850="","",Sync!$Y850)</f>
        <v/>
      </c>
    </row>
    <row r="851">
      <c r="A851">
        <f>IF(OR(Wages!$B854="",Wages!$E854=""),"",Wages!$E854)</f>
        <v/>
      </c>
      <c r="B851">
        <f>IF($A851="","",IF(Wages!$C854="دستمزد گروهی",2,1))</f>
        <v/>
      </c>
      <c r="C851">
        <f>IF($A851="","",IF(ISNUMBER(Wages!$B854),IF(AND(Wages!$B854&gt;=10000101,Wages!$B854&lt;=99991231),INT(Wages!$B854/10000),""),IFERROR(VALUE(TRIM(LEFT(Wages!$B854,FIND("/",Wages!$B854)-1))),"")))</f>
        <v/>
      </c>
      <c r="D851">
        <f>IF(OR($A851="",$C851=""),"",IF(ISNUMBER(Wages!$B854),INT(MOD(Wages!$B854,10000)/100),IFERROR(VALUE(TRIM(LEFT(MID(Wages!$B854,FIND("/",Wages!$B854)+1,20),FIND("/",MID(Wages!$B854,FIND("/",Wages!$B854)+1,20))-1))),"")))</f>
        <v/>
      </c>
      <c r="E851">
        <f>IF(OR($A851="",$C851=""),"",IF(ISNUMBER(Wages!$B854),MOD(Wages!$B854,100),IFERROR(VALUE(TRIM(MID(MID(Wages!$B854,FIND("/",Wages!$B854)+1,20),FIND("/",MID(Wages!$B854,FIND("/",Wages!$B854)+1,20))+1,20))),"")))</f>
        <v/>
      </c>
      <c r="F851">
        <f>IF($A851="","",IF(OR($C851="",$D851="",$E851="",$C851&lt;1300,$C851&gt;1500,$D851&lt;1,$D851&gt;12,$E851&lt;1,$E851&gt;31),"نامعتبر",RIGHT("0000"&amp;$C851,4)&amp;"/"&amp;RIGHT("00"&amp;$D851,2)&amp;"/"&amp;RIGHT("00"&amp;$E851,2)))</f>
        <v/>
      </c>
      <c r="G851">
        <f>IF(OR($A851="",$F851="",$F851="نامعتبر"),"",LEFT($F851,4)&amp;MID($F851,6,2)&amp;RIGHT($F851,2)&amp;"0000"&amp;"|"&amp;"1"&amp;RIGHT("00000"&amp;846,5))</f>
        <v/>
      </c>
      <c r="H851">
        <f>IF(OR($B851&lt;&gt;1,$G851=""),"",COUNTIFS(LdAParty,$A851,LdAType,1,LdAKey,"&lt;"&amp;$G851)+COUNTIFS(LdBMember,$A851,LdBKey,"&lt;"&amp;$G851)+COUNTIFS(LdCParty,$A851,LdCKey,"&lt;"&amp;$G851)+1)</f>
        <v/>
      </c>
      <c r="I851">
        <f>IF($H851="","",$A851&amp;"|"&amp;RIGHT("000000"&amp;$H851,6))</f>
        <v/>
      </c>
      <c r="J851">
        <f>IF(OR($B851&lt;&gt;2,$G851=""),"",COUNTIFS(LdAParty,$A851,LdAType,2,LdAKey,"&lt;"&amp;$G851)+1)</f>
        <v/>
      </c>
      <c r="K851">
        <f>IF($J851="","",$A851&amp;"|"&amp;RIGHT("000000"&amp;$J851,6))</f>
        <v/>
      </c>
      <c r="L851">
        <f>IF($A851="","",IF(Wages!$G854="",0,Wages!$G854))</f>
        <v/>
      </c>
      <c r="M851">
        <f>IF($A851="","",Wages!$J854)</f>
        <v/>
      </c>
      <c r="N851">
        <f>IF($A851="","",Wages!$D854)</f>
        <v/>
      </c>
      <c r="P851">
        <f>IF(OR(Shares!$B854="",Shares!$C854=""),"",Shares!$C854)</f>
        <v/>
      </c>
      <c r="Q851">
        <f>IF($P851="","",Shares!$B854)</f>
        <v/>
      </c>
      <c r="R851">
        <f>IF($P851="","",IFERROR(INDEX(WageParty,MATCH($Q851,WageIds,0)),""))</f>
        <v/>
      </c>
      <c r="S851">
        <f>IF($P851="","",IFERROR(INDEX($F$6:$F$2005,MATCH($Q851,WageIds,0)),""))</f>
        <v/>
      </c>
      <c r="T851">
        <f>IF(OR($P851="",$S851="",$S851="نامعتبر"),"",LEFT($S851,4)&amp;MID($S851,6,2)&amp;RIGHT($S851,2)&amp;"0000"&amp;"|"&amp;"2"&amp;RIGHT("00000"&amp;846,5))</f>
        <v/>
      </c>
      <c r="U851">
        <f>IF($T851="","",COUNTIFS(LdAParty,$P851,LdAType,1,LdAKey,"&lt;"&amp;$T851)+COUNTIFS(LdBMember,$P851,LdBKey,"&lt;"&amp;$T851)+COUNTIFS(LdCParty,$P851,LdCKey,"&lt;"&amp;$T851)+1)</f>
        <v/>
      </c>
      <c r="V851">
        <f>IF($U851="","",$P851&amp;"|"&amp;RIGHT("000000"&amp;$U851,6))</f>
        <v/>
      </c>
      <c r="W851">
        <f>IF($T851="","",COUNTIFS(LdBGroup,$R851,LdBKey,"&lt;"&amp;$T851)+1)</f>
        <v/>
      </c>
      <c r="X851">
        <f>IF($W851="","",$R851&amp;"|"&amp;RIGHT("000000"&amp;$W851,6))</f>
        <v/>
      </c>
      <c r="Y851">
        <f>IF($P851="","",IF(Shares!$E854="",0,Shares!$E854))</f>
        <v/>
      </c>
      <c r="Z851">
        <f>IF($P851="","",Shares!$H854)</f>
        <v/>
      </c>
      <c r="AE851">
        <f>IF(OR(Sync!$S851="",Sync!$P851=""),"",Sync!$S851)</f>
        <v/>
      </c>
      <c r="AF851">
        <f>IF($AE851="","",IF(ISNUMBER(Sync!$P851),IF(AND(Sync!$P851&gt;=10000101,Sync!$P851&lt;=99991231),INT(Sync!$P851/10000),""),IFERROR(VALUE(TRIM(LEFT(Sync!$P851,FIND("/",Sync!$P851)-1))),"")))</f>
        <v/>
      </c>
      <c r="AG851">
        <f>IF(OR($AE851="",$AF851=""),"",IF(ISNUMBER(Sync!$P851),INT(MOD(Sync!$P851,10000)/100),IFERROR(VALUE(TRIM(LEFT(MID(Sync!$P851,FIND("/",Sync!$P851)+1,20),FIND("/",MID(Sync!$P851,FIND("/",Sync!$P851)+1,20))-1))),"")))</f>
        <v/>
      </c>
      <c r="AH851">
        <f>IF(OR($AE851="",$AF851=""),"",IF(ISNUMBER(Sync!$P851),MOD(Sync!$P851,100),IFERROR(VALUE(TRIM(MID(MID(Sync!$P851,FIND("/",Sync!$P851)+1,20),FIND("/",MID(Sync!$P851,FIND("/",Sync!$P851)+1,20))+1,20))),"")))</f>
        <v/>
      </c>
      <c r="AI851">
        <f>IF($AE851="","",IF(OR($AF851="",$AG851="",$AH851="",$AF851&lt;1300,$AF851&gt;1500,$AG851&lt;1,$AG851&gt;12,$AH851&lt;1,$AH851&gt;31),"نامعتبر",RIGHT("0000"&amp;$AF851,4)&amp;"/"&amp;RIGHT("00"&amp;$AG851,2)&amp;"/"&amp;RIGHT("00"&amp;$AH851,2)))</f>
        <v/>
      </c>
      <c r="AJ851">
        <f>IF($AE851="","",IF(Sync!$Q851="","0000",IF(AND(ISNUMBER(Sync!$Q851),Sync!$Q851&gt;=0,Sync!$Q851&lt;1),RIGHT("00"&amp;HOUR(Sync!$Q851),2)&amp;RIGHT("00"&amp;MINUTE(Sync!$Q851),2),IFERROR(RIGHT("00"&amp;VALUE(LEFT(Sync!$Q851,FIND(":",Sync!$Q851)-1)),2)&amp;RIGHT("00"&amp;VALUE(MID(Sync!$Q851,FIND(":",Sync!$Q851)+1,2)),2),"0000"))))</f>
        <v/>
      </c>
      <c r="AK851">
        <f>IF(OR($AE851="",$AI851="",$AI851="نامعتبر"),"",LEFT($AI851,4)&amp;MID($AI851,6,2)&amp;RIGHT($AI851,2)&amp;$AJ851&amp;"|"&amp;"3"&amp;RIGHT("00000"&amp;846,5))</f>
        <v/>
      </c>
      <c r="AL851">
        <f>IF($AK851="","",COUNTIFS(LdAParty,$AE851,LdAType,1,LdAKey,"&lt;"&amp;$AK851)+COUNTIFS(LdBMember,$AE851,LdBKey,"&lt;"&amp;$AK851)+COUNTIFS(LdCParty,$AE851,LdCKey,"&lt;"&amp;$AK851)+1)</f>
        <v/>
      </c>
      <c r="AM851">
        <f>IF($AL851="","",$AE851&amp;"|"&amp;RIGHT("000000"&amp;$AL851,6))</f>
        <v/>
      </c>
      <c r="AN851">
        <f>IF($AE851="","",IF(Sync!$W851="",0,Sync!$W851))</f>
        <v/>
      </c>
      <c r="AO851">
        <f>IF($AE851="","",IF(Sync!$X851="",0,Sync!$X851))</f>
        <v/>
      </c>
      <c r="AP851">
        <f>IF($AE851="","",Sync!$R851)</f>
        <v/>
      </c>
      <c r="AQ851">
        <f>IF($AE851="","",Sync!$Y851)</f>
        <v/>
      </c>
    </row>
    <row r="852">
      <c r="A852">
        <f>IF(OR(Wages!$B855="",Wages!$E855=""),"",Wages!$E855)</f>
        <v/>
      </c>
      <c r="B852">
        <f>IF($A852="","",IF(Wages!$C855="دستمزد گروهی",2,1))</f>
        <v/>
      </c>
      <c r="C852">
        <f>IF($A852="","",IF(ISNUMBER(Wages!$B855),IF(AND(Wages!$B855&gt;=10000101,Wages!$B855&lt;=99991231),INT(Wages!$B855/10000),""),IFERROR(VALUE(TRIM(LEFT(Wages!$B855,FIND("/",Wages!$B855)-1))),"")))</f>
        <v/>
      </c>
      <c r="D852">
        <f>IF(OR($A852="",$C852=""),"",IF(ISNUMBER(Wages!$B855),INT(MOD(Wages!$B855,10000)/100),IFERROR(VALUE(TRIM(LEFT(MID(Wages!$B855,FIND("/",Wages!$B855)+1,20),FIND("/",MID(Wages!$B855,FIND("/",Wages!$B855)+1,20))-1))),"")))</f>
        <v/>
      </c>
      <c r="E852">
        <f>IF(OR($A852="",$C852=""),"",IF(ISNUMBER(Wages!$B855),MOD(Wages!$B855,100),IFERROR(VALUE(TRIM(MID(MID(Wages!$B855,FIND("/",Wages!$B855)+1,20),FIND("/",MID(Wages!$B855,FIND("/",Wages!$B855)+1,20))+1,20))),"")))</f>
        <v/>
      </c>
      <c r="F852">
        <f>IF($A852="","",IF(OR($C852="",$D852="",$E852="",$C852&lt;1300,$C852&gt;1500,$D852&lt;1,$D852&gt;12,$E852&lt;1,$E852&gt;31),"نامعتبر",RIGHT("0000"&amp;$C852,4)&amp;"/"&amp;RIGHT("00"&amp;$D852,2)&amp;"/"&amp;RIGHT("00"&amp;$E852,2)))</f>
        <v/>
      </c>
      <c r="G852">
        <f>IF(OR($A852="",$F852="",$F852="نامعتبر"),"",LEFT($F852,4)&amp;MID($F852,6,2)&amp;RIGHT($F852,2)&amp;"0000"&amp;"|"&amp;"1"&amp;RIGHT("00000"&amp;847,5))</f>
        <v/>
      </c>
      <c r="H852">
        <f>IF(OR($B852&lt;&gt;1,$G852=""),"",COUNTIFS(LdAParty,$A852,LdAType,1,LdAKey,"&lt;"&amp;$G852)+COUNTIFS(LdBMember,$A852,LdBKey,"&lt;"&amp;$G852)+COUNTIFS(LdCParty,$A852,LdCKey,"&lt;"&amp;$G852)+1)</f>
        <v/>
      </c>
      <c r="I852">
        <f>IF($H852="","",$A852&amp;"|"&amp;RIGHT("000000"&amp;$H852,6))</f>
        <v/>
      </c>
      <c r="J852">
        <f>IF(OR($B852&lt;&gt;2,$G852=""),"",COUNTIFS(LdAParty,$A852,LdAType,2,LdAKey,"&lt;"&amp;$G852)+1)</f>
        <v/>
      </c>
      <c r="K852">
        <f>IF($J852="","",$A852&amp;"|"&amp;RIGHT("000000"&amp;$J852,6))</f>
        <v/>
      </c>
      <c r="L852">
        <f>IF($A852="","",IF(Wages!$G855="",0,Wages!$G855))</f>
        <v/>
      </c>
      <c r="M852">
        <f>IF($A852="","",Wages!$J855)</f>
        <v/>
      </c>
      <c r="N852">
        <f>IF($A852="","",Wages!$D855)</f>
        <v/>
      </c>
      <c r="P852">
        <f>IF(OR(Shares!$B855="",Shares!$C855=""),"",Shares!$C855)</f>
        <v/>
      </c>
      <c r="Q852">
        <f>IF($P852="","",Shares!$B855)</f>
        <v/>
      </c>
      <c r="R852">
        <f>IF($P852="","",IFERROR(INDEX(WageParty,MATCH($Q852,WageIds,0)),""))</f>
        <v/>
      </c>
      <c r="S852">
        <f>IF($P852="","",IFERROR(INDEX($F$6:$F$2005,MATCH($Q852,WageIds,0)),""))</f>
        <v/>
      </c>
      <c r="T852">
        <f>IF(OR($P852="",$S852="",$S852="نامعتبر"),"",LEFT($S852,4)&amp;MID($S852,6,2)&amp;RIGHT($S852,2)&amp;"0000"&amp;"|"&amp;"2"&amp;RIGHT("00000"&amp;847,5))</f>
        <v/>
      </c>
      <c r="U852">
        <f>IF($T852="","",COUNTIFS(LdAParty,$P852,LdAType,1,LdAKey,"&lt;"&amp;$T852)+COUNTIFS(LdBMember,$P852,LdBKey,"&lt;"&amp;$T852)+COUNTIFS(LdCParty,$P852,LdCKey,"&lt;"&amp;$T852)+1)</f>
        <v/>
      </c>
      <c r="V852">
        <f>IF($U852="","",$P852&amp;"|"&amp;RIGHT("000000"&amp;$U852,6))</f>
        <v/>
      </c>
      <c r="W852">
        <f>IF($T852="","",COUNTIFS(LdBGroup,$R852,LdBKey,"&lt;"&amp;$T852)+1)</f>
        <v/>
      </c>
      <c r="X852">
        <f>IF($W852="","",$R852&amp;"|"&amp;RIGHT("000000"&amp;$W852,6))</f>
        <v/>
      </c>
      <c r="Y852">
        <f>IF($P852="","",IF(Shares!$E855="",0,Shares!$E855))</f>
        <v/>
      </c>
      <c r="Z852">
        <f>IF($P852="","",Shares!$H855)</f>
        <v/>
      </c>
      <c r="AE852">
        <f>IF(OR(Sync!$S852="",Sync!$P852=""),"",Sync!$S852)</f>
        <v/>
      </c>
      <c r="AF852">
        <f>IF($AE852="","",IF(ISNUMBER(Sync!$P852),IF(AND(Sync!$P852&gt;=10000101,Sync!$P852&lt;=99991231),INT(Sync!$P852/10000),""),IFERROR(VALUE(TRIM(LEFT(Sync!$P852,FIND("/",Sync!$P852)-1))),"")))</f>
        <v/>
      </c>
      <c r="AG852">
        <f>IF(OR($AE852="",$AF852=""),"",IF(ISNUMBER(Sync!$P852),INT(MOD(Sync!$P852,10000)/100),IFERROR(VALUE(TRIM(LEFT(MID(Sync!$P852,FIND("/",Sync!$P852)+1,20),FIND("/",MID(Sync!$P852,FIND("/",Sync!$P852)+1,20))-1))),"")))</f>
        <v/>
      </c>
      <c r="AH852">
        <f>IF(OR($AE852="",$AF852=""),"",IF(ISNUMBER(Sync!$P852),MOD(Sync!$P852,100),IFERROR(VALUE(TRIM(MID(MID(Sync!$P852,FIND("/",Sync!$P852)+1,20),FIND("/",MID(Sync!$P852,FIND("/",Sync!$P852)+1,20))+1,20))),"")))</f>
        <v/>
      </c>
      <c r="AI852">
        <f>IF($AE852="","",IF(OR($AF852="",$AG852="",$AH852="",$AF852&lt;1300,$AF852&gt;1500,$AG852&lt;1,$AG852&gt;12,$AH852&lt;1,$AH852&gt;31),"نامعتبر",RIGHT("0000"&amp;$AF852,4)&amp;"/"&amp;RIGHT("00"&amp;$AG852,2)&amp;"/"&amp;RIGHT("00"&amp;$AH852,2)))</f>
        <v/>
      </c>
      <c r="AJ852">
        <f>IF($AE852="","",IF(Sync!$Q852="","0000",IF(AND(ISNUMBER(Sync!$Q852),Sync!$Q852&gt;=0,Sync!$Q852&lt;1),RIGHT("00"&amp;HOUR(Sync!$Q852),2)&amp;RIGHT("00"&amp;MINUTE(Sync!$Q852),2),IFERROR(RIGHT("00"&amp;VALUE(LEFT(Sync!$Q852,FIND(":",Sync!$Q852)-1)),2)&amp;RIGHT("00"&amp;VALUE(MID(Sync!$Q852,FIND(":",Sync!$Q852)+1,2)),2),"0000"))))</f>
        <v/>
      </c>
      <c r="AK852">
        <f>IF(OR($AE852="",$AI852="",$AI852="نامعتبر"),"",LEFT($AI852,4)&amp;MID($AI852,6,2)&amp;RIGHT($AI852,2)&amp;$AJ852&amp;"|"&amp;"3"&amp;RIGHT("00000"&amp;847,5))</f>
        <v/>
      </c>
      <c r="AL852">
        <f>IF($AK852="","",COUNTIFS(LdAParty,$AE852,LdAType,1,LdAKey,"&lt;"&amp;$AK852)+COUNTIFS(LdBMember,$AE852,LdBKey,"&lt;"&amp;$AK852)+COUNTIFS(LdCParty,$AE852,LdCKey,"&lt;"&amp;$AK852)+1)</f>
        <v/>
      </c>
      <c r="AM852">
        <f>IF($AL852="","",$AE852&amp;"|"&amp;RIGHT("000000"&amp;$AL852,6))</f>
        <v/>
      </c>
      <c r="AN852">
        <f>IF($AE852="","",IF(Sync!$W852="",0,Sync!$W852))</f>
        <v/>
      </c>
      <c r="AO852">
        <f>IF($AE852="","",IF(Sync!$X852="",0,Sync!$X852))</f>
        <v/>
      </c>
      <c r="AP852">
        <f>IF($AE852="","",Sync!$R852)</f>
        <v/>
      </c>
      <c r="AQ852">
        <f>IF($AE852="","",Sync!$Y852)</f>
        <v/>
      </c>
    </row>
    <row r="853">
      <c r="A853">
        <f>IF(OR(Wages!$B856="",Wages!$E856=""),"",Wages!$E856)</f>
        <v/>
      </c>
      <c r="B853">
        <f>IF($A853="","",IF(Wages!$C856="دستمزد گروهی",2,1))</f>
        <v/>
      </c>
      <c r="C853">
        <f>IF($A853="","",IF(ISNUMBER(Wages!$B856),IF(AND(Wages!$B856&gt;=10000101,Wages!$B856&lt;=99991231),INT(Wages!$B856/10000),""),IFERROR(VALUE(TRIM(LEFT(Wages!$B856,FIND("/",Wages!$B856)-1))),"")))</f>
        <v/>
      </c>
      <c r="D853">
        <f>IF(OR($A853="",$C853=""),"",IF(ISNUMBER(Wages!$B856),INT(MOD(Wages!$B856,10000)/100),IFERROR(VALUE(TRIM(LEFT(MID(Wages!$B856,FIND("/",Wages!$B856)+1,20),FIND("/",MID(Wages!$B856,FIND("/",Wages!$B856)+1,20))-1))),"")))</f>
        <v/>
      </c>
      <c r="E853">
        <f>IF(OR($A853="",$C853=""),"",IF(ISNUMBER(Wages!$B856),MOD(Wages!$B856,100),IFERROR(VALUE(TRIM(MID(MID(Wages!$B856,FIND("/",Wages!$B856)+1,20),FIND("/",MID(Wages!$B856,FIND("/",Wages!$B856)+1,20))+1,20))),"")))</f>
        <v/>
      </c>
      <c r="F853">
        <f>IF($A853="","",IF(OR($C853="",$D853="",$E853="",$C853&lt;1300,$C853&gt;1500,$D853&lt;1,$D853&gt;12,$E853&lt;1,$E853&gt;31),"نامعتبر",RIGHT("0000"&amp;$C853,4)&amp;"/"&amp;RIGHT("00"&amp;$D853,2)&amp;"/"&amp;RIGHT("00"&amp;$E853,2)))</f>
        <v/>
      </c>
      <c r="G853">
        <f>IF(OR($A853="",$F853="",$F853="نامعتبر"),"",LEFT($F853,4)&amp;MID($F853,6,2)&amp;RIGHT($F853,2)&amp;"0000"&amp;"|"&amp;"1"&amp;RIGHT("00000"&amp;848,5))</f>
        <v/>
      </c>
      <c r="H853">
        <f>IF(OR($B853&lt;&gt;1,$G853=""),"",COUNTIFS(LdAParty,$A853,LdAType,1,LdAKey,"&lt;"&amp;$G853)+COUNTIFS(LdBMember,$A853,LdBKey,"&lt;"&amp;$G853)+COUNTIFS(LdCParty,$A853,LdCKey,"&lt;"&amp;$G853)+1)</f>
        <v/>
      </c>
      <c r="I853">
        <f>IF($H853="","",$A853&amp;"|"&amp;RIGHT("000000"&amp;$H853,6))</f>
        <v/>
      </c>
      <c r="J853">
        <f>IF(OR($B853&lt;&gt;2,$G853=""),"",COUNTIFS(LdAParty,$A853,LdAType,2,LdAKey,"&lt;"&amp;$G853)+1)</f>
        <v/>
      </c>
      <c r="K853">
        <f>IF($J853="","",$A853&amp;"|"&amp;RIGHT("000000"&amp;$J853,6))</f>
        <v/>
      </c>
      <c r="L853">
        <f>IF($A853="","",IF(Wages!$G856="",0,Wages!$G856))</f>
        <v/>
      </c>
      <c r="M853">
        <f>IF($A853="","",Wages!$J856)</f>
        <v/>
      </c>
      <c r="N853">
        <f>IF($A853="","",Wages!$D856)</f>
        <v/>
      </c>
      <c r="P853">
        <f>IF(OR(Shares!$B856="",Shares!$C856=""),"",Shares!$C856)</f>
        <v/>
      </c>
      <c r="Q853">
        <f>IF($P853="","",Shares!$B856)</f>
        <v/>
      </c>
      <c r="R853">
        <f>IF($P853="","",IFERROR(INDEX(WageParty,MATCH($Q853,WageIds,0)),""))</f>
        <v/>
      </c>
      <c r="S853">
        <f>IF($P853="","",IFERROR(INDEX($F$6:$F$2005,MATCH($Q853,WageIds,0)),""))</f>
        <v/>
      </c>
      <c r="T853">
        <f>IF(OR($P853="",$S853="",$S853="نامعتبر"),"",LEFT($S853,4)&amp;MID($S853,6,2)&amp;RIGHT($S853,2)&amp;"0000"&amp;"|"&amp;"2"&amp;RIGHT("00000"&amp;848,5))</f>
        <v/>
      </c>
      <c r="U853">
        <f>IF($T853="","",COUNTIFS(LdAParty,$P853,LdAType,1,LdAKey,"&lt;"&amp;$T853)+COUNTIFS(LdBMember,$P853,LdBKey,"&lt;"&amp;$T853)+COUNTIFS(LdCParty,$P853,LdCKey,"&lt;"&amp;$T853)+1)</f>
        <v/>
      </c>
      <c r="V853">
        <f>IF($U853="","",$P853&amp;"|"&amp;RIGHT("000000"&amp;$U853,6))</f>
        <v/>
      </c>
      <c r="W853">
        <f>IF($T853="","",COUNTIFS(LdBGroup,$R853,LdBKey,"&lt;"&amp;$T853)+1)</f>
        <v/>
      </c>
      <c r="X853">
        <f>IF($W853="","",$R853&amp;"|"&amp;RIGHT("000000"&amp;$W853,6))</f>
        <v/>
      </c>
      <c r="Y853">
        <f>IF($P853="","",IF(Shares!$E856="",0,Shares!$E856))</f>
        <v/>
      </c>
      <c r="Z853">
        <f>IF($P853="","",Shares!$H856)</f>
        <v/>
      </c>
      <c r="AE853">
        <f>IF(OR(Sync!$S853="",Sync!$P853=""),"",Sync!$S853)</f>
        <v/>
      </c>
      <c r="AF853">
        <f>IF($AE853="","",IF(ISNUMBER(Sync!$P853),IF(AND(Sync!$P853&gt;=10000101,Sync!$P853&lt;=99991231),INT(Sync!$P853/10000),""),IFERROR(VALUE(TRIM(LEFT(Sync!$P853,FIND("/",Sync!$P853)-1))),"")))</f>
        <v/>
      </c>
      <c r="AG853">
        <f>IF(OR($AE853="",$AF853=""),"",IF(ISNUMBER(Sync!$P853),INT(MOD(Sync!$P853,10000)/100),IFERROR(VALUE(TRIM(LEFT(MID(Sync!$P853,FIND("/",Sync!$P853)+1,20),FIND("/",MID(Sync!$P853,FIND("/",Sync!$P853)+1,20))-1))),"")))</f>
        <v/>
      </c>
      <c r="AH853">
        <f>IF(OR($AE853="",$AF853=""),"",IF(ISNUMBER(Sync!$P853),MOD(Sync!$P853,100),IFERROR(VALUE(TRIM(MID(MID(Sync!$P853,FIND("/",Sync!$P853)+1,20),FIND("/",MID(Sync!$P853,FIND("/",Sync!$P853)+1,20))+1,20))),"")))</f>
        <v/>
      </c>
      <c r="AI853">
        <f>IF($AE853="","",IF(OR($AF853="",$AG853="",$AH853="",$AF853&lt;1300,$AF853&gt;1500,$AG853&lt;1,$AG853&gt;12,$AH853&lt;1,$AH853&gt;31),"نامعتبر",RIGHT("0000"&amp;$AF853,4)&amp;"/"&amp;RIGHT("00"&amp;$AG853,2)&amp;"/"&amp;RIGHT("00"&amp;$AH853,2)))</f>
        <v/>
      </c>
      <c r="AJ853">
        <f>IF($AE853="","",IF(Sync!$Q853="","0000",IF(AND(ISNUMBER(Sync!$Q853),Sync!$Q853&gt;=0,Sync!$Q853&lt;1),RIGHT("00"&amp;HOUR(Sync!$Q853),2)&amp;RIGHT("00"&amp;MINUTE(Sync!$Q853),2),IFERROR(RIGHT("00"&amp;VALUE(LEFT(Sync!$Q853,FIND(":",Sync!$Q853)-1)),2)&amp;RIGHT("00"&amp;VALUE(MID(Sync!$Q853,FIND(":",Sync!$Q853)+1,2)),2),"0000"))))</f>
        <v/>
      </c>
      <c r="AK853">
        <f>IF(OR($AE853="",$AI853="",$AI853="نامعتبر"),"",LEFT($AI853,4)&amp;MID($AI853,6,2)&amp;RIGHT($AI853,2)&amp;$AJ853&amp;"|"&amp;"3"&amp;RIGHT("00000"&amp;848,5))</f>
        <v/>
      </c>
      <c r="AL853">
        <f>IF($AK853="","",COUNTIFS(LdAParty,$AE853,LdAType,1,LdAKey,"&lt;"&amp;$AK853)+COUNTIFS(LdBMember,$AE853,LdBKey,"&lt;"&amp;$AK853)+COUNTIFS(LdCParty,$AE853,LdCKey,"&lt;"&amp;$AK853)+1)</f>
        <v/>
      </c>
      <c r="AM853">
        <f>IF($AL853="","",$AE853&amp;"|"&amp;RIGHT("000000"&amp;$AL853,6))</f>
        <v/>
      </c>
      <c r="AN853">
        <f>IF($AE853="","",IF(Sync!$W853="",0,Sync!$W853))</f>
        <v/>
      </c>
      <c r="AO853">
        <f>IF($AE853="","",IF(Sync!$X853="",0,Sync!$X853))</f>
        <v/>
      </c>
      <c r="AP853">
        <f>IF($AE853="","",Sync!$R853)</f>
        <v/>
      </c>
      <c r="AQ853">
        <f>IF($AE853="","",Sync!$Y853)</f>
        <v/>
      </c>
    </row>
    <row r="854">
      <c r="A854">
        <f>IF(OR(Wages!$B857="",Wages!$E857=""),"",Wages!$E857)</f>
        <v/>
      </c>
      <c r="B854">
        <f>IF($A854="","",IF(Wages!$C857="دستمزد گروهی",2,1))</f>
        <v/>
      </c>
      <c r="C854">
        <f>IF($A854="","",IF(ISNUMBER(Wages!$B857),IF(AND(Wages!$B857&gt;=10000101,Wages!$B857&lt;=99991231),INT(Wages!$B857/10000),""),IFERROR(VALUE(TRIM(LEFT(Wages!$B857,FIND("/",Wages!$B857)-1))),"")))</f>
        <v/>
      </c>
      <c r="D854">
        <f>IF(OR($A854="",$C854=""),"",IF(ISNUMBER(Wages!$B857),INT(MOD(Wages!$B857,10000)/100),IFERROR(VALUE(TRIM(LEFT(MID(Wages!$B857,FIND("/",Wages!$B857)+1,20),FIND("/",MID(Wages!$B857,FIND("/",Wages!$B857)+1,20))-1))),"")))</f>
        <v/>
      </c>
      <c r="E854">
        <f>IF(OR($A854="",$C854=""),"",IF(ISNUMBER(Wages!$B857),MOD(Wages!$B857,100),IFERROR(VALUE(TRIM(MID(MID(Wages!$B857,FIND("/",Wages!$B857)+1,20),FIND("/",MID(Wages!$B857,FIND("/",Wages!$B857)+1,20))+1,20))),"")))</f>
        <v/>
      </c>
      <c r="F854">
        <f>IF($A854="","",IF(OR($C854="",$D854="",$E854="",$C854&lt;1300,$C854&gt;1500,$D854&lt;1,$D854&gt;12,$E854&lt;1,$E854&gt;31),"نامعتبر",RIGHT("0000"&amp;$C854,4)&amp;"/"&amp;RIGHT("00"&amp;$D854,2)&amp;"/"&amp;RIGHT("00"&amp;$E854,2)))</f>
        <v/>
      </c>
      <c r="G854">
        <f>IF(OR($A854="",$F854="",$F854="نامعتبر"),"",LEFT($F854,4)&amp;MID($F854,6,2)&amp;RIGHT($F854,2)&amp;"0000"&amp;"|"&amp;"1"&amp;RIGHT("00000"&amp;849,5))</f>
        <v/>
      </c>
      <c r="H854">
        <f>IF(OR($B854&lt;&gt;1,$G854=""),"",COUNTIFS(LdAParty,$A854,LdAType,1,LdAKey,"&lt;"&amp;$G854)+COUNTIFS(LdBMember,$A854,LdBKey,"&lt;"&amp;$G854)+COUNTIFS(LdCParty,$A854,LdCKey,"&lt;"&amp;$G854)+1)</f>
        <v/>
      </c>
      <c r="I854">
        <f>IF($H854="","",$A854&amp;"|"&amp;RIGHT("000000"&amp;$H854,6))</f>
        <v/>
      </c>
      <c r="J854">
        <f>IF(OR($B854&lt;&gt;2,$G854=""),"",COUNTIFS(LdAParty,$A854,LdAType,2,LdAKey,"&lt;"&amp;$G854)+1)</f>
        <v/>
      </c>
      <c r="K854">
        <f>IF($J854="","",$A854&amp;"|"&amp;RIGHT("000000"&amp;$J854,6))</f>
        <v/>
      </c>
      <c r="L854">
        <f>IF($A854="","",IF(Wages!$G857="",0,Wages!$G857))</f>
        <v/>
      </c>
      <c r="M854">
        <f>IF($A854="","",Wages!$J857)</f>
        <v/>
      </c>
      <c r="N854">
        <f>IF($A854="","",Wages!$D857)</f>
        <v/>
      </c>
      <c r="P854">
        <f>IF(OR(Shares!$B857="",Shares!$C857=""),"",Shares!$C857)</f>
        <v/>
      </c>
      <c r="Q854">
        <f>IF($P854="","",Shares!$B857)</f>
        <v/>
      </c>
      <c r="R854">
        <f>IF($P854="","",IFERROR(INDEX(WageParty,MATCH($Q854,WageIds,0)),""))</f>
        <v/>
      </c>
      <c r="S854">
        <f>IF($P854="","",IFERROR(INDEX($F$6:$F$2005,MATCH($Q854,WageIds,0)),""))</f>
        <v/>
      </c>
      <c r="T854">
        <f>IF(OR($P854="",$S854="",$S854="نامعتبر"),"",LEFT($S854,4)&amp;MID($S854,6,2)&amp;RIGHT($S854,2)&amp;"0000"&amp;"|"&amp;"2"&amp;RIGHT("00000"&amp;849,5))</f>
        <v/>
      </c>
      <c r="U854">
        <f>IF($T854="","",COUNTIFS(LdAParty,$P854,LdAType,1,LdAKey,"&lt;"&amp;$T854)+COUNTIFS(LdBMember,$P854,LdBKey,"&lt;"&amp;$T854)+COUNTIFS(LdCParty,$P854,LdCKey,"&lt;"&amp;$T854)+1)</f>
        <v/>
      </c>
      <c r="V854">
        <f>IF($U854="","",$P854&amp;"|"&amp;RIGHT("000000"&amp;$U854,6))</f>
        <v/>
      </c>
      <c r="W854">
        <f>IF($T854="","",COUNTIFS(LdBGroup,$R854,LdBKey,"&lt;"&amp;$T854)+1)</f>
        <v/>
      </c>
      <c r="X854">
        <f>IF($W854="","",$R854&amp;"|"&amp;RIGHT("000000"&amp;$W854,6))</f>
        <v/>
      </c>
      <c r="Y854">
        <f>IF($P854="","",IF(Shares!$E857="",0,Shares!$E857))</f>
        <v/>
      </c>
      <c r="Z854">
        <f>IF($P854="","",Shares!$H857)</f>
        <v/>
      </c>
      <c r="AE854">
        <f>IF(OR(Sync!$S854="",Sync!$P854=""),"",Sync!$S854)</f>
        <v/>
      </c>
      <c r="AF854">
        <f>IF($AE854="","",IF(ISNUMBER(Sync!$P854),IF(AND(Sync!$P854&gt;=10000101,Sync!$P854&lt;=99991231),INT(Sync!$P854/10000),""),IFERROR(VALUE(TRIM(LEFT(Sync!$P854,FIND("/",Sync!$P854)-1))),"")))</f>
        <v/>
      </c>
      <c r="AG854">
        <f>IF(OR($AE854="",$AF854=""),"",IF(ISNUMBER(Sync!$P854),INT(MOD(Sync!$P854,10000)/100),IFERROR(VALUE(TRIM(LEFT(MID(Sync!$P854,FIND("/",Sync!$P854)+1,20),FIND("/",MID(Sync!$P854,FIND("/",Sync!$P854)+1,20))-1))),"")))</f>
        <v/>
      </c>
      <c r="AH854">
        <f>IF(OR($AE854="",$AF854=""),"",IF(ISNUMBER(Sync!$P854),MOD(Sync!$P854,100),IFERROR(VALUE(TRIM(MID(MID(Sync!$P854,FIND("/",Sync!$P854)+1,20),FIND("/",MID(Sync!$P854,FIND("/",Sync!$P854)+1,20))+1,20))),"")))</f>
        <v/>
      </c>
      <c r="AI854">
        <f>IF($AE854="","",IF(OR($AF854="",$AG854="",$AH854="",$AF854&lt;1300,$AF854&gt;1500,$AG854&lt;1,$AG854&gt;12,$AH854&lt;1,$AH854&gt;31),"نامعتبر",RIGHT("0000"&amp;$AF854,4)&amp;"/"&amp;RIGHT("00"&amp;$AG854,2)&amp;"/"&amp;RIGHT("00"&amp;$AH854,2)))</f>
        <v/>
      </c>
      <c r="AJ854">
        <f>IF($AE854="","",IF(Sync!$Q854="","0000",IF(AND(ISNUMBER(Sync!$Q854),Sync!$Q854&gt;=0,Sync!$Q854&lt;1),RIGHT("00"&amp;HOUR(Sync!$Q854),2)&amp;RIGHT("00"&amp;MINUTE(Sync!$Q854),2),IFERROR(RIGHT("00"&amp;VALUE(LEFT(Sync!$Q854,FIND(":",Sync!$Q854)-1)),2)&amp;RIGHT("00"&amp;VALUE(MID(Sync!$Q854,FIND(":",Sync!$Q854)+1,2)),2),"0000"))))</f>
        <v/>
      </c>
      <c r="AK854">
        <f>IF(OR($AE854="",$AI854="",$AI854="نامعتبر"),"",LEFT($AI854,4)&amp;MID($AI854,6,2)&amp;RIGHT($AI854,2)&amp;$AJ854&amp;"|"&amp;"3"&amp;RIGHT("00000"&amp;849,5))</f>
        <v/>
      </c>
      <c r="AL854">
        <f>IF($AK854="","",COUNTIFS(LdAParty,$AE854,LdAType,1,LdAKey,"&lt;"&amp;$AK854)+COUNTIFS(LdBMember,$AE854,LdBKey,"&lt;"&amp;$AK854)+COUNTIFS(LdCParty,$AE854,LdCKey,"&lt;"&amp;$AK854)+1)</f>
        <v/>
      </c>
      <c r="AM854">
        <f>IF($AL854="","",$AE854&amp;"|"&amp;RIGHT("000000"&amp;$AL854,6))</f>
        <v/>
      </c>
      <c r="AN854">
        <f>IF($AE854="","",IF(Sync!$W854="",0,Sync!$W854))</f>
        <v/>
      </c>
      <c r="AO854">
        <f>IF($AE854="","",IF(Sync!$X854="",0,Sync!$X854))</f>
        <v/>
      </c>
      <c r="AP854">
        <f>IF($AE854="","",Sync!$R854)</f>
        <v/>
      </c>
      <c r="AQ854">
        <f>IF($AE854="","",Sync!$Y854)</f>
        <v/>
      </c>
    </row>
    <row r="855">
      <c r="A855">
        <f>IF(OR(Wages!$B858="",Wages!$E858=""),"",Wages!$E858)</f>
        <v/>
      </c>
      <c r="B855">
        <f>IF($A855="","",IF(Wages!$C858="دستمزد گروهی",2,1))</f>
        <v/>
      </c>
      <c r="C855">
        <f>IF($A855="","",IF(ISNUMBER(Wages!$B858),IF(AND(Wages!$B858&gt;=10000101,Wages!$B858&lt;=99991231),INT(Wages!$B858/10000),""),IFERROR(VALUE(TRIM(LEFT(Wages!$B858,FIND("/",Wages!$B858)-1))),"")))</f>
        <v/>
      </c>
      <c r="D855">
        <f>IF(OR($A855="",$C855=""),"",IF(ISNUMBER(Wages!$B858),INT(MOD(Wages!$B858,10000)/100),IFERROR(VALUE(TRIM(LEFT(MID(Wages!$B858,FIND("/",Wages!$B858)+1,20),FIND("/",MID(Wages!$B858,FIND("/",Wages!$B858)+1,20))-1))),"")))</f>
        <v/>
      </c>
      <c r="E855">
        <f>IF(OR($A855="",$C855=""),"",IF(ISNUMBER(Wages!$B858),MOD(Wages!$B858,100),IFERROR(VALUE(TRIM(MID(MID(Wages!$B858,FIND("/",Wages!$B858)+1,20),FIND("/",MID(Wages!$B858,FIND("/",Wages!$B858)+1,20))+1,20))),"")))</f>
        <v/>
      </c>
      <c r="F855">
        <f>IF($A855="","",IF(OR($C855="",$D855="",$E855="",$C855&lt;1300,$C855&gt;1500,$D855&lt;1,$D855&gt;12,$E855&lt;1,$E855&gt;31),"نامعتبر",RIGHT("0000"&amp;$C855,4)&amp;"/"&amp;RIGHT("00"&amp;$D855,2)&amp;"/"&amp;RIGHT("00"&amp;$E855,2)))</f>
        <v/>
      </c>
      <c r="G855">
        <f>IF(OR($A855="",$F855="",$F855="نامعتبر"),"",LEFT($F855,4)&amp;MID($F855,6,2)&amp;RIGHT($F855,2)&amp;"0000"&amp;"|"&amp;"1"&amp;RIGHT("00000"&amp;850,5))</f>
        <v/>
      </c>
      <c r="H855">
        <f>IF(OR($B855&lt;&gt;1,$G855=""),"",COUNTIFS(LdAParty,$A855,LdAType,1,LdAKey,"&lt;"&amp;$G855)+COUNTIFS(LdBMember,$A855,LdBKey,"&lt;"&amp;$G855)+COUNTIFS(LdCParty,$A855,LdCKey,"&lt;"&amp;$G855)+1)</f>
        <v/>
      </c>
      <c r="I855">
        <f>IF($H855="","",$A855&amp;"|"&amp;RIGHT("000000"&amp;$H855,6))</f>
        <v/>
      </c>
      <c r="J855">
        <f>IF(OR($B855&lt;&gt;2,$G855=""),"",COUNTIFS(LdAParty,$A855,LdAType,2,LdAKey,"&lt;"&amp;$G855)+1)</f>
        <v/>
      </c>
      <c r="K855">
        <f>IF($J855="","",$A855&amp;"|"&amp;RIGHT("000000"&amp;$J855,6))</f>
        <v/>
      </c>
      <c r="L855">
        <f>IF($A855="","",IF(Wages!$G858="",0,Wages!$G858))</f>
        <v/>
      </c>
      <c r="M855">
        <f>IF($A855="","",Wages!$J858)</f>
        <v/>
      </c>
      <c r="N855">
        <f>IF($A855="","",Wages!$D858)</f>
        <v/>
      </c>
      <c r="P855">
        <f>IF(OR(Shares!$B858="",Shares!$C858=""),"",Shares!$C858)</f>
        <v/>
      </c>
      <c r="Q855">
        <f>IF($P855="","",Shares!$B858)</f>
        <v/>
      </c>
      <c r="R855">
        <f>IF($P855="","",IFERROR(INDEX(WageParty,MATCH($Q855,WageIds,0)),""))</f>
        <v/>
      </c>
      <c r="S855">
        <f>IF($P855="","",IFERROR(INDEX($F$6:$F$2005,MATCH($Q855,WageIds,0)),""))</f>
        <v/>
      </c>
      <c r="T855">
        <f>IF(OR($P855="",$S855="",$S855="نامعتبر"),"",LEFT($S855,4)&amp;MID($S855,6,2)&amp;RIGHT($S855,2)&amp;"0000"&amp;"|"&amp;"2"&amp;RIGHT("00000"&amp;850,5))</f>
        <v/>
      </c>
      <c r="U855">
        <f>IF($T855="","",COUNTIFS(LdAParty,$P855,LdAType,1,LdAKey,"&lt;"&amp;$T855)+COUNTIFS(LdBMember,$P855,LdBKey,"&lt;"&amp;$T855)+COUNTIFS(LdCParty,$P855,LdCKey,"&lt;"&amp;$T855)+1)</f>
        <v/>
      </c>
      <c r="V855">
        <f>IF($U855="","",$P855&amp;"|"&amp;RIGHT("000000"&amp;$U855,6))</f>
        <v/>
      </c>
      <c r="W855">
        <f>IF($T855="","",COUNTIFS(LdBGroup,$R855,LdBKey,"&lt;"&amp;$T855)+1)</f>
        <v/>
      </c>
      <c r="X855">
        <f>IF($W855="","",$R855&amp;"|"&amp;RIGHT("000000"&amp;$W855,6))</f>
        <v/>
      </c>
      <c r="Y855">
        <f>IF($P855="","",IF(Shares!$E858="",0,Shares!$E858))</f>
        <v/>
      </c>
      <c r="Z855">
        <f>IF($P855="","",Shares!$H858)</f>
        <v/>
      </c>
      <c r="AE855">
        <f>IF(OR(Sync!$S855="",Sync!$P855=""),"",Sync!$S855)</f>
        <v/>
      </c>
      <c r="AF855">
        <f>IF($AE855="","",IF(ISNUMBER(Sync!$P855),IF(AND(Sync!$P855&gt;=10000101,Sync!$P855&lt;=99991231),INT(Sync!$P855/10000),""),IFERROR(VALUE(TRIM(LEFT(Sync!$P855,FIND("/",Sync!$P855)-1))),"")))</f>
        <v/>
      </c>
      <c r="AG855">
        <f>IF(OR($AE855="",$AF855=""),"",IF(ISNUMBER(Sync!$P855),INT(MOD(Sync!$P855,10000)/100),IFERROR(VALUE(TRIM(LEFT(MID(Sync!$P855,FIND("/",Sync!$P855)+1,20),FIND("/",MID(Sync!$P855,FIND("/",Sync!$P855)+1,20))-1))),"")))</f>
        <v/>
      </c>
      <c r="AH855">
        <f>IF(OR($AE855="",$AF855=""),"",IF(ISNUMBER(Sync!$P855),MOD(Sync!$P855,100),IFERROR(VALUE(TRIM(MID(MID(Sync!$P855,FIND("/",Sync!$P855)+1,20),FIND("/",MID(Sync!$P855,FIND("/",Sync!$P855)+1,20))+1,20))),"")))</f>
        <v/>
      </c>
      <c r="AI855">
        <f>IF($AE855="","",IF(OR($AF855="",$AG855="",$AH855="",$AF855&lt;1300,$AF855&gt;1500,$AG855&lt;1,$AG855&gt;12,$AH855&lt;1,$AH855&gt;31),"نامعتبر",RIGHT("0000"&amp;$AF855,4)&amp;"/"&amp;RIGHT("00"&amp;$AG855,2)&amp;"/"&amp;RIGHT("00"&amp;$AH855,2)))</f>
        <v/>
      </c>
      <c r="AJ855">
        <f>IF($AE855="","",IF(Sync!$Q855="","0000",IF(AND(ISNUMBER(Sync!$Q855),Sync!$Q855&gt;=0,Sync!$Q855&lt;1),RIGHT("00"&amp;HOUR(Sync!$Q855),2)&amp;RIGHT("00"&amp;MINUTE(Sync!$Q855),2),IFERROR(RIGHT("00"&amp;VALUE(LEFT(Sync!$Q855,FIND(":",Sync!$Q855)-1)),2)&amp;RIGHT("00"&amp;VALUE(MID(Sync!$Q855,FIND(":",Sync!$Q855)+1,2)),2),"0000"))))</f>
        <v/>
      </c>
      <c r="AK855">
        <f>IF(OR($AE855="",$AI855="",$AI855="نامعتبر"),"",LEFT($AI855,4)&amp;MID($AI855,6,2)&amp;RIGHT($AI855,2)&amp;$AJ855&amp;"|"&amp;"3"&amp;RIGHT("00000"&amp;850,5))</f>
        <v/>
      </c>
      <c r="AL855">
        <f>IF($AK855="","",COUNTIFS(LdAParty,$AE855,LdAType,1,LdAKey,"&lt;"&amp;$AK855)+COUNTIFS(LdBMember,$AE855,LdBKey,"&lt;"&amp;$AK855)+COUNTIFS(LdCParty,$AE855,LdCKey,"&lt;"&amp;$AK855)+1)</f>
        <v/>
      </c>
      <c r="AM855">
        <f>IF($AL855="","",$AE855&amp;"|"&amp;RIGHT("000000"&amp;$AL855,6))</f>
        <v/>
      </c>
      <c r="AN855">
        <f>IF($AE855="","",IF(Sync!$W855="",0,Sync!$W855))</f>
        <v/>
      </c>
      <c r="AO855">
        <f>IF($AE855="","",IF(Sync!$X855="",0,Sync!$X855))</f>
        <v/>
      </c>
      <c r="AP855">
        <f>IF($AE855="","",Sync!$R855)</f>
        <v/>
      </c>
      <c r="AQ855">
        <f>IF($AE855="","",Sync!$Y855)</f>
        <v/>
      </c>
    </row>
    <row r="856">
      <c r="A856">
        <f>IF(OR(Wages!$B859="",Wages!$E859=""),"",Wages!$E859)</f>
        <v/>
      </c>
      <c r="B856">
        <f>IF($A856="","",IF(Wages!$C859="دستمزد گروهی",2,1))</f>
        <v/>
      </c>
      <c r="C856">
        <f>IF($A856="","",IF(ISNUMBER(Wages!$B859),IF(AND(Wages!$B859&gt;=10000101,Wages!$B859&lt;=99991231),INT(Wages!$B859/10000),""),IFERROR(VALUE(TRIM(LEFT(Wages!$B859,FIND("/",Wages!$B859)-1))),"")))</f>
        <v/>
      </c>
      <c r="D856">
        <f>IF(OR($A856="",$C856=""),"",IF(ISNUMBER(Wages!$B859),INT(MOD(Wages!$B859,10000)/100),IFERROR(VALUE(TRIM(LEFT(MID(Wages!$B859,FIND("/",Wages!$B859)+1,20),FIND("/",MID(Wages!$B859,FIND("/",Wages!$B859)+1,20))-1))),"")))</f>
        <v/>
      </c>
      <c r="E856">
        <f>IF(OR($A856="",$C856=""),"",IF(ISNUMBER(Wages!$B859),MOD(Wages!$B859,100),IFERROR(VALUE(TRIM(MID(MID(Wages!$B859,FIND("/",Wages!$B859)+1,20),FIND("/",MID(Wages!$B859,FIND("/",Wages!$B859)+1,20))+1,20))),"")))</f>
        <v/>
      </c>
      <c r="F856">
        <f>IF($A856="","",IF(OR($C856="",$D856="",$E856="",$C856&lt;1300,$C856&gt;1500,$D856&lt;1,$D856&gt;12,$E856&lt;1,$E856&gt;31),"نامعتبر",RIGHT("0000"&amp;$C856,4)&amp;"/"&amp;RIGHT("00"&amp;$D856,2)&amp;"/"&amp;RIGHT("00"&amp;$E856,2)))</f>
        <v/>
      </c>
      <c r="G856">
        <f>IF(OR($A856="",$F856="",$F856="نامعتبر"),"",LEFT($F856,4)&amp;MID($F856,6,2)&amp;RIGHT($F856,2)&amp;"0000"&amp;"|"&amp;"1"&amp;RIGHT("00000"&amp;851,5))</f>
        <v/>
      </c>
      <c r="H856">
        <f>IF(OR($B856&lt;&gt;1,$G856=""),"",COUNTIFS(LdAParty,$A856,LdAType,1,LdAKey,"&lt;"&amp;$G856)+COUNTIFS(LdBMember,$A856,LdBKey,"&lt;"&amp;$G856)+COUNTIFS(LdCParty,$A856,LdCKey,"&lt;"&amp;$G856)+1)</f>
        <v/>
      </c>
      <c r="I856">
        <f>IF($H856="","",$A856&amp;"|"&amp;RIGHT("000000"&amp;$H856,6))</f>
        <v/>
      </c>
      <c r="J856">
        <f>IF(OR($B856&lt;&gt;2,$G856=""),"",COUNTIFS(LdAParty,$A856,LdAType,2,LdAKey,"&lt;"&amp;$G856)+1)</f>
        <v/>
      </c>
      <c r="K856">
        <f>IF($J856="","",$A856&amp;"|"&amp;RIGHT("000000"&amp;$J856,6))</f>
        <v/>
      </c>
      <c r="L856">
        <f>IF($A856="","",IF(Wages!$G859="",0,Wages!$G859))</f>
        <v/>
      </c>
      <c r="M856">
        <f>IF($A856="","",Wages!$J859)</f>
        <v/>
      </c>
      <c r="N856">
        <f>IF($A856="","",Wages!$D859)</f>
        <v/>
      </c>
      <c r="P856">
        <f>IF(OR(Shares!$B859="",Shares!$C859=""),"",Shares!$C859)</f>
        <v/>
      </c>
      <c r="Q856">
        <f>IF($P856="","",Shares!$B859)</f>
        <v/>
      </c>
      <c r="R856">
        <f>IF($P856="","",IFERROR(INDEX(WageParty,MATCH($Q856,WageIds,0)),""))</f>
        <v/>
      </c>
      <c r="S856">
        <f>IF($P856="","",IFERROR(INDEX($F$6:$F$2005,MATCH($Q856,WageIds,0)),""))</f>
        <v/>
      </c>
      <c r="T856">
        <f>IF(OR($P856="",$S856="",$S856="نامعتبر"),"",LEFT($S856,4)&amp;MID($S856,6,2)&amp;RIGHT($S856,2)&amp;"0000"&amp;"|"&amp;"2"&amp;RIGHT("00000"&amp;851,5))</f>
        <v/>
      </c>
      <c r="U856">
        <f>IF($T856="","",COUNTIFS(LdAParty,$P856,LdAType,1,LdAKey,"&lt;"&amp;$T856)+COUNTIFS(LdBMember,$P856,LdBKey,"&lt;"&amp;$T856)+COUNTIFS(LdCParty,$P856,LdCKey,"&lt;"&amp;$T856)+1)</f>
        <v/>
      </c>
      <c r="V856">
        <f>IF($U856="","",$P856&amp;"|"&amp;RIGHT("000000"&amp;$U856,6))</f>
        <v/>
      </c>
      <c r="W856">
        <f>IF($T856="","",COUNTIFS(LdBGroup,$R856,LdBKey,"&lt;"&amp;$T856)+1)</f>
        <v/>
      </c>
      <c r="X856">
        <f>IF($W856="","",$R856&amp;"|"&amp;RIGHT("000000"&amp;$W856,6))</f>
        <v/>
      </c>
      <c r="Y856">
        <f>IF($P856="","",IF(Shares!$E859="",0,Shares!$E859))</f>
        <v/>
      </c>
      <c r="Z856">
        <f>IF($P856="","",Shares!$H859)</f>
        <v/>
      </c>
      <c r="AE856">
        <f>IF(OR(Sync!$S856="",Sync!$P856=""),"",Sync!$S856)</f>
        <v/>
      </c>
      <c r="AF856">
        <f>IF($AE856="","",IF(ISNUMBER(Sync!$P856),IF(AND(Sync!$P856&gt;=10000101,Sync!$P856&lt;=99991231),INT(Sync!$P856/10000),""),IFERROR(VALUE(TRIM(LEFT(Sync!$P856,FIND("/",Sync!$P856)-1))),"")))</f>
        <v/>
      </c>
      <c r="AG856">
        <f>IF(OR($AE856="",$AF856=""),"",IF(ISNUMBER(Sync!$P856),INT(MOD(Sync!$P856,10000)/100),IFERROR(VALUE(TRIM(LEFT(MID(Sync!$P856,FIND("/",Sync!$P856)+1,20),FIND("/",MID(Sync!$P856,FIND("/",Sync!$P856)+1,20))-1))),"")))</f>
        <v/>
      </c>
      <c r="AH856">
        <f>IF(OR($AE856="",$AF856=""),"",IF(ISNUMBER(Sync!$P856),MOD(Sync!$P856,100),IFERROR(VALUE(TRIM(MID(MID(Sync!$P856,FIND("/",Sync!$P856)+1,20),FIND("/",MID(Sync!$P856,FIND("/",Sync!$P856)+1,20))+1,20))),"")))</f>
        <v/>
      </c>
      <c r="AI856">
        <f>IF($AE856="","",IF(OR($AF856="",$AG856="",$AH856="",$AF856&lt;1300,$AF856&gt;1500,$AG856&lt;1,$AG856&gt;12,$AH856&lt;1,$AH856&gt;31),"نامعتبر",RIGHT("0000"&amp;$AF856,4)&amp;"/"&amp;RIGHT("00"&amp;$AG856,2)&amp;"/"&amp;RIGHT("00"&amp;$AH856,2)))</f>
        <v/>
      </c>
      <c r="AJ856">
        <f>IF($AE856="","",IF(Sync!$Q856="","0000",IF(AND(ISNUMBER(Sync!$Q856),Sync!$Q856&gt;=0,Sync!$Q856&lt;1),RIGHT("00"&amp;HOUR(Sync!$Q856),2)&amp;RIGHT("00"&amp;MINUTE(Sync!$Q856),2),IFERROR(RIGHT("00"&amp;VALUE(LEFT(Sync!$Q856,FIND(":",Sync!$Q856)-1)),2)&amp;RIGHT("00"&amp;VALUE(MID(Sync!$Q856,FIND(":",Sync!$Q856)+1,2)),2),"0000"))))</f>
        <v/>
      </c>
      <c r="AK856">
        <f>IF(OR($AE856="",$AI856="",$AI856="نامعتبر"),"",LEFT($AI856,4)&amp;MID($AI856,6,2)&amp;RIGHT($AI856,2)&amp;$AJ856&amp;"|"&amp;"3"&amp;RIGHT("00000"&amp;851,5))</f>
        <v/>
      </c>
      <c r="AL856">
        <f>IF($AK856="","",COUNTIFS(LdAParty,$AE856,LdAType,1,LdAKey,"&lt;"&amp;$AK856)+COUNTIFS(LdBMember,$AE856,LdBKey,"&lt;"&amp;$AK856)+COUNTIFS(LdCParty,$AE856,LdCKey,"&lt;"&amp;$AK856)+1)</f>
        <v/>
      </c>
      <c r="AM856">
        <f>IF($AL856="","",$AE856&amp;"|"&amp;RIGHT("000000"&amp;$AL856,6))</f>
        <v/>
      </c>
      <c r="AN856">
        <f>IF($AE856="","",IF(Sync!$W856="",0,Sync!$W856))</f>
        <v/>
      </c>
      <c r="AO856">
        <f>IF($AE856="","",IF(Sync!$X856="",0,Sync!$X856))</f>
        <v/>
      </c>
      <c r="AP856">
        <f>IF($AE856="","",Sync!$R856)</f>
        <v/>
      </c>
      <c r="AQ856">
        <f>IF($AE856="","",Sync!$Y856)</f>
        <v/>
      </c>
    </row>
    <row r="857">
      <c r="A857">
        <f>IF(OR(Wages!$B860="",Wages!$E860=""),"",Wages!$E860)</f>
        <v/>
      </c>
      <c r="B857">
        <f>IF($A857="","",IF(Wages!$C860="دستمزد گروهی",2,1))</f>
        <v/>
      </c>
      <c r="C857">
        <f>IF($A857="","",IF(ISNUMBER(Wages!$B860),IF(AND(Wages!$B860&gt;=10000101,Wages!$B860&lt;=99991231),INT(Wages!$B860/10000),""),IFERROR(VALUE(TRIM(LEFT(Wages!$B860,FIND("/",Wages!$B860)-1))),"")))</f>
        <v/>
      </c>
      <c r="D857">
        <f>IF(OR($A857="",$C857=""),"",IF(ISNUMBER(Wages!$B860),INT(MOD(Wages!$B860,10000)/100),IFERROR(VALUE(TRIM(LEFT(MID(Wages!$B860,FIND("/",Wages!$B860)+1,20),FIND("/",MID(Wages!$B860,FIND("/",Wages!$B860)+1,20))-1))),"")))</f>
        <v/>
      </c>
      <c r="E857">
        <f>IF(OR($A857="",$C857=""),"",IF(ISNUMBER(Wages!$B860),MOD(Wages!$B860,100),IFERROR(VALUE(TRIM(MID(MID(Wages!$B860,FIND("/",Wages!$B860)+1,20),FIND("/",MID(Wages!$B860,FIND("/",Wages!$B860)+1,20))+1,20))),"")))</f>
        <v/>
      </c>
      <c r="F857">
        <f>IF($A857="","",IF(OR($C857="",$D857="",$E857="",$C857&lt;1300,$C857&gt;1500,$D857&lt;1,$D857&gt;12,$E857&lt;1,$E857&gt;31),"نامعتبر",RIGHT("0000"&amp;$C857,4)&amp;"/"&amp;RIGHT("00"&amp;$D857,2)&amp;"/"&amp;RIGHT("00"&amp;$E857,2)))</f>
        <v/>
      </c>
      <c r="G857">
        <f>IF(OR($A857="",$F857="",$F857="نامعتبر"),"",LEFT($F857,4)&amp;MID($F857,6,2)&amp;RIGHT($F857,2)&amp;"0000"&amp;"|"&amp;"1"&amp;RIGHT("00000"&amp;852,5))</f>
        <v/>
      </c>
      <c r="H857">
        <f>IF(OR($B857&lt;&gt;1,$G857=""),"",COUNTIFS(LdAParty,$A857,LdAType,1,LdAKey,"&lt;"&amp;$G857)+COUNTIFS(LdBMember,$A857,LdBKey,"&lt;"&amp;$G857)+COUNTIFS(LdCParty,$A857,LdCKey,"&lt;"&amp;$G857)+1)</f>
        <v/>
      </c>
      <c r="I857">
        <f>IF($H857="","",$A857&amp;"|"&amp;RIGHT("000000"&amp;$H857,6))</f>
        <v/>
      </c>
      <c r="J857">
        <f>IF(OR($B857&lt;&gt;2,$G857=""),"",COUNTIFS(LdAParty,$A857,LdAType,2,LdAKey,"&lt;"&amp;$G857)+1)</f>
        <v/>
      </c>
      <c r="K857">
        <f>IF($J857="","",$A857&amp;"|"&amp;RIGHT("000000"&amp;$J857,6))</f>
        <v/>
      </c>
      <c r="L857">
        <f>IF($A857="","",IF(Wages!$G860="",0,Wages!$G860))</f>
        <v/>
      </c>
      <c r="M857">
        <f>IF($A857="","",Wages!$J860)</f>
        <v/>
      </c>
      <c r="N857">
        <f>IF($A857="","",Wages!$D860)</f>
        <v/>
      </c>
      <c r="P857">
        <f>IF(OR(Shares!$B860="",Shares!$C860=""),"",Shares!$C860)</f>
        <v/>
      </c>
      <c r="Q857">
        <f>IF($P857="","",Shares!$B860)</f>
        <v/>
      </c>
      <c r="R857">
        <f>IF($P857="","",IFERROR(INDEX(WageParty,MATCH($Q857,WageIds,0)),""))</f>
        <v/>
      </c>
      <c r="S857">
        <f>IF($P857="","",IFERROR(INDEX($F$6:$F$2005,MATCH($Q857,WageIds,0)),""))</f>
        <v/>
      </c>
      <c r="T857">
        <f>IF(OR($P857="",$S857="",$S857="نامعتبر"),"",LEFT($S857,4)&amp;MID($S857,6,2)&amp;RIGHT($S857,2)&amp;"0000"&amp;"|"&amp;"2"&amp;RIGHT("00000"&amp;852,5))</f>
        <v/>
      </c>
      <c r="U857">
        <f>IF($T857="","",COUNTIFS(LdAParty,$P857,LdAType,1,LdAKey,"&lt;"&amp;$T857)+COUNTIFS(LdBMember,$P857,LdBKey,"&lt;"&amp;$T857)+COUNTIFS(LdCParty,$P857,LdCKey,"&lt;"&amp;$T857)+1)</f>
        <v/>
      </c>
      <c r="V857">
        <f>IF($U857="","",$P857&amp;"|"&amp;RIGHT("000000"&amp;$U857,6))</f>
        <v/>
      </c>
      <c r="W857">
        <f>IF($T857="","",COUNTIFS(LdBGroup,$R857,LdBKey,"&lt;"&amp;$T857)+1)</f>
        <v/>
      </c>
      <c r="X857">
        <f>IF($W857="","",$R857&amp;"|"&amp;RIGHT("000000"&amp;$W857,6))</f>
        <v/>
      </c>
      <c r="Y857">
        <f>IF($P857="","",IF(Shares!$E860="",0,Shares!$E860))</f>
        <v/>
      </c>
      <c r="Z857">
        <f>IF($P857="","",Shares!$H860)</f>
        <v/>
      </c>
      <c r="AE857">
        <f>IF(OR(Sync!$S857="",Sync!$P857=""),"",Sync!$S857)</f>
        <v/>
      </c>
      <c r="AF857">
        <f>IF($AE857="","",IF(ISNUMBER(Sync!$P857),IF(AND(Sync!$P857&gt;=10000101,Sync!$P857&lt;=99991231),INT(Sync!$P857/10000),""),IFERROR(VALUE(TRIM(LEFT(Sync!$P857,FIND("/",Sync!$P857)-1))),"")))</f>
        <v/>
      </c>
      <c r="AG857">
        <f>IF(OR($AE857="",$AF857=""),"",IF(ISNUMBER(Sync!$P857),INT(MOD(Sync!$P857,10000)/100),IFERROR(VALUE(TRIM(LEFT(MID(Sync!$P857,FIND("/",Sync!$P857)+1,20),FIND("/",MID(Sync!$P857,FIND("/",Sync!$P857)+1,20))-1))),"")))</f>
        <v/>
      </c>
      <c r="AH857">
        <f>IF(OR($AE857="",$AF857=""),"",IF(ISNUMBER(Sync!$P857),MOD(Sync!$P857,100),IFERROR(VALUE(TRIM(MID(MID(Sync!$P857,FIND("/",Sync!$P857)+1,20),FIND("/",MID(Sync!$P857,FIND("/",Sync!$P857)+1,20))+1,20))),"")))</f>
        <v/>
      </c>
      <c r="AI857">
        <f>IF($AE857="","",IF(OR($AF857="",$AG857="",$AH857="",$AF857&lt;1300,$AF857&gt;1500,$AG857&lt;1,$AG857&gt;12,$AH857&lt;1,$AH857&gt;31),"نامعتبر",RIGHT("0000"&amp;$AF857,4)&amp;"/"&amp;RIGHT("00"&amp;$AG857,2)&amp;"/"&amp;RIGHT("00"&amp;$AH857,2)))</f>
        <v/>
      </c>
      <c r="AJ857">
        <f>IF($AE857="","",IF(Sync!$Q857="","0000",IF(AND(ISNUMBER(Sync!$Q857),Sync!$Q857&gt;=0,Sync!$Q857&lt;1),RIGHT("00"&amp;HOUR(Sync!$Q857),2)&amp;RIGHT("00"&amp;MINUTE(Sync!$Q857),2),IFERROR(RIGHT("00"&amp;VALUE(LEFT(Sync!$Q857,FIND(":",Sync!$Q857)-1)),2)&amp;RIGHT("00"&amp;VALUE(MID(Sync!$Q857,FIND(":",Sync!$Q857)+1,2)),2),"0000"))))</f>
        <v/>
      </c>
      <c r="AK857">
        <f>IF(OR($AE857="",$AI857="",$AI857="نامعتبر"),"",LEFT($AI857,4)&amp;MID($AI857,6,2)&amp;RIGHT($AI857,2)&amp;$AJ857&amp;"|"&amp;"3"&amp;RIGHT("00000"&amp;852,5))</f>
        <v/>
      </c>
      <c r="AL857">
        <f>IF($AK857="","",COUNTIFS(LdAParty,$AE857,LdAType,1,LdAKey,"&lt;"&amp;$AK857)+COUNTIFS(LdBMember,$AE857,LdBKey,"&lt;"&amp;$AK857)+COUNTIFS(LdCParty,$AE857,LdCKey,"&lt;"&amp;$AK857)+1)</f>
        <v/>
      </c>
      <c r="AM857">
        <f>IF($AL857="","",$AE857&amp;"|"&amp;RIGHT("000000"&amp;$AL857,6))</f>
        <v/>
      </c>
      <c r="AN857">
        <f>IF($AE857="","",IF(Sync!$W857="",0,Sync!$W857))</f>
        <v/>
      </c>
      <c r="AO857">
        <f>IF($AE857="","",IF(Sync!$X857="",0,Sync!$X857))</f>
        <v/>
      </c>
      <c r="AP857">
        <f>IF($AE857="","",Sync!$R857)</f>
        <v/>
      </c>
      <c r="AQ857">
        <f>IF($AE857="","",Sync!$Y857)</f>
        <v/>
      </c>
    </row>
    <row r="858">
      <c r="A858">
        <f>IF(OR(Wages!$B861="",Wages!$E861=""),"",Wages!$E861)</f>
        <v/>
      </c>
      <c r="B858">
        <f>IF($A858="","",IF(Wages!$C861="دستمزد گروهی",2,1))</f>
        <v/>
      </c>
      <c r="C858">
        <f>IF($A858="","",IF(ISNUMBER(Wages!$B861),IF(AND(Wages!$B861&gt;=10000101,Wages!$B861&lt;=99991231),INT(Wages!$B861/10000),""),IFERROR(VALUE(TRIM(LEFT(Wages!$B861,FIND("/",Wages!$B861)-1))),"")))</f>
        <v/>
      </c>
      <c r="D858">
        <f>IF(OR($A858="",$C858=""),"",IF(ISNUMBER(Wages!$B861),INT(MOD(Wages!$B861,10000)/100),IFERROR(VALUE(TRIM(LEFT(MID(Wages!$B861,FIND("/",Wages!$B861)+1,20),FIND("/",MID(Wages!$B861,FIND("/",Wages!$B861)+1,20))-1))),"")))</f>
        <v/>
      </c>
      <c r="E858">
        <f>IF(OR($A858="",$C858=""),"",IF(ISNUMBER(Wages!$B861),MOD(Wages!$B861,100),IFERROR(VALUE(TRIM(MID(MID(Wages!$B861,FIND("/",Wages!$B861)+1,20),FIND("/",MID(Wages!$B861,FIND("/",Wages!$B861)+1,20))+1,20))),"")))</f>
        <v/>
      </c>
      <c r="F858">
        <f>IF($A858="","",IF(OR($C858="",$D858="",$E858="",$C858&lt;1300,$C858&gt;1500,$D858&lt;1,$D858&gt;12,$E858&lt;1,$E858&gt;31),"نامعتبر",RIGHT("0000"&amp;$C858,4)&amp;"/"&amp;RIGHT("00"&amp;$D858,2)&amp;"/"&amp;RIGHT("00"&amp;$E858,2)))</f>
        <v/>
      </c>
      <c r="G858">
        <f>IF(OR($A858="",$F858="",$F858="نامعتبر"),"",LEFT($F858,4)&amp;MID($F858,6,2)&amp;RIGHT($F858,2)&amp;"0000"&amp;"|"&amp;"1"&amp;RIGHT("00000"&amp;853,5))</f>
        <v/>
      </c>
      <c r="H858">
        <f>IF(OR($B858&lt;&gt;1,$G858=""),"",COUNTIFS(LdAParty,$A858,LdAType,1,LdAKey,"&lt;"&amp;$G858)+COUNTIFS(LdBMember,$A858,LdBKey,"&lt;"&amp;$G858)+COUNTIFS(LdCParty,$A858,LdCKey,"&lt;"&amp;$G858)+1)</f>
        <v/>
      </c>
      <c r="I858">
        <f>IF($H858="","",$A858&amp;"|"&amp;RIGHT("000000"&amp;$H858,6))</f>
        <v/>
      </c>
      <c r="J858">
        <f>IF(OR($B858&lt;&gt;2,$G858=""),"",COUNTIFS(LdAParty,$A858,LdAType,2,LdAKey,"&lt;"&amp;$G858)+1)</f>
        <v/>
      </c>
      <c r="K858">
        <f>IF($J858="","",$A858&amp;"|"&amp;RIGHT("000000"&amp;$J858,6))</f>
        <v/>
      </c>
      <c r="L858">
        <f>IF($A858="","",IF(Wages!$G861="",0,Wages!$G861))</f>
        <v/>
      </c>
      <c r="M858">
        <f>IF($A858="","",Wages!$J861)</f>
        <v/>
      </c>
      <c r="N858">
        <f>IF($A858="","",Wages!$D861)</f>
        <v/>
      </c>
      <c r="P858">
        <f>IF(OR(Shares!$B861="",Shares!$C861=""),"",Shares!$C861)</f>
        <v/>
      </c>
      <c r="Q858">
        <f>IF($P858="","",Shares!$B861)</f>
        <v/>
      </c>
      <c r="R858">
        <f>IF($P858="","",IFERROR(INDEX(WageParty,MATCH($Q858,WageIds,0)),""))</f>
        <v/>
      </c>
      <c r="S858">
        <f>IF($P858="","",IFERROR(INDEX($F$6:$F$2005,MATCH($Q858,WageIds,0)),""))</f>
        <v/>
      </c>
      <c r="T858">
        <f>IF(OR($P858="",$S858="",$S858="نامعتبر"),"",LEFT($S858,4)&amp;MID($S858,6,2)&amp;RIGHT($S858,2)&amp;"0000"&amp;"|"&amp;"2"&amp;RIGHT("00000"&amp;853,5))</f>
        <v/>
      </c>
      <c r="U858">
        <f>IF($T858="","",COUNTIFS(LdAParty,$P858,LdAType,1,LdAKey,"&lt;"&amp;$T858)+COUNTIFS(LdBMember,$P858,LdBKey,"&lt;"&amp;$T858)+COUNTIFS(LdCParty,$P858,LdCKey,"&lt;"&amp;$T858)+1)</f>
        <v/>
      </c>
      <c r="V858">
        <f>IF($U858="","",$P858&amp;"|"&amp;RIGHT("000000"&amp;$U858,6))</f>
        <v/>
      </c>
      <c r="W858">
        <f>IF($T858="","",COUNTIFS(LdBGroup,$R858,LdBKey,"&lt;"&amp;$T858)+1)</f>
        <v/>
      </c>
      <c r="X858">
        <f>IF($W858="","",$R858&amp;"|"&amp;RIGHT("000000"&amp;$W858,6))</f>
        <v/>
      </c>
      <c r="Y858">
        <f>IF($P858="","",IF(Shares!$E861="",0,Shares!$E861))</f>
        <v/>
      </c>
      <c r="Z858">
        <f>IF($P858="","",Shares!$H861)</f>
        <v/>
      </c>
      <c r="AE858">
        <f>IF(OR(Sync!$S858="",Sync!$P858=""),"",Sync!$S858)</f>
        <v/>
      </c>
      <c r="AF858">
        <f>IF($AE858="","",IF(ISNUMBER(Sync!$P858),IF(AND(Sync!$P858&gt;=10000101,Sync!$P858&lt;=99991231),INT(Sync!$P858/10000),""),IFERROR(VALUE(TRIM(LEFT(Sync!$P858,FIND("/",Sync!$P858)-1))),"")))</f>
        <v/>
      </c>
      <c r="AG858">
        <f>IF(OR($AE858="",$AF858=""),"",IF(ISNUMBER(Sync!$P858),INT(MOD(Sync!$P858,10000)/100),IFERROR(VALUE(TRIM(LEFT(MID(Sync!$P858,FIND("/",Sync!$P858)+1,20),FIND("/",MID(Sync!$P858,FIND("/",Sync!$P858)+1,20))-1))),"")))</f>
        <v/>
      </c>
      <c r="AH858">
        <f>IF(OR($AE858="",$AF858=""),"",IF(ISNUMBER(Sync!$P858),MOD(Sync!$P858,100),IFERROR(VALUE(TRIM(MID(MID(Sync!$P858,FIND("/",Sync!$P858)+1,20),FIND("/",MID(Sync!$P858,FIND("/",Sync!$P858)+1,20))+1,20))),"")))</f>
        <v/>
      </c>
      <c r="AI858">
        <f>IF($AE858="","",IF(OR($AF858="",$AG858="",$AH858="",$AF858&lt;1300,$AF858&gt;1500,$AG858&lt;1,$AG858&gt;12,$AH858&lt;1,$AH858&gt;31),"نامعتبر",RIGHT("0000"&amp;$AF858,4)&amp;"/"&amp;RIGHT("00"&amp;$AG858,2)&amp;"/"&amp;RIGHT("00"&amp;$AH858,2)))</f>
        <v/>
      </c>
      <c r="AJ858">
        <f>IF($AE858="","",IF(Sync!$Q858="","0000",IF(AND(ISNUMBER(Sync!$Q858),Sync!$Q858&gt;=0,Sync!$Q858&lt;1),RIGHT("00"&amp;HOUR(Sync!$Q858),2)&amp;RIGHT("00"&amp;MINUTE(Sync!$Q858),2),IFERROR(RIGHT("00"&amp;VALUE(LEFT(Sync!$Q858,FIND(":",Sync!$Q858)-1)),2)&amp;RIGHT("00"&amp;VALUE(MID(Sync!$Q858,FIND(":",Sync!$Q858)+1,2)),2),"0000"))))</f>
        <v/>
      </c>
      <c r="AK858">
        <f>IF(OR($AE858="",$AI858="",$AI858="نامعتبر"),"",LEFT($AI858,4)&amp;MID($AI858,6,2)&amp;RIGHT($AI858,2)&amp;$AJ858&amp;"|"&amp;"3"&amp;RIGHT("00000"&amp;853,5))</f>
        <v/>
      </c>
      <c r="AL858">
        <f>IF($AK858="","",COUNTIFS(LdAParty,$AE858,LdAType,1,LdAKey,"&lt;"&amp;$AK858)+COUNTIFS(LdBMember,$AE858,LdBKey,"&lt;"&amp;$AK858)+COUNTIFS(LdCParty,$AE858,LdCKey,"&lt;"&amp;$AK858)+1)</f>
        <v/>
      </c>
      <c r="AM858">
        <f>IF($AL858="","",$AE858&amp;"|"&amp;RIGHT("000000"&amp;$AL858,6))</f>
        <v/>
      </c>
      <c r="AN858">
        <f>IF($AE858="","",IF(Sync!$W858="",0,Sync!$W858))</f>
        <v/>
      </c>
      <c r="AO858">
        <f>IF($AE858="","",IF(Sync!$X858="",0,Sync!$X858))</f>
        <v/>
      </c>
      <c r="AP858">
        <f>IF($AE858="","",Sync!$R858)</f>
        <v/>
      </c>
      <c r="AQ858">
        <f>IF($AE858="","",Sync!$Y858)</f>
        <v/>
      </c>
    </row>
    <row r="859">
      <c r="A859">
        <f>IF(OR(Wages!$B862="",Wages!$E862=""),"",Wages!$E862)</f>
        <v/>
      </c>
      <c r="B859">
        <f>IF($A859="","",IF(Wages!$C862="دستمزد گروهی",2,1))</f>
        <v/>
      </c>
      <c r="C859">
        <f>IF($A859="","",IF(ISNUMBER(Wages!$B862),IF(AND(Wages!$B862&gt;=10000101,Wages!$B862&lt;=99991231),INT(Wages!$B862/10000),""),IFERROR(VALUE(TRIM(LEFT(Wages!$B862,FIND("/",Wages!$B862)-1))),"")))</f>
        <v/>
      </c>
      <c r="D859">
        <f>IF(OR($A859="",$C859=""),"",IF(ISNUMBER(Wages!$B862),INT(MOD(Wages!$B862,10000)/100),IFERROR(VALUE(TRIM(LEFT(MID(Wages!$B862,FIND("/",Wages!$B862)+1,20),FIND("/",MID(Wages!$B862,FIND("/",Wages!$B862)+1,20))-1))),"")))</f>
        <v/>
      </c>
      <c r="E859">
        <f>IF(OR($A859="",$C859=""),"",IF(ISNUMBER(Wages!$B862),MOD(Wages!$B862,100),IFERROR(VALUE(TRIM(MID(MID(Wages!$B862,FIND("/",Wages!$B862)+1,20),FIND("/",MID(Wages!$B862,FIND("/",Wages!$B862)+1,20))+1,20))),"")))</f>
        <v/>
      </c>
      <c r="F859">
        <f>IF($A859="","",IF(OR($C859="",$D859="",$E859="",$C859&lt;1300,$C859&gt;1500,$D859&lt;1,$D859&gt;12,$E859&lt;1,$E859&gt;31),"نامعتبر",RIGHT("0000"&amp;$C859,4)&amp;"/"&amp;RIGHT("00"&amp;$D859,2)&amp;"/"&amp;RIGHT("00"&amp;$E859,2)))</f>
        <v/>
      </c>
      <c r="G859">
        <f>IF(OR($A859="",$F859="",$F859="نامعتبر"),"",LEFT($F859,4)&amp;MID($F859,6,2)&amp;RIGHT($F859,2)&amp;"0000"&amp;"|"&amp;"1"&amp;RIGHT("00000"&amp;854,5))</f>
        <v/>
      </c>
      <c r="H859">
        <f>IF(OR($B859&lt;&gt;1,$G859=""),"",COUNTIFS(LdAParty,$A859,LdAType,1,LdAKey,"&lt;"&amp;$G859)+COUNTIFS(LdBMember,$A859,LdBKey,"&lt;"&amp;$G859)+COUNTIFS(LdCParty,$A859,LdCKey,"&lt;"&amp;$G859)+1)</f>
        <v/>
      </c>
      <c r="I859">
        <f>IF($H859="","",$A859&amp;"|"&amp;RIGHT("000000"&amp;$H859,6))</f>
        <v/>
      </c>
      <c r="J859">
        <f>IF(OR($B859&lt;&gt;2,$G859=""),"",COUNTIFS(LdAParty,$A859,LdAType,2,LdAKey,"&lt;"&amp;$G859)+1)</f>
        <v/>
      </c>
      <c r="K859">
        <f>IF($J859="","",$A859&amp;"|"&amp;RIGHT("000000"&amp;$J859,6))</f>
        <v/>
      </c>
      <c r="L859">
        <f>IF($A859="","",IF(Wages!$G862="",0,Wages!$G862))</f>
        <v/>
      </c>
      <c r="M859">
        <f>IF($A859="","",Wages!$J862)</f>
        <v/>
      </c>
      <c r="N859">
        <f>IF($A859="","",Wages!$D862)</f>
        <v/>
      </c>
      <c r="P859">
        <f>IF(OR(Shares!$B862="",Shares!$C862=""),"",Shares!$C862)</f>
        <v/>
      </c>
      <c r="Q859">
        <f>IF($P859="","",Shares!$B862)</f>
        <v/>
      </c>
      <c r="R859">
        <f>IF($P859="","",IFERROR(INDEX(WageParty,MATCH($Q859,WageIds,0)),""))</f>
        <v/>
      </c>
      <c r="S859">
        <f>IF($P859="","",IFERROR(INDEX($F$6:$F$2005,MATCH($Q859,WageIds,0)),""))</f>
        <v/>
      </c>
      <c r="T859">
        <f>IF(OR($P859="",$S859="",$S859="نامعتبر"),"",LEFT($S859,4)&amp;MID($S859,6,2)&amp;RIGHT($S859,2)&amp;"0000"&amp;"|"&amp;"2"&amp;RIGHT("00000"&amp;854,5))</f>
        <v/>
      </c>
      <c r="U859">
        <f>IF($T859="","",COUNTIFS(LdAParty,$P859,LdAType,1,LdAKey,"&lt;"&amp;$T859)+COUNTIFS(LdBMember,$P859,LdBKey,"&lt;"&amp;$T859)+COUNTIFS(LdCParty,$P859,LdCKey,"&lt;"&amp;$T859)+1)</f>
        <v/>
      </c>
      <c r="V859">
        <f>IF($U859="","",$P859&amp;"|"&amp;RIGHT("000000"&amp;$U859,6))</f>
        <v/>
      </c>
      <c r="W859">
        <f>IF($T859="","",COUNTIFS(LdBGroup,$R859,LdBKey,"&lt;"&amp;$T859)+1)</f>
        <v/>
      </c>
      <c r="X859">
        <f>IF($W859="","",$R859&amp;"|"&amp;RIGHT("000000"&amp;$W859,6))</f>
        <v/>
      </c>
      <c r="Y859">
        <f>IF($P859="","",IF(Shares!$E862="",0,Shares!$E862))</f>
        <v/>
      </c>
      <c r="Z859">
        <f>IF($P859="","",Shares!$H862)</f>
        <v/>
      </c>
      <c r="AE859">
        <f>IF(OR(Sync!$S859="",Sync!$P859=""),"",Sync!$S859)</f>
        <v/>
      </c>
      <c r="AF859">
        <f>IF($AE859="","",IF(ISNUMBER(Sync!$P859),IF(AND(Sync!$P859&gt;=10000101,Sync!$P859&lt;=99991231),INT(Sync!$P859/10000),""),IFERROR(VALUE(TRIM(LEFT(Sync!$P859,FIND("/",Sync!$P859)-1))),"")))</f>
        <v/>
      </c>
      <c r="AG859">
        <f>IF(OR($AE859="",$AF859=""),"",IF(ISNUMBER(Sync!$P859),INT(MOD(Sync!$P859,10000)/100),IFERROR(VALUE(TRIM(LEFT(MID(Sync!$P859,FIND("/",Sync!$P859)+1,20),FIND("/",MID(Sync!$P859,FIND("/",Sync!$P859)+1,20))-1))),"")))</f>
        <v/>
      </c>
      <c r="AH859">
        <f>IF(OR($AE859="",$AF859=""),"",IF(ISNUMBER(Sync!$P859),MOD(Sync!$P859,100),IFERROR(VALUE(TRIM(MID(MID(Sync!$P859,FIND("/",Sync!$P859)+1,20),FIND("/",MID(Sync!$P859,FIND("/",Sync!$P859)+1,20))+1,20))),"")))</f>
        <v/>
      </c>
      <c r="AI859">
        <f>IF($AE859="","",IF(OR($AF859="",$AG859="",$AH859="",$AF859&lt;1300,$AF859&gt;1500,$AG859&lt;1,$AG859&gt;12,$AH859&lt;1,$AH859&gt;31),"نامعتبر",RIGHT("0000"&amp;$AF859,4)&amp;"/"&amp;RIGHT("00"&amp;$AG859,2)&amp;"/"&amp;RIGHT("00"&amp;$AH859,2)))</f>
        <v/>
      </c>
      <c r="AJ859">
        <f>IF($AE859="","",IF(Sync!$Q859="","0000",IF(AND(ISNUMBER(Sync!$Q859),Sync!$Q859&gt;=0,Sync!$Q859&lt;1),RIGHT("00"&amp;HOUR(Sync!$Q859),2)&amp;RIGHT("00"&amp;MINUTE(Sync!$Q859),2),IFERROR(RIGHT("00"&amp;VALUE(LEFT(Sync!$Q859,FIND(":",Sync!$Q859)-1)),2)&amp;RIGHT("00"&amp;VALUE(MID(Sync!$Q859,FIND(":",Sync!$Q859)+1,2)),2),"0000"))))</f>
        <v/>
      </c>
      <c r="AK859">
        <f>IF(OR($AE859="",$AI859="",$AI859="نامعتبر"),"",LEFT($AI859,4)&amp;MID($AI859,6,2)&amp;RIGHT($AI859,2)&amp;$AJ859&amp;"|"&amp;"3"&amp;RIGHT("00000"&amp;854,5))</f>
        <v/>
      </c>
      <c r="AL859">
        <f>IF($AK859="","",COUNTIFS(LdAParty,$AE859,LdAType,1,LdAKey,"&lt;"&amp;$AK859)+COUNTIFS(LdBMember,$AE859,LdBKey,"&lt;"&amp;$AK859)+COUNTIFS(LdCParty,$AE859,LdCKey,"&lt;"&amp;$AK859)+1)</f>
        <v/>
      </c>
      <c r="AM859">
        <f>IF($AL859="","",$AE859&amp;"|"&amp;RIGHT("000000"&amp;$AL859,6))</f>
        <v/>
      </c>
      <c r="AN859">
        <f>IF($AE859="","",IF(Sync!$W859="",0,Sync!$W859))</f>
        <v/>
      </c>
      <c r="AO859">
        <f>IF($AE859="","",IF(Sync!$X859="",0,Sync!$X859))</f>
        <v/>
      </c>
      <c r="AP859">
        <f>IF($AE859="","",Sync!$R859)</f>
        <v/>
      </c>
      <c r="AQ859">
        <f>IF($AE859="","",Sync!$Y859)</f>
        <v/>
      </c>
    </row>
    <row r="860">
      <c r="A860">
        <f>IF(OR(Wages!$B863="",Wages!$E863=""),"",Wages!$E863)</f>
        <v/>
      </c>
      <c r="B860">
        <f>IF($A860="","",IF(Wages!$C863="دستمزد گروهی",2,1))</f>
        <v/>
      </c>
      <c r="C860">
        <f>IF($A860="","",IF(ISNUMBER(Wages!$B863),IF(AND(Wages!$B863&gt;=10000101,Wages!$B863&lt;=99991231),INT(Wages!$B863/10000),""),IFERROR(VALUE(TRIM(LEFT(Wages!$B863,FIND("/",Wages!$B863)-1))),"")))</f>
        <v/>
      </c>
      <c r="D860">
        <f>IF(OR($A860="",$C860=""),"",IF(ISNUMBER(Wages!$B863),INT(MOD(Wages!$B863,10000)/100),IFERROR(VALUE(TRIM(LEFT(MID(Wages!$B863,FIND("/",Wages!$B863)+1,20),FIND("/",MID(Wages!$B863,FIND("/",Wages!$B863)+1,20))-1))),"")))</f>
        <v/>
      </c>
      <c r="E860">
        <f>IF(OR($A860="",$C860=""),"",IF(ISNUMBER(Wages!$B863),MOD(Wages!$B863,100),IFERROR(VALUE(TRIM(MID(MID(Wages!$B863,FIND("/",Wages!$B863)+1,20),FIND("/",MID(Wages!$B863,FIND("/",Wages!$B863)+1,20))+1,20))),"")))</f>
        <v/>
      </c>
      <c r="F860">
        <f>IF($A860="","",IF(OR($C860="",$D860="",$E860="",$C860&lt;1300,$C860&gt;1500,$D860&lt;1,$D860&gt;12,$E860&lt;1,$E860&gt;31),"نامعتبر",RIGHT("0000"&amp;$C860,4)&amp;"/"&amp;RIGHT("00"&amp;$D860,2)&amp;"/"&amp;RIGHT("00"&amp;$E860,2)))</f>
        <v/>
      </c>
      <c r="G860">
        <f>IF(OR($A860="",$F860="",$F860="نامعتبر"),"",LEFT($F860,4)&amp;MID($F860,6,2)&amp;RIGHT($F860,2)&amp;"0000"&amp;"|"&amp;"1"&amp;RIGHT("00000"&amp;855,5))</f>
        <v/>
      </c>
      <c r="H860">
        <f>IF(OR($B860&lt;&gt;1,$G860=""),"",COUNTIFS(LdAParty,$A860,LdAType,1,LdAKey,"&lt;"&amp;$G860)+COUNTIFS(LdBMember,$A860,LdBKey,"&lt;"&amp;$G860)+COUNTIFS(LdCParty,$A860,LdCKey,"&lt;"&amp;$G860)+1)</f>
        <v/>
      </c>
      <c r="I860">
        <f>IF($H860="","",$A860&amp;"|"&amp;RIGHT("000000"&amp;$H860,6))</f>
        <v/>
      </c>
      <c r="J860">
        <f>IF(OR($B860&lt;&gt;2,$G860=""),"",COUNTIFS(LdAParty,$A860,LdAType,2,LdAKey,"&lt;"&amp;$G860)+1)</f>
        <v/>
      </c>
      <c r="K860">
        <f>IF($J860="","",$A860&amp;"|"&amp;RIGHT("000000"&amp;$J860,6))</f>
        <v/>
      </c>
      <c r="L860">
        <f>IF($A860="","",IF(Wages!$G863="",0,Wages!$G863))</f>
        <v/>
      </c>
      <c r="M860">
        <f>IF($A860="","",Wages!$J863)</f>
        <v/>
      </c>
      <c r="N860">
        <f>IF($A860="","",Wages!$D863)</f>
        <v/>
      </c>
      <c r="P860">
        <f>IF(OR(Shares!$B863="",Shares!$C863=""),"",Shares!$C863)</f>
        <v/>
      </c>
      <c r="Q860">
        <f>IF($P860="","",Shares!$B863)</f>
        <v/>
      </c>
      <c r="R860">
        <f>IF($P860="","",IFERROR(INDEX(WageParty,MATCH($Q860,WageIds,0)),""))</f>
        <v/>
      </c>
      <c r="S860">
        <f>IF($P860="","",IFERROR(INDEX($F$6:$F$2005,MATCH($Q860,WageIds,0)),""))</f>
        <v/>
      </c>
      <c r="T860">
        <f>IF(OR($P860="",$S860="",$S860="نامعتبر"),"",LEFT($S860,4)&amp;MID($S860,6,2)&amp;RIGHT($S860,2)&amp;"0000"&amp;"|"&amp;"2"&amp;RIGHT("00000"&amp;855,5))</f>
        <v/>
      </c>
      <c r="U860">
        <f>IF($T860="","",COUNTIFS(LdAParty,$P860,LdAType,1,LdAKey,"&lt;"&amp;$T860)+COUNTIFS(LdBMember,$P860,LdBKey,"&lt;"&amp;$T860)+COUNTIFS(LdCParty,$P860,LdCKey,"&lt;"&amp;$T860)+1)</f>
        <v/>
      </c>
      <c r="V860">
        <f>IF($U860="","",$P860&amp;"|"&amp;RIGHT("000000"&amp;$U860,6))</f>
        <v/>
      </c>
      <c r="W860">
        <f>IF($T860="","",COUNTIFS(LdBGroup,$R860,LdBKey,"&lt;"&amp;$T860)+1)</f>
        <v/>
      </c>
      <c r="X860">
        <f>IF($W860="","",$R860&amp;"|"&amp;RIGHT("000000"&amp;$W860,6))</f>
        <v/>
      </c>
      <c r="Y860">
        <f>IF($P860="","",IF(Shares!$E863="",0,Shares!$E863))</f>
        <v/>
      </c>
      <c r="Z860">
        <f>IF($P860="","",Shares!$H863)</f>
        <v/>
      </c>
      <c r="AE860">
        <f>IF(OR(Sync!$S860="",Sync!$P860=""),"",Sync!$S860)</f>
        <v/>
      </c>
      <c r="AF860">
        <f>IF($AE860="","",IF(ISNUMBER(Sync!$P860),IF(AND(Sync!$P860&gt;=10000101,Sync!$P860&lt;=99991231),INT(Sync!$P860/10000),""),IFERROR(VALUE(TRIM(LEFT(Sync!$P860,FIND("/",Sync!$P860)-1))),"")))</f>
        <v/>
      </c>
      <c r="AG860">
        <f>IF(OR($AE860="",$AF860=""),"",IF(ISNUMBER(Sync!$P860),INT(MOD(Sync!$P860,10000)/100),IFERROR(VALUE(TRIM(LEFT(MID(Sync!$P860,FIND("/",Sync!$P860)+1,20),FIND("/",MID(Sync!$P860,FIND("/",Sync!$P860)+1,20))-1))),"")))</f>
        <v/>
      </c>
      <c r="AH860">
        <f>IF(OR($AE860="",$AF860=""),"",IF(ISNUMBER(Sync!$P860),MOD(Sync!$P860,100),IFERROR(VALUE(TRIM(MID(MID(Sync!$P860,FIND("/",Sync!$P860)+1,20),FIND("/",MID(Sync!$P860,FIND("/",Sync!$P860)+1,20))+1,20))),"")))</f>
        <v/>
      </c>
      <c r="AI860">
        <f>IF($AE860="","",IF(OR($AF860="",$AG860="",$AH860="",$AF860&lt;1300,$AF860&gt;1500,$AG860&lt;1,$AG860&gt;12,$AH860&lt;1,$AH860&gt;31),"نامعتبر",RIGHT("0000"&amp;$AF860,4)&amp;"/"&amp;RIGHT("00"&amp;$AG860,2)&amp;"/"&amp;RIGHT("00"&amp;$AH860,2)))</f>
        <v/>
      </c>
      <c r="AJ860">
        <f>IF($AE860="","",IF(Sync!$Q860="","0000",IF(AND(ISNUMBER(Sync!$Q860),Sync!$Q860&gt;=0,Sync!$Q860&lt;1),RIGHT("00"&amp;HOUR(Sync!$Q860),2)&amp;RIGHT("00"&amp;MINUTE(Sync!$Q860),2),IFERROR(RIGHT("00"&amp;VALUE(LEFT(Sync!$Q860,FIND(":",Sync!$Q860)-1)),2)&amp;RIGHT("00"&amp;VALUE(MID(Sync!$Q860,FIND(":",Sync!$Q860)+1,2)),2),"0000"))))</f>
        <v/>
      </c>
      <c r="AK860">
        <f>IF(OR($AE860="",$AI860="",$AI860="نامعتبر"),"",LEFT($AI860,4)&amp;MID($AI860,6,2)&amp;RIGHT($AI860,2)&amp;$AJ860&amp;"|"&amp;"3"&amp;RIGHT("00000"&amp;855,5))</f>
        <v/>
      </c>
      <c r="AL860">
        <f>IF($AK860="","",COUNTIFS(LdAParty,$AE860,LdAType,1,LdAKey,"&lt;"&amp;$AK860)+COUNTIFS(LdBMember,$AE860,LdBKey,"&lt;"&amp;$AK860)+COUNTIFS(LdCParty,$AE860,LdCKey,"&lt;"&amp;$AK860)+1)</f>
        <v/>
      </c>
      <c r="AM860">
        <f>IF($AL860="","",$AE860&amp;"|"&amp;RIGHT("000000"&amp;$AL860,6))</f>
        <v/>
      </c>
      <c r="AN860">
        <f>IF($AE860="","",IF(Sync!$W860="",0,Sync!$W860))</f>
        <v/>
      </c>
      <c r="AO860">
        <f>IF($AE860="","",IF(Sync!$X860="",0,Sync!$X860))</f>
        <v/>
      </c>
      <c r="AP860">
        <f>IF($AE860="","",Sync!$R860)</f>
        <v/>
      </c>
      <c r="AQ860">
        <f>IF($AE860="","",Sync!$Y860)</f>
        <v/>
      </c>
    </row>
    <row r="861">
      <c r="A861">
        <f>IF(OR(Wages!$B864="",Wages!$E864=""),"",Wages!$E864)</f>
        <v/>
      </c>
      <c r="B861">
        <f>IF($A861="","",IF(Wages!$C864="دستمزد گروهی",2,1))</f>
        <v/>
      </c>
      <c r="C861">
        <f>IF($A861="","",IF(ISNUMBER(Wages!$B864),IF(AND(Wages!$B864&gt;=10000101,Wages!$B864&lt;=99991231),INT(Wages!$B864/10000),""),IFERROR(VALUE(TRIM(LEFT(Wages!$B864,FIND("/",Wages!$B864)-1))),"")))</f>
        <v/>
      </c>
      <c r="D861">
        <f>IF(OR($A861="",$C861=""),"",IF(ISNUMBER(Wages!$B864),INT(MOD(Wages!$B864,10000)/100),IFERROR(VALUE(TRIM(LEFT(MID(Wages!$B864,FIND("/",Wages!$B864)+1,20),FIND("/",MID(Wages!$B864,FIND("/",Wages!$B864)+1,20))-1))),"")))</f>
        <v/>
      </c>
      <c r="E861">
        <f>IF(OR($A861="",$C861=""),"",IF(ISNUMBER(Wages!$B864),MOD(Wages!$B864,100),IFERROR(VALUE(TRIM(MID(MID(Wages!$B864,FIND("/",Wages!$B864)+1,20),FIND("/",MID(Wages!$B864,FIND("/",Wages!$B864)+1,20))+1,20))),"")))</f>
        <v/>
      </c>
      <c r="F861">
        <f>IF($A861="","",IF(OR($C861="",$D861="",$E861="",$C861&lt;1300,$C861&gt;1500,$D861&lt;1,$D861&gt;12,$E861&lt;1,$E861&gt;31),"نامعتبر",RIGHT("0000"&amp;$C861,4)&amp;"/"&amp;RIGHT("00"&amp;$D861,2)&amp;"/"&amp;RIGHT("00"&amp;$E861,2)))</f>
        <v/>
      </c>
      <c r="G861">
        <f>IF(OR($A861="",$F861="",$F861="نامعتبر"),"",LEFT($F861,4)&amp;MID($F861,6,2)&amp;RIGHT($F861,2)&amp;"0000"&amp;"|"&amp;"1"&amp;RIGHT("00000"&amp;856,5))</f>
        <v/>
      </c>
      <c r="H861">
        <f>IF(OR($B861&lt;&gt;1,$G861=""),"",COUNTIFS(LdAParty,$A861,LdAType,1,LdAKey,"&lt;"&amp;$G861)+COUNTIFS(LdBMember,$A861,LdBKey,"&lt;"&amp;$G861)+COUNTIFS(LdCParty,$A861,LdCKey,"&lt;"&amp;$G861)+1)</f>
        <v/>
      </c>
      <c r="I861">
        <f>IF($H861="","",$A861&amp;"|"&amp;RIGHT("000000"&amp;$H861,6))</f>
        <v/>
      </c>
      <c r="J861">
        <f>IF(OR($B861&lt;&gt;2,$G861=""),"",COUNTIFS(LdAParty,$A861,LdAType,2,LdAKey,"&lt;"&amp;$G861)+1)</f>
        <v/>
      </c>
      <c r="K861">
        <f>IF($J861="","",$A861&amp;"|"&amp;RIGHT("000000"&amp;$J861,6))</f>
        <v/>
      </c>
      <c r="L861">
        <f>IF($A861="","",IF(Wages!$G864="",0,Wages!$G864))</f>
        <v/>
      </c>
      <c r="M861">
        <f>IF($A861="","",Wages!$J864)</f>
        <v/>
      </c>
      <c r="N861">
        <f>IF($A861="","",Wages!$D864)</f>
        <v/>
      </c>
      <c r="P861">
        <f>IF(OR(Shares!$B864="",Shares!$C864=""),"",Shares!$C864)</f>
        <v/>
      </c>
      <c r="Q861">
        <f>IF($P861="","",Shares!$B864)</f>
        <v/>
      </c>
      <c r="R861">
        <f>IF($P861="","",IFERROR(INDEX(WageParty,MATCH($Q861,WageIds,0)),""))</f>
        <v/>
      </c>
      <c r="S861">
        <f>IF($P861="","",IFERROR(INDEX($F$6:$F$2005,MATCH($Q861,WageIds,0)),""))</f>
        <v/>
      </c>
      <c r="T861">
        <f>IF(OR($P861="",$S861="",$S861="نامعتبر"),"",LEFT($S861,4)&amp;MID($S861,6,2)&amp;RIGHT($S861,2)&amp;"0000"&amp;"|"&amp;"2"&amp;RIGHT("00000"&amp;856,5))</f>
        <v/>
      </c>
      <c r="U861">
        <f>IF($T861="","",COUNTIFS(LdAParty,$P861,LdAType,1,LdAKey,"&lt;"&amp;$T861)+COUNTIFS(LdBMember,$P861,LdBKey,"&lt;"&amp;$T861)+COUNTIFS(LdCParty,$P861,LdCKey,"&lt;"&amp;$T861)+1)</f>
        <v/>
      </c>
      <c r="V861">
        <f>IF($U861="","",$P861&amp;"|"&amp;RIGHT("000000"&amp;$U861,6))</f>
        <v/>
      </c>
      <c r="W861">
        <f>IF($T861="","",COUNTIFS(LdBGroup,$R861,LdBKey,"&lt;"&amp;$T861)+1)</f>
        <v/>
      </c>
      <c r="X861">
        <f>IF($W861="","",$R861&amp;"|"&amp;RIGHT("000000"&amp;$W861,6))</f>
        <v/>
      </c>
      <c r="Y861">
        <f>IF($P861="","",IF(Shares!$E864="",0,Shares!$E864))</f>
        <v/>
      </c>
      <c r="Z861">
        <f>IF($P861="","",Shares!$H864)</f>
        <v/>
      </c>
      <c r="AE861">
        <f>IF(OR(Sync!$S861="",Sync!$P861=""),"",Sync!$S861)</f>
        <v/>
      </c>
      <c r="AF861">
        <f>IF($AE861="","",IF(ISNUMBER(Sync!$P861),IF(AND(Sync!$P861&gt;=10000101,Sync!$P861&lt;=99991231),INT(Sync!$P861/10000),""),IFERROR(VALUE(TRIM(LEFT(Sync!$P861,FIND("/",Sync!$P861)-1))),"")))</f>
        <v/>
      </c>
      <c r="AG861">
        <f>IF(OR($AE861="",$AF861=""),"",IF(ISNUMBER(Sync!$P861),INT(MOD(Sync!$P861,10000)/100),IFERROR(VALUE(TRIM(LEFT(MID(Sync!$P861,FIND("/",Sync!$P861)+1,20),FIND("/",MID(Sync!$P861,FIND("/",Sync!$P861)+1,20))-1))),"")))</f>
        <v/>
      </c>
      <c r="AH861">
        <f>IF(OR($AE861="",$AF861=""),"",IF(ISNUMBER(Sync!$P861),MOD(Sync!$P861,100),IFERROR(VALUE(TRIM(MID(MID(Sync!$P861,FIND("/",Sync!$P861)+1,20),FIND("/",MID(Sync!$P861,FIND("/",Sync!$P861)+1,20))+1,20))),"")))</f>
        <v/>
      </c>
      <c r="AI861">
        <f>IF($AE861="","",IF(OR($AF861="",$AG861="",$AH861="",$AF861&lt;1300,$AF861&gt;1500,$AG861&lt;1,$AG861&gt;12,$AH861&lt;1,$AH861&gt;31),"نامعتبر",RIGHT("0000"&amp;$AF861,4)&amp;"/"&amp;RIGHT("00"&amp;$AG861,2)&amp;"/"&amp;RIGHT("00"&amp;$AH861,2)))</f>
        <v/>
      </c>
      <c r="AJ861">
        <f>IF($AE861="","",IF(Sync!$Q861="","0000",IF(AND(ISNUMBER(Sync!$Q861),Sync!$Q861&gt;=0,Sync!$Q861&lt;1),RIGHT("00"&amp;HOUR(Sync!$Q861),2)&amp;RIGHT("00"&amp;MINUTE(Sync!$Q861),2),IFERROR(RIGHT("00"&amp;VALUE(LEFT(Sync!$Q861,FIND(":",Sync!$Q861)-1)),2)&amp;RIGHT("00"&amp;VALUE(MID(Sync!$Q861,FIND(":",Sync!$Q861)+1,2)),2),"0000"))))</f>
        <v/>
      </c>
      <c r="AK861">
        <f>IF(OR($AE861="",$AI861="",$AI861="نامعتبر"),"",LEFT($AI861,4)&amp;MID($AI861,6,2)&amp;RIGHT($AI861,2)&amp;$AJ861&amp;"|"&amp;"3"&amp;RIGHT("00000"&amp;856,5))</f>
        <v/>
      </c>
      <c r="AL861">
        <f>IF($AK861="","",COUNTIFS(LdAParty,$AE861,LdAType,1,LdAKey,"&lt;"&amp;$AK861)+COUNTIFS(LdBMember,$AE861,LdBKey,"&lt;"&amp;$AK861)+COUNTIFS(LdCParty,$AE861,LdCKey,"&lt;"&amp;$AK861)+1)</f>
        <v/>
      </c>
      <c r="AM861">
        <f>IF($AL861="","",$AE861&amp;"|"&amp;RIGHT("000000"&amp;$AL861,6))</f>
        <v/>
      </c>
      <c r="AN861">
        <f>IF($AE861="","",IF(Sync!$W861="",0,Sync!$W861))</f>
        <v/>
      </c>
      <c r="AO861">
        <f>IF($AE861="","",IF(Sync!$X861="",0,Sync!$X861))</f>
        <v/>
      </c>
      <c r="AP861">
        <f>IF($AE861="","",Sync!$R861)</f>
        <v/>
      </c>
      <c r="AQ861">
        <f>IF($AE861="","",Sync!$Y861)</f>
        <v/>
      </c>
    </row>
    <row r="862">
      <c r="A862">
        <f>IF(OR(Wages!$B865="",Wages!$E865=""),"",Wages!$E865)</f>
        <v/>
      </c>
      <c r="B862">
        <f>IF($A862="","",IF(Wages!$C865="دستمزد گروهی",2,1))</f>
        <v/>
      </c>
      <c r="C862">
        <f>IF($A862="","",IF(ISNUMBER(Wages!$B865),IF(AND(Wages!$B865&gt;=10000101,Wages!$B865&lt;=99991231),INT(Wages!$B865/10000),""),IFERROR(VALUE(TRIM(LEFT(Wages!$B865,FIND("/",Wages!$B865)-1))),"")))</f>
        <v/>
      </c>
      <c r="D862">
        <f>IF(OR($A862="",$C862=""),"",IF(ISNUMBER(Wages!$B865),INT(MOD(Wages!$B865,10000)/100),IFERROR(VALUE(TRIM(LEFT(MID(Wages!$B865,FIND("/",Wages!$B865)+1,20),FIND("/",MID(Wages!$B865,FIND("/",Wages!$B865)+1,20))-1))),"")))</f>
        <v/>
      </c>
      <c r="E862">
        <f>IF(OR($A862="",$C862=""),"",IF(ISNUMBER(Wages!$B865),MOD(Wages!$B865,100),IFERROR(VALUE(TRIM(MID(MID(Wages!$B865,FIND("/",Wages!$B865)+1,20),FIND("/",MID(Wages!$B865,FIND("/",Wages!$B865)+1,20))+1,20))),"")))</f>
        <v/>
      </c>
      <c r="F862">
        <f>IF($A862="","",IF(OR($C862="",$D862="",$E862="",$C862&lt;1300,$C862&gt;1500,$D862&lt;1,$D862&gt;12,$E862&lt;1,$E862&gt;31),"نامعتبر",RIGHT("0000"&amp;$C862,4)&amp;"/"&amp;RIGHT("00"&amp;$D862,2)&amp;"/"&amp;RIGHT("00"&amp;$E862,2)))</f>
        <v/>
      </c>
      <c r="G862">
        <f>IF(OR($A862="",$F862="",$F862="نامعتبر"),"",LEFT($F862,4)&amp;MID($F862,6,2)&amp;RIGHT($F862,2)&amp;"0000"&amp;"|"&amp;"1"&amp;RIGHT("00000"&amp;857,5))</f>
        <v/>
      </c>
      <c r="H862">
        <f>IF(OR($B862&lt;&gt;1,$G862=""),"",COUNTIFS(LdAParty,$A862,LdAType,1,LdAKey,"&lt;"&amp;$G862)+COUNTIFS(LdBMember,$A862,LdBKey,"&lt;"&amp;$G862)+COUNTIFS(LdCParty,$A862,LdCKey,"&lt;"&amp;$G862)+1)</f>
        <v/>
      </c>
      <c r="I862">
        <f>IF($H862="","",$A862&amp;"|"&amp;RIGHT("000000"&amp;$H862,6))</f>
        <v/>
      </c>
      <c r="J862">
        <f>IF(OR($B862&lt;&gt;2,$G862=""),"",COUNTIFS(LdAParty,$A862,LdAType,2,LdAKey,"&lt;"&amp;$G862)+1)</f>
        <v/>
      </c>
      <c r="K862">
        <f>IF($J862="","",$A862&amp;"|"&amp;RIGHT("000000"&amp;$J862,6))</f>
        <v/>
      </c>
      <c r="L862">
        <f>IF($A862="","",IF(Wages!$G865="",0,Wages!$G865))</f>
        <v/>
      </c>
      <c r="M862">
        <f>IF($A862="","",Wages!$J865)</f>
        <v/>
      </c>
      <c r="N862">
        <f>IF($A862="","",Wages!$D865)</f>
        <v/>
      </c>
      <c r="P862">
        <f>IF(OR(Shares!$B865="",Shares!$C865=""),"",Shares!$C865)</f>
        <v/>
      </c>
      <c r="Q862">
        <f>IF($P862="","",Shares!$B865)</f>
        <v/>
      </c>
      <c r="R862">
        <f>IF($P862="","",IFERROR(INDEX(WageParty,MATCH($Q862,WageIds,0)),""))</f>
        <v/>
      </c>
      <c r="S862">
        <f>IF($P862="","",IFERROR(INDEX($F$6:$F$2005,MATCH($Q862,WageIds,0)),""))</f>
        <v/>
      </c>
      <c r="T862">
        <f>IF(OR($P862="",$S862="",$S862="نامعتبر"),"",LEFT($S862,4)&amp;MID($S862,6,2)&amp;RIGHT($S862,2)&amp;"0000"&amp;"|"&amp;"2"&amp;RIGHT("00000"&amp;857,5))</f>
        <v/>
      </c>
      <c r="U862">
        <f>IF($T862="","",COUNTIFS(LdAParty,$P862,LdAType,1,LdAKey,"&lt;"&amp;$T862)+COUNTIFS(LdBMember,$P862,LdBKey,"&lt;"&amp;$T862)+COUNTIFS(LdCParty,$P862,LdCKey,"&lt;"&amp;$T862)+1)</f>
        <v/>
      </c>
      <c r="V862">
        <f>IF($U862="","",$P862&amp;"|"&amp;RIGHT("000000"&amp;$U862,6))</f>
        <v/>
      </c>
      <c r="W862">
        <f>IF($T862="","",COUNTIFS(LdBGroup,$R862,LdBKey,"&lt;"&amp;$T862)+1)</f>
        <v/>
      </c>
      <c r="X862">
        <f>IF($W862="","",$R862&amp;"|"&amp;RIGHT("000000"&amp;$W862,6))</f>
        <v/>
      </c>
      <c r="Y862">
        <f>IF($P862="","",IF(Shares!$E865="",0,Shares!$E865))</f>
        <v/>
      </c>
      <c r="Z862">
        <f>IF($P862="","",Shares!$H865)</f>
        <v/>
      </c>
      <c r="AE862">
        <f>IF(OR(Sync!$S862="",Sync!$P862=""),"",Sync!$S862)</f>
        <v/>
      </c>
      <c r="AF862">
        <f>IF($AE862="","",IF(ISNUMBER(Sync!$P862),IF(AND(Sync!$P862&gt;=10000101,Sync!$P862&lt;=99991231),INT(Sync!$P862/10000),""),IFERROR(VALUE(TRIM(LEFT(Sync!$P862,FIND("/",Sync!$P862)-1))),"")))</f>
        <v/>
      </c>
      <c r="AG862">
        <f>IF(OR($AE862="",$AF862=""),"",IF(ISNUMBER(Sync!$P862),INT(MOD(Sync!$P862,10000)/100),IFERROR(VALUE(TRIM(LEFT(MID(Sync!$P862,FIND("/",Sync!$P862)+1,20),FIND("/",MID(Sync!$P862,FIND("/",Sync!$P862)+1,20))-1))),"")))</f>
        <v/>
      </c>
      <c r="AH862">
        <f>IF(OR($AE862="",$AF862=""),"",IF(ISNUMBER(Sync!$P862),MOD(Sync!$P862,100),IFERROR(VALUE(TRIM(MID(MID(Sync!$P862,FIND("/",Sync!$P862)+1,20),FIND("/",MID(Sync!$P862,FIND("/",Sync!$P862)+1,20))+1,20))),"")))</f>
        <v/>
      </c>
      <c r="AI862">
        <f>IF($AE862="","",IF(OR($AF862="",$AG862="",$AH862="",$AF862&lt;1300,$AF862&gt;1500,$AG862&lt;1,$AG862&gt;12,$AH862&lt;1,$AH862&gt;31),"نامعتبر",RIGHT("0000"&amp;$AF862,4)&amp;"/"&amp;RIGHT("00"&amp;$AG862,2)&amp;"/"&amp;RIGHT("00"&amp;$AH862,2)))</f>
        <v/>
      </c>
      <c r="AJ862">
        <f>IF($AE862="","",IF(Sync!$Q862="","0000",IF(AND(ISNUMBER(Sync!$Q862),Sync!$Q862&gt;=0,Sync!$Q862&lt;1),RIGHT("00"&amp;HOUR(Sync!$Q862),2)&amp;RIGHT("00"&amp;MINUTE(Sync!$Q862),2),IFERROR(RIGHT("00"&amp;VALUE(LEFT(Sync!$Q862,FIND(":",Sync!$Q862)-1)),2)&amp;RIGHT("00"&amp;VALUE(MID(Sync!$Q862,FIND(":",Sync!$Q862)+1,2)),2),"0000"))))</f>
        <v/>
      </c>
      <c r="AK862">
        <f>IF(OR($AE862="",$AI862="",$AI862="نامعتبر"),"",LEFT($AI862,4)&amp;MID($AI862,6,2)&amp;RIGHT($AI862,2)&amp;$AJ862&amp;"|"&amp;"3"&amp;RIGHT("00000"&amp;857,5))</f>
        <v/>
      </c>
      <c r="AL862">
        <f>IF($AK862="","",COUNTIFS(LdAParty,$AE862,LdAType,1,LdAKey,"&lt;"&amp;$AK862)+COUNTIFS(LdBMember,$AE862,LdBKey,"&lt;"&amp;$AK862)+COUNTIFS(LdCParty,$AE862,LdCKey,"&lt;"&amp;$AK862)+1)</f>
        <v/>
      </c>
      <c r="AM862">
        <f>IF($AL862="","",$AE862&amp;"|"&amp;RIGHT("000000"&amp;$AL862,6))</f>
        <v/>
      </c>
      <c r="AN862">
        <f>IF($AE862="","",IF(Sync!$W862="",0,Sync!$W862))</f>
        <v/>
      </c>
      <c r="AO862">
        <f>IF($AE862="","",IF(Sync!$X862="",0,Sync!$X862))</f>
        <v/>
      </c>
      <c r="AP862">
        <f>IF($AE862="","",Sync!$R862)</f>
        <v/>
      </c>
      <c r="AQ862">
        <f>IF($AE862="","",Sync!$Y862)</f>
        <v/>
      </c>
    </row>
    <row r="863">
      <c r="A863">
        <f>IF(OR(Wages!$B866="",Wages!$E866=""),"",Wages!$E866)</f>
        <v/>
      </c>
      <c r="B863">
        <f>IF($A863="","",IF(Wages!$C866="دستمزد گروهی",2,1))</f>
        <v/>
      </c>
      <c r="C863">
        <f>IF($A863="","",IF(ISNUMBER(Wages!$B866),IF(AND(Wages!$B866&gt;=10000101,Wages!$B866&lt;=99991231),INT(Wages!$B866/10000),""),IFERROR(VALUE(TRIM(LEFT(Wages!$B866,FIND("/",Wages!$B866)-1))),"")))</f>
        <v/>
      </c>
      <c r="D863">
        <f>IF(OR($A863="",$C863=""),"",IF(ISNUMBER(Wages!$B866),INT(MOD(Wages!$B866,10000)/100),IFERROR(VALUE(TRIM(LEFT(MID(Wages!$B866,FIND("/",Wages!$B866)+1,20),FIND("/",MID(Wages!$B866,FIND("/",Wages!$B866)+1,20))-1))),"")))</f>
        <v/>
      </c>
      <c r="E863">
        <f>IF(OR($A863="",$C863=""),"",IF(ISNUMBER(Wages!$B866),MOD(Wages!$B866,100),IFERROR(VALUE(TRIM(MID(MID(Wages!$B866,FIND("/",Wages!$B866)+1,20),FIND("/",MID(Wages!$B866,FIND("/",Wages!$B866)+1,20))+1,20))),"")))</f>
        <v/>
      </c>
      <c r="F863">
        <f>IF($A863="","",IF(OR($C863="",$D863="",$E863="",$C863&lt;1300,$C863&gt;1500,$D863&lt;1,$D863&gt;12,$E863&lt;1,$E863&gt;31),"نامعتبر",RIGHT("0000"&amp;$C863,4)&amp;"/"&amp;RIGHT("00"&amp;$D863,2)&amp;"/"&amp;RIGHT("00"&amp;$E863,2)))</f>
        <v/>
      </c>
      <c r="G863">
        <f>IF(OR($A863="",$F863="",$F863="نامعتبر"),"",LEFT($F863,4)&amp;MID($F863,6,2)&amp;RIGHT($F863,2)&amp;"0000"&amp;"|"&amp;"1"&amp;RIGHT("00000"&amp;858,5))</f>
        <v/>
      </c>
      <c r="H863">
        <f>IF(OR($B863&lt;&gt;1,$G863=""),"",COUNTIFS(LdAParty,$A863,LdAType,1,LdAKey,"&lt;"&amp;$G863)+COUNTIFS(LdBMember,$A863,LdBKey,"&lt;"&amp;$G863)+COUNTIFS(LdCParty,$A863,LdCKey,"&lt;"&amp;$G863)+1)</f>
        <v/>
      </c>
      <c r="I863">
        <f>IF($H863="","",$A863&amp;"|"&amp;RIGHT("000000"&amp;$H863,6))</f>
        <v/>
      </c>
      <c r="J863">
        <f>IF(OR($B863&lt;&gt;2,$G863=""),"",COUNTIFS(LdAParty,$A863,LdAType,2,LdAKey,"&lt;"&amp;$G863)+1)</f>
        <v/>
      </c>
      <c r="K863">
        <f>IF($J863="","",$A863&amp;"|"&amp;RIGHT("000000"&amp;$J863,6))</f>
        <v/>
      </c>
      <c r="L863">
        <f>IF($A863="","",IF(Wages!$G866="",0,Wages!$G866))</f>
        <v/>
      </c>
      <c r="M863">
        <f>IF($A863="","",Wages!$J866)</f>
        <v/>
      </c>
      <c r="N863">
        <f>IF($A863="","",Wages!$D866)</f>
        <v/>
      </c>
      <c r="P863">
        <f>IF(OR(Shares!$B866="",Shares!$C866=""),"",Shares!$C866)</f>
        <v/>
      </c>
      <c r="Q863">
        <f>IF($P863="","",Shares!$B866)</f>
        <v/>
      </c>
      <c r="R863">
        <f>IF($P863="","",IFERROR(INDEX(WageParty,MATCH($Q863,WageIds,0)),""))</f>
        <v/>
      </c>
      <c r="S863">
        <f>IF($P863="","",IFERROR(INDEX($F$6:$F$2005,MATCH($Q863,WageIds,0)),""))</f>
        <v/>
      </c>
      <c r="T863">
        <f>IF(OR($P863="",$S863="",$S863="نامعتبر"),"",LEFT($S863,4)&amp;MID($S863,6,2)&amp;RIGHT($S863,2)&amp;"0000"&amp;"|"&amp;"2"&amp;RIGHT("00000"&amp;858,5))</f>
        <v/>
      </c>
      <c r="U863">
        <f>IF($T863="","",COUNTIFS(LdAParty,$P863,LdAType,1,LdAKey,"&lt;"&amp;$T863)+COUNTIFS(LdBMember,$P863,LdBKey,"&lt;"&amp;$T863)+COUNTIFS(LdCParty,$P863,LdCKey,"&lt;"&amp;$T863)+1)</f>
        <v/>
      </c>
      <c r="V863">
        <f>IF($U863="","",$P863&amp;"|"&amp;RIGHT("000000"&amp;$U863,6))</f>
        <v/>
      </c>
      <c r="W863">
        <f>IF($T863="","",COUNTIFS(LdBGroup,$R863,LdBKey,"&lt;"&amp;$T863)+1)</f>
        <v/>
      </c>
      <c r="X863">
        <f>IF($W863="","",$R863&amp;"|"&amp;RIGHT("000000"&amp;$W863,6))</f>
        <v/>
      </c>
      <c r="Y863">
        <f>IF($P863="","",IF(Shares!$E866="",0,Shares!$E866))</f>
        <v/>
      </c>
      <c r="Z863">
        <f>IF($P863="","",Shares!$H866)</f>
        <v/>
      </c>
      <c r="AE863">
        <f>IF(OR(Sync!$S863="",Sync!$P863=""),"",Sync!$S863)</f>
        <v/>
      </c>
      <c r="AF863">
        <f>IF($AE863="","",IF(ISNUMBER(Sync!$P863),IF(AND(Sync!$P863&gt;=10000101,Sync!$P863&lt;=99991231),INT(Sync!$P863/10000),""),IFERROR(VALUE(TRIM(LEFT(Sync!$P863,FIND("/",Sync!$P863)-1))),"")))</f>
        <v/>
      </c>
      <c r="AG863">
        <f>IF(OR($AE863="",$AF863=""),"",IF(ISNUMBER(Sync!$P863),INT(MOD(Sync!$P863,10000)/100),IFERROR(VALUE(TRIM(LEFT(MID(Sync!$P863,FIND("/",Sync!$P863)+1,20),FIND("/",MID(Sync!$P863,FIND("/",Sync!$P863)+1,20))-1))),"")))</f>
        <v/>
      </c>
      <c r="AH863">
        <f>IF(OR($AE863="",$AF863=""),"",IF(ISNUMBER(Sync!$P863),MOD(Sync!$P863,100),IFERROR(VALUE(TRIM(MID(MID(Sync!$P863,FIND("/",Sync!$P863)+1,20),FIND("/",MID(Sync!$P863,FIND("/",Sync!$P863)+1,20))+1,20))),"")))</f>
        <v/>
      </c>
      <c r="AI863">
        <f>IF($AE863="","",IF(OR($AF863="",$AG863="",$AH863="",$AF863&lt;1300,$AF863&gt;1500,$AG863&lt;1,$AG863&gt;12,$AH863&lt;1,$AH863&gt;31),"نامعتبر",RIGHT("0000"&amp;$AF863,4)&amp;"/"&amp;RIGHT("00"&amp;$AG863,2)&amp;"/"&amp;RIGHT("00"&amp;$AH863,2)))</f>
        <v/>
      </c>
      <c r="AJ863">
        <f>IF($AE863="","",IF(Sync!$Q863="","0000",IF(AND(ISNUMBER(Sync!$Q863),Sync!$Q863&gt;=0,Sync!$Q863&lt;1),RIGHT("00"&amp;HOUR(Sync!$Q863),2)&amp;RIGHT("00"&amp;MINUTE(Sync!$Q863),2),IFERROR(RIGHT("00"&amp;VALUE(LEFT(Sync!$Q863,FIND(":",Sync!$Q863)-1)),2)&amp;RIGHT("00"&amp;VALUE(MID(Sync!$Q863,FIND(":",Sync!$Q863)+1,2)),2),"0000"))))</f>
        <v/>
      </c>
      <c r="AK863">
        <f>IF(OR($AE863="",$AI863="",$AI863="نامعتبر"),"",LEFT($AI863,4)&amp;MID($AI863,6,2)&amp;RIGHT($AI863,2)&amp;$AJ863&amp;"|"&amp;"3"&amp;RIGHT("00000"&amp;858,5))</f>
        <v/>
      </c>
      <c r="AL863">
        <f>IF($AK863="","",COUNTIFS(LdAParty,$AE863,LdAType,1,LdAKey,"&lt;"&amp;$AK863)+COUNTIFS(LdBMember,$AE863,LdBKey,"&lt;"&amp;$AK863)+COUNTIFS(LdCParty,$AE863,LdCKey,"&lt;"&amp;$AK863)+1)</f>
        <v/>
      </c>
      <c r="AM863">
        <f>IF($AL863="","",$AE863&amp;"|"&amp;RIGHT("000000"&amp;$AL863,6))</f>
        <v/>
      </c>
      <c r="AN863">
        <f>IF($AE863="","",IF(Sync!$W863="",0,Sync!$W863))</f>
        <v/>
      </c>
      <c r="AO863">
        <f>IF($AE863="","",IF(Sync!$X863="",0,Sync!$X863))</f>
        <v/>
      </c>
      <c r="AP863">
        <f>IF($AE863="","",Sync!$R863)</f>
        <v/>
      </c>
      <c r="AQ863">
        <f>IF($AE863="","",Sync!$Y863)</f>
        <v/>
      </c>
    </row>
    <row r="864">
      <c r="A864">
        <f>IF(OR(Wages!$B867="",Wages!$E867=""),"",Wages!$E867)</f>
        <v/>
      </c>
      <c r="B864">
        <f>IF($A864="","",IF(Wages!$C867="دستمزد گروهی",2,1))</f>
        <v/>
      </c>
      <c r="C864">
        <f>IF($A864="","",IF(ISNUMBER(Wages!$B867),IF(AND(Wages!$B867&gt;=10000101,Wages!$B867&lt;=99991231),INT(Wages!$B867/10000),""),IFERROR(VALUE(TRIM(LEFT(Wages!$B867,FIND("/",Wages!$B867)-1))),"")))</f>
        <v/>
      </c>
      <c r="D864">
        <f>IF(OR($A864="",$C864=""),"",IF(ISNUMBER(Wages!$B867),INT(MOD(Wages!$B867,10000)/100),IFERROR(VALUE(TRIM(LEFT(MID(Wages!$B867,FIND("/",Wages!$B867)+1,20),FIND("/",MID(Wages!$B867,FIND("/",Wages!$B867)+1,20))-1))),"")))</f>
        <v/>
      </c>
      <c r="E864">
        <f>IF(OR($A864="",$C864=""),"",IF(ISNUMBER(Wages!$B867),MOD(Wages!$B867,100),IFERROR(VALUE(TRIM(MID(MID(Wages!$B867,FIND("/",Wages!$B867)+1,20),FIND("/",MID(Wages!$B867,FIND("/",Wages!$B867)+1,20))+1,20))),"")))</f>
        <v/>
      </c>
      <c r="F864">
        <f>IF($A864="","",IF(OR($C864="",$D864="",$E864="",$C864&lt;1300,$C864&gt;1500,$D864&lt;1,$D864&gt;12,$E864&lt;1,$E864&gt;31),"نامعتبر",RIGHT("0000"&amp;$C864,4)&amp;"/"&amp;RIGHT("00"&amp;$D864,2)&amp;"/"&amp;RIGHT("00"&amp;$E864,2)))</f>
        <v/>
      </c>
      <c r="G864">
        <f>IF(OR($A864="",$F864="",$F864="نامعتبر"),"",LEFT($F864,4)&amp;MID($F864,6,2)&amp;RIGHT($F864,2)&amp;"0000"&amp;"|"&amp;"1"&amp;RIGHT("00000"&amp;859,5))</f>
        <v/>
      </c>
      <c r="H864">
        <f>IF(OR($B864&lt;&gt;1,$G864=""),"",COUNTIFS(LdAParty,$A864,LdAType,1,LdAKey,"&lt;"&amp;$G864)+COUNTIFS(LdBMember,$A864,LdBKey,"&lt;"&amp;$G864)+COUNTIFS(LdCParty,$A864,LdCKey,"&lt;"&amp;$G864)+1)</f>
        <v/>
      </c>
      <c r="I864">
        <f>IF($H864="","",$A864&amp;"|"&amp;RIGHT("000000"&amp;$H864,6))</f>
        <v/>
      </c>
      <c r="J864">
        <f>IF(OR($B864&lt;&gt;2,$G864=""),"",COUNTIFS(LdAParty,$A864,LdAType,2,LdAKey,"&lt;"&amp;$G864)+1)</f>
        <v/>
      </c>
      <c r="K864">
        <f>IF($J864="","",$A864&amp;"|"&amp;RIGHT("000000"&amp;$J864,6))</f>
        <v/>
      </c>
      <c r="L864">
        <f>IF($A864="","",IF(Wages!$G867="",0,Wages!$G867))</f>
        <v/>
      </c>
      <c r="M864">
        <f>IF($A864="","",Wages!$J867)</f>
        <v/>
      </c>
      <c r="N864">
        <f>IF($A864="","",Wages!$D867)</f>
        <v/>
      </c>
      <c r="P864">
        <f>IF(OR(Shares!$B867="",Shares!$C867=""),"",Shares!$C867)</f>
        <v/>
      </c>
      <c r="Q864">
        <f>IF($P864="","",Shares!$B867)</f>
        <v/>
      </c>
      <c r="R864">
        <f>IF($P864="","",IFERROR(INDEX(WageParty,MATCH($Q864,WageIds,0)),""))</f>
        <v/>
      </c>
      <c r="S864">
        <f>IF($P864="","",IFERROR(INDEX($F$6:$F$2005,MATCH($Q864,WageIds,0)),""))</f>
        <v/>
      </c>
      <c r="T864">
        <f>IF(OR($P864="",$S864="",$S864="نامعتبر"),"",LEFT($S864,4)&amp;MID($S864,6,2)&amp;RIGHT($S864,2)&amp;"0000"&amp;"|"&amp;"2"&amp;RIGHT("00000"&amp;859,5))</f>
        <v/>
      </c>
      <c r="U864">
        <f>IF($T864="","",COUNTIFS(LdAParty,$P864,LdAType,1,LdAKey,"&lt;"&amp;$T864)+COUNTIFS(LdBMember,$P864,LdBKey,"&lt;"&amp;$T864)+COUNTIFS(LdCParty,$P864,LdCKey,"&lt;"&amp;$T864)+1)</f>
        <v/>
      </c>
      <c r="V864">
        <f>IF($U864="","",$P864&amp;"|"&amp;RIGHT("000000"&amp;$U864,6))</f>
        <v/>
      </c>
      <c r="W864">
        <f>IF($T864="","",COUNTIFS(LdBGroup,$R864,LdBKey,"&lt;"&amp;$T864)+1)</f>
        <v/>
      </c>
      <c r="X864">
        <f>IF($W864="","",$R864&amp;"|"&amp;RIGHT("000000"&amp;$W864,6))</f>
        <v/>
      </c>
      <c r="Y864">
        <f>IF($P864="","",IF(Shares!$E867="",0,Shares!$E867))</f>
        <v/>
      </c>
      <c r="Z864">
        <f>IF($P864="","",Shares!$H867)</f>
        <v/>
      </c>
      <c r="AE864">
        <f>IF(OR(Sync!$S864="",Sync!$P864=""),"",Sync!$S864)</f>
        <v/>
      </c>
      <c r="AF864">
        <f>IF($AE864="","",IF(ISNUMBER(Sync!$P864),IF(AND(Sync!$P864&gt;=10000101,Sync!$P864&lt;=99991231),INT(Sync!$P864/10000),""),IFERROR(VALUE(TRIM(LEFT(Sync!$P864,FIND("/",Sync!$P864)-1))),"")))</f>
        <v/>
      </c>
      <c r="AG864">
        <f>IF(OR($AE864="",$AF864=""),"",IF(ISNUMBER(Sync!$P864),INT(MOD(Sync!$P864,10000)/100),IFERROR(VALUE(TRIM(LEFT(MID(Sync!$P864,FIND("/",Sync!$P864)+1,20),FIND("/",MID(Sync!$P864,FIND("/",Sync!$P864)+1,20))-1))),"")))</f>
        <v/>
      </c>
      <c r="AH864">
        <f>IF(OR($AE864="",$AF864=""),"",IF(ISNUMBER(Sync!$P864),MOD(Sync!$P864,100),IFERROR(VALUE(TRIM(MID(MID(Sync!$P864,FIND("/",Sync!$P864)+1,20),FIND("/",MID(Sync!$P864,FIND("/",Sync!$P864)+1,20))+1,20))),"")))</f>
        <v/>
      </c>
      <c r="AI864">
        <f>IF($AE864="","",IF(OR($AF864="",$AG864="",$AH864="",$AF864&lt;1300,$AF864&gt;1500,$AG864&lt;1,$AG864&gt;12,$AH864&lt;1,$AH864&gt;31),"نامعتبر",RIGHT("0000"&amp;$AF864,4)&amp;"/"&amp;RIGHT("00"&amp;$AG864,2)&amp;"/"&amp;RIGHT("00"&amp;$AH864,2)))</f>
        <v/>
      </c>
      <c r="AJ864">
        <f>IF($AE864="","",IF(Sync!$Q864="","0000",IF(AND(ISNUMBER(Sync!$Q864),Sync!$Q864&gt;=0,Sync!$Q864&lt;1),RIGHT("00"&amp;HOUR(Sync!$Q864),2)&amp;RIGHT("00"&amp;MINUTE(Sync!$Q864),2),IFERROR(RIGHT("00"&amp;VALUE(LEFT(Sync!$Q864,FIND(":",Sync!$Q864)-1)),2)&amp;RIGHT("00"&amp;VALUE(MID(Sync!$Q864,FIND(":",Sync!$Q864)+1,2)),2),"0000"))))</f>
        <v/>
      </c>
      <c r="AK864">
        <f>IF(OR($AE864="",$AI864="",$AI864="نامعتبر"),"",LEFT($AI864,4)&amp;MID($AI864,6,2)&amp;RIGHT($AI864,2)&amp;$AJ864&amp;"|"&amp;"3"&amp;RIGHT("00000"&amp;859,5))</f>
        <v/>
      </c>
      <c r="AL864">
        <f>IF($AK864="","",COUNTIFS(LdAParty,$AE864,LdAType,1,LdAKey,"&lt;"&amp;$AK864)+COUNTIFS(LdBMember,$AE864,LdBKey,"&lt;"&amp;$AK864)+COUNTIFS(LdCParty,$AE864,LdCKey,"&lt;"&amp;$AK864)+1)</f>
        <v/>
      </c>
      <c r="AM864">
        <f>IF($AL864="","",$AE864&amp;"|"&amp;RIGHT("000000"&amp;$AL864,6))</f>
        <v/>
      </c>
      <c r="AN864">
        <f>IF($AE864="","",IF(Sync!$W864="",0,Sync!$W864))</f>
        <v/>
      </c>
      <c r="AO864">
        <f>IF($AE864="","",IF(Sync!$X864="",0,Sync!$X864))</f>
        <v/>
      </c>
      <c r="AP864">
        <f>IF($AE864="","",Sync!$R864)</f>
        <v/>
      </c>
      <c r="AQ864">
        <f>IF($AE864="","",Sync!$Y864)</f>
        <v/>
      </c>
    </row>
    <row r="865">
      <c r="A865">
        <f>IF(OR(Wages!$B868="",Wages!$E868=""),"",Wages!$E868)</f>
        <v/>
      </c>
      <c r="B865">
        <f>IF($A865="","",IF(Wages!$C868="دستمزد گروهی",2,1))</f>
        <v/>
      </c>
      <c r="C865">
        <f>IF($A865="","",IF(ISNUMBER(Wages!$B868),IF(AND(Wages!$B868&gt;=10000101,Wages!$B868&lt;=99991231),INT(Wages!$B868/10000),""),IFERROR(VALUE(TRIM(LEFT(Wages!$B868,FIND("/",Wages!$B868)-1))),"")))</f>
        <v/>
      </c>
      <c r="D865">
        <f>IF(OR($A865="",$C865=""),"",IF(ISNUMBER(Wages!$B868),INT(MOD(Wages!$B868,10000)/100),IFERROR(VALUE(TRIM(LEFT(MID(Wages!$B868,FIND("/",Wages!$B868)+1,20),FIND("/",MID(Wages!$B868,FIND("/",Wages!$B868)+1,20))-1))),"")))</f>
        <v/>
      </c>
      <c r="E865">
        <f>IF(OR($A865="",$C865=""),"",IF(ISNUMBER(Wages!$B868),MOD(Wages!$B868,100),IFERROR(VALUE(TRIM(MID(MID(Wages!$B868,FIND("/",Wages!$B868)+1,20),FIND("/",MID(Wages!$B868,FIND("/",Wages!$B868)+1,20))+1,20))),"")))</f>
        <v/>
      </c>
      <c r="F865">
        <f>IF($A865="","",IF(OR($C865="",$D865="",$E865="",$C865&lt;1300,$C865&gt;1500,$D865&lt;1,$D865&gt;12,$E865&lt;1,$E865&gt;31),"نامعتبر",RIGHT("0000"&amp;$C865,4)&amp;"/"&amp;RIGHT("00"&amp;$D865,2)&amp;"/"&amp;RIGHT("00"&amp;$E865,2)))</f>
        <v/>
      </c>
      <c r="G865">
        <f>IF(OR($A865="",$F865="",$F865="نامعتبر"),"",LEFT($F865,4)&amp;MID($F865,6,2)&amp;RIGHT($F865,2)&amp;"0000"&amp;"|"&amp;"1"&amp;RIGHT("00000"&amp;860,5))</f>
        <v/>
      </c>
      <c r="H865">
        <f>IF(OR($B865&lt;&gt;1,$G865=""),"",COUNTIFS(LdAParty,$A865,LdAType,1,LdAKey,"&lt;"&amp;$G865)+COUNTIFS(LdBMember,$A865,LdBKey,"&lt;"&amp;$G865)+COUNTIFS(LdCParty,$A865,LdCKey,"&lt;"&amp;$G865)+1)</f>
        <v/>
      </c>
      <c r="I865">
        <f>IF($H865="","",$A865&amp;"|"&amp;RIGHT("000000"&amp;$H865,6))</f>
        <v/>
      </c>
      <c r="J865">
        <f>IF(OR($B865&lt;&gt;2,$G865=""),"",COUNTIFS(LdAParty,$A865,LdAType,2,LdAKey,"&lt;"&amp;$G865)+1)</f>
        <v/>
      </c>
      <c r="K865">
        <f>IF($J865="","",$A865&amp;"|"&amp;RIGHT("000000"&amp;$J865,6))</f>
        <v/>
      </c>
      <c r="L865">
        <f>IF($A865="","",IF(Wages!$G868="",0,Wages!$G868))</f>
        <v/>
      </c>
      <c r="M865">
        <f>IF($A865="","",Wages!$J868)</f>
        <v/>
      </c>
      <c r="N865">
        <f>IF($A865="","",Wages!$D868)</f>
        <v/>
      </c>
      <c r="P865">
        <f>IF(OR(Shares!$B868="",Shares!$C868=""),"",Shares!$C868)</f>
        <v/>
      </c>
      <c r="Q865">
        <f>IF($P865="","",Shares!$B868)</f>
        <v/>
      </c>
      <c r="R865">
        <f>IF($P865="","",IFERROR(INDEX(WageParty,MATCH($Q865,WageIds,0)),""))</f>
        <v/>
      </c>
      <c r="S865">
        <f>IF($P865="","",IFERROR(INDEX($F$6:$F$2005,MATCH($Q865,WageIds,0)),""))</f>
        <v/>
      </c>
      <c r="T865">
        <f>IF(OR($P865="",$S865="",$S865="نامعتبر"),"",LEFT($S865,4)&amp;MID($S865,6,2)&amp;RIGHT($S865,2)&amp;"0000"&amp;"|"&amp;"2"&amp;RIGHT("00000"&amp;860,5))</f>
        <v/>
      </c>
      <c r="U865">
        <f>IF($T865="","",COUNTIFS(LdAParty,$P865,LdAType,1,LdAKey,"&lt;"&amp;$T865)+COUNTIFS(LdBMember,$P865,LdBKey,"&lt;"&amp;$T865)+COUNTIFS(LdCParty,$P865,LdCKey,"&lt;"&amp;$T865)+1)</f>
        <v/>
      </c>
      <c r="V865">
        <f>IF($U865="","",$P865&amp;"|"&amp;RIGHT("000000"&amp;$U865,6))</f>
        <v/>
      </c>
      <c r="W865">
        <f>IF($T865="","",COUNTIFS(LdBGroup,$R865,LdBKey,"&lt;"&amp;$T865)+1)</f>
        <v/>
      </c>
      <c r="X865">
        <f>IF($W865="","",$R865&amp;"|"&amp;RIGHT("000000"&amp;$W865,6))</f>
        <v/>
      </c>
      <c r="Y865">
        <f>IF($P865="","",IF(Shares!$E868="",0,Shares!$E868))</f>
        <v/>
      </c>
      <c r="Z865">
        <f>IF($P865="","",Shares!$H868)</f>
        <v/>
      </c>
      <c r="AE865">
        <f>IF(OR(Sync!$S865="",Sync!$P865=""),"",Sync!$S865)</f>
        <v/>
      </c>
      <c r="AF865">
        <f>IF($AE865="","",IF(ISNUMBER(Sync!$P865),IF(AND(Sync!$P865&gt;=10000101,Sync!$P865&lt;=99991231),INT(Sync!$P865/10000),""),IFERROR(VALUE(TRIM(LEFT(Sync!$P865,FIND("/",Sync!$P865)-1))),"")))</f>
        <v/>
      </c>
      <c r="AG865">
        <f>IF(OR($AE865="",$AF865=""),"",IF(ISNUMBER(Sync!$P865),INT(MOD(Sync!$P865,10000)/100),IFERROR(VALUE(TRIM(LEFT(MID(Sync!$P865,FIND("/",Sync!$P865)+1,20),FIND("/",MID(Sync!$P865,FIND("/",Sync!$P865)+1,20))-1))),"")))</f>
        <v/>
      </c>
      <c r="AH865">
        <f>IF(OR($AE865="",$AF865=""),"",IF(ISNUMBER(Sync!$P865),MOD(Sync!$P865,100),IFERROR(VALUE(TRIM(MID(MID(Sync!$P865,FIND("/",Sync!$P865)+1,20),FIND("/",MID(Sync!$P865,FIND("/",Sync!$P865)+1,20))+1,20))),"")))</f>
        <v/>
      </c>
      <c r="AI865">
        <f>IF($AE865="","",IF(OR($AF865="",$AG865="",$AH865="",$AF865&lt;1300,$AF865&gt;1500,$AG865&lt;1,$AG865&gt;12,$AH865&lt;1,$AH865&gt;31),"نامعتبر",RIGHT("0000"&amp;$AF865,4)&amp;"/"&amp;RIGHT("00"&amp;$AG865,2)&amp;"/"&amp;RIGHT("00"&amp;$AH865,2)))</f>
        <v/>
      </c>
      <c r="AJ865">
        <f>IF($AE865="","",IF(Sync!$Q865="","0000",IF(AND(ISNUMBER(Sync!$Q865),Sync!$Q865&gt;=0,Sync!$Q865&lt;1),RIGHT("00"&amp;HOUR(Sync!$Q865),2)&amp;RIGHT("00"&amp;MINUTE(Sync!$Q865),2),IFERROR(RIGHT("00"&amp;VALUE(LEFT(Sync!$Q865,FIND(":",Sync!$Q865)-1)),2)&amp;RIGHT("00"&amp;VALUE(MID(Sync!$Q865,FIND(":",Sync!$Q865)+1,2)),2),"0000"))))</f>
        <v/>
      </c>
      <c r="AK865">
        <f>IF(OR($AE865="",$AI865="",$AI865="نامعتبر"),"",LEFT($AI865,4)&amp;MID($AI865,6,2)&amp;RIGHT($AI865,2)&amp;$AJ865&amp;"|"&amp;"3"&amp;RIGHT("00000"&amp;860,5))</f>
        <v/>
      </c>
      <c r="AL865">
        <f>IF($AK865="","",COUNTIFS(LdAParty,$AE865,LdAType,1,LdAKey,"&lt;"&amp;$AK865)+COUNTIFS(LdBMember,$AE865,LdBKey,"&lt;"&amp;$AK865)+COUNTIFS(LdCParty,$AE865,LdCKey,"&lt;"&amp;$AK865)+1)</f>
        <v/>
      </c>
      <c r="AM865">
        <f>IF($AL865="","",$AE865&amp;"|"&amp;RIGHT("000000"&amp;$AL865,6))</f>
        <v/>
      </c>
      <c r="AN865">
        <f>IF($AE865="","",IF(Sync!$W865="",0,Sync!$W865))</f>
        <v/>
      </c>
      <c r="AO865">
        <f>IF($AE865="","",IF(Sync!$X865="",0,Sync!$X865))</f>
        <v/>
      </c>
      <c r="AP865">
        <f>IF($AE865="","",Sync!$R865)</f>
        <v/>
      </c>
      <c r="AQ865">
        <f>IF($AE865="","",Sync!$Y865)</f>
        <v/>
      </c>
    </row>
    <row r="866">
      <c r="A866">
        <f>IF(OR(Wages!$B869="",Wages!$E869=""),"",Wages!$E869)</f>
        <v/>
      </c>
      <c r="B866">
        <f>IF($A866="","",IF(Wages!$C869="دستمزد گروهی",2,1))</f>
        <v/>
      </c>
      <c r="C866">
        <f>IF($A866="","",IF(ISNUMBER(Wages!$B869),IF(AND(Wages!$B869&gt;=10000101,Wages!$B869&lt;=99991231),INT(Wages!$B869/10000),""),IFERROR(VALUE(TRIM(LEFT(Wages!$B869,FIND("/",Wages!$B869)-1))),"")))</f>
        <v/>
      </c>
      <c r="D866">
        <f>IF(OR($A866="",$C866=""),"",IF(ISNUMBER(Wages!$B869),INT(MOD(Wages!$B869,10000)/100),IFERROR(VALUE(TRIM(LEFT(MID(Wages!$B869,FIND("/",Wages!$B869)+1,20),FIND("/",MID(Wages!$B869,FIND("/",Wages!$B869)+1,20))-1))),"")))</f>
        <v/>
      </c>
      <c r="E866">
        <f>IF(OR($A866="",$C866=""),"",IF(ISNUMBER(Wages!$B869),MOD(Wages!$B869,100),IFERROR(VALUE(TRIM(MID(MID(Wages!$B869,FIND("/",Wages!$B869)+1,20),FIND("/",MID(Wages!$B869,FIND("/",Wages!$B869)+1,20))+1,20))),"")))</f>
        <v/>
      </c>
      <c r="F866">
        <f>IF($A866="","",IF(OR($C866="",$D866="",$E866="",$C866&lt;1300,$C866&gt;1500,$D866&lt;1,$D866&gt;12,$E866&lt;1,$E866&gt;31),"نامعتبر",RIGHT("0000"&amp;$C866,4)&amp;"/"&amp;RIGHT("00"&amp;$D866,2)&amp;"/"&amp;RIGHT("00"&amp;$E866,2)))</f>
        <v/>
      </c>
      <c r="G866">
        <f>IF(OR($A866="",$F866="",$F866="نامعتبر"),"",LEFT($F866,4)&amp;MID($F866,6,2)&amp;RIGHT($F866,2)&amp;"0000"&amp;"|"&amp;"1"&amp;RIGHT("00000"&amp;861,5))</f>
        <v/>
      </c>
      <c r="H866">
        <f>IF(OR($B866&lt;&gt;1,$G866=""),"",COUNTIFS(LdAParty,$A866,LdAType,1,LdAKey,"&lt;"&amp;$G866)+COUNTIFS(LdBMember,$A866,LdBKey,"&lt;"&amp;$G866)+COUNTIFS(LdCParty,$A866,LdCKey,"&lt;"&amp;$G866)+1)</f>
        <v/>
      </c>
      <c r="I866">
        <f>IF($H866="","",$A866&amp;"|"&amp;RIGHT("000000"&amp;$H866,6))</f>
        <v/>
      </c>
      <c r="J866">
        <f>IF(OR($B866&lt;&gt;2,$G866=""),"",COUNTIFS(LdAParty,$A866,LdAType,2,LdAKey,"&lt;"&amp;$G866)+1)</f>
        <v/>
      </c>
      <c r="K866">
        <f>IF($J866="","",$A866&amp;"|"&amp;RIGHT("000000"&amp;$J866,6))</f>
        <v/>
      </c>
      <c r="L866">
        <f>IF($A866="","",IF(Wages!$G869="",0,Wages!$G869))</f>
        <v/>
      </c>
      <c r="M866">
        <f>IF($A866="","",Wages!$J869)</f>
        <v/>
      </c>
      <c r="N866">
        <f>IF($A866="","",Wages!$D869)</f>
        <v/>
      </c>
      <c r="P866">
        <f>IF(OR(Shares!$B869="",Shares!$C869=""),"",Shares!$C869)</f>
        <v/>
      </c>
      <c r="Q866">
        <f>IF($P866="","",Shares!$B869)</f>
        <v/>
      </c>
      <c r="R866">
        <f>IF($P866="","",IFERROR(INDEX(WageParty,MATCH($Q866,WageIds,0)),""))</f>
        <v/>
      </c>
      <c r="S866">
        <f>IF($P866="","",IFERROR(INDEX($F$6:$F$2005,MATCH($Q866,WageIds,0)),""))</f>
        <v/>
      </c>
      <c r="T866">
        <f>IF(OR($P866="",$S866="",$S866="نامعتبر"),"",LEFT($S866,4)&amp;MID($S866,6,2)&amp;RIGHT($S866,2)&amp;"0000"&amp;"|"&amp;"2"&amp;RIGHT("00000"&amp;861,5))</f>
        <v/>
      </c>
      <c r="U866">
        <f>IF($T866="","",COUNTIFS(LdAParty,$P866,LdAType,1,LdAKey,"&lt;"&amp;$T866)+COUNTIFS(LdBMember,$P866,LdBKey,"&lt;"&amp;$T866)+COUNTIFS(LdCParty,$P866,LdCKey,"&lt;"&amp;$T866)+1)</f>
        <v/>
      </c>
      <c r="V866">
        <f>IF($U866="","",$P866&amp;"|"&amp;RIGHT("000000"&amp;$U866,6))</f>
        <v/>
      </c>
      <c r="W866">
        <f>IF($T866="","",COUNTIFS(LdBGroup,$R866,LdBKey,"&lt;"&amp;$T866)+1)</f>
        <v/>
      </c>
      <c r="X866">
        <f>IF($W866="","",$R866&amp;"|"&amp;RIGHT("000000"&amp;$W866,6))</f>
        <v/>
      </c>
      <c r="Y866">
        <f>IF($P866="","",IF(Shares!$E869="",0,Shares!$E869))</f>
        <v/>
      </c>
      <c r="Z866">
        <f>IF($P866="","",Shares!$H869)</f>
        <v/>
      </c>
      <c r="AE866">
        <f>IF(OR(Sync!$S866="",Sync!$P866=""),"",Sync!$S866)</f>
        <v/>
      </c>
      <c r="AF866">
        <f>IF($AE866="","",IF(ISNUMBER(Sync!$P866),IF(AND(Sync!$P866&gt;=10000101,Sync!$P866&lt;=99991231),INT(Sync!$P866/10000),""),IFERROR(VALUE(TRIM(LEFT(Sync!$P866,FIND("/",Sync!$P866)-1))),"")))</f>
        <v/>
      </c>
      <c r="AG866">
        <f>IF(OR($AE866="",$AF866=""),"",IF(ISNUMBER(Sync!$P866),INT(MOD(Sync!$P866,10000)/100),IFERROR(VALUE(TRIM(LEFT(MID(Sync!$P866,FIND("/",Sync!$P866)+1,20),FIND("/",MID(Sync!$P866,FIND("/",Sync!$P866)+1,20))-1))),"")))</f>
        <v/>
      </c>
      <c r="AH866">
        <f>IF(OR($AE866="",$AF866=""),"",IF(ISNUMBER(Sync!$P866),MOD(Sync!$P866,100),IFERROR(VALUE(TRIM(MID(MID(Sync!$P866,FIND("/",Sync!$P866)+1,20),FIND("/",MID(Sync!$P866,FIND("/",Sync!$P866)+1,20))+1,20))),"")))</f>
        <v/>
      </c>
      <c r="AI866">
        <f>IF($AE866="","",IF(OR($AF866="",$AG866="",$AH866="",$AF866&lt;1300,$AF866&gt;1500,$AG866&lt;1,$AG866&gt;12,$AH866&lt;1,$AH866&gt;31),"نامعتبر",RIGHT("0000"&amp;$AF866,4)&amp;"/"&amp;RIGHT("00"&amp;$AG866,2)&amp;"/"&amp;RIGHT("00"&amp;$AH866,2)))</f>
        <v/>
      </c>
      <c r="AJ866">
        <f>IF($AE866="","",IF(Sync!$Q866="","0000",IF(AND(ISNUMBER(Sync!$Q866),Sync!$Q866&gt;=0,Sync!$Q866&lt;1),RIGHT("00"&amp;HOUR(Sync!$Q866),2)&amp;RIGHT("00"&amp;MINUTE(Sync!$Q866),2),IFERROR(RIGHT("00"&amp;VALUE(LEFT(Sync!$Q866,FIND(":",Sync!$Q866)-1)),2)&amp;RIGHT("00"&amp;VALUE(MID(Sync!$Q866,FIND(":",Sync!$Q866)+1,2)),2),"0000"))))</f>
        <v/>
      </c>
      <c r="AK866">
        <f>IF(OR($AE866="",$AI866="",$AI866="نامعتبر"),"",LEFT($AI866,4)&amp;MID($AI866,6,2)&amp;RIGHT($AI866,2)&amp;$AJ866&amp;"|"&amp;"3"&amp;RIGHT("00000"&amp;861,5))</f>
        <v/>
      </c>
      <c r="AL866">
        <f>IF($AK866="","",COUNTIFS(LdAParty,$AE866,LdAType,1,LdAKey,"&lt;"&amp;$AK866)+COUNTIFS(LdBMember,$AE866,LdBKey,"&lt;"&amp;$AK866)+COUNTIFS(LdCParty,$AE866,LdCKey,"&lt;"&amp;$AK866)+1)</f>
        <v/>
      </c>
      <c r="AM866">
        <f>IF($AL866="","",$AE866&amp;"|"&amp;RIGHT("000000"&amp;$AL866,6))</f>
        <v/>
      </c>
      <c r="AN866">
        <f>IF($AE866="","",IF(Sync!$W866="",0,Sync!$W866))</f>
        <v/>
      </c>
      <c r="AO866">
        <f>IF($AE866="","",IF(Sync!$X866="",0,Sync!$X866))</f>
        <v/>
      </c>
      <c r="AP866">
        <f>IF($AE866="","",Sync!$R866)</f>
        <v/>
      </c>
      <c r="AQ866">
        <f>IF($AE866="","",Sync!$Y866)</f>
        <v/>
      </c>
    </row>
    <row r="867">
      <c r="A867">
        <f>IF(OR(Wages!$B870="",Wages!$E870=""),"",Wages!$E870)</f>
        <v/>
      </c>
      <c r="B867">
        <f>IF($A867="","",IF(Wages!$C870="دستمزد گروهی",2,1))</f>
        <v/>
      </c>
      <c r="C867">
        <f>IF($A867="","",IF(ISNUMBER(Wages!$B870),IF(AND(Wages!$B870&gt;=10000101,Wages!$B870&lt;=99991231),INT(Wages!$B870/10000),""),IFERROR(VALUE(TRIM(LEFT(Wages!$B870,FIND("/",Wages!$B870)-1))),"")))</f>
        <v/>
      </c>
      <c r="D867">
        <f>IF(OR($A867="",$C867=""),"",IF(ISNUMBER(Wages!$B870),INT(MOD(Wages!$B870,10000)/100),IFERROR(VALUE(TRIM(LEFT(MID(Wages!$B870,FIND("/",Wages!$B870)+1,20),FIND("/",MID(Wages!$B870,FIND("/",Wages!$B870)+1,20))-1))),"")))</f>
        <v/>
      </c>
      <c r="E867">
        <f>IF(OR($A867="",$C867=""),"",IF(ISNUMBER(Wages!$B870),MOD(Wages!$B870,100),IFERROR(VALUE(TRIM(MID(MID(Wages!$B870,FIND("/",Wages!$B870)+1,20),FIND("/",MID(Wages!$B870,FIND("/",Wages!$B870)+1,20))+1,20))),"")))</f>
        <v/>
      </c>
      <c r="F867">
        <f>IF($A867="","",IF(OR($C867="",$D867="",$E867="",$C867&lt;1300,$C867&gt;1500,$D867&lt;1,$D867&gt;12,$E867&lt;1,$E867&gt;31),"نامعتبر",RIGHT("0000"&amp;$C867,4)&amp;"/"&amp;RIGHT("00"&amp;$D867,2)&amp;"/"&amp;RIGHT("00"&amp;$E867,2)))</f>
        <v/>
      </c>
      <c r="G867">
        <f>IF(OR($A867="",$F867="",$F867="نامعتبر"),"",LEFT($F867,4)&amp;MID($F867,6,2)&amp;RIGHT($F867,2)&amp;"0000"&amp;"|"&amp;"1"&amp;RIGHT("00000"&amp;862,5))</f>
        <v/>
      </c>
      <c r="H867">
        <f>IF(OR($B867&lt;&gt;1,$G867=""),"",COUNTIFS(LdAParty,$A867,LdAType,1,LdAKey,"&lt;"&amp;$G867)+COUNTIFS(LdBMember,$A867,LdBKey,"&lt;"&amp;$G867)+COUNTIFS(LdCParty,$A867,LdCKey,"&lt;"&amp;$G867)+1)</f>
        <v/>
      </c>
      <c r="I867">
        <f>IF($H867="","",$A867&amp;"|"&amp;RIGHT("000000"&amp;$H867,6))</f>
        <v/>
      </c>
      <c r="J867">
        <f>IF(OR($B867&lt;&gt;2,$G867=""),"",COUNTIFS(LdAParty,$A867,LdAType,2,LdAKey,"&lt;"&amp;$G867)+1)</f>
        <v/>
      </c>
      <c r="K867">
        <f>IF($J867="","",$A867&amp;"|"&amp;RIGHT("000000"&amp;$J867,6))</f>
        <v/>
      </c>
      <c r="L867">
        <f>IF($A867="","",IF(Wages!$G870="",0,Wages!$G870))</f>
        <v/>
      </c>
      <c r="M867">
        <f>IF($A867="","",Wages!$J870)</f>
        <v/>
      </c>
      <c r="N867">
        <f>IF($A867="","",Wages!$D870)</f>
        <v/>
      </c>
      <c r="P867">
        <f>IF(OR(Shares!$B870="",Shares!$C870=""),"",Shares!$C870)</f>
        <v/>
      </c>
      <c r="Q867">
        <f>IF($P867="","",Shares!$B870)</f>
        <v/>
      </c>
      <c r="R867">
        <f>IF($P867="","",IFERROR(INDEX(WageParty,MATCH($Q867,WageIds,0)),""))</f>
        <v/>
      </c>
      <c r="S867">
        <f>IF($P867="","",IFERROR(INDEX($F$6:$F$2005,MATCH($Q867,WageIds,0)),""))</f>
        <v/>
      </c>
      <c r="T867">
        <f>IF(OR($P867="",$S867="",$S867="نامعتبر"),"",LEFT($S867,4)&amp;MID($S867,6,2)&amp;RIGHT($S867,2)&amp;"0000"&amp;"|"&amp;"2"&amp;RIGHT("00000"&amp;862,5))</f>
        <v/>
      </c>
      <c r="U867">
        <f>IF($T867="","",COUNTIFS(LdAParty,$P867,LdAType,1,LdAKey,"&lt;"&amp;$T867)+COUNTIFS(LdBMember,$P867,LdBKey,"&lt;"&amp;$T867)+COUNTIFS(LdCParty,$P867,LdCKey,"&lt;"&amp;$T867)+1)</f>
        <v/>
      </c>
      <c r="V867">
        <f>IF($U867="","",$P867&amp;"|"&amp;RIGHT("000000"&amp;$U867,6))</f>
        <v/>
      </c>
      <c r="W867">
        <f>IF($T867="","",COUNTIFS(LdBGroup,$R867,LdBKey,"&lt;"&amp;$T867)+1)</f>
        <v/>
      </c>
      <c r="X867">
        <f>IF($W867="","",$R867&amp;"|"&amp;RIGHT("000000"&amp;$W867,6))</f>
        <v/>
      </c>
      <c r="Y867">
        <f>IF($P867="","",IF(Shares!$E870="",0,Shares!$E870))</f>
        <v/>
      </c>
      <c r="Z867">
        <f>IF($P867="","",Shares!$H870)</f>
        <v/>
      </c>
      <c r="AE867">
        <f>IF(OR(Sync!$S867="",Sync!$P867=""),"",Sync!$S867)</f>
        <v/>
      </c>
      <c r="AF867">
        <f>IF($AE867="","",IF(ISNUMBER(Sync!$P867),IF(AND(Sync!$P867&gt;=10000101,Sync!$P867&lt;=99991231),INT(Sync!$P867/10000),""),IFERROR(VALUE(TRIM(LEFT(Sync!$P867,FIND("/",Sync!$P867)-1))),"")))</f>
        <v/>
      </c>
      <c r="AG867">
        <f>IF(OR($AE867="",$AF867=""),"",IF(ISNUMBER(Sync!$P867),INT(MOD(Sync!$P867,10000)/100),IFERROR(VALUE(TRIM(LEFT(MID(Sync!$P867,FIND("/",Sync!$P867)+1,20),FIND("/",MID(Sync!$P867,FIND("/",Sync!$P867)+1,20))-1))),"")))</f>
        <v/>
      </c>
      <c r="AH867">
        <f>IF(OR($AE867="",$AF867=""),"",IF(ISNUMBER(Sync!$P867),MOD(Sync!$P867,100),IFERROR(VALUE(TRIM(MID(MID(Sync!$P867,FIND("/",Sync!$P867)+1,20),FIND("/",MID(Sync!$P867,FIND("/",Sync!$P867)+1,20))+1,20))),"")))</f>
        <v/>
      </c>
      <c r="AI867">
        <f>IF($AE867="","",IF(OR($AF867="",$AG867="",$AH867="",$AF867&lt;1300,$AF867&gt;1500,$AG867&lt;1,$AG867&gt;12,$AH867&lt;1,$AH867&gt;31),"نامعتبر",RIGHT("0000"&amp;$AF867,4)&amp;"/"&amp;RIGHT("00"&amp;$AG867,2)&amp;"/"&amp;RIGHT("00"&amp;$AH867,2)))</f>
        <v/>
      </c>
      <c r="AJ867">
        <f>IF($AE867="","",IF(Sync!$Q867="","0000",IF(AND(ISNUMBER(Sync!$Q867),Sync!$Q867&gt;=0,Sync!$Q867&lt;1),RIGHT("00"&amp;HOUR(Sync!$Q867),2)&amp;RIGHT("00"&amp;MINUTE(Sync!$Q867),2),IFERROR(RIGHT("00"&amp;VALUE(LEFT(Sync!$Q867,FIND(":",Sync!$Q867)-1)),2)&amp;RIGHT("00"&amp;VALUE(MID(Sync!$Q867,FIND(":",Sync!$Q867)+1,2)),2),"0000"))))</f>
        <v/>
      </c>
      <c r="AK867">
        <f>IF(OR($AE867="",$AI867="",$AI867="نامعتبر"),"",LEFT($AI867,4)&amp;MID($AI867,6,2)&amp;RIGHT($AI867,2)&amp;$AJ867&amp;"|"&amp;"3"&amp;RIGHT("00000"&amp;862,5))</f>
        <v/>
      </c>
      <c r="AL867">
        <f>IF($AK867="","",COUNTIFS(LdAParty,$AE867,LdAType,1,LdAKey,"&lt;"&amp;$AK867)+COUNTIFS(LdBMember,$AE867,LdBKey,"&lt;"&amp;$AK867)+COUNTIFS(LdCParty,$AE867,LdCKey,"&lt;"&amp;$AK867)+1)</f>
        <v/>
      </c>
      <c r="AM867">
        <f>IF($AL867="","",$AE867&amp;"|"&amp;RIGHT("000000"&amp;$AL867,6))</f>
        <v/>
      </c>
      <c r="AN867">
        <f>IF($AE867="","",IF(Sync!$W867="",0,Sync!$W867))</f>
        <v/>
      </c>
      <c r="AO867">
        <f>IF($AE867="","",IF(Sync!$X867="",0,Sync!$X867))</f>
        <v/>
      </c>
      <c r="AP867">
        <f>IF($AE867="","",Sync!$R867)</f>
        <v/>
      </c>
      <c r="AQ867">
        <f>IF($AE867="","",Sync!$Y867)</f>
        <v/>
      </c>
    </row>
    <row r="868">
      <c r="A868">
        <f>IF(OR(Wages!$B871="",Wages!$E871=""),"",Wages!$E871)</f>
        <v/>
      </c>
      <c r="B868">
        <f>IF($A868="","",IF(Wages!$C871="دستمزد گروهی",2,1))</f>
        <v/>
      </c>
      <c r="C868">
        <f>IF($A868="","",IF(ISNUMBER(Wages!$B871),IF(AND(Wages!$B871&gt;=10000101,Wages!$B871&lt;=99991231),INT(Wages!$B871/10000),""),IFERROR(VALUE(TRIM(LEFT(Wages!$B871,FIND("/",Wages!$B871)-1))),"")))</f>
        <v/>
      </c>
      <c r="D868">
        <f>IF(OR($A868="",$C868=""),"",IF(ISNUMBER(Wages!$B871),INT(MOD(Wages!$B871,10000)/100),IFERROR(VALUE(TRIM(LEFT(MID(Wages!$B871,FIND("/",Wages!$B871)+1,20),FIND("/",MID(Wages!$B871,FIND("/",Wages!$B871)+1,20))-1))),"")))</f>
        <v/>
      </c>
      <c r="E868">
        <f>IF(OR($A868="",$C868=""),"",IF(ISNUMBER(Wages!$B871),MOD(Wages!$B871,100),IFERROR(VALUE(TRIM(MID(MID(Wages!$B871,FIND("/",Wages!$B871)+1,20),FIND("/",MID(Wages!$B871,FIND("/",Wages!$B871)+1,20))+1,20))),"")))</f>
        <v/>
      </c>
      <c r="F868">
        <f>IF($A868="","",IF(OR($C868="",$D868="",$E868="",$C868&lt;1300,$C868&gt;1500,$D868&lt;1,$D868&gt;12,$E868&lt;1,$E868&gt;31),"نامعتبر",RIGHT("0000"&amp;$C868,4)&amp;"/"&amp;RIGHT("00"&amp;$D868,2)&amp;"/"&amp;RIGHT("00"&amp;$E868,2)))</f>
        <v/>
      </c>
      <c r="G868">
        <f>IF(OR($A868="",$F868="",$F868="نامعتبر"),"",LEFT($F868,4)&amp;MID($F868,6,2)&amp;RIGHT($F868,2)&amp;"0000"&amp;"|"&amp;"1"&amp;RIGHT("00000"&amp;863,5))</f>
        <v/>
      </c>
      <c r="H868">
        <f>IF(OR($B868&lt;&gt;1,$G868=""),"",COUNTIFS(LdAParty,$A868,LdAType,1,LdAKey,"&lt;"&amp;$G868)+COUNTIFS(LdBMember,$A868,LdBKey,"&lt;"&amp;$G868)+COUNTIFS(LdCParty,$A868,LdCKey,"&lt;"&amp;$G868)+1)</f>
        <v/>
      </c>
      <c r="I868">
        <f>IF($H868="","",$A868&amp;"|"&amp;RIGHT("000000"&amp;$H868,6))</f>
        <v/>
      </c>
      <c r="J868">
        <f>IF(OR($B868&lt;&gt;2,$G868=""),"",COUNTIFS(LdAParty,$A868,LdAType,2,LdAKey,"&lt;"&amp;$G868)+1)</f>
        <v/>
      </c>
      <c r="K868">
        <f>IF($J868="","",$A868&amp;"|"&amp;RIGHT("000000"&amp;$J868,6))</f>
        <v/>
      </c>
      <c r="L868">
        <f>IF($A868="","",IF(Wages!$G871="",0,Wages!$G871))</f>
        <v/>
      </c>
      <c r="M868">
        <f>IF($A868="","",Wages!$J871)</f>
        <v/>
      </c>
      <c r="N868">
        <f>IF($A868="","",Wages!$D871)</f>
        <v/>
      </c>
      <c r="P868">
        <f>IF(OR(Shares!$B871="",Shares!$C871=""),"",Shares!$C871)</f>
        <v/>
      </c>
      <c r="Q868">
        <f>IF($P868="","",Shares!$B871)</f>
        <v/>
      </c>
      <c r="R868">
        <f>IF($P868="","",IFERROR(INDEX(WageParty,MATCH($Q868,WageIds,0)),""))</f>
        <v/>
      </c>
      <c r="S868">
        <f>IF($P868="","",IFERROR(INDEX($F$6:$F$2005,MATCH($Q868,WageIds,0)),""))</f>
        <v/>
      </c>
      <c r="T868">
        <f>IF(OR($P868="",$S868="",$S868="نامعتبر"),"",LEFT($S868,4)&amp;MID($S868,6,2)&amp;RIGHT($S868,2)&amp;"0000"&amp;"|"&amp;"2"&amp;RIGHT("00000"&amp;863,5))</f>
        <v/>
      </c>
      <c r="U868">
        <f>IF($T868="","",COUNTIFS(LdAParty,$P868,LdAType,1,LdAKey,"&lt;"&amp;$T868)+COUNTIFS(LdBMember,$P868,LdBKey,"&lt;"&amp;$T868)+COUNTIFS(LdCParty,$P868,LdCKey,"&lt;"&amp;$T868)+1)</f>
        <v/>
      </c>
      <c r="V868">
        <f>IF($U868="","",$P868&amp;"|"&amp;RIGHT("000000"&amp;$U868,6))</f>
        <v/>
      </c>
      <c r="W868">
        <f>IF($T868="","",COUNTIFS(LdBGroup,$R868,LdBKey,"&lt;"&amp;$T868)+1)</f>
        <v/>
      </c>
      <c r="X868">
        <f>IF($W868="","",$R868&amp;"|"&amp;RIGHT("000000"&amp;$W868,6))</f>
        <v/>
      </c>
      <c r="Y868">
        <f>IF($P868="","",IF(Shares!$E871="",0,Shares!$E871))</f>
        <v/>
      </c>
      <c r="Z868">
        <f>IF($P868="","",Shares!$H871)</f>
        <v/>
      </c>
      <c r="AE868">
        <f>IF(OR(Sync!$S868="",Sync!$P868=""),"",Sync!$S868)</f>
        <v/>
      </c>
      <c r="AF868">
        <f>IF($AE868="","",IF(ISNUMBER(Sync!$P868),IF(AND(Sync!$P868&gt;=10000101,Sync!$P868&lt;=99991231),INT(Sync!$P868/10000),""),IFERROR(VALUE(TRIM(LEFT(Sync!$P868,FIND("/",Sync!$P868)-1))),"")))</f>
        <v/>
      </c>
      <c r="AG868">
        <f>IF(OR($AE868="",$AF868=""),"",IF(ISNUMBER(Sync!$P868),INT(MOD(Sync!$P868,10000)/100),IFERROR(VALUE(TRIM(LEFT(MID(Sync!$P868,FIND("/",Sync!$P868)+1,20),FIND("/",MID(Sync!$P868,FIND("/",Sync!$P868)+1,20))-1))),"")))</f>
        <v/>
      </c>
      <c r="AH868">
        <f>IF(OR($AE868="",$AF868=""),"",IF(ISNUMBER(Sync!$P868),MOD(Sync!$P868,100),IFERROR(VALUE(TRIM(MID(MID(Sync!$P868,FIND("/",Sync!$P868)+1,20),FIND("/",MID(Sync!$P868,FIND("/",Sync!$P868)+1,20))+1,20))),"")))</f>
        <v/>
      </c>
      <c r="AI868">
        <f>IF($AE868="","",IF(OR($AF868="",$AG868="",$AH868="",$AF868&lt;1300,$AF868&gt;1500,$AG868&lt;1,$AG868&gt;12,$AH868&lt;1,$AH868&gt;31),"نامعتبر",RIGHT("0000"&amp;$AF868,4)&amp;"/"&amp;RIGHT("00"&amp;$AG868,2)&amp;"/"&amp;RIGHT("00"&amp;$AH868,2)))</f>
        <v/>
      </c>
      <c r="AJ868">
        <f>IF($AE868="","",IF(Sync!$Q868="","0000",IF(AND(ISNUMBER(Sync!$Q868),Sync!$Q868&gt;=0,Sync!$Q868&lt;1),RIGHT("00"&amp;HOUR(Sync!$Q868),2)&amp;RIGHT("00"&amp;MINUTE(Sync!$Q868),2),IFERROR(RIGHT("00"&amp;VALUE(LEFT(Sync!$Q868,FIND(":",Sync!$Q868)-1)),2)&amp;RIGHT("00"&amp;VALUE(MID(Sync!$Q868,FIND(":",Sync!$Q868)+1,2)),2),"0000"))))</f>
        <v/>
      </c>
      <c r="AK868">
        <f>IF(OR($AE868="",$AI868="",$AI868="نامعتبر"),"",LEFT($AI868,4)&amp;MID($AI868,6,2)&amp;RIGHT($AI868,2)&amp;$AJ868&amp;"|"&amp;"3"&amp;RIGHT("00000"&amp;863,5))</f>
        <v/>
      </c>
      <c r="AL868">
        <f>IF($AK868="","",COUNTIFS(LdAParty,$AE868,LdAType,1,LdAKey,"&lt;"&amp;$AK868)+COUNTIFS(LdBMember,$AE868,LdBKey,"&lt;"&amp;$AK868)+COUNTIFS(LdCParty,$AE868,LdCKey,"&lt;"&amp;$AK868)+1)</f>
        <v/>
      </c>
      <c r="AM868">
        <f>IF($AL868="","",$AE868&amp;"|"&amp;RIGHT("000000"&amp;$AL868,6))</f>
        <v/>
      </c>
      <c r="AN868">
        <f>IF($AE868="","",IF(Sync!$W868="",0,Sync!$W868))</f>
        <v/>
      </c>
      <c r="AO868">
        <f>IF($AE868="","",IF(Sync!$X868="",0,Sync!$X868))</f>
        <v/>
      </c>
      <c r="AP868">
        <f>IF($AE868="","",Sync!$R868)</f>
        <v/>
      </c>
      <c r="AQ868">
        <f>IF($AE868="","",Sync!$Y868)</f>
        <v/>
      </c>
    </row>
    <row r="869">
      <c r="A869">
        <f>IF(OR(Wages!$B872="",Wages!$E872=""),"",Wages!$E872)</f>
        <v/>
      </c>
      <c r="B869">
        <f>IF($A869="","",IF(Wages!$C872="دستمزد گروهی",2,1))</f>
        <v/>
      </c>
      <c r="C869">
        <f>IF($A869="","",IF(ISNUMBER(Wages!$B872),IF(AND(Wages!$B872&gt;=10000101,Wages!$B872&lt;=99991231),INT(Wages!$B872/10000),""),IFERROR(VALUE(TRIM(LEFT(Wages!$B872,FIND("/",Wages!$B872)-1))),"")))</f>
        <v/>
      </c>
      <c r="D869">
        <f>IF(OR($A869="",$C869=""),"",IF(ISNUMBER(Wages!$B872),INT(MOD(Wages!$B872,10000)/100),IFERROR(VALUE(TRIM(LEFT(MID(Wages!$B872,FIND("/",Wages!$B872)+1,20),FIND("/",MID(Wages!$B872,FIND("/",Wages!$B872)+1,20))-1))),"")))</f>
        <v/>
      </c>
      <c r="E869">
        <f>IF(OR($A869="",$C869=""),"",IF(ISNUMBER(Wages!$B872),MOD(Wages!$B872,100),IFERROR(VALUE(TRIM(MID(MID(Wages!$B872,FIND("/",Wages!$B872)+1,20),FIND("/",MID(Wages!$B872,FIND("/",Wages!$B872)+1,20))+1,20))),"")))</f>
        <v/>
      </c>
      <c r="F869">
        <f>IF($A869="","",IF(OR($C869="",$D869="",$E869="",$C869&lt;1300,$C869&gt;1500,$D869&lt;1,$D869&gt;12,$E869&lt;1,$E869&gt;31),"نامعتبر",RIGHT("0000"&amp;$C869,4)&amp;"/"&amp;RIGHT("00"&amp;$D869,2)&amp;"/"&amp;RIGHT("00"&amp;$E869,2)))</f>
        <v/>
      </c>
      <c r="G869">
        <f>IF(OR($A869="",$F869="",$F869="نامعتبر"),"",LEFT($F869,4)&amp;MID($F869,6,2)&amp;RIGHT($F869,2)&amp;"0000"&amp;"|"&amp;"1"&amp;RIGHT("00000"&amp;864,5))</f>
        <v/>
      </c>
      <c r="H869">
        <f>IF(OR($B869&lt;&gt;1,$G869=""),"",COUNTIFS(LdAParty,$A869,LdAType,1,LdAKey,"&lt;"&amp;$G869)+COUNTIFS(LdBMember,$A869,LdBKey,"&lt;"&amp;$G869)+COUNTIFS(LdCParty,$A869,LdCKey,"&lt;"&amp;$G869)+1)</f>
        <v/>
      </c>
      <c r="I869">
        <f>IF($H869="","",$A869&amp;"|"&amp;RIGHT("000000"&amp;$H869,6))</f>
        <v/>
      </c>
      <c r="J869">
        <f>IF(OR($B869&lt;&gt;2,$G869=""),"",COUNTIFS(LdAParty,$A869,LdAType,2,LdAKey,"&lt;"&amp;$G869)+1)</f>
        <v/>
      </c>
      <c r="K869">
        <f>IF($J869="","",$A869&amp;"|"&amp;RIGHT("000000"&amp;$J869,6))</f>
        <v/>
      </c>
      <c r="L869">
        <f>IF($A869="","",IF(Wages!$G872="",0,Wages!$G872))</f>
        <v/>
      </c>
      <c r="M869">
        <f>IF($A869="","",Wages!$J872)</f>
        <v/>
      </c>
      <c r="N869">
        <f>IF($A869="","",Wages!$D872)</f>
        <v/>
      </c>
      <c r="P869">
        <f>IF(OR(Shares!$B872="",Shares!$C872=""),"",Shares!$C872)</f>
        <v/>
      </c>
      <c r="Q869">
        <f>IF($P869="","",Shares!$B872)</f>
        <v/>
      </c>
      <c r="R869">
        <f>IF($P869="","",IFERROR(INDEX(WageParty,MATCH($Q869,WageIds,0)),""))</f>
        <v/>
      </c>
      <c r="S869">
        <f>IF($P869="","",IFERROR(INDEX($F$6:$F$2005,MATCH($Q869,WageIds,0)),""))</f>
        <v/>
      </c>
      <c r="T869">
        <f>IF(OR($P869="",$S869="",$S869="نامعتبر"),"",LEFT($S869,4)&amp;MID($S869,6,2)&amp;RIGHT($S869,2)&amp;"0000"&amp;"|"&amp;"2"&amp;RIGHT("00000"&amp;864,5))</f>
        <v/>
      </c>
      <c r="U869">
        <f>IF($T869="","",COUNTIFS(LdAParty,$P869,LdAType,1,LdAKey,"&lt;"&amp;$T869)+COUNTIFS(LdBMember,$P869,LdBKey,"&lt;"&amp;$T869)+COUNTIFS(LdCParty,$P869,LdCKey,"&lt;"&amp;$T869)+1)</f>
        <v/>
      </c>
      <c r="V869">
        <f>IF($U869="","",$P869&amp;"|"&amp;RIGHT("000000"&amp;$U869,6))</f>
        <v/>
      </c>
      <c r="W869">
        <f>IF($T869="","",COUNTIFS(LdBGroup,$R869,LdBKey,"&lt;"&amp;$T869)+1)</f>
        <v/>
      </c>
      <c r="X869">
        <f>IF($W869="","",$R869&amp;"|"&amp;RIGHT("000000"&amp;$W869,6))</f>
        <v/>
      </c>
      <c r="Y869">
        <f>IF($P869="","",IF(Shares!$E872="",0,Shares!$E872))</f>
        <v/>
      </c>
      <c r="Z869">
        <f>IF($P869="","",Shares!$H872)</f>
        <v/>
      </c>
      <c r="AE869">
        <f>IF(OR(Sync!$S869="",Sync!$P869=""),"",Sync!$S869)</f>
        <v/>
      </c>
      <c r="AF869">
        <f>IF($AE869="","",IF(ISNUMBER(Sync!$P869),IF(AND(Sync!$P869&gt;=10000101,Sync!$P869&lt;=99991231),INT(Sync!$P869/10000),""),IFERROR(VALUE(TRIM(LEFT(Sync!$P869,FIND("/",Sync!$P869)-1))),"")))</f>
        <v/>
      </c>
      <c r="AG869">
        <f>IF(OR($AE869="",$AF869=""),"",IF(ISNUMBER(Sync!$P869),INT(MOD(Sync!$P869,10000)/100),IFERROR(VALUE(TRIM(LEFT(MID(Sync!$P869,FIND("/",Sync!$P869)+1,20),FIND("/",MID(Sync!$P869,FIND("/",Sync!$P869)+1,20))-1))),"")))</f>
        <v/>
      </c>
      <c r="AH869">
        <f>IF(OR($AE869="",$AF869=""),"",IF(ISNUMBER(Sync!$P869),MOD(Sync!$P869,100),IFERROR(VALUE(TRIM(MID(MID(Sync!$P869,FIND("/",Sync!$P869)+1,20),FIND("/",MID(Sync!$P869,FIND("/",Sync!$P869)+1,20))+1,20))),"")))</f>
        <v/>
      </c>
      <c r="AI869">
        <f>IF($AE869="","",IF(OR($AF869="",$AG869="",$AH869="",$AF869&lt;1300,$AF869&gt;1500,$AG869&lt;1,$AG869&gt;12,$AH869&lt;1,$AH869&gt;31),"نامعتبر",RIGHT("0000"&amp;$AF869,4)&amp;"/"&amp;RIGHT("00"&amp;$AG869,2)&amp;"/"&amp;RIGHT("00"&amp;$AH869,2)))</f>
        <v/>
      </c>
      <c r="AJ869">
        <f>IF($AE869="","",IF(Sync!$Q869="","0000",IF(AND(ISNUMBER(Sync!$Q869),Sync!$Q869&gt;=0,Sync!$Q869&lt;1),RIGHT("00"&amp;HOUR(Sync!$Q869),2)&amp;RIGHT("00"&amp;MINUTE(Sync!$Q869),2),IFERROR(RIGHT("00"&amp;VALUE(LEFT(Sync!$Q869,FIND(":",Sync!$Q869)-1)),2)&amp;RIGHT("00"&amp;VALUE(MID(Sync!$Q869,FIND(":",Sync!$Q869)+1,2)),2),"0000"))))</f>
        <v/>
      </c>
      <c r="AK869">
        <f>IF(OR($AE869="",$AI869="",$AI869="نامعتبر"),"",LEFT($AI869,4)&amp;MID($AI869,6,2)&amp;RIGHT($AI869,2)&amp;$AJ869&amp;"|"&amp;"3"&amp;RIGHT("00000"&amp;864,5))</f>
        <v/>
      </c>
      <c r="AL869">
        <f>IF($AK869="","",COUNTIFS(LdAParty,$AE869,LdAType,1,LdAKey,"&lt;"&amp;$AK869)+COUNTIFS(LdBMember,$AE869,LdBKey,"&lt;"&amp;$AK869)+COUNTIFS(LdCParty,$AE869,LdCKey,"&lt;"&amp;$AK869)+1)</f>
        <v/>
      </c>
      <c r="AM869">
        <f>IF($AL869="","",$AE869&amp;"|"&amp;RIGHT("000000"&amp;$AL869,6))</f>
        <v/>
      </c>
      <c r="AN869">
        <f>IF($AE869="","",IF(Sync!$W869="",0,Sync!$W869))</f>
        <v/>
      </c>
      <c r="AO869">
        <f>IF($AE869="","",IF(Sync!$X869="",0,Sync!$X869))</f>
        <v/>
      </c>
      <c r="AP869">
        <f>IF($AE869="","",Sync!$R869)</f>
        <v/>
      </c>
      <c r="AQ869">
        <f>IF($AE869="","",Sync!$Y869)</f>
        <v/>
      </c>
    </row>
    <row r="870">
      <c r="A870">
        <f>IF(OR(Wages!$B873="",Wages!$E873=""),"",Wages!$E873)</f>
        <v/>
      </c>
      <c r="B870">
        <f>IF($A870="","",IF(Wages!$C873="دستمزد گروهی",2,1))</f>
        <v/>
      </c>
      <c r="C870">
        <f>IF($A870="","",IF(ISNUMBER(Wages!$B873),IF(AND(Wages!$B873&gt;=10000101,Wages!$B873&lt;=99991231),INT(Wages!$B873/10000),""),IFERROR(VALUE(TRIM(LEFT(Wages!$B873,FIND("/",Wages!$B873)-1))),"")))</f>
        <v/>
      </c>
      <c r="D870">
        <f>IF(OR($A870="",$C870=""),"",IF(ISNUMBER(Wages!$B873),INT(MOD(Wages!$B873,10000)/100),IFERROR(VALUE(TRIM(LEFT(MID(Wages!$B873,FIND("/",Wages!$B873)+1,20),FIND("/",MID(Wages!$B873,FIND("/",Wages!$B873)+1,20))-1))),"")))</f>
        <v/>
      </c>
      <c r="E870">
        <f>IF(OR($A870="",$C870=""),"",IF(ISNUMBER(Wages!$B873),MOD(Wages!$B873,100),IFERROR(VALUE(TRIM(MID(MID(Wages!$B873,FIND("/",Wages!$B873)+1,20),FIND("/",MID(Wages!$B873,FIND("/",Wages!$B873)+1,20))+1,20))),"")))</f>
        <v/>
      </c>
      <c r="F870">
        <f>IF($A870="","",IF(OR($C870="",$D870="",$E870="",$C870&lt;1300,$C870&gt;1500,$D870&lt;1,$D870&gt;12,$E870&lt;1,$E870&gt;31),"نامعتبر",RIGHT("0000"&amp;$C870,4)&amp;"/"&amp;RIGHT("00"&amp;$D870,2)&amp;"/"&amp;RIGHT("00"&amp;$E870,2)))</f>
        <v/>
      </c>
      <c r="G870">
        <f>IF(OR($A870="",$F870="",$F870="نامعتبر"),"",LEFT($F870,4)&amp;MID($F870,6,2)&amp;RIGHT($F870,2)&amp;"0000"&amp;"|"&amp;"1"&amp;RIGHT("00000"&amp;865,5))</f>
        <v/>
      </c>
      <c r="H870">
        <f>IF(OR($B870&lt;&gt;1,$G870=""),"",COUNTIFS(LdAParty,$A870,LdAType,1,LdAKey,"&lt;"&amp;$G870)+COUNTIFS(LdBMember,$A870,LdBKey,"&lt;"&amp;$G870)+COUNTIFS(LdCParty,$A870,LdCKey,"&lt;"&amp;$G870)+1)</f>
        <v/>
      </c>
      <c r="I870">
        <f>IF($H870="","",$A870&amp;"|"&amp;RIGHT("000000"&amp;$H870,6))</f>
        <v/>
      </c>
      <c r="J870">
        <f>IF(OR($B870&lt;&gt;2,$G870=""),"",COUNTIFS(LdAParty,$A870,LdAType,2,LdAKey,"&lt;"&amp;$G870)+1)</f>
        <v/>
      </c>
      <c r="K870">
        <f>IF($J870="","",$A870&amp;"|"&amp;RIGHT("000000"&amp;$J870,6))</f>
        <v/>
      </c>
      <c r="L870">
        <f>IF($A870="","",IF(Wages!$G873="",0,Wages!$G873))</f>
        <v/>
      </c>
      <c r="M870">
        <f>IF($A870="","",Wages!$J873)</f>
        <v/>
      </c>
      <c r="N870">
        <f>IF($A870="","",Wages!$D873)</f>
        <v/>
      </c>
      <c r="P870">
        <f>IF(OR(Shares!$B873="",Shares!$C873=""),"",Shares!$C873)</f>
        <v/>
      </c>
      <c r="Q870">
        <f>IF($P870="","",Shares!$B873)</f>
        <v/>
      </c>
      <c r="R870">
        <f>IF($P870="","",IFERROR(INDEX(WageParty,MATCH($Q870,WageIds,0)),""))</f>
        <v/>
      </c>
      <c r="S870">
        <f>IF($P870="","",IFERROR(INDEX($F$6:$F$2005,MATCH($Q870,WageIds,0)),""))</f>
        <v/>
      </c>
      <c r="T870">
        <f>IF(OR($P870="",$S870="",$S870="نامعتبر"),"",LEFT($S870,4)&amp;MID($S870,6,2)&amp;RIGHT($S870,2)&amp;"0000"&amp;"|"&amp;"2"&amp;RIGHT("00000"&amp;865,5))</f>
        <v/>
      </c>
      <c r="U870">
        <f>IF($T870="","",COUNTIFS(LdAParty,$P870,LdAType,1,LdAKey,"&lt;"&amp;$T870)+COUNTIFS(LdBMember,$P870,LdBKey,"&lt;"&amp;$T870)+COUNTIFS(LdCParty,$P870,LdCKey,"&lt;"&amp;$T870)+1)</f>
        <v/>
      </c>
      <c r="V870">
        <f>IF($U870="","",$P870&amp;"|"&amp;RIGHT("000000"&amp;$U870,6))</f>
        <v/>
      </c>
      <c r="W870">
        <f>IF($T870="","",COUNTIFS(LdBGroup,$R870,LdBKey,"&lt;"&amp;$T870)+1)</f>
        <v/>
      </c>
      <c r="X870">
        <f>IF($W870="","",$R870&amp;"|"&amp;RIGHT("000000"&amp;$W870,6))</f>
        <v/>
      </c>
      <c r="Y870">
        <f>IF($P870="","",IF(Shares!$E873="",0,Shares!$E873))</f>
        <v/>
      </c>
      <c r="Z870">
        <f>IF($P870="","",Shares!$H873)</f>
        <v/>
      </c>
      <c r="AE870">
        <f>IF(OR(Sync!$S870="",Sync!$P870=""),"",Sync!$S870)</f>
        <v/>
      </c>
      <c r="AF870">
        <f>IF($AE870="","",IF(ISNUMBER(Sync!$P870),IF(AND(Sync!$P870&gt;=10000101,Sync!$P870&lt;=99991231),INT(Sync!$P870/10000),""),IFERROR(VALUE(TRIM(LEFT(Sync!$P870,FIND("/",Sync!$P870)-1))),"")))</f>
        <v/>
      </c>
      <c r="AG870">
        <f>IF(OR($AE870="",$AF870=""),"",IF(ISNUMBER(Sync!$P870),INT(MOD(Sync!$P870,10000)/100),IFERROR(VALUE(TRIM(LEFT(MID(Sync!$P870,FIND("/",Sync!$P870)+1,20),FIND("/",MID(Sync!$P870,FIND("/",Sync!$P870)+1,20))-1))),"")))</f>
        <v/>
      </c>
      <c r="AH870">
        <f>IF(OR($AE870="",$AF870=""),"",IF(ISNUMBER(Sync!$P870),MOD(Sync!$P870,100),IFERROR(VALUE(TRIM(MID(MID(Sync!$P870,FIND("/",Sync!$P870)+1,20),FIND("/",MID(Sync!$P870,FIND("/",Sync!$P870)+1,20))+1,20))),"")))</f>
        <v/>
      </c>
      <c r="AI870">
        <f>IF($AE870="","",IF(OR($AF870="",$AG870="",$AH870="",$AF870&lt;1300,$AF870&gt;1500,$AG870&lt;1,$AG870&gt;12,$AH870&lt;1,$AH870&gt;31),"نامعتبر",RIGHT("0000"&amp;$AF870,4)&amp;"/"&amp;RIGHT("00"&amp;$AG870,2)&amp;"/"&amp;RIGHT("00"&amp;$AH870,2)))</f>
        <v/>
      </c>
      <c r="AJ870">
        <f>IF($AE870="","",IF(Sync!$Q870="","0000",IF(AND(ISNUMBER(Sync!$Q870),Sync!$Q870&gt;=0,Sync!$Q870&lt;1),RIGHT("00"&amp;HOUR(Sync!$Q870),2)&amp;RIGHT("00"&amp;MINUTE(Sync!$Q870),2),IFERROR(RIGHT("00"&amp;VALUE(LEFT(Sync!$Q870,FIND(":",Sync!$Q870)-1)),2)&amp;RIGHT("00"&amp;VALUE(MID(Sync!$Q870,FIND(":",Sync!$Q870)+1,2)),2),"0000"))))</f>
        <v/>
      </c>
      <c r="AK870">
        <f>IF(OR($AE870="",$AI870="",$AI870="نامعتبر"),"",LEFT($AI870,4)&amp;MID($AI870,6,2)&amp;RIGHT($AI870,2)&amp;$AJ870&amp;"|"&amp;"3"&amp;RIGHT("00000"&amp;865,5))</f>
        <v/>
      </c>
      <c r="AL870">
        <f>IF($AK870="","",COUNTIFS(LdAParty,$AE870,LdAType,1,LdAKey,"&lt;"&amp;$AK870)+COUNTIFS(LdBMember,$AE870,LdBKey,"&lt;"&amp;$AK870)+COUNTIFS(LdCParty,$AE870,LdCKey,"&lt;"&amp;$AK870)+1)</f>
        <v/>
      </c>
      <c r="AM870">
        <f>IF($AL870="","",$AE870&amp;"|"&amp;RIGHT("000000"&amp;$AL870,6))</f>
        <v/>
      </c>
      <c r="AN870">
        <f>IF($AE870="","",IF(Sync!$W870="",0,Sync!$W870))</f>
        <v/>
      </c>
      <c r="AO870">
        <f>IF($AE870="","",IF(Sync!$X870="",0,Sync!$X870))</f>
        <v/>
      </c>
      <c r="AP870">
        <f>IF($AE870="","",Sync!$R870)</f>
        <v/>
      </c>
      <c r="AQ870">
        <f>IF($AE870="","",Sync!$Y870)</f>
        <v/>
      </c>
    </row>
    <row r="871">
      <c r="A871">
        <f>IF(OR(Wages!$B874="",Wages!$E874=""),"",Wages!$E874)</f>
        <v/>
      </c>
      <c r="B871">
        <f>IF($A871="","",IF(Wages!$C874="دستمزد گروهی",2,1))</f>
        <v/>
      </c>
      <c r="C871">
        <f>IF($A871="","",IF(ISNUMBER(Wages!$B874),IF(AND(Wages!$B874&gt;=10000101,Wages!$B874&lt;=99991231),INT(Wages!$B874/10000),""),IFERROR(VALUE(TRIM(LEFT(Wages!$B874,FIND("/",Wages!$B874)-1))),"")))</f>
        <v/>
      </c>
      <c r="D871">
        <f>IF(OR($A871="",$C871=""),"",IF(ISNUMBER(Wages!$B874),INT(MOD(Wages!$B874,10000)/100),IFERROR(VALUE(TRIM(LEFT(MID(Wages!$B874,FIND("/",Wages!$B874)+1,20),FIND("/",MID(Wages!$B874,FIND("/",Wages!$B874)+1,20))-1))),"")))</f>
        <v/>
      </c>
      <c r="E871">
        <f>IF(OR($A871="",$C871=""),"",IF(ISNUMBER(Wages!$B874),MOD(Wages!$B874,100),IFERROR(VALUE(TRIM(MID(MID(Wages!$B874,FIND("/",Wages!$B874)+1,20),FIND("/",MID(Wages!$B874,FIND("/",Wages!$B874)+1,20))+1,20))),"")))</f>
        <v/>
      </c>
      <c r="F871">
        <f>IF($A871="","",IF(OR($C871="",$D871="",$E871="",$C871&lt;1300,$C871&gt;1500,$D871&lt;1,$D871&gt;12,$E871&lt;1,$E871&gt;31),"نامعتبر",RIGHT("0000"&amp;$C871,4)&amp;"/"&amp;RIGHT("00"&amp;$D871,2)&amp;"/"&amp;RIGHT("00"&amp;$E871,2)))</f>
        <v/>
      </c>
      <c r="G871">
        <f>IF(OR($A871="",$F871="",$F871="نامعتبر"),"",LEFT($F871,4)&amp;MID($F871,6,2)&amp;RIGHT($F871,2)&amp;"0000"&amp;"|"&amp;"1"&amp;RIGHT("00000"&amp;866,5))</f>
        <v/>
      </c>
      <c r="H871">
        <f>IF(OR($B871&lt;&gt;1,$G871=""),"",COUNTIFS(LdAParty,$A871,LdAType,1,LdAKey,"&lt;"&amp;$G871)+COUNTIFS(LdBMember,$A871,LdBKey,"&lt;"&amp;$G871)+COUNTIFS(LdCParty,$A871,LdCKey,"&lt;"&amp;$G871)+1)</f>
        <v/>
      </c>
      <c r="I871">
        <f>IF($H871="","",$A871&amp;"|"&amp;RIGHT("000000"&amp;$H871,6))</f>
        <v/>
      </c>
      <c r="J871">
        <f>IF(OR($B871&lt;&gt;2,$G871=""),"",COUNTIFS(LdAParty,$A871,LdAType,2,LdAKey,"&lt;"&amp;$G871)+1)</f>
        <v/>
      </c>
      <c r="K871">
        <f>IF($J871="","",$A871&amp;"|"&amp;RIGHT("000000"&amp;$J871,6))</f>
        <v/>
      </c>
      <c r="L871">
        <f>IF($A871="","",IF(Wages!$G874="",0,Wages!$G874))</f>
        <v/>
      </c>
      <c r="M871">
        <f>IF($A871="","",Wages!$J874)</f>
        <v/>
      </c>
      <c r="N871">
        <f>IF($A871="","",Wages!$D874)</f>
        <v/>
      </c>
      <c r="P871">
        <f>IF(OR(Shares!$B874="",Shares!$C874=""),"",Shares!$C874)</f>
        <v/>
      </c>
      <c r="Q871">
        <f>IF($P871="","",Shares!$B874)</f>
        <v/>
      </c>
      <c r="R871">
        <f>IF($P871="","",IFERROR(INDEX(WageParty,MATCH($Q871,WageIds,0)),""))</f>
        <v/>
      </c>
      <c r="S871">
        <f>IF($P871="","",IFERROR(INDEX($F$6:$F$2005,MATCH($Q871,WageIds,0)),""))</f>
        <v/>
      </c>
      <c r="T871">
        <f>IF(OR($P871="",$S871="",$S871="نامعتبر"),"",LEFT($S871,4)&amp;MID($S871,6,2)&amp;RIGHT($S871,2)&amp;"0000"&amp;"|"&amp;"2"&amp;RIGHT("00000"&amp;866,5))</f>
        <v/>
      </c>
      <c r="U871">
        <f>IF($T871="","",COUNTIFS(LdAParty,$P871,LdAType,1,LdAKey,"&lt;"&amp;$T871)+COUNTIFS(LdBMember,$P871,LdBKey,"&lt;"&amp;$T871)+COUNTIFS(LdCParty,$P871,LdCKey,"&lt;"&amp;$T871)+1)</f>
        <v/>
      </c>
      <c r="V871">
        <f>IF($U871="","",$P871&amp;"|"&amp;RIGHT("000000"&amp;$U871,6))</f>
        <v/>
      </c>
      <c r="W871">
        <f>IF($T871="","",COUNTIFS(LdBGroup,$R871,LdBKey,"&lt;"&amp;$T871)+1)</f>
        <v/>
      </c>
      <c r="X871">
        <f>IF($W871="","",$R871&amp;"|"&amp;RIGHT("000000"&amp;$W871,6))</f>
        <v/>
      </c>
      <c r="Y871">
        <f>IF($P871="","",IF(Shares!$E874="",0,Shares!$E874))</f>
        <v/>
      </c>
      <c r="Z871">
        <f>IF($P871="","",Shares!$H874)</f>
        <v/>
      </c>
      <c r="AE871">
        <f>IF(OR(Sync!$S871="",Sync!$P871=""),"",Sync!$S871)</f>
        <v/>
      </c>
      <c r="AF871">
        <f>IF($AE871="","",IF(ISNUMBER(Sync!$P871),IF(AND(Sync!$P871&gt;=10000101,Sync!$P871&lt;=99991231),INT(Sync!$P871/10000),""),IFERROR(VALUE(TRIM(LEFT(Sync!$P871,FIND("/",Sync!$P871)-1))),"")))</f>
        <v/>
      </c>
      <c r="AG871">
        <f>IF(OR($AE871="",$AF871=""),"",IF(ISNUMBER(Sync!$P871),INT(MOD(Sync!$P871,10000)/100),IFERROR(VALUE(TRIM(LEFT(MID(Sync!$P871,FIND("/",Sync!$P871)+1,20),FIND("/",MID(Sync!$P871,FIND("/",Sync!$P871)+1,20))-1))),"")))</f>
        <v/>
      </c>
      <c r="AH871">
        <f>IF(OR($AE871="",$AF871=""),"",IF(ISNUMBER(Sync!$P871),MOD(Sync!$P871,100),IFERROR(VALUE(TRIM(MID(MID(Sync!$P871,FIND("/",Sync!$P871)+1,20),FIND("/",MID(Sync!$P871,FIND("/",Sync!$P871)+1,20))+1,20))),"")))</f>
        <v/>
      </c>
      <c r="AI871">
        <f>IF($AE871="","",IF(OR($AF871="",$AG871="",$AH871="",$AF871&lt;1300,$AF871&gt;1500,$AG871&lt;1,$AG871&gt;12,$AH871&lt;1,$AH871&gt;31),"نامعتبر",RIGHT("0000"&amp;$AF871,4)&amp;"/"&amp;RIGHT("00"&amp;$AG871,2)&amp;"/"&amp;RIGHT("00"&amp;$AH871,2)))</f>
        <v/>
      </c>
      <c r="AJ871">
        <f>IF($AE871="","",IF(Sync!$Q871="","0000",IF(AND(ISNUMBER(Sync!$Q871),Sync!$Q871&gt;=0,Sync!$Q871&lt;1),RIGHT("00"&amp;HOUR(Sync!$Q871),2)&amp;RIGHT("00"&amp;MINUTE(Sync!$Q871),2),IFERROR(RIGHT("00"&amp;VALUE(LEFT(Sync!$Q871,FIND(":",Sync!$Q871)-1)),2)&amp;RIGHT("00"&amp;VALUE(MID(Sync!$Q871,FIND(":",Sync!$Q871)+1,2)),2),"0000"))))</f>
        <v/>
      </c>
      <c r="AK871">
        <f>IF(OR($AE871="",$AI871="",$AI871="نامعتبر"),"",LEFT($AI871,4)&amp;MID($AI871,6,2)&amp;RIGHT($AI871,2)&amp;$AJ871&amp;"|"&amp;"3"&amp;RIGHT("00000"&amp;866,5))</f>
        <v/>
      </c>
      <c r="AL871">
        <f>IF($AK871="","",COUNTIFS(LdAParty,$AE871,LdAType,1,LdAKey,"&lt;"&amp;$AK871)+COUNTIFS(LdBMember,$AE871,LdBKey,"&lt;"&amp;$AK871)+COUNTIFS(LdCParty,$AE871,LdCKey,"&lt;"&amp;$AK871)+1)</f>
        <v/>
      </c>
      <c r="AM871">
        <f>IF($AL871="","",$AE871&amp;"|"&amp;RIGHT("000000"&amp;$AL871,6))</f>
        <v/>
      </c>
      <c r="AN871">
        <f>IF($AE871="","",IF(Sync!$W871="",0,Sync!$W871))</f>
        <v/>
      </c>
      <c r="AO871">
        <f>IF($AE871="","",IF(Sync!$X871="",0,Sync!$X871))</f>
        <v/>
      </c>
      <c r="AP871">
        <f>IF($AE871="","",Sync!$R871)</f>
        <v/>
      </c>
      <c r="AQ871">
        <f>IF($AE871="","",Sync!$Y871)</f>
        <v/>
      </c>
    </row>
    <row r="872">
      <c r="A872">
        <f>IF(OR(Wages!$B875="",Wages!$E875=""),"",Wages!$E875)</f>
        <v/>
      </c>
      <c r="B872">
        <f>IF($A872="","",IF(Wages!$C875="دستمزد گروهی",2,1))</f>
        <v/>
      </c>
      <c r="C872">
        <f>IF($A872="","",IF(ISNUMBER(Wages!$B875),IF(AND(Wages!$B875&gt;=10000101,Wages!$B875&lt;=99991231),INT(Wages!$B875/10000),""),IFERROR(VALUE(TRIM(LEFT(Wages!$B875,FIND("/",Wages!$B875)-1))),"")))</f>
        <v/>
      </c>
      <c r="D872">
        <f>IF(OR($A872="",$C872=""),"",IF(ISNUMBER(Wages!$B875),INT(MOD(Wages!$B875,10000)/100),IFERROR(VALUE(TRIM(LEFT(MID(Wages!$B875,FIND("/",Wages!$B875)+1,20),FIND("/",MID(Wages!$B875,FIND("/",Wages!$B875)+1,20))-1))),"")))</f>
        <v/>
      </c>
      <c r="E872">
        <f>IF(OR($A872="",$C872=""),"",IF(ISNUMBER(Wages!$B875),MOD(Wages!$B875,100),IFERROR(VALUE(TRIM(MID(MID(Wages!$B875,FIND("/",Wages!$B875)+1,20),FIND("/",MID(Wages!$B875,FIND("/",Wages!$B875)+1,20))+1,20))),"")))</f>
        <v/>
      </c>
      <c r="F872">
        <f>IF($A872="","",IF(OR($C872="",$D872="",$E872="",$C872&lt;1300,$C872&gt;1500,$D872&lt;1,$D872&gt;12,$E872&lt;1,$E872&gt;31),"نامعتبر",RIGHT("0000"&amp;$C872,4)&amp;"/"&amp;RIGHT("00"&amp;$D872,2)&amp;"/"&amp;RIGHT("00"&amp;$E872,2)))</f>
        <v/>
      </c>
      <c r="G872">
        <f>IF(OR($A872="",$F872="",$F872="نامعتبر"),"",LEFT($F872,4)&amp;MID($F872,6,2)&amp;RIGHT($F872,2)&amp;"0000"&amp;"|"&amp;"1"&amp;RIGHT("00000"&amp;867,5))</f>
        <v/>
      </c>
      <c r="H872">
        <f>IF(OR($B872&lt;&gt;1,$G872=""),"",COUNTIFS(LdAParty,$A872,LdAType,1,LdAKey,"&lt;"&amp;$G872)+COUNTIFS(LdBMember,$A872,LdBKey,"&lt;"&amp;$G872)+COUNTIFS(LdCParty,$A872,LdCKey,"&lt;"&amp;$G872)+1)</f>
        <v/>
      </c>
      <c r="I872">
        <f>IF($H872="","",$A872&amp;"|"&amp;RIGHT("000000"&amp;$H872,6))</f>
        <v/>
      </c>
      <c r="J872">
        <f>IF(OR($B872&lt;&gt;2,$G872=""),"",COUNTIFS(LdAParty,$A872,LdAType,2,LdAKey,"&lt;"&amp;$G872)+1)</f>
        <v/>
      </c>
      <c r="K872">
        <f>IF($J872="","",$A872&amp;"|"&amp;RIGHT("000000"&amp;$J872,6))</f>
        <v/>
      </c>
      <c r="L872">
        <f>IF($A872="","",IF(Wages!$G875="",0,Wages!$G875))</f>
        <v/>
      </c>
      <c r="M872">
        <f>IF($A872="","",Wages!$J875)</f>
        <v/>
      </c>
      <c r="N872">
        <f>IF($A872="","",Wages!$D875)</f>
        <v/>
      </c>
      <c r="P872">
        <f>IF(OR(Shares!$B875="",Shares!$C875=""),"",Shares!$C875)</f>
        <v/>
      </c>
      <c r="Q872">
        <f>IF($P872="","",Shares!$B875)</f>
        <v/>
      </c>
      <c r="R872">
        <f>IF($P872="","",IFERROR(INDEX(WageParty,MATCH($Q872,WageIds,0)),""))</f>
        <v/>
      </c>
      <c r="S872">
        <f>IF($P872="","",IFERROR(INDEX($F$6:$F$2005,MATCH($Q872,WageIds,0)),""))</f>
        <v/>
      </c>
      <c r="T872">
        <f>IF(OR($P872="",$S872="",$S872="نامعتبر"),"",LEFT($S872,4)&amp;MID($S872,6,2)&amp;RIGHT($S872,2)&amp;"0000"&amp;"|"&amp;"2"&amp;RIGHT("00000"&amp;867,5))</f>
        <v/>
      </c>
      <c r="U872">
        <f>IF($T872="","",COUNTIFS(LdAParty,$P872,LdAType,1,LdAKey,"&lt;"&amp;$T872)+COUNTIFS(LdBMember,$P872,LdBKey,"&lt;"&amp;$T872)+COUNTIFS(LdCParty,$P872,LdCKey,"&lt;"&amp;$T872)+1)</f>
        <v/>
      </c>
      <c r="V872">
        <f>IF($U872="","",$P872&amp;"|"&amp;RIGHT("000000"&amp;$U872,6))</f>
        <v/>
      </c>
      <c r="W872">
        <f>IF($T872="","",COUNTIFS(LdBGroup,$R872,LdBKey,"&lt;"&amp;$T872)+1)</f>
        <v/>
      </c>
      <c r="X872">
        <f>IF($W872="","",$R872&amp;"|"&amp;RIGHT("000000"&amp;$W872,6))</f>
        <v/>
      </c>
      <c r="Y872">
        <f>IF($P872="","",IF(Shares!$E875="",0,Shares!$E875))</f>
        <v/>
      </c>
      <c r="Z872">
        <f>IF($P872="","",Shares!$H875)</f>
        <v/>
      </c>
      <c r="AE872">
        <f>IF(OR(Sync!$S872="",Sync!$P872=""),"",Sync!$S872)</f>
        <v/>
      </c>
      <c r="AF872">
        <f>IF($AE872="","",IF(ISNUMBER(Sync!$P872),IF(AND(Sync!$P872&gt;=10000101,Sync!$P872&lt;=99991231),INT(Sync!$P872/10000),""),IFERROR(VALUE(TRIM(LEFT(Sync!$P872,FIND("/",Sync!$P872)-1))),"")))</f>
        <v/>
      </c>
      <c r="AG872">
        <f>IF(OR($AE872="",$AF872=""),"",IF(ISNUMBER(Sync!$P872),INT(MOD(Sync!$P872,10000)/100),IFERROR(VALUE(TRIM(LEFT(MID(Sync!$P872,FIND("/",Sync!$P872)+1,20),FIND("/",MID(Sync!$P872,FIND("/",Sync!$P872)+1,20))-1))),"")))</f>
        <v/>
      </c>
      <c r="AH872">
        <f>IF(OR($AE872="",$AF872=""),"",IF(ISNUMBER(Sync!$P872),MOD(Sync!$P872,100),IFERROR(VALUE(TRIM(MID(MID(Sync!$P872,FIND("/",Sync!$P872)+1,20),FIND("/",MID(Sync!$P872,FIND("/",Sync!$P872)+1,20))+1,20))),"")))</f>
        <v/>
      </c>
      <c r="AI872">
        <f>IF($AE872="","",IF(OR($AF872="",$AG872="",$AH872="",$AF872&lt;1300,$AF872&gt;1500,$AG872&lt;1,$AG872&gt;12,$AH872&lt;1,$AH872&gt;31),"نامعتبر",RIGHT("0000"&amp;$AF872,4)&amp;"/"&amp;RIGHT("00"&amp;$AG872,2)&amp;"/"&amp;RIGHT("00"&amp;$AH872,2)))</f>
        <v/>
      </c>
      <c r="AJ872">
        <f>IF($AE872="","",IF(Sync!$Q872="","0000",IF(AND(ISNUMBER(Sync!$Q872),Sync!$Q872&gt;=0,Sync!$Q872&lt;1),RIGHT("00"&amp;HOUR(Sync!$Q872),2)&amp;RIGHT("00"&amp;MINUTE(Sync!$Q872),2),IFERROR(RIGHT("00"&amp;VALUE(LEFT(Sync!$Q872,FIND(":",Sync!$Q872)-1)),2)&amp;RIGHT("00"&amp;VALUE(MID(Sync!$Q872,FIND(":",Sync!$Q872)+1,2)),2),"0000"))))</f>
        <v/>
      </c>
      <c r="AK872">
        <f>IF(OR($AE872="",$AI872="",$AI872="نامعتبر"),"",LEFT($AI872,4)&amp;MID($AI872,6,2)&amp;RIGHT($AI872,2)&amp;$AJ872&amp;"|"&amp;"3"&amp;RIGHT("00000"&amp;867,5))</f>
        <v/>
      </c>
      <c r="AL872">
        <f>IF($AK872="","",COUNTIFS(LdAParty,$AE872,LdAType,1,LdAKey,"&lt;"&amp;$AK872)+COUNTIFS(LdBMember,$AE872,LdBKey,"&lt;"&amp;$AK872)+COUNTIFS(LdCParty,$AE872,LdCKey,"&lt;"&amp;$AK872)+1)</f>
        <v/>
      </c>
      <c r="AM872">
        <f>IF($AL872="","",$AE872&amp;"|"&amp;RIGHT("000000"&amp;$AL872,6))</f>
        <v/>
      </c>
      <c r="AN872">
        <f>IF($AE872="","",IF(Sync!$W872="",0,Sync!$W872))</f>
        <v/>
      </c>
      <c r="AO872">
        <f>IF($AE872="","",IF(Sync!$X872="",0,Sync!$X872))</f>
        <v/>
      </c>
      <c r="AP872">
        <f>IF($AE872="","",Sync!$R872)</f>
        <v/>
      </c>
      <c r="AQ872">
        <f>IF($AE872="","",Sync!$Y872)</f>
        <v/>
      </c>
    </row>
    <row r="873">
      <c r="A873">
        <f>IF(OR(Wages!$B876="",Wages!$E876=""),"",Wages!$E876)</f>
        <v/>
      </c>
      <c r="B873">
        <f>IF($A873="","",IF(Wages!$C876="دستمزد گروهی",2,1))</f>
        <v/>
      </c>
      <c r="C873">
        <f>IF($A873="","",IF(ISNUMBER(Wages!$B876),IF(AND(Wages!$B876&gt;=10000101,Wages!$B876&lt;=99991231),INT(Wages!$B876/10000),""),IFERROR(VALUE(TRIM(LEFT(Wages!$B876,FIND("/",Wages!$B876)-1))),"")))</f>
        <v/>
      </c>
      <c r="D873">
        <f>IF(OR($A873="",$C873=""),"",IF(ISNUMBER(Wages!$B876),INT(MOD(Wages!$B876,10000)/100),IFERROR(VALUE(TRIM(LEFT(MID(Wages!$B876,FIND("/",Wages!$B876)+1,20),FIND("/",MID(Wages!$B876,FIND("/",Wages!$B876)+1,20))-1))),"")))</f>
        <v/>
      </c>
      <c r="E873">
        <f>IF(OR($A873="",$C873=""),"",IF(ISNUMBER(Wages!$B876),MOD(Wages!$B876,100),IFERROR(VALUE(TRIM(MID(MID(Wages!$B876,FIND("/",Wages!$B876)+1,20),FIND("/",MID(Wages!$B876,FIND("/",Wages!$B876)+1,20))+1,20))),"")))</f>
        <v/>
      </c>
      <c r="F873">
        <f>IF($A873="","",IF(OR($C873="",$D873="",$E873="",$C873&lt;1300,$C873&gt;1500,$D873&lt;1,$D873&gt;12,$E873&lt;1,$E873&gt;31),"نامعتبر",RIGHT("0000"&amp;$C873,4)&amp;"/"&amp;RIGHT("00"&amp;$D873,2)&amp;"/"&amp;RIGHT("00"&amp;$E873,2)))</f>
        <v/>
      </c>
      <c r="G873">
        <f>IF(OR($A873="",$F873="",$F873="نامعتبر"),"",LEFT($F873,4)&amp;MID($F873,6,2)&amp;RIGHT($F873,2)&amp;"0000"&amp;"|"&amp;"1"&amp;RIGHT("00000"&amp;868,5))</f>
        <v/>
      </c>
      <c r="H873">
        <f>IF(OR($B873&lt;&gt;1,$G873=""),"",COUNTIFS(LdAParty,$A873,LdAType,1,LdAKey,"&lt;"&amp;$G873)+COUNTIFS(LdBMember,$A873,LdBKey,"&lt;"&amp;$G873)+COUNTIFS(LdCParty,$A873,LdCKey,"&lt;"&amp;$G873)+1)</f>
        <v/>
      </c>
      <c r="I873">
        <f>IF($H873="","",$A873&amp;"|"&amp;RIGHT("000000"&amp;$H873,6))</f>
        <v/>
      </c>
      <c r="J873">
        <f>IF(OR($B873&lt;&gt;2,$G873=""),"",COUNTIFS(LdAParty,$A873,LdAType,2,LdAKey,"&lt;"&amp;$G873)+1)</f>
        <v/>
      </c>
      <c r="K873">
        <f>IF($J873="","",$A873&amp;"|"&amp;RIGHT("000000"&amp;$J873,6))</f>
        <v/>
      </c>
      <c r="L873">
        <f>IF($A873="","",IF(Wages!$G876="",0,Wages!$G876))</f>
        <v/>
      </c>
      <c r="M873">
        <f>IF($A873="","",Wages!$J876)</f>
        <v/>
      </c>
      <c r="N873">
        <f>IF($A873="","",Wages!$D876)</f>
        <v/>
      </c>
      <c r="P873">
        <f>IF(OR(Shares!$B876="",Shares!$C876=""),"",Shares!$C876)</f>
        <v/>
      </c>
      <c r="Q873">
        <f>IF($P873="","",Shares!$B876)</f>
        <v/>
      </c>
      <c r="R873">
        <f>IF($P873="","",IFERROR(INDEX(WageParty,MATCH($Q873,WageIds,0)),""))</f>
        <v/>
      </c>
      <c r="S873">
        <f>IF($P873="","",IFERROR(INDEX($F$6:$F$2005,MATCH($Q873,WageIds,0)),""))</f>
        <v/>
      </c>
      <c r="T873">
        <f>IF(OR($P873="",$S873="",$S873="نامعتبر"),"",LEFT($S873,4)&amp;MID($S873,6,2)&amp;RIGHT($S873,2)&amp;"0000"&amp;"|"&amp;"2"&amp;RIGHT("00000"&amp;868,5))</f>
        <v/>
      </c>
      <c r="U873">
        <f>IF($T873="","",COUNTIFS(LdAParty,$P873,LdAType,1,LdAKey,"&lt;"&amp;$T873)+COUNTIFS(LdBMember,$P873,LdBKey,"&lt;"&amp;$T873)+COUNTIFS(LdCParty,$P873,LdCKey,"&lt;"&amp;$T873)+1)</f>
        <v/>
      </c>
      <c r="V873">
        <f>IF($U873="","",$P873&amp;"|"&amp;RIGHT("000000"&amp;$U873,6))</f>
        <v/>
      </c>
      <c r="W873">
        <f>IF($T873="","",COUNTIFS(LdBGroup,$R873,LdBKey,"&lt;"&amp;$T873)+1)</f>
        <v/>
      </c>
      <c r="X873">
        <f>IF($W873="","",$R873&amp;"|"&amp;RIGHT("000000"&amp;$W873,6))</f>
        <v/>
      </c>
      <c r="Y873">
        <f>IF($P873="","",IF(Shares!$E876="",0,Shares!$E876))</f>
        <v/>
      </c>
      <c r="Z873">
        <f>IF($P873="","",Shares!$H876)</f>
        <v/>
      </c>
      <c r="AE873">
        <f>IF(OR(Sync!$S873="",Sync!$P873=""),"",Sync!$S873)</f>
        <v/>
      </c>
      <c r="AF873">
        <f>IF($AE873="","",IF(ISNUMBER(Sync!$P873),IF(AND(Sync!$P873&gt;=10000101,Sync!$P873&lt;=99991231),INT(Sync!$P873/10000),""),IFERROR(VALUE(TRIM(LEFT(Sync!$P873,FIND("/",Sync!$P873)-1))),"")))</f>
        <v/>
      </c>
      <c r="AG873">
        <f>IF(OR($AE873="",$AF873=""),"",IF(ISNUMBER(Sync!$P873),INT(MOD(Sync!$P873,10000)/100),IFERROR(VALUE(TRIM(LEFT(MID(Sync!$P873,FIND("/",Sync!$P873)+1,20),FIND("/",MID(Sync!$P873,FIND("/",Sync!$P873)+1,20))-1))),"")))</f>
        <v/>
      </c>
      <c r="AH873">
        <f>IF(OR($AE873="",$AF873=""),"",IF(ISNUMBER(Sync!$P873),MOD(Sync!$P873,100),IFERROR(VALUE(TRIM(MID(MID(Sync!$P873,FIND("/",Sync!$P873)+1,20),FIND("/",MID(Sync!$P873,FIND("/",Sync!$P873)+1,20))+1,20))),"")))</f>
        <v/>
      </c>
      <c r="AI873">
        <f>IF($AE873="","",IF(OR($AF873="",$AG873="",$AH873="",$AF873&lt;1300,$AF873&gt;1500,$AG873&lt;1,$AG873&gt;12,$AH873&lt;1,$AH873&gt;31),"نامعتبر",RIGHT("0000"&amp;$AF873,4)&amp;"/"&amp;RIGHT("00"&amp;$AG873,2)&amp;"/"&amp;RIGHT("00"&amp;$AH873,2)))</f>
        <v/>
      </c>
      <c r="AJ873">
        <f>IF($AE873="","",IF(Sync!$Q873="","0000",IF(AND(ISNUMBER(Sync!$Q873),Sync!$Q873&gt;=0,Sync!$Q873&lt;1),RIGHT("00"&amp;HOUR(Sync!$Q873),2)&amp;RIGHT("00"&amp;MINUTE(Sync!$Q873),2),IFERROR(RIGHT("00"&amp;VALUE(LEFT(Sync!$Q873,FIND(":",Sync!$Q873)-1)),2)&amp;RIGHT("00"&amp;VALUE(MID(Sync!$Q873,FIND(":",Sync!$Q873)+1,2)),2),"0000"))))</f>
        <v/>
      </c>
      <c r="AK873">
        <f>IF(OR($AE873="",$AI873="",$AI873="نامعتبر"),"",LEFT($AI873,4)&amp;MID($AI873,6,2)&amp;RIGHT($AI873,2)&amp;$AJ873&amp;"|"&amp;"3"&amp;RIGHT("00000"&amp;868,5))</f>
        <v/>
      </c>
      <c r="AL873">
        <f>IF($AK873="","",COUNTIFS(LdAParty,$AE873,LdAType,1,LdAKey,"&lt;"&amp;$AK873)+COUNTIFS(LdBMember,$AE873,LdBKey,"&lt;"&amp;$AK873)+COUNTIFS(LdCParty,$AE873,LdCKey,"&lt;"&amp;$AK873)+1)</f>
        <v/>
      </c>
      <c r="AM873">
        <f>IF($AL873="","",$AE873&amp;"|"&amp;RIGHT("000000"&amp;$AL873,6))</f>
        <v/>
      </c>
      <c r="AN873">
        <f>IF($AE873="","",IF(Sync!$W873="",0,Sync!$W873))</f>
        <v/>
      </c>
      <c r="AO873">
        <f>IF($AE873="","",IF(Sync!$X873="",0,Sync!$X873))</f>
        <v/>
      </c>
      <c r="AP873">
        <f>IF($AE873="","",Sync!$R873)</f>
        <v/>
      </c>
      <c r="AQ873">
        <f>IF($AE873="","",Sync!$Y873)</f>
        <v/>
      </c>
    </row>
    <row r="874">
      <c r="A874">
        <f>IF(OR(Wages!$B877="",Wages!$E877=""),"",Wages!$E877)</f>
        <v/>
      </c>
      <c r="B874">
        <f>IF($A874="","",IF(Wages!$C877="دستمزد گروهی",2,1))</f>
        <v/>
      </c>
      <c r="C874">
        <f>IF($A874="","",IF(ISNUMBER(Wages!$B877),IF(AND(Wages!$B877&gt;=10000101,Wages!$B877&lt;=99991231),INT(Wages!$B877/10000),""),IFERROR(VALUE(TRIM(LEFT(Wages!$B877,FIND("/",Wages!$B877)-1))),"")))</f>
        <v/>
      </c>
      <c r="D874">
        <f>IF(OR($A874="",$C874=""),"",IF(ISNUMBER(Wages!$B877),INT(MOD(Wages!$B877,10000)/100),IFERROR(VALUE(TRIM(LEFT(MID(Wages!$B877,FIND("/",Wages!$B877)+1,20),FIND("/",MID(Wages!$B877,FIND("/",Wages!$B877)+1,20))-1))),"")))</f>
        <v/>
      </c>
      <c r="E874">
        <f>IF(OR($A874="",$C874=""),"",IF(ISNUMBER(Wages!$B877),MOD(Wages!$B877,100),IFERROR(VALUE(TRIM(MID(MID(Wages!$B877,FIND("/",Wages!$B877)+1,20),FIND("/",MID(Wages!$B877,FIND("/",Wages!$B877)+1,20))+1,20))),"")))</f>
        <v/>
      </c>
      <c r="F874">
        <f>IF($A874="","",IF(OR($C874="",$D874="",$E874="",$C874&lt;1300,$C874&gt;1500,$D874&lt;1,$D874&gt;12,$E874&lt;1,$E874&gt;31),"نامعتبر",RIGHT("0000"&amp;$C874,4)&amp;"/"&amp;RIGHT("00"&amp;$D874,2)&amp;"/"&amp;RIGHT("00"&amp;$E874,2)))</f>
        <v/>
      </c>
      <c r="G874">
        <f>IF(OR($A874="",$F874="",$F874="نامعتبر"),"",LEFT($F874,4)&amp;MID($F874,6,2)&amp;RIGHT($F874,2)&amp;"0000"&amp;"|"&amp;"1"&amp;RIGHT("00000"&amp;869,5))</f>
        <v/>
      </c>
      <c r="H874">
        <f>IF(OR($B874&lt;&gt;1,$G874=""),"",COUNTIFS(LdAParty,$A874,LdAType,1,LdAKey,"&lt;"&amp;$G874)+COUNTIFS(LdBMember,$A874,LdBKey,"&lt;"&amp;$G874)+COUNTIFS(LdCParty,$A874,LdCKey,"&lt;"&amp;$G874)+1)</f>
        <v/>
      </c>
      <c r="I874">
        <f>IF($H874="","",$A874&amp;"|"&amp;RIGHT("000000"&amp;$H874,6))</f>
        <v/>
      </c>
      <c r="J874">
        <f>IF(OR($B874&lt;&gt;2,$G874=""),"",COUNTIFS(LdAParty,$A874,LdAType,2,LdAKey,"&lt;"&amp;$G874)+1)</f>
        <v/>
      </c>
      <c r="K874">
        <f>IF($J874="","",$A874&amp;"|"&amp;RIGHT("000000"&amp;$J874,6))</f>
        <v/>
      </c>
      <c r="L874">
        <f>IF($A874="","",IF(Wages!$G877="",0,Wages!$G877))</f>
        <v/>
      </c>
      <c r="M874">
        <f>IF($A874="","",Wages!$J877)</f>
        <v/>
      </c>
      <c r="N874">
        <f>IF($A874="","",Wages!$D877)</f>
        <v/>
      </c>
      <c r="P874">
        <f>IF(OR(Shares!$B877="",Shares!$C877=""),"",Shares!$C877)</f>
        <v/>
      </c>
      <c r="Q874">
        <f>IF($P874="","",Shares!$B877)</f>
        <v/>
      </c>
      <c r="R874">
        <f>IF($P874="","",IFERROR(INDEX(WageParty,MATCH($Q874,WageIds,0)),""))</f>
        <v/>
      </c>
      <c r="S874">
        <f>IF($P874="","",IFERROR(INDEX($F$6:$F$2005,MATCH($Q874,WageIds,0)),""))</f>
        <v/>
      </c>
      <c r="T874">
        <f>IF(OR($P874="",$S874="",$S874="نامعتبر"),"",LEFT($S874,4)&amp;MID($S874,6,2)&amp;RIGHT($S874,2)&amp;"0000"&amp;"|"&amp;"2"&amp;RIGHT("00000"&amp;869,5))</f>
        <v/>
      </c>
      <c r="U874">
        <f>IF($T874="","",COUNTIFS(LdAParty,$P874,LdAType,1,LdAKey,"&lt;"&amp;$T874)+COUNTIFS(LdBMember,$P874,LdBKey,"&lt;"&amp;$T874)+COUNTIFS(LdCParty,$P874,LdCKey,"&lt;"&amp;$T874)+1)</f>
        <v/>
      </c>
      <c r="V874">
        <f>IF($U874="","",$P874&amp;"|"&amp;RIGHT("000000"&amp;$U874,6))</f>
        <v/>
      </c>
      <c r="W874">
        <f>IF($T874="","",COUNTIFS(LdBGroup,$R874,LdBKey,"&lt;"&amp;$T874)+1)</f>
        <v/>
      </c>
      <c r="X874">
        <f>IF($W874="","",$R874&amp;"|"&amp;RIGHT("000000"&amp;$W874,6))</f>
        <v/>
      </c>
      <c r="Y874">
        <f>IF($P874="","",IF(Shares!$E877="",0,Shares!$E877))</f>
        <v/>
      </c>
      <c r="Z874">
        <f>IF($P874="","",Shares!$H877)</f>
        <v/>
      </c>
      <c r="AE874">
        <f>IF(OR(Sync!$S874="",Sync!$P874=""),"",Sync!$S874)</f>
        <v/>
      </c>
      <c r="AF874">
        <f>IF($AE874="","",IF(ISNUMBER(Sync!$P874),IF(AND(Sync!$P874&gt;=10000101,Sync!$P874&lt;=99991231),INT(Sync!$P874/10000),""),IFERROR(VALUE(TRIM(LEFT(Sync!$P874,FIND("/",Sync!$P874)-1))),"")))</f>
        <v/>
      </c>
      <c r="AG874">
        <f>IF(OR($AE874="",$AF874=""),"",IF(ISNUMBER(Sync!$P874),INT(MOD(Sync!$P874,10000)/100),IFERROR(VALUE(TRIM(LEFT(MID(Sync!$P874,FIND("/",Sync!$P874)+1,20),FIND("/",MID(Sync!$P874,FIND("/",Sync!$P874)+1,20))-1))),"")))</f>
        <v/>
      </c>
      <c r="AH874">
        <f>IF(OR($AE874="",$AF874=""),"",IF(ISNUMBER(Sync!$P874),MOD(Sync!$P874,100),IFERROR(VALUE(TRIM(MID(MID(Sync!$P874,FIND("/",Sync!$P874)+1,20),FIND("/",MID(Sync!$P874,FIND("/",Sync!$P874)+1,20))+1,20))),"")))</f>
        <v/>
      </c>
      <c r="AI874">
        <f>IF($AE874="","",IF(OR($AF874="",$AG874="",$AH874="",$AF874&lt;1300,$AF874&gt;1500,$AG874&lt;1,$AG874&gt;12,$AH874&lt;1,$AH874&gt;31),"نامعتبر",RIGHT("0000"&amp;$AF874,4)&amp;"/"&amp;RIGHT("00"&amp;$AG874,2)&amp;"/"&amp;RIGHT("00"&amp;$AH874,2)))</f>
        <v/>
      </c>
      <c r="AJ874">
        <f>IF($AE874="","",IF(Sync!$Q874="","0000",IF(AND(ISNUMBER(Sync!$Q874),Sync!$Q874&gt;=0,Sync!$Q874&lt;1),RIGHT("00"&amp;HOUR(Sync!$Q874),2)&amp;RIGHT("00"&amp;MINUTE(Sync!$Q874),2),IFERROR(RIGHT("00"&amp;VALUE(LEFT(Sync!$Q874,FIND(":",Sync!$Q874)-1)),2)&amp;RIGHT("00"&amp;VALUE(MID(Sync!$Q874,FIND(":",Sync!$Q874)+1,2)),2),"0000"))))</f>
        <v/>
      </c>
      <c r="AK874">
        <f>IF(OR($AE874="",$AI874="",$AI874="نامعتبر"),"",LEFT($AI874,4)&amp;MID($AI874,6,2)&amp;RIGHT($AI874,2)&amp;$AJ874&amp;"|"&amp;"3"&amp;RIGHT("00000"&amp;869,5))</f>
        <v/>
      </c>
      <c r="AL874">
        <f>IF($AK874="","",COUNTIFS(LdAParty,$AE874,LdAType,1,LdAKey,"&lt;"&amp;$AK874)+COUNTIFS(LdBMember,$AE874,LdBKey,"&lt;"&amp;$AK874)+COUNTIFS(LdCParty,$AE874,LdCKey,"&lt;"&amp;$AK874)+1)</f>
        <v/>
      </c>
      <c r="AM874">
        <f>IF($AL874="","",$AE874&amp;"|"&amp;RIGHT("000000"&amp;$AL874,6))</f>
        <v/>
      </c>
      <c r="AN874">
        <f>IF($AE874="","",IF(Sync!$W874="",0,Sync!$W874))</f>
        <v/>
      </c>
      <c r="AO874">
        <f>IF($AE874="","",IF(Sync!$X874="",0,Sync!$X874))</f>
        <v/>
      </c>
      <c r="AP874">
        <f>IF($AE874="","",Sync!$R874)</f>
        <v/>
      </c>
      <c r="AQ874">
        <f>IF($AE874="","",Sync!$Y874)</f>
        <v/>
      </c>
    </row>
    <row r="875">
      <c r="A875">
        <f>IF(OR(Wages!$B878="",Wages!$E878=""),"",Wages!$E878)</f>
        <v/>
      </c>
      <c r="B875">
        <f>IF($A875="","",IF(Wages!$C878="دستمزد گروهی",2,1))</f>
        <v/>
      </c>
      <c r="C875">
        <f>IF($A875="","",IF(ISNUMBER(Wages!$B878),IF(AND(Wages!$B878&gt;=10000101,Wages!$B878&lt;=99991231),INT(Wages!$B878/10000),""),IFERROR(VALUE(TRIM(LEFT(Wages!$B878,FIND("/",Wages!$B878)-1))),"")))</f>
        <v/>
      </c>
      <c r="D875">
        <f>IF(OR($A875="",$C875=""),"",IF(ISNUMBER(Wages!$B878),INT(MOD(Wages!$B878,10000)/100),IFERROR(VALUE(TRIM(LEFT(MID(Wages!$B878,FIND("/",Wages!$B878)+1,20),FIND("/",MID(Wages!$B878,FIND("/",Wages!$B878)+1,20))-1))),"")))</f>
        <v/>
      </c>
      <c r="E875">
        <f>IF(OR($A875="",$C875=""),"",IF(ISNUMBER(Wages!$B878),MOD(Wages!$B878,100),IFERROR(VALUE(TRIM(MID(MID(Wages!$B878,FIND("/",Wages!$B878)+1,20),FIND("/",MID(Wages!$B878,FIND("/",Wages!$B878)+1,20))+1,20))),"")))</f>
        <v/>
      </c>
      <c r="F875">
        <f>IF($A875="","",IF(OR($C875="",$D875="",$E875="",$C875&lt;1300,$C875&gt;1500,$D875&lt;1,$D875&gt;12,$E875&lt;1,$E875&gt;31),"نامعتبر",RIGHT("0000"&amp;$C875,4)&amp;"/"&amp;RIGHT("00"&amp;$D875,2)&amp;"/"&amp;RIGHT("00"&amp;$E875,2)))</f>
        <v/>
      </c>
      <c r="G875">
        <f>IF(OR($A875="",$F875="",$F875="نامعتبر"),"",LEFT($F875,4)&amp;MID($F875,6,2)&amp;RIGHT($F875,2)&amp;"0000"&amp;"|"&amp;"1"&amp;RIGHT("00000"&amp;870,5))</f>
        <v/>
      </c>
      <c r="H875">
        <f>IF(OR($B875&lt;&gt;1,$G875=""),"",COUNTIFS(LdAParty,$A875,LdAType,1,LdAKey,"&lt;"&amp;$G875)+COUNTIFS(LdBMember,$A875,LdBKey,"&lt;"&amp;$G875)+COUNTIFS(LdCParty,$A875,LdCKey,"&lt;"&amp;$G875)+1)</f>
        <v/>
      </c>
      <c r="I875">
        <f>IF($H875="","",$A875&amp;"|"&amp;RIGHT("000000"&amp;$H875,6))</f>
        <v/>
      </c>
      <c r="J875">
        <f>IF(OR($B875&lt;&gt;2,$G875=""),"",COUNTIFS(LdAParty,$A875,LdAType,2,LdAKey,"&lt;"&amp;$G875)+1)</f>
        <v/>
      </c>
      <c r="K875">
        <f>IF($J875="","",$A875&amp;"|"&amp;RIGHT("000000"&amp;$J875,6))</f>
        <v/>
      </c>
      <c r="L875">
        <f>IF($A875="","",IF(Wages!$G878="",0,Wages!$G878))</f>
        <v/>
      </c>
      <c r="M875">
        <f>IF($A875="","",Wages!$J878)</f>
        <v/>
      </c>
      <c r="N875">
        <f>IF($A875="","",Wages!$D878)</f>
        <v/>
      </c>
      <c r="P875">
        <f>IF(OR(Shares!$B878="",Shares!$C878=""),"",Shares!$C878)</f>
        <v/>
      </c>
      <c r="Q875">
        <f>IF($P875="","",Shares!$B878)</f>
        <v/>
      </c>
      <c r="R875">
        <f>IF($P875="","",IFERROR(INDEX(WageParty,MATCH($Q875,WageIds,0)),""))</f>
        <v/>
      </c>
      <c r="S875">
        <f>IF($P875="","",IFERROR(INDEX($F$6:$F$2005,MATCH($Q875,WageIds,0)),""))</f>
        <v/>
      </c>
      <c r="T875">
        <f>IF(OR($P875="",$S875="",$S875="نامعتبر"),"",LEFT($S875,4)&amp;MID($S875,6,2)&amp;RIGHT($S875,2)&amp;"0000"&amp;"|"&amp;"2"&amp;RIGHT("00000"&amp;870,5))</f>
        <v/>
      </c>
      <c r="U875">
        <f>IF($T875="","",COUNTIFS(LdAParty,$P875,LdAType,1,LdAKey,"&lt;"&amp;$T875)+COUNTIFS(LdBMember,$P875,LdBKey,"&lt;"&amp;$T875)+COUNTIFS(LdCParty,$P875,LdCKey,"&lt;"&amp;$T875)+1)</f>
        <v/>
      </c>
      <c r="V875">
        <f>IF($U875="","",$P875&amp;"|"&amp;RIGHT("000000"&amp;$U875,6))</f>
        <v/>
      </c>
      <c r="W875">
        <f>IF($T875="","",COUNTIFS(LdBGroup,$R875,LdBKey,"&lt;"&amp;$T875)+1)</f>
        <v/>
      </c>
      <c r="X875">
        <f>IF($W875="","",$R875&amp;"|"&amp;RIGHT("000000"&amp;$W875,6))</f>
        <v/>
      </c>
      <c r="Y875">
        <f>IF($P875="","",IF(Shares!$E878="",0,Shares!$E878))</f>
        <v/>
      </c>
      <c r="Z875">
        <f>IF($P875="","",Shares!$H878)</f>
        <v/>
      </c>
      <c r="AE875">
        <f>IF(OR(Sync!$S875="",Sync!$P875=""),"",Sync!$S875)</f>
        <v/>
      </c>
      <c r="AF875">
        <f>IF($AE875="","",IF(ISNUMBER(Sync!$P875),IF(AND(Sync!$P875&gt;=10000101,Sync!$P875&lt;=99991231),INT(Sync!$P875/10000),""),IFERROR(VALUE(TRIM(LEFT(Sync!$P875,FIND("/",Sync!$P875)-1))),"")))</f>
        <v/>
      </c>
      <c r="AG875">
        <f>IF(OR($AE875="",$AF875=""),"",IF(ISNUMBER(Sync!$P875),INT(MOD(Sync!$P875,10000)/100),IFERROR(VALUE(TRIM(LEFT(MID(Sync!$P875,FIND("/",Sync!$P875)+1,20),FIND("/",MID(Sync!$P875,FIND("/",Sync!$P875)+1,20))-1))),"")))</f>
        <v/>
      </c>
      <c r="AH875">
        <f>IF(OR($AE875="",$AF875=""),"",IF(ISNUMBER(Sync!$P875),MOD(Sync!$P875,100),IFERROR(VALUE(TRIM(MID(MID(Sync!$P875,FIND("/",Sync!$P875)+1,20),FIND("/",MID(Sync!$P875,FIND("/",Sync!$P875)+1,20))+1,20))),"")))</f>
        <v/>
      </c>
      <c r="AI875">
        <f>IF($AE875="","",IF(OR($AF875="",$AG875="",$AH875="",$AF875&lt;1300,$AF875&gt;1500,$AG875&lt;1,$AG875&gt;12,$AH875&lt;1,$AH875&gt;31),"نامعتبر",RIGHT("0000"&amp;$AF875,4)&amp;"/"&amp;RIGHT("00"&amp;$AG875,2)&amp;"/"&amp;RIGHT("00"&amp;$AH875,2)))</f>
        <v/>
      </c>
      <c r="AJ875">
        <f>IF($AE875="","",IF(Sync!$Q875="","0000",IF(AND(ISNUMBER(Sync!$Q875),Sync!$Q875&gt;=0,Sync!$Q875&lt;1),RIGHT("00"&amp;HOUR(Sync!$Q875),2)&amp;RIGHT("00"&amp;MINUTE(Sync!$Q875),2),IFERROR(RIGHT("00"&amp;VALUE(LEFT(Sync!$Q875,FIND(":",Sync!$Q875)-1)),2)&amp;RIGHT("00"&amp;VALUE(MID(Sync!$Q875,FIND(":",Sync!$Q875)+1,2)),2),"0000"))))</f>
        <v/>
      </c>
      <c r="AK875">
        <f>IF(OR($AE875="",$AI875="",$AI875="نامعتبر"),"",LEFT($AI875,4)&amp;MID($AI875,6,2)&amp;RIGHT($AI875,2)&amp;$AJ875&amp;"|"&amp;"3"&amp;RIGHT("00000"&amp;870,5))</f>
        <v/>
      </c>
      <c r="AL875">
        <f>IF($AK875="","",COUNTIFS(LdAParty,$AE875,LdAType,1,LdAKey,"&lt;"&amp;$AK875)+COUNTIFS(LdBMember,$AE875,LdBKey,"&lt;"&amp;$AK875)+COUNTIFS(LdCParty,$AE875,LdCKey,"&lt;"&amp;$AK875)+1)</f>
        <v/>
      </c>
      <c r="AM875">
        <f>IF($AL875="","",$AE875&amp;"|"&amp;RIGHT("000000"&amp;$AL875,6))</f>
        <v/>
      </c>
      <c r="AN875">
        <f>IF($AE875="","",IF(Sync!$W875="",0,Sync!$W875))</f>
        <v/>
      </c>
      <c r="AO875">
        <f>IF($AE875="","",IF(Sync!$X875="",0,Sync!$X875))</f>
        <v/>
      </c>
      <c r="AP875">
        <f>IF($AE875="","",Sync!$R875)</f>
        <v/>
      </c>
      <c r="AQ875">
        <f>IF($AE875="","",Sync!$Y875)</f>
        <v/>
      </c>
    </row>
    <row r="876">
      <c r="A876">
        <f>IF(OR(Wages!$B879="",Wages!$E879=""),"",Wages!$E879)</f>
        <v/>
      </c>
      <c r="B876">
        <f>IF($A876="","",IF(Wages!$C879="دستمزد گروهی",2,1))</f>
        <v/>
      </c>
      <c r="C876">
        <f>IF($A876="","",IF(ISNUMBER(Wages!$B879),IF(AND(Wages!$B879&gt;=10000101,Wages!$B879&lt;=99991231),INT(Wages!$B879/10000),""),IFERROR(VALUE(TRIM(LEFT(Wages!$B879,FIND("/",Wages!$B879)-1))),"")))</f>
        <v/>
      </c>
      <c r="D876">
        <f>IF(OR($A876="",$C876=""),"",IF(ISNUMBER(Wages!$B879),INT(MOD(Wages!$B879,10000)/100),IFERROR(VALUE(TRIM(LEFT(MID(Wages!$B879,FIND("/",Wages!$B879)+1,20),FIND("/",MID(Wages!$B879,FIND("/",Wages!$B879)+1,20))-1))),"")))</f>
        <v/>
      </c>
      <c r="E876">
        <f>IF(OR($A876="",$C876=""),"",IF(ISNUMBER(Wages!$B879),MOD(Wages!$B879,100),IFERROR(VALUE(TRIM(MID(MID(Wages!$B879,FIND("/",Wages!$B879)+1,20),FIND("/",MID(Wages!$B879,FIND("/",Wages!$B879)+1,20))+1,20))),"")))</f>
        <v/>
      </c>
      <c r="F876">
        <f>IF($A876="","",IF(OR($C876="",$D876="",$E876="",$C876&lt;1300,$C876&gt;1500,$D876&lt;1,$D876&gt;12,$E876&lt;1,$E876&gt;31),"نامعتبر",RIGHT("0000"&amp;$C876,4)&amp;"/"&amp;RIGHT("00"&amp;$D876,2)&amp;"/"&amp;RIGHT("00"&amp;$E876,2)))</f>
        <v/>
      </c>
      <c r="G876">
        <f>IF(OR($A876="",$F876="",$F876="نامعتبر"),"",LEFT($F876,4)&amp;MID($F876,6,2)&amp;RIGHT($F876,2)&amp;"0000"&amp;"|"&amp;"1"&amp;RIGHT("00000"&amp;871,5))</f>
        <v/>
      </c>
      <c r="H876">
        <f>IF(OR($B876&lt;&gt;1,$G876=""),"",COUNTIFS(LdAParty,$A876,LdAType,1,LdAKey,"&lt;"&amp;$G876)+COUNTIFS(LdBMember,$A876,LdBKey,"&lt;"&amp;$G876)+COUNTIFS(LdCParty,$A876,LdCKey,"&lt;"&amp;$G876)+1)</f>
        <v/>
      </c>
      <c r="I876">
        <f>IF($H876="","",$A876&amp;"|"&amp;RIGHT("000000"&amp;$H876,6))</f>
        <v/>
      </c>
      <c r="J876">
        <f>IF(OR($B876&lt;&gt;2,$G876=""),"",COUNTIFS(LdAParty,$A876,LdAType,2,LdAKey,"&lt;"&amp;$G876)+1)</f>
        <v/>
      </c>
      <c r="K876">
        <f>IF($J876="","",$A876&amp;"|"&amp;RIGHT("000000"&amp;$J876,6))</f>
        <v/>
      </c>
      <c r="L876">
        <f>IF($A876="","",IF(Wages!$G879="",0,Wages!$G879))</f>
        <v/>
      </c>
      <c r="M876">
        <f>IF($A876="","",Wages!$J879)</f>
        <v/>
      </c>
      <c r="N876">
        <f>IF($A876="","",Wages!$D879)</f>
        <v/>
      </c>
      <c r="P876">
        <f>IF(OR(Shares!$B879="",Shares!$C879=""),"",Shares!$C879)</f>
        <v/>
      </c>
      <c r="Q876">
        <f>IF($P876="","",Shares!$B879)</f>
        <v/>
      </c>
      <c r="R876">
        <f>IF($P876="","",IFERROR(INDEX(WageParty,MATCH($Q876,WageIds,0)),""))</f>
        <v/>
      </c>
      <c r="S876">
        <f>IF($P876="","",IFERROR(INDEX($F$6:$F$2005,MATCH($Q876,WageIds,0)),""))</f>
        <v/>
      </c>
      <c r="T876">
        <f>IF(OR($P876="",$S876="",$S876="نامعتبر"),"",LEFT($S876,4)&amp;MID($S876,6,2)&amp;RIGHT($S876,2)&amp;"0000"&amp;"|"&amp;"2"&amp;RIGHT("00000"&amp;871,5))</f>
        <v/>
      </c>
      <c r="U876">
        <f>IF($T876="","",COUNTIFS(LdAParty,$P876,LdAType,1,LdAKey,"&lt;"&amp;$T876)+COUNTIFS(LdBMember,$P876,LdBKey,"&lt;"&amp;$T876)+COUNTIFS(LdCParty,$P876,LdCKey,"&lt;"&amp;$T876)+1)</f>
        <v/>
      </c>
      <c r="V876">
        <f>IF($U876="","",$P876&amp;"|"&amp;RIGHT("000000"&amp;$U876,6))</f>
        <v/>
      </c>
      <c r="W876">
        <f>IF($T876="","",COUNTIFS(LdBGroup,$R876,LdBKey,"&lt;"&amp;$T876)+1)</f>
        <v/>
      </c>
      <c r="X876">
        <f>IF($W876="","",$R876&amp;"|"&amp;RIGHT("000000"&amp;$W876,6))</f>
        <v/>
      </c>
      <c r="Y876">
        <f>IF($P876="","",IF(Shares!$E879="",0,Shares!$E879))</f>
        <v/>
      </c>
      <c r="Z876">
        <f>IF($P876="","",Shares!$H879)</f>
        <v/>
      </c>
      <c r="AE876">
        <f>IF(OR(Sync!$S876="",Sync!$P876=""),"",Sync!$S876)</f>
        <v/>
      </c>
      <c r="AF876">
        <f>IF($AE876="","",IF(ISNUMBER(Sync!$P876),IF(AND(Sync!$P876&gt;=10000101,Sync!$P876&lt;=99991231),INT(Sync!$P876/10000),""),IFERROR(VALUE(TRIM(LEFT(Sync!$P876,FIND("/",Sync!$P876)-1))),"")))</f>
        <v/>
      </c>
      <c r="AG876">
        <f>IF(OR($AE876="",$AF876=""),"",IF(ISNUMBER(Sync!$P876),INT(MOD(Sync!$P876,10000)/100),IFERROR(VALUE(TRIM(LEFT(MID(Sync!$P876,FIND("/",Sync!$P876)+1,20),FIND("/",MID(Sync!$P876,FIND("/",Sync!$P876)+1,20))-1))),"")))</f>
        <v/>
      </c>
      <c r="AH876">
        <f>IF(OR($AE876="",$AF876=""),"",IF(ISNUMBER(Sync!$P876),MOD(Sync!$P876,100),IFERROR(VALUE(TRIM(MID(MID(Sync!$P876,FIND("/",Sync!$P876)+1,20),FIND("/",MID(Sync!$P876,FIND("/",Sync!$P876)+1,20))+1,20))),"")))</f>
        <v/>
      </c>
      <c r="AI876">
        <f>IF($AE876="","",IF(OR($AF876="",$AG876="",$AH876="",$AF876&lt;1300,$AF876&gt;1500,$AG876&lt;1,$AG876&gt;12,$AH876&lt;1,$AH876&gt;31),"نامعتبر",RIGHT("0000"&amp;$AF876,4)&amp;"/"&amp;RIGHT("00"&amp;$AG876,2)&amp;"/"&amp;RIGHT("00"&amp;$AH876,2)))</f>
        <v/>
      </c>
      <c r="AJ876">
        <f>IF($AE876="","",IF(Sync!$Q876="","0000",IF(AND(ISNUMBER(Sync!$Q876),Sync!$Q876&gt;=0,Sync!$Q876&lt;1),RIGHT("00"&amp;HOUR(Sync!$Q876),2)&amp;RIGHT("00"&amp;MINUTE(Sync!$Q876),2),IFERROR(RIGHT("00"&amp;VALUE(LEFT(Sync!$Q876,FIND(":",Sync!$Q876)-1)),2)&amp;RIGHT("00"&amp;VALUE(MID(Sync!$Q876,FIND(":",Sync!$Q876)+1,2)),2),"0000"))))</f>
        <v/>
      </c>
      <c r="AK876">
        <f>IF(OR($AE876="",$AI876="",$AI876="نامعتبر"),"",LEFT($AI876,4)&amp;MID($AI876,6,2)&amp;RIGHT($AI876,2)&amp;$AJ876&amp;"|"&amp;"3"&amp;RIGHT("00000"&amp;871,5))</f>
        <v/>
      </c>
      <c r="AL876">
        <f>IF($AK876="","",COUNTIFS(LdAParty,$AE876,LdAType,1,LdAKey,"&lt;"&amp;$AK876)+COUNTIFS(LdBMember,$AE876,LdBKey,"&lt;"&amp;$AK876)+COUNTIFS(LdCParty,$AE876,LdCKey,"&lt;"&amp;$AK876)+1)</f>
        <v/>
      </c>
      <c r="AM876">
        <f>IF($AL876="","",$AE876&amp;"|"&amp;RIGHT("000000"&amp;$AL876,6))</f>
        <v/>
      </c>
      <c r="AN876">
        <f>IF($AE876="","",IF(Sync!$W876="",0,Sync!$W876))</f>
        <v/>
      </c>
      <c r="AO876">
        <f>IF($AE876="","",IF(Sync!$X876="",0,Sync!$X876))</f>
        <v/>
      </c>
      <c r="AP876">
        <f>IF($AE876="","",Sync!$R876)</f>
        <v/>
      </c>
      <c r="AQ876">
        <f>IF($AE876="","",Sync!$Y876)</f>
        <v/>
      </c>
    </row>
    <row r="877">
      <c r="A877">
        <f>IF(OR(Wages!$B880="",Wages!$E880=""),"",Wages!$E880)</f>
        <v/>
      </c>
      <c r="B877">
        <f>IF($A877="","",IF(Wages!$C880="دستمزد گروهی",2,1))</f>
        <v/>
      </c>
      <c r="C877">
        <f>IF($A877="","",IF(ISNUMBER(Wages!$B880),IF(AND(Wages!$B880&gt;=10000101,Wages!$B880&lt;=99991231),INT(Wages!$B880/10000),""),IFERROR(VALUE(TRIM(LEFT(Wages!$B880,FIND("/",Wages!$B880)-1))),"")))</f>
        <v/>
      </c>
      <c r="D877">
        <f>IF(OR($A877="",$C877=""),"",IF(ISNUMBER(Wages!$B880),INT(MOD(Wages!$B880,10000)/100),IFERROR(VALUE(TRIM(LEFT(MID(Wages!$B880,FIND("/",Wages!$B880)+1,20),FIND("/",MID(Wages!$B880,FIND("/",Wages!$B880)+1,20))-1))),"")))</f>
        <v/>
      </c>
      <c r="E877">
        <f>IF(OR($A877="",$C877=""),"",IF(ISNUMBER(Wages!$B880),MOD(Wages!$B880,100),IFERROR(VALUE(TRIM(MID(MID(Wages!$B880,FIND("/",Wages!$B880)+1,20),FIND("/",MID(Wages!$B880,FIND("/",Wages!$B880)+1,20))+1,20))),"")))</f>
        <v/>
      </c>
      <c r="F877">
        <f>IF($A877="","",IF(OR($C877="",$D877="",$E877="",$C877&lt;1300,$C877&gt;1500,$D877&lt;1,$D877&gt;12,$E877&lt;1,$E877&gt;31),"نامعتبر",RIGHT("0000"&amp;$C877,4)&amp;"/"&amp;RIGHT("00"&amp;$D877,2)&amp;"/"&amp;RIGHT("00"&amp;$E877,2)))</f>
        <v/>
      </c>
      <c r="G877">
        <f>IF(OR($A877="",$F877="",$F877="نامعتبر"),"",LEFT($F877,4)&amp;MID($F877,6,2)&amp;RIGHT($F877,2)&amp;"0000"&amp;"|"&amp;"1"&amp;RIGHT("00000"&amp;872,5))</f>
        <v/>
      </c>
      <c r="H877">
        <f>IF(OR($B877&lt;&gt;1,$G877=""),"",COUNTIFS(LdAParty,$A877,LdAType,1,LdAKey,"&lt;"&amp;$G877)+COUNTIFS(LdBMember,$A877,LdBKey,"&lt;"&amp;$G877)+COUNTIFS(LdCParty,$A877,LdCKey,"&lt;"&amp;$G877)+1)</f>
        <v/>
      </c>
      <c r="I877">
        <f>IF($H877="","",$A877&amp;"|"&amp;RIGHT("000000"&amp;$H877,6))</f>
        <v/>
      </c>
      <c r="J877">
        <f>IF(OR($B877&lt;&gt;2,$G877=""),"",COUNTIFS(LdAParty,$A877,LdAType,2,LdAKey,"&lt;"&amp;$G877)+1)</f>
        <v/>
      </c>
      <c r="K877">
        <f>IF($J877="","",$A877&amp;"|"&amp;RIGHT("000000"&amp;$J877,6))</f>
        <v/>
      </c>
      <c r="L877">
        <f>IF($A877="","",IF(Wages!$G880="",0,Wages!$G880))</f>
        <v/>
      </c>
      <c r="M877">
        <f>IF($A877="","",Wages!$J880)</f>
        <v/>
      </c>
      <c r="N877">
        <f>IF($A877="","",Wages!$D880)</f>
        <v/>
      </c>
      <c r="P877">
        <f>IF(OR(Shares!$B880="",Shares!$C880=""),"",Shares!$C880)</f>
        <v/>
      </c>
      <c r="Q877">
        <f>IF($P877="","",Shares!$B880)</f>
        <v/>
      </c>
      <c r="R877">
        <f>IF($P877="","",IFERROR(INDEX(WageParty,MATCH($Q877,WageIds,0)),""))</f>
        <v/>
      </c>
      <c r="S877">
        <f>IF($P877="","",IFERROR(INDEX($F$6:$F$2005,MATCH($Q877,WageIds,0)),""))</f>
        <v/>
      </c>
      <c r="T877">
        <f>IF(OR($P877="",$S877="",$S877="نامعتبر"),"",LEFT($S877,4)&amp;MID($S877,6,2)&amp;RIGHT($S877,2)&amp;"0000"&amp;"|"&amp;"2"&amp;RIGHT("00000"&amp;872,5))</f>
        <v/>
      </c>
      <c r="U877">
        <f>IF($T877="","",COUNTIFS(LdAParty,$P877,LdAType,1,LdAKey,"&lt;"&amp;$T877)+COUNTIFS(LdBMember,$P877,LdBKey,"&lt;"&amp;$T877)+COUNTIFS(LdCParty,$P877,LdCKey,"&lt;"&amp;$T877)+1)</f>
        <v/>
      </c>
      <c r="V877">
        <f>IF($U877="","",$P877&amp;"|"&amp;RIGHT("000000"&amp;$U877,6))</f>
        <v/>
      </c>
      <c r="W877">
        <f>IF($T877="","",COUNTIFS(LdBGroup,$R877,LdBKey,"&lt;"&amp;$T877)+1)</f>
        <v/>
      </c>
      <c r="X877">
        <f>IF($W877="","",$R877&amp;"|"&amp;RIGHT("000000"&amp;$W877,6))</f>
        <v/>
      </c>
      <c r="Y877">
        <f>IF($P877="","",IF(Shares!$E880="",0,Shares!$E880))</f>
        <v/>
      </c>
      <c r="Z877">
        <f>IF($P877="","",Shares!$H880)</f>
        <v/>
      </c>
      <c r="AE877">
        <f>IF(OR(Sync!$S877="",Sync!$P877=""),"",Sync!$S877)</f>
        <v/>
      </c>
      <c r="AF877">
        <f>IF($AE877="","",IF(ISNUMBER(Sync!$P877),IF(AND(Sync!$P877&gt;=10000101,Sync!$P877&lt;=99991231),INT(Sync!$P877/10000),""),IFERROR(VALUE(TRIM(LEFT(Sync!$P877,FIND("/",Sync!$P877)-1))),"")))</f>
        <v/>
      </c>
      <c r="AG877">
        <f>IF(OR($AE877="",$AF877=""),"",IF(ISNUMBER(Sync!$P877),INT(MOD(Sync!$P877,10000)/100),IFERROR(VALUE(TRIM(LEFT(MID(Sync!$P877,FIND("/",Sync!$P877)+1,20),FIND("/",MID(Sync!$P877,FIND("/",Sync!$P877)+1,20))-1))),"")))</f>
        <v/>
      </c>
      <c r="AH877">
        <f>IF(OR($AE877="",$AF877=""),"",IF(ISNUMBER(Sync!$P877),MOD(Sync!$P877,100),IFERROR(VALUE(TRIM(MID(MID(Sync!$P877,FIND("/",Sync!$P877)+1,20),FIND("/",MID(Sync!$P877,FIND("/",Sync!$P877)+1,20))+1,20))),"")))</f>
        <v/>
      </c>
      <c r="AI877">
        <f>IF($AE877="","",IF(OR($AF877="",$AG877="",$AH877="",$AF877&lt;1300,$AF877&gt;1500,$AG877&lt;1,$AG877&gt;12,$AH877&lt;1,$AH877&gt;31),"نامعتبر",RIGHT("0000"&amp;$AF877,4)&amp;"/"&amp;RIGHT("00"&amp;$AG877,2)&amp;"/"&amp;RIGHT("00"&amp;$AH877,2)))</f>
        <v/>
      </c>
      <c r="AJ877">
        <f>IF($AE877="","",IF(Sync!$Q877="","0000",IF(AND(ISNUMBER(Sync!$Q877),Sync!$Q877&gt;=0,Sync!$Q877&lt;1),RIGHT("00"&amp;HOUR(Sync!$Q877),2)&amp;RIGHT("00"&amp;MINUTE(Sync!$Q877),2),IFERROR(RIGHT("00"&amp;VALUE(LEFT(Sync!$Q877,FIND(":",Sync!$Q877)-1)),2)&amp;RIGHT("00"&amp;VALUE(MID(Sync!$Q877,FIND(":",Sync!$Q877)+1,2)),2),"0000"))))</f>
        <v/>
      </c>
      <c r="AK877">
        <f>IF(OR($AE877="",$AI877="",$AI877="نامعتبر"),"",LEFT($AI877,4)&amp;MID($AI877,6,2)&amp;RIGHT($AI877,2)&amp;$AJ877&amp;"|"&amp;"3"&amp;RIGHT("00000"&amp;872,5))</f>
        <v/>
      </c>
      <c r="AL877">
        <f>IF($AK877="","",COUNTIFS(LdAParty,$AE877,LdAType,1,LdAKey,"&lt;"&amp;$AK877)+COUNTIFS(LdBMember,$AE877,LdBKey,"&lt;"&amp;$AK877)+COUNTIFS(LdCParty,$AE877,LdCKey,"&lt;"&amp;$AK877)+1)</f>
        <v/>
      </c>
      <c r="AM877">
        <f>IF($AL877="","",$AE877&amp;"|"&amp;RIGHT("000000"&amp;$AL877,6))</f>
        <v/>
      </c>
      <c r="AN877">
        <f>IF($AE877="","",IF(Sync!$W877="",0,Sync!$W877))</f>
        <v/>
      </c>
      <c r="AO877">
        <f>IF($AE877="","",IF(Sync!$X877="",0,Sync!$X877))</f>
        <v/>
      </c>
      <c r="AP877">
        <f>IF($AE877="","",Sync!$R877)</f>
        <v/>
      </c>
      <c r="AQ877">
        <f>IF($AE877="","",Sync!$Y877)</f>
        <v/>
      </c>
    </row>
    <row r="878">
      <c r="A878">
        <f>IF(OR(Wages!$B881="",Wages!$E881=""),"",Wages!$E881)</f>
        <v/>
      </c>
      <c r="B878">
        <f>IF($A878="","",IF(Wages!$C881="دستمزد گروهی",2,1))</f>
        <v/>
      </c>
      <c r="C878">
        <f>IF($A878="","",IF(ISNUMBER(Wages!$B881),IF(AND(Wages!$B881&gt;=10000101,Wages!$B881&lt;=99991231),INT(Wages!$B881/10000),""),IFERROR(VALUE(TRIM(LEFT(Wages!$B881,FIND("/",Wages!$B881)-1))),"")))</f>
        <v/>
      </c>
      <c r="D878">
        <f>IF(OR($A878="",$C878=""),"",IF(ISNUMBER(Wages!$B881),INT(MOD(Wages!$B881,10000)/100),IFERROR(VALUE(TRIM(LEFT(MID(Wages!$B881,FIND("/",Wages!$B881)+1,20),FIND("/",MID(Wages!$B881,FIND("/",Wages!$B881)+1,20))-1))),"")))</f>
        <v/>
      </c>
      <c r="E878">
        <f>IF(OR($A878="",$C878=""),"",IF(ISNUMBER(Wages!$B881),MOD(Wages!$B881,100),IFERROR(VALUE(TRIM(MID(MID(Wages!$B881,FIND("/",Wages!$B881)+1,20),FIND("/",MID(Wages!$B881,FIND("/",Wages!$B881)+1,20))+1,20))),"")))</f>
        <v/>
      </c>
      <c r="F878">
        <f>IF($A878="","",IF(OR($C878="",$D878="",$E878="",$C878&lt;1300,$C878&gt;1500,$D878&lt;1,$D878&gt;12,$E878&lt;1,$E878&gt;31),"نامعتبر",RIGHT("0000"&amp;$C878,4)&amp;"/"&amp;RIGHT("00"&amp;$D878,2)&amp;"/"&amp;RIGHT("00"&amp;$E878,2)))</f>
        <v/>
      </c>
      <c r="G878">
        <f>IF(OR($A878="",$F878="",$F878="نامعتبر"),"",LEFT($F878,4)&amp;MID($F878,6,2)&amp;RIGHT($F878,2)&amp;"0000"&amp;"|"&amp;"1"&amp;RIGHT("00000"&amp;873,5))</f>
        <v/>
      </c>
      <c r="H878">
        <f>IF(OR($B878&lt;&gt;1,$G878=""),"",COUNTIFS(LdAParty,$A878,LdAType,1,LdAKey,"&lt;"&amp;$G878)+COUNTIFS(LdBMember,$A878,LdBKey,"&lt;"&amp;$G878)+COUNTIFS(LdCParty,$A878,LdCKey,"&lt;"&amp;$G878)+1)</f>
        <v/>
      </c>
      <c r="I878">
        <f>IF($H878="","",$A878&amp;"|"&amp;RIGHT("000000"&amp;$H878,6))</f>
        <v/>
      </c>
      <c r="J878">
        <f>IF(OR($B878&lt;&gt;2,$G878=""),"",COUNTIFS(LdAParty,$A878,LdAType,2,LdAKey,"&lt;"&amp;$G878)+1)</f>
        <v/>
      </c>
      <c r="K878">
        <f>IF($J878="","",$A878&amp;"|"&amp;RIGHT("000000"&amp;$J878,6))</f>
        <v/>
      </c>
      <c r="L878">
        <f>IF($A878="","",IF(Wages!$G881="",0,Wages!$G881))</f>
        <v/>
      </c>
      <c r="M878">
        <f>IF($A878="","",Wages!$J881)</f>
        <v/>
      </c>
      <c r="N878">
        <f>IF($A878="","",Wages!$D881)</f>
        <v/>
      </c>
      <c r="P878">
        <f>IF(OR(Shares!$B881="",Shares!$C881=""),"",Shares!$C881)</f>
        <v/>
      </c>
      <c r="Q878">
        <f>IF($P878="","",Shares!$B881)</f>
        <v/>
      </c>
      <c r="R878">
        <f>IF($P878="","",IFERROR(INDEX(WageParty,MATCH($Q878,WageIds,0)),""))</f>
        <v/>
      </c>
      <c r="S878">
        <f>IF($P878="","",IFERROR(INDEX($F$6:$F$2005,MATCH($Q878,WageIds,0)),""))</f>
        <v/>
      </c>
      <c r="T878">
        <f>IF(OR($P878="",$S878="",$S878="نامعتبر"),"",LEFT($S878,4)&amp;MID($S878,6,2)&amp;RIGHT($S878,2)&amp;"0000"&amp;"|"&amp;"2"&amp;RIGHT("00000"&amp;873,5))</f>
        <v/>
      </c>
      <c r="U878">
        <f>IF($T878="","",COUNTIFS(LdAParty,$P878,LdAType,1,LdAKey,"&lt;"&amp;$T878)+COUNTIFS(LdBMember,$P878,LdBKey,"&lt;"&amp;$T878)+COUNTIFS(LdCParty,$P878,LdCKey,"&lt;"&amp;$T878)+1)</f>
        <v/>
      </c>
      <c r="V878">
        <f>IF($U878="","",$P878&amp;"|"&amp;RIGHT("000000"&amp;$U878,6))</f>
        <v/>
      </c>
      <c r="W878">
        <f>IF($T878="","",COUNTIFS(LdBGroup,$R878,LdBKey,"&lt;"&amp;$T878)+1)</f>
        <v/>
      </c>
      <c r="X878">
        <f>IF($W878="","",$R878&amp;"|"&amp;RIGHT("000000"&amp;$W878,6))</f>
        <v/>
      </c>
      <c r="Y878">
        <f>IF($P878="","",IF(Shares!$E881="",0,Shares!$E881))</f>
        <v/>
      </c>
      <c r="Z878">
        <f>IF($P878="","",Shares!$H881)</f>
        <v/>
      </c>
      <c r="AE878">
        <f>IF(OR(Sync!$S878="",Sync!$P878=""),"",Sync!$S878)</f>
        <v/>
      </c>
      <c r="AF878">
        <f>IF($AE878="","",IF(ISNUMBER(Sync!$P878),IF(AND(Sync!$P878&gt;=10000101,Sync!$P878&lt;=99991231),INT(Sync!$P878/10000),""),IFERROR(VALUE(TRIM(LEFT(Sync!$P878,FIND("/",Sync!$P878)-1))),"")))</f>
        <v/>
      </c>
      <c r="AG878">
        <f>IF(OR($AE878="",$AF878=""),"",IF(ISNUMBER(Sync!$P878),INT(MOD(Sync!$P878,10000)/100),IFERROR(VALUE(TRIM(LEFT(MID(Sync!$P878,FIND("/",Sync!$P878)+1,20),FIND("/",MID(Sync!$P878,FIND("/",Sync!$P878)+1,20))-1))),"")))</f>
        <v/>
      </c>
      <c r="AH878">
        <f>IF(OR($AE878="",$AF878=""),"",IF(ISNUMBER(Sync!$P878),MOD(Sync!$P878,100),IFERROR(VALUE(TRIM(MID(MID(Sync!$P878,FIND("/",Sync!$P878)+1,20),FIND("/",MID(Sync!$P878,FIND("/",Sync!$P878)+1,20))+1,20))),"")))</f>
        <v/>
      </c>
      <c r="AI878">
        <f>IF($AE878="","",IF(OR($AF878="",$AG878="",$AH878="",$AF878&lt;1300,$AF878&gt;1500,$AG878&lt;1,$AG878&gt;12,$AH878&lt;1,$AH878&gt;31),"نامعتبر",RIGHT("0000"&amp;$AF878,4)&amp;"/"&amp;RIGHT("00"&amp;$AG878,2)&amp;"/"&amp;RIGHT("00"&amp;$AH878,2)))</f>
        <v/>
      </c>
      <c r="AJ878">
        <f>IF($AE878="","",IF(Sync!$Q878="","0000",IF(AND(ISNUMBER(Sync!$Q878),Sync!$Q878&gt;=0,Sync!$Q878&lt;1),RIGHT("00"&amp;HOUR(Sync!$Q878),2)&amp;RIGHT("00"&amp;MINUTE(Sync!$Q878),2),IFERROR(RIGHT("00"&amp;VALUE(LEFT(Sync!$Q878,FIND(":",Sync!$Q878)-1)),2)&amp;RIGHT("00"&amp;VALUE(MID(Sync!$Q878,FIND(":",Sync!$Q878)+1,2)),2),"0000"))))</f>
        <v/>
      </c>
      <c r="AK878">
        <f>IF(OR($AE878="",$AI878="",$AI878="نامعتبر"),"",LEFT($AI878,4)&amp;MID($AI878,6,2)&amp;RIGHT($AI878,2)&amp;$AJ878&amp;"|"&amp;"3"&amp;RIGHT("00000"&amp;873,5))</f>
        <v/>
      </c>
      <c r="AL878">
        <f>IF($AK878="","",COUNTIFS(LdAParty,$AE878,LdAType,1,LdAKey,"&lt;"&amp;$AK878)+COUNTIFS(LdBMember,$AE878,LdBKey,"&lt;"&amp;$AK878)+COUNTIFS(LdCParty,$AE878,LdCKey,"&lt;"&amp;$AK878)+1)</f>
        <v/>
      </c>
      <c r="AM878">
        <f>IF($AL878="","",$AE878&amp;"|"&amp;RIGHT("000000"&amp;$AL878,6))</f>
        <v/>
      </c>
      <c r="AN878">
        <f>IF($AE878="","",IF(Sync!$W878="",0,Sync!$W878))</f>
        <v/>
      </c>
      <c r="AO878">
        <f>IF($AE878="","",IF(Sync!$X878="",0,Sync!$X878))</f>
        <v/>
      </c>
      <c r="AP878">
        <f>IF($AE878="","",Sync!$R878)</f>
        <v/>
      </c>
      <c r="AQ878">
        <f>IF($AE878="","",Sync!$Y878)</f>
        <v/>
      </c>
    </row>
    <row r="879">
      <c r="A879">
        <f>IF(OR(Wages!$B882="",Wages!$E882=""),"",Wages!$E882)</f>
        <v/>
      </c>
      <c r="B879">
        <f>IF($A879="","",IF(Wages!$C882="دستمزد گروهی",2,1))</f>
        <v/>
      </c>
      <c r="C879">
        <f>IF($A879="","",IF(ISNUMBER(Wages!$B882),IF(AND(Wages!$B882&gt;=10000101,Wages!$B882&lt;=99991231),INT(Wages!$B882/10000),""),IFERROR(VALUE(TRIM(LEFT(Wages!$B882,FIND("/",Wages!$B882)-1))),"")))</f>
        <v/>
      </c>
      <c r="D879">
        <f>IF(OR($A879="",$C879=""),"",IF(ISNUMBER(Wages!$B882),INT(MOD(Wages!$B882,10000)/100),IFERROR(VALUE(TRIM(LEFT(MID(Wages!$B882,FIND("/",Wages!$B882)+1,20),FIND("/",MID(Wages!$B882,FIND("/",Wages!$B882)+1,20))-1))),"")))</f>
        <v/>
      </c>
      <c r="E879">
        <f>IF(OR($A879="",$C879=""),"",IF(ISNUMBER(Wages!$B882),MOD(Wages!$B882,100),IFERROR(VALUE(TRIM(MID(MID(Wages!$B882,FIND("/",Wages!$B882)+1,20),FIND("/",MID(Wages!$B882,FIND("/",Wages!$B882)+1,20))+1,20))),"")))</f>
        <v/>
      </c>
      <c r="F879">
        <f>IF($A879="","",IF(OR($C879="",$D879="",$E879="",$C879&lt;1300,$C879&gt;1500,$D879&lt;1,$D879&gt;12,$E879&lt;1,$E879&gt;31),"نامعتبر",RIGHT("0000"&amp;$C879,4)&amp;"/"&amp;RIGHT("00"&amp;$D879,2)&amp;"/"&amp;RIGHT("00"&amp;$E879,2)))</f>
        <v/>
      </c>
      <c r="G879">
        <f>IF(OR($A879="",$F879="",$F879="نامعتبر"),"",LEFT($F879,4)&amp;MID($F879,6,2)&amp;RIGHT($F879,2)&amp;"0000"&amp;"|"&amp;"1"&amp;RIGHT("00000"&amp;874,5))</f>
        <v/>
      </c>
      <c r="H879">
        <f>IF(OR($B879&lt;&gt;1,$G879=""),"",COUNTIFS(LdAParty,$A879,LdAType,1,LdAKey,"&lt;"&amp;$G879)+COUNTIFS(LdBMember,$A879,LdBKey,"&lt;"&amp;$G879)+COUNTIFS(LdCParty,$A879,LdCKey,"&lt;"&amp;$G879)+1)</f>
        <v/>
      </c>
      <c r="I879">
        <f>IF($H879="","",$A879&amp;"|"&amp;RIGHT("000000"&amp;$H879,6))</f>
        <v/>
      </c>
      <c r="J879">
        <f>IF(OR($B879&lt;&gt;2,$G879=""),"",COUNTIFS(LdAParty,$A879,LdAType,2,LdAKey,"&lt;"&amp;$G879)+1)</f>
        <v/>
      </c>
      <c r="K879">
        <f>IF($J879="","",$A879&amp;"|"&amp;RIGHT("000000"&amp;$J879,6))</f>
        <v/>
      </c>
      <c r="L879">
        <f>IF($A879="","",IF(Wages!$G882="",0,Wages!$G882))</f>
        <v/>
      </c>
      <c r="M879">
        <f>IF($A879="","",Wages!$J882)</f>
        <v/>
      </c>
      <c r="N879">
        <f>IF($A879="","",Wages!$D882)</f>
        <v/>
      </c>
      <c r="P879">
        <f>IF(OR(Shares!$B882="",Shares!$C882=""),"",Shares!$C882)</f>
        <v/>
      </c>
      <c r="Q879">
        <f>IF($P879="","",Shares!$B882)</f>
        <v/>
      </c>
      <c r="R879">
        <f>IF($P879="","",IFERROR(INDEX(WageParty,MATCH($Q879,WageIds,0)),""))</f>
        <v/>
      </c>
      <c r="S879">
        <f>IF($P879="","",IFERROR(INDEX($F$6:$F$2005,MATCH($Q879,WageIds,0)),""))</f>
        <v/>
      </c>
      <c r="T879">
        <f>IF(OR($P879="",$S879="",$S879="نامعتبر"),"",LEFT($S879,4)&amp;MID($S879,6,2)&amp;RIGHT($S879,2)&amp;"0000"&amp;"|"&amp;"2"&amp;RIGHT("00000"&amp;874,5))</f>
        <v/>
      </c>
      <c r="U879">
        <f>IF($T879="","",COUNTIFS(LdAParty,$P879,LdAType,1,LdAKey,"&lt;"&amp;$T879)+COUNTIFS(LdBMember,$P879,LdBKey,"&lt;"&amp;$T879)+COUNTIFS(LdCParty,$P879,LdCKey,"&lt;"&amp;$T879)+1)</f>
        <v/>
      </c>
      <c r="V879">
        <f>IF($U879="","",$P879&amp;"|"&amp;RIGHT("000000"&amp;$U879,6))</f>
        <v/>
      </c>
      <c r="W879">
        <f>IF($T879="","",COUNTIFS(LdBGroup,$R879,LdBKey,"&lt;"&amp;$T879)+1)</f>
        <v/>
      </c>
      <c r="X879">
        <f>IF($W879="","",$R879&amp;"|"&amp;RIGHT("000000"&amp;$W879,6))</f>
        <v/>
      </c>
      <c r="Y879">
        <f>IF($P879="","",IF(Shares!$E882="",0,Shares!$E882))</f>
        <v/>
      </c>
      <c r="Z879">
        <f>IF($P879="","",Shares!$H882)</f>
        <v/>
      </c>
      <c r="AE879">
        <f>IF(OR(Sync!$S879="",Sync!$P879=""),"",Sync!$S879)</f>
        <v/>
      </c>
      <c r="AF879">
        <f>IF($AE879="","",IF(ISNUMBER(Sync!$P879),IF(AND(Sync!$P879&gt;=10000101,Sync!$P879&lt;=99991231),INT(Sync!$P879/10000),""),IFERROR(VALUE(TRIM(LEFT(Sync!$P879,FIND("/",Sync!$P879)-1))),"")))</f>
        <v/>
      </c>
      <c r="AG879">
        <f>IF(OR($AE879="",$AF879=""),"",IF(ISNUMBER(Sync!$P879),INT(MOD(Sync!$P879,10000)/100),IFERROR(VALUE(TRIM(LEFT(MID(Sync!$P879,FIND("/",Sync!$P879)+1,20),FIND("/",MID(Sync!$P879,FIND("/",Sync!$P879)+1,20))-1))),"")))</f>
        <v/>
      </c>
      <c r="AH879">
        <f>IF(OR($AE879="",$AF879=""),"",IF(ISNUMBER(Sync!$P879),MOD(Sync!$P879,100),IFERROR(VALUE(TRIM(MID(MID(Sync!$P879,FIND("/",Sync!$P879)+1,20),FIND("/",MID(Sync!$P879,FIND("/",Sync!$P879)+1,20))+1,20))),"")))</f>
        <v/>
      </c>
      <c r="AI879">
        <f>IF($AE879="","",IF(OR($AF879="",$AG879="",$AH879="",$AF879&lt;1300,$AF879&gt;1500,$AG879&lt;1,$AG879&gt;12,$AH879&lt;1,$AH879&gt;31),"نامعتبر",RIGHT("0000"&amp;$AF879,4)&amp;"/"&amp;RIGHT("00"&amp;$AG879,2)&amp;"/"&amp;RIGHT("00"&amp;$AH879,2)))</f>
        <v/>
      </c>
      <c r="AJ879">
        <f>IF($AE879="","",IF(Sync!$Q879="","0000",IF(AND(ISNUMBER(Sync!$Q879),Sync!$Q879&gt;=0,Sync!$Q879&lt;1),RIGHT("00"&amp;HOUR(Sync!$Q879),2)&amp;RIGHT("00"&amp;MINUTE(Sync!$Q879),2),IFERROR(RIGHT("00"&amp;VALUE(LEFT(Sync!$Q879,FIND(":",Sync!$Q879)-1)),2)&amp;RIGHT("00"&amp;VALUE(MID(Sync!$Q879,FIND(":",Sync!$Q879)+1,2)),2),"0000"))))</f>
        <v/>
      </c>
      <c r="AK879">
        <f>IF(OR($AE879="",$AI879="",$AI879="نامعتبر"),"",LEFT($AI879,4)&amp;MID($AI879,6,2)&amp;RIGHT($AI879,2)&amp;$AJ879&amp;"|"&amp;"3"&amp;RIGHT("00000"&amp;874,5))</f>
        <v/>
      </c>
      <c r="AL879">
        <f>IF($AK879="","",COUNTIFS(LdAParty,$AE879,LdAType,1,LdAKey,"&lt;"&amp;$AK879)+COUNTIFS(LdBMember,$AE879,LdBKey,"&lt;"&amp;$AK879)+COUNTIFS(LdCParty,$AE879,LdCKey,"&lt;"&amp;$AK879)+1)</f>
        <v/>
      </c>
      <c r="AM879">
        <f>IF($AL879="","",$AE879&amp;"|"&amp;RIGHT("000000"&amp;$AL879,6))</f>
        <v/>
      </c>
      <c r="AN879">
        <f>IF($AE879="","",IF(Sync!$W879="",0,Sync!$W879))</f>
        <v/>
      </c>
      <c r="AO879">
        <f>IF($AE879="","",IF(Sync!$X879="",0,Sync!$X879))</f>
        <v/>
      </c>
      <c r="AP879">
        <f>IF($AE879="","",Sync!$R879)</f>
        <v/>
      </c>
      <c r="AQ879">
        <f>IF($AE879="","",Sync!$Y879)</f>
        <v/>
      </c>
    </row>
    <row r="880">
      <c r="A880">
        <f>IF(OR(Wages!$B883="",Wages!$E883=""),"",Wages!$E883)</f>
        <v/>
      </c>
      <c r="B880">
        <f>IF($A880="","",IF(Wages!$C883="دستمزد گروهی",2,1))</f>
        <v/>
      </c>
      <c r="C880">
        <f>IF($A880="","",IF(ISNUMBER(Wages!$B883),IF(AND(Wages!$B883&gt;=10000101,Wages!$B883&lt;=99991231),INT(Wages!$B883/10000),""),IFERROR(VALUE(TRIM(LEFT(Wages!$B883,FIND("/",Wages!$B883)-1))),"")))</f>
        <v/>
      </c>
      <c r="D880">
        <f>IF(OR($A880="",$C880=""),"",IF(ISNUMBER(Wages!$B883),INT(MOD(Wages!$B883,10000)/100),IFERROR(VALUE(TRIM(LEFT(MID(Wages!$B883,FIND("/",Wages!$B883)+1,20),FIND("/",MID(Wages!$B883,FIND("/",Wages!$B883)+1,20))-1))),"")))</f>
        <v/>
      </c>
      <c r="E880">
        <f>IF(OR($A880="",$C880=""),"",IF(ISNUMBER(Wages!$B883),MOD(Wages!$B883,100),IFERROR(VALUE(TRIM(MID(MID(Wages!$B883,FIND("/",Wages!$B883)+1,20),FIND("/",MID(Wages!$B883,FIND("/",Wages!$B883)+1,20))+1,20))),"")))</f>
        <v/>
      </c>
      <c r="F880">
        <f>IF($A880="","",IF(OR($C880="",$D880="",$E880="",$C880&lt;1300,$C880&gt;1500,$D880&lt;1,$D880&gt;12,$E880&lt;1,$E880&gt;31),"نامعتبر",RIGHT("0000"&amp;$C880,4)&amp;"/"&amp;RIGHT("00"&amp;$D880,2)&amp;"/"&amp;RIGHT("00"&amp;$E880,2)))</f>
        <v/>
      </c>
      <c r="G880">
        <f>IF(OR($A880="",$F880="",$F880="نامعتبر"),"",LEFT($F880,4)&amp;MID($F880,6,2)&amp;RIGHT($F880,2)&amp;"0000"&amp;"|"&amp;"1"&amp;RIGHT("00000"&amp;875,5))</f>
        <v/>
      </c>
      <c r="H880">
        <f>IF(OR($B880&lt;&gt;1,$G880=""),"",COUNTIFS(LdAParty,$A880,LdAType,1,LdAKey,"&lt;"&amp;$G880)+COUNTIFS(LdBMember,$A880,LdBKey,"&lt;"&amp;$G880)+COUNTIFS(LdCParty,$A880,LdCKey,"&lt;"&amp;$G880)+1)</f>
        <v/>
      </c>
      <c r="I880">
        <f>IF($H880="","",$A880&amp;"|"&amp;RIGHT("000000"&amp;$H880,6))</f>
        <v/>
      </c>
      <c r="J880">
        <f>IF(OR($B880&lt;&gt;2,$G880=""),"",COUNTIFS(LdAParty,$A880,LdAType,2,LdAKey,"&lt;"&amp;$G880)+1)</f>
        <v/>
      </c>
      <c r="K880">
        <f>IF($J880="","",$A880&amp;"|"&amp;RIGHT("000000"&amp;$J880,6))</f>
        <v/>
      </c>
      <c r="L880">
        <f>IF($A880="","",IF(Wages!$G883="",0,Wages!$G883))</f>
        <v/>
      </c>
      <c r="M880">
        <f>IF($A880="","",Wages!$J883)</f>
        <v/>
      </c>
      <c r="N880">
        <f>IF($A880="","",Wages!$D883)</f>
        <v/>
      </c>
      <c r="P880">
        <f>IF(OR(Shares!$B883="",Shares!$C883=""),"",Shares!$C883)</f>
        <v/>
      </c>
      <c r="Q880">
        <f>IF($P880="","",Shares!$B883)</f>
        <v/>
      </c>
      <c r="R880">
        <f>IF($P880="","",IFERROR(INDEX(WageParty,MATCH($Q880,WageIds,0)),""))</f>
        <v/>
      </c>
      <c r="S880">
        <f>IF($P880="","",IFERROR(INDEX($F$6:$F$2005,MATCH($Q880,WageIds,0)),""))</f>
        <v/>
      </c>
      <c r="T880">
        <f>IF(OR($P880="",$S880="",$S880="نامعتبر"),"",LEFT($S880,4)&amp;MID($S880,6,2)&amp;RIGHT($S880,2)&amp;"0000"&amp;"|"&amp;"2"&amp;RIGHT("00000"&amp;875,5))</f>
        <v/>
      </c>
      <c r="U880">
        <f>IF($T880="","",COUNTIFS(LdAParty,$P880,LdAType,1,LdAKey,"&lt;"&amp;$T880)+COUNTIFS(LdBMember,$P880,LdBKey,"&lt;"&amp;$T880)+COUNTIFS(LdCParty,$P880,LdCKey,"&lt;"&amp;$T880)+1)</f>
        <v/>
      </c>
      <c r="V880">
        <f>IF($U880="","",$P880&amp;"|"&amp;RIGHT("000000"&amp;$U880,6))</f>
        <v/>
      </c>
      <c r="W880">
        <f>IF($T880="","",COUNTIFS(LdBGroup,$R880,LdBKey,"&lt;"&amp;$T880)+1)</f>
        <v/>
      </c>
      <c r="X880">
        <f>IF($W880="","",$R880&amp;"|"&amp;RIGHT("000000"&amp;$W880,6))</f>
        <v/>
      </c>
      <c r="Y880">
        <f>IF($P880="","",IF(Shares!$E883="",0,Shares!$E883))</f>
        <v/>
      </c>
      <c r="Z880">
        <f>IF($P880="","",Shares!$H883)</f>
        <v/>
      </c>
      <c r="AE880">
        <f>IF(OR(Sync!$S880="",Sync!$P880=""),"",Sync!$S880)</f>
        <v/>
      </c>
      <c r="AF880">
        <f>IF($AE880="","",IF(ISNUMBER(Sync!$P880),IF(AND(Sync!$P880&gt;=10000101,Sync!$P880&lt;=99991231),INT(Sync!$P880/10000),""),IFERROR(VALUE(TRIM(LEFT(Sync!$P880,FIND("/",Sync!$P880)-1))),"")))</f>
        <v/>
      </c>
      <c r="AG880">
        <f>IF(OR($AE880="",$AF880=""),"",IF(ISNUMBER(Sync!$P880),INT(MOD(Sync!$P880,10000)/100),IFERROR(VALUE(TRIM(LEFT(MID(Sync!$P880,FIND("/",Sync!$P880)+1,20),FIND("/",MID(Sync!$P880,FIND("/",Sync!$P880)+1,20))-1))),"")))</f>
        <v/>
      </c>
      <c r="AH880">
        <f>IF(OR($AE880="",$AF880=""),"",IF(ISNUMBER(Sync!$P880),MOD(Sync!$P880,100),IFERROR(VALUE(TRIM(MID(MID(Sync!$P880,FIND("/",Sync!$P880)+1,20),FIND("/",MID(Sync!$P880,FIND("/",Sync!$P880)+1,20))+1,20))),"")))</f>
        <v/>
      </c>
      <c r="AI880">
        <f>IF($AE880="","",IF(OR($AF880="",$AG880="",$AH880="",$AF880&lt;1300,$AF880&gt;1500,$AG880&lt;1,$AG880&gt;12,$AH880&lt;1,$AH880&gt;31),"نامعتبر",RIGHT("0000"&amp;$AF880,4)&amp;"/"&amp;RIGHT("00"&amp;$AG880,2)&amp;"/"&amp;RIGHT("00"&amp;$AH880,2)))</f>
        <v/>
      </c>
      <c r="AJ880">
        <f>IF($AE880="","",IF(Sync!$Q880="","0000",IF(AND(ISNUMBER(Sync!$Q880),Sync!$Q880&gt;=0,Sync!$Q880&lt;1),RIGHT("00"&amp;HOUR(Sync!$Q880),2)&amp;RIGHT("00"&amp;MINUTE(Sync!$Q880),2),IFERROR(RIGHT("00"&amp;VALUE(LEFT(Sync!$Q880,FIND(":",Sync!$Q880)-1)),2)&amp;RIGHT("00"&amp;VALUE(MID(Sync!$Q880,FIND(":",Sync!$Q880)+1,2)),2),"0000"))))</f>
        <v/>
      </c>
      <c r="AK880">
        <f>IF(OR($AE880="",$AI880="",$AI880="نامعتبر"),"",LEFT($AI880,4)&amp;MID($AI880,6,2)&amp;RIGHT($AI880,2)&amp;$AJ880&amp;"|"&amp;"3"&amp;RIGHT("00000"&amp;875,5))</f>
        <v/>
      </c>
      <c r="AL880">
        <f>IF($AK880="","",COUNTIFS(LdAParty,$AE880,LdAType,1,LdAKey,"&lt;"&amp;$AK880)+COUNTIFS(LdBMember,$AE880,LdBKey,"&lt;"&amp;$AK880)+COUNTIFS(LdCParty,$AE880,LdCKey,"&lt;"&amp;$AK880)+1)</f>
        <v/>
      </c>
      <c r="AM880">
        <f>IF($AL880="","",$AE880&amp;"|"&amp;RIGHT("000000"&amp;$AL880,6))</f>
        <v/>
      </c>
      <c r="AN880">
        <f>IF($AE880="","",IF(Sync!$W880="",0,Sync!$W880))</f>
        <v/>
      </c>
      <c r="AO880">
        <f>IF($AE880="","",IF(Sync!$X880="",0,Sync!$X880))</f>
        <v/>
      </c>
      <c r="AP880">
        <f>IF($AE880="","",Sync!$R880)</f>
        <v/>
      </c>
      <c r="AQ880">
        <f>IF($AE880="","",Sync!$Y880)</f>
        <v/>
      </c>
    </row>
    <row r="881">
      <c r="A881">
        <f>IF(OR(Wages!$B884="",Wages!$E884=""),"",Wages!$E884)</f>
        <v/>
      </c>
      <c r="B881">
        <f>IF($A881="","",IF(Wages!$C884="دستمزد گروهی",2,1))</f>
        <v/>
      </c>
      <c r="C881">
        <f>IF($A881="","",IF(ISNUMBER(Wages!$B884),IF(AND(Wages!$B884&gt;=10000101,Wages!$B884&lt;=99991231),INT(Wages!$B884/10000),""),IFERROR(VALUE(TRIM(LEFT(Wages!$B884,FIND("/",Wages!$B884)-1))),"")))</f>
        <v/>
      </c>
      <c r="D881">
        <f>IF(OR($A881="",$C881=""),"",IF(ISNUMBER(Wages!$B884),INT(MOD(Wages!$B884,10000)/100),IFERROR(VALUE(TRIM(LEFT(MID(Wages!$B884,FIND("/",Wages!$B884)+1,20),FIND("/",MID(Wages!$B884,FIND("/",Wages!$B884)+1,20))-1))),"")))</f>
        <v/>
      </c>
      <c r="E881">
        <f>IF(OR($A881="",$C881=""),"",IF(ISNUMBER(Wages!$B884),MOD(Wages!$B884,100),IFERROR(VALUE(TRIM(MID(MID(Wages!$B884,FIND("/",Wages!$B884)+1,20),FIND("/",MID(Wages!$B884,FIND("/",Wages!$B884)+1,20))+1,20))),"")))</f>
        <v/>
      </c>
      <c r="F881">
        <f>IF($A881="","",IF(OR($C881="",$D881="",$E881="",$C881&lt;1300,$C881&gt;1500,$D881&lt;1,$D881&gt;12,$E881&lt;1,$E881&gt;31),"نامعتبر",RIGHT("0000"&amp;$C881,4)&amp;"/"&amp;RIGHT("00"&amp;$D881,2)&amp;"/"&amp;RIGHT("00"&amp;$E881,2)))</f>
        <v/>
      </c>
      <c r="G881">
        <f>IF(OR($A881="",$F881="",$F881="نامعتبر"),"",LEFT($F881,4)&amp;MID($F881,6,2)&amp;RIGHT($F881,2)&amp;"0000"&amp;"|"&amp;"1"&amp;RIGHT("00000"&amp;876,5))</f>
        <v/>
      </c>
      <c r="H881">
        <f>IF(OR($B881&lt;&gt;1,$G881=""),"",COUNTIFS(LdAParty,$A881,LdAType,1,LdAKey,"&lt;"&amp;$G881)+COUNTIFS(LdBMember,$A881,LdBKey,"&lt;"&amp;$G881)+COUNTIFS(LdCParty,$A881,LdCKey,"&lt;"&amp;$G881)+1)</f>
        <v/>
      </c>
      <c r="I881">
        <f>IF($H881="","",$A881&amp;"|"&amp;RIGHT("000000"&amp;$H881,6))</f>
        <v/>
      </c>
      <c r="J881">
        <f>IF(OR($B881&lt;&gt;2,$G881=""),"",COUNTIFS(LdAParty,$A881,LdAType,2,LdAKey,"&lt;"&amp;$G881)+1)</f>
        <v/>
      </c>
      <c r="K881">
        <f>IF($J881="","",$A881&amp;"|"&amp;RIGHT("000000"&amp;$J881,6))</f>
        <v/>
      </c>
      <c r="L881">
        <f>IF($A881="","",IF(Wages!$G884="",0,Wages!$G884))</f>
        <v/>
      </c>
      <c r="M881">
        <f>IF($A881="","",Wages!$J884)</f>
        <v/>
      </c>
      <c r="N881">
        <f>IF($A881="","",Wages!$D884)</f>
        <v/>
      </c>
      <c r="P881">
        <f>IF(OR(Shares!$B884="",Shares!$C884=""),"",Shares!$C884)</f>
        <v/>
      </c>
      <c r="Q881">
        <f>IF($P881="","",Shares!$B884)</f>
        <v/>
      </c>
      <c r="R881">
        <f>IF($P881="","",IFERROR(INDEX(WageParty,MATCH($Q881,WageIds,0)),""))</f>
        <v/>
      </c>
      <c r="S881">
        <f>IF($P881="","",IFERROR(INDEX($F$6:$F$2005,MATCH($Q881,WageIds,0)),""))</f>
        <v/>
      </c>
      <c r="T881">
        <f>IF(OR($P881="",$S881="",$S881="نامعتبر"),"",LEFT($S881,4)&amp;MID($S881,6,2)&amp;RIGHT($S881,2)&amp;"0000"&amp;"|"&amp;"2"&amp;RIGHT("00000"&amp;876,5))</f>
        <v/>
      </c>
      <c r="U881">
        <f>IF($T881="","",COUNTIFS(LdAParty,$P881,LdAType,1,LdAKey,"&lt;"&amp;$T881)+COUNTIFS(LdBMember,$P881,LdBKey,"&lt;"&amp;$T881)+COUNTIFS(LdCParty,$P881,LdCKey,"&lt;"&amp;$T881)+1)</f>
        <v/>
      </c>
      <c r="V881">
        <f>IF($U881="","",$P881&amp;"|"&amp;RIGHT("000000"&amp;$U881,6))</f>
        <v/>
      </c>
      <c r="W881">
        <f>IF($T881="","",COUNTIFS(LdBGroup,$R881,LdBKey,"&lt;"&amp;$T881)+1)</f>
        <v/>
      </c>
      <c r="X881">
        <f>IF($W881="","",$R881&amp;"|"&amp;RIGHT("000000"&amp;$W881,6))</f>
        <v/>
      </c>
      <c r="Y881">
        <f>IF($P881="","",IF(Shares!$E884="",0,Shares!$E884))</f>
        <v/>
      </c>
      <c r="Z881">
        <f>IF($P881="","",Shares!$H884)</f>
        <v/>
      </c>
      <c r="AE881">
        <f>IF(OR(Sync!$S881="",Sync!$P881=""),"",Sync!$S881)</f>
        <v/>
      </c>
      <c r="AF881">
        <f>IF($AE881="","",IF(ISNUMBER(Sync!$P881),IF(AND(Sync!$P881&gt;=10000101,Sync!$P881&lt;=99991231),INT(Sync!$P881/10000),""),IFERROR(VALUE(TRIM(LEFT(Sync!$P881,FIND("/",Sync!$P881)-1))),"")))</f>
        <v/>
      </c>
      <c r="AG881">
        <f>IF(OR($AE881="",$AF881=""),"",IF(ISNUMBER(Sync!$P881),INT(MOD(Sync!$P881,10000)/100),IFERROR(VALUE(TRIM(LEFT(MID(Sync!$P881,FIND("/",Sync!$P881)+1,20),FIND("/",MID(Sync!$P881,FIND("/",Sync!$P881)+1,20))-1))),"")))</f>
        <v/>
      </c>
      <c r="AH881">
        <f>IF(OR($AE881="",$AF881=""),"",IF(ISNUMBER(Sync!$P881),MOD(Sync!$P881,100),IFERROR(VALUE(TRIM(MID(MID(Sync!$P881,FIND("/",Sync!$P881)+1,20),FIND("/",MID(Sync!$P881,FIND("/",Sync!$P881)+1,20))+1,20))),"")))</f>
        <v/>
      </c>
      <c r="AI881">
        <f>IF($AE881="","",IF(OR($AF881="",$AG881="",$AH881="",$AF881&lt;1300,$AF881&gt;1500,$AG881&lt;1,$AG881&gt;12,$AH881&lt;1,$AH881&gt;31),"نامعتبر",RIGHT("0000"&amp;$AF881,4)&amp;"/"&amp;RIGHT("00"&amp;$AG881,2)&amp;"/"&amp;RIGHT("00"&amp;$AH881,2)))</f>
        <v/>
      </c>
      <c r="AJ881">
        <f>IF($AE881="","",IF(Sync!$Q881="","0000",IF(AND(ISNUMBER(Sync!$Q881),Sync!$Q881&gt;=0,Sync!$Q881&lt;1),RIGHT("00"&amp;HOUR(Sync!$Q881),2)&amp;RIGHT("00"&amp;MINUTE(Sync!$Q881),2),IFERROR(RIGHT("00"&amp;VALUE(LEFT(Sync!$Q881,FIND(":",Sync!$Q881)-1)),2)&amp;RIGHT("00"&amp;VALUE(MID(Sync!$Q881,FIND(":",Sync!$Q881)+1,2)),2),"0000"))))</f>
        <v/>
      </c>
      <c r="AK881">
        <f>IF(OR($AE881="",$AI881="",$AI881="نامعتبر"),"",LEFT($AI881,4)&amp;MID($AI881,6,2)&amp;RIGHT($AI881,2)&amp;$AJ881&amp;"|"&amp;"3"&amp;RIGHT("00000"&amp;876,5))</f>
        <v/>
      </c>
      <c r="AL881">
        <f>IF($AK881="","",COUNTIFS(LdAParty,$AE881,LdAType,1,LdAKey,"&lt;"&amp;$AK881)+COUNTIFS(LdBMember,$AE881,LdBKey,"&lt;"&amp;$AK881)+COUNTIFS(LdCParty,$AE881,LdCKey,"&lt;"&amp;$AK881)+1)</f>
        <v/>
      </c>
      <c r="AM881">
        <f>IF($AL881="","",$AE881&amp;"|"&amp;RIGHT("000000"&amp;$AL881,6))</f>
        <v/>
      </c>
      <c r="AN881">
        <f>IF($AE881="","",IF(Sync!$W881="",0,Sync!$W881))</f>
        <v/>
      </c>
      <c r="AO881">
        <f>IF($AE881="","",IF(Sync!$X881="",0,Sync!$X881))</f>
        <v/>
      </c>
      <c r="AP881">
        <f>IF($AE881="","",Sync!$R881)</f>
        <v/>
      </c>
      <c r="AQ881">
        <f>IF($AE881="","",Sync!$Y881)</f>
        <v/>
      </c>
    </row>
    <row r="882">
      <c r="A882">
        <f>IF(OR(Wages!$B885="",Wages!$E885=""),"",Wages!$E885)</f>
        <v/>
      </c>
      <c r="B882">
        <f>IF($A882="","",IF(Wages!$C885="دستمزد گروهی",2,1))</f>
        <v/>
      </c>
      <c r="C882">
        <f>IF($A882="","",IF(ISNUMBER(Wages!$B885),IF(AND(Wages!$B885&gt;=10000101,Wages!$B885&lt;=99991231),INT(Wages!$B885/10000),""),IFERROR(VALUE(TRIM(LEFT(Wages!$B885,FIND("/",Wages!$B885)-1))),"")))</f>
        <v/>
      </c>
      <c r="D882">
        <f>IF(OR($A882="",$C882=""),"",IF(ISNUMBER(Wages!$B885),INT(MOD(Wages!$B885,10000)/100),IFERROR(VALUE(TRIM(LEFT(MID(Wages!$B885,FIND("/",Wages!$B885)+1,20),FIND("/",MID(Wages!$B885,FIND("/",Wages!$B885)+1,20))-1))),"")))</f>
        <v/>
      </c>
      <c r="E882">
        <f>IF(OR($A882="",$C882=""),"",IF(ISNUMBER(Wages!$B885),MOD(Wages!$B885,100),IFERROR(VALUE(TRIM(MID(MID(Wages!$B885,FIND("/",Wages!$B885)+1,20),FIND("/",MID(Wages!$B885,FIND("/",Wages!$B885)+1,20))+1,20))),"")))</f>
        <v/>
      </c>
      <c r="F882">
        <f>IF($A882="","",IF(OR($C882="",$D882="",$E882="",$C882&lt;1300,$C882&gt;1500,$D882&lt;1,$D882&gt;12,$E882&lt;1,$E882&gt;31),"نامعتبر",RIGHT("0000"&amp;$C882,4)&amp;"/"&amp;RIGHT("00"&amp;$D882,2)&amp;"/"&amp;RIGHT("00"&amp;$E882,2)))</f>
        <v/>
      </c>
      <c r="G882">
        <f>IF(OR($A882="",$F882="",$F882="نامعتبر"),"",LEFT($F882,4)&amp;MID($F882,6,2)&amp;RIGHT($F882,2)&amp;"0000"&amp;"|"&amp;"1"&amp;RIGHT("00000"&amp;877,5))</f>
        <v/>
      </c>
      <c r="H882">
        <f>IF(OR($B882&lt;&gt;1,$G882=""),"",COUNTIFS(LdAParty,$A882,LdAType,1,LdAKey,"&lt;"&amp;$G882)+COUNTIFS(LdBMember,$A882,LdBKey,"&lt;"&amp;$G882)+COUNTIFS(LdCParty,$A882,LdCKey,"&lt;"&amp;$G882)+1)</f>
        <v/>
      </c>
      <c r="I882">
        <f>IF($H882="","",$A882&amp;"|"&amp;RIGHT("000000"&amp;$H882,6))</f>
        <v/>
      </c>
      <c r="J882">
        <f>IF(OR($B882&lt;&gt;2,$G882=""),"",COUNTIFS(LdAParty,$A882,LdAType,2,LdAKey,"&lt;"&amp;$G882)+1)</f>
        <v/>
      </c>
      <c r="K882">
        <f>IF($J882="","",$A882&amp;"|"&amp;RIGHT("000000"&amp;$J882,6))</f>
        <v/>
      </c>
      <c r="L882">
        <f>IF($A882="","",IF(Wages!$G885="",0,Wages!$G885))</f>
        <v/>
      </c>
      <c r="M882">
        <f>IF($A882="","",Wages!$J885)</f>
        <v/>
      </c>
      <c r="N882">
        <f>IF($A882="","",Wages!$D885)</f>
        <v/>
      </c>
      <c r="P882">
        <f>IF(OR(Shares!$B885="",Shares!$C885=""),"",Shares!$C885)</f>
        <v/>
      </c>
      <c r="Q882">
        <f>IF($P882="","",Shares!$B885)</f>
        <v/>
      </c>
      <c r="R882">
        <f>IF($P882="","",IFERROR(INDEX(WageParty,MATCH($Q882,WageIds,0)),""))</f>
        <v/>
      </c>
      <c r="S882">
        <f>IF($P882="","",IFERROR(INDEX($F$6:$F$2005,MATCH($Q882,WageIds,0)),""))</f>
        <v/>
      </c>
      <c r="T882">
        <f>IF(OR($P882="",$S882="",$S882="نامعتبر"),"",LEFT($S882,4)&amp;MID($S882,6,2)&amp;RIGHT($S882,2)&amp;"0000"&amp;"|"&amp;"2"&amp;RIGHT("00000"&amp;877,5))</f>
        <v/>
      </c>
      <c r="U882">
        <f>IF($T882="","",COUNTIFS(LdAParty,$P882,LdAType,1,LdAKey,"&lt;"&amp;$T882)+COUNTIFS(LdBMember,$P882,LdBKey,"&lt;"&amp;$T882)+COUNTIFS(LdCParty,$P882,LdCKey,"&lt;"&amp;$T882)+1)</f>
        <v/>
      </c>
      <c r="V882">
        <f>IF($U882="","",$P882&amp;"|"&amp;RIGHT("000000"&amp;$U882,6))</f>
        <v/>
      </c>
      <c r="W882">
        <f>IF($T882="","",COUNTIFS(LdBGroup,$R882,LdBKey,"&lt;"&amp;$T882)+1)</f>
        <v/>
      </c>
      <c r="X882">
        <f>IF($W882="","",$R882&amp;"|"&amp;RIGHT("000000"&amp;$W882,6))</f>
        <v/>
      </c>
      <c r="Y882">
        <f>IF($P882="","",IF(Shares!$E885="",0,Shares!$E885))</f>
        <v/>
      </c>
      <c r="Z882">
        <f>IF($P882="","",Shares!$H885)</f>
        <v/>
      </c>
      <c r="AE882">
        <f>IF(OR(Sync!$S882="",Sync!$P882=""),"",Sync!$S882)</f>
        <v/>
      </c>
      <c r="AF882">
        <f>IF($AE882="","",IF(ISNUMBER(Sync!$P882),IF(AND(Sync!$P882&gt;=10000101,Sync!$P882&lt;=99991231),INT(Sync!$P882/10000),""),IFERROR(VALUE(TRIM(LEFT(Sync!$P882,FIND("/",Sync!$P882)-1))),"")))</f>
        <v/>
      </c>
      <c r="AG882">
        <f>IF(OR($AE882="",$AF882=""),"",IF(ISNUMBER(Sync!$P882),INT(MOD(Sync!$P882,10000)/100),IFERROR(VALUE(TRIM(LEFT(MID(Sync!$P882,FIND("/",Sync!$P882)+1,20),FIND("/",MID(Sync!$P882,FIND("/",Sync!$P882)+1,20))-1))),"")))</f>
        <v/>
      </c>
      <c r="AH882">
        <f>IF(OR($AE882="",$AF882=""),"",IF(ISNUMBER(Sync!$P882),MOD(Sync!$P882,100),IFERROR(VALUE(TRIM(MID(MID(Sync!$P882,FIND("/",Sync!$P882)+1,20),FIND("/",MID(Sync!$P882,FIND("/",Sync!$P882)+1,20))+1,20))),"")))</f>
        <v/>
      </c>
      <c r="AI882">
        <f>IF($AE882="","",IF(OR($AF882="",$AG882="",$AH882="",$AF882&lt;1300,$AF882&gt;1500,$AG882&lt;1,$AG882&gt;12,$AH882&lt;1,$AH882&gt;31),"نامعتبر",RIGHT("0000"&amp;$AF882,4)&amp;"/"&amp;RIGHT("00"&amp;$AG882,2)&amp;"/"&amp;RIGHT("00"&amp;$AH882,2)))</f>
        <v/>
      </c>
      <c r="AJ882">
        <f>IF($AE882="","",IF(Sync!$Q882="","0000",IF(AND(ISNUMBER(Sync!$Q882),Sync!$Q882&gt;=0,Sync!$Q882&lt;1),RIGHT("00"&amp;HOUR(Sync!$Q882),2)&amp;RIGHT("00"&amp;MINUTE(Sync!$Q882),2),IFERROR(RIGHT("00"&amp;VALUE(LEFT(Sync!$Q882,FIND(":",Sync!$Q882)-1)),2)&amp;RIGHT("00"&amp;VALUE(MID(Sync!$Q882,FIND(":",Sync!$Q882)+1,2)),2),"0000"))))</f>
        <v/>
      </c>
      <c r="AK882">
        <f>IF(OR($AE882="",$AI882="",$AI882="نامعتبر"),"",LEFT($AI882,4)&amp;MID($AI882,6,2)&amp;RIGHT($AI882,2)&amp;$AJ882&amp;"|"&amp;"3"&amp;RIGHT("00000"&amp;877,5))</f>
        <v/>
      </c>
      <c r="AL882">
        <f>IF($AK882="","",COUNTIFS(LdAParty,$AE882,LdAType,1,LdAKey,"&lt;"&amp;$AK882)+COUNTIFS(LdBMember,$AE882,LdBKey,"&lt;"&amp;$AK882)+COUNTIFS(LdCParty,$AE882,LdCKey,"&lt;"&amp;$AK882)+1)</f>
        <v/>
      </c>
      <c r="AM882">
        <f>IF($AL882="","",$AE882&amp;"|"&amp;RIGHT("000000"&amp;$AL882,6))</f>
        <v/>
      </c>
      <c r="AN882">
        <f>IF($AE882="","",IF(Sync!$W882="",0,Sync!$W882))</f>
        <v/>
      </c>
      <c r="AO882">
        <f>IF($AE882="","",IF(Sync!$X882="",0,Sync!$X882))</f>
        <v/>
      </c>
      <c r="AP882">
        <f>IF($AE882="","",Sync!$R882)</f>
        <v/>
      </c>
      <c r="AQ882">
        <f>IF($AE882="","",Sync!$Y882)</f>
        <v/>
      </c>
    </row>
    <row r="883">
      <c r="A883">
        <f>IF(OR(Wages!$B886="",Wages!$E886=""),"",Wages!$E886)</f>
        <v/>
      </c>
      <c r="B883">
        <f>IF($A883="","",IF(Wages!$C886="دستمزد گروهی",2,1))</f>
        <v/>
      </c>
      <c r="C883">
        <f>IF($A883="","",IF(ISNUMBER(Wages!$B886),IF(AND(Wages!$B886&gt;=10000101,Wages!$B886&lt;=99991231),INT(Wages!$B886/10000),""),IFERROR(VALUE(TRIM(LEFT(Wages!$B886,FIND("/",Wages!$B886)-1))),"")))</f>
        <v/>
      </c>
      <c r="D883">
        <f>IF(OR($A883="",$C883=""),"",IF(ISNUMBER(Wages!$B886),INT(MOD(Wages!$B886,10000)/100),IFERROR(VALUE(TRIM(LEFT(MID(Wages!$B886,FIND("/",Wages!$B886)+1,20),FIND("/",MID(Wages!$B886,FIND("/",Wages!$B886)+1,20))-1))),"")))</f>
        <v/>
      </c>
      <c r="E883">
        <f>IF(OR($A883="",$C883=""),"",IF(ISNUMBER(Wages!$B886),MOD(Wages!$B886,100),IFERROR(VALUE(TRIM(MID(MID(Wages!$B886,FIND("/",Wages!$B886)+1,20),FIND("/",MID(Wages!$B886,FIND("/",Wages!$B886)+1,20))+1,20))),"")))</f>
        <v/>
      </c>
      <c r="F883">
        <f>IF($A883="","",IF(OR($C883="",$D883="",$E883="",$C883&lt;1300,$C883&gt;1500,$D883&lt;1,$D883&gt;12,$E883&lt;1,$E883&gt;31),"نامعتبر",RIGHT("0000"&amp;$C883,4)&amp;"/"&amp;RIGHT("00"&amp;$D883,2)&amp;"/"&amp;RIGHT("00"&amp;$E883,2)))</f>
        <v/>
      </c>
      <c r="G883">
        <f>IF(OR($A883="",$F883="",$F883="نامعتبر"),"",LEFT($F883,4)&amp;MID($F883,6,2)&amp;RIGHT($F883,2)&amp;"0000"&amp;"|"&amp;"1"&amp;RIGHT("00000"&amp;878,5))</f>
        <v/>
      </c>
      <c r="H883">
        <f>IF(OR($B883&lt;&gt;1,$G883=""),"",COUNTIFS(LdAParty,$A883,LdAType,1,LdAKey,"&lt;"&amp;$G883)+COUNTIFS(LdBMember,$A883,LdBKey,"&lt;"&amp;$G883)+COUNTIFS(LdCParty,$A883,LdCKey,"&lt;"&amp;$G883)+1)</f>
        <v/>
      </c>
      <c r="I883">
        <f>IF($H883="","",$A883&amp;"|"&amp;RIGHT("000000"&amp;$H883,6))</f>
        <v/>
      </c>
      <c r="J883">
        <f>IF(OR($B883&lt;&gt;2,$G883=""),"",COUNTIFS(LdAParty,$A883,LdAType,2,LdAKey,"&lt;"&amp;$G883)+1)</f>
        <v/>
      </c>
      <c r="K883">
        <f>IF($J883="","",$A883&amp;"|"&amp;RIGHT("000000"&amp;$J883,6))</f>
        <v/>
      </c>
      <c r="L883">
        <f>IF($A883="","",IF(Wages!$G886="",0,Wages!$G886))</f>
        <v/>
      </c>
      <c r="M883">
        <f>IF($A883="","",Wages!$J886)</f>
        <v/>
      </c>
      <c r="N883">
        <f>IF($A883="","",Wages!$D886)</f>
        <v/>
      </c>
      <c r="P883">
        <f>IF(OR(Shares!$B886="",Shares!$C886=""),"",Shares!$C886)</f>
        <v/>
      </c>
      <c r="Q883">
        <f>IF($P883="","",Shares!$B886)</f>
        <v/>
      </c>
      <c r="R883">
        <f>IF($P883="","",IFERROR(INDEX(WageParty,MATCH($Q883,WageIds,0)),""))</f>
        <v/>
      </c>
      <c r="S883">
        <f>IF($P883="","",IFERROR(INDEX($F$6:$F$2005,MATCH($Q883,WageIds,0)),""))</f>
        <v/>
      </c>
      <c r="T883">
        <f>IF(OR($P883="",$S883="",$S883="نامعتبر"),"",LEFT($S883,4)&amp;MID($S883,6,2)&amp;RIGHT($S883,2)&amp;"0000"&amp;"|"&amp;"2"&amp;RIGHT("00000"&amp;878,5))</f>
        <v/>
      </c>
      <c r="U883">
        <f>IF($T883="","",COUNTIFS(LdAParty,$P883,LdAType,1,LdAKey,"&lt;"&amp;$T883)+COUNTIFS(LdBMember,$P883,LdBKey,"&lt;"&amp;$T883)+COUNTIFS(LdCParty,$P883,LdCKey,"&lt;"&amp;$T883)+1)</f>
        <v/>
      </c>
      <c r="V883">
        <f>IF($U883="","",$P883&amp;"|"&amp;RIGHT("000000"&amp;$U883,6))</f>
        <v/>
      </c>
      <c r="W883">
        <f>IF($T883="","",COUNTIFS(LdBGroup,$R883,LdBKey,"&lt;"&amp;$T883)+1)</f>
        <v/>
      </c>
      <c r="X883">
        <f>IF($W883="","",$R883&amp;"|"&amp;RIGHT("000000"&amp;$W883,6))</f>
        <v/>
      </c>
      <c r="Y883">
        <f>IF($P883="","",IF(Shares!$E886="",0,Shares!$E886))</f>
        <v/>
      </c>
      <c r="Z883">
        <f>IF($P883="","",Shares!$H886)</f>
        <v/>
      </c>
      <c r="AE883">
        <f>IF(OR(Sync!$S883="",Sync!$P883=""),"",Sync!$S883)</f>
        <v/>
      </c>
      <c r="AF883">
        <f>IF($AE883="","",IF(ISNUMBER(Sync!$P883),IF(AND(Sync!$P883&gt;=10000101,Sync!$P883&lt;=99991231),INT(Sync!$P883/10000),""),IFERROR(VALUE(TRIM(LEFT(Sync!$P883,FIND("/",Sync!$P883)-1))),"")))</f>
        <v/>
      </c>
      <c r="AG883">
        <f>IF(OR($AE883="",$AF883=""),"",IF(ISNUMBER(Sync!$P883),INT(MOD(Sync!$P883,10000)/100),IFERROR(VALUE(TRIM(LEFT(MID(Sync!$P883,FIND("/",Sync!$P883)+1,20),FIND("/",MID(Sync!$P883,FIND("/",Sync!$P883)+1,20))-1))),"")))</f>
        <v/>
      </c>
      <c r="AH883">
        <f>IF(OR($AE883="",$AF883=""),"",IF(ISNUMBER(Sync!$P883),MOD(Sync!$P883,100),IFERROR(VALUE(TRIM(MID(MID(Sync!$P883,FIND("/",Sync!$P883)+1,20),FIND("/",MID(Sync!$P883,FIND("/",Sync!$P883)+1,20))+1,20))),"")))</f>
        <v/>
      </c>
      <c r="AI883">
        <f>IF($AE883="","",IF(OR($AF883="",$AG883="",$AH883="",$AF883&lt;1300,$AF883&gt;1500,$AG883&lt;1,$AG883&gt;12,$AH883&lt;1,$AH883&gt;31),"نامعتبر",RIGHT("0000"&amp;$AF883,4)&amp;"/"&amp;RIGHT("00"&amp;$AG883,2)&amp;"/"&amp;RIGHT("00"&amp;$AH883,2)))</f>
        <v/>
      </c>
      <c r="AJ883">
        <f>IF($AE883="","",IF(Sync!$Q883="","0000",IF(AND(ISNUMBER(Sync!$Q883),Sync!$Q883&gt;=0,Sync!$Q883&lt;1),RIGHT("00"&amp;HOUR(Sync!$Q883),2)&amp;RIGHT("00"&amp;MINUTE(Sync!$Q883),2),IFERROR(RIGHT("00"&amp;VALUE(LEFT(Sync!$Q883,FIND(":",Sync!$Q883)-1)),2)&amp;RIGHT("00"&amp;VALUE(MID(Sync!$Q883,FIND(":",Sync!$Q883)+1,2)),2),"0000"))))</f>
        <v/>
      </c>
      <c r="AK883">
        <f>IF(OR($AE883="",$AI883="",$AI883="نامعتبر"),"",LEFT($AI883,4)&amp;MID($AI883,6,2)&amp;RIGHT($AI883,2)&amp;$AJ883&amp;"|"&amp;"3"&amp;RIGHT("00000"&amp;878,5))</f>
        <v/>
      </c>
      <c r="AL883">
        <f>IF($AK883="","",COUNTIFS(LdAParty,$AE883,LdAType,1,LdAKey,"&lt;"&amp;$AK883)+COUNTIFS(LdBMember,$AE883,LdBKey,"&lt;"&amp;$AK883)+COUNTIFS(LdCParty,$AE883,LdCKey,"&lt;"&amp;$AK883)+1)</f>
        <v/>
      </c>
      <c r="AM883">
        <f>IF($AL883="","",$AE883&amp;"|"&amp;RIGHT("000000"&amp;$AL883,6))</f>
        <v/>
      </c>
      <c r="AN883">
        <f>IF($AE883="","",IF(Sync!$W883="",0,Sync!$W883))</f>
        <v/>
      </c>
      <c r="AO883">
        <f>IF($AE883="","",IF(Sync!$X883="",0,Sync!$X883))</f>
        <v/>
      </c>
      <c r="AP883">
        <f>IF($AE883="","",Sync!$R883)</f>
        <v/>
      </c>
      <c r="AQ883">
        <f>IF($AE883="","",Sync!$Y883)</f>
        <v/>
      </c>
    </row>
    <row r="884">
      <c r="A884">
        <f>IF(OR(Wages!$B887="",Wages!$E887=""),"",Wages!$E887)</f>
        <v/>
      </c>
      <c r="B884">
        <f>IF($A884="","",IF(Wages!$C887="دستمزد گروهی",2,1))</f>
        <v/>
      </c>
      <c r="C884">
        <f>IF($A884="","",IF(ISNUMBER(Wages!$B887),IF(AND(Wages!$B887&gt;=10000101,Wages!$B887&lt;=99991231),INT(Wages!$B887/10000),""),IFERROR(VALUE(TRIM(LEFT(Wages!$B887,FIND("/",Wages!$B887)-1))),"")))</f>
        <v/>
      </c>
      <c r="D884">
        <f>IF(OR($A884="",$C884=""),"",IF(ISNUMBER(Wages!$B887),INT(MOD(Wages!$B887,10000)/100),IFERROR(VALUE(TRIM(LEFT(MID(Wages!$B887,FIND("/",Wages!$B887)+1,20),FIND("/",MID(Wages!$B887,FIND("/",Wages!$B887)+1,20))-1))),"")))</f>
        <v/>
      </c>
      <c r="E884">
        <f>IF(OR($A884="",$C884=""),"",IF(ISNUMBER(Wages!$B887),MOD(Wages!$B887,100),IFERROR(VALUE(TRIM(MID(MID(Wages!$B887,FIND("/",Wages!$B887)+1,20),FIND("/",MID(Wages!$B887,FIND("/",Wages!$B887)+1,20))+1,20))),"")))</f>
        <v/>
      </c>
      <c r="F884">
        <f>IF($A884="","",IF(OR($C884="",$D884="",$E884="",$C884&lt;1300,$C884&gt;1500,$D884&lt;1,$D884&gt;12,$E884&lt;1,$E884&gt;31),"نامعتبر",RIGHT("0000"&amp;$C884,4)&amp;"/"&amp;RIGHT("00"&amp;$D884,2)&amp;"/"&amp;RIGHT("00"&amp;$E884,2)))</f>
        <v/>
      </c>
      <c r="G884">
        <f>IF(OR($A884="",$F884="",$F884="نامعتبر"),"",LEFT($F884,4)&amp;MID($F884,6,2)&amp;RIGHT($F884,2)&amp;"0000"&amp;"|"&amp;"1"&amp;RIGHT("00000"&amp;879,5))</f>
        <v/>
      </c>
      <c r="H884">
        <f>IF(OR($B884&lt;&gt;1,$G884=""),"",COUNTIFS(LdAParty,$A884,LdAType,1,LdAKey,"&lt;"&amp;$G884)+COUNTIFS(LdBMember,$A884,LdBKey,"&lt;"&amp;$G884)+COUNTIFS(LdCParty,$A884,LdCKey,"&lt;"&amp;$G884)+1)</f>
        <v/>
      </c>
      <c r="I884">
        <f>IF($H884="","",$A884&amp;"|"&amp;RIGHT("000000"&amp;$H884,6))</f>
        <v/>
      </c>
      <c r="J884">
        <f>IF(OR($B884&lt;&gt;2,$G884=""),"",COUNTIFS(LdAParty,$A884,LdAType,2,LdAKey,"&lt;"&amp;$G884)+1)</f>
        <v/>
      </c>
      <c r="K884">
        <f>IF($J884="","",$A884&amp;"|"&amp;RIGHT("000000"&amp;$J884,6))</f>
        <v/>
      </c>
      <c r="L884">
        <f>IF($A884="","",IF(Wages!$G887="",0,Wages!$G887))</f>
        <v/>
      </c>
      <c r="M884">
        <f>IF($A884="","",Wages!$J887)</f>
        <v/>
      </c>
      <c r="N884">
        <f>IF($A884="","",Wages!$D887)</f>
        <v/>
      </c>
      <c r="P884">
        <f>IF(OR(Shares!$B887="",Shares!$C887=""),"",Shares!$C887)</f>
        <v/>
      </c>
      <c r="Q884">
        <f>IF($P884="","",Shares!$B887)</f>
        <v/>
      </c>
      <c r="R884">
        <f>IF($P884="","",IFERROR(INDEX(WageParty,MATCH($Q884,WageIds,0)),""))</f>
        <v/>
      </c>
      <c r="S884">
        <f>IF($P884="","",IFERROR(INDEX($F$6:$F$2005,MATCH($Q884,WageIds,0)),""))</f>
        <v/>
      </c>
      <c r="T884">
        <f>IF(OR($P884="",$S884="",$S884="نامعتبر"),"",LEFT($S884,4)&amp;MID($S884,6,2)&amp;RIGHT($S884,2)&amp;"0000"&amp;"|"&amp;"2"&amp;RIGHT("00000"&amp;879,5))</f>
        <v/>
      </c>
      <c r="U884">
        <f>IF($T884="","",COUNTIFS(LdAParty,$P884,LdAType,1,LdAKey,"&lt;"&amp;$T884)+COUNTIFS(LdBMember,$P884,LdBKey,"&lt;"&amp;$T884)+COUNTIFS(LdCParty,$P884,LdCKey,"&lt;"&amp;$T884)+1)</f>
        <v/>
      </c>
      <c r="V884">
        <f>IF($U884="","",$P884&amp;"|"&amp;RIGHT("000000"&amp;$U884,6))</f>
        <v/>
      </c>
      <c r="W884">
        <f>IF($T884="","",COUNTIFS(LdBGroup,$R884,LdBKey,"&lt;"&amp;$T884)+1)</f>
        <v/>
      </c>
      <c r="X884">
        <f>IF($W884="","",$R884&amp;"|"&amp;RIGHT("000000"&amp;$W884,6))</f>
        <v/>
      </c>
      <c r="Y884">
        <f>IF($P884="","",IF(Shares!$E887="",0,Shares!$E887))</f>
        <v/>
      </c>
      <c r="Z884">
        <f>IF($P884="","",Shares!$H887)</f>
        <v/>
      </c>
      <c r="AE884">
        <f>IF(OR(Sync!$S884="",Sync!$P884=""),"",Sync!$S884)</f>
        <v/>
      </c>
      <c r="AF884">
        <f>IF($AE884="","",IF(ISNUMBER(Sync!$P884),IF(AND(Sync!$P884&gt;=10000101,Sync!$P884&lt;=99991231),INT(Sync!$P884/10000),""),IFERROR(VALUE(TRIM(LEFT(Sync!$P884,FIND("/",Sync!$P884)-1))),"")))</f>
        <v/>
      </c>
      <c r="AG884">
        <f>IF(OR($AE884="",$AF884=""),"",IF(ISNUMBER(Sync!$P884),INT(MOD(Sync!$P884,10000)/100),IFERROR(VALUE(TRIM(LEFT(MID(Sync!$P884,FIND("/",Sync!$P884)+1,20),FIND("/",MID(Sync!$P884,FIND("/",Sync!$P884)+1,20))-1))),"")))</f>
        <v/>
      </c>
      <c r="AH884">
        <f>IF(OR($AE884="",$AF884=""),"",IF(ISNUMBER(Sync!$P884),MOD(Sync!$P884,100),IFERROR(VALUE(TRIM(MID(MID(Sync!$P884,FIND("/",Sync!$P884)+1,20),FIND("/",MID(Sync!$P884,FIND("/",Sync!$P884)+1,20))+1,20))),"")))</f>
        <v/>
      </c>
      <c r="AI884">
        <f>IF($AE884="","",IF(OR($AF884="",$AG884="",$AH884="",$AF884&lt;1300,$AF884&gt;1500,$AG884&lt;1,$AG884&gt;12,$AH884&lt;1,$AH884&gt;31),"نامعتبر",RIGHT("0000"&amp;$AF884,4)&amp;"/"&amp;RIGHT("00"&amp;$AG884,2)&amp;"/"&amp;RIGHT("00"&amp;$AH884,2)))</f>
        <v/>
      </c>
      <c r="AJ884">
        <f>IF($AE884="","",IF(Sync!$Q884="","0000",IF(AND(ISNUMBER(Sync!$Q884),Sync!$Q884&gt;=0,Sync!$Q884&lt;1),RIGHT("00"&amp;HOUR(Sync!$Q884),2)&amp;RIGHT("00"&amp;MINUTE(Sync!$Q884),2),IFERROR(RIGHT("00"&amp;VALUE(LEFT(Sync!$Q884,FIND(":",Sync!$Q884)-1)),2)&amp;RIGHT("00"&amp;VALUE(MID(Sync!$Q884,FIND(":",Sync!$Q884)+1,2)),2),"0000"))))</f>
        <v/>
      </c>
      <c r="AK884">
        <f>IF(OR($AE884="",$AI884="",$AI884="نامعتبر"),"",LEFT($AI884,4)&amp;MID($AI884,6,2)&amp;RIGHT($AI884,2)&amp;$AJ884&amp;"|"&amp;"3"&amp;RIGHT("00000"&amp;879,5))</f>
        <v/>
      </c>
      <c r="AL884">
        <f>IF($AK884="","",COUNTIFS(LdAParty,$AE884,LdAType,1,LdAKey,"&lt;"&amp;$AK884)+COUNTIFS(LdBMember,$AE884,LdBKey,"&lt;"&amp;$AK884)+COUNTIFS(LdCParty,$AE884,LdCKey,"&lt;"&amp;$AK884)+1)</f>
        <v/>
      </c>
      <c r="AM884">
        <f>IF($AL884="","",$AE884&amp;"|"&amp;RIGHT("000000"&amp;$AL884,6))</f>
        <v/>
      </c>
      <c r="AN884">
        <f>IF($AE884="","",IF(Sync!$W884="",0,Sync!$W884))</f>
        <v/>
      </c>
      <c r="AO884">
        <f>IF($AE884="","",IF(Sync!$X884="",0,Sync!$X884))</f>
        <v/>
      </c>
      <c r="AP884">
        <f>IF($AE884="","",Sync!$R884)</f>
        <v/>
      </c>
      <c r="AQ884">
        <f>IF($AE884="","",Sync!$Y884)</f>
        <v/>
      </c>
    </row>
    <row r="885">
      <c r="A885">
        <f>IF(OR(Wages!$B888="",Wages!$E888=""),"",Wages!$E888)</f>
        <v/>
      </c>
      <c r="B885">
        <f>IF($A885="","",IF(Wages!$C888="دستمزد گروهی",2,1))</f>
        <v/>
      </c>
      <c r="C885">
        <f>IF($A885="","",IF(ISNUMBER(Wages!$B888),IF(AND(Wages!$B888&gt;=10000101,Wages!$B888&lt;=99991231),INT(Wages!$B888/10000),""),IFERROR(VALUE(TRIM(LEFT(Wages!$B888,FIND("/",Wages!$B888)-1))),"")))</f>
        <v/>
      </c>
      <c r="D885">
        <f>IF(OR($A885="",$C885=""),"",IF(ISNUMBER(Wages!$B888),INT(MOD(Wages!$B888,10000)/100),IFERROR(VALUE(TRIM(LEFT(MID(Wages!$B888,FIND("/",Wages!$B888)+1,20),FIND("/",MID(Wages!$B888,FIND("/",Wages!$B888)+1,20))-1))),"")))</f>
        <v/>
      </c>
      <c r="E885">
        <f>IF(OR($A885="",$C885=""),"",IF(ISNUMBER(Wages!$B888),MOD(Wages!$B888,100),IFERROR(VALUE(TRIM(MID(MID(Wages!$B888,FIND("/",Wages!$B888)+1,20),FIND("/",MID(Wages!$B888,FIND("/",Wages!$B888)+1,20))+1,20))),"")))</f>
        <v/>
      </c>
      <c r="F885">
        <f>IF($A885="","",IF(OR($C885="",$D885="",$E885="",$C885&lt;1300,$C885&gt;1500,$D885&lt;1,$D885&gt;12,$E885&lt;1,$E885&gt;31),"نامعتبر",RIGHT("0000"&amp;$C885,4)&amp;"/"&amp;RIGHT("00"&amp;$D885,2)&amp;"/"&amp;RIGHT("00"&amp;$E885,2)))</f>
        <v/>
      </c>
      <c r="G885">
        <f>IF(OR($A885="",$F885="",$F885="نامعتبر"),"",LEFT($F885,4)&amp;MID($F885,6,2)&amp;RIGHT($F885,2)&amp;"0000"&amp;"|"&amp;"1"&amp;RIGHT("00000"&amp;880,5))</f>
        <v/>
      </c>
      <c r="H885">
        <f>IF(OR($B885&lt;&gt;1,$G885=""),"",COUNTIFS(LdAParty,$A885,LdAType,1,LdAKey,"&lt;"&amp;$G885)+COUNTIFS(LdBMember,$A885,LdBKey,"&lt;"&amp;$G885)+COUNTIFS(LdCParty,$A885,LdCKey,"&lt;"&amp;$G885)+1)</f>
        <v/>
      </c>
      <c r="I885">
        <f>IF($H885="","",$A885&amp;"|"&amp;RIGHT("000000"&amp;$H885,6))</f>
        <v/>
      </c>
      <c r="J885">
        <f>IF(OR($B885&lt;&gt;2,$G885=""),"",COUNTIFS(LdAParty,$A885,LdAType,2,LdAKey,"&lt;"&amp;$G885)+1)</f>
        <v/>
      </c>
      <c r="K885">
        <f>IF($J885="","",$A885&amp;"|"&amp;RIGHT("000000"&amp;$J885,6))</f>
        <v/>
      </c>
      <c r="L885">
        <f>IF($A885="","",IF(Wages!$G888="",0,Wages!$G888))</f>
        <v/>
      </c>
      <c r="M885">
        <f>IF($A885="","",Wages!$J888)</f>
        <v/>
      </c>
      <c r="N885">
        <f>IF($A885="","",Wages!$D888)</f>
        <v/>
      </c>
      <c r="P885">
        <f>IF(OR(Shares!$B888="",Shares!$C888=""),"",Shares!$C888)</f>
        <v/>
      </c>
      <c r="Q885">
        <f>IF($P885="","",Shares!$B888)</f>
        <v/>
      </c>
      <c r="R885">
        <f>IF($P885="","",IFERROR(INDEX(WageParty,MATCH($Q885,WageIds,0)),""))</f>
        <v/>
      </c>
      <c r="S885">
        <f>IF($P885="","",IFERROR(INDEX($F$6:$F$2005,MATCH($Q885,WageIds,0)),""))</f>
        <v/>
      </c>
      <c r="T885">
        <f>IF(OR($P885="",$S885="",$S885="نامعتبر"),"",LEFT($S885,4)&amp;MID($S885,6,2)&amp;RIGHT($S885,2)&amp;"0000"&amp;"|"&amp;"2"&amp;RIGHT("00000"&amp;880,5))</f>
        <v/>
      </c>
      <c r="U885">
        <f>IF($T885="","",COUNTIFS(LdAParty,$P885,LdAType,1,LdAKey,"&lt;"&amp;$T885)+COUNTIFS(LdBMember,$P885,LdBKey,"&lt;"&amp;$T885)+COUNTIFS(LdCParty,$P885,LdCKey,"&lt;"&amp;$T885)+1)</f>
        <v/>
      </c>
      <c r="V885">
        <f>IF($U885="","",$P885&amp;"|"&amp;RIGHT("000000"&amp;$U885,6))</f>
        <v/>
      </c>
      <c r="W885">
        <f>IF($T885="","",COUNTIFS(LdBGroup,$R885,LdBKey,"&lt;"&amp;$T885)+1)</f>
        <v/>
      </c>
      <c r="X885">
        <f>IF($W885="","",$R885&amp;"|"&amp;RIGHT("000000"&amp;$W885,6))</f>
        <v/>
      </c>
      <c r="Y885">
        <f>IF($P885="","",IF(Shares!$E888="",0,Shares!$E888))</f>
        <v/>
      </c>
      <c r="Z885">
        <f>IF($P885="","",Shares!$H888)</f>
        <v/>
      </c>
      <c r="AE885">
        <f>IF(OR(Sync!$S885="",Sync!$P885=""),"",Sync!$S885)</f>
        <v/>
      </c>
      <c r="AF885">
        <f>IF($AE885="","",IF(ISNUMBER(Sync!$P885),IF(AND(Sync!$P885&gt;=10000101,Sync!$P885&lt;=99991231),INT(Sync!$P885/10000),""),IFERROR(VALUE(TRIM(LEFT(Sync!$P885,FIND("/",Sync!$P885)-1))),"")))</f>
        <v/>
      </c>
      <c r="AG885">
        <f>IF(OR($AE885="",$AF885=""),"",IF(ISNUMBER(Sync!$P885),INT(MOD(Sync!$P885,10000)/100),IFERROR(VALUE(TRIM(LEFT(MID(Sync!$P885,FIND("/",Sync!$P885)+1,20),FIND("/",MID(Sync!$P885,FIND("/",Sync!$P885)+1,20))-1))),"")))</f>
        <v/>
      </c>
      <c r="AH885">
        <f>IF(OR($AE885="",$AF885=""),"",IF(ISNUMBER(Sync!$P885),MOD(Sync!$P885,100),IFERROR(VALUE(TRIM(MID(MID(Sync!$P885,FIND("/",Sync!$P885)+1,20),FIND("/",MID(Sync!$P885,FIND("/",Sync!$P885)+1,20))+1,20))),"")))</f>
        <v/>
      </c>
      <c r="AI885">
        <f>IF($AE885="","",IF(OR($AF885="",$AG885="",$AH885="",$AF885&lt;1300,$AF885&gt;1500,$AG885&lt;1,$AG885&gt;12,$AH885&lt;1,$AH885&gt;31),"نامعتبر",RIGHT("0000"&amp;$AF885,4)&amp;"/"&amp;RIGHT("00"&amp;$AG885,2)&amp;"/"&amp;RIGHT("00"&amp;$AH885,2)))</f>
        <v/>
      </c>
      <c r="AJ885">
        <f>IF($AE885="","",IF(Sync!$Q885="","0000",IF(AND(ISNUMBER(Sync!$Q885),Sync!$Q885&gt;=0,Sync!$Q885&lt;1),RIGHT("00"&amp;HOUR(Sync!$Q885),2)&amp;RIGHT("00"&amp;MINUTE(Sync!$Q885),2),IFERROR(RIGHT("00"&amp;VALUE(LEFT(Sync!$Q885,FIND(":",Sync!$Q885)-1)),2)&amp;RIGHT("00"&amp;VALUE(MID(Sync!$Q885,FIND(":",Sync!$Q885)+1,2)),2),"0000"))))</f>
        <v/>
      </c>
      <c r="AK885">
        <f>IF(OR($AE885="",$AI885="",$AI885="نامعتبر"),"",LEFT($AI885,4)&amp;MID($AI885,6,2)&amp;RIGHT($AI885,2)&amp;$AJ885&amp;"|"&amp;"3"&amp;RIGHT("00000"&amp;880,5))</f>
        <v/>
      </c>
      <c r="AL885">
        <f>IF($AK885="","",COUNTIFS(LdAParty,$AE885,LdAType,1,LdAKey,"&lt;"&amp;$AK885)+COUNTIFS(LdBMember,$AE885,LdBKey,"&lt;"&amp;$AK885)+COUNTIFS(LdCParty,$AE885,LdCKey,"&lt;"&amp;$AK885)+1)</f>
        <v/>
      </c>
      <c r="AM885">
        <f>IF($AL885="","",$AE885&amp;"|"&amp;RIGHT("000000"&amp;$AL885,6))</f>
        <v/>
      </c>
      <c r="AN885">
        <f>IF($AE885="","",IF(Sync!$W885="",0,Sync!$W885))</f>
        <v/>
      </c>
      <c r="AO885">
        <f>IF($AE885="","",IF(Sync!$X885="",0,Sync!$X885))</f>
        <v/>
      </c>
      <c r="AP885">
        <f>IF($AE885="","",Sync!$R885)</f>
        <v/>
      </c>
      <c r="AQ885">
        <f>IF($AE885="","",Sync!$Y885)</f>
        <v/>
      </c>
    </row>
    <row r="886">
      <c r="A886">
        <f>IF(OR(Wages!$B889="",Wages!$E889=""),"",Wages!$E889)</f>
        <v/>
      </c>
      <c r="B886">
        <f>IF($A886="","",IF(Wages!$C889="دستمزد گروهی",2,1))</f>
        <v/>
      </c>
      <c r="C886">
        <f>IF($A886="","",IF(ISNUMBER(Wages!$B889),IF(AND(Wages!$B889&gt;=10000101,Wages!$B889&lt;=99991231),INT(Wages!$B889/10000),""),IFERROR(VALUE(TRIM(LEFT(Wages!$B889,FIND("/",Wages!$B889)-1))),"")))</f>
        <v/>
      </c>
      <c r="D886">
        <f>IF(OR($A886="",$C886=""),"",IF(ISNUMBER(Wages!$B889),INT(MOD(Wages!$B889,10000)/100),IFERROR(VALUE(TRIM(LEFT(MID(Wages!$B889,FIND("/",Wages!$B889)+1,20),FIND("/",MID(Wages!$B889,FIND("/",Wages!$B889)+1,20))-1))),"")))</f>
        <v/>
      </c>
      <c r="E886">
        <f>IF(OR($A886="",$C886=""),"",IF(ISNUMBER(Wages!$B889),MOD(Wages!$B889,100),IFERROR(VALUE(TRIM(MID(MID(Wages!$B889,FIND("/",Wages!$B889)+1,20),FIND("/",MID(Wages!$B889,FIND("/",Wages!$B889)+1,20))+1,20))),"")))</f>
        <v/>
      </c>
      <c r="F886">
        <f>IF($A886="","",IF(OR($C886="",$D886="",$E886="",$C886&lt;1300,$C886&gt;1500,$D886&lt;1,$D886&gt;12,$E886&lt;1,$E886&gt;31),"نامعتبر",RIGHT("0000"&amp;$C886,4)&amp;"/"&amp;RIGHT("00"&amp;$D886,2)&amp;"/"&amp;RIGHT("00"&amp;$E886,2)))</f>
        <v/>
      </c>
      <c r="G886">
        <f>IF(OR($A886="",$F886="",$F886="نامعتبر"),"",LEFT($F886,4)&amp;MID($F886,6,2)&amp;RIGHT($F886,2)&amp;"0000"&amp;"|"&amp;"1"&amp;RIGHT("00000"&amp;881,5))</f>
        <v/>
      </c>
      <c r="H886">
        <f>IF(OR($B886&lt;&gt;1,$G886=""),"",COUNTIFS(LdAParty,$A886,LdAType,1,LdAKey,"&lt;"&amp;$G886)+COUNTIFS(LdBMember,$A886,LdBKey,"&lt;"&amp;$G886)+COUNTIFS(LdCParty,$A886,LdCKey,"&lt;"&amp;$G886)+1)</f>
        <v/>
      </c>
      <c r="I886">
        <f>IF($H886="","",$A886&amp;"|"&amp;RIGHT("000000"&amp;$H886,6))</f>
        <v/>
      </c>
      <c r="J886">
        <f>IF(OR($B886&lt;&gt;2,$G886=""),"",COUNTIFS(LdAParty,$A886,LdAType,2,LdAKey,"&lt;"&amp;$G886)+1)</f>
        <v/>
      </c>
      <c r="K886">
        <f>IF($J886="","",$A886&amp;"|"&amp;RIGHT("000000"&amp;$J886,6))</f>
        <v/>
      </c>
      <c r="L886">
        <f>IF($A886="","",IF(Wages!$G889="",0,Wages!$G889))</f>
        <v/>
      </c>
      <c r="M886">
        <f>IF($A886="","",Wages!$J889)</f>
        <v/>
      </c>
      <c r="N886">
        <f>IF($A886="","",Wages!$D889)</f>
        <v/>
      </c>
      <c r="P886">
        <f>IF(OR(Shares!$B889="",Shares!$C889=""),"",Shares!$C889)</f>
        <v/>
      </c>
      <c r="Q886">
        <f>IF($P886="","",Shares!$B889)</f>
        <v/>
      </c>
      <c r="R886">
        <f>IF($P886="","",IFERROR(INDEX(WageParty,MATCH($Q886,WageIds,0)),""))</f>
        <v/>
      </c>
      <c r="S886">
        <f>IF($P886="","",IFERROR(INDEX($F$6:$F$2005,MATCH($Q886,WageIds,0)),""))</f>
        <v/>
      </c>
      <c r="T886">
        <f>IF(OR($P886="",$S886="",$S886="نامعتبر"),"",LEFT($S886,4)&amp;MID($S886,6,2)&amp;RIGHT($S886,2)&amp;"0000"&amp;"|"&amp;"2"&amp;RIGHT("00000"&amp;881,5))</f>
        <v/>
      </c>
      <c r="U886">
        <f>IF($T886="","",COUNTIFS(LdAParty,$P886,LdAType,1,LdAKey,"&lt;"&amp;$T886)+COUNTIFS(LdBMember,$P886,LdBKey,"&lt;"&amp;$T886)+COUNTIFS(LdCParty,$P886,LdCKey,"&lt;"&amp;$T886)+1)</f>
        <v/>
      </c>
      <c r="V886">
        <f>IF($U886="","",$P886&amp;"|"&amp;RIGHT("000000"&amp;$U886,6))</f>
        <v/>
      </c>
      <c r="W886">
        <f>IF($T886="","",COUNTIFS(LdBGroup,$R886,LdBKey,"&lt;"&amp;$T886)+1)</f>
        <v/>
      </c>
      <c r="X886">
        <f>IF($W886="","",$R886&amp;"|"&amp;RIGHT("000000"&amp;$W886,6))</f>
        <v/>
      </c>
      <c r="Y886">
        <f>IF($P886="","",IF(Shares!$E889="",0,Shares!$E889))</f>
        <v/>
      </c>
      <c r="Z886">
        <f>IF($P886="","",Shares!$H889)</f>
        <v/>
      </c>
      <c r="AE886">
        <f>IF(OR(Sync!$S886="",Sync!$P886=""),"",Sync!$S886)</f>
        <v/>
      </c>
      <c r="AF886">
        <f>IF($AE886="","",IF(ISNUMBER(Sync!$P886),IF(AND(Sync!$P886&gt;=10000101,Sync!$P886&lt;=99991231),INT(Sync!$P886/10000),""),IFERROR(VALUE(TRIM(LEFT(Sync!$P886,FIND("/",Sync!$P886)-1))),"")))</f>
        <v/>
      </c>
      <c r="AG886">
        <f>IF(OR($AE886="",$AF886=""),"",IF(ISNUMBER(Sync!$P886),INT(MOD(Sync!$P886,10000)/100),IFERROR(VALUE(TRIM(LEFT(MID(Sync!$P886,FIND("/",Sync!$P886)+1,20),FIND("/",MID(Sync!$P886,FIND("/",Sync!$P886)+1,20))-1))),"")))</f>
        <v/>
      </c>
      <c r="AH886">
        <f>IF(OR($AE886="",$AF886=""),"",IF(ISNUMBER(Sync!$P886),MOD(Sync!$P886,100),IFERROR(VALUE(TRIM(MID(MID(Sync!$P886,FIND("/",Sync!$P886)+1,20),FIND("/",MID(Sync!$P886,FIND("/",Sync!$P886)+1,20))+1,20))),"")))</f>
        <v/>
      </c>
      <c r="AI886">
        <f>IF($AE886="","",IF(OR($AF886="",$AG886="",$AH886="",$AF886&lt;1300,$AF886&gt;1500,$AG886&lt;1,$AG886&gt;12,$AH886&lt;1,$AH886&gt;31),"نامعتبر",RIGHT("0000"&amp;$AF886,4)&amp;"/"&amp;RIGHT("00"&amp;$AG886,2)&amp;"/"&amp;RIGHT("00"&amp;$AH886,2)))</f>
        <v/>
      </c>
      <c r="AJ886">
        <f>IF($AE886="","",IF(Sync!$Q886="","0000",IF(AND(ISNUMBER(Sync!$Q886),Sync!$Q886&gt;=0,Sync!$Q886&lt;1),RIGHT("00"&amp;HOUR(Sync!$Q886),2)&amp;RIGHT("00"&amp;MINUTE(Sync!$Q886),2),IFERROR(RIGHT("00"&amp;VALUE(LEFT(Sync!$Q886,FIND(":",Sync!$Q886)-1)),2)&amp;RIGHT("00"&amp;VALUE(MID(Sync!$Q886,FIND(":",Sync!$Q886)+1,2)),2),"0000"))))</f>
        <v/>
      </c>
      <c r="AK886">
        <f>IF(OR($AE886="",$AI886="",$AI886="نامعتبر"),"",LEFT($AI886,4)&amp;MID($AI886,6,2)&amp;RIGHT($AI886,2)&amp;$AJ886&amp;"|"&amp;"3"&amp;RIGHT("00000"&amp;881,5))</f>
        <v/>
      </c>
      <c r="AL886">
        <f>IF($AK886="","",COUNTIFS(LdAParty,$AE886,LdAType,1,LdAKey,"&lt;"&amp;$AK886)+COUNTIFS(LdBMember,$AE886,LdBKey,"&lt;"&amp;$AK886)+COUNTIFS(LdCParty,$AE886,LdCKey,"&lt;"&amp;$AK886)+1)</f>
        <v/>
      </c>
      <c r="AM886">
        <f>IF($AL886="","",$AE886&amp;"|"&amp;RIGHT("000000"&amp;$AL886,6))</f>
        <v/>
      </c>
      <c r="AN886">
        <f>IF($AE886="","",IF(Sync!$W886="",0,Sync!$W886))</f>
        <v/>
      </c>
      <c r="AO886">
        <f>IF($AE886="","",IF(Sync!$X886="",0,Sync!$X886))</f>
        <v/>
      </c>
      <c r="AP886">
        <f>IF($AE886="","",Sync!$R886)</f>
        <v/>
      </c>
      <c r="AQ886">
        <f>IF($AE886="","",Sync!$Y886)</f>
        <v/>
      </c>
    </row>
    <row r="887">
      <c r="A887">
        <f>IF(OR(Wages!$B890="",Wages!$E890=""),"",Wages!$E890)</f>
        <v/>
      </c>
      <c r="B887">
        <f>IF($A887="","",IF(Wages!$C890="دستمزد گروهی",2,1))</f>
        <v/>
      </c>
      <c r="C887">
        <f>IF($A887="","",IF(ISNUMBER(Wages!$B890),IF(AND(Wages!$B890&gt;=10000101,Wages!$B890&lt;=99991231),INT(Wages!$B890/10000),""),IFERROR(VALUE(TRIM(LEFT(Wages!$B890,FIND("/",Wages!$B890)-1))),"")))</f>
        <v/>
      </c>
      <c r="D887">
        <f>IF(OR($A887="",$C887=""),"",IF(ISNUMBER(Wages!$B890),INT(MOD(Wages!$B890,10000)/100),IFERROR(VALUE(TRIM(LEFT(MID(Wages!$B890,FIND("/",Wages!$B890)+1,20),FIND("/",MID(Wages!$B890,FIND("/",Wages!$B890)+1,20))-1))),"")))</f>
        <v/>
      </c>
      <c r="E887">
        <f>IF(OR($A887="",$C887=""),"",IF(ISNUMBER(Wages!$B890),MOD(Wages!$B890,100),IFERROR(VALUE(TRIM(MID(MID(Wages!$B890,FIND("/",Wages!$B890)+1,20),FIND("/",MID(Wages!$B890,FIND("/",Wages!$B890)+1,20))+1,20))),"")))</f>
        <v/>
      </c>
      <c r="F887">
        <f>IF($A887="","",IF(OR($C887="",$D887="",$E887="",$C887&lt;1300,$C887&gt;1500,$D887&lt;1,$D887&gt;12,$E887&lt;1,$E887&gt;31),"نامعتبر",RIGHT("0000"&amp;$C887,4)&amp;"/"&amp;RIGHT("00"&amp;$D887,2)&amp;"/"&amp;RIGHT("00"&amp;$E887,2)))</f>
        <v/>
      </c>
      <c r="G887">
        <f>IF(OR($A887="",$F887="",$F887="نامعتبر"),"",LEFT($F887,4)&amp;MID($F887,6,2)&amp;RIGHT($F887,2)&amp;"0000"&amp;"|"&amp;"1"&amp;RIGHT("00000"&amp;882,5))</f>
        <v/>
      </c>
      <c r="H887">
        <f>IF(OR($B887&lt;&gt;1,$G887=""),"",COUNTIFS(LdAParty,$A887,LdAType,1,LdAKey,"&lt;"&amp;$G887)+COUNTIFS(LdBMember,$A887,LdBKey,"&lt;"&amp;$G887)+COUNTIFS(LdCParty,$A887,LdCKey,"&lt;"&amp;$G887)+1)</f>
        <v/>
      </c>
      <c r="I887">
        <f>IF($H887="","",$A887&amp;"|"&amp;RIGHT("000000"&amp;$H887,6))</f>
        <v/>
      </c>
      <c r="J887">
        <f>IF(OR($B887&lt;&gt;2,$G887=""),"",COUNTIFS(LdAParty,$A887,LdAType,2,LdAKey,"&lt;"&amp;$G887)+1)</f>
        <v/>
      </c>
      <c r="K887">
        <f>IF($J887="","",$A887&amp;"|"&amp;RIGHT("000000"&amp;$J887,6))</f>
        <v/>
      </c>
      <c r="L887">
        <f>IF($A887="","",IF(Wages!$G890="",0,Wages!$G890))</f>
        <v/>
      </c>
      <c r="M887">
        <f>IF($A887="","",Wages!$J890)</f>
        <v/>
      </c>
      <c r="N887">
        <f>IF($A887="","",Wages!$D890)</f>
        <v/>
      </c>
      <c r="P887">
        <f>IF(OR(Shares!$B890="",Shares!$C890=""),"",Shares!$C890)</f>
        <v/>
      </c>
      <c r="Q887">
        <f>IF($P887="","",Shares!$B890)</f>
        <v/>
      </c>
      <c r="R887">
        <f>IF($P887="","",IFERROR(INDEX(WageParty,MATCH($Q887,WageIds,0)),""))</f>
        <v/>
      </c>
      <c r="S887">
        <f>IF($P887="","",IFERROR(INDEX($F$6:$F$2005,MATCH($Q887,WageIds,0)),""))</f>
        <v/>
      </c>
      <c r="T887">
        <f>IF(OR($P887="",$S887="",$S887="نامعتبر"),"",LEFT($S887,4)&amp;MID($S887,6,2)&amp;RIGHT($S887,2)&amp;"0000"&amp;"|"&amp;"2"&amp;RIGHT("00000"&amp;882,5))</f>
        <v/>
      </c>
      <c r="U887">
        <f>IF($T887="","",COUNTIFS(LdAParty,$P887,LdAType,1,LdAKey,"&lt;"&amp;$T887)+COUNTIFS(LdBMember,$P887,LdBKey,"&lt;"&amp;$T887)+COUNTIFS(LdCParty,$P887,LdCKey,"&lt;"&amp;$T887)+1)</f>
        <v/>
      </c>
      <c r="V887">
        <f>IF($U887="","",$P887&amp;"|"&amp;RIGHT("000000"&amp;$U887,6))</f>
        <v/>
      </c>
      <c r="W887">
        <f>IF($T887="","",COUNTIFS(LdBGroup,$R887,LdBKey,"&lt;"&amp;$T887)+1)</f>
        <v/>
      </c>
      <c r="X887">
        <f>IF($W887="","",$R887&amp;"|"&amp;RIGHT("000000"&amp;$W887,6))</f>
        <v/>
      </c>
      <c r="Y887">
        <f>IF($P887="","",IF(Shares!$E890="",0,Shares!$E890))</f>
        <v/>
      </c>
      <c r="Z887">
        <f>IF($P887="","",Shares!$H890)</f>
        <v/>
      </c>
      <c r="AE887">
        <f>IF(OR(Sync!$S887="",Sync!$P887=""),"",Sync!$S887)</f>
        <v/>
      </c>
      <c r="AF887">
        <f>IF($AE887="","",IF(ISNUMBER(Sync!$P887),IF(AND(Sync!$P887&gt;=10000101,Sync!$P887&lt;=99991231),INT(Sync!$P887/10000),""),IFERROR(VALUE(TRIM(LEFT(Sync!$P887,FIND("/",Sync!$P887)-1))),"")))</f>
        <v/>
      </c>
      <c r="AG887">
        <f>IF(OR($AE887="",$AF887=""),"",IF(ISNUMBER(Sync!$P887),INT(MOD(Sync!$P887,10000)/100),IFERROR(VALUE(TRIM(LEFT(MID(Sync!$P887,FIND("/",Sync!$P887)+1,20),FIND("/",MID(Sync!$P887,FIND("/",Sync!$P887)+1,20))-1))),"")))</f>
        <v/>
      </c>
      <c r="AH887">
        <f>IF(OR($AE887="",$AF887=""),"",IF(ISNUMBER(Sync!$P887),MOD(Sync!$P887,100),IFERROR(VALUE(TRIM(MID(MID(Sync!$P887,FIND("/",Sync!$P887)+1,20),FIND("/",MID(Sync!$P887,FIND("/",Sync!$P887)+1,20))+1,20))),"")))</f>
        <v/>
      </c>
      <c r="AI887">
        <f>IF($AE887="","",IF(OR($AF887="",$AG887="",$AH887="",$AF887&lt;1300,$AF887&gt;1500,$AG887&lt;1,$AG887&gt;12,$AH887&lt;1,$AH887&gt;31),"نامعتبر",RIGHT("0000"&amp;$AF887,4)&amp;"/"&amp;RIGHT("00"&amp;$AG887,2)&amp;"/"&amp;RIGHT("00"&amp;$AH887,2)))</f>
        <v/>
      </c>
      <c r="AJ887">
        <f>IF($AE887="","",IF(Sync!$Q887="","0000",IF(AND(ISNUMBER(Sync!$Q887),Sync!$Q887&gt;=0,Sync!$Q887&lt;1),RIGHT("00"&amp;HOUR(Sync!$Q887),2)&amp;RIGHT("00"&amp;MINUTE(Sync!$Q887),2),IFERROR(RIGHT("00"&amp;VALUE(LEFT(Sync!$Q887,FIND(":",Sync!$Q887)-1)),2)&amp;RIGHT("00"&amp;VALUE(MID(Sync!$Q887,FIND(":",Sync!$Q887)+1,2)),2),"0000"))))</f>
        <v/>
      </c>
      <c r="AK887">
        <f>IF(OR($AE887="",$AI887="",$AI887="نامعتبر"),"",LEFT($AI887,4)&amp;MID($AI887,6,2)&amp;RIGHT($AI887,2)&amp;$AJ887&amp;"|"&amp;"3"&amp;RIGHT("00000"&amp;882,5))</f>
        <v/>
      </c>
      <c r="AL887">
        <f>IF($AK887="","",COUNTIFS(LdAParty,$AE887,LdAType,1,LdAKey,"&lt;"&amp;$AK887)+COUNTIFS(LdBMember,$AE887,LdBKey,"&lt;"&amp;$AK887)+COUNTIFS(LdCParty,$AE887,LdCKey,"&lt;"&amp;$AK887)+1)</f>
        <v/>
      </c>
      <c r="AM887">
        <f>IF($AL887="","",$AE887&amp;"|"&amp;RIGHT("000000"&amp;$AL887,6))</f>
        <v/>
      </c>
      <c r="AN887">
        <f>IF($AE887="","",IF(Sync!$W887="",0,Sync!$W887))</f>
        <v/>
      </c>
      <c r="AO887">
        <f>IF($AE887="","",IF(Sync!$X887="",0,Sync!$X887))</f>
        <v/>
      </c>
      <c r="AP887">
        <f>IF($AE887="","",Sync!$R887)</f>
        <v/>
      </c>
      <c r="AQ887">
        <f>IF($AE887="","",Sync!$Y887)</f>
        <v/>
      </c>
    </row>
    <row r="888">
      <c r="A888">
        <f>IF(OR(Wages!$B891="",Wages!$E891=""),"",Wages!$E891)</f>
        <v/>
      </c>
      <c r="B888">
        <f>IF($A888="","",IF(Wages!$C891="دستمزد گروهی",2,1))</f>
        <v/>
      </c>
      <c r="C888">
        <f>IF($A888="","",IF(ISNUMBER(Wages!$B891),IF(AND(Wages!$B891&gt;=10000101,Wages!$B891&lt;=99991231),INT(Wages!$B891/10000),""),IFERROR(VALUE(TRIM(LEFT(Wages!$B891,FIND("/",Wages!$B891)-1))),"")))</f>
        <v/>
      </c>
      <c r="D888">
        <f>IF(OR($A888="",$C888=""),"",IF(ISNUMBER(Wages!$B891),INT(MOD(Wages!$B891,10000)/100),IFERROR(VALUE(TRIM(LEFT(MID(Wages!$B891,FIND("/",Wages!$B891)+1,20),FIND("/",MID(Wages!$B891,FIND("/",Wages!$B891)+1,20))-1))),"")))</f>
        <v/>
      </c>
      <c r="E888">
        <f>IF(OR($A888="",$C888=""),"",IF(ISNUMBER(Wages!$B891),MOD(Wages!$B891,100),IFERROR(VALUE(TRIM(MID(MID(Wages!$B891,FIND("/",Wages!$B891)+1,20),FIND("/",MID(Wages!$B891,FIND("/",Wages!$B891)+1,20))+1,20))),"")))</f>
        <v/>
      </c>
      <c r="F888">
        <f>IF($A888="","",IF(OR($C888="",$D888="",$E888="",$C888&lt;1300,$C888&gt;1500,$D888&lt;1,$D888&gt;12,$E888&lt;1,$E888&gt;31),"نامعتبر",RIGHT("0000"&amp;$C888,4)&amp;"/"&amp;RIGHT("00"&amp;$D888,2)&amp;"/"&amp;RIGHT("00"&amp;$E888,2)))</f>
        <v/>
      </c>
      <c r="G888">
        <f>IF(OR($A888="",$F888="",$F888="نامعتبر"),"",LEFT($F888,4)&amp;MID($F888,6,2)&amp;RIGHT($F888,2)&amp;"0000"&amp;"|"&amp;"1"&amp;RIGHT("00000"&amp;883,5))</f>
        <v/>
      </c>
      <c r="H888">
        <f>IF(OR($B888&lt;&gt;1,$G888=""),"",COUNTIFS(LdAParty,$A888,LdAType,1,LdAKey,"&lt;"&amp;$G888)+COUNTIFS(LdBMember,$A888,LdBKey,"&lt;"&amp;$G888)+COUNTIFS(LdCParty,$A888,LdCKey,"&lt;"&amp;$G888)+1)</f>
        <v/>
      </c>
      <c r="I888">
        <f>IF($H888="","",$A888&amp;"|"&amp;RIGHT("000000"&amp;$H888,6))</f>
        <v/>
      </c>
      <c r="J888">
        <f>IF(OR($B888&lt;&gt;2,$G888=""),"",COUNTIFS(LdAParty,$A888,LdAType,2,LdAKey,"&lt;"&amp;$G888)+1)</f>
        <v/>
      </c>
      <c r="K888">
        <f>IF($J888="","",$A888&amp;"|"&amp;RIGHT("000000"&amp;$J888,6))</f>
        <v/>
      </c>
      <c r="L888">
        <f>IF($A888="","",IF(Wages!$G891="",0,Wages!$G891))</f>
        <v/>
      </c>
      <c r="M888">
        <f>IF($A888="","",Wages!$J891)</f>
        <v/>
      </c>
      <c r="N888">
        <f>IF($A888="","",Wages!$D891)</f>
        <v/>
      </c>
      <c r="P888">
        <f>IF(OR(Shares!$B891="",Shares!$C891=""),"",Shares!$C891)</f>
        <v/>
      </c>
      <c r="Q888">
        <f>IF($P888="","",Shares!$B891)</f>
        <v/>
      </c>
      <c r="R888">
        <f>IF($P888="","",IFERROR(INDEX(WageParty,MATCH($Q888,WageIds,0)),""))</f>
        <v/>
      </c>
      <c r="S888">
        <f>IF($P888="","",IFERROR(INDEX($F$6:$F$2005,MATCH($Q888,WageIds,0)),""))</f>
        <v/>
      </c>
      <c r="T888">
        <f>IF(OR($P888="",$S888="",$S888="نامعتبر"),"",LEFT($S888,4)&amp;MID($S888,6,2)&amp;RIGHT($S888,2)&amp;"0000"&amp;"|"&amp;"2"&amp;RIGHT("00000"&amp;883,5))</f>
        <v/>
      </c>
      <c r="U888">
        <f>IF($T888="","",COUNTIFS(LdAParty,$P888,LdAType,1,LdAKey,"&lt;"&amp;$T888)+COUNTIFS(LdBMember,$P888,LdBKey,"&lt;"&amp;$T888)+COUNTIFS(LdCParty,$P888,LdCKey,"&lt;"&amp;$T888)+1)</f>
        <v/>
      </c>
      <c r="V888">
        <f>IF($U888="","",$P888&amp;"|"&amp;RIGHT("000000"&amp;$U888,6))</f>
        <v/>
      </c>
      <c r="W888">
        <f>IF($T888="","",COUNTIFS(LdBGroup,$R888,LdBKey,"&lt;"&amp;$T888)+1)</f>
        <v/>
      </c>
      <c r="X888">
        <f>IF($W888="","",$R888&amp;"|"&amp;RIGHT("000000"&amp;$W888,6))</f>
        <v/>
      </c>
      <c r="Y888">
        <f>IF($P888="","",IF(Shares!$E891="",0,Shares!$E891))</f>
        <v/>
      </c>
      <c r="Z888">
        <f>IF($P888="","",Shares!$H891)</f>
        <v/>
      </c>
      <c r="AE888">
        <f>IF(OR(Sync!$S888="",Sync!$P888=""),"",Sync!$S888)</f>
        <v/>
      </c>
      <c r="AF888">
        <f>IF($AE888="","",IF(ISNUMBER(Sync!$P888),IF(AND(Sync!$P888&gt;=10000101,Sync!$P888&lt;=99991231),INT(Sync!$P888/10000),""),IFERROR(VALUE(TRIM(LEFT(Sync!$P888,FIND("/",Sync!$P888)-1))),"")))</f>
        <v/>
      </c>
      <c r="AG888">
        <f>IF(OR($AE888="",$AF888=""),"",IF(ISNUMBER(Sync!$P888),INT(MOD(Sync!$P888,10000)/100),IFERROR(VALUE(TRIM(LEFT(MID(Sync!$P888,FIND("/",Sync!$P888)+1,20),FIND("/",MID(Sync!$P888,FIND("/",Sync!$P888)+1,20))-1))),"")))</f>
        <v/>
      </c>
      <c r="AH888">
        <f>IF(OR($AE888="",$AF888=""),"",IF(ISNUMBER(Sync!$P888),MOD(Sync!$P888,100),IFERROR(VALUE(TRIM(MID(MID(Sync!$P888,FIND("/",Sync!$P888)+1,20),FIND("/",MID(Sync!$P888,FIND("/",Sync!$P888)+1,20))+1,20))),"")))</f>
        <v/>
      </c>
      <c r="AI888">
        <f>IF($AE888="","",IF(OR($AF888="",$AG888="",$AH888="",$AF888&lt;1300,$AF888&gt;1500,$AG888&lt;1,$AG888&gt;12,$AH888&lt;1,$AH888&gt;31),"نامعتبر",RIGHT("0000"&amp;$AF888,4)&amp;"/"&amp;RIGHT("00"&amp;$AG888,2)&amp;"/"&amp;RIGHT("00"&amp;$AH888,2)))</f>
        <v/>
      </c>
      <c r="AJ888">
        <f>IF($AE888="","",IF(Sync!$Q888="","0000",IF(AND(ISNUMBER(Sync!$Q888),Sync!$Q888&gt;=0,Sync!$Q888&lt;1),RIGHT("00"&amp;HOUR(Sync!$Q888),2)&amp;RIGHT("00"&amp;MINUTE(Sync!$Q888),2),IFERROR(RIGHT("00"&amp;VALUE(LEFT(Sync!$Q888,FIND(":",Sync!$Q888)-1)),2)&amp;RIGHT("00"&amp;VALUE(MID(Sync!$Q888,FIND(":",Sync!$Q888)+1,2)),2),"0000"))))</f>
        <v/>
      </c>
      <c r="AK888">
        <f>IF(OR($AE888="",$AI888="",$AI888="نامعتبر"),"",LEFT($AI888,4)&amp;MID($AI888,6,2)&amp;RIGHT($AI888,2)&amp;$AJ888&amp;"|"&amp;"3"&amp;RIGHT("00000"&amp;883,5))</f>
        <v/>
      </c>
      <c r="AL888">
        <f>IF($AK888="","",COUNTIFS(LdAParty,$AE888,LdAType,1,LdAKey,"&lt;"&amp;$AK888)+COUNTIFS(LdBMember,$AE888,LdBKey,"&lt;"&amp;$AK888)+COUNTIFS(LdCParty,$AE888,LdCKey,"&lt;"&amp;$AK888)+1)</f>
        <v/>
      </c>
      <c r="AM888">
        <f>IF($AL888="","",$AE888&amp;"|"&amp;RIGHT("000000"&amp;$AL888,6))</f>
        <v/>
      </c>
      <c r="AN888">
        <f>IF($AE888="","",IF(Sync!$W888="",0,Sync!$W888))</f>
        <v/>
      </c>
      <c r="AO888">
        <f>IF($AE888="","",IF(Sync!$X888="",0,Sync!$X888))</f>
        <v/>
      </c>
      <c r="AP888">
        <f>IF($AE888="","",Sync!$R888)</f>
        <v/>
      </c>
      <c r="AQ888">
        <f>IF($AE888="","",Sync!$Y888)</f>
        <v/>
      </c>
    </row>
    <row r="889">
      <c r="A889">
        <f>IF(OR(Wages!$B892="",Wages!$E892=""),"",Wages!$E892)</f>
        <v/>
      </c>
      <c r="B889">
        <f>IF($A889="","",IF(Wages!$C892="دستمزد گروهی",2,1))</f>
        <v/>
      </c>
      <c r="C889">
        <f>IF($A889="","",IF(ISNUMBER(Wages!$B892),IF(AND(Wages!$B892&gt;=10000101,Wages!$B892&lt;=99991231),INT(Wages!$B892/10000),""),IFERROR(VALUE(TRIM(LEFT(Wages!$B892,FIND("/",Wages!$B892)-1))),"")))</f>
        <v/>
      </c>
      <c r="D889">
        <f>IF(OR($A889="",$C889=""),"",IF(ISNUMBER(Wages!$B892),INT(MOD(Wages!$B892,10000)/100),IFERROR(VALUE(TRIM(LEFT(MID(Wages!$B892,FIND("/",Wages!$B892)+1,20),FIND("/",MID(Wages!$B892,FIND("/",Wages!$B892)+1,20))-1))),"")))</f>
        <v/>
      </c>
      <c r="E889">
        <f>IF(OR($A889="",$C889=""),"",IF(ISNUMBER(Wages!$B892),MOD(Wages!$B892,100),IFERROR(VALUE(TRIM(MID(MID(Wages!$B892,FIND("/",Wages!$B892)+1,20),FIND("/",MID(Wages!$B892,FIND("/",Wages!$B892)+1,20))+1,20))),"")))</f>
        <v/>
      </c>
      <c r="F889">
        <f>IF($A889="","",IF(OR($C889="",$D889="",$E889="",$C889&lt;1300,$C889&gt;1500,$D889&lt;1,$D889&gt;12,$E889&lt;1,$E889&gt;31),"نامعتبر",RIGHT("0000"&amp;$C889,4)&amp;"/"&amp;RIGHT("00"&amp;$D889,2)&amp;"/"&amp;RIGHT("00"&amp;$E889,2)))</f>
        <v/>
      </c>
      <c r="G889">
        <f>IF(OR($A889="",$F889="",$F889="نامعتبر"),"",LEFT($F889,4)&amp;MID($F889,6,2)&amp;RIGHT($F889,2)&amp;"0000"&amp;"|"&amp;"1"&amp;RIGHT("00000"&amp;884,5))</f>
        <v/>
      </c>
      <c r="H889">
        <f>IF(OR($B889&lt;&gt;1,$G889=""),"",COUNTIFS(LdAParty,$A889,LdAType,1,LdAKey,"&lt;"&amp;$G889)+COUNTIFS(LdBMember,$A889,LdBKey,"&lt;"&amp;$G889)+COUNTIFS(LdCParty,$A889,LdCKey,"&lt;"&amp;$G889)+1)</f>
        <v/>
      </c>
      <c r="I889">
        <f>IF($H889="","",$A889&amp;"|"&amp;RIGHT("000000"&amp;$H889,6))</f>
        <v/>
      </c>
      <c r="J889">
        <f>IF(OR($B889&lt;&gt;2,$G889=""),"",COUNTIFS(LdAParty,$A889,LdAType,2,LdAKey,"&lt;"&amp;$G889)+1)</f>
        <v/>
      </c>
      <c r="K889">
        <f>IF($J889="","",$A889&amp;"|"&amp;RIGHT("000000"&amp;$J889,6))</f>
        <v/>
      </c>
      <c r="L889">
        <f>IF($A889="","",IF(Wages!$G892="",0,Wages!$G892))</f>
        <v/>
      </c>
      <c r="M889">
        <f>IF($A889="","",Wages!$J892)</f>
        <v/>
      </c>
      <c r="N889">
        <f>IF($A889="","",Wages!$D892)</f>
        <v/>
      </c>
      <c r="P889">
        <f>IF(OR(Shares!$B892="",Shares!$C892=""),"",Shares!$C892)</f>
        <v/>
      </c>
      <c r="Q889">
        <f>IF($P889="","",Shares!$B892)</f>
        <v/>
      </c>
      <c r="R889">
        <f>IF($P889="","",IFERROR(INDEX(WageParty,MATCH($Q889,WageIds,0)),""))</f>
        <v/>
      </c>
      <c r="S889">
        <f>IF($P889="","",IFERROR(INDEX($F$6:$F$2005,MATCH($Q889,WageIds,0)),""))</f>
        <v/>
      </c>
      <c r="T889">
        <f>IF(OR($P889="",$S889="",$S889="نامعتبر"),"",LEFT($S889,4)&amp;MID($S889,6,2)&amp;RIGHT($S889,2)&amp;"0000"&amp;"|"&amp;"2"&amp;RIGHT("00000"&amp;884,5))</f>
        <v/>
      </c>
      <c r="U889">
        <f>IF($T889="","",COUNTIFS(LdAParty,$P889,LdAType,1,LdAKey,"&lt;"&amp;$T889)+COUNTIFS(LdBMember,$P889,LdBKey,"&lt;"&amp;$T889)+COUNTIFS(LdCParty,$P889,LdCKey,"&lt;"&amp;$T889)+1)</f>
        <v/>
      </c>
      <c r="V889">
        <f>IF($U889="","",$P889&amp;"|"&amp;RIGHT("000000"&amp;$U889,6))</f>
        <v/>
      </c>
      <c r="W889">
        <f>IF($T889="","",COUNTIFS(LdBGroup,$R889,LdBKey,"&lt;"&amp;$T889)+1)</f>
        <v/>
      </c>
      <c r="X889">
        <f>IF($W889="","",$R889&amp;"|"&amp;RIGHT("000000"&amp;$W889,6))</f>
        <v/>
      </c>
      <c r="Y889">
        <f>IF($P889="","",IF(Shares!$E892="",0,Shares!$E892))</f>
        <v/>
      </c>
      <c r="Z889">
        <f>IF($P889="","",Shares!$H892)</f>
        <v/>
      </c>
      <c r="AE889">
        <f>IF(OR(Sync!$S889="",Sync!$P889=""),"",Sync!$S889)</f>
        <v/>
      </c>
      <c r="AF889">
        <f>IF($AE889="","",IF(ISNUMBER(Sync!$P889),IF(AND(Sync!$P889&gt;=10000101,Sync!$P889&lt;=99991231),INT(Sync!$P889/10000),""),IFERROR(VALUE(TRIM(LEFT(Sync!$P889,FIND("/",Sync!$P889)-1))),"")))</f>
        <v/>
      </c>
      <c r="AG889">
        <f>IF(OR($AE889="",$AF889=""),"",IF(ISNUMBER(Sync!$P889),INT(MOD(Sync!$P889,10000)/100),IFERROR(VALUE(TRIM(LEFT(MID(Sync!$P889,FIND("/",Sync!$P889)+1,20),FIND("/",MID(Sync!$P889,FIND("/",Sync!$P889)+1,20))-1))),"")))</f>
        <v/>
      </c>
      <c r="AH889">
        <f>IF(OR($AE889="",$AF889=""),"",IF(ISNUMBER(Sync!$P889),MOD(Sync!$P889,100),IFERROR(VALUE(TRIM(MID(MID(Sync!$P889,FIND("/",Sync!$P889)+1,20),FIND("/",MID(Sync!$P889,FIND("/",Sync!$P889)+1,20))+1,20))),"")))</f>
        <v/>
      </c>
      <c r="AI889">
        <f>IF($AE889="","",IF(OR($AF889="",$AG889="",$AH889="",$AF889&lt;1300,$AF889&gt;1500,$AG889&lt;1,$AG889&gt;12,$AH889&lt;1,$AH889&gt;31),"نامعتبر",RIGHT("0000"&amp;$AF889,4)&amp;"/"&amp;RIGHT("00"&amp;$AG889,2)&amp;"/"&amp;RIGHT("00"&amp;$AH889,2)))</f>
        <v/>
      </c>
      <c r="AJ889">
        <f>IF($AE889="","",IF(Sync!$Q889="","0000",IF(AND(ISNUMBER(Sync!$Q889),Sync!$Q889&gt;=0,Sync!$Q889&lt;1),RIGHT("00"&amp;HOUR(Sync!$Q889),2)&amp;RIGHT("00"&amp;MINUTE(Sync!$Q889),2),IFERROR(RIGHT("00"&amp;VALUE(LEFT(Sync!$Q889,FIND(":",Sync!$Q889)-1)),2)&amp;RIGHT("00"&amp;VALUE(MID(Sync!$Q889,FIND(":",Sync!$Q889)+1,2)),2),"0000"))))</f>
        <v/>
      </c>
      <c r="AK889">
        <f>IF(OR($AE889="",$AI889="",$AI889="نامعتبر"),"",LEFT($AI889,4)&amp;MID($AI889,6,2)&amp;RIGHT($AI889,2)&amp;$AJ889&amp;"|"&amp;"3"&amp;RIGHT("00000"&amp;884,5))</f>
        <v/>
      </c>
      <c r="AL889">
        <f>IF($AK889="","",COUNTIFS(LdAParty,$AE889,LdAType,1,LdAKey,"&lt;"&amp;$AK889)+COUNTIFS(LdBMember,$AE889,LdBKey,"&lt;"&amp;$AK889)+COUNTIFS(LdCParty,$AE889,LdCKey,"&lt;"&amp;$AK889)+1)</f>
        <v/>
      </c>
      <c r="AM889">
        <f>IF($AL889="","",$AE889&amp;"|"&amp;RIGHT("000000"&amp;$AL889,6))</f>
        <v/>
      </c>
      <c r="AN889">
        <f>IF($AE889="","",IF(Sync!$W889="",0,Sync!$W889))</f>
        <v/>
      </c>
      <c r="AO889">
        <f>IF($AE889="","",IF(Sync!$X889="",0,Sync!$X889))</f>
        <v/>
      </c>
      <c r="AP889">
        <f>IF($AE889="","",Sync!$R889)</f>
        <v/>
      </c>
      <c r="AQ889">
        <f>IF($AE889="","",Sync!$Y889)</f>
        <v/>
      </c>
    </row>
    <row r="890">
      <c r="A890">
        <f>IF(OR(Wages!$B893="",Wages!$E893=""),"",Wages!$E893)</f>
        <v/>
      </c>
      <c r="B890">
        <f>IF($A890="","",IF(Wages!$C893="دستمزد گروهی",2,1))</f>
        <v/>
      </c>
      <c r="C890">
        <f>IF($A890="","",IF(ISNUMBER(Wages!$B893),IF(AND(Wages!$B893&gt;=10000101,Wages!$B893&lt;=99991231),INT(Wages!$B893/10000),""),IFERROR(VALUE(TRIM(LEFT(Wages!$B893,FIND("/",Wages!$B893)-1))),"")))</f>
        <v/>
      </c>
      <c r="D890">
        <f>IF(OR($A890="",$C890=""),"",IF(ISNUMBER(Wages!$B893),INT(MOD(Wages!$B893,10000)/100),IFERROR(VALUE(TRIM(LEFT(MID(Wages!$B893,FIND("/",Wages!$B893)+1,20),FIND("/",MID(Wages!$B893,FIND("/",Wages!$B893)+1,20))-1))),"")))</f>
        <v/>
      </c>
      <c r="E890">
        <f>IF(OR($A890="",$C890=""),"",IF(ISNUMBER(Wages!$B893),MOD(Wages!$B893,100),IFERROR(VALUE(TRIM(MID(MID(Wages!$B893,FIND("/",Wages!$B893)+1,20),FIND("/",MID(Wages!$B893,FIND("/",Wages!$B893)+1,20))+1,20))),"")))</f>
        <v/>
      </c>
      <c r="F890">
        <f>IF($A890="","",IF(OR($C890="",$D890="",$E890="",$C890&lt;1300,$C890&gt;1500,$D890&lt;1,$D890&gt;12,$E890&lt;1,$E890&gt;31),"نامعتبر",RIGHT("0000"&amp;$C890,4)&amp;"/"&amp;RIGHT("00"&amp;$D890,2)&amp;"/"&amp;RIGHT("00"&amp;$E890,2)))</f>
        <v/>
      </c>
      <c r="G890">
        <f>IF(OR($A890="",$F890="",$F890="نامعتبر"),"",LEFT($F890,4)&amp;MID($F890,6,2)&amp;RIGHT($F890,2)&amp;"0000"&amp;"|"&amp;"1"&amp;RIGHT("00000"&amp;885,5))</f>
        <v/>
      </c>
      <c r="H890">
        <f>IF(OR($B890&lt;&gt;1,$G890=""),"",COUNTIFS(LdAParty,$A890,LdAType,1,LdAKey,"&lt;"&amp;$G890)+COUNTIFS(LdBMember,$A890,LdBKey,"&lt;"&amp;$G890)+COUNTIFS(LdCParty,$A890,LdCKey,"&lt;"&amp;$G890)+1)</f>
        <v/>
      </c>
      <c r="I890">
        <f>IF($H890="","",$A890&amp;"|"&amp;RIGHT("000000"&amp;$H890,6))</f>
        <v/>
      </c>
      <c r="J890">
        <f>IF(OR($B890&lt;&gt;2,$G890=""),"",COUNTIFS(LdAParty,$A890,LdAType,2,LdAKey,"&lt;"&amp;$G890)+1)</f>
        <v/>
      </c>
      <c r="K890">
        <f>IF($J890="","",$A890&amp;"|"&amp;RIGHT("000000"&amp;$J890,6))</f>
        <v/>
      </c>
      <c r="L890">
        <f>IF($A890="","",IF(Wages!$G893="",0,Wages!$G893))</f>
        <v/>
      </c>
      <c r="M890">
        <f>IF($A890="","",Wages!$J893)</f>
        <v/>
      </c>
      <c r="N890">
        <f>IF($A890="","",Wages!$D893)</f>
        <v/>
      </c>
      <c r="P890">
        <f>IF(OR(Shares!$B893="",Shares!$C893=""),"",Shares!$C893)</f>
        <v/>
      </c>
      <c r="Q890">
        <f>IF($P890="","",Shares!$B893)</f>
        <v/>
      </c>
      <c r="R890">
        <f>IF($P890="","",IFERROR(INDEX(WageParty,MATCH($Q890,WageIds,0)),""))</f>
        <v/>
      </c>
      <c r="S890">
        <f>IF($P890="","",IFERROR(INDEX($F$6:$F$2005,MATCH($Q890,WageIds,0)),""))</f>
        <v/>
      </c>
      <c r="T890">
        <f>IF(OR($P890="",$S890="",$S890="نامعتبر"),"",LEFT($S890,4)&amp;MID($S890,6,2)&amp;RIGHT($S890,2)&amp;"0000"&amp;"|"&amp;"2"&amp;RIGHT("00000"&amp;885,5))</f>
        <v/>
      </c>
      <c r="U890">
        <f>IF($T890="","",COUNTIFS(LdAParty,$P890,LdAType,1,LdAKey,"&lt;"&amp;$T890)+COUNTIFS(LdBMember,$P890,LdBKey,"&lt;"&amp;$T890)+COUNTIFS(LdCParty,$P890,LdCKey,"&lt;"&amp;$T890)+1)</f>
        <v/>
      </c>
      <c r="V890">
        <f>IF($U890="","",$P890&amp;"|"&amp;RIGHT("000000"&amp;$U890,6))</f>
        <v/>
      </c>
      <c r="W890">
        <f>IF($T890="","",COUNTIFS(LdBGroup,$R890,LdBKey,"&lt;"&amp;$T890)+1)</f>
        <v/>
      </c>
      <c r="X890">
        <f>IF($W890="","",$R890&amp;"|"&amp;RIGHT("000000"&amp;$W890,6))</f>
        <v/>
      </c>
      <c r="Y890">
        <f>IF($P890="","",IF(Shares!$E893="",0,Shares!$E893))</f>
        <v/>
      </c>
      <c r="Z890">
        <f>IF($P890="","",Shares!$H893)</f>
        <v/>
      </c>
      <c r="AE890">
        <f>IF(OR(Sync!$S890="",Sync!$P890=""),"",Sync!$S890)</f>
        <v/>
      </c>
      <c r="AF890">
        <f>IF($AE890="","",IF(ISNUMBER(Sync!$P890),IF(AND(Sync!$P890&gt;=10000101,Sync!$P890&lt;=99991231),INT(Sync!$P890/10000),""),IFERROR(VALUE(TRIM(LEFT(Sync!$P890,FIND("/",Sync!$P890)-1))),"")))</f>
        <v/>
      </c>
      <c r="AG890">
        <f>IF(OR($AE890="",$AF890=""),"",IF(ISNUMBER(Sync!$P890),INT(MOD(Sync!$P890,10000)/100),IFERROR(VALUE(TRIM(LEFT(MID(Sync!$P890,FIND("/",Sync!$P890)+1,20),FIND("/",MID(Sync!$P890,FIND("/",Sync!$P890)+1,20))-1))),"")))</f>
        <v/>
      </c>
      <c r="AH890">
        <f>IF(OR($AE890="",$AF890=""),"",IF(ISNUMBER(Sync!$P890),MOD(Sync!$P890,100),IFERROR(VALUE(TRIM(MID(MID(Sync!$P890,FIND("/",Sync!$P890)+1,20),FIND("/",MID(Sync!$P890,FIND("/",Sync!$P890)+1,20))+1,20))),"")))</f>
        <v/>
      </c>
      <c r="AI890">
        <f>IF($AE890="","",IF(OR($AF890="",$AG890="",$AH890="",$AF890&lt;1300,$AF890&gt;1500,$AG890&lt;1,$AG890&gt;12,$AH890&lt;1,$AH890&gt;31),"نامعتبر",RIGHT("0000"&amp;$AF890,4)&amp;"/"&amp;RIGHT("00"&amp;$AG890,2)&amp;"/"&amp;RIGHT("00"&amp;$AH890,2)))</f>
        <v/>
      </c>
      <c r="AJ890">
        <f>IF($AE890="","",IF(Sync!$Q890="","0000",IF(AND(ISNUMBER(Sync!$Q890),Sync!$Q890&gt;=0,Sync!$Q890&lt;1),RIGHT("00"&amp;HOUR(Sync!$Q890),2)&amp;RIGHT("00"&amp;MINUTE(Sync!$Q890),2),IFERROR(RIGHT("00"&amp;VALUE(LEFT(Sync!$Q890,FIND(":",Sync!$Q890)-1)),2)&amp;RIGHT("00"&amp;VALUE(MID(Sync!$Q890,FIND(":",Sync!$Q890)+1,2)),2),"0000"))))</f>
        <v/>
      </c>
      <c r="AK890">
        <f>IF(OR($AE890="",$AI890="",$AI890="نامعتبر"),"",LEFT($AI890,4)&amp;MID($AI890,6,2)&amp;RIGHT($AI890,2)&amp;$AJ890&amp;"|"&amp;"3"&amp;RIGHT("00000"&amp;885,5))</f>
        <v/>
      </c>
      <c r="AL890">
        <f>IF($AK890="","",COUNTIFS(LdAParty,$AE890,LdAType,1,LdAKey,"&lt;"&amp;$AK890)+COUNTIFS(LdBMember,$AE890,LdBKey,"&lt;"&amp;$AK890)+COUNTIFS(LdCParty,$AE890,LdCKey,"&lt;"&amp;$AK890)+1)</f>
        <v/>
      </c>
      <c r="AM890">
        <f>IF($AL890="","",$AE890&amp;"|"&amp;RIGHT("000000"&amp;$AL890,6))</f>
        <v/>
      </c>
      <c r="AN890">
        <f>IF($AE890="","",IF(Sync!$W890="",0,Sync!$W890))</f>
        <v/>
      </c>
      <c r="AO890">
        <f>IF($AE890="","",IF(Sync!$X890="",0,Sync!$X890))</f>
        <v/>
      </c>
      <c r="AP890">
        <f>IF($AE890="","",Sync!$R890)</f>
        <v/>
      </c>
      <c r="AQ890">
        <f>IF($AE890="","",Sync!$Y890)</f>
        <v/>
      </c>
    </row>
    <row r="891">
      <c r="A891">
        <f>IF(OR(Wages!$B894="",Wages!$E894=""),"",Wages!$E894)</f>
        <v/>
      </c>
      <c r="B891">
        <f>IF($A891="","",IF(Wages!$C894="دستمزد گروهی",2,1))</f>
        <v/>
      </c>
      <c r="C891">
        <f>IF($A891="","",IF(ISNUMBER(Wages!$B894),IF(AND(Wages!$B894&gt;=10000101,Wages!$B894&lt;=99991231),INT(Wages!$B894/10000),""),IFERROR(VALUE(TRIM(LEFT(Wages!$B894,FIND("/",Wages!$B894)-1))),"")))</f>
        <v/>
      </c>
      <c r="D891">
        <f>IF(OR($A891="",$C891=""),"",IF(ISNUMBER(Wages!$B894),INT(MOD(Wages!$B894,10000)/100),IFERROR(VALUE(TRIM(LEFT(MID(Wages!$B894,FIND("/",Wages!$B894)+1,20),FIND("/",MID(Wages!$B894,FIND("/",Wages!$B894)+1,20))-1))),"")))</f>
        <v/>
      </c>
      <c r="E891">
        <f>IF(OR($A891="",$C891=""),"",IF(ISNUMBER(Wages!$B894),MOD(Wages!$B894,100),IFERROR(VALUE(TRIM(MID(MID(Wages!$B894,FIND("/",Wages!$B894)+1,20),FIND("/",MID(Wages!$B894,FIND("/",Wages!$B894)+1,20))+1,20))),"")))</f>
        <v/>
      </c>
      <c r="F891">
        <f>IF($A891="","",IF(OR($C891="",$D891="",$E891="",$C891&lt;1300,$C891&gt;1500,$D891&lt;1,$D891&gt;12,$E891&lt;1,$E891&gt;31),"نامعتبر",RIGHT("0000"&amp;$C891,4)&amp;"/"&amp;RIGHT("00"&amp;$D891,2)&amp;"/"&amp;RIGHT("00"&amp;$E891,2)))</f>
        <v/>
      </c>
      <c r="G891">
        <f>IF(OR($A891="",$F891="",$F891="نامعتبر"),"",LEFT($F891,4)&amp;MID($F891,6,2)&amp;RIGHT($F891,2)&amp;"0000"&amp;"|"&amp;"1"&amp;RIGHT("00000"&amp;886,5))</f>
        <v/>
      </c>
      <c r="H891">
        <f>IF(OR($B891&lt;&gt;1,$G891=""),"",COUNTIFS(LdAParty,$A891,LdAType,1,LdAKey,"&lt;"&amp;$G891)+COUNTIFS(LdBMember,$A891,LdBKey,"&lt;"&amp;$G891)+COUNTIFS(LdCParty,$A891,LdCKey,"&lt;"&amp;$G891)+1)</f>
        <v/>
      </c>
      <c r="I891">
        <f>IF($H891="","",$A891&amp;"|"&amp;RIGHT("000000"&amp;$H891,6))</f>
        <v/>
      </c>
      <c r="J891">
        <f>IF(OR($B891&lt;&gt;2,$G891=""),"",COUNTIFS(LdAParty,$A891,LdAType,2,LdAKey,"&lt;"&amp;$G891)+1)</f>
        <v/>
      </c>
      <c r="K891">
        <f>IF($J891="","",$A891&amp;"|"&amp;RIGHT("000000"&amp;$J891,6))</f>
        <v/>
      </c>
      <c r="L891">
        <f>IF($A891="","",IF(Wages!$G894="",0,Wages!$G894))</f>
        <v/>
      </c>
      <c r="M891">
        <f>IF($A891="","",Wages!$J894)</f>
        <v/>
      </c>
      <c r="N891">
        <f>IF($A891="","",Wages!$D894)</f>
        <v/>
      </c>
      <c r="P891">
        <f>IF(OR(Shares!$B894="",Shares!$C894=""),"",Shares!$C894)</f>
        <v/>
      </c>
      <c r="Q891">
        <f>IF($P891="","",Shares!$B894)</f>
        <v/>
      </c>
      <c r="R891">
        <f>IF($P891="","",IFERROR(INDEX(WageParty,MATCH($Q891,WageIds,0)),""))</f>
        <v/>
      </c>
      <c r="S891">
        <f>IF($P891="","",IFERROR(INDEX($F$6:$F$2005,MATCH($Q891,WageIds,0)),""))</f>
        <v/>
      </c>
      <c r="T891">
        <f>IF(OR($P891="",$S891="",$S891="نامعتبر"),"",LEFT($S891,4)&amp;MID($S891,6,2)&amp;RIGHT($S891,2)&amp;"0000"&amp;"|"&amp;"2"&amp;RIGHT("00000"&amp;886,5))</f>
        <v/>
      </c>
      <c r="U891">
        <f>IF($T891="","",COUNTIFS(LdAParty,$P891,LdAType,1,LdAKey,"&lt;"&amp;$T891)+COUNTIFS(LdBMember,$P891,LdBKey,"&lt;"&amp;$T891)+COUNTIFS(LdCParty,$P891,LdCKey,"&lt;"&amp;$T891)+1)</f>
        <v/>
      </c>
      <c r="V891">
        <f>IF($U891="","",$P891&amp;"|"&amp;RIGHT("000000"&amp;$U891,6))</f>
        <v/>
      </c>
      <c r="W891">
        <f>IF($T891="","",COUNTIFS(LdBGroup,$R891,LdBKey,"&lt;"&amp;$T891)+1)</f>
        <v/>
      </c>
      <c r="X891">
        <f>IF($W891="","",$R891&amp;"|"&amp;RIGHT("000000"&amp;$W891,6))</f>
        <v/>
      </c>
      <c r="Y891">
        <f>IF($P891="","",IF(Shares!$E894="",0,Shares!$E894))</f>
        <v/>
      </c>
      <c r="Z891">
        <f>IF($P891="","",Shares!$H894)</f>
        <v/>
      </c>
      <c r="AE891">
        <f>IF(OR(Sync!$S891="",Sync!$P891=""),"",Sync!$S891)</f>
        <v/>
      </c>
      <c r="AF891">
        <f>IF($AE891="","",IF(ISNUMBER(Sync!$P891),IF(AND(Sync!$P891&gt;=10000101,Sync!$P891&lt;=99991231),INT(Sync!$P891/10000),""),IFERROR(VALUE(TRIM(LEFT(Sync!$P891,FIND("/",Sync!$P891)-1))),"")))</f>
        <v/>
      </c>
      <c r="AG891">
        <f>IF(OR($AE891="",$AF891=""),"",IF(ISNUMBER(Sync!$P891),INT(MOD(Sync!$P891,10000)/100),IFERROR(VALUE(TRIM(LEFT(MID(Sync!$P891,FIND("/",Sync!$P891)+1,20),FIND("/",MID(Sync!$P891,FIND("/",Sync!$P891)+1,20))-1))),"")))</f>
        <v/>
      </c>
      <c r="AH891">
        <f>IF(OR($AE891="",$AF891=""),"",IF(ISNUMBER(Sync!$P891),MOD(Sync!$P891,100),IFERROR(VALUE(TRIM(MID(MID(Sync!$P891,FIND("/",Sync!$P891)+1,20),FIND("/",MID(Sync!$P891,FIND("/",Sync!$P891)+1,20))+1,20))),"")))</f>
        <v/>
      </c>
      <c r="AI891">
        <f>IF($AE891="","",IF(OR($AF891="",$AG891="",$AH891="",$AF891&lt;1300,$AF891&gt;1500,$AG891&lt;1,$AG891&gt;12,$AH891&lt;1,$AH891&gt;31),"نامعتبر",RIGHT("0000"&amp;$AF891,4)&amp;"/"&amp;RIGHT("00"&amp;$AG891,2)&amp;"/"&amp;RIGHT("00"&amp;$AH891,2)))</f>
        <v/>
      </c>
      <c r="AJ891">
        <f>IF($AE891="","",IF(Sync!$Q891="","0000",IF(AND(ISNUMBER(Sync!$Q891),Sync!$Q891&gt;=0,Sync!$Q891&lt;1),RIGHT("00"&amp;HOUR(Sync!$Q891),2)&amp;RIGHT("00"&amp;MINUTE(Sync!$Q891),2),IFERROR(RIGHT("00"&amp;VALUE(LEFT(Sync!$Q891,FIND(":",Sync!$Q891)-1)),2)&amp;RIGHT("00"&amp;VALUE(MID(Sync!$Q891,FIND(":",Sync!$Q891)+1,2)),2),"0000"))))</f>
        <v/>
      </c>
      <c r="AK891">
        <f>IF(OR($AE891="",$AI891="",$AI891="نامعتبر"),"",LEFT($AI891,4)&amp;MID($AI891,6,2)&amp;RIGHT($AI891,2)&amp;$AJ891&amp;"|"&amp;"3"&amp;RIGHT("00000"&amp;886,5))</f>
        <v/>
      </c>
      <c r="AL891">
        <f>IF($AK891="","",COUNTIFS(LdAParty,$AE891,LdAType,1,LdAKey,"&lt;"&amp;$AK891)+COUNTIFS(LdBMember,$AE891,LdBKey,"&lt;"&amp;$AK891)+COUNTIFS(LdCParty,$AE891,LdCKey,"&lt;"&amp;$AK891)+1)</f>
        <v/>
      </c>
      <c r="AM891">
        <f>IF($AL891="","",$AE891&amp;"|"&amp;RIGHT("000000"&amp;$AL891,6))</f>
        <v/>
      </c>
      <c r="AN891">
        <f>IF($AE891="","",IF(Sync!$W891="",0,Sync!$W891))</f>
        <v/>
      </c>
      <c r="AO891">
        <f>IF($AE891="","",IF(Sync!$X891="",0,Sync!$X891))</f>
        <v/>
      </c>
      <c r="AP891">
        <f>IF($AE891="","",Sync!$R891)</f>
        <v/>
      </c>
      <c r="AQ891">
        <f>IF($AE891="","",Sync!$Y891)</f>
        <v/>
      </c>
    </row>
    <row r="892">
      <c r="A892">
        <f>IF(OR(Wages!$B895="",Wages!$E895=""),"",Wages!$E895)</f>
        <v/>
      </c>
      <c r="B892">
        <f>IF($A892="","",IF(Wages!$C895="دستمزد گروهی",2,1))</f>
        <v/>
      </c>
      <c r="C892">
        <f>IF($A892="","",IF(ISNUMBER(Wages!$B895),IF(AND(Wages!$B895&gt;=10000101,Wages!$B895&lt;=99991231),INT(Wages!$B895/10000),""),IFERROR(VALUE(TRIM(LEFT(Wages!$B895,FIND("/",Wages!$B895)-1))),"")))</f>
        <v/>
      </c>
      <c r="D892">
        <f>IF(OR($A892="",$C892=""),"",IF(ISNUMBER(Wages!$B895),INT(MOD(Wages!$B895,10000)/100),IFERROR(VALUE(TRIM(LEFT(MID(Wages!$B895,FIND("/",Wages!$B895)+1,20),FIND("/",MID(Wages!$B895,FIND("/",Wages!$B895)+1,20))-1))),"")))</f>
        <v/>
      </c>
      <c r="E892">
        <f>IF(OR($A892="",$C892=""),"",IF(ISNUMBER(Wages!$B895),MOD(Wages!$B895,100),IFERROR(VALUE(TRIM(MID(MID(Wages!$B895,FIND("/",Wages!$B895)+1,20),FIND("/",MID(Wages!$B895,FIND("/",Wages!$B895)+1,20))+1,20))),"")))</f>
        <v/>
      </c>
      <c r="F892">
        <f>IF($A892="","",IF(OR($C892="",$D892="",$E892="",$C892&lt;1300,$C892&gt;1500,$D892&lt;1,$D892&gt;12,$E892&lt;1,$E892&gt;31),"نامعتبر",RIGHT("0000"&amp;$C892,4)&amp;"/"&amp;RIGHT("00"&amp;$D892,2)&amp;"/"&amp;RIGHT("00"&amp;$E892,2)))</f>
        <v/>
      </c>
      <c r="G892">
        <f>IF(OR($A892="",$F892="",$F892="نامعتبر"),"",LEFT($F892,4)&amp;MID($F892,6,2)&amp;RIGHT($F892,2)&amp;"0000"&amp;"|"&amp;"1"&amp;RIGHT("00000"&amp;887,5))</f>
        <v/>
      </c>
      <c r="H892">
        <f>IF(OR($B892&lt;&gt;1,$G892=""),"",COUNTIFS(LdAParty,$A892,LdAType,1,LdAKey,"&lt;"&amp;$G892)+COUNTIFS(LdBMember,$A892,LdBKey,"&lt;"&amp;$G892)+COUNTIFS(LdCParty,$A892,LdCKey,"&lt;"&amp;$G892)+1)</f>
        <v/>
      </c>
      <c r="I892">
        <f>IF($H892="","",$A892&amp;"|"&amp;RIGHT("000000"&amp;$H892,6))</f>
        <v/>
      </c>
      <c r="J892">
        <f>IF(OR($B892&lt;&gt;2,$G892=""),"",COUNTIFS(LdAParty,$A892,LdAType,2,LdAKey,"&lt;"&amp;$G892)+1)</f>
        <v/>
      </c>
      <c r="K892">
        <f>IF($J892="","",$A892&amp;"|"&amp;RIGHT("000000"&amp;$J892,6))</f>
        <v/>
      </c>
      <c r="L892">
        <f>IF($A892="","",IF(Wages!$G895="",0,Wages!$G895))</f>
        <v/>
      </c>
      <c r="M892">
        <f>IF($A892="","",Wages!$J895)</f>
        <v/>
      </c>
      <c r="N892">
        <f>IF($A892="","",Wages!$D895)</f>
        <v/>
      </c>
      <c r="P892">
        <f>IF(OR(Shares!$B895="",Shares!$C895=""),"",Shares!$C895)</f>
        <v/>
      </c>
      <c r="Q892">
        <f>IF($P892="","",Shares!$B895)</f>
        <v/>
      </c>
      <c r="R892">
        <f>IF($P892="","",IFERROR(INDEX(WageParty,MATCH($Q892,WageIds,0)),""))</f>
        <v/>
      </c>
      <c r="S892">
        <f>IF($P892="","",IFERROR(INDEX($F$6:$F$2005,MATCH($Q892,WageIds,0)),""))</f>
        <v/>
      </c>
      <c r="T892">
        <f>IF(OR($P892="",$S892="",$S892="نامعتبر"),"",LEFT($S892,4)&amp;MID($S892,6,2)&amp;RIGHT($S892,2)&amp;"0000"&amp;"|"&amp;"2"&amp;RIGHT("00000"&amp;887,5))</f>
        <v/>
      </c>
      <c r="U892">
        <f>IF($T892="","",COUNTIFS(LdAParty,$P892,LdAType,1,LdAKey,"&lt;"&amp;$T892)+COUNTIFS(LdBMember,$P892,LdBKey,"&lt;"&amp;$T892)+COUNTIFS(LdCParty,$P892,LdCKey,"&lt;"&amp;$T892)+1)</f>
        <v/>
      </c>
      <c r="V892">
        <f>IF($U892="","",$P892&amp;"|"&amp;RIGHT("000000"&amp;$U892,6))</f>
        <v/>
      </c>
      <c r="W892">
        <f>IF($T892="","",COUNTIFS(LdBGroup,$R892,LdBKey,"&lt;"&amp;$T892)+1)</f>
        <v/>
      </c>
      <c r="X892">
        <f>IF($W892="","",$R892&amp;"|"&amp;RIGHT("000000"&amp;$W892,6))</f>
        <v/>
      </c>
      <c r="Y892">
        <f>IF($P892="","",IF(Shares!$E895="",0,Shares!$E895))</f>
        <v/>
      </c>
      <c r="Z892">
        <f>IF($P892="","",Shares!$H895)</f>
        <v/>
      </c>
      <c r="AE892">
        <f>IF(OR(Sync!$S892="",Sync!$P892=""),"",Sync!$S892)</f>
        <v/>
      </c>
      <c r="AF892">
        <f>IF($AE892="","",IF(ISNUMBER(Sync!$P892),IF(AND(Sync!$P892&gt;=10000101,Sync!$P892&lt;=99991231),INT(Sync!$P892/10000),""),IFERROR(VALUE(TRIM(LEFT(Sync!$P892,FIND("/",Sync!$P892)-1))),"")))</f>
        <v/>
      </c>
      <c r="AG892">
        <f>IF(OR($AE892="",$AF892=""),"",IF(ISNUMBER(Sync!$P892),INT(MOD(Sync!$P892,10000)/100),IFERROR(VALUE(TRIM(LEFT(MID(Sync!$P892,FIND("/",Sync!$P892)+1,20),FIND("/",MID(Sync!$P892,FIND("/",Sync!$P892)+1,20))-1))),"")))</f>
        <v/>
      </c>
      <c r="AH892">
        <f>IF(OR($AE892="",$AF892=""),"",IF(ISNUMBER(Sync!$P892),MOD(Sync!$P892,100),IFERROR(VALUE(TRIM(MID(MID(Sync!$P892,FIND("/",Sync!$P892)+1,20),FIND("/",MID(Sync!$P892,FIND("/",Sync!$P892)+1,20))+1,20))),"")))</f>
        <v/>
      </c>
      <c r="AI892">
        <f>IF($AE892="","",IF(OR($AF892="",$AG892="",$AH892="",$AF892&lt;1300,$AF892&gt;1500,$AG892&lt;1,$AG892&gt;12,$AH892&lt;1,$AH892&gt;31),"نامعتبر",RIGHT("0000"&amp;$AF892,4)&amp;"/"&amp;RIGHT("00"&amp;$AG892,2)&amp;"/"&amp;RIGHT("00"&amp;$AH892,2)))</f>
        <v/>
      </c>
      <c r="AJ892">
        <f>IF($AE892="","",IF(Sync!$Q892="","0000",IF(AND(ISNUMBER(Sync!$Q892),Sync!$Q892&gt;=0,Sync!$Q892&lt;1),RIGHT("00"&amp;HOUR(Sync!$Q892),2)&amp;RIGHT("00"&amp;MINUTE(Sync!$Q892),2),IFERROR(RIGHT("00"&amp;VALUE(LEFT(Sync!$Q892,FIND(":",Sync!$Q892)-1)),2)&amp;RIGHT("00"&amp;VALUE(MID(Sync!$Q892,FIND(":",Sync!$Q892)+1,2)),2),"0000"))))</f>
        <v/>
      </c>
      <c r="AK892">
        <f>IF(OR($AE892="",$AI892="",$AI892="نامعتبر"),"",LEFT($AI892,4)&amp;MID($AI892,6,2)&amp;RIGHT($AI892,2)&amp;$AJ892&amp;"|"&amp;"3"&amp;RIGHT("00000"&amp;887,5))</f>
        <v/>
      </c>
      <c r="AL892">
        <f>IF($AK892="","",COUNTIFS(LdAParty,$AE892,LdAType,1,LdAKey,"&lt;"&amp;$AK892)+COUNTIFS(LdBMember,$AE892,LdBKey,"&lt;"&amp;$AK892)+COUNTIFS(LdCParty,$AE892,LdCKey,"&lt;"&amp;$AK892)+1)</f>
        <v/>
      </c>
      <c r="AM892">
        <f>IF($AL892="","",$AE892&amp;"|"&amp;RIGHT("000000"&amp;$AL892,6))</f>
        <v/>
      </c>
      <c r="AN892">
        <f>IF($AE892="","",IF(Sync!$W892="",0,Sync!$W892))</f>
        <v/>
      </c>
      <c r="AO892">
        <f>IF($AE892="","",IF(Sync!$X892="",0,Sync!$X892))</f>
        <v/>
      </c>
      <c r="AP892">
        <f>IF($AE892="","",Sync!$R892)</f>
        <v/>
      </c>
      <c r="AQ892">
        <f>IF($AE892="","",Sync!$Y892)</f>
        <v/>
      </c>
    </row>
    <row r="893">
      <c r="A893">
        <f>IF(OR(Wages!$B896="",Wages!$E896=""),"",Wages!$E896)</f>
        <v/>
      </c>
      <c r="B893">
        <f>IF($A893="","",IF(Wages!$C896="دستمزد گروهی",2,1))</f>
        <v/>
      </c>
      <c r="C893">
        <f>IF($A893="","",IF(ISNUMBER(Wages!$B896),IF(AND(Wages!$B896&gt;=10000101,Wages!$B896&lt;=99991231),INT(Wages!$B896/10000),""),IFERROR(VALUE(TRIM(LEFT(Wages!$B896,FIND("/",Wages!$B896)-1))),"")))</f>
        <v/>
      </c>
      <c r="D893">
        <f>IF(OR($A893="",$C893=""),"",IF(ISNUMBER(Wages!$B896),INT(MOD(Wages!$B896,10000)/100),IFERROR(VALUE(TRIM(LEFT(MID(Wages!$B896,FIND("/",Wages!$B896)+1,20),FIND("/",MID(Wages!$B896,FIND("/",Wages!$B896)+1,20))-1))),"")))</f>
        <v/>
      </c>
      <c r="E893">
        <f>IF(OR($A893="",$C893=""),"",IF(ISNUMBER(Wages!$B896),MOD(Wages!$B896,100),IFERROR(VALUE(TRIM(MID(MID(Wages!$B896,FIND("/",Wages!$B896)+1,20),FIND("/",MID(Wages!$B896,FIND("/",Wages!$B896)+1,20))+1,20))),"")))</f>
        <v/>
      </c>
      <c r="F893">
        <f>IF($A893="","",IF(OR($C893="",$D893="",$E893="",$C893&lt;1300,$C893&gt;1500,$D893&lt;1,$D893&gt;12,$E893&lt;1,$E893&gt;31),"نامعتبر",RIGHT("0000"&amp;$C893,4)&amp;"/"&amp;RIGHT("00"&amp;$D893,2)&amp;"/"&amp;RIGHT("00"&amp;$E893,2)))</f>
        <v/>
      </c>
      <c r="G893">
        <f>IF(OR($A893="",$F893="",$F893="نامعتبر"),"",LEFT($F893,4)&amp;MID($F893,6,2)&amp;RIGHT($F893,2)&amp;"0000"&amp;"|"&amp;"1"&amp;RIGHT("00000"&amp;888,5))</f>
        <v/>
      </c>
      <c r="H893">
        <f>IF(OR($B893&lt;&gt;1,$G893=""),"",COUNTIFS(LdAParty,$A893,LdAType,1,LdAKey,"&lt;"&amp;$G893)+COUNTIFS(LdBMember,$A893,LdBKey,"&lt;"&amp;$G893)+COUNTIFS(LdCParty,$A893,LdCKey,"&lt;"&amp;$G893)+1)</f>
        <v/>
      </c>
      <c r="I893">
        <f>IF($H893="","",$A893&amp;"|"&amp;RIGHT("000000"&amp;$H893,6))</f>
        <v/>
      </c>
      <c r="J893">
        <f>IF(OR($B893&lt;&gt;2,$G893=""),"",COUNTIFS(LdAParty,$A893,LdAType,2,LdAKey,"&lt;"&amp;$G893)+1)</f>
        <v/>
      </c>
      <c r="K893">
        <f>IF($J893="","",$A893&amp;"|"&amp;RIGHT("000000"&amp;$J893,6))</f>
        <v/>
      </c>
      <c r="L893">
        <f>IF($A893="","",IF(Wages!$G896="",0,Wages!$G896))</f>
        <v/>
      </c>
      <c r="M893">
        <f>IF($A893="","",Wages!$J896)</f>
        <v/>
      </c>
      <c r="N893">
        <f>IF($A893="","",Wages!$D896)</f>
        <v/>
      </c>
      <c r="P893">
        <f>IF(OR(Shares!$B896="",Shares!$C896=""),"",Shares!$C896)</f>
        <v/>
      </c>
      <c r="Q893">
        <f>IF($P893="","",Shares!$B896)</f>
        <v/>
      </c>
      <c r="R893">
        <f>IF($P893="","",IFERROR(INDEX(WageParty,MATCH($Q893,WageIds,0)),""))</f>
        <v/>
      </c>
      <c r="S893">
        <f>IF($P893="","",IFERROR(INDEX($F$6:$F$2005,MATCH($Q893,WageIds,0)),""))</f>
        <v/>
      </c>
      <c r="T893">
        <f>IF(OR($P893="",$S893="",$S893="نامعتبر"),"",LEFT($S893,4)&amp;MID($S893,6,2)&amp;RIGHT($S893,2)&amp;"0000"&amp;"|"&amp;"2"&amp;RIGHT("00000"&amp;888,5))</f>
        <v/>
      </c>
      <c r="U893">
        <f>IF($T893="","",COUNTIFS(LdAParty,$P893,LdAType,1,LdAKey,"&lt;"&amp;$T893)+COUNTIFS(LdBMember,$P893,LdBKey,"&lt;"&amp;$T893)+COUNTIFS(LdCParty,$P893,LdCKey,"&lt;"&amp;$T893)+1)</f>
        <v/>
      </c>
      <c r="V893">
        <f>IF($U893="","",$P893&amp;"|"&amp;RIGHT("000000"&amp;$U893,6))</f>
        <v/>
      </c>
      <c r="W893">
        <f>IF($T893="","",COUNTIFS(LdBGroup,$R893,LdBKey,"&lt;"&amp;$T893)+1)</f>
        <v/>
      </c>
      <c r="X893">
        <f>IF($W893="","",$R893&amp;"|"&amp;RIGHT("000000"&amp;$W893,6))</f>
        <v/>
      </c>
      <c r="Y893">
        <f>IF($P893="","",IF(Shares!$E896="",0,Shares!$E896))</f>
        <v/>
      </c>
      <c r="Z893">
        <f>IF($P893="","",Shares!$H896)</f>
        <v/>
      </c>
      <c r="AE893">
        <f>IF(OR(Sync!$S893="",Sync!$P893=""),"",Sync!$S893)</f>
        <v/>
      </c>
      <c r="AF893">
        <f>IF($AE893="","",IF(ISNUMBER(Sync!$P893),IF(AND(Sync!$P893&gt;=10000101,Sync!$P893&lt;=99991231),INT(Sync!$P893/10000),""),IFERROR(VALUE(TRIM(LEFT(Sync!$P893,FIND("/",Sync!$P893)-1))),"")))</f>
        <v/>
      </c>
      <c r="AG893">
        <f>IF(OR($AE893="",$AF893=""),"",IF(ISNUMBER(Sync!$P893),INT(MOD(Sync!$P893,10000)/100),IFERROR(VALUE(TRIM(LEFT(MID(Sync!$P893,FIND("/",Sync!$P893)+1,20),FIND("/",MID(Sync!$P893,FIND("/",Sync!$P893)+1,20))-1))),"")))</f>
        <v/>
      </c>
      <c r="AH893">
        <f>IF(OR($AE893="",$AF893=""),"",IF(ISNUMBER(Sync!$P893),MOD(Sync!$P893,100),IFERROR(VALUE(TRIM(MID(MID(Sync!$P893,FIND("/",Sync!$P893)+1,20),FIND("/",MID(Sync!$P893,FIND("/",Sync!$P893)+1,20))+1,20))),"")))</f>
        <v/>
      </c>
      <c r="AI893">
        <f>IF($AE893="","",IF(OR($AF893="",$AG893="",$AH893="",$AF893&lt;1300,$AF893&gt;1500,$AG893&lt;1,$AG893&gt;12,$AH893&lt;1,$AH893&gt;31),"نامعتبر",RIGHT("0000"&amp;$AF893,4)&amp;"/"&amp;RIGHT("00"&amp;$AG893,2)&amp;"/"&amp;RIGHT("00"&amp;$AH893,2)))</f>
        <v/>
      </c>
      <c r="AJ893">
        <f>IF($AE893="","",IF(Sync!$Q893="","0000",IF(AND(ISNUMBER(Sync!$Q893),Sync!$Q893&gt;=0,Sync!$Q893&lt;1),RIGHT("00"&amp;HOUR(Sync!$Q893),2)&amp;RIGHT("00"&amp;MINUTE(Sync!$Q893),2),IFERROR(RIGHT("00"&amp;VALUE(LEFT(Sync!$Q893,FIND(":",Sync!$Q893)-1)),2)&amp;RIGHT("00"&amp;VALUE(MID(Sync!$Q893,FIND(":",Sync!$Q893)+1,2)),2),"0000"))))</f>
        <v/>
      </c>
      <c r="AK893">
        <f>IF(OR($AE893="",$AI893="",$AI893="نامعتبر"),"",LEFT($AI893,4)&amp;MID($AI893,6,2)&amp;RIGHT($AI893,2)&amp;$AJ893&amp;"|"&amp;"3"&amp;RIGHT("00000"&amp;888,5))</f>
        <v/>
      </c>
      <c r="AL893">
        <f>IF($AK893="","",COUNTIFS(LdAParty,$AE893,LdAType,1,LdAKey,"&lt;"&amp;$AK893)+COUNTIFS(LdBMember,$AE893,LdBKey,"&lt;"&amp;$AK893)+COUNTIFS(LdCParty,$AE893,LdCKey,"&lt;"&amp;$AK893)+1)</f>
        <v/>
      </c>
      <c r="AM893">
        <f>IF($AL893="","",$AE893&amp;"|"&amp;RIGHT("000000"&amp;$AL893,6))</f>
        <v/>
      </c>
      <c r="AN893">
        <f>IF($AE893="","",IF(Sync!$W893="",0,Sync!$W893))</f>
        <v/>
      </c>
      <c r="AO893">
        <f>IF($AE893="","",IF(Sync!$X893="",0,Sync!$X893))</f>
        <v/>
      </c>
      <c r="AP893">
        <f>IF($AE893="","",Sync!$R893)</f>
        <v/>
      </c>
      <c r="AQ893">
        <f>IF($AE893="","",Sync!$Y893)</f>
        <v/>
      </c>
    </row>
    <row r="894">
      <c r="A894">
        <f>IF(OR(Wages!$B897="",Wages!$E897=""),"",Wages!$E897)</f>
        <v/>
      </c>
      <c r="B894">
        <f>IF($A894="","",IF(Wages!$C897="دستمزد گروهی",2,1))</f>
        <v/>
      </c>
      <c r="C894">
        <f>IF($A894="","",IF(ISNUMBER(Wages!$B897),IF(AND(Wages!$B897&gt;=10000101,Wages!$B897&lt;=99991231),INT(Wages!$B897/10000),""),IFERROR(VALUE(TRIM(LEFT(Wages!$B897,FIND("/",Wages!$B897)-1))),"")))</f>
        <v/>
      </c>
      <c r="D894">
        <f>IF(OR($A894="",$C894=""),"",IF(ISNUMBER(Wages!$B897),INT(MOD(Wages!$B897,10000)/100),IFERROR(VALUE(TRIM(LEFT(MID(Wages!$B897,FIND("/",Wages!$B897)+1,20),FIND("/",MID(Wages!$B897,FIND("/",Wages!$B897)+1,20))-1))),"")))</f>
        <v/>
      </c>
      <c r="E894">
        <f>IF(OR($A894="",$C894=""),"",IF(ISNUMBER(Wages!$B897),MOD(Wages!$B897,100),IFERROR(VALUE(TRIM(MID(MID(Wages!$B897,FIND("/",Wages!$B897)+1,20),FIND("/",MID(Wages!$B897,FIND("/",Wages!$B897)+1,20))+1,20))),"")))</f>
        <v/>
      </c>
      <c r="F894">
        <f>IF($A894="","",IF(OR($C894="",$D894="",$E894="",$C894&lt;1300,$C894&gt;1500,$D894&lt;1,$D894&gt;12,$E894&lt;1,$E894&gt;31),"نامعتبر",RIGHT("0000"&amp;$C894,4)&amp;"/"&amp;RIGHT("00"&amp;$D894,2)&amp;"/"&amp;RIGHT("00"&amp;$E894,2)))</f>
        <v/>
      </c>
      <c r="G894">
        <f>IF(OR($A894="",$F894="",$F894="نامعتبر"),"",LEFT($F894,4)&amp;MID($F894,6,2)&amp;RIGHT($F894,2)&amp;"0000"&amp;"|"&amp;"1"&amp;RIGHT("00000"&amp;889,5))</f>
        <v/>
      </c>
      <c r="H894">
        <f>IF(OR($B894&lt;&gt;1,$G894=""),"",COUNTIFS(LdAParty,$A894,LdAType,1,LdAKey,"&lt;"&amp;$G894)+COUNTIFS(LdBMember,$A894,LdBKey,"&lt;"&amp;$G894)+COUNTIFS(LdCParty,$A894,LdCKey,"&lt;"&amp;$G894)+1)</f>
        <v/>
      </c>
      <c r="I894">
        <f>IF($H894="","",$A894&amp;"|"&amp;RIGHT("000000"&amp;$H894,6))</f>
        <v/>
      </c>
      <c r="J894">
        <f>IF(OR($B894&lt;&gt;2,$G894=""),"",COUNTIFS(LdAParty,$A894,LdAType,2,LdAKey,"&lt;"&amp;$G894)+1)</f>
        <v/>
      </c>
      <c r="K894">
        <f>IF($J894="","",$A894&amp;"|"&amp;RIGHT("000000"&amp;$J894,6))</f>
        <v/>
      </c>
      <c r="L894">
        <f>IF($A894="","",IF(Wages!$G897="",0,Wages!$G897))</f>
        <v/>
      </c>
      <c r="M894">
        <f>IF($A894="","",Wages!$J897)</f>
        <v/>
      </c>
      <c r="N894">
        <f>IF($A894="","",Wages!$D897)</f>
        <v/>
      </c>
      <c r="P894">
        <f>IF(OR(Shares!$B897="",Shares!$C897=""),"",Shares!$C897)</f>
        <v/>
      </c>
      <c r="Q894">
        <f>IF($P894="","",Shares!$B897)</f>
        <v/>
      </c>
      <c r="R894">
        <f>IF($P894="","",IFERROR(INDEX(WageParty,MATCH($Q894,WageIds,0)),""))</f>
        <v/>
      </c>
      <c r="S894">
        <f>IF($P894="","",IFERROR(INDEX($F$6:$F$2005,MATCH($Q894,WageIds,0)),""))</f>
        <v/>
      </c>
      <c r="T894">
        <f>IF(OR($P894="",$S894="",$S894="نامعتبر"),"",LEFT($S894,4)&amp;MID($S894,6,2)&amp;RIGHT($S894,2)&amp;"0000"&amp;"|"&amp;"2"&amp;RIGHT("00000"&amp;889,5))</f>
        <v/>
      </c>
      <c r="U894">
        <f>IF($T894="","",COUNTIFS(LdAParty,$P894,LdAType,1,LdAKey,"&lt;"&amp;$T894)+COUNTIFS(LdBMember,$P894,LdBKey,"&lt;"&amp;$T894)+COUNTIFS(LdCParty,$P894,LdCKey,"&lt;"&amp;$T894)+1)</f>
        <v/>
      </c>
      <c r="V894">
        <f>IF($U894="","",$P894&amp;"|"&amp;RIGHT("000000"&amp;$U894,6))</f>
        <v/>
      </c>
      <c r="W894">
        <f>IF($T894="","",COUNTIFS(LdBGroup,$R894,LdBKey,"&lt;"&amp;$T894)+1)</f>
        <v/>
      </c>
      <c r="X894">
        <f>IF($W894="","",$R894&amp;"|"&amp;RIGHT("000000"&amp;$W894,6))</f>
        <v/>
      </c>
      <c r="Y894">
        <f>IF($P894="","",IF(Shares!$E897="",0,Shares!$E897))</f>
        <v/>
      </c>
      <c r="Z894">
        <f>IF($P894="","",Shares!$H897)</f>
        <v/>
      </c>
      <c r="AE894">
        <f>IF(OR(Sync!$S894="",Sync!$P894=""),"",Sync!$S894)</f>
        <v/>
      </c>
      <c r="AF894">
        <f>IF($AE894="","",IF(ISNUMBER(Sync!$P894),IF(AND(Sync!$P894&gt;=10000101,Sync!$P894&lt;=99991231),INT(Sync!$P894/10000),""),IFERROR(VALUE(TRIM(LEFT(Sync!$P894,FIND("/",Sync!$P894)-1))),"")))</f>
        <v/>
      </c>
      <c r="AG894">
        <f>IF(OR($AE894="",$AF894=""),"",IF(ISNUMBER(Sync!$P894),INT(MOD(Sync!$P894,10000)/100),IFERROR(VALUE(TRIM(LEFT(MID(Sync!$P894,FIND("/",Sync!$P894)+1,20),FIND("/",MID(Sync!$P894,FIND("/",Sync!$P894)+1,20))-1))),"")))</f>
        <v/>
      </c>
      <c r="AH894">
        <f>IF(OR($AE894="",$AF894=""),"",IF(ISNUMBER(Sync!$P894),MOD(Sync!$P894,100),IFERROR(VALUE(TRIM(MID(MID(Sync!$P894,FIND("/",Sync!$P894)+1,20),FIND("/",MID(Sync!$P894,FIND("/",Sync!$P894)+1,20))+1,20))),"")))</f>
        <v/>
      </c>
      <c r="AI894">
        <f>IF($AE894="","",IF(OR($AF894="",$AG894="",$AH894="",$AF894&lt;1300,$AF894&gt;1500,$AG894&lt;1,$AG894&gt;12,$AH894&lt;1,$AH894&gt;31),"نامعتبر",RIGHT("0000"&amp;$AF894,4)&amp;"/"&amp;RIGHT("00"&amp;$AG894,2)&amp;"/"&amp;RIGHT("00"&amp;$AH894,2)))</f>
        <v/>
      </c>
      <c r="AJ894">
        <f>IF($AE894="","",IF(Sync!$Q894="","0000",IF(AND(ISNUMBER(Sync!$Q894),Sync!$Q894&gt;=0,Sync!$Q894&lt;1),RIGHT("00"&amp;HOUR(Sync!$Q894),2)&amp;RIGHT("00"&amp;MINUTE(Sync!$Q894),2),IFERROR(RIGHT("00"&amp;VALUE(LEFT(Sync!$Q894,FIND(":",Sync!$Q894)-1)),2)&amp;RIGHT("00"&amp;VALUE(MID(Sync!$Q894,FIND(":",Sync!$Q894)+1,2)),2),"0000"))))</f>
        <v/>
      </c>
      <c r="AK894">
        <f>IF(OR($AE894="",$AI894="",$AI894="نامعتبر"),"",LEFT($AI894,4)&amp;MID($AI894,6,2)&amp;RIGHT($AI894,2)&amp;$AJ894&amp;"|"&amp;"3"&amp;RIGHT("00000"&amp;889,5))</f>
        <v/>
      </c>
      <c r="AL894">
        <f>IF($AK894="","",COUNTIFS(LdAParty,$AE894,LdAType,1,LdAKey,"&lt;"&amp;$AK894)+COUNTIFS(LdBMember,$AE894,LdBKey,"&lt;"&amp;$AK894)+COUNTIFS(LdCParty,$AE894,LdCKey,"&lt;"&amp;$AK894)+1)</f>
        <v/>
      </c>
      <c r="AM894">
        <f>IF($AL894="","",$AE894&amp;"|"&amp;RIGHT("000000"&amp;$AL894,6))</f>
        <v/>
      </c>
      <c r="AN894">
        <f>IF($AE894="","",IF(Sync!$W894="",0,Sync!$W894))</f>
        <v/>
      </c>
      <c r="AO894">
        <f>IF($AE894="","",IF(Sync!$X894="",0,Sync!$X894))</f>
        <v/>
      </c>
      <c r="AP894">
        <f>IF($AE894="","",Sync!$R894)</f>
        <v/>
      </c>
      <c r="AQ894">
        <f>IF($AE894="","",Sync!$Y894)</f>
        <v/>
      </c>
    </row>
    <row r="895">
      <c r="A895">
        <f>IF(OR(Wages!$B898="",Wages!$E898=""),"",Wages!$E898)</f>
        <v/>
      </c>
      <c r="B895">
        <f>IF($A895="","",IF(Wages!$C898="دستمزد گروهی",2,1))</f>
        <v/>
      </c>
      <c r="C895">
        <f>IF($A895="","",IF(ISNUMBER(Wages!$B898),IF(AND(Wages!$B898&gt;=10000101,Wages!$B898&lt;=99991231),INT(Wages!$B898/10000),""),IFERROR(VALUE(TRIM(LEFT(Wages!$B898,FIND("/",Wages!$B898)-1))),"")))</f>
        <v/>
      </c>
      <c r="D895">
        <f>IF(OR($A895="",$C895=""),"",IF(ISNUMBER(Wages!$B898),INT(MOD(Wages!$B898,10000)/100),IFERROR(VALUE(TRIM(LEFT(MID(Wages!$B898,FIND("/",Wages!$B898)+1,20),FIND("/",MID(Wages!$B898,FIND("/",Wages!$B898)+1,20))-1))),"")))</f>
        <v/>
      </c>
      <c r="E895">
        <f>IF(OR($A895="",$C895=""),"",IF(ISNUMBER(Wages!$B898),MOD(Wages!$B898,100),IFERROR(VALUE(TRIM(MID(MID(Wages!$B898,FIND("/",Wages!$B898)+1,20),FIND("/",MID(Wages!$B898,FIND("/",Wages!$B898)+1,20))+1,20))),"")))</f>
        <v/>
      </c>
      <c r="F895">
        <f>IF($A895="","",IF(OR($C895="",$D895="",$E895="",$C895&lt;1300,$C895&gt;1500,$D895&lt;1,$D895&gt;12,$E895&lt;1,$E895&gt;31),"نامعتبر",RIGHT("0000"&amp;$C895,4)&amp;"/"&amp;RIGHT("00"&amp;$D895,2)&amp;"/"&amp;RIGHT("00"&amp;$E895,2)))</f>
        <v/>
      </c>
      <c r="G895">
        <f>IF(OR($A895="",$F895="",$F895="نامعتبر"),"",LEFT($F895,4)&amp;MID($F895,6,2)&amp;RIGHT($F895,2)&amp;"0000"&amp;"|"&amp;"1"&amp;RIGHT("00000"&amp;890,5))</f>
        <v/>
      </c>
      <c r="H895">
        <f>IF(OR($B895&lt;&gt;1,$G895=""),"",COUNTIFS(LdAParty,$A895,LdAType,1,LdAKey,"&lt;"&amp;$G895)+COUNTIFS(LdBMember,$A895,LdBKey,"&lt;"&amp;$G895)+COUNTIFS(LdCParty,$A895,LdCKey,"&lt;"&amp;$G895)+1)</f>
        <v/>
      </c>
      <c r="I895">
        <f>IF($H895="","",$A895&amp;"|"&amp;RIGHT("000000"&amp;$H895,6))</f>
        <v/>
      </c>
      <c r="J895">
        <f>IF(OR($B895&lt;&gt;2,$G895=""),"",COUNTIFS(LdAParty,$A895,LdAType,2,LdAKey,"&lt;"&amp;$G895)+1)</f>
        <v/>
      </c>
      <c r="K895">
        <f>IF($J895="","",$A895&amp;"|"&amp;RIGHT("000000"&amp;$J895,6))</f>
        <v/>
      </c>
      <c r="L895">
        <f>IF($A895="","",IF(Wages!$G898="",0,Wages!$G898))</f>
        <v/>
      </c>
      <c r="M895">
        <f>IF($A895="","",Wages!$J898)</f>
        <v/>
      </c>
      <c r="N895">
        <f>IF($A895="","",Wages!$D898)</f>
        <v/>
      </c>
      <c r="P895">
        <f>IF(OR(Shares!$B898="",Shares!$C898=""),"",Shares!$C898)</f>
        <v/>
      </c>
      <c r="Q895">
        <f>IF($P895="","",Shares!$B898)</f>
        <v/>
      </c>
      <c r="R895">
        <f>IF($P895="","",IFERROR(INDEX(WageParty,MATCH($Q895,WageIds,0)),""))</f>
        <v/>
      </c>
      <c r="S895">
        <f>IF($P895="","",IFERROR(INDEX($F$6:$F$2005,MATCH($Q895,WageIds,0)),""))</f>
        <v/>
      </c>
      <c r="T895">
        <f>IF(OR($P895="",$S895="",$S895="نامعتبر"),"",LEFT($S895,4)&amp;MID($S895,6,2)&amp;RIGHT($S895,2)&amp;"0000"&amp;"|"&amp;"2"&amp;RIGHT("00000"&amp;890,5))</f>
        <v/>
      </c>
      <c r="U895">
        <f>IF($T895="","",COUNTIFS(LdAParty,$P895,LdAType,1,LdAKey,"&lt;"&amp;$T895)+COUNTIFS(LdBMember,$P895,LdBKey,"&lt;"&amp;$T895)+COUNTIFS(LdCParty,$P895,LdCKey,"&lt;"&amp;$T895)+1)</f>
        <v/>
      </c>
      <c r="V895">
        <f>IF($U895="","",$P895&amp;"|"&amp;RIGHT("000000"&amp;$U895,6))</f>
        <v/>
      </c>
      <c r="W895">
        <f>IF($T895="","",COUNTIFS(LdBGroup,$R895,LdBKey,"&lt;"&amp;$T895)+1)</f>
        <v/>
      </c>
      <c r="X895">
        <f>IF($W895="","",$R895&amp;"|"&amp;RIGHT("000000"&amp;$W895,6))</f>
        <v/>
      </c>
      <c r="Y895">
        <f>IF($P895="","",IF(Shares!$E898="",0,Shares!$E898))</f>
        <v/>
      </c>
      <c r="Z895">
        <f>IF($P895="","",Shares!$H898)</f>
        <v/>
      </c>
      <c r="AE895">
        <f>IF(OR(Sync!$S895="",Sync!$P895=""),"",Sync!$S895)</f>
        <v/>
      </c>
      <c r="AF895">
        <f>IF($AE895="","",IF(ISNUMBER(Sync!$P895),IF(AND(Sync!$P895&gt;=10000101,Sync!$P895&lt;=99991231),INT(Sync!$P895/10000),""),IFERROR(VALUE(TRIM(LEFT(Sync!$P895,FIND("/",Sync!$P895)-1))),"")))</f>
        <v/>
      </c>
      <c r="AG895">
        <f>IF(OR($AE895="",$AF895=""),"",IF(ISNUMBER(Sync!$P895),INT(MOD(Sync!$P895,10000)/100),IFERROR(VALUE(TRIM(LEFT(MID(Sync!$P895,FIND("/",Sync!$P895)+1,20),FIND("/",MID(Sync!$P895,FIND("/",Sync!$P895)+1,20))-1))),"")))</f>
        <v/>
      </c>
      <c r="AH895">
        <f>IF(OR($AE895="",$AF895=""),"",IF(ISNUMBER(Sync!$P895),MOD(Sync!$P895,100),IFERROR(VALUE(TRIM(MID(MID(Sync!$P895,FIND("/",Sync!$P895)+1,20),FIND("/",MID(Sync!$P895,FIND("/",Sync!$P895)+1,20))+1,20))),"")))</f>
        <v/>
      </c>
      <c r="AI895">
        <f>IF($AE895="","",IF(OR($AF895="",$AG895="",$AH895="",$AF895&lt;1300,$AF895&gt;1500,$AG895&lt;1,$AG895&gt;12,$AH895&lt;1,$AH895&gt;31),"نامعتبر",RIGHT("0000"&amp;$AF895,4)&amp;"/"&amp;RIGHT("00"&amp;$AG895,2)&amp;"/"&amp;RIGHT("00"&amp;$AH895,2)))</f>
        <v/>
      </c>
      <c r="AJ895">
        <f>IF($AE895="","",IF(Sync!$Q895="","0000",IF(AND(ISNUMBER(Sync!$Q895),Sync!$Q895&gt;=0,Sync!$Q895&lt;1),RIGHT("00"&amp;HOUR(Sync!$Q895),2)&amp;RIGHT("00"&amp;MINUTE(Sync!$Q895),2),IFERROR(RIGHT("00"&amp;VALUE(LEFT(Sync!$Q895,FIND(":",Sync!$Q895)-1)),2)&amp;RIGHT("00"&amp;VALUE(MID(Sync!$Q895,FIND(":",Sync!$Q895)+1,2)),2),"0000"))))</f>
        <v/>
      </c>
      <c r="AK895">
        <f>IF(OR($AE895="",$AI895="",$AI895="نامعتبر"),"",LEFT($AI895,4)&amp;MID($AI895,6,2)&amp;RIGHT($AI895,2)&amp;$AJ895&amp;"|"&amp;"3"&amp;RIGHT("00000"&amp;890,5))</f>
        <v/>
      </c>
      <c r="AL895">
        <f>IF($AK895="","",COUNTIFS(LdAParty,$AE895,LdAType,1,LdAKey,"&lt;"&amp;$AK895)+COUNTIFS(LdBMember,$AE895,LdBKey,"&lt;"&amp;$AK895)+COUNTIFS(LdCParty,$AE895,LdCKey,"&lt;"&amp;$AK895)+1)</f>
        <v/>
      </c>
      <c r="AM895">
        <f>IF($AL895="","",$AE895&amp;"|"&amp;RIGHT("000000"&amp;$AL895,6))</f>
        <v/>
      </c>
      <c r="AN895">
        <f>IF($AE895="","",IF(Sync!$W895="",0,Sync!$W895))</f>
        <v/>
      </c>
      <c r="AO895">
        <f>IF($AE895="","",IF(Sync!$X895="",0,Sync!$X895))</f>
        <v/>
      </c>
      <c r="AP895">
        <f>IF($AE895="","",Sync!$R895)</f>
        <v/>
      </c>
      <c r="AQ895">
        <f>IF($AE895="","",Sync!$Y895)</f>
        <v/>
      </c>
    </row>
    <row r="896">
      <c r="A896">
        <f>IF(OR(Wages!$B899="",Wages!$E899=""),"",Wages!$E899)</f>
        <v/>
      </c>
      <c r="B896">
        <f>IF($A896="","",IF(Wages!$C899="دستمزد گروهی",2,1))</f>
        <v/>
      </c>
      <c r="C896">
        <f>IF($A896="","",IF(ISNUMBER(Wages!$B899),IF(AND(Wages!$B899&gt;=10000101,Wages!$B899&lt;=99991231),INT(Wages!$B899/10000),""),IFERROR(VALUE(TRIM(LEFT(Wages!$B899,FIND("/",Wages!$B899)-1))),"")))</f>
        <v/>
      </c>
      <c r="D896">
        <f>IF(OR($A896="",$C896=""),"",IF(ISNUMBER(Wages!$B899),INT(MOD(Wages!$B899,10000)/100),IFERROR(VALUE(TRIM(LEFT(MID(Wages!$B899,FIND("/",Wages!$B899)+1,20),FIND("/",MID(Wages!$B899,FIND("/",Wages!$B899)+1,20))-1))),"")))</f>
        <v/>
      </c>
      <c r="E896">
        <f>IF(OR($A896="",$C896=""),"",IF(ISNUMBER(Wages!$B899),MOD(Wages!$B899,100),IFERROR(VALUE(TRIM(MID(MID(Wages!$B899,FIND("/",Wages!$B899)+1,20),FIND("/",MID(Wages!$B899,FIND("/",Wages!$B899)+1,20))+1,20))),"")))</f>
        <v/>
      </c>
      <c r="F896">
        <f>IF($A896="","",IF(OR($C896="",$D896="",$E896="",$C896&lt;1300,$C896&gt;1500,$D896&lt;1,$D896&gt;12,$E896&lt;1,$E896&gt;31),"نامعتبر",RIGHT("0000"&amp;$C896,4)&amp;"/"&amp;RIGHT("00"&amp;$D896,2)&amp;"/"&amp;RIGHT("00"&amp;$E896,2)))</f>
        <v/>
      </c>
      <c r="G896">
        <f>IF(OR($A896="",$F896="",$F896="نامعتبر"),"",LEFT($F896,4)&amp;MID($F896,6,2)&amp;RIGHT($F896,2)&amp;"0000"&amp;"|"&amp;"1"&amp;RIGHT("00000"&amp;891,5))</f>
        <v/>
      </c>
      <c r="H896">
        <f>IF(OR($B896&lt;&gt;1,$G896=""),"",COUNTIFS(LdAParty,$A896,LdAType,1,LdAKey,"&lt;"&amp;$G896)+COUNTIFS(LdBMember,$A896,LdBKey,"&lt;"&amp;$G896)+COUNTIFS(LdCParty,$A896,LdCKey,"&lt;"&amp;$G896)+1)</f>
        <v/>
      </c>
      <c r="I896">
        <f>IF($H896="","",$A896&amp;"|"&amp;RIGHT("000000"&amp;$H896,6))</f>
        <v/>
      </c>
      <c r="J896">
        <f>IF(OR($B896&lt;&gt;2,$G896=""),"",COUNTIFS(LdAParty,$A896,LdAType,2,LdAKey,"&lt;"&amp;$G896)+1)</f>
        <v/>
      </c>
      <c r="K896">
        <f>IF($J896="","",$A896&amp;"|"&amp;RIGHT("000000"&amp;$J896,6))</f>
        <v/>
      </c>
      <c r="L896">
        <f>IF($A896="","",IF(Wages!$G899="",0,Wages!$G899))</f>
        <v/>
      </c>
      <c r="M896">
        <f>IF($A896="","",Wages!$J899)</f>
        <v/>
      </c>
      <c r="N896">
        <f>IF($A896="","",Wages!$D899)</f>
        <v/>
      </c>
      <c r="P896">
        <f>IF(OR(Shares!$B899="",Shares!$C899=""),"",Shares!$C899)</f>
        <v/>
      </c>
      <c r="Q896">
        <f>IF($P896="","",Shares!$B899)</f>
        <v/>
      </c>
      <c r="R896">
        <f>IF($P896="","",IFERROR(INDEX(WageParty,MATCH($Q896,WageIds,0)),""))</f>
        <v/>
      </c>
      <c r="S896">
        <f>IF($P896="","",IFERROR(INDEX($F$6:$F$2005,MATCH($Q896,WageIds,0)),""))</f>
        <v/>
      </c>
      <c r="T896">
        <f>IF(OR($P896="",$S896="",$S896="نامعتبر"),"",LEFT($S896,4)&amp;MID($S896,6,2)&amp;RIGHT($S896,2)&amp;"0000"&amp;"|"&amp;"2"&amp;RIGHT("00000"&amp;891,5))</f>
        <v/>
      </c>
      <c r="U896">
        <f>IF($T896="","",COUNTIFS(LdAParty,$P896,LdAType,1,LdAKey,"&lt;"&amp;$T896)+COUNTIFS(LdBMember,$P896,LdBKey,"&lt;"&amp;$T896)+COUNTIFS(LdCParty,$P896,LdCKey,"&lt;"&amp;$T896)+1)</f>
        <v/>
      </c>
      <c r="V896">
        <f>IF($U896="","",$P896&amp;"|"&amp;RIGHT("000000"&amp;$U896,6))</f>
        <v/>
      </c>
      <c r="W896">
        <f>IF($T896="","",COUNTIFS(LdBGroup,$R896,LdBKey,"&lt;"&amp;$T896)+1)</f>
        <v/>
      </c>
      <c r="X896">
        <f>IF($W896="","",$R896&amp;"|"&amp;RIGHT("000000"&amp;$W896,6))</f>
        <v/>
      </c>
      <c r="Y896">
        <f>IF($P896="","",IF(Shares!$E899="",0,Shares!$E899))</f>
        <v/>
      </c>
      <c r="Z896">
        <f>IF($P896="","",Shares!$H899)</f>
        <v/>
      </c>
      <c r="AE896">
        <f>IF(OR(Sync!$S896="",Sync!$P896=""),"",Sync!$S896)</f>
        <v/>
      </c>
      <c r="AF896">
        <f>IF($AE896="","",IF(ISNUMBER(Sync!$P896),IF(AND(Sync!$P896&gt;=10000101,Sync!$P896&lt;=99991231),INT(Sync!$P896/10000),""),IFERROR(VALUE(TRIM(LEFT(Sync!$P896,FIND("/",Sync!$P896)-1))),"")))</f>
        <v/>
      </c>
      <c r="AG896">
        <f>IF(OR($AE896="",$AF896=""),"",IF(ISNUMBER(Sync!$P896),INT(MOD(Sync!$P896,10000)/100),IFERROR(VALUE(TRIM(LEFT(MID(Sync!$P896,FIND("/",Sync!$P896)+1,20),FIND("/",MID(Sync!$P896,FIND("/",Sync!$P896)+1,20))-1))),"")))</f>
        <v/>
      </c>
      <c r="AH896">
        <f>IF(OR($AE896="",$AF896=""),"",IF(ISNUMBER(Sync!$P896),MOD(Sync!$P896,100),IFERROR(VALUE(TRIM(MID(MID(Sync!$P896,FIND("/",Sync!$P896)+1,20),FIND("/",MID(Sync!$P896,FIND("/",Sync!$P896)+1,20))+1,20))),"")))</f>
        <v/>
      </c>
      <c r="AI896">
        <f>IF($AE896="","",IF(OR($AF896="",$AG896="",$AH896="",$AF896&lt;1300,$AF896&gt;1500,$AG896&lt;1,$AG896&gt;12,$AH896&lt;1,$AH896&gt;31),"نامعتبر",RIGHT("0000"&amp;$AF896,4)&amp;"/"&amp;RIGHT("00"&amp;$AG896,2)&amp;"/"&amp;RIGHT("00"&amp;$AH896,2)))</f>
        <v/>
      </c>
      <c r="AJ896">
        <f>IF($AE896="","",IF(Sync!$Q896="","0000",IF(AND(ISNUMBER(Sync!$Q896),Sync!$Q896&gt;=0,Sync!$Q896&lt;1),RIGHT("00"&amp;HOUR(Sync!$Q896),2)&amp;RIGHT("00"&amp;MINUTE(Sync!$Q896),2),IFERROR(RIGHT("00"&amp;VALUE(LEFT(Sync!$Q896,FIND(":",Sync!$Q896)-1)),2)&amp;RIGHT("00"&amp;VALUE(MID(Sync!$Q896,FIND(":",Sync!$Q896)+1,2)),2),"0000"))))</f>
        <v/>
      </c>
      <c r="AK896">
        <f>IF(OR($AE896="",$AI896="",$AI896="نامعتبر"),"",LEFT($AI896,4)&amp;MID($AI896,6,2)&amp;RIGHT($AI896,2)&amp;$AJ896&amp;"|"&amp;"3"&amp;RIGHT("00000"&amp;891,5))</f>
        <v/>
      </c>
      <c r="AL896">
        <f>IF($AK896="","",COUNTIFS(LdAParty,$AE896,LdAType,1,LdAKey,"&lt;"&amp;$AK896)+COUNTIFS(LdBMember,$AE896,LdBKey,"&lt;"&amp;$AK896)+COUNTIFS(LdCParty,$AE896,LdCKey,"&lt;"&amp;$AK896)+1)</f>
        <v/>
      </c>
      <c r="AM896">
        <f>IF($AL896="","",$AE896&amp;"|"&amp;RIGHT("000000"&amp;$AL896,6))</f>
        <v/>
      </c>
      <c r="AN896">
        <f>IF($AE896="","",IF(Sync!$W896="",0,Sync!$W896))</f>
        <v/>
      </c>
      <c r="AO896">
        <f>IF($AE896="","",IF(Sync!$X896="",0,Sync!$X896))</f>
        <v/>
      </c>
      <c r="AP896">
        <f>IF($AE896="","",Sync!$R896)</f>
        <v/>
      </c>
      <c r="AQ896">
        <f>IF($AE896="","",Sync!$Y896)</f>
        <v/>
      </c>
    </row>
    <row r="897">
      <c r="A897">
        <f>IF(OR(Wages!$B900="",Wages!$E900=""),"",Wages!$E900)</f>
        <v/>
      </c>
      <c r="B897">
        <f>IF($A897="","",IF(Wages!$C900="دستمزد گروهی",2,1))</f>
        <v/>
      </c>
      <c r="C897">
        <f>IF($A897="","",IF(ISNUMBER(Wages!$B900),IF(AND(Wages!$B900&gt;=10000101,Wages!$B900&lt;=99991231),INT(Wages!$B900/10000),""),IFERROR(VALUE(TRIM(LEFT(Wages!$B900,FIND("/",Wages!$B900)-1))),"")))</f>
        <v/>
      </c>
      <c r="D897">
        <f>IF(OR($A897="",$C897=""),"",IF(ISNUMBER(Wages!$B900),INT(MOD(Wages!$B900,10000)/100),IFERROR(VALUE(TRIM(LEFT(MID(Wages!$B900,FIND("/",Wages!$B900)+1,20),FIND("/",MID(Wages!$B900,FIND("/",Wages!$B900)+1,20))-1))),"")))</f>
        <v/>
      </c>
      <c r="E897">
        <f>IF(OR($A897="",$C897=""),"",IF(ISNUMBER(Wages!$B900),MOD(Wages!$B900,100),IFERROR(VALUE(TRIM(MID(MID(Wages!$B900,FIND("/",Wages!$B900)+1,20),FIND("/",MID(Wages!$B900,FIND("/",Wages!$B900)+1,20))+1,20))),"")))</f>
        <v/>
      </c>
      <c r="F897">
        <f>IF($A897="","",IF(OR($C897="",$D897="",$E897="",$C897&lt;1300,$C897&gt;1500,$D897&lt;1,$D897&gt;12,$E897&lt;1,$E897&gt;31),"نامعتبر",RIGHT("0000"&amp;$C897,4)&amp;"/"&amp;RIGHT("00"&amp;$D897,2)&amp;"/"&amp;RIGHT("00"&amp;$E897,2)))</f>
        <v/>
      </c>
      <c r="G897">
        <f>IF(OR($A897="",$F897="",$F897="نامعتبر"),"",LEFT($F897,4)&amp;MID($F897,6,2)&amp;RIGHT($F897,2)&amp;"0000"&amp;"|"&amp;"1"&amp;RIGHT("00000"&amp;892,5))</f>
        <v/>
      </c>
      <c r="H897">
        <f>IF(OR($B897&lt;&gt;1,$G897=""),"",COUNTIFS(LdAParty,$A897,LdAType,1,LdAKey,"&lt;"&amp;$G897)+COUNTIFS(LdBMember,$A897,LdBKey,"&lt;"&amp;$G897)+COUNTIFS(LdCParty,$A897,LdCKey,"&lt;"&amp;$G897)+1)</f>
        <v/>
      </c>
      <c r="I897">
        <f>IF($H897="","",$A897&amp;"|"&amp;RIGHT("000000"&amp;$H897,6))</f>
        <v/>
      </c>
      <c r="J897">
        <f>IF(OR($B897&lt;&gt;2,$G897=""),"",COUNTIFS(LdAParty,$A897,LdAType,2,LdAKey,"&lt;"&amp;$G897)+1)</f>
        <v/>
      </c>
      <c r="K897">
        <f>IF($J897="","",$A897&amp;"|"&amp;RIGHT("000000"&amp;$J897,6))</f>
        <v/>
      </c>
      <c r="L897">
        <f>IF($A897="","",IF(Wages!$G900="",0,Wages!$G900))</f>
        <v/>
      </c>
      <c r="M897">
        <f>IF($A897="","",Wages!$J900)</f>
        <v/>
      </c>
      <c r="N897">
        <f>IF($A897="","",Wages!$D900)</f>
        <v/>
      </c>
      <c r="P897">
        <f>IF(OR(Shares!$B900="",Shares!$C900=""),"",Shares!$C900)</f>
        <v/>
      </c>
      <c r="Q897">
        <f>IF($P897="","",Shares!$B900)</f>
        <v/>
      </c>
      <c r="R897">
        <f>IF($P897="","",IFERROR(INDEX(WageParty,MATCH($Q897,WageIds,0)),""))</f>
        <v/>
      </c>
      <c r="S897">
        <f>IF($P897="","",IFERROR(INDEX($F$6:$F$2005,MATCH($Q897,WageIds,0)),""))</f>
        <v/>
      </c>
      <c r="T897">
        <f>IF(OR($P897="",$S897="",$S897="نامعتبر"),"",LEFT($S897,4)&amp;MID($S897,6,2)&amp;RIGHT($S897,2)&amp;"0000"&amp;"|"&amp;"2"&amp;RIGHT("00000"&amp;892,5))</f>
        <v/>
      </c>
      <c r="U897">
        <f>IF($T897="","",COUNTIFS(LdAParty,$P897,LdAType,1,LdAKey,"&lt;"&amp;$T897)+COUNTIFS(LdBMember,$P897,LdBKey,"&lt;"&amp;$T897)+COUNTIFS(LdCParty,$P897,LdCKey,"&lt;"&amp;$T897)+1)</f>
        <v/>
      </c>
      <c r="V897">
        <f>IF($U897="","",$P897&amp;"|"&amp;RIGHT("000000"&amp;$U897,6))</f>
        <v/>
      </c>
      <c r="W897">
        <f>IF($T897="","",COUNTIFS(LdBGroup,$R897,LdBKey,"&lt;"&amp;$T897)+1)</f>
        <v/>
      </c>
      <c r="X897">
        <f>IF($W897="","",$R897&amp;"|"&amp;RIGHT("000000"&amp;$W897,6))</f>
        <v/>
      </c>
      <c r="Y897">
        <f>IF($P897="","",IF(Shares!$E900="",0,Shares!$E900))</f>
        <v/>
      </c>
      <c r="Z897">
        <f>IF($P897="","",Shares!$H900)</f>
        <v/>
      </c>
      <c r="AE897">
        <f>IF(OR(Sync!$S897="",Sync!$P897=""),"",Sync!$S897)</f>
        <v/>
      </c>
      <c r="AF897">
        <f>IF($AE897="","",IF(ISNUMBER(Sync!$P897),IF(AND(Sync!$P897&gt;=10000101,Sync!$P897&lt;=99991231),INT(Sync!$P897/10000),""),IFERROR(VALUE(TRIM(LEFT(Sync!$P897,FIND("/",Sync!$P897)-1))),"")))</f>
        <v/>
      </c>
      <c r="AG897">
        <f>IF(OR($AE897="",$AF897=""),"",IF(ISNUMBER(Sync!$P897),INT(MOD(Sync!$P897,10000)/100),IFERROR(VALUE(TRIM(LEFT(MID(Sync!$P897,FIND("/",Sync!$P897)+1,20),FIND("/",MID(Sync!$P897,FIND("/",Sync!$P897)+1,20))-1))),"")))</f>
        <v/>
      </c>
      <c r="AH897">
        <f>IF(OR($AE897="",$AF897=""),"",IF(ISNUMBER(Sync!$P897),MOD(Sync!$P897,100),IFERROR(VALUE(TRIM(MID(MID(Sync!$P897,FIND("/",Sync!$P897)+1,20),FIND("/",MID(Sync!$P897,FIND("/",Sync!$P897)+1,20))+1,20))),"")))</f>
        <v/>
      </c>
      <c r="AI897">
        <f>IF($AE897="","",IF(OR($AF897="",$AG897="",$AH897="",$AF897&lt;1300,$AF897&gt;1500,$AG897&lt;1,$AG897&gt;12,$AH897&lt;1,$AH897&gt;31),"نامعتبر",RIGHT("0000"&amp;$AF897,4)&amp;"/"&amp;RIGHT("00"&amp;$AG897,2)&amp;"/"&amp;RIGHT("00"&amp;$AH897,2)))</f>
        <v/>
      </c>
      <c r="AJ897">
        <f>IF($AE897="","",IF(Sync!$Q897="","0000",IF(AND(ISNUMBER(Sync!$Q897),Sync!$Q897&gt;=0,Sync!$Q897&lt;1),RIGHT("00"&amp;HOUR(Sync!$Q897),2)&amp;RIGHT("00"&amp;MINUTE(Sync!$Q897),2),IFERROR(RIGHT("00"&amp;VALUE(LEFT(Sync!$Q897,FIND(":",Sync!$Q897)-1)),2)&amp;RIGHT("00"&amp;VALUE(MID(Sync!$Q897,FIND(":",Sync!$Q897)+1,2)),2),"0000"))))</f>
        <v/>
      </c>
      <c r="AK897">
        <f>IF(OR($AE897="",$AI897="",$AI897="نامعتبر"),"",LEFT($AI897,4)&amp;MID($AI897,6,2)&amp;RIGHT($AI897,2)&amp;$AJ897&amp;"|"&amp;"3"&amp;RIGHT("00000"&amp;892,5))</f>
        <v/>
      </c>
      <c r="AL897">
        <f>IF($AK897="","",COUNTIFS(LdAParty,$AE897,LdAType,1,LdAKey,"&lt;"&amp;$AK897)+COUNTIFS(LdBMember,$AE897,LdBKey,"&lt;"&amp;$AK897)+COUNTIFS(LdCParty,$AE897,LdCKey,"&lt;"&amp;$AK897)+1)</f>
        <v/>
      </c>
      <c r="AM897">
        <f>IF($AL897="","",$AE897&amp;"|"&amp;RIGHT("000000"&amp;$AL897,6))</f>
        <v/>
      </c>
      <c r="AN897">
        <f>IF($AE897="","",IF(Sync!$W897="",0,Sync!$W897))</f>
        <v/>
      </c>
      <c r="AO897">
        <f>IF($AE897="","",IF(Sync!$X897="",0,Sync!$X897))</f>
        <v/>
      </c>
      <c r="AP897">
        <f>IF($AE897="","",Sync!$R897)</f>
        <v/>
      </c>
      <c r="AQ897">
        <f>IF($AE897="","",Sync!$Y897)</f>
        <v/>
      </c>
    </row>
    <row r="898">
      <c r="A898">
        <f>IF(OR(Wages!$B901="",Wages!$E901=""),"",Wages!$E901)</f>
        <v/>
      </c>
      <c r="B898">
        <f>IF($A898="","",IF(Wages!$C901="دستمزد گروهی",2,1))</f>
        <v/>
      </c>
      <c r="C898">
        <f>IF($A898="","",IF(ISNUMBER(Wages!$B901),IF(AND(Wages!$B901&gt;=10000101,Wages!$B901&lt;=99991231),INT(Wages!$B901/10000),""),IFERROR(VALUE(TRIM(LEFT(Wages!$B901,FIND("/",Wages!$B901)-1))),"")))</f>
        <v/>
      </c>
      <c r="D898">
        <f>IF(OR($A898="",$C898=""),"",IF(ISNUMBER(Wages!$B901),INT(MOD(Wages!$B901,10000)/100),IFERROR(VALUE(TRIM(LEFT(MID(Wages!$B901,FIND("/",Wages!$B901)+1,20),FIND("/",MID(Wages!$B901,FIND("/",Wages!$B901)+1,20))-1))),"")))</f>
        <v/>
      </c>
      <c r="E898">
        <f>IF(OR($A898="",$C898=""),"",IF(ISNUMBER(Wages!$B901),MOD(Wages!$B901,100),IFERROR(VALUE(TRIM(MID(MID(Wages!$B901,FIND("/",Wages!$B901)+1,20),FIND("/",MID(Wages!$B901,FIND("/",Wages!$B901)+1,20))+1,20))),"")))</f>
        <v/>
      </c>
      <c r="F898">
        <f>IF($A898="","",IF(OR($C898="",$D898="",$E898="",$C898&lt;1300,$C898&gt;1500,$D898&lt;1,$D898&gt;12,$E898&lt;1,$E898&gt;31),"نامعتبر",RIGHT("0000"&amp;$C898,4)&amp;"/"&amp;RIGHT("00"&amp;$D898,2)&amp;"/"&amp;RIGHT("00"&amp;$E898,2)))</f>
        <v/>
      </c>
      <c r="G898">
        <f>IF(OR($A898="",$F898="",$F898="نامعتبر"),"",LEFT($F898,4)&amp;MID($F898,6,2)&amp;RIGHT($F898,2)&amp;"0000"&amp;"|"&amp;"1"&amp;RIGHT("00000"&amp;893,5))</f>
        <v/>
      </c>
      <c r="H898">
        <f>IF(OR($B898&lt;&gt;1,$G898=""),"",COUNTIFS(LdAParty,$A898,LdAType,1,LdAKey,"&lt;"&amp;$G898)+COUNTIFS(LdBMember,$A898,LdBKey,"&lt;"&amp;$G898)+COUNTIFS(LdCParty,$A898,LdCKey,"&lt;"&amp;$G898)+1)</f>
        <v/>
      </c>
      <c r="I898">
        <f>IF($H898="","",$A898&amp;"|"&amp;RIGHT("000000"&amp;$H898,6))</f>
        <v/>
      </c>
      <c r="J898">
        <f>IF(OR($B898&lt;&gt;2,$G898=""),"",COUNTIFS(LdAParty,$A898,LdAType,2,LdAKey,"&lt;"&amp;$G898)+1)</f>
        <v/>
      </c>
      <c r="K898">
        <f>IF($J898="","",$A898&amp;"|"&amp;RIGHT("000000"&amp;$J898,6))</f>
        <v/>
      </c>
      <c r="L898">
        <f>IF($A898="","",IF(Wages!$G901="",0,Wages!$G901))</f>
        <v/>
      </c>
      <c r="M898">
        <f>IF($A898="","",Wages!$J901)</f>
        <v/>
      </c>
      <c r="N898">
        <f>IF($A898="","",Wages!$D901)</f>
        <v/>
      </c>
      <c r="P898">
        <f>IF(OR(Shares!$B901="",Shares!$C901=""),"",Shares!$C901)</f>
        <v/>
      </c>
      <c r="Q898">
        <f>IF($P898="","",Shares!$B901)</f>
        <v/>
      </c>
      <c r="R898">
        <f>IF($P898="","",IFERROR(INDEX(WageParty,MATCH($Q898,WageIds,0)),""))</f>
        <v/>
      </c>
      <c r="S898">
        <f>IF($P898="","",IFERROR(INDEX($F$6:$F$2005,MATCH($Q898,WageIds,0)),""))</f>
        <v/>
      </c>
      <c r="T898">
        <f>IF(OR($P898="",$S898="",$S898="نامعتبر"),"",LEFT($S898,4)&amp;MID($S898,6,2)&amp;RIGHT($S898,2)&amp;"0000"&amp;"|"&amp;"2"&amp;RIGHT("00000"&amp;893,5))</f>
        <v/>
      </c>
      <c r="U898">
        <f>IF($T898="","",COUNTIFS(LdAParty,$P898,LdAType,1,LdAKey,"&lt;"&amp;$T898)+COUNTIFS(LdBMember,$P898,LdBKey,"&lt;"&amp;$T898)+COUNTIFS(LdCParty,$P898,LdCKey,"&lt;"&amp;$T898)+1)</f>
        <v/>
      </c>
      <c r="V898">
        <f>IF($U898="","",$P898&amp;"|"&amp;RIGHT("000000"&amp;$U898,6))</f>
        <v/>
      </c>
      <c r="W898">
        <f>IF($T898="","",COUNTIFS(LdBGroup,$R898,LdBKey,"&lt;"&amp;$T898)+1)</f>
        <v/>
      </c>
      <c r="X898">
        <f>IF($W898="","",$R898&amp;"|"&amp;RIGHT("000000"&amp;$W898,6))</f>
        <v/>
      </c>
      <c r="Y898">
        <f>IF($P898="","",IF(Shares!$E901="",0,Shares!$E901))</f>
        <v/>
      </c>
      <c r="Z898">
        <f>IF($P898="","",Shares!$H901)</f>
        <v/>
      </c>
      <c r="AE898">
        <f>IF(OR(Sync!$S898="",Sync!$P898=""),"",Sync!$S898)</f>
        <v/>
      </c>
      <c r="AF898">
        <f>IF($AE898="","",IF(ISNUMBER(Sync!$P898),IF(AND(Sync!$P898&gt;=10000101,Sync!$P898&lt;=99991231),INT(Sync!$P898/10000),""),IFERROR(VALUE(TRIM(LEFT(Sync!$P898,FIND("/",Sync!$P898)-1))),"")))</f>
        <v/>
      </c>
      <c r="AG898">
        <f>IF(OR($AE898="",$AF898=""),"",IF(ISNUMBER(Sync!$P898),INT(MOD(Sync!$P898,10000)/100),IFERROR(VALUE(TRIM(LEFT(MID(Sync!$P898,FIND("/",Sync!$P898)+1,20),FIND("/",MID(Sync!$P898,FIND("/",Sync!$P898)+1,20))-1))),"")))</f>
        <v/>
      </c>
      <c r="AH898">
        <f>IF(OR($AE898="",$AF898=""),"",IF(ISNUMBER(Sync!$P898),MOD(Sync!$P898,100),IFERROR(VALUE(TRIM(MID(MID(Sync!$P898,FIND("/",Sync!$P898)+1,20),FIND("/",MID(Sync!$P898,FIND("/",Sync!$P898)+1,20))+1,20))),"")))</f>
        <v/>
      </c>
      <c r="AI898">
        <f>IF($AE898="","",IF(OR($AF898="",$AG898="",$AH898="",$AF898&lt;1300,$AF898&gt;1500,$AG898&lt;1,$AG898&gt;12,$AH898&lt;1,$AH898&gt;31),"نامعتبر",RIGHT("0000"&amp;$AF898,4)&amp;"/"&amp;RIGHT("00"&amp;$AG898,2)&amp;"/"&amp;RIGHT("00"&amp;$AH898,2)))</f>
        <v/>
      </c>
      <c r="AJ898">
        <f>IF($AE898="","",IF(Sync!$Q898="","0000",IF(AND(ISNUMBER(Sync!$Q898),Sync!$Q898&gt;=0,Sync!$Q898&lt;1),RIGHT("00"&amp;HOUR(Sync!$Q898),2)&amp;RIGHT("00"&amp;MINUTE(Sync!$Q898),2),IFERROR(RIGHT("00"&amp;VALUE(LEFT(Sync!$Q898,FIND(":",Sync!$Q898)-1)),2)&amp;RIGHT("00"&amp;VALUE(MID(Sync!$Q898,FIND(":",Sync!$Q898)+1,2)),2),"0000"))))</f>
        <v/>
      </c>
      <c r="AK898">
        <f>IF(OR($AE898="",$AI898="",$AI898="نامعتبر"),"",LEFT($AI898,4)&amp;MID($AI898,6,2)&amp;RIGHT($AI898,2)&amp;$AJ898&amp;"|"&amp;"3"&amp;RIGHT("00000"&amp;893,5))</f>
        <v/>
      </c>
      <c r="AL898">
        <f>IF($AK898="","",COUNTIFS(LdAParty,$AE898,LdAType,1,LdAKey,"&lt;"&amp;$AK898)+COUNTIFS(LdBMember,$AE898,LdBKey,"&lt;"&amp;$AK898)+COUNTIFS(LdCParty,$AE898,LdCKey,"&lt;"&amp;$AK898)+1)</f>
        <v/>
      </c>
      <c r="AM898">
        <f>IF($AL898="","",$AE898&amp;"|"&amp;RIGHT("000000"&amp;$AL898,6))</f>
        <v/>
      </c>
      <c r="AN898">
        <f>IF($AE898="","",IF(Sync!$W898="",0,Sync!$W898))</f>
        <v/>
      </c>
      <c r="AO898">
        <f>IF($AE898="","",IF(Sync!$X898="",0,Sync!$X898))</f>
        <v/>
      </c>
      <c r="AP898">
        <f>IF($AE898="","",Sync!$R898)</f>
        <v/>
      </c>
      <c r="AQ898">
        <f>IF($AE898="","",Sync!$Y898)</f>
        <v/>
      </c>
    </row>
    <row r="899">
      <c r="A899">
        <f>IF(OR(Wages!$B902="",Wages!$E902=""),"",Wages!$E902)</f>
        <v/>
      </c>
      <c r="B899">
        <f>IF($A899="","",IF(Wages!$C902="دستمزد گروهی",2,1))</f>
        <v/>
      </c>
      <c r="C899">
        <f>IF($A899="","",IF(ISNUMBER(Wages!$B902),IF(AND(Wages!$B902&gt;=10000101,Wages!$B902&lt;=99991231),INT(Wages!$B902/10000),""),IFERROR(VALUE(TRIM(LEFT(Wages!$B902,FIND("/",Wages!$B902)-1))),"")))</f>
        <v/>
      </c>
      <c r="D899">
        <f>IF(OR($A899="",$C899=""),"",IF(ISNUMBER(Wages!$B902),INT(MOD(Wages!$B902,10000)/100),IFERROR(VALUE(TRIM(LEFT(MID(Wages!$B902,FIND("/",Wages!$B902)+1,20),FIND("/",MID(Wages!$B902,FIND("/",Wages!$B902)+1,20))-1))),"")))</f>
        <v/>
      </c>
      <c r="E899">
        <f>IF(OR($A899="",$C899=""),"",IF(ISNUMBER(Wages!$B902),MOD(Wages!$B902,100),IFERROR(VALUE(TRIM(MID(MID(Wages!$B902,FIND("/",Wages!$B902)+1,20),FIND("/",MID(Wages!$B902,FIND("/",Wages!$B902)+1,20))+1,20))),"")))</f>
        <v/>
      </c>
      <c r="F899">
        <f>IF($A899="","",IF(OR($C899="",$D899="",$E899="",$C899&lt;1300,$C899&gt;1500,$D899&lt;1,$D899&gt;12,$E899&lt;1,$E899&gt;31),"نامعتبر",RIGHT("0000"&amp;$C899,4)&amp;"/"&amp;RIGHT("00"&amp;$D899,2)&amp;"/"&amp;RIGHT("00"&amp;$E899,2)))</f>
        <v/>
      </c>
      <c r="G899">
        <f>IF(OR($A899="",$F899="",$F899="نامعتبر"),"",LEFT($F899,4)&amp;MID($F899,6,2)&amp;RIGHT($F899,2)&amp;"0000"&amp;"|"&amp;"1"&amp;RIGHT("00000"&amp;894,5))</f>
        <v/>
      </c>
      <c r="H899">
        <f>IF(OR($B899&lt;&gt;1,$G899=""),"",COUNTIFS(LdAParty,$A899,LdAType,1,LdAKey,"&lt;"&amp;$G899)+COUNTIFS(LdBMember,$A899,LdBKey,"&lt;"&amp;$G899)+COUNTIFS(LdCParty,$A899,LdCKey,"&lt;"&amp;$G899)+1)</f>
        <v/>
      </c>
      <c r="I899">
        <f>IF($H899="","",$A899&amp;"|"&amp;RIGHT("000000"&amp;$H899,6))</f>
        <v/>
      </c>
      <c r="J899">
        <f>IF(OR($B899&lt;&gt;2,$G899=""),"",COUNTIFS(LdAParty,$A899,LdAType,2,LdAKey,"&lt;"&amp;$G899)+1)</f>
        <v/>
      </c>
      <c r="K899">
        <f>IF($J899="","",$A899&amp;"|"&amp;RIGHT("000000"&amp;$J899,6))</f>
        <v/>
      </c>
      <c r="L899">
        <f>IF($A899="","",IF(Wages!$G902="",0,Wages!$G902))</f>
        <v/>
      </c>
      <c r="M899">
        <f>IF($A899="","",Wages!$J902)</f>
        <v/>
      </c>
      <c r="N899">
        <f>IF($A899="","",Wages!$D902)</f>
        <v/>
      </c>
      <c r="P899">
        <f>IF(OR(Shares!$B902="",Shares!$C902=""),"",Shares!$C902)</f>
        <v/>
      </c>
      <c r="Q899">
        <f>IF($P899="","",Shares!$B902)</f>
        <v/>
      </c>
      <c r="R899">
        <f>IF($P899="","",IFERROR(INDEX(WageParty,MATCH($Q899,WageIds,0)),""))</f>
        <v/>
      </c>
      <c r="S899">
        <f>IF($P899="","",IFERROR(INDEX($F$6:$F$2005,MATCH($Q899,WageIds,0)),""))</f>
        <v/>
      </c>
      <c r="T899">
        <f>IF(OR($P899="",$S899="",$S899="نامعتبر"),"",LEFT($S899,4)&amp;MID($S899,6,2)&amp;RIGHT($S899,2)&amp;"0000"&amp;"|"&amp;"2"&amp;RIGHT("00000"&amp;894,5))</f>
        <v/>
      </c>
      <c r="U899">
        <f>IF($T899="","",COUNTIFS(LdAParty,$P899,LdAType,1,LdAKey,"&lt;"&amp;$T899)+COUNTIFS(LdBMember,$P899,LdBKey,"&lt;"&amp;$T899)+COUNTIFS(LdCParty,$P899,LdCKey,"&lt;"&amp;$T899)+1)</f>
        <v/>
      </c>
      <c r="V899">
        <f>IF($U899="","",$P899&amp;"|"&amp;RIGHT("000000"&amp;$U899,6))</f>
        <v/>
      </c>
      <c r="W899">
        <f>IF($T899="","",COUNTIFS(LdBGroup,$R899,LdBKey,"&lt;"&amp;$T899)+1)</f>
        <v/>
      </c>
      <c r="X899">
        <f>IF($W899="","",$R899&amp;"|"&amp;RIGHT("000000"&amp;$W899,6))</f>
        <v/>
      </c>
      <c r="Y899">
        <f>IF($P899="","",IF(Shares!$E902="",0,Shares!$E902))</f>
        <v/>
      </c>
      <c r="Z899">
        <f>IF($P899="","",Shares!$H902)</f>
        <v/>
      </c>
      <c r="AE899">
        <f>IF(OR(Sync!$S899="",Sync!$P899=""),"",Sync!$S899)</f>
        <v/>
      </c>
      <c r="AF899">
        <f>IF($AE899="","",IF(ISNUMBER(Sync!$P899),IF(AND(Sync!$P899&gt;=10000101,Sync!$P899&lt;=99991231),INT(Sync!$P899/10000),""),IFERROR(VALUE(TRIM(LEFT(Sync!$P899,FIND("/",Sync!$P899)-1))),"")))</f>
        <v/>
      </c>
      <c r="AG899">
        <f>IF(OR($AE899="",$AF899=""),"",IF(ISNUMBER(Sync!$P899),INT(MOD(Sync!$P899,10000)/100),IFERROR(VALUE(TRIM(LEFT(MID(Sync!$P899,FIND("/",Sync!$P899)+1,20),FIND("/",MID(Sync!$P899,FIND("/",Sync!$P899)+1,20))-1))),"")))</f>
        <v/>
      </c>
      <c r="AH899">
        <f>IF(OR($AE899="",$AF899=""),"",IF(ISNUMBER(Sync!$P899),MOD(Sync!$P899,100),IFERROR(VALUE(TRIM(MID(MID(Sync!$P899,FIND("/",Sync!$P899)+1,20),FIND("/",MID(Sync!$P899,FIND("/",Sync!$P899)+1,20))+1,20))),"")))</f>
        <v/>
      </c>
      <c r="AI899">
        <f>IF($AE899="","",IF(OR($AF899="",$AG899="",$AH899="",$AF899&lt;1300,$AF899&gt;1500,$AG899&lt;1,$AG899&gt;12,$AH899&lt;1,$AH899&gt;31),"نامعتبر",RIGHT("0000"&amp;$AF899,4)&amp;"/"&amp;RIGHT("00"&amp;$AG899,2)&amp;"/"&amp;RIGHT("00"&amp;$AH899,2)))</f>
        <v/>
      </c>
      <c r="AJ899">
        <f>IF($AE899="","",IF(Sync!$Q899="","0000",IF(AND(ISNUMBER(Sync!$Q899),Sync!$Q899&gt;=0,Sync!$Q899&lt;1),RIGHT("00"&amp;HOUR(Sync!$Q899),2)&amp;RIGHT("00"&amp;MINUTE(Sync!$Q899),2),IFERROR(RIGHT("00"&amp;VALUE(LEFT(Sync!$Q899,FIND(":",Sync!$Q899)-1)),2)&amp;RIGHT("00"&amp;VALUE(MID(Sync!$Q899,FIND(":",Sync!$Q899)+1,2)),2),"0000"))))</f>
        <v/>
      </c>
      <c r="AK899">
        <f>IF(OR($AE899="",$AI899="",$AI899="نامعتبر"),"",LEFT($AI899,4)&amp;MID($AI899,6,2)&amp;RIGHT($AI899,2)&amp;$AJ899&amp;"|"&amp;"3"&amp;RIGHT("00000"&amp;894,5))</f>
        <v/>
      </c>
      <c r="AL899">
        <f>IF($AK899="","",COUNTIFS(LdAParty,$AE899,LdAType,1,LdAKey,"&lt;"&amp;$AK899)+COUNTIFS(LdBMember,$AE899,LdBKey,"&lt;"&amp;$AK899)+COUNTIFS(LdCParty,$AE899,LdCKey,"&lt;"&amp;$AK899)+1)</f>
        <v/>
      </c>
      <c r="AM899">
        <f>IF($AL899="","",$AE899&amp;"|"&amp;RIGHT("000000"&amp;$AL899,6))</f>
        <v/>
      </c>
      <c r="AN899">
        <f>IF($AE899="","",IF(Sync!$W899="",0,Sync!$W899))</f>
        <v/>
      </c>
      <c r="AO899">
        <f>IF($AE899="","",IF(Sync!$X899="",0,Sync!$X899))</f>
        <v/>
      </c>
      <c r="AP899">
        <f>IF($AE899="","",Sync!$R899)</f>
        <v/>
      </c>
      <c r="AQ899">
        <f>IF($AE899="","",Sync!$Y899)</f>
        <v/>
      </c>
    </row>
    <row r="900">
      <c r="A900">
        <f>IF(OR(Wages!$B903="",Wages!$E903=""),"",Wages!$E903)</f>
        <v/>
      </c>
      <c r="B900">
        <f>IF($A900="","",IF(Wages!$C903="دستمزد گروهی",2,1))</f>
        <v/>
      </c>
      <c r="C900">
        <f>IF($A900="","",IF(ISNUMBER(Wages!$B903),IF(AND(Wages!$B903&gt;=10000101,Wages!$B903&lt;=99991231),INT(Wages!$B903/10000),""),IFERROR(VALUE(TRIM(LEFT(Wages!$B903,FIND("/",Wages!$B903)-1))),"")))</f>
        <v/>
      </c>
      <c r="D900">
        <f>IF(OR($A900="",$C900=""),"",IF(ISNUMBER(Wages!$B903),INT(MOD(Wages!$B903,10000)/100),IFERROR(VALUE(TRIM(LEFT(MID(Wages!$B903,FIND("/",Wages!$B903)+1,20),FIND("/",MID(Wages!$B903,FIND("/",Wages!$B903)+1,20))-1))),"")))</f>
        <v/>
      </c>
      <c r="E900">
        <f>IF(OR($A900="",$C900=""),"",IF(ISNUMBER(Wages!$B903),MOD(Wages!$B903,100),IFERROR(VALUE(TRIM(MID(MID(Wages!$B903,FIND("/",Wages!$B903)+1,20),FIND("/",MID(Wages!$B903,FIND("/",Wages!$B903)+1,20))+1,20))),"")))</f>
        <v/>
      </c>
      <c r="F900">
        <f>IF($A900="","",IF(OR($C900="",$D900="",$E900="",$C900&lt;1300,$C900&gt;1500,$D900&lt;1,$D900&gt;12,$E900&lt;1,$E900&gt;31),"نامعتبر",RIGHT("0000"&amp;$C900,4)&amp;"/"&amp;RIGHT("00"&amp;$D900,2)&amp;"/"&amp;RIGHT("00"&amp;$E900,2)))</f>
        <v/>
      </c>
      <c r="G900">
        <f>IF(OR($A900="",$F900="",$F900="نامعتبر"),"",LEFT($F900,4)&amp;MID($F900,6,2)&amp;RIGHT($F900,2)&amp;"0000"&amp;"|"&amp;"1"&amp;RIGHT("00000"&amp;895,5))</f>
        <v/>
      </c>
      <c r="H900">
        <f>IF(OR($B900&lt;&gt;1,$G900=""),"",COUNTIFS(LdAParty,$A900,LdAType,1,LdAKey,"&lt;"&amp;$G900)+COUNTIFS(LdBMember,$A900,LdBKey,"&lt;"&amp;$G900)+COUNTIFS(LdCParty,$A900,LdCKey,"&lt;"&amp;$G900)+1)</f>
        <v/>
      </c>
      <c r="I900">
        <f>IF($H900="","",$A900&amp;"|"&amp;RIGHT("000000"&amp;$H900,6))</f>
        <v/>
      </c>
      <c r="J900">
        <f>IF(OR($B900&lt;&gt;2,$G900=""),"",COUNTIFS(LdAParty,$A900,LdAType,2,LdAKey,"&lt;"&amp;$G900)+1)</f>
        <v/>
      </c>
      <c r="K900">
        <f>IF($J900="","",$A900&amp;"|"&amp;RIGHT("000000"&amp;$J900,6))</f>
        <v/>
      </c>
      <c r="L900">
        <f>IF($A900="","",IF(Wages!$G903="",0,Wages!$G903))</f>
        <v/>
      </c>
      <c r="M900">
        <f>IF($A900="","",Wages!$J903)</f>
        <v/>
      </c>
      <c r="N900">
        <f>IF($A900="","",Wages!$D903)</f>
        <v/>
      </c>
      <c r="P900">
        <f>IF(OR(Shares!$B903="",Shares!$C903=""),"",Shares!$C903)</f>
        <v/>
      </c>
      <c r="Q900">
        <f>IF($P900="","",Shares!$B903)</f>
        <v/>
      </c>
      <c r="R900">
        <f>IF($P900="","",IFERROR(INDEX(WageParty,MATCH($Q900,WageIds,0)),""))</f>
        <v/>
      </c>
      <c r="S900">
        <f>IF($P900="","",IFERROR(INDEX($F$6:$F$2005,MATCH($Q900,WageIds,0)),""))</f>
        <v/>
      </c>
      <c r="T900">
        <f>IF(OR($P900="",$S900="",$S900="نامعتبر"),"",LEFT($S900,4)&amp;MID($S900,6,2)&amp;RIGHT($S900,2)&amp;"0000"&amp;"|"&amp;"2"&amp;RIGHT("00000"&amp;895,5))</f>
        <v/>
      </c>
      <c r="U900">
        <f>IF($T900="","",COUNTIFS(LdAParty,$P900,LdAType,1,LdAKey,"&lt;"&amp;$T900)+COUNTIFS(LdBMember,$P900,LdBKey,"&lt;"&amp;$T900)+COUNTIFS(LdCParty,$P900,LdCKey,"&lt;"&amp;$T900)+1)</f>
        <v/>
      </c>
      <c r="V900">
        <f>IF($U900="","",$P900&amp;"|"&amp;RIGHT("000000"&amp;$U900,6))</f>
        <v/>
      </c>
      <c r="W900">
        <f>IF($T900="","",COUNTIFS(LdBGroup,$R900,LdBKey,"&lt;"&amp;$T900)+1)</f>
        <v/>
      </c>
      <c r="X900">
        <f>IF($W900="","",$R900&amp;"|"&amp;RIGHT("000000"&amp;$W900,6))</f>
        <v/>
      </c>
      <c r="Y900">
        <f>IF($P900="","",IF(Shares!$E903="",0,Shares!$E903))</f>
        <v/>
      </c>
      <c r="Z900">
        <f>IF($P900="","",Shares!$H903)</f>
        <v/>
      </c>
      <c r="AE900">
        <f>IF(OR(Sync!$S900="",Sync!$P900=""),"",Sync!$S900)</f>
        <v/>
      </c>
      <c r="AF900">
        <f>IF($AE900="","",IF(ISNUMBER(Sync!$P900),IF(AND(Sync!$P900&gt;=10000101,Sync!$P900&lt;=99991231),INT(Sync!$P900/10000),""),IFERROR(VALUE(TRIM(LEFT(Sync!$P900,FIND("/",Sync!$P900)-1))),"")))</f>
        <v/>
      </c>
      <c r="AG900">
        <f>IF(OR($AE900="",$AF900=""),"",IF(ISNUMBER(Sync!$P900),INT(MOD(Sync!$P900,10000)/100),IFERROR(VALUE(TRIM(LEFT(MID(Sync!$P900,FIND("/",Sync!$P900)+1,20),FIND("/",MID(Sync!$P900,FIND("/",Sync!$P900)+1,20))-1))),"")))</f>
        <v/>
      </c>
      <c r="AH900">
        <f>IF(OR($AE900="",$AF900=""),"",IF(ISNUMBER(Sync!$P900),MOD(Sync!$P900,100),IFERROR(VALUE(TRIM(MID(MID(Sync!$P900,FIND("/",Sync!$P900)+1,20),FIND("/",MID(Sync!$P900,FIND("/",Sync!$P900)+1,20))+1,20))),"")))</f>
        <v/>
      </c>
      <c r="AI900">
        <f>IF($AE900="","",IF(OR($AF900="",$AG900="",$AH900="",$AF900&lt;1300,$AF900&gt;1500,$AG900&lt;1,$AG900&gt;12,$AH900&lt;1,$AH900&gt;31),"نامعتبر",RIGHT("0000"&amp;$AF900,4)&amp;"/"&amp;RIGHT("00"&amp;$AG900,2)&amp;"/"&amp;RIGHT("00"&amp;$AH900,2)))</f>
        <v/>
      </c>
      <c r="AJ900">
        <f>IF($AE900="","",IF(Sync!$Q900="","0000",IF(AND(ISNUMBER(Sync!$Q900),Sync!$Q900&gt;=0,Sync!$Q900&lt;1),RIGHT("00"&amp;HOUR(Sync!$Q900),2)&amp;RIGHT("00"&amp;MINUTE(Sync!$Q900),2),IFERROR(RIGHT("00"&amp;VALUE(LEFT(Sync!$Q900,FIND(":",Sync!$Q900)-1)),2)&amp;RIGHT("00"&amp;VALUE(MID(Sync!$Q900,FIND(":",Sync!$Q900)+1,2)),2),"0000"))))</f>
        <v/>
      </c>
      <c r="AK900">
        <f>IF(OR($AE900="",$AI900="",$AI900="نامعتبر"),"",LEFT($AI900,4)&amp;MID($AI900,6,2)&amp;RIGHT($AI900,2)&amp;$AJ900&amp;"|"&amp;"3"&amp;RIGHT("00000"&amp;895,5))</f>
        <v/>
      </c>
      <c r="AL900">
        <f>IF($AK900="","",COUNTIFS(LdAParty,$AE900,LdAType,1,LdAKey,"&lt;"&amp;$AK900)+COUNTIFS(LdBMember,$AE900,LdBKey,"&lt;"&amp;$AK900)+COUNTIFS(LdCParty,$AE900,LdCKey,"&lt;"&amp;$AK900)+1)</f>
        <v/>
      </c>
      <c r="AM900">
        <f>IF($AL900="","",$AE900&amp;"|"&amp;RIGHT("000000"&amp;$AL900,6))</f>
        <v/>
      </c>
      <c r="AN900">
        <f>IF($AE900="","",IF(Sync!$W900="",0,Sync!$W900))</f>
        <v/>
      </c>
      <c r="AO900">
        <f>IF($AE900="","",IF(Sync!$X900="",0,Sync!$X900))</f>
        <v/>
      </c>
      <c r="AP900">
        <f>IF($AE900="","",Sync!$R900)</f>
        <v/>
      </c>
      <c r="AQ900">
        <f>IF($AE900="","",Sync!$Y900)</f>
        <v/>
      </c>
    </row>
    <row r="901">
      <c r="A901">
        <f>IF(OR(Wages!$B904="",Wages!$E904=""),"",Wages!$E904)</f>
        <v/>
      </c>
      <c r="B901">
        <f>IF($A901="","",IF(Wages!$C904="دستمزد گروهی",2,1))</f>
        <v/>
      </c>
      <c r="C901">
        <f>IF($A901="","",IF(ISNUMBER(Wages!$B904),IF(AND(Wages!$B904&gt;=10000101,Wages!$B904&lt;=99991231),INT(Wages!$B904/10000),""),IFERROR(VALUE(TRIM(LEFT(Wages!$B904,FIND("/",Wages!$B904)-1))),"")))</f>
        <v/>
      </c>
      <c r="D901">
        <f>IF(OR($A901="",$C901=""),"",IF(ISNUMBER(Wages!$B904),INT(MOD(Wages!$B904,10000)/100),IFERROR(VALUE(TRIM(LEFT(MID(Wages!$B904,FIND("/",Wages!$B904)+1,20),FIND("/",MID(Wages!$B904,FIND("/",Wages!$B904)+1,20))-1))),"")))</f>
        <v/>
      </c>
      <c r="E901">
        <f>IF(OR($A901="",$C901=""),"",IF(ISNUMBER(Wages!$B904),MOD(Wages!$B904,100),IFERROR(VALUE(TRIM(MID(MID(Wages!$B904,FIND("/",Wages!$B904)+1,20),FIND("/",MID(Wages!$B904,FIND("/",Wages!$B904)+1,20))+1,20))),"")))</f>
        <v/>
      </c>
      <c r="F901">
        <f>IF($A901="","",IF(OR($C901="",$D901="",$E901="",$C901&lt;1300,$C901&gt;1500,$D901&lt;1,$D901&gt;12,$E901&lt;1,$E901&gt;31),"نامعتبر",RIGHT("0000"&amp;$C901,4)&amp;"/"&amp;RIGHT("00"&amp;$D901,2)&amp;"/"&amp;RIGHT("00"&amp;$E901,2)))</f>
        <v/>
      </c>
      <c r="G901">
        <f>IF(OR($A901="",$F901="",$F901="نامعتبر"),"",LEFT($F901,4)&amp;MID($F901,6,2)&amp;RIGHT($F901,2)&amp;"0000"&amp;"|"&amp;"1"&amp;RIGHT("00000"&amp;896,5))</f>
        <v/>
      </c>
      <c r="H901">
        <f>IF(OR($B901&lt;&gt;1,$G901=""),"",COUNTIFS(LdAParty,$A901,LdAType,1,LdAKey,"&lt;"&amp;$G901)+COUNTIFS(LdBMember,$A901,LdBKey,"&lt;"&amp;$G901)+COUNTIFS(LdCParty,$A901,LdCKey,"&lt;"&amp;$G901)+1)</f>
        <v/>
      </c>
      <c r="I901">
        <f>IF($H901="","",$A901&amp;"|"&amp;RIGHT("000000"&amp;$H901,6))</f>
        <v/>
      </c>
      <c r="J901">
        <f>IF(OR($B901&lt;&gt;2,$G901=""),"",COUNTIFS(LdAParty,$A901,LdAType,2,LdAKey,"&lt;"&amp;$G901)+1)</f>
        <v/>
      </c>
      <c r="K901">
        <f>IF($J901="","",$A901&amp;"|"&amp;RIGHT("000000"&amp;$J901,6))</f>
        <v/>
      </c>
      <c r="L901">
        <f>IF($A901="","",IF(Wages!$G904="",0,Wages!$G904))</f>
        <v/>
      </c>
      <c r="M901">
        <f>IF($A901="","",Wages!$J904)</f>
        <v/>
      </c>
      <c r="N901">
        <f>IF($A901="","",Wages!$D904)</f>
        <v/>
      </c>
      <c r="P901">
        <f>IF(OR(Shares!$B904="",Shares!$C904=""),"",Shares!$C904)</f>
        <v/>
      </c>
      <c r="Q901">
        <f>IF($P901="","",Shares!$B904)</f>
        <v/>
      </c>
      <c r="R901">
        <f>IF($P901="","",IFERROR(INDEX(WageParty,MATCH($Q901,WageIds,0)),""))</f>
        <v/>
      </c>
      <c r="S901">
        <f>IF($P901="","",IFERROR(INDEX($F$6:$F$2005,MATCH($Q901,WageIds,0)),""))</f>
        <v/>
      </c>
      <c r="T901">
        <f>IF(OR($P901="",$S901="",$S901="نامعتبر"),"",LEFT($S901,4)&amp;MID($S901,6,2)&amp;RIGHT($S901,2)&amp;"0000"&amp;"|"&amp;"2"&amp;RIGHT("00000"&amp;896,5))</f>
        <v/>
      </c>
      <c r="U901">
        <f>IF($T901="","",COUNTIFS(LdAParty,$P901,LdAType,1,LdAKey,"&lt;"&amp;$T901)+COUNTIFS(LdBMember,$P901,LdBKey,"&lt;"&amp;$T901)+COUNTIFS(LdCParty,$P901,LdCKey,"&lt;"&amp;$T901)+1)</f>
        <v/>
      </c>
      <c r="V901">
        <f>IF($U901="","",$P901&amp;"|"&amp;RIGHT("000000"&amp;$U901,6))</f>
        <v/>
      </c>
      <c r="W901">
        <f>IF($T901="","",COUNTIFS(LdBGroup,$R901,LdBKey,"&lt;"&amp;$T901)+1)</f>
        <v/>
      </c>
      <c r="X901">
        <f>IF($W901="","",$R901&amp;"|"&amp;RIGHT("000000"&amp;$W901,6))</f>
        <v/>
      </c>
      <c r="Y901">
        <f>IF($P901="","",IF(Shares!$E904="",0,Shares!$E904))</f>
        <v/>
      </c>
      <c r="Z901">
        <f>IF($P901="","",Shares!$H904)</f>
        <v/>
      </c>
      <c r="AE901">
        <f>IF(OR(Sync!$S901="",Sync!$P901=""),"",Sync!$S901)</f>
        <v/>
      </c>
      <c r="AF901">
        <f>IF($AE901="","",IF(ISNUMBER(Sync!$P901),IF(AND(Sync!$P901&gt;=10000101,Sync!$P901&lt;=99991231),INT(Sync!$P901/10000),""),IFERROR(VALUE(TRIM(LEFT(Sync!$P901,FIND("/",Sync!$P901)-1))),"")))</f>
        <v/>
      </c>
      <c r="AG901">
        <f>IF(OR($AE901="",$AF901=""),"",IF(ISNUMBER(Sync!$P901),INT(MOD(Sync!$P901,10000)/100),IFERROR(VALUE(TRIM(LEFT(MID(Sync!$P901,FIND("/",Sync!$P901)+1,20),FIND("/",MID(Sync!$P901,FIND("/",Sync!$P901)+1,20))-1))),"")))</f>
        <v/>
      </c>
      <c r="AH901">
        <f>IF(OR($AE901="",$AF901=""),"",IF(ISNUMBER(Sync!$P901),MOD(Sync!$P901,100),IFERROR(VALUE(TRIM(MID(MID(Sync!$P901,FIND("/",Sync!$P901)+1,20),FIND("/",MID(Sync!$P901,FIND("/",Sync!$P901)+1,20))+1,20))),"")))</f>
        <v/>
      </c>
      <c r="AI901">
        <f>IF($AE901="","",IF(OR($AF901="",$AG901="",$AH901="",$AF901&lt;1300,$AF901&gt;1500,$AG901&lt;1,$AG901&gt;12,$AH901&lt;1,$AH901&gt;31),"نامعتبر",RIGHT("0000"&amp;$AF901,4)&amp;"/"&amp;RIGHT("00"&amp;$AG901,2)&amp;"/"&amp;RIGHT("00"&amp;$AH901,2)))</f>
        <v/>
      </c>
      <c r="AJ901">
        <f>IF($AE901="","",IF(Sync!$Q901="","0000",IF(AND(ISNUMBER(Sync!$Q901),Sync!$Q901&gt;=0,Sync!$Q901&lt;1),RIGHT("00"&amp;HOUR(Sync!$Q901),2)&amp;RIGHT("00"&amp;MINUTE(Sync!$Q901),2),IFERROR(RIGHT("00"&amp;VALUE(LEFT(Sync!$Q901,FIND(":",Sync!$Q901)-1)),2)&amp;RIGHT("00"&amp;VALUE(MID(Sync!$Q901,FIND(":",Sync!$Q901)+1,2)),2),"0000"))))</f>
        <v/>
      </c>
      <c r="AK901">
        <f>IF(OR($AE901="",$AI901="",$AI901="نامعتبر"),"",LEFT($AI901,4)&amp;MID($AI901,6,2)&amp;RIGHT($AI901,2)&amp;$AJ901&amp;"|"&amp;"3"&amp;RIGHT("00000"&amp;896,5))</f>
        <v/>
      </c>
      <c r="AL901">
        <f>IF($AK901="","",COUNTIFS(LdAParty,$AE901,LdAType,1,LdAKey,"&lt;"&amp;$AK901)+COUNTIFS(LdBMember,$AE901,LdBKey,"&lt;"&amp;$AK901)+COUNTIFS(LdCParty,$AE901,LdCKey,"&lt;"&amp;$AK901)+1)</f>
        <v/>
      </c>
      <c r="AM901">
        <f>IF($AL901="","",$AE901&amp;"|"&amp;RIGHT("000000"&amp;$AL901,6))</f>
        <v/>
      </c>
      <c r="AN901">
        <f>IF($AE901="","",IF(Sync!$W901="",0,Sync!$W901))</f>
        <v/>
      </c>
      <c r="AO901">
        <f>IF($AE901="","",IF(Sync!$X901="",0,Sync!$X901))</f>
        <v/>
      </c>
      <c r="AP901">
        <f>IF($AE901="","",Sync!$R901)</f>
        <v/>
      </c>
      <c r="AQ901">
        <f>IF($AE901="","",Sync!$Y901)</f>
        <v/>
      </c>
    </row>
    <row r="902">
      <c r="A902">
        <f>IF(OR(Wages!$B905="",Wages!$E905=""),"",Wages!$E905)</f>
        <v/>
      </c>
      <c r="B902">
        <f>IF($A902="","",IF(Wages!$C905="دستمزد گروهی",2,1))</f>
        <v/>
      </c>
      <c r="C902">
        <f>IF($A902="","",IF(ISNUMBER(Wages!$B905),IF(AND(Wages!$B905&gt;=10000101,Wages!$B905&lt;=99991231),INT(Wages!$B905/10000),""),IFERROR(VALUE(TRIM(LEFT(Wages!$B905,FIND("/",Wages!$B905)-1))),"")))</f>
        <v/>
      </c>
      <c r="D902">
        <f>IF(OR($A902="",$C902=""),"",IF(ISNUMBER(Wages!$B905),INT(MOD(Wages!$B905,10000)/100),IFERROR(VALUE(TRIM(LEFT(MID(Wages!$B905,FIND("/",Wages!$B905)+1,20),FIND("/",MID(Wages!$B905,FIND("/",Wages!$B905)+1,20))-1))),"")))</f>
        <v/>
      </c>
      <c r="E902">
        <f>IF(OR($A902="",$C902=""),"",IF(ISNUMBER(Wages!$B905),MOD(Wages!$B905,100),IFERROR(VALUE(TRIM(MID(MID(Wages!$B905,FIND("/",Wages!$B905)+1,20),FIND("/",MID(Wages!$B905,FIND("/",Wages!$B905)+1,20))+1,20))),"")))</f>
        <v/>
      </c>
      <c r="F902">
        <f>IF($A902="","",IF(OR($C902="",$D902="",$E902="",$C902&lt;1300,$C902&gt;1500,$D902&lt;1,$D902&gt;12,$E902&lt;1,$E902&gt;31),"نامعتبر",RIGHT("0000"&amp;$C902,4)&amp;"/"&amp;RIGHT("00"&amp;$D902,2)&amp;"/"&amp;RIGHT("00"&amp;$E902,2)))</f>
        <v/>
      </c>
      <c r="G902">
        <f>IF(OR($A902="",$F902="",$F902="نامعتبر"),"",LEFT($F902,4)&amp;MID($F902,6,2)&amp;RIGHT($F902,2)&amp;"0000"&amp;"|"&amp;"1"&amp;RIGHT("00000"&amp;897,5))</f>
        <v/>
      </c>
      <c r="H902">
        <f>IF(OR($B902&lt;&gt;1,$G902=""),"",COUNTIFS(LdAParty,$A902,LdAType,1,LdAKey,"&lt;"&amp;$G902)+COUNTIFS(LdBMember,$A902,LdBKey,"&lt;"&amp;$G902)+COUNTIFS(LdCParty,$A902,LdCKey,"&lt;"&amp;$G902)+1)</f>
        <v/>
      </c>
      <c r="I902">
        <f>IF($H902="","",$A902&amp;"|"&amp;RIGHT("000000"&amp;$H902,6))</f>
        <v/>
      </c>
      <c r="J902">
        <f>IF(OR($B902&lt;&gt;2,$G902=""),"",COUNTIFS(LdAParty,$A902,LdAType,2,LdAKey,"&lt;"&amp;$G902)+1)</f>
        <v/>
      </c>
      <c r="K902">
        <f>IF($J902="","",$A902&amp;"|"&amp;RIGHT("000000"&amp;$J902,6))</f>
        <v/>
      </c>
      <c r="L902">
        <f>IF($A902="","",IF(Wages!$G905="",0,Wages!$G905))</f>
        <v/>
      </c>
      <c r="M902">
        <f>IF($A902="","",Wages!$J905)</f>
        <v/>
      </c>
      <c r="N902">
        <f>IF($A902="","",Wages!$D905)</f>
        <v/>
      </c>
      <c r="P902">
        <f>IF(OR(Shares!$B905="",Shares!$C905=""),"",Shares!$C905)</f>
        <v/>
      </c>
      <c r="Q902">
        <f>IF($P902="","",Shares!$B905)</f>
        <v/>
      </c>
      <c r="R902">
        <f>IF($P902="","",IFERROR(INDEX(WageParty,MATCH($Q902,WageIds,0)),""))</f>
        <v/>
      </c>
      <c r="S902">
        <f>IF($P902="","",IFERROR(INDEX($F$6:$F$2005,MATCH($Q902,WageIds,0)),""))</f>
        <v/>
      </c>
      <c r="T902">
        <f>IF(OR($P902="",$S902="",$S902="نامعتبر"),"",LEFT($S902,4)&amp;MID($S902,6,2)&amp;RIGHT($S902,2)&amp;"0000"&amp;"|"&amp;"2"&amp;RIGHT("00000"&amp;897,5))</f>
        <v/>
      </c>
      <c r="U902">
        <f>IF($T902="","",COUNTIFS(LdAParty,$P902,LdAType,1,LdAKey,"&lt;"&amp;$T902)+COUNTIFS(LdBMember,$P902,LdBKey,"&lt;"&amp;$T902)+COUNTIFS(LdCParty,$P902,LdCKey,"&lt;"&amp;$T902)+1)</f>
        <v/>
      </c>
      <c r="V902">
        <f>IF($U902="","",$P902&amp;"|"&amp;RIGHT("000000"&amp;$U902,6))</f>
        <v/>
      </c>
      <c r="W902">
        <f>IF($T902="","",COUNTIFS(LdBGroup,$R902,LdBKey,"&lt;"&amp;$T902)+1)</f>
        <v/>
      </c>
      <c r="X902">
        <f>IF($W902="","",$R902&amp;"|"&amp;RIGHT("000000"&amp;$W902,6))</f>
        <v/>
      </c>
      <c r="Y902">
        <f>IF($P902="","",IF(Shares!$E905="",0,Shares!$E905))</f>
        <v/>
      </c>
      <c r="Z902">
        <f>IF($P902="","",Shares!$H905)</f>
        <v/>
      </c>
      <c r="AE902">
        <f>IF(OR(Sync!$S902="",Sync!$P902=""),"",Sync!$S902)</f>
        <v/>
      </c>
      <c r="AF902">
        <f>IF($AE902="","",IF(ISNUMBER(Sync!$P902),IF(AND(Sync!$P902&gt;=10000101,Sync!$P902&lt;=99991231),INT(Sync!$P902/10000),""),IFERROR(VALUE(TRIM(LEFT(Sync!$P902,FIND("/",Sync!$P902)-1))),"")))</f>
        <v/>
      </c>
      <c r="AG902">
        <f>IF(OR($AE902="",$AF902=""),"",IF(ISNUMBER(Sync!$P902),INT(MOD(Sync!$P902,10000)/100),IFERROR(VALUE(TRIM(LEFT(MID(Sync!$P902,FIND("/",Sync!$P902)+1,20),FIND("/",MID(Sync!$P902,FIND("/",Sync!$P902)+1,20))-1))),"")))</f>
        <v/>
      </c>
      <c r="AH902">
        <f>IF(OR($AE902="",$AF902=""),"",IF(ISNUMBER(Sync!$P902),MOD(Sync!$P902,100),IFERROR(VALUE(TRIM(MID(MID(Sync!$P902,FIND("/",Sync!$P902)+1,20),FIND("/",MID(Sync!$P902,FIND("/",Sync!$P902)+1,20))+1,20))),"")))</f>
        <v/>
      </c>
      <c r="AI902">
        <f>IF($AE902="","",IF(OR($AF902="",$AG902="",$AH902="",$AF902&lt;1300,$AF902&gt;1500,$AG902&lt;1,$AG902&gt;12,$AH902&lt;1,$AH902&gt;31),"نامعتبر",RIGHT("0000"&amp;$AF902,4)&amp;"/"&amp;RIGHT("00"&amp;$AG902,2)&amp;"/"&amp;RIGHT("00"&amp;$AH902,2)))</f>
        <v/>
      </c>
      <c r="AJ902">
        <f>IF($AE902="","",IF(Sync!$Q902="","0000",IF(AND(ISNUMBER(Sync!$Q902),Sync!$Q902&gt;=0,Sync!$Q902&lt;1),RIGHT("00"&amp;HOUR(Sync!$Q902),2)&amp;RIGHT("00"&amp;MINUTE(Sync!$Q902),2),IFERROR(RIGHT("00"&amp;VALUE(LEFT(Sync!$Q902,FIND(":",Sync!$Q902)-1)),2)&amp;RIGHT("00"&amp;VALUE(MID(Sync!$Q902,FIND(":",Sync!$Q902)+1,2)),2),"0000"))))</f>
        <v/>
      </c>
      <c r="AK902">
        <f>IF(OR($AE902="",$AI902="",$AI902="نامعتبر"),"",LEFT($AI902,4)&amp;MID($AI902,6,2)&amp;RIGHT($AI902,2)&amp;$AJ902&amp;"|"&amp;"3"&amp;RIGHT("00000"&amp;897,5))</f>
        <v/>
      </c>
      <c r="AL902">
        <f>IF($AK902="","",COUNTIFS(LdAParty,$AE902,LdAType,1,LdAKey,"&lt;"&amp;$AK902)+COUNTIFS(LdBMember,$AE902,LdBKey,"&lt;"&amp;$AK902)+COUNTIFS(LdCParty,$AE902,LdCKey,"&lt;"&amp;$AK902)+1)</f>
        <v/>
      </c>
      <c r="AM902">
        <f>IF($AL902="","",$AE902&amp;"|"&amp;RIGHT("000000"&amp;$AL902,6))</f>
        <v/>
      </c>
      <c r="AN902">
        <f>IF($AE902="","",IF(Sync!$W902="",0,Sync!$W902))</f>
        <v/>
      </c>
      <c r="AO902">
        <f>IF($AE902="","",IF(Sync!$X902="",0,Sync!$X902))</f>
        <v/>
      </c>
      <c r="AP902">
        <f>IF($AE902="","",Sync!$R902)</f>
        <v/>
      </c>
      <c r="AQ902">
        <f>IF($AE902="","",Sync!$Y902)</f>
        <v/>
      </c>
    </row>
    <row r="903">
      <c r="A903">
        <f>IF(OR(Wages!$B906="",Wages!$E906=""),"",Wages!$E906)</f>
        <v/>
      </c>
      <c r="B903">
        <f>IF($A903="","",IF(Wages!$C906="دستمزد گروهی",2,1))</f>
        <v/>
      </c>
      <c r="C903">
        <f>IF($A903="","",IF(ISNUMBER(Wages!$B906),IF(AND(Wages!$B906&gt;=10000101,Wages!$B906&lt;=99991231),INT(Wages!$B906/10000),""),IFERROR(VALUE(TRIM(LEFT(Wages!$B906,FIND("/",Wages!$B906)-1))),"")))</f>
        <v/>
      </c>
      <c r="D903">
        <f>IF(OR($A903="",$C903=""),"",IF(ISNUMBER(Wages!$B906),INT(MOD(Wages!$B906,10000)/100),IFERROR(VALUE(TRIM(LEFT(MID(Wages!$B906,FIND("/",Wages!$B906)+1,20),FIND("/",MID(Wages!$B906,FIND("/",Wages!$B906)+1,20))-1))),"")))</f>
        <v/>
      </c>
      <c r="E903">
        <f>IF(OR($A903="",$C903=""),"",IF(ISNUMBER(Wages!$B906),MOD(Wages!$B906,100),IFERROR(VALUE(TRIM(MID(MID(Wages!$B906,FIND("/",Wages!$B906)+1,20),FIND("/",MID(Wages!$B906,FIND("/",Wages!$B906)+1,20))+1,20))),"")))</f>
        <v/>
      </c>
      <c r="F903">
        <f>IF($A903="","",IF(OR($C903="",$D903="",$E903="",$C903&lt;1300,$C903&gt;1500,$D903&lt;1,$D903&gt;12,$E903&lt;1,$E903&gt;31),"نامعتبر",RIGHT("0000"&amp;$C903,4)&amp;"/"&amp;RIGHT("00"&amp;$D903,2)&amp;"/"&amp;RIGHT("00"&amp;$E903,2)))</f>
        <v/>
      </c>
      <c r="G903">
        <f>IF(OR($A903="",$F903="",$F903="نامعتبر"),"",LEFT($F903,4)&amp;MID($F903,6,2)&amp;RIGHT($F903,2)&amp;"0000"&amp;"|"&amp;"1"&amp;RIGHT("00000"&amp;898,5))</f>
        <v/>
      </c>
      <c r="H903">
        <f>IF(OR($B903&lt;&gt;1,$G903=""),"",COUNTIFS(LdAParty,$A903,LdAType,1,LdAKey,"&lt;"&amp;$G903)+COUNTIFS(LdBMember,$A903,LdBKey,"&lt;"&amp;$G903)+COUNTIFS(LdCParty,$A903,LdCKey,"&lt;"&amp;$G903)+1)</f>
        <v/>
      </c>
      <c r="I903">
        <f>IF($H903="","",$A903&amp;"|"&amp;RIGHT("000000"&amp;$H903,6))</f>
        <v/>
      </c>
      <c r="J903">
        <f>IF(OR($B903&lt;&gt;2,$G903=""),"",COUNTIFS(LdAParty,$A903,LdAType,2,LdAKey,"&lt;"&amp;$G903)+1)</f>
        <v/>
      </c>
      <c r="K903">
        <f>IF($J903="","",$A903&amp;"|"&amp;RIGHT("000000"&amp;$J903,6))</f>
        <v/>
      </c>
      <c r="L903">
        <f>IF($A903="","",IF(Wages!$G906="",0,Wages!$G906))</f>
        <v/>
      </c>
      <c r="M903">
        <f>IF($A903="","",Wages!$J906)</f>
        <v/>
      </c>
      <c r="N903">
        <f>IF($A903="","",Wages!$D906)</f>
        <v/>
      </c>
      <c r="P903">
        <f>IF(OR(Shares!$B906="",Shares!$C906=""),"",Shares!$C906)</f>
        <v/>
      </c>
      <c r="Q903">
        <f>IF($P903="","",Shares!$B906)</f>
        <v/>
      </c>
      <c r="R903">
        <f>IF($P903="","",IFERROR(INDEX(WageParty,MATCH($Q903,WageIds,0)),""))</f>
        <v/>
      </c>
      <c r="S903">
        <f>IF($P903="","",IFERROR(INDEX($F$6:$F$2005,MATCH($Q903,WageIds,0)),""))</f>
        <v/>
      </c>
      <c r="T903">
        <f>IF(OR($P903="",$S903="",$S903="نامعتبر"),"",LEFT($S903,4)&amp;MID($S903,6,2)&amp;RIGHT($S903,2)&amp;"0000"&amp;"|"&amp;"2"&amp;RIGHT("00000"&amp;898,5))</f>
        <v/>
      </c>
      <c r="U903">
        <f>IF($T903="","",COUNTIFS(LdAParty,$P903,LdAType,1,LdAKey,"&lt;"&amp;$T903)+COUNTIFS(LdBMember,$P903,LdBKey,"&lt;"&amp;$T903)+COUNTIFS(LdCParty,$P903,LdCKey,"&lt;"&amp;$T903)+1)</f>
        <v/>
      </c>
      <c r="V903">
        <f>IF($U903="","",$P903&amp;"|"&amp;RIGHT("000000"&amp;$U903,6))</f>
        <v/>
      </c>
      <c r="W903">
        <f>IF($T903="","",COUNTIFS(LdBGroup,$R903,LdBKey,"&lt;"&amp;$T903)+1)</f>
        <v/>
      </c>
      <c r="X903">
        <f>IF($W903="","",$R903&amp;"|"&amp;RIGHT("000000"&amp;$W903,6))</f>
        <v/>
      </c>
      <c r="Y903">
        <f>IF($P903="","",IF(Shares!$E906="",0,Shares!$E906))</f>
        <v/>
      </c>
      <c r="Z903">
        <f>IF($P903="","",Shares!$H906)</f>
        <v/>
      </c>
      <c r="AE903">
        <f>IF(OR(Sync!$S903="",Sync!$P903=""),"",Sync!$S903)</f>
        <v/>
      </c>
      <c r="AF903">
        <f>IF($AE903="","",IF(ISNUMBER(Sync!$P903),IF(AND(Sync!$P903&gt;=10000101,Sync!$P903&lt;=99991231),INT(Sync!$P903/10000),""),IFERROR(VALUE(TRIM(LEFT(Sync!$P903,FIND("/",Sync!$P903)-1))),"")))</f>
        <v/>
      </c>
      <c r="AG903">
        <f>IF(OR($AE903="",$AF903=""),"",IF(ISNUMBER(Sync!$P903),INT(MOD(Sync!$P903,10000)/100),IFERROR(VALUE(TRIM(LEFT(MID(Sync!$P903,FIND("/",Sync!$P903)+1,20),FIND("/",MID(Sync!$P903,FIND("/",Sync!$P903)+1,20))-1))),"")))</f>
        <v/>
      </c>
      <c r="AH903">
        <f>IF(OR($AE903="",$AF903=""),"",IF(ISNUMBER(Sync!$P903),MOD(Sync!$P903,100),IFERROR(VALUE(TRIM(MID(MID(Sync!$P903,FIND("/",Sync!$P903)+1,20),FIND("/",MID(Sync!$P903,FIND("/",Sync!$P903)+1,20))+1,20))),"")))</f>
        <v/>
      </c>
      <c r="AI903">
        <f>IF($AE903="","",IF(OR($AF903="",$AG903="",$AH903="",$AF903&lt;1300,$AF903&gt;1500,$AG903&lt;1,$AG903&gt;12,$AH903&lt;1,$AH903&gt;31),"نامعتبر",RIGHT("0000"&amp;$AF903,4)&amp;"/"&amp;RIGHT("00"&amp;$AG903,2)&amp;"/"&amp;RIGHT("00"&amp;$AH903,2)))</f>
        <v/>
      </c>
      <c r="AJ903">
        <f>IF($AE903="","",IF(Sync!$Q903="","0000",IF(AND(ISNUMBER(Sync!$Q903),Sync!$Q903&gt;=0,Sync!$Q903&lt;1),RIGHT("00"&amp;HOUR(Sync!$Q903),2)&amp;RIGHT("00"&amp;MINUTE(Sync!$Q903),2),IFERROR(RIGHT("00"&amp;VALUE(LEFT(Sync!$Q903,FIND(":",Sync!$Q903)-1)),2)&amp;RIGHT("00"&amp;VALUE(MID(Sync!$Q903,FIND(":",Sync!$Q903)+1,2)),2),"0000"))))</f>
        <v/>
      </c>
      <c r="AK903">
        <f>IF(OR($AE903="",$AI903="",$AI903="نامعتبر"),"",LEFT($AI903,4)&amp;MID($AI903,6,2)&amp;RIGHT($AI903,2)&amp;$AJ903&amp;"|"&amp;"3"&amp;RIGHT("00000"&amp;898,5))</f>
        <v/>
      </c>
      <c r="AL903">
        <f>IF($AK903="","",COUNTIFS(LdAParty,$AE903,LdAType,1,LdAKey,"&lt;"&amp;$AK903)+COUNTIFS(LdBMember,$AE903,LdBKey,"&lt;"&amp;$AK903)+COUNTIFS(LdCParty,$AE903,LdCKey,"&lt;"&amp;$AK903)+1)</f>
        <v/>
      </c>
      <c r="AM903">
        <f>IF($AL903="","",$AE903&amp;"|"&amp;RIGHT("000000"&amp;$AL903,6))</f>
        <v/>
      </c>
      <c r="AN903">
        <f>IF($AE903="","",IF(Sync!$W903="",0,Sync!$W903))</f>
        <v/>
      </c>
      <c r="AO903">
        <f>IF($AE903="","",IF(Sync!$X903="",0,Sync!$X903))</f>
        <v/>
      </c>
      <c r="AP903">
        <f>IF($AE903="","",Sync!$R903)</f>
        <v/>
      </c>
      <c r="AQ903">
        <f>IF($AE903="","",Sync!$Y903)</f>
        <v/>
      </c>
    </row>
    <row r="904">
      <c r="A904">
        <f>IF(OR(Wages!$B907="",Wages!$E907=""),"",Wages!$E907)</f>
        <v/>
      </c>
      <c r="B904">
        <f>IF($A904="","",IF(Wages!$C907="دستمزد گروهی",2,1))</f>
        <v/>
      </c>
      <c r="C904">
        <f>IF($A904="","",IF(ISNUMBER(Wages!$B907),IF(AND(Wages!$B907&gt;=10000101,Wages!$B907&lt;=99991231),INT(Wages!$B907/10000),""),IFERROR(VALUE(TRIM(LEFT(Wages!$B907,FIND("/",Wages!$B907)-1))),"")))</f>
        <v/>
      </c>
      <c r="D904">
        <f>IF(OR($A904="",$C904=""),"",IF(ISNUMBER(Wages!$B907),INT(MOD(Wages!$B907,10000)/100),IFERROR(VALUE(TRIM(LEFT(MID(Wages!$B907,FIND("/",Wages!$B907)+1,20),FIND("/",MID(Wages!$B907,FIND("/",Wages!$B907)+1,20))-1))),"")))</f>
        <v/>
      </c>
      <c r="E904">
        <f>IF(OR($A904="",$C904=""),"",IF(ISNUMBER(Wages!$B907),MOD(Wages!$B907,100),IFERROR(VALUE(TRIM(MID(MID(Wages!$B907,FIND("/",Wages!$B907)+1,20),FIND("/",MID(Wages!$B907,FIND("/",Wages!$B907)+1,20))+1,20))),"")))</f>
        <v/>
      </c>
      <c r="F904">
        <f>IF($A904="","",IF(OR($C904="",$D904="",$E904="",$C904&lt;1300,$C904&gt;1500,$D904&lt;1,$D904&gt;12,$E904&lt;1,$E904&gt;31),"نامعتبر",RIGHT("0000"&amp;$C904,4)&amp;"/"&amp;RIGHT("00"&amp;$D904,2)&amp;"/"&amp;RIGHT("00"&amp;$E904,2)))</f>
        <v/>
      </c>
      <c r="G904">
        <f>IF(OR($A904="",$F904="",$F904="نامعتبر"),"",LEFT($F904,4)&amp;MID($F904,6,2)&amp;RIGHT($F904,2)&amp;"0000"&amp;"|"&amp;"1"&amp;RIGHT("00000"&amp;899,5))</f>
        <v/>
      </c>
      <c r="H904">
        <f>IF(OR($B904&lt;&gt;1,$G904=""),"",COUNTIFS(LdAParty,$A904,LdAType,1,LdAKey,"&lt;"&amp;$G904)+COUNTIFS(LdBMember,$A904,LdBKey,"&lt;"&amp;$G904)+COUNTIFS(LdCParty,$A904,LdCKey,"&lt;"&amp;$G904)+1)</f>
        <v/>
      </c>
      <c r="I904">
        <f>IF($H904="","",$A904&amp;"|"&amp;RIGHT("000000"&amp;$H904,6))</f>
        <v/>
      </c>
      <c r="J904">
        <f>IF(OR($B904&lt;&gt;2,$G904=""),"",COUNTIFS(LdAParty,$A904,LdAType,2,LdAKey,"&lt;"&amp;$G904)+1)</f>
        <v/>
      </c>
      <c r="K904">
        <f>IF($J904="","",$A904&amp;"|"&amp;RIGHT("000000"&amp;$J904,6))</f>
        <v/>
      </c>
      <c r="L904">
        <f>IF($A904="","",IF(Wages!$G907="",0,Wages!$G907))</f>
        <v/>
      </c>
      <c r="M904">
        <f>IF($A904="","",Wages!$J907)</f>
        <v/>
      </c>
      <c r="N904">
        <f>IF($A904="","",Wages!$D907)</f>
        <v/>
      </c>
      <c r="P904">
        <f>IF(OR(Shares!$B907="",Shares!$C907=""),"",Shares!$C907)</f>
        <v/>
      </c>
      <c r="Q904">
        <f>IF($P904="","",Shares!$B907)</f>
        <v/>
      </c>
      <c r="R904">
        <f>IF($P904="","",IFERROR(INDEX(WageParty,MATCH($Q904,WageIds,0)),""))</f>
        <v/>
      </c>
      <c r="S904">
        <f>IF($P904="","",IFERROR(INDEX($F$6:$F$2005,MATCH($Q904,WageIds,0)),""))</f>
        <v/>
      </c>
      <c r="T904">
        <f>IF(OR($P904="",$S904="",$S904="نامعتبر"),"",LEFT($S904,4)&amp;MID($S904,6,2)&amp;RIGHT($S904,2)&amp;"0000"&amp;"|"&amp;"2"&amp;RIGHT("00000"&amp;899,5))</f>
        <v/>
      </c>
      <c r="U904">
        <f>IF($T904="","",COUNTIFS(LdAParty,$P904,LdAType,1,LdAKey,"&lt;"&amp;$T904)+COUNTIFS(LdBMember,$P904,LdBKey,"&lt;"&amp;$T904)+COUNTIFS(LdCParty,$P904,LdCKey,"&lt;"&amp;$T904)+1)</f>
        <v/>
      </c>
      <c r="V904">
        <f>IF($U904="","",$P904&amp;"|"&amp;RIGHT("000000"&amp;$U904,6))</f>
        <v/>
      </c>
      <c r="W904">
        <f>IF($T904="","",COUNTIFS(LdBGroup,$R904,LdBKey,"&lt;"&amp;$T904)+1)</f>
        <v/>
      </c>
      <c r="X904">
        <f>IF($W904="","",$R904&amp;"|"&amp;RIGHT("000000"&amp;$W904,6))</f>
        <v/>
      </c>
      <c r="Y904">
        <f>IF($P904="","",IF(Shares!$E907="",0,Shares!$E907))</f>
        <v/>
      </c>
      <c r="Z904">
        <f>IF($P904="","",Shares!$H907)</f>
        <v/>
      </c>
      <c r="AE904">
        <f>IF(OR(Sync!$S904="",Sync!$P904=""),"",Sync!$S904)</f>
        <v/>
      </c>
      <c r="AF904">
        <f>IF($AE904="","",IF(ISNUMBER(Sync!$P904),IF(AND(Sync!$P904&gt;=10000101,Sync!$P904&lt;=99991231),INT(Sync!$P904/10000),""),IFERROR(VALUE(TRIM(LEFT(Sync!$P904,FIND("/",Sync!$P904)-1))),"")))</f>
        <v/>
      </c>
      <c r="AG904">
        <f>IF(OR($AE904="",$AF904=""),"",IF(ISNUMBER(Sync!$P904),INT(MOD(Sync!$P904,10000)/100),IFERROR(VALUE(TRIM(LEFT(MID(Sync!$P904,FIND("/",Sync!$P904)+1,20),FIND("/",MID(Sync!$P904,FIND("/",Sync!$P904)+1,20))-1))),"")))</f>
        <v/>
      </c>
      <c r="AH904">
        <f>IF(OR($AE904="",$AF904=""),"",IF(ISNUMBER(Sync!$P904),MOD(Sync!$P904,100),IFERROR(VALUE(TRIM(MID(MID(Sync!$P904,FIND("/",Sync!$P904)+1,20),FIND("/",MID(Sync!$P904,FIND("/",Sync!$P904)+1,20))+1,20))),"")))</f>
        <v/>
      </c>
      <c r="AI904">
        <f>IF($AE904="","",IF(OR($AF904="",$AG904="",$AH904="",$AF904&lt;1300,$AF904&gt;1500,$AG904&lt;1,$AG904&gt;12,$AH904&lt;1,$AH904&gt;31),"نامعتبر",RIGHT("0000"&amp;$AF904,4)&amp;"/"&amp;RIGHT("00"&amp;$AG904,2)&amp;"/"&amp;RIGHT("00"&amp;$AH904,2)))</f>
        <v/>
      </c>
      <c r="AJ904">
        <f>IF($AE904="","",IF(Sync!$Q904="","0000",IF(AND(ISNUMBER(Sync!$Q904),Sync!$Q904&gt;=0,Sync!$Q904&lt;1),RIGHT("00"&amp;HOUR(Sync!$Q904),2)&amp;RIGHT("00"&amp;MINUTE(Sync!$Q904),2),IFERROR(RIGHT("00"&amp;VALUE(LEFT(Sync!$Q904,FIND(":",Sync!$Q904)-1)),2)&amp;RIGHT("00"&amp;VALUE(MID(Sync!$Q904,FIND(":",Sync!$Q904)+1,2)),2),"0000"))))</f>
        <v/>
      </c>
      <c r="AK904">
        <f>IF(OR($AE904="",$AI904="",$AI904="نامعتبر"),"",LEFT($AI904,4)&amp;MID($AI904,6,2)&amp;RIGHT($AI904,2)&amp;$AJ904&amp;"|"&amp;"3"&amp;RIGHT("00000"&amp;899,5))</f>
        <v/>
      </c>
      <c r="AL904">
        <f>IF($AK904="","",COUNTIFS(LdAParty,$AE904,LdAType,1,LdAKey,"&lt;"&amp;$AK904)+COUNTIFS(LdBMember,$AE904,LdBKey,"&lt;"&amp;$AK904)+COUNTIFS(LdCParty,$AE904,LdCKey,"&lt;"&amp;$AK904)+1)</f>
        <v/>
      </c>
      <c r="AM904">
        <f>IF($AL904="","",$AE904&amp;"|"&amp;RIGHT("000000"&amp;$AL904,6))</f>
        <v/>
      </c>
      <c r="AN904">
        <f>IF($AE904="","",IF(Sync!$W904="",0,Sync!$W904))</f>
        <v/>
      </c>
      <c r="AO904">
        <f>IF($AE904="","",IF(Sync!$X904="",0,Sync!$X904))</f>
        <v/>
      </c>
      <c r="AP904">
        <f>IF($AE904="","",Sync!$R904)</f>
        <v/>
      </c>
      <c r="AQ904">
        <f>IF($AE904="","",Sync!$Y904)</f>
        <v/>
      </c>
    </row>
    <row r="905">
      <c r="A905">
        <f>IF(OR(Wages!$B908="",Wages!$E908=""),"",Wages!$E908)</f>
        <v/>
      </c>
      <c r="B905">
        <f>IF($A905="","",IF(Wages!$C908="دستمزد گروهی",2,1))</f>
        <v/>
      </c>
      <c r="C905">
        <f>IF($A905="","",IF(ISNUMBER(Wages!$B908),IF(AND(Wages!$B908&gt;=10000101,Wages!$B908&lt;=99991231),INT(Wages!$B908/10000),""),IFERROR(VALUE(TRIM(LEFT(Wages!$B908,FIND("/",Wages!$B908)-1))),"")))</f>
        <v/>
      </c>
      <c r="D905">
        <f>IF(OR($A905="",$C905=""),"",IF(ISNUMBER(Wages!$B908),INT(MOD(Wages!$B908,10000)/100),IFERROR(VALUE(TRIM(LEFT(MID(Wages!$B908,FIND("/",Wages!$B908)+1,20),FIND("/",MID(Wages!$B908,FIND("/",Wages!$B908)+1,20))-1))),"")))</f>
        <v/>
      </c>
      <c r="E905">
        <f>IF(OR($A905="",$C905=""),"",IF(ISNUMBER(Wages!$B908),MOD(Wages!$B908,100),IFERROR(VALUE(TRIM(MID(MID(Wages!$B908,FIND("/",Wages!$B908)+1,20),FIND("/",MID(Wages!$B908,FIND("/",Wages!$B908)+1,20))+1,20))),"")))</f>
        <v/>
      </c>
      <c r="F905">
        <f>IF($A905="","",IF(OR($C905="",$D905="",$E905="",$C905&lt;1300,$C905&gt;1500,$D905&lt;1,$D905&gt;12,$E905&lt;1,$E905&gt;31),"نامعتبر",RIGHT("0000"&amp;$C905,4)&amp;"/"&amp;RIGHT("00"&amp;$D905,2)&amp;"/"&amp;RIGHT("00"&amp;$E905,2)))</f>
        <v/>
      </c>
      <c r="G905">
        <f>IF(OR($A905="",$F905="",$F905="نامعتبر"),"",LEFT($F905,4)&amp;MID($F905,6,2)&amp;RIGHT($F905,2)&amp;"0000"&amp;"|"&amp;"1"&amp;RIGHT("00000"&amp;900,5))</f>
        <v/>
      </c>
      <c r="H905">
        <f>IF(OR($B905&lt;&gt;1,$G905=""),"",COUNTIFS(LdAParty,$A905,LdAType,1,LdAKey,"&lt;"&amp;$G905)+COUNTIFS(LdBMember,$A905,LdBKey,"&lt;"&amp;$G905)+COUNTIFS(LdCParty,$A905,LdCKey,"&lt;"&amp;$G905)+1)</f>
        <v/>
      </c>
      <c r="I905">
        <f>IF($H905="","",$A905&amp;"|"&amp;RIGHT("000000"&amp;$H905,6))</f>
        <v/>
      </c>
      <c r="J905">
        <f>IF(OR($B905&lt;&gt;2,$G905=""),"",COUNTIFS(LdAParty,$A905,LdAType,2,LdAKey,"&lt;"&amp;$G905)+1)</f>
        <v/>
      </c>
      <c r="K905">
        <f>IF($J905="","",$A905&amp;"|"&amp;RIGHT("000000"&amp;$J905,6))</f>
        <v/>
      </c>
      <c r="L905">
        <f>IF($A905="","",IF(Wages!$G908="",0,Wages!$G908))</f>
        <v/>
      </c>
      <c r="M905">
        <f>IF($A905="","",Wages!$J908)</f>
        <v/>
      </c>
      <c r="N905">
        <f>IF($A905="","",Wages!$D908)</f>
        <v/>
      </c>
      <c r="P905">
        <f>IF(OR(Shares!$B908="",Shares!$C908=""),"",Shares!$C908)</f>
        <v/>
      </c>
      <c r="Q905">
        <f>IF($P905="","",Shares!$B908)</f>
        <v/>
      </c>
      <c r="R905">
        <f>IF($P905="","",IFERROR(INDEX(WageParty,MATCH($Q905,WageIds,0)),""))</f>
        <v/>
      </c>
      <c r="S905">
        <f>IF($P905="","",IFERROR(INDEX($F$6:$F$2005,MATCH($Q905,WageIds,0)),""))</f>
        <v/>
      </c>
      <c r="T905">
        <f>IF(OR($P905="",$S905="",$S905="نامعتبر"),"",LEFT($S905,4)&amp;MID($S905,6,2)&amp;RIGHT($S905,2)&amp;"0000"&amp;"|"&amp;"2"&amp;RIGHT("00000"&amp;900,5))</f>
        <v/>
      </c>
      <c r="U905">
        <f>IF($T905="","",COUNTIFS(LdAParty,$P905,LdAType,1,LdAKey,"&lt;"&amp;$T905)+COUNTIFS(LdBMember,$P905,LdBKey,"&lt;"&amp;$T905)+COUNTIFS(LdCParty,$P905,LdCKey,"&lt;"&amp;$T905)+1)</f>
        <v/>
      </c>
      <c r="V905">
        <f>IF($U905="","",$P905&amp;"|"&amp;RIGHT("000000"&amp;$U905,6))</f>
        <v/>
      </c>
      <c r="W905">
        <f>IF($T905="","",COUNTIFS(LdBGroup,$R905,LdBKey,"&lt;"&amp;$T905)+1)</f>
        <v/>
      </c>
      <c r="X905">
        <f>IF($W905="","",$R905&amp;"|"&amp;RIGHT("000000"&amp;$W905,6))</f>
        <v/>
      </c>
      <c r="Y905">
        <f>IF($P905="","",IF(Shares!$E908="",0,Shares!$E908))</f>
        <v/>
      </c>
      <c r="Z905">
        <f>IF($P905="","",Shares!$H908)</f>
        <v/>
      </c>
      <c r="AE905">
        <f>IF(OR(Sync!$S905="",Sync!$P905=""),"",Sync!$S905)</f>
        <v/>
      </c>
      <c r="AF905">
        <f>IF($AE905="","",IF(ISNUMBER(Sync!$P905),IF(AND(Sync!$P905&gt;=10000101,Sync!$P905&lt;=99991231),INT(Sync!$P905/10000),""),IFERROR(VALUE(TRIM(LEFT(Sync!$P905,FIND("/",Sync!$P905)-1))),"")))</f>
        <v/>
      </c>
      <c r="AG905">
        <f>IF(OR($AE905="",$AF905=""),"",IF(ISNUMBER(Sync!$P905),INT(MOD(Sync!$P905,10000)/100),IFERROR(VALUE(TRIM(LEFT(MID(Sync!$P905,FIND("/",Sync!$P905)+1,20),FIND("/",MID(Sync!$P905,FIND("/",Sync!$P905)+1,20))-1))),"")))</f>
        <v/>
      </c>
      <c r="AH905">
        <f>IF(OR($AE905="",$AF905=""),"",IF(ISNUMBER(Sync!$P905),MOD(Sync!$P905,100),IFERROR(VALUE(TRIM(MID(MID(Sync!$P905,FIND("/",Sync!$P905)+1,20),FIND("/",MID(Sync!$P905,FIND("/",Sync!$P905)+1,20))+1,20))),"")))</f>
        <v/>
      </c>
      <c r="AI905">
        <f>IF($AE905="","",IF(OR($AF905="",$AG905="",$AH905="",$AF905&lt;1300,$AF905&gt;1500,$AG905&lt;1,$AG905&gt;12,$AH905&lt;1,$AH905&gt;31),"نامعتبر",RIGHT("0000"&amp;$AF905,4)&amp;"/"&amp;RIGHT("00"&amp;$AG905,2)&amp;"/"&amp;RIGHT("00"&amp;$AH905,2)))</f>
        <v/>
      </c>
      <c r="AJ905">
        <f>IF($AE905="","",IF(Sync!$Q905="","0000",IF(AND(ISNUMBER(Sync!$Q905),Sync!$Q905&gt;=0,Sync!$Q905&lt;1),RIGHT("00"&amp;HOUR(Sync!$Q905),2)&amp;RIGHT("00"&amp;MINUTE(Sync!$Q905),2),IFERROR(RIGHT("00"&amp;VALUE(LEFT(Sync!$Q905,FIND(":",Sync!$Q905)-1)),2)&amp;RIGHT("00"&amp;VALUE(MID(Sync!$Q905,FIND(":",Sync!$Q905)+1,2)),2),"0000"))))</f>
        <v/>
      </c>
      <c r="AK905">
        <f>IF(OR($AE905="",$AI905="",$AI905="نامعتبر"),"",LEFT($AI905,4)&amp;MID($AI905,6,2)&amp;RIGHT($AI905,2)&amp;$AJ905&amp;"|"&amp;"3"&amp;RIGHT("00000"&amp;900,5))</f>
        <v/>
      </c>
      <c r="AL905">
        <f>IF($AK905="","",COUNTIFS(LdAParty,$AE905,LdAType,1,LdAKey,"&lt;"&amp;$AK905)+COUNTIFS(LdBMember,$AE905,LdBKey,"&lt;"&amp;$AK905)+COUNTIFS(LdCParty,$AE905,LdCKey,"&lt;"&amp;$AK905)+1)</f>
        <v/>
      </c>
      <c r="AM905">
        <f>IF($AL905="","",$AE905&amp;"|"&amp;RIGHT("000000"&amp;$AL905,6))</f>
        <v/>
      </c>
      <c r="AN905">
        <f>IF($AE905="","",IF(Sync!$W905="",0,Sync!$W905))</f>
        <v/>
      </c>
      <c r="AO905">
        <f>IF($AE905="","",IF(Sync!$X905="",0,Sync!$X905))</f>
        <v/>
      </c>
      <c r="AP905">
        <f>IF($AE905="","",Sync!$R905)</f>
        <v/>
      </c>
      <c r="AQ905">
        <f>IF($AE905="","",Sync!$Y905)</f>
        <v/>
      </c>
    </row>
    <row r="906">
      <c r="A906">
        <f>IF(OR(Wages!$B909="",Wages!$E909=""),"",Wages!$E909)</f>
        <v/>
      </c>
      <c r="B906">
        <f>IF($A906="","",IF(Wages!$C909="دستمزد گروهی",2,1))</f>
        <v/>
      </c>
      <c r="C906">
        <f>IF($A906="","",IF(ISNUMBER(Wages!$B909),IF(AND(Wages!$B909&gt;=10000101,Wages!$B909&lt;=99991231),INT(Wages!$B909/10000),""),IFERROR(VALUE(TRIM(LEFT(Wages!$B909,FIND("/",Wages!$B909)-1))),"")))</f>
        <v/>
      </c>
      <c r="D906">
        <f>IF(OR($A906="",$C906=""),"",IF(ISNUMBER(Wages!$B909),INT(MOD(Wages!$B909,10000)/100),IFERROR(VALUE(TRIM(LEFT(MID(Wages!$B909,FIND("/",Wages!$B909)+1,20),FIND("/",MID(Wages!$B909,FIND("/",Wages!$B909)+1,20))-1))),"")))</f>
        <v/>
      </c>
      <c r="E906">
        <f>IF(OR($A906="",$C906=""),"",IF(ISNUMBER(Wages!$B909),MOD(Wages!$B909,100),IFERROR(VALUE(TRIM(MID(MID(Wages!$B909,FIND("/",Wages!$B909)+1,20),FIND("/",MID(Wages!$B909,FIND("/",Wages!$B909)+1,20))+1,20))),"")))</f>
        <v/>
      </c>
      <c r="F906">
        <f>IF($A906="","",IF(OR($C906="",$D906="",$E906="",$C906&lt;1300,$C906&gt;1500,$D906&lt;1,$D906&gt;12,$E906&lt;1,$E906&gt;31),"نامعتبر",RIGHT("0000"&amp;$C906,4)&amp;"/"&amp;RIGHT("00"&amp;$D906,2)&amp;"/"&amp;RIGHT("00"&amp;$E906,2)))</f>
        <v/>
      </c>
      <c r="G906">
        <f>IF(OR($A906="",$F906="",$F906="نامعتبر"),"",LEFT($F906,4)&amp;MID($F906,6,2)&amp;RIGHT($F906,2)&amp;"0000"&amp;"|"&amp;"1"&amp;RIGHT("00000"&amp;901,5))</f>
        <v/>
      </c>
      <c r="H906">
        <f>IF(OR($B906&lt;&gt;1,$G906=""),"",COUNTIFS(LdAParty,$A906,LdAType,1,LdAKey,"&lt;"&amp;$G906)+COUNTIFS(LdBMember,$A906,LdBKey,"&lt;"&amp;$G906)+COUNTIFS(LdCParty,$A906,LdCKey,"&lt;"&amp;$G906)+1)</f>
        <v/>
      </c>
      <c r="I906">
        <f>IF($H906="","",$A906&amp;"|"&amp;RIGHT("000000"&amp;$H906,6))</f>
        <v/>
      </c>
      <c r="J906">
        <f>IF(OR($B906&lt;&gt;2,$G906=""),"",COUNTIFS(LdAParty,$A906,LdAType,2,LdAKey,"&lt;"&amp;$G906)+1)</f>
        <v/>
      </c>
      <c r="K906">
        <f>IF($J906="","",$A906&amp;"|"&amp;RIGHT("000000"&amp;$J906,6))</f>
        <v/>
      </c>
      <c r="L906">
        <f>IF($A906="","",IF(Wages!$G909="",0,Wages!$G909))</f>
        <v/>
      </c>
      <c r="M906">
        <f>IF($A906="","",Wages!$J909)</f>
        <v/>
      </c>
      <c r="N906">
        <f>IF($A906="","",Wages!$D909)</f>
        <v/>
      </c>
      <c r="P906">
        <f>IF(OR(Shares!$B909="",Shares!$C909=""),"",Shares!$C909)</f>
        <v/>
      </c>
      <c r="Q906">
        <f>IF($P906="","",Shares!$B909)</f>
        <v/>
      </c>
      <c r="R906">
        <f>IF($P906="","",IFERROR(INDEX(WageParty,MATCH($Q906,WageIds,0)),""))</f>
        <v/>
      </c>
      <c r="S906">
        <f>IF($P906="","",IFERROR(INDEX($F$6:$F$2005,MATCH($Q906,WageIds,0)),""))</f>
        <v/>
      </c>
      <c r="T906">
        <f>IF(OR($P906="",$S906="",$S906="نامعتبر"),"",LEFT($S906,4)&amp;MID($S906,6,2)&amp;RIGHT($S906,2)&amp;"0000"&amp;"|"&amp;"2"&amp;RIGHT("00000"&amp;901,5))</f>
        <v/>
      </c>
      <c r="U906">
        <f>IF($T906="","",COUNTIFS(LdAParty,$P906,LdAType,1,LdAKey,"&lt;"&amp;$T906)+COUNTIFS(LdBMember,$P906,LdBKey,"&lt;"&amp;$T906)+COUNTIFS(LdCParty,$P906,LdCKey,"&lt;"&amp;$T906)+1)</f>
        <v/>
      </c>
      <c r="V906">
        <f>IF($U906="","",$P906&amp;"|"&amp;RIGHT("000000"&amp;$U906,6))</f>
        <v/>
      </c>
      <c r="W906">
        <f>IF($T906="","",COUNTIFS(LdBGroup,$R906,LdBKey,"&lt;"&amp;$T906)+1)</f>
        <v/>
      </c>
      <c r="X906">
        <f>IF($W906="","",$R906&amp;"|"&amp;RIGHT("000000"&amp;$W906,6))</f>
        <v/>
      </c>
      <c r="Y906">
        <f>IF($P906="","",IF(Shares!$E909="",0,Shares!$E909))</f>
        <v/>
      </c>
      <c r="Z906">
        <f>IF($P906="","",Shares!$H909)</f>
        <v/>
      </c>
      <c r="AE906">
        <f>IF(OR(Sync!$S906="",Sync!$P906=""),"",Sync!$S906)</f>
        <v/>
      </c>
      <c r="AF906">
        <f>IF($AE906="","",IF(ISNUMBER(Sync!$P906),IF(AND(Sync!$P906&gt;=10000101,Sync!$P906&lt;=99991231),INT(Sync!$P906/10000),""),IFERROR(VALUE(TRIM(LEFT(Sync!$P906,FIND("/",Sync!$P906)-1))),"")))</f>
        <v/>
      </c>
      <c r="AG906">
        <f>IF(OR($AE906="",$AF906=""),"",IF(ISNUMBER(Sync!$P906),INT(MOD(Sync!$P906,10000)/100),IFERROR(VALUE(TRIM(LEFT(MID(Sync!$P906,FIND("/",Sync!$P906)+1,20),FIND("/",MID(Sync!$P906,FIND("/",Sync!$P906)+1,20))-1))),"")))</f>
        <v/>
      </c>
      <c r="AH906">
        <f>IF(OR($AE906="",$AF906=""),"",IF(ISNUMBER(Sync!$P906),MOD(Sync!$P906,100),IFERROR(VALUE(TRIM(MID(MID(Sync!$P906,FIND("/",Sync!$P906)+1,20),FIND("/",MID(Sync!$P906,FIND("/",Sync!$P906)+1,20))+1,20))),"")))</f>
        <v/>
      </c>
      <c r="AI906">
        <f>IF($AE906="","",IF(OR($AF906="",$AG906="",$AH906="",$AF906&lt;1300,$AF906&gt;1500,$AG906&lt;1,$AG906&gt;12,$AH906&lt;1,$AH906&gt;31),"نامعتبر",RIGHT("0000"&amp;$AF906,4)&amp;"/"&amp;RIGHT("00"&amp;$AG906,2)&amp;"/"&amp;RIGHT("00"&amp;$AH906,2)))</f>
        <v/>
      </c>
      <c r="AJ906">
        <f>IF($AE906="","",IF(Sync!$Q906="","0000",IF(AND(ISNUMBER(Sync!$Q906),Sync!$Q906&gt;=0,Sync!$Q906&lt;1),RIGHT("00"&amp;HOUR(Sync!$Q906),2)&amp;RIGHT("00"&amp;MINUTE(Sync!$Q906),2),IFERROR(RIGHT("00"&amp;VALUE(LEFT(Sync!$Q906,FIND(":",Sync!$Q906)-1)),2)&amp;RIGHT("00"&amp;VALUE(MID(Sync!$Q906,FIND(":",Sync!$Q906)+1,2)),2),"0000"))))</f>
        <v/>
      </c>
      <c r="AK906">
        <f>IF(OR($AE906="",$AI906="",$AI906="نامعتبر"),"",LEFT($AI906,4)&amp;MID($AI906,6,2)&amp;RIGHT($AI906,2)&amp;$AJ906&amp;"|"&amp;"3"&amp;RIGHT("00000"&amp;901,5))</f>
        <v/>
      </c>
      <c r="AL906">
        <f>IF($AK906="","",COUNTIFS(LdAParty,$AE906,LdAType,1,LdAKey,"&lt;"&amp;$AK906)+COUNTIFS(LdBMember,$AE906,LdBKey,"&lt;"&amp;$AK906)+COUNTIFS(LdCParty,$AE906,LdCKey,"&lt;"&amp;$AK906)+1)</f>
        <v/>
      </c>
      <c r="AM906">
        <f>IF($AL906="","",$AE906&amp;"|"&amp;RIGHT("000000"&amp;$AL906,6))</f>
        <v/>
      </c>
      <c r="AN906">
        <f>IF($AE906="","",IF(Sync!$W906="",0,Sync!$W906))</f>
        <v/>
      </c>
      <c r="AO906">
        <f>IF($AE906="","",IF(Sync!$X906="",0,Sync!$X906))</f>
        <v/>
      </c>
      <c r="AP906">
        <f>IF($AE906="","",Sync!$R906)</f>
        <v/>
      </c>
      <c r="AQ906">
        <f>IF($AE906="","",Sync!$Y906)</f>
        <v/>
      </c>
    </row>
    <row r="907">
      <c r="A907">
        <f>IF(OR(Wages!$B910="",Wages!$E910=""),"",Wages!$E910)</f>
        <v/>
      </c>
      <c r="B907">
        <f>IF($A907="","",IF(Wages!$C910="دستمزد گروهی",2,1))</f>
        <v/>
      </c>
      <c r="C907">
        <f>IF($A907="","",IF(ISNUMBER(Wages!$B910),IF(AND(Wages!$B910&gt;=10000101,Wages!$B910&lt;=99991231),INT(Wages!$B910/10000),""),IFERROR(VALUE(TRIM(LEFT(Wages!$B910,FIND("/",Wages!$B910)-1))),"")))</f>
        <v/>
      </c>
      <c r="D907">
        <f>IF(OR($A907="",$C907=""),"",IF(ISNUMBER(Wages!$B910),INT(MOD(Wages!$B910,10000)/100),IFERROR(VALUE(TRIM(LEFT(MID(Wages!$B910,FIND("/",Wages!$B910)+1,20),FIND("/",MID(Wages!$B910,FIND("/",Wages!$B910)+1,20))-1))),"")))</f>
        <v/>
      </c>
      <c r="E907">
        <f>IF(OR($A907="",$C907=""),"",IF(ISNUMBER(Wages!$B910),MOD(Wages!$B910,100),IFERROR(VALUE(TRIM(MID(MID(Wages!$B910,FIND("/",Wages!$B910)+1,20),FIND("/",MID(Wages!$B910,FIND("/",Wages!$B910)+1,20))+1,20))),"")))</f>
        <v/>
      </c>
      <c r="F907">
        <f>IF($A907="","",IF(OR($C907="",$D907="",$E907="",$C907&lt;1300,$C907&gt;1500,$D907&lt;1,$D907&gt;12,$E907&lt;1,$E907&gt;31),"نامعتبر",RIGHT("0000"&amp;$C907,4)&amp;"/"&amp;RIGHT("00"&amp;$D907,2)&amp;"/"&amp;RIGHT("00"&amp;$E907,2)))</f>
        <v/>
      </c>
      <c r="G907">
        <f>IF(OR($A907="",$F907="",$F907="نامعتبر"),"",LEFT($F907,4)&amp;MID($F907,6,2)&amp;RIGHT($F907,2)&amp;"0000"&amp;"|"&amp;"1"&amp;RIGHT("00000"&amp;902,5))</f>
        <v/>
      </c>
      <c r="H907">
        <f>IF(OR($B907&lt;&gt;1,$G907=""),"",COUNTIFS(LdAParty,$A907,LdAType,1,LdAKey,"&lt;"&amp;$G907)+COUNTIFS(LdBMember,$A907,LdBKey,"&lt;"&amp;$G907)+COUNTIFS(LdCParty,$A907,LdCKey,"&lt;"&amp;$G907)+1)</f>
        <v/>
      </c>
      <c r="I907">
        <f>IF($H907="","",$A907&amp;"|"&amp;RIGHT("000000"&amp;$H907,6))</f>
        <v/>
      </c>
      <c r="J907">
        <f>IF(OR($B907&lt;&gt;2,$G907=""),"",COUNTIFS(LdAParty,$A907,LdAType,2,LdAKey,"&lt;"&amp;$G907)+1)</f>
        <v/>
      </c>
      <c r="K907">
        <f>IF($J907="","",$A907&amp;"|"&amp;RIGHT("000000"&amp;$J907,6))</f>
        <v/>
      </c>
      <c r="L907">
        <f>IF($A907="","",IF(Wages!$G910="",0,Wages!$G910))</f>
        <v/>
      </c>
      <c r="M907">
        <f>IF($A907="","",Wages!$J910)</f>
        <v/>
      </c>
      <c r="N907">
        <f>IF($A907="","",Wages!$D910)</f>
        <v/>
      </c>
      <c r="P907">
        <f>IF(OR(Shares!$B910="",Shares!$C910=""),"",Shares!$C910)</f>
        <v/>
      </c>
      <c r="Q907">
        <f>IF($P907="","",Shares!$B910)</f>
        <v/>
      </c>
      <c r="R907">
        <f>IF($P907="","",IFERROR(INDEX(WageParty,MATCH($Q907,WageIds,0)),""))</f>
        <v/>
      </c>
      <c r="S907">
        <f>IF($P907="","",IFERROR(INDEX($F$6:$F$2005,MATCH($Q907,WageIds,0)),""))</f>
        <v/>
      </c>
      <c r="T907">
        <f>IF(OR($P907="",$S907="",$S907="نامعتبر"),"",LEFT($S907,4)&amp;MID($S907,6,2)&amp;RIGHT($S907,2)&amp;"0000"&amp;"|"&amp;"2"&amp;RIGHT("00000"&amp;902,5))</f>
        <v/>
      </c>
      <c r="U907">
        <f>IF($T907="","",COUNTIFS(LdAParty,$P907,LdAType,1,LdAKey,"&lt;"&amp;$T907)+COUNTIFS(LdBMember,$P907,LdBKey,"&lt;"&amp;$T907)+COUNTIFS(LdCParty,$P907,LdCKey,"&lt;"&amp;$T907)+1)</f>
        <v/>
      </c>
      <c r="V907">
        <f>IF($U907="","",$P907&amp;"|"&amp;RIGHT("000000"&amp;$U907,6))</f>
        <v/>
      </c>
      <c r="W907">
        <f>IF($T907="","",COUNTIFS(LdBGroup,$R907,LdBKey,"&lt;"&amp;$T907)+1)</f>
        <v/>
      </c>
      <c r="X907">
        <f>IF($W907="","",$R907&amp;"|"&amp;RIGHT("000000"&amp;$W907,6))</f>
        <v/>
      </c>
      <c r="Y907">
        <f>IF($P907="","",IF(Shares!$E910="",0,Shares!$E910))</f>
        <v/>
      </c>
      <c r="Z907">
        <f>IF($P907="","",Shares!$H910)</f>
        <v/>
      </c>
      <c r="AE907">
        <f>IF(OR(Sync!$S907="",Sync!$P907=""),"",Sync!$S907)</f>
        <v/>
      </c>
      <c r="AF907">
        <f>IF($AE907="","",IF(ISNUMBER(Sync!$P907),IF(AND(Sync!$P907&gt;=10000101,Sync!$P907&lt;=99991231),INT(Sync!$P907/10000),""),IFERROR(VALUE(TRIM(LEFT(Sync!$P907,FIND("/",Sync!$P907)-1))),"")))</f>
        <v/>
      </c>
      <c r="AG907">
        <f>IF(OR($AE907="",$AF907=""),"",IF(ISNUMBER(Sync!$P907),INT(MOD(Sync!$P907,10000)/100),IFERROR(VALUE(TRIM(LEFT(MID(Sync!$P907,FIND("/",Sync!$P907)+1,20),FIND("/",MID(Sync!$P907,FIND("/",Sync!$P907)+1,20))-1))),"")))</f>
        <v/>
      </c>
      <c r="AH907">
        <f>IF(OR($AE907="",$AF907=""),"",IF(ISNUMBER(Sync!$P907),MOD(Sync!$P907,100),IFERROR(VALUE(TRIM(MID(MID(Sync!$P907,FIND("/",Sync!$P907)+1,20),FIND("/",MID(Sync!$P907,FIND("/",Sync!$P907)+1,20))+1,20))),"")))</f>
        <v/>
      </c>
      <c r="AI907">
        <f>IF($AE907="","",IF(OR($AF907="",$AG907="",$AH907="",$AF907&lt;1300,$AF907&gt;1500,$AG907&lt;1,$AG907&gt;12,$AH907&lt;1,$AH907&gt;31),"نامعتبر",RIGHT("0000"&amp;$AF907,4)&amp;"/"&amp;RIGHT("00"&amp;$AG907,2)&amp;"/"&amp;RIGHT("00"&amp;$AH907,2)))</f>
        <v/>
      </c>
      <c r="AJ907">
        <f>IF($AE907="","",IF(Sync!$Q907="","0000",IF(AND(ISNUMBER(Sync!$Q907),Sync!$Q907&gt;=0,Sync!$Q907&lt;1),RIGHT("00"&amp;HOUR(Sync!$Q907),2)&amp;RIGHT("00"&amp;MINUTE(Sync!$Q907),2),IFERROR(RIGHT("00"&amp;VALUE(LEFT(Sync!$Q907,FIND(":",Sync!$Q907)-1)),2)&amp;RIGHT("00"&amp;VALUE(MID(Sync!$Q907,FIND(":",Sync!$Q907)+1,2)),2),"0000"))))</f>
        <v/>
      </c>
      <c r="AK907">
        <f>IF(OR($AE907="",$AI907="",$AI907="نامعتبر"),"",LEFT($AI907,4)&amp;MID($AI907,6,2)&amp;RIGHT($AI907,2)&amp;$AJ907&amp;"|"&amp;"3"&amp;RIGHT("00000"&amp;902,5))</f>
        <v/>
      </c>
      <c r="AL907">
        <f>IF($AK907="","",COUNTIFS(LdAParty,$AE907,LdAType,1,LdAKey,"&lt;"&amp;$AK907)+COUNTIFS(LdBMember,$AE907,LdBKey,"&lt;"&amp;$AK907)+COUNTIFS(LdCParty,$AE907,LdCKey,"&lt;"&amp;$AK907)+1)</f>
        <v/>
      </c>
      <c r="AM907">
        <f>IF($AL907="","",$AE907&amp;"|"&amp;RIGHT("000000"&amp;$AL907,6))</f>
        <v/>
      </c>
      <c r="AN907">
        <f>IF($AE907="","",IF(Sync!$W907="",0,Sync!$W907))</f>
        <v/>
      </c>
      <c r="AO907">
        <f>IF($AE907="","",IF(Sync!$X907="",0,Sync!$X907))</f>
        <v/>
      </c>
      <c r="AP907">
        <f>IF($AE907="","",Sync!$R907)</f>
        <v/>
      </c>
      <c r="AQ907">
        <f>IF($AE907="","",Sync!$Y907)</f>
        <v/>
      </c>
    </row>
    <row r="908">
      <c r="A908">
        <f>IF(OR(Wages!$B911="",Wages!$E911=""),"",Wages!$E911)</f>
        <v/>
      </c>
      <c r="B908">
        <f>IF($A908="","",IF(Wages!$C911="دستمزد گروهی",2,1))</f>
        <v/>
      </c>
      <c r="C908">
        <f>IF($A908="","",IF(ISNUMBER(Wages!$B911),IF(AND(Wages!$B911&gt;=10000101,Wages!$B911&lt;=99991231),INT(Wages!$B911/10000),""),IFERROR(VALUE(TRIM(LEFT(Wages!$B911,FIND("/",Wages!$B911)-1))),"")))</f>
        <v/>
      </c>
      <c r="D908">
        <f>IF(OR($A908="",$C908=""),"",IF(ISNUMBER(Wages!$B911),INT(MOD(Wages!$B911,10000)/100),IFERROR(VALUE(TRIM(LEFT(MID(Wages!$B911,FIND("/",Wages!$B911)+1,20),FIND("/",MID(Wages!$B911,FIND("/",Wages!$B911)+1,20))-1))),"")))</f>
        <v/>
      </c>
      <c r="E908">
        <f>IF(OR($A908="",$C908=""),"",IF(ISNUMBER(Wages!$B911),MOD(Wages!$B911,100),IFERROR(VALUE(TRIM(MID(MID(Wages!$B911,FIND("/",Wages!$B911)+1,20),FIND("/",MID(Wages!$B911,FIND("/",Wages!$B911)+1,20))+1,20))),"")))</f>
        <v/>
      </c>
      <c r="F908">
        <f>IF($A908="","",IF(OR($C908="",$D908="",$E908="",$C908&lt;1300,$C908&gt;1500,$D908&lt;1,$D908&gt;12,$E908&lt;1,$E908&gt;31),"نامعتبر",RIGHT("0000"&amp;$C908,4)&amp;"/"&amp;RIGHT("00"&amp;$D908,2)&amp;"/"&amp;RIGHT("00"&amp;$E908,2)))</f>
        <v/>
      </c>
      <c r="G908">
        <f>IF(OR($A908="",$F908="",$F908="نامعتبر"),"",LEFT($F908,4)&amp;MID($F908,6,2)&amp;RIGHT($F908,2)&amp;"0000"&amp;"|"&amp;"1"&amp;RIGHT("00000"&amp;903,5))</f>
        <v/>
      </c>
      <c r="H908">
        <f>IF(OR($B908&lt;&gt;1,$G908=""),"",COUNTIFS(LdAParty,$A908,LdAType,1,LdAKey,"&lt;"&amp;$G908)+COUNTIFS(LdBMember,$A908,LdBKey,"&lt;"&amp;$G908)+COUNTIFS(LdCParty,$A908,LdCKey,"&lt;"&amp;$G908)+1)</f>
        <v/>
      </c>
      <c r="I908">
        <f>IF($H908="","",$A908&amp;"|"&amp;RIGHT("000000"&amp;$H908,6))</f>
        <v/>
      </c>
      <c r="J908">
        <f>IF(OR($B908&lt;&gt;2,$G908=""),"",COUNTIFS(LdAParty,$A908,LdAType,2,LdAKey,"&lt;"&amp;$G908)+1)</f>
        <v/>
      </c>
      <c r="K908">
        <f>IF($J908="","",$A908&amp;"|"&amp;RIGHT("000000"&amp;$J908,6))</f>
        <v/>
      </c>
      <c r="L908">
        <f>IF($A908="","",IF(Wages!$G911="",0,Wages!$G911))</f>
        <v/>
      </c>
      <c r="M908">
        <f>IF($A908="","",Wages!$J911)</f>
        <v/>
      </c>
      <c r="N908">
        <f>IF($A908="","",Wages!$D911)</f>
        <v/>
      </c>
      <c r="P908">
        <f>IF(OR(Shares!$B911="",Shares!$C911=""),"",Shares!$C911)</f>
        <v/>
      </c>
      <c r="Q908">
        <f>IF($P908="","",Shares!$B911)</f>
        <v/>
      </c>
      <c r="R908">
        <f>IF($P908="","",IFERROR(INDEX(WageParty,MATCH($Q908,WageIds,0)),""))</f>
        <v/>
      </c>
      <c r="S908">
        <f>IF($P908="","",IFERROR(INDEX($F$6:$F$2005,MATCH($Q908,WageIds,0)),""))</f>
        <v/>
      </c>
      <c r="T908">
        <f>IF(OR($P908="",$S908="",$S908="نامعتبر"),"",LEFT($S908,4)&amp;MID($S908,6,2)&amp;RIGHT($S908,2)&amp;"0000"&amp;"|"&amp;"2"&amp;RIGHT("00000"&amp;903,5))</f>
        <v/>
      </c>
      <c r="U908">
        <f>IF($T908="","",COUNTIFS(LdAParty,$P908,LdAType,1,LdAKey,"&lt;"&amp;$T908)+COUNTIFS(LdBMember,$P908,LdBKey,"&lt;"&amp;$T908)+COUNTIFS(LdCParty,$P908,LdCKey,"&lt;"&amp;$T908)+1)</f>
        <v/>
      </c>
      <c r="V908">
        <f>IF($U908="","",$P908&amp;"|"&amp;RIGHT("000000"&amp;$U908,6))</f>
        <v/>
      </c>
      <c r="W908">
        <f>IF($T908="","",COUNTIFS(LdBGroup,$R908,LdBKey,"&lt;"&amp;$T908)+1)</f>
        <v/>
      </c>
      <c r="X908">
        <f>IF($W908="","",$R908&amp;"|"&amp;RIGHT("000000"&amp;$W908,6))</f>
        <v/>
      </c>
      <c r="Y908">
        <f>IF($P908="","",IF(Shares!$E911="",0,Shares!$E911))</f>
        <v/>
      </c>
      <c r="Z908">
        <f>IF($P908="","",Shares!$H911)</f>
        <v/>
      </c>
      <c r="AE908">
        <f>IF(OR(Sync!$S908="",Sync!$P908=""),"",Sync!$S908)</f>
        <v/>
      </c>
      <c r="AF908">
        <f>IF($AE908="","",IF(ISNUMBER(Sync!$P908),IF(AND(Sync!$P908&gt;=10000101,Sync!$P908&lt;=99991231),INT(Sync!$P908/10000),""),IFERROR(VALUE(TRIM(LEFT(Sync!$P908,FIND("/",Sync!$P908)-1))),"")))</f>
        <v/>
      </c>
      <c r="AG908">
        <f>IF(OR($AE908="",$AF908=""),"",IF(ISNUMBER(Sync!$P908),INT(MOD(Sync!$P908,10000)/100),IFERROR(VALUE(TRIM(LEFT(MID(Sync!$P908,FIND("/",Sync!$P908)+1,20),FIND("/",MID(Sync!$P908,FIND("/",Sync!$P908)+1,20))-1))),"")))</f>
        <v/>
      </c>
      <c r="AH908">
        <f>IF(OR($AE908="",$AF908=""),"",IF(ISNUMBER(Sync!$P908),MOD(Sync!$P908,100),IFERROR(VALUE(TRIM(MID(MID(Sync!$P908,FIND("/",Sync!$P908)+1,20),FIND("/",MID(Sync!$P908,FIND("/",Sync!$P908)+1,20))+1,20))),"")))</f>
        <v/>
      </c>
      <c r="AI908">
        <f>IF($AE908="","",IF(OR($AF908="",$AG908="",$AH908="",$AF908&lt;1300,$AF908&gt;1500,$AG908&lt;1,$AG908&gt;12,$AH908&lt;1,$AH908&gt;31),"نامعتبر",RIGHT("0000"&amp;$AF908,4)&amp;"/"&amp;RIGHT("00"&amp;$AG908,2)&amp;"/"&amp;RIGHT("00"&amp;$AH908,2)))</f>
        <v/>
      </c>
      <c r="AJ908">
        <f>IF($AE908="","",IF(Sync!$Q908="","0000",IF(AND(ISNUMBER(Sync!$Q908),Sync!$Q908&gt;=0,Sync!$Q908&lt;1),RIGHT("00"&amp;HOUR(Sync!$Q908),2)&amp;RIGHT("00"&amp;MINUTE(Sync!$Q908),2),IFERROR(RIGHT("00"&amp;VALUE(LEFT(Sync!$Q908,FIND(":",Sync!$Q908)-1)),2)&amp;RIGHT("00"&amp;VALUE(MID(Sync!$Q908,FIND(":",Sync!$Q908)+1,2)),2),"0000"))))</f>
        <v/>
      </c>
      <c r="AK908">
        <f>IF(OR($AE908="",$AI908="",$AI908="نامعتبر"),"",LEFT($AI908,4)&amp;MID($AI908,6,2)&amp;RIGHT($AI908,2)&amp;$AJ908&amp;"|"&amp;"3"&amp;RIGHT("00000"&amp;903,5))</f>
        <v/>
      </c>
      <c r="AL908">
        <f>IF($AK908="","",COUNTIFS(LdAParty,$AE908,LdAType,1,LdAKey,"&lt;"&amp;$AK908)+COUNTIFS(LdBMember,$AE908,LdBKey,"&lt;"&amp;$AK908)+COUNTIFS(LdCParty,$AE908,LdCKey,"&lt;"&amp;$AK908)+1)</f>
        <v/>
      </c>
      <c r="AM908">
        <f>IF($AL908="","",$AE908&amp;"|"&amp;RIGHT("000000"&amp;$AL908,6))</f>
        <v/>
      </c>
      <c r="AN908">
        <f>IF($AE908="","",IF(Sync!$W908="",0,Sync!$W908))</f>
        <v/>
      </c>
      <c r="AO908">
        <f>IF($AE908="","",IF(Sync!$X908="",0,Sync!$X908))</f>
        <v/>
      </c>
      <c r="AP908">
        <f>IF($AE908="","",Sync!$R908)</f>
        <v/>
      </c>
      <c r="AQ908">
        <f>IF($AE908="","",Sync!$Y908)</f>
        <v/>
      </c>
    </row>
    <row r="909">
      <c r="A909">
        <f>IF(OR(Wages!$B912="",Wages!$E912=""),"",Wages!$E912)</f>
        <v/>
      </c>
      <c r="B909">
        <f>IF($A909="","",IF(Wages!$C912="دستمزد گروهی",2,1))</f>
        <v/>
      </c>
      <c r="C909">
        <f>IF($A909="","",IF(ISNUMBER(Wages!$B912),IF(AND(Wages!$B912&gt;=10000101,Wages!$B912&lt;=99991231),INT(Wages!$B912/10000),""),IFERROR(VALUE(TRIM(LEFT(Wages!$B912,FIND("/",Wages!$B912)-1))),"")))</f>
        <v/>
      </c>
      <c r="D909">
        <f>IF(OR($A909="",$C909=""),"",IF(ISNUMBER(Wages!$B912),INT(MOD(Wages!$B912,10000)/100),IFERROR(VALUE(TRIM(LEFT(MID(Wages!$B912,FIND("/",Wages!$B912)+1,20),FIND("/",MID(Wages!$B912,FIND("/",Wages!$B912)+1,20))-1))),"")))</f>
        <v/>
      </c>
      <c r="E909">
        <f>IF(OR($A909="",$C909=""),"",IF(ISNUMBER(Wages!$B912),MOD(Wages!$B912,100),IFERROR(VALUE(TRIM(MID(MID(Wages!$B912,FIND("/",Wages!$B912)+1,20),FIND("/",MID(Wages!$B912,FIND("/",Wages!$B912)+1,20))+1,20))),"")))</f>
        <v/>
      </c>
      <c r="F909">
        <f>IF($A909="","",IF(OR($C909="",$D909="",$E909="",$C909&lt;1300,$C909&gt;1500,$D909&lt;1,$D909&gt;12,$E909&lt;1,$E909&gt;31),"نامعتبر",RIGHT("0000"&amp;$C909,4)&amp;"/"&amp;RIGHT("00"&amp;$D909,2)&amp;"/"&amp;RIGHT("00"&amp;$E909,2)))</f>
        <v/>
      </c>
      <c r="G909">
        <f>IF(OR($A909="",$F909="",$F909="نامعتبر"),"",LEFT($F909,4)&amp;MID($F909,6,2)&amp;RIGHT($F909,2)&amp;"0000"&amp;"|"&amp;"1"&amp;RIGHT("00000"&amp;904,5))</f>
        <v/>
      </c>
      <c r="H909">
        <f>IF(OR($B909&lt;&gt;1,$G909=""),"",COUNTIFS(LdAParty,$A909,LdAType,1,LdAKey,"&lt;"&amp;$G909)+COUNTIFS(LdBMember,$A909,LdBKey,"&lt;"&amp;$G909)+COUNTIFS(LdCParty,$A909,LdCKey,"&lt;"&amp;$G909)+1)</f>
        <v/>
      </c>
      <c r="I909">
        <f>IF($H909="","",$A909&amp;"|"&amp;RIGHT("000000"&amp;$H909,6))</f>
        <v/>
      </c>
      <c r="J909">
        <f>IF(OR($B909&lt;&gt;2,$G909=""),"",COUNTIFS(LdAParty,$A909,LdAType,2,LdAKey,"&lt;"&amp;$G909)+1)</f>
        <v/>
      </c>
      <c r="K909">
        <f>IF($J909="","",$A909&amp;"|"&amp;RIGHT("000000"&amp;$J909,6))</f>
        <v/>
      </c>
      <c r="L909">
        <f>IF($A909="","",IF(Wages!$G912="",0,Wages!$G912))</f>
        <v/>
      </c>
      <c r="M909">
        <f>IF($A909="","",Wages!$J912)</f>
        <v/>
      </c>
      <c r="N909">
        <f>IF($A909="","",Wages!$D912)</f>
        <v/>
      </c>
      <c r="P909">
        <f>IF(OR(Shares!$B912="",Shares!$C912=""),"",Shares!$C912)</f>
        <v/>
      </c>
      <c r="Q909">
        <f>IF($P909="","",Shares!$B912)</f>
        <v/>
      </c>
      <c r="R909">
        <f>IF($P909="","",IFERROR(INDEX(WageParty,MATCH($Q909,WageIds,0)),""))</f>
        <v/>
      </c>
      <c r="S909">
        <f>IF($P909="","",IFERROR(INDEX($F$6:$F$2005,MATCH($Q909,WageIds,0)),""))</f>
        <v/>
      </c>
      <c r="T909">
        <f>IF(OR($P909="",$S909="",$S909="نامعتبر"),"",LEFT($S909,4)&amp;MID($S909,6,2)&amp;RIGHT($S909,2)&amp;"0000"&amp;"|"&amp;"2"&amp;RIGHT("00000"&amp;904,5))</f>
        <v/>
      </c>
      <c r="U909">
        <f>IF($T909="","",COUNTIFS(LdAParty,$P909,LdAType,1,LdAKey,"&lt;"&amp;$T909)+COUNTIFS(LdBMember,$P909,LdBKey,"&lt;"&amp;$T909)+COUNTIFS(LdCParty,$P909,LdCKey,"&lt;"&amp;$T909)+1)</f>
        <v/>
      </c>
      <c r="V909">
        <f>IF($U909="","",$P909&amp;"|"&amp;RIGHT("000000"&amp;$U909,6))</f>
        <v/>
      </c>
      <c r="W909">
        <f>IF($T909="","",COUNTIFS(LdBGroup,$R909,LdBKey,"&lt;"&amp;$T909)+1)</f>
        <v/>
      </c>
      <c r="X909">
        <f>IF($W909="","",$R909&amp;"|"&amp;RIGHT("000000"&amp;$W909,6))</f>
        <v/>
      </c>
      <c r="Y909">
        <f>IF($P909="","",IF(Shares!$E912="",0,Shares!$E912))</f>
        <v/>
      </c>
      <c r="Z909">
        <f>IF($P909="","",Shares!$H912)</f>
        <v/>
      </c>
      <c r="AE909">
        <f>IF(OR(Sync!$S909="",Sync!$P909=""),"",Sync!$S909)</f>
        <v/>
      </c>
      <c r="AF909">
        <f>IF($AE909="","",IF(ISNUMBER(Sync!$P909),IF(AND(Sync!$P909&gt;=10000101,Sync!$P909&lt;=99991231),INT(Sync!$P909/10000),""),IFERROR(VALUE(TRIM(LEFT(Sync!$P909,FIND("/",Sync!$P909)-1))),"")))</f>
        <v/>
      </c>
      <c r="AG909">
        <f>IF(OR($AE909="",$AF909=""),"",IF(ISNUMBER(Sync!$P909),INT(MOD(Sync!$P909,10000)/100),IFERROR(VALUE(TRIM(LEFT(MID(Sync!$P909,FIND("/",Sync!$P909)+1,20),FIND("/",MID(Sync!$P909,FIND("/",Sync!$P909)+1,20))-1))),"")))</f>
        <v/>
      </c>
      <c r="AH909">
        <f>IF(OR($AE909="",$AF909=""),"",IF(ISNUMBER(Sync!$P909),MOD(Sync!$P909,100),IFERROR(VALUE(TRIM(MID(MID(Sync!$P909,FIND("/",Sync!$P909)+1,20),FIND("/",MID(Sync!$P909,FIND("/",Sync!$P909)+1,20))+1,20))),"")))</f>
        <v/>
      </c>
      <c r="AI909">
        <f>IF($AE909="","",IF(OR($AF909="",$AG909="",$AH909="",$AF909&lt;1300,$AF909&gt;1500,$AG909&lt;1,$AG909&gt;12,$AH909&lt;1,$AH909&gt;31),"نامعتبر",RIGHT("0000"&amp;$AF909,4)&amp;"/"&amp;RIGHT("00"&amp;$AG909,2)&amp;"/"&amp;RIGHT("00"&amp;$AH909,2)))</f>
        <v/>
      </c>
      <c r="AJ909">
        <f>IF($AE909="","",IF(Sync!$Q909="","0000",IF(AND(ISNUMBER(Sync!$Q909),Sync!$Q909&gt;=0,Sync!$Q909&lt;1),RIGHT("00"&amp;HOUR(Sync!$Q909),2)&amp;RIGHT("00"&amp;MINUTE(Sync!$Q909),2),IFERROR(RIGHT("00"&amp;VALUE(LEFT(Sync!$Q909,FIND(":",Sync!$Q909)-1)),2)&amp;RIGHT("00"&amp;VALUE(MID(Sync!$Q909,FIND(":",Sync!$Q909)+1,2)),2),"0000"))))</f>
        <v/>
      </c>
      <c r="AK909">
        <f>IF(OR($AE909="",$AI909="",$AI909="نامعتبر"),"",LEFT($AI909,4)&amp;MID($AI909,6,2)&amp;RIGHT($AI909,2)&amp;$AJ909&amp;"|"&amp;"3"&amp;RIGHT("00000"&amp;904,5))</f>
        <v/>
      </c>
      <c r="AL909">
        <f>IF($AK909="","",COUNTIFS(LdAParty,$AE909,LdAType,1,LdAKey,"&lt;"&amp;$AK909)+COUNTIFS(LdBMember,$AE909,LdBKey,"&lt;"&amp;$AK909)+COUNTIFS(LdCParty,$AE909,LdCKey,"&lt;"&amp;$AK909)+1)</f>
        <v/>
      </c>
      <c r="AM909">
        <f>IF($AL909="","",$AE909&amp;"|"&amp;RIGHT("000000"&amp;$AL909,6))</f>
        <v/>
      </c>
      <c r="AN909">
        <f>IF($AE909="","",IF(Sync!$W909="",0,Sync!$W909))</f>
        <v/>
      </c>
      <c r="AO909">
        <f>IF($AE909="","",IF(Sync!$X909="",0,Sync!$X909))</f>
        <v/>
      </c>
      <c r="AP909">
        <f>IF($AE909="","",Sync!$R909)</f>
        <v/>
      </c>
      <c r="AQ909">
        <f>IF($AE909="","",Sync!$Y909)</f>
        <v/>
      </c>
    </row>
    <row r="910">
      <c r="A910">
        <f>IF(OR(Wages!$B913="",Wages!$E913=""),"",Wages!$E913)</f>
        <v/>
      </c>
      <c r="B910">
        <f>IF($A910="","",IF(Wages!$C913="دستمزد گروهی",2,1))</f>
        <v/>
      </c>
      <c r="C910">
        <f>IF($A910="","",IF(ISNUMBER(Wages!$B913),IF(AND(Wages!$B913&gt;=10000101,Wages!$B913&lt;=99991231),INT(Wages!$B913/10000),""),IFERROR(VALUE(TRIM(LEFT(Wages!$B913,FIND("/",Wages!$B913)-1))),"")))</f>
        <v/>
      </c>
      <c r="D910">
        <f>IF(OR($A910="",$C910=""),"",IF(ISNUMBER(Wages!$B913),INT(MOD(Wages!$B913,10000)/100),IFERROR(VALUE(TRIM(LEFT(MID(Wages!$B913,FIND("/",Wages!$B913)+1,20),FIND("/",MID(Wages!$B913,FIND("/",Wages!$B913)+1,20))-1))),"")))</f>
        <v/>
      </c>
      <c r="E910">
        <f>IF(OR($A910="",$C910=""),"",IF(ISNUMBER(Wages!$B913),MOD(Wages!$B913,100),IFERROR(VALUE(TRIM(MID(MID(Wages!$B913,FIND("/",Wages!$B913)+1,20),FIND("/",MID(Wages!$B913,FIND("/",Wages!$B913)+1,20))+1,20))),"")))</f>
        <v/>
      </c>
      <c r="F910">
        <f>IF($A910="","",IF(OR($C910="",$D910="",$E910="",$C910&lt;1300,$C910&gt;1500,$D910&lt;1,$D910&gt;12,$E910&lt;1,$E910&gt;31),"نامعتبر",RIGHT("0000"&amp;$C910,4)&amp;"/"&amp;RIGHT("00"&amp;$D910,2)&amp;"/"&amp;RIGHT("00"&amp;$E910,2)))</f>
        <v/>
      </c>
      <c r="G910">
        <f>IF(OR($A910="",$F910="",$F910="نامعتبر"),"",LEFT($F910,4)&amp;MID($F910,6,2)&amp;RIGHT($F910,2)&amp;"0000"&amp;"|"&amp;"1"&amp;RIGHT("00000"&amp;905,5))</f>
        <v/>
      </c>
      <c r="H910">
        <f>IF(OR($B910&lt;&gt;1,$G910=""),"",COUNTIFS(LdAParty,$A910,LdAType,1,LdAKey,"&lt;"&amp;$G910)+COUNTIFS(LdBMember,$A910,LdBKey,"&lt;"&amp;$G910)+COUNTIFS(LdCParty,$A910,LdCKey,"&lt;"&amp;$G910)+1)</f>
        <v/>
      </c>
      <c r="I910">
        <f>IF($H910="","",$A910&amp;"|"&amp;RIGHT("000000"&amp;$H910,6))</f>
        <v/>
      </c>
      <c r="J910">
        <f>IF(OR($B910&lt;&gt;2,$G910=""),"",COUNTIFS(LdAParty,$A910,LdAType,2,LdAKey,"&lt;"&amp;$G910)+1)</f>
        <v/>
      </c>
      <c r="K910">
        <f>IF($J910="","",$A910&amp;"|"&amp;RIGHT("000000"&amp;$J910,6))</f>
        <v/>
      </c>
      <c r="L910">
        <f>IF($A910="","",IF(Wages!$G913="",0,Wages!$G913))</f>
        <v/>
      </c>
      <c r="M910">
        <f>IF($A910="","",Wages!$J913)</f>
        <v/>
      </c>
      <c r="N910">
        <f>IF($A910="","",Wages!$D913)</f>
        <v/>
      </c>
      <c r="P910">
        <f>IF(OR(Shares!$B913="",Shares!$C913=""),"",Shares!$C913)</f>
        <v/>
      </c>
      <c r="Q910">
        <f>IF($P910="","",Shares!$B913)</f>
        <v/>
      </c>
      <c r="R910">
        <f>IF($P910="","",IFERROR(INDEX(WageParty,MATCH($Q910,WageIds,0)),""))</f>
        <v/>
      </c>
      <c r="S910">
        <f>IF($P910="","",IFERROR(INDEX($F$6:$F$2005,MATCH($Q910,WageIds,0)),""))</f>
        <v/>
      </c>
      <c r="T910">
        <f>IF(OR($P910="",$S910="",$S910="نامعتبر"),"",LEFT($S910,4)&amp;MID($S910,6,2)&amp;RIGHT($S910,2)&amp;"0000"&amp;"|"&amp;"2"&amp;RIGHT("00000"&amp;905,5))</f>
        <v/>
      </c>
      <c r="U910">
        <f>IF($T910="","",COUNTIFS(LdAParty,$P910,LdAType,1,LdAKey,"&lt;"&amp;$T910)+COUNTIFS(LdBMember,$P910,LdBKey,"&lt;"&amp;$T910)+COUNTIFS(LdCParty,$P910,LdCKey,"&lt;"&amp;$T910)+1)</f>
        <v/>
      </c>
      <c r="V910">
        <f>IF($U910="","",$P910&amp;"|"&amp;RIGHT("000000"&amp;$U910,6))</f>
        <v/>
      </c>
      <c r="W910">
        <f>IF($T910="","",COUNTIFS(LdBGroup,$R910,LdBKey,"&lt;"&amp;$T910)+1)</f>
        <v/>
      </c>
      <c r="X910">
        <f>IF($W910="","",$R910&amp;"|"&amp;RIGHT("000000"&amp;$W910,6))</f>
        <v/>
      </c>
      <c r="Y910">
        <f>IF($P910="","",IF(Shares!$E913="",0,Shares!$E913))</f>
        <v/>
      </c>
      <c r="Z910">
        <f>IF($P910="","",Shares!$H913)</f>
        <v/>
      </c>
      <c r="AE910">
        <f>IF(OR(Sync!$S910="",Sync!$P910=""),"",Sync!$S910)</f>
        <v/>
      </c>
      <c r="AF910">
        <f>IF($AE910="","",IF(ISNUMBER(Sync!$P910),IF(AND(Sync!$P910&gt;=10000101,Sync!$P910&lt;=99991231),INT(Sync!$P910/10000),""),IFERROR(VALUE(TRIM(LEFT(Sync!$P910,FIND("/",Sync!$P910)-1))),"")))</f>
        <v/>
      </c>
      <c r="AG910">
        <f>IF(OR($AE910="",$AF910=""),"",IF(ISNUMBER(Sync!$P910),INT(MOD(Sync!$P910,10000)/100),IFERROR(VALUE(TRIM(LEFT(MID(Sync!$P910,FIND("/",Sync!$P910)+1,20),FIND("/",MID(Sync!$P910,FIND("/",Sync!$P910)+1,20))-1))),"")))</f>
        <v/>
      </c>
      <c r="AH910">
        <f>IF(OR($AE910="",$AF910=""),"",IF(ISNUMBER(Sync!$P910),MOD(Sync!$P910,100),IFERROR(VALUE(TRIM(MID(MID(Sync!$P910,FIND("/",Sync!$P910)+1,20),FIND("/",MID(Sync!$P910,FIND("/",Sync!$P910)+1,20))+1,20))),"")))</f>
        <v/>
      </c>
      <c r="AI910">
        <f>IF($AE910="","",IF(OR($AF910="",$AG910="",$AH910="",$AF910&lt;1300,$AF910&gt;1500,$AG910&lt;1,$AG910&gt;12,$AH910&lt;1,$AH910&gt;31),"نامعتبر",RIGHT("0000"&amp;$AF910,4)&amp;"/"&amp;RIGHT("00"&amp;$AG910,2)&amp;"/"&amp;RIGHT("00"&amp;$AH910,2)))</f>
        <v/>
      </c>
      <c r="AJ910">
        <f>IF($AE910="","",IF(Sync!$Q910="","0000",IF(AND(ISNUMBER(Sync!$Q910),Sync!$Q910&gt;=0,Sync!$Q910&lt;1),RIGHT("00"&amp;HOUR(Sync!$Q910),2)&amp;RIGHT("00"&amp;MINUTE(Sync!$Q910),2),IFERROR(RIGHT("00"&amp;VALUE(LEFT(Sync!$Q910,FIND(":",Sync!$Q910)-1)),2)&amp;RIGHT("00"&amp;VALUE(MID(Sync!$Q910,FIND(":",Sync!$Q910)+1,2)),2),"0000"))))</f>
        <v/>
      </c>
      <c r="AK910">
        <f>IF(OR($AE910="",$AI910="",$AI910="نامعتبر"),"",LEFT($AI910,4)&amp;MID($AI910,6,2)&amp;RIGHT($AI910,2)&amp;$AJ910&amp;"|"&amp;"3"&amp;RIGHT("00000"&amp;905,5))</f>
        <v/>
      </c>
      <c r="AL910">
        <f>IF($AK910="","",COUNTIFS(LdAParty,$AE910,LdAType,1,LdAKey,"&lt;"&amp;$AK910)+COUNTIFS(LdBMember,$AE910,LdBKey,"&lt;"&amp;$AK910)+COUNTIFS(LdCParty,$AE910,LdCKey,"&lt;"&amp;$AK910)+1)</f>
        <v/>
      </c>
      <c r="AM910">
        <f>IF($AL910="","",$AE910&amp;"|"&amp;RIGHT("000000"&amp;$AL910,6))</f>
        <v/>
      </c>
      <c r="AN910">
        <f>IF($AE910="","",IF(Sync!$W910="",0,Sync!$W910))</f>
        <v/>
      </c>
      <c r="AO910">
        <f>IF($AE910="","",IF(Sync!$X910="",0,Sync!$X910))</f>
        <v/>
      </c>
      <c r="AP910">
        <f>IF($AE910="","",Sync!$R910)</f>
        <v/>
      </c>
      <c r="AQ910">
        <f>IF($AE910="","",Sync!$Y910)</f>
        <v/>
      </c>
    </row>
    <row r="911">
      <c r="A911">
        <f>IF(OR(Wages!$B914="",Wages!$E914=""),"",Wages!$E914)</f>
        <v/>
      </c>
      <c r="B911">
        <f>IF($A911="","",IF(Wages!$C914="دستمزد گروهی",2,1))</f>
        <v/>
      </c>
      <c r="C911">
        <f>IF($A911="","",IF(ISNUMBER(Wages!$B914),IF(AND(Wages!$B914&gt;=10000101,Wages!$B914&lt;=99991231),INT(Wages!$B914/10000),""),IFERROR(VALUE(TRIM(LEFT(Wages!$B914,FIND("/",Wages!$B914)-1))),"")))</f>
        <v/>
      </c>
      <c r="D911">
        <f>IF(OR($A911="",$C911=""),"",IF(ISNUMBER(Wages!$B914),INT(MOD(Wages!$B914,10000)/100),IFERROR(VALUE(TRIM(LEFT(MID(Wages!$B914,FIND("/",Wages!$B914)+1,20),FIND("/",MID(Wages!$B914,FIND("/",Wages!$B914)+1,20))-1))),"")))</f>
        <v/>
      </c>
      <c r="E911">
        <f>IF(OR($A911="",$C911=""),"",IF(ISNUMBER(Wages!$B914),MOD(Wages!$B914,100),IFERROR(VALUE(TRIM(MID(MID(Wages!$B914,FIND("/",Wages!$B914)+1,20),FIND("/",MID(Wages!$B914,FIND("/",Wages!$B914)+1,20))+1,20))),"")))</f>
        <v/>
      </c>
      <c r="F911">
        <f>IF($A911="","",IF(OR($C911="",$D911="",$E911="",$C911&lt;1300,$C911&gt;1500,$D911&lt;1,$D911&gt;12,$E911&lt;1,$E911&gt;31),"نامعتبر",RIGHT("0000"&amp;$C911,4)&amp;"/"&amp;RIGHT("00"&amp;$D911,2)&amp;"/"&amp;RIGHT("00"&amp;$E911,2)))</f>
        <v/>
      </c>
      <c r="G911">
        <f>IF(OR($A911="",$F911="",$F911="نامعتبر"),"",LEFT($F911,4)&amp;MID($F911,6,2)&amp;RIGHT($F911,2)&amp;"0000"&amp;"|"&amp;"1"&amp;RIGHT("00000"&amp;906,5))</f>
        <v/>
      </c>
      <c r="H911">
        <f>IF(OR($B911&lt;&gt;1,$G911=""),"",COUNTIFS(LdAParty,$A911,LdAType,1,LdAKey,"&lt;"&amp;$G911)+COUNTIFS(LdBMember,$A911,LdBKey,"&lt;"&amp;$G911)+COUNTIFS(LdCParty,$A911,LdCKey,"&lt;"&amp;$G911)+1)</f>
        <v/>
      </c>
      <c r="I911">
        <f>IF($H911="","",$A911&amp;"|"&amp;RIGHT("000000"&amp;$H911,6))</f>
        <v/>
      </c>
      <c r="J911">
        <f>IF(OR($B911&lt;&gt;2,$G911=""),"",COUNTIFS(LdAParty,$A911,LdAType,2,LdAKey,"&lt;"&amp;$G911)+1)</f>
        <v/>
      </c>
      <c r="K911">
        <f>IF($J911="","",$A911&amp;"|"&amp;RIGHT("000000"&amp;$J911,6))</f>
        <v/>
      </c>
      <c r="L911">
        <f>IF($A911="","",IF(Wages!$G914="",0,Wages!$G914))</f>
        <v/>
      </c>
      <c r="M911">
        <f>IF($A911="","",Wages!$J914)</f>
        <v/>
      </c>
      <c r="N911">
        <f>IF($A911="","",Wages!$D914)</f>
        <v/>
      </c>
      <c r="P911">
        <f>IF(OR(Shares!$B914="",Shares!$C914=""),"",Shares!$C914)</f>
        <v/>
      </c>
      <c r="Q911">
        <f>IF($P911="","",Shares!$B914)</f>
        <v/>
      </c>
      <c r="R911">
        <f>IF($P911="","",IFERROR(INDEX(WageParty,MATCH($Q911,WageIds,0)),""))</f>
        <v/>
      </c>
      <c r="S911">
        <f>IF($P911="","",IFERROR(INDEX($F$6:$F$2005,MATCH($Q911,WageIds,0)),""))</f>
        <v/>
      </c>
      <c r="T911">
        <f>IF(OR($P911="",$S911="",$S911="نامعتبر"),"",LEFT($S911,4)&amp;MID($S911,6,2)&amp;RIGHT($S911,2)&amp;"0000"&amp;"|"&amp;"2"&amp;RIGHT("00000"&amp;906,5))</f>
        <v/>
      </c>
      <c r="U911">
        <f>IF($T911="","",COUNTIFS(LdAParty,$P911,LdAType,1,LdAKey,"&lt;"&amp;$T911)+COUNTIFS(LdBMember,$P911,LdBKey,"&lt;"&amp;$T911)+COUNTIFS(LdCParty,$P911,LdCKey,"&lt;"&amp;$T911)+1)</f>
        <v/>
      </c>
      <c r="V911">
        <f>IF($U911="","",$P911&amp;"|"&amp;RIGHT("000000"&amp;$U911,6))</f>
        <v/>
      </c>
      <c r="W911">
        <f>IF($T911="","",COUNTIFS(LdBGroup,$R911,LdBKey,"&lt;"&amp;$T911)+1)</f>
        <v/>
      </c>
      <c r="X911">
        <f>IF($W911="","",$R911&amp;"|"&amp;RIGHT("000000"&amp;$W911,6))</f>
        <v/>
      </c>
      <c r="Y911">
        <f>IF($P911="","",IF(Shares!$E914="",0,Shares!$E914))</f>
        <v/>
      </c>
      <c r="Z911">
        <f>IF($P911="","",Shares!$H914)</f>
        <v/>
      </c>
      <c r="AE911">
        <f>IF(OR(Sync!$S911="",Sync!$P911=""),"",Sync!$S911)</f>
        <v/>
      </c>
      <c r="AF911">
        <f>IF($AE911="","",IF(ISNUMBER(Sync!$P911),IF(AND(Sync!$P911&gt;=10000101,Sync!$P911&lt;=99991231),INT(Sync!$P911/10000),""),IFERROR(VALUE(TRIM(LEFT(Sync!$P911,FIND("/",Sync!$P911)-1))),"")))</f>
        <v/>
      </c>
      <c r="AG911">
        <f>IF(OR($AE911="",$AF911=""),"",IF(ISNUMBER(Sync!$P911),INT(MOD(Sync!$P911,10000)/100),IFERROR(VALUE(TRIM(LEFT(MID(Sync!$P911,FIND("/",Sync!$P911)+1,20),FIND("/",MID(Sync!$P911,FIND("/",Sync!$P911)+1,20))-1))),"")))</f>
        <v/>
      </c>
      <c r="AH911">
        <f>IF(OR($AE911="",$AF911=""),"",IF(ISNUMBER(Sync!$P911),MOD(Sync!$P911,100),IFERROR(VALUE(TRIM(MID(MID(Sync!$P911,FIND("/",Sync!$P911)+1,20),FIND("/",MID(Sync!$P911,FIND("/",Sync!$P911)+1,20))+1,20))),"")))</f>
        <v/>
      </c>
      <c r="AI911">
        <f>IF($AE911="","",IF(OR($AF911="",$AG911="",$AH911="",$AF911&lt;1300,$AF911&gt;1500,$AG911&lt;1,$AG911&gt;12,$AH911&lt;1,$AH911&gt;31),"نامعتبر",RIGHT("0000"&amp;$AF911,4)&amp;"/"&amp;RIGHT("00"&amp;$AG911,2)&amp;"/"&amp;RIGHT("00"&amp;$AH911,2)))</f>
        <v/>
      </c>
      <c r="AJ911">
        <f>IF($AE911="","",IF(Sync!$Q911="","0000",IF(AND(ISNUMBER(Sync!$Q911),Sync!$Q911&gt;=0,Sync!$Q911&lt;1),RIGHT("00"&amp;HOUR(Sync!$Q911),2)&amp;RIGHT("00"&amp;MINUTE(Sync!$Q911),2),IFERROR(RIGHT("00"&amp;VALUE(LEFT(Sync!$Q911,FIND(":",Sync!$Q911)-1)),2)&amp;RIGHT("00"&amp;VALUE(MID(Sync!$Q911,FIND(":",Sync!$Q911)+1,2)),2),"0000"))))</f>
        <v/>
      </c>
      <c r="AK911">
        <f>IF(OR($AE911="",$AI911="",$AI911="نامعتبر"),"",LEFT($AI911,4)&amp;MID($AI911,6,2)&amp;RIGHT($AI911,2)&amp;$AJ911&amp;"|"&amp;"3"&amp;RIGHT("00000"&amp;906,5))</f>
        <v/>
      </c>
      <c r="AL911">
        <f>IF($AK911="","",COUNTIFS(LdAParty,$AE911,LdAType,1,LdAKey,"&lt;"&amp;$AK911)+COUNTIFS(LdBMember,$AE911,LdBKey,"&lt;"&amp;$AK911)+COUNTIFS(LdCParty,$AE911,LdCKey,"&lt;"&amp;$AK911)+1)</f>
        <v/>
      </c>
      <c r="AM911">
        <f>IF($AL911="","",$AE911&amp;"|"&amp;RIGHT("000000"&amp;$AL911,6))</f>
        <v/>
      </c>
      <c r="AN911">
        <f>IF($AE911="","",IF(Sync!$W911="",0,Sync!$W911))</f>
        <v/>
      </c>
      <c r="AO911">
        <f>IF($AE911="","",IF(Sync!$X911="",0,Sync!$X911))</f>
        <v/>
      </c>
      <c r="AP911">
        <f>IF($AE911="","",Sync!$R911)</f>
        <v/>
      </c>
      <c r="AQ911">
        <f>IF($AE911="","",Sync!$Y911)</f>
        <v/>
      </c>
    </row>
    <row r="912">
      <c r="A912">
        <f>IF(OR(Wages!$B915="",Wages!$E915=""),"",Wages!$E915)</f>
        <v/>
      </c>
      <c r="B912">
        <f>IF($A912="","",IF(Wages!$C915="دستمزد گروهی",2,1))</f>
        <v/>
      </c>
      <c r="C912">
        <f>IF($A912="","",IF(ISNUMBER(Wages!$B915),IF(AND(Wages!$B915&gt;=10000101,Wages!$B915&lt;=99991231),INT(Wages!$B915/10000),""),IFERROR(VALUE(TRIM(LEFT(Wages!$B915,FIND("/",Wages!$B915)-1))),"")))</f>
        <v/>
      </c>
      <c r="D912">
        <f>IF(OR($A912="",$C912=""),"",IF(ISNUMBER(Wages!$B915),INT(MOD(Wages!$B915,10000)/100),IFERROR(VALUE(TRIM(LEFT(MID(Wages!$B915,FIND("/",Wages!$B915)+1,20),FIND("/",MID(Wages!$B915,FIND("/",Wages!$B915)+1,20))-1))),"")))</f>
        <v/>
      </c>
      <c r="E912">
        <f>IF(OR($A912="",$C912=""),"",IF(ISNUMBER(Wages!$B915),MOD(Wages!$B915,100),IFERROR(VALUE(TRIM(MID(MID(Wages!$B915,FIND("/",Wages!$B915)+1,20),FIND("/",MID(Wages!$B915,FIND("/",Wages!$B915)+1,20))+1,20))),"")))</f>
        <v/>
      </c>
      <c r="F912">
        <f>IF($A912="","",IF(OR($C912="",$D912="",$E912="",$C912&lt;1300,$C912&gt;1500,$D912&lt;1,$D912&gt;12,$E912&lt;1,$E912&gt;31),"نامعتبر",RIGHT("0000"&amp;$C912,4)&amp;"/"&amp;RIGHT("00"&amp;$D912,2)&amp;"/"&amp;RIGHT("00"&amp;$E912,2)))</f>
        <v/>
      </c>
      <c r="G912">
        <f>IF(OR($A912="",$F912="",$F912="نامعتبر"),"",LEFT($F912,4)&amp;MID($F912,6,2)&amp;RIGHT($F912,2)&amp;"0000"&amp;"|"&amp;"1"&amp;RIGHT("00000"&amp;907,5))</f>
        <v/>
      </c>
      <c r="H912">
        <f>IF(OR($B912&lt;&gt;1,$G912=""),"",COUNTIFS(LdAParty,$A912,LdAType,1,LdAKey,"&lt;"&amp;$G912)+COUNTIFS(LdBMember,$A912,LdBKey,"&lt;"&amp;$G912)+COUNTIFS(LdCParty,$A912,LdCKey,"&lt;"&amp;$G912)+1)</f>
        <v/>
      </c>
      <c r="I912">
        <f>IF($H912="","",$A912&amp;"|"&amp;RIGHT("000000"&amp;$H912,6))</f>
        <v/>
      </c>
      <c r="J912">
        <f>IF(OR($B912&lt;&gt;2,$G912=""),"",COUNTIFS(LdAParty,$A912,LdAType,2,LdAKey,"&lt;"&amp;$G912)+1)</f>
        <v/>
      </c>
      <c r="K912">
        <f>IF($J912="","",$A912&amp;"|"&amp;RIGHT("000000"&amp;$J912,6))</f>
        <v/>
      </c>
      <c r="L912">
        <f>IF($A912="","",IF(Wages!$G915="",0,Wages!$G915))</f>
        <v/>
      </c>
      <c r="M912">
        <f>IF($A912="","",Wages!$J915)</f>
        <v/>
      </c>
      <c r="N912">
        <f>IF($A912="","",Wages!$D915)</f>
        <v/>
      </c>
      <c r="P912">
        <f>IF(OR(Shares!$B915="",Shares!$C915=""),"",Shares!$C915)</f>
        <v/>
      </c>
      <c r="Q912">
        <f>IF($P912="","",Shares!$B915)</f>
        <v/>
      </c>
      <c r="R912">
        <f>IF($P912="","",IFERROR(INDEX(WageParty,MATCH($Q912,WageIds,0)),""))</f>
        <v/>
      </c>
      <c r="S912">
        <f>IF($P912="","",IFERROR(INDEX($F$6:$F$2005,MATCH($Q912,WageIds,0)),""))</f>
        <v/>
      </c>
      <c r="T912">
        <f>IF(OR($P912="",$S912="",$S912="نامعتبر"),"",LEFT($S912,4)&amp;MID($S912,6,2)&amp;RIGHT($S912,2)&amp;"0000"&amp;"|"&amp;"2"&amp;RIGHT("00000"&amp;907,5))</f>
        <v/>
      </c>
      <c r="U912">
        <f>IF($T912="","",COUNTIFS(LdAParty,$P912,LdAType,1,LdAKey,"&lt;"&amp;$T912)+COUNTIFS(LdBMember,$P912,LdBKey,"&lt;"&amp;$T912)+COUNTIFS(LdCParty,$P912,LdCKey,"&lt;"&amp;$T912)+1)</f>
        <v/>
      </c>
      <c r="V912">
        <f>IF($U912="","",$P912&amp;"|"&amp;RIGHT("000000"&amp;$U912,6))</f>
        <v/>
      </c>
      <c r="W912">
        <f>IF($T912="","",COUNTIFS(LdBGroup,$R912,LdBKey,"&lt;"&amp;$T912)+1)</f>
        <v/>
      </c>
      <c r="X912">
        <f>IF($W912="","",$R912&amp;"|"&amp;RIGHT("000000"&amp;$W912,6))</f>
        <v/>
      </c>
      <c r="Y912">
        <f>IF($P912="","",IF(Shares!$E915="",0,Shares!$E915))</f>
        <v/>
      </c>
      <c r="Z912">
        <f>IF($P912="","",Shares!$H915)</f>
        <v/>
      </c>
      <c r="AE912">
        <f>IF(OR(Sync!$S912="",Sync!$P912=""),"",Sync!$S912)</f>
        <v/>
      </c>
      <c r="AF912">
        <f>IF($AE912="","",IF(ISNUMBER(Sync!$P912),IF(AND(Sync!$P912&gt;=10000101,Sync!$P912&lt;=99991231),INT(Sync!$P912/10000),""),IFERROR(VALUE(TRIM(LEFT(Sync!$P912,FIND("/",Sync!$P912)-1))),"")))</f>
        <v/>
      </c>
      <c r="AG912">
        <f>IF(OR($AE912="",$AF912=""),"",IF(ISNUMBER(Sync!$P912),INT(MOD(Sync!$P912,10000)/100),IFERROR(VALUE(TRIM(LEFT(MID(Sync!$P912,FIND("/",Sync!$P912)+1,20),FIND("/",MID(Sync!$P912,FIND("/",Sync!$P912)+1,20))-1))),"")))</f>
        <v/>
      </c>
      <c r="AH912">
        <f>IF(OR($AE912="",$AF912=""),"",IF(ISNUMBER(Sync!$P912),MOD(Sync!$P912,100),IFERROR(VALUE(TRIM(MID(MID(Sync!$P912,FIND("/",Sync!$P912)+1,20),FIND("/",MID(Sync!$P912,FIND("/",Sync!$P912)+1,20))+1,20))),"")))</f>
        <v/>
      </c>
      <c r="AI912">
        <f>IF($AE912="","",IF(OR($AF912="",$AG912="",$AH912="",$AF912&lt;1300,$AF912&gt;1500,$AG912&lt;1,$AG912&gt;12,$AH912&lt;1,$AH912&gt;31),"نامعتبر",RIGHT("0000"&amp;$AF912,4)&amp;"/"&amp;RIGHT("00"&amp;$AG912,2)&amp;"/"&amp;RIGHT("00"&amp;$AH912,2)))</f>
        <v/>
      </c>
      <c r="AJ912">
        <f>IF($AE912="","",IF(Sync!$Q912="","0000",IF(AND(ISNUMBER(Sync!$Q912),Sync!$Q912&gt;=0,Sync!$Q912&lt;1),RIGHT("00"&amp;HOUR(Sync!$Q912),2)&amp;RIGHT("00"&amp;MINUTE(Sync!$Q912),2),IFERROR(RIGHT("00"&amp;VALUE(LEFT(Sync!$Q912,FIND(":",Sync!$Q912)-1)),2)&amp;RIGHT("00"&amp;VALUE(MID(Sync!$Q912,FIND(":",Sync!$Q912)+1,2)),2),"0000"))))</f>
        <v/>
      </c>
      <c r="AK912">
        <f>IF(OR($AE912="",$AI912="",$AI912="نامعتبر"),"",LEFT($AI912,4)&amp;MID($AI912,6,2)&amp;RIGHT($AI912,2)&amp;$AJ912&amp;"|"&amp;"3"&amp;RIGHT("00000"&amp;907,5))</f>
        <v/>
      </c>
      <c r="AL912">
        <f>IF($AK912="","",COUNTIFS(LdAParty,$AE912,LdAType,1,LdAKey,"&lt;"&amp;$AK912)+COUNTIFS(LdBMember,$AE912,LdBKey,"&lt;"&amp;$AK912)+COUNTIFS(LdCParty,$AE912,LdCKey,"&lt;"&amp;$AK912)+1)</f>
        <v/>
      </c>
      <c r="AM912">
        <f>IF($AL912="","",$AE912&amp;"|"&amp;RIGHT("000000"&amp;$AL912,6))</f>
        <v/>
      </c>
      <c r="AN912">
        <f>IF($AE912="","",IF(Sync!$W912="",0,Sync!$W912))</f>
        <v/>
      </c>
      <c r="AO912">
        <f>IF($AE912="","",IF(Sync!$X912="",0,Sync!$X912))</f>
        <v/>
      </c>
      <c r="AP912">
        <f>IF($AE912="","",Sync!$R912)</f>
        <v/>
      </c>
      <c r="AQ912">
        <f>IF($AE912="","",Sync!$Y912)</f>
        <v/>
      </c>
    </row>
    <row r="913">
      <c r="A913">
        <f>IF(OR(Wages!$B916="",Wages!$E916=""),"",Wages!$E916)</f>
        <v/>
      </c>
      <c r="B913">
        <f>IF($A913="","",IF(Wages!$C916="دستمزد گروهی",2,1))</f>
        <v/>
      </c>
      <c r="C913">
        <f>IF($A913="","",IF(ISNUMBER(Wages!$B916),IF(AND(Wages!$B916&gt;=10000101,Wages!$B916&lt;=99991231),INT(Wages!$B916/10000),""),IFERROR(VALUE(TRIM(LEFT(Wages!$B916,FIND("/",Wages!$B916)-1))),"")))</f>
        <v/>
      </c>
      <c r="D913">
        <f>IF(OR($A913="",$C913=""),"",IF(ISNUMBER(Wages!$B916),INT(MOD(Wages!$B916,10000)/100),IFERROR(VALUE(TRIM(LEFT(MID(Wages!$B916,FIND("/",Wages!$B916)+1,20),FIND("/",MID(Wages!$B916,FIND("/",Wages!$B916)+1,20))-1))),"")))</f>
        <v/>
      </c>
      <c r="E913">
        <f>IF(OR($A913="",$C913=""),"",IF(ISNUMBER(Wages!$B916),MOD(Wages!$B916,100),IFERROR(VALUE(TRIM(MID(MID(Wages!$B916,FIND("/",Wages!$B916)+1,20),FIND("/",MID(Wages!$B916,FIND("/",Wages!$B916)+1,20))+1,20))),"")))</f>
        <v/>
      </c>
      <c r="F913">
        <f>IF($A913="","",IF(OR($C913="",$D913="",$E913="",$C913&lt;1300,$C913&gt;1500,$D913&lt;1,$D913&gt;12,$E913&lt;1,$E913&gt;31),"نامعتبر",RIGHT("0000"&amp;$C913,4)&amp;"/"&amp;RIGHT("00"&amp;$D913,2)&amp;"/"&amp;RIGHT("00"&amp;$E913,2)))</f>
        <v/>
      </c>
      <c r="G913">
        <f>IF(OR($A913="",$F913="",$F913="نامعتبر"),"",LEFT($F913,4)&amp;MID($F913,6,2)&amp;RIGHT($F913,2)&amp;"0000"&amp;"|"&amp;"1"&amp;RIGHT("00000"&amp;908,5))</f>
        <v/>
      </c>
      <c r="H913">
        <f>IF(OR($B913&lt;&gt;1,$G913=""),"",COUNTIFS(LdAParty,$A913,LdAType,1,LdAKey,"&lt;"&amp;$G913)+COUNTIFS(LdBMember,$A913,LdBKey,"&lt;"&amp;$G913)+COUNTIFS(LdCParty,$A913,LdCKey,"&lt;"&amp;$G913)+1)</f>
        <v/>
      </c>
      <c r="I913">
        <f>IF($H913="","",$A913&amp;"|"&amp;RIGHT("000000"&amp;$H913,6))</f>
        <v/>
      </c>
      <c r="J913">
        <f>IF(OR($B913&lt;&gt;2,$G913=""),"",COUNTIFS(LdAParty,$A913,LdAType,2,LdAKey,"&lt;"&amp;$G913)+1)</f>
        <v/>
      </c>
      <c r="K913">
        <f>IF($J913="","",$A913&amp;"|"&amp;RIGHT("000000"&amp;$J913,6))</f>
        <v/>
      </c>
      <c r="L913">
        <f>IF($A913="","",IF(Wages!$G916="",0,Wages!$G916))</f>
        <v/>
      </c>
      <c r="M913">
        <f>IF($A913="","",Wages!$J916)</f>
        <v/>
      </c>
      <c r="N913">
        <f>IF($A913="","",Wages!$D916)</f>
        <v/>
      </c>
      <c r="P913">
        <f>IF(OR(Shares!$B916="",Shares!$C916=""),"",Shares!$C916)</f>
        <v/>
      </c>
      <c r="Q913">
        <f>IF($P913="","",Shares!$B916)</f>
        <v/>
      </c>
      <c r="R913">
        <f>IF($P913="","",IFERROR(INDEX(WageParty,MATCH($Q913,WageIds,0)),""))</f>
        <v/>
      </c>
      <c r="S913">
        <f>IF($P913="","",IFERROR(INDEX($F$6:$F$2005,MATCH($Q913,WageIds,0)),""))</f>
        <v/>
      </c>
      <c r="T913">
        <f>IF(OR($P913="",$S913="",$S913="نامعتبر"),"",LEFT($S913,4)&amp;MID($S913,6,2)&amp;RIGHT($S913,2)&amp;"0000"&amp;"|"&amp;"2"&amp;RIGHT("00000"&amp;908,5))</f>
        <v/>
      </c>
      <c r="U913">
        <f>IF($T913="","",COUNTIFS(LdAParty,$P913,LdAType,1,LdAKey,"&lt;"&amp;$T913)+COUNTIFS(LdBMember,$P913,LdBKey,"&lt;"&amp;$T913)+COUNTIFS(LdCParty,$P913,LdCKey,"&lt;"&amp;$T913)+1)</f>
        <v/>
      </c>
      <c r="V913">
        <f>IF($U913="","",$P913&amp;"|"&amp;RIGHT("000000"&amp;$U913,6))</f>
        <v/>
      </c>
      <c r="W913">
        <f>IF($T913="","",COUNTIFS(LdBGroup,$R913,LdBKey,"&lt;"&amp;$T913)+1)</f>
        <v/>
      </c>
      <c r="X913">
        <f>IF($W913="","",$R913&amp;"|"&amp;RIGHT("000000"&amp;$W913,6))</f>
        <v/>
      </c>
      <c r="Y913">
        <f>IF($P913="","",IF(Shares!$E916="",0,Shares!$E916))</f>
        <v/>
      </c>
      <c r="Z913">
        <f>IF($P913="","",Shares!$H916)</f>
        <v/>
      </c>
      <c r="AE913">
        <f>IF(OR(Sync!$S913="",Sync!$P913=""),"",Sync!$S913)</f>
        <v/>
      </c>
      <c r="AF913">
        <f>IF($AE913="","",IF(ISNUMBER(Sync!$P913),IF(AND(Sync!$P913&gt;=10000101,Sync!$P913&lt;=99991231),INT(Sync!$P913/10000),""),IFERROR(VALUE(TRIM(LEFT(Sync!$P913,FIND("/",Sync!$P913)-1))),"")))</f>
        <v/>
      </c>
      <c r="AG913">
        <f>IF(OR($AE913="",$AF913=""),"",IF(ISNUMBER(Sync!$P913),INT(MOD(Sync!$P913,10000)/100),IFERROR(VALUE(TRIM(LEFT(MID(Sync!$P913,FIND("/",Sync!$P913)+1,20),FIND("/",MID(Sync!$P913,FIND("/",Sync!$P913)+1,20))-1))),"")))</f>
        <v/>
      </c>
      <c r="AH913">
        <f>IF(OR($AE913="",$AF913=""),"",IF(ISNUMBER(Sync!$P913),MOD(Sync!$P913,100),IFERROR(VALUE(TRIM(MID(MID(Sync!$P913,FIND("/",Sync!$P913)+1,20),FIND("/",MID(Sync!$P913,FIND("/",Sync!$P913)+1,20))+1,20))),"")))</f>
        <v/>
      </c>
      <c r="AI913">
        <f>IF($AE913="","",IF(OR($AF913="",$AG913="",$AH913="",$AF913&lt;1300,$AF913&gt;1500,$AG913&lt;1,$AG913&gt;12,$AH913&lt;1,$AH913&gt;31),"نامعتبر",RIGHT("0000"&amp;$AF913,4)&amp;"/"&amp;RIGHT("00"&amp;$AG913,2)&amp;"/"&amp;RIGHT("00"&amp;$AH913,2)))</f>
        <v/>
      </c>
      <c r="AJ913">
        <f>IF($AE913="","",IF(Sync!$Q913="","0000",IF(AND(ISNUMBER(Sync!$Q913),Sync!$Q913&gt;=0,Sync!$Q913&lt;1),RIGHT("00"&amp;HOUR(Sync!$Q913),2)&amp;RIGHT("00"&amp;MINUTE(Sync!$Q913),2),IFERROR(RIGHT("00"&amp;VALUE(LEFT(Sync!$Q913,FIND(":",Sync!$Q913)-1)),2)&amp;RIGHT("00"&amp;VALUE(MID(Sync!$Q913,FIND(":",Sync!$Q913)+1,2)),2),"0000"))))</f>
        <v/>
      </c>
      <c r="AK913">
        <f>IF(OR($AE913="",$AI913="",$AI913="نامعتبر"),"",LEFT($AI913,4)&amp;MID($AI913,6,2)&amp;RIGHT($AI913,2)&amp;$AJ913&amp;"|"&amp;"3"&amp;RIGHT("00000"&amp;908,5))</f>
        <v/>
      </c>
      <c r="AL913">
        <f>IF($AK913="","",COUNTIFS(LdAParty,$AE913,LdAType,1,LdAKey,"&lt;"&amp;$AK913)+COUNTIFS(LdBMember,$AE913,LdBKey,"&lt;"&amp;$AK913)+COUNTIFS(LdCParty,$AE913,LdCKey,"&lt;"&amp;$AK913)+1)</f>
        <v/>
      </c>
      <c r="AM913">
        <f>IF($AL913="","",$AE913&amp;"|"&amp;RIGHT("000000"&amp;$AL913,6))</f>
        <v/>
      </c>
      <c r="AN913">
        <f>IF($AE913="","",IF(Sync!$W913="",0,Sync!$W913))</f>
        <v/>
      </c>
      <c r="AO913">
        <f>IF($AE913="","",IF(Sync!$X913="",0,Sync!$X913))</f>
        <v/>
      </c>
      <c r="AP913">
        <f>IF($AE913="","",Sync!$R913)</f>
        <v/>
      </c>
      <c r="AQ913">
        <f>IF($AE913="","",Sync!$Y913)</f>
        <v/>
      </c>
    </row>
    <row r="914">
      <c r="A914">
        <f>IF(OR(Wages!$B917="",Wages!$E917=""),"",Wages!$E917)</f>
        <v/>
      </c>
      <c r="B914">
        <f>IF($A914="","",IF(Wages!$C917="دستمزد گروهی",2,1))</f>
        <v/>
      </c>
      <c r="C914">
        <f>IF($A914="","",IF(ISNUMBER(Wages!$B917),IF(AND(Wages!$B917&gt;=10000101,Wages!$B917&lt;=99991231),INT(Wages!$B917/10000),""),IFERROR(VALUE(TRIM(LEFT(Wages!$B917,FIND("/",Wages!$B917)-1))),"")))</f>
        <v/>
      </c>
      <c r="D914">
        <f>IF(OR($A914="",$C914=""),"",IF(ISNUMBER(Wages!$B917),INT(MOD(Wages!$B917,10000)/100),IFERROR(VALUE(TRIM(LEFT(MID(Wages!$B917,FIND("/",Wages!$B917)+1,20),FIND("/",MID(Wages!$B917,FIND("/",Wages!$B917)+1,20))-1))),"")))</f>
        <v/>
      </c>
      <c r="E914">
        <f>IF(OR($A914="",$C914=""),"",IF(ISNUMBER(Wages!$B917),MOD(Wages!$B917,100),IFERROR(VALUE(TRIM(MID(MID(Wages!$B917,FIND("/",Wages!$B917)+1,20),FIND("/",MID(Wages!$B917,FIND("/",Wages!$B917)+1,20))+1,20))),"")))</f>
        <v/>
      </c>
      <c r="F914">
        <f>IF($A914="","",IF(OR($C914="",$D914="",$E914="",$C914&lt;1300,$C914&gt;1500,$D914&lt;1,$D914&gt;12,$E914&lt;1,$E914&gt;31),"نامعتبر",RIGHT("0000"&amp;$C914,4)&amp;"/"&amp;RIGHT("00"&amp;$D914,2)&amp;"/"&amp;RIGHT("00"&amp;$E914,2)))</f>
        <v/>
      </c>
      <c r="G914">
        <f>IF(OR($A914="",$F914="",$F914="نامعتبر"),"",LEFT($F914,4)&amp;MID($F914,6,2)&amp;RIGHT($F914,2)&amp;"0000"&amp;"|"&amp;"1"&amp;RIGHT("00000"&amp;909,5))</f>
        <v/>
      </c>
      <c r="H914">
        <f>IF(OR($B914&lt;&gt;1,$G914=""),"",COUNTIFS(LdAParty,$A914,LdAType,1,LdAKey,"&lt;"&amp;$G914)+COUNTIFS(LdBMember,$A914,LdBKey,"&lt;"&amp;$G914)+COUNTIFS(LdCParty,$A914,LdCKey,"&lt;"&amp;$G914)+1)</f>
        <v/>
      </c>
      <c r="I914">
        <f>IF($H914="","",$A914&amp;"|"&amp;RIGHT("000000"&amp;$H914,6))</f>
        <v/>
      </c>
      <c r="J914">
        <f>IF(OR($B914&lt;&gt;2,$G914=""),"",COUNTIFS(LdAParty,$A914,LdAType,2,LdAKey,"&lt;"&amp;$G914)+1)</f>
        <v/>
      </c>
      <c r="K914">
        <f>IF($J914="","",$A914&amp;"|"&amp;RIGHT("000000"&amp;$J914,6))</f>
        <v/>
      </c>
      <c r="L914">
        <f>IF($A914="","",IF(Wages!$G917="",0,Wages!$G917))</f>
        <v/>
      </c>
      <c r="M914">
        <f>IF($A914="","",Wages!$J917)</f>
        <v/>
      </c>
      <c r="N914">
        <f>IF($A914="","",Wages!$D917)</f>
        <v/>
      </c>
      <c r="P914">
        <f>IF(OR(Shares!$B917="",Shares!$C917=""),"",Shares!$C917)</f>
        <v/>
      </c>
      <c r="Q914">
        <f>IF($P914="","",Shares!$B917)</f>
        <v/>
      </c>
      <c r="R914">
        <f>IF($P914="","",IFERROR(INDEX(WageParty,MATCH($Q914,WageIds,0)),""))</f>
        <v/>
      </c>
      <c r="S914">
        <f>IF($P914="","",IFERROR(INDEX($F$6:$F$2005,MATCH($Q914,WageIds,0)),""))</f>
        <v/>
      </c>
      <c r="T914">
        <f>IF(OR($P914="",$S914="",$S914="نامعتبر"),"",LEFT($S914,4)&amp;MID($S914,6,2)&amp;RIGHT($S914,2)&amp;"0000"&amp;"|"&amp;"2"&amp;RIGHT("00000"&amp;909,5))</f>
        <v/>
      </c>
      <c r="U914">
        <f>IF($T914="","",COUNTIFS(LdAParty,$P914,LdAType,1,LdAKey,"&lt;"&amp;$T914)+COUNTIFS(LdBMember,$P914,LdBKey,"&lt;"&amp;$T914)+COUNTIFS(LdCParty,$P914,LdCKey,"&lt;"&amp;$T914)+1)</f>
        <v/>
      </c>
      <c r="V914">
        <f>IF($U914="","",$P914&amp;"|"&amp;RIGHT("000000"&amp;$U914,6))</f>
        <v/>
      </c>
      <c r="W914">
        <f>IF($T914="","",COUNTIFS(LdBGroup,$R914,LdBKey,"&lt;"&amp;$T914)+1)</f>
        <v/>
      </c>
      <c r="X914">
        <f>IF($W914="","",$R914&amp;"|"&amp;RIGHT("000000"&amp;$W914,6))</f>
        <v/>
      </c>
      <c r="Y914">
        <f>IF($P914="","",IF(Shares!$E917="",0,Shares!$E917))</f>
        <v/>
      </c>
      <c r="Z914">
        <f>IF($P914="","",Shares!$H917)</f>
        <v/>
      </c>
      <c r="AE914">
        <f>IF(OR(Sync!$S914="",Sync!$P914=""),"",Sync!$S914)</f>
        <v/>
      </c>
      <c r="AF914">
        <f>IF($AE914="","",IF(ISNUMBER(Sync!$P914),IF(AND(Sync!$P914&gt;=10000101,Sync!$P914&lt;=99991231),INT(Sync!$P914/10000),""),IFERROR(VALUE(TRIM(LEFT(Sync!$P914,FIND("/",Sync!$P914)-1))),"")))</f>
        <v/>
      </c>
      <c r="AG914">
        <f>IF(OR($AE914="",$AF914=""),"",IF(ISNUMBER(Sync!$P914),INT(MOD(Sync!$P914,10000)/100),IFERROR(VALUE(TRIM(LEFT(MID(Sync!$P914,FIND("/",Sync!$P914)+1,20),FIND("/",MID(Sync!$P914,FIND("/",Sync!$P914)+1,20))-1))),"")))</f>
        <v/>
      </c>
      <c r="AH914">
        <f>IF(OR($AE914="",$AF914=""),"",IF(ISNUMBER(Sync!$P914),MOD(Sync!$P914,100),IFERROR(VALUE(TRIM(MID(MID(Sync!$P914,FIND("/",Sync!$P914)+1,20),FIND("/",MID(Sync!$P914,FIND("/",Sync!$P914)+1,20))+1,20))),"")))</f>
        <v/>
      </c>
      <c r="AI914">
        <f>IF($AE914="","",IF(OR($AF914="",$AG914="",$AH914="",$AF914&lt;1300,$AF914&gt;1500,$AG914&lt;1,$AG914&gt;12,$AH914&lt;1,$AH914&gt;31),"نامعتبر",RIGHT("0000"&amp;$AF914,4)&amp;"/"&amp;RIGHT("00"&amp;$AG914,2)&amp;"/"&amp;RIGHT("00"&amp;$AH914,2)))</f>
        <v/>
      </c>
      <c r="AJ914">
        <f>IF($AE914="","",IF(Sync!$Q914="","0000",IF(AND(ISNUMBER(Sync!$Q914),Sync!$Q914&gt;=0,Sync!$Q914&lt;1),RIGHT("00"&amp;HOUR(Sync!$Q914),2)&amp;RIGHT("00"&amp;MINUTE(Sync!$Q914),2),IFERROR(RIGHT("00"&amp;VALUE(LEFT(Sync!$Q914,FIND(":",Sync!$Q914)-1)),2)&amp;RIGHT("00"&amp;VALUE(MID(Sync!$Q914,FIND(":",Sync!$Q914)+1,2)),2),"0000"))))</f>
        <v/>
      </c>
      <c r="AK914">
        <f>IF(OR($AE914="",$AI914="",$AI914="نامعتبر"),"",LEFT($AI914,4)&amp;MID($AI914,6,2)&amp;RIGHT($AI914,2)&amp;$AJ914&amp;"|"&amp;"3"&amp;RIGHT("00000"&amp;909,5))</f>
        <v/>
      </c>
      <c r="AL914">
        <f>IF($AK914="","",COUNTIFS(LdAParty,$AE914,LdAType,1,LdAKey,"&lt;"&amp;$AK914)+COUNTIFS(LdBMember,$AE914,LdBKey,"&lt;"&amp;$AK914)+COUNTIFS(LdCParty,$AE914,LdCKey,"&lt;"&amp;$AK914)+1)</f>
        <v/>
      </c>
      <c r="AM914">
        <f>IF($AL914="","",$AE914&amp;"|"&amp;RIGHT("000000"&amp;$AL914,6))</f>
        <v/>
      </c>
      <c r="AN914">
        <f>IF($AE914="","",IF(Sync!$W914="",0,Sync!$W914))</f>
        <v/>
      </c>
      <c r="AO914">
        <f>IF($AE914="","",IF(Sync!$X914="",0,Sync!$X914))</f>
        <v/>
      </c>
      <c r="AP914">
        <f>IF($AE914="","",Sync!$R914)</f>
        <v/>
      </c>
      <c r="AQ914">
        <f>IF($AE914="","",Sync!$Y914)</f>
        <v/>
      </c>
    </row>
    <row r="915">
      <c r="A915">
        <f>IF(OR(Wages!$B918="",Wages!$E918=""),"",Wages!$E918)</f>
        <v/>
      </c>
      <c r="B915">
        <f>IF($A915="","",IF(Wages!$C918="دستمزد گروهی",2,1))</f>
        <v/>
      </c>
      <c r="C915">
        <f>IF($A915="","",IF(ISNUMBER(Wages!$B918),IF(AND(Wages!$B918&gt;=10000101,Wages!$B918&lt;=99991231),INT(Wages!$B918/10000),""),IFERROR(VALUE(TRIM(LEFT(Wages!$B918,FIND("/",Wages!$B918)-1))),"")))</f>
        <v/>
      </c>
      <c r="D915">
        <f>IF(OR($A915="",$C915=""),"",IF(ISNUMBER(Wages!$B918),INT(MOD(Wages!$B918,10000)/100),IFERROR(VALUE(TRIM(LEFT(MID(Wages!$B918,FIND("/",Wages!$B918)+1,20),FIND("/",MID(Wages!$B918,FIND("/",Wages!$B918)+1,20))-1))),"")))</f>
        <v/>
      </c>
      <c r="E915">
        <f>IF(OR($A915="",$C915=""),"",IF(ISNUMBER(Wages!$B918),MOD(Wages!$B918,100),IFERROR(VALUE(TRIM(MID(MID(Wages!$B918,FIND("/",Wages!$B918)+1,20),FIND("/",MID(Wages!$B918,FIND("/",Wages!$B918)+1,20))+1,20))),"")))</f>
        <v/>
      </c>
      <c r="F915">
        <f>IF($A915="","",IF(OR($C915="",$D915="",$E915="",$C915&lt;1300,$C915&gt;1500,$D915&lt;1,$D915&gt;12,$E915&lt;1,$E915&gt;31),"نامعتبر",RIGHT("0000"&amp;$C915,4)&amp;"/"&amp;RIGHT("00"&amp;$D915,2)&amp;"/"&amp;RIGHT("00"&amp;$E915,2)))</f>
        <v/>
      </c>
      <c r="G915">
        <f>IF(OR($A915="",$F915="",$F915="نامعتبر"),"",LEFT($F915,4)&amp;MID($F915,6,2)&amp;RIGHT($F915,2)&amp;"0000"&amp;"|"&amp;"1"&amp;RIGHT("00000"&amp;910,5))</f>
        <v/>
      </c>
      <c r="H915">
        <f>IF(OR($B915&lt;&gt;1,$G915=""),"",COUNTIFS(LdAParty,$A915,LdAType,1,LdAKey,"&lt;"&amp;$G915)+COUNTIFS(LdBMember,$A915,LdBKey,"&lt;"&amp;$G915)+COUNTIFS(LdCParty,$A915,LdCKey,"&lt;"&amp;$G915)+1)</f>
        <v/>
      </c>
      <c r="I915">
        <f>IF($H915="","",$A915&amp;"|"&amp;RIGHT("000000"&amp;$H915,6))</f>
        <v/>
      </c>
      <c r="J915">
        <f>IF(OR($B915&lt;&gt;2,$G915=""),"",COUNTIFS(LdAParty,$A915,LdAType,2,LdAKey,"&lt;"&amp;$G915)+1)</f>
        <v/>
      </c>
      <c r="K915">
        <f>IF($J915="","",$A915&amp;"|"&amp;RIGHT("000000"&amp;$J915,6))</f>
        <v/>
      </c>
      <c r="L915">
        <f>IF($A915="","",IF(Wages!$G918="",0,Wages!$G918))</f>
        <v/>
      </c>
      <c r="M915">
        <f>IF($A915="","",Wages!$J918)</f>
        <v/>
      </c>
      <c r="N915">
        <f>IF($A915="","",Wages!$D918)</f>
        <v/>
      </c>
      <c r="P915">
        <f>IF(OR(Shares!$B918="",Shares!$C918=""),"",Shares!$C918)</f>
        <v/>
      </c>
      <c r="Q915">
        <f>IF($P915="","",Shares!$B918)</f>
        <v/>
      </c>
      <c r="R915">
        <f>IF($P915="","",IFERROR(INDEX(WageParty,MATCH($Q915,WageIds,0)),""))</f>
        <v/>
      </c>
      <c r="S915">
        <f>IF($P915="","",IFERROR(INDEX($F$6:$F$2005,MATCH($Q915,WageIds,0)),""))</f>
        <v/>
      </c>
      <c r="T915">
        <f>IF(OR($P915="",$S915="",$S915="نامعتبر"),"",LEFT($S915,4)&amp;MID($S915,6,2)&amp;RIGHT($S915,2)&amp;"0000"&amp;"|"&amp;"2"&amp;RIGHT("00000"&amp;910,5))</f>
        <v/>
      </c>
      <c r="U915">
        <f>IF($T915="","",COUNTIFS(LdAParty,$P915,LdAType,1,LdAKey,"&lt;"&amp;$T915)+COUNTIFS(LdBMember,$P915,LdBKey,"&lt;"&amp;$T915)+COUNTIFS(LdCParty,$P915,LdCKey,"&lt;"&amp;$T915)+1)</f>
        <v/>
      </c>
      <c r="V915">
        <f>IF($U915="","",$P915&amp;"|"&amp;RIGHT("000000"&amp;$U915,6))</f>
        <v/>
      </c>
      <c r="W915">
        <f>IF($T915="","",COUNTIFS(LdBGroup,$R915,LdBKey,"&lt;"&amp;$T915)+1)</f>
        <v/>
      </c>
      <c r="X915">
        <f>IF($W915="","",$R915&amp;"|"&amp;RIGHT("000000"&amp;$W915,6))</f>
        <v/>
      </c>
      <c r="Y915">
        <f>IF($P915="","",IF(Shares!$E918="",0,Shares!$E918))</f>
        <v/>
      </c>
      <c r="Z915">
        <f>IF($P915="","",Shares!$H918)</f>
        <v/>
      </c>
      <c r="AE915">
        <f>IF(OR(Sync!$S915="",Sync!$P915=""),"",Sync!$S915)</f>
        <v/>
      </c>
      <c r="AF915">
        <f>IF($AE915="","",IF(ISNUMBER(Sync!$P915),IF(AND(Sync!$P915&gt;=10000101,Sync!$P915&lt;=99991231),INT(Sync!$P915/10000),""),IFERROR(VALUE(TRIM(LEFT(Sync!$P915,FIND("/",Sync!$P915)-1))),"")))</f>
        <v/>
      </c>
      <c r="AG915">
        <f>IF(OR($AE915="",$AF915=""),"",IF(ISNUMBER(Sync!$P915),INT(MOD(Sync!$P915,10000)/100),IFERROR(VALUE(TRIM(LEFT(MID(Sync!$P915,FIND("/",Sync!$P915)+1,20),FIND("/",MID(Sync!$P915,FIND("/",Sync!$P915)+1,20))-1))),"")))</f>
        <v/>
      </c>
      <c r="AH915">
        <f>IF(OR($AE915="",$AF915=""),"",IF(ISNUMBER(Sync!$P915),MOD(Sync!$P915,100),IFERROR(VALUE(TRIM(MID(MID(Sync!$P915,FIND("/",Sync!$P915)+1,20),FIND("/",MID(Sync!$P915,FIND("/",Sync!$P915)+1,20))+1,20))),"")))</f>
        <v/>
      </c>
      <c r="AI915">
        <f>IF($AE915="","",IF(OR($AF915="",$AG915="",$AH915="",$AF915&lt;1300,$AF915&gt;1500,$AG915&lt;1,$AG915&gt;12,$AH915&lt;1,$AH915&gt;31),"نامعتبر",RIGHT("0000"&amp;$AF915,4)&amp;"/"&amp;RIGHT("00"&amp;$AG915,2)&amp;"/"&amp;RIGHT("00"&amp;$AH915,2)))</f>
        <v/>
      </c>
      <c r="AJ915">
        <f>IF($AE915="","",IF(Sync!$Q915="","0000",IF(AND(ISNUMBER(Sync!$Q915),Sync!$Q915&gt;=0,Sync!$Q915&lt;1),RIGHT("00"&amp;HOUR(Sync!$Q915),2)&amp;RIGHT("00"&amp;MINUTE(Sync!$Q915),2),IFERROR(RIGHT("00"&amp;VALUE(LEFT(Sync!$Q915,FIND(":",Sync!$Q915)-1)),2)&amp;RIGHT("00"&amp;VALUE(MID(Sync!$Q915,FIND(":",Sync!$Q915)+1,2)),2),"0000"))))</f>
        <v/>
      </c>
      <c r="AK915">
        <f>IF(OR($AE915="",$AI915="",$AI915="نامعتبر"),"",LEFT($AI915,4)&amp;MID($AI915,6,2)&amp;RIGHT($AI915,2)&amp;$AJ915&amp;"|"&amp;"3"&amp;RIGHT("00000"&amp;910,5))</f>
        <v/>
      </c>
      <c r="AL915">
        <f>IF($AK915="","",COUNTIFS(LdAParty,$AE915,LdAType,1,LdAKey,"&lt;"&amp;$AK915)+COUNTIFS(LdBMember,$AE915,LdBKey,"&lt;"&amp;$AK915)+COUNTIFS(LdCParty,$AE915,LdCKey,"&lt;"&amp;$AK915)+1)</f>
        <v/>
      </c>
      <c r="AM915">
        <f>IF($AL915="","",$AE915&amp;"|"&amp;RIGHT("000000"&amp;$AL915,6))</f>
        <v/>
      </c>
      <c r="AN915">
        <f>IF($AE915="","",IF(Sync!$W915="",0,Sync!$W915))</f>
        <v/>
      </c>
      <c r="AO915">
        <f>IF($AE915="","",IF(Sync!$X915="",0,Sync!$X915))</f>
        <v/>
      </c>
      <c r="AP915">
        <f>IF($AE915="","",Sync!$R915)</f>
        <v/>
      </c>
      <c r="AQ915">
        <f>IF($AE915="","",Sync!$Y915)</f>
        <v/>
      </c>
    </row>
    <row r="916">
      <c r="A916">
        <f>IF(OR(Wages!$B919="",Wages!$E919=""),"",Wages!$E919)</f>
        <v/>
      </c>
      <c r="B916">
        <f>IF($A916="","",IF(Wages!$C919="دستمزد گروهی",2,1))</f>
        <v/>
      </c>
      <c r="C916">
        <f>IF($A916="","",IF(ISNUMBER(Wages!$B919),IF(AND(Wages!$B919&gt;=10000101,Wages!$B919&lt;=99991231),INT(Wages!$B919/10000),""),IFERROR(VALUE(TRIM(LEFT(Wages!$B919,FIND("/",Wages!$B919)-1))),"")))</f>
        <v/>
      </c>
      <c r="D916">
        <f>IF(OR($A916="",$C916=""),"",IF(ISNUMBER(Wages!$B919),INT(MOD(Wages!$B919,10000)/100),IFERROR(VALUE(TRIM(LEFT(MID(Wages!$B919,FIND("/",Wages!$B919)+1,20),FIND("/",MID(Wages!$B919,FIND("/",Wages!$B919)+1,20))-1))),"")))</f>
        <v/>
      </c>
      <c r="E916">
        <f>IF(OR($A916="",$C916=""),"",IF(ISNUMBER(Wages!$B919),MOD(Wages!$B919,100),IFERROR(VALUE(TRIM(MID(MID(Wages!$B919,FIND("/",Wages!$B919)+1,20),FIND("/",MID(Wages!$B919,FIND("/",Wages!$B919)+1,20))+1,20))),"")))</f>
        <v/>
      </c>
      <c r="F916">
        <f>IF($A916="","",IF(OR($C916="",$D916="",$E916="",$C916&lt;1300,$C916&gt;1500,$D916&lt;1,$D916&gt;12,$E916&lt;1,$E916&gt;31),"نامعتبر",RIGHT("0000"&amp;$C916,4)&amp;"/"&amp;RIGHT("00"&amp;$D916,2)&amp;"/"&amp;RIGHT("00"&amp;$E916,2)))</f>
        <v/>
      </c>
      <c r="G916">
        <f>IF(OR($A916="",$F916="",$F916="نامعتبر"),"",LEFT($F916,4)&amp;MID($F916,6,2)&amp;RIGHT($F916,2)&amp;"0000"&amp;"|"&amp;"1"&amp;RIGHT("00000"&amp;911,5))</f>
        <v/>
      </c>
      <c r="H916">
        <f>IF(OR($B916&lt;&gt;1,$G916=""),"",COUNTIFS(LdAParty,$A916,LdAType,1,LdAKey,"&lt;"&amp;$G916)+COUNTIFS(LdBMember,$A916,LdBKey,"&lt;"&amp;$G916)+COUNTIFS(LdCParty,$A916,LdCKey,"&lt;"&amp;$G916)+1)</f>
        <v/>
      </c>
      <c r="I916">
        <f>IF($H916="","",$A916&amp;"|"&amp;RIGHT("000000"&amp;$H916,6))</f>
        <v/>
      </c>
      <c r="J916">
        <f>IF(OR($B916&lt;&gt;2,$G916=""),"",COUNTIFS(LdAParty,$A916,LdAType,2,LdAKey,"&lt;"&amp;$G916)+1)</f>
        <v/>
      </c>
      <c r="K916">
        <f>IF($J916="","",$A916&amp;"|"&amp;RIGHT("000000"&amp;$J916,6))</f>
        <v/>
      </c>
      <c r="L916">
        <f>IF($A916="","",IF(Wages!$G919="",0,Wages!$G919))</f>
        <v/>
      </c>
      <c r="M916">
        <f>IF($A916="","",Wages!$J919)</f>
        <v/>
      </c>
      <c r="N916">
        <f>IF($A916="","",Wages!$D919)</f>
        <v/>
      </c>
      <c r="P916">
        <f>IF(OR(Shares!$B919="",Shares!$C919=""),"",Shares!$C919)</f>
        <v/>
      </c>
      <c r="Q916">
        <f>IF($P916="","",Shares!$B919)</f>
        <v/>
      </c>
      <c r="R916">
        <f>IF($P916="","",IFERROR(INDEX(WageParty,MATCH($Q916,WageIds,0)),""))</f>
        <v/>
      </c>
      <c r="S916">
        <f>IF($P916="","",IFERROR(INDEX($F$6:$F$2005,MATCH($Q916,WageIds,0)),""))</f>
        <v/>
      </c>
      <c r="T916">
        <f>IF(OR($P916="",$S916="",$S916="نامعتبر"),"",LEFT($S916,4)&amp;MID($S916,6,2)&amp;RIGHT($S916,2)&amp;"0000"&amp;"|"&amp;"2"&amp;RIGHT("00000"&amp;911,5))</f>
        <v/>
      </c>
      <c r="U916">
        <f>IF($T916="","",COUNTIFS(LdAParty,$P916,LdAType,1,LdAKey,"&lt;"&amp;$T916)+COUNTIFS(LdBMember,$P916,LdBKey,"&lt;"&amp;$T916)+COUNTIFS(LdCParty,$P916,LdCKey,"&lt;"&amp;$T916)+1)</f>
        <v/>
      </c>
      <c r="V916">
        <f>IF($U916="","",$P916&amp;"|"&amp;RIGHT("000000"&amp;$U916,6))</f>
        <v/>
      </c>
      <c r="W916">
        <f>IF($T916="","",COUNTIFS(LdBGroup,$R916,LdBKey,"&lt;"&amp;$T916)+1)</f>
        <v/>
      </c>
      <c r="X916">
        <f>IF($W916="","",$R916&amp;"|"&amp;RIGHT("000000"&amp;$W916,6))</f>
        <v/>
      </c>
      <c r="Y916">
        <f>IF($P916="","",IF(Shares!$E919="",0,Shares!$E919))</f>
        <v/>
      </c>
      <c r="Z916">
        <f>IF($P916="","",Shares!$H919)</f>
        <v/>
      </c>
      <c r="AE916">
        <f>IF(OR(Sync!$S916="",Sync!$P916=""),"",Sync!$S916)</f>
        <v/>
      </c>
      <c r="AF916">
        <f>IF($AE916="","",IF(ISNUMBER(Sync!$P916),IF(AND(Sync!$P916&gt;=10000101,Sync!$P916&lt;=99991231),INT(Sync!$P916/10000),""),IFERROR(VALUE(TRIM(LEFT(Sync!$P916,FIND("/",Sync!$P916)-1))),"")))</f>
        <v/>
      </c>
      <c r="AG916">
        <f>IF(OR($AE916="",$AF916=""),"",IF(ISNUMBER(Sync!$P916),INT(MOD(Sync!$P916,10000)/100),IFERROR(VALUE(TRIM(LEFT(MID(Sync!$P916,FIND("/",Sync!$P916)+1,20),FIND("/",MID(Sync!$P916,FIND("/",Sync!$P916)+1,20))-1))),"")))</f>
        <v/>
      </c>
      <c r="AH916">
        <f>IF(OR($AE916="",$AF916=""),"",IF(ISNUMBER(Sync!$P916),MOD(Sync!$P916,100),IFERROR(VALUE(TRIM(MID(MID(Sync!$P916,FIND("/",Sync!$P916)+1,20),FIND("/",MID(Sync!$P916,FIND("/",Sync!$P916)+1,20))+1,20))),"")))</f>
        <v/>
      </c>
      <c r="AI916">
        <f>IF($AE916="","",IF(OR($AF916="",$AG916="",$AH916="",$AF916&lt;1300,$AF916&gt;1500,$AG916&lt;1,$AG916&gt;12,$AH916&lt;1,$AH916&gt;31),"نامعتبر",RIGHT("0000"&amp;$AF916,4)&amp;"/"&amp;RIGHT("00"&amp;$AG916,2)&amp;"/"&amp;RIGHT("00"&amp;$AH916,2)))</f>
        <v/>
      </c>
      <c r="AJ916">
        <f>IF($AE916="","",IF(Sync!$Q916="","0000",IF(AND(ISNUMBER(Sync!$Q916),Sync!$Q916&gt;=0,Sync!$Q916&lt;1),RIGHT("00"&amp;HOUR(Sync!$Q916),2)&amp;RIGHT("00"&amp;MINUTE(Sync!$Q916),2),IFERROR(RIGHT("00"&amp;VALUE(LEFT(Sync!$Q916,FIND(":",Sync!$Q916)-1)),2)&amp;RIGHT("00"&amp;VALUE(MID(Sync!$Q916,FIND(":",Sync!$Q916)+1,2)),2),"0000"))))</f>
        <v/>
      </c>
      <c r="AK916">
        <f>IF(OR($AE916="",$AI916="",$AI916="نامعتبر"),"",LEFT($AI916,4)&amp;MID($AI916,6,2)&amp;RIGHT($AI916,2)&amp;$AJ916&amp;"|"&amp;"3"&amp;RIGHT("00000"&amp;911,5))</f>
        <v/>
      </c>
      <c r="AL916">
        <f>IF($AK916="","",COUNTIFS(LdAParty,$AE916,LdAType,1,LdAKey,"&lt;"&amp;$AK916)+COUNTIFS(LdBMember,$AE916,LdBKey,"&lt;"&amp;$AK916)+COUNTIFS(LdCParty,$AE916,LdCKey,"&lt;"&amp;$AK916)+1)</f>
        <v/>
      </c>
      <c r="AM916">
        <f>IF($AL916="","",$AE916&amp;"|"&amp;RIGHT("000000"&amp;$AL916,6))</f>
        <v/>
      </c>
      <c r="AN916">
        <f>IF($AE916="","",IF(Sync!$W916="",0,Sync!$W916))</f>
        <v/>
      </c>
      <c r="AO916">
        <f>IF($AE916="","",IF(Sync!$X916="",0,Sync!$X916))</f>
        <v/>
      </c>
      <c r="AP916">
        <f>IF($AE916="","",Sync!$R916)</f>
        <v/>
      </c>
      <c r="AQ916">
        <f>IF($AE916="","",Sync!$Y916)</f>
        <v/>
      </c>
    </row>
    <row r="917">
      <c r="A917">
        <f>IF(OR(Wages!$B920="",Wages!$E920=""),"",Wages!$E920)</f>
        <v/>
      </c>
      <c r="B917">
        <f>IF($A917="","",IF(Wages!$C920="دستمزد گروهی",2,1))</f>
        <v/>
      </c>
      <c r="C917">
        <f>IF($A917="","",IF(ISNUMBER(Wages!$B920),IF(AND(Wages!$B920&gt;=10000101,Wages!$B920&lt;=99991231),INT(Wages!$B920/10000),""),IFERROR(VALUE(TRIM(LEFT(Wages!$B920,FIND("/",Wages!$B920)-1))),"")))</f>
        <v/>
      </c>
      <c r="D917">
        <f>IF(OR($A917="",$C917=""),"",IF(ISNUMBER(Wages!$B920),INT(MOD(Wages!$B920,10000)/100),IFERROR(VALUE(TRIM(LEFT(MID(Wages!$B920,FIND("/",Wages!$B920)+1,20),FIND("/",MID(Wages!$B920,FIND("/",Wages!$B920)+1,20))-1))),"")))</f>
        <v/>
      </c>
      <c r="E917">
        <f>IF(OR($A917="",$C917=""),"",IF(ISNUMBER(Wages!$B920),MOD(Wages!$B920,100),IFERROR(VALUE(TRIM(MID(MID(Wages!$B920,FIND("/",Wages!$B920)+1,20),FIND("/",MID(Wages!$B920,FIND("/",Wages!$B920)+1,20))+1,20))),"")))</f>
        <v/>
      </c>
      <c r="F917">
        <f>IF($A917="","",IF(OR($C917="",$D917="",$E917="",$C917&lt;1300,$C917&gt;1500,$D917&lt;1,$D917&gt;12,$E917&lt;1,$E917&gt;31),"نامعتبر",RIGHT("0000"&amp;$C917,4)&amp;"/"&amp;RIGHT("00"&amp;$D917,2)&amp;"/"&amp;RIGHT("00"&amp;$E917,2)))</f>
        <v/>
      </c>
      <c r="G917">
        <f>IF(OR($A917="",$F917="",$F917="نامعتبر"),"",LEFT($F917,4)&amp;MID($F917,6,2)&amp;RIGHT($F917,2)&amp;"0000"&amp;"|"&amp;"1"&amp;RIGHT("00000"&amp;912,5))</f>
        <v/>
      </c>
      <c r="H917">
        <f>IF(OR($B917&lt;&gt;1,$G917=""),"",COUNTIFS(LdAParty,$A917,LdAType,1,LdAKey,"&lt;"&amp;$G917)+COUNTIFS(LdBMember,$A917,LdBKey,"&lt;"&amp;$G917)+COUNTIFS(LdCParty,$A917,LdCKey,"&lt;"&amp;$G917)+1)</f>
        <v/>
      </c>
      <c r="I917">
        <f>IF($H917="","",$A917&amp;"|"&amp;RIGHT("000000"&amp;$H917,6))</f>
        <v/>
      </c>
      <c r="J917">
        <f>IF(OR($B917&lt;&gt;2,$G917=""),"",COUNTIFS(LdAParty,$A917,LdAType,2,LdAKey,"&lt;"&amp;$G917)+1)</f>
        <v/>
      </c>
      <c r="K917">
        <f>IF($J917="","",$A917&amp;"|"&amp;RIGHT("000000"&amp;$J917,6))</f>
        <v/>
      </c>
      <c r="L917">
        <f>IF($A917="","",IF(Wages!$G920="",0,Wages!$G920))</f>
        <v/>
      </c>
      <c r="M917">
        <f>IF($A917="","",Wages!$J920)</f>
        <v/>
      </c>
      <c r="N917">
        <f>IF($A917="","",Wages!$D920)</f>
        <v/>
      </c>
      <c r="P917">
        <f>IF(OR(Shares!$B920="",Shares!$C920=""),"",Shares!$C920)</f>
        <v/>
      </c>
      <c r="Q917">
        <f>IF($P917="","",Shares!$B920)</f>
        <v/>
      </c>
      <c r="R917">
        <f>IF($P917="","",IFERROR(INDEX(WageParty,MATCH($Q917,WageIds,0)),""))</f>
        <v/>
      </c>
      <c r="S917">
        <f>IF($P917="","",IFERROR(INDEX($F$6:$F$2005,MATCH($Q917,WageIds,0)),""))</f>
        <v/>
      </c>
      <c r="T917">
        <f>IF(OR($P917="",$S917="",$S917="نامعتبر"),"",LEFT($S917,4)&amp;MID($S917,6,2)&amp;RIGHT($S917,2)&amp;"0000"&amp;"|"&amp;"2"&amp;RIGHT("00000"&amp;912,5))</f>
        <v/>
      </c>
      <c r="U917">
        <f>IF($T917="","",COUNTIFS(LdAParty,$P917,LdAType,1,LdAKey,"&lt;"&amp;$T917)+COUNTIFS(LdBMember,$P917,LdBKey,"&lt;"&amp;$T917)+COUNTIFS(LdCParty,$P917,LdCKey,"&lt;"&amp;$T917)+1)</f>
        <v/>
      </c>
      <c r="V917">
        <f>IF($U917="","",$P917&amp;"|"&amp;RIGHT("000000"&amp;$U917,6))</f>
        <v/>
      </c>
      <c r="W917">
        <f>IF($T917="","",COUNTIFS(LdBGroup,$R917,LdBKey,"&lt;"&amp;$T917)+1)</f>
        <v/>
      </c>
      <c r="X917">
        <f>IF($W917="","",$R917&amp;"|"&amp;RIGHT("000000"&amp;$W917,6))</f>
        <v/>
      </c>
      <c r="Y917">
        <f>IF($P917="","",IF(Shares!$E920="",0,Shares!$E920))</f>
        <v/>
      </c>
      <c r="Z917">
        <f>IF($P917="","",Shares!$H920)</f>
        <v/>
      </c>
      <c r="AE917">
        <f>IF(OR(Sync!$S917="",Sync!$P917=""),"",Sync!$S917)</f>
        <v/>
      </c>
      <c r="AF917">
        <f>IF($AE917="","",IF(ISNUMBER(Sync!$P917),IF(AND(Sync!$P917&gt;=10000101,Sync!$P917&lt;=99991231),INT(Sync!$P917/10000),""),IFERROR(VALUE(TRIM(LEFT(Sync!$P917,FIND("/",Sync!$P917)-1))),"")))</f>
        <v/>
      </c>
      <c r="AG917">
        <f>IF(OR($AE917="",$AF917=""),"",IF(ISNUMBER(Sync!$P917),INT(MOD(Sync!$P917,10000)/100),IFERROR(VALUE(TRIM(LEFT(MID(Sync!$P917,FIND("/",Sync!$P917)+1,20),FIND("/",MID(Sync!$P917,FIND("/",Sync!$P917)+1,20))-1))),"")))</f>
        <v/>
      </c>
      <c r="AH917">
        <f>IF(OR($AE917="",$AF917=""),"",IF(ISNUMBER(Sync!$P917),MOD(Sync!$P917,100),IFERROR(VALUE(TRIM(MID(MID(Sync!$P917,FIND("/",Sync!$P917)+1,20),FIND("/",MID(Sync!$P917,FIND("/",Sync!$P917)+1,20))+1,20))),"")))</f>
        <v/>
      </c>
      <c r="AI917">
        <f>IF($AE917="","",IF(OR($AF917="",$AG917="",$AH917="",$AF917&lt;1300,$AF917&gt;1500,$AG917&lt;1,$AG917&gt;12,$AH917&lt;1,$AH917&gt;31),"نامعتبر",RIGHT("0000"&amp;$AF917,4)&amp;"/"&amp;RIGHT("00"&amp;$AG917,2)&amp;"/"&amp;RIGHT("00"&amp;$AH917,2)))</f>
        <v/>
      </c>
      <c r="AJ917">
        <f>IF($AE917="","",IF(Sync!$Q917="","0000",IF(AND(ISNUMBER(Sync!$Q917),Sync!$Q917&gt;=0,Sync!$Q917&lt;1),RIGHT("00"&amp;HOUR(Sync!$Q917),2)&amp;RIGHT("00"&amp;MINUTE(Sync!$Q917),2),IFERROR(RIGHT("00"&amp;VALUE(LEFT(Sync!$Q917,FIND(":",Sync!$Q917)-1)),2)&amp;RIGHT("00"&amp;VALUE(MID(Sync!$Q917,FIND(":",Sync!$Q917)+1,2)),2),"0000"))))</f>
        <v/>
      </c>
      <c r="AK917">
        <f>IF(OR($AE917="",$AI917="",$AI917="نامعتبر"),"",LEFT($AI917,4)&amp;MID($AI917,6,2)&amp;RIGHT($AI917,2)&amp;$AJ917&amp;"|"&amp;"3"&amp;RIGHT("00000"&amp;912,5))</f>
        <v/>
      </c>
      <c r="AL917">
        <f>IF($AK917="","",COUNTIFS(LdAParty,$AE917,LdAType,1,LdAKey,"&lt;"&amp;$AK917)+COUNTIFS(LdBMember,$AE917,LdBKey,"&lt;"&amp;$AK917)+COUNTIFS(LdCParty,$AE917,LdCKey,"&lt;"&amp;$AK917)+1)</f>
        <v/>
      </c>
      <c r="AM917">
        <f>IF($AL917="","",$AE917&amp;"|"&amp;RIGHT("000000"&amp;$AL917,6))</f>
        <v/>
      </c>
      <c r="AN917">
        <f>IF($AE917="","",IF(Sync!$W917="",0,Sync!$W917))</f>
        <v/>
      </c>
      <c r="AO917">
        <f>IF($AE917="","",IF(Sync!$X917="",0,Sync!$X917))</f>
        <v/>
      </c>
      <c r="AP917">
        <f>IF($AE917="","",Sync!$R917)</f>
        <v/>
      </c>
      <c r="AQ917">
        <f>IF($AE917="","",Sync!$Y917)</f>
        <v/>
      </c>
    </row>
    <row r="918">
      <c r="A918">
        <f>IF(OR(Wages!$B921="",Wages!$E921=""),"",Wages!$E921)</f>
        <v/>
      </c>
      <c r="B918">
        <f>IF($A918="","",IF(Wages!$C921="دستمزد گروهی",2,1))</f>
        <v/>
      </c>
      <c r="C918">
        <f>IF($A918="","",IF(ISNUMBER(Wages!$B921),IF(AND(Wages!$B921&gt;=10000101,Wages!$B921&lt;=99991231),INT(Wages!$B921/10000),""),IFERROR(VALUE(TRIM(LEFT(Wages!$B921,FIND("/",Wages!$B921)-1))),"")))</f>
        <v/>
      </c>
      <c r="D918">
        <f>IF(OR($A918="",$C918=""),"",IF(ISNUMBER(Wages!$B921),INT(MOD(Wages!$B921,10000)/100),IFERROR(VALUE(TRIM(LEFT(MID(Wages!$B921,FIND("/",Wages!$B921)+1,20),FIND("/",MID(Wages!$B921,FIND("/",Wages!$B921)+1,20))-1))),"")))</f>
        <v/>
      </c>
      <c r="E918">
        <f>IF(OR($A918="",$C918=""),"",IF(ISNUMBER(Wages!$B921),MOD(Wages!$B921,100),IFERROR(VALUE(TRIM(MID(MID(Wages!$B921,FIND("/",Wages!$B921)+1,20),FIND("/",MID(Wages!$B921,FIND("/",Wages!$B921)+1,20))+1,20))),"")))</f>
        <v/>
      </c>
      <c r="F918">
        <f>IF($A918="","",IF(OR($C918="",$D918="",$E918="",$C918&lt;1300,$C918&gt;1500,$D918&lt;1,$D918&gt;12,$E918&lt;1,$E918&gt;31),"نامعتبر",RIGHT("0000"&amp;$C918,4)&amp;"/"&amp;RIGHT("00"&amp;$D918,2)&amp;"/"&amp;RIGHT("00"&amp;$E918,2)))</f>
        <v/>
      </c>
      <c r="G918">
        <f>IF(OR($A918="",$F918="",$F918="نامعتبر"),"",LEFT($F918,4)&amp;MID($F918,6,2)&amp;RIGHT($F918,2)&amp;"0000"&amp;"|"&amp;"1"&amp;RIGHT("00000"&amp;913,5))</f>
        <v/>
      </c>
      <c r="H918">
        <f>IF(OR($B918&lt;&gt;1,$G918=""),"",COUNTIFS(LdAParty,$A918,LdAType,1,LdAKey,"&lt;"&amp;$G918)+COUNTIFS(LdBMember,$A918,LdBKey,"&lt;"&amp;$G918)+COUNTIFS(LdCParty,$A918,LdCKey,"&lt;"&amp;$G918)+1)</f>
        <v/>
      </c>
      <c r="I918">
        <f>IF($H918="","",$A918&amp;"|"&amp;RIGHT("000000"&amp;$H918,6))</f>
        <v/>
      </c>
      <c r="J918">
        <f>IF(OR($B918&lt;&gt;2,$G918=""),"",COUNTIFS(LdAParty,$A918,LdAType,2,LdAKey,"&lt;"&amp;$G918)+1)</f>
        <v/>
      </c>
      <c r="K918">
        <f>IF($J918="","",$A918&amp;"|"&amp;RIGHT("000000"&amp;$J918,6))</f>
        <v/>
      </c>
      <c r="L918">
        <f>IF($A918="","",IF(Wages!$G921="",0,Wages!$G921))</f>
        <v/>
      </c>
      <c r="M918">
        <f>IF($A918="","",Wages!$J921)</f>
        <v/>
      </c>
      <c r="N918">
        <f>IF($A918="","",Wages!$D921)</f>
        <v/>
      </c>
      <c r="P918">
        <f>IF(OR(Shares!$B921="",Shares!$C921=""),"",Shares!$C921)</f>
        <v/>
      </c>
      <c r="Q918">
        <f>IF($P918="","",Shares!$B921)</f>
        <v/>
      </c>
      <c r="R918">
        <f>IF($P918="","",IFERROR(INDEX(WageParty,MATCH($Q918,WageIds,0)),""))</f>
        <v/>
      </c>
      <c r="S918">
        <f>IF($P918="","",IFERROR(INDEX($F$6:$F$2005,MATCH($Q918,WageIds,0)),""))</f>
        <v/>
      </c>
      <c r="T918">
        <f>IF(OR($P918="",$S918="",$S918="نامعتبر"),"",LEFT($S918,4)&amp;MID($S918,6,2)&amp;RIGHT($S918,2)&amp;"0000"&amp;"|"&amp;"2"&amp;RIGHT("00000"&amp;913,5))</f>
        <v/>
      </c>
      <c r="U918">
        <f>IF($T918="","",COUNTIFS(LdAParty,$P918,LdAType,1,LdAKey,"&lt;"&amp;$T918)+COUNTIFS(LdBMember,$P918,LdBKey,"&lt;"&amp;$T918)+COUNTIFS(LdCParty,$P918,LdCKey,"&lt;"&amp;$T918)+1)</f>
        <v/>
      </c>
      <c r="V918">
        <f>IF($U918="","",$P918&amp;"|"&amp;RIGHT("000000"&amp;$U918,6))</f>
        <v/>
      </c>
      <c r="W918">
        <f>IF($T918="","",COUNTIFS(LdBGroup,$R918,LdBKey,"&lt;"&amp;$T918)+1)</f>
        <v/>
      </c>
      <c r="X918">
        <f>IF($W918="","",$R918&amp;"|"&amp;RIGHT("000000"&amp;$W918,6))</f>
        <v/>
      </c>
      <c r="Y918">
        <f>IF($P918="","",IF(Shares!$E921="",0,Shares!$E921))</f>
        <v/>
      </c>
      <c r="Z918">
        <f>IF($P918="","",Shares!$H921)</f>
        <v/>
      </c>
      <c r="AE918">
        <f>IF(OR(Sync!$S918="",Sync!$P918=""),"",Sync!$S918)</f>
        <v/>
      </c>
      <c r="AF918">
        <f>IF($AE918="","",IF(ISNUMBER(Sync!$P918),IF(AND(Sync!$P918&gt;=10000101,Sync!$P918&lt;=99991231),INT(Sync!$P918/10000),""),IFERROR(VALUE(TRIM(LEFT(Sync!$P918,FIND("/",Sync!$P918)-1))),"")))</f>
        <v/>
      </c>
      <c r="AG918">
        <f>IF(OR($AE918="",$AF918=""),"",IF(ISNUMBER(Sync!$P918),INT(MOD(Sync!$P918,10000)/100),IFERROR(VALUE(TRIM(LEFT(MID(Sync!$P918,FIND("/",Sync!$P918)+1,20),FIND("/",MID(Sync!$P918,FIND("/",Sync!$P918)+1,20))-1))),"")))</f>
        <v/>
      </c>
      <c r="AH918">
        <f>IF(OR($AE918="",$AF918=""),"",IF(ISNUMBER(Sync!$P918),MOD(Sync!$P918,100),IFERROR(VALUE(TRIM(MID(MID(Sync!$P918,FIND("/",Sync!$P918)+1,20),FIND("/",MID(Sync!$P918,FIND("/",Sync!$P918)+1,20))+1,20))),"")))</f>
        <v/>
      </c>
      <c r="AI918">
        <f>IF($AE918="","",IF(OR($AF918="",$AG918="",$AH918="",$AF918&lt;1300,$AF918&gt;1500,$AG918&lt;1,$AG918&gt;12,$AH918&lt;1,$AH918&gt;31),"نامعتبر",RIGHT("0000"&amp;$AF918,4)&amp;"/"&amp;RIGHT("00"&amp;$AG918,2)&amp;"/"&amp;RIGHT("00"&amp;$AH918,2)))</f>
        <v/>
      </c>
      <c r="AJ918">
        <f>IF($AE918="","",IF(Sync!$Q918="","0000",IF(AND(ISNUMBER(Sync!$Q918),Sync!$Q918&gt;=0,Sync!$Q918&lt;1),RIGHT("00"&amp;HOUR(Sync!$Q918),2)&amp;RIGHT("00"&amp;MINUTE(Sync!$Q918),2),IFERROR(RIGHT("00"&amp;VALUE(LEFT(Sync!$Q918,FIND(":",Sync!$Q918)-1)),2)&amp;RIGHT("00"&amp;VALUE(MID(Sync!$Q918,FIND(":",Sync!$Q918)+1,2)),2),"0000"))))</f>
        <v/>
      </c>
      <c r="AK918">
        <f>IF(OR($AE918="",$AI918="",$AI918="نامعتبر"),"",LEFT($AI918,4)&amp;MID($AI918,6,2)&amp;RIGHT($AI918,2)&amp;$AJ918&amp;"|"&amp;"3"&amp;RIGHT("00000"&amp;913,5))</f>
        <v/>
      </c>
      <c r="AL918">
        <f>IF($AK918="","",COUNTIFS(LdAParty,$AE918,LdAType,1,LdAKey,"&lt;"&amp;$AK918)+COUNTIFS(LdBMember,$AE918,LdBKey,"&lt;"&amp;$AK918)+COUNTIFS(LdCParty,$AE918,LdCKey,"&lt;"&amp;$AK918)+1)</f>
        <v/>
      </c>
      <c r="AM918">
        <f>IF($AL918="","",$AE918&amp;"|"&amp;RIGHT("000000"&amp;$AL918,6))</f>
        <v/>
      </c>
      <c r="AN918">
        <f>IF($AE918="","",IF(Sync!$W918="",0,Sync!$W918))</f>
        <v/>
      </c>
      <c r="AO918">
        <f>IF($AE918="","",IF(Sync!$X918="",0,Sync!$X918))</f>
        <v/>
      </c>
      <c r="AP918">
        <f>IF($AE918="","",Sync!$R918)</f>
        <v/>
      </c>
      <c r="AQ918">
        <f>IF($AE918="","",Sync!$Y918)</f>
        <v/>
      </c>
    </row>
    <row r="919">
      <c r="A919">
        <f>IF(OR(Wages!$B922="",Wages!$E922=""),"",Wages!$E922)</f>
        <v/>
      </c>
      <c r="B919">
        <f>IF($A919="","",IF(Wages!$C922="دستمزد گروهی",2,1))</f>
        <v/>
      </c>
      <c r="C919">
        <f>IF($A919="","",IF(ISNUMBER(Wages!$B922),IF(AND(Wages!$B922&gt;=10000101,Wages!$B922&lt;=99991231),INT(Wages!$B922/10000),""),IFERROR(VALUE(TRIM(LEFT(Wages!$B922,FIND("/",Wages!$B922)-1))),"")))</f>
        <v/>
      </c>
      <c r="D919">
        <f>IF(OR($A919="",$C919=""),"",IF(ISNUMBER(Wages!$B922),INT(MOD(Wages!$B922,10000)/100),IFERROR(VALUE(TRIM(LEFT(MID(Wages!$B922,FIND("/",Wages!$B922)+1,20),FIND("/",MID(Wages!$B922,FIND("/",Wages!$B922)+1,20))-1))),"")))</f>
        <v/>
      </c>
      <c r="E919">
        <f>IF(OR($A919="",$C919=""),"",IF(ISNUMBER(Wages!$B922),MOD(Wages!$B922,100),IFERROR(VALUE(TRIM(MID(MID(Wages!$B922,FIND("/",Wages!$B922)+1,20),FIND("/",MID(Wages!$B922,FIND("/",Wages!$B922)+1,20))+1,20))),"")))</f>
        <v/>
      </c>
      <c r="F919">
        <f>IF($A919="","",IF(OR($C919="",$D919="",$E919="",$C919&lt;1300,$C919&gt;1500,$D919&lt;1,$D919&gt;12,$E919&lt;1,$E919&gt;31),"نامعتبر",RIGHT("0000"&amp;$C919,4)&amp;"/"&amp;RIGHT("00"&amp;$D919,2)&amp;"/"&amp;RIGHT("00"&amp;$E919,2)))</f>
        <v/>
      </c>
      <c r="G919">
        <f>IF(OR($A919="",$F919="",$F919="نامعتبر"),"",LEFT($F919,4)&amp;MID($F919,6,2)&amp;RIGHT($F919,2)&amp;"0000"&amp;"|"&amp;"1"&amp;RIGHT("00000"&amp;914,5))</f>
        <v/>
      </c>
      <c r="H919">
        <f>IF(OR($B919&lt;&gt;1,$G919=""),"",COUNTIFS(LdAParty,$A919,LdAType,1,LdAKey,"&lt;"&amp;$G919)+COUNTIFS(LdBMember,$A919,LdBKey,"&lt;"&amp;$G919)+COUNTIFS(LdCParty,$A919,LdCKey,"&lt;"&amp;$G919)+1)</f>
        <v/>
      </c>
      <c r="I919">
        <f>IF($H919="","",$A919&amp;"|"&amp;RIGHT("000000"&amp;$H919,6))</f>
        <v/>
      </c>
      <c r="J919">
        <f>IF(OR($B919&lt;&gt;2,$G919=""),"",COUNTIFS(LdAParty,$A919,LdAType,2,LdAKey,"&lt;"&amp;$G919)+1)</f>
        <v/>
      </c>
      <c r="K919">
        <f>IF($J919="","",$A919&amp;"|"&amp;RIGHT("000000"&amp;$J919,6))</f>
        <v/>
      </c>
      <c r="L919">
        <f>IF($A919="","",IF(Wages!$G922="",0,Wages!$G922))</f>
        <v/>
      </c>
      <c r="M919">
        <f>IF($A919="","",Wages!$J922)</f>
        <v/>
      </c>
      <c r="N919">
        <f>IF($A919="","",Wages!$D922)</f>
        <v/>
      </c>
      <c r="P919">
        <f>IF(OR(Shares!$B922="",Shares!$C922=""),"",Shares!$C922)</f>
        <v/>
      </c>
      <c r="Q919">
        <f>IF($P919="","",Shares!$B922)</f>
        <v/>
      </c>
      <c r="R919">
        <f>IF($P919="","",IFERROR(INDEX(WageParty,MATCH($Q919,WageIds,0)),""))</f>
        <v/>
      </c>
      <c r="S919">
        <f>IF($P919="","",IFERROR(INDEX($F$6:$F$2005,MATCH($Q919,WageIds,0)),""))</f>
        <v/>
      </c>
      <c r="T919">
        <f>IF(OR($P919="",$S919="",$S919="نامعتبر"),"",LEFT($S919,4)&amp;MID($S919,6,2)&amp;RIGHT($S919,2)&amp;"0000"&amp;"|"&amp;"2"&amp;RIGHT("00000"&amp;914,5))</f>
        <v/>
      </c>
      <c r="U919">
        <f>IF($T919="","",COUNTIFS(LdAParty,$P919,LdAType,1,LdAKey,"&lt;"&amp;$T919)+COUNTIFS(LdBMember,$P919,LdBKey,"&lt;"&amp;$T919)+COUNTIFS(LdCParty,$P919,LdCKey,"&lt;"&amp;$T919)+1)</f>
        <v/>
      </c>
      <c r="V919">
        <f>IF($U919="","",$P919&amp;"|"&amp;RIGHT("000000"&amp;$U919,6))</f>
        <v/>
      </c>
      <c r="W919">
        <f>IF($T919="","",COUNTIFS(LdBGroup,$R919,LdBKey,"&lt;"&amp;$T919)+1)</f>
        <v/>
      </c>
      <c r="X919">
        <f>IF($W919="","",$R919&amp;"|"&amp;RIGHT("000000"&amp;$W919,6))</f>
        <v/>
      </c>
      <c r="Y919">
        <f>IF($P919="","",IF(Shares!$E922="",0,Shares!$E922))</f>
        <v/>
      </c>
      <c r="Z919">
        <f>IF($P919="","",Shares!$H922)</f>
        <v/>
      </c>
      <c r="AE919">
        <f>IF(OR(Sync!$S919="",Sync!$P919=""),"",Sync!$S919)</f>
        <v/>
      </c>
      <c r="AF919">
        <f>IF($AE919="","",IF(ISNUMBER(Sync!$P919),IF(AND(Sync!$P919&gt;=10000101,Sync!$P919&lt;=99991231),INT(Sync!$P919/10000),""),IFERROR(VALUE(TRIM(LEFT(Sync!$P919,FIND("/",Sync!$P919)-1))),"")))</f>
        <v/>
      </c>
      <c r="AG919">
        <f>IF(OR($AE919="",$AF919=""),"",IF(ISNUMBER(Sync!$P919),INT(MOD(Sync!$P919,10000)/100),IFERROR(VALUE(TRIM(LEFT(MID(Sync!$P919,FIND("/",Sync!$P919)+1,20),FIND("/",MID(Sync!$P919,FIND("/",Sync!$P919)+1,20))-1))),"")))</f>
        <v/>
      </c>
      <c r="AH919">
        <f>IF(OR($AE919="",$AF919=""),"",IF(ISNUMBER(Sync!$P919),MOD(Sync!$P919,100),IFERROR(VALUE(TRIM(MID(MID(Sync!$P919,FIND("/",Sync!$P919)+1,20),FIND("/",MID(Sync!$P919,FIND("/",Sync!$P919)+1,20))+1,20))),"")))</f>
        <v/>
      </c>
      <c r="AI919">
        <f>IF($AE919="","",IF(OR($AF919="",$AG919="",$AH919="",$AF919&lt;1300,$AF919&gt;1500,$AG919&lt;1,$AG919&gt;12,$AH919&lt;1,$AH919&gt;31),"نامعتبر",RIGHT("0000"&amp;$AF919,4)&amp;"/"&amp;RIGHT("00"&amp;$AG919,2)&amp;"/"&amp;RIGHT("00"&amp;$AH919,2)))</f>
        <v/>
      </c>
      <c r="AJ919">
        <f>IF($AE919="","",IF(Sync!$Q919="","0000",IF(AND(ISNUMBER(Sync!$Q919),Sync!$Q919&gt;=0,Sync!$Q919&lt;1),RIGHT("00"&amp;HOUR(Sync!$Q919),2)&amp;RIGHT("00"&amp;MINUTE(Sync!$Q919),2),IFERROR(RIGHT("00"&amp;VALUE(LEFT(Sync!$Q919,FIND(":",Sync!$Q919)-1)),2)&amp;RIGHT("00"&amp;VALUE(MID(Sync!$Q919,FIND(":",Sync!$Q919)+1,2)),2),"0000"))))</f>
        <v/>
      </c>
      <c r="AK919">
        <f>IF(OR($AE919="",$AI919="",$AI919="نامعتبر"),"",LEFT($AI919,4)&amp;MID($AI919,6,2)&amp;RIGHT($AI919,2)&amp;$AJ919&amp;"|"&amp;"3"&amp;RIGHT("00000"&amp;914,5))</f>
        <v/>
      </c>
      <c r="AL919">
        <f>IF($AK919="","",COUNTIFS(LdAParty,$AE919,LdAType,1,LdAKey,"&lt;"&amp;$AK919)+COUNTIFS(LdBMember,$AE919,LdBKey,"&lt;"&amp;$AK919)+COUNTIFS(LdCParty,$AE919,LdCKey,"&lt;"&amp;$AK919)+1)</f>
        <v/>
      </c>
      <c r="AM919">
        <f>IF($AL919="","",$AE919&amp;"|"&amp;RIGHT("000000"&amp;$AL919,6))</f>
        <v/>
      </c>
      <c r="AN919">
        <f>IF($AE919="","",IF(Sync!$W919="",0,Sync!$W919))</f>
        <v/>
      </c>
      <c r="AO919">
        <f>IF($AE919="","",IF(Sync!$X919="",0,Sync!$X919))</f>
        <v/>
      </c>
      <c r="AP919">
        <f>IF($AE919="","",Sync!$R919)</f>
        <v/>
      </c>
      <c r="AQ919">
        <f>IF($AE919="","",Sync!$Y919)</f>
        <v/>
      </c>
    </row>
    <row r="920">
      <c r="A920">
        <f>IF(OR(Wages!$B923="",Wages!$E923=""),"",Wages!$E923)</f>
        <v/>
      </c>
      <c r="B920">
        <f>IF($A920="","",IF(Wages!$C923="دستمزد گروهی",2,1))</f>
        <v/>
      </c>
      <c r="C920">
        <f>IF($A920="","",IF(ISNUMBER(Wages!$B923),IF(AND(Wages!$B923&gt;=10000101,Wages!$B923&lt;=99991231),INT(Wages!$B923/10000),""),IFERROR(VALUE(TRIM(LEFT(Wages!$B923,FIND("/",Wages!$B923)-1))),"")))</f>
        <v/>
      </c>
      <c r="D920">
        <f>IF(OR($A920="",$C920=""),"",IF(ISNUMBER(Wages!$B923),INT(MOD(Wages!$B923,10000)/100),IFERROR(VALUE(TRIM(LEFT(MID(Wages!$B923,FIND("/",Wages!$B923)+1,20),FIND("/",MID(Wages!$B923,FIND("/",Wages!$B923)+1,20))-1))),"")))</f>
        <v/>
      </c>
      <c r="E920">
        <f>IF(OR($A920="",$C920=""),"",IF(ISNUMBER(Wages!$B923),MOD(Wages!$B923,100),IFERROR(VALUE(TRIM(MID(MID(Wages!$B923,FIND("/",Wages!$B923)+1,20),FIND("/",MID(Wages!$B923,FIND("/",Wages!$B923)+1,20))+1,20))),"")))</f>
        <v/>
      </c>
      <c r="F920">
        <f>IF($A920="","",IF(OR($C920="",$D920="",$E920="",$C920&lt;1300,$C920&gt;1500,$D920&lt;1,$D920&gt;12,$E920&lt;1,$E920&gt;31),"نامعتبر",RIGHT("0000"&amp;$C920,4)&amp;"/"&amp;RIGHT("00"&amp;$D920,2)&amp;"/"&amp;RIGHT("00"&amp;$E920,2)))</f>
        <v/>
      </c>
      <c r="G920">
        <f>IF(OR($A920="",$F920="",$F920="نامعتبر"),"",LEFT($F920,4)&amp;MID($F920,6,2)&amp;RIGHT($F920,2)&amp;"0000"&amp;"|"&amp;"1"&amp;RIGHT("00000"&amp;915,5))</f>
        <v/>
      </c>
      <c r="H920">
        <f>IF(OR($B920&lt;&gt;1,$G920=""),"",COUNTIFS(LdAParty,$A920,LdAType,1,LdAKey,"&lt;"&amp;$G920)+COUNTIFS(LdBMember,$A920,LdBKey,"&lt;"&amp;$G920)+COUNTIFS(LdCParty,$A920,LdCKey,"&lt;"&amp;$G920)+1)</f>
        <v/>
      </c>
      <c r="I920">
        <f>IF($H920="","",$A920&amp;"|"&amp;RIGHT("000000"&amp;$H920,6))</f>
        <v/>
      </c>
      <c r="J920">
        <f>IF(OR($B920&lt;&gt;2,$G920=""),"",COUNTIFS(LdAParty,$A920,LdAType,2,LdAKey,"&lt;"&amp;$G920)+1)</f>
        <v/>
      </c>
      <c r="K920">
        <f>IF($J920="","",$A920&amp;"|"&amp;RIGHT("000000"&amp;$J920,6))</f>
        <v/>
      </c>
      <c r="L920">
        <f>IF($A920="","",IF(Wages!$G923="",0,Wages!$G923))</f>
        <v/>
      </c>
      <c r="M920">
        <f>IF($A920="","",Wages!$J923)</f>
        <v/>
      </c>
      <c r="N920">
        <f>IF($A920="","",Wages!$D923)</f>
        <v/>
      </c>
      <c r="P920">
        <f>IF(OR(Shares!$B923="",Shares!$C923=""),"",Shares!$C923)</f>
        <v/>
      </c>
      <c r="Q920">
        <f>IF($P920="","",Shares!$B923)</f>
        <v/>
      </c>
      <c r="R920">
        <f>IF($P920="","",IFERROR(INDEX(WageParty,MATCH($Q920,WageIds,0)),""))</f>
        <v/>
      </c>
      <c r="S920">
        <f>IF($P920="","",IFERROR(INDEX($F$6:$F$2005,MATCH($Q920,WageIds,0)),""))</f>
        <v/>
      </c>
      <c r="T920">
        <f>IF(OR($P920="",$S920="",$S920="نامعتبر"),"",LEFT($S920,4)&amp;MID($S920,6,2)&amp;RIGHT($S920,2)&amp;"0000"&amp;"|"&amp;"2"&amp;RIGHT("00000"&amp;915,5))</f>
        <v/>
      </c>
      <c r="U920">
        <f>IF($T920="","",COUNTIFS(LdAParty,$P920,LdAType,1,LdAKey,"&lt;"&amp;$T920)+COUNTIFS(LdBMember,$P920,LdBKey,"&lt;"&amp;$T920)+COUNTIFS(LdCParty,$P920,LdCKey,"&lt;"&amp;$T920)+1)</f>
        <v/>
      </c>
      <c r="V920">
        <f>IF($U920="","",$P920&amp;"|"&amp;RIGHT("000000"&amp;$U920,6))</f>
        <v/>
      </c>
      <c r="W920">
        <f>IF($T920="","",COUNTIFS(LdBGroup,$R920,LdBKey,"&lt;"&amp;$T920)+1)</f>
        <v/>
      </c>
      <c r="X920">
        <f>IF($W920="","",$R920&amp;"|"&amp;RIGHT("000000"&amp;$W920,6))</f>
        <v/>
      </c>
      <c r="Y920">
        <f>IF($P920="","",IF(Shares!$E923="",0,Shares!$E923))</f>
        <v/>
      </c>
      <c r="Z920">
        <f>IF($P920="","",Shares!$H923)</f>
        <v/>
      </c>
      <c r="AE920">
        <f>IF(OR(Sync!$S920="",Sync!$P920=""),"",Sync!$S920)</f>
        <v/>
      </c>
      <c r="AF920">
        <f>IF($AE920="","",IF(ISNUMBER(Sync!$P920),IF(AND(Sync!$P920&gt;=10000101,Sync!$P920&lt;=99991231),INT(Sync!$P920/10000),""),IFERROR(VALUE(TRIM(LEFT(Sync!$P920,FIND("/",Sync!$P920)-1))),"")))</f>
        <v/>
      </c>
      <c r="AG920">
        <f>IF(OR($AE920="",$AF920=""),"",IF(ISNUMBER(Sync!$P920),INT(MOD(Sync!$P920,10000)/100),IFERROR(VALUE(TRIM(LEFT(MID(Sync!$P920,FIND("/",Sync!$P920)+1,20),FIND("/",MID(Sync!$P920,FIND("/",Sync!$P920)+1,20))-1))),"")))</f>
        <v/>
      </c>
      <c r="AH920">
        <f>IF(OR($AE920="",$AF920=""),"",IF(ISNUMBER(Sync!$P920),MOD(Sync!$P920,100),IFERROR(VALUE(TRIM(MID(MID(Sync!$P920,FIND("/",Sync!$P920)+1,20),FIND("/",MID(Sync!$P920,FIND("/",Sync!$P920)+1,20))+1,20))),"")))</f>
        <v/>
      </c>
      <c r="AI920">
        <f>IF($AE920="","",IF(OR($AF920="",$AG920="",$AH920="",$AF920&lt;1300,$AF920&gt;1500,$AG920&lt;1,$AG920&gt;12,$AH920&lt;1,$AH920&gt;31),"نامعتبر",RIGHT("0000"&amp;$AF920,4)&amp;"/"&amp;RIGHT("00"&amp;$AG920,2)&amp;"/"&amp;RIGHT("00"&amp;$AH920,2)))</f>
        <v/>
      </c>
      <c r="AJ920">
        <f>IF($AE920="","",IF(Sync!$Q920="","0000",IF(AND(ISNUMBER(Sync!$Q920),Sync!$Q920&gt;=0,Sync!$Q920&lt;1),RIGHT("00"&amp;HOUR(Sync!$Q920),2)&amp;RIGHT("00"&amp;MINUTE(Sync!$Q920),2),IFERROR(RIGHT("00"&amp;VALUE(LEFT(Sync!$Q920,FIND(":",Sync!$Q920)-1)),2)&amp;RIGHT("00"&amp;VALUE(MID(Sync!$Q920,FIND(":",Sync!$Q920)+1,2)),2),"0000"))))</f>
        <v/>
      </c>
      <c r="AK920">
        <f>IF(OR($AE920="",$AI920="",$AI920="نامعتبر"),"",LEFT($AI920,4)&amp;MID($AI920,6,2)&amp;RIGHT($AI920,2)&amp;$AJ920&amp;"|"&amp;"3"&amp;RIGHT("00000"&amp;915,5))</f>
        <v/>
      </c>
      <c r="AL920">
        <f>IF($AK920="","",COUNTIFS(LdAParty,$AE920,LdAType,1,LdAKey,"&lt;"&amp;$AK920)+COUNTIFS(LdBMember,$AE920,LdBKey,"&lt;"&amp;$AK920)+COUNTIFS(LdCParty,$AE920,LdCKey,"&lt;"&amp;$AK920)+1)</f>
        <v/>
      </c>
      <c r="AM920">
        <f>IF($AL920="","",$AE920&amp;"|"&amp;RIGHT("000000"&amp;$AL920,6))</f>
        <v/>
      </c>
      <c r="AN920">
        <f>IF($AE920="","",IF(Sync!$W920="",0,Sync!$W920))</f>
        <v/>
      </c>
      <c r="AO920">
        <f>IF($AE920="","",IF(Sync!$X920="",0,Sync!$X920))</f>
        <v/>
      </c>
      <c r="AP920">
        <f>IF($AE920="","",Sync!$R920)</f>
        <v/>
      </c>
      <c r="AQ920">
        <f>IF($AE920="","",Sync!$Y920)</f>
        <v/>
      </c>
    </row>
    <row r="921">
      <c r="A921">
        <f>IF(OR(Wages!$B924="",Wages!$E924=""),"",Wages!$E924)</f>
        <v/>
      </c>
      <c r="B921">
        <f>IF($A921="","",IF(Wages!$C924="دستمزد گروهی",2,1))</f>
        <v/>
      </c>
      <c r="C921">
        <f>IF($A921="","",IF(ISNUMBER(Wages!$B924),IF(AND(Wages!$B924&gt;=10000101,Wages!$B924&lt;=99991231),INT(Wages!$B924/10000),""),IFERROR(VALUE(TRIM(LEFT(Wages!$B924,FIND("/",Wages!$B924)-1))),"")))</f>
        <v/>
      </c>
      <c r="D921">
        <f>IF(OR($A921="",$C921=""),"",IF(ISNUMBER(Wages!$B924),INT(MOD(Wages!$B924,10000)/100),IFERROR(VALUE(TRIM(LEFT(MID(Wages!$B924,FIND("/",Wages!$B924)+1,20),FIND("/",MID(Wages!$B924,FIND("/",Wages!$B924)+1,20))-1))),"")))</f>
        <v/>
      </c>
      <c r="E921">
        <f>IF(OR($A921="",$C921=""),"",IF(ISNUMBER(Wages!$B924),MOD(Wages!$B924,100),IFERROR(VALUE(TRIM(MID(MID(Wages!$B924,FIND("/",Wages!$B924)+1,20),FIND("/",MID(Wages!$B924,FIND("/",Wages!$B924)+1,20))+1,20))),"")))</f>
        <v/>
      </c>
      <c r="F921">
        <f>IF($A921="","",IF(OR($C921="",$D921="",$E921="",$C921&lt;1300,$C921&gt;1500,$D921&lt;1,$D921&gt;12,$E921&lt;1,$E921&gt;31),"نامعتبر",RIGHT("0000"&amp;$C921,4)&amp;"/"&amp;RIGHT("00"&amp;$D921,2)&amp;"/"&amp;RIGHT("00"&amp;$E921,2)))</f>
        <v/>
      </c>
      <c r="G921">
        <f>IF(OR($A921="",$F921="",$F921="نامعتبر"),"",LEFT($F921,4)&amp;MID($F921,6,2)&amp;RIGHT($F921,2)&amp;"0000"&amp;"|"&amp;"1"&amp;RIGHT("00000"&amp;916,5))</f>
        <v/>
      </c>
      <c r="H921">
        <f>IF(OR($B921&lt;&gt;1,$G921=""),"",COUNTIFS(LdAParty,$A921,LdAType,1,LdAKey,"&lt;"&amp;$G921)+COUNTIFS(LdBMember,$A921,LdBKey,"&lt;"&amp;$G921)+COUNTIFS(LdCParty,$A921,LdCKey,"&lt;"&amp;$G921)+1)</f>
        <v/>
      </c>
      <c r="I921">
        <f>IF($H921="","",$A921&amp;"|"&amp;RIGHT("000000"&amp;$H921,6))</f>
        <v/>
      </c>
      <c r="J921">
        <f>IF(OR($B921&lt;&gt;2,$G921=""),"",COUNTIFS(LdAParty,$A921,LdAType,2,LdAKey,"&lt;"&amp;$G921)+1)</f>
        <v/>
      </c>
      <c r="K921">
        <f>IF($J921="","",$A921&amp;"|"&amp;RIGHT("000000"&amp;$J921,6))</f>
        <v/>
      </c>
      <c r="L921">
        <f>IF($A921="","",IF(Wages!$G924="",0,Wages!$G924))</f>
        <v/>
      </c>
      <c r="M921">
        <f>IF($A921="","",Wages!$J924)</f>
        <v/>
      </c>
      <c r="N921">
        <f>IF($A921="","",Wages!$D924)</f>
        <v/>
      </c>
      <c r="P921">
        <f>IF(OR(Shares!$B924="",Shares!$C924=""),"",Shares!$C924)</f>
        <v/>
      </c>
      <c r="Q921">
        <f>IF($P921="","",Shares!$B924)</f>
        <v/>
      </c>
      <c r="R921">
        <f>IF($P921="","",IFERROR(INDEX(WageParty,MATCH($Q921,WageIds,0)),""))</f>
        <v/>
      </c>
      <c r="S921">
        <f>IF($P921="","",IFERROR(INDEX($F$6:$F$2005,MATCH($Q921,WageIds,0)),""))</f>
        <v/>
      </c>
      <c r="T921">
        <f>IF(OR($P921="",$S921="",$S921="نامعتبر"),"",LEFT($S921,4)&amp;MID($S921,6,2)&amp;RIGHT($S921,2)&amp;"0000"&amp;"|"&amp;"2"&amp;RIGHT("00000"&amp;916,5))</f>
        <v/>
      </c>
      <c r="U921">
        <f>IF($T921="","",COUNTIFS(LdAParty,$P921,LdAType,1,LdAKey,"&lt;"&amp;$T921)+COUNTIFS(LdBMember,$P921,LdBKey,"&lt;"&amp;$T921)+COUNTIFS(LdCParty,$P921,LdCKey,"&lt;"&amp;$T921)+1)</f>
        <v/>
      </c>
      <c r="V921">
        <f>IF($U921="","",$P921&amp;"|"&amp;RIGHT("000000"&amp;$U921,6))</f>
        <v/>
      </c>
      <c r="W921">
        <f>IF($T921="","",COUNTIFS(LdBGroup,$R921,LdBKey,"&lt;"&amp;$T921)+1)</f>
        <v/>
      </c>
      <c r="X921">
        <f>IF($W921="","",$R921&amp;"|"&amp;RIGHT("000000"&amp;$W921,6))</f>
        <v/>
      </c>
      <c r="Y921">
        <f>IF($P921="","",IF(Shares!$E924="",0,Shares!$E924))</f>
        <v/>
      </c>
      <c r="Z921">
        <f>IF($P921="","",Shares!$H924)</f>
        <v/>
      </c>
      <c r="AE921">
        <f>IF(OR(Sync!$S921="",Sync!$P921=""),"",Sync!$S921)</f>
        <v/>
      </c>
      <c r="AF921">
        <f>IF($AE921="","",IF(ISNUMBER(Sync!$P921),IF(AND(Sync!$P921&gt;=10000101,Sync!$P921&lt;=99991231),INT(Sync!$P921/10000),""),IFERROR(VALUE(TRIM(LEFT(Sync!$P921,FIND("/",Sync!$P921)-1))),"")))</f>
        <v/>
      </c>
      <c r="AG921">
        <f>IF(OR($AE921="",$AF921=""),"",IF(ISNUMBER(Sync!$P921),INT(MOD(Sync!$P921,10000)/100),IFERROR(VALUE(TRIM(LEFT(MID(Sync!$P921,FIND("/",Sync!$P921)+1,20),FIND("/",MID(Sync!$P921,FIND("/",Sync!$P921)+1,20))-1))),"")))</f>
        <v/>
      </c>
      <c r="AH921">
        <f>IF(OR($AE921="",$AF921=""),"",IF(ISNUMBER(Sync!$P921),MOD(Sync!$P921,100),IFERROR(VALUE(TRIM(MID(MID(Sync!$P921,FIND("/",Sync!$P921)+1,20),FIND("/",MID(Sync!$P921,FIND("/",Sync!$P921)+1,20))+1,20))),"")))</f>
        <v/>
      </c>
      <c r="AI921">
        <f>IF($AE921="","",IF(OR($AF921="",$AG921="",$AH921="",$AF921&lt;1300,$AF921&gt;1500,$AG921&lt;1,$AG921&gt;12,$AH921&lt;1,$AH921&gt;31),"نامعتبر",RIGHT("0000"&amp;$AF921,4)&amp;"/"&amp;RIGHT("00"&amp;$AG921,2)&amp;"/"&amp;RIGHT("00"&amp;$AH921,2)))</f>
        <v/>
      </c>
      <c r="AJ921">
        <f>IF($AE921="","",IF(Sync!$Q921="","0000",IF(AND(ISNUMBER(Sync!$Q921),Sync!$Q921&gt;=0,Sync!$Q921&lt;1),RIGHT("00"&amp;HOUR(Sync!$Q921),2)&amp;RIGHT("00"&amp;MINUTE(Sync!$Q921),2),IFERROR(RIGHT("00"&amp;VALUE(LEFT(Sync!$Q921,FIND(":",Sync!$Q921)-1)),2)&amp;RIGHT("00"&amp;VALUE(MID(Sync!$Q921,FIND(":",Sync!$Q921)+1,2)),2),"0000"))))</f>
        <v/>
      </c>
      <c r="AK921">
        <f>IF(OR($AE921="",$AI921="",$AI921="نامعتبر"),"",LEFT($AI921,4)&amp;MID($AI921,6,2)&amp;RIGHT($AI921,2)&amp;$AJ921&amp;"|"&amp;"3"&amp;RIGHT("00000"&amp;916,5))</f>
        <v/>
      </c>
      <c r="AL921">
        <f>IF($AK921="","",COUNTIFS(LdAParty,$AE921,LdAType,1,LdAKey,"&lt;"&amp;$AK921)+COUNTIFS(LdBMember,$AE921,LdBKey,"&lt;"&amp;$AK921)+COUNTIFS(LdCParty,$AE921,LdCKey,"&lt;"&amp;$AK921)+1)</f>
        <v/>
      </c>
      <c r="AM921">
        <f>IF($AL921="","",$AE921&amp;"|"&amp;RIGHT("000000"&amp;$AL921,6))</f>
        <v/>
      </c>
      <c r="AN921">
        <f>IF($AE921="","",IF(Sync!$W921="",0,Sync!$W921))</f>
        <v/>
      </c>
      <c r="AO921">
        <f>IF($AE921="","",IF(Sync!$X921="",0,Sync!$X921))</f>
        <v/>
      </c>
      <c r="AP921">
        <f>IF($AE921="","",Sync!$R921)</f>
        <v/>
      </c>
      <c r="AQ921">
        <f>IF($AE921="","",Sync!$Y921)</f>
        <v/>
      </c>
    </row>
    <row r="922">
      <c r="A922">
        <f>IF(OR(Wages!$B925="",Wages!$E925=""),"",Wages!$E925)</f>
        <v/>
      </c>
      <c r="B922">
        <f>IF($A922="","",IF(Wages!$C925="دستمزد گروهی",2,1))</f>
        <v/>
      </c>
      <c r="C922">
        <f>IF($A922="","",IF(ISNUMBER(Wages!$B925),IF(AND(Wages!$B925&gt;=10000101,Wages!$B925&lt;=99991231),INT(Wages!$B925/10000),""),IFERROR(VALUE(TRIM(LEFT(Wages!$B925,FIND("/",Wages!$B925)-1))),"")))</f>
        <v/>
      </c>
      <c r="D922">
        <f>IF(OR($A922="",$C922=""),"",IF(ISNUMBER(Wages!$B925),INT(MOD(Wages!$B925,10000)/100),IFERROR(VALUE(TRIM(LEFT(MID(Wages!$B925,FIND("/",Wages!$B925)+1,20),FIND("/",MID(Wages!$B925,FIND("/",Wages!$B925)+1,20))-1))),"")))</f>
        <v/>
      </c>
      <c r="E922">
        <f>IF(OR($A922="",$C922=""),"",IF(ISNUMBER(Wages!$B925),MOD(Wages!$B925,100),IFERROR(VALUE(TRIM(MID(MID(Wages!$B925,FIND("/",Wages!$B925)+1,20),FIND("/",MID(Wages!$B925,FIND("/",Wages!$B925)+1,20))+1,20))),"")))</f>
        <v/>
      </c>
      <c r="F922">
        <f>IF($A922="","",IF(OR($C922="",$D922="",$E922="",$C922&lt;1300,$C922&gt;1500,$D922&lt;1,$D922&gt;12,$E922&lt;1,$E922&gt;31),"نامعتبر",RIGHT("0000"&amp;$C922,4)&amp;"/"&amp;RIGHT("00"&amp;$D922,2)&amp;"/"&amp;RIGHT("00"&amp;$E922,2)))</f>
        <v/>
      </c>
      <c r="G922">
        <f>IF(OR($A922="",$F922="",$F922="نامعتبر"),"",LEFT($F922,4)&amp;MID($F922,6,2)&amp;RIGHT($F922,2)&amp;"0000"&amp;"|"&amp;"1"&amp;RIGHT("00000"&amp;917,5))</f>
        <v/>
      </c>
      <c r="H922">
        <f>IF(OR($B922&lt;&gt;1,$G922=""),"",COUNTIFS(LdAParty,$A922,LdAType,1,LdAKey,"&lt;"&amp;$G922)+COUNTIFS(LdBMember,$A922,LdBKey,"&lt;"&amp;$G922)+COUNTIFS(LdCParty,$A922,LdCKey,"&lt;"&amp;$G922)+1)</f>
        <v/>
      </c>
      <c r="I922">
        <f>IF($H922="","",$A922&amp;"|"&amp;RIGHT("000000"&amp;$H922,6))</f>
        <v/>
      </c>
      <c r="J922">
        <f>IF(OR($B922&lt;&gt;2,$G922=""),"",COUNTIFS(LdAParty,$A922,LdAType,2,LdAKey,"&lt;"&amp;$G922)+1)</f>
        <v/>
      </c>
      <c r="K922">
        <f>IF($J922="","",$A922&amp;"|"&amp;RIGHT("000000"&amp;$J922,6))</f>
        <v/>
      </c>
      <c r="L922">
        <f>IF($A922="","",IF(Wages!$G925="",0,Wages!$G925))</f>
        <v/>
      </c>
      <c r="M922">
        <f>IF($A922="","",Wages!$J925)</f>
        <v/>
      </c>
      <c r="N922">
        <f>IF($A922="","",Wages!$D925)</f>
        <v/>
      </c>
      <c r="P922">
        <f>IF(OR(Shares!$B925="",Shares!$C925=""),"",Shares!$C925)</f>
        <v/>
      </c>
      <c r="Q922">
        <f>IF($P922="","",Shares!$B925)</f>
        <v/>
      </c>
      <c r="R922">
        <f>IF($P922="","",IFERROR(INDEX(WageParty,MATCH($Q922,WageIds,0)),""))</f>
        <v/>
      </c>
      <c r="S922">
        <f>IF($P922="","",IFERROR(INDEX($F$6:$F$2005,MATCH($Q922,WageIds,0)),""))</f>
        <v/>
      </c>
      <c r="T922">
        <f>IF(OR($P922="",$S922="",$S922="نامعتبر"),"",LEFT($S922,4)&amp;MID($S922,6,2)&amp;RIGHT($S922,2)&amp;"0000"&amp;"|"&amp;"2"&amp;RIGHT("00000"&amp;917,5))</f>
        <v/>
      </c>
      <c r="U922">
        <f>IF($T922="","",COUNTIFS(LdAParty,$P922,LdAType,1,LdAKey,"&lt;"&amp;$T922)+COUNTIFS(LdBMember,$P922,LdBKey,"&lt;"&amp;$T922)+COUNTIFS(LdCParty,$P922,LdCKey,"&lt;"&amp;$T922)+1)</f>
        <v/>
      </c>
      <c r="V922">
        <f>IF($U922="","",$P922&amp;"|"&amp;RIGHT("000000"&amp;$U922,6))</f>
        <v/>
      </c>
      <c r="W922">
        <f>IF($T922="","",COUNTIFS(LdBGroup,$R922,LdBKey,"&lt;"&amp;$T922)+1)</f>
        <v/>
      </c>
      <c r="X922">
        <f>IF($W922="","",$R922&amp;"|"&amp;RIGHT("000000"&amp;$W922,6))</f>
        <v/>
      </c>
      <c r="Y922">
        <f>IF($P922="","",IF(Shares!$E925="",0,Shares!$E925))</f>
        <v/>
      </c>
      <c r="Z922">
        <f>IF($P922="","",Shares!$H925)</f>
        <v/>
      </c>
      <c r="AE922">
        <f>IF(OR(Sync!$S922="",Sync!$P922=""),"",Sync!$S922)</f>
        <v/>
      </c>
      <c r="AF922">
        <f>IF($AE922="","",IF(ISNUMBER(Sync!$P922),IF(AND(Sync!$P922&gt;=10000101,Sync!$P922&lt;=99991231),INT(Sync!$P922/10000),""),IFERROR(VALUE(TRIM(LEFT(Sync!$P922,FIND("/",Sync!$P922)-1))),"")))</f>
        <v/>
      </c>
      <c r="AG922">
        <f>IF(OR($AE922="",$AF922=""),"",IF(ISNUMBER(Sync!$P922),INT(MOD(Sync!$P922,10000)/100),IFERROR(VALUE(TRIM(LEFT(MID(Sync!$P922,FIND("/",Sync!$P922)+1,20),FIND("/",MID(Sync!$P922,FIND("/",Sync!$P922)+1,20))-1))),"")))</f>
        <v/>
      </c>
      <c r="AH922">
        <f>IF(OR($AE922="",$AF922=""),"",IF(ISNUMBER(Sync!$P922),MOD(Sync!$P922,100),IFERROR(VALUE(TRIM(MID(MID(Sync!$P922,FIND("/",Sync!$P922)+1,20),FIND("/",MID(Sync!$P922,FIND("/",Sync!$P922)+1,20))+1,20))),"")))</f>
        <v/>
      </c>
      <c r="AI922">
        <f>IF($AE922="","",IF(OR($AF922="",$AG922="",$AH922="",$AF922&lt;1300,$AF922&gt;1500,$AG922&lt;1,$AG922&gt;12,$AH922&lt;1,$AH922&gt;31),"نامعتبر",RIGHT("0000"&amp;$AF922,4)&amp;"/"&amp;RIGHT("00"&amp;$AG922,2)&amp;"/"&amp;RIGHT("00"&amp;$AH922,2)))</f>
        <v/>
      </c>
      <c r="AJ922">
        <f>IF($AE922="","",IF(Sync!$Q922="","0000",IF(AND(ISNUMBER(Sync!$Q922),Sync!$Q922&gt;=0,Sync!$Q922&lt;1),RIGHT("00"&amp;HOUR(Sync!$Q922),2)&amp;RIGHT("00"&amp;MINUTE(Sync!$Q922),2),IFERROR(RIGHT("00"&amp;VALUE(LEFT(Sync!$Q922,FIND(":",Sync!$Q922)-1)),2)&amp;RIGHT("00"&amp;VALUE(MID(Sync!$Q922,FIND(":",Sync!$Q922)+1,2)),2),"0000"))))</f>
        <v/>
      </c>
      <c r="AK922">
        <f>IF(OR($AE922="",$AI922="",$AI922="نامعتبر"),"",LEFT($AI922,4)&amp;MID($AI922,6,2)&amp;RIGHT($AI922,2)&amp;$AJ922&amp;"|"&amp;"3"&amp;RIGHT("00000"&amp;917,5))</f>
        <v/>
      </c>
      <c r="AL922">
        <f>IF($AK922="","",COUNTIFS(LdAParty,$AE922,LdAType,1,LdAKey,"&lt;"&amp;$AK922)+COUNTIFS(LdBMember,$AE922,LdBKey,"&lt;"&amp;$AK922)+COUNTIFS(LdCParty,$AE922,LdCKey,"&lt;"&amp;$AK922)+1)</f>
        <v/>
      </c>
      <c r="AM922">
        <f>IF($AL922="","",$AE922&amp;"|"&amp;RIGHT("000000"&amp;$AL922,6))</f>
        <v/>
      </c>
      <c r="AN922">
        <f>IF($AE922="","",IF(Sync!$W922="",0,Sync!$W922))</f>
        <v/>
      </c>
      <c r="AO922">
        <f>IF($AE922="","",IF(Sync!$X922="",0,Sync!$X922))</f>
        <v/>
      </c>
      <c r="AP922">
        <f>IF($AE922="","",Sync!$R922)</f>
        <v/>
      </c>
      <c r="AQ922">
        <f>IF($AE922="","",Sync!$Y922)</f>
        <v/>
      </c>
    </row>
    <row r="923">
      <c r="A923">
        <f>IF(OR(Wages!$B926="",Wages!$E926=""),"",Wages!$E926)</f>
        <v/>
      </c>
      <c r="B923">
        <f>IF($A923="","",IF(Wages!$C926="دستمزد گروهی",2,1))</f>
        <v/>
      </c>
      <c r="C923">
        <f>IF($A923="","",IF(ISNUMBER(Wages!$B926),IF(AND(Wages!$B926&gt;=10000101,Wages!$B926&lt;=99991231),INT(Wages!$B926/10000),""),IFERROR(VALUE(TRIM(LEFT(Wages!$B926,FIND("/",Wages!$B926)-1))),"")))</f>
        <v/>
      </c>
      <c r="D923">
        <f>IF(OR($A923="",$C923=""),"",IF(ISNUMBER(Wages!$B926),INT(MOD(Wages!$B926,10000)/100),IFERROR(VALUE(TRIM(LEFT(MID(Wages!$B926,FIND("/",Wages!$B926)+1,20),FIND("/",MID(Wages!$B926,FIND("/",Wages!$B926)+1,20))-1))),"")))</f>
        <v/>
      </c>
      <c r="E923">
        <f>IF(OR($A923="",$C923=""),"",IF(ISNUMBER(Wages!$B926),MOD(Wages!$B926,100),IFERROR(VALUE(TRIM(MID(MID(Wages!$B926,FIND("/",Wages!$B926)+1,20),FIND("/",MID(Wages!$B926,FIND("/",Wages!$B926)+1,20))+1,20))),"")))</f>
        <v/>
      </c>
      <c r="F923">
        <f>IF($A923="","",IF(OR($C923="",$D923="",$E923="",$C923&lt;1300,$C923&gt;1500,$D923&lt;1,$D923&gt;12,$E923&lt;1,$E923&gt;31),"نامعتبر",RIGHT("0000"&amp;$C923,4)&amp;"/"&amp;RIGHT("00"&amp;$D923,2)&amp;"/"&amp;RIGHT("00"&amp;$E923,2)))</f>
        <v/>
      </c>
      <c r="G923">
        <f>IF(OR($A923="",$F923="",$F923="نامعتبر"),"",LEFT($F923,4)&amp;MID($F923,6,2)&amp;RIGHT($F923,2)&amp;"0000"&amp;"|"&amp;"1"&amp;RIGHT("00000"&amp;918,5))</f>
        <v/>
      </c>
      <c r="H923">
        <f>IF(OR($B923&lt;&gt;1,$G923=""),"",COUNTIFS(LdAParty,$A923,LdAType,1,LdAKey,"&lt;"&amp;$G923)+COUNTIFS(LdBMember,$A923,LdBKey,"&lt;"&amp;$G923)+COUNTIFS(LdCParty,$A923,LdCKey,"&lt;"&amp;$G923)+1)</f>
        <v/>
      </c>
      <c r="I923">
        <f>IF($H923="","",$A923&amp;"|"&amp;RIGHT("000000"&amp;$H923,6))</f>
        <v/>
      </c>
      <c r="J923">
        <f>IF(OR($B923&lt;&gt;2,$G923=""),"",COUNTIFS(LdAParty,$A923,LdAType,2,LdAKey,"&lt;"&amp;$G923)+1)</f>
        <v/>
      </c>
      <c r="K923">
        <f>IF($J923="","",$A923&amp;"|"&amp;RIGHT("000000"&amp;$J923,6))</f>
        <v/>
      </c>
      <c r="L923">
        <f>IF($A923="","",IF(Wages!$G926="",0,Wages!$G926))</f>
        <v/>
      </c>
      <c r="M923">
        <f>IF($A923="","",Wages!$J926)</f>
        <v/>
      </c>
      <c r="N923">
        <f>IF($A923="","",Wages!$D926)</f>
        <v/>
      </c>
      <c r="P923">
        <f>IF(OR(Shares!$B926="",Shares!$C926=""),"",Shares!$C926)</f>
        <v/>
      </c>
      <c r="Q923">
        <f>IF($P923="","",Shares!$B926)</f>
        <v/>
      </c>
      <c r="R923">
        <f>IF($P923="","",IFERROR(INDEX(WageParty,MATCH($Q923,WageIds,0)),""))</f>
        <v/>
      </c>
      <c r="S923">
        <f>IF($P923="","",IFERROR(INDEX($F$6:$F$2005,MATCH($Q923,WageIds,0)),""))</f>
        <v/>
      </c>
      <c r="T923">
        <f>IF(OR($P923="",$S923="",$S923="نامعتبر"),"",LEFT($S923,4)&amp;MID($S923,6,2)&amp;RIGHT($S923,2)&amp;"0000"&amp;"|"&amp;"2"&amp;RIGHT("00000"&amp;918,5))</f>
        <v/>
      </c>
      <c r="U923">
        <f>IF($T923="","",COUNTIFS(LdAParty,$P923,LdAType,1,LdAKey,"&lt;"&amp;$T923)+COUNTIFS(LdBMember,$P923,LdBKey,"&lt;"&amp;$T923)+COUNTIFS(LdCParty,$P923,LdCKey,"&lt;"&amp;$T923)+1)</f>
        <v/>
      </c>
      <c r="V923">
        <f>IF($U923="","",$P923&amp;"|"&amp;RIGHT("000000"&amp;$U923,6))</f>
        <v/>
      </c>
      <c r="W923">
        <f>IF($T923="","",COUNTIFS(LdBGroup,$R923,LdBKey,"&lt;"&amp;$T923)+1)</f>
        <v/>
      </c>
      <c r="X923">
        <f>IF($W923="","",$R923&amp;"|"&amp;RIGHT("000000"&amp;$W923,6))</f>
        <v/>
      </c>
      <c r="Y923">
        <f>IF($P923="","",IF(Shares!$E926="",0,Shares!$E926))</f>
        <v/>
      </c>
      <c r="Z923">
        <f>IF($P923="","",Shares!$H926)</f>
        <v/>
      </c>
      <c r="AE923">
        <f>IF(OR(Sync!$S923="",Sync!$P923=""),"",Sync!$S923)</f>
        <v/>
      </c>
      <c r="AF923">
        <f>IF($AE923="","",IF(ISNUMBER(Sync!$P923),IF(AND(Sync!$P923&gt;=10000101,Sync!$P923&lt;=99991231),INT(Sync!$P923/10000),""),IFERROR(VALUE(TRIM(LEFT(Sync!$P923,FIND("/",Sync!$P923)-1))),"")))</f>
        <v/>
      </c>
      <c r="AG923">
        <f>IF(OR($AE923="",$AF923=""),"",IF(ISNUMBER(Sync!$P923),INT(MOD(Sync!$P923,10000)/100),IFERROR(VALUE(TRIM(LEFT(MID(Sync!$P923,FIND("/",Sync!$P923)+1,20),FIND("/",MID(Sync!$P923,FIND("/",Sync!$P923)+1,20))-1))),"")))</f>
        <v/>
      </c>
      <c r="AH923">
        <f>IF(OR($AE923="",$AF923=""),"",IF(ISNUMBER(Sync!$P923),MOD(Sync!$P923,100),IFERROR(VALUE(TRIM(MID(MID(Sync!$P923,FIND("/",Sync!$P923)+1,20),FIND("/",MID(Sync!$P923,FIND("/",Sync!$P923)+1,20))+1,20))),"")))</f>
        <v/>
      </c>
      <c r="AI923">
        <f>IF($AE923="","",IF(OR($AF923="",$AG923="",$AH923="",$AF923&lt;1300,$AF923&gt;1500,$AG923&lt;1,$AG923&gt;12,$AH923&lt;1,$AH923&gt;31),"نامعتبر",RIGHT("0000"&amp;$AF923,4)&amp;"/"&amp;RIGHT("00"&amp;$AG923,2)&amp;"/"&amp;RIGHT("00"&amp;$AH923,2)))</f>
        <v/>
      </c>
      <c r="AJ923">
        <f>IF($AE923="","",IF(Sync!$Q923="","0000",IF(AND(ISNUMBER(Sync!$Q923),Sync!$Q923&gt;=0,Sync!$Q923&lt;1),RIGHT("00"&amp;HOUR(Sync!$Q923),2)&amp;RIGHT("00"&amp;MINUTE(Sync!$Q923),2),IFERROR(RIGHT("00"&amp;VALUE(LEFT(Sync!$Q923,FIND(":",Sync!$Q923)-1)),2)&amp;RIGHT("00"&amp;VALUE(MID(Sync!$Q923,FIND(":",Sync!$Q923)+1,2)),2),"0000"))))</f>
        <v/>
      </c>
      <c r="AK923">
        <f>IF(OR($AE923="",$AI923="",$AI923="نامعتبر"),"",LEFT($AI923,4)&amp;MID($AI923,6,2)&amp;RIGHT($AI923,2)&amp;$AJ923&amp;"|"&amp;"3"&amp;RIGHT("00000"&amp;918,5))</f>
        <v/>
      </c>
      <c r="AL923">
        <f>IF($AK923="","",COUNTIFS(LdAParty,$AE923,LdAType,1,LdAKey,"&lt;"&amp;$AK923)+COUNTIFS(LdBMember,$AE923,LdBKey,"&lt;"&amp;$AK923)+COUNTIFS(LdCParty,$AE923,LdCKey,"&lt;"&amp;$AK923)+1)</f>
        <v/>
      </c>
      <c r="AM923">
        <f>IF($AL923="","",$AE923&amp;"|"&amp;RIGHT("000000"&amp;$AL923,6))</f>
        <v/>
      </c>
      <c r="AN923">
        <f>IF($AE923="","",IF(Sync!$W923="",0,Sync!$W923))</f>
        <v/>
      </c>
      <c r="AO923">
        <f>IF($AE923="","",IF(Sync!$X923="",0,Sync!$X923))</f>
        <v/>
      </c>
      <c r="AP923">
        <f>IF($AE923="","",Sync!$R923)</f>
        <v/>
      </c>
      <c r="AQ923">
        <f>IF($AE923="","",Sync!$Y923)</f>
        <v/>
      </c>
    </row>
    <row r="924">
      <c r="A924">
        <f>IF(OR(Wages!$B927="",Wages!$E927=""),"",Wages!$E927)</f>
        <v/>
      </c>
      <c r="B924">
        <f>IF($A924="","",IF(Wages!$C927="دستمزد گروهی",2,1))</f>
        <v/>
      </c>
      <c r="C924">
        <f>IF($A924="","",IF(ISNUMBER(Wages!$B927),IF(AND(Wages!$B927&gt;=10000101,Wages!$B927&lt;=99991231),INT(Wages!$B927/10000),""),IFERROR(VALUE(TRIM(LEFT(Wages!$B927,FIND("/",Wages!$B927)-1))),"")))</f>
        <v/>
      </c>
      <c r="D924">
        <f>IF(OR($A924="",$C924=""),"",IF(ISNUMBER(Wages!$B927),INT(MOD(Wages!$B927,10000)/100),IFERROR(VALUE(TRIM(LEFT(MID(Wages!$B927,FIND("/",Wages!$B927)+1,20),FIND("/",MID(Wages!$B927,FIND("/",Wages!$B927)+1,20))-1))),"")))</f>
        <v/>
      </c>
      <c r="E924">
        <f>IF(OR($A924="",$C924=""),"",IF(ISNUMBER(Wages!$B927),MOD(Wages!$B927,100),IFERROR(VALUE(TRIM(MID(MID(Wages!$B927,FIND("/",Wages!$B927)+1,20),FIND("/",MID(Wages!$B927,FIND("/",Wages!$B927)+1,20))+1,20))),"")))</f>
        <v/>
      </c>
      <c r="F924">
        <f>IF($A924="","",IF(OR($C924="",$D924="",$E924="",$C924&lt;1300,$C924&gt;1500,$D924&lt;1,$D924&gt;12,$E924&lt;1,$E924&gt;31),"نامعتبر",RIGHT("0000"&amp;$C924,4)&amp;"/"&amp;RIGHT("00"&amp;$D924,2)&amp;"/"&amp;RIGHT("00"&amp;$E924,2)))</f>
        <v/>
      </c>
      <c r="G924">
        <f>IF(OR($A924="",$F924="",$F924="نامعتبر"),"",LEFT($F924,4)&amp;MID($F924,6,2)&amp;RIGHT($F924,2)&amp;"0000"&amp;"|"&amp;"1"&amp;RIGHT("00000"&amp;919,5))</f>
        <v/>
      </c>
      <c r="H924">
        <f>IF(OR($B924&lt;&gt;1,$G924=""),"",COUNTIFS(LdAParty,$A924,LdAType,1,LdAKey,"&lt;"&amp;$G924)+COUNTIFS(LdBMember,$A924,LdBKey,"&lt;"&amp;$G924)+COUNTIFS(LdCParty,$A924,LdCKey,"&lt;"&amp;$G924)+1)</f>
        <v/>
      </c>
      <c r="I924">
        <f>IF($H924="","",$A924&amp;"|"&amp;RIGHT("000000"&amp;$H924,6))</f>
        <v/>
      </c>
      <c r="J924">
        <f>IF(OR($B924&lt;&gt;2,$G924=""),"",COUNTIFS(LdAParty,$A924,LdAType,2,LdAKey,"&lt;"&amp;$G924)+1)</f>
        <v/>
      </c>
      <c r="K924">
        <f>IF($J924="","",$A924&amp;"|"&amp;RIGHT("000000"&amp;$J924,6))</f>
        <v/>
      </c>
      <c r="L924">
        <f>IF($A924="","",IF(Wages!$G927="",0,Wages!$G927))</f>
        <v/>
      </c>
      <c r="M924">
        <f>IF($A924="","",Wages!$J927)</f>
        <v/>
      </c>
      <c r="N924">
        <f>IF($A924="","",Wages!$D927)</f>
        <v/>
      </c>
      <c r="P924">
        <f>IF(OR(Shares!$B927="",Shares!$C927=""),"",Shares!$C927)</f>
        <v/>
      </c>
      <c r="Q924">
        <f>IF($P924="","",Shares!$B927)</f>
        <v/>
      </c>
      <c r="R924">
        <f>IF($P924="","",IFERROR(INDEX(WageParty,MATCH($Q924,WageIds,0)),""))</f>
        <v/>
      </c>
      <c r="S924">
        <f>IF($P924="","",IFERROR(INDEX($F$6:$F$2005,MATCH($Q924,WageIds,0)),""))</f>
        <v/>
      </c>
      <c r="T924">
        <f>IF(OR($P924="",$S924="",$S924="نامعتبر"),"",LEFT($S924,4)&amp;MID($S924,6,2)&amp;RIGHT($S924,2)&amp;"0000"&amp;"|"&amp;"2"&amp;RIGHT("00000"&amp;919,5))</f>
        <v/>
      </c>
      <c r="U924">
        <f>IF($T924="","",COUNTIFS(LdAParty,$P924,LdAType,1,LdAKey,"&lt;"&amp;$T924)+COUNTIFS(LdBMember,$P924,LdBKey,"&lt;"&amp;$T924)+COUNTIFS(LdCParty,$P924,LdCKey,"&lt;"&amp;$T924)+1)</f>
        <v/>
      </c>
      <c r="V924">
        <f>IF($U924="","",$P924&amp;"|"&amp;RIGHT("000000"&amp;$U924,6))</f>
        <v/>
      </c>
      <c r="W924">
        <f>IF($T924="","",COUNTIFS(LdBGroup,$R924,LdBKey,"&lt;"&amp;$T924)+1)</f>
        <v/>
      </c>
      <c r="X924">
        <f>IF($W924="","",$R924&amp;"|"&amp;RIGHT("000000"&amp;$W924,6))</f>
        <v/>
      </c>
      <c r="Y924">
        <f>IF($P924="","",IF(Shares!$E927="",0,Shares!$E927))</f>
        <v/>
      </c>
      <c r="Z924">
        <f>IF($P924="","",Shares!$H927)</f>
        <v/>
      </c>
      <c r="AE924">
        <f>IF(OR(Sync!$S924="",Sync!$P924=""),"",Sync!$S924)</f>
        <v/>
      </c>
      <c r="AF924">
        <f>IF($AE924="","",IF(ISNUMBER(Sync!$P924),IF(AND(Sync!$P924&gt;=10000101,Sync!$P924&lt;=99991231),INT(Sync!$P924/10000),""),IFERROR(VALUE(TRIM(LEFT(Sync!$P924,FIND("/",Sync!$P924)-1))),"")))</f>
        <v/>
      </c>
      <c r="AG924">
        <f>IF(OR($AE924="",$AF924=""),"",IF(ISNUMBER(Sync!$P924),INT(MOD(Sync!$P924,10000)/100),IFERROR(VALUE(TRIM(LEFT(MID(Sync!$P924,FIND("/",Sync!$P924)+1,20),FIND("/",MID(Sync!$P924,FIND("/",Sync!$P924)+1,20))-1))),"")))</f>
        <v/>
      </c>
      <c r="AH924">
        <f>IF(OR($AE924="",$AF924=""),"",IF(ISNUMBER(Sync!$P924),MOD(Sync!$P924,100),IFERROR(VALUE(TRIM(MID(MID(Sync!$P924,FIND("/",Sync!$P924)+1,20),FIND("/",MID(Sync!$P924,FIND("/",Sync!$P924)+1,20))+1,20))),"")))</f>
        <v/>
      </c>
      <c r="AI924">
        <f>IF($AE924="","",IF(OR($AF924="",$AG924="",$AH924="",$AF924&lt;1300,$AF924&gt;1500,$AG924&lt;1,$AG924&gt;12,$AH924&lt;1,$AH924&gt;31),"نامعتبر",RIGHT("0000"&amp;$AF924,4)&amp;"/"&amp;RIGHT("00"&amp;$AG924,2)&amp;"/"&amp;RIGHT("00"&amp;$AH924,2)))</f>
        <v/>
      </c>
      <c r="AJ924">
        <f>IF($AE924="","",IF(Sync!$Q924="","0000",IF(AND(ISNUMBER(Sync!$Q924),Sync!$Q924&gt;=0,Sync!$Q924&lt;1),RIGHT("00"&amp;HOUR(Sync!$Q924),2)&amp;RIGHT("00"&amp;MINUTE(Sync!$Q924),2),IFERROR(RIGHT("00"&amp;VALUE(LEFT(Sync!$Q924,FIND(":",Sync!$Q924)-1)),2)&amp;RIGHT("00"&amp;VALUE(MID(Sync!$Q924,FIND(":",Sync!$Q924)+1,2)),2),"0000"))))</f>
        <v/>
      </c>
      <c r="AK924">
        <f>IF(OR($AE924="",$AI924="",$AI924="نامعتبر"),"",LEFT($AI924,4)&amp;MID($AI924,6,2)&amp;RIGHT($AI924,2)&amp;$AJ924&amp;"|"&amp;"3"&amp;RIGHT("00000"&amp;919,5))</f>
        <v/>
      </c>
      <c r="AL924">
        <f>IF($AK924="","",COUNTIFS(LdAParty,$AE924,LdAType,1,LdAKey,"&lt;"&amp;$AK924)+COUNTIFS(LdBMember,$AE924,LdBKey,"&lt;"&amp;$AK924)+COUNTIFS(LdCParty,$AE924,LdCKey,"&lt;"&amp;$AK924)+1)</f>
        <v/>
      </c>
      <c r="AM924">
        <f>IF($AL924="","",$AE924&amp;"|"&amp;RIGHT("000000"&amp;$AL924,6))</f>
        <v/>
      </c>
      <c r="AN924">
        <f>IF($AE924="","",IF(Sync!$W924="",0,Sync!$W924))</f>
        <v/>
      </c>
      <c r="AO924">
        <f>IF($AE924="","",IF(Sync!$X924="",0,Sync!$X924))</f>
        <v/>
      </c>
      <c r="AP924">
        <f>IF($AE924="","",Sync!$R924)</f>
        <v/>
      </c>
      <c r="AQ924">
        <f>IF($AE924="","",Sync!$Y924)</f>
        <v/>
      </c>
    </row>
    <row r="925">
      <c r="A925">
        <f>IF(OR(Wages!$B928="",Wages!$E928=""),"",Wages!$E928)</f>
        <v/>
      </c>
      <c r="B925">
        <f>IF($A925="","",IF(Wages!$C928="دستمزد گروهی",2,1))</f>
        <v/>
      </c>
      <c r="C925">
        <f>IF($A925="","",IF(ISNUMBER(Wages!$B928),IF(AND(Wages!$B928&gt;=10000101,Wages!$B928&lt;=99991231),INT(Wages!$B928/10000),""),IFERROR(VALUE(TRIM(LEFT(Wages!$B928,FIND("/",Wages!$B928)-1))),"")))</f>
        <v/>
      </c>
      <c r="D925">
        <f>IF(OR($A925="",$C925=""),"",IF(ISNUMBER(Wages!$B928),INT(MOD(Wages!$B928,10000)/100),IFERROR(VALUE(TRIM(LEFT(MID(Wages!$B928,FIND("/",Wages!$B928)+1,20),FIND("/",MID(Wages!$B928,FIND("/",Wages!$B928)+1,20))-1))),"")))</f>
        <v/>
      </c>
      <c r="E925">
        <f>IF(OR($A925="",$C925=""),"",IF(ISNUMBER(Wages!$B928),MOD(Wages!$B928,100),IFERROR(VALUE(TRIM(MID(MID(Wages!$B928,FIND("/",Wages!$B928)+1,20),FIND("/",MID(Wages!$B928,FIND("/",Wages!$B928)+1,20))+1,20))),"")))</f>
        <v/>
      </c>
      <c r="F925">
        <f>IF($A925="","",IF(OR($C925="",$D925="",$E925="",$C925&lt;1300,$C925&gt;1500,$D925&lt;1,$D925&gt;12,$E925&lt;1,$E925&gt;31),"نامعتبر",RIGHT("0000"&amp;$C925,4)&amp;"/"&amp;RIGHT("00"&amp;$D925,2)&amp;"/"&amp;RIGHT("00"&amp;$E925,2)))</f>
        <v/>
      </c>
      <c r="G925">
        <f>IF(OR($A925="",$F925="",$F925="نامعتبر"),"",LEFT($F925,4)&amp;MID($F925,6,2)&amp;RIGHT($F925,2)&amp;"0000"&amp;"|"&amp;"1"&amp;RIGHT("00000"&amp;920,5))</f>
        <v/>
      </c>
      <c r="H925">
        <f>IF(OR($B925&lt;&gt;1,$G925=""),"",COUNTIFS(LdAParty,$A925,LdAType,1,LdAKey,"&lt;"&amp;$G925)+COUNTIFS(LdBMember,$A925,LdBKey,"&lt;"&amp;$G925)+COUNTIFS(LdCParty,$A925,LdCKey,"&lt;"&amp;$G925)+1)</f>
        <v/>
      </c>
      <c r="I925">
        <f>IF($H925="","",$A925&amp;"|"&amp;RIGHT("000000"&amp;$H925,6))</f>
        <v/>
      </c>
      <c r="J925">
        <f>IF(OR($B925&lt;&gt;2,$G925=""),"",COUNTIFS(LdAParty,$A925,LdAType,2,LdAKey,"&lt;"&amp;$G925)+1)</f>
        <v/>
      </c>
      <c r="K925">
        <f>IF($J925="","",$A925&amp;"|"&amp;RIGHT("000000"&amp;$J925,6))</f>
        <v/>
      </c>
      <c r="L925">
        <f>IF($A925="","",IF(Wages!$G928="",0,Wages!$G928))</f>
        <v/>
      </c>
      <c r="M925">
        <f>IF($A925="","",Wages!$J928)</f>
        <v/>
      </c>
      <c r="N925">
        <f>IF($A925="","",Wages!$D928)</f>
        <v/>
      </c>
      <c r="P925">
        <f>IF(OR(Shares!$B928="",Shares!$C928=""),"",Shares!$C928)</f>
        <v/>
      </c>
      <c r="Q925">
        <f>IF($P925="","",Shares!$B928)</f>
        <v/>
      </c>
      <c r="R925">
        <f>IF($P925="","",IFERROR(INDEX(WageParty,MATCH($Q925,WageIds,0)),""))</f>
        <v/>
      </c>
      <c r="S925">
        <f>IF($P925="","",IFERROR(INDEX($F$6:$F$2005,MATCH($Q925,WageIds,0)),""))</f>
        <v/>
      </c>
      <c r="T925">
        <f>IF(OR($P925="",$S925="",$S925="نامعتبر"),"",LEFT($S925,4)&amp;MID($S925,6,2)&amp;RIGHT($S925,2)&amp;"0000"&amp;"|"&amp;"2"&amp;RIGHT("00000"&amp;920,5))</f>
        <v/>
      </c>
      <c r="U925">
        <f>IF($T925="","",COUNTIFS(LdAParty,$P925,LdAType,1,LdAKey,"&lt;"&amp;$T925)+COUNTIFS(LdBMember,$P925,LdBKey,"&lt;"&amp;$T925)+COUNTIFS(LdCParty,$P925,LdCKey,"&lt;"&amp;$T925)+1)</f>
        <v/>
      </c>
      <c r="V925">
        <f>IF($U925="","",$P925&amp;"|"&amp;RIGHT("000000"&amp;$U925,6))</f>
        <v/>
      </c>
      <c r="W925">
        <f>IF($T925="","",COUNTIFS(LdBGroup,$R925,LdBKey,"&lt;"&amp;$T925)+1)</f>
        <v/>
      </c>
      <c r="X925">
        <f>IF($W925="","",$R925&amp;"|"&amp;RIGHT("000000"&amp;$W925,6))</f>
        <v/>
      </c>
      <c r="Y925">
        <f>IF($P925="","",IF(Shares!$E928="",0,Shares!$E928))</f>
        <v/>
      </c>
      <c r="Z925">
        <f>IF($P925="","",Shares!$H928)</f>
        <v/>
      </c>
      <c r="AE925">
        <f>IF(OR(Sync!$S925="",Sync!$P925=""),"",Sync!$S925)</f>
        <v/>
      </c>
      <c r="AF925">
        <f>IF($AE925="","",IF(ISNUMBER(Sync!$P925),IF(AND(Sync!$P925&gt;=10000101,Sync!$P925&lt;=99991231),INT(Sync!$P925/10000),""),IFERROR(VALUE(TRIM(LEFT(Sync!$P925,FIND("/",Sync!$P925)-1))),"")))</f>
        <v/>
      </c>
      <c r="AG925">
        <f>IF(OR($AE925="",$AF925=""),"",IF(ISNUMBER(Sync!$P925),INT(MOD(Sync!$P925,10000)/100),IFERROR(VALUE(TRIM(LEFT(MID(Sync!$P925,FIND("/",Sync!$P925)+1,20),FIND("/",MID(Sync!$P925,FIND("/",Sync!$P925)+1,20))-1))),"")))</f>
        <v/>
      </c>
      <c r="AH925">
        <f>IF(OR($AE925="",$AF925=""),"",IF(ISNUMBER(Sync!$P925),MOD(Sync!$P925,100),IFERROR(VALUE(TRIM(MID(MID(Sync!$P925,FIND("/",Sync!$P925)+1,20),FIND("/",MID(Sync!$P925,FIND("/",Sync!$P925)+1,20))+1,20))),"")))</f>
        <v/>
      </c>
      <c r="AI925">
        <f>IF($AE925="","",IF(OR($AF925="",$AG925="",$AH925="",$AF925&lt;1300,$AF925&gt;1500,$AG925&lt;1,$AG925&gt;12,$AH925&lt;1,$AH925&gt;31),"نامعتبر",RIGHT("0000"&amp;$AF925,4)&amp;"/"&amp;RIGHT("00"&amp;$AG925,2)&amp;"/"&amp;RIGHT("00"&amp;$AH925,2)))</f>
        <v/>
      </c>
      <c r="AJ925">
        <f>IF($AE925="","",IF(Sync!$Q925="","0000",IF(AND(ISNUMBER(Sync!$Q925),Sync!$Q925&gt;=0,Sync!$Q925&lt;1),RIGHT("00"&amp;HOUR(Sync!$Q925),2)&amp;RIGHT("00"&amp;MINUTE(Sync!$Q925),2),IFERROR(RIGHT("00"&amp;VALUE(LEFT(Sync!$Q925,FIND(":",Sync!$Q925)-1)),2)&amp;RIGHT("00"&amp;VALUE(MID(Sync!$Q925,FIND(":",Sync!$Q925)+1,2)),2),"0000"))))</f>
        <v/>
      </c>
      <c r="AK925">
        <f>IF(OR($AE925="",$AI925="",$AI925="نامعتبر"),"",LEFT($AI925,4)&amp;MID($AI925,6,2)&amp;RIGHT($AI925,2)&amp;$AJ925&amp;"|"&amp;"3"&amp;RIGHT("00000"&amp;920,5))</f>
        <v/>
      </c>
      <c r="AL925">
        <f>IF($AK925="","",COUNTIFS(LdAParty,$AE925,LdAType,1,LdAKey,"&lt;"&amp;$AK925)+COUNTIFS(LdBMember,$AE925,LdBKey,"&lt;"&amp;$AK925)+COUNTIFS(LdCParty,$AE925,LdCKey,"&lt;"&amp;$AK925)+1)</f>
        <v/>
      </c>
      <c r="AM925">
        <f>IF($AL925="","",$AE925&amp;"|"&amp;RIGHT("000000"&amp;$AL925,6))</f>
        <v/>
      </c>
      <c r="AN925">
        <f>IF($AE925="","",IF(Sync!$W925="",0,Sync!$W925))</f>
        <v/>
      </c>
      <c r="AO925">
        <f>IF($AE925="","",IF(Sync!$X925="",0,Sync!$X925))</f>
        <v/>
      </c>
      <c r="AP925">
        <f>IF($AE925="","",Sync!$R925)</f>
        <v/>
      </c>
      <c r="AQ925">
        <f>IF($AE925="","",Sync!$Y925)</f>
        <v/>
      </c>
    </row>
    <row r="926">
      <c r="A926">
        <f>IF(OR(Wages!$B929="",Wages!$E929=""),"",Wages!$E929)</f>
        <v/>
      </c>
      <c r="B926">
        <f>IF($A926="","",IF(Wages!$C929="دستمزد گروهی",2,1))</f>
        <v/>
      </c>
      <c r="C926">
        <f>IF($A926="","",IF(ISNUMBER(Wages!$B929),IF(AND(Wages!$B929&gt;=10000101,Wages!$B929&lt;=99991231),INT(Wages!$B929/10000),""),IFERROR(VALUE(TRIM(LEFT(Wages!$B929,FIND("/",Wages!$B929)-1))),"")))</f>
        <v/>
      </c>
      <c r="D926">
        <f>IF(OR($A926="",$C926=""),"",IF(ISNUMBER(Wages!$B929),INT(MOD(Wages!$B929,10000)/100),IFERROR(VALUE(TRIM(LEFT(MID(Wages!$B929,FIND("/",Wages!$B929)+1,20),FIND("/",MID(Wages!$B929,FIND("/",Wages!$B929)+1,20))-1))),"")))</f>
        <v/>
      </c>
      <c r="E926">
        <f>IF(OR($A926="",$C926=""),"",IF(ISNUMBER(Wages!$B929),MOD(Wages!$B929,100),IFERROR(VALUE(TRIM(MID(MID(Wages!$B929,FIND("/",Wages!$B929)+1,20),FIND("/",MID(Wages!$B929,FIND("/",Wages!$B929)+1,20))+1,20))),"")))</f>
        <v/>
      </c>
      <c r="F926">
        <f>IF($A926="","",IF(OR($C926="",$D926="",$E926="",$C926&lt;1300,$C926&gt;1500,$D926&lt;1,$D926&gt;12,$E926&lt;1,$E926&gt;31),"نامعتبر",RIGHT("0000"&amp;$C926,4)&amp;"/"&amp;RIGHT("00"&amp;$D926,2)&amp;"/"&amp;RIGHT("00"&amp;$E926,2)))</f>
        <v/>
      </c>
      <c r="G926">
        <f>IF(OR($A926="",$F926="",$F926="نامعتبر"),"",LEFT($F926,4)&amp;MID($F926,6,2)&amp;RIGHT($F926,2)&amp;"0000"&amp;"|"&amp;"1"&amp;RIGHT("00000"&amp;921,5))</f>
        <v/>
      </c>
      <c r="H926">
        <f>IF(OR($B926&lt;&gt;1,$G926=""),"",COUNTIFS(LdAParty,$A926,LdAType,1,LdAKey,"&lt;"&amp;$G926)+COUNTIFS(LdBMember,$A926,LdBKey,"&lt;"&amp;$G926)+COUNTIFS(LdCParty,$A926,LdCKey,"&lt;"&amp;$G926)+1)</f>
        <v/>
      </c>
      <c r="I926">
        <f>IF($H926="","",$A926&amp;"|"&amp;RIGHT("000000"&amp;$H926,6))</f>
        <v/>
      </c>
      <c r="J926">
        <f>IF(OR($B926&lt;&gt;2,$G926=""),"",COUNTIFS(LdAParty,$A926,LdAType,2,LdAKey,"&lt;"&amp;$G926)+1)</f>
        <v/>
      </c>
      <c r="K926">
        <f>IF($J926="","",$A926&amp;"|"&amp;RIGHT("000000"&amp;$J926,6))</f>
        <v/>
      </c>
      <c r="L926">
        <f>IF($A926="","",IF(Wages!$G929="",0,Wages!$G929))</f>
        <v/>
      </c>
      <c r="M926">
        <f>IF($A926="","",Wages!$J929)</f>
        <v/>
      </c>
      <c r="N926">
        <f>IF($A926="","",Wages!$D929)</f>
        <v/>
      </c>
      <c r="P926">
        <f>IF(OR(Shares!$B929="",Shares!$C929=""),"",Shares!$C929)</f>
        <v/>
      </c>
      <c r="Q926">
        <f>IF($P926="","",Shares!$B929)</f>
        <v/>
      </c>
      <c r="R926">
        <f>IF($P926="","",IFERROR(INDEX(WageParty,MATCH($Q926,WageIds,0)),""))</f>
        <v/>
      </c>
      <c r="S926">
        <f>IF($P926="","",IFERROR(INDEX($F$6:$F$2005,MATCH($Q926,WageIds,0)),""))</f>
        <v/>
      </c>
      <c r="T926">
        <f>IF(OR($P926="",$S926="",$S926="نامعتبر"),"",LEFT($S926,4)&amp;MID($S926,6,2)&amp;RIGHT($S926,2)&amp;"0000"&amp;"|"&amp;"2"&amp;RIGHT("00000"&amp;921,5))</f>
        <v/>
      </c>
      <c r="U926">
        <f>IF($T926="","",COUNTIFS(LdAParty,$P926,LdAType,1,LdAKey,"&lt;"&amp;$T926)+COUNTIFS(LdBMember,$P926,LdBKey,"&lt;"&amp;$T926)+COUNTIFS(LdCParty,$P926,LdCKey,"&lt;"&amp;$T926)+1)</f>
        <v/>
      </c>
      <c r="V926">
        <f>IF($U926="","",$P926&amp;"|"&amp;RIGHT("000000"&amp;$U926,6))</f>
        <v/>
      </c>
      <c r="W926">
        <f>IF($T926="","",COUNTIFS(LdBGroup,$R926,LdBKey,"&lt;"&amp;$T926)+1)</f>
        <v/>
      </c>
      <c r="X926">
        <f>IF($W926="","",$R926&amp;"|"&amp;RIGHT("000000"&amp;$W926,6))</f>
        <v/>
      </c>
      <c r="Y926">
        <f>IF($P926="","",IF(Shares!$E929="",0,Shares!$E929))</f>
        <v/>
      </c>
      <c r="Z926">
        <f>IF($P926="","",Shares!$H929)</f>
        <v/>
      </c>
      <c r="AE926">
        <f>IF(OR(Sync!$S926="",Sync!$P926=""),"",Sync!$S926)</f>
        <v/>
      </c>
      <c r="AF926">
        <f>IF($AE926="","",IF(ISNUMBER(Sync!$P926),IF(AND(Sync!$P926&gt;=10000101,Sync!$P926&lt;=99991231),INT(Sync!$P926/10000),""),IFERROR(VALUE(TRIM(LEFT(Sync!$P926,FIND("/",Sync!$P926)-1))),"")))</f>
        <v/>
      </c>
      <c r="AG926">
        <f>IF(OR($AE926="",$AF926=""),"",IF(ISNUMBER(Sync!$P926),INT(MOD(Sync!$P926,10000)/100),IFERROR(VALUE(TRIM(LEFT(MID(Sync!$P926,FIND("/",Sync!$P926)+1,20),FIND("/",MID(Sync!$P926,FIND("/",Sync!$P926)+1,20))-1))),"")))</f>
        <v/>
      </c>
      <c r="AH926">
        <f>IF(OR($AE926="",$AF926=""),"",IF(ISNUMBER(Sync!$P926),MOD(Sync!$P926,100),IFERROR(VALUE(TRIM(MID(MID(Sync!$P926,FIND("/",Sync!$P926)+1,20),FIND("/",MID(Sync!$P926,FIND("/",Sync!$P926)+1,20))+1,20))),"")))</f>
        <v/>
      </c>
      <c r="AI926">
        <f>IF($AE926="","",IF(OR($AF926="",$AG926="",$AH926="",$AF926&lt;1300,$AF926&gt;1500,$AG926&lt;1,$AG926&gt;12,$AH926&lt;1,$AH926&gt;31),"نامعتبر",RIGHT("0000"&amp;$AF926,4)&amp;"/"&amp;RIGHT("00"&amp;$AG926,2)&amp;"/"&amp;RIGHT("00"&amp;$AH926,2)))</f>
        <v/>
      </c>
      <c r="AJ926">
        <f>IF($AE926="","",IF(Sync!$Q926="","0000",IF(AND(ISNUMBER(Sync!$Q926),Sync!$Q926&gt;=0,Sync!$Q926&lt;1),RIGHT("00"&amp;HOUR(Sync!$Q926),2)&amp;RIGHT("00"&amp;MINUTE(Sync!$Q926),2),IFERROR(RIGHT("00"&amp;VALUE(LEFT(Sync!$Q926,FIND(":",Sync!$Q926)-1)),2)&amp;RIGHT("00"&amp;VALUE(MID(Sync!$Q926,FIND(":",Sync!$Q926)+1,2)),2),"0000"))))</f>
        <v/>
      </c>
      <c r="AK926">
        <f>IF(OR($AE926="",$AI926="",$AI926="نامعتبر"),"",LEFT($AI926,4)&amp;MID($AI926,6,2)&amp;RIGHT($AI926,2)&amp;$AJ926&amp;"|"&amp;"3"&amp;RIGHT("00000"&amp;921,5))</f>
        <v/>
      </c>
      <c r="AL926">
        <f>IF($AK926="","",COUNTIFS(LdAParty,$AE926,LdAType,1,LdAKey,"&lt;"&amp;$AK926)+COUNTIFS(LdBMember,$AE926,LdBKey,"&lt;"&amp;$AK926)+COUNTIFS(LdCParty,$AE926,LdCKey,"&lt;"&amp;$AK926)+1)</f>
        <v/>
      </c>
      <c r="AM926">
        <f>IF($AL926="","",$AE926&amp;"|"&amp;RIGHT("000000"&amp;$AL926,6))</f>
        <v/>
      </c>
      <c r="AN926">
        <f>IF($AE926="","",IF(Sync!$W926="",0,Sync!$W926))</f>
        <v/>
      </c>
      <c r="AO926">
        <f>IF($AE926="","",IF(Sync!$X926="",0,Sync!$X926))</f>
        <v/>
      </c>
      <c r="AP926">
        <f>IF($AE926="","",Sync!$R926)</f>
        <v/>
      </c>
      <c r="AQ926">
        <f>IF($AE926="","",Sync!$Y926)</f>
        <v/>
      </c>
    </row>
    <row r="927">
      <c r="A927">
        <f>IF(OR(Wages!$B930="",Wages!$E930=""),"",Wages!$E930)</f>
        <v/>
      </c>
      <c r="B927">
        <f>IF($A927="","",IF(Wages!$C930="دستمزد گروهی",2,1))</f>
        <v/>
      </c>
      <c r="C927">
        <f>IF($A927="","",IF(ISNUMBER(Wages!$B930),IF(AND(Wages!$B930&gt;=10000101,Wages!$B930&lt;=99991231),INT(Wages!$B930/10000),""),IFERROR(VALUE(TRIM(LEFT(Wages!$B930,FIND("/",Wages!$B930)-1))),"")))</f>
        <v/>
      </c>
      <c r="D927">
        <f>IF(OR($A927="",$C927=""),"",IF(ISNUMBER(Wages!$B930),INT(MOD(Wages!$B930,10000)/100),IFERROR(VALUE(TRIM(LEFT(MID(Wages!$B930,FIND("/",Wages!$B930)+1,20),FIND("/",MID(Wages!$B930,FIND("/",Wages!$B930)+1,20))-1))),"")))</f>
        <v/>
      </c>
      <c r="E927">
        <f>IF(OR($A927="",$C927=""),"",IF(ISNUMBER(Wages!$B930),MOD(Wages!$B930,100),IFERROR(VALUE(TRIM(MID(MID(Wages!$B930,FIND("/",Wages!$B930)+1,20),FIND("/",MID(Wages!$B930,FIND("/",Wages!$B930)+1,20))+1,20))),"")))</f>
        <v/>
      </c>
      <c r="F927">
        <f>IF($A927="","",IF(OR($C927="",$D927="",$E927="",$C927&lt;1300,$C927&gt;1500,$D927&lt;1,$D927&gt;12,$E927&lt;1,$E927&gt;31),"نامعتبر",RIGHT("0000"&amp;$C927,4)&amp;"/"&amp;RIGHT("00"&amp;$D927,2)&amp;"/"&amp;RIGHT("00"&amp;$E927,2)))</f>
        <v/>
      </c>
      <c r="G927">
        <f>IF(OR($A927="",$F927="",$F927="نامعتبر"),"",LEFT($F927,4)&amp;MID($F927,6,2)&amp;RIGHT($F927,2)&amp;"0000"&amp;"|"&amp;"1"&amp;RIGHT("00000"&amp;922,5))</f>
        <v/>
      </c>
      <c r="H927">
        <f>IF(OR($B927&lt;&gt;1,$G927=""),"",COUNTIFS(LdAParty,$A927,LdAType,1,LdAKey,"&lt;"&amp;$G927)+COUNTIFS(LdBMember,$A927,LdBKey,"&lt;"&amp;$G927)+COUNTIFS(LdCParty,$A927,LdCKey,"&lt;"&amp;$G927)+1)</f>
        <v/>
      </c>
      <c r="I927">
        <f>IF($H927="","",$A927&amp;"|"&amp;RIGHT("000000"&amp;$H927,6))</f>
        <v/>
      </c>
      <c r="J927">
        <f>IF(OR($B927&lt;&gt;2,$G927=""),"",COUNTIFS(LdAParty,$A927,LdAType,2,LdAKey,"&lt;"&amp;$G927)+1)</f>
        <v/>
      </c>
      <c r="K927">
        <f>IF($J927="","",$A927&amp;"|"&amp;RIGHT("000000"&amp;$J927,6))</f>
        <v/>
      </c>
      <c r="L927">
        <f>IF($A927="","",IF(Wages!$G930="",0,Wages!$G930))</f>
        <v/>
      </c>
      <c r="M927">
        <f>IF($A927="","",Wages!$J930)</f>
        <v/>
      </c>
      <c r="N927">
        <f>IF($A927="","",Wages!$D930)</f>
        <v/>
      </c>
      <c r="P927">
        <f>IF(OR(Shares!$B930="",Shares!$C930=""),"",Shares!$C930)</f>
        <v/>
      </c>
      <c r="Q927">
        <f>IF($P927="","",Shares!$B930)</f>
        <v/>
      </c>
      <c r="R927">
        <f>IF($P927="","",IFERROR(INDEX(WageParty,MATCH($Q927,WageIds,0)),""))</f>
        <v/>
      </c>
      <c r="S927">
        <f>IF($P927="","",IFERROR(INDEX($F$6:$F$2005,MATCH($Q927,WageIds,0)),""))</f>
        <v/>
      </c>
      <c r="T927">
        <f>IF(OR($P927="",$S927="",$S927="نامعتبر"),"",LEFT($S927,4)&amp;MID($S927,6,2)&amp;RIGHT($S927,2)&amp;"0000"&amp;"|"&amp;"2"&amp;RIGHT("00000"&amp;922,5))</f>
        <v/>
      </c>
      <c r="U927">
        <f>IF($T927="","",COUNTIFS(LdAParty,$P927,LdAType,1,LdAKey,"&lt;"&amp;$T927)+COUNTIFS(LdBMember,$P927,LdBKey,"&lt;"&amp;$T927)+COUNTIFS(LdCParty,$P927,LdCKey,"&lt;"&amp;$T927)+1)</f>
        <v/>
      </c>
      <c r="V927">
        <f>IF($U927="","",$P927&amp;"|"&amp;RIGHT("000000"&amp;$U927,6))</f>
        <v/>
      </c>
      <c r="W927">
        <f>IF($T927="","",COUNTIFS(LdBGroup,$R927,LdBKey,"&lt;"&amp;$T927)+1)</f>
        <v/>
      </c>
      <c r="X927">
        <f>IF($W927="","",$R927&amp;"|"&amp;RIGHT("000000"&amp;$W927,6))</f>
        <v/>
      </c>
      <c r="Y927">
        <f>IF($P927="","",IF(Shares!$E930="",0,Shares!$E930))</f>
        <v/>
      </c>
      <c r="Z927">
        <f>IF($P927="","",Shares!$H930)</f>
        <v/>
      </c>
      <c r="AE927">
        <f>IF(OR(Sync!$S927="",Sync!$P927=""),"",Sync!$S927)</f>
        <v/>
      </c>
      <c r="AF927">
        <f>IF($AE927="","",IF(ISNUMBER(Sync!$P927),IF(AND(Sync!$P927&gt;=10000101,Sync!$P927&lt;=99991231),INT(Sync!$P927/10000),""),IFERROR(VALUE(TRIM(LEFT(Sync!$P927,FIND("/",Sync!$P927)-1))),"")))</f>
        <v/>
      </c>
      <c r="AG927">
        <f>IF(OR($AE927="",$AF927=""),"",IF(ISNUMBER(Sync!$P927),INT(MOD(Sync!$P927,10000)/100),IFERROR(VALUE(TRIM(LEFT(MID(Sync!$P927,FIND("/",Sync!$P927)+1,20),FIND("/",MID(Sync!$P927,FIND("/",Sync!$P927)+1,20))-1))),"")))</f>
        <v/>
      </c>
      <c r="AH927">
        <f>IF(OR($AE927="",$AF927=""),"",IF(ISNUMBER(Sync!$P927),MOD(Sync!$P927,100),IFERROR(VALUE(TRIM(MID(MID(Sync!$P927,FIND("/",Sync!$P927)+1,20),FIND("/",MID(Sync!$P927,FIND("/",Sync!$P927)+1,20))+1,20))),"")))</f>
        <v/>
      </c>
      <c r="AI927">
        <f>IF($AE927="","",IF(OR($AF927="",$AG927="",$AH927="",$AF927&lt;1300,$AF927&gt;1500,$AG927&lt;1,$AG927&gt;12,$AH927&lt;1,$AH927&gt;31),"نامعتبر",RIGHT("0000"&amp;$AF927,4)&amp;"/"&amp;RIGHT("00"&amp;$AG927,2)&amp;"/"&amp;RIGHT("00"&amp;$AH927,2)))</f>
        <v/>
      </c>
      <c r="AJ927">
        <f>IF($AE927="","",IF(Sync!$Q927="","0000",IF(AND(ISNUMBER(Sync!$Q927),Sync!$Q927&gt;=0,Sync!$Q927&lt;1),RIGHT("00"&amp;HOUR(Sync!$Q927),2)&amp;RIGHT("00"&amp;MINUTE(Sync!$Q927),2),IFERROR(RIGHT("00"&amp;VALUE(LEFT(Sync!$Q927,FIND(":",Sync!$Q927)-1)),2)&amp;RIGHT("00"&amp;VALUE(MID(Sync!$Q927,FIND(":",Sync!$Q927)+1,2)),2),"0000"))))</f>
        <v/>
      </c>
      <c r="AK927">
        <f>IF(OR($AE927="",$AI927="",$AI927="نامعتبر"),"",LEFT($AI927,4)&amp;MID($AI927,6,2)&amp;RIGHT($AI927,2)&amp;$AJ927&amp;"|"&amp;"3"&amp;RIGHT("00000"&amp;922,5))</f>
        <v/>
      </c>
      <c r="AL927">
        <f>IF($AK927="","",COUNTIFS(LdAParty,$AE927,LdAType,1,LdAKey,"&lt;"&amp;$AK927)+COUNTIFS(LdBMember,$AE927,LdBKey,"&lt;"&amp;$AK927)+COUNTIFS(LdCParty,$AE927,LdCKey,"&lt;"&amp;$AK927)+1)</f>
        <v/>
      </c>
      <c r="AM927">
        <f>IF($AL927="","",$AE927&amp;"|"&amp;RIGHT("000000"&amp;$AL927,6))</f>
        <v/>
      </c>
      <c r="AN927">
        <f>IF($AE927="","",IF(Sync!$W927="",0,Sync!$W927))</f>
        <v/>
      </c>
      <c r="AO927">
        <f>IF($AE927="","",IF(Sync!$X927="",0,Sync!$X927))</f>
        <v/>
      </c>
      <c r="AP927">
        <f>IF($AE927="","",Sync!$R927)</f>
        <v/>
      </c>
      <c r="AQ927">
        <f>IF($AE927="","",Sync!$Y927)</f>
        <v/>
      </c>
    </row>
    <row r="928">
      <c r="A928">
        <f>IF(OR(Wages!$B931="",Wages!$E931=""),"",Wages!$E931)</f>
        <v/>
      </c>
      <c r="B928">
        <f>IF($A928="","",IF(Wages!$C931="دستمزد گروهی",2,1))</f>
        <v/>
      </c>
      <c r="C928">
        <f>IF($A928="","",IF(ISNUMBER(Wages!$B931),IF(AND(Wages!$B931&gt;=10000101,Wages!$B931&lt;=99991231),INT(Wages!$B931/10000),""),IFERROR(VALUE(TRIM(LEFT(Wages!$B931,FIND("/",Wages!$B931)-1))),"")))</f>
        <v/>
      </c>
      <c r="D928">
        <f>IF(OR($A928="",$C928=""),"",IF(ISNUMBER(Wages!$B931),INT(MOD(Wages!$B931,10000)/100),IFERROR(VALUE(TRIM(LEFT(MID(Wages!$B931,FIND("/",Wages!$B931)+1,20),FIND("/",MID(Wages!$B931,FIND("/",Wages!$B931)+1,20))-1))),"")))</f>
        <v/>
      </c>
      <c r="E928">
        <f>IF(OR($A928="",$C928=""),"",IF(ISNUMBER(Wages!$B931),MOD(Wages!$B931,100),IFERROR(VALUE(TRIM(MID(MID(Wages!$B931,FIND("/",Wages!$B931)+1,20),FIND("/",MID(Wages!$B931,FIND("/",Wages!$B931)+1,20))+1,20))),"")))</f>
        <v/>
      </c>
      <c r="F928">
        <f>IF($A928="","",IF(OR($C928="",$D928="",$E928="",$C928&lt;1300,$C928&gt;1500,$D928&lt;1,$D928&gt;12,$E928&lt;1,$E928&gt;31),"نامعتبر",RIGHT("0000"&amp;$C928,4)&amp;"/"&amp;RIGHT("00"&amp;$D928,2)&amp;"/"&amp;RIGHT("00"&amp;$E928,2)))</f>
        <v/>
      </c>
      <c r="G928">
        <f>IF(OR($A928="",$F928="",$F928="نامعتبر"),"",LEFT($F928,4)&amp;MID($F928,6,2)&amp;RIGHT($F928,2)&amp;"0000"&amp;"|"&amp;"1"&amp;RIGHT("00000"&amp;923,5))</f>
        <v/>
      </c>
      <c r="H928">
        <f>IF(OR($B928&lt;&gt;1,$G928=""),"",COUNTIFS(LdAParty,$A928,LdAType,1,LdAKey,"&lt;"&amp;$G928)+COUNTIFS(LdBMember,$A928,LdBKey,"&lt;"&amp;$G928)+COUNTIFS(LdCParty,$A928,LdCKey,"&lt;"&amp;$G928)+1)</f>
        <v/>
      </c>
      <c r="I928">
        <f>IF($H928="","",$A928&amp;"|"&amp;RIGHT("000000"&amp;$H928,6))</f>
        <v/>
      </c>
      <c r="J928">
        <f>IF(OR($B928&lt;&gt;2,$G928=""),"",COUNTIFS(LdAParty,$A928,LdAType,2,LdAKey,"&lt;"&amp;$G928)+1)</f>
        <v/>
      </c>
      <c r="K928">
        <f>IF($J928="","",$A928&amp;"|"&amp;RIGHT("000000"&amp;$J928,6))</f>
        <v/>
      </c>
      <c r="L928">
        <f>IF($A928="","",IF(Wages!$G931="",0,Wages!$G931))</f>
        <v/>
      </c>
      <c r="M928">
        <f>IF($A928="","",Wages!$J931)</f>
        <v/>
      </c>
      <c r="N928">
        <f>IF($A928="","",Wages!$D931)</f>
        <v/>
      </c>
      <c r="P928">
        <f>IF(OR(Shares!$B931="",Shares!$C931=""),"",Shares!$C931)</f>
        <v/>
      </c>
      <c r="Q928">
        <f>IF($P928="","",Shares!$B931)</f>
        <v/>
      </c>
      <c r="R928">
        <f>IF($P928="","",IFERROR(INDEX(WageParty,MATCH($Q928,WageIds,0)),""))</f>
        <v/>
      </c>
      <c r="S928">
        <f>IF($P928="","",IFERROR(INDEX($F$6:$F$2005,MATCH($Q928,WageIds,0)),""))</f>
        <v/>
      </c>
      <c r="T928">
        <f>IF(OR($P928="",$S928="",$S928="نامعتبر"),"",LEFT($S928,4)&amp;MID($S928,6,2)&amp;RIGHT($S928,2)&amp;"0000"&amp;"|"&amp;"2"&amp;RIGHT("00000"&amp;923,5))</f>
        <v/>
      </c>
      <c r="U928">
        <f>IF($T928="","",COUNTIFS(LdAParty,$P928,LdAType,1,LdAKey,"&lt;"&amp;$T928)+COUNTIFS(LdBMember,$P928,LdBKey,"&lt;"&amp;$T928)+COUNTIFS(LdCParty,$P928,LdCKey,"&lt;"&amp;$T928)+1)</f>
        <v/>
      </c>
      <c r="V928">
        <f>IF($U928="","",$P928&amp;"|"&amp;RIGHT("000000"&amp;$U928,6))</f>
        <v/>
      </c>
      <c r="W928">
        <f>IF($T928="","",COUNTIFS(LdBGroup,$R928,LdBKey,"&lt;"&amp;$T928)+1)</f>
        <v/>
      </c>
      <c r="X928">
        <f>IF($W928="","",$R928&amp;"|"&amp;RIGHT("000000"&amp;$W928,6))</f>
        <v/>
      </c>
      <c r="Y928">
        <f>IF($P928="","",IF(Shares!$E931="",0,Shares!$E931))</f>
        <v/>
      </c>
      <c r="Z928">
        <f>IF($P928="","",Shares!$H931)</f>
        <v/>
      </c>
      <c r="AE928">
        <f>IF(OR(Sync!$S928="",Sync!$P928=""),"",Sync!$S928)</f>
        <v/>
      </c>
      <c r="AF928">
        <f>IF($AE928="","",IF(ISNUMBER(Sync!$P928),IF(AND(Sync!$P928&gt;=10000101,Sync!$P928&lt;=99991231),INT(Sync!$P928/10000),""),IFERROR(VALUE(TRIM(LEFT(Sync!$P928,FIND("/",Sync!$P928)-1))),"")))</f>
        <v/>
      </c>
      <c r="AG928">
        <f>IF(OR($AE928="",$AF928=""),"",IF(ISNUMBER(Sync!$P928),INT(MOD(Sync!$P928,10000)/100),IFERROR(VALUE(TRIM(LEFT(MID(Sync!$P928,FIND("/",Sync!$P928)+1,20),FIND("/",MID(Sync!$P928,FIND("/",Sync!$P928)+1,20))-1))),"")))</f>
        <v/>
      </c>
      <c r="AH928">
        <f>IF(OR($AE928="",$AF928=""),"",IF(ISNUMBER(Sync!$P928),MOD(Sync!$P928,100),IFERROR(VALUE(TRIM(MID(MID(Sync!$P928,FIND("/",Sync!$P928)+1,20),FIND("/",MID(Sync!$P928,FIND("/",Sync!$P928)+1,20))+1,20))),"")))</f>
        <v/>
      </c>
      <c r="AI928">
        <f>IF($AE928="","",IF(OR($AF928="",$AG928="",$AH928="",$AF928&lt;1300,$AF928&gt;1500,$AG928&lt;1,$AG928&gt;12,$AH928&lt;1,$AH928&gt;31),"نامعتبر",RIGHT("0000"&amp;$AF928,4)&amp;"/"&amp;RIGHT("00"&amp;$AG928,2)&amp;"/"&amp;RIGHT("00"&amp;$AH928,2)))</f>
        <v/>
      </c>
      <c r="AJ928">
        <f>IF($AE928="","",IF(Sync!$Q928="","0000",IF(AND(ISNUMBER(Sync!$Q928),Sync!$Q928&gt;=0,Sync!$Q928&lt;1),RIGHT("00"&amp;HOUR(Sync!$Q928),2)&amp;RIGHT("00"&amp;MINUTE(Sync!$Q928),2),IFERROR(RIGHT("00"&amp;VALUE(LEFT(Sync!$Q928,FIND(":",Sync!$Q928)-1)),2)&amp;RIGHT("00"&amp;VALUE(MID(Sync!$Q928,FIND(":",Sync!$Q928)+1,2)),2),"0000"))))</f>
        <v/>
      </c>
      <c r="AK928">
        <f>IF(OR($AE928="",$AI928="",$AI928="نامعتبر"),"",LEFT($AI928,4)&amp;MID($AI928,6,2)&amp;RIGHT($AI928,2)&amp;$AJ928&amp;"|"&amp;"3"&amp;RIGHT("00000"&amp;923,5))</f>
        <v/>
      </c>
      <c r="AL928">
        <f>IF($AK928="","",COUNTIFS(LdAParty,$AE928,LdAType,1,LdAKey,"&lt;"&amp;$AK928)+COUNTIFS(LdBMember,$AE928,LdBKey,"&lt;"&amp;$AK928)+COUNTIFS(LdCParty,$AE928,LdCKey,"&lt;"&amp;$AK928)+1)</f>
        <v/>
      </c>
      <c r="AM928">
        <f>IF($AL928="","",$AE928&amp;"|"&amp;RIGHT("000000"&amp;$AL928,6))</f>
        <v/>
      </c>
      <c r="AN928">
        <f>IF($AE928="","",IF(Sync!$W928="",0,Sync!$W928))</f>
        <v/>
      </c>
      <c r="AO928">
        <f>IF($AE928="","",IF(Sync!$X928="",0,Sync!$X928))</f>
        <v/>
      </c>
      <c r="AP928">
        <f>IF($AE928="","",Sync!$R928)</f>
        <v/>
      </c>
      <c r="AQ928">
        <f>IF($AE928="","",Sync!$Y928)</f>
        <v/>
      </c>
    </row>
    <row r="929">
      <c r="A929">
        <f>IF(OR(Wages!$B932="",Wages!$E932=""),"",Wages!$E932)</f>
        <v/>
      </c>
      <c r="B929">
        <f>IF($A929="","",IF(Wages!$C932="دستمزد گروهی",2,1))</f>
        <v/>
      </c>
      <c r="C929">
        <f>IF($A929="","",IF(ISNUMBER(Wages!$B932),IF(AND(Wages!$B932&gt;=10000101,Wages!$B932&lt;=99991231),INT(Wages!$B932/10000),""),IFERROR(VALUE(TRIM(LEFT(Wages!$B932,FIND("/",Wages!$B932)-1))),"")))</f>
        <v/>
      </c>
      <c r="D929">
        <f>IF(OR($A929="",$C929=""),"",IF(ISNUMBER(Wages!$B932),INT(MOD(Wages!$B932,10000)/100),IFERROR(VALUE(TRIM(LEFT(MID(Wages!$B932,FIND("/",Wages!$B932)+1,20),FIND("/",MID(Wages!$B932,FIND("/",Wages!$B932)+1,20))-1))),"")))</f>
        <v/>
      </c>
      <c r="E929">
        <f>IF(OR($A929="",$C929=""),"",IF(ISNUMBER(Wages!$B932),MOD(Wages!$B932,100),IFERROR(VALUE(TRIM(MID(MID(Wages!$B932,FIND("/",Wages!$B932)+1,20),FIND("/",MID(Wages!$B932,FIND("/",Wages!$B932)+1,20))+1,20))),"")))</f>
        <v/>
      </c>
      <c r="F929">
        <f>IF($A929="","",IF(OR($C929="",$D929="",$E929="",$C929&lt;1300,$C929&gt;1500,$D929&lt;1,$D929&gt;12,$E929&lt;1,$E929&gt;31),"نامعتبر",RIGHT("0000"&amp;$C929,4)&amp;"/"&amp;RIGHT("00"&amp;$D929,2)&amp;"/"&amp;RIGHT("00"&amp;$E929,2)))</f>
        <v/>
      </c>
      <c r="G929">
        <f>IF(OR($A929="",$F929="",$F929="نامعتبر"),"",LEFT($F929,4)&amp;MID($F929,6,2)&amp;RIGHT($F929,2)&amp;"0000"&amp;"|"&amp;"1"&amp;RIGHT("00000"&amp;924,5))</f>
        <v/>
      </c>
      <c r="H929">
        <f>IF(OR($B929&lt;&gt;1,$G929=""),"",COUNTIFS(LdAParty,$A929,LdAType,1,LdAKey,"&lt;"&amp;$G929)+COUNTIFS(LdBMember,$A929,LdBKey,"&lt;"&amp;$G929)+COUNTIFS(LdCParty,$A929,LdCKey,"&lt;"&amp;$G929)+1)</f>
        <v/>
      </c>
      <c r="I929">
        <f>IF($H929="","",$A929&amp;"|"&amp;RIGHT("000000"&amp;$H929,6))</f>
        <v/>
      </c>
      <c r="J929">
        <f>IF(OR($B929&lt;&gt;2,$G929=""),"",COUNTIFS(LdAParty,$A929,LdAType,2,LdAKey,"&lt;"&amp;$G929)+1)</f>
        <v/>
      </c>
      <c r="K929">
        <f>IF($J929="","",$A929&amp;"|"&amp;RIGHT("000000"&amp;$J929,6))</f>
        <v/>
      </c>
      <c r="L929">
        <f>IF($A929="","",IF(Wages!$G932="",0,Wages!$G932))</f>
        <v/>
      </c>
      <c r="M929">
        <f>IF($A929="","",Wages!$J932)</f>
        <v/>
      </c>
      <c r="N929">
        <f>IF($A929="","",Wages!$D932)</f>
        <v/>
      </c>
      <c r="P929">
        <f>IF(OR(Shares!$B932="",Shares!$C932=""),"",Shares!$C932)</f>
        <v/>
      </c>
      <c r="Q929">
        <f>IF($P929="","",Shares!$B932)</f>
        <v/>
      </c>
      <c r="R929">
        <f>IF($P929="","",IFERROR(INDEX(WageParty,MATCH($Q929,WageIds,0)),""))</f>
        <v/>
      </c>
      <c r="S929">
        <f>IF($P929="","",IFERROR(INDEX($F$6:$F$2005,MATCH($Q929,WageIds,0)),""))</f>
        <v/>
      </c>
      <c r="T929">
        <f>IF(OR($P929="",$S929="",$S929="نامعتبر"),"",LEFT($S929,4)&amp;MID($S929,6,2)&amp;RIGHT($S929,2)&amp;"0000"&amp;"|"&amp;"2"&amp;RIGHT("00000"&amp;924,5))</f>
        <v/>
      </c>
      <c r="U929">
        <f>IF($T929="","",COUNTIFS(LdAParty,$P929,LdAType,1,LdAKey,"&lt;"&amp;$T929)+COUNTIFS(LdBMember,$P929,LdBKey,"&lt;"&amp;$T929)+COUNTIFS(LdCParty,$P929,LdCKey,"&lt;"&amp;$T929)+1)</f>
        <v/>
      </c>
      <c r="V929">
        <f>IF($U929="","",$P929&amp;"|"&amp;RIGHT("000000"&amp;$U929,6))</f>
        <v/>
      </c>
      <c r="W929">
        <f>IF($T929="","",COUNTIFS(LdBGroup,$R929,LdBKey,"&lt;"&amp;$T929)+1)</f>
        <v/>
      </c>
      <c r="X929">
        <f>IF($W929="","",$R929&amp;"|"&amp;RIGHT("000000"&amp;$W929,6))</f>
        <v/>
      </c>
      <c r="Y929">
        <f>IF($P929="","",IF(Shares!$E932="",0,Shares!$E932))</f>
        <v/>
      </c>
      <c r="Z929">
        <f>IF($P929="","",Shares!$H932)</f>
        <v/>
      </c>
      <c r="AE929">
        <f>IF(OR(Sync!$S929="",Sync!$P929=""),"",Sync!$S929)</f>
        <v/>
      </c>
      <c r="AF929">
        <f>IF($AE929="","",IF(ISNUMBER(Sync!$P929),IF(AND(Sync!$P929&gt;=10000101,Sync!$P929&lt;=99991231),INT(Sync!$P929/10000),""),IFERROR(VALUE(TRIM(LEFT(Sync!$P929,FIND("/",Sync!$P929)-1))),"")))</f>
        <v/>
      </c>
      <c r="AG929">
        <f>IF(OR($AE929="",$AF929=""),"",IF(ISNUMBER(Sync!$P929),INT(MOD(Sync!$P929,10000)/100),IFERROR(VALUE(TRIM(LEFT(MID(Sync!$P929,FIND("/",Sync!$P929)+1,20),FIND("/",MID(Sync!$P929,FIND("/",Sync!$P929)+1,20))-1))),"")))</f>
        <v/>
      </c>
      <c r="AH929">
        <f>IF(OR($AE929="",$AF929=""),"",IF(ISNUMBER(Sync!$P929),MOD(Sync!$P929,100),IFERROR(VALUE(TRIM(MID(MID(Sync!$P929,FIND("/",Sync!$P929)+1,20),FIND("/",MID(Sync!$P929,FIND("/",Sync!$P929)+1,20))+1,20))),"")))</f>
        <v/>
      </c>
      <c r="AI929">
        <f>IF($AE929="","",IF(OR($AF929="",$AG929="",$AH929="",$AF929&lt;1300,$AF929&gt;1500,$AG929&lt;1,$AG929&gt;12,$AH929&lt;1,$AH929&gt;31),"نامعتبر",RIGHT("0000"&amp;$AF929,4)&amp;"/"&amp;RIGHT("00"&amp;$AG929,2)&amp;"/"&amp;RIGHT("00"&amp;$AH929,2)))</f>
        <v/>
      </c>
      <c r="AJ929">
        <f>IF($AE929="","",IF(Sync!$Q929="","0000",IF(AND(ISNUMBER(Sync!$Q929),Sync!$Q929&gt;=0,Sync!$Q929&lt;1),RIGHT("00"&amp;HOUR(Sync!$Q929),2)&amp;RIGHT("00"&amp;MINUTE(Sync!$Q929),2),IFERROR(RIGHT("00"&amp;VALUE(LEFT(Sync!$Q929,FIND(":",Sync!$Q929)-1)),2)&amp;RIGHT("00"&amp;VALUE(MID(Sync!$Q929,FIND(":",Sync!$Q929)+1,2)),2),"0000"))))</f>
        <v/>
      </c>
      <c r="AK929">
        <f>IF(OR($AE929="",$AI929="",$AI929="نامعتبر"),"",LEFT($AI929,4)&amp;MID($AI929,6,2)&amp;RIGHT($AI929,2)&amp;$AJ929&amp;"|"&amp;"3"&amp;RIGHT("00000"&amp;924,5))</f>
        <v/>
      </c>
      <c r="AL929">
        <f>IF($AK929="","",COUNTIFS(LdAParty,$AE929,LdAType,1,LdAKey,"&lt;"&amp;$AK929)+COUNTIFS(LdBMember,$AE929,LdBKey,"&lt;"&amp;$AK929)+COUNTIFS(LdCParty,$AE929,LdCKey,"&lt;"&amp;$AK929)+1)</f>
        <v/>
      </c>
      <c r="AM929">
        <f>IF($AL929="","",$AE929&amp;"|"&amp;RIGHT("000000"&amp;$AL929,6))</f>
        <v/>
      </c>
      <c r="AN929">
        <f>IF($AE929="","",IF(Sync!$W929="",0,Sync!$W929))</f>
        <v/>
      </c>
      <c r="AO929">
        <f>IF($AE929="","",IF(Sync!$X929="",0,Sync!$X929))</f>
        <v/>
      </c>
      <c r="AP929">
        <f>IF($AE929="","",Sync!$R929)</f>
        <v/>
      </c>
      <c r="AQ929">
        <f>IF($AE929="","",Sync!$Y929)</f>
        <v/>
      </c>
    </row>
    <row r="930">
      <c r="A930">
        <f>IF(OR(Wages!$B933="",Wages!$E933=""),"",Wages!$E933)</f>
        <v/>
      </c>
      <c r="B930">
        <f>IF($A930="","",IF(Wages!$C933="دستمزد گروهی",2,1))</f>
        <v/>
      </c>
      <c r="C930">
        <f>IF($A930="","",IF(ISNUMBER(Wages!$B933),IF(AND(Wages!$B933&gt;=10000101,Wages!$B933&lt;=99991231),INT(Wages!$B933/10000),""),IFERROR(VALUE(TRIM(LEFT(Wages!$B933,FIND("/",Wages!$B933)-1))),"")))</f>
        <v/>
      </c>
      <c r="D930">
        <f>IF(OR($A930="",$C930=""),"",IF(ISNUMBER(Wages!$B933),INT(MOD(Wages!$B933,10000)/100),IFERROR(VALUE(TRIM(LEFT(MID(Wages!$B933,FIND("/",Wages!$B933)+1,20),FIND("/",MID(Wages!$B933,FIND("/",Wages!$B933)+1,20))-1))),"")))</f>
        <v/>
      </c>
      <c r="E930">
        <f>IF(OR($A930="",$C930=""),"",IF(ISNUMBER(Wages!$B933),MOD(Wages!$B933,100),IFERROR(VALUE(TRIM(MID(MID(Wages!$B933,FIND("/",Wages!$B933)+1,20),FIND("/",MID(Wages!$B933,FIND("/",Wages!$B933)+1,20))+1,20))),"")))</f>
        <v/>
      </c>
      <c r="F930">
        <f>IF($A930="","",IF(OR($C930="",$D930="",$E930="",$C930&lt;1300,$C930&gt;1500,$D930&lt;1,$D930&gt;12,$E930&lt;1,$E930&gt;31),"نامعتبر",RIGHT("0000"&amp;$C930,4)&amp;"/"&amp;RIGHT("00"&amp;$D930,2)&amp;"/"&amp;RIGHT("00"&amp;$E930,2)))</f>
        <v/>
      </c>
      <c r="G930">
        <f>IF(OR($A930="",$F930="",$F930="نامعتبر"),"",LEFT($F930,4)&amp;MID($F930,6,2)&amp;RIGHT($F930,2)&amp;"0000"&amp;"|"&amp;"1"&amp;RIGHT("00000"&amp;925,5))</f>
        <v/>
      </c>
      <c r="H930">
        <f>IF(OR($B930&lt;&gt;1,$G930=""),"",COUNTIFS(LdAParty,$A930,LdAType,1,LdAKey,"&lt;"&amp;$G930)+COUNTIFS(LdBMember,$A930,LdBKey,"&lt;"&amp;$G930)+COUNTIFS(LdCParty,$A930,LdCKey,"&lt;"&amp;$G930)+1)</f>
        <v/>
      </c>
      <c r="I930">
        <f>IF($H930="","",$A930&amp;"|"&amp;RIGHT("000000"&amp;$H930,6))</f>
        <v/>
      </c>
      <c r="J930">
        <f>IF(OR($B930&lt;&gt;2,$G930=""),"",COUNTIFS(LdAParty,$A930,LdAType,2,LdAKey,"&lt;"&amp;$G930)+1)</f>
        <v/>
      </c>
      <c r="K930">
        <f>IF($J930="","",$A930&amp;"|"&amp;RIGHT("000000"&amp;$J930,6))</f>
        <v/>
      </c>
      <c r="L930">
        <f>IF($A930="","",IF(Wages!$G933="",0,Wages!$G933))</f>
        <v/>
      </c>
      <c r="M930">
        <f>IF($A930="","",Wages!$J933)</f>
        <v/>
      </c>
      <c r="N930">
        <f>IF($A930="","",Wages!$D933)</f>
        <v/>
      </c>
      <c r="P930">
        <f>IF(OR(Shares!$B933="",Shares!$C933=""),"",Shares!$C933)</f>
        <v/>
      </c>
      <c r="Q930">
        <f>IF($P930="","",Shares!$B933)</f>
        <v/>
      </c>
      <c r="R930">
        <f>IF($P930="","",IFERROR(INDEX(WageParty,MATCH($Q930,WageIds,0)),""))</f>
        <v/>
      </c>
      <c r="S930">
        <f>IF($P930="","",IFERROR(INDEX($F$6:$F$2005,MATCH($Q930,WageIds,0)),""))</f>
        <v/>
      </c>
      <c r="T930">
        <f>IF(OR($P930="",$S930="",$S930="نامعتبر"),"",LEFT($S930,4)&amp;MID($S930,6,2)&amp;RIGHT($S930,2)&amp;"0000"&amp;"|"&amp;"2"&amp;RIGHT("00000"&amp;925,5))</f>
        <v/>
      </c>
      <c r="U930">
        <f>IF($T930="","",COUNTIFS(LdAParty,$P930,LdAType,1,LdAKey,"&lt;"&amp;$T930)+COUNTIFS(LdBMember,$P930,LdBKey,"&lt;"&amp;$T930)+COUNTIFS(LdCParty,$P930,LdCKey,"&lt;"&amp;$T930)+1)</f>
        <v/>
      </c>
      <c r="V930">
        <f>IF($U930="","",$P930&amp;"|"&amp;RIGHT("000000"&amp;$U930,6))</f>
        <v/>
      </c>
      <c r="W930">
        <f>IF($T930="","",COUNTIFS(LdBGroup,$R930,LdBKey,"&lt;"&amp;$T930)+1)</f>
        <v/>
      </c>
      <c r="X930">
        <f>IF($W930="","",$R930&amp;"|"&amp;RIGHT("000000"&amp;$W930,6))</f>
        <v/>
      </c>
      <c r="Y930">
        <f>IF($P930="","",IF(Shares!$E933="",0,Shares!$E933))</f>
        <v/>
      </c>
      <c r="Z930">
        <f>IF($P930="","",Shares!$H933)</f>
        <v/>
      </c>
      <c r="AE930">
        <f>IF(OR(Sync!$S930="",Sync!$P930=""),"",Sync!$S930)</f>
        <v/>
      </c>
      <c r="AF930">
        <f>IF($AE930="","",IF(ISNUMBER(Sync!$P930),IF(AND(Sync!$P930&gt;=10000101,Sync!$P930&lt;=99991231),INT(Sync!$P930/10000),""),IFERROR(VALUE(TRIM(LEFT(Sync!$P930,FIND("/",Sync!$P930)-1))),"")))</f>
        <v/>
      </c>
      <c r="AG930">
        <f>IF(OR($AE930="",$AF930=""),"",IF(ISNUMBER(Sync!$P930),INT(MOD(Sync!$P930,10000)/100),IFERROR(VALUE(TRIM(LEFT(MID(Sync!$P930,FIND("/",Sync!$P930)+1,20),FIND("/",MID(Sync!$P930,FIND("/",Sync!$P930)+1,20))-1))),"")))</f>
        <v/>
      </c>
      <c r="AH930">
        <f>IF(OR($AE930="",$AF930=""),"",IF(ISNUMBER(Sync!$P930),MOD(Sync!$P930,100),IFERROR(VALUE(TRIM(MID(MID(Sync!$P930,FIND("/",Sync!$P930)+1,20),FIND("/",MID(Sync!$P930,FIND("/",Sync!$P930)+1,20))+1,20))),"")))</f>
        <v/>
      </c>
      <c r="AI930">
        <f>IF($AE930="","",IF(OR($AF930="",$AG930="",$AH930="",$AF930&lt;1300,$AF930&gt;1500,$AG930&lt;1,$AG930&gt;12,$AH930&lt;1,$AH930&gt;31),"نامعتبر",RIGHT("0000"&amp;$AF930,4)&amp;"/"&amp;RIGHT("00"&amp;$AG930,2)&amp;"/"&amp;RIGHT("00"&amp;$AH930,2)))</f>
        <v/>
      </c>
      <c r="AJ930">
        <f>IF($AE930="","",IF(Sync!$Q930="","0000",IF(AND(ISNUMBER(Sync!$Q930),Sync!$Q930&gt;=0,Sync!$Q930&lt;1),RIGHT("00"&amp;HOUR(Sync!$Q930),2)&amp;RIGHT("00"&amp;MINUTE(Sync!$Q930),2),IFERROR(RIGHT("00"&amp;VALUE(LEFT(Sync!$Q930,FIND(":",Sync!$Q930)-1)),2)&amp;RIGHT("00"&amp;VALUE(MID(Sync!$Q930,FIND(":",Sync!$Q930)+1,2)),2),"0000"))))</f>
        <v/>
      </c>
      <c r="AK930">
        <f>IF(OR($AE930="",$AI930="",$AI930="نامعتبر"),"",LEFT($AI930,4)&amp;MID($AI930,6,2)&amp;RIGHT($AI930,2)&amp;$AJ930&amp;"|"&amp;"3"&amp;RIGHT("00000"&amp;925,5))</f>
        <v/>
      </c>
      <c r="AL930">
        <f>IF($AK930="","",COUNTIFS(LdAParty,$AE930,LdAType,1,LdAKey,"&lt;"&amp;$AK930)+COUNTIFS(LdBMember,$AE930,LdBKey,"&lt;"&amp;$AK930)+COUNTIFS(LdCParty,$AE930,LdCKey,"&lt;"&amp;$AK930)+1)</f>
        <v/>
      </c>
      <c r="AM930">
        <f>IF($AL930="","",$AE930&amp;"|"&amp;RIGHT("000000"&amp;$AL930,6))</f>
        <v/>
      </c>
      <c r="AN930">
        <f>IF($AE930="","",IF(Sync!$W930="",0,Sync!$W930))</f>
        <v/>
      </c>
      <c r="AO930">
        <f>IF($AE930="","",IF(Sync!$X930="",0,Sync!$X930))</f>
        <v/>
      </c>
      <c r="AP930">
        <f>IF($AE930="","",Sync!$R930)</f>
        <v/>
      </c>
      <c r="AQ930">
        <f>IF($AE930="","",Sync!$Y930)</f>
        <v/>
      </c>
    </row>
    <row r="931">
      <c r="A931">
        <f>IF(OR(Wages!$B934="",Wages!$E934=""),"",Wages!$E934)</f>
        <v/>
      </c>
      <c r="B931">
        <f>IF($A931="","",IF(Wages!$C934="دستمزد گروهی",2,1))</f>
        <v/>
      </c>
      <c r="C931">
        <f>IF($A931="","",IF(ISNUMBER(Wages!$B934),IF(AND(Wages!$B934&gt;=10000101,Wages!$B934&lt;=99991231),INT(Wages!$B934/10000),""),IFERROR(VALUE(TRIM(LEFT(Wages!$B934,FIND("/",Wages!$B934)-1))),"")))</f>
        <v/>
      </c>
      <c r="D931">
        <f>IF(OR($A931="",$C931=""),"",IF(ISNUMBER(Wages!$B934),INT(MOD(Wages!$B934,10000)/100),IFERROR(VALUE(TRIM(LEFT(MID(Wages!$B934,FIND("/",Wages!$B934)+1,20),FIND("/",MID(Wages!$B934,FIND("/",Wages!$B934)+1,20))-1))),"")))</f>
        <v/>
      </c>
      <c r="E931">
        <f>IF(OR($A931="",$C931=""),"",IF(ISNUMBER(Wages!$B934),MOD(Wages!$B934,100),IFERROR(VALUE(TRIM(MID(MID(Wages!$B934,FIND("/",Wages!$B934)+1,20),FIND("/",MID(Wages!$B934,FIND("/",Wages!$B934)+1,20))+1,20))),"")))</f>
        <v/>
      </c>
      <c r="F931">
        <f>IF($A931="","",IF(OR($C931="",$D931="",$E931="",$C931&lt;1300,$C931&gt;1500,$D931&lt;1,$D931&gt;12,$E931&lt;1,$E931&gt;31),"نامعتبر",RIGHT("0000"&amp;$C931,4)&amp;"/"&amp;RIGHT("00"&amp;$D931,2)&amp;"/"&amp;RIGHT("00"&amp;$E931,2)))</f>
        <v/>
      </c>
      <c r="G931">
        <f>IF(OR($A931="",$F931="",$F931="نامعتبر"),"",LEFT($F931,4)&amp;MID($F931,6,2)&amp;RIGHT($F931,2)&amp;"0000"&amp;"|"&amp;"1"&amp;RIGHT("00000"&amp;926,5))</f>
        <v/>
      </c>
      <c r="H931">
        <f>IF(OR($B931&lt;&gt;1,$G931=""),"",COUNTIFS(LdAParty,$A931,LdAType,1,LdAKey,"&lt;"&amp;$G931)+COUNTIFS(LdBMember,$A931,LdBKey,"&lt;"&amp;$G931)+COUNTIFS(LdCParty,$A931,LdCKey,"&lt;"&amp;$G931)+1)</f>
        <v/>
      </c>
      <c r="I931">
        <f>IF($H931="","",$A931&amp;"|"&amp;RIGHT("000000"&amp;$H931,6))</f>
        <v/>
      </c>
      <c r="J931">
        <f>IF(OR($B931&lt;&gt;2,$G931=""),"",COUNTIFS(LdAParty,$A931,LdAType,2,LdAKey,"&lt;"&amp;$G931)+1)</f>
        <v/>
      </c>
      <c r="K931">
        <f>IF($J931="","",$A931&amp;"|"&amp;RIGHT("000000"&amp;$J931,6))</f>
        <v/>
      </c>
      <c r="L931">
        <f>IF($A931="","",IF(Wages!$G934="",0,Wages!$G934))</f>
        <v/>
      </c>
      <c r="M931">
        <f>IF($A931="","",Wages!$J934)</f>
        <v/>
      </c>
      <c r="N931">
        <f>IF($A931="","",Wages!$D934)</f>
        <v/>
      </c>
      <c r="P931">
        <f>IF(OR(Shares!$B934="",Shares!$C934=""),"",Shares!$C934)</f>
        <v/>
      </c>
      <c r="Q931">
        <f>IF($P931="","",Shares!$B934)</f>
        <v/>
      </c>
      <c r="R931">
        <f>IF($P931="","",IFERROR(INDEX(WageParty,MATCH($Q931,WageIds,0)),""))</f>
        <v/>
      </c>
      <c r="S931">
        <f>IF($P931="","",IFERROR(INDEX($F$6:$F$2005,MATCH($Q931,WageIds,0)),""))</f>
        <v/>
      </c>
      <c r="T931">
        <f>IF(OR($P931="",$S931="",$S931="نامعتبر"),"",LEFT($S931,4)&amp;MID($S931,6,2)&amp;RIGHT($S931,2)&amp;"0000"&amp;"|"&amp;"2"&amp;RIGHT("00000"&amp;926,5))</f>
        <v/>
      </c>
      <c r="U931">
        <f>IF($T931="","",COUNTIFS(LdAParty,$P931,LdAType,1,LdAKey,"&lt;"&amp;$T931)+COUNTIFS(LdBMember,$P931,LdBKey,"&lt;"&amp;$T931)+COUNTIFS(LdCParty,$P931,LdCKey,"&lt;"&amp;$T931)+1)</f>
        <v/>
      </c>
      <c r="V931">
        <f>IF($U931="","",$P931&amp;"|"&amp;RIGHT("000000"&amp;$U931,6))</f>
        <v/>
      </c>
      <c r="W931">
        <f>IF($T931="","",COUNTIFS(LdBGroup,$R931,LdBKey,"&lt;"&amp;$T931)+1)</f>
        <v/>
      </c>
      <c r="X931">
        <f>IF($W931="","",$R931&amp;"|"&amp;RIGHT("000000"&amp;$W931,6))</f>
        <v/>
      </c>
      <c r="Y931">
        <f>IF($P931="","",IF(Shares!$E934="",0,Shares!$E934))</f>
        <v/>
      </c>
      <c r="Z931">
        <f>IF($P931="","",Shares!$H934)</f>
        <v/>
      </c>
      <c r="AE931">
        <f>IF(OR(Sync!$S931="",Sync!$P931=""),"",Sync!$S931)</f>
        <v/>
      </c>
      <c r="AF931">
        <f>IF($AE931="","",IF(ISNUMBER(Sync!$P931),IF(AND(Sync!$P931&gt;=10000101,Sync!$P931&lt;=99991231),INT(Sync!$P931/10000),""),IFERROR(VALUE(TRIM(LEFT(Sync!$P931,FIND("/",Sync!$P931)-1))),"")))</f>
        <v/>
      </c>
      <c r="AG931">
        <f>IF(OR($AE931="",$AF931=""),"",IF(ISNUMBER(Sync!$P931),INT(MOD(Sync!$P931,10000)/100),IFERROR(VALUE(TRIM(LEFT(MID(Sync!$P931,FIND("/",Sync!$P931)+1,20),FIND("/",MID(Sync!$P931,FIND("/",Sync!$P931)+1,20))-1))),"")))</f>
        <v/>
      </c>
      <c r="AH931">
        <f>IF(OR($AE931="",$AF931=""),"",IF(ISNUMBER(Sync!$P931),MOD(Sync!$P931,100),IFERROR(VALUE(TRIM(MID(MID(Sync!$P931,FIND("/",Sync!$P931)+1,20),FIND("/",MID(Sync!$P931,FIND("/",Sync!$P931)+1,20))+1,20))),"")))</f>
        <v/>
      </c>
      <c r="AI931">
        <f>IF($AE931="","",IF(OR($AF931="",$AG931="",$AH931="",$AF931&lt;1300,$AF931&gt;1500,$AG931&lt;1,$AG931&gt;12,$AH931&lt;1,$AH931&gt;31),"نامعتبر",RIGHT("0000"&amp;$AF931,4)&amp;"/"&amp;RIGHT("00"&amp;$AG931,2)&amp;"/"&amp;RIGHT("00"&amp;$AH931,2)))</f>
        <v/>
      </c>
      <c r="AJ931">
        <f>IF($AE931="","",IF(Sync!$Q931="","0000",IF(AND(ISNUMBER(Sync!$Q931),Sync!$Q931&gt;=0,Sync!$Q931&lt;1),RIGHT("00"&amp;HOUR(Sync!$Q931),2)&amp;RIGHT("00"&amp;MINUTE(Sync!$Q931),2),IFERROR(RIGHT("00"&amp;VALUE(LEFT(Sync!$Q931,FIND(":",Sync!$Q931)-1)),2)&amp;RIGHT("00"&amp;VALUE(MID(Sync!$Q931,FIND(":",Sync!$Q931)+1,2)),2),"0000"))))</f>
        <v/>
      </c>
      <c r="AK931">
        <f>IF(OR($AE931="",$AI931="",$AI931="نامعتبر"),"",LEFT($AI931,4)&amp;MID($AI931,6,2)&amp;RIGHT($AI931,2)&amp;$AJ931&amp;"|"&amp;"3"&amp;RIGHT("00000"&amp;926,5))</f>
        <v/>
      </c>
      <c r="AL931">
        <f>IF($AK931="","",COUNTIFS(LdAParty,$AE931,LdAType,1,LdAKey,"&lt;"&amp;$AK931)+COUNTIFS(LdBMember,$AE931,LdBKey,"&lt;"&amp;$AK931)+COUNTIFS(LdCParty,$AE931,LdCKey,"&lt;"&amp;$AK931)+1)</f>
        <v/>
      </c>
      <c r="AM931">
        <f>IF($AL931="","",$AE931&amp;"|"&amp;RIGHT("000000"&amp;$AL931,6))</f>
        <v/>
      </c>
      <c r="AN931">
        <f>IF($AE931="","",IF(Sync!$W931="",0,Sync!$W931))</f>
        <v/>
      </c>
      <c r="AO931">
        <f>IF($AE931="","",IF(Sync!$X931="",0,Sync!$X931))</f>
        <v/>
      </c>
      <c r="AP931">
        <f>IF($AE931="","",Sync!$R931)</f>
        <v/>
      </c>
      <c r="AQ931">
        <f>IF($AE931="","",Sync!$Y931)</f>
        <v/>
      </c>
    </row>
    <row r="932">
      <c r="A932">
        <f>IF(OR(Wages!$B935="",Wages!$E935=""),"",Wages!$E935)</f>
        <v/>
      </c>
      <c r="B932">
        <f>IF($A932="","",IF(Wages!$C935="دستمزد گروهی",2,1))</f>
        <v/>
      </c>
      <c r="C932">
        <f>IF($A932="","",IF(ISNUMBER(Wages!$B935),IF(AND(Wages!$B935&gt;=10000101,Wages!$B935&lt;=99991231),INT(Wages!$B935/10000),""),IFERROR(VALUE(TRIM(LEFT(Wages!$B935,FIND("/",Wages!$B935)-1))),"")))</f>
        <v/>
      </c>
      <c r="D932">
        <f>IF(OR($A932="",$C932=""),"",IF(ISNUMBER(Wages!$B935),INT(MOD(Wages!$B935,10000)/100),IFERROR(VALUE(TRIM(LEFT(MID(Wages!$B935,FIND("/",Wages!$B935)+1,20),FIND("/",MID(Wages!$B935,FIND("/",Wages!$B935)+1,20))-1))),"")))</f>
        <v/>
      </c>
      <c r="E932">
        <f>IF(OR($A932="",$C932=""),"",IF(ISNUMBER(Wages!$B935),MOD(Wages!$B935,100),IFERROR(VALUE(TRIM(MID(MID(Wages!$B935,FIND("/",Wages!$B935)+1,20),FIND("/",MID(Wages!$B935,FIND("/",Wages!$B935)+1,20))+1,20))),"")))</f>
        <v/>
      </c>
      <c r="F932">
        <f>IF($A932="","",IF(OR($C932="",$D932="",$E932="",$C932&lt;1300,$C932&gt;1500,$D932&lt;1,$D932&gt;12,$E932&lt;1,$E932&gt;31),"نامعتبر",RIGHT("0000"&amp;$C932,4)&amp;"/"&amp;RIGHT("00"&amp;$D932,2)&amp;"/"&amp;RIGHT("00"&amp;$E932,2)))</f>
        <v/>
      </c>
      <c r="G932">
        <f>IF(OR($A932="",$F932="",$F932="نامعتبر"),"",LEFT($F932,4)&amp;MID($F932,6,2)&amp;RIGHT($F932,2)&amp;"0000"&amp;"|"&amp;"1"&amp;RIGHT("00000"&amp;927,5))</f>
        <v/>
      </c>
      <c r="H932">
        <f>IF(OR($B932&lt;&gt;1,$G932=""),"",COUNTIFS(LdAParty,$A932,LdAType,1,LdAKey,"&lt;"&amp;$G932)+COUNTIFS(LdBMember,$A932,LdBKey,"&lt;"&amp;$G932)+COUNTIFS(LdCParty,$A932,LdCKey,"&lt;"&amp;$G932)+1)</f>
        <v/>
      </c>
      <c r="I932">
        <f>IF($H932="","",$A932&amp;"|"&amp;RIGHT("000000"&amp;$H932,6))</f>
        <v/>
      </c>
      <c r="J932">
        <f>IF(OR($B932&lt;&gt;2,$G932=""),"",COUNTIFS(LdAParty,$A932,LdAType,2,LdAKey,"&lt;"&amp;$G932)+1)</f>
        <v/>
      </c>
      <c r="K932">
        <f>IF($J932="","",$A932&amp;"|"&amp;RIGHT("000000"&amp;$J932,6))</f>
        <v/>
      </c>
      <c r="L932">
        <f>IF($A932="","",IF(Wages!$G935="",0,Wages!$G935))</f>
        <v/>
      </c>
      <c r="M932">
        <f>IF($A932="","",Wages!$J935)</f>
        <v/>
      </c>
      <c r="N932">
        <f>IF($A932="","",Wages!$D935)</f>
        <v/>
      </c>
      <c r="P932">
        <f>IF(OR(Shares!$B935="",Shares!$C935=""),"",Shares!$C935)</f>
        <v/>
      </c>
      <c r="Q932">
        <f>IF($P932="","",Shares!$B935)</f>
        <v/>
      </c>
      <c r="R932">
        <f>IF($P932="","",IFERROR(INDEX(WageParty,MATCH($Q932,WageIds,0)),""))</f>
        <v/>
      </c>
      <c r="S932">
        <f>IF($P932="","",IFERROR(INDEX($F$6:$F$2005,MATCH($Q932,WageIds,0)),""))</f>
        <v/>
      </c>
      <c r="T932">
        <f>IF(OR($P932="",$S932="",$S932="نامعتبر"),"",LEFT($S932,4)&amp;MID($S932,6,2)&amp;RIGHT($S932,2)&amp;"0000"&amp;"|"&amp;"2"&amp;RIGHT("00000"&amp;927,5))</f>
        <v/>
      </c>
      <c r="U932">
        <f>IF($T932="","",COUNTIFS(LdAParty,$P932,LdAType,1,LdAKey,"&lt;"&amp;$T932)+COUNTIFS(LdBMember,$P932,LdBKey,"&lt;"&amp;$T932)+COUNTIFS(LdCParty,$P932,LdCKey,"&lt;"&amp;$T932)+1)</f>
        <v/>
      </c>
      <c r="V932">
        <f>IF($U932="","",$P932&amp;"|"&amp;RIGHT("000000"&amp;$U932,6))</f>
        <v/>
      </c>
      <c r="W932">
        <f>IF($T932="","",COUNTIFS(LdBGroup,$R932,LdBKey,"&lt;"&amp;$T932)+1)</f>
        <v/>
      </c>
      <c r="X932">
        <f>IF($W932="","",$R932&amp;"|"&amp;RIGHT("000000"&amp;$W932,6))</f>
        <v/>
      </c>
      <c r="Y932">
        <f>IF($P932="","",IF(Shares!$E935="",0,Shares!$E935))</f>
        <v/>
      </c>
      <c r="Z932">
        <f>IF($P932="","",Shares!$H935)</f>
        <v/>
      </c>
      <c r="AE932">
        <f>IF(OR(Sync!$S932="",Sync!$P932=""),"",Sync!$S932)</f>
        <v/>
      </c>
      <c r="AF932">
        <f>IF($AE932="","",IF(ISNUMBER(Sync!$P932),IF(AND(Sync!$P932&gt;=10000101,Sync!$P932&lt;=99991231),INT(Sync!$P932/10000),""),IFERROR(VALUE(TRIM(LEFT(Sync!$P932,FIND("/",Sync!$P932)-1))),"")))</f>
        <v/>
      </c>
      <c r="AG932">
        <f>IF(OR($AE932="",$AF932=""),"",IF(ISNUMBER(Sync!$P932),INT(MOD(Sync!$P932,10000)/100),IFERROR(VALUE(TRIM(LEFT(MID(Sync!$P932,FIND("/",Sync!$P932)+1,20),FIND("/",MID(Sync!$P932,FIND("/",Sync!$P932)+1,20))-1))),"")))</f>
        <v/>
      </c>
      <c r="AH932">
        <f>IF(OR($AE932="",$AF932=""),"",IF(ISNUMBER(Sync!$P932),MOD(Sync!$P932,100),IFERROR(VALUE(TRIM(MID(MID(Sync!$P932,FIND("/",Sync!$P932)+1,20),FIND("/",MID(Sync!$P932,FIND("/",Sync!$P932)+1,20))+1,20))),"")))</f>
        <v/>
      </c>
      <c r="AI932">
        <f>IF($AE932="","",IF(OR($AF932="",$AG932="",$AH932="",$AF932&lt;1300,$AF932&gt;1500,$AG932&lt;1,$AG932&gt;12,$AH932&lt;1,$AH932&gt;31),"نامعتبر",RIGHT("0000"&amp;$AF932,4)&amp;"/"&amp;RIGHT("00"&amp;$AG932,2)&amp;"/"&amp;RIGHT("00"&amp;$AH932,2)))</f>
        <v/>
      </c>
      <c r="AJ932">
        <f>IF($AE932="","",IF(Sync!$Q932="","0000",IF(AND(ISNUMBER(Sync!$Q932),Sync!$Q932&gt;=0,Sync!$Q932&lt;1),RIGHT("00"&amp;HOUR(Sync!$Q932),2)&amp;RIGHT("00"&amp;MINUTE(Sync!$Q932),2),IFERROR(RIGHT("00"&amp;VALUE(LEFT(Sync!$Q932,FIND(":",Sync!$Q932)-1)),2)&amp;RIGHT("00"&amp;VALUE(MID(Sync!$Q932,FIND(":",Sync!$Q932)+1,2)),2),"0000"))))</f>
        <v/>
      </c>
      <c r="AK932">
        <f>IF(OR($AE932="",$AI932="",$AI932="نامعتبر"),"",LEFT($AI932,4)&amp;MID($AI932,6,2)&amp;RIGHT($AI932,2)&amp;$AJ932&amp;"|"&amp;"3"&amp;RIGHT("00000"&amp;927,5))</f>
        <v/>
      </c>
      <c r="AL932">
        <f>IF($AK932="","",COUNTIFS(LdAParty,$AE932,LdAType,1,LdAKey,"&lt;"&amp;$AK932)+COUNTIFS(LdBMember,$AE932,LdBKey,"&lt;"&amp;$AK932)+COUNTIFS(LdCParty,$AE932,LdCKey,"&lt;"&amp;$AK932)+1)</f>
        <v/>
      </c>
      <c r="AM932">
        <f>IF($AL932="","",$AE932&amp;"|"&amp;RIGHT("000000"&amp;$AL932,6))</f>
        <v/>
      </c>
      <c r="AN932">
        <f>IF($AE932="","",IF(Sync!$W932="",0,Sync!$W932))</f>
        <v/>
      </c>
      <c r="AO932">
        <f>IF($AE932="","",IF(Sync!$X932="",0,Sync!$X932))</f>
        <v/>
      </c>
      <c r="AP932">
        <f>IF($AE932="","",Sync!$R932)</f>
        <v/>
      </c>
      <c r="AQ932">
        <f>IF($AE932="","",Sync!$Y932)</f>
        <v/>
      </c>
    </row>
    <row r="933">
      <c r="A933">
        <f>IF(OR(Wages!$B936="",Wages!$E936=""),"",Wages!$E936)</f>
        <v/>
      </c>
      <c r="B933">
        <f>IF($A933="","",IF(Wages!$C936="دستمزد گروهی",2,1))</f>
        <v/>
      </c>
      <c r="C933">
        <f>IF($A933="","",IF(ISNUMBER(Wages!$B936),IF(AND(Wages!$B936&gt;=10000101,Wages!$B936&lt;=99991231),INT(Wages!$B936/10000),""),IFERROR(VALUE(TRIM(LEFT(Wages!$B936,FIND("/",Wages!$B936)-1))),"")))</f>
        <v/>
      </c>
      <c r="D933">
        <f>IF(OR($A933="",$C933=""),"",IF(ISNUMBER(Wages!$B936),INT(MOD(Wages!$B936,10000)/100),IFERROR(VALUE(TRIM(LEFT(MID(Wages!$B936,FIND("/",Wages!$B936)+1,20),FIND("/",MID(Wages!$B936,FIND("/",Wages!$B936)+1,20))-1))),"")))</f>
        <v/>
      </c>
      <c r="E933">
        <f>IF(OR($A933="",$C933=""),"",IF(ISNUMBER(Wages!$B936),MOD(Wages!$B936,100),IFERROR(VALUE(TRIM(MID(MID(Wages!$B936,FIND("/",Wages!$B936)+1,20),FIND("/",MID(Wages!$B936,FIND("/",Wages!$B936)+1,20))+1,20))),"")))</f>
        <v/>
      </c>
      <c r="F933">
        <f>IF($A933="","",IF(OR($C933="",$D933="",$E933="",$C933&lt;1300,$C933&gt;1500,$D933&lt;1,$D933&gt;12,$E933&lt;1,$E933&gt;31),"نامعتبر",RIGHT("0000"&amp;$C933,4)&amp;"/"&amp;RIGHT("00"&amp;$D933,2)&amp;"/"&amp;RIGHT("00"&amp;$E933,2)))</f>
        <v/>
      </c>
      <c r="G933">
        <f>IF(OR($A933="",$F933="",$F933="نامعتبر"),"",LEFT($F933,4)&amp;MID($F933,6,2)&amp;RIGHT($F933,2)&amp;"0000"&amp;"|"&amp;"1"&amp;RIGHT("00000"&amp;928,5))</f>
        <v/>
      </c>
      <c r="H933">
        <f>IF(OR($B933&lt;&gt;1,$G933=""),"",COUNTIFS(LdAParty,$A933,LdAType,1,LdAKey,"&lt;"&amp;$G933)+COUNTIFS(LdBMember,$A933,LdBKey,"&lt;"&amp;$G933)+COUNTIFS(LdCParty,$A933,LdCKey,"&lt;"&amp;$G933)+1)</f>
        <v/>
      </c>
      <c r="I933">
        <f>IF($H933="","",$A933&amp;"|"&amp;RIGHT("000000"&amp;$H933,6))</f>
        <v/>
      </c>
      <c r="J933">
        <f>IF(OR($B933&lt;&gt;2,$G933=""),"",COUNTIFS(LdAParty,$A933,LdAType,2,LdAKey,"&lt;"&amp;$G933)+1)</f>
        <v/>
      </c>
      <c r="K933">
        <f>IF($J933="","",$A933&amp;"|"&amp;RIGHT("000000"&amp;$J933,6))</f>
        <v/>
      </c>
      <c r="L933">
        <f>IF($A933="","",IF(Wages!$G936="",0,Wages!$G936))</f>
        <v/>
      </c>
      <c r="M933">
        <f>IF($A933="","",Wages!$J936)</f>
        <v/>
      </c>
      <c r="N933">
        <f>IF($A933="","",Wages!$D936)</f>
        <v/>
      </c>
      <c r="P933">
        <f>IF(OR(Shares!$B936="",Shares!$C936=""),"",Shares!$C936)</f>
        <v/>
      </c>
      <c r="Q933">
        <f>IF($P933="","",Shares!$B936)</f>
        <v/>
      </c>
      <c r="R933">
        <f>IF($P933="","",IFERROR(INDEX(WageParty,MATCH($Q933,WageIds,0)),""))</f>
        <v/>
      </c>
      <c r="S933">
        <f>IF($P933="","",IFERROR(INDEX($F$6:$F$2005,MATCH($Q933,WageIds,0)),""))</f>
        <v/>
      </c>
      <c r="T933">
        <f>IF(OR($P933="",$S933="",$S933="نامعتبر"),"",LEFT($S933,4)&amp;MID($S933,6,2)&amp;RIGHT($S933,2)&amp;"0000"&amp;"|"&amp;"2"&amp;RIGHT("00000"&amp;928,5))</f>
        <v/>
      </c>
      <c r="U933">
        <f>IF($T933="","",COUNTIFS(LdAParty,$P933,LdAType,1,LdAKey,"&lt;"&amp;$T933)+COUNTIFS(LdBMember,$P933,LdBKey,"&lt;"&amp;$T933)+COUNTIFS(LdCParty,$P933,LdCKey,"&lt;"&amp;$T933)+1)</f>
        <v/>
      </c>
      <c r="V933">
        <f>IF($U933="","",$P933&amp;"|"&amp;RIGHT("000000"&amp;$U933,6))</f>
        <v/>
      </c>
      <c r="W933">
        <f>IF($T933="","",COUNTIFS(LdBGroup,$R933,LdBKey,"&lt;"&amp;$T933)+1)</f>
        <v/>
      </c>
      <c r="X933">
        <f>IF($W933="","",$R933&amp;"|"&amp;RIGHT("000000"&amp;$W933,6))</f>
        <v/>
      </c>
      <c r="Y933">
        <f>IF($P933="","",IF(Shares!$E936="",0,Shares!$E936))</f>
        <v/>
      </c>
      <c r="Z933">
        <f>IF($P933="","",Shares!$H936)</f>
        <v/>
      </c>
      <c r="AE933">
        <f>IF(OR(Sync!$S933="",Sync!$P933=""),"",Sync!$S933)</f>
        <v/>
      </c>
      <c r="AF933">
        <f>IF($AE933="","",IF(ISNUMBER(Sync!$P933),IF(AND(Sync!$P933&gt;=10000101,Sync!$P933&lt;=99991231),INT(Sync!$P933/10000),""),IFERROR(VALUE(TRIM(LEFT(Sync!$P933,FIND("/",Sync!$P933)-1))),"")))</f>
        <v/>
      </c>
      <c r="AG933">
        <f>IF(OR($AE933="",$AF933=""),"",IF(ISNUMBER(Sync!$P933),INT(MOD(Sync!$P933,10000)/100),IFERROR(VALUE(TRIM(LEFT(MID(Sync!$P933,FIND("/",Sync!$P933)+1,20),FIND("/",MID(Sync!$P933,FIND("/",Sync!$P933)+1,20))-1))),"")))</f>
        <v/>
      </c>
      <c r="AH933">
        <f>IF(OR($AE933="",$AF933=""),"",IF(ISNUMBER(Sync!$P933),MOD(Sync!$P933,100),IFERROR(VALUE(TRIM(MID(MID(Sync!$P933,FIND("/",Sync!$P933)+1,20),FIND("/",MID(Sync!$P933,FIND("/",Sync!$P933)+1,20))+1,20))),"")))</f>
        <v/>
      </c>
      <c r="AI933">
        <f>IF($AE933="","",IF(OR($AF933="",$AG933="",$AH933="",$AF933&lt;1300,$AF933&gt;1500,$AG933&lt;1,$AG933&gt;12,$AH933&lt;1,$AH933&gt;31),"نامعتبر",RIGHT("0000"&amp;$AF933,4)&amp;"/"&amp;RIGHT("00"&amp;$AG933,2)&amp;"/"&amp;RIGHT("00"&amp;$AH933,2)))</f>
        <v/>
      </c>
      <c r="AJ933">
        <f>IF($AE933="","",IF(Sync!$Q933="","0000",IF(AND(ISNUMBER(Sync!$Q933),Sync!$Q933&gt;=0,Sync!$Q933&lt;1),RIGHT("00"&amp;HOUR(Sync!$Q933),2)&amp;RIGHT("00"&amp;MINUTE(Sync!$Q933),2),IFERROR(RIGHT("00"&amp;VALUE(LEFT(Sync!$Q933,FIND(":",Sync!$Q933)-1)),2)&amp;RIGHT("00"&amp;VALUE(MID(Sync!$Q933,FIND(":",Sync!$Q933)+1,2)),2),"0000"))))</f>
        <v/>
      </c>
      <c r="AK933">
        <f>IF(OR($AE933="",$AI933="",$AI933="نامعتبر"),"",LEFT($AI933,4)&amp;MID($AI933,6,2)&amp;RIGHT($AI933,2)&amp;$AJ933&amp;"|"&amp;"3"&amp;RIGHT("00000"&amp;928,5))</f>
        <v/>
      </c>
      <c r="AL933">
        <f>IF($AK933="","",COUNTIFS(LdAParty,$AE933,LdAType,1,LdAKey,"&lt;"&amp;$AK933)+COUNTIFS(LdBMember,$AE933,LdBKey,"&lt;"&amp;$AK933)+COUNTIFS(LdCParty,$AE933,LdCKey,"&lt;"&amp;$AK933)+1)</f>
        <v/>
      </c>
      <c r="AM933">
        <f>IF($AL933="","",$AE933&amp;"|"&amp;RIGHT("000000"&amp;$AL933,6))</f>
        <v/>
      </c>
      <c r="AN933">
        <f>IF($AE933="","",IF(Sync!$W933="",0,Sync!$W933))</f>
        <v/>
      </c>
      <c r="AO933">
        <f>IF($AE933="","",IF(Sync!$X933="",0,Sync!$X933))</f>
        <v/>
      </c>
      <c r="AP933">
        <f>IF($AE933="","",Sync!$R933)</f>
        <v/>
      </c>
      <c r="AQ933">
        <f>IF($AE933="","",Sync!$Y933)</f>
        <v/>
      </c>
    </row>
    <row r="934">
      <c r="A934">
        <f>IF(OR(Wages!$B937="",Wages!$E937=""),"",Wages!$E937)</f>
        <v/>
      </c>
      <c r="B934">
        <f>IF($A934="","",IF(Wages!$C937="دستمزد گروهی",2,1))</f>
        <v/>
      </c>
      <c r="C934">
        <f>IF($A934="","",IF(ISNUMBER(Wages!$B937),IF(AND(Wages!$B937&gt;=10000101,Wages!$B937&lt;=99991231),INT(Wages!$B937/10000),""),IFERROR(VALUE(TRIM(LEFT(Wages!$B937,FIND("/",Wages!$B937)-1))),"")))</f>
        <v/>
      </c>
      <c r="D934">
        <f>IF(OR($A934="",$C934=""),"",IF(ISNUMBER(Wages!$B937),INT(MOD(Wages!$B937,10000)/100),IFERROR(VALUE(TRIM(LEFT(MID(Wages!$B937,FIND("/",Wages!$B937)+1,20),FIND("/",MID(Wages!$B937,FIND("/",Wages!$B937)+1,20))-1))),"")))</f>
        <v/>
      </c>
      <c r="E934">
        <f>IF(OR($A934="",$C934=""),"",IF(ISNUMBER(Wages!$B937),MOD(Wages!$B937,100),IFERROR(VALUE(TRIM(MID(MID(Wages!$B937,FIND("/",Wages!$B937)+1,20),FIND("/",MID(Wages!$B937,FIND("/",Wages!$B937)+1,20))+1,20))),"")))</f>
        <v/>
      </c>
      <c r="F934">
        <f>IF($A934="","",IF(OR($C934="",$D934="",$E934="",$C934&lt;1300,$C934&gt;1500,$D934&lt;1,$D934&gt;12,$E934&lt;1,$E934&gt;31),"نامعتبر",RIGHT("0000"&amp;$C934,4)&amp;"/"&amp;RIGHT("00"&amp;$D934,2)&amp;"/"&amp;RIGHT("00"&amp;$E934,2)))</f>
        <v/>
      </c>
      <c r="G934">
        <f>IF(OR($A934="",$F934="",$F934="نامعتبر"),"",LEFT($F934,4)&amp;MID($F934,6,2)&amp;RIGHT($F934,2)&amp;"0000"&amp;"|"&amp;"1"&amp;RIGHT("00000"&amp;929,5))</f>
        <v/>
      </c>
      <c r="H934">
        <f>IF(OR($B934&lt;&gt;1,$G934=""),"",COUNTIFS(LdAParty,$A934,LdAType,1,LdAKey,"&lt;"&amp;$G934)+COUNTIFS(LdBMember,$A934,LdBKey,"&lt;"&amp;$G934)+COUNTIFS(LdCParty,$A934,LdCKey,"&lt;"&amp;$G934)+1)</f>
        <v/>
      </c>
      <c r="I934">
        <f>IF($H934="","",$A934&amp;"|"&amp;RIGHT("000000"&amp;$H934,6))</f>
        <v/>
      </c>
      <c r="J934">
        <f>IF(OR($B934&lt;&gt;2,$G934=""),"",COUNTIFS(LdAParty,$A934,LdAType,2,LdAKey,"&lt;"&amp;$G934)+1)</f>
        <v/>
      </c>
      <c r="K934">
        <f>IF($J934="","",$A934&amp;"|"&amp;RIGHT("000000"&amp;$J934,6))</f>
        <v/>
      </c>
      <c r="L934">
        <f>IF($A934="","",IF(Wages!$G937="",0,Wages!$G937))</f>
        <v/>
      </c>
      <c r="M934">
        <f>IF($A934="","",Wages!$J937)</f>
        <v/>
      </c>
      <c r="N934">
        <f>IF($A934="","",Wages!$D937)</f>
        <v/>
      </c>
      <c r="P934">
        <f>IF(OR(Shares!$B937="",Shares!$C937=""),"",Shares!$C937)</f>
        <v/>
      </c>
      <c r="Q934">
        <f>IF($P934="","",Shares!$B937)</f>
        <v/>
      </c>
      <c r="R934">
        <f>IF($P934="","",IFERROR(INDEX(WageParty,MATCH($Q934,WageIds,0)),""))</f>
        <v/>
      </c>
      <c r="S934">
        <f>IF($P934="","",IFERROR(INDEX($F$6:$F$2005,MATCH($Q934,WageIds,0)),""))</f>
        <v/>
      </c>
      <c r="T934">
        <f>IF(OR($P934="",$S934="",$S934="نامعتبر"),"",LEFT($S934,4)&amp;MID($S934,6,2)&amp;RIGHT($S934,2)&amp;"0000"&amp;"|"&amp;"2"&amp;RIGHT("00000"&amp;929,5))</f>
        <v/>
      </c>
      <c r="U934">
        <f>IF($T934="","",COUNTIFS(LdAParty,$P934,LdAType,1,LdAKey,"&lt;"&amp;$T934)+COUNTIFS(LdBMember,$P934,LdBKey,"&lt;"&amp;$T934)+COUNTIFS(LdCParty,$P934,LdCKey,"&lt;"&amp;$T934)+1)</f>
        <v/>
      </c>
      <c r="V934">
        <f>IF($U934="","",$P934&amp;"|"&amp;RIGHT("000000"&amp;$U934,6))</f>
        <v/>
      </c>
      <c r="W934">
        <f>IF($T934="","",COUNTIFS(LdBGroup,$R934,LdBKey,"&lt;"&amp;$T934)+1)</f>
        <v/>
      </c>
      <c r="X934">
        <f>IF($W934="","",$R934&amp;"|"&amp;RIGHT("000000"&amp;$W934,6))</f>
        <v/>
      </c>
      <c r="Y934">
        <f>IF($P934="","",IF(Shares!$E937="",0,Shares!$E937))</f>
        <v/>
      </c>
      <c r="Z934">
        <f>IF($P934="","",Shares!$H937)</f>
        <v/>
      </c>
      <c r="AE934">
        <f>IF(OR(Sync!$S934="",Sync!$P934=""),"",Sync!$S934)</f>
        <v/>
      </c>
      <c r="AF934">
        <f>IF($AE934="","",IF(ISNUMBER(Sync!$P934),IF(AND(Sync!$P934&gt;=10000101,Sync!$P934&lt;=99991231),INT(Sync!$P934/10000),""),IFERROR(VALUE(TRIM(LEFT(Sync!$P934,FIND("/",Sync!$P934)-1))),"")))</f>
        <v/>
      </c>
      <c r="AG934">
        <f>IF(OR($AE934="",$AF934=""),"",IF(ISNUMBER(Sync!$P934),INT(MOD(Sync!$P934,10000)/100),IFERROR(VALUE(TRIM(LEFT(MID(Sync!$P934,FIND("/",Sync!$P934)+1,20),FIND("/",MID(Sync!$P934,FIND("/",Sync!$P934)+1,20))-1))),"")))</f>
        <v/>
      </c>
      <c r="AH934">
        <f>IF(OR($AE934="",$AF934=""),"",IF(ISNUMBER(Sync!$P934),MOD(Sync!$P934,100),IFERROR(VALUE(TRIM(MID(MID(Sync!$P934,FIND("/",Sync!$P934)+1,20),FIND("/",MID(Sync!$P934,FIND("/",Sync!$P934)+1,20))+1,20))),"")))</f>
        <v/>
      </c>
      <c r="AI934">
        <f>IF($AE934="","",IF(OR($AF934="",$AG934="",$AH934="",$AF934&lt;1300,$AF934&gt;1500,$AG934&lt;1,$AG934&gt;12,$AH934&lt;1,$AH934&gt;31),"نامعتبر",RIGHT("0000"&amp;$AF934,4)&amp;"/"&amp;RIGHT("00"&amp;$AG934,2)&amp;"/"&amp;RIGHT("00"&amp;$AH934,2)))</f>
        <v/>
      </c>
      <c r="AJ934">
        <f>IF($AE934="","",IF(Sync!$Q934="","0000",IF(AND(ISNUMBER(Sync!$Q934),Sync!$Q934&gt;=0,Sync!$Q934&lt;1),RIGHT("00"&amp;HOUR(Sync!$Q934),2)&amp;RIGHT("00"&amp;MINUTE(Sync!$Q934),2),IFERROR(RIGHT("00"&amp;VALUE(LEFT(Sync!$Q934,FIND(":",Sync!$Q934)-1)),2)&amp;RIGHT("00"&amp;VALUE(MID(Sync!$Q934,FIND(":",Sync!$Q934)+1,2)),2),"0000"))))</f>
        <v/>
      </c>
      <c r="AK934">
        <f>IF(OR($AE934="",$AI934="",$AI934="نامعتبر"),"",LEFT($AI934,4)&amp;MID($AI934,6,2)&amp;RIGHT($AI934,2)&amp;$AJ934&amp;"|"&amp;"3"&amp;RIGHT("00000"&amp;929,5))</f>
        <v/>
      </c>
      <c r="AL934">
        <f>IF($AK934="","",COUNTIFS(LdAParty,$AE934,LdAType,1,LdAKey,"&lt;"&amp;$AK934)+COUNTIFS(LdBMember,$AE934,LdBKey,"&lt;"&amp;$AK934)+COUNTIFS(LdCParty,$AE934,LdCKey,"&lt;"&amp;$AK934)+1)</f>
        <v/>
      </c>
      <c r="AM934">
        <f>IF($AL934="","",$AE934&amp;"|"&amp;RIGHT("000000"&amp;$AL934,6))</f>
        <v/>
      </c>
      <c r="AN934">
        <f>IF($AE934="","",IF(Sync!$W934="",0,Sync!$W934))</f>
        <v/>
      </c>
      <c r="AO934">
        <f>IF($AE934="","",IF(Sync!$X934="",0,Sync!$X934))</f>
        <v/>
      </c>
      <c r="AP934">
        <f>IF($AE934="","",Sync!$R934)</f>
        <v/>
      </c>
      <c r="AQ934">
        <f>IF($AE934="","",Sync!$Y934)</f>
        <v/>
      </c>
    </row>
    <row r="935">
      <c r="A935">
        <f>IF(OR(Wages!$B938="",Wages!$E938=""),"",Wages!$E938)</f>
        <v/>
      </c>
      <c r="B935">
        <f>IF($A935="","",IF(Wages!$C938="دستمزد گروهی",2,1))</f>
        <v/>
      </c>
      <c r="C935">
        <f>IF($A935="","",IF(ISNUMBER(Wages!$B938),IF(AND(Wages!$B938&gt;=10000101,Wages!$B938&lt;=99991231),INT(Wages!$B938/10000),""),IFERROR(VALUE(TRIM(LEFT(Wages!$B938,FIND("/",Wages!$B938)-1))),"")))</f>
        <v/>
      </c>
      <c r="D935">
        <f>IF(OR($A935="",$C935=""),"",IF(ISNUMBER(Wages!$B938),INT(MOD(Wages!$B938,10000)/100),IFERROR(VALUE(TRIM(LEFT(MID(Wages!$B938,FIND("/",Wages!$B938)+1,20),FIND("/",MID(Wages!$B938,FIND("/",Wages!$B938)+1,20))-1))),"")))</f>
        <v/>
      </c>
      <c r="E935">
        <f>IF(OR($A935="",$C935=""),"",IF(ISNUMBER(Wages!$B938),MOD(Wages!$B938,100),IFERROR(VALUE(TRIM(MID(MID(Wages!$B938,FIND("/",Wages!$B938)+1,20),FIND("/",MID(Wages!$B938,FIND("/",Wages!$B938)+1,20))+1,20))),"")))</f>
        <v/>
      </c>
      <c r="F935">
        <f>IF($A935="","",IF(OR($C935="",$D935="",$E935="",$C935&lt;1300,$C935&gt;1500,$D935&lt;1,$D935&gt;12,$E935&lt;1,$E935&gt;31),"نامعتبر",RIGHT("0000"&amp;$C935,4)&amp;"/"&amp;RIGHT("00"&amp;$D935,2)&amp;"/"&amp;RIGHT("00"&amp;$E935,2)))</f>
        <v/>
      </c>
      <c r="G935">
        <f>IF(OR($A935="",$F935="",$F935="نامعتبر"),"",LEFT($F935,4)&amp;MID($F935,6,2)&amp;RIGHT($F935,2)&amp;"0000"&amp;"|"&amp;"1"&amp;RIGHT("00000"&amp;930,5))</f>
        <v/>
      </c>
      <c r="H935">
        <f>IF(OR($B935&lt;&gt;1,$G935=""),"",COUNTIFS(LdAParty,$A935,LdAType,1,LdAKey,"&lt;"&amp;$G935)+COUNTIFS(LdBMember,$A935,LdBKey,"&lt;"&amp;$G935)+COUNTIFS(LdCParty,$A935,LdCKey,"&lt;"&amp;$G935)+1)</f>
        <v/>
      </c>
      <c r="I935">
        <f>IF($H935="","",$A935&amp;"|"&amp;RIGHT("000000"&amp;$H935,6))</f>
        <v/>
      </c>
      <c r="J935">
        <f>IF(OR($B935&lt;&gt;2,$G935=""),"",COUNTIFS(LdAParty,$A935,LdAType,2,LdAKey,"&lt;"&amp;$G935)+1)</f>
        <v/>
      </c>
      <c r="K935">
        <f>IF($J935="","",$A935&amp;"|"&amp;RIGHT("000000"&amp;$J935,6))</f>
        <v/>
      </c>
      <c r="L935">
        <f>IF($A935="","",IF(Wages!$G938="",0,Wages!$G938))</f>
        <v/>
      </c>
      <c r="M935">
        <f>IF($A935="","",Wages!$J938)</f>
        <v/>
      </c>
      <c r="N935">
        <f>IF($A935="","",Wages!$D938)</f>
        <v/>
      </c>
      <c r="P935">
        <f>IF(OR(Shares!$B938="",Shares!$C938=""),"",Shares!$C938)</f>
        <v/>
      </c>
      <c r="Q935">
        <f>IF($P935="","",Shares!$B938)</f>
        <v/>
      </c>
      <c r="R935">
        <f>IF($P935="","",IFERROR(INDEX(WageParty,MATCH($Q935,WageIds,0)),""))</f>
        <v/>
      </c>
      <c r="S935">
        <f>IF($P935="","",IFERROR(INDEX($F$6:$F$2005,MATCH($Q935,WageIds,0)),""))</f>
        <v/>
      </c>
      <c r="T935">
        <f>IF(OR($P935="",$S935="",$S935="نامعتبر"),"",LEFT($S935,4)&amp;MID($S935,6,2)&amp;RIGHT($S935,2)&amp;"0000"&amp;"|"&amp;"2"&amp;RIGHT("00000"&amp;930,5))</f>
        <v/>
      </c>
      <c r="U935">
        <f>IF($T935="","",COUNTIFS(LdAParty,$P935,LdAType,1,LdAKey,"&lt;"&amp;$T935)+COUNTIFS(LdBMember,$P935,LdBKey,"&lt;"&amp;$T935)+COUNTIFS(LdCParty,$P935,LdCKey,"&lt;"&amp;$T935)+1)</f>
        <v/>
      </c>
      <c r="V935">
        <f>IF($U935="","",$P935&amp;"|"&amp;RIGHT("000000"&amp;$U935,6))</f>
        <v/>
      </c>
      <c r="W935">
        <f>IF($T935="","",COUNTIFS(LdBGroup,$R935,LdBKey,"&lt;"&amp;$T935)+1)</f>
        <v/>
      </c>
      <c r="X935">
        <f>IF($W935="","",$R935&amp;"|"&amp;RIGHT("000000"&amp;$W935,6))</f>
        <v/>
      </c>
      <c r="Y935">
        <f>IF($P935="","",IF(Shares!$E938="",0,Shares!$E938))</f>
        <v/>
      </c>
      <c r="Z935">
        <f>IF($P935="","",Shares!$H938)</f>
        <v/>
      </c>
      <c r="AE935">
        <f>IF(OR(Sync!$S935="",Sync!$P935=""),"",Sync!$S935)</f>
        <v/>
      </c>
      <c r="AF935">
        <f>IF($AE935="","",IF(ISNUMBER(Sync!$P935),IF(AND(Sync!$P935&gt;=10000101,Sync!$P935&lt;=99991231),INT(Sync!$P935/10000),""),IFERROR(VALUE(TRIM(LEFT(Sync!$P935,FIND("/",Sync!$P935)-1))),"")))</f>
        <v/>
      </c>
      <c r="AG935">
        <f>IF(OR($AE935="",$AF935=""),"",IF(ISNUMBER(Sync!$P935),INT(MOD(Sync!$P935,10000)/100),IFERROR(VALUE(TRIM(LEFT(MID(Sync!$P935,FIND("/",Sync!$P935)+1,20),FIND("/",MID(Sync!$P935,FIND("/",Sync!$P935)+1,20))-1))),"")))</f>
        <v/>
      </c>
      <c r="AH935">
        <f>IF(OR($AE935="",$AF935=""),"",IF(ISNUMBER(Sync!$P935),MOD(Sync!$P935,100),IFERROR(VALUE(TRIM(MID(MID(Sync!$P935,FIND("/",Sync!$P935)+1,20),FIND("/",MID(Sync!$P935,FIND("/",Sync!$P935)+1,20))+1,20))),"")))</f>
        <v/>
      </c>
      <c r="AI935">
        <f>IF($AE935="","",IF(OR($AF935="",$AG935="",$AH935="",$AF935&lt;1300,$AF935&gt;1500,$AG935&lt;1,$AG935&gt;12,$AH935&lt;1,$AH935&gt;31),"نامعتبر",RIGHT("0000"&amp;$AF935,4)&amp;"/"&amp;RIGHT("00"&amp;$AG935,2)&amp;"/"&amp;RIGHT("00"&amp;$AH935,2)))</f>
        <v/>
      </c>
      <c r="AJ935">
        <f>IF($AE935="","",IF(Sync!$Q935="","0000",IF(AND(ISNUMBER(Sync!$Q935),Sync!$Q935&gt;=0,Sync!$Q935&lt;1),RIGHT("00"&amp;HOUR(Sync!$Q935),2)&amp;RIGHT("00"&amp;MINUTE(Sync!$Q935),2),IFERROR(RIGHT("00"&amp;VALUE(LEFT(Sync!$Q935,FIND(":",Sync!$Q935)-1)),2)&amp;RIGHT("00"&amp;VALUE(MID(Sync!$Q935,FIND(":",Sync!$Q935)+1,2)),2),"0000"))))</f>
        <v/>
      </c>
      <c r="AK935">
        <f>IF(OR($AE935="",$AI935="",$AI935="نامعتبر"),"",LEFT($AI935,4)&amp;MID($AI935,6,2)&amp;RIGHT($AI935,2)&amp;$AJ935&amp;"|"&amp;"3"&amp;RIGHT("00000"&amp;930,5))</f>
        <v/>
      </c>
      <c r="AL935">
        <f>IF($AK935="","",COUNTIFS(LdAParty,$AE935,LdAType,1,LdAKey,"&lt;"&amp;$AK935)+COUNTIFS(LdBMember,$AE935,LdBKey,"&lt;"&amp;$AK935)+COUNTIFS(LdCParty,$AE935,LdCKey,"&lt;"&amp;$AK935)+1)</f>
        <v/>
      </c>
      <c r="AM935">
        <f>IF($AL935="","",$AE935&amp;"|"&amp;RIGHT("000000"&amp;$AL935,6))</f>
        <v/>
      </c>
      <c r="AN935">
        <f>IF($AE935="","",IF(Sync!$W935="",0,Sync!$W935))</f>
        <v/>
      </c>
      <c r="AO935">
        <f>IF($AE935="","",IF(Sync!$X935="",0,Sync!$X935))</f>
        <v/>
      </c>
      <c r="AP935">
        <f>IF($AE935="","",Sync!$R935)</f>
        <v/>
      </c>
      <c r="AQ935">
        <f>IF($AE935="","",Sync!$Y935)</f>
        <v/>
      </c>
    </row>
    <row r="936">
      <c r="A936">
        <f>IF(OR(Wages!$B939="",Wages!$E939=""),"",Wages!$E939)</f>
        <v/>
      </c>
      <c r="B936">
        <f>IF($A936="","",IF(Wages!$C939="دستمزد گروهی",2,1))</f>
        <v/>
      </c>
      <c r="C936">
        <f>IF($A936="","",IF(ISNUMBER(Wages!$B939),IF(AND(Wages!$B939&gt;=10000101,Wages!$B939&lt;=99991231),INT(Wages!$B939/10000),""),IFERROR(VALUE(TRIM(LEFT(Wages!$B939,FIND("/",Wages!$B939)-1))),"")))</f>
        <v/>
      </c>
      <c r="D936">
        <f>IF(OR($A936="",$C936=""),"",IF(ISNUMBER(Wages!$B939),INT(MOD(Wages!$B939,10000)/100),IFERROR(VALUE(TRIM(LEFT(MID(Wages!$B939,FIND("/",Wages!$B939)+1,20),FIND("/",MID(Wages!$B939,FIND("/",Wages!$B939)+1,20))-1))),"")))</f>
        <v/>
      </c>
      <c r="E936">
        <f>IF(OR($A936="",$C936=""),"",IF(ISNUMBER(Wages!$B939),MOD(Wages!$B939,100),IFERROR(VALUE(TRIM(MID(MID(Wages!$B939,FIND("/",Wages!$B939)+1,20),FIND("/",MID(Wages!$B939,FIND("/",Wages!$B939)+1,20))+1,20))),"")))</f>
        <v/>
      </c>
      <c r="F936">
        <f>IF($A936="","",IF(OR($C936="",$D936="",$E936="",$C936&lt;1300,$C936&gt;1500,$D936&lt;1,$D936&gt;12,$E936&lt;1,$E936&gt;31),"نامعتبر",RIGHT("0000"&amp;$C936,4)&amp;"/"&amp;RIGHT("00"&amp;$D936,2)&amp;"/"&amp;RIGHT("00"&amp;$E936,2)))</f>
        <v/>
      </c>
      <c r="G936">
        <f>IF(OR($A936="",$F936="",$F936="نامعتبر"),"",LEFT($F936,4)&amp;MID($F936,6,2)&amp;RIGHT($F936,2)&amp;"0000"&amp;"|"&amp;"1"&amp;RIGHT("00000"&amp;931,5))</f>
        <v/>
      </c>
      <c r="H936">
        <f>IF(OR($B936&lt;&gt;1,$G936=""),"",COUNTIFS(LdAParty,$A936,LdAType,1,LdAKey,"&lt;"&amp;$G936)+COUNTIFS(LdBMember,$A936,LdBKey,"&lt;"&amp;$G936)+COUNTIFS(LdCParty,$A936,LdCKey,"&lt;"&amp;$G936)+1)</f>
        <v/>
      </c>
      <c r="I936">
        <f>IF($H936="","",$A936&amp;"|"&amp;RIGHT("000000"&amp;$H936,6))</f>
        <v/>
      </c>
      <c r="J936">
        <f>IF(OR($B936&lt;&gt;2,$G936=""),"",COUNTIFS(LdAParty,$A936,LdAType,2,LdAKey,"&lt;"&amp;$G936)+1)</f>
        <v/>
      </c>
      <c r="K936">
        <f>IF($J936="","",$A936&amp;"|"&amp;RIGHT("000000"&amp;$J936,6))</f>
        <v/>
      </c>
      <c r="L936">
        <f>IF($A936="","",IF(Wages!$G939="",0,Wages!$G939))</f>
        <v/>
      </c>
      <c r="M936">
        <f>IF($A936="","",Wages!$J939)</f>
        <v/>
      </c>
      <c r="N936">
        <f>IF($A936="","",Wages!$D939)</f>
        <v/>
      </c>
      <c r="P936">
        <f>IF(OR(Shares!$B939="",Shares!$C939=""),"",Shares!$C939)</f>
        <v/>
      </c>
      <c r="Q936">
        <f>IF($P936="","",Shares!$B939)</f>
        <v/>
      </c>
      <c r="R936">
        <f>IF($P936="","",IFERROR(INDEX(WageParty,MATCH($Q936,WageIds,0)),""))</f>
        <v/>
      </c>
      <c r="S936">
        <f>IF($P936="","",IFERROR(INDEX($F$6:$F$2005,MATCH($Q936,WageIds,0)),""))</f>
        <v/>
      </c>
      <c r="T936">
        <f>IF(OR($P936="",$S936="",$S936="نامعتبر"),"",LEFT($S936,4)&amp;MID($S936,6,2)&amp;RIGHT($S936,2)&amp;"0000"&amp;"|"&amp;"2"&amp;RIGHT("00000"&amp;931,5))</f>
        <v/>
      </c>
      <c r="U936">
        <f>IF($T936="","",COUNTIFS(LdAParty,$P936,LdAType,1,LdAKey,"&lt;"&amp;$T936)+COUNTIFS(LdBMember,$P936,LdBKey,"&lt;"&amp;$T936)+COUNTIFS(LdCParty,$P936,LdCKey,"&lt;"&amp;$T936)+1)</f>
        <v/>
      </c>
      <c r="V936">
        <f>IF($U936="","",$P936&amp;"|"&amp;RIGHT("000000"&amp;$U936,6))</f>
        <v/>
      </c>
      <c r="W936">
        <f>IF($T936="","",COUNTIFS(LdBGroup,$R936,LdBKey,"&lt;"&amp;$T936)+1)</f>
        <v/>
      </c>
      <c r="X936">
        <f>IF($W936="","",$R936&amp;"|"&amp;RIGHT("000000"&amp;$W936,6))</f>
        <v/>
      </c>
      <c r="Y936">
        <f>IF($P936="","",IF(Shares!$E939="",0,Shares!$E939))</f>
        <v/>
      </c>
      <c r="Z936">
        <f>IF($P936="","",Shares!$H939)</f>
        <v/>
      </c>
      <c r="AE936">
        <f>IF(OR(Sync!$S936="",Sync!$P936=""),"",Sync!$S936)</f>
        <v/>
      </c>
      <c r="AF936">
        <f>IF($AE936="","",IF(ISNUMBER(Sync!$P936),IF(AND(Sync!$P936&gt;=10000101,Sync!$P936&lt;=99991231),INT(Sync!$P936/10000),""),IFERROR(VALUE(TRIM(LEFT(Sync!$P936,FIND("/",Sync!$P936)-1))),"")))</f>
        <v/>
      </c>
      <c r="AG936">
        <f>IF(OR($AE936="",$AF936=""),"",IF(ISNUMBER(Sync!$P936),INT(MOD(Sync!$P936,10000)/100),IFERROR(VALUE(TRIM(LEFT(MID(Sync!$P936,FIND("/",Sync!$P936)+1,20),FIND("/",MID(Sync!$P936,FIND("/",Sync!$P936)+1,20))-1))),"")))</f>
        <v/>
      </c>
      <c r="AH936">
        <f>IF(OR($AE936="",$AF936=""),"",IF(ISNUMBER(Sync!$P936),MOD(Sync!$P936,100),IFERROR(VALUE(TRIM(MID(MID(Sync!$P936,FIND("/",Sync!$P936)+1,20),FIND("/",MID(Sync!$P936,FIND("/",Sync!$P936)+1,20))+1,20))),"")))</f>
        <v/>
      </c>
      <c r="AI936">
        <f>IF($AE936="","",IF(OR($AF936="",$AG936="",$AH936="",$AF936&lt;1300,$AF936&gt;1500,$AG936&lt;1,$AG936&gt;12,$AH936&lt;1,$AH936&gt;31),"نامعتبر",RIGHT("0000"&amp;$AF936,4)&amp;"/"&amp;RIGHT("00"&amp;$AG936,2)&amp;"/"&amp;RIGHT("00"&amp;$AH936,2)))</f>
        <v/>
      </c>
      <c r="AJ936">
        <f>IF($AE936="","",IF(Sync!$Q936="","0000",IF(AND(ISNUMBER(Sync!$Q936),Sync!$Q936&gt;=0,Sync!$Q936&lt;1),RIGHT("00"&amp;HOUR(Sync!$Q936),2)&amp;RIGHT("00"&amp;MINUTE(Sync!$Q936),2),IFERROR(RIGHT("00"&amp;VALUE(LEFT(Sync!$Q936,FIND(":",Sync!$Q936)-1)),2)&amp;RIGHT("00"&amp;VALUE(MID(Sync!$Q936,FIND(":",Sync!$Q936)+1,2)),2),"0000"))))</f>
        <v/>
      </c>
      <c r="AK936">
        <f>IF(OR($AE936="",$AI936="",$AI936="نامعتبر"),"",LEFT($AI936,4)&amp;MID($AI936,6,2)&amp;RIGHT($AI936,2)&amp;$AJ936&amp;"|"&amp;"3"&amp;RIGHT("00000"&amp;931,5))</f>
        <v/>
      </c>
      <c r="AL936">
        <f>IF($AK936="","",COUNTIFS(LdAParty,$AE936,LdAType,1,LdAKey,"&lt;"&amp;$AK936)+COUNTIFS(LdBMember,$AE936,LdBKey,"&lt;"&amp;$AK936)+COUNTIFS(LdCParty,$AE936,LdCKey,"&lt;"&amp;$AK936)+1)</f>
        <v/>
      </c>
      <c r="AM936">
        <f>IF($AL936="","",$AE936&amp;"|"&amp;RIGHT("000000"&amp;$AL936,6))</f>
        <v/>
      </c>
      <c r="AN936">
        <f>IF($AE936="","",IF(Sync!$W936="",0,Sync!$W936))</f>
        <v/>
      </c>
      <c r="AO936">
        <f>IF($AE936="","",IF(Sync!$X936="",0,Sync!$X936))</f>
        <v/>
      </c>
      <c r="AP936">
        <f>IF($AE936="","",Sync!$R936)</f>
        <v/>
      </c>
      <c r="AQ936">
        <f>IF($AE936="","",Sync!$Y936)</f>
        <v/>
      </c>
    </row>
    <row r="937">
      <c r="A937">
        <f>IF(OR(Wages!$B940="",Wages!$E940=""),"",Wages!$E940)</f>
        <v/>
      </c>
      <c r="B937">
        <f>IF($A937="","",IF(Wages!$C940="دستمزد گروهی",2,1))</f>
        <v/>
      </c>
      <c r="C937">
        <f>IF($A937="","",IF(ISNUMBER(Wages!$B940),IF(AND(Wages!$B940&gt;=10000101,Wages!$B940&lt;=99991231),INT(Wages!$B940/10000),""),IFERROR(VALUE(TRIM(LEFT(Wages!$B940,FIND("/",Wages!$B940)-1))),"")))</f>
        <v/>
      </c>
      <c r="D937">
        <f>IF(OR($A937="",$C937=""),"",IF(ISNUMBER(Wages!$B940),INT(MOD(Wages!$B940,10000)/100),IFERROR(VALUE(TRIM(LEFT(MID(Wages!$B940,FIND("/",Wages!$B940)+1,20),FIND("/",MID(Wages!$B940,FIND("/",Wages!$B940)+1,20))-1))),"")))</f>
        <v/>
      </c>
      <c r="E937">
        <f>IF(OR($A937="",$C937=""),"",IF(ISNUMBER(Wages!$B940),MOD(Wages!$B940,100),IFERROR(VALUE(TRIM(MID(MID(Wages!$B940,FIND("/",Wages!$B940)+1,20),FIND("/",MID(Wages!$B940,FIND("/",Wages!$B940)+1,20))+1,20))),"")))</f>
        <v/>
      </c>
      <c r="F937">
        <f>IF($A937="","",IF(OR($C937="",$D937="",$E937="",$C937&lt;1300,$C937&gt;1500,$D937&lt;1,$D937&gt;12,$E937&lt;1,$E937&gt;31),"نامعتبر",RIGHT("0000"&amp;$C937,4)&amp;"/"&amp;RIGHT("00"&amp;$D937,2)&amp;"/"&amp;RIGHT("00"&amp;$E937,2)))</f>
        <v/>
      </c>
      <c r="G937">
        <f>IF(OR($A937="",$F937="",$F937="نامعتبر"),"",LEFT($F937,4)&amp;MID($F937,6,2)&amp;RIGHT($F937,2)&amp;"0000"&amp;"|"&amp;"1"&amp;RIGHT("00000"&amp;932,5))</f>
        <v/>
      </c>
      <c r="H937">
        <f>IF(OR($B937&lt;&gt;1,$G937=""),"",COUNTIFS(LdAParty,$A937,LdAType,1,LdAKey,"&lt;"&amp;$G937)+COUNTIFS(LdBMember,$A937,LdBKey,"&lt;"&amp;$G937)+COUNTIFS(LdCParty,$A937,LdCKey,"&lt;"&amp;$G937)+1)</f>
        <v/>
      </c>
      <c r="I937">
        <f>IF($H937="","",$A937&amp;"|"&amp;RIGHT("000000"&amp;$H937,6))</f>
        <v/>
      </c>
      <c r="J937">
        <f>IF(OR($B937&lt;&gt;2,$G937=""),"",COUNTIFS(LdAParty,$A937,LdAType,2,LdAKey,"&lt;"&amp;$G937)+1)</f>
        <v/>
      </c>
      <c r="K937">
        <f>IF($J937="","",$A937&amp;"|"&amp;RIGHT("000000"&amp;$J937,6))</f>
        <v/>
      </c>
      <c r="L937">
        <f>IF($A937="","",IF(Wages!$G940="",0,Wages!$G940))</f>
        <v/>
      </c>
      <c r="M937">
        <f>IF($A937="","",Wages!$J940)</f>
        <v/>
      </c>
      <c r="N937">
        <f>IF($A937="","",Wages!$D940)</f>
        <v/>
      </c>
      <c r="P937">
        <f>IF(OR(Shares!$B940="",Shares!$C940=""),"",Shares!$C940)</f>
        <v/>
      </c>
      <c r="Q937">
        <f>IF($P937="","",Shares!$B940)</f>
        <v/>
      </c>
      <c r="R937">
        <f>IF($P937="","",IFERROR(INDEX(WageParty,MATCH($Q937,WageIds,0)),""))</f>
        <v/>
      </c>
      <c r="S937">
        <f>IF($P937="","",IFERROR(INDEX($F$6:$F$2005,MATCH($Q937,WageIds,0)),""))</f>
        <v/>
      </c>
      <c r="T937">
        <f>IF(OR($P937="",$S937="",$S937="نامعتبر"),"",LEFT($S937,4)&amp;MID($S937,6,2)&amp;RIGHT($S937,2)&amp;"0000"&amp;"|"&amp;"2"&amp;RIGHT("00000"&amp;932,5))</f>
        <v/>
      </c>
      <c r="U937">
        <f>IF($T937="","",COUNTIFS(LdAParty,$P937,LdAType,1,LdAKey,"&lt;"&amp;$T937)+COUNTIFS(LdBMember,$P937,LdBKey,"&lt;"&amp;$T937)+COUNTIFS(LdCParty,$P937,LdCKey,"&lt;"&amp;$T937)+1)</f>
        <v/>
      </c>
      <c r="V937">
        <f>IF($U937="","",$P937&amp;"|"&amp;RIGHT("000000"&amp;$U937,6))</f>
        <v/>
      </c>
      <c r="W937">
        <f>IF($T937="","",COUNTIFS(LdBGroup,$R937,LdBKey,"&lt;"&amp;$T937)+1)</f>
        <v/>
      </c>
      <c r="X937">
        <f>IF($W937="","",$R937&amp;"|"&amp;RIGHT("000000"&amp;$W937,6))</f>
        <v/>
      </c>
      <c r="Y937">
        <f>IF($P937="","",IF(Shares!$E940="",0,Shares!$E940))</f>
        <v/>
      </c>
      <c r="Z937">
        <f>IF($P937="","",Shares!$H940)</f>
        <v/>
      </c>
      <c r="AE937">
        <f>IF(OR(Sync!$S937="",Sync!$P937=""),"",Sync!$S937)</f>
        <v/>
      </c>
      <c r="AF937">
        <f>IF($AE937="","",IF(ISNUMBER(Sync!$P937),IF(AND(Sync!$P937&gt;=10000101,Sync!$P937&lt;=99991231),INT(Sync!$P937/10000),""),IFERROR(VALUE(TRIM(LEFT(Sync!$P937,FIND("/",Sync!$P937)-1))),"")))</f>
        <v/>
      </c>
      <c r="AG937">
        <f>IF(OR($AE937="",$AF937=""),"",IF(ISNUMBER(Sync!$P937),INT(MOD(Sync!$P937,10000)/100),IFERROR(VALUE(TRIM(LEFT(MID(Sync!$P937,FIND("/",Sync!$P937)+1,20),FIND("/",MID(Sync!$P937,FIND("/",Sync!$P937)+1,20))-1))),"")))</f>
        <v/>
      </c>
      <c r="AH937">
        <f>IF(OR($AE937="",$AF937=""),"",IF(ISNUMBER(Sync!$P937),MOD(Sync!$P937,100),IFERROR(VALUE(TRIM(MID(MID(Sync!$P937,FIND("/",Sync!$P937)+1,20),FIND("/",MID(Sync!$P937,FIND("/",Sync!$P937)+1,20))+1,20))),"")))</f>
        <v/>
      </c>
      <c r="AI937">
        <f>IF($AE937="","",IF(OR($AF937="",$AG937="",$AH937="",$AF937&lt;1300,$AF937&gt;1500,$AG937&lt;1,$AG937&gt;12,$AH937&lt;1,$AH937&gt;31),"نامعتبر",RIGHT("0000"&amp;$AF937,4)&amp;"/"&amp;RIGHT("00"&amp;$AG937,2)&amp;"/"&amp;RIGHT("00"&amp;$AH937,2)))</f>
        <v/>
      </c>
      <c r="AJ937">
        <f>IF($AE937="","",IF(Sync!$Q937="","0000",IF(AND(ISNUMBER(Sync!$Q937),Sync!$Q937&gt;=0,Sync!$Q937&lt;1),RIGHT("00"&amp;HOUR(Sync!$Q937),2)&amp;RIGHT("00"&amp;MINUTE(Sync!$Q937),2),IFERROR(RIGHT("00"&amp;VALUE(LEFT(Sync!$Q937,FIND(":",Sync!$Q937)-1)),2)&amp;RIGHT("00"&amp;VALUE(MID(Sync!$Q937,FIND(":",Sync!$Q937)+1,2)),2),"0000"))))</f>
        <v/>
      </c>
      <c r="AK937">
        <f>IF(OR($AE937="",$AI937="",$AI937="نامعتبر"),"",LEFT($AI937,4)&amp;MID($AI937,6,2)&amp;RIGHT($AI937,2)&amp;$AJ937&amp;"|"&amp;"3"&amp;RIGHT("00000"&amp;932,5))</f>
        <v/>
      </c>
      <c r="AL937">
        <f>IF($AK937="","",COUNTIFS(LdAParty,$AE937,LdAType,1,LdAKey,"&lt;"&amp;$AK937)+COUNTIFS(LdBMember,$AE937,LdBKey,"&lt;"&amp;$AK937)+COUNTIFS(LdCParty,$AE937,LdCKey,"&lt;"&amp;$AK937)+1)</f>
        <v/>
      </c>
      <c r="AM937">
        <f>IF($AL937="","",$AE937&amp;"|"&amp;RIGHT("000000"&amp;$AL937,6))</f>
        <v/>
      </c>
      <c r="AN937">
        <f>IF($AE937="","",IF(Sync!$W937="",0,Sync!$W937))</f>
        <v/>
      </c>
      <c r="AO937">
        <f>IF($AE937="","",IF(Sync!$X937="",0,Sync!$X937))</f>
        <v/>
      </c>
      <c r="AP937">
        <f>IF($AE937="","",Sync!$R937)</f>
        <v/>
      </c>
      <c r="AQ937">
        <f>IF($AE937="","",Sync!$Y937)</f>
        <v/>
      </c>
    </row>
    <row r="938">
      <c r="A938">
        <f>IF(OR(Wages!$B941="",Wages!$E941=""),"",Wages!$E941)</f>
        <v/>
      </c>
      <c r="B938">
        <f>IF($A938="","",IF(Wages!$C941="دستمزد گروهی",2,1))</f>
        <v/>
      </c>
      <c r="C938">
        <f>IF($A938="","",IF(ISNUMBER(Wages!$B941),IF(AND(Wages!$B941&gt;=10000101,Wages!$B941&lt;=99991231),INT(Wages!$B941/10000),""),IFERROR(VALUE(TRIM(LEFT(Wages!$B941,FIND("/",Wages!$B941)-1))),"")))</f>
        <v/>
      </c>
      <c r="D938">
        <f>IF(OR($A938="",$C938=""),"",IF(ISNUMBER(Wages!$B941),INT(MOD(Wages!$B941,10000)/100),IFERROR(VALUE(TRIM(LEFT(MID(Wages!$B941,FIND("/",Wages!$B941)+1,20),FIND("/",MID(Wages!$B941,FIND("/",Wages!$B941)+1,20))-1))),"")))</f>
        <v/>
      </c>
      <c r="E938">
        <f>IF(OR($A938="",$C938=""),"",IF(ISNUMBER(Wages!$B941),MOD(Wages!$B941,100),IFERROR(VALUE(TRIM(MID(MID(Wages!$B941,FIND("/",Wages!$B941)+1,20),FIND("/",MID(Wages!$B941,FIND("/",Wages!$B941)+1,20))+1,20))),"")))</f>
        <v/>
      </c>
      <c r="F938">
        <f>IF($A938="","",IF(OR($C938="",$D938="",$E938="",$C938&lt;1300,$C938&gt;1500,$D938&lt;1,$D938&gt;12,$E938&lt;1,$E938&gt;31),"نامعتبر",RIGHT("0000"&amp;$C938,4)&amp;"/"&amp;RIGHT("00"&amp;$D938,2)&amp;"/"&amp;RIGHT("00"&amp;$E938,2)))</f>
        <v/>
      </c>
      <c r="G938">
        <f>IF(OR($A938="",$F938="",$F938="نامعتبر"),"",LEFT($F938,4)&amp;MID($F938,6,2)&amp;RIGHT($F938,2)&amp;"0000"&amp;"|"&amp;"1"&amp;RIGHT("00000"&amp;933,5))</f>
        <v/>
      </c>
      <c r="H938">
        <f>IF(OR($B938&lt;&gt;1,$G938=""),"",COUNTIFS(LdAParty,$A938,LdAType,1,LdAKey,"&lt;"&amp;$G938)+COUNTIFS(LdBMember,$A938,LdBKey,"&lt;"&amp;$G938)+COUNTIFS(LdCParty,$A938,LdCKey,"&lt;"&amp;$G938)+1)</f>
        <v/>
      </c>
      <c r="I938">
        <f>IF($H938="","",$A938&amp;"|"&amp;RIGHT("000000"&amp;$H938,6))</f>
        <v/>
      </c>
      <c r="J938">
        <f>IF(OR($B938&lt;&gt;2,$G938=""),"",COUNTIFS(LdAParty,$A938,LdAType,2,LdAKey,"&lt;"&amp;$G938)+1)</f>
        <v/>
      </c>
      <c r="K938">
        <f>IF($J938="","",$A938&amp;"|"&amp;RIGHT("000000"&amp;$J938,6))</f>
        <v/>
      </c>
      <c r="L938">
        <f>IF($A938="","",IF(Wages!$G941="",0,Wages!$G941))</f>
        <v/>
      </c>
      <c r="M938">
        <f>IF($A938="","",Wages!$J941)</f>
        <v/>
      </c>
      <c r="N938">
        <f>IF($A938="","",Wages!$D941)</f>
        <v/>
      </c>
      <c r="P938">
        <f>IF(OR(Shares!$B941="",Shares!$C941=""),"",Shares!$C941)</f>
        <v/>
      </c>
      <c r="Q938">
        <f>IF($P938="","",Shares!$B941)</f>
        <v/>
      </c>
      <c r="R938">
        <f>IF($P938="","",IFERROR(INDEX(WageParty,MATCH($Q938,WageIds,0)),""))</f>
        <v/>
      </c>
      <c r="S938">
        <f>IF($P938="","",IFERROR(INDEX($F$6:$F$2005,MATCH($Q938,WageIds,0)),""))</f>
        <v/>
      </c>
      <c r="T938">
        <f>IF(OR($P938="",$S938="",$S938="نامعتبر"),"",LEFT($S938,4)&amp;MID($S938,6,2)&amp;RIGHT($S938,2)&amp;"0000"&amp;"|"&amp;"2"&amp;RIGHT("00000"&amp;933,5))</f>
        <v/>
      </c>
      <c r="U938">
        <f>IF($T938="","",COUNTIFS(LdAParty,$P938,LdAType,1,LdAKey,"&lt;"&amp;$T938)+COUNTIFS(LdBMember,$P938,LdBKey,"&lt;"&amp;$T938)+COUNTIFS(LdCParty,$P938,LdCKey,"&lt;"&amp;$T938)+1)</f>
        <v/>
      </c>
      <c r="V938">
        <f>IF($U938="","",$P938&amp;"|"&amp;RIGHT("000000"&amp;$U938,6))</f>
        <v/>
      </c>
      <c r="W938">
        <f>IF($T938="","",COUNTIFS(LdBGroup,$R938,LdBKey,"&lt;"&amp;$T938)+1)</f>
        <v/>
      </c>
      <c r="X938">
        <f>IF($W938="","",$R938&amp;"|"&amp;RIGHT("000000"&amp;$W938,6))</f>
        <v/>
      </c>
      <c r="Y938">
        <f>IF($P938="","",IF(Shares!$E941="",0,Shares!$E941))</f>
        <v/>
      </c>
      <c r="Z938">
        <f>IF($P938="","",Shares!$H941)</f>
        <v/>
      </c>
      <c r="AE938">
        <f>IF(OR(Sync!$S938="",Sync!$P938=""),"",Sync!$S938)</f>
        <v/>
      </c>
      <c r="AF938">
        <f>IF($AE938="","",IF(ISNUMBER(Sync!$P938),IF(AND(Sync!$P938&gt;=10000101,Sync!$P938&lt;=99991231),INT(Sync!$P938/10000),""),IFERROR(VALUE(TRIM(LEFT(Sync!$P938,FIND("/",Sync!$P938)-1))),"")))</f>
        <v/>
      </c>
      <c r="AG938">
        <f>IF(OR($AE938="",$AF938=""),"",IF(ISNUMBER(Sync!$P938),INT(MOD(Sync!$P938,10000)/100),IFERROR(VALUE(TRIM(LEFT(MID(Sync!$P938,FIND("/",Sync!$P938)+1,20),FIND("/",MID(Sync!$P938,FIND("/",Sync!$P938)+1,20))-1))),"")))</f>
        <v/>
      </c>
      <c r="AH938">
        <f>IF(OR($AE938="",$AF938=""),"",IF(ISNUMBER(Sync!$P938),MOD(Sync!$P938,100),IFERROR(VALUE(TRIM(MID(MID(Sync!$P938,FIND("/",Sync!$P938)+1,20),FIND("/",MID(Sync!$P938,FIND("/",Sync!$P938)+1,20))+1,20))),"")))</f>
        <v/>
      </c>
      <c r="AI938">
        <f>IF($AE938="","",IF(OR($AF938="",$AG938="",$AH938="",$AF938&lt;1300,$AF938&gt;1500,$AG938&lt;1,$AG938&gt;12,$AH938&lt;1,$AH938&gt;31),"نامعتبر",RIGHT("0000"&amp;$AF938,4)&amp;"/"&amp;RIGHT("00"&amp;$AG938,2)&amp;"/"&amp;RIGHT("00"&amp;$AH938,2)))</f>
        <v/>
      </c>
      <c r="AJ938">
        <f>IF($AE938="","",IF(Sync!$Q938="","0000",IF(AND(ISNUMBER(Sync!$Q938),Sync!$Q938&gt;=0,Sync!$Q938&lt;1),RIGHT("00"&amp;HOUR(Sync!$Q938),2)&amp;RIGHT("00"&amp;MINUTE(Sync!$Q938),2),IFERROR(RIGHT("00"&amp;VALUE(LEFT(Sync!$Q938,FIND(":",Sync!$Q938)-1)),2)&amp;RIGHT("00"&amp;VALUE(MID(Sync!$Q938,FIND(":",Sync!$Q938)+1,2)),2),"0000"))))</f>
        <v/>
      </c>
      <c r="AK938">
        <f>IF(OR($AE938="",$AI938="",$AI938="نامعتبر"),"",LEFT($AI938,4)&amp;MID($AI938,6,2)&amp;RIGHT($AI938,2)&amp;$AJ938&amp;"|"&amp;"3"&amp;RIGHT("00000"&amp;933,5))</f>
        <v/>
      </c>
      <c r="AL938">
        <f>IF($AK938="","",COUNTIFS(LdAParty,$AE938,LdAType,1,LdAKey,"&lt;"&amp;$AK938)+COUNTIFS(LdBMember,$AE938,LdBKey,"&lt;"&amp;$AK938)+COUNTIFS(LdCParty,$AE938,LdCKey,"&lt;"&amp;$AK938)+1)</f>
        <v/>
      </c>
      <c r="AM938">
        <f>IF($AL938="","",$AE938&amp;"|"&amp;RIGHT("000000"&amp;$AL938,6))</f>
        <v/>
      </c>
      <c r="AN938">
        <f>IF($AE938="","",IF(Sync!$W938="",0,Sync!$W938))</f>
        <v/>
      </c>
      <c r="AO938">
        <f>IF($AE938="","",IF(Sync!$X938="",0,Sync!$X938))</f>
        <v/>
      </c>
      <c r="AP938">
        <f>IF($AE938="","",Sync!$R938)</f>
        <v/>
      </c>
      <c r="AQ938">
        <f>IF($AE938="","",Sync!$Y938)</f>
        <v/>
      </c>
    </row>
    <row r="939">
      <c r="A939">
        <f>IF(OR(Wages!$B942="",Wages!$E942=""),"",Wages!$E942)</f>
        <v/>
      </c>
      <c r="B939">
        <f>IF($A939="","",IF(Wages!$C942="دستمزد گروهی",2,1))</f>
        <v/>
      </c>
      <c r="C939">
        <f>IF($A939="","",IF(ISNUMBER(Wages!$B942),IF(AND(Wages!$B942&gt;=10000101,Wages!$B942&lt;=99991231),INT(Wages!$B942/10000),""),IFERROR(VALUE(TRIM(LEFT(Wages!$B942,FIND("/",Wages!$B942)-1))),"")))</f>
        <v/>
      </c>
      <c r="D939">
        <f>IF(OR($A939="",$C939=""),"",IF(ISNUMBER(Wages!$B942),INT(MOD(Wages!$B942,10000)/100),IFERROR(VALUE(TRIM(LEFT(MID(Wages!$B942,FIND("/",Wages!$B942)+1,20),FIND("/",MID(Wages!$B942,FIND("/",Wages!$B942)+1,20))-1))),"")))</f>
        <v/>
      </c>
      <c r="E939">
        <f>IF(OR($A939="",$C939=""),"",IF(ISNUMBER(Wages!$B942),MOD(Wages!$B942,100),IFERROR(VALUE(TRIM(MID(MID(Wages!$B942,FIND("/",Wages!$B942)+1,20),FIND("/",MID(Wages!$B942,FIND("/",Wages!$B942)+1,20))+1,20))),"")))</f>
        <v/>
      </c>
      <c r="F939">
        <f>IF($A939="","",IF(OR($C939="",$D939="",$E939="",$C939&lt;1300,$C939&gt;1500,$D939&lt;1,$D939&gt;12,$E939&lt;1,$E939&gt;31),"نامعتبر",RIGHT("0000"&amp;$C939,4)&amp;"/"&amp;RIGHT("00"&amp;$D939,2)&amp;"/"&amp;RIGHT("00"&amp;$E939,2)))</f>
        <v/>
      </c>
      <c r="G939">
        <f>IF(OR($A939="",$F939="",$F939="نامعتبر"),"",LEFT($F939,4)&amp;MID($F939,6,2)&amp;RIGHT($F939,2)&amp;"0000"&amp;"|"&amp;"1"&amp;RIGHT("00000"&amp;934,5))</f>
        <v/>
      </c>
      <c r="H939">
        <f>IF(OR($B939&lt;&gt;1,$G939=""),"",COUNTIFS(LdAParty,$A939,LdAType,1,LdAKey,"&lt;"&amp;$G939)+COUNTIFS(LdBMember,$A939,LdBKey,"&lt;"&amp;$G939)+COUNTIFS(LdCParty,$A939,LdCKey,"&lt;"&amp;$G939)+1)</f>
        <v/>
      </c>
      <c r="I939">
        <f>IF($H939="","",$A939&amp;"|"&amp;RIGHT("000000"&amp;$H939,6))</f>
        <v/>
      </c>
      <c r="J939">
        <f>IF(OR($B939&lt;&gt;2,$G939=""),"",COUNTIFS(LdAParty,$A939,LdAType,2,LdAKey,"&lt;"&amp;$G939)+1)</f>
        <v/>
      </c>
      <c r="K939">
        <f>IF($J939="","",$A939&amp;"|"&amp;RIGHT("000000"&amp;$J939,6))</f>
        <v/>
      </c>
      <c r="L939">
        <f>IF($A939="","",IF(Wages!$G942="",0,Wages!$G942))</f>
        <v/>
      </c>
      <c r="M939">
        <f>IF($A939="","",Wages!$J942)</f>
        <v/>
      </c>
      <c r="N939">
        <f>IF($A939="","",Wages!$D942)</f>
        <v/>
      </c>
      <c r="P939">
        <f>IF(OR(Shares!$B942="",Shares!$C942=""),"",Shares!$C942)</f>
        <v/>
      </c>
      <c r="Q939">
        <f>IF($P939="","",Shares!$B942)</f>
        <v/>
      </c>
      <c r="R939">
        <f>IF($P939="","",IFERROR(INDEX(WageParty,MATCH($Q939,WageIds,0)),""))</f>
        <v/>
      </c>
      <c r="S939">
        <f>IF($P939="","",IFERROR(INDEX($F$6:$F$2005,MATCH($Q939,WageIds,0)),""))</f>
        <v/>
      </c>
      <c r="T939">
        <f>IF(OR($P939="",$S939="",$S939="نامعتبر"),"",LEFT($S939,4)&amp;MID($S939,6,2)&amp;RIGHT($S939,2)&amp;"0000"&amp;"|"&amp;"2"&amp;RIGHT("00000"&amp;934,5))</f>
        <v/>
      </c>
      <c r="U939">
        <f>IF($T939="","",COUNTIFS(LdAParty,$P939,LdAType,1,LdAKey,"&lt;"&amp;$T939)+COUNTIFS(LdBMember,$P939,LdBKey,"&lt;"&amp;$T939)+COUNTIFS(LdCParty,$P939,LdCKey,"&lt;"&amp;$T939)+1)</f>
        <v/>
      </c>
      <c r="V939">
        <f>IF($U939="","",$P939&amp;"|"&amp;RIGHT("000000"&amp;$U939,6))</f>
        <v/>
      </c>
      <c r="W939">
        <f>IF($T939="","",COUNTIFS(LdBGroup,$R939,LdBKey,"&lt;"&amp;$T939)+1)</f>
        <v/>
      </c>
      <c r="X939">
        <f>IF($W939="","",$R939&amp;"|"&amp;RIGHT("000000"&amp;$W939,6))</f>
        <v/>
      </c>
      <c r="Y939">
        <f>IF($P939="","",IF(Shares!$E942="",0,Shares!$E942))</f>
        <v/>
      </c>
      <c r="Z939">
        <f>IF($P939="","",Shares!$H942)</f>
        <v/>
      </c>
      <c r="AE939">
        <f>IF(OR(Sync!$S939="",Sync!$P939=""),"",Sync!$S939)</f>
        <v/>
      </c>
      <c r="AF939">
        <f>IF($AE939="","",IF(ISNUMBER(Sync!$P939),IF(AND(Sync!$P939&gt;=10000101,Sync!$P939&lt;=99991231),INT(Sync!$P939/10000),""),IFERROR(VALUE(TRIM(LEFT(Sync!$P939,FIND("/",Sync!$P939)-1))),"")))</f>
        <v/>
      </c>
      <c r="AG939">
        <f>IF(OR($AE939="",$AF939=""),"",IF(ISNUMBER(Sync!$P939),INT(MOD(Sync!$P939,10000)/100),IFERROR(VALUE(TRIM(LEFT(MID(Sync!$P939,FIND("/",Sync!$P939)+1,20),FIND("/",MID(Sync!$P939,FIND("/",Sync!$P939)+1,20))-1))),"")))</f>
        <v/>
      </c>
      <c r="AH939">
        <f>IF(OR($AE939="",$AF939=""),"",IF(ISNUMBER(Sync!$P939),MOD(Sync!$P939,100),IFERROR(VALUE(TRIM(MID(MID(Sync!$P939,FIND("/",Sync!$P939)+1,20),FIND("/",MID(Sync!$P939,FIND("/",Sync!$P939)+1,20))+1,20))),"")))</f>
        <v/>
      </c>
      <c r="AI939">
        <f>IF($AE939="","",IF(OR($AF939="",$AG939="",$AH939="",$AF939&lt;1300,$AF939&gt;1500,$AG939&lt;1,$AG939&gt;12,$AH939&lt;1,$AH939&gt;31),"نامعتبر",RIGHT("0000"&amp;$AF939,4)&amp;"/"&amp;RIGHT("00"&amp;$AG939,2)&amp;"/"&amp;RIGHT("00"&amp;$AH939,2)))</f>
        <v/>
      </c>
      <c r="AJ939">
        <f>IF($AE939="","",IF(Sync!$Q939="","0000",IF(AND(ISNUMBER(Sync!$Q939),Sync!$Q939&gt;=0,Sync!$Q939&lt;1),RIGHT("00"&amp;HOUR(Sync!$Q939),2)&amp;RIGHT("00"&amp;MINUTE(Sync!$Q939),2),IFERROR(RIGHT("00"&amp;VALUE(LEFT(Sync!$Q939,FIND(":",Sync!$Q939)-1)),2)&amp;RIGHT("00"&amp;VALUE(MID(Sync!$Q939,FIND(":",Sync!$Q939)+1,2)),2),"0000"))))</f>
        <v/>
      </c>
      <c r="AK939">
        <f>IF(OR($AE939="",$AI939="",$AI939="نامعتبر"),"",LEFT($AI939,4)&amp;MID($AI939,6,2)&amp;RIGHT($AI939,2)&amp;$AJ939&amp;"|"&amp;"3"&amp;RIGHT("00000"&amp;934,5))</f>
        <v/>
      </c>
      <c r="AL939">
        <f>IF($AK939="","",COUNTIFS(LdAParty,$AE939,LdAType,1,LdAKey,"&lt;"&amp;$AK939)+COUNTIFS(LdBMember,$AE939,LdBKey,"&lt;"&amp;$AK939)+COUNTIFS(LdCParty,$AE939,LdCKey,"&lt;"&amp;$AK939)+1)</f>
        <v/>
      </c>
      <c r="AM939">
        <f>IF($AL939="","",$AE939&amp;"|"&amp;RIGHT("000000"&amp;$AL939,6))</f>
        <v/>
      </c>
      <c r="AN939">
        <f>IF($AE939="","",IF(Sync!$W939="",0,Sync!$W939))</f>
        <v/>
      </c>
      <c r="AO939">
        <f>IF($AE939="","",IF(Sync!$X939="",0,Sync!$X939))</f>
        <v/>
      </c>
      <c r="AP939">
        <f>IF($AE939="","",Sync!$R939)</f>
        <v/>
      </c>
      <c r="AQ939">
        <f>IF($AE939="","",Sync!$Y939)</f>
        <v/>
      </c>
    </row>
    <row r="940">
      <c r="A940">
        <f>IF(OR(Wages!$B943="",Wages!$E943=""),"",Wages!$E943)</f>
        <v/>
      </c>
      <c r="B940">
        <f>IF($A940="","",IF(Wages!$C943="دستمزد گروهی",2,1))</f>
        <v/>
      </c>
      <c r="C940">
        <f>IF($A940="","",IF(ISNUMBER(Wages!$B943),IF(AND(Wages!$B943&gt;=10000101,Wages!$B943&lt;=99991231),INT(Wages!$B943/10000),""),IFERROR(VALUE(TRIM(LEFT(Wages!$B943,FIND("/",Wages!$B943)-1))),"")))</f>
        <v/>
      </c>
      <c r="D940">
        <f>IF(OR($A940="",$C940=""),"",IF(ISNUMBER(Wages!$B943),INT(MOD(Wages!$B943,10000)/100),IFERROR(VALUE(TRIM(LEFT(MID(Wages!$B943,FIND("/",Wages!$B943)+1,20),FIND("/",MID(Wages!$B943,FIND("/",Wages!$B943)+1,20))-1))),"")))</f>
        <v/>
      </c>
      <c r="E940">
        <f>IF(OR($A940="",$C940=""),"",IF(ISNUMBER(Wages!$B943),MOD(Wages!$B943,100),IFERROR(VALUE(TRIM(MID(MID(Wages!$B943,FIND("/",Wages!$B943)+1,20),FIND("/",MID(Wages!$B943,FIND("/",Wages!$B943)+1,20))+1,20))),"")))</f>
        <v/>
      </c>
      <c r="F940">
        <f>IF($A940="","",IF(OR($C940="",$D940="",$E940="",$C940&lt;1300,$C940&gt;1500,$D940&lt;1,$D940&gt;12,$E940&lt;1,$E940&gt;31),"نامعتبر",RIGHT("0000"&amp;$C940,4)&amp;"/"&amp;RIGHT("00"&amp;$D940,2)&amp;"/"&amp;RIGHT("00"&amp;$E940,2)))</f>
        <v/>
      </c>
      <c r="G940">
        <f>IF(OR($A940="",$F940="",$F940="نامعتبر"),"",LEFT($F940,4)&amp;MID($F940,6,2)&amp;RIGHT($F940,2)&amp;"0000"&amp;"|"&amp;"1"&amp;RIGHT("00000"&amp;935,5))</f>
        <v/>
      </c>
      <c r="H940">
        <f>IF(OR($B940&lt;&gt;1,$G940=""),"",COUNTIFS(LdAParty,$A940,LdAType,1,LdAKey,"&lt;"&amp;$G940)+COUNTIFS(LdBMember,$A940,LdBKey,"&lt;"&amp;$G940)+COUNTIFS(LdCParty,$A940,LdCKey,"&lt;"&amp;$G940)+1)</f>
        <v/>
      </c>
      <c r="I940">
        <f>IF($H940="","",$A940&amp;"|"&amp;RIGHT("000000"&amp;$H940,6))</f>
        <v/>
      </c>
      <c r="J940">
        <f>IF(OR($B940&lt;&gt;2,$G940=""),"",COUNTIFS(LdAParty,$A940,LdAType,2,LdAKey,"&lt;"&amp;$G940)+1)</f>
        <v/>
      </c>
      <c r="K940">
        <f>IF($J940="","",$A940&amp;"|"&amp;RIGHT("000000"&amp;$J940,6))</f>
        <v/>
      </c>
      <c r="L940">
        <f>IF($A940="","",IF(Wages!$G943="",0,Wages!$G943))</f>
        <v/>
      </c>
      <c r="M940">
        <f>IF($A940="","",Wages!$J943)</f>
        <v/>
      </c>
      <c r="N940">
        <f>IF($A940="","",Wages!$D943)</f>
        <v/>
      </c>
      <c r="P940">
        <f>IF(OR(Shares!$B943="",Shares!$C943=""),"",Shares!$C943)</f>
        <v/>
      </c>
      <c r="Q940">
        <f>IF($P940="","",Shares!$B943)</f>
        <v/>
      </c>
      <c r="R940">
        <f>IF($P940="","",IFERROR(INDEX(WageParty,MATCH($Q940,WageIds,0)),""))</f>
        <v/>
      </c>
      <c r="S940">
        <f>IF($P940="","",IFERROR(INDEX($F$6:$F$2005,MATCH($Q940,WageIds,0)),""))</f>
        <v/>
      </c>
      <c r="T940">
        <f>IF(OR($P940="",$S940="",$S940="نامعتبر"),"",LEFT($S940,4)&amp;MID($S940,6,2)&amp;RIGHT($S940,2)&amp;"0000"&amp;"|"&amp;"2"&amp;RIGHT("00000"&amp;935,5))</f>
        <v/>
      </c>
      <c r="U940">
        <f>IF($T940="","",COUNTIFS(LdAParty,$P940,LdAType,1,LdAKey,"&lt;"&amp;$T940)+COUNTIFS(LdBMember,$P940,LdBKey,"&lt;"&amp;$T940)+COUNTIFS(LdCParty,$P940,LdCKey,"&lt;"&amp;$T940)+1)</f>
        <v/>
      </c>
      <c r="V940">
        <f>IF($U940="","",$P940&amp;"|"&amp;RIGHT("000000"&amp;$U940,6))</f>
        <v/>
      </c>
      <c r="W940">
        <f>IF($T940="","",COUNTIFS(LdBGroup,$R940,LdBKey,"&lt;"&amp;$T940)+1)</f>
        <v/>
      </c>
      <c r="X940">
        <f>IF($W940="","",$R940&amp;"|"&amp;RIGHT("000000"&amp;$W940,6))</f>
        <v/>
      </c>
      <c r="Y940">
        <f>IF($P940="","",IF(Shares!$E943="",0,Shares!$E943))</f>
        <v/>
      </c>
      <c r="Z940">
        <f>IF($P940="","",Shares!$H943)</f>
        <v/>
      </c>
      <c r="AE940">
        <f>IF(OR(Sync!$S940="",Sync!$P940=""),"",Sync!$S940)</f>
        <v/>
      </c>
      <c r="AF940">
        <f>IF($AE940="","",IF(ISNUMBER(Sync!$P940),IF(AND(Sync!$P940&gt;=10000101,Sync!$P940&lt;=99991231),INT(Sync!$P940/10000),""),IFERROR(VALUE(TRIM(LEFT(Sync!$P940,FIND("/",Sync!$P940)-1))),"")))</f>
        <v/>
      </c>
      <c r="AG940">
        <f>IF(OR($AE940="",$AF940=""),"",IF(ISNUMBER(Sync!$P940),INT(MOD(Sync!$P940,10000)/100),IFERROR(VALUE(TRIM(LEFT(MID(Sync!$P940,FIND("/",Sync!$P940)+1,20),FIND("/",MID(Sync!$P940,FIND("/",Sync!$P940)+1,20))-1))),"")))</f>
        <v/>
      </c>
      <c r="AH940">
        <f>IF(OR($AE940="",$AF940=""),"",IF(ISNUMBER(Sync!$P940),MOD(Sync!$P940,100),IFERROR(VALUE(TRIM(MID(MID(Sync!$P940,FIND("/",Sync!$P940)+1,20),FIND("/",MID(Sync!$P940,FIND("/",Sync!$P940)+1,20))+1,20))),"")))</f>
        <v/>
      </c>
      <c r="AI940">
        <f>IF($AE940="","",IF(OR($AF940="",$AG940="",$AH940="",$AF940&lt;1300,$AF940&gt;1500,$AG940&lt;1,$AG940&gt;12,$AH940&lt;1,$AH940&gt;31),"نامعتبر",RIGHT("0000"&amp;$AF940,4)&amp;"/"&amp;RIGHT("00"&amp;$AG940,2)&amp;"/"&amp;RIGHT("00"&amp;$AH940,2)))</f>
        <v/>
      </c>
      <c r="AJ940">
        <f>IF($AE940="","",IF(Sync!$Q940="","0000",IF(AND(ISNUMBER(Sync!$Q940),Sync!$Q940&gt;=0,Sync!$Q940&lt;1),RIGHT("00"&amp;HOUR(Sync!$Q940),2)&amp;RIGHT("00"&amp;MINUTE(Sync!$Q940),2),IFERROR(RIGHT("00"&amp;VALUE(LEFT(Sync!$Q940,FIND(":",Sync!$Q940)-1)),2)&amp;RIGHT("00"&amp;VALUE(MID(Sync!$Q940,FIND(":",Sync!$Q940)+1,2)),2),"0000"))))</f>
        <v/>
      </c>
      <c r="AK940">
        <f>IF(OR($AE940="",$AI940="",$AI940="نامعتبر"),"",LEFT($AI940,4)&amp;MID($AI940,6,2)&amp;RIGHT($AI940,2)&amp;$AJ940&amp;"|"&amp;"3"&amp;RIGHT("00000"&amp;935,5))</f>
        <v/>
      </c>
      <c r="AL940">
        <f>IF($AK940="","",COUNTIFS(LdAParty,$AE940,LdAType,1,LdAKey,"&lt;"&amp;$AK940)+COUNTIFS(LdBMember,$AE940,LdBKey,"&lt;"&amp;$AK940)+COUNTIFS(LdCParty,$AE940,LdCKey,"&lt;"&amp;$AK940)+1)</f>
        <v/>
      </c>
      <c r="AM940">
        <f>IF($AL940="","",$AE940&amp;"|"&amp;RIGHT("000000"&amp;$AL940,6))</f>
        <v/>
      </c>
      <c r="AN940">
        <f>IF($AE940="","",IF(Sync!$W940="",0,Sync!$W940))</f>
        <v/>
      </c>
      <c r="AO940">
        <f>IF($AE940="","",IF(Sync!$X940="",0,Sync!$X940))</f>
        <v/>
      </c>
      <c r="AP940">
        <f>IF($AE940="","",Sync!$R940)</f>
        <v/>
      </c>
      <c r="AQ940">
        <f>IF($AE940="","",Sync!$Y940)</f>
        <v/>
      </c>
    </row>
    <row r="941">
      <c r="A941">
        <f>IF(OR(Wages!$B944="",Wages!$E944=""),"",Wages!$E944)</f>
        <v/>
      </c>
      <c r="B941">
        <f>IF($A941="","",IF(Wages!$C944="دستمزد گروهی",2,1))</f>
        <v/>
      </c>
      <c r="C941">
        <f>IF($A941="","",IF(ISNUMBER(Wages!$B944),IF(AND(Wages!$B944&gt;=10000101,Wages!$B944&lt;=99991231),INT(Wages!$B944/10000),""),IFERROR(VALUE(TRIM(LEFT(Wages!$B944,FIND("/",Wages!$B944)-1))),"")))</f>
        <v/>
      </c>
      <c r="D941">
        <f>IF(OR($A941="",$C941=""),"",IF(ISNUMBER(Wages!$B944),INT(MOD(Wages!$B944,10000)/100),IFERROR(VALUE(TRIM(LEFT(MID(Wages!$B944,FIND("/",Wages!$B944)+1,20),FIND("/",MID(Wages!$B944,FIND("/",Wages!$B944)+1,20))-1))),"")))</f>
        <v/>
      </c>
      <c r="E941">
        <f>IF(OR($A941="",$C941=""),"",IF(ISNUMBER(Wages!$B944),MOD(Wages!$B944,100),IFERROR(VALUE(TRIM(MID(MID(Wages!$B944,FIND("/",Wages!$B944)+1,20),FIND("/",MID(Wages!$B944,FIND("/",Wages!$B944)+1,20))+1,20))),"")))</f>
        <v/>
      </c>
      <c r="F941">
        <f>IF($A941="","",IF(OR($C941="",$D941="",$E941="",$C941&lt;1300,$C941&gt;1500,$D941&lt;1,$D941&gt;12,$E941&lt;1,$E941&gt;31),"نامعتبر",RIGHT("0000"&amp;$C941,4)&amp;"/"&amp;RIGHT("00"&amp;$D941,2)&amp;"/"&amp;RIGHT("00"&amp;$E941,2)))</f>
        <v/>
      </c>
      <c r="G941">
        <f>IF(OR($A941="",$F941="",$F941="نامعتبر"),"",LEFT($F941,4)&amp;MID($F941,6,2)&amp;RIGHT($F941,2)&amp;"0000"&amp;"|"&amp;"1"&amp;RIGHT("00000"&amp;936,5))</f>
        <v/>
      </c>
      <c r="H941">
        <f>IF(OR($B941&lt;&gt;1,$G941=""),"",COUNTIFS(LdAParty,$A941,LdAType,1,LdAKey,"&lt;"&amp;$G941)+COUNTIFS(LdBMember,$A941,LdBKey,"&lt;"&amp;$G941)+COUNTIFS(LdCParty,$A941,LdCKey,"&lt;"&amp;$G941)+1)</f>
        <v/>
      </c>
      <c r="I941">
        <f>IF($H941="","",$A941&amp;"|"&amp;RIGHT("000000"&amp;$H941,6))</f>
        <v/>
      </c>
      <c r="J941">
        <f>IF(OR($B941&lt;&gt;2,$G941=""),"",COUNTIFS(LdAParty,$A941,LdAType,2,LdAKey,"&lt;"&amp;$G941)+1)</f>
        <v/>
      </c>
      <c r="K941">
        <f>IF($J941="","",$A941&amp;"|"&amp;RIGHT("000000"&amp;$J941,6))</f>
        <v/>
      </c>
      <c r="L941">
        <f>IF($A941="","",IF(Wages!$G944="",0,Wages!$G944))</f>
        <v/>
      </c>
      <c r="M941">
        <f>IF($A941="","",Wages!$J944)</f>
        <v/>
      </c>
      <c r="N941">
        <f>IF($A941="","",Wages!$D944)</f>
        <v/>
      </c>
      <c r="P941">
        <f>IF(OR(Shares!$B944="",Shares!$C944=""),"",Shares!$C944)</f>
        <v/>
      </c>
      <c r="Q941">
        <f>IF($P941="","",Shares!$B944)</f>
        <v/>
      </c>
      <c r="R941">
        <f>IF($P941="","",IFERROR(INDEX(WageParty,MATCH($Q941,WageIds,0)),""))</f>
        <v/>
      </c>
      <c r="S941">
        <f>IF($P941="","",IFERROR(INDEX($F$6:$F$2005,MATCH($Q941,WageIds,0)),""))</f>
        <v/>
      </c>
      <c r="T941">
        <f>IF(OR($P941="",$S941="",$S941="نامعتبر"),"",LEFT($S941,4)&amp;MID($S941,6,2)&amp;RIGHT($S941,2)&amp;"0000"&amp;"|"&amp;"2"&amp;RIGHT("00000"&amp;936,5))</f>
        <v/>
      </c>
      <c r="U941">
        <f>IF($T941="","",COUNTIFS(LdAParty,$P941,LdAType,1,LdAKey,"&lt;"&amp;$T941)+COUNTIFS(LdBMember,$P941,LdBKey,"&lt;"&amp;$T941)+COUNTIFS(LdCParty,$P941,LdCKey,"&lt;"&amp;$T941)+1)</f>
        <v/>
      </c>
      <c r="V941">
        <f>IF($U941="","",$P941&amp;"|"&amp;RIGHT("000000"&amp;$U941,6))</f>
        <v/>
      </c>
      <c r="W941">
        <f>IF($T941="","",COUNTIFS(LdBGroup,$R941,LdBKey,"&lt;"&amp;$T941)+1)</f>
        <v/>
      </c>
      <c r="X941">
        <f>IF($W941="","",$R941&amp;"|"&amp;RIGHT("000000"&amp;$W941,6))</f>
        <v/>
      </c>
      <c r="Y941">
        <f>IF($P941="","",IF(Shares!$E944="",0,Shares!$E944))</f>
        <v/>
      </c>
      <c r="Z941">
        <f>IF($P941="","",Shares!$H944)</f>
        <v/>
      </c>
      <c r="AE941">
        <f>IF(OR(Sync!$S941="",Sync!$P941=""),"",Sync!$S941)</f>
        <v/>
      </c>
      <c r="AF941">
        <f>IF($AE941="","",IF(ISNUMBER(Sync!$P941),IF(AND(Sync!$P941&gt;=10000101,Sync!$P941&lt;=99991231),INT(Sync!$P941/10000),""),IFERROR(VALUE(TRIM(LEFT(Sync!$P941,FIND("/",Sync!$P941)-1))),"")))</f>
        <v/>
      </c>
      <c r="AG941">
        <f>IF(OR($AE941="",$AF941=""),"",IF(ISNUMBER(Sync!$P941),INT(MOD(Sync!$P941,10000)/100),IFERROR(VALUE(TRIM(LEFT(MID(Sync!$P941,FIND("/",Sync!$P941)+1,20),FIND("/",MID(Sync!$P941,FIND("/",Sync!$P941)+1,20))-1))),"")))</f>
        <v/>
      </c>
      <c r="AH941">
        <f>IF(OR($AE941="",$AF941=""),"",IF(ISNUMBER(Sync!$P941),MOD(Sync!$P941,100),IFERROR(VALUE(TRIM(MID(MID(Sync!$P941,FIND("/",Sync!$P941)+1,20),FIND("/",MID(Sync!$P941,FIND("/",Sync!$P941)+1,20))+1,20))),"")))</f>
        <v/>
      </c>
      <c r="AI941">
        <f>IF($AE941="","",IF(OR($AF941="",$AG941="",$AH941="",$AF941&lt;1300,$AF941&gt;1500,$AG941&lt;1,$AG941&gt;12,$AH941&lt;1,$AH941&gt;31),"نامعتبر",RIGHT("0000"&amp;$AF941,4)&amp;"/"&amp;RIGHT("00"&amp;$AG941,2)&amp;"/"&amp;RIGHT("00"&amp;$AH941,2)))</f>
        <v/>
      </c>
      <c r="AJ941">
        <f>IF($AE941="","",IF(Sync!$Q941="","0000",IF(AND(ISNUMBER(Sync!$Q941),Sync!$Q941&gt;=0,Sync!$Q941&lt;1),RIGHT("00"&amp;HOUR(Sync!$Q941),2)&amp;RIGHT("00"&amp;MINUTE(Sync!$Q941),2),IFERROR(RIGHT("00"&amp;VALUE(LEFT(Sync!$Q941,FIND(":",Sync!$Q941)-1)),2)&amp;RIGHT("00"&amp;VALUE(MID(Sync!$Q941,FIND(":",Sync!$Q941)+1,2)),2),"0000"))))</f>
        <v/>
      </c>
      <c r="AK941">
        <f>IF(OR($AE941="",$AI941="",$AI941="نامعتبر"),"",LEFT($AI941,4)&amp;MID($AI941,6,2)&amp;RIGHT($AI941,2)&amp;$AJ941&amp;"|"&amp;"3"&amp;RIGHT("00000"&amp;936,5))</f>
        <v/>
      </c>
      <c r="AL941">
        <f>IF($AK941="","",COUNTIFS(LdAParty,$AE941,LdAType,1,LdAKey,"&lt;"&amp;$AK941)+COUNTIFS(LdBMember,$AE941,LdBKey,"&lt;"&amp;$AK941)+COUNTIFS(LdCParty,$AE941,LdCKey,"&lt;"&amp;$AK941)+1)</f>
        <v/>
      </c>
      <c r="AM941">
        <f>IF($AL941="","",$AE941&amp;"|"&amp;RIGHT("000000"&amp;$AL941,6))</f>
        <v/>
      </c>
      <c r="AN941">
        <f>IF($AE941="","",IF(Sync!$W941="",0,Sync!$W941))</f>
        <v/>
      </c>
      <c r="AO941">
        <f>IF($AE941="","",IF(Sync!$X941="",0,Sync!$X941))</f>
        <v/>
      </c>
      <c r="AP941">
        <f>IF($AE941="","",Sync!$R941)</f>
        <v/>
      </c>
      <c r="AQ941">
        <f>IF($AE941="","",Sync!$Y941)</f>
        <v/>
      </c>
    </row>
    <row r="942">
      <c r="A942">
        <f>IF(OR(Wages!$B945="",Wages!$E945=""),"",Wages!$E945)</f>
        <v/>
      </c>
      <c r="B942">
        <f>IF($A942="","",IF(Wages!$C945="دستمزد گروهی",2,1))</f>
        <v/>
      </c>
      <c r="C942">
        <f>IF($A942="","",IF(ISNUMBER(Wages!$B945),IF(AND(Wages!$B945&gt;=10000101,Wages!$B945&lt;=99991231),INT(Wages!$B945/10000),""),IFERROR(VALUE(TRIM(LEFT(Wages!$B945,FIND("/",Wages!$B945)-1))),"")))</f>
        <v/>
      </c>
      <c r="D942">
        <f>IF(OR($A942="",$C942=""),"",IF(ISNUMBER(Wages!$B945),INT(MOD(Wages!$B945,10000)/100),IFERROR(VALUE(TRIM(LEFT(MID(Wages!$B945,FIND("/",Wages!$B945)+1,20),FIND("/",MID(Wages!$B945,FIND("/",Wages!$B945)+1,20))-1))),"")))</f>
        <v/>
      </c>
      <c r="E942">
        <f>IF(OR($A942="",$C942=""),"",IF(ISNUMBER(Wages!$B945),MOD(Wages!$B945,100),IFERROR(VALUE(TRIM(MID(MID(Wages!$B945,FIND("/",Wages!$B945)+1,20),FIND("/",MID(Wages!$B945,FIND("/",Wages!$B945)+1,20))+1,20))),"")))</f>
        <v/>
      </c>
      <c r="F942">
        <f>IF($A942="","",IF(OR($C942="",$D942="",$E942="",$C942&lt;1300,$C942&gt;1500,$D942&lt;1,$D942&gt;12,$E942&lt;1,$E942&gt;31),"نامعتبر",RIGHT("0000"&amp;$C942,4)&amp;"/"&amp;RIGHT("00"&amp;$D942,2)&amp;"/"&amp;RIGHT("00"&amp;$E942,2)))</f>
        <v/>
      </c>
      <c r="G942">
        <f>IF(OR($A942="",$F942="",$F942="نامعتبر"),"",LEFT($F942,4)&amp;MID($F942,6,2)&amp;RIGHT($F942,2)&amp;"0000"&amp;"|"&amp;"1"&amp;RIGHT("00000"&amp;937,5))</f>
        <v/>
      </c>
      <c r="H942">
        <f>IF(OR($B942&lt;&gt;1,$G942=""),"",COUNTIFS(LdAParty,$A942,LdAType,1,LdAKey,"&lt;"&amp;$G942)+COUNTIFS(LdBMember,$A942,LdBKey,"&lt;"&amp;$G942)+COUNTIFS(LdCParty,$A942,LdCKey,"&lt;"&amp;$G942)+1)</f>
        <v/>
      </c>
      <c r="I942">
        <f>IF($H942="","",$A942&amp;"|"&amp;RIGHT("000000"&amp;$H942,6))</f>
        <v/>
      </c>
      <c r="J942">
        <f>IF(OR($B942&lt;&gt;2,$G942=""),"",COUNTIFS(LdAParty,$A942,LdAType,2,LdAKey,"&lt;"&amp;$G942)+1)</f>
        <v/>
      </c>
      <c r="K942">
        <f>IF($J942="","",$A942&amp;"|"&amp;RIGHT("000000"&amp;$J942,6))</f>
        <v/>
      </c>
      <c r="L942">
        <f>IF($A942="","",IF(Wages!$G945="",0,Wages!$G945))</f>
        <v/>
      </c>
      <c r="M942">
        <f>IF($A942="","",Wages!$J945)</f>
        <v/>
      </c>
      <c r="N942">
        <f>IF($A942="","",Wages!$D945)</f>
        <v/>
      </c>
      <c r="P942">
        <f>IF(OR(Shares!$B945="",Shares!$C945=""),"",Shares!$C945)</f>
        <v/>
      </c>
      <c r="Q942">
        <f>IF($P942="","",Shares!$B945)</f>
        <v/>
      </c>
      <c r="R942">
        <f>IF($P942="","",IFERROR(INDEX(WageParty,MATCH($Q942,WageIds,0)),""))</f>
        <v/>
      </c>
      <c r="S942">
        <f>IF($P942="","",IFERROR(INDEX($F$6:$F$2005,MATCH($Q942,WageIds,0)),""))</f>
        <v/>
      </c>
      <c r="T942">
        <f>IF(OR($P942="",$S942="",$S942="نامعتبر"),"",LEFT($S942,4)&amp;MID($S942,6,2)&amp;RIGHT($S942,2)&amp;"0000"&amp;"|"&amp;"2"&amp;RIGHT("00000"&amp;937,5))</f>
        <v/>
      </c>
      <c r="U942">
        <f>IF($T942="","",COUNTIFS(LdAParty,$P942,LdAType,1,LdAKey,"&lt;"&amp;$T942)+COUNTIFS(LdBMember,$P942,LdBKey,"&lt;"&amp;$T942)+COUNTIFS(LdCParty,$P942,LdCKey,"&lt;"&amp;$T942)+1)</f>
        <v/>
      </c>
      <c r="V942">
        <f>IF($U942="","",$P942&amp;"|"&amp;RIGHT("000000"&amp;$U942,6))</f>
        <v/>
      </c>
      <c r="W942">
        <f>IF($T942="","",COUNTIFS(LdBGroup,$R942,LdBKey,"&lt;"&amp;$T942)+1)</f>
        <v/>
      </c>
      <c r="X942">
        <f>IF($W942="","",$R942&amp;"|"&amp;RIGHT("000000"&amp;$W942,6))</f>
        <v/>
      </c>
      <c r="Y942">
        <f>IF($P942="","",IF(Shares!$E945="",0,Shares!$E945))</f>
        <v/>
      </c>
      <c r="Z942">
        <f>IF($P942="","",Shares!$H945)</f>
        <v/>
      </c>
      <c r="AE942">
        <f>IF(OR(Sync!$S942="",Sync!$P942=""),"",Sync!$S942)</f>
        <v/>
      </c>
      <c r="AF942">
        <f>IF($AE942="","",IF(ISNUMBER(Sync!$P942),IF(AND(Sync!$P942&gt;=10000101,Sync!$P942&lt;=99991231),INT(Sync!$P942/10000),""),IFERROR(VALUE(TRIM(LEFT(Sync!$P942,FIND("/",Sync!$P942)-1))),"")))</f>
        <v/>
      </c>
      <c r="AG942">
        <f>IF(OR($AE942="",$AF942=""),"",IF(ISNUMBER(Sync!$P942),INT(MOD(Sync!$P942,10000)/100),IFERROR(VALUE(TRIM(LEFT(MID(Sync!$P942,FIND("/",Sync!$P942)+1,20),FIND("/",MID(Sync!$P942,FIND("/",Sync!$P942)+1,20))-1))),"")))</f>
        <v/>
      </c>
      <c r="AH942">
        <f>IF(OR($AE942="",$AF942=""),"",IF(ISNUMBER(Sync!$P942),MOD(Sync!$P942,100),IFERROR(VALUE(TRIM(MID(MID(Sync!$P942,FIND("/",Sync!$P942)+1,20),FIND("/",MID(Sync!$P942,FIND("/",Sync!$P942)+1,20))+1,20))),"")))</f>
        <v/>
      </c>
      <c r="AI942">
        <f>IF($AE942="","",IF(OR($AF942="",$AG942="",$AH942="",$AF942&lt;1300,$AF942&gt;1500,$AG942&lt;1,$AG942&gt;12,$AH942&lt;1,$AH942&gt;31),"نامعتبر",RIGHT("0000"&amp;$AF942,4)&amp;"/"&amp;RIGHT("00"&amp;$AG942,2)&amp;"/"&amp;RIGHT("00"&amp;$AH942,2)))</f>
        <v/>
      </c>
      <c r="AJ942">
        <f>IF($AE942="","",IF(Sync!$Q942="","0000",IF(AND(ISNUMBER(Sync!$Q942),Sync!$Q942&gt;=0,Sync!$Q942&lt;1),RIGHT("00"&amp;HOUR(Sync!$Q942),2)&amp;RIGHT("00"&amp;MINUTE(Sync!$Q942),2),IFERROR(RIGHT("00"&amp;VALUE(LEFT(Sync!$Q942,FIND(":",Sync!$Q942)-1)),2)&amp;RIGHT("00"&amp;VALUE(MID(Sync!$Q942,FIND(":",Sync!$Q942)+1,2)),2),"0000"))))</f>
        <v/>
      </c>
      <c r="AK942">
        <f>IF(OR($AE942="",$AI942="",$AI942="نامعتبر"),"",LEFT($AI942,4)&amp;MID($AI942,6,2)&amp;RIGHT($AI942,2)&amp;$AJ942&amp;"|"&amp;"3"&amp;RIGHT("00000"&amp;937,5))</f>
        <v/>
      </c>
      <c r="AL942">
        <f>IF($AK942="","",COUNTIFS(LdAParty,$AE942,LdAType,1,LdAKey,"&lt;"&amp;$AK942)+COUNTIFS(LdBMember,$AE942,LdBKey,"&lt;"&amp;$AK942)+COUNTIFS(LdCParty,$AE942,LdCKey,"&lt;"&amp;$AK942)+1)</f>
        <v/>
      </c>
      <c r="AM942">
        <f>IF($AL942="","",$AE942&amp;"|"&amp;RIGHT("000000"&amp;$AL942,6))</f>
        <v/>
      </c>
      <c r="AN942">
        <f>IF($AE942="","",IF(Sync!$W942="",0,Sync!$W942))</f>
        <v/>
      </c>
      <c r="AO942">
        <f>IF($AE942="","",IF(Sync!$X942="",0,Sync!$X942))</f>
        <v/>
      </c>
      <c r="AP942">
        <f>IF($AE942="","",Sync!$R942)</f>
        <v/>
      </c>
      <c r="AQ942">
        <f>IF($AE942="","",Sync!$Y942)</f>
        <v/>
      </c>
    </row>
    <row r="943">
      <c r="A943">
        <f>IF(OR(Wages!$B946="",Wages!$E946=""),"",Wages!$E946)</f>
        <v/>
      </c>
      <c r="B943">
        <f>IF($A943="","",IF(Wages!$C946="دستمزد گروهی",2,1))</f>
        <v/>
      </c>
      <c r="C943">
        <f>IF($A943="","",IF(ISNUMBER(Wages!$B946),IF(AND(Wages!$B946&gt;=10000101,Wages!$B946&lt;=99991231),INT(Wages!$B946/10000),""),IFERROR(VALUE(TRIM(LEFT(Wages!$B946,FIND("/",Wages!$B946)-1))),"")))</f>
        <v/>
      </c>
      <c r="D943">
        <f>IF(OR($A943="",$C943=""),"",IF(ISNUMBER(Wages!$B946),INT(MOD(Wages!$B946,10000)/100),IFERROR(VALUE(TRIM(LEFT(MID(Wages!$B946,FIND("/",Wages!$B946)+1,20),FIND("/",MID(Wages!$B946,FIND("/",Wages!$B946)+1,20))-1))),"")))</f>
        <v/>
      </c>
      <c r="E943">
        <f>IF(OR($A943="",$C943=""),"",IF(ISNUMBER(Wages!$B946),MOD(Wages!$B946,100),IFERROR(VALUE(TRIM(MID(MID(Wages!$B946,FIND("/",Wages!$B946)+1,20),FIND("/",MID(Wages!$B946,FIND("/",Wages!$B946)+1,20))+1,20))),"")))</f>
        <v/>
      </c>
      <c r="F943">
        <f>IF($A943="","",IF(OR($C943="",$D943="",$E943="",$C943&lt;1300,$C943&gt;1500,$D943&lt;1,$D943&gt;12,$E943&lt;1,$E943&gt;31),"نامعتبر",RIGHT("0000"&amp;$C943,4)&amp;"/"&amp;RIGHT("00"&amp;$D943,2)&amp;"/"&amp;RIGHT("00"&amp;$E943,2)))</f>
        <v/>
      </c>
      <c r="G943">
        <f>IF(OR($A943="",$F943="",$F943="نامعتبر"),"",LEFT($F943,4)&amp;MID($F943,6,2)&amp;RIGHT($F943,2)&amp;"0000"&amp;"|"&amp;"1"&amp;RIGHT("00000"&amp;938,5))</f>
        <v/>
      </c>
      <c r="H943">
        <f>IF(OR($B943&lt;&gt;1,$G943=""),"",COUNTIFS(LdAParty,$A943,LdAType,1,LdAKey,"&lt;"&amp;$G943)+COUNTIFS(LdBMember,$A943,LdBKey,"&lt;"&amp;$G943)+COUNTIFS(LdCParty,$A943,LdCKey,"&lt;"&amp;$G943)+1)</f>
        <v/>
      </c>
      <c r="I943">
        <f>IF($H943="","",$A943&amp;"|"&amp;RIGHT("000000"&amp;$H943,6))</f>
        <v/>
      </c>
      <c r="J943">
        <f>IF(OR($B943&lt;&gt;2,$G943=""),"",COUNTIFS(LdAParty,$A943,LdAType,2,LdAKey,"&lt;"&amp;$G943)+1)</f>
        <v/>
      </c>
      <c r="K943">
        <f>IF($J943="","",$A943&amp;"|"&amp;RIGHT("000000"&amp;$J943,6))</f>
        <v/>
      </c>
      <c r="L943">
        <f>IF($A943="","",IF(Wages!$G946="",0,Wages!$G946))</f>
        <v/>
      </c>
      <c r="M943">
        <f>IF($A943="","",Wages!$J946)</f>
        <v/>
      </c>
      <c r="N943">
        <f>IF($A943="","",Wages!$D946)</f>
        <v/>
      </c>
      <c r="P943">
        <f>IF(OR(Shares!$B946="",Shares!$C946=""),"",Shares!$C946)</f>
        <v/>
      </c>
      <c r="Q943">
        <f>IF($P943="","",Shares!$B946)</f>
        <v/>
      </c>
      <c r="R943">
        <f>IF($P943="","",IFERROR(INDEX(WageParty,MATCH($Q943,WageIds,0)),""))</f>
        <v/>
      </c>
      <c r="S943">
        <f>IF($P943="","",IFERROR(INDEX($F$6:$F$2005,MATCH($Q943,WageIds,0)),""))</f>
        <v/>
      </c>
      <c r="T943">
        <f>IF(OR($P943="",$S943="",$S943="نامعتبر"),"",LEFT($S943,4)&amp;MID($S943,6,2)&amp;RIGHT($S943,2)&amp;"0000"&amp;"|"&amp;"2"&amp;RIGHT("00000"&amp;938,5))</f>
        <v/>
      </c>
      <c r="U943">
        <f>IF($T943="","",COUNTIFS(LdAParty,$P943,LdAType,1,LdAKey,"&lt;"&amp;$T943)+COUNTIFS(LdBMember,$P943,LdBKey,"&lt;"&amp;$T943)+COUNTIFS(LdCParty,$P943,LdCKey,"&lt;"&amp;$T943)+1)</f>
        <v/>
      </c>
      <c r="V943">
        <f>IF($U943="","",$P943&amp;"|"&amp;RIGHT("000000"&amp;$U943,6))</f>
        <v/>
      </c>
      <c r="W943">
        <f>IF($T943="","",COUNTIFS(LdBGroup,$R943,LdBKey,"&lt;"&amp;$T943)+1)</f>
        <v/>
      </c>
      <c r="X943">
        <f>IF($W943="","",$R943&amp;"|"&amp;RIGHT("000000"&amp;$W943,6))</f>
        <v/>
      </c>
      <c r="Y943">
        <f>IF($P943="","",IF(Shares!$E946="",0,Shares!$E946))</f>
        <v/>
      </c>
      <c r="Z943">
        <f>IF($P943="","",Shares!$H946)</f>
        <v/>
      </c>
      <c r="AE943">
        <f>IF(OR(Sync!$S943="",Sync!$P943=""),"",Sync!$S943)</f>
        <v/>
      </c>
      <c r="AF943">
        <f>IF($AE943="","",IF(ISNUMBER(Sync!$P943),IF(AND(Sync!$P943&gt;=10000101,Sync!$P943&lt;=99991231),INT(Sync!$P943/10000),""),IFERROR(VALUE(TRIM(LEFT(Sync!$P943,FIND("/",Sync!$P943)-1))),"")))</f>
        <v/>
      </c>
      <c r="AG943">
        <f>IF(OR($AE943="",$AF943=""),"",IF(ISNUMBER(Sync!$P943),INT(MOD(Sync!$P943,10000)/100),IFERROR(VALUE(TRIM(LEFT(MID(Sync!$P943,FIND("/",Sync!$P943)+1,20),FIND("/",MID(Sync!$P943,FIND("/",Sync!$P943)+1,20))-1))),"")))</f>
        <v/>
      </c>
      <c r="AH943">
        <f>IF(OR($AE943="",$AF943=""),"",IF(ISNUMBER(Sync!$P943),MOD(Sync!$P943,100),IFERROR(VALUE(TRIM(MID(MID(Sync!$P943,FIND("/",Sync!$P943)+1,20),FIND("/",MID(Sync!$P943,FIND("/",Sync!$P943)+1,20))+1,20))),"")))</f>
        <v/>
      </c>
      <c r="AI943">
        <f>IF($AE943="","",IF(OR($AF943="",$AG943="",$AH943="",$AF943&lt;1300,$AF943&gt;1500,$AG943&lt;1,$AG943&gt;12,$AH943&lt;1,$AH943&gt;31),"نامعتبر",RIGHT("0000"&amp;$AF943,4)&amp;"/"&amp;RIGHT("00"&amp;$AG943,2)&amp;"/"&amp;RIGHT("00"&amp;$AH943,2)))</f>
        <v/>
      </c>
      <c r="AJ943">
        <f>IF($AE943="","",IF(Sync!$Q943="","0000",IF(AND(ISNUMBER(Sync!$Q943),Sync!$Q943&gt;=0,Sync!$Q943&lt;1),RIGHT("00"&amp;HOUR(Sync!$Q943),2)&amp;RIGHT("00"&amp;MINUTE(Sync!$Q943),2),IFERROR(RIGHT("00"&amp;VALUE(LEFT(Sync!$Q943,FIND(":",Sync!$Q943)-1)),2)&amp;RIGHT("00"&amp;VALUE(MID(Sync!$Q943,FIND(":",Sync!$Q943)+1,2)),2),"0000"))))</f>
        <v/>
      </c>
      <c r="AK943">
        <f>IF(OR($AE943="",$AI943="",$AI943="نامعتبر"),"",LEFT($AI943,4)&amp;MID($AI943,6,2)&amp;RIGHT($AI943,2)&amp;$AJ943&amp;"|"&amp;"3"&amp;RIGHT("00000"&amp;938,5))</f>
        <v/>
      </c>
      <c r="AL943">
        <f>IF($AK943="","",COUNTIFS(LdAParty,$AE943,LdAType,1,LdAKey,"&lt;"&amp;$AK943)+COUNTIFS(LdBMember,$AE943,LdBKey,"&lt;"&amp;$AK943)+COUNTIFS(LdCParty,$AE943,LdCKey,"&lt;"&amp;$AK943)+1)</f>
        <v/>
      </c>
      <c r="AM943">
        <f>IF($AL943="","",$AE943&amp;"|"&amp;RIGHT("000000"&amp;$AL943,6))</f>
        <v/>
      </c>
      <c r="AN943">
        <f>IF($AE943="","",IF(Sync!$W943="",0,Sync!$W943))</f>
        <v/>
      </c>
      <c r="AO943">
        <f>IF($AE943="","",IF(Sync!$X943="",0,Sync!$X943))</f>
        <v/>
      </c>
      <c r="AP943">
        <f>IF($AE943="","",Sync!$R943)</f>
        <v/>
      </c>
      <c r="AQ943">
        <f>IF($AE943="","",Sync!$Y943)</f>
        <v/>
      </c>
    </row>
    <row r="944">
      <c r="A944">
        <f>IF(OR(Wages!$B947="",Wages!$E947=""),"",Wages!$E947)</f>
        <v/>
      </c>
      <c r="B944">
        <f>IF($A944="","",IF(Wages!$C947="دستمزد گروهی",2,1))</f>
        <v/>
      </c>
      <c r="C944">
        <f>IF($A944="","",IF(ISNUMBER(Wages!$B947),IF(AND(Wages!$B947&gt;=10000101,Wages!$B947&lt;=99991231),INT(Wages!$B947/10000),""),IFERROR(VALUE(TRIM(LEFT(Wages!$B947,FIND("/",Wages!$B947)-1))),"")))</f>
        <v/>
      </c>
      <c r="D944">
        <f>IF(OR($A944="",$C944=""),"",IF(ISNUMBER(Wages!$B947),INT(MOD(Wages!$B947,10000)/100),IFERROR(VALUE(TRIM(LEFT(MID(Wages!$B947,FIND("/",Wages!$B947)+1,20),FIND("/",MID(Wages!$B947,FIND("/",Wages!$B947)+1,20))-1))),"")))</f>
        <v/>
      </c>
      <c r="E944">
        <f>IF(OR($A944="",$C944=""),"",IF(ISNUMBER(Wages!$B947),MOD(Wages!$B947,100),IFERROR(VALUE(TRIM(MID(MID(Wages!$B947,FIND("/",Wages!$B947)+1,20),FIND("/",MID(Wages!$B947,FIND("/",Wages!$B947)+1,20))+1,20))),"")))</f>
        <v/>
      </c>
      <c r="F944">
        <f>IF($A944="","",IF(OR($C944="",$D944="",$E944="",$C944&lt;1300,$C944&gt;1500,$D944&lt;1,$D944&gt;12,$E944&lt;1,$E944&gt;31),"نامعتبر",RIGHT("0000"&amp;$C944,4)&amp;"/"&amp;RIGHT("00"&amp;$D944,2)&amp;"/"&amp;RIGHT("00"&amp;$E944,2)))</f>
        <v/>
      </c>
      <c r="G944">
        <f>IF(OR($A944="",$F944="",$F944="نامعتبر"),"",LEFT($F944,4)&amp;MID($F944,6,2)&amp;RIGHT($F944,2)&amp;"0000"&amp;"|"&amp;"1"&amp;RIGHT("00000"&amp;939,5))</f>
        <v/>
      </c>
      <c r="H944">
        <f>IF(OR($B944&lt;&gt;1,$G944=""),"",COUNTIFS(LdAParty,$A944,LdAType,1,LdAKey,"&lt;"&amp;$G944)+COUNTIFS(LdBMember,$A944,LdBKey,"&lt;"&amp;$G944)+COUNTIFS(LdCParty,$A944,LdCKey,"&lt;"&amp;$G944)+1)</f>
        <v/>
      </c>
      <c r="I944">
        <f>IF($H944="","",$A944&amp;"|"&amp;RIGHT("000000"&amp;$H944,6))</f>
        <v/>
      </c>
      <c r="J944">
        <f>IF(OR($B944&lt;&gt;2,$G944=""),"",COUNTIFS(LdAParty,$A944,LdAType,2,LdAKey,"&lt;"&amp;$G944)+1)</f>
        <v/>
      </c>
      <c r="K944">
        <f>IF($J944="","",$A944&amp;"|"&amp;RIGHT("000000"&amp;$J944,6))</f>
        <v/>
      </c>
      <c r="L944">
        <f>IF($A944="","",IF(Wages!$G947="",0,Wages!$G947))</f>
        <v/>
      </c>
      <c r="M944">
        <f>IF($A944="","",Wages!$J947)</f>
        <v/>
      </c>
      <c r="N944">
        <f>IF($A944="","",Wages!$D947)</f>
        <v/>
      </c>
      <c r="P944">
        <f>IF(OR(Shares!$B947="",Shares!$C947=""),"",Shares!$C947)</f>
        <v/>
      </c>
      <c r="Q944">
        <f>IF($P944="","",Shares!$B947)</f>
        <v/>
      </c>
      <c r="R944">
        <f>IF($P944="","",IFERROR(INDEX(WageParty,MATCH($Q944,WageIds,0)),""))</f>
        <v/>
      </c>
      <c r="S944">
        <f>IF($P944="","",IFERROR(INDEX($F$6:$F$2005,MATCH($Q944,WageIds,0)),""))</f>
        <v/>
      </c>
      <c r="T944">
        <f>IF(OR($P944="",$S944="",$S944="نامعتبر"),"",LEFT($S944,4)&amp;MID($S944,6,2)&amp;RIGHT($S944,2)&amp;"0000"&amp;"|"&amp;"2"&amp;RIGHT("00000"&amp;939,5))</f>
        <v/>
      </c>
      <c r="U944">
        <f>IF($T944="","",COUNTIFS(LdAParty,$P944,LdAType,1,LdAKey,"&lt;"&amp;$T944)+COUNTIFS(LdBMember,$P944,LdBKey,"&lt;"&amp;$T944)+COUNTIFS(LdCParty,$P944,LdCKey,"&lt;"&amp;$T944)+1)</f>
        <v/>
      </c>
      <c r="V944">
        <f>IF($U944="","",$P944&amp;"|"&amp;RIGHT("000000"&amp;$U944,6))</f>
        <v/>
      </c>
      <c r="W944">
        <f>IF($T944="","",COUNTIFS(LdBGroup,$R944,LdBKey,"&lt;"&amp;$T944)+1)</f>
        <v/>
      </c>
      <c r="X944">
        <f>IF($W944="","",$R944&amp;"|"&amp;RIGHT("000000"&amp;$W944,6))</f>
        <v/>
      </c>
      <c r="Y944">
        <f>IF($P944="","",IF(Shares!$E947="",0,Shares!$E947))</f>
        <v/>
      </c>
      <c r="Z944">
        <f>IF($P944="","",Shares!$H947)</f>
        <v/>
      </c>
      <c r="AE944">
        <f>IF(OR(Sync!$S944="",Sync!$P944=""),"",Sync!$S944)</f>
        <v/>
      </c>
      <c r="AF944">
        <f>IF($AE944="","",IF(ISNUMBER(Sync!$P944),IF(AND(Sync!$P944&gt;=10000101,Sync!$P944&lt;=99991231),INT(Sync!$P944/10000),""),IFERROR(VALUE(TRIM(LEFT(Sync!$P944,FIND("/",Sync!$P944)-1))),"")))</f>
        <v/>
      </c>
      <c r="AG944">
        <f>IF(OR($AE944="",$AF944=""),"",IF(ISNUMBER(Sync!$P944),INT(MOD(Sync!$P944,10000)/100),IFERROR(VALUE(TRIM(LEFT(MID(Sync!$P944,FIND("/",Sync!$P944)+1,20),FIND("/",MID(Sync!$P944,FIND("/",Sync!$P944)+1,20))-1))),"")))</f>
        <v/>
      </c>
      <c r="AH944">
        <f>IF(OR($AE944="",$AF944=""),"",IF(ISNUMBER(Sync!$P944),MOD(Sync!$P944,100),IFERROR(VALUE(TRIM(MID(MID(Sync!$P944,FIND("/",Sync!$P944)+1,20),FIND("/",MID(Sync!$P944,FIND("/",Sync!$P944)+1,20))+1,20))),"")))</f>
        <v/>
      </c>
      <c r="AI944">
        <f>IF($AE944="","",IF(OR($AF944="",$AG944="",$AH944="",$AF944&lt;1300,$AF944&gt;1500,$AG944&lt;1,$AG944&gt;12,$AH944&lt;1,$AH944&gt;31),"نامعتبر",RIGHT("0000"&amp;$AF944,4)&amp;"/"&amp;RIGHT("00"&amp;$AG944,2)&amp;"/"&amp;RIGHT("00"&amp;$AH944,2)))</f>
        <v/>
      </c>
      <c r="AJ944">
        <f>IF($AE944="","",IF(Sync!$Q944="","0000",IF(AND(ISNUMBER(Sync!$Q944),Sync!$Q944&gt;=0,Sync!$Q944&lt;1),RIGHT("00"&amp;HOUR(Sync!$Q944),2)&amp;RIGHT("00"&amp;MINUTE(Sync!$Q944),2),IFERROR(RIGHT("00"&amp;VALUE(LEFT(Sync!$Q944,FIND(":",Sync!$Q944)-1)),2)&amp;RIGHT("00"&amp;VALUE(MID(Sync!$Q944,FIND(":",Sync!$Q944)+1,2)),2),"0000"))))</f>
        <v/>
      </c>
      <c r="AK944">
        <f>IF(OR($AE944="",$AI944="",$AI944="نامعتبر"),"",LEFT($AI944,4)&amp;MID($AI944,6,2)&amp;RIGHT($AI944,2)&amp;$AJ944&amp;"|"&amp;"3"&amp;RIGHT("00000"&amp;939,5))</f>
        <v/>
      </c>
      <c r="AL944">
        <f>IF($AK944="","",COUNTIFS(LdAParty,$AE944,LdAType,1,LdAKey,"&lt;"&amp;$AK944)+COUNTIFS(LdBMember,$AE944,LdBKey,"&lt;"&amp;$AK944)+COUNTIFS(LdCParty,$AE944,LdCKey,"&lt;"&amp;$AK944)+1)</f>
        <v/>
      </c>
      <c r="AM944">
        <f>IF($AL944="","",$AE944&amp;"|"&amp;RIGHT("000000"&amp;$AL944,6))</f>
        <v/>
      </c>
      <c r="AN944">
        <f>IF($AE944="","",IF(Sync!$W944="",0,Sync!$W944))</f>
        <v/>
      </c>
      <c r="AO944">
        <f>IF($AE944="","",IF(Sync!$X944="",0,Sync!$X944))</f>
        <v/>
      </c>
      <c r="AP944">
        <f>IF($AE944="","",Sync!$R944)</f>
        <v/>
      </c>
      <c r="AQ944">
        <f>IF($AE944="","",Sync!$Y944)</f>
        <v/>
      </c>
    </row>
    <row r="945">
      <c r="A945">
        <f>IF(OR(Wages!$B948="",Wages!$E948=""),"",Wages!$E948)</f>
        <v/>
      </c>
      <c r="B945">
        <f>IF($A945="","",IF(Wages!$C948="دستمزد گروهی",2,1))</f>
        <v/>
      </c>
      <c r="C945">
        <f>IF($A945="","",IF(ISNUMBER(Wages!$B948),IF(AND(Wages!$B948&gt;=10000101,Wages!$B948&lt;=99991231),INT(Wages!$B948/10000),""),IFERROR(VALUE(TRIM(LEFT(Wages!$B948,FIND("/",Wages!$B948)-1))),"")))</f>
        <v/>
      </c>
      <c r="D945">
        <f>IF(OR($A945="",$C945=""),"",IF(ISNUMBER(Wages!$B948),INT(MOD(Wages!$B948,10000)/100),IFERROR(VALUE(TRIM(LEFT(MID(Wages!$B948,FIND("/",Wages!$B948)+1,20),FIND("/",MID(Wages!$B948,FIND("/",Wages!$B948)+1,20))-1))),"")))</f>
        <v/>
      </c>
      <c r="E945">
        <f>IF(OR($A945="",$C945=""),"",IF(ISNUMBER(Wages!$B948),MOD(Wages!$B948,100),IFERROR(VALUE(TRIM(MID(MID(Wages!$B948,FIND("/",Wages!$B948)+1,20),FIND("/",MID(Wages!$B948,FIND("/",Wages!$B948)+1,20))+1,20))),"")))</f>
        <v/>
      </c>
      <c r="F945">
        <f>IF($A945="","",IF(OR($C945="",$D945="",$E945="",$C945&lt;1300,$C945&gt;1500,$D945&lt;1,$D945&gt;12,$E945&lt;1,$E945&gt;31),"نامعتبر",RIGHT("0000"&amp;$C945,4)&amp;"/"&amp;RIGHT("00"&amp;$D945,2)&amp;"/"&amp;RIGHT("00"&amp;$E945,2)))</f>
        <v/>
      </c>
      <c r="G945">
        <f>IF(OR($A945="",$F945="",$F945="نامعتبر"),"",LEFT($F945,4)&amp;MID($F945,6,2)&amp;RIGHT($F945,2)&amp;"0000"&amp;"|"&amp;"1"&amp;RIGHT("00000"&amp;940,5))</f>
        <v/>
      </c>
      <c r="H945">
        <f>IF(OR($B945&lt;&gt;1,$G945=""),"",COUNTIFS(LdAParty,$A945,LdAType,1,LdAKey,"&lt;"&amp;$G945)+COUNTIFS(LdBMember,$A945,LdBKey,"&lt;"&amp;$G945)+COUNTIFS(LdCParty,$A945,LdCKey,"&lt;"&amp;$G945)+1)</f>
        <v/>
      </c>
      <c r="I945">
        <f>IF($H945="","",$A945&amp;"|"&amp;RIGHT("000000"&amp;$H945,6))</f>
        <v/>
      </c>
      <c r="J945">
        <f>IF(OR($B945&lt;&gt;2,$G945=""),"",COUNTIFS(LdAParty,$A945,LdAType,2,LdAKey,"&lt;"&amp;$G945)+1)</f>
        <v/>
      </c>
      <c r="K945">
        <f>IF($J945="","",$A945&amp;"|"&amp;RIGHT("000000"&amp;$J945,6))</f>
        <v/>
      </c>
      <c r="L945">
        <f>IF($A945="","",IF(Wages!$G948="",0,Wages!$G948))</f>
        <v/>
      </c>
      <c r="M945">
        <f>IF($A945="","",Wages!$J948)</f>
        <v/>
      </c>
      <c r="N945">
        <f>IF($A945="","",Wages!$D948)</f>
        <v/>
      </c>
      <c r="P945">
        <f>IF(OR(Shares!$B948="",Shares!$C948=""),"",Shares!$C948)</f>
        <v/>
      </c>
      <c r="Q945">
        <f>IF($P945="","",Shares!$B948)</f>
        <v/>
      </c>
      <c r="R945">
        <f>IF($P945="","",IFERROR(INDEX(WageParty,MATCH($Q945,WageIds,0)),""))</f>
        <v/>
      </c>
      <c r="S945">
        <f>IF($P945="","",IFERROR(INDEX($F$6:$F$2005,MATCH($Q945,WageIds,0)),""))</f>
        <v/>
      </c>
      <c r="T945">
        <f>IF(OR($P945="",$S945="",$S945="نامعتبر"),"",LEFT($S945,4)&amp;MID($S945,6,2)&amp;RIGHT($S945,2)&amp;"0000"&amp;"|"&amp;"2"&amp;RIGHT("00000"&amp;940,5))</f>
        <v/>
      </c>
      <c r="U945">
        <f>IF($T945="","",COUNTIFS(LdAParty,$P945,LdAType,1,LdAKey,"&lt;"&amp;$T945)+COUNTIFS(LdBMember,$P945,LdBKey,"&lt;"&amp;$T945)+COUNTIFS(LdCParty,$P945,LdCKey,"&lt;"&amp;$T945)+1)</f>
        <v/>
      </c>
      <c r="V945">
        <f>IF($U945="","",$P945&amp;"|"&amp;RIGHT("000000"&amp;$U945,6))</f>
        <v/>
      </c>
      <c r="W945">
        <f>IF($T945="","",COUNTIFS(LdBGroup,$R945,LdBKey,"&lt;"&amp;$T945)+1)</f>
        <v/>
      </c>
      <c r="X945">
        <f>IF($W945="","",$R945&amp;"|"&amp;RIGHT("000000"&amp;$W945,6))</f>
        <v/>
      </c>
      <c r="Y945">
        <f>IF($P945="","",IF(Shares!$E948="",0,Shares!$E948))</f>
        <v/>
      </c>
      <c r="Z945">
        <f>IF($P945="","",Shares!$H948)</f>
        <v/>
      </c>
      <c r="AE945">
        <f>IF(OR(Sync!$S945="",Sync!$P945=""),"",Sync!$S945)</f>
        <v/>
      </c>
      <c r="AF945">
        <f>IF($AE945="","",IF(ISNUMBER(Sync!$P945),IF(AND(Sync!$P945&gt;=10000101,Sync!$P945&lt;=99991231),INT(Sync!$P945/10000),""),IFERROR(VALUE(TRIM(LEFT(Sync!$P945,FIND("/",Sync!$P945)-1))),"")))</f>
        <v/>
      </c>
      <c r="AG945">
        <f>IF(OR($AE945="",$AF945=""),"",IF(ISNUMBER(Sync!$P945),INT(MOD(Sync!$P945,10000)/100),IFERROR(VALUE(TRIM(LEFT(MID(Sync!$P945,FIND("/",Sync!$P945)+1,20),FIND("/",MID(Sync!$P945,FIND("/",Sync!$P945)+1,20))-1))),"")))</f>
        <v/>
      </c>
      <c r="AH945">
        <f>IF(OR($AE945="",$AF945=""),"",IF(ISNUMBER(Sync!$P945),MOD(Sync!$P945,100),IFERROR(VALUE(TRIM(MID(MID(Sync!$P945,FIND("/",Sync!$P945)+1,20),FIND("/",MID(Sync!$P945,FIND("/",Sync!$P945)+1,20))+1,20))),"")))</f>
        <v/>
      </c>
      <c r="AI945">
        <f>IF($AE945="","",IF(OR($AF945="",$AG945="",$AH945="",$AF945&lt;1300,$AF945&gt;1500,$AG945&lt;1,$AG945&gt;12,$AH945&lt;1,$AH945&gt;31),"نامعتبر",RIGHT("0000"&amp;$AF945,4)&amp;"/"&amp;RIGHT("00"&amp;$AG945,2)&amp;"/"&amp;RIGHT("00"&amp;$AH945,2)))</f>
        <v/>
      </c>
      <c r="AJ945">
        <f>IF($AE945="","",IF(Sync!$Q945="","0000",IF(AND(ISNUMBER(Sync!$Q945),Sync!$Q945&gt;=0,Sync!$Q945&lt;1),RIGHT("00"&amp;HOUR(Sync!$Q945),2)&amp;RIGHT("00"&amp;MINUTE(Sync!$Q945),2),IFERROR(RIGHT("00"&amp;VALUE(LEFT(Sync!$Q945,FIND(":",Sync!$Q945)-1)),2)&amp;RIGHT("00"&amp;VALUE(MID(Sync!$Q945,FIND(":",Sync!$Q945)+1,2)),2),"0000"))))</f>
        <v/>
      </c>
      <c r="AK945">
        <f>IF(OR($AE945="",$AI945="",$AI945="نامعتبر"),"",LEFT($AI945,4)&amp;MID($AI945,6,2)&amp;RIGHT($AI945,2)&amp;$AJ945&amp;"|"&amp;"3"&amp;RIGHT("00000"&amp;940,5))</f>
        <v/>
      </c>
      <c r="AL945">
        <f>IF($AK945="","",COUNTIFS(LdAParty,$AE945,LdAType,1,LdAKey,"&lt;"&amp;$AK945)+COUNTIFS(LdBMember,$AE945,LdBKey,"&lt;"&amp;$AK945)+COUNTIFS(LdCParty,$AE945,LdCKey,"&lt;"&amp;$AK945)+1)</f>
        <v/>
      </c>
      <c r="AM945">
        <f>IF($AL945="","",$AE945&amp;"|"&amp;RIGHT("000000"&amp;$AL945,6))</f>
        <v/>
      </c>
      <c r="AN945">
        <f>IF($AE945="","",IF(Sync!$W945="",0,Sync!$W945))</f>
        <v/>
      </c>
      <c r="AO945">
        <f>IF($AE945="","",IF(Sync!$X945="",0,Sync!$X945))</f>
        <v/>
      </c>
      <c r="AP945">
        <f>IF($AE945="","",Sync!$R945)</f>
        <v/>
      </c>
      <c r="AQ945">
        <f>IF($AE945="","",Sync!$Y945)</f>
        <v/>
      </c>
    </row>
    <row r="946">
      <c r="A946">
        <f>IF(OR(Wages!$B949="",Wages!$E949=""),"",Wages!$E949)</f>
        <v/>
      </c>
      <c r="B946">
        <f>IF($A946="","",IF(Wages!$C949="دستمزد گروهی",2,1))</f>
        <v/>
      </c>
      <c r="C946">
        <f>IF($A946="","",IF(ISNUMBER(Wages!$B949),IF(AND(Wages!$B949&gt;=10000101,Wages!$B949&lt;=99991231),INT(Wages!$B949/10000),""),IFERROR(VALUE(TRIM(LEFT(Wages!$B949,FIND("/",Wages!$B949)-1))),"")))</f>
        <v/>
      </c>
      <c r="D946">
        <f>IF(OR($A946="",$C946=""),"",IF(ISNUMBER(Wages!$B949),INT(MOD(Wages!$B949,10000)/100),IFERROR(VALUE(TRIM(LEFT(MID(Wages!$B949,FIND("/",Wages!$B949)+1,20),FIND("/",MID(Wages!$B949,FIND("/",Wages!$B949)+1,20))-1))),"")))</f>
        <v/>
      </c>
      <c r="E946">
        <f>IF(OR($A946="",$C946=""),"",IF(ISNUMBER(Wages!$B949),MOD(Wages!$B949,100),IFERROR(VALUE(TRIM(MID(MID(Wages!$B949,FIND("/",Wages!$B949)+1,20),FIND("/",MID(Wages!$B949,FIND("/",Wages!$B949)+1,20))+1,20))),"")))</f>
        <v/>
      </c>
      <c r="F946">
        <f>IF($A946="","",IF(OR($C946="",$D946="",$E946="",$C946&lt;1300,$C946&gt;1500,$D946&lt;1,$D946&gt;12,$E946&lt;1,$E946&gt;31),"نامعتبر",RIGHT("0000"&amp;$C946,4)&amp;"/"&amp;RIGHT("00"&amp;$D946,2)&amp;"/"&amp;RIGHT("00"&amp;$E946,2)))</f>
        <v/>
      </c>
      <c r="G946">
        <f>IF(OR($A946="",$F946="",$F946="نامعتبر"),"",LEFT($F946,4)&amp;MID($F946,6,2)&amp;RIGHT($F946,2)&amp;"0000"&amp;"|"&amp;"1"&amp;RIGHT("00000"&amp;941,5))</f>
        <v/>
      </c>
      <c r="H946">
        <f>IF(OR($B946&lt;&gt;1,$G946=""),"",COUNTIFS(LdAParty,$A946,LdAType,1,LdAKey,"&lt;"&amp;$G946)+COUNTIFS(LdBMember,$A946,LdBKey,"&lt;"&amp;$G946)+COUNTIFS(LdCParty,$A946,LdCKey,"&lt;"&amp;$G946)+1)</f>
        <v/>
      </c>
      <c r="I946">
        <f>IF($H946="","",$A946&amp;"|"&amp;RIGHT("000000"&amp;$H946,6))</f>
        <v/>
      </c>
      <c r="J946">
        <f>IF(OR($B946&lt;&gt;2,$G946=""),"",COUNTIFS(LdAParty,$A946,LdAType,2,LdAKey,"&lt;"&amp;$G946)+1)</f>
        <v/>
      </c>
      <c r="K946">
        <f>IF($J946="","",$A946&amp;"|"&amp;RIGHT("000000"&amp;$J946,6))</f>
        <v/>
      </c>
      <c r="L946">
        <f>IF($A946="","",IF(Wages!$G949="",0,Wages!$G949))</f>
        <v/>
      </c>
      <c r="M946">
        <f>IF($A946="","",Wages!$J949)</f>
        <v/>
      </c>
      <c r="N946">
        <f>IF($A946="","",Wages!$D949)</f>
        <v/>
      </c>
      <c r="P946">
        <f>IF(OR(Shares!$B949="",Shares!$C949=""),"",Shares!$C949)</f>
        <v/>
      </c>
      <c r="Q946">
        <f>IF($P946="","",Shares!$B949)</f>
        <v/>
      </c>
      <c r="R946">
        <f>IF($P946="","",IFERROR(INDEX(WageParty,MATCH($Q946,WageIds,0)),""))</f>
        <v/>
      </c>
      <c r="S946">
        <f>IF($P946="","",IFERROR(INDEX($F$6:$F$2005,MATCH($Q946,WageIds,0)),""))</f>
        <v/>
      </c>
      <c r="T946">
        <f>IF(OR($P946="",$S946="",$S946="نامعتبر"),"",LEFT($S946,4)&amp;MID($S946,6,2)&amp;RIGHT($S946,2)&amp;"0000"&amp;"|"&amp;"2"&amp;RIGHT("00000"&amp;941,5))</f>
        <v/>
      </c>
      <c r="U946">
        <f>IF($T946="","",COUNTIFS(LdAParty,$P946,LdAType,1,LdAKey,"&lt;"&amp;$T946)+COUNTIFS(LdBMember,$P946,LdBKey,"&lt;"&amp;$T946)+COUNTIFS(LdCParty,$P946,LdCKey,"&lt;"&amp;$T946)+1)</f>
        <v/>
      </c>
      <c r="V946">
        <f>IF($U946="","",$P946&amp;"|"&amp;RIGHT("000000"&amp;$U946,6))</f>
        <v/>
      </c>
      <c r="W946">
        <f>IF($T946="","",COUNTIFS(LdBGroup,$R946,LdBKey,"&lt;"&amp;$T946)+1)</f>
        <v/>
      </c>
      <c r="X946">
        <f>IF($W946="","",$R946&amp;"|"&amp;RIGHT("000000"&amp;$W946,6))</f>
        <v/>
      </c>
      <c r="Y946">
        <f>IF($P946="","",IF(Shares!$E949="",0,Shares!$E949))</f>
        <v/>
      </c>
      <c r="Z946">
        <f>IF($P946="","",Shares!$H949)</f>
        <v/>
      </c>
      <c r="AE946">
        <f>IF(OR(Sync!$S946="",Sync!$P946=""),"",Sync!$S946)</f>
        <v/>
      </c>
      <c r="AF946">
        <f>IF($AE946="","",IF(ISNUMBER(Sync!$P946),IF(AND(Sync!$P946&gt;=10000101,Sync!$P946&lt;=99991231),INT(Sync!$P946/10000),""),IFERROR(VALUE(TRIM(LEFT(Sync!$P946,FIND("/",Sync!$P946)-1))),"")))</f>
        <v/>
      </c>
      <c r="AG946">
        <f>IF(OR($AE946="",$AF946=""),"",IF(ISNUMBER(Sync!$P946),INT(MOD(Sync!$P946,10000)/100),IFERROR(VALUE(TRIM(LEFT(MID(Sync!$P946,FIND("/",Sync!$P946)+1,20),FIND("/",MID(Sync!$P946,FIND("/",Sync!$P946)+1,20))-1))),"")))</f>
        <v/>
      </c>
      <c r="AH946">
        <f>IF(OR($AE946="",$AF946=""),"",IF(ISNUMBER(Sync!$P946),MOD(Sync!$P946,100),IFERROR(VALUE(TRIM(MID(MID(Sync!$P946,FIND("/",Sync!$P946)+1,20),FIND("/",MID(Sync!$P946,FIND("/",Sync!$P946)+1,20))+1,20))),"")))</f>
        <v/>
      </c>
      <c r="AI946">
        <f>IF($AE946="","",IF(OR($AF946="",$AG946="",$AH946="",$AF946&lt;1300,$AF946&gt;1500,$AG946&lt;1,$AG946&gt;12,$AH946&lt;1,$AH946&gt;31),"نامعتبر",RIGHT("0000"&amp;$AF946,4)&amp;"/"&amp;RIGHT("00"&amp;$AG946,2)&amp;"/"&amp;RIGHT("00"&amp;$AH946,2)))</f>
        <v/>
      </c>
      <c r="AJ946">
        <f>IF($AE946="","",IF(Sync!$Q946="","0000",IF(AND(ISNUMBER(Sync!$Q946),Sync!$Q946&gt;=0,Sync!$Q946&lt;1),RIGHT("00"&amp;HOUR(Sync!$Q946),2)&amp;RIGHT("00"&amp;MINUTE(Sync!$Q946),2),IFERROR(RIGHT("00"&amp;VALUE(LEFT(Sync!$Q946,FIND(":",Sync!$Q946)-1)),2)&amp;RIGHT("00"&amp;VALUE(MID(Sync!$Q946,FIND(":",Sync!$Q946)+1,2)),2),"0000"))))</f>
        <v/>
      </c>
      <c r="AK946">
        <f>IF(OR($AE946="",$AI946="",$AI946="نامعتبر"),"",LEFT($AI946,4)&amp;MID($AI946,6,2)&amp;RIGHT($AI946,2)&amp;$AJ946&amp;"|"&amp;"3"&amp;RIGHT("00000"&amp;941,5))</f>
        <v/>
      </c>
      <c r="AL946">
        <f>IF($AK946="","",COUNTIFS(LdAParty,$AE946,LdAType,1,LdAKey,"&lt;"&amp;$AK946)+COUNTIFS(LdBMember,$AE946,LdBKey,"&lt;"&amp;$AK946)+COUNTIFS(LdCParty,$AE946,LdCKey,"&lt;"&amp;$AK946)+1)</f>
        <v/>
      </c>
      <c r="AM946">
        <f>IF($AL946="","",$AE946&amp;"|"&amp;RIGHT("000000"&amp;$AL946,6))</f>
        <v/>
      </c>
      <c r="AN946">
        <f>IF($AE946="","",IF(Sync!$W946="",0,Sync!$W946))</f>
        <v/>
      </c>
      <c r="AO946">
        <f>IF($AE946="","",IF(Sync!$X946="",0,Sync!$X946))</f>
        <v/>
      </c>
      <c r="AP946">
        <f>IF($AE946="","",Sync!$R946)</f>
        <v/>
      </c>
      <c r="AQ946">
        <f>IF($AE946="","",Sync!$Y946)</f>
        <v/>
      </c>
    </row>
    <row r="947">
      <c r="A947">
        <f>IF(OR(Wages!$B950="",Wages!$E950=""),"",Wages!$E950)</f>
        <v/>
      </c>
      <c r="B947">
        <f>IF($A947="","",IF(Wages!$C950="دستمزد گروهی",2,1))</f>
        <v/>
      </c>
      <c r="C947">
        <f>IF($A947="","",IF(ISNUMBER(Wages!$B950),IF(AND(Wages!$B950&gt;=10000101,Wages!$B950&lt;=99991231),INT(Wages!$B950/10000),""),IFERROR(VALUE(TRIM(LEFT(Wages!$B950,FIND("/",Wages!$B950)-1))),"")))</f>
        <v/>
      </c>
      <c r="D947">
        <f>IF(OR($A947="",$C947=""),"",IF(ISNUMBER(Wages!$B950),INT(MOD(Wages!$B950,10000)/100),IFERROR(VALUE(TRIM(LEFT(MID(Wages!$B950,FIND("/",Wages!$B950)+1,20),FIND("/",MID(Wages!$B950,FIND("/",Wages!$B950)+1,20))-1))),"")))</f>
        <v/>
      </c>
      <c r="E947">
        <f>IF(OR($A947="",$C947=""),"",IF(ISNUMBER(Wages!$B950),MOD(Wages!$B950,100),IFERROR(VALUE(TRIM(MID(MID(Wages!$B950,FIND("/",Wages!$B950)+1,20),FIND("/",MID(Wages!$B950,FIND("/",Wages!$B950)+1,20))+1,20))),"")))</f>
        <v/>
      </c>
      <c r="F947">
        <f>IF($A947="","",IF(OR($C947="",$D947="",$E947="",$C947&lt;1300,$C947&gt;1500,$D947&lt;1,$D947&gt;12,$E947&lt;1,$E947&gt;31),"نامعتبر",RIGHT("0000"&amp;$C947,4)&amp;"/"&amp;RIGHT("00"&amp;$D947,2)&amp;"/"&amp;RIGHT("00"&amp;$E947,2)))</f>
        <v/>
      </c>
      <c r="G947">
        <f>IF(OR($A947="",$F947="",$F947="نامعتبر"),"",LEFT($F947,4)&amp;MID($F947,6,2)&amp;RIGHT($F947,2)&amp;"0000"&amp;"|"&amp;"1"&amp;RIGHT("00000"&amp;942,5))</f>
        <v/>
      </c>
      <c r="H947">
        <f>IF(OR($B947&lt;&gt;1,$G947=""),"",COUNTIFS(LdAParty,$A947,LdAType,1,LdAKey,"&lt;"&amp;$G947)+COUNTIFS(LdBMember,$A947,LdBKey,"&lt;"&amp;$G947)+COUNTIFS(LdCParty,$A947,LdCKey,"&lt;"&amp;$G947)+1)</f>
        <v/>
      </c>
      <c r="I947">
        <f>IF($H947="","",$A947&amp;"|"&amp;RIGHT("000000"&amp;$H947,6))</f>
        <v/>
      </c>
      <c r="J947">
        <f>IF(OR($B947&lt;&gt;2,$G947=""),"",COUNTIFS(LdAParty,$A947,LdAType,2,LdAKey,"&lt;"&amp;$G947)+1)</f>
        <v/>
      </c>
      <c r="K947">
        <f>IF($J947="","",$A947&amp;"|"&amp;RIGHT("000000"&amp;$J947,6))</f>
        <v/>
      </c>
      <c r="L947">
        <f>IF($A947="","",IF(Wages!$G950="",0,Wages!$G950))</f>
        <v/>
      </c>
      <c r="M947">
        <f>IF($A947="","",Wages!$J950)</f>
        <v/>
      </c>
      <c r="N947">
        <f>IF($A947="","",Wages!$D950)</f>
        <v/>
      </c>
      <c r="P947">
        <f>IF(OR(Shares!$B950="",Shares!$C950=""),"",Shares!$C950)</f>
        <v/>
      </c>
      <c r="Q947">
        <f>IF($P947="","",Shares!$B950)</f>
        <v/>
      </c>
      <c r="R947">
        <f>IF($P947="","",IFERROR(INDEX(WageParty,MATCH($Q947,WageIds,0)),""))</f>
        <v/>
      </c>
      <c r="S947">
        <f>IF($P947="","",IFERROR(INDEX($F$6:$F$2005,MATCH($Q947,WageIds,0)),""))</f>
        <v/>
      </c>
      <c r="T947">
        <f>IF(OR($P947="",$S947="",$S947="نامعتبر"),"",LEFT($S947,4)&amp;MID($S947,6,2)&amp;RIGHT($S947,2)&amp;"0000"&amp;"|"&amp;"2"&amp;RIGHT("00000"&amp;942,5))</f>
        <v/>
      </c>
      <c r="U947">
        <f>IF($T947="","",COUNTIFS(LdAParty,$P947,LdAType,1,LdAKey,"&lt;"&amp;$T947)+COUNTIFS(LdBMember,$P947,LdBKey,"&lt;"&amp;$T947)+COUNTIFS(LdCParty,$P947,LdCKey,"&lt;"&amp;$T947)+1)</f>
        <v/>
      </c>
      <c r="V947">
        <f>IF($U947="","",$P947&amp;"|"&amp;RIGHT("000000"&amp;$U947,6))</f>
        <v/>
      </c>
      <c r="W947">
        <f>IF($T947="","",COUNTIFS(LdBGroup,$R947,LdBKey,"&lt;"&amp;$T947)+1)</f>
        <v/>
      </c>
      <c r="X947">
        <f>IF($W947="","",$R947&amp;"|"&amp;RIGHT("000000"&amp;$W947,6))</f>
        <v/>
      </c>
      <c r="Y947">
        <f>IF($P947="","",IF(Shares!$E950="",0,Shares!$E950))</f>
        <v/>
      </c>
      <c r="Z947">
        <f>IF($P947="","",Shares!$H950)</f>
        <v/>
      </c>
      <c r="AE947">
        <f>IF(OR(Sync!$S947="",Sync!$P947=""),"",Sync!$S947)</f>
        <v/>
      </c>
      <c r="AF947">
        <f>IF($AE947="","",IF(ISNUMBER(Sync!$P947),IF(AND(Sync!$P947&gt;=10000101,Sync!$P947&lt;=99991231),INT(Sync!$P947/10000),""),IFERROR(VALUE(TRIM(LEFT(Sync!$P947,FIND("/",Sync!$P947)-1))),"")))</f>
        <v/>
      </c>
      <c r="AG947">
        <f>IF(OR($AE947="",$AF947=""),"",IF(ISNUMBER(Sync!$P947),INT(MOD(Sync!$P947,10000)/100),IFERROR(VALUE(TRIM(LEFT(MID(Sync!$P947,FIND("/",Sync!$P947)+1,20),FIND("/",MID(Sync!$P947,FIND("/",Sync!$P947)+1,20))-1))),"")))</f>
        <v/>
      </c>
      <c r="AH947">
        <f>IF(OR($AE947="",$AF947=""),"",IF(ISNUMBER(Sync!$P947),MOD(Sync!$P947,100),IFERROR(VALUE(TRIM(MID(MID(Sync!$P947,FIND("/",Sync!$P947)+1,20),FIND("/",MID(Sync!$P947,FIND("/",Sync!$P947)+1,20))+1,20))),"")))</f>
        <v/>
      </c>
      <c r="AI947">
        <f>IF($AE947="","",IF(OR($AF947="",$AG947="",$AH947="",$AF947&lt;1300,$AF947&gt;1500,$AG947&lt;1,$AG947&gt;12,$AH947&lt;1,$AH947&gt;31),"نامعتبر",RIGHT("0000"&amp;$AF947,4)&amp;"/"&amp;RIGHT("00"&amp;$AG947,2)&amp;"/"&amp;RIGHT("00"&amp;$AH947,2)))</f>
        <v/>
      </c>
      <c r="AJ947">
        <f>IF($AE947="","",IF(Sync!$Q947="","0000",IF(AND(ISNUMBER(Sync!$Q947),Sync!$Q947&gt;=0,Sync!$Q947&lt;1),RIGHT("00"&amp;HOUR(Sync!$Q947),2)&amp;RIGHT("00"&amp;MINUTE(Sync!$Q947),2),IFERROR(RIGHT("00"&amp;VALUE(LEFT(Sync!$Q947,FIND(":",Sync!$Q947)-1)),2)&amp;RIGHT("00"&amp;VALUE(MID(Sync!$Q947,FIND(":",Sync!$Q947)+1,2)),2),"0000"))))</f>
        <v/>
      </c>
      <c r="AK947">
        <f>IF(OR($AE947="",$AI947="",$AI947="نامعتبر"),"",LEFT($AI947,4)&amp;MID($AI947,6,2)&amp;RIGHT($AI947,2)&amp;$AJ947&amp;"|"&amp;"3"&amp;RIGHT("00000"&amp;942,5))</f>
        <v/>
      </c>
      <c r="AL947">
        <f>IF($AK947="","",COUNTIFS(LdAParty,$AE947,LdAType,1,LdAKey,"&lt;"&amp;$AK947)+COUNTIFS(LdBMember,$AE947,LdBKey,"&lt;"&amp;$AK947)+COUNTIFS(LdCParty,$AE947,LdCKey,"&lt;"&amp;$AK947)+1)</f>
        <v/>
      </c>
      <c r="AM947">
        <f>IF($AL947="","",$AE947&amp;"|"&amp;RIGHT("000000"&amp;$AL947,6))</f>
        <v/>
      </c>
      <c r="AN947">
        <f>IF($AE947="","",IF(Sync!$W947="",0,Sync!$W947))</f>
        <v/>
      </c>
      <c r="AO947">
        <f>IF($AE947="","",IF(Sync!$X947="",0,Sync!$X947))</f>
        <v/>
      </c>
      <c r="AP947">
        <f>IF($AE947="","",Sync!$R947)</f>
        <v/>
      </c>
      <c r="AQ947">
        <f>IF($AE947="","",Sync!$Y947)</f>
        <v/>
      </c>
    </row>
    <row r="948">
      <c r="A948">
        <f>IF(OR(Wages!$B951="",Wages!$E951=""),"",Wages!$E951)</f>
        <v/>
      </c>
      <c r="B948">
        <f>IF($A948="","",IF(Wages!$C951="دستمزد گروهی",2,1))</f>
        <v/>
      </c>
      <c r="C948">
        <f>IF($A948="","",IF(ISNUMBER(Wages!$B951),IF(AND(Wages!$B951&gt;=10000101,Wages!$B951&lt;=99991231),INT(Wages!$B951/10000),""),IFERROR(VALUE(TRIM(LEFT(Wages!$B951,FIND("/",Wages!$B951)-1))),"")))</f>
        <v/>
      </c>
      <c r="D948">
        <f>IF(OR($A948="",$C948=""),"",IF(ISNUMBER(Wages!$B951),INT(MOD(Wages!$B951,10000)/100),IFERROR(VALUE(TRIM(LEFT(MID(Wages!$B951,FIND("/",Wages!$B951)+1,20),FIND("/",MID(Wages!$B951,FIND("/",Wages!$B951)+1,20))-1))),"")))</f>
        <v/>
      </c>
      <c r="E948">
        <f>IF(OR($A948="",$C948=""),"",IF(ISNUMBER(Wages!$B951),MOD(Wages!$B951,100),IFERROR(VALUE(TRIM(MID(MID(Wages!$B951,FIND("/",Wages!$B951)+1,20),FIND("/",MID(Wages!$B951,FIND("/",Wages!$B951)+1,20))+1,20))),"")))</f>
        <v/>
      </c>
      <c r="F948">
        <f>IF($A948="","",IF(OR($C948="",$D948="",$E948="",$C948&lt;1300,$C948&gt;1500,$D948&lt;1,$D948&gt;12,$E948&lt;1,$E948&gt;31),"نامعتبر",RIGHT("0000"&amp;$C948,4)&amp;"/"&amp;RIGHT("00"&amp;$D948,2)&amp;"/"&amp;RIGHT("00"&amp;$E948,2)))</f>
        <v/>
      </c>
      <c r="G948">
        <f>IF(OR($A948="",$F948="",$F948="نامعتبر"),"",LEFT($F948,4)&amp;MID($F948,6,2)&amp;RIGHT($F948,2)&amp;"0000"&amp;"|"&amp;"1"&amp;RIGHT("00000"&amp;943,5))</f>
        <v/>
      </c>
      <c r="H948">
        <f>IF(OR($B948&lt;&gt;1,$G948=""),"",COUNTIFS(LdAParty,$A948,LdAType,1,LdAKey,"&lt;"&amp;$G948)+COUNTIFS(LdBMember,$A948,LdBKey,"&lt;"&amp;$G948)+COUNTIFS(LdCParty,$A948,LdCKey,"&lt;"&amp;$G948)+1)</f>
        <v/>
      </c>
      <c r="I948">
        <f>IF($H948="","",$A948&amp;"|"&amp;RIGHT("000000"&amp;$H948,6))</f>
        <v/>
      </c>
      <c r="J948">
        <f>IF(OR($B948&lt;&gt;2,$G948=""),"",COUNTIFS(LdAParty,$A948,LdAType,2,LdAKey,"&lt;"&amp;$G948)+1)</f>
        <v/>
      </c>
      <c r="K948">
        <f>IF($J948="","",$A948&amp;"|"&amp;RIGHT("000000"&amp;$J948,6))</f>
        <v/>
      </c>
      <c r="L948">
        <f>IF($A948="","",IF(Wages!$G951="",0,Wages!$G951))</f>
        <v/>
      </c>
      <c r="M948">
        <f>IF($A948="","",Wages!$J951)</f>
        <v/>
      </c>
      <c r="N948">
        <f>IF($A948="","",Wages!$D951)</f>
        <v/>
      </c>
      <c r="P948">
        <f>IF(OR(Shares!$B951="",Shares!$C951=""),"",Shares!$C951)</f>
        <v/>
      </c>
      <c r="Q948">
        <f>IF($P948="","",Shares!$B951)</f>
        <v/>
      </c>
      <c r="R948">
        <f>IF($P948="","",IFERROR(INDEX(WageParty,MATCH($Q948,WageIds,0)),""))</f>
        <v/>
      </c>
      <c r="S948">
        <f>IF($P948="","",IFERROR(INDEX($F$6:$F$2005,MATCH($Q948,WageIds,0)),""))</f>
        <v/>
      </c>
      <c r="T948">
        <f>IF(OR($P948="",$S948="",$S948="نامعتبر"),"",LEFT($S948,4)&amp;MID($S948,6,2)&amp;RIGHT($S948,2)&amp;"0000"&amp;"|"&amp;"2"&amp;RIGHT("00000"&amp;943,5))</f>
        <v/>
      </c>
      <c r="U948">
        <f>IF($T948="","",COUNTIFS(LdAParty,$P948,LdAType,1,LdAKey,"&lt;"&amp;$T948)+COUNTIFS(LdBMember,$P948,LdBKey,"&lt;"&amp;$T948)+COUNTIFS(LdCParty,$P948,LdCKey,"&lt;"&amp;$T948)+1)</f>
        <v/>
      </c>
      <c r="V948">
        <f>IF($U948="","",$P948&amp;"|"&amp;RIGHT("000000"&amp;$U948,6))</f>
        <v/>
      </c>
      <c r="W948">
        <f>IF($T948="","",COUNTIFS(LdBGroup,$R948,LdBKey,"&lt;"&amp;$T948)+1)</f>
        <v/>
      </c>
      <c r="X948">
        <f>IF($W948="","",$R948&amp;"|"&amp;RIGHT("000000"&amp;$W948,6))</f>
        <v/>
      </c>
      <c r="Y948">
        <f>IF($P948="","",IF(Shares!$E951="",0,Shares!$E951))</f>
        <v/>
      </c>
      <c r="Z948">
        <f>IF($P948="","",Shares!$H951)</f>
        <v/>
      </c>
      <c r="AE948">
        <f>IF(OR(Sync!$S948="",Sync!$P948=""),"",Sync!$S948)</f>
        <v/>
      </c>
      <c r="AF948">
        <f>IF($AE948="","",IF(ISNUMBER(Sync!$P948),IF(AND(Sync!$P948&gt;=10000101,Sync!$P948&lt;=99991231),INT(Sync!$P948/10000),""),IFERROR(VALUE(TRIM(LEFT(Sync!$P948,FIND("/",Sync!$P948)-1))),"")))</f>
        <v/>
      </c>
      <c r="AG948">
        <f>IF(OR($AE948="",$AF948=""),"",IF(ISNUMBER(Sync!$P948),INT(MOD(Sync!$P948,10000)/100),IFERROR(VALUE(TRIM(LEFT(MID(Sync!$P948,FIND("/",Sync!$P948)+1,20),FIND("/",MID(Sync!$P948,FIND("/",Sync!$P948)+1,20))-1))),"")))</f>
        <v/>
      </c>
      <c r="AH948">
        <f>IF(OR($AE948="",$AF948=""),"",IF(ISNUMBER(Sync!$P948),MOD(Sync!$P948,100),IFERROR(VALUE(TRIM(MID(MID(Sync!$P948,FIND("/",Sync!$P948)+1,20),FIND("/",MID(Sync!$P948,FIND("/",Sync!$P948)+1,20))+1,20))),"")))</f>
        <v/>
      </c>
      <c r="AI948">
        <f>IF($AE948="","",IF(OR($AF948="",$AG948="",$AH948="",$AF948&lt;1300,$AF948&gt;1500,$AG948&lt;1,$AG948&gt;12,$AH948&lt;1,$AH948&gt;31),"نامعتبر",RIGHT("0000"&amp;$AF948,4)&amp;"/"&amp;RIGHT("00"&amp;$AG948,2)&amp;"/"&amp;RIGHT("00"&amp;$AH948,2)))</f>
        <v/>
      </c>
      <c r="AJ948">
        <f>IF($AE948="","",IF(Sync!$Q948="","0000",IF(AND(ISNUMBER(Sync!$Q948),Sync!$Q948&gt;=0,Sync!$Q948&lt;1),RIGHT("00"&amp;HOUR(Sync!$Q948),2)&amp;RIGHT("00"&amp;MINUTE(Sync!$Q948),2),IFERROR(RIGHT("00"&amp;VALUE(LEFT(Sync!$Q948,FIND(":",Sync!$Q948)-1)),2)&amp;RIGHT("00"&amp;VALUE(MID(Sync!$Q948,FIND(":",Sync!$Q948)+1,2)),2),"0000"))))</f>
        <v/>
      </c>
      <c r="AK948">
        <f>IF(OR($AE948="",$AI948="",$AI948="نامعتبر"),"",LEFT($AI948,4)&amp;MID($AI948,6,2)&amp;RIGHT($AI948,2)&amp;$AJ948&amp;"|"&amp;"3"&amp;RIGHT("00000"&amp;943,5))</f>
        <v/>
      </c>
      <c r="AL948">
        <f>IF($AK948="","",COUNTIFS(LdAParty,$AE948,LdAType,1,LdAKey,"&lt;"&amp;$AK948)+COUNTIFS(LdBMember,$AE948,LdBKey,"&lt;"&amp;$AK948)+COUNTIFS(LdCParty,$AE948,LdCKey,"&lt;"&amp;$AK948)+1)</f>
        <v/>
      </c>
      <c r="AM948">
        <f>IF($AL948="","",$AE948&amp;"|"&amp;RIGHT("000000"&amp;$AL948,6))</f>
        <v/>
      </c>
      <c r="AN948">
        <f>IF($AE948="","",IF(Sync!$W948="",0,Sync!$W948))</f>
        <v/>
      </c>
      <c r="AO948">
        <f>IF($AE948="","",IF(Sync!$X948="",0,Sync!$X948))</f>
        <v/>
      </c>
      <c r="AP948">
        <f>IF($AE948="","",Sync!$R948)</f>
        <v/>
      </c>
      <c r="AQ948">
        <f>IF($AE948="","",Sync!$Y948)</f>
        <v/>
      </c>
    </row>
    <row r="949">
      <c r="A949">
        <f>IF(OR(Wages!$B952="",Wages!$E952=""),"",Wages!$E952)</f>
        <v/>
      </c>
      <c r="B949">
        <f>IF($A949="","",IF(Wages!$C952="دستمزد گروهی",2,1))</f>
        <v/>
      </c>
      <c r="C949">
        <f>IF($A949="","",IF(ISNUMBER(Wages!$B952),IF(AND(Wages!$B952&gt;=10000101,Wages!$B952&lt;=99991231),INT(Wages!$B952/10000),""),IFERROR(VALUE(TRIM(LEFT(Wages!$B952,FIND("/",Wages!$B952)-1))),"")))</f>
        <v/>
      </c>
      <c r="D949">
        <f>IF(OR($A949="",$C949=""),"",IF(ISNUMBER(Wages!$B952),INT(MOD(Wages!$B952,10000)/100),IFERROR(VALUE(TRIM(LEFT(MID(Wages!$B952,FIND("/",Wages!$B952)+1,20),FIND("/",MID(Wages!$B952,FIND("/",Wages!$B952)+1,20))-1))),"")))</f>
        <v/>
      </c>
      <c r="E949">
        <f>IF(OR($A949="",$C949=""),"",IF(ISNUMBER(Wages!$B952),MOD(Wages!$B952,100),IFERROR(VALUE(TRIM(MID(MID(Wages!$B952,FIND("/",Wages!$B952)+1,20),FIND("/",MID(Wages!$B952,FIND("/",Wages!$B952)+1,20))+1,20))),"")))</f>
        <v/>
      </c>
      <c r="F949">
        <f>IF($A949="","",IF(OR($C949="",$D949="",$E949="",$C949&lt;1300,$C949&gt;1500,$D949&lt;1,$D949&gt;12,$E949&lt;1,$E949&gt;31),"نامعتبر",RIGHT("0000"&amp;$C949,4)&amp;"/"&amp;RIGHT("00"&amp;$D949,2)&amp;"/"&amp;RIGHT("00"&amp;$E949,2)))</f>
        <v/>
      </c>
      <c r="G949">
        <f>IF(OR($A949="",$F949="",$F949="نامعتبر"),"",LEFT($F949,4)&amp;MID($F949,6,2)&amp;RIGHT($F949,2)&amp;"0000"&amp;"|"&amp;"1"&amp;RIGHT("00000"&amp;944,5))</f>
        <v/>
      </c>
      <c r="H949">
        <f>IF(OR($B949&lt;&gt;1,$G949=""),"",COUNTIFS(LdAParty,$A949,LdAType,1,LdAKey,"&lt;"&amp;$G949)+COUNTIFS(LdBMember,$A949,LdBKey,"&lt;"&amp;$G949)+COUNTIFS(LdCParty,$A949,LdCKey,"&lt;"&amp;$G949)+1)</f>
        <v/>
      </c>
      <c r="I949">
        <f>IF($H949="","",$A949&amp;"|"&amp;RIGHT("000000"&amp;$H949,6))</f>
        <v/>
      </c>
      <c r="J949">
        <f>IF(OR($B949&lt;&gt;2,$G949=""),"",COUNTIFS(LdAParty,$A949,LdAType,2,LdAKey,"&lt;"&amp;$G949)+1)</f>
        <v/>
      </c>
      <c r="K949">
        <f>IF($J949="","",$A949&amp;"|"&amp;RIGHT("000000"&amp;$J949,6))</f>
        <v/>
      </c>
      <c r="L949">
        <f>IF($A949="","",IF(Wages!$G952="",0,Wages!$G952))</f>
        <v/>
      </c>
      <c r="M949">
        <f>IF($A949="","",Wages!$J952)</f>
        <v/>
      </c>
      <c r="N949">
        <f>IF($A949="","",Wages!$D952)</f>
        <v/>
      </c>
      <c r="P949">
        <f>IF(OR(Shares!$B952="",Shares!$C952=""),"",Shares!$C952)</f>
        <v/>
      </c>
      <c r="Q949">
        <f>IF($P949="","",Shares!$B952)</f>
        <v/>
      </c>
      <c r="R949">
        <f>IF($P949="","",IFERROR(INDEX(WageParty,MATCH($Q949,WageIds,0)),""))</f>
        <v/>
      </c>
      <c r="S949">
        <f>IF($P949="","",IFERROR(INDEX($F$6:$F$2005,MATCH($Q949,WageIds,0)),""))</f>
        <v/>
      </c>
      <c r="T949">
        <f>IF(OR($P949="",$S949="",$S949="نامعتبر"),"",LEFT($S949,4)&amp;MID($S949,6,2)&amp;RIGHT($S949,2)&amp;"0000"&amp;"|"&amp;"2"&amp;RIGHT("00000"&amp;944,5))</f>
        <v/>
      </c>
      <c r="U949">
        <f>IF($T949="","",COUNTIFS(LdAParty,$P949,LdAType,1,LdAKey,"&lt;"&amp;$T949)+COUNTIFS(LdBMember,$P949,LdBKey,"&lt;"&amp;$T949)+COUNTIFS(LdCParty,$P949,LdCKey,"&lt;"&amp;$T949)+1)</f>
        <v/>
      </c>
      <c r="V949">
        <f>IF($U949="","",$P949&amp;"|"&amp;RIGHT("000000"&amp;$U949,6))</f>
        <v/>
      </c>
      <c r="W949">
        <f>IF($T949="","",COUNTIFS(LdBGroup,$R949,LdBKey,"&lt;"&amp;$T949)+1)</f>
        <v/>
      </c>
      <c r="X949">
        <f>IF($W949="","",$R949&amp;"|"&amp;RIGHT("000000"&amp;$W949,6))</f>
        <v/>
      </c>
      <c r="Y949">
        <f>IF($P949="","",IF(Shares!$E952="",0,Shares!$E952))</f>
        <v/>
      </c>
      <c r="Z949">
        <f>IF($P949="","",Shares!$H952)</f>
        <v/>
      </c>
      <c r="AE949">
        <f>IF(OR(Sync!$S949="",Sync!$P949=""),"",Sync!$S949)</f>
        <v/>
      </c>
      <c r="AF949">
        <f>IF($AE949="","",IF(ISNUMBER(Sync!$P949),IF(AND(Sync!$P949&gt;=10000101,Sync!$P949&lt;=99991231),INT(Sync!$P949/10000),""),IFERROR(VALUE(TRIM(LEFT(Sync!$P949,FIND("/",Sync!$P949)-1))),"")))</f>
        <v/>
      </c>
      <c r="AG949">
        <f>IF(OR($AE949="",$AF949=""),"",IF(ISNUMBER(Sync!$P949),INT(MOD(Sync!$P949,10000)/100),IFERROR(VALUE(TRIM(LEFT(MID(Sync!$P949,FIND("/",Sync!$P949)+1,20),FIND("/",MID(Sync!$P949,FIND("/",Sync!$P949)+1,20))-1))),"")))</f>
        <v/>
      </c>
      <c r="AH949">
        <f>IF(OR($AE949="",$AF949=""),"",IF(ISNUMBER(Sync!$P949),MOD(Sync!$P949,100),IFERROR(VALUE(TRIM(MID(MID(Sync!$P949,FIND("/",Sync!$P949)+1,20),FIND("/",MID(Sync!$P949,FIND("/",Sync!$P949)+1,20))+1,20))),"")))</f>
        <v/>
      </c>
      <c r="AI949">
        <f>IF($AE949="","",IF(OR($AF949="",$AG949="",$AH949="",$AF949&lt;1300,$AF949&gt;1500,$AG949&lt;1,$AG949&gt;12,$AH949&lt;1,$AH949&gt;31),"نامعتبر",RIGHT("0000"&amp;$AF949,4)&amp;"/"&amp;RIGHT("00"&amp;$AG949,2)&amp;"/"&amp;RIGHT("00"&amp;$AH949,2)))</f>
        <v/>
      </c>
      <c r="AJ949">
        <f>IF($AE949="","",IF(Sync!$Q949="","0000",IF(AND(ISNUMBER(Sync!$Q949),Sync!$Q949&gt;=0,Sync!$Q949&lt;1),RIGHT("00"&amp;HOUR(Sync!$Q949),2)&amp;RIGHT("00"&amp;MINUTE(Sync!$Q949),2),IFERROR(RIGHT("00"&amp;VALUE(LEFT(Sync!$Q949,FIND(":",Sync!$Q949)-1)),2)&amp;RIGHT("00"&amp;VALUE(MID(Sync!$Q949,FIND(":",Sync!$Q949)+1,2)),2),"0000"))))</f>
        <v/>
      </c>
      <c r="AK949">
        <f>IF(OR($AE949="",$AI949="",$AI949="نامعتبر"),"",LEFT($AI949,4)&amp;MID($AI949,6,2)&amp;RIGHT($AI949,2)&amp;$AJ949&amp;"|"&amp;"3"&amp;RIGHT("00000"&amp;944,5))</f>
        <v/>
      </c>
      <c r="AL949">
        <f>IF($AK949="","",COUNTIFS(LdAParty,$AE949,LdAType,1,LdAKey,"&lt;"&amp;$AK949)+COUNTIFS(LdBMember,$AE949,LdBKey,"&lt;"&amp;$AK949)+COUNTIFS(LdCParty,$AE949,LdCKey,"&lt;"&amp;$AK949)+1)</f>
        <v/>
      </c>
      <c r="AM949">
        <f>IF($AL949="","",$AE949&amp;"|"&amp;RIGHT("000000"&amp;$AL949,6))</f>
        <v/>
      </c>
      <c r="AN949">
        <f>IF($AE949="","",IF(Sync!$W949="",0,Sync!$W949))</f>
        <v/>
      </c>
      <c r="AO949">
        <f>IF($AE949="","",IF(Sync!$X949="",0,Sync!$X949))</f>
        <v/>
      </c>
      <c r="AP949">
        <f>IF($AE949="","",Sync!$R949)</f>
        <v/>
      </c>
      <c r="AQ949">
        <f>IF($AE949="","",Sync!$Y949)</f>
        <v/>
      </c>
    </row>
    <row r="950">
      <c r="A950">
        <f>IF(OR(Wages!$B953="",Wages!$E953=""),"",Wages!$E953)</f>
        <v/>
      </c>
      <c r="B950">
        <f>IF($A950="","",IF(Wages!$C953="دستمزد گروهی",2,1))</f>
        <v/>
      </c>
      <c r="C950">
        <f>IF($A950="","",IF(ISNUMBER(Wages!$B953),IF(AND(Wages!$B953&gt;=10000101,Wages!$B953&lt;=99991231),INT(Wages!$B953/10000),""),IFERROR(VALUE(TRIM(LEFT(Wages!$B953,FIND("/",Wages!$B953)-1))),"")))</f>
        <v/>
      </c>
      <c r="D950">
        <f>IF(OR($A950="",$C950=""),"",IF(ISNUMBER(Wages!$B953),INT(MOD(Wages!$B953,10000)/100),IFERROR(VALUE(TRIM(LEFT(MID(Wages!$B953,FIND("/",Wages!$B953)+1,20),FIND("/",MID(Wages!$B953,FIND("/",Wages!$B953)+1,20))-1))),"")))</f>
        <v/>
      </c>
      <c r="E950">
        <f>IF(OR($A950="",$C950=""),"",IF(ISNUMBER(Wages!$B953),MOD(Wages!$B953,100),IFERROR(VALUE(TRIM(MID(MID(Wages!$B953,FIND("/",Wages!$B953)+1,20),FIND("/",MID(Wages!$B953,FIND("/",Wages!$B953)+1,20))+1,20))),"")))</f>
        <v/>
      </c>
      <c r="F950">
        <f>IF($A950="","",IF(OR($C950="",$D950="",$E950="",$C950&lt;1300,$C950&gt;1500,$D950&lt;1,$D950&gt;12,$E950&lt;1,$E950&gt;31),"نامعتبر",RIGHT("0000"&amp;$C950,4)&amp;"/"&amp;RIGHT("00"&amp;$D950,2)&amp;"/"&amp;RIGHT("00"&amp;$E950,2)))</f>
        <v/>
      </c>
      <c r="G950">
        <f>IF(OR($A950="",$F950="",$F950="نامعتبر"),"",LEFT($F950,4)&amp;MID($F950,6,2)&amp;RIGHT($F950,2)&amp;"0000"&amp;"|"&amp;"1"&amp;RIGHT("00000"&amp;945,5))</f>
        <v/>
      </c>
      <c r="H950">
        <f>IF(OR($B950&lt;&gt;1,$G950=""),"",COUNTIFS(LdAParty,$A950,LdAType,1,LdAKey,"&lt;"&amp;$G950)+COUNTIFS(LdBMember,$A950,LdBKey,"&lt;"&amp;$G950)+COUNTIFS(LdCParty,$A950,LdCKey,"&lt;"&amp;$G950)+1)</f>
        <v/>
      </c>
      <c r="I950">
        <f>IF($H950="","",$A950&amp;"|"&amp;RIGHT("000000"&amp;$H950,6))</f>
        <v/>
      </c>
      <c r="J950">
        <f>IF(OR($B950&lt;&gt;2,$G950=""),"",COUNTIFS(LdAParty,$A950,LdAType,2,LdAKey,"&lt;"&amp;$G950)+1)</f>
        <v/>
      </c>
      <c r="K950">
        <f>IF($J950="","",$A950&amp;"|"&amp;RIGHT("000000"&amp;$J950,6))</f>
        <v/>
      </c>
      <c r="L950">
        <f>IF($A950="","",IF(Wages!$G953="",0,Wages!$G953))</f>
        <v/>
      </c>
      <c r="M950">
        <f>IF($A950="","",Wages!$J953)</f>
        <v/>
      </c>
      <c r="N950">
        <f>IF($A950="","",Wages!$D953)</f>
        <v/>
      </c>
      <c r="P950">
        <f>IF(OR(Shares!$B953="",Shares!$C953=""),"",Shares!$C953)</f>
        <v/>
      </c>
      <c r="Q950">
        <f>IF($P950="","",Shares!$B953)</f>
        <v/>
      </c>
      <c r="R950">
        <f>IF($P950="","",IFERROR(INDEX(WageParty,MATCH($Q950,WageIds,0)),""))</f>
        <v/>
      </c>
      <c r="S950">
        <f>IF($P950="","",IFERROR(INDEX($F$6:$F$2005,MATCH($Q950,WageIds,0)),""))</f>
        <v/>
      </c>
      <c r="T950">
        <f>IF(OR($P950="",$S950="",$S950="نامعتبر"),"",LEFT($S950,4)&amp;MID($S950,6,2)&amp;RIGHT($S950,2)&amp;"0000"&amp;"|"&amp;"2"&amp;RIGHT("00000"&amp;945,5))</f>
        <v/>
      </c>
      <c r="U950">
        <f>IF($T950="","",COUNTIFS(LdAParty,$P950,LdAType,1,LdAKey,"&lt;"&amp;$T950)+COUNTIFS(LdBMember,$P950,LdBKey,"&lt;"&amp;$T950)+COUNTIFS(LdCParty,$P950,LdCKey,"&lt;"&amp;$T950)+1)</f>
        <v/>
      </c>
      <c r="V950">
        <f>IF($U950="","",$P950&amp;"|"&amp;RIGHT("000000"&amp;$U950,6))</f>
        <v/>
      </c>
      <c r="W950">
        <f>IF($T950="","",COUNTIFS(LdBGroup,$R950,LdBKey,"&lt;"&amp;$T950)+1)</f>
        <v/>
      </c>
      <c r="X950">
        <f>IF($W950="","",$R950&amp;"|"&amp;RIGHT("000000"&amp;$W950,6))</f>
        <v/>
      </c>
      <c r="Y950">
        <f>IF($P950="","",IF(Shares!$E953="",0,Shares!$E953))</f>
        <v/>
      </c>
      <c r="Z950">
        <f>IF($P950="","",Shares!$H953)</f>
        <v/>
      </c>
      <c r="AE950">
        <f>IF(OR(Sync!$S950="",Sync!$P950=""),"",Sync!$S950)</f>
        <v/>
      </c>
      <c r="AF950">
        <f>IF($AE950="","",IF(ISNUMBER(Sync!$P950),IF(AND(Sync!$P950&gt;=10000101,Sync!$P950&lt;=99991231),INT(Sync!$P950/10000),""),IFERROR(VALUE(TRIM(LEFT(Sync!$P950,FIND("/",Sync!$P950)-1))),"")))</f>
        <v/>
      </c>
      <c r="AG950">
        <f>IF(OR($AE950="",$AF950=""),"",IF(ISNUMBER(Sync!$P950),INT(MOD(Sync!$P950,10000)/100),IFERROR(VALUE(TRIM(LEFT(MID(Sync!$P950,FIND("/",Sync!$P950)+1,20),FIND("/",MID(Sync!$P950,FIND("/",Sync!$P950)+1,20))-1))),"")))</f>
        <v/>
      </c>
      <c r="AH950">
        <f>IF(OR($AE950="",$AF950=""),"",IF(ISNUMBER(Sync!$P950),MOD(Sync!$P950,100),IFERROR(VALUE(TRIM(MID(MID(Sync!$P950,FIND("/",Sync!$P950)+1,20),FIND("/",MID(Sync!$P950,FIND("/",Sync!$P950)+1,20))+1,20))),"")))</f>
        <v/>
      </c>
      <c r="AI950">
        <f>IF($AE950="","",IF(OR($AF950="",$AG950="",$AH950="",$AF950&lt;1300,$AF950&gt;1500,$AG950&lt;1,$AG950&gt;12,$AH950&lt;1,$AH950&gt;31),"نامعتبر",RIGHT("0000"&amp;$AF950,4)&amp;"/"&amp;RIGHT("00"&amp;$AG950,2)&amp;"/"&amp;RIGHT("00"&amp;$AH950,2)))</f>
        <v/>
      </c>
      <c r="AJ950">
        <f>IF($AE950="","",IF(Sync!$Q950="","0000",IF(AND(ISNUMBER(Sync!$Q950),Sync!$Q950&gt;=0,Sync!$Q950&lt;1),RIGHT("00"&amp;HOUR(Sync!$Q950),2)&amp;RIGHT("00"&amp;MINUTE(Sync!$Q950),2),IFERROR(RIGHT("00"&amp;VALUE(LEFT(Sync!$Q950,FIND(":",Sync!$Q950)-1)),2)&amp;RIGHT("00"&amp;VALUE(MID(Sync!$Q950,FIND(":",Sync!$Q950)+1,2)),2),"0000"))))</f>
        <v/>
      </c>
      <c r="AK950">
        <f>IF(OR($AE950="",$AI950="",$AI950="نامعتبر"),"",LEFT($AI950,4)&amp;MID($AI950,6,2)&amp;RIGHT($AI950,2)&amp;$AJ950&amp;"|"&amp;"3"&amp;RIGHT("00000"&amp;945,5))</f>
        <v/>
      </c>
      <c r="AL950">
        <f>IF($AK950="","",COUNTIFS(LdAParty,$AE950,LdAType,1,LdAKey,"&lt;"&amp;$AK950)+COUNTIFS(LdBMember,$AE950,LdBKey,"&lt;"&amp;$AK950)+COUNTIFS(LdCParty,$AE950,LdCKey,"&lt;"&amp;$AK950)+1)</f>
        <v/>
      </c>
      <c r="AM950">
        <f>IF($AL950="","",$AE950&amp;"|"&amp;RIGHT("000000"&amp;$AL950,6))</f>
        <v/>
      </c>
      <c r="AN950">
        <f>IF($AE950="","",IF(Sync!$W950="",0,Sync!$W950))</f>
        <v/>
      </c>
      <c r="AO950">
        <f>IF($AE950="","",IF(Sync!$X950="",0,Sync!$X950))</f>
        <v/>
      </c>
      <c r="AP950">
        <f>IF($AE950="","",Sync!$R950)</f>
        <v/>
      </c>
      <c r="AQ950">
        <f>IF($AE950="","",Sync!$Y950)</f>
        <v/>
      </c>
    </row>
    <row r="951">
      <c r="A951">
        <f>IF(OR(Wages!$B954="",Wages!$E954=""),"",Wages!$E954)</f>
        <v/>
      </c>
      <c r="B951">
        <f>IF($A951="","",IF(Wages!$C954="دستمزد گروهی",2,1))</f>
        <v/>
      </c>
      <c r="C951">
        <f>IF($A951="","",IF(ISNUMBER(Wages!$B954),IF(AND(Wages!$B954&gt;=10000101,Wages!$B954&lt;=99991231),INT(Wages!$B954/10000),""),IFERROR(VALUE(TRIM(LEFT(Wages!$B954,FIND("/",Wages!$B954)-1))),"")))</f>
        <v/>
      </c>
      <c r="D951">
        <f>IF(OR($A951="",$C951=""),"",IF(ISNUMBER(Wages!$B954),INT(MOD(Wages!$B954,10000)/100),IFERROR(VALUE(TRIM(LEFT(MID(Wages!$B954,FIND("/",Wages!$B954)+1,20),FIND("/",MID(Wages!$B954,FIND("/",Wages!$B954)+1,20))-1))),"")))</f>
        <v/>
      </c>
      <c r="E951">
        <f>IF(OR($A951="",$C951=""),"",IF(ISNUMBER(Wages!$B954),MOD(Wages!$B954,100),IFERROR(VALUE(TRIM(MID(MID(Wages!$B954,FIND("/",Wages!$B954)+1,20),FIND("/",MID(Wages!$B954,FIND("/",Wages!$B954)+1,20))+1,20))),"")))</f>
        <v/>
      </c>
      <c r="F951">
        <f>IF($A951="","",IF(OR($C951="",$D951="",$E951="",$C951&lt;1300,$C951&gt;1500,$D951&lt;1,$D951&gt;12,$E951&lt;1,$E951&gt;31),"نامعتبر",RIGHT("0000"&amp;$C951,4)&amp;"/"&amp;RIGHT("00"&amp;$D951,2)&amp;"/"&amp;RIGHT("00"&amp;$E951,2)))</f>
        <v/>
      </c>
      <c r="G951">
        <f>IF(OR($A951="",$F951="",$F951="نامعتبر"),"",LEFT($F951,4)&amp;MID($F951,6,2)&amp;RIGHT($F951,2)&amp;"0000"&amp;"|"&amp;"1"&amp;RIGHT("00000"&amp;946,5))</f>
        <v/>
      </c>
      <c r="H951">
        <f>IF(OR($B951&lt;&gt;1,$G951=""),"",COUNTIFS(LdAParty,$A951,LdAType,1,LdAKey,"&lt;"&amp;$G951)+COUNTIFS(LdBMember,$A951,LdBKey,"&lt;"&amp;$G951)+COUNTIFS(LdCParty,$A951,LdCKey,"&lt;"&amp;$G951)+1)</f>
        <v/>
      </c>
      <c r="I951">
        <f>IF($H951="","",$A951&amp;"|"&amp;RIGHT("000000"&amp;$H951,6))</f>
        <v/>
      </c>
      <c r="J951">
        <f>IF(OR($B951&lt;&gt;2,$G951=""),"",COUNTIFS(LdAParty,$A951,LdAType,2,LdAKey,"&lt;"&amp;$G951)+1)</f>
        <v/>
      </c>
      <c r="K951">
        <f>IF($J951="","",$A951&amp;"|"&amp;RIGHT("000000"&amp;$J951,6))</f>
        <v/>
      </c>
      <c r="L951">
        <f>IF($A951="","",IF(Wages!$G954="",0,Wages!$G954))</f>
        <v/>
      </c>
      <c r="M951">
        <f>IF($A951="","",Wages!$J954)</f>
        <v/>
      </c>
      <c r="N951">
        <f>IF($A951="","",Wages!$D954)</f>
        <v/>
      </c>
      <c r="P951">
        <f>IF(OR(Shares!$B954="",Shares!$C954=""),"",Shares!$C954)</f>
        <v/>
      </c>
      <c r="Q951">
        <f>IF($P951="","",Shares!$B954)</f>
        <v/>
      </c>
      <c r="R951">
        <f>IF($P951="","",IFERROR(INDEX(WageParty,MATCH($Q951,WageIds,0)),""))</f>
        <v/>
      </c>
      <c r="S951">
        <f>IF($P951="","",IFERROR(INDEX($F$6:$F$2005,MATCH($Q951,WageIds,0)),""))</f>
        <v/>
      </c>
      <c r="T951">
        <f>IF(OR($P951="",$S951="",$S951="نامعتبر"),"",LEFT($S951,4)&amp;MID($S951,6,2)&amp;RIGHT($S951,2)&amp;"0000"&amp;"|"&amp;"2"&amp;RIGHT("00000"&amp;946,5))</f>
        <v/>
      </c>
      <c r="U951">
        <f>IF($T951="","",COUNTIFS(LdAParty,$P951,LdAType,1,LdAKey,"&lt;"&amp;$T951)+COUNTIFS(LdBMember,$P951,LdBKey,"&lt;"&amp;$T951)+COUNTIFS(LdCParty,$P951,LdCKey,"&lt;"&amp;$T951)+1)</f>
        <v/>
      </c>
      <c r="V951">
        <f>IF($U951="","",$P951&amp;"|"&amp;RIGHT("000000"&amp;$U951,6))</f>
        <v/>
      </c>
      <c r="W951">
        <f>IF($T951="","",COUNTIFS(LdBGroup,$R951,LdBKey,"&lt;"&amp;$T951)+1)</f>
        <v/>
      </c>
      <c r="X951">
        <f>IF($W951="","",$R951&amp;"|"&amp;RIGHT("000000"&amp;$W951,6))</f>
        <v/>
      </c>
      <c r="Y951">
        <f>IF($P951="","",IF(Shares!$E954="",0,Shares!$E954))</f>
        <v/>
      </c>
      <c r="Z951">
        <f>IF($P951="","",Shares!$H954)</f>
        <v/>
      </c>
      <c r="AE951">
        <f>IF(OR(Sync!$S951="",Sync!$P951=""),"",Sync!$S951)</f>
        <v/>
      </c>
      <c r="AF951">
        <f>IF($AE951="","",IF(ISNUMBER(Sync!$P951),IF(AND(Sync!$P951&gt;=10000101,Sync!$P951&lt;=99991231),INT(Sync!$P951/10000),""),IFERROR(VALUE(TRIM(LEFT(Sync!$P951,FIND("/",Sync!$P951)-1))),"")))</f>
        <v/>
      </c>
      <c r="AG951">
        <f>IF(OR($AE951="",$AF951=""),"",IF(ISNUMBER(Sync!$P951),INT(MOD(Sync!$P951,10000)/100),IFERROR(VALUE(TRIM(LEFT(MID(Sync!$P951,FIND("/",Sync!$P951)+1,20),FIND("/",MID(Sync!$P951,FIND("/",Sync!$P951)+1,20))-1))),"")))</f>
        <v/>
      </c>
      <c r="AH951">
        <f>IF(OR($AE951="",$AF951=""),"",IF(ISNUMBER(Sync!$P951),MOD(Sync!$P951,100),IFERROR(VALUE(TRIM(MID(MID(Sync!$P951,FIND("/",Sync!$P951)+1,20),FIND("/",MID(Sync!$P951,FIND("/",Sync!$P951)+1,20))+1,20))),"")))</f>
        <v/>
      </c>
      <c r="AI951">
        <f>IF($AE951="","",IF(OR($AF951="",$AG951="",$AH951="",$AF951&lt;1300,$AF951&gt;1500,$AG951&lt;1,$AG951&gt;12,$AH951&lt;1,$AH951&gt;31),"نامعتبر",RIGHT("0000"&amp;$AF951,4)&amp;"/"&amp;RIGHT("00"&amp;$AG951,2)&amp;"/"&amp;RIGHT("00"&amp;$AH951,2)))</f>
        <v/>
      </c>
      <c r="AJ951">
        <f>IF($AE951="","",IF(Sync!$Q951="","0000",IF(AND(ISNUMBER(Sync!$Q951),Sync!$Q951&gt;=0,Sync!$Q951&lt;1),RIGHT("00"&amp;HOUR(Sync!$Q951),2)&amp;RIGHT("00"&amp;MINUTE(Sync!$Q951),2),IFERROR(RIGHT("00"&amp;VALUE(LEFT(Sync!$Q951,FIND(":",Sync!$Q951)-1)),2)&amp;RIGHT("00"&amp;VALUE(MID(Sync!$Q951,FIND(":",Sync!$Q951)+1,2)),2),"0000"))))</f>
        <v/>
      </c>
      <c r="AK951">
        <f>IF(OR($AE951="",$AI951="",$AI951="نامعتبر"),"",LEFT($AI951,4)&amp;MID($AI951,6,2)&amp;RIGHT($AI951,2)&amp;$AJ951&amp;"|"&amp;"3"&amp;RIGHT("00000"&amp;946,5))</f>
        <v/>
      </c>
      <c r="AL951">
        <f>IF($AK951="","",COUNTIFS(LdAParty,$AE951,LdAType,1,LdAKey,"&lt;"&amp;$AK951)+COUNTIFS(LdBMember,$AE951,LdBKey,"&lt;"&amp;$AK951)+COUNTIFS(LdCParty,$AE951,LdCKey,"&lt;"&amp;$AK951)+1)</f>
        <v/>
      </c>
      <c r="AM951">
        <f>IF($AL951="","",$AE951&amp;"|"&amp;RIGHT("000000"&amp;$AL951,6))</f>
        <v/>
      </c>
      <c r="AN951">
        <f>IF($AE951="","",IF(Sync!$W951="",0,Sync!$W951))</f>
        <v/>
      </c>
      <c r="AO951">
        <f>IF($AE951="","",IF(Sync!$X951="",0,Sync!$X951))</f>
        <v/>
      </c>
      <c r="AP951">
        <f>IF($AE951="","",Sync!$R951)</f>
        <v/>
      </c>
      <c r="AQ951">
        <f>IF($AE951="","",Sync!$Y951)</f>
        <v/>
      </c>
    </row>
    <row r="952">
      <c r="A952">
        <f>IF(OR(Wages!$B955="",Wages!$E955=""),"",Wages!$E955)</f>
        <v/>
      </c>
      <c r="B952">
        <f>IF($A952="","",IF(Wages!$C955="دستمزد گروهی",2,1))</f>
        <v/>
      </c>
      <c r="C952">
        <f>IF($A952="","",IF(ISNUMBER(Wages!$B955),IF(AND(Wages!$B955&gt;=10000101,Wages!$B955&lt;=99991231),INT(Wages!$B955/10000),""),IFERROR(VALUE(TRIM(LEFT(Wages!$B955,FIND("/",Wages!$B955)-1))),"")))</f>
        <v/>
      </c>
      <c r="D952">
        <f>IF(OR($A952="",$C952=""),"",IF(ISNUMBER(Wages!$B955),INT(MOD(Wages!$B955,10000)/100),IFERROR(VALUE(TRIM(LEFT(MID(Wages!$B955,FIND("/",Wages!$B955)+1,20),FIND("/",MID(Wages!$B955,FIND("/",Wages!$B955)+1,20))-1))),"")))</f>
        <v/>
      </c>
      <c r="E952">
        <f>IF(OR($A952="",$C952=""),"",IF(ISNUMBER(Wages!$B955),MOD(Wages!$B955,100),IFERROR(VALUE(TRIM(MID(MID(Wages!$B955,FIND("/",Wages!$B955)+1,20),FIND("/",MID(Wages!$B955,FIND("/",Wages!$B955)+1,20))+1,20))),"")))</f>
        <v/>
      </c>
      <c r="F952">
        <f>IF($A952="","",IF(OR($C952="",$D952="",$E952="",$C952&lt;1300,$C952&gt;1500,$D952&lt;1,$D952&gt;12,$E952&lt;1,$E952&gt;31),"نامعتبر",RIGHT("0000"&amp;$C952,4)&amp;"/"&amp;RIGHT("00"&amp;$D952,2)&amp;"/"&amp;RIGHT("00"&amp;$E952,2)))</f>
        <v/>
      </c>
      <c r="G952">
        <f>IF(OR($A952="",$F952="",$F952="نامعتبر"),"",LEFT($F952,4)&amp;MID($F952,6,2)&amp;RIGHT($F952,2)&amp;"0000"&amp;"|"&amp;"1"&amp;RIGHT("00000"&amp;947,5))</f>
        <v/>
      </c>
      <c r="H952">
        <f>IF(OR($B952&lt;&gt;1,$G952=""),"",COUNTIFS(LdAParty,$A952,LdAType,1,LdAKey,"&lt;"&amp;$G952)+COUNTIFS(LdBMember,$A952,LdBKey,"&lt;"&amp;$G952)+COUNTIFS(LdCParty,$A952,LdCKey,"&lt;"&amp;$G952)+1)</f>
        <v/>
      </c>
      <c r="I952">
        <f>IF($H952="","",$A952&amp;"|"&amp;RIGHT("000000"&amp;$H952,6))</f>
        <v/>
      </c>
      <c r="J952">
        <f>IF(OR($B952&lt;&gt;2,$G952=""),"",COUNTIFS(LdAParty,$A952,LdAType,2,LdAKey,"&lt;"&amp;$G952)+1)</f>
        <v/>
      </c>
      <c r="K952">
        <f>IF($J952="","",$A952&amp;"|"&amp;RIGHT("000000"&amp;$J952,6))</f>
        <v/>
      </c>
      <c r="L952">
        <f>IF($A952="","",IF(Wages!$G955="",0,Wages!$G955))</f>
        <v/>
      </c>
      <c r="M952">
        <f>IF($A952="","",Wages!$J955)</f>
        <v/>
      </c>
      <c r="N952">
        <f>IF($A952="","",Wages!$D955)</f>
        <v/>
      </c>
      <c r="P952">
        <f>IF(OR(Shares!$B955="",Shares!$C955=""),"",Shares!$C955)</f>
        <v/>
      </c>
      <c r="Q952">
        <f>IF($P952="","",Shares!$B955)</f>
        <v/>
      </c>
      <c r="R952">
        <f>IF($P952="","",IFERROR(INDEX(WageParty,MATCH($Q952,WageIds,0)),""))</f>
        <v/>
      </c>
      <c r="S952">
        <f>IF($P952="","",IFERROR(INDEX($F$6:$F$2005,MATCH($Q952,WageIds,0)),""))</f>
        <v/>
      </c>
      <c r="T952">
        <f>IF(OR($P952="",$S952="",$S952="نامعتبر"),"",LEFT($S952,4)&amp;MID($S952,6,2)&amp;RIGHT($S952,2)&amp;"0000"&amp;"|"&amp;"2"&amp;RIGHT("00000"&amp;947,5))</f>
        <v/>
      </c>
      <c r="U952">
        <f>IF($T952="","",COUNTIFS(LdAParty,$P952,LdAType,1,LdAKey,"&lt;"&amp;$T952)+COUNTIFS(LdBMember,$P952,LdBKey,"&lt;"&amp;$T952)+COUNTIFS(LdCParty,$P952,LdCKey,"&lt;"&amp;$T952)+1)</f>
        <v/>
      </c>
      <c r="V952">
        <f>IF($U952="","",$P952&amp;"|"&amp;RIGHT("000000"&amp;$U952,6))</f>
        <v/>
      </c>
      <c r="W952">
        <f>IF($T952="","",COUNTIFS(LdBGroup,$R952,LdBKey,"&lt;"&amp;$T952)+1)</f>
        <v/>
      </c>
      <c r="X952">
        <f>IF($W952="","",$R952&amp;"|"&amp;RIGHT("000000"&amp;$W952,6))</f>
        <v/>
      </c>
      <c r="Y952">
        <f>IF($P952="","",IF(Shares!$E955="",0,Shares!$E955))</f>
        <v/>
      </c>
      <c r="Z952">
        <f>IF($P952="","",Shares!$H955)</f>
        <v/>
      </c>
      <c r="AE952">
        <f>IF(OR(Sync!$S952="",Sync!$P952=""),"",Sync!$S952)</f>
        <v/>
      </c>
      <c r="AF952">
        <f>IF($AE952="","",IF(ISNUMBER(Sync!$P952),IF(AND(Sync!$P952&gt;=10000101,Sync!$P952&lt;=99991231),INT(Sync!$P952/10000),""),IFERROR(VALUE(TRIM(LEFT(Sync!$P952,FIND("/",Sync!$P952)-1))),"")))</f>
        <v/>
      </c>
      <c r="AG952">
        <f>IF(OR($AE952="",$AF952=""),"",IF(ISNUMBER(Sync!$P952),INT(MOD(Sync!$P952,10000)/100),IFERROR(VALUE(TRIM(LEFT(MID(Sync!$P952,FIND("/",Sync!$P952)+1,20),FIND("/",MID(Sync!$P952,FIND("/",Sync!$P952)+1,20))-1))),"")))</f>
        <v/>
      </c>
      <c r="AH952">
        <f>IF(OR($AE952="",$AF952=""),"",IF(ISNUMBER(Sync!$P952),MOD(Sync!$P952,100),IFERROR(VALUE(TRIM(MID(MID(Sync!$P952,FIND("/",Sync!$P952)+1,20),FIND("/",MID(Sync!$P952,FIND("/",Sync!$P952)+1,20))+1,20))),"")))</f>
        <v/>
      </c>
      <c r="AI952">
        <f>IF($AE952="","",IF(OR($AF952="",$AG952="",$AH952="",$AF952&lt;1300,$AF952&gt;1500,$AG952&lt;1,$AG952&gt;12,$AH952&lt;1,$AH952&gt;31),"نامعتبر",RIGHT("0000"&amp;$AF952,4)&amp;"/"&amp;RIGHT("00"&amp;$AG952,2)&amp;"/"&amp;RIGHT("00"&amp;$AH952,2)))</f>
        <v/>
      </c>
      <c r="AJ952">
        <f>IF($AE952="","",IF(Sync!$Q952="","0000",IF(AND(ISNUMBER(Sync!$Q952),Sync!$Q952&gt;=0,Sync!$Q952&lt;1),RIGHT("00"&amp;HOUR(Sync!$Q952),2)&amp;RIGHT("00"&amp;MINUTE(Sync!$Q952),2),IFERROR(RIGHT("00"&amp;VALUE(LEFT(Sync!$Q952,FIND(":",Sync!$Q952)-1)),2)&amp;RIGHT("00"&amp;VALUE(MID(Sync!$Q952,FIND(":",Sync!$Q952)+1,2)),2),"0000"))))</f>
        <v/>
      </c>
      <c r="AK952">
        <f>IF(OR($AE952="",$AI952="",$AI952="نامعتبر"),"",LEFT($AI952,4)&amp;MID($AI952,6,2)&amp;RIGHT($AI952,2)&amp;$AJ952&amp;"|"&amp;"3"&amp;RIGHT("00000"&amp;947,5))</f>
        <v/>
      </c>
      <c r="AL952">
        <f>IF($AK952="","",COUNTIFS(LdAParty,$AE952,LdAType,1,LdAKey,"&lt;"&amp;$AK952)+COUNTIFS(LdBMember,$AE952,LdBKey,"&lt;"&amp;$AK952)+COUNTIFS(LdCParty,$AE952,LdCKey,"&lt;"&amp;$AK952)+1)</f>
        <v/>
      </c>
      <c r="AM952">
        <f>IF($AL952="","",$AE952&amp;"|"&amp;RIGHT("000000"&amp;$AL952,6))</f>
        <v/>
      </c>
      <c r="AN952">
        <f>IF($AE952="","",IF(Sync!$W952="",0,Sync!$W952))</f>
        <v/>
      </c>
      <c r="AO952">
        <f>IF($AE952="","",IF(Sync!$X952="",0,Sync!$X952))</f>
        <v/>
      </c>
      <c r="AP952">
        <f>IF($AE952="","",Sync!$R952)</f>
        <v/>
      </c>
      <c r="AQ952">
        <f>IF($AE952="","",Sync!$Y952)</f>
        <v/>
      </c>
    </row>
    <row r="953">
      <c r="A953">
        <f>IF(OR(Wages!$B956="",Wages!$E956=""),"",Wages!$E956)</f>
        <v/>
      </c>
      <c r="B953">
        <f>IF($A953="","",IF(Wages!$C956="دستمزد گروهی",2,1))</f>
        <v/>
      </c>
      <c r="C953">
        <f>IF($A953="","",IF(ISNUMBER(Wages!$B956),IF(AND(Wages!$B956&gt;=10000101,Wages!$B956&lt;=99991231),INT(Wages!$B956/10000),""),IFERROR(VALUE(TRIM(LEFT(Wages!$B956,FIND("/",Wages!$B956)-1))),"")))</f>
        <v/>
      </c>
      <c r="D953">
        <f>IF(OR($A953="",$C953=""),"",IF(ISNUMBER(Wages!$B956),INT(MOD(Wages!$B956,10000)/100),IFERROR(VALUE(TRIM(LEFT(MID(Wages!$B956,FIND("/",Wages!$B956)+1,20),FIND("/",MID(Wages!$B956,FIND("/",Wages!$B956)+1,20))-1))),"")))</f>
        <v/>
      </c>
      <c r="E953">
        <f>IF(OR($A953="",$C953=""),"",IF(ISNUMBER(Wages!$B956),MOD(Wages!$B956,100),IFERROR(VALUE(TRIM(MID(MID(Wages!$B956,FIND("/",Wages!$B956)+1,20),FIND("/",MID(Wages!$B956,FIND("/",Wages!$B956)+1,20))+1,20))),"")))</f>
        <v/>
      </c>
      <c r="F953">
        <f>IF($A953="","",IF(OR($C953="",$D953="",$E953="",$C953&lt;1300,$C953&gt;1500,$D953&lt;1,$D953&gt;12,$E953&lt;1,$E953&gt;31),"نامعتبر",RIGHT("0000"&amp;$C953,4)&amp;"/"&amp;RIGHT("00"&amp;$D953,2)&amp;"/"&amp;RIGHT("00"&amp;$E953,2)))</f>
        <v/>
      </c>
      <c r="G953">
        <f>IF(OR($A953="",$F953="",$F953="نامعتبر"),"",LEFT($F953,4)&amp;MID($F953,6,2)&amp;RIGHT($F953,2)&amp;"0000"&amp;"|"&amp;"1"&amp;RIGHT("00000"&amp;948,5))</f>
        <v/>
      </c>
      <c r="H953">
        <f>IF(OR($B953&lt;&gt;1,$G953=""),"",COUNTIFS(LdAParty,$A953,LdAType,1,LdAKey,"&lt;"&amp;$G953)+COUNTIFS(LdBMember,$A953,LdBKey,"&lt;"&amp;$G953)+COUNTIFS(LdCParty,$A953,LdCKey,"&lt;"&amp;$G953)+1)</f>
        <v/>
      </c>
      <c r="I953">
        <f>IF($H953="","",$A953&amp;"|"&amp;RIGHT("000000"&amp;$H953,6))</f>
        <v/>
      </c>
      <c r="J953">
        <f>IF(OR($B953&lt;&gt;2,$G953=""),"",COUNTIFS(LdAParty,$A953,LdAType,2,LdAKey,"&lt;"&amp;$G953)+1)</f>
        <v/>
      </c>
      <c r="K953">
        <f>IF($J953="","",$A953&amp;"|"&amp;RIGHT("000000"&amp;$J953,6))</f>
        <v/>
      </c>
      <c r="L953">
        <f>IF($A953="","",IF(Wages!$G956="",0,Wages!$G956))</f>
        <v/>
      </c>
      <c r="M953">
        <f>IF($A953="","",Wages!$J956)</f>
        <v/>
      </c>
      <c r="N953">
        <f>IF($A953="","",Wages!$D956)</f>
        <v/>
      </c>
      <c r="P953">
        <f>IF(OR(Shares!$B956="",Shares!$C956=""),"",Shares!$C956)</f>
        <v/>
      </c>
      <c r="Q953">
        <f>IF($P953="","",Shares!$B956)</f>
        <v/>
      </c>
      <c r="R953">
        <f>IF($P953="","",IFERROR(INDEX(WageParty,MATCH($Q953,WageIds,0)),""))</f>
        <v/>
      </c>
      <c r="S953">
        <f>IF($P953="","",IFERROR(INDEX($F$6:$F$2005,MATCH($Q953,WageIds,0)),""))</f>
        <v/>
      </c>
      <c r="T953">
        <f>IF(OR($P953="",$S953="",$S953="نامعتبر"),"",LEFT($S953,4)&amp;MID($S953,6,2)&amp;RIGHT($S953,2)&amp;"0000"&amp;"|"&amp;"2"&amp;RIGHT("00000"&amp;948,5))</f>
        <v/>
      </c>
      <c r="U953">
        <f>IF($T953="","",COUNTIFS(LdAParty,$P953,LdAType,1,LdAKey,"&lt;"&amp;$T953)+COUNTIFS(LdBMember,$P953,LdBKey,"&lt;"&amp;$T953)+COUNTIFS(LdCParty,$P953,LdCKey,"&lt;"&amp;$T953)+1)</f>
        <v/>
      </c>
      <c r="V953">
        <f>IF($U953="","",$P953&amp;"|"&amp;RIGHT("000000"&amp;$U953,6))</f>
        <v/>
      </c>
      <c r="W953">
        <f>IF($T953="","",COUNTIFS(LdBGroup,$R953,LdBKey,"&lt;"&amp;$T953)+1)</f>
        <v/>
      </c>
      <c r="X953">
        <f>IF($W953="","",$R953&amp;"|"&amp;RIGHT("000000"&amp;$W953,6))</f>
        <v/>
      </c>
      <c r="Y953">
        <f>IF($P953="","",IF(Shares!$E956="",0,Shares!$E956))</f>
        <v/>
      </c>
      <c r="Z953">
        <f>IF($P953="","",Shares!$H956)</f>
        <v/>
      </c>
      <c r="AE953">
        <f>IF(OR(Sync!$S953="",Sync!$P953=""),"",Sync!$S953)</f>
        <v/>
      </c>
      <c r="AF953">
        <f>IF($AE953="","",IF(ISNUMBER(Sync!$P953),IF(AND(Sync!$P953&gt;=10000101,Sync!$P953&lt;=99991231),INT(Sync!$P953/10000),""),IFERROR(VALUE(TRIM(LEFT(Sync!$P953,FIND("/",Sync!$P953)-1))),"")))</f>
        <v/>
      </c>
      <c r="AG953">
        <f>IF(OR($AE953="",$AF953=""),"",IF(ISNUMBER(Sync!$P953),INT(MOD(Sync!$P953,10000)/100),IFERROR(VALUE(TRIM(LEFT(MID(Sync!$P953,FIND("/",Sync!$P953)+1,20),FIND("/",MID(Sync!$P953,FIND("/",Sync!$P953)+1,20))-1))),"")))</f>
        <v/>
      </c>
      <c r="AH953">
        <f>IF(OR($AE953="",$AF953=""),"",IF(ISNUMBER(Sync!$P953),MOD(Sync!$P953,100),IFERROR(VALUE(TRIM(MID(MID(Sync!$P953,FIND("/",Sync!$P953)+1,20),FIND("/",MID(Sync!$P953,FIND("/",Sync!$P953)+1,20))+1,20))),"")))</f>
        <v/>
      </c>
      <c r="AI953">
        <f>IF($AE953="","",IF(OR($AF953="",$AG953="",$AH953="",$AF953&lt;1300,$AF953&gt;1500,$AG953&lt;1,$AG953&gt;12,$AH953&lt;1,$AH953&gt;31),"نامعتبر",RIGHT("0000"&amp;$AF953,4)&amp;"/"&amp;RIGHT("00"&amp;$AG953,2)&amp;"/"&amp;RIGHT("00"&amp;$AH953,2)))</f>
        <v/>
      </c>
      <c r="AJ953">
        <f>IF($AE953="","",IF(Sync!$Q953="","0000",IF(AND(ISNUMBER(Sync!$Q953),Sync!$Q953&gt;=0,Sync!$Q953&lt;1),RIGHT("00"&amp;HOUR(Sync!$Q953),2)&amp;RIGHT("00"&amp;MINUTE(Sync!$Q953),2),IFERROR(RIGHT("00"&amp;VALUE(LEFT(Sync!$Q953,FIND(":",Sync!$Q953)-1)),2)&amp;RIGHT("00"&amp;VALUE(MID(Sync!$Q953,FIND(":",Sync!$Q953)+1,2)),2),"0000"))))</f>
        <v/>
      </c>
      <c r="AK953">
        <f>IF(OR($AE953="",$AI953="",$AI953="نامعتبر"),"",LEFT($AI953,4)&amp;MID($AI953,6,2)&amp;RIGHT($AI953,2)&amp;$AJ953&amp;"|"&amp;"3"&amp;RIGHT("00000"&amp;948,5))</f>
        <v/>
      </c>
      <c r="AL953">
        <f>IF($AK953="","",COUNTIFS(LdAParty,$AE953,LdAType,1,LdAKey,"&lt;"&amp;$AK953)+COUNTIFS(LdBMember,$AE953,LdBKey,"&lt;"&amp;$AK953)+COUNTIFS(LdCParty,$AE953,LdCKey,"&lt;"&amp;$AK953)+1)</f>
        <v/>
      </c>
      <c r="AM953">
        <f>IF($AL953="","",$AE953&amp;"|"&amp;RIGHT("000000"&amp;$AL953,6))</f>
        <v/>
      </c>
      <c r="AN953">
        <f>IF($AE953="","",IF(Sync!$W953="",0,Sync!$W953))</f>
        <v/>
      </c>
      <c r="AO953">
        <f>IF($AE953="","",IF(Sync!$X953="",0,Sync!$X953))</f>
        <v/>
      </c>
      <c r="AP953">
        <f>IF($AE953="","",Sync!$R953)</f>
        <v/>
      </c>
      <c r="AQ953">
        <f>IF($AE953="","",Sync!$Y953)</f>
        <v/>
      </c>
    </row>
    <row r="954">
      <c r="A954">
        <f>IF(OR(Wages!$B957="",Wages!$E957=""),"",Wages!$E957)</f>
        <v/>
      </c>
      <c r="B954">
        <f>IF($A954="","",IF(Wages!$C957="دستمزد گروهی",2,1))</f>
        <v/>
      </c>
      <c r="C954">
        <f>IF($A954="","",IF(ISNUMBER(Wages!$B957),IF(AND(Wages!$B957&gt;=10000101,Wages!$B957&lt;=99991231),INT(Wages!$B957/10000),""),IFERROR(VALUE(TRIM(LEFT(Wages!$B957,FIND("/",Wages!$B957)-1))),"")))</f>
        <v/>
      </c>
      <c r="D954">
        <f>IF(OR($A954="",$C954=""),"",IF(ISNUMBER(Wages!$B957),INT(MOD(Wages!$B957,10000)/100),IFERROR(VALUE(TRIM(LEFT(MID(Wages!$B957,FIND("/",Wages!$B957)+1,20),FIND("/",MID(Wages!$B957,FIND("/",Wages!$B957)+1,20))-1))),"")))</f>
        <v/>
      </c>
      <c r="E954">
        <f>IF(OR($A954="",$C954=""),"",IF(ISNUMBER(Wages!$B957),MOD(Wages!$B957,100),IFERROR(VALUE(TRIM(MID(MID(Wages!$B957,FIND("/",Wages!$B957)+1,20),FIND("/",MID(Wages!$B957,FIND("/",Wages!$B957)+1,20))+1,20))),"")))</f>
        <v/>
      </c>
      <c r="F954">
        <f>IF($A954="","",IF(OR($C954="",$D954="",$E954="",$C954&lt;1300,$C954&gt;1500,$D954&lt;1,$D954&gt;12,$E954&lt;1,$E954&gt;31),"نامعتبر",RIGHT("0000"&amp;$C954,4)&amp;"/"&amp;RIGHT("00"&amp;$D954,2)&amp;"/"&amp;RIGHT("00"&amp;$E954,2)))</f>
        <v/>
      </c>
      <c r="G954">
        <f>IF(OR($A954="",$F954="",$F954="نامعتبر"),"",LEFT($F954,4)&amp;MID($F954,6,2)&amp;RIGHT($F954,2)&amp;"0000"&amp;"|"&amp;"1"&amp;RIGHT("00000"&amp;949,5))</f>
        <v/>
      </c>
      <c r="H954">
        <f>IF(OR($B954&lt;&gt;1,$G954=""),"",COUNTIFS(LdAParty,$A954,LdAType,1,LdAKey,"&lt;"&amp;$G954)+COUNTIFS(LdBMember,$A954,LdBKey,"&lt;"&amp;$G954)+COUNTIFS(LdCParty,$A954,LdCKey,"&lt;"&amp;$G954)+1)</f>
        <v/>
      </c>
      <c r="I954">
        <f>IF($H954="","",$A954&amp;"|"&amp;RIGHT("000000"&amp;$H954,6))</f>
        <v/>
      </c>
      <c r="J954">
        <f>IF(OR($B954&lt;&gt;2,$G954=""),"",COUNTIFS(LdAParty,$A954,LdAType,2,LdAKey,"&lt;"&amp;$G954)+1)</f>
        <v/>
      </c>
      <c r="K954">
        <f>IF($J954="","",$A954&amp;"|"&amp;RIGHT("000000"&amp;$J954,6))</f>
        <v/>
      </c>
      <c r="L954">
        <f>IF($A954="","",IF(Wages!$G957="",0,Wages!$G957))</f>
        <v/>
      </c>
      <c r="M954">
        <f>IF($A954="","",Wages!$J957)</f>
        <v/>
      </c>
      <c r="N954">
        <f>IF($A954="","",Wages!$D957)</f>
        <v/>
      </c>
      <c r="P954">
        <f>IF(OR(Shares!$B957="",Shares!$C957=""),"",Shares!$C957)</f>
        <v/>
      </c>
      <c r="Q954">
        <f>IF($P954="","",Shares!$B957)</f>
        <v/>
      </c>
      <c r="R954">
        <f>IF($P954="","",IFERROR(INDEX(WageParty,MATCH($Q954,WageIds,0)),""))</f>
        <v/>
      </c>
      <c r="S954">
        <f>IF($P954="","",IFERROR(INDEX($F$6:$F$2005,MATCH($Q954,WageIds,0)),""))</f>
        <v/>
      </c>
      <c r="T954">
        <f>IF(OR($P954="",$S954="",$S954="نامعتبر"),"",LEFT($S954,4)&amp;MID($S954,6,2)&amp;RIGHT($S954,2)&amp;"0000"&amp;"|"&amp;"2"&amp;RIGHT("00000"&amp;949,5))</f>
        <v/>
      </c>
      <c r="U954">
        <f>IF($T954="","",COUNTIFS(LdAParty,$P954,LdAType,1,LdAKey,"&lt;"&amp;$T954)+COUNTIFS(LdBMember,$P954,LdBKey,"&lt;"&amp;$T954)+COUNTIFS(LdCParty,$P954,LdCKey,"&lt;"&amp;$T954)+1)</f>
        <v/>
      </c>
      <c r="V954">
        <f>IF($U954="","",$P954&amp;"|"&amp;RIGHT("000000"&amp;$U954,6))</f>
        <v/>
      </c>
      <c r="W954">
        <f>IF($T954="","",COUNTIFS(LdBGroup,$R954,LdBKey,"&lt;"&amp;$T954)+1)</f>
        <v/>
      </c>
      <c r="X954">
        <f>IF($W954="","",$R954&amp;"|"&amp;RIGHT("000000"&amp;$W954,6))</f>
        <v/>
      </c>
      <c r="Y954">
        <f>IF($P954="","",IF(Shares!$E957="",0,Shares!$E957))</f>
        <v/>
      </c>
      <c r="Z954">
        <f>IF($P954="","",Shares!$H957)</f>
        <v/>
      </c>
      <c r="AE954">
        <f>IF(OR(Sync!$S954="",Sync!$P954=""),"",Sync!$S954)</f>
        <v/>
      </c>
      <c r="AF954">
        <f>IF($AE954="","",IF(ISNUMBER(Sync!$P954),IF(AND(Sync!$P954&gt;=10000101,Sync!$P954&lt;=99991231),INT(Sync!$P954/10000),""),IFERROR(VALUE(TRIM(LEFT(Sync!$P954,FIND("/",Sync!$P954)-1))),"")))</f>
        <v/>
      </c>
      <c r="AG954">
        <f>IF(OR($AE954="",$AF954=""),"",IF(ISNUMBER(Sync!$P954),INT(MOD(Sync!$P954,10000)/100),IFERROR(VALUE(TRIM(LEFT(MID(Sync!$P954,FIND("/",Sync!$P954)+1,20),FIND("/",MID(Sync!$P954,FIND("/",Sync!$P954)+1,20))-1))),"")))</f>
        <v/>
      </c>
      <c r="AH954">
        <f>IF(OR($AE954="",$AF954=""),"",IF(ISNUMBER(Sync!$P954),MOD(Sync!$P954,100),IFERROR(VALUE(TRIM(MID(MID(Sync!$P954,FIND("/",Sync!$P954)+1,20),FIND("/",MID(Sync!$P954,FIND("/",Sync!$P954)+1,20))+1,20))),"")))</f>
        <v/>
      </c>
      <c r="AI954">
        <f>IF($AE954="","",IF(OR($AF954="",$AG954="",$AH954="",$AF954&lt;1300,$AF954&gt;1500,$AG954&lt;1,$AG954&gt;12,$AH954&lt;1,$AH954&gt;31),"نامعتبر",RIGHT("0000"&amp;$AF954,4)&amp;"/"&amp;RIGHT("00"&amp;$AG954,2)&amp;"/"&amp;RIGHT("00"&amp;$AH954,2)))</f>
        <v/>
      </c>
      <c r="AJ954">
        <f>IF($AE954="","",IF(Sync!$Q954="","0000",IF(AND(ISNUMBER(Sync!$Q954),Sync!$Q954&gt;=0,Sync!$Q954&lt;1),RIGHT("00"&amp;HOUR(Sync!$Q954),2)&amp;RIGHT("00"&amp;MINUTE(Sync!$Q954),2),IFERROR(RIGHT("00"&amp;VALUE(LEFT(Sync!$Q954,FIND(":",Sync!$Q954)-1)),2)&amp;RIGHT("00"&amp;VALUE(MID(Sync!$Q954,FIND(":",Sync!$Q954)+1,2)),2),"0000"))))</f>
        <v/>
      </c>
      <c r="AK954">
        <f>IF(OR($AE954="",$AI954="",$AI954="نامعتبر"),"",LEFT($AI954,4)&amp;MID($AI954,6,2)&amp;RIGHT($AI954,2)&amp;$AJ954&amp;"|"&amp;"3"&amp;RIGHT("00000"&amp;949,5))</f>
        <v/>
      </c>
      <c r="AL954">
        <f>IF($AK954="","",COUNTIFS(LdAParty,$AE954,LdAType,1,LdAKey,"&lt;"&amp;$AK954)+COUNTIFS(LdBMember,$AE954,LdBKey,"&lt;"&amp;$AK954)+COUNTIFS(LdCParty,$AE954,LdCKey,"&lt;"&amp;$AK954)+1)</f>
        <v/>
      </c>
      <c r="AM954">
        <f>IF($AL954="","",$AE954&amp;"|"&amp;RIGHT("000000"&amp;$AL954,6))</f>
        <v/>
      </c>
      <c r="AN954">
        <f>IF($AE954="","",IF(Sync!$W954="",0,Sync!$W954))</f>
        <v/>
      </c>
      <c r="AO954">
        <f>IF($AE954="","",IF(Sync!$X954="",0,Sync!$X954))</f>
        <v/>
      </c>
      <c r="AP954">
        <f>IF($AE954="","",Sync!$R954)</f>
        <v/>
      </c>
      <c r="AQ954">
        <f>IF($AE954="","",Sync!$Y954)</f>
        <v/>
      </c>
    </row>
    <row r="955">
      <c r="A955">
        <f>IF(OR(Wages!$B958="",Wages!$E958=""),"",Wages!$E958)</f>
        <v/>
      </c>
      <c r="B955">
        <f>IF($A955="","",IF(Wages!$C958="دستمزد گروهی",2,1))</f>
        <v/>
      </c>
      <c r="C955">
        <f>IF($A955="","",IF(ISNUMBER(Wages!$B958),IF(AND(Wages!$B958&gt;=10000101,Wages!$B958&lt;=99991231),INT(Wages!$B958/10000),""),IFERROR(VALUE(TRIM(LEFT(Wages!$B958,FIND("/",Wages!$B958)-1))),"")))</f>
        <v/>
      </c>
      <c r="D955">
        <f>IF(OR($A955="",$C955=""),"",IF(ISNUMBER(Wages!$B958),INT(MOD(Wages!$B958,10000)/100),IFERROR(VALUE(TRIM(LEFT(MID(Wages!$B958,FIND("/",Wages!$B958)+1,20),FIND("/",MID(Wages!$B958,FIND("/",Wages!$B958)+1,20))-1))),"")))</f>
        <v/>
      </c>
      <c r="E955">
        <f>IF(OR($A955="",$C955=""),"",IF(ISNUMBER(Wages!$B958),MOD(Wages!$B958,100),IFERROR(VALUE(TRIM(MID(MID(Wages!$B958,FIND("/",Wages!$B958)+1,20),FIND("/",MID(Wages!$B958,FIND("/",Wages!$B958)+1,20))+1,20))),"")))</f>
        <v/>
      </c>
      <c r="F955">
        <f>IF($A955="","",IF(OR($C955="",$D955="",$E955="",$C955&lt;1300,$C955&gt;1500,$D955&lt;1,$D955&gt;12,$E955&lt;1,$E955&gt;31),"نامعتبر",RIGHT("0000"&amp;$C955,4)&amp;"/"&amp;RIGHT("00"&amp;$D955,2)&amp;"/"&amp;RIGHT("00"&amp;$E955,2)))</f>
        <v/>
      </c>
      <c r="G955">
        <f>IF(OR($A955="",$F955="",$F955="نامعتبر"),"",LEFT($F955,4)&amp;MID($F955,6,2)&amp;RIGHT($F955,2)&amp;"0000"&amp;"|"&amp;"1"&amp;RIGHT("00000"&amp;950,5))</f>
        <v/>
      </c>
      <c r="H955">
        <f>IF(OR($B955&lt;&gt;1,$G955=""),"",COUNTIFS(LdAParty,$A955,LdAType,1,LdAKey,"&lt;"&amp;$G955)+COUNTIFS(LdBMember,$A955,LdBKey,"&lt;"&amp;$G955)+COUNTIFS(LdCParty,$A955,LdCKey,"&lt;"&amp;$G955)+1)</f>
        <v/>
      </c>
      <c r="I955">
        <f>IF($H955="","",$A955&amp;"|"&amp;RIGHT("000000"&amp;$H955,6))</f>
        <v/>
      </c>
      <c r="J955">
        <f>IF(OR($B955&lt;&gt;2,$G955=""),"",COUNTIFS(LdAParty,$A955,LdAType,2,LdAKey,"&lt;"&amp;$G955)+1)</f>
        <v/>
      </c>
      <c r="K955">
        <f>IF($J955="","",$A955&amp;"|"&amp;RIGHT("000000"&amp;$J955,6))</f>
        <v/>
      </c>
      <c r="L955">
        <f>IF($A955="","",IF(Wages!$G958="",0,Wages!$G958))</f>
        <v/>
      </c>
      <c r="M955">
        <f>IF($A955="","",Wages!$J958)</f>
        <v/>
      </c>
      <c r="N955">
        <f>IF($A955="","",Wages!$D958)</f>
        <v/>
      </c>
      <c r="P955">
        <f>IF(OR(Shares!$B958="",Shares!$C958=""),"",Shares!$C958)</f>
        <v/>
      </c>
      <c r="Q955">
        <f>IF($P955="","",Shares!$B958)</f>
        <v/>
      </c>
      <c r="R955">
        <f>IF($P955="","",IFERROR(INDEX(WageParty,MATCH($Q955,WageIds,0)),""))</f>
        <v/>
      </c>
      <c r="S955">
        <f>IF($P955="","",IFERROR(INDEX($F$6:$F$2005,MATCH($Q955,WageIds,0)),""))</f>
        <v/>
      </c>
      <c r="T955">
        <f>IF(OR($P955="",$S955="",$S955="نامعتبر"),"",LEFT($S955,4)&amp;MID($S955,6,2)&amp;RIGHT($S955,2)&amp;"0000"&amp;"|"&amp;"2"&amp;RIGHT("00000"&amp;950,5))</f>
        <v/>
      </c>
      <c r="U955">
        <f>IF($T955="","",COUNTIFS(LdAParty,$P955,LdAType,1,LdAKey,"&lt;"&amp;$T955)+COUNTIFS(LdBMember,$P955,LdBKey,"&lt;"&amp;$T955)+COUNTIFS(LdCParty,$P955,LdCKey,"&lt;"&amp;$T955)+1)</f>
        <v/>
      </c>
      <c r="V955">
        <f>IF($U955="","",$P955&amp;"|"&amp;RIGHT("000000"&amp;$U955,6))</f>
        <v/>
      </c>
      <c r="W955">
        <f>IF($T955="","",COUNTIFS(LdBGroup,$R955,LdBKey,"&lt;"&amp;$T955)+1)</f>
        <v/>
      </c>
      <c r="X955">
        <f>IF($W955="","",$R955&amp;"|"&amp;RIGHT("000000"&amp;$W955,6))</f>
        <v/>
      </c>
      <c r="Y955">
        <f>IF($P955="","",IF(Shares!$E958="",0,Shares!$E958))</f>
        <v/>
      </c>
      <c r="Z955">
        <f>IF($P955="","",Shares!$H958)</f>
        <v/>
      </c>
      <c r="AE955">
        <f>IF(OR(Sync!$S955="",Sync!$P955=""),"",Sync!$S955)</f>
        <v/>
      </c>
      <c r="AF955">
        <f>IF($AE955="","",IF(ISNUMBER(Sync!$P955),IF(AND(Sync!$P955&gt;=10000101,Sync!$P955&lt;=99991231),INT(Sync!$P955/10000),""),IFERROR(VALUE(TRIM(LEFT(Sync!$P955,FIND("/",Sync!$P955)-1))),"")))</f>
        <v/>
      </c>
      <c r="AG955">
        <f>IF(OR($AE955="",$AF955=""),"",IF(ISNUMBER(Sync!$P955),INT(MOD(Sync!$P955,10000)/100),IFERROR(VALUE(TRIM(LEFT(MID(Sync!$P955,FIND("/",Sync!$P955)+1,20),FIND("/",MID(Sync!$P955,FIND("/",Sync!$P955)+1,20))-1))),"")))</f>
        <v/>
      </c>
      <c r="AH955">
        <f>IF(OR($AE955="",$AF955=""),"",IF(ISNUMBER(Sync!$P955),MOD(Sync!$P955,100),IFERROR(VALUE(TRIM(MID(MID(Sync!$P955,FIND("/",Sync!$P955)+1,20),FIND("/",MID(Sync!$P955,FIND("/",Sync!$P955)+1,20))+1,20))),"")))</f>
        <v/>
      </c>
      <c r="AI955">
        <f>IF($AE955="","",IF(OR($AF955="",$AG955="",$AH955="",$AF955&lt;1300,$AF955&gt;1500,$AG955&lt;1,$AG955&gt;12,$AH955&lt;1,$AH955&gt;31),"نامعتبر",RIGHT("0000"&amp;$AF955,4)&amp;"/"&amp;RIGHT("00"&amp;$AG955,2)&amp;"/"&amp;RIGHT("00"&amp;$AH955,2)))</f>
        <v/>
      </c>
      <c r="AJ955">
        <f>IF($AE955="","",IF(Sync!$Q955="","0000",IF(AND(ISNUMBER(Sync!$Q955),Sync!$Q955&gt;=0,Sync!$Q955&lt;1),RIGHT("00"&amp;HOUR(Sync!$Q955),2)&amp;RIGHT("00"&amp;MINUTE(Sync!$Q955),2),IFERROR(RIGHT("00"&amp;VALUE(LEFT(Sync!$Q955,FIND(":",Sync!$Q955)-1)),2)&amp;RIGHT("00"&amp;VALUE(MID(Sync!$Q955,FIND(":",Sync!$Q955)+1,2)),2),"0000"))))</f>
        <v/>
      </c>
      <c r="AK955">
        <f>IF(OR($AE955="",$AI955="",$AI955="نامعتبر"),"",LEFT($AI955,4)&amp;MID($AI955,6,2)&amp;RIGHT($AI955,2)&amp;$AJ955&amp;"|"&amp;"3"&amp;RIGHT("00000"&amp;950,5))</f>
        <v/>
      </c>
      <c r="AL955">
        <f>IF($AK955="","",COUNTIFS(LdAParty,$AE955,LdAType,1,LdAKey,"&lt;"&amp;$AK955)+COUNTIFS(LdBMember,$AE955,LdBKey,"&lt;"&amp;$AK955)+COUNTIFS(LdCParty,$AE955,LdCKey,"&lt;"&amp;$AK955)+1)</f>
        <v/>
      </c>
      <c r="AM955">
        <f>IF($AL955="","",$AE955&amp;"|"&amp;RIGHT("000000"&amp;$AL955,6))</f>
        <v/>
      </c>
      <c r="AN955">
        <f>IF($AE955="","",IF(Sync!$W955="",0,Sync!$W955))</f>
        <v/>
      </c>
      <c r="AO955">
        <f>IF($AE955="","",IF(Sync!$X955="",0,Sync!$X955))</f>
        <v/>
      </c>
      <c r="AP955">
        <f>IF($AE955="","",Sync!$R955)</f>
        <v/>
      </c>
      <c r="AQ955">
        <f>IF($AE955="","",Sync!$Y955)</f>
        <v/>
      </c>
    </row>
    <row r="956">
      <c r="A956">
        <f>IF(OR(Wages!$B959="",Wages!$E959=""),"",Wages!$E959)</f>
        <v/>
      </c>
      <c r="B956">
        <f>IF($A956="","",IF(Wages!$C959="دستمزد گروهی",2,1))</f>
        <v/>
      </c>
      <c r="C956">
        <f>IF($A956="","",IF(ISNUMBER(Wages!$B959),IF(AND(Wages!$B959&gt;=10000101,Wages!$B959&lt;=99991231),INT(Wages!$B959/10000),""),IFERROR(VALUE(TRIM(LEFT(Wages!$B959,FIND("/",Wages!$B959)-1))),"")))</f>
        <v/>
      </c>
      <c r="D956">
        <f>IF(OR($A956="",$C956=""),"",IF(ISNUMBER(Wages!$B959),INT(MOD(Wages!$B959,10000)/100),IFERROR(VALUE(TRIM(LEFT(MID(Wages!$B959,FIND("/",Wages!$B959)+1,20),FIND("/",MID(Wages!$B959,FIND("/",Wages!$B959)+1,20))-1))),"")))</f>
        <v/>
      </c>
      <c r="E956">
        <f>IF(OR($A956="",$C956=""),"",IF(ISNUMBER(Wages!$B959),MOD(Wages!$B959,100),IFERROR(VALUE(TRIM(MID(MID(Wages!$B959,FIND("/",Wages!$B959)+1,20),FIND("/",MID(Wages!$B959,FIND("/",Wages!$B959)+1,20))+1,20))),"")))</f>
        <v/>
      </c>
      <c r="F956">
        <f>IF($A956="","",IF(OR($C956="",$D956="",$E956="",$C956&lt;1300,$C956&gt;1500,$D956&lt;1,$D956&gt;12,$E956&lt;1,$E956&gt;31),"نامعتبر",RIGHT("0000"&amp;$C956,4)&amp;"/"&amp;RIGHT("00"&amp;$D956,2)&amp;"/"&amp;RIGHT("00"&amp;$E956,2)))</f>
        <v/>
      </c>
      <c r="G956">
        <f>IF(OR($A956="",$F956="",$F956="نامعتبر"),"",LEFT($F956,4)&amp;MID($F956,6,2)&amp;RIGHT($F956,2)&amp;"0000"&amp;"|"&amp;"1"&amp;RIGHT("00000"&amp;951,5))</f>
        <v/>
      </c>
      <c r="H956">
        <f>IF(OR($B956&lt;&gt;1,$G956=""),"",COUNTIFS(LdAParty,$A956,LdAType,1,LdAKey,"&lt;"&amp;$G956)+COUNTIFS(LdBMember,$A956,LdBKey,"&lt;"&amp;$G956)+COUNTIFS(LdCParty,$A956,LdCKey,"&lt;"&amp;$G956)+1)</f>
        <v/>
      </c>
      <c r="I956">
        <f>IF($H956="","",$A956&amp;"|"&amp;RIGHT("000000"&amp;$H956,6))</f>
        <v/>
      </c>
      <c r="J956">
        <f>IF(OR($B956&lt;&gt;2,$G956=""),"",COUNTIFS(LdAParty,$A956,LdAType,2,LdAKey,"&lt;"&amp;$G956)+1)</f>
        <v/>
      </c>
      <c r="K956">
        <f>IF($J956="","",$A956&amp;"|"&amp;RIGHT("000000"&amp;$J956,6))</f>
        <v/>
      </c>
      <c r="L956">
        <f>IF($A956="","",IF(Wages!$G959="",0,Wages!$G959))</f>
        <v/>
      </c>
      <c r="M956">
        <f>IF($A956="","",Wages!$J959)</f>
        <v/>
      </c>
      <c r="N956">
        <f>IF($A956="","",Wages!$D959)</f>
        <v/>
      </c>
      <c r="P956">
        <f>IF(OR(Shares!$B959="",Shares!$C959=""),"",Shares!$C959)</f>
        <v/>
      </c>
      <c r="Q956">
        <f>IF($P956="","",Shares!$B959)</f>
        <v/>
      </c>
      <c r="R956">
        <f>IF($P956="","",IFERROR(INDEX(WageParty,MATCH($Q956,WageIds,0)),""))</f>
        <v/>
      </c>
      <c r="S956">
        <f>IF($P956="","",IFERROR(INDEX($F$6:$F$2005,MATCH($Q956,WageIds,0)),""))</f>
        <v/>
      </c>
      <c r="T956">
        <f>IF(OR($P956="",$S956="",$S956="نامعتبر"),"",LEFT($S956,4)&amp;MID($S956,6,2)&amp;RIGHT($S956,2)&amp;"0000"&amp;"|"&amp;"2"&amp;RIGHT("00000"&amp;951,5))</f>
        <v/>
      </c>
      <c r="U956">
        <f>IF($T956="","",COUNTIFS(LdAParty,$P956,LdAType,1,LdAKey,"&lt;"&amp;$T956)+COUNTIFS(LdBMember,$P956,LdBKey,"&lt;"&amp;$T956)+COUNTIFS(LdCParty,$P956,LdCKey,"&lt;"&amp;$T956)+1)</f>
        <v/>
      </c>
      <c r="V956">
        <f>IF($U956="","",$P956&amp;"|"&amp;RIGHT("000000"&amp;$U956,6))</f>
        <v/>
      </c>
      <c r="W956">
        <f>IF($T956="","",COUNTIFS(LdBGroup,$R956,LdBKey,"&lt;"&amp;$T956)+1)</f>
        <v/>
      </c>
      <c r="X956">
        <f>IF($W956="","",$R956&amp;"|"&amp;RIGHT("000000"&amp;$W956,6))</f>
        <v/>
      </c>
      <c r="Y956">
        <f>IF($P956="","",IF(Shares!$E959="",0,Shares!$E959))</f>
        <v/>
      </c>
      <c r="Z956">
        <f>IF($P956="","",Shares!$H959)</f>
        <v/>
      </c>
      <c r="AE956">
        <f>IF(OR(Sync!$S956="",Sync!$P956=""),"",Sync!$S956)</f>
        <v/>
      </c>
      <c r="AF956">
        <f>IF($AE956="","",IF(ISNUMBER(Sync!$P956),IF(AND(Sync!$P956&gt;=10000101,Sync!$P956&lt;=99991231),INT(Sync!$P956/10000),""),IFERROR(VALUE(TRIM(LEFT(Sync!$P956,FIND("/",Sync!$P956)-1))),"")))</f>
        <v/>
      </c>
      <c r="AG956">
        <f>IF(OR($AE956="",$AF956=""),"",IF(ISNUMBER(Sync!$P956),INT(MOD(Sync!$P956,10000)/100),IFERROR(VALUE(TRIM(LEFT(MID(Sync!$P956,FIND("/",Sync!$P956)+1,20),FIND("/",MID(Sync!$P956,FIND("/",Sync!$P956)+1,20))-1))),"")))</f>
        <v/>
      </c>
      <c r="AH956">
        <f>IF(OR($AE956="",$AF956=""),"",IF(ISNUMBER(Sync!$P956),MOD(Sync!$P956,100),IFERROR(VALUE(TRIM(MID(MID(Sync!$P956,FIND("/",Sync!$P956)+1,20),FIND("/",MID(Sync!$P956,FIND("/",Sync!$P956)+1,20))+1,20))),"")))</f>
        <v/>
      </c>
      <c r="AI956">
        <f>IF($AE956="","",IF(OR($AF956="",$AG956="",$AH956="",$AF956&lt;1300,$AF956&gt;1500,$AG956&lt;1,$AG956&gt;12,$AH956&lt;1,$AH956&gt;31),"نامعتبر",RIGHT("0000"&amp;$AF956,4)&amp;"/"&amp;RIGHT("00"&amp;$AG956,2)&amp;"/"&amp;RIGHT("00"&amp;$AH956,2)))</f>
        <v/>
      </c>
      <c r="AJ956">
        <f>IF($AE956="","",IF(Sync!$Q956="","0000",IF(AND(ISNUMBER(Sync!$Q956),Sync!$Q956&gt;=0,Sync!$Q956&lt;1),RIGHT("00"&amp;HOUR(Sync!$Q956),2)&amp;RIGHT("00"&amp;MINUTE(Sync!$Q956),2),IFERROR(RIGHT("00"&amp;VALUE(LEFT(Sync!$Q956,FIND(":",Sync!$Q956)-1)),2)&amp;RIGHT("00"&amp;VALUE(MID(Sync!$Q956,FIND(":",Sync!$Q956)+1,2)),2),"0000"))))</f>
        <v/>
      </c>
      <c r="AK956">
        <f>IF(OR($AE956="",$AI956="",$AI956="نامعتبر"),"",LEFT($AI956,4)&amp;MID($AI956,6,2)&amp;RIGHT($AI956,2)&amp;$AJ956&amp;"|"&amp;"3"&amp;RIGHT("00000"&amp;951,5))</f>
        <v/>
      </c>
      <c r="AL956">
        <f>IF($AK956="","",COUNTIFS(LdAParty,$AE956,LdAType,1,LdAKey,"&lt;"&amp;$AK956)+COUNTIFS(LdBMember,$AE956,LdBKey,"&lt;"&amp;$AK956)+COUNTIFS(LdCParty,$AE956,LdCKey,"&lt;"&amp;$AK956)+1)</f>
        <v/>
      </c>
      <c r="AM956">
        <f>IF($AL956="","",$AE956&amp;"|"&amp;RIGHT("000000"&amp;$AL956,6))</f>
        <v/>
      </c>
      <c r="AN956">
        <f>IF($AE956="","",IF(Sync!$W956="",0,Sync!$W956))</f>
        <v/>
      </c>
      <c r="AO956">
        <f>IF($AE956="","",IF(Sync!$X956="",0,Sync!$X956))</f>
        <v/>
      </c>
      <c r="AP956">
        <f>IF($AE956="","",Sync!$R956)</f>
        <v/>
      </c>
      <c r="AQ956">
        <f>IF($AE956="","",Sync!$Y956)</f>
        <v/>
      </c>
    </row>
    <row r="957">
      <c r="A957">
        <f>IF(OR(Wages!$B960="",Wages!$E960=""),"",Wages!$E960)</f>
        <v/>
      </c>
      <c r="B957">
        <f>IF($A957="","",IF(Wages!$C960="دستمزد گروهی",2,1))</f>
        <v/>
      </c>
      <c r="C957">
        <f>IF($A957="","",IF(ISNUMBER(Wages!$B960),IF(AND(Wages!$B960&gt;=10000101,Wages!$B960&lt;=99991231),INT(Wages!$B960/10000),""),IFERROR(VALUE(TRIM(LEFT(Wages!$B960,FIND("/",Wages!$B960)-1))),"")))</f>
        <v/>
      </c>
      <c r="D957">
        <f>IF(OR($A957="",$C957=""),"",IF(ISNUMBER(Wages!$B960),INT(MOD(Wages!$B960,10000)/100),IFERROR(VALUE(TRIM(LEFT(MID(Wages!$B960,FIND("/",Wages!$B960)+1,20),FIND("/",MID(Wages!$B960,FIND("/",Wages!$B960)+1,20))-1))),"")))</f>
        <v/>
      </c>
      <c r="E957">
        <f>IF(OR($A957="",$C957=""),"",IF(ISNUMBER(Wages!$B960),MOD(Wages!$B960,100),IFERROR(VALUE(TRIM(MID(MID(Wages!$B960,FIND("/",Wages!$B960)+1,20),FIND("/",MID(Wages!$B960,FIND("/",Wages!$B960)+1,20))+1,20))),"")))</f>
        <v/>
      </c>
      <c r="F957">
        <f>IF($A957="","",IF(OR($C957="",$D957="",$E957="",$C957&lt;1300,$C957&gt;1500,$D957&lt;1,$D957&gt;12,$E957&lt;1,$E957&gt;31),"نامعتبر",RIGHT("0000"&amp;$C957,4)&amp;"/"&amp;RIGHT("00"&amp;$D957,2)&amp;"/"&amp;RIGHT("00"&amp;$E957,2)))</f>
        <v/>
      </c>
      <c r="G957">
        <f>IF(OR($A957="",$F957="",$F957="نامعتبر"),"",LEFT($F957,4)&amp;MID($F957,6,2)&amp;RIGHT($F957,2)&amp;"0000"&amp;"|"&amp;"1"&amp;RIGHT("00000"&amp;952,5))</f>
        <v/>
      </c>
      <c r="H957">
        <f>IF(OR($B957&lt;&gt;1,$G957=""),"",COUNTIFS(LdAParty,$A957,LdAType,1,LdAKey,"&lt;"&amp;$G957)+COUNTIFS(LdBMember,$A957,LdBKey,"&lt;"&amp;$G957)+COUNTIFS(LdCParty,$A957,LdCKey,"&lt;"&amp;$G957)+1)</f>
        <v/>
      </c>
      <c r="I957">
        <f>IF($H957="","",$A957&amp;"|"&amp;RIGHT("000000"&amp;$H957,6))</f>
        <v/>
      </c>
      <c r="J957">
        <f>IF(OR($B957&lt;&gt;2,$G957=""),"",COUNTIFS(LdAParty,$A957,LdAType,2,LdAKey,"&lt;"&amp;$G957)+1)</f>
        <v/>
      </c>
      <c r="K957">
        <f>IF($J957="","",$A957&amp;"|"&amp;RIGHT("000000"&amp;$J957,6))</f>
        <v/>
      </c>
      <c r="L957">
        <f>IF($A957="","",IF(Wages!$G960="",0,Wages!$G960))</f>
        <v/>
      </c>
      <c r="M957">
        <f>IF($A957="","",Wages!$J960)</f>
        <v/>
      </c>
      <c r="N957">
        <f>IF($A957="","",Wages!$D960)</f>
        <v/>
      </c>
      <c r="P957">
        <f>IF(OR(Shares!$B960="",Shares!$C960=""),"",Shares!$C960)</f>
        <v/>
      </c>
      <c r="Q957">
        <f>IF($P957="","",Shares!$B960)</f>
        <v/>
      </c>
      <c r="R957">
        <f>IF($P957="","",IFERROR(INDEX(WageParty,MATCH($Q957,WageIds,0)),""))</f>
        <v/>
      </c>
      <c r="S957">
        <f>IF($P957="","",IFERROR(INDEX($F$6:$F$2005,MATCH($Q957,WageIds,0)),""))</f>
        <v/>
      </c>
      <c r="T957">
        <f>IF(OR($P957="",$S957="",$S957="نامعتبر"),"",LEFT($S957,4)&amp;MID($S957,6,2)&amp;RIGHT($S957,2)&amp;"0000"&amp;"|"&amp;"2"&amp;RIGHT("00000"&amp;952,5))</f>
        <v/>
      </c>
      <c r="U957">
        <f>IF($T957="","",COUNTIFS(LdAParty,$P957,LdAType,1,LdAKey,"&lt;"&amp;$T957)+COUNTIFS(LdBMember,$P957,LdBKey,"&lt;"&amp;$T957)+COUNTIFS(LdCParty,$P957,LdCKey,"&lt;"&amp;$T957)+1)</f>
        <v/>
      </c>
      <c r="V957">
        <f>IF($U957="","",$P957&amp;"|"&amp;RIGHT("000000"&amp;$U957,6))</f>
        <v/>
      </c>
      <c r="W957">
        <f>IF($T957="","",COUNTIFS(LdBGroup,$R957,LdBKey,"&lt;"&amp;$T957)+1)</f>
        <v/>
      </c>
      <c r="X957">
        <f>IF($W957="","",$R957&amp;"|"&amp;RIGHT("000000"&amp;$W957,6))</f>
        <v/>
      </c>
      <c r="Y957">
        <f>IF($P957="","",IF(Shares!$E960="",0,Shares!$E960))</f>
        <v/>
      </c>
      <c r="Z957">
        <f>IF($P957="","",Shares!$H960)</f>
        <v/>
      </c>
      <c r="AE957">
        <f>IF(OR(Sync!$S957="",Sync!$P957=""),"",Sync!$S957)</f>
        <v/>
      </c>
      <c r="AF957">
        <f>IF($AE957="","",IF(ISNUMBER(Sync!$P957),IF(AND(Sync!$P957&gt;=10000101,Sync!$P957&lt;=99991231),INT(Sync!$P957/10000),""),IFERROR(VALUE(TRIM(LEFT(Sync!$P957,FIND("/",Sync!$P957)-1))),"")))</f>
        <v/>
      </c>
      <c r="AG957">
        <f>IF(OR($AE957="",$AF957=""),"",IF(ISNUMBER(Sync!$P957),INT(MOD(Sync!$P957,10000)/100),IFERROR(VALUE(TRIM(LEFT(MID(Sync!$P957,FIND("/",Sync!$P957)+1,20),FIND("/",MID(Sync!$P957,FIND("/",Sync!$P957)+1,20))-1))),"")))</f>
        <v/>
      </c>
      <c r="AH957">
        <f>IF(OR($AE957="",$AF957=""),"",IF(ISNUMBER(Sync!$P957),MOD(Sync!$P957,100),IFERROR(VALUE(TRIM(MID(MID(Sync!$P957,FIND("/",Sync!$P957)+1,20),FIND("/",MID(Sync!$P957,FIND("/",Sync!$P957)+1,20))+1,20))),"")))</f>
        <v/>
      </c>
      <c r="AI957">
        <f>IF($AE957="","",IF(OR($AF957="",$AG957="",$AH957="",$AF957&lt;1300,$AF957&gt;1500,$AG957&lt;1,$AG957&gt;12,$AH957&lt;1,$AH957&gt;31),"نامعتبر",RIGHT("0000"&amp;$AF957,4)&amp;"/"&amp;RIGHT("00"&amp;$AG957,2)&amp;"/"&amp;RIGHT("00"&amp;$AH957,2)))</f>
        <v/>
      </c>
      <c r="AJ957">
        <f>IF($AE957="","",IF(Sync!$Q957="","0000",IF(AND(ISNUMBER(Sync!$Q957),Sync!$Q957&gt;=0,Sync!$Q957&lt;1),RIGHT("00"&amp;HOUR(Sync!$Q957),2)&amp;RIGHT("00"&amp;MINUTE(Sync!$Q957),2),IFERROR(RIGHT("00"&amp;VALUE(LEFT(Sync!$Q957,FIND(":",Sync!$Q957)-1)),2)&amp;RIGHT("00"&amp;VALUE(MID(Sync!$Q957,FIND(":",Sync!$Q957)+1,2)),2),"0000"))))</f>
        <v/>
      </c>
      <c r="AK957">
        <f>IF(OR($AE957="",$AI957="",$AI957="نامعتبر"),"",LEFT($AI957,4)&amp;MID($AI957,6,2)&amp;RIGHT($AI957,2)&amp;$AJ957&amp;"|"&amp;"3"&amp;RIGHT("00000"&amp;952,5))</f>
        <v/>
      </c>
      <c r="AL957">
        <f>IF($AK957="","",COUNTIFS(LdAParty,$AE957,LdAType,1,LdAKey,"&lt;"&amp;$AK957)+COUNTIFS(LdBMember,$AE957,LdBKey,"&lt;"&amp;$AK957)+COUNTIFS(LdCParty,$AE957,LdCKey,"&lt;"&amp;$AK957)+1)</f>
        <v/>
      </c>
      <c r="AM957">
        <f>IF($AL957="","",$AE957&amp;"|"&amp;RIGHT("000000"&amp;$AL957,6))</f>
        <v/>
      </c>
      <c r="AN957">
        <f>IF($AE957="","",IF(Sync!$W957="",0,Sync!$W957))</f>
        <v/>
      </c>
      <c r="AO957">
        <f>IF($AE957="","",IF(Sync!$X957="",0,Sync!$X957))</f>
        <v/>
      </c>
      <c r="AP957">
        <f>IF($AE957="","",Sync!$R957)</f>
        <v/>
      </c>
      <c r="AQ957">
        <f>IF($AE957="","",Sync!$Y957)</f>
        <v/>
      </c>
    </row>
    <row r="958">
      <c r="A958">
        <f>IF(OR(Wages!$B961="",Wages!$E961=""),"",Wages!$E961)</f>
        <v/>
      </c>
      <c r="B958">
        <f>IF($A958="","",IF(Wages!$C961="دستمزد گروهی",2,1))</f>
        <v/>
      </c>
      <c r="C958">
        <f>IF($A958="","",IF(ISNUMBER(Wages!$B961),IF(AND(Wages!$B961&gt;=10000101,Wages!$B961&lt;=99991231),INT(Wages!$B961/10000),""),IFERROR(VALUE(TRIM(LEFT(Wages!$B961,FIND("/",Wages!$B961)-1))),"")))</f>
        <v/>
      </c>
      <c r="D958">
        <f>IF(OR($A958="",$C958=""),"",IF(ISNUMBER(Wages!$B961),INT(MOD(Wages!$B961,10000)/100),IFERROR(VALUE(TRIM(LEFT(MID(Wages!$B961,FIND("/",Wages!$B961)+1,20),FIND("/",MID(Wages!$B961,FIND("/",Wages!$B961)+1,20))-1))),"")))</f>
        <v/>
      </c>
      <c r="E958">
        <f>IF(OR($A958="",$C958=""),"",IF(ISNUMBER(Wages!$B961),MOD(Wages!$B961,100),IFERROR(VALUE(TRIM(MID(MID(Wages!$B961,FIND("/",Wages!$B961)+1,20),FIND("/",MID(Wages!$B961,FIND("/",Wages!$B961)+1,20))+1,20))),"")))</f>
        <v/>
      </c>
      <c r="F958">
        <f>IF($A958="","",IF(OR($C958="",$D958="",$E958="",$C958&lt;1300,$C958&gt;1500,$D958&lt;1,$D958&gt;12,$E958&lt;1,$E958&gt;31),"نامعتبر",RIGHT("0000"&amp;$C958,4)&amp;"/"&amp;RIGHT("00"&amp;$D958,2)&amp;"/"&amp;RIGHT("00"&amp;$E958,2)))</f>
        <v/>
      </c>
      <c r="G958">
        <f>IF(OR($A958="",$F958="",$F958="نامعتبر"),"",LEFT($F958,4)&amp;MID($F958,6,2)&amp;RIGHT($F958,2)&amp;"0000"&amp;"|"&amp;"1"&amp;RIGHT("00000"&amp;953,5))</f>
        <v/>
      </c>
      <c r="H958">
        <f>IF(OR($B958&lt;&gt;1,$G958=""),"",COUNTIFS(LdAParty,$A958,LdAType,1,LdAKey,"&lt;"&amp;$G958)+COUNTIFS(LdBMember,$A958,LdBKey,"&lt;"&amp;$G958)+COUNTIFS(LdCParty,$A958,LdCKey,"&lt;"&amp;$G958)+1)</f>
        <v/>
      </c>
      <c r="I958">
        <f>IF($H958="","",$A958&amp;"|"&amp;RIGHT("000000"&amp;$H958,6))</f>
        <v/>
      </c>
      <c r="J958">
        <f>IF(OR($B958&lt;&gt;2,$G958=""),"",COUNTIFS(LdAParty,$A958,LdAType,2,LdAKey,"&lt;"&amp;$G958)+1)</f>
        <v/>
      </c>
      <c r="K958">
        <f>IF($J958="","",$A958&amp;"|"&amp;RIGHT("000000"&amp;$J958,6))</f>
        <v/>
      </c>
      <c r="L958">
        <f>IF($A958="","",IF(Wages!$G961="",0,Wages!$G961))</f>
        <v/>
      </c>
      <c r="M958">
        <f>IF($A958="","",Wages!$J961)</f>
        <v/>
      </c>
      <c r="N958">
        <f>IF($A958="","",Wages!$D961)</f>
        <v/>
      </c>
      <c r="P958">
        <f>IF(OR(Shares!$B961="",Shares!$C961=""),"",Shares!$C961)</f>
        <v/>
      </c>
      <c r="Q958">
        <f>IF($P958="","",Shares!$B961)</f>
        <v/>
      </c>
      <c r="R958">
        <f>IF($P958="","",IFERROR(INDEX(WageParty,MATCH($Q958,WageIds,0)),""))</f>
        <v/>
      </c>
      <c r="S958">
        <f>IF($P958="","",IFERROR(INDEX($F$6:$F$2005,MATCH($Q958,WageIds,0)),""))</f>
        <v/>
      </c>
      <c r="T958">
        <f>IF(OR($P958="",$S958="",$S958="نامعتبر"),"",LEFT($S958,4)&amp;MID($S958,6,2)&amp;RIGHT($S958,2)&amp;"0000"&amp;"|"&amp;"2"&amp;RIGHT("00000"&amp;953,5))</f>
        <v/>
      </c>
      <c r="U958">
        <f>IF($T958="","",COUNTIFS(LdAParty,$P958,LdAType,1,LdAKey,"&lt;"&amp;$T958)+COUNTIFS(LdBMember,$P958,LdBKey,"&lt;"&amp;$T958)+COUNTIFS(LdCParty,$P958,LdCKey,"&lt;"&amp;$T958)+1)</f>
        <v/>
      </c>
      <c r="V958">
        <f>IF($U958="","",$P958&amp;"|"&amp;RIGHT("000000"&amp;$U958,6))</f>
        <v/>
      </c>
      <c r="W958">
        <f>IF($T958="","",COUNTIFS(LdBGroup,$R958,LdBKey,"&lt;"&amp;$T958)+1)</f>
        <v/>
      </c>
      <c r="X958">
        <f>IF($W958="","",$R958&amp;"|"&amp;RIGHT("000000"&amp;$W958,6))</f>
        <v/>
      </c>
      <c r="Y958">
        <f>IF($P958="","",IF(Shares!$E961="",0,Shares!$E961))</f>
        <v/>
      </c>
      <c r="Z958">
        <f>IF($P958="","",Shares!$H961)</f>
        <v/>
      </c>
      <c r="AE958">
        <f>IF(OR(Sync!$S958="",Sync!$P958=""),"",Sync!$S958)</f>
        <v/>
      </c>
      <c r="AF958">
        <f>IF($AE958="","",IF(ISNUMBER(Sync!$P958),IF(AND(Sync!$P958&gt;=10000101,Sync!$P958&lt;=99991231),INT(Sync!$P958/10000),""),IFERROR(VALUE(TRIM(LEFT(Sync!$P958,FIND("/",Sync!$P958)-1))),"")))</f>
        <v/>
      </c>
      <c r="AG958">
        <f>IF(OR($AE958="",$AF958=""),"",IF(ISNUMBER(Sync!$P958),INT(MOD(Sync!$P958,10000)/100),IFERROR(VALUE(TRIM(LEFT(MID(Sync!$P958,FIND("/",Sync!$P958)+1,20),FIND("/",MID(Sync!$P958,FIND("/",Sync!$P958)+1,20))-1))),"")))</f>
        <v/>
      </c>
      <c r="AH958">
        <f>IF(OR($AE958="",$AF958=""),"",IF(ISNUMBER(Sync!$P958),MOD(Sync!$P958,100),IFERROR(VALUE(TRIM(MID(MID(Sync!$P958,FIND("/",Sync!$P958)+1,20),FIND("/",MID(Sync!$P958,FIND("/",Sync!$P958)+1,20))+1,20))),"")))</f>
        <v/>
      </c>
      <c r="AI958">
        <f>IF($AE958="","",IF(OR($AF958="",$AG958="",$AH958="",$AF958&lt;1300,$AF958&gt;1500,$AG958&lt;1,$AG958&gt;12,$AH958&lt;1,$AH958&gt;31),"نامعتبر",RIGHT("0000"&amp;$AF958,4)&amp;"/"&amp;RIGHT("00"&amp;$AG958,2)&amp;"/"&amp;RIGHT("00"&amp;$AH958,2)))</f>
        <v/>
      </c>
      <c r="AJ958">
        <f>IF($AE958="","",IF(Sync!$Q958="","0000",IF(AND(ISNUMBER(Sync!$Q958),Sync!$Q958&gt;=0,Sync!$Q958&lt;1),RIGHT("00"&amp;HOUR(Sync!$Q958),2)&amp;RIGHT("00"&amp;MINUTE(Sync!$Q958),2),IFERROR(RIGHT("00"&amp;VALUE(LEFT(Sync!$Q958,FIND(":",Sync!$Q958)-1)),2)&amp;RIGHT("00"&amp;VALUE(MID(Sync!$Q958,FIND(":",Sync!$Q958)+1,2)),2),"0000"))))</f>
        <v/>
      </c>
      <c r="AK958">
        <f>IF(OR($AE958="",$AI958="",$AI958="نامعتبر"),"",LEFT($AI958,4)&amp;MID($AI958,6,2)&amp;RIGHT($AI958,2)&amp;$AJ958&amp;"|"&amp;"3"&amp;RIGHT("00000"&amp;953,5))</f>
        <v/>
      </c>
      <c r="AL958">
        <f>IF($AK958="","",COUNTIFS(LdAParty,$AE958,LdAType,1,LdAKey,"&lt;"&amp;$AK958)+COUNTIFS(LdBMember,$AE958,LdBKey,"&lt;"&amp;$AK958)+COUNTIFS(LdCParty,$AE958,LdCKey,"&lt;"&amp;$AK958)+1)</f>
        <v/>
      </c>
      <c r="AM958">
        <f>IF($AL958="","",$AE958&amp;"|"&amp;RIGHT("000000"&amp;$AL958,6))</f>
        <v/>
      </c>
      <c r="AN958">
        <f>IF($AE958="","",IF(Sync!$W958="",0,Sync!$W958))</f>
        <v/>
      </c>
      <c r="AO958">
        <f>IF($AE958="","",IF(Sync!$X958="",0,Sync!$X958))</f>
        <v/>
      </c>
      <c r="AP958">
        <f>IF($AE958="","",Sync!$R958)</f>
        <v/>
      </c>
      <c r="AQ958">
        <f>IF($AE958="","",Sync!$Y958)</f>
        <v/>
      </c>
    </row>
    <row r="959">
      <c r="A959">
        <f>IF(OR(Wages!$B962="",Wages!$E962=""),"",Wages!$E962)</f>
        <v/>
      </c>
      <c r="B959">
        <f>IF($A959="","",IF(Wages!$C962="دستمزد گروهی",2,1))</f>
        <v/>
      </c>
      <c r="C959">
        <f>IF($A959="","",IF(ISNUMBER(Wages!$B962),IF(AND(Wages!$B962&gt;=10000101,Wages!$B962&lt;=99991231),INT(Wages!$B962/10000),""),IFERROR(VALUE(TRIM(LEFT(Wages!$B962,FIND("/",Wages!$B962)-1))),"")))</f>
        <v/>
      </c>
      <c r="D959">
        <f>IF(OR($A959="",$C959=""),"",IF(ISNUMBER(Wages!$B962),INT(MOD(Wages!$B962,10000)/100),IFERROR(VALUE(TRIM(LEFT(MID(Wages!$B962,FIND("/",Wages!$B962)+1,20),FIND("/",MID(Wages!$B962,FIND("/",Wages!$B962)+1,20))-1))),"")))</f>
        <v/>
      </c>
      <c r="E959">
        <f>IF(OR($A959="",$C959=""),"",IF(ISNUMBER(Wages!$B962),MOD(Wages!$B962,100),IFERROR(VALUE(TRIM(MID(MID(Wages!$B962,FIND("/",Wages!$B962)+1,20),FIND("/",MID(Wages!$B962,FIND("/",Wages!$B962)+1,20))+1,20))),"")))</f>
        <v/>
      </c>
      <c r="F959">
        <f>IF($A959="","",IF(OR($C959="",$D959="",$E959="",$C959&lt;1300,$C959&gt;1500,$D959&lt;1,$D959&gt;12,$E959&lt;1,$E959&gt;31),"نامعتبر",RIGHT("0000"&amp;$C959,4)&amp;"/"&amp;RIGHT("00"&amp;$D959,2)&amp;"/"&amp;RIGHT("00"&amp;$E959,2)))</f>
        <v/>
      </c>
      <c r="G959">
        <f>IF(OR($A959="",$F959="",$F959="نامعتبر"),"",LEFT($F959,4)&amp;MID($F959,6,2)&amp;RIGHT($F959,2)&amp;"0000"&amp;"|"&amp;"1"&amp;RIGHT("00000"&amp;954,5))</f>
        <v/>
      </c>
      <c r="H959">
        <f>IF(OR($B959&lt;&gt;1,$G959=""),"",COUNTIFS(LdAParty,$A959,LdAType,1,LdAKey,"&lt;"&amp;$G959)+COUNTIFS(LdBMember,$A959,LdBKey,"&lt;"&amp;$G959)+COUNTIFS(LdCParty,$A959,LdCKey,"&lt;"&amp;$G959)+1)</f>
        <v/>
      </c>
      <c r="I959">
        <f>IF($H959="","",$A959&amp;"|"&amp;RIGHT("000000"&amp;$H959,6))</f>
        <v/>
      </c>
      <c r="J959">
        <f>IF(OR($B959&lt;&gt;2,$G959=""),"",COUNTIFS(LdAParty,$A959,LdAType,2,LdAKey,"&lt;"&amp;$G959)+1)</f>
        <v/>
      </c>
      <c r="K959">
        <f>IF($J959="","",$A959&amp;"|"&amp;RIGHT("000000"&amp;$J959,6))</f>
        <v/>
      </c>
      <c r="L959">
        <f>IF($A959="","",IF(Wages!$G962="",0,Wages!$G962))</f>
        <v/>
      </c>
      <c r="M959">
        <f>IF($A959="","",Wages!$J962)</f>
        <v/>
      </c>
      <c r="N959">
        <f>IF($A959="","",Wages!$D962)</f>
        <v/>
      </c>
      <c r="P959">
        <f>IF(OR(Shares!$B962="",Shares!$C962=""),"",Shares!$C962)</f>
        <v/>
      </c>
      <c r="Q959">
        <f>IF($P959="","",Shares!$B962)</f>
        <v/>
      </c>
      <c r="R959">
        <f>IF($P959="","",IFERROR(INDEX(WageParty,MATCH($Q959,WageIds,0)),""))</f>
        <v/>
      </c>
      <c r="S959">
        <f>IF($P959="","",IFERROR(INDEX($F$6:$F$2005,MATCH($Q959,WageIds,0)),""))</f>
        <v/>
      </c>
      <c r="T959">
        <f>IF(OR($P959="",$S959="",$S959="نامعتبر"),"",LEFT($S959,4)&amp;MID($S959,6,2)&amp;RIGHT($S959,2)&amp;"0000"&amp;"|"&amp;"2"&amp;RIGHT("00000"&amp;954,5))</f>
        <v/>
      </c>
      <c r="U959">
        <f>IF($T959="","",COUNTIFS(LdAParty,$P959,LdAType,1,LdAKey,"&lt;"&amp;$T959)+COUNTIFS(LdBMember,$P959,LdBKey,"&lt;"&amp;$T959)+COUNTIFS(LdCParty,$P959,LdCKey,"&lt;"&amp;$T959)+1)</f>
        <v/>
      </c>
      <c r="V959">
        <f>IF($U959="","",$P959&amp;"|"&amp;RIGHT("000000"&amp;$U959,6))</f>
        <v/>
      </c>
      <c r="W959">
        <f>IF($T959="","",COUNTIFS(LdBGroup,$R959,LdBKey,"&lt;"&amp;$T959)+1)</f>
        <v/>
      </c>
      <c r="X959">
        <f>IF($W959="","",$R959&amp;"|"&amp;RIGHT("000000"&amp;$W959,6))</f>
        <v/>
      </c>
      <c r="Y959">
        <f>IF($P959="","",IF(Shares!$E962="",0,Shares!$E962))</f>
        <v/>
      </c>
      <c r="Z959">
        <f>IF($P959="","",Shares!$H962)</f>
        <v/>
      </c>
      <c r="AE959">
        <f>IF(OR(Sync!$S959="",Sync!$P959=""),"",Sync!$S959)</f>
        <v/>
      </c>
      <c r="AF959">
        <f>IF($AE959="","",IF(ISNUMBER(Sync!$P959),IF(AND(Sync!$P959&gt;=10000101,Sync!$P959&lt;=99991231),INT(Sync!$P959/10000),""),IFERROR(VALUE(TRIM(LEFT(Sync!$P959,FIND("/",Sync!$P959)-1))),"")))</f>
        <v/>
      </c>
      <c r="AG959">
        <f>IF(OR($AE959="",$AF959=""),"",IF(ISNUMBER(Sync!$P959),INT(MOD(Sync!$P959,10000)/100),IFERROR(VALUE(TRIM(LEFT(MID(Sync!$P959,FIND("/",Sync!$P959)+1,20),FIND("/",MID(Sync!$P959,FIND("/",Sync!$P959)+1,20))-1))),"")))</f>
        <v/>
      </c>
      <c r="AH959">
        <f>IF(OR($AE959="",$AF959=""),"",IF(ISNUMBER(Sync!$P959),MOD(Sync!$P959,100),IFERROR(VALUE(TRIM(MID(MID(Sync!$P959,FIND("/",Sync!$P959)+1,20),FIND("/",MID(Sync!$P959,FIND("/",Sync!$P959)+1,20))+1,20))),"")))</f>
        <v/>
      </c>
      <c r="AI959">
        <f>IF($AE959="","",IF(OR($AF959="",$AG959="",$AH959="",$AF959&lt;1300,$AF959&gt;1500,$AG959&lt;1,$AG959&gt;12,$AH959&lt;1,$AH959&gt;31),"نامعتبر",RIGHT("0000"&amp;$AF959,4)&amp;"/"&amp;RIGHT("00"&amp;$AG959,2)&amp;"/"&amp;RIGHT("00"&amp;$AH959,2)))</f>
        <v/>
      </c>
      <c r="AJ959">
        <f>IF($AE959="","",IF(Sync!$Q959="","0000",IF(AND(ISNUMBER(Sync!$Q959),Sync!$Q959&gt;=0,Sync!$Q959&lt;1),RIGHT("00"&amp;HOUR(Sync!$Q959),2)&amp;RIGHT("00"&amp;MINUTE(Sync!$Q959),2),IFERROR(RIGHT("00"&amp;VALUE(LEFT(Sync!$Q959,FIND(":",Sync!$Q959)-1)),2)&amp;RIGHT("00"&amp;VALUE(MID(Sync!$Q959,FIND(":",Sync!$Q959)+1,2)),2),"0000"))))</f>
        <v/>
      </c>
      <c r="AK959">
        <f>IF(OR($AE959="",$AI959="",$AI959="نامعتبر"),"",LEFT($AI959,4)&amp;MID($AI959,6,2)&amp;RIGHT($AI959,2)&amp;$AJ959&amp;"|"&amp;"3"&amp;RIGHT("00000"&amp;954,5))</f>
        <v/>
      </c>
      <c r="AL959">
        <f>IF($AK959="","",COUNTIFS(LdAParty,$AE959,LdAType,1,LdAKey,"&lt;"&amp;$AK959)+COUNTIFS(LdBMember,$AE959,LdBKey,"&lt;"&amp;$AK959)+COUNTIFS(LdCParty,$AE959,LdCKey,"&lt;"&amp;$AK959)+1)</f>
        <v/>
      </c>
      <c r="AM959">
        <f>IF($AL959="","",$AE959&amp;"|"&amp;RIGHT("000000"&amp;$AL959,6))</f>
        <v/>
      </c>
      <c r="AN959">
        <f>IF($AE959="","",IF(Sync!$W959="",0,Sync!$W959))</f>
        <v/>
      </c>
      <c r="AO959">
        <f>IF($AE959="","",IF(Sync!$X959="",0,Sync!$X959))</f>
        <v/>
      </c>
      <c r="AP959">
        <f>IF($AE959="","",Sync!$R959)</f>
        <v/>
      </c>
      <c r="AQ959">
        <f>IF($AE959="","",Sync!$Y959)</f>
        <v/>
      </c>
    </row>
    <row r="960">
      <c r="A960">
        <f>IF(OR(Wages!$B963="",Wages!$E963=""),"",Wages!$E963)</f>
        <v/>
      </c>
      <c r="B960">
        <f>IF($A960="","",IF(Wages!$C963="دستمزد گروهی",2,1))</f>
        <v/>
      </c>
      <c r="C960">
        <f>IF($A960="","",IF(ISNUMBER(Wages!$B963),IF(AND(Wages!$B963&gt;=10000101,Wages!$B963&lt;=99991231),INT(Wages!$B963/10000),""),IFERROR(VALUE(TRIM(LEFT(Wages!$B963,FIND("/",Wages!$B963)-1))),"")))</f>
        <v/>
      </c>
      <c r="D960">
        <f>IF(OR($A960="",$C960=""),"",IF(ISNUMBER(Wages!$B963),INT(MOD(Wages!$B963,10000)/100),IFERROR(VALUE(TRIM(LEFT(MID(Wages!$B963,FIND("/",Wages!$B963)+1,20),FIND("/",MID(Wages!$B963,FIND("/",Wages!$B963)+1,20))-1))),"")))</f>
        <v/>
      </c>
      <c r="E960">
        <f>IF(OR($A960="",$C960=""),"",IF(ISNUMBER(Wages!$B963),MOD(Wages!$B963,100),IFERROR(VALUE(TRIM(MID(MID(Wages!$B963,FIND("/",Wages!$B963)+1,20),FIND("/",MID(Wages!$B963,FIND("/",Wages!$B963)+1,20))+1,20))),"")))</f>
        <v/>
      </c>
      <c r="F960">
        <f>IF($A960="","",IF(OR($C960="",$D960="",$E960="",$C960&lt;1300,$C960&gt;1500,$D960&lt;1,$D960&gt;12,$E960&lt;1,$E960&gt;31),"نامعتبر",RIGHT("0000"&amp;$C960,4)&amp;"/"&amp;RIGHT("00"&amp;$D960,2)&amp;"/"&amp;RIGHT("00"&amp;$E960,2)))</f>
        <v/>
      </c>
      <c r="G960">
        <f>IF(OR($A960="",$F960="",$F960="نامعتبر"),"",LEFT($F960,4)&amp;MID($F960,6,2)&amp;RIGHT($F960,2)&amp;"0000"&amp;"|"&amp;"1"&amp;RIGHT("00000"&amp;955,5))</f>
        <v/>
      </c>
      <c r="H960">
        <f>IF(OR($B960&lt;&gt;1,$G960=""),"",COUNTIFS(LdAParty,$A960,LdAType,1,LdAKey,"&lt;"&amp;$G960)+COUNTIFS(LdBMember,$A960,LdBKey,"&lt;"&amp;$G960)+COUNTIFS(LdCParty,$A960,LdCKey,"&lt;"&amp;$G960)+1)</f>
        <v/>
      </c>
      <c r="I960">
        <f>IF($H960="","",$A960&amp;"|"&amp;RIGHT("000000"&amp;$H960,6))</f>
        <v/>
      </c>
      <c r="J960">
        <f>IF(OR($B960&lt;&gt;2,$G960=""),"",COUNTIFS(LdAParty,$A960,LdAType,2,LdAKey,"&lt;"&amp;$G960)+1)</f>
        <v/>
      </c>
      <c r="K960">
        <f>IF($J960="","",$A960&amp;"|"&amp;RIGHT("000000"&amp;$J960,6))</f>
        <v/>
      </c>
      <c r="L960">
        <f>IF($A960="","",IF(Wages!$G963="",0,Wages!$G963))</f>
        <v/>
      </c>
      <c r="M960">
        <f>IF($A960="","",Wages!$J963)</f>
        <v/>
      </c>
      <c r="N960">
        <f>IF($A960="","",Wages!$D963)</f>
        <v/>
      </c>
      <c r="P960">
        <f>IF(OR(Shares!$B963="",Shares!$C963=""),"",Shares!$C963)</f>
        <v/>
      </c>
      <c r="Q960">
        <f>IF($P960="","",Shares!$B963)</f>
        <v/>
      </c>
      <c r="R960">
        <f>IF($P960="","",IFERROR(INDEX(WageParty,MATCH($Q960,WageIds,0)),""))</f>
        <v/>
      </c>
      <c r="S960">
        <f>IF($P960="","",IFERROR(INDEX($F$6:$F$2005,MATCH($Q960,WageIds,0)),""))</f>
        <v/>
      </c>
      <c r="T960">
        <f>IF(OR($P960="",$S960="",$S960="نامعتبر"),"",LEFT($S960,4)&amp;MID($S960,6,2)&amp;RIGHT($S960,2)&amp;"0000"&amp;"|"&amp;"2"&amp;RIGHT("00000"&amp;955,5))</f>
        <v/>
      </c>
      <c r="U960">
        <f>IF($T960="","",COUNTIFS(LdAParty,$P960,LdAType,1,LdAKey,"&lt;"&amp;$T960)+COUNTIFS(LdBMember,$P960,LdBKey,"&lt;"&amp;$T960)+COUNTIFS(LdCParty,$P960,LdCKey,"&lt;"&amp;$T960)+1)</f>
        <v/>
      </c>
      <c r="V960">
        <f>IF($U960="","",$P960&amp;"|"&amp;RIGHT("000000"&amp;$U960,6))</f>
        <v/>
      </c>
      <c r="W960">
        <f>IF($T960="","",COUNTIFS(LdBGroup,$R960,LdBKey,"&lt;"&amp;$T960)+1)</f>
        <v/>
      </c>
      <c r="X960">
        <f>IF($W960="","",$R960&amp;"|"&amp;RIGHT("000000"&amp;$W960,6))</f>
        <v/>
      </c>
      <c r="Y960">
        <f>IF($P960="","",IF(Shares!$E963="",0,Shares!$E963))</f>
        <v/>
      </c>
      <c r="Z960">
        <f>IF($P960="","",Shares!$H963)</f>
        <v/>
      </c>
      <c r="AE960">
        <f>IF(OR(Sync!$S960="",Sync!$P960=""),"",Sync!$S960)</f>
        <v/>
      </c>
      <c r="AF960">
        <f>IF($AE960="","",IF(ISNUMBER(Sync!$P960),IF(AND(Sync!$P960&gt;=10000101,Sync!$P960&lt;=99991231),INT(Sync!$P960/10000),""),IFERROR(VALUE(TRIM(LEFT(Sync!$P960,FIND("/",Sync!$P960)-1))),"")))</f>
        <v/>
      </c>
      <c r="AG960">
        <f>IF(OR($AE960="",$AF960=""),"",IF(ISNUMBER(Sync!$P960),INT(MOD(Sync!$P960,10000)/100),IFERROR(VALUE(TRIM(LEFT(MID(Sync!$P960,FIND("/",Sync!$P960)+1,20),FIND("/",MID(Sync!$P960,FIND("/",Sync!$P960)+1,20))-1))),"")))</f>
        <v/>
      </c>
      <c r="AH960">
        <f>IF(OR($AE960="",$AF960=""),"",IF(ISNUMBER(Sync!$P960),MOD(Sync!$P960,100),IFERROR(VALUE(TRIM(MID(MID(Sync!$P960,FIND("/",Sync!$P960)+1,20),FIND("/",MID(Sync!$P960,FIND("/",Sync!$P960)+1,20))+1,20))),"")))</f>
        <v/>
      </c>
      <c r="AI960">
        <f>IF($AE960="","",IF(OR($AF960="",$AG960="",$AH960="",$AF960&lt;1300,$AF960&gt;1500,$AG960&lt;1,$AG960&gt;12,$AH960&lt;1,$AH960&gt;31),"نامعتبر",RIGHT("0000"&amp;$AF960,4)&amp;"/"&amp;RIGHT("00"&amp;$AG960,2)&amp;"/"&amp;RIGHT("00"&amp;$AH960,2)))</f>
        <v/>
      </c>
      <c r="AJ960">
        <f>IF($AE960="","",IF(Sync!$Q960="","0000",IF(AND(ISNUMBER(Sync!$Q960),Sync!$Q960&gt;=0,Sync!$Q960&lt;1),RIGHT("00"&amp;HOUR(Sync!$Q960),2)&amp;RIGHT("00"&amp;MINUTE(Sync!$Q960),2),IFERROR(RIGHT("00"&amp;VALUE(LEFT(Sync!$Q960,FIND(":",Sync!$Q960)-1)),2)&amp;RIGHT("00"&amp;VALUE(MID(Sync!$Q960,FIND(":",Sync!$Q960)+1,2)),2),"0000"))))</f>
        <v/>
      </c>
      <c r="AK960">
        <f>IF(OR($AE960="",$AI960="",$AI960="نامعتبر"),"",LEFT($AI960,4)&amp;MID($AI960,6,2)&amp;RIGHT($AI960,2)&amp;$AJ960&amp;"|"&amp;"3"&amp;RIGHT("00000"&amp;955,5))</f>
        <v/>
      </c>
      <c r="AL960">
        <f>IF($AK960="","",COUNTIFS(LdAParty,$AE960,LdAType,1,LdAKey,"&lt;"&amp;$AK960)+COUNTIFS(LdBMember,$AE960,LdBKey,"&lt;"&amp;$AK960)+COUNTIFS(LdCParty,$AE960,LdCKey,"&lt;"&amp;$AK960)+1)</f>
        <v/>
      </c>
      <c r="AM960">
        <f>IF($AL960="","",$AE960&amp;"|"&amp;RIGHT("000000"&amp;$AL960,6))</f>
        <v/>
      </c>
      <c r="AN960">
        <f>IF($AE960="","",IF(Sync!$W960="",0,Sync!$W960))</f>
        <v/>
      </c>
      <c r="AO960">
        <f>IF($AE960="","",IF(Sync!$X960="",0,Sync!$X960))</f>
        <v/>
      </c>
      <c r="AP960">
        <f>IF($AE960="","",Sync!$R960)</f>
        <v/>
      </c>
      <c r="AQ960">
        <f>IF($AE960="","",Sync!$Y960)</f>
        <v/>
      </c>
    </row>
    <row r="961">
      <c r="A961">
        <f>IF(OR(Wages!$B964="",Wages!$E964=""),"",Wages!$E964)</f>
        <v/>
      </c>
      <c r="B961">
        <f>IF($A961="","",IF(Wages!$C964="دستمزد گروهی",2,1))</f>
        <v/>
      </c>
      <c r="C961">
        <f>IF($A961="","",IF(ISNUMBER(Wages!$B964),IF(AND(Wages!$B964&gt;=10000101,Wages!$B964&lt;=99991231),INT(Wages!$B964/10000),""),IFERROR(VALUE(TRIM(LEFT(Wages!$B964,FIND("/",Wages!$B964)-1))),"")))</f>
        <v/>
      </c>
      <c r="D961">
        <f>IF(OR($A961="",$C961=""),"",IF(ISNUMBER(Wages!$B964),INT(MOD(Wages!$B964,10000)/100),IFERROR(VALUE(TRIM(LEFT(MID(Wages!$B964,FIND("/",Wages!$B964)+1,20),FIND("/",MID(Wages!$B964,FIND("/",Wages!$B964)+1,20))-1))),"")))</f>
        <v/>
      </c>
      <c r="E961">
        <f>IF(OR($A961="",$C961=""),"",IF(ISNUMBER(Wages!$B964),MOD(Wages!$B964,100),IFERROR(VALUE(TRIM(MID(MID(Wages!$B964,FIND("/",Wages!$B964)+1,20),FIND("/",MID(Wages!$B964,FIND("/",Wages!$B964)+1,20))+1,20))),"")))</f>
        <v/>
      </c>
      <c r="F961">
        <f>IF($A961="","",IF(OR($C961="",$D961="",$E961="",$C961&lt;1300,$C961&gt;1500,$D961&lt;1,$D961&gt;12,$E961&lt;1,$E961&gt;31),"نامعتبر",RIGHT("0000"&amp;$C961,4)&amp;"/"&amp;RIGHT("00"&amp;$D961,2)&amp;"/"&amp;RIGHT("00"&amp;$E961,2)))</f>
        <v/>
      </c>
      <c r="G961">
        <f>IF(OR($A961="",$F961="",$F961="نامعتبر"),"",LEFT($F961,4)&amp;MID($F961,6,2)&amp;RIGHT($F961,2)&amp;"0000"&amp;"|"&amp;"1"&amp;RIGHT("00000"&amp;956,5))</f>
        <v/>
      </c>
      <c r="H961">
        <f>IF(OR($B961&lt;&gt;1,$G961=""),"",COUNTIFS(LdAParty,$A961,LdAType,1,LdAKey,"&lt;"&amp;$G961)+COUNTIFS(LdBMember,$A961,LdBKey,"&lt;"&amp;$G961)+COUNTIFS(LdCParty,$A961,LdCKey,"&lt;"&amp;$G961)+1)</f>
        <v/>
      </c>
      <c r="I961">
        <f>IF($H961="","",$A961&amp;"|"&amp;RIGHT("000000"&amp;$H961,6))</f>
        <v/>
      </c>
      <c r="J961">
        <f>IF(OR($B961&lt;&gt;2,$G961=""),"",COUNTIFS(LdAParty,$A961,LdAType,2,LdAKey,"&lt;"&amp;$G961)+1)</f>
        <v/>
      </c>
      <c r="K961">
        <f>IF($J961="","",$A961&amp;"|"&amp;RIGHT("000000"&amp;$J961,6))</f>
        <v/>
      </c>
      <c r="L961">
        <f>IF($A961="","",IF(Wages!$G964="",0,Wages!$G964))</f>
        <v/>
      </c>
      <c r="M961">
        <f>IF($A961="","",Wages!$J964)</f>
        <v/>
      </c>
      <c r="N961">
        <f>IF($A961="","",Wages!$D964)</f>
        <v/>
      </c>
      <c r="P961">
        <f>IF(OR(Shares!$B964="",Shares!$C964=""),"",Shares!$C964)</f>
        <v/>
      </c>
      <c r="Q961">
        <f>IF($P961="","",Shares!$B964)</f>
        <v/>
      </c>
      <c r="R961">
        <f>IF($P961="","",IFERROR(INDEX(WageParty,MATCH($Q961,WageIds,0)),""))</f>
        <v/>
      </c>
      <c r="S961">
        <f>IF($P961="","",IFERROR(INDEX($F$6:$F$2005,MATCH($Q961,WageIds,0)),""))</f>
        <v/>
      </c>
      <c r="T961">
        <f>IF(OR($P961="",$S961="",$S961="نامعتبر"),"",LEFT($S961,4)&amp;MID($S961,6,2)&amp;RIGHT($S961,2)&amp;"0000"&amp;"|"&amp;"2"&amp;RIGHT("00000"&amp;956,5))</f>
        <v/>
      </c>
      <c r="U961">
        <f>IF($T961="","",COUNTIFS(LdAParty,$P961,LdAType,1,LdAKey,"&lt;"&amp;$T961)+COUNTIFS(LdBMember,$P961,LdBKey,"&lt;"&amp;$T961)+COUNTIFS(LdCParty,$P961,LdCKey,"&lt;"&amp;$T961)+1)</f>
        <v/>
      </c>
      <c r="V961">
        <f>IF($U961="","",$P961&amp;"|"&amp;RIGHT("000000"&amp;$U961,6))</f>
        <v/>
      </c>
      <c r="W961">
        <f>IF($T961="","",COUNTIFS(LdBGroup,$R961,LdBKey,"&lt;"&amp;$T961)+1)</f>
        <v/>
      </c>
      <c r="X961">
        <f>IF($W961="","",$R961&amp;"|"&amp;RIGHT("000000"&amp;$W961,6))</f>
        <v/>
      </c>
      <c r="Y961">
        <f>IF($P961="","",IF(Shares!$E964="",0,Shares!$E964))</f>
        <v/>
      </c>
      <c r="Z961">
        <f>IF($P961="","",Shares!$H964)</f>
        <v/>
      </c>
      <c r="AE961">
        <f>IF(OR(Sync!$S961="",Sync!$P961=""),"",Sync!$S961)</f>
        <v/>
      </c>
      <c r="AF961">
        <f>IF($AE961="","",IF(ISNUMBER(Sync!$P961),IF(AND(Sync!$P961&gt;=10000101,Sync!$P961&lt;=99991231),INT(Sync!$P961/10000),""),IFERROR(VALUE(TRIM(LEFT(Sync!$P961,FIND("/",Sync!$P961)-1))),"")))</f>
        <v/>
      </c>
      <c r="AG961">
        <f>IF(OR($AE961="",$AF961=""),"",IF(ISNUMBER(Sync!$P961),INT(MOD(Sync!$P961,10000)/100),IFERROR(VALUE(TRIM(LEFT(MID(Sync!$P961,FIND("/",Sync!$P961)+1,20),FIND("/",MID(Sync!$P961,FIND("/",Sync!$P961)+1,20))-1))),"")))</f>
        <v/>
      </c>
      <c r="AH961">
        <f>IF(OR($AE961="",$AF961=""),"",IF(ISNUMBER(Sync!$P961),MOD(Sync!$P961,100),IFERROR(VALUE(TRIM(MID(MID(Sync!$P961,FIND("/",Sync!$P961)+1,20),FIND("/",MID(Sync!$P961,FIND("/",Sync!$P961)+1,20))+1,20))),"")))</f>
        <v/>
      </c>
      <c r="AI961">
        <f>IF($AE961="","",IF(OR($AF961="",$AG961="",$AH961="",$AF961&lt;1300,$AF961&gt;1500,$AG961&lt;1,$AG961&gt;12,$AH961&lt;1,$AH961&gt;31),"نامعتبر",RIGHT("0000"&amp;$AF961,4)&amp;"/"&amp;RIGHT("00"&amp;$AG961,2)&amp;"/"&amp;RIGHT("00"&amp;$AH961,2)))</f>
        <v/>
      </c>
      <c r="AJ961">
        <f>IF($AE961="","",IF(Sync!$Q961="","0000",IF(AND(ISNUMBER(Sync!$Q961),Sync!$Q961&gt;=0,Sync!$Q961&lt;1),RIGHT("00"&amp;HOUR(Sync!$Q961),2)&amp;RIGHT("00"&amp;MINUTE(Sync!$Q961),2),IFERROR(RIGHT("00"&amp;VALUE(LEFT(Sync!$Q961,FIND(":",Sync!$Q961)-1)),2)&amp;RIGHT("00"&amp;VALUE(MID(Sync!$Q961,FIND(":",Sync!$Q961)+1,2)),2),"0000"))))</f>
        <v/>
      </c>
      <c r="AK961">
        <f>IF(OR($AE961="",$AI961="",$AI961="نامعتبر"),"",LEFT($AI961,4)&amp;MID($AI961,6,2)&amp;RIGHT($AI961,2)&amp;$AJ961&amp;"|"&amp;"3"&amp;RIGHT("00000"&amp;956,5))</f>
        <v/>
      </c>
      <c r="AL961">
        <f>IF($AK961="","",COUNTIFS(LdAParty,$AE961,LdAType,1,LdAKey,"&lt;"&amp;$AK961)+COUNTIFS(LdBMember,$AE961,LdBKey,"&lt;"&amp;$AK961)+COUNTIFS(LdCParty,$AE961,LdCKey,"&lt;"&amp;$AK961)+1)</f>
        <v/>
      </c>
      <c r="AM961">
        <f>IF($AL961="","",$AE961&amp;"|"&amp;RIGHT("000000"&amp;$AL961,6))</f>
        <v/>
      </c>
      <c r="AN961">
        <f>IF($AE961="","",IF(Sync!$W961="",0,Sync!$W961))</f>
        <v/>
      </c>
      <c r="AO961">
        <f>IF($AE961="","",IF(Sync!$X961="",0,Sync!$X961))</f>
        <v/>
      </c>
      <c r="AP961">
        <f>IF($AE961="","",Sync!$R961)</f>
        <v/>
      </c>
      <c r="AQ961">
        <f>IF($AE961="","",Sync!$Y961)</f>
        <v/>
      </c>
    </row>
    <row r="962">
      <c r="A962">
        <f>IF(OR(Wages!$B965="",Wages!$E965=""),"",Wages!$E965)</f>
        <v/>
      </c>
      <c r="B962">
        <f>IF($A962="","",IF(Wages!$C965="دستمزد گروهی",2,1))</f>
        <v/>
      </c>
      <c r="C962">
        <f>IF($A962="","",IF(ISNUMBER(Wages!$B965),IF(AND(Wages!$B965&gt;=10000101,Wages!$B965&lt;=99991231),INT(Wages!$B965/10000),""),IFERROR(VALUE(TRIM(LEFT(Wages!$B965,FIND("/",Wages!$B965)-1))),"")))</f>
        <v/>
      </c>
      <c r="D962">
        <f>IF(OR($A962="",$C962=""),"",IF(ISNUMBER(Wages!$B965),INT(MOD(Wages!$B965,10000)/100),IFERROR(VALUE(TRIM(LEFT(MID(Wages!$B965,FIND("/",Wages!$B965)+1,20),FIND("/",MID(Wages!$B965,FIND("/",Wages!$B965)+1,20))-1))),"")))</f>
        <v/>
      </c>
      <c r="E962">
        <f>IF(OR($A962="",$C962=""),"",IF(ISNUMBER(Wages!$B965),MOD(Wages!$B965,100),IFERROR(VALUE(TRIM(MID(MID(Wages!$B965,FIND("/",Wages!$B965)+1,20),FIND("/",MID(Wages!$B965,FIND("/",Wages!$B965)+1,20))+1,20))),"")))</f>
        <v/>
      </c>
      <c r="F962">
        <f>IF($A962="","",IF(OR($C962="",$D962="",$E962="",$C962&lt;1300,$C962&gt;1500,$D962&lt;1,$D962&gt;12,$E962&lt;1,$E962&gt;31),"نامعتبر",RIGHT("0000"&amp;$C962,4)&amp;"/"&amp;RIGHT("00"&amp;$D962,2)&amp;"/"&amp;RIGHT("00"&amp;$E962,2)))</f>
        <v/>
      </c>
      <c r="G962">
        <f>IF(OR($A962="",$F962="",$F962="نامعتبر"),"",LEFT($F962,4)&amp;MID($F962,6,2)&amp;RIGHT($F962,2)&amp;"0000"&amp;"|"&amp;"1"&amp;RIGHT("00000"&amp;957,5))</f>
        <v/>
      </c>
      <c r="H962">
        <f>IF(OR($B962&lt;&gt;1,$G962=""),"",COUNTIFS(LdAParty,$A962,LdAType,1,LdAKey,"&lt;"&amp;$G962)+COUNTIFS(LdBMember,$A962,LdBKey,"&lt;"&amp;$G962)+COUNTIFS(LdCParty,$A962,LdCKey,"&lt;"&amp;$G962)+1)</f>
        <v/>
      </c>
      <c r="I962">
        <f>IF($H962="","",$A962&amp;"|"&amp;RIGHT("000000"&amp;$H962,6))</f>
        <v/>
      </c>
      <c r="J962">
        <f>IF(OR($B962&lt;&gt;2,$G962=""),"",COUNTIFS(LdAParty,$A962,LdAType,2,LdAKey,"&lt;"&amp;$G962)+1)</f>
        <v/>
      </c>
      <c r="K962">
        <f>IF($J962="","",$A962&amp;"|"&amp;RIGHT("000000"&amp;$J962,6))</f>
        <v/>
      </c>
      <c r="L962">
        <f>IF($A962="","",IF(Wages!$G965="",0,Wages!$G965))</f>
        <v/>
      </c>
      <c r="M962">
        <f>IF($A962="","",Wages!$J965)</f>
        <v/>
      </c>
      <c r="N962">
        <f>IF($A962="","",Wages!$D965)</f>
        <v/>
      </c>
      <c r="P962">
        <f>IF(OR(Shares!$B965="",Shares!$C965=""),"",Shares!$C965)</f>
        <v/>
      </c>
      <c r="Q962">
        <f>IF($P962="","",Shares!$B965)</f>
        <v/>
      </c>
      <c r="R962">
        <f>IF($P962="","",IFERROR(INDEX(WageParty,MATCH($Q962,WageIds,0)),""))</f>
        <v/>
      </c>
      <c r="S962">
        <f>IF($P962="","",IFERROR(INDEX($F$6:$F$2005,MATCH($Q962,WageIds,0)),""))</f>
        <v/>
      </c>
      <c r="T962">
        <f>IF(OR($P962="",$S962="",$S962="نامعتبر"),"",LEFT($S962,4)&amp;MID($S962,6,2)&amp;RIGHT($S962,2)&amp;"0000"&amp;"|"&amp;"2"&amp;RIGHT("00000"&amp;957,5))</f>
        <v/>
      </c>
      <c r="U962">
        <f>IF($T962="","",COUNTIFS(LdAParty,$P962,LdAType,1,LdAKey,"&lt;"&amp;$T962)+COUNTIFS(LdBMember,$P962,LdBKey,"&lt;"&amp;$T962)+COUNTIFS(LdCParty,$P962,LdCKey,"&lt;"&amp;$T962)+1)</f>
        <v/>
      </c>
      <c r="V962">
        <f>IF($U962="","",$P962&amp;"|"&amp;RIGHT("000000"&amp;$U962,6))</f>
        <v/>
      </c>
      <c r="W962">
        <f>IF($T962="","",COUNTIFS(LdBGroup,$R962,LdBKey,"&lt;"&amp;$T962)+1)</f>
        <v/>
      </c>
      <c r="X962">
        <f>IF($W962="","",$R962&amp;"|"&amp;RIGHT("000000"&amp;$W962,6))</f>
        <v/>
      </c>
      <c r="Y962">
        <f>IF($P962="","",IF(Shares!$E965="",0,Shares!$E965))</f>
        <v/>
      </c>
      <c r="Z962">
        <f>IF($P962="","",Shares!$H965)</f>
        <v/>
      </c>
      <c r="AE962">
        <f>IF(OR(Sync!$S962="",Sync!$P962=""),"",Sync!$S962)</f>
        <v/>
      </c>
      <c r="AF962">
        <f>IF($AE962="","",IF(ISNUMBER(Sync!$P962),IF(AND(Sync!$P962&gt;=10000101,Sync!$P962&lt;=99991231),INT(Sync!$P962/10000),""),IFERROR(VALUE(TRIM(LEFT(Sync!$P962,FIND("/",Sync!$P962)-1))),"")))</f>
        <v/>
      </c>
      <c r="AG962">
        <f>IF(OR($AE962="",$AF962=""),"",IF(ISNUMBER(Sync!$P962),INT(MOD(Sync!$P962,10000)/100),IFERROR(VALUE(TRIM(LEFT(MID(Sync!$P962,FIND("/",Sync!$P962)+1,20),FIND("/",MID(Sync!$P962,FIND("/",Sync!$P962)+1,20))-1))),"")))</f>
        <v/>
      </c>
      <c r="AH962">
        <f>IF(OR($AE962="",$AF962=""),"",IF(ISNUMBER(Sync!$P962),MOD(Sync!$P962,100),IFERROR(VALUE(TRIM(MID(MID(Sync!$P962,FIND("/",Sync!$P962)+1,20),FIND("/",MID(Sync!$P962,FIND("/",Sync!$P962)+1,20))+1,20))),"")))</f>
        <v/>
      </c>
      <c r="AI962">
        <f>IF($AE962="","",IF(OR($AF962="",$AG962="",$AH962="",$AF962&lt;1300,$AF962&gt;1500,$AG962&lt;1,$AG962&gt;12,$AH962&lt;1,$AH962&gt;31),"نامعتبر",RIGHT("0000"&amp;$AF962,4)&amp;"/"&amp;RIGHT("00"&amp;$AG962,2)&amp;"/"&amp;RIGHT("00"&amp;$AH962,2)))</f>
        <v/>
      </c>
      <c r="AJ962">
        <f>IF($AE962="","",IF(Sync!$Q962="","0000",IF(AND(ISNUMBER(Sync!$Q962),Sync!$Q962&gt;=0,Sync!$Q962&lt;1),RIGHT("00"&amp;HOUR(Sync!$Q962),2)&amp;RIGHT("00"&amp;MINUTE(Sync!$Q962),2),IFERROR(RIGHT("00"&amp;VALUE(LEFT(Sync!$Q962,FIND(":",Sync!$Q962)-1)),2)&amp;RIGHT("00"&amp;VALUE(MID(Sync!$Q962,FIND(":",Sync!$Q962)+1,2)),2),"0000"))))</f>
        <v/>
      </c>
      <c r="AK962">
        <f>IF(OR($AE962="",$AI962="",$AI962="نامعتبر"),"",LEFT($AI962,4)&amp;MID($AI962,6,2)&amp;RIGHT($AI962,2)&amp;$AJ962&amp;"|"&amp;"3"&amp;RIGHT("00000"&amp;957,5))</f>
        <v/>
      </c>
      <c r="AL962">
        <f>IF($AK962="","",COUNTIFS(LdAParty,$AE962,LdAType,1,LdAKey,"&lt;"&amp;$AK962)+COUNTIFS(LdBMember,$AE962,LdBKey,"&lt;"&amp;$AK962)+COUNTIFS(LdCParty,$AE962,LdCKey,"&lt;"&amp;$AK962)+1)</f>
        <v/>
      </c>
      <c r="AM962">
        <f>IF($AL962="","",$AE962&amp;"|"&amp;RIGHT("000000"&amp;$AL962,6))</f>
        <v/>
      </c>
      <c r="AN962">
        <f>IF($AE962="","",IF(Sync!$W962="",0,Sync!$W962))</f>
        <v/>
      </c>
      <c r="AO962">
        <f>IF($AE962="","",IF(Sync!$X962="",0,Sync!$X962))</f>
        <v/>
      </c>
      <c r="AP962">
        <f>IF($AE962="","",Sync!$R962)</f>
        <v/>
      </c>
      <c r="AQ962">
        <f>IF($AE962="","",Sync!$Y962)</f>
        <v/>
      </c>
    </row>
    <row r="963">
      <c r="A963">
        <f>IF(OR(Wages!$B966="",Wages!$E966=""),"",Wages!$E966)</f>
        <v/>
      </c>
      <c r="B963">
        <f>IF($A963="","",IF(Wages!$C966="دستمزد گروهی",2,1))</f>
        <v/>
      </c>
      <c r="C963">
        <f>IF($A963="","",IF(ISNUMBER(Wages!$B966),IF(AND(Wages!$B966&gt;=10000101,Wages!$B966&lt;=99991231),INT(Wages!$B966/10000),""),IFERROR(VALUE(TRIM(LEFT(Wages!$B966,FIND("/",Wages!$B966)-1))),"")))</f>
        <v/>
      </c>
      <c r="D963">
        <f>IF(OR($A963="",$C963=""),"",IF(ISNUMBER(Wages!$B966),INT(MOD(Wages!$B966,10000)/100),IFERROR(VALUE(TRIM(LEFT(MID(Wages!$B966,FIND("/",Wages!$B966)+1,20),FIND("/",MID(Wages!$B966,FIND("/",Wages!$B966)+1,20))-1))),"")))</f>
        <v/>
      </c>
      <c r="E963">
        <f>IF(OR($A963="",$C963=""),"",IF(ISNUMBER(Wages!$B966),MOD(Wages!$B966,100),IFERROR(VALUE(TRIM(MID(MID(Wages!$B966,FIND("/",Wages!$B966)+1,20),FIND("/",MID(Wages!$B966,FIND("/",Wages!$B966)+1,20))+1,20))),"")))</f>
        <v/>
      </c>
      <c r="F963">
        <f>IF($A963="","",IF(OR($C963="",$D963="",$E963="",$C963&lt;1300,$C963&gt;1500,$D963&lt;1,$D963&gt;12,$E963&lt;1,$E963&gt;31),"نامعتبر",RIGHT("0000"&amp;$C963,4)&amp;"/"&amp;RIGHT("00"&amp;$D963,2)&amp;"/"&amp;RIGHT("00"&amp;$E963,2)))</f>
        <v/>
      </c>
      <c r="G963">
        <f>IF(OR($A963="",$F963="",$F963="نامعتبر"),"",LEFT($F963,4)&amp;MID($F963,6,2)&amp;RIGHT($F963,2)&amp;"0000"&amp;"|"&amp;"1"&amp;RIGHT("00000"&amp;958,5))</f>
        <v/>
      </c>
      <c r="H963">
        <f>IF(OR($B963&lt;&gt;1,$G963=""),"",COUNTIFS(LdAParty,$A963,LdAType,1,LdAKey,"&lt;"&amp;$G963)+COUNTIFS(LdBMember,$A963,LdBKey,"&lt;"&amp;$G963)+COUNTIFS(LdCParty,$A963,LdCKey,"&lt;"&amp;$G963)+1)</f>
        <v/>
      </c>
      <c r="I963">
        <f>IF($H963="","",$A963&amp;"|"&amp;RIGHT("000000"&amp;$H963,6))</f>
        <v/>
      </c>
      <c r="J963">
        <f>IF(OR($B963&lt;&gt;2,$G963=""),"",COUNTIFS(LdAParty,$A963,LdAType,2,LdAKey,"&lt;"&amp;$G963)+1)</f>
        <v/>
      </c>
      <c r="K963">
        <f>IF($J963="","",$A963&amp;"|"&amp;RIGHT("000000"&amp;$J963,6))</f>
        <v/>
      </c>
      <c r="L963">
        <f>IF($A963="","",IF(Wages!$G966="",0,Wages!$G966))</f>
        <v/>
      </c>
      <c r="M963">
        <f>IF($A963="","",Wages!$J966)</f>
        <v/>
      </c>
      <c r="N963">
        <f>IF($A963="","",Wages!$D966)</f>
        <v/>
      </c>
      <c r="P963">
        <f>IF(OR(Shares!$B966="",Shares!$C966=""),"",Shares!$C966)</f>
        <v/>
      </c>
      <c r="Q963">
        <f>IF($P963="","",Shares!$B966)</f>
        <v/>
      </c>
      <c r="R963">
        <f>IF($P963="","",IFERROR(INDEX(WageParty,MATCH($Q963,WageIds,0)),""))</f>
        <v/>
      </c>
      <c r="S963">
        <f>IF($P963="","",IFERROR(INDEX($F$6:$F$2005,MATCH($Q963,WageIds,0)),""))</f>
        <v/>
      </c>
      <c r="T963">
        <f>IF(OR($P963="",$S963="",$S963="نامعتبر"),"",LEFT($S963,4)&amp;MID($S963,6,2)&amp;RIGHT($S963,2)&amp;"0000"&amp;"|"&amp;"2"&amp;RIGHT("00000"&amp;958,5))</f>
        <v/>
      </c>
      <c r="U963">
        <f>IF($T963="","",COUNTIFS(LdAParty,$P963,LdAType,1,LdAKey,"&lt;"&amp;$T963)+COUNTIFS(LdBMember,$P963,LdBKey,"&lt;"&amp;$T963)+COUNTIFS(LdCParty,$P963,LdCKey,"&lt;"&amp;$T963)+1)</f>
        <v/>
      </c>
      <c r="V963">
        <f>IF($U963="","",$P963&amp;"|"&amp;RIGHT("000000"&amp;$U963,6))</f>
        <v/>
      </c>
      <c r="W963">
        <f>IF($T963="","",COUNTIFS(LdBGroup,$R963,LdBKey,"&lt;"&amp;$T963)+1)</f>
        <v/>
      </c>
      <c r="X963">
        <f>IF($W963="","",$R963&amp;"|"&amp;RIGHT("000000"&amp;$W963,6))</f>
        <v/>
      </c>
      <c r="Y963">
        <f>IF($P963="","",IF(Shares!$E966="",0,Shares!$E966))</f>
        <v/>
      </c>
      <c r="Z963">
        <f>IF($P963="","",Shares!$H966)</f>
        <v/>
      </c>
      <c r="AE963">
        <f>IF(OR(Sync!$S963="",Sync!$P963=""),"",Sync!$S963)</f>
        <v/>
      </c>
      <c r="AF963">
        <f>IF($AE963="","",IF(ISNUMBER(Sync!$P963),IF(AND(Sync!$P963&gt;=10000101,Sync!$P963&lt;=99991231),INT(Sync!$P963/10000),""),IFERROR(VALUE(TRIM(LEFT(Sync!$P963,FIND("/",Sync!$P963)-1))),"")))</f>
        <v/>
      </c>
      <c r="AG963">
        <f>IF(OR($AE963="",$AF963=""),"",IF(ISNUMBER(Sync!$P963),INT(MOD(Sync!$P963,10000)/100),IFERROR(VALUE(TRIM(LEFT(MID(Sync!$P963,FIND("/",Sync!$P963)+1,20),FIND("/",MID(Sync!$P963,FIND("/",Sync!$P963)+1,20))-1))),"")))</f>
        <v/>
      </c>
      <c r="AH963">
        <f>IF(OR($AE963="",$AF963=""),"",IF(ISNUMBER(Sync!$P963),MOD(Sync!$P963,100),IFERROR(VALUE(TRIM(MID(MID(Sync!$P963,FIND("/",Sync!$P963)+1,20),FIND("/",MID(Sync!$P963,FIND("/",Sync!$P963)+1,20))+1,20))),"")))</f>
        <v/>
      </c>
      <c r="AI963">
        <f>IF($AE963="","",IF(OR($AF963="",$AG963="",$AH963="",$AF963&lt;1300,$AF963&gt;1500,$AG963&lt;1,$AG963&gt;12,$AH963&lt;1,$AH963&gt;31),"نامعتبر",RIGHT("0000"&amp;$AF963,4)&amp;"/"&amp;RIGHT("00"&amp;$AG963,2)&amp;"/"&amp;RIGHT("00"&amp;$AH963,2)))</f>
        <v/>
      </c>
      <c r="AJ963">
        <f>IF($AE963="","",IF(Sync!$Q963="","0000",IF(AND(ISNUMBER(Sync!$Q963),Sync!$Q963&gt;=0,Sync!$Q963&lt;1),RIGHT("00"&amp;HOUR(Sync!$Q963),2)&amp;RIGHT("00"&amp;MINUTE(Sync!$Q963),2),IFERROR(RIGHT("00"&amp;VALUE(LEFT(Sync!$Q963,FIND(":",Sync!$Q963)-1)),2)&amp;RIGHT("00"&amp;VALUE(MID(Sync!$Q963,FIND(":",Sync!$Q963)+1,2)),2),"0000"))))</f>
        <v/>
      </c>
      <c r="AK963">
        <f>IF(OR($AE963="",$AI963="",$AI963="نامعتبر"),"",LEFT($AI963,4)&amp;MID($AI963,6,2)&amp;RIGHT($AI963,2)&amp;$AJ963&amp;"|"&amp;"3"&amp;RIGHT("00000"&amp;958,5))</f>
        <v/>
      </c>
      <c r="AL963">
        <f>IF($AK963="","",COUNTIFS(LdAParty,$AE963,LdAType,1,LdAKey,"&lt;"&amp;$AK963)+COUNTIFS(LdBMember,$AE963,LdBKey,"&lt;"&amp;$AK963)+COUNTIFS(LdCParty,$AE963,LdCKey,"&lt;"&amp;$AK963)+1)</f>
        <v/>
      </c>
      <c r="AM963">
        <f>IF($AL963="","",$AE963&amp;"|"&amp;RIGHT("000000"&amp;$AL963,6))</f>
        <v/>
      </c>
      <c r="AN963">
        <f>IF($AE963="","",IF(Sync!$W963="",0,Sync!$W963))</f>
        <v/>
      </c>
      <c r="AO963">
        <f>IF($AE963="","",IF(Sync!$X963="",0,Sync!$X963))</f>
        <v/>
      </c>
      <c r="AP963">
        <f>IF($AE963="","",Sync!$R963)</f>
        <v/>
      </c>
      <c r="AQ963">
        <f>IF($AE963="","",Sync!$Y963)</f>
        <v/>
      </c>
    </row>
    <row r="964">
      <c r="A964">
        <f>IF(OR(Wages!$B967="",Wages!$E967=""),"",Wages!$E967)</f>
        <v/>
      </c>
      <c r="B964">
        <f>IF($A964="","",IF(Wages!$C967="دستمزد گروهی",2,1))</f>
        <v/>
      </c>
      <c r="C964">
        <f>IF($A964="","",IF(ISNUMBER(Wages!$B967),IF(AND(Wages!$B967&gt;=10000101,Wages!$B967&lt;=99991231),INT(Wages!$B967/10000),""),IFERROR(VALUE(TRIM(LEFT(Wages!$B967,FIND("/",Wages!$B967)-1))),"")))</f>
        <v/>
      </c>
      <c r="D964">
        <f>IF(OR($A964="",$C964=""),"",IF(ISNUMBER(Wages!$B967),INT(MOD(Wages!$B967,10000)/100),IFERROR(VALUE(TRIM(LEFT(MID(Wages!$B967,FIND("/",Wages!$B967)+1,20),FIND("/",MID(Wages!$B967,FIND("/",Wages!$B967)+1,20))-1))),"")))</f>
        <v/>
      </c>
      <c r="E964">
        <f>IF(OR($A964="",$C964=""),"",IF(ISNUMBER(Wages!$B967),MOD(Wages!$B967,100),IFERROR(VALUE(TRIM(MID(MID(Wages!$B967,FIND("/",Wages!$B967)+1,20),FIND("/",MID(Wages!$B967,FIND("/",Wages!$B967)+1,20))+1,20))),"")))</f>
        <v/>
      </c>
      <c r="F964">
        <f>IF($A964="","",IF(OR($C964="",$D964="",$E964="",$C964&lt;1300,$C964&gt;1500,$D964&lt;1,$D964&gt;12,$E964&lt;1,$E964&gt;31),"نامعتبر",RIGHT("0000"&amp;$C964,4)&amp;"/"&amp;RIGHT("00"&amp;$D964,2)&amp;"/"&amp;RIGHT("00"&amp;$E964,2)))</f>
        <v/>
      </c>
      <c r="G964">
        <f>IF(OR($A964="",$F964="",$F964="نامعتبر"),"",LEFT($F964,4)&amp;MID($F964,6,2)&amp;RIGHT($F964,2)&amp;"0000"&amp;"|"&amp;"1"&amp;RIGHT("00000"&amp;959,5))</f>
        <v/>
      </c>
      <c r="H964">
        <f>IF(OR($B964&lt;&gt;1,$G964=""),"",COUNTIFS(LdAParty,$A964,LdAType,1,LdAKey,"&lt;"&amp;$G964)+COUNTIFS(LdBMember,$A964,LdBKey,"&lt;"&amp;$G964)+COUNTIFS(LdCParty,$A964,LdCKey,"&lt;"&amp;$G964)+1)</f>
        <v/>
      </c>
      <c r="I964">
        <f>IF($H964="","",$A964&amp;"|"&amp;RIGHT("000000"&amp;$H964,6))</f>
        <v/>
      </c>
      <c r="J964">
        <f>IF(OR($B964&lt;&gt;2,$G964=""),"",COUNTIFS(LdAParty,$A964,LdAType,2,LdAKey,"&lt;"&amp;$G964)+1)</f>
        <v/>
      </c>
      <c r="K964">
        <f>IF($J964="","",$A964&amp;"|"&amp;RIGHT("000000"&amp;$J964,6))</f>
        <v/>
      </c>
      <c r="L964">
        <f>IF($A964="","",IF(Wages!$G967="",0,Wages!$G967))</f>
        <v/>
      </c>
      <c r="M964">
        <f>IF($A964="","",Wages!$J967)</f>
        <v/>
      </c>
      <c r="N964">
        <f>IF($A964="","",Wages!$D967)</f>
        <v/>
      </c>
      <c r="P964">
        <f>IF(OR(Shares!$B967="",Shares!$C967=""),"",Shares!$C967)</f>
        <v/>
      </c>
      <c r="Q964">
        <f>IF($P964="","",Shares!$B967)</f>
        <v/>
      </c>
      <c r="R964">
        <f>IF($P964="","",IFERROR(INDEX(WageParty,MATCH($Q964,WageIds,0)),""))</f>
        <v/>
      </c>
      <c r="S964">
        <f>IF($P964="","",IFERROR(INDEX($F$6:$F$2005,MATCH($Q964,WageIds,0)),""))</f>
        <v/>
      </c>
      <c r="T964">
        <f>IF(OR($P964="",$S964="",$S964="نامعتبر"),"",LEFT($S964,4)&amp;MID($S964,6,2)&amp;RIGHT($S964,2)&amp;"0000"&amp;"|"&amp;"2"&amp;RIGHT("00000"&amp;959,5))</f>
        <v/>
      </c>
      <c r="U964">
        <f>IF($T964="","",COUNTIFS(LdAParty,$P964,LdAType,1,LdAKey,"&lt;"&amp;$T964)+COUNTIFS(LdBMember,$P964,LdBKey,"&lt;"&amp;$T964)+COUNTIFS(LdCParty,$P964,LdCKey,"&lt;"&amp;$T964)+1)</f>
        <v/>
      </c>
      <c r="V964">
        <f>IF($U964="","",$P964&amp;"|"&amp;RIGHT("000000"&amp;$U964,6))</f>
        <v/>
      </c>
      <c r="W964">
        <f>IF($T964="","",COUNTIFS(LdBGroup,$R964,LdBKey,"&lt;"&amp;$T964)+1)</f>
        <v/>
      </c>
      <c r="X964">
        <f>IF($W964="","",$R964&amp;"|"&amp;RIGHT("000000"&amp;$W964,6))</f>
        <v/>
      </c>
      <c r="Y964">
        <f>IF($P964="","",IF(Shares!$E967="",0,Shares!$E967))</f>
        <v/>
      </c>
      <c r="Z964">
        <f>IF($P964="","",Shares!$H967)</f>
        <v/>
      </c>
      <c r="AE964">
        <f>IF(OR(Sync!$S964="",Sync!$P964=""),"",Sync!$S964)</f>
        <v/>
      </c>
      <c r="AF964">
        <f>IF($AE964="","",IF(ISNUMBER(Sync!$P964),IF(AND(Sync!$P964&gt;=10000101,Sync!$P964&lt;=99991231),INT(Sync!$P964/10000),""),IFERROR(VALUE(TRIM(LEFT(Sync!$P964,FIND("/",Sync!$P964)-1))),"")))</f>
        <v/>
      </c>
      <c r="AG964">
        <f>IF(OR($AE964="",$AF964=""),"",IF(ISNUMBER(Sync!$P964),INT(MOD(Sync!$P964,10000)/100),IFERROR(VALUE(TRIM(LEFT(MID(Sync!$P964,FIND("/",Sync!$P964)+1,20),FIND("/",MID(Sync!$P964,FIND("/",Sync!$P964)+1,20))-1))),"")))</f>
        <v/>
      </c>
      <c r="AH964">
        <f>IF(OR($AE964="",$AF964=""),"",IF(ISNUMBER(Sync!$P964),MOD(Sync!$P964,100),IFERROR(VALUE(TRIM(MID(MID(Sync!$P964,FIND("/",Sync!$P964)+1,20),FIND("/",MID(Sync!$P964,FIND("/",Sync!$P964)+1,20))+1,20))),"")))</f>
        <v/>
      </c>
      <c r="AI964">
        <f>IF($AE964="","",IF(OR($AF964="",$AG964="",$AH964="",$AF964&lt;1300,$AF964&gt;1500,$AG964&lt;1,$AG964&gt;12,$AH964&lt;1,$AH964&gt;31),"نامعتبر",RIGHT("0000"&amp;$AF964,4)&amp;"/"&amp;RIGHT("00"&amp;$AG964,2)&amp;"/"&amp;RIGHT("00"&amp;$AH964,2)))</f>
        <v/>
      </c>
      <c r="AJ964">
        <f>IF($AE964="","",IF(Sync!$Q964="","0000",IF(AND(ISNUMBER(Sync!$Q964),Sync!$Q964&gt;=0,Sync!$Q964&lt;1),RIGHT("00"&amp;HOUR(Sync!$Q964),2)&amp;RIGHT("00"&amp;MINUTE(Sync!$Q964),2),IFERROR(RIGHT("00"&amp;VALUE(LEFT(Sync!$Q964,FIND(":",Sync!$Q964)-1)),2)&amp;RIGHT("00"&amp;VALUE(MID(Sync!$Q964,FIND(":",Sync!$Q964)+1,2)),2),"0000"))))</f>
        <v/>
      </c>
      <c r="AK964">
        <f>IF(OR($AE964="",$AI964="",$AI964="نامعتبر"),"",LEFT($AI964,4)&amp;MID($AI964,6,2)&amp;RIGHT($AI964,2)&amp;$AJ964&amp;"|"&amp;"3"&amp;RIGHT("00000"&amp;959,5))</f>
        <v/>
      </c>
      <c r="AL964">
        <f>IF($AK964="","",COUNTIFS(LdAParty,$AE964,LdAType,1,LdAKey,"&lt;"&amp;$AK964)+COUNTIFS(LdBMember,$AE964,LdBKey,"&lt;"&amp;$AK964)+COUNTIFS(LdCParty,$AE964,LdCKey,"&lt;"&amp;$AK964)+1)</f>
        <v/>
      </c>
      <c r="AM964">
        <f>IF($AL964="","",$AE964&amp;"|"&amp;RIGHT("000000"&amp;$AL964,6))</f>
        <v/>
      </c>
      <c r="AN964">
        <f>IF($AE964="","",IF(Sync!$W964="",0,Sync!$W964))</f>
        <v/>
      </c>
      <c r="AO964">
        <f>IF($AE964="","",IF(Sync!$X964="",0,Sync!$X964))</f>
        <v/>
      </c>
      <c r="AP964">
        <f>IF($AE964="","",Sync!$R964)</f>
        <v/>
      </c>
      <c r="AQ964">
        <f>IF($AE964="","",Sync!$Y964)</f>
        <v/>
      </c>
    </row>
    <row r="965">
      <c r="A965">
        <f>IF(OR(Wages!$B968="",Wages!$E968=""),"",Wages!$E968)</f>
        <v/>
      </c>
      <c r="B965">
        <f>IF($A965="","",IF(Wages!$C968="دستمزد گروهی",2,1))</f>
        <v/>
      </c>
      <c r="C965">
        <f>IF($A965="","",IF(ISNUMBER(Wages!$B968),IF(AND(Wages!$B968&gt;=10000101,Wages!$B968&lt;=99991231),INT(Wages!$B968/10000),""),IFERROR(VALUE(TRIM(LEFT(Wages!$B968,FIND("/",Wages!$B968)-1))),"")))</f>
        <v/>
      </c>
      <c r="D965">
        <f>IF(OR($A965="",$C965=""),"",IF(ISNUMBER(Wages!$B968),INT(MOD(Wages!$B968,10000)/100),IFERROR(VALUE(TRIM(LEFT(MID(Wages!$B968,FIND("/",Wages!$B968)+1,20),FIND("/",MID(Wages!$B968,FIND("/",Wages!$B968)+1,20))-1))),"")))</f>
        <v/>
      </c>
      <c r="E965">
        <f>IF(OR($A965="",$C965=""),"",IF(ISNUMBER(Wages!$B968),MOD(Wages!$B968,100),IFERROR(VALUE(TRIM(MID(MID(Wages!$B968,FIND("/",Wages!$B968)+1,20),FIND("/",MID(Wages!$B968,FIND("/",Wages!$B968)+1,20))+1,20))),"")))</f>
        <v/>
      </c>
      <c r="F965">
        <f>IF($A965="","",IF(OR($C965="",$D965="",$E965="",$C965&lt;1300,$C965&gt;1500,$D965&lt;1,$D965&gt;12,$E965&lt;1,$E965&gt;31),"نامعتبر",RIGHT("0000"&amp;$C965,4)&amp;"/"&amp;RIGHT("00"&amp;$D965,2)&amp;"/"&amp;RIGHT("00"&amp;$E965,2)))</f>
        <v/>
      </c>
      <c r="G965">
        <f>IF(OR($A965="",$F965="",$F965="نامعتبر"),"",LEFT($F965,4)&amp;MID($F965,6,2)&amp;RIGHT($F965,2)&amp;"0000"&amp;"|"&amp;"1"&amp;RIGHT("00000"&amp;960,5))</f>
        <v/>
      </c>
      <c r="H965">
        <f>IF(OR($B965&lt;&gt;1,$G965=""),"",COUNTIFS(LdAParty,$A965,LdAType,1,LdAKey,"&lt;"&amp;$G965)+COUNTIFS(LdBMember,$A965,LdBKey,"&lt;"&amp;$G965)+COUNTIFS(LdCParty,$A965,LdCKey,"&lt;"&amp;$G965)+1)</f>
        <v/>
      </c>
      <c r="I965">
        <f>IF($H965="","",$A965&amp;"|"&amp;RIGHT("000000"&amp;$H965,6))</f>
        <v/>
      </c>
      <c r="J965">
        <f>IF(OR($B965&lt;&gt;2,$G965=""),"",COUNTIFS(LdAParty,$A965,LdAType,2,LdAKey,"&lt;"&amp;$G965)+1)</f>
        <v/>
      </c>
      <c r="K965">
        <f>IF($J965="","",$A965&amp;"|"&amp;RIGHT("000000"&amp;$J965,6))</f>
        <v/>
      </c>
      <c r="L965">
        <f>IF($A965="","",IF(Wages!$G968="",0,Wages!$G968))</f>
        <v/>
      </c>
      <c r="M965">
        <f>IF($A965="","",Wages!$J968)</f>
        <v/>
      </c>
      <c r="N965">
        <f>IF($A965="","",Wages!$D968)</f>
        <v/>
      </c>
      <c r="P965">
        <f>IF(OR(Shares!$B968="",Shares!$C968=""),"",Shares!$C968)</f>
        <v/>
      </c>
      <c r="Q965">
        <f>IF($P965="","",Shares!$B968)</f>
        <v/>
      </c>
      <c r="R965">
        <f>IF($P965="","",IFERROR(INDEX(WageParty,MATCH($Q965,WageIds,0)),""))</f>
        <v/>
      </c>
      <c r="S965">
        <f>IF($P965="","",IFERROR(INDEX($F$6:$F$2005,MATCH($Q965,WageIds,0)),""))</f>
        <v/>
      </c>
      <c r="T965">
        <f>IF(OR($P965="",$S965="",$S965="نامعتبر"),"",LEFT($S965,4)&amp;MID($S965,6,2)&amp;RIGHT($S965,2)&amp;"0000"&amp;"|"&amp;"2"&amp;RIGHT("00000"&amp;960,5))</f>
        <v/>
      </c>
      <c r="U965">
        <f>IF($T965="","",COUNTIFS(LdAParty,$P965,LdAType,1,LdAKey,"&lt;"&amp;$T965)+COUNTIFS(LdBMember,$P965,LdBKey,"&lt;"&amp;$T965)+COUNTIFS(LdCParty,$P965,LdCKey,"&lt;"&amp;$T965)+1)</f>
        <v/>
      </c>
      <c r="V965">
        <f>IF($U965="","",$P965&amp;"|"&amp;RIGHT("000000"&amp;$U965,6))</f>
        <v/>
      </c>
      <c r="W965">
        <f>IF($T965="","",COUNTIFS(LdBGroup,$R965,LdBKey,"&lt;"&amp;$T965)+1)</f>
        <v/>
      </c>
      <c r="X965">
        <f>IF($W965="","",$R965&amp;"|"&amp;RIGHT("000000"&amp;$W965,6))</f>
        <v/>
      </c>
      <c r="Y965">
        <f>IF($P965="","",IF(Shares!$E968="",0,Shares!$E968))</f>
        <v/>
      </c>
      <c r="Z965">
        <f>IF($P965="","",Shares!$H968)</f>
        <v/>
      </c>
      <c r="AE965">
        <f>IF(OR(Sync!$S965="",Sync!$P965=""),"",Sync!$S965)</f>
        <v/>
      </c>
      <c r="AF965">
        <f>IF($AE965="","",IF(ISNUMBER(Sync!$P965),IF(AND(Sync!$P965&gt;=10000101,Sync!$P965&lt;=99991231),INT(Sync!$P965/10000),""),IFERROR(VALUE(TRIM(LEFT(Sync!$P965,FIND("/",Sync!$P965)-1))),"")))</f>
        <v/>
      </c>
      <c r="AG965">
        <f>IF(OR($AE965="",$AF965=""),"",IF(ISNUMBER(Sync!$P965),INT(MOD(Sync!$P965,10000)/100),IFERROR(VALUE(TRIM(LEFT(MID(Sync!$P965,FIND("/",Sync!$P965)+1,20),FIND("/",MID(Sync!$P965,FIND("/",Sync!$P965)+1,20))-1))),"")))</f>
        <v/>
      </c>
      <c r="AH965">
        <f>IF(OR($AE965="",$AF965=""),"",IF(ISNUMBER(Sync!$P965),MOD(Sync!$P965,100),IFERROR(VALUE(TRIM(MID(MID(Sync!$P965,FIND("/",Sync!$P965)+1,20),FIND("/",MID(Sync!$P965,FIND("/",Sync!$P965)+1,20))+1,20))),"")))</f>
        <v/>
      </c>
      <c r="AI965">
        <f>IF($AE965="","",IF(OR($AF965="",$AG965="",$AH965="",$AF965&lt;1300,$AF965&gt;1500,$AG965&lt;1,$AG965&gt;12,$AH965&lt;1,$AH965&gt;31),"نامعتبر",RIGHT("0000"&amp;$AF965,4)&amp;"/"&amp;RIGHT("00"&amp;$AG965,2)&amp;"/"&amp;RIGHT("00"&amp;$AH965,2)))</f>
        <v/>
      </c>
      <c r="AJ965">
        <f>IF($AE965="","",IF(Sync!$Q965="","0000",IF(AND(ISNUMBER(Sync!$Q965),Sync!$Q965&gt;=0,Sync!$Q965&lt;1),RIGHT("00"&amp;HOUR(Sync!$Q965),2)&amp;RIGHT("00"&amp;MINUTE(Sync!$Q965),2),IFERROR(RIGHT("00"&amp;VALUE(LEFT(Sync!$Q965,FIND(":",Sync!$Q965)-1)),2)&amp;RIGHT("00"&amp;VALUE(MID(Sync!$Q965,FIND(":",Sync!$Q965)+1,2)),2),"0000"))))</f>
        <v/>
      </c>
      <c r="AK965">
        <f>IF(OR($AE965="",$AI965="",$AI965="نامعتبر"),"",LEFT($AI965,4)&amp;MID($AI965,6,2)&amp;RIGHT($AI965,2)&amp;$AJ965&amp;"|"&amp;"3"&amp;RIGHT("00000"&amp;960,5))</f>
        <v/>
      </c>
      <c r="AL965">
        <f>IF($AK965="","",COUNTIFS(LdAParty,$AE965,LdAType,1,LdAKey,"&lt;"&amp;$AK965)+COUNTIFS(LdBMember,$AE965,LdBKey,"&lt;"&amp;$AK965)+COUNTIFS(LdCParty,$AE965,LdCKey,"&lt;"&amp;$AK965)+1)</f>
        <v/>
      </c>
      <c r="AM965">
        <f>IF($AL965="","",$AE965&amp;"|"&amp;RIGHT("000000"&amp;$AL965,6))</f>
        <v/>
      </c>
      <c r="AN965">
        <f>IF($AE965="","",IF(Sync!$W965="",0,Sync!$W965))</f>
        <v/>
      </c>
      <c r="AO965">
        <f>IF($AE965="","",IF(Sync!$X965="",0,Sync!$X965))</f>
        <v/>
      </c>
      <c r="AP965">
        <f>IF($AE965="","",Sync!$R965)</f>
        <v/>
      </c>
      <c r="AQ965">
        <f>IF($AE965="","",Sync!$Y965)</f>
        <v/>
      </c>
    </row>
    <row r="966">
      <c r="A966">
        <f>IF(OR(Wages!$B969="",Wages!$E969=""),"",Wages!$E969)</f>
        <v/>
      </c>
      <c r="B966">
        <f>IF($A966="","",IF(Wages!$C969="دستمزد گروهی",2,1))</f>
        <v/>
      </c>
      <c r="C966">
        <f>IF($A966="","",IF(ISNUMBER(Wages!$B969),IF(AND(Wages!$B969&gt;=10000101,Wages!$B969&lt;=99991231),INT(Wages!$B969/10000),""),IFERROR(VALUE(TRIM(LEFT(Wages!$B969,FIND("/",Wages!$B969)-1))),"")))</f>
        <v/>
      </c>
      <c r="D966">
        <f>IF(OR($A966="",$C966=""),"",IF(ISNUMBER(Wages!$B969),INT(MOD(Wages!$B969,10000)/100),IFERROR(VALUE(TRIM(LEFT(MID(Wages!$B969,FIND("/",Wages!$B969)+1,20),FIND("/",MID(Wages!$B969,FIND("/",Wages!$B969)+1,20))-1))),"")))</f>
        <v/>
      </c>
      <c r="E966">
        <f>IF(OR($A966="",$C966=""),"",IF(ISNUMBER(Wages!$B969),MOD(Wages!$B969,100),IFERROR(VALUE(TRIM(MID(MID(Wages!$B969,FIND("/",Wages!$B969)+1,20),FIND("/",MID(Wages!$B969,FIND("/",Wages!$B969)+1,20))+1,20))),"")))</f>
        <v/>
      </c>
      <c r="F966">
        <f>IF($A966="","",IF(OR($C966="",$D966="",$E966="",$C966&lt;1300,$C966&gt;1500,$D966&lt;1,$D966&gt;12,$E966&lt;1,$E966&gt;31),"نامعتبر",RIGHT("0000"&amp;$C966,4)&amp;"/"&amp;RIGHT("00"&amp;$D966,2)&amp;"/"&amp;RIGHT("00"&amp;$E966,2)))</f>
        <v/>
      </c>
      <c r="G966">
        <f>IF(OR($A966="",$F966="",$F966="نامعتبر"),"",LEFT($F966,4)&amp;MID($F966,6,2)&amp;RIGHT($F966,2)&amp;"0000"&amp;"|"&amp;"1"&amp;RIGHT("00000"&amp;961,5))</f>
        <v/>
      </c>
      <c r="H966">
        <f>IF(OR($B966&lt;&gt;1,$G966=""),"",COUNTIFS(LdAParty,$A966,LdAType,1,LdAKey,"&lt;"&amp;$G966)+COUNTIFS(LdBMember,$A966,LdBKey,"&lt;"&amp;$G966)+COUNTIFS(LdCParty,$A966,LdCKey,"&lt;"&amp;$G966)+1)</f>
        <v/>
      </c>
      <c r="I966">
        <f>IF($H966="","",$A966&amp;"|"&amp;RIGHT("000000"&amp;$H966,6))</f>
        <v/>
      </c>
      <c r="J966">
        <f>IF(OR($B966&lt;&gt;2,$G966=""),"",COUNTIFS(LdAParty,$A966,LdAType,2,LdAKey,"&lt;"&amp;$G966)+1)</f>
        <v/>
      </c>
      <c r="K966">
        <f>IF($J966="","",$A966&amp;"|"&amp;RIGHT("000000"&amp;$J966,6))</f>
        <v/>
      </c>
      <c r="L966">
        <f>IF($A966="","",IF(Wages!$G969="",0,Wages!$G969))</f>
        <v/>
      </c>
      <c r="M966">
        <f>IF($A966="","",Wages!$J969)</f>
        <v/>
      </c>
      <c r="N966">
        <f>IF($A966="","",Wages!$D969)</f>
        <v/>
      </c>
      <c r="P966">
        <f>IF(OR(Shares!$B969="",Shares!$C969=""),"",Shares!$C969)</f>
        <v/>
      </c>
      <c r="Q966">
        <f>IF($P966="","",Shares!$B969)</f>
        <v/>
      </c>
      <c r="R966">
        <f>IF($P966="","",IFERROR(INDEX(WageParty,MATCH($Q966,WageIds,0)),""))</f>
        <v/>
      </c>
      <c r="S966">
        <f>IF($P966="","",IFERROR(INDEX($F$6:$F$2005,MATCH($Q966,WageIds,0)),""))</f>
        <v/>
      </c>
      <c r="T966">
        <f>IF(OR($P966="",$S966="",$S966="نامعتبر"),"",LEFT($S966,4)&amp;MID($S966,6,2)&amp;RIGHT($S966,2)&amp;"0000"&amp;"|"&amp;"2"&amp;RIGHT("00000"&amp;961,5))</f>
        <v/>
      </c>
      <c r="U966">
        <f>IF($T966="","",COUNTIFS(LdAParty,$P966,LdAType,1,LdAKey,"&lt;"&amp;$T966)+COUNTIFS(LdBMember,$P966,LdBKey,"&lt;"&amp;$T966)+COUNTIFS(LdCParty,$P966,LdCKey,"&lt;"&amp;$T966)+1)</f>
        <v/>
      </c>
      <c r="V966">
        <f>IF($U966="","",$P966&amp;"|"&amp;RIGHT("000000"&amp;$U966,6))</f>
        <v/>
      </c>
      <c r="W966">
        <f>IF($T966="","",COUNTIFS(LdBGroup,$R966,LdBKey,"&lt;"&amp;$T966)+1)</f>
        <v/>
      </c>
      <c r="X966">
        <f>IF($W966="","",$R966&amp;"|"&amp;RIGHT("000000"&amp;$W966,6))</f>
        <v/>
      </c>
      <c r="Y966">
        <f>IF($P966="","",IF(Shares!$E969="",0,Shares!$E969))</f>
        <v/>
      </c>
      <c r="Z966">
        <f>IF($P966="","",Shares!$H969)</f>
        <v/>
      </c>
      <c r="AE966">
        <f>IF(OR(Sync!$S966="",Sync!$P966=""),"",Sync!$S966)</f>
        <v/>
      </c>
      <c r="AF966">
        <f>IF($AE966="","",IF(ISNUMBER(Sync!$P966),IF(AND(Sync!$P966&gt;=10000101,Sync!$P966&lt;=99991231),INT(Sync!$P966/10000),""),IFERROR(VALUE(TRIM(LEFT(Sync!$P966,FIND("/",Sync!$P966)-1))),"")))</f>
        <v/>
      </c>
      <c r="AG966">
        <f>IF(OR($AE966="",$AF966=""),"",IF(ISNUMBER(Sync!$P966),INT(MOD(Sync!$P966,10000)/100),IFERROR(VALUE(TRIM(LEFT(MID(Sync!$P966,FIND("/",Sync!$P966)+1,20),FIND("/",MID(Sync!$P966,FIND("/",Sync!$P966)+1,20))-1))),"")))</f>
        <v/>
      </c>
      <c r="AH966">
        <f>IF(OR($AE966="",$AF966=""),"",IF(ISNUMBER(Sync!$P966),MOD(Sync!$P966,100),IFERROR(VALUE(TRIM(MID(MID(Sync!$P966,FIND("/",Sync!$P966)+1,20),FIND("/",MID(Sync!$P966,FIND("/",Sync!$P966)+1,20))+1,20))),"")))</f>
        <v/>
      </c>
      <c r="AI966">
        <f>IF($AE966="","",IF(OR($AF966="",$AG966="",$AH966="",$AF966&lt;1300,$AF966&gt;1500,$AG966&lt;1,$AG966&gt;12,$AH966&lt;1,$AH966&gt;31),"نامعتبر",RIGHT("0000"&amp;$AF966,4)&amp;"/"&amp;RIGHT("00"&amp;$AG966,2)&amp;"/"&amp;RIGHT("00"&amp;$AH966,2)))</f>
        <v/>
      </c>
      <c r="AJ966">
        <f>IF($AE966="","",IF(Sync!$Q966="","0000",IF(AND(ISNUMBER(Sync!$Q966),Sync!$Q966&gt;=0,Sync!$Q966&lt;1),RIGHT("00"&amp;HOUR(Sync!$Q966),2)&amp;RIGHT("00"&amp;MINUTE(Sync!$Q966),2),IFERROR(RIGHT("00"&amp;VALUE(LEFT(Sync!$Q966,FIND(":",Sync!$Q966)-1)),2)&amp;RIGHT("00"&amp;VALUE(MID(Sync!$Q966,FIND(":",Sync!$Q966)+1,2)),2),"0000"))))</f>
        <v/>
      </c>
      <c r="AK966">
        <f>IF(OR($AE966="",$AI966="",$AI966="نامعتبر"),"",LEFT($AI966,4)&amp;MID($AI966,6,2)&amp;RIGHT($AI966,2)&amp;$AJ966&amp;"|"&amp;"3"&amp;RIGHT("00000"&amp;961,5))</f>
        <v/>
      </c>
      <c r="AL966">
        <f>IF($AK966="","",COUNTIFS(LdAParty,$AE966,LdAType,1,LdAKey,"&lt;"&amp;$AK966)+COUNTIFS(LdBMember,$AE966,LdBKey,"&lt;"&amp;$AK966)+COUNTIFS(LdCParty,$AE966,LdCKey,"&lt;"&amp;$AK966)+1)</f>
        <v/>
      </c>
      <c r="AM966">
        <f>IF($AL966="","",$AE966&amp;"|"&amp;RIGHT("000000"&amp;$AL966,6))</f>
        <v/>
      </c>
      <c r="AN966">
        <f>IF($AE966="","",IF(Sync!$W966="",0,Sync!$W966))</f>
        <v/>
      </c>
      <c r="AO966">
        <f>IF($AE966="","",IF(Sync!$X966="",0,Sync!$X966))</f>
        <v/>
      </c>
      <c r="AP966">
        <f>IF($AE966="","",Sync!$R966)</f>
        <v/>
      </c>
      <c r="AQ966">
        <f>IF($AE966="","",Sync!$Y966)</f>
        <v/>
      </c>
    </row>
    <row r="967">
      <c r="A967">
        <f>IF(OR(Wages!$B970="",Wages!$E970=""),"",Wages!$E970)</f>
        <v/>
      </c>
      <c r="B967">
        <f>IF($A967="","",IF(Wages!$C970="دستمزد گروهی",2,1))</f>
        <v/>
      </c>
      <c r="C967">
        <f>IF($A967="","",IF(ISNUMBER(Wages!$B970),IF(AND(Wages!$B970&gt;=10000101,Wages!$B970&lt;=99991231),INT(Wages!$B970/10000),""),IFERROR(VALUE(TRIM(LEFT(Wages!$B970,FIND("/",Wages!$B970)-1))),"")))</f>
        <v/>
      </c>
      <c r="D967">
        <f>IF(OR($A967="",$C967=""),"",IF(ISNUMBER(Wages!$B970),INT(MOD(Wages!$B970,10000)/100),IFERROR(VALUE(TRIM(LEFT(MID(Wages!$B970,FIND("/",Wages!$B970)+1,20),FIND("/",MID(Wages!$B970,FIND("/",Wages!$B970)+1,20))-1))),"")))</f>
        <v/>
      </c>
      <c r="E967">
        <f>IF(OR($A967="",$C967=""),"",IF(ISNUMBER(Wages!$B970),MOD(Wages!$B970,100),IFERROR(VALUE(TRIM(MID(MID(Wages!$B970,FIND("/",Wages!$B970)+1,20),FIND("/",MID(Wages!$B970,FIND("/",Wages!$B970)+1,20))+1,20))),"")))</f>
        <v/>
      </c>
      <c r="F967">
        <f>IF($A967="","",IF(OR($C967="",$D967="",$E967="",$C967&lt;1300,$C967&gt;1500,$D967&lt;1,$D967&gt;12,$E967&lt;1,$E967&gt;31),"نامعتبر",RIGHT("0000"&amp;$C967,4)&amp;"/"&amp;RIGHT("00"&amp;$D967,2)&amp;"/"&amp;RIGHT("00"&amp;$E967,2)))</f>
        <v/>
      </c>
      <c r="G967">
        <f>IF(OR($A967="",$F967="",$F967="نامعتبر"),"",LEFT($F967,4)&amp;MID($F967,6,2)&amp;RIGHT($F967,2)&amp;"0000"&amp;"|"&amp;"1"&amp;RIGHT("00000"&amp;962,5))</f>
        <v/>
      </c>
      <c r="H967">
        <f>IF(OR($B967&lt;&gt;1,$G967=""),"",COUNTIFS(LdAParty,$A967,LdAType,1,LdAKey,"&lt;"&amp;$G967)+COUNTIFS(LdBMember,$A967,LdBKey,"&lt;"&amp;$G967)+COUNTIFS(LdCParty,$A967,LdCKey,"&lt;"&amp;$G967)+1)</f>
        <v/>
      </c>
      <c r="I967">
        <f>IF($H967="","",$A967&amp;"|"&amp;RIGHT("000000"&amp;$H967,6))</f>
        <v/>
      </c>
      <c r="J967">
        <f>IF(OR($B967&lt;&gt;2,$G967=""),"",COUNTIFS(LdAParty,$A967,LdAType,2,LdAKey,"&lt;"&amp;$G967)+1)</f>
        <v/>
      </c>
      <c r="K967">
        <f>IF($J967="","",$A967&amp;"|"&amp;RIGHT("000000"&amp;$J967,6))</f>
        <v/>
      </c>
      <c r="L967">
        <f>IF($A967="","",IF(Wages!$G970="",0,Wages!$G970))</f>
        <v/>
      </c>
      <c r="M967">
        <f>IF($A967="","",Wages!$J970)</f>
        <v/>
      </c>
      <c r="N967">
        <f>IF($A967="","",Wages!$D970)</f>
        <v/>
      </c>
      <c r="P967">
        <f>IF(OR(Shares!$B970="",Shares!$C970=""),"",Shares!$C970)</f>
        <v/>
      </c>
      <c r="Q967">
        <f>IF($P967="","",Shares!$B970)</f>
        <v/>
      </c>
      <c r="R967">
        <f>IF($P967="","",IFERROR(INDEX(WageParty,MATCH($Q967,WageIds,0)),""))</f>
        <v/>
      </c>
      <c r="S967">
        <f>IF($P967="","",IFERROR(INDEX($F$6:$F$2005,MATCH($Q967,WageIds,0)),""))</f>
        <v/>
      </c>
      <c r="T967">
        <f>IF(OR($P967="",$S967="",$S967="نامعتبر"),"",LEFT($S967,4)&amp;MID($S967,6,2)&amp;RIGHT($S967,2)&amp;"0000"&amp;"|"&amp;"2"&amp;RIGHT("00000"&amp;962,5))</f>
        <v/>
      </c>
      <c r="U967">
        <f>IF($T967="","",COUNTIFS(LdAParty,$P967,LdAType,1,LdAKey,"&lt;"&amp;$T967)+COUNTIFS(LdBMember,$P967,LdBKey,"&lt;"&amp;$T967)+COUNTIFS(LdCParty,$P967,LdCKey,"&lt;"&amp;$T967)+1)</f>
        <v/>
      </c>
      <c r="V967">
        <f>IF($U967="","",$P967&amp;"|"&amp;RIGHT("000000"&amp;$U967,6))</f>
        <v/>
      </c>
      <c r="W967">
        <f>IF($T967="","",COUNTIFS(LdBGroup,$R967,LdBKey,"&lt;"&amp;$T967)+1)</f>
        <v/>
      </c>
      <c r="X967">
        <f>IF($W967="","",$R967&amp;"|"&amp;RIGHT("000000"&amp;$W967,6))</f>
        <v/>
      </c>
      <c r="Y967">
        <f>IF($P967="","",IF(Shares!$E970="",0,Shares!$E970))</f>
        <v/>
      </c>
      <c r="Z967">
        <f>IF($P967="","",Shares!$H970)</f>
        <v/>
      </c>
      <c r="AE967">
        <f>IF(OR(Sync!$S967="",Sync!$P967=""),"",Sync!$S967)</f>
        <v/>
      </c>
      <c r="AF967">
        <f>IF($AE967="","",IF(ISNUMBER(Sync!$P967),IF(AND(Sync!$P967&gt;=10000101,Sync!$P967&lt;=99991231),INT(Sync!$P967/10000),""),IFERROR(VALUE(TRIM(LEFT(Sync!$P967,FIND("/",Sync!$P967)-1))),"")))</f>
        <v/>
      </c>
      <c r="AG967">
        <f>IF(OR($AE967="",$AF967=""),"",IF(ISNUMBER(Sync!$P967),INT(MOD(Sync!$P967,10000)/100),IFERROR(VALUE(TRIM(LEFT(MID(Sync!$P967,FIND("/",Sync!$P967)+1,20),FIND("/",MID(Sync!$P967,FIND("/",Sync!$P967)+1,20))-1))),"")))</f>
        <v/>
      </c>
      <c r="AH967">
        <f>IF(OR($AE967="",$AF967=""),"",IF(ISNUMBER(Sync!$P967),MOD(Sync!$P967,100),IFERROR(VALUE(TRIM(MID(MID(Sync!$P967,FIND("/",Sync!$P967)+1,20),FIND("/",MID(Sync!$P967,FIND("/",Sync!$P967)+1,20))+1,20))),"")))</f>
        <v/>
      </c>
      <c r="AI967">
        <f>IF($AE967="","",IF(OR($AF967="",$AG967="",$AH967="",$AF967&lt;1300,$AF967&gt;1500,$AG967&lt;1,$AG967&gt;12,$AH967&lt;1,$AH967&gt;31),"نامعتبر",RIGHT("0000"&amp;$AF967,4)&amp;"/"&amp;RIGHT("00"&amp;$AG967,2)&amp;"/"&amp;RIGHT("00"&amp;$AH967,2)))</f>
        <v/>
      </c>
      <c r="AJ967">
        <f>IF($AE967="","",IF(Sync!$Q967="","0000",IF(AND(ISNUMBER(Sync!$Q967),Sync!$Q967&gt;=0,Sync!$Q967&lt;1),RIGHT("00"&amp;HOUR(Sync!$Q967),2)&amp;RIGHT("00"&amp;MINUTE(Sync!$Q967),2),IFERROR(RIGHT("00"&amp;VALUE(LEFT(Sync!$Q967,FIND(":",Sync!$Q967)-1)),2)&amp;RIGHT("00"&amp;VALUE(MID(Sync!$Q967,FIND(":",Sync!$Q967)+1,2)),2),"0000"))))</f>
        <v/>
      </c>
      <c r="AK967">
        <f>IF(OR($AE967="",$AI967="",$AI967="نامعتبر"),"",LEFT($AI967,4)&amp;MID($AI967,6,2)&amp;RIGHT($AI967,2)&amp;$AJ967&amp;"|"&amp;"3"&amp;RIGHT("00000"&amp;962,5))</f>
        <v/>
      </c>
      <c r="AL967">
        <f>IF($AK967="","",COUNTIFS(LdAParty,$AE967,LdAType,1,LdAKey,"&lt;"&amp;$AK967)+COUNTIFS(LdBMember,$AE967,LdBKey,"&lt;"&amp;$AK967)+COUNTIFS(LdCParty,$AE967,LdCKey,"&lt;"&amp;$AK967)+1)</f>
        <v/>
      </c>
      <c r="AM967">
        <f>IF($AL967="","",$AE967&amp;"|"&amp;RIGHT("000000"&amp;$AL967,6))</f>
        <v/>
      </c>
      <c r="AN967">
        <f>IF($AE967="","",IF(Sync!$W967="",0,Sync!$W967))</f>
        <v/>
      </c>
      <c r="AO967">
        <f>IF($AE967="","",IF(Sync!$X967="",0,Sync!$X967))</f>
        <v/>
      </c>
      <c r="AP967">
        <f>IF($AE967="","",Sync!$R967)</f>
        <v/>
      </c>
      <c r="AQ967">
        <f>IF($AE967="","",Sync!$Y967)</f>
        <v/>
      </c>
    </row>
    <row r="968">
      <c r="A968">
        <f>IF(OR(Wages!$B971="",Wages!$E971=""),"",Wages!$E971)</f>
        <v/>
      </c>
      <c r="B968">
        <f>IF($A968="","",IF(Wages!$C971="دستمزد گروهی",2,1))</f>
        <v/>
      </c>
      <c r="C968">
        <f>IF($A968="","",IF(ISNUMBER(Wages!$B971),IF(AND(Wages!$B971&gt;=10000101,Wages!$B971&lt;=99991231),INT(Wages!$B971/10000),""),IFERROR(VALUE(TRIM(LEFT(Wages!$B971,FIND("/",Wages!$B971)-1))),"")))</f>
        <v/>
      </c>
      <c r="D968">
        <f>IF(OR($A968="",$C968=""),"",IF(ISNUMBER(Wages!$B971),INT(MOD(Wages!$B971,10000)/100),IFERROR(VALUE(TRIM(LEFT(MID(Wages!$B971,FIND("/",Wages!$B971)+1,20),FIND("/",MID(Wages!$B971,FIND("/",Wages!$B971)+1,20))-1))),"")))</f>
        <v/>
      </c>
      <c r="E968">
        <f>IF(OR($A968="",$C968=""),"",IF(ISNUMBER(Wages!$B971),MOD(Wages!$B971,100),IFERROR(VALUE(TRIM(MID(MID(Wages!$B971,FIND("/",Wages!$B971)+1,20),FIND("/",MID(Wages!$B971,FIND("/",Wages!$B971)+1,20))+1,20))),"")))</f>
        <v/>
      </c>
      <c r="F968">
        <f>IF($A968="","",IF(OR($C968="",$D968="",$E968="",$C968&lt;1300,$C968&gt;1500,$D968&lt;1,$D968&gt;12,$E968&lt;1,$E968&gt;31),"نامعتبر",RIGHT("0000"&amp;$C968,4)&amp;"/"&amp;RIGHT("00"&amp;$D968,2)&amp;"/"&amp;RIGHT("00"&amp;$E968,2)))</f>
        <v/>
      </c>
      <c r="G968">
        <f>IF(OR($A968="",$F968="",$F968="نامعتبر"),"",LEFT($F968,4)&amp;MID($F968,6,2)&amp;RIGHT($F968,2)&amp;"0000"&amp;"|"&amp;"1"&amp;RIGHT("00000"&amp;963,5))</f>
        <v/>
      </c>
      <c r="H968">
        <f>IF(OR($B968&lt;&gt;1,$G968=""),"",COUNTIFS(LdAParty,$A968,LdAType,1,LdAKey,"&lt;"&amp;$G968)+COUNTIFS(LdBMember,$A968,LdBKey,"&lt;"&amp;$G968)+COUNTIFS(LdCParty,$A968,LdCKey,"&lt;"&amp;$G968)+1)</f>
        <v/>
      </c>
      <c r="I968">
        <f>IF($H968="","",$A968&amp;"|"&amp;RIGHT("000000"&amp;$H968,6))</f>
        <v/>
      </c>
      <c r="J968">
        <f>IF(OR($B968&lt;&gt;2,$G968=""),"",COUNTIFS(LdAParty,$A968,LdAType,2,LdAKey,"&lt;"&amp;$G968)+1)</f>
        <v/>
      </c>
      <c r="K968">
        <f>IF($J968="","",$A968&amp;"|"&amp;RIGHT("000000"&amp;$J968,6))</f>
        <v/>
      </c>
      <c r="L968">
        <f>IF($A968="","",IF(Wages!$G971="",0,Wages!$G971))</f>
        <v/>
      </c>
      <c r="M968">
        <f>IF($A968="","",Wages!$J971)</f>
        <v/>
      </c>
      <c r="N968">
        <f>IF($A968="","",Wages!$D971)</f>
        <v/>
      </c>
      <c r="P968">
        <f>IF(OR(Shares!$B971="",Shares!$C971=""),"",Shares!$C971)</f>
        <v/>
      </c>
      <c r="Q968">
        <f>IF($P968="","",Shares!$B971)</f>
        <v/>
      </c>
      <c r="R968">
        <f>IF($P968="","",IFERROR(INDEX(WageParty,MATCH($Q968,WageIds,0)),""))</f>
        <v/>
      </c>
      <c r="S968">
        <f>IF($P968="","",IFERROR(INDEX($F$6:$F$2005,MATCH($Q968,WageIds,0)),""))</f>
        <v/>
      </c>
      <c r="T968">
        <f>IF(OR($P968="",$S968="",$S968="نامعتبر"),"",LEFT($S968,4)&amp;MID($S968,6,2)&amp;RIGHT($S968,2)&amp;"0000"&amp;"|"&amp;"2"&amp;RIGHT("00000"&amp;963,5))</f>
        <v/>
      </c>
      <c r="U968">
        <f>IF($T968="","",COUNTIFS(LdAParty,$P968,LdAType,1,LdAKey,"&lt;"&amp;$T968)+COUNTIFS(LdBMember,$P968,LdBKey,"&lt;"&amp;$T968)+COUNTIFS(LdCParty,$P968,LdCKey,"&lt;"&amp;$T968)+1)</f>
        <v/>
      </c>
      <c r="V968">
        <f>IF($U968="","",$P968&amp;"|"&amp;RIGHT("000000"&amp;$U968,6))</f>
        <v/>
      </c>
      <c r="W968">
        <f>IF($T968="","",COUNTIFS(LdBGroup,$R968,LdBKey,"&lt;"&amp;$T968)+1)</f>
        <v/>
      </c>
      <c r="X968">
        <f>IF($W968="","",$R968&amp;"|"&amp;RIGHT("000000"&amp;$W968,6))</f>
        <v/>
      </c>
      <c r="Y968">
        <f>IF($P968="","",IF(Shares!$E971="",0,Shares!$E971))</f>
        <v/>
      </c>
      <c r="Z968">
        <f>IF($P968="","",Shares!$H971)</f>
        <v/>
      </c>
      <c r="AE968">
        <f>IF(OR(Sync!$S968="",Sync!$P968=""),"",Sync!$S968)</f>
        <v/>
      </c>
      <c r="AF968">
        <f>IF($AE968="","",IF(ISNUMBER(Sync!$P968),IF(AND(Sync!$P968&gt;=10000101,Sync!$P968&lt;=99991231),INT(Sync!$P968/10000),""),IFERROR(VALUE(TRIM(LEFT(Sync!$P968,FIND("/",Sync!$P968)-1))),"")))</f>
        <v/>
      </c>
      <c r="AG968">
        <f>IF(OR($AE968="",$AF968=""),"",IF(ISNUMBER(Sync!$P968),INT(MOD(Sync!$P968,10000)/100),IFERROR(VALUE(TRIM(LEFT(MID(Sync!$P968,FIND("/",Sync!$P968)+1,20),FIND("/",MID(Sync!$P968,FIND("/",Sync!$P968)+1,20))-1))),"")))</f>
        <v/>
      </c>
      <c r="AH968">
        <f>IF(OR($AE968="",$AF968=""),"",IF(ISNUMBER(Sync!$P968),MOD(Sync!$P968,100),IFERROR(VALUE(TRIM(MID(MID(Sync!$P968,FIND("/",Sync!$P968)+1,20),FIND("/",MID(Sync!$P968,FIND("/",Sync!$P968)+1,20))+1,20))),"")))</f>
        <v/>
      </c>
      <c r="AI968">
        <f>IF($AE968="","",IF(OR($AF968="",$AG968="",$AH968="",$AF968&lt;1300,$AF968&gt;1500,$AG968&lt;1,$AG968&gt;12,$AH968&lt;1,$AH968&gt;31),"نامعتبر",RIGHT("0000"&amp;$AF968,4)&amp;"/"&amp;RIGHT("00"&amp;$AG968,2)&amp;"/"&amp;RIGHT("00"&amp;$AH968,2)))</f>
        <v/>
      </c>
      <c r="AJ968">
        <f>IF($AE968="","",IF(Sync!$Q968="","0000",IF(AND(ISNUMBER(Sync!$Q968),Sync!$Q968&gt;=0,Sync!$Q968&lt;1),RIGHT("00"&amp;HOUR(Sync!$Q968),2)&amp;RIGHT("00"&amp;MINUTE(Sync!$Q968),2),IFERROR(RIGHT("00"&amp;VALUE(LEFT(Sync!$Q968,FIND(":",Sync!$Q968)-1)),2)&amp;RIGHT("00"&amp;VALUE(MID(Sync!$Q968,FIND(":",Sync!$Q968)+1,2)),2),"0000"))))</f>
        <v/>
      </c>
      <c r="AK968">
        <f>IF(OR($AE968="",$AI968="",$AI968="نامعتبر"),"",LEFT($AI968,4)&amp;MID($AI968,6,2)&amp;RIGHT($AI968,2)&amp;$AJ968&amp;"|"&amp;"3"&amp;RIGHT("00000"&amp;963,5))</f>
        <v/>
      </c>
      <c r="AL968">
        <f>IF($AK968="","",COUNTIFS(LdAParty,$AE968,LdAType,1,LdAKey,"&lt;"&amp;$AK968)+COUNTIFS(LdBMember,$AE968,LdBKey,"&lt;"&amp;$AK968)+COUNTIFS(LdCParty,$AE968,LdCKey,"&lt;"&amp;$AK968)+1)</f>
        <v/>
      </c>
      <c r="AM968">
        <f>IF($AL968="","",$AE968&amp;"|"&amp;RIGHT("000000"&amp;$AL968,6))</f>
        <v/>
      </c>
      <c r="AN968">
        <f>IF($AE968="","",IF(Sync!$W968="",0,Sync!$W968))</f>
        <v/>
      </c>
      <c r="AO968">
        <f>IF($AE968="","",IF(Sync!$X968="",0,Sync!$X968))</f>
        <v/>
      </c>
      <c r="AP968">
        <f>IF($AE968="","",Sync!$R968)</f>
        <v/>
      </c>
      <c r="AQ968">
        <f>IF($AE968="","",Sync!$Y968)</f>
        <v/>
      </c>
    </row>
    <row r="969">
      <c r="A969">
        <f>IF(OR(Wages!$B972="",Wages!$E972=""),"",Wages!$E972)</f>
        <v/>
      </c>
      <c r="B969">
        <f>IF($A969="","",IF(Wages!$C972="دستمزد گروهی",2,1))</f>
        <v/>
      </c>
      <c r="C969">
        <f>IF($A969="","",IF(ISNUMBER(Wages!$B972),IF(AND(Wages!$B972&gt;=10000101,Wages!$B972&lt;=99991231),INT(Wages!$B972/10000),""),IFERROR(VALUE(TRIM(LEFT(Wages!$B972,FIND("/",Wages!$B972)-1))),"")))</f>
        <v/>
      </c>
      <c r="D969">
        <f>IF(OR($A969="",$C969=""),"",IF(ISNUMBER(Wages!$B972),INT(MOD(Wages!$B972,10000)/100),IFERROR(VALUE(TRIM(LEFT(MID(Wages!$B972,FIND("/",Wages!$B972)+1,20),FIND("/",MID(Wages!$B972,FIND("/",Wages!$B972)+1,20))-1))),"")))</f>
        <v/>
      </c>
      <c r="E969">
        <f>IF(OR($A969="",$C969=""),"",IF(ISNUMBER(Wages!$B972),MOD(Wages!$B972,100),IFERROR(VALUE(TRIM(MID(MID(Wages!$B972,FIND("/",Wages!$B972)+1,20),FIND("/",MID(Wages!$B972,FIND("/",Wages!$B972)+1,20))+1,20))),"")))</f>
        <v/>
      </c>
      <c r="F969">
        <f>IF($A969="","",IF(OR($C969="",$D969="",$E969="",$C969&lt;1300,$C969&gt;1500,$D969&lt;1,$D969&gt;12,$E969&lt;1,$E969&gt;31),"نامعتبر",RIGHT("0000"&amp;$C969,4)&amp;"/"&amp;RIGHT("00"&amp;$D969,2)&amp;"/"&amp;RIGHT("00"&amp;$E969,2)))</f>
        <v/>
      </c>
      <c r="G969">
        <f>IF(OR($A969="",$F969="",$F969="نامعتبر"),"",LEFT($F969,4)&amp;MID($F969,6,2)&amp;RIGHT($F969,2)&amp;"0000"&amp;"|"&amp;"1"&amp;RIGHT("00000"&amp;964,5))</f>
        <v/>
      </c>
      <c r="H969">
        <f>IF(OR($B969&lt;&gt;1,$G969=""),"",COUNTIFS(LdAParty,$A969,LdAType,1,LdAKey,"&lt;"&amp;$G969)+COUNTIFS(LdBMember,$A969,LdBKey,"&lt;"&amp;$G969)+COUNTIFS(LdCParty,$A969,LdCKey,"&lt;"&amp;$G969)+1)</f>
        <v/>
      </c>
      <c r="I969">
        <f>IF($H969="","",$A969&amp;"|"&amp;RIGHT("000000"&amp;$H969,6))</f>
        <v/>
      </c>
      <c r="J969">
        <f>IF(OR($B969&lt;&gt;2,$G969=""),"",COUNTIFS(LdAParty,$A969,LdAType,2,LdAKey,"&lt;"&amp;$G969)+1)</f>
        <v/>
      </c>
      <c r="K969">
        <f>IF($J969="","",$A969&amp;"|"&amp;RIGHT("000000"&amp;$J969,6))</f>
        <v/>
      </c>
      <c r="L969">
        <f>IF($A969="","",IF(Wages!$G972="",0,Wages!$G972))</f>
        <v/>
      </c>
      <c r="M969">
        <f>IF($A969="","",Wages!$J972)</f>
        <v/>
      </c>
      <c r="N969">
        <f>IF($A969="","",Wages!$D972)</f>
        <v/>
      </c>
      <c r="P969">
        <f>IF(OR(Shares!$B972="",Shares!$C972=""),"",Shares!$C972)</f>
        <v/>
      </c>
      <c r="Q969">
        <f>IF($P969="","",Shares!$B972)</f>
        <v/>
      </c>
      <c r="R969">
        <f>IF($P969="","",IFERROR(INDEX(WageParty,MATCH($Q969,WageIds,0)),""))</f>
        <v/>
      </c>
      <c r="S969">
        <f>IF($P969="","",IFERROR(INDEX($F$6:$F$2005,MATCH($Q969,WageIds,0)),""))</f>
        <v/>
      </c>
      <c r="T969">
        <f>IF(OR($P969="",$S969="",$S969="نامعتبر"),"",LEFT($S969,4)&amp;MID($S969,6,2)&amp;RIGHT($S969,2)&amp;"0000"&amp;"|"&amp;"2"&amp;RIGHT("00000"&amp;964,5))</f>
        <v/>
      </c>
      <c r="U969">
        <f>IF($T969="","",COUNTIFS(LdAParty,$P969,LdAType,1,LdAKey,"&lt;"&amp;$T969)+COUNTIFS(LdBMember,$P969,LdBKey,"&lt;"&amp;$T969)+COUNTIFS(LdCParty,$P969,LdCKey,"&lt;"&amp;$T969)+1)</f>
        <v/>
      </c>
      <c r="V969">
        <f>IF($U969="","",$P969&amp;"|"&amp;RIGHT("000000"&amp;$U969,6))</f>
        <v/>
      </c>
      <c r="W969">
        <f>IF($T969="","",COUNTIFS(LdBGroup,$R969,LdBKey,"&lt;"&amp;$T969)+1)</f>
        <v/>
      </c>
      <c r="X969">
        <f>IF($W969="","",$R969&amp;"|"&amp;RIGHT("000000"&amp;$W969,6))</f>
        <v/>
      </c>
      <c r="Y969">
        <f>IF($P969="","",IF(Shares!$E972="",0,Shares!$E972))</f>
        <v/>
      </c>
      <c r="Z969">
        <f>IF($P969="","",Shares!$H972)</f>
        <v/>
      </c>
      <c r="AE969">
        <f>IF(OR(Sync!$S969="",Sync!$P969=""),"",Sync!$S969)</f>
        <v/>
      </c>
      <c r="AF969">
        <f>IF($AE969="","",IF(ISNUMBER(Sync!$P969),IF(AND(Sync!$P969&gt;=10000101,Sync!$P969&lt;=99991231),INT(Sync!$P969/10000),""),IFERROR(VALUE(TRIM(LEFT(Sync!$P969,FIND("/",Sync!$P969)-1))),"")))</f>
        <v/>
      </c>
      <c r="AG969">
        <f>IF(OR($AE969="",$AF969=""),"",IF(ISNUMBER(Sync!$P969),INT(MOD(Sync!$P969,10000)/100),IFERROR(VALUE(TRIM(LEFT(MID(Sync!$P969,FIND("/",Sync!$P969)+1,20),FIND("/",MID(Sync!$P969,FIND("/",Sync!$P969)+1,20))-1))),"")))</f>
        <v/>
      </c>
      <c r="AH969">
        <f>IF(OR($AE969="",$AF969=""),"",IF(ISNUMBER(Sync!$P969),MOD(Sync!$P969,100),IFERROR(VALUE(TRIM(MID(MID(Sync!$P969,FIND("/",Sync!$P969)+1,20),FIND("/",MID(Sync!$P969,FIND("/",Sync!$P969)+1,20))+1,20))),"")))</f>
        <v/>
      </c>
      <c r="AI969">
        <f>IF($AE969="","",IF(OR($AF969="",$AG969="",$AH969="",$AF969&lt;1300,$AF969&gt;1500,$AG969&lt;1,$AG969&gt;12,$AH969&lt;1,$AH969&gt;31),"نامعتبر",RIGHT("0000"&amp;$AF969,4)&amp;"/"&amp;RIGHT("00"&amp;$AG969,2)&amp;"/"&amp;RIGHT("00"&amp;$AH969,2)))</f>
        <v/>
      </c>
      <c r="AJ969">
        <f>IF($AE969="","",IF(Sync!$Q969="","0000",IF(AND(ISNUMBER(Sync!$Q969),Sync!$Q969&gt;=0,Sync!$Q969&lt;1),RIGHT("00"&amp;HOUR(Sync!$Q969),2)&amp;RIGHT("00"&amp;MINUTE(Sync!$Q969),2),IFERROR(RIGHT("00"&amp;VALUE(LEFT(Sync!$Q969,FIND(":",Sync!$Q969)-1)),2)&amp;RIGHT("00"&amp;VALUE(MID(Sync!$Q969,FIND(":",Sync!$Q969)+1,2)),2),"0000"))))</f>
        <v/>
      </c>
      <c r="AK969">
        <f>IF(OR($AE969="",$AI969="",$AI969="نامعتبر"),"",LEFT($AI969,4)&amp;MID($AI969,6,2)&amp;RIGHT($AI969,2)&amp;$AJ969&amp;"|"&amp;"3"&amp;RIGHT("00000"&amp;964,5))</f>
        <v/>
      </c>
      <c r="AL969">
        <f>IF($AK969="","",COUNTIFS(LdAParty,$AE969,LdAType,1,LdAKey,"&lt;"&amp;$AK969)+COUNTIFS(LdBMember,$AE969,LdBKey,"&lt;"&amp;$AK969)+COUNTIFS(LdCParty,$AE969,LdCKey,"&lt;"&amp;$AK969)+1)</f>
        <v/>
      </c>
      <c r="AM969">
        <f>IF($AL969="","",$AE969&amp;"|"&amp;RIGHT("000000"&amp;$AL969,6))</f>
        <v/>
      </c>
      <c r="AN969">
        <f>IF($AE969="","",IF(Sync!$W969="",0,Sync!$W969))</f>
        <v/>
      </c>
      <c r="AO969">
        <f>IF($AE969="","",IF(Sync!$X969="",0,Sync!$X969))</f>
        <v/>
      </c>
      <c r="AP969">
        <f>IF($AE969="","",Sync!$R969)</f>
        <v/>
      </c>
      <c r="AQ969">
        <f>IF($AE969="","",Sync!$Y969)</f>
        <v/>
      </c>
    </row>
    <row r="970">
      <c r="A970">
        <f>IF(OR(Wages!$B973="",Wages!$E973=""),"",Wages!$E973)</f>
        <v/>
      </c>
      <c r="B970">
        <f>IF($A970="","",IF(Wages!$C973="دستمزد گروهی",2,1))</f>
        <v/>
      </c>
      <c r="C970">
        <f>IF($A970="","",IF(ISNUMBER(Wages!$B973),IF(AND(Wages!$B973&gt;=10000101,Wages!$B973&lt;=99991231),INT(Wages!$B973/10000),""),IFERROR(VALUE(TRIM(LEFT(Wages!$B973,FIND("/",Wages!$B973)-1))),"")))</f>
        <v/>
      </c>
      <c r="D970">
        <f>IF(OR($A970="",$C970=""),"",IF(ISNUMBER(Wages!$B973),INT(MOD(Wages!$B973,10000)/100),IFERROR(VALUE(TRIM(LEFT(MID(Wages!$B973,FIND("/",Wages!$B973)+1,20),FIND("/",MID(Wages!$B973,FIND("/",Wages!$B973)+1,20))-1))),"")))</f>
        <v/>
      </c>
      <c r="E970">
        <f>IF(OR($A970="",$C970=""),"",IF(ISNUMBER(Wages!$B973),MOD(Wages!$B973,100),IFERROR(VALUE(TRIM(MID(MID(Wages!$B973,FIND("/",Wages!$B973)+1,20),FIND("/",MID(Wages!$B973,FIND("/",Wages!$B973)+1,20))+1,20))),"")))</f>
        <v/>
      </c>
      <c r="F970">
        <f>IF($A970="","",IF(OR($C970="",$D970="",$E970="",$C970&lt;1300,$C970&gt;1500,$D970&lt;1,$D970&gt;12,$E970&lt;1,$E970&gt;31),"نامعتبر",RIGHT("0000"&amp;$C970,4)&amp;"/"&amp;RIGHT("00"&amp;$D970,2)&amp;"/"&amp;RIGHT("00"&amp;$E970,2)))</f>
        <v/>
      </c>
      <c r="G970">
        <f>IF(OR($A970="",$F970="",$F970="نامعتبر"),"",LEFT($F970,4)&amp;MID($F970,6,2)&amp;RIGHT($F970,2)&amp;"0000"&amp;"|"&amp;"1"&amp;RIGHT("00000"&amp;965,5))</f>
        <v/>
      </c>
      <c r="H970">
        <f>IF(OR($B970&lt;&gt;1,$G970=""),"",COUNTIFS(LdAParty,$A970,LdAType,1,LdAKey,"&lt;"&amp;$G970)+COUNTIFS(LdBMember,$A970,LdBKey,"&lt;"&amp;$G970)+COUNTIFS(LdCParty,$A970,LdCKey,"&lt;"&amp;$G970)+1)</f>
        <v/>
      </c>
      <c r="I970">
        <f>IF($H970="","",$A970&amp;"|"&amp;RIGHT("000000"&amp;$H970,6))</f>
        <v/>
      </c>
      <c r="J970">
        <f>IF(OR($B970&lt;&gt;2,$G970=""),"",COUNTIFS(LdAParty,$A970,LdAType,2,LdAKey,"&lt;"&amp;$G970)+1)</f>
        <v/>
      </c>
      <c r="K970">
        <f>IF($J970="","",$A970&amp;"|"&amp;RIGHT("000000"&amp;$J970,6))</f>
        <v/>
      </c>
      <c r="L970">
        <f>IF($A970="","",IF(Wages!$G973="",0,Wages!$G973))</f>
        <v/>
      </c>
      <c r="M970">
        <f>IF($A970="","",Wages!$J973)</f>
        <v/>
      </c>
      <c r="N970">
        <f>IF($A970="","",Wages!$D973)</f>
        <v/>
      </c>
      <c r="P970">
        <f>IF(OR(Shares!$B973="",Shares!$C973=""),"",Shares!$C973)</f>
        <v/>
      </c>
      <c r="Q970">
        <f>IF($P970="","",Shares!$B973)</f>
        <v/>
      </c>
      <c r="R970">
        <f>IF($P970="","",IFERROR(INDEX(WageParty,MATCH($Q970,WageIds,0)),""))</f>
        <v/>
      </c>
      <c r="S970">
        <f>IF($P970="","",IFERROR(INDEX($F$6:$F$2005,MATCH($Q970,WageIds,0)),""))</f>
        <v/>
      </c>
      <c r="T970">
        <f>IF(OR($P970="",$S970="",$S970="نامعتبر"),"",LEFT($S970,4)&amp;MID($S970,6,2)&amp;RIGHT($S970,2)&amp;"0000"&amp;"|"&amp;"2"&amp;RIGHT("00000"&amp;965,5))</f>
        <v/>
      </c>
      <c r="U970">
        <f>IF($T970="","",COUNTIFS(LdAParty,$P970,LdAType,1,LdAKey,"&lt;"&amp;$T970)+COUNTIFS(LdBMember,$P970,LdBKey,"&lt;"&amp;$T970)+COUNTIFS(LdCParty,$P970,LdCKey,"&lt;"&amp;$T970)+1)</f>
        <v/>
      </c>
      <c r="V970">
        <f>IF($U970="","",$P970&amp;"|"&amp;RIGHT("000000"&amp;$U970,6))</f>
        <v/>
      </c>
      <c r="W970">
        <f>IF($T970="","",COUNTIFS(LdBGroup,$R970,LdBKey,"&lt;"&amp;$T970)+1)</f>
        <v/>
      </c>
      <c r="X970">
        <f>IF($W970="","",$R970&amp;"|"&amp;RIGHT("000000"&amp;$W970,6))</f>
        <v/>
      </c>
      <c r="Y970">
        <f>IF($P970="","",IF(Shares!$E973="",0,Shares!$E973))</f>
        <v/>
      </c>
      <c r="Z970">
        <f>IF($P970="","",Shares!$H973)</f>
        <v/>
      </c>
      <c r="AE970">
        <f>IF(OR(Sync!$S970="",Sync!$P970=""),"",Sync!$S970)</f>
        <v/>
      </c>
      <c r="AF970">
        <f>IF($AE970="","",IF(ISNUMBER(Sync!$P970),IF(AND(Sync!$P970&gt;=10000101,Sync!$P970&lt;=99991231),INT(Sync!$P970/10000),""),IFERROR(VALUE(TRIM(LEFT(Sync!$P970,FIND("/",Sync!$P970)-1))),"")))</f>
        <v/>
      </c>
      <c r="AG970">
        <f>IF(OR($AE970="",$AF970=""),"",IF(ISNUMBER(Sync!$P970),INT(MOD(Sync!$P970,10000)/100),IFERROR(VALUE(TRIM(LEFT(MID(Sync!$P970,FIND("/",Sync!$P970)+1,20),FIND("/",MID(Sync!$P970,FIND("/",Sync!$P970)+1,20))-1))),"")))</f>
        <v/>
      </c>
      <c r="AH970">
        <f>IF(OR($AE970="",$AF970=""),"",IF(ISNUMBER(Sync!$P970),MOD(Sync!$P970,100),IFERROR(VALUE(TRIM(MID(MID(Sync!$P970,FIND("/",Sync!$P970)+1,20),FIND("/",MID(Sync!$P970,FIND("/",Sync!$P970)+1,20))+1,20))),"")))</f>
        <v/>
      </c>
      <c r="AI970">
        <f>IF($AE970="","",IF(OR($AF970="",$AG970="",$AH970="",$AF970&lt;1300,$AF970&gt;1500,$AG970&lt;1,$AG970&gt;12,$AH970&lt;1,$AH970&gt;31),"نامعتبر",RIGHT("0000"&amp;$AF970,4)&amp;"/"&amp;RIGHT("00"&amp;$AG970,2)&amp;"/"&amp;RIGHT("00"&amp;$AH970,2)))</f>
        <v/>
      </c>
      <c r="AJ970">
        <f>IF($AE970="","",IF(Sync!$Q970="","0000",IF(AND(ISNUMBER(Sync!$Q970),Sync!$Q970&gt;=0,Sync!$Q970&lt;1),RIGHT("00"&amp;HOUR(Sync!$Q970),2)&amp;RIGHT("00"&amp;MINUTE(Sync!$Q970),2),IFERROR(RIGHT("00"&amp;VALUE(LEFT(Sync!$Q970,FIND(":",Sync!$Q970)-1)),2)&amp;RIGHT("00"&amp;VALUE(MID(Sync!$Q970,FIND(":",Sync!$Q970)+1,2)),2),"0000"))))</f>
        <v/>
      </c>
      <c r="AK970">
        <f>IF(OR($AE970="",$AI970="",$AI970="نامعتبر"),"",LEFT($AI970,4)&amp;MID($AI970,6,2)&amp;RIGHT($AI970,2)&amp;$AJ970&amp;"|"&amp;"3"&amp;RIGHT("00000"&amp;965,5))</f>
        <v/>
      </c>
      <c r="AL970">
        <f>IF($AK970="","",COUNTIFS(LdAParty,$AE970,LdAType,1,LdAKey,"&lt;"&amp;$AK970)+COUNTIFS(LdBMember,$AE970,LdBKey,"&lt;"&amp;$AK970)+COUNTIFS(LdCParty,$AE970,LdCKey,"&lt;"&amp;$AK970)+1)</f>
        <v/>
      </c>
      <c r="AM970">
        <f>IF($AL970="","",$AE970&amp;"|"&amp;RIGHT("000000"&amp;$AL970,6))</f>
        <v/>
      </c>
      <c r="AN970">
        <f>IF($AE970="","",IF(Sync!$W970="",0,Sync!$W970))</f>
        <v/>
      </c>
      <c r="AO970">
        <f>IF($AE970="","",IF(Sync!$X970="",0,Sync!$X970))</f>
        <v/>
      </c>
      <c r="AP970">
        <f>IF($AE970="","",Sync!$R970)</f>
        <v/>
      </c>
      <c r="AQ970">
        <f>IF($AE970="","",Sync!$Y970)</f>
        <v/>
      </c>
    </row>
    <row r="971">
      <c r="A971">
        <f>IF(OR(Wages!$B974="",Wages!$E974=""),"",Wages!$E974)</f>
        <v/>
      </c>
      <c r="B971">
        <f>IF($A971="","",IF(Wages!$C974="دستمزد گروهی",2,1))</f>
        <v/>
      </c>
      <c r="C971">
        <f>IF($A971="","",IF(ISNUMBER(Wages!$B974),IF(AND(Wages!$B974&gt;=10000101,Wages!$B974&lt;=99991231),INT(Wages!$B974/10000),""),IFERROR(VALUE(TRIM(LEFT(Wages!$B974,FIND("/",Wages!$B974)-1))),"")))</f>
        <v/>
      </c>
      <c r="D971">
        <f>IF(OR($A971="",$C971=""),"",IF(ISNUMBER(Wages!$B974),INT(MOD(Wages!$B974,10000)/100),IFERROR(VALUE(TRIM(LEFT(MID(Wages!$B974,FIND("/",Wages!$B974)+1,20),FIND("/",MID(Wages!$B974,FIND("/",Wages!$B974)+1,20))-1))),"")))</f>
        <v/>
      </c>
      <c r="E971">
        <f>IF(OR($A971="",$C971=""),"",IF(ISNUMBER(Wages!$B974),MOD(Wages!$B974,100),IFERROR(VALUE(TRIM(MID(MID(Wages!$B974,FIND("/",Wages!$B974)+1,20),FIND("/",MID(Wages!$B974,FIND("/",Wages!$B974)+1,20))+1,20))),"")))</f>
        <v/>
      </c>
      <c r="F971">
        <f>IF($A971="","",IF(OR($C971="",$D971="",$E971="",$C971&lt;1300,$C971&gt;1500,$D971&lt;1,$D971&gt;12,$E971&lt;1,$E971&gt;31),"نامعتبر",RIGHT("0000"&amp;$C971,4)&amp;"/"&amp;RIGHT("00"&amp;$D971,2)&amp;"/"&amp;RIGHT("00"&amp;$E971,2)))</f>
        <v/>
      </c>
      <c r="G971">
        <f>IF(OR($A971="",$F971="",$F971="نامعتبر"),"",LEFT($F971,4)&amp;MID($F971,6,2)&amp;RIGHT($F971,2)&amp;"0000"&amp;"|"&amp;"1"&amp;RIGHT("00000"&amp;966,5))</f>
        <v/>
      </c>
      <c r="H971">
        <f>IF(OR($B971&lt;&gt;1,$G971=""),"",COUNTIFS(LdAParty,$A971,LdAType,1,LdAKey,"&lt;"&amp;$G971)+COUNTIFS(LdBMember,$A971,LdBKey,"&lt;"&amp;$G971)+COUNTIFS(LdCParty,$A971,LdCKey,"&lt;"&amp;$G971)+1)</f>
        <v/>
      </c>
      <c r="I971">
        <f>IF($H971="","",$A971&amp;"|"&amp;RIGHT("000000"&amp;$H971,6))</f>
        <v/>
      </c>
      <c r="J971">
        <f>IF(OR($B971&lt;&gt;2,$G971=""),"",COUNTIFS(LdAParty,$A971,LdAType,2,LdAKey,"&lt;"&amp;$G971)+1)</f>
        <v/>
      </c>
      <c r="K971">
        <f>IF($J971="","",$A971&amp;"|"&amp;RIGHT("000000"&amp;$J971,6))</f>
        <v/>
      </c>
      <c r="L971">
        <f>IF($A971="","",IF(Wages!$G974="",0,Wages!$G974))</f>
        <v/>
      </c>
      <c r="M971">
        <f>IF($A971="","",Wages!$J974)</f>
        <v/>
      </c>
      <c r="N971">
        <f>IF($A971="","",Wages!$D974)</f>
        <v/>
      </c>
      <c r="P971">
        <f>IF(OR(Shares!$B974="",Shares!$C974=""),"",Shares!$C974)</f>
        <v/>
      </c>
      <c r="Q971">
        <f>IF($P971="","",Shares!$B974)</f>
        <v/>
      </c>
      <c r="R971">
        <f>IF($P971="","",IFERROR(INDEX(WageParty,MATCH($Q971,WageIds,0)),""))</f>
        <v/>
      </c>
      <c r="S971">
        <f>IF($P971="","",IFERROR(INDEX($F$6:$F$2005,MATCH($Q971,WageIds,0)),""))</f>
        <v/>
      </c>
      <c r="T971">
        <f>IF(OR($P971="",$S971="",$S971="نامعتبر"),"",LEFT($S971,4)&amp;MID($S971,6,2)&amp;RIGHT($S971,2)&amp;"0000"&amp;"|"&amp;"2"&amp;RIGHT("00000"&amp;966,5))</f>
        <v/>
      </c>
      <c r="U971">
        <f>IF($T971="","",COUNTIFS(LdAParty,$P971,LdAType,1,LdAKey,"&lt;"&amp;$T971)+COUNTIFS(LdBMember,$P971,LdBKey,"&lt;"&amp;$T971)+COUNTIFS(LdCParty,$P971,LdCKey,"&lt;"&amp;$T971)+1)</f>
        <v/>
      </c>
      <c r="V971">
        <f>IF($U971="","",$P971&amp;"|"&amp;RIGHT("000000"&amp;$U971,6))</f>
        <v/>
      </c>
      <c r="W971">
        <f>IF($T971="","",COUNTIFS(LdBGroup,$R971,LdBKey,"&lt;"&amp;$T971)+1)</f>
        <v/>
      </c>
      <c r="X971">
        <f>IF($W971="","",$R971&amp;"|"&amp;RIGHT("000000"&amp;$W971,6))</f>
        <v/>
      </c>
      <c r="Y971">
        <f>IF($P971="","",IF(Shares!$E974="",0,Shares!$E974))</f>
        <v/>
      </c>
      <c r="Z971">
        <f>IF($P971="","",Shares!$H974)</f>
        <v/>
      </c>
      <c r="AE971">
        <f>IF(OR(Sync!$S971="",Sync!$P971=""),"",Sync!$S971)</f>
        <v/>
      </c>
      <c r="AF971">
        <f>IF($AE971="","",IF(ISNUMBER(Sync!$P971),IF(AND(Sync!$P971&gt;=10000101,Sync!$P971&lt;=99991231),INT(Sync!$P971/10000),""),IFERROR(VALUE(TRIM(LEFT(Sync!$P971,FIND("/",Sync!$P971)-1))),"")))</f>
        <v/>
      </c>
      <c r="AG971">
        <f>IF(OR($AE971="",$AF971=""),"",IF(ISNUMBER(Sync!$P971),INT(MOD(Sync!$P971,10000)/100),IFERROR(VALUE(TRIM(LEFT(MID(Sync!$P971,FIND("/",Sync!$P971)+1,20),FIND("/",MID(Sync!$P971,FIND("/",Sync!$P971)+1,20))-1))),"")))</f>
        <v/>
      </c>
      <c r="AH971">
        <f>IF(OR($AE971="",$AF971=""),"",IF(ISNUMBER(Sync!$P971),MOD(Sync!$P971,100),IFERROR(VALUE(TRIM(MID(MID(Sync!$P971,FIND("/",Sync!$P971)+1,20),FIND("/",MID(Sync!$P971,FIND("/",Sync!$P971)+1,20))+1,20))),"")))</f>
        <v/>
      </c>
      <c r="AI971">
        <f>IF($AE971="","",IF(OR($AF971="",$AG971="",$AH971="",$AF971&lt;1300,$AF971&gt;1500,$AG971&lt;1,$AG971&gt;12,$AH971&lt;1,$AH971&gt;31),"نامعتبر",RIGHT("0000"&amp;$AF971,4)&amp;"/"&amp;RIGHT("00"&amp;$AG971,2)&amp;"/"&amp;RIGHT("00"&amp;$AH971,2)))</f>
        <v/>
      </c>
      <c r="AJ971">
        <f>IF($AE971="","",IF(Sync!$Q971="","0000",IF(AND(ISNUMBER(Sync!$Q971),Sync!$Q971&gt;=0,Sync!$Q971&lt;1),RIGHT("00"&amp;HOUR(Sync!$Q971),2)&amp;RIGHT("00"&amp;MINUTE(Sync!$Q971),2),IFERROR(RIGHT("00"&amp;VALUE(LEFT(Sync!$Q971,FIND(":",Sync!$Q971)-1)),2)&amp;RIGHT("00"&amp;VALUE(MID(Sync!$Q971,FIND(":",Sync!$Q971)+1,2)),2),"0000"))))</f>
        <v/>
      </c>
      <c r="AK971">
        <f>IF(OR($AE971="",$AI971="",$AI971="نامعتبر"),"",LEFT($AI971,4)&amp;MID($AI971,6,2)&amp;RIGHT($AI971,2)&amp;$AJ971&amp;"|"&amp;"3"&amp;RIGHT("00000"&amp;966,5))</f>
        <v/>
      </c>
      <c r="AL971">
        <f>IF($AK971="","",COUNTIFS(LdAParty,$AE971,LdAType,1,LdAKey,"&lt;"&amp;$AK971)+COUNTIFS(LdBMember,$AE971,LdBKey,"&lt;"&amp;$AK971)+COUNTIFS(LdCParty,$AE971,LdCKey,"&lt;"&amp;$AK971)+1)</f>
        <v/>
      </c>
      <c r="AM971">
        <f>IF($AL971="","",$AE971&amp;"|"&amp;RIGHT("000000"&amp;$AL971,6))</f>
        <v/>
      </c>
      <c r="AN971">
        <f>IF($AE971="","",IF(Sync!$W971="",0,Sync!$W971))</f>
        <v/>
      </c>
      <c r="AO971">
        <f>IF($AE971="","",IF(Sync!$X971="",0,Sync!$X971))</f>
        <v/>
      </c>
      <c r="AP971">
        <f>IF($AE971="","",Sync!$R971)</f>
        <v/>
      </c>
      <c r="AQ971">
        <f>IF($AE971="","",Sync!$Y971)</f>
        <v/>
      </c>
    </row>
    <row r="972">
      <c r="A972">
        <f>IF(OR(Wages!$B975="",Wages!$E975=""),"",Wages!$E975)</f>
        <v/>
      </c>
      <c r="B972">
        <f>IF($A972="","",IF(Wages!$C975="دستمزد گروهی",2,1))</f>
        <v/>
      </c>
      <c r="C972">
        <f>IF($A972="","",IF(ISNUMBER(Wages!$B975),IF(AND(Wages!$B975&gt;=10000101,Wages!$B975&lt;=99991231),INT(Wages!$B975/10000),""),IFERROR(VALUE(TRIM(LEFT(Wages!$B975,FIND("/",Wages!$B975)-1))),"")))</f>
        <v/>
      </c>
      <c r="D972">
        <f>IF(OR($A972="",$C972=""),"",IF(ISNUMBER(Wages!$B975),INT(MOD(Wages!$B975,10000)/100),IFERROR(VALUE(TRIM(LEFT(MID(Wages!$B975,FIND("/",Wages!$B975)+1,20),FIND("/",MID(Wages!$B975,FIND("/",Wages!$B975)+1,20))-1))),"")))</f>
        <v/>
      </c>
      <c r="E972">
        <f>IF(OR($A972="",$C972=""),"",IF(ISNUMBER(Wages!$B975),MOD(Wages!$B975,100),IFERROR(VALUE(TRIM(MID(MID(Wages!$B975,FIND("/",Wages!$B975)+1,20),FIND("/",MID(Wages!$B975,FIND("/",Wages!$B975)+1,20))+1,20))),"")))</f>
        <v/>
      </c>
      <c r="F972">
        <f>IF($A972="","",IF(OR($C972="",$D972="",$E972="",$C972&lt;1300,$C972&gt;1500,$D972&lt;1,$D972&gt;12,$E972&lt;1,$E972&gt;31),"نامعتبر",RIGHT("0000"&amp;$C972,4)&amp;"/"&amp;RIGHT("00"&amp;$D972,2)&amp;"/"&amp;RIGHT("00"&amp;$E972,2)))</f>
        <v/>
      </c>
      <c r="G972">
        <f>IF(OR($A972="",$F972="",$F972="نامعتبر"),"",LEFT($F972,4)&amp;MID($F972,6,2)&amp;RIGHT($F972,2)&amp;"0000"&amp;"|"&amp;"1"&amp;RIGHT("00000"&amp;967,5))</f>
        <v/>
      </c>
      <c r="H972">
        <f>IF(OR($B972&lt;&gt;1,$G972=""),"",COUNTIFS(LdAParty,$A972,LdAType,1,LdAKey,"&lt;"&amp;$G972)+COUNTIFS(LdBMember,$A972,LdBKey,"&lt;"&amp;$G972)+COUNTIFS(LdCParty,$A972,LdCKey,"&lt;"&amp;$G972)+1)</f>
        <v/>
      </c>
      <c r="I972">
        <f>IF($H972="","",$A972&amp;"|"&amp;RIGHT("000000"&amp;$H972,6))</f>
        <v/>
      </c>
      <c r="J972">
        <f>IF(OR($B972&lt;&gt;2,$G972=""),"",COUNTIFS(LdAParty,$A972,LdAType,2,LdAKey,"&lt;"&amp;$G972)+1)</f>
        <v/>
      </c>
      <c r="K972">
        <f>IF($J972="","",$A972&amp;"|"&amp;RIGHT("000000"&amp;$J972,6))</f>
        <v/>
      </c>
      <c r="L972">
        <f>IF($A972="","",IF(Wages!$G975="",0,Wages!$G975))</f>
        <v/>
      </c>
      <c r="M972">
        <f>IF($A972="","",Wages!$J975)</f>
        <v/>
      </c>
      <c r="N972">
        <f>IF($A972="","",Wages!$D975)</f>
        <v/>
      </c>
      <c r="P972">
        <f>IF(OR(Shares!$B975="",Shares!$C975=""),"",Shares!$C975)</f>
        <v/>
      </c>
      <c r="Q972">
        <f>IF($P972="","",Shares!$B975)</f>
        <v/>
      </c>
      <c r="R972">
        <f>IF($P972="","",IFERROR(INDEX(WageParty,MATCH($Q972,WageIds,0)),""))</f>
        <v/>
      </c>
      <c r="S972">
        <f>IF($P972="","",IFERROR(INDEX($F$6:$F$2005,MATCH($Q972,WageIds,0)),""))</f>
        <v/>
      </c>
      <c r="T972">
        <f>IF(OR($P972="",$S972="",$S972="نامعتبر"),"",LEFT($S972,4)&amp;MID($S972,6,2)&amp;RIGHT($S972,2)&amp;"0000"&amp;"|"&amp;"2"&amp;RIGHT("00000"&amp;967,5))</f>
        <v/>
      </c>
      <c r="U972">
        <f>IF($T972="","",COUNTIFS(LdAParty,$P972,LdAType,1,LdAKey,"&lt;"&amp;$T972)+COUNTIFS(LdBMember,$P972,LdBKey,"&lt;"&amp;$T972)+COUNTIFS(LdCParty,$P972,LdCKey,"&lt;"&amp;$T972)+1)</f>
        <v/>
      </c>
      <c r="V972">
        <f>IF($U972="","",$P972&amp;"|"&amp;RIGHT("000000"&amp;$U972,6))</f>
        <v/>
      </c>
      <c r="W972">
        <f>IF($T972="","",COUNTIFS(LdBGroup,$R972,LdBKey,"&lt;"&amp;$T972)+1)</f>
        <v/>
      </c>
      <c r="X972">
        <f>IF($W972="","",$R972&amp;"|"&amp;RIGHT("000000"&amp;$W972,6))</f>
        <v/>
      </c>
      <c r="Y972">
        <f>IF($P972="","",IF(Shares!$E975="",0,Shares!$E975))</f>
        <v/>
      </c>
      <c r="Z972">
        <f>IF($P972="","",Shares!$H975)</f>
        <v/>
      </c>
      <c r="AE972">
        <f>IF(OR(Sync!$S972="",Sync!$P972=""),"",Sync!$S972)</f>
        <v/>
      </c>
      <c r="AF972">
        <f>IF($AE972="","",IF(ISNUMBER(Sync!$P972),IF(AND(Sync!$P972&gt;=10000101,Sync!$P972&lt;=99991231),INT(Sync!$P972/10000),""),IFERROR(VALUE(TRIM(LEFT(Sync!$P972,FIND("/",Sync!$P972)-1))),"")))</f>
        <v/>
      </c>
      <c r="AG972">
        <f>IF(OR($AE972="",$AF972=""),"",IF(ISNUMBER(Sync!$P972),INT(MOD(Sync!$P972,10000)/100),IFERROR(VALUE(TRIM(LEFT(MID(Sync!$P972,FIND("/",Sync!$P972)+1,20),FIND("/",MID(Sync!$P972,FIND("/",Sync!$P972)+1,20))-1))),"")))</f>
        <v/>
      </c>
      <c r="AH972">
        <f>IF(OR($AE972="",$AF972=""),"",IF(ISNUMBER(Sync!$P972),MOD(Sync!$P972,100),IFERROR(VALUE(TRIM(MID(MID(Sync!$P972,FIND("/",Sync!$P972)+1,20),FIND("/",MID(Sync!$P972,FIND("/",Sync!$P972)+1,20))+1,20))),"")))</f>
        <v/>
      </c>
      <c r="AI972">
        <f>IF($AE972="","",IF(OR($AF972="",$AG972="",$AH972="",$AF972&lt;1300,$AF972&gt;1500,$AG972&lt;1,$AG972&gt;12,$AH972&lt;1,$AH972&gt;31),"نامعتبر",RIGHT("0000"&amp;$AF972,4)&amp;"/"&amp;RIGHT("00"&amp;$AG972,2)&amp;"/"&amp;RIGHT("00"&amp;$AH972,2)))</f>
        <v/>
      </c>
      <c r="AJ972">
        <f>IF($AE972="","",IF(Sync!$Q972="","0000",IF(AND(ISNUMBER(Sync!$Q972),Sync!$Q972&gt;=0,Sync!$Q972&lt;1),RIGHT("00"&amp;HOUR(Sync!$Q972),2)&amp;RIGHT("00"&amp;MINUTE(Sync!$Q972),2),IFERROR(RIGHT("00"&amp;VALUE(LEFT(Sync!$Q972,FIND(":",Sync!$Q972)-1)),2)&amp;RIGHT("00"&amp;VALUE(MID(Sync!$Q972,FIND(":",Sync!$Q972)+1,2)),2),"0000"))))</f>
        <v/>
      </c>
      <c r="AK972">
        <f>IF(OR($AE972="",$AI972="",$AI972="نامعتبر"),"",LEFT($AI972,4)&amp;MID($AI972,6,2)&amp;RIGHT($AI972,2)&amp;$AJ972&amp;"|"&amp;"3"&amp;RIGHT("00000"&amp;967,5))</f>
        <v/>
      </c>
      <c r="AL972">
        <f>IF($AK972="","",COUNTIFS(LdAParty,$AE972,LdAType,1,LdAKey,"&lt;"&amp;$AK972)+COUNTIFS(LdBMember,$AE972,LdBKey,"&lt;"&amp;$AK972)+COUNTIFS(LdCParty,$AE972,LdCKey,"&lt;"&amp;$AK972)+1)</f>
        <v/>
      </c>
      <c r="AM972">
        <f>IF($AL972="","",$AE972&amp;"|"&amp;RIGHT("000000"&amp;$AL972,6))</f>
        <v/>
      </c>
      <c r="AN972">
        <f>IF($AE972="","",IF(Sync!$W972="",0,Sync!$W972))</f>
        <v/>
      </c>
      <c r="AO972">
        <f>IF($AE972="","",IF(Sync!$X972="",0,Sync!$X972))</f>
        <v/>
      </c>
      <c r="AP972">
        <f>IF($AE972="","",Sync!$R972)</f>
        <v/>
      </c>
      <c r="AQ972">
        <f>IF($AE972="","",Sync!$Y972)</f>
        <v/>
      </c>
    </row>
    <row r="973">
      <c r="A973">
        <f>IF(OR(Wages!$B976="",Wages!$E976=""),"",Wages!$E976)</f>
        <v/>
      </c>
      <c r="B973">
        <f>IF($A973="","",IF(Wages!$C976="دستمزد گروهی",2,1))</f>
        <v/>
      </c>
      <c r="C973">
        <f>IF($A973="","",IF(ISNUMBER(Wages!$B976),IF(AND(Wages!$B976&gt;=10000101,Wages!$B976&lt;=99991231),INT(Wages!$B976/10000),""),IFERROR(VALUE(TRIM(LEFT(Wages!$B976,FIND("/",Wages!$B976)-1))),"")))</f>
        <v/>
      </c>
      <c r="D973">
        <f>IF(OR($A973="",$C973=""),"",IF(ISNUMBER(Wages!$B976),INT(MOD(Wages!$B976,10000)/100),IFERROR(VALUE(TRIM(LEFT(MID(Wages!$B976,FIND("/",Wages!$B976)+1,20),FIND("/",MID(Wages!$B976,FIND("/",Wages!$B976)+1,20))-1))),"")))</f>
        <v/>
      </c>
      <c r="E973">
        <f>IF(OR($A973="",$C973=""),"",IF(ISNUMBER(Wages!$B976),MOD(Wages!$B976,100),IFERROR(VALUE(TRIM(MID(MID(Wages!$B976,FIND("/",Wages!$B976)+1,20),FIND("/",MID(Wages!$B976,FIND("/",Wages!$B976)+1,20))+1,20))),"")))</f>
        <v/>
      </c>
      <c r="F973">
        <f>IF($A973="","",IF(OR($C973="",$D973="",$E973="",$C973&lt;1300,$C973&gt;1500,$D973&lt;1,$D973&gt;12,$E973&lt;1,$E973&gt;31),"نامعتبر",RIGHT("0000"&amp;$C973,4)&amp;"/"&amp;RIGHT("00"&amp;$D973,2)&amp;"/"&amp;RIGHT("00"&amp;$E973,2)))</f>
        <v/>
      </c>
      <c r="G973">
        <f>IF(OR($A973="",$F973="",$F973="نامعتبر"),"",LEFT($F973,4)&amp;MID($F973,6,2)&amp;RIGHT($F973,2)&amp;"0000"&amp;"|"&amp;"1"&amp;RIGHT("00000"&amp;968,5))</f>
        <v/>
      </c>
      <c r="H973">
        <f>IF(OR($B973&lt;&gt;1,$G973=""),"",COUNTIFS(LdAParty,$A973,LdAType,1,LdAKey,"&lt;"&amp;$G973)+COUNTIFS(LdBMember,$A973,LdBKey,"&lt;"&amp;$G973)+COUNTIFS(LdCParty,$A973,LdCKey,"&lt;"&amp;$G973)+1)</f>
        <v/>
      </c>
      <c r="I973">
        <f>IF($H973="","",$A973&amp;"|"&amp;RIGHT("000000"&amp;$H973,6))</f>
        <v/>
      </c>
      <c r="J973">
        <f>IF(OR($B973&lt;&gt;2,$G973=""),"",COUNTIFS(LdAParty,$A973,LdAType,2,LdAKey,"&lt;"&amp;$G973)+1)</f>
        <v/>
      </c>
      <c r="K973">
        <f>IF($J973="","",$A973&amp;"|"&amp;RIGHT("000000"&amp;$J973,6))</f>
        <v/>
      </c>
      <c r="L973">
        <f>IF($A973="","",IF(Wages!$G976="",0,Wages!$G976))</f>
        <v/>
      </c>
      <c r="M973">
        <f>IF($A973="","",Wages!$J976)</f>
        <v/>
      </c>
      <c r="N973">
        <f>IF($A973="","",Wages!$D976)</f>
        <v/>
      </c>
      <c r="P973">
        <f>IF(OR(Shares!$B976="",Shares!$C976=""),"",Shares!$C976)</f>
        <v/>
      </c>
      <c r="Q973">
        <f>IF($P973="","",Shares!$B976)</f>
        <v/>
      </c>
      <c r="R973">
        <f>IF($P973="","",IFERROR(INDEX(WageParty,MATCH($Q973,WageIds,0)),""))</f>
        <v/>
      </c>
      <c r="S973">
        <f>IF($P973="","",IFERROR(INDEX($F$6:$F$2005,MATCH($Q973,WageIds,0)),""))</f>
        <v/>
      </c>
      <c r="T973">
        <f>IF(OR($P973="",$S973="",$S973="نامعتبر"),"",LEFT($S973,4)&amp;MID($S973,6,2)&amp;RIGHT($S973,2)&amp;"0000"&amp;"|"&amp;"2"&amp;RIGHT("00000"&amp;968,5))</f>
        <v/>
      </c>
      <c r="U973">
        <f>IF($T973="","",COUNTIFS(LdAParty,$P973,LdAType,1,LdAKey,"&lt;"&amp;$T973)+COUNTIFS(LdBMember,$P973,LdBKey,"&lt;"&amp;$T973)+COUNTIFS(LdCParty,$P973,LdCKey,"&lt;"&amp;$T973)+1)</f>
        <v/>
      </c>
      <c r="V973">
        <f>IF($U973="","",$P973&amp;"|"&amp;RIGHT("000000"&amp;$U973,6))</f>
        <v/>
      </c>
      <c r="W973">
        <f>IF($T973="","",COUNTIFS(LdBGroup,$R973,LdBKey,"&lt;"&amp;$T973)+1)</f>
        <v/>
      </c>
      <c r="X973">
        <f>IF($W973="","",$R973&amp;"|"&amp;RIGHT("000000"&amp;$W973,6))</f>
        <v/>
      </c>
      <c r="Y973">
        <f>IF($P973="","",IF(Shares!$E976="",0,Shares!$E976))</f>
        <v/>
      </c>
      <c r="Z973">
        <f>IF($P973="","",Shares!$H976)</f>
        <v/>
      </c>
      <c r="AE973">
        <f>IF(OR(Sync!$S973="",Sync!$P973=""),"",Sync!$S973)</f>
        <v/>
      </c>
      <c r="AF973">
        <f>IF($AE973="","",IF(ISNUMBER(Sync!$P973),IF(AND(Sync!$P973&gt;=10000101,Sync!$P973&lt;=99991231),INT(Sync!$P973/10000),""),IFERROR(VALUE(TRIM(LEFT(Sync!$P973,FIND("/",Sync!$P973)-1))),"")))</f>
        <v/>
      </c>
      <c r="AG973">
        <f>IF(OR($AE973="",$AF973=""),"",IF(ISNUMBER(Sync!$P973),INT(MOD(Sync!$P973,10000)/100),IFERROR(VALUE(TRIM(LEFT(MID(Sync!$P973,FIND("/",Sync!$P973)+1,20),FIND("/",MID(Sync!$P973,FIND("/",Sync!$P973)+1,20))-1))),"")))</f>
        <v/>
      </c>
      <c r="AH973">
        <f>IF(OR($AE973="",$AF973=""),"",IF(ISNUMBER(Sync!$P973),MOD(Sync!$P973,100),IFERROR(VALUE(TRIM(MID(MID(Sync!$P973,FIND("/",Sync!$P973)+1,20),FIND("/",MID(Sync!$P973,FIND("/",Sync!$P973)+1,20))+1,20))),"")))</f>
        <v/>
      </c>
      <c r="AI973">
        <f>IF($AE973="","",IF(OR($AF973="",$AG973="",$AH973="",$AF973&lt;1300,$AF973&gt;1500,$AG973&lt;1,$AG973&gt;12,$AH973&lt;1,$AH973&gt;31),"نامعتبر",RIGHT("0000"&amp;$AF973,4)&amp;"/"&amp;RIGHT("00"&amp;$AG973,2)&amp;"/"&amp;RIGHT("00"&amp;$AH973,2)))</f>
        <v/>
      </c>
      <c r="AJ973">
        <f>IF($AE973="","",IF(Sync!$Q973="","0000",IF(AND(ISNUMBER(Sync!$Q973),Sync!$Q973&gt;=0,Sync!$Q973&lt;1),RIGHT("00"&amp;HOUR(Sync!$Q973),2)&amp;RIGHT("00"&amp;MINUTE(Sync!$Q973),2),IFERROR(RIGHT("00"&amp;VALUE(LEFT(Sync!$Q973,FIND(":",Sync!$Q973)-1)),2)&amp;RIGHT("00"&amp;VALUE(MID(Sync!$Q973,FIND(":",Sync!$Q973)+1,2)),2),"0000"))))</f>
        <v/>
      </c>
      <c r="AK973">
        <f>IF(OR($AE973="",$AI973="",$AI973="نامعتبر"),"",LEFT($AI973,4)&amp;MID($AI973,6,2)&amp;RIGHT($AI973,2)&amp;$AJ973&amp;"|"&amp;"3"&amp;RIGHT("00000"&amp;968,5))</f>
        <v/>
      </c>
      <c r="AL973">
        <f>IF($AK973="","",COUNTIFS(LdAParty,$AE973,LdAType,1,LdAKey,"&lt;"&amp;$AK973)+COUNTIFS(LdBMember,$AE973,LdBKey,"&lt;"&amp;$AK973)+COUNTIFS(LdCParty,$AE973,LdCKey,"&lt;"&amp;$AK973)+1)</f>
        <v/>
      </c>
      <c r="AM973">
        <f>IF($AL973="","",$AE973&amp;"|"&amp;RIGHT("000000"&amp;$AL973,6))</f>
        <v/>
      </c>
      <c r="AN973">
        <f>IF($AE973="","",IF(Sync!$W973="",0,Sync!$W973))</f>
        <v/>
      </c>
      <c r="AO973">
        <f>IF($AE973="","",IF(Sync!$X973="",0,Sync!$X973))</f>
        <v/>
      </c>
      <c r="AP973">
        <f>IF($AE973="","",Sync!$R973)</f>
        <v/>
      </c>
      <c r="AQ973">
        <f>IF($AE973="","",Sync!$Y973)</f>
        <v/>
      </c>
    </row>
    <row r="974">
      <c r="A974">
        <f>IF(OR(Wages!$B977="",Wages!$E977=""),"",Wages!$E977)</f>
        <v/>
      </c>
      <c r="B974">
        <f>IF($A974="","",IF(Wages!$C977="دستمزد گروهی",2,1))</f>
        <v/>
      </c>
      <c r="C974">
        <f>IF($A974="","",IF(ISNUMBER(Wages!$B977),IF(AND(Wages!$B977&gt;=10000101,Wages!$B977&lt;=99991231),INT(Wages!$B977/10000),""),IFERROR(VALUE(TRIM(LEFT(Wages!$B977,FIND("/",Wages!$B977)-1))),"")))</f>
        <v/>
      </c>
      <c r="D974">
        <f>IF(OR($A974="",$C974=""),"",IF(ISNUMBER(Wages!$B977),INT(MOD(Wages!$B977,10000)/100),IFERROR(VALUE(TRIM(LEFT(MID(Wages!$B977,FIND("/",Wages!$B977)+1,20),FIND("/",MID(Wages!$B977,FIND("/",Wages!$B977)+1,20))-1))),"")))</f>
        <v/>
      </c>
      <c r="E974">
        <f>IF(OR($A974="",$C974=""),"",IF(ISNUMBER(Wages!$B977),MOD(Wages!$B977,100),IFERROR(VALUE(TRIM(MID(MID(Wages!$B977,FIND("/",Wages!$B977)+1,20),FIND("/",MID(Wages!$B977,FIND("/",Wages!$B977)+1,20))+1,20))),"")))</f>
        <v/>
      </c>
      <c r="F974">
        <f>IF($A974="","",IF(OR($C974="",$D974="",$E974="",$C974&lt;1300,$C974&gt;1500,$D974&lt;1,$D974&gt;12,$E974&lt;1,$E974&gt;31),"نامعتبر",RIGHT("0000"&amp;$C974,4)&amp;"/"&amp;RIGHT("00"&amp;$D974,2)&amp;"/"&amp;RIGHT("00"&amp;$E974,2)))</f>
        <v/>
      </c>
      <c r="G974">
        <f>IF(OR($A974="",$F974="",$F974="نامعتبر"),"",LEFT($F974,4)&amp;MID($F974,6,2)&amp;RIGHT($F974,2)&amp;"0000"&amp;"|"&amp;"1"&amp;RIGHT("00000"&amp;969,5))</f>
        <v/>
      </c>
      <c r="H974">
        <f>IF(OR($B974&lt;&gt;1,$G974=""),"",COUNTIFS(LdAParty,$A974,LdAType,1,LdAKey,"&lt;"&amp;$G974)+COUNTIFS(LdBMember,$A974,LdBKey,"&lt;"&amp;$G974)+COUNTIFS(LdCParty,$A974,LdCKey,"&lt;"&amp;$G974)+1)</f>
        <v/>
      </c>
      <c r="I974">
        <f>IF($H974="","",$A974&amp;"|"&amp;RIGHT("000000"&amp;$H974,6))</f>
        <v/>
      </c>
      <c r="J974">
        <f>IF(OR($B974&lt;&gt;2,$G974=""),"",COUNTIFS(LdAParty,$A974,LdAType,2,LdAKey,"&lt;"&amp;$G974)+1)</f>
        <v/>
      </c>
      <c r="K974">
        <f>IF($J974="","",$A974&amp;"|"&amp;RIGHT("000000"&amp;$J974,6))</f>
        <v/>
      </c>
      <c r="L974">
        <f>IF($A974="","",IF(Wages!$G977="",0,Wages!$G977))</f>
        <v/>
      </c>
      <c r="M974">
        <f>IF($A974="","",Wages!$J977)</f>
        <v/>
      </c>
      <c r="N974">
        <f>IF($A974="","",Wages!$D977)</f>
        <v/>
      </c>
      <c r="P974">
        <f>IF(OR(Shares!$B977="",Shares!$C977=""),"",Shares!$C977)</f>
        <v/>
      </c>
      <c r="Q974">
        <f>IF($P974="","",Shares!$B977)</f>
        <v/>
      </c>
      <c r="R974">
        <f>IF($P974="","",IFERROR(INDEX(WageParty,MATCH($Q974,WageIds,0)),""))</f>
        <v/>
      </c>
      <c r="S974">
        <f>IF($P974="","",IFERROR(INDEX($F$6:$F$2005,MATCH($Q974,WageIds,0)),""))</f>
        <v/>
      </c>
      <c r="T974">
        <f>IF(OR($P974="",$S974="",$S974="نامعتبر"),"",LEFT($S974,4)&amp;MID($S974,6,2)&amp;RIGHT($S974,2)&amp;"0000"&amp;"|"&amp;"2"&amp;RIGHT("00000"&amp;969,5))</f>
        <v/>
      </c>
      <c r="U974">
        <f>IF($T974="","",COUNTIFS(LdAParty,$P974,LdAType,1,LdAKey,"&lt;"&amp;$T974)+COUNTIFS(LdBMember,$P974,LdBKey,"&lt;"&amp;$T974)+COUNTIFS(LdCParty,$P974,LdCKey,"&lt;"&amp;$T974)+1)</f>
        <v/>
      </c>
      <c r="V974">
        <f>IF($U974="","",$P974&amp;"|"&amp;RIGHT("000000"&amp;$U974,6))</f>
        <v/>
      </c>
      <c r="W974">
        <f>IF($T974="","",COUNTIFS(LdBGroup,$R974,LdBKey,"&lt;"&amp;$T974)+1)</f>
        <v/>
      </c>
      <c r="X974">
        <f>IF($W974="","",$R974&amp;"|"&amp;RIGHT("000000"&amp;$W974,6))</f>
        <v/>
      </c>
      <c r="Y974">
        <f>IF($P974="","",IF(Shares!$E977="",0,Shares!$E977))</f>
        <v/>
      </c>
      <c r="Z974">
        <f>IF($P974="","",Shares!$H977)</f>
        <v/>
      </c>
      <c r="AE974">
        <f>IF(OR(Sync!$S974="",Sync!$P974=""),"",Sync!$S974)</f>
        <v/>
      </c>
      <c r="AF974">
        <f>IF($AE974="","",IF(ISNUMBER(Sync!$P974),IF(AND(Sync!$P974&gt;=10000101,Sync!$P974&lt;=99991231),INT(Sync!$P974/10000),""),IFERROR(VALUE(TRIM(LEFT(Sync!$P974,FIND("/",Sync!$P974)-1))),"")))</f>
        <v/>
      </c>
      <c r="AG974">
        <f>IF(OR($AE974="",$AF974=""),"",IF(ISNUMBER(Sync!$P974),INT(MOD(Sync!$P974,10000)/100),IFERROR(VALUE(TRIM(LEFT(MID(Sync!$P974,FIND("/",Sync!$P974)+1,20),FIND("/",MID(Sync!$P974,FIND("/",Sync!$P974)+1,20))-1))),"")))</f>
        <v/>
      </c>
      <c r="AH974">
        <f>IF(OR($AE974="",$AF974=""),"",IF(ISNUMBER(Sync!$P974),MOD(Sync!$P974,100),IFERROR(VALUE(TRIM(MID(MID(Sync!$P974,FIND("/",Sync!$P974)+1,20),FIND("/",MID(Sync!$P974,FIND("/",Sync!$P974)+1,20))+1,20))),"")))</f>
        <v/>
      </c>
      <c r="AI974">
        <f>IF($AE974="","",IF(OR($AF974="",$AG974="",$AH974="",$AF974&lt;1300,$AF974&gt;1500,$AG974&lt;1,$AG974&gt;12,$AH974&lt;1,$AH974&gt;31),"نامعتبر",RIGHT("0000"&amp;$AF974,4)&amp;"/"&amp;RIGHT("00"&amp;$AG974,2)&amp;"/"&amp;RIGHT("00"&amp;$AH974,2)))</f>
        <v/>
      </c>
      <c r="AJ974">
        <f>IF($AE974="","",IF(Sync!$Q974="","0000",IF(AND(ISNUMBER(Sync!$Q974),Sync!$Q974&gt;=0,Sync!$Q974&lt;1),RIGHT("00"&amp;HOUR(Sync!$Q974),2)&amp;RIGHT("00"&amp;MINUTE(Sync!$Q974),2),IFERROR(RIGHT("00"&amp;VALUE(LEFT(Sync!$Q974,FIND(":",Sync!$Q974)-1)),2)&amp;RIGHT("00"&amp;VALUE(MID(Sync!$Q974,FIND(":",Sync!$Q974)+1,2)),2),"0000"))))</f>
        <v/>
      </c>
      <c r="AK974">
        <f>IF(OR($AE974="",$AI974="",$AI974="نامعتبر"),"",LEFT($AI974,4)&amp;MID($AI974,6,2)&amp;RIGHT($AI974,2)&amp;$AJ974&amp;"|"&amp;"3"&amp;RIGHT("00000"&amp;969,5))</f>
        <v/>
      </c>
      <c r="AL974">
        <f>IF($AK974="","",COUNTIFS(LdAParty,$AE974,LdAType,1,LdAKey,"&lt;"&amp;$AK974)+COUNTIFS(LdBMember,$AE974,LdBKey,"&lt;"&amp;$AK974)+COUNTIFS(LdCParty,$AE974,LdCKey,"&lt;"&amp;$AK974)+1)</f>
        <v/>
      </c>
      <c r="AM974">
        <f>IF($AL974="","",$AE974&amp;"|"&amp;RIGHT("000000"&amp;$AL974,6))</f>
        <v/>
      </c>
      <c r="AN974">
        <f>IF($AE974="","",IF(Sync!$W974="",0,Sync!$W974))</f>
        <v/>
      </c>
      <c r="AO974">
        <f>IF($AE974="","",IF(Sync!$X974="",0,Sync!$X974))</f>
        <v/>
      </c>
      <c r="AP974">
        <f>IF($AE974="","",Sync!$R974)</f>
        <v/>
      </c>
      <c r="AQ974">
        <f>IF($AE974="","",Sync!$Y974)</f>
        <v/>
      </c>
    </row>
    <row r="975">
      <c r="A975">
        <f>IF(OR(Wages!$B978="",Wages!$E978=""),"",Wages!$E978)</f>
        <v/>
      </c>
      <c r="B975">
        <f>IF($A975="","",IF(Wages!$C978="دستمزد گروهی",2,1))</f>
        <v/>
      </c>
      <c r="C975">
        <f>IF($A975="","",IF(ISNUMBER(Wages!$B978),IF(AND(Wages!$B978&gt;=10000101,Wages!$B978&lt;=99991231),INT(Wages!$B978/10000),""),IFERROR(VALUE(TRIM(LEFT(Wages!$B978,FIND("/",Wages!$B978)-1))),"")))</f>
        <v/>
      </c>
      <c r="D975">
        <f>IF(OR($A975="",$C975=""),"",IF(ISNUMBER(Wages!$B978),INT(MOD(Wages!$B978,10000)/100),IFERROR(VALUE(TRIM(LEFT(MID(Wages!$B978,FIND("/",Wages!$B978)+1,20),FIND("/",MID(Wages!$B978,FIND("/",Wages!$B978)+1,20))-1))),"")))</f>
        <v/>
      </c>
      <c r="E975">
        <f>IF(OR($A975="",$C975=""),"",IF(ISNUMBER(Wages!$B978),MOD(Wages!$B978,100),IFERROR(VALUE(TRIM(MID(MID(Wages!$B978,FIND("/",Wages!$B978)+1,20),FIND("/",MID(Wages!$B978,FIND("/",Wages!$B978)+1,20))+1,20))),"")))</f>
        <v/>
      </c>
      <c r="F975">
        <f>IF($A975="","",IF(OR($C975="",$D975="",$E975="",$C975&lt;1300,$C975&gt;1500,$D975&lt;1,$D975&gt;12,$E975&lt;1,$E975&gt;31),"نامعتبر",RIGHT("0000"&amp;$C975,4)&amp;"/"&amp;RIGHT("00"&amp;$D975,2)&amp;"/"&amp;RIGHT("00"&amp;$E975,2)))</f>
        <v/>
      </c>
      <c r="G975">
        <f>IF(OR($A975="",$F975="",$F975="نامعتبر"),"",LEFT($F975,4)&amp;MID($F975,6,2)&amp;RIGHT($F975,2)&amp;"0000"&amp;"|"&amp;"1"&amp;RIGHT("00000"&amp;970,5))</f>
        <v/>
      </c>
      <c r="H975">
        <f>IF(OR($B975&lt;&gt;1,$G975=""),"",COUNTIFS(LdAParty,$A975,LdAType,1,LdAKey,"&lt;"&amp;$G975)+COUNTIFS(LdBMember,$A975,LdBKey,"&lt;"&amp;$G975)+COUNTIFS(LdCParty,$A975,LdCKey,"&lt;"&amp;$G975)+1)</f>
        <v/>
      </c>
      <c r="I975">
        <f>IF($H975="","",$A975&amp;"|"&amp;RIGHT("000000"&amp;$H975,6))</f>
        <v/>
      </c>
      <c r="J975">
        <f>IF(OR($B975&lt;&gt;2,$G975=""),"",COUNTIFS(LdAParty,$A975,LdAType,2,LdAKey,"&lt;"&amp;$G975)+1)</f>
        <v/>
      </c>
      <c r="K975">
        <f>IF($J975="","",$A975&amp;"|"&amp;RIGHT("000000"&amp;$J975,6))</f>
        <v/>
      </c>
      <c r="L975">
        <f>IF($A975="","",IF(Wages!$G978="",0,Wages!$G978))</f>
        <v/>
      </c>
      <c r="M975">
        <f>IF($A975="","",Wages!$J978)</f>
        <v/>
      </c>
      <c r="N975">
        <f>IF($A975="","",Wages!$D978)</f>
        <v/>
      </c>
      <c r="P975">
        <f>IF(OR(Shares!$B978="",Shares!$C978=""),"",Shares!$C978)</f>
        <v/>
      </c>
      <c r="Q975">
        <f>IF($P975="","",Shares!$B978)</f>
        <v/>
      </c>
      <c r="R975">
        <f>IF($P975="","",IFERROR(INDEX(WageParty,MATCH($Q975,WageIds,0)),""))</f>
        <v/>
      </c>
      <c r="S975">
        <f>IF($P975="","",IFERROR(INDEX($F$6:$F$2005,MATCH($Q975,WageIds,0)),""))</f>
        <v/>
      </c>
      <c r="T975">
        <f>IF(OR($P975="",$S975="",$S975="نامعتبر"),"",LEFT($S975,4)&amp;MID($S975,6,2)&amp;RIGHT($S975,2)&amp;"0000"&amp;"|"&amp;"2"&amp;RIGHT("00000"&amp;970,5))</f>
        <v/>
      </c>
      <c r="U975">
        <f>IF($T975="","",COUNTIFS(LdAParty,$P975,LdAType,1,LdAKey,"&lt;"&amp;$T975)+COUNTIFS(LdBMember,$P975,LdBKey,"&lt;"&amp;$T975)+COUNTIFS(LdCParty,$P975,LdCKey,"&lt;"&amp;$T975)+1)</f>
        <v/>
      </c>
      <c r="V975">
        <f>IF($U975="","",$P975&amp;"|"&amp;RIGHT("000000"&amp;$U975,6))</f>
        <v/>
      </c>
      <c r="W975">
        <f>IF($T975="","",COUNTIFS(LdBGroup,$R975,LdBKey,"&lt;"&amp;$T975)+1)</f>
        <v/>
      </c>
      <c r="X975">
        <f>IF($W975="","",$R975&amp;"|"&amp;RIGHT("000000"&amp;$W975,6))</f>
        <v/>
      </c>
      <c r="Y975">
        <f>IF($P975="","",IF(Shares!$E978="",0,Shares!$E978))</f>
        <v/>
      </c>
      <c r="Z975">
        <f>IF($P975="","",Shares!$H978)</f>
        <v/>
      </c>
      <c r="AE975">
        <f>IF(OR(Sync!$S975="",Sync!$P975=""),"",Sync!$S975)</f>
        <v/>
      </c>
      <c r="AF975">
        <f>IF($AE975="","",IF(ISNUMBER(Sync!$P975),IF(AND(Sync!$P975&gt;=10000101,Sync!$P975&lt;=99991231),INT(Sync!$P975/10000),""),IFERROR(VALUE(TRIM(LEFT(Sync!$P975,FIND("/",Sync!$P975)-1))),"")))</f>
        <v/>
      </c>
      <c r="AG975">
        <f>IF(OR($AE975="",$AF975=""),"",IF(ISNUMBER(Sync!$P975),INT(MOD(Sync!$P975,10000)/100),IFERROR(VALUE(TRIM(LEFT(MID(Sync!$P975,FIND("/",Sync!$P975)+1,20),FIND("/",MID(Sync!$P975,FIND("/",Sync!$P975)+1,20))-1))),"")))</f>
        <v/>
      </c>
      <c r="AH975">
        <f>IF(OR($AE975="",$AF975=""),"",IF(ISNUMBER(Sync!$P975),MOD(Sync!$P975,100),IFERROR(VALUE(TRIM(MID(MID(Sync!$P975,FIND("/",Sync!$P975)+1,20),FIND("/",MID(Sync!$P975,FIND("/",Sync!$P975)+1,20))+1,20))),"")))</f>
        <v/>
      </c>
      <c r="AI975">
        <f>IF($AE975="","",IF(OR($AF975="",$AG975="",$AH975="",$AF975&lt;1300,$AF975&gt;1500,$AG975&lt;1,$AG975&gt;12,$AH975&lt;1,$AH975&gt;31),"نامعتبر",RIGHT("0000"&amp;$AF975,4)&amp;"/"&amp;RIGHT("00"&amp;$AG975,2)&amp;"/"&amp;RIGHT("00"&amp;$AH975,2)))</f>
        <v/>
      </c>
      <c r="AJ975">
        <f>IF($AE975="","",IF(Sync!$Q975="","0000",IF(AND(ISNUMBER(Sync!$Q975),Sync!$Q975&gt;=0,Sync!$Q975&lt;1),RIGHT("00"&amp;HOUR(Sync!$Q975),2)&amp;RIGHT("00"&amp;MINUTE(Sync!$Q975),2),IFERROR(RIGHT("00"&amp;VALUE(LEFT(Sync!$Q975,FIND(":",Sync!$Q975)-1)),2)&amp;RIGHT("00"&amp;VALUE(MID(Sync!$Q975,FIND(":",Sync!$Q975)+1,2)),2),"0000"))))</f>
        <v/>
      </c>
      <c r="AK975">
        <f>IF(OR($AE975="",$AI975="",$AI975="نامعتبر"),"",LEFT($AI975,4)&amp;MID($AI975,6,2)&amp;RIGHT($AI975,2)&amp;$AJ975&amp;"|"&amp;"3"&amp;RIGHT("00000"&amp;970,5))</f>
        <v/>
      </c>
      <c r="AL975">
        <f>IF($AK975="","",COUNTIFS(LdAParty,$AE975,LdAType,1,LdAKey,"&lt;"&amp;$AK975)+COUNTIFS(LdBMember,$AE975,LdBKey,"&lt;"&amp;$AK975)+COUNTIFS(LdCParty,$AE975,LdCKey,"&lt;"&amp;$AK975)+1)</f>
        <v/>
      </c>
      <c r="AM975">
        <f>IF($AL975="","",$AE975&amp;"|"&amp;RIGHT("000000"&amp;$AL975,6))</f>
        <v/>
      </c>
      <c r="AN975">
        <f>IF($AE975="","",IF(Sync!$W975="",0,Sync!$W975))</f>
        <v/>
      </c>
      <c r="AO975">
        <f>IF($AE975="","",IF(Sync!$X975="",0,Sync!$X975))</f>
        <v/>
      </c>
      <c r="AP975">
        <f>IF($AE975="","",Sync!$R975)</f>
        <v/>
      </c>
      <c r="AQ975">
        <f>IF($AE975="","",Sync!$Y975)</f>
        <v/>
      </c>
    </row>
    <row r="976">
      <c r="A976">
        <f>IF(OR(Wages!$B979="",Wages!$E979=""),"",Wages!$E979)</f>
        <v/>
      </c>
      <c r="B976">
        <f>IF($A976="","",IF(Wages!$C979="دستمزد گروهی",2,1))</f>
        <v/>
      </c>
      <c r="C976">
        <f>IF($A976="","",IF(ISNUMBER(Wages!$B979),IF(AND(Wages!$B979&gt;=10000101,Wages!$B979&lt;=99991231),INT(Wages!$B979/10000),""),IFERROR(VALUE(TRIM(LEFT(Wages!$B979,FIND("/",Wages!$B979)-1))),"")))</f>
        <v/>
      </c>
      <c r="D976">
        <f>IF(OR($A976="",$C976=""),"",IF(ISNUMBER(Wages!$B979),INT(MOD(Wages!$B979,10000)/100),IFERROR(VALUE(TRIM(LEFT(MID(Wages!$B979,FIND("/",Wages!$B979)+1,20),FIND("/",MID(Wages!$B979,FIND("/",Wages!$B979)+1,20))-1))),"")))</f>
        <v/>
      </c>
      <c r="E976">
        <f>IF(OR($A976="",$C976=""),"",IF(ISNUMBER(Wages!$B979),MOD(Wages!$B979,100),IFERROR(VALUE(TRIM(MID(MID(Wages!$B979,FIND("/",Wages!$B979)+1,20),FIND("/",MID(Wages!$B979,FIND("/",Wages!$B979)+1,20))+1,20))),"")))</f>
        <v/>
      </c>
      <c r="F976">
        <f>IF($A976="","",IF(OR($C976="",$D976="",$E976="",$C976&lt;1300,$C976&gt;1500,$D976&lt;1,$D976&gt;12,$E976&lt;1,$E976&gt;31),"نامعتبر",RIGHT("0000"&amp;$C976,4)&amp;"/"&amp;RIGHT("00"&amp;$D976,2)&amp;"/"&amp;RIGHT("00"&amp;$E976,2)))</f>
        <v/>
      </c>
      <c r="G976">
        <f>IF(OR($A976="",$F976="",$F976="نامعتبر"),"",LEFT($F976,4)&amp;MID($F976,6,2)&amp;RIGHT($F976,2)&amp;"0000"&amp;"|"&amp;"1"&amp;RIGHT("00000"&amp;971,5))</f>
        <v/>
      </c>
      <c r="H976">
        <f>IF(OR($B976&lt;&gt;1,$G976=""),"",COUNTIFS(LdAParty,$A976,LdAType,1,LdAKey,"&lt;"&amp;$G976)+COUNTIFS(LdBMember,$A976,LdBKey,"&lt;"&amp;$G976)+COUNTIFS(LdCParty,$A976,LdCKey,"&lt;"&amp;$G976)+1)</f>
        <v/>
      </c>
      <c r="I976">
        <f>IF($H976="","",$A976&amp;"|"&amp;RIGHT("000000"&amp;$H976,6))</f>
        <v/>
      </c>
      <c r="J976">
        <f>IF(OR($B976&lt;&gt;2,$G976=""),"",COUNTIFS(LdAParty,$A976,LdAType,2,LdAKey,"&lt;"&amp;$G976)+1)</f>
        <v/>
      </c>
      <c r="K976">
        <f>IF($J976="","",$A976&amp;"|"&amp;RIGHT("000000"&amp;$J976,6))</f>
        <v/>
      </c>
      <c r="L976">
        <f>IF($A976="","",IF(Wages!$G979="",0,Wages!$G979))</f>
        <v/>
      </c>
      <c r="M976">
        <f>IF($A976="","",Wages!$J979)</f>
        <v/>
      </c>
      <c r="N976">
        <f>IF($A976="","",Wages!$D979)</f>
        <v/>
      </c>
      <c r="P976">
        <f>IF(OR(Shares!$B979="",Shares!$C979=""),"",Shares!$C979)</f>
        <v/>
      </c>
      <c r="Q976">
        <f>IF($P976="","",Shares!$B979)</f>
        <v/>
      </c>
      <c r="R976">
        <f>IF($P976="","",IFERROR(INDEX(WageParty,MATCH($Q976,WageIds,0)),""))</f>
        <v/>
      </c>
      <c r="S976">
        <f>IF($P976="","",IFERROR(INDEX($F$6:$F$2005,MATCH($Q976,WageIds,0)),""))</f>
        <v/>
      </c>
      <c r="T976">
        <f>IF(OR($P976="",$S976="",$S976="نامعتبر"),"",LEFT($S976,4)&amp;MID($S976,6,2)&amp;RIGHT($S976,2)&amp;"0000"&amp;"|"&amp;"2"&amp;RIGHT("00000"&amp;971,5))</f>
        <v/>
      </c>
      <c r="U976">
        <f>IF($T976="","",COUNTIFS(LdAParty,$P976,LdAType,1,LdAKey,"&lt;"&amp;$T976)+COUNTIFS(LdBMember,$P976,LdBKey,"&lt;"&amp;$T976)+COUNTIFS(LdCParty,$P976,LdCKey,"&lt;"&amp;$T976)+1)</f>
        <v/>
      </c>
      <c r="V976">
        <f>IF($U976="","",$P976&amp;"|"&amp;RIGHT("000000"&amp;$U976,6))</f>
        <v/>
      </c>
      <c r="W976">
        <f>IF($T976="","",COUNTIFS(LdBGroup,$R976,LdBKey,"&lt;"&amp;$T976)+1)</f>
        <v/>
      </c>
      <c r="X976">
        <f>IF($W976="","",$R976&amp;"|"&amp;RIGHT("000000"&amp;$W976,6))</f>
        <v/>
      </c>
      <c r="Y976">
        <f>IF($P976="","",IF(Shares!$E979="",0,Shares!$E979))</f>
        <v/>
      </c>
      <c r="Z976">
        <f>IF($P976="","",Shares!$H979)</f>
        <v/>
      </c>
      <c r="AE976">
        <f>IF(OR(Sync!$S976="",Sync!$P976=""),"",Sync!$S976)</f>
        <v/>
      </c>
      <c r="AF976">
        <f>IF($AE976="","",IF(ISNUMBER(Sync!$P976),IF(AND(Sync!$P976&gt;=10000101,Sync!$P976&lt;=99991231),INT(Sync!$P976/10000),""),IFERROR(VALUE(TRIM(LEFT(Sync!$P976,FIND("/",Sync!$P976)-1))),"")))</f>
        <v/>
      </c>
      <c r="AG976">
        <f>IF(OR($AE976="",$AF976=""),"",IF(ISNUMBER(Sync!$P976),INT(MOD(Sync!$P976,10000)/100),IFERROR(VALUE(TRIM(LEFT(MID(Sync!$P976,FIND("/",Sync!$P976)+1,20),FIND("/",MID(Sync!$P976,FIND("/",Sync!$P976)+1,20))-1))),"")))</f>
        <v/>
      </c>
      <c r="AH976">
        <f>IF(OR($AE976="",$AF976=""),"",IF(ISNUMBER(Sync!$P976),MOD(Sync!$P976,100),IFERROR(VALUE(TRIM(MID(MID(Sync!$P976,FIND("/",Sync!$P976)+1,20),FIND("/",MID(Sync!$P976,FIND("/",Sync!$P976)+1,20))+1,20))),"")))</f>
        <v/>
      </c>
      <c r="AI976">
        <f>IF($AE976="","",IF(OR($AF976="",$AG976="",$AH976="",$AF976&lt;1300,$AF976&gt;1500,$AG976&lt;1,$AG976&gt;12,$AH976&lt;1,$AH976&gt;31),"نامعتبر",RIGHT("0000"&amp;$AF976,4)&amp;"/"&amp;RIGHT("00"&amp;$AG976,2)&amp;"/"&amp;RIGHT("00"&amp;$AH976,2)))</f>
        <v/>
      </c>
      <c r="AJ976">
        <f>IF($AE976="","",IF(Sync!$Q976="","0000",IF(AND(ISNUMBER(Sync!$Q976),Sync!$Q976&gt;=0,Sync!$Q976&lt;1),RIGHT("00"&amp;HOUR(Sync!$Q976),2)&amp;RIGHT("00"&amp;MINUTE(Sync!$Q976),2),IFERROR(RIGHT("00"&amp;VALUE(LEFT(Sync!$Q976,FIND(":",Sync!$Q976)-1)),2)&amp;RIGHT("00"&amp;VALUE(MID(Sync!$Q976,FIND(":",Sync!$Q976)+1,2)),2),"0000"))))</f>
        <v/>
      </c>
      <c r="AK976">
        <f>IF(OR($AE976="",$AI976="",$AI976="نامعتبر"),"",LEFT($AI976,4)&amp;MID($AI976,6,2)&amp;RIGHT($AI976,2)&amp;$AJ976&amp;"|"&amp;"3"&amp;RIGHT("00000"&amp;971,5))</f>
        <v/>
      </c>
      <c r="AL976">
        <f>IF($AK976="","",COUNTIFS(LdAParty,$AE976,LdAType,1,LdAKey,"&lt;"&amp;$AK976)+COUNTIFS(LdBMember,$AE976,LdBKey,"&lt;"&amp;$AK976)+COUNTIFS(LdCParty,$AE976,LdCKey,"&lt;"&amp;$AK976)+1)</f>
        <v/>
      </c>
      <c r="AM976">
        <f>IF($AL976="","",$AE976&amp;"|"&amp;RIGHT("000000"&amp;$AL976,6))</f>
        <v/>
      </c>
      <c r="AN976">
        <f>IF($AE976="","",IF(Sync!$W976="",0,Sync!$W976))</f>
        <v/>
      </c>
      <c r="AO976">
        <f>IF($AE976="","",IF(Sync!$X976="",0,Sync!$X976))</f>
        <v/>
      </c>
      <c r="AP976">
        <f>IF($AE976="","",Sync!$R976)</f>
        <v/>
      </c>
      <c r="AQ976">
        <f>IF($AE976="","",Sync!$Y976)</f>
        <v/>
      </c>
    </row>
    <row r="977">
      <c r="A977">
        <f>IF(OR(Wages!$B980="",Wages!$E980=""),"",Wages!$E980)</f>
        <v/>
      </c>
      <c r="B977">
        <f>IF($A977="","",IF(Wages!$C980="دستمزد گروهی",2,1))</f>
        <v/>
      </c>
      <c r="C977">
        <f>IF($A977="","",IF(ISNUMBER(Wages!$B980),IF(AND(Wages!$B980&gt;=10000101,Wages!$B980&lt;=99991231),INT(Wages!$B980/10000),""),IFERROR(VALUE(TRIM(LEFT(Wages!$B980,FIND("/",Wages!$B980)-1))),"")))</f>
        <v/>
      </c>
      <c r="D977">
        <f>IF(OR($A977="",$C977=""),"",IF(ISNUMBER(Wages!$B980),INT(MOD(Wages!$B980,10000)/100),IFERROR(VALUE(TRIM(LEFT(MID(Wages!$B980,FIND("/",Wages!$B980)+1,20),FIND("/",MID(Wages!$B980,FIND("/",Wages!$B980)+1,20))-1))),"")))</f>
        <v/>
      </c>
      <c r="E977">
        <f>IF(OR($A977="",$C977=""),"",IF(ISNUMBER(Wages!$B980),MOD(Wages!$B980,100),IFERROR(VALUE(TRIM(MID(MID(Wages!$B980,FIND("/",Wages!$B980)+1,20),FIND("/",MID(Wages!$B980,FIND("/",Wages!$B980)+1,20))+1,20))),"")))</f>
        <v/>
      </c>
      <c r="F977">
        <f>IF($A977="","",IF(OR($C977="",$D977="",$E977="",$C977&lt;1300,$C977&gt;1500,$D977&lt;1,$D977&gt;12,$E977&lt;1,$E977&gt;31),"نامعتبر",RIGHT("0000"&amp;$C977,4)&amp;"/"&amp;RIGHT("00"&amp;$D977,2)&amp;"/"&amp;RIGHT("00"&amp;$E977,2)))</f>
        <v/>
      </c>
      <c r="G977">
        <f>IF(OR($A977="",$F977="",$F977="نامعتبر"),"",LEFT($F977,4)&amp;MID($F977,6,2)&amp;RIGHT($F977,2)&amp;"0000"&amp;"|"&amp;"1"&amp;RIGHT("00000"&amp;972,5))</f>
        <v/>
      </c>
      <c r="H977">
        <f>IF(OR($B977&lt;&gt;1,$G977=""),"",COUNTIFS(LdAParty,$A977,LdAType,1,LdAKey,"&lt;"&amp;$G977)+COUNTIFS(LdBMember,$A977,LdBKey,"&lt;"&amp;$G977)+COUNTIFS(LdCParty,$A977,LdCKey,"&lt;"&amp;$G977)+1)</f>
        <v/>
      </c>
      <c r="I977">
        <f>IF($H977="","",$A977&amp;"|"&amp;RIGHT("000000"&amp;$H977,6))</f>
        <v/>
      </c>
      <c r="J977">
        <f>IF(OR($B977&lt;&gt;2,$G977=""),"",COUNTIFS(LdAParty,$A977,LdAType,2,LdAKey,"&lt;"&amp;$G977)+1)</f>
        <v/>
      </c>
      <c r="K977">
        <f>IF($J977="","",$A977&amp;"|"&amp;RIGHT("000000"&amp;$J977,6))</f>
        <v/>
      </c>
      <c r="L977">
        <f>IF($A977="","",IF(Wages!$G980="",0,Wages!$G980))</f>
        <v/>
      </c>
      <c r="M977">
        <f>IF($A977="","",Wages!$J980)</f>
        <v/>
      </c>
      <c r="N977">
        <f>IF($A977="","",Wages!$D980)</f>
        <v/>
      </c>
      <c r="P977">
        <f>IF(OR(Shares!$B980="",Shares!$C980=""),"",Shares!$C980)</f>
        <v/>
      </c>
      <c r="Q977">
        <f>IF($P977="","",Shares!$B980)</f>
        <v/>
      </c>
      <c r="R977">
        <f>IF($P977="","",IFERROR(INDEX(WageParty,MATCH($Q977,WageIds,0)),""))</f>
        <v/>
      </c>
      <c r="S977">
        <f>IF($P977="","",IFERROR(INDEX($F$6:$F$2005,MATCH($Q977,WageIds,0)),""))</f>
        <v/>
      </c>
      <c r="T977">
        <f>IF(OR($P977="",$S977="",$S977="نامعتبر"),"",LEFT($S977,4)&amp;MID($S977,6,2)&amp;RIGHT($S977,2)&amp;"0000"&amp;"|"&amp;"2"&amp;RIGHT("00000"&amp;972,5))</f>
        <v/>
      </c>
      <c r="U977">
        <f>IF($T977="","",COUNTIFS(LdAParty,$P977,LdAType,1,LdAKey,"&lt;"&amp;$T977)+COUNTIFS(LdBMember,$P977,LdBKey,"&lt;"&amp;$T977)+COUNTIFS(LdCParty,$P977,LdCKey,"&lt;"&amp;$T977)+1)</f>
        <v/>
      </c>
      <c r="V977">
        <f>IF($U977="","",$P977&amp;"|"&amp;RIGHT("000000"&amp;$U977,6))</f>
        <v/>
      </c>
      <c r="W977">
        <f>IF($T977="","",COUNTIFS(LdBGroup,$R977,LdBKey,"&lt;"&amp;$T977)+1)</f>
        <v/>
      </c>
      <c r="X977">
        <f>IF($W977="","",$R977&amp;"|"&amp;RIGHT("000000"&amp;$W977,6))</f>
        <v/>
      </c>
      <c r="Y977">
        <f>IF($P977="","",IF(Shares!$E980="",0,Shares!$E980))</f>
        <v/>
      </c>
      <c r="Z977">
        <f>IF($P977="","",Shares!$H980)</f>
        <v/>
      </c>
      <c r="AE977">
        <f>IF(OR(Sync!$S977="",Sync!$P977=""),"",Sync!$S977)</f>
        <v/>
      </c>
      <c r="AF977">
        <f>IF($AE977="","",IF(ISNUMBER(Sync!$P977),IF(AND(Sync!$P977&gt;=10000101,Sync!$P977&lt;=99991231),INT(Sync!$P977/10000),""),IFERROR(VALUE(TRIM(LEFT(Sync!$P977,FIND("/",Sync!$P977)-1))),"")))</f>
        <v/>
      </c>
      <c r="AG977">
        <f>IF(OR($AE977="",$AF977=""),"",IF(ISNUMBER(Sync!$P977),INT(MOD(Sync!$P977,10000)/100),IFERROR(VALUE(TRIM(LEFT(MID(Sync!$P977,FIND("/",Sync!$P977)+1,20),FIND("/",MID(Sync!$P977,FIND("/",Sync!$P977)+1,20))-1))),"")))</f>
        <v/>
      </c>
      <c r="AH977">
        <f>IF(OR($AE977="",$AF977=""),"",IF(ISNUMBER(Sync!$P977),MOD(Sync!$P977,100),IFERROR(VALUE(TRIM(MID(MID(Sync!$P977,FIND("/",Sync!$P977)+1,20),FIND("/",MID(Sync!$P977,FIND("/",Sync!$P977)+1,20))+1,20))),"")))</f>
        <v/>
      </c>
      <c r="AI977">
        <f>IF($AE977="","",IF(OR($AF977="",$AG977="",$AH977="",$AF977&lt;1300,$AF977&gt;1500,$AG977&lt;1,$AG977&gt;12,$AH977&lt;1,$AH977&gt;31),"نامعتبر",RIGHT("0000"&amp;$AF977,4)&amp;"/"&amp;RIGHT("00"&amp;$AG977,2)&amp;"/"&amp;RIGHT("00"&amp;$AH977,2)))</f>
        <v/>
      </c>
      <c r="AJ977">
        <f>IF($AE977="","",IF(Sync!$Q977="","0000",IF(AND(ISNUMBER(Sync!$Q977),Sync!$Q977&gt;=0,Sync!$Q977&lt;1),RIGHT("00"&amp;HOUR(Sync!$Q977),2)&amp;RIGHT("00"&amp;MINUTE(Sync!$Q977),2),IFERROR(RIGHT("00"&amp;VALUE(LEFT(Sync!$Q977,FIND(":",Sync!$Q977)-1)),2)&amp;RIGHT("00"&amp;VALUE(MID(Sync!$Q977,FIND(":",Sync!$Q977)+1,2)),2),"0000"))))</f>
        <v/>
      </c>
      <c r="AK977">
        <f>IF(OR($AE977="",$AI977="",$AI977="نامعتبر"),"",LEFT($AI977,4)&amp;MID($AI977,6,2)&amp;RIGHT($AI977,2)&amp;$AJ977&amp;"|"&amp;"3"&amp;RIGHT("00000"&amp;972,5))</f>
        <v/>
      </c>
      <c r="AL977">
        <f>IF($AK977="","",COUNTIFS(LdAParty,$AE977,LdAType,1,LdAKey,"&lt;"&amp;$AK977)+COUNTIFS(LdBMember,$AE977,LdBKey,"&lt;"&amp;$AK977)+COUNTIFS(LdCParty,$AE977,LdCKey,"&lt;"&amp;$AK977)+1)</f>
        <v/>
      </c>
      <c r="AM977">
        <f>IF($AL977="","",$AE977&amp;"|"&amp;RIGHT("000000"&amp;$AL977,6))</f>
        <v/>
      </c>
      <c r="AN977">
        <f>IF($AE977="","",IF(Sync!$W977="",0,Sync!$W977))</f>
        <v/>
      </c>
      <c r="AO977">
        <f>IF($AE977="","",IF(Sync!$X977="",0,Sync!$X977))</f>
        <v/>
      </c>
      <c r="AP977">
        <f>IF($AE977="","",Sync!$R977)</f>
        <v/>
      </c>
      <c r="AQ977">
        <f>IF($AE977="","",Sync!$Y977)</f>
        <v/>
      </c>
    </row>
    <row r="978">
      <c r="A978">
        <f>IF(OR(Wages!$B981="",Wages!$E981=""),"",Wages!$E981)</f>
        <v/>
      </c>
      <c r="B978">
        <f>IF($A978="","",IF(Wages!$C981="دستمزد گروهی",2,1))</f>
        <v/>
      </c>
      <c r="C978">
        <f>IF($A978="","",IF(ISNUMBER(Wages!$B981),IF(AND(Wages!$B981&gt;=10000101,Wages!$B981&lt;=99991231),INT(Wages!$B981/10000),""),IFERROR(VALUE(TRIM(LEFT(Wages!$B981,FIND("/",Wages!$B981)-1))),"")))</f>
        <v/>
      </c>
      <c r="D978">
        <f>IF(OR($A978="",$C978=""),"",IF(ISNUMBER(Wages!$B981),INT(MOD(Wages!$B981,10000)/100),IFERROR(VALUE(TRIM(LEFT(MID(Wages!$B981,FIND("/",Wages!$B981)+1,20),FIND("/",MID(Wages!$B981,FIND("/",Wages!$B981)+1,20))-1))),"")))</f>
        <v/>
      </c>
      <c r="E978">
        <f>IF(OR($A978="",$C978=""),"",IF(ISNUMBER(Wages!$B981),MOD(Wages!$B981,100),IFERROR(VALUE(TRIM(MID(MID(Wages!$B981,FIND("/",Wages!$B981)+1,20),FIND("/",MID(Wages!$B981,FIND("/",Wages!$B981)+1,20))+1,20))),"")))</f>
        <v/>
      </c>
      <c r="F978">
        <f>IF($A978="","",IF(OR($C978="",$D978="",$E978="",$C978&lt;1300,$C978&gt;1500,$D978&lt;1,$D978&gt;12,$E978&lt;1,$E978&gt;31),"نامعتبر",RIGHT("0000"&amp;$C978,4)&amp;"/"&amp;RIGHT("00"&amp;$D978,2)&amp;"/"&amp;RIGHT("00"&amp;$E978,2)))</f>
        <v/>
      </c>
      <c r="G978">
        <f>IF(OR($A978="",$F978="",$F978="نامعتبر"),"",LEFT($F978,4)&amp;MID($F978,6,2)&amp;RIGHT($F978,2)&amp;"0000"&amp;"|"&amp;"1"&amp;RIGHT("00000"&amp;973,5))</f>
        <v/>
      </c>
      <c r="H978">
        <f>IF(OR($B978&lt;&gt;1,$G978=""),"",COUNTIFS(LdAParty,$A978,LdAType,1,LdAKey,"&lt;"&amp;$G978)+COUNTIFS(LdBMember,$A978,LdBKey,"&lt;"&amp;$G978)+COUNTIFS(LdCParty,$A978,LdCKey,"&lt;"&amp;$G978)+1)</f>
        <v/>
      </c>
      <c r="I978">
        <f>IF($H978="","",$A978&amp;"|"&amp;RIGHT("000000"&amp;$H978,6))</f>
        <v/>
      </c>
      <c r="J978">
        <f>IF(OR($B978&lt;&gt;2,$G978=""),"",COUNTIFS(LdAParty,$A978,LdAType,2,LdAKey,"&lt;"&amp;$G978)+1)</f>
        <v/>
      </c>
      <c r="K978">
        <f>IF($J978="","",$A978&amp;"|"&amp;RIGHT("000000"&amp;$J978,6))</f>
        <v/>
      </c>
      <c r="L978">
        <f>IF($A978="","",IF(Wages!$G981="",0,Wages!$G981))</f>
        <v/>
      </c>
      <c r="M978">
        <f>IF($A978="","",Wages!$J981)</f>
        <v/>
      </c>
      <c r="N978">
        <f>IF($A978="","",Wages!$D981)</f>
        <v/>
      </c>
      <c r="P978">
        <f>IF(OR(Shares!$B981="",Shares!$C981=""),"",Shares!$C981)</f>
        <v/>
      </c>
      <c r="Q978">
        <f>IF($P978="","",Shares!$B981)</f>
        <v/>
      </c>
      <c r="R978">
        <f>IF($P978="","",IFERROR(INDEX(WageParty,MATCH($Q978,WageIds,0)),""))</f>
        <v/>
      </c>
      <c r="S978">
        <f>IF($P978="","",IFERROR(INDEX($F$6:$F$2005,MATCH($Q978,WageIds,0)),""))</f>
        <v/>
      </c>
      <c r="T978">
        <f>IF(OR($P978="",$S978="",$S978="نامعتبر"),"",LEFT($S978,4)&amp;MID($S978,6,2)&amp;RIGHT($S978,2)&amp;"0000"&amp;"|"&amp;"2"&amp;RIGHT("00000"&amp;973,5))</f>
        <v/>
      </c>
      <c r="U978">
        <f>IF($T978="","",COUNTIFS(LdAParty,$P978,LdAType,1,LdAKey,"&lt;"&amp;$T978)+COUNTIFS(LdBMember,$P978,LdBKey,"&lt;"&amp;$T978)+COUNTIFS(LdCParty,$P978,LdCKey,"&lt;"&amp;$T978)+1)</f>
        <v/>
      </c>
      <c r="V978">
        <f>IF($U978="","",$P978&amp;"|"&amp;RIGHT("000000"&amp;$U978,6))</f>
        <v/>
      </c>
      <c r="W978">
        <f>IF($T978="","",COUNTIFS(LdBGroup,$R978,LdBKey,"&lt;"&amp;$T978)+1)</f>
        <v/>
      </c>
      <c r="X978">
        <f>IF($W978="","",$R978&amp;"|"&amp;RIGHT("000000"&amp;$W978,6))</f>
        <v/>
      </c>
      <c r="Y978">
        <f>IF($P978="","",IF(Shares!$E981="",0,Shares!$E981))</f>
        <v/>
      </c>
      <c r="Z978">
        <f>IF($P978="","",Shares!$H981)</f>
        <v/>
      </c>
      <c r="AE978">
        <f>IF(OR(Sync!$S978="",Sync!$P978=""),"",Sync!$S978)</f>
        <v/>
      </c>
      <c r="AF978">
        <f>IF($AE978="","",IF(ISNUMBER(Sync!$P978),IF(AND(Sync!$P978&gt;=10000101,Sync!$P978&lt;=99991231),INT(Sync!$P978/10000),""),IFERROR(VALUE(TRIM(LEFT(Sync!$P978,FIND("/",Sync!$P978)-1))),"")))</f>
        <v/>
      </c>
      <c r="AG978">
        <f>IF(OR($AE978="",$AF978=""),"",IF(ISNUMBER(Sync!$P978),INT(MOD(Sync!$P978,10000)/100),IFERROR(VALUE(TRIM(LEFT(MID(Sync!$P978,FIND("/",Sync!$P978)+1,20),FIND("/",MID(Sync!$P978,FIND("/",Sync!$P978)+1,20))-1))),"")))</f>
        <v/>
      </c>
      <c r="AH978">
        <f>IF(OR($AE978="",$AF978=""),"",IF(ISNUMBER(Sync!$P978),MOD(Sync!$P978,100),IFERROR(VALUE(TRIM(MID(MID(Sync!$P978,FIND("/",Sync!$P978)+1,20),FIND("/",MID(Sync!$P978,FIND("/",Sync!$P978)+1,20))+1,20))),"")))</f>
        <v/>
      </c>
      <c r="AI978">
        <f>IF($AE978="","",IF(OR($AF978="",$AG978="",$AH978="",$AF978&lt;1300,$AF978&gt;1500,$AG978&lt;1,$AG978&gt;12,$AH978&lt;1,$AH978&gt;31),"نامعتبر",RIGHT("0000"&amp;$AF978,4)&amp;"/"&amp;RIGHT("00"&amp;$AG978,2)&amp;"/"&amp;RIGHT("00"&amp;$AH978,2)))</f>
        <v/>
      </c>
      <c r="AJ978">
        <f>IF($AE978="","",IF(Sync!$Q978="","0000",IF(AND(ISNUMBER(Sync!$Q978),Sync!$Q978&gt;=0,Sync!$Q978&lt;1),RIGHT("00"&amp;HOUR(Sync!$Q978),2)&amp;RIGHT("00"&amp;MINUTE(Sync!$Q978),2),IFERROR(RIGHT("00"&amp;VALUE(LEFT(Sync!$Q978,FIND(":",Sync!$Q978)-1)),2)&amp;RIGHT("00"&amp;VALUE(MID(Sync!$Q978,FIND(":",Sync!$Q978)+1,2)),2),"0000"))))</f>
        <v/>
      </c>
      <c r="AK978">
        <f>IF(OR($AE978="",$AI978="",$AI978="نامعتبر"),"",LEFT($AI978,4)&amp;MID($AI978,6,2)&amp;RIGHT($AI978,2)&amp;$AJ978&amp;"|"&amp;"3"&amp;RIGHT("00000"&amp;973,5))</f>
        <v/>
      </c>
      <c r="AL978">
        <f>IF($AK978="","",COUNTIFS(LdAParty,$AE978,LdAType,1,LdAKey,"&lt;"&amp;$AK978)+COUNTIFS(LdBMember,$AE978,LdBKey,"&lt;"&amp;$AK978)+COUNTIFS(LdCParty,$AE978,LdCKey,"&lt;"&amp;$AK978)+1)</f>
        <v/>
      </c>
      <c r="AM978">
        <f>IF($AL978="","",$AE978&amp;"|"&amp;RIGHT("000000"&amp;$AL978,6))</f>
        <v/>
      </c>
      <c r="AN978">
        <f>IF($AE978="","",IF(Sync!$W978="",0,Sync!$W978))</f>
        <v/>
      </c>
      <c r="AO978">
        <f>IF($AE978="","",IF(Sync!$X978="",0,Sync!$X978))</f>
        <v/>
      </c>
      <c r="AP978">
        <f>IF($AE978="","",Sync!$R978)</f>
        <v/>
      </c>
      <c r="AQ978">
        <f>IF($AE978="","",Sync!$Y978)</f>
        <v/>
      </c>
    </row>
    <row r="979">
      <c r="A979">
        <f>IF(OR(Wages!$B982="",Wages!$E982=""),"",Wages!$E982)</f>
        <v/>
      </c>
      <c r="B979">
        <f>IF($A979="","",IF(Wages!$C982="دستمزد گروهی",2,1))</f>
        <v/>
      </c>
      <c r="C979">
        <f>IF($A979="","",IF(ISNUMBER(Wages!$B982),IF(AND(Wages!$B982&gt;=10000101,Wages!$B982&lt;=99991231),INT(Wages!$B982/10000),""),IFERROR(VALUE(TRIM(LEFT(Wages!$B982,FIND("/",Wages!$B982)-1))),"")))</f>
        <v/>
      </c>
      <c r="D979">
        <f>IF(OR($A979="",$C979=""),"",IF(ISNUMBER(Wages!$B982),INT(MOD(Wages!$B982,10000)/100),IFERROR(VALUE(TRIM(LEFT(MID(Wages!$B982,FIND("/",Wages!$B982)+1,20),FIND("/",MID(Wages!$B982,FIND("/",Wages!$B982)+1,20))-1))),"")))</f>
        <v/>
      </c>
      <c r="E979">
        <f>IF(OR($A979="",$C979=""),"",IF(ISNUMBER(Wages!$B982),MOD(Wages!$B982,100),IFERROR(VALUE(TRIM(MID(MID(Wages!$B982,FIND("/",Wages!$B982)+1,20),FIND("/",MID(Wages!$B982,FIND("/",Wages!$B982)+1,20))+1,20))),"")))</f>
        <v/>
      </c>
      <c r="F979">
        <f>IF($A979="","",IF(OR($C979="",$D979="",$E979="",$C979&lt;1300,$C979&gt;1500,$D979&lt;1,$D979&gt;12,$E979&lt;1,$E979&gt;31),"نامعتبر",RIGHT("0000"&amp;$C979,4)&amp;"/"&amp;RIGHT("00"&amp;$D979,2)&amp;"/"&amp;RIGHT("00"&amp;$E979,2)))</f>
        <v/>
      </c>
      <c r="G979">
        <f>IF(OR($A979="",$F979="",$F979="نامعتبر"),"",LEFT($F979,4)&amp;MID($F979,6,2)&amp;RIGHT($F979,2)&amp;"0000"&amp;"|"&amp;"1"&amp;RIGHT("00000"&amp;974,5))</f>
        <v/>
      </c>
      <c r="H979">
        <f>IF(OR($B979&lt;&gt;1,$G979=""),"",COUNTIFS(LdAParty,$A979,LdAType,1,LdAKey,"&lt;"&amp;$G979)+COUNTIFS(LdBMember,$A979,LdBKey,"&lt;"&amp;$G979)+COUNTIFS(LdCParty,$A979,LdCKey,"&lt;"&amp;$G979)+1)</f>
        <v/>
      </c>
      <c r="I979">
        <f>IF($H979="","",$A979&amp;"|"&amp;RIGHT("000000"&amp;$H979,6))</f>
        <v/>
      </c>
      <c r="J979">
        <f>IF(OR($B979&lt;&gt;2,$G979=""),"",COUNTIFS(LdAParty,$A979,LdAType,2,LdAKey,"&lt;"&amp;$G979)+1)</f>
        <v/>
      </c>
      <c r="K979">
        <f>IF($J979="","",$A979&amp;"|"&amp;RIGHT("000000"&amp;$J979,6))</f>
        <v/>
      </c>
      <c r="L979">
        <f>IF($A979="","",IF(Wages!$G982="",0,Wages!$G982))</f>
        <v/>
      </c>
      <c r="M979">
        <f>IF($A979="","",Wages!$J982)</f>
        <v/>
      </c>
      <c r="N979">
        <f>IF($A979="","",Wages!$D982)</f>
        <v/>
      </c>
      <c r="P979">
        <f>IF(OR(Shares!$B982="",Shares!$C982=""),"",Shares!$C982)</f>
        <v/>
      </c>
      <c r="Q979">
        <f>IF($P979="","",Shares!$B982)</f>
        <v/>
      </c>
      <c r="R979">
        <f>IF($P979="","",IFERROR(INDEX(WageParty,MATCH($Q979,WageIds,0)),""))</f>
        <v/>
      </c>
      <c r="S979">
        <f>IF($P979="","",IFERROR(INDEX($F$6:$F$2005,MATCH($Q979,WageIds,0)),""))</f>
        <v/>
      </c>
      <c r="T979">
        <f>IF(OR($P979="",$S979="",$S979="نامعتبر"),"",LEFT($S979,4)&amp;MID($S979,6,2)&amp;RIGHT($S979,2)&amp;"0000"&amp;"|"&amp;"2"&amp;RIGHT("00000"&amp;974,5))</f>
        <v/>
      </c>
      <c r="U979">
        <f>IF($T979="","",COUNTIFS(LdAParty,$P979,LdAType,1,LdAKey,"&lt;"&amp;$T979)+COUNTIFS(LdBMember,$P979,LdBKey,"&lt;"&amp;$T979)+COUNTIFS(LdCParty,$P979,LdCKey,"&lt;"&amp;$T979)+1)</f>
        <v/>
      </c>
      <c r="V979">
        <f>IF($U979="","",$P979&amp;"|"&amp;RIGHT("000000"&amp;$U979,6))</f>
        <v/>
      </c>
      <c r="W979">
        <f>IF($T979="","",COUNTIFS(LdBGroup,$R979,LdBKey,"&lt;"&amp;$T979)+1)</f>
        <v/>
      </c>
      <c r="X979">
        <f>IF($W979="","",$R979&amp;"|"&amp;RIGHT("000000"&amp;$W979,6))</f>
        <v/>
      </c>
      <c r="Y979">
        <f>IF($P979="","",IF(Shares!$E982="",0,Shares!$E982))</f>
        <v/>
      </c>
      <c r="Z979">
        <f>IF($P979="","",Shares!$H982)</f>
        <v/>
      </c>
      <c r="AE979">
        <f>IF(OR(Sync!$S979="",Sync!$P979=""),"",Sync!$S979)</f>
        <v/>
      </c>
      <c r="AF979">
        <f>IF($AE979="","",IF(ISNUMBER(Sync!$P979),IF(AND(Sync!$P979&gt;=10000101,Sync!$P979&lt;=99991231),INT(Sync!$P979/10000),""),IFERROR(VALUE(TRIM(LEFT(Sync!$P979,FIND("/",Sync!$P979)-1))),"")))</f>
        <v/>
      </c>
      <c r="AG979">
        <f>IF(OR($AE979="",$AF979=""),"",IF(ISNUMBER(Sync!$P979),INT(MOD(Sync!$P979,10000)/100),IFERROR(VALUE(TRIM(LEFT(MID(Sync!$P979,FIND("/",Sync!$P979)+1,20),FIND("/",MID(Sync!$P979,FIND("/",Sync!$P979)+1,20))-1))),"")))</f>
        <v/>
      </c>
      <c r="AH979">
        <f>IF(OR($AE979="",$AF979=""),"",IF(ISNUMBER(Sync!$P979),MOD(Sync!$P979,100),IFERROR(VALUE(TRIM(MID(MID(Sync!$P979,FIND("/",Sync!$P979)+1,20),FIND("/",MID(Sync!$P979,FIND("/",Sync!$P979)+1,20))+1,20))),"")))</f>
        <v/>
      </c>
      <c r="AI979">
        <f>IF($AE979="","",IF(OR($AF979="",$AG979="",$AH979="",$AF979&lt;1300,$AF979&gt;1500,$AG979&lt;1,$AG979&gt;12,$AH979&lt;1,$AH979&gt;31),"نامعتبر",RIGHT("0000"&amp;$AF979,4)&amp;"/"&amp;RIGHT("00"&amp;$AG979,2)&amp;"/"&amp;RIGHT("00"&amp;$AH979,2)))</f>
        <v/>
      </c>
      <c r="AJ979">
        <f>IF($AE979="","",IF(Sync!$Q979="","0000",IF(AND(ISNUMBER(Sync!$Q979),Sync!$Q979&gt;=0,Sync!$Q979&lt;1),RIGHT("00"&amp;HOUR(Sync!$Q979),2)&amp;RIGHT("00"&amp;MINUTE(Sync!$Q979),2),IFERROR(RIGHT("00"&amp;VALUE(LEFT(Sync!$Q979,FIND(":",Sync!$Q979)-1)),2)&amp;RIGHT("00"&amp;VALUE(MID(Sync!$Q979,FIND(":",Sync!$Q979)+1,2)),2),"0000"))))</f>
        <v/>
      </c>
      <c r="AK979">
        <f>IF(OR($AE979="",$AI979="",$AI979="نامعتبر"),"",LEFT($AI979,4)&amp;MID($AI979,6,2)&amp;RIGHT($AI979,2)&amp;$AJ979&amp;"|"&amp;"3"&amp;RIGHT("00000"&amp;974,5))</f>
        <v/>
      </c>
      <c r="AL979">
        <f>IF($AK979="","",COUNTIFS(LdAParty,$AE979,LdAType,1,LdAKey,"&lt;"&amp;$AK979)+COUNTIFS(LdBMember,$AE979,LdBKey,"&lt;"&amp;$AK979)+COUNTIFS(LdCParty,$AE979,LdCKey,"&lt;"&amp;$AK979)+1)</f>
        <v/>
      </c>
      <c r="AM979">
        <f>IF($AL979="","",$AE979&amp;"|"&amp;RIGHT("000000"&amp;$AL979,6))</f>
        <v/>
      </c>
      <c r="AN979">
        <f>IF($AE979="","",IF(Sync!$W979="",0,Sync!$W979))</f>
        <v/>
      </c>
      <c r="AO979">
        <f>IF($AE979="","",IF(Sync!$X979="",0,Sync!$X979))</f>
        <v/>
      </c>
      <c r="AP979">
        <f>IF($AE979="","",Sync!$R979)</f>
        <v/>
      </c>
      <c r="AQ979">
        <f>IF($AE979="","",Sync!$Y979)</f>
        <v/>
      </c>
    </row>
    <row r="980">
      <c r="A980">
        <f>IF(OR(Wages!$B983="",Wages!$E983=""),"",Wages!$E983)</f>
        <v/>
      </c>
      <c r="B980">
        <f>IF($A980="","",IF(Wages!$C983="دستمزد گروهی",2,1))</f>
        <v/>
      </c>
      <c r="C980">
        <f>IF($A980="","",IF(ISNUMBER(Wages!$B983),IF(AND(Wages!$B983&gt;=10000101,Wages!$B983&lt;=99991231),INT(Wages!$B983/10000),""),IFERROR(VALUE(TRIM(LEFT(Wages!$B983,FIND("/",Wages!$B983)-1))),"")))</f>
        <v/>
      </c>
      <c r="D980">
        <f>IF(OR($A980="",$C980=""),"",IF(ISNUMBER(Wages!$B983),INT(MOD(Wages!$B983,10000)/100),IFERROR(VALUE(TRIM(LEFT(MID(Wages!$B983,FIND("/",Wages!$B983)+1,20),FIND("/",MID(Wages!$B983,FIND("/",Wages!$B983)+1,20))-1))),"")))</f>
        <v/>
      </c>
      <c r="E980">
        <f>IF(OR($A980="",$C980=""),"",IF(ISNUMBER(Wages!$B983),MOD(Wages!$B983,100),IFERROR(VALUE(TRIM(MID(MID(Wages!$B983,FIND("/",Wages!$B983)+1,20),FIND("/",MID(Wages!$B983,FIND("/",Wages!$B983)+1,20))+1,20))),"")))</f>
        <v/>
      </c>
      <c r="F980">
        <f>IF($A980="","",IF(OR($C980="",$D980="",$E980="",$C980&lt;1300,$C980&gt;1500,$D980&lt;1,$D980&gt;12,$E980&lt;1,$E980&gt;31),"نامعتبر",RIGHT("0000"&amp;$C980,4)&amp;"/"&amp;RIGHT("00"&amp;$D980,2)&amp;"/"&amp;RIGHT("00"&amp;$E980,2)))</f>
        <v/>
      </c>
      <c r="G980">
        <f>IF(OR($A980="",$F980="",$F980="نامعتبر"),"",LEFT($F980,4)&amp;MID($F980,6,2)&amp;RIGHT($F980,2)&amp;"0000"&amp;"|"&amp;"1"&amp;RIGHT("00000"&amp;975,5))</f>
        <v/>
      </c>
      <c r="H980">
        <f>IF(OR($B980&lt;&gt;1,$G980=""),"",COUNTIFS(LdAParty,$A980,LdAType,1,LdAKey,"&lt;"&amp;$G980)+COUNTIFS(LdBMember,$A980,LdBKey,"&lt;"&amp;$G980)+COUNTIFS(LdCParty,$A980,LdCKey,"&lt;"&amp;$G980)+1)</f>
        <v/>
      </c>
      <c r="I980">
        <f>IF($H980="","",$A980&amp;"|"&amp;RIGHT("000000"&amp;$H980,6))</f>
        <v/>
      </c>
      <c r="J980">
        <f>IF(OR($B980&lt;&gt;2,$G980=""),"",COUNTIFS(LdAParty,$A980,LdAType,2,LdAKey,"&lt;"&amp;$G980)+1)</f>
        <v/>
      </c>
      <c r="K980">
        <f>IF($J980="","",$A980&amp;"|"&amp;RIGHT("000000"&amp;$J980,6))</f>
        <v/>
      </c>
      <c r="L980">
        <f>IF($A980="","",IF(Wages!$G983="",0,Wages!$G983))</f>
        <v/>
      </c>
      <c r="M980">
        <f>IF($A980="","",Wages!$J983)</f>
        <v/>
      </c>
      <c r="N980">
        <f>IF($A980="","",Wages!$D983)</f>
        <v/>
      </c>
      <c r="P980">
        <f>IF(OR(Shares!$B983="",Shares!$C983=""),"",Shares!$C983)</f>
        <v/>
      </c>
      <c r="Q980">
        <f>IF($P980="","",Shares!$B983)</f>
        <v/>
      </c>
      <c r="R980">
        <f>IF($P980="","",IFERROR(INDEX(WageParty,MATCH($Q980,WageIds,0)),""))</f>
        <v/>
      </c>
      <c r="S980">
        <f>IF($P980="","",IFERROR(INDEX($F$6:$F$2005,MATCH($Q980,WageIds,0)),""))</f>
        <v/>
      </c>
      <c r="T980">
        <f>IF(OR($P980="",$S980="",$S980="نامعتبر"),"",LEFT($S980,4)&amp;MID($S980,6,2)&amp;RIGHT($S980,2)&amp;"0000"&amp;"|"&amp;"2"&amp;RIGHT("00000"&amp;975,5))</f>
        <v/>
      </c>
      <c r="U980">
        <f>IF($T980="","",COUNTIFS(LdAParty,$P980,LdAType,1,LdAKey,"&lt;"&amp;$T980)+COUNTIFS(LdBMember,$P980,LdBKey,"&lt;"&amp;$T980)+COUNTIFS(LdCParty,$P980,LdCKey,"&lt;"&amp;$T980)+1)</f>
        <v/>
      </c>
      <c r="V980">
        <f>IF($U980="","",$P980&amp;"|"&amp;RIGHT("000000"&amp;$U980,6))</f>
        <v/>
      </c>
      <c r="W980">
        <f>IF($T980="","",COUNTIFS(LdBGroup,$R980,LdBKey,"&lt;"&amp;$T980)+1)</f>
        <v/>
      </c>
      <c r="X980">
        <f>IF($W980="","",$R980&amp;"|"&amp;RIGHT("000000"&amp;$W980,6))</f>
        <v/>
      </c>
      <c r="Y980">
        <f>IF($P980="","",IF(Shares!$E983="",0,Shares!$E983))</f>
        <v/>
      </c>
      <c r="Z980">
        <f>IF($P980="","",Shares!$H983)</f>
        <v/>
      </c>
      <c r="AE980">
        <f>IF(OR(Sync!$S980="",Sync!$P980=""),"",Sync!$S980)</f>
        <v/>
      </c>
      <c r="AF980">
        <f>IF($AE980="","",IF(ISNUMBER(Sync!$P980),IF(AND(Sync!$P980&gt;=10000101,Sync!$P980&lt;=99991231),INT(Sync!$P980/10000),""),IFERROR(VALUE(TRIM(LEFT(Sync!$P980,FIND("/",Sync!$P980)-1))),"")))</f>
        <v/>
      </c>
      <c r="AG980">
        <f>IF(OR($AE980="",$AF980=""),"",IF(ISNUMBER(Sync!$P980),INT(MOD(Sync!$P980,10000)/100),IFERROR(VALUE(TRIM(LEFT(MID(Sync!$P980,FIND("/",Sync!$P980)+1,20),FIND("/",MID(Sync!$P980,FIND("/",Sync!$P980)+1,20))-1))),"")))</f>
        <v/>
      </c>
      <c r="AH980">
        <f>IF(OR($AE980="",$AF980=""),"",IF(ISNUMBER(Sync!$P980),MOD(Sync!$P980,100),IFERROR(VALUE(TRIM(MID(MID(Sync!$P980,FIND("/",Sync!$P980)+1,20),FIND("/",MID(Sync!$P980,FIND("/",Sync!$P980)+1,20))+1,20))),"")))</f>
        <v/>
      </c>
      <c r="AI980">
        <f>IF($AE980="","",IF(OR($AF980="",$AG980="",$AH980="",$AF980&lt;1300,$AF980&gt;1500,$AG980&lt;1,$AG980&gt;12,$AH980&lt;1,$AH980&gt;31),"نامعتبر",RIGHT("0000"&amp;$AF980,4)&amp;"/"&amp;RIGHT("00"&amp;$AG980,2)&amp;"/"&amp;RIGHT("00"&amp;$AH980,2)))</f>
        <v/>
      </c>
      <c r="AJ980">
        <f>IF($AE980="","",IF(Sync!$Q980="","0000",IF(AND(ISNUMBER(Sync!$Q980),Sync!$Q980&gt;=0,Sync!$Q980&lt;1),RIGHT("00"&amp;HOUR(Sync!$Q980),2)&amp;RIGHT("00"&amp;MINUTE(Sync!$Q980),2),IFERROR(RIGHT("00"&amp;VALUE(LEFT(Sync!$Q980,FIND(":",Sync!$Q980)-1)),2)&amp;RIGHT("00"&amp;VALUE(MID(Sync!$Q980,FIND(":",Sync!$Q980)+1,2)),2),"0000"))))</f>
        <v/>
      </c>
      <c r="AK980">
        <f>IF(OR($AE980="",$AI980="",$AI980="نامعتبر"),"",LEFT($AI980,4)&amp;MID($AI980,6,2)&amp;RIGHT($AI980,2)&amp;$AJ980&amp;"|"&amp;"3"&amp;RIGHT("00000"&amp;975,5))</f>
        <v/>
      </c>
      <c r="AL980">
        <f>IF($AK980="","",COUNTIFS(LdAParty,$AE980,LdAType,1,LdAKey,"&lt;"&amp;$AK980)+COUNTIFS(LdBMember,$AE980,LdBKey,"&lt;"&amp;$AK980)+COUNTIFS(LdCParty,$AE980,LdCKey,"&lt;"&amp;$AK980)+1)</f>
        <v/>
      </c>
      <c r="AM980">
        <f>IF($AL980="","",$AE980&amp;"|"&amp;RIGHT("000000"&amp;$AL980,6))</f>
        <v/>
      </c>
      <c r="AN980">
        <f>IF($AE980="","",IF(Sync!$W980="",0,Sync!$W980))</f>
        <v/>
      </c>
      <c r="AO980">
        <f>IF($AE980="","",IF(Sync!$X980="",0,Sync!$X980))</f>
        <v/>
      </c>
      <c r="AP980">
        <f>IF($AE980="","",Sync!$R980)</f>
        <v/>
      </c>
      <c r="AQ980">
        <f>IF($AE980="","",Sync!$Y980)</f>
        <v/>
      </c>
    </row>
    <row r="981">
      <c r="A981">
        <f>IF(OR(Wages!$B984="",Wages!$E984=""),"",Wages!$E984)</f>
        <v/>
      </c>
      <c r="B981">
        <f>IF($A981="","",IF(Wages!$C984="دستمزد گروهی",2,1))</f>
        <v/>
      </c>
      <c r="C981">
        <f>IF($A981="","",IF(ISNUMBER(Wages!$B984),IF(AND(Wages!$B984&gt;=10000101,Wages!$B984&lt;=99991231),INT(Wages!$B984/10000),""),IFERROR(VALUE(TRIM(LEFT(Wages!$B984,FIND("/",Wages!$B984)-1))),"")))</f>
        <v/>
      </c>
      <c r="D981">
        <f>IF(OR($A981="",$C981=""),"",IF(ISNUMBER(Wages!$B984),INT(MOD(Wages!$B984,10000)/100),IFERROR(VALUE(TRIM(LEFT(MID(Wages!$B984,FIND("/",Wages!$B984)+1,20),FIND("/",MID(Wages!$B984,FIND("/",Wages!$B984)+1,20))-1))),"")))</f>
        <v/>
      </c>
      <c r="E981">
        <f>IF(OR($A981="",$C981=""),"",IF(ISNUMBER(Wages!$B984),MOD(Wages!$B984,100),IFERROR(VALUE(TRIM(MID(MID(Wages!$B984,FIND("/",Wages!$B984)+1,20),FIND("/",MID(Wages!$B984,FIND("/",Wages!$B984)+1,20))+1,20))),"")))</f>
        <v/>
      </c>
      <c r="F981">
        <f>IF($A981="","",IF(OR($C981="",$D981="",$E981="",$C981&lt;1300,$C981&gt;1500,$D981&lt;1,$D981&gt;12,$E981&lt;1,$E981&gt;31),"نامعتبر",RIGHT("0000"&amp;$C981,4)&amp;"/"&amp;RIGHT("00"&amp;$D981,2)&amp;"/"&amp;RIGHT("00"&amp;$E981,2)))</f>
        <v/>
      </c>
      <c r="G981">
        <f>IF(OR($A981="",$F981="",$F981="نامعتبر"),"",LEFT($F981,4)&amp;MID($F981,6,2)&amp;RIGHT($F981,2)&amp;"0000"&amp;"|"&amp;"1"&amp;RIGHT("00000"&amp;976,5))</f>
        <v/>
      </c>
      <c r="H981">
        <f>IF(OR($B981&lt;&gt;1,$G981=""),"",COUNTIFS(LdAParty,$A981,LdAType,1,LdAKey,"&lt;"&amp;$G981)+COUNTIFS(LdBMember,$A981,LdBKey,"&lt;"&amp;$G981)+COUNTIFS(LdCParty,$A981,LdCKey,"&lt;"&amp;$G981)+1)</f>
        <v/>
      </c>
      <c r="I981">
        <f>IF($H981="","",$A981&amp;"|"&amp;RIGHT("000000"&amp;$H981,6))</f>
        <v/>
      </c>
      <c r="J981">
        <f>IF(OR($B981&lt;&gt;2,$G981=""),"",COUNTIFS(LdAParty,$A981,LdAType,2,LdAKey,"&lt;"&amp;$G981)+1)</f>
        <v/>
      </c>
      <c r="K981">
        <f>IF($J981="","",$A981&amp;"|"&amp;RIGHT("000000"&amp;$J981,6))</f>
        <v/>
      </c>
      <c r="L981">
        <f>IF($A981="","",IF(Wages!$G984="",0,Wages!$G984))</f>
        <v/>
      </c>
      <c r="M981">
        <f>IF($A981="","",Wages!$J984)</f>
        <v/>
      </c>
      <c r="N981">
        <f>IF($A981="","",Wages!$D984)</f>
        <v/>
      </c>
      <c r="P981">
        <f>IF(OR(Shares!$B984="",Shares!$C984=""),"",Shares!$C984)</f>
        <v/>
      </c>
      <c r="Q981">
        <f>IF($P981="","",Shares!$B984)</f>
        <v/>
      </c>
      <c r="R981">
        <f>IF($P981="","",IFERROR(INDEX(WageParty,MATCH($Q981,WageIds,0)),""))</f>
        <v/>
      </c>
      <c r="S981">
        <f>IF($P981="","",IFERROR(INDEX($F$6:$F$2005,MATCH($Q981,WageIds,0)),""))</f>
        <v/>
      </c>
      <c r="T981">
        <f>IF(OR($P981="",$S981="",$S981="نامعتبر"),"",LEFT($S981,4)&amp;MID($S981,6,2)&amp;RIGHT($S981,2)&amp;"0000"&amp;"|"&amp;"2"&amp;RIGHT("00000"&amp;976,5))</f>
        <v/>
      </c>
      <c r="U981">
        <f>IF($T981="","",COUNTIFS(LdAParty,$P981,LdAType,1,LdAKey,"&lt;"&amp;$T981)+COUNTIFS(LdBMember,$P981,LdBKey,"&lt;"&amp;$T981)+COUNTIFS(LdCParty,$P981,LdCKey,"&lt;"&amp;$T981)+1)</f>
        <v/>
      </c>
      <c r="V981">
        <f>IF($U981="","",$P981&amp;"|"&amp;RIGHT("000000"&amp;$U981,6))</f>
        <v/>
      </c>
      <c r="W981">
        <f>IF($T981="","",COUNTIFS(LdBGroup,$R981,LdBKey,"&lt;"&amp;$T981)+1)</f>
        <v/>
      </c>
      <c r="X981">
        <f>IF($W981="","",$R981&amp;"|"&amp;RIGHT("000000"&amp;$W981,6))</f>
        <v/>
      </c>
      <c r="Y981">
        <f>IF($P981="","",IF(Shares!$E984="",0,Shares!$E984))</f>
        <v/>
      </c>
      <c r="Z981">
        <f>IF($P981="","",Shares!$H984)</f>
        <v/>
      </c>
      <c r="AE981">
        <f>IF(OR(Sync!$S981="",Sync!$P981=""),"",Sync!$S981)</f>
        <v/>
      </c>
      <c r="AF981">
        <f>IF($AE981="","",IF(ISNUMBER(Sync!$P981),IF(AND(Sync!$P981&gt;=10000101,Sync!$P981&lt;=99991231),INT(Sync!$P981/10000),""),IFERROR(VALUE(TRIM(LEFT(Sync!$P981,FIND("/",Sync!$P981)-1))),"")))</f>
        <v/>
      </c>
      <c r="AG981">
        <f>IF(OR($AE981="",$AF981=""),"",IF(ISNUMBER(Sync!$P981),INT(MOD(Sync!$P981,10000)/100),IFERROR(VALUE(TRIM(LEFT(MID(Sync!$P981,FIND("/",Sync!$P981)+1,20),FIND("/",MID(Sync!$P981,FIND("/",Sync!$P981)+1,20))-1))),"")))</f>
        <v/>
      </c>
      <c r="AH981">
        <f>IF(OR($AE981="",$AF981=""),"",IF(ISNUMBER(Sync!$P981),MOD(Sync!$P981,100),IFERROR(VALUE(TRIM(MID(MID(Sync!$P981,FIND("/",Sync!$P981)+1,20),FIND("/",MID(Sync!$P981,FIND("/",Sync!$P981)+1,20))+1,20))),"")))</f>
        <v/>
      </c>
      <c r="AI981">
        <f>IF($AE981="","",IF(OR($AF981="",$AG981="",$AH981="",$AF981&lt;1300,$AF981&gt;1500,$AG981&lt;1,$AG981&gt;12,$AH981&lt;1,$AH981&gt;31),"نامعتبر",RIGHT("0000"&amp;$AF981,4)&amp;"/"&amp;RIGHT("00"&amp;$AG981,2)&amp;"/"&amp;RIGHT("00"&amp;$AH981,2)))</f>
        <v/>
      </c>
      <c r="AJ981">
        <f>IF($AE981="","",IF(Sync!$Q981="","0000",IF(AND(ISNUMBER(Sync!$Q981),Sync!$Q981&gt;=0,Sync!$Q981&lt;1),RIGHT("00"&amp;HOUR(Sync!$Q981),2)&amp;RIGHT("00"&amp;MINUTE(Sync!$Q981),2),IFERROR(RIGHT("00"&amp;VALUE(LEFT(Sync!$Q981,FIND(":",Sync!$Q981)-1)),2)&amp;RIGHT("00"&amp;VALUE(MID(Sync!$Q981,FIND(":",Sync!$Q981)+1,2)),2),"0000"))))</f>
        <v/>
      </c>
      <c r="AK981">
        <f>IF(OR($AE981="",$AI981="",$AI981="نامعتبر"),"",LEFT($AI981,4)&amp;MID($AI981,6,2)&amp;RIGHT($AI981,2)&amp;$AJ981&amp;"|"&amp;"3"&amp;RIGHT("00000"&amp;976,5))</f>
        <v/>
      </c>
      <c r="AL981">
        <f>IF($AK981="","",COUNTIFS(LdAParty,$AE981,LdAType,1,LdAKey,"&lt;"&amp;$AK981)+COUNTIFS(LdBMember,$AE981,LdBKey,"&lt;"&amp;$AK981)+COUNTIFS(LdCParty,$AE981,LdCKey,"&lt;"&amp;$AK981)+1)</f>
        <v/>
      </c>
      <c r="AM981">
        <f>IF($AL981="","",$AE981&amp;"|"&amp;RIGHT("000000"&amp;$AL981,6))</f>
        <v/>
      </c>
      <c r="AN981">
        <f>IF($AE981="","",IF(Sync!$W981="",0,Sync!$W981))</f>
        <v/>
      </c>
      <c r="AO981">
        <f>IF($AE981="","",IF(Sync!$X981="",0,Sync!$X981))</f>
        <v/>
      </c>
      <c r="AP981">
        <f>IF($AE981="","",Sync!$R981)</f>
        <v/>
      </c>
      <c r="AQ981">
        <f>IF($AE981="","",Sync!$Y981)</f>
        <v/>
      </c>
    </row>
    <row r="982">
      <c r="A982">
        <f>IF(OR(Wages!$B985="",Wages!$E985=""),"",Wages!$E985)</f>
        <v/>
      </c>
      <c r="B982">
        <f>IF($A982="","",IF(Wages!$C985="دستمزد گروهی",2,1))</f>
        <v/>
      </c>
      <c r="C982">
        <f>IF($A982="","",IF(ISNUMBER(Wages!$B985),IF(AND(Wages!$B985&gt;=10000101,Wages!$B985&lt;=99991231),INT(Wages!$B985/10000),""),IFERROR(VALUE(TRIM(LEFT(Wages!$B985,FIND("/",Wages!$B985)-1))),"")))</f>
        <v/>
      </c>
      <c r="D982">
        <f>IF(OR($A982="",$C982=""),"",IF(ISNUMBER(Wages!$B985),INT(MOD(Wages!$B985,10000)/100),IFERROR(VALUE(TRIM(LEFT(MID(Wages!$B985,FIND("/",Wages!$B985)+1,20),FIND("/",MID(Wages!$B985,FIND("/",Wages!$B985)+1,20))-1))),"")))</f>
        <v/>
      </c>
      <c r="E982">
        <f>IF(OR($A982="",$C982=""),"",IF(ISNUMBER(Wages!$B985),MOD(Wages!$B985,100),IFERROR(VALUE(TRIM(MID(MID(Wages!$B985,FIND("/",Wages!$B985)+1,20),FIND("/",MID(Wages!$B985,FIND("/",Wages!$B985)+1,20))+1,20))),"")))</f>
        <v/>
      </c>
      <c r="F982">
        <f>IF($A982="","",IF(OR($C982="",$D982="",$E982="",$C982&lt;1300,$C982&gt;1500,$D982&lt;1,$D982&gt;12,$E982&lt;1,$E982&gt;31),"نامعتبر",RIGHT("0000"&amp;$C982,4)&amp;"/"&amp;RIGHT("00"&amp;$D982,2)&amp;"/"&amp;RIGHT("00"&amp;$E982,2)))</f>
        <v/>
      </c>
      <c r="G982">
        <f>IF(OR($A982="",$F982="",$F982="نامعتبر"),"",LEFT($F982,4)&amp;MID($F982,6,2)&amp;RIGHT($F982,2)&amp;"0000"&amp;"|"&amp;"1"&amp;RIGHT("00000"&amp;977,5))</f>
        <v/>
      </c>
      <c r="H982">
        <f>IF(OR($B982&lt;&gt;1,$G982=""),"",COUNTIFS(LdAParty,$A982,LdAType,1,LdAKey,"&lt;"&amp;$G982)+COUNTIFS(LdBMember,$A982,LdBKey,"&lt;"&amp;$G982)+COUNTIFS(LdCParty,$A982,LdCKey,"&lt;"&amp;$G982)+1)</f>
        <v/>
      </c>
      <c r="I982">
        <f>IF($H982="","",$A982&amp;"|"&amp;RIGHT("000000"&amp;$H982,6))</f>
        <v/>
      </c>
      <c r="J982">
        <f>IF(OR($B982&lt;&gt;2,$G982=""),"",COUNTIFS(LdAParty,$A982,LdAType,2,LdAKey,"&lt;"&amp;$G982)+1)</f>
        <v/>
      </c>
      <c r="K982">
        <f>IF($J982="","",$A982&amp;"|"&amp;RIGHT("000000"&amp;$J982,6))</f>
        <v/>
      </c>
      <c r="L982">
        <f>IF($A982="","",IF(Wages!$G985="",0,Wages!$G985))</f>
        <v/>
      </c>
      <c r="M982">
        <f>IF($A982="","",Wages!$J985)</f>
        <v/>
      </c>
      <c r="N982">
        <f>IF($A982="","",Wages!$D985)</f>
        <v/>
      </c>
      <c r="P982">
        <f>IF(OR(Shares!$B985="",Shares!$C985=""),"",Shares!$C985)</f>
        <v/>
      </c>
      <c r="Q982">
        <f>IF($P982="","",Shares!$B985)</f>
        <v/>
      </c>
      <c r="R982">
        <f>IF($P982="","",IFERROR(INDEX(WageParty,MATCH($Q982,WageIds,0)),""))</f>
        <v/>
      </c>
      <c r="S982">
        <f>IF($P982="","",IFERROR(INDEX($F$6:$F$2005,MATCH($Q982,WageIds,0)),""))</f>
        <v/>
      </c>
      <c r="T982">
        <f>IF(OR($P982="",$S982="",$S982="نامعتبر"),"",LEFT($S982,4)&amp;MID($S982,6,2)&amp;RIGHT($S982,2)&amp;"0000"&amp;"|"&amp;"2"&amp;RIGHT("00000"&amp;977,5))</f>
        <v/>
      </c>
      <c r="U982">
        <f>IF($T982="","",COUNTIFS(LdAParty,$P982,LdAType,1,LdAKey,"&lt;"&amp;$T982)+COUNTIFS(LdBMember,$P982,LdBKey,"&lt;"&amp;$T982)+COUNTIFS(LdCParty,$P982,LdCKey,"&lt;"&amp;$T982)+1)</f>
        <v/>
      </c>
      <c r="V982">
        <f>IF($U982="","",$P982&amp;"|"&amp;RIGHT("000000"&amp;$U982,6))</f>
        <v/>
      </c>
      <c r="W982">
        <f>IF($T982="","",COUNTIFS(LdBGroup,$R982,LdBKey,"&lt;"&amp;$T982)+1)</f>
        <v/>
      </c>
      <c r="X982">
        <f>IF($W982="","",$R982&amp;"|"&amp;RIGHT("000000"&amp;$W982,6))</f>
        <v/>
      </c>
      <c r="Y982">
        <f>IF($P982="","",IF(Shares!$E985="",0,Shares!$E985))</f>
        <v/>
      </c>
      <c r="Z982">
        <f>IF($P982="","",Shares!$H985)</f>
        <v/>
      </c>
      <c r="AE982">
        <f>IF(OR(Sync!$S982="",Sync!$P982=""),"",Sync!$S982)</f>
        <v/>
      </c>
      <c r="AF982">
        <f>IF($AE982="","",IF(ISNUMBER(Sync!$P982),IF(AND(Sync!$P982&gt;=10000101,Sync!$P982&lt;=99991231),INT(Sync!$P982/10000),""),IFERROR(VALUE(TRIM(LEFT(Sync!$P982,FIND("/",Sync!$P982)-1))),"")))</f>
        <v/>
      </c>
      <c r="AG982">
        <f>IF(OR($AE982="",$AF982=""),"",IF(ISNUMBER(Sync!$P982),INT(MOD(Sync!$P982,10000)/100),IFERROR(VALUE(TRIM(LEFT(MID(Sync!$P982,FIND("/",Sync!$P982)+1,20),FIND("/",MID(Sync!$P982,FIND("/",Sync!$P982)+1,20))-1))),"")))</f>
        <v/>
      </c>
      <c r="AH982">
        <f>IF(OR($AE982="",$AF982=""),"",IF(ISNUMBER(Sync!$P982),MOD(Sync!$P982,100),IFERROR(VALUE(TRIM(MID(MID(Sync!$P982,FIND("/",Sync!$P982)+1,20),FIND("/",MID(Sync!$P982,FIND("/",Sync!$P982)+1,20))+1,20))),"")))</f>
        <v/>
      </c>
      <c r="AI982">
        <f>IF($AE982="","",IF(OR($AF982="",$AG982="",$AH982="",$AF982&lt;1300,$AF982&gt;1500,$AG982&lt;1,$AG982&gt;12,$AH982&lt;1,$AH982&gt;31),"نامعتبر",RIGHT("0000"&amp;$AF982,4)&amp;"/"&amp;RIGHT("00"&amp;$AG982,2)&amp;"/"&amp;RIGHT("00"&amp;$AH982,2)))</f>
        <v/>
      </c>
      <c r="AJ982">
        <f>IF($AE982="","",IF(Sync!$Q982="","0000",IF(AND(ISNUMBER(Sync!$Q982),Sync!$Q982&gt;=0,Sync!$Q982&lt;1),RIGHT("00"&amp;HOUR(Sync!$Q982),2)&amp;RIGHT("00"&amp;MINUTE(Sync!$Q982),2),IFERROR(RIGHT("00"&amp;VALUE(LEFT(Sync!$Q982,FIND(":",Sync!$Q982)-1)),2)&amp;RIGHT("00"&amp;VALUE(MID(Sync!$Q982,FIND(":",Sync!$Q982)+1,2)),2),"0000"))))</f>
        <v/>
      </c>
      <c r="AK982">
        <f>IF(OR($AE982="",$AI982="",$AI982="نامعتبر"),"",LEFT($AI982,4)&amp;MID($AI982,6,2)&amp;RIGHT($AI982,2)&amp;$AJ982&amp;"|"&amp;"3"&amp;RIGHT("00000"&amp;977,5))</f>
        <v/>
      </c>
      <c r="AL982">
        <f>IF($AK982="","",COUNTIFS(LdAParty,$AE982,LdAType,1,LdAKey,"&lt;"&amp;$AK982)+COUNTIFS(LdBMember,$AE982,LdBKey,"&lt;"&amp;$AK982)+COUNTIFS(LdCParty,$AE982,LdCKey,"&lt;"&amp;$AK982)+1)</f>
        <v/>
      </c>
      <c r="AM982">
        <f>IF($AL982="","",$AE982&amp;"|"&amp;RIGHT("000000"&amp;$AL982,6))</f>
        <v/>
      </c>
      <c r="AN982">
        <f>IF($AE982="","",IF(Sync!$W982="",0,Sync!$W982))</f>
        <v/>
      </c>
      <c r="AO982">
        <f>IF($AE982="","",IF(Sync!$X982="",0,Sync!$X982))</f>
        <v/>
      </c>
      <c r="AP982">
        <f>IF($AE982="","",Sync!$R982)</f>
        <v/>
      </c>
      <c r="AQ982">
        <f>IF($AE982="","",Sync!$Y982)</f>
        <v/>
      </c>
    </row>
    <row r="983">
      <c r="A983">
        <f>IF(OR(Wages!$B986="",Wages!$E986=""),"",Wages!$E986)</f>
        <v/>
      </c>
      <c r="B983">
        <f>IF($A983="","",IF(Wages!$C986="دستمزد گروهی",2,1))</f>
        <v/>
      </c>
      <c r="C983">
        <f>IF($A983="","",IF(ISNUMBER(Wages!$B986),IF(AND(Wages!$B986&gt;=10000101,Wages!$B986&lt;=99991231),INT(Wages!$B986/10000),""),IFERROR(VALUE(TRIM(LEFT(Wages!$B986,FIND("/",Wages!$B986)-1))),"")))</f>
        <v/>
      </c>
      <c r="D983">
        <f>IF(OR($A983="",$C983=""),"",IF(ISNUMBER(Wages!$B986),INT(MOD(Wages!$B986,10000)/100),IFERROR(VALUE(TRIM(LEFT(MID(Wages!$B986,FIND("/",Wages!$B986)+1,20),FIND("/",MID(Wages!$B986,FIND("/",Wages!$B986)+1,20))-1))),"")))</f>
        <v/>
      </c>
      <c r="E983">
        <f>IF(OR($A983="",$C983=""),"",IF(ISNUMBER(Wages!$B986),MOD(Wages!$B986,100),IFERROR(VALUE(TRIM(MID(MID(Wages!$B986,FIND("/",Wages!$B986)+1,20),FIND("/",MID(Wages!$B986,FIND("/",Wages!$B986)+1,20))+1,20))),"")))</f>
        <v/>
      </c>
      <c r="F983">
        <f>IF($A983="","",IF(OR($C983="",$D983="",$E983="",$C983&lt;1300,$C983&gt;1500,$D983&lt;1,$D983&gt;12,$E983&lt;1,$E983&gt;31),"نامعتبر",RIGHT("0000"&amp;$C983,4)&amp;"/"&amp;RIGHT("00"&amp;$D983,2)&amp;"/"&amp;RIGHT("00"&amp;$E983,2)))</f>
        <v/>
      </c>
      <c r="G983">
        <f>IF(OR($A983="",$F983="",$F983="نامعتبر"),"",LEFT($F983,4)&amp;MID($F983,6,2)&amp;RIGHT($F983,2)&amp;"0000"&amp;"|"&amp;"1"&amp;RIGHT("00000"&amp;978,5))</f>
        <v/>
      </c>
      <c r="H983">
        <f>IF(OR($B983&lt;&gt;1,$G983=""),"",COUNTIFS(LdAParty,$A983,LdAType,1,LdAKey,"&lt;"&amp;$G983)+COUNTIFS(LdBMember,$A983,LdBKey,"&lt;"&amp;$G983)+COUNTIFS(LdCParty,$A983,LdCKey,"&lt;"&amp;$G983)+1)</f>
        <v/>
      </c>
      <c r="I983">
        <f>IF($H983="","",$A983&amp;"|"&amp;RIGHT("000000"&amp;$H983,6))</f>
        <v/>
      </c>
      <c r="J983">
        <f>IF(OR($B983&lt;&gt;2,$G983=""),"",COUNTIFS(LdAParty,$A983,LdAType,2,LdAKey,"&lt;"&amp;$G983)+1)</f>
        <v/>
      </c>
      <c r="K983">
        <f>IF($J983="","",$A983&amp;"|"&amp;RIGHT("000000"&amp;$J983,6))</f>
        <v/>
      </c>
      <c r="L983">
        <f>IF($A983="","",IF(Wages!$G986="",0,Wages!$G986))</f>
        <v/>
      </c>
      <c r="M983">
        <f>IF($A983="","",Wages!$J986)</f>
        <v/>
      </c>
      <c r="N983">
        <f>IF($A983="","",Wages!$D986)</f>
        <v/>
      </c>
      <c r="P983">
        <f>IF(OR(Shares!$B986="",Shares!$C986=""),"",Shares!$C986)</f>
        <v/>
      </c>
      <c r="Q983">
        <f>IF($P983="","",Shares!$B986)</f>
        <v/>
      </c>
      <c r="R983">
        <f>IF($P983="","",IFERROR(INDEX(WageParty,MATCH($Q983,WageIds,0)),""))</f>
        <v/>
      </c>
      <c r="S983">
        <f>IF($P983="","",IFERROR(INDEX($F$6:$F$2005,MATCH($Q983,WageIds,0)),""))</f>
        <v/>
      </c>
      <c r="T983">
        <f>IF(OR($P983="",$S983="",$S983="نامعتبر"),"",LEFT($S983,4)&amp;MID($S983,6,2)&amp;RIGHT($S983,2)&amp;"0000"&amp;"|"&amp;"2"&amp;RIGHT("00000"&amp;978,5))</f>
        <v/>
      </c>
      <c r="U983">
        <f>IF($T983="","",COUNTIFS(LdAParty,$P983,LdAType,1,LdAKey,"&lt;"&amp;$T983)+COUNTIFS(LdBMember,$P983,LdBKey,"&lt;"&amp;$T983)+COUNTIFS(LdCParty,$P983,LdCKey,"&lt;"&amp;$T983)+1)</f>
        <v/>
      </c>
      <c r="V983">
        <f>IF($U983="","",$P983&amp;"|"&amp;RIGHT("000000"&amp;$U983,6))</f>
        <v/>
      </c>
      <c r="W983">
        <f>IF($T983="","",COUNTIFS(LdBGroup,$R983,LdBKey,"&lt;"&amp;$T983)+1)</f>
        <v/>
      </c>
      <c r="X983">
        <f>IF($W983="","",$R983&amp;"|"&amp;RIGHT("000000"&amp;$W983,6))</f>
        <v/>
      </c>
      <c r="Y983">
        <f>IF($P983="","",IF(Shares!$E986="",0,Shares!$E986))</f>
        <v/>
      </c>
      <c r="Z983">
        <f>IF($P983="","",Shares!$H986)</f>
        <v/>
      </c>
      <c r="AE983">
        <f>IF(OR(Sync!$S983="",Sync!$P983=""),"",Sync!$S983)</f>
        <v/>
      </c>
      <c r="AF983">
        <f>IF($AE983="","",IF(ISNUMBER(Sync!$P983),IF(AND(Sync!$P983&gt;=10000101,Sync!$P983&lt;=99991231),INT(Sync!$P983/10000),""),IFERROR(VALUE(TRIM(LEFT(Sync!$P983,FIND("/",Sync!$P983)-1))),"")))</f>
        <v/>
      </c>
      <c r="AG983">
        <f>IF(OR($AE983="",$AF983=""),"",IF(ISNUMBER(Sync!$P983),INT(MOD(Sync!$P983,10000)/100),IFERROR(VALUE(TRIM(LEFT(MID(Sync!$P983,FIND("/",Sync!$P983)+1,20),FIND("/",MID(Sync!$P983,FIND("/",Sync!$P983)+1,20))-1))),"")))</f>
        <v/>
      </c>
      <c r="AH983">
        <f>IF(OR($AE983="",$AF983=""),"",IF(ISNUMBER(Sync!$P983),MOD(Sync!$P983,100),IFERROR(VALUE(TRIM(MID(MID(Sync!$P983,FIND("/",Sync!$P983)+1,20),FIND("/",MID(Sync!$P983,FIND("/",Sync!$P983)+1,20))+1,20))),"")))</f>
        <v/>
      </c>
      <c r="AI983">
        <f>IF($AE983="","",IF(OR($AF983="",$AG983="",$AH983="",$AF983&lt;1300,$AF983&gt;1500,$AG983&lt;1,$AG983&gt;12,$AH983&lt;1,$AH983&gt;31),"نامعتبر",RIGHT("0000"&amp;$AF983,4)&amp;"/"&amp;RIGHT("00"&amp;$AG983,2)&amp;"/"&amp;RIGHT("00"&amp;$AH983,2)))</f>
        <v/>
      </c>
      <c r="AJ983">
        <f>IF($AE983="","",IF(Sync!$Q983="","0000",IF(AND(ISNUMBER(Sync!$Q983),Sync!$Q983&gt;=0,Sync!$Q983&lt;1),RIGHT("00"&amp;HOUR(Sync!$Q983),2)&amp;RIGHT("00"&amp;MINUTE(Sync!$Q983),2),IFERROR(RIGHT("00"&amp;VALUE(LEFT(Sync!$Q983,FIND(":",Sync!$Q983)-1)),2)&amp;RIGHT("00"&amp;VALUE(MID(Sync!$Q983,FIND(":",Sync!$Q983)+1,2)),2),"0000"))))</f>
        <v/>
      </c>
      <c r="AK983">
        <f>IF(OR($AE983="",$AI983="",$AI983="نامعتبر"),"",LEFT($AI983,4)&amp;MID($AI983,6,2)&amp;RIGHT($AI983,2)&amp;$AJ983&amp;"|"&amp;"3"&amp;RIGHT("00000"&amp;978,5))</f>
        <v/>
      </c>
      <c r="AL983">
        <f>IF($AK983="","",COUNTIFS(LdAParty,$AE983,LdAType,1,LdAKey,"&lt;"&amp;$AK983)+COUNTIFS(LdBMember,$AE983,LdBKey,"&lt;"&amp;$AK983)+COUNTIFS(LdCParty,$AE983,LdCKey,"&lt;"&amp;$AK983)+1)</f>
        <v/>
      </c>
      <c r="AM983">
        <f>IF($AL983="","",$AE983&amp;"|"&amp;RIGHT("000000"&amp;$AL983,6))</f>
        <v/>
      </c>
      <c r="AN983">
        <f>IF($AE983="","",IF(Sync!$W983="",0,Sync!$W983))</f>
        <v/>
      </c>
      <c r="AO983">
        <f>IF($AE983="","",IF(Sync!$X983="",0,Sync!$X983))</f>
        <v/>
      </c>
      <c r="AP983">
        <f>IF($AE983="","",Sync!$R983)</f>
        <v/>
      </c>
      <c r="AQ983">
        <f>IF($AE983="","",Sync!$Y983)</f>
        <v/>
      </c>
    </row>
    <row r="984">
      <c r="A984">
        <f>IF(OR(Wages!$B987="",Wages!$E987=""),"",Wages!$E987)</f>
        <v/>
      </c>
      <c r="B984">
        <f>IF($A984="","",IF(Wages!$C987="دستمزد گروهی",2,1))</f>
        <v/>
      </c>
      <c r="C984">
        <f>IF($A984="","",IF(ISNUMBER(Wages!$B987),IF(AND(Wages!$B987&gt;=10000101,Wages!$B987&lt;=99991231),INT(Wages!$B987/10000),""),IFERROR(VALUE(TRIM(LEFT(Wages!$B987,FIND("/",Wages!$B987)-1))),"")))</f>
        <v/>
      </c>
      <c r="D984">
        <f>IF(OR($A984="",$C984=""),"",IF(ISNUMBER(Wages!$B987),INT(MOD(Wages!$B987,10000)/100),IFERROR(VALUE(TRIM(LEFT(MID(Wages!$B987,FIND("/",Wages!$B987)+1,20),FIND("/",MID(Wages!$B987,FIND("/",Wages!$B987)+1,20))-1))),"")))</f>
        <v/>
      </c>
      <c r="E984">
        <f>IF(OR($A984="",$C984=""),"",IF(ISNUMBER(Wages!$B987),MOD(Wages!$B987,100),IFERROR(VALUE(TRIM(MID(MID(Wages!$B987,FIND("/",Wages!$B987)+1,20),FIND("/",MID(Wages!$B987,FIND("/",Wages!$B987)+1,20))+1,20))),"")))</f>
        <v/>
      </c>
      <c r="F984">
        <f>IF($A984="","",IF(OR($C984="",$D984="",$E984="",$C984&lt;1300,$C984&gt;1500,$D984&lt;1,$D984&gt;12,$E984&lt;1,$E984&gt;31),"نامعتبر",RIGHT("0000"&amp;$C984,4)&amp;"/"&amp;RIGHT("00"&amp;$D984,2)&amp;"/"&amp;RIGHT("00"&amp;$E984,2)))</f>
        <v/>
      </c>
      <c r="G984">
        <f>IF(OR($A984="",$F984="",$F984="نامعتبر"),"",LEFT($F984,4)&amp;MID($F984,6,2)&amp;RIGHT($F984,2)&amp;"0000"&amp;"|"&amp;"1"&amp;RIGHT("00000"&amp;979,5))</f>
        <v/>
      </c>
      <c r="H984">
        <f>IF(OR($B984&lt;&gt;1,$G984=""),"",COUNTIFS(LdAParty,$A984,LdAType,1,LdAKey,"&lt;"&amp;$G984)+COUNTIFS(LdBMember,$A984,LdBKey,"&lt;"&amp;$G984)+COUNTIFS(LdCParty,$A984,LdCKey,"&lt;"&amp;$G984)+1)</f>
        <v/>
      </c>
      <c r="I984">
        <f>IF($H984="","",$A984&amp;"|"&amp;RIGHT("000000"&amp;$H984,6))</f>
        <v/>
      </c>
      <c r="J984">
        <f>IF(OR($B984&lt;&gt;2,$G984=""),"",COUNTIFS(LdAParty,$A984,LdAType,2,LdAKey,"&lt;"&amp;$G984)+1)</f>
        <v/>
      </c>
      <c r="K984">
        <f>IF($J984="","",$A984&amp;"|"&amp;RIGHT("000000"&amp;$J984,6))</f>
        <v/>
      </c>
      <c r="L984">
        <f>IF($A984="","",IF(Wages!$G987="",0,Wages!$G987))</f>
        <v/>
      </c>
      <c r="M984">
        <f>IF($A984="","",Wages!$J987)</f>
        <v/>
      </c>
      <c r="N984">
        <f>IF($A984="","",Wages!$D987)</f>
        <v/>
      </c>
      <c r="P984">
        <f>IF(OR(Shares!$B987="",Shares!$C987=""),"",Shares!$C987)</f>
        <v/>
      </c>
      <c r="Q984">
        <f>IF($P984="","",Shares!$B987)</f>
        <v/>
      </c>
      <c r="R984">
        <f>IF($P984="","",IFERROR(INDEX(WageParty,MATCH($Q984,WageIds,0)),""))</f>
        <v/>
      </c>
      <c r="S984">
        <f>IF($P984="","",IFERROR(INDEX($F$6:$F$2005,MATCH($Q984,WageIds,0)),""))</f>
        <v/>
      </c>
      <c r="T984">
        <f>IF(OR($P984="",$S984="",$S984="نامعتبر"),"",LEFT($S984,4)&amp;MID($S984,6,2)&amp;RIGHT($S984,2)&amp;"0000"&amp;"|"&amp;"2"&amp;RIGHT("00000"&amp;979,5))</f>
        <v/>
      </c>
      <c r="U984">
        <f>IF($T984="","",COUNTIFS(LdAParty,$P984,LdAType,1,LdAKey,"&lt;"&amp;$T984)+COUNTIFS(LdBMember,$P984,LdBKey,"&lt;"&amp;$T984)+COUNTIFS(LdCParty,$P984,LdCKey,"&lt;"&amp;$T984)+1)</f>
        <v/>
      </c>
      <c r="V984">
        <f>IF($U984="","",$P984&amp;"|"&amp;RIGHT("000000"&amp;$U984,6))</f>
        <v/>
      </c>
      <c r="W984">
        <f>IF($T984="","",COUNTIFS(LdBGroup,$R984,LdBKey,"&lt;"&amp;$T984)+1)</f>
        <v/>
      </c>
      <c r="X984">
        <f>IF($W984="","",$R984&amp;"|"&amp;RIGHT("000000"&amp;$W984,6))</f>
        <v/>
      </c>
      <c r="Y984">
        <f>IF($P984="","",IF(Shares!$E987="",0,Shares!$E987))</f>
        <v/>
      </c>
      <c r="Z984">
        <f>IF($P984="","",Shares!$H987)</f>
        <v/>
      </c>
      <c r="AE984">
        <f>IF(OR(Sync!$S984="",Sync!$P984=""),"",Sync!$S984)</f>
        <v/>
      </c>
      <c r="AF984">
        <f>IF($AE984="","",IF(ISNUMBER(Sync!$P984),IF(AND(Sync!$P984&gt;=10000101,Sync!$P984&lt;=99991231),INT(Sync!$P984/10000),""),IFERROR(VALUE(TRIM(LEFT(Sync!$P984,FIND("/",Sync!$P984)-1))),"")))</f>
        <v/>
      </c>
      <c r="AG984">
        <f>IF(OR($AE984="",$AF984=""),"",IF(ISNUMBER(Sync!$P984),INT(MOD(Sync!$P984,10000)/100),IFERROR(VALUE(TRIM(LEFT(MID(Sync!$P984,FIND("/",Sync!$P984)+1,20),FIND("/",MID(Sync!$P984,FIND("/",Sync!$P984)+1,20))-1))),"")))</f>
        <v/>
      </c>
      <c r="AH984">
        <f>IF(OR($AE984="",$AF984=""),"",IF(ISNUMBER(Sync!$P984),MOD(Sync!$P984,100),IFERROR(VALUE(TRIM(MID(MID(Sync!$P984,FIND("/",Sync!$P984)+1,20),FIND("/",MID(Sync!$P984,FIND("/",Sync!$P984)+1,20))+1,20))),"")))</f>
        <v/>
      </c>
      <c r="AI984">
        <f>IF($AE984="","",IF(OR($AF984="",$AG984="",$AH984="",$AF984&lt;1300,$AF984&gt;1500,$AG984&lt;1,$AG984&gt;12,$AH984&lt;1,$AH984&gt;31),"نامعتبر",RIGHT("0000"&amp;$AF984,4)&amp;"/"&amp;RIGHT("00"&amp;$AG984,2)&amp;"/"&amp;RIGHT("00"&amp;$AH984,2)))</f>
        <v/>
      </c>
      <c r="AJ984">
        <f>IF($AE984="","",IF(Sync!$Q984="","0000",IF(AND(ISNUMBER(Sync!$Q984),Sync!$Q984&gt;=0,Sync!$Q984&lt;1),RIGHT("00"&amp;HOUR(Sync!$Q984),2)&amp;RIGHT("00"&amp;MINUTE(Sync!$Q984),2),IFERROR(RIGHT("00"&amp;VALUE(LEFT(Sync!$Q984,FIND(":",Sync!$Q984)-1)),2)&amp;RIGHT("00"&amp;VALUE(MID(Sync!$Q984,FIND(":",Sync!$Q984)+1,2)),2),"0000"))))</f>
        <v/>
      </c>
      <c r="AK984">
        <f>IF(OR($AE984="",$AI984="",$AI984="نامعتبر"),"",LEFT($AI984,4)&amp;MID($AI984,6,2)&amp;RIGHT($AI984,2)&amp;$AJ984&amp;"|"&amp;"3"&amp;RIGHT("00000"&amp;979,5))</f>
        <v/>
      </c>
      <c r="AL984">
        <f>IF($AK984="","",COUNTIFS(LdAParty,$AE984,LdAType,1,LdAKey,"&lt;"&amp;$AK984)+COUNTIFS(LdBMember,$AE984,LdBKey,"&lt;"&amp;$AK984)+COUNTIFS(LdCParty,$AE984,LdCKey,"&lt;"&amp;$AK984)+1)</f>
        <v/>
      </c>
      <c r="AM984">
        <f>IF($AL984="","",$AE984&amp;"|"&amp;RIGHT("000000"&amp;$AL984,6))</f>
        <v/>
      </c>
      <c r="AN984">
        <f>IF($AE984="","",IF(Sync!$W984="",0,Sync!$W984))</f>
        <v/>
      </c>
      <c r="AO984">
        <f>IF($AE984="","",IF(Sync!$X984="",0,Sync!$X984))</f>
        <v/>
      </c>
      <c r="AP984">
        <f>IF($AE984="","",Sync!$R984)</f>
        <v/>
      </c>
      <c r="AQ984">
        <f>IF($AE984="","",Sync!$Y984)</f>
        <v/>
      </c>
    </row>
    <row r="985">
      <c r="A985">
        <f>IF(OR(Wages!$B988="",Wages!$E988=""),"",Wages!$E988)</f>
        <v/>
      </c>
      <c r="B985">
        <f>IF($A985="","",IF(Wages!$C988="دستمزد گروهی",2,1))</f>
        <v/>
      </c>
      <c r="C985">
        <f>IF($A985="","",IF(ISNUMBER(Wages!$B988),IF(AND(Wages!$B988&gt;=10000101,Wages!$B988&lt;=99991231),INT(Wages!$B988/10000),""),IFERROR(VALUE(TRIM(LEFT(Wages!$B988,FIND("/",Wages!$B988)-1))),"")))</f>
        <v/>
      </c>
      <c r="D985">
        <f>IF(OR($A985="",$C985=""),"",IF(ISNUMBER(Wages!$B988),INT(MOD(Wages!$B988,10000)/100),IFERROR(VALUE(TRIM(LEFT(MID(Wages!$B988,FIND("/",Wages!$B988)+1,20),FIND("/",MID(Wages!$B988,FIND("/",Wages!$B988)+1,20))-1))),"")))</f>
        <v/>
      </c>
      <c r="E985">
        <f>IF(OR($A985="",$C985=""),"",IF(ISNUMBER(Wages!$B988),MOD(Wages!$B988,100),IFERROR(VALUE(TRIM(MID(MID(Wages!$B988,FIND("/",Wages!$B988)+1,20),FIND("/",MID(Wages!$B988,FIND("/",Wages!$B988)+1,20))+1,20))),"")))</f>
        <v/>
      </c>
      <c r="F985">
        <f>IF($A985="","",IF(OR($C985="",$D985="",$E985="",$C985&lt;1300,$C985&gt;1500,$D985&lt;1,$D985&gt;12,$E985&lt;1,$E985&gt;31),"نامعتبر",RIGHT("0000"&amp;$C985,4)&amp;"/"&amp;RIGHT("00"&amp;$D985,2)&amp;"/"&amp;RIGHT("00"&amp;$E985,2)))</f>
        <v/>
      </c>
      <c r="G985">
        <f>IF(OR($A985="",$F985="",$F985="نامعتبر"),"",LEFT($F985,4)&amp;MID($F985,6,2)&amp;RIGHT($F985,2)&amp;"0000"&amp;"|"&amp;"1"&amp;RIGHT("00000"&amp;980,5))</f>
        <v/>
      </c>
      <c r="H985">
        <f>IF(OR($B985&lt;&gt;1,$G985=""),"",COUNTIFS(LdAParty,$A985,LdAType,1,LdAKey,"&lt;"&amp;$G985)+COUNTIFS(LdBMember,$A985,LdBKey,"&lt;"&amp;$G985)+COUNTIFS(LdCParty,$A985,LdCKey,"&lt;"&amp;$G985)+1)</f>
        <v/>
      </c>
      <c r="I985">
        <f>IF($H985="","",$A985&amp;"|"&amp;RIGHT("000000"&amp;$H985,6))</f>
        <v/>
      </c>
      <c r="J985">
        <f>IF(OR($B985&lt;&gt;2,$G985=""),"",COUNTIFS(LdAParty,$A985,LdAType,2,LdAKey,"&lt;"&amp;$G985)+1)</f>
        <v/>
      </c>
      <c r="K985">
        <f>IF($J985="","",$A985&amp;"|"&amp;RIGHT("000000"&amp;$J985,6))</f>
        <v/>
      </c>
      <c r="L985">
        <f>IF($A985="","",IF(Wages!$G988="",0,Wages!$G988))</f>
        <v/>
      </c>
      <c r="M985">
        <f>IF($A985="","",Wages!$J988)</f>
        <v/>
      </c>
      <c r="N985">
        <f>IF($A985="","",Wages!$D988)</f>
        <v/>
      </c>
      <c r="P985">
        <f>IF(OR(Shares!$B988="",Shares!$C988=""),"",Shares!$C988)</f>
        <v/>
      </c>
      <c r="Q985">
        <f>IF($P985="","",Shares!$B988)</f>
        <v/>
      </c>
      <c r="R985">
        <f>IF($P985="","",IFERROR(INDEX(WageParty,MATCH($Q985,WageIds,0)),""))</f>
        <v/>
      </c>
      <c r="S985">
        <f>IF($P985="","",IFERROR(INDEX($F$6:$F$2005,MATCH($Q985,WageIds,0)),""))</f>
        <v/>
      </c>
      <c r="T985">
        <f>IF(OR($P985="",$S985="",$S985="نامعتبر"),"",LEFT($S985,4)&amp;MID($S985,6,2)&amp;RIGHT($S985,2)&amp;"0000"&amp;"|"&amp;"2"&amp;RIGHT("00000"&amp;980,5))</f>
        <v/>
      </c>
      <c r="U985">
        <f>IF($T985="","",COUNTIFS(LdAParty,$P985,LdAType,1,LdAKey,"&lt;"&amp;$T985)+COUNTIFS(LdBMember,$P985,LdBKey,"&lt;"&amp;$T985)+COUNTIFS(LdCParty,$P985,LdCKey,"&lt;"&amp;$T985)+1)</f>
        <v/>
      </c>
      <c r="V985">
        <f>IF($U985="","",$P985&amp;"|"&amp;RIGHT("000000"&amp;$U985,6))</f>
        <v/>
      </c>
      <c r="W985">
        <f>IF($T985="","",COUNTIFS(LdBGroup,$R985,LdBKey,"&lt;"&amp;$T985)+1)</f>
        <v/>
      </c>
      <c r="X985">
        <f>IF($W985="","",$R985&amp;"|"&amp;RIGHT("000000"&amp;$W985,6))</f>
        <v/>
      </c>
      <c r="Y985">
        <f>IF($P985="","",IF(Shares!$E988="",0,Shares!$E988))</f>
        <v/>
      </c>
      <c r="Z985">
        <f>IF($P985="","",Shares!$H988)</f>
        <v/>
      </c>
      <c r="AE985">
        <f>IF(OR(Sync!$S985="",Sync!$P985=""),"",Sync!$S985)</f>
        <v/>
      </c>
      <c r="AF985">
        <f>IF($AE985="","",IF(ISNUMBER(Sync!$P985),IF(AND(Sync!$P985&gt;=10000101,Sync!$P985&lt;=99991231),INT(Sync!$P985/10000),""),IFERROR(VALUE(TRIM(LEFT(Sync!$P985,FIND("/",Sync!$P985)-1))),"")))</f>
        <v/>
      </c>
      <c r="AG985">
        <f>IF(OR($AE985="",$AF985=""),"",IF(ISNUMBER(Sync!$P985),INT(MOD(Sync!$P985,10000)/100),IFERROR(VALUE(TRIM(LEFT(MID(Sync!$P985,FIND("/",Sync!$P985)+1,20),FIND("/",MID(Sync!$P985,FIND("/",Sync!$P985)+1,20))-1))),"")))</f>
        <v/>
      </c>
      <c r="AH985">
        <f>IF(OR($AE985="",$AF985=""),"",IF(ISNUMBER(Sync!$P985),MOD(Sync!$P985,100),IFERROR(VALUE(TRIM(MID(MID(Sync!$P985,FIND("/",Sync!$P985)+1,20),FIND("/",MID(Sync!$P985,FIND("/",Sync!$P985)+1,20))+1,20))),"")))</f>
        <v/>
      </c>
      <c r="AI985">
        <f>IF($AE985="","",IF(OR($AF985="",$AG985="",$AH985="",$AF985&lt;1300,$AF985&gt;1500,$AG985&lt;1,$AG985&gt;12,$AH985&lt;1,$AH985&gt;31),"نامعتبر",RIGHT("0000"&amp;$AF985,4)&amp;"/"&amp;RIGHT("00"&amp;$AG985,2)&amp;"/"&amp;RIGHT("00"&amp;$AH985,2)))</f>
        <v/>
      </c>
      <c r="AJ985">
        <f>IF($AE985="","",IF(Sync!$Q985="","0000",IF(AND(ISNUMBER(Sync!$Q985),Sync!$Q985&gt;=0,Sync!$Q985&lt;1),RIGHT("00"&amp;HOUR(Sync!$Q985),2)&amp;RIGHT("00"&amp;MINUTE(Sync!$Q985),2),IFERROR(RIGHT("00"&amp;VALUE(LEFT(Sync!$Q985,FIND(":",Sync!$Q985)-1)),2)&amp;RIGHT("00"&amp;VALUE(MID(Sync!$Q985,FIND(":",Sync!$Q985)+1,2)),2),"0000"))))</f>
        <v/>
      </c>
      <c r="AK985">
        <f>IF(OR($AE985="",$AI985="",$AI985="نامعتبر"),"",LEFT($AI985,4)&amp;MID($AI985,6,2)&amp;RIGHT($AI985,2)&amp;$AJ985&amp;"|"&amp;"3"&amp;RIGHT("00000"&amp;980,5))</f>
        <v/>
      </c>
      <c r="AL985">
        <f>IF($AK985="","",COUNTIFS(LdAParty,$AE985,LdAType,1,LdAKey,"&lt;"&amp;$AK985)+COUNTIFS(LdBMember,$AE985,LdBKey,"&lt;"&amp;$AK985)+COUNTIFS(LdCParty,$AE985,LdCKey,"&lt;"&amp;$AK985)+1)</f>
        <v/>
      </c>
      <c r="AM985">
        <f>IF($AL985="","",$AE985&amp;"|"&amp;RIGHT("000000"&amp;$AL985,6))</f>
        <v/>
      </c>
      <c r="AN985">
        <f>IF($AE985="","",IF(Sync!$W985="",0,Sync!$W985))</f>
        <v/>
      </c>
      <c r="AO985">
        <f>IF($AE985="","",IF(Sync!$X985="",0,Sync!$X985))</f>
        <v/>
      </c>
      <c r="AP985">
        <f>IF($AE985="","",Sync!$R985)</f>
        <v/>
      </c>
      <c r="AQ985">
        <f>IF($AE985="","",Sync!$Y985)</f>
        <v/>
      </c>
    </row>
    <row r="986">
      <c r="A986">
        <f>IF(OR(Wages!$B989="",Wages!$E989=""),"",Wages!$E989)</f>
        <v/>
      </c>
      <c r="B986">
        <f>IF($A986="","",IF(Wages!$C989="دستمزد گروهی",2,1))</f>
        <v/>
      </c>
      <c r="C986">
        <f>IF($A986="","",IF(ISNUMBER(Wages!$B989),IF(AND(Wages!$B989&gt;=10000101,Wages!$B989&lt;=99991231),INT(Wages!$B989/10000),""),IFERROR(VALUE(TRIM(LEFT(Wages!$B989,FIND("/",Wages!$B989)-1))),"")))</f>
        <v/>
      </c>
      <c r="D986">
        <f>IF(OR($A986="",$C986=""),"",IF(ISNUMBER(Wages!$B989),INT(MOD(Wages!$B989,10000)/100),IFERROR(VALUE(TRIM(LEFT(MID(Wages!$B989,FIND("/",Wages!$B989)+1,20),FIND("/",MID(Wages!$B989,FIND("/",Wages!$B989)+1,20))-1))),"")))</f>
        <v/>
      </c>
      <c r="E986">
        <f>IF(OR($A986="",$C986=""),"",IF(ISNUMBER(Wages!$B989),MOD(Wages!$B989,100),IFERROR(VALUE(TRIM(MID(MID(Wages!$B989,FIND("/",Wages!$B989)+1,20),FIND("/",MID(Wages!$B989,FIND("/",Wages!$B989)+1,20))+1,20))),"")))</f>
        <v/>
      </c>
      <c r="F986">
        <f>IF($A986="","",IF(OR($C986="",$D986="",$E986="",$C986&lt;1300,$C986&gt;1500,$D986&lt;1,$D986&gt;12,$E986&lt;1,$E986&gt;31),"نامعتبر",RIGHT("0000"&amp;$C986,4)&amp;"/"&amp;RIGHT("00"&amp;$D986,2)&amp;"/"&amp;RIGHT("00"&amp;$E986,2)))</f>
        <v/>
      </c>
      <c r="G986">
        <f>IF(OR($A986="",$F986="",$F986="نامعتبر"),"",LEFT($F986,4)&amp;MID($F986,6,2)&amp;RIGHT($F986,2)&amp;"0000"&amp;"|"&amp;"1"&amp;RIGHT("00000"&amp;981,5))</f>
        <v/>
      </c>
      <c r="H986">
        <f>IF(OR($B986&lt;&gt;1,$G986=""),"",COUNTIFS(LdAParty,$A986,LdAType,1,LdAKey,"&lt;"&amp;$G986)+COUNTIFS(LdBMember,$A986,LdBKey,"&lt;"&amp;$G986)+COUNTIFS(LdCParty,$A986,LdCKey,"&lt;"&amp;$G986)+1)</f>
        <v/>
      </c>
      <c r="I986">
        <f>IF($H986="","",$A986&amp;"|"&amp;RIGHT("000000"&amp;$H986,6))</f>
        <v/>
      </c>
      <c r="J986">
        <f>IF(OR($B986&lt;&gt;2,$G986=""),"",COUNTIFS(LdAParty,$A986,LdAType,2,LdAKey,"&lt;"&amp;$G986)+1)</f>
        <v/>
      </c>
      <c r="K986">
        <f>IF($J986="","",$A986&amp;"|"&amp;RIGHT("000000"&amp;$J986,6))</f>
        <v/>
      </c>
      <c r="L986">
        <f>IF($A986="","",IF(Wages!$G989="",0,Wages!$G989))</f>
        <v/>
      </c>
      <c r="M986">
        <f>IF($A986="","",Wages!$J989)</f>
        <v/>
      </c>
      <c r="N986">
        <f>IF($A986="","",Wages!$D989)</f>
        <v/>
      </c>
      <c r="P986">
        <f>IF(OR(Shares!$B989="",Shares!$C989=""),"",Shares!$C989)</f>
        <v/>
      </c>
      <c r="Q986">
        <f>IF($P986="","",Shares!$B989)</f>
        <v/>
      </c>
      <c r="R986">
        <f>IF($P986="","",IFERROR(INDEX(WageParty,MATCH($Q986,WageIds,0)),""))</f>
        <v/>
      </c>
      <c r="S986">
        <f>IF($P986="","",IFERROR(INDEX($F$6:$F$2005,MATCH($Q986,WageIds,0)),""))</f>
        <v/>
      </c>
      <c r="T986">
        <f>IF(OR($P986="",$S986="",$S986="نامعتبر"),"",LEFT($S986,4)&amp;MID($S986,6,2)&amp;RIGHT($S986,2)&amp;"0000"&amp;"|"&amp;"2"&amp;RIGHT("00000"&amp;981,5))</f>
        <v/>
      </c>
      <c r="U986">
        <f>IF($T986="","",COUNTIFS(LdAParty,$P986,LdAType,1,LdAKey,"&lt;"&amp;$T986)+COUNTIFS(LdBMember,$P986,LdBKey,"&lt;"&amp;$T986)+COUNTIFS(LdCParty,$P986,LdCKey,"&lt;"&amp;$T986)+1)</f>
        <v/>
      </c>
      <c r="V986">
        <f>IF($U986="","",$P986&amp;"|"&amp;RIGHT("000000"&amp;$U986,6))</f>
        <v/>
      </c>
      <c r="W986">
        <f>IF($T986="","",COUNTIFS(LdBGroup,$R986,LdBKey,"&lt;"&amp;$T986)+1)</f>
        <v/>
      </c>
      <c r="X986">
        <f>IF($W986="","",$R986&amp;"|"&amp;RIGHT("000000"&amp;$W986,6))</f>
        <v/>
      </c>
      <c r="Y986">
        <f>IF($P986="","",IF(Shares!$E989="",0,Shares!$E989))</f>
        <v/>
      </c>
      <c r="Z986">
        <f>IF($P986="","",Shares!$H989)</f>
        <v/>
      </c>
      <c r="AE986">
        <f>IF(OR(Sync!$S986="",Sync!$P986=""),"",Sync!$S986)</f>
        <v/>
      </c>
      <c r="AF986">
        <f>IF($AE986="","",IF(ISNUMBER(Sync!$P986),IF(AND(Sync!$P986&gt;=10000101,Sync!$P986&lt;=99991231),INT(Sync!$P986/10000),""),IFERROR(VALUE(TRIM(LEFT(Sync!$P986,FIND("/",Sync!$P986)-1))),"")))</f>
        <v/>
      </c>
      <c r="AG986">
        <f>IF(OR($AE986="",$AF986=""),"",IF(ISNUMBER(Sync!$P986),INT(MOD(Sync!$P986,10000)/100),IFERROR(VALUE(TRIM(LEFT(MID(Sync!$P986,FIND("/",Sync!$P986)+1,20),FIND("/",MID(Sync!$P986,FIND("/",Sync!$P986)+1,20))-1))),"")))</f>
        <v/>
      </c>
      <c r="AH986">
        <f>IF(OR($AE986="",$AF986=""),"",IF(ISNUMBER(Sync!$P986),MOD(Sync!$P986,100),IFERROR(VALUE(TRIM(MID(MID(Sync!$P986,FIND("/",Sync!$P986)+1,20),FIND("/",MID(Sync!$P986,FIND("/",Sync!$P986)+1,20))+1,20))),"")))</f>
        <v/>
      </c>
      <c r="AI986">
        <f>IF($AE986="","",IF(OR($AF986="",$AG986="",$AH986="",$AF986&lt;1300,$AF986&gt;1500,$AG986&lt;1,$AG986&gt;12,$AH986&lt;1,$AH986&gt;31),"نامعتبر",RIGHT("0000"&amp;$AF986,4)&amp;"/"&amp;RIGHT("00"&amp;$AG986,2)&amp;"/"&amp;RIGHT("00"&amp;$AH986,2)))</f>
        <v/>
      </c>
      <c r="AJ986">
        <f>IF($AE986="","",IF(Sync!$Q986="","0000",IF(AND(ISNUMBER(Sync!$Q986),Sync!$Q986&gt;=0,Sync!$Q986&lt;1),RIGHT("00"&amp;HOUR(Sync!$Q986),2)&amp;RIGHT("00"&amp;MINUTE(Sync!$Q986),2),IFERROR(RIGHT("00"&amp;VALUE(LEFT(Sync!$Q986,FIND(":",Sync!$Q986)-1)),2)&amp;RIGHT("00"&amp;VALUE(MID(Sync!$Q986,FIND(":",Sync!$Q986)+1,2)),2),"0000"))))</f>
        <v/>
      </c>
      <c r="AK986">
        <f>IF(OR($AE986="",$AI986="",$AI986="نامعتبر"),"",LEFT($AI986,4)&amp;MID($AI986,6,2)&amp;RIGHT($AI986,2)&amp;$AJ986&amp;"|"&amp;"3"&amp;RIGHT("00000"&amp;981,5))</f>
        <v/>
      </c>
      <c r="AL986">
        <f>IF($AK986="","",COUNTIFS(LdAParty,$AE986,LdAType,1,LdAKey,"&lt;"&amp;$AK986)+COUNTIFS(LdBMember,$AE986,LdBKey,"&lt;"&amp;$AK986)+COUNTIFS(LdCParty,$AE986,LdCKey,"&lt;"&amp;$AK986)+1)</f>
        <v/>
      </c>
      <c r="AM986">
        <f>IF($AL986="","",$AE986&amp;"|"&amp;RIGHT("000000"&amp;$AL986,6))</f>
        <v/>
      </c>
      <c r="AN986">
        <f>IF($AE986="","",IF(Sync!$W986="",0,Sync!$W986))</f>
        <v/>
      </c>
      <c r="AO986">
        <f>IF($AE986="","",IF(Sync!$X986="",0,Sync!$X986))</f>
        <v/>
      </c>
      <c r="AP986">
        <f>IF($AE986="","",Sync!$R986)</f>
        <v/>
      </c>
      <c r="AQ986">
        <f>IF($AE986="","",Sync!$Y986)</f>
        <v/>
      </c>
    </row>
    <row r="987">
      <c r="A987">
        <f>IF(OR(Wages!$B990="",Wages!$E990=""),"",Wages!$E990)</f>
        <v/>
      </c>
      <c r="B987">
        <f>IF($A987="","",IF(Wages!$C990="دستمزد گروهی",2,1))</f>
        <v/>
      </c>
      <c r="C987">
        <f>IF($A987="","",IF(ISNUMBER(Wages!$B990),IF(AND(Wages!$B990&gt;=10000101,Wages!$B990&lt;=99991231),INT(Wages!$B990/10000),""),IFERROR(VALUE(TRIM(LEFT(Wages!$B990,FIND("/",Wages!$B990)-1))),"")))</f>
        <v/>
      </c>
      <c r="D987">
        <f>IF(OR($A987="",$C987=""),"",IF(ISNUMBER(Wages!$B990),INT(MOD(Wages!$B990,10000)/100),IFERROR(VALUE(TRIM(LEFT(MID(Wages!$B990,FIND("/",Wages!$B990)+1,20),FIND("/",MID(Wages!$B990,FIND("/",Wages!$B990)+1,20))-1))),"")))</f>
        <v/>
      </c>
      <c r="E987">
        <f>IF(OR($A987="",$C987=""),"",IF(ISNUMBER(Wages!$B990),MOD(Wages!$B990,100),IFERROR(VALUE(TRIM(MID(MID(Wages!$B990,FIND("/",Wages!$B990)+1,20),FIND("/",MID(Wages!$B990,FIND("/",Wages!$B990)+1,20))+1,20))),"")))</f>
        <v/>
      </c>
      <c r="F987">
        <f>IF($A987="","",IF(OR($C987="",$D987="",$E987="",$C987&lt;1300,$C987&gt;1500,$D987&lt;1,$D987&gt;12,$E987&lt;1,$E987&gt;31),"نامعتبر",RIGHT("0000"&amp;$C987,4)&amp;"/"&amp;RIGHT("00"&amp;$D987,2)&amp;"/"&amp;RIGHT("00"&amp;$E987,2)))</f>
        <v/>
      </c>
      <c r="G987">
        <f>IF(OR($A987="",$F987="",$F987="نامعتبر"),"",LEFT($F987,4)&amp;MID($F987,6,2)&amp;RIGHT($F987,2)&amp;"0000"&amp;"|"&amp;"1"&amp;RIGHT("00000"&amp;982,5))</f>
        <v/>
      </c>
      <c r="H987">
        <f>IF(OR($B987&lt;&gt;1,$G987=""),"",COUNTIFS(LdAParty,$A987,LdAType,1,LdAKey,"&lt;"&amp;$G987)+COUNTIFS(LdBMember,$A987,LdBKey,"&lt;"&amp;$G987)+COUNTIFS(LdCParty,$A987,LdCKey,"&lt;"&amp;$G987)+1)</f>
        <v/>
      </c>
      <c r="I987">
        <f>IF($H987="","",$A987&amp;"|"&amp;RIGHT("000000"&amp;$H987,6))</f>
        <v/>
      </c>
      <c r="J987">
        <f>IF(OR($B987&lt;&gt;2,$G987=""),"",COUNTIFS(LdAParty,$A987,LdAType,2,LdAKey,"&lt;"&amp;$G987)+1)</f>
        <v/>
      </c>
      <c r="K987">
        <f>IF($J987="","",$A987&amp;"|"&amp;RIGHT("000000"&amp;$J987,6))</f>
        <v/>
      </c>
      <c r="L987">
        <f>IF($A987="","",IF(Wages!$G990="",0,Wages!$G990))</f>
        <v/>
      </c>
      <c r="M987">
        <f>IF($A987="","",Wages!$J990)</f>
        <v/>
      </c>
      <c r="N987">
        <f>IF($A987="","",Wages!$D990)</f>
        <v/>
      </c>
      <c r="P987">
        <f>IF(OR(Shares!$B990="",Shares!$C990=""),"",Shares!$C990)</f>
        <v/>
      </c>
      <c r="Q987">
        <f>IF($P987="","",Shares!$B990)</f>
        <v/>
      </c>
      <c r="R987">
        <f>IF($P987="","",IFERROR(INDEX(WageParty,MATCH($Q987,WageIds,0)),""))</f>
        <v/>
      </c>
      <c r="S987">
        <f>IF($P987="","",IFERROR(INDEX($F$6:$F$2005,MATCH($Q987,WageIds,0)),""))</f>
        <v/>
      </c>
      <c r="T987">
        <f>IF(OR($P987="",$S987="",$S987="نامعتبر"),"",LEFT($S987,4)&amp;MID($S987,6,2)&amp;RIGHT($S987,2)&amp;"0000"&amp;"|"&amp;"2"&amp;RIGHT("00000"&amp;982,5))</f>
        <v/>
      </c>
      <c r="U987">
        <f>IF($T987="","",COUNTIFS(LdAParty,$P987,LdAType,1,LdAKey,"&lt;"&amp;$T987)+COUNTIFS(LdBMember,$P987,LdBKey,"&lt;"&amp;$T987)+COUNTIFS(LdCParty,$P987,LdCKey,"&lt;"&amp;$T987)+1)</f>
        <v/>
      </c>
      <c r="V987">
        <f>IF($U987="","",$P987&amp;"|"&amp;RIGHT("000000"&amp;$U987,6))</f>
        <v/>
      </c>
      <c r="W987">
        <f>IF($T987="","",COUNTIFS(LdBGroup,$R987,LdBKey,"&lt;"&amp;$T987)+1)</f>
        <v/>
      </c>
      <c r="X987">
        <f>IF($W987="","",$R987&amp;"|"&amp;RIGHT("000000"&amp;$W987,6))</f>
        <v/>
      </c>
      <c r="Y987">
        <f>IF($P987="","",IF(Shares!$E990="",0,Shares!$E990))</f>
        <v/>
      </c>
      <c r="Z987">
        <f>IF($P987="","",Shares!$H990)</f>
        <v/>
      </c>
      <c r="AE987">
        <f>IF(OR(Sync!$S987="",Sync!$P987=""),"",Sync!$S987)</f>
        <v/>
      </c>
      <c r="AF987">
        <f>IF($AE987="","",IF(ISNUMBER(Sync!$P987),IF(AND(Sync!$P987&gt;=10000101,Sync!$P987&lt;=99991231),INT(Sync!$P987/10000),""),IFERROR(VALUE(TRIM(LEFT(Sync!$P987,FIND("/",Sync!$P987)-1))),"")))</f>
        <v/>
      </c>
      <c r="AG987">
        <f>IF(OR($AE987="",$AF987=""),"",IF(ISNUMBER(Sync!$P987),INT(MOD(Sync!$P987,10000)/100),IFERROR(VALUE(TRIM(LEFT(MID(Sync!$P987,FIND("/",Sync!$P987)+1,20),FIND("/",MID(Sync!$P987,FIND("/",Sync!$P987)+1,20))-1))),"")))</f>
        <v/>
      </c>
      <c r="AH987">
        <f>IF(OR($AE987="",$AF987=""),"",IF(ISNUMBER(Sync!$P987),MOD(Sync!$P987,100),IFERROR(VALUE(TRIM(MID(MID(Sync!$P987,FIND("/",Sync!$P987)+1,20),FIND("/",MID(Sync!$P987,FIND("/",Sync!$P987)+1,20))+1,20))),"")))</f>
        <v/>
      </c>
      <c r="AI987">
        <f>IF($AE987="","",IF(OR($AF987="",$AG987="",$AH987="",$AF987&lt;1300,$AF987&gt;1500,$AG987&lt;1,$AG987&gt;12,$AH987&lt;1,$AH987&gt;31),"نامعتبر",RIGHT("0000"&amp;$AF987,4)&amp;"/"&amp;RIGHT("00"&amp;$AG987,2)&amp;"/"&amp;RIGHT("00"&amp;$AH987,2)))</f>
        <v/>
      </c>
      <c r="AJ987">
        <f>IF($AE987="","",IF(Sync!$Q987="","0000",IF(AND(ISNUMBER(Sync!$Q987),Sync!$Q987&gt;=0,Sync!$Q987&lt;1),RIGHT("00"&amp;HOUR(Sync!$Q987),2)&amp;RIGHT("00"&amp;MINUTE(Sync!$Q987),2),IFERROR(RIGHT("00"&amp;VALUE(LEFT(Sync!$Q987,FIND(":",Sync!$Q987)-1)),2)&amp;RIGHT("00"&amp;VALUE(MID(Sync!$Q987,FIND(":",Sync!$Q987)+1,2)),2),"0000"))))</f>
        <v/>
      </c>
      <c r="AK987">
        <f>IF(OR($AE987="",$AI987="",$AI987="نامعتبر"),"",LEFT($AI987,4)&amp;MID($AI987,6,2)&amp;RIGHT($AI987,2)&amp;$AJ987&amp;"|"&amp;"3"&amp;RIGHT("00000"&amp;982,5))</f>
        <v/>
      </c>
      <c r="AL987">
        <f>IF($AK987="","",COUNTIFS(LdAParty,$AE987,LdAType,1,LdAKey,"&lt;"&amp;$AK987)+COUNTIFS(LdBMember,$AE987,LdBKey,"&lt;"&amp;$AK987)+COUNTIFS(LdCParty,$AE987,LdCKey,"&lt;"&amp;$AK987)+1)</f>
        <v/>
      </c>
      <c r="AM987">
        <f>IF($AL987="","",$AE987&amp;"|"&amp;RIGHT("000000"&amp;$AL987,6))</f>
        <v/>
      </c>
      <c r="AN987">
        <f>IF($AE987="","",IF(Sync!$W987="",0,Sync!$W987))</f>
        <v/>
      </c>
      <c r="AO987">
        <f>IF($AE987="","",IF(Sync!$X987="",0,Sync!$X987))</f>
        <v/>
      </c>
      <c r="AP987">
        <f>IF($AE987="","",Sync!$R987)</f>
        <v/>
      </c>
      <c r="AQ987">
        <f>IF($AE987="","",Sync!$Y987)</f>
        <v/>
      </c>
    </row>
    <row r="988">
      <c r="A988">
        <f>IF(OR(Wages!$B991="",Wages!$E991=""),"",Wages!$E991)</f>
        <v/>
      </c>
      <c r="B988">
        <f>IF($A988="","",IF(Wages!$C991="دستمزد گروهی",2,1))</f>
        <v/>
      </c>
      <c r="C988">
        <f>IF($A988="","",IF(ISNUMBER(Wages!$B991),IF(AND(Wages!$B991&gt;=10000101,Wages!$B991&lt;=99991231),INT(Wages!$B991/10000),""),IFERROR(VALUE(TRIM(LEFT(Wages!$B991,FIND("/",Wages!$B991)-1))),"")))</f>
        <v/>
      </c>
      <c r="D988">
        <f>IF(OR($A988="",$C988=""),"",IF(ISNUMBER(Wages!$B991),INT(MOD(Wages!$B991,10000)/100),IFERROR(VALUE(TRIM(LEFT(MID(Wages!$B991,FIND("/",Wages!$B991)+1,20),FIND("/",MID(Wages!$B991,FIND("/",Wages!$B991)+1,20))-1))),"")))</f>
        <v/>
      </c>
      <c r="E988">
        <f>IF(OR($A988="",$C988=""),"",IF(ISNUMBER(Wages!$B991),MOD(Wages!$B991,100),IFERROR(VALUE(TRIM(MID(MID(Wages!$B991,FIND("/",Wages!$B991)+1,20),FIND("/",MID(Wages!$B991,FIND("/",Wages!$B991)+1,20))+1,20))),"")))</f>
        <v/>
      </c>
      <c r="F988">
        <f>IF($A988="","",IF(OR($C988="",$D988="",$E988="",$C988&lt;1300,$C988&gt;1500,$D988&lt;1,$D988&gt;12,$E988&lt;1,$E988&gt;31),"نامعتبر",RIGHT("0000"&amp;$C988,4)&amp;"/"&amp;RIGHT("00"&amp;$D988,2)&amp;"/"&amp;RIGHT("00"&amp;$E988,2)))</f>
        <v/>
      </c>
      <c r="G988">
        <f>IF(OR($A988="",$F988="",$F988="نامعتبر"),"",LEFT($F988,4)&amp;MID($F988,6,2)&amp;RIGHT($F988,2)&amp;"0000"&amp;"|"&amp;"1"&amp;RIGHT("00000"&amp;983,5))</f>
        <v/>
      </c>
      <c r="H988">
        <f>IF(OR($B988&lt;&gt;1,$G988=""),"",COUNTIFS(LdAParty,$A988,LdAType,1,LdAKey,"&lt;"&amp;$G988)+COUNTIFS(LdBMember,$A988,LdBKey,"&lt;"&amp;$G988)+COUNTIFS(LdCParty,$A988,LdCKey,"&lt;"&amp;$G988)+1)</f>
        <v/>
      </c>
      <c r="I988">
        <f>IF($H988="","",$A988&amp;"|"&amp;RIGHT("000000"&amp;$H988,6))</f>
        <v/>
      </c>
      <c r="J988">
        <f>IF(OR($B988&lt;&gt;2,$G988=""),"",COUNTIFS(LdAParty,$A988,LdAType,2,LdAKey,"&lt;"&amp;$G988)+1)</f>
        <v/>
      </c>
      <c r="K988">
        <f>IF($J988="","",$A988&amp;"|"&amp;RIGHT("000000"&amp;$J988,6))</f>
        <v/>
      </c>
      <c r="L988">
        <f>IF($A988="","",IF(Wages!$G991="",0,Wages!$G991))</f>
        <v/>
      </c>
      <c r="M988">
        <f>IF($A988="","",Wages!$J991)</f>
        <v/>
      </c>
      <c r="N988">
        <f>IF($A988="","",Wages!$D991)</f>
        <v/>
      </c>
      <c r="P988">
        <f>IF(OR(Shares!$B991="",Shares!$C991=""),"",Shares!$C991)</f>
        <v/>
      </c>
      <c r="Q988">
        <f>IF($P988="","",Shares!$B991)</f>
        <v/>
      </c>
      <c r="R988">
        <f>IF($P988="","",IFERROR(INDEX(WageParty,MATCH($Q988,WageIds,0)),""))</f>
        <v/>
      </c>
      <c r="S988">
        <f>IF($P988="","",IFERROR(INDEX($F$6:$F$2005,MATCH($Q988,WageIds,0)),""))</f>
        <v/>
      </c>
      <c r="T988">
        <f>IF(OR($P988="",$S988="",$S988="نامعتبر"),"",LEFT($S988,4)&amp;MID($S988,6,2)&amp;RIGHT($S988,2)&amp;"0000"&amp;"|"&amp;"2"&amp;RIGHT("00000"&amp;983,5))</f>
        <v/>
      </c>
      <c r="U988">
        <f>IF($T988="","",COUNTIFS(LdAParty,$P988,LdAType,1,LdAKey,"&lt;"&amp;$T988)+COUNTIFS(LdBMember,$P988,LdBKey,"&lt;"&amp;$T988)+COUNTIFS(LdCParty,$P988,LdCKey,"&lt;"&amp;$T988)+1)</f>
        <v/>
      </c>
      <c r="V988">
        <f>IF($U988="","",$P988&amp;"|"&amp;RIGHT("000000"&amp;$U988,6))</f>
        <v/>
      </c>
      <c r="W988">
        <f>IF($T988="","",COUNTIFS(LdBGroup,$R988,LdBKey,"&lt;"&amp;$T988)+1)</f>
        <v/>
      </c>
      <c r="X988">
        <f>IF($W988="","",$R988&amp;"|"&amp;RIGHT("000000"&amp;$W988,6))</f>
        <v/>
      </c>
      <c r="Y988">
        <f>IF($P988="","",IF(Shares!$E991="",0,Shares!$E991))</f>
        <v/>
      </c>
      <c r="Z988">
        <f>IF($P988="","",Shares!$H991)</f>
        <v/>
      </c>
      <c r="AE988">
        <f>IF(OR(Sync!$S988="",Sync!$P988=""),"",Sync!$S988)</f>
        <v/>
      </c>
      <c r="AF988">
        <f>IF($AE988="","",IF(ISNUMBER(Sync!$P988),IF(AND(Sync!$P988&gt;=10000101,Sync!$P988&lt;=99991231),INT(Sync!$P988/10000),""),IFERROR(VALUE(TRIM(LEFT(Sync!$P988,FIND("/",Sync!$P988)-1))),"")))</f>
        <v/>
      </c>
      <c r="AG988">
        <f>IF(OR($AE988="",$AF988=""),"",IF(ISNUMBER(Sync!$P988),INT(MOD(Sync!$P988,10000)/100),IFERROR(VALUE(TRIM(LEFT(MID(Sync!$P988,FIND("/",Sync!$P988)+1,20),FIND("/",MID(Sync!$P988,FIND("/",Sync!$P988)+1,20))-1))),"")))</f>
        <v/>
      </c>
      <c r="AH988">
        <f>IF(OR($AE988="",$AF988=""),"",IF(ISNUMBER(Sync!$P988),MOD(Sync!$P988,100),IFERROR(VALUE(TRIM(MID(MID(Sync!$P988,FIND("/",Sync!$P988)+1,20),FIND("/",MID(Sync!$P988,FIND("/",Sync!$P988)+1,20))+1,20))),"")))</f>
        <v/>
      </c>
      <c r="AI988">
        <f>IF($AE988="","",IF(OR($AF988="",$AG988="",$AH988="",$AF988&lt;1300,$AF988&gt;1500,$AG988&lt;1,$AG988&gt;12,$AH988&lt;1,$AH988&gt;31),"نامعتبر",RIGHT("0000"&amp;$AF988,4)&amp;"/"&amp;RIGHT("00"&amp;$AG988,2)&amp;"/"&amp;RIGHT("00"&amp;$AH988,2)))</f>
        <v/>
      </c>
      <c r="AJ988">
        <f>IF($AE988="","",IF(Sync!$Q988="","0000",IF(AND(ISNUMBER(Sync!$Q988),Sync!$Q988&gt;=0,Sync!$Q988&lt;1),RIGHT("00"&amp;HOUR(Sync!$Q988),2)&amp;RIGHT("00"&amp;MINUTE(Sync!$Q988),2),IFERROR(RIGHT("00"&amp;VALUE(LEFT(Sync!$Q988,FIND(":",Sync!$Q988)-1)),2)&amp;RIGHT("00"&amp;VALUE(MID(Sync!$Q988,FIND(":",Sync!$Q988)+1,2)),2),"0000"))))</f>
        <v/>
      </c>
      <c r="AK988">
        <f>IF(OR($AE988="",$AI988="",$AI988="نامعتبر"),"",LEFT($AI988,4)&amp;MID($AI988,6,2)&amp;RIGHT($AI988,2)&amp;$AJ988&amp;"|"&amp;"3"&amp;RIGHT("00000"&amp;983,5))</f>
        <v/>
      </c>
      <c r="AL988">
        <f>IF($AK988="","",COUNTIFS(LdAParty,$AE988,LdAType,1,LdAKey,"&lt;"&amp;$AK988)+COUNTIFS(LdBMember,$AE988,LdBKey,"&lt;"&amp;$AK988)+COUNTIFS(LdCParty,$AE988,LdCKey,"&lt;"&amp;$AK988)+1)</f>
        <v/>
      </c>
      <c r="AM988">
        <f>IF($AL988="","",$AE988&amp;"|"&amp;RIGHT("000000"&amp;$AL988,6))</f>
        <v/>
      </c>
      <c r="AN988">
        <f>IF($AE988="","",IF(Sync!$W988="",0,Sync!$W988))</f>
        <v/>
      </c>
      <c r="AO988">
        <f>IF($AE988="","",IF(Sync!$X988="",0,Sync!$X988))</f>
        <v/>
      </c>
      <c r="AP988">
        <f>IF($AE988="","",Sync!$R988)</f>
        <v/>
      </c>
      <c r="AQ988">
        <f>IF($AE988="","",Sync!$Y988)</f>
        <v/>
      </c>
    </row>
    <row r="989">
      <c r="A989">
        <f>IF(OR(Wages!$B992="",Wages!$E992=""),"",Wages!$E992)</f>
        <v/>
      </c>
      <c r="B989">
        <f>IF($A989="","",IF(Wages!$C992="دستمزد گروهی",2,1))</f>
        <v/>
      </c>
      <c r="C989">
        <f>IF($A989="","",IF(ISNUMBER(Wages!$B992),IF(AND(Wages!$B992&gt;=10000101,Wages!$B992&lt;=99991231),INT(Wages!$B992/10000),""),IFERROR(VALUE(TRIM(LEFT(Wages!$B992,FIND("/",Wages!$B992)-1))),"")))</f>
        <v/>
      </c>
      <c r="D989">
        <f>IF(OR($A989="",$C989=""),"",IF(ISNUMBER(Wages!$B992),INT(MOD(Wages!$B992,10000)/100),IFERROR(VALUE(TRIM(LEFT(MID(Wages!$B992,FIND("/",Wages!$B992)+1,20),FIND("/",MID(Wages!$B992,FIND("/",Wages!$B992)+1,20))-1))),"")))</f>
        <v/>
      </c>
      <c r="E989">
        <f>IF(OR($A989="",$C989=""),"",IF(ISNUMBER(Wages!$B992),MOD(Wages!$B992,100),IFERROR(VALUE(TRIM(MID(MID(Wages!$B992,FIND("/",Wages!$B992)+1,20),FIND("/",MID(Wages!$B992,FIND("/",Wages!$B992)+1,20))+1,20))),"")))</f>
        <v/>
      </c>
      <c r="F989">
        <f>IF($A989="","",IF(OR($C989="",$D989="",$E989="",$C989&lt;1300,$C989&gt;1500,$D989&lt;1,$D989&gt;12,$E989&lt;1,$E989&gt;31),"نامعتبر",RIGHT("0000"&amp;$C989,4)&amp;"/"&amp;RIGHT("00"&amp;$D989,2)&amp;"/"&amp;RIGHT("00"&amp;$E989,2)))</f>
        <v/>
      </c>
      <c r="G989">
        <f>IF(OR($A989="",$F989="",$F989="نامعتبر"),"",LEFT($F989,4)&amp;MID($F989,6,2)&amp;RIGHT($F989,2)&amp;"0000"&amp;"|"&amp;"1"&amp;RIGHT("00000"&amp;984,5))</f>
        <v/>
      </c>
      <c r="H989">
        <f>IF(OR($B989&lt;&gt;1,$G989=""),"",COUNTIFS(LdAParty,$A989,LdAType,1,LdAKey,"&lt;"&amp;$G989)+COUNTIFS(LdBMember,$A989,LdBKey,"&lt;"&amp;$G989)+COUNTIFS(LdCParty,$A989,LdCKey,"&lt;"&amp;$G989)+1)</f>
        <v/>
      </c>
      <c r="I989">
        <f>IF($H989="","",$A989&amp;"|"&amp;RIGHT("000000"&amp;$H989,6))</f>
        <v/>
      </c>
      <c r="J989">
        <f>IF(OR($B989&lt;&gt;2,$G989=""),"",COUNTIFS(LdAParty,$A989,LdAType,2,LdAKey,"&lt;"&amp;$G989)+1)</f>
        <v/>
      </c>
      <c r="K989">
        <f>IF($J989="","",$A989&amp;"|"&amp;RIGHT("000000"&amp;$J989,6))</f>
        <v/>
      </c>
      <c r="L989">
        <f>IF($A989="","",IF(Wages!$G992="",0,Wages!$G992))</f>
        <v/>
      </c>
      <c r="M989">
        <f>IF($A989="","",Wages!$J992)</f>
        <v/>
      </c>
      <c r="N989">
        <f>IF($A989="","",Wages!$D992)</f>
        <v/>
      </c>
      <c r="P989">
        <f>IF(OR(Shares!$B992="",Shares!$C992=""),"",Shares!$C992)</f>
        <v/>
      </c>
      <c r="Q989">
        <f>IF($P989="","",Shares!$B992)</f>
        <v/>
      </c>
      <c r="R989">
        <f>IF($P989="","",IFERROR(INDEX(WageParty,MATCH($Q989,WageIds,0)),""))</f>
        <v/>
      </c>
      <c r="S989">
        <f>IF($P989="","",IFERROR(INDEX($F$6:$F$2005,MATCH($Q989,WageIds,0)),""))</f>
        <v/>
      </c>
      <c r="T989">
        <f>IF(OR($P989="",$S989="",$S989="نامعتبر"),"",LEFT($S989,4)&amp;MID($S989,6,2)&amp;RIGHT($S989,2)&amp;"0000"&amp;"|"&amp;"2"&amp;RIGHT("00000"&amp;984,5))</f>
        <v/>
      </c>
      <c r="U989">
        <f>IF($T989="","",COUNTIFS(LdAParty,$P989,LdAType,1,LdAKey,"&lt;"&amp;$T989)+COUNTIFS(LdBMember,$P989,LdBKey,"&lt;"&amp;$T989)+COUNTIFS(LdCParty,$P989,LdCKey,"&lt;"&amp;$T989)+1)</f>
        <v/>
      </c>
      <c r="V989">
        <f>IF($U989="","",$P989&amp;"|"&amp;RIGHT("000000"&amp;$U989,6))</f>
        <v/>
      </c>
      <c r="W989">
        <f>IF($T989="","",COUNTIFS(LdBGroup,$R989,LdBKey,"&lt;"&amp;$T989)+1)</f>
        <v/>
      </c>
      <c r="X989">
        <f>IF($W989="","",$R989&amp;"|"&amp;RIGHT("000000"&amp;$W989,6))</f>
        <v/>
      </c>
      <c r="Y989">
        <f>IF($P989="","",IF(Shares!$E992="",0,Shares!$E992))</f>
        <v/>
      </c>
      <c r="Z989">
        <f>IF($P989="","",Shares!$H992)</f>
        <v/>
      </c>
      <c r="AE989">
        <f>IF(OR(Sync!$S989="",Sync!$P989=""),"",Sync!$S989)</f>
        <v/>
      </c>
      <c r="AF989">
        <f>IF($AE989="","",IF(ISNUMBER(Sync!$P989),IF(AND(Sync!$P989&gt;=10000101,Sync!$P989&lt;=99991231),INT(Sync!$P989/10000),""),IFERROR(VALUE(TRIM(LEFT(Sync!$P989,FIND("/",Sync!$P989)-1))),"")))</f>
        <v/>
      </c>
      <c r="AG989">
        <f>IF(OR($AE989="",$AF989=""),"",IF(ISNUMBER(Sync!$P989),INT(MOD(Sync!$P989,10000)/100),IFERROR(VALUE(TRIM(LEFT(MID(Sync!$P989,FIND("/",Sync!$P989)+1,20),FIND("/",MID(Sync!$P989,FIND("/",Sync!$P989)+1,20))-1))),"")))</f>
        <v/>
      </c>
      <c r="AH989">
        <f>IF(OR($AE989="",$AF989=""),"",IF(ISNUMBER(Sync!$P989),MOD(Sync!$P989,100),IFERROR(VALUE(TRIM(MID(MID(Sync!$P989,FIND("/",Sync!$P989)+1,20),FIND("/",MID(Sync!$P989,FIND("/",Sync!$P989)+1,20))+1,20))),"")))</f>
        <v/>
      </c>
      <c r="AI989">
        <f>IF($AE989="","",IF(OR($AF989="",$AG989="",$AH989="",$AF989&lt;1300,$AF989&gt;1500,$AG989&lt;1,$AG989&gt;12,$AH989&lt;1,$AH989&gt;31),"نامعتبر",RIGHT("0000"&amp;$AF989,4)&amp;"/"&amp;RIGHT("00"&amp;$AG989,2)&amp;"/"&amp;RIGHT("00"&amp;$AH989,2)))</f>
        <v/>
      </c>
      <c r="AJ989">
        <f>IF($AE989="","",IF(Sync!$Q989="","0000",IF(AND(ISNUMBER(Sync!$Q989),Sync!$Q989&gt;=0,Sync!$Q989&lt;1),RIGHT("00"&amp;HOUR(Sync!$Q989),2)&amp;RIGHT("00"&amp;MINUTE(Sync!$Q989),2),IFERROR(RIGHT("00"&amp;VALUE(LEFT(Sync!$Q989,FIND(":",Sync!$Q989)-1)),2)&amp;RIGHT("00"&amp;VALUE(MID(Sync!$Q989,FIND(":",Sync!$Q989)+1,2)),2),"0000"))))</f>
        <v/>
      </c>
      <c r="AK989">
        <f>IF(OR($AE989="",$AI989="",$AI989="نامعتبر"),"",LEFT($AI989,4)&amp;MID($AI989,6,2)&amp;RIGHT($AI989,2)&amp;$AJ989&amp;"|"&amp;"3"&amp;RIGHT("00000"&amp;984,5))</f>
        <v/>
      </c>
      <c r="AL989">
        <f>IF($AK989="","",COUNTIFS(LdAParty,$AE989,LdAType,1,LdAKey,"&lt;"&amp;$AK989)+COUNTIFS(LdBMember,$AE989,LdBKey,"&lt;"&amp;$AK989)+COUNTIFS(LdCParty,$AE989,LdCKey,"&lt;"&amp;$AK989)+1)</f>
        <v/>
      </c>
      <c r="AM989">
        <f>IF($AL989="","",$AE989&amp;"|"&amp;RIGHT("000000"&amp;$AL989,6))</f>
        <v/>
      </c>
      <c r="AN989">
        <f>IF($AE989="","",IF(Sync!$W989="",0,Sync!$W989))</f>
        <v/>
      </c>
      <c r="AO989">
        <f>IF($AE989="","",IF(Sync!$X989="",0,Sync!$X989))</f>
        <v/>
      </c>
      <c r="AP989">
        <f>IF($AE989="","",Sync!$R989)</f>
        <v/>
      </c>
      <c r="AQ989">
        <f>IF($AE989="","",Sync!$Y989)</f>
        <v/>
      </c>
    </row>
    <row r="990">
      <c r="A990">
        <f>IF(OR(Wages!$B993="",Wages!$E993=""),"",Wages!$E993)</f>
        <v/>
      </c>
      <c r="B990">
        <f>IF($A990="","",IF(Wages!$C993="دستمزد گروهی",2,1))</f>
        <v/>
      </c>
      <c r="C990">
        <f>IF($A990="","",IF(ISNUMBER(Wages!$B993),IF(AND(Wages!$B993&gt;=10000101,Wages!$B993&lt;=99991231),INT(Wages!$B993/10000),""),IFERROR(VALUE(TRIM(LEFT(Wages!$B993,FIND("/",Wages!$B993)-1))),"")))</f>
        <v/>
      </c>
      <c r="D990">
        <f>IF(OR($A990="",$C990=""),"",IF(ISNUMBER(Wages!$B993),INT(MOD(Wages!$B993,10000)/100),IFERROR(VALUE(TRIM(LEFT(MID(Wages!$B993,FIND("/",Wages!$B993)+1,20),FIND("/",MID(Wages!$B993,FIND("/",Wages!$B993)+1,20))-1))),"")))</f>
        <v/>
      </c>
      <c r="E990">
        <f>IF(OR($A990="",$C990=""),"",IF(ISNUMBER(Wages!$B993),MOD(Wages!$B993,100),IFERROR(VALUE(TRIM(MID(MID(Wages!$B993,FIND("/",Wages!$B993)+1,20),FIND("/",MID(Wages!$B993,FIND("/",Wages!$B993)+1,20))+1,20))),"")))</f>
        <v/>
      </c>
      <c r="F990">
        <f>IF($A990="","",IF(OR($C990="",$D990="",$E990="",$C990&lt;1300,$C990&gt;1500,$D990&lt;1,$D990&gt;12,$E990&lt;1,$E990&gt;31),"نامعتبر",RIGHT("0000"&amp;$C990,4)&amp;"/"&amp;RIGHT("00"&amp;$D990,2)&amp;"/"&amp;RIGHT("00"&amp;$E990,2)))</f>
        <v/>
      </c>
      <c r="G990">
        <f>IF(OR($A990="",$F990="",$F990="نامعتبر"),"",LEFT($F990,4)&amp;MID($F990,6,2)&amp;RIGHT($F990,2)&amp;"0000"&amp;"|"&amp;"1"&amp;RIGHT("00000"&amp;985,5))</f>
        <v/>
      </c>
      <c r="H990">
        <f>IF(OR($B990&lt;&gt;1,$G990=""),"",COUNTIFS(LdAParty,$A990,LdAType,1,LdAKey,"&lt;"&amp;$G990)+COUNTIFS(LdBMember,$A990,LdBKey,"&lt;"&amp;$G990)+COUNTIFS(LdCParty,$A990,LdCKey,"&lt;"&amp;$G990)+1)</f>
        <v/>
      </c>
      <c r="I990">
        <f>IF($H990="","",$A990&amp;"|"&amp;RIGHT("000000"&amp;$H990,6))</f>
        <v/>
      </c>
      <c r="J990">
        <f>IF(OR($B990&lt;&gt;2,$G990=""),"",COUNTIFS(LdAParty,$A990,LdAType,2,LdAKey,"&lt;"&amp;$G990)+1)</f>
        <v/>
      </c>
      <c r="K990">
        <f>IF($J990="","",$A990&amp;"|"&amp;RIGHT("000000"&amp;$J990,6))</f>
        <v/>
      </c>
      <c r="L990">
        <f>IF($A990="","",IF(Wages!$G993="",0,Wages!$G993))</f>
        <v/>
      </c>
      <c r="M990">
        <f>IF($A990="","",Wages!$J993)</f>
        <v/>
      </c>
      <c r="N990">
        <f>IF($A990="","",Wages!$D993)</f>
        <v/>
      </c>
      <c r="P990">
        <f>IF(OR(Shares!$B993="",Shares!$C993=""),"",Shares!$C993)</f>
        <v/>
      </c>
      <c r="Q990">
        <f>IF($P990="","",Shares!$B993)</f>
        <v/>
      </c>
      <c r="R990">
        <f>IF($P990="","",IFERROR(INDEX(WageParty,MATCH($Q990,WageIds,0)),""))</f>
        <v/>
      </c>
      <c r="S990">
        <f>IF($P990="","",IFERROR(INDEX($F$6:$F$2005,MATCH($Q990,WageIds,0)),""))</f>
        <v/>
      </c>
      <c r="T990">
        <f>IF(OR($P990="",$S990="",$S990="نامعتبر"),"",LEFT($S990,4)&amp;MID($S990,6,2)&amp;RIGHT($S990,2)&amp;"0000"&amp;"|"&amp;"2"&amp;RIGHT("00000"&amp;985,5))</f>
        <v/>
      </c>
      <c r="U990">
        <f>IF($T990="","",COUNTIFS(LdAParty,$P990,LdAType,1,LdAKey,"&lt;"&amp;$T990)+COUNTIFS(LdBMember,$P990,LdBKey,"&lt;"&amp;$T990)+COUNTIFS(LdCParty,$P990,LdCKey,"&lt;"&amp;$T990)+1)</f>
        <v/>
      </c>
      <c r="V990">
        <f>IF($U990="","",$P990&amp;"|"&amp;RIGHT("000000"&amp;$U990,6))</f>
        <v/>
      </c>
      <c r="W990">
        <f>IF($T990="","",COUNTIFS(LdBGroup,$R990,LdBKey,"&lt;"&amp;$T990)+1)</f>
        <v/>
      </c>
      <c r="X990">
        <f>IF($W990="","",$R990&amp;"|"&amp;RIGHT("000000"&amp;$W990,6))</f>
        <v/>
      </c>
      <c r="Y990">
        <f>IF($P990="","",IF(Shares!$E993="",0,Shares!$E993))</f>
        <v/>
      </c>
      <c r="Z990">
        <f>IF($P990="","",Shares!$H993)</f>
        <v/>
      </c>
      <c r="AE990">
        <f>IF(OR(Sync!$S990="",Sync!$P990=""),"",Sync!$S990)</f>
        <v/>
      </c>
      <c r="AF990">
        <f>IF($AE990="","",IF(ISNUMBER(Sync!$P990),IF(AND(Sync!$P990&gt;=10000101,Sync!$P990&lt;=99991231),INT(Sync!$P990/10000),""),IFERROR(VALUE(TRIM(LEFT(Sync!$P990,FIND("/",Sync!$P990)-1))),"")))</f>
        <v/>
      </c>
      <c r="AG990">
        <f>IF(OR($AE990="",$AF990=""),"",IF(ISNUMBER(Sync!$P990),INT(MOD(Sync!$P990,10000)/100),IFERROR(VALUE(TRIM(LEFT(MID(Sync!$P990,FIND("/",Sync!$P990)+1,20),FIND("/",MID(Sync!$P990,FIND("/",Sync!$P990)+1,20))-1))),"")))</f>
        <v/>
      </c>
      <c r="AH990">
        <f>IF(OR($AE990="",$AF990=""),"",IF(ISNUMBER(Sync!$P990),MOD(Sync!$P990,100),IFERROR(VALUE(TRIM(MID(MID(Sync!$P990,FIND("/",Sync!$P990)+1,20),FIND("/",MID(Sync!$P990,FIND("/",Sync!$P990)+1,20))+1,20))),"")))</f>
        <v/>
      </c>
      <c r="AI990">
        <f>IF($AE990="","",IF(OR($AF990="",$AG990="",$AH990="",$AF990&lt;1300,$AF990&gt;1500,$AG990&lt;1,$AG990&gt;12,$AH990&lt;1,$AH990&gt;31),"نامعتبر",RIGHT("0000"&amp;$AF990,4)&amp;"/"&amp;RIGHT("00"&amp;$AG990,2)&amp;"/"&amp;RIGHT("00"&amp;$AH990,2)))</f>
        <v/>
      </c>
      <c r="AJ990">
        <f>IF($AE990="","",IF(Sync!$Q990="","0000",IF(AND(ISNUMBER(Sync!$Q990),Sync!$Q990&gt;=0,Sync!$Q990&lt;1),RIGHT("00"&amp;HOUR(Sync!$Q990),2)&amp;RIGHT("00"&amp;MINUTE(Sync!$Q990),2),IFERROR(RIGHT("00"&amp;VALUE(LEFT(Sync!$Q990,FIND(":",Sync!$Q990)-1)),2)&amp;RIGHT("00"&amp;VALUE(MID(Sync!$Q990,FIND(":",Sync!$Q990)+1,2)),2),"0000"))))</f>
        <v/>
      </c>
      <c r="AK990">
        <f>IF(OR($AE990="",$AI990="",$AI990="نامعتبر"),"",LEFT($AI990,4)&amp;MID($AI990,6,2)&amp;RIGHT($AI990,2)&amp;$AJ990&amp;"|"&amp;"3"&amp;RIGHT("00000"&amp;985,5))</f>
        <v/>
      </c>
      <c r="AL990">
        <f>IF($AK990="","",COUNTIFS(LdAParty,$AE990,LdAType,1,LdAKey,"&lt;"&amp;$AK990)+COUNTIFS(LdBMember,$AE990,LdBKey,"&lt;"&amp;$AK990)+COUNTIFS(LdCParty,$AE990,LdCKey,"&lt;"&amp;$AK990)+1)</f>
        <v/>
      </c>
      <c r="AM990">
        <f>IF($AL990="","",$AE990&amp;"|"&amp;RIGHT("000000"&amp;$AL990,6))</f>
        <v/>
      </c>
      <c r="AN990">
        <f>IF($AE990="","",IF(Sync!$W990="",0,Sync!$W990))</f>
        <v/>
      </c>
      <c r="AO990">
        <f>IF($AE990="","",IF(Sync!$X990="",0,Sync!$X990))</f>
        <v/>
      </c>
      <c r="AP990">
        <f>IF($AE990="","",Sync!$R990)</f>
        <v/>
      </c>
      <c r="AQ990">
        <f>IF($AE990="","",Sync!$Y990)</f>
        <v/>
      </c>
    </row>
    <row r="991">
      <c r="A991">
        <f>IF(OR(Wages!$B994="",Wages!$E994=""),"",Wages!$E994)</f>
        <v/>
      </c>
      <c r="B991">
        <f>IF($A991="","",IF(Wages!$C994="دستمزد گروهی",2,1))</f>
        <v/>
      </c>
      <c r="C991">
        <f>IF($A991="","",IF(ISNUMBER(Wages!$B994),IF(AND(Wages!$B994&gt;=10000101,Wages!$B994&lt;=99991231),INT(Wages!$B994/10000),""),IFERROR(VALUE(TRIM(LEFT(Wages!$B994,FIND("/",Wages!$B994)-1))),"")))</f>
        <v/>
      </c>
      <c r="D991">
        <f>IF(OR($A991="",$C991=""),"",IF(ISNUMBER(Wages!$B994),INT(MOD(Wages!$B994,10000)/100),IFERROR(VALUE(TRIM(LEFT(MID(Wages!$B994,FIND("/",Wages!$B994)+1,20),FIND("/",MID(Wages!$B994,FIND("/",Wages!$B994)+1,20))-1))),"")))</f>
        <v/>
      </c>
      <c r="E991">
        <f>IF(OR($A991="",$C991=""),"",IF(ISNUMBER(Wages!$B994),MOD(Wages!$B994,100),IFERROR(VALUE(TRIM(MID(MID(Wages!$B994,FIND("/",Wages!$B994)+1,20),FIND("/",MID(Wages!$B994,FIND("/",Wages!$B994)+1,20))+1,20))),"")))</f>
        <v/>
      </c>
      <c r="F991">
        <f>IF($A991="","",IF(OR($C991="",$D991="",$E991="",$C991&lt;1300,$C991&gt;1500,$D991&lt;1,$D991&gt;12,$E991&lt;1,$E991&gt;31),"نامعتبر",RIGHT("0000"&amp;$C991,4)&amp;"/"&amp;RIGHT("00"&amp;$D991,2)&amp;"/"&amp;RIGHT("00"&amp;$E991,2)))</f>
        <v/>
      </c>
      <c r="G991">
        <f>IF(OR($A991="",$F991="",$F991="نامعتبر"),"",LEFT($F991,4)&amp;MID($F991,6,2)&amp;RIGHT($F991,2)&amp;"0000"&amp;"|"&amp;"1"&amp;RIGHT("00000"&amp;986,5))</f>
        <v/>
      </c>
      <c r="H991">
        <f>IF(OR($B991&lt;&gt;1,$G991=""),"",COUNTIFS(LdAParty,$A991,LdAType,1,LdAKey,"&lt;"&amp;$G991)+COUNTIFS(LdBMember,$A991,LdBKey,"&lt;"&amp;$G991)+COUNTIFS(LdCParty,$A991,LdCKey,"&lt;"&amp;$G991)+1)</f>
        <v/>
      </c>
      <c r="I991">
        <f>IF($H991="","",$A991&amp;"|"&amp;RIGHT("000000"&amp;$H991,6))</f>
        <v/>
      </c>
      <c r="J991">
        <f>IF(OR($B991&lt;&gt;2,$G991=""),"",COUNTIFS(LdAParty,$A991,LdAType,2,LdAKey,"&lt;"&amp;$G991)+1)</f>
        <v/>
      </c>
      <c r="K991">
        <f>IF($J991="","",$A991&amp;"|"&amp;RIGHT("000000"&amp;$J991,6))</f>
        <v/>
      </c>
      <c r="L991">
        <f>IF($A991="","",IF(Wages!$G994="",0,Wages!$G994))</f>
        <v/>
      </c>
      <c r="M991">
        <f>IF($A991="","",Wages!$J994)</f>
        <v/>
      </c>
      <c r="N991">
        <f>IF($A991="","",Wages!$D994)</f>
        <v/>
      </c>
      <c r="P991">
        <f>IF(OR(Shares!$B994="",Shares!$C994=""),"",Shares!$C994)</f>
        <v/>
      </c>
      <c r="Q991">
        <f>IF($P991="","",Shares!$B994)</f>
        <v/>
      </c>
      <c r="R991">
        <f>IF($P991="","",IFERROR(INDEX(WageParty,MATCH($Q991,WageIds,0)),""))</f>
        <v/>
      </c>
      <c r="S991">
        <f>IF($P991="","",IFERROR(INDEX($F$6:$F$2005,MATCH($Q991,WageIds,0)),""))</f>
        <v/>
      </c>
      <c r="T991">
        <f>IF(OR($P991="",$S991="",$S991="نامعتبر"),"",LEFT($S991,4)&amp;MID($S991,6,2)&amp;RIGHT($S991,2)&amp;"0000"&amp;"|"&amp;"2"&amp;RIGHT("00000"&amp;986,5))</f>
        <v/>
      </c>
      <c r="U991">
        <f>IF($T991="","",COUNTIFS(LdAParty,$P991,LdAType,1,LdAKey,"&lt;"&amp;$T991)+COUNTIFS(LdBMember,$P991,LdBKey,"&lt;"&amp;$T991)+COUNTIFS(LdCParty,$P991,LdCKey,"&lt;"&amp;$T991)+1)</f>
        <v/>
      </c>
      <c r="V991">
        <f>IF($U991="","",$P991&amp;"|"&amp;RIGHT("000000"&amp;$U991,6))</f>
        <v/>
      </c>
      <c r="W991">
        <f>IF($T991="","",COUNTIFS(LdBGroup,$R991,LdBKey,"&lt;"&amp;$T991)+1)</f>
        <v/>
      </c>
      <c r="X991">
        <f>IF($W991="","",$R991&amp;"|"&amp;RIGHT("000000"&amp;$W991,6))</f>
        <v/>
      </c>
      <c r="Y991">
        <f>IF($P991="","",IF(Shares!$E994="",0,Shares!$E994))</f>
        <v/>
      </c>
      <c r="Z991">
        <f>IF($P991="","",Shares!$H994)</f>
        <v/>
      </c>
      <c r="AE991">
        <f>IF(OR(Sync!$S991="",Sync!$P991=""),"",Sync!$S991)</f>
        <v/>
      </c>
      <c r="AF991">
        <f>IF($AE991="","",IF(ISNUMBER(Sync!$P991),IF(AND(Sync!$P991&gt;=10000101,Sync!$P991&lt;=99991231),INT(Sync!$P991/10000),""),IFERROR(VALUE(TRIM(LEFT(Sync!$P991,FIND("/",Sync!$P991)-1))),"")))</f>
        <v/>
      </c>
      <c r="AG991">
        <f>IF(OR($AE991="",$AF991=""),"",IF(ISNUMBER(Sync!$P991),INT(MOD(Sync!$P991,10000)/100),IFERROR(VALUE(TRIM(LEFT(MID(Sync!$P991,FIND("/",Sync!$P991)+1,20),FIND("/",MID(Sync!$P991,FIND("/",Sync!$P991)+1,20))-1))),"")))</f>
        <v/>
      </c>
      <c r="AH991">
        <f>IF(OR($AE991="",$AF991=""),"",IF(ISNUMBER(Sync!$P991),MOD(Sync!$P991,100),IFERROR(VALUE(TRIM(MID(MID(Sync!$P991,FIND("/",Sync!$P991)+1,20),FIND("/",MID(Sync!$P991,FIND("/",Sync!$P991)+1,20))+1,20))),"")))</f>
        <v/>
      </c>
      <c r="AI991">
        <f>IF($AE991="","",IF(OR($AF991="",$AG991="",$AH991="",$AF991&lt;1300,$AF991&gt;1500,$AG991&lt;1,$AG991&gt;12,$AH991&lt;1,$AH991&gt;31),"نامعتبر",RIGHT("0000"&amp;$AF991,4)&amp;"/"&amp;RIGHT("00"&amp;$AG991,2)&amp;"/"&amp;RIGHT("00"&amp;$AH991,2)))</f>
        <v/>
      </c>
      <c r="AJ991">
        <f>IF($AE991="","",IF(Sync!$Q991="","0000",IF(AND(ISNUMBER(Sync!$Q991),Sync!$Q991&gt;=0,Sync!$Q991&lt;1),RIGHT("00"&amp;HOUR(Sync!$Q991),2)&amp;RIGHT("00"&amp;MINUTE(Sync!$Q991),2),IFERROR(RIGHT("00"&amp;VALUE(LEFT(Sync!$Q991,FIND(":",Sync!$Q991)-1)),2)&amp;RIGHT("00"&amp;VALUE(MID(Sync!$Q991,FIND(":",Sync!$Q991)+1,2)),2),"0000"))))</f>
        <v/>
      </c>
      <c r="AK991">
        <f>IF(OR($AE991="",$AI991="",$AI991="نامعتبر"),"",LEFT($AI991,4)&amp;MID($AI991,6,2)&amp;RIGHT($AI991,2)&amp;$AJ991&amp;"|"&amp;"3"&amp;RIGHT("00000"&amp;986,5))</f>
        <v/>
      </c>
      <c r="AL991">
        <f>IF($AK991="","",COUNTIFS(LdAParty,$AE991,LdAType,1,LdAKey,"&lt;"&amp;$AK991)+COUNTIFS(LdBMember,$AE991,LdBKey,"&lt;"&amp;$AK991)+COUNTIFS(LdCParty,$AE991,LdCKey,"&lt;"&amp;$AK991)+1)</f>
        <v/>
      </c>
      <c r="AM991">
        <f>IF($AL991="","",$AE991&amp;"|"&amp;RIGHT("000000"&amp;$AL991,6))</f>
        <v/>
      </c>
      <c r="AN991">
        <f>IF($AE991="","",IF(Sync!$W991="",0,Sync!$W991))</f>
        <v/>
      </c>
      <c r="AO991">
        <f>IF($AE991="","",IF(Sync!$X991="",0,Sync!$X991))</f>
        <v/>
      </c>
      <c r="AP991">
        <f>IF($AE991="","",Sync!$R991)</f>
        <v/>
      </c>
      <c r="AQ991">
        <f>IF($AE991="","",Sync!$Y991)</f>
        <v/>
      </c>
    </row>
    <row r="992">
      <c r="A992">
        <f>IF(OR(Wages!$B995="",Wages!$E995=""),"",Wages!$E995)</f>
        <v/>
      </c>
      <c r="B992">
        <f>IF($A992="","",IF(Wages!$C995="دستمزد گروهی",2,1))</f>
        <v/>
      </c>
      <c r="C992">
        <f>IF($A992="","",IF(ISNUMBER(Wages!$B995),IF(AND(Wages!$B995&gt;=10000101,Wages!$B995&lt;=99991231),INT(Wages!$B995/10000),""),IFERROR(VALUE(TRIM(LEFT(Wages!$B995,FIND("/",Wages!$B995)-1))),"")))</f>
        <v/>
      </c>
      <c r="D992">
        <f>IF(OR($A992="",$C992=""),"",IF(ISNUMBER(Wages!$B995),INT(MOD(Wages!$B995,10000)/100),IFERROR(VALUE(TRIM(LEFT(MID(Wages!$B995,FIND("/",Wages!$B995)+1,20),FIND("/",MID(Wages!$B995,FIND("/",Wages!$B995)+1,20))-1))),"")))</f>
        <v/>
      </c>
      <c r="E992">
        <f>IF(OR($A992="",$C992=""),"",IF(ISNUMBER(Wages!$B995),MOD(Wages!$B995,100),IFERROR(VALUE(TRIM(MID(MID(Wages!$B995,FIND("/",Wages!$B995)+1,20),FIND("/",MID(Wages!$B995,FIND("/",Wages!$B995)+1,20))+1,20))),"")))</f>
        <v/>
      </c>
      <c r="F992">
        <f>IF($A992="","",IF(OR($C992="",$D992="",$E992="",$C992&lt;1300,$C992&gt;1500,$D992&lt;1,$D992&gt;12,$E992&lt;1,$E992&gt;31),"نامعتبر",RIGHT("0000"&amp;$C992,4)&amp;"/"&amp;RIGHT("00"&amp;$D992,2)&amp;"/"&amp;RIGHT("00"&amp;$E992,2)))</f>
        <v/>
      </c>
      <c r="G992">
        <f>IF(OR($A992="",$F992="",$F992="نامعتبر"),"",LEFT($F992,4)&amp;MID($F992,6,2)&amp;RIGHT($F992,2)&amp;"0000"&amp;"|"&amp;"1"&amp;RIGHT("00000"&amp;987,5))</f>
        <v/>
      </c>
      <c r="H992">
        <f>IF(OR($B992&lt;&gt;1,$G992=""),"",COUNTIFS(LdAParty,$A992,LdAType,1,LdAKey,"&lt;"&amp;$G992)+COUNTIFS(LdBMember,$A992,LdBKey,"&lt;"&amp;$G992)+COUNTIFS(LdCParty,$A992,LdCKey,"&lt;"&amp;$G992)+1)</f>
        <v/>
      </c>
      <c r="I992">
        <f>IF($H992="","",$A992&amp;"|"&amp;RIGHT("000000"&amp;$H992,6))</f>
        <v/>
      </c>
      <c r="J992">
        <f>IF(OR($B992&lt;&gt;2,$G992=""),"",COUNTIFS(LdAParty,$A992,LdAType,2,LdAKey,"&lt;"&amp;$G992)+1)</f>
        <v/>
      </c>
      <c r="K992">
        <f>IF($J992="","",$A992&amp;"|"&amp;RIGHT("000000"&amp;$J992,6))</f>
        <v/>
      </c>
      <c r="L992">
        <f>IF($A992="","",IF(Wages!$G995="",0,Wages!$G995))</f>
        <v/>
      </c>
      <c r="M992">
        <f>IF($A992="","",Wages!$J995)</f>
        <v/>
      </c>
      <c r="N992">
        <f>IF($A992="","",Wages!$D995)</f>
        <v/>
      </c>
      <c r="P992">
        <f>IF(OR(Shares!$B995="",Shares!$C995=""),"",Shares!$C995)</f>
        <v/>
      </c>
      <c r="Q992">
        <f>IF($P992="","",Shares!$B995)</f>
        <v/>
      </c>
      <c r="R992">
        <f>IF($P992="","",IFERROR(INDEX(WageParty,MATCH($Q992,WageIds,0)),""))</f>
        <v/>
      </c>
      <c r="S992">
        <f>IF($P992="","",IFERROR(INDEX($F$6:$F$2005,MATCH($Q992,WageIds,0)),""))</f>
        <v/>
      </c>
      <c r="T992">
        <f>IF(OR($P992="",$S992="",$S992="نامعتبر"),"",LEFT($S992,4)&amp;MID($S992,6,2)&amp;RIGHT($S992,2)&amp;"0000"&amp;"|"&amp;"2"&amp;RIGHT("00000"&amp;987,5))</f>
        <v/>
      </c>
      <c r="U992">
        <f>IF($T992="","",COUNTIFS(LdAParty,$P992,LdAType,1,LdAKey,"&lt;"&amp;$T992)+COUNTIFS(LdBMember,$P992,LdBKey,"&lt;"&amp;$T992)+COUNTIFS(LdCParty,$P992,LdCKey,"&lt;"&amp;$T992)+1)</f>
        <v/>
      </c>
      <c r="V992">
        <f>IF($U992="","",$P992&amp;"|"&amp;RIGHT("000000"&amp;$U992,6))</f>
        <v/>
      </c>
      <c r="W992">
        <f>IF($T992="","",COUNTIFS(LdBGroup,$R992,LdBKey,"&lt;"&amp;$T992)+1)</f>
        <v/>
      </c>
      <c r="X992">
        <f>IF($W992="","",$R992&amp;"|"&amp;RIGHT("000000"&amp;$W992,6))</f>
        <v/>
      </c>
      <c r="Y992">
        <f>IF($P992="","",IF(Shares!$E995="",0,Shares!$E995))</f>
        <v/>
      </c>
      <c r="Z992">
        <f>IF($P992="","",Shares!$H995)</f>
        <v/>
      </c>
      <c r="AE992">
        <f>IF(OR(Sync!$S992="",Sync!$P992=""),"",Sync!$S992)</f>
        <v/>
      </c>
      <c r="AF992">
        <f>IF($AE992="","",IF(ISNUMBER(Sync!$P992),IF(AND(Sync!$P992&gt;=10000101,Sync!$P992&lt;=99991231),INT(Sync!$P992/10000),""),IFERROR(VALUE(TRIM(LEFT(Sync!$P992,FIND("/",Sync!$P992)-1))),"")))</f>
        <v/>
      </c>
      <c r="AG992">
        <f>IF(OR($AE992="",$AF992=""),"",IF(ISNUMBER(Sync!$P992),INT(MOD(Sync!$P992,10000)/100),IFERROR(VALUE(TRIM(LEFT(MID(Sync!$P992,FIND("/",Sync!$P992)+1,20),FIND("/",MID(Sync!$P992,FIND("/",Sync!$P992)+1,20))-1))),"")))</f>
        <v/>
      </c>
      <c r="AH992">
        <f>IF(OR($AE992="",$AF992=""),"",IF(ISNUMBER(Sync!$P992),MOD(Sync!$P992,100),IFERROR(VALUE(TRIM(MID(MID(Sync!$P992,FIND("/",Sync!$P992)+1,20),FIND("/",MID(Sync!$P992,FIND("/",Sync!$P992)+1,20))+1,20))),"")))</f>
        <v/>
      </c>
      <c r="AI992">
        <f>IF($AE992="","",IF(OR($AF992="",$AG992="",$AH992="",$AF992&lt;1300,$AF992&gt;1500,$AG992&lt;1,$AG992&gt;12,$AH992&lt;1,$AH992&gt;31),"نامعتبر",RIGHT("0000"&amp;$AF992,4)&amp;"/"&amp;RIGHT("00"&amp;$AG992,2)&amp;"/"&amp;RIGHT("00"&amp;$AH992,2)))</f>
        <v/>
      </c>
      <c r="AJ992">
        <f>IF($AE992="","",IF(Sync!$Q992="","0000",IF(AND(ISNUMBER(Sync!$Q992),Sync!$Q992&gt;=0,Sync!$Q992&lt;1),RIGHT("00"&amp;HOUR(Sync!$Q992),2)&amp;RIGHT("00"&amp;MINUTE(Sync!$Q992),2),IFERROR(RIGHT("00"&amp;VALUE(LEFT(Sync!$Q992,FIND(":",Sync!$Q992)-1)),2)&amp;RIGHT("00"&amp;VALUE(MID(Sync!$Q992,FIND(":",Sync!$Q992)+1,2)),2),"0000"))))</f>
        <v/>
      </c>
      <c r="AK992">
        <f>IF(OR($AE992="",$AI992="",$AI992="نامعتبر"),"",LEFT($AI992,4)&amp;MID($AI992,6,2)&amp;RIGHT($AI992,2)&amp;$AJ992&amp;"|"&amp;"3"&amp;RIGHT("00000"&amp;987,5))</f>
        <v/>
      </c>
      <c r="AL992">
        <f>IF($AK992="","",COUNTIFS(LdAParty,$AE992,LdAType,1,LdAKey,"&lt;"&amp;$AK992)+COUNTIFS(LdBMember,$AE992,LdBKey,"&lt;"&amp;$AK992)+COUNTIFS(LdCParty,$AE992,LdCKey,"&lt;"&amp;$AK992)+1)</f>
        <v/>
      </c>
      <c r="AM992">
        <f>IF($AL992="","",$AE992&amp;"|"&amp;RIGHT("000000"&amp;$AL992,6))</f>
        <v/>
      </c>
      <c r="AN992">
        <f>IF($AE992="","",IF(Sync!$W992="",0,Sync!$W992))</f>
        <v/>
      </c>
      <c r="AO992">
        <f>IF($AE992="","",IF(Sync!$X992="",0,Sync!$X992))</f>
        <v/>
      </c>
      <c r="AP992">
        <f>IF($AE992="","",Sync!$R992)</f>
        <v/>
      </c>
      <c r="AQ992">
        <f>IF($AE992="","",Sync!$Y992)</f>
        <v/>
      </c>
    </row>
    <row r="993">
      <c r="A993">
        <f>IF(OR(Wages!$B996="",Wages!$E996=""),"",Wages!$E996)</f>
        <v/>
      </c>
      <c r="B993">
        <f>IF($A993="","",IF(Wages!$C996="دستمزد گروهی",2,1))</f>
        <v/>
      </c>
      <c r="C993">
        <f>IF($A993="","",IF(ISNUMBER(Wages!$B996),IF(AND(Wages!$B996&gt;=10000101,Wages!$B996&lt;=99991231),INT(Wages!$B996/10000),""),IFERROR(VALUE(TRIM(LEFT(Wages!$B996,FIND("/",Wages!$B996)-1))),"")))</f>
        <v/>
      </c>
      <c r="D993">
        <f>IF(OR($A993="",$C993=""),"",IF(ISNUMBER(Wages!$B996),INT(MOD(Wages!$B996,10000)/100),IFERROR(VALUE(TRIM(LEFT(MID(Wages!$B996,FIND("/",Wages!$B996)+1,20),FIND("/",MID(Wages!$B996,FIND("/",Wages!$B996)+1,20))-1))),"")))</f>
        <v/>
      </c>
      <c r="E993">
        <f>IF(OR($A993="",$C993=""),"",IF(ISNUMBER(Wages!$B996),MOD(Wages!$B996,100),IFERROR(VALUE(TRIM(MID(MID(Wages!$B996,FIND("/",Wages!$B996)+1,20),FIND("/",MID(Wages!$B996,FIND("/",Wages!$B996)+1,20))+1,20))),"")))</f>
        <v/>
      </c>
      <c r="F993">
        <f>IF($A993="","",IF(OR($C993="",$D993="",$E993="",$C993&lt;1300,$C993&gt;1500,$D993&lt;1,$D993&gt;12,$E993&lt;1,$E993&gt;31),"نامعتبر",RIGHT("0000"&amp;$C993,4)&amp;"/"&amp;RIGHT("00"&amp;$D993,2)&amp;"/"&amp;RIGHT("00"&amp;$E993,2)))</f>
        <v/>
      </c>
      <c r="G993">
        <f>IF(OR($A993="",$F993="",$F993="نامعتبر"),"",LEFT($F993,4)&amp;MID($F993,6,2)&amp;RIGHT($F993,2)&amp;"0000"&amp;"|"&amp;"1"&amp;RIGHT("00000"&amp;988,5))</f>
        <v/>
      </c>
      <c r="H993">
        <f>IF(OR($B993&lt;&gt;1,$G993=""),"",COUNTIFS(LdAParty,$A993,LdAType,1,LdAKey,"&lt;"&amp;$G993)+COUNTIFS(LdBMember,$A993,LdBKey,"&lt;"&amp;$G993)+COUNTIFS(LdCParty,$A993,LdCKey,"&lt;"&amp;$G993)+1)</f>
        <v/>
      </c>
      <c r="I993">
        <f>IF($H993="","",$A993&amp;"|"&amp;RIGHT("000000"&amp;$H993,6))</f>
        <v/>
      </c>
      <c r="J993">
        <f>IF(OR($B993&lt;&gt;2,$G993=""),"",COUNTIFS(LdAParty,$A993,LdAType,2,LdAKey,"&lt;"&amp;$G993)+1)</f>
        <v/>
      </c>
      <c r="K993">
        <f>IF($J993="","",$A993&amp;"|"&amp;RIGHT("000000"&amp;$J993,6))</f>
        <v/>
      </c>
      <c r="L993">
        <f>IF($A993="","",IF(Wages!$G996="",0,Wages!$G996))</f>
        <v/>
      </c>
      <c r="M993">
        <f>IF($A993="","",Wages!$J996)</f>
        <v/>
      </c>
      <c r="N993">
        <f>IF($A993="","",Wages!$D996)</f>
        <v/>
      </c>
      <c r="P993">
        <f>IF(OR(Shares!$B996="",Shares!$C996=""),"",Shares!$C996)</f>
        <v/>
      </c>
      <c r="Q993">
        <f>IF($P993="","",Shares!$B996)</f>
        <v/>
      </c>
      <c r="R993">
        <f>IF($P993="","",IFERROR(INDEX(WageParty,MATCH($Q993,WageIds,0)),""))</f>
        <v/>
      </c>
      <c r="S993">
        <f>IF($P993="","",IFERROR(INDEX($F$6:$F$2005,MATCH($Q993,WageIds,0)),""))</f>
        <v/>
      </c>
      <c r="T993">
        <f>IF(OR($P993="",$S993="",$S993="نامعتبر"),"",LEFT($S993,4)&amp;MID($S993,6,2)&amp;RIGHT($S993,2)&amp;"0000"&amp;"|"&amp;"2"&amp;RIGHT("00000"&amp;988,5))</f>
        <v/>
      </c>
      <c r="U993">
        <f>IF($T993="","",COUNTIFS(LdAParty,$P993,LdAType,1,LdAKey,"&lt;"&amp;$T993)+COUNTIFS(LdBMember,$P993,LdBKey,"&lt;"&amp;$T993)+COUNTIFS(LdCParty,$P993,LdCKey,"&lt;"&amp;$T993)+1)</f>
        <v/>
      </c>
      <c r="V993">
        <f>IF($U993="","",$P993&amp;"|"&amp;RIGHT("000000"&amp;$U993,6))</f>
        <v/>
      </c>
      <c r="W993">
        <f>IF($T993="","",COUNTIFS(LdBGroup,$R993,LdBKey,"&lt;"&amp;$T993)+1)</f>
        <v/>
      </c>
      <c r="X993">
        <f>IF($W993="","",$R993&amp;"|"&amp;RIGHT("000000"&amp;$W993,6))</f>
        <v/>
      </c>
      <c r="Y993">
        <f>IF($P993="","",IF(Shares!$E996="",0,Shares!$E996))</f>
        <v/>
      </c>
      <c r="Z993">
        <f>IF($P993="","",Shares!$H996)</f>
        <v/>
      </c>
      <c r="AE993">
        <f>IF(OR(Sync!$S993="",Sync!$P993=""),"",Sync!$S993)</f>
        <v/>
      </c>
      <c r="AF993">
        <f>IF($AE993="","",IF(ISNUMBER(Sync!$P993),IF(AND(Sync!$P993&gt;=10000101,Sync!$P993&lt;=99991231),INT(Sync!$P993/10000),""),IFERROR(VALUE(TRIM(LEFT(Sync!$P993,FIND("/",Sync!$P993)-1))),"")))</f>
        <v/>
      </c>
      <c r="AG993">
        <f>IF(OR($AE993="",$AF993=""),"",IF(ISNUMBER(Sync!$P993),INT(MOD(Sync!$P993,10000)/100),IFERROR(VALUE(TRIM(LEFT(MID(Sync!$P993,FIND("/",Sync!$P993)+1,20),FIND("/",MID(Sync!$P993,FIND("/",Sync!$P993)+1,20))-1))),"")))</f>
        <v/>
      </c>
      <c r="AH993">
        <f>IF(OR($AE993="",$AF993=""),"",IF(ISNUMBER(Sync!$P993),MOD(Sync!$P993,100),IFERROR(VALUE(TRIM(MID(MID(Sync!$P993,FIND("/",Sync!$P993)+1,20),FIND("/",MID(Sync!$P993,FIND("/",Sync!$P993)+1,20))+1,20))),"")))</f>
        <v/>
      </c>
      <c r="AI993">
        <f>IF($AE993="","",IF(OR($AF993="",$AG993="",$AH993="",$AF993&lt;1300,$AF993&gt;1500,$AG993&lt;1,$AG993&gt;12,$AH993&lt;1,$AH993&gt;31),"نامعتبر",RIGHT("0000"&amp;$AF993,4)&amp;"/"&amp;RIGHT("00"&amp;$AG993,2)&amp;"/"&amp;RIGHT("00"&amp;$AH993,2)))</f>
        <v/>
      </c>
      <c r="AJ993">
        <f>IF($AE993="","",IF(Sync!$Q993="","0000",IF(AND(ISNUMBER(Sync!$Q993),Sync!$Q993&gt;=0,Sync!$Q993&lt;1),RIGHT("00"&amp;HOUR(Sync!$Q993),2)&amp;RIGHT("00"&amp;MINUTE(Sync!$Q993),2),IFERROR(RIGHT("00"&amp;VALUE(LEFT(Sync!$Q993,FIND(":",Sync!$Q993)-1)),2)&amp;RIGHT("00"&amp;VALUE(MID(Sync!$Q993,FIND(":",Sync!$Q993)+1,2)),2),"0000"))))</f>
        <v/>
      </c>
      <c r="AK993">
        <f>IF(OR($AE993="",$AI993="",$AI993="نامعتبر"),"",LEFT($AI993,4)&amp;MID($AI993,6,2)&amp;RIGHT($AI993,2)&amp;$AJ993&amp;"|"&amp;"3"&amp;RIGHT("00000"&amp;988,5))</f>
        <v/>
      </c>
      <c r="AL993">
        <f>IF($AK993="","",COUNTIFS(LdAParty,$AE993,LdAType,1,LdAKey,"&lt;"&amp;$AK993)+COUNTIFS(LdBMember,$AE993,LdBKey,"&lt;"&amp;$AK993)+COUNTIFS(LdCParty,$AE993,LdCKey,"&lt;"&amp;$AK993)+1)</f>
        <v/>
      </c>
      <c r="AM993">
        <f>IF($AL993="","",$AE993&amp;"|"&amp;RIGHT("000000"&amp;$AL993,6))</f>
        <v/>
      </c>
      <c r="AN993">
        <f>IF($AE993="","",IF(Sync!$W993="",0,Sync!$W993))</f>
        <v/>
      </c>
      <c r="AO993">
        <f>IF($AE993="","",IF(Sync!$X993="",0,Sync!$X993))</f>
        <v/>
      </c>
      <c r="AP993">
        <f>IF($AE993="","",Sync!$R993)</f>
        <v/>
      </c>
      <c r="AQ993">
        <f>IF($AE993="","",Sync!$Y993)</f>
        <v/>
      </c>
    </row>
    <row r="994">
      <c r="A994">
        <f>IF(OR(Wages!$B997="",Wages!$E997=""),"",Wages!$E997)</f>
        <v/>
      </c>
      <c r="B994">
        <f>IF($A994="","",IF(Wages!$C997="دستمزد گروهی",2,1))</f>
        <v/>
      </c>
      <c r="C994">
        <f>IF($A994="","",IF(ISNUMBER(Wages!$B997),IF(AND(Wages!$B997&gt;=10000101,Wages!$B997&lt;=99991231),INT(Wages!$B997/10000),""),IFERROR(VALUE(TRIM(LEFT(Wages!$B997,FIND("/",Wages!$B997)-1))),"")))</f>
        <v/>
      </c>
      <c r="D994">
        <f>IF(OR($A994="",$C994=""),"",IF(ISNUMBER(Wages!$B997),INT(MOD(Wages!$B997,10000)/100),IFERROR(VALUE(TRIM(LEFT(MID(Wages!$B997,FIND("/",Wages!$B997)+1,20),FIND("/",MID(Wages!$B997,FIND("/",Wages!$B997)+1,20))-1))),"")))</f>
        <v/>
      </c>
      <c r="E994">
        <f>IF(OR($A994="",$C994=""),"",IF(ISNUMBER(Wages!$B997),MOD(Wages!$B997,100),IFERROR(VALUE(TRIM(MID(MID(Wages!$B997,FIND("/",Wages!$B997)+1,20),FIND("/",MID(Wages!$B997,FIND("/",Wages!$B997)+1,20))+1,20))),"")))</f>
        <v/>
      </c>
      <c r="F994">
        <f>IF($A994="","",IF(OR($C994="",$D994="",$E994="",$C994&lt;1300,$C994&gt;1500,$D994&lt;1,$D994&gt;12,$E994&lt;1,$E994&gt;31),"نامعتبر",RIGHT("0000"&amp;$C994,4)&amp;"/"&amp;RIGHT("00"&amp;$D994,2)&amp;"/"&amp;RIGHT("00"&amp;$E994,2)))</f>
        <v/>
      </c>
      <c r="G994">
        <f>IF(OR($A994="",$F994="",$F994="نامعتبر"),"",LEFT($F994,4)&amp;MID($F994,6,2)&amp;RIGHT($F994,2)&amp;"0000"&amp;"|"&amp;"1"&amp;RIGHT("00000"&amp;989,5))</f>
        <v/>
      </c>
      <c r="H994">
        <f>IF(OR($B994&lt;&gt;1,$G994=""),"",COUNTIFS(LdAParty,$A994,LdAType,1,LdAKey,"&lt;"&amp;$G994)+COUNTIFS(LdBMember,$A994,LdBKey,"&lt;"&amp;$G994)+COUNTIFS(LdCParty,$A994,LdCKey,"&lt;"&amp;$G994)+1)</f>
        <v/>
      </c>
      <c r="I994">
        <f>IF($H994="","",$A994&amp;"|"&amp;RIGHT("000000"&amp;$H994,6))</f>
        <v/>
      </c>
      <c r="J994">
        <f>IF(OR($B994&lt;&gt;2,$G994=""),"",COUNTIFS(LdAParty,$A994,LdAType,2,LdAKey,"&lt;"&amp;$G994)+1)</f>
        <v/>
      </c>
      <c r="K994">
        <f>IF($J994="","",$A994&amp;"|"&amp;RIGHT("000000"&amp;$J994,6))</f>
        <v/>
      </c>
      <c r="L994">
        <f>IF($A994="","",IF(Wages!$G997="",0,Wages!$G997))</f>
        <v/>
      </c>
      <c r="M994">
        <f>IF($A994="","",Wages!$J997)</f>
        <v/>
      </c>
      <c r="N994">
        <f>IF($A994="","",Wages!$D997)</f>
        <v/>
      </c>
      <c r="P994">
        <f>IF(OR(Shares!$B997="",Shares!$C997=""),"",Shares!$C997)</f>
        <v/>
      </c>
      <c r="Q994">
        <f>IF($P994="","",Shares!$B997)</f>
        <v/>
      </c>
      <c r="R994">
        <f>IF($P994="","",IFERROR(INDEX(WageParty,MATCH($Q994,WageIds,0)),""))</f>
        <v/>
      </c>
      <c r="S994">
        <f>IF($P994="","",IFERROR(INDEX($F$6:$F$2005,MATCH($Q994,WageIds,0)),""))</f>
        <v/>
      </c>
      <c r="T994">
        <f>IF(OR($P994="",$S994="",$S994="نامعتبر"),"",LEFT($S994,4)&amp;MID($S994,6,2)&amp;RIGHT($S994,2)&amp;"0000"&amp;"|"&amp;"2"&amp;RIGHT("00000"&amp;989,5))</f>
        <v/>
      </c>
      <c r="U994">
        <f>IF($T994="","",COUNTIFS(LdAParty,$P994,LdAType,1,LdAKey,"&lt;"&amp;$T994)+COUNTIFS(LdBMember,$P994,LdBKey,"&lt;"&amp;$T994)+COUNTIFS(LdCParty,$P994,LdCKey,"&lt;"&amp;$T994)+1)</f>
        <v/>
      </c>
      <c r="V994">
        <f>IF($U994="","",$P994&amp;"|"&amp;RIGHT("000000"&amp;$U994,6))</f>
        <v/>
      </c>
      <c r="W994">
        <f>IF($T994="","",COUNTIFS(LdBGroup,$R994,LdBKey,"&lt;"&amp;$T994)+1)</f>
        <v/>
      </c>
      <c r="X994">
        <f>IF($W994="","",$R994&amp;"|"&amp;RIGHT("000000"&amp;$W994,6))</f>
        <v/>
      </c>
      <c r="Y994">
        <f>IF($P994="","",IF(Shares!$E997="",0,Shares!$E997))</f>
        <v/>
      </c>
      <c r="Z994">
        <f>IF($P994="","",Shares!$H997)</f>
        <v/>
      </c>
      <c r="AE994">
        <f>IF(OR(Sync!$S994="",Sync!$P994=""),"",Sync!$S994)</f>
        <v/>
      </c>
      <c r="AF994">
        <f>IF($AE994="","",IF(ISNUMBER(Sync!$P994),IF(AND(Sync!$P994&gt;=10000101,Sync!$P994&lt;=99991231),INT(Sync!$P994/10000),""),IFERROR(VALUE(TRIM(LEFT(Sync!$P994,FIND("/",Sync!$P994)-1))),"")))</f>
        <v/>
      </c>
      <c r="AG994">
        <f>IF(OR($AE994="",$AF994=""),"",IF(ISNUMBER(Sync!$P994),INT(MOD(Sync!$P994,10000)/100),IFERROR(VALUE(TRIM(LEFT(MID(Sync!$P994,FIND("/",Sync!$P994)+1,20),FIND("/",MID(Sync!$P994,FIND("/",Sync!$P994)+1,20))-1))),"")))</f>
        <v/>
      </c>
      <c r="AH994">
        <f>IF(OR($AE994="",$AF994=""),"",IF(ISNUMBER(Sync!$P994),MOD(Sync!$P994,100),IFERROR(VALUE(TRIM(MID(MID(Sync!$P994,FIND("/",Sync!$P994)+1,20),FIND("/",MID(Sync!$P994,FIND("/",Sync!$P994)+1,20))+1,20))),"")))</f>
        <v/>
      </c>
      <c r="AI994">
        <f>IF($AE994="","",IF(OR($AF994="",$AG994="",$AH994="",$AF994&lt;1300,$AF994&gt;1500,$AG994&lt;1,$AG994&gt;12,$AH994&lt;1,$AH994&gt;31),"نامعتبر",RIGHT("0000"&amp;$AF994,4)&amp;"/"&amp;RIGHT("00"&amp;$AG994,2)&amp;"/"&amp;RIGHT("00"&amp;$AH994,2)))</f>
        <v/>
      </c>
      <c r="AJ994">
        <f>IF($AE994="","",IF(Sync!$Q994="","0000",IF(AND(ISNUMBER(Sync!$Q994),Sync!$Q994&gt;=0,Sync!$Q994&lt;1),RIGHT("00"&amp;HOUR(Sync!$Q994),2)&amp;RIGHT("00"&amp;MINUTE(Sync!$Q994),2),IFERROR(RIGHT("00"&amp;VALUE(LEFT(Sync!$Q994,FIND(":",Sync!$Q994)-1)),2)&amp;RIGHT("00"&amp;VALUE(MID(Sync!$Q994,FIND(":",Sync!$Q994)+1,2)),2),"0000"))))</f>
        <v/>
      </c>
      <c r="AK994">
        <f>IF(OR($AE994="",$AI994="",$AI994="نامعتبر"),"",LEFT($AI994,4)&amp;MID($AI994,6,2)&amp;RIGHT($AI994,2)&amp;$AJ994&amp;"|"&amp;"3"&amp;RIGHT("00000"&amp;989,5))</f>
        <v/>
      </c>
      <c r="AL994">
        <f>IF($AK994="","",COUNTIFS(LdAParty,$AE994,LdAType,1,LdAKey,"&lt;"&amp;$AK994)+COUNTIFS(LdBMember,$AE994,LdBKey,"&lt;"&amp;$AK994)+COUNTIFS(LdCParty,$AE994,LdCKey,"&lt;"&amp;$AK994)+1)</f>
        <v/>
      </c>
      <c r="AM994">
        <f>IF($AL994="","",$AE994&amp;"|"&amp;RIGHT("000000"&amp;$AL994,6))</f>
        <v/>
      </c>
      <c r="AN994">
        <f>IF($AE994="","",IF(Sync!$W994="",0,Sync!$W994))</f>
        <v/>
      </c>
      <c r="AO994">
        <f>IF($AE994="","",IF(Sync!$X994="",0,Sync!$X994))</f>
        <v/>
      </c>
      <c r="AP994">
        <f>IF($AE994="","",Sync!$R994)</f>
        <v/>
      </c>
      <c r="AQ994">
        <f>IF($AE994="","",Sync!$Y994)</f>
        <v/>
      </c>
    </row>
    <row r="995">
      <c r="A995">
        <f>IF(OR(Wages!$B998="",Wages!$E998=""),"",Wages!$E998)</f>
        <v/>
      </c>
      <c r="B995">
        <f>IF($A995="","",IF(Wages!$C998="دستمزد گروهی",2,1))</f>
        <v/>
      </c>
      <c r="C995">
        <f>IF($A995="","",IF(ISNUMBER(Wages!$B998),IF(AND(Wages!$B998&gt;=10000101,Wages!$B998&lt;=99991231),INT(Wages!$B998/10000),""),IFERROR(VALUE(TRIM(LEFT(Wages!$B998,FIND("/",Wages!$B998)-1))),"")))</f>
        <v/>
      </c>
      <c r="D995">
        <f>IF(OR($A995="",$C995=""),"",IF(ISNUMBER(Wages!$B998),INT(MOD(Wages!$B998,10000)/100),IFERROR(VALUE(TRIM(LEFT(MID(Wages!$B998,FIND("/",Wages!$B998)+1,20),FIND("/",MID(Wages!$B998,FIND("/",Wages!$B998)+1,20))-1))),"")))</f>
        <v/>
      </c>
      <c r="E995">
        <f>IF(OR($A995="",$C995=""),"",IF(ISNUMBER(Wages!$B998),MOD(Wages!$B998,100),IFERROR(VALUE(TRIM(MID(MID(Wages!$B998,FIND("/",Wages!$B998)+1,20),FIND("/",MID(Wages!$B998,FIND("/",Wages!$B998)+1,20))+1,20))),"")))</f>
        <v/>
      </c>
      <c r="F995">
        <f>IF($A995="","",IF(OR($C995="",$D995="",$E995="",$C995&lt;1300,$C995&gt;1500,$D995&lt;1,$D995&gt;12,$E995&lt;1,$E995&gt;31),"نامعتبر",RIGHT("0000"&amp;$C995,4)&amp;"/"&amp;RIGHT("00"&amp;$D995,2)&amp;"/"&amp;RIGHT("00"&amp;$E995,2)))</f>
        <v/>
      </c>
      <c r="G995">
        <f>IF(OR($A995="",$F995="",$F995="نامعتبر"),"",LEFT($F995,4)&amp;MID($F995,6,2)&amp;RIGHT($F995,2)&amp;"0000"&amp;"|"&amp;"1"&amp;RIGHT("00000"&amp;990,5))</f>
        <v/>
      </c>
      <c r="H995">
        <f>IF(OR($B995&lt;&gt;1,$G995=""),"",COUNTIFS(LdAParty,$A995,LdAType,1,LdAKey,"&lt;"&amp;$G995)+COUNTIFS(LdBMember,$A995,LdBKey,"&lt;"&amp;$G995)+COUNTIFS(LdCParty,$A995,LdCKey,"&lt;"&amp;$G995)+1)</f>
        <v/>
      </c>
      <c r="I995">
        <f>IF($H995="","",$A995&amp;"|"&amp;RIGHT("000000"&amp;$H995,6))</f>
        <v/>
      </c>
      <c r="J995">
        <f>IF(OR($B995&lt;&gt;2,$G995=""),"",COUNTIFS(LdAParty,$A995,LdAType,2,LdAKey,"&lt;"&amp;$G995)+1)</f>
        <v/>
      </c>
      <c r="K995">
        <f>IF($J995="","",$A995&amp;"|"&amp;RIGHT("000000"&amp;$J995,6))</f>
        <v/>
      </c>
      <c r="L995">
        <f>IF($A995="","",IF(Wages!$G998="",0,Wages!$G998))</f>
        <v/>
      </c>
      <c r="M995">
        <f>IF($A995="","",Wages!$J998)</f>
        <v/>
      </c>
      <c r="N995">
        <f>IF($A995="","",Wages!$D998)</f>
        <v/>
      </c>
      <c r="P995">
        <f>IF(OR(Shares!$B998="",Shares!$C998=""),"",Shares!$C998)</f>
        <v/>
      </c>
      <c r="Q995">
        <f>IF($P995="","",Shares!$B998)</f>
        <v/>
      </c>
      <c r="R995">
        <f>IF($P995="","",IFERROR(INDEX(WageParty,MATCH($Q995,WageIds,0)),""))</f>
        <v/>
      </c>
      <c r="S995">
        <f>IF($P995="","",IFERROR(INDEX($F$6:$F$2005,MATCH($Q995,WageIds,0)),""))</f>
        <v/>
      </c>
      <c r="T995">
        <f>IF(OR($P995="",$S995="",$S995="نامعتبر"),"",LEFT($S995,4)&amp;MID($S995,6,2)&amp;RIGHT($S995,2)&amp;"0000"&amp;"|"&amp;"2"&amp;RIGHT("00000"&amp;990,5))</f>
        <v/>
      </c>
      <c r="U995">
        <f>IF($T995="","",COUNTIFS(LdAParty,$P995,LdAType,1,LdAKey,"&lt;"&amp;$T995)+COUNTIFS(LdBMember,$P995,LdBKey,"&lt;"&amp;$T995)+COUNTIFS(LdCParty,$P995,LdCKey,"&lt;"&amp;$T995)+1)</f>
        <v/>
      </c>
      <c r="V995">
        <f>IF($U995="","",$P995&amp;"|"&amp;RIGHT("000000"&amp;$U995,6))</f>
        <v/>
      </c>
      <c r="W995">
        <f>IF($T995="","",COUNTIFS(LdBGroup,$R995,LdBKey,"&lt;"&amp;$T995)+1)</f>
        <v/>
      </c>
      <c r="X995">
        <f>IF($W995="","",$R995&amp;"|"&amp;RIGHT("000000"&amp;$W995,6))</f>
        <v/>
      </c>
      <c r="Y995">
        <f>IF($P995="","",IF(Shares!$E998="",0,Shares!$E998))</f>
        <v/>
      </c>
      <c r="Z995">
        <f>IF($P995="","",Shares!$H998)</f>
        <v/>
      </c>
      <c r="AE995">
        <f>IF(OR(Sync!$S995="",Sync!$P995=""),"",Sync!$S995)</f>
        <v/>
      </c>
      <c r="AF995">
        <f>IF($AE995="","",IF(ISNUMBER(Sync!$P995),IF(AND(Sync!$P995&gt;=10000101,Sync!$P995&lt;=99991231),INT(Sync!$P995/10000),""),IFERROR(VALUE(TRIM(LEFT(Sync!$P995,FIND("/",Sync!$P995)-1))),"")))</f>
        <v/>
      </c>
      <c r="AG995">
        <f>IF(OR($AE995="",$AF995=""),"",IF(ISNUMBER(Sync!$P995),INT(MOD(Sync!$P995,10000)/100),IFERROR(VALUE(TRIM(LEFT(MID(Sync!$P995,FIND("/",Sync!$P995)+1,20),FIND("/",MID(Sync!$P995,FIND("/",Sync!$P995)+1,20))-1))),"")))</f>
        <v/>
      </c>
      <c r="AH995">
        <f>IF(OR($AE995="",$AF995=""),"",IF(ISNUMBER(Sync!$P995),MOD(Sync!$P995,100),IFERROR(VALUE(TRIM(MID(MID(Sync!$P995,FIND("/",Sync!$P995)+1,20),FIND("/",MID(Sync!$P995,FIND("/",Sync!$P995)+1,20))+1,20))),"")))</f>
        <v/>
      </c>
      <c r="AI995">
        <f>IF($AE995="","",IF(OR($AF995="",$AG995="",$AH995="",$AF995&lt;1300,$AF995&gt;1500,$AG995&lt;1,$AG995&gt;12,$AH995&lt;1,$AH995&gt;31),"نامعتبر",RIGHT("0000"&amp;$AF995,4)&amp;"/"&amp;RIGHT("00"&amp;$AG995,2)&amp;"/"&amp;RIGHT("00"&amp;$AH995,2)))</f>
        <v/>
      </c>
      <c r="AJ995">
        <f>IF($AE995="","",IF(Sync!$Q995="","0000",IF(AND(ISNUMBER(Sync!$Q995),Sync!$Q995&gt;=0,Sync!$Q995&lt;1),RIGHT("00"&amp;HOUR(Sync!$Q995),2)&amp;RIGHT("00"&amp;MINUTE(Sync!$Q995),2),IFERROR(RIGHT("00"&amp;VALUE(LEFT(Sync!$Q995,FIND(":",Sync!$Q995)-1)),2)&amp;RIGHT("00"&amp;VALUE(MID(Sync!$Q995,FIND(":",Sync!$Q995)+1,2)),2),"0000"))))</f>
        <v/>
      </c>
      <c r="AK995">
        <f>IF(OR($AE995="",$AI995="",$AI995="نامعتبر"),"",LEFT($AI995,4)&amp;MID($AI995,6,2)&amp;RIGHT($AI995,2)&amp;$AJ995&amp;"|"&amp;"3"&amp;RIGHT("00000"&amp;990,5))</f>
        <v/>
      </c>
      <c r="AL995">
        <f>IF($AK995="","",COUNTIFS(LdAParty,$AE995,LdAType,1,LdAKey,"&lt;"&amp;$AK995)+COUNTIFS(LdBMember,$AE995,LdBKey,"&lt;"&amp;$AK995)+COUNTIFS(LdCParty,$AE995,LdCKey,"&lt;"&amp;$AK995)+1)</f>
        <v/>
      </c>
      <c r="AM995">
        <f>IF($AL995="","",$AE995&amp;"|"&amp;RIGHT("000000"&amp;$AL995,6))</f>
        <v/>
      </c>
      <c r="AN995">
        <f>IF($AE995="","",IF(Sync!$W995="",0,Sync!$W995))</f>
        <v/>
      </c>
      <c r="AO995">
        <f>IF($AE995="","",IF(Sync!$X995="",0,Sync!$X995))</f>
        <v/>
      </c>
      <c r="AP995">
        <f>IF($AE995="","",Sync!$R995)</f>
        <v/>
      </c>
      <c r="AQ995">
        <f>IF($AE995="","",Sync!$Y995)</f>
        <v/>
      </c>
    </row>
    <row r="996">
      <c r="A996">
        <f>IF(OR(Wages!$B999="",Wages!$E999=""),"",Wages!$E999)</f>
        <v/>
      </c>
      <c r="B996">
        <f>IF($A996="","",IF(Wages!$C999="دستمزد گروهی",2,1))</f>
        <v/>
      </c>
      <c r="C996">
        <f>IF($A996="","",IF(ISNUMBER(Wages!$B999),IF(AND(Wages!$B999&gt;=10000101,Wages!$B999&lt;=99991231),INT(Wages!$B999/10000),""),IFERROR(VALUE(TRIM(LEFT(Wages!$B999,FIND("/",Wages!$B999)-1))),"")))</f>
        <v/>
      </c>
      <c r="D996">
        <f>IF(OR($A996="",$C996=""),"",IF(ISNUMBER(Wages!$B999),INT(MOD(Wages!$B999,10000)/100),IFERROR(VALUE(TRIM(LEFT(MID(Wages!$B999,FIND("/",Wages!$B999)+1,20),FIND("/",MID(Wages!$B999,FIND("/",Wages!$B999)+1,20))-1))),"")))</f>
        <v/>
      </c>
      <c r="E996">
        <f>IF(OR($A996="",$C996=""),"",IF(ISNUMBER(Wages!$B999),MOD(Wages!$B999,100),IFERROR(VALUE(TRIM(MID(MID(Wages!$B999,FIND("/",Wages!$B999)+1,20),FIND("/",MID(Wages!$B999,FIND("/",Wages!$B999)+1,20))+1,20))),"")))</f>
        <v/>
      </c>
      <c r="F996">
        <f>IF($A996="","",IF(OR($C996="",$D996="",$E996="",$C996&lt;1300,$C996&gt;1500,$D996&lt;1,$D996&gt;12,$E996&lt;1,$E996&gt;31),"نامعتبر",RIGHT("0000"&amp;$C996,4)&amp;"/"&amp;RIGHT("00"&amp;$D996,2)&amp;"/"&amp;RIGHT("00"&amp;$E996,2)))</f>
        <v/>
      </c>
      <c r="G996">
        <f>IF(OR($A996="",$F996="",$F996="نامعتبر"),"",LEFT($F996,4)&amp;MID($F996,6,2)&amp;RIGHT($F996,2)&amp;"0000"&amp;"|"&amp;"1"&amp;RIGHT("00000"&amp;991,5))</f>
        <v/>
      </c>
      <c r="H996">
        <f>IF(OR($B996&lt;&gt;1,$G996=""),"",COUNTIFS(LdAParty,$A996,LdAType,1,LdAKey,"&lt;"&amp;$G996)+COUNTIFS(LdBMember,$A996,LdBKey,"&lt;"&amp;$G996)+COUNTIFS(LdCParty,$A996,LdCKey,"&lt;"&amp;$G996)+1)</f>
        <v/>
      </c>
      <c r="I996">
        <f>IF($H996="","",$A996&amp;"|"&amp;RIGHT("000000"&amp;$H996,6))</f>
        <v/>
      </c>
      <c r="J996">
        <f>IF(OR($B996&lt;&gt;2,$G996=""),"",COUNTIFS(LdAParty,$A996,LdAType,2,LdAKey,"&lt;"&amp;$G996)+1)</f>
        <v/>
      </c>
      <c r="K996">
        <f>IF($J996="","",$A996&amp;"|"&amp;RIGHT("000000"&amp;$J996,6))</f>
        <v/>
      </c>
      <c r="L996">
        <f>IF($A996="","",IF(Wages!$G999="",0,Wages!$G999))</f>
        <v/>
      </c>
      <c r="M996">
        <f>IF($A996="","",Wages!$J999)</f>
        <v/>
      </c>
      <c r="N996">
        <f>IF($A996="","",Wages!$D999)</f>
        <v/>
      </c>
      <c r="P996">
        <f>IF(OR(Shares!$B999="",Shares!$C999=""),"",Shares!$C999)</f>
        <v/>
      </c>
      <c r="Q996">
        <f>IF($P996="","",Shares!$B999)</f>
        <v/>
      </c>
      <c r="R996">
        <f>IF($P996="","",IFERROR(INDEX(WageParty,MATCH($Q996,WageIds,0)),""))</f>
        <v/>
      </c>
      <c r="S996">
        <f>IF($P996="","",IFERROR(INDEX($F$6:$F$2005,MATCH($Q996,WageIds,0)),""))</f>
        <v/>
      </c>
      <c r="T996">
        <f>IF(OR($P996="",$S996="",$S996="نامعتبر"),"",LEFT($S996,4)&amp;MID($S996,6,2)&amp;RIGHT($S996,2)&amp;"0000"&amp;"|"&amp;"2"&amp;RIGHT("00000"&amp;991,5))</f>
        <v/>
      </c>
      <c r="U996">
        <f>IF($T996="","",COUNTIFS(LdAParty,$P996,LdAType,1,LdAKey,"&lt;"&amp;$T996)+COUNTIFS(LdBMember,$P996,LdBKey,"&lt;"&amp;$T996)+COUNTIFS(LdCParty,$P996,LdCKey,"&lt;"&amp;$T996)+1)</f>
        <v/>
      </c>
      <c r="V996">
        <f>IF($U996="","",$P996&amp;"|"&amp;RIGHT("000000"&amp;$U996,6))</f>
        <v/>
      </c>
      <c r="W996">
        <f>IF($T996="","",COUNTIFS(LdBGroup,$R996,LdBKey,"&lt;"&amp;$T996)+1)</f>
        <v/>
      </c>
      <c r="X996">
        <f>IF($W996="","",$R996&amp;"|"&amp;RIGHT("000000"&amp;$W996,6))</f>
        <v/>
      </c>
      <c r="Y996">
        <f>IF($P996="","",IF(Shares!$E999="",0,Shares!$E999))</f>
        <v/>
      </c>
      <c r="Z996">
        <f>IF($P996="","",Shares!$H999)</f>
        <v/>
      </c>
      <c r="AE996">
        <f>IF(OR(Sync!$S996="",Sync!$P996=""),"",Sync!$S996)</f>
        <v/>
      </c>
      <c r="AF996">
        <f>IF($AE996="","",IF(ISNUMBER(Sync!$P996),IF(AND(Sync!$P996&gt;=10000101,Sync!$P996&lt;=99991231),INT(Sync!$P996/10000),""),IFERROR(VALUE(TRIM(LEFT(Sync!$P996,FIND("/",Sync!$P996)-1))),"")))</f>
        <v/>
      </c>
      <c r="AG996">
        <f>IF(OR($AE996="",$AF996=""),"",IF(ISNUMBER(Sync!$P996),INT(MOD(Sync!$P996,10000)/100),IFERROR(VALUE(TRIM(LEFT(MID(Sync!$P996,FIND("/",Sync!$P996)+1,20),FIND("/",MID(Sync!$P996,FIND("/",Sync!$P996)+1,20))-1))),"")))</f>
        <v/>
      </c>
      <c r="AH996">
        <f>IF(OR($AE996="",$AF996=""),"",IF(ISNUMBER(Sync!$P996),MOD(Sync!$P996,100),IFERROR(VALUE(TRIM(MID(MID(Sync!$P996,FIND("/",Sync!$P996)+1,20),FIND("/",MID(Sync!$P996,FIND("/",Sync!$P996)+1,20))+1,20))),"")))</f>
        <v/>
      </c>
      <c r="AI996">
        <f>IF($AE996="","",IF(OR($AF996="",$AG996="",$AH996="",$AF996&lt;1300,$AF996&gt;1500,$AG996&lt;1,$AG996&gt;12,$AH996&lt;1,$AH996&gt;31),"نامعتبر",RIGHT("0000"&amp;$AF996,4)&amp;"/"&amp;RIGHT("00"&amp;$AG996,2)&amp;"/"&amp;RIGHT("00"&amp;$AH996,2)))</f>
        <v/>
      </c>
      <c r="AJ996">
        <f>IF($AE996="","",IF(Sync!$Q996="","0000",IF(AND(ISNUMBER(Sync!$Q996),Sync!$Q996&gt;=0,Sync!$Q996&lt;1),RIGHT("00"&amp;HOUR(Sync!$Q996),2)&amp;RIGHT("00"&amp;MINUTE(Sync!$Q996),2),IFERROR(RIGHT("00"&amp;VALUE(LEFT(Sync!$Q996,FIND(":",Sync!$Q996)-1)),2)&amp;RIGHT("00"&amp;VALUE(MID(Sync!$Q996,FIND(":",Sync!$Q996)+1,2)),2),"0000"))))</f>
        <v/>
      </c>
      <c r="AK996">
        <f>IF(OR($AE996="",$AI996="",$AI996="نامعتبر"),"",LEFT($AI996,4)&amp;MID($AI996,6,2)&amp;RIGHT($AI996,2)&amp;$AJ996&amp;"|"&amp;"3"&amp;RIGHT("00000"&amp;991,5))</f>
        <v/>
      </c>
      <c r="AL996">
        <f>IF($AK996="","",COUNTIFS(LdAParty,$AE996,LdAType,1,LdAKey,"&lt;"&amp;$AK996)+COUNTIFS(LdBMember,$AE996,LdBKey,"&lt;"&amp;$AK996)+COUNTIFS(LdCParty,$AE996,LdCKey,"&lt;"&amp;$AK996)+1)</f>
        <v/>
      </c>
      <c r="AM996">
        <f>IF($AL996="","",$AE996&amp;"|"&amp;RIGHT("000000"&amp;$AL996,6))</f>
        <v/>
      </c>
      <c r="AN996">
        <f>IF($AE996="","",IF(Sync!$W996="",0,Sync!$W996))</f>
        <v/>
      </c>
      <c r="AO996">
        <f>IF($AE996="","",IF(Sync!$X996="",0,Sync!$X996))</f>
        <v/>
      </c>
      <c r="AP996">
        <f>IF($AE996="","",Sync!$R996)</f>
        <v/>
      </c>
      <c r="AQ996">
        <f>IF($AE996="","",Sync!$Y996)</f>
        <v/>
      </c>
    </row>
    <row r="997">
      <c r="A997">
        <f>IF(OR(Wages!$B1000="",Wages!$E1000=""),"",Wages!$E1000)</f>
        <v/>
      </c>
      <c r="B997">
        <f>IF($A997="","",IF(Wages!$C1000="دستمزد گروهی",2,1))</f>
        <v/>
      </c>
      <c r="C997">
        <f>IF($A997="","",IF(ISNUMBER(Wages!$B1000),IF(AND(Wages!$B1000&gt;=10000101,Wages!$B1000&lt;=99991231),INT(Wages!$B1000/10000),""),IFERROR(VALUE(TRIM(LEFT(Wages!$B1000,FIND("/",Wages!$B1000)-1))),"")))</f>
        <v/>
      </c>
      <c r="D997">
        <f>IF(OR($A997="",$C997=""),"",IF(ISNUMBER(Wages!$B1000),INT(MOD(Wages!$B1000,10000)/100),IFERROR(VALUE(TRIM(LEFT(MID(Wages!$B1000,FIND("/",Wages!$B1000)+1,20),FIND("/",MID(Wages!$B1000,FIND("/",Wages!$B1000)+1,20))-1))),"")))</f>
        <v/>
      </c>
      <c r="E997">
        <f>IF(OR($A997="",$C997=""),"",IF(ISNUMBER(Wages!$B1000),MOD(Wages!$B1000,100),IFERROR(VALUE(TRIM(MID(MID(Wages!$B1000,FIND("/",Wages!$B1000)+1,20),FIND("/",MID(Wages!$B1000,FIND("/",Wages!$B1000)+1,20))+1,20))),"")))</f>
        <v/>
      </c>
      <c r="F997">
        <f>IF($A997="","",IF(OR($C997="",$D997="",$E997="",$C997&lt;1300,$C997&gt;1500,$D997&lt;1,$D997&gt;12,$E997&lt;1,$E997&gt;31),"نامعتبر",RIGHT("0000"&amp;$C997,4)&amp;"/"&amp;RIGHT("00"&amp;$D997,2)&amp;"/"&amp;RIGHT("00"&amp;$E997,2)))</f>
        <v/>
      </c>
      <c r="G997">
        <f>IF(OR($A997="",$F997="",$F997="نامعتبر"),"",LEFT($F997,4)&amp;MID($F997,6,2)&amp;RIGHT($F997,2)&amp;"0000"&amp;"|"&amp;"1"&amp;RIGHT("00000"&amp;992,5))</f>
        <v/>
      </c>
      <c r="H997">
        <f>IF(OR($B997&lt;&gt;1,$G997=""),"",COUNTIFS(LdAParty,$A997,LdAType,1,LdAKey,"&lt;"&amp;$G997)+COUNTIFS(LdBMember,$A997,LdBKey,"&lt;"&amp;$G997)+COUNTIFS(LdCParty,$A997,LdCKey,"&lt;"&amp;$G997)+1)</f>
        <v/>
      </c>
      <c r="I997">
        <f>IF($H997="","",$A997&amp;"|"&amp;RIGHT("000000"&amp;$H997,6))</f>
        <v/>
      </c>
      <c r="J997">
        <f>IF(OR($B997&lt;&gt;2,$G997=""),"",COUNTIFS(LdAParty,$A997,LdAType,2,LdAKey,"&lt;"&amp;$G997)+1)</f>
        <v/>
      </c>
      <c r="K997">
        <f>IF($J997="","",$A997&amp;"|"&amp;RIGHT("000000"&amp;$J997,6))</f>
        <v/>
      </c>
      <c r="L997">
        <f>IF($A997="","",IF(Wages!$G1000="",0,Wages!$G1000))</f>
        <v/>
      </c>
      <c r="M997">
        <f>IF($A997="","",Wages!$J1000)</f>
        <v/>
      </c>
      <c r="N997">
        <f>IF($A997="","",Wages!$D1000)</f>
        <v/>
      </c>
      <c r="P997">
        <f>IF(OR(Shares!$B1000="",Shares!$C1000=""),"",Shares!$C1000)</f>
        <v/>
      </c>
      <c r="Q997">
        <f>IF($P997="","",Shares!$B1000)</f>
        <v/>
      </c>
      <c r="R997">
        <f>IF($P997="","",IFERROR(INDEX(WageParty,MATCH($Q997,WageIds,0)),""))</f>
        <v/>
      </c>
      <c r="S997">
        <f>IF($P997="","",IFERROR(INDEX($F$6:$F$2005,MATCH($Q997,WageIds,0)),""))</f>
        <v/>
      </c>
      <c r="T997">
        <f>IF(OR($P997="",$S997="",$S997="نامعتبر"),"",LEFT($S997,4)&amp;MID($S997,6,2)&amp;RIGHT($S997,2)&amp;"0000"&amp;"|"&amp;"2"&amp;RIGHT("00000"&amp;992,5))</f>
        <v/>
      </c>
      <c r="U997">
        <f>IF($T997="","",COUNTIFS(LdAParty,$P997,LdAType,1,LdAKey,"&lt;"&amp;$T997)+COUNTIFS(LdBMember,$P997,LdBKey,"&lt;"&amp;$T997)+COUNTIFS(LdCParty,$P997,LdCKey,"&lt;"&amp;$T997)+1)</f>
        <v/>
      </c>
      <c r="V997">
        <f>IF($U997="","",$P997&amp;"|"&amp;RIGHT("000000"&amp;$U997,6))</f>
        <v/>
      </c>
      <c r="W997">
        <f>IF($T997="","",COUNTIFS(LdBGroup,$R997,LdBKey,"&lt;"&amp;$T997)+1)</f>
        <v/>
      </c>
      <c r="X997">
        <f>IF($W997="","",$R997&amp;"|"&amp;RIGHT("000000"&amp;$W997,6))</f>
        <v/>
      </c>
      <c r="Y997">
        <f>IF($P997="","",IF(Shares!$E1000="",0,Shares!$E1000))</f>
        <v/>
      </c>
      <c r="Z997">
        <f>IF($P997="","",Shares!$H1000)</f>
        <v/>
      </c>
      <c r="AE997">
        <f>IF(OR(Sync!$S997="",Sync!$P997=""),"",Sync!$S997)</f>
        <v/>
      </c>
      <c r="AF997">
        <f>IF($AE997="","",IF(ISNUMBER(Sync!$P997),IF(AND(Sync!$P997&gt;=10000101,Sync!$P997&lt;=99991231),INT(Sync!$P997/10000),""),IFERROR(VALUE(TRIM(LEFT(Sync!$P997,FIND("/",Sync!$P997)-1))),"")))</f>
        <v/>
      </c>
      <c r="AG997">
        <f>IF(OR($AE997="",$AF997=""),"",IF(ISNUMBER(Sync!$P997),INT(MOD(Sync!$P997,10000)/100),IFERROR(VALUE(TRIM(LEFT(MID(Sync!$P997,FIND("/",Sync!$P997)+1,20),FIND("/",MID(Sync!$P997,FIND("/",Sync!$P997)+1,20))-1))),"")))</f>
        <v/>
      </c>
      <c r="AH997">
        <f>IF(OR($AE997="",$AF997=""),"",IF(ISNUMBER(Sync!$P997),MOD(Sync!$P997,100),IFERROR(VALUE(TRIM(MID(MID(Sync!$P997,FIND("/",Sync!$P997)+1,20),FIND("/",MID(Sync!$P997,FIND("/",Sync!$P997)+1,20))+1,20))),"")))</f>
        <v/>
      </c>
      <c r="AI997">
        <f>IF($AE997="","",IF(OR($AF997="",$AG997="",$AH997="",$AF997&lt;1300,$AF997&gt;1500,$AG997&lt;1,$AG997&gt;12,$AH997&lt;1,$AH997&gt;31),"نامعتبر",RIGHT("0000"&amp;$AF997,4)&amp;"/"&amp;RIGHT("00"&amp;$AG997,2)&amp;"/"&amp;RIGHT("00"&amp;$AH997,2)))</f>
        <v/>
      </c>
      <c r="AJ997">
        <f>IF($AE997="","",IF(Sync!$Q997="","0000",IF(AND(ISNUMBER(Sync!$Q997),Sync!$Q997&gt;=0,Sync!$Q997&lt;1),RIGHT("00"&amp;HOUR(Sync!$Q997),2)&amp;RIGHT("00"&amp;MINUTE(Sync!$Q997),2),IFERROR(RIGHT("00"&amp;VALUE(LEFT(Sync!$Q997,FIND(":",Sync!$Q997)-1)),2)&amp;RIGHT("00"&amp;VALUE(MID(Sync!$Q997,FIND(":",Sync!$Q997)+1,2)),2),"0000"))))</f>
        <v/>
      </c>
      <c r="AK997">
        <f>IF(OR($AE997="",$AI997="",$AI997="نامعتبر"),"",LEFT($AI997,4)&amp;MID($AI997,6,2)&amp;RIGHT($AI997,2)&amp;$AJ997&amp;"|"&amp;"3"&amp;RIGHT("00000"&amp;992,5))</f>
        <v/>
      </c>
      <c r="AL997">
        <f>IF($AK997="","",COUNTIFS(LdAParty,$AE997,LdAType,1,LdAKey,"&lt;"&amp;$AK997)+COUNTIFS(LdBMember,$AE997,LdBKey,"&lt;"&amp;$AK997)+COUNTIFS(LdCParty,$AE997,LdCKey,"&lt;"&amp;$AK997)+1)</f>
        <v/>
      </c>
      <c r="AM997">
        <f>IF($AL997="","",$AE997&amp;"|"&amp;RIGHT("000000"&amp;$AL997,6))</f>
        <v/>
      </c>
      <c r="AN997">
        <f>IF($AE997="","",IF(Sync!$W997="",0,Sync!$W997))</f>
        <v/>
      </c>
      <c r="AO997">
        <f>IF($AE997="","",IF(Sync!$X997="",0,Sync!$X997))</f>
        <v/>
      </c>
      <c r="AP997">
        <f>IF($AE997="","",Sync!$R997)</f>
        <v/>
      </c>
      <c r="AQ997">
        <f>IF($AE997="","",Sync!$Y997)</f>
        <v/>
      </c>
    </row>
    <row r="998">
      <c r="A998">
        <f>IF(OR(Wages!$B1001="",Wages!$E1001=""),"",Wages!$E1001)</f>
        <v/>
      </c>
      <c r="B998">
        <f>IF($A998="","",IF(Wages!$C1001="دستمزد گروهی",2,1))</f>
        <v/>
      </c>
      <c r="C998">
        <f>IF($A998="","",IF(ISNUMBER(Wages!$B1001),IF(AND(Wages!$B1001&gt;=10000101,Wages!$B1001&lt;=99991231),INT(Wages!$B1001/10000),""),IFERROR(VALUE(TRIM(LEFT(Wages!$B1001,FIND("/",Wages!$B1001)-1))),"")))</f>
        <v/>
      </c>
      <c r="D998">
        <f>IF(OR($A998="",$C998=""),"",IF(ISNUMBER(Wages!$B1001),INT(MOD(Wages!$B1001,10000)/100),IFERROR(VALUE(TRIM(LEFT(MID(Wages!$B1001,FIND("/",Wages!$B1001)+1,20),FIND("/",MID(Wages!$B1001,FIND("/",Wages!$B1001)+1,20))-1))),"")))</f>
        <v/>
      </c>
      <c r="E998">
        <f>IF(OR($A998="",$C998=""),"",IF(ISNUMBER(Wages!$B1001),MOD(Wages!$B1001,100),IFERROR(VALUE(TRIM(MID(MID(Wages!$B1001,FIND("/",Wages!$B1001)+1,20),FIND("/",MID(Wages!$B1001,FIND("/",Wages!$B1001)+1,20))+1,20))),"")))</f>
        <v/>
      </c>
      <c r="F998">
        <f>IF($A998="","",IF(OR($C998="",$D998="",$E998="",$C998&lt;1300,$C998&gt;1500,$D998&lt;1,$D998&gt;12,$E998&lt;1,$E998&gt;31),"نامعتبر",RIGHT("0000"&amp;$C998,4)&amp;"/"&amp;RIGHT("00"&amp;$D998,2)&amp;"/"&amp;RIGHT("00"&amp;$E998,2)))</f>
        <v/>
      </c>
      <c r="G998">
        <f>IF(OR($A998="",$F998="",$F998="نامعتبر"),"",LEFT($F998,4)&amp;MID($F998,6,2)&amp;RIGHT($F998,2)&amp;"0000"&amp;"|"&amp;"1"&amp;RIGHT("00000"&amp;993,5))</f>
        <v/>
      </c>
      <c r="H998">
        <f>IF(OR($B998&lt;&gt;1,$G998=""),"",COUNTIFS(LdAParty,$A998,LdAType,1,LdAKey,"&lt;"&amp;$G998)+COUNTIFS(LdBMember,$A998,LdBKey,"&lt;"&amp;$G998)+COUNTIFS(LdCParty,$A998,LdCKey,"&lt;"&amp;$G998)+1)</f>
        <v/>
      </c>
      <c r="I998">
        <f>IF($H998="","",$A998&amp;"|"&amp;RIGHT("000000"&amp;$H998,6))</f>
        <v/>
      </c>
      <c r="J998">
        <f>IF(OR($B998&lt;&gt;2,$G998=""),"",COUNTIFS(LdAParty,$A998,LdAType,2,LdAKey,"&lt;"&amp;$G998)+1)</f>
        <v/>
      </c>
      <c r="K998">
        <f>IF($J998="","",$A998&amp;"|"&amp;RIGHT("000000"&amp;$J998,6))</f>
        <v/>
      </c>
      <c r="L998">
        <f>IF($A998="","",IF(Wages!$G1001="",0,Wages!$G1001))</f>
        <v/>
      </c>
      <c r="M998">
        <f>IF($A998="","",Wages!$J1001)</f>
        <v/>
      </c>
      <c r="N998">
        <f>IF($A998="","",Wages!$D1001)</f>
        <v/>
      </c>
      <c r="P998">
        <f>IF(OR(Shares!$B1001="",Shares!$C1001=""),"",Shares!$C1001)</f>
        <v/>
      </c>
      <c r="Q998">
        <f>IF($P998="","",Shares!$B1001)</f>
        <v/>
      </c>
      <c r="R998">
        <f>IF($P998="","",IFERROR(INDEX(WageParty,MATCH($Q998,WageIds,0)),""))</f>
        <v/>
      </c>
      <c r="S998">
        <f>IF($P998="","",IFERROR(INDEX($F$6:$F$2005,MATCH($Q998,WageIds,0)),""))</f>
        <v/>
      </c>
      <c r="T998">
        <f>IF(OR($P998="",$S998="",$S998="نامعتبر"),"",LEFT($S998,4)&amp;MID($S998,6,2)&amp;RIGHT($S998,2)&amp;"0000"&amp;"|"&amp;"2"&amp;RIGHT("00000"&amp;993,5))</f>
        <v/>
      </c>
      <c r="U998">
        <f>IF($T998="","",COUNTIFS(LdAParty,$P998,LdAType,1,LdAKey,"&lt;"&amp;$T998)+COUNTIFS(LdBMember,$P998,LdBKey,"&lt;"&amp;$T998)+COUNTIFS(LdCParty,$P998,LdCKey,"&lt;"&amp;$T998)+1)</f>
        <v/>
      </c>
      <c r="V998">
        <f>IF($U998="","",$P998&amp;"|"&amp;RIGHT("000000"&amp;$U998,6))</f>
        <v/>
      </c>
      <c r="W998">
        <f>IF($T998="","",COUNTIFS(LdBGroup,$R998,LdBKey,"&lt;"&amp;$T998)+1)</f>
        <v/>
      </c>
      <c r="X998">
        <f>IF($W998="","",$R998&amp;"|"&amp;RIGHT("000000"&amp;$W998,6))</f>
        <v/>
      </c>
      <c r="Y998">
        <f>IF($P998="","",IF(Shares!$E1001="",0,Shares!$E1001))</f>
        <v/>
      </c>
      <c r="Z998">
        <f>IF($P998="","",Shares!$H1001)</f>
        <v/>
      </c>
      <c r="AE998">
        <f>IF(OR(Sync!$S998="",Sync!$P998=""),"",Sync!$S998)</f>
        <v/>
      </c>
      <c r="AF998">
        <f>IF($AE998="","",IF(ISNUMBER(Sync!$P998),IF(AND(Sync!$P998&gt;=10000101,Sync!$P998&lt;=99991231),INT(Sync!$P998/10000),""),IFERROR(VALUE(TRIM(LEFT(Sync!$P998,FIND("/",Sync!$P998)-1))),"")))</f>
        <v/>
      </c>
      <c r="AG998">
        <f>IF(OR($AE998="",$AF998=""),"",IF(ISNUMBER(Sync!$P998),INT(MOD(Sync!$P998,10000)/100),IFERROR(VALUE(TRIM(LEFT(MID(Sync!$P998,FIND("/",Sync!$P998)+1,20),FIND("/",MID(Sync!$P998,FIND("/",Sync!$P998)+1,20))-1))),"")))</f>
        <v/>
      </c>
      <c r="AH998">
        <f>IF(OR($AE998="",$AF998=""),"",IF(ISNUMBER(Sync!$P998),MOD(Sync!$P998,100),IFERROR(VALUE(TRIM(MID(MID(Sync!$P998,FIND("/",Sync!$P998)+1,20),FIND("/",MID(Sync!$P998,FIND("/",Sync!$P998)+1,20))+1,20))),"")))</f>
        <v/>
      </c>
      <c r="AI998">
        <f>IF($AE998="","",IF(OR($AF998="",$AG998="",$AH998="",$AF998&lt;1300,$AF998&gt;1500,$AG998&lt;1,$AG998&gt;12,$AH998&lt;1,$AH998&gt;31),"نامعتبر",RIGHT("0000"&amp;$AF998,4)&amp;"/"&amp;RIGHT("00"&amp;$AG998,2)&amp;"/"&amp;RIGHT("00"&amp;$AH998,2)))</f>
        <v/>
      </c>
      <c r="AJ998">
        <f>IF($AE998="","",IF(Sync!$Q998="","0000",IF(AND(ISNUMBER(Sync!$Q998),Sync!$Q998&gt;=0,Sync!$Q998&lt;1),RIGHT("00"&amp;HOUR(Sync!$Q998),2)&amp;RIGHT("00"&amp;MINUTE(Sync!$Q998),2),IFERROR(RIGHT("00"&amp;VALUE(LEFT(Sync!$Q998,FIND(":",Sync!$Q998)-1)),2)&amp;RIGHT("00"&amp;VALUE(MID(Sync!$Q998,FIND(":",Sync!$Q998)+1,2)),2),"0000"))))</f>
        <v/>
      </c>
      <c r="AK998">
        <f>IF(OR($AE998="",$AI998="",$AI998="نامعتبر"),"",LEFT($AI998,4)&amp;MID($AI998,6,2)&amp;RIGHT($AI998,2)&amp;$AJ998&amp;"|"&amp;"3"&amp;RIGHT("00000"&amp;993,5))</f>
        <v/>
      </c>
      <c r="AL998">
        <f>IF($AK998="","",COUNTIFS(LdAParty,$AE998,LdAType,1,LdAKey,"&lt;"&amp;$AK998)+COUNTIFS(LdBMember,$AE998,LdBKey,"&lt;"&amp;$AK998)+COUNTIFS(LdCParty,$AE998,LdCKey,"&lt;"&amp;$AK998)+1)</f>
        <v/>
      </c>
      <c r="AM998">
        <f>IF($AL998="","",$AE998&amp;"|"&amp;RIGHT("000000"&amp;$AL998,6))</f>
        <v/>
      </c>
      <c r="AN998">
        <f>IF($AE998="","",IF(Sync!$W998="",0,Sync!$W998))</f>
        <v/>
      </c>
      <c r="AO998">
        <f>IF($AE998="","",IF(Sync!$X998="",0,Sync!$X998))</f>
        <v/>
      </c>
      <c r="AP998">
        <f>IF($AE998="","",Sync!$R998)</f>
        <v/>
      </c>
      <c r="AQ998">
        <f>IF($AE998="","",Sync!$Y998)</f>
        <v/>
      </c>
    </row>
    <row r="999">
      <c r="A999">
        <f>IF(OR(Wages!$B1002="",Wages!$E1002=""),"",Wages!$E1002)</f>
        <v/>
      </c>
      <c r="B999">
        <f>IF($A999="","",IF(Wages!$C1002="دستمزد گروهی",2,1))</f>
        <v/>
      </c>
      <c r="C999">
        <f>IF($A999="","",IF(ISNUMBER(Wages!$B1002),IF(AND(Wages!$B1002&gt;=10000101,Wages!$B1002&lt;=99991231),INT(Wages!$B1002/10000),""),IFERROR(VALUE(TRIM(LEFT(Wages!$B1002,FIND("/",Wages!$B1002)-1))),"")))</f>
        <v/>
      </c>
      <c r="D999">
        <f>IF(OR($A999="",$C999=""),"",IF(ISNUMBER(Wages!$B1002),INT(MOD(Wages!$B1002,10000)/100),IFERROR(VALUE(TRIM(LEFT(MID(Wages!$B1002,FIND("/",Wages!$B1002)+1,20),FIND("/",MID(Wages!$B1002,FIND("/",Wages!$B1002)+1,20))-1))),"")))</f>
        <v/>
      </c>
      <c r="E999">
        <f>IF(OR($A999="",$C999=""),"",IF(ISNUMBER(Wages!$B1002),MOD(Wages!$B1002,100),IFERROR(VALUE(TRIM(MID(MID(Wages!$B1002,FIND("/",Wages!$B1002)+1,20),FIND("/",MID(Wages!$B1002,FIND("/",Wages!$B1002)+1,20))+1,20))),"")))</f>
        <v/>
      </c>
      <c r="F999">
        <f>IF($A999="","",IF(OR($C999="",$D999="",$E999="",$C999&lt;1300,$C999&gt;1500,$D999&lt;1,$D999&gt;12,$E999&lt;1,$E999&gt;31),"نامعتبر",RIGHT("0000"&amp;$C999,4)&amp;"/"&amp;RIGHT("00"&amp;$D999,2)&amp;"/"&amp;RIGHT("00"&amp;$E999,2)))</f>
        <v/>
      </c>
      <c r="G999">
        <f>IF(OR($A999="",$F999="",$F999="نامعتبر"),"",LEFT($F999,4)&amp;MID($F999,6,2)&amp;RIGHT($F999,2)&amp;"0000"&amp;"|"&amp;"1"&amp;RIGHT("00000"&amp;994,5))</f>
        <v/>
      </c>
      <c r="H999">
        <f>IF(OR($B999&lt;&gt;1,$G999=""),"",COUNTIFS(LdAParty,$A999,LdAType,1,LdAKey,"&lt;"&amp;$G999)+COUNTIFS(LdBMember,$A999,LdBKey,"&lt;"&amp;$G999)+COUNTIFS(LdCParty,$A999,LdCKey,"&lt;"&amp;$G999)+1)</f>
        <v/>
      </c>
      <c r="I999">
        <f>IF($H999="","",$A999&amp;"|"&amp;RIGHT("000000"&amp;$H999,6))</f>
        <v/>
      </c>
      <c r="J999">
        <f>IF(OR($B999&lt;&gt;2,$G999=""),"",COUNTIFS(LdAParty,$A999,LdAType,2,LdAKey,"&lt;"&amp;$G999)+1)</f>
        <v/>
      </c>
      <c r="K999">
        <f>IF($J999="","",$A999&amp;"|"&amp;RIGHT("000000"&amp;$J999,6))</f>
        <v/>
      </c>
      <c r="L999">
        <f>IF($A999="","",IF(Wages!$G1002="",0,Wages!$G1002))</f>
        <v/>
      </c>
      <c r="M999">
        <f>IF($A999="","",Wages!$J1002)</f>
        <v/>
      </c>
      <c r="N999">
        <f>IF($A999="","",Wages!$D1002)</f>
        <v/>
      </c>
      <c r="P999">
        <f>IF(OR(Shares!$B1002="",Shares!$C1002=""),"",Shares!$C1002)</f>
        <v/>
      </c>
      <c r="Q999">
        <f>IF($P999="","",Shares!$B1002)</f>
        <v/>
      </c>
      <c r="R999">
        <f>IF($P999="","",IFERROR(INDEX(WageParty,MATCH($Q999,WageIds,0)),""))</f>
        <v/>
      </c>
      <c r="S999">
        <f>IF($P999="","",IFERROR(INDEX($F$6:$F$2005,MATCH($Q999,WageIds,0)),""))</f>
        <v/>
      </c>
      <c r="T999">
        <f>IF(OR($P999="",$S999="",$S999="نامعتبر"),"",LEFT($S999,4)&amp;MID($S999,6,2)&amp;RIGHT($S999,2)&amp;"0000"&amp;"|"&amp;"2"&amp;RIGHT("00000"&amp;994,5))</f>
        <v/>
      </c>
      <c r="U999">
        <f>IF($T999="","",COUNTIFS(LdAParty,$P999,LdAType,1,LdAKey,"&lt;"&amp;$T999)+COUNTIFS(LdBMember,$P999,LdBKey,"&lt;"&amp;$T999)+COUNTIFS(LdCParty,$P999,LdCKey,"&lt;"&amp;$T999)+1)</f>
        <v/>
      </c>
      <c r="V999">
        <f>IF($U999="","",$P999&amp;"|"&amp;RIGHT("000000"&amp;$U999,6))</f>
        <v/>
      </c>
      <c r="W999">
        <f>IF($T999="","",COUNTIFS(LdBGroup,$R999,LdBKey,"&lt;"&amp;$T999)+1)</f>
        <v/>
      </c>
      <c r="X999">
        <f>IF($W999="","",$R999&amp;"|"&amp;RIGHT("000000"&amp;$W999,6))</f>
        <v/>
      </c>
      <c r="Y999">
        <f>IF($P999="","",IF(Shares!$E1002="",0,Shares!$E1002))</f>
        <v/>
      </c>
      <c r="Z999">
        <f>IF($P999="","",Shares!$H1002)</f>
        <v/>
      </c>
      <c r="AE999">
        <f>IF(OR(Sync!$S999="",Sync!$P999=""),"",Sync!$S999)</f>
        <v/>
      </c>
      <c r="AF999">
        <f>IF($AE999="","",IF(ISNUMBER(Sync!$P999),IF(AND(Sync!$P999&gt;=10000101,Sync!$P999&lt;=99991231),INT(Sync!$P999/10000),""),IFERROR(VALUE(TRIM(LEFT(Sync!$P999,FIND("/",Sync!$P999)-1))),"")))</f>
        <v/>
      </c>
      <c r="AG999">
        <f>IF(OR($AE999="",$AF999=""),"",IF(ISNUMBER(Sync!$P999),INT(MOD(Sync!$P999,10000)/100),IFERROR(VALUE(TRIM(LEFT(MID(Sync!$P999,FIND("/",Sync!$P999)+1,20),FIND("/",MID(Sync!$P999,FIND("/",Sync!$P999)+1,20))-1))),"")))</f>
        <v/>
      </c>
      <c r="AH999">
        <f>IF(OR($AE999="",$AF999=""),"",IF(ISNUMBER(Sync!$P999),MOD(Sync!$P999,100),IFERROR(VALUE(TRIM(MID(MID(Sync!$P999,FIND("/",Sync!$P999)+1,20),FIND("/",MID(Sync!$P999,FIND("/",Sync!$P999)+1,20))+1,20))),"")))</f>
        <v/>
      </c>
      <c r="AI999">
        <f>IF($AE999="","",IF(OR($AF999="",$AG999="",$AH999="",$AF999&lt;1300,$AF999&gt;1500,$AG999&lt;1,$AG999&gt;12,$AH999&lt;1,$AH999&gt;31),"نامعتبر",RIGHT("0000"&amp;$AF999,4)&amp;"/"&amp;RIGHT("00"&amp;$AG999,2)&amp;"/"&amp;RIGHT("00"&amp;$AH999,2)))</f>
        <v/>
      </c>
      <c r="AJ999">
        <f>IF($AE999="","",IF(Sync!$Q999="","0000",IF(AND(ISNUMBER(Sync!$Q999),Sync!$Q999&gt;=0,Sync!$Q999&lt;1),RIGHT("00"&amp;HOUR(Sync!$Q999),2)&amp;RIGHT("00"&amp;MINUTE(Sync!$Q999),2),IFERROR(RIGHT("00"&amp;VALUE(LEFT(Sync!$Q999,FIND(":",Sync!$Q999)-1)),2)&amp;RIGHT("00"&amp;VALUE(MID(Sync!$Q999,FIND(":",Sync!$Q999)+1,2)),2),"0000"))))</f>
        <v/>
      </c>
      <c r="AK999">
        <f>IF(OR($AE999="",$AI999="",$AI999="نامعتبر"),"",LEFT($AI999,4)&amp;MID($AI999,6,2)&amp;RIGHT($AI999,2)&amp;$AJ999&amp;"|"&amp;"3"&amp;RIGHT("00000"&amp;994,5))</f>
        <v/>
      </c>
      <c r="AL999">
        <f>IF($AK999="","",COUNTIFS(LdAParty,$AE999,LdAType,1,LdAKey,"&lt;"&amp;$AK999)+COUNTIFS(LdBMember,$AE999,LdBKey,"&lt;"&amp;$AK999)+COUNTIFS(LdCParty,$AE999,LdCKey,"&lt;"&amp;$AK999)+1)</f>
        <v/>
      </c>
      <c r="AM999">
        <f>IF($AL999="","",$AE999&amp;"|"&amp;RIGHT("000000"&amp;$AL999,6))</f>
        <v/>
      </c>
      <c r="AN999">
        <f>IF($AE999="","",IF(Sync!$W999="",0,Sync!$W999))</f>
        <v/>
      </c>
      <c r="AO999">
        <f>IF($AE999="","",IF(Sync!$X999="",0,Sync!$X999))</f>
        <v/>
      </c>
      <c r="AP999">
        <f>IF($AE999="","",Sync!$R999)</f>
        <v/>
      </c>
      <c r="AQ999">
        <f>IF($AE999="","",Sync!$Y999)</f>
        <v/>
      </c>
    </row>
    <row r="1000">
      <c r="A1000">
        <f>IF(OR(Wages!$B1003="",Wages!$E1003=""),"",Wages!$E1003)</f>
        <v/>
      </c>
      <c r="B1000">
        <f>IF($A1000="","",IF(Wages!$C1003="دستمزد گروهی",2,1))</f>
        <v/>
      </c>
      <c r="C1000">
        <f>IF($A1000="","",IF(ISNUMBER(Wages!$B1003),IF(AND(Wages!$B1003&gt;=10000101,Wages!$B1003&lt;=99991231),INT(Wages!$B1003/10000),""),IFERROR(VALUE(TRIM(LEFT(Wages!$B1003,FIND("/",Wages!$B1003)-1))),"")))</f>
        <v/>
      </c>
      <c r="D1000">
        <f>IF(OR($A1000="",$C1000=""),"",IF(ISNUMBER(Wages!$B1003),INT(MOD(Wages!$B1003,10000)/100),IFERROR(VALUE(TRIM(LEFT(MID(Wages!$B1003,FIND("/",Wages!$B1003)+1,20),FIND("/",MID(Wages!$B1003,FIND("/",Wages!$B1003)+1,20))-1))),"")))</f>
        <v/>
      </c>
      <c r="E1000">
        <f>IF(OR($A1000="",$C1000=""),"",IF(ISNUMBER(Wages!$B1003),MOD(Wages!$B1003,100),IFERROR(VALUE(TRIM(MID(MID(Wages!$B1003,FIND("/",Wages!$B1003)+1,20),FIND("/",MID(Wages!$B1003,FIND("/",Wages!$B1003)+1,20))+1,20))),"")))</f>
        <v/>
      </c>
      <c r="F1000">
        <f>IF($A1000="","",IF(OR($C1000="",$D1000="",$E1000="",$C1000&lt;1300,$C1000&gt;1500,$D1000&lt;1,$D1000&gt;12,$E1000&lt;1,$E1000&gt;31),"نامعتبر",RIGHT("0000"&amp;$C1000,4)&amp;"/"&amp;RIGHT("00"&amp;$D1000,2)&amp;"/"&amp;RIGHT("00"&amp;$E1000,2)))</f>
        <v/>
      </c>
      <c r="G1000">
        <f>IF(OR($A1000="",$F1000="",$F1000="نامعتبر"),"",LEFT($F1000,4)&amp;MID($F1000,6,2)&amp;RIGHT($F1000,2)&amp;"0000"&amp;"|"&amp;"1"&amp;RIGHT("00000"&amp;995,5))</f>
        <v/>
      </c>
      <c r="H1000">
        <f>IF(OR($B1000&lt;&gt;1,$G1000=""),"",COUNTIFS(LdAParty,$A1000,LdAType,1,LdAKey,"&lt;"&amp;$G1000)+COUNTIFS(LdBMember,$A1000,LdBKey,"&lt;"&amp;$G1000)+COUNTIFS(LdCParty,$A1000,LdCKey,"&lt;"&amp;$G1000)+1)</f>
        <v/>
      </c>
      <c r="I1000">
        <f>IF($H1000="","",$A1000&amp;"|"&amp;RIGHT("000000"&amp;$H1000,6))</f>
        <v/>
      </c>
      <c r="J1000">
        <f>IF(OR($B1000&lt;&gt;2,$G1000=""),"",COUNTIFS(LdAParty,$A1000,LdAType,2,LdAKey,"&lt;"&amp;$G1000)+1)</f>
        <v/>
      </c>
      <c r="K1000">
        <f>IF($J1000="","",$A1000&amp;"|"&amp;RIGHT("000000"&amp;$J1000,6))</f>
        <v/>
      </c>
      <c r="L1000">
        <f>IF($A1000="","",IF(Wages!$G1003="",0,Wages!$G1003))</f>
        <v/>
      </c>
      <c r="M1000">
        <f>IF($A1000="","",Wages!$J1003)</f>
        <v/>
      </c>
      <c r="N1000">
        <f>IF($A1000="","",Wages!$D1003)</f>
        <v/>
      </c>
      <c r="P1000">
        <f>IF(OR(Shares!$B1003="",Shares!$C1003=""),"",Shares!$C1003)</f>
        <v/>
      </c>
      <c r="Q1000">
        <f>IF($P1000="","",Shares!$B1003)</f>
        <v/>
      </c>
      <c r="R1000">
        <f>IF($P1000="","",IFERROR(INDEX(WageParty,MATCH($Q1000,WageIds,0)),""))</f>
        <v/>
      </c>
      <c r="S1000">
        <f>IF($P1000="","",IFERROR(INDEX($F$6:$F$2005,MATCH($Q1000,WageIds,0)),""))</f>
        <v/>
      </c>
      <c r="T1000">
        <f>IF(OR($P1000="",$S1000="",$S1000="نامعتبر"),"",LEFT($S1000,4)&amp;MID($S1000,6,2)&amp;RIGHT($S1000,2)&amp;"0000"&amp;"|"&amp;"2"&amp;RIGHT("00000"&amp;995,5))</f>
        <v/>
      </c>
      <c r="U1000">
        <f>IF($T1000="","",COUNTIFS(LdAParty,$P1000,LdAType,1,LdAKey,"&lt;"&amp;$T1000)+COUNTIFS(LdBMember,$P1000,LdBKey,"&lt;"&amp;$T1000)+COUNTIFS(LdCParty,$P1000,LdCKey,"&lt;"&amp;$T1000)+1)</f>
        <v/>
      </c>
      <c r="V1000">
        <f>IF($U1000="","",$P1000&amp;"|"&amp;RIGHT("000000"&amp;$U1000,6))</f>
        <v/>
      </c>
      <c r="W1000">
        <f>IF($T1000="","",COUNTIFS(LdBGroup,$R1000,LdBKey,"&lt;"&amp;$T1000)+1)</f>
        <v/>
      </c>
      <c r="X1000">
        <f>IF($W1000="","",$R1000&amp;"|"&amp;RIGHT("000000"&amp;$W1000,6))</f>
        <v/>
      </c>
      <c r="Y1000">
        <f>IF($P1000="","",IF(Shares!$E1003="",0,Shares!$E1003))</f>
        <v/>
      </c>
      <c r="Z1000">
        <f>IF($P1000="","",Shares!$H1003)</f>
        <v/>
      </c>
      <c r="AE1000">
        <f>IF(OR(Sync!$S1000="",Sync!$P1000=""),"",Sync!$S1000)</f>
        <v/>
      </c>
      <c r="AF1000">
        <f>IF($AE1000="","",IF(ISNUMBER(Sync!$P1000),IF(AND(Sync!$P1000&gt;=10000101,Sync!$P1000&lt;=99991231),INT(Sync!$P1000/10000),""),IFERROR(VALUE(TRIM(LEFT(Sync!$P1000,FIND("/",Sync!$P1000)-1))),"")))</f>
        <v/>
      </c>
      <c r="AG1000">
        <f>IF(OR($AE1000="",$AF1000=""),"",IF(ISNUMBER(Sync!$P1000),INT(MOD(Sync!$P1000,10000)/100),IFERROR(VALUE(TRIM(LEFT(MID(Sync!$P1000,FIND("/",Sync!$P1000)+1,20),FIND("/",MID(Sync!$P1000,FIND("/",Sync!$P1000)+1,20))-1))),"")))</f>
        <v/>
      </c>
      <c r="AH1000">
        <f>IF(OR($AE1000="",$AF1000=""),"",IF(ISNUMBER(Sync!$P1000),MOD(Sync!$P1000,100),IFERROR(VALUE(TRIM(MID(MID(Sync!$P1000,FIND("/",Sync!$P1000)+1,20),FIND("/",MID(Sync!$P1000,FIND("/",Sync!$P1000)+1,20))+1,20))),"")))</f>
        <v/>
      </c>
      <c r="AI1000">
        <f>IF($AE1000="","",IF(OR($AF1000="",$AG1000="",$AH1000="",$AF1000&lt;1300,$AF1000&gt;1500,$AG1000&lt;1,$AG1000&gt;12,$AH1000&lt;1,$AH1000&gt;31),"نامعتبر",RIGHT("0000"&amp;$AF1000,4)&amp;"/"&amp;RIGHT("00"&amp;$AG1000,2)&amp;"/"&amp;RIGHT("00"&amp;$AH1000,2)))</f>
        <v/>
      </c>
      <c r="AJ1000">
        <f>IF($AE1000="","",IF(Sync!$Q1000="","0000",IF(AND(ISNUMBER(Sync!$Q1000),Sync!$Q1000&gt;=0,Sync!$Q1000&lt;1),RIGHT("00"&amp;HOUR(Sync!$Q1000),2)&amp;RIGHT("00"&amp;MINUTE(Sync!$Q1000),2),IFERROR(RIGHT("00"&amp;VALUE(LEFT(Sync!$Q1000,FIND(":",Sync!$Q1000)-1)),2)&amp;RIGHT("00"&amp;VALUE(MID(Sync!$Q1000,FIND(":",Sync!$Q1000)+1,2)),2),"0000"))))</f>
        <v/>
      </c>
      <c r="AK1000">
        <f>IF(OR($AE1000="",$AI1000="",$AI1000="نامعتبر"),"",LEFT($AI1000,4)&amp;MID($AI1000,6,2)&amp;RIGHT($AI1000,2)&amp;$AJ1000&amp;"|"&amp;"3"&amp;RIGHT("00000"&amp;995,5))</f>
        <v/>
      </c>
      <c r="AL1000">
        <f>IF($AK1000="","",COUNTIFS(LdAParty,$AE1000,LdAType,1,LdAKey,"&lt;"&amp;$AK1000)+COUNTIFS(LdBMember,$AE1000,LdBKey,"&lt;"&amp;$AK1000)+COUNTIFS(LdCParty,$AE1000,LdCKey,"&lt;"&amp;$AK1000)+1)</f>
        <v/>
      </c>
      <c r="AM1000">
        <f>IF($AL1000="","",$AE1000&amp;"|"&amp;RIGHT("000000"&amp;$AL1000,6))</f>
        <v/>
      </c>
      <c r="AN1000">
        <f>IF($AE1000="","",IF(Sync!$W1000="",0,Sync!$W1000))</f>
        <v/>
      </c>
      <c r="AO1000">
        <f>IF($AE1000="","",IF(Sync!$X1000="",0,Sync!$X1000))</f>
        <v/>
      </c>
      <c r="AP1000">
        <f>IF($AE1000="","",Sync!$R1000)</f>
        <v/>
      </c>
      <c r="AQ1000">
        <f>IF($AE1000="","",Sync!$Y1000)</f>
        <v/>
      </c>
    </row>
    <row r="1001">
      <c r="A1001">
        <f>IF(OR(Wages!$B1004="",Wages!$E1004=""),"",Wages!$E1004)</f>
        <v/>
      </c>
      <c r="B1001">
        <f>IF($A1001="","",IF(Wages!$C1004="دستمزد گروهی",2,1))</f>
        <v/>
      </c>
      <c r="C1001">
        <f>IF($A1001="","",IF(ISNUMBER(Wages!$B1004),IF(AND(Wages!$B1004&gt;=10000101,Wages!$B1004&lt;=99991231),INT(Wages!$B1004/10000),""),IFERROR(VALUE(TRIM(LEFT(Wages!$B1004,FIND("/",Wages!$B1004)-1))),"")))</f>
        <v/>
      </c>
      <c r="D1001">
        <f>IF(OR($A1001="",$C1001=""),"",IF(ISNUMBER(Wages!$B1004),INT(MOD(Wages!$B1004,10000)/100),IFERROR(VALUE(TRIM(LEFT(MID(Wages!$B1004,FIND("/",Wages!$B1004)+1,20),FIND("/",MID(Wages!$B1004,FIND("/",Wages!$B1004)+1,20))-1))),"")))</f>
        <v/>
      </c>
      <c r="E1001">
        <f>IF(OR($A1001="",$C1001=""),"",IF(ISNUMBER(Wages!$B1004),MOD(Wages!$B1004,100),IFERROR(VALUE(TRIM(MID(MID(Wages!$B1004,FIND("/",Wages!$B1004)+1,20),FIND("/",MID(Wages!$B1004,FIND("/",Wages!$B1004)+1,20))+1,20))),"")))</f>
        <v/>
      </c>
      <c r="F1001">
        <f>IF($A1001="","",IF(OR($C1001="",$D1001="",$E1001="",$C1001&lt;1300,$C1001&gt;1500,$D1001&lt;1,$D1001&gt;12,$E1001&lt;1,$E1001&gt;31),"نامعتبر",RIGHT("0000"&amp;$C1001,4)&amp;"/"&amp;RIGHT("00"&amp;$D1001,2)&amp;"/"&amp;RIGHT("00"&amp;$E1001,2)))</f>
        <v/>
      </c>
      <c r="G1001">
        <f>IF(OR($A1001="",$F1001="",$F1001="نامعتبر"),"",LEFT($F1001,4)&amp;MID($F1001,6,2)&amp;RIGHT($F1001,2)&amp;"0000"&amp;"|"&amp;"1"&amp;RIGHT("00000"&amp;996,5))</f>
        <v/>
      </c>
      <c r="H1001">
        <f>IF(OR($B1001&lt;&gt;1,$G1001=""),"",COUNTIFS(LdAParty,$A1001,LdAType,1,LdAKey,"&lt;"&amp;$G1001)+COUNTIFS(LdBMember,$A1001,LdBKey,"&lt;"&amp;$G1001)+COUNTIFS(LdCParty,$A1001,LdCKey,"&lt;"&amp;$G1001)+1)</f>
        <v/>
      </c>
      <c r="I1001">
        <f>IF($H1001="","",$A1001&amp;"|"&amp;RIGHT("000000"&amp;$H1001,6))</f>
        <v/>
      </c>
      <c r="J1001">
        <f>IF(OR($B1001&lt;&gt;2,$G1001=""),"",COUNTIFS(LdAParty,$A1001,LdAType,2,LdAKey,"&lt;"&amp;$G1001)+1)</f>
        <v/>
      </c>
      <c r="K1001">
        <f>IF($J1001="","",$A1001&amp;"|"&amp;RIGHT("000000"&amp;$J1001,6))</f>
        <v/>
      </c>
      <c r="L1001">
        <f>IF($A1001="","",IF(Wages!$G1004="",0,Wages!$G1004))</f>
        <v/>
      </c>
      <c r="M1001">
        <f>IF($A1001="","",Wages!$J1004)</f>
        <v/>
      </c>
      <c r="N1001">
        <f>IF($A1001="","",Wages!$D1004)</f>
        <v/>
      </c>
      <c r="P1001">
        <f>IF(OR(Shares!$B1004="",Shares!$C1004=""),"",Shares!$C1004)</f>
        <v/>
      </c>
      <c r="Q1001">
        <f>IF($P1001="","",Shares!$B1004)</f>
        <v/>
      </c>
      <c r="R1001">
        <f>IF($P1001="","",IFERROR(INDEX(WageParty,MATCH($Q1001,WageIds,0)),""))</f>
        <v/>
      </c>
      <c r="S1001">
        <f>IF($P1001="","",IFERROR(INDEX($F$6:$F$2005,MATCH($Q1001,WageIds,0)),""))</f>
        <v/>
      </c>
      <c r="T1001">
        <f>IF(OR($P1001="",$S1001="",$S1001="نامعتبر"),"",LEFT($S1001,4)&amp;MID($S1001,6,2)&amp;RIGHT($S1001,2)&amp;"0000"&amp;"|"&amp;"2"&amp;RIGHT("00000"&amp;996,5))</f>
        <v/>
      </c>
      <c r="U1001">
        <f>IF($T1001="","",COUNTIFS(LdAParty,$P1001,LdAType,1,LdAKey,"&lt;"&amp;$T1001)+COUNTIFS(LdBMember,$P1001,LdBKey,"&lt;"&amp;$T1001)+COUNTIFS(LdCParty,$P1001,LdCKey,"&lt;"&amp;$T1001)+1)</f>
        <v/>
      </c>
      <c r="V1001">
        <f>IF($U1001="","",$P1001&amp;"|"&amp;RIGHT("000000"&amp;$U1001,6))</f>
        <v/>
      </c>
      <c r="W1001">
        <f>IF($T1001="","",COUNTIFS(LdBGroup,$R1001,LdBKey,"&lt;"&amp;$T1001)+1)</f>
        <v/>
      </c>
      <c r="X1001">
        <f>IF($W1001="","",$R1001&amp;"|"&amp;RIGHT("000000"&amp;$W1001,6))</f>
        <v/>
      </c>
      <c r="Y1001">
        <f>IF($P1001="","",IF(Shares!$E1004="",0,Shares!$E1004))</f>
        <v/>
      </c>
      <c r="Z1001">
        <f>IF($P1001="","",Shares!$H1004)</f>
        <v/>
      </c>
      <c r="AE1001">
        <f>IF(OR(Sync!$S1001="",Sync!$P1001=""),"",Sync!$S1001)</f>
        <v/>
      </c>
      <c r="AF1001">
        <f>IF($AE1001="","",IF(ISNUMBER(Sync!$P1001),IF(AND(Sync!$P1001&gt;=10000101,Sync!$P1001&lt;=99991231),INT(Sync!$P1001/10000),""),IFERROR(VALUE(TRIM(LEFT(Sync!$P1001,FIND("/",Sync!$P1001)-1))),"")))</f>
        <v/>
      </c>
      <c r="AG1001">
        <f>IF(OR($AE1001="",$AF1001=""),"",IF(ISNUMBER(Sync!$P1001),INT(MOD(Sync!$P1001,10000)/100),IFERROR(VALUE(TRIM(LEFT(MID(Sync!$P1001,FIND("/",Sync!$P1001)+1,20),FIND("/",MID(Sync!$P1001,FIND("/",Sync!$P1001)+1,20))-1))),"")))</f>
        <v/>
      </c>
      <c r="AH1001">
        <f>IF(OR($AE1001="",$AF1001=""),"",IF(ISNUMBER(Sync!$P1001),MOD(Sync!$P1001,100),IFERROR(VALUE(TRIM(MID(MID(Sync!$P1001,FIND("/",Sync!$P1001)+1,20),FIND("/",MID(Sync!$P1001,FIND("/",Sync!$P1001)+1,20))+1,20))),"")))</f>
        <v/>
      </c>
      <c r="AI1001">
        <f>IF($AE1001="","",IF(OR($AF1001="",$AG1001="",$AH1001="",$AF1001&lt;1300,$AF1001&gt;1500,$AG1001&lt;1,$AG1001&gt;12,$AH1001&lt;1,$AH1001&gt;31),"نامعتبر",RIGHT("0000"&amp;$AF1001,4)&amp;"/"&amp;RIGHT("00"&amp;$AG1001,2)&amp;"/"&amp;RIGHT("00"&amp;$AH1001,2)))</f>
        <v/>
      </c>
      <c r="AJ1001">
        <f>IF($AE1001="","",IF(Sync!$Q1001="","0000",IF(AND(ISNUMBER(Sync!$Q1001),Sync!$Q1001&gt;=0,Sync!$Q1001&lt;1),RIGHT("00"&amp;HOUR(Sync!$Q1001),2)&amp;RIGHT("00"&amp;MINUTE(Sync!$Q1001),2),IFERROR(RIGHT("00"&amp;VALUE(LEFT(Sync!$Q1001,FIND(":",Sync!$Q1001)-1)),2)&amp;RIGHT("00"&amp;VALUE(MID(Sync!$Q1001,FIND(":",Sync!$Q1001)+1,2)),2),"0000"))))</f>
        <v/>
      </c>
      <c r="AK1001">
        <f>IF(OR($AE1001="",$AI1001="",$AI1001="نامعتبر"),"",LEFT($AI1001,4)&amp;MID($AI1001,6,2)&amp;RIGHT($AI1001,2)&amp;$AJ1001&amp;"|"&amp;"3"&amp;RIGHT("00000"&amp;996,5))</f>
        <v/>
      </c>
      <c r="AL1001">
        <f>IF($AK1001="","",COUNTIFS(LdAParty,$AE1001,LdAType,1,LdAKey,"&lt;"&amp;$AK1001)+COUNTIFS(LdBMember,$AE1001,LdBKey,"&lt;"&amp;$AK1001)+COUNTIFS(LdCParty,$AE1001,LdCKey,"&lt;"&amp;$AK1001)+1)</f>
        <v/>
      </c>
      <c r="AM1001">
        <f>IF($AL1001="","",$AE1001&amp;"|"&amp;RIGHT("000000"&amp;$AL1001,6))</f>
        <v/>
      </c>
      <c r="AN1001">
        <f>IF($AE1001="","",IF(Sync!$W1001="",0,Sync!$W1001))</f>
        <v/>
      </c>
      <c r="AO1001">
        <f>IF($AE1001="","",IF(Sync!$X1001="",0,Sync!$X1001))</f>
        <v/>
      </c>
      <c r="AP1001">
        <f>IF($AE1001="","",Sync!$R1001)</f>
        <v/>
      </c>
      <c r="AQ1001">
        <f>IF($AE1001="","",Sync!$Y1001)</f>
        <v/>
      </c>
    </row>
    <row r="1002">
      <c r="A1002">
        <f>IF(OR(Wages!$B1005="",Wages!$E1005=""),"",Wages!$E1005)</f>
        <v/>
      </c>
      <c r="B1002">
        <f>IF($A1002="","",IF(Wages!$C1005="دستمزد گروهی",2,1))</f>
        <v/>
      </c>
      <c r="C1002">
        <f>IF($A1002="","",IF(ISNUMBER(Wages!$B1005),IF(AND(Wages!$B1005&gt;=10000101,Wages!$B1005&lt;=99991231),INT(Wages!$B1005/10000),""),IFERROR(VALUE(TRIM(LEFT(Wages!$B1005,FIND("/",Wages!$B1005)-1))),"")))</f>
        <v/>
      </c>
      <c r="D1002">
        <f>IF(OR($A1002="",$C1002=""),"",IF(ISNUMBER(Wages!$B1005),INT(MOD(Wages!$B1005,10000)/100),IFERROR(VALUE(TRIM(LEFT(MID(Wages!$B1005,FIND("/",Wages!$B1005)+1,20),FIND("/",MID(Wages!$B1005,FIND("/",Wages!$B1005)+1,20))-1))),"")))</f>
        <v/>
      </c>
      <c r="E1002">
        <f>IF(OR($A1002="",$C1002=""),"",IF(ISNUMBER(Wages!$B1005),MOD(Wages!$B1005,100),IFERROR(VALUE(TRIM(MID(MID(Wages!$B1005,FIND("/",Wages!$B1005)+1,20),FIND("/",MID(Wages!$B1005,FIND("/",Wages!$B1005)+1,20))+1,20))),"")))</f>
        <v/>
      </c>
      <c r="F1002">
        <f>IF($A1002="","",IF(OR($C1002="",$D1002="",$E1002="",$C1002&lt;1300,$C1002&gt;1500,$D1002&lt;1,$D1002&gt;12,$E1002&lt;1,$E1002&gt;31),"نامعتبر",RIGHT("0000"&amp;$C1002,4)&amp;"/"&amp;RIGHT("00"&amp;$D1002,2)&amp;"/"&amp;RIGHT("00"&amp;$E1002,2)))</f>
        <v/>
      </c>
      <c r="G1002">
        <f>IF(OR($A1002="",$F1002="",$F1002="نامعتبر"),"",LEFT($F1002,4)&amp;MID($F1002,6,2)&amp;RIGHT($F1002,2)&amp;"0000"&amp;"|"&amp;"1"&amp;RIGHT("00000"&amp;997,5))</f>
        <v/>
      </c>
      <c r="H1002">
        <f>IF(OR($B1002&lt;&gt;1,$G1002=""),"",COUNTIFS(LdAParty,$A1002,LdAType,1,LdAKey,"&lt;"&amp;$G1002)+COUNTIFS(LdBMember,$A1002,LdBKey,"&lt;"&amp;$G1002)+COUNTIFS(LdCParty,$A1002,LdCKey,"&lt;"&amp;$G1002)+1)</f>
        <v/>
      </c>
      <c r="I1002">
        <f>IF($H1002="","",$A1002&amp;"|"&amp;RIGHT("000000"&amp;$H1002,6))</f>
        <v/>
      </c>
      <c r="J1002">
        <f>IF(OR($B1002&lt;&gt;2,$G1002=""),"",COUNTIFS(LdAParty,$A1002,LdAType,2,LdAKey,"&lt;"&amp;$G1002)+1)</f>
        <v/>
      </c>
      <c r="K1002">
        <f>IF($J1002="","",$A1002&amp;"|"&amp;RIGHT("000000"&amp;$J1002,6))</f>
        <v/>
      </c>
      <c r="L1002">
        <f>IF($A1002="","",IF(Wages!$G1005="",0,Wages!$G1005))</f>
        <v/>
      </c>
      <c r="M1002">
        <f>IF($A1002="","",Wages!$J1005)</f>
        <v/>
      </c>
      <c r="N1002">
        <f>IF($A1002="","",Wages!$D1005)</f>
        <v/>
      </c>
      <c r="P1002">
        <f>IF(OR(Shares!$B1005="",Shares!$C1005=""),"",Shares!$C1005)</f>
        <v/>
      </c>
      <c r="Q1002">
        <f>IF($P1002="","",Shares!$B1005)</f>
        <v/>
      </c>
      <c r="R1002">
        <f>IF($P1002="","",IFERROR(INDEX(WageParty,MATCH($Q1002,WageIds,0)),""))</f>
        <v/>
      </c>
      <c r="S1002">
        <f>IF($P1002="","",IFERROR(INDEX($F$6:$F$2005,MATCH($Q1002,WageIds,0)),""))</f>
        <v/>
      </c>
      <c r="T1002">
        <f>IF(OR($P1002="",$S1002="",$S1002="نامعتبر"),"",LEFT($S1002,4)&amp;MID($S1002,6,2)&amp;RIGHT($S1002,2)&amp;"0000"&amp;"|"&amp;"2"&amp;RIGHT("00000"&amp;997,5))</f>
        <v/>
      </c>
      <c r="U1002">
        <f>IF($T1002="","",COUNTIFS(LdAParty,$P1002,LdAType,1,LdAKey,"&lt;"&amp;$T1002)+COUNTIFS(LdBMember,$P1002,LdBKey,"&lt;"&amp;$T1002)+COUNTIFS(LdCParty,$P1002,LdCKey,"&lt;"&amp;$T1002)+1)</f>
        <v/>
      </c>
      <c r="V1002">
        <f>IF($U1002="","",$P1002&amp;"|"&amp;RIGHT("000000"&amp;$U1002,6))</f>
        <v/>
      </c>
      <c r="W1002">
        <f>IF($T1002="","",COUNTIFS(LdBGroup,$R1002,LdBKey,"&lt;"&amp;$T1002)+1)</f>
        <v/>
      </c>
      <c r="X1002">
        <f>IF($W1002="","",$R1002&amp;"|"&amp;RIGHT("000000"&amp;$W1002,6))</f>
        <v/>
      </c>
      <c r="Y1002">
        <f>IF($P1002="","",IF(Shares!$E1005="",0,Shares!$E1005))</f>
        <v/>
      </c>
      <c r="Z1002">
        <f>IF($P1002="","",Shares!$H1005)</f>
        <v/>
      </c>
      <c r="AE1002">
        <f>IF(OR(Sync!$S1002="",Sync!$P1002=""),"",Sync!$S1002)</f>
        <v/>
      </c>
      <c r="AF1002">
        <f>IF($AE1002="","",IF(ISNUMBER(Sync!$P1002),IF(AND(Sync!$P1002&gt;=10000101,Sync!$P1002&lt;=99991231),INT(Sync!$P1002/10000),""),IFERROR(VALUE(TRIM(LEFT(Sync!$P1002,FIND("/",Sync!$P1002)-1))),"")))</f>
        <v/>
      </c>
      <c r="AG1002">
        <f>IF(OR($AE1002="",$AF1002=""),"",IF(ISNUMBER(Sync!$P1002),INT(MOD(Sync!$P1002,10000)/100),IFERROR(VALUE(TRIM(LEFT(MID(Sync!$P1002,FIND("/",Sync!$P1002)+1,20),FIND("/",MID(Sync!$P1002,FIND("/",Sync!$P1002)+1,20))-1))),"")))</f>
        <v/>
      </c>
      <c r="AH1002">
        <f>IF(OR($AE1002="",$AF1002=""),"",IF(ISNUMBER(Sync!$P1002),MOD(Sync!$P1002,100),IFERROR(VALUE(TRIM(MID(MID(Sync!$P1002,FIND("/",Sync!$P1002)+1,20),FIND("/",MID(Sync!$P1002,FIND("/",Sync!$P1002)+1,20))+1,20))),"")))</f>
        <v/>
      </c>
      <c r="AI1002">
        <f>IF($AE1002="","",IF(OR($AF1002="",$AG1002="",$AH1002="",$AF1002&lt;1300,$AF1002&gt;1500,$AG1002&lt;1,$AG1002&gt;12,$AH1002&lt;1,$AH1002&gt;31),"نامعتبر",RIGHT("0000"&amp;$AF1002,4)&amp;"/"&amp;RIGHT("00"&amp;$AG1002,2)&amp;"/"&amp;RIGHT("00"&amp;$AH1002,2)))</f>
        <v/>
      </c>
      <c r="AJ1002">
        <f>IF($AE1002="","",IF(Sync!$Q1002="","0000",IF(AND(ISNUMBER(Sync!$Q1002),Sync!$Q1002&gt;=0,Sync!$Q1002&lt;1),RIGHT("00"&amp;HOUR(Sync!$Q1002),2)&amp;RIGHT("00"&amp;MINUTE(Sync!$Q1002),2),IFERROR(RIGHT("00"&amp;VALUE(LEFT(Sync!$Q1002,FIND(":",Sync!$Q1002)-1)),2)&amp;RIGHT("00"&amp;VALUE(MID(Sync!$Q1002,FIND(":",Sync!$Q1002)+1,2)),2),"0000"))))</f>
        <v/>
      </c>
      <c r="AK1002">
        <f>IF(OR($AE1002="",$AI1002="",$AI1002="نامعتبر"),"",LEFT($AI1002,4)&amp;MID($AI1002,6,2)&amp;RIGHT($AI1002,2)&amp;$AJ1002&amp;"|"&amp;"3"&amp;RIGHT("00000"&amp;997,5))</f>
        <v/>
      </c>
      <c r="AL1002">
        <f>IF($AK1002="","",COUNTIFS(LdAParty,$AE1002,LdAType,1,LdAKey,"&lt;"&amp;$AK1002)+COUNTIFS(LdBMember,$AE1002,LdBKey,"&lt;"&amp;$AK1002)+COUNTIFS(LdCParty,$AE1002,LdCKey,"&lt;"&amp;$AK1002)+1)</f>
        <v/>
      </c>
      <c r="AM1002">
        <f>IF($AL1002="","",$AE1002&amp;"|"&amp;RIGHT("000000"&amp;$AL1002,6))</f>
        <v/>
      </c>
      <c r="AN1002">
        <f>IF($AE1002="","",IF(Sync!$W1002="",0,Sync!$W1002))</f>
        <v/>
      </c>
      <c r="AO1002">
        <f>IF($AE1002="","",IF(Sync!$X1002="",0,Sync!$X1002))</f>
        <v/>
      </c>
      <c r="AP1002">
        <f>IF($AE1002="","",Sync!$R1002)</f>
        <v/>
      </c>
      <c r="AQ1002">
        <f>IF($AE1002="","",Sync!$Y1002)</f>
        <v/>
      </c>
    </row>
    <row r="1003">
      <c r="A1003">
        <f>IF(OR(Wages!$B1006="",Wages!$E1006=""),"",Wages!$E1006)</f>
        <v/>
      </c>
      <c r="B1003">
        <f>IF($A1003="","",IF(Wages!$C1006="دستمزد گروهی",2,1))</f>
        <v/>
      </c>
      <c r="C1003">
        <f>IF($A1003="","",IF(ISNUMBER(Wages!$B1006),IF(AND(Wages!$B1006&gt;=10000101,Wages!$B1006&lt;=99991231),INT(Wages!$B1006/10000),""),IFERROR(VALUE(TRIM(LEFT(Wages!$B1006,FIND("/",Wages!$B1006)-1))),"")))</f>
        <v/>
      </c>
      <c r="D1003">
        <f>IF(OR($A1003="",$C1003=""),"",IF(ISNUMBER(Wages!$B1006),INT(MOD(Wages!$B1006,10000)/100),IFERROR(VALUE(TRIM(LEFT(MID(Wages!$B1006,FIND("/",Wages!$B1006)+1,20),FIND("/",MID(Wages!$B1006,FIND("/",Wages!$B1006)+1,20))-1))),"")))</f>
        <v/>
      </c>
      <c r="E1003">
        <f>IF(OR($A1003="",$C1003=""),"",IF(ISNUMBER(Wages!$B1006),MOD(Wages!$B1006,100),IFERROR(VALUE(TRIM(MID(MID(Wages!$B1006,FIND("/",Wages!$B1006)+1,20),FIND("/",MID(Wages!$B1006,FIND("/",Wages!$B1006)+1,20))+1,20))),"")))</f>
        <v/>
      </c>
      <c r="F1003">
        <f>IF($A1003="","",IF(OR($C1003="",$D1003="",$E1003="",$C1003&lt;1300,$C1003&gt;1500,$D1003&lt;1,$D1003&gt;12,$E1003&lt;1,$E1003&gt;31),"نامعتبر",RIGHT("0000"&amp;$C1003,4)&amp;"/"&amp;RIGHT("00"&amp;$D1003,2)&amp;"/"&amp;RIGHT("00"&amp;$E1003,2)))</f>
        <v/>
      </c>
      <c r="G1003">
        <f>IF(OR($A1003="",$F1003="",$F1003="نامعتبر"),"",LEFT($F1003,4)&amp;MID($F1003,6,2)&amp;RIGHT($F1003,2)&amp;"0000"&amp;"|"&amp;"1"&amp;RIGHT("00000"&amp;998,5))</f>
        <v/>
      </c>
      <c r="H1003">
        <f>IF(OR($B1003&lt;&gt;1,$G1003=""),"",COUNTIFS(LdAParty,$A1003,LdAType,1,LdAKey,"&lt;"&amp;$G1003)+COUNTIFS(LdBMember,$A1003,LdBKey,"&lt;"&amp;$G1003)+COUNTIFS(LdCParty,$A1003,LdCKey,"&lt;"&amp;$G1003)+1)</f>
        <v/>
      </c>
      <c r="I1003">
        <f>IF($H1003="","",$A1003&amp;"|"&amp;RIGHT("000000"&amp;$H1003,6))</f>
        <v/>
      </c>
      <c r="J1003">
        <f>IF(OR($B1003&lt;&gt;2,$G1003=""),"",COUNTIFS(LdAParty,$A1003,LdAType,2,LdAKey,"&lt;"&amp;$G1003)+1)</f>
        <v/>
      </c>
      <c r="K1003">
        <f>IF($J1003="","",$A1003&amp;"|"&amp;RIGHT("000000"&amp;$J1003,6))</f>
        <v/>
      </c>
      <c r="L1003">
        <f>IF($A1003="","",IF(Wages!$G1006="",0,Wages!$G1006))</f>
        <v/>
      </c>
      <c r="M1003">
        <f>IF($A1003="","",Wages!$J1006)</f>
        <v/>
      </c>
      <c r="N1003">
        <f>IF($A1003="","",Wages!$D1006)</f>
        <v/>
      </c>
      <c r="P1003">
        <f>IF(OR(Shares!$B1006="",Shares!$C1006=""),"",Shares!$C1006)</f>
        <v/>
      </c>
      <c r="Q1003">
        <f>IF($P1003="","",Shares!$B1006)</f>
        <v/>
      </c>
      <c r="R1003">
        <f>IF($P1003="","",IFERROR(INDEX(WageParty,MATCH($Q1003,WageIds,0)),""))</f>
        <v/>
      </c>
      <c r="S1003">
        <f>IF($P1003="","",IFERROR(INDEX($F$6:$F$2005,MATCH($Q1003,WageIds,0)),""))</f>
        <v/>
      </c>
      <c r="T1003">
        <f>IF(OR($P1003="",$S1003="",$S1003="نامعتبر"),"",LEFT($S1003,4)&amp;MID($S1003,6,2)&amp;RIGHT($S1003,2)&amp;"0000"&amp;"|"&amp;"2"&amp;RIGHT("00000"&amp;998,5))</f>
        <v/>
      </c>
      <c r="U1003">
        <f>IF($T1003="","",COUNTIFS(LdAParty,$P1003,LdAType,1,LdAKey,"&lt;"&amp;$T1003)+COUNTIFS(LdBMember,$P1003,LdBKey,"&lt;"&amp;$T1003)+COUNTIFS(LdCParty,$P1003,LdCKey,"&lt;"&amp;$T1003)+1)</f>
        <v/>
      </c>
      <c r="V1003">
        <f>IF($U1003="","",$P1003&amp;"|"&amp;RIGHT("000000"&amp;$U1003,6))</f>
        <v/>
      </c>
      <c r="W1003">
        <f>IF($T1003="","",COUNTIFS(LdBGroup,$R1003,LdBKey,"&lt;"&amp;$T1003)+1)</f>
        <v/>
      </c>
      <c r="X1003">
        <f>IF($W1003="","",$R1003&amp;"|"&amp;RIGHT("000000"&amp;$W1003,6))</f>
        <v/>
      </c>
      <c r="Y1003">
        <f>IF($P1003="","",IF(Shares!$E1006="",0,Shares!$E1006))</f>
        <v/>
      </c>
      <c r="Z1003">
        <f>IF($P1003="","",Shares!$H1006)</f>
        <v/>
      </c>
      <c r="AE1003">
        <f>IF(OR(Sync!$S1003="",Sync!$P1003=""),"",Sync!$S1003)</f>
        <v/>
      </c>
      <c r="AF1003">
        <f>IF($AE1003="","",IF(ISNUMBER(Sync!$P1003),IF(AND(Sync!$P1003&gt;=10000101,Sync!$P1003&lt;=99991231),INT(Sync!$P1003/10000),""),IFERROR(VALUE(TRIM(LEFT(Sync!$P1003,FIND("/",Sync!$P1003)-1))),"")))</f>
        <v/>
      </c>
      <c r="AG1003">
        <f>IF(OR($AE1003="",$AF1003=""),"",IF(ISNUMBER(Sync!$P1003),INT(MOD(Sync!$P1003,10000)/100),IFERROR(VALUE(TRIM(LEFT(MID(Sync!$P1003,FIND("/",Sync!$P1003)+1,20),FIND("/",MID(Sync!$P1003,FIND("/",Sync!$P1003)+1,20))-1))),"")))</f>
        <v/>
      </c>
      <c r="AH1003">
        <f>IF(OR($AE1003="",$AF1003=""),"",IF(ISNUMBER(Sync!$P1003),MOD(Sync!$P1003,100),IFERROR(VALUE(TRIM(MID(MID(Sync!$P1003,FIND("/",Sync!$P1003)+1,20),FIND("/",MID(Sync!$P1003,FIND("/",Sync!$P1003)+1,20))+1,20))),"")))</f>
        <v/>
      </c>
      <c r="AI1003">
        <f>IF($AE1003="","",IF(OR($AF1003="",$AG1003="",$AH1003="",$AF1003&lt;1300,$AF1003&gt;1500,$AG1003&lt;1,$AG1003&gt;12,$AH1003&lt;1,$AH1003&gt;31),"نامعتبر",RIGHT("0000"&amp;$AF1003,4)&amp;"/"&amp;RIGHT("00"&amp;$AG1003,2)&amp;"/"&amp;RIGHT("00"&amp;$AH1003,2)))</f>
        <v/>
      </c>
      <c r="AJ1003">
        <f>IF($AE1003="","",IF(Sync!$Q1003="","0000",IF(AND(ISNUMBER(Sync!$Q1003),Sync!$Q1003&gt;=0,Sync!$Q1003&lt;1),RIGHT("00"&amp;HOUR(Sync!$Q1003),2)&amp;RIGHT("00"&amp;MINUTE(Sync!$Q1003),2),IFERROR(RIGHT("00"&amp;VALUE(LEFT(Sync!$Q1003,FIND(":",Sync!$Q1003)-1)),2)&amp;RIGHT("00"&amp;VALUE(MID(Sync!$Q1003,FIND(":",Sync!$Q1003)+1,2)),2),"0000"))))</f>
        <v/>
      </c>
      <c r="AK1003">
        <f>IF(OR($AE1003="",$AI1003="",$AI1003="نامعتبر"),"",LEFT($AI1003,4)&amp;MID($AI1003,6,2)&amp;RIGHT($AI1003,2)&amp;$AJ1003&amp;"|"&amp;"3"&amp;RIGHT("00000"&amp;998,5))</f>
        <v/>
      </c>
      <c r="AL1003">
        <f>IF($AK1003="","",COUNTIFS(LdAParty,$AE1003,LdAType,1,LdAKey,"&lt;"&amp;$AK1003)+COUNTIFS(LdBMember,$AE1003,LdBKey,"&lt;"&amp;$AK1003)+COUNTIFS(LdCParty,$AE1003,LdCKey,"&lt;"&amp;$AK1003)+1)</f>
        <v/>
      </c>
      <c r="AM1003">
        <f>IF($AL1003="","",$AE1003&amp;"|"&amp;RIGHT("000000"&amp;$AL1003,6))</f>
        <v/>
      </c>
      <c r="AN1003">
        <f>IF($AE1003="","",IF(Sync!$W1003="",0,Sync!$W1003))</f>
        <v/>
      </c>
      <c r="AO1003">
        <f>IF($AE1003="","",IF(Sync!$X1003="",0,Sync!$X1003))</f>
        <v/>
      </c>
      <c r="AP1003">
        <f>IF($AE1003="","",Sync!$R1003)</f>
        <v/>
      </c>
      <c r="AQ1003">
        <f>IF($AE1003="","",Sync!$Y1003)</f>
        <v/>
      </c>
    </row>
    <row r="1004">
      <c r="A1004">
        <f>IF(OR(Wages!$B1007="",Wages!$E1007=""),"",Wages!$E1007)</f>
        <v/>
      </c>
      <c r="B1004">
        <f>IF($A1004="","",IF(Wages!$C1007="دستمزد گروهی",2,1))</f>
        <v/>
      </c>
      <c r="C1004">
        <f>IF($A1004="","",IF(ISNUMBER(Wages!$B1007),IF(AND(Wages!$B1007&gt;=10000101,Wages!$B1007&lt;=99991231),INT(Wages!$B1007/10000),""),IFERROR(VALUE(TRIM(LEFT(Wages!$B1007,FIND("/",Wages!$B1007)-1))),"")))</f>
        <v/>
      </c>
      <c r="D1004">
        <f>IF(OR($A1004="",$C1004=""),"",IF(ISNUMBER(Wages!$B1007),INT(MOD(Wages!$B1007,10000)/100),IFERROR(VALUE(TRIM(LEFT(MID(Wages!$B1007,FIND("/",Wages!$B1007)+1,20),FIND("/",MID(Wages!$B1007,FIND("/",Wages!$B1007)+1,20))-1))),"")))</f>
        <v/>
      </c>
      <c r="E1004">
        <f>IF(OR($A1004="",$C1004=""),"",IF(ISNUMBER(Wages!$B1007),MOD(Wages!$B1007,100),IFERROR(VALUE(TRIM(MID(MID(Wages!$B1007,FIND("/",Wages!$B1007)+1,20),FIND("/",MID(Wages!$B1007,FIND("/",Wages!$B1007)+1,20))+1,20))),"")))</f>
        <v/>
      </c>
      <c r="F1004">
        <f>IF($A1004="","",IF(OR($C1004="",$D1004="",$E1004="",$C1004&lt;1300,$C1004&gt;1500,$D1004&lt;1,$D1004&gt;12,$E1004&lt;1,$E1004&gt;31),"نامعتبر",RIGHT("0000"&amp;$C1004,4)&amp;"/"&amp;RIGHT("00"&amp;$D1004,2)&amp;"/"&amp;RIGHT("00"&amp;$E1004,2)))</f>
        <v/>
      </c>
      <c r="G1004">
        <f>IF(OR($A1004="",$F1004="",$F1004="نامعتبر"),"",LEFT($F1004,4)&amp;MID($F1004,6,2)&amp;RIGHT($F1004,2)&amp;"0000"&amp;"|"&amp;"1"&amp;RIGHT("00000"&amp;999,5))</f>
        <v/>
      </c>
      <c r="H1004">
        <f>IF(OR($B1004&lt;&gt;1,$G1004=""),"",COUNTIFS(LdAParty,$A1004,LdAType,1,LdAKey,"&lt;"&amp;$G1004)+COUNTIFS(LdBMember,$A1004,LdBKey,"&lt;"&amp;$G1004)+COUNTIFS(LdCParty,$A1004,LdCKey,"&lt;"&amp;$G1004)+1)</f>
        <v/>
      </c>
      <c r="I1004">
        <f>IF($H1004="","",$A1004&amp;"|"&amp;RIGHT("000000"&amp;$H1004,6))</f>
        <v/>
      </c>
      <c r="J1004">
        <f>IF(OR($B1004&lt;&gt;2,$G1004=""),"",COUNTIFS(LdAParty,$A1004,LdAType,2,LdAKey,"&lt;"&amp;$G1004)+1)</f>
        <v/>
      </c>
      <c r="K1004">
        <f>IF($J1004="","",$A1004&amp;"|"&amp;RIGHT("000000"&amp;$J1004,6))</f>
        <v/>
      </c>
      <c r="L1004">
        <f>IF($A1004="","",IF(Wages!$G1007="",0,Wages!$G1007))</f>
        <v/>
      </c>
      <c r="M1004">
        <f>IF($A1004="","",Wages!$J1007)</f>
        <v/>
      </c>
      <c r="N1004">
        <f>IF($A1004="","",Wages!$D1007)</f>
        <v/>
      </c>
      <c r="P1004">
        <f>IF(OR(Shares!$B1007="",Shares!$C1007=""),"",Shares!$C1007)</f>
        <v/>
      </c>
      <c r="Q1004">
        <f>IF($P1004="","",Shares!$B1007)</f>
        <v/>
      </c>
      <c r="R1004">
        <f>IF($P1004="","",IFERROR(INDEX(WageParty,MATCH($Q1004,WageIds,0)),""))</f>
        <v/>
      </c>
      <c r="S1004">
        <f>IF($P1004="","",IFERROR(INDEX($F$6:$F$2005,MATCH($Q1004,WageIds,0)),""))</f>
        <v/>
      </c>
      <c r="T1004">
        <f>IF(OR($P1004="",$S1004="",$S1004="نامعتبر"),"",LEFT($S1004,4)&amp;MID($S1004,6,2)&amp;RIGHT($S1004,2)&amp;"0000"&amp;"|"&amp;"2"&amp;RIGHT("00000"&amp;999,5))</f>
        <v/>
      </c>
      <c r="U1004">
        <f>IF($T1004="","",COUNTIFS(LdAParty,$P1004,LdAType,1,LdAKey,"&lt;"&amp;$T1004)+COUNTIFS(LdBMember,$P1004,LdBKey,"&lt;"&amp;$T1004)+COUNTIFS(LdCParty,$P1004,LdCKey,"&lt;"&amp;$T1004)+1)</f>
        <v/>
      </c>
      <c r="V1004">
        <f>IF($U1004="","",$P1004&amp;"|"&amp;RIGHT("000000"&amp;$U1004,6))</f>
        <v/>
      </c>
      <c r="W1004">
        <f>IF($T1004="","",COUNTIFS(LdBGroup,$R1004,LdBKey,"&lt;"&amp;$T1004)+1)</f>
        <v/>
      </c>
      <c r="X1004">
        <f>IF($W1004="","",$R1004&amp;"|"&amp;RIGHT("000000"&amp;$W1004,6))</f>
        <v/>
      </c>
      <c r="Y1004">
        <f>IF($P1004="","",IF(Shares!$E1007="",0,Shares!$E1007))</f>
        <v/>
      </c>
      <c r="Z1004">
        <f>IF($P1004="","",Shares!$H1007)</f>
        <v/>
      </c>
      <c r="AE1004">
        <f>IF(OR(Sync!$S1004="",Sync!$P1004=""),"",Sync!$S1004)</f>
        <v/>
      </c>
      <c r="AF1004">
        <f>IF($AE1004="","",IF(ISNUMBER(Sync!$P1004),IF(AND(Sync!$P1004&gt;=10000101,Sync!$P1004&lt;=99991231),INT(Sync!$P1004/10000),""),IFERROR(VALUE(TRIM(LEFT(Sync!$P1004,FIND("/",Sync!$P1004)-1))),"")))</f>
        <v/>
      </c>
      <c r="AG1004">
        <f>IF(OR($AE1004="",$AF1004=""),"",IF(ISNUMBER(Sync!$P1004),INT(MOD(Sync!$P1004,10000)/100),IFERROR(VALUE(TRIM(LEFT(MID(Sync!$P1004,FIND("/",Sync!$P1004)+1,20),FIND("/",MID(Sync!$P1004,FIND("/",Sync!$P1004)+1,20))-1))),"")))</f>
        <v/>
      </c>
      <c r="AH1004">
        <f>IF(OR($AE1004="",$AF1004=""),"",IF(ISNUMBER(Sync!$P1004),MOD(Sync!$P1004,100),IFERROR(VALUE(TRIM(MID(MID(Sync!$P1004,FIND("/",Sync!$P1004)+1,20),FIND("/",MID(Sync!$P1004,FIND("/",Sync!$P1004)+1,20))+1,20))),"")))</f>
        <v/>
      </c>
      <c r="AI1004">
        <f>IF($AE1004="","",IF(OR($AF1004="",$AG1004="",$AH1004="",$AF1004&lt;1300,$AF1004&gt;1500,$AG1004&lt;1,$AG1004&gt;12,$AH1004&lt;1,$AH1004&gt;31),"نامعتبر",RIGHT("0000"&amp;$AF1004,4)&amp;"/"&amp;RIGHT("00"&amp;$AG1004,2)&amp;"/"&amp;RIGHT("00"&amp;$AH1004,2)))</f>
        <v/>
      </c>
      <c r="AJ1004">
        <f>IF($AE1004="","",IF(Sync!$Q1004="","0000",IF(AND(ISNUMBER(Sync!$Q1004),Sync!$Q1004&gt;=0,Sync!$Q1004&lt;1),RIGHT("00"&amp;HOUR(Sync!$Q1004),2)&amp;RIGHT("00"&amp;MINUTE(Sync!$Q1004),2),IFERROR(RIGHT("00"&amp;VALUE(LEFT(Sync!$Q1004,FIND(":",Sync!$Q1004)-1)),2)&amp;RIGHT("00"&amp;VALUE(MID(Sync!$Q1004,FIND(":",Sync!$Q1004)+1,2)),2),"0000"))))</f>
        <v/>
      </c>
      <c r="AK1004">
        <f>IF(OR($AE1004="",$AI1004="",$AI1004="نامعتبر"),"",LEFT($AI1004,4)&amp;MID($AI1004,6,2)&amp;RIGHT($AI1004,2)&amp;$AJ1004&amp;"|"&amp;"3"&amp;RIGHT("00000"&amp;999,5))</f>
        <v/>
      </c>
      <c r="AL1004">
        <f>IF($AK1004="","",COUNTIFS(LdAParty,$AE1004,LdAType,1,LdAKey,"&lt;"&amp;$AK1004)+COUNTIFS(LdBMember,$AE1004,LdBKey,"&lt;"&amp;$AK1004)+COUNTIFS(LdCParty,$AE1004,LdCKey,"&lt;"&amp;$AK1004)+1)</f>
        <v/>
      </c>
      <c r="AM1004">
        <f>IF($AL1004="","",$AE1004&amp;"|"&amp;RIGHT("000000"&amp;$AL1004,6))</f>
        <v/>
      </c>
      <c r="AN1004">
        <f>IF($AE1004="","",IF(Sync!$W1004="",0,Sync!$W1004))</f>
        <v/>
      </c>
      <c r="AO1004">
        <f>IF($AE1004="","",IF(Sync!$X1004="",0,Sync!$X1004))</f>
        <v/>
      </c>
      <c r="AP1004">
        <f>IF($AE1004="","",Sync!$R1004)</f>
        <v/>
      </c>
      <c r="AQ1004">
        <f>IF($AE1004="","",Sync!$Y1004)</f>
        <v/>
      </c>
    </row>
    <row r="1005">
      <c r="A1005">
        <f>IF(OR(Wages!$B1008="",Wages!$E1008=""),"",Wages!$E1008)</f>
        <v/>
      </c>
      <c r="B1005">
        <f>IF($A1005="","",IF(Wages!$C1008="دستمزد گروهی",2,1))</f>
        <v/>
      </c>
      <c r="C1005">
        <f>IF($A1005="","",IF(ISNUMBER(Wages!$B1008),IF(AND(Wages!$B1008&gt;=10000101,Wages!$B1008&lt;=99991231),INT(Wages!$B1008/10000),""),IFERROR(VALUE(TRIM(LEFT(Wages!$B1008,FIND("/",Wages!$B1008)-1))),"")))</f>
        <v/>
      </c>
      <c r="D1005">
        <f>IF(OR($A1005="",$C1005=""),"",IF(ISNUMBER(Wages!$B1008),INT(MOD(Wages!$B1008,10000)/100),IFERROR(VALUE(TRIM(LEFT(MID(Wages!$B1008,FIND("/",Wages!$B1008)+1,20),FIND("/",MID(Wages!$B1008,FIND("/",Wages!$B1008)+1,20))-1))),"")))</f>
        <v/>
      </c>
      <c r="E1005">
        <f>IF(OR($A1005="",$C1005=""),"",IF(ISNUMBER(Wages!$B1008),MOD(Wages!$B1008,100),IFERROR(VALUE(TRIM(MID(MID(Wages!$B1008,FIND("/",Wages!$B1008)+1,20),FIND("/",MID(Wages!$B1008,FIND("/",Wages!$B1008)+1,20))+1,20))),"")))</f>
        <v/>
      </c>
      <c r="F1005">
        <f>IF($A1005="","",IF(OR($C1005="",$D1005="",$E1005="",$C1005&lt;1300,$C1005&gt;1500,$D1005&lt;1,$D1005&gt;12,$E1005&lt;1,$E1005&gt;31),"نامعتبر",RIGHT("0000"&amp;$C1005,4)&amp;"/"&amp;RIGHT("00"&amp;$D1005,2)&amp;"/"&amp;RIGHT("00"&amp;$E1005,2)))</f>
        <v/>
      </c>
      <c r="G1005">
        <f>IF(OR($A1005="",$F1005="",$F1005="نامعتبر"),"",LEFT($F1005,4)&amp;MID($F1005,6,2)&amp;RIGHT($F1005,2)&amp;"0000"&amp;"|"&amp;"1"&amp;RIGHT("00000"&amp;1000,5))</f>
        <v/>
      </c>
      <c r="H1005">
        <f>IF(OR($B1005&lt;&gt;1,$G1005=""),"",COUNTIFS(LdAParty,$A1005,LdAType,1,LdAKey,"&lt;"&amp;$G1005)+COUNTIFS(LdBMember,$A1005,LdBKey,"&lt;"&amp;$G1005)+COUNTIFS(LdCParty,$A1005,LdCKey,"&lt;"&amp;$G1005)+1)</f>
        <v/>
      </c>
      <c r="I1005">
        <f>IF($H1005="","",$A1005&amp;"|"&amp;RIGHT("000000"&amp;$H1005,6))</f>
        <v/>
      </c>
      <c r="J1005">
        <f>IF(OR($B1005&lt;&gt;2,$G1005=""),"",COUNTIFS(LdAParty,$A1005,LdAType,2,LdAKey,"&lt;"&amp;$G1005)+1)</f>
        <v/>
      </c>
      <c r="K1005">
        <f>IF($J1005="","",$A1005&amp;"|"&amp;RIGHT("000000"&amp;$J1005,6))</f>
        <v/>
      </c>
      <c r="L1005">
        <f>IF($A1005="","",IF(Wages!$G1008="",0,Wages!$G1008))</f>
        <v/>
      </c>
      <c r="M1005">
        <f>IF($A1005="","",Wages!$J1008)</f>
        <v/>
      </c>
      <c r="N1005">
        <f>IF($A1005="","",Wages!$D1008)</f>
        <v/>
      </c>
      <c r="P1005">
        <f>IF(OR(Shares!$B1008="",Shares!$C1008=""),"",Shares!$C1008)</f>
        <v/>
      </c>
      <c r="Q1005">
        <f>IF($P1005="","",Shares!$B1008)</f>
        <v/>
      </c>
      <c r="R1005">
        <f>IF($P1005="","",IFERROR(INDEX(WageParty,MATCH($Q1005,WageIds,0)),""))</f>
        <v/>
      </c>
      <c r="S1005">
        <f>IF($P1005="","",IFERROR(INDEX($F$6:$F$2005,MATCH($Q1005,WageIds,0)),""))</f>
        <v/>
      </c>
      <c r="T1005">
        <f>IF(OR($P1005="",$S1005="",$S1005="نامعتبر"),"",LEFT($S1005,4)&amp;MID($S1005,6,2)&amp;RIGHT($S1005,2)&amp;"0000"&amp;"|"&amp;"2"&amp;RIGHT("00000"&amp;1000,5))</f>
        <v/>
      </c>
      <c r="U1005">
        <f>IF($T1005="","",COUNTIFS(LdAParty,$P1005,LdAType,1,LdAKey,"&lt;"&amp;$T1005)+COUNTIFS(LdBMember,$P1005,LdBKey,"&lt;"&amp;$T1005)+COUNTIFS(LdCParty,$P1005,LdCKey,"&lt;"&amp;$T1005)+1)</f>
        <v/>
      </c>
      <c r="V1005">
        <f>IF($U1005="","",$P1005&amp;"|"&amp;RIGHT("000000"&amp;$U1005,6))</f>
        <v/>
      </c>
      <c r="W1005">
        <f>IF($T1005="","",COUNTIFS(LdBGroup,$R1005,LdBKey,"&lt;"&amp;$T1005)+1)</f>
        <v/>
      </c>
      <c r="X1005">
        <f>IF($W1005="","",$R1005&amp;"|"&amp;RIGHT("000000"&amp;$W1005,6))</f>
        <v/>
      </c>
      <c r="Y1005">
        <f>IF($P1005="","",IF(Shares!$E1008="",0,Shares!$E1008))</f>
        <v/>
      </c>
      <c r="Z1005">
        <f>IF($P1005="","",Shares!$H1008)</f>
        <v/>
      </c>
      <c r="AE1005">
        <f>IF(OR(Sync!$S1005="",Sync!$P1005=""),"",Sync!$S1005)</f>
        <v/>
      </c>
      <c r="AF1005">
        <f>IF($AE1005="","",IF(ISNUMBER(Sync!$P1005),IF(AND(Sync!$P1005&gt;=10000101,Sync!$P1005&lt;=99991231),INT(Sync!$P1005/10000),""),IFERROR(VALUE(TRIM(LEFT(Sync!$P1005,FIND("/",Sync!$P1005)-1))),"")))</f>
        <v/>
      </c>
      <c r="AG1005">
        <f>IF(OR($AE1005="",$AF1005=""),"",IF(ISNUMBER(Sync!$P1005),INT(MOD(Sync!$P1005,10000)/100),IFERROR(VALUE(TRIM(LEFT(MID(Sync!$P1005,FIND("/",Sync!$P1005)+1,20),FIND("/",MID(Sync!$P1005,FIND("/",Sync!$P1005)+1,20))-1))),"")))</f>
        <v/>
      </c>
      <c r="AH1005">
        <f>IF(OR($AE1005="",$AF1005=""),"",IF(ISNUMBER(Sync!$P1005),MOD(Sync!$P1005,100),IFERROR(VALUE(TRIM(MID(MID(Sync!$P1005,FIND("/",Sync!$P1005)+1,20),FIND("/",MID(Sync!$P1005,FIND("/",Sync!$P1005)+1,20))+1,20))),"")))</f>
        <v/>
      </c>
      <c r="AI1005">
        <f>IF($AE1005="","",IF(OR($AF1005="",$AG1005="",$AH1005="",$AF1005&lt;1300,$AF1005&gt;1500,$AG1005&lt;1,$AG1005&gt;12,$AH1005&lt;1,$AH1005&gt;31),"نامعتبر",RIGHT("0000"&amp;$AF1005,4)&amp;"/"&amp;RIGHT("00"&amp;$AG1005,2)&amp;"/"&amp;RIGHT("00"&amp;$AH1005,2)))</f>
        <v/>
      </c>
      <c r="AJ1005">
        <f>IF($AE1005="","",IF(Sync!$Q1005="","0000",IF(AND(ISNUMBER(Sync!$Q1005),Sync!$Q1005&gt;=0,Sync!$Q1005&lt;1),RIGHT("00"&amp;HOUR(Sync!$Q1005),2)&amp;RIGHT("00"&amp;MINUTE(Sync!$Q1005),2),IFERROR(RIGHT("00"&amp;VALUE(LEFT(Sync!$Q1005,FIND(":",Sync!$Q1005)-1)),2)&amp;RIGHT("00"&amp;VALUE(MID(Sync!$Q1005,FIND(":",Sync!$Q1005)+1,2)),2),"0000"))))</f>
        <v/>
      </c>
      <c r="AK1005">
        <f>IF(OR($AE1005="",$AI1005="",$AI1005="نامعتبر"),"",LEFT($AI1005,4)&amp;MID($AI1005,6,2)&amp;RIGHT($AI1005,2)&amp;$AJ1005&amp;"|"&amp;"3"&amp;RIGHT("00000"&amp;1000,5))</f>
        <v/>
      </c>
      <c r="AL1005">
        <f>IF($AK1005="","",COUNTIFS(LdAParty,$AE1005,LdAType,1,LdAKey,"&lt;"&amp;$AK1005)+COUNTIFS(LdBMember,$AE1005,LdBKey,"&lt;"&amp;$AK1005)+COUNTIFS(LdCParty,$AE1005,LdCKey,"&lt;"&amp;$AK1005)+1)</f>
        <v/>
      </c>
      <c r="AM1005">
        <f>IF($AL1005="","",$AE1005&amp;"|"&amp;RIGHT("000000"&amp;$AL1005,6))</f>
        <v/>
      </c>
      <c r="AN1005">
        <f>IF($AE1005="","",IF(Sync!$W1005="",0,Sync!$W1005))</f>
        <v/>
      </c>
      <c r="AO1005">
        <f>IF($AE1005="","",IF(Sync!$X1005="",0,Sync!$X1005))</f>
        <v/>
      </c>
      <c r="AP1005">
        <f>IF($AE1005="","",Sync!$R1005)</f>
        <v/>
      </c>
      <c r="AQ1005">
        <f>IF($AE1005="","",Sync!$Y1005)</f>
        <v/>
      </c>
    </row>
    <row r="1006">
      <c r="A1006">
        <f>IF(OR(Wages!$B1009="",Wages!$E1009=""),"",Wages!$E1009)</f>
        <v/>
      </c>
      <c r="B1006">
        <f>IF($A1006="","",IF(Wages!$C1009="دستمزد گروهی",2,1))</f>
        <v/>
      </c>
      <c r="C1006">
        <f>IF($A1006="","",IF(ISNUMBER(Wages!$B1009),IF(AND(Wages!$B1009&gt;=10000101,Wages!$B1009&lt;=99991231),INT(Wages!$B1009/10000),""),IFERROR(VALUE(TRIM(LEFT(Wages!$B1009,FIND("/",Wages!$B1009)-1))),"")))</f>
        <v/>
      </c>
      <c r="D1006">
        <f>IF(OR($A1006="",$C1006=""),"",IF(ISNUMBER(Wages!$B1009),INT(MOD(Wages!$B1009,10000)/100),IFERROR(VALUE(TRIM(LEFT(MID(Wages!$B1009,FIND("/",Wages!$B1009)+1,20),FIND("/",MID(Wages!$B1009,FIND("/",Wages!$B1009)+1,20))-1))),"")))</f>
        <v/>
      </c>
      <c r="E1006">
        <f>IF(OR($A1006="",$C1006=""),"",IF(ISNUMBER(Wages!$B1009),MOD(Wages!$B1009,100),IFERROR(VALUE(TRIM(MID(MID(Wages!$B1009,FIND("/",Wages!$B1009)+1,20),FIND("/",MID(Wages!$B1009,FIND("/",Wages!$B1009)+1,20))+1,20))),"")))</f>
        <v/>
      </c>
      <c r="F1006">
        <f>IF($A1006="","",IF(OR($C1006="",$D1006="",$E1006="",$C1006&lt;1300,$C1006&gt;1500,$D1006&lt;1,$D1006&gt;12,$E1006&lt;1,$E1006&gt;31),"نامعتبر",RIGHT("0000"&amp;$C1006,4)&amp;"/"&amp;RIGHT("00"&amp;$D1006,2)&amp;"/"&amp;RIGHT("00"&amp;$E1006,2)))</f>
        <v/>
      </c>
      <c r="G1006">
        <f>IF(OR($A1006="",$F1006="",$F1006="نامعتبر"),"",LEFT($F1006,4)&amp;MID($F1006,6,2)&amp;RIGHT($F1006,2)&amp;"0000"&amp;"|"&amp;"1"&amp;RIGHT("00000"&amp;1001,5))</f>
        <v/>
      </c>
      <c r="H1006">
        <f>IF(OR($B1006&lt;&gt;1,$G1006=""),"",COUNTIFS(LdAParty,$A1006,LdAType,1,LdAKey,"&lt;"&amp;$G1006)+COUNTIFS(LdBMember,$A1006,LdBKey,"&lt;"&amp;$G1006)+COUNTIFS(LdCParty,$A1006,LdCKey,"&lt;"&amp;$G1006)+1)</f>
        <v/>
      </c>
      <c r="I1006">
        <f>IF($H1006="","",$A1006&amp;"|"&amp;RIGHT("000000"&amp;$H1006,6))</f>
        <v/>
      </c>
      <c r="J1006">
        <f>IF(OR($B1006&lt;&gt;2,$G1006=""),"",COUNTIFS(LdAParty,$A1006,LdAType,2,LdAKey,"&lt;"&amp;$G1006)+1)</f>
        <v/>
      </c>
      <c r="K1006">
        <f>IF($J1006="","",$A1006&amp;"|"&amp;RIGHT("000000"&amp;$J1006,6))</f>
        <v/>
      </c>
      <c r="L1006">
        <f>IF($A1006="","",IF(Wages!$G1009="",0,Wages!$G1009))</f>
        <v/>
      </c>
      <c r="M1006">
        <f>IF($A1006="","",Wages!$J1009)</f>
        <v/>
      </c>
      <c r="N1006">
        <f>IF($A1006="","",Wages!$D1009)</f>
        <v/>
      </c>
      <c r="P1006">
        <f>IF(OR(Shares!$B1009="",Shares!$C1009=""),"",Shares!$C1009)</f>
        <v/>
      </c>
      <c r="Q1006">
        <f>IF($P1006="","",Shares!$B1009)</f>
        <v/>
      </c>
      <c r="R1006">
        <f>IF($P1006="","",IFERROR(INDEX(WageParty,MATCH($Q1006,WageIds,0)),""))</f>
        <v/>
      </c>
      <c r="S1006">
        <f>IF($P1006="","",IFERROR(INDEX($F$6:$F$2005,MATCH($Q1006,WageIds,0)),""))</f>
        <v/>
      </c>
      <c r="T1006">
        <f>IF(OR($P1006="",$S1006="",$S1006="نامعتبر"),"",LEFT($S1006,4)&amp;MID($S1006,6,2)&amp;RIGHT($S1006,2)&amp;"0000"&amp;"|"&amp;"2"&amp;RIGHT("00000"&amp;1001,5))</f>
        <v/>
      </c>
      <c r="U1006">
        <f>IF($T1006="","",COUNTIFS(LdAParty,$P1006,LdAType,1,LdAKey,"&lt;"&amp;$T1006)+COUNTIFS(LdBMember,$P1006,LdBKey,"&lt;"&amp;$T1006)+COUNTIFS(LdCParty,$P1006,LdCKey,"&lt;"&amp;$T1006)+1)</f>
        <v/>
      </c>
      <c r="V1006">
        <f>IF($U1006="","",$P1006&amp;"|"&amp;RIGHT("000000"&amp;$U1006,6))</f>
        <v/>
      </c>
      <c r="W1006">
        <f>IF($T1006="","",COUNTIFS(LdBGroup,$R1006,LdBKey,"&lt;"&amp;$T1006)+1)</f>
        <v/>
      </c>
      <c r="X1006">
        <f>IF($W1006="","",$R1006&amp;"|"&amp;RIGHT("000000"&amp;$W1006,6))</f>
        <v/>
      </c>
      <c r="Y1006">
        <f>IF($P1006="","",IF(Shares!$E1009="",0,Shares!$E1009))</f>
        <v/>
      </c>
      <c r="Z1006">
        <f>IF($P1006="","",Shares!$H1009)</f>
        <v/>
      </c>
      <c r="AE1006">
        <f>IF(OR(Sync!$S1006="",Sync!$P1006=""),"",Sync!$S1006)</f>
        <v/>
      </c>
      <c r="AF1006">
        <f>IF($AE1006="","",IF(ISNUMBER(Sync!$P1006),IF(AND(Sync!$P1006&gt;=10000101,Sync!$P1006&lt;=99991231),INT(Sync!$P1006/10000),""),IFERROR(VALUE(TRIM(LEFT(Sync!$P1006,FIND("/",Sync!$P1006)-1))),"")))</f>
        <v/>
      </c>
      <c r="AG1006">
        <f>IF(OR($AE1006="",$AF1006=""),"",IF(ISNUMBER(Sync!$P1006),INT(MOD(Sync!$P1006,10000)/100),IFERROR(VALUE(TRIM(LEFT(MID(Sync!$P1006,FIND("/",Sync!$P1006)+1,20),FIND("/",MID(Sync!$P1006,FIND("/",Sync!$P1006)+1,20))-1))),"")))</f>
        <v/>
      </c>
      <c r="AH1006">
        <f>IF(OR($AE1006="",$AF1006=""),"",IF(ISNUMBER(Sync!$P1006),MOD(Sync!$P1006,100),IFERROR(VALUE(TRIM(MID(MID(Sync!$P1006,FIND("/",Sync!$P1006)+1,20),FIND("/",MID(Sync!$P1006,FIND("/",Sync!$P1006)+1,20))+1,20))),"")))</f>
        <v/>
      </c>
      <c r="AI1006">
        <f>IF($AE1006="","",IF(OR($AF1006="",$AG1006="",$AH1006="",$AF1006&lt;1300,$AF1006&gt;1500,$AG1006&lt;1,$AG1006&gt;12,$AH1006&lt;1,$AH1006&gt;31),"نامعتبر",RIGHT("0000"&amp;$AF1006,4)&amp;"/"&amp;RIGHT("00"&amp;$AG1006,2)&amp;"/"&amp;RIGHT("00"&amp;$AH1006,2)))</f>
        <v/>
      </c>
      <c r="AJ1006">
        <f>IF($AE1006="","",IF(Sync!$Q1006="","0000",IF(AND(ISNUMBER(Sync!$Q1006),Sync!$Q1006&gt;=0,Sync!$Q1006&lt;1),RIGHT("00"&amp;HOUR(Sync!$Q1006),2)&amp;RIGHT("00"&amp;MINUTE(Sync!$Q1006),2),IFERROR(RIGHT("00"&amp;VALUE(LEFT(Sync!$Q1006,FIND(":",Sync!$Q1006)-1)),2)&amp;RIGHT("00"&amp;VALUE(MID(Sync!$Q1006,FIND(":",Sync!$Q1006)+1,2)),2),"0000"))))</f>
        <v/>
      </c>
      <c r="AK1006">
        <f>IF(OR($AE1006="",$AI1006="",$AI1006="نامعتبر"),"",LEFT($AI1006,4)&amp;MID($AI1006,6,2)&amp;RIGHT($AI1006,2)&amp;$AJ1006&amp;"|"&amp;"3"&amp;RIGHT("00000"&amp;1001,5))</f>
        <v/>
      </c>
      <c r="AL1006">
        <f>IF($AK1006="","",COUNTIFS(LdAParty,$AE1006,LdAType,1,LdAKey,"&lt;"&amp;$AK1006)+COUNTIFS(LdBMember,$AE1006,LdBKey,"&lt;"&amp;$AK1006)+COUNTIFS(LdCParty,$AE1006,LdCKey,"&lt;"&amp;$AK1006)+1)</f>
        <v/>
      </c>
      <c r="AM1006">
        <f>IF($AL1006="","",$AE1006&amp;"|"&amp;RIGHT("000000"&amp;$AL1006,6))</f>
        <v/>
      </c>
      <c r="AN1006">
        <f>IF($AE1006="","",IF(Sync!$W1006="",0,Sync!$W1006))</f>
        <v/>
      </c>
      <c r="AO1006">
        <f>IF($AE1006="","",IF(Sync!$X1006="",0,Sync!$X1006))</f>
        <v/>
      </c>
      <c r="AP1006">
        <f>IF($AE1006="","",Sync!$R1006)</f>
        <v/>
      </c>
      <c r="AQ1006">
        <f>IF($AE1006="","",Sync!$Y1006)</f>
        <v/>
      </c>
    </row>
    <row r="1007">
      <c r="A1007">
        <f>IF(OR(Wages!$B1010="",Wages!$E1010=""),"",Wages!$E1010)</f>
        <v/>
      </c>
      <c r="B1007">
        <f>IF($A1007="","",IF(Wages!$C1010="دستمزد گروهی",2,1))</f>
        <v/>
      </c>
      <c r="C1007">
        <f>IF($A1007="","",IF(ISNUMBER(Wages!$B1010),IF(AND(Wages!$B1010&gt;=10000101,Wages!$B1010&lt;=99991231),INT(Wages!$B1010/10000),""),IFERROR(VALUE(TRIM(LEFT(Wages!$B1010,FIND("/",Wages!$B1010)-1))),"")))</f>
        <v/>
      </c>
      <c r="D1007">
        <f>IF(OR($A1007="",$C1007=""),"",IF(ISNUMBER(Wages!$B1010),INT(MOD(Wages!$B1010,10000)/100),IFERROR(VALUE(TRIM(LEFT(MID(Wages!$B1010,FIND("/",Wages!$B1010)+1,20),FIND("/",MID(Wages!$B1010,FIND("/",Wages!$B1010)+1,20))-1))),"")))</f>
        <v/>
      </c>
      <c r="E1007">
        <f>IF(OR($A1007="",$C1007=""),"",IF(ISNUMBER(Wages!$B1010),MOD(Wages!$B1010,100),IFERROR(VALUE(TRIM(MID(MID(Wages!$B1010,FIND("/",Wages!$B1010)+1,20),FIND("/",MID(Wages!$B1010,FIND("/",Wages!$B1010)+1,20))+1,20))),"")))</f>
        <v/>
      </c>
      <c r="F1007">
        <f>IF($A1007="","",IF(OR($C1007="",$D1007="",$E1007="",$C1007&lt;1300,$C1007&gt;1500,$D1007&lt;1,$D1007&gt;12,$E1007&lt;1,$E1007&gt;31),"نامعتبر",RIGHT("0000"&amp;$C1007,4)&amp;"/"&amp;RIGHT("00"&amp;$D1007,2)&amp;"/"&amp;RIGHT("00"&amp;$E1007,2)))</f>
        <v/>
      </c>
      <c r="G1007">
        <f>IF(OR($A1007="",$F1007="",$F1007="نامعتبر"),"",LEFT($F1007,4)&amp;MID($F1007,6,2)&amp;RIGHT($F1007,2)&amp;"0000"&amp;"|"&amp;"1"&amp;RIGHT("00000"&amp;1002,5))</f>
        <v/>
      </c>
      <c r="H1007">
        <f>IF(OR($B1007&lt;&gt;1,$G1007=""),"",COUNTIFS(LdAParty,$A1007,LdAType,1,LdAKey,"&lt;"&amp;$G1007)+COUNTIFS(LdBMember,$A1007,LdBKey,"&lt;"&amp;$G1007)+COUNTIFS(LdCParty,$A1007,LdCKey,"&lt;"&amp;$G1007)+1)</f>
        <v/>
      </c>
      <c r="I1007">
        <f>IF($H1007="","",$A1007&amp;"|"&amp;RIGHT("000000"&amp;$H1007,6))</f>
        <v/>
      </c>
      <c r="J1007">
        <f>IF(OR($B1007&lt;&gt;2,$G1007=""),"",COUNTIFS(LdAParty,$A1007,LdAType,2,LdAKey,"&lt;"&amp;$G1007)+1)</f>
        <v/>
      </c>
      <c r="K1007">
        <f>IF($J1007="","",$A1007&amp;"|"&amp;RIGHT("000000"&amp;$J1007,6))</f>
        <v/>
      </c>
      <c r="L1007">
        <f>IF($A1007="","",IF(Wages!$G1010="",0,Wages!$G1010))</f>
        <v/>
      </c>
      <c r="M1007">
        <f>IF($A1007="","",Wages!$J1010)</f>
        <v/>
      </c>
      <c r="N1007">
        <f>IF($A1007="","",Wages!$D1010)</f>
        <v/>
      </c>
      <c r="P1007">
        <f>IF(OR(Shares!$B1010="",Shares!$C1010=""),"",Shares!$C1010)</f>
        <v/>
      </c>
      <c r="Q1007">
        <f>IF($P1007="","",Shares!$B1010)</f>
        <v/>
      </c>
      <c r="R1007">
        <f>IF($P1007="","",IFERROR(INDEX(WageParty,MATCH($Q1007,WageIds,0)),""))</f>
        <v/>
      </c>
      <c r="S1007">
        <f>IF($P1007="","",IFERROR(INDEX($F$6:$F$2005,MATCH($Q1007,WageIds,0)),""))</f>
        <v/>
      </c>
      <c r="T1007">
        <f>IF(OR($P1007="",$S1007="",$S1007="نامعتبر"),"",LEFT($S1007,4)&amp;MID($S1007,6,2)&amp;RIGHT($S1007,2)&amp;"0000"&amp;"|"&amp;"2"&amp;RIGHT("00000"&amp;1002,5))</f>
        <v/>
      </c>
      <c r="U1007">
        <f>IF($T1007="","",COUNTIFS(LdAParty,$P1007,LdAType,1,LdAKey,"&lt;"&amp;$T1007)+COUNTIFS(LdBMember,$P1007,LdBKey,"&lt;"&amp;$T1007)+COUNTIFS(LdCParty,$P1007,LdCKey,"&lt;"&amp;$T1007)+1)</f>
        <v/>
      </c>
      <c r="V1007">
        <f>IF($U1007="","",$P1007&amp;"|"&amp;RIGHT("000000"&amp;$U1007,6))</f>
        <v/>
      </c>
      <c r="W1007">
        <f>IF($T1007="","",COUNTIFS(LdBGroup,$R1007,LdBKey,"&lt;"&amp;$T1007)+1)</f>
        <v/>
      </c>
      <c r="X1007">
        <f>IF($W1007="","",$R1007&amp;"|"&amp;RIGHT("000000"&amp;$W1007,6))</f>
        <v/>
      </c>
      <c r="Y1007">
        <f>IF($P1007="","",IF(Shares!$E1010="",0,Shares!$E1010))</f>
        <v/>
      </c>
      <c r="Z1007">
        <f>IF($P1007="","",Shares!$H1010)</f>
        <v/>
      </c>
      <c r="AE1007">
        <f>IF(OR(Sync!$S1007="",Sync!$P1007=""),"",Sync!$S1007)</f>
        <v/>
      </c>
      <c r="AF1007">
        <f>IF($AE1007="","",IF(ISNUMBER(Sync!$P1007),IF(AND(Sync!$P1007&gt;=10000101,Sync!$P1007&lt;=99991231),INT(Sync!$P1007/10000),""),IFERROR(VALUE(TRIM(LEFT(Sync!$P1007,FIND("/",Sync!$P1007)-1))),"")))</f>
        <v/>
      </c>
      <c r="AG1007">
        <f>IF(OR($AE1007="",$AF1007=""),"",IF(ISNUMBER(Sync!$P1007),INT(MOD(Sync!$P1007,10000)/100),IFERROR(VALUE(TRIM(LEFT(MID(Sync!$P1007,FIND("/",Sync!$P1007)+1,20),FIND("/",MID(Sync!$P1007,FIND("/",Sync!$P1007)+1,20))-1))),"")))</f>
        <v/>
      </c>
      <c r="AH1007">
        <f>IF(OR($AE1007="",$AF1007=""),"",IF(ISNUMBER(Sync!$P1007),MOD(Sync!$P1007,100),IFERROR(VALUE(TRIM(MID(MID(Sync!$P1007,FIND("/",Sync!$P1007)+1,20),FIND("/",MID(Sync!$P1007,FIND("/",Sync!$P1007)+1,20))+1,20))),"")))</f>
        <v/>
      </c>
      <c r="AI1007">
        <f>IF($AE1007="","",IF(OR($AF1007="",$AG1007="",$AH1007="",$AF1007&lt;1300,$AF1007&gt;1500,$AG1007&lt;1,$AG1007&gt;12,$AH1007&lt;1,$AH1007&gt;31),"نامعتبر",RIGHT("0000"&amp;$AF1007,4)&amp;"/"&amp;RIGHT("00"&amp;$AG1007,2)&amp;"/"&amp;RIGHT("00"&amp;$AH1007,2)))</f>
        <v/>
      </c>
      <c r="AJ1007">
        <f>IF($AE1007="","",IF(Sync!$Q1007="","0000",IF(AND(ISNUMBER(Sync!$Q1007),Sync!$Q1007&gt;=0,Sync!$Q1007&lt;1),RIGHT("00"&amp;HOUR(Sync!$Q1007),2)&amp;RIGHT("00"&amp;MINUTE(Sync!$Q1007),2),IFERROR(RIGHT("00"&amp;VALUE(LEFT(Sync!$Q1007,FIND(":",Sync!$Q1007)-1)),2)&amp;RIGHT("00"&amp;VALUE(MID(Sync!$Q1007,FIND(":",Sync!$Q1007)+1,2)),2),"0000"))))</f>
        <v/>
      </c>
      <c r="AK1007">
        <f>IF(OR($AE1007="",$AI1007="",$AI1007="نامعتبر"),"",LEFT($AI1007,4)&amp;MID($AI1007,6,2)&amp;RIGHT($AI1007,2)&amp;$AJ1007&amp;"|"&amp;"3"&amp;RIGHT("00000"&amp;1002,5))</f>
        <v/>
      </c>
      <c r="AL1007">
        <f>IF($AK1007="","",COUNTIFS(LdAParty,$AE1007,LdAType,1,LdAKey,"&lt;"&amp;$AK1007)+COUNTIFS(LdBMember,$AE1007,LdBKey,"&lt;"&amp;$AK1007)+COUNTIFS(LdCParty,$AE1007,LdCKey,"&lt;"&amp;$AK1007)+1)</f>
        <v/>
      </c>
      <c r="AM1007">
        <f>IF($AL1007="","",$AE1007&amp;"|"&amp;RIGHT("000000"&amp;$AL1007,6))</f>
        <v/>
      </c>
      <c r="AN1007">
        <f>IF($AE1007="","",IF(Sync!$W1007="",0,Sync!$W1007))</f>
        <v/>
      </c>
      <c r="AO1007">
        <f>IF($AE1007="","",IF(Sync!$X1007="",0,Sync!$X1007))</f>
        <v/>
      </c>
      <c r="AP1007">
        <f>IF($AE1007="","",Sync!$R1007)</f>
        <v/>
      </c>
      <c r="AQ1007">
        <f>IF($AE1007="","",Sync!$Y1007)</f>
        <v/>
      </c>
    </row>
    <row r="1008">
      <c r="A1008">
        <f>IF(OR(Wages!$B1011="",Wages!$E1011=""),"",Wages!$E1011)</f>
        <v/>
      </c>
      <c r="B1008">
        <f>IF($A1008="","",IF(Wages!$C1011="دستمزد گروهی",2,1))</f>
        <v/>
      </c>
      <c r="C1008">
        <f>IF($A1008="","",IF(ISNUMBER(Wages!$B1011),IF(AND(Wages!$B1011&gt;=10000101,Wages!$B1011&lt;=99991231),INT(Wages!$B1011/10000),""),IFERROR(VALUE(TRIM(LEFT(Wages!$B1011,FIND("/",Wages!$B1011)-1))),"")))</f>
        <v/>
      </c>
      <c r="D1008">
        <f>IF(OR($A1008="",$C1008=""),"",IF(ISNUMBER(Wages!$B1011),INT(MOD(Wages!$B1011,10000)/100),IFERROR(VALUE(TRIM(LEFT(MID(Wages!$B1011,FIND("/",Wages!$B1011)+1,20),FIND("/",MID(Wages!$B1011,FIND("/",Wages!$B1011)+1,20))-1))),"")))</f>
        <v/>
      </c>
      <c r="E1008">
        <f>IF(OR($A1008="",$C1008=""),"",IF(ISNUMBER(Wages!$B1011),MOD(Wages!$B1011,100),IFERROR(VALUE(TRIM(MID(MID(Wages!$B1011,FIND("/",Wages!$B1011)+1,20),FIND("/",MID(Wages!$B1011,FIND("/",Wages!$B1011)+1,20))+1,20))),"")))</f>
        <v/>
      </c>
      <c r="F1008">
        <f>IF($A1008="","",IF(OR($C1008="",$D1008="",$E1008="",$C1008&lt;1300,$C1008&gt;1500,$D1008&lt;1,$D1008&gt;12,$E1008&lt;1,$E1008&gt;31),"نامعتبر",RIGHT("0000"&amp;$C1008,4)&amp;"/"&amp;RIGHT("00"&amp;$D1008,2)&amp;"/"&amp;RIGHT("00"&amp;$E1008,2)))</f>
        <v/>
      </c>
      <c r="G1008">
        <f>IF(OR($A1008="",$F1008="",$F1008="نامعتبر"),"",LEFT($F1008,4)&amp;MID($F1008,6,2)&amp;RIGHT($F1008,2)&amp;"0000"&amp;"|"&amp;"1"&amp;RIGHT("00000"&amp;1003,5))</f>
        <v/>
      </c>
      <c r="H1008">
        <f>IF(OR($B1008&lt;&gt;1,$G1008=""),"",COUNTIFS(LdAParty,$A1008,LdAType,1,LdAKey,"&lt;"&amp;$G1008)+COUNTIFS(LdBMember,$A1008,LdBKey,"&lt;"&amp;$G1008)+COUNTIFS(LdCParty,$A1008,LdCKey,"&lt;"&amp;$G1008)+1)</f>
        <v/>
      </c>
      <c r="I1008">
        <f>IF($H1008="","",$A1008&amp;"|"&amp;RIGHT("000000"&amp;$H1008,6))</f>
        <v/>
      </c>
      <c r="J1008">
        <f>IF(OR($B1008&lt;&gt;2,$G1008=""),"",COUNTIFS(LdAParty,$A1008,LdAType,2,LdAKey,"&lt;"&amp;$G1008)+1)</f>
        <v/>
      </c>
      <c r="K1008">
        <f>IF($J1008="","",$A1008&amp;"|"&amp;RIGHT("000000"&amp;$J1008,6))</f>
        <v/>
      </c>
      <c r="L1008">
        <f>IF($A1008="","",IF(Wages!$G1011="",0,Wages!$G1011))</f>
        <v/>
      </c>
      <c r="M1008">
        <f>IF($A1008="","",Wages!$J1011)</f>
        <v/>
      </c>
      <c r="N1008">
        <f>IF($A1008="","",Wages!$D1011)</f>
        <v/>
      </c>
      <c r="P1008">
        <f>IF(OR(Shares!$B1011="",Shares!$C1011=""),"",Shares!$C1011)</f>
        <v/>
      </c>
      <c r="Q1008">
        <f>IF($P1008="","",Shares!$B1011)</f>
        <v/>
      </c>
      <c r="R1008">
        <f>IF($P1008="","",IFERROR(INDEX(WageParty,MATCH($Q1008,WageIds,0)),""))</f>
        <v/>
      </c>
      <c r="S1008">
        <f>IF($P1008="","",IFERROR(INDEX($F$6:$F$2005,MATCH($Q1008,WageIds,0)),""))</f>
        <v/>
      </c>
      <c r="T1008">
        <f>IF(OR($P1008="",$S1008="",$S1008="نامعتبر"),"",LEFT($S1008,4)&amp;MID($S1008,6,2)&amp;RIGHT($S1008,2)&amp;"0000"&amp;"|"&amp;"2"&amp;RIGHT("00000"&amp;1003,5))</f>
        <v/>
      </c>
      <c r="U1008">
        <f>IF($T1008="","",COUNTIFS(LdAParty,$P1008,LdAType,1,LdAKey,"&lt;"&amp;$T1008)+COUNTIFS(LdBMember,$P1008,LdBKey,"&lt;"&amp;$T1008)+COUNTIFS(LdCParty,$P1008,LdCKey,"&lt;"&amp;$T1008)+1)</f>
        <v/>
      </c>
      <c r="V1008">
        <f>IF($U1008="","",$P1008&amp;"|"&amp;RIGHT("000000"&amp;$U1008,6))</f>
        <v/>
      </c>
      <c r="W1008">
        <f>IF($T1008="","",COUNTIFS(LdBGroup,$R1008,LdBKey,"&lt;"&amp;$T1008)+1)</f>
        <v/>
      </c>
      <c r="X1008">
        <f>IF($W1008="","",$R1008&amp;"|"&amp;RIGHT("000000"&amp;$W1008,6))</f>
        <v/>
      </c>
      <c r="Y1008">
        <f>IF($P1008="","",IF(Shares!$E1011="",0,Shares!$E1011))</f>
        <v/>
      </c>
      <c r="Z1008">
        <f>IF($P1008="","",Shares!$H1011)</f>
        <v/>
      </c>
      <c r="AE1008">
        <f>IF(OR(Sync!$S1008="",Sync!$P1008=""),"",Sync!$S1008)</f>
        <v/>
      </c>
      <c r="AF1008">
        <f>IF($AE1008="","",IF(ISNUMBER(Sync!$P1008),IF(AND(Sync!$P1008&gt;=10000101,Sync!$P1008&lt;=99991231),INT(Sync!$P1008/10000),""),IFERROR(VALUE(TRIM(LEFT(Sync!$P1008,FIND("/",Sync!$P1008)-1))),"")))</f>
        <v/>
      </c>
      <c r="AG1008">
        <f>IF(OR($AE1008="",$AF1008=""),"",IF(ISNUMBER(Sync!$P1008),INT(MOD(Sync!$P1008,10000)/100),IFERROR(VALUE(TRIM(LEFT(MID(Sync!$P1008,FIND("/",Sync!$P1008)+1,20),FIND("/",MID(Sync!$P1008,FIND("/",Sync!$P1008)+1,20))-1))),"")))</f>
        <v/>
      </c>
      <c r="AH1008">
        <f>IF(OR($AE1008="",$AF1008=""),"",IF(ISNUMBER(Sync!$P1008),MOD(Sync!$P1008,100),IFERROR(VALUE(TRIM(MID(MID(Sync!$P1008,FIND("/",Sync!$P1008)+1,20),FIND("/",MID(Sync!$P1008,FIND("/",Sync!$P1008)+1,20))+1,20))),"")))</f>
        <v/>
      </c>
      <c r="AI1008">
        <f>IF($AE1008="","",IF(OR($AF1008="",$AG1008="",$AH1008="",$AF1008&lt;1300,$AF1008&gt;1500,$AG1008&lt;1,$AG1008&gt;12,$AH1008&lt;1,$AH1008&gt;31),"نامعتبر",RIGHT("0000"&amp;$AF1008,4)&amp;"/"&amp;RIGHT("00"&amp;$AG1008,2)&amp;"/"&amp;RIGHT("00"&amp;$AH1008,2)))</f>
        <v/>
      </c>
      <c r="AJ1008">
        <f>IF($AE1008="","",IF(Sync!$Q1008="","0000",IF(AND(ISNUMBER(Sync!$Q1008),Sync!$Q1008&gt;=0,Sync!$Q1008&lt;1),RIGHT("00"&amp;HOUR(Sync!$Q1008),2)&amp;RIGHT("00"&amp;MINUTE(Sync!$Q1008),2),IFERROR(RIGHT("00"&amp;VALUE(LEFT(Sync!$Q1008,FIND(":",Sync!$Q1008)-1)),2)&amp;RIGHT("00"&amp;VALUE(MID(Sync!$Q1008,FIND(":",Sync!$Q1008)+1,2)),2),"0000"))))</f>
        <v/>
      </c>
      <c r="AK1008">
        <f>IF(OR($AE1008="",$AI1008="",$AI1008="نامعتبر"),"",LEFT($AI1008,4)&amp;MID($AI1008,6,2)&amp;RIGHT($AI1008,2)&amp;$AJ1008&amp;"|"&amp;"3"&amp;RIGHT("00000"&amp;1003,5))</f>
        <v/>
      </c>
      <c r="AL1008">
        <f>IF($AK1008="","",COUNTIFS(LdAParty,$AE1008,LdAType,1,LdAKey,"&lt;"&amp;$AK1008)+COUNTIFS(LdBMember,$AE1008,LdBKey,"&lt;"&amp;$AK1008)+COUNTIFS(LdCParty,$AE1008,LdCKey,"&lt;"&amp;$AK1008)+1)</f>
        <v/>
      </c>
      <c r="AM1008">
        <f>IF($AL1008="","",$AE1008&amp;"|"&amp;RIGHT("000000"&amp;$AL1008,6))</f>
        <v/>
      </c>
      <c r="AN1008">
        <f>IF($AE1008="","",IF(Sync!$W1008="",0,Sync!$W1008))</f>
        <v/>
      </c>
      <c r="AO1008">
        <f>IF($AE1008="","",IF(Sync!$X1008="",0,Sync!$X1008))</f>
        <v/>
      </c>
      <c r="AP1008">
        <f>IF($AE1008="","",Sync!$R1008)</f>
        <v/>
      </c>
      <c r="AQ1008">
        <f>IF($AE1008="","",Sync!$Y1008)</f>
        <v/>
      </c>
    </row>
    <row r="1009">
      <c r="A1009">
        <f>IF(OR(Wages!$B1012="",Wages!$E1012=""),"",Wages!$E1012)</f>
        <v/>
      </c>
      <c r="B1009">
        <f>IF($A1009="","",IF(Wages!$C1012="دستمزد گروهی",2,1))</f>
        <v/>
      </c>
      <c r="C1009">
        <f>IF($A1009="","",IF(ISNUMBER(Wages!$B1012),IF(AND(Wages!$B1012&gt;=10000101,Wages!$B1012&lt;=99991231),INT(Wages!$B1012/10000),""),IFERROR(VALUE(TRIM(LEFT(Wages!$B1012,FIND("/",Wages!$B1012)-1))),"")))</f>
        <v/>
      </c>
      <c r="D1009">
        <f>IF(OR($A1009="",$C1009=""),"",IF(ISNUMBER(Wages!$B1012),INT(MOD(Wages!$B1012,10000)/100),IFERROR(VALUE(TRIM(LEFT(MID(Wages!$B1012,FIND("/",Wages!$B1012)+1,20),FIND("/",MID(Wages!$B1012,FIND("/",Wages!$B1012)+1,20))-1))),"")))</f>
        <v/>
      </c>
      <c r="E1009">
        <f>IF(OR($A1009="",$C1009=""),"",IF(ISNUMBER(Wages!$B1012),MOD(Wages!$B1012,100),IFERROR(VALUE(TRIM(MID(MID(Wages!$B1012,FIND("/",Wages!$B1012)+1,20),FIND("/",MID(Wages!$B1012,FIND("/",Wages!$B1012)+1,20))+1,20))),"")))</f>
        <v/>
      </c>
      <c r="F1009">
        <f>IF($A1009="","",IF(OR($C1009="",$D1009="",$E1009="",$C1009&lt;1300,$C1009&gt;1500,$D1009&lt;1,$D1009&gt;12,$E1009&lt;1,$E1009&gt;31),"نامعتبر",RIGHT("0000"&amp;$C1009,4)&amp;"/"&amp;RIGHT("00"&amp;$D1009,2)&amp;"/"&amp;RIGHT("00"&amp;$E1009,2)))</f>
        <v/>
      </c>
      <c r="G1009">
        <f>IF(OR($A1009="",$F1009="",$F1009="نامعتبر"),"",LEFT($F1009,4)&amp;MID($F1009,6,2)&amp;RIGHT($F1009,2)&amp;"0000"&amp;"|"&amp;"1"&amp;RIGHT("00000"&amp;1004,5))</f>
        <v/>
      </c>
      <c r="H1009">
        <f>IF(OR($B1009&lt;&gt;1,$G1009=""),"",COUNTIFS(LdAParty,$A1009,LdAType,1,LdAKey,"&lt;"&amp;$G1009)+COUNTIFS(LdBMember,$A1009,LdBKey,"&lt;"&amp;$G1009)+COUNTIFS(LdCParty,$A1009,LdCKey,"&lt;"&amp;$G1009)+1)</f>
        <v/>
      </c>
      <c r="I1009">
        <f>IF($H1009="","",$A1009&amp;"|"&amp;RIGHT("000000"&amp;$H1009,6))</f>
        <v/>
      </c>
      <c r="J1009">
        <f>IF(OR($B1009&lt;&gt;2,$G1009=""),"",COUNTIFS(LdAParty,$A1009,LdAType,2,LdAKey,"&lt;"&amp;$G1009)+1)</f>
        <v/>
      </c>
      <c r="K1009">
        <f>IF($J1009="","",$A1009&amp;"|"&amp;RIGHT("000000"&amp;$J1009,6))</f>
        <v/>
      </c>
      <c r="L1009">
        <f>IF($A1009="","",IF(Wages!$G1012="",0,Wages!$G1012))</f>
        <v/>
      </c>
      <c r="M1009">
        <f>IF($A1009="","",Wages!$J1012)</f>
        <v/>
      </c>
      <c r="N1009">
        <f>IF($A1009="","",Wages!$D1012)</f>
        <v/>
      </c>
      <c r="P1009">
        <f>IF(OR(Shares!$B1012="",Shares!$C1012=""),"",Shares!$C1012)</f>
        <v/>
      </c>
      <c r="Q1009">
        <f>IF($P1009="","",Shares!$B1012)</f>
        <v/>
      </c>
      <c r="R1009">
        <f>IF($P1009="","",IFERROR(INDEX(WageParty,MATCH($Q1009,WageIds,0)),""))</f>
        <v/>
      </c>
      <c r="S1009">
        <f>IF($P1009="","",IFERROR(INDEX($F$6:$F$2005,MATCH($Q1009,WageIds,0)),""))</f>
        <v/>
      </c>
      <c r="T1009">
        <f>IF(OR($P1009="",$S1009="",$S1009="نامعتبر"),"",LEFT($S1009,4)&amp;MID($S1009,6,2)&amp;RIGHT($S1009,2)&amp;"0000"&amp;"|"&amp;"2"&amp;RIGHT("00000"&amp;1004,5))</f>
        <v/>
      </c>
      <c r="U1009">
        <f>IF($T1009="","",COUNTIFS(LdAParty,$P1009,LdAType,1,LdAKey,"&lt;"&amp;$T1009)+COUNTIFS(LdBMember,$P1009,LdBKey,"&lt;"&amp;$T1009)+COUNTIFS(LdCParty,$P1009,LdCKey,"&lt;"&amp;$T1009)+1)</f>
        <v/>
      </c>
      <c r="V1009">
        <f>IF($U1009="","",$P1009&amp;"|"&amp;RIGHT("000000"&amp;$U1009,6))</f>
        <v/>
      </c>
      <c r="W1009">
        <f>IF($T1009="","",COUNTIFS(LdBGroup,$R1009,LdBKey,"&lt;"&amp;$T1009)+1)</f>
        <v/>
      </c>
      <c r="X1009">
        <f>IF($W1009="","",$R1009&amp;"|"&amp;RIGHT("000000"&amp;$W1009,6))</f>
        <v/>
      </c>
      <c r="Y1009">
        <f>IF($P1009="","",IF(Shares!$E1012="",0,Shares!$E1012))</f>
        <v/>
      </c>
      <c r="Z1009">
        <f>IF($P1009="","",Shares!$H1012)</f>
        <v/>
      </c>
      <c r="AE1009">
        <f>IF(OR(Sync!$S1009="",Sync!$P1009=""),"",Sync!$S1009)</f>
        <v/>
      </c>
      <c r="AF1009">
        <f>IF($AE1009="","",IF(ISNUMBER(Sync!$P1009),IF(AND(Sync!$P1009&gt;=10000101,Sync!$P1009&lt;=99991231),INT(Sync!$P1009/10000),""),IFERROR(VALUE(TRIM(LEFT(Sync!$P1009,FIND("/",Sync!$P1009)-1))),"")))</f>
        <v/>
      </c>
      <c r="AG1009">
        <f>IF(OR($AE1009="",$AF1009=""),"",IF(ISNUMBER(Sync!$P1009),INT(MOD(Sync!$P1009,10000)/100),IFERROR(VALUE(TRIM(LEFT(MID(Sync!$P1009,FIND("/",Sync!$P1009)+1,20),FIND("/",MID(Sync!$P1009,FIND("/",Sync!$P1009)+1,20))-1))),"")))</f>
        <v/>
      </c>
      <c r="AH1009">
        <f>IF(OR($AE1009="",$AF1009=""),"",IF(ISNUMBER(Sync!$P1009),MOD(Sync!$P1009,100),IFERROR(VALUE(TRIM(MID(MID(Sync!$P1009,FIND("/",Sync!$P1009)+1,20),FIND("/",MID(Sync!$P1009,FIND("/",Sync!$P1009)+1,20))+1,20))),"")))</f>
        <v/>
      </c>
      <c r="AI1009">
        <f>IF($AE1009="","",IF(OR($AF1009="",$AG1009="",$AH1009="",$AF1009&lt;1300,$AF1009&gt;1500,$AG1009&lt;1,$AG1009&gt;12,$AH1009&lt;1,$AH1009&gt;31),"نامعتبر",RIGHT("0000"&amp;$AF1009,4)&amp;"/"&amp;RIGHT("00"&amp;$AG1009,2)&amp;"/"&amp;RIGHT("00"&amp;$AH1009,2)))</f>
        <v/>
      </c>
      <c r="AJ1009">
        <f>IF($AE1009="","",IF(Sync!$Q1009="","0000",IF(AND(ISNUMBER(Sync!$Q1009),Sync!$Q1009&gt;=0,Sync!$Q1009&lt;1),RIGHT("00"&amp;HOUR(Sync!$Q1009),2)&amp;RIGHT("00"&amp;MINUTE(Sync!$Q1009),2),IFERROR(RIGHT("00"&amp;VALUE(LEFT(Sync!$Q1009,FIND(":",Sync!$Q1009)-1)),2)&amp;RIGHT("00"&amp;VALUE(MID(Sync!$Q1009,FIND(":",Sync!$Q1009)+1,2)),2),"0000"))))</f>
        <v/>
      </c>
      <c r="AK1009">
        <f>IF(OR($AE1009="",$AI1009="",$AI1009="نامعتبر"),"",LEFT($AI1009,4)&amp;MID($AI1009,6,2)&amp;RIGHT($AI1009,2)&amp;$AJ1009&amp;"|"&amp;"3"&amp;RIGHT("00000"&amp;1004,5))</f>
        <v/>
      </c>
      <c r="AL1009">
        <f>IF($AK1009="","",COUNTIFS(LdAParty,$AE1009,LdAType,1,LdAKey,"&lt;"&amp;$AK1009)+COUNTIFS(LdBMember,$AE1009,LdBKey,"&lt;"&amp;$AK1009)+COUNTIFS(LdCParty,$AE1009,LdCKey,"&lt;"&amp;$AK1009)+1)</f>
        <v/>
      </c>
      <c r="AM1009">
        <f>IF($AL1009="","",$AE1009&amp;"|"&amp;RIGHT("000000"&amp;$AL1009,6))</f>
        <v/>
      </c>
      <c r="AN1009">
        <f>IF($AE1009="","",IF(Sync!$W1009="",0,Sync!$W1009))</f>
        <v/>
      </c>
      <c r="AO1009">
        <f>IF($AE1009="","",IF(Sync!$X1009="",0,Sync!$X1009))</f>
        <v/>
      </c>
      <c r="AP1009">
        <f>IF($AE1009="","",Sync!$R1009)</f>
        <v/>
      </c>
      <c r="AQ1009">
        <f>IF($AE1009="","",Sync!$Y1009)</f>
        <v/>
      </c>
    </row>
    <row r="1010">
      <c r="A1010">
        <f>IF(OR(Wages!$B1013="",Wages!$E1013=""),"",Wages!$E1013)</f>
        <v/>
      </c>
      <c r="B1010">
        <f>IF($A1010="","",IF(Wages!$C1013="دستمزد گروهی",2,1))</f>
        <v/>
      </c>
      <c r="C1010">
        <f>IF($A1010="","",IF(ISNUMBER(Wages!$B1013),IF(AND(Wages!$B1013&gt;=10000101,Wages!$B1013&lt;=99991231),INT(Wages!$B1013/10000),""),IFERROR(VALUE(TRIM(LEFT(Wages!$B1013,FIND("/",Wages!$B1013)-1))),"")))</f>
        <v/>
      </c>
      <c r="D1010">
        <f>IF(OR($A1010="",$C1010=""),"",IF(ISNUMBER(Wages!$B1013),INT(MOD(Wages!$B1013,10000)/100),IFERROR(VALUE(TRIM(LEFT(MID(Wages!$B1013,FIND("/",Wages!$B1013)+1,20),FIND("/",MID(Wages!$B1013,FIND("/",Wages!$B1013)+1,20))-1))),"")))</f>
        <v/>
      </c>
      <c r="E1010">
        <f>IF(OR($A1010="",$C1010=""),"",IF(ISNUMBER(Wages!$B1013),MOD(Wages!$B1013,100),IFERROR(VALUE(TRIM(MID(MID(Wages!$B1013,FIND("/",Wages!$B1013)+1,20),FIND("/",MID(Wages!$B1013,FIND("/",Wages!$B1013)+1,20))+1,20))),"")))</f>
        <v/>
      </c>
      <c r="F1010">
        <f>IF($A1010="","",IF(OR($C1010="",$D1010="",$E1010="",$C1010&lt;1300,$C1010&gt;1500,$D1010&lt;1,$D1010&gt;12,$E1010&lt;1,$E1010&gt;31),"نامعتبر",RIGHT("0000"&amp;$C1010,4)&amp;"/"&amp;RIGHT("00"&amp;$D1010,2)&amp;"/"&amp;RIGHT("00"&amp;$E1010,2)))</f>
        <v/>
      </c>
      <c r="G1010">
        <f>IF(OR($A1010="",$F1010="",$F1010="نامعتبر"),"",LEFT($F1010,4)&amp;MID($F1010,6,2)&amp;RIGHT($F1010,2)&amp;"0000"&amp;"|"&amp;"1"&amp;RIGHT("00000"&amp;1005,5))</f>
        <v/>
      </c>
      <c r="H1010">
        <f>IF(OR($B1010&lt;&gt;1,$G1010=""),"",COUNTIFS(LdAParty,$A1010,LdAType,1,LdAKey,"&lt;"&amp;$G1010)+COUNTIFS(LdBMember,$A1010,LdBKey,"&lt;"&amp;$G1010)+COUNTIFS(LdCParty,$A1010,LdCKey,"&lt;"&amp;$G1010)+1)</f>
        <v/>
      </c>
      <c r="I1010">
        <f>IF($H1010="","",$A1010&amp;"|"&amp;RIGHT("000000"&amp;$H1010,6))</f>
        <v/>
      </c>
      <c r="J1010">
        <f>IF(OR($B1010&lt;&gt;2,$G1010=""),"",COUNTIFS(LdAParty,$A1010,LdAType,2,LdAKey,"&lt;"&amp;$G1010)+1)</f>
        <v/>
      </c>
      <c r="K1010">
        <f>IF($J1010="","",$A1010&amp;"|"&amp;RIGHT("000000"&amp;$J1010,6))</f>
        <v/>
      </c>
      <c r="L1010">
        <f>IF($A1010="","",IF(Wages!$G1013="",0,Wages!$G1013))</f>
        <v/>
      </c>
      <c r="M1010">
        <f>IF($A1010="","",Wages!$J1013)</f>
        <v/>
      </c>
      <c r="N1010">
        <f>IF($A1010="","",Wages!$D1013)</f>
        <v/>
      </c>
      <c r="P1010">
        <f>IF(OR(Shares!$B1013="",Shares!$C1013=""),"",Shares!$C1013)</f>
        <v/>
      </c>
      <c r="Q1010">
        <f>IF($P1010="","",Shares!$B1013)</f>
        <v/>
      </c>
      <c r="R1010">
        <f>IF($P1010="","",IFERROR(INDEX(WageParty,MATCH($Q1010,WageIds,0)),""))</f>
        <v/>
      </c>
      <c r="S1010">
        <f>IF($P1010="","",IFERROR(INDEX($F$6:$F$2005,MATCH($Q1010,WageIds,0)),""))</f>
        <v/>
      </c>
      <c r="T1010">
        <f>IF(OR($P1010="",$S1010="",$S1010="نامعتبر"),"",LEFT($S1010,4)&amp;MID($S1010,6,2)&amp;RIGHT($S1010,2)&amp;"0000"&amp;"|"&amp;"2"&amp;RIGHT("00000"&amp;1005,5))</f>
        <v/>
      </c>
      <c r="U1010">
        <f>IF($T1010="","",COUNTIFS(LdAParty,$P1010,LdAType,1,LdAKey,"&lt;"&amp;$T1010)+COUNTIFS(LdBMember,$P1010,LdBKey,"&lt;"&amp;$T1010)+COUNTIFS(LdCParty,$P1010,LdCKey,"&lt;"&amp;$T1010)+1)</f>
        <v/>
      </c>
      <c r="V1010">
        <f>IF($U1010="","",$P1010&amp;"|"&amp;RIGHT("000000"&amp;$U1010,6))</f>
        <v/>
      </c>
      <c r="W1010">
        <f>IF($T1010="","",COUNTIFS(LdBGroup,$R1010,LdBKey,"&lt;"&amp;$T1010)+1)</f>
        <v/>
      </c>
      <c r="X1010">
        <f>IF($W1010="","",$R1010&amp;"|"&amp;RIGHT("000000"&amp;$W1010,6))</f>
        <v/>
      </c>
      <c r="Y1010">
        <f>IF($P1010="","",IF(Shares!$E1013="",0,Shares!$E1013))</f>
        <v/>
      </c>
      <c r="Z1010">
        <f>IF($P1010="","",Shares!$H1013)</f>
        <v/>
      </c>
      <c r="AE1010">
        <f>IF(OR(Sync!$S1010="",Sync!$P1010=""),"",Sync!$S1010)</f>
        <v/>
      </c>
      <c r="AF1010">
        <f>IF($AE1010="","",IF(ISNUMBER(Sync!$P1010),IF(AND(Sync!$P1010&gt;=10000101,Sync!$P1010&lt;=99991231),INT(Sync!$P1010/10000),""),IFERROR(VALUE(TRIM(LEFT(Sync!$P1010,FIND("/",Sync!$P1010)-1))),"")))</f>
        <v/>
      </c>
      <c r="AG1010">
        <f>IF(OR($AE1010="",$AF1010=""),"",IF(ISNUMBER(Sync!$P1010),INT(MOD(Sync!$P1010,10000)/100),IFERROR(VALUE(TRIM(LEFT(MID(Sync!$P1010,FIND("/",Sync!$P1010)+1,20),FIND("/",MID(Sync!$P1010,FIND("/",Sync!$P1010)+1,20))-1))),"")))</f>
        <v/>
      </c>
      <c r="AH1010">
        <f>IF(OR($AE1010="",$AF1010=""),"",IF(ISNUMBER(Sync!$P1010),MOD(Sync!$P1010,100),IFERROR(VALUE(TRIM(MID(MID(Sync!$P1010,FIND("/",Sync!$P1010)+1,20),FIND("/",MID(Sync!$P1010,FIND("/",Sync!$P1010)+1,20))+1,20))),"")))</f>
        <v/>
      </c>
      <c r="AI1010">
        <f>IF($AE1010="","",IF(OR($AF1010="",$AG1010="",$AH1010="",$AF1010&lt;1300,$AF1010&gt;1500,$AG1010&lt;1,$AG1010&gt;12,$AH1010&lt;1,$AH1010&gt;31),"نامعتبر",RIGHT("0000"&amp;$AF1010,4)&amp;"/"&amp;RIGHT("00"&amp;$AG1010,2)&amp;"/"&amp;RIGHT("00"&amp;$AH1010,2)))</f>
        <v/>
      </c>
      <c r="AJ1010">
        <f>IF($AE1010="","",IF(Sync!$Q1010="","0000",IF(AND(ISNUMBER(Sync!$Q1010),Sync!$Q1010&gt;=0,Sync!$Q1010&lt;1),RIGHT("00"&amp;HOUR(Sync!$Q1010),2)&amp;RIGHT("00"&amp;MINUTE(Sync!$Q1010),2),IFERROR(RIGHT("00"&amp;VALUE(LEFT(Sync!$Q1010,FIND(":",Sync!$Q1010)-1)),2)&amp;RIGHT("00"&amp;VALUE(MID(Sync!$Q1010,FIND(":",Sync!$Q1010)+1,2)),2),"0000"))))</f>
        <v/>
      </c>
      <c r="AK1010">
        <f>IF(OR($AE1010="",$AI1010="",$AI1010="نامعتبر"),"",LEFT($AI1010,4)&amp;MID($AI1010,6,2)&amp;RIGHT($AI1010,2)&amp;$AJ1010&amp;"|"&amp;"3"&amp;RIGHT("00000"&amp;1005,5))</f>
        <v/>
      </c>
      <c r="AL1010">
        <f>IF($AK1010="","",COUNTIFS(LdAParty,$AE1010,LdAType,1,LdAKey,"&lt;"&amp;$AK1010)+COUNTIFS(LdBMember,$AE1010,LdBKey,"&lt;"&amp;$AK1010)+COUNTIFS(LdCParty,$AE1010,LdCKey,"&lt;"&amp;$AK1010)+1)</f>
        <v/>
      </c>
      <c r="AM1010">
        <f>IF($AL1010="","",$AE1010&amp;"|"&amp;RIGHT("000000"&amp;$AL1010,6))</f>
        <v/>
      </c>
      <c r="AN1010">
        <f>IF($AE1010="","",IF(Sync!$W1010="",0,Sync!$W1010))</f>
        <v/>
      </c>
      <c r="AO1010">
        <f>IF($AE1010="","",IF(Sync!$X1010="",0,Sync!$X1010))</f>
        <v/>
      </c>
      <c r="AP1010">
        <f>IF($AE1010="","",Sync!$R1010)</f>
        <v/>
      </c>
      <c r="AQ1010">
        <f>IF($AE1010="","",Sync!$Y1010)</f>
        <v/>
      </c>
    </row>
    <row r="1011">
      <c r="A1011">
        <f>IF(OR(Wages!$B1014="",Wages!$E1014=""),"",Wages!$E1014)</f>
        <v/>
      </c>
      <c r="B1011">
        <f>IF($A1011="","",IF(Wages!$C1014="دستمزد گروهی",2,1))</f>
        <v/>
      </c>
      <c r="C1011">
        <f>IF($A1011="","",IF(ISNUMBER(Wages!$B1014),IF(AND(Wages!$B1014&gt;=10000101,Wages!$B1014&lt;=99991231),INT(Wages!$B1014/10000),""),IFERROR(VALUE(TRIM(LEFT(Wages!$B1014,FIND("/",Wages!$B1014)-1))),"")))</f>
        <v/>
      </c>
      <c r="D1011">
        <f>IF(OR($A1011="",$C1011=""),"",IF(ISNUMBER(Wages!$B1014),INT(MOD(Wages!$B1014,10000)/100),IFERROR(VALUE(TRIM(LEFT(MID(Wages!$B1014,FIND("/",Wages!$B1014)+1,20),FIND("/",MID(Wages!$B1014,FIND("/",Wages!$B1014)+1,20))-1))),"")))</f>
        <v/>
      </c>
      <c r="E1011">
        <f>IF(OR($A1011="",$C1011=""),"",IF(ISNUMBER(Wages!$B1014),MOD(Wages!$B1014,100),IFERROR(VALUE(TRIM(MID(MID(Wages!$B1014,FIND("/",Wages!$B1014)+1,20),FIND("/",MID(Wages!$B1014,FIND("/",Wages!$B1014)+1,20))+1,20))),"")))</f>
        <v/>
      </c>
      <c r="F1011">
        <f>IF($A1011="","",IF(OR($C1011="",$D1011="",$E1011="",$C1011&lt;1300,$C1011&gt;1500,$D1011&lt;1,$D1011&gt;12,$E1011&lt;1,$E1011&gt;31),"نامعتبر",RIGHT("0000"&amp;$C1011,4)&amp;"/"&amp;RIGHT("00"&amp;$D1011,2)&amp;"/"&amp;RIGHT("00"&amp;$E1011,2)))</f>
        <v/>
      </c>
      <c r="G1011">
        <f>IF(OR($A1011="",$F1011="",$F1011="نامعتبر"),"",LEFT($F1011,4)&amp;MID($F1011,6,2)&amp;RIGHT($F1011,2)&amp;"0000"&amp;"|"&amp;"1"&amp;RIGHT("00000"&amp;1006,5))</f>
        <v/>
      </c>
      <c r="H1011">
        <f>IF(OR($B1011&lt;&gt;1,$G1011=""),"",COUNTIFS(LdAParty,$A1011,LdAType,1,LdAKey,"&lt;"&amp;$G1011)+COUNTIFS(LdBMember,$A1011,LdBKey,"&lt;"&amp;$G1011)+COUNTIFS(LdCParty,$A1011,LdCKey,"&lt;"&amp;$G1011)+1)</f>
        <v/>
      </c>
      <c r="I1011">
        <f>IF($H1011="","",$A1011&amp;"|"&amp;RIGHT("000000"&amp;$H1011,6))</f>
        <v/>
      </c>
      <c r="J1011">
        <f>IF(OR($B1011&lt;&gt;2,$G1011=""),"",COUNTIFS(LdAParty,$A1011,LdAType,2,LdAKey,"&lt;"&amp;$G1011)+1)</f>
        <v/>
      </c>
      <c r="K1011">
        <f>IF($J1011="","",$A1011&amp;"|"&amp;RIGHT("000000"&amp;$J1011,6))</f>
        <v/>
      </c>
      <c r="L1011">
        <f>IF($A1011="","",IF(Wages!$G1014="",0,Wages!$G1014))</f>
        <v/>
      </c>
      <c r="M1011">
        <f>IF($A1011="","",Wages!$J1014)</f>
        <v/>
      </c>
      <c r="N1011">
        <f>IF($A1011="","",Wages!$D1014)</f>
        <v/>
      </c>
      <c r="P1011">
        <f>IF(OR(Shares!$B1014="",Shares!$C1014=""),"",Shares!$C1014)</f>
        <v/>
      </c>
      <c r="Q1011">
        <f>IF($P1011="","",Shares!$B1014)</f>
        <v/>
      </c>
      <c r="R1011">
        <f>IF($P1011="","",IFERROR(INDEX(WageParty,MATCH($Q1011,WageIds,0)),""))</f>
        <v/>
      </c>
      <c r="S1011">
        <f>IF($P1011="","",IFERROR(INDEX($F$6:$F$2005,MATCH($Q1011,WageIds,0)),""))</f>
        <v/>
      </c>
      <c r="T1011">
        <f>IF(OR($P1011="",$S1011="",$S1011="نامعتبر"),"",LEFT($S1011,4)&amp;MID($S1011,6,2)&amp;RIGHT($S1011,2)&amp;"0000"&amp;"|"&amp;"2"&amp;RIGHT("00000"&amp;1006,5))</f>
        <v/>
      </c>
      <c r="U1011">
        <f>IF($T1011="","",COUNTIFS(LdAParty,$P1011,LdAType,1,LdAKey,"&lt;"&amp;$T1011)+COUNTIFS(LdBMember,$P1011,LdBKey,"&lt;"&amp;$T1011)+COUNTIFS(LdCParty,$P1011,LdCKey,"&lt;"&amp;$T1011)+1)</f>
        <v/>
      </c>
      <c r="V1011">
        <f>IF($U1011="","",$P1011&amp;"|"&amp;RIGHT("000000"&amp;$U1011,6))</f>
        <v/>
      </c>
      <c r="W1011">
        <f>IF($T1011="","",COUNTIFS(LdBGroup,$R1011,LdBKey,"&lt;"&amp;$T1011)+1)</f>
        <v/>
      </c>
      <c r="X1011">
        <f>IF($W1011="","",$R1011&amp;"|"&amp;RIGHT("000000"&amp;$W1011,6))</f>
        <v/>
      </c>
      <c r="Y1011">
        <f>IF($P1011="","",IF(Shares!$E1014="",0,Shares!$E1014))</f>
        <v/>
      </c>
      <c r="Z1011">
        <f>IF($P1011="","",Shares!$H1014)</f>
        <v/>
      </c>
      <c r="AE1011">
        <f>IF(OR(Sync!$S1011="",Sync!$P1011=""),"",Sync!$S1011)</f>
        <v/>
      </c>
      <c r="AF1011">
        <f>IF($AE1011="","",IF(ISNUMBER(Sync!$P1011),IF(AND(Sync!$P1011&gt;=10000101,Sync!$P1011&lt;=99991231),INT(Sync!$P1011/10000),""),IFERROR(VALUE(TRIM(LEFT(Sync!$P1011,FIND("/",Sync!$P1011)-1))),"")))</f>
        <v/>
      </c>
      <c r="AG1011">
        <f>IF(OR($AE1011="",$AF1011=""),"",IF(ISNUMBER(Sync!$P1011),INT(MOD(Sync!$P1011,10000)/100),IFERROR(VALUE(TRIM(LEFT(MID(Sync!$P1011,FIND("/",Sync!$P1011)+1,20),FIND("/",MID(Sync!$P1011,FIND("/",Sync!$P1011)+1,20))-1))),"")))</f>
        <v/>
      </c>
      <c r="AH1011">
        <f>IF(OR($AE1011="",$AF1011=""),"",IF(ISNUMBER(Sync!$P1011),MOD(Sync!$P1011,100),IFERROR(VALUE(TRIM(MID(MID(Sync!$P1011,FIND("/",Sync!$P1011)+1,20),FIND("/",MID(Sync!$P1011,FIND("/",Sync!$P1011)+1,20))+1,20))),"")))</f>
        <v/>
      </c>
      <c r="AI1011">
        <f>IF($AE1011="","",IF(OR($AF1011="",$AG1011="",$AH1011="",$AF1011&lt;1300,$AF1011&gt;1500,$AG1011&lt;1,$AG1011&gt;12,$AH1011&lt;1,$AH1011&gt;31),"نامعتبر",RIGHT("0000"&amp;$AF1011,4)&amp;"/"&amp;RIGHT("00"&amp;$AG1011,2)&amp;"/"&amp;RIGHT("00"&amp;$AH1011,2)))</f>
        <v/>
      </c>
      <c r="AJ1011">
        <f>IF($AE1011="","",IF(Sync!$Q1011="","0000",IF(AND(ISNUMBER(Sync!$Q1011),Sync!$Q1011&gt;=0,Sync!$Q1011&lt;1),RIGHT("00"&amp;HOUR(Sync!$Q1011),2)&amp;RIGHT("00"&amp;MINUTE(Sync!$Q1011),2),IFERROR(RIGHT("00"&amp;VALUE(LEFT(Sync!$Q1011,FIND(":",Sync!$Q1011)-1)),2)&amp;RIGHT("00"&amp;VALUE(MID(Sync!$Q1011,FIND(":",Sync!$Q1011)+1,2)),2),"0000"))))</f>
        <v/>
      </c>
      <c r="AK1011">
        <f>IF(OR($AE1011="",$AI1011="",$AI1011="نامعتبر"),"",LEFT($AI1011,4)&amp;MID($AI1011,6,2)&amp;RIGHT($AI1011,2)&amp;$AJ1011&amp;"|"&amp;"3"&amp;RIGHT("00000"&amp;1006,5))</f>
        <v/>
      </c>
      <c r="AL1011">
        <f>IF($AK1011="","",COUNTIFS(LdAParty,$AE1011,LdAType,1,LdAKey,"&lt;"&amp;$AK1011)+COUNTIFS(LdBMember,$AE1011,LdBKey,"&lt;"&amp;$AK1011)+COUNTIFS(LdCParty,$AE1011,LdCKey,"&lt;"&amp;$AK1011)+1)</f>
        <v/>
      </c>
      <c r="AM1011">
        <f>IF($AL1011="","",$AE1011&amp;"|"&amp;RIGHT("000000"&amp;$AL1011,6))</f>
        <v/>
      </c>
      <c r="AN1011">
        <f>IF($AE1011="","",IF(Sync!$W1011="",0,Sync!$W1011))</f>
        <v/>
      </c>
      <c r="AO1011">
        <f>IF($AE1011="","",IF(Sync!$X1011="",0,Sync!$X1011))</f>
        <v/>
      </c>
      <c r="AP1011">
        <f>IF($AE1011="","",Sync!$R1011)</f>
        <v/>
      </c>
      <c r="AQ1011">
        <f>IF($AE1011="","",Sync!$Y1011)</f>
        <v/>
      </c>
    </row>
    <row r="1012">
      <c r="A1012">
        <f>IF(OR(Wages!$B1015="",Wages!$E1015=""),"",Wages!$E1015)</f>
        <v/>
      </c>
      <c r="B1012">
        <f>IF($A1012="","",IF(Wages!$C1015="دستمزد گروهی",2,1))</f>
        <v/>
      </c>
      <c r="C1012">
        <f>IF($A1012="","",IF(ISNUMBER(Wages!$B1015),IF(AND(Wages!$B1015&gt;=10000101,Wages!$B1015&lt;=99991231),INT(Wages!$B1015/10000),""),IFERROR(VALUE(TRIM(LEFT(Wages!$B1015,FIND("/",Wages!$B1015)-1))),"")))</f>
        <v/>
      </c>
      <c r="D1012">
        <f>IF(OR($A1012="",$C1012=""),"",IF(ISNUMBER(Wages!$B1015),INT(MOD(Wages!$B1015,10000)/100),IFERROR(VALUE(TRIM(LEFT(MID(Wages!$B1015,FIND("/",Wages!$B1015)+1,20),FIND("/",MID(Wages!$B1015,FIND("/",Wages!$B1015)+1,20))-1))),"")))</f>
        <v/>
      </c>
      <c r="E1012">
        <f>IF(OR($A1012="",$C1012=""),"",IF(ISNUMBER(Wages!$B1015),MOD(Wages!$B1015,100),IFERROR(VALUE(TRIM(MID(MID(Wages!$B1015,FIND("/",Wages!$B1015)+1,20),FIND("/",MID(Wages!$B1015,FIND("/",Wages!$B1015)+1,20))+1,20))),"")))</f>
        <v/>
      </c>
      <c r="F1012">
        <f>IF($A1012="","",IF(OR($C1012="",$D1012="",$E1012="",$C1012&lt;1300,$C1012&gt;1500,$D1012&lt;1,$D1012&gt;12,$E1012&lt;1,$E1012&gt;31),"نامعتبر",RIGHT("0000"&amp;$C1012,4)&amp;"/"&amp;RIGHT("00"&amp;$D1012,2)&amp;"/"&amp;RIGHT("00"&amp;$E1012,2)))</f>
        <v/>
      </c>
      <c r="G1012">
        <f>IF(OR($A1012="",$F1012="",$F1012="نامعتبر"),"",LEFT($F1012,4)&amp;MID($F1012,6,2)&amp;RIGHT($F1012,2)&amp;"0000"&amp;"|"&amp;"1"&amp;RIGHT("00000"&amp;1007,5))</f>
        <v/>
      </c>
      <c r="H1012">
        <f>IF(OR($B1012&lt;&gt;1,$G1012=""),"",COUNTIFS(LdAParty,$A1012,LdAType,1,LdAKey,"&lt;"&amp;$G1012)+COUNTIFS(LdBMember,$A1012,LdBKey,"&lt;"&amp;$G1012)+COUNTIFS(LdCParty,$A1012,LdCKey,"&lt;"&amp;$G1012)+1)</f>
        <v/>
      </c>
      <c r="I1012">
        <f>IF($H1012="","",$A1012&amp;"|"&amp;RIGHT("000000"&amp;$H1012,6))</f>
        <v/>
      </c>
      <c r="J1012">
        <f>IF(OR($B1012&lt;&gt;2,$G1012=""),"",COUNTIFS(LdAParty,$A1012,LdAType,2,LdAKey,"&lt;"&amp;$G1012)+1)</f>
        <v/>
      </c>
      <c r="K1012">
        <f>IF($J1012="","",$A1012&amp;"|"&amp;RIGHT("000000"&amp;$J1012,6))</f>
        <v/>
      </c>
      <c r="L1012">
        <f>IF($A1012="","",IF(Wages!$G1015="",0,Wages!$G1015))</f>
        <v/>
      </c>
      <c r="M1012">
        <f>IF($A1012="","",Wages!$J1015)</f>
        <v/>
      </c>
      <c r="N1012">
        <f>IF($A1012="","",Wages!$D1015)</f>
        <v/>
      </c>
      <c r="P1012">
        <f>IF(OR(Shares!$B1015="",Shares!$C1015=""),"",Shares!$C1015)</f>
        <v/>
      </c>
      <c r="Q1012">
        <f>IF($P1012="","",Shares!$B1015)</f>
        <v/>
      </c>
      <c r="R1012">
        <f>IF($P1012="","",IFERROR(INDEX(WageParty,MATCH($Q1012,WageIds,0)),""))</f>
        <v/>
      </c>
      <c r="S1012">
        <f>IF($P1012="","",IFERROR(INDEX($F$6:$F$2005,MATCH($Q1012,WageIds,0)),""))</f>
        <v/>
      </c>
      <c r="T1012">
        <f>IF(OR($P1012="",$S1012="",$S1012="نامعتبر"),"",LEFT($S1012,4)&amp;MID($S1012,6,2)&amp;RIGHT($S1012,2)&amp;"0000"&amp;"|"&amp;"2"&amp;RIGHT("00000"&amp;1007,5))</f>
        <v/>
      </c>
      <c r="U1012">
        <f>IF($T1012="","",COUNTIFS(LdAParty,$P1012,LdAType,1,LdAKey,"&lt;"&amp;$T1012)+COUNTIFS(LdBMember,$P1012,LdBKey,"&lt;"&amp;$T1012)+COUNTIFS(LdCParty,$P1012,LdCKey,"&lt;"&amp;$T1012)+1)</f>
        <v/>
      </c>
      <c r="V1012">
        <f>IF($U1012="","",$P1012&amp;"|"&amp;RIGHT("000000"&amp;$U1012,6))</f>
        <v/>
      </c>
      <c r="W1012">
        <f>IF($T1012="","",COUNTIFS(LdBGroup,$R1012,LdBKey,"&lt;"&amp;$T1012)+1)</f>
        <v/>
      </c>
      <c r="X1012">
        <f>IF($W1012="","",$R1012&amp;"|"&amp;RIGHT("000000"&amp;$W1012,6))</f>
        <v/>
      </c>
      <c r="Y1012">
        <f>IF($P1012="","",IF(Shares!$E1015="",0,Shares!$E1015))</f>
        <v/>
      </c>
      <c r="Z1012">
        <f>IF($P1012="","",Shares!$H1015)</f>
        <v/>
      </c>
      <c r="AE1012">
        <f>IF(OR(Sync!$S1012="",Sync!$P1012=""),"",Sync!$S1012)</f>
        <v/>
      </c>
      <c r="AF1012">
        <f>IF($AE1012="","",IF(ISNUMBER(Sync!$P1012),IF(AND(Sync!$P1012&gt;=10000101,Sync!$P1012&lt;=99991231),INT(Sync!$P1012/10000),""),IFERROR(VALUE(TRIM(LEFT(Sync!$P1012,FIND("/",Sync!$P1012)-1))),"")))</f>
        <v/>
      </c>
      <c r="AG1012">
        <f>IF(OR($AE1012="",$AF1012=""),"",IF(ISNUMBER(Sync!$P1012),INT(MOD(Sync!$P1012,10000)/100),IFERROR(VALUE(TRIM(LEFT(MID(Sync!$P1012,FIND("/",Sync!$P1012)+1,20),FIND("/",MID(Sync!$P1012,FIND("/",Sync!$P1012)+1,20))-1))),"")))</f>
        <v/>
      </c>
      <c r="AH1012">
        <f>IF(OR($AE1012="",$AF1012=""),"",IF(ISNUMBER(Sync!$P1012),MOD(Sync!$P1012,100),IFERROR(VALUE(TRIM(MID(MID(Sync!$P1012,FIND("/",Sync!$P1012)+1,20),FIND("/",MID(Sync!$P1012,FIND("/",Sync!$P1012)+1,20))+1,20))),"")))</f>
        <v/>
      </c>
      <c r="AI1012">
        <f>IF($AE1012="","",IF(OR($AF1012="",$AG1012="",$AH1012="",$AF1012&lt;1300,$AF1012&gt;1500,$AG1012&lt;1,$AG1012&gt;12,$AH1012&lt;1,$AH1012&gt;31),"نامعتبر",RIGHT("0000"&amp;$AF1012,4)&amp;"/"&amp;RIGHT("00"&amp;$AG1012,2)&amp;"/"&amp;RIGHT("00"&amp;$AH1012,2)))</f>
        <v/>
      </c>
      <c r="AJ1012">
        <f>IF($AE1012="","",IF(Sync!$Q1012="","0000",IF(AND(ISNUMBER(Sync!$Q1012),Sync!$Q1012&gt;=0,Sync!$Q1012&lt;1),RIGHT("00"&amp;HOUR(Sync!$Q1012),2)&amp;RIGHT("00"&amp;MINUTE(Sync!$Q1012),2),IFERROR(RIGHT("00"&amp;VALUE(LEFT(Sync!$Q1012,FIND(":",Sync!$Q1012)-1)),2)&amp;RIGHT("00"&amp;VALUE(MID(Sync!$Q1012,FIND(":",Sync!$Q1012)+1,2)),2),"0000"))))</f>
        <v/>
      </c>
      <c r="AK1012">
        <f>IF(OR($AE1012="",$AI1012="",$AI1012="نامعتبر"),"",LEFT($AI1012,4)&amp;MID($AI1012,6,2)&amp;RIGHT($AI1012,2)&amp;$AJ1012&amp;"|"&amp;"3"&amp;RIGHT("00000"&amp;1007,5))</f>
        <v/>
      </c>
      <c r="AL1012">
        <f>IF($AK1012="","",COUNTIFS(LdAParty,$AE1012,LdAType,1,LdAKey,"&lt;"&amp;$AK1012)+COUNTIFS(LdBMember,$AE1012,LdBKey,"&lt;"&amp;$AK1012)+COUNTIFS(LdCParty,$AE1012,LdCKey,"&lt;"&amp;$AK1012)+1)</f>
        <v/>
      </c>
      <c r="AM1012">
        <f>IF($AL1012="","",$AE1012&amp;"|"&amp;RIGHT("000000"&amp;$AL1012,6))</f>
        <v/>
      </c>
      <c r="AN1012">
        <f>IF($AE1012="","",IF(Sync!$W1012="",0,Sync!$W1012))</f>
        <v/>
      </c>
      <c r="AO1012">
        <f>IF($AE1012="","",IF(Sync!$X1012="",0,Sync!$X1012))</f>
        <v/>
      </c>
      <c r="AP1012">
        <f>IF($AE1012="","",Sync!$R1012)</f>
        <v/>
      </c>
      <c r="AQ1012">
        <f>IF($AE1012="","",Sync!$Y1012)</f>
        <v/>
      </c>
    </row>
    <row r="1013">
      <c r="A1013">
        <f>IF(OR(Wages!$B1016="",Wages!$E1016=""),"",Wages!$E1016)</f>
        <v/>
      </c>
      <c r="B1013">
        <f>IF($A1013="","",IF(Wages!$C1016="دستمزد گروهی",2,1))</f>
        <v/>
      </c>
      <c r="C1013">
        <f>IF($A1013="","",IF(ISNUMBER(Wages!$B1016),IF(AND(Wages!$B1016&gt;=10000101,Wages!$B1016&lt;=99991231),INT(Wages!$B1016/10000),""),IFERROR(VALUE(TRIM(LEFT(Wages!$B1016,FIND("/",Wages!$B1016)-1))),"")))</f>
        <v/>
      </c>
      <c r="D1013">
        <f>IF(OR($A1013="",$C1013=""),"",IF(ISNUMBER(Wages!$B1016),INT(MOD(Wages!$B1016,10000)/100),IFERROR(VALUE(TRIM(LEFT(MID(Wages!$B1016,FIND("/",Wages!$B1016)+1,20),FIND("/",MID(Wages!$B1016,FIND("/",Wages!$B1016)+1,20))-1))),"")))</f>
        <v/>
      </c>
      <c r="E1013">
        <f>IF(OR($A1013="",$C1013=""),"",IF(ISNUMBER(Wages!$B1016),MOD(Wages!$B1016,100),IFERROR(VALUE(TRIM(MID(MID(Wages!$B1016,FIND("/",Wages!$B1016)+1,20),FIND("/",MID(Wages!$B1016,FIND("/",Wages!$B1016)+1,20))+1,20))),"")))</f>
        <v/>
      </c>
      <c r="F1013">
        <f>IF($A1013="","",IF(OR($C1013="",$D1013="",$E1013="",$C1013&lt;1300,$C1013&gt;1500,$D1013&lt;1,$D1013&gt;12,$E1013&lt;1,$E1013&gt;31),"نامعتبر",RIGHT("0000"&amp;$C1013,4)&amp;"/"&amp;RIGHT("00"&amp;$D1013,2)&amp;"/"&amp;RIGHT("00"&amp;$E1013,2)))</f>
        <v/>
      </c>
      <c r="G1013">
        <f>IF(OR($A1013="",$F1013="",$F1013="نامعتبر"),"",LEFT($F1013,4)&amp;MID($F1013,6,2)&amp;RIGHT($F1013,2)&amp;"0000"&amp;"|"&amp;"1"&amp;RIGHT("00000"&amp;1008,5))</f>
        <v/>
      </c>
      <c r="H1013">
        <f>IF(OR($B1013&lt;&gt;1,$G1013=""),"",COUNTIFS(LdAParty,$A1013,LdAType,1,LdAKey,"&lt;"&amp;$G1013)+COUNTIFS(LdBMember,$A1013,LdBKey,"&lt;"&amp;$G1013)+COUNTIFS(LdCParty,$A1013,LdCKey,"&lt;"&amp;$G1013)+1)</f>
        <v/>
      </c>
      <c r="I1013">
        <f>IF($H1013="","",$A1013&amp;"|"&amp;RIGHT("000000"&amp;$H1013,6))</f>
        <v/>
      </c>
      <c r="J1013">
        <f>IF(OR($B1013&lt;&gt;2,$G1013=""),"",COUNTIFS(LdAParty,$A1013,LdAType,2,LdAKey,"&lt;"&amp;$G1013)+1)</f>
        <v/>
      </c>
      <c r="K1013">
        <f>IF($J1013="","",$A1013&amp;"|"&amp;RIGHT("000000"&amp;$J1013,6))</f>
        <v/>
      </c>
      <c r="L1013">
        <f>IF($A1013="","",IF(Wages!$G1016="",0,Wages!$G1016))</f>
        <v/>
      </c>
      <c r="M1013">
        <f>IF($A1013="","",Wages!$J1016)</f>
        <v/>
      </c>
      <c r="N1013">
        <f>IF($A1013="","",Wages!$D1016)</f>
        <v/>
      </c>
      <c r="P1013">
        <f>IF(OR(Shares!$B1016="",Shares!$C1016=""),"",Shares!$C1016)</f>
        <v/>
      </c>
      <c r="Q1013">
        <f>IF($P1013="","",Shares!$B1016)</f>
        <v/>
      </c>
      <c r="R1013">
        <f>IF($P1013="","",IFERROR(INDEX(WageParty,MATCH($Q1013,WageIds,0)),""))</f>
        <v/>
      </c>
      <c r="S1013">
        <f>IF($P1013="","",IFERROR(INDEX($F$6:$F$2005,MATCH($Q1013,WageIds,0)),""))</f>
        <v/>
      </c>
      <c r="T1013">
        <f>IF(OR($P1013="",$S1013="",$S1013="نامعتبر"),"",LEFT($S1013,4)&amp;MID($S1013,6,2)&amp;RIGHT($S1013,2)&amp;"0000"&amp;"|"&amp;"2"&amp;RIGHT("00000"&amp;1008,5))</f>
        <v/>
      </c>
      <c r="U1013">
        <f>IF($T1013="","",COUNTIFS(LdAParty,$P1013,LdAType,1,LdAKey,"&lt;"&amp;$T1013)+COUNTIFS(LdBMember,$P1013,LdBKey,"&lt;"&amp;$T1013)+COUNTIFS(LdCParty,$P1013,LdCKey,"&lt;"&amp;$T1013)+1)</f>
        <v/>
      </c>
      <c r="V1013">
        <f>IF($U1013="","",$P1013&amp;"|"&amp;RIGHT("000000"&amp;$U1013,6))</f>
        <v/>
      </c>
      <c r="W1013">
        <f>IF($T1013="","",COUNTIFS(LdBGroup,$R1013,LdBKey,"&lt;"&amp;$T1013)+1)</f>
        <v/>
      </c>
      <c r="X1013">
        <f>IF($W1013="","",$R1013&amp;"|"&amp;RIGHT("000000"&amp;$W1013,6))</f>
        <v/>
      </c>
      <c r="Y1013">
        <f>IF($P1013="","",IF(Shares!$E1016="",0,Shares!$E1016))</f>
        <v/>
      </c>
      <c r="Z1013">
        <f>IF($P1013="","",Shares!$H1016)</f>
        <v/>
      </c>
      <c r="AE1013">
        <f>IF(OR(Sync!$S1013="",Sync!$P1013=""),"",Sync!$S1013)</f>
        <v/>
      </c>
      <c r="AF1013">
        <f>IF($AE1013="","",IF(ISNUMBER(Sync!$P1013),IF(AND(Sync!$P1013&gt;=10000101,Sync!$P1013&lt;=99991231),INT(Sync!$P1013/10000),""),IFERROR(VALUE(TRIM(LEFT(Sync!$P1013,FIND("/",Sync!$P1013)-1))),"")))</f>
        <v/>
      </c>
      <c r="AG1013">
        <f>IF(OR($AE1013="",$AF1013=""),"",IF(ISNUMBER(Sync!$P1013),INT(MOD(Sync!$P1013,10000)/100),IFERROR(VALUE(TRIM(LEFT(MID(Sync!$P1013,FIND("/",Sync!$P1013)+1,20),FIND("/",MID(Sync!$P1013,FIND("/",Sync!$P1013)+1,20))-1))),"")))</f>
        <v/>
      </c>
      <c r="AH1013">
        <f>IF(OR($AE1013="",$AF1013=""),"",IF(ISNUMBER(Sync!$P1013),MOD(Sync!$P1013,100),IFERROR(VALUE(TRIM(MID(MID(Sync!$P1013,FIND("/",Sync!$P1013)+1,20),FIND("/",MID(Sync!$P1013,FIND("/",Sync!$P1013)+1,20))+1,20))),"")))</f>
        <v/>
      </c>
      <c r="AI1013">
        <f>IF($AE1013="","",IF(OR($AF1013="",$AG1013="",$AH1013="",$AF1013&lt;1300,$AF1013&gt;1500,$AG1013&lt;1,$AG1013&gt;12,$AH1013&lt;1,$AH1013&gt;31),"نامعتبر",RIGHT("0000"&amp;$AF1013,4)&amp;"/"&amp;RIGHT("00"&amp;$AG1013,2)&amp;"/"&amp;RIGHT("00"&amp;$AH1013,2)))</f>
        <v/>
      </c>
      <c r="AJ1013">
        <f>IF($AE1013="","",IF(Sync!$Q1013="","0000",IF(AND(ISNUMBER(Sync!$Q1013),Sync!$Q1013&gt;=0,Sync!$Q1013&lt;1),RIGHT("00"&amp;HOUR(Sync!$Q1013),2)&amp;RIGHT("00"&amp;MINUTE(Sync!$Q1013),2),IFERROR(RIGHT("00"&amp;VALUE(LEFT(Sync!$Q1013,FIND(":",Sync!$Q1013)-1)),2)&amp;RIGHT("00"&amp;VALUE(MID(Sync!$Q1013,FIND(":",Sync!$Q1013)+1,2)),2),"0000"))))</f>
        <v/>
      </c>
      <c r="AK1013">
        <f>IF(OR($AE1013="",$AI1013="",$AI1013="نامعتبر"),"",LEFT($AI1013,4)&amp;MID($AI1013,6,2)&amp;RIGHT($AI1013,2)&amp;$AJ1013&amp;"|"&amp;"3"&amp;RIGHT("00000"&amp;1008,5))</f>
        <v/>
      </c>
      <c r="AL1013">
        <f>IF($AK1013="","",COUNTIFS(LdAParty,$AE1013,LdAType,1,LdAKey,"&lt;"&amp;$AK1013)+COUNTIFS(LdBMember,$AE1013,LdBKey,"&lt;"&amp;$AK1013)+COUNTIFS(LdCParty,$AE1013,LdCKey,"&lt;"&amp;$AK1013)+1)</f>
        <v/>
      </c>
      <c r="AM1013">
        <f>IF($AL1013="","",$AE1013&amp;"|"&amp;RIGHT("000000"&amp;$AL1013,6))</f>
        <v/>
      </c>
      <c r="AN1013">
        <f>IF($AE1013="","",IF(Sync!$W1013="",0,Sync!$W1013))</f>
        <v/>
      </c>
      <c r="AO1013">
        <f>IF($AE1013="","",IF(Sync!$X1013="",0,Sync!$X1013))</f>
        <v/>
      </c>
      <c r="AP1013">
        <f>IF($AE1013="","",Sync!$R1013)</f>
        <v/>
      </c>
      <c r="AQ1013">
        <f>IF($AE1013="","",Sync!$Y1013)</f>
        <v/>
      </c>
    </row>
    <row r="1014">
      <c r="A1014">
        <f>IF(OR(Wages!$B1017="",Wages!$E1017=""),"",Wages!$E1017)</f>
        <v/>
      </c>
      <c r="B1014">
        <f>IF($A1014="","",IF(Wages!$C1017="دستمزد گروهی",2,1))</f>
        <v/>
      </c>
      <c r="C1014">
        <f>IF($A1014="","",IF(ISNUMBER(Wages!$B1017),IF(AND(Wages!$B1017&gt;=10000101,Wages!$B1017&lt;=99991231),INT(Wages!$B1017/10000),""),IFERROR(VALUE(TRIM(LEFT(Wages!$B1017,FIND("/",Wages!$B1017)-1))),"")))</f>
        <v/>
      </c>
      <c r="D1014">
        <f>IF(OR($A1014="",$C1014=""),"",IF(ISNUMBER(Wages!$B1017),INT(MOD(Wages!$B1017,10000)/100),IFERROR(VALUE(TRIM(LEFT(MID(Wages!$B1017,FIND("/",Wages!$B1017)+1,20),FIND("/",MID(Wages!$B1017,FIND("/",Wages!$B1017)+1,20))-1))),"")))</f>
        <v/>
      </c>
      <c r="E1014">
        <f>IF(OR($A1014="",$C1014=""),"",IF(ISNUMBER(Wages!$B1017),MOD(Wages!$B1017,100),IFERROR(VALUE(TRIM(MID(MID(Wages!$B1017,FIND("/",Wages!$B1017)+1,20),FIND("/",MID(Wages!$B1017,FIND("/",Wages!$B1017)+1,20))+1,20))),"")))</f>
        <v/>
      </c>
      <c r="F1014">
        <f>IF($A1014="","",IF(OR($C1014="",$D1014="",$E1014="",$C1014&lt;1300,$C1014&gt;1500,$D1014&lt;1,$D1014&gt;12,$E1014&lt;1,$E1014&gt;31),"نامعتبر",RIGHT("0000"&amp;$C1014,4)&amp;"/"&amp;RIGHT("00"&amp;$D1014,2)&amp;"/"&amp;RIGHT("00"&amp;$E1014,2)))</f>
        <v/>
      </c>
      <c r="G1014">
        <f>IF(OR($A1014="",$F1014="",$F1014="نامعتبر"),"",LEFT($F1014,4)&amp;MID($F1014,6,2)&amp;RIGHT($F1014,2)&amp;"0000"&amp;"|"&amp;"1"&amp;RIGHT("00000"&amp;1009,5))</f>
        <v/>
      </c>
      <c r="H1014">
        <f>IF(OR($B1014&lt;&gt;1,$G1014=""),"",COUNTIFS(LdAParty,$A1014,LdAType,1,LdAKey,"&lt;"&amp;$G1014)+COUNTIFS(LdBMember,$A1014,LdBKey,"&lt;"&amp;$G1014)+COUNTIFS(LdCParty,$A1014,LdCKey,"&lt;"&amp;$G1014)+1)</f>
        <v/>
      </c>
      <c r="I1014">
        <f>IF($H1014="","",$A1014&amp;"|"&amp;RIGHT("000000"&amp;$H1014,6))</f>
        <v/>
      </c>
      <c r="J1014">
        <f>IF(OR($B1014&lt;&gt;2,$G1014=""),"",COUNTIFS(LdAParty,$A1014,LdAType,2,LdAKey,"&lt;"&amp;$G1014)+1)</f>
        <v/>
      </c>
      <c r="K1014">
        <f>IF($J1014="","",$A1014&amp;"|"&amp;RIGHT("000000"&amp;$J1014,6))</f>
        <v/>
      </c>
      <c r="L1014">
        <f>IF($A1014="","",IF(Wages!$G1017="",0,Wages!$G1017))</f>
        <v/>
      </c>
      <c r="M1014">
        <f>IF($A1014="","",Wages!$J1017)</f>
        <v/>
      </c>
      <c r="N1014">
        <f>IF($A1014="","",Wages!$D1017)</f>
        <v/>
      </c>
      <c r="P1014">
        <f>IF(OR(Shares!$B1017="",Shares!$C1017=""),"",Shares!$C1017)</f>
        <v/>
      </c>
      <c r="Q1014">
        <f>IF($P1014="","",Shares!$B1017)</f>
        <v/>
      </c>
      <c r="R1014">
        <f>IF($P1014="","",IFERROR(INDEX(WageParty,MATCH($Q1014,WageIds,0)),""))</f>
        <v/>
      </c>
      <c r="S1014">
        <f>IF($P1014="","",IFERROR(INDEX($F$6:$F$2005,MATCH($Q1014,WageIds,0)),""))</f>
        <v/>
      </c>
      <c r="T1014">
        <f>IF(OR($P1014="",$S1014="",$S1014="نامعتبر"),"",LEFT($S1014,4)&amp;MID($S1014,6,2)&amp;RIGHT($S1014,2)&amp;"0000"&amp;"|"&amp;"2"&amp;RIGHT("00000"&amp;1009,5))</f>
        <v/>
      </c>
      <c r="U1014">
        <f>IF($T1014="","",COUNTIFS(LdAParty,$P1014,LdAType,1,LdAKey,"&lt;"&amp;$T1014)+COUNTIFS(LdBMember,$P1014,LdBKey,"&lt;"&amp;$T1014)+COUNTIFS(LdCParty,$P1014,LdCKey,"&lt;"&amp;$T1014)+1)</f>
        <v/>
      </c>
      <c r="V1014">
        <f>IF($U1014="","",$P1014&amp;"|"&amp;RIGHT("000000"&amp;$U1014,6))</f>
        <v/>
      </c>
      <c r="W1014">
        <f>IF($T1014="","",COUNTIFS(LdBGroup,$R1014,LdBKey,"&lt;"&amp;$T1014)+1)</f>
        <v/>
      </c>
      <c r="X1014">
        <f>IF($W1014="","",$R1014&amp;"|"&amp;RIGHT("000000"&amp;$W1014,6))</f>
        <v/>
      </c>
      <c r="Y1014">
        <f>IF($P1014="","",IF(Shares!$E1017="",0,Shares!$E1017))</f>
        <v/>
      </c>
      <c r="Z1014">
        <f>IF($P1014="","",Shares!$H1017)</f>
        <v/>
      </c>
      <c r="AE1014">
        <f>IF(OR(Sync!$S1014="",Sync!$P1014=""),"",Sync!$S1014)</f>
        <v/>
      </c>
      <c r="AF1014">
        <f>IF($AE1014="","",IF(ISNUMBER(Sync!$P1014),IF(AND(Sync!$P1014&gt;=10000101,Sync!$P1014&lt;=99991231),INT(Sync!$P1014/10000),""),IFERROR(VALUE(TRIM(LEFT(Sync!$P1014,FIND("/",Sync!$P1014)-1))),"")))</f>
        <v/>
      </c>
      <c r="AG1014">
        <f>IF(OR($AE1014="",$AF1014=""),"",IF(ISNUMBER(Sync!$P1014),INT(MOD(Sync!$P1014,10000)/100),IFERROR(VALUE(TRIM(LEFT(MID(Sync!$P1014,FIND("/",Sync!$P1014)+1,20),FIND("/",MID(Sync!$P1014,FIND("/",Sync!$P1014)+1,20))-1))),"")))</f>
        <v/>
      </c>
      <c r="AH1014">
        <f>IF(OR($AE1014="",$AF1014=""),"",IF(ISNUMBER(Sync!$P1014),MOD(Sync!$P1014,100),IFERROR(VALUE(TRIM(MID(MID(Sync!$P1014,FIND("/",Sync!$P1014)+1,20),FIND("/",MID(Sync!$P1014,FIND("/",Sync!$P1014)+1,20))+1,20))),"")))</f>
        <v/>
      </c>
      <c r="AI1014">
        <f>IF($AE1014="","",IF(OR($AF1014="",$AG1014="",$AH1014="",$AF1014&lt;1300,$AF1014&gt;1500,$AG1014&lt;1,$AG1014&gt;12,$AH1014&lt;1,$AH1014&gt;31),"نامعتبر",RIGHT("0000"&amp;$AF1014,4)&amp;"/"&amp;RIGHT("00"&amp;$AG1014,2)&amp;"/"&amp;RIGHT("00"&amp;$AH1014,2)))</f>
        <v/>
      </c>
      <c r="AJ1014">
        <f>IF($AE1014="","",IF(Sync!$Q1014="","0000",IF(AND(ISNUMBER(Sync!$Q1014),Sync!$Q1014&gt;=0,Sync!$Q1014&lt;1),RIGHT("00"&amp;HOUR(Sync!$Q1014),2)&amp;RIGHT("00"&amp;MINUTE(Sync!$Q1014),2),IFERROR(RIGHT("00"&amp;VALUE(LEFT(Sync!$Q1014,FIND(":",Sync!$Q1014)-1)),2)&amp;RIGHT("00"&amp;VALUE(MID(Sync!$Q1014,FIND(":",Sync!$Q1014)+1,2)),2),"0000"))))</f>
        <v/>
      </c>
      <c r="AK1014">
        <f>IF(OR($AE1014="",$AI1014="",$AI1014="نامعتبر"),"",LEFT($AI1014,4)&amp;MID($AI1014,6,2)&amp;RIGHT($AI1014,2)&amp;$AJ1014&amp;"|"&amp;"3"&amp;RIGHT("00000"&amp;1009,5))</f>
        <v/>
      </c>
      <c r="AL1014">
        <f>IF($AK1014="","",COUNTIFS(LdAParty,$AE1014,LdAType,1,LdAKey,"&lt;"&amp;$AK1014)+COUNTIFS(LdBMember,$AE1014,LdBKey,"&lt;"&amp;$AK1014)+COUNTIFS(LdCParty,$AE1014,LdCKey,"&lt;"&amp;$AK1014)+1)</f>
        <v/>
      </c>
      <c r="AM1014">
        <f>IF($AL1014="","",$AE1014&amp;"|"&amp;RIGHT("000000"&amp;$AL1014,6))</f>
        <v/>
      </c>
      <c r="AN1014">
        <f>IF($AE1014="","",IF(Sync!$W1014="",0,Sync!$W1014))</f>
        <v/>
      </c>
      <c r="AO1014">
        <f>IF($AE1014="","",IF(Sync!$X1014="",0,Sync!$X1014))</f>
        <v/>
      </c>
      <c r="AP1014">
        <f>IF($AE1014="","",Sync!$R1014)</f>
        <v/>
      </c>
      <c r="AQ1014">
        <f>IF($AE1014="","",Sync!$Y1014)</f>
        <v/>
      </c>
    </row>
    <row r="1015">
      <c r="A1015">
        <f>IF(OR(Wages!$B1018="",Wages!$E1018=""),"",Wages!$E1018)</f>
        <v/>
      </c>
      <c r="B1015">
        <f>IF($A1015="","",IF(Wages!$C1018="دستمزد گروهی",2,1))</f>
        <v/>
      </c>
      <c r="C1015">
        <f>IF($A1015="","",IF(ISNUMBER(Wages!$B1018),IF(AND(Wages!$B1018&gt;=10000101,Wages!$B1018&lt;=99991231),INT(Wages!$B1018/10000),""),IFERROR(VALUE(TRIM(LEFT(Wages!$B1018,FIND("/",Wages!$B1018)-1))),"")))</f>
        <v/>
      </c>
      <c r="D1015">
        <f>IF(OR($A1015="",$C1015=""),"",IF(ISNUMBER(Wages!$B1018),INT(MOD(Wages!$B1018,10000)/100),IFERROR(VALUE(TRIM(LEFT(MID(Wages!$B1018,FIND("/",Wages!$B1018)+1,20),FIND("/",MID(Wages!$B1018,FIND("/",Wages!$B1018)+1,20))-1))),"")))</f>
        <v/>
      </c>
      <c r="E1015">
        <f>IF(OR($A1015="",$C1015=""),"",IF(ISNUMBER(Wages!$B1018),MOD(Wages!$B1018,100),IFERROR(VALUE(TRIM(MID(MID(Wages!$B1018,FIND("/",Wages!$B1018)+1,20),FIND("/",MID(Wages!$B1018,FIND("/",Wages!$B1018)+1,20))+1,20))),"")))</f>
        <v/>
      </c>
      <c r="F1015">
        <f>IF($A1015="","",IF(OR($C1015="",$D1015="",$E1015="",$C1015&lt;1300,$C1015&gt;1500,$D1015&lt;1,$D1015&gt;12,$E1015&lt;1,$E1015&gt;31),"نامعتبر",RIGHT("0000"&amp;$C1015,4)&amp;"/"&amp;RIGHT("00"&amp;$D1015,2)&amp;"/"&amp;RIGHT("00"&amp;$E1015,2)))</f>
        <v/>
      </c>
      <c r="G1015">
        <f>IF(OR($A1015="",$F1015="",$F1015="نامعتبر"),"",LEFT($F1015,4)&amp;MID($F1015,6,2)&amp;RIGHT($F1015,2)&amp;"0000"&amp;"|"&amp;"1"&amp;RIGHT("00000"&amp;1010,5))</f>
        <v/>
      </c>
      <c r="H1015">
        <f>IF(OR($B1015&lt;&gt;1,$G1015=""),"",COUNTIFS(LdAParty,$A1015,LdAType,1,LdAKey,"&lt;"&amp;$G1015)+COUNTIFS(LdBMember,$A1015,LdBKey,"&lt;"&amp;$G1015)+COUNTIFS(LdCParty,$A1015,LdCKey,"&lt;"&amp;$G1015)+1)</f>
        <v/>
      </c>
      <c r="I1015">
        <f>IF($H1015="","",$A1015&amp;"|"&amp;RIGHT("000000"&amp;$H1015,6))</f>
        <v/>
      </c>
      <c r="J1015">
        <f>IF(OR($B1015&lt;&gt;2,$G1015=""),"",COUNTIFS(LdAParty,$A1015,LdAType,2,LdAKey,"&lt;"&amp;$G1015)+1)</f>
        <v/>
      </c>
      <c r="K1015">
        <f>IF($J1015="","",$A1015&amp;"|"&amp;RIGHT("000000"&amp;$J1015,6))</f>
        <v/>
      </c>
      <c r="L1015">
        <f>IF($A1015="","",IF(Wages!$G1018="",0,Wages!$G1018))</f>
        <v/>
      </c>
      <c r="M1015">
        <f>IF($A1015="","",Wages!$J1018)</f>
        <v/>
      </c>
      <c r="N1015">
        <f>IF($A1015="","",Wages!$D1018)</f>
        <v/>
      </c>
      <c r="P1015">
        <f>IF(OR(Shares!$B1018="",Shares!$C1018=""),"",Shares!$C1018)</f>
        <v/>
      </c>
      <c r="Q1015">
        <f>IF($P1015="","",Shares!$B1018)</f>
        <v/>
      </c>
      <c r="R1015">
        <f>IF($P1015="","",IFERROR(INDEX(WageParty,MATCH($Q1015,WageIds,0)),""))</f>
        <v/>
      </c>
      <c r="S1015">
        <f>IF($P1015="","",IFERROR(INDEX($F$6:$F$2005,MATCH($Q1015,WageIds,0)),""))</f>
        <v/>
      </c>
      <c r="T1015">
        <f>IF(OR($P1015="",$S1015="",$S1015="نامعتبر"),"",LEFT($S1015,4)&amp;MID($S1015,6,2)&amp;RIGHT($S1015,2)&amp;"0000"&amp;"|"&amp;"2"&amp;RIGHT("00000"&amp;1010,5))</f>
        <v/>
      </c>
      <c r="U1015">
        <f>IF($T1015="","",COUNTIFS(LdAParty,$P1015,LdAType,1,LdAKey,"&lt;"&amp;$T1015)+COUNTIFS(LdBMember,$P1015,LdBKey,"&lt;"&amp;$T1015)+COUNTIFS(LdCParty,$P1015,LdCKey,"&lt;"&amp;$T1015)+1)</f>
        <v/>
      </c>
      <c r="V1015">
        <f>IF($U1015="","",$P1015&amp;"|"&amp;RIGHT("000000"&amp;$U1015,6))</f>
        <v/>
      </c>
      <c r="W1015">
        <f>IF($T1015="","",COUNTIFS(LdBGroup,$R1015,LdBKey,"&lt;"&amp;$T1015)+1)</f>
        <v/>
      </c>
      <c r="X1015">
        <f>IF($W1015="","",$R1015&amp;"|"&amp;RIGHT("000000"&amp;$W1015,6))</f>
        <v/>
      </c>
      <c r="Y1015">
        <f>IF($P1015="","",IF(Shares!$E1018="",0,Shares!$E1018))</f>
        <v/>
      </c>
      <c r="Z1015">
        <f>IF($P1015="","",Shares!$H1018)</f>
        <v/>
      </c>
      <c r="AE1015">
        <f>IF(OR(Sync!$S1015="",Sync!$P1015=""),"",Sync!$S1015)</f>
        <v/>
      </c>
      <c r="AF1015">
        <f>IF($AE1015="","",IF(ISNUMBER(Sync!$P1015),IF(AND(Sync!$P1015&gt;=10000101,Sync!$P1015&lt;=99991231),INT(Sync!$P1015/10000),""),IFERROR(VALUE(TRIM(LEFT(Sync!$P1015,FIND("/",Sync!$P1015)-1))),"")))</f>
        <v/>
      </c>
      <c r="AG1015">
        <f>IF(OR($AE1015="",$AF1015=""),"",IF(ISNUMBER(Sync!$P1015),INT(MOD(Sync!$P1015,10000)/100),IFERROR(VALUE(TRIM(LEFT(MID(Sync!$P1015,FIND("/",Sync!$P1015)+1,20),FIND("/",MID(Sync!$P1015,FIND("/",Sync!$P1015)+1,20))-1))),"")))</f>
        <v/>
      </c>
      <c r="AH1015">
        <f>IF(OR($AE1015="",$AF1015=""),"",IF(ISNUMBER(Sync!$P1015),MOD(Sync!$P1015,100),IFERROR(VALUE(TRIM(MID(MID(Sync!$P1015,FIND("/",Sync!$P1015)+1,20),FIND("/",MID(Sync!$P1015,FIND("/",Sync!$P1015)+1,20))+1,20))),"")))</f>
        <v/>
      </c>
      <c r="AI1015">
        <f>IF($AE1015="","",IF(OR($AF1015="",$AG1015="",$AH1015="",$AF1015&lt;1300,$AF1015&gt;1500,$AG1015&lt;1,$AG1015&gt;12,$AH1015&lt;1,$AH1015&gt;31),"نامعتبر",RIGHT("0000"&amp;$AF1015,4)&amp;"/"&amp;RIGHT("00"&amp;$AG1015,2)&amp;"/"&amp;RIGHT("00"&amp;$AH1015,2)))</f>
        <v/>
      </c>
      <c r="AJ1015">
        <f>IF($AE1015="","",IF(Sync!$Q1015="","0000",IF(AND(ISNUMBER(Sync!$Q1015),Sync!$Q1015&gt;=0,Sync!$Q1015&lt;1),RIGHT("00"&amp;HOUR(Sync!$Q1015),2)&amp;RIGHT("00"&amp;MINUTE(Sync!$Q1015),2),IFERROR(RIGHT("00"&amp;VALUE(LEFT(Sync!$Q1015,FIND(":",Sync!$Q1015)-1)),2)&amp;RIGHT("00"&amp;VALUE(MID(Sync!$Q1015,FIND(":",Sync!$Q1015)+1,2)),2),"0000"))))</f>
        <v/>
      </c>
      <c r="AK1015">
        <f>IF(OR($AE1015="",$AI1015="",$AI1015="نامعتبر"),"",LEFT($AI1015,4)&amp;MID($AI1015,6,2)&amp;RIGHT($AI1015,2)&amp;$AJ1015&amp;"|"&amp;"3"&amp;RIGHT("00000"&amp;1010,5))</f>
        <v/>
      </c>
      <c r="AL1015">
        <f>IF($AK1015="","",COUNTIFS(LdAParty,$AE1015,LdAType,1,LdAKey,"&lt;"&amp;$AK1015)+COUNTIFS(LdBMember,$AE1015,LdBKey,"&lt;"&amp;$AK1015)+COUNTIFS(LdCParty,$AE1015,LdCKey,"&lt;"&amp;$AK1015)+1)</f>
        <v/>
      </c>
      <c r="AM1015">
        <f>IF($AL1015="","",$AE1015&amp;"|"&amp;RIGHT("000000"&amp;$AL1015,6))</f>
        <v/>
      </c>
      <c r="AN1015">
        <f>IF($AE1015="","",IF(Sync!$W1015="",0,Sync!$W1015))</f>
        <v/>
      </c>
      <c r="AO1015">
        <f>IF($AE1015="","",IF(Sync!$X1015="",0,Sync!$X1015))</f>
        <v/>
      </c>
      <c r="AP1015">
        <f>IF($AE1015="","",Sync!$R1015)</f>
        <v/>
      </c>
      <c r="AQ1015">
        <f>IF($AE1015="","",Sync!$Y1015)</f>
        <v/>
      </c>
    </row>
    <row r="1016">
      <c r="A1016">
        <f>IF(OR(Wages!$B1019="",Wages!$E1019=""),"",Wages!$E1019)</f>
        <v/>
      </c>
      <c r="B1016">
        <f>IF($A1016="","",IF(Wages!$C1019="دستمزد گروهی",2,1))</f>
        <v/>
      </c>
      <c r="C1016">
        <f>IF($A1016="","",IF(ISNUMBER(Wages!$B1019),IF(AND(Wages!$B1019&gt;=10000101,Wages!$B1019&lt;=99991231),INT(Wages!$B1019/10000),""),IFERROR(VALUE(TRIM(LEFT(Wages!$B1019,FIND("/",Wages!$B1019)-1))),"")))</f>
        <v/>
      </c>
      <c r="D1016">
        <f>IF(OR($A1016="",$C1016=""),"",IF(ISNUMBER(Wages!$B1019),INT(MOD(Wages!$B1019,10000)/100),IFERROR(VALUE(TRIM(LEFT(MID(Wages!$B1019,FIND("/",Wages!$B1019)+1,20),FIND("/",MID(Wages!$B1019,FIND("/",Wages!$B1019)+1,20))-1))),"")))</f>
        <v/>
      </c>
      <c r="E1016">
        <f>IF(OR($A1016="",$C1016=""),"",IF(ISNUMBER(Wages!$B1019),MOD(Wages!$B1019,100),IFERROR(VALUE(TRIM(MID(MID(Wages!$B1019,FIND("/",Wages!$B1019)+1,20),FIND("/",MID(Wages!$B1019,FIND("/",Wages!$B1019)+1,20))+1,20))),"")))</f>
        <v/>
      </c>
      <c r="F1016">
        <f>IF($A1016="","",IF(OR($C1016="",$D1016="",$E1016="",$C1016&lt;1300,$C1016&gt;1500,$D1016&lt;1,$D1016&gt;12,$E1016&lt;1,$E1016&gt;31),"نامعتبر",RIGHT("0000"&amp;$C1016,4)&amp;"/"&amp;RIGHT("00"&amp;$D1016,2)&amp;"/"&amp;RIGHT("00"&amp;$E1016,2)))</f>
        <v/>
      </c>
      <c r="G1016">
        <f>IF(OR($A1016="",$F1016="",$F1016="نامعتبر"),"",LEFT($F1016,4)&amp;MID($F1016,6,2)&amp;RIGHT($F1016,2)&amp;"0000"&amp;"|"&amp;"1"&amp;RIGHT("00000"&amp;1011,5))</f>
        <v/>
      </c>
      <c r="H1016">
        <f>IF(OR($B1016&lt;&gt;1,$G1016=""),"",COUNTIFS(LdAParty,$A1016,LdAType,1,LdAKey,"&lt;"&amp;$G1016)+COUNTIFS(LdBMember,$A1016,LdBKey,"&lt;"&amp;$G1016)+COUNTIFS(LdCParty,$A1016,LdCKey,"&lt;"&amp;$G1016)+1)</f>
        <v/>
      </c>
      <c r="I1016">
        <f>IF($H1016="","",$A1016&amp;"|"&amp;RIGHT("000000"&amp;$H1016,6))</f>
        <v/>
      </c>
      <c r="J1016">
        <f>IF(OR($B1016&lt;&gt;2,$G1016=""),"",COUNTIFS(LdAParty,$A1016,LdAType,2,LdAKey,"&lt;"&amp;$G1016)+1)</f>
        <v/>
      </c>
      <c r="K1016">
        <f>IF($J1016="","",$A1016&amp;"|"&amp;RIGHT("000000"&amp;$J1016,6))</f>
        <v/>
      </c>
      <c r="L1016">
        <f>IF($A1016="","",IF(Wages!$G1019="",0,Wages!$G1019))</f>
        <v/>
      </c>
      <c r="M1016">
        <f>IF($A1016="","",Wages!$J1019)</f>
        <v/>
      </c>
      <c r="N1016">
        <f>IF($A1016="","",Wages!$D1019)</f>
        <v/>
      </c>
      <c r="P1016">
        <f>IF(OR(Shares!$B1019="",Shares!$C1019=""),"",Shares!$C1019)</f>
        <v/>
      </c>
      <c r="Q1016">
        <f>IF($P1016="","",Shares!$B1019)</f>
        <v/>
      </c>
      <c r="R1016">
        <f>IF($P1016="","",IFERROR(INDEX(WageParty,MATCH($Q1016,WageIds,0)),""))</f>
        <v/>
      </c>
      <c r="S1016">
        <f>IF($P1016="","",IFERROR(INDEX($F$6:$F$2005,MATCH($Q1016,WageIds,0)),""))</f>
        <v/>
      </c>
      <c r="T1016">
        <f>IF(OR($P1016="",$S1016="",$S1016="نامعتبر"),"",LEFT($S1016,4)&amp;MID($S1016,6,2)&amp;RIGHT($S1016,2)&amp;"0000"&amp;"|"&amp;"2"&amp;RIGHT("00000"&amp;1011,5))</f>
        <v/>
      </c>
      <c r="U1016">
        <f>IF($T1016="","",COUNTIFS(LdAParty,$P1016,LdAType,1,LdAKey,"&lt;"&amp;$T1016)+COUNTIFS(LdBMember,$P1016,LdBKey,"&lt;"&amp;$T1016)+COUNTIFS(LdCParty,$P1016,LdCKey,"&lt;"&amp;$T1016)+1)</f>
        <v/>
      </c>
      <c r="V1016">
        <f>IF($U1016="","",$P1016&amp;"|"&amp;RIGHT("000000"&amp;$U1016,6))</f>
        <v/>
      </c>
      <c r="W1016">
        <f>IF($T1016="","",COUNTIFS(LdBGroup,$R1016,LdBKey,"&lt;"&amp;$T1016)+1)</f>
        <v/>
      </c>
      <c r="X1016">
        <f>IF($W1016="","",$R1016&amp;"|"&amp;RIGHT("000000"&amp;$W1016,6))</f>
        <v/>
      </c>
      <c r="Y1016">
        <f>IF($P1016="","",IF(Shares!$E1019="",0,Shares!$E1019))</f>
        <v/>
      </c>
      <c r="Z1016">
        <f>IF($P1016="","",Shares!$H1019)</f>
        <v/>
      </c>
      <c r="AE1016">
        <f>IF(OR(Sync!$S1016="",Sync!$P1016=""),"",Sync!$S1016)</f>
        <v/>
      </c>
      <c r="AF1016">
        <f>IF($AE1016="","",IF(ISNUMBER(Sync!$P1016),IF(AND(Sync!$P1016&gt;=10000101,Sync!$P1016&lt;=99991231),INT(Sync!$P1016/10000),""),IFERROR(VALUE(TRIM(LEFT(Sync!$P1016,FIND("/",Sync!$P1016)-1))),"")))</f>
        <v/>
      </c>
      <c r="AG1016">
        <f>IF(OR($AE1016="",$AF1016=""),"",IF(ISNUMBER(Sync!$P1016),INT(MOD(Sync!$P1016,10000)/100),IFERROR(VALUE(TRIM(LEFT(MID(Sync!$P1016,FIND("/",Sync!$P1016)+1,20),FIND("/",MID(Sync!$P1016,FIND("/",Sync!$P1016)+1,20))-1))),"")))</f>
        <v/>
      </c>
      <c r="AH1016">
        <f>IF(OR($AE1016="",$AF1016=""),"",IF(ISNUMBER(Sync!$P1016),MOD(Sync!$P1016,100),IFERROR(VALUE(TRIM(MID(MID(Sync!$P1016,FIND("/",Sync!$P1016)+1,20),FIND("/",MID(Sync!$P1016,FIND("/",Sync!$P1016)+1,20))+1,20))),"")))</f>
        <v/>
      </c>
      <c r="AI1016">
        <f>IF($AE1016="","",IF(OR($AF1016="",$AG1016="",$AH1016="",$AF1016&lt;1300,$AF1016&gt;1500,$AG1016&lt;1,$AG1016&gt;12,$AH1016&lt;1,$AH1016&gt;31),"نامعتبر",RIGHT("0000"&amp;$AF1016,4)&amp;"/"&amp;RIGHT("00"&amp;$AG1016,2)&amp;"/"&amp;RIGHT("00"&amp;$AH1016,2)))</f>
        <v/>
      </c>
      <c r="AJ1016">
        <f>IF($AE1016="","",IF(Sync!$Q1016="","0000",IF(AND(ISNUMBER(Sync!$Q1016),Sync!$Q1016&gt;=0,Sync!$Q1016&lt;1),RIGHT("00"&amp;HOUR(Sync!$Q1016),2)&amp;RIGHT("00"&amp;MINUTE(Sync!$Q1016),2),IFERROR(RIGHT("00"&amp;VALUE(LEFT(Sync!$Q1016,FIND(":",Sync!$Q1016)-1)),2)&amp;RIGHT("00"&amp;VALUE(MID(Sync!$Q1016,FIND(":",Sync!$Q1016)+1,2)),2),"0000"))))</f>
        <v/>
      </c>
      <c r="AK1016">
        <f>IF(OR($AE1016="",$AI1016="",$AI1016="نامعتبر"),"",LEFT($AI1016,4)&amp;MID($AI1016,6,2)&amp;RIGHT($AI1016,2)&amp;$AJ1016&amp;"|"&amp;"3"&amp;RIGHT("00000"&amp;1011,5))</f>
        <v/>
      </c>
      <c r="AL1016">
        <f>IF($AK1016="","",COUNTIFS(LdAParty,$AE1016,LdAType,1,LdAKey,"&lt;"&amp;$AK1016)+COUNTIFS(LdBMember,$AE1016,LdBKey,"&lt;"&amp;$AK1016)+COUNTIFS(LdCParty,$AE1016,LdCKey,"&lt;"&amp;$AK1016)+1)</f>
        <v/>
      </c>
      <c r="AM1016">
        <f>IF($AL1016="","",$AE1016&amp;"|"&amp;RIGHT("000000"&amp;$AL1016,6))</f>
        <v/>
      </c>
      <c r="AN1016">
        <f>IF($AE1016="","",IF(Sync!$W1016="",0,Sync!$W1016))</f>
        <v/>
      </c>
      <c r="AO1016">
        <f>IF($AE1016="","",IF(Sync!$X1016="",0,Sync!$X1016))</f>
        <v/>
      </c>
      <c r="AP1016">
        <f>IF($AE1016="","",Sync!$R1016)</f>
        <v/>
      </c>
      <c r="AQ1016">
        <f>IF($AE1016="","",Sync!$Y1016)</f>
        <v/>
      </c>
    </row>
    <row r="1017">
      <c r="A1017">
        <f>IF(OR(Wages!$B1020="",Wages!$E1020=""),"",Wages!$E1020)</f>
        <v/>
      </c>
      <c r="B1017">
        <f>IF($A1017="","",IF(Wages!$C1020="دستمزد گروهی",2,1))</f>
        <v/>
      </c>
      <c r="C1017">
        <f>IF($A1017="","",IF(ISNUMBER(Wages!$B1020),IF(AND(Wages!$B1020&gt;=10000101,Wages!$B1020&lt;=99991231),INT(Wages!$B1020/10000),""),IFERROR(VALUE(TRIM(LEFT(Wages!$B1020,FIND("/",Wages!$B1020)-1))),"")))</f>
        <v/>
      </c>
      <c r="D1017">
        <f>IF(OR($A1017="",$C1017=""),"",IF(ISNUMBER(Wages!$B1020),INT(MOD(Wages!$B1020,10000)/100),IFERROR(VALUE(TRIM(LEFT(MID(Wages!$B1020,FIND("/",Wages!$B1020)+1,20),FIND("/",MID(Wages!$B1020,FIND("/",Wages!$B1020)+1,20))-1))),"")))</f>
        <v/>
      </c>
      <c r="E1017">
        <f>IF(OR($A1017="",$C1017=""),"",IF(ISNUMBER(Wages!$B1020),MOD(Wages!$B1020,100),IFERROR(VALUE(TRIM(MID(MID(Wages!$B1020,FIND("/",Wages!$B1020)+1,20),FIND("/",MID(Wages!$B1020,FIND("/",Wages!$B1020)+1,20))+1,20))),"")))</f>
        <v/>
      </c>
      <c r="F1017">
        <f>IF($A1017="","",IF(OR($C1017="",$D1017="",$E1017="",$C1017&lt;1300,$C1017&gt;1500,$D1017&lt;1,$D1017&gt;12,$E1017&lt;1,$E1017&gt;31),"نامعتبر",RIGHT("0000"&amp;$C1017,4)&amp;"/"&amp;RIGHT("00"&amp;$D1017,2)&amp;"/"&amp;RIGHT("00"&amp;$E1017,2)))</f>
        <v/>
      </c>
      <c r="G1017">
        <f>IF(OR($A1017="",$F1017="",$F1017="نامعتبر"),"",LEFT($F1017,4)&amp;MID($F1017,6,2)&amp;RIGHT($F1017,2)&amp;"0000"&amp;"|"&amp;"1"&amp;RIGHT("00000"&amp;1012,5))</f>
        <v/>
      </c>
      <c r="H1017">
        <f>IF(OR($B1017&lt;&gt;1,$G1017=""),"",COUNTIFS(LdAParty,$A1017,LdAType,1,LdAKey,"&lt;"&amp;$G1017)+COUNTIFS(LdBMember,$A1017,LdBKey,"&lt;"&amp;$G1017)+COUNTIFS(LdCParty,$A1017,LdCKey,"&lt;"&amp;$G1017)+1)</f>
        <v/>
      </c>
      <c r="I1017">
        <f>IF($H1017="","",$A1017&amp;"|"&amp;RIGHT("000000"&amp;$H1017,6))</f>
        <v/>
      </c>
      <c r="J1017">
        <f>IF(OR($B1017&lt;&gt;2,$G1017=""),"",COUNTIFS(LdAParty,$A1017,LdAType,2,LdAKey,"&lt;"&amp;$G1017)+1)</f>
        <v/>
      </c>
      <c r="K1017">
        <f>IF($J1017="","",$A1017&amp;"|"&amp;RIGHT("000000"&amp;$J1017,6))</f>
        <v/>
      </c>
      <c r="L1017">
        <f>IF($A1017="","",IF(Wages!$G1020="",0,Wages!$G1020))</f>
        <v/>
      </c>
      <c r="M1017">
        <f>IF($A1017="","",Wages!$J1020)</f>
        <v/>
      </c>
      <c r="N1017">
        <f>IF($A1017="","",Wages!$D1020)</f>
        <v/>
      </c>
      <c r="P1017">
        <f>IF(OR(Shares!$B1020="",Shares!$C1020=""),"",Shares!$C1020)</f>
        <v/>
      </c>
      <c r="Q1017">
        <f>IF($P1017="","",Shares!$B1020)</f>
        <v/>
      </c>
      <c r="R1017">
        <f>IF($P1017="","",IFERROR(INDEX(WageParty,MATCH($Q1017,WageIds,0)),""))</f>
        <v/>
      </c>
      <c r="S1017">
        <f>IF($P1017="","",IFERROR(INDEX($F$6:$F$2005,MATCH($Q1017,WageIds,0)),""))</f>
        <v/>
      </c>
      <c r="T1017">
        <f>IF(OR($P1017="",$S1017="",$S1017="نامعتبر"),"",LEFT($S1017,4)&amp;MID($S1017,6,2)&amp;RIGHT($S1017,2)&amp;"0000"&amp;"|"&amp;"2"&amp;RIGHT("00000"&amp;1012,5))</f>
        <v/>
      </c>
      <c r="U1017">
        <f>IF($T1017="","",COUNTIFS(LdAParty,$P1017,LdAType,1,LdAKey,"&lt;"&amp;$T1017)+COUNTIFS(LdBMember,$P1017,LdBKey,"&lt;"&amp;$T1017)+COUNTIFS(LdCParty,$P1017,LdCKey,"&lt;"&amp;$T1017)+1)</f>
        <v/>
      </c>
      <c r="V1017">
        <f>IF($U1017="","",$P1017&amp;"|"&amp;RIGHT("000000"&amp;$U1017,6))</f>
        <v/>
      </c>
      <c r="W1017">
        <f>IF($T1017="","",COUNTIFS(LdBGroup,$R1017,LdBKey,"&lt;"&amp;$T1017)+1)</f>
        <v/>
      </c>
      <c r="X1017">
        <f>IF($W1017="","",$R1017&amp;"|"&amp;RIGHT("000000"&amp;$W1017,6))</f>
        <v/>
      </c>
      <c r="Y1017">
        <f>IF($P1017="","",IF(Shares!$E1020="",0,Shares!$E1020))</f>
        <v/>
      </c>
      <c r="Z1017">
        <f>IF($P1017="","",Shares!$H1020)</f>
        <v/>
      </c>
      <c r="AE1017">
        <f>IF(OR(Sync!$S1017="",Sync!$P1017=""),"",Sync!$S1017)</f>
        <v/>
      </c>
      <c r="AF1017">
        <f>IF($AE1017="","",IF(ISNUMBER(Sync!$P1017),IF(AND(Sync!$P1017&gt;=10000101,Sync!$P1017&lt;=99991231),INT(Sync!$P1017/10000),""),IFERROR(VALUE(TRIM(LEFT(Sync!$P1017,FIND("/",Sync!$P1017)-1))),"")))</f>
        <v/>
      </c>
      <c r="AG1017">
        <f>IF(OR($AE1017="",$AF1017=""),"",IF(ISNUMBER(Sync!$P1017),INT(MOD(Sync!$P1017,10000)/100),IFERROR(VALUE(TRIM(LEFT(MID(Sync!$P1017,FIND("/",Sync!$P1017)+1,20),FIND("/",MID(Sync!$P1017,FIND("/",Sync!$P1017)+1,20))-1))),"")))</f>
        <v/>
      </c>
      <c r="AH1017">
        <f>IF(OR($AE1017="",$AF1017=""),"",IF(ISNUMBER(Sync!$P1017),MOD(Sync!$P1017,100),IFERROR(VALUE(TRIM(MID(MID(Sync!$P1017,FIND("/",Sync!$P1017)+1,20),FIND("/",MID(Sync!$P1017,FIND("/",Sync!$P1017)+1,20))+1,20))),"")))</f>
        <v/>
      </c>
      <c r="AI1017">
        <f>IF($AE1017="","",IF(OR($AF1017="",$AG1017="",$AH1017="",$AF1017&lt;1300,$AF1017&gt;1500,$AG1017&lt;1,$AG1017&gt;12,$AH1017&lt;1,$AH1017&gt;31),"نامعتبر",RIGHT("0000"&amp;$AF1017,4)&amp;"/"&amp;RIGHT("00"&amp;$AG1017,2)&amp;"/"&amp;RIGHT("00"&amp;$AH1017,2)))</f>
        <v/>
      </c>
      <c r="AJ1017">
        <f>IF($AE1017="","",IF(Sync!$Q1017="","0000",IF(AND(ISNUMBER(Sync!$Q1017),Sync!$Q1017&gt;=0,Sync!$Q1017&lt;1),RIGHT("00"&amp;HOUR(Sync!$Q1017),2)&amp;RIGHT("00"&amp;MINUTE(Sync!$Q1017),2),IFERROR(RIGHT("00"&amp;VALUE(LEFT(Sync!$Q1017,FIND(":",Sync!$Q1017)-1)),2)&amp;RIGHT("00"&amp;VALUE(MID(Sync!$Q1017,FIND(":",Sync!$Q1017)+1,2)),2),"0000"))))</f>
        <v/>
      </c>
      <c r="AK1017">
        <f>IF(OR($AE1017="",$AI1017="",$AI1017="نامعتبر"),"",LEFT($AI1017,4)&amp;MID($AI1017,6,2)&amp;RIGHT($AI1017,2)&amp;$AJ1017&amp;"|"&amp;"3"&amp;RIGHT("00000"&amp;1012,5))</f>
        <v/>
      </c>
      <c r="AL1017">
        <f>IF($AK1017="","",COUNTIFS(LdAParty,$AE1017,LdAType,1,LdAKey,"&lt;"&amp;$AK1017)+COUNTIFS(LdBMember,$AE1017,LdBKey,"&lt;"&amp;$AK1017)+COUNTIFS(LdCParty,$AE1017,LdCKey,"&lt;"&amp;$AK1017)+1)</f>
        <v/>
      </c>
      <c r="AM1017">
        <f>IF($AL1017="","",$AE1017&amp;"|"&amp;RIGHT("000000"&amp;$AL1017,6))</f>
        <v/>
      </c>
      <c r="AN1017">
        <f>IF($AE1017="","",IF(Sync!$W1017="",0,Sync!$W1017))</f>
        <v/>
      </c>
      <c r="AO1017">
        <f>IF($AE1017="","",IF(Sync!$X1017="",0,Sync!$X1017))</f>
        <v/>
      </c>
      <c r="AP1017">
        <f>IF($AE1017="","",Sync!$R1017)</f>
        <v/>
      </c>
      <c r="AQ1017">
        <f>IF($AE1017="","",Sync!$Y1017)</f>
        <v/>
      </c>
    </row>
    <row r="1018">
      <c r="A1018">
        <f>IF(OR(Wages!$B1021="",Wages!$E1021=""),"",Wages!$E1021)</f>
        <v/>
      </c>
      <c r="B1018">
        <f>IF($A1018="","",IF(Wages!$C1021="دستمزد گروهی",2,1))</f>
        <v/>
      </c>
      <c r="C1018">
        <f>IF($A1018="","",IF(ISNUMBER(Wages!$B1021),IF(AND(Wages!$B1021&gt;=10000101,Wages!$B1021&lt;=99991231),INT(Wages!$B1021/10000),""),IFERROR(VALUE(TRIM(LEFT(Wages!$B1021,FIND("/",Wages!$B1021)-1))),"")))</f>
        <v/>
      </c>
      <c r="D1018">
        <f>IF(OR($A1018="",$C1018=""),"",IF(ISNUMBER(Wages!$B1021),INT(MOD(Wages!$B1021,10000)/100),IFERROR(VALUE(TRIM(LEFT(MID(Wages!$B1021,FIND("/",Wages!$B1021)+1,20),FIND("/",MID(Wages!$B1021,FIND("/",Wages!$B1021)+1,20))-1))),"")))</f>
        <v/>
      </c>
      <c r="E1018">
        <f>IF(OR($A1018="",$C1018=""),"",IF(ISNUMBER(Wages!$B1021),MOD(Wages!$B1021,100),IFERROR(VALUE(TRIM(MID(MID(Wages!$B1021,FIND("/",Wages!$B1021)+1,20),FIND("/",MID(Wages!$B1021,FIND("/",Wages!$B1021)+1,20))+1,20))),"")))</f>
        <v/>
      </c>
      <c r="F1018">
        <f>IF($A1018="","",IF(OR($C1018="",$D1018="",$E1018="",$C1018&lt;1300,$C1018&gt;1500,$D1018&lt;1,$D1018&gt;12,$E1018&lt;1,$E1018&gt;31),"نامعتبر",RIGHT("0000"&amp;$C1018,4)&amp;"/"&amp;RIGHT("00"&amp;$D1018,2)&amp;"/"&amp;RIGHT("00"&amp;$E1018,2)))</f>
        <v/>
      </c>
      <c r="G1018">
        <f>IF(OR($A1018="",$F1018="",$F1018="نامعتبر"),"",LEFT($F1018,4)&amp;MID($F1018,6,2)&amp;RIGHT($F1018,2)&amp;"0000"&amp;"|"&amp;"1"&amp;RIGHT("00000"&amp;1013,5))</f>
        <v/>
      </c>
      <c r="H1018">
        <f>IF(OR($B1018&lt;&gt;1,$G1018=""),"",COUNTIFS(LdAParty,$A1018,LdAType,1,LdAKey,"&lt;"&amp;$G1018)+COUNTIFS(LdBMember,$A1018,LdBKey,"&lt;"&amp;$G1018)+COUNTIFS(LdCParty,$A1018,LdCKey,"&lt;"&amp;$G1018)+1)</f>
        <v/>
      </c>
      <c r="I1018">
        <f>IF($H1018="","",$A1018&amp;"|"&amp;RIGHT("000000"&amp;$H1018,6))</f>
        <v/>
      </c>
      <c r="J1018">
        <f>IF(OR($B1018&lt;&gt;2,$G1018=""),"",COUNTIFS(LdAParty,$A1018,LdAType,2,LdAKey,"&lt;"&amp;$G1018)+1)</f>
        <v/>
      </c>
      <c r="K1018">
        <f>IF($J1018="","",$A1018&amp;"|"&amp;RIGHT("000000"&amp;$J1018,6))</f>
        <v/>
      </c>
      <c r="L1018">
        <f>IF($A1018="","",IF(Wages!$G1021="",0,Wages!$G1021))</f>
        <v/>
      </c>
      <c r="M1018">
        <f>IF($A1018="","",Wages!$J1021)</f>
        <v/>
      </c>
      <c r="N1018">
        <f>IF($A1018="","",Wages!$D1021)</f>
        <v/>
      </c>
      <c r="P1018">
        <f>IF(OR(Shares!$B1021="",Shares!$C1021=""),"",Shares!$C1021)</f>
        <v/>
      </c>
      <c r="Q1018">
        <f>IF($P1018="","",Shares!$B1021)</f>
        <v/>
      </c>
      <c r="R1018">
        <f>IF($P1018="","",IFERROR(INDEX(WageParty,MATCH($Q1018,WageIds,0)),""))</f>
        <v/>
      </c>
      <c r="S1018">
        <f>IF($P1018="","",IFERROR(INDEX($F$6:$F$2005,MATCH($Q1018,WageIds,0)),""))</f>
        <v/>
      </c>
      <c r="T1018">
        <f>IF(OR($P1018="",$S1018="",$S1018="نامعتبر"),"",LEFT($S1018,4)&amp;MID($S1018,6,2)&amp;RIGHT($S1018,2)&amp;"0000"&amp;"|"&amp;"2"&amp;RIGHT("00000"&amp;1013,5))</f>
        <v/>
      </c>
      <c r="U1018">
        <f>IF($T1018="","",COUNTIFS(LdAParty,$P1018,LdAType,1,LdAKey,"&lt;"&amp;$T1018)+COUNTIFS(LdBMember,$P1018,LdBKey,"&lt;"&amp;$T1018)+COUNTIFS(LdCParty,$P1018,LdCKey,"&lt;"&amp;$T1018)+1)</f>
        <v/>
      </c>
      <c r="V1018">
        <f>IF($U1018="","",$P1018&amp;"|"&amp;RIGHT("000000"&amp;$U1018,6))</f>
        <v/>
      </c>
      <c r="W1018">
        <f>IF($T1018="","",COUNTIFS(LdBGroup,$R1018,LdBKey,"&lt;"&amp;$T1018)+1)</f>
        <v/>
      </c>
      <c r="X1018">
        <f>IF($W1018="","",$R1018&amp;"|"&amp;RIGHT("000000"&amp;$W1018,6))</f>
        <v/>
      </c>
      <c r="Y1018">
        <f>IF($P1018="","",IF(Shares!$E1021="",0,Shares!$E1021))</f>
        <v/>
      </c>
      <c r="Z1018">
        <f>IF($P1018="","",Shares!$H1021)</f>
        <v/>
      </c>
      <c r="AE1018">
        <f>IF(OR(Sync!$S1018="",Sync!$P1018=""),"",Sync!$S1018)</f>
        <v/>
      </c>
      <c r="AF1018">
        <f>IF($AE1018="","",IF(ISNUMBER(Sync!$P1018),IF(AND(Sync!$P1018&gt;=10000101,Sync!$P1018&lt;=99991231),INT(Sync!$P1018/10000),""),IFERROR(VALUE(TRIM(LEFT(Sync!$P1018,FIND("/",Sync!$P1018)-1))),"")))</f>
        <v/>
      </c>
      <c r="AG1018">
        <f>IF(OR($AE1018="",$AF1018=""),"",IF(ISNUMBER(Sync!$P1018),INT(MOD(Sync!$P1018,10000)/100),IFERROR(VALUE(TRIM(LEFT(MID(Sync!$P1018,FIND("/",Sync!$P1018)+1,20),FIND("/",MID(Sync!$P1018,FIND("/",Sync!$P1018)+1,20))-1))),"")))</f>
        <v/>
      </c>
      <c r="AH1018">
        <f>IF(OR($AE1018="",$AF1018=""),"",IF(ISNUMBER(Sync!$P1018),MOD(Sync!$P1018,100),IFERROR(VALUE(TRIM(MID(MID(Sync!$P1018,FIND("/",Sync!$P1018)+1,20),FIND("/",MID(Sync!$P1018,FIND("/",Sync!$P1018)+1,20))+1,20))),"")))</f>
        <v/>
      </c>
      <c r="AI1018">
        <f>IF($AE1018="","",IF(OR($AF1018="",$AG1018="",$AH1018="",$AF1018&lt;1300,$AF1018&gt;1500,$AG1018&lt;1,$AG1018&gt;12,$AH1018&lt;1,$AH1018&gt;31),"نامعتبر",RIGHT("0000"&amp;$AF1018,4)&amp;"/"&amp;RIGHT("00"&amp;$AG1018,2)&amp;"/"&amp;RIGHT("00"&amp;$AH1018,2)))</f>
        <v/>
      </c>
      <c r="AJ1018">
        <f>IF($AE1018="","",IF(Sync!$Q1018="","0000",IF(AND(ISNUMBER(Sync!$Q1018),Sync!$Q1018&gt;=0,Sync!$Q1018&lt;1),RIGHT("00"&amp;HOUR(Sync!$Q1018),2)&amp;RIGHT("00"&amp;MINUTE(Sync!$Q1018),2),IFERROR(RIGHT("00"&amp;VALUE(LEFT(Sync!$Q1018,FIND(":",Sync!$Q1018)-1)),2)&amp;RIGHT("00"&amp;VALUE(MID(Sync!$Q1018,FIND(":",Sync!$Q1018)+1,2)),2),"0000"))))</f>
        <v/>
      </c>
      <c r="AK1018">
        <f>IF(OR($AE1018="",$AI1018="",$AI1018="نامعتبر"),"",LEFT($AI1018,4)&amp;MID($AI1018,6,2)&amp;RIGHT($AI1018,2)&amp;$AJ1018&amp;"|"&amp;"3"&amp;RIGHT("00000"&amp;1013,5))</f>
        <v/>
      </c>
      <c r="AL1018">
        <f>IF($AK1018="","",COUNTIFS(LdAParty,$AE1018,LdAType,1,LdAKey,"&lt;"&amp;$AK1018)+COUNTIFS(LdBMember,$AE1018,LdBKey,"&lt;"&amp;$AK1018)+COUNTIFS(LdCParty,$AE1018,LdCKey,"&lt;"&amp;$AK1018)+1)</f>
        <v/>
      </c>
      <c r="AM1018">
        <f>IF($AL1018="","",$AE1018&amp;"|"&amp;RIGHT("000000"&amp;$AL1018,6))</f>
        <v/>
      </c>
      <c r="AN1018">
        <f>IF($AE1018="","",IF(Sync!$W1018="",0,Sync!$W1018))</f>
        <v/>
      </c>
      <c r="AO1018">
        <f>IF($AE1018="","",IF(Sync!$X1018="",0,Sync!$X1018))</f>
        <v/>
      </c>
      <c r="AP1018">
        <f>IF($AE1018="","",Sync!$R1018)</f>
        <v/>
      </c>
      <c r="AQ1018">
        <f>IF($AE1018="","",Sync!$Y1018)</f>
        <v/>
      </c>
    </row>
    <row r="1019">
      <c r="A1019">
        <f>IF(OR(Wages!$B1022="",Wages!$E1022=""),"",Wages!$E1022)</f>
        <v/>
      </c>
      <c r="B1019">
        <f>IF($A1019="","",IF(Wages!$C1022="دستمزد گروهی",2,1))</f>
        <v/>
      </c>
      <c r="C1019">
        <f>IF($A1019="","",IF(ISNUMBER(Wages!$B1022),IF(AND(Wages!$B1022&gt;=10000101,Wages!$B1022&lt;=99991231),INT(Wages!$B1022/10000),""),IFERROR(VALUE(TRIM(LEFT(Wages!$B1022,FIND("/",Wages!$B1022)-1))),"")))</f>
        <v/>
      </c>
      <c r="D1019">
        <f>IF(OR($A1019="",$C1019=""),"",IF(ISNUMBER(Wages!$B1022),INT(MOD(Wages!$B1022,10000)/100),IFERROR(VALUE(TRIM(LEFT(MID(Wages!$B1022,FIND("/",Wages!$B1022)+1,20),FIND("/",MID(Wages!$B1022,FIND("/",Wages!$B1022)+1,20))-1))),"")))</f>
        <v/>
      </c>
      <c r="E1019">
        <f>IF(OR($A1019="",$C1019=""),"",IF(ISNUMBER(Wages!$B1022),MOD(Wages!$B1022,100),IFERROR(VALUE(TRIM(MID(MID(Wages!$B1022,FIND("/",Wages!$B1022)+1,20),FIND("/",MID(Wages!$B1022,FIND("/",Wages!$B1022)+1,20))+1,20))),"")))</f>
        <v/>
      </c>
      <c r="F1019">
        <f>IF($A1019="","",IF(OR($C1019="",$D1019="",$E1019="",$C1019&lt;1300,$C1019&gt;1500,$D1019&lt;1,$D1019&gt;12,$E1019&lt;1,$E1019&gt;31),"نامعتبر",RIGHT("0000"&amp;$C1019,4)&amp;"/"&amp;RIGHT("00"&amp;$D1019,2)&amp;"/"&amp;RIGHT("00"&amp;$E1019,2)))</f>
        <v/>
      </c>
      <c r="G1019">
        <f>IF(OR($A1019="",$F1019="",$F1019="نامعتبر"),"",LEFT($F1019,4)&amp;MID($F1019,6,2)&amp;RIGHT($F1019,2)&amp;"0000"&amp;"|"&amp;"1"&amp;RIGHT("00000"&amp;1014,5))</f>
        <v/>
      </c>
      <c r="H1019">
        <f>IF(OR($B1019&lt;&gt;1,$G1019=""),"",COUNTIFS(LdAParty,$A1019,LdAType,1,LdAKey,"&lt;"&amp;$G1019)+COUNTIFS(LdBMember,$A1019,LdBKey,"&lt;"&amp;$G1019)+COUNTIFS(LdCParty,$A1019,LdCKey,"&lt;"&amp;$G1019)+1)</f>
        <v/>
      </c>
      <c r="I1019">
        <f>IF($H1019="","",$A1019&amp;"|"&amp;RIGHT("000000"&amp;$H1019,6))</f>
        <v/>
      </c>
      <c r="J1019">
        <f>IF(OR($B1019&lt;&gt;2,$G1019=""),"",COUNTIFS(LdAParty,$A1019,LdAType,2,LdAKey,"&lt;"&amp;$G1019)+1)</f>
        <v/>
      </c>
      <c r="K1019">
        <f>IF($J1019="","",$A1019&amp;"|"&amp;RIGHT("000000"&amp;$J1019,6))</f>
        <v/>
      </c>
      <c r="L1019">
        <f>IF($A1019="","",IF(Wages!$G1022="",0,Wages!$G1022))</f>
        <v/>
      </c>
      <c r="M1019">
        <f>IF($A1019="","",Wages!$J1022)</f>
        <v/>
      </c>
      <c r="N1019">
        <f>IF($A1019="","",Wages!$D1022)</f>
        <v/>
      </c>
      <c r="P1019">
        <f>IF(OR(Shares!$B1022="",Shares!$C1022=""),"",Shares!$C1022)</f>
        <v/>
      </c>
      <c r="Q1019">
        <f>IF($P1019="","",Shares!$B1022)</f>
        <v/>
      </c>
      <c r="R1019">
        <f>IF($P1019="","",IFERROR(INDEX(WageParty,MATCH($Q1019,WageIds,0)),""))</f>
        <v/>
      </c>
      <c r="S1019">
        <f>IF($P1019="","",IFERROR(INDEX($F$6:$F$2005,MATCH($Q1019,WageIds,0)),""))</f>
        <v/>
      </c>
      <c r="T1019">
        <f>IF(OR($P1019="",$S1019="",$S1019="نامعتبر"),"",LEFT($S1019,4)&amp;MID($S1019,6,2)&amp;RIGHT($S1019,2)&amp;"0000"&amp;"|"&amp;"2"&amp;RIGHT("00000"&amp;1014,5))</f>
        <v/>
      </c>
      <c r="U1019">
        <f>IF($T1019="","",COUNTIFS(LdAParty,$P1019,LdAType,1,LdAKey,"&lt;"&amp;$T1019)+COUNTIFS(LdBMember,$P1019,LdBKey,"&lt;"&amp;$T1019)+COUNTIFS(LdCParty,$P1019,LdCKey,"&lt;"&amp;$T1019)+1)</f>
        <v/>
      </c>
      <c r="V1019">
        <f>IF($U1019="","",$P1019&amp;"|"&amp;RIGHT("000000"&amp;$U1019,6))</f>
        <v/>
      </c>
      <c r="W1019">
        <f>IF($T1019="","",COUNTIFS(LdBGroup,$R1019,LdBKey,"&lt;"&amp;$T1019)+1)</f>
        <v/>
      </c>
      <c r="X1019">
        <f>IF($W1019="","",$R1019&amp;"|"&amp;RIGHT("000000"&amp;$W1019,6))</f>
        <v/>
      </c>
      <c r="Y1019">
        <f>IF($P1019="","",IF(Shares!$E1022="",0,Shares!$E1022))</f>
        <v/>
      </c>
      <c r="Z1019">
        <f>IF($P1019="","",Shares!$H1022)</f>
        <v/>
      </c>
      <c r="AE1019">
        <f>IF(OR(Sync!$S1019="",Sync!$P1019=""),"",Sync!$S1019)</f>
        <v/>
      </c>
      <c r="AF1019">
        <f>IF($AE1019="","",IF(ISNUMBER(Sync!$P1019),IF(AND(Sync!$P1019&gt;=10000101,Sync!$P1019&lt;=99991231),INT(Sync!$P1019/10000),""),IFERROR(VALUE(TRIM(LEFT(Sync!$P1019,FIND("/",Sync!$P1019)-1))),"")))</f>
        <v/>
      </c>
      <c r="AG1019">
        <f>IF(OR($AE1019="",$AF1019=""),"",IF(ISNUMBER(Sync!$P1019),INT(MOD(Sync!$P1019,10000)/100),IFERROR(VALUE(TRIM(LEFT(MID(Sync!$P1019,FIND("/",Sync!$P1019)+1,20),FIND("/",MID(Sync!$P1019,FIND("/",Sync!$P1019)+1,20))-1))),"")))</f>
        <v/>
      </c>
      <c r="AH1019">
        <f>IF(OR($AE1019="",$AF1019=""),"",IF(ISNUMBER(Sync!$P1019),MOD(Sync!$P1019,100),IFERROR(VALUE(TRIM(MID(MID(Sync!$P1019,FIND("/",Sync!$P1019)+1,20),FIND("/",MID(Sync!$P1019,FIND("/",Sync!$P1019)+1,20))+1,20))),"")))</f>
        <v/>
      </c>
      <c r="AI1019">
        <f>IF($AE1019="","",IF(OR($AF1019="",$AG1019="",$AH1019="",$AF1019&lt;1300,$AF1019&gt;1500,$AG1019&lt;1,$AG1019&gt;12,$AH1019&lt;1,$AH1019&gt;31),"نامعتبر",RIGHT("0000"&amp;$AF1019,4)&amp;"/"&amp;RIGHT("00"&amp;$AG1019,2)&amp;"/"&amp;RIGHT("00"&amp;$AH1019,2)))</f>
        <v/>
      </c>
      <c r="AJ1019">
        <f>IF($AE1019="","",IF(Sync!$Q1019="","0000",IF(AND(ISNUMBER(Sync!$Q1019),Sync!$Q1019&gt;=0,Sync!$Q1019&lt;1),RIGHT("00"&amp;HOUR(Sync!$Q1019),2)&amp;RIGHT("00"&amp;MINUTE(Sync!$Q1019),2),IFERROR(RIGHT("00"&amp;VALUE(LEFT(Sync!$Q1019,FIND(":",Sync!$Q1019)-1)),2)&amp;RIGHT("00"&amp;VALUE(MID(Sync!$Q1019,FIND(":",Sync!$Q1019)+1,2)),2),"0000"))))</f>
        <v/>
      </c>
      <c r="AK1019">
        <f>IF(OR($AE1019="",$AI1019="",$AI1019="نامعتبر"),"",LEFT($AI1019,4)&amp;MID($AI1019,6,2)&amp;RIGHT($AI1019,2)&amp;$AJ1019&amp;"|"&amp;"3"&amp;RIGHT("00000"&amp;1014,5))</f>
        <v/>
      </c>
      <c r="AL1019">
        <f>IF($AK1019="","",COUNTIFS(LdAParty,$AE1019,LdAType,1,LdAKey,"&lt;"&amp;$AK1019)+COUNTIFS(LdBMember,$AE1019,LdBKey,"&lt;"&amp;$AK1019)+COUNTIFS(LdCParty,$AE1019,LdCKey,"&lt;"&amp;$AK1019)+1)</f>
        <v/>
      </c>
      <c r="AM1019">
        <f>IF($AL1019="","",$AE1019&amp;"|"&amp;RIGHT("000000"&amp;$AL1019,6))</f>
        <v/>
      </c>
      <c r="AN1019">
        <f>IF($AE1019="","",IF(Sync!$W1019="",0,Sync!$W1019))</f>
        <v/>
      </c>
      <c r="AO1019">
        <f>IF($AE1019="","",IF(Sync!$X1019="",0,Sync!$X1019))</f>
        <v/>
      </c>
      <c r="AP1019">
        <f>IF($AE1019="","",Sync!$R1019)</f>
        <v/>
      </c>
      <c r="AQ1019">
        <f>IF($AE1019="","",Sync!$Y1019)</f>
        <v/>
      </c>
    </row>
    <row r="1020">
      <c r="A1020">
        <f>IF(OR(Wages!$B1023="",Wages!$E1023=""),"",Wages!$E1023)</f>
        <v/>
      </c>
      <c r="B1020">
        <f>IF($A1020="","",IF(Wages!$C1023="دستمزد گروهی",2,1))</f>
        <v/>
      </c>
      <c r="C1020">
        <f>IF($A1020="","",IF(ISNUMBER(Wages!$B1023),IF(AND(Wages!$B1023&gt;=10000101,Wages!$B1023&lt;=99991231),INT(Wages!$B1023/10000),""),IFERROR(VALUE(TRIM(LEFT(Wages!$B1023,FIND("/",Wages!$B1023)-1))),"")))</f>
        <v/>
      </c>
      <c r="D1020">
        <f>IF(OR($A1020="",$C1020=""),"",IF(ISNUMBER(Wages!$B1023),INT(MOD(Wages!$B1023,10000)/100),IFERROR(VALUE(TRIM(LEFT(MID(Wages!$B1023,FIND("/",Wages!$B1023)+1,20),FIND("/",MID(Wages!$B1023,FIND("/",Wages!$B1023)+1,20))-1))),"")))</f>
        <v/>
      </c>
      <c r="E1020">
        <f>IF(OR($A1020="",$C1020=""),"",IF(ISNUMBER(Wages!$B1023),MOD(Wages!$B1023,100),IFERROR(VALUE(TRIM(MID(MID(Wages!$B1023,FIND("/",Wages!$B1023)+1,20),FIND("/",MID(Wages!$B1023,FIND("/",Wages!$B1023)+1,20))+1,20))),"")))</f>
        <v/>
      </c>
      <c r="F1020">
        <f>IF($A1020="","",IF(OR($C1020="",$D1020="",$E1020="",$C1020&lt;1300,$C1020&gt;1500,$D1020&lt;1,$D1020&gt;12,$E1020&lt;1,$E1020&gt;31),"نامعتبر",RIGHT("0000"&amp;$C1020,4)&amp;"/"&amp;RIGHT("00"&amp;$D1020,2)&amp;"/"&amp;RIGHT("00"&amp;$E1020,2)))</f>
        <v/>
      </c>
      <c r="G1020">
        <f>IF(OR($A1020="",$F1020="",$F1020="نامعتبر"),"",LEFT($F1020,4)&amp;MID($F1020,6,2)&amp;RIGHT($F1020,2)&amp;"0000"&amp;"|"&amp;"1"&amp;RIGHT("00000"&amp;1015,5))</f>
        <v/>
      </c>
      <c r="H1020">
        <f>IF(OR($B1020&lt;&gt;1,$G1020=""),"",COUNTIFS(LdAParty,$A1020,LdAType,1,LdAKey,"&lt;"&amp;$G1020)+COUNTIFS(LdBMember,$A1020,LdBKey,"&lt;"&amp;$G1020)+COUNTIFS(LdCParty,$A1020,LdCKey,"&lt;"&amp;$G1020)+1)</f>
        <v/>
      </c>
      <c r="I1020">
        <f>IF($H1020="","",$A1020&amp;"|"&amp;RIGHT("000000"&amp;$H1020,6))</f>
        <v/>
      </c>
      <c r="J1020">
        <f>IF(OR($B1020&lt;&gt;2,$G1020=""),"",COUNTIFS(LdAParty,$A1020,LdAType,2,LdAKey,"&lt;"&amp;$G1020)+1)</f>
        <v/>
      </c>
      <c r="K1020">
        <f>IF($J1020="","",$A1020&amp;"|"&amp;RIGHT("000000"&amp;$J1020,6))</f>
        <v/>
      </c>
      <c r="L1020">
        <f>IF($A1020="","",IF(Wages!$G1023="",0,Wages!$G1023))</f>
        <v/>
      </c>
      <c r="M1020">
        <f>IF($A1020="","",Wages!$J1023)</f>
        <v/>
      </c>
      <c r="N1020">
        <f>IF($A1020="","",Wages!$D1023)</f>
        <v/>
      </c>
      <c r="P1020">
        <f>IF(OR(Shares!$B1023="",Shares!$C1023=""),"",Shares!$C1023)</f>
        <v/>
      </c>
      <c r="Q1020">
        <f>IF($P1020="","",Shares!$B1023)</f>
        <v/>
      </c>
      <c r="R1020">
        <f>IF($P1020="","",IFERROR(INDEX(WageParty,MATCH($Q1020,WageIds,0)),""))</f>
        <v/>
      </c>
      <c r="S1020">
        <f>IF($P1020="","",IFERROR(INDEX($F$6:$F$2005,MATCH($Q1020,WageIds,0)),""))</f>
        <v/>
      </c>
      <c r="T1020">
        <f>IF(OR($P1020="",$S1020="",$S1020="نامعتبر"),"",LEFT($S1020,4)&amp;MID($S1020,6,2)&amp;RIGHT($S1020,2)&amp;"0000"&amp;"|"&amp;"2"&amp;RIGHT("00000"&amp;1015,5))</f>
        <v/>
      </c>
      <c r="U1020">
        <f>IF($T1020="","",COUNTIFS(LdAParty,$P1020,LdAType,1,LdAKey,"&lt;"&amp;$T1020)+COUNTIFS(LdBMember,$P1020,LdBKey,"&lt;"&amp;$T1020)+COUNTIFS(LdCParty,$P1020,LdCKey,"&lt;"&amp;$T1020)+1)</f>
        <v/>
      </c>
      <c r="V1020">
        <f>IF($U1020="","",$P1020&amp;"|"&amp;RIGHT("000000"&amp;$U1020,6))</f>
        <v/>
      </c>
      <c r="W1020">
        <f>IF($T1020="","",COUNTIFS(LdBGroup,$R1020,LdBKey,"&lt;"&amp;$T1020)+1)</f>
        <v/>
      </c>
      <c r="X1020">
        <f>IF($W1020="","",$R1020&amp;"|"&amp;RIGHT("000000"&amp;$W1020,6))</f>
        <v/>
      </c>
      <c r="Y1020">
        <f>IF($P1020="","",IF(Shares!$E1023="",0,Shares!$E1023))</f>
        <v/>
      </c>
      <c r="Z1020">
        <f>IF($P1020="","",Shares!$H1023)</f>
        <v/>
      </c>
      <c r="AE1020">
        <f>IF(OR(Sync!$S1020="",Sync!$P1020=""),"",Sync!$S1020)</f>
        <v/>
      </c>
      <c r="AF1020">
        <f>IF($AE1020="","",IF(ISNUMBER(Sync!$P1020),IF(AND(Sync!$P1020&gt;=10000101,Sync!$P1020&lt;=99991231),INT(Sync!$P1020/10000),""),IFERROR(VALUE(TRIM(LEFT(Sync!$P1020,FIND("/",Sync!$P1020)-1))),"")))</f>
        <v/>
      </c>
      <c r="AG1020">
        <f>IF(OR($AE1020="",$AF1020=""),"",IF(ISNUMBER(Sync!$P1020),INT(MOD(Sync!$P1020,10000)/100),IFERROR(VALUE(TRIM(LEFT(MID(Sync!$P1020,FIND("/",Sync!$P1020)+1,20),FIND("/",MID(Sync!$P1020,FIND("/",Sync!$P1020)+1,20))-1))),"")))</f>
        <v/>
      </c>
      <c r="AH1020">
        <f>IF(OR($AE1020="",$AF1020=""),"",IF(ISNUMBER(Sync!$P1020),MOD(Sync!$P1020,100),IFERROR(VALUE(TRIM(MID(MID(Sync!$P1020,FIND("/",Sync!$P1020)+1,20),FIND("/",MID(Sync!$P1020,FIND("/",Sync!$P1020)+1,20))+1,20))),"")))</f>
        <v/>
      </c>
      <c r="AI1020">
        <f>IF($AE1020="","",IF(OR($AF1020="",$AG1020="",$AH1020="",$AF1020&lt;1300,$AF1020&gt;1500,$AG1020&lt;1,$AG1020&gt;12,$AH1020&lt;1,$AH1020&gt;31),"نامعتبر",RIGHT("0000"&amp;$AF1020,4)&amp;"/"&amp;RIGHT("00"&amp;$AG1020,2)&amp;"/"&amp;RIGHT("00"&amp;$AH1020,2)))</f>
        <v/>
      </c>
      <c r="AJ1020">
        <f>IF($AE1020="","",IF(Sync!$Q1020="","0000",IF(AND(ISNUMBER(Sync!$Q1020),Sync!$Q1020&gt;=0,Sync!$Q1020&lt;1),RIGHT("00"&amp;HOUR(Sync!$Q1020),2)&amp;RIGHT("00"&amp;MINUTE(Sync!$Q1020),2),IFERROR(RIGHT("00"&amp;VALUE(LEFT(Sync!$Q1020,FIND(":",Sync!$Q1020)-1)),2)&amp;RIGHT("00"&amp;VALUE(MID(Sync!$Q1020,FIND(":",Sync!$Q1020)+1,2)),2),"0000"))))</f>
        <v/>
      </c>
      <c r="AK1020">
        <f>IF(OR($AE1020="",$AI1020="",$AI1020="نامعتبر"),"",LEFT($AI1020,4)&amp;MID($AI1020,6,2)&amp;RIGHT($AI1020,2)&amp;$AJ1020&amp;"|"&amp;"3"&amp;RIGHT("00000"&amp;1015,5))</f>
        <v/>
      </c>
      <c r="AL1020">
        <f>IF($AK1020="","",COUNTIFS(LdAParty,$AE1020,LdAType,1,LdAKey,"&lt;"&amp;$AK1020)+COUNTIFS(LdBMember,$AE1020,LdBKey,"&lt;"&amp;$AK1020)+COUNTIFS(LdCParty,$AE1020,LdCKey,"&lt;"&amp;$AK1020)+1)</f>
        <v/>
      </c>
      <c r="AM1020">
        <f>IF($AL1020="","",$AE1020&amp;"|"&amp;RIGHT("000000"&amp;$AL1020,6))</f>
        <v/>
      </c>
      <c r="AN1020">
        <f>IF($AE1020="","",IF(Sync!$W1020="",0,Sync!$W1020))</f>
        <v/>
      </c>
      <c r="AO1020">
        <f>IF($AE1020="","",IF(Sync!$X1020="",0,Sync!$X1020))</f>
        <v/>
      </c>
      <c r="AP1020">
        <f>IF($AE1020="","",Sync!$R1020)</f>
        <v/>
      </c>
      <c r="AQ1020">
        <f>IF($AE1020="","",Sync!$Y1020)</f>
        <v/>
      </c>
    </row>
    <row r="1021">
      <c r="A1021">
        <f>IF(OR(Wages!$B1024="",Wages!$E1024=""),"",Wages!$E1024)</f>
        <v/>
      </c>
      <c r="B1021">
        <f>IF($A1021="","",IF(Wages!$C1024="دستمزد گروهی",2,1))</f>
        <v/>
      </c>
      <c r="C1021">
        <f>IF($A1021="","",IF(ISNUMBER(Wages!$B1024),IF(AND(Wages!$B1024&gt;=10000101,Wages!$B1024&lt;=99991231),INT(Wages!$B1024/10000),""),IFERROR(VALUE(TRIM(LEFT(Wages!$B1024,FIND("/",Wages!$B1024)-1))),"")))</f>
        <v/>
      </c>
      <c r="D1021">
        <f>IF(OR($A1021="",$C1021=""),"",IF(ISNUMBER(Wages!$B1024),INT(MOD(Wages!$B1024,10000)/100),IFERROR(VALUE(TRIM(LEFT(MID(Wages!$B1024,FIND("/",Wages!$B1024)+1,20),FIND("/",MID(Wages!$B1024,FIND("/",Wages!$B1024)+1,20))-1))),"")))</f>
        <v/>
      </c>
      <c r="E1021">
        <f>IF(OR($A1021="",$C1021=""),"",IF(ISNUMBER(Wages!$B1024),MOD(Wages!$B1024,100),IFERROR(VALUE(TRIM(MID(MID(Wages!$B1024,FIND("/",Wages!$B1024)+1,20),FIND("/",MID(Wages!$B1024,FIND("/",Wages!$B1024)+1,20))+1,20))),"")))</f>
        <v/>
      </c>
      <c r="F1021">
        <f>IF($A1021="","",IF(OR($C1021="",$D1021="",$E1021="",$C1021&lt;1300,$C1021&gt;1500,$D1021&lt;1,$D1021&gt;12,$E1021&lt;1,$E1021&gt;31),"نامعتبر",RIGHT("0000"&amp;$C1021,4)&amp;"/"&amp;RIGHT("00"&amp;$D1021,2)&amp;"/"&amp;RIGHT("00"&amp;$E1021,2)))</f>
        <v/>
      </c>
      <c r="G1021">
        <f>IF(OR($A1021="",$F1021="",$F1021="نامعتبر"),"",LEFT($F1021,4)&amp;MID($F1021,6,2)&amp;RIGHT($F1021,2)&amp;"0000"&amp;"|"&amp;"1"&amp;RIGHT("00000"&amp;1016,5))</f>
        <v/>
      </c>
      <c r="H1021">
        <f>IF(OR($B1021&lt;&gt;1,$G1021=""),"",COUNTIFS(LdAParty,$A1021,LdAType,1,LdAKey,"&lt;"&amp;$G1021)+COUNTIFS(LdBMember,$A1021,LdBKey,"&lt;"&amp;$G1021)+COUNTIFS(LdCParty,$A1021,LdCKey,"&lt;"&amp;$G1021)+1)</f>
        <v/>
      </c>
      <c r="I1021">
        <f>IF($H1021="","",$A1021&amp;"|"&amp;RIGHT("000000"&amp;$H1021,6))</f>
        <v/>
      </c>
      <c r="J1021">
        <f>IF(OR($B1021&lt;&gt;2,$G1021=""),"",COUNTIFS(LdAParty,$A1021,LdAType,2,LdAKey,"&lt;"&amp;$G1021)+1)</f>
        <v/>
      </c>
      <c r="K1021">
        <f>IF($J1021="","",$A1021&amp;"|"&amp;RIGHT("000000"&amp;$J1021,6))</f>
        <v/>
      </c>
      <c r="L1021">
        <f>IF($A1021="","",IF(Wages!$G1024="",0,Wages!$G1024))</f>
        <v/>
      </c>
      <c r="M1021">
        <f>IF($A1021="","",Wages!$J1024)</f>
        <v/>
      </c>
      <c r="N1021">
        <f>IF($A1021="","",Wages!$D1024)</f>
        <v/>
      </c>
      <c r="P1021">
        <f>IF(OR(Shares!$B1024="",Shares!$C1024=""),"",Shares!$C1024)</f>
        <v/>
      </c>
      <c r="Q1021">
        <f>IF($P1021="","",Shares!$B1024)</f>
        <v/>
      </c>
      <c r="R1021">
        <f>IF($P1021="","",IFERROR(INDEX(WageParty,MATCH($Q1021,WageIds,0)),""))</f>
        <v/>
      </c>
      <c r="S1021">
        <f>IF($P1021="","",IFERROR(INDEX($F$6:$F$2005,MATCH($Q1021,WageIds,0)),""))</f>
        <v/>
      </c>
      <c r="T1021">
        <f>IF(OR($P1021="",$S1021="",$S1021="نامعتبر"),"",LEFT($S1021,4)&amp;MID($S1021,6,2)&amp;RIGHT($S1021,2)&amp;"0000"&amp;"|"&amp;"2"&amp;RIGHT("00000"&amp;1016,5))</f>
        <v/>
      </c>
      <c r="U1021">
        <f>IF($T1021="","",COUNTIFS(LdAParty,$P1021,LdAType,1,LdAKey,"&lt;"&amp;$T1021)+COUNTIFS(LdBMember,$P1021,LdBKey,"&lt;"&amp;$T1021)+COUNTIFS(LdCParty,$P1021,LdCKey,"&lt;"&amp;$T1021)+1)</f>
        <v/>
      </c>
      <c r="V1021">
        <f>IF($U1021="","",$P1021&amp;"|"&amp;RIGHT("000000"&amp;$U1021,6))</f>
        <v/>
      </c>
      <c r="W1021">
        <f>IF($T1021="","",COUNTIFS(LdBGroup,$R1021,LdBKey,"&lt;"&amp;$T1021)+1)</f>
        <v/>
      </c>
      <c r="X1021">
        <f>IF($W1021="","",$R1021&amp;"|"&amp;RIGHT("000000"&amp;$W1021,6))</f>
        <v/>
      </c>
      <c r="Y1021">
        <f>IF($P1021="","",IF(Shares!$E1024="",0,Shares!$E1024))</f>
        <v/>
      </c>
      <c r="Z1021">
        <f>IF($P1021="","",Shares!$H1024)</f>
        <v/>
      </c>
      <c r="AE1021">
        <f>IF(OR(Sync!$S1021="",Sync!$P1021=""),"",Sync!$S1021)</f>
        <v/>
      </c>
      <c r="AF1021">
        <f>IF($AE1021="","",IF(ISNUMBER(Sync!$P1021),IF(AND(Sync!$P1021&gt;=10000101,Sync!$P1021&lt;=99991231),INT(Sync!$P1021/10000),""),IFERROR(VALUE(TRIM(LEFT(Sync!$P1021,FIND("/",Sync!$P1021)-1))),"")))</f>
        <v/>
      </c>
      <c r="AG1021">
        <f>IF(OR($AE1021="",$AF1021=""),"",IF(ISNUMBER(Sync!$P1021),INT(MOD(Sync!$P1021,10000)/100),IFERROR(VALUE(TRIM(LEFT(MID(Sync!$P1021,FIND("/",Sync!$P1021)+1,20),FIND("/",MID(Sync!$P1021,FIND("/",Sync!$P1021)+1,20))-1))),"")))</f>
        <v/>
      </c>
      <c r="AH1021">
        <f>IF(OR($AE1021="",$AF1021=""),"",IF(ISNUMBER(Sync!$P1021),MOD(Sync!$P1021,100),IFERROR(VALUE(TRIM(MID(MID(Sync!$P1021,FIND("/",Sync!$P1021)+1,20),FIND("/",MID(Sync!$P1021,FIND("/",Sync!$P1021)+1,20))+1,20))),"")))</f>
        <v/>
      </c>
      <c r="AI1021">
        <f>IF($AE1021="","",IF(OR($AF1021="",$AG1021="",$AH1021="",$AF1021&lt;1300,$AF1021&gt;1500,$AG1021&lt;1,$AG1021&gt;12,$AH1021&lt;1,$AH1021&gt;31),"نامعتبر",RIGHT("0000"&amp;$AF1021,4)&amp;"/"&amp;RIGHT("00"&amp;$AG1021,2)&amp;"/"&amp;RIGHT("00"&amp;$AH1021,2)))</f>
        <v/>
      </c>
      <c r="AJ1021">
        <f>IF($AE1021="","",IF(Sync!$Q1021="","0000",IF(AND(ISNUMBER(Sync!$Q1021),Sync!$Q1021&gt;=0,Sync!$Q1021&lt;1),RIGHT("00"&amp;HOUR(Sync!$Q1021),2)&amp;RIGHT("00"&amp;MINUTE(Sync!$Q1021),2),IFERROR(RIGHT("00"&amp;VALUE(LEFT(Sync!$Q1021,FIND(":",Sync!$Q1021)-1)),2)&amp;RIGHT("00"&amp;VALUE(MID(Sync!$Q1021,FIND(":",Sync!$Q1021)+1,2)),2),"0000"))))</f>
        <v/>
      </c>
      <c r="AK1021">
        <f>IF(OR($AE1021="",$AI1021="",$AI1021="نامعتبر"),"",LEFT($AI1021,4)&amp;MID($AI1021,6,2)&amp;RIGHT($AI1021,2)&amp;$AJ1021&amp;"|"&amp;"3"&amp;RIGHT("00000"&amp;1016,5))</f>
        <v/>
      </c>
      <c r="AL1021">
        <f>IF($AK1021="","",COUNTIFS(LdAParty,$AE1021,LdAType,1,LdAKey,"&lt;"&amp;$AK1021)+COUNTIFS(LdBMember,$AE1021,LdBKey,"&lt;"&amp;$AK1021)+COUNTIFS(LdCParty,$AE1021,LdCKey,"&lt;"&amp;$AK1021)+1)</f>
        <v/>
      </c>
      <c r="AM1021">
        <f>IF($AL1021="","",$AE1021&amp;"|"&amp;RIGHT("000000"&amp;$AL1021,6))</f>
        <v/>
      </c>
      <c r="AN1021">
        <f>IF($AE1021="","",IF(Sync!$W1021="",0,Sync!$W1021))</f>
        <v/>
      </c>
      <c r="AO1021">
        <f>IF($AE1021="","",IF(Sync!$X1021="",0,Sync!$X1021))</f>
        <v/>
      </c>
      <c r="AP1021">
        <f>IF($AE1021="","",Sync!$R1021)</f>
        <v/>
      </c>
      <c r="AQ1021">
        <f>IF($AE1021="","",Sync!$Y1021)</f>
        <v/>
      </c>
    </row>
    <row r="1022">
      <c r="A1022">
        <f>IF(OR(Wages!$B1025="",Wages!$E1025=""),"",Wages!$E1025)</f>
        <v/>
      </c>
      <c r="B1022">
        <f>IF($A1022="","",IF(Wages!$C1025="دستمزد گروهی",2,1))</f>
        <v/>
      </c>
      <c r="C1022">
        <f>IF($A1022="","",IF(ISNUMBER(Wages!$B1025),IF(AND(Wages!$B1025&gt;=10000101,Wages!$B1025&lt;=99991231),INT(Wages!$B1025/10000),""),IFERROR(VALUE(TRIM(LEFT(Wages!$B1025,FIND("/",Wages!$B1025)-1))),"")))</f>
        <v/>
      </c>
      <c r="D1022">
        <f>IF(OR($A1022="",$C1022=""),"",IF(ISNUMBER(Wages!$B1025),INT(MOD(Wages!$B1025,10000)/100),IFERROR(VALUE(TRIM(LEFT(MID(Wages!$B1025,FIND("/",Wages!$B1025)+1,20),FIND("/",MID(Wages!$B1025,FIND("/",Wages!$B1025)+1,20))-1))),"")))</f>
        <v/>
      </c>
      <c r="E1022">
        <f>IF(OR($A1022="",$C1022=""),"",IF(ISNUMBER(Wages!$B1025),MOD(Wages!$B1025,100),IFERROR(VALUE(TRIM(MID(MID(Wages!$B1025,FIND("/",Wages!$B1025)+1,20),FIND("/",MID(Wages!$B1025,FIND("/",Wages!$B1025)+1,20))+1,20))),"")))</f>
        <v/>
      </c>
      <c r="F1022">
        <f>IF($A1022="","",IF(OR($C1022="",$D1022="",$E1022="",$C1022&lt;1300,$C1022&gt;1500,$D1022&lt;1,$D1022&gt;12,$E1022&lt;1,$E1022&gt;31),"نامعتبر",RIGHT("0000"&amp;$C1022,4)&amp;"/"&amp;RIGHT("00"&amp;$D1022,2)&amp;"/"&amp;RIGHT("00"&amp;$E1022,2)))</f>
        <v/>
      </c>
      <c r="G1022">
        <f>IF(OR($A1022="",$F1022="",$F1022="نامعتبر"),"",LEFT($F1022,4)&amp;MID($F1022,6,2)&amp;RIGHT($F1022,2)&amp;"0000"&amp;"|"&amp;"1"&amp;RIGHT("00000"&amp;1017,5))</f>
        <v/>
      </c>
      <c r="H1022">
        <f>IF(OR($B1022&lt;&gt;1,$G1022=""),"",COUNTIFS(LdAParty,$A1022,LdAType,1,LdAKey,"&lt;"&amp;$G1022)+COUNTIFS(LdBMember,$A1022,LdBKey,"&lt;"&amp;$G1022)+COUNTIFS(LdCParty,$A1022,LdCKey,"&lt;"&amp;$G1022)+1)</f>
        <v/>
      </c>
      <c r="I1022">
        <f>IF($H1022="","",$A1022&amp;"|"&amp;RIGHT("000000"&amp;$H1022,6))</f>
        <v/>
      </c>
      <c r="J1022">
        <f>IF(OR($B1022&lt;&gt;2,$G1022=""),"",COUNTIFS(LdAParty,$A1022,LdAType,2,LdAKey,"&lt;"&amp;$G1022)+1)</f>
        <v/>
      </c>
      <c r="K1022">
        <f>IF($J1022="","",$A1022&amp;"|"&amp;RIGHT("000000"&amp;$J1022,6))</f>
        <v/>
      </c>
      <c r="L1022">
        <f>IF($A1022="","",IF(Wages!$G1025="",0,Wages!$G1025))</f>
        <v/>
      </c>
      <c r="M1022">
        <f>IF($A1022="","",Wages!$J1025)</f>
        <v/>
      </c>
      <c r="N1022">
        <f>IF($A1022="","",Wages!$D1025)</f>
        <v/>
      </c>
      <c r="P1022">
        <f>IF(OR(Shares!$B1025="",Shares!$C1025=""),"",Shares!$C1025)</f>
        <v/>
      </c>
      <c r="Q1022">
        <f>IF($P1022="","",Shares!$B1025)</f>
        <v/>
      </c>
      <c r="R1022">
        <f>IF($P1022="","",IFERROR(INDEX(WageParty,MATCH($Q1022,WageIds,0)),""))</f>
        <v/>
      </c>
      <c r="S1022">
        <f>IF($P1022="","",IFERROR(INDEX($F$6:$F$2005,MATCH($Q1022,WageIds,0)),""))</f>
        <v/>
      </c>
      <c r="T1022">
        <f>IF(OR($P1022="",$S1022="",$S1022="نامعتبر"),"",LEFT($S1022,4)&amp;MID($S1022,6,2)&amp;RIGHT($S1022,2)&amp;"0000"&amp;"|"&amp;"2"&amp;RIGHT("00000"&amp;1017,5))</f>
        <v/>
      </c>
      <c r="U1022">
        <f>IF($T1022="","",COUNTIFS(LdAParty,$P1022,LdAType,1,LdAKey,"&lt;"&amp;$T1022)+COUNTIFS(LdBMember,$P1022,LdBKey,"&lt;"&amp;$T1022)+COUNTIFS(LdCParty,$P1022,LdCKey,"&lt;"&amp;$T1022)+1)</f>
        <v/>
      </c>
      <c r="V1022">
        <f>IF($U1022="","",$P1022&amp;"|"&amp;RIGHT("000000"&amp;$U1022,6))</f>
        <v/>
      </c>
      <c r="W1022">
        <f>IF($T1022="","",COUNTIFS(LdBGroup,$R1022,LdBKey,"&lt;"&amp;$T1022)+1)</f>
        <v/>
      </c>
      <c r="X1022">
        <f>IF($W1022="","",$R1022&amp;"|"&amp;RIGHT("000000"&amp;$W1022,6))</f>
        <v/>
      </c>
      <c r="Y1022">
        <f>IF($P1022="","",IF(Shares!$E1025="",0,Shares!$E1025))</f>
        <v/>
      </c>
      <c r="Z1022">
        <f>IF($P1022="","",Shares!$H1025)</f>
        <v/>
      </c>
      <c r="AE1022">
        <f>IF(OR(Sync!$S1022="",Sync!$P1022=""),"",Sync!$S1022)</f>
        <v/>
      </c>
      <c r="AF1022">
        <f>IF($AE1022="","",IF(ISNUMBER(Sync!$P1022),IF(AND(Sync!$P1022&gt;=10000101,Sync!$P1022&lt;=99991231),INT(Sync!$P1022/10000),""),IFERROR(VALUE(TRIM(LEFT(Sync!$P1022,FIND("/",Sync!$P1022)-1))),"")))</f>
        <v/>
      </c>
      <c r="AG1022">
        <f>IF(OR($AE1022="",$AF1022=""),"",IF(ISNUMBER(Sync!$P1022),INT(MOD(Sync!$P1022,10000)/100),IFERROR(VALUE(TRIM(LEFT(MID(Sync!$P1022,FIND("/",Sync!$P1022)+1,20),FIND("/",MID(Sync!$P1022,FIND("/",Sync!$P1022)+1,20))-1))),"")))</f>
        <v/>
      </c>
      <c r="AH1022">
        <f>IF(OR($AE1022="",$AF1022=""),"",IF(ISNUMBER(Sync!$P1022),MOD(Sync!$P1022,100),IFERROR(VALUE(TRIM(MID(MID(Sync!$P1022,FIND("/",Sync!$P1022)+1,20),FIND("/",MID(Sync!$P1022,FIND("/",Sync!$P1022)+1,20))+1,20))),"")))</f>
        <v/>
      </c>
      <c r="AI1022">
        <f>IF($AE1022="","",IF(OR($AF1022="",$AG1022="",$AH1022="",$AF1022&lt;1300,$AF1022&gt;1500,$AG1022&lt;1,$AG1022&gt;12,$AH1022&lt;1,$AH1022&gt;31),"نامعتبر",RIGHT("0000"&amp;$AF1022,4)&amp;"/"&amp;RIGHT("00"&amp;$AG1022,2)&amp;"/"&amp;RIGHT("00"&amp;$AH1022,2)))</f>
        <v/>
      </c>
      <c r="AJ1022">
        <f>IF($AE1022="","",IF(Sync!$Q1022="","0000",IF(AND(ISNUMBER(Sync!$Q1022),Sync!$Q1022&gt;=0,Sync!$Q1022&lt;1),RIGHT("00"&amp;HOUR(Sync!$Q1022),2)&amp;RIGHT("00"&amp;MINUTE(Sync!$Q1022),2),IFERROR(RIGHT("00"&amp;VALUE(LEFT(Sync!$Q1022,FIND(":",Sync!$Q1022)-1)),2)&amp;RIGHT("00"&amp;VALUE(MID(Sync!$Q1022,FIND(":",Sync!$Q1022)+1,2)),2),"0000"))))</f>
        <v/>
      </c>
      <c r="AK1022">
        <f>IF(OR($AE1022="",$AI1022="",$AI1022="نامعتبر"),"",LEFT($AI1022,4)&amp;MID($AI1022,6,2)&amp;RIGHT($AI1022,2)&amp;$AJ1022&amp;"|"&amp;"3"&amp;RIGHT("00000"&amp;1017,5))</f>
        <v/>
      </c>
      <c r="AL1022">
        <f>IF($AK1022="","",COUNTIFS(LdAParty,$AE1022,LdAType,1,LdAKey,"&lt;"&amp;$AK1022)+COUNTIFS(LdBMember,$AE1022,LdBKey,"&lt;"&amp;$AK1022)+COUNTIFS(LdCParty,$AE1022,LdCKey,"&lt;"&amp;$AK1022)+1)</f>
        <v/>
      </c>
      <c r="AM1022">
        <f>IF($AL1022="","",$AE1022&amp;"|"&amp;RIGHT("000000"&amp;$AL1022,6))</f>
        <v/>
      </c>
      <c r="AN1022">
        <f>IF($AE1022="","",IF(Sync!$W1022="",0,Sync!$W1022))</f>
        <v/>
      </c>
      <c r="AO1022">
        <f>IF($AE1022="","",IF(Sync!$X1022="",0,Sync!$X1022))</f>
        <v/>
      </c>
      <c r="AP1022">
        <f>IF($AE1022="","",Sync!$R1022)</f>
        <v/>
      </c>
      <c r="AQ1022">
        <f>IF($AE1022="","",Sync!$Y1022)</f>
        <v/>
      </c>
    </row>
    <row r="1023">
      <c r="A1023">
        <f>IF(OR(Wages!$B1026="",Wages!$E1026=""),"",Wages!$E1026)</f>
        <v/>
      </c>
      <c r="B1023">
        <f>IF($A1023="","",IF(Wages!$C1026="دستمزد گروهی",2,1))</f>
        <v/>
      </c>
      <c r="C1023">
        <f>IF($A1023="","",IF(ISNUMBER(Wages!$B1026),IF(AND(Wages!$B1026&gt;=10000101,Wages!$B1026&lt;=99991231),INT(Wages!$B1026/10000),""),IFERROR(VALUE(TRIM(LEFT(Wages!$B1026,FIND("/",Wages!$B1026)-1))),"")))</f>
        <v/>
      </c>
      <c r="D1023">
        <f>IF(OR($A1023="",$C1023=""),"",IF(ISNUMBER(Wages!$B1026),INT(MOD(Wages!$B1026,10000)/100),IFERROR(VALUE(TRIM(LEFT(MID(Wages!$B1026,FIND("/",Wages!$B1026)+1,20),FIND("/",MID(Wages!$B1026,FIND("/",Wages!$B1026)+1,20))-1))),"")))</f>
        <v/>
      </c>
      <c r="E1023">
        <f>IF(OR($A1023="",$C1023=""),"",IF(ISNUMBER(Wages!$B1026),MOD(Wages!$B1026,100),IFERROR(VALUE(TRIM(MID(MID(Wages!$B1026,FIND("/",Wages!$B1026)+1,20),FIND("/",MID(Wages!$B1026,FIND("/",Wages!$B1026)+1,20))+1,20))),"")))</f>
        <v/>
      </c>
      <c r="F1023">
        <f>IF($A1023="","",IF(OR($C1023="",$D1023="",$E1023="",$C1023&lt;1300,$C1023&gt;1500,$D1023&lt;1,$D1023&gt;12,$E1023&lt;1,$E1023&gt;31),"نامعتبر",RIGHT("0000"&amp;$C1023,4)&amp;"/"&amp;RIGHT("00"&amp;$D1023,2)&amp;"/"&amp;RIGHT("00"&amp;$E1023,2)))</f>
        <v/>
      </c>
      <c r="G1023">
        <f>IF(OR($A1023="",$F1023="",$F1023="نامعتبر"),"",LEFT($F1023,4)&amp;MID($F1023,6,2)&amp;RIGHT($F1023,2)&amp;"0000"&amp;"|"&amp;"1"&amp;RIGHT("00000"&amp;1018,5))</f>
        <v/>
      </c>
      <c r="H1023">
        <f>IF(OR($B1023&lt;&gt;1,$G1023=""),"",COUNTIFS(LdAParty,$A1023,LdAType,1,LdAKey,"&lt;"&amp;$G1023)+COUNTIFS(LdBMember,$A1023,LdBKey,"&lt;"&amp;$G1023)+COUNTIFS(LdCParty,$A1023,LdCKey,"&lt;"&amp;$G1023)+1)</f>
        <v/>
      </c>
      <c r="I1023">
        <f>IF($H1023="","",$A1023&amp;"|"&amp;RIGHT("000000"&amp;$H1023,6))</f>
        <v/>
      </c>
      <c r="J1023">
        <f>IF(OR($B1023&lt;&gt;2,$G1023=""),"",COUNTIFS(LdAParty,$A1023,LdAType,2,LdAKey,"&lt;"&amp;$G1023)+1)</f>
        <v/>
      </c>
      <c r="K1023">
        <f>IF($J1023="","",$A1023&amp;"|"&amp;RIGHT("000000"&amp;$J1023,6))</f>
        <v/>
      </c>
      <c r="L1023">
        <f>IF($A1023="","",IF(Wages!$G1026="",0,Wages!$G1026))</f>
        <v/>
      </c>
      <c r="M1023">
        <f>IF($A1023="","",Wages!$J1026)</f>
        <v/>
      </c>
      <c r="N1023">
        <f>IF($A1023="","",Wages!$D1026)</f>
        <v/>
      </c>
      <c r="P1023">
        <f>IF(OR(Shares!$B1026="",Shares!$C1026=""),"",Shares!$C1026)</f>
        <v/>
      </c>
      <c r="Q1023">
        <f>IF($P1023="","",Shares!$B1026)</f>
        <v/>
      </c>
      <c r="R1023">
        <f>IF($P1023="","",IFERROR(INDEX(WageParty,MATCH($Q1023,WageIds,0)),""))</f>
        <v/>
      </c>
      <c r="S1023">
        <f>IF($P1023="","",IFERROR(INDEX($F$6:$F$2005,MATCH($Q1023,WageIds,0)),""))</f>
        <v/>
      </c>
      <c r="T1023">
        <f>IF(OR($P1023="",$S1023="",$S1023="نامعتبر"),"",LEFT($S1023,4)&amp;MID($S1023,6,2)&amp;RIGHT($S1023,2)&amp;"0000"&amp;"|"&amp;"2"&amp;RIGHT("00000"&amp;1018,5))</f>
        <v/>
      </c>
      <c r="U1023">
        <f>IF($T1023="","",COUNTIFS(LdAParty,$P1023,LdAType,1,LdAKey,"&lt;"&amp;$T1023)+COUNTIFS(LdBMember,$P1023,LdBKey,"&lt;"&amp;$T1023)+COUNTIFS(LdCParty,$P1023,LdCKey,"&lt;"&amp;$T1023)+1)</f>
        <v/>
      </c>
      <c r="V1023">
        <f>IF($U1023="","",$P1023&amp;"|"&amp;RIGHT("000000"&amp;$U1023,6))</f>
        <v/>
      </c>
      <c r="W1023">
        <f>IF($T1023="","",COUNTIFS(LdBGroup,$R1023,LdBKey,"&lt;"&amp;$T1023)+1)</f>
        <v/>
      </c>
      <c r="X1023">
        <f>IF($W1023="","",$R1023&amp;"|"&amp;RIGHT("000000"&amp;$W1023,6))</f>
        <v/>
      </c>
      <c r="Y1023">
        <f>IF($P1023="","",IF(Shares!$E1026="",0,Shares!$E1026))</f>
        <v/>
      </c>
      <c r="Z1023">
        <f>IF($P1023="","",Shares!$H1026)</f>
        <v/>
      </c>
      <c r="AE1023">
        <f>IF(OR(Sync!$S1023="",Sync!$P1023=""),"",Sync!$S1023)</f>
        <v/>
      </c>
      <c r="AF1023">
        <f>IF($AE1023="","",IF(ISNUMBER(Sync!$P1023),IF(AND(Sync!$P1023&gt;=10000101,Sync!$P1023&lt;=99991231),INT(Sync!$P1023/10000),""),IFERROR(VALUE(TRIM(LEFT(Sync!$P1023,FIND("/",Sync!$P1023)-1))),"")))</f>
        <v/>
      </c>
      <c r="AG1023">
        <f>IF(OR($AE1023="",$AF1023=""),"",IF(ISNUMBER(Sync!$P1023),INT(MOD(Sync!$P1023,10000)/100),IFERROR(VALUE(TRIM(LEFT(MID(Sync!$P1023,FIND("/",Sync!$P1023)+1,20),FIND("/",MID(Sync!$P1023,FIND("/",Sync!$P1023)+1,20))-1))),"")))</f>
        <v/>
      </c>
      <c r="AH1023">
        <f>IF(OR($AE1023="",$AF1023=""),"",IF(ISNUMBER(Sync!$P1023),MOD(Sync!$P1023,100),IFERROR(VALUE(TRIM(MID(MID(Sync!$P1023,FIND("/",Sync!$P1023)+1,20),FIND("/",MID(Sync!$P1023,FIND("/",Sync!$P1023)+1,20))+1,20))),"")))</f>
        <v/>
      </c>
      <c r="AI1023">
        <f>IF($AE1023="","",IF(OR($AF1023="",$AG1023="",$AH1023="",$AF1023&lt;1300,$AF1023&gt;1500,$AG1023&lt;1,$AG1023&gt;12,$AH1023&lt;1,$AH1023&gt;31),"نامعتبر",RIGHT("0000"&amp;$AF1023,4)&amp;"/"&amp;RIGHT("00"&amp;$AG1023,2)&amp;"/"&amp;RIGHT("00"&amp;$AH1023,2)))</f>
        <v/>
      </c>
      <c r="AJ1023">
        <f>IF($AE1023="","",IF(Sync!$Q1023="","0000",IF(AND(ISNUMBER(Sync!$Q1023),Sync!$Q1023&gt;=0,Sync!$Q1023&lt;1),RIGHT("00"&amp;HOUR(Sync!$Q1023),2)&amp;RIGHT("00"&amp;MINUTE(Sync!$Q1023),2),IFERROR(RIGHT("00"&amp;VALUE(LEFT(Sync!$Q1023,FIND(":",Sync!$Q1023)-1)),2)&amp;RIGHT("00"&amp;VALUE(MID(Sync!$Q1023,FIND(":",Sync!$Q1023)+1,2)),2),"0000"))))</f>
        <v/>
      </c>
      <c r="AK1023">
        <f>IF(OR($AE1023="",$AI1023="",$AI1023="نامعتبر"),"",LEFT($AI1023,4)&amp;MID($AI1023,6,2)&amp;RIGHT($AI1023,2)&amp;$AJ1023&amp;"|"&amp;"3"&amp;RIGHT("00000"&amp;1018,5))</f>
        <v/>
      </c>
      <c r="AL1023">
        <f>IF($AK1023="","",COUNTIFS(LdAParty,$AE1023,LdAType,1,LdAKey,"&lt;"&amp;$AK1023)+COUNTIFS(LdBMember,$AE1023,LdBKey,"&lt;"&amp;$AK1023)+COUNTIFS(LdCParty,$AE1023,LdCKey,"&lt;"&amp;$AK1023)+1)</f>
        <v/>
      </c>
      <c r="AM1023">
        <f>IF($AL1023="","",$AE1023&amp;"|"&amp;RIGHT("000000"&amp;$AL1023,6))</f>
        <v/>
      </c>
      <c r="AN1023">
        <f>IF($AE1023="","",IF(Sync!$W1023="",0,Sync!$W1023))</f>
        <v/>
      </c>
      <c r="AO1023">
        <f>IF($AE1023="","",IF(Sync!$X1023="",0,Sync!$X1023))</f>
        <v/>
      </c>
      <c r="AP1023">
        <f>IF($AE1023="","",Sync!$R1023)</f>
        <v/>
      </c>
      <c r="AQ1023">
        <f>IF($AE1023="","",Sync!$Y1023)</f>
        <v/>
      </c>
    </row>
    <row r="1024">
      <c r="A1024">
        <f>IF(OR(Wages!$B1027="",Wages!$E1027=""),"",Wages!$E1027)</f>
        <v/>
      </c>
      <c r="B1024">
        <f>IF($A1024="","",IF(Wages!$C1027="دستمزد گروهی",2,1))</f>
        <v/>
      </c>
      <c r="C1024">
        <f>IF($A1024="","",IF(ISNUMBER(Wages!$B1027),IF(AND(Wages!$B1027&gt;=10000101,Wages!$B1027&lt;=99991231),INT(Wages!$B1027/10000),""),IFERROR(VALUE(TRIM(LEFT(Wages!$B1027,FIND("/",Wages!$B1027)-1))),"")))</f>
        <v/>
      </c>
      <c r="D1024">
        <f>IF(OR($A1024="",$C1024=""),"",IF(ISNUMBER(Wages!$B1027),INT(MOD(Wages!$B1027,10000)/100),IFERROR(VALUE(TRIM(LEFT(MID(Wages!$B1027,FIND("/",Wages!$B1027)+1,20),FIND("/",MID(Wages!$B1027,FIND("/",Wages!$B1027)+1,20))-1))),"")))</f>
        <v/>
      </c>
      <c r="E1024">
        <f>IF(OR($A1024="",$C1024=""),"",IF(ISNUMBER(Wages!$B1027),MOD(Wages!$B1027,100),IFERROR(VALUE(TRIM(MID(MID(Wages!$B1027,FIND("/",Wages!$B1027)+1,20),FIND("/",MID(Wages!$B1027,FIND("/",Wages!$B1027)+1,20))+1,20))),"")))</f>
        <v/>
      </c>
      <c r="F1024">
        <f>IF($A1024="","",IF(OR($C1024="",$D1024="",$E1024="",$C1024&lt;1300,$C1024&gt;1500,$D1024&lt;1,$D1024&gt;12,$E1024&lt;1,$E1024&gt;31),"نامعتبر",RIGHT("0000"&amp;$C1024,4)&amp;"/"&amp;RIGHT("00"&amp;$D1024,2)&amp;"/"&amp;RIGHT("00"&amp;$E1024,2)))</f>
        <v/>
      </c>
      <c r="G1024">
        <f>IF(OR($A1024="",$F1024="",$F1024="نامعتبر"),"",LEFT($F1024,4)&amp;MID($F1024,6,2)&amp;RIGHT($F1024,2)&amp;"0000"&amp;"|"&amp;"1"&amp;RIGHT("00000"&amp;1019,5))</f>
        <v/>
      </c>
      <c r="H1024">
        <f>IF(OR($B1024&lt;&gt;1,$G1024=""),"",COUNTIFS(LdAParty,$A1024,LdAType,1,LdAKey,"&lt;"&amp;$G1024)+COUNTIFS(LdBMember,$A1024,LdBKey,"&lt;"&amp;$G1024)+COUNTIFS(LdCParty,$A1024,LdCKey,"&lt;"&amp;$G1024)+1)</f>
        <v/>
      </c>
      <c r="I1024">
        <f>IF($H1024="","",$A1024&amp;"|"&amp;RIGHT("000000"&amp;$H1024,6))</f>
        <v/>
      </c>
      <c r="J1024">
        <f>IF(OR($B1024&lt;&gt;2,$G1024=""),"",COUNTIFS(LdAParty,$A1024,LdAType,2,LdAKey,"&lt;"&amp;$G1024)+1)</f>
        <v/>
      </c>
      <c r="K1024">
        <f>IF($J1024="","",$A1024&amp;"|"&amp;RIGHT("000000"&amp;$J1024,6))</f>
        <v/>
      </c>
      <c r="L1024">
        <f>IF($A1024="","",IF(Wages!$G1027="",0,Wages!$G1027))</f>
        <v/>
      </c>
      <c r="M1024">
        <f>IF($A1024="","",Wages!$J1027)</f>
        <v/>
      </c>
      <c r="N1024">
        <f>IF($A1024="","",Wages!$D1027)</f>
        <v/>
      </c>
      <c r="P1024">
        <f>IF(OR(Shares!$B1027="",Shares!$C1027=""),"",Shares!$C1027)</f>
        <v/>
      </c>
      <c r="Q1024">
        <f>IF($P1024="","",Shares!$B1027)</f>
        <v/>
      </c>
      <c r="R1024">
        <f>IF($P1024="","",IFERROR(INDEX(WageParty,MATCH($Q1024,WageIds,0)),""))</f>
        <v/>
      </c>
      <c r="S1024">
        <f>IF($P1024="","",IFERROR(INDEX($F$6:$F$2005,MATCH($Q1024,WageIds,0)),""))</f>
        <v/>
      </c>
      <c r="T1024">
        <f>IF(OR($P1024="",$S1024="",$S1024="نامعتبر"),"",LEFT($S1024,4)&amp;MID($S1024,6,2)&amp;RIGHT($S1024,2)&amp;"0000"&amp;"|"&amp;"2"&amp;RIGHT("00000"&amp;1019,5))</f>
        <v/>
      </c>
      <c r="U1024">
        <f>IF($T1024="","",COUNTIFS(LdAParty,$P1024,LdAType,1,LdAKey,"&lt;"&amp;$T1024)+COUNTIFS(LdBMember,$P1024,LdBKey,"&lt;"&amp;$T1024)+COUNTIFS(LdCParty,$P1024,LdCKey,"&lt;"&amp;$T1024)+1)</f>
        <v/>
      </c>
      <c r="V1024">
        <f>IF($U1024="","",$P1024&amp;"|"&amp;RIGHT("000000"&amp;$U1024,6))</f>
        <v/>
      </c>
      <c r="W1024">
        <f>IF($T1024="","",COUNTIFS(LdBGroup,$R1024,LdBKey,"&lt;"&amp;$T1024)+1)</f>
        <v/>
      </c>
      <c r="X1024">
        <f>IF($W1024="","",$R1024&amp;"|"&amp;RIGHT("000000"&amp;$W1024,6))</f>
        <v/>
      </c>
      <c r="Y1024">
        <f>IF($P1024="","",IF(Shares!$E1027="",0,Shares!$E1027))</f>
        <v/>
      </c>
      <c r="Z1024">
        <f>IF($P1024="","",Shares!$H1027)</f>
        <v/>
      </c>
      <c r="AE1024">
        <f>IF(OR(Sync!$S1024="",Sync!$P1024=""),"",Sync!$S1024)</f>
        <v/>
      </c>
      <c r="AF1024">
        <f>IF($AE1024="","",IF(ISNUMBER(Sync!$P1024),IF(AND(Sync!$P1024&gt;=10000101,Sync!$P1024&lt;=99991231),INT(Sync!$P1024/10000),""),IFERROR(VALUE(TRIM(LEFT(Sync!$P1024,FIND("/",Sync!$P1024)-1))),"")))</f>
        <v/>
      </c>
      <c r="AG1024">
        <f>IF(OR($AE1024="",$AF1024=""),"",IF(ISNUMBER(Sync!$P1024),INT(MOD(Sync!$P1024,10000)/100),IFERROR(VALUE(TRIM(LEFT(MID(Sync!$P1024,FIND("/",Sync!$P1024)+1,20),FIND("/",MID(Sync!$P1024,FIND("/",Sync!$P1024)+1,20))-1))),"")))</f>
        <v/>
      </c>
      <c r="AH1024">
        <f>IF(OR($AE1024="",$AF1024=""),"",IF(ISNUMBER(Sync!$P1024),MOD(Sync!$P1024,100),IFERROR(VALUE(TRIM(MID(MID(Sync!$P1024,FIND("/",Sync!$P1024)+1,20),FIND("/",MID(Sync!$P1024,FIND("/",Sync!$P1024)+1,20))+1,20))),"")))</f>
        <v/>
      </c>
      <c r="AI1024">
        <f>IF($AE1024="","",IF(OR($AF1024="",$AG1024="",$AH1024="",$AF1024&lt;1300,$AF1024&gt;1500,$AG1024&lt;1,$AG1024&gt;12,$AH1024&lt;1,$AH1024&gt;31),"نامعتبر",RIGHT("0000"&amp;$AF1024,4)&amp;"/"&amp;RIGHT("00"&amp;$AG1024,2)&amp;"/"&amp;RIGHT("00"&amp;$AH1024,2)))</f>
        <v/>
      </c>
      <c r="AJ1024">
        <f>IF($AE1024="","",IF(Sync!$Q1024="","0000",IF(AND(ISNUMBER(Sync!$Q1024),Sync!$Q1024&gt;=0,Sync!$Q1024&lt;1),RIGHT("00"&amp;HOUR(Sync!$Q1024),2)&amp;RIGHT("00"&amp;MINUTE(Sync!$Q1024),2),IFERROR(RIGHT("00"&amp;VALUE(LEFT(Sync!$Q1024,FIND(":",Sync!$Q1024)-1)),2)&amp;RIGHT("00"&amp;VALUE(MID(Sync!$Q1024,FIND(":",Sync!$Q1024)+1,2)),2),"0000"))))</f>
        <v/>
      </c>
      <c r="AK1024">
        <f>IF(OR($AE1024="",$AI1024="",$AI1024="نامعتبر"),"",LEFT($AI1024,4)&amp;MID($AI1024,6,2)&amp;RIGHT($AI1024,2)&amp;$AJ1024&amp;"|"&amp;"3"&amp;RIGHT("00000"&amp;1019,5))</f>
        <v/>
      </c>
      <c r="AL1024">
        <f>IF($AK1024="","",COUNTIFS(LdAParty,$AE1024,LdAType,1,LdAKey,"&lt;"&amp;$AK1024)+COUNTIFS(LdBMember,$AE1024,LdBKey,"&lt;"&amp;$AK1024)+COUNTIFS(LdCParty,$AE1024,LdCKey,"&lt;"&amp;$AK1024)+1)</f>
        <v/>
      </c>
      <c r="AM1024">
        <f>IF($AL1024="","",$AE1024&amp;"|"&amp;RIGHT("000000"&amp;$AL1024,6))</f>
        <v/>
      </c>
      <c r="AN1024">
        <f>IF($AE1024="","",IF(Sync!$W1024="",0,Sync!$W1024))</f>
        <v/>
      </c>
      <c r="AO1024">
        <f>IF($AE1024="","",IF(Sync!$X1024="",0,Sync!$X1024))</f>
        <v/>
      </c>
      <c r="AP1024">
        <f>IF($AE1024="","",Sync!$R1024)</f>
        <v/>
      </c>
      <c r="AQ1024">
        <f>IF($AE1024="","",Sync!$Y1024)</f>
        <v/>
      </c>
    </row>
    <row r="1025">
      <c r="A1025">
        <f>IF(OR(Wages!$B1028="",Wages!$E1028=""),"",Wages!$E1028)</f>
        <v/>
      </c>
      <c r="B1025">
        <f>IF($A1025="","",IF(Wages!$C1028="دستمزد گروهی",2,1))</f>
        <v/>
      </c>
      <c r="C1025">
        <f>IF($A1025="","",IF(ISNUMBER(Wages!$B1028),IF(AND(Wages!$B1028&gt;=10000101,Wages!$B1028&lt;=99991231),INT(Wages!$B1028/10000),""),IFERROR(VALUE(TRIM(LEFT(Wages!$B1028,FIND("/",Wages!$B1028)-1))),"")))</f>
        <v/>
      </c>
      <c r="D1025">
        <f>IF(OR($A1025="",$C1025=""),"",IF(ISNUMBER(Wages!$B1028),INT(MOD(Wages!$B1028,10000)/100),IFERROR(VALUE(TRIM(LEFT(MID(Wages!$B1028,FIND("/",Wages!$B1028)+1,20),FIND("/",MID(Wages!$B1028,FIND("/",Wages!$B1028)+1,20))-1))),"")))</f>
        <v/>
      </c>
      <c r="E1025">
        <f>IF(OR($A1025="",$C1025=""),"",IF(ISNUMBER(Wages!$B1028),MOD(Wages!$B1028,100),IFERROR(VALUE(TRIM(MID(MID(Wages!$B1028,FIND("/",Wages!$B1028)+1,20),FIND("/",MID(Wages!$B1028,FIND("/",Wages!$B1028)+1,20))+1,20))),"")))</f>
        <v/>
      </c>
      <c r="F1025">
        <f>IF($A1025="","",IF(OR($C1025="",$D1025="",$E1025="",$C1025&lt;1300,$C1025&gt;1500,$D1025&lt;1,$D1025&gt;12,$E1025&lt;1,$E1025&gt;31),"نامعتبر",RIGHT("0000"&amp;$C1025,4)&amp;"/"&amp;RIGHT("00"&amp;$D1025,2)&amp;"/"&amp;RIGHT("00"&amp;$E1025,2)))</f>
        <v/>
      </c>
      <c r="G1025">
        <f>IF(OR($A1025="",$F1025="",$F1025="نامعتبر"),"",LEFT($F1025,4)&amp;MID($F1025,6,2)&amp;RIGHT($F1025,2)&amp;"0000"&amp;"|"&amp;"1"&amp;RIGHT("00000"&amp;1020,5))</f>
        <v/>
      </c>
      <c r="H1025">
        <f>IF(OR($B1025&lt;&gt;1,$G1025=""),"",COUNTIFS(LdAParty,$A1025,LdAType,1,LdAKey,"&lt;"&amp;$G1025)+COUNTIFS(LdBMember,$A1025,LdBKey,"&lt;"&amp;$G1025)+COUNTIFS(LdCParty,$A1025,LdCKey,"&lt;"&amp;$G1025)+1)</f>
        <v/>
      </c>
      <c r="I1025">
        <f>IF($H1025="","",$A1025&amp;"|"&amp;RIGHT("000000"&amp;$H1025,6))</f>
        <v/>
      </c>
      <c r="J1025">
        <f>IF(OR($B1025&lt;&gt;2,$G1025=""),"",COUNTIFS(LdAParty,$A1025,LdAType,2,LdAKey,"&lt;"&amp;$G1025)+1)</f>
        <v/>
      </c>
      <c r="K1025">
        <f>IF($J1025="","",$A1025&amp;"|"&amp;RIGHT("000000"&amp;$J1025,6))</f>
        <v/>
      </c>
      <c r="L1025">
        <f>IF($A1025="","",IF(Wages!$G1028="",0,Wages!$G1028))</f>
        <v/>
      </c>
      <c r="M1025">
        <f>IF($A1025="","",Wages!$J1028)</f>
        <v/>
      </c>
      <c r="N1025">
        <f>IF($A1025="","",Wages!$D1028)</f>
        <v/>
      </c>
      <c r="P1025">
        <f>IF(OR(Shares!$B1028="",Shares!$C1028=""),"",Shares!$C1028)</f>
        <v/>
      </c>
      <c r="Q1025">
        <f>IF($P1025="","",Shares!$B1028)</f>
        <v/>
      </c>
      <c r="R1025">
        <f>IF($P1025="","",IFERROR(INDEX(WageParty,MATCH($Q1025,WageIds,0)),""))</f>
        <v/>
      </c>
      <c r="S1025">
        <f>IF($P1025="","",IFERROR(INDEX($F$6:$F$2005,MATCH($Q1025,WageIds,0)),""))</f>
        <v/>
      </c>
      <c r="T1025">
        <f>IF(OR($P1025="",$S1025="",$S1025="نامعتبر"),"",LEFT($S1025,4)&amp;MID($S1025,6,2)&amp;RIGHT($S1025,2)&amp;"0000"&amp;"|"&amp;"2"&amp;RIGHT("00000"&amp;1020,5))</f>
        <v/>
      </c>
      <c r="U1025">
        <f>IF($T1025="","",COUNTIFS(LdAParty,$P1025,LdAType,1,LdAKey,"&lt;"&amp;$T1025)+COUNTIFS(LdBMember,$P1025,LdBKey,"&lt;"&amp;$T1025)+COUNTIFS(LdCParty,$P1025,LdCKey,"&lt;"&amp;$T1025)+1)</f>
        <v/>
      </c>
      <c r="V1025">
        <f>IF($U1025="","",$P1025&amp;"|"&amp;RIGHT("000000"&amp;$U1025,6))</f>
        <v/>
      </c>
      <c r="W1025">
        <f>IF($T1025="","",COUNTIFS(LdBGroup,$R1025,LdBKey,"&lt;"&amp;$T1025)+1)</f>
        <v/>
      </c>
      <c r="X1025">
        <f>IF($W1025="","",$R1025&amp;"|"&amp;RIGHT("000000"&amp;$W1025,6))</f>
        <v/>
      </c>
      <c r="Y1025">
        <f>IF($P1025="","",IF(Shares!$E1028="",0,Shares!$E1028))</f>
        <v/>
      </c>
      <c r="Z1025">
        <f>IF($P1025="","",Shares!$H1028)</f>
        <v/>
      </c>
      <c r="AE1025">
        <f>IF(OR(Sync!$S1025="",Sync!$P1025=""),"",Sync!$S1025)</f>
        <v/>
      </c>
      <c r="AF1025">
        <f>IF($AE1025="","",IF(ISNUMBER(Sync!$P1025),IF(AND(Sync!$P1025&gt;=10000101,Sync!$P1025&lt;=99991231),INT(Sync!$P1025/10000),""),IFERROR(VALUE(TRIM(LEFT(Sync!$P1025,FIND("/",Sync!$P1025)-1))),"")))</f>
        <v/>
      </c>
      <c r="AG1025">
        <f>IF(OR($AE1025="",$AF1025=""),"",IF(ISNUMBER(Sync!$P1025),INT(MOD(Sync!$P1025,10000)/100),IFERROR(VALUE(TRIM(LEFT(MID(Sync!$P1025,FIND("/",Sync!$P1025)+1,20),FIND("/",MID(Sync!$P1025,FIND("/",Sync!$P1025)+1,20))-1))),"")))</f>
        <v/>
      </c>
      <c r="AH1025">
        <f>IF(OR($AE1025="",$AF1025=""),"",IF(ISNUMBER(Sync!$P1025),MOD(Sync!$P1025,100),IFERROR(VALUE(TRIM(MID(MID(Sync!$P1025,FIND("/",Sync!$P1025)+1,20),FIND("/",MID(Sync!$P1025,FIND("/",Sync!$P1025)+1,20))+1,20))),"")))</f>
        <v/>
      </c>
      <c r="AI1025">
        <f>IF($AE1025="","",IF(OR($AF1025="",$AG1025="",$AH1025="",$AF1025&lt;1300,$AF1025&gt;1500,$AG1025&lt;1,$AG1025&gt;12,$AH1025&lt;1,$AH1025&gt;31),"نامعتبر",RIGHT("0000"&amp;$AF1025,4)&amp;"/"&amp;RIGHT("00"&amp;$AG1025,2)&amp;"/"&amp;RIGHT("00"&amp;$AH1025,2)))</f>
        <v/>
      </c>
      <c r="AJ1025">
        <f>IF($AE1025="","",IF(Sync!$Q1025="","0000",IF(AND(ISNUMBER(Sync!$Q1025),Sync!$Q1025&gt;=0,Sync!$Q1025&lt;1),RIGHT("00"&amp;HOUR(Sync!$Q1025),2)&amp;RIGHT("00"&amp;MINUTE(Sync!$Q1025),2),IFERROR(RIGHT("00"&amp;VALUE(LEFT(Sync!$Q1025,FIND(":",Sync!$Q1025)-1)),2)&amp;RIGHT("00"&amp;VALUE(MID(Sync!$Q1025,FIND(":",Sync!$Q1025)+1,2)),2),"0000"))))</f>
        <v/>
      </c>
      <c r="AK1025">
        <f>IF(OR($AE1025="",$AI1025="",$AI1025="نامعتبر"),"",LEFT($AI1025,4)&amp;MID($AI1025,6,2)&amp;RIGHT($AI1025,2)&amp;$AJ1025&amp;"|"&amp;"3"&amp;RIGHT("00000"&amp;1020,5))</f>
        <v/>
      </c>
      <c r="AL1025">
        <f>IF($AK1025="","",COUNTIFS(LdAParty,$AE1025,LdAType,1,LdAKey,"&lt;"&amp;$AK1025)+COUNTIFS(LdBMember,$AE1025,LdBKey,"&lt;"&amp;$AK1025)+COUNTIFS(LdCParty,$AE1025,LdCKey,"&lt;"&amp;$AK1025)+1)</f>
        <v/>
      </c>
      <c r="AM1025">
        <f>IF($AL1025="","",$AE1025&amp;"|"&amp;RIGHT("000000"&amp;$AL1025,6))</f>
        <v/>
      </c>
      <c r="AN1025">
        <f>IF($AE1025="","",IF(Sync!$W1025="",0,Sync!$W1025))</f>
        <v/>
      </c>
      <c r="AO1025">
        <f>IF($AE1025="","",IF(Sync!$X1025="",0,Sync!$X1025))</f>
        <v/>
      </c>
      <c r="AP1025">
        <f>IF($AE1025="","",Sync!$R1025)</f>
        <v/>
      </c>
      <c r="AQ1025">
        <f>IF($AE1025="","",Sync!$Y1025)</f>
        <v/>
      </c>
    </row>
    <row r="1026">
      <c r="A1026">
        <f>IF(OR(Wages!$B1029="",Wages!$E1029=""),"",Wages!$E1029)</f>
        <v/>
      </c>
      <c r="B1026">
        <f>IF($A1026="","",IF(Wages!$C1029="دستمزد گروهی",2,1))</f>
        <v/>
      </c>
      <c r="C1026">
        <f>IF($A1026="","",IF(ISNUMBER(Wages!$B1029),IF(AND(Wages!$B1029&gt;=10000101,Wages!$B1029&lt;=99991231),INT(Wages!$B1029/10000),""),IFERROR(VALUE(TRIM(LEFT(Wages!$B1029,FIND("/",Wages!$B1029)-1))),"")))</f>
        <v/>
      </c>
      <c r="D1026">
        <f>IF(OR($A1026="",$C1026=""),"",IF(ISNUMBER(Wages!$B1029),INT(MOD(Wages!$B1029,10000)/100),IFERROR(VALUE(TRIM(LEFT(MID(Wages!$B1029,FIND("/",Wages!$B1029)+1,20),FIND("/",MID(Wages!$B1029,FIND("/",Wages!$B1029)+1,20))-1))),"")))</f>
        <v/>
      </c>
      <c r="E1026">
        <f>IF(OR($A1026="",$C1026=""),"",IF(ISNUMBER(Wages!$B1029),MOD(Wages!$B1029,100),IFERROR(VALUE(TRIM(MID(MID(Wages!$B1029,FIND("/",Wages!$B1029)+1,20),FIND("/",MID(Wages!$B1029,FIND("/",Wages!$B1029)+1,20))+1,20))),"")))</f>
        <v/>
      </c>
      <c r="F1026">
        <f>IF($A1026="","",IF(OR($C1026="",$D1026="",$E1026="",$C1026&lt;1300,$C1026&gt;1500,$D1026&lt;1,$D1026&gt;12,$E1026&lt;1,$E1026&gt;31),"نامعتبر",RIGHT("0000"&amp;$C1026,4)&amp;"/"&amp;RIGHT("00"&amp;$D1026,2)&amp;"/"&amp;RIGHT("00"&amp;$E1026,2)))</f>
        <v/>
      </c>
      <c r="G1026">
        <f>IF(OR($A1026="",$F1026="",$F1026="نامعتبر"),"",LEFT($F1026,4)&amp;MID($F1026,6,2)&amp;RIGHT($F1026,2)&amp;"0000"&amp;"|"&amp;"1"&amp;RIGHT("00000"&amp;1021,5))</f>
        <v/>
      </c>
      <c r="H1026">
        <f>IF(OR($B1026&lt;&gt;1,$G1026=""),"",COUNTIFS(LdAParty,$A1026,LdAType,1,LdAKey,"&lt;"&amp;$G1026)+COUNTIFS(LdBMember,$A1026,LdBKey,"&lt;"&amp;$G1026)+COUNTIFS(LdCParty,$A1026,LdCKey,"&lt;"&amp;$G1026)+1)</f>
        <v/>
      </c>
      <c r="I1026">
        <f>IF($H1026="","",$A1026&amp;"|"&amp;RIGHT("000000"&amp;$H1026,6))</f>
        <v/>
      </c>
      <c r="J1026">
        <f>IF(OR($B1026&lt;&gt;2,$G1026=""),"",COUNTIFS(LdAParty,$A1026,LdAType,2,LdAKey,"&lt;"&amp;$G1026)+1)</f>
        <v/>
      </c>
      <c r="K1026">
        <f>IF($J1026="","",$A1026&amp;"|"&amp;RIGHT("000000"&amp;$J1026,6))</f>
        <v/>
      </c>
      <c r="L1026">
        <f>IF($A1026="","",IF(Wages!$G1029="",0,Wages!$G1029))</f>
        <v/>
      </c>
      <c r="M1026">
        <f>IF($A1026="","",Wages!$J1029)</f>
        <v/>
      </c>
      <c r="N1026">
        <f>IF($A1026="","",Wages!$D1029)</f>
        <v/>
      </c>
      <c r="P1026">
        <f>IF(OR(Shares!$B1029="",Shares!$C1029=""),"",Shares!$C1029)</f>
        <v/>
      </c>
      <c r="Q1026">
        <f>IF($P1026="","",Shares!$B1029)</f>
        <v/>
      </c>
      <c r="R1026">
        <f>IF($P1026="","",IFERROR(INDEX(WageParty,MATCH($Q1026,WageIds,0)),""))</f>
        <v/>
      </c>
      <c r="S1026">
        <f>IF($P1026="","",IFERROR(INDEX($F$6:$F$2005,MATCH($Q1026,WageIds,0)),""))</f>
        <v/>
      </c>
      <c r="T1026">
        <f>IF(OR($P1026="",$S1026="",$S1026="نامعتبر"),"",LEFT($S1026,4)&amp;MID($S1026,6,2)&amp;RIGHT($S1026,2)&amp;"0000"&amp;"|"&amp;"2"&amp;RIGHT("00000"&amp;1021,5))</f>
        <v/>
      </c>
      <c r="U1026">
        <f>IF($T1026="","",COUNTIFS(LdAParty,$P1026,LdAType,1,LdAKey,"&lt;"&amp;$T1026)+COUNTIFS(LdBMember,$P1026,LdBKey,"&lt;"&amp;$T1026)+COUNTIFS(LdCParty,$P1026,LdCKey,"&lt;"&amp;$T1026)+1)</f>
        <v/>
      </c>
      <c r="V1026">
        <f>IF($U1026="","",$P1026&amp;"|"&amp;RIGHT("000000"&amp;$U1026,6))</f>
        <v/>
      </c>
      <c r="W1026">
        <f>IF($T1026="","",COUNTIFS(LdBGroup,$R1026,LdBKey,"&lt;"&amp;$T1026)+1)</f>
        <v/>
      </c>
      <c r="X1026">
        <f>IF($W1026="","",$R1026&amp;"|"&amp;RIGHT("000000"&amp;$W1026,6))</f>
        <v/>
      </c>
      <c r="Y1026">
        <f>IF($P1026="","",IF(Shares!$E1029="",0,Shares!$E1029))</f>
        <v/>
      </c>
      <c r="Z1026">
        <f>IF($P1026="","",Shares!$H1029)</f>
        <v/>
      </c>
      <c r="AE1026">
        <f>IF(OR(Sync!$S1026="",Sync!$P1026=""),"",Sync!$S1026)</f>
        <v/>
      </c>
      <c r="AF1026">
        <f>IF($AE1026="","",IF(ISNUMBER(Sync!$P1026),IF(AND(Sync!$P1026&gt;=10000101,Sync!$P1026&lt;=99991231),INT(Sync!$P1026/10000),""),IFERROR(VALUE(TRIM(LEFT(Sync!$P1026,FIND("/",Sync!$P1026)-1))),"")))</f>
        <v/>
      </c>
      <c r="AG1026">
        <f>IF(OR($AE1026="",$AF1026=""),"",IF(ISNUMBER(Sync!$P1026),INT(MOD(Sync!$P1026,10000)/100),IFERROR(VALUE(TRIM(LEFT(MID(Sync!$P1026,FIND("/",Sync!$P1026)+1,20),FIND("/",MID(Sync!$P1026,FIND("/",Sync!$P1026)+1,20))-1))),"")))</f>
        <v/>
      </c>
      <c r="AH1026">
        <f>IF(OR($AE1026="",$AF1026=""),"",IF(ISNUMBER(Sync!$P1026),MOD(Sync!$P1026,100),IFERROR(VALUE(TRIM(MID(MID(Sync!$P1026,FIND("/",Sync!$P1026)+1,20),FIND("/",MID(Sync!$P1026,FIND("/",Sync!$P1026)+1,20))+1,20))),"")))</f>
        <v/>
      </c>
      <c r="AI1026">
        <f>IF($AE1026="","",IF(OR($AF1026="",$AG1026="",$AH1026="",$AF1026&lt;1300,$AF1026&gt;1500,$AG1026&lt;1,$AG1026&gt;12,$AH1026&lt;1,$AH1026&gt;31),"نامعتبر",RIGHT("0000"&amp;$AF1026,4)&amp;"/"&amp;RIGHT("00"&amp;$AG1026,2)&amp;"/"&amp;RIGHT("00"&amp;$AH1026,2)))</f>
        <v/>
      </c>
      <c r="AJ1026">
        <f>IF($AE1026="","",IF(Sync!$Q1026="","0000",IF(AND(ISNUMBER(Sync!$Q1026),Sync!$Q1026&gt;=0,Sync!$Q1026&lt;1),RIGHT("00"&amp;HOUR(Sync!$Q1026),2)&amp;RIGHT("00"&amp;MINUTE(Sync!$Q1026),2),IFERROR(RIGHT("00"&amp;VALUE(LEFT(Sync!$Q1026,FIND(":",Sync!$Q1026)-1)),2)&amp;RIGHT("00"&amp;VALUE(MID(Sync!$Q1026,FIND(":",Sync!$Q1026)+1,2)),2),"0000"))))</f>
        <v/>
      </c>
      <c r="AK1026">
        <f>IF(OR($AE1026="",$AI1026="",$AI1026="نامعتبر"),"",LEFT($AI1026,4)&amp;MID($AI1026,6,2)&amp;RIGHT($AI1026,2)&amp;$AJ1026&amp;"|"&amp;"3"&amp;RIGHT("00000"&amp;1021,5))</f>
        <v/>
      </c>
      <c r="AL1026">
        <f>IF($AK1026="","",COUNTIFS(LdAParty,$AE1026,LdAType,1,LdAKey,"&lt;"&amp;$AK1026)+COUNTIFS(LdBMember,$AE1026,LdBKey,"&lt;"&amp;$AK1026)+COUNTIFS(LdCParty,$AE1026,LdCKey,"&lt;"&amp;$AK1026)+1)</f>
        <v/>
      </c>
      <c r="AM1026">
        <f>IF($AL1026="","",$AE1026&amp;"|"&amp;RIGHT("000000"&amp;$AL1026,6))</f>
        <v/>
      </c>
      <c r="AN1026">
        <f>IF($AE1026="","",IF(Sync!$W1026="",0,Sync!$W1026))</f>
        <v/>
      </c>
      <c r="AO1026">
        <f>IF($AE1026="","",IF(Sync!$X1026="",0,Sync!$X1026))</f>
        <v/>
      </c>
      <c r="AP1026">
        <f>IF($AE1026="","",Sync!$R1026)</f>
        <v/>
      </c>
      <c r="AQ1026">
        <f>IF($AE1026="","",Sync!$Y1026)</f>
        <v/>
      </c>
    </row>
    <row r="1027">
      <c r="A1027">
        <f>IF(OR(Wages!$B1030="",Wages!$E1030=""),"",Wages!$E1030)</f>
        <v/>
      </c>
      <c r="B1027">
        <f>IF($A1027="","",IF(Wages!$C1030="دستمزد گروهی",2,1))</f>
        <v/>
      </c>
      <c r="C1027">
        <f>IF($A1027="","",IF(ISNUMBER(Wages!$B1030),IF(AND(Wages!$B1030&gt;=10000101,Wages!$B1030&lt;=99991231),INT(Wages!$B1030/10000),""),IFERROR(VALUE(TRIM(LEFT(Wages!$B1030,FIND("/",Wages!$B1030)-1))),"")))</f>
        <v/>
      </c>
      <c r="D1027">
        <f>IF(OR($A1027="",$C1027=""),"",IF(ISNUMBER(Wages!$B1030),INT(MOD(Wages!$B1030,10000)/100),IFERROR(VALUE(TRIM(LEFT(MID(Wages!$B1030,FIND("/",Wages!$B1030)+1,20),FIND("/",MID(Wages!$B1030,FIND("/",Wages!$B1030)+1,20))-1))),"")))</f>
        <v/>
      </c>
      <c r="E1027">
        <f>IF(OR($A1027="",$C1027=""),"",IF(ISNUMBER(Wages!$B1030),MOD(Wages!$B1030,100),IFERROR(VALUE(TRIM(MID(MID(Wages!$B1030,FIND("/",Wages!$B1030)+1,20),FIND("/",MID(Wages!$B1030,FIND("/",Wages!$B1030)+1,20))+1,20))),"")))</f>
        <v/>
      </c>
      <c r="F1027">
        <f>IF($A1027="","",IF(OR($C1027="",$D1027="",$E1027="",$C1027&lt;1300,$C1027&gt;1500,$D1027&lt;1,$D1027&gt;12,$E1027&lt;1,$E1027&gt;31),"نامعتبر",RIGHT("0000"&amp;$C1027,4)&amp;"/"&amp;RIGHT("00"&amp;$D1027,2)&amp;"/"&amp;RIGHT("00"&amp;$E1027,2)))</f>
        <v/>
      </c>
      <c r="G1027">
        <f>IF(OR($A1027="",$F1027="",$F1027="نامعتبر"),"",LEFT($F1027,4)&amp;MID($F1027,6,2)&amp;RIGHT($F1027,2)&amp;"0000"&amp;"|"&amp;"1"&amp;RIGHT("00000"&amp;1022,5))</f>
        <v/>
      </c>
      <c r="H1027">
        <f>IF(OR($B1027&lt;&gt;1,$G1027=""),"",COUNTIFS(LdAParty,$A1027,LdAType,1,LdAKey,"&lt;"&amp;$G1027)+COUNTIFS(LdBMember,$A1027,LdBKey,"&lt;"&amp;$G1027)+COUNTIFS(LdCParty,$A1027,LdCKey,"&lt;"&amp;$G1027)+1)</f>
        <v/>
      </c>
      <c r="I1027">
        <f>IF($H1027="","",$A1027&amp;"|"&amp;RIGHT("000000"&amp;$H1027,6))</f>
        <v/>
      </c>
      <c r="J1027">
        <f>IF(OR($B1027&lt;&gt;2,$G1027=""),"",COUNTIFS(LdAParty,$A1027,LdAType,2,LdAKey,"&lt;"&amp;$G1027)+1)</f>
        <v/>
      </c>
      <c r="K1027">
        <f>IF($J1027="","",$A1027&amp;"|"&amp;RIGHT("000000"&amp;$J1027,6))</f>
        <v/>
      </c>
      <c r="L1027">
        <f>IF($A1027="","",IF(Wages!$G1030="",0,Wages!$G1030))</f>
        <v/>
      </c>
      <c r="M1027">
        <f>IF($A1027="","",Wages!$J1030)</f>
        <v/>
      </c>
      <c r="N1027">
        <f>IF($A1027="","",Wages!$D1030)</f>
        <v/>
      </c>
      <c r="P1027">
        <f>IF(OR(Shares!$B1030="",Shares!$C1030=""),"",Shares!$C1030)</f>
        <v/>
      </c>
      <c r="Q1027">
        <f>IF($P1027="","",Shares!$B1030)</f>
        <v/>
      </c>
      <c r="R1027">
        <f>IF($P1027="","",IFERROR(INDEX(WageParty,MATCH($Q1027,WageIds,0)),""))</f>
        <v/>
      </c>
      <c r="S1027">
        <f>IF($P1027="","",IFERROR(INDEX($F$6:$F$2005,MATCH($Q1027,WageIds,0)),""))</f>
        <v/>
      </c>
      <c r="T1027">
        <f>IF(OR($P1027="",$S1027="",$S1027="نامعتبر"),"",LEFT($S1027,4)&amp;MID($S1027,6,2)&amp;RIGHT($S1027,2)&amp;"0000"&amp;"|"&amp;"2"&amp;RIGHT("00000"&amp;1022,5))</f>
        <v/>
      </c>
      <c r="U1027">
        <f>IF($T1027="","",COUNTIFS(LdAParty,$P1027,LdAType,1,LdAKey,"&lt;"&amp;$T1027)+COUNTIFS(LdBMember,$P1027,LdBKey,"&lt;"&amp;$T1027)+COUNTIFS(LdCParty,$P1027,LdCKey,"&lt;"&amp;$T1027)+1)</f>
        <v/>
      </c>
      <c r="V1027">
        <f>IF($U1027="","",$P1027&amp;"|"&amp;RIGHT("000000"&amp;$U1027,6))</f>
        <v/>
      </c>
      <c r="W1027">
        <f>IF($T1027="","",COUNTIFS(LdBGroup,$R1027,LdBKey,"&lt;"&amp;$T1027)+1)</f>
        <v/>
      </c>
      <c r="X1027">
        <f>IF($W1027="","",$R1027&amp;"|"&amp;RIGHT("000000"&amp;$W1027,6))</f>
        <v/>
      </c>
      <c r="Y1027">
        <f>IF($P1027="","",IF(Shares!$E1030="",0,Shares!$E1030))</f>
        <v/>
      </c>
      <c r="Z1027">
        <f>IF($P1027="","",Shares!$H1030)</f>
        <v/>
      </c>
      <c r="AE1027">
        <f>IF(OR(Sync!$S1027="",Sync!$P1027=""),"",Sync!$S1027)</f>
        <v/>
      </c>
      <c r="AF1027">
        <f>IF($AE1027="","",IF(ISNUMBER(Sync!$P1027),IF(AND(Sync!$P1027&gt;=10000101,Sync!$P1027&lt;=99991231),INT(Sync!$P1027/10000),""),IFERROR(VALUE(TRIM(LEFT(Sync!$P1027,FIND("/",Sync!$P1027)-1))),"")))</f>
        <v/>
      </c>
      <c r="AG1027">
        <f>IF(OR($AE1027="",$AF1027=""),"",IF(ISNUMBER(Sync!$P1027),INT(MOD(Sync!$P1027,10000)/100),IFERROR(VALUE(TRIM(LEFT(MID(Sync!$P1027,FIND("/",Sync!$P1027)+1,20),FIND("/",MID(Sync!$P1027,FIND("/",Sync!$P1027)+1,20))-1))),"")))</f>
        <v/>
      </c>
      <c r="AH1027">
        <f>IF(OR($AE1027="",$AF1027=""),"",IF(ISNUMBER(Sync!$P1027),MOD(Sync!$P1027,100),IFERROR(VALUE(TRIM(MID(MID(Sync!$P1027,FIND("/",Sync!$P1027)+1,20),FIND("/",MID(Sync!$P1027,FIND("/",Sync!$P1027)+1,20))+1,20))),"")))</f>
        <v/>
      </c>
      <c r="AI1027">
        <f>IF($AE1027="","",IF(OR($AF1027="",$AG1027="",$AH1027="",$AF1027&lt;1300,$AF1027&gt;1500,$AG1027&lt;1,$AG1027&gt;12,$AH1027&lt;1,$AH1027&gt;31),"نامعتبر",RIGHT("0000"&amp;$AF1027,4)&amp;"/"&amp;RIGHT("00"&amp;$AG1027,2)&amp;"/"&amp;RIGHT("00"&amp;$AH1027,2)))</f>
        <v/>
      </c>
      <c r="AJ1027">
        <f>IF($AE1027="","",IF(Sync!$Q1027="","0000",IF(AND(ISNUMBER(Sync!$Q1027),Sync!$Q1027&gt;=0,Sync!$Q1027&lt;1),RIGHT("00"&amp;HOUR(Sync!$Q1027),2)&amp;RIGHT("00"&amp;MINUTE(Sync!$Q1027),2),IFERROR(RIGHT("00"&amp;VALUE(LEFT(Sync!$Q1027,FIND(":",Sync!$Q1027)-1)),2)&amp;RIGHT("00"&amp;VALUE(MID(Sync!$Q1027,FIND(":",Sync!$Q1027)+1,2)),2),"0000"))))</f>
        <v/>
      </c>
      <c r="AK1027">
        <f>IF(OR($AE1027="",$AI1027="",$AI1027="نامعتبر"),"",LEFT($AI1027,4)&amp;MID($AI1027,6,2)&amp;RIGHT($AI1027,2)&amp;$AJ1027&amp;"|"&amp;"3"&amp;RIGHT("00000"&amp;1022,5))</f>
        <v/>
      </c>
      <c r="AL1027">
        <f>IF($AK1027="","",COUNTIFS(LdAParty,$AE1027,LdAType,1,LdAKey,"&lt;"&amp;$AK1027)+COUNTIFS(LdBMember,$AE1027,LdBKey,"&lt;"&amp;$AK1027)+COUNTIFS(LdCParty,$AE1027,LdCKey,"&lt;"&amp;$AK1027)+1)</f>
        <v/>
      </c>
      <c r="AM1027">
        <f>IF($AL1027="","",$AE1027&amp;"|"&amp;RIGHT("000000"&amp;$AL1027,6))</f>
        <v/>
      </c>
      <c r="AN1027">
        <f>IF($AE1027="","",IF(Sync!$W1027="",0,Sync!$W1027))</f>
        <v/>
      </c>
      <c r="AO1027">
        <f>IF($AE1027="","",IF(Sync!$X1027="",0,Sync!$X1027))</f>
        <v/>
      </c>
      <c r="AP1027">
        <f>IF($AE1027="","",Sync!$R1027)</f>
        <v/>
      </c>
      <c r="AQ1027">
        <f>IF($AE1027="","",Sync!$Y1027)</f>
        <v/>
      </c>
    </row>
    <row r="1028">
      <c r="A1028">
        <f>IF(OR(Wages!$B1031="",Wages!$E1031=""),"",Wages!$E1031)</f>
        <v/>
      </c>
      <c r="B1028">
        <f>IF($A1028="","",IF(Wages!$C1031="دستمزد گروهی",2,1))</f>
        <v/>
      </c>
      <c r="C1028">
        <f>IF($A1028="","",IF(ISNUMBER(Wages!$B1031),IF(AND(Wages!$B1031&gt;=10000101,Wages!$B1031&lt;=99991231),INT(Wages!$B1031/10000),""),IFERROR(VALUE(TRIM(LEFT(Wages!$B1031,FIND("/",Wages!$B1031)-1))),"")))</f>
        <v/>
      </c>
      <c r="D1028">
        <f>IF(OR($A1028="",$C1028=""),"",IF(ISNUMBER(Wages!$B1031),INT(MOD(Wages!$B1031,10000)/100),IFERROR(VALUE(TRIM(LEFT(MID(Wages!$B1031,FIND("/",Wages!$B1031)+1,20),FIND("/",MID(Wages!$B1031,FIND("/",Wages!$B1031)+1,20))-1))),"")))</f>
        <v/>
      </c>
      <c r="E1028">
        <f>IF(OR($A1028="",$C1028=""),"",IF(ISNUMBER(Wages!$B1031),MOD(Wages!$B1031,100),IFERROR(VALUE(TRIM(MID(MID(Wages!$B1031,FIND("/",Wages!$B1031)+1,20),FIND("/",MID(Wages!$B1031,FIND("/",Wages!$B1031)+1,20))+1,20))),"")))</f>
        <v/>
      </c>
      <c r="F1028">
        <f>IF($A1028="","",IF(OR($C1028="",$D1028="",$E1028="",$C1028&lt;1300,$C1028&gt;1500,$D1028&lt;1,$D1028&gt;12,$E1028&lt;1,$E1028&gt;31),"نامعتبر",RIGHT("0000"&amp;$C1028,4)&amp;"/"&amp;RIGHT("00"&amp;$D1028,2)&amp;"/"&amp;RIGHT("00"&amp;$E1028,2)))</f>
        <v/>
      </c>
      <c r="G1028">
        <f>IF(OR($A1028="",$F1028="",$F1028="نامعتبر"),"",LEFT($F1028,4)&amp;MID($F1028,6,2)&amp;RIGHT($F1028,2)&amp;"0000"&amp;"|"&amp;"1"&amp;RIGHT("00000"&amp;1023,5))</f>
        <v/>
      </c>
      <c r="H1028">
        <f>IF(OR($B1028&lt;&gt;1,$G1028=""),"",COUNTIFS(LdAParty,$A1028,LdAType,1,LdAKey,"&lt;"&amp;$G1028)+COUNTIFS(LdBMember,$A1028,LdBKey,"&lt;"&amp;$G1028)+COUNTIFS(LdCParty,$A1028,LdCKey,"&lt;"&amp;$G1028)+1)</f>
        <v/>
      </c>
      <c r="I1028">
        <f>IF($H1028="","",$A1028&amp;"|"&amp;RIGHT("000000"&amp;$H1028,6))</f>
        <v/>
      </c>
      <c r="J1028">
        <f>IF(OR($B1028&lt;&gt;2,$G1028=""),"",COUNTIFS(LdAParty,$A1028,LdAType,2,LdAKey,"&lt;"&amp;$G1028)+1)</f>
        <v/>
      </c>
      <c r="K1028">
        <f>IF($J1028="","",$A1028&amp;"|"&amp;RIGHT("000000"&amp;$J1028,6))</f>
        <v/>
      </c>
      <c r="L1028">
        <f>IF($A1028="","",IF(Wages!$G1031="",0,Wages!$G1031))</f>
        <v/>
      </c>
      <c r="M1028">
        <f>IF($A1028="","",Wages!$J1031)</f>
        <v/>
      </c>
      <c r="N1028">
        <f>IF($A1028="","",Wages!$D1031)</f>
        <v/>
      </c>
      <c r="P1028">
        <f>IF(OR(Shares!$B1031="",Shares!$C1031=""),"",Shares!$C1031)</f>
        <v/>
      </c>
      <c r="Q1028">
        <f>IF($P1028="","",Shares!$B1031)</f>
        <v/>
      </c>
      <c r="R1028">
        <f>IF($P1028="","",IFERROR(INDEX(WageParty,MATCH($Q1028,WageIds,0)),""))</f>
        <v/>
      </c>
      <c r="S1028">
        <f>IF($P1028="","",IFERROR(INDEX($F$6:$F$2005,MATCH($Q1028,WageIds,0)),""))</f>
        <v/>
      </c>
      <c r="T1028">
        <f>IF(OR($P1028="",$S1028="",$S1028="نامعتبر"),"",LEFT($S1028,4)&amp;MID($S1028,6,2)&amp;RIGHT($S1028,2)&amp;"0000"&amp;"|"&amp;"2"&amp;RIGHT("00000"&amp;1023,5))</f>
        <v/>
      </c>
      <c r="U1028">
        <f>IF($T1028="","",COUNTIFS(LdAParty,$P1028,LdAType,1,LdAKey,"&lt;"&amp;$T1028)+COUNTIFS(LdBMember,$P1028,LdBKey,"&lt;"&amp;$T1028)+COUNTIFS(LdCParty,$P1028,LdCKey,"&lt;"&amp;$T1028)+1)</f>
        <v/>
      </c>
      <c r="V1028">
        <f>IF($U1028="","",$P1028&amp;"|"&amp;RIGHT("000000"&amp;$U1028,6))</f>
        <v/>
      </c>
      <c r="W1028">
        <f>IF($T1028="","",COUNTIFS(LdBGroup,$R1028,LdBKey,"&lt;"&amp;$T1028)+1)</f>
        <v/>
      </c>
      <c r="X1028">
        <f>IF($W1028="","",$R1028&amp;"|"&amp;RIGHT("000000"&amp;$W1028,6))</f>
        <v/>
      </c>
      <c r="Y1028">
        <f>IF($P1028="","",IF(Shares!$E1031="",0,Shares!$E1031))</f>
        <v/>
      </c>
      <c r="Z1028">
        <f>IF($P1028="","",Shares!$H1031)</f>
        <v/>
      </c>
      <c r="AE1028">
        <f>IF(OR(Sync!$S1028="",Sync!$P1028=""),"",Sync!$S1028)</f>
        <v/>
      </c>
      <c r="AF1028">
        <f>IF($AE1028="","",IF(ISNUMBER(Sync!$P1028),IF(AND(Sync!$P1028&gt;=10000101,Sync!$P1028&lt;=99991231),INT(Sync!$P1028/10000),""),IFERROR(VALUE(TRIM(LEFT(Sync!$P1028,FIND("/",Sync!$P1028)-1))),"")))</f>
        <v/>
      </c>
      <c r="AG1028">
        <f>IF(OR($AE1028="",$AF1028=""),"",IF(ISNUMBER(Sync!$P1028),INT(MOD(Sync!$P1028,10000)/100),IFERROR(VALUE(TRIM(LEFT(MID(Sync!$P1028,FIND("/",Sync!$P1028)+1,20),FIND("/",MID(Sync!$P1028,FIND("/",Sync!$P1028)+1,20))-1))),"")))</f>
        <v/>
      </c>
      <c r="AH1028">
        <f>IF(OR($AE1028="",$AF1028=""),"",IF(ISNUMBER(Sync!$P1028),MOD(Sync!$P1028,100),IFERROR(VALUE(TRIM(MID(MID(Sync!$P1028,FIND("/",Sync!$P1028)+1,20),FIND("/",MID(Sync!$P1028,FIND("/",Sync!$P1028)+1,20))+1,20))),"")))</f>
        <v/>
      </c>
      <c r="AI1028">
        <f>IF($AE1028="","",IF(OR($AF1028="",$AG1028="",$AH1028="",$AF1028&lt;1300,$AF1028&gt;1500,$AG1028&lt;1,$AG1028&gt;12,$AH1028&lt;1,$AH1028&gt;31),"نامعتبر",RIGHT("0000"&amp;$AF1028,4)&amp;"/"&amp;RIGHT("00"&amp;$AG1028,2)&amp;"/"&amp;RIGHT("00"&amp;$AH1028,2)))</f>
        <v/>
      </c>
      <c r="AJ1028">
        <f>IF($AE1028="","",IF(Sync!$Q1028="","0000",IF(AND(ISNUMBER(Sync!$Q1028),Sync!$Q1028&gt;=0,Sync!$Q1028&lt;1),RIGHT("00"&amp;HOUR(Sync!$Q1028),2)&amp;RIGHT("00"&amp;MINUTE(Sync!$Q1028),2),IFERROR(RIGHT("00"&amp;VALUE(LEFT(Sync!$Q1028,FIND(":",Sync!$Q1028)-1)),2)&amp;RIGHT("00"&amp;VALUE(MID(Sync!$Q1028,FIND(":",Sync!$Q1028)+1,2)),2),"0000"))))</f>
        <v/>
      </c>
      <c r="AK1028">
        <f>IF(OR($AE1028="",$AI1028="",$AI1028="نامعتبر"),"",LEFT($AI1028,4)&amp;MID($AI1028,6,2)&amp;RIGHT($AI1028,2)&amp;$AJ1028&amp;"|"&amp;"3"&amp;RIGHT("00000"&amp;1023,5))</f>
        <v/>
      </c>
      <c r="AL1028">
        <f>IF($AK1028="","",COUNTIFS(LdAParty,$AE1028,LdAType,1,LdAKey,"&lt;"&amp;$AK1028)+COUNTIFS(LdBMember,$AE1028,LdBKey,"&lt;"&amp;$AK1028)+COUNTIFS(LdCParty,$AE1028,LdCKey,"&lt;"&amp;$AK1028)+1)</f>
        <v/>
      </c>
      <c r="AM1028">
        <f>IF($AL1028="","",$AE1028&amp;"|"&amp;RIGHT("000000"&amp;$AL1028,6))</f>
        <v/>
      </c>
      <c r="AN1028">
        <f>IF($AE1028="","",IF(Sync!$W1028="",0,Sync!$W1028))</f>
        <v/>
      </c>
      <c r="AO1028">
        <f>IF($AE1028="","",IF(Sync!$X1028="",0,Sync!$X1028))</f>
        <v/>
      </c>
      <c r="AP1028">
        <f>IF($AE1028="","",Sync!$R1028)</f>
        <v/>
      </c>
      <c r="AQ1028">
        <f>IF($AE1028="","",Sync!$Y1028)</f>
        <v/>
      </c>
    </row>
    <row r="1029">
      <c r="A1029">
        <f>IF(OR(Wages!$B1032="",Wages!$E1032=""),"",Wages!$E1032)</f>
        <v/>
      </c>
      <c r="B1029">
        <f>IF($A1029="","",IF(Wages!$C1032="دستمزد گروهی",2,1))</f>
        <v/>
      </c>
      <c r="C1029">
        <f>IF($A1029="","",IF(ISNUMBER(Wages!$B1032),IF(AND(Wages!$B1032&gt;=10000101,Wages!$B1032&lt;=99991231),INT(Wages!$B1032/10000),""),IFERROR(VALUE(TRIM(LEFT(Wages!$B1032,FIND("/",Wages!$B1032)-1))),"")))</f>
        <v/>
      </c>
      <c r="D1029">
        <f>IF(OR($A1029="",$C1029=""),"",IF(ISNUMBER(Wages!$B1032),INT(MOD(Wages!$B1032,10000)/100),IFERROR(VALUE(TRIM(LEFT(MID(Wages!$B1032,FIND("/",Wages!$B1032)+1,20),FIND("/",MID(Wages!$B1032,FIND("/",Wages!$B1032)+1,20))-1))),"")))</f>
        <v/>
      </c>
      <c r="E1029">
        <f>IF(OR($A1029="",$C1029=""),"",IF(ISNUMBER(Wages!$B1032),MOD(Wages!$B1032,100),IFERROR(VALUE(TRIM(MID(MID(Wages!$B1032,FIND("/",Wages!$B1032)+1,20),FIND("/",MID(Wages!$B1032,FIND("/",Wages!$B1032)+1,20))+1,20))),"")))</f>
        <v/>
      </c>
      <c r="F1029">
        <f>IF($A1029="","",IF(OR($C1029="",$D1029="",$E1029="",$C1029&lt;1300,$C1029&gt;1500,$D1029&lt;1,$D1029&gt;12,$E1029&lt;1,$E1029&gt;31),"نامعتبر",RIGHT("0000"&amp;$C1029,4)&amp;"/"&amp;RIGHT("00"&amp;$D1029,2)&amp;"/"&amp;RIGHT("00"&amp;$E1029,2)))</f>
        <v/>
      </c>
      <c r="G1029">
        <f>IF(OR($A1029="",$F1029="",$F1029="نامعتبر"),"",LEFT($F1029,4)&amp;MID($F1029,6,2)&amp;RIGHT($F1029,2)&amp;"0000"&amp;"|"&amp;"1"&amp;RIGHT("00000"&amp;1024,5))</f>
        <v/>
      </c>
      <c r="H1029">
        <f>IF(OR($B1029&lt;&gt;1,$G1029=""),"",COUNTIFS(LdAParty,$A1029,LdAType,1,LdAKey,"&lt;"&amp;$G1029)+COUNTIFS(LdBMember,$A1029,LdBKey,"&lt;"&amp;$G1029)+COUNTIFS(LdCParty,$A1029,LdCKey,"&lt;"&amp;$G1029)+1)</f>
        <v/>
      </c>
      <c r="I1029">
        <f>IF($H1029="","",$A1029&amp;"|"&amp;RIGHT("000000"&amp;$H1029,6))</f>
        <v/>
      </c>
      <c r="J1029">
        <f>IF(OR($B1029&lt;&gt;2,$G1029=""),"",COUNTIFS(LdAParty,$A1029,LdAType,2,LdAKey,"&lt;"&amp;$G1029)+1)</f>
        <v/>
      </c>
      <c r="K1029">
        <f>IF($J1029="","",$A1029&amp;"|"&amp;RIGHT("000000"&amp;$J1029,6))</f>
        <v/>
      </c>
      <c r="L1029">
        <f>IF($A1029="","",IF(Wages!$G1032="",0,Wages!$G1032))</f>
        <v/>
      </c>
      <c r="M1029">
        <f>IF($A1029="","",Wages!$J1032)</f>
        <v/>
      </c>
      <c r="N1029">
        <f>IF($A1029="","",Wages!$D1032)</f>
        <v/>
      </c>
      <c r="P1029">
        <f>IF(OR(Shares!$B1032="",Shares!$C1032=""),"",Shares!$C1032)</f>
        <v/>
      </c>
      <c r="Q1029">
        <f>IF($P1029="","",Shares!$B1032)</f>
        <v/>
      </c>
      <c r="R1029">
        <f>IF($P1029="","",IFERROR(INDEX(WageParty,MATCH($Q1029,WageIds,0)),""))</f>
        <v/>
      </c>
      <c r="S1029">
        <f>IF($P1029="","",IFERROR(INDEX($F$6:$F$2005,MATCH($Q1029,WageIds,0)),""))</f>
        <v/>
      </c>
      <c r="T1029">
        <f>IF(OR($P1029="",$S1029="",$S1029="نامعتبر"),"",LEFT($S1029,4)&amp;MID($S1029,6,2)&amp;RIGHT($S1029,2)&amp;"0000"&amp;"|"&amp;"2"&amp;RIGHT("00000"&amp;1024,5))</f>
        <v/>
      </c>
      <c r="U1029">
        <f>IF($T1029="","",COUNTIFS(LdAParty,$P1029,LdAType,1,LdAKey,"&lt;"&amp;$T1029)+COUNTIFS(LdBMember,$P1029,LdBKey,"&lt;"&amp;$T1029)+COUNTIFS(LdCParty,$P1029,LdCKey,"&lt;"&amp;$T1029)+1)</f>
        <v/>
      </c>
      <c r="V1029">
        <f>IF($U1029="","",$P1029&amp;"|"&amp;RIGHT("000000"&amp;$U1029,6))</f>
        <v/>
      </c>
      <c r="W1029">
        <f>IF($T1029="","",COUNTIFS(LdBGroup,$R1029,LdBKey,"&lt;"&amp;$T1029)+1)</f>
        <v/>
      </c>
      <c r="X1029">
        <f>IF($W1029="","",$R1029&amp;"|"&amp;RIGHT("000000"&amp;$W1029,6))</f>
        <v/>
      </c>
      <c r="Y1029">
        <f>IF($P1029="","",IF(Shares!$E1032="",0,Shares!$E1032))</f>
        <v/>
      </c>
      <c r="Z1029">
        <f>IF($P1029="","",Shares!$H1032)</f>
        <v/>
      </c>
      <c r="AE1029">
        <f>IF(OR(Sync!$S1029="",Sync!$P1029=""),"",Sync!$S1029)</f>
        <v/>
      </c>
      <c r="AF1029">
        <f>IF($AE1029="","",IF(ISNUMBER(Sync!$P1029),IF(AND(Sync!$P1029&gt;=10000101,Sync!$P1029&lt;=99991231),INT(Sync!$P1029/10000),""),IFERROR(VALUE(TRIM(LEFT(Sync!$P1029,FIND("/",Sync!$P1029)-1))),"")))</f>
        <v/>
      </c>
      <c r="AG1029">
        <f>IF(OR($AE1029="",$AF1029=""),"",IF(ISNUMBER(Sync!$P1029),INT(MOD(Sync!$P1029,10000)/100),IFERROR(VALUE(TRIM(LEFT(MID(Sync!$P1029,FIND("/",Sync!$P1029)+1,20),FIND("/",MID(Sync!$P1029,FIND("/",Sync!$P1029)+1,20))-1))),"")))</f>
        <v/>
      </c>
      <c r="AH1029">
        <f>IF(OR($AE1029="",$AF1029=""),"",IF(ISNUMBER(Sync!$P1029),MOD(Sync!$P1029,100),IFERROR(VALUE(TRIM(MID(MID(Sync!$P1029,FIND("/",Sync!$P1029)+1,20),FIND("/",MID(Sync!$P1029,FIND("/",Sync!$P1029)+1,20))+1,20))),"")))</f>
        <v/>
      </c>
      <c r="AI1029">
        <f>IF($AE1029="","",IF(OR($AF1029="",$AG1029="",$AH1029="",$AF1029&lt;1300,$AF1029&gt;1500,$AG1029&lt;1,$AG1029&gt;12,$AH1029&lt;1,$AH1029&gt;31),"نامعتبر",RIGHT("0000"&amp;$AF1029,4)&amp;"/"&amp;RIGHT("00"&amp;$AG1029,2)&amp;"/"&amp;RIGHT("00"&amp;$AH1029,2)))</f>
        <v/>
      </c>
      <c r="AJ1029">
        <f>IF($AE1029="","",IF(Sync!$Q1029="","0000",IF(AND(ISNUMBER(Sync!$Q1029),Sync!$Q1029&gt;=0,Sync!$Q1029&lt;1),RIGHT("00"&amp;HOUR(Sync!$Q1029),2)&amp;RIGHT("00"&amp;MINUTE(Sync!$Q1029),2),IFERROR(RIGHT("00"&amp;VALUE(LEFT(Sync!$Q1029,FIND(":",Sync!$Q1029)-1)),2)&amp;RIGHT("00"&amp;VALUE(MID(Sync!$Q1029,FIND(":",Sync!$Q1029)+1,2)),2),"0000"))))</f>
        <v/>
      </c>
      <c r="AK1029">
        <f>IF(OR($AE1029="",$AI1029="",$AI1029="نامعتبر"),"",LEFT($AI1029,4)&amp;MID($AI1029,6,2)&amp;RIGHT($AI1029,2)&amp;$AJ1029&amp;"|"&amp;"3"&amp;RIGHT("00000"&amp;1024,5))</f>
        <v/>
      </c>
      <c r="AL1029">
        <f>IF($AK1029="","",COUNTIFS(LdAParty,$AE1029,LdAType,1,LdAKey,"&lt;"&amp;$AK1029)+COUNTIFS(LdBMember,$AE1029,LdBKey,"&lt;"&amp;$AK1029)+COUNTIFS(LdCParty,$AE1029,LdCKey,"&lt;"&amp;$AK1029)+1)</f>
        <v/>
      </c>
      <c r="AM1029">
        <f>IF($AL1029="","",$AE1029&amp;"|"&amp;RIGHT("000000"&amp;$AL1029,6))</f>
        <v/>
      </c>
      <c r="AN1029">
        <f>IF($AE1029="","",IF(Sync!$W1029="",0,Sync!$W1029))</f>
        <v/>
      </c>
      <c r="AO1029">
        <f>IF($AE1029="","",IF(Sync!$X1029="",0,Sync!$X1029))</f>
        <v/>
      </c>
      <c r="AP1029">
        <f>IF($AE1029="","",Sync!$R1029)</f>
        <v/>
      </c>
      <c r="AQ1029">
        <f>IF($AE1029="","",Sync!$Y1029)</f>
        <v/>
      </c>
    </row>
    <row r="1030">
      <c r="A1030">
        <f>IF(OR(Wages!$B1033="",Wages!$E1033=""),"",Wages!$E1033)</f>
        <v/>
      </c>
      <c r="B1030">
        <f>IF($A1030="","",IF(Wages!$C1033="دستمزد گروهی",2,1))</f>
        <v/>
      </c>
      <c r="C1030">
        <f>IF($A1030="","",IF(ISNUMBER(Wages!$B1033),IF(AND(Wages!$B1033&gt;=10000101,Wages!$B1033&lt;=99991231),INT(Wages!$B1033/10000),""),IFERROR(VALUE(TRIM(LEFT(Wages!$B1033,FIND("/",Wages!$B1033)-1))),"")))</f>
        <v/>
      </c>
      <c r="D1030">
        <f>IF(OR($A1030="",$C1030=""),"",IF(ISNUMBER(Wages!$B1033),INT(MOD(Wages!$B1033,10000)/100),IFERROR(VALUE(TRIM(LEFT(MID(Wages!$B1033,FIND("/",Wages!$B1033)+1,20),FIND("/",MID(Wages!$B1033,FIND("/",Wages!$B1033)+1,20))-1))),"")))</f>
        <v/>
      </c>
      <c r="E1030">
        <f>IF(OR($A1030="",$C1030=""),"",IF(ISNUMBER(Wages!$B1033),MOD(Wages!$B1033,100),IFERROR(VALUE(TRIM(MID(MID(Wages!$B1033,FIND("/",Wages!$B1033)+1,20),FIND("/",MID(Wages!$B1033,FIND("/",Wages!$B1033)+1,20))+1,20))),"")))</f>
        <v/>
      </c>
      <c r="F1030">
        <f>IF($A1030="","",IF(OR($C1030="",$D1030="",$E1030="",$C1030&lt;1300,$C1030&gt;1500,$D1030&lt;1,$D1030&gt;12,$E1030&lt;1,$E1030&gt;31),"نامعتبر",RIGHT("0000"&amp;$C1030,4)&amp;"/"&amp;RIGHT("00"&amp;$D1030,2)&amp;"/"&amp;RIGHT("00"&amp;$E1030,2)))</f>
        <v/>
      </c>
      <c r="G1030">
        <f>IF(OR($A1030="",$F1030="",$F1030="نامعتبر"),"",LEFT($F1030,4)&amp;MID($F1030,6,2)&amp;RIGHT($F1030,2)&amp;"0000"&amp;"|"&amp;"1"&amp;RIGHT("00000"&amp;1025,5))</f>
        <v/>
      </c>
      <c r="H1030">
        <f>IF(OR($B1030&lt;&gt;1,$G1030=""),"",COUNTIFS(LdAParty,$A1030,LdAType,1,LdAKey,"&lt;"&amp;$G1030)+COUNTIFS(LdBMember,$A1030,LdBKey,"&lt;"&amp;$G1030)+COUNTIFS(LdCParty,$A1030,LdCKey,"&lt;"&amp;$G1030)+1)</f>
        <v/>
      </c>
      <c r="I1030">
        <f>IF($H1030="","",$A1030&amp;"|"&amp;RIGHT("000000"&amp;$H1030,6))</f>
        <v/>
      </c>
      <c r="J1030">
        <f>IF(OR($B1030&lt;&gt;2,$G1030=""),"",COUNTIFS(LdAParty,$A1030,LdAType,2,LdAKey,"&lt;"&amp;$G1030)+1)</f>
        <v/>
      </c>
      <c r="K1030">
        <f>IF($J1030="","",$A1030&amp;"|"&amp;RIGHT("000000"&amp;$J1030,6))</f>
        <v/>
      </c>
      <c r="L1030">
        <f>IF($A1030="","",IF(Wages!$G1033="",0,Wages!$G1033))</f>
        <v/>
      </c>
      <c r="M1030">
        <f>IF($A1030="","",Wages!$J1033)</f>
        <v/>
      </c>
      <c r="N1030">
        <f>IF($A1030="","",Wages!$D1033)</f>
        <v/>
      </c>
      <c r="P1030">
        <f>IF(OR(Shares!$B1033="",Shares!$C1033=""),"",Shares!$C1033)</f>
        <v/>
      </c>
      <c r="Q1030">
        <f>IF($P1030="","",Shares!$B1033)</f>
        <v/>
      </c>
      <c r="R1030">
        <f>IF($P1030="","",IFERROR(INDEX(WageParty,MATCH($Q1030,WageIds,0)),""))</f>
        <v/>
      </c>
      <c r="S1030">
        <f>IF($P1030="","",IFERROR(INDEX($F$6:$F$2005,MATCH($Q1030,WageIds,0)),""))</f>
        <v/>
      </c>
      <c r="T1030">
        <f>IF(OR($P1030="",$S1030="",$S1030="نامعتبر"),"",LEFT($S1030,4)&amp;MID($S1030,6,2)&amp;RIGHT($S1030,2)&amp;"0000"&amp;"|"&amp;"2"&amp;RIGHT("00000"&amp;1025,5))</f>
        <v/>
      </c>
      <c r="U1030">
        <f>IF($T1030="","",COUNTIFS(LdAParty,$P1030,LdAType,1,LdAKey,"&lt;"&amp;$T1030)+COUNTIFS(LdBMember,$P1030,LdBKey,"&lt;"&amp;$T1030)+COUNTIFS(LdCParty,$P1030,LdCKey,"&lt;"&amp;$T1030)+1)</f>
        <v/>
      </c>
      <c r="V1030">
        <f>IF($U1030="","",$P1030&amp;"|"&amp;RIGHT("000000"&amp;$U1030,6))</f>
        <v/>
      </c>
      <c r="W1030">
        <f>IF($T1030="","",COUNTIFS(LdBGroup,$R1030,LdBKey,"&lt;"&amp;$T1030)+1)</f>
        <v/>
      </c>
      <c r="X1030">
        <f>IF($W1030="","",$R1030&amp;"|"&amp;RIGHT("000000"&amp;$W1030,6))</f>
        <v/>
      </c>
      <c r="Y1030">
        <f>IF($P1030="","",IF(Shares!$E1033="",0,Shares!$E1033))</f>
        <v/>
      </c>
      <c r="Z1030">
        <f>IF($P1030="","",Shares!$H1033)</f>
        <v/>
      </c>
      <c r="AE1030">
        <f>IF(OR(Sync!$S1030="",Sync!$P1030=""),"",Sync!$S1030)</f>
        <v/>
      </c>
      <c r="AF1030">
        <f>IF($AE1030="","",IF(ISNUMBER(Sync!$P1030),IF(AND(Sync!$P1030&gt;=10000101,Sync!$P1030&lt;=99991231),INT(Sync!$P1030/10000),""),IFERROR(VALUE(TRIM(LEFT(Sync!$P1030,FIND("/",Sync!$P1030)-1))),"")))</f>
        <v/>
      </c>
      <c r="AG1030">
        <f>IF(OR($AE1030="",$AF1030=""),"",IF(ISNUMBER(Sync!$P1030),INT(MOD(Sync!$P1030,10000)/100),IFERROR(VALUE(TRIM(LEFT(MID(Sync!$P1030,FIND("/",Sync!$P1030)+1,20),FIND("/",MID(Sync!$P1030,FIND("/",Sync!$P1030)+1,20))-1))),"")))</f>
        <v/>
      </c>
      <c r="AH1030">
        <f>IF(OR($AE1030="",$AF1030=""),"",IF(ISNUMBER(Sync!$P1030),MOD(Sync!$P1030,100),IFERROR(VALUE(TRIM(MID(MID(Sync!$P1030,FIND("/",Sync!$P1030)+1,20),FIND("/",MID(Sync!$P1030,FIND("/",Sync!$P1030)+1,20))+1,20))),"")))</f>
        <v/>
      </c>
      <c r="AI1030">
        <f>IF($AE1030="","",IF(OR($AF1030="",$AG1030="",$AH1030="",$AF1030&lt;1300,$AF1030&gt;1500,$AG1030&lt;1,$AG1030&gt;12,$AH1030&lt;1,$AH1030&gt;31),"نامعتبر",RIGHT("0000"&amp;$AF1030,4)&amp;"/"&amp;RIGHT("00"&amp;$AG1030,2)&amp;"/"&amp;RIGHT("00"&amp;$AH1030,2)))</f>
        <v/>
      </c>
      <c r="AJ1030">
        <f>IF($AE1030="","",IF(Sync!$Q1030="","0000",IF(AND(ISNUMBER(Sync!$Q1030),Sync!$Q1030&gt;=0,Sync!$Q1030&lt;1),RIGHT("00"&amp;HOUR(Sync!$Q1030),2)&amp;RIGHT("00"&amp;MINUTE(Sync!$Q1030),2),IFERROR(RIGHT("00"&amp;VALUE(LEFT(Sync!$Q1030,FIND(":",Sync!$Q1030)-1)),2)&amp;RIGHT("00"&amp;VALUE(MID(Sync!$Q1030,FIND(":",Sync!$Q1030)+1,2)),2),"0000"))))</f>
        <v/>
      </c>
      <c r="AK1030">
        <f>IF(OR($AE1030="",$AI1030="",$AI1030="نامعتبر"),"",LEFT($AI1030,4)&amp;MID($AI1030,6,2)&amp;RIGHT($AI1030,2)&amp;$AJ1030&amp;"|"&amp;"3"&amp;RIGHT("00000"&amp;1025,5))</f>
        <v/>
      </c>
      <c r="AL1030">
        <f>IF($AK1030="","",COUNTIFS(LdAParty,$AE1030,LdAType,1,LdAKey,"&lt;"&amp;$AK1030)+COUNTIFS(LdBMember,$AE1030,LdBKey,"&lt;"&amp;$AK1030)+COUNTIFS(LdCParty,$AE1030,LdCKey,"&lt;"&amp;$AK1030)+1)</f>
        <v/>
      </c>
      <c r="AM1030">
        <f>IF($AL1030="","",$AE1030&amp;"|"&amp;RIGHT("000000"&amp;$AL1030,6))</f>
        <v/>
      </c>
      <c r="AN1030">
        <f>IF($AE1030="","",IF(Sync!$W1030="",0,Sync!$W1030))</f>
        <v/>
      </c>
      <c r="AO1030">
        <f>IF($AE1030="","",IF(Sync!$X1030="",0,Sync!$X1030))</f>
        <v/>
      </c>
      <c r="AP1030">
        <f>IF($AE1030="","",Sync!$R1030)</f>
        <v/>
      </c>
      <c r="AQ1030">
        <f>IF($AE1030="","",Sync!$Y1030)</f>
        <v/>
      </c>
    </row>
    <row r="1031">
      <c r="A1031">
        <f>IF(OR(Wages!$B1034="",Wages!$E1034=""),"",Wages!$E1034)</f>
        <v/>
      </c>
      <c r="B1031">
        <f>IF($A1031="","",IF(Wages!$C1034="دستمزد گروهی",2,1))</f>
        <v/>
      </c>
      <c r="C1031">
        <f>IF($A1031="","",IF(ISNUMBER(Wages!$B1034),IF(AND(Wages!$B1034&gt;=10000101,Wages!$B1034&lt;=99991231),INT(Wages!$B1034/10000),""),IFERROR(VALUE(TRIM(LEFT(Wages!$B1034,FIND("/",Wages!$B1034)-1))),"")))</f>
        <v/>
      </c>
      <c r="D1031">
        <f>IF(OR($A1031="",$C1031=""),"",IF(ISNUMBER(Wages!$B1034),INT(MOD(Wages!$B1034,10000)/100),IFERROR(VALUE(TRIM(LEFT(MID(Wages!$B1034,FIND("/",Wages!$B1034)+1,20),FIND("/",MID(Wages!$B1034,FIND("/",Wages!$B1034)+1,20))-1))),"")))</f>
        <v/>
      </c>
      <c r="E1031">
        <f>IF(OR($A1031="",$C1031=""),"",IF(ISNUMBER(Wages!$B1034),MOD(Wages!$B1034,100),IFERROR(VALUE(TRIM(MID(MID(Wages!$B1034,FIND("/",Wages!$B1034)+1,20),FIND("/",MID(Wages!$B1034,FIND("/",Wages!$B1034)+1,20))+1,20))),"")))</f>
        <v/>
      </c>
      <c r="F1031">
        <f>IF($A1031="","",IF(OR($C1031="",$D1031="",$E1031="",$C1031&lt;1300,$C1031&gt;1500,$D1031&lt;1,$D1031&gt;12,$E1031&lt;1,$E1031&gt;31),"نامعتبر",RIGHT("0000"&amp;$C1031,4)&amp;"/"&amp;RIGHT("00"&amp;$D1031,2)&amp;"/"&amp;RIGHT("00"&amp;$E1031,2)))</f>
        <v/>
      </c>
      <c r="G1031">
        <f>IF(OR($A1031="",$F1031="",$F1031="نامعتبر"),"",LEFT($F1031,4)&amp;MID($F1031,6,2)&amp;RIGHT($F1031,2)&amp;"0000"&amp;"|"&amp;"1"&amp;RIGHT("00000"&amp;1026,5))</f>
        <v/>
      </c>
      <c r="H1031">
        <f>IF(OR($B1031&lt;&gt;1,$G1031=""),"",COUNTIFS(LdAParty,$A1031,LdAType,1,LdAKey,"&lt;"&amp;$G1031)+COUNTIFS(LdBMember,$A1031,LdBKey,"&lt;"&amp;$G1031)+COUNTIFS(LdCParty,$A1031,LdCKey,"&lt;"&amp;$G1031)+1)</f>
        <v/>
      </c>
      <c r="I1031">
        <f>IF($H1031="","",$A1031&amp;"|"&amp;RIGHT("000000"&amp;$H1031,6))</f>
        <v/>
      </c>
      <c r="J1031">
        <f>IF(OR($B1031&lt;&gt;2,$G1031=""),"",COUNTIFS(LdAParty,$A1031,LdAType,2,LdAKey,"&lt;"&amp;$G1031)+1)</f>
        <v/>
      </c>
      <c r="K1031">
        <f>IF($J1031="","",$A1031&amp;"|"&amp;RIGHT("000000"&amp;$J1031,6))</f>
        <v/>
      </c>
      <c r="L1031">
        <f>IF($A1031="","",IF(Wages!$G1034="",0,Wages!$G1034))</f>
        <v/>
      </c>
      <c r="M1031">
        <f>IF($A1031="","",Wages!$J1034)</f>
        <v/>
      </c>
      <c r="N1031">
        <f>IF($A1031="","",Wages!$D1034)</f>
        <v/>
      </c>
      <c r="P1031">
        <f>IF(OR(Shares!$B1034="",Shares!$C1034=""),"",Shares!$C1034)</f>
        <v/>
      </c>
      <c r="Q1031">
        <f>IF($P1031="","",Shares!$B1034)</f>
        <v/>
      </c>
      <c r="R1031">
        <f>IF($P1031="","",IFERROR(INDEX(WageParty,MATCH($Q1031,WageIds,0)),""))</f>
        <v/>
      </c>
      <c r="S1031">
        <f>IF($P1031="","",IFERROR(INDEX($F$6:$F$2005,MATCH($Q1031,WageIds,0)),""))</f>
        <v/>
      </c>
      <c r="T1031">
        <f>IF(OR($P1031="",$S1031="",$S1031="نامعتبر"),"",LEFT($S1031,4)&amp;MID($S1031,6,2)&amp;RIGHT($S1031,2)&amp;"0000"&amp;"|"&amp;"2"&amp;RIGHT("00000"&amp;1026,5))</f>
        <v/>
      </c>
      <c r="U1031">
        <f>IF($T1031="","",COUNTIFS(LdAParty,$P1031,LdAType,1,LdAKey,"&lt;"&amp;$T1031)+COUNTIFS(LdBMember,$P1031,LdBKey,"&lt;"&amp;$T1031)+COUNTIFS(LdCParty,$P1031,LdCKey,"&lt;"&amp;$T1031)+1)</f>
        <v/>
      </c>
      <c r="V1031">
        <f>IF($U1031="","",$P1031&amp;"|"&amp;RIGHT("000000"&amp;$U1031,6))</f>
        <v/>
      </c>
      <c r="W1031">
        <f>IF($T1031="","",COUNTIFS(LdBGroup,$R1031,LdBKey,"&lt;"&amp;$T1031)+1)</f>
        <v/>
      </c>
      <c r="X1031">
        <f>IF($W1031="","",$R1031&amp;"|"&amp;RIGHT("000000"&amp;$W1031,6))</f>
        <v/>
      </c>
      <c r="Y1031">
        <f>IF($P1031="","",IF(Shares!$E1034="",0,Shares!$E1034))</f>
        <v/>
      </c>
      <c r="Z1031">
        <f>IF($P1031="","",Shares!$H1034)</f>
        <v/>
      </c>
      <c r="AE1031">
        <f>IF(OR(Sync!$S1031="",Sync!$P1031=""),"",Sync!$S1031)</f>
        <v/>
      </c>
      <c r="AF1031">
        <f>IF($AE1031="","",IF(ISNUMBER(Sync!$P1031),IF(AND(Sync!$P1031&gt;=10000101,Sync!$P1031&lt;=99991231),INT(Sync!$P1031/10000),""),IFERROR(VALUE(TRIM(LEFT(Sync!$P1031,FIND("/",Sync!$P1031)-1))),"")))</f>
        <v/>
      </c>
      <c r="AG1031">
        <f>IF(OR($AE1031="",$AF1031=""),"",IF(ISNUMBER(Sync!$P1031),INT(MOD(Sync!$P1031,10000)/100),IFERROR(VALUE(TRIM(LEFT(MID(Sync!$P1031,FIND("/",Sync!$P1031)+1,20),FIND("/",MID(Sync!$P1031,FIND("/",Sync!$P1031)+1,20))-1))),"")))</f>
        <v/>
      </c>
      <c r="AH1031">
        <f>IF(OR($AE1031="",$AF1031=""),"",IF(ISNUMBER(Sync!$P1031),MOD(Sync!$P1031,100),IFERROR(VALUE(TRIM(MID(MID(Sync!$P1031,FIND("/",Sync!$P1031)+1,20),FIND("/",MID(Sync!$P1031,FIND("/",Sync!$P1031)+1,20))+1,20))),"")))</f>
        <v/>
      </c>
      <c r="AI1031">
        <f>IF($AE1031="","",IF(OR($AF1031="",$AG1031="",$AH1031="",$AF1031&lt;1300,$AF1031&gt;1500,$AG1031&lt;1,$AG1031&gt;12,$AH1031&lt;1,$AH1031&gt;31),"نامعتبر",RIGHT("0000"&amp;$AF1031,4)&amp;"/"&amp;RIGHT("00"&amp;$AG1031,2)&amp;"/"&amp;RIGHT("00"&amp;$AH1031,2)))</f>
        <v/>
      </c>
      <c r="AJ1031">
        <f>IF($AE1031="","",IF(Sync!$Q1031="","0000",IF(AND(ISNUMBER(Sync!$Q1031),Sync!$Q1031&gt;=0,Sync!$Q1031&lt;1),RIGHT("00"&amp;HOUR(Sync!$Q1031),2)&amp;RIGHT("00"&amp;MINUTE(Sync!$Q1031),2),IFERROR(RIGHT("00"&amp;VALUE(LEFT(Sync!$Q1031,FIND(":",Sync!$Q1031)-1)),2)&amp;RIGHT("00"&amp;VALUE(MID(Sync!$Q1031,FIND(":",Sync!$Q1031)+1,2)),2),"0000"))))</f>
        <v/>
      </c>
      <c r="AK1031">
        <f>IF(OR($AE1031="",$AI1031="",$AI1031="نامعتبر"),"",LEFT($AI1031,4)&amp;MID($AI1031,6,2)&amp;RIGHT($AI1031,2)&amp;$AJ1031&amp;"|"&amp;"3"&amp;RIGHT("00000"&amp;1026,5))</f>
        <v/>
      </c>
      <c r="AL1031">
        <f>IF($AK1031="","",COUNTIFS(LdAParty,$AE1031,LdAType,1,LdAKey,"&lt;"&amp;$AK1031)+COUNTIFS(LdBMember,$AE1031,LdBKey,"&lt;"&amp;$AK1031)+COUNTIFS(LdCParty,$AE1031,LdCKey,"&lt;"&amp;$AK1031)+1)</f>
        <v/>
      </c>
      <c r="AM1031">
        <f>IF($AL1031="","",$AE1031&amp;"|"&amp;RIGHT("000000"&amp;$AL1031,6))</f>
        <v/>
      </c>
      <c r="AN1031">
        <f>IF($AE1031="","",IF(Sync!$W1031="",0,Sync!$W1031))</f>
        <v/>
      </c>
      <c r="AO1031">
        <f>IF($AE1031="","",IF(Sync!$X1031="",0,Sync!$X1031))</f>
        <v/>
      </c>
      <c r="AP1031">
        <f>IF($AE1031="","",Sync!$R1031)</f>
        <v/>
      </c>
      <c r="AQ1031">
        <f>IF($AE1031="","",Sync!$Y1031)</f>
        <v/>
      </c>
    </row>
    <row r="1032">
      <c r="A1032">
        <f>IF(OR(Wages!$B1035="",Wages!$E1035=""),"",Wages!$E1035)</f>
        <v/>
      </c>
      <c r="B1032">
        <f>IF($A1032="","",IF(Wages!$C1035="دستمزد گروهی",2,1))</f>
        <v/>
      </c>
      <c r="C1032">
        <f>IF($A1032="","",IF(ISNUMBER(Wages!$B1035),IF(AND(Wages!$B1035&gt;=10000101,Wages!$B1035&lt;=99991231),INT(Wages!$B1035/10000),""),IFERROR(VALUE(TRIM(LEFT(Wages!$B1035,FIND("/",Wages!$B1035)-1))),"")))</f>
        <v/>
      </c>
      <c r="D1032">
        <f>IF(OR($A1032="",$C1032=""),"",IF(ISNUMBER(Wages!$B1035),INT(MOD(Wages!$B1035,10000)/100),IFERROR(VALUE(TRIM(LEFT(MID(Wages!$B1035,FIND("/",Wages!$B1035)+1,20),FIND("/",MID(Wages!$B1035,FIND("/",Wages!$B1035)+1,20))-1))),"")))</f>
        <v/>
      </c>
      <c r="E1032">
        <f>IF(OR($A1032="",$C1032=""),"",IF(ISNUMBER(Wages!$B1035),MOD(Wages!$B1035,100),IFERROR(VALUE(TRIM(MID(MID(Wages!$B1035,FIND("/",Wages!$B1035)+1,20),FIND("/",MID(Wages!$B1035,FIND("/",Wages!$B1035)+1,20))+1,20))),"")))</f>
        <v/>
      </c>
      <c r="F1032">
        <f>IF($A1032="","",IF(OR($C1032="",$D1032="",$E1032="",$C1032&lt;1300,$C1032&gt;1500,$D1032&lt;1,$D1032&gt;12,$E1032&lt;1,$E1032&gt;31),"نامعتبر",RIGHT("0000"&amp;$C1032,4)&amp;"/"&amp;RIGHT("00"&amp;$D1032,2)&amp;"/"&amp;RIGHT("00"&amp;$E1032,2)))</f>
        <v/>
      </c>
      <c r="G1032">
        <f>IF(OR($A1032="",$F1032="",$F1032="نامعتبر"),"",LEFT($F1032,4)&amp;MID($F1032,6,2)&amp;RIGHT($F1032,2)&amp;"0000"&amp;"|"&amp;"1"&amp;RIGHT("00000"&amp;1027,5))</f>
        <v/>
      </c>
      <c r="H1032">
        <f>IF(OR($B1032&lt;&gt;1,$G1032=""),"",COUNTIFS(LdAParty,$A1032,LdAType,1,LdAKey,"&lt;"&amp;$G1032)+COUNTIFS(LdBMember,$A1032,LdBKey,"&lt;"&amp;$G1032)+COUNTIFS(LdCParty,$A1032,LdCKey,"&lt;"&amp;$G1032)+1)</f>
        <v/>
      </c>
      <c r="I1032">
        <f>IF($H1032="","",$A1032&amp;"|"&amp;RIGHT("000000"&amp;$H1032,6))</f>
        <v/>
      </c>
      <c r="J1032">
        <f>IF(OR($B1032&lt;&gt;2,$G1032=""),"",COUNTIFS(LdAParty,$A1032,LdAType,2,LdAKey,"&lt;"&amp;$G1032)+1)</f>
        <v/>
      </c>
      <c r="K1032">
        <f>IF($J1032="","",$A1032&amp;"|"&amp;RIGHT("000000"&amp;$J1032,6))</f>
        <v/>
      </c>
      <c r="L1032">
        <f>IF($A1032="","",IF(Wages!$G1035="",0,Wages!$G1035))</f>
        <v/>
      </c>
      <c r="M1032">
        <f>IF($A1032="","",Wages!$J1035)</f>
        <v/>
      </c>
      <c r="N1032">
        <f>IF($A1032="","",Wages!$D1035)</f>
        <v/>
      </c>
      <c r="P1032">
        <f>IF(OR(Shares!$B1035="",Shares!$C1035=""),"",Shares!$C1035)</f>
        <v/>
      </c>
      <c r="Q1032">
        <f>IF($P1032="","",Shares!$B1035)</f>
        <v/>
      </c>
      <c r="R1032">
        <f>IF($P1032="","",IFERROR(INDEX(WageParty,MATCH($Q1032,WageIds,0)),""))</f>
        <v/>
      </c>
      <c r="S1032">
        <f>IF($P1032="","",IFERROR(INDEX($F$6:$F$2005,MATCH($Q1032,WageIds,0)),""))</f>
        <v/>
      </c>
      <c r="T1032">
        <f>IF(OR($P1032="",$S1032="",$S1032="نامعتبر"),"",LEFT($S1032,4)&amp;MID($S1032,6,2)&amp;RIGHT($S1032,2)&amp;"0000"&amp;"|"&amp;"2"&amp;RIGHT("00000"&amp;1027,5))</f>
        <v/>
      </c>
      <c r="U1032">
        <f>IF($T1032="","",COUNTIFS(LdAParty,$P1032,LdAType,1,LdAKey,"&lt;"&amp;$T1032)+COUNTIFS(LdBMember,$P1032,LdBKey,"&lt;"&amp;$T1032)+COUNTIFS(LdCParty,$P1032,LdCKey,"&lt;"&amp;$T1032)+1)</f>
        <v/>
      </c>
      <c r="V1032">
        <f>IF($U1032="","",$P1032&amp;"|"&amp;RIGHT("000000"&amp;$U1032,6))</f>
        <v/>
      </c>
      <c r="W1032">
        <f>IF($T1032="","",COUNTIFS(LdBGroup,$R1032,LdBKey,"&lt;"&amp;$T1032)+1)</f>
        <v/>
      </c>
      <c r="X1032">
        <f>IF($W1032="","",$R1032&amp;"|"&amp;RIGHT("000000"&amp;$W1032,6))</f>
        <v/>
      </c>
      <c r="Y1032">
        <f>IF($P1032="","",IF(Shares!$E1035="",0,Shares!$E1035))</f>
        <v/>
      </c>
      <c r="Z1032">
        <f>IF($P1032="","",Shares!$H1035)</f>
        <v/>
      </c>
      <c r="AE1032">
        <f>IF(OR(Sync!$S1032="",Sync!$P1032=""),"",Sync!$S1032)</f>
        <v/>
      </c>
      <c r="AF1032">
        <f>IF($AE1032="","",IF(ISNUMBER(Sync!$P1032),IF(AND(Sync!$P1032&gt;=10000101,Sync!$P1032&lt;=99991231),INT(Sync!$P1032/10000),""),IFERROR(VALUE(TRIM(LEFT(Sync!$P1032,FIND("/",Sync!$P1032)-1))),"")))</f>
        <v/>
      </c>
      <c r="AG1032">
        <f>IF(OR($AE1032="",$AF1032=""),"",IF(ISNUMBER(Sync!$P1032),INT(MOD(Sync!$P1032,10000)/100),IFERROR(VALUE(TRIM(LEFT(MID(Sync!$P1032,FIND("/",Sync!$P1032)+1,20),FIND("/",MID(Sync!$P1032,FIND("/",Sync!$P1032)+1,20))-1))),"")))</f>
        <v/>
      </c>
      <c r="AH1032">
        <f>IF(OR($AE1032="",$AF1032=""),"",IF(ISNUMBER(Sync!$P1032),MOD(Sync!$P1032,100),IFERROR(VALUE(TRIM(MID(MID(Sync!$P1032,FIND("/",Sync!$P1032)+1,20),FIND("/",MID(Sync!$P1032,FIND("/",Sync!$P1032)+1,20))+1,20))),"")))</f>
        <v/>
      </c>
      <c r="AI1032">
        <f>IF($AE1032="","",IF(OR($AF1032="",$AG1032="",$AH1032="",$AF1032&lt;1300,$AF1032&gt;1500,$AG1032&lt;1,$AG1032&gt;12,$AH1032&lt;1,$AH1032&gt;31),"نامعتبر",RIGHT("0000"&amp;$AF1032,4)&amp;"/"&amp;RIGHT("00"&amp;$AG1032,2)&amp;"/"&amp;RIGHT("00"&amp;$AH1032,2)))</f>
        <v/>
      </c>
      <c r="AJ1032">
        <f>IF($AE1032="","",IF(Sync!$Q1032="","0000",IF(AND(ISNUMBER(Sync!$Q1032),Sync!$Q1032&gt;=0,Sync!$Q1032&lt;1),RIGHT("00"&amp;HOUR(Sync!$Q1032),2)&amp;RIGHT("00"&amp;MINUTE(Sync!$Q1032),2),IFERROR(RIGHT("00"&amp;VALUE(LEFT(Sync!$Q1032,FIND(":",Sync!$Q1032)-1)),2)&amp;RIGHT("00"&amp;VALUE(MID(Sync!$Q1032,FIND(":",Sync!$Q1032)+1,2)),2),"0000"))))</f>
        <v/>
      </c>
      <c r="AK1032">
        <f>IF(OR($AE1032="",$AI1032="",$AI1032="نامعتبر"),"",LEFT($AI1032,4)&amp;MID($AI1032,6,2)&amp;RIGHT($AI1032,2)&amp;$AJ1032&amp;"|"&amp;"3"&amp;RIGHT("00000"&amp;1027,5))</f>
        <v/>
      </c>
      <c r="AL1032">
        <f>IF($AK1032="","",COUNTIFS(LdAParty,$AE1032,LdAType,1,LdAKey,"&lt;"&amp;$AK1032)+COUNTIFS(LdBMember,$AE1032,LdBKey,"&lt;"&amp;$AK1032)+COUNTIFS(LdCParty,$AE1032,LdCKey,"&lt;"&amp;$AK1032)+1)</f>
        <v/>
      </c>
      <c r="AM1032">
        <f>IF($AL1032="","",$AE1032&amp;"|"&amp;RIGHT("000000"&amp;$AL1032,6))</f>
        <v/>
      </c>
      <c r="AN1032">
        <f>IF($AE1032="","",IF(Sync!$W1032="",0,Sync!$W1032))</f>
        <v/>
      </c>
      <c r="AO1032">
        <f>IF($AE1032="","",IF(Sync!$X1032="",0,Sync!$X1032))</f>
        <v/>
      </c>
      <c r="AP1032">
        <f>IF($AE1032="","",Sync!$R1032)</f>
        <v/>
      </c>
      <c r="AQ1032">
        <f>IF($AE1032="","",Sync!$Y1032)</f>
        <v/>
      </c>
    </row>
    <row r="1033">
      <c r="A1033">
        <f>IF(OR(Wages!$B1036="",Wages!$E1036=""),"",Wages!$E1036)</f>
        <v/>
      </c>
      <c r="B1033">
        <f>IF($A1033="","",IF(Wages!$C1036="دستمزد گروهی",2,1))</f>
        <v/>
      </c>
      <c r="C1033">
        <f>IF($A1033="","",IF(ISNUMBER(Wages!$B1036),IF(AND(Wages!$B1036&gt;=10000101,Wages!$B1036&lt;=99991231),INT(Wages!$B1036/10000),""),IFERROR(VALUE(TRIM(LEFT(Wages!$B1036,FIND("/",Wages!$B1036)-1))),"")))</f>
        <v/>
      </c>
      <c r="D1033">
        <f>IF(OR($A1033="",$C1033=""),"",IF(ISNUMBER(Wages!$B1036),INT(MOD(Wages!$B1036,10000)/100),IFERROR(VALUE(TRIM(LEFT(MID(Wages!$B1036,FIND("/",Wages!$B1036)+1,20),FIND("/",MID(Wages!$B1036,FIND("/",Wages!$B1036)+1,20))-1))),"")))</f>
        <v/>
      </c>
      <c r="E1033">
        <f>IF(OR($A1033="",$C1033=""),"",IF(ISNUMBER(Wages!$B1036),MOD(Wages!$B1036,100),IFERROR(VALUE(TRIM(MID(MID(Wages!$B1036,FIND("/",Wages!$B1036)+1,20),FIND("/",MID(Wages!$B1036,FIND("/",Wages!$B1036)+1,20))+1,20))),"")))</f>
        <v/>
      </c>
      <c r="F1033">
        <f>IF($A1033="","",IF(OR($C1033="",$D1033="",$E1033="",$C1033&lt;1300,$C1033&gt;1500,$D1033&lt;1,$D1033&gt;12,$E1033&lt;1,$E1033&gt;31),"نامعتبر",RIGHT("0000"&amp;$C1033,4)&amp;"/"&amp;RIGHT("00"&amp;$D1033,2)&amp;"/"&amp;RIGHT("00"&amp;$E1033,2)))</f>
        <v/>
      </c>
      <c r="G1033">
        <f>IF(OR($A1033="",$F1033="",$F1033="نامعتبر"),"",LEFT($F1033,4)&amp;MID($F1033,6,2)&amp;RIGHT($F1033,2)&amp;"0000"&amp;"|"&amp;"1"&amp;RIGHT("00000"&amp;1028,5))</f>
        <v/>
      </c>
      <c r="H1033">
        <f>IF(OR($B1033&lt;&gt;1,$G1033=""),"",COUNTIFS(LdAParty,$A1033,LdAType,1,LdAKey,"&lt;"&amp;$G1033)+COUNTIFS(LdBMember,$A1033,LdBKey,"&lt;"&amp;$G1033)+COUNTIFS(LdCParty,$A1033,LdCKey,"&lt;"&amp;$G1033)+1)</f>
        <v/>
      </c>
      <c r="I1033">
        <f>IF($H1033="","",$A1033&amp;"|"&amp;RIGHT("000000"&amp;$H1033,6))</f>
        <v/>
      </c>
      <c r="J1033">
        <f>IF(OR($B1033&lt;&gt;2,$G1033=""),"",COUNTIFS(LdAParty,$A1033,LdAType,2,LdAKey,"&lt;"&amp;$G1033)+1)</f>
        <v/>
      </c>
      <c r="K1033">
        <f>IF($J1033="","",$A1033&amp;"|"&amp;RIGHT("000000"&amp;$J1033,6))</f>
        <v/>
      </c>
      <c r="L1033">
        <f>IF($A1033="","",IF(Wages!$G1036="",0,Wages!$G1036))</f>
        <v/>
      </c>
      <c r="M1033">
        <f>IF($A1033="","",Wages!$J1036)</f>
        <v/>
      </c>
      <c r="N1033">
        <f>IF($A1033="","",Wages!$D1036)</f>
        <v/>
      </c>
      <c r="P1033">
        <f>IF(OR(Shares!$B1036="",Shares!$C1036=""),"",Shares!$C1036)</f>
        <v/>
      </c>
      <c r="Q1033">
        <f>IF($P1033="","",Shares!$B1036)</f>
        <v/>
      </c>
      <c r="R1033">
        <f>IF($P1033="","",IFERROR(INDEX(WageParty,MATCH($Q1033,WageIds,0)),""))</f>
        <v/>
      </c>
      <c r="S1033">
        <f>IF($P1033="","",IFERROR(INDEX($F$6:$F$2005,MATCH($Q1033,WageIds,0)),""))</f>
        <v/>
      </c>
      <c r="T1033">
        <f>IF(OR($P1033="",$S1033="",$S1033="نامعتبر"),"",LEFT($S1033,4)&amp;MID($S1033,6,2)&amp;RIGHT($S1033,2)&amp;"0000"&amp;"|"&amp;"2"&amp;RIGHT("00000"&amp;1028,5))</f>
        <v/>
      </c>
      <c r="U1033">
        <f>IF($T1033="","",COUNTIFS(LdAParty,$P1033,LdAType,1,LdAKey,"&lt;"&amp;$T1033)+COUNTIFS(LdBMember,$P1033,LdBKey,"&lt;"&amp;$T1033)+COUNTIFS(LdCParty,$P1033,LdCKey,"&lt;"&amp;$T1033)+1)</f>
        <v/>
      </c>
      <c r="V1033">
        <f>IF($U1033="","",$P1033&amp;"|"&amp;RIGHT("000000"&amp;$U1033,6))</f>
        <v/>
      </c>
      <c r="W1033">
        <f>IF($T1033="","",COUNTIFS(LdBGroup,$R1033,LdBKey,"&lt;"&amp;$T1033)+1)</f>
        <v/>
      </c>
      <c r="X1033">
        <f>IF($W1033="","",$R1033&amp;"|"&amp;RIGHT("000000"&amp;$W1033,6))</f>
        <v/>
      </c>
      <c r="Y1033">
        <f>IF($P1033="","",IF(Shares!$E1036="",0,Shares!$E1036))</f>
        <v/>
      </c>
      <c r="Z1033">
        <f>IF($P1033="","",Shares!$H1036)</f>
        <v/>
      </c>
      <c r="AE1033">
        <f>IF(OR(Sync!$S1033="",Sync!$P1033=""),"",Sync!$S1033)</f>
        <v/>
      </c>
      <c r="AF1033">
        <f>IF($AE1033="","",IF(ISNUMBER(Sync!$P1033),IF(AND(Sync!$P1033&gt;=10000101,Sync!$P1033&lt;=99991231),INT(Sync!$P1033/10000),""),IFERROR(VALUE(TRIM(LEFT(Sync!$P1033,FIND("/",Sync!$P1033)-1))),"")))</f>
        <v/>
      </c>
      <c r="AG1033">
        <f>IF(OR($AE1033="",$AF1033=""),"",IF(ISNUMBER(Sync!$P1033),INT(MOD(Sync!$P1033,10000)/100),IFERROR(VALUE(TRIM(LEFT(MID(Sync!$P1033,FIND("/",Sync!$P1033)+1,20),FIND("/",MID(Sync!$P1033,FIND("/",Sync!$P1033)+1,20))-1))),"")))</f>
        <v/>
      </c>
      <c r="AH1033">
        <f>IF(OR($AE1033="",$AF1033=""),"",IF(ISNUMBER(Sync!$P1033),MOD(Sync!$P1033,100),IFERROR(VALUE(TRIM(MID(MID(Sync!$P1033,FIND("/",Sync!$P1033)+1,20),FIND("/",MID(Sync!$P1033,FIND("/",Sync!$P1033)+1,20))+1,20))),"")))</f>
        <v/>
      </c>
      <c r="AI1033">
        <f>IF($AE1033="","",IF(OR($AF1033="",$AG1033="",$AH1033="",$AF1033&lt;1300,$AF1033&gt;1500,$AG1033&lt;1,$AG1033&gt;12,$AH1033&lt;1,$AH1033&gt;31),"نامعتبر",RIGHT("0000"&amp;$AF1033,4)&amp;"/"&amp;RIGHT("00"&amp;$AG1033,2)&amp;"/"&amp;RIGHT("00"&amp;$AH1033,2)))</f>
        <v/>
      </c>
      <c r="AJ1033">
        <f>IF($AE1033="","",IF(Sync!$Q1033="","0000",IF(AND(ISNUMBER(Sync!$Q1033),Sync!$Q1033&gt;=0,Sync!$Q1033&lt;1),RIGHT("00"&amp;HOUR(Sync!$Q1033),2)&amp;RIGHT("00"&amp;MINUTE(Sync!$Q1033),2),IFERROR(RIGHT("00"&amp;VALUE(LEFT(Sync!$Q1033,FIND(":",Sync!$Q1033)-1)),2)&amp;RIGHT("00"&amp;VALUE(MID(Sync!$Q1033,FIND(":",Sync!$Q1033)+1,2)),2),"0000"))))</f>
        <v/>
      </c>
      <c r="AK1033">
        <f>IF(OR($AE1033="",$AI1033="",$AI1033="نامعتبر"),"",LEFT($AI1033,4)&amp;MID($AI1033,6,2)&amp;RIGHT($AI1033,2)&amp;$AJ1033&amp;"|"&amp;"3"&amp;RIGHT("00000"&amp;1028,5))</f>
        <v/>
      </c>
      <c r="AL1033">
        <f>IF($AK1033="","",COUNTIFS(LdAParty,$AE1033,LdAType,1,LdAKey,"&lt;"&amp;$AK1033)+COUNTIFS(LdBMember,$AE1033,LdBKey,"&lt;"&amp;$AK1033)+COUNTIFS(LdCParty,$AE1033,LdCKey,"&lt;"&amp;$AK1033)+1)</f>
        <v/>
      </c>
      <c r="AM1033">
        <f>IF($AL1033="","",$AE1033&amp;"|"&amp;RIGHT("000000"&amp;$AL1033,6))</f>
        <v/>
      </c>
      <c r="AN1033">
        <f>IF($AE1033="","",IF(Sync!$W1033="",0,Sync!$W1033))</f>
        <v/>
      </c>
      <c r="AO1033">
        <f>IF($AE1033="","",IF(Sync!$X1033="",0,Sync!$X1033))</f>
        <v/>
      </c>
      <c r="AP1033">
        <f>IF($AE1033="","",Sync!$R1033)</f>
        <v/>
      </c>
      <c r="AQ1033">
        <f>IF($AE1033="","",Sync!$Y1033)</f>
        <v/>
      </c>
    </row>
    <row r="1034">
      <c r="A1034">
        <f>IF(OR(Wages!$B1037="",Wages!$E1037=""),"",Wages!$E1037)</f>
        <v/>
      </c>
      <c r="B1034">
        <f>IF($A1034="","",IF(Wages!$C1037="دستمزد گروهی",2,1))</f>
        <v/>
      </c>
      <c r="C1034">
        <f>IF($A1034="","",IF(ISNUMBER(Wages!$B1037),IF(AND(Wages!$B1037&gt;=10000101,Wages!$B1037&lt;=99991231),INT(Wages!$B1037/10000),""),IFERROR(VALUE(TRIM(LEFT(Wages!$B1037,FIND("/",Wages!$B1037)-1))),"")))</f>
        <v/>
      </c>
      <c r="D1034">
        <f>IF(OR($A1034="",$C1034=""),"",IF(ISNUMBER(Wages!$B1037),INT(MOD(Wages!$B1037,10000)/100),IFERROR(VALUE(TRIM(LEFT(MID(Wages!$B1037,FIND("/",Wages!$B1037)+1,20),FIND("/",MID(Wages!$B1037,FIND("/",Wages!$B1037)+1,20))-1))),"")))</f>
        <v/>
      </c>
      <c r="E1034">
        <f>IF(OR($A1034="",$C1034=""),"",IF(ISNUMBER(Wages!$B1037),MOD(Wages!$B1037,100),IFERROR(VALUE(TRIM(MID(MID(Wages!$B1037,FIND("/",Wages!$B1037)+1,20),FIND("/",MID(Wages!$B1037,FIND("/",Wages!$B1037)+1,20))+1,20))),"")))</f>
        <v/>
      </c>
      <c r="F1034">
        <f>IF($A1034="","",IF(OR($C1034="",$D1034="",$E1034="",$C1034&lt;1300,$C1034&gt;1500,$D1034&lt;1,$D1034&gt;12,$E1034&lt;1,$E1034&gt;31),"نامعتبر",RIGHT("0000"&amp;$C1034,4)&amp;"/"&amp;RIGHT("00"&amp;$D1034,2)&amp;"/"&amp;RIGHT("00"&amp;$E1034,2)))</f>
        <v/>
      </c>
      <c r="G1034">
        <f>IF(OR($A1034="",$F1034="",$F1034="نامعتبر"),"",LEFT($F1034,4)&amp;MID($F1034,6,2)&amp;RIGHT($F1034,2)&amp;"0000"&amp;"|"&amp;"1"&amp;RIGHT("00000"&amp;1029,5))</f>
        <v/>
      </c>
      <c r="H1034">
        <f>IF(OR($B1034&lt;&gt;1,$G1034=""),"",COUNTIFS(LdAParty,$A1034,LdAType,1,LdAKey,"&lt;"&amp;$G1034)+COUNTIFS(LdBMember,$A1034,LdBKey,"&lt;"&amp;$G1034)+COUNTIFS(LdCParty,$A1034,LdCKey,"&lt;"&amp;$G1034)+1)</f>
        <v/>
      </c>
      <c r="I1034">
        <f>IF($H1034="","",$A1034&amp;"|"&amp;RIGHT("000000"&amp;$H1034,6))</f>
        <v/>
      </c>
      <c r="J1034">
        <f>IF(OR($B1034&lt;&gt;2,$G1034=""),"",COUNTIFS(LdAParty,$A1034,LdAType,2,LdAKey,"&lt;"&amp;$G1034)+1)</f>
        <v/>
      </c>
      <c r="K1034">
        <f>IF($J1034="","",$A1034&amp;"|"&amp;RIGHT("000000"&amp;$J1034,6))</f>
        <v/>
      </c>
      <c r="L1034">
        <f>IF($A1034="","",IF(Wages!$G1037="",0,Wages!$G1037))</f>
        <v/>
      </c>
      <c r="M1034">
        <f>IF($A1034="","",Wages!$J1037)</f>
        <v/>
      </c>
      <c r="N1034">
        <f>IF($A1034="","",Wages!$D1037)</f>
        <v/>
      </c>
      <c r="P1034">
        <f>IF(OR(Shares!$B1037="",Shares!$C1037=""),"",Shares!$C1037)</f>
        <v/>
      </c>
      <c r="Q1034">
        <f>IF($P1034="","",Shares!$B1037)</f>
        <v/>
      </c>
      <c r="R1034">
        <f>IF($P1034="","",IFERROR(INDEX(WageParty,MATCH($Q1034,WageIds,0)),""))</f>
        <v/>
      </c>
      <c r="S1034">
        <f>IF($P1034="","",IFERROR(INDEX($F$6:$F$2005,MATCH($Q1034,WageIds,0)),""))</f>
        <v/>
      </c>
      <c r="T1034">
        <f>IF(OR($P1034="",$S1034="",$S1034="نامعتبر"),"",LEFT($S1034,4)&amp;MID($S1034,6,2)&amp;RIGHT($S1034,2)&amp;"0000"&amp;"|"&amp;"2"&amp;RIGHT("00000"&amp;1029,5))</f>
        <v/>
      </c>
      <c r="U1034">
        <f>IF($T1034="","",COUNTIFS(LdAParty,$P1034,LdAType,1,LdAKey,"&lt;"&amp;$T1034)+COUNTIFS(LdBMember,$P1034,LdBKey,"&lt;"&amp;$T1034)+COUNTIFS(LdCParty,$P1034,LdCKey,"&lt;"&amp;$T1034)+1)</f>
        <v/>
      </c>
      <c r="V1034">
        <f>IF($U1034="","",$P1034&amp;"|"&amp;RIGHT("000000"&amp;$U1034,6))</f>
        <v/>
      </c>
      <c r="W1034">
        <f>IF($T1034="","",COUNTIFS(LdBGroup,$R1034,LdBKey,"&lt;"&amp;$T1034)+1)</f>
        <v/>
      </c>
      <c r="X1034">
        <f>IF($W1034="","",$R1034&amp;"|"&amp;RIGHT("000000"&amp;$W1034,6))</f>
        <v/>
      </c>
      <c r="Y1034">
        <f>IF($P1034="","",IF(Shares!$E1037="",0,Shares!$E1037))</f>
        <v/>
      </c>
      <c r="Z1034">
        <f>IF($P1034="","",Shares!$H1037)</f>
        <v/>
      </c>
      <c r="AE1034">
        <f>IF(OR(Sync!$S1034="",Sync!$P1034=""),"",Sync!$S1034)</f>
        <v/>
      </c>
      <c r="AF1034">
        <f>IF($AE1034="","",IF(ISNUMBER(Sync!$P1034),IF(AND(Sync!$P1034&gt;=10000101,Sync!$P1034&lt;=99991231),INT(Sync!$P1034/10000),""),IFERROR(VALUE(TRIM(LEFT(Sync!$P1034,FIND("/",Sync!$P1034)-1))),"")))</f>
        <v/>
      </c>
      <c r="AG1034">
        <f>IF(OR($AE1034="",$AF1034=""),"",IF(ISNUMBER(Sync!$P1034),INT(MOD(Sync!$P1034,10000)/100),IFERROR(VALUE(TRIM(LEFT(MID(Sync!$P1034,FIND("/",Sync!$P1034)+1,20),FIND("/",MID(Sync!$P1034,FIND("/",Sync!$P1034)+1,20))-1))),"")))</f>
        <v/>
      </c>
      <c r="AH1034">
        <f>IF(OR($AE1034="",$AF1034=""),"",IF(ISNUMBER(Sync!$P1034),MOD(Sync!$P1034,100),IFERROR(VALUE(TRIM(MID(MID(Sync!$P1034,FIND("/",Sync!$P1034)+1,20),FIND("/",MID(Sync!$P1034,FIND("/",Sync!$P1034)+1,20))+1,20))),"")))</f>
        <v/>
      </c>
      <c r="AI1034">
        <f>IF($AE1034="","",IF(OR($AF1034="",$AG1034="",$AH1034="",$AF1034&lt;1300,$AF1034&gt;1500,$AG1034&lt;1,$AG1034&gt;12,$AH1034&lt;1,$AH1034&gt;31),"نامعتبر",RIGHT("0000"&amp;$AF1034,4)&amp;"/"&amp;RIGHT("00"&amp;$AG1034,2)&amp;"/"&amp;RIGHT("00"&amp;$AH1034,2)))</f>
        <v/>
      </c>
      <c r="AJ1034">
        <f>IF($AE1034="","",IF(Sync!$Q1034="","0000",IF(AND(ISNUMBER(Sync!$Q1034),Sync!$Q1034&gt;=0,Sync!$Q1034&lt;1),RIGHT("00"&amp;HOUR(Sync!$Q1034),2)&amp;RIGHT("00"&amp;MINUTE(Sync!$Q1034),2),IFERROR(RIGHT("00"&amp;VALUE(LEFT(Sync!$Q1034,FIND(":",Sync!$Q1034)-1)),2)&amp;RIGHT("00"&amp;VALUE(MID(Sync!$Q1034,FIND(":",Sync!$Q1034)+1,2)),2),"0000"))))</f>
        <v/>
      </c>
      <c r="AK1034">
        <f>IF(OR($AE1034="",$AI1034="",$AI1034="نامعتبر"),"",LEFT($AI1034,4)&amp;MID($AI1034,6,2)&amp;RIGHT($AI1034,2)&amp;$AJ1034&amp;"|"&amp;"3"&amp;RIGHT("00000"&amp;1029,5))</f>
        <v/>
      </c>
      <c r="AL1034">
        <f>IF($AK1034="","",COUNTIFS(LdAParty,$AE1034,LdAType,1,LdAKey,"&lt;"&amp;$AK1034)+COUNTIFS(LdBMember,$AE1034,LdBKey,"&lt;"&amp;$AK1034)+COUNTIFS(LdCParty,$AE1034,LdCKey,"&lt;"&amp;$AK1034)+1)</f>
        <v/>
      </c>
      <c r="AM1034">
        <f>IF($AL1034="","",$AE1034&amp;"|"&amp;RIGHT("000000"&amp;$AL1034,6))</f>
        <v/>
      </c>
      <c r="AN1034">
        <f>IF($AE1034="","",IF(Sync!$W1034="",0,Sync!$W1034))</f>
        <v/>
      </c>
      <c r="AO1034">
        <f>IF($AE1034="","",IF(Sync!$X1034="",0,Sync!$X1034))</f>
        <v/>
      </c>
      <c r="AP1034">
        <f>IF($AE1034="","",Sync!$R1034)</f>
        <v/>
      </c>
      <c r="AQ1034">
        <f>IF($AE1034="","",Sync!$Y1034)</f>
        <v/>
      </c>
    </row>
    <row r="1035">
      <c r="A1035">
        <f>IF(OR(Wages!$B1038="",Wages!$E1038=""),"",Wages!$E1038)</f>
        <v/>
      </c>
      <c r="B1035">
        <f>IF($A1035="","",IF(Wages!$C1038="دستمزد گروهی",2,1))</f>
        <v/>
      </c>
      <c r="C1035">
        <f>IF($A1035="","",IF(ISNUMBER(Wages!$B1038),IF(AND(Wages!$B1038&gt;=10000101,Wages!$B1038&lt;=99991231),INT(Wages!$B1038/10000),""),IFERROR(VALUE(TRIM(LEFT(Wages!$B1038,FIND("/",Wages!$B1038)-1))),"")))</f>
        <v/>
      </c>
      <c r="D1035">
        <f>IF(OR($A1035="",$C1035=""),"",IF(ISNUMBER(Wages!$B1038),INT(MOD(Wages!$B1038,10000)/100),IFERROR(VALUE(TRIM(LEFT(MID(Wages!$B1038,FIND("/",Wages!$B1038)+1,20),FIND("/",MID(Wages!$B1038,FIND("/",Wages!$B1038)+1,20))-1))),"")))</f>
        <v/>
      </c>
      <c r="E1035">
        <f>IF(OR($A1035="",$C1035=""),"",IF(ISNUMBER(Wages!$B1038),MOD(Wages!$B1038,100),IFERROR(VALUE(TRIM(MID(MID(Wages!$B1038,FIND("/",Wages!$B1038)+1,20),FIND("/",MID(Wages!$B1038,FIND("/",Wages!$B1038)+1,20))+1,20))),"")))</f>
        <v/>
      </c>
      <c r="F1035">
        <f>IF($A1035="","",IF(OR($C1035="",$D1035="",$E1035="",$C1035&lt;1300,$C1035&gt;1500,$D1035&lt;1,$D1035&gt;12,$E1035&lt;1,$E1035&gt;31),"نامعتبر",RIGHT("0000"&amp;$C1035,4)&amp;"/"&amp;RIGHT("00"&amp;$D1035,2)&amp;"/"&amp;RIGHT("00"&amp;$E1035,2)))</f>
        <v/>
      </c>
      <c r="G1035">
        <f>IF(OR($A1035="",$F1035="",$F1035="نامعتبر"),"",LEFT($F1035,4)&amp;MID($F1035,6,2)&amp;RIGHT($F1035,2)&amp;"0000"&amp;"|"&amp;"1"&amp;RIGHT("00000"&amp;1030,5))</f>
        <v/>
      </c>
      <c r="H1035">
        <f>IF(OR($B1035&lt;&gt;1,$G1035=""),"",COUNTIFS(LdAParty,$A1035,LdAType,1,LdAKey,"&lt;"&amp;$G1035)+COUNTIFS(LdBMember,$A1035,LdBKey,"&lt;"&amp;$G1035)+COUNTIFS(LdCParty,$A1035,LdCKey,"&lt;"&amp;$G1035)+1)</f>
        <v/>
      </c>
      <c r="I1035">
        <f>IF($H1035="","",$A1035&amp;"|"&amp;RIGHT("000000"&amp;$H1035,6))</f>
        <v/>
      </c>
      <c r="J1035">
        <f>IF(OR($B1035&lt;&gt;2,$G1035=""),"",COUNTIFS(LdAParty,$A1035,LdAType,2,LdAKey,"&lt;"&amp;$G1035)+1)</f>
        <v/>
      </c>
      <c r="K1035">
        <f>IF($J1035="","",$A1035&amp;"|"&amp;RIGHT("000000"&amp;$J1035,6))</f>
        <v/>
      </c>
      <c r="L1035">
        <f>IF($A1035="","",IF(Wages!$G1038="",0,Wages!$G1038))</f>
        <v/>
      </c>
      <c r="M1035">
        <f>IF($A1035="","",Wages!$J1038)</f>
        <v/>
      </c>
      <c r="N1035">
        <f>IF($A1035="","",Wages!$D1038)</f>
        <v/>
      </c>
      <c r="P1035">
        <f>IF(OR(Shares!$B1038="",Shares!$C1038=""),"",Shares!$C1038)</f>
        <v/>
      </c>
      <c r="Q1035">
        <f>IF($P1035="","",Shares!$B1038)</f>
        <v/>
      </c>
      <c r="R1035">
        <f>IF($P1035="","",IFERROR(INDEX(WageParty,MATCH($Q1035,WageIds,0)),""))</f>
        <v/>
      </c>
      <c r="S1035">
        <f>IF($P1035="","",IFERROR(INDEX($F$6:$F$2005,MATCH($Q1035,WageIds,0)),""))</f>
        <v/>
      </c>
      <c r="T1035">
        <f>IF(OR($P1035="",$S1035="",$S1035="نامعتبر"),"",LEFT($S1035,4)&amp;MID($S1035,6,2)&amp;RIGHT($S1035,2)&amp;"0000"&amp;"|"&amp;"2"&amp;RIGHT("00000"&amp;1030,5))</f>
        <v/>
      </c>
      <c r="U1035">
        <f>IF($T1035="","",COUNTIFS(LdAParty,$P1035,LdAType,1,LdAKey,"&lt;"&amp;$T1035)+COUNTIFS(LdBMember,$P1035,LdBKey,"&lt;"&amp;$T1035)+COUNTIFS(LdCParty,$P1035,LdCKey,"&lt;"&amp;$T1035)+1)</f>
        <v/>
      </c>
      <c r="V1035">
        <f>IF($U1035="","",$P1035&amp;"|"&amp;RIGHT("000000"&amp;$U1035,6))</f>
        <v/>
      </c>
      <c r="W1035">
        <f>IF($T1035="","",COUNTIFS(LdBGroup,$R1035,LdBKey,"&lt;"&amp;$T1035)+1)</f>
        <v/>
      </c>
      <c r="X1035">
        <f>IF($W1035="","",$R1035&amp;"|"&amp;RIGHT("000000"&amp;$W1035,6))</f>
        <v/>
      </c>
      <c r="Y1035">
        <f>IF($P1035="","",IF(Shares!$E1038="",0,Shares!$E1038))</f>
        <v/>
      </c>
      <c r="Z1035">
        <f>IF($P1035="","",Shares!$H1038)</f>
        <v/>
      </c>
      <c r="AE1035">
        <f>IF(OR(Sync!$S1035="",Sync!$P1035=""),"",Sync!$S1035)</f>
        <v/>
      </c>
      <c r="AF1035">
        <f>IF($AE1035="","",IF(ISNUMBER(Sync!$P1035),IF(AND(Sync!$P1035&gt;=10000101,Sync!$P1035&lt;=99991231),INT(Sync!$P1035/10000),""),IFERROR(VALUE(TRIM(LEFT(Sync!$P1035,FIND("/",Sync!$P1035)-1))),"")))</f>
        <v/>
      </c>
      <c r="AG1035">
        <f>IF(OR($AE1035="",$AF1035=""),"",IF(ISNUMBER(Sync!$P1035),INT(MOD(Sync!$P1035,10000)/100),IFERROR(VALUE(TRIM(LEFT(MID(Sync!$P1035,FIND("/",Sync!$P1035)+1,20),FIND("/",MID(Sync!$P1035,FIND("/",Sync!$P1035)+1,20))-1))),"")))</f>
        <v/>
      </c>
      <c r="AH1035">
        <f>IF(OR($AE1035="",$AF1035=""),"",IF(ISNUMBER(Sync!$P1035),MOD(Sync!$P1035,100),IFERROR(VALUE(TRIM(MID(MID(Sync!$P1035,FIND("/",Sync!$P1035)+1,20),FIND("/",MID(Sync!$P1035,FIND("/",Sync!$P1035)+1,20))+1,20))),"")))</f>
        <v/>
      </c>
      <c r="AI1035">
        <f>IF($AE1035="","",IF(OR($AF1035="",$AG1035="",$AH1035="",$AF1035&lt;1300,$AF1035&gt;1500,$AG1035&lt;1,$AG1035&gt;12,$AH1035&lt;1,$AH1035&gt;31),"نامعتبر",RIGHT("0000"&amp;$AF1035,4)&amp;"/"&amp;RIGHT("00"&amp;$AG1035,2)&amp;"/"&amp;RIGHT("00"&amp;$AH1035,2)))</f>
        <v/>
      </c>
      <c r="AJ1035">
        <f>IF($AE1035="","",IF(Sync!$Q1035="","0000",IF(AND(ISNUMBER(Sync!$Q1035),Sync!$Q1035&gt;=0,Sync!$Q1035&lt;1),RIGHT("00"&amp;HOUR(Sync!$Q1035),2)&amp;RIGHT("00"&amp;MINUTE(Sync!$Q1035),2),IFERROR(RIGHT("00"&amp;VALUE(LEFT(Sync!$Q1035,FIND(":",Sync!$Q1035)-1)),2)&amp;RIGHT("00"&amp;VALUE(MID(Sync!$Q1035,FIND(":",Sync!$Q1035)+1,2)),2),"0000"))))</f>
        <v/>
      </c>
      <c r="AK1035">
        <f>IF(OR($AE1035="",$AI1035="",$AI1035="نامعتبر"),"",LEFT($AI1035,4)&amp;MID($AI1035,6,2)&amp;RIGHT($AI1035,2)&amp;$AJ1035&amp;"|"&amp;"3"&amp;RIGHT("00000"&amp;1030,5))</f>
        <v/>
      </c>
      <c r="AL1035">
        <f>IF($AK1035="","",COUNTIFS(LdAParty,$AE1035,LdAType,1,LdAKey,"&lt;"&amp;$AK1035)+COUNTIFS(LdBMember,$AE1035,LdBKey,"&lt;"&amp;$AK1035)+COUNTIFS(LdCParty,$AE1035,LdCKey,"&lt;"&amp;$AK1035)+1)</f>
        <v/>
      </c>
      <c r="AM1035">
        <f>IF($AL1035="","",$AE1035&amp;"|"&amp;RIGHT("000000"&amp;$AL1035,6))</f>
        <v/>
      </c>
      <c r="AN1035">
        <f>IF($AE1035="","",IF(Sync!$W1035="",0,Sync!$W1035))</f>
        <v/>
      </c>
      <c r="AO1035">
        <f>IF($AE1035="","",IF(Sync!$X1035="",0,Sync!$X1035))</f>
        <v/>
      </c>
      <c r="AP1035">
        <f>IF($AE1035="","",Sync!$R1035)</f>
        <v/>
      </c>
      <c r="AQ1035">
        <f>IF($AE1035="","",Sync!$Y1035)</f>
        <v/>
      </c>
    </row>
    <row r="1036">
      <c r="A1036">
        <f>IF(OR(Wages!$B1039="",Wages!$E1039=""),"",Wages!$E1039)</f>
        <v/>
      </c>
      <c r="B1036">
        <f>IF($A1036="","",IF(Wages!$C1039="دستمزد گروهی",2,1))</f>
        <v/>
      </c>
      <c r="C1036">
        <f>IF($A1036="","",IF(ISNUMBER(Wages!$B1039),IF(AND(Wages!$B1039&gt;=10000101,Wages!$B1039&lt;=99991231),INT(Wages!$B1039/10000),""),IFERROR(VALUE(TRIM(LEFT(Wages!$B1039,FIND("/",Wages!$B1039)-1))),"")))</f>
        <v/>
      </c>
      <c r="D1036">
        <f>IF(OR($A1036="",$C1036=""),"",IF(ISNUMBER(Wages!$B1039),INT(MOD(Wages!$B1039,10000)/100),IFERROR(VALUE(TRIM(LEFT(MID(Wages!$B1039,FIND("/",Wages!$B1039)+1,20),FIND("/",MID(Wages!$B1039,FIND("/",Wages!$B1039)+1,20))-1))),"")))</f>
        <v/>
      </c>
      <c r="E1036">
        <f>IF(OR($A1036="",$C1036=""),"",IF(ISNUMBER(Wages!$B1039),MOD(Wages!$B1039,100),IFERROR(VALUE(TRIM(MID(MID(Wages!$B1039,FIND("/",Wages!$B1039)+1,20),FIND("/",MID(Wages!$B1039,FIND("/",Wages!$B1039)+1,20))+1,20))),"")))</f>
        <v/>
      </c>
      <c r="F1036">
        <f>IF($A1036="","",IF(OR($C1036="",$D1036="",$E1036="",$C1036&lt;1300,$C1036&gt;1500,$D1036&lt;1,$D1036&gt;12,$E1036&lt;1,$E1036&gt;31),"نامعتبر",RIGHT("0000"&amp;$C1036,4)&amp;"/"&amp;RIGHT("00"&amp;$D1036,2)&amp;"/"&amp;RIGHT("00"&amp;$E1036,2)))</f>
        <v/>
      </c>
      <c r="G1036">
        <f>IF(OR($A1036="",$F1036="",$F1036="نامعتبر"),"",LEFT($F1036,4)&amp;MID($F1036,6,2)&amp;RIGHT($F1036,2)&amp;"0000"&amp;"|"&amp;"1"&amp;RIGHT("00000"&amp;1031,5))</f>
        <v/>
      </c>
      <c r="H1036">
        <f>IF(OR($B1036&lt;&gt;1,$G1036=""),"",COUNTIFS(LdAParty,$A1036,LdAType,1,LdAKey,"&lt;"&amp;$G1036)+COUNTIFS(LdBMember,$A1036,LdBKey,"&lt;"&amp;$G1036)+COUNTIFS(LdCParty,$A1036,LdCKey,"&lt;"&amp;$G1036)+1)</f>
        <v/>
      </c>
      <c r="I1036">
        <f>IF($H1036="","",$A1036&amp;"|"&amp;RIGHT("000000"&amp;$H1036,6))</f>
        <v/>
      </c>
      <c r="J1036">
        <f>IF(OR($B1036&lt;&gt;2,$G1036=""),"",COUNTIFS(LdAParty,$A1036,LdAType,2,LdAKey,"&lt;"&amp;$G1036)+1)</f>
        <v/>
      </c>
      <c r="K1036">
        <f>IF($J1036="","",$A1036&amp;"|"&amp;RIGHT("000000"&amp;$J1036,6))</f>
        <v/>
      </c>
      <c r="L1036">
        <f>IF($A1036="","",IF(Wages!$G1039="",0,Wages!$G1039))</f>
        <v/>
      </c>
      <c r="M1036">
        <f>IF($A1036="","",Wages!$J1039)</f>
        <v/>
      </c>
      <c r="N1036">
        <f>IF($A1036="","",Wages!$D1039)</f>
        <v/>
      </c>
      <c r="P1036">
        <f>IF(OR(Shares!$B1039="",Shares!$C1039=""),"",Shares!$C1039)</f>
        <v/>
      </c>
      <c r="Q1036">
        <f>IF($P1036="","",Shares!$B1039)</f>
        <v/>
      </c>
      <c r="R1036">
        <f>IF($P1036="","",IFERROR(INDEX(WageParty,MATCH($Q1036,WageIds,0)),""))</f>
        <v/>
      </c>
      <c r="S1036">
        <f>IF($P1036="","",IFERROR(INDEX($F$6:$F$2005,MATCH($Q1036,WageIds,0)),""))</f>
        <v/>
      </c>
      <c r="T1036">
        <f>IF(OR($P1036="",$S1036="",$S1036="نامعتبر"),"",LEFT($S1036,4)&amp;MID($S1036,6,2)&amp;RIGHT($S1036,2)&amp;"0000"&amp;"|"&amp;"2"&amp;RIGHT("00000"&amp;1031,5))</f>
        <v/>
      </c>
      <c r="U1036">
        <f>IF($T1036="","",COUNTIFS(LdAParty,$P1036,LdAType,1,LdAKey,"&lt;"&amp;$T1036)+COUNTIFS(LdBMember,$P1036,LdBKey,"&lt;"&amp;$T1036)+COUNTIFS(LdCParty,$P1036,LdCKey,"&lt;"&amp;$T1036)+1)</f>
        <v/>
      </c>
      <c r="V1036">
        <f>IF($U1036="","",$P1036&amp;"|"&amp;RIGHT("000000"&amp;$U1036,6))</f>
        <v/>
      </c>
      <c r="W1036">
        <f>IF($T1036="","",COUNTIFS(LdBGroup,$R1036,LdBKey,"&lt;"&amp;$T1036)+1)</f>
        <v/>
      </c>
      <c r="X1036">
        <f>IF($W1036="","",$R1036&amp;"|"&amp;RIGHT("000000"&amp;$W1036,6))</f>
        <v/>
      </c>
      <c r="Y1036">
        <f>IF($P1036="","",IF(Shares!$E1039="",0,Shares!$E1039))</f>
        <v/>
      </c>
      <c r="Z1036">
        <f>IF($P1036="","",Shares!$H1039)</f>
        <v/>
      </c>
      <c r="AE1036">
        <f>IF(OR(Sync!$S1036="",Sync!$P1036=""),"",Sync!$S1036)</f>
        <v/>
      </c>
      <c r="AF1036">
        <f>IF($AE1036="","",IF(ISNUMBER(Sync!$P1036),IF(AND(Sync!$P1036&gt;=10000101,Sync!$P1036&lt;=99991231),INT(Sync!$P1036/10000),""),IFERROR(VALUE(TRIM(LEFT(Sync!$P1036,FIND("/",Sync!$P1036)-1))),"")))</f>
        <v/>
      </c>
      <c r="AG1036">
        <f>IF(OR($AE1036="",$AF1036=""),"",IF(ISNUMBER(Sync!$P1036),INT(MOD(Sync!$P1036,10000)/100),IFERROR(VALUE(TRIM(LEFT(MID(Sync!$P1036,FIND("/",Sync!$P1036)+1,20),FIND("/",MID(Sync!$P1036,FIND("/",Sync!$P1036)+1,20))-1))),"")))</f>
        <v/>
      </c>
      <c r="AH1036">
        <f>IF(OR($AE1036="",$AF1036=""),"",IF(ISNUMBER(Sync!$P1036),MOD(Sync!$P1036,100),IFERROR(VALUE(TRIM(MID(MID(Sync!$P1036,FIND("/",Sync!$P1036)+1,20),FIND("/",MID(Sync!$P1036,FIND("/",Sync!$P1036)+1,20))+1,20))),"")))</f>
        <v/>
      </c>
      <c r="AI1036">
        <f>IF($AE1036="","",IF(OR($AF1036="",$AG1036="",$AH1036="",$AF1036&lt;1300,$AF1036&gt;1500,$AG1036&lt;1,$AG1036&gt;12,$AH1036&lt;1,$AH1036&gt;31),"نامعتبر",RIGHT("0000"&amp;$AF1036,4)&amp;"/"&amp;RIGHT("00"&amp;$AG1036,2)&amp;"/"&amp;RIGHT("00"&amp;$AH1036,2)))</f>
        <v/>
      </c>
      <c r="AJ1036">
        <f>IF($AE1036="","",IF(Sync!$Q1036="","0000",IF(AND(ISNUMBER(Sync!$Q1036),Sync!$Q1036&gt;=0,Sync!$Q1036&lt;1),RIGHT("00"&amp;HOUR(Sync!$Q1036),2)&amp;RIGHT("00"&amp;MINUTE(Sync!$Q1036),2),IFERROR(RIGHT("00"&amp;VALUE(LEFT(Sync!$Q1036,FIND(":",Sync!$Q1036)-1)),2)&amp;RIGHT("00"&amp;VALUE(MID(Sync!$Q1036,FIND(":",Sync!$Q1036)+1,2)),2),"0000"))))</f>
        <v/>
      </c>
      <c r="AK1036">
        <f>IF(OR($AE1036="",$AI1036="",$AI1036="نامعتبر"),"",LEFT($AI1036,4)&amp;MID($AI1036,6,2)&amp;RIGHT($AI1036,2)&amp;$AJ1036&amp;"|"&amp;"3"&amp;RIGHT("00000"&amp;1031,5))</f>
        <v/>
      </c>
      <c r="AL1036">
        <f>IF($AK1036="","",COUNTIFS(LdAParty,$AE1036,LdAType,1,LdAKey,"&lt;"&amp;$AK1036)+COUNTIFS(LdBMember,$AE1036,LdBKey,"&lt;"&amp;$AK1036)+COUNTIFS(LdCParty,$AE1036,LdCKey,"&lt;"&amp;$AK1036)+1)</f>
        <v/>
      </c>
      <c r="AM1036">
        <f>IF($AL1036="","",$AE1036&amp;"|"&amp;RIGHT("000000"&amp;$AL1036,6))</f>
        <v/>
      </c>
      <c r="AN1036">
        <f>IF($AE1036="","",IF(Sync!$W1036="",0,Sync!$W1036))</f>
        <v/>
      </c>
      <c r="AO1036">
        <f>IF($AE1036="","",IF(Sync!$X1036="",0,Sync!$X1036))</f>
        <v/>
      </c>
      <c r="AP1036">
        <f>IF($AE1036="","",Sync!$R1036)</f>
        <v/>
      </c>
      <c r="AQ1036">
        <f>IF($AE1036="","",Sync!$Y1036)</f>
        <v/>
      </c>
    </row>
    <row r="1037">
      <c r="A1037">
        <f>IF(OR(Wages!$B1040="",Wages!$E1040=""),"",Wages!$E1040)</f>
        <v/>
      </c>
      <c r="B1037">
        <f>IF($A1037="","",IF(Wages!$C1040="دستمزد گروهی",2,1))</f>
        <v/>
      </c>
      <c r="C1037">
        <f>IF($A1037="","",IF(ISNUMBER(Wages!$B1040),IF(AND(Wages!$B1040&gt;=10000101,Wages!$B1040&lt;=99991231),INT(Wages!$B1040/10000),""),IFERROR(VALUE(TRIM(LEFT(Wages!$B1040,FIND("/",Wages!$B1040)-1))),"")))</f>
        <v/>
      </c>
      <c r="D1037">
        <f>IF(OR($A1037="",$C1037=""),"",IF(ISNUMBER(Wages!$B1040),INT(MOD(Wages!$B1040,10000)/100),IFERROR(VALUE(TRIM(LEFT(MID(Wages!$B1040,FIND("/",Wages!$B1040)+1,20),FIND("/",MID(Wages!$B1040,FIND("/",Wages!$B1040)+1,20))-1))),"")))</f>
        <v/>
      </c>
      <c r="E1037">
        <f>IF(OR($A1037="",$C1037=""),"",IF(ISNUMBER(Wages!$B1040),MOD(Wages!$B1040,100),IFERROR(VALUE(TRIM(MID(MID(Wages!$B1040,FIND("/",Wages!$B1040)+1,20),FIND("/",MID(Wages!$B1040,FIND("/",Wages!$B1040)+1,20))+1,20))),"")))</f>
        <v/>
      </c>
      <c r="F1037">
        <f>IF($A1037="","",IF(OR($C1037="",$D1037="",$E1037="",$C1037&lt;1300,$C1037&gt;1500,$D1037&lt;1,$D1037&gt;12,$E1037&lt;1,$E1037&gt;31),"نامعتبر",RIGHT("0000"&amp;$C1037,4)&amp;"/"&amp;RIGHT("00"&amp;$D1037,2)&amp;"/"&amp;RIGHT("00"&amp;$E1037,2)))</f>
        <v/>
      </c>
      <c r="G1037">
        <f>IF(OR($A1037="",$F1037="",$F1037="نامعتبر"),"",LEFT($F1037,4)&amp;MID($F1037,6,2)&amp;RIGHT($F1037,2)&amp;"0000"&amp;"|"&amp;"1"&amp;RIGHT("00000"&amp;1032,5))</f>
        <v/>
      </c>
      <c r="H1037">
        <f>IF(OR($B1037&lt;&gt;1,$G1037=""),"",COUNTIFS(LdAParty,$A1037,LdAType,1,LdAKey,"&lt;"&amp;$G1037)+COUNTIFS(LdBMember,$A1037,LdBKey,"&lt;"&amp;$G1037)+COUNTIFS(LdCParty,$A1037,LdCKey,"&lt;"&amp;$G1037)+1)</f>
        <v/>
      </c>
      <c r="I1037">
        <f>IF($H1037="","",$A1037&amp;"|"&amp;RIGHT("000000"&amp;$H1037,6))</f>
        <v/>
      </c>
      <c r="J1037">
        <f>IF(OR($B1037&lt;&gt;2,$G1037=""),"",COUNTIFS(LdAParty,$A1037,LdAType,2,LdAKey,"&lt;"&amp;$G1037)+1)</f>
        <v/>
      </c>
      <c r="K1037">
        <f>IF($J1037="","",$A1037&amp;"|"&amp;RIGHT("000000"&amp;$J1037,6))</f>
        <v/>
      </c>
      <c r="L1037">
        <f>IF($A1037="","",IF(Wages!$G1040="",0,Wages!$G1040))</f>
        <v/>
      </c>
      <c r="M1037">
        <f>IF($A1037="","",Wages!$J1040)</f>
        <v/>
      </c>
      <c r="N1037">
        <f>IF($A1037="","",Wages!$D1040)</f>
        <v/>
      </c>
      <c r="P1037">
        <f>IF(OR(Shares!$B1040="",Shares!$C1040=""),"",Shares!$C1040)</f>
        <v/>
      </c>
      <c r="Q1037">
        <f>IF($P1037="","",Shares!$B1040)</f>
        <v/>
      </c>
      <c r="R1037">
        <f>IF($P1037="","",IFERROR(INDEX(WageParty,MATCH($Q1037,WageIds,0)),""))</f>
        <v/>
      </c>
      <c r="S1037">
        <f>IF($P1037="","",IFERROR(INDEX($F$6:$F$2005,MATCH($Q1037,WageIds,0)),""))</f>
        <v/>
      </c>
      <c r="T1037">
        <f>IF(OR($P1037="",$S1037="",$S1037="نامعتبر"),"",LEFT($S1037,4)&amp;MID($S1037,6,2)&amp;RIGHT($S1037,2)&amp;"0000"&amp;"|"&amp;"2"&amp;RIGHT("00000"&amp;1032,5))</f>
        <v/>
      </c>
      <c r="U1037">
        <f>IF($T1037="","",COUNTIFS(LdAParty,$P1037,LdAType,1,LdAKey,"&lt;"&amp;$T1037)+COUNTIFS(LdBMember,$P1037,LdBKey,"&lt;"&amp;$T1037)+COUNTIFS(LdCParty,$P1037,LdCKey,"&lt;"&amp;$T1037)+1)</f>
        <v/>
      </c>
      <c r="V1037">
        <f>IF($U1037="","",$P1037&amp;"|"&amp;RIGHT("000000"&amp;$U1037,6))</f>
        <v/>
      </c>
      <c r="W1037">
        <f>IF($T1037="","",COUNTIFS(LdBGroup,$R1037,LdBKey,"&lt;"&amp;$T1037)+1)</f>
        <v/>
      </c>
      <c r="X1037">
        <f>IF($W1037="","",$R1037&amp;"|"&amp;RIGHT("000000"&amp;$W1037,6))</f>
        <v/>
      </c>
      <c r="Y1037">
        <f>IF($P1037="","",IF(Shares!$E1040="",0,Shares!$E1040))</f>
        <v/>
      </c>
      <c r="Z1037">
        <f>IF($P1037="","",Shares!$H1040)</f>
        <v/>
      </c>
      <c r="AE1037">
        <f>IF(OR(Sync!$S1037="",Sync!$P1037=""),"",Sync!$S1037)</f>
        <v/>
      </c>
      <c r="AF1037">
        <f>IF($AE1037="","",IF(ISNUMBER(Sync!$P1037),IF(AND(Sync!$P1037&gt;=10000101,Sync!$P1037&lt;=99991231),INT(Sync!$P1037/10000),""),IFERROR(VALUE(TRIM(LEFT(Sync!$P1037,FIND("/",Sync!$P1037)-1))),"")))</f>
        <v/>
      </c>
      <c r="AG1037">
        <f>IF(OR($AE1037="",$AF1037=""),"",IF(ISNUMBER(Sync!$P1037),INT(MOD(Sync!$P1037,10000)/100),IFERROR(VALUE(TRIM(LEFT(MID(Sync!$P1037,FIND("/",Sync!$P1037)+1,20),FIND("/",MID(Sync!$P1037,FIND("/",Sync!$P1037)+1,20))-1))),"")))</f>
        <v/>
      </c>
      <c r="AH1037">
        <f>IF(OR($AE1037="",$AF1037=""),"",IF(ISNUMBER(Sync!$P1037),MOD(Sync!$P1037,100),IFERROR(VALUE(TRIM(MID(MID(Sync!$P1037,FIND("/",Sync!$P1037)+1,20),FIND("/",MID(Sync!$P1037,FIND("/",Sync!$P1037)+1,20))+1,20))),"")))</f>
        <v/>
      </c>
      <c r="AI1037">
        <f>IF($AE1037="","",IF(OR($AF1037="",$AG1037="",$AH1037="",$AF1037&lt;1300,$AF1037&gt;1500,$AG1037&lt;1,$AG1037&gt;12,$AH1037&lt;1,$AH1037&gt;31),"نامعتبر",RIGHT("0000"&amp;$AF1037,4)&amp;"/"&amp;RIGHT("00"&amp;$AG1037,2)&amp;"/"&amp;RIGHT("00"&amp;$AH1037,2)))</f>
        <v/>
      </c>
      <c r="AJ1037">
        <f>IF($AE1037="","",IF(Sync!$Q1037="","0000",IF(AND(ISNUMBER(Sync!$Q1037),Sync!$Q1037&gt;=0,Sync!$Q1037&lt;1),RIGHT("00"&amp;HOUR(Sync!$Q1037),2)&amp;RIGHT("00"&amp;MINUTE(Sync!$Q1037),2),IFERROR(RIGHT("00"&amp;VALUE(LEFT(Sync!$Q1037,FIND(":",Sync!$Q1037)-1)),2)&amp;RIGHT("00"&amp;VALUE(MID(Sync!$Q1037,FIND(":",Sync!$Q1037)+1,2)),2),"0000"))))</f>
        <v/>
      </c>
      <c r="AK1037">
        <f>IF(OR($AE1037="",$AI1037="",$AI1037="نامعتبر"),"",LEFT($AI1037,4)&amp;MID($AI1037,6,2)&amp;RIGHT($AI1037,2)&amp;$AJ1037&amp;"|"&amp;"3"&amp;RIGHT("00000"&amp;1032,5))</f>
        <v/>
      </c>
      <c r="AL1037">
        <f>IF($AK1037="","",COUNTIFS(LdAParty,$AE1037,LdAType,1,LdAKey,"&lt;"&amp;$AK1037)+COUNTIFS(LdBMember,$AE1037,LdBKey,"&lt;"&amp;$AK1037)+COUNTIFS(LdCParty,$AE1037,LdCKey,"&lt;"&amp;$AK1037)+1)</f>
        <v/>
      </c>
      <c r="AM1037">
        <f>IF($AL1037="","",$AE1037&amp;"|"&amp;RIGHT("000000"&amp;$AL1037,6))</f>
        <v/>
      </c>
      <c r="AN1037">
        <f>IF($AE1037="","",IF(Sync!$W1037="",0,Sync!$W1037))</f>
        <v/>
      </c>
      <c r="AO1037">
        <f>IF($AE1037="","",IF(Sync!$X1037="",0,Sync!$X1037))</f>
        <v/>
      </c>
      <c r="AP1037">
        <f>IF($AE1037="","",Sync!$R1037)</f>
        <v/>
      </c>
      <c r="AQ1037">
        <f>IF($AE1037="","",Sync!$Y1037)</f>
        <v/>
      </c>
    </row>
    <row r="1038">
      <c r="A1038">
        <f>IF(OR(Wages!$B1041="",Wages!$E1041=""),"",Wages!$E1041)</f>
        <v/>
      </c>
      <c r="B1038">
        <f>IF($A1038="","",IF(Wages!$C1041="دستمزد گروهی",2,1))</f>
        <v/>
      </c>
      <c r="C1038">
        <f>IF($A1038="","",IF(ISNUMBER(Wages!$B1041),IF(AND(Wages!$B1041&gt;=10000101,Wages!$B1041&lt;=99991231),INT(Wages!$B1041/10000),""),IFERROR(VALUE(TRIM(LEFT(Wages!$B1041,FIND("/",Wages!$B1041)-1))),"")))</f>
        <v/>
      </c>
      <c r="D1038">
        <f>IF(OR($A1038="",$C1038=""),"",IF(ISNUMBER(Wages!$B1041),INT(MOD(Wages!$B1041,10000)/100),IFERROR(VALUE(TRIM(LEFT(MID(Wages!$B1041,FIND("/",Wages!$B1041)+1,20),FIND("/",MID(Wages!$B1041,FIND("/",Wages!$B1041)+1,20))-1))),"")))</f>
        <v/>
      </c>
      <c r="E1038">
        <f>IF(OR($A1038="",$C1038=""),"",IF(ISNUMBER(Wages!$B1041),MOD(Wages!$B1041,100),IFERROR(VALUE(TRIM(MID(MID(Wages!$B1041,FIND("/",Wages!$B1041)+1,20),FIND("/",MID(Wages!$B1041,FIND("/",Wages!$B1041)+1,20))+1,20))),"")))</f>
        <v/>
      </c>
      <c r="F1038">
        <f>IF($A1038="","",IF(OR($C1038="",$D1038="",$E1038="",$C1038&lt;1300,$C1038&gt;1500,$D1038&lt;1,$D1038&gt;12,$E1038&lt;1,$E1038&gt;31),"نامعتبر",RIGHT("0000"&amp;$C1038,4)&amp;"/"&amp;RIGHT("00"&amp;$D1038,2)&amp;"/"&amp;RIGHT("00"&amp;$E1038,2)))</f>
        <v/>
      </c>
      <c r="G1038">
        <f>IF(OR($A1038="",$F1038="",$F1038="نامعتبر"),"",LEFT($F1038,4)&amp;MID($F1038,6,2)&amp;RIGHT($F1038,2)&amp;"0000"&amp;"|"&amp;"1"&amp;RIGHT("00000"&amp;1033,5))</f>
        <v/>
      </c>
      <c r="H1038">
        <f>IF(OR($B1038&lt;&gt;1,$G1038=""),"",COUNTIFS(LdAParty,$A1038,LdAType,1,LdAKey,"&lt;"&amp;$G1038)+COUNTIFS(LdBMember,$A1038,LdBKey,"&lt;"&amp;$G1038)+COUNTIFS(LdCParty,$A1038,LdCKey,"&lt;"&amp;$G1038)+1)</f>
        <v/>
      </c>
      <c r="I1038">
        <f>IF($H1038="","",$A1038&amp;"|"&amp;RIGHT("000000"&amp;$H1038,6))</f>
        <v/>
      </c>
      <c r="J1038">
        <f>IF(OR($B1038&lt;&gt;2,$G1038=""),"",COUNTIFS(LdAParty,$A1038,LdAType,2,LdAKey,"&lt;"&amp;$G1038)+1)</f>
        <v/>
      </c>
      <c r="K1038">
        <f>IF($J1038="","",$A1038&amp;"|"&amp;RIGHT("000000"&amp;$J1038,6))</f>
        <v/>
      </c>
      <c r="L1038">
        <f>IF($A1038="","",IF(Wages!$G1041="",0,Wages!$G1041))</f>
        <v/>
      </c>
      <c r="M1038">
        <f>IF($A1038="","",Wages!$J1041)</f>
        <v/>
      </c>
      <c r="N1038">
        <f>IF($A1038="","",Wages!$D1041)</f>
        <v/>
      </c>
      <c r="P1038">
        <f>IF(OR(Shares!$B1041="",Shares!$C1041=""),"",Shares!$C1041)</f>
        <v/>
      </c>
      <c r="Q1038">
        <f>IF($P1038="","",Shares!$B1041)</f>
        <v/>
      </c>
      <c r="R1038">
        <f>IF($P1038="","",IFERROR(INDEX(WageParty,MATCH($Q1038,WageIds,0)),""))</f>
        <v/>
      </c>
      <c r="S1038">
        <f>IF($P1038="","",IFERROR(INDEX($F$6:$F$2005,MATCH($Q1038,WageIds,0)),""))</f>
        <v/>
      </c>
      <c r="T1038">
        <f>IF(OR($P1038="",$S1038="",$S1038="نامعتبر"),"",LEFT($S1038,4)&amp;MID($S1038,6,2)&amp;RIGHT($S1038,2)&amp;"0000"&amp;"|"&amp;"2"&amp;RIGHT("00000"&amp;1033,5))</f>
        <v/>
      </c>
      <c r="U1038">
        <f>IF($T1038="","",COUNTIFS(LdAParty,$P1038,LdAType,1,LdAKey,"&lt;"&amp;$T1038)+COUNTIFS(LdBMember,$P1038,LdBKey,"&lt;"&amp;$T1038)+COUNTIFS(LdCParty,$P1038,LdCKey,"&lt;"&amp;$T1038)+1)</f>
        <v/>
      </c>
      <c r="V1038">
        <f>IF($U1038="","",$P1038&amp;"|"&amp;RIGHT("000000"&amp;$U1038,6))</f>
        <v/>
      </c>
      <c r="W1038">
        <f>IF($T1038="","",COUNTIFS(LdBGroup,$R1038,LdBKey,"&lt;"&amp;$T1038)+1)</f>
        <v/>
      </c>
      <c r="X1038">
        <f>IF($W1038="","",$R1038&amp;"|"&amp;RIGHT("000000"&amp;$W1038,6))</f>
        <v/>
      </c>
      <c r="Y1038">
        <f>IF($P1038="","",IF(Shares!$E1041="",0,Shares!$E1041))</f>
        <v/>
      </c>
      <c r="Z1038">
        <f>IF($P1038="","",Shares!$H1041)</f>
        <v/>
      </c>
      <c r="AE1038">
        <f>IF(OR(Sync!$S1038="",Sync!$P1038=""),"",Sync!$S1038)</f>
        <v/>
      </c>
      <c r="AF1038">
        <f>IF($AE1038="","",IF(ISNUMBER(Sync!$P1038),IF(AND(Sync!$P1038&gt;=10000101,Sync!$P1038&lt;=99991231),INT(Sync!$P1038/10000),""),IFERROR(VALUE(TRIM(LEFT(Sync!$P1038,FIND("/",Sync!$P1038)-1))),"")))</f>
        <v/>
      </c>
      <c r="AG1038">
        <f>IF(OR($AE1038="",$AF1038=""),"",IF(ISNUMBER(Sync!$P1038),INT(MOD(Sync!$P1038,10000)/100),IFERROR(VALUE(TRIM(LEFT(MID(Sync!$P1038,FIND("/",Sync!$P1038)+1,20),FIND("/",MID(Sync!$P1038,FIND("/",Sync!$P1038)+1,20))-1))),"")))</f>
        <v/>
      </c>
      <c r="AH1038">
        <f>IF(OR($AE1038="",$AF1038=""),"",IF(ISNUMBER(Sync!$P1038),MOD(Sync!$P1038,100),IFERROR(VALUE(TRIM(MID(MID(Sync!$P1038,FIND("/",Sync!$P1038)+1,20),FIND("/",MID(Sync!$P1038,FIND("/",Sync!$P1038)+1,20))+1,20))),"")))</f>
        <v/>
      </c>
      <c r="AI1038">
        <f>IF($AE1038="","",IF(OR($AF1038="",$AG1038="",$AH1038="",$AF1038&lt;1300,$AF1038&gt;1500,$AG1038&lt;1,$AG1038&gt;12,$AH1038&lt;1,$AH1038&gt;31),"نامعتبر",RIGHT("0000"&amp;$AF1038,4)&amp;"/"&amp;RIGHT("00"&amp;$AG1038,2)&amp;"/"&amp;RIGHT("00"&amp;$AH1038,2)))</f>
        <v/>
      </c>
      <c r="AJ1038">
        <f>IF($AE1038="","",IF(Sync!$Q1038="","0000",IF(AND(ISNUMBER(Sync!$Q1038),Sync!$Q1038&gt;=0,Sync!$Q1038&lt;1),RIGHT("00"&amp;HOUR(Sync!$Q1038),2)&amp;RIGHT("00"&amp;MINUTE(Sync!$Q1038),2),IFERROR(RIGHT("00"&amp;VALUE(LEFT(Sync!$Q1038,FIND(":",Sync!$Q1038)-1)),2)&amp;RIGHT("00"&amp;VALUE(MID(Sync!$Q1038,FIND(":",Sync!$Q1038)+1,2)),2),"0000"))))</f>
        <v/>
      </c>
      <c r="AK1038">
        <f>IF(OR($AE1038="",$AI1038="",$AI1038="نامعتبر"),"",LEFT($AI1038,4)&amp;MID($AI1038,6,2)&amp;RIGHT($AI1038,2)&amp;$AJ1038&amp;"|"&amp;"3"&amp;RIGHT("00000"&amp;1033,5))</f>
        <v/>
      </c>
      <c r="AL1038">
        <f>IF($AK1038="","",COUNTIFS(LdAParty,$AE1038,LdAType,1,LdAKey,"&lt;"&amp;$AK1038)+COUNTIFS(LdBMember,$AE1038,LdBKey,"&lt;"&amp;$AK1038)+COUNTIFS(LdCParty,$AE1038,LdCKey,"&lt;"&amp;$AK1038)+1)</f>
        <v/>
      </c>
      <c r="AM1038">
        <f>IF($AL1038="","",$AE1038&amp;"|"&amp;RIGHT("000000"&amp;$AL1038,6))</f>
        <v/>
      </c>
      <c r="AN1038">
        <f>IF($AE1038="","",IF(Sync!$W1038="",0,Sync!$W1038))</f>
        <v/>
      </c>
      <c r="AO1038">
        <f>IF($AE1038="","",IF(Sync!$X1038="",0,Sync!$X1038))</f>
        <v/>
      </c>
      <c r="AP1038">
        <f>IF($AE1038="","",Sync!$R1038)</f>
        <v/>
      </c>
      <c r="AQ1038">
        <f>IF($AE1038="","",Sync!$Y1038)</f>
        <v/>
      </c>
    </row>
    <row r="1039">
      <c r="A1039">
        <f>IF(OR(Wages!$B1042="",Wages!$E1042=""),"",Wages!$E1042)</f>
        <v/>
      </c>
      <c r="B1039">
        <f>IF($A1039="","",IF(Wages!$C1042="دستمزد گروهی",2,1))</f>
        <v/>
      </c>
      <c r="C1039">
        <f>IF($A1039="","",IF(ISNUMBER(Wages!$B1042),IF(AND(Wages!$B1042&gt;=10000101,Wages!$B1042&lt;=99991231),INT(Wages!$B1042/10000),""),IFERROR(VALUE(TRIM(LEFT(Wages!$B1042,FIND("/",Wages!$B1042)-1))),"")))</f>
        <v/>
      </c>
      <c r="D1039">
        <f>IF(OR($A1039="",$C1039=""),"",IF(ISNUMBER(Wages!$B1042),INT(MOD(Wages!$B1042,10000)/100),IFERROR(VALUE(TRIM(LEFT(MID(Wages!$B1042,FIND("/",Wages!$B1042)+1,20),FIND("/",MID(Wages!$B1042,FIND("/",Wages!$B1042)+1,20))-1))),"")))</f>
        <v/>
      </c>
      <c r="E1039">
        <f>IF(OR($A1039="",$C1039=""),"",IF(ISNUMBER(Wages!$B1042),MOD(Wages!$B1042,100),IFERROR(VALUE(TRIM(MID(MID(Wages!$B1042,FIND("/",Wages!$B1042)+1,20),FIND("/",MID(Wages!$B1042,FIND("/",Wages!$B1042)+1,20))+1,20))),"")))</f>
        <v/>
      </c>
      <c r="F1039">
        <f>IF($A1039="","",IF(OR($C1039="",$D1039="",$E1039="",$C1039&lt;1300,$C1039&gt;1500,$D1039&lt;1,$D1039&gt;12,$E1039&lt;1,$E1039&gt;31),"نامعتبر",RIGHT("0000"&amp;$C1039,4)&amp;"/"&amp;RIGHT("00"&amp;$D1039,2)&amp;"/"&amp;RIGHT("00"&amp;$E1039,2)))</f>
        <v/>
      </c>
      <c r="G1039">
        <f>IF(OR($A1039="",$F1039="",$F1039="نامعتبر"),"",LEFT($F1039,4)&amp;MID($F1039,6,2)&amp;RIGHT($F1039,2)&amp;"0000"&amp;"|"&amp;"1"&amp;RIGHT("00000"&amp;1034,5))</f>
        <v/>
      </c>
      <c r="H1039">
        <f>IF(OR($B1039&lt;&gt;1,$G1039=""),"",COUNTIFS(LdAParty,$A1039,LdAType,1,LdAKey,"&lt;"&amp;$G1039)+COUNTIFS(LdBMember,$A1039,LdBKey,"&lt;"&amp;$G1039)+COUNTIFS(LdCParty,$A1039,LdCKey,"&lt;"&amp;$G1039)+1)</f>
        <v/>
      </c>
      <c r="I1039">
        <f>IF($H1039="","",$A1039&amp;"|"&amp;RIGHT("000000"&amp;$H1039,6))</f>
        <v/>
      </c>
      <c r="J1039">
        <f>IF(OR($B1039&lt;&gt;2,$G1039=""),"",COUNTIFS(LdAParty,$A1039,LdAType,2,LdAKey,"&lt;"&amp;$G1039)+1)</f>
        <v/>
      </c>
      <c r="K1039">
        <f>IF($J1039="","",$A1039&amp;"|"&amp;RIGHT("000000"&amp;$J1039,6))</f>
        <v/>
      </c>
      <c r="L1039">
        <f>IF($A1039="","",IF(Wages!$G1042="",0,Wages!$G1042))</f>
        <v/>
      </c>
      <c r="M1039">
        <f>IF($A1039="","",Wages!$J1042)</f>
        <v/>
      </c>
      <c r="N1039">
        <f>IF($A1039="","",Wages!$D1042)</f>
        <v/>
      </c>
      <c r="P1039">
        <f>IF(OR(Shares!$B1042="",Shares!$C1042=""),"",Shares!$C1042)</f>
        <v/>
      </c>
      <c r="Q1039">
        <f>IF($P1039="","",Shares!$B1042)</f>
        <v/>
      </c>
      <c r="R1039">
        <f>IF($P1039="","",IFERROR(INDEX(WageParty,MATCH($Q1039,WageIds,0)),""))</f>
        <v/>
      </c>
      <c r="S1039">
        <f>IF($P1039="","",IFERROR(INDEX($F$6:$F$2005,MATCH($Q1039,WageIds,0)),""))</f>
        <v/>
      </c>
      <c r="T1039">
        <f>IF(OR($P1039="",$S1039="",$S1039="نامعتبر"),"",LEFT($S1039,4)&amp;MID($S1039,6,2)&amp;RIGHT($S1039,2)&amp;"0000"&amp;"|"&amp;"2"&amp;RIGHT("00000"&amp;1034,5))</f>
        <v/>
      </c>
      <c r="U1039">
        <f>IF($T1039="","",COUNTIFS(LdAParty,$P1039,LdAType,1,LdAKey,"&lt;"&amp;$T1039)+COUNTIFS(LdBMember,$P1039,LdBKey,"&lt;"&amp;$T1039)+COUNTIFS(LdCParty,$P1039,LdCKey,"&lt;"&amp;$T1039)+1)</f>
        <v/>
      </c>
      <c r="V1039">
        <f>IF($U1039="","",$P1039&amp;"|"&amp;RIGHT("000000"&amp;$U1039,6))</f>
        <v/>
      </c>
      <c r="W1039">
        <f>IF($T1039="","",COUNTIFS(LdBGroup,$R1039,LdBKey,"&lt;"&amp;$T1039)+1)</f>
        <v/>
      </c>
      <c r="X1039">
        <f>IF($W1039="","",$R1039&amp;"|"&amp;RIGHT("000000"&amp;$W1039,6))</f>
        <v/>
      </c>
      <c r="Y1039">
        <f>IF($P1039="","",IF(Shares!$E1042="",0,Shares!$E1042))</f>
        <v/>
      </c>
      <c r="Z1039">
        <f>IF($P1039="","",Shares!$H1042)</f>
        <v/>
      </c>
      <c r="AE1039">
        <f>IF(OR(Sync!$S1039="",Sync!$P1039=""),"",Sync!$S1039)</f>
        <v/>
      </c>
      <c r="AF1039">
        <f>IF($AE1039="","",IF(ISNUMBER(Sync!$P1039),IF(AND(Sync!$P1039&gt;=10000101,Sync!$P1039&lt;=99991231),INT(Sync!$P1039/10000),""),IFERROR(VALUE(TRIM(LEFT(Sync!$P1039,FIND("/",Sync!$P1039)-1))),"")))</f>
        <v/>
      </c>
      <c r="AG1039">
        <f>IF(OR($AE1039="",$AF1039=""),"",IF(ISNUMBER(Sync!$P1039),INT(MOD(Sync!$P1039,10000)/100),IFERROR(VALUE(TRIM(LEFT(MID(Sync!$P1039,FIND("/",Sync!$P1039)+1,20),FIND("/",MID(Sync!$P1039,FIND("/",Sync!$P1039)+1,20))-1))),"")))</f>
        <v/>
      </c>
      <c r="AH1039">
        <f>IF(OR($AE1039="",$AF1039=""),"",IF(ISNUMBER(Sync!$P1039),MOD(Sync!$P1039,100),IFERROR(VALUE(TRIM(MID(MID(Sync!$P1039,FIND("/",Sync!$P1039)+1,20),FIND("/",MID(Sync!$P1039,FIND("/",Sync!$P1039)+1,20))+1,20))),"")))</f>
        <v/>
      </c>
      <c r="AI1039">
        <f>IF($AE1039="","",IF(OR($AF1039="",$AG1039="",$AH1039="",$AF1039&lt;1300,$AF1039&gt;1500,$AG1039&lt;1,$AG1039&gt;12,$AH1039&lt;1,$AH1039&gt;31),"نامعتبر",RIGHT("0000"&amp;$AF1039,4)&amp;"/"&amp;RIGHT("00"&amp;$AG1039,2)&amp;"/"&amp;RIGHT("00"&amp;$AH1039,2)))</f>
        <v/>
      </c>
      <c r="AJ1039">
        <f>IF($AE1039="","",IF(Sync!$Q1039="","0000",IF(AND(ISNUMBER(Sync!$Q1039),Sync!$Q1039&gt;=0,Sync!$Q1039&lt;1),RIGHT("00"&amp;HOUR(Sync!$Q1039),2)&amp;RIGHT("00"&amp;MINUTE(Sync!$Q1039),2),IFERROR(RIGHT("00"&amp;VALUE(LEFT(Sync!$Q1039,FIND(":",Sync!$Q1039)-1)),2)&amp;RIGHT("00"&amp;VALUE(MID(Sync!$Q1039,FIND(":",Sync!$Q1039)+1,2)),2),"0000"))))</f>
        <v/>
      </c>
      <c r="AK1039">
        <f>IF(OR($AE1039="",$AI1039="",$AI1039="نامعتبر"),"",LEFT($AI1039,4)&amp;MID($AI1039,6,2)&amp;RIGHT($AI1039,2)&amp;$AJ1039&amp;"|"&amp;"3"&amp;RIGHT("00000"&amp;1034,5))</f>
        <v/>
      </c>
      <c r="AL1039">
        <f>IF($AK1039="","",COUNTIFS(LdAParty,$AE1039,LdAType,1,LdAKey,"&lt;"&amp;$AK1039)+COUNTIFS(LdBMember,$AE1039,LdBKey,"&lt;"&amp;$AK1039)+COUNTIFS(LdCParty,$AE1039,LdCKey,"&lt;"&amp;$AK1039)+1)</f>
        <v/>
      </c>
      <c r="AM1039">
        <f>IF($AL1039="","",$AE1039&amp;"|"&amp;RIGHT("000000"&amp;$AL1039,6))</f>
        <v/>
      </c>
      <c r="AN1039">
        <f>IF($AE1039="","",IF(Sync!$W1039="",0,Sync!$W1039))</f>
        <v/>
      </c>
      <c r="AO1039">
        <f>IF($AE1039="","",IF(Sync!$X1039="",0,Sync!$X1039))</f>
        <v/>
      </c>
      <c r="AP1039">
        <f>IF($AE1039="","",Sync!$R1039)</f>
        <v/>
      </c>
      <c r="AQ1039">
        <f>IF($AE1039="","",Sync!$Y1039)</f>
        <v/>
      </c>
    </row>
    <row r="1040">
      <c r="A1040">
        <f>IF(OR(Wages!$B1043="",Wages!$E1043=""),"",Wages!$E1043)</f>
        <v/>
      </c>
      <c r="B1040">
        <f>IF($A1040="","",IF(Wages!$C1043="دستمزد گروهی",2,1))</f>
        <v/>
      </c>
      <c r="C1040">
        <f>IF($A1040="","",IF(ISNUMBER(Wages!$B1043),IF(AND(Wages!$B1043&gt;=10000101,Wages!$B1043&lt;=99991231),INT(Wages!$B1043/10000),""),IFERROR(VALUE(TRIM(LEFT(Wages!$B1043,FIND("/",Wages!$B1043)-1))),"")))</f>
        <v/>
      </c>
      <c r="D1040">
        <f>IF(OR($A1040="",$C1040=""),"",IF(ISNUMBER(Wages!$B1043),INT(MOD(Wages!$B1043,10000)/100),IFERROR(VALUE(TRIM(LEFT(MID(Wages!$B1043,FIND("/",Wages!$B1043)+1,20),FIND("/",MID(Wages!$B1043,FIND("/",Wages!$B1043)+1,20))-1))),"")))</f>
        <v/>
      </c>
      <c r="E1040">
        <f>IF(OR($A1040="",$C1040=""),"",IF(ISNUMBER(Wages!$B1043),MOD(Wages!$B1043,100),IFERROR(VALUE(TRIM(MID(MID(Wages!$B1043,FIND("/",Wages!$B1043)+1,20),FIND("/",MID(Wages!$B1043,FIND("/",Wages!$B1043)+1,20))+1,20))),"")))</f>
        <v/>
      </c>
      <c r="F1040">
        <f>IF($A1040="","",IF(OR($C1040="",$D1040="",$E1040="",$C1040&lt;1300,$C1040&gt;1500,$D1040&lt;1,$D1040&gt;12,$E1040&lt;1,$E1040&gt;31),"نامعتبر",RIGHT("0000"&amp;$C1040,4)&amp;"/"&amp;RIGHT("00"&amp;$D1040,2)&amp;"/"&amp;RIGHT("00"&amp;$E1040,2)))</f>
        <v/>
      </c>
      <c r="G1040">
        <f>IF(OR($A1040="",$F1040="",$F1040="نامعتبر"),"",LEFT($F1040,4)&amp;MID($F1040,6,2)&amp;RIGHT($F1040,2)&amp;"0000"&amp;"|"&amp;"1"&amp;RIGHT("00000"&amp;1035,5))</f>
        <v/>
      </c>
      <c r="H1040">
        <f>IF(OR($B1040&lt;&gt;1,$G1040=""),"",COUNTIFS(LdAParty,$A1040,LdAType,1,LdAKey,"&lt;"&amp;$G1040)+COUNTIFS(LdBMember,$A1040,LdBKey,"&lt;"&amp;$G1040)+COUNTIFS(LdCParty,$A1040,LdCKey,"&lt;"&amp;$G1040)+1)</f>
        <v/>
      </c>
      <c r="I1040">
        <f>IF($H1040="","",$A1040&amp;"|"&amp;RIGHT("000000"&amp;$H1040,6))</f>
        <v/>
      </c>
      <c r="J1040">
        <f>IF(OR($B1040&lt;&gt;2,$G1040=""),"",COUNTIFS(LdAParty,$A1040,LdAType,2,LdAKey,"&lt;"&amp;$G1040)+1)</f>
        <v/>
      </c>
      <c r="K1040">
        <f>IF($J1040="","",$A1040&amp;"|"&amp;RIGHT("000000"&amp;$J1040,6))</f>
        <v/>
      </c>
      <c r="L1040">
        <f>IF($A1040="","",IF(Wages!$G1043="",0,Wages!$G1043))</f>
        <v/>
      </c>
      <c r="M1040">
        <f>IF($A1040="","",Wages!$J1043)</f>
        <v/>
      </c>
      <c r="N1040">
        <f>IF($A1040="","",Wages!$D1043)</f>
        <v/>
      </c>
      <c r="P1040">
        <f>IF(OR(Shares!$B1043="",Shares!$C1043=""),"",Shares!$C1043)</f>
        <v/>
      </c>
      <c r="Q1040">
        <f>IF($P1040="","",Shares!$B1043)</f>
        <v/>
      </c>
      <c r="R1040">
        <f>IF($P1040="","",IFERROR(INDEX(WageParty,MATCH($Q1040,WageIds,0)),""))</f>
        <v/>
      </c>
      <c r="S1040">
        <f>IF($P1040="","",IFERROR(INDEX($F$6:$F$2005,MATCH($Q1040,WageIds,0)),""))</f>
        <v/>
      </c>
      <c r="T1040">
        <f>IF(OR($P1040="",$S1040="",$S1040="نامعتبر"),"",LEFT($S1040,4)&amp;MID($S1040,6,2)&amp;RIGHT($S1040,2)&amp;"0000"&amp;"|"&amp;"2"&amp;RIGHT("00000"&amp;1035,5))</f>
        <v/>
      </c>
      <c r="U1040">
        <f>IF($T1040="","",COUNTIFS(LdAParty,$P1040,LdAType,1,LdAKey,"&lt;"&amp;$T1040)+COUNTIFS(LdBMember,$P1040,LdBKey,"&lt;"&amp;$T1040)+COUNTIFS(LdCParty,$P1040,LdCKey,"&lt;"&amp;$T1040)+1)</f>
        <v/>
      </c>
      <c r="V1040">
        <f>IF($U1040="","",$P1040&amp;"|"&amp;RIGHT("000000"&amp;$U1040,6))</f>
        <v/>
      </c>
      <c r="W1040">
        <f>IF($T1040="","",COUNTIFS(LdBGroup,$R1040,LdBKey,"&lt;"&amp;$T1040)+1)</f>
        <v/>
      </c>
      <c r="X1040">
        <f>IF($W1040="","",$R1040&amp;"|"&amp;RIGHT("000000"&amp;$W1040,6))</f>
        <v/>
      </c>
      <c r="Y1040">
        <f>IF($P1040="","",IF(Shares!$E1043="",0,Shares!$E1043))</f>
        <v/>
      </c>
      <c r="Z1040">
        <f>IF($P1040="","",Shares!$H1043)</f>
        <v/>
      </c>
      <c r="AE1040">
        <f>IF(OR(Sync!$S1040="",Sync!$P1040=""),"",Sync!$S1040)</f>
        <v/>
      </c>
      <c r="AF1040">
        <f>IF($AE1040="","",IF(ISNUMBER(Sync!$P1040),IF(AND(Sync!$P1040&gt;=10000101,Sync!$P1040&lt;=99991231),INT(Sync!$P1040/10000),""),IFERROR(VALUE(TRIM(LEFT(Sync!$P1040,FIND("/",Sync!$P1040)-1))),"")))</f>
        <v/>
      </c>
      <c r="AG1040">
        <f>IF(OR($AE1040="",$AF1040=""),"",IF(ISNUMBER(Sync!$P1040),INT(MOD(Sync!$P1040,10000)/100),IFERROR(VALUE(TRIM(LEFT(MID(Sync!$P1040,FIND("/",Sync!$P1040)+1,20),FIND("/",MID(Sync!$P1040,FIND("/",Sync!$P1040)+1,20))-1))),"")))</f>
        <v/>
      </c>
      <c r="AH1040">
        <f>IF(OR($AE1040="",$AF1040=""),"",IF(ISNUMBER(Sync!$P1040),MOD(Sync!$P1040,100),IFERROR(VALUE(TRIM(MID(MID(Sync!$P1040,FIND("/",Sync!$P1040)+1,20),FIND("/",MID(Sync!$P1040,FIND("/",Sync!$P1040)+1,20))+1,20))),"")))</f>
        <v/>
      </c>
      <c r="AI1040">
        <f>IF($AE1040="","",IF(OR($AF1040="",$AG1040="",$AH1040="",$AF1040&lt;1300,$AF1040&gt;1500,$AG1040&lt;1,$AG1040&gt;12,$AH1040&lt;1,$AH1040&gt;31),"نامعتبر",RIGHT("0000"&amp;$AF1040,4)&amp;"/"&amp;RIGHT("00"&amp;$AG1040,2)&amp;"/"&amp;RIGHT("00"&amp;$AH1040,2)))</f>
        <v/>
      </c>
      <c r="AJ1040">
        <f>IF($AE1040="","",IF(Sync!$Q1040="","0000",IF(AND(ISNUMBER(Sync!$Q1040),Sync!$Q1040&gt;=0,Sync!$Q1040&lt;1),RIGHT("00"&amp;HOUR(Sync!$Q1040),2)&amp;RIGHT("00"&amp;MINUTE(Sync!$Q1040),2),IFERROR(RIGHT("00"&amp;VALUE(LEFT(Sync!$Q1040,FIND(":",Sync!$Q1040)-1)),2)&amp;RIGHT("00"&amp;VALUE(MID(Sync!$Q1040,FIND(":",Sync!$Q1040)+1,2)),2),"0000"))))</f>
        <v/>
      </c>
      <c r="AK1040">
        <f>IF(OR($AE1040="",$AI1040="",$AI1040="نامعتبر"),"",LEFT($AI1040,4)&amp;MID($AI1040,6,2)&amp;RIGHT($AI1040,2)&amp;$AJ1040&amp;"|"&amp;"3"&amp;RIGHT("00000"&amp;1035,5))</f>
        <v/>
      </c>
      <c r="AL1040">
        <f>IF($AK1040="","",COUNTIFS(LdAParty,$AE1040,LdAType,1,LdAKey,"&lt;"&amp;$AK1040)+COUNTIFS(LdBMember,$AE1040,LdBKey,"&lt;"&amp;$AK1040)+COUNTIFS(LdCParty,$AE1040,LdCKey,"&lt;"&amp;$AK1040)+1)</f>
        <v/>
      </c>
      <c r="AM1040">
        <f>IF($AL1040="","",$AE1040&amp;"|"&amp;RIGHT("000000"&amp;$AL1040,6))</f>
        <v/>
      </c>
      <c r="AN1040">
        <f>IF($AE1040="","",IF(Sync!$W1040="",0,Sync!$W1040))</f>
        <v/>
      </c>
      <c r="AO1040">
        <f>IF($AE1040="","",IF(Sync!$X1040="",0,Sync!$X1040))</f>
        <v/>
      </c>
      <c r="AP1040">
        <f>IF($AE1040="","",Sync!$R1040)</f>
        <v/>
      </c>
      <c r="AQ1040">
        <f>IF($AE1040="","",Sync!$Y1040)</f>
        <v/>
      </c>
    </row>
    <row r="1041">
      <c r="A1041">
        <f>IF(OR(Wages!$B1044="",Wages!$E1044=""),"",Wages!$E1044)</f>
        <v/>
      </c>
      <c r="B1041">
        <f>IF($A1041="","",IF(Wages!$C1044="دستمزد گروهی",2,1))</f>
        <v/>
      </c>
      <c r="C1041">
        <f>IF($A1041="","",IF(ISNUMBER(Wages!$B1044),IF(AND(Wages!$B1044&gt;=10000101,Wages!$B1044&lt;=99991231),INT(Wages!$B1044/10000),""),IFERROR(VALUE(TRIM(LEFT(Wages!$B1044,FIND("/",Wages!$B1044)-1))),"")))</f>
        <v/>
      </c>
      <c r="D1041">
        <f>IF(OR($A1041="",$C1041=""),"",IF(ISNUMBER(Wages!$B1044),INT(MOD(Wages!$B1044,10000)/100),IFERROR(VALUE(TRIM(LEFT(MID(Wages!$B1044,FIND("/",Wages!$B1044)+1,20),FIND("/",MID(Wages!$B1044,FIND("/",Wages!$B1044)+1,20))-1))),"")))</f>
        <v/>
      </c>
      <c r="E1041">
        <f>IF(OR($A1041="",$C1041=""),"",IF(ISNUMBER(Wages!$B1044),MOD(Wages!$B1044,100),IFERROR(VALUE(TRIM(MID(MID(Wages!$B1044,FIND("/",Wages!$B1044)+1,20),FIND("/",MID(Wages!$B1044,FIND("/",Wages!$B1044)+1,20))+1,20))),"")))</f>
        <v/>
      </c>
      <c r="F1041">
        <f>IF($A1041="","",IF(OR($C1041="",$D1041="",$E1041="",$C1041&lt;1300,$C1041&gt;1500,$D1041&lt;1,$D1041&gt;12,$E1041&lt;1,$E1041&gt;31),"نامعتبر",RIGHT("0000"&amp;$C1041,4)&amp;"/"&amp;RIGHT("00"&amp;$D1041,2)&amp;"/"&amp;RIGHT("00"&amp;$E1041,2)))</f>
        <v/>
      </c>
      <c r="G1041">
        <f>IF(OR($A1041="",$F1041="",$F1041="نامعتبر"),"",LEFT($F1041,4)&amp;MID($F1041,6,2)&amp;RIGHT($F1041,2)&amp;"0000"&amp;"|"&amp;"1"&amp;RIGHT("00000"&amp;1036,5))</f>
        <v/>
      </c>
      <c r="H1041">
        <f>IF(OR($B1041&lt;&gt;1,$G1041=""),"",COUNTIFS(LdAParty,$A1041,LdAType,1,LdAKey,"&lt;"&amp;$G1041)+COUNTIFS(LdBMember,$A1041,LdBKey,"&lt;"&amp;$G1041)+COUNTIFS(LdCParty,$A1041,LdCKey,"&lt;"&amp;$G1041)+1)</f>
        <v/>
      </c>
      <c r="I1041">
        <f>IF($H1041="","",$A1041&amp;"|"&amp;RIGHT("000000"&amp;$H1041,6))</f>
        <v/>
      </c>
      <c r="J1041">
        <f>IF(OR($B1041&lt;&gt;2,$G1041=""),"",COUNTIFS(LdAParty,$A1041,LdAType,2,LdAKey,"&lt;"&amp;$G1041)+1)</f>
        <v/>
      </c>
      <c r="K1041">
        <f>IF($J1041="","",$A1041&amp;"|"&amp;RIGHT("000000"&amp;$J1041,6))</f>
        <v/>
      </c>
      <c r="L1041">
        <f>IF($A1041="","",IF(Wages!$G1044="",0,Wages!$G1044))</f>
        <v/>
      </c>
      <c r="M1041">
        <f>IF($A1041="","",Wages!$J1044)</f>
        <v/>
      </c>
      <c r="N1041">
        <f>IF($A1041="","",Wages!$D1044)</f>
        <v/>
      </c>
      <c r="P1041">
        <f>IF(OR(Shares!$B1044="",Shares!$C1044=""),"",Shares!$C1044)</f>
        <v/>
      </c>
      <c r="Q1041">
        <f>IF($P1041="","",Shares!$B1044)</f>
        <v/>
      </c>
      <c r="R1041">
        <f>IF($P1041="","",IFERROR(INDEX(WageParty,MATCH($Q1041,WageIds,0)),""))</f>
        <v/>
      </c>
      <c r="S1041">
        <f>IF($P1041="","",IFERROR(INDEX($F$6:$F$2005,MATCH($Q1041,WageIds,0)),""))</f>
        <v/>
      </c>
      <c r="T1041">
        <f>IF(OR($P1041="",$S1041="",$S1041="نامعتبر"),"",LEFT($S1041,4)&amp;MID($S1041,6,2)&amp;RIGHT($S1041,2)&amp;"0000"&amp;"|"&amp;"2"&amp;RIGHT("00000"&amp;1036,5))</f>
        <v/>
      </c>
      <c r="U1041">
        <f>IF($T1041="","",COUNTIFS(LdAParty,$P1041,LdAType,1,LdAKey,"&lt;"&amp;$T1041)+COUNTIFS(LdBMember,$P1041,LdBKey,"&lt;"&amp;$T1041)+COUNTIFS(LdCParty,$P1041,LdCKey,"&lt;"&amp;$T1041)+1)</f>
        <v/>
      </c>
      <c r="V1041">
        <f>IF($U1041="","",$P1041&amp;"|"&amp;RIGHT("000000"&amp;$U1041,6))</f>
        <v/>
      </c>
      <c r="W1041">
        <f>IF($T1041="","",COUNTIFS(LdBGroup,$R1041,LdBKey,"&lt;"&amp;$T1041)+1)</f>
        <v/>
      </c>
      <c r="X1041">
        <f>IF($W1041="","",$R1041&amp;"|"&amp;RIGHT("000000"&amp;$W1041,6))</f>
        <v/>
      </c>
      <c r="Y1041">
        <f>IF($P1041="","",IF(Shares!$E1044="",0,Shares!$E1044))</f>
        <v/>
      </c>
      <c r="Z1041">
        <f>IF($P1041="","",Shares!$H1044)</f>
        <v/>
      </c>
      <c r="AE1041">
        <f>IF(OR(Sync!$S1041="",Sync!$P1041=""),"",Sync!$S1041)</f>
        <v/>
      </c>
      <c r="AF1041">
        <f>IF($AE1041="","",IF(ISNUMBER(Sync!$P1041),IF(AND(Sync!$P1041&gt;=10000101,Sync!$P1041&lt;=99991231),INT(Sync!$P1041/10000),""),IFERROR(VALUE(TRIM(LEFT(Sync!$P1041,FIND("/",Sync!$P1041)-1))),"")))</f>
        <v/>
      </c>
      <c r="AG1041">
        <f>IF(OR($AE1041="",$AF1041=""),"",IF(ISNUMBER(Sync!$P1041),INT(MOD(Sync!$P1041,10000)/100),IFERROR(VALUE(TRIM(LEFT(MID(Sync!$P1041,FIND("/",Sync!$P1041)+1,20),FIND("/",MID(Sync!$P1041,FIND("/",Sync!$P1041)+1,20))-1))),"")))</f>
        <v/>
      </c>
      <c r="AH1041">
        <f>IF(OR($AE1041="",$AF1041=""),"",IF(ISNUMBER(Sync!$P1041),MOD(Sync!$P1041,100),IFERROR(VALUE(TRIM(MID(MID(Sync!$P1041,FIND("/",Sync!$P1041)+1,20),FIND("/",MID(Sync!$P1041,FIND("/",Sync!$P1041)+1,20))+1,20))),"")))</f>
        <v/>
      </c>
      <c r="AI1041">
        <f>IF($AE1041="","",IF(OR($AF1041="",$AG1041="",$AH1041="",$AF1041&lt;1300,$AF1041&gt;1500,$AG1041&lt;1,$AG1041&gt;12,$AH1041&lt;1,$AH1041&gt;31),"نامعتبر",RIGHT("0000"&amp;$AF1041,4)&amp;"/"&amp;RIGHT("00"&amp;$AG1041,2)&amp;"/"&amp;RIGHT("00"&amp;$AH1041,2)))</f>
        <v/>
      </c>
      <c r="AJ1041">
        <f>IF($AE1041="","",IF(Sync!$Q1041="","0000",IF(AND(ISNUMBER(Sync!$Q1041),Sync!$Q1041&gt;=0,Sync!$Q1041&lt;1),RIGHT("00"&amp;HOUR(Sync!$Q1041),2)&amp;RIGHT("00"&amp;MINUTE(Sync!$Q1041),2),IFERROR(RIGHT("00"&amp;VALUE(LEFT(Sync!$Q1041,FIND(":",Sync!$Q1041)-1)),2)&amp;RIGHT("00"&amp;VALUE(MID(Sync!$Q1041,FIND(":",Sync!$Q1041)+1,2)),2),"0000"))))</f>
        <v/>
      </c>
      <c r="AK1041">
        <f>IF(OR($AE1041="",$AI1041="",$AI1041="نامعتبر"),"",LEFT($AI1041,4)&amp;MID($AI1041,6,2)&amp;RIGHT($AI1041,2)&amp;$AJ1041&amp;"|"&amp;"3"&amp;RIGHT("00000"&amp;1036,5))</f>
        <v/>
      </c>
      <c r="AL1041">
        <f>IF($AK1041="","",COUNTIFS(LdAParty,$AE1041,LdAType,1,LdAKey,"&lt;"&amp;$AK1041)+COUNTIFS(LdBMember,$AE1041,LdBKey,"&lt;"&amp;$AK1041)+COUNTIFS(LdCParty,$AE1041,LdCKey,"&lt;"&amp;$AK1041)+1)</f>
        <v/>
      </c>
      <c r="AM1041">
        <f>IF($AL1041="","",$AE1041&amp;"|"&amp;RIGHT("000000"&amp;$AL1041,6))</f>
        <v/>
      </c>
      <c r="AN1041">
        <f>IF($AE1041="","",IF(Sync!$W1041="",0,Sync!$W1041))</f>
        <v/>
      </c>
      <c r="AO1041">
        <f>IF($AE1041="","",IF(Sync!$X1041="",0,Sync!$X1041))</f>
        <v/>
      </c>
      <c r="AP1041">
        <f>IF($AE1041="","",Sync!$R1041)</f>
        <v/>
      </c>
      <c r="AQ1041">
        <f>IF($AE1041="","",Sync!$Y1041)</f>
        <v/>
      </c>
    </row>
    <row r="1042">
      <c r="A1042">
        <f>IF(OR(Wages!$B1045="",Wages!$E1045=""),"",Wages!$E1045)</f>
        <v/>
      </c>
      <c r="B1042">
        <f>IF($A1042="","",IF(Wages!$C1045="دستمزد گروهی",2,1))</f>
        <v/>
      </c>
      <c r="C1042">
        <f>IF($A1042="","",IF(ISNUMBER(Wages!$B1045),IF(AND(Wages!$B1045&gt;=10000101,Wages!$B1045&lt;=99991231),INT(Wages!$B1045/10000),""),IFERROR(VALUE(TRIM(LEFT(Wages!$B1045,FIND("/",Wages!$B1045)-1))),"")))</f>
        <v/>
      </c>
      <c r="D1042">
        <f>IF(OR($A1042="",$C1042=""),"",IF(ISNUMBER(Wages!$B1045),INT(MOD(Wages!$B1045,10000)/100),IFERROR(VALUE(TRIM(LEFT(MID(Wages!$B1045,FIND("/",Wages!$B1045)+1,20),FIND("/",MID(Wages!$B1045,FIND("/",Wages!$B1045)+1,20))-1))),"")))</f>
        <v/>
      </c>
      <c r="E1042">
        <f>IF(OR($A1042="",$C1042=""),"",IF(ISNUMBER(Wages!$B1045),MOD(Wages!$B1045,100),IFERROR(VALUE(TRIM(MID(MID(Wages!$B1045,FIND("/",Wages!$B1045)+1,20),FIND("/",MID(Wages!$B1045,FIND("/",Wages!$B1045)+1,20))+1,20))),"")))</f>
        <v/>
      </c>
      <c r="F1042">
        <f>IF($A1042="","",IF(OR($C1042="",$D1042="",$E1042="",$C1042&lt;1300,$C1042&gt;1500,$D1042&lt;1,$D1042&gt;12,$E1042&lt;1,$E1042&gt;31),"نامعتبر",RIGHT("0000"&amp;$C1042,4)&amp;"/"&amp;RIGHT("00"&amp;$D1042,2)&amp;"/"&amp;RIGHT("00"&amp;$E1042,2)))</f>
        <v/>
      </c>
      <c r="G1042">
        <f>IF(OR($A1042="",$F1042="",$F1042="نامعتبر"),"",LEFT($F1042,4)&amp;MID($F1042,6,2)&amp;RIGHT($F1042,2)&amp;"0000"&amp;"|"&amp;"1"&amp;RIGHT("00000"&amp;1037,5))</f>
        <v/>
      </c>
      <c r="H1042">
        <f>IF(OR($B1042&lt;&gt;1,$G1042=""),"",COUNTIFS(LdAParty,$A1042,LdAType,1,LdAKey,"&lt;"&amp;$G1042)+COUNTIFS(LdBMember,$A1042,LdBKey,"&lt;"&amp;$G1042)+COUNTIFS(LdCParty,$A1042,LdCKey,"&lt;"&amp;$G1042)+1)</f>
        <v/>
      </c>
      <c r="I1042">
        <f>IF($H1042="","",$A1042&amp;"|"&amp;RIGHT("000000"&amp;$H1042,6))</f>
        <v/>
      </c>
      <c r="J1042">
        <f>IF(OR($B1042&lt;&gt;2,$G1042=""),"",COUNTIFS(LdAParty,$A1042,LdAType,2,LdAKey,"&lt;"&amp;$G1042)+1)</f>
        <v/>
      </c>
      <c r="K1042">
        <f>IF($J1042="","",$A1042&amp;"|"&amp;RIGHT("000000"&amp;$J1042,6))</f>
        <v/>
      </c>
      <c r="L1042">
        <f>IF($A1042="","",IF(Wages!$G1045="",0,Wages!$G1045))</f>
        <v/>
      </c>
      <c r="M1042">
        <f>IF($A1042="","",Wages!$J1045)</f>
        <v/>
      </c>
      <c r="N1042">
        <f>IF($A1042="","",Wages!$D1045)</f>
        <v/>
      </c>
      <c r="P1042">
        <f>IF(OR(Shares!$B1045="",Shares!$C1045=""),"",Shares!$C1045)</f>
        <v/>
      </c>
      <c r="Q1042">
        <f>IF($P1042="","",Shares!$B1045)</f>
        <v/>
      </c>
      <c r="R1042">
        <f>IF($P1042="","",IFERROR(INDEX(WageParty,MATCH($Q1042,WageIds,0)),""))</f>
        <v/>
      </c>
      <c r="S1042">
        <f>IF($P1042="","",IFERROR(INDEX($F$6:$F$2005,MATCH($Q1042,WageIds,0)),""))</f>
        <v/>
      </c>
      <c r="T1042">
        <f>IF(OR($P1042="",$S1042="",$S1042="نامعتبر"),"",LEFT($S1042,4)&amp;MID($S1042,6,2)&amp;RIGHT($S1042,2)&amp;"0000"&amp;"|"&amp;"2"&amp;RIGHT("00000"&amp;1037,5))</f>
        <v/>
      </c>
      <c r="U1042">
        <f>IF($T1042="","",COUNTIFS(LdAParty,$P1042,LdAType,1,LdAKey,"&lt;"&amp;$T1042)+COUNTIFS(LdBMember,$P1042,LdBKey,"&lt;"&amp;$T1042)+COUNTIFS(LdCParty,$P1042,LdCKey,"&lt;"&amp;$T1042)+1)</f>
        <v/>
      </c>
      <c r="V1042">
        <f>IF($U1042="","",$P1042&amp;"|"&amp;RIGHT("000000"&amp;$U1042,6))</f>
        <v/>
      </c>
      <c r="W1042">
        <f>IF($T1042="","",COUNTIFS(LdBGroup,$R1042,LdBKey,"&lt;"&amp;$T1042)+1)</f>
        <v/>
      </c>
      <c r="X1042">
        <f>IF($W1042="","",$R1042&amp;"|"&amp;RIGHT("000000"&amp;$W1042,6))</f>
        <v/>
      </c>
      <c r="Y1042">
        <f>IF($P1042="","",IF(Shares!$E1045="",0,Shares!$E1045))</f>
        <v/>
      </c>
      <c r="Z1042">
        <f>IF($P1042="","",Shares!$H1045)</f>
        <v/>
      </c>
      <c r="AE1042">
        <f>IF(OR(Sync!$S1042="",Sync!$P1042=""),"",Sync!$S1042)</f>
        <v/>
      </c>
      <c r="AF1042">
        <f>IF($AE1042="","",IF(ISNUMBER(Sync!$P1042),IF(AND(Sync!$P1042&gt;=10000101,Sync!$P1042&lt;=99991231),INT(Sync!$P1042/10000),""),IFERROR(VALUE(TRIM(LEFT(Sync!$P1042,FIND("/",Sync!$P1042)-1))),"")))</f>
        <v/>
      </c>
      <c r="AG1042">
        <f>IF(OR($AE1042="",$AF1042=""),"",IF(ISNUMBER(Sync!$P1042),INT(MOD(Sync!$P1042,10000)/100),IFERROR(VALUE(TRIM(LEFT(MID(Sync!$P1042,FIND("/",Sync!$P1042)+1,20),FIND("/",MID(Sync!$P1042,FIND("/",Sync!$P1042)+1,20))-1))),"")))</f>
        <v/>
      </c>
      <c r="AH1042">
        <f>IF(OR($AE1042="",$AF1042=""),"",IF(ISNUMBER(Sync!$P1042),MOD(Sync!$P1042,100),IFERROR(VALUE(TRIM(MID(MID(Sync!$P1042,FIND("/",Sync!$P1042)+1,20),FIND("/",MID(Sync!$P1042,FIND("/",Sync!$P1042)+1,20))+1,20))),"")))</f>
        <v/>
      </c>
      <c r="AI1042">
        <f>IF($AE1042="","",IF(OR($AF1042="",$AG1042="",$AH1042="",$AF1042&lt;1300,$AF1042&gt;1500,$AG1042&lt;1,$AG1042&gt;12,$AH1042&lt;1,$AH1042&gt;31),"نامعتبر",RIGHT("0000"&amp;$AF1042,4)&amp;"/"&amp;RIGHT("00"&amp;$AG1042,2)&amp;"/"&amp;RIGHT("00"&amp;$AH1042,2)))</f>
        <v/>
      </c>
      <c r="AJ1042">
        <f>IF($AE1042="","",IF(Sync!$Q1042="","0000",IF(AND(ISNUMBER(Sync!$Q1042),Sync!$Q1042&gt;=0,Sync!$Q1042&lt;1),RIGHT("00"&amp;HOUR(Sync!$Q1042),2)&amp;RIGHT("00"&amp;MINUTE(Sync!$Q1042),2),IFERROR(RIGHT("00"&amp;VALUE(LEFT(Sync!$Q1042,FIND(":",Sync!$Q1042)-1)),2)&amp;RIGHT("00"&amp;VALUE(MID(Sync!$Q1042,FIND(":",Sync!$Q1042)+1,2)),2),"0000"))))</f>
        <v/>
      </c>
      <c r="AK1042">
        <f>IF(OR($AE1042="",$AI1042="",$AI1042="نامعتبر"),"",LEFT($AI1042,4)&amp;MID($AI1042,6,2)&amp;RIGHT($AI1042,2)&amp;$AJ1042&amp;"|"&amp;"3"&amp;RIGHT("00000"&amp;1037,5))</f>
        <v/>
      </c>
      <c r="AL1042">
        <f>IF($AK1042="","",COUNTIFS(LdAParty,$AE1042,LdAType,1,LdAKey,"&lt;"&amp;$AK1042)+COUNTIFS(LdBMember,$AE1042,LdBKey,"&lt;"&amp;$AK1042)+COUNTIFS(LdCParty,$AE1042,LdCKey,"&lt;"&amp;$AK1042)+1)</f>
        <v/>
      </c>
      <c r="AM1042">
        <f>IF($AL1042="","",$AE1042&amp;"|"&amp;RIGHT("000000"&amp;$AL1042,6))</f>
        <v/>
      </c>
      <c r="AN1042">
        <f>IF($AE1042="","",IF(Sync!$W1042="",0,Sync!$W1042))</f>
        <v/>
      </c>
      <c r="AO1042">
        <f>IF($AE1042="","",IF(Sync!$X1042="",0,Sync!$X1042))</f>
        <v/>
      </c>
      <c r="AP1042">
        <f>IF($AE1042="","",Sync!$R1042)</f>
        <v/>
      </c>
      <c r="AQ1042">
        <f>IF($AE1042="","",Sync!$Y1042)</f>
        <v/>
      </c>
    </row>
    <row r="1043">
      <c r="A1043">
        <f>IF(OR(Wages!$B1046="",Wages!$E1046=""),"",Wages!$E1046)</f>
        <v/>
      </c>
      <c r="B1043">
        <f>IF($A1043="","",IF(Wages!$C1046="دستمزد گروهی",2,1))</f>
        <v/>
      </c>
      <c r="C1043">
        <f>IF($A1043="","",IF(ISNUMBER(Wages!$B1046),IF(AND(Wages!$B1046&gt;=10000101,Wages!$B1046&lt;=99991231),INT(Wages!$B1046/10000),""),IFERROR(VALUE(TRIM(LEFT(Wages!$B1046,FIND("/",Wages!$B1046)-1))),"")))</f>
        <v/>
      </c>
      <c r="D1043">
        <f>IF(OR($A1043="",$C1043=""),"",IF(ISNUMBER(Wages!$B1046),INT(MOD(Wages!$B1046,10000)/100),IFERROR(VALUE(TRIM(LEFT(MID(Wages!$B1046,FIND("/",Wages!$B1046)+1,20),FIND("/",MID(Wages!$B1046,FIND("/",Wages!$B1046)+1,20))-1))),"")))</f>
        <v/>
      </c>
      <c r="E1043">
        <f>IF(OR($A1043="",$C1043=""),"",IF(ISNUMBER(Wages!$B1046),MOD(Wages!$B1046,100),IFERROR(VALUE(TRIM(MID(MID(Wages!$B1046,FIND("/",Wages!$B1046)+1,20),FIND("/",MID(Wages!$B1046,FIND("/",Wages!$B1046)+1,20))+1,20))),"")))</f>
        <v/>
      </c>
      <c r="F1043">
        <f>IF($A1043="","",IF(OR($C1043="",$D1043="",$E1043="",$C1043&lt;1300,$C1043&gt;1500,$D1043&lt;1,$D1043&gt;12,$E1043&lt;1,$E1043&gt;31),"نامعتبر",RIGHT("0000"&amp;$C1043,4)&amp;"/"&amp;RIGHT("00"&amp;$D1043,2)&amp;"/"&amp;RIGHT("00"&amp;$E1043,2)))</f>
        <v/>
      </c>
      <c r="G1043">
        <f>IF(OR($A1043="",$F1043="",$F1043="نامعتبر"),"",LEFT($F1043,4)&amp;MID($F1043,6,2)&amp;RIGHT($F1043,2)&amp;"0000"&amp;"|"&amp;"1"&amp;RIGHT("00000"&amp;1038,5))</f>
        <v/>
      </c>
      <c r="H1043">
        <f>IF(OR($B1043&lt;&gt;1,$G1043=""),"",COUNTIFS(LdAParty,$A1043,LdAType,1,LdAKey,"&lt;"&amp;$G1043)+COUNTIFS(LdBMember,$A1043,LdBKey,"&lt;"&amp;$G1043)+COUNTIFS(LdCParty,$A1043,LdCKey,"&lt;"&amp;$G1043)+1)</f>
        <v/>
      </c>
      <c r="I1043">
        <f>IF($H1043="","",$A1043&amp;"|"&amp;RIGHT("000000"&amp;$H1043,6))</f>
        <v/>
      </c>
      <c r="J1043">
        <f>IF(OR($B1043&lt;&gt;2,$G1043=""),"",COUNTIFS(LdAParty,$A1043,LdAType,2,LdAKey,"&lt;"&amp;$G1043)+1)</f>
        <v/>
      </c>
      <c r="K1043">
        <f>IF($J1043="","",$A1043&amp;"|"&amp;RIGHT("000000"&amp;$J1043,6))</f>
        <v/>
      </c>
      <c r="L1043">
        <f>IF($A1043="","",IF(Wages!$G1046="",0,Wages!$G1046))</f>
        <v/>
      </c>
      <c r="M1043">
        <f>IF($A1043="","",Wages!$J1046)</f>
        <v/>
      </c>
      <c r="N1043">
        <f>IF($A1043="","",Wages!$D1046)</f>
        <v/>
      </c>
      <c r="P1043">
        <f>IF(OR(Shares!$B1046="",Shares!$C1046=""),"",Shares!$C1046)</f>
        <v/>
      </c>
      <c r="Q1043">
        <f>IF($P1043="","",Shares!$B1046)</f>
        <v/>
      </c>
      <c r="R1043">
        <f>IF($P1043="","",IFERROR(INDEX(WageParty,MATCH($Q1043,WageIds,0)),""))</f>
        <v/>
      </c>
      <c r="S1043">
        <f>IF($P1043="","",IFERROR(INDEX($F$6:$F$2005,MATCH($Q1043,WageIds,0)),""))</f>
        <v/>
      </c>
      <c r="T1043">
        <f>IF(OR($P1043="",$S1043="",$S1043="نامعتبر"),"",LEFT($S1043,4)&amp;MID($S1043,6,2)&amp;RIGHT($S1043,2)&amp;"0000"&amp;"|"&amp;"2"&amp;RIGHT("00000"&amp;1038,5))</f>
        <v/>
      </c>
      <c r="U1043">
        <f>IF($T1043="","",COUNTIFS(LdAParty,$P1043,LdAType,1,LdAKey,"&lt;"&amp;$T1043)+COUNTIFS(LdBMember,$P1043,LdBKey,"&lt;"&amp;$T1043)+COUNTIFS(LdCParty,$P1043,LdCKey,"&lt;"&amp;$T1043)+1)</f>
        <v/>
      </c>
      <c r="V1043">
        <f>IF($U1043="","",$P1043&amp;"|"&amp;RIGHT("000000"&amp;$U1043,6))</f>
        <v/>
      </c>
      <c r="W1043">
        <f>IF($T1043="","",COUNTIFS(LdBGroup,$R1043,LdBKey,"&lt;"&amp;$T1043)+1)</f>
        <v/>
      </c>
      <c r="X1043">
        <f>IF($W1043="","",$R1043&amp;"|"&amp;RIGHT("000000"&amp;$W1043,6))</f>
        <v/>
      </c>
      <c r="Y1043">
        <f>IF($P1043="","",IF(Shares!$E1046="",0,Shares!$E1046))</f>
        <v/>
      </c>
      <c r="Z1043">
        <f>IF($P1043="","",Shares!$H1046)</f>
        <v/>
      </c>
      <c r="AE1043">
        <f>IF(OR(Sync!$S1043="",Sync!$P1043=""),"",Sync!$S1043)</f>
        <v/>
      </c>
      <c r="AF1043">
        <f>IF($AE1043="","",IF(ISNUMBER(Sync!$P1043),IF(AND(Sync!$P1043&gt;=10000101,Sync!$P1043&lt;=99991231),INT(Sync!$P1043/10000),""),IFERROR(VALUE(TRIM(LEFT(Sync!$P1043,FIND("/",Sync!$P1043)-1))),"")))</f>
        <v/>
      </c>
      <c r="AG1043">
        <f>IF(OR($AE1043="",$AF1043=""),"",IF(ISNUMBER(Sync!$P1043),INT(MOD(Sync!$P1043,10000)/100),IFERROR(VALUE(TRIM(LEFT(MID(Sync!$P1043,FIND("/",Sync!$P1043)+1,20),FIND("/",MID(Sync!$P1043,FIND("/",Sync!$P1043)+1,20))-1))),"")))</f>
        <v/>
      </c>
      <c r="AH1043">
        <f>IF(OR($AE1043="",$AF1043=""),"",IF(ISNUMBER(Sync!$P1043),MOD(Sync!$P1043,100),IFERROR(VALUE(TRIM(MID(MID(Sync!$P1043,FIND("/",Sync!$P1043)+1,20),FIND("/",MID(Sync!$P1043,FIND("/",Sync!$P1043)+1,20))+1,20))),"")))</f>
        <v/>
      </c>
      <c r="AI1043">
        <f>IF($AE1043="","",IF(OR($AF1043="",$AG1043="",$AH1043="",$AF1043&lt;1300,$AF1043&gt;1500,$AG1043&lt;1,$AG1043&gt;12,$AH1043&lt;1,$AH1043&gt;31),"نامعتبر",RIGHT("0000"&amp;$AF1043,4)&amp;"/"&amp;RIGHT("00"&amp;$AG1043,2)&amp;"/"&amp;RIGHT("00"&amp;$AH1043,2)))</f>
        <v/>
      </c>
      <c r="AJ1043">
        <f>IF($AE1043="","",IF(Sync!$Q1043="","0000",IF(AND(ISNUMBER(Sync!$Q1043),Sync!$Q1043&gt;=0,Sync!$Q1043&lt;1),RIGHT("00"&amp;HOUR(Sync!$Q1043),2)&amp;RIGHT("00"&amp;MINUTE(Sync!$Q1043),2),IFERROR(RIGHT("00"&amp;VALUE(LEFT(Sync!$Q1043,FIND(":",Sync!$Q1043)-1)),2)&amp;RIGHT("00"&amp;VALUE(MID(Sync!$Q1043,FIND(":",Sync!$Q1043)+1,2)),2),"0000"))))</f>
        <v/>
      </c>
      <c r="AK1043">
        <f>IF(OR($AE1043="",$AI1043="",$AI1043="نامعتبر"),"",LEFT($AI1043,4)&amp;MID($AI1043,6,2)&amp;RIGHT($AI1043,2)&amp;$AJ1043&amp;"|"&amp;"3"&amp;RIGHT("00000"&amp;1038,5))</f>
        <v/>
      </c>
      <c r="AL1043">
        <f>IF($AK1043="","",COUNTIFS(LdAParty,$AE1043,LdAType,1,LdAKey,"&lt;"&amp;$AK1043)+COUNTIFS(LdBMember,$AE1043,LdBKey,"&lt;"&amp;$AK1043)+COUNTIFS(LdCParty,$AE1043,LdCKey,"&lt;"&amp;$AK1043)+1)</f>
        <v/>
      </c>
      <c r="AM1043">
        <f>IF($AL1043="","",$AE1043&amp;"|"&amp;RIGHT("000000"&amp;$AL1043,6))</f>
        <v/>
      </c>
      <c r="AN1043">
        <f>IF($AE1043="","",IF(Sync!$W1043="",0,Sync!$W1043))</f>
        <v/>
      </c>
      <c r="AO1043">
        <f>IF($AE1043="","",IF(Sync!$X1043="",0,Sync!$X1043))</f>
        <v/>
      </c>
      <c r="AP1043">
        <f>IF($AE1043="","",Sync!$R1043)</f>
        <v/>
      </c>
      <c r="AQ1043">
        <f>IF($AE1043="","",Sync!$Y1043)</f>
        <v/>
      </c>
    </row>
    <row r="1044">
      <c r="A1044">
        <f>IF(OR(Wages!$B1047="",Wages!$E1047=""),"",Wages!$E1047)</f>
        <v/>
      </c>
      <c r="B1044">
        <f>IF($A1044="","",IF(Wages!$C1047="دستمزد گروهی",2,1))</f>
        <v/>
      </c>
      <c r="C1044">
        <f>IF($A1044="","",IF(ISNUMBER(Wages!$B1047),IF(AND(Wages!$B1047&gt;=10000101,Wages!$B1047&lt;=99991231),INT(Wages!$B1047/10000),""),IFERROR(VALUE(TRIM(LEFT(Wages!$B1047,FIND("/",Wages!$B1047)-1))),"")))</f>
        <v/>
      </c>
      <c r="D1044">
        <f>IF(OR($A1044="",$C1044=""),"",IF(ISNUMBER(Wages!$B1047),INT(MOD(Wages!$B1047,10000)/100),IFERROR(VALUE(TRIM(LEFT(MID(Wages!$B1047,FIND("/",Wages!$B1047)+1,20),FIND("/",MID(Wages!$B1047,FIND("/",Wages!$B1047)+1,20))-1))),"")))</f>
        <v/>
      </c>
      <c r="E1044">
        <f>IF(OR($A1044="",$C1044=""),"",IF(ISNUMBER(Wages!$B1047),MOD(Wages!$B1047,100),IFERROR(VALUE(TRIM(MID(MID(Wages!$B1047,FIND("/",Wages!$B1047)+1,20),FIND("/",MID(Wages!$B1047,FIND("/",Wages!$B1047)+1,20))+1,20))),"")))</f>
        <v/>
      </c>
      <c r="F1044">
        <f>IF($A1044="","",IF(OR($C1044="",$D1044="",$E1044="",$C1044&lt;1300,$C1044&gt;1500,$D1044&lt;1,$D1044&gt;12,$E1044&lt;1,$E1044&gt;31),"نامعتبر",RIGHT("0000"&amp;$C1044,4)&amp;"/"&amp;RIGHT("00"&amp;$D1044,2)&amp;"/"&amp;RIGHT("00"&amp;$E1044,2)))</f>
        <v/>
      </c>
      <c r="G1044">
        <f>IF(OR($A1044="",$F1044="",$F1044="نامعتبر"),"",LEFT($F1044,4)&amp;MID($F1044,6,2)&amp;RIGHT($F1044,2)&amp;"0000"&amp;"|"&amp;"1"&amp;RIGHT("00000"&amp;1039,5))</f>
        <v/>
      </c>
      <c r="H1044">
        <f>IF(OR($B1044&lt;&gt;1,$G1044=""),"",COUNTIFS(LdAParty,$A1044,LdAType,1,LdAKey,"&lt;"&amp;$G1044)+COUNTIFS(LdBMember,$A1044,LdBKey,"&lt;"&amp;$G1044)+COUNTIFS(LdCParty,$A1044,LdCKey,"&lt;"&amp;$G1044)+1)</f>
        <v/>
      </c>
      <c r="I1044">
        <f>IF($H1044="","",$A1044&amp;"|"&amp;RIGHT("000000"&amp;$H1044,6))</f>
        <v/>
      </c>
      <c r="J1044">
        <f>IF(OR($B1044&lt;&gt;2,$G1044=""),"",COUNTIFS(LdAParty,$A1044,LdAType,2,LdAKey,"&lt;"&amp;$G1044)+1)</f>
        <v/>
      </c>
      <c r="K1044">
        <f>IF($J1044="","",$A1044&amp;"|"&amp;RIGHT("000000"&amp;$J1044,6))</f>
        <v/>
      </c>
      <c r="L1044">
        <f>IF($A1044="","",IF(Wages!$G1047="",0,Wages!$G1047))</f>
        <v/>
      </c>
      <c r="M1044">
        <f>IF($A1044="","",Wages!$J1047)</f>
        <v/>
      </c>
      <c r="N1044">
        <f>IF($A1044="","",Wages!$D1047)</f>
        <v/>
      </c>
      <c r="P1044">
        <f>IF(OR(Shares!$B1047="",Shares!$C1047=""),"",Shares!$C1047)</f>
        <v/>
      </c>
      <c r="Q1044">
        <f>IF($P1044="","",Shares!$B1047)</f>
        <v/>
      </c>
      <c r="R1044">
        <f>IF($P1044="","",IFERROR(INDEX(WageParty,MATCH($Q1044,WageIds,0)),""))</f>
        <v/>
      </c>
      <c r="S1044">
        <f>IF($P1044="","",IFERROR(INDEX($F$6:$F$2005,MATCH($Q1044,WageIds,0)),""))</f>
        <v/>
      </c>
      <c r="T1044">
        <f>IF(OR($P1044="",$S1044="",$S1044="نامعتبر"),"",LEFT($S1044,4)&amp;MID($S1044,6,2)&amp;RIGHT($S1044,2)&amp;"0000"&amp;"|"&amp;"2"&amp;RIGHT("00000"&amp;1039,5))</f>
        <v/>
      </c>
      <c r="U1044">
        <f>IF($T1044="","",COUNTIFS(LdAParty,$P1044,LdAType,1,LdAKey,"&lt;"&amp;$T1044)+COUNTIFS(LdBMember,$P1044,LdBKey,"&lt;"&amp;$T1044)+COUNTIFS(LdCParty,$P1044,LdCKey,"&lt;"&amp;$T1044)+1)</f>
        <v/>
      </c>
      <c r="V1044">
        <f>IF($U1044="","",$P1044&amp;"|"&amp;RIGHT("000000"&amp;$U1044,6))</f>
        <v/>
      </c>
      <c r="W1044">
        <f>IF($T1044="","",COUNTIFS(LdBGroup,$R1044,LdBKey,"&lt;"&amp;$T1044)+1)</f>
        <v/>
      </c>
      <c r="X1044">
        <f>IF($W1044="","",$R1044&amp;"|"&amp;RIGHT("000000"&amp;$W1044,6))</f>
        <v/>
      </c>
      <c r="Y1044">
        <f>IF($P1044="","",IF(Shares!$E1047="",0,Shares!$E1047))</f>
        <v/>
      </c>
      <c r="Z1044">
        <f>IF($P1044="","",Shares!$H1047)</f>
        <v/>
      </c>
      <c r="AE1044">
        <f>IF(OR(Sync!$S1044="",Sync!$P1044=""),"",Sync!$S1044)</f>
        <v/>
      </c>
      <c r="AF1044">
        <f>IF($AE1044="","",IF(ISNUMBER(Sync!$P1044),IF(AND(Sync!$P1044&gt;=10000101,Sync!$P1044&lt;=99991231),INT(Sync!$P1044/10000),""),IFERROR(VALUE(TRIM(LEFT(Sync!$P1044,FIND("/",Sync!$P1044)-1))),"")))</f>
        <v/>
      </c>
      <c r="AG1044">
        <f>IF(OR($AE1044="",$AF1044=""),"",IF(ISNUMBER(Sync!$P1044),INT(MOD(Sync!$P1044,10000)/100),IFERROR(VALUE(TRIM(LEFT(MID(Sync!$P1044,FIND("/",Sync!$P1044)+1,20),FIND("/",MID(Sync!$P1044,FIND("/",Sync!$P1044)+1,20))-1))),"")))</f>
        <v/>
      </c>
      <c r="AH1044">
        <f>IF(OR($AE1044="",$AF1044=""),"",IF(ISNUMBER(Sync!$P1044),MOD(Sync!$P1044,100),IFERROR(VALUE(TRIM(MID(MID(Sync!$P1044,FIND("/",Sync!$P1044)+1,20),FIND("/",MID(Sync!$P1044,FIND("/",Sync!$P1044)+1,20))+1,20))),"")))</f>
        <v/>
      </c>
      <c r="AI1044">
        <f>IF($AE1044="","",IF(OR($AF1044="",$AG1044="",$AH1044="",$AF1044&lt;1300,$AF1044&gt;1500,$AG1044&lt;1,$AG1044&gt;12,$AH1044&lt;1,$AH1044&gt;31),"نامعتبر",RIGHT("0000"&amp;$AF1044,4)&amp;"/"&amp;RIGHT("00"&amp;$AG1044,2)&amp;"/"&amp;RIGHT("00"&amp;$AH1044,2)))</f>
        <v/>
      </c>
      <c r="AJ1044">
        <f>IF($AE1044="","",IF(Sync!$Q1044="","0000",IF(AND(ISNUMBER(Sync!$Q1044),Sync!$Q1044&gt;=0,Sync!$Q1044&lt;1),RIGHT("00"&amp;HOUR(Sync!$Q1044),2)&amp;RIGHT("00"&amp;MINUTE(Sync!$Q1044),2),IFERROR(RIGHT("00"&amp;VALUE(LEFT(Sync!$Q1044,FIND(":",Sync!$Q1044)-1)),2)&amp;RIGHT("00"&amp;VALUE(MID(Sync!$Q1044,FIND(":",Sync!$Q1044)+1,2)),2),"0000"))))</f>
        <v/>
      </c>
      <c r="AK1044">
        <f>IF(OR($AE1044="",$AI1044="",$AI1044="نامعتبر"),"",LEFT($AI1044,4)&amp;MID($AI1044,6,2)&amp;RIGHT($AI1044,2)&amp;$AJ1044&amp;"|"&amp;"3"&amp;RIGHT("00000"&amp;1039,5))</f>
        <v/>
      </c>
      <c r="AL1044">
        <f>IF($AK1044="","",COUNTIFS(LdAParty,$AE1044,LdAType,1,LdAKey,"&lt;"&amp;$AK1044)+COUNTIFS(LdBMember,$AE1044,LdBKey,"&lt;"&amp;$AK1044)+COUNTIFS(LdCParty,$AE1044,LdCKey,"&lt;"&amp;$AK1044)+1)</f>
        <v/>
      </c>
      <c r="AM1044">
        <f>IF($AL1044="","",$AE1044&amp;"|"&amp;RIGHT("000000"&amp;$AL1044,6))</f>
        <v/>
      </c>
      <c r="AN1044">
        <f>IF($AE1044="","",IF(Sync!$W1044="",0,Sync!$W1044))</f>
        <v/>
      </c>
      <c r="AO1044">
        <f>IF($AE1044="","",IF(Sync!$X1044="",0,Sync!$X1044))</f>
        <v/>
      </c>
      <c r="AP1044">
        <f>IF($AE1044="","",Sync!$R1044)</f>
        <v/>
      </c>
      <c r="AQ1044">
        <f>IF($AE1044="","",Sync!$Y1044)</f>
        <v/>
      </c>
    </row>
    <row r="1045">
      <c r="A1045">
        <f>IF(OR(Wages!$B1048="",Wages!$E1048=""),"",Wages!$E1048)</f>
        <v/>
      </c>
      <c r="B1045">
        <f>IF($A1045="","",IF(Wages!$C1048="دستمزد گروهی",2,1))</f>
        <v/>
      </c>
      <c r="C1045">
        <f>IF($A1045="","",IF(ISNUMBER(Wages!$B1048),IF(AND(Wages!$B1048&gt;=10000101,Wages!$B1048&lt;=99991231),INT(Wages!$B1048/10000),""),IFERROR(VALUE(TRIM(LEFT(Wages!$B1048,FIND("/",Wages!$B1048)-1))),"")))</f>
        <v/>
      </c>
      <c r="D1045">
        <f>IF(OR($A1045="",$C1045=""),"",IF(ISNUMBER(Wages!$B1048),INT(MOD(Wages!$B1048,10000)/100),IFERROR(VALUE(TRIM(LEFT(MID(Wages!$B1048,FIND("/",Wages!$B1048)+1,20),FIND("/",MID(Wages!$B1048,FIND("/",Wages!$B1048)+1,20))-1))),"")))</f>
        <v/>
      </c>
      <c r="E1045">
        <f>IF(OR($A1045="",$C1045=""),"",IF(ISNUMBER(Wages!$B1048),MOD(Wages!$B1048,100),IFERROR(VALUE(TRIM(MID(MID(Wages!$B1048,FIND("/",Wages!$B1048)+1,20),FIND("/",MID(Wages!$B1048,FIND("/",Wages!$B1048)+1,20))+1,20))),"")))</f>
        <v/>
      </c>
      <c r="F1045">
        <f>IF($A1045="","",IF(OR($C1045="",$D1045="",$E1045="",$C1045&lt;1300,$C1045&gt;1500,$D1045&lt;1,$D1045&gt;12,$E1045&lt;1,$E1045&gt;31),"نامعتبر",RIGHT("0000"&amp;$C1045,4)&amp;"/"&amp;RIGHT("00"&amp;$D1045,2)&amp;"/"&amp;RIGHT("00"&amp;$E1045,2)))</f>
        <v/>
      </c>
      <c r="G1045">
        <f>IF(OR($A1045="",$F1045="",$F1045="نامعتبر"),"",LEFT($F1045,4)&amp;MID($F1045,6,2)&amp;RIGHT($F1045,2)&amp;"0000"&amp;"|"&amp;"1"&amp;RIGHT("00000"&amp;1040,5))</f>
        <v/>
      </c>
      <c r="H1045">
        <f>IF(OR($B1045&lt;&gt;1,$G1045=""),"",COUNTIFS(LdAParty,$A1045,LdAType,1,LdAKey,"&lt;"&amp;$G1045)+COUNTIFS(LdBMember,$A1045,LdBKey,"&lt;"&amp;$G1045)+COUNTIFS(LdCParty,$A1045,LdCKey,"&lt;"&amp;$G1045)+1)</f>
        <v/>
      </c>
      <c r="I1045">
        <f>IF($H1045="","",$A1045&amp;"|"&amp;RIGHT("000000"&amp;$H1045,6))</f>
        <v/>
      </c>
      <c r="J1045">
        <f>IF(OR($B1045&lt;&gt;2,$G1045=""),"",COUNTIFS(LdAParty,$A1045,LdAType,2,LdAKey,"&lt;"&amp;$G1045)+1)</f>
        <v/>
      </c>
      <c r="K1045">
        <f>IF($J1045="","",$A1045&amp;"|"&amp;RIGHT("000000"&amp;$J1045,6))</f>
        <v/>
      </c>
      <c r="L1045">
        <f>IF($A1045="","",IF(Wages!$G1048="",0,Wages!$G1048))</f>
        <v/>
      </c>
      <c r="M1045">
        <f>IF($A1045="","",Wages!$J1048)</f>
        <v/>
      </c>
      <c r="N1045">
        <f>IF($A1045="","",Wages!$D1048)</f>
        <v/>
      </c>
      <c r="P1045">
        <f>IF(OR(Shares!$B1048="",Shares!$C1048=""),"",Shares!$C1048)</f>
        <v/>
      </c>
      <c r="Q1045">
        <f>IF($P1045="","",Shares!$B1048)</f>
        <v/>
      </c>
      <c r="R1045">
        <f>IF($P1045="","",IFERROR(INDEX(WageParty,MATCH($Q1045,WageIds,0)),""))</f>
        <v/>
      </c>
      <c r="S1045">
        <f>IF($P1045="","",IFERROR(INDEX($F$6:$F$2005,MATCH($Q1045,WageIds,0)),""))</f>
        <v/>
      </c>
      <c r="T1045">
        <f>IF(OR($P1045="",$S1045="",$S1045="نامعتبر"),"",LEFT($S1045,4)&amp;MID($S1045,6,2)&amp;RIGHT($S1045,2)&amp;"0000"&amp;"|"&amp;"2"&amp;RIGHT("00000"&amp;1040,5))</f>
        <v/>
      </c>
      <c r="U1045">
        <f>IF($T1045="","",COUNTIFS(LdAParty,$P1045,LdAType,1,LdAKey,"&lt;"&amp;$T1045)+COUNTIFS(LdBMember,$P1045,LdBKey,"&lt;"&amp;$T1045)+COUNTIFS(LdCParty,$P1045,LdCKey,"&lt;"&amp;$T1045)+1)</f>
        <v/>
      </c>
      <c r="V1045">
        <f>IF($U1045="","",$P1045&amp;"|"&amp;RIGHT("000000"&amp;$U1045,6))</f>
        <v/>
      </c>
      <c r="W1045">
        <f>IF($T1045="","",COUNTIFS(LdBGroup,$R1045,LdBKey,"&lt;"&amp;$T1045)+1)</f>
        <v/>
      </c>
      <c r="X1045">
        <f>IF($W1045="","",$R1045&amp;"|"&amp;RIGHT("000000"&amp;$W1045,6))</f>
        <v/>
      </c>
      <c r="Y1045">
        <f>IF($P1045="","",IF(Shares!$E1048="",0,Shares!$E1048))</f>
        <v/>
      </c>
      <c r="Z1045">
        <f>IF($P1045="","",Shares!$H1048)</f>
        <v/>
      </c>
      <c r="AE1045">
        <f>IF(OR(Sync!$S1045="",Sync!$P1045=""),"",Sync!$S1045)</f>
        <v/>
      </c>
      <c r="AF1045">
        <f>IF($AE1045="","",IF(ISNUMBER(Sync!$P1045),IF(AND(Sync!$P1045&gt;=10000101,Sync!$P1045&lt;=99991231),INT(Sync!$P1045/10000),""),IFERROR(VALUE(TRIM(LEFT(Sync!$P1045,FIND("/",Sync!$P1045)-1))),"")))</f>
        <v/>
      </c>
      <c r="AG1045">
        <f>IF(OR($AE1045="",$AF1045=""),"",IF(ISNUMBER(Sync!$P1045),INT(MOD(Sync!$P1045,10000)/100),IFERROR(VALUE(TRIM(LEFT(MID(Sync!$P1045,FIND("/",Sync!$P1045)+1,20),FIND("/",MID(Sync!$P1045,FIND("/",Sync!$P1045)+1,20))-1))),"")))</f>
        <v/>
      </c>
      <c r="AH1045">
        <f>IF(OR($AE1045="",$AF1045=""),"",IF(ISNUMBER(Sync!$P1045),MOD(Sync!$P1045,100),IFERROR(VALUE(TRIM(MID(MID(Sync!$P1045,FIND("/",Sync!$P1045)+1,20),FIND("/",MID(Sync!$P1045,FIND("/",Sync!$P1045)+1,20))+1,20))),"")))</f>
        <v/>
      </c>
      <c r="AI1045">
        <f>IF($AE1045="","",IF(OR($AF1045="",$AG1045="",$AH1045="",$AF1045&lt;1300,$AF1045&gt;1500,$AG1045&lt;1,$AG1045&gt;12,$AH1045&lt;1,$AH1045&gt;31),"نامعتبر",RIGHT("0000"&amp;$AF1045,4)&amp;"/"&amp;RIGHT("00"&amp;$AG1045,2)&amp;"/"&amp;RIGHT("00"&amp;$AH1045,2)))</f>
        <v/>
      </c>
      <c r="AJ1045">
        <f>IF($AE1045="","",IF(Sync!$Q1045="","0000",IF(AND(ISNUMBER(Sync!$Q1045),Sync!$Q1045&gt;=0,Sync!$Q1045&lt;1),RIGHT("00"&amp;HOUR(Sync!$Q1045),2)&amp;RIGHT("00"&amp;MINUTE(Sync!$Q1045),2),IFERROR(RIGHT("00"&amp;VALUE(LEFT(Sync!$Q1045,FIND(":",Sync!$Q1045)-1)),2)&amp;RIGHT("00"&amp;VALUE(MID(Sync!$Q1045,FIND(":",Sync!$Q1045)+1,2)),2),"0000"))))</f>
        <v/>
      </c>
      <c r="AK1045">
        <f>IF(OR($AE1045="",$AI1045="",$AI1045="نامعتبر"),"",LEFT($AI1045,4)&amp;MID($AI1045,6,2)&amp;RIGHT($AI1045,2)&amp;$AJ1045&amp;"|"&amp;"3"&amp;RIGHT("00000"&amp;1040,5))</f>
        <v/>
      </c>
      <c r="AL1045">
        <f>IF($AK1045="","",COUNTIFS(LdAParty,$AE1045,LdAType,1,LdAKey,"&lt;"&amp;$AK1045)+COUNTIFS(LdBMember,$AE1045,LdBKey,"&lt;"&amp;$AK1045)+COUNTIFS(LdCParty,$AE1045,LdCKey,"&lt;"&amp;$AK1045)+1)</f>
        <v/>
      </c>
      <c r="AM1045">
        <f>IF($AL1045="","",$AE1045&amp;"|"&amp;RIGHT("000000"&amp;$AL1045,6))</f>
        <v/>
      </c>
      <c r="AN1045">
        <f>IF($AE1045="","",IF(Sync!$W1045="",0,Sync!$W1045))</f>
        <v/>
      </c>
      <c r="AO1045">
        <f>IF($AE1045="","",IF(Sync!$X1045="",0,Sync!$X1045))</f>
        <v/>
      </c>
      <c r="AP1045">
        <f>IF($AE1045="","",Sync!$R1045)</f>
        <v/>
      </c>
      <c r="AQ1045">
        <f>IF($AE1045="","",Sync!$Y1045)</f>
        <v/>
      </c>
    </row>
    <row r="1046">
      <c r="A1046">
        <f>IF(OR(Wages!$B1049="",Wages!$E1049=""),"",Wages!$E1049)</f>
        <v/>
      </c>
      <c r="B1046">
        <f>IF($A1046="","",IF(Wages!$C1049="دستمزد گروهی",2,1))</f>
        <v/>
      </c>
      <c r="C1046">
        <f>IF($A1046="","",IF(ISNUMBER(Wages!$B1049),IF(AND(Wages!$B1049&gt;=10000101,Wages!$B1049&lt;=99991231),INT(Wages!$B1049/10000),""),IFERROR(VALUE(TRIM(LEFT(Wages!$B1049,FIND("/",Wages!$B1049)-1))),"")))</f>
        <v/>
      </c>
      <c r="D1046">
        <f>IF(OR($A1046="",$C1046=""),"",IF(ISNUMBER(Wages!$B1049),INT(MOD(Wages!$B1049,10000)/100),IFERROR(VALUE(TRIM(LEFT(MID(Wages!$B1049,FIND("/",Wages!$B1049)+1,20),FIND("/",MID(Wages!$B1049,FIND("/",Wages!$B1049)+1,20))-1))),"")))</f>
        <v/>
      </c>
      <c r="E1046">
        <f>IF(OR($A1046="",$C1046=""),"",IF(ISNUMBER(Wages!$B1049),MOD(Wages!$B1049,100),IFERROR(VALUE(TRIM(MID(MID(Wages!$B1049,FIND("/",Wages!$B1049)+1,20),FIND("/",MID(Wages!$B1049,FIND("/",Wages!$B1049)+1,20))+1,20))),"")))</f>
        <v/>
      </c>
      <c r="F1046">
        <f>IF($A1046="","",IF(OR($C1046="",$D1046="",$E1046="",$C1046&lt;1300,$C1046&gt;1500,$D1046&lt;1,$D1046&gt;12,$E1046&lt;1,$E1046&gt;31),"نامعتبر",RIGHT("0000"&amp;$C1046,4)&amp;"/"&amp;RIGHT("00"&amp;$D1046,2)&amp;"/"&amp;RIGHT("00"&amp;$E1046,2)))</f>
        <v/>
      </c>
      <c r="G1046">
        <f>IF(OR($A1046="",$F1046="",$F1046="نامعتبر"),"",LEFT($F1046,4)&amp;MID($F1046,6,2)&amp;RIGHT($F1046,2)&amp;"0000"&amp;"|"&amp;"1"&amp;RIGHT("00000"&amp;1041,5))</f>
        <v/>
      </c>
      <c r="H1046">
        <f>IF(OR($B1046&lt;&gt;1,$G1046=""),"",COUNTIFS(LdAParty,$A1046,LdAType,1,LdAKey,"&lt;"&amp;$G1046)+COUNTIFS(LdBMember,$A1046,LdBKey,"&lt;"&amp;$G1046)+COUNTIFS(LdCParty,$A1046,LdCKey,"&lt;"&amp;$G1046)+1)</f>
        <v/>
      </c>
      <c r="I1046">
        <f>IF($H1046="","",$A1046&amp;"|"&amp;RIGHT("000000"&amp;$H1046,6))</f>
        <v/>
      </c>
      <c r="J1046">
        <f>IF(OR($B1046&lt;&gt;2,$G1046=""),"",COUNTIFS(LdAParty,$A1046,LdAType,2,LdAKey,"&lt;"&amp;$G1046)+1)</f>
        <v/>
      </c>
      <c r="K1046">
        <f>IF($J1046="","",$A1046&amp;"|"&amp;RIGHT("000000"&amp;$J1046,6))</f>
        <v/>
      </c>
      <c r="L1046">
        <f>IF($A1046="","",IF(Wages!$G1049="",0,Wages!$G1049))</f>
        <v/>
      </c>
      <c r="M1046">
        <f>IF($A1046="","",Wages!$J1049)</f>
        <v/>
      </c>
      <c r="N1046">
        <f>IF($A1046="","",Wages!$D1049)</f>
        <v/>
      </c>
      <c r="P1046">
        <f>IF(OR(Shares!$B1049="",Shares!$C1049=""),"",Shares!$C1049)</f>
        <v/>
      </c>
      <c r="Q1046">
        <f>IF($P1046="","",Shares!$B1049)</f>
        <v/>
      </c>
      <c r="R1046">
        <f>IF($P1046="","",IFERROR(INDEX(WageParty,MATCH($Q1046,WageIds,0)),""))</f>
        <v/>
      </c>
      <c r="S1046">
        <f>IF($P1046="","",IFERROR(INDEX($F$6:$F$2005,MATCH($Q1046,WageIds,0)),""))</f>
        <v/>
      </c>
      <c r="T1046">
        <f>IF(OR($P1046="",$S1046="",$S1046="نامعتبر"),"",LEFT($S1046,4)&amp;MID($S1046,6,2)&amp;RIGHT($S1046,2)&amp;"0000"&amp;"|"&amp;"2"&amp;RIGHT("00000"&amp;1041,5))</f>
        <v/>
      </c>
      <c r="U1046">
        <f>IF($T1046="","",COUNTIFS(LdAParty,$P1046,LdAType,1,LdAKey,"&lt;"&amp;$T1046)+COUNTIFS(LdBMember,$P1046,LdBKey,"&lt;"&amp;$T1046)+COUNTIFS(LdCParty,$P1046,LdCKey,"&lt;"&amp;$T1046)+1)</f>
        <v/>
      </c>
      <c r="V1046">
        <f>IF($U1046="","",$P1046&amp;"|"&amp;RIGHT("000000"&amp;$U1046,6))</f>
        <v/>
      </c>
      <c r="W1046">
        <f>IF($T1046="","",COUNTIFS(LdBGroup,$R1046,LdBKey,"&lt;"&amp;$T1046)+1)</f>
        <v/>
      </c>
      <c r="X1046">
        <f>IF($W1046="","",$R1046&amp;"|"&amp;RIGHT("000000"&amp;$W1046,6))</f>
        <v/>
      </c>
      <c r="Y1046">
        <f>IF($P1046="","",IF(Shares!$E1049="",0,Shares!$E1049))</f>
        <v/>
      </c>
      <c r="Z1046">
        <f>IF($P1046="","",Shares!$H1049)</f>
        <v/>
      </c>
      <c r="AE1046">
        <f>IF(OR(Sync!$S1046="",Sync!$P1046=""),"",Sync!$S1046)</f>
        <v/>
      </c>
      <c r="AF1046">
        <f>IF($AE1046="","",IF(ISNUMBER(Sync!$P1046),IF(AND(Sync!$P1046&gt;=10000101,Sync!$P1046&lt;=99991231),INT(Sync!$P1046/10000),""),IFERROR(VALUE(TRIM(LEFT(Sync!$P1046,FIND("/",Sync!$P1046)-1))),"")))</f>
        <v/>
      </c>
      <c r="AG1046">
        <f>IF(OR($AE1046="",$AF1046=""),"",IF(ISNUMBER(Sync!$P1046),INT(MOD(Sync!$P1046,10000)/100),IFERROR(VALUE(TRIM(LEFT(MID(Sync!$P1046,FIND("/",Sync!$P1046)+1,20),FIND("/",MID(Sync!$P1046,FIND("/",Sync!$P1046)+1,20))-1))),"")))</f>
        <v/>
      </c>
      <c r="AH1046">
        <f>IF(OR($AE1046="",$AF1046=""),"",IF(ISNUMBER(Sync!$P1046),MOD(Sync!$P1046,100),IFERROR(VALUE(TRIM(MID(MID(Sync!$P1046,FIND("/",Sync!$P1046)+1,20),FIND("/",MID(Sync!$P1046,FIND("/",Sync!$P1046)+1,20))+1,20))),"")))</f>
        <v/>
      </c>
      <c r="AI1046">
        <f>IF($AE1046="","",IF(OR($AF1046="",$AG1046="",$AH1046="",$AF1046&lt;1300,$AF1046&gt;1500,$AG1046&lt;1,$AG1046&gt;12,$AH1046&lt;1,$AH1046&gt;31),"نامعتبر",RIGHT("0000"&amp;$AF1046,4)&amp;"/"&amp;RIGHT("00"&amp;$AG1046,2)&amp;"/"&amp;RIGHT("00"&amp;$AH1046,2)))</f>
        <v/>
      </c>
      <c r="AJ1046">
        <f>IF($AE1046="","",IF(Sync!$Q1046="","0000",IF(AND(ISNUMBER(Sync!$Q1046),Sync!$Q1046&gt;=0,Sync!$Q1046&lt;1),RIGHT("00"&amp;HOUR(Sync!$Q1046),2)&amp;RIGHT("00"&amp;MINUTE(Sync!$Q1046),2),IFERROR(RIGHT("00"&amp;VALUE(LEFT(Sync!$Q1046,FIND(":",Sync!$Q1046)-1)),2)&amp;RIGHT("00"&amp;VALUE(MID(Sync!$Q1046,FIND(":",Sync!$Q1046)+1,2)),2),"0000"))))</f>
        <v/>
      </c>
      <c r="AK1046">
        <f>IF(OR($AE1046="",$AI1046="",$AI1046="نامعتبر"),"",LEFT($AI1046,4)&amp;MID($AI1046,6,2)&amp;RIGHT($AI1046,2)&amp;$AJ1046&amp;"|"&amp;"3"&amp;RIGHT("00000"&amp;1041,5))</f>
        <v/>
      </c>
      <c r="AL1046">
        <f>IF($AK1046="","",COUNTIFS(LdAParty,$AE1046,LdAType,1,LdAKey,"&lt;"&amp;$AK1046)+COUNTIFS(LdBMember,$AE1046,LdBKey,"&lt;"&amp;$AK1046)+COUNTIFS(LdCParty,$AE1046,LdCKey,"&lt;"&amp;$AK1046)+1)</f>
        <v/>
      </c>
      <c r="AM1046">
        <f>IF($AL1046="","",$AE1046&amp;"|"&amp;RIGHT("000000"&amp;$AL1046,6))</f>
        <v/>
      </c>
      <c r="AN1046">
        <f>IF($AE1046="","",IF(Sync!$W1046="",0,Sync!$W1046))</f>
        <v/>
      </c>
      <c r="AO1046">
        <f>IF($AE1046="","",IF(Sync!$X1046="",0,Sync!$X1046))</f>
        <v/>
      </c>
      <c r="AP1046">
        <f>IF($AE1046="","",Sync!$R1046)</f>
        <v/>
      </c>
      <c r="AQ1046">
        <f>IF($AE1046="","",Sync!$Y1046)</f>
        <v/>
      </c>
    </row>
    <row r="1047">
      <c r="A1047">
        <f>IF(OR(Wages!$B1050="",Wages!$E1050=""),"",Wages!$E1050)</f>
        <v/>
      </c>
      <c r="B1047">
        <f>IF($A1047="","",IF(Wages!$C1050="دستمزد گروهی",2,1))</f>
        <v/>
      </c>
      <c r="C1047">
        <f>IF($A1047="","",IF(ISNUMBER(Wages!$B1050),IF(AND(Wages!$B1050&gt;=10000101,Wages!$B1050&lt;=99991231),INT(Wages!$B1050/10000),""),IFERROR(VALUE(TRIM(LEFT(Wages!$B1050,FIND("/",Wages!$B1050)-1))),"")))</f>
        <v/>
      </c>
      <c r="D1047">
        <f>IF(OR($A1047="",$C1047=""),"",IF(ISNUMBER(Wages!$B1050),INT(MOD(Wages!$B1050,10000)/100),IFERROR(VALUE(TRIM(LEFT(MID(Wages!$B1050,FIND("/",Wages!$B1050)+1,20),FIND("/",MID(Wages!$B1050,FIND("/",Wages!$B1050)+1,20))-1))),"")))</f>
        <v/>
      </c>
      <c r="E1047">
        <f>IF(OR($A1047="",$C1047=""),"",IF(ISNUMBER(Wages!$B1050),MOD(Wages!$B1050,100),IFERROR(VALUE(TRIM(MID(MID(Wages!$B1050,FIND("/",Wages!$B1050)+1,20),FIND("/",MID(Wages!$B1050,FIND("/",Wages!$B1050)+1,20))+1,20))),"")))</f>
        <v/>
      </c>
      <c r="F1047">
        <f>IF($A1047="","",IF(OR($C1047="",$D1047="",$E1047="",$C1047&lt;1300,$C1047&gt;1500,$D1047&lt;1,$D1047&gt;12,$E1047&lt;1,$E1047&gt;31),"نامعتبر",RIGHT("0000"&amp;$C1047,4)&amp;"/"&amp;RIGHT("00"&amp;$D1047,2)&amp;"/"&amp;RIGHT("00"&amp;$E1047,2)))</f>
        <v/>
      </c>
      <c r="G1047">
        <f>IF(OR($A1047="",$F1047="",$F1047="نامعتبر"),"",LEFT($F1047,4)&amp;MID($F1047,6,2)&amp;RIGHT($F1047,2)&amp;"0000"&amp;"|"&amp;"1"&amp;RIGHT("00000"&amp;1042,5))</f>
        <v/>
      </c>
      <c r="H1047">
        <f>IF(OR($B1047&lt;&gt;1,$G1047=""),"",COUNTIFS(LdAParty,$A1047,LdAType,1,LdAKey,"&lt;"&amp;$G1047)+COUNTIFS(LdBMember,$A1047,LdBKey,"&lt;"&amp;$G1047)+COUNTIFS(LdCParty,$A1047,LdCKey,"&lt;"&amp;$G1047)+1)</f>
        <v/>
      </c>
      <c r="I1047">
        <f>IF($H1047="","",$A1047&amp;"|"&amp;RIGHT("000000"&amp;$H1047,6))</f>
        <v/>
      </c>
      <c r="J1047">
        <f>IF(OR($B1047&lt;&gt;2,$G1047=""),"",COUNTIFS(LdAParty,$A1047,LdAType,2,LdAKey,"&lt;"&amp;$G1047)+1)</f>
        <v/>
      </c>
      <c r="K1047">
        <f>IF($J1047="","",$A1047&amp;"|"&amp;RIGHT("000000"&amp;$J1047,6))</f>
        <v/>
      </c>
      <c r="L1047">
        <f>IF($A1047="","",IF(Wages!$G1050="",0,Wages!$G1050))</f>
        <v/>
      </c>
      <c r="M1047">
        <f>IF($A1047="","",Wages!$J1050)</f>
        <v/>
      </c>
      <c r="N1047">
        <f>IF($A1047="","",Wages!$D1050)</f>
        <v/>
      </c>
      <c r="P1047">
        <f>IF(OR(Shares!$B1050="",Shares!$C1050=""),"",Shares!$C1050)</f>
        <v/>
      </c>
      <c r="Q1047">
        <f>IF($P1047="","",Shares!$B1050)</f>
        <v/>
      </c>
      <c r="R1047">
        <f>IF($P1047="","",IFERROR(INDEX(WageParty,MATCH($Q1047,WageIds,0)),""))</f>
        <v/>
      </c>
      <c r="S1047">
        <f>IF($P1047="","",IFERROR(INDEX($F$6:$F$2005,MATCH($Q1047,WageIds,0)),""))</f>
        <v/>
      </c>
      <c r="T1047">
        <f>IF(OR($P1047="",$S1047="",$S1047="نامعتبر"),"",LEFT($S1047,4)&amp;MID($S1047,6,2)&amp;RIGHT($S1047,2)&amp;"0000"&amp;"|"&amp;"2"&amp;RIGHT("00000"&amp;1042,5))</f>
        <v/>
      </c>
      <c r="U1047">
        <f>IF($T1047="","",COUNTIFS(LdAParty,$P1047,LdAType,1,LdAKey,"&lt;"&amp;$T1047)+COUNTIFS(LdBMember,$P1047,LdBKey,"&lt;"&amp;$T1047)+COUNTIFS(LdCParty,$P1047,LdCKey,"&lt;"&amp;$T1047)+1)</f>
        <v/>
      </c>
      <c r="V1047">
        <f>IF($U1047="","",$P1047&amp;"|"&amp;RIGHT("000000"&amp;$U1047,6))</f>
        <v/>
      </c>
      <c r="W1047">
        <f>IF($T1047="","",COUNTIFS(LdBGroup,$R1047,LdBKey,"&lt;"&amp;$T1047)+1)</f>
        <v/>
      </c>
      <c r="X1047">
        <f>IF($W1047="","",$R1047&amp;"|"&amp;RIGHT("000000"&amp;$W1047,6))</f>
        <v/>
      </c>
      <c r="Y1047">
        <f>IF($P1047="","",IF(Shares!$E1050="",0,Shares!$E1050))</f>
        <v/>
      </c>
      <c r="Z1047">
        <f>IF($P1047="","",Shares!$H1050)</f>
        <v/>
      </c>
      <c r="AE1047">
        <f>IF(OR(Sync!$S1047="",Sync!$P1047=""),"",Sync!$S1047)</f>
        <v/>
      </c>
      <c r="AF1047">
        <f>IF($AE1047="","",IF(ISNUMBER(Sync!$P1047),IF(AND(Sync!$P1047&gt;=10000101,Sync!$P1047&lt;=99991231),INT(Sync!$P1047/10000),""),IFERROR(VALUE(TRIM(LEFT(Sync!$P1047,FIND("/",Sync!$P1047)-1))),"")))</f>
        <v/>
      </c>
      <c r="AG1047">
        <f>IF(OR($AE1047="",$AF1047=""),"",IF(ISNUMBER(Sync!$P1047),INT(MOD(Sync!$P1047,10000)/100),IFERROR(VALUE(TRIM(LEFT(MID(Sync!$P1047,FIND("/",Sync!$P1047)+1,20),FIND("/",MID(Sync!$P1047,FIND("/",Sync!$P1047)+1,20))-1))),"")))</f>
        <v/>
      </c>
      <c r="AH1047">
        <f>IF(OR($AE1047="",$AF1047=""),"",IF(ISNUMBER(Sync!$P1047),MOD(Sync!$P1047,100),IFERROR(VALUE(TRIM(MID(MID(Sync!$P1047,FIND("/",Sync!$P1047)+1,20),FIND("/",MID(Sync!$P1047,FIND("/",Sync!$P1047)+1,20))+1,20))),"")))</f>
        <v/>
      </c>
      <c r="AI1047">
        <f>IF($AE1047="","",IF(OR($AF1047="",$AG1047="",$AH1047="",$AF1047&lt;1300,$AF1047&gt;1500,$AG1047&lt;1,$AG1047&gt;12,$AH1047&lt;1,$AH1047&gt;31),"نامعتبر",RIGHT("0000"&amp;$AF1047,4)&amp;"/"&amp;RIGHT("00"&amp;$AG1047,2)&amp;"/"&amp;RIGHT("00"&amp;$AH1047,2)))</f>
        <v/>
      </c>
      <c r="AJ1047">
        <f>IF($AE1047="","",IF(Sync!$Q1047="","0000",IF(AND(ISNUMBER(Sync!$Q1047),Sync!$Q1047&gt;=0,Sync!$Q1047&lt;1),RIGHT("00"&amp;HOUR(Sync!$Q1047),2)&amp;RIGHT("00"&amp;MINUTE(Sync!$Q1047),2),IFERROR(RIGHT("00"&amp;VALUE(LEFT(Sync!$Q1047,FIND(":",Sync!$Q1047)-1)),2)&amp;RIGHT("00"&amp;VALUE(MID(Sync!$Q1047,FIND(":",Sync!$Q1047)+1,2)),2),"0000"))))</f>
        <v/>
      </c>
      <c r="AK1047">
        <f>IF(OR($AE1047="",$AI1047="",$AI1047="نامعتبر"),"",LEFT($AI1047,4)&amp;MID($AI1047,6,2)&amp;RIGHT($AI1047,2)&amp;$AJ1047&amp;"|"&amp;"3"&amp;RIGHT("00000"&amp;1042,5))</f>
        <v/>
      </c>
      <c r="AL1047">
        <f>IF($AK1047="","",COUNTIFS(LdAParty,$AE1047,LdAType,1,LdAKey,"&lt;"&amp;$AK1047)+COUNTIFS(LdBMember,$AE1047,LdBKey,"&lt;"&amp;$AK1047)+COUNTIFS(LdCParty,$AE1047,LdCKey,"&lt;"&amp;$AK1047)+1)</f>
        <v/>
      </c>
      <c r="AM1047">
        <f>IF($AL1047="","",$AE1047&amp;"|"&amp;RIGHT("000000"&amp;$AL1047,6))</f>
        <v/>
      </c>
      <c r="AN1047">
        <f>IF($AE1047="","",IF(Sync!$W1047="",0,Sync!$W1047))</f>
        <v/>
      </c>
      <c r="AO1047">
        <f>IF($AE1047="","",IF(Sync!$X1047="",0,Sync!$X1047))</f>
        <v/>
      </c>
      <c r="AP1047">
        <f>IF($AE1047="","",Sync!$R1047)</f>
        <v/>
      </c>
      <c r="AQ1047">
        <f>IF($AE1047="","",Sync!$Y1047)</f>
        <v/>
      </c>
    </row>
    <row r="1048">
      <c r="A1048">
        <f>IF(OR(Wages!$B1051="",Wages!$E1051=""),"",Wages!$E1051)</f>
        <v/>
      </c>
      <c r="B1048">
        <f>IF($A1048="","",IF(Wages!$C1051="دستمزد گروهی",2,1))</f>
        <v/>
      </c>
      <c r="C1048">
        <f>IF($A1048="","",IF(ISNUMBER(Wages!$B1051),IF(AND(Wages!$B1051&gt;=10000101,Wages!$B1051&lt;=99991231),INT(Wages!$B1051/10000),""),IFERROR(VALUE(TRIM(LEFT(Wages!$B1051,FIND("/",Wages!$B1051)-1))),"")))</f>
        <v/>
      </c>
      <c r="D1048">
        <f>IF(OR($A1048="",$C1048=""),"",IF(ISNUMBER(Wages!$B1051),INT(MOD(Wages!$B1051,10000)/100),IFERROR(VALUE(TRIM(LEFT(MID(Wages!$B1051,FIND("/",Wages!$B1051)+1,20),FIND("/",MID(Wages!$B1051,FIND("/",Wages!$B1051)+1,20))-1))),"")))</f>
        <v/>
      </c>
      <c r="E1048">
        <f>IF(OR($A1048="",$C1048=""),"",IF(ISNUMBER(Wages!$B1051),MOD(Wages!$B1051,100),IFERROR(VALUE(TRIM(MID(MID(Wages!$B1051,FIND("/",Wages!$B1051)+1,20),FIND("/",MID(Wages!$B1051,FIND("/",Wages!$B1051)+1,20))+1,20))),"")))</f>
        <v/>
      </c>
      <c r="F1048">
        <f>IF($A1048="","",IF(OR($C1048="",$D1048="",$E1048="",$C1048&lt;1300,$C1048&gt;1500,$D1048&lt;1,$D1048&gt;12,$E1048&lt;1,$E1048&gt;31),"نامعتبر",RIGHT("0000"&amp;$C1048,4)&amp;"/"&amp;RIGHT("00"&amp;$D1048,2)&amp;"/"&amp;RIGHT("00"&amp;$E1048,2)))</f>
        <v/>
      </c>
      <c r="G1048">
        <f>IF(OR($A1048="",$F1048="",$F1048="نامعتبر"),"",LEFT($F1048,4)&amp;MID($F1048,6,2)&amp;RIGHT($F1048,2)&amp;"0000"&amp;"|"&amp;"1"&amp;RIGHT("00000"&amp;1043,5))</f>
        <v/>
      </c>
      <c r="H1048">
        <f>IF(OR($B1048&lt;&gt;1,$G1048=""),"",COUNTIFS(LdAParty,$A1048,LdAType,1,LdAKey,"&lt;"&amp;$G1048)+COUNTIFS(LdBMember,$A1048,LdBKey,"&lt;"&amp;$G1048)+COUNTIFS(LdCParty,$A1048,LdCKey,"&lt;"&amp;$G1048)+1)</f>
        <v/>
      </c>
      <c r="I1048">
        <f>IF($H1048="","",$A1048&amp;"|"&amp;RIGHT("000000"&amp;$H1048,6))</f>
        <v/>
      </c>
      <c r="J1048">
        <f>IF(OR($B1048&lt;&gt;2,$G1048=""),"",COUNTIFS(LdAParty,$A1048,LdAType,2,LdAKey,"&lt;"&amp;$G1048)+1)</f>
        <v/>
      </c>
      <c r="K1048">
        <f>IF($J1048="","",$A1048&amp;"|"&amp;RIGHT("000000"&amp;$J1048,6))</f>
        <v/>
      </c>
      <c r="L1048">
        <f>IF($A1048="","",IF(Wages!$G1051="",0,Wages!$G1051))</f>
        <v/>
      </c>
      <c r="M1048">
        <f>IF($A1048="","",Wages!$J1051)</f>
        <v/>
      </c>
      <c r="N1048">
        <f>IF($A1048="","",Wages!$D1051)</f>
        <v/>
      </c>
      <c r="P1048">
        <f>IF(OR(Shares!$B1051="",Shares!$C1051=""),"",Shares!$C1051)</f>
        <v/>
      </c>
      <c r="Q1048">
        <f>IF($P1048="","",Shares!$B1051)</f>
        <v/>
      </c>
      <c r="R1048">
        <f>IF($P1048="","",IFERROR(INDEX(WageParty,MATCH($Q1048,WageIds,0)),""))</f>
        <v/>
      </c>
      <c r="S1048">
        <f>IF($P1048="","",IFERROR(INDEX($F$6:$F$2005,MATCH($Q1048,WageIds,0)),""))</f>
        <v/>
      </c>
      <c r="T1048">
        <f>IF(OR($P1048="",$S1048="",$S1048="نامعتبر"),"",LEFT($S1048,4)&amp;MID($S1048,6,2)&amp;RIGHT($S1048,2)&amp;"0000"&amp;"|"&amp;"2"&amp;RIGHT("00000"&amp;1043,5))</f>
        <v/>
      </c>
      <c r="U1048">
        <f>IF($T1048="","",COUNTIFS(LdAParty,$P1048,LdAType,1,LdAKey,"&lt;"&amp;$T1048)+COUNTIFS(LdBMember,$P1048,LdBKey,"&lt;"&amp;$T1048)+COUNTIFS(LdCParty,$P1048,LdCKey,"&lt;"&amp;$T1048)+1)</f>
        <v/>
      </c>
      <c r="V1048">
        <f>IF($U1048="","",$P1048&amp;"|"&amp;RIGHT("000000"&amp;$U1048,6))</f>
        <v/>
      </c>
      <c r="W1048">
        <f>IF($T1048="","",COUNTIFS(LdBGroup,$R1048,LdBKey,"&lt;"&amp;$T1048)+1)</f>
        <v/>
      </c>
      <c r="X1048">
        <f>IF($W1048="","",$R1048&amp;"|"&amp;RIGHT("000000"&amp;$W1048,6))</f>
        <v/>
      </c>
      <c r="Y1048">
        <f>IF($P1048="","",IF(Shares!$E1051="",0,Shares!$E1051))</f>
        <v/>
      </c>
      <c r="Z1048">
        <f>IF($P1048="","",Shares!$H1051)</f>
        <v/>
      </c>
      <c r="AE1048">
        <f>IF(OR(Sync!$S1048="",Sync!$P1048=""),"",Sync!$S1048)</f>
        <v/>
      </c>
      <c r="AF1048">
        <f>IF($AE1048="","",IF(ISNUMBER(Sync!$P1048),IF(AND(Sync!$P1048&gt;=10000101,Sync!$P1048&lt;=99991231),INT(Sync!$P1048/10000),""),IFERROR(VALUE(TRIM(LEFT(Sync!$P1048,FIND("/",Sync!$P1048)-1))),"")))</f>
        <v/>
      </c>
      <c r="AG1048">
        <f>IF(OR($AE1048="",$AF1048=""),"",IF(ISNUMBER(Sync!$P1048),INT(MOD(Sync!$P1048,10000)/100),IFERROR(VALUE(TRIM(LEFT(MID(Sync!$P1048,FIND("/",Sync!$P1048)+1,20),FIND("/",MID(Sync!$P1048,FIND("/",Sync!$P1048)+1,20))-1))),"")))</f>
        <v/>
      </c>
      <c r="AH1048">
        <f>IF(OR($AE1048="",$AF1048=""),"",IF(ISNUMBER(Sync!$P1048),MOD(Sync!$P1048,100),IFERROR(VALUE(TRIM(MID(MID(Sync!$P1048,FIND("/",Sync!$P1048)+1,20),FIND("/",MID(Sync!$P1048,FIND("/",Sync!$P1048)+1,20))+1,20))),"")))</f>
        <v/>
      </c>
      <c r="AI1048">
        <f>IF($AE1048="","",IF(OR($AF1048="",$AG1048="",$AH1048="",$AF1048&lt;1300,$AF1048&gt;1500,$AG1048&lt;1,$AG1048&gt;12,$AH1048&lt;1,$AH1048&gt;31),"نامعتبر",RIGHT("0000"&amp;$AF1048,4)&amp;"/"&amp;RIGHT("00"&amp;$AG1048,2)&amp;"/"&amp;RIGHT("00"&amp;$AH1048,2)))</f>
        <v/>
      </c>
      <c r="AJ1048">
        <f>IF($AE1048="","",IF(Sync!$Q1048="","0000",IF(AND(ISNUMBER(Sync!$Q1048),Sync!$Q1048&gt;=0,Sync!$Q1048&lt;1),RIGHT("00"&amp;HOUR(Sync!$Q1048),2)&amp;RIGHT("00"&amp;MINUTE(Sync!$Q1048),2),IFERROR(RIGHT("00"&amp;VALUE(LEFT(Sync!$Q1048,FIND(":",Sync!$Q1048)-1)),2)&amp;RIGHT("00"&amp;VALUE(MID(Sync!$Q1048,FIND(":",Sync!$Q1048)+1,2)),2),"0000"))))</f>
        <v/>
      </c>
      <c r="AK1048">
        <f>IF(OR($AE1048="",$AI1048="",$AI1048="نامعتبر"),"",LEFT($AI1048,4)&amp;MID($AI1048,6,2)&amp;RIGHT($AI1048,2)&amp;$AJ1048&amp;"|"&amp;"3"&amp;RIGHT("00000"&amp;1043,5))</f>
        <v/>
      </c>
      <c r="AL1048">
        <f>IF($AK1048="","",COUNTIFS(LdAParty,$AE1048,LdAType,1,LdAKey,"&lt;"&amp;$AK1048)+COUNTIFS(LdBMember,$AE1048,LdBKey,"&lt;"&amp;$AK1048)+COUNTIFS(LdCParty,$AE1048,LdCKey,"&lt;"&amp;$AK1048)+1)</f>
        <v/>
      </c>
      <c r="AM1048">
        <f>IF($AL1048="","",$AE1048&amp;"|"&amp;RIGHT("000000"&amp;$AL1048,6))</f>
        <v/>
      </c>
      <c r="AN1048">
        <f>IF($AE1048="","",IF(Sync!$W1048="",0,Sync!$W1048))</f>
        <v/>
      </c>
      <c r="AO1048">
        <f>IF($AE1048="","",IF(Sync!$X1048="",0,Sync!$X1048))</f>
        <v/>
      </c>
      <c r="AP1048">
        <f>IF($AE1048="","",Sync!$R1048)</f>
        <v/>
      </c>
      <c r="AQ1048">
        <f>IF($AE1048="","",Sync!$Y1048)</f>
        <v/>
      </c>
    </row>
    <row r="1049">
      <c r="A1049">
        <f>IF(OR(Wages!$B1052="",Wages!$E1052=""),"",Wages!$E1052)</f>
        <v/>
      </c>
      <c r="B1049">
        <f>IF($A1049="","",IF(Wages!$C1052="دستمزد گروهی",2,1))</f>
        <v/>
      </c>
      <c r="C1049">
        <f>IF($A1049="","",IF(ISNUMBER(Wages!$B1052),IF(AND(Wages!$B1052&gt;=10000101,Wages!$B1052&lt;=99991231),INT(Wages!$B1052/10000),""),IFERROR(VALUE(TRIM(LEFT(Wages!$B1052,FIND("/",Wages!$B1052)-1))),"")))</f>
        <v/>
      </c>
      <c r="D1049">
        <f>IF(OR($A1049="",$C1049=""),"",IF(ISNUMBER(Wages!$B1052),INT(MOD(Wages!$B1052,10000)/100),IFERROR(VALUE(TRIM(LEFT(MID(Wages!$B1052,FIND("/",Wages!$B1052)+1,20),FIND("/",MID(Wages!$B1052,FIND("/",Wages!$B1052)+1,20))-1))),"")))</f>
        <v/>
      </c>
      <c r="E1049">
        <f>IF(OR($A1049="",$C1049=""),"",IF(ISNUMBER(Wages!$B1052),MOD(Wages!$B1052,100),IFERROR(VALUE(TRIM(MID(MID(Wages!$B1052,FIND("/",Wages!$B1052)+1,20),FIND("/",MID(Wages!$B1052,FIND("/",Wages!$B1052)+1,20))+1,20))),"")))</f>
        <v/>
      </c>
      <c r="F1049">
        <f>IF($A1049="","",IF(OR($C1049="",$D1049="",$E1049="",$C1049&lt;1300,$C1049&gt;1500,$D1049&lt;1,$D1049&gt;12,$E1049&lt;1,$E1049&gt;31),"نامعتبر",RIGHT("0000"&amp;$C1049,4)&amp;"/"&amp;RIGHT("00"&amp;$D1049,2)&amp;"/"&amp;RIGHT("00"&amp;$E1049,2)))</f>
        <v/>
      </c>
      <c r="G1049">
        <f>IF(OR($A1049="",$F1049="",$F1049="نامعتبر"),"",LEFT($F1049,4)&amp;MID($F1049,6,2)&amp;RIGHT($F1049,2)&amp;"0000"&amp;"|"&amp;"1"&amp;RIGHT("00000"&amp;1044,5))</f>
        <v/>
      </c>
      <c r="H1049">
        <f>IF(OR($B1049&lt;&gt;1,$G1049=""),"",COUNTIFS(LdAParty,$A1049,LdAType,1,LdAKey,"&lt;"&amp;$G1049)+COUNTIFS(LdBMember,$A1049,LdBKey,"&lt;"&amp;$G1049)+COUNTIFS(LdCParty,$A1049,LdCKey,"&lt;"&amp;$G1049)+1)</f>
        <v/>
      </c>
      <c r="I1049">
        <f>IF($H1049="","",$A1049&amp;"|"&amp;RIGHT("000000"&amp;$H1049,6))</f>
        <v/>
      </c>
      <c r="J1049">
        <f>IF(OR($B1049&lt;&gt;2,$G1049=""),"",COUNTIFS(LdAParty,$A1049,LdAType,2,LdAKey,"&lt;"&amp;$G1049)+1)</f>
        <v/>
      </c>
      <c r="K1049">
        <f>IF($J1049="","",$A1049&amp;"|"&amp;RIGHT("000000"&amp;$J1049,6))</f>
        <v/>
      </c>
      <c r="L1049">
        <f>IF($A1049="","",IF(Wages!$G1052="",0,Wages!$G1052))</f>
        <v/>
      </c>
      <c r="M1049">
        <f>IF($A1049="","",Wages!$J1052)</f>
        <v/>
      </c>
      <c r="N1049">
        <f>IF($A1049="","",Wages!$D1052)</f>
        <v/>
      </c>
      <c r="P1049">
        <f>IF(OR(Shares!$B1052="",Shares!$C1052=""),"",Shares!$C1052)</f>
        <v/>
      </c>
      <c r="Q1049">
        <f>IF($P1049="","",Shares!$B1052)</f>
        <v/>
      </c>
      <c r="R1049">
        <f>IF($P1049="","",IFERROR(INDEX(WageParty,MATCH($Q1049,WageIds,0)),""))</f>
        <v/>
      </c>
      <c r="S1049">
        <f>IF($P1049="","",IFERROR(INDEX($F$6:$F$2005,MATCH($Q1049,WageIds,0)),""))</f>
        <v/>
      </c>
      <c r="T1049">
        <f>IF(OR($P1049="",$S1049="",$S1049="نامعتبر"),"",LEFT($S1049,4)&amp;MID($S1049,6,2)&amp;RIGHT($S1049,2)&amp;"0000"&amp;"|"&amp;"2"&amp;RIGHT("00000"&amp;1044,5))</f>
        <v/>
      </c>
      <c r="U1049">
        <f>IF($T1049="","",COUNTIFS(LdAParty,$P1049,LdAType,1,LdAKey,"&lt;"&amp;$T1049)+COUNTIFS(LdBMember,$P1049,LdBKey,"&lt;"&amp;$T1049)+COUNTIFS(LdCParty,$P1049,LdCKey,"&lt;"&amp;$T1049)+1)</f>
        <v/>
      </c>
      <c r="V1049">
        <f>IF($U1049="","",$P1049&amp;"|"&amp;RIGHT("000000"&amp;$U1049,6))</f>
        <v/>
      </c>
      <c r="W1049">
        <f>IF($T1049="","",COUNTIFS(LdBGroup,$R1049,LdBKey,"&lt;"&amp;$T1049)+1)</f>
        <v/>
      </c>
      <c r="X1049">
        <f>IF($W1049="","",$R1049&amp;"|"&amp;RIGHT("000000"&amp;$W1049,6))</f>
        <v/>
      </c>
      <c r="Y1049">
        <f>IF($P1049="","",IF(Shares!$E1052="",0,Shares!$E1052))</f>
        <v/>
      </c>
      <c r="Z1049">
        <f>IF($P1049="","",Shares!$H1052)</f>
        <v/>
      </c>
      <c r="AE1049">
        <f>IF(OR(Sync!$S1049="",Sync!$P1049=""),"",Sync!$S1049)</f>
        <v/>
      </c>
      <c r="AF1049">
        <f>IF($AE1049="","",IF(ISNUMBER(Sync!$P1049),IF(AND(Sync!$P1049&gt;=10000101,Sync!$P1049&lt;=99991231),INT(Sync!$P1049/10000),""),IFERROR(VALUE(TRIM(LEFT(Sync!$P1049,FIND("/",Sync!$P1049)-1))),"")))</f>
        <v/>
      </c>
      <c r="AG1049">
        <f>IF(OR($AE1049="",$AF1049=""),"",IF(ISNUMBER(Sync!$P1049),INT(MOD(Sync!$P1049,10000)/100),IFERROR(VALUE(TRIM(LEFT(MID(Sync!$P1049,FIND("/",Sync!$P1049)+1,20),FIND("/",MID(Sync!$P1049,FIND("/",Sync!$P1049)+1,20))-1))),"")))</f>
        <v/>
      </c>
      <c r="AH1049">
        <f>IF(OR($AE1049="",$AF1049=""),"",IF(ISNUMBER(Sync!$P1049),MOD(Sync!$P1049,100),IFERROR(VALUE(TRIM(MID(MID(Sync!$P1049,FIND("/",Sync!$P1049)+1,20),FIND("/",MID(Sync!$P1049,FIND("/",Sync!$P1049)+1,20))+1,20))),"")))</f>
        <v/>
      </c>
      <c r="AI1049">
        <f>IF($AE1049="","",IF(OR($AF1049="",$AG1049="",$AH1049="",$AF1049&lt;1300,$AF1049&gt;1500,$AG1049&lt;1,$AG1049&gt;12,$AH1049&lt;1,$AH1049&gt;31),"نامعتبر",RIGHT("0000"&amp;$AF1049,4)&amp;"/"&amp;RIGHT("00"&amp;$AG1049,2)&amp;"/"&amp;RIGHT("00"&amp;$AH1049,2)))</f>
        <v/>
      </c>
      <c r="AJ1049">
        <f>IF($AE1049="","",IF(Sync!$Q1049="","0000",IF(AND(ISNUMBER(Sync!$Q1049),Sync!$Q1049&gt;=0,Sync!$Q1049&lt;1),RIGHT("00"&amp;HOUR(Sync!$Q1049),2)&amp;RIGHT("00"&amp;MINUTE(Sync!$Q1049),2),IFERROR(RIGHT("00"&amp;VALUE(LEFT(Sync!$Q1049,FIND(":",Sync!$Q1049)-1)),2)&amp;RIGHT("00"&amp;VALUE(MID(Sync!$Q1049,FIND(":",Sync!$Q1049)+1,2)),2),"0000"))))</f>
        <v/>
      </c>
      <c r="AK1049">
        <f>IF(OR($AE1049="",$AI1049="",$AI1049="نامعتبر"),"",LEFT($AI1049,4)&amp;MID($AI1049,6,2)&amp;RIGHT($AI1049,2)&amp;$AJ1049&amp;"|"&amp;"3"&amp;RIGHT("00000"&amp;1044,5))</f>
        <v/>
      </c>
      <c r="AL1049">
        <f>IF($AK1049="","",COUNTIFS(LdAParty,$AE1049,LdAType,1,LdAKey,"&lt;"&amp;$AK1049)+COUNTIFS(LdBMember,$AE1049,LdBKey,"&lt;"&amp;$AK1049)+COUNTIFS(LdCParty,$AE1049,LdCKey,"&lt;"&amp;$AK1049)+1)</f>
        <v/>
      </c>
      <c r="AM1049">
        <f>IF($AL1049="","",$AE1049&amp;"|"&amp;RIGHT("000000"&amp;$AL1049,6))</f>
        <v/>
      </c>
      <c r="AN1049">
        <f>IF($AE1049="","",IF(Sync!$W1049="",0,Sync!$W1049))</f>
        <v/>
      </c>
      <c r="AO1049">
        <f>IF($AE1049="","",IF(Sync!$X1049="",0,Sync!$X1049))</f>
        <v/>
      </c>
      <c r="AP1049">
        <f>IF($AE1049="","",Sync!$R1049)</f>
        <v/>
      </c>
      <c r="AQ1049">
        <f>IF($AE1049="","",Sync!$Y1049)</f>
        <v/>
      </c>
    </row>
    <row r="1050">
      <c r="A1050">
        <f>IF(OR(Wages!$B1053="",Wages!$E1053=""),"",Wages!$E1053)</f>
        <v/>
      </c>
      <c r="B1050">
        <f>IF($A1050="","",IF(Wages!$C1053="دستمزد گروهی",2,1))</f>
        <v/>
      </c>
      <c r="C1050">
        <f>IF($A1050="","",IF(ISNUMBER(Wages!$B1053),IF(AND(Wages!$B1053&gt;=10000101,Wages!$B1053&lt;=99991231),INT(Wages!$B1053/10000),""),IFERROR(VALUE(TRIM(LEFT(Wages!$B1053,FIND("/",Wages!$B1053)-1))),"")))</f>
        <v/>
      </c>
      <c r="D1050">
        <f>IF(OR($A1050="",$C1050=""),"",IF(ISNUMBER(Wages!$B1053),INT(MOD(Wages!$B1053,10000)/100),IFERROR(VALUE(TRIM(LEFT(MID(Wages!$B1053,FIND("/",Wages!$B1053)+1,20),FIND("/",MID(Wages!$B1053,FIND("/",Wages!$B1053)+1,20))-1))),"")))</f>
        <v/>
      </c>
      <c r="E1050">
        <f>IF(OR($A1050="",$C1050=""),"",IF(ISNUMBER(Wages!$B1053),MOD(Wages!$B1053,100),IFERROR(VALUE(TRIM(MID(MID(Wages!$B1053,FIND("/",Wages!$B1053)+1,20),FIND("/",MID(Wages!$B1053,FIND("/",Wages!$B1053)+1,20))+1,20))),"")))</f>
        <v/>
      </c>
      <c r="F1050">
        <f>IF($A1050="","",IF(OR($C1050="",$D1050="",$E1050="",$C1050&lt;1300,$C1050&gt;1500,$D1050&lt;1,$D1050&gt;12,$E1050&lt;1,$E1050&gt;31),"نامعتبر",RIGHT("0000"&amp;$C1050,4)&amp;"/"&amp;RIGHT("00"&amp;$D1050,2)&amp;"/"&amp;RIGHT("00"&amp;$E1050,2)))</f>
        <v/>
      </c>
      <c r="G1050">
        <f>IF(OR($A1050="",$F1050="",$F1050="نامعتبر"),"",LEFT($F1050,4)&amp;MID($F1050,6,2)&amp;RIGHT($F1050,2)&amp;"0000"&amp;"|"&amp;"1"&amp;RIGHT("00000"&amp;1045,5))</f>
        <v/>
      </c>
      <c r="H1050">
        <f>IF(OR($B1050&lt;&gt;1,$G1050=""),"",COUNTIFS(LdAParty,$A1050,LdAType,1,LdAKey,"&lt;"&amp;$G1050)+COUNTIFS(LdBMember,$A1050,LdBKey,"&lt;"&amp;$G1050)+COUNTIFS(LdCParty,$A1050,LdCKey,"&lt;"&amp;$G1050)+1)</f>
        <v/>
      </c>
      <c r="I1050">
        <f>IF($H1050="","",$A1050&amp;"|"&amp;RIGHT("000000"&amp;$H1050,6))</f>
        <v/>
      </c>
      <c r="J1050">
        <f>IF(OR($B1050&lt;&gt;2,$G1050=""),"",COUNTIFS(LdAParty,$A1050,LdAType,2,LdAKey,"&lt;"&amp;$G1050)+1)</f>
        <v/>
      </c>
      <c r="K1050">
        <f>IF($J1050="","",$A1050&amp;"|"&amp;RIGHT("000000"&amp;$J1050,6))</f>
        <v/>
      </c>
      <c r="L1050">
        <f>IF($A1050="","",IF(Wages!$G1053="",0,Wages!$G1053))</f>
        <v/>
      </c>
      <c r="M1050">
        <f>IF($A1050="","",Wages!$J1053)</f>
        <v/>
      </c>
      <c r="N1050">
        <f>IF($A1050="","",Wages!$D1053)</f>
        <v/>
      </c>
      <c r="P1050">
        <f>IF(OR(Shares!$B1053="",Shares!$C1053=""),"",Shares!$C1053)</f>
        <v/>
      </c>
      <c r="Q1050">
        <f>IF($P1050="","",Shares!$B1053)</f>
        <v/>
      </c>
      <c r="R1050">
        <f>IF($P1050="","",IFERROR(INDEX(WageParty,MATCH($Q1050,WageIds,0)),""))</f>
        <v/>
      </c>
      <c r="S1050">
        <f>IF($P1050="","",IFERROR(INDEX($F$6:$F$2005,MATCH($Q1050,WageIds,0)),""))</f>
        <v/>
      </c>
      <c r="T1050">
        <f>IF(OR($P1050="",$S1050="",$S1050="نامعتبر"),"",LEFT($S1050,4)&amp;MID($S1050,6,2)&amp;RIGHT($S1050,2)&amp;"0000"&amp;"|"&amp;"2"&amp;RIGHT("00000"&amp;1045,5))</f>
        <v/>
      </c>
      <c r="U1050">
        <f>IF($T1050="","",COUNTIFS(LdAParty,$P1050,LdAType,1,LdAKey,"&lt;"&amp;$T1050)+COUNTIFS(LdBMember,$P1050,LdBKey,"&lt;"&amp;$T1050)+COUNTIFS(LdCParty,$P1050,LdCKey,"&lt;"&amp;$T1050)+1)</f>
        <v/>
      </c>
      <c r="V1050">
        <f>IF($U1050="","",$P1050&amp;"|"&amp;RIGHT("000000"&amp;$U1050,6))</f>
        <v/>
      </c>
      <c r="W1050">
        <f>IF($T1050="","",COUNTIFS(LdBGroup,$R1050,LdBKey,"&lt;"&amp;$T1050)+1)</f>
        <v/>
      </c>
      <c r="X1050">
        <f>IF($W1050="","",$R1050&amp;"|"&amp;RIGHT("000000"&amp;$W1050,6))</f>
        <v/>
      </c>
      <c r="Y1050">
        <f>IF($P1050="","",IF(Shares!$E1053="",0,Shares!$E1053))</f>
        <v/>
      </c>
      <c r="Z1050">
        <f>IF($P1050="","",Shares!$H1053)</f>
        <v/>
      </c>
      <c r="AE1050">
        <f>IF(OR(Sync!$S1050="",Sync!$P1050=""),"",Sync!$S1050)</f>
        <v/>
      </c>
      <c r="AF1050">
        <f>IF($AE1050="","",IF(ISNUMBER(Sync!$P1050),IF(AND(Sync!$P1050&gt;=10000101,Sync!$P1050&lt;=99991231),INT(Sync!$P1050/10000),""),IFERROR(VALUE(TRIM(LEFT(Sync!$P1050,FIND("/",Sync!$P1050)-1))),"")))</f>
        <v/>
      </c>
      <c r="AG1050">
        <f>IF(OR($AE1050="",$AF1050=""),"",IF(ISNUMBER(Sync!$P1050),INT(MOD(Sync!$P1050,10000)/100),IFERROR(VALUE(TRIM(LEFT(MID(Sync!$P1050,FIND("/",Sync!$P1050)+1,20),FIND("/",MID(Sync!$P1050,FIND("/",Sync!$P1050)+1,20))-1))),"")))</f>
        <v/>
      </c>
      <c r="AH1050">
        <f>IF(OR($AE1050="",$AF1050=""),"",IF(ISNUMBER(Sync!$P1050),MOD(Sync!$P1050,100),IFERROR(VALUE(TRIM(MID(MID(Sync!$P1050,FIND("/",Sync!$P1050)+1,20),FIND("/",MID(Sync!$P1050,FIND("/",Sync!$P1050)+1,20))+1,20))),"")))</f>
        <v/>
      </c>
      <c r="AI1050">
        <f>IF($AE1050="","",IF(OR($AF1050="",$AG1050="",$AH1050="",$AF1050&lt;1300,$AF1050&gt;1500,$AG1050&lt;1,$AG1050&gt;12,$AH1050&lt;1,$AH1050&gt;31),"نامعتبر",RIGHT("0000"&amp;$AF1050,4)&amp;"/"&amp;RIGHT("00"&amp;$AG1050,2)&amp;"/"&amp;RIGHT("00"&amp;$AH1050,2)))</f>
        <v/>
      </c>
      <c r="AJ1050">
        <f>IF($AE1050="","",IF(Sync!$Q1050="","0000",IF(AND(ISNUMBER(Sync!$Q1050),Sync!$Q1050&gt;=0,Sync!$Q1050&lt;1),RIGHT("00"&amp;HOUR(Sync!$Q1050),2)&amp;RIGHT("00"&amp;MINUTE(Sync!$Q1050),2),IFERROR(RIGHT("00"&amp;VALUE(LEFT(Sync!$Q1050,FIND(":",Sync!$Q1050)-1)),2)&amp;RIGHT("00"&amp;VALUE(MID(Sync!$Q1050,FIND(":",Sync!$Q1050)+1,2)),2),"0000"))))</f>
        <v/>
      </c>
      <c r="AK1050">
        <f>IF(OR($AE1050="",$AI1050="",$AI1050="نامعتبر"),"",LEFT($AI1050,4)&amp;MID($AI1050,6,2)&amp;RIGHT($AI1050,2)&amp;$AJ1050&amp;"|"&amp;"3"&amp;RIGHT("00000"&amp;1045,5))</f>
        <v/>
      </c>
      <c r="AL1050">
        <f>IF($AK1050="","",COUNTIFS(LdAParty,$AE1050,LdAType,1,LdAKey,"&lt;"&amp;$AK1050)+COUNTIFS(LdBMember,$AE1050,LdBKey,"&lt;"&amp;$AK1050)+COUNTIFS(LdCParty,$AE1050,LdCKey,"&lt;"&amp;$AK1050)+1)</f>
        <v/>
      </c>
      <c r="AM1050">
        <f>IF($AL1050="","",$AE1050&amp;"|"&amp;RIGHT("000000"&amp;$AL1050,6))</f>
        <v/>
      </c>
      <c r="AN1050">
        <f>IF($AE1050="","",IF(Sync!$W1050="",0,Sync!$W1050))</f>
        <v/>
      </c>
      <c r="AO1050">
        <f>IF($AE1050="","",IF(Sync!$X1050="",0,Sync!$X1050))</f>
        <v/>
      </c>
      <c r="AP1050">
        <f>IF($AE1050="","",Sync!$R1050)</f>
        <v/>
      </c>
      <c r="AQ1050">
        <f>IF($AE1050="","",Sync!$Y1050)</f>
        <v/>
      </c>
    </row>
    <row r="1051">
      <c r="A1051">
        <f>IF(OR(Wages!$B1054="",Wages!$E1054=""),"",Wages!$E1054)</f>
        <v/>
      </c>
      <c r="B1051">
        <f>IF($A1051="","",IF(Wages!$C1054="دستمزد گروهی",2,1))</f>
        <v/>
      </c>
      <c r="C1051">
        <f>IF($A1051="","",IF(ISNUMBER(Wages!$B1054),IF(AND(Wages!$B1054&gt;=10000101,Wages!$B1054&lt;=99991231),INT(Wages!$B1054/10000),""),IFERROR(VALUE(TRIM(LEFT(Wages!$B1054,FIND("/",Wages!$B1054)-1))),"")))</f>
        <v/>
      </c>
      <c r="D1051">
        <f>IF(OR($A1051="",$C1051=""),"",IF(ISNUMBER(Wages!$B1054),INT(MOD(Wages!$B1054,10000)/100),IFERROR(VALUE(TRIM(LEFT(MID(Wages!$B1054,FIND("/",Wages!$B1054)+1,20),FIND("/",MID(Wages!$B1054,FIND("/",Wages!$B1054)+1,20))-1))),"")))</f>
        <v/>
      </c>
      <c r="E1051">
        <f>IF(OR($A1051="",$C1051=""),"",IF(ISNUMBER(Wages!$B1054),MOD(Wages!$B1054,100),IFERROR(VALUE(TRIM(MID(MID(Wages!$B1054,FIND("/",Wages!$B1054)+1,20),FIND("/",MID(Wages!$B1054,FIND("/",Wages!$B1054)+1,20))+1,20))),"")))</f>
        <v/>
      </c>
      <c r="F1051">
        <f>IF($A1051="","",IF(OR($C1051="",$D1051="",$E1051="",$C1051&lt;1300,$C1051&gt;1500,$D1051&lt;1,$D1051&gt;12,$E1051&lt;1,$E1051&gt;31),"نامعتبر",RIGHT("0000"&amp;$C1051,4)&amp;"/"&amp;RIGHT("00"&amp;$D1051,2)&amp;"/"&amp;RIGHT("00"&amp;$E1051,2)))</f>
        <v/>
      </c>
      <c r="G1051">
        <f>IF(OR($A1051="",$F1051="",$F1051="نامعتبر"),"",LEFT($F1051,4)&amp;MID($F1051,6,2)&amp;RIGHT($F1051,2)&amp;"0000"&amp;"|"&amp;"1"&amp;RIGHT("00000"&amp;1046,5))</f>
        <v/>
      </c>
      <c r="H1051">
        <f>IF(OR($B1051&lt;&gt;1,$G1051=""),"",COUNTIFS(LdAParty,$A1051,LdAType,1,LdAKey,"&lt;"&amp;$G1051)+COUNTIFS(LdBMember,$A1051,LdBKey,"&lt;"&amp;$G1051)+COUNTIFS(LdCParty,$A1051,LdCKey,"&lt;"&amp;$G1051)+1)</f>
        <v/>
      </c>
      <c r="I1051">
        <f>IF($H1051="","",$A1051&amp;"|"&amp;RIGHT("000000"&amp;$H1051,6))</f>
        <v/>
      </c>
      <c r="J1051">
        <f>IF(OR($B1051&lt;&gt;2,$G1051=""),"",COUNTIFS(LdAParty,$A1051,LdAType,2,LdAKey,"&lt;"&amp;$G1051)+1)</f>
        <v/>
      </c>
      <c r="K1051">
        <f>IF($J1051="","",$A1051&amp;"|"&amp;RIGHT("000000"&amp;$J1051,6))</f>
        <v/>
      </c>
      <c r="L1051">
        <f>IF($A1051="","",IF(Wages!$G1054="",0,Wages!$G1054))</f>
        <v/>
      </c>
      <c r="M1051">
        <f>IF($A1051="","",Wages!$J1054)</f>
        <v/>
      </c>
      <c r="N1051">
        <f>IF($A1051="","",Wages!$D1054)</f>
        <v/>
      </c>
      <c r="P1051">
        <f>IF(OR(Shares!$B1054="",Shares!$C1054=""),"",Shares!$C1054)</f>
        <v/>
      </c>
      <c r="Q1051">
        <f>IF($P1051="","",Shares!$B1054)</f>
        <v/>
      </c>
      <c r="R1051">
        <f>IF($P1051="","",IFERROR(INDEX(WageParty,MATCH($Q1051,WageIds,0)),""))</f>
        <v/>
      </c>
      <c r="S1051">
        <f>IF($P1051="","",IFERROR(INDEX($F$6:$F$2005,MATCH($Q1051,WageIds,0)),""))</f>
        <v/>
      </c>
      <c r="T1051">
        <f>IF(OR($P1051="",$S1051="",$S1051="نامعتبر"),"",LEFT($S1051,4)&amp;MID($S1051,6,2)&amp;RIGHT($S1051,2)&amp;"0000"&amp;"|"&amp;"2"&amp;RIGHT("00000"&amp;1046,5))</f>
        <v/>
      </c>
      <c r="U1051">
        <f>IF($T1051="","",COUNTIFS(LdAParty,$P1051,LdAType,1,LdAKey,"&lt;"&amp;$T1051)+COUNTIFS(LdBMember,$P1051,LdBKey,"&lt;"&amp;$T1051)+COUNTIFS(LdCParty,$P1051,LdCKey,"&lt;"&amp;$T1051)+1)</f>
        <v/>
      </c>
      <c r="V1051">
        <f>IF($U1051="","",$P1051&amp;"|"&amp;RIGHT("000000"&amp;$U1051,6))</f>
        <v/>
      </c>
      <c r="W1051">
        <f>IF($T1051="","",COUNTIFS(LdBGroup,$R1051,LdBKey,"&lt;"&amp;$T1051)+1)</f>
        <v/>
      </c>
      <c r="X1051">
        <f>IF($W1051="","",$R1051&amp;"|"&amp;RIGHT("000000"&amp;$W1051,6))</f>
        <v/>
      </c>
      <c r="Y1051">
        <f>IF($P1051="","",IF(Shares!$E1054="",0,Shares!$E1054))</f>
        <v/>
      </c>
      <c r="Z1051">
        <f>IF($P1051="","",Shares!$H1054)</f>
        <v/>
      </c>
      <c r="AE1051">
        <f>IF(OR(Sync!$S1051="",Sync!$P1051=""),"",Sync!$S1051)</f>
        <v/>
      </c>
      <c r="AF1051">
        <f>IF($AE1051="","",IF(ISNUMBER(Sync!$P1051),IF(AND(Sync!$P1051&gt;=10000101,Sync!$P1051&lt;=99991231),INT(Sync!$P1051/10000),""),IFERROR(VALUE(TRIM(LEFT(Sync!$P1051,FIND("/",Sync!$P1051)-1))),"")))</f>
        <v/>
      </c>
      <c r="AG1051">
        <f>IF(OR($AE1051="",$AF1051=""),"",IF(ISNUMBER(Sync!$P1051),INT(MOD(Sync!$P1051,10000)/100),IFERROR(VALUE(TRIM(LEFT(MID(Sync!$P1051,FIND("/",Sync!$P1051)+1,20),FIND("/",MID(Sync!$P1051,FIND("/",Sync!$P1051)+1,20))-1))),"")))</f>
        <v/>
      </c>
      <c r="AH1051">
        <f>IF(OR($AE1051="",$AF1051=""),"",IF(ISNUMBER(Sync!$P1051),MOD(Sync!$P1051,100),IFERROR(VALUE(TRIM(MID(MID(Sync!$P1051,FIND("/",Sync!$P1051)+1,20),FIND("/",MID(Sync!$P1051,FIND("/",Sync!$P1051)+1,20))+1,20))),"")))</f>
        <v/>
      </c>
      <c r="AI1051">
        <f>IF($AE1051="","",IF(OR($AF1051="",$AG1051="",$AH1051="",$AF1051&lt;1300,$AF1051&gt;1500,$AG1051&lt;1,$AG1051&gt;12,$AH1051&lt;1,$AH1051&gt;31),"نامعتبر",RIGHT("0000"&amp;$AF1051,4)&amp;"/"&amp;RIGHT("00"&amp;$AG1051,2)&amp;"/"&amp;RIGHT("00"&amp;$AH1051,2)))</f>
        <v/>
      </c>
      <c r="AJ1051">
        <f>IF($AE1051="","",IF(Sync!$Q1051="","0000",IF(AND(ISNUMBER(Sync!$Q1051),Sync!$Q1051&gt;=0,Sync!$Q1051&lt;1),RIGHT("00"&amp;HOUR(Sync!$Q1051),2)&amp;RIGHT("00"&amp;MINUTE(Sync!$Q1051),2),IFERROR(RIGHT("00"&amp;VALUE(LEFT(Sync!$Q1051,FIND(":",Sync!$Q1051)-1)),2)&amp;RIGHT("00"&amp;VALUE(MID(Sync!$Q1051,FIND(":",Sync!$Q1051)+1,2)),2),"0000"))))</f>
        <v/>
      </c>
      <c r="AK1051">
        <f>IF(OR($AE1051="",$AI1051="",$AI1051="نامعتبر"),"",LEFT($AI1051,4)&amp;MID($AI1051,6,2)&amp;RIGHT($AI1051,2)&amp;$AJ1051&amp;"|"&amp;"3"&amp;RIGHT("00000"&amp;1046,5))</f>
        <v/>
      </c>
      <c r="AL1051">
        <f>IF($AK1051="","",COUNTIFS(LdAParty,$AE1051,LdAType,1,LdAKey,"&lt;"&amp;$AK1051)+COUNTIFS(LdBMember,$AE1051,LdBKey,"&lt;"&amp;$AK1051)+COUNTIFS(LdCParty,$AE1051,LdCKey,"&lt;"&amp;$AK1051)+1)</f>
        <v/>
      </c>
      <c r="AM1051">
        <f>IF($AL1051="","",$AE1051&amp;"|"&amp;RIGHT("000000"&amp;$AL1051,6))</f>
        <v/>
      </c>
      <c r="AN1051">
        <f>IF($AE1051="","",IF(Sync!$W1051="",0,Sync!$W1051))</f>
        <v/>
      </c>
      <c r="AO1051">
        <f>IF($AE1051="","",IF(Sync!$X1051="",0,Sync!$X1051))</f>
        <v/>
      </c>
      <c r="AP1051">
        <f>IF($AE1051="","",Sync!$R1051)</f>
        <v/>
      </c>
      <c r="AQ1051">
        <f>IF($AE1051="","",Sync!$Y1051)</f>
        <v/>
      </c>
    </row>
    <row r="1052">
      <c r="A1052">
        <f>IF(OR(Wages!$B1055="",Wages!$E1055=""),"",Wages!$E1055)</f>
        <v/>
      </c>
      <c r="B1052">
        <f>IF($A1052="","",IF(Wages!$C1055="دستمزد گروهی",2,1))</f>
        <v/>
      </c>
      <c r="C1052">
        <f>IF($A1052="","",IF(ISNUMBER(Wages!$B1055),IF(AND(Wages!$B1055&gt;=10000101,Wages!$B1055&lt;=99991231),INT(Wages!$B1055/10000),""),IFERROR(VALUE(TRIM(LEFT(Wages!$B1055,FIND("/",Wages!$B1055)-1))),"")))</f>
        <v/>
      </c>
      <c r="D1052">
        <f>IF(OR($A1052="",$C1052=""),"",IF(ISNUMBER(Wages!$B1055),INT(MOD(Wages!$B1055,10000)/100),IFERROR(VALUE(TRIM(LEFT(MID(Wages!$B1055,FIND("/",Wages!$B1055)+1,20),FIND("/",MID(Wages!$B1055,FIND("/",Wages!$B1055)+1,20))-1))),"")))</f>
        <v/>
      </c>
      <c r="E1052">
        <f>IF(OR($A1052="",$C1052=""),"",IF(ISNUMBER(Wages!$B1055),MOD(Wages!$B1055,100),IFERROR(VALUE(TRIM(MID(MID(Wages!$B1055,FIND("/",Wages!$B1055)+1,20),FIND("/",MID(Wages!$B1055,FIND("/",Wages!$B1055)+1,20))+1,20))),"")))</f>
        <v/>
      </c>
      <c r="F1052">
        <f>IF($A1052="","",IF(OR($C1052="",$D1052="",$E1052="",$C1052&lt;1300,$C1052&gt;1500,$D1052&lt;1,$D1052&gt;12,$E1052&lt;1,$E1052&gt;31),"نامعتبر",RIGHT("0000"&amp;$C1052,4)&amp;"/"&amp;RIGHT("00"&amp;$D1052,2)&amp;"/"&amp;RIGHT("00"&amp;$E1052,2)))</f>
        <v/>
      </c>
      <c r="G1052">
        <f>IF(OR($A1052="",$F1052="",$F1052="نامعتبر"),"",LEFT($F1052,4)&amp;MID($F1052,6,2)&amp;RIGHT($F1052,2)&amp;"0000"&amp;"|"&amp;"1"&amp;RIGHT("00000"&amp;1047,5))</f>
        <v/>
      </c>
      <c r="H1052">
        <f>IF(OR($B1052&lt;&gt;1,$G1052=""),"",COUNTIFS(LdAParty,$A1052,LdAType,1,LdAKey,"&lt;"&amp;$G1052)+COUNTIFS(LdBMember,$A1052,LdBKey,"&lt;"&amp;$G1052)+COUNTIFS(LdCParty,$A1052,LdCKey,"&lt;"&amp;$G1052)+1)</f>
        <v/>
      </c>
      <c r="I1052">
        <f>IF($H1052="","",$A1052&amp;"|"&amp;RIGHT("000000"&amp;$H1052,6))</f>
        <v/>
      </c>
      <c r="J1052">
        <f>IF(OR($B1052&lt;&gt;2,$G1052=""),"",COUNTIFS(LdAParty,$A1052,LdAType,2,LdAKey,"&lt;"&amp;$G1052)+1)</f>
        <v/>
      </c>
      <c r="K1052">
        <f>IF($J1052="","",$A1052&amp;"|"&amp;RIGHT("000000"&amp;$J1052,6))</f>
        <v/>
      </c>
      <c r="L1052">
        <f>IF($A1052="","",IF(Wages!$G1055="",0,Wages!$G1055))</f>
        <v/>
      </c>
      <c r="M1052">
        <f>IF($A1052="","",Wages!$J1055)</f>
        <v/>
      </c>
      <c r="N1052">
        <f>IF($A1052="","",Wages!$D1055)</f>
        <v/>
      </c>
      <c r="P1052">
        <f>IF(OR(Shares!$B1055="",Shares!$C1055=""),"",Shares!$C1055)</f>
        <v/>
      </c>
      <c r="Q1052">
        <f>IF($P1052="","",Shares!$B1055)</f>
        <v/>
      </c>
      <c r="R1052">
        <f>IF($P1052="","",IFERROR(INDEX(WageParty,MATCH($Q1052,WageIds,0)),""))</f>
        <v/>
      </c>
      <c r="S1052">
        <f>IF($P1052="","",IFERROR(INDEX($F$6:$F$2005,MATCH($Q1052,WageIds,0)),""))</f>
        <v/>
      </c>
      <c r="T1052">
        <f>IF(OR($P1052="",$S1052="",$S1052="نامعتبر"),"",LEFT($S1052,4)&amp;MID($S1052,6,2)&amp;RIGHT($S1052,2)&amp;"0000"&amp;"|"&amp;"2"&amp;RIGHT("00000"&amp;1047,5))</f>
        <v/>
      </c>
      <c r="U1052">
        <f>IF($T1052="","",COUNTIFS(LdAParty,$P1052,LdAType,1,LdAKey,"&lt;"&amp;$T1052)+COUNTIFS(LdBMember,$P1052,LdBKey,"&lt;"&amp;$T1052)+COUNTIFS(LdCParty,$P1052,LdCKey,"&lt;"&amp;$T1052)+1)</f>
        <v/>
      </c>
      <c r="V1052">
        <f>IF($U1052="","",$P1052&amp;"|"&amp;RIGHT("000000"&amp;$U1052,6))</f>
        <v/>
      </c>
      <c r="W1052">
        <f>IF($T1052="","",COUNTIFS(LdBGroup,$R1052,LdBKey,"&lt;"&amp;$T1052)+1)</f>
        <v/>
      </c>
      <c r="X1052">
        <f>IF($W1052="","",$R1052&amp;"|"&amp;RIGHT("000000"&amp;$W1052,6))</f>
        <v/>
      </c>
      <c r="Y1052">
        <f>IF($P1052="","",IF(Shares!$E1055="",0,Shares!$E1055))</f>
        <v/>
      </c>
      <c r="Z1052">
        <f>IF($P1052="","",Shares!$H1055)</f>
        <v/>
      </c>
      <c r="AE1052">
        <f>IF(OR(Sync!$S1052="",Sync!$P1052=""),"",Sync!$S1052)</f>
        <v/>
      </c>
      <c r="AF1052">
        <f>IF($AE1052="","",IF(ISNUMBER(Sync!$P1052),IF(AND(Sync!$P1052&gt;=10000101,Sync!$P1052&lt;=99991231),INT(Sync!$P1052/10000),""),IFERROR(VALUE(TRIM(LEFT(Sync!$P1052,FIND("/",Sync!$P1052)-1))),"")))</f>
        <v/>
      </c>
      <c r="AG1052">
        <f>IF(OR($AE1052="",$AF1052=""),"",IF(ISNUMBER(Sync!$P1052),INT(MOD(Sync!$P1052,10000)/100),IFERROR(VALUE(TRIM(LEFT(MID(Sync!$P1052,FIND("/",Sync!$P1052)+1,20),FIND("/",MID(Sync!$P1052,FIND("/",Sync!$P1052)+1,20))-1))),"")))</f>
        <v/>
      </c>
      <c r="AH1052">
        <f>IF(OR($AE1052="",$AF1052=""),"",IF(ISNUMBER(Sync!$P1052),MOD(Sync!$P1052,100),IFERROR(VALUE(TRIM(MID(MID(Sync!$P1052,FIND("/",Sync!$P1052)+1,20),FIND("/",MID(Sync!$P1052,FIND("/",Sync!$P1052)+1,20))+1,20))),"")))</f>
        <v/>
      </c>
      <c r="AI1052">
        <f>IF($AE1052="","",IF(OR($AF1052="",$AG1052="",$AH1052="",$AF1052&lt;1300,$AF1052&gt;1500,$AG1052&lt;1,$AG1052&gt;12,$AH1052&lt;1,$AH1052&gt;31),"نامعتبر",RIGHT("0000"&amp;$AF1052,4)&amp;"/"&amp;RIGHT("00"&amp;$AG1052,2)&amp;"/"&amp;RIGHT("00"&amp;$AH1052,2)))</f>
        <v/>
      </c>
      <c r="AJ1052">
        <f>IF($AE1052="","",IF(Sync!$Q1052="","0000",IF(AND(ISNUMBER(Sync!$Q1052),Sync!$Q1052&gt;=0,Sync!$Q1052&lt;1),RIGHT("00"&amp;HOUR(Sync!$Q1052),2)&amp;RIGHT("00"&amp;MINUTE(Sync!$Q1052),2),IFERROR(RIGHT("00"&amp;VALUE(LEFT(Sync!$Q1052,FIND(":",Sync!$Q1052)-1)),2)&amp;RIGHT("00"&amp;VALUE(MID(Sync!$Q1052,FIND(":",Sync!$Q1052)+1,2)),2),"0000"))))</f>
        <v/>
      </c>
      <c r="AK1052">
        <f>IF(OR($AE1052="",$AI1052="",$AI1052="نامعتبر"),"",LEFT($AI1052,4)&amp;MID($AI1052,6,2)&amp;RIGHT($AI1052,2)&amp;$AJ1052&amp;"|"&amp;"3"&amp;RIGHT("00000"&amp;1047,5))</f>
        <v/>
      </c>
      <c r="AL1052">
        <f>IF($AK1052="","",COUNTIFS(LdAParty,$AE1052,LdAType,1,LdAKey,"&lt;"&amp;$AK1052)+COUNTIFS(LdBMember,$AE1052,LdBKey,"&lt;"&amp;$AK1052)+COUNTIFS(LdCParty,$AE1052,LdCKey,"&lt;"&amp;$AK1052)+1)</f>
        <v/>
      </c>
      <c r="AM1052">
        <f>IF($AL1052="","",$AE1052&amp;"|"&amp;RIGHT("000000"&amp;$AL1052,6))</f>
        <v/>
      </c>
      <c r="AN1052">
        <f>IF($AE1052="","",IF(Sync!$W1052="",0,Sync!$W1052))</f>
        <v/>
      </c>
      <c r="AO1052">
        <f>IF($AE1052="","",IF(Sync!$X1052="",0,Sync!$X1052))</f>
        <v/>
      </c>
      <c r="AP1052">
        <f>IF($AE1052="","",Sync!$R1052)</f>
        <v/>
      </c>
      <c r="AQ1052">
        <f>IF($AE1052="","",Sync!$Y1052)</f>
        <v/>
      </c>
    </row>
    <row r="1053">
      <c r="A1053">
        <f>IF(OR(Wages!$B1056="",Wages!$E1056=""),"",Wages!$E1056)</f>
        <v/>
      </c>
      <c r="B1053">
        <f>IF($A1053="","",IF(Wages!$C1056="دستمزد گروهی",2,1))</f>
        <v/>
      </c>
      <c r="C1053">
        <f>IF($A1053="","",IF(ISNUMBER(Wages!$B1056),IF(AND(Wages!$B1056&gt;=10000101,Wages!$B1056&lt;=99991231),INT(Wages!$B1056/10000),""),IFERROR(VALUE(TRIM(LEFT(Wages!$B1056,FIND("/",Wages!$B1056)-1))),"")))</f>
        <v/>
      </c>
      <c r="D1053">
        <f>IF(OR($A1053="",$C1053=""),"",IF(ISNUMBER(Wages!$B1056),INT(MOD(Wages!$B1056,10000)/100),IFERROR(VALUE(TRIM(LEFT(MID(Wages!$B1056,FIND("/",Wages!$B1056)+1,20),FIND("/",MID(Wages!$B1056,FIND("/",Wages!$B1056)+1,20))-1))),"")))</f>
        <v/>
      </c>
      <c r="E1053">
        <f>IF(OR($A1053="",$C1053=""),"",IF(ISNUMBER(Wages!$B1056),MOD(Wages!$B1056,100),IFERROR(VALUE(TRIM(MID(MID(Wages!$B1056,FIND("/",Wages!$B1056)+1,20),FIND("/",MID(Wages!$B1056,FIND("/",Wages!$B1056)+1,20))+1,20))),"")))</f>
        <v/>
      </c>
      <c r="F1053">
        <f>IF($A1053="","",IF(OR($C1053="",$D1053="",$E1053="",$C1053&lt;1300,$C1053&gt;1500,$D1053&lt;1,$D1053&gt;12,$E1053&lt;1,$E1053&gt;31),"نامعتبر",RIGHT("0000"&amp;$C1053,4)&amp;"/"&amp;RIGHT("00"&amp;$D1053,2)&amp;"/"&amp;RIGHT("00"&amp;$E1053,2)))</f>
        <v/>
      </c>
      <c r="G1053">
        <f>IF(OR($A1053="",$F1053="",$F1053="نامعتبر"),"",LEFT($F1053,4)&amp;MID($F1053,6,2)&amp;RIGHT($F1053,2)&amp;"0000"&amp;"|"&amp;"1"&amp;RIGHT("00000"&amp;1048,5))</f>
        <v/>
      </c>
      <c r="H1053">
        <f>IF(OR($B1053&lt;&gt;1,$G1053=""),"",COUNTIFS(LdAParty,$A1053,LdAType,1,LdAKey,"&lt;"&amp;$G1053)+COUNTIFS(LdBMember,$A1053,LdBKey,"&lt;"&amp;$G1053)+COUNTIFS(LdCParty,$A1053,LdCKey,"&lt;"&amp;$G1053)+1)</f>
        <v/>
      </c>
      <c r="I1053">
        <f>IF($H1053="","",$A1053&amp;"|"&amp;RIGHT("000000"&amp;$H1053,6))</f>
        <v/>
      </c>
      <c r="J1053">
        <f>IF(OR($B1053&lt;&gt;2,$G1053=""),"",COUNTIFS(LdAParty,$A1053,LdAType,2,LdAKey,"&lt;"&amp;$G1053)+1)</f>
        <v/>
      </c>
      <c r="K1053">
        <f>IF($J1053="","",$A1053&amp;"|"&amp;RIGHT("000000"&amp;$J1053,6))</f>
        <v/>
      </c>
      <c r="L1053">
        <f>IF($A1053="","",IF(Wages!$G1056="",0,Wages!$G1056))</f>
        <v/>
      </c>
      <c r="M1053">
        <f>IF($A1053="","",Wages!$J1056)</f>
        <v/>
      </c>
      <c r="N1053">
        <f>IF($A1053="","",Wages!$D1056)</f>
        <v/>
      </c>
      <c r="P1053">
        <f>IF(OR(Shares!$B1056="",Shares!$C1056=""),"",Shares!$C1056)</f>
        <v/>
      </c>
      <c r="Q1053">
        <f>IF($P1053="","",Shares!$B1056)</f>
        <v/>
      </c>
      <c r="R1053">
        <f>IF($P1053="","",IFERROR(INDEX(WageParty,MATCH($Q1053,WageIds,0)),""))</f>
        <v/>
      </c>
      <c r="S1053">
        <f>IF($P1053="","",IFERROR(INDEX($F$6:$F$2005,MATCH($Q1053,WageIds,0)),""))</f>
        <v/>
      </c>
      <c r="T1053">
        <f>IF(OR($P1053="",$S1053="",$S1053="نامعتبر"),"",LEFT($S1053,4)&amp;MID($S1053,6,2)&amp;RIGHT($S1053,2)&amp;"0000"&amp;"|"&amp;"2"&amp;RIGHT("00000"&amp;1048,5))</f>
        <v/>
      </c>
      <c r="U1053">
        <f>IF($T1053="","",COUNTIFS(LdAParty,$P1053,LdAType,1,LdAKey,"&lt;"&amp;$T1053)+COUNTIFS(LdBMember,$P1053,LdBKey,"&lt;"&amp;$T1053)+COUNTIFS(LdCParty,$P1053,LdCKey,"&lt;"&amp;$T1053)+1)</f>
        <v/>
      </c>
      <c r="V1053">
        <f>IF($U1053="","",$P1053&amp;"|"&amp;RIGHT("000000"&amp;$U1053,6))</f>
        <v/>
      </c>
      <c r="W1053">
        <f>IF($T1053="","",COUNTIFS(LdBGroup,$R1053,LdBKey,"&lt;"&amp;$T1053)+1)</f>
        <v/>
      </c>
      <c r="X1053">
        <f>IF($W1053="","",$R1053&amp;"|"&amp;RIGHT("000000"&amp;$W1053,6))</f>
        <v/>
      </c>
      <c r="Y1053">
        <f>IF($P1053="","",IF(Shares!$E1056="",0,Shares!$E1056))</f>
        <v/>
      </c>
      <c r="Z1053">
        <f>IF($P1053="","",Shares!$H1056)</f>
        <v/>
      </c>
      <c r="AE1053">
        <f>IF(OR(Sync!$S1053="",Sync!$P1053=""),"",Sync!$S1053)</f>
        <v/>
      </c>
      <c r="AF1053">
        <f>IF($AE1053="","",IF(ISNUMBER(Sync!$P1053),IF(AND(Sync!$P1053&gt;=10000101,Sync!$P1053&lt;=99991231),INT(Sync!$P1053/10000),""),IFERROR(VALUE(TRIM(LEFT(Sync!$P1053,FIND("/",Sync!$P1053)-1))),"")))</f>
        <v/>
      </c>
      <c r="AG1053">
        <f>IF(OR($AE1053="",$AF1053=""),"",IF(ISNUMBER(Sync!$P1053),INT(MOD(Sync!$P1053,10000)/100),IFERROR(VALUE(TRIM(LEFT(MID(Sync!$P1053,FIND("/",Sync!$P1053)+1,20),FIND("/",MID(Sync!$P1053,FIND("/",Sync!$P1053)+1,20))-1))),"")))</f>
        <v/>
      </c>
      <c r="AH1053">
        <f>IF(OR($AE1053="",$AF1053=""),"",IF(ISNUMBER(Sync!$P1053),MOD(Sync!$P1053,100),IFERROR(VALUE(TRIM(MID(MID(Sync!$P1053,FIND("/",Sync!$P1053)+1,20),FIND("/",MID(Sync!$P1053,FIND("/",Sync!$P1053)+1,20))+1,20))),"")))</f>
        <v/>
      </c>
      <c r="AI1053">
        <f>IF($AE1053="","",IF(OR($AF1053="",$AG1053="",$AH1053="",$AF1053&lt;1300,$AF1053&gt;1500,$AG1053&lt;1,$AG1053&gt;12,$AH1053&lt;1,$AH1053&gt;31),"نامعتبر",RIGHT("0000"&amp;$AF1053,4)&amp;"/"&amp;RIGHT("00"&amp;$AG1053,2)&amp;"/"&amp;RIGHT("00"&amp;$AH1053,2)))</f>
        <v/>
      </c>
      <c r="AJ1053">
        <f>IF($AE1053="","",IF(Sync!$Q1053="","0000",IF(AND(ISNUMBER(Sync!$Q1053),Sync!$Q1053&gt;=0,Sync!$Q1053&lt;1),RIGHT("00"&amp;HOUR(Sync!$Q1053),2)&amp;RIGHT("00"&amp;MINUTE(Sync!$Q1053),2),IFERROR(RIGHT("00"&amp;VALUE(LEFT(Sync!$Q1053,FIND(":",Sync!$Q1053)-1)),2)&amp;RIGHT("00"&amp;VALUE(MID(Sync!$Q1053,FIND(":",Sync!$Q1053)+1,2)),2),"0000"))))</f>
        <v/>
      </c>
      <c r="AK1053">
        <f>IF(OR($AE1053="",$AI1053="",$AI1053="نامعتبر"),"",LEFT($AI1053,4)&amp;MID($AI1053,6,2)&amp;RIGHT($AI1053,2)&amp;$AJ1053&amp;"|"&amp;"3"&amp;RIGHT("00000"&amp;1048,5))</f>
        <v/>
      </c>
      <c r="AL1053">
        <f>IF($AK1053="","",COUNTIFS(LdAParty,$AE1053,LdAType,1,LdAKey,"&lt;"&amp;$AK1053)+COUNTIFS(LdBMember,$AE1053,LdBKey,"&lt;"&amp;$AK1053)+COUNTIFS(LdCParty,$AE1053,LdCKey,"&lt;"&amp;$AK1053)+1)</f>
        <v/>
      </c>
      <c r="AM1053">
        <f>IF($AL1053="","",$AE1053&amp;"|"&amp;RIGHT("000000"&amp;$AL1053,6))</f>
        <v/>
      </c>
      <c r="AN1053">
        <f>IF($AE1053="","",IF(Sync!$W1053="",0,Sync!$W1053))</f>
        <v/>
      </c>
      <c r="AO1053">
        <f>IF($AE1053="","",IF(Sync!$X1053="",0,Sync!$X1053))</f>
        <v/>
      </c>
      <c r="AP1053">
        <f>IF($AE1053="","",Sync!$R1053)</f>
        <v/>
      </c>
      <c r="AQ1053">
        <f>IF($AE1053="","",Sync!$Y1053)</f>
        <v/>
      </c>
    </row>
    <row r="1054">
      <c r="A1054">
        <f>IF(OR(Wages!$B1057="",Wages!$E1057=""),"",Wages!$E1057)</f>
        <v/>
      </c>
      <c r="B1054">
        <f>IF($A1054="","",IF(Wages!$C1057="دستمزد گروهی",2,1))</f>
        <v/>
      </c>
      <c r="C1054">
        <f>IF($A1054="","",IF(ISNUMBER(Wages!$B1057),IF(AND(Wages!$B1057&gt;=10000101,Wages!$B1057&lt;=99991231),INT(Wages!$B1057/10000),""),IFERROR(VALUE(TRIM(LEFT(Wages!$B1057,FIND("/",Wages!$B1057)-1))),"")))</f>
        <v/>
      </c>
      <c r="D1054">
        <f>IF(OR($A1054="",$C1054=""),"",IF(ISNUMBER(Wages!$B1057),INT(MOD(Wages!$B1057,10000)/100),IFERROR(VALUE(TRIM(LEFT(MID(Wages!$B1057,FIND("/",Wages!$B1057)+1,20),FIND("/",MID(Wages!$B1057,FIND("/",Wages!$B1057)+1,20))-1))),"")))</f>
        <v/>
      </c>
      <c r="E1054">
        <f>IF(OR($A1054="",$C1054=""),"",IF(ISNUMBER(Wages!$B1057),MOD(Wages!$B1057,100),IFERROR(VALUE(TRIM(MID(MID(Wages!$B1057,FIND("/",Wages!$B1057)+1,20),FIND("/",MID(Wages!$B1057,FIND("/",Wages!$B1057)+1,20))+1,20))),"")))</f>
        <v/>
      </c>
      <c r="F1054">
        <f>IF($A1054="","",IF(OR($C1054="",$D1054="",$E1054="",$C1054&lt;1300,$C1054&gt;1500,$D1054&lt;1,$D1054&gt;12,$E1054&lt;1,$E1054&gt;31),"نامعتبر",RIGHT("0000"&amp;$C1054,4)&amp;"/"&amp;RIGHT("00"&amp;$D1054,2)&amp;"/"&amp;RIGHT("00"&amp;$E1054,2)))</f>
        <v/>
      </c>
      <c r="G1054">
        <f>IF(OR($A1054="",$F1054="",$F1054="نامعتبر"),"",LEFT($F1054,4)&amp;MID($F1054,6,2)&amp;RIGHT($F1054,2)&amp;"0000"&amp;"|"&amp;"1"&amp;RIGHT("00000"&amp;1049,5))</f>
        <v/>
      </c>
      <c r="H1054">
        <f>IF(OR($B1054&lt;&gt;1,$G1054=""),"",COUNTIFS(LdAParty,$A1054,LdAType,1,LdAKey,"&lt;"&amp;$G1054)+COUNTIFS(LdBMember,$A1054,LdBKey,"&lt;"&amp;$G1054)+COUNTIFS(LdCParty,$A1054,LdCKey,"&lt;"&amp;$G1054)+1)</f>
        <v/>
      </c>
      <c r="I1054">
        <f>IF($H1054="","",$A1054&amp;"|"&amp;RIGHT("000000"&amp;$H1054,6))</f>
        <v/>
      </c>
      <c r="J1054">
        <f>IF(OR($B1054&lt;&gt;2,$G1054=""),"",COUNTIFS(LdAParty,$A1054,LdAType,2,LdAKey,"&lt;"&amp;$G1054)+1)</f>
        <v/>
      </c>
      <c r="K1054">
        <f>IF($J1054="","",$A1054&amp;"|"&amp;RIGHT("000000"&amp;$J1054,6))</f>
        <v/>
      </c>
      <c r="L1054">
        <f>IF($A1054="","",IF(Wages!$G1057="",0,Wages!$G1057))</f>
        <v/>
      </c>
      <c r="M1054">
        <f>IF($A1054="","",Wages!$J1057)</f>
        <v/>
      </c>
      <c r="N1054">
        <f>IF($A1054="","",Wages!$D1057)</f>
        <v/>
      </c>
      <c r="P1054">
        <f>IF(OR(Shares!$B1057="",Shares!$C1057=""),"",Shares!$C1057)</f>
        <v/>
      </c>
      <c r="Q1054">
        <f>IF($P1054="","",Shares!$B1057)</f>
        <v/>
      </c>
      <c r="R1054">
        <f>IF($P1054="","",IFERROR(INDEX(WageParty,MATCH($Q1054,WageIds,0)),""))</f>
        <v/>
      </c>
      <c r="S1054">
        <f>IF($P1054="","",IFERROR(INDEX($F$6:$F$2005,MATCH($Q1054,WageIds,0)),""))</f>
        <v/>
      </c>
      <c r="T1054">
        <f>IF(OR($P1054="",$S1054="",$S1054="نامعتبر"),"",LEFT($S1054,4)&amp;MID($S1054,6,2)&amp;RIGHT($S1054,2)&amp;"0000"&amp;"|"&amp;"2"&amp;RIGHT("00000"&amp;1049,5))</f>
        <v/>
      </c>
      <c r="U1054">
        <f>IF($T1054="","",COUNTIFS(LdAParty,$P1054,LdAType,1,LdAKey,"&lt;"&amp;$T1054)+COUNTIFS(LdBMember,$P1054,LdBKey,"&lt;"&amp;$T1054)+COUNTIFS(LdCParty,$P1054,LdCKey,"&lt;"&amp;$T1054)+1)</f>
        <v/>
      </c>
      <c r="V1054">
        <f>IF($U1054="","",$P1054&amp;"|"&amp;RIGHT("000000"&amp;$U1054,6))</f>
        <v/>
      </c>
      <c r="W1054">
        <f>IF($T1054="","",COUNTIFS(LdBGroup,$R1054,LdBKey,"&lt;"&amp;$T1054)+1)</f>
        <v/>
      </c>
      <c r="X1054">
        <f>IF($W1054="","",$R1054&amp;"|"&amp;RIGHT("000000"&amp;$W1054,6))</f>
        <v/>
      </c>
      <c r="Y1054">
        <f>IF($P1054="","",IF(Shares!$E1057="",0,Shares!$E1057))</f>
        <v/>
      </c>
      <c r="Z1054">
        <f>IF($P1054="","",Shares!$H1057)</f>
        <v/>
      </c>
      <c r="AE1054">
        <f>IF(OR(Sync!$S1054="",Sync!$P1054=""),"",Sync!$S1054)</f>
        <v/>
      </c>
      <c r="AF1054">
        <f>IF($AE1054="","",IF(ISNUMBER(Sync!$P1054),IF(AND(Sync!$P1054&gt;=10000101,Sync!$P1054&lt;=99991231),INT(Sync!$P1054/10000),""),IFERROR(VALUE(TRIM(LEFT(Sync!$P1054,FIND("/",Sync!$P1054)-1))),"")))</f>
        <v/>
      </c>
      <c r="AG1054">
        <f>IF(OR($AE1054="",$AF1054=""),"",IF(ISNUMBER(Sync!$P1054),INT(MOD(Sync!$P1054,10000)/100),IFERROR(VALUE(TRIM(LEFT(MID(Sync!$P1054,FIND("/",Sync!$P1054)+1,20),FIND("/",MID(Sync!$P1054,FIND("/",Sync!$P1054)+1,20))-1))),"")))</f>
        <v/>
      </c>
      <c r="AH1054">
        <f>IF(OR($AE1054="",$AF1054=""),"",IF(ISNUMBER(Sync!$P1054),MOD(Sync!$P1054,100),IFERROR(VALUE(TRIM(MID(MID(Sync!$P1054,FIND("/",Sync!$P1054)+1,20),FIND("/",MID(Sync!$P1054,FIND("/",Sync!$P1054)+1,20))+1,20))),"")))</f>
        <v/>
      </c>
      <c r="AI1054">
        <f>IF($AE1054="","",IF(OR($AF1054="",$AG1054="",$AH1054="",$AF1054&lt;1300,$AF1054&gt;1500,$AG1054&lt;1,$AG1054&gt;12,$AH1054&lt;1,$AH1054&gt;31),"نامعتبر",RIGHT("0000"&amp;$AF1054,4)&amp;"/"&amp;RIGHT("00"&amp;$AG1054,2)&amp;"/"&amp;RIGHT("00"&amp;$AH1054,2)))</f>
        <v/>
      </c>
      <c r="AJ1054">
        <f>IF($AE1054="","",IF(Sync!$Q1054="","0000",IF(AND(ISNUMBER(Sync!$Q1054),Sync!$Q1054&gt;=0,Sync!$Q1054&lt;1),RIGHT("00"&amp;HOUR(Sync!$Q1054),2)&amp;RIGHT("00"&amp;MINUTE(Sync!$Q1054),2),IFERROR(RIGHT("00"&amp;VALUE(LEFT(Sync!$Q1054,FIND(":",Sync!$Q1054)-1)),2)&amp;RIGHT("00"&amp;VALUE(MID(Sync!$Q1054,FIND(":",Sync!$Q1054)+1,2)),2),"0000"))))</f>
        <v/>
      </c>
      <c r="AK1054">
        <f>IF(OR($AE1054="",$AI1054="",$AI1054="نامعتبر"),"",LEFT($AI1054,4)&amp;MID($AI1054,6,2)&amp;RIGHT($AI1054,2)&amp;$AJ1054&amp;"|"&amp;"3"&amp;RIGHT("00000"&amp;1049,5))</f>
        <v/>
      </c>
      <c r="AL1054">
        <f>IF($AK1054="","",COUNTIFS(LdAParty,$AE1054,LdAType,1,LdAKey,"&lt;"&amp;$AK1054)+COUNTIFS(LdBMember,$AE1054,LdBKey,"&lt;"&amp;$AK1054)+COUNTIFS(LdCParty,$AE1054,LdCKey,"&lt;"&amp;$AK1054)+1)</f>
        <v/>
      </c>
      <c r="AM1054">
        <f>IF($AL1054="","",$AE1054&amp;"|"&amp;RIGHT("000000"&amp;$AL1054,6))</f>
        <v/>
      </c>
      <c r="AN1054">
        <f>IF($AE1054="","",IF(Sync!$W1054="",0,Sync!$W1054))</f>
        <v/>
      </c>
      <c r="AO1054">
        <f>IF($AE1054="","",IF(Sync!$X1054="",0,Sync!$X1054))</f>
        <v/>
      </c>
      <c r="AP1054">
        <f>IF($AE1054="","",Sync!$R1054)</f>
        <v/>
      </c>
      <c r="AQ1054">
        <f>IF($AE1054="","",Sync!$Y1054)</f>
        <v/>
      </c>
    </row>
    <row r="1055">
      <c r="A1055">
        <f>IF(OR(Wages!$B1058="",Wages!$E1058=""),"",Wages!$E1058)</f>
        <v/>
      </c>
      <c r="B1055">
        <f>IF($A1055="","",IF(Wages!$C1058="دستمزد گروهی",2,1))</f>
        <v/>
      </c>
      <c r="C1055">
        <f>IF($A1055="","",IF(ISNUMBER(Wages!$B1058),IF(AND(Wages!$B1058&gt;=10000101,Wages!$B1058&lt;=99991231),INT(Wages!$B1058/10000),""),IFERROR(VALUE(TRIM(LEFT(Wages!$B1058,FIND("/",Wages!$B1058)-1))),"")))</f>
        <v/>
      </c>
      <c r="D1055">
        <f>IF(OR($A1055="",$C1055=""),"",IF(ISNUMBER(Wages!$B1058),INT(MOD(Wages!$B1058,10000)/100),IFERROR(VALUE(TRIM(LEFT(MID(Wages!$B1058,FIND("/",Wages!$B1058)+1,20),FIND("/",MID(Wages!$B1058,FIND("/",Wages!$B1058)+1,20))-1))),"")))</f>
        <v/>
      </c>
      <c r="E1055">
        <f>IF(OR($A1055="",$C1055=""),"",IF(ISNUMBER(Wages!$B1058),MOD(Wages!$B1058,100),IFERROR(VALUE(TRIM(MID(MID(Wages!$B1058,FIND("/",Wages!$B1058)+1,20),FIND("/",MID(Wages!$B1058,FIND("/",Wages!$B1058)+1,20))+1,20))),"")))</f>
        <v/>
      </c>
      <c r="F1055">
        <f>IF($A1055="","",IF(OR($C1055="",$D1055="",$E1055="",$C1055&lt;1300,$C1055&gt;1500,$D1055&lt;1,$D1055&gt;12,$E1055&lt;1,$E1055&gt;31),"نامعتبر",RIGHT("0000"&amp;$C1055,4)&amp;"/"&amp;RIGHT("00"&amp;$D1055,2)&amp;"/"&amp;RIGHT("00"&amp;$E1055,2)))</f>
        <v/>
      </c>
      <c r="G1055">
        <f>IF(OR($A1055="",$F1055="",$F1055="نامعتبر"),"",LEFT($F1055,4)&amp;MID($F1055,6,2)&amp;RIGHT($F1055,2)&amp;"0000"&amp;"|"&amp;"1"&amp;RIGHT("00000"&amp;1050,5))</f>
        <v/>
      </c>
      <c r="H1055">
        <f>IF(OR($B1055&lt;&gt;1,$G1055=""),"",COUNTIFS(LdAParty,$A1055,LdAType,1,LdAKey,"&lt;"&amp;$G1055)+COUNTIFS(LdBMember,$A1055,LdBKey,"&lt;"&amp;$G1055)+COUNTIFS(LdCParty,$A1055,LdCKey,"&lt;"&amp;$G1055)+1)</f>
        <v/>
      </c>
      <c r="I1055">
        <f>IF($H1055="","",$A1055&amp;"|"&amp;RIGHT("000000"&amp;$H1055,6))</f>
        <v/>
      </c>
      <c r="J1055">
        <f>IF(OR($B1055&lt;&gt;2,$G1055=""),"",COUNTIFS(LdAParty,$A1055,LdAType,2,LdAKey,"&lt;"&amp;$G1055)+1)</f>
        <v/>
      </c>
      <c r="K1055">
        <f>IF($J1055="","",$A1055&amp;"|"&amp;RIGHT("000000"&amp;$J1055,6))</f>
        <v/>
      </c>
      <c r="L1055">
        <f>IF($A1055="","",IF(Wages!$G1058="",0,Wages!$G1058))</f>
        <v/>
      </c>
      <c r="M1055">
        <f>IF($A1055="","",Wages!$J1058)</f>
        <v/>
      </c>
      <c r="N1055">
        <f>IF($A1055="","",Wages!$D1058)</f>
        <v/>
      </c>
      <c r="P1055">
        <f>IF(OR(Shares!$B1058="",Shares!$C1058=""),"",Shares!$C1058)</f>
        <v/>
      </c>
      <c r="Q1055">
        <f>IF($P1055="","",Shares!$B1058)</f>
        <v/>
      </c>
      <c r="R1055">
        <f>IF($P1055="","",IFERROR(INDEX(WageParty,MATCH($Q1055,WageIds,0)),""))</f>
        <v/>
      </c>
      <c r="S1055">
        <f>IF($P1055="","",IFERROR(INDEX($F$6:$F$2005,MATCH($Q1055,WageIds,0)),""))</f>
        <v/>
      </c>
      <c r="T1055">
        <f>IF(OR($P1055="",$S1055="",$S1055="نامعتبر"),"",LEFT($S1055,4)&amp;MID($S1055,6,2)&amp;RIGHT($S1055,2)&amp;"0000"&amp;"|"&amp;"2"&amp;RIGHT("00000"&amp;1050,5))</f>
        <v/>
      </c>
      <c r="U1055">
        <f>IF($T1055="","",COUNTIFS(LdAParty,$P1055,LdAType,1,LdAKey,"&lt;"&amp;$T1055)+COUNTIFS(LdBMember,$P1055,LdBKey,"&lt;"&amp;$T1055)+COUNTIFS(LdCParty,$P1055,LdCKey,"&lt;"&amp;$T1055)+1)</f>
        <v/>
      </c>
      <c r="V1055">
        <f>IF($U1055="","",$P1055&amp;"|"&amp;RIGHT("000000"&amp;$U1055,6))</f>
        <v/>
      </c>
      <c r="W1055">
        <f>IF($T1055="","",COUNTIFS(LdBGroup,$R1055,LdBKey,"&lt;"&amp;$T1055)+1)</f>
        <v/>
      </c>
      <c r="X1055">
        <f>IF($W1055="","",$R1055&amp;"|"&amp;RIGHT("000000"&amp;$W1055,6))</f>
        <v/>
      </c>
      <c r="Y1055">
        <f>IF($P1055="","",IF(Shares!$E1058="",0,Shares!$E1058))</f>
        <v/>
      </c>
      <c r="Z1055">
        <f>IF($P1055="","",Shares!$H1058)</f>
        <v/>
      </c>
      <c r="AE1055">
        <f>IF(OR(Sync!$S1055="",Sync!$P1055=""),"",Sync!$S1055)</f>
        <v/>
      </c>
      <c r="AF1055">
        <f>IF($AE1055="","",IF(ISNUMBER(Sync!$P1055),IF(AND(Sync!$P1055&gt;=10000101,Sync!$P1055&lt;=99991231),INT(Sync!$P1055/10000),""),IFERROR(VALUE(TRIM(LEFT(Sync!$P1055,FIND("/",Sync!$P1055)-1))),"")))</f>
        <v/>
      </c>
      <c r="AG1055">
        <f>IF(OR($AE1055="",$AF1055=""),"",IF(ISNUMBER(Sync!$P1055),INT(MOD(Sync!$P1055,10000)/100),IFERROR(VALUE(TRIM(LEFT(MID(Sync!$P1055,FIND("/",Sync!$P1055)+1,20),FIND("/",MID(Sync!$P1055,FIND("/",Sync!$P1055)+1,20))-1))),"")))</f>
        <v/>
      </c>
      <c r="AH1055">
        <f>IF(OR($AE1055="",$AF1055=""),"",IF(ISNUMBER(Sync!$P1055),MOD(Sync!$P1055,100),IFERROR(VALUE(TRIM(MID(MID(Sync!$P1055,FIND("/",Sync!$P1055)+1,20),FIND("/",MID(Sync!$P1055,FIND("/",Sync!$P1055)+1,20))+1,20))),"")))</f>
        <v/>
      </c>
      <c r="AI1055">
        <f>IF($AE1055="","",IF(OR($AF1055="",$AG1055="",$AH1055="",$AF1055&lt;1300,$AF1055&gt;1500,$AG1055&lt;1,$AG1055&gt;12,$AH1055&lt;1,$AH1055&gt;31),"نامعتبر",RIGHT("0000"&amp;$AF1055,4)&amp;"/"&amp;RIGHT("00"&amp;$AG1055,2)&amp;"/"&amp;RIGHT("00"&amp;$AH1055,2)))</f>
        <v/>
      </c>
      <c r="AJ1055">
        <f>IF($AE1055="","",IF(Sync!$Q1055="","0000",IF(AND(ISNUMBER(Sync!$Q1055),Sync!$Q1055&gt;=0,Sync!$Q1055&lt;1),RIGHT("00"&amp;HOUR(Sync!$Q1055),2)&amp;RIGHT("00"&amp;MINUTE(Sync!$Q1055),2),IFERROR(RIGHT("00"&amp;VALUE(LEFT(Sync!$Q1055,FIND(":",Sync!$Q1055)-1)),2)&amp;RIGHT("00"&amp;VALUE(MID(Sync!$Q1055,FIND(":",Sync!$Q1055)+1,2)),2),"0000"))))</f>
        <v/>
      </c>
      <c r="AK1055">
        <f>IF(OR($AE1055="",$AI1055="",$AI1055="نامعتبر"),"",LEFT($AI1055,4)&amp;MID($AI1055,6,2)&amp;RIGHT($AI1055,2)&amp;$AJ1055&amp;"|"&amp;"3"&amp;RIGHT("00000"&amp;1050,5))</f>
        <v/>
      </c>
      <c r="AL1055">
        <f>IF($AK1055="","",COUNTIFS(LdAParty,$AE1055,LdAType,1,LdAKey,"&lt;"&amp;$AK1055)+COUNTIFS(LdBMember,$AE1055,LdBKey,"&lt;"&amp;$AK1055)+COUNTIFS(LdCParty,$AE1055,LdCKey,"&lt;"&amp;$AK1055)+1)</f>
        <v/>
      </c>
      <c r="AM1055">
        <f>IF($AL1055="","",$AE1055&amp;"|"&amp;RIGHT("000000"&amp;$AL1055,6))</f>
        <v/>
      </c>
      <c r="AN1055">
        <f>IF($AE1055="","",IF(Sync!$W1055="",0,Sync!$W1055))</f>
        <v/>
      </c>
      <c r="AO1055">
        <f>IF($AE1055="","",IF(Sync!$X1055="",0,Sync!$X1055))</f>
        <v/>
      </c>
      <c r="AP1055">
        <f>IF($AE1055="","",Sync!$R1055)</f>
        <v/>
      </c>
      <c r="AQ1055">
        <f>IF($AE1055="","",Sync!$Y1055)</f>
        <v/>
      </c>
    </row>
    <row r="1056">
      <c r="A1056">
        <f>IF(OR(Wages!$B1059="",Wages!$E1059=""),"",Wages!$E1059)</f>
        <v/>
      </c>
      <c r="B1056">
        <f>IF($A1056="","",IF(Wages!$C1059="دستمزد گروهی",2,1))</f>
        <v/>
      </c>
      <c r="C1056">
        <f>IF($A1056="","",IF(ISNUMBER(Wages!$B1059),IF(AND(Wages!$B1059&gt;=10000101,Wages!$B1059&lt;=99991231),INT(Wages!$B1059/10000),""),IFERROR(VALUE(TRIM(LEFT(Wages!$B1059,FIND("/",Wages!$B1059)-1))),"")))</f>
        <v/>
      </c>
      <c r="D1056">
        <f>IF(OR($A1056="",$C1056=""),"",IF(ISNUMBER(Wages!$B1059),INT(MOD(Wages!$B1059,10000)/100),IFERROR(VALUE(TRIM(LEFT(MID(Wages!$B1059,FIND("/",Wages!$B1059)+1,20),FIND("/",MID(Wages!$B1059,FIND("/",Wages!$B1059)+1,20))-1))),"")))</f>
        <v/>
      </c>
      <c r="E1056">
        <f>IF(OR($A1056="",$C1056=""),"",IF(ISNUMBER(Wages!$B1059),MOD(Wages!$B1059,100),IFERROR(VALUE(TRIM(MID(MID(Wages!$B1059,FIND("/",Wages!$B1059)+1,20),FIND("/",MID(Wages!$B1059,FIND("/",Wages!$B1059)+1,20))+1,20))),"")))</f>
        <v/>
      </c>
      <c r="F1056">
        <f>IF($A1056="","",IF(OR($C1056="",$D1056="",$E1056="",$C1056&lt;1300,$C1056&gt;1500,$D1056&lt;1,$D1056&gt;12,$E1056&lt;1,$E1056&gt;31),"نامعتبر",RIGHT("0000"&amp;$C1056,4)&amp;"/"&amp;RIGHT("00"&amp;$D1056,2)&amp;"/"&amp;RIGHT("00"&amp;$E1056,2)))</f>
        <v/>
      </c>
      <c r="G1056">
        <f>IF(OR($A1056="",$F1056="",$F1056="نامعتبر"),"",LEFT($F1056,4)&amp;MID($F1056,6,2)&amp;RIGHT($F1056,2)&amp;"0000"&amp;"|"&amp;"1"&amp;RIGHT("00000"&amp;1051,5))</f>
        <v/>
      </c>
      <c r="H1056">
        <f>IF(OR($B1056&lt;&gt;1,$G1056=""),"",COUNTIFS(LdAParty,$A1056,LdAType,1,LdAKey,"&lt;"&amp;$G1056)+COUNTIFS(LdBMember,$A1056,LdBKey,"&lt;"&amp;$G1056)+COUNTIFS(LdCParty,$A1056,LdCKey,"&lt;"&amp;$G1056)+1)</f>
        <v/>
      </c>
      <c r="I1056">
        <f>IF($H1056="","",$A1056&amp;"|"&amp;RIGHT("000000"&amp;$H1056,6))</f>
        <v/>
      </c>
      <c r="J1056">
        <f>IF(OR($B1056&lt;&gt;2,$G1056=""),"",COUNTIFS(LdAParty,$A1056,LdAType,2,LdAKey,"&lt;"&amp;$G1056)+1)</f>
        <v/>
      </c>
      <c r="K1056">
        <f>IF($J1056="","",$A1056&amp;"|"&amp;RIGHT("000000"&amp;$J1056,6))</f>
        <v/>
      </c>
      <c r="L1056">
        <f>IF($A1056="","",IF(Wages!$G1059="",0,Wages!$G1059))</f>
        <v/>
      </c>
      <c r="M1056">
        <f>IF($A1056="","",Wages!$J1059)</f>
        <v/>
      </c>
      <c r="N1056">
        <f>IF($A1056="","",Wages!$D1059)</f>
        <v/>
      </c>
      <c r="P1056">
        <f>IF(OR(Shares!$B1059="",Shares!$C1059=""),"",Shares!$C1059)</f>
        <v/>
      </c>
      <c r="Q1056">
        <f>IF($P1056="","",Shares!$B1059)</f>
        <v/>
      </c>
      <c r="R1056">
        <f>IF($P1056="","",IFERROR(INDEX(WageParty,MATCH($Q1056,WageIds,0)),""))</f>
        <v/>
      </c>
      <c r="S1056">
        <f>IF($P1056="","",IFERROR(INDEX($F$6:$F$2005,MATCH($Q1056,WageIds,0)),""))</f>
        <v/>
      </c>
      <c r="T1056">
        <f>IF(OR($P1056="",$S1056="",$S1056="نامعتبر"),"",LEFT($S1056,4)&amp;MID($S1056,6,2)&amp;RIGHT($S1056,2)&amp;"0000"&amp;"|"&amp;"2"&amp;RIGHT("00000"&amp;1051,5))</f>
        <v/>
      </c>
      <c r="U1056">
        <f>IF($T1056="","",COUNTIFS(LdAParty,$P1056,LdAType,1,LdAKey,"&lt;"&amp;$T1056)+COUNTIFS(LdBMember,$P1056,LdBKey,"&lt;"&amp;$T1056)+COUNTIFS(LdCParty,$P1056,LdCKey,"&lt;"&amp;$T1056)+1)</f>
        <v/>
      </c>
      <c r="V1056">
        <f>IF($U1056="","",$P1056&amp;"|"&amp;RIGHT("000000"&amp;$U1056,6))</f>
        <v/>
      </c>
      <c r="W1056">
        <f>IF($T1056="","",COUNTIFS(LdBGroup,$R1056,LdBKey,"&lt;"&amp;$T1056)+1)</f>
        <v/>
      </c>
      <c r="X1056">
        <f>IF($W1056="","",$R1056&amp;"|"&amp;RIGHT("000000"&amp;$W1056,6))</f>
        <v/>
      </c>
      <c r="Y1056">
        <f>IF($P1056="","",IF(Shares!$E1059="",0,Shares!$E1059))</f>
        <v/>
      </c>
      <c r="Z1056">
        <f>IF($P1056="","",Shares!$H1059)</f>
        <v/>
      </c>
      <c r="AE1056">
        <f>IF(OR(Sync!$S1056="",Sync!$P1056=""),"",Sync!$S1056)</f>
        <v/>
      </c>
      <c r="AF1056">
        <f>IF($AE1056="","",IF(ISNUMBER(Sync!$P1056),IF(AND(Sync!$P1056&gt;=10000101,Sync!$P1056&lt;=99991231),INT(Sync!$P1056/10000),""),IFERROR(VALUE(TRIM(LEFT(Sync!$P1056,FIND("/",Sync!$P1056)-1))),"")))</f>
        <v/>
      </c>
      <c r="AG1056">
        <f>IF(OR($AE1056="",$AF1056=""),"",IF(ISNUMBER(Sync!$P1056),INT(MOD(Sync!$P1056,10000)/100),IFERROR(VALUE(TRIM(LEFT(MID(Sync!$P1056,FIND("/",Sync!$P1056)+1,20),FIND("/",MID(Sync!$P1056,FIND("/",Sync!$P1056)+1,20))-1))),"")))</f>
        <v/>
      </c>
      <c r="AH1056">
        <f>IF(OR($AE1056="",$AF1056=""),"",IF(ISNUMBER(Sync!$P1056),MOD(Sync!$P1056,100),IFERROR(VALUE(TRIM(MID(MID(Sync!$P1056,FIND("/",Sync!$P1056)+1,20),FIND("/",MID(Sync!$P1056,FIND("/",Sync!$P1056)+1,20))+1,20))),"")))</f>
        <v/>
      </c>
      <c r="AI1056">
        <f>IF($AE1056="","",IF(OR($AF1056="",$AG1056="",$AH1056="",$AF1056&lt;1300,$AF1056&gt;1500,$AG1056&lt;1,$AG1056&gt;12,$AH1056&lt;1,$AH1056&gt;31),"نامعتبر",RIGHT("0000"&amp;$AF1056,4)&amp;"/"&amp;RIGHT("00"&amp;$AG1056,2)&amp;"/"&amp;RIGHT("00"&amp;$AH1056,2)))</f>
        <v/>
      </c>
      <c r="AJ1056">
        <f>IF($AE1056="","",IF(Sync!$Q1056="","0000",IF(AND(ISNUMBER(Sync!$Q1056),Sync!$Q1056&gt;=0,Sync!$Q1056&lt;1),RIGHT("00"&amp;HOUR(Sync!$Q1056),2)&amp;RIGHT("00"&amp;MINUTE(Sync!$Q1056),2),IFERROR(RIGHT("00"&amp;VALUE(LEFT(Sync!$Q1056,FIND(":",Sync!$Q1056)-1)),2)&amp;RIGHT("00"&amp;VALUE(MID(Sync!$Q1056,FIND(":",Sync!$Q1056)+1,2)),2),"0000"))))</f>
        <v/>
      </c>
      <c r="AK1056">
        <f>IF(OR($AE1056="",$AI1056="",$AI1056="نامعتبر"),"",LEFT($AI1056,4)&amp;MID($AI1056,6,2)&amp;RIGHT($AI1056,2)&amp;$AJ1056&amp;"|"&amp;"3"&amp;RIGHT("00000"&amp;1051,5))</f>
        <v/>
      </c>
      <c r="AL1056">
        <f>IF($AK1056="","",COUNTIFS(LdAParty,$AE1056,LdAType,1,LdAKey,"&lt;"&amp;$AK1056)+COUNTIFS(LdBMember,$AE1056,LdBKey,"&lt;"&amp;$AK1056)+COUNTIFS(LdCParty,$AE1056,LdCKey,"&lt;"&amp;$AK1056)+1)</f>
        <v/>
      </c>
      <c r="AM1056">
        <f>IF($AL1056="","",$AE1056&amp;"|"&amp;RIGHT("000000"&amp;$AL1056,6))</f>
        <v/>
      </c>
      <c r="AN1056">
        <f>IF($AE1056="","",IF(Sync!$W1056="",0,Sync!$W1056))</f>
        <v/>
      </c>
      <c r="AO1056">
        <f>IF($AE1056="","",IF(Sync!$X1056="",0,Sync!$X1056))</f>
        <v/>
      </c>
      <c r="AP1056">
        <f>IF($AE1056="","",Sync!$R1056)</f>
        <v/>
      </c>
      <c r="AQ1056">
        <f>IF($AE1056="","",Sync!$Y1056)</f>
        <v/>
      </c>
    </row>
    <row r="1057">
      <c r="A1057">
        <f>IF(OR(Wages!$B1060="",Wages!$E1060=""),"",Wages!$E1060)</f>
        <v/>
      </c>
      <c r="B1057">
        <f>IF($A1057="","",IF(Wages!$C1060="دستمزد گروهی",2,1))</f>
        <v/>
      </c>
      <c r="C1057">
        <f>IF($A1057="","",IF(ISNUMBER(Wages!$B1060),IF(AND(Wages!$B1060&gt;=10000101,Wages!$B1060&lt;=99991231),INT(Wages!$B1060/10000),""),IFERROR(VALUE(TRIM(LEFT(Wages!$B1060,FIND("/",Wages!$B1060)-1))),"")))</f>
        <v/>
      </c>
      <c r="D1057">
        <f>IF(OR($A1057="",$C1057=""),"",IF(ISNUMBER(Wages!$B1060),INT(MOD(Wages!$B1060,10000)/100),IFERROR(VALUE(TRIM(LEFT(MID(Wages!$B1060,FIND("/",Wages!$B1060)+1,20),FIND("/",MID(Wages!$B1060,FIND("/",Wages!$B1060)+1,20))-1))),"")))</f>
        <v/>
      </c>
      <c r="E1057">
        <f>IF(OR($A1057="",$C1057=""),"",IF(ISNUMBER(Wages!$B1060),MOD(Wages!$B1060,100),IFERROR(VALUE(TRIM(MID(MID(Wages!$B1060,FIND("/",Wages!$B1060)+1,20),FIND("/",MID(Wages!$B1060,FIND("/",Wages!$B1060)+1,20))+1,20))),"")))</f>
        <v/>
      </c>
      <c r="F1057">
        <f>IF($A1057="","",IF(OR($C1057="",$D1057="",$E1057="",$C1057&lt;1300,$C1057&gt;1500,$D1057&lt;1,$D1057&gt;12,$E1057&lt;1,$E1057&gt;31),"نامعتبر",RIGHT("0000"&amp;$C1057,4)&amp;"/"&amp;RIGHT("00"&amp;$D1057,2)&amp;"/"&amp;RIGHT("00"&amp;$E1057,2)))</f>
        <v/>
      </c>
      <c r="G1057">
        <f>IF(OR($A1057="",$F1057="",$F1057="نامعتبر"),"",LEFT($F1057,4)&amp;MID($F1057,6,2)&amp;RIGHT($F1057,2)&amp;"0000"&amp;"|"&amp;"1"&amp;RIGHT("00000"&amp;1052,5))</f>
        <v/>
      </c>
      <c r="H1057">
        <f>IF(OR($B1057&lt;&gt;1,$G1057=""),"",COUNTIFS(LdAParty,$A1057,LdAType,1,LdAKey,"&lt;"&amp;$G1057)+COUNTIFS(LdBMember,$A1057,LdBKey,"&lt;"&amp;$G1057)+COUNTIFS(LdCParty,$A1057,LdCKey,"&lt;"&amp;$G1057)+1)</f>
        <v/>
      </c>
      <c r="I1057">
        <f>IF($H1057="","",$A1057&amp;"|"&amp;RIGHT("000000"&amp;$H1057,6))</f>
        <v/>
      </c>
      <c r="J1057">
        <f>IF(OR($B1057&lt;&gt;2,$G1057=""),"",COUNTIFS(LdAParty,$A1057,LdAType,2,LdAKey,"&lt;"&amp;$G1057)+1)</f>
        <v/>
      </c>
      <c r="K1057">
        <f>IF($J1057="","",$A1057&amp;"|"&amp;RIGHT("000000"&amp;$J1057,6))</f>
        <v/>
      </c>
      <c r="L1057">
        <f>IF($A1057="","",IF(Wages!$G1060="",0,Wages!$G1060))</f>
        <v/>
      </c>
      <c r="M1057">
        <f>IF($A1057="","",Wages!$J1060)</f>
        <v/>
      </c>
      <c r="N1057">
        <f>IF($A1057="","",Wages!$D1060)</f>
        <v/>
      </c>
      <c r="P1057">
        <f>IF(OR(Shares!$B1060="",Shares!$C1060=""),"",Shares!$C1060)</f>
        <v/>
      </c>
      <c r="Q1057">
        <f>IF($P1057="","",Shares!$B1060)</f>
        <v/>
      </c>
      <c r="R1057">
        <f>IF($P1057="","",IFERROR(INDEX(WageParty,MATCH($Q1057,WageIds,0)),""))</f>
        <v/>
      </c>
      <c r="S1057">
        <f>IF($P1057="","",IFERROR(INDEX($F$6:$F$2005,MATCH($Q1057,WageIds,0)),""))</f>
        <v/>
      </c>
      <c r="T1057">
        <f>IF(OR($P1057="",$S1057="",$S1057="نامعتبر"),"",LEFT($S1057,4)&amp;MID($S1057,6,2)&amp;RIGHT($S1057,2)&amp;"0000"&amp;"|"&amp;"2"&amp;RIGHT("00000"&amp;1052,5))</f>
        <v/>
      </c>
      <c r="U1057">
        <f>IF($T1057="","",COUNTIFS(LdAParty,$P1057,LdAType,1,LdAKey,"&lt;"&amp;$T1057)+COUNTIFS(LdBMember,$P1057,LdBKey,"&lt;"&amp;$T1057)+COUNTIFS(LdCParty,$P1057,LdCKey,"&lt;"&amp;$T1057)+1)</f>
        <v/>
      </c>
      <c r="V1057">
        <f>IF($U1057="","",$P1057&amp;"|"&amp;RIGHT("000000"&amp;$U1057,6))</f>
        <v/>
      </c>
      <c r="W1057">
        <f>IF($T1057="","",COUNTIFS(LdBGroup,$R1057,LdBKey,"&lt;"&amp;$T1057)+1)</f>
        <v/>
      </c>
      <c r="X1057">
        <f>IF($W1057="","",$R1057&amp;"|"&amp;RIGHT("000000"&amp;$W1057,6))</f>
        <v/>
      </c>
      <c r="Y1057">
        <f>IF($P1057="","",IF(Shares!$E1060="",0,Shares!$E1060))</f>
        <v/>
      </c>
      <c r="Z1057">
        <f>IF($P1057="","",Shares!$H1060)</f>
        <v/>
      </c>
      <c r="AE1057">
        <f>IF(OR(Sync!$S1057="",Sync!$P1057=""),"",Sync!$S1057)</f>
        <v/>
      </c>
      <c r="AF1057">
        <f>IF($AE1057="","",IF(ISNUMBER(Sync!$P1057),IF(AND(Sync!$P1057&gt;=10000101,Sync!$P1057&lt;=99991231),INT(Sync!$P1057/10000),""),IFERROR(VALUE(TRIM(LEFT(Sync!$P1057,FIND("/",Sync!$P1057)-1))),"")))</f>
        <v/>
      </c>
      <c r="AG1057">
        <f>IF(OR($AE1057="",$AF1057=""),"",IF(ISNUMBER(Sync!$P1057),INT(MOD(Sync!$P1057,10000)/100),IFERROR(VALUE(TRIM(LEFT(MID(Sync!$P1057,FIND("/",Sync!$P1057)+1,20),FIND("/",MID(Sync!$P1057,FIND("/",Sync!$P1057)+1,20))-1))),"")))</f>
        <v/>
      </c>
      <c r="AH1057">
        <f>IF(OR($AE1057="",$AF1057=""),"",IF(ISNUMBER(Sync!$P1057),MOD(Sync!$P1057,100),IFERROR(VALUE(TRIM(MID(MID(Sync!$P1057,FIND("/",Sync!$P1057)+1,20),FIND("/",MID(Sync!$P1057,FIND("/",Sync!$P1057)+1,20))+1,20))),"")))</f>
        <v/>
      </c>
      <c r="AI1057">
        <f>IF($AE1057="","",IF(OR($AF1057="",$AG1057="",$AH1057="",$AF1057&lt;1300,$AF1057&gt;1500,$AG1057&lt;1,$AG1057&gt;12,$AH1057&lt;1,$AH1057&gt;31),"نامعتبر",RIGHT("0000"&amp;$AF1057,4)&amp;"/"&amp;RIGHT("00"&amp;$AG1057,2)&amp;"/"&amp;RIGHT("00"&amp;$AH1057,2)))</f>
        <v/>
      </c>
      <c r="AJ1057">
        <f>IF($AE1057="","",IF(Sync!$Q1057="","0000",IF(AND(ISNUMBER(Sync!$Q1057),Sync!$Q1057&gt;=0,Sync!$Q1057&lt;1),RIGHT("00"&amp;HOUR(Sync!$Q1057),2)&amp;RIGHT("00"&amp;MINUTE(Sync!$Q1057),2),IFERROR(RIGHT("00"&amp;VALUE(LEFT(Sync!$Q1057,FIND(":",Sync!$Q1057)-1)),2)&amp;RIGHT("00"&amp;VALUE(MID(Sync!$Q1057,FIND(":",Sync!$Q1057)+1,2)),2),"0000"))))</f>
        <v/>
      </c>
      <c r="AK1057">
        <f>IF(OR($AE1057="",$AI1057="",$AI1057="نامعتبر"),"",LEFT($AI1057,4)&amp;MID($AI1057,6,2)&amp;RIGHT($AI1057,2)&amp;$AJ1057&amp;"|"&amp;"3"&amp;RIGHT("00000"&amp;1052,5))</f>
        <v/>
      </c>
      <c r="AL1057">
        <f>IF($AK1057="","",COUNTIFS(LdAParty,$AE1057,LdAType,1,LdAKey,"&lt;"&amp;$AK1057)+COUNTIFS(LdBMember,$AE1057,LdBKey,"&lt;"&amp;$AK1057)+COUNTIFS(LdCParty,$AE1057,LdCKey,"&lt;"&amp;$AK1057)+1)</f>
        <v/>
      </c>
      <c r="AM1057">
        <f>IF($AL1057="","",$AE1057&amp;"|"&amp;RIGHT("000000"&amp;$AL1057,6))</f>
        <v/>
      </c>
      <c r="AN1057">
        <f>IF($AE1057="","",IF(Sync!$W1057="",0,Sync!$W1057))</f>
        <v/>
      </c>
      <c r="AO1057">
        <f>IF($AE1057="","",IF(Sync!$X1057="",0,Sync!$X1057))</f>
        <v/>
      </c>
      <c r="AP1057">
        <f>IF($AE1057="","",Sync!$R1057)</f>
        <v/>
      </c>
      <c r="AQ1057">
        <f>IF($AE1057="","",Sync!$Y1057)</f>
        <v/>
      </c>
    </row>
    <row r="1058">
      <c r="A1058">
        <f>IF(OR(Wages!$B1061="",Wages!$E1061=""),"",Wages!$E1061)</f>
        <v/>
      </c>
      <c r="B1058">
        <f>IF($A1058="","",IF(Wages!$C1061="دستمزد گروهی",2,1))</f>
        <v/>
      </c>
      <c r="C1058">
        <f>IF($A1058="","",IF(ISNUMBER(Wages!$B1061),IF(AND(Wages!$B1061&gt;=10000101,Wages!$B1061&lt;=99991231),INT(Wages!$B1061/10000),""),IFERROR(VALUE(TRIM(LEFT(Wages!$B1061,FIND("/",Wages!$B1061)-1))),"")))</f>
        <v/>
      </c>
      <c r="D1058">
        <f>IF(OR($A1058="",$C1058=""),"",IF(ISNUMBER(Wages!$B1061),INT(MOD(Wages!$B1061,10000)/100),IFERROR(VALUE(TRIM(LEFT(MID(Wages!$B1061,FIND("/",Wages!$B1061)+1,20),FIND("/",MID(Wages!$B1061,FIND("/",Wages!$B1061)+1,20))-1))),"")))</f>
        <v/>
      </c>
      <c r="E1058">
        <f>IF(OR($A1058="",$C1058=""),"",IF(ISNUMBER(Wages!$B1061),MOD(Wages!$B1061,100),IFERROR(VALUE(TRIM(MID(MID(Wages!$B1061,FIND("/",Wages!$B1061)+1,20),FIND("/",MID(Wages!$B1061,FIND("/",Wages!$B1061)+1,20))+1,20))),"")))</f>
        <v/>
      </c>
      <c r="F1058">
        <f>IF($A1058="","",IF(OR($C1058="",$D1058="",$E1058="",$C1058&lt;1300,$C1058&gt;1500,$D1058&lt;1,$D1058&gt;12,$E1058&lt;1,$E1058&gt;31),"نامعتبر",RIGHT("0000"&amp;$C1058,4)&amp;"/"&amp;RIGHT("00"&amp;$D1058,2)&amp;"/"&amp;RIGHT("00"&amp;$E1058,2)))</f>
        <v/>
      </c>
      <c r="G1058">
        <f>IF(OR($A1058="",$F1058="",$F1058="نامعتبر"),"",LEFT($F1058,4)&amp;MID($F1058,6,2)&amp;RIGHT($F1058,2)&amp;"0000"&amp;"|"&amp;"1"&amp;RIGHT("00000"&amp;1053,5))</f>
        <v/>
      </c>
      <c r="H1058">
        <f>IF(OR($B1058&lt;&gt;1,$G1058=""),"",COUNTIFS(LdAParty,$A1058,LdAType,1,LdAKey,"&lt;"&amp;$G1058)+COUNTIFS(LdBMember,$A1058,LdBKey,"&lt;"&amp;$G1058)+COUNTIFS(LdCParty,$A1058,LdCKey,"&lt;"&amp;$G1058)+1)</f>
        <v/>
      </c>
      <c r="I1058">
        <f>IF($H1058="","",$A1058&amp;"|"&amp;RIGHT("000000"&amp;$H1058,6))</f>
        <v/>
      </c>
      <c r="J1058">
        <f>IF(OR($B1058&lt;&gt;2,$G1058=""),"",COUNTIFS(LdAParty,$A1058,LdAType,2,LdAKey,"&lt;"&amp;$G1058)+1)</f>
        <v/>
      </c>
      <c r="K1058">
        <f>IF($J1058="","",$A1058&amp;"|"&amp;RIGHT("000000"&amp;$J1058,6))</f>
        <v/>
      </c>
      <c r="L1058">
        <f>IF($A1058="","",IF(Wages!$G1061="",0,Wages!$G1061))</f>
        <v/>
      </c>
      <c r="M1058">
        <f>IF($A1058="","",Wages!$J1061)</f>
        <v/>
      </c>
      <c r="N1058">
        <f>IF($A1058="","",Wages!$D1061)</f>
        <v/>
      </c>
      <c r="P1058">
        <f>IF(OR(Shares!$B1061="",Shares!$C1061=""),"",Shares!$C1061)</f>
        <v/>
      </c>
      <c r="Q1058">
        <f>IF($P1058="","",Shares!$B1061)</f>
        <v/>
      </c>
      <c r="R1058">
        <f>IF($P1058="","",IFERROR(INDEX(WageParty,MATCH($Q1058,WageIds,0)),""))</f>
        <v/>
      </c>
      <c r="S1058">
        <f>IF($P1058="","",IFERROR(INDEX($F$6:$F$2005,MATCH($Q1058,WageIds,0)),""))</f>
        <v/>
      </c>
      <c r="T1058">
        <f>IF(OR($P1058="",$S1058="",$S1058="نامعتبر"),"",LEFT($S1058,4)&amp;MID($S1058,6,2)&amp;RIGHT($S1058,2)&amp;"0000"&amp;"|"&amp;"2"&amp;RIGHT("00000"&amp;1053,5))</f>
        <v/>
      </c>
      <c r="U1058">
        <f>IF($T1058="","",COUNTIFS(LdAParty,$P1058,LdAType,1,LdAKey,"&lt;"&amp;$T1058)+COUNTIFS(LdBMember,$P1058,LdBKey,"&lt;"&amp;$T1058)+COUNTIFS(LdCParty,$P1058,LdCKey,"&lt;"&amp;$T1058)+1)</f>
        <v/>
      </c>
      <c r="V1058">
        <f>IF($U1058="","",$P1058&amp;"|"&amp;RIGHT("000000"&amp;$U1058,6))</f>
        <v/>
      </c>
      <c r="W1058">
        <f>IF($T1058="","",COUNTIFS(LdBGroup,$R1058,LdBKey,"&lt;"&amp;$T1058)+1)</f>
        <v/>
      </c>
      <c r="X1058">
        <f>IF($W1058="","",$R1058&amp;"|"&amp;RIGHT("000000"&amp;$W1058,6))</f>
        <v/>
      </c>
      <c r="Y1058">
        <f>IF($P1058="","",IF(Shares!$E1061="",0,Shares!$E1061))</f>
        <v/>
      </c>
      <c r="Z1058">
        <f>IF($P1058="","",Shares!$H1061)</f>
        <v/>
      </c>
      <c r="AE1058">
        <f>IF(OR(Sync!$S1058="",Sync!$P1058=""),"",Sync!$S1058)</f>
        <v/>
      </c>
      <c r="AF1058">
        <f>IF($AE1058="","",IF(ISNUMBER(Sync!$P1058),IF(AND(Sync!$P1058&gt;=10000101,Sync!$P1058&lt;=99991231),INT(Sync!$P1058/10000),""),IFERROR(VALUE(TRIM(LEFT(Sync!$P1058,FIND("/",Sync!$P1058)-1))),"")))</f>
        <v/>
      </c>
      <c r="AG1058">
        <f>IF(OR($AE1058="",$AF1058=""),"",IF(ISNUMBER(Sync!$P1058),INT(MOD(Sync!$P1058,10000)/100),IFERROR(VALUE(TRIM(LEFT(MID(Sync!$P1058,FIND("/",Sync!$P1058)+1,20),FIND("/",MID(Sync!$P1058,FIND("/",Sync!$P1058)+1,20))-1))),"")))</f>
        <v/>
      </c>
      <c r="AH1058">
        <f>IF(OR($AE1058="",$AF1058=""),"",IF(ISNUMBER(Sync!$P1058),MOD(Sync!$P1058,100),IFERROR(VALUE(TRIM(MID(MID(Sync!$P1058,FIND("/",Sync!$P1058)+1,20),FIND("/",MID(Sync!$P1058,FIND("/",Sync!$P1058)+1,20))+1,20))),"")))</f>
        <v/>
      </c>
      <c r="AI1058">
        <f>IF($AE1058="","",IF(OR($AF1058="",$AG1058="",$AH1058="",$AF1058&lt;1300,$AF1058&gt;1500,$AG1058&lt;1,$AG1058&gt;12,$AH1058&lt;1,$AH1058&gt;31),"نامعتبر",RIGHT("0000"&amp;$AF1058,4)&amp;"/"&amp;RIGHT("00"&amp;$AG1058,2)&amp;"/"&amp;RIGHT("00"&amp;$AH1058,2)))</f>
        <v/>
      </c>
      <c r="AJ1058">
        <f>IF($AE1058="","",IF(Sync!$Q1058="","0000",IF(AND(ISNUMBER(Sync!$Q1058),Sync!$Q1058&gt;=0,Sync!$Q1058&lt;1),RIGHT("00"&amp;HOUR(Sync!$Q1058),2)&amp;RIGHT("00"&amp;MINUTE(Sync!$Q1058),2),IFERROR(RIGHT("00"&amp;VALUE(LEFT(Sync!$Q1058,FIND(":",Sync!$Q1058)-1)),2)&amp;RIGHT("00"&amp;VALUE(MID(Sync!$Q1058,FIND(":",Sync!$Q1058)+1,2)),2),"0000"))))</f>
        <v/>
      </c>
      <c r="AK1058">
        <f>IF(OR($AE1058="",$AI1058="",$AI1058="نامعتبر"),"",LEFT($AI1058,4)&amp;MID($AI1058,6,2)&amp;RIGHT($AI1058,2)&amp;$AJ1058&amp;"|"&amp;"3"&amp;RIGHT("00000"&amp;1053,5))</f>
        <v/>
      </c>
      <c r="AL1058">
        <f>IF($AK1058="","",COUNTIFS(LdAParty,$AE1058,LdAType,1,LdAKey,"&lt;"&amp;$AK1058)+COUNTIFS(LdBMember,$AE1058,LdBKey,"&lt;"&amp;$AK1058)+COUNTIFS(LdCParty,$AE1058,LdCKey,"&lt;"&amp;$AK1058)+1)</f>
        <v/>
      </c>
      <c r="AM1058">
        <f>IF($AL1058="","",$AE1058&amp;"|"&amp;RIGHT("000000"&amp;$AL1058,6))</f>
        <v/>
      </c>
      <c r="AN1058">
        <f>IF($AE1058="","",IF(Sync!$W1058="",0,Sync!$W1058))</f>
        <v/>
      </c>
      <c r="AO1058">
        <f>IF($AE1058="","",IF(Sync!$X1058="",0,Sync!$X1058))</f>
        <v/>
      </c>
      <c r="AP1058">
        <f>IF($AE1058="","",Sync!$R1058)</f>
        <v/>
      </c>
      <c r="AQ1058">
        <f>IF($AE1058="","",Sync!$Y1058)</f>
        <v/>
      </c>
    </row>
    <row r="1059">
      <c r="A1059">
        <f>IF(OR(Wages!$B1062="",Wages!$E1062=""),"",Wages!$E1062)</f>
        <v/>
      </c>
      <c r="B1059">
        <f>IF($A1059="","",IF(Wages!$C1062="دستمزد گروهی",2,1))</f>
        <v/>
      </c>
      <c r="C1059">
        <f>IF($A1059="","",IF(ISNUMBER(Wages!$B1062),IF(AND(Wages!$B1062&gt;=10000101,Wages!$B1062&lt;=99991231),INT(Wages!$B1062/10000),""),IFERROR(VALUE(TRIM(LEFT(Wages!$B1062,FIND("/",Wages!$B1062)-1))),"")))</f>
        <v/>
      </c>
      <c r="D1059">
        <f>IF(OR($A1059="",$C1059=""),"",IF(ISNUMBER(Wages!$B1062),INT(MOD(Wages!$B1062,10000)/100),IFERROR(VALUE(TRIM(LEFT(MID(Wages!$B1062,FIND("/",Wages!$B1062)+1,20),FIND("/",MID(Wages!$B1062,FIND("/",Wages!$B1062)+1,20))-1))),"")))</f>
        <v/>
      </c>
      <c r="E1059">
        <f>IF(OR($A1059="",$C1059=""),"",IF(ISNUMBER(Wages!$B1062),MOD(Wages!$B1062,100),IFERROR(VALUE(TRIM(MID(MID(Wages!$B1062,FIND("/",Wages!$B1062)+1,20),FIND("/",MID(Wages!$B1062,FIND("/",Wages!$B1062)+1,20))+1,20))),"")))</f>
        <v/>
      </c>
      <c r="F1059">
        <f>IF($A1059="","",IF(OR($C1059="",$D1059="",$E1059="",$C1059&lt;1300,$C1059&gt;1500,$D1059&lt;1,$D1059&gt;12,$E1059&lt;1,$E1059&gt;31),"نامعتبر",RIGHT("0000"&amp;$C1059,4)&amp;"/"&amp;RIGHT("00"&amp;$D1059,2)&amp;"/"&amp;RIGHT("00"&amp;$E1059,2)))</f>
        <v/>
      </c>
      <c r="G1059">
        <f>IF(OR($A1059="",$F1059="",$F1059="نامعتبر"),"",LEFT($F1059,4)&amp;MID($F1059,6,2)&amp;RIGHT($F1059,2)&amp;"0000"&amp;"|"&amp;"1"&amp;RIGHT("00000"&amp;1054,5))</f>
        <v/>
      </c>
      <c r="H1059">
        <f>IF(OR($B1059&lt;&gt;1,$G1059=""),"",COUNTIFS(LdAParty,$A1059,LdAType,1,LdAKey,"&lt;"&amp;$G1059)+COUNTIFS(LdBMember,$A1059,LdBKey,"&lt;"&amp;$G1059)+COUNTIFS(LdCParty,$A1059,LdCKey,"&lt;"&amp;$G1059)+1)</f>
        <v/>
      </c>
      <c r="I1059">
        <f>IF($H1059="","",$A1059&amp;"|"&amp;RIGHT("000000"&amp;$H1059,6))</f>
        <v/>
      </c>
      <c r="J1059">
        <f>IF(OR($B1059&lt;&gt;2,$G1059=""),"",COUNTIFS(LdAParty,$A1059,LdAType,2,LdAKey,"&lt;"&amp;$G1059)+1)</f>
        <v/>
      </c>
      <c r="K1059">
        <f>IF($J1059="","",$A1059&amp;"|"&amp;RIGHT("000000"&amp;$J1059,6))</f>
        <v/>
      </c>
      <c r="L1059">
        <f>IF($A1059="","",IF(Wages!$G1062="",0,Wages!$G1062))</f>
        <v/>
      </c>
      <c r="M1059">
        <f>IF($A1059="","",Wages!$J1062)</f>
        <v/>
      </c>
      <c r="N1059">
        <f>IF($A1059="","",Wages!$D1062)</f>
        <v/>
      </c>
      <c r="P1059">
        <f>IF(OR(Shares!$B1062="",Shares!$C1062=""),"",Shares!$C1062)</f>
        <v/>
      </c>
      <c r="Q1059">
        <f>IF($P1059="","",Shares!$B1062)</f>
        <v/>
      </c>
      <c r="R1059">
        <f>IF($P1059="","",IFERROR(INDEX(WageParty,MATCH($Q1059,WageIds,0)),""))</f>
        <v/>
      </c>
      <c r="S1059">
        <f>IF($P1059="","",IFERROR(INDEX($F$6:$F$2005,MATCH($Q1059,WageIds,0)),""))</f>
        <v/>
      </c>
      <c r="T1059">
        <f>IF(OR($P1059="",$S1059="",$S1059="نامعتبر"),"",LEFT($S1059,4)&amp;MID($S1059,6,2)&amp;RIGHT($S1059,2)&amp;"0000"&amp;"|"&amp;"2"&amp;RIGHT("00000"&amp;1054,5))</f>
        <v/>
      </c>
      <c r="U1059">
        <f>IF($T1059="","",COUNTIFS(LdAParty,$P1059,LdAType,1,LdAKey,"&lt;"&amp;$T1059)+COUNTIFS(LdBMember,$P1059,LdBKey,"&lt;"&amp;$T1059)+COUNTIFS(LdCParty,$P1059,LdCKey,"&lt;"&amp;$T1059)+1)</f>
        <v/>
      </c>
      <c r="V1059">
        <f>IF($U1059="","",$P1059&amp;"|"&amp;RIGHT("000000"&amp;$U1059,6))</f>
        <v/>
      </c>
      <c r="W1059">
        <f>IF($T1059="","",COUNTIFS(LdBGroup,$R1059,LdBKey,"&lt;"&amp;$T1059)+1)</f>
        <v/>
      </c>
      <c r="X1059">
        <f>IF($W1059="","",$R1059&amp;"|"&amp;RIGHT("000000"&amp;$W1059,6))</f>
        <v/>
      </c>
      <c r="Y1059">
        <f>IF($P1059="","",IF(Shares!$E1062="",0,Shares!$E1062))</f>
        <v/>
      </c>
      <c r="Z1059">
        <f>IF($P1059="","",Shares!$H1062)</f>
        <v/>
      </c>
      <c r="AE1059">
        <f>IF(OR(Sync!$S1059="",Sync!$P1059=""),"",Sync!$S1059)</f>
        <v/>
      </c>
      <c r="AF1059">
        <f>IF($AE1059="","",IF(ISNUMBER(Sync!$P1059),IF(AND(Sync!$P1059&gt;=10000101,Sync!$P1059&lt;=99991231),INT(Sync!$P1059/10000),""),IFERROR(VALUE(TRIM(LEFT(Sync!$P1059,FIND("/",Sync!$P1059)-1))),"")))</f>
        <v/>
      </c>
      <c r="AG1059">
        <f>IF(OR($AE1059="",$AF1059=""),"",IF(ISNUMBER(Sync!$P1059),INT(MOD(Sync!$P1059,10000)/100),IFERROR(VALUE(TRIM(LEFT(MID(Sync!$P1059,FIND("/",Sync!$P1059)+1,20),FIND("/",MID(Sync!$P1059,FIND("/",Sync!$P1059)+1,20))-1))),"")))</f>
        <v/>
      </c>
      <c r="AH1059">
        <f>IF(OR($AE1059="",$AF1059=""),"",IF(ISNUMBER(Sync!$P1059),MOD(Sync!$P1059,100),IFERROR(VALUE(TRIM(MID(MID(Sync!$P1059,FIND("/",Sync!$P1059)+1,20),FIND("/",MID(Sync!$P1059,FIND("/",Sync!$P1059)+1,20))+1,20))),"")))</f>
        <v/>
      </c>
      <c r="AI1059">
        <f>IF($AE1059="","",IF(OR($AF1059="",$AG1059="",$AH1059="",$AF1059&lt;1300,$AF1059&gt;1500,$AG1059&lt;1,$AG1059&gt;12,$AH1059&lt;1,$AH1059&gt;31),"نامعتبر",RIGHT("0000"&amp;$AF1059,4)&amp;"/"&amp;RIGHT("00"&amp;$AG1059,2)&amp;"/"&amp;RIGHT("00"&amp;$AH1059,2)))</f>
        <v/>
      </c>
      <c r="AJ1059">
        <f>IF($AE1059="","",IF(Sync!$Q1059="","0000",IF(AND(ISNUMBER(Sync!$Q1059),Sync!$Q1059&gt;=0,Sync!$Q1059&lt;1),RIGHT("00"&amp;HOUR(Sync!$Q1059),2)&amp;RIGHT("00"&amp;MINUTE(Sync!$Q1059),2),IFERROR(RIGHT("00"&amp;VALUE(LEFT(Sync!$Q1059,FIND(":",Sync!$Q1059)-1)),2)&amp;RIGHT("00"&amp;VALUE(MID(Sync!$Q1059,FIND(":",Sync!$Q1059)+1,2)),2),"0000"))))</f>
        <v/>
      </c>
      <c r="AK1059">
        <f>IF(OR($AE1059="",$AI1059="",$AI1059="نامعتبر"),"",LEFT($AI1059,4)&amp;MID($AI1059,6,2)&amp;RIGHT($AI1059,2)&amp;$AJ1059&amp;"|"&amp;"3"&amp;RIGHT("00000"&amp;1054,5))</f>
        <v/>
      </c>
      <c r="AL1059">
        <f>IF($AK1059="","",COUNTIFS(LdAParty,$AE1059,LdAType,1,LdAKey,"&lt;"&amp;$AK1059)+COUNTIFS(LdBMember,$AE1059,LdBKey,"&lt;"&amp;$AK1059)+COUNTIFS(LdCParty,$AE1059,LdCKey,"&lt;"&amp;$AK1059)+1)</f>
        <v/>
      </c>
      <c r="AM1059">
        <f>IF($AL1059="","",$AE1059&amp;"|"&amp;RIGHT("000000"&amp;$AL1059,6))</f>
        <v/>
      </c>
      <c r="AN1059">
        <f>IF($AE1059="","",IF(Sync!$W1059="",0,Sync!$W1059))</f>
        <v/>
      </c>
      <c r="AO1059">
        <f>IF($AE1059="","",IF(Sync!$X1059="",0,Sync!$X1059))</f>
        <v/>
      </c>
      <c r="AP1059">
        <f>IF($AE1059="","",Sync!$R1059)</f>
        <v/>
      </c>
      <c r="AQ1059">
        <f>IF($AE1059="","",Sync!$Y1059)</f>
        <v/>
      </c>
    </row>
    <row r="1060">
      <c r="A1060">
        <f>IF(OR(Wages!$B1063="",Wages!$E1063=""),"",Wages!$E1063)</f>
        <v/>
      </c>
      <c r="B1060">
        <f>IF($A1060="","",IF(Wages!$C1063="دستمزد گروهی",2,1))</f>
        <v/>
      </c>
      <c r="C1060">
        <f>IF($A1060="","",IF(ISNUMBER(Wages!$B1063),IF(AND(Wages!$B1063&gt;=10000101,Wages!$B1063&lt;=99991231),INT(Wages!$B1063/10000),""),IFERROR(VALUE(TRIM(LEFT(Wages!$B1063,FIND("/",Wages!$B1063)-1))),"")))</f>
        <v/>
      </c>
      <c r="D1060">
        <f>IF(OR($A1060="",$C1060=""),"",IF(ISNUMBER(Wages!$B1063),INT(MOD(Wages!$B1063,10000)/100),IFERROR(VALUE(TRIM(LEFT(MID(Wages!$B1063,FIND("/",Wages!$B1063)+1,20),FIND("/",MID(Wages!$B1063,FIND("/",Wages!$B1063)+1,20))-1))),"")))</f>
        <v/>
      </c>
      <c r="E1060">
        <f>IF(OR($A1060="",$C1060=""),"",IF(ISNUMBER(Wages!$B1063),MOD(Wages!$B1063,100),IFERROR(VALUE(TRIM(MID(MID(Wages!$B1063,FIND("/",Wages!$B1063)+1,20),FIND("/",MID(Wages!$B1063,FIND("/",Wages!$B1063)+1,20))+1,20))),"")))</f>
        <v/>
      </c>
      <c r="F1060">
        <f>IF($A1060="","",IF(OR($C1060="",$D1060="",$E1060="",$C1060&lt;1300,$C1060&gt;1500,$D1060&lt;1,$D1060&gt;12,$E1060&lt;1,$E1060&gt;31),"نامعتبر",RIGHT("0000"&amp;$C1060,4)&amp;"/"&amp;RIGHT("00"&amp;$D1060,2)&amp;"/"&amp;RIGHT("00"&amp;$E1060,2)))</f>
        <v/>
      </c>
      <c r="G1060">
        <f>IF(OR($A1060="",$F1060="",$F1060="نامعتبر"),"",LEFT($F1060,4)&amp;MID($F1060,6,2)&amp;RIGHT($F1060,2)&amp;"0000"&amp;"|"&amp;"1"&amp;RIGHT("00000"&amp;1055,5))</f>
        <v/>
      </c>
      <c r="H1060">
        <f>IF(OR($B1060&lt;&gt;1,$G1060=""),"",COUNTIFS(LdAParty,$A1060,LdAType,1,LdAKey,"&lt;"&amp;$G1060)+COUNTIFS(LdBMember,$A1060,LdBKey,"&lt;"&amp;$G1060)+COUNTIFS(LdCParty,$A1060,LdCKey,"&lt;"&amp;$G1060)+1)</f>
        <v/>
      </c>
      <c r="I1060">
        <f>IF($H1060="","",$A1060&amp;"|"&amp;RIGHT("000000"&amp;$H1060,6))</f>
        <v/>
      </c>
      <c r="J1060">
        <f>IF(OR($B1060&lt;&gt;2,$G1060=""),"",COUNTIFS(LdAParty,$A1060,LdAType,2,LdAKey,"&lt;"&amp;$G1060)+1)</f>
        <v/>
      </c>
      <c r="K1060">
        <f>IF($J1060="","",$A1060&amp;"|"&amp;RIGHT("000000"&amp;$J1060,6))</f>
        <v/>
      </c>
      <c r="L1060">
        <f>IF($A1060="","",IF(Wages!$G1063="",0,Wages!$G1063))</f>
        <v/>
      </c>
      <c r="M1060">
        <f>IF($A1060="","",Wages!$J1063)</f>
        <v/>
      </c>
      <c r="N1060">
        <f>IF($A1060="","",Wages!$D1063)</f>
        <v/>
      </c>
      <c r="P1060">
        <f>IF(OR(Shares!$B1063="",Shares!$C1063=""),"",Shares!$C1063)</f>
        <v/>
      </c>
      <c r="Q1060">
        <f>IF($P1060="","",Shares!$B1063)</f>
        <v/>
      </c>
      <c r="R1060">
        <f>IF($P1060="","",IFERROR(INDEX(WageParty,MATCH($Q1060,WageIds,0)),""))</f>
        <v/>
      </c>
      <c r="S1060">
        <f>IF($P1060="","",IFERROR(INDEX($F$6:$F$2005,MATCH($Q1060,WageIds,0)),""))</f>
        <v/>
      </c>
      <c r="T1060">
        <f>IF(OR($P1060="",$S1060="",$S1060="نامعتبر"),"",LEFT($S1060,4)&amp;MID($S1060,6,2)&amp;RIGHT($S1060,2)&amp;"0000"&amp;"|"&amp;"2"&amp;RIGHT("00000"&amp;1055,5))</f>
        <v/>
      </c>
      <c r="U1060">
        <f>IF($T1060="","",COUNTIFS(LdAParty,$P1060,LdAType,1,LdAKey,"&lt;"&amp;$T1060)+COUNTIFS(LdBMember,$P1060,LdBKey,"&lt;"&amp;$T1060)+COUNTIFS(LdCParty,$P1060,LdCKey,"&lt;"&amp;$T1060)+1)</f>
        <v/>
      </c>
      <c r="V1060">
        <f>IF($U1060="","",$P1060&amp;"|"&amp;RIGHT("000000"&amp;$U1060,6))</f>
        <v/>
      </c>
      <c r="W1060">
        <f>IF($T1060="","",COUNTIFS(LdBGroup,$R1060,LdBKey,"&lt;"&amp;$T1060)+1)</f>
        <v/>
      </c>
      <c r="X1060">
        <f>IF($W1060="","",$R1060&amp;"|"&amp;RIGHT("000000"&amp;$W1060,6))</f>
        <v/>
      </c>
      <c r="Y1060">
        <f>IF($P1060="","",IF(Shares!$E1063="",0,Shares!$E1063))</f>
        <v/>
      </c>
      <c r="Z1060">
        <f>IF($P1060="","",Shares!$H1063)</f>
        <v/>
      </c>
      <c r="AE1060">
        <f>IF(OR(Sync!$S1060="",Sync!$P1060=""),"",Sync!$S1060)</f>
        <v/>
      </c>
      <c r="AF1060">
        <f>IF($AE1060="","",IF(ISNUMBER(Sync!$P1060),IF(AND(Sync!$P1060&gt;=10000101,Sync!$P1060&lt;=99991231),INT(Sync!$P1060/10000),""),IFERROR(VALUE(TRIM(LEFT(Sync!$P1060,FIND("/",Sync!$P1060)-1))),"")))</f>
        <v/>
      </c>
      <c r="AG1060">
        <f>IF(OR($AE1060="",$AF1060=""),"",IF(ISNUMBER(Sync!$P1060),INT(MOD(Sync!$P1060,10000)/100),IFERROR(VALUE(TRIM(LEFT(MID(Sync!$P1060,FIND("/",Sync!$P1060)+1,20),FIND("/",MID(Sync!$P1060,FIND("/",Sync!$P1060)+1,20))-1))),"")))</f>
        <v/>
      </c>
      <c r="AH1060">
        <f>IF(OR($AE1060="",$AF1060=""),"",IF(ISNUMBER(Sync!$P1060),MOD(Sync!$P1060,100),IFERROR(VALUE(TRIM(MID(MID(Sync!$P1060,FIND("/",Sync!$P1060)+1,20),FIND("/",MID(Sync!$P1060,FIND("/",Sync!$P1060)+1,20))+1,20))),"")))</f>
        <v/>
      </c>
      <c r="AI1060">
        <f>IF($AE1060="","",IF(OR($AF1060="",$AG1060="",$AH1060="",$AF1060&lt;1300,$AF1060&gt;1500,$AG1060&lt;1,$AG1060&gt;12,$AH1060&lt;1,$AH1060&gt;31),"نامعتبر",RIGHT("0000"&amp;$AF1060,4)&amp;"/"&amp;RIGHT("00"&amp;$AG1060,2)&amp;"/"&amp;RIGHT("00"&amp;$AH1060,2)))</f>
        <v/>
      </c>
      <c r="AJ1060">
        <f>IF($AE1060="","",IF(Sync!$Q1060="","0000",IF(AND(ISNUMBER(Sync!$Q1060),Sync!$Q1060&gt;=0,Sync!$Q1060&lt;1),RIGHT("00"&amp;HOUR(Sync!$Q1060),2)&amp;RIGHT("00"&amp;MINUTE(Sync!$Q1060),2),IFERROR(RIGHT("00"&amp;VALUE(LEFT(Sync!$Q1060,FIND(":",Sync!$Q1060)-1)),2)&amp;RIGHT("00"&amp;VALUE(MID(Sync!$Q1060,FIND(":",Sync!$Q1060)+1,2)),2),"0000"))))</f>
        <v/>
      </c>
      <c r="AK1060">
        <f>IF(OR($AE1060="",$AI1060="",$AI1060="نامعتبر"),"",LEFT($AI1060,4)&amp;MID($AI1060,6,2)&amp;RIGHT($AI1060,2)&amp;$AJ1060&amp;"|"&amp;"3"&amp;RIGHT("00000"&amp;1055,5))</f>
        <v/>
      </c>
      <c r="AL1060">
        <f>IF($AK1060="","",COUNTIFS(LdAParty,$AE1060,LdAType,1,LdAKey,"&lt;"&amp;$AK1060)+COUNTIFS(LdBMember,$AE1060,LdBKey,"&lt;"&amp;$AK1060)+COUNTIFS(LdCParty,$AE1060,LdCKey,"&lt;"&amp;$AK1060)+1)</f>
        <v/>
      </c>
      <c r="AM1060">
        <f>IF($AL1060="","",$AE1060&amp;"|"&amp;RIGHT("000000"&amp;$AL1060,6))</f>
        <v/>
      </c>
      <c r="AN1060">
        <f>IF($AE1060="","",IF(Sync!$W1060="",0,Sync!$W1060))</f>
        <v/>
      </c>
      <c r="AO1060">
        <f>IF($AE1060="","",IF(Sync!$X1060="",0,Sync!$X1060))</f>
        <v/>
      </c>
      <c r="AP1060">
        <f>IF($AE1060="","",Sync!$R1060)</f>
        <v/>
      </c>
      <c r="AQ1060">
        <f>IF($AE1060="","",Sync!$Y1060)</f>
        <v/>
      </c>
    </row>
    <row r="1061">
      <c r="A1061">
        <f>IF(OR(Wages!$B1064="",Wages!$E1064=""),"",Wages!$E1064)</f>
        <v/>
      </c>
      <c r="B1061">
        <f>IF($A1061="","",IF(Wages!$C1064="دستمزد گروهی",2,1))</f>
        <v/>
      </c>
      <c r="C1061">
        <f>IF($A1061="","",IF(ISNUMBER(Wages!$B1064),IF(AND(Wages!$B1064&gt;=10000101,Wages!$B1064&lt;=99991231),INT(Wages!$B1064/10000),""),IFERROR(VALUE(TRIM(LEFT(Wages!$B1064,FIND("/",Wages!$B1064)-1))),"")))</f>
        <v/>
      </c>
      <c r="D1061">
        <f>IF(OR($A1061="",$C1061=""),"",IF(ISNUMBER(Wages!$B1064),INT(MOD(Wages!$B1064,10000)/100),IFERROR(VALUE(TRIM(LEFT(MID(Wages!$B1064,FIND("/",Wages!$B1064)+1,20),FIND("/",MID(Wages!$B1064,FIND("/",Wages!$B1064)+1,20))-1))),"")))</f>
        <v/>
      </c>
      <c r="E1061">
        <f>IF(OR($A1061="",$C1061=""),"",IF(ISNUMBER(Wages!$B1064),MOD(Wages!$B1064,100),IFERROR(VALUE(TRIM(MID(MID(Wages!$B1064,FIND("/",Wages!$B1064)+1,20),FIND("/",MID(Wages!$B1064,FIND("/",Wages!$B1064)+1,20))+1,20))),"")))</f>
        <v/>
      </c>
      <c r="F1061">
        <f>IF($A1061="","",IF(OR($C1061="",$D1061="",$E1061="",$C1061&lt;1300,$C1061&gt;1500,$D1061&lt;1,$D1061&gt;12,$E1061&lt;1,$E1061&gt;31),"نامعتبر",RIGHT("0000"&amp;$C1061,4)&amp;"/"&amp;RIGHT("00"&amp;$D1061,2)&amp;"/"&amp;RIGHT("00"&amp;$E1061,2)))</f>
        <v/>
      </c>
      <c r="G1061">
        <f>IF(OR($A1061="",$F1061="",$F1061="نامعتبر"),"",LEFT($F1061,4)&amp;MID($F1061,6,2)&amp;RIGHT($F1061,2)&amp;"0000"&amp;"|"&amp;"1"&amp;RIGHT("00000"&amp;1056,5))</f>
        <v/>
      </c>
      <c r="H1061">
        <f>IF(OR($B1061&lt;&gt;1,$G1061=""),"",COUNTIFS(LdAParty,$A1061,LdAType,1,LdAKey,"&lt;"&amp;$G1061)+COUNTIFS(LdBMember,$A1061,LdBKey,"&lt;"&amp;$G1061)+COUNTIFS(LdCParty,$A1061,LdCKey,"&lt;"&amp;$G1061)+1)</f>
        <v/>
      </c>
      <c r="I1061">
        <f>IF($H1061="","",$A1061&amp;"|"&amp;RIGHT("000000"&amp;$H1061,6))</f>
        <v/>
      </c>
      <c r="J1061">
        <f>IF(OR($B1061&lt;&gt;2,$G1061=""),"",COUNTIFS(LdAParty,$A1061,LdAType,2,LdAKey,"&lt;"&amp;$G1061)+1)</f>
        <v/>
      </c>
      <c r="K1061">
        <f>IF($J1061="","",$A1061&amp;"|"&amp;RIGHT("000000"&amp;$J1061,6))</f>
        <v/>
      </c>
      <c r="L1061">
        <f>IF($A1061="","",IF(Wages!$G1064="",0,Wages!$G1064))</f>
        <v/>
      </c>
      <c r="M1061">
        <f>IF($A1061="","",Wages!$J1064)</f>
        <v/>
      </c>
      <c r="N1061">
        <f>IF($A1061="","",Wages!$D1064)</f>
        <v/>
      </c>
      <c r="P1061">
        <f>IF(OR(Shares!$B1064="",Shares!$C1064=""),"",Shares!$C1064)</f>
        <v/>
      </c>
      <c r="Q1061">
        <f>IF($P1061="","",Shares!$B1064)</f>
        <v/>
      </c>
      <c r="R1061">
        <f>IF($P1061="","",IFERROR(INDEX(WageParty,MATCH($Q1061,WageIds,0)),""))</f>
        <v/>
      </c>
      <c r="S1061">
        <f>IF($P1061="","",IFERROR(INDEX($F$6:$F$2005,MATCH($Q1061,WageIds,0)),""))</f>
        <v/>
      </c>
      <c r="T1061">
        <f>IF(OR($P1061="",$S1061="",$S1061="نامعتبر"),"",LEFT($S1061,4)&amp;MID($S1061,6,2)&amp;RIGHT($S1061,2)&amp;"0000"&amp;"|"&amp;"2"&amp;RIGHT("00000"&amp;1056,5))</f>
        <v/>
      </c>
      <c r="U1061">
        <f>IF($T1061="","",COUNTIFS(LdAParty,$P1061,LdAType,1,LdAKey,"&lt;"&amp;$T1061)+COUNTIFS(LdBMember,$P1061,LdBKey,"&lt;"&amp;$T1061)+COUNTIFS(LdCParty,$P1061,LdCKey,"&lt;"&amp;$T1061)+1)</f>
        <v/>
      </c>
      <c r="V1061">
        <f>IF($U1061="","",$P1061&amp;"|"&amp;RIGHT("000000"&amp;$U1061,6))</f>
        <v/>
      </c>
      <c r="W1061">
        <f>IF($T1061="","",COUNTIFS(LdBGroup,$R1061,LdBKey,"&lt;"&amp;$T1061)+1)</f>
        <v/>
      </c>
      <c r="X1061">
        <f>IF($W1061="","",$R1061&amp;"|"&amp;RIGHT("000000"&amp;$W1061,6))</f>
        <v/>
      </c>
      <c r="Y1061">
        <f>IF($P1061="","",IF(Shares!$E1064="",0,Shares!$E1064))</f>
        <v/>
      </c>
      <c r="Z1061">
        <f>IF($P1061="","",Shares!$H1064)</f>
        <v/>
      </c>
      <c r="AE1061">
        <f>IF(OR(Sync!$S1061="",Sync!$P1061=""),"",Sync!$S1061)</f>
        <v/>
      </c>
      <c r="AF1061">
        <f>IF($AE1061="","",IF(ISNUMBER(Sync!$P1061),IF(AND(Sync!$P1061&gt;=10000101,Sync!$P1061&lt;=99991231),INT(Sync!$P1061/10000),""),IFERROR(VALUE(TRIM(LEFT(Sync!$P1061,FIND("/",Sync!$P1061)-1))),"")))</f>
        <v/>
      </c>
      <c r="AG1061">
        <f>IF(OR($AE1061="",$AF1061=""),"",IF(ISNUMBER(Sync!$P1061),INT(MOD(Sync!$P1061,10000)/100),IFERROR(VALUE(TRIM(LEFT(MID(Sync!$P1061,FIND("/",Sync!$P1061)+1,20),FIND("/",MID(Sync!$P1061,FIND("/",Sync!$P1061)+1,20))-1))),"")))</f>
        <v/>
      </c>
      <c r="AH1061">
        <f>IF(OR($AE1061="",$AF1061=""),"",IF(ISNUMBER(Sync!$P1061),MOD(Sync!$P1061,100),IFERROR(VALUE(TRIM(MID(MID(Sync!$P1061,FIND("/",Sync!$P1061)+1,20),FIND("/",MID(Sync!$P1061,FIND("/",Sync!$P1061)+1,20))+1,20))),"")))</f>
        <v/>
      </c>
      <c r="AI1061">
        <f>IF($AE1061="","",IF(OR($AF1061="",$AG1061="",$AH1061="",$AF1061&lt;1300,$AF1061&gt;1500,$AG1061&lt;1,$AG1061&gt;12,$AH1061&lt;1,$AH1061&gt;31),"نامعتبر",RIGHT("0000"&amp;$AF1061,4)&amp;"/"&amp;RIGHT("00"&amp;$AG1061,2)&amp;"/"&amp;RIGHT("00"&amp;$AH1061,2)))</f>
        <v/>
      </c>
      <c r="AJ1061">
        <f>IF($AE1061="","",IF(Sync!$Q1061="","0000",IF(AND(ISNUMBER(Sync!$Q1061),Sync!$Q1061&gt;=0,Sync!$Q1061&lt;1),RIGHT("00"&amp;HOUR(Sync!$Q1061),2)&amp;RIGHT("00"&amp;MINUTE(Sync!$Q1061),2),IFERROR(RIGHT("00"&amp;VALUE(LEFT(Sync!$Q1061,FIND(":",Sync!$Q1061)-1)),2)&amp;RIGHT("00"&amp;VALUE(MID(Sync!$Q1061,FIND(":",Sync!$Q1061)+1,2)),2),"0000"))))</f>
        <v/>
      </c>
      <c r="AK1061">
        <f>IF(OR($AE1061="",$AI1061="",$AI1061="نامعتبر"),"",LEFT($AI1061,4)&amp;MID($AI1061,6,2)&amp;RIGHT($AI1061,2)&amp;$AJ1061&amp;"|"&amp;"3"&amp;RIGHT("00000"&amp;1056,5))</f>
        <v/>
      </c>
      <c r="AL1061">
        <f>IF($AK1061="","",COUNTIFS(LdAParty,$AE1061,LdAType,1,LdAKey,"&lt;"&amp;$AK1061)+COUNTIFS(LdBMember,$AE1061,LdBKey,"&lt;"&amp;$AK1061)+COUNTIFS(LdCParty,$AE1061,LdCKey,"&lt;"&amp;$AK1061)+1)</f>
        <v/>
      </c>
      <c r="AM1061">
        <f>IF($AL1061="","",$AE1061&amp;"|"&amp;RIGHT("000000"&amp;$AL1061,6))</f>
        <v/>
      </c>
      <c r="AN1061">
        <f>IF($AE1061="","",IF(Sync!$W1061="",0,Sync!$W1061))</f>
        <v/>
      </c>
      <c r="AO1061">
        <f>IF($AE1061="","",IF(Sync!$X1061="",0,Sync!$X1061))</f>
        <v/>
      </c>
      <c r="AP1061">
        <f>IF($AE1061="","",Sync!$R1061)</f>
        <v/>
      </c>
      <c r="AQ1061">
        <f>IF($AE1061="","",Sync!$Y1061)</f>
        <v/>
      </c>
    </row>
    <row r="1062">
      <c r="A1062">
        <f>IF(OR(Wages!$B1065="",Wages!$E1065=""),"",Wages!$E1065)</f>
        <v/>
      </c>
      <c r="B1062">
        <f>IF($A1062="","",IF(Wages!$C1065="دستمزد گروهی",2,1))</f>
        <v/>
      </c>
      <c r="C1062">
        <f>IF($A1062="","",IF(ISNUMBER(Wages!$B1065),IF(AND(Wages!$B1065&gt;=10000101,Wages!$B1065&lt;=99991231),INT(Wages!$B1065/10000),""),IFERROR(VALUE(TRIM(LEFT(Wages!$B1065,FIND("/",Wages!$B1065)-1))),"")))</f>
        <v/>
      </c>
      <c r="D1062">
        <f>IF(OR($A1062="",$C1062=""),"",IF(ISNUMBER(Wages!$B1065),INT(MOD(Wages!$B1065,10000)/100),IFERROR(VALUE(TRIM(LEFT(MID(Wages!$B1065,FIND("/",Wages!$B1065)+1,20),FIND("/",MID(Wages!$B1065,FIND("/",Wages!$B1065)+1,20))-1))),"")))</f>
        <v/>
      </c>
      <c r="E1062">
        <f>IF(OR($A1062="",$C1062=""),"",IF(ISNUMBER(Wages!$B1065),MOD(Wages!$B1065,100),IFERROR(VALUE(TRIM(MID(MID(Wages!$B1065,FIND("/",Wages!$B1065)+1,20),FIND("/",MID(Wages!$B1065,FIND("/",Wages!$B1065)+1,20))+1,20))),"")))</f>
        <v/>
      </c>
      <c r="F1062">
        <f>IF($A1062="","",IF(OR($C1062="",$D1062="",$E1062="",$C1062&lt;1300,$C1062&gt;1500,$D1062&lt;1,$D1062&gt;12,$E1062&lt;1,$E1062&gt;31),"نامعتبر",RIGHT("0000"&amp;$C1062,4)&amp;"/"&amp;RIGHT("00"&amp;$D1062,2)&amp;"/"&amp;RIGHT("00"&amp;$E1062,2)))</f>
        <v/>
      </c>
      <c r="G1062">
        <f>IF(OR($A1062="",$F1062="",$F1062="نامعتبر"),"",LEFT($F1062,4)&amp;MID($F1062,6,2)&amp;RIGHT($F1062,2)&amp;"0000"&amp;"|"&amp;"1"&amp;RIGHT("00000"&amp;1057,5))</f>
        <v/>
      </c>
      <c r="H1062">
        <f>IF(OR($B1062&lt;&gt;1,$G1062=""),"",COUNTIFS(LdAParty,$A1062,LdAType,1,LdAKey,"&lt;"&amp;$G1062)+COUNTIFS(LdBMember,$A1062,LdBKey,"&lt;"&amp;$G1062)+COUNTIFS(LdCParty,$A1062,LdCKey,"&lt;"&amp;$G1062)+1)</f>
        <v/>
      </c>
      <c r="I1062">
        <f>IF($H1062="","",$A1062&amp;"|"&amp;RIGHT("000000"&amp;$H1062,6))</f>
        <v/>
      </c>
      <c r="J1062">
        <f>IF(OR($B1062&lt;&gt;2,$G1062=""),"",COUNTIFS(LdAParty,$A1062,LdAType,2,LdAKey,"&lt;"&amp;$G1062)+1)</f>
        <v/>
      </c>
      <c r="K1062">
        <f>IF($J1062="","",$A1062&amp;"|"&amp;RIGHT("000000"&amp;$J1062,6))</f>
        <v/>
      </c>
      <c r="L1062">
        <f>IF($A1062="","",IF(Wages!$G1065="",0,Wages!$G1065))</f>
        <v/>
      </c>
      <c r="M1062">
        <f>IF($A1062="","",Wages!$J1065)</f>
        <v/>
      </c>
      <c r="N1062">
        <f>IF($A1062="","",Wages!$D1065)</f>
        <v/>
      </c>
      <c r="P1062">
        <f>IF(OR(Shares!$B1065="",Shares!$C1065=""),"",Shares!$C1065)</f>
        <v/>
      </c>
      <c r="Q1062">
        <f>IF($P1062="","",Shares!$B1065)</f>
        <v/>
      </c>
      <c r="R1062">
        <f>IF($P1062="","",IFERROR(INDEX(WageParty,MATCH($Q1062,WageIds,0)),""))</f>
        <v/>
      </c>
      <c r="S1062">
        <f>IF($P1062="","",IFERROR(INDEX($F$6:$F$2005,MATCH($Q1062,WageIds,0)),""))</f>
        <v/>
      </c>
      <c r="T1062">
        <f>IF(OR($P1062="",$S1062="",$S1062="نامعتبر"),"",LEFT($S1062,4)&amp;MID($S1062,6,2)&amp;RIGHT($S1062,2)&amp;"0000"&amp;"|"&amp;"2"&amp;RIGHT("00000"&amp;1057,5))</f>
        <v/>
      </c>
      <c r="U1062">
        <f>IF($T1062="","",COUNTIFS(LdAParty,$P1062,LdAType,1,LdAKey,"&lt;"&amp;$T1062)+COUNTIFS(LdBMember,$P1062,LdBKey,"&lt;"&amp;$T1062)+COUNTIFS(LdCParty,$P1062,LdCKey,"&lt;"&amp;$T1062)+1)</f>
        <v/>
      </c>
      <c r="V1062">
        <f>IF($U1062="","",$P1062&amp;"|"&amp;RIGHT("000000"&amp;$U1062,6))</f>
        <v/>
      </c>
      <c r="W1062">
        <f>IF($T1062="","",COUNTIFS(LdBGroup,$R1062,LdBKey,"&lt;"&amp;$T1062)+1)</f>
        <v/>
      </c>
      <c r="X1062">
        <f>IF($W1062="","",$R1062&amp;"|"&amp;RIGHT("000000"&amp;$W1062,6))</f>
        <v/>
      </c>
      <c r="Y1062">
        <f>IF($P1062="","",IF(Shares!$E1065="",0,Shares!$E1065))</f>
        <v/>
      </c>
      <c r="Z1062">
        <f>IF($P1062="","",Shares!$H1065)</f>
        <v/>
      </c>
      <c r="AE1062">
        <f>IF(OR(Sync!$S1062="",Sync!$P1062=""),"",Sync!$S1062)</f>
        <v/>
      </c>
      <c r="AF1062">
        <f>IF($AE1062="","",IF(ISNUMBER(Sync!$P1062),IF(AND(Sync!$P1062&gt;=10000101,Sync!$P1062&lt;=99991231),INT(Sync!$P1062/10000),""),IFERROR(VALUE(TRIM(LEFT(Sync!$P1062,FIND("/",Sync!$P1062)-1))),"")))</f>
        <v/>
      </c>
      <c r="AG1062">
        <f>IF(OR($AE1062="",$AF1062=""),"",IF(ISNUMBER(Sync!$P1062),INT(MOD(Sync!$P1062,10000)/100),IFERROR(VALUE(TRIM(LEFT(MID(Sync!$P1062,FIND("/",Sync!$P1062)+1,20),FIND("/",MID(Sync!$P1062,FIND("/",Sync!$P1062)+1,20))-1))),"")))</f>
        <v/>
      </c>
      <c r="AH1062">
        <f>IF(OR($AE1062="",$AF1062=""),"",IF(ISNUMBER(Sync!$P1062),MOD(Sync!$P1062,100),IFERROR(VALUE(TRIM(MID(MID(Sync!$P1062,FIND("/",Sync!$P1062)+1,20),FIND("/",MID(Sync!$P1062,FIND("/",Sync!$P1062)+1,20))+1,20))),"")))</f>
        <v/>
      </c>
      <c r="AI1062">
        <f>IF($AE1062="","",IF(OR($AF1062="",$AG1062="",$AH1062="",$AF1062&lt;1300,$AF1062&gt;1500,$AG1062&lt;1,$AG1062&gt;12,$AH1062&lt;1,$AH1062&gt;31),"نامعتبر",RIGHT("0000"&amp;$AF1062,4)&amp;"/"&amp;RIGHT("00"&amp;$AG1062,2)&amp;"/"&amp;RIGHT("00"&amp;$AH1062,2)))</f>
        <v/>
      </c>
      <c r="AJ1062">
        <f>IF($AE1062="","",IF(Sync!$Q1062="","0000",IF(AND(ISNUMBER(Sync!$Q1062),Sync!$Q1062&gt;=0,Sync!$Q1062&lt;1),RIGHT("00"&amp;HOUR(Sync!$Q1062),2)&amp;RIGHT("00"&amp;MINUTE(Sync!$Q1062),2),IFERROR(RIGHT("00"&amp;VALUE(LEFT(Sync!$Q1062,FIND(":",Sync!$Q1062)-1)),2)&amp;RIGHT("00"&amp;VALUE(MID(Sync!$Q1062,FIND(":",Sync!$Q1062)+1,2)),2),"0000"))))</f>
        <v/>
      </c>
      <c r="AK1062">
        <f>IF(OR($AE1062="",$AI1062="",$AI1062="نامعتبر"),"",LEFT($AI1062,4)&amp;MID($AI1062,6,2)&amp;RIGHT($AI1062,2)&amp;$AJ1062&amp;"|"&amp;"3"&amp;RIGHT("00000"&amp;1057,5))</f>
        <v/>
      </c>
      <c r="AL1062">
        <f>IF($AK1062="","",COUNTIFS(LdAParty,$AE1062,LdAType,1,LdAKey,"&lt;"&amp;$AK1062)+COUNTIFS(LdBMember,$AE1062,LdBKey,"&lt;"&amp;$AK1062)+COUNTIFS(LdCParty,$AE1062,LdCKey,"&lt;"&amp;$AK1062)+1)</f>
        <v/>
      </c>
      <c r="AM1062">
        <f>IF($AL1062="","",$AE1062&amp;"|"&amp;RIGHT("000000"&amp;$AL1062,6))</f>
        <v/>
      </c>
      <c r="AN1062">
        <f>IF($AE1062="","",IF(Sync!$W1062="",0,Sync!$W1062))</f>
        <v/>
      </c>
      <c r="AO1062">
        <f>IF($AE1062="","",IF(Sync!$X1062="",0,Sync!$X1062))</f>
        <v/>
      </c>
      <c r="AP1062">
        <f>IF($AE1062="","",Sync!$R1062)</f>
        <v/>
      </c>
      <c r="AQ1062">
        <f>IF($AE1062="","",Sync!$Y1062)</f>
        <v/>
      </c>
    </row>
    <row r="1063">
      <c r="A1063">
        <f>IF(OR(Wages!$B1066="",Wages!$E1066=""),"",Wages!$E1066)</f>
        <v/>
      </c>
      <c r="B1063">
        <f>IF($A1063="","",IF(Wages!$C1066="دستمزد گروهی",2,1))</f>
        <v/>
      </c>
      <c r="C1063">
        <f>IF($A1063="","",IF(ISNUMBER(Wages!$B1066),IF(AND(Wages!$B1066&gt;=10000101,Wages!$B1066&lt;=99991231),INT(Wages!$B1066/10000),""),IFERROR(VALUE(TRIM(LEFT(Wages!$B1066,FIND("/",Wages!$B1066)-1))),"")))</f>
        <v/>
      </c>
      <c r="D1063">
        <f>IF(OR($A1063="",$C1063=""),"",IF(ISNUMBER(Wages!$B1066),INT(MOD(Wages!$B1066,10000)/100),IFERROR(VALUE(TRIM(LEFT(MID(Wages!$B1066,FIND("/",Wages!$B1066)+1,20),FIND("/",MID(Wages!$B1066,FIND("/",Wages!$B1066)+1,20))-1))),"")))</f>
        <v/>
      </c>
      <c r="E1063">
        <f>IF(OR($A1063="",$C1063=""),"",IF(ISNUMBER(Wages!$B1066),MOD(Wages!$B1066,100),IFERROR(VALUE(TRIM(MID(MID(Wages!$B1066,FIND("/",Wages!$B1066)+1,20),FIND("/",MID(Wages!$B1066,FIND("/",Wages!$B1066)+1,20))+1,20))),"")))</f>
        <v/>
      </c>
      <c r="F1063">
        <f>IF($A1063="","",IF(OR($C1063="",$D1063="",$E1063="",$C1063&lt;1300,$C1063&gt;1500,$D1063&lt;1,$D1063&gt;12,$E1063&lt;1,$E1063&gt;31),"نامعتبر",RIGHT("0000"&amp;$C1063,4)&amp;"/"&amp;RIGHT("00"&amp;$D1063,2)&amp;"/"&amp;RIGHT("00"&amp;$E1063,2)))</f>
        <v/>
      </c>
      <c r="G1063">
        <f>IF(OR($A1063="",$F1063="",$F1063="نامعتبر"),"",LEFT($F1063,4)&amp;MID($F1063,6,2)&amp;RIGHT($F1063,2)&amp;"0000"&amp;"|"&amp;"1"&amp;RIGHT("00000"&amp;1058,5))</f>
        <v/>
      </c>
      <c r="H1063">
        <f>IF(OR($B1063&lt;&gt;1,$G1063=""),"",COUNTIFS(LdAParty,$A1063,LdAType,1,LdAKey,"&lt;"&amp;$G1063)+COUNTIFS(LdBMember,$A1063,LdBKey,"&lt;"&amp;$G1063)+COUNTIFS(LdCParty,$A1063,LdCKey,"&lt;"&amp;$G1063)+1)</f>
        <v/>
      </c>
      <c r="I1063">
        <f>IF($H1063="","",$A1063&amp;"|"&amp;RIGHT("000000"&amp;$H1063,6))</f>
        <v/>
      </c>
      <c r="J1063">
        <f>IF(OR($B1063&lt;&gt;2,$G1063=""),"",COUNTIFS(LdAParty,$A1063,LdAType,2,LdAKey,"&lt;"&amp;$G1063)+1)</f>
        <v/>
      </c>
      <c r="K1063">
        <f>IF($J1063="","",$A1063&amp;"|"&amp;RIGHT("000000"&amp;$J1063,6))</f>
        <v/>
      </c>
      <c r="L1063">
        <f>IF($A1063="","",IF(Wages!$G1066="",0,Wages!$G1066))</f>
        <v/>
      </c>
      <c r="M1063">
        <f>IF($A1063="","",Wages!$J1066)</f>
        <v/>
      </c>
      <c r="N1063">
        <f>IF($A1063="","",Wages!$D1066)</f>
        <v/>
      </c>
      <c r="P1063">
        <f>IF(OR(Shares!$B1066="",Shares!$C1066=""),"",Shares!$C1066)</f>
        <v/>
      </c>
      <c r="Q1063">
        <f>IF($P1063="","",Shares!$B1066)</f>
        <v/>
      </c>
      <c r="R1063">
        <f>IF($P1063="","",IFERROR(INDEX(WageParty,MATCH($Q1063,WageIds,0)),""))</f>
        <v/>
      </c>
      <c r="S1063">
        <f>IF($P1063="","",IFERROR(INDEX($F$6:$F$2005,MATCH($Q1063,WageIds,0)),""))</f>
        <v/>
      </c>
      <c r="T1063">
        <f>IF(OR($P1063="",$S1063="",$S1063="نامعتبر"),"",LEFT($S1063,4)&amp;MID($S1063,6,2)&amp;RIGHT($S1063,2)&amp;"0000"&amp;"|"&amp;"2"&amp;RIGHT("00000"&amp;1058,5))</f>
        <v/>
      </c>
      <c r="U1063">
        <f>IF($T1063="","",COUNTIFS(LdAParty,$P1063,LdAType,1,LdAKey,"&lt;"&amp;$T1063)+COUNTIFS(LdBMember,$P1063,LdBKey,"&lt;"&amp;$T1063)+COUNTIFS(LdCParty,$P1063,LdCKey,"&lt;"&amp;$T1063)+1)</f>
        <v/>
      </c>
      <c r="V1063">
        <f>IF($U1063="","",$P1063&amp;"|"&amp;RIGHT("000000"&amp;$U1063,6))</f>
        <v/>
      </c>
      <c r="W1063">
        <f>IF($T1063="","",COUNTIFS(LdBGroup,$R1063,LdBKey,"&lt;"&amp;$T1063)+1)</f>
        <v/>
      </c>
      <c r="X1063">
        <f>IF($W1063="","",$R1063&amp;"|"&amp;RIGHT("000000"&amp;$W1063,6))</f>
        <v/>
      </c>
      <c r="Y1063">
        <f>IF($P1063="","",IF(Shares!$E1066="",0,Shares!$E1066))</f>
        <v/>
      </c>
      <c r="Z1063">
        <f>IF($P1063="","",Shares!$H1066)</f>
        <v/>
      </c>
      <c r="AE1063">
        <f>IF(OR(Sync!$S1063="",Sync!$P1063=""),"",Sync!$S1063)</f>
        <v/>
      </c>
      <c r="AF1063">
        <f>IF($AE1063="","",IF(ISNUMBER(Sync!$P1063),IF(AND(Sync!$P1063&gt;=10000101,Sync!$P1063&lt;=99991231),INT(Sync!$P1063/10000),""),IFERROR(VALUE(TRIM(LEFT(Sync!$P1063,FIND("/",Sync!$P1063)-1))),"")))</f>
        <v/>
      </c>
      <c r="AG1063">
        <f>IF(OR($AE1063="",$AF1063=""),"",IF(ISNUMBER(Sync!$P1063),INT(MOD(Sync!$P1063,10000)/100),IFERROR(VALUE(TRIM(LEFT(MID(Sync!$P1063,FIND("/",Sync!$P1063)+1,20),FIND("/",MID(Sync!$P1063,FIND("/",Sync!$P1063)+1,20))-1))),"")))</f>
        <v/>
      </c>
      <c r="AH1063">
        <f>IF(OR($AE1063="",$AF1063=""),"",IF(ISNUMBER(Sync!$P1063),MOD(Sync!$P1063,100),IFERROR(VALUE(TRIM(MID(MID(Sync!$P1063,FIND("/",Sync!$P1063)+1,20),FIND("/",MID(Sync!$P1063,FIND("/",Sync!$P1063)+1,20))+1,20))),"")))</f>
        <v/>
      </c>
      <c r="AI1063">
        <f>IF($AE1063="","",IF(OR($AF1063="",$AG1063="",$AH1063="",$AF1063&lt;1300,$AF1063&gt;1500,$AG1063&lt;1,$AG1063&gt;12,$AH1063&lt;1,$AH1063&gt;31),"نامعتبر",RIGHT("0000"&amp;$AF1063,4)&amp;"/"&amp;RIGHT("00"&amp;$AG1063,2)&amp;"/"&amp;RIGHT("00"&amp;$AH1063,2)))</f>
        <v/>
      </c>
      <c r="AJ1063">
        <f>IF($AE1063="","",IF(Sync!$Q1063="","0000",IF(AND(ISNUMBER(Sync!$Q1063),Sync!$Q1063&gt;=0,Sync!$Q1063&lt;1),RIGHT("00"&amp;HOUR(Sync!$Q1063),2)&amp;RIGHT("00"&amp;MINUTE(Sync!$Q1063),2),IFERROR(RIGHT("00"&amp;VALUE(LEFT(Sync!$Q1063,FIND(":",Sync!$Q1063)-1)),2)&amp;RIGHT("00"&amp;VALUE(MID(Sync!$Q1063,FIND(":",Sync!$Q1063)+1,2)),2),"0000"))))</f>
        <v/>
      </c>
      <c r="AK1063">
        <f>IF(OR($AE1063="",$AI1063="",$AI1063="نامعتبر"),"",LEFT($AI1063,4)&amp;MID($AI1063,6,2)&amp;RIGHT($AI1063,2)&amp;$AJ1063&amp;"|"&amp;"3"&amp;RIGHT("00000"&amp;1058,5))</f>
        <v/>
      </c>
      <c r="AL1063">
        <f>IF($AK1063="","",COUNTIFS(LdAParty,$AE1063,LdAType,1,LdAKey,"&lt;"&amp;$AK1063)+COUNTIFS(LdBMember,$AE1063,LdBKey,"&lt;"&amp;$AK1063)+COUNTIFS(LdCParty,$AE1063,LdCKey,"&lt;"&amp;$AK1063)+1)</f>
        <v/>
      </c>
      <c r="AM1063">
        <f>IF($AL1063="","",$AE1063&amp;"|"&amp;RIGHT("000000"&amp;$AL1063,6))</f>
        <v/>
      </c>
      <c r="AN1063">
        <f>IF($AE1063="","",IF(Sync!$W1063="",0,Sync!$W1063))</f>
        <v/>
      </c>
      <c r="AO1063">
        <f>IF($AE1063="","",IF(Sync!$X1063="",0,Sync!$X1063))</f>
        <v/>
      </c>
      <c r="AP1063">
        <f>IF($AE1063="","",Sync!$R1063)</f>
        <v/>
      </c>
      <c r="AQ1063">
        <f>IF($AE1063="","",Sync!$Y1063)</f>
        <v/>
      </c>
    </row>
    <row r="1064">
      <c r="A1064">
        <f>IF(OR(Wages!$B1067="",Wages!$E1067=""),"",Wages!$E1067)</f>
        <v/>
      </c>
      <c r="B1064">
        <f>IF($A1064="","",IF(Wages!$C1067="دستمزد گروهی",2,1))</f>
        <v/>
      </c>
      <c r="C1064">
        <f>IF($A1064="","",IF(ISNUMBER(Wages!$B1067),IF(AND(Wages!$B1067&gt;=10000101,Wages!$B1067&lt;=99991231),INT(Wages!$B1067/10000),""),IFERROR(VALUE(TRIM(LEFT(Wages!$B1067,FIND("/",Wages!$B1067)-1))),"")))</f>
        <v/>
      </c>
      <c r="D1064">
        <f>IF(OR($A1064="",$C1064=""),"",IF(ISNUMBER(Wages!$B1067),INT(MOD(Wages!$B1067,10000)/100),IFERROR(VALUE(TRIM(LEFT(MID(Wages!$B1067,FIND("/",Wages!$B1067)+1,20),FIND("/",MID(Wages!$B1067,FIND("/",Wages!$B1067)+1,20))-1))),"")))</f>
        <v/>
      </c>
      <c r="E1064">
        <f>IF(OR($A1064="",$C1064=""),"",IF(ISNUMBER(Wages!$B1067),MOD(Wages!$B1067,100),IFERROR(VALUE(TRIM(MID(MID(Wages!$B1067,FIND("/",Wages!$B1067)+1,20),FIND("/",MID(Wages!$B1067,FIND("/",Wages!$B1067)+1,20))+1,20))),"")))</f>
        <v/>
      </c>
      <c r="F1064">
        <f>IF($A1064="","",IF(OR($C1064="",$D1064="",$E1064="",$C1064&lt;1300,$C1064&gt;1500,$D1064&lt;1,$D1064&gt;12,$E1064&lt;1,$E1064&gt;31),"نامعتبر",RIGHT("0000"&amp;$C1064,4)&amp;"/"&amp;RIGHT("00"&amp;$D1064,2)&amp;"/"&amp;RIGHT("00"&amp;$E1064,2)))</f>
        <v/>
      </c>
      <c r="G1064">
        <f>IF(OR($A1064="",$F1064="",$F1064="نامعتبر"),"",LEFT($F1064,4)&amp;MID($F1064,6,2)&amp;RIGHT($F1064,2)&amp;"0000"&amp;"|"&amp;"1"&amp;RIGHT("00000"&amp;1059,5))</f>
        <v/>
      </c>
      <c r="H1064">
        <f>IF(OR($B1064&lt;&gt;1,$G1064=""),"",COUNTIFS(LdAParty,$A1064,LdAType,1,LdAKey,"&lt;"&amp;$G1064)+COUNTIFS(LdBMember,$A1064,LdBKey,"&lt;"&amp;$G1064)+COUNTIFS(LdCParty,$A1064,LdCKey,"&lt;"&amp;$G1064)+1)</f>
        <v/>
      </c>
      <c r="I1064">
        <f>IF($H1064="","",$A1064&amp;"|"&amp;RIGHT("000000"&amp;$H1064,6))</f>
        <v/>
      </c>
      <c r="J1064">
        <f>IF(OR($B1064&lt;&gt;2,$G1064=""),"",COUNTIFS(LdAParty,$A1064,LdAType,2,LdAKey,"&lt;"&amp;$G1064)+1)</f>
        <v/>
      </c>
      <c r="K1064">
        <f>IF($J1064="","",$A1064&amp;"|"&amp;RIGHT("000000"&amp;$J1064,6))</f>
        <v/>
      </c>
      <c r="L1064">
        <f>IF($A1064="","",IF(Wages!$G1067="",0,Wages!$G1067))</f>
        <v/>
      </c>
      <c r="M1064">
        <f>IF($A1064="","",Wages!$J1067)</f>
        <v/>
      </c>
      <c r="N1064">
        <f>IF($A1064="","",Wages!$D1067)</f>
        <v/>
      </c>
      <c r="P1064">
        <f>IF(OR(Shares!$B1067="",Shares!$C1067=""),"",Shares!$C1067)</f>
        <v/>
      </c>
      <c r="Q1064">
        <f>IF($P1064="","",Shares!$B1067)</f>
        <v/>
      </c>
      <c r="R1064">
        <f>IF($P1064="","",IFERROR(INDEX(WageParty,MATCH($Q1064,WageIds,0)),""))</f>
        <v/>
      </c>
      <c r="S1064">
        <f>IF($P1064="","",IFERROR(INDEX($F$6:$F$2005,MATCH($Q1064,WageIds,0)),""))</f>
        <v/>
      </c>
      <c r="T1064">
        <f>IF(OR($P1064="",$S1064="",$S1064="نامعتبر"),"",LEFT($S1064,4)&amp;MID($S1064,6,2)&amp;RIGHT($S1064,2)&amp;"0000"&amp;"|"&amp;"2"&amp;RIGHT("00000"&amp;1059,5))</f>
        <v/>
      </c>
      <c r="U1064">
        <f>IF($T1064="","",COUNTIFS(LdAParty,$P1064,LdAType,1,LdAKey,"&lt;"&amp;$T1064)+COUNTIFS(LdBMember,$P1064,LdBKey,"&lt;"&amp;$T1064)+COUNTIFS(LdCParty,$P1064,LdCKey,"&lt;"&amp;$T1064)+1)</f>
        <v/>
      </c>
      <c r="V1064">
        <f>IF($U1064="","",$P1064&amp;"|"&amp;RIGHT("000000"&amp;$U1064,6))</f>
        <v/>
      </c>
      <c r="W1064">
        <f>IF($T1064="","",COUNTIFS(LdBGroup,$R1064,LdBKey,"&lt;"&amp;$T1064)+1)</f>
        <v/>
      </c>
      <c r="X1064">
        <f>IF($W1064="","",$R1064&amp;"|"&amp;RIGHT("000000"&amp;$W1064,6))</f>
        <v/>
      </c>
      <c r="Y1064">
        <f>IF($P1064="","",IF(Shares!$E1067="",0,Shares!$E1067))</f>
        <v/>
      </c>
      <c r="Z1064">
        <f>IF($P1064="","",Shares!$H1067)</f>
        <v/>
      </c>
      <c r="AE1064">
        <f>IF(OR(Sync!$S1064="",Sync!$P1064=""),"",Sync!$S1064)</f>
        <v/>
      </c>
      <c r="AF1064">
        <f>IF($AE1064="","",IF(ISNUMBER(Sync!$P1064),IF(AND(Sync!$P1064&gt;=10000101,Sync!$P1064&lt;=99991231),INT(Sync!$P1064/10000),""),IFERROR(VALUE(TRIM(LEFT(Sync!$P1064,FIND("/",Sync!$P1064)-1))),"")))</f>
        <v/>
      </c>
      <c r="AG1064">
        <f>IF(OR($AE1064="",$AF1064=""),"",IF(ISNUMBER(Sync!$P1064),INT(MOD(Sync!$P1064,10000)/100),IFERROR(VALUE(TRIM(LEFT(MID(Sync!$P1064,FIND("/",Sync!$P1064)+1,20),FIND("/",MID(Sync!$P1064,FIND("/",Sync!$P1064)+1,20))-1))),"")))</f>
        <v/>
      </c>
      <c r="AH1064">
        <f>IF(OR($AE1064="",$AF1064=""),"",IF(ISNUMBER(Sync!$P1064),MOD(Sync!$P1064,100),IFERROR(VALUE(TRIM(MID(MID(Sync!$P1064,FIND("/",Sync!$P1064)+1,20),FIND("/",MID(Sync!$P1064,FIND("/",Sync!$P1064)+1,20))+1,20))),"")))</f>
        <v/>
      </c>
      <c r="AI1064">
        <f>IF($AE1064="","",IF(OR($AF1064="",$AG1064="",$AH1064="",$AF1064&lt;1300,$AF1064&gt;1500,$AG1064&lt;1,$AG1064&gt;12,$AH1064&lt;1,$AH1064&gt;31),"نامعتبر",RIGHT("0000"&amp;$AF1064,4)&amp;"/"&amp;RIGHT("00"&amp;$AG1064,2)&amp;"/"&amp;RIGHT("00"&amp;$AH1064,2)))</f>
        <v/>
      </c>
      <c r="AJ1064">
        <f>IF($AE1064="","",IF(Sync!$Q1064="","0000",IF(AND(ISNUMBER(Sync!$Q1064),Sync!$Q1064&gt;=0,Sync!$Q1064&lt;1),RIGHT("00"&amp;HOUR(Sync!$Q1064),2)&amp;RIGHT("00"&amp;MINUTE(Sync!$Q1064),2),IFERROR(RIGHT("00"&amp;VALUE(LEFT(Sync!$Q1064,FIND(":",Sync!$Q1064)-1)),2)&amp;RIGHT("00"&amp;VALUE(MID(Sync!$Q1064,FIND(":",Sync!$Q1064)+1,2)),2),"0000"))))</f>
        <v/>
      </c>
      <c r="AK1064">
        <f>IF(OR($AE1064="",$AI1064="",$AI1064="نامعتبر"),"",LEFT($AI1064,4)&amp;MID($AI1064,6,2)&amp;RIGHT($AI1064,2)&amp;$AJ1064&amp;"|"&amp;"3"&amp;RIGHT("00000"&amp;1059,5))</f>
        <v/>
      </c>
      <c r="AL1064">
        <f>IF($AK1064="","",COUNTIFS(LdAParty,$AE1064,LdAType,1,LdAKey,"&lt;"&amp;$AK1064)+COUNTIFS(LdBMember,$AE1064,LdBKey,"&lt;"&amp;$AK1064)+COUNTIFS(LdCParty,$AE1064,LdCKey,"&lt;"&amp;$AK1064)+1)</f>
        <v/>
      </c>
      <c r="AM1064">
        <f>IF($AL1064="","",$AE1064&amp;"|"&amp;RIGHT("000000"&amp;$AL1064,6))</f>
        <v/>
      </c>
      <c r="AN1064">
        <f>IF($AE1064="","",IF(Sync!$W1064="",0,Sync!$W1064))</f>
        <v/>
      </c>
      <c r="AO1064">
        <f>IF($AE1064="","",IF(Sync!$X1064="",0,Sync!$X1064))</f>
        <v/>
      </c>
      <c r="AP1064">
        <f>IF($AE1064="","",Sync!$R1064)</f>
        <v/>
      </c>
      <c r="AQ1064">
        <f>IF($AE1064="","",Sync!$Y1064)</f>
        <v/>
      </c>
    </row>
    <row r="1065">
      <c r="A1065">
        <f>IF(OR(Wages!$B1068="",Wages!$E1068=""),"",Wages!$E1068)</f>
        <v/>
      </c>
      <c r="B1065">
        <f>IF($A1065="","",IF(Wages!$C1068="دستمزد گروهی",2,1))</f>
        <v/>
      </c>
      <c r="C1065">
        <f>IF($A1065="","",IF(ISNUMBER(Wages!$B1068),IF(AND(Wages!$B1068&gt;=10000101,Wages!$B1068&lt;=99991231),INT(Wages!$B1068/10000),""),IFERROR(VALUE(TRIM(LEFT(Wages!$B1068,FIND("/",Wages!$B1068)-1))),"")))</f>
        <v/>
      </c>
      <c r="D1065">
        <f>IF(OR($A1065="",$C1065=""),"",IF(ISNUMBER(Wages!$B1068),INT(MOD(Wages!$B1068,10000)/100),IFERROR(VALUE(TRIM(LEFT(MID(Wages!$B1068,FIND("/",Wages!$B1068)+1,20),FIND("/",MID(Wages!$B1068,FIND("/",Wages!$B1068)+1,20))-1))),"")))</f>
        <v/>
      </c>
      <c r="E1065">
        <f>IF(OR($A1065="",$C1065=""),"",IF(ISNUMBER(Wages!$B1068),MOD(Wages!$B1068,100),IFERROR(VALUE(TRIM(MID(MID(Wages!$B1068,FIND("/",Wages!$B1068)+1,20),FIND("/",MID(Wages!$B1068,FIND("/",Wages!$B1068)+1,20))+1,20))),"")))</f>
        <v/>
      </c>
      <c r="F1065">
        <f>IF($A1065="","",IF(OR($C1065="",$D1065="",$E1065="",$C1065&lt;1300,$C1065&gt;1500,$D1065&lt;1,$D1065&gt;12,$E1065&lt;1,$E1065&gt;31),"نامعتبر",RIGHT("0000"&amp;$C1065,4)&amp;"/"&amp;RIGHT("00"&amp;$D1065,2)&amp;"/"&amp;RIGHT("00"&amp;$E1065,2)))</f>
        <v/>
      </c>
      <c r="G1065">
        <f>IF(OR($A1065="",$F1065="",$F1065="نامعتبر"),"",LEFT($F1065,4)&amp;MID($F1065,6,2)&amp;RIGHT($F1065,2)&amp;"0000"&amp;"|"&amp;"1"&amp;RIGHT("00000"&amp;1060,5))</f>
        <v/>
      </c>
      <c r="H1065">
        <f>IF(OR($B1065&lt;&gt;1,$G1065=""),"",COUNTIFS(LdAParty,$A1065,LdAType,1,LdAKey,"&lt;"&amp;$G1065)+COUNTIFS(LdBMember,$A1065,LdBKey,"&lt;"&amp;$G1065)+COUNTIFS(LdCParty,$A1065,LdCKey,"&lt;"&amp;$G1065)+1)</f>
        <v/>
      </c>
      <c r="I1065">
        <f>IF($H1065="","",$A1065&amp;"|"&amp;RIGHT("000000"&amp;$H1065,6))</f>
        <v/>
      </c>
      <c r="J1065">
        <f>IF(OR($B1065&lt;&gt;2,$G1065=""),"",COUNTIFS(LdAParty,$A1065,LdAType,2,LdAKey,"&lt;"&amp;$G1065)+1)</f>
        <v/>
      </c>
      <c r="K1065">
        <f>IF($J1065="","",$A1065&amp;"|"&amp;RIGHT("000000"&amp;$J1065,6))</f>
        <v/>
      </c>
      <c r="L1065">
        <f>IF($A1065="","",IF(Wages!$G1068="",0,Wages!$G1068))</f>
        <v/>
      </c>
      <c r="M1065">
        <f>IF($A1065="","",Wages!$J1068)</f>
        <v/>
      </c>
      <c r="N1065">
        <f>IF($A1065="","",Wages!$D1068)</f>
        <v/>
      </c>
      <c r="P1065">
        <f>IF(OR(Shares!$B1068="",Shares!$C1068=""),"",Shares!$C1068)</f>
        <v/>
      </c>
      <c r="Q1065">
        <f>IF($P1065="","",Shares!$B1068)</f>
        <v/>
      </c>
      <c r="R1065">
        <f>IF($P1065="","",IFERROR(INDEX(WageParty,MATCH($Q1065,WageIds,0)),""))</f>
        <v/>
      </c>
      <c r="S1065">
        <f>IF($P1065="","",IFERROR(INDEX($F$6:$F$2005,MATCH($Q1065,WageIds,0)),""))</f>
        <v/>
      </c>
      <c r="T1065">
        <f>IF(OR($P1065="",$S1065="",$S1065="نامعتبر"),"",LEFT($S1065,4)&amp;MID($S1065,6,2)&amp;RIGHT($S1065,2)&amp;"0000"&amp;"|"&amp;"2"&amp;RIGHT("00000"&amp;1060,5))</f>
        <v/>
      </c>
      <c r="U1065">
        <f>IF($T1065="","",COUNTIFS(LdAParty,$P1065,LdAType,1,LdAKey,"&lt;"&amp;$T1065)+COUNTIFS(LdBMember,$P1065,LdBKey,"&lt;"&amp;$T1065)+COUNTIFS(LdCParty,$P1065,LdCKey,"&lt;"&amp;$T1065)+1)</f>
        <v/>
      </c>
      <c r="V1065">
        <f>IF($U1065="","",$P1065&amp;"|"&amp;RIGHT("000000"&amp;$U1065,6))</f>
        <v/>
      </c>
      <c r="W1065">
        <f>IF($T1065="","",COUNTIFS(LdBGroup,$R1065,LdBKey,"&lt;"&amp;$T1065)+1)</f>
        <v/>
      </c>
      <c r="X1065">
        <f>IF($W1065="","",$R1065&amp;"|"&amp;RIGHT("000000"&amp;$W1065,6))</f>
        <v/>
      </c>
      <c r="Y1065">
        <f>IF($P1065="","",IF(Shares!$E1068="",0,Shares!$E1068))</f>
        <v/>
      </c>
      <c r="Z1065">
        <f>IF($P1065="","",Shares!$H1068)</f>
        <v/>
      </c>
      <c r="AE1065">
        <f>IF(OR(Sync!$S1065="",Sync!$P1065=""),"",Sync!$S1065)</f>
        <v/>
      </c>
      <c r="AF1065">
        <f>IF($AE1065="","",IF(ISNUMBER(Sync!$P1065),IF(AND(Sync!$P1065&gt;=10000101,Sync!$P1065&lt;=99991231),INT(Sync!$P1065/10000),""),IFERROR(VALUE(TRIM(LEFT(Sync!$P1065,FIND("/",Sync!$P1065)-1))),"")))</f>
        <v/>
      </c>
      <c r="AG1065">
        <f>IF(OR($AE1065="",$AF1065=""),"",IF(ISNUMBER(Sync!$P1065),INT(MOD(Sync!$P1065,10000)/100),IFERROR(VALUE(TRIM(LEFT(MID(Sync!$P1065,FIND("/",Sync!$P1065)+1,20),FIND("/",MID(Sync!$P1065,FIND("/",Sync!$P1065)+1,20))-1))),"")))</f>
        <v/>
      </c>
      <c r="AH1065">
        <f>IF(OR($AE1065="",$AF1065=""),"",IF(ISNUMBER(Sync!$P1065),MOD(Sync!$P1065,100),IFERROR(VALUE(TRIM(MID(MID(Sync!$P1065,FIND("/",Sync!$P1065)+1,20),FIND("/",MID(Sync!$P1065,FIND("/",Sync!$P1065)+1,20))+1,20))),"")))</f>
        <v/>
      </c>
      <c r="AI1065">
        <f>IF($AE1065="","",IF(OR($AF1065="",$AG1065="",$AH1065="",$AF1065&lt;1300,$AF1065&gt;1500,$AG1065&lt;1,$AG1065&gt;12,$AH1065&lt;1,$AH1065&gt;31),"نامعتبر",RIGHT("0000"&amp;$AF1065,4)&amp;"/"&amp;RIGHT("00"&amp;$AG1065,2)&amp;"/"&amp;RIGHT("00"&amp;$AH1065,2)))</f>
        <v/>
      </c>
      <c r="AJ1065">
        <f>IF($AE1065="","",IF(Sync!$Q1065="","0000",IF(AND(ISNUMBER(Sync!$Q1065),Sync!$Q1065&gt;=0,Sync!$Q1065&lt;1),RIGHT("00"&amp;HOUR(Sync!$Q1065),2)&amp;RIGHT("00"&amp;MINUTE(Sync!$Q1065),2),IFERROR(RIGHT("00"&amp;VALUE(LEFT(Sync!$Q1065,FIND(":",Sync!$Q1065)-1)),2)&amp;RIGHT("00"&amp;VALUE(MID(Sync!$Q1065,FIND(":",Sync!$Q1065)+1,2)),2),"0000"))))</f>
        <v/>
      </c>
      <c r="AK1065">
        <f>IF(OR($AE1065="",$AI1065="",$AI1065="نامعتبر"),"",LEFT($AI1065,4)&amp;MID($AI1065,6,2)&amp;RIGHT($AI1065,2)&amp;$AJ1065&amp;"|"&amp;"3"&amp;RIGHT("00000"&amp;1060,5))</f>
        <v/>
      </c>
      <c r="AL1065">
        <f>IF($AK1065="","",COUNTIFS(LdAParty,$AE1065,LdAType,1,LdAKey,"&lt;"&amp;$AK1065)+COUNTIFS(LdBMember,$AE1065,LdBKey,"&lt;"&amp;$AK1065)+COUNTIFS(LdCParty,$AE1065,LdCKey,"&lt;"&amp;$AK1065)+1)</f>
        <v/>
      </c>
      <c r="AM1065">
        <f>IF($AL1065="","",$AE1065&amp;"|"&amp;RIGHT("000000"&amp;$AL1065,6))</f>
        <v/>
      </c>
      <c r="AN1065">
        <f>IF($AE1065="","",IF(Sync!$W1065="",0,Sync!$W1065))</f>
        <v/>
      </c>
      <c r="AO1065">
        <f>IF($AE1065="","",IF(Sync!$X1065="",0,Sync!$X1065))</f>
        <v/>
      </c>
      <c r="AP1065">
        <f>IF($AE1065="","",Sync!$R1065)</f>
        <v/>
      </c>
      <c r="AQ1065">
        <f>IF($AE1065="","",Sync!$Y1065)</f>
        <v/>
      </c>
    </row>
    <row r="1066">
      <c r="A1066">
        <f>IF(OR(Wages!$B1069="",Wages!$E1069=""),"",Wages!$E1069)</f>
        <v/>
      </c>
      <c r="B1066">
        <f>IF($A1066="","",IF(Wages!$C1069="دستمزد گروهی",2,1))</f>
        <v/>
      </c>
      <c r="C1066">
        <f>IF($A1066="","",IF(ISNUMBER(Wages!$B1069),IF(AND(Wages!$B1069&gt;=10000101,Wages!$B1069&lt;=99991231),INT(Wages!$B1069/10000),""),IFERROR(VALUE(TRIM(LEFT(Wages!$B1069,FIND("/",Wages!$B1069)-1))),"")))</f>
        <v/>
      </c>
      <c r="D1066">
        <f>IF(OR($A1066="",$C1066=""),"",IF(ISNUMBER(Wages!$B1069),INT(MOD(Wages!$B1069,10000)/100),IFERROR(VALUE(TRIM(LEFT(MID(Wages!$B1069,FIND("/",Wages!$B1069)+1,20),FIND("/",MID(Wages!$B1069,FIND("/",Wages!$B1069)+1,20))-1))),"")))</f>
        <v/>
      </c>
      <c r="E1066">
        <f>IF(OR($A1066="",$C1066=""),"",IF(ISNUMBER(Wages!$B1069),MOD(Wages!$B1069,100),IFERROR(VALUE(TRIM(MID(MID(Wages!$B1069,FIND("/",Wages!$B1069)+1,20),FIND("/",MID(Wages!$B1069,FIND("/",Wages!$B1069)+1,20))+1,20))),"")))</f>
        <v/>
      </c>
      <c r="F1066">
        <f>IF($A1066="","",IF(OR($C1066="",$D1066="",$E1066="",$C1066&lt;1300,$C1066&gt;1500,$D1066&lt;1,$D1066&gt;12,$E1066&lt;1,$E1066&gt;31),"نامعتبر",RIGHT("0000"&amp;$C1066,4)&amp;"/"&amp;RIGHT("00"&amp;$D1066,2)&amp;"/"&amp;RIGHT("00"&amp;$E1066,2)))</f>
        <v/>
      </c>
      <c r="G1066">
        <f>IF(OR($A1066="",$F1066="",$F1066="نامعتبر"),"",LEFT($F1066,4)&amp;MID($F1066,6,2)&amp;RIGHT($F1066,2)&amp;"0000"&amp;"|"&amp;"1"&amp;RIGHT("00000"&amp;1061,5))</f>
        <v/>
      </c>
      <c r="H1066">
        <f>IF(OR($B1066&lt;&gt;1,$G1066=""),"",COUNTIFS(LdAParty,$A1066,LdAType,1,LdAKey,"&lt;"&amp;$G1066)+COUNTIFS(LdBMember,$A1066,LdBKey,"&lt;"&amp;$G1066)+COUNTIFS(LdCParty,$A1066,LdCKey,"&lt;"&amp;$G1066)+1)</f>
        <v/>
      </c>
      <c r="I1066">
        <f>IF($H1066="","",$A1066&amp;"|"&amp;RIGHT("000000"&amp;$H1066,6))</f>
        <v/>
      </c>
      <c r="J1066">
        <f>IF(OR($B1066&lt;&gt;2,$G1066=""),"",COUNTIFS(LdAParty,$A1066,LdAType,2,LdAKey,"&lt;"&amp;$G1066)+1)</f>
        <v/>
      </c>
      <c r="K1066">
        <f>IF($J1066="","",$A1066&amp;"|"&amp;RIGHT("000000"&amp;$J1066,6))</f>
        <v/>
      </c>
      <c r="L1066">
        <f>IF($A1066="","",IF(Wages!$G1069="",0,Wages!$G1069))</f>
        <v/>
      </c>
      <c r="M1066">
        <f>IF($A1066="","",Wages!$J1069)</f>
        <v/>
      </c>
      <c r="N1066">
        <f>IF($A1066="","",Wages!$D1069)</f>
        <v/>
      </c>
      <c r="P1066">
        <f>IF(OR(Shares!$B1069="",Shares!$C1069=""),"",Shares!$C1069)</f>
        <v/>
      </c>
      <c r="Q1066">
        <f>IF($P1066="","",Shares!$B1069)</f>
        <v/>
      </c>
      <c r="R1066">
        <f>IF($P1066="","",IFERROR(INDEX(WageParty,MATCH($Q1066,WageIds,0)),""))</f>
        <v/>
      </c>
      <c r="S1066">
        <f>IF($P1066="","",IFERROR(INDEX($F$6:$F$2005,MATCH($Q1066,WageIds,0)),""))</f>
        <v/>
      </c>
      <c r="T1066">
        <f>IF(OR($P1066="",$S1066="",$S1066="نامعتبر"),"",LEFT($S1066,4)&amp;MID($S1066,6,2)&amp;RIGHT($S1066,2)&amp;"0000"&amp;"|"&amp;"2"&amp;RIGHT("00000"&amp;1061,5))</f>
        <v/>
      </c>
      <c r="U1066">
        <f>IF($T1066="","",COUNTIFS(LdAParty,$P1066,LdAType,1,LdAKey,"&lt;"&amp;$T1066)+COUNTIFS(LdBMember,$P1066,LdBKey,"&lt;"&amp;$T1066)+COUNTIFS(LdCParty,$P1066,LdCKey,"&lt;"&amp;$T1066)+1)</f>
        <v/>
      </c>
      <c r="V1066">
        <f>IF($U1066="","",$P1066&amp;"|"&amp;RIGHT("000000"&amp;$U1066,6))</f>
        <v/>
      </c>
      <c r="W1066">
        <f>IF($T1066="","",COUNTIFS(LdBGroup,$R1066,LdBKey,"&lt;"&amp;$T1066)+1)</f>
        <v/>
      </c>
      <c r="X1066">
        <f>IF($W1066="","",$R1066&amp;"|"&amp;RIGHT("000000"&amp;$W1066,6))</f>
        <v/>
      </c>
      <c r="Y1066">
        <f>IF($P1066="","",IF(Shares!$E1069="",0,Shares!$E1069))</f>
        <v/>
      </c>
      <c r="Z1066">
        <f>IF($P1066="","",Shares!$H1069)</f>
        <v/>
      </c>
      <c r="AE1066">
        <f>IF(OR(Sync!$S1066="",Sync!$P1066=""),"",Sync!$S1066)</f>
        <v/>
      </c>
      <c r="AF1066">
        <f>IF($AE1066="","",IF(ISNUMBER(Sync!$P1066),IF(AND(Sync!$P1066&gt;=10000101,Sync!$P1066&lt;=99991231),INT(Sync!$P1066/10000),""),IFERROR(VALUE(TRIM(LEFT(Sync!$P1066,FIND("/",Sync!$P1066)-1))),"")))</f>
        <v/>
      </c>
      <c r="AG1066">
        <f>IF(OR($AE1066="",$AF1066=""),"",IF(ISNUMBER(Sync!$P1066),INT(MOD(Sync!$P1066,10000)/100),IFERROR(VALUE(TRIM(LEFT(MID(Sync!$P1066,FIND("/",Sync!$P1066)+1,20),FIND("/",MID(Sync!$P1066,FIND("/",Sync!$P1066)+1,20))-1))),"")))</f>
        <v/>
      </c>
      <c r="AH1066">
        <f>IF(OR($AE1066="",$AF1066=""),"",IF(ISNUMBER(Sync!$P1066),MOD(Sync!$P1066,100),IFERROR(VALUE(TRIM(MID(MID(Sync!$P1066,FIND("/",Sync!$P1066)+1,20),FIND("/",MID(Sync!$P1066,FIND("/",Sync!$P1066)+1,20))+1,20))),"")))</f>
        <v/>
      </c>
      <c r="AI1066">
        <f>IF($AE1066="","",IF(OR($AF1066="",$AG1066="",$AH1066="",$AF1066&lt;1300,$AF1066&gt;1500,$AG1066&lt;1,$AG1066&gt;12,$AH1066&lt;1,$AH1066&gt;31),"نامعتبر",RIGHT("0000"&amp;$AF1066,4)&amp;"/"&amp;RIGHT("00"&amp;$AG1066,2)&amp;"/"&amp;RIGHT("00"&amp;$AH1066,2)))</f>
        <v/>
      </c>
      <c r="AJ1066">
        <f>IF($AE1066="","",IF(Sync!$Q1066="","0000",IF(AND(ISNUMBER(Sync!$Q1066),Sync!$Q1066&gt;=0,Sync!$Q1066&lt;1),RIGHT("00"&amp;HOUR(Sync!$Q1066),2)&amp;RIGHT("00"&amp;MINUTE(Sync!$Q1066),2),IFERROR(RIGHT("00"&amp;VALUE(LEFT(Sync!$Q1066,FIND(":",Sync!$Q1066)-1)),2)&amp;RIGHT("00"&amp;VALUE(MID(Sync!$Q1066,FIND(":",Sync!$Q1066)+1,2)),2),"0000"))))</f>
        <v/>
      </c>
      <c r="AK1066">
        <f>IF(OR($AE1066="",$AI1066="",$AI1066="نامعتبر"),"",LEFT($AI1066,4)&amp;MID($AI1066,6,2)&amp;RIGHT($AI1066,2)&amp;$AJ1066&amp;"|"&amp;"3"&amp;RIGHT("00000"&amp;1061,5))</f>
        <v/>
      </c>
      <c r="AL1066">
        <f>IF($AK1066="","",COUNTIFS(LdAParty,$AE1066,LdAType,1,LdAKey,"&lt;"&amp;$AK1066)+COUNTIFS(LdBMember,$AE1066,LdBKey,"&lt;"&amp;$AK1066)+COUNTIFS(LdCParty,$AE1066,LdCKey,"&lt;"&amp;$AK1066)+1)</f>
        <v/>
      </c>
      <c r="AM1066">
        <f>IF($AL1066="","",$AE1066&amp;"|"&amp;RIGHT("000000"&amp;$AL1066,6))</f>
        <v/>
      </c>
      <c r="AN1066">
        <f>IF($AE1066="","",IF(Sync!$W1066="",0,Sync!$W1066))</f>
        <v/>
      </c>
      <c r="AO1066">
        <f>IF($AE1066="","",IF(Sync!$X1066="",0,Sync!$X1066))</f>
        <v/>
      </c>
      <c r="AP1066">
        <f>IF($AE1066="","",Sync!$R1066)</f>
        <v/>
      </c>
      <c r="AQ1066">
        <f>IF($AE1066="","",Sync!$Y1066)</f>
        <v/>
      </c>
    </row>
    <row r="1067">
      <c r="A1067">
        <f>IF(OR(Wages!$B1070="",Wages!$E1070=""),"",Wages!$E1070)</f>
        <v/>
      </c>
      <c r="B1067">
        <f>IF($A1067="","",IF(Wages!$C1070="دستمزد گروهی",2,1))</f>
        <v/>
      </c>
      <c r="C1067">
        <f>IF($A1067="","",IF(ISNUMBER(Wages!$B1070),IF(AND(Wages!$B1070&gt;=10000101,Wages!$B1070&lt;=99991231),INT(Wages!$B1070/10000),""),IFERROR(VALUE(TRIM(LEFT(Wages!$B1070,FIND("/",Wages!$B1070)-1))),"")))</f>
        <v/>
      </c>
      <c r="D1067">
        <f>IF(OR($A1067="",$C1067=""),"",IF(ISNUMBER(Wages!$B1070),INT(MOD(Wages!$B1070,10000)/100),IFERROR(VALUE(TRIM(LEFT(MID(Wages!$B1070,FIND("/",Wages!$B1070)+1,20),FIND("/",MID(Wages!$B1070,FIND("/",Wages!$B1070)+1,20))-1))),"")))</f>
        <v/>
      </c>
      <c r="E1067">
        <f>IF(OR($A1067="",$C1067=""),"",IF(ISNUMBER(Wages!$B1070),MOD(Wages!$B1070,100),IFERROR(VALUE(TRIM(MID(MID(Wages!$B1070,FIND("/",Wages!$B1070)+1,20),FIND("/",MID(Wages!$B1070,FIND("/",Wages!$B1070)+1,20))+1,20))),"")))</f>
        <v/>
      </c>
      <c r="F1067">
        <f>IF($A1067="","",IF(OR($C1067="",$D1067="",$E1067="",$C1067&lt;1300,$C1067&gt;1500,$D1067&lt;1,$D1067&gt;12,$E1067&lt;1,$E1067&gt;31),"نامعتبر",RIGHT("0000"&amp;$C1067,4)&amp;"/"&amp;RIGHT("00"&amp;$D1067,2)&amp;"/"&amp;RIGHT("00"&amp;$E1067,2)))</f>
        <v/>
      </c>
      <c r="G1067">
        <f>IF(OR($A1067="",$F1067="",$F1067="نامعتبر"),"",LEFT($F1067,4)&amp;MID($F1067,6,2)&amp;RIGHT($F1067,2)&amp;"0000"&amp;"|"&amp;"1"&amp;RIGHT("00000"&amp;1062,5))</f>
        <v/>
      </c>
      <c r="H1067">
        <f>IF(OR($B1067&lt;&gt;1,$G1067=""),"",COUNTIFS(LdAParty,$A1067,LdAType,1,LdAKey,"&lt;"&amp;$G1067)+COUNTIFS(LdBMember,$A1067,LdBKey,"&lt;"&amp;$G1067)+COUNTIFS(LdCParty,$A1067,LdCKey,"&lt;"&amp;$G1067)+1)</f>
        <v/>
      </c>
      <c r="I1067">
        <f>IF($H1067="","",$A1067&amp;"|"&amp;RIGHT("000000"&amp;$H1067,6))</f>
        <v/>
      </c>
      <c r="J1067">
        <f>IF(OR($B1067&lt;&gt;2,$G1067=""),"",COUNTIFS(LdAParty,$A1067,LdAType,2,LdAKey,"&lt;"&amp;$G1067)+1)</f>
        <v/>
      </c>
      <c r="K1067">
        <f>IF($J1067="","",$A1067&amp;"|"&amp;RIGHT("000000"&amp;$J1067,6))</f>
        <v/>
      </c>
      <c r="L1067">
        <f>IF($A1067="","",IF(Wages!$G1070="",0,Wages!$G1070))</f>
        <v/>
      </c>
      <c r="M1067">
        <f>IF($A1067="","",Wages!$J1070)</f>
        <v/>
      </c>
      <c r="N1067">
        <f>IF($A1067="","",Wages!$D1070)</f>
        <v/>
      </c>
      <c r="P1067">
        <f>IF(OR(Shares!$B1070="",Shares!$C1070=""),"",Shares!$C1070)</f>
        <v/>
      </c>
      <c r="Q1067">
        <f>IF($P1067="","",Shares!$B1070)</f>
        <v/>
      </c>
      <c r="R1067">
        <f>IF($P1067="","",IFERROR(INDEX(WageParty,MATCH($Q1067,WageIds,0)),""))</f>
        <v/>
      </c>
      <c r="S1067">
        <f>IF($P1067="","",IFERROR(INDEX($F$6:$F$2005,MATCH($Q1067,WageIds,0)),""))</f>
        <v/>
      </c>
      <c r="T1067">
        <f>IF(OR($P1067="",$S1067="",$S1067="نامعتبر"),"",LEFT($S1067,4)&amp;MID($S1067,6,2)&amp;RIGHT($S1067,2)&amp;"0000"&amp;"|"&amp;"2"&amp;RIGHT("00000"&amp;1062,5))</f>
        <v/>
      </c>
      <c r="U1067">
        <f>IF($T1067="","",COUNTIFS(LdAParty,$P1067,LdAType,1,LdAKey,"&lt;"&amp;$T1067)+COUNTIFS(LdBMember,$P1067,LdBKey,"&lt;"&amp;$T1067)+COUNTIFS(LdCParty,$P1067,LdCKey,"&lt;"&amp;$T1067)+1)</f>
        <v/>
      </c>
      <c r="V1067">
        <f>IF($U1067="","",$P1067&amp;"|"&amp;RIGHT("000000"&amp;$U1067,6))</f>
        <v/>
      </c>
      <c r="W1067">
        <f>IF($T1067="","",COUNTIFS(LdBGroup,$R1067,LdBKey,"&lt;"&amp;$T1067)+1)</f>
        <v/>
      </c>
      <c r="X1067">
        <f>IF($W1067="","",$R1067&amp;"|"&amp;RIGHT("000000"&amp;$W1067,6))</f>
        <v/>
      </c>
      <c r="Y1067">
        <f>IF($P1067="","",IF(Shares!$E1070="",0,Shares!$E1070))</f>
        <v/>
      </c>
      <c r="Z1067">
        <f>IF($P1067="","",Shares!$H1070)</f>
        <v/>
      </c>
      <c r="AE1067">
        <f>IF(OR(Sync!$S1067="",Sync!$P1067=""),"",Sync!$S1067)</f>
        <v/>
      </c>
      <c r="AF1067">
        <f>IF($AE1067="","",IF(ISNUMBER(Sync!$P1067),IF(AND(Sync!$P1067&gt;=10000101,Sync!$P1067&lt;=99991231),INT(Sync!$P1067/10000),""),IFERROR(VALUE(TRIM(LEFT(Sync!$P1067,FIND("/",Sync!$P1067)-1))),"")))</f>
        <v/>
      </c>
      <c r="AG1067">
        <f>IF(OR($AE1067="",$AF1067=""),"",IF(ISNUMBER(Sync!$P1067),INT(MOD(Sync!$P1067,10000)/100),IFERROR(VALUE(TRIM(LEFT(MID(Sync!$P1067,FIND("/",Sync!$P1067)+1,20),FIND("/",MID(Sync!$P1067,FIND("/",Sync!$P1067)+1,20))-1))),"")))</f>
        <v/>
      </c>
      <c r="AH1067">
        <f>IF(OR($AE1067="",$AF1067=""),"",IF(ISNUMBER(Sync!$P1067),MOD(Sync!$P1067,100),IFERROR(VALUE(TRIM(MID(MID(Sync!$P1067,FIND("/",Sync!$P1067)+1,20),FIND("/",MID(Sync!$P1067,FIND("/",Sync!$P1067)+1,20))+1,20))),"")))</f>
        <v/>
      </c>
      <c r="AI1067">
        <f>IF($AE1067="","",IF(OR($AF1067="",$AG1067="",$AH1067="",$AF1067&lt;1300,$AF1067&gt;1500,$AG1067&lt;1,$AG1067&gt;12,$AH1067&lt;1,$AH1067&gt;31),"نامعتبر",RIGHT("0000"&amp;$AF1067,4)&amp;"/"&amp;RIGHT("00"&amp;$AG1067,2)&amp;"/"&amp;RIGHT("00"&amp;$AH1067,2)))</f>
        <v/>
      </c>
      <c r="AJ1067">
        <f>IF($AE1067="","",IF(Sync!$Q1067="","0000",IF(AND(ISNUMBER(Sync!$Q1067),Sync!$Q1067&gt;=0,Sync!$Q1067&lt;1),RIGHT("00"&amp;HOUR(Sync!$Q1067),2)&amp;RIGHT("00"&amp;MINUTE(Sync!$Q1067),2),IFERROR(RIGHT("00"&amp;VALUE(LEFT(Sync!$Q1067,FIND(":",Sync!$Q1067)-1)),2)&amp;RIGHT("00"&amp;VALUE(MID(Sync!$Q1067,FIND(":",Sync!$Q1067)+1,2)),2),"0000"))))</f>
        <v/>
      </c>
      <c r="AK1067">
        <f>IF(OR($AE1067="",$AI1067="",$AI1067="نامعتبر"),"",LEFT($AI1067,4)&amp;MID($AI1067,6,2)&amp;RIGHT($AI1067,2)&amp;$AJ1067&amp;"|"&amp;"3"&amp;RIGHT("00000"&amp;1062,5))</f>
        <v/>
      </c>
      <c r="AL1067">
        <f>IF($AK1067="","",COUNTIFS(LdAParty,$AE1067,LdAType,1,LdAKey,"&lt;"&amp;$AK1067)+COUNTIFS(LdBMember,$AE1067,LdBKey,"&lt;"&amp;$AK1067)+COUNTIFS(LdCParty,$AE1067,LdCKey,"&lt;"&amp;$AK1067)+1)</f>
        <v/>
      </c>
      <c r="AM1067">
        <f>IF($AL1067="","",$AE1067&amp;"|"&amp;RIGHT("000000"&amp;$AL1067,6))</f>
        <v/>
      </c>
      <c r="AN1067">
        <f>IF($AE1067="","",IF(Sync!$W1067="",0,Sync!$W1067))</f>
        <v/>
      </c>
      <c r="AO1067">
        <f>IF($AE1067="","",IF(Sync!$X1067="",0,Sync!$X1067))</f>
        <v/>
      </c>
      <c r="AP1067">
        <f>IF($AE1067="","",Sync!$R1067)</f>
        <v/>
      </c>
      <c r="AQ1067">
        <f>IF($AE1067="","",Sync!$Y1067)</f>
        <v/>
      </c>
    </row>
    <row r="1068">
      <c r="A1068">
        <f>IF(OR(Wages!$B1071="",Wages!$E1071=""),"",Wages!$E1071)</f>
        <v/>
      </c>
      <c r="B1068">
        <f>IF($A1068="","",IF(Wages!$C1071="دستمزد گروهی",2,1))</f>
        <v/>
      </c>
      <c r="C1068">
        <f>IF($A1068="","",IF(ISNUMBER(Wages!$B1071),IF(AND(Wages!$B1071&gt;=10000101,Wages!$B1071&lt;=99991231),INT(Wages!$B1071/10000),""),IFERROR(VALUE(TRIM(LEFT(Wages!$B1071,FIND("/",Wages!$B1071)-1))),"")))</f>
        <v/>
      </c>
      <c r="D1068">
        <f>IF(OR($A1068="",$C1068=""),"",IF(ISNUMBER(Wages!$B1071),INT(MOD(Wages!$B1071,10000)/100),IFERROR(VALUE(TRIM(LEFT(MID(Wages!$B1071,FIND("/",Wages!$B1071)+1,20),FIND("/",MID(Wages!$B1071,FIND("/",Wages!$B1071)+1,20))-1))),"")))</f>
        <v/>
      </c>
      <c r="E1068">
        <f>IF(OR($A1068="",$C1068=""),"",IF(ISNUMBER(Wages!$B1071),MOD(Wages!$B1071,100),IFERROR(VALUE(TRIM(MID(MID(Wages!$B1071,FIND("/",Wages!$B1071)+1,20),FIND("/",MID(Wages!$B1071,FIND("/",Wages!$B1071)+1,20))+1,20))),"")))</f>
        <v/>
      </c>
      <c r="F1068">
        <f>IF($A1068="","",IF(OR($C1068="",$D1068="",$E1068="",$C1068&lt;1300,$C1068&gt;1500,$D1068&lt;1,$D1068&gt;12,$E1068&lt;1,$E1068&gt;31),"نامعتبر",RIGHT("0000"&amp;$C1068,4)&amp;"/"&amp;RIGHT("00"&amp;$D1068,2)&amp;"/"&amp;RIGHT("00"&amp;$E1068,2)))</f>
        <v/>
      </c>
      <c r="G1068">
        <f>IF(OR($A1068="",$F1068="",$F1068="نامعتبر"),"",LEFT($F1068,4)&amp;MID($F1068,6,2)&amp;RIGHT($F1068,2)&amp;"0000"&amp;"|"&amp;"1"&amp;RIGHT("00000"&amp;1063,5))</f>
        <v/>
      </c>
      <c r="H1068">
        <f>IF(OR($B1068&lt;&gt;1,$G1068=""),"",COUNTIFS(LdAParty,$A1068,LdAType,1,LdAKey,"&lt;"&amp;$G1068)+COUNTIFS(LdBMember,$A1068,LdBKey,"&lt;"&amp;$G1068)+COUNTIFS(LdCParty,$A1068,LdCKey,"&lt;"&amp;$G1068)+1)</f>
        <v/>
      </c>
      <c r="I1068">
        <f>IF($H1068="","",$A1068&amp;"|"&amp;RIGHT("000000"&amp;$H1068,6))</f>
        <v/>
      </c>
      <c r="J1068">
        <f>IF(OR($B1068&lt;&gt;2,$G1068=""),"",COUNTIFS(LdAParty,$A1068,LdAType,2,LdAKey,"&lt;"&amp;$G1068)+1)</f>
        <v/>
      </c>
      <c r="K1068">
        <f>IF($J1068="","",$A1068&amp;"|"&amp;RIGHT("000000"&amp;$J1068,6))</f>
        <v/>
      </c>
      <c r="L1068">
        <f>IF($A1068="","",IF(Wages!$G1071="",0,Wages!$G1071))</f>
        <v/>
      </c>
      <c r="M1068">
        <f>IF($A1068="","",Wages!$J1071)</f>
        <v/>
      </c>
      <c r="N1068">
        <f>IF($A1068="","",Wages!$D1071)</f>
        <v/>
      </c>
      <c r="P1068">
        <f>IF(OR(Shares!$B1071="",Shares!$C1071=""),"",Shares!$C1071)</f>
        <v/>
      </c>
      <c r="Q1068">
        <f>IF($P1068="","",Shares!$B1071)</f>
        <v/>
      </c>
      <c r="R1068">
        <f>IF($P1068="","",IFERROR(INDEX(WageParty,MATCH($Q1068,WageIds,0)),""))</f>
        <v/>
      </c>
      <c r="S1068">
        <f>IF($P1068="","",IFERROR(INDEX($F$6:$F$2005,MATCH($Q1068,WageIds,0)),""))</f>
        <v/>
      </c>
      <c r="T1068">
        <f>IF(OR($P1068="",$S1068="",$S1068="نامعتبر"),"",LEFT($S1068,4)&amp;MID($S1068,6,2)&amp;RIGHT($S1068,2)&amp;"0000"&amp;"|"&amp;"2"&amp;RIGHT("00000"&amp;1063,5))</f>
        <v/>
      </c>
      <c r="U1068">
        <f>IF($T1068="","",COUNTIFS(LdAParty,$P1068,LdAType,1,LdAKey,"&lt;"&amp;$T1068)+COUNTIFS(LdBMember,$P1068,LdBKey,"&lt;"&amp;$T1068)+COUNTIFS(LdCParty,$P1068,LdCKey,"&lt;"&amp;$T1068)+1)</f>
        <v/>
      </c>
      <c r="V1068">
        <f>IF($U1068="","",$P1068&amp;"|"&amp;RIGHT("000000"&amp;$U1068,6))</f>
        <v/>
      </c>
      <c r="W1068">
        <f>IF($T1068="","",COUNTIFS(LdBGroup,$R1068,LdBKey,"&lt;"&amp;$T1068)+1)</f>
        <v/>
      </c>
      <c r="X1068">
        <f>IF($W1068="","",$R1068&amp;"|"&amp;RIGHT("000000"&amp;$W1068,6))</f>
        <v/>
      </c>
      <c r="Y1068">
        <f>IF($P1068="","",IF(Shares!$E1071="",0,Shares!$E1071))</f>
        <v/>
      </c>
      <c r="Z1068">
        <f>IF($P1068="","",Shares!$H1071)</f>
        <v/>
      </c>
      <c r="AE1068">
        <f>IF(OR(Sync!$S1068="",Sync!$P1068=""),"",Sync!$S1068)</f>
        <v/>
      </c>
      <c r="AF1068">
        <f>IF($AE1068="","",IF(ISNUMBER(Sync!$P1068),IF(AND(Sync!$P1068&gt;=10000101,Sync!$P1068&lt;=99991231),INT(Sync!$P1068/10000),""),IFERROR(VALUE(TRIM(LEFT(Sync!$P1068,FIND("/",Sync!$P1068)-1))),"")))</f>
        <v/>
      </c>
      <c r="AG1068">
        <f>IF(OR($AE1068="",$AF1068=""),"",IF(ISNUMBER(Sync!$P1068),INT(MOD(Sync!$P1068,10000)/100),IFERROR(VALUE(TRIM(LEFT(MID(Sync!$P1068,FIND("/",Sync!$P1068)+1,20),FIND("/",MID(Sync!$P1068,FIND("/",Sync!$P1068)+1,20))-1))),"")))</f>
        <v/>
      </c>
      <c r="AH1068">
        <f>IF(OR($AE1068="",$AF1068=""),"",IF(ISNUMBER(Sync!$P1068),MOD(Sync!$P1068,100),IFERROR(VALUE(TRIM(MID(MID(Sync!$P1068,FIND("/",Sync!$P1068)+1,20),FIND("/",MID(Sync!$P1068,FIND("/",Sync!$P1068)+1,20))+1,20))),"")))</f>
        <v/>
      </c>
      <c r="AI1068">
        <f>IF($AE1068="","",IF(OR($AF1068="",$AG1068="",$AH1068="",$AF1068&lt;1300,$AF1068&gt;1500,$AG1068&lt;1,$AG1068&gt;12,$AH1068&lt;1,$AH1068&gt;31),"نامعتبر",RIGHT("0000"&amp;$AF1068,4)&amp;"/"&amp;RIGHT("00"&amp;$AG1068,2)&amp;"/"&amp;RIGHT("00"&amp;$AH1068,2)))</f>
        <v/>
      </c>
      <c r="AJ1068">
        <f>IF($AE1068="","",IF(Sync!$Q1068="","0000",IF(AND(ISNUMBER(Sync!$Q1068),Sync!$Q1068&gt;=0,Sync!$Q1068&lt;1),RIGHT("00"&amp;HOUR(Sync!$Q1068),2)&amp;RIGHT("00"&amp;MINUTE(Sync!$Q1068),2),IFERROR(RIGHT("00"&amp;VALUE(LEFT(Sync!$Q1068,FIND(":",Sync!$Q1068)-1)),2)&amp;RIGHT("00"&amp;VALUE(MID(Sync!$Q1068,FIND(":",Sync!$Q1068)+1,2)),2),"0000"))))</f>
        <v/>
      </c>
      <c r="AK1068">
        <f>IF(OR($AE1068="",$AI1068="",$AI1068="نامعتبر"),"",LEFT($AI1068,4)&amp;MID($AI1068,6,2)&amp;RIGHT($AI1068,2)&amp;$AJ1068&amp;"|"&amp;"3"&amp;RIGHT("00000"&amp;1063,5))</f>
        <v/>
      </c>
      <c r="AL1068">
        <f>IF($AK1068="","",COUNTIFS(LdAParty,$AE1068,LdAType,1,LdAKey,"&lt;"&amp;$AK1068)+COUNTIFS(LdBMember,$AE1068,LdBKey,"&lt;"&amp;$AK1068)+COUNTIFS(LdCParty,$AE1068,LdCKey,"&lt;"&amp;$AK1068)+1)</f>
        <v/>
      </c>
      <c r="AM1068">
        <f>IF($AL1068="","",$AE1068&amp;"|"&amp;RIGHT("000000"&amp;$AL1068,6))</f>
        <v/>
      </c>
      <c r="AN1068">
        <f>IF($AE1068="","",IF(Sync!$W1068="",0,Sync!$W1068))</f>
        <v/>
      </c>
      <c r="AO1068">
        <f>IF($AE1068="","",IF(Sync!$X1068="",0,Sync!$X1068))</f>
        <v/>
      </c>
      <c r="AP1068">
        <f>IF($AE1068="","",Sync!$R1068)</f>
        <v/>
      </c>
      <c r="AQ1068">
        <f>IF($AE1068="","",Sync!$Y1068)</f>
        <v/>
      </c>
    </row>
    <row r="1069">
      <c r="A1069">
        <f>IF(OR(Wages!$B1072="",Wages!$E1072=""),"",Wages!$E1072)</f>
        <v/>
      </c>
      <c r="B1069">
        <f>IF($A1069="","",IF(Wages!$C1072="دستمزد گروهی",2,1))</f>
        <v/>
      </c>
      <c r="C1069">
        <f>IF($A1069="","",IF(ISNUMBER(Wages!$B1072),IF(AND(Wages!$B1072&gt;=10000101,Wages!$B1072&lt;=99991231),INT(Wages!$B1072/10000),""),IFERROR(VALUE(TRIM(LEFT(Wages!$B1072,FIND("/",Wages!$B1072)-1))),"")))</f>
        <v/>
      </c>
      <c r="D1069">
        <f>IF(OR($A1069="",$C1069=""),"",IF(ISNUMBER(Wages!$B1072),INT(MOD(Wages!$B1072,10000)/100),IFERROR(VALUE(TRIM(LEFT(MID(Wages!$B1072,FIND("/",Wages!$B1072)+1,20),FIND("/",MID(Wages!$B1072,FIND("/",Wages!$B1072)+1,20))-1))),"")))</f>
        <v/>
      </c>
      <c r="E1069">
        <f>IF(OR($A1069="",$C1069=""),"",IF(ISNUMBER(Wages!$B1072),MOD(Wages!$B1072,100),IFERROR(VALUE(TRIM(MID(MID(Wages!$B1072,FIND("/",Wages!$B1072)+1,20),FIND("/",MID(Wages!$B1072,FIND("/",Wages!$B1072)+1,20))+1,20))),"")))</f>
        <v/>
      </c>
      <c r="F1069">
        <f>IF($A1069="","",IF(OR($C1069="",$D1069="",$E1069="",$C1069&lt;1300,$C1069&gt;1500,$D1069&lt;1,$D1069&gt;12,$E1069&lt;1,$E1069&gt;31),"نامعتبر",RIGHT("0000"&amp;$C1069,4)&amp;"/"&amp;RIGHT("00"&amp;$D1069,2)&amp;"/"&amp;RIGHT("00"&amp;$E1069,2)))</f>
        <v/>
      </c>
      <c r="G1069">
        <f>IF(OR($A1069="",$F1069="",$F1069="نامعتبر"),"",LEFT($F1069,4)&amp;MID($F1069,6,2)&amp;RIGHT($F1069,2)&amp;"0000"&amp;"|"&amp;"1"&amp;RIGHT("00000"&amp;1064,5))</f>
        <v/>
      </c>
      <c r="H1069">
        <f>IF(OR($B1069&lt;&gt;1,$G1069=""),"",COUNTIFS(LdAParty,$A1069,LdAType,1,LdAKey,"&lt;"&amp;$G1069)+COUNTIFS(LdBMember,$A1069,LdBKey,"&lt;"&amp;$G1069)+COUNTIFS(LdCParty,$A1069,LdCKey,"&lt;"&amp;$G1069)+1)</f>
        <v/>
      </c>
      <c r="I1069">
        <f>IF($H1069="","",$A1069&amp;"|"&amp;RIGHT("000000"&amp;$H1069,6))</f>
        <v/>
      </c>
      <c r="J1069">
        <f>IF(OR($B1069&lt;&gt;2,$G1069=""),"",COUNTIFS(LdAParty,$A1069,LdAType,2,LdAKey,"&lt;"&amp;$G1069)+1)</f>
        <v/>
      </c>
      <c r="K1069">
        <f>IF($J1069="","",$A1069&amp;"|"&amp;RIGHT("000000"&amp;$J1069,6))</f>
        <v/>
      </c>
      <c r="L1069">
        <f>IF($A1069="","",IF(Wages!$G1072="",0,Wages!$G1072))</f>
        <v/>
      </c>
      <c r="M1069">
        <f>IF($A1069="","",Wages!$J1072)</f>
        <v/>
      </c>
      <c r="N1069">
        <f>IF($A1069="","",Wages!$D1072)</f>
        <v/>
      </c>
      <c r="P1069">
        <f>IF(OR(Shares!$B1072="",Shares!$C1072=""),"",Shares!$C1072)</f>
        <v/>
      </c>
      <c r="Q1069">
        <f>IF($P1069="","",Shares!$B1072)</f>
        <v/>
      </c>
      <c r="R1069">
        <f>IF($P1069="","",IFERROR(INDEX(WageParty,MATCH($Q1069,WageIds,0)),""))</f>
        <v/>
      </c>
      <c r="S1069">
        <f>IF($P1069="","",IFERROR(INDEX($F$6:$F$2005,MATCH($Q1069,WageIds,0)),""))</f>
        <v/>
      </c>
      <c r="T1069">
        <f>IF(OR($P1069="",$S1069="",$S1069="نامعتبر"),"",LEFT($S1069,4)&amp;MID($S1069,6,2)&amp;RIGHT($S1069,2)&amp;"0000"&amp;"|"&amp;"2"&amp;RIGHT("00000"&amp;1064,5))</f>
        <v/>
      </c>
      <c r="U1069">
        <f>IF($T1069="","",COUNTIFS(LdAParty,$P1069,LdAType,1,LdAKey,"&lt;"&amp;$T1069)+COUNTIFS(LdBMember,$P1069,LdBKey,"&lt;"&amp;$T1069)+COUNTIFS(LdCParty,$P1069,LdCKey,"&lt;"&amp;$T1069)+1)</f>
        <v/>
      </c>
      <c r="V1069">
        <f>IF($U1069="","",$P1069&amp;"|"&amp;RIGHT("000000"&amp;$U1069,6))</f>
        <v/>
      </c>
      <c r="W1069">
        <f>IF($T1069="","",COUNTIFS(LdBGroup,$R1069,LdBKey,"&lt;"&amp;$T1069)+1)</f>
        <v/>
      </c>
      <c r="X1069">
        <f>IF($W1069="","",$R1069&amp;"|"&amp;RIGHT("000000"&amp;$W1069,6))</f>
        <v/>
      </c>
      <c r="Y1069">
        <f>IF($P1069="","",IF(Shares!$E1072="",0,Shares!$E1072))</f>
        <v/>
      </c>
      <c r="Z1069">
        <f>IF($P1069="","",Shares!$H1072)</f>
        <v/>
      </c>
      <c r="AE1069">
        <f>IF(OR(Sync!$S1069="",Sync!$P1069=""),"",Sync!$S1069)</f>
        <v/>
      </c>
      <c r="AF1069">
        <f>IF($AE1069="","",IF(ISNUMBER(Sync!$P1069),IF(AND(Sync!$P1069&gt;=10000101,Sync!$P1069&lt;=99991231),INT(Sync!$P1069/10000),""),IFERROR(VALUE(TRIM(LEFT(Sync!$P1069,FIND("/",Sync!$P1069)-1))),"")))</f>
        <v/>
      </c>
      <c r="AG1069">
        <f>IF(OR($AE1069="",$AF1069=""),"",IF(ISNUMBER(Sync!$P1069),INT(MOD(Sync!$P1069,10000)/100),IFERROR(VALUE(TRIM(LEFT(MID(Sync!$P1069,FIND("/",Sync!$P1069)+1,20),FIND("/",MID(Sync!$P1069,FIND("/",Sync!$P1069)+1,20))-1))),"")))</f>
        <v/>
      </c>
      <c r="AH1069">
        <f>IF(OR($AE1069="",$AF1069=""),"",IF(ISNUMBER(Sync!$P1069),MOD(Sync!$P1069,100),IFERROR(VALUE(TRIM(MID(MID(Sync!$P1069,FIND("/",Sync!$P1069)+1,20),FIND("/",MID(Sync!$P1069,FIND("/",Sync!$P1069)+1,20))+1,20))),"")))</f>
        <v/>
      </c>
      <c r="AI1069">
        <f>IF($AE1069="","",IF(OR($AF1069="",$AG1069="",$AH1069="",$AF1069&lt;1300,$AF1069&gt;1500,$AG1069&lt;1,$AG1069&gt;12,$AH1069&lt;1,$AH1069&gt;31),"نامعتبر",RIGHT("0000"&amp;$AF1069,4)&amp;"/"&amp;RIGHT("00"&amp;$AG1069,2)&amp;"/"&amp;RIGHT("00"&amp;$AH1069,2)))</f>
        <v/>
      </c>
      <c r="AJ1069">
        <f>IF($AE1069="","",IF(Sync!$Q1069="","0000",IF(AND(ISNUMBER(Sync!$Q1069),Sync!$Q1069&gt;=0,Sync!$Q1069&lt;1),RIGHT("00"&amp;HOUR(Sync!$Q1069),2)&amp;RIGHT("00"&amp;MINUTE(Sync!$Q1069),2),IFERROR(RIGHT("00"&amp;VALUE(LEFT(Sync!$Q1069,FIND(":",Sync!$Q1069)-1)),2)&amp;RIGHT("00"&amp;VALUE(MID(Sync!$Q1069,FIND(":",Sync!$Q1069)+1,2)),2),"0000"))))</f>
        <v/>
      </c>
      <c r="AK1069">
        <f>IF(OR($AE1069="",$AI1069="",$AI1069="نامعتبر"),"",LEFT($AI1069,4)&amp;MID($AI1069,6,2)&amp;RIGHT($AI1069,2)&amp;$AJ1069&amp;"|"&amp;"3"&amp;RIGHT("00000"&amp;1064,5))</f>
        <v/>
      </c>
      <c r="AL1069">
        <f>IF($AK1069="","",COUNTIFS(LdAParty,$AE1069,LdAType,1,LdAKey,"&lt;"&amp;$AK1069)+COUNTIFS(LdBMember,$AE1069,LdBKey,"&lt;"&amp;$AK1069)+COUNTIFS(LdCParty,$AE1069,LdCKey,"&lt;"&amp;$AK1069)+1)</f>
        <v/>
      </c>
      <c r="AM1069">
        <f>IF($AL1069="","",$AE1069&amp;"|"&amp;RIGHT("000000"&amp;$AL1069,6))</f>
        <v/>
      </c>
      <c r="AN1069">
        <f>IF($AE1069="","",IF(Sync!$W1069="",0,Sync!$W1069))</f>
        <v/>
      </c>
      <c r="AO1069">
        <f>IF($AE1069="","",IF(Sync!$X1069="",0,Sync!$X1069))</f>
        <v/>
      </c>
      <c r="AP1069">
        <f>IF($AE1069="","",Sync!$R1069)</f>
        <v/>
      </c>
      <c r="AQ1069">
        <f>IF($AE1069="","",Sync!$Y1069)</f>
        <v/>
      </c>
    </row>
    <row r="1070">
      <c r="A1070">
        <f>IF(OR(Wages!$B1073="",Wages!$E1073=""),"",Wages!$E1073)</f>
        <v/>
      </c>
      <c r="B1070">
        <f>IF($A1070="","",IF(Wages!$C1073="دستمزد گروهی",2,1))</f>
        <v/>
      </c>
      <c r="C1070">
        <f>IF($A1070="","",IF(ISNUMBER(Wages!$B1073),IF(AND(Wages!$B1073&gt;=10000101,Wages!$B1073&lt;=99991231),INT(Wages!$B1073/10000),""),IFERROR(VALUE(TRIM(LEFT(Wages!$B1073,FIND("/",Wages!$B1073)-1))),"")))</f>
        <v/>
      </c>
      <c r="D1070">
        <f>IF(OR($A1070="",$C1070=""),"",IF(ISNUMBER(Wages!$B1073),INT(MOD(Wages!$B1073,10000)/100),IFERROR(VALUE(TRIM(LEFT(MID(Wages!$B1073,FIND("/",Wages!$B1073)+1,20),FIND("/",MID(Wages!$B1073,FIND("/",Wages!$B1073)+1,20))-1))),"")))</f>
        <v/>
      </c>
      <c r="E1070">
        <f>IF(OR($A1070="",$C1070=""),"",IF(ISNUMBER(Wages!$B1073),MOD(Wages!$B1073,100),IFERROR(VALUE(TRIM(MID(MID(Wages!$B1073,FIND("/",Wages!$B1073)+1,20),FIND("/",MID(Wages!$B1073,FIND("/",Wages!$B1073)+1,20))+1,20))),"")))</f>
        <v/>
      </c>
      <c r="F1070">
        <f>IF($A1070="","",IF(OR($C1070="",$D1070="",$E1070="",$C1070&lt;1300,$C1070&gt;1500,$D1070&lt;1,$D1070&gt;12,$E1070&lt;1,$E1070&gt;31),"نامعتبر",RIGHT("0000"&amp;$C1070,4)&amp;"/"&amp;RIGHT("00"&amp;$D1070,2)&amp;"/"&amp;RIGHT("00"&amp;$E1070,2)))</f>
        <v/>
      </c>
      <c r="G1070">
        <f>IF(OR($A1070="",$F1070="",$F1070="نامعتبر"),"",LEFT($F1070,4)&amp;MID($F1070,6,2)&amp;RIGHT($F1070,2)&amp;"0000"&amp;"|"&amp;"1"&amp;RIGHT("00000"&amp;1065,5))</f>
        <v/>
      </c>
      <c r="H1070">
        <f>IF(OR($B1070&lt;&gt;1,$G1070=""),"",COUNTIFS(LdAParty,$A1070,LdAType,1,LdAKey,"&lt;"&amp;$G1070)+COUNTIFS(LdBMember,$A1070,LdBKey,"&lt;"&amp;$G1070)+COUNTIFS(LdCParty,$A1070,LdCKey,"&lt;"&amp;$G1070)+1)</f>
        <v/>
      </c>
      <c r="I1070">
        <f>IF($H1070="","",$A1070&amp;"|"&amp;RIGHT("000000"&amp;$H1070,6))</f>
        <v/>
      </c>
      <c r="J1070">
        <f>IF(OR($B1070&lt;&gt;2,$G1070=""),"",COUNTIFS(LdAParty,$A1070,LdAType,2,LdAKey,"&lt;"&amp;$G1070)+1)</f>
        <v/>
      </c>
      <c r="K1070">
        <f>IF($J1070="","",$A1070&amp;"|"&amp;RIGHT("000000"&amp;$J1070,6))</f>
        <v/>
      </c>
      <c r="L1070">
        <f>IF($A1070="","",IF(Wages!$G1073="",0,Wages!$G1073))</f>
        <v/>
      </c>
      <c r="M1070">
        <f>IF($A1070="","",Wages!$J1073)</f>
        <v/>
      </c>
      <c r="N1070">
        <f>IF($A1070="","",Wages!$D1073)</f>
        <v/>
      </c>
      <c r="P1070">
        <f>IF(OR(Shares!$B1073="",Shares!$C1073=""),"",Shares!$C1073)</f>
        <v/>
      </c>
      <c r="Q1070">
        <f>IF($P1070="","",Shares!$B1073)</f>
        <v/>
      </c>
      <c r="R1070">
        <f>IF($P1070="","",IFERROR(INDEX(WageParty,MATCH($Q1070,WageIds,0)),""))</f>
        <v/>
      </c>
      <c r="S1070">
        <f>IF($P1070="","",IFERROR(INDEX($F$6:$F$2005,MATCH($Q1070,WageIds,0)),""))</f>
        <v/>
      </c>
      <c r="T1070">
        <f>IF(OR($P1070="",$S1070="",$S1070="نامعتبر"),"",LEFT($S1070,4)&amp;MID($S1070,6,2)&amp;RIGHT($S1070,2)&amp;"0000"&amp;"|"&amp;"2"&amp;RIGHT("00000"&amp;1065,5))</f>
        <v/>
      </c>
      <c r="U1070">
        <f>IF($T1070="","",COUNTIFS(LdAParty,$P1070,LdAType,1,LdAKey,"&lt;"&amp;$T1070)+COUNTIFS(LdBMember,$P1070,LdBKey,"&lt;"&amp;$T1070)+COUNTIFS(LdCParty,$P1070,LdCKey,"&lt;"&amp;$T1070)+1)</f>
        <v/>
      </c>
      <c r="V1070">
        <f>IF($U1070="","",$P1070&amp;"|"&amp;RIGHT("000000"&amp;$U1070,6))</f>
        <v/>
      </c>
      <c r="W1070">
        <f>IF($T1070="","",COUNTIFS(LdBGroup,$R1070,LdBKey,"&lt;"&amp;$T1070)+1)</f>
        <v/>
      </c>
      <c r="X1070">
        <f>IF($W1070="","",$R1070&amp;"|"&amp;RIGHT("000000"&amp;$W1070,6))</f>
        <v/>
      </c>
      <c r="Y1070">
        <f>IF($P1070="","",IF(Shares!$E1073="",0,Shares!$E1073))</f>
        <v/>
      </c>
      <c r="Z1070">
        <f>IF($P1070="","",Shares!$H1073)</f>
        <v/>
      </c>
      <c r="AE1070">
        <f>IF(OR(Sync!$S1070="",Sync!$P1070=""),"",Sync!$S1070)</f>
        <v/>
      </c>
      <c r="AF1070">
        <f>IF($AE1070="","",IF(ISNUMBER(Sync!$P1070),IF(AND(Sync!$P1070&gt;=10000101,Sync!$P1070&lt;=99991231),INT(Sync!$P1070/10000),""),IFERROR(VALUE(TRIM(LEFT(Sync!$P1070,FIND("/",Sync!$P1070)-1))),"")))</f>
        <v/>
      </c>
      <c r="AG1070">
        <f>IF(OR($AE1070="",$AF1070=""),"",IF(ISNUMBER(Sync!$P1070),INT(MOD(Sync!$P1070,10000)/100),IFERROR(VALUE(TRIM(LEFT(MID(Sync!$P1070,FIND("/",Sync!$P1070)+1,20),FIND("/",MID(Sync!$P1070,FIND("/",Sync!$P1070)+1,20))-1))),"")))</f>
        <v/>
      </c>
      <c r="AH1070">
        <f>IF(OR($AE1070="",$AF1070=""),"",IF(ISNUMBER(Sync!$P1070),MOD(Sync!$P1070,100),IFERROR(VALUE(TRIM(MID(MID(Sync!$P1070,FIND("/",Sync!$P1070)+1,20),FIND("/",MID(Sync!$P1070,FIND("/",Sync!$P1070)+1,20))+1,20))),"")))</f>
        <v/>
      </c>
      <c r="AI1070">
        <f>IF($AE1070="","",IF(OR($AF1070="",$AG1070="",$AH1070="",$AF1070&lt;1300,$AF1070&gt;1500,$AG1070&lt;1,$AG1070&gt;12,$AH1070&lt;1,$AH1070&gt;31),"نامعتبر",RIGHT("0000"&amp;$AF1070,4)&amp;"/"&amp;RIGHT("00"&amp;$AG1070,2)&amp;"/"&amp;RIGHT("00"&amp;$AH1070,2)))</f>
        <v/>
      </c>
      <c r="AJ1070">
        <f>IF($AE1070="","",IF(Sync!$Q1070="","0000",IF(AND(ISNUMBER(Sync!$Q1070),Sync!$Q1070&gt;=0,Sync!$Q1070&lt;1),RIGHT("00"&amp;HOUR(Sync!$Q1070),2)&amp;RIGHT("00"&amp;MINUTE(Sync!$Q1070),2),IFERROR(RIGHT("00"&amp;VALUE(LEFT(Sync!$Q1070,FIND(":",Sync!$Q1070)-1)),2)&amp;RIGHT("00"&amp;VALUE(MID(Sync!$Q1070,FIND(":",Sync!$Q1070)+1,2)),2),"0000"))))</f>
        <v/>
      </c>
      <c r="AK1070">
        <f>IF(OR($AE1070="",$AI1070="",$AI1070="نامعتبر"),"",LEFT($AI1070,4)&amp;MID($AI1070,6,2)&amp;RIGHT($AI1070,2)&amp;$AJ1070&amp;"|"&amp;"3"&amp;RIGHT("00000"&amp;1065,5))</f>
        <v/>
      </c>
      <c r="AL1070">
        <f>IF($AK1070="","",COUNTIFS(LdAParty,$AE1070,LdAType,1,LdAKey,"&lt;"&amp;$AK1070)+COUNTIFS(LdBMember,$AE1070,LdBKey,"&lt;"&amp;$AK1070)+COUNTIFS(LdCParty,$AE1070,LdCKey,"&lt;"&amp;$AK1070)+1)</f>
        <v/>
      </c>
      <c r="AM1070">
        <f>IF($AL1070="","",$AE1070&amp;"|"&amp;RIGHT("000000"&amp;$AL1070,6))</f>
        <v/>
      </c>
      <c r="AN1070">
        <f>IF($AE1070="","",IF(Sync!$W1070="",0,Sync!$W1070))</f>
        <v/>
      </c>
      <c r="AO1070">
        <f>IF($AE1070="","",IF(Sync!$X1070="",0,Sync!$X1070))</f>
        <v/>
      </c>
      <c r="AP1070">
        <f>IF($AE1070="","",Sync!$R1070)</f>
        <v/>
      </c>
      <c r="AQ1070">
        <f>IF($AE1070="","",Sync!$Y1070)</f>
        <v/>
      </c>
    </row>
    <row r="1071">
      <c r="A1071">
        <f>IF(OR(Wages!$B1074="",Wages!$E1074=""),"",Wages!$E1074)</f>
        <v/>
      </c>
      <c r="B1071">
        <f>IF($A1071="","",IF(Wages!$C1074="دستمزد گروهی",2,1))</f>
        <v/>
      </c>
      <c r="C1071">
        <f>IF($A1071="","",IF(ISNUMBER(Wages!$B1074),IF(AND(Wages!$B1074&gt;=10000101,Wages!$B1074&lt;=99991231),INT(Wages!$B1074/10000),""),IFERROR(VALUE(TRIM(LEFT(Wages!$B1074,FIND("/",Wages!$B1074)-1))),"")))</f>
        <v/>
      </c>
      <c r="D1071">
        <f>IF(OR($A1071="",$C1071=""),"",IF(ISNUMBER(Wages!$B1074),INT(MOD(Wages!$B1074,10000)/100),IFERROR(VALUE(TRIM(LEFT(MID(Wages!$B1074,FIND("/",Wages!$B1074)+1,20),FIND("/",MID(Wages!$B1074,FIND("/",Wages!$B1074)+1,20))-1))),"")))</f>
        <v/>
      </c>
      <c r="E1071">
        <f>IF(OR($A1071="",$C1071=""),"",IF(ISNUMBER(Wages!$B1074),MOD(Wages!$B1074,100),IFERROR(VALUE(TRIM(MID(MID(Wages!$B1074,FIND("/",Wages!$B1074)+1,20),FIND("/",MID(Wages!$B1074,FIND("/",Wages!$B1074)+1,20))+1,20))),"")))</f>
        <v/>
      </c>
      <c r="F1071">
        <f>IF($A1071="","",IF(OR($C1071="",$D1071="",$E1071="",$C1071&lt;1300,$C1071&gt;1500,$D1071&lt;1,$D1071&gt;12,$E1071&lt;1,$E1071&gt;31),"نامعتبر",RIGHT("0000"&amp;$C1071,4)&amp;"/"&amp;RIGHT("00"&amp;$D1071,2)&amp;"/"&amp;RIGHT("00"&amp;$E1071,2)))</f>
        <v/>
      </c>
      <c r="G1071">
        <f>IF(OR($A1071="",$F1071="",$F1071="نامعتبر"),"",LEFT($F1071,4)&amp;MID($F1071,6,2)&amp;RIGHT($F1071,2)&amp;"0000"&amp;"|"&amp;"1"&amp;RIGHT("00000"&amp;1066,5))</f>
        <v/>
      </c>
      <c r="H1071">
        <f>IF(OR($B1071&lt;&gt;1,$G1071=""),"",COUNTIFS(LdAParty,$A1071,LdAType,1,LdAKey,"&lt;"&amp;$G1071)+COUNTIFS(LdBMember,$A1071,LdBKey,"&lt;"&amp;$G1071)+COUNTIFS(LdCParty,$A1071,LdCKey,"&lt;"&amp;$G1071)+1)</f>
        <v/>
      </c>
      <c r="I1071">
        <f>IF($H1071="","",$A1071&amp;"|"&amp;RIGHT("000000"&amp;$H1071,6))</f>
        <v/>
      </c>
      <c r="J1071">
        <f>IF(OR($B1071&lt;&gt;2,$G1071=""),"",COUNTIFS(LdAParty,$A1071,LdAType,2,LdAKey,"&lt;"&amp;$G1071)+1)</f>
        <v/>
      </c>
      <c r="K1071">
        <f>IF($J1071="","",$A1071&amp;"|"&amp;RIGHT("000000"&amp;$J1071,6))</f>
        <v/>
      </c>
      <c r="L1071">
        <f>IF($A1071="","",IF(Wages!$G1074="",0,Wages!$G1074))</f>
        <v/>
      </c>
      <c r="M1071">
        <f>IF($A1071="","",Wages!$J1074)</f>
        <v/>
      </c>
      <c r="N1071">
        <f>IF($A1071="","",Wages!$D1074)</f>
        <v/>
      </c>
      <c r="P1071">
        <f>IF(OR(Shares!$B1074="",Shares!$C1074=""),"",Shares!$C1074)</f>
        <v/>
      </c>
      <c r="Q1071">
        <f>IF($P1071="","",Shares!$B1074)</f>
        <v/>
      </c>
      <c r="R1071">
        <f>IF($P1071="","",IFERROR(INDEX(WageParty,MATCH($Q1071,WageIds,0)),""))</f>
        <v/>
      </c>
      <c r="S1071">
        <f>IF($P1071="","",IFERROR(INDEX($F$6:$F$2005,MATCH($Q1071,WageIds,0)),""))</f>
        <v/>
      </c>
      <c r="T1071">
        <f>IF(OR($P1071="",$S1071="",$S1071="نامعتبر"),"",LEFT($S1071,4)&amp;MID($S1071,6,2)&amp;RIGHT($S1071,2)&amp;"0000"&amp;"|"&amp;"2"&amp;RIGHT("00000"&amp;1066,5))</f>
        <v/>
      </c>
      <c r="U1071">
        <f>IF($T1071="","",COUNTIFS(LdAParty,$P1071,LdAType,1,LdAKey,"&lt;"&amp;$T1071)+COUNTIFS(LdBMember,$P1071,LdBKey,"&lt;"&amp;$T1071)+COUNTIFS(LdCParty,$P1071,LdCKey,"&lt;"&amp;$T1071)+1)</f>
        <v/>
      </c>
      <c r="V1071">
        <f>IF($U1071="","",$P1071&amp;"|"&amp;RIGHT("000000"&amp;$U1071,6))</f>
        <v/>
      </c>
      <c r="W1071">
        <f>IF($T1071="","",COUNTIFS(LdBGroup,$R1071,LdBKey,"&lt;"&amp;$T1071)+1)</f>
        <v/>
      </c>
      <c r="X1071">
        <f>IF($W1071="","",$R1071&amp;"|"&amp;RIGHT("000000"&amp;$W1071,6))</f>
        <v/>
      </c>
      <c r="Y1071">
        <f>IF($P1071="","",IF(Shares!$E1074="",0,Shares!$E1074))</f>
        <v/>
      </c>
      <c r="Z1071">
        <f>IF($P1071="","",Shares!$H1074)</f>
        <v/>
      </c>
      <c r="AE1071">
        <f>IF(OR(Sync!$S1071="",Sync!$P1071=""),"",Sync!$S1071)</f>
        <v/>
      </c>
      <c r="AF1071">
        <f>IF($AE1071="","",IF(ISNUMBER(Sync!$P1071),IF(AND(Sync!$P1071&gt;=10000101,Sync!$P1071&lt;=99991231),INT(Sync!$P1071/10000),""),IFERROR(VALUE(TRIM(LEFT(Sync!$P1071,FIND("/",Sync!$P1071)-1))),"")))</f>
        <v/>
      </c>
      <c r="AG1071">
        <f>IF(OR($AE1071="",$AF1071=""),"",IF(ISNUMBER(Sync!$P1071),INT(MOD(Sync!$P1071,10000)/100),IFERROR(VALUE(TRIM(LEFT(MID(Sync!$P1071,FIND("/",Sync!$P1071)+1,20),FIND("/",MID(Sync!$P1071,FIND("/",Sync!$P1071)+1,20))-1))),"")))</f>
        <v/>
      </c>
      <c r="AH1071">
        <f>IF(OR($AE1071="",$AF1071=""),"",IF(ISNUMBER(Sync!$P1071),MOD(Sync!$P1071,100),IFERROR(VALUE(TRIM(MID(MID(Sync!$P1071,FIND("/",Sync!$P1071)+1,20),FIND("/",MID(Sync!$P1071,FIND("/",Sync!$P1071)+1,20))+1,20))),"")))</f>
        <v/>
      </c>
      <c r="AI1071">
        <f>IF($AE1071="","",IF(OR($AF1071="",$AG1071="",$AH1071="",$AF1071&lt;1300,$AF1071&gt;1500,$AG1071&lt;1,$AG1071&gt;12,$AH1071&lt;1,$AH1071&gt;31),"نامعتبر",RIGHT("0000"&amp;$AF1071,4)&amp;"/"&amp;RIGHT("00"&amp;$AG1071,2)&amp;"/"&amp;RIGHT("00"&amp;$AH1071,2)))</f>
        <v/>
      </c>
      <c r="AJ1071">
        <f>IF($AE1071="","",IF(Sync!$Q1071="","0000",IF(AND(ISNUMBER(Sync!$Q1071),Sync!$Q1071&gt;=0,Sync!$Q1071&lt;1),RIGHT("00"&amp;HOUR(Sync!$Q1071),2)&amp;RIGHT("00"&amp;MINUTE(Sync!$Q1071),2),IFERROR(RIGHT("00"&amp;VALUE(LEFT(Sync!$Q1071,FIND(":",Sync!$Q1071)-1)),2)&amp;RIGHT("00"&amp;VALUE(MID(Sync!$Q1071,FIND(":",Sync!$Q1071)+1,2)),2),"0000"))))</f>
        <v/>
      </c>
      <c r="AK1071">
        <f>IF(OR($AE1071="",$AI1071="",$AI1071="نامعتبر"),"",LEFT($AI1071,4)&amp;MID($AI1071,6,2)&amp;RIGHT($AI1071,2)&amp;$AJ1071&amp;"|"&amp;"3"&amp;RIGHT("00000"&amp;1066,5))</f>
        <v/>
      </c>
      <c r="AL1071">
        <f>IF($AK1071="","",COUNTIFS(LdAParty,$AE1071,LdAType,1,LdAKey,"&lt;"&amp;$AK1071)+COUNTIFS(LdBMember,$AE1071,LdBKey,"&lt;"&amp;$AK1071)+COUNTIFS(LdCParty,$AE1071,LdCKey,"&lt;"&amp;$AK1071)+1)</f>
        <v/>
      </c>
      <c r="AM1071">
        <f>IF($AL1071="","",$AE1071&amp;"|"&amp;RIGHT("000000"&amp;$AL1071,6))</f>
        <v/>
      </c>
      <c r="AN1071">
        <f>IF($AE1071="","",IF(Sync!$W1071="",0,Sync!$W1071))</f>
        <v/>
      </c>
      <c r="AO1071">
        <f>IF($AE1071="","",IF(Sync!$X1071="",0,Sync!$X1071))</f>
        <v/>
      </c>
      <c r="AP1071">
        <f>IF($AE1071="","",Sync!$R1071)</f>
        <v/>
      </c>
      <c r="AQ1071">
        <f>IF($AE1071="","",Sync!$Y1071)</f>
        <v/>
      </c>
    </row>
    <row r="1072">
      <c r="A1072">
        <f>IF(OR(Wages!$B1075="",Wages!$E1075=""),"",Wages!$E1075)</f>
        <v/>
      </c>
      <c r="B1072">
        <f>IF($A1072="","",IF(Wages!$C1075="دستمزد گروهی",2,1))</f>
        <v/>
      </c>
      <c r="C1072">
        <f>IF($A1072="","",IF(ISNUMBER(Wages!$B1075),IF(AND(Wages!$B1075&gt;=10000101,Wages!$B1075&lt;=99991231),INT(Wages!$B1075/10000),""),IFERROR(VALUE(TRIM(LEFT(Wages!$B1075,FIND("/",Wages!$B1075)-1))),"")))</f>
        <v/>
      </c>
      <c r="D1072">
        <f>IF(OR($A1072="",$C1072=""),"",IF(ISNUMBER(Wages!$B1075),INT(MOD(Wages!$B1075,10000)/100),IFERROR(VALUE(TRIM(LEFT(MID(Wages!$B1075,FIND("/",Wages!$B1075)+1,20),FIND("/",MID(Wages!$B1075,FIND("/",Wages!$B1075)+1,20))-1))),"")))</f>
        <v/>
      </c>
      <c r="E1072">
        <f>IF(OR($A1072="",$C1072=""),"",IF(ISNUMBER(Wages!$B1075),MOD(Wages!$B1075,100),IFERROR(VALUE(TRIM(MID(MID(Wages!$B1075,FIND("/",Wages!$B1075)+1,20),FIND("/",MID(Wages!$B1075,FIND("/",Wages!$B1075)+1,20))+1,20))),"")))</f>
        <v/>
      </c>
      <c r="F1072">
        <f>IF($A1072="","",IF(OR($C1072="",$D1072="",$E1072="",$C1072&lt;1300,$C1072&gt;1500,$D1072&lt;1,$D1072&gt;12,$E1072&lt;1,$E1072&gt;31),"نامعتبر",RIGHT("0000"&amp;$C1072,4)&amp;"/"&amp;RIGHT("00"&amp;$D1072,2)&amp;"/"&amp;RIGHT("00"&amp;$E1072,2)))</f>
        <v/>
      </c>
      <c r="G1072">
        <f>IF(OR($A1072="",$F1072="",$F1072="نامعتبر"),"",LEFT($F1072,4)&amp;MID($F1072,6,2)&amp;RIGHT($F1072,2)&amp;"0000"&amp;"|"&amp;"1"&amp;RIGHT("00000"&amp;1067,5))</f>
        <v/>
      </c>
      <c r="H1072">
        <f>IF(OR($B1072&lt;&gt;1,$G1072=""),"",COUNTIFS(LdAParty,$A1072,LdAType,1,LdAKey,"&lt;"&amp;$G1072)+COUNTIFS(LdBMember,$A1072,LdBKey,"&lt;"&amp;$G1072)+COUNTIFS(LdCParty,$A1072,LdCKey,"&lt;"&amp;$G1072)+1)</f>
        <v/>
      </c>
      <c r="I1072">
        <f>IF($H1072="","",$A1072&amp;"|"&amp;RIGHT("000000"&amp;$H1072,6))</f>
        <v/>
      </c>
      <c r="J1072">
        <f>IF(OR($B1072&lt;&gt;2,$G1072=""),"",COUNTIFS(LdAParty,$A1072,LdAType,2,LdAKey,"&lt;"&amp;$G1072)+1)</f>
        <v/>
      </c>
      <c r="K1072">
        <f>IF($J1072="","",$A1072&amp;"|"&amp;RIGHT("000000"&amp;$J1072,6))</f>
        <v/>
      </c>
      <c r="L1072">
        <f>IF($A1072="","",IF(Wages!$G1075="",0,Wages!$G1075))</f>
        <v/>
      </c>
      <c r="M1072">
        <f>IF($A1072="","",Wages!$J1075)</f>
        <v/>
      </c>
      <c r="N1072">
        <f>IF($A1072="","",Wages!$D1075)</f>
        <v/>
      </c>
      <c r="P1072">
        <f>IF(OR(Shares!$B1075="",Shares!$C1075=""),"",Shares!$C1075)</f>
        <v/>
      </c>
      <c r="Q1072">
        <f>IF($P1072="","",Shares!$B1075)</f>
        <v/>
      </c>
      <c r="R1072">
        <f>IF($P1072="","",IFERROR(INDEX(WageParty,MATCH($Q1072,WageIds,0)),""))</f>
        <v/>
      </c>
      <c r="S1072">
        <f>IF($P1072="","",IFERROR(INDEX($F$6:$F$2005,MATCH($Q1072,WageIds,0)),""))</f>
        <v/>
      </c>
      <c r="T1072">
        <f>IF(OR($P1072="",$S1072="",$S1072="نامعتبر"),"",LEFT($S1072,4)&amp;MID($S1072,6,2)&amp;RIGHT($S1072,2)&amp;"0000"&amp;"|"&amp;"2"&amp;RIGHT("00000"&amp;1067,5))</f>
        <v/>
      </c>
      <c r="U1072">
        <f>IF($T1072="","",COUNTIFS(LdAParty,$P1072,LdAType,1,LdAKey,"&lt;"&amp;$T1072)+COUNTIFS(LdBMember,$P1072,LdBKey,"&lt;"&amp;$T1072)+COUNTIFS(LdCParty,$P1072,LdCKey,"&lt;"&amp;$T1072)+1)</f>
        <v/>
      </c>
      <c r="V1072">
        <f>IF($U1072="","",$P1072&amp;"|"&amp;RIGHT("000000"&amp;$U1072,6))</f>
        <v/>
      </c>
      <c r="W1072">
        <f>IF($T1072="","",COUNTIFS(LdBGroup,$R1072,LdBKey,"&lt;"&amp;$T1072)+1)</f>
        <v/>
      </c>
      <c r="X1072">
        <f>IF($W1072="","",$R1072&amp;"|"&amp;RIGHT("000000"&amp;$W1072,6))</f>
        <v/>
      </c>
      <c r="Y1072">
        <f>IF($P1072="","",IF(Shares!$E1075="",0,Shares!$E1075))</f>
        <v/>
      </c>
      <c r="Z1072">
        <f>IF($P1072="","",Shares!$H1075)</f>
        <v/>
      </c>
      <c r="AE1072">
        <f>IF(OR(Sync!$S1072="",Sync!$P1072=""),"",Sync!$S1072)</f>
        <v/>
      </c>
      <c r="AF1072">
        <f>IF($AE1072="","",IF(ISNUMBER(Sync!$P1072),IF(AND(Sync!$P1072&gt;=10000101,Sync!$P1072&lt;=99991231),INT(Sync!$P1072/10000),""),IFERROR(VALUE(TRIM(LEFT(Sync!$P1072,FIND("/",Sync!$P1072)-1))),"")))</f>
        <v/>
      </c>
      <c r="AG1072">
        <f>IF(OR($AE1072="",$AF1072=""),"",IF(ISNUMBER(Sync!$P1072),INT(MOD(Sync!$P1072,10000)/100),IFERROR(VALUE(TRIM(LEFT(MID(Sync!$P1072,FIND("/",Sync!$P1072)+1,20),FIND("/",MID(Sync!$P1072,FIND("/",Sync!$P1072)+1,20))-1))),"")))</f>
        <v/>
      </c>
      <c r="AH1072">
        <f>IF(OR($AE1072="",$AF1072=""),"",IF(ISNUMBER(Sync!$P1072),MOD(Sync!$P1072,100),IFERROR(VALUE(TRIM(MID(MID(Sync!$P1072,FIND("/",Sync!$P1072)+1,20),FIND("/",MID(Sync!$P1072,FIND("/",Sync!$P1072)+1,20))+1,20))),"")))</f>
        <v/>
      </c>
      <c r="AI1072">
        <f>IF($AE1072="","",IF(OR($AF1072="",$AG1072="",$AH1072="",$AF1072&lt;1300,$AF1072&gt;1500,$AG1072&lt;1,$AG1072&gt;12,$AH1072&lt;1,$AH1072&gt;31),"نامعتبر",RIGHT("0000"&amp;$AF1072,4)&amp;"/"&amp;RIGHT("00"&amp;$AG1072,2)&amp;"/"&amp;RIGHT("00"&amp;$AH1072,2)))</f>
        <v/>
      </c>
      <c r="AJ1072">
        <f>IF($AE1072="","",IF(Sync!$Q1072="","0000",IF(AND(ISNUMBER(Sync!$Q1072),Sync!$Q1072&gt;=0,Sync!$Q1072&lt;1),RIGHT("00"&amp;HOUR(Sync!$Q1072),2)&amp;RIGHT("00"&amp;MINUTE(Sync!$Q1072),2),IFERROR(RIGHT("00"&amp;VALUE(LEFT(Sync!$Q1072,FIND(":",Sync!$Q1072)-1)),2)&amp;RIGHT("00"&amp;VALUE(MID(Sync!$Q1072,FIND(":",Sync!$Q1072)+1,2)),2),"0000"))))</f>
        <v/>
      </c>
      <c r="AK1072">
        <f>IF(OR($AE1072="",$AI1072="",$AI1072="نامعتبر"),"",LEFT($AI1072,4)&amp;MID($AI1072,6,2)&amp;RIGHT($AI1072,2)&amp;$AJ1072&amp;"|"&amp;"3"&amp;RIGHT("00000"&amp;1067,5))</f>
        <v/>
      </c>
      <c r="AL1072">
        <f>IF($AK1072="","",COUNTIFS(LdAParty,$AE1072,LdAType,1,LdAKey,"&lt;"&amp;$AK1072)+COUNTIFS(LdBMember,$AE1072,LdBKey,"&lt;"&amp;$AK1072)+COUNTIFS(LdCParty,$AE1072,LdCKey,"&lt;"&amp;$AK1072)+1)</f>
        <v/>
      </c>
      <c r="AM1072">
        <f>IF($AL1072="","",$AE1072&amp;"|"&amp;RIGHT("000000"&amp;$AL1072,6))</f>
        <v/>
      </c>
      <c r="AN1072">
        <f>IF($AE1072="","",IF(Sync!$W1072="",0,Sync!$W1072))</f>
        <v/>
      </c>
      <c r="AO1072">
        <f>IF($AE1072="","",IF(Sync!$X1072="",0,Sync!$X1072))</f>
        <v/>
      </c>
      <c r="AP1072">
        <f>IF($AE1072="","",Sync!$R1072)</f>
        <v/>
      </c>
      <c r="AQ1072">
        <f>IF($AE1072="","",Sync!$Y1072)</f>
        <v/>
      </c>
    </row>
    <row r="1073">
      <c r="A1073">
        <f>IF(OR(Wages!$B1076="",Wages!$E1076=""),"",Wages!$E1076)</f>
        <v/>
      </c>
      <c r="B1073">
        <f>IF($A1073="","",IF(Wages!$C1076="دستمزد گروهی",2,1))</f>
        <v/>
      </c>
      <c r="C1073">
        <f>IF($A1073="","",IF(ISNUMBER(Wages!$B1076),IF(AND(Wages!$B1076&gt;=10000101,Wages!$B1076&lt;=99991231),INT(Wages!$B1076/10000),""),IFERROR(VALUE(TRIM(LEFT(Wages!$B1076,FIND("/",Wages!$B1076)-1))),"")))</f>
        <v/>
      </c>
      <c r="D1073">
        <f>IF(OR($A1073="",$C1073=""),"",IF(ISNUMBER(Wages!$B1076),INT(MOD(Wages!$B1076,10000)/100),IFERROR(VALUE(TRIM(LEFT(MID(Wages!$B1076,FIND("/",Wages!$B1076)+1,20),FIND("/",MID(Wages!$B1076,FIND("/",Wages!$B1076)+1,20))-1))),"")))</f>
        <v/>
      </c>
      <c r="E1073">
        <f>IF(OR($A1073="",$C1073=""),"",IF(ISNUMBER(Wages!$B1076),MOD(Wages!$B1076,100),IFERROR(VALUE(TRIM(MID(MID(Wages!$B1076,FIND("/",Wages!$B1076)+1,20),FIND("/",MID(Wages!$B1076,FIND("/",Wages!$B1076)+1,20))+1,20))),"")))</f>
        <v/>
      </c>
      <c r="F1073">
        <f>IF($A1073="","",IF(OR($C1073="",$D1073="",$E1073="",$C1073&lt;1300,$C1073&gt;1500,$D1073&lt;1,$D1073&gt;12,$E1073&lt;1,$E1073&gt;31),"نامعتبر",RIGHT("0000"&amp;$C1073,4)&amp;"/"&amp;RIGHT("00"&amp;$D1073,2)&amp;"/"&amp;RIGHT("00"&amp;$E1073,2)))</f>
        <v/>
      </c>
      <c r="G1073">
        <f>IF(OR($A1073="",$F1073="",$F1073="نامعتبر"),"",LEFT($F1073,4)&amp;MID($F1073,6,2)&amp;RIGHT($F1073,2)&amp;"0000"&amp;"|"&amp;"1"&amp;RIGHT("00000"&amp;1068,5))</f>
        <v/>
      </c>
      <c r="H1073">
        <f>IF(OR($B1073&lt;&gt;1,$G1073=""),"",COUNTIFS(LdAParty,$A1073,LdAType,1,LdAKey,"&lt;"&amp;$G1073)+COUNTIFS(LdBMember,$A1073,LdBKey,"&lt;"&amp;$G1073)+COUNTIFS(LdCParty,$A1073,LdCKey,"&lt;"&amp;$G1073)+1)</f>
        <v/>
      </c>
      <c r="I1073">
        <f>IF($H1073="","",$A1073&amp;"|"&amp;RIGHT("000000"&amp;$H1073,6))</f>
        <v/>
      </c>
      <c r="J1073">
        <f>IF(OR($B1073&lt;&gt;2,$G1073=""),"",COUNTIFS(LdAParty,$A1073,LdAType,2,LdAKey,"&lt;"&amp;$G1073)+1)</f>
        <v/>
      </c>
      <c r="K1073">
        <f>IF($J1073="","",$A1073&amp;"|"&amp;RIGHT("000000"&amp;$J1073,6))</f>
        <v/>
      </c>
      <c r="L1073">
        <f>IF($A1073="","",IF(Wages!$G1076="",0,Wages!$G1076))</f>
        <v/>
      </c>
      <c r="M1073">
        <f>IF($A1073="","",Wages!$J1076)</f>
        <v/>
      </c>
      <c r="N1073">
        <f>IF($A1073="","",Wages!$D1076)</f>
        <v/>
      </c>
      <c r="P1073">
        <f>IF(OR(Shares!$B1076="",Shares!$C1076=""),"",Shares!$C1076)</f>
        <v/>
      </c>
      <c r="Q1073">
        <f>IF($P1073="","",Shares!$B1076)</f>
        <v/>
      </c>
      <c r="R1073">
        <f>IF($P1073="","",IFERROR(INDEX(WageParty,MATCH($Q1073,WageIds,0)),""))</f>
        <v/>
      </c>
      <c r="S1073">
        <f>IF($P1073="","",IFERROR(INDEX($F$6:$F$2005,MATCH($Q1073,WageIds,0)),""))</f>
        <v/>
      </c>
      <c r="T1073">
        <f>IF(OR($P1073="",$S1073="",$S1073="نامعتبر"),"",LEFT($S1073,4)&amp;MID($S1073,6,2)&amp;RIGHT($S1073,2)&amp;"0000"&amp;"|"&amp;"2"&amp;RIGHT("00000"&amp;1068,5))</f>
        <v/>
      </c>
      <c r="U1073">
        <f>IF($T1073="","",COUNTIFS(LdAParty,$P1073,LdAType,1,LdAKey,"&lt;"&amp;$T1073)+COUNTIFS(LdBMember,$P1073,LdBKey,"&lt;"&amp;$T1073)+COUNTIFS(LdCParty,$P1073,LdCKey,"&lt;"&amp;$T1073)+1)</f>
        <v/>
      </c>
      <c r="V1073">
        <f>IF($U1073="","",$P1073&amp;"|"&amp;RIGHT("000000"&amp;$U1073,6))</f>
        <v/>
      </c>
      <c r="W1073">
        <f>IF($T1073="","",COUNTIFS(LdBGroup,$R1073,LdBKey,"&lt;"&amp;$T1073)+1)</f>
        <v/>
      </c>
      <c r="X1073">
        <f>IF($W1073="","",$R1073&amp;"|"&amp;RIGHT("000000"&amp;$W1073,6))</f>
        <v/>
      </c>
      <c r="Y1073">
        <f>IF($P1073="","",IF(Shares!$E1076="",0,Shares!$E1076))</f>
        <v/>
      </c>
      <c r="Z1073">
        <f>IF($P1073="","",Shares!$H1076)</f>
        <v/>
      </c>
      <c r="AE1073">
        <f>IF(OR(Sync!$S1073="",Sync!$P1073=""),"",Sync!$S1073)</f>
        <v/>
      </c>
      <c r="AF1073">
        <f>IF($AE1073="","",IF(ISNUMBER(Sync!$P1073),IF(AND(Sync!$P1073&gt;=10000101,Sync!$P1073&lt;=99991231),INT(Sync!$P1073/10000),""),IFERROR(VALUE(TRIM(LEFT(Sync!$P1073,FIND("/",Sync!$P1073)-1))),"")))</f>
        <v/>
      </c>
      <c r="AG1073">
        <f>IF(OR($AE1073="",$AF1073=""),"",IF(ISNUMBER(Sync!$P1073),INT(MOD(Sync!$P1073,10000)/100),IFERROR(VALUE(TRIM(LEFT(MID(Sync!$P1073,FIND("/",Sync!$P1073)+1,20),FIND("/",MID(Sync!$P1073,FIND("/",Sync!$P1073)+1,20))-1))),"")))</f>
        <v/>
      </c>
      <c r="AH1073">
        <f>IF(OR($AE1073="",$AF1073=""),"",IF(ISNUMBER(Sync!$P1073),MOD(Sync!$P1073,100),IFERROR(VALUE(TRIM(MID(MID(Sync!$P1073,FIND("/",Sync!$P1073)+1,20),FIND("/",MID(Sync!$P1073,FIND("/",Sync!$P1073)+1,20))+1,20))),"")))</f>
        <v/>
      </c>
      <c r="AI1073">
        <f>IF($AE1073="","",IF(OR($AF1073="",$AG1073="",$AH1073="",$AF1073&lt;1300,$AF1073&gt;1500,$AG1073&lt;1,$AG1073&gt;12,$AH1073&lt;1,$AH1073&gt;31),"نامعتبر",RIGHT("0000"&amp;$AF1073,4)&amp;"/"&amp;RIGHT("00"&amp;$AG1073,2)&amp;"/"&amp;RIGHT("00"&amp;$AH1073,2)))</f>
        <v/>
      </c>
      <c r="AJ1073">
        <f>IF($AE1073="","",IF(Sync!$Q1073="","0000",IF(AND(ISNUMBER(Sync!$Q1073),Sync!$Q1073&gt;=0,Sync!$Q1073&lt;1),RIGHT("00"&amp;HOUR(Sync!$Q1073),2)&amp;RIGHT("00"&amp;MINUTE(Sync!$Q1073),2),IFERROR(RIGHT("00"&amp;VALUE(LEFT(Sync!$Q1073,FIND(":",Sync!$Q1073)-1)),2)&amp;RIGHT("00"&amp;VALUE(MID(Sync!$Q1073,FIND(":",Sync!$Q1073)+1,2)),2),"0000"))))</f>
        <v/>
      </c>
      <c r="AK1073">
        <f>IF(OR($AE1073="",$AI1073="",$AI1073="نامعتبر"),"",LEFT($AI1073,4)&amp;MID($AI1073,6,2)&amp;RIGHT($AI1073,2)&amp;$AJ1073&amp;"|"&amp;"3"&amp;RIGHT("00000"&amp;1068,5))</f>
        <v/>
      </c>
      <c r="AL1073">
        <f>IF($AK1073="","",COUNTIFS(LdAParty,$AE1073,LdAType,1,LdAKey,"&lt;"&amp;$AK1073)+COUNTIFS(LdBMember,$AE1073,LdBKey,"&lt;"&amp;$AK1073)+COUNTIFS(LdCParty,$AE1073,LdCKey,"&lt;"&amp;$AK1073)+1)</f>
        <v/>
      </c>
      <c r="AM1073">
        <f>IF($AL1073="","",$AE1073&amp;"|"&amp;RIGHT("000000"&amp;$AL1073,6))</f>
        <v/>
      </c>
      <c r="AN1073">
        <f>IF($AE1073="","",IF(Sync!$W1073="",0,Sync!$W1073))</f>
        <v/>
      </c>
      <c r="AO1073">
        <f>IF($AE1073="","",IF(Sync!$X1073="",0,Sync!$X1073))</f>
        <v/>
      </c>
      <c r="AP1073">
        <f>IF($AE1073="","",Sync!$R1073)</f>
        <v/>
      </c>
      <c r="AQ1073">
        <f>IF($AE1073="","",Sync!$Y1073)</f>
        <v/>
      </c>
    </row>
    <row r="1074">
      <c r="A1074">
        <f>IF(OR(Wages!$B1077="",Wages!$E1077=""),"",Wages!$E1077)</f>
        <v/>
      </c>
      <c r="B1074">
        <f>IF($A1074="","",IF(Wages!$C1077="دستمزد گروهی",2,1))</f>
        <v/>
      </c>
      <c r="C1074">
        <f>IF($A1074="","",IF(ISNUMBER(Wages!$B1077),IF(AND(Wages!$B1077&gt;=10000101,Wages!$B1077&lt;=99991231),INT(Wages!$B1077/10000),""),IFERROR(VALUE(TRIM(LEFT(Wages!$B1077,FIND("/",Wages!$B1077)-1))),"")))</f>
        <v/>
      </c>
      <c r="D1074">
        <f>IF(OR($A1074="",$C1074=""),"",IF(ISNUMBER(Wages!$B1077),INT(MOD(Wages!$B1077,10000)/100),IFERROR(VALUE(TRIM(LEFT(MID(Wages!$B1077,FIND("/",Wages!$B1077)+1,20),FIND("/",MID(Wages!$B1077,FIND("/",Wages!$B1077)+1,20))-1))),"")))</f>
        <v/>
      </c>
      <c r="E1074">
        <f>IF(OR($A1074="",$C1074=""),"",IF(ISNUMBER(Wages!$B1077),MOD(Wages!$B1077,100),IFERROR(VALUE(TRIM(MID(MID(Wages!$B1077,FIND("/",Wages!$B1077)+1,20),FIND("/",MID(Wages!$B1077,FIND("/",Wages!$B1077)+1,20))+1,20))),"")))</f>
        <v/>
      </c>
      <c r="F1074">
        <f>IF($A1074="","",IF(OR($C1074="",$D1074="",$E1074="",$C1074&lt;1300,$C1074&gt;1500,$D1074&lt;1,$D1074&gt;12,$E1074&lt;1,$E1074&gt;31),"نامعتبر",RIGHT("0000"&amp;$C1074,4)&amp;"/"&amp;RIGHT("00"&amp;$D1074,2)&amp;"/"&amp;RIGHT("00"&amp;$E1074,2)))</f>
        <v/>
      </c>
      <c r="G1074">
        <f>IF(OR($A1074="",$F1074="",$F1074="نامعتبر"),"",LEFT($F1074,4)&amp;MID($F1074,6,2)&amp;RIGHT($F1074,2)&amp;"0000"&amp;"|"&amp;"1"&amp;RIGHT("00000"&amp;1069,5))</f>
        <v/>
      </c>
      <c r="H1074">
        <f>IF(OR($B1074&lt;&gt;1,$G1074=""),"",COUNTIFS(LdAParty,$A1074,LdAType,1,LdAKey,"&lt;"&amp;$G1074)+COUNTIFS(LdBMember,$A1074,LdBKey,"&lt;"&amp;$G1074)+COUNTIFS(LdCParty,$A1074,LdCKey,"&lt;"&amp;$G1074)+1)</f>
        <v/>
      </c>
      <c r="I1074">
        <f>IF($H1074="","",$A1074&amp;"|"&amp;RIGHT("000000"&amp;$H1074,6))</f>
        <v/>
      </c>
      <c r="J1074">
        <f>IF(OR($B1074&lt;&gt;2,$G1074=""),"",COUNTIFS(LdAParty,$A1074,LdAType,2,LdAKey,"&lt;"&amp;$G1074)+1)</f>
        <v/>
      </c>
      <c r="K1074">
        <f>IF($J1074="","",$A1074&amp;"|"&amp;RIGHT("000000"&amp;$J1074,6))</f>
        <v/>
      </c>
      <c r="L1074">
        <f>IF($A1074="","",IF(Wages!$G1077="",0,Wages!$G1077))</f>
        <v/>
      </c>
      <c r="M1074">
        <f>IF($A1074="","",Wages!$J1077)</f>
        <v/>
      </c>
      <c r="N1074">
        <f>IF($A1074="","",Wages!$D1077)</f>
        <v/>
      </c>
      <c r="P1074">
        <f>IF(OR(Shares!$B1077="",Shares!$C1077=""),"",Shares!$C1077)</f>
        <v/>
      </c>
      <c r="Q1074">
        <f>IF($P1074="","",Shares!$B1077)</f>
        <v/>
      </c>
      <c r="R1074">
        <f>IF($P1074="","",IFERROR(INDEX(WageParty,MATCH($Q1074,WageIds,0)),""))</f>
        <v/>
      </c>
      <c r="S1074">
        <f>IF($P1074="","",IFERROR(INDEX($F$6:$F$2005,MATCH($Q1074,WageIds,0)),""))</f>
        <v/>
      </c>
      <c r="T1074">
        <f>IF(OR($P1074="",$S1074="",$S1074="نامعتبر"),"",LEFT($S1074,4)&amp;MID($S1074,6,2)&amp;RIGHT($S1074,2)&amp;"0000"&amp;"|"&amp;"2"&amp;RIGHT("00000"&amp;1069,5))</f>
        <v/>
      </c>
      <c r="U1074">
        <f>IF($T1074="","",COUNTIFS(LdAParty,$P1074,LdAType,1,LdAKey,"&lt;"&amp;$T1074)+COUNTIFS(LdBMember,$P1074,LdBKey,"&lt;"&amp;$T1074)+COUNTIFS(LdCParty,$P1074,LdCKey,"&lt;"&amp;$T1074)+1)</f>
        <v/>
      </c>
      <c r="V1074">
        <f>IF($U1074="","",$P1074&amp;"|"&amp;RIGHT("000000"&amp;$U1074,6))</f>
        <v/>
      </c>
      <c r="W1074">
        <f>IF($T1074="","",COUNTIFS(LdBGroup,$R1074,LdBKey,"&lt;"&amp;$T1074)+1)</f>
        <v/>
      </c>
      <c r="X1074">
        <f>IF($W1074="","",$R1074&amp;"|"&amp;RIGHT("000000"&amp;$W1074,6))</f>
        <v/>
      </c>
      <c r="Y1074">
        <f>IF($P1074="","",IF(Shares!$E1077="",0,Shares!$E1077))</f>
        <v/>
      </c>
      <c r="Z1074">
        <f>IF($P1074="","",Shares!$H1077)</f>
        <v/>
      </c>
      <c r="AE1074">
        <f>IF(OR(Sync!$S1074="",Sync!$P1074=""),"",Sync!$S1074)</f>
        <v/>
      </c>
      <c r="AF1074">
        <f>IF($AE1074="","",IF(ISNUMBER(Sync!$P1074),IF(AND(Sync!$P1074&gt;=10000101,Sync!$P1074&lt;=99991231),INT(Sync!$P1074/10000),""),IFERROR(VALUE(TRIM(LEFT(Sync!$P1074,FIND("/",Sync!$P1074)-1))),"")))</f>
        <v/>
      </c>
      <c r="AG1074">
        <f>IF(OR($AE1074="",$AF1074=""),"",IF(ISNUMBER(Sync!$P1074),INT(MOD(Sync!$P1074,10000)/100),IFERROR(VALUE(TRIM(LEFT(MID(Sync!$P1074,FIND("/",Sync!$P1074)+1,20),FIND("/",MID(Sync!$P1074,FIND("/",Sync!$P1074)+1,20))-1))),"")))</f>
        <v/>
      </c>
      <c r="AH1074">
        <f>IF(OR($AE1074="",$AF1074=""),"",IF(ISNUMBER(Sync!$P1074),MOD(Sync!$P1074,100),IFERROR(VALUE(TRIM(MID(MID(Sync!$P1074,FIND("/",Sync!$P1074)+1,20),FIND("/",MID(Sync!$P1074,FIND("/",Sync!$P1074)+1,20))+1,20))),"")))</f>
        <v/>
      </c>
      <c r="AI1074">
        <f>IF($AE1074="","",IF(OR($AF1074="",$AG1074="",$AH1074="",$AF1074&lt;1300,$AF1074&gt;1500,$AG1074&lt;1,$AG1074&gt;12,$AH1074&lt;1,$AH1074&gt;31),"نامعتبر",RIGHT("0000"&amp;$AF1074,4)&amp;"/"&amp;RIGHT("00"&amp;$AG1074,2)&amp;"/"&amp;RIGHT("00"&amp;$AH1074,2)))</f>
        <v/>
      </c>
      <c r="AJ1074">
        <f>IF($AE1074="","",IF(Sync!$Q1074="","0000",IF(AND(ISNUMBER(Sync!$Q1074),Sync!$Q1074&gt;=0,Sync!$Q1074&lt;1),RIGHT("00"&amp;HOUR(Sync!$Q1074),2)&amp;RIGHT("00"&amp;MINUTE(Sync!$Q1074),2),IFERROR(RIGHT("00"&amp;VALUE(LEFT(Sync!$Q1074,FIND(":",Sync!$Q1074)-1)),2)&amp;RIGHT("00"&amp;VALUE(MID(Sync!$Q1074,FIND(":",Sync!$Q1074)+1,2)),2),"0000"))))</f>
        <v/>
      </c>
      <c r="AK1074">
        <f>IF(OR($AE1074="",$AI1074="",$AI1074="نامعتبر"),"",LEFT($AI1074,4)&amp;MID($AI1074,6,2)&amp;RIGHT($AI1074,2)&amp;$AJ1074&amp;"|"&amp;"3"&amp;RIGHT("00000"&amp;1069,5))</f>
        <v/>
      </c>
      <c r="AL1074">
        <f>IF($AK1074="","",COUNTIFS(LdAParty,$AE1074,LdAType,1,LdAKey,"&lt;"&amp;$AK1074)+COUNTIFS(LdBMember,$AE1074,LdBKey,"&lt;"&amp;$AK1074)+COUNTIFS(LdCParty,$AE1074,LdCKey,"&lt;"&amp;$AK1074)+1)</f>
        <v/>
      </c>
      <c r="AM1074">
        <f>IF($AL1074="","",$AE1074&amp;"|"&amp;RIGHT("000000"&amp;$AL1074,6))</f>
        <v/>
      </c>
      <c r="AN1074">
        <f>IF($AE1074="","",IF(Sync!$W1074="",0,Sync!$W1074))</f>
        <v/>
      </c>
      <c r="AO1074">
        <f>IF($AE1074="","",IF(Sync!$X1074="",0,Sync!$X1074))</f>
        <v/>
      </c>
      <c r="AP1074">
        <f>IF($AE1074="","",Sync!$R1074)</f>
        <v/>
      </c>
      <c r="AQ1074">
        <f>IF($AE1074="","",Sync!$Y1074)</f>
        <v/>
      </c>
    </row>
    <row r="1075">
      <c r="A1075">
        <f>IF(OR(Wages!$B1078="",Wages!$E1078=""),"",Wages!$E1078)</f>
        <v/>
      </c>
      <c r="B1075">
        <f>IF($A1075="","",IF(Wages!$C1078="دستمزد گروهی",2,1))</f>
        <v/>
      </c>
      <c r="C1075">
        <f>IF($A1075="","",IF(ISNUMBER(Wages!$B1078),IF(AND(Wages!$B1078&gt;=10000101,Wages!$B1078&lt;=99991231),INT(Wages!$B1078/10000),""),IFERROR(VALUE(TRIM(LEFT(Wages!$B1078,FIND("/",Wages!$B1078)-1))),"")))</f>
        <v/>
      </c>
      <c r="D1075">
        <f>IF(OR($A1075="",$C1075=""),"",IF(ISNUMBER(Wages!$B1078),INT(MOD(Wages!$B1078,10000)/100),IFERROR(VALUE(TRIM(LEFT(MID(Wages!$B1078,FIND("/",Wages!$B1078)+1,20),FIND("/",MID(Wages!$B1078,FIND("/",Wages!$B1078)+1,20))-1))),"")))</f>
        <v/>
      </c>
      <c r="E1075">
        <f>IF(OR($A1075="",$C1075=""),"",IF(ISNUMBER(Wages!$B1078),MOD(Wages!$B1078,100),IFERROR(VALUE(TRIM(MID(MID(Wages!$B1078,FIND("/",Wages!$B1078)+1,20),FIND("/",MID(Wages!$B1078,FIND("/",Wages!$B1078)+1,20))+1,20))),"")))</f>
        <v/>
      </c>
      <c r="F1075">
        <f>IF($A1075="","",IF(OR($C1075="",$D1075="",$E1075="",$C1075&lt;1300,$C1075&gt;1500,$D1075&lt;1,$D1075&gt;12,$E1075&lt;1,$E1075&gt;31),"نامعتبر",RIGHT("0000"&amp;$C1075,4)&amp;"/"&amp;RIGHT("00"&amp;$D1075,2)&amp;"/"&amp;RIGHT("00"&amp;$E1075,2)))</f>
        <v/>
      </c>
      <c r="G1075">
        <f>IF(OR($A1075="",$F1075="",$F1075="نامعتبر"),"",LEFT($F1075,4)&amp;MID($F1075,6,2)&amp;RIGHT($F1075,2)&amp;"0000"&amp;"|"&amp;"1"&amp;RIGHT("00000"&amp;1070,5))</f>
        <v/>
      </c>
      <c r="H1075">
        <f>IF(OR($B1075&lt;&gt;1,$G1075=""),"",COUNTIFS(LdAParty,$A1075,LdAType,1,LdAKey,"&lt;"&amp;$G1075)+COUNTIFS(LdBMember,$A1075,LdBKey,"&lt;"&amp;$G1075)+COUNTIFS(LdCParty,$A1075,LdCKey,"&lt;"&amp;$G1075)+1)</f>
        <v/>
      </c>
      <c r="I1075">
        <f>IF($H1075="","",$A1075&amp;"|"&amp;RIGHT("000000"&amp;$H1075,6))</f>
        <v/>
      </c>
      <c r="J1075">
        <f>IF(OR($B1075&lt;&gt;2,$G1075=""),"",COUNTIFS(LdAParty,$A1075,LdAType,2,LdAKey,"&lt;"&amp;$G1075)+1)</f>
        <v/>
      </c>
      <c r="K1075">
        <f>IF($J1075="","",$A1075&amp;"|"&amp;RIGHT("000000"&amp;$J1075,6))</f>
        <v/>
      </c>
      <c r="L1075">
        <f>IF($A1075="","",IF(Wages!$G1078="",0,Wages!$G1078))</f>
        <v/>
      </c>
      <c r="M1075">
        <f>IF($A1075="","",Wages!$J1078)</f>
        <v/>
      </c>
      <c r="N1075">
        <f>IF($A1075="","",Wages!$D1078)</f>
        <v/>
      </c>
      <c r="P1075">
        <f>IF(OR(Shares!$B1078="",Shares!$C1078=""),"",Shares!$C1078)</f>
        <v/>
      </c>
      <c r="Q1075">
        <f>IF($P1075="","",Shares!$B1078)</f>
        <v/>
      </c>
      <c r="R1075">
        <f>IF($P1075="","",IFERROR(INDEX(WageParty,MATCH($Q1075,WageIds,0)),""))</f>
        <v/>
      </c>
      <c r="S1075">
        <f>IF($P1075="","",IFERROR(INDEX($F$6:$F$2005,MATCH($Q1075,WageIds,0)),""))</f>
        <v/>
      </c>
      <c r="T1075">
        <f>IF(OR($P1075="",$S1075="",$S1075="نامعتبر"),"",LEFT($S1075,4)&amp;MID($S1075,6,2)&amp;RIGHT($S1075,2)&amp;"0000"&amp;"|"&amp;"2"&amp;RIGHT("00000"&amp;1070,5))</f>
        <v/>
      </c>
      <c r="U1075">
        <f>IF($T1075="","",COUNTIFS(LdAParty,$P1075,LdAType,1,LdAKey,"&lt;"&amp;$T1075)+COUNTIFS(LdBMember,$P1075,LdBKey,"&lt;"&amp;$T1075)+COUNTIFS(LdCParty,$P1075,LdCKey,"&lt;"&amp;$T1075)+1)</f>
        <v/>
      </c>
      <c r="V1075">
        <f>IF($U1075="","",$P1075&amp;"|"&amp;RIGHT("000000"&amp;$U1075,6))</f>
        <v/>
      </c>
      <c r="W1075">
        <f>IF($T1075="","",COUNTIFS(LdBGroup,$R1075,LdBKey,"&lt;"&amp;$T1075)+1)</f>
        <v/>
      </c>
      <c r="X1075">
        <f>IF($W1075="","",$R1075&amp;"|"&amp;RIGHT("000000"&amp;$W1075,6))</f>
        <v/>
      </c>
      <c r="Y1075">
        <f>IF($P1075="","",IF(Shares!$E1078="",0,Shares!$E1078))</f>
        <v/>
      </c>
      <c r="Z1075">
        <f>IF($P1075="","",Shares!$H1078)</f>
        <v/>
      </c>
      <c r="AE1075">
        <f>IF(OR(Sync!$S1075="",Sync!$P1075=""),"",Sync!$S1075)</f>
        <v/>
      </c>
      <c r="AF1075">
        <f>IF($AE1075="","",IF(ISNUMBER(Sync!$P1075),IF(AND(Sync!$P1075&gt;=10000101,Sync!$P1075&lt;=99991231),INT(Sync!$P1075/10000),""),IFERROR(VALUE(TRIM(LEFT(Sync!$P1075,FIND("/",Sync!$P1075)-1))),"")))</f>
        <v/>
      </c>
      <c r="AG1075">
        <f>IF(OR($AE1075="",$AF1075=""),"",IF(ISNUMBER(Sync!$P1075),INT(MOD(Sync!$P1075,10000)/100),IFERROR(VALUE(TRIM(LEFT(MID(Sync!$P1075,FIND("/",Sync!$P1075)+1,20),FIND("/",MID(Sync!$P1075,FIND("/",Sync!$P1075)+1,20))-1))),"")))</f>
        <v/>
      </c>
      <c r="AH1075">
        <f>IF(OR($AE1075="",$AF1075=""),"",IF(ISNUMBER(Sync!$P1075),MOD(Sync!$P1075,100),IFERROR(VALUE(TRIM(MID(MID(Sync!$P1075,FIND("/",Sync!$P1075)+1,20),FIND("/",MID(Sync!$P1075,FIND("/",Sync!$P1075)+1,20))+1,20))),"")))</f>
        <v/>
      </c>
      <c r="AI1075">
        <f>IF($AE1075="","",IF(OR($AF1075="",$AG1075="",$AH1075="",$AF1075&lt;1300,$AF1075&gt;1500,$AG1075&lt;1,$AG1075&gt;12,$AH1075&lt;1,$AH1075&gt;31),"نامعتبر",RIGHT("0000"&amp;$AF1075,4)&amp;"/"&amp;RIGHT("00"&amp;$AG1075,2)&amp;"/"&amp;RIGHT("00"&amp;$AH1075,2)))</f>
        <v/>
      </c>
      <c r="AJ1075">
        <f>IF($AE1075="","",IF(Sync!$Q1075="","0000",IF(AND(ISNUMBER(Sync!$Q1075),Sync!$Q1075&gt;=0,Sync!$Q1075&lt;1),RIGHT("00"&amp;HOUR(Sync!$Q1075),2)&amp;RIGHT("00"&amp;MINUTE(Sync!$Q1075),2),IFERROR(RIGHT("00"&amp;VALUE(LEFT(Sync!$Q1075,FIND(":",Sync!$Q1075)-1)),2)&amp;RIGHT("00"&amp;VALUE(MID(Sync!$Q1075,FIND(":",Sync!$Q1075)+1,2)),2),"0000"))))</f>
        <v/>
      </c>
      <c r="AK1075">
        <f>IF(OR($AE1075="",$AI1075="",$AI1075="نامعتبر"),"",LEFT($AI1075,4)&amp;MID($AI1075,6,2)&amp;RIGHT($AI1075,2)&amp;$AJ1075&amp;"|"&amp;"3"&amp;RIGHT("00000"&amp;1070,5))</f>
        <v/>
      </c>
      <c r="AL1075">
        <f>IF($AK1075="","",COUNTIFS(LdAParty,$AE1075,LdAType,1,LdAKey,"&lt;"&amp;$AK1075)+COUNTIFS(LdBMember,$AE1075,LdBKey,"&lt;"&amp;$AK1075)+COUNTIFS(LdCParty,$AE1075,LdCKey,"&lt;"&amp;$AK1075)+1)</f>
        <v/>
      </c>
      <c r="AM1075">
        <f>IF($AL1075="","",$AE1075&amp;"|"&amp;RIGHT("000000"&amp;$AL1075,6))</f>
        <v/>
      </c>
      <c r="AN1075">
        <f>IF($AE1075="","",IF(Sync!$W1075="",0,Sync!$W1075))</f>
        <v/>
      </c>
      <c r="AO1075">
        <f>IF($AE1075="","",IF(Sync!$X1075="",0,Sync!$X1075))</f>
        <v/>
      </c>
      <c r="AP1075">
        <f>IF($AE1075="","",Sync!$R1075)</f>
        <v/>
      </c>
      <c r="AQ1075">
        <f>IF($AE1075="","",Sync!$Y1075)</f>
        <v/>
      </c>
    </row>
    <row r="1076">
      <c r="A1076">
        <f>IF(OR(Wages!$B1079="",Wages!$E1079=""),"",Wages!$E1079)</f>
        <v/>
      </c>
      <c r="B1076">
        <f>IF($A1076="","",IF(Wages!$C1079="دستمزد گروهی",2,1))</f>
        <v/>
      </c>
      <c r="C1076">
        <f>IF($A1076="","",IF(ISNUMBER(Wages!$B1079),IF(AND(Wages!$B1079&gt;=10000101,Wages!$B1079&lt;=99991231),INT(Wages!$B1079/10000),""),IFERROR(VALUE(TRIM(LEFT(Wages!$B1079,FIND("/",Wages!$B1079)-1))),"")))</f>
        <v/>
      </c>
      <c r="D1076">
        <f>IF(OR($A1076="",$C1076=""),"",IF(ISNUMBER(Wages!$B1079),INT(MOD(Wages!$B1079,10000)/100),IFERROR(VALUE(TRIM(LEFT(MID(Wages!$B1079,FIND("/",Wages!$B1079)+1,20),FIND("/",MID(Wages!$B1079,FIND("/",Wages!$B1079)+1,20))-1))),"")))</f>
        <v/>
      </c>
      <c r="E1076">
        <f>IF(OR($A1076="",$C1076=""),"",IF(ISNUMBER(Wages!$B1079),MOD(Wages!$B1079,100),IFERROR(VALUE(TRIM(MID(MID(Wages!$B1079,FIND("/",Wages!$B1079)+1,20),FIND("/",MID(Wages!$B1079,FIND("/",Wages!$B1079)+1,20))+1,20))),"")))</f>
        <v/>
      </c>
      <c r="F1076">
        <f>IF($A1076="","",IF(OR($C1076="",$D1076="",$E1076="",$C1076&lt;1300,$C1076&gt;1500,$D1076&lt;1,$D1076&gt;12,$E1076&lt;1,$E1076&gt;31),"نامعتبر",RIGHT("0000"&amp;$C1076,4)&amp;"/"&amp;RIGHT("00"&amp;$D1076,2)&amp;"/"&amp;RIGHT("00"&amp;$E1076,2)))</f>
        <v/>
      </c>
      <c r="G1076">
        <f>IF(OR($A1076="",$F1076="",$F1076="نامعتبر"),"",LEFT($F1076,4)&amp;MID($F1076,6,2)&amp;RIGHT($F1076,2)&amp;"0000"&amp;"|"&amp;"1"&amp;RIGHT("00000"&amp;1071,5))</f>
        <v/>
      </c>
      <c r="H1076">
        <f>IF(OR($B1076&lt;&gt;1,$G1076=""),"",COUNTIFS(LdAParty,$A1076,LdAType,1,LdAKey,"&lt;"&amp;$G1076)+COUNTIFS(LdBMember,$A1076,LdBKey,"&lt;"&amp;$G1076)+COUNTIFS(LdCParty,$A1076,LdCKey,"&lt;"&amp;$G1076)+1)</f>
        <v/>
      </c>
      <c r="I1076">
        <f>IF($H1076="","",$A1076&amp;"|"&amp;RIGHT("000000"&amp;$H1076,6))</f>
        <v/>
      </c>
      <c r="J1076">
        <f>IF(OR($B1076&lt;&gt;2,$G1076=""),"",COUNTIFS(LdAParty,$A1076,LdAType,2,LdAKey,"&lt;"&amp;$G1076)+1)</f>
        <v/>
      </c>
      <c r="K1076">
        <f>IF($J1076="","",$A1076&amp;"|"&amp;RIGHT("000000"&amp;$J1076,6))</f>
        <v/>
      </c>
      <c r="L1076">
        <f>IF($A1076="","",IF(Wages!$G1079="",0,Wages!$G1079))</f>
        <v/>
      </c>
      <c r="M1076">
        <f>IF($A1076="","",Wages!$J1079)</f>
        <v/>
      </c>
      <c r="N1076">
        <f>IF($A1076="","",Wages!$D1079)</f>
        <v/>
      </c>
      <c r="P1076">
        <f>IF(OR(Shares!$B1079="",Shares!$C1079=""),"",Shares!$C1079)</f>
        <v/>
      </c>
      <c r="Q1076">
        <f>IF($P1076="","",Shares!$B1079)</f>
        <v/>
      </c>
      <c r="R1076">
        <f>IF($P1076="","",IFERROR(INDEX(WageParty,MATCH($Q1076,WageIds,0)),""))</f>
        <v/>
      </c>
      <c r="S1076">
        <f>IF($P1076="","",IFERROR(INDEX($F$6:$F$2005,MATCH($Q1076,WageIds,0)),""))</f>
        <v/>
      </c>
      <c r="T1076">
        <f>IF(OR($P1076="",$S1076="",$S1076="نامعتبر"),"",LEFT($S1076,4)&amp;MID($S1076,6,2)&amp;RIGHT($S1076,2)&amp;"0000"&amp;"|"&amp;"2"&amp;RIGHT("00000"&amp;1071,5))</f>
        <v/>
      </c>
      <c r="U1076">
        <f>IF($T1076="","",COUNTIFS(LdAParty,$P1076,LdAType,1,LdAKey,"&lt;"&amp;$T1076)+COUNTIFS(LdBMember,$P1076,LdBKey,"&lt;"&amp;$T1076)+COUNTIFS(LdCParty,$P1076,LdCKey,"&lt;"&amp;$T1076)+1)</f>
        <v/>
      </c>
      <c r="V1076">
        <f>IF($U1076="","",$P1076&amp;"|"&amp;RIGHT("000000"&amp;$U1076,6))</f>
        <v/>
      </c>
      <c r="W1076">
        <f>IF($T1076="","",COUNTIFS(LdBGroup,$R1076,LdBKey,"&lt;"&amp;$T1076)+1)</f>
        <v/>
      </c>
      <c r="X1076">
        <f>IF($W1076="","",$R1076&amp;"|"&amp;RIGHT("000000"&amp;$W1076,6))</f>
        <v/>
      </c>
      <c r="Y1076">
        <f>IF($P1076="","",IF(Shares!$E1079="",0,Shares!$E1079))</f>
        <v/>
      </c>
      <c r="Z1076">
        <f>IF($P1076="","",Shares!$H1079)</f>
        <v/>
      </c>
      <c r="AE1076">
        <f>IF(OR(Sync!$S1076="",Sync!$P1076=""),"",Sync!$S1076)</f>
        <v/>
      </c>
      <c r="AF1076">
        <f>IF($AE1076="","",IF(ISNUMBER(Sync!$P1076),IF(AND(Sync!$P1076&gt;=10000101,Sync!$P1076&lt;=99991231),INT(Sync!$P1076/10000),""),IFERROR(VALUE(TRIM(LEFT(Sync!$P1076,FIND("/",Sync!$P1076)-1))),"")))</f>
        <v/>
      </c>
      <c r="AG1076">
        <f>IF(OR($AE1076="",$AF1076=""),"",IF(ISNUMBER(Sync!$P1076),INT(MOD(Sync!$P1076,10000)/100),IFERROR(VALUE(TRIM(LEFT(MID(Sync!$P1076,FIND("/",Sync!$P1076)+1,20),FIND("/",MID(Sync!$P1076,FIND("/",Sync!$P1076)+1,20))-1))),"")))</f>
        <v/>
      </c>
      <c r="AH1076">
        <f>IF(OR($AE1076="",$AF1076=""),"",IF(ISNUMBER(Sync!$P1076),MOD(Sync!$P1076,100),IFERROR(VALUE(TRIM(MID(MID(Sync!$P1076,FIND("/",Sync!$P1076)+1,20),FIND("/",MID(Sync!$P1076,FIND("/",Sync!$P1076)+1,20))+1,20))),"")))</f>
        <v/>
      </c>
      <c r="AI1076">
        <f>IF($AE1076="","",IF(OR($AF1076="",$AG1076="",$AH1076="",$AF1076&lt;1300,$AF1076&gt;1500,$AG1076&lt;1,$AG1076&gt;12,$AH1076&lt;1,$AH1076&gt;31),"نامعتبر",RIGHT("0000"&amp;$AF1076,4)&amp;"/"&amp;RIGHT("00"&amp;$AG1076,2)&amp;"/"&amp;RIGHT("00"&amp;$AH1076,2)))</f>
        <v/>
      </c>
      <c r="AJ1076">
        <f>IF($AE1076="","",IF(Sync!$Q1076="","0000",IF(AND(ISNUMBER(Sync!$Q1076),Sync!$Q1076&gt;=0,Sync!$Q1076&lt;1),RIGHT("00"&amp;HOUR(Sync!$Q1076),2)&amp;RIGHT("00"&amp;MINUTE(Sync!$Q1076),2),IFERROR(RIGHT("00"&amp;VALUE(LEFT(Sync!$Q1076,FIND(":",Sync!$Q1076)-1)),2)&amp;RIGHT("00"&amp;VALUE(MID(Sync!$Q1076,FIND(":",Sync!$Q1076)+1,2)),2),"0000"))))</f>
        <v/>
      </c>
      <c r="AK1076">
        <f>IF(OR($AE1076="",$AI1076="",$AI1076="نامعتبر"),"",LEFT($AI1076,4)&amp;MID($AI1076,6,2)&amp;RIGHT($AI1076,2)&amp;$AJ1076&amp;"|"&amp;"3"&amp;RIGHT("00000"&amp;1071,5))</f>
        <v/>
      </c>
      <c r="AL1076">
        <f>IF($AK1076="","",COUNTIFS(LdAParty,$AE1076,LdAType,1,LdAKey,"&lt;"&amp;$AK1076)+COUNTIFS(LdBMember,$AE1076,LdBKey,"&lt;"&amp;$AK1076)+COUNTIFS(LdCParty,$AE1076,LdCKey,"&lt;"&amp;$AK1076)+1)</f>
        <v/>
      </c>
      <c r="AM1076">
        <f>IF($AL1076="","",$AE1076&amp;"|"&amp;RIGHT("000000"&amp;$AL1076,6))</f>
        <v/>
      </c>
      <c r="AN1076">
        <f>IF($AE1076="","",IF(Sync!$W1076="",0,Sync!$W1076))</f>
        <v/>
      </c>
      <c r="AO1076">
        <f>IF($AE1076="","",IF(Sync!$X1076="",0,Sync!$X1076))</f>
        <v/>
      </c>
      <c r="AP1076">
        <f>IF($AE1076="","",Sync!$R1076)</f>
        <v/>
      </c>
      <c r="AQ1076">
        <f>IF($AE1076="","",Sync!$Y1076)</f>
        <v/>
      </c>
    </row>
    <row r="1077">
      <c r="A1077">
        <f>IF(OR(Wages!$B1080="",Wages!$E1080=""),"",Wages!$E1080)</f>
        <v/>
      </c>
      <c r="B1077">
        <f>IF($A1077="","",IF(Wages!$C1080="دستمزد گروهی",2,1))</f>
        <v/>
      </c>
      <c r="C1077">
        <f>IF($A1077="","",IF(ISNUMBER(Wages!$B1080),IF(AND(Wages!$B1080&gt;=10000101,Wages!$B1080&lt;=99991231),INT(Wages!$B1080/10000),""),IFERROR(VALUE(TRIM(LEFT(Wages!$B1080,FIND("/",Wages!$B1080)-1))),"")))</f>
        <v/>
      </c>
      <c r="D1077">
        <f>IF(OR($A1077="",$C1077=""),"",IF(ISNUMBER(Wages!$B1080),INT(MOD(Wages!$B1080,10000)/100),IFERROR(VALUE(TRIM(LEFT(MID(Wages!$B1080,FIND("/",Wages!$B1080)+1,20),FIND("/",MID(Wages!$B1080,FIND("/",Wages!$B1080)+1,20))-1))),"")))</f>
        <v/>
      </c>
      <c r="E1077">
        <f>IF(OR($A1077="",$C1077=""),"",IF(ISNUMBER(Wages!$B1080),MOD(Wages!$B1080,100),IFERROR(VALUE(TRIM(MID(MID(Wages!$B1080,FIND("/",Wages!$B1080)+1,20),FIND("/",MID(Wages!$B1080,FIND("/",Wages!$B1080)+1,20))+1,20))),"")))</f>
        <v/>
      </c>
      <c r="F1077">
        <f>IF($A1077="","",IF(OR($C1077="",$D1077="",$E1077="",$C1077&lt;1300,$C1077&gt;1500,$D1077&lt;1,$D1077&gt;12,$E1077&lt;1,$E1077&gt;31),"نامعتبر",RIGHT("0000"&amp;$C1077,4)&amp;"/"&amp;RIGHT("00"&amp;$D1077,2)&amp;"/"&amp;RIGHT("00"&amp;$E1077,2)))</f>
        <v/>
      </c>
      <c r="G1077">
        <f>IF(OR($A1077="",$F1077="",$F1077="نامعتبر"),"",LEFT($F1077,4)&amp;MID($F1077,6,2)&amp;RIGHT($F1077,2)&amp;"0000"&amp;"|"&amp;"1"&amp;RIGHT("00000"&amp;1072,5))</f>
        <v/>
      </c>
      <c r="H1077">
        <f>IF(OR($B1077&lt;&gt;1,$G1077=""),"",COUNTIFS(LdAParty,$A1077,LdAType,1,LdAKey,"&lt;"&amp;$G1077)+COUNTIFS(LdBMember,$A1077,LdBKey,"&lt;"&amp;$G1077)+COUNTIFS(LdCParty,$A1077,LdCKey,"&lt;"&amp;$G1077)+1)</f>
        <v/>
      </c>
      <c r="I1077">
        <f>IF($H1077="","",$A1077&amp;"|"&amp;RIGHT("000000"&amp;$H1077,6))</f>
        <v/>
      </c>
      <c r="J1077">
        <f>IF(OR($B1077&lt;&gt;2,$G1077=""),"",COUNTIFS(LdAParty,$A1077,LdAType,2,LdAKey,"&lt;"&amp;$G1077)+1)</f>
        <v/>
      </c>
      <c r="K1077">
        <f>IF($J1077="","",$A1077&amp;"|"&amp;RIGHT("000000"&amp;$J1077,6))</f>
        <v/>
      </c>
      <c r="L1077">
        <f>IF($A1077="","",IF(Wages!$G1080="",0,Wages!$G1080))</f>
        <v/>
      </c>
      <c r="M1077">
        <f>IF($A1077="","",Wages!$J1080)</f>
        <v/>
      </c>
      <c r="N1077">
        <f>IF($A1077="","",Wages!$D1080)</f>
        <v/>
      </c>
      <c r="P1077">
        <f>IF(OR(Shares!$B1080="",Shares!$C1080=""),"",Shares!$C1080)</f>
        <v/>
      </c>
      <c r="Q1077">
        <f>IF($P1077="","",Shares!$B1080)</f>
        <v/>
      </c>
      <c r="R1077">
        <f>IF($P1077="","",IFERROR(INDEX(WageParty,MATCH($Q1077,WageIds,0)),""))</f>
        <v/>
      </c>
      <c r="S1077">
        <f>IF($P1077="","",IFERROR(INDEX($F$6:$F$2005,MATCH($Q1077,WageIds,0)),""))</f>
        <v/>
      </c>
      <c r="T1077">
        <f>IF(OR($P1077="",$S1077="",$S1077="نامعتبر"),"",LEFT($S1077,4)&amp;MID($S1077,6,2)&amp;RIGHT($S1077,2)&amp;"0000"&amp;"|"&amp;"2"&amp;RIGHT("00000"&amp;1072,5))</f>
        <v/>
      </c>
      <c r="U1077">
        <f>IF($T1077="","",COUNTIFS(LdAParty,$P1077,LdAType,1,LdAKey,"&lt;"&amp;$T1077)+COUNTIFS(LdBMember,$P1077,LdBKey,"&lt;"&amp;$T1077)+COUNTIFS(LdCParty,$P1077,LdCKey,"&lt;"&amp;$T1077)+1)</f>
        <v/>
      </c>
      <c r="V1077">
        <f>IF($U1077="","",$P1077&amp;"|"&amp;RIGHT("000000"&amp;$U1077,6))</f>
        <v/>
      </c>
      <c r="W1077">
        <f>IF($T1077="","",COUNTIFS(LdBGroup,$R1077,LdBKey,"&lt;"&amp;$T1077)+1)</f>
        <v/>
      </c>
      <c r="X1077">
        <f>IF($W1077="","",$R1077&amp;"|"&amp;RIGHT("000000"&amp;$W1077,6))</f>
        <v/>
      </c>
      <c r="Y1077">
        <f>IF($P1077="","",IF(Shares!$E1080="",0,Shares!$E1080))</f>
        <v/>
      </c>
      <c r="Z1077">
        <f>IF($P1077="","",Shares!$H1080)</f>
        <v/>
      </c>
      <c r="AE1077">
        <f>IF(OR(Sync!$S1077="",Sync!$P1077=""),"",Sync!$S1077)</f>
        <v/>
      </c>
      <c r="AF1077">
        <f>IF($AE1077="","",IF(ISNUMBER(Sync!$P1077),IF(AND(Sync!$P1077&gt;=10000101,Sync!$P1077&lt;=99991231),INT(Sync!$P1077/10000),""),IFERROR(VALUE(TRIM(LEFT(Sync!$P1077,FIND("/",Sync!$P1077)-1))),"")))</f>
        <v/>
      </c>
      <c r="AG1077">
        <f>IF(OR($AE1077="",$AF1077=""),"",IF(ISNUMBER(Sync!$P1077),INT(MOD(Sync!$P1077,10000)/100),IFERROR(VALUE(TRIM(LEFT(MID(Sync!$P1077,FIND("/",Sync!$P1077)+1,20),FIND("/",MID(Sync!$P1077,FIND("/",Sync!$P1077)+1,20))-1))),"")))</f>
        <v/>
      </c>
      <c r="AH1077">
        <f>IF(OR($AE1077="",$AF1077=""),"",IF(ISNUMBER(Sync!$P1077),MOD(Sync!$P1077,100),IFERROR(VALUE(TRIM(MID(MID(Sync!$P1077,FIND("/",Sync!$P1077)+1,20),FIND("/",MID(Sync!$P1077,FIND("/",Sync!$P1077)+1,20))+1,20))),"")))</f>
        <v/>
      </c>
      <c r="AI1077">
        <f>IF($AE1077="","",IF(OR($AF1077="",$AG1077="",$AH1077="",$AF1077&lt;1300,$AF1077&gt;1500,$AG1077&lt;1,$AG1077&gt;12,$AH1077&lt;1,$AH1077&gt;31),"نامعتبر",RIGHT("0000"&amp;$AF1077,4)&amp;"/"&amp;RIGHT("00"&amp;$AG1077,2)&amp;"/"&amp;RIGHT("00"&amp;$AH1077,2)))</f>
        <v/>
      </c>
      <c r="AJ1077">
        <f>IF($AE1077="","",IF(Sync!$Q1077="","0000",IF(AND(ISNUMBER(Sync!$Q1077),Sync!$Q1077&gt;=0,Sync!$Q1077&lt;1),RIGHT("00"&amp;HOUR(Sync!$Q1077),2)&amp;RIGHT("00"&amp;MINUTE(Sync!$Q1077),2),IFERROR(RIGHT("00"&amp;VALUE(LEFT(Sync!$Q1077,FIND(":",Sync!$Q1077)-1)),2)&amp;RIGHT("00"&amp;VALUE(MID(Sync!$Q1077,FIND(":",Sync!$Q1077)+1,2)),2),"0000"))))</f>
        <v/>
      </c>
      <c r="AK1077">
        <f>IF(OR($AE1077="",$AI1077="",$AI1077="نامعتبر"),"",LEFT($AI1077,4)&amp;MID($AI1077,6,2)&amp;RIGHT($AI1077,2)&amp;$AJ1077&amp;"|"&amp;"3"&amp;RIGHT("00000"&amp;1072,5))</f>
        <v/>
      </c>
      <c r="AL1077">
        <f>IF($AK1077="","",COUNTIFS(LdAParty,$AE1077,LdAType,1,LdAKey,"&lt;"&amp;$AK1077)+COUNTIFS(LdBMember,$AE1077,LdBKey,"&lt;"&amp;$AK1077)+COUNTIFS(LdCParty,$AE1077,LdCKey,"&lt;"&amp;$AK1077)+1)</f>
        <v/>
      </c>
      <c r="AM1077">
        <f>IF($AL1077="","",$AE1077&amp;"|"&amp;RIGHT("000000"&amp;$AL1077,6))</f>
        <v/>
      </c>
      <c r="AN1077">
        <f>IF($AE1077="","",IF(Sync!$W1077="",0,Sync!$W1077))</f>
        <v/>
      </c>
      <c r="AO1077">
        <f>IF($AE1077="","",IF(Sync!$X1077="",0,Sync!$X1077))</f>
        <v/>
      </c>
      <c r="AP1077">
        <f>IF($AE1077="","",Sync!$R1077)</f>
        <v/>
      </c>
      <c r="AQ1077">
        <f>IF($AE1077="","",Sync!$Y1077)</f>
        <v/>
      </c>
    </row>
    <row r="1078">
      <c r="A1078">
        <f>IF(OR(Wages!$B1081="",Wages!$E1081=""),"",Wages!$E1081)</f>
        <v/>
      </c>
      <c r="B1078">
        <f>IF($A1078="","",IF(Wages!$C1081="دستمزد گروهی",2,1))</f>
        <v/>
      </c>
      <c r="C1078">
        <f>IF($A1078="","",IF(ISNUMBER(Wages!$B1081),IF(AND(Wages!$B1081&gt;=10000101,Wages!$B1081&lt;=99991231),INT(Wages!$B1081/10000),""),IFERROR(VALUE(TRIM(LEFT(Wages!$B1081,FIND("/",Wages!$B1081)-1))),"")))</f>
        <v/>
      </c>
      <c r="D1078">
        <f>IF(OR($A1078="",$C1078=""),"",IF(ISNUMBER(Wages!$B1081),INT(MOD(Wages!$B1081,10000)/100),IFERROR(VALUE(TRIM(LEFT(MID(Wages!$B1081,FIND("/",Wages!$B1081)+1,20),FIND("/",MID(Wages!$B1081,FIND("/",Wages!$B1081)+1,20))-1))),"")))</f>
        <v/>
      </c>
      <c r="E1078">
        <f>IF(OR($A1078="",$C1078=""),"",IF(ISNUMBER(Wages!$B1081),MOD(Wages!$B1081,100),IFERROR(VALUE(TRIM(MID(MID(Wages!$B1081,FIND("/",Wages!$B1081)+1,20),FIND("/",MID(Wages!$B1081,FIND("/",Wages!$B1081)+1,20))+1,20))),"")))</f>
        <v/>
      </c>
      <c r="F1078">
        <f>IF($A1078="","",IF(OR($C1078="",$D1078="",$E1078="",$C1078&lt;1300,$C1078&gt;1500,$D1078&lt;1,$D1078&gt;12,$E1078&lt;1,$E1078&gt;31),"نامعتبر",RIGHT("0000"&amp;$C1078,4)&amp;"/"&amp;RIGHT("00"&amp;$D1078,2)&amp;"/"&amp;RIGHT("00"&amp;$E1078,2)))</f>
        <v/>
      </c>
      <c r="G1078">
        <f>IF(OR($A1078="",$F1078="",$F1078="نامعتبر"),"",LEFT($F1078,4)&amp;MID($F1078,6,2)&amp;RIGHT($F1078,2)&amp;"0000"&amp;"|"&amp;"1"&amp;RIGHT("00000"&amp;1073,5))</f>
        <v/>
      </c>
      <c r="H1078">
        <f>IF(OR($B1078&lt;&gt;1,$G1078=""),"",COUNTIFS(LdAParty,$A1078,LdAType,1,LdAKey,"&lt;"&amp;$G1078)+COUNTIFS(LdBMember,$A1078,LdBKey,"&lt;"&amp;$G1078)+COUNTIFS(LdCParty,$A1078,LdCKey,"&lt;"&amp;$G1078)+1)</f>
        <v/>
      </c>
      <c r="I1078">
        <f>IF($H1078="","",$A1078&amp;"|"&amp;RIGHT("000000"&amp;$H1078,6))</f>
        <v/>
      </c>
      <c r="J1078">
        <f>IF(OR($B1078&lt;&gt;2,$G1078=""),"",COUNTIFS(LdAParty,$A1078,LdAType,2,LdAKey,"&lt;"&amp;$G1078)+1)</f>
        <v/>
      </c>
      <c r="K1078">
        <f>IF($J1078="","",$A1078&amp;"|"&amp;RIGHT("000000"&amp;$J1078,6))</f>
        <v/>
      </c>
      <c r="L1078">
        <f>IF($A1078="","",IF(Wages!$G1081="",0,Wages!$G1081))</f>
        <v/>
      </c>
      <c r="M1078">
        <f>IF($A1078="","",Wages!$J1081)</f>
        <v/>
      </c>
      <c r="N1078">
        <f>IF($A1078="","",Wages!$D1081)</f>
        <v/>
      </c>
      <c r="P1078">
        <f>IF(OR(Shares!$B1081="",Shares!$C1081=""),"",Shares!$C1081)</f>
        <v/>
      </c>
      <c r="Q1078">
        <f>IF($P1078="","",Shares!$B1081)</f>
        <v/>
      </c>
      <c r="R1078">
        <f>IF($P1078="","",IFERROR(INDEX(WageParty,MATCH($Q1078,WageIds,0)),""))</f>
        <v/>
      </c>
      <c r="S1078">
        <f>IF($P1078="","",IFERROR(INDEX($F$6:$F$2005,MATCH($Q1078,WageIds,0)),""))</f>
        <v/>
      </c>
      <c r="T1078">
        <f>IF(OR($P1078="",$S1078="",$S1078="نامعتبر"),"",LEFT($S1078,4)&amp;MID($S1078,6,2)&amp;RIGHT($S1078,2)&amp;"0000"&amp;"|"&amp;"2"&amp;RIGHT("00000"&amp;1073,5))</f>
        <v/>
      </c>
      <c r="U1078">
        <f>IF($T1078="","",COUNTIFS(LdAParty,$P1078,LdAType,1,LdAKey,"&lt;"&amp;$T1078)+COUNTIFS(LdBMember,$P1078,LdBKey,"&lt;"&amp;$T1078)+COUNTIFS(LdCParty,$P1078,LdCKey,"&lt;"&amp;$T1078)+1)</f>
        <v/>
      </c>
      <c r="V1078">
        <f>IF($U1078="","",$P1078&amp;"|"&amp;RIGHT("000000"&amp;$U1078,6))</f>
        <v/>
      </c>
      <c r="W1078">
        <f>IF($T1078="","",COUNTIFS(LdBGroup,$R1078,LdBKey,"&lt;"&amp;$T1078)+1)</f>
        <v/>
      </c>
      <c r="X1078">
        <f>IF($W1078="","",$R1078&amp;"|"&amp;RIGHT("000000"&amp;$W1078,6))</f>
        <v/>
      </c>
      <c r="Y1078">
        <f>IF($P1078="","",IF(Shares!$E1081="",0,Shares!$E1081))</f>
        <v/>
      </c>
      <c r="Z1078">
        <f>IF($P1078="","",Shares!$H1081)</f>
        <v/>
      </c>
      <c r="AE1078">
        <f>IF(OR(Sync!$S1078="",Sync!$P1078=""),"",Sync!$S1078)</f>
        <v/>
      </c>
      <c r="AF1078">
        <f>IF($AE1078="","",IF(ISNUMBER(Sync!$P1078),IF(AND(Sync!$P1078&gt;=10000101,Sync!$P1078&lt;=99991231),INT(Sync!$P1078/10000),""),IFERROR(VALUE(TRIM(LEFT(Sync!$P1078,FIND("/",Sync!$P1078)-1))),"")))</f>
        <v/>
      </c>
      <c r="AG1078">
        <f>IF(OR($AE1078="",$AF1078=""),"",IF(ISNUMBER(Sync!$P1078),INT(MOD(Sync!$P1078,10000)/100),IFERROR(VALUE(TRIM(LEFT(MID(Sync!$P1078,FIND("/",Sync!$P1078)+1,20),FIND("/",MID(Sync!$P1078,FIND("/",Sync!$P1078)+1,20))-1))),"")))</f>
        <v/>
      </c>
      <c r="AH1078">
        <f>IF(OR($AE1078="",$AF1078=""),"",IF(ISNUMBER(Sync!$P1078),MOD(Sync!$P1078,100),IFERROR(VALUE(TRIM(MID(MID(Sync!$P1078,FIND("/",Sync!$P1078)+1,20),FIND("/",MID(Sync!$P1078,FIND("/",Sync!$P1078)+1,20))+1,20))),"")))</f>
        <v/>
      </c>
      <c r="AI1078">
        <f>IF($AE1078="","",IF(OR($AF1078="",$AG1078="",$AH1078="",$AF1078&lt;1300,$AF1078&gt;1500,$AG1078&lt;1,$AG1078&gt;12,$AH1078&lt;1,$AH1078&gt;31),"نامعتبر",RIGHT("0000"&amp;$AF1078,4)&amp;"/"&amp;RIGHT("00"&amp;$AG1078,2)&amp;"/"&amp;RIGHT("00"&amp;$AH1078,2)))</f>
        <v/>
      </c>
      <c r="AJ1078">
        <f>IF($AE1078="","",IF(Sync!$Q1078="","0000",IF(AND(ISNUMBER(Sync!$Q1078),Sync!$Q1078&gt;=0,Sync!$Q1078&lt;1),RIGHT("00"&amp;HOUR(Sync!$Q1078),2)&amp;RIGHT("00"&amp;MINUTE(Sync!$Q1078),2),IFERROR(RIGHT("00"&amp;VALUE(LEFT(Sync!$Q1078,FIND(":",Sync!$Q1078)-1)),2)&amp;RIGHT("00"&amp;VALUE(MID(Sync!$Q1078,FIND(":",Sync!$Q1078)+1,2)),2),"0000"))))</f>
        <v/>
      </c>
      <c r="AK1078">
        <f>IF(OR($AE1078="",$AI1078="",$AI1078="نامعتبر"),"",LEFT($AI1078,4)&amp;MID($AI1078,6,2)&amp;RIGHT($AI1078,2)&amp;$AJ1078&amp;"|"&amp;"3"&amp;RIGHT("00000"&amp;1073,5))</f>
        <v/>
      </c>
      <c r="AL1078">
        <f>IF($AK1078="","",COUNTIFS(LdAParty,$AE1078,LdAType,1,LdAKey,"&lt;"&amp;$AK1078)+COUNTIFS(LdBMember,$AE1078,LdBKey,"&lt;"&amp;$AK1078)+COUNTIFS(LdCParty,$AE1078,LdCKey,"&lt;"&amp;$AK1078)+1)</f>
        <v/>
      </c>
      <c r="AM1078">
        <f>IF($AL1078="","",$AE1078&amp;"|"&amp;RIGHT("000000"&amp;$AL1078,6))</f>
        <v/>
      </c>
      <c r="AN1078">
        <f>IF($AE1078="","",IF(Sync!$W1078="",0,Sync!$W1078))</f>
        <v/>
      </c>
      <c r="AO1078">
        <f>IF($AE1078="","",IF(Sync!$X1078="",0,Sync!$X1078))</f>
        <v/>
      </c>
      <c r="AP1078">
        <f>IF($AE1078="","",Sync!$R1078)</f>
        <v/>
      </c>
      <c r="AQ1078">
        <f>IF($AE1078="","",Sync!$Y1078)</f>
        <v/>
      </c>
    </row>
    <row r="1079">
      <c r="A1079">
        <f>IF(OR(Wages!$B1082="",Wages!$E1082=""),"",Wages!$E1082)</f>
        <v/>
      </c>
      <c r="B1079">
        <f>IF($A1079="","",IF(Wages!$C1082="دستمزد گروهی",2,1))</f>
        <v/>
      </c>
      <c r="C1079">
        <f>IF($A1079="","",IF(ISNUMBER(Wages!$B1082),IF(AND(Wages!$B1082&gt;=10000101,Wages!$B1082&lt;=99991231),INT(Wages!$B1082/10000),""),IFERROR(VALUE(TRIM(LEFT(Wages!$B1082,FIND("/",Wages!$B1082)-1))),"")))</f>
        <v/>
      </c>
      <c r="D1079">
        <f>IF(OR($A1079="",$C1079=""),"",IF(ISNUMBER(Wages!$B1082),INT(MOD(Wages!$B1082,10000)/100),IFERROR(VALUE(TRIM(LEFT(MID(Wages!$B1082,FIND("/",Wages!$B1082)+1,20),FIND("/",MID(Wages!$B1082,FIND("/",Wages!$B1082)+1,20))-1))),"")))</f>
        <v/>
      </c>
      <c r="E1079">
        <f>IF(OR($A1079="",$C1079=""),"",IF(ISNUMBER(Wages!$B1082),MOD(Wages!$B1082,100),IFERROR(VALUE(TRIM(MID(MID(Wages!$B1082,FIND("/",Wages!$B1082)+1,20),FIND("/",MID(Wages!$B1082,FIND("/",Wages!$B1082)+1,20))+1,20))),"")))</f>
        <v/>
      </c>
      <c r="F1079">
        <f>IF($A1079="","",IF(OR($C1079="",$D1079="",$E1079="",$C1079&lt;1300,$C1079&gt;1500,$D1079&lt;1,$D1079&gt;12,$E1079&lt;1,$E1079&gt;31),"نامعتبر",RIGHT("0000"&amp;$C1079,4)&amp;"/"&amp;RIGHT("00"&amp;$D1079,2)&amp;"/"&amp;RIGHT("00"&amp;$E1079,2)))</f>
        <v/>
      </c>
      <c r="G1079">
        <f>IF(OR($A1079="",$F1079="",$F1079="نامعتبر"),"",LEFT($F1079,4)&amp;MID($F1079,6,2)&amp;RIGHT($F1079,2)&amp;"0000"&amp;"|"&amp;"1"&amp;RIGHT("00000"&amp;1074,5))</f>
        <v/>
      </c>
      <c r="H1079">
        <f>IF(OR($B1079&lt;&gt;1,$G1079=""),"",COUNTIFS(LdAParty,$A1079,LdAType,1,LdAKey,"&lt;"&amp;$G1079)+COUNTIFS(LdBMember,$A1079,LdBKey,"&lt;"&amp;$G1079)+COUNTIFS(LdCParty,$A1079,LdCKey,"&lt;"&amp;$G1079)+1)</f>
        <v/>
      </c>
      <c r="I1079">
        <f>IF($H1079="","",$A1079&amp;"|"&amp;RIGHT("000000"&amp;$H1079,6))</f>
        <v/>
      </c>
      <c r="J1079">
        <f>IF(OR($B1079&lt;&gt;2,$G1079=""),"",COUNTIFS(LdAParty,$A1079,LdAType,2,LdAKey,"&lt;"&amp;$G1079)+1)</f>
        <v/>
      </c>
      <c r="K1079">
        <f>IF($J1079="","",$A1079&amp;"|"&amp;RIGHT("000000"&amp;$J1079,6))</f>
        <v/>
      </c>
      <c r="L1079">
        <f>IF($A1079="","",IF(Wages!$G1082="",0,Wages!$G1082))</f>
        <v/>
      </c>
      <c r="M1079">
        <f>IF($A1079="","",Wages!$J1082)</f>
        <v/>
      </c>
      <c r="N1079">
        <f>IF($A1079="","",Wages!$D1082)</f>
        <v/>
      </c>
      <c r="P1079">
        <f>IF(OR(Shares!$B1082="",Shares!$C1082=""),"",Shares!$C1082)</f>
        <v/>
      </c>
      <c r="Q1079">
        <f>IF($P1079="","",Shares!$B1082)</f>
        <v/>
      </c>
      <c r="R1079">
        <f>IF($P1079="","",IFERROR(INDEX(WageParty,MATCH($Q1079,WageIds,0)),""))</f>
        <v/>
      </c>
      <c r="S1079">
        <f>IF($P1079="","",IFERROR(INDEX($F$6:$F$2005,MATCH($Q1079,WageIds,0)),""))</f>
        <v/>
      </c>
      <c r="T1079">
        <f>IF(OR($P1079="",$S1079="",$S1079="نامعتبر"),"",LEFT($S1079,4)&amp;MID($S1079,6,2)&amp;RIGHT($S1079,2)&amp;"0000"&amp;"|"&amp;"2"&amp;RIGHT("00000"&amp;1074,5))</f>
        <v/>
      </c>
      <c r="U1079">
        <f>IF($T1079="","",COUNTIFS(LdAParty,$P1079,LdAType,1,LdAKey,"&lt;"&amp;$T1079)+COUNTIFS(LdBMember,$P1079,LdBKey,"&lt;"&amp;$T1079)+COUNTIFS(LdCParty,$P1079,LdCKey,"&lt;"&amp;$T1079)+1)</f>
        <v/>
      </c>
      <c r="V1079">
        <f>IF($U1079="","",$P1079&amp;"|"&amp;RIGHT("000000"&amp;$U1079,6))</f>
        <v/>
      </c>
      <c r="W1079">
        <f>IF($T1079="","",COUNTIFS(LdBGroup,$R1079,LdBKey,"&lt;"&amp;$T1079)+1)</f>
        <v/>
      </c>
      <c r="X1079">
        <f>IF($W1079="","",$R1079&amp;"|"&amp;RIGHT("000000"&amp;$W1079,6))</f>
        <v/>
      </c>
      <c r="Y1079">
        <f>IF($P1079="","",IF(Shares!$E1082="",0,Shares!$E1082))</f>
        <v/>
      </c>
      <c r="Z1079">
        <f>IF($P1079="","",Shares!$H1082)</f>
        <v/>
      </c>
      <c r="AE1079">
        <f>IF(OR(Sync!$S1079="",Sync!$P1079=""),"",Sync!$S1079)</f>
        <v/>
      </c>
      <c r="AF1079">
        <f>IF($AE1079="","",IF(ISNUMBER(Sync!$P1079),IF(AND(Sync!$P1079&gt;=10000101,Sync!$P1079&lt;=99991231),INT(Sync!$P1079/10000),""),IFERROR(VALUE(TRIM(LEFT(Sync!$P1079,FIND("/",Sync!$P1079)-1))),"")))</f>
        <v/>
      </c>
      <c r="AG1079">
        <f>IF(OR($AE1079="",$AF1079=""),"",IF(ISNUMBER(Sync!$P1079),INT(MOD(Sync!$P1079,10000)/100),IFERROR(VALUE(TRIM(LEFT(MID(Sync!$P1079,FIND("/",Sync!$P1079)+1,20),FIND("/",MID(Sync!$P1079,FIND("/",Sync!$P1079)+1,20))-1))),"")))</f>
        <v/>
      </c>
      <c r="AH1079">
        <f>IF(OR($AE1079="",$AF1079=""),"",IF(ISNUMBER(Sync!$P1079),MOD(Sync!$P1079,100),IFERROR(VALUE(TRIM(MID(MID(Sync!$P1079,FIND("/",Sync!$P1079)+1,20),FIND("/",MID(Sync!$P1079,FIND("/",Sync!$P1079)+1,20))+1,20))),"")))</f>
        <v/>
      </c>
      <c r="AI1079">
        <f>IF($AE1079="","",IF(OR($AF1079="",$AG1079="",$AH1079="",$AF1079&lt;1300,$AF1079&gt;1500,$AG1079&lt;1,$AG1079&gt;12,$AH1079&lt;1,$AH1079&gt;31),"نامعتبر",RIGHT("0000"&amp;$AF1079,4)&amp;"/"&amp;RIGHT("00"&amp;$AG1079,2)&amp;"/"&amp;RIGHT("00"&amp;$AH1079,2)))</f>
        <v/>
      </c>
      <c r="AJ1079">
        <f>IF($AE1079="","",IF(Sync!$Q1079="","0000",IF(AND(ISNUMBER(Sync!$Q1079),Sync!$Q1079&gt;=0,Sync!$Q1079&lt;1),RIGHT("00"&amp;HOUR(Sync!$Q1079),2)&amp;RIGHT("00"&amp;MINUTE(Sync!$Q1079),2),IFERROR(RIGHT("00"&amp;VALUE(LEFT(Sync!$Q1079,FIND(":",Sync!$Q1079)-1)),2)&amp;RIGHT("00"&amp;VALUE(MID(Sync!$Q1079,FIND(":",Sync!$Q1079)+1,2)),2),"0000"))))</f>
        <v/>
      </c>
      <c r="AK1079">
        <f>IF(OR($AE1079="",$AI1079="",$AI1079="نامعتبر"),"",LEFT($AI1079,4)&amp;MID($AI1079,6,2)&amp;RIGHT($AI1079,2)&amp;$AJ1079&amp;"|"&amp;"3"&amp;RIGHT("00000"&amp;1074,5))</f>
        <v/>
      </c>
      <c r="AL1079">
        <f>IF($AK1079="","",COUNTIFS(LdAParty,$AE1079,LdAType,1,LdAKey,"&lt;"&amp;$AK1079)+COUNTIFS(LdBMember,$AE1079,LdBKey,"&lt;"&amp;$AK1079)+COUNTIFS(LdCParty,$AE1079,LdCKey,"&lt;"&amp;$AK1079)+1)</f>
        <v/>
      </c>
      <c r="AM1079">
        <f>IF($AL1079="","",$AE1079&amp;"|"&amp;RIGHT("000000"&amp;$AL1079,6))</f>
        <v/>
      </c>
      <c r="AN1079">
        <f>IF($AE1079="","",IF(Sync!$W1079="",0,Sync!$W1079))</f>
        <v/>
      </c>
      <c r="AO1079">
        <f>IF($AE1079="","",IF(Sync!$X1079="",0,Sync!$X1079))</f>
        <v/>
      </c>
      <c r="AP1079">
        <f>IF($AE1079="","",Sync!$R1079)</f>
        <v/>
      </c>
      <c r="AQ1079">
        <f>IF($AE1079="","",Sync!$Y1079)</f>
        <v/>
      </c>
    </row>
    <row r="1080">
      <c r="A1080">
        <f>IF(OR(Wages!$B1083="",Wages!$E1083=""),"",Wages!$E1083)</f>
        <v/>
      </c>
      <c r="B1080">
        <f>IF($A1080="","",IF(Wages!$C1083="دستمزد گروهی",2,1))</f>
        <v/>
      </c>
      <c r="C1080">
        <f>IF($A1080="","",IF(ISNUMBER(Wages!$B1083),IF(AND(Wages!$B1083&gt;=10000101,Wages!$B1083&lt;=99991231),INT(Wages!$B1083/10000),""),IFERROR(VALUE(TRIM(LEFT(Wages!$B1083,FIND("/",Wages!$B1083)-1))),"")))</f>
        <v/>
      </c>
      <c r="D1080">
        <f>IF(OR($A1080="",$C1080=""),"",IF(ISNUMBER(Wages!$B1083),INT(MOD(Wages!$B1083,10000)/100),IFERROR(VALUE(TRIM(LEFT(MID(Wages!$B1083,FIND("/",Wages!$B1083)+1,20),FIND("/",MID(Wages!$B1083,FIND("/",Wages!$B1083)+1,20))-1))),"")))</f>
        <v/>
      </c>
      <c r="E1080">
        <f>IF(OR($A1080="",$C1080=""),"",IF(ISNUMBER(Wages!$B1083),MOD(Wages!$B1083,100),IFERROR(VALUE(TRIM(MID(MID(Wages!$B1083,FIND("/",Wages!$B1083)+1,20),FIND("/",MID(Wages!$B1083,FIND("/",Wages!$B1083)+1,20))+1,20))),"")))</f>
        <v/>
      </c>
      <c r="F1080">
        <f>IF($A1080="","",IF(OR($C1080="",$D1080="",$E1080="",$C1080&lt;1300,$C1080&gt;1500,$D1080&lt;1,$D1080&gt;12,$E1080&lt;1,$E1080&gt;31),"نامعتبر",RIGHT("0000"&amp;$C1080,4)&amp;"/"&amp;RIGHT("00"&amp;$D1080,2)&amp;"/"&amp;RIGHT("00"&amp;$E1080,2)))</f>
        <v/>
      </c>
      <c r="G1080">
        <f>IF(OR($A1080="",$F1080="",$F1080="نامعتبر"),"",LEFT($F1080,4)&amp;MID($F1080,6,2)&amp;RIGHT($F1080,2)&amp;"0000"&amp;"|"&amp;"1"&amp;RIGHT("00000"&amp;1075,5))</f>
        <v/>
      </c>
      <c r="H1080">
        <f>IF(OR($B1080&lt;&gt;1,$G1080=""),"",COUNTIFS(LdAParty,$A1080,LdAType,1,LdAKey,"&lt;"&amp;$G1080)+COUNTIFS(LdBMember,$A1080,LdBKey,"&lt;"&amp;$G1080)+COUNTIFS(LdCParty,$A1080,LdCKey,"&lt;"&amp;$G1080)+1)</f>
        <v/>
      </c>
      <c r="I1080">
        <f>IF($H1080="","",$A1080&amp;"|"&amp;RIGHT("000000"&amp;$H1080,6))</f>
        <v/>
      </c>
      <c r="J1080">
        <f>IF(OR($B1080&lt;&gt;2,$G1080=""),"",COUNTIFS(LdAParty,$A1080,LdAType,2,LdAKey,"&lt;"&amp;$G1080)+1)</f>
        <v/>
      </c>
      <c r="K1080">
        <f>IF($J1080="","",$A1080&amp;"|"&amp;RIGHT("000000"&amp;$J1080,6))</f>
        <v/>
      </c>
      <c r="L1080">
        <f>IF($A1080="","",IF(Wages!$G1083="",0,Wages!$G1083))</f>
        <v/>
      </c>
      <c r="M1080">
        <f>IF($A1080="","",Wages!$J1083)</f>
        <v/>
      </c>
      <c r="N1080">
        <f>IF($A1080="","",Wages!$D1083)</f>
        <v/>
      </c>
      <c r="P1080">
        <f>IF(OR(Shares!$B1083="",Shares!$C1083=""),"",Shares!$C1083)</f>
        <v/>
      </c>
      <c r="Q1080">
        <f>IF($P1080="","",Shares!$B1083)</f>
        <v/>
      </c>
      <c r="R1080">
        <f>IF($P1080="","",IFERROR(INDEX(WageParty,MATCH($Q1080,WageIds,0)),""))</f>
        <v/>
      </c>
      <c r="S1080">
        <f>IF($P1080="","",IFERROR(INDEX($F$6:$F$2005,MATCH($Q1080,WageIds,0)),""))</f>
        <v/>
      </c>
      <c r="T1080">
        <f>IF(OR($P1080="",$S1080="",$S1080="نامعتبر"),"",LEFT($S1080,4)&amp;MID($S1080,6,2)&amp;RIGHT($S1080,2)&amp;"0000"&amp;"|"&amp;"2"&amp;RIGHT("00000"&amp;1075,5))</f>
        <v/>
      </c>
      <c r="U1080">
        <f>IF($T1080="","",COUNTIFS(LdAParty,$P1080,LdAType,1,LdAKey,"&lt;"&amp;$T1080)+COUNTIFS(LdBMember,$P1080,LdBKey,"&lt;"&amp;$T1080)+COUNTIFS(LdCParty,$P1080,LdCKey,"&lt;"&amp;$T1080)+1)</f>
        <v/>
      </c>
      <c r="V1080">
        <f>IF($U1080="","",$P1080&amp;"|"&amp;RIGHT("000000"&amp;$U1080,6))</f>
        <v/>
      </c>
      <c r="W1080">
        <f>IF($T1080="","",COUNTIFS(LdBGroup,$R1080,LdBKey,"&lt;"&amp;$T1080)+1)</f>
        <v/>
      </c>
      <c r="X1080">
        <f>IF($W1080="","",$R1080&amp;"|"&amp;RIGHT("000000"&amp;$W1080,6))</f>
        <v/>
      </c>
      <c r="Y1080">
        <f>IF($P1080="","",IF(Shares!$E1083="",0,Shares!$E1083))</f>
        <v/>
      </c>
      <c r="Z1080">
        <f>IF($P1080="","",Shares!$H1083)</f>
        <v/>
      </c>
      <c r="AE1080">
        <f>IF(OR(Sync!$S1080="",Sync!$P1080=""),"",Sync!$S1080)</f>
        <v/>
      </c>
      <c r="AF1080">
        <f>IF($AE1080="","",IF(ISNUMBER(Sync!$P1080),IF(AND(Sync!$P1080&gt;=10000101,Sync!$P1080&lt;=99991231),INT(Sync!$P1080/10000),""),IFERROR(VALUE(TRIM(LEFT(Sync!$P1080,FIND("/",Sync!$P1080)-1))),"")))</f>
        <v/>
      </c>
      <c r="AG1080">
        <f>IF(OR($AE1080="",$AF1080=""),"",IF(ISNUMBER(Sync!$P1080),INT(MOD(Sync!$P1080,10000)/100),IFERROR(VALUE(TRIM(LEFT(MID(Sync!$P1080,FIND("/",Sync!$P1080)+1,20),FIND("/",MID(Sync!$P1080,FIND("/",Sync!$P1080)+1,20))-1))),"")))</f>
        <v/>
      </c>
      <c r="AH1080">
        <f>IF(OR($AE1080="",$AF1080=""),"",IF(ISNUMBER(Sync!$P1080),MOD(Sync!$P1080,100),IFERROR(VALUE(TRIM(MID(MID(Sync!$P1080,FIND("/",Sync!$P1080)+1,20),FIND("/",MID(Sync!$P1080,FIND("/",Sync!$P1080)+1,20))+1,20))),"")))</f>
        <v/>
      </c>
      <c r="AI1080">
        <f>IF($AE1080="","",IF(OR($AF1080="",$AG1080="",$AH1080="",$AF1080&lt;1300,$AF1080&gt;1500,$AG1080&lt;1,$AG1080&gt;12,$AH1080&lt;1,$AH1080&gt;31),"نامعتبر",RIGHT("0000"&amp;$AF1080,4)&amp;"/"&amp;RIGHT("00"&amp;$AG1080,2)&amp;"/"&amp;RIGHT("00"&amp;$AH1080,2)))</f>
        <v/>
      </c>
      <c r="AJ1080">
        <f>IF($AE1080="","",IF(Sync!$Q1080="","0000",IF(AND(ISNUMBER(Sync!$Q1080),Sync!$Q1080&gt;=0,Sync!$Q1080&lt;1),RIGHT("00"&amp;HOUR(Sync!$Q1080),2)&amp;RIGHT("00"&amp;MINUTE(Sync!$Q1080),2),IFERROR(RIGHT("00"&amp;VALUE(LEFT(Sync!$Q1080,FIND(":",Sync!$Q1080)-1)),2)&amp;RIGHT("00"&amp;VALUE(MID(Sync!$Q1080,FIND(":",Sync!$Q1080)+1,2)),2),"0000"))))</f>
        <v/>
      </c>
      <c r="AK1080">
        <f>IF(OR($AE1080="",$AI1080="",$AI1080="نامعتبر"),"",LEFT($AI1080,4)&amp;MID($AI1080,6,2)&amp;RIGHT($AI1080,2)&amp;$AJ1080&amp;"|"&amp;"3"&amp;RIGHT("00000"&amp;1075,5))</f>
        <v/>
      </c>
      <c r="AL1080">
        <f>IF($AK1080="","",COUNTIFS(LdAParty,$AE1080,LdAType,1,LdAKey,"&lt;"&amp;$AK1080)+COUNTIFS(LdBMember,$AE1080,LdBKey,"&lt;"&amp;$AK1080)+COUNTIFS(LdCParty,$AE1080,LdCKey,"&lt;"&amp;$AK1080)+1)</f>
        <v/>
      </c>
      <c r="AM1080">
        <f>IF($AL1080="","",$AE1080&amp;"|"&amp;RIGHT("000000"&amp;$AL1080,6))</f>
        <v/>
      </c>
      <c r="AN1080">
        <f>IF($AE1080="","",IF(Sync!$W1080="",0,Sync!$W1080))</f>
        <v/>
      </c>
      <c r="AO1080">
        <f>IF($AE1080="","",IF(Sync!$X1080="",0,Sync!$X1080))</f>
        <v/>
      </c>
      <c r="AP1080">
        <f>IF($AE1080="","",Sync!$R1080)</f>
        <v/>
      </c>
      <c r="AQ1080">
        <f>IF($AE1080="","",Sync!$Y1080)</f>
        <v/>
      </c>
    </row>
    <row r="1081">
      <c r="A1081">
        <f>IF(OR(Wages!$B1084="",Wages!$E1084=""),"",Wages!$E1084)</f>
        <v/>
      </c>
      <c r="B1081">
        <f>IF($A1081="","",IF(Wages!$C1084="دستمزد گروهی",2,1))</f>
        <v/>
      </c>
      <c r="C1081">
        <f>IF($A1081="","",IF(ISNUMBER(Wages!$B1084),IF(AND(Wages!$B1084&gt;=10000101,Wages!$B1084&lt;=99991231),INT(Wages!$B1084/10000),""),IFERROR(VALUE(TRIM(LEFT(Wages!$B1084,FIND("/",Wages!$B1084)-1))),"")))</f>
        <v/>
      </c>
      <c r="D1081">
        <f>IF(OR($A1081="",$C1081=""),"",IF(ISNUMBER(Wages!$B1084),INT(MOD(Wages!$B1084,10000)/100),IFERROR(VALUE(TRIM(LEFT(MID(Wages!$B1084,FIND("/",Wages!$B1084)+1,20),FIND("/",MID(Wages!$B1084,FIND("/",Wages!$B1084)+1,20))-1))),"")))</f>
        <v/>
      </c>
      <c r="E1081">
        <f>IF(OR($A1081="",$C1081=""),"",IF(ISNUMBER(Wages!$B1084),MOD(Wages!$B1084,100),IFERROR(VALUE(TRIM(MID(MID(Wages!$B1084,FIND("/",Wages!$B1084)+1,20),FIND("/",MID(Wages!$B1084,FIND("/",Wages!$B1084)+1,20))+1,20))),"")))</f>
        <v/>
      </c>
      <c r="F1081">
        <f>IF($A1081="","",IF(OR($C1081="",$D1081="",$E1081="",$C1081&lt;1300,$C1081&gt;1500,$D1081&lt;1,$D1081&gt;12,$E1081&lt;1,$E1081&gt;31),"نامعتبر",RIGHT("0000"&amp;$C1081,4)&amp;"/"&amp;RIGHT("00"&amp;$D1081,2)&amp;"/"&amp;RIGHT("00"&amp;$E1081,2)))</f>
        <v/>
      </c>
      <c r="G1081">
        <f>IF(OR($A1081="",$F1081="",$F1081="نامعتبر"),"",LEFT($F1081,4)&amp;MID($F1081,6,2)&amp;RIGHT($F1081,2)&amp;"0000"&amp;"|"&amp;"1"&amp;RIGHT("00000"&amp;1076,5))</f>
        <v/>
      </c>
      <c r="H1081">
        <f>IF(OR($B1081&lt;&gt;1,$G1081=""),"",COUNTIFS(LdAParty,$A1081,LdAType,1,LdAKey,"&lt;"&amp;$G1081)+COUNTIFS(LdBMember,$A1081,LdBKey,"&lt;"&amp;$G1081)+COUNTIFS(LdCParty,$A1081,LdCKey,"&lt;"&amp;$G1081)+1)</f>
        <v/>
      </c>
      <c r="I1081">
        <f>IF($H1081="","",$A1081&amp;"|"&amp;RIGHT("000000"&amp;$H1081,6))</f>
        <v/>
      </c>
      <c r="J1081">
        <f>IF(OR($B1081&lt;&gt;2,$G1081=""),"",COUNTIFS(LdAParty,$A1081,LdAType,2,LdAKey,"&lt;"&amp;$G1081)+1)</f>
        <v/>
      </c>
      <c r="K1081">
        <f>IF($J1081="","",$A1081&amp;"|"&amp;RIGHT("000000"&amp;$J1081,6))</f>
        <v/>
      </c>
      <c r="L1081">
        <f>IF($A1081="","",IF(Wages!$G1084="",0,Wages!$G1084))</f>
        <v/>
      </c>
      <c r="M1081">
        <f>IF($A1081="","",Wages!$J1084)</f>
        <v/>
      </c>
      <c r="N1081">
        <f>IF($A1081="","",Wages!$D1084)</f>
        <v/>
      </c>
      <c r="P1081">
        <f>IF(OR(Shares!$B1084="",Shares!$C1084=""),"",Shares!$C1084)</f>
        <v/>
      </c>
      <c r="Q1081">
        <f>IF($P1081="","",Shares!$B1084)</f>
        <v/>
      </c>
      <c r="R1081">
        <f>IF($P1081="","",IFERROR(INDEX(WageParty,MATCH($Q1081,WageIds,0)),""))</f>
        <v/>
      </c>
      <c r="S1081">
        <f>IF($P1081="","",IFERROR(INDEX($F$6:$F$2005,MATCH($Q1081,WageIds,0)),""))</f>
        <v/>
      </c>
      <c r="T1081">
        <f>IF(OR($P1081="",$S1081="",$S1081="نامعتبر"),"",LEFT($S1081,4)&amp;MID($S1081,6,2)&amp;RIGHT($S1081,2)&amp;"0000"&amp;"|"&amp;"2"&amp;RIGHT("00000"&amp;1076,5))</f>
        <v/>
      </c>
      <c r="U1081">
        <f>IF($T1081="","",COUNTIFS(LdAParty,$P1081,LdAType,1,LdAKey,"&lt;"&amp;$T1081)+COUNTIFS(LdBMember,$P1081,LdBKey,"&lt;"&amp;$T1081)+COUNTIFS(LdCParty,$P1081,LdCKey,"&lt;"&amp;$T1081)+1)</f>
        <v/>
      </c>
      <c r="V1081">
        <f>IF($U1081="","",$P1081&amp;"|"&amp;RIGHT("000000"&amp;$U1081,6))</f>
        <v/>
      </c>
      <c r="W1081">
        <f>IF($T1081="","",COUNTIFS(LdBGroup,$R1081,LdBKey,"&lt;"&amp;$T1081)+1)</f>
        <v/>
      </c>
      <c r="X1081">
        <f>IF($W1081="","",$R1081&amp;"|"&amp;RIGHT("000000"&amp;$W1081,6))</f>
        <v/>
      </c>
      <c r="Y1081">
        <f>IF($P1081="","",IF(Shares!$E1084="",0,Shares!$E1084))</f>
        <v/>
      </c>
      <c r="Z1081">
        <f>IF($P1081="","",Shares!$H1084)</f>
        <v/>
      </c>
      <c r="AE1081">
        <f>IF(OR(Sync!$S1081="",Sync!$P1081=""),"",Sync!$S1081)</f>
        <v/>
      </c>
      <c r="AF1081">
        <f>IF($AE1081="","",IF(ISNUMBER(Sync!$P1081),IF(AND(Sync!$P1081&gt;=10000101,Sync!$P1081&lt;=99991231),INT(Sync!$P1081/10000),""),IFERROR(VALUE(TRIM(LEFT(Sync!$P1081,FIND("/",Sync!$P1081)-1))),"")))</f>
        <v/>
      </c>
      <c r="AG1081">
        <f>IF(OR($AE1081="",$AF1081=""),"",IF(ISNUMBER(Sync!$P1081),INT(MOD(Sync!$P1081,10000)/100),IFERROR(VALUE(TRIM(LEFT(MID(Sync!$P1081,FIND("/",Sync!$P1081)+1,20),FIND("/",MID(Sync!$P1081,FIND("/",Sync!$P1081)+1,20))-1))),"")))</f>
        <v/>
      </c>
      <c r="AH1081">
        <f>IF(OR($AE1081="",$AF1081=""),"",IF(ISNUMBER(Sync!$P1081),MOD(Sync!$P1081,100),IFERROR(VALUE(TRIM(MID(MID(Sync!$P1081,FIND("/",Sync!$P1081)+1,20),FIND("/",MID(Sync!$P1081,FIND("/",Sync!$P1081)+1,20))+1,20))),"")))</f>
        <v/>
      </c>
      <c r="AI1081">
        <f>IF($AE1081="","",IF(OR($AF1081="",$AG1081="",$AH1081="",$AF1081&lt;1300,$AF1081&gt;1500,$AG1081&lt;1,$AG1081&gt;12,$AH1081&lt;1,$AH1081&gt;31),"نامعتبر",RIGHT("0000"&amp;$AF1081,4)&amp;"/"&amp;RIGHT("00"&amp;$AG1081,2)&amp;"/"&amp;RIGHT("00"&amp;$AH1081,2)))</f>
        <v/>
      </c>
      <c r="AJ1081">
        <f>IF($AE1081="","",IF(Sync!$Q1081="","0000",IF(AND(ISNUMBER(Sync!$Q1081),Sync!$Q1081&gt;=0,Sync!$Q1081&lt;1),RIGHT("00"&amp;HOUR(Sync!$Q1081),2)&amp;RIGHT("00"&amp;MINUTE(Sync!$Q1081),2),IFERROR(RIGHT("00"&amp;VALUE(LEFT(Sync!$Q1081,FIND(":",Sync!$Q1081)-1)),2)&amp;RIGHT("00"&amp;VALUE(MID(Sync!$Q1081,FIND(":",Sync!$Q1081)+1,2)),2),"0000"))))</f>
        <v/>
      </c>
      <c r="AK1081">
        <f>IF(OR($AE1081="",$AI1081="",$AI1081="نامعتبر"),"",LEFT($AI1081,4)&amp;MID($AI1081,6,2)&amp;RIGHT($AI1081,2)&amp;$AJ1081&amp;"|"&amp;"3"&amp;RIGHT("00000"&amp;1076,5))</f>
        <v/>
      </c>
      <c r="AL1081">
        <f>IF($AK1081="","",COUNTIFS(LdAParty,$AE1081,LdAType,1,LdAKey,"&lt;"&amp;$AK1081)+COUNTIFS(LdBMember,$AE1081,LdBKey,"&lt;"&amp;$AK1081)+COUNTIFS(LdCParty,$AE1081,LdCKey,"&lt;"&amp;$AK1081)+1)</f>
        <v/>
      </c>
      <c r="AM1081">
        <f>IF($AL1081="","",$AE1081&amp;"|"&amp;RIGHT("000000"&amp;$AL1081,6))</f>
        <v/>
      </c>
      <c r="AN1081">
        <f>IF($AE1081="","",IF(Sync!$W1081="",0,Sync!$W1081))</f>
        <v/>
      </c>
      <c r="AO1081">
        <f>IF($AE1081="","",IF(Sync!$X1081="",0,Sync!$X1081))</f>
        <v/>
      </c>
      <c r="AP1081">
        <f>IF($AE1081="","",Sync!$R1081)</f>
        <v/>
      </c>
      <c r="AQ1081">
        <f>IF($AE1081="","",Sync!$Y1081)</f>
        <v/>
      </c>
    </row>
    <row r="1082">
      <c r="A1082">
        <f>IF(OR(Wages!$B1085="",Wages!$E1085=""),"",Wages!$E1085)</f>
        <v/>
      </c>
      <c r="B1082">
        <f>IF($A1082="","",IF(Wages!$C1085="دستمزد گروهی",2,1))</f>
        <v/>
      </c>
      <c r="C1082">
        <f>IF($A1082="","",IF(ISNUMBER(Wages!$B1085),IF(AND(Wages!$B1085&gt;=10000101,Wages!$B1085&lt;=99991231),INT(Wages!$B1085/10000),""),IFERROR(VALUE(TRIM(LEFT(Wages!$B1085,FIND("/",Wages!$B1085)-1))),"")))</f>
        <v/>
      </c>
      <c r="D1082">
        <f>IF(OR($A1082="",$C1082=""),"",IF(ISNUMBER(Wages!$B1085),INT(MOD(Wages!$B1085,10000)/100),IFERROR(VALUE(TRIM(LEFT(MID(Wages!$B1085,FIND("/",Wages!$B1085)+1,20),FIND("/",MID(Wages!$B1085,FIND("/",Wages!$B1085)+1,20))-1))),"")))</f>
        <v/>
      </c>
      <c r="E1082">
        <f>IF(OR($A1082="",$C1082=""),"",IF(ISNUMBER(Wages!$B1085),MOD(Wages!$B1085,100),IFERROR(VALUE(TRIM(MID(MID(Wages!$B1085,FIND("/",Wages!$B1085)+1,20),FIND("/",MID(Wages!$B1085,FIND("/",Wages!$B1085)+1,20))+1,20))),"")))</f>
        <v/>
      </c>
      <c r="F1082">
        <f>IF($A1082="","",IF(OR($C1082="",$D1082="",$E1082="",$C1082&lt;1300,$C1082&gt;1500,$D1082&lt;1,$D1082&gt;12,$E1082&lt;1,$E1082&gt;31),"نامعتبر",RIGHT("0000"&amp;$C1082,4)&amp;"/"&amp;RIGHT("00"&amp;$D1082,2)&amp;"/"&amp;RIGHT("00"&amp;$E1082,2)))</f>
        <v/>
      </c>
      <c r="G1082">
        <f>IF(OR($A1082="",$F1082="",$F1082="نامعتبر"),"",LEFT($F1082,4)&amp;MID($F1082,6,2)&amp;RIGHT($F1082,2)&amp;"0000"&amp;"|"&amp;"1"&amp;RIGHT("00000"&amp;1077,5))</f>
        <v/>
      </c>
      <c r="H1082">
        <f>IF(OR($B1082&lt;&gt;1,$G1082=""),"",COUNTIFS(LdAParty,$A1082,LdAType,1,LdAKey,"&lt;"&amp;$G1082)+COUNTIFS(LdBMember,$A1082,LdBKey,"&lt;"&amp;$G1082)+COUNTIFS(LdCParty,$A1082,LdCKey,"&lt;"&amp;$G1082)+1)</f>
        <v/>
      </c>
      <c r="I1082">
        <f>IF($H1082="","",$A1082&amp;"|"&amp;RIGHT("000000"&amp;$H1082,6))</f>
        <v/>
      </c>
      <c r="J1082">
        <f>IF(OR($B1082&lt;&gt;2,$G1082=""),"",COUNTIFS(LdAParty,$A1082,LdAType,2,LdAKey,"&lt;"&amp;$G1082)+1)</f>
        <v/>
      </c>
      <c r="K1082">
        <f>IF($J1082="","",$A1082&amp;"|"&amp;RIGHT("000000"&amp;$J1082,6))</f>
        <v/>
      </c>
      <c r="L1082">
        <f>IF($A1082="","",IF(Wages!$G1085="",0,Wages!$G1085))</f>
        <v/>
      </c>
      <c r="M1082">
        <f>IF($A1082="","",Wages!$J1085)</f>
        <v/>
      </c>
      <c r="N1082">
        <f>IF($A1082="","",Wages!$D1085)</f>
        <v/>
      </c>
      <c r="P1082">
        <f>IF(OR(Shares!$B1085="",Shares!$C1085=""),"",Shares!$C1085)</f>
        <v/>
      </c>
      <c r="Q1082">
        <f>IF($P1082="","",Shares!$B1085)</f>
        <v/>
      </c>
      <c r="R1082">
        <f>IF($P1082="","",IFERROR(INDEX(WageParty,MATCH($Q1082,WageIds,0)),""))</f>
        <v/>
      </c>
      <c r="S1082">
        <f>IF($P1082="","",IFERROR(INDEX($F$6:$F$2005,MATCH($Q1082,WageIds,0)),""))</f>
        <v/>
      </c>
      <c r="T1082">
        <f>IF(OR($P1082="",$S1082="",$S1082="نامعتبر"),"",LEFT($S1082,4)&amp;MID($S1082,6,2)&amp;RIGHT($S1082,2)&amp;"0000"&amp;"|"&amp;"2"&amp;RIGHT("00000"&amp;1077,5))</f>
        <v/>
      </c>
      <c r="U1082">
        <f>IF($T1082="","",COUNTIFS(LdAParty,$P1082,LdAType,1,LdAKey,"&lt;"&amp;$T1082)+COUNTIFS(LdBMember,$P1082,LdBKey,"&lt;"&amp;$T1082)+COUNTIFS(LdCParty,$P1082,LdCKey,"&lt;"&amp;$T1082)+1)</f>
        <v/>
      </c>
      <c r="V1082">
        <f>IF($U1082="","",$P1082&amp;"|"&amp;RIGHT("000000"&amp;$U1082,6))</f>
        <v/>
      </c>
      <c r="W1082">
        <f>IF($T1082="","",COUNTIFS(LdBGroup,$R1082,LdBKey,"&lt;"&amp;$T1082)+1)</f>
        <v/>
      </c>
      <c r="X1082">
        <f>IF($W1082="","",$R1082&amp;"|"&amp;RIGHT("000000"&amp;$W1082,6))</f>
        <v/>
      </c>
      <c r="Y1082">
        <f>IF($P1082="","",IF(Shares!$E1085="",0,Shares!$E1085))</f>
        <v/>
      </c>
      <c r="Z1082">
        <f>IF($P1082="","",Shares!$H1085)</f>
        <v/>
      </c>
      <c r="AE1082">
        <f>IF(OR(Sync!$S1082="",Sync!$P1082=""),"",Sync!$S1082)</f>
        <v/>
      </c>
      <c r="AF1082">
        <f>IF($AE1082="","",IF(ISNUMBER(Sync!$P1082),IF(AND(Sync!$P1082&gt;=10000101,Sync!$P1082&lt;=99991231),INT(Sync!$P1082/10000),""),IFERROR(VALUE(TRIM(LEFT(Sync!$P1082,FIND("/",Sync!$P1082)-1))),"")))</f>
        <v/>
      </c>
      <c r="AG1082">
        <f>IF(OR($AE1082="",$AF1082=""),"",IF(ISNUMBER(Sync!$P1082),INT(MOD(Sync!$P1082,10000)/100),IFERROR(VALUE(TRIM(LEFT(MID(Sync!$P1082,FIND("/",Sync!$P1082)+1,20),FIND("/",MID(Sync!$P1082,FIND("/",Sync!$P1082)+1,20))-1))),"")))</f>
        <v/>
      </c>
      <c r="AH1082">
        <f>IF(OR($AE1082="",$AF1082=""),"",IF(ISNUMBER(Sync!$P1082),MOD(Sync!$P1082,100),IFERROR(VALUE(TRIM(MID(MID(Sync!$P1082,FIND("/",Sync!$P1082)+1,20),FIND("/",MID(Sync!$P1082,FIND("/",Sync!$P1082)+1,20))+1,20))),"")))</f>
        <v/>
      </c>
      <c r="AI1082">
        <f>IF($AE1082="","",IF(OR($AF1082="",$AG1082="",$AH1082="",$AF1082&lt;1300,$AF1082&gt;1500,$AG1082&lt;1,$AG1082&gt;12,$AH1082&lt;1,$AH1082&gt;31),"نامعتبر",RIGHT("0000"&amp;$AF1082,4)&amp;"/"&amp;RIGHT("00"&amp;$AG1082,2)&amp;"/"&amp;RIGHT("00"&amp;$AH1082,2)))</f>
        <v/>
      </c>
      <c r="AJ1082">
        <f>IF($AE1082="","",IF(Sync!$Q1082="","0000",IF(AND(ISNUMBER(Sync!$Q1082),Sync!$Q1082&gt;=0,Sync!$Q1082&lt;1),RIGHT("00"&amp;HOUR(Sync!$Q1082),2)&amp;RIGHT("00"&amp;MINUTE(Sync!$Q1082),2),IFERROR(RIGHT("00"&amp;VALUE(LEFT(Sync!$Q1082,FIND(":",Sync!$Q1082)-1)),2)&amp;RIGHT("00"&amp;VALUE(MID(Sync!$Q1082,FIND(":",Sync!$Q1082)+1,2)),2),"0000"))))</f>
        <v/>
      </c>
      <c r="AK1082">
        <f>IF(OR($AE1082="",$AI1082="",$AI1082="نامعتبر"),"",LEFT($AI1082,4)&amp;MID($AI1082,6,2)&amp;RIGHT($AI1082,2)&amp;$AJ1082&amp;"|"&amp;"3"&amp;RIGHT("00000"&amp;1077,5))</f>
        <v/>
      </c>
      <c r="AL1082">
        <f>IF($AK1082="","",COUNTIFS(LdAParty,$AE1082,LdAType,1,LdAKey,"&lt;"&amp;$AK1082)+COUNTIFS(LdBMember,$AE1082,LdBKey,"&lt;"&amp;$AK1082)+COUNTIFS(LdCParty,$AE1082,LdCKey,"&lt;"&amp;$AK1082)+1)</f>
        <v/>
      </c>
      <c r="AM1082">
        <f>IF($AL1082="","",$AE1082&amp;"|"&amp;RIGHT("000000"&amp;$AL1082,6))</f>
        <v/>
      </c>
      <c r="AN1082">
        <f>IF($AE1082="","",IF(Sync!$W1082="",0,Sync!$W1082))</f>
        <v/>
      </c>
      <c r="AO1082">
        <f>IF($AE1082="","",IF(Sync!$X1082="",0,Sync!$X1082))</f>
        <v/>
      </c>
      <c r="AP1082">
        <f>IF($AE1082="","",Sync!$R1082)</f>
        <v/>
      </c>
      <c r="AQ1082">
        <f>IF($AE1082="","",Sync!$Y1082)</f>
        <v/>
      </c>
    </row>
    <row r="1083">
      <c r="A1083">
        <f>IF(OR(Wages!$B1086="",Wages!$E1086=""),"",Wages!$E1086)</f>
        <v/>
      </c>
      <c r="B1083">
        <f>IF($A1083="","",IF(Wages!$C1086="دستمزد گروهی",2,1))</f>
        <v/>
      </c>
      <c r="C1083">
        <f>IF($A1083="","",IF(ISNUMBER(Wages!$B1086),IF(AND(Wages!$B1086&gt;=10000101,Wages!$B1086&lt;=99991231),INT(Wages!$B1086/10000),""),IFERROR(VALUE(TRIM(LEFT(Wages!$B1086,FIND("/",Wages!$B1086)-1))),"")))</f>
        <v/>
      </c>
      <c r="D1083">
        <f>IF(OR($A1083="",$C1083=""),"",IF(ISNUMBER(Wages!$B1086),INT(MOD(Wages!$B1086,10000)/100),IFERROR(VALUE(TRIM(LEFT(MID(Wages!$B1086,FIND("/",Wages!$B1086)+1,20),FIND("/",MID(Wages!$B1086,FIND("/",Wages!$B1086)+1,20))-1))),"")))</f>
        <v/>
      </c>
      <c r="E1083">
        <f>IF(OR($A1083="",$C1083=""),"",IF(ISNUMBER(Wages!$B1086),MOD(Wages!$B1086,100),IFERROR(VALUE(TRIM(MID(MID(Wages!$B1086,FIND("/",Wages!$B1086)+1,20),FIND("/",MID(Wages!$B1086,FIND("/",Wages!$B1086)+1,20))+1,20))),"")))</f>
        <v/>
      </c>
      <c r="F1083">
        <f>IF($A1083="","",IF(OR($C1083="",$D1083="",$E1083="",$C1083&lt;1300,$C1083&gt;1500,$D1083&lt;1,$D1083&gt;12,$E1083&lt;1,$E1083&gt;31),"نامعتبر",RIGHT("0000"&amp;$C1083,4)&amp;"/"&amp;RIGHT("00"&amp;$D1083,2)&amp;"/"&amp;RIGHT("00"&amp;$E1083,2)))</f>
        <v/>
      </c>
      <c r="G1083">
        <f>IF(OR($A1083="",$F1083="",$F1083="نامعتبر"),"",LEFT($F1083,4)&amp;MID($F1083,6,2)&amp;RIGHT($F1083,2)&amp;"0000"&amp;"|"&amp;"1"&amp;RIGHT("00000"&amp;1078,5))</f>
        <v/>
      </c>
      <c r="H1083">
        <f>IF(OR($B1083&lt;&gt;1,$G1083=""),"",COUNTIFS(LdAParty,$A1083,LdAType,1,LdAKey,"&lt;"&amp;$G1083)+COUNTIFS(LdBMember,$A1083,LdBKey,"&lt;"&amp;$G1083)+COUNTIFS(LdCParty,$A1083,LdCKey,"&lt;"&amp;$G1083)+1)</f>
        <v/>
      </c>
      <c r="I1083">
        <f>IF($H1083="","",$A1083&amp;"|"&amp;RIGHT("000000"&amp;$H1083,6))</f>
        <v/>
      </c>
      <c r="J1083">
        <f>IF(OR($B1083&lt;&gt;2,$G1083=""),"",COUNTIFS(LdAParty,$A1083,LdAType,2,LdAKey,"&lt;"&amp;$G1083)+1)</f>
        <v/>
      </c>
      <c r="K1083">
        <f>IF($J1083="","",$A1083&amp;"|"&amp;RIGHT("000000"&amp;$J1083,6))</f>
        <v/>
      </c>
      <c r="L1083">
        <f>IF($A1083="","",IF(Wages!$G1086="",0,Wages!$G1086))</f>
        <v/>
      </c>
      <c r="M1083">
        <f>IF($A1083="","",Wages!$J1086)</f>
        <v/>
      </c>
      <c r="N1083">
        <f>IF($A1083="","",Wages!$D1086)</f>
        <v/>
      </c>
      <c r="P1083">
        <f>IF(OR(Shares!$B1086="",Shares!$C1086=""),"",Shares!$C1086)</f>
        <v/>
      </c>
      <c r="Q1083">
        <f>IF($P1083="","",Shares!$B1086)</f>
        <v/>
      </c>
      <c r="R1083">
        <f>IF($P1083="","",IFERROR(INDEX(WageParty,MATCH($Q1083,WageIds,0)),""))</f>
        <v/>
      </c>
      <c r="S1083">
        <f>IF($P1083="","",IFERROR(INDEX($F$6:$F$2005,MATCH($Q1083,WageIds,0)),""))</f>
        <v/>
      </c>
      <c r="T1083">
        <f>IF(OR($P1083="",$S1083="",$S1083="نامعتبر"),"",LEFT($S1083,4)&amp;MID($S1083,6,2)&amp;RIGHT($S1083,2)&amp;"0000"&amp;"|"&amp;"2"&amp;RIGHT("00000"&amp;1078,5))</f>
        <v/>
      </c>
      <c r="U1083">
        <f>IF($T1083="","",COUNTIFS(LdAParty,$P1083,LdAType,1,LdAKey,"&lt;"&amp;$T1083)+COUNTIFS(LdBMember,$P1083,LdBKey,"&lt;"&amp;$T1083)+COUNTIFS(LdCParty,$P1083,LdCKey,"&lt;"&amp;$T1083)+1)</f>
        <v/>
      </c>
      <c r="V1083">
        <f>IF($U1083="","",$P1083&amp;"|"&amp;RIGHT("000000"&amp;$U1083,6))</f>
        <v/>
      </c>
      <c r="W1083">
        <f>IF($T1083="","",COUNTIFS(LdBGroup,$R1083,LdBKey,"&lt;"&amp;$T1083)+1)</f>
        <v/>
      </c>
      <c r="X1083">
        <f>IF($W1083="","",$R1083&amp;"|"&amp;RIGHT("000000"&amp;$W1083,6))</f>
        <v/>
      </c>
      <c r="Y1083">
        <f>IF($P1083="","",IF(Shares!$E1086="",0,Shares!$E1086))</f>
        <v/>
      </c>
      <c r="Z1083">
        <f>IF($P1083="","",Shares!$H1086)</f>
        <v/>
      </c>
      <c r="AE1083">
        <f>IF(OR(Sync!$S1083="",Sync!$P1083=""),"",Sync!$S1083)</f>
        <v/>
      </c>
      <c r="AF1083">
        <f>IF($AE1083="","",IF(ISNUMBER(Sync!$P1083),IF(AND(Sync!$P1083&gt;=10000101,Sync!$P1083&lt;=99991231),INT(Sync!$P1083/10000),""),IFERROR(VALUE(TRIM(LEFT(Sync!$P1083,FIND("/",Sync!$P1083)-1))),"")))</f>
        <v/>
      </c>
      <c r="AG1083">
        <f>IF(OR($AE1083="",$AF1083=""),"",IF(ISNUMBER(Sync!$P1083),INT(MOD(Sync!$P1083,10000)/100),IFERROR(VALUE(TRIM(LEFT(MID(Sync!$P1083,FIND("/",Sync!$P1083)+1,20),FIND("/",MID(Sync!$P1083,FIND("/",Sync!$P1083)+1,20))-1))),"")))</f>
        <v/>
      </c>
      <c r="AH1083">
        <f>IF(OR($AE1083="",$AF1083=""),"",IF(ISNUMBER(Sync!$P1083),MOD(Sync!$P1083,100),IFERROR(VALUE(TRIM(MID(MID(Sync!$P1083,FIND("/",Sync!$P1083)+1,20),FIND("/",MID(Sync!$P1083,FIND("/",Sync!$P1083)+1,20))+1,20))),"")))</f>
        <v/>
      </c>
      <c r="AI1083">
        <f>IF($AE1083="","",IF(OR($AF1083="",$AG1083="",$AH1083="",$AF1083&lt;1300,$AF1083&gt;1500,$AG1083&lt;1,$AG1083&gt;12,$AH1083&lt;1,$AH1083&gt;31),"نامعتبر",RIGHT("0000"&amp;$AF1083,4)&amp;"/"&amp;RIGHT("00"&amp;$AG1083,2)&amp;"/"&amp;RIGHT("00"&amp;$AH1083,2)))</f>
        <v/>
      </c>
      <c r="AJ1083">
        <f>IF($AE1083="","",IF(Sync!$Q1083="","0000",IF(AND(ISNUMBER(Sync!$Q1083),Sync!$Q1083&gt;=0,Sync!$Q1083&lt;1),RIGHT("00"&amp;HOUR(Sync!$Q1083),2)&amp;RIGHT("00"&amp;MINUTE(Sync!$Q1083),2),IFERROR(RIGHT("00"&amp;VALUE(LEFT(Sync!$Q1083,FIND(":",Sync!$Q1083)-1)),2)&amp;RIGHT("00"&amp;VALUE(MID(Sync!$Q1083,FIND(":",Sync!$Q1083)+1,2)),2),"0000"))))</f>
        <v/>
      </c>
      <c r="AK1083">
        <f>IF(OR($AE1083="",$AI1083="",$AI1083="نامعتبر"),"",LEFT($AI1083,4)&amp;MID($AI1083,6,2)&amp;RIGHT($AI1083,2)&amp;$AJ1083&amp;"|"&amp;"3"&amp;RIGHT("00000"&amp;1078,5))</f>
        <v/>
      </c>
      <c r="AL1083">
        <f>IF($AK1083="","",COUNTIFS(LdAParty,$AE1083,LdAType,1,LdAKey,"&lt;"&amp;$AK1083)+COUNTIFS(LdBMember,$AE1083,LdBKey,"&lt;"&amp;$AK1083)+COUNTIFS(LdCParty,$AE1083,LdCKey,"&lt;"&amp;$AK1083)+1)</f>
        <v/>
      </c>
      <c r="AM1083">
        <f>IF($AL1083="","",$AE1083&amp;"|"&amp;RIGHT("000000"&amp;$AL1083,6))</f>
        <v/>
      </c>
      <c r="AN1083">
        <f>IF($AE1083="","",IF(Sync!$W1083="",0,Sync!$W1083))</f>
        <v/>
      </c>
      <c r="AO1083">
        <f>IF($AE1083="","",IF(Sync!$X1083="",0,Sync!$X1083))</f>
        <v/>
      </c>
      <c r="AP1083">
        <f>IF($AE1083="","",Sync!$R1083)</f>
        <v/>
      </c>
      <c r="AQ1083">
        <f>IF($AE1083="","",Sync!$Y1083)</f>
        <v/>
      </c>
    </row>
    <row r="1084">
      <c r="A1084">
        <f>IF(OR(Wages!$B1087="",Wages!$E1087=""),"",Wages!$E1087)</f>
        <v/>
      </c>
      <c r="B1084">
        <f>IF($A1084="","",IF(Wages!$C1087="دستمزد گروهی",2,1))</f>
        <v/>
      </c>
      <c r="C1084">
        <f>IF($A1084="","",IF(ISNUMBER(Wages!$B1087),IF(AND(Wages!$B1087&gt;=10000101,Wages!$B1087&lt;=99991231),INT(Wages!$B1087/10000),""),IFERROR(VALUE(TRIM(LEFT(Wages!$B1087,FIND("/",Wages!$B1087)-1))),"")))</f>
        <v/>
      </c>
      <c r="D1084">
        <f>IF(OR($A1084="",$C1084=""),"",IF(ISNUMBER(Wages!$B1087),INT(MOD(Wages!$B1087,10000)/100),IFERROR(VALUE(TRIM(LEFT(MID(Wages!$B1087,FIND("/",Wages!$B1087)+1,20),FIND("/",MID(Wages!$B1087,FIND("/",Wages!$B1087)+1,20))-1))),"")))</f>
        <v/>
      </c>
      <c r="E1084">
        <f>IF(OR($A1084="",$C1084=""),"",IF(ISNUMBER(Wages!$B1087),MOD(Wages!$B1087,100),IFERROR(VALUE(TRIM(MID(MID(Wages!$B1087,FIND("/",Wages!$B1087)+1,20),FIND("/",MID(Wages!$B1087,FIND("/",Wages!$B1087)+1,20))+1,20))),"")))</f>
        <v/>
      </c>
      <c r="F1084">
        <f>IF($A1084="","",IF(OR($C1084="",$D1084="",$E1084="",$C1084&lt;1300,$C1084&gt;1500,$D1084&lt;1,$D1084&gt;12,$E1084&lt;1,$E1084&gt;31),"نامعتبر",RIGHT("0000"&amp;$C1084,4)&amp;"/"&amp;RIGHT("00"&amp;$D1084,2)&amp;"/"&amp;RIGHT("00"&amp;$E1084,2)))</f>
        <v/>
      </c>
      <c r="G1084">
        <f>IF(OR($A1084="",$F1084="",$F1084="نامعتبر"),"",LEFT($F1084,4)&amp;MID($F1084,6,2)&amp;RIGHT($F1084,2)&amp;"0000"&amp;"|"&amp;"1"&amp;RIGHT("00000"&amp;1079,5))</f>
        <v/>
      </c>
      <c r="H1084">
        <f>IF(OR($B1084&lt;&gt;1,$G1084=""),"",COUNTIFS(LdAParty,$A1084,LdAType,1,LdAKey,"&lt;"&amp;$G1084)+COUNTIFS(LdBMember,$A1084,LdBKey,"&lt;"&amp;$G1084)+COUNTIFS(LdCParty,$A1084,LdCKey,"&lt;"&amp;$G1084)+1)</f>
        <v/>
      </c>
      <c r="I1084">
        <f>IF($H1084="","",$A1084&amp;"|"&amp;RIGHT("000000"&amp;$H1084,6))</f>
        <v/>
      </c>
      <c r="J1084">
        <f>IF(OR($B1084&lt;&gt;2,$G1084=""),"",COUNTIFS(LdAParty,$A1084,LdAType,2,LdAKey,"&lt;"&amp;$G1084)+1)</f>
        <v/>
      </c>
      <c r="K1084">
        <f>IF($J1084="","",$A1084&amp;"|"&amp;RIGHT("000000"&amp;$J1084,6))</f>
        <v/>
      </c>
      <c r="L1084">
        <f>IF($A1084="","",IF(Wages!$G1087="",0,Wages!$G1087))</f>
        <v/>
      </c>
      <c r="M1084">
        <f>IF($A1084="","",Wages!$J1087)</f>
        <v/>
      </c>
      <c r="N1084">
        <f>IF($A1084="","",Wages!$D1087)</f>
        <v/>
      </c>
      <c r="P1084">
        <f>IF(OR(Shares!$B1087="",Shares!$C1087=""),"",Shares!$C1087)</f>
        <v/>
      </c>
      <c r="Q1084">
        <f>IF($P1084="","",Shares!$B1087)</f>
        <v/>
      </c>
      <c r="R1084">
        <f>IF($P1084="","",IFERROR(INDEX(WageParty,MATCH($Q1084,WageIds,0)),""))</f>
        <v/>
      </c>
      <c r="S1084">
        <f>IF($P1084="","",IFERROR(INDEX($F$6:$F$2005,MATCH($Q1084,WageIds,0)),""))</f>
        <v/>
      </c>
      <c r="T1084">
        <f>IF(OR($P1084="",$S1084="",$S1084="نامعتبر"),"",LEFT($S1084,4)&amp;MID($S1084,6,2)&amp;RIGHT($S1084,2)&amp;"0000"&amp;"|"&amp;"2"&amp;RIGHT("00000"&amp;1079,5))</f>
        <v/>
      </c>
      <c r="U1084">
        <f>IF($T1084="","",COUNTIFS(LdAParty,$P1084,LdAType,1,LdAKey,"&lt;"&amp;$T1084)+COUNTIFS(LdBMember,$P1084,LdBKey,"&lt;"&amp;$T1084)+COUNTIFS(LdCParty,$P1084,LdCKey,"&lt;"&amp;$T1084)+1)</f>
        <v/>
      </c>
      <c r="V1084">
        <f>IF($U1084="","",$P1084&amp;"|"&amp;RIGHT("000000"&amp;$U1084,6))</f>
        <v/>
      </c>
      <c r="W1084">
        <f>IF($T1084="","",COUNTIFS(LdBGroup,$R1084,LdBKey,"&lt;"&amp;$T1084)+1)</f>
        <v/>
      </c>
      <c r="X1084">
        <f>IF($W1084="","",$R1084&amp;"|"&amp;RIGHT("000000"&amp;$W1084,6))</f>
        <v/>
      </c>
      <c r="Y1084">
        <f>IF($P1084="","",IF(Shares!$E1087="",0,Shares!$E1087))</f>
        <v/>
      </c>
      <c r="Z1084">
        <f>IF($P1084="","",Shares!$H1087)</f>
        <v/>
      </c>
      <c r="AE1084">
        <f>IF(OR(Sync!$S1084="",Sync!$P1084=""),"",Sync!$S1084)</f>
        <v/>
      </c>
      <c r="AF1084">
        <f>IF($AE1084="","",IF(ISNUMBER(Sync!$P1084),IF(AND(Sync!$P1084&gt;=10000101,Sync!$P1084&lt;=99991231),INT(Sync!$P1084/10000),""),IFERROR(VALUE(TRIM(LEFT(Sync!$P1084,FIND("/",Sync!$P1084)-1))),"")))</f>
        <v/>
      </c>
      <c r="AG1084">
        <f>IF(OR($AE1084="",$AF1084=""),"",IF(ISNUMBER(Sync!$P1084),INT(MOD(Sync!$P1084,10000)/100),IFERROR(VALUE(TRIM(LEFT(MID(Sync!$P1084,FIND("/",Sync!$P1084)+1,20),FIND("/",MID(Sync!$P1084,FIND("/",Sync!$P1084)+1,20))-1))),"")))</f>
        <v/>
      </c>
      <c r="AH1084">
        <f>IF(OR($AE1084="",$AF1084=""),"",IF(ISNUMBER(Sync!$P1084),MOD(Sync!$P1084,100),IFERROR(VALUE(TRIM(MID(MID(Sync!$P1084,FIND("/",Sync!$P1084)+1,20),FIND("/",MID(Sync!$P1084,FIND("/",Sync!$P1084)+1,20))+1,20))),"")))</f>
        <v/>
      </c>
      <c r="AI1084">
        <f>IF($AE1084="","",IF(OR($AF1084="",$AG1084="",$AH1084="",$AF1084&lt;1300,$AF1084&gt;1500,$AG1084&lt;1,$AG1084&gt;12,$AH1084&lt;1,$AH1084&gt;31),"نامعتبر",RIGHT("0000"&amp;$AF1084,4)&amp;"/"&amp;RIGHT("00"&amp;$AG1084,2)&amp;"/"&amp;RIGHT("00"&amp;$AH1084,2)))</f>
        <v/>
      </c>
      <c r="AJ1084">
        <f>IF($AE1084="","",IF(Sync!$Q1084="","0000",IF(AND(ISNUMBER(Sync!$Q1084),Sync!$Q1084&gt;=0,Sync!$Q1084&lt;1),RIGHT("00"&amp;HOUR(Sync!$Q1084),2)&amp;RIGHT("00"&amp;MINUTE(Sync!$Q1084),2),IFERROR(RIGHT("00"&amp;VALUE(LEFT(Sync!$Q1084,FIND(":",Sync!$Q1084)-1)),2)&amp;RIGHT("00"&amp;VALUE(MID(Sync!$Q1084,FIND(":",Sync!$Q1084)+1,2)),2),"0000"))))</f>
        <v/>
      </c>
      <c r="AK1084">
        <f>IF(OR($AE1084="",$AI1084="",$AI1084="نامعتبر"),"",LEFT($AI1084,4)&amp;MID($AI1084,6,2)&amp;RIGHT($AI1084,2)&amp;$AJ1084&amp;"|"&amp;"3"&amp;RIGHT("00000"&amp;1079,5))</f>
        <v/>
      </c>
      <c r="AL1084">
        <f>IF($AK1084="","",COUNTIFS(LdAParty,$AE1084,LdAType,1,LdAKey,"&lt;"&amp;$AK1084)+COUNTIFS(LdBMember,$AE1084,LdBKey,"&lt;"&amp;$AK1084)+COUNTIFS(LdCParty,$AE1084,LdCKey,"&lt;"&amp;$AK1084)+1)</f>
        <v/>
      </c>
      <c r="AM1084">
        <f>IF($AL1084="","",$AE1084&amp;"|"&amp;RIGHT("000000"&amp;$AL1084,6))</f>
        <v/>
      </c>
      <c r="AN1084">
        <f>IF($AE1084="","",IF(Sync!$W1084="",0,Sync!$W1084))</f>
        <v/>
      </c>
      <c r="AO1084">
        <f>IF($AE1084="","",IF(Sync!$X1084="",0,Sync!$X1084))</f>
        <v/>
      </c>
      <c r="AP1084">
        <f>IF($AE1084="","",Sync!$R1084)</f>
        <v/>
      </c>
      <c r="AQ1084">
        <f>IF($AE1084="","",Sync!$Y1084)</f>
        <v/>
      </c>
    </row>
    <row r="1085">
      <c r="A1085">
        <f>IF(OR(Wages!$B1088="",Wages!$E1088=""),"",Wages!$E1088)</f>
        <v/>
      </c>
      <c r="B1085">
        <f>IF($A1085="","",IF(Wages!$C1088="دستمزد گروهی",2,1))</f>
        <v/>
      </c>
      <c r="C1085">
        <f>IF($A1085="","",IF(ISNUMBER(Wages!$B1088),IF(AND(Wages!$B1088&gt;=10000101,Wages!$B1088&lt;=99991231),INT(Wages!$B1088/10000),""),IFERROR(VALUE(TRIM(LEFT(Wages!$B1088,FIND("/",Wages!$B1088)-1))),"")))</f>
        <v/>
      </c>
      <c r="D1085">
        <f>IF(OR($A1085="",$C1085=""),"",IF(ISNUMBER(Wages!$B1088),INT(MOD(Wages!$B1088,10000)/100),IFERROR(VALUE(TRIM(LEFT(MID(Wages!$B1088,FIND("/",Wages!$B1088)+1,20),FIND("/",MID(Wages!$B1088,FIND("/",Wages!$B1088)+1,20))-1))),"")))</f>
        <v/>
      </c>
      <c r="E1085">
        <f>IF(OR($A1085="",$C1085=""),"",IF(ISNUMBER(Wages!$B1088),MOD(Wages!$B1088,100),IFERROR(VALUE(TRIM(MID(MID(Wages!$B1088,FIND("/",Wages!$B1088)+1,20),FIND("/",MID(Wages!$B1088,FIND("/",Wages!$B1088)+1,20))+1,20))),"")))</f>
        <v/>
      </c>
      <c r="F1085">
        <f>IF($A1085="","",IF(OR($C1085="",$D1085="",$E1085="",$C1085&lt;1300,$C1085&gt;1500,$D1085&lt;1,$D1085&gt;12,$E1085&lt;1,$E1085&gt;31),"نامعتبر",RIGHT("0000"&amp;$C1085,4)&amp;"/"&amp;RIGHT("00"&amp;$D1085,2)&amp;"/"&amp;RIGHT("00"&amp;$E1085,2)))</f>
        <v/>
      </c>
      <c r="G1085">
        <f>IF(OR($A1085="",$F1085="",$F1085="نامعتبر"),"",LEFT($F1085,4)&amp;MID($F1085,6,2)&amp;RIGHT($F1085,2)&amp;"0000"&amp;"|"&amp;"1"&amp;RIGHT("00000"&amp;1080,5))</f>
        <v/>
      </c>
      <c r="H1085">
        <f>IF(OR($B1085&lt;&gt;1,$G1085=""),"",COUNTIFS(LdAParty,$A1085,LdAType,1,LdAKey,"&lt;"&amp;$G1085)+COUNTIFS(LdBMember,$A1085,LdBKey,"&lt;"&amp;$G1085)+COUNTIFS(LdCParty,$A1085,LdCKey,"&lt;"&amp;$G1085)+1)</f>
        <v/>
      </c>
      <c r="I1085">
        <f>IF($H1085="","",$A1085&amp;"|"&amp;RIGHT("000000"&amp;$H1085,6))</f>
        <v/>
      </c>
      <c r="J1085">
        <f>IF(OR($B1085&lt;&gt;2,$G1085=""),"",COUNTIFS(LdAParty,$A1085,LdAType,2,LdAKey,"&lt;"&amp;$G1085)+1)</f>
        <v/>
      </c>
      <c r="K1085">
        <f>IF($J1085="","",$A1085&amp;"|"&amp;RIGHT("000000"&amp;$J1085,6))</f>
        <v/>
      </c>
      <c r="L1085">
        <f>IF($A1085="","",IF(Wages!$G1088="",0,Wages!$G1088))</f>
        <v/>
      </c>
      <c r="M1085">
        <f>IF($A1085="","",Wages!$J1088)</f>
        <v/>
      </c>
      <c r="N1085">
        <f>IF($A1085="","",Wages!$D1088)</f>
        <v/>
      </c>
      <c r="P1085">
        <f>IF(OR(Shares!$B1088="",Shares!$C1088=""),"",Shares!$C1088)</f>
        <v/>
      </c>
      <c r="Q1085">
        <f>IF($P1085="","",Shares!$B1088)</f>
        <v/>
      </c>
      <c r="R1085">
        <f>IF($P1085="","",IFERROR(INDEX(WageParty,MATCH($Q1085,WageIds,0)),""))</f>
        <v/>
      </c>
      <c r="S1085">
        <f>IF($P1085="","",IFERROR(INDEX($F$6:$F$2005,MATCH($Q1085,WageIds,0)),""))</f>
        <v/>
      </c>
      <c r="T1085">
        <f>IF(OR($P1085="",$S1085="",$S1085="نامعتبر"),"",LEFT($S1085,4)&amp;MID($S1085,6,2)&amp;RIGHT($S1085,2)&amp;"0000"&amp;"|"&amp;"2"&amp;RIGHT("00000"&amp;1080,5))</f>
        <v/>
      </c>
      <c r="U1085">
        <f>IF($T1085="","",COUNTIFS(LdAParty,$P1085,LdAType,1,LdAKey,"&lt;"&amp;$T1085)+COUNTIFS(LdBMember,$P1085,LdBKey,"&lt;"&amp;$T1085)+COUNTIFS(LdCParty,$P1085,LdCKey,"&lt;"&amp;$T1085)+1)</f>
        <v/>
      </c>
      <c r="V1085">
        <f>IF($U1085="","",$P1085&amp;"|"&amp;RIGHT("000000"&amp;$U1085,6))</f>
        <v/>
      </c>
      <c r="W1085">
        <f>IF($T1085="","",COUNTIFS(LdBGroup,$R1085,LdBKey,"&lt;"&amp;$T1085)+1)</f>
        <v/>
      </c>
      <c r="X1085">
        <f>IF($W1085="","",$R1085&amp;"|"&amp;RIGHT("000000"&amp;$W1085,6))</f>
        <v/>
      </c>
      <c r="Y1085">
        <f>IF($P1085="","",IF(Shares!$E1088="",0,Shares!$E1088))</f>
        <v/>
      </c>
      <c r="Z1085">
        <f>IF($P1085="","",Shares!$H1088)</f>
        <v/>
      </c>
      <c r="AE1085">
        <f>IF(OR(Sync!$S1085="",Sync!$P1085=""),"",Sync!$S1085)</f>
        <v/>
      </c>
      <c r="AF1085">
        <f>IF($AE1085="","",IF(ISNUMBER(Sync!$P1085),IF(AND(Sync!$P1085&gt;=10000101,Sync!$P1085&lt;=99991231),INT(Sync!$P1085/10000),""),IFERROR(VALUE(TRIM(LEFT(Sync!$P1085,FIND("/",Sync!$P1085)-1))),"")))</f>
        <v/>
      </c>
      <c r="AG1085">
        <f>IF(OR($AE1085="",$AF1085=""),"",IF(ISNUMBER(Sync!$P1085),INT(MOD(Sync!$P1085,10000)/100),IFERROR(VALUE(TRIM(LEFT(MID(Sync!$P1085,FIND("/",Sync!$P1085)+1,20),FIND("/",MID(Sync!$P1085,FIND("/",Sync!$P1085)+1,20))-1))),"")))</f>
        <v/>
      </c>
      <c r="AH1085">
        <f>IF(OR($AE1085="",$AF1085=""),"",IF(ISNUMBER(Sync!$P1085),MOD(Sync!$P1085,100),IFERROR(VALUE(TRIM(MID(MID(Sync!$P1085,FIND("/",Sync!$P1085)+1,20),FIND("/",MID(Sync!$P1085,FIND("/",Sync!$P1085)+1,20))+1,20))),"")))</f>
        <v/>
      </c>
      <c r="AI1085">
        <f>IF($AE1085="","",IF(OR($AF1085="",$AG1085="",$AH1085="",$AF1085&lt;1300,$AF1085&gt;1500,$AG1085&lt;1,$AG1085&gt;12,$AH1085&lt;1,$AH1085&gt;31),"نامعتبر",RIGHT("0000"&amp;$AF1085,4)&amp;"/"&amp;RIGHT("00"&amp;$AG1085,2)&amp;"/"&amp;RIGHT("00"&amp;$AH1085,2)))</f>
        <v/>
      </c>
      <c r="AJ1085">
        <f>IF($AE1085="","",IF(Sync!$Q1085="","0000",IF(AND(ISNUMBER(Sync!$Q1085),Sync!$Q1085&gt;=0,Sync!$Q1085&lt;1),RIGHT("00"&amp;HOUR(Sync!$Q1085),2)&amp;RIGHT("00"&amp;MINUTE(Sync!$Q1085),2),IFERROR(RIGHT("00"&amp;VALUE(LEFT(Sync!$Q1085,FIND(":",Sync!$Q1085)-1)),2)&amp;RIGHT("00"&amp;VALUE(MID(Sync!$Q1085,FIND(":",Sync!$Q1085)+1,2)),2),"0000"))))</f>
        <v/>
      </c>
      <c r="AK1085">
        <f>IF(OR($AE1085="",$AI1085="",$AI1085="نامعتبر"),"",LEFT($AI1085,4)&amp;MID($AI1085,6,2)&amp;RIGHT($AI1085,2)&amp;$AJ1085&amp;"|"&amp;"3"&amp;RIGHT("00000"&amp;1080,5))</f>
        <v/>
      </c>
      <c r="AL1085">
        <f>IF($AK1085="","",COUNTIFS(LdAParty,$AE1085,LdAType,1,LdAKey,"&lt;"&amp;$AK1085)+COUNTIFS(LdBMember,$AE1085,LdBKey,"&lt;"&amp;$AK1085)+COUNTIFS(LdCParty,$AE1085,LdCKey,"&lt;"&amp;$AK1085)+1)</f>
        <v/>
      </c>
      <c r="AM1085">
        <f>IF($AL1085="","",$AE1085&amp;"|"&amp;RIGHT("000000"&amp;$AL1085,6))</f>
        <v/>
      </c>
      <c r="AN1085">
        <f>IF($AE1085="","",IF(Sync!$W1085="",0,Sync!$W1085))</f>
        <v/>
      </c>
      <c r="AO1085">
        <f>IF($AE1085="","",IF(Sync!$X1085="",0,Sync!$X1085))</f>
        <v/>
      </c>
      <c r="AP1085">
        <f>IF($AE1085="","",Sync!$R1085)</f>
        <v/>
      </c>
      <c r="AQ1085">
        <f>IF($AE1085="","",Sync!$Y1085)</f>
        <v/>
      </c>
    </row>
    <row r="1086">
      <c r="A1086">
        <f>IF(OR(Wages!$B1089="",Wages!$E1089=""),"",Wages!$E1089)</f>
        <v/>
      </c>
      <c r="B1086">
        <f>IF($A1086="","",IF(Wages!$C1089="دستمزد گروهی",2,1))</f>
        <v/>
      </c>
      <c r="C1086">
        <f>IF($A1086="","",IF(ISNUMBER(Wages!$B1089),IF(AND(Wages!$B1089&gt;=10000101,Wages!$B1089&lt;=99991231),INT(Wages!$B1089/10000),""),IFERROR(VALUE(TRIM(LEFT(Wages!$B1089,FIND("/",Wages!$B1089)-1))),"")))</f>
        <v/>
      </c>
      <c r="D1086">
        <f>IF(OR($A1086="",$C1086=""),"",IF(ISNUMBER(Wages!$B1089),INT(MOD(Wages!$B1089,10000)/100),IFERROR(VALUE(TRIM(LEFT(MID(Wages!$B1089,FIND("/",Wages!$B1089)+1,20),FIND("/",MID(Wages!$B1089,FIND("/",Wages!$B1089)+1,20))-1))),"")))</f>
        <v/>
      </c>
      <c r="E1086">
        <f>IF(OR($A1086="",$C1086=""),"",IF(ISNUMBER(Wages!$B1089),MOD(Wages!$B1089,100),IFERROR(VALUE(TRIM(MID(MID(Wages!$B1089,FIND("/",Wages!$B1089)+1,20),FIND("/",MID(Wages!$B1089,FIND("/",Wages!$B1089)+1,20))+1,20))),"")))</f>
        <v/>
      </c>
      <c r="F1086">
        <f>IF($A1086="","",IF(OR($C1086="",$D1086="",$E1086="",$C1086&lt;1300,$C1086&gt;1500,$D1086&lt;1,$D1086&gt;12,$E1086&lt;1,$E1086&gt;31),"نامعتبر",RIGHT("0000"&amp;$C1086,4)&amp;"/"&amp;RIGHT("00"&amp;$D1086,2)&amp;"/"&amp;RIGHT("00"&amp;$E1086,2)))</f>
        <v/>
      </c>
      <c r="G1086">
        <f>IF(OR($A1086="",$F1086="",$F1086="نامعتبر"),"",LEFT($F1086,4)&amp;MID($F1086,6,2)&amp;RIGHT($F1086,2)&amp;"0000"&amp;"|"&amp;"1"&amp;RIGHT("00000"&amp;1081,5))</f>
        <v/>
      </c>
      <c r="H1086">
        <f>IF(OR($B1086&lt;&gt;1,$G1086=""),"",COUNTIFS(LdAParty,$A1086,LdAType,1,LdAKey,"&lt;"&amp;$G1086)+COUNTIFS(LdBMember,$A1086,LdBKey,"&lt;"&amp;$G1086)+COUNTIFS(LdCParty,$A1086,LdCKey,"&lt;"&amp;$G1086)+1)</f>
        <v/>
      </c>
      <c r="I1086">
        <f>IF($H1086="","",$A1086&amp;"|"&amp;RIGHT("000000"&amp;$H1086,6))</f>
        <v/>
      </c>
      <c r="J1086">
        <f>IF(OR($B1086&lt;&gt;2,$G1086=""),"",COUNTIFS(LdAParty,$A1086,LdAType,2,LdAKey,"&lt;"&amp;$G1086)+1)</f>
        <v/>
      </c>
      <c r="K1086">
        <f>IF($J1086="","",$A1086&amp;"|"&amp;RIGHT("000000"&amp;$J1086,6))</f>
        <v/>
      </c>
      <c r="L1086">
        <f>IF($A1086="","",IF(Wages!$G1089="",0,Wages!$G1089))</f>
        <v/>
      </c>
      <c r="M1086">
        <f>IF($A1086="","",Wages!$J1089)</f>
        <v/>
      </c>
      <c r="N1086">
        <f>IF($A1086="","",Wages!$D1089)</f>
        <v/>
      </c>
      <c r="P1086">
        <f>IF(OR(Shares!$B1089="",Shares!$C1089=""),"",Shares!$C1089)</f>
        <v/>
      </c>
      <c r="Q1086">
        <f>IF($P1086="","",Shares!$B1089)</f>
        <v/>
      </c>
      <c r="R1086">
        <f>IF($P1086="","",IFERROR(INDEX(WageParty,MATCH($Q1086,WageIds,0)),""))</f>
        <v/>
      </c>
      <c r="S1086">
        <f>IF($P1086="","",IFERROR(INDEX($F$6:$F$2005,MATCH($Q1086,WageIds,0)),""))</f>
        <v/>
      </c>
      <c r="T1086">
        <f>IF(OR($P1086="",$S1086="",$S1086="نامعتبر"),"",LEFT($S1086,4)&amp;MID($S1086,6,2)&amp;RIGHT($S1086,2)&amp;"0000"&amp;"|"&amp;"2"&amp;RIGHT("00000"&amp;1081,5))</f>
        <v/>
      </c>
      <c r="U1086">
        <f>IF($T1086="","",COUNTIFS(LdAParty,$P1086,LdAType,1,LdAKey,"&lt;"&amp;$T1086)+COUNTIFS(LdBMember,$P1086,LdBKey,"&lt;"&amp;$T1086)+COUNTIFS(LdCParty,$P1086,LdCKey,"&lt;"&amp;$T1086)+1)</f>
        <v/>
      </c>
      <c r="V1086">
        <f>IF($U1086="","",$P1086&amp;"|"&amp;RIGHT("000000"&amp;$U1086,6))</f>
        <v/>
      </c>
      <c r="W1086">
        <f>IF($T1086="","",COUNTIFS(LdBGroup,$R1086,LdBKey,"&lt;"&amp;$T1086)+1)</f>
        <v/>
      </c>
      <c r="X1086">
        <f>IF($W1086="","",$R1086&amp;"|"&amp;RIGHT("000000"&amp;$W1086,6))</f>
        <v/>
      </c>
      <c r="Y1086">
        <f>IF($P1086="","",IF(Shares!$E1089="",0,Shares!$E1089))</f>
        <v/>
      </c>
      <c r="Z1086">
        <f>IF($P1086="","",Shares!$H1089)</f>
        <v/>
      </c>
      <c r="AE1086">
        <f>IF(OR(Sync!$S1086="",Sync!$P1086=""),"",Sync!$S1086)</f>
        <v/>
      </c>
      <c r="AF1086">
        <f>IF($AE1086="","",IF(ISNUMBER(Sync!$P1086),IF(AND(Sync!$P1086&gt;=10000101,Sync!$P1086&lt;=99991231),INT(Sync!$P1086/10000),""),IFERROR(VALUE(TRIM(LEFT(Sync!$P1086,FIND("/",Sync!$P1086)-1))),"")))</f>
        <v/>
      </c>
      <c r="AG1086">
        <f>IF(OR($AE1086="",$AF1086=""),"",IF(ISNUMBER(Sync!$P1086),INT(MOD(Sync!$P1086,10000)/100),IFERROR(VALUE(TRIM(LEFT(MID(Sync!$P1086,FIND("/",Sync!$P1086)+1,20),FIND("/",MID(Sync!$P1086,FIND("/",Sync!$P1086)+1,20))-1))),"")))</f>
        <v/>
      </c>
      <c r="AH1086">
        <f>IF(OR($AE1086="",$AF1086=""),"",IF(ISNUMBER(Sync!$P1086),MOD(Sync!$P1086,100),IFERROR(VALUE(TRIM(MID(MID(Sync!$P1086,FIND("/",Sync!$P1086)+1,20),FIND("/",MID(Sync!$P1086,FIND("/",Sync!$P1086)+1,20))+1,20))),"")))</f>
        <v/>
      </c>
      <c r="AI1086">
        <f>IF($AE1086="","",IF(OR($AF1086="",$AG1086="",$AH1086="",$AF1086&lt;1300,$AF1086&gt;1500,$AG1086&lt;1,$AG1086&gt;12,$AH1086&lt;1,$AH1086&gt;31),"نامعتبر",RIGHT("0000"&amp;$AF1086,4)&amp;"/"&amp;RIGHT("00"&amp;$AG1086,2)&amp;"/"&amp;RIGHT("00"&amp;$AH1086,2)))</f>
        <v/>
      </c>
      <c r="AJ1086">
        <f>IF($AE1086="","",IF(Sync!$Q1086="","0000",IF(AND(ISNUMBER(Sync!$Q1086),Sync!$Q1086&gt;=0,Sync!$Q1086&lt;1),RIGHT("00"&amp;HOUR(Sync!$Q1086),2)&amp;RIGHT("00"&amp;MINUTE(Sync!$Q1086),2),IFERROR(RIGHT("00"&amp;VALUE(LEFT(Sync!$Q1086,FIND(":",Sync!$Q1086)-1)),2)&amp;RIGHT("00"&amp;VALUE(MID(Sync!$Q1086,FIND(":",Sync!$Q1086)+1,2)),2),"0000"))))</f>
        <v/>
      </c>
      <c r="AK1086">
        <f>IF(OR($AE1086="",$AI1086="",$AI1086="نامعتبر"),"",LEFT($AI1086,4)&amp;MID($AI1086,6,2)&amp;RIGHT($AI1086,2)&amp;$AJ1086&amp;"|"&amp;"3"&amp;RIGHT("00000"&amp;1081,5))</f>
        <v/>
      </c>
      <c r="AL1086">
        <f>IF($AK1086="","",COUNTIFS(LdAParty,$AE1086,LdAType,1,LdAKey,"&lt;"&amp;$AK1086)+COUNTIFS(LdBMember,$AE1086,LdBKey,"&lt;"&amp;$AK1086)+COUNTIFS(LdCParty,$AE1086,LdCKey,"&lt;"&amp;$AK1086)+1)</f>
        <v/>
      </c>
      <c r="AM1086">
        <f>IF($AL1086="","",$AE1086&amp;"|"&amp;RIGHT("000000"&amp;$AL1086,6))</f>
        <v/>
      </c>
      <c r="AN1086">
        <f>IF($AE1086="","",IF(Sync!$W1086="",0,Sync!$W1086))</f>
        <v/>
      </c>
      <c r="AO1086">
        <f>IF($AE1086="","",IF(Sync!$X1086="",0,Sync!$X1086))</f>
        <v/>
      </c>
      <c r="AP1086">
        <f>IF($AE1086="","",Sync!$R1086)</f>
        <v/>
      </c>
      <c r="AQ1086">
        <f>IF($AE1086="","",Sync!$Y1086)</f>
        <v/>
      </c>
    </row>
    <row r="1087">
      <c r="A1087">
        <f>IF(OR(Wages!$B1090="",Wages!$E1090=""),"",Wages!$E1090)</f>
        <v/>
      </c>
      <c r="B1087">
        <f>IF($A1087="","",IF(Wages!$C1090="دستمزد گروهی",2,1))</f>
        <v/>
      </c>
      <c r="C1087">
        <f>IF($A1087="","",IF(ISNUMBER(Wages!$B1090),IF(AND(Wages!$B1090&gt;=10000101,Wages!$B1090&lt;=99991231),INT(Wages!$B1090/10000),""),IFERROR(VALUE(TRIM(LEFT(Wages!$B1090,FIND("/",Wages!$B1090)-1))),"")))</f>
        <v/>
      </c>
      <c r="D1087">
        <f>IF(OR($A1087="",$C1087=""),"",IF(ISNUMBER(Wages!$B1090),INT(MOD(Wages!$B1090,10000)/100),IFERROR(VALUE(TRIM(LEFT(MID(Wages!$B1090,FIND("/",Wages!$B1090)+1,20),FIND("/",MID(Wages!$B1090,FIND("/",Wages!$B1090)+1,20))-1))),"")))</f>
        <v/>
      </c>
      <c r="E1087">
        <f>IF(OR($A1087="",$C1087=""),"",IF(ISNUMBER(Wages!$B1090),MOD(Wages!$B1090,100),IFERROR(VALUE(TRIM(MID(MID(Wages!$B1090,FIND("/",Wages!$B1090)+1,20),FIND("/",MID(Wages!$B1090,FIND("/",Wages!$B1090)+1,20))+1,20))),"")))</f>
        <v/>
      </c>
      <c r="F1087">
        <f>IF($A1087="","",IF(OR($C1087="",$D1087="",$E1087="",$C1087&lt;1300,$C1087&gt;1500,$D1087&lt;1,$D1087&gt;12,$E1087&lt;1,$E1087&gt;31),"نامعتبر",RIGHT("0000"&amp;$C1087,4)&amp;"/"&amp;RIGHT("00"&amp;$D1087,2)&amp;"/"&amp;RIGHT("00"&amp;$E1087,2)))</f>
        <v/>
      </c>
      <c r="G1087">
        <f>IF(OR($A1087="",$F1087="",$F1087="نامعتبر"),"",LEFT($F1087,4)&amp;MID($F1087,6,2)&amp;RIGHT($F1087,2)&amp;"0000"&amp;"|"&amp;"1"&amp;RIGHT("00000"&amp;1082,5))</f>
        <v/>
      </c>
      <c r="H1087">
        <f>IF(OR($B1087&lt;&gt;1,$G1087=""),"",COUNTIFS(LdAParty,$A1087,LdAType,1,LdAKey,"&lt;"&amp;$G1087)+COUNTIFS(LdBMember,$A1087,LdBKey,"&lt;"&amp;$G1087)+COUNTIFS(LdCParty,$A1087,LdCKey,"&lt;"&amp;$G1087)+1)</f>
        <v/>
      </c>
      <c r="I1087">
        <f>IF($H1087="","",$A1087&amp;"|"&amp;RIGHT("000000"&amp;$H1087,6))</f>
        <v/>
      </c>
      <c r="J1087">
        <f>IF(OR($B1087&lt;&gt;2,$G1087=""),"",COUNTIFS(LdAParty,$A1087,LdAType,2,LdAKey,"&lt;"&amp;$G1087)+1)</f>
        <v/>
      </c>
      <c r="K1087">
        <f>IF($J1087="","",$A1087&amp;"|"&amp;RIGHT("000000"&amp;$J1087,6))</f>
        <v/>
      </c>
      <c r="L1087">
        <f>IF($A1087="","",IF(Wages!$G1090="",0,Wages!$G1090))</f>
        <v/>
      </c>
      <c r="M1087">
        <f>IF($A1087="","",Wages!$J1090)</f>
        <v/>
      </c>
      <c r="N1087">
        <f>IF($A1087="","",Wages!$D1090)</f>
        <v/>
      </c>
      <c r="P1087">
        <f>IF(OR(Shares!$B1090="",Shares!$C1090=""),"",Shares!$C1090)</f>
        <v/>
      </c>
      <c r="Q1087">
        <f>IF($P1087="","",Shares!$B1090)</f>
        <v/>
      </c>
      <c r="R1087">
        <f>IF($P1087="","",IFERROR(INDEX(WageParty,MATCH($Q1087,WageIds,0)),""))</f>
        <v/>
      </c>
      <c r="S1087">
        <f>IF($P1087="","",IFERROR(INDEX($F$6:$F$2005,MATCH($Q1087,WageIds,0)),""))</f>
        <v/>
      </c>
      <c r="T1087">
        <f>IF(OR($P1087="",$S1087="",$S1087="نامعتبر"),"",LEFT($S1087,4)&amp;MID($S1087,6,2)&amp;RIGHT($S1087,2)&amp;"0000"&amp;"|"&amp;"2"&amp;RIGHT("00000"&amp;1082,5))</f>
        <v/>
      </c>
      <c r="U1087">
        <f>IF($T1087="","",COUNTIFS(LdAParty,$P1087,LdAType,1,LdAKey,"&lt;"&amp;$T1087)+COUNTIFS(LdBMember,$P1087,LdBKey,"&lt;"&amp;$T1087)+COUNTIFS(LdCParty,$P1087,LdCKey,"&lt;"&amp;$T1087)+1)</f>
        <v/>
      </c>
      <c r="V1087">
        <f>IF($U1087="","",$P1087&amp;"|"&amp;RIGHT("000000"&amp;$U1087,6))</f>
        <v/>
      </c>
      <c r="W1087">
        <f>IF($T1087="","",COUNTIFS(LdBGroup,$R1087,LdBKey,"&lt;"&amp;$T1087)+1)</f>
        <v/>
      </c>
      <c r="X1087">
        <f>IF($W1087="","",$R1087&amp;"|"&amp;RIGHT("000000"&amp;$W1087,6))</f>
        <v/>
      </c>
      <c r="Y1087">
        <f>IF($P1087="","",IF(Shares!$E1090="",0,Shares!$E1090))</f>
        <v/>
      </c>
      <c r="Z1087">
        <f>IF($P1087="","",Shares!$H1090)</f>
        <v/>
      </c>
      <c r="AE1087">
        <f>IF(OR(Sync!$S1087="",Sync!$P1087=""),"",Sync!$S1087)</f>
        <v/>
      </c>
      <c r="AF1087">
        <f>IF($AE1087="","",IF(ISNUMBER(Sync!$P1087),IF(AND(Sync!$P1087&gt;=10000101,Sync!$P1087&lt;=99991231),INT(Sync!$P1087/10000),""),IFERROR(VALUE(TRIM(LEFT(Sync!$P1087,FIND("/",Sync!$P1087)-1))),"")))</f>
        <v/>
      </c>
      <c r="AG1087">
        <f>IF(OR($AE1087="",$AF1087=""),"",IF(ISNUMBER(Sync!$P1087),INT(MOD(Sync!$P1087,10000)/100),IFERROR(VALUE(TRIM(LEFT(MID(Sync!$P1087,FIND("/",Sync!$P1087)+1,20),FIND("/",MID(Sync!$P1087,FIND("/",Sync!$P1087)+1,20))-1))),"")))</f>
        <v/>
      </c>
      <c r="AH1087">
        <f>IF(OR($AE1087="",$AF1087=""),"",IF(ISNUMBER(Sync!$P1087),MOD(Sync!$P1087,100),IFERROR(VALUE(TRIM(MID(MID(Sync!$P1087,FIND("/",Sync!$P1087)+1,20),FIND("/",MID(Sync!$P1087,FIND("/",Sync!$P1087)+1,20))+1,20))),"")))</f>
        <v/>
      </c>
      <c r="AI1087">
        <f>IF($AE1087="","",IF(OR($AF1087="",$AG1087="",$AH1087="",$AF1087&lt;1300,$AF1087&gt;1500,$AG1087&lt;1,$AG1087&gt;12,$AH1087&lt;1,$AH1087&gt;31),"نامعتبر",RIGHT("0000"&amp;$AF1087,4)&amp;"/"&amp;RIGHT("00"&amp;$AG1087,2)&amp;"/"&amp;RIGHT("00"&amp;$AH1087,2)))</f>
        <v/>
      </c>
      <c r="AJ1087">
        <f>IF($AE1087="","",IF(Sync!$Q1087="","0000",IF(AND(ISNUMBER(Sync!$Q1087),Sync!$Q1087&gt;=0,Sync!$Q1087&lt;1),RIGHT("00"&amp;HOUR(Sync!$Q1087),2)&amp;RIGHT("00"&amp;MINUTE(Sync!$Q1087),2),IFERROR(RIGHT("00"&amp;VALUE(LEFT(Sync!$Q1087,FIND(":",Sync!$Q1087)-1)),2)&amp;RIGHT("00"&amp;VALUE(MID(Sync!$Q1087,FIND(":",Sync!$Q1087)+1,2)),2),"0000"))))</f>
        <v/>
      </c>
      <c r="AK1087">
        <f>IF(OR($AE1087="",$AI1087="",$AI1087="نامعتبر"),"",LEFT($AI1087,4)&amp;MID($AI1087,6,2)&amp;RIGHT($AI1087,2)&amp;$AJ1087&amp;"|"&amp;"3"&amp;RIGHT("00000"&amp;1082,5))</f>
        <v/>
      </c>
      <c r="AL1087">
        <f>IF($AK1087="","",COUNTIFS(LdAParty,$AE1087,LdAType,1,LdAKey,"&lt;"&amp;$AK1087)+COUNTIFS(LdBMember,$AE1087,LdBKey,"&lt;"&amp;$AK1087)+COUNTIFS(LdCParty,$AE1087,LdCKey,"&lt;"&amp;$AK1087)+1)</f>
        <v/>
      </c>
      <c r="AM1087">
        <f>IF($AL1087="","",$AE1087&amp;"|"&amp;RIGHT("000000"&amp;$AL1087,6))</f>
        <v/>
      </c>
      <c r="AN1087">
        <f>IF($AE1087="","",IF(Sync!$W1087="",0,Sync!$W1087))</f>
        <v/>
      </c>
      <c r="AO1087">
        <f>IF($AE1087="","",IF(Sync!$X1087="",0,Sync!$X1087))</f>
        <v/>
      </c>
      <c r="AP1087">
        <f>IF($AE1087="","",Sync!$R1087)</f>
        <v/>
      </c>
      <c r="AQ1087">
        <f>IF($AE1087="","",Sync!$Y1087)</f>
        <v/>
      </c>
    </row>
    <row r="1088">
      <c r="A1088">
        <f>IF(OR(Wages!$B1091="",Wages!$E1091=""),"",Wages!$E1091)</f>
        <v/>
      </c>
      <c r="B1088">
        <f>IF($A1088="","",IF(Wages!$C1091="دستمزد گروهی",2,1))</f>
        <v/>
      </c>
      <c r="C1088">
        <f>IF($A1088="","",IF(ISNUMBER(Wages!$B1091),IF(AND(Wages!$B1091&gt;=10000101,Wages!$B1091&lt;=99991231),INT(Wages!$B1091/10000),""),IFERROR(VALUE(TRIM(LEFT(Wages!$B1091,FIND("/",Wages!$B1091)-1))),"")))</f>
        <v/>
      </c>
      <c r="D1088">
        <f>IF(OR($A1088="",$C1088=""),"",IF(ISNUMBER(Wages!$B1091),INT(MOD(Wages!$B1091,10000)/100),IFERROR(VALUE(TRIM(LEFT(MID(Wages!$B1091,FIND("/",Wages!$B1091)+1,20),FIND("/",MID(Wages!$B1091,FIND("/",Wages!$B1091)+1,20))-1))),"")))</f>
        <v/>
      </c>
      <c r="E1088">
        <f>IF(OR($A1088="",$C1088=""),"",IF(ISNUMBER(Wages!$B1091),MOD(Wages!$B1091,100),IFERROR(VALUE(TRIM(MID(MID(Wages!$B1091,FIND("/",Wages!$B1091)+1,20),FIND("/",MID(Wages!$B1091,FIND("/",Wages!$B1091)+1,20))+1,20))),"")))</f>
        <v/>
      </c>
      <c r="F1088">
        <f>IF($A1088="","",IF(OR($C1088="",$D1088="",$E1088="",$C1088&lt;1300,$C1088&gt;1500,$D1088&lt;1,$D1088&gt;12,$E1088&lt;1,$E1088&gt;31),"نامعتبر",RIGHT("0000"&amp;$C1088,4)&amp;"/"&amp;RIGHT("00"&amp;$D1088,2)&amp;"/"&amp;RIGHT("00"&amp;$E1088,2)))</f>
        <v/>
      </c>
      <c r="G1088">
        <f>IF(OR($A1088="",$F1088="",$F1088="نامعتبر"),"",LEFT($F1088,4)&amp;MID($F1088,6,2)&amp;RIGHT($F1088,2)&amp;"0000"&amp;"|"&amp;"1"&amp;RIGHT("00000"&amp;1083,5))</f>
        <v/>
      </c>
      <c r="H1088">
        <f>IF(OR($B1088&lt;&gt;1,$G1088=""),"",COUNTIFS(LdAParty,$A1088,LdAType,1,LdAKey,"&lt;"&amp;$G1088)+COUNTIFS(LdBMember,$A1088,LdBKey,"&lt;"&amp;$G1088)+COUNTIFS(LdCParty,$A1088,LdCKey,"&lt;"&amp;$G1088)+1)</f>
        <v/>
      </c>
      <c r="I1088">
        <f>IF($H1088="","",$A1088&amp;"|"&amp;RIGHT("000000"&amp;$H1088,6))</f>
        <v/>
      </c>
      <c r="J1088">
        <f>IF(OR($B1088&lt;&gt;2,$G1088=""),"",COUNTIFS(LdAParty,$A1088,LdAType,2,LdAKey,"&lt;"&amp;$G1088)+1)</f>
        <v/>
      </c>
      <c r="K1088">
        <f>IF($J1088="","",$A1088&amp;"|"&amp;RIGHT("000000"&amp;$J1088,6))</f>
        <v/>
      </c>
      <c r="L1088">
        <f>IF($A1088="","",IF(Wages!$G1091="",0,Wages!$G1091))</f>
        <v/>
      </c>
      <c r="M1088">
        <f>IF($A1088="","",Wages!$J1091)</f>
        <v/>
      </c>
      <c r="N1088">
        <f>IF($A1088="","",Wages!$D1091)</f>
        <v/>
      </c>
      <c r="P1088">
        <f>IF(OR(Shares!$B1091="",Shares!$C1091=""),"",Shares!$C1091)</f>
        <v/>
      </c>
      <c r="Q1088">
        <f>IF($P1088="","",Shares!$B1091)</f>
        <v/>
      </c>
      <c r="R1088">
        <f>IF($P1088="","",IFERROR(INDEX(WageParty,MATCH($Q1088,WageIds,0)),""))</f>
        <v/>
      </c>
      <c r="S1088">
        <f>IF($P1088="","",IFERROR(INDEX($F$6:$F$2005,MATCH($Q1088,WageIds,0)),""))</f>
        <v/>
      </c>
      <c r="T1088">
        <f>IF(OR($P1088="",$S1088="",$S1088="نامعتبر"),"",LEFT($S1088,4)&amp;MID($S1088,6,2)&amp;RIGHT($S1088,2)&amp;"0000"&amp;"|"&amp;"2"&amp;RIGHT("00000"&amp;1083,5))</f>
        <v/>
      </c>
      <c r="U1088">
        <f>IF($T1088="","",COUNTIFS(LdAParty,$P1088,LdAType,1,LdAKey,"&lt;"&amp;$T1088)+COUNTIFS(LdBMember,$P1088,LdBKey,"&lt;"&amp;$T1088)+COUNTIFS(LdCParty,$P1088,LdCKey,"&lt;"&amp;$T1088)+1)</f>
        <v/>
      </c>
      <c r="V1088">
        <f>IF($U1088="","",$P1088&amp;"|"&amp;RIGHT("000000"&amp;$U1088,6))</f>
        <v/>
      </c>
      <c r="W1088">
        <f>IF($T1088="","",COUNTIFS(LdBGroup,$R1088,LdBKey,"&lt;"&amp;$T1088)+1)</f>
        <v/>
      </c>
      <c r="X1088">
        <f>IF($W1088="","",$R1088&amp;"|"&amp;RIGHT("000000"&amp;$W1088,6))</f>
        <v/>
      </c>
      <c r="Y1088">
        <f>IF($P1088="","",IF(Shares!$E1091="",0,Shares!$E1091))</f>
        <v/>
      </c>
      <c r="Z1088">
        <f>IF($P1088="","",Shares!$H1091)</f>
        <v/>
      </c>
      <c r="AE1088">
        <f>IF(OR(Sync!$S1088="",Sync!$P1088=""),"",Sync!$S1088)</f>
        <v/>
      </c>
      <c r="AF1088">
        <f>IF($AE1088="","",IF(ISNUMBER(Sync!$P1088),IF(AND(Sync!$P1088&gt;=10000101,Sync!$P1088&lt;=99991231),INT(Sync!$P1088/10000),""),IFERROR(VALUE(TRIM(LEFT(Sync!$P1088,FIND("/",Sync!$P1088)-1))),"")))</f>
        <v/>
      </c>
      <c r="AG1088">
        <f>IF(OR($AE1088="",$AF1088=""),"",IF(ISNUMBER(Sync!$P1088),INT(MOD(Sync!$P1088,10000)/100),IFERROR(VALUE(TRIM(LEFT(MID(Sync!$P1088,FIND("/",Sync!$P1088)+1,20),FIND("/",MID(Sync!$P1088,FIND("/",Sync!$P1088)+1,20))-1))),"")))</f>
        <v/>
      </c>
      <c r="AH1088">
        <f>IF(OR($AE1088="",$AF1088=""),"",IF(ISNUMBER(Sync!$P1088),MOD(Sync!$P1088,100),IFERROR(VALUE(TRIM(MID(MID(Sync!$P1088,FIND("/",Sync!$P1088)+1,20),FIND("/",MID(Sync!$P1088,FIND("/",Sync!$P1088)+1,20))+1,20))),"")))</f>
        <v/>
      </c>
      <c r="AI1088">
        <f>IF($AE1088="","",IF(OR($AF1088="",$AG1088="",$AH1088="",$AF1088&lt;1300,$AF1088&gt;1500,$AG1088&lt;1,$AG1088&gt;12,$AH1088&lt;1,$AH1088&gt;31),"نامعتبر",RIGHT("0000"&amp;$AF1088,4)&amp;"/"&amp;RIGHT("00"&amp;$AG1088,2)&amp;"/"&amp;RIGHT("00"&amp;$AH1088,2)))</f>
        <v/>
      </c>
      <c r="AJ1088">
        <f>IF($AE1088="","",IF(Sync!$Q1088="","0000",IF(AND(ISNUMBER(Sync!$Q1088),Sync!$Q1088&gt;=0,Sync!$Q1088&lt;1),RIGHT("00"&amp;HOUR(Sync!$Q1088),2)&amp;RIGHT("00"&amp;MINUTE(Sync!$Q1088),2),IFERROR(RIGHT("00"&amp;VALUE(LEFT(Sync!$Q1088,FIND(":",Sync!$Q1088)-1)),2)&amp;RIGHT("00"&amp;VALUE(MID(Sync!$Q1088,FIND(":",Sync!$Q1088)+1,2)),2),"0000"))))</f>
        <v/>
      </c>
      <c r="AK1088">
        <f>IF(OR($AE1088="",$AI1088="",$AI1088="نامعتبر"),"",LEFT($AI1088,4)&amp;MID($AI1088,6,2)&amp;RIGHT($AI1088,2)&amp;$AJ1088&amp;"|"&amp;"3"&amp;RIGHT("00000"&amp;1083,5))</f>
        <v/>
      </c>
      <c r="AL1088">
        <f>IF($AK1088="","",COUNTIFS(LdAParty,$AE1088,LdAType,1,LdAKey,"&lt;"&amp;$AK1088)+COUNTIFS(LdBMember,$AE1088,LdBKey,"&lt;"&amp;$AK1088)+COUNTIFS(LdCParty,$AE1088,LdCKey,"&lt;"&amp;$AK1088)+1)</f>
        <v/>
      </c>
      <c r="AM1088">
        <f>IF($AL1088="","",$AE1088&amp;"|"&amp;RIGHT("000000"&amp;$AL1088,6))</f>
        <v/>
      </c>
      <c r="AN1088">
        <f>IF($AE1088="","",IF(Sync!$W1088="",0,Sync!$W1088))</f>
        <v/>
      </c>
      <c r="AO1088">
        <f>IF($AE1088="","",IF(Sync!$X1088="",0,Sync!$X1088))</f>
        <v/>
      </c>
      <c r="AP1088">
        <f>IF($AE1088="","",Sync!$R1088)</f>
        <v/>
      </c>
      <c r="AQ1088">
        <f>IF($AE1088="","",Sync!$Y1088)</f>
        <v/>
      </c>
    </row>
    <row r="1089">
      <c r="A1089">
        <f>IF(OR(Wages!$B1092="",Wages!$E1092=""),"",Wages!$E1092)</f>
        <v/>
      </c>
      <c r="B1089">
        <f>IF($A1089="","",IF(Wages!$C1092="دستمزد گروهی",2,1))</f>
        <v/>
      </c>
      <c r="C1089">
        <f>IF($A1089="","",IF(ISNUMBER(Wages!$B1092),IF(AND(Wages!$B1092&gt;=10000101,Wages!$B1092&lt;=99991231),INT(Wages!$B1092/10000),""),IFERROR(VALUE(TRIM(LEFT(Wages!$B1092,FIND("/",Wages!$B1092)-1))),"")))</f>
        <v/>
      </c>
      <c r="D1089">
        <f>IF(OR($A1089="",$C1089=""),"",IF(ISNUMBER(Wages!$B1092),INT(MOD(Wages!$B1092,10000)/100),IFERROR(VALUE(TRIM(LEFT(MID(Wages!$B1092,FIND("/",Wages!$B1092)+1,20),FIND("/",MID(Wages!$B1092,FIND("/",Wages!$B1092)+1,20))-1))),"")))</f>
        <v/>
      </c>
      <c r="E1089">
        <f>IF(OR($A1089="",$C1089=""),"",IF(ISNUMBER(Wages!$B1092),MOD(Wages!$B1092,100),IFERROR(VALUE(TRIM(MID(MID(Wages!$B1092,FIND("/",Wages!$B1092)+1,20),FIND("/",MID(Wages!$B1092,FIND("/",Wages!$B1092)+1,20))+1,20))),"")))</f>
        <v/>
      </c>
      <c r="F1089">
        <f>IF($A1089="","",IF(OR($C1089="",$D1089="",$E1089="",$C1089&lt;1300,$C1089&gt;1500,$D1089&lt;1,$D1089&gt;12,$E1089&lt;1,$E1089&gt;31),"نامعتبر",RIGHT("0000"&amp;$C1089,4)&amp;"/"&amp;RIGHT("00"&amp;$D1089,2)&amp;"/"&amp;RIGHT("00"&amp;$E1089,2)))</f>
        <v/>
      </c>
      <c r="G1089">
        <f>IF(OR($A1089="",$F1089="",$F1089="نامعتبر"),"",LEFT($F1089,4)&amp;MID($F1089,6,2)&amp;RIGHT($F1089,2)&amp;"0000"&amp;"|"&amp;"1"&amp;RIGHT("00000"&amp;1084,5))</f>
        <v/>
      </c>
      <c r="H1089">
        <f>IF(OR($B1089&lt;&gt;1,$G1089=""),"",COUNTIFS(LdAParty,$A1089,LdAType,1,LdAKey,"&lt;"&amp;$G1089)+COUNTIFS(LdBMember,$A1089,LdBKey,"&lt;"&amp;$G1089)+COUNTIFS(LdCParty,$A1089,LdCKey,"&lt;"&amp;$G1089)+1)</f>
        <v/>
      </c>
      <c r="I1089">
        <f>IF($H1089="","",$A1089&amp;"|"&amp;RIGHT("000000"&amp;$H1089,6))</f>
        <v/>
      </c>
      <c r="J1089">
        <f>IF(OR($B1089&lt;&gt;2,$G1089=""),"",COUNTIFS(LdAParty,$A1089,LdAType,2,LdAKey,"&lt;"&amp;$G1089)+1)</f>
        <v/>
      </c>
      <c r="K1089">
        <f>IF($J1089="","",$A1089&amp;"|"&amp;RIGHT("000000"&amp;$J1089,6))</f>
        <v/>
      </c>
      <c r="L1089">
        <f>IF($A1089="","",IF(Wages!$G1092="",0,Wages!$G1092))</f>
        <v/>
      </c>
      <c r="M1089">
        <f>IF($A1089="","",Wages!$J1092)</f>
        <v/>
      </c>
      <c r="N1089">
        <f>IF($A1089="","",Wages!$D1092)</f>
        <v/>
      </c>
      <c r="P1089">
        <f>IF(OR(Shares!$B1092="",Shares!$C1092=""),"",Shares!$C1092)</f>
        <v/>
      </c>
      <c r="Q1089">
        <f>IF($P1089="","",Shares!$B1092)</f>
        <v/>
      </c>
      <c r="R1089">
        <f>IF($P1089="","",IFERROR(INDEX(WageParty,MATCH($Q1089,WageIds,0)),""))</f>
        <v/>
      </c>
      <c r="S1089">
        <f>IF($P1089="","",IFERROR(INDEX($F$6:$F$2005,MATCH($Q1089,WageIds,0)),""))</f>
        <v/>
      </c>
      <c r="T1089">
        <f>IF(OR($P1089="",$S1089="",$S1089="نامعتبر"),"",LEFT($S1089,4)&amp;MID($S1089,6,2)&amp;RIGHT($S1089,2)&amp;"0000"&amp;"|"&amp;"2"&amp;RIGHT("00000"&amp;1084,5))</f>
        <v/>
      </c>
      <c r="U1089">
        <f>IF($T1089="","",COUNTIFS(LdAParty,$P1089,LdAType,1,LdAKey,"&lt;"&amp;$T1089)+COUNTIFS(LdBMember,$P1089,LdBKey,"&lt;"&amp;$T1089)+COUNTIFS(LdCParty,$P1089,LdCKey,"&lt;"&amp;$T1089)+1)</f>
        <v/>
      </c>
      <c r="V1089">
        <f>IF($U1089="","",$P1089&amp;"|"&amp;RIGHT("000000"&amp;$U1089,6))</f>
        <v/>
      </c>
      <c r="W1089">
        <f>IF($T1089="","",COUNTIFS(LdBGroup,$R1089,LdBKey,"&lt;"&amp;$T1089)+1)</f>
        <v/>
      </c>
      <c r="X1089">
        <f>IF($W1089="","",$R1089&amp;"|"&amp;RIGHT("000000"&amp;$W1089,6))</f>
        <v/>
      </c>
      <c r="Y1089">
        <f>IF($P1089="","",IF(Shares!$E1092="",0,Shares!$E1092))</f>
        <v/>
      </c>
      <c r="Z1089">
        <f>IF($P1089="","",Shares!$H1092)</f>
        <v/>
      </c>
      <c r="AE1089">
        <f>IF(OR(Sync!$S1089="",Sync!$P1089=""),"",Sync!$S1089)</f>
        <v/>
      </c>
      <c r="AF1089">
        <f>IF($AE1089="","",IF(ISNUMBER(Sync!$P1089),IF(AND(Sync!$P1089&gt;=10000101,Sync!$P1089&lt;=99991231),INT(Sync!$P1089/10000),""),IFERROR(VALUE(TRIM(LEFT(Sync!$P1089,FIND("/",Sync!$P1089)-1))),"")))</f>
        <v/>
      </c>
      <c r="AG1089">
        <f>IF(OR($AE1089="",$AF1089=""),"",IF(ISNUMBER(Sync!$P1089),INT(MOD(Sync!$P1089,10000)/100),IFERROR(VALUE(TRIM(LEFT(MID(Sync!$P1089,FIND("/",Sync!$P1089)+1,20),FIND("/",MID(Sync!$P1089,FIND("/",Sync!$P1089)+1,20))-1))),"")))</f>
        <v/>
      </c>
      <c r="AH1089">
        <f>IF(OR($AE1089="",$AF1089=""),"",IF(ISNUMBER(Sync!$P1089),MOD(Sync!$P1089,100),IFERROR(VALUE(TRIM(MID(MID(Sync!$P1089,FIND("/",Sync!$P1089)+1,20),FIND("/",MID(Sync!$P1089,FIND("/",Sync!$P1089)+1,20))+1,20))),"")))</f>
        <v/>
      </c>
      <c r="AI1089">
        <f>IF($AE1089="","",IF(OR($AF1089="",$AG1089="",$AH1089="",$AF1089&lt;1300,$AF1089&gt;1500,$AG1089&lt;1,$AG1089&gt;12,$AH1089&lt;1,$AH1089&gt;31),"نامعتبر",RIGHT("0000"&amp;$AF1089,4)&amp;"/"&amp;RIGHT("00"&amp;$AG1089,2)&amp;"/"&amp;RIGHT("00"&amp;$AH1089,2)))</f>
        <v/>
      </c>
      <c r="AJ1089">
        <f>IF($AE1089="","",IF(Sync!$Q1089="","0000",IF(AND(ISNUMBER(Sync!$Q1089),Sync!$Q1089&gt;=0,Sync!$Q1089&lt;1),RIGHT("00"&amp;HOUR(Sync!$Q1089),2)&amp;RIGHT("00"&amp;MINUTE(Sync!$Q1089),2),IFERROR(RIGHT("00"&amp;VALUE(LEFT(Sync!$Q1089,FIND(":",Sync!$Q1089)-1)),2)&amp;RIGHT("00"&amp;VALUE(MID(Sync!$Q1089,FIND(":",Sync!$Q1089)+1,2)),2),"0000"))))</f>
        <v/>
      </c>
      <c r="AK1089">
        <f>IF(OR($AE1089="",$AI1089="",$AI1089="نامعتبر"),"",LEFT($AI1089,4)&amp;MID($AI1089,6,2)&amp;RIGHT($AI1089,2)&amp;$AJ1089&amp;"|"&amp;"3"&amp;RIGHT("00000"&amp;1084,5))</f>
        <v/>
      </c>
      <c r="AL1089">
        <f>IF($AK1089="","",COUNTIFS(LdAParty,$AE1089,LdAType,1,LdAKey,"&lt;"&amp;$AK1089)+COUNTIFS(LdBMember,$AE1089,LdBKey,"&lt;"&amp;$AK1089)+COUNTIFS(LdCParty,$AE1089,LdCKey,"&lt;"&amp;$AK1089)+1)</f>
        <v/>
      </c>
      <c r="AM1089">
        <f>IF($AL1089="","",$AE1089&amp;"|"&amp;RIGHT("000000"&amp;$AL1089,6))</f>
        <v/>
      </c>
      <c r="AN1089">
        <f>IF($AE1089="","",IF(Sync!$W1089="",0,Sync!$W1089))</f>
        <v/>
      </c>
      <c r="AO1089">
        <f>IF($AE1089="","",IF(Sync!$X1089="",0,Sync!$X1089))</f>
        <v/>
      </c>
      <c r="AP1089">
        <f>IF($AE1089="","",Sync!$R1089)</f>
        <v/>
      </c>
      <c r="AQ1089">
        <f>IF($AE1089="","",Sync!$Y1089)</f>
        <v/>
      </c>
    </row>
    <row r="1090">
      <c r="A1090">
        <f>IF(OR(Wages!$B1093="",Wages!$E1093=""),"",Wages!$E1093)</f>
        <v/>
      </c>
      <c r="B1090">
        <f>IF($A1090="","",IF(Wages!$C1093="دستمزد گروهی",2,1))</f>
        <v/>
      </c>
      <c r="C1090">
        <f>IF($A1090="","",IF(ISNUMBER(Wages!$B1093),IF(AND(Wages!$B1093&gt;=10000101,Wages!$B1093&lt;=99991231),INT(Wages!$B1093/10000),""),IFERROR(VALUE(TRIM(LEFT(Wages!$B1093,FIND("/",Wages!$B1093)-1))),"")))</f>
        <v/>
      </c>
      <c r="D1090">
        <f>IF(OR($A1090="",$C1090=""),"",IF(ISNUMBER(Wages!$B1093),INT(MOD(Wages!$B1093,10000)/100),IFERROR(VALUE(TRIM(LEFT(MID(Wages!$B1093,FIND("/",Wages!$B1093)+1,20),FIND("/",MID(Wages!$B1093,FIND("/",Wages!$B1093)+1,20))-1))),"")))</f>
        <v/>
      </c>
      <c r="E1090">
        <f>IF(OR($A1090="",$C1090=""),"",IF(ISNUMBER(Wages!$B1093),MOD(Wages!$B1093,100),IFERROR(VALUE(TRIM(MID(MID(Wages!$B1093,FIND("/",Wages!$B1093)+1,20),FIND("/",MID(Wages!$B1093,FIND("/",Wages!$B1093)+1,20))+1,20))),"")))</f>
        <v/>
      </c>
      <c r="F1090">
        <f>IF($A1090="","",IF(OR($C1090="",$D1090="",$E1090="",$C1090&lt;1300,$C1090&gt;1500,$D1090&lt;1,$D1090&gt;12,$E1090&lt;1,$E1090&gt;31),"نامعتبر",RIGHT("0000"&amp;$C1090,4)&amp;"/"&amp;RIGHT("00"&amp;$D1090,2)&amp;"/"&amp;RIGHT("00"&amp;$E1090,2)))</f>
        <v/>
      </c>
      <c r="G1090">
        <f>IF(OR($A1090="",$F1090="",$F1090="نامعتبر"),"",LEFT($F1090,4)&amp;MID($F1090,6,2)&amp;RIGHT($F1090,2)&amp;"0000"&amp;"|"&amp;"1"&amp;RIGHT("00000"&amp;1085,5))</f>
        <v/>
      </c>
      <c r="H1090">
        <f>IF(OR($B1090&lt;&gt;1,$G1090=""),"",COUNTIFS(LdAParty,$A1090,LdAType,1,LdAKey,"&lt;"&amp;$G1090)+COUNTIFS(LdBMember,$A1090,LdBKey,"&lt;"&amp;$G1090)+COUNTIFS(LdCParty,$A1090,LdCKey,"&lt;"&amp;$G1090)+1)</f>
        <v/>
      </c>
      <c r="I1090">
        <f>IF($H1090="","",$A1090&amp;"|"&amp;RIGHT("000000"&amp;$H1090,6))</f>
        <v/>
      </c>
      <c r="J1090">
        <f>IF(OR($B1090&lt;&gt;2,$G1090=""),"",COUNTIFS(LdAParty,$A1090,LdAType,2,LdAKey,"&lt;"&amp;$G1090)+1)</f>
        <v/>
      </c>
      <c r="K1090">
        <f>IF($J1090="","",$A1090&amp;"|"&amp;RIGHT("000000"&amp;$J1090,6))</f>
        <v/>
      </c>
      <c r="L1090">
        <f>IF($A1090="","",IF(Wages!$G1093="",0,Wages!$G1093))</f>
        <v/>
      </c>
      <c r="M1090">
        <f>IF($A1090="","",Wages!$J1093)</f>
        <v/>
      </c>
      <c r="N1090">
        <f>IF($A1090="","",Wages!$D1093)</f>
        <v/>
      </c>
      <c r="P1090">
        <f>IF(OR(Shares!$B1093="",Shares!$C1093=""),"",Shares!$C1093)</f>
        <v/>
      </c>
      <c r="Q1090">
        <f>IF($P1090="","",Shares!$B1093)</f>
        <v/>
      </c>
      <c r="R1090">
        <f>IF($P1090="","",IFERROR(INDEX(WageParty,MATCH($Q1090,WageIds,0)),""))</f>
        <v/>
      </c>
      <c r="S1090">
        <f>IF($P1090="","",IFERROR(INDEX($F$6:$F$2005,MATCH($Q1090,WageIds,0)),""))</f>
        <v/>
      </c>
      <c r="T1090">
        <f>IF(OR($P1090="",$S1090="",$S1090="نامعتبر"),"",LEFT($S1090,4)&amp;MID($S1090,6,2)&amp;RIGHT($S1090,2)&amp;"0000"&amp;"|"&amp;"2"&amp;RIGHT("00000"&amp;1085,5))</f>
        <v/>
      </c>
      <c r="U1090">
        <f>IF($T1090="","",COUNTIFS(LdAParty,$P1090,LdAType,1,LdAKey,"&lt;"&amp;$T1090)+COUNTIFS(LdBMember,$P1090,LdBKey,"&lt;"&amp;$T1090)+COUNTIFS(LdCParty,$P1090,LdCKey,"&lt;"&amp;$T1090)+1)</f>
        <v/>
      </c>
      <c r="V1090">
        <f>IF($U1090="","",$P1090&amp;"|"&amp;RIGHT("000000"&amp;$U1090,6))</f>
        <v/>
      </c>
      <c r="W1090">
        <f>IF($T1090="","",COUNTIFS(LdBGroup,$R1090,LdBKey,"&lt;"&amp;$T1090)+1)</f>
        <v/>
      </c>
      <c r="X1090">
        <f>IF($W1090="","",$R1090&amp;"|"&amp;RIGHT("000000"&amp;$W1090,6))</f>
        <v/>
      </c>
      <c r="Y1090">
        <f>IF($P1090="","",IF(Shares!$E1093="",0,Shares!$E1093))</f>
        <v/>
      </c>
      <c r="Z1090">
        <f>IF($P1090="","",Shares!$H1093)</f>
        <v/>
      </c>
      <c r="AE1090">
        <f>IF(OR(Sync!$S1090="",Sync!$P1090=""),"",Sync!$S1090)</f>
        <v/>
      </c>
      <c r="AF1090">
        <f>IF($AE1090="","",IF(ISNUMBER(Sync!$P1090),IF(AND(Sync!$P1090&gt;=10000101,Sync!$P1090&lt;=99991231),INT(Sync!$P1090/10000),""),IFERROR(VALUE(TRIM(LEFT(Sync!$P1090,FIND("/",Sync!$P1090)-1))),"")))</f>
        <v/>
      </c>
      <c r="AG1090">
        <f>IF(OR($AE1090="",$AF1090=""),"",IF(ISNUMBER(Sync!$P1090),INT(MOD(Sync!$P1090,10000)/100),IFERROR(VALUE(TRIM(LEFT(MID(Sync!$P1090,FIND("/",Sync!$P1090)+1,20),FIND("/",MID(Sync!$P1090,FIND("/",Sync!$P1090)+1,20))-1))),"")))</f>
        <v/>
      </c>
      <c r="AH1090">
        <f>IF(OR($AE1090="",$AF1090=""),"",IF(ISNUMBER(Sync!$P1090),MOD(Sync!$P1090,100),IFERROR(VALUE(TRIM(MID(MID(Sync!$P1090,FIND("/",Sync!$P1090)+1,20),FIND("/",MID(Sync!$P1090,FIND("/",Sync!$P1090)+1,20))+1,20))),"")))</f>
        <v/>
      </c>
      <c r="AI1090">
        <f>IF($AE1090="","",IF(OR($AF1090="",$AG1090="",$AH1090="",$AF1090&lt;1300,$AF1090&gt;1500,$AG1090&lt;1,$AG1090&gt;12,$AH1090&lt;1,$AH1090&gt;31),"نامعتبر",RIGHT("0000"&amp;$AF1090,4)&amp;"/"&amp;RIGHT("00"&amp;$AG1090,2)&amp;"/"&amp;RIGHT("00"&amp;$AH1090,2)))</f>
        <v/>
      </c>
      <c r="AJ1090">
        <f>IF($AE1090="","",IF(Sync!$Q1090="","0000",IF(AND(ISNUMBER(Sync!$Q1090),Sync!$Q1090&gt;=0,Sync!$Q1090&lt;1),RIGHT("00"&amp;HOUR(Sync!$Q1090),2)&amp;RIGHT("00"&amp;MINUTE(Sync!$Q1090),2),IFERROR(RIGHT("00"&amp;VALUE(LEFT(Sync!$Q1090,FIND(":",Sync!$Q1090)-1)),2)&amp;RIGHT("00"&amp;VALUE(MID(Sync!$Q1090,FIND(":",Sync!$Q1090)+1,2)),2),"0000"))))</f>
        <v/>
      </c>
      <c r="AK1090">
        <f>IF(OR($AE1090="",$AI1090="",$AI1090="نامعتبر"),"",LEFT($AI1090,4)&amp;MID($AI1090,6,2)&amp;RIGHT($AI1090,2)&amp;$AJ1090&amp;"|"&amp;"3"&amp;RIGHT("00000"&amp;1085,5))</f>
        <v/>
      </c>
      <c r="AL1090">
        <f>IF($AK1090="","",COUNTIFS(LdAParty,$AE1090,LdAType,1,LdAKey,"&lt;"&amp;$AK1090)+COUNTIFS(LdBMember,$AE1090,LdBKey,"&lt;"&amp;$AK1090)+COUNTIFS(LdCParty,$AE1090,LdCKey,"&lt;"&amp;$AK1090)+1)</f>
        <v/>
      </c>
      <c r="AM1090">
        <f>IF($AL1090="","",$AE1090&amp;"|"&amp;RIGHT("000000"&amp;$AL1090,6))</f>
        <v/>
      </c>
      <c r="AN1090">
        <f>IF($AE1090="","",IF(Sync!$W1090="",0,Sync!$W1090))</f>
        <v/>
      </c>
      <c r="AO1090">
        <f>IF($AE1090="","",IF(Sync!$X1090="",0,Sync!$X1090))</f>
        <v/>
      </c>
      <c r="AP1090">
        <f>IF($AE1090="","",Sync!$R1090)</f>
        <v/>
      </c>
      <c r="AQ1090">
        <f>IF($AE1090="","",Sync!$Y1090)</f>
        <v/>
      </c>
    </row>
    <row r="1091">
      <c r="A1091">
        <f>IF(OR(Wages!$B1094="",Wages!$E1094=""),"",Wages!$E1094)</f>
        <v/>
      </c>
      <c r="B1091">
        <f>IF($A1091="","",IF(Wages!$C1094="دستمزد گروهی",2,1))</f>
        <v/>
      </c>
      <c r="C1091">
        <f>IF($A1091="","",IF(ISNUMBER(Wages!$B1094),IF(AND(Wages!$B1094&gt;=10000101,Wages!$B1094&lt;=99991231),INT(Wages!$B1094/10000),""),IFERROR(VALUE(TRIM(LEFT(Wages!$B1094,FIND("/",Wages!$B1094)-1))),"")))</f>
        <v/>
      </c>
      <c r="D1091">
        <f>IF(OR($A1091="",$C1091=""),"",IF(ISNUMBER(Wages!$B1094),INT(MOD(Wages!$B1094,10000)/100),IFERROR(VALUE(TRIM(LEFT(MID(Wages!$B1094,FIND("/",Wages!$B1094)+1,20),FIND("/",MID(Wages!$B1094,FIND("/",Wages!$B1094)+1,20))-1))),"")))</f>
        <v/>
      </c>
      <c r="E1091">
        <f>IF(OR($A1091="",$C1091=""),"",IF(ISNUMBER(Wages!$B1094),MOD(Wages!$B1094,100),IFERROR(VALUE(TRIM(MID(MID(Wages!$B1094,FIND("/",Wages!$B1094)+1,20),FIND("/",MID(Wages!$B1094,FIND("/",Wages!$B1094)+1,20))+1,20))),"")))</f>
        <v/>
      </c>
      <c r="F1091">
        <f>IF($A1091="","",IF(OR($C1091="",$D1091="",$E1091="",$C1091&lt;1300,$C1091&gt;1500,$D1091&lt;1,$D1091&gt;12,$E1091&lt;1,$E1091&gt;31),"نامعتبر",RIGHT("0000"&amp;$C1091,4)&amp;"/"&amp;RIGHT("00"&amp;$D1091,2)&amp;"/"&amp;RIGHT("00"&amp;$E1091,2)))</f>
        <v/>
      </c>
      <c r="G1091">
        <f>IF(OR($A1091="",$F1091="",$F1091="نامعتبر"),"",LEFT($F1091,4)&amp;MID($F1091,6,2)&amp;RIGHT($F1091,2)&amp;"0000"&amp;"|"&amp;"1"&amp;RIGHT("00000"&amp;1086,5))</f>
        <v/>
      </c>
      <c r="H1091">
        <f>IF(OR($B1091&lt;&gt;1,$G1091=""),"",COUNTIFS(LdAParty,$A1091,LdAType,1,LdAKey,"&lt;"&amp;$G1091)+COUNTIFS(LdBMember,$A1091,LdBKey,"&lt;"&amp;$G1091)+COUNTIFS(LdCParty,$A1091,LdCKey,"&lt;"&amp;$G1091)+1)</f>
        <v/>
      </c>
      <c r="I1091">
        <f>IF($H1091="","",$A1091&amp;"|"&amp;RIGHT("000000"&amp;$H1091,6))</f>
        <v/>
      </c>
      <c r="J1091">
        <f>IF(OR($B1091&lt;&gt;2,$G1091=""),"",COUNTIFS(LdAParty,$A1091,LdAType,2,LdAKey,"&lt;"&amp;$G1091)+1)</f>
        <v/>
      </c>
      <c r="K1091">
        <f>IF($J1091="","",$A1091&amp;"|"&amp;RIGHT("000000"&amp;$J1091,6))</f>
        <v/>
      </c>
      <c r="L1091">
        <f>IF($A1091="","",IF(Wages!$G1094="",0,Wages!$G1094))</f>
        <v/>
      </c>
      <c r="M1091">
        <f>IF($A1091="","",Wages!$J1094)</f>
        <v/>
      </c>
      <c r="N1091">
        <f>IF($A1091="","",Wages!$D1094)</f>
        <v/>
      </c>
      <c r="P1091">
        <f>IF(OR(Shares!$B1094="",Shares!$C1094=""),"",Shares!$C1094)</f>
        <v/>
      </c>
      <c r="Q1091">
        <f>IF($P1091="","",Shares!$B1094)</f>
        <v/>
      </c>
      <c r="R1091">
        <f>IF($P1091="","",IFERROR(INDEX(WageParty,MATCH($Q1091,WageIds,0)),""))</f>
        <v/>
      </c>
      <c r="S1091">
        <f>IF($P1091="","",IFERROR(INDEX($F$6:$F$2005,MATCH($Q1091,WageIds,0)),""))</f>
        <v/>
      </c>
      <c r="T1091">
        <f>IF(OR($P1091="",$S1091="",$S1091="نامعتبر"),"",LEFT($S1091,4)&amp;MID($S1091,6,2)&amp;RIGHT($S1091,2)&amp;"0000"&amp;"|"&amp;"2"&amp;RIGHT("00000"&amp;1086,5))</f>
        <v/>
      </c>
      <c r="U1091">
        <f>IF($T1091="","",COUNTIFS(LdAParty,$P1091,LdAType,1,LdAKey,"&lt;"&amp;$T1091)+COUNTIFS(LdBMember,$P1091,LdBKey,"&lt;"&amp;$T1091)+COUNTIFS(LdCParty,$P1091,LdCKey,"&lt;"&amp;$T1091)+1)</f>
        <v/>
      </c>
      <c r="V1091">
        <f>IF($U1091="","",$P1091&amp;"|"&amp;RIGHT("000000"&amp;$U1091,6))</f>
        <v/>
      </c>
      <c r="W1091">
        <f>IF($T1091="","",COUNTIFS(LdBGroup,$R1091,LdBKey,"&lt;"&amp;$T1091)+1)</f>
        <v/>
      </c>
      <c r="X1091">
        <f>IF($W1091="","",$R1091&amp;"|"&amp;RIGHT("000000"&amp;$W1091,6))</f>
        <v/>
      </c>
      <c r="Y1091">
        <f>IF($P1091="","",IF(Shares!$E1094="",0,Shares!$E1094))</f>
        <v/>
      </c>
      <c r="Z1091">
        <f>IF($P1091="","",Shares!$H1094)</f>
        <v/>
      </c>
      <c r="AE1091">
        <f>IF(OR(Sync!$S1091="",Sync!$P1091=""),"",Sync!$S1091)</f>
        <v/>
      </c>
      <c r="AF1091">
        <f>IF($AE1091="","",IF(ISNUMBER(Sync!$P1091),IF(AND(Sync!$P1091&gt;=10000101,Sync!$P1091&lt;=99991231),INT(Sync!$P1091/10000),""),IFERROR(VALUE(TRIM(LEFT(Sync!$P1091,FIND("/",Sync!$P1091)-1))),"")))</f>
        <v/>
      </c>
      <c r="AG1091">
        <f>IF(OR($AE1091="",$AF1091=""),"",IF(ISNUMBER(Sync!$P1091),INT(MOD(Sync!$P1091,10000)/100),IFERROR(VALUE(TRIM(LEFT(MID(Sync!$P1091,FIND("/",Sync!$P1091)+1,20),FIND("/",MID(Sync!$P1091,FIND("/",Sync!$P1091)+1,20))-1))),"")))</f>
        <v/>
      </c>
      <c r="AH1091">
        <f>IF(OR($AE1091="",$AF1091=""),"",IF(ISNUMBER(Sync!$P1091),MOD(Sync!$P1091,100),IFERROR(VALUE(TRIM(MID(MID(Sync!$P1091,FIND("/",Sync!$P1091)+1,20),FIND("/",MID(Sync!$P1091,FIND("/",Sync!$P1091)+1,20))+1,20))),"")))</f>
        <v/>
      </c>
      <c r="AI1091">
        <f>IF($AE1091="","",IF(OR($AF1091="",$AG1091="",$AH1091="",$AF1091&lt;1300,$AF1091&gt;1500,$AG1091&lt;1,$AG1091&gt;12,$AH1091&lt;1,$AH1091&gt;31),"نامعتبر",RIGHT("0000"&amp;$AF1091,4)&amp;"/"&amp;RIGHT("00"&amp;$AG1091,2)&amp;"/"&amp;RIGHT("00"&amp;$AH1091,2)))</f>
        <v/>
      </c>
      <c r="AJ1091">
        <f>IF($AE1091="","",IF(Sync!$Q1091="","0000",IF(AND(ISNUMBER(Sync!$Q1091),Sync!$Q1091&gt;=0,Sync!$Q1091&lt;1),RIGHT("00"&amp;HOUR(Sync!$Q1091),2)&amp;RIGHT("00"&amp;MINUTE(Sync!$Q1091),2),IFERROR(RIGHT("00"&amp;VALUE(LEFT(Sync!$Q1091,FIND(":",Sync!$Q1091)-1)),2)&amp;RIGHT("00"&amp;VALUE(MID(Sync!$Q1091,FIND(":",Sync!$Q1091)+1,2)),2),"0000"))))</f>
        <v/>
      </c>
      <c r="AK1091">
        <f>IF(OR($AE1091="",$AI1091="",$AI1091="نامعتبر"),"",LEFT($AI1091,4)&amp;MID($AI1091,6,2)&amp;RIGHT($AI1091,2)&amp;$AJ1091&amp;"|"&amp;"3"&amp;RIGHT("00000"&amp;1086,5))</f>
        <v/>
      </c>
      <c r="AL1091">
        <f>IF($AK1091="","",COUNTIFS(LdAParty,$AE1091,LdAType,1,LdAKey,"&lt;"&amp;$AK1091)+COUNTIFS(LdBMember,$AE1091,LdBKey,"&lt;"&amp;$AK1091)+COUNTIFS(LdCParty,$AE1091,LdCKey,"&lt;"&amp;$AK1091)+1)</f>
        <v/>
      </c>
      <c r="AM1091">
        <f>IF($AL1091="","",$AE1091&amp;"|"&amp;RIGHT("000000"&amp;$AL1091,6))</f>
        <v/>
      </c>
      <c r="AN1091">
        <f>IF($AE1091="","",IF(Sync!$W1091="",0,Sync!$W1091))</f>
        <v/>
      </c>
      <c r="AO1091">
        <f>IF($AE1091="","",IF(Sync!$X1091="",0,Sync!$X1091))</f>
        <v/>
      </c>
      <c r="AP1091">
        <f>IF($AE1091="","",Sync!$R1091)</f>
        <v/>
      </c>
      <c r="AQ1091">
        <f>IF($AE1091="","",Sync!$Y1091)</f>
        <v/>
      </c>
    </row>
    <row r="1092">
      <c r="A1092">
        <f>IF(OR(Wages!$B1095="",Wages!$E1095=""),"",Wages!$E1095)</f>
        <v/>
      </c>
      <c r="B1092">
        <f>IF($A1092="","",IF(Wages!$C1095="دستمزد گروهی",2,1))</f>
        <v/>
      </c>
      <c r="C1092">
        <f>IF($A1092="","",IF(ISNUMBER(Wages!$B1095),IF(AND(Wages!$B1095&gt;=10000101,Wages!$B1095&lt;=99991231),INT(Wages!$B1095/10000),""),IFERROR(VALUE(TRIM(LEFT(Wages!$B1095,FIND("/",Wages!$B1095)-1))),"")))</f>
        <v/>
      </c>
      <c r="D1092">
        <f>IF(OR($A1092="",$C1092=""),"",IF(ISNUMBER(Wages!$B1095),INT(MOD(Wages!$B1095,10000)/100),IFERROR(VALUE(TRIM(LEFT(MID(Wages!$B1095,FIND("/",Wages!$B1095)+1,20),FIND("/",MID(Wages!$B1095,FIND("/",Wages!$B1095)+1,20))-1))),"")))</f>
        <v/>
      </c>
      <c r="E1092">
        <f>IF(OR($A1092="",$C1092=""),"",IF(ISNUMBER(Wages!$B1095),MOD(Wages!$B1095,100),IFERROR(VALUE(TRIM(MID(MID(Wages!$B1095,FIND("/",Wages!$B1095)+1,20),FIND("/",MID(Wages!$B1095,FIND("/",Wages!$B1095)+1,20))+1,20))),"")))</f>
        <v/>
      </c>
      <c r="F1092">
        <f>IF($A1092="","",IF(OR($C1092="",$D1092="",$E1092="",$C1092&lt;1300,$C1092&gt;1500,$D1092&lt;1,$D1092&gt;12,$E1092&lt;1,$E1092&gt;31),"نامعتبر",RIGHT("0000"&amp;$C1092,4)&amp;"/"&amp;RIGHT("00"&amp;$D1092,2)&amp;"/"&amp;RIGHT("00"&amp;$E1092,2)))</f>
        <v/>
      </c>
      <c r="G1092">
        <f>IF(OR($A1092="",$F1092="",$F1092="نامعتبر"),"",LEFT($F1092,4)&amp;MID($F1092,6,2)&amp;RIGHT($F1092,2)&amp;"0000"&amp;"|"&amp;"1"&amp;RIGHT("00000"&amp;1087,5))</f>
        <v/>
      </c>
      <c r="H1092">
        <f>IF(OR($B1092&lt;&gt;1,$G1092=""),"",COUNTIFS(LdAParty,$A1092,LdAType,1,LdAKey,"&lt;"&amp;$G1092)+COUNTIFS(LdBMember,$A1092,LdBKey,"&lt;"&amp;$G1092)+COUNTIFS(LdCParty,$A1092,LdCKey,"&lt;"&amp;$G1092)+1)</f>
        <v/>
      </c>
      <c r="I1092">
        <f>IF($H1092="","",$A1092&amp;"|"&amp;RIGHT("000000"&amp;$H1092,6))</f>
        <v/>
      </c>
      <c r="J1092">
        <f>IF(OR($B1092&lt;&gt;2,$G1092=""),"",COUNTIFS(LdAParty,$A1092,LdAType,2,LdAKey,"&lt;"&amp;$G1092)+1)</f>
        <v/>
      </c>
      <c r="K1092">
        <f>IF($J1092="","",$A1092&amp;"|"&amp;RIGHT("000000"&amp;$J1092,6))</f>
        <v/>
      </c>
      <c r="L1092">
        <f>IF($A1092="","",IF(Wages!$G1095="",0,Wages!$G1095))</f>
        <v/>
      </c>
      <c r="M1092">
        <f>IF($A1092="","",Wages!$J1095)</f>
        <v/>
      </c>
      <c r="N1092">
        <f>IF($A1092="","",Wages!$D1095)</f>
        <v/>
      </c>
      <c r="P1092">
        <f>IF(OR(Shares!$B1095="",Shares!$C1095=""),"",Shares!$C1095)</f>
        <v/>
      </c>
      <c r="Q1092">
        <f>IF($P1092="","",Shares!$B1095)</f>
        <v/>
      </c>
      <c r="R1092">
        <f>IF($P1092="","",IFERROR(INDEX(WageParty,MATCH($Q1092,WageIds,0)),""))</f>
        <v/>
      </c>
      <c r="S1092">
        <f>IF($P1092="","",IFERROR(INDEX($F$6:$F$2005,MATCH($Q1092,WageIds,0)),""))</f>
        <v/>
      </c>
      <c r="T1092">
        <f>IF(OR($P1092="",$S1092="",$S1092="نامعتبر"),"",LEFT($S1092,4)&amp;MID($S1092,6,2)&amp;RIGHT($S1092,2)&amp;"0000"&amp;"|"&amp;"2"&amp;RIGHT("00000"&amp;1087,5))</f>
        <v/>
      </c>
      <c r="U1092">
        <f>IF($T1092="","",COUNTIFS(LdAParty,$P1092,LdAType,1,LdAKey,"&lt;"&amp;$T1092)+COUNTIFS(LdBMember,$P1092,LdBKey,"&lt;"&amp;$T1092)+COUNTIFS(LdCParty,$P1092,LdCKey,"&lt;"&amp;$T1092)+1)</f>
        <v/>
      </c>
      <c r="V1092">
        <f>IF($U1092="","",$P1092&amp;"|"&amp;RIGHT("000000"&amp;$U1092,6))</f>
        <v/>
      </c>
      <c r="W1092">
        <f>IF($T1092="","",COUNTIFS(LdBGroup,$R1092,LdBKey,"&lt;"&amp;$T1092)+1)</f>
        <v/>
      </c>
      <c r="X1092">
        <f>IF($W1092="","",$R1092&amp;"|"&amp;RIGHT("000000"&amp;$W1092,6))</f>
        <v/>
      </c>
      <c r="Y1092">
        <f>IF($P1092="","",IF(Shares!$E1095="",0,Shares!$E1095))</f>
        <v/>
      </c>
      <c r="Z1092">
        <f>IF($P1092="","",Shares!$H1095)</f>
        <v/>
      </c>
      <c r="AE1092">
        <f>IF(OR(Sync!$S1092="",Sync!$P1092=""),"",Sync!$S1092)</f>
        <v/>
      </c>
      <c r="AF1092">
        <f>IF($AE1092="","",IF(ISNUMBER(Sync!$P1092),IF(AND(Sync!$P1092&gt;=10000101,Sync!$P1092&lt;=99991231),INT(Sync!$P1092/10000),""),IFERROR(VALUE(TRIM(LEFT(Sync!$P1092,FIND("/",Sync!$P1092)-1))),"")))</f>
        <v/>
      </c>
      <c r="AG1092">
        <f>IF(OR($AE1092="",$AF1092=""),"",IF(ISNUMBER(Sync!$P1092),INT(MOD(Sync!$P1092,10000)/100),IFERROR(VALUE(TRIM(LEFT(MID(Sync!$P1092,FIND("/",Sync!$P1092)+1,20),FIND("/",MID(Sync!$P1092,FIND("/",Sync!$P1092)+1,20))-1))),"")))</f>
        <v/>
      </c>
      <c r="AH1092">
        <f>IF(OR($AE1092="",$AF1092=""),"",IF(ISNUMBER(Sync!$P1092),MOD(Sync!$P1092,100),IFERROR(VALUE(TRIM(MID(MID(Sync!$P1092,FIND("/",Sync!$P1092)+1,20),FIND("/",MID(Sync!$P1092,FIND("/",Sync!$P1092)+1,20))+1,20))),"")))</f>
        <v/>
      </c>
      <c r="AI1092">
        <f>IF($AE1092="","",IF(OR($AF1092="",$AG1092="",$AH1092="",$AF1092&lt;1300,$AF1092&gt;1500,$AG1092&lt;1,$AG1092&gt;12,$AH1092&lt;1,$AH1092&gt;31),"نامعتبر",RIGHT("0000"&amp;$AF1092,4)&amp;"/"&amp;RIGHT("00"&amp;$AG1092,2)&amp;"/"&amp;RIGHT("00"&amp;$AH1092,2)))</f>
        <v/>
      </c>
      <c r="AJ1092">
        <f>IF($AE1092="","",IF(Sync!$Q1092="","0000",IF(AND(ISNUMBER(Sync!$Q1092),Sync!$Q1092&gt;=0,Sync!$Q1092&lt;1),RIGHT("00"&amp;HOUR(Sync!$Q1092),2)&amp;RIGHT("00"&amp;MINUTE(Sync!$Q1092),2),IFERROR(RIGHT("00"&amp;VALUE(LEFT(Sync!$Q1092,FIND(":",Sync!$Q1092)-1)),2)&amp;RIGHT("00"&amp;VALUE(MID(Sync!$Q1092,FIND(":",Sync!$Q1092)+1,2)),2),"0000"))))</f>
        <v/>
      </c>
      <c r="AK1092">
        <f>IF(OR($AE1092="",$AI1092="",$AI1092="نامعتبر"),"",LEFT($AI1092,4)&amp;MID($AI1092,6,2)&amp;RIGHT($AI1092,2)&amp;$AJ1092&amp;"|"&amp;"3"&amp;RIGHT("00000"&amp;1087,5))</f>
        <v/>
      </c>
      <c r="AL1092">
        <f>IF($AK1092="","",COUNTIFS(LdAParty,$AE1092,LdAType,1,LdAKey,"&lt;"&amp;$AK1092)+COUNTIFS(LdBMember,$AE1092,LdBKey,"&lt;"&amp;$AK1092)+COUNTIFS(LdCParty,$AE1092,LdCKey,"&lt;"&amp;$AK1092)+1)</f>
        <v/>
      </c>
      <c r="AM1092">
        <f>IF($AL1092="","",$AE1092&amp;"|"&amp;RIGHT("000000"&amp;$AL1092,6))</f>
        <v/>
      </c>
      <c r="AN1092">
        <f>IF($AE1092="","",IF(Sync!$W1092="",0,Sync!$W1092))</f>
        <v/>
      </c>
      <c r="AO1092">
        <f>IF($AE1092="","",IF(Sync!$X1092="",0,Sync!$X1092))</f>
        <v/>
      </c>
      <c r="AP1092">
        <f>IF($AE1092="","",Sync!$R1092)</f>
        <v/>
      </c>
      <c r="AQ1092">
        <f>IF($AE1092="","",Sync!$Y1092)</f>
        <v/>
      </c>
    </row>
    <row r="1093">
      <c r="A1093">
        <f>IF(OR(Wages!$B1096="",Wages!$E1096=""),"",Wages!$E1096)</f>
        <v/>
      </c>
      <c r="B1093">
        <f>IF($A1093="","",IF(Wages!$C1096="دستمزد گروهی",2,1))</f>
        <v/>
      </c>
      <c r="C1093">
        <f>IF($A1093="","",IF(ISNUMBER(Wages!$B1096),IF(AND(Wages!$B1096&gt;=10000101,Wages!$B1096&lt;=99991231),INT(Wages!$B1096/10000),""),IFERROR(VALUE(TRIM(LEFT(Wages!$B1096,FIND("/",Wages!$B1096)-1))),"")))</f>
        <v/>
      </c>
      <c r="D1093">
        <f>IF(OR($A1093="",$C1093=""),"",IF(ISNUMBER(Wages!$B1096),INT(MOD(Wages!$B1096,10000)/100),IFERROR(VALUE(TRIM(LEFT(MID(Wages!$B1096,FIND("/",Wages!$B1096)+1,20),FIND("/",MID(Wages!$B1096,FIND("/",Wages!$B1096)+1,20))-1))),"")))</f>
        <v/>
      </c>
      <c r="E1093">
        <f>IF(OR($A1093="",$C1093=""),"",IF(ISNUMBER(Wages!$B1096),MOD(Wages!$B1096,100),IFERROR(VALUE(TRIM(MID(MID(Wages!$B1096,FIND("/",Wages!$B1096)+1,20),FIND("/",MID(Wages!$B1096,FIND("/",Wages!$B1096)+1,20))+1,20))),"")))</f>
        <v/>
      </c>
      <c r="F1093">
        <f>IF($A1093="","",IF(OR($C1093="",$D1093="",$E1093="",$C1093&lt;1300,$C1093&gt;1500,$D1093&lt;1,$D1093&gt;12,$E1093&lt;1,$E1093&gt;31),"نامعتبر",RIGHT("0000"&amp;$C1093,4)&amp;"/"&amp;RIGHT("00"&amp;$D1093,2)&amp;"/"&amp;RIGHT("00"&amp;$E1093,2)))</f>
        <v/>
      </c>
      <c r="G1093">
        <f>IF(OR($A1093="",$F1093="",$F1093="نامعتبر"),"",LEFT($F1093,4)&amp;MID($F1093,6,2)&amp;RIGHT($F1093,2)&amp;"0000"&amp;"|"&amp;"1"&amp;RIGHT("00000"&amp;1088,5))</f>
        <v/>
      </c>
      <c r="H1093">
        <f>IF(OR($B1093&lt;&gt;1,$G1093=""),"",COUNTIFS(LdAParty,$A1093,LdAType,1,LdAKey,"&lt;"&amp;$G1093)+COUNTIFS(LdBMember,$A1093,LdBKey,"&lt;"&amp;$G1093)+COUNTIFS(LdCParty,$A1093,LdCKey,"&lt;"&amp;$G1093)+1)</f>
        <v/>
      </c>
      <c r="I1093">
        <f>IF($H1093="","",$A1093&amp;"|"&amp;RIGHT("000000"&amp;$H1093,6))</f>
        <v/>
      </c>
      <c r="J1093">
        <f>IF(OR($B1093&lt;&gt;2,$G1093=""),"",COUNTIFS(LdAParty,$A1093,LdAType,2,LdAKey,"&lt;"&amp;$G1093)+1)</f>
        <v/>
      </c>
      <c r="K1093">
        <f>IF($J1093="","",$A1093&amp;"|"&amp;RIGHT("000000"&amp;$J1093,6))</f>
        <v/>
      </c>
      <c r="L1093">
        <f>IF($A1093="","",IF(Wages!$G1096="",0,Wages!$G1096))</f>
        <v/>
      </c>
      <c r="M1093">
        <f>IF($A1093="","",Wages!$J1096)</f>
        <v/>
      </c>
      <c r="N1093">
        <f>IF($A1093="","",Wages!$D1096)</f>
        <v/>
      </c>
      <c r="P1093">
        <f>IF(OR(Shares!$B1096="",Shares!$C1096=""),"",Shares!$C1096)</f>
        <v/>
      </c>
      <c r="Q1093">
        <f>IF($P1093="","",Shares!$B1096)</f>
        <v/>
      </c>
      <c r="R1093">
        <f>IF($P1093="","",IFERROR(INDEX(WageParty,MATCH($Q1093,WageIds,0)),""))</f>
        <v/>
      </c>
      <c r="S1093">
        <f>IF($P1093="","",IFERROR(INDEX($F$6:$F$2005,MATCH($Q1093,WageIds,0)),""))</f>
        <v/>
      </c>
      <c r="T1093">
        <f>IF(OR($P1093="",$S1093="",$S1093="نامعتبر"),"",LEFT($S1093,4)&amp;MID($S1093,6,2)&amp;RIGHT($S1093,2)&amp;"0000"&amp;"|"&amp;"2"&amp;RIGHT("00000"&amp;1088,5))</f>
        <v/>
      </c>
      <c r="U1093">
        <f>IF($T1093="","",COUNTIFS(LdAParty,$P1093,LdAType,1,LdAKey,"&lt;"&amp;$T1093)+COUNTIFS(LdBMember,$P1093,LdBKey,"&lt;"&amp;$T1093)+COUNTIFS(LdCParty,$P1093,LdCKey,"&lt;"&amp;$T1093)+1)</f>
        <v/>
      </c>
      <c r="V1093">
        <f>IF($U1093="","",$P1093&amp;"|"&amp;RIGHT("000000"&amp;$U1093,6))</f>
        <v/>
      </c>
      <c r="W1093">
        <f>IF($T1093="","",COUNTIFS(LdBGroup,$R1093,LdBKey,"&lt;"&amp;$T1093)+1)</f>
        <v/>
      </c>
      <c r="X1093">
        <f>IF($W1093="","",$R1093&amp;"|"&amp;RIGHT("000000"&amp;$W1093,6))</f>
        <v/>
      </c>
      <c r="Y1093">
        <f>IF($P1093="","",IF(Shares!$E1096="",0,Shares!$E1096))</f>
        <v/>
      </c>
      <c r="Z1093">
        <f>IF($P1093="","",Shares!$H1096)</f>
        <v/>
      </c>
      <c r="AE1093">
        <f>IF(OR(Sync!$S1093="",Sync!$P1093=""),"",Sync!$S1093)</f>
        <v/>
      </c>
      <c r="AF1093">
        <f>IF($AE1093="","",IF(ISNUMBER(Sync!$P1093),IF(AND(Sync!$P1093&gt;=10000101,Sync!$P1093&lt;=99991231),INT(Sync!$P1093/10000),""),IFERROR(VALUE(TRIM(LEFT(Sync!$P1093,FIND("/",Sync!$P1093)-1))),"")))</f>
        <v/>
      </c>
      <c r="AG1093">
        <f>IF(OR($AE1093="",$AF1093=""),"",IF(ISNUMBER(Sync!$P1093),INT(MOD(Sync!$P1093,10000)/100),IFERROR(VALUE(TRIM(LEFT(MID(Sync!$P1093,FIND("/",Sync!$P1093)+1,20),FIND("/",MID(Sync!$P1093,FIND("/",Sync!$P1093)+1,20))-1))),"")))</f>
        <v/>
      </c>
      <c r="AH1093">
        <f>IF(OR($AE1093="",$AF1093=""),"",IF(ISNUMBER(Sync!$P1093),MOD(Sync!$P1093,100),IFERROR(VALUE(TRIM(MID(MID(Sync!$P1093,FIND("/",Sync!$P1093)+1,20),FIND("/",MID(Sync!$P1093,FIND("/",Sync!$P1093)+1,20))+1,20))),"")))</f>
        <v/>
      </c>
      <c r="AI1093">
        <f>IF($AE1093="","",IF(OR($AF1093="",$AG1093="",$AH1093="",$AF1093&lt;1300,$AF1093&gt;1500,$AG1093&lt;1,$AG1093&gt;12,$AH1093&lt;1,$AH1093&gt;31),"نامعتبر",RIGHT("0000"&amp;$AF1093,4)&amp;"/"&amp;RIGHT("00"&amp;$AG1093,2)&amp;"/"&amp;RIGHT("00"&amp;$AH1093,2)))</f>
        <v/>
      </c>
      <c r="AJ1093">
        <f>IF($AE1093="","",IF(Sync!$Q1093="","0000",IF(AND(ISNUMBER(Sync!$Q1093),Sync!$Q1093&gt;=0,Sync!$Q1093&lt;1),RIGHT("00"&amp;HOUR(Sync!$Q1093),2)&amp;RIGHT("00"&amp;MINUTE(Sync!$Q1093),2),IFERROR(RIGHT("00"&amp;VALUE(LEFT(Sync!$Q1093,FIND(":",Sync!$Q1093)-1)),2)&amp;RIGHT("00"&amp;VALUE(MID(Sync!$Q1093,FIND(":",Sync!$Q1093)+1,2)),2),"0000"))))</f>
        <v/>
      </c>
      <c r="AK1093">
        <f>IF(OR($AE1093="",$AI1093="",$AI1093="نامعتبر"),"",LEFT($AI1093,4)&amp;MID($AI1093,6,2)&amp;RIGHT($AI1093,2)&amp;$AJ1093&amp;"|"&amp;"3"&amp;RIGHT("00000"&amp;1088,5))</f>
        <v/>
      </c>
      <c r="AL1093">
        <f>IF($AK1093="","",COUNTIFS(LdAParty,$AE1093,LdAType,1,LdAKey,"&lt;"&amp;$AK1093)+COUNTIFS(LdBMember,$AE1093,LdBKey,"&lt;"&amp;$AK1093)+COUNTIFS(LdCParty,$AE1093,LdCKey,"&lt;"&amp;$AK1093)+1)</f>
        <v/>
      </c>
      <c r="AM1093">
        <f>IF($AL1093="","",$AE1093&amp;"|"&amp;RIGHT("000000"&amp;$AL1093,6))</f>
        <v/>
      </c>
      <c r="AN1093">
        <f>IF($AE1093="","",IF(Sync!$W1093="",0,Sync!$W1093))</f>
        <v/>
      </c>
      <c r="AO1093">
        <f>IF($AE1093="","",IF(Sync!$X1093="",0,Sync!$X1093))</f>
        <v/>
      </c>
      <c r="AP1093">
        <f>IF($AE1093="","",Sync!$R1093)</f>
        <v/>
      </c>
      <c r="AQ1093">
        <f>IF($AE1093="","",Sync!$Y1093)</f>
        <v/>
      </c>
    </row>
    <row r="1094">
      <c r="A1094">
        <f>IF(OR(Wages!$B1097="",Wages!$E1097=""),"",Wages!$E1097)</f>
        <v/>
      </c>
      <c r="B1094">
        <f>IF($A1094="","",IF(Wages!$C1097="دستمزد گروهی",2,1))</f>
        <v/>
      </c>
      <c r="C1094">
        <f>IF($A1094="","",IF(ISNUMBER(Wages!$B1097),IF(AND(Wages!$B1097&gt;=10000101,Wages!$B1097&lt;=99991231),INT(Wages!$B1097/10000),""),IFERROR(VALUE(TRIM(LEFT(Wages!$B1097,FIND("/",Wages!$B1097)-1))),"")))</f>
        <v/>
      </c>
      <c r="D1094">
        <f>IF(OR($A1094="",$C1094=""),"",IF(ISNUMBER(Wages!$B1097),INT(MOD(Wages!$B1097,10000)/100),IFERROR(VALUE(TRIM(LEFT(MID(Wages!$B1097,FIND("/",Wages!$B1097)+1,20),FIND("/",MID(Wages!$B1097,FIND("/",Wages!$B1097)+1,20))-1))),"")))</f>
        <v/>
      </c>
      <c r="E1094">
        <f>IF(OR($A1094="",$C1094=""),"",IF(ISNUMBER(Wages!$B1097),MOD(Wages!$B1097,100),IFERROR(VALUE(TRIM(MID(MID(Wages!$B1097,FIND("/",Wages!$B1097)+1,20),FIND("/",MID(Wages!$B1097,FIND("/",Wages!$B1097)+1,20))+1,20))),"")))</f>
        <v/>
      </c>
      <c r="F1094">
        <f>IF($A1094="","",IF(OR($C1094="",$D1094="",$E1094="",$C1094&lt;1300,$C1094&gt;1500,$D1094&lt;1,$D1094&gt;12,$E1094&lt;1,$E1094&gt;31),"نامعتبر",RIGHT("0000"&amp;$C1094,4)&amp;"/"&amp;RIGHT("00"&amp;$D1094,2)&amp;"/"&amp;RIGHT("00"&amp;$E1094,2)))</f>
        <v/>
      </c>
      <c r="G1094">
        <f>IF(OR($A1094="",$F1094="",$F1094="نامعتبر"),"",LEFT($F1094,4)&amp;MID($F1094,6,2)&amp;RIGHT($F1094,2)&amp;"0000"&amp;"|"&amp;"1"&amp;RIGHT("00000"&amp;1089,5))</f>
        <v/>
      </c>
      <c r="H1094">
        <f>IF(OR($B1094&lt;&gt;1,$G1094=""),"",COUNTIFS(LdAParty,$A1094,LdAType,1,LdAKey,"&lt;"&amp;$G1094)+COUNTIFS(LdBMember,$A1094,LdBKey,"&lt;"&amp;$G1094)+COUNTIFS(LdCParty,$A1094,LdCKey,"&lt;"&amp;$G1094)+1)</f>
        <v/>
      </c>
      <c r="I1094">
        <f>IF($H1094="","",$A1094&amp;"|"&amp;RIGHT("000000"&amp;$H1094,6))</f>
        <v/>
      </c>
      <c r="J1094">
        <f>IF(OR($B1094&lt;&gt;2,$G1094=""),"",COUNTIFS(LdAParty,$A1094,LdAType,2,LdAKey,"&lt;"&amp;$G1094)+1)</f>
        <v/>
      </c>
      <c r="K1094">
        <f>IF($J1094="","",$A1094&amp;"|"&amp;RIGHT("000000"&amp;$J1094,6))</f>
        <v/>
      </c>
      <c r="L1094">
        <f>IF($A1094="","",IF(Wages!$G1097="",0,Wages!$G1097))</f>
        <v/>
      </c>
      <c r="M1094">
        <f>IF($A1094="","",Wages!$J1097)</f>
        <v/>
      </c>
      <c r="N1094">
        <f>IF($A1094="","",Wages!$D1097)</f>
        <v/>
      </c>
      <c r="P1094">
        <f>IF(OR(Shares!$B1097="",Shares!$C1097=""),"",Shares!$C1097)</f>
        <v/>
      </c>
      <c r="Q1094">
        <f>IF($P1094="","",Shares!$B1097)</f>
        <v/>
      </c>
      <c r="R1094">
        <f>IF($P1094="","",IFERROR(INDEX(WageParty,MATCH($Q1094,WageIds,0)),""))</f>
        <v/>
      </c>
      <c r="S1094">
        <f>IF($P1094="","",IFERROR(INDEX($F$6:$F$2005,MATCH($Q1094,WageIds,0)),""))</f>
        <v/>
      </c>
      <c r="T1094">
        <f>IF(OR($P1094="",$S1094="",$S1094="نامعتبر"),"",LEFT($S1094,4)&amp;MID($S1094,6,2)&amp;RIGHT($S1094,2)&amp;"0000"&amp;"|"&amp;"2"&amp;RIGHT("00000"&amp;1089,5))</f>
        <v/>
      </c>
      <c r="U1094">
        <f>IF($T1094="","",COUNTIFS(LdAParty,$P1094,LdAType,1,LdAKey,"&lt;"&amp;$T1094)+COUNTIFS(LdBMember,$P1094,LdBKey,"&lt;"&amp;$T1094)+COUNTIFS(LdCParty,$P1094,LdCKey,"&lt;"&amp;$T1094)+1)</f>
        <v/>
      </c>
      <c r="V1094">
        <f>IF($U1094="","",$P1094&amp;"|"&amp;RIGHT("000000"&amp;$U1094,6))</f>
        <v/>
      </c>
      <c r="W1094">
        <f>IF($T1094="","",COUNTIFS(LdBGroup,$R1094,LdBKey,"&lt;"&amp;$T1094)+1)</f>
        <v/>
      </c>
      <c r="X1094">
        <f>IF($W1094="","",$R1094&amp;"|"&amp;RIGHT("000000"&amp;$W1094,6))</f>
        <v/>
      </c>
      <c r="Y1094">
        <f>IF($P1094="","",IF(Shares!$E1097="",0,Shares!$E1097))</f>
        <v/>
      </c>
      <c r="Z1094">
        <f>IF($P1094="","",Shares!$H1097)</f>
        <v/>
      </c>
      <c r="AE1094">
        <f>IF(OR(Sync!$S1094="",Sync!$P1094=""),"",Sync!$S1094)</f>
        <v/>
      </c>
      <c r="AF1094">
        <f>IF($AE1094="","",IF(ISNUMBER(Sync!$P1094),IF(AND(Sync!$P1094&gt;=10000101,Sync!$P1094&lt;=99991231),INT(Sync!$P1094/10000),""),IFERROR(VALUE(TRIM(LEFT(Sync!$P1094,FIND("/",Sync!$P1094)-1))),"")))</f>
        <v/>
      </c>
      <c r="AG1094">
        <f>IF(OR($AE1094="",$AF1094=""),"",IF(ISNUMBER(Sync!$P1094),INT(MOD(Sync!$P1094,10000)/100),IFERROR(VALUE(TRIM(LEFT(MID(Sync!$P1094,FIND("/",Sync!$P1094)+1,20),FIND("/",MID(Sync!$P1094,FIND("/",Sync!$P1094)+1,20))-1))),"")))</f>
        <v/>
      </c>
      <c r="AH1094">
        <f>IF(OR($AE1094="",$AF1094=""),"",IF(ISNUMBER(Sync!$P1094),MOD(Sync!$P1094,100),IFERROR(VALUE(TRIM(MID(MID(Sync!$P1094,FIND("/",Sync!$P1094)+1,20),FIND("/",MID(Sync!$P1094,FIND("/",Sync!$P1094)+1,20))+1,20))),"")))</f>
        <v/>
      </c>
      <c r="AI1094">
        <f>IF($AE1094="","",IF(OR($AF1094="",$AG1094="",$AH1094="",$AF1094&lt;1300,$AF1094&gt;1500,$AG1094&lt;1,$AG1094&gt;12,$AH1094&lt;1,$AH1094&gt;31),"نامعتبر",RIGHT("0000"&amp;$AF1094,4)&amp;"/"&amp;RIGHT("00"&amp;$AG1094,2)&amp;"/"&amp;RIGHT("00"&amp;$AH1094,2)))</f>
        <v/>
      </c>
      <c r="AJ1094">
        <f>IF($AE1094="","",IF(Sync!$Q1094="","0000",IF(AND(ISNUMBER(Sync!$Q1094),Sync!$Q1094&gt;=0,Sync!$Q1094&lt;1),RIGHT("00"&amp;HOUR(Sync!$Q1094),2)&amp;RIGHT("00"&amp;MINUTE(Sync!$Q1094),2),IFERROR(RIGHT("00"&amp;VALUE(LEFT(Sync!$Q1094,FIND(":",Sync!$Q1094)-1)),2)&amp;RIGHT("00"&amp;VALUE(MID(Sync!$Q1094,FIND(":",Sync!$Q1094)+1,2)),2),"0000"))))</f>
        <v/>
      </c>
      <c r="AK1094">
        <f>IF(OR($AE1094="",$AI1094="",$AI1094="نامعتبر"),"",LEFT($AI1094,4)&amp;MID($AI1094,6,2)&amp;RIGHT($AI1094,2)&amp;$AJ1094&amp;"|"&amp;"3"&amp;RIGHT("00000"&amp;1089,5))</f>
        <v/>
      </c>
      <c r="AL1094">
        <f>IF($AK1094="","",COUNTIFS(LdAParty,$AE1094,LdAType,1,LdAKey,"&lt;"&amp;$AK1094)+COUNTIFS(LdBMember,$AE1094,LdBKey,"&lt;"&amp;$AK1094)+COUNTIFS(LdCParty,$AE1094,LdCKey,"&lt;"&amp;$AK1094)+1)</f>
        <v/>
      </c>
      <c r="AM1094">
        <f>IF($AL1094="","",$AE1094&amp;"|"&amp;RIGHT("000000"&amp;$AL1094,6))</f>
        <v/>
      </c>
      <c r="AN1094">
        <f>IF($AE1094="","",IF(Sync!$W1094="",0,Sync!$W1094))</f>
        <v/>
      </c>
      <c r="AO1094">
        <f>IF($AE1094="","",IF(Sync!$X1094="",0,Sync!$X1094))</f>
        <v/>
      </c>
      <c r="AP1094">
        <f>IF($AE1094="","",Sync!$R1094)</f>
        <v/>
      </c>
      <c r="AQ1094">
        <f>IF($AE1094="","",Sync!$Y1094)</f>
        <v/>
      </c>
    </row>
    <row r="1095">
      <c r="A1095">
        <f>IF(OR(Wages!$B1098="",Wages!$E1098=""),"",Wages!$E1098)</f>
        <v/>
      </c>
      <c r="B1095">
        <f>IF($A1095="","",IF(Wages!$C1098="دستمزد گروهی",2,1))</f>
        <v/>
      </c>
      <c r="C1095">
        <f>IF($A1095="","",IF(ISNUMBER(Wages!$B1098),IF(AND(Wages!$B1098&gt;=10000101,Wages!$B1098&lt;=99991231),INT(Wages!$B1098/10000),""),IFERROR(VALUE(TRIM(LEFT(Wages!$B1098,FIND("/",Wages!$B1098)-1))),"")))</f>
        <v/>
      </c>
      <c r="D1095">
        <f>IF(OR($A1095="",$C1095=""),"",IF(ISNUMBER(Wages!$B1098),INT(MOD(Wages!$B1098,10000)/100),IFERROR(VALUE(TRIM(LEFT(MID(Wages!$B1098,FIND("/",Wages!$B1098)+1,20),FIND("/",MID(Wages!$B1098,FIND("/",Wages!$B1098)+1,20))-1))),"")))</f>
        <v/>
      </c>
      <c r="E1095">
        <f>IF(OR($A1095="",$C1095=""),"",IF(ISNUMBER(Wages!$B1098),MOD(Wages!$B1098,100),IFERROR(VALUE(TRIM(MID(MID(Wages!$B1098,FIND("/",Wages!$B1098)+1,20),FIND("/",MID(Wages!$B1098,FIND("/",Wages!$B1098)+1,20))+1,20))),"")))</f>
        <v/>
      </c>
      <c r="F1095">
        <f>IF($A1095="","",IF(OR($C1095="",$D1095="",$E1095="",$C1095&lt;1300,$C1095&gt;1500,$D1095&lt;1,$D1095&gt;12,$E1095&lt;1,$E1095&gt;31),"نامعتبر",RIGHT("0000"&amp;$C1095,4)&amp;"/"&amp;RIGHT("00"&amp;$D1095,2)&amp;"/"&amp;RIGHT("00"&amp;$E1095,2)))</f>
        <v/>
      </c>
      <c r="G1095">
        <f>IF(OR($A1095="",$F1095="",$F1095="نامعتبر"),"",LEFT($F1095,4)&amp;MID($F1095,6,2)&amp;RIGHT($F1095,2)&amp;"0000"&amp;"|"&amp;"1"&amp;RIGHT("00000"&amp;1090,5))</f>
        <v/>
      </c>
      <c r="H1095">
        <f>IF(OR($B1095&lt;&gt;1,$G1095=""),"",COUNTIFS(LdAParty,$A1095,LdAType,1,LdAKey,"&lt;"&amp;$G1095)+COUNTIFS(LdBMember,$A1095,LdBKey,"&lt;"&amp;$G1095)+COUNTIFS(LdCParty,$A1095,LdCKey,"&lt;"&amp;$G1095)+1)</f>
        <v/>
      </c>
      <c r="I1095">
        <f>IF($H1095="","",$A1095&amp;"|"&amp;RIGHT("000000"&amp;$H1095,6))</f>
        <v/>
      </c>
      <c r="J1095">
        <f>IF(OR($B1095&lt;&gt;2,$G1095=""),"",COUNTIFS(LdAParty,$A1095,LdAType,2,LdAKey,"&lt;"&amp;$G1095)+1)</f>
        <v/>
      </c>
      <c r="K1095">
        <f>IF($J1095="","",$A1095&amp;"|"&amp;RIGHT("000000"&amp;$J1095,6))</f>
        <v/>
      </c>
      <c r="L1095">
        <f>IF($A1095="","",IF(Wages!$G1098="",0,Wages!$G1098))</f>
        <v/>
      </c>
      <c r="M1095">
        <f>IF($A1095="","",Wages!$J1098)</f>
        <v/>
      </c>
      <c r="N1095">
        <f>IF($A1095="","",Wages!$D1098)</f>
        <v/>
      </c>
      <c r="P1095">
        <f>IF(OR(Shares!$B1098="",Shares!$C1098=""),"",Shares!$C1098)</f>
        <v/>
      </c>
      <c r="Q1095">
        <f>IF($P1095="","",Shares!$B1098)</f>
        <v/>
      </c>
      <c r="R1095">
        <f>IF($P1095="","",IFERROR(INDEX(WageParty,MATCH($Q1095,WageIds,0)),""))</f>
        <v/>
      </c>
      <c r="S1095">
        <f>IF($P1095="","",IFERROR(INDEX($F$6:$F$2005,MATCH($Q1095,WageIds,0)),""))</f>
        <v/>
      </c>
      <c r="T1095">
        <f>IF(OR($P1095="",$S1095="",$S1095="نامعتبر"),"",LEFT($S1095,4)&amp;MID($S1095,6,2)&amp;RIGHT($S1095,2)&amp;"0000"&amp;"|"&amp;"2"&amp;RIGHT("00000"&amp;1090,5))</f>
        <v/>
      </c>
      <c r="U1095">
        <f>IF($T1095="","",COUNTIFS(LdAParty,$P1095,LdAType,1,LdAKey,"&lt;"&amp;$T1095)+COUNTIFS(LdBMember,$P1095,LdBKey,"&lt;"&amp;$T1095)+COUNTIFS(LdCParty,$P1095,LdCKey,"&lt;"&amp;$T1095)+1)</f>
        <v/>
      </c>
      <c r="V1095">
        <f>IF($U1095="","",$P1095&amp;"|"&amp;RIGHT("000000"&amp;$U1095,6))</f>
        <v/>
      </c>
      <c r="W1095">
        <f>IF($T1095="","",COUNTIFS(LdBGroup,$R1095,LdBKey,"&lt;"&amp;$T1095)+1)</f>
        <v/>
      </c>
      <c r="X1095">
        <f>IF($W1095="","",$R1095&amp;"|"&amp;RIGHT("000000"&amp;$W1095,6))</f>
        <v/>
      </c>
      <c r="Y1095">
        <f>IF($P1095="","",IF(Shares!$E1098="",0,Shares!$E1098))</f>
        <v/>
      </c>
      <c r="Z1095">
        <f>IF($P1095="","",Shares!$H1098)</f>
        <v/>
      </c>
      <c r="AE1095">
        <f>IF(OR(Sync!$S1095="",Sync!$P1095=""),"",Sync!$S1095)</f>
        <v/>
      </c>
      <c r="AF1095">
        <f>IF($AE1095="","",IF(ISNUMBER(Sync!$P1095),IF(AND(Sync!$P1095&gt;=10000101,Sync!$P1095&lt;=99991231),INT(Sync!$P1095/10000),""),IFERROR(VALUE(TRIM(LEFT(Sync!$P1095,FIND("/",Sync!$P1095)-1))),"")))</f>
        <v/>
      </c>
      <c r="AG1095">
        <f>IF(OR($AE1095="",$AF1095=""),"",IF(ISNUMBER(Sync!$P1095),INT(MOD(Sync!$P1095,10000)/100),IFERROR(VALUE(TRIM(LEFT(MID(Sync!$P1095,FIND("/",Sync!$P1095)+1,20),FIND("/",MID(Sync!$P1095,FIND("/",Sync!$P1095)+1,20))-1))),"")))</f>
        <v/>
      </c>
      <c r="AH1095">
        <f>IF(OR($AE1095="",$AF1095=""),"",IF(ISNUMBER(Sync!$P1095),MOD(Sync!$P1095,100),IFERROR(VALUE(TRIM(MID(MID(Sync!$P1095,FIND("/",Sync!$P1095)+1,20),FIND("/",MID(Sync!$P1095,FIND("/",Sync!$P1095)+1,20))+1,20))),"")))</f>
        <v/>
      </c>
      <c r="AI1095">
        <f>IF($AE1095="","",IF(OR($AF1095="",$AG1095="",$AH1095="",$AF1095&lt;1300,$AF1095&gt;1500,$AG1095&lt;1,$AG1095&gt;12,$AH1095&lt;1,$AH1095&gt;31),"نامعتبر",RIGHT("0000"&amp;$AF1095,4)&amp;"/"&amp;RIGHT("00"&amp;$AG1095,2)&amp;"/"&amp;RIGHT("00"&amp;$AH1095,2)))</f>
        <v/>
      </c>
      <c r="AJ1095">
        <f>IF($AE1095="","",IF(Sync!$Q1095="","0000",IF(AND(ISNUMBER(Sync!$Q1095),Sync!$Q1095&gt;=0,Sync!$Q1095&lt;1),RIGHT("00"&amp;HOUR(Sync!$Q1095),2)&amp;RIGHT("00"&amp;MINUTE(Sync!$Q1095),2),IFERROR(RIGHT("00"&amp;VALUE(LEFT(Sync!$Q1095,FIND(":",Sync!$Q1095)-1)),2)&amp;RIGHT("00"&amp;VALUE(MID(Sync!$Q1095,FIND(":",Sync!$Q1095)+1,2)),2),"0000"))))</f>
        <v/>
      </c>
      <c r="AK1095">
        <f>IF(OR($AE1095="",$AI1095="",$AI1095="نامعتبر"),"",LEFT($AI1095,4)&amp;MID($AI1095,6,2)&amp;RIGHT($AI1095,2)&amp;$AJ1095&amp;"|"&amp;"3"&amp;RIGHT("00000"&amp;1090,5))</f>
        <v/>
      </c>
      <c r="AL1095">
        <f>IF($AK1095="","",COUNTIFS(LdAParty,$AE1095,LdAType,1,LdAKey,"&lt;"&amp;$AK1095)+COUNTIFS(LdBMember,$AE1095,LdBKey,"&lt;"&amp;$AK1095)+COUNTIFS(LdCParty,$AE1095,LdCKey,"&lt;"&amp;$AK1095)+1)</f>
        <v/>
      </c>
      <c r="AM1095">
        <f>IF($AL1095="","",$AE1095&amp;"|"&amp;RIGHT("000000"&amp;$AL1095,6))</f>
        <v/>
      </c>
      <c r="AN1095">
        <f>IF($AE1095="","",IF(Sync!$W1095="",0,Sync!$W1095))</f>
        <v/>
      </c>
      <c r="AO1095">
        <f>IF($AE1095="","",IF(Sync!$X1095="",0,Sync!$X1095))</f>
        <v/>
      </c>
      <c r="AP1095">
        <f>IF($AE1095="","",Sync!$R1095)</f>
        <v/>
      </c>
      <c r="AQ1095">
        <f>IF($AE1095="","",Sync!$Y1095)</f>
        <v/>
      </c>
    </row>
    <row r="1096">
      <c r="A1096">
        <f>IF(OR(Wages!$B1099="",Wages!$E1099=""),"",Wages!$E1099)</f>
        <v/>
      </c>
      <c r="B1096">
        <f>IF($A1096="","",IF(Wages!$C1099="دستمزد گروهی",2,1))</f>
        <v/>
      </c>
      <c r="C1096">
        <f>IF($A1096="","",IF(ISNUMBER(Wages!$B1099),IF(AND(Wages!$B1099&gt;=10000101,Wages!$B1099&lt;=99991231),INT(Wages!$B1099/10000),""),IFERROR(VALUE(TRIM(LEFT(Wages!$B1099,FIND("/",Wages!$B1099)-1))),"")))</f>
        <v/>
      </c>
      <c r="D1096">
        <f>IF(OR($A1096="",$C1096=""),"",IF(ISNUMBER(Wages!$B1099),INT(MOD(Wages!$B1099,10000)/100),IFERROR(VALUE(TRIM(LEFT(MID(Wages!$B1099,FIND("/",Wages!$B1099)+1,20),FIND("/",MID(Wages!$B1099,FIND("/",Wages!$B1099)+1,20))-1))),"")))</f>
        <v/>
      </c>
      <c r="E1096">
        <f>IF(OR($A1096="",$C1096=""),"",IF(ISNUMBER(Wages!$B1099),MOD(Wages!$B1099,100),IFERROR(VALUE(TRIM(MID(MID(Wages!$B1099,FIND("/",Wages!$B1099)+1,20),FIND("/",MID(Wages!$B1099,FIND("/",Wages!$B1099)+1,20))+1,20))),"")))</f>
        <v/>
      </c>
      <c r="F1096">
        <f>IF($A1096="","",IF(OR($C1096="",$D1096="",$E1096="",$C1096&lt;1300,$C1096&gt;1500,$D1096&lt;1,$D1096&gt;12,$E1096&lt;1,$E1096&gt;31),"نامعتبر",RIGHT("0000"&amp;$C1096,4)&amp;"/"&amp;RIGHT("00"&amp;$D1096,2)&amp;"/"&amp;RIGHT("00"&amp;$E1096,2)))</f>
        <v/>
      </c>
      <c r="G1096">
        <f>IF(OR($A1096="",$F1096="",$F1096="نامعتبر"),"",LEFT($F1096,4)&amp;MID($F1096,6,2)&amp;RIGHT($F1096,2)&amp;"0000"&amp;"|"&amp;"1"&amp;RIGHT("00000"&amp;1091,5))</f>
        <v/>
      </c>
      <c r="H1096">
        <f>IF(OR($B1096&lt;&gt;1,$G1096=""),"",COUNTIFS(LdAParty,$A1096,LdAType,1,LdAKey,"&lt;"&amp;$G1096)+COUNTIFS(LdBMember,$A1096,LdBKey,"&lt;"&amp;$G1096)+COUNTIFS(LdCParty,$A1096,LdCKey,"&lt;"&amp;$G1096)+1)</f>
        <v/>
      </c>
      <c r="I1096">
        <f>IF($H1096="","",$A1096&amp;"|"&amp;RIGHT("000000"&amp;$H1096,6))</f>
        <v/>
      </c>
      <c r="J1096">
        <f>IF(OR($B1096&lt;&gt;2,$G1096=""),"",COUNTIFS(LdAParty,$A1096,LdAType,2,LdAKey,"&lt;"&amp;$G1096)+1)</f>
        <v/>
      </c>
      <c r="K1096">
        <f>IF($J1096="","",$A1096&amp;"|"&amp;RIGHT("000000"&amp;$J1096,6))</f>
        <v/>
      </c>
      <c r="L1096">
        <f>IF($A1096="","",IF(Wages!$G1099="",0,Wages!$G1099))</f>
        <v/>
      </c>
      <c r="M1096">
        <f>IF($A1096="","",Wages!$J1099)</f>
        <v/>
      </c>
      <c r="N1096">
        <f>IF($A1096="","",Wages!$D1099)</f>
        <v/>
      </c>
      <c r="P1096">
        <f>IF(OR(Shares!$B1099="",Shares!$C1099=""),"",Shares!$C1099)</f>
        <v/>
      </c>
      <c r="Q1096">
        <f>IF($P1096="","",Shares!$B1099)</f>
        <v/>
      </c>
      <c r="R1096">
        <f>IF($P1096="","",IFERROR(INDEX(WageParty,MATCH($Q1096,WageIds,0)),""))</f>
        <v/>
      </c>
      <c r="S1096">
        <f>IF($P1096="","",IFERROR(INDEX($F$6:$F$2005,MATCH($Q1096,WageIds,0)),""))</f>
        <v/>
      </c>
      <c r="T1096">
        <f>IF(OR($P1096="",$S1096="",$S1096="نامعتبر"),"",LEFT($S1096,4)&amp;MID($S1096,6,2)&amp;RIGHT($S1096,2)&amp;"0000"&amp;"|"&amp;"2"&amp;RIGHT("00000"&amp;1091,5))</f>
        <v/>
      </c>
      <c r="U1096">
        <f>IF($T1096="","",COUNTIFS(LdAParty,$P1096,LdAType,1,LdAKey,"&lt;"&amp;$T1096)+COUNTIFS(LdBMember,$P1096,LdBKey,"&lt;"&amp;$T1096)+COUNTIFS(LdCParty,$P1096,LdCKey,"&lt;"&amp;$T1096)+1)</f>
        <v/>
      </c>
      <c r="V1096">
        <f>IF($U1096="","",$P1096&amp;"|"&amp;RIGHT("000000"&amp;$U1096,6))</f>
        <v/>
      </c>
      <c r="W1096">
        <f>IF($T1096="","",COUNTIFS(LdBGroup,$R1096,LdBKey,"&lt;"&amp;$T1096)+1)</f>
        <v/>
      </c>
      <c r="X1096">
        <f>IF($W1096="","",$R1096&amp;"|"&amp;RIGHT("000000"&amp;$W1096,6))</f>
        <v/>
      </c>
      <c r="Y1096">
        <f>IF($P1096="","",IF(Shares!$E1099="",0,Shares!$E1099))</f>
        <v/>
      </c>
      <c r="Z1096">
        <f>IF($P1096="","",Shares!$H1099)</f>
        <v/>
      </c>
      <c r="AE1096">
        <f>IF(OR(Sync!$S1096="",Sync!$P1096=""),"",Sync!$S1096)</f>
        <v/>
      </c>
      <c r="AF1096">
        <f>IF($AE1096="","",IF(ISNUMBER(Sync!$P1096),IF(AND(Sync!$P1096&gt;=10000101,Sync!$P1096&lt;=99991231),INT(Sync!$P1096/10000),""),IFERROR(VALUE(TRIM(LEFT(Sync!$P1096,FIND("/",Sync!$P1096)-1))),"")))</f>
        <v/>
      </c>
      <c r="AG1096">
        <f>IF(OR($AE1096="",$AF1096=""),"",IF(ISNUMBER(Sync!$P1096),INT(MOD(Sync!$P1096,10000)/100),IFERROR(VALUE(TRIM(LEFT(MID(Sync!$P1096,FIND("/",Sync!$P1096)+1,20),FIND("/",MID(Sync!$P1096,FIND("/",Sync!$P1096)+1,20))-1))),"")))</f>
        <v/>
      </c>
      <c r="AH1096">
        <f>IF(OR($AE1096="",$AF1096=""),"",IF(ISNUMBER(Sync!$P1096),MOD(Sync!$P1096,100),IFERROR(VALUE(TRIM(MID(MID(Sync!$P1096,FIND("/",Sync!$P1096)+1,20),FIND("/",MID(Sync!$P1096,FIND("/",Sync!$P1096)+1,20))+1,20))),"")))</f>
        <v/>
      </c>
      <c r="AI1096">
        <f>IF($AE1096="","",IF(OR($AF1096="",$AG1096="",$AH1096="",$AF1096&lt;1300,$AF1096&gt;1500,$AG1096&lt;1,$AG1096&gt;12,$AH1096&lt;1,$AH1096&gt;31),"نامعتبر",RIGHT("0000"&amp;$AF1096,4)&amp;"/"&amp;RIGHT("00"&amp;$AG1096,2)&amp;"/"&amp;RIGHT("00"&amp;$AH1096,2)))</f>
        <v/>
      </c>
      <c r="AJ1096">
        <f>IF($AE1096="","",IF(Sync!$Q1096="","0000",IF(AND(ISNUMBER(Sync!$Q1096),Sync!$Q1096&gt;=0,Sync!$Q1096&lt;1),RIGHT("00"&amp;HOUR(Sync!$Q1096),2)&amp;RIGHT("00"&amp;MINUTE(Sync!$Q1096),2),IFERROR(RIGHT("00"&amp;VALUE(LEFT(Sync!$Q1096,FIND(":",Sync!$Q1096)-1)),2)&amp;RIGHT("00"&amp;VALUE(MID(Sync!$Q1096,FIND(":",Sync!$Q1096)+1,2)),2),"0000"))))</f>
        <v/>
      </c>
      <c r="AK1096">
        <f>IF(OR($AE1096="",$AI1096="",$AI1096="نامعتبر"),"",LEFT($AI1096,4)&amp;MID($AI1096,6,2)&amp;RIGHT($AI1096,2)&amp;$AJ1096&amp;"|"&amp;"3"&amp;RIGHT("00000"&amp;1091,5))</f>
        <v/>
      </c>
      <c r="AL1096">
        <f>IF($AK1096="","",COUNTIFS(LdAParty,$AE1096,LdAType,1,LdAKey,"&lt;"&amp;$AK1096)+COUNTIFS(LdBMember,$AE1096,LdBKey,"&lt;"&amp;$AK1096)+COUNTIFS(LdCParty,$AE1096,LdCKey,"&lt;"&amp;$AK1096)+1)</f>
        <v/>
      </c>
      <c r="AM1096">
        <f>IF($AL1096="","",$AE1096&amp;"|"&amp;RIGHT("000000"&amp;$AL1096,6))</f>
        <v/>
      </c>
      <c r="AN1096">
        <f>IF($AE1096="","",IF(Sync!$W1096="",0,Sync!$W1096))</f>
        <v/>
      </c>
      <c r="AO1096">
        <f>IF($AE1096="","",IF(Sync!$X1096="",0,Sync!$X1096))</f>
        <v/>
      </c>
      <c r="AP1096">
        <f>IF($AE1096="","",Sync!$R1096)</f>
        <v/>
      </c>
      <c r="AQ1096">
        <f>IF($AE1096="","",Sync!$Y1096)</f>
        <v/>
      </c>
    </row>
    <row r="1097">
      <c r="A1097">
        <f>IF(OR(Wages!$B1100="",Wages!$E1100=""),"",Wages!$E1100)</f>
        <v/>
      </c>
      <c r="B1097">
        <f>IF($A1097="","",IF(Wages!$C1100="دستمزد گروهی",2,1))</f>
        <v/>
      </c>
      <c r="C1097">
        <f>IF($A1097="","",IF(ISNUMBER(Wages!$B1100),IF(AND(Wages!$B1100&gt;=10000101,Wages!$B1100&lt;=99991231),INT(Wages!$B1100/10000),""),IFERROR(VALUE(TRIM(LEFT(Wages!$B1100,FIND("/",Wages!$B1100)-1))),"")))</f>
        <v/>
      </c>
      <c r="D1097">
        <f>IF(OR($A1097="",$C1097=""),"",IF(ISNUMBER(Wages!$B1100),INT(MOD(Wages!$B1100,10000)/100),IFERROR(VALUE(TRIM(LEFT(MID(Wages!$B1100,FIND("/",Wages!$B1100)+1,20),FIND("/",MID(Wages!$B1100,FIND("/",Wages!$B1100)+1,20))-1))),"")))</f>
        <v/>
      </c>
      <c r="E1097">
        <f>IF(OR($A1097="",$C1097=""),"",IF(ISNUMBER(Wages!$B1100),MOD(Wages!$B1100,100),IFERROR(VALUE(TRIM(MID(MID(Wages!$B1100,FIND("/",Wages!$B1100)+1,20),FIND("/",MID(Wages!$B1100,FIND("/",Wages!$B1100)+1,20))+1,20))),"")))</f>
        <v/>
      </c>
      <c r="F1097">
        <f>IF($A1097="","",IF(OR($C1097="",$D1097="",$E1097="",$C1097&lt;1300,$C1097&gt;1500,$D1097&lt;1,$D1097&gt;12,$E1097&lt;1,$E1097&gt;31),"نامعتبر",RIGHT("0000"&amp;$C1097,4)&amp;"/"&amp;RIGHT("00"&amp;$D1097,2)&amp;"/"&amp;RIGHT("00"&amp;$E1097,2)))</f>
        <v/>
      </c>
      <c r="G1097">
        <f>IF(OR($A1097="",$F1097="",$F1097="نامعتبر"),"",LEFT($F1097,4)&amp;MID($F1097,6,2)&amp;RIGHT($F1097,2)&amp;"0000"&amp;"|"&amp;"1"&amp;RIGHT("00000"&amp;1092,5))</f>
        <v/>
      </c>
      <c r="H1097">
        <f>IF(OR($B1097&lt;&gt;1,$G1097=""),"",COUNTIFS(LdAParty,$A1097,LdAType,1,LdAKey,"&lt;"&amp;$G1097)+COUNTIFS(LdBMember,$A1097,LdBKey,"&lt;"&amp;$G1097)+COUNTIFS(LdCParty,$A1097,LdCKey,"&lt;"&amp;$G1097)+1)</f>
        <v/>
      </c>
      <c r="I1097">
        <f>IF($H1097="","",$A1097&amp;"|"&amp;RIGHT("000000"&amp;$H1097,6))</f>
        <v/>
      </c>
      <c r="J1097">
        <f>IF(OR($B1097&lt;&gt;2,$G1097=""),"",COUNTIFS(LdAParty,$A1097,LdAType,2,LdAKey,"&lt;"&amp;$G1097)+1)</f>
        <v/>
      </c>
      <c r="K1097">
        <f>IF($J1097="","",$A1097&amp;"|"&amp;RIGHT("000000"&amp;$J1097,6))</f>
        <v/>
      </c>
      <c r="L1097">
        <f>IF($A1097="","",IF(Wages!$G1100="",0,Wages!$G1100))</f>
        <v/>
      </c>
      <c r="M1097">
        <f>IF($A1097="","",Wages!$J1100)</f>
        <v/>
      </c>
      <c r="N1097">
        <f>IF($A1097="","",Wages!$D1100)</f>
        <v/>
      </c>
      <c r="P1097">
        <f>IF(OR(Shares!$B1100="",Shares!$C1100=""),"",Shares!$C1100)</f>
        <v/>
      </c>
      <c r="Q1097">
        <f>IF($P1097="","",Shares!$B1100)</f>
        <v/>
      </c>
      <c r="R1097">
        <f>IF($P1097="","",IFERROR(INDEX(WageParty,MATCH($Q1097,WageIds,0)),""))</f>
        <v/>
      </c>
      <c r="S1097">
        <f>IF($P1097="","",IFERROR(INDEX($F$6:$F$2005,MATCH($Q1097,WageIds,0)),""))</f>
        <v/>
      </c>
      <c r="T1097">
        <f>IF(OR($P1097="",$S1097="",$S1097="نامعتبر"),"",LEFT($S1097,4)&amp;MID($S1097,6,2)&amp;RIGHT($S1097,2)&amp;"0000"&amp;"|"&amp;"2"&amp;RIGHT("00000"&amp;1092,5))</f>
        <v/>
      </c>
      <c r="U1097">
        <f>IF($T1097="","",COUNTIFS(LdAParty,$P1097,LdAType,1,LdAKey,"&lt;"&amp;$T1097)+COUNTIFS(LdBMember,$P1097,LdBKey,"&lt;"&amp;$T1097)+COUNTIFS(LdCParty,$P1097,LdCKey,"&lt;"&amp;$T1097)+1)</f>
        <v/>
      </c>
      <c r="V1097">
        <f>IF($U1097="","",$P1097&amp;"|"&amp;RIGHT("000000"&amp;$U1097,6))</f>
        <v/>
      </c>
      <c r="W1097">
        <f>IF($T1097="","",COUNTIFS(LdBGroup,$R1097,LdBKey,"&lt;"&amp;$T1097)+1)</f>
        <v/>
      </c>
      <c r="X1097">
        <f>IF($W1097="","",$R1097&amp;"|"&amp;RIGHT("000000"&amp;$W1097,6))</f>
        <v/>
      </c>
      <c r="Y1097">
        <f>IF($P1097="","",IF(Shares!$E1100="",0,Shares!$E1100))</f>
        <v/>
      </c>
      <c r="Z1097">
        <f>IF($P1097="","",Shares!$H1100)</f>
        <v/>
      </c>
      <c r="AE1097">
        <f>IF(OR(Sync!$S1097="",Sync!$P1097=""),"",Sync!$S1097)</f>
        <v/>
      </c>
      <c r="AF1097">
        <f>IF($AE1097="","",IF(ISNUMBER(Sync!$P1097),IF(AND(Sync!$P1097&gt;=10000101,Sync!$P1097&lt;=99991231),INT(Sync!$P1097/10000),""),IFERROR(VALUE(TRIM(LEFT(Sync!$P1097,FIND("/",Sync!$P1097)-1))),"")))</f>
        <v/>
      </c>
      <c r="AG1097">
        <f>IF(OR($AE1097="",$AF1097=""),"",IF(ISNUMBER(Sync!$P1097),INT(MOD(Sync!$P1097,10000)/100),IFERROR(VALUE(TRIM(LEFT(MID(Sync!$P1097,FIND("/",Sync!$P1097)+1,20),FIND("/",MID(Sync!$P1097,FIND("/",Sync!$P1097)+1,20))-1))),"")))</f>
        <v/>
      </c>
      <c r="AH1097">
        <f>IF(OR($AE1097="",$AF1097=""),"",IF(ISNUMBER(Sync!$P1097),MOD(Sync!$P1097,100),IFERROR(VALUE(TRIM(MID(MID(Sync!$P1097,FIND("/",Sync!$P1097)+1,20),FIND("/",MID(Sync!$P1097,FIND("/",Sync!$P1097)+1,20))+1,20))),"")))</f>
        <v/>
      </c>
      <c r="AI1097">
        <f>IF($AE1097="","",IF(OR($AF1097="",$AG1097="",$AH1097="",$AF1097&lt;1300,$AF1097&gt;1500,$AG1097&lt;1,$AG1097&gt;12,$AH1097&lt;1,$AH1097&gt;31),"نامعتبر",RIGHT("0000"&amp;$AF1097,4)&amp;"/"&amp;RIGHT("00"&amp;$AG1097,2)&amp;"/"&amp;RIGHT("00"&amp;$AH1097,2)))</f>
        <v/>
      </c>
      <c r="AJ1097">
        <f>IF($AE1097="","",IF(Sync!$Q1097="","0000",IF(AND(ISNUMBER(Sync!$Q1097),Sync!$Q1097&gt;=0,Sync!$Q1097&lt;1),RIGHT("00"&amp;HOUR(Sync!$Q1097),2)&amp;RIGHT("00"&amp;MINUTE(Sync!$Q1097),2),IFERROR(RIGHT("00"&amp;VALUE(LEFT(Sync!$Q1097,FIND(":",Sync!$Q1097)-1)),2)&amp;RIGHT("00"&amp;VALUE(MID(Sync!$Q1097,FIND(":",Sync!$Q1097)+1,2)),2),"0000"))))</f>
        <v/>
      </c>
      <c r="AK1097">
        <f>IF(OR($AE1097="",$AI1097="",$AI1097="نامعتبر"),"",LEFT($AI1097,4)&amp;MID($AI1097,6,2)&amp;RIGHT($AI1097,2)&amp;$AJ1097&amp;"|"&amp;"3"&amp;RIGHT("00000"&amp;1092,5))</f>
        <v/>
      </c>
      <c r="AL1097">
        <f>IF($AK1097="","",COUNTIFS(LdAParty,$AE1097,LdAType,1,LdAKey,"&lt;"&amp;$AK1097)+COUNTIFS(LdBMember,$AE1097,LdBKey,"&lt;"&amp;$AK1097)+COUNTIFS(LdCParty,$AE1097,LdCKey,"&lt;"&amp;$AK1097)+1)</f>
        <v/>
      </c>
      <c r="AM1097">
        <f>IF($AL1097="","",$AE1097&amp;"|"&amp;RIGHT("000000"&amp;$AL1097,6))</f>
        <v/>
      </c>
      <c r="AN1097">
        <f>IF($AE1097="","",IF(Sync!$W1097="",0,Sync!$W1097))</f>
        <v/>
      </c>
      <c r="AO1097">
        <f>IF($AE1097="","",IF(Sync!$X1097="",0,Sync!$X1097))</f>
        <v/>
      </c>
      <c r="AP1097">
        <f>IF($AE1097="","",Sync!$R1097)</f>
        <v/>
      </c>
      <c r="AQ1097">
        <f>IF($AE1097="","",Sync!$Y1097)</f>
        <v/>
      </c>
    </row>
    <row r="1098">
      <c r="A1098">
        <f>IF(OR(Wages!$B1101="",Wages!$E1101=""),"",Wages!$E1101)</f>
        <v/>
      </c>
      <c r="B1098">
        <f>IF($A1098="","",IF(Wages!$C1101="دستمزد گروهی",2,1))</f>
        <v/>
      </c>
      <c r="C1098">
        <f>IF($A1098="","",IF(ISNUMBER(Wages!$B1101),IF(AND(Wages!$B1101&gt;=10000101,Wages!$B1101&lt;=99991231),INT(Wages!$B1101/10000),""),IFERROR(VALUE(TRIM(LEFT(Wages!$B1101,FIND("/",Wages!$B1101)-1))),"")))</f>
        <v/>
      </c>
      <c r="D1098">
        <f>IF(OR($A1098="",$C1098=""),"",IF(ISNUMBER(Wages!$B1101),INT(MOD(Wages!$B1101,10000)/100),IFERROR(VALUE(TRIM(LEFT(MID(Wages!$B1101,FIND("/",Wages!$B1101)+1,20),FIND("/",MID(Wages!$B1101,FIND("/",Wages!$B1101)+1,20))-1))),"")))</f>
        <v/>
      </c>
      <c r="E1098">
        <f>IF(OR($A1098="",$C1098=""),"",IF(ISNUMBER(Wages!$B1101),MOD(Wages!$B1101,100),IFERROR(VALUE(TRIM(MID(MID(Wages!$B1101,FIND("/",Wages!$B1101)+1,20),FIND("/",MID(Wages!$B1101,FIND("/",Wages!$B1101)+1,20))+1,20))),"")))</f>
        <v/>
      </c>
      <c r="F1098">
        <f>IF($A1098="","",IF(OR($C1098="",$D1098="",$E1098="",$C1098&lt;1300,$C1098&gt;1500,$D1098&lt;1,$D1098&gt;12,$E1098&lt;1,$E1098&gt;31),"نامعتبر",RIGHT("0000"&amp;$C1098,4)&amp;"/"&amp;RIGHT("00"&amp;$D1098,2)&amp;"/"&amp;RIGHT("00"&amp;$E1098,2)))</f>
        <v/>
      </c>
      <c r="G1098">
        <f>IF(OR($A1098="",$F1098="",$F1098="نامعتبر"),"",LEFT($F1098,4)&amp;MID($F1098,6,2)&amp;RIGHT($F1098,2)&amp;"0000"&amp;"|"&amp;"1"&amp;RIGHT("00000"&amp;1093,5))</f>
        <v/>
      </c>
      <c r="H1098">
        <f>IF(OR($B1098&lt;&gt;1,$G1098=""),"",COUNTIFS(LdAParty,$A1098,LdAType,1,LdAKey,"&lt;"&amp;$G1098)+COUNTIFS(LdBMember,$A1098,LdBKey,"&lt;"&amp;$G1098)+COUNTIFS(LdCParty,$A1098,LdCKey,"&lt;"&amp;$G1098)+1)</f>
        <v/>
      </c>
      <c r="I1098">
        <f>IF($H1098="","",$A1098&amp;"|"&amp;RIGHT("000000"&amp;$H1098,6))</f>
        <v/>
      </c>
      <c r="J1098">
        <f>IF(OR($B1098&lt;&gt;2,$G1098=""),"",COUNTIFS(LdAParty,$A1098,LdAType,2,LdAKey,"&lt;"&amp;$G1098)+1)</f>
        <v/>
      </c>
      <c r="K1098">
        <f>IF($J1098="","",$A1098&amp;"|"&amp;RIGHT("000000"&amp;$J1098,6))</f>
        <v/>
      </c>
      <c r="L1098">
        <f>IF($A1098="","",IF(Wages!$G1101="",0,Wages!$G1101))</f>
        <v/>
      </c>
      <c r="M1098">
        <f>IF($A1098="","",Wages!$J1101)</f>
        <v/>
      </c>
      <c r="N1098">
        <f>IF($A1098="","",Wages!$D1101)</f>
        <v/>
      </c>
      <c r="P1098">
        <f>IF(OR(Shares!$B1101="",Shares!$C1101=""),"",Shares!$C1101)</f>
        <v/>
      </c>
      <c r="Q1098">
        <f>IF($P1098="","",Shares!$B1101)</f>
        <v/>
      </c>
      <c r="R1098">
        <f>IF($P1098="","",IFERROR(INDEX(WageParty,MATCH($Q1098,WageIds,0)),""))</f>
        <v/>
      </c>
      <c r="S1098">
        <f>IF($P1098="","",IFERROR(INDEX($F$6:$F$2005,MATCH($Q1098,WageIds,0)),""))</f>
        <v/>
      </c>
      <c r="T1098">
        <f>IF(OR($P1098="",$S1098="",$S1098="نامعتبر"),"",LEFT($S1098,4)&amp;MID($S1098,6,2)&amp;RIGHT($S1098,2)&amp;"0000"&amp;"|"&amp;"2"&amp;RIGHT("00000"&amp;1093,5))</f>
        <v/>
      </c>
      <c r="U1098">
        <f>IF($T1098="","",COUNTIFS(LdAParty,$P1098,LdAType,1,LdAKey,"&lt;"&amp;$T1098)+COUNTIFS(LdBMember,$P1098,LdBKey,"&lt;"&amp;$T1098)+COUNTIFS(LdCParty,$P1098,LdCKey,"&lt;"&amp;$T1098)+1)</f>
        <v/>
      </c>
      <c r="V1098">
        <f>IF($U1098="","",$P1098&amp;"|"&amp;RIGHT("000000"&amp;$U1098,6))</f>
        <v/>
      </c>
      <c r="W1098">
        <f>IF($T1098="","",COUNTIFS(LdBGroup,$R1098,LdBKey,"&lt;"&amp;$T1098)+1)</f>
        <v/>
      </c>
      <c r="X1098">
        <f>IF($W1098="","",$R1098&amp;"|"&amp;RIGHT("000000"&amp;$W1098,6))</f>
        <v/>
      </c>
      <c r="Y1098">
        <f>IF($P1098="","",IF(Shares!$E1101="",0,Shares!$E1101))</f>
        <v/>
      </c>
      <c r="Z1098">
        <f>IF($P1098="","",Shares!$H1101)</f>
        <v/>
      </c>
      <c r="AE1098">
        <f>IF(OR(Sync!$S1098="",Sync!$P1098=""),"",Sync!$S1098)</f>
        <v/>
      </c>
      <c r="AF1098">
        <f>IF($AE1098="","",IF(ISNUMBER(Sync!$P1098),IF(AND(Sync!$P1098&gt;=10000101,Sync!$P1098&lt;=99991231),INT(Sync!$P1098/10000),""),IFERROR(VALUE(TRIM(LEFT(Sync!$P1098,FIND("/",Sync!$P1098)-1))),"")))</f>
        <v/>
      </c>
      <c r="AG1098">
        <f>IF(OR($AE1098="",$AF1098=""),"",IF(ISNUMBER(Sync!$P1098),INT(MOD(Sync!$P1098,10000)/100),IFERROR(VALUE(TRIM(LEFT(MID(Sync!$P1098,FIND("/",Sync!$P1098)+1,20),FIND("/",MID(Sync!$P1098,FIND("/",Sync!$P1098)+1,20))-1))),"")))</f>
        <v/>
      </c>
      <c r="AH1098">
        <f>IF(OR($AE1098="",$AF1098=""),"",IF(ISNUMBER(Sync!$P1098),MOD(Sync!$P1098,100),IFERROR(VALUE(TRIM(MID(MID(Sync!$P1098,FIND("/",Sync!$P1098)+1,20),FIND("/",MID(Sync!$P1098,FIND("/",Sync!$P1098)+1,20))+1,20))),"")))</f>
        <v/>
      </c>
      <c r="AI1098">
        <f>IF($AE1098="","",IF(OR($AF1098="",$AG1098="",$AH1098="",$AF1098&lt;1300,$AF1098&gt;1500,$AG1098&lt;1,$AG1098&gt;12,$AH1098&lt;1,$AH1098&gt;31),"نامعتبر",RIGHT("0000"&amp;$AF1098,4)&amp;"/"&amp;RIGHT("00"&amp;$AG1098,2)&amp;"/"&amp;RIGHT("00"&amp;$AH1098,2)))</f>
        <v/>
      </c>
      <c r="AJ1098">
        <f>IF($AE1098="","",IF(Sync!$Q1098="","0000",IF(AND(ISNUMBER(Sync!$Q1098),Sync!$Q1098&gt;=0,Sync!$Q1098&lt;1),RIGHT("00"&amp;HOUR(Sync!$Q1098),2)&amp;RIGHT("00"&amp;MINUTE(Sync!$Q1098),2),IFERROR(RIGHT("00"&amp;VALUE(LEFT(Sync!$Q1098,FIND(":",Sync!$Q1098)-1)),2)&amp;RIGHT("00"&amp;VALUE(MID(Sync!$Q1098,FIND(":",Sync!$Q1098)+1,2)),2),"0000"))))</f>
        <v/>
      </c>
      <c r="AK1098">
        <f>IF(OR($AE1098="",$AI1098="",$AI1098="نامعتبر"),"",LEFT($AI1098,4)&amp;MID($AI1098,6,2)&amp;RIGHT($AI1098,2)&amp;$AJ1098&amp;"|"&amp;"3"&amp;RIGHT("00000"&amp;1093,5))</f>
        <v/>
      </c>
      <c r="AL1098">
        <f>IF($AK1098="","",COUNTIFS(LdAParty,$AE1098,LdAType,1,LdAKey,"&lt;"&amp;$AK1098)+COUNTIFS(LdBMember,$AE1098,LdBKey,"&lt;"&amp;$AK1098)+COUNTIFS(LdCParty,$AE1098,LdCKey,"&lt;"&amp;$AK1098)+1)</f>
        <v/>
      </c>
      <c r="AM1098">
        <f>IF($AL1098="","",$AE1098&amp;"|"&amp;RIGHT("000000"&amp;$AL1098,6))</f>
        <v/>
      </c>
      <c r="AN1098">
        <f>IF($AE1098="","",IF(Sync!$W1098="",0,Sync!$W1098))</f>
        <v/>
      </c>
      <c r="AO1098">
        <f>IF($AE1098="","",IF(Sync!$X1098="",0,Sync!$X1098))</f>
        <v/>
      </c>
      <c r="AP1098">
        <f>IF($AE1098="","",Sync!$R1098)</f>
        <v/>
      </c>
      <c r="AQ1098">
        <f>IF($AE1098="","",Sync!$Y1098)</f>
        <v/>
      </c>
    </row>
    <row r="1099">
      <c r="A1099">
        <f>IF(OR(Wages!$B1102="",Wages!$E1102=""),"",Wages!$E1102)</f>
        <v/>
      </c>
      <c r="B1099">
        <f>IF($A1099="","",IF(Wages!$C1102="دستمزد گروهی",2,1))</f>
        <v/>
      </c>
      <c r="C1099">
        <f>IF($A1099="","",IF(ISNUMBER(Wages!$B1102),IF(AND(Wages!$B1102&gt;=10000101,Wages!$B1102&lt;=99991231),INT(Wages!$B1102/10000),""),IFERROR(VALUE(TRIM(LEFT(Wages!$B1102,FIND("/",Wages!$B1102)-1))),"")))</f>
        <v/>
      </c>
      <c r="D1099">
        <f>IF(OR($A1099="",$C1099=""),"",IF(ISNUMBER(Wages!$B1102),INT(MOD(Wages!$B1102,10000)/100),IFERROR(VALUE(TRIM(LEFT(MID(Wages!$B1102,FIND("/",Wages!$B1102)+1,20),FIND("/",MID(Wages!$B1102,FIND("/",Wages!$B1102)+1,20))-1))),"")))</f>
        <v/>
      </c>
      <c r="E1099">
        <f>IF(OR($A1099="",$C1099=""),"",IF(ISNUMBER(Wages!$B1102),MOD(Wages!$B1102,100),IFERROR(VALUE(TRIM(MID(MID(Wages!$B1102,FIND("/",Wages!$B1102)+1,20),FIND("/",MID(Wages!$B1102,FIND("/",Wages!$B1102)+1,20))+1,20))),"")))</f>
        <v/>
      </c>
      <c r="F1099">
        <f>IF($A1099="","",IF(OR($C1099="",$D1099="",$E1099="",$C1099&lt;1300,$C1099&gt;1500,$D1099&lt;1,$D1099&gt;12,$E1099&lt;1,$E1099&gt;31),"نامعتبر",RIGHT("0000"&amp;$C1099,4)&amp;"/"&amp;RIGHT("00"&amp;$D1099,2)&amp;"/"&amp;RIGHT("00"&amp;$E1099,2)))</f>
        <v/>
      </c>
      <c r="G1099">
        <f>IF(OR($A1099="",$F1099="",$F1099="نامعتبر"),"",LEFT($F1099,4)&amp;MID($F1099,6,2)&amp;RIGHT($F1099,2)&amp;"0000"&amp;"|"&amp;"1"&amp;RIGHT("00000"&amp;1094,5))</f>
        <v/>
      </c>
      <c r="H1099">
        <f>IF(OR($B1099&lt;&gt;1,$G1099=""),"",COUNTIFS(LdAParty,$A1099,LdAType,1,LdAKey,"&lt;"&amp;$G1099)+COUNTIFS(LdBMember,$A1099,LdBKey,"&lt;"&amp;$G1099)+COUNTIFS(LdCParty,$A1099,LdCKey,"&lt;"&amp;$G1099)+1)</f>
        <v/>
      </c>
      <c r="I1099">
        <f>IF($H1099="","",$A1099&amp;"|"&amp;RIGHT("000000"&amp;$H1099,6))</f>
        <v/>
      </c>
      <c r="J1099">
        <f>IF(OR($B1099&lt;&gt;2,$G1099=""),"",COUNTIFS(LdAParty,$A1099,LdAType,2,LdAKey,"&lt;"&amp;$G1099)+1)</f>
        <v/>
      </c>
      <c r="K1099">
        <f>IF($J1099="","",$A1099&amp;"|"&amp;RIGHT("000000"&amp;$J1099,6))</f>
        <v/>
      </c>
      <c r="L1099">
        <f>IF($A1099="","",IF(Wages!$G1102="",0,Wages!$G1102))</f>
        <v/>
      </c>
      <c r="M1099">
        <f>IF($A1099="","",Wages!$J1102)</f>
        <v/>
      </c>
      <c r="N1099">
        <f>IF($A1099="","",Wages!$D1102)</f>
        <v/>
      </c>
      <c r="P1099">
        <f>IF(OR(Shares!$B1102="",Shares!$C1102=""),"",Shares!$C1102)</f>
        <v/>
      </c>
      <c r="Q1099">
        <f>IF($P1099="","",Shares!$B1102)</f>
        <v/>
      </c>
      <c r="R1099">
        <f>IF($P1099="","",IFERROR(INDEX(WageParty,MATCH($Q1099,WageIds,0)),""))</f>
        <v/>
      </c>
      <c r="S1099">
        <f>IF($P1099="","",IFERROR(INDEX($F$6:$F$2005,MATCH($Q1099,WageIds,0)),""))</f>
        <v/>
      </c>
      <c r="T1099">
        <f>IF(OR($P1099="",$S1099="",$S1099="نامعتبر"),"",LEFT($S1099,4)&amp;MID($S1099,6,2)&amp;RIGHT($S1099,2)&amp;"0000"&amp;"|"&amp;"2"&amp;RIGHT("00000"&amp;1094,5))</f>
        <v/>
      </c>
      <c r="U1099">
        <f>IF($T1099="","",COUNTIFS(LdAParty,$P1099,LdAType,1,LdAKey,"&lt;"&amp;$T1099)+COUNTIFS(LdBMember,$P1099,LdBKey,"&lt;"&amp;$T1099)+COUNTIFS(LdCParty,$P1099,LdCKey,"&lt;"&amp;$T1099)+1)</f>
        <v/>
      </c>
      <c r="V1099">
        <f>IF($U1099="","",$P1099&amp;"|"&amp;RIGHT("000000"&amp;$U1099,6))</f>
        <v/>
      </c>
      <c r="W1099">
        <f>IF($T1099="","",COUNTIFS(LdBGroup,$R1099,LdBKey,"&lt;"&amp;$T1099)+1)</f>
        <v/>
      </c>
      <c r="X1099">
        <f>IF($W1099="","",$R1099&amp;"|"&amp;RIGHT("000000"&amp;$W1099,6))</f>
        <v/>
      </c>
      <c r="Y1099">
        <f>IF($P1099="","",IF(Shares!$E1102="",0,Shares!$E1102))</f>
        <v/>
      </c>
      <c r="Z1099">
        <f>IF($P1099="","",Shares!$H1102)</f>
        <v/>
      </c>
      <c r="AE1099">
        <f>IF(OR(Sync!$S1099="",Sync!$P1099=""),"",Sync!$S1099)</f>
        <v/>
      </c>
      <c r="AF1099">
        <f>IF($AE1099="","",IF(ISNUMBER(Sync!$P1099),IF(AND(Sync!$P1099&gt;=10000101,Sync!$P1099&lt;=99991231),INT(Sync!$P1099/10000),""),IFERROR(VALUE(TRIM(LEFT(Sync!$P1099,FIND("/",Sync!$P1099)-1))),"")))</f>
        <v/>
      </c>
      <c r="AG1099">
        <f>IF(OR($AE1099="",$AF1099=""),"",IF(ISNUMBER(Sync!$P1099),INT(MOD(Sync!$P1099,10000)/100),IFERROR(VALUE(TRIM(LEFT(MID(Sync!$P1099,FIND("/",Sync!$P1099)+1,20),FIND("/",MID(Sync!$P1099,FIND("/",Sync!$P1099)+1,20))-1))),"")))</f>
        <v/>
      </c>
      <c r="AH1099">
        <f>IF(OR($AE1099="",$AF1099=""),"",IF(ISNUMBER(Sync!$P1099),MOD(Sync!$P1099,100),IFERROR(VALUE(TRIM(MID(MID(Sync!$P1099,FIND("/",Sync!$P1099)+1,20),FIND("/",MID(Sync!$P1099,FIND("/",Sync!$P1099)+1,20))+1,20))),"")))</f>
        <v/>
      </c>
      <c r="AI1099">
        <f>IF($AE1099="","",IF(OR($AF1099="",$AG1099="",$AH1099="",$AF1099&lt;1300,$AF1099&gt;1500,$AG1099&lt;1,$AG1099&gt;12,$AH1099&lt;1,$AH1099&gt;31),"نامعتبر",RIGHT("0000"&amp;$AF1099,4)&amp;"/"&amp;RIGHT("00"&amp;$AG1099,2)&amp;"/"&amp;RIGHT("00"&amp;$AH1099,2)))</f>
        <v/>
      </c>
      <c r="AJ1099">
        <f>IF($AE1099="","",IF(Sync!$Q1099="","0000",IF(AND(ISNUMBER(Sync!$Q1099),Sync!$Q1099&gt;=0,Sync!$Q1099&lt;1),RIGHT("00"&amp;HOUR(Sync!$Q1099),2)&amp;RIGHT("00"&amp;MINUTE(Sync!$Q1099),2),IFERROR(RIGHT("00"&amp;VALUE(LEFT(Sync!$Q1099,FIND(":",Sync!$Q1099)-1)),2)&amp;RIGHT("00"&amp;VALUE(MID(Sync!$Q1099,FIND(":",Sync!$Q1099)+1,2)),2),"0000"))))</f>
        <v/>
      </c>
      <c r="AK1099">
        <f>IF(OR($AE1099="",$AI1099="",$AI1099="نامعتبر"),"",LEFT($AI1099,4)&amp;MID($AI1099,6,2)&amp;RIGHT($AI1099,2)&amp;$AJ1099&amp;"|"&amp;"3"&amp;RIGHT("00000"&amp;1094,5))</f>
        <v/>
      </c>
      <c r="AL1099">
        <f>IF($AK1099="","",COUNTIFS(LdAParty,$AE1099,LdAType,1,LdAKey,"&lt;"&amp;$AK1099)+COUNTIFS(LdBMember,$AE1099,LdBKey,"&lt;"&amp;$AK1099)+COUNTIFS(LdCParty,$AE1099,LdCKey,"&lt;"&amp;$AK1099)+1)</f>
        <v/>
      </c>
      <c r="AM1099">
        <f>IF($AL1099="","",$AE1099&amp;"|"&amp;RIGHT("000000"&amp;$AL1099,6))</f>
        <v/>
      </c>
      <c r="AN1099">
        <f>IF($AE1099="","",IF(Sync!$W1099="",0,Sync!$W1099))</f>
        <v/>
      </c>
      <c r="AO1099">
        <f>IF($AE1099="","",IF(Sync!$X1099="",0,Sync!$X1099))</f>
        <v/>
      </c>
      <c r="AP1099">
        <f>IF($AE1099="","",Sync!$R1099)</f>
        <v/>
      </c>
      <c r="AQ1099">
        <f>IF($AE1099="","",Sync!$Y1099)</f>
        <v/>
      </c>
    </row>
    <row r="1100">
      <c r="A1100">
        <f>IF(OR(Wages!$B1103="",Wages!$E1103=""),"",Wages!$E1103)</f>
        <v/>
      </c>
      <c r="B1100">
        <f>IF($A1100="","",IF(Wages!$C1103="دستمزد گروهی",2,1))</f>
        <v/>
      </c>
      <c r="C1100">
        <f>IF($A1100="","",IF(ISNUMBER(Wages!$B1103),IF(AND(Wages!$B1103&gt;=10000101,Wages!$B1103&lt;=99991231),INT(Wages!$B1103/10000),""),IFERROR(VALUE(TRIM(LEFT(Wages!$B1103,FIND("/",Wages!$B1103)-1))),"")))</f>
        <v/>
      </c>
      <c r="D1100">
        <f>IF(OR($A1100="",$C1100=""),"",IF(ISNUMBER(Wages!$B1103),INT(MOD(Wages!$B1103,10000)/100),IFERROR(VALUE(TRIM(LEFT(MID(Wages!$B1103,FIND("/",Wages!$B1103)+1,20),FIND("/",MID(Wages!$B1103,FIND("/",Wages!$B1103)+1,20))-1))),"")))</f>
        <v/>
      </c>
      <c r="E1100">
        <f>IF(OR($A1100="",$C1100=""),"",IF(ISNUMBER(Wages!$B1103),MOD(Wages!$B1103,100),IFERROR(VALUE(TRIM(MID(MID(Wages!$B1103,FIND("/",Wages!$B1103)+1,20),FIND("/",MID(Wages!$B1103,FIND("/",Wages!$B1103)+1,20))+1,20))),"")))</f>
        <v/>
      </c>
      <c r="F1100">
        <f>IF($A1100="","",IF(OR($C1100="",$D1100="",$E1100="",$C1100&lt;1300,$C1100&gt;1500,$D1100&lt;1,$D1100&gt;12,$E1100&lt;1,$E1100&gt;31),"نامعتبر",RIGHT("0000"&amp;$C1100,4)&amp;"/"&amp;RIGHT("00"&amp;$D1100,2)&amp;"/"&amp;RIGHT("00"&amp;$E1100,2)))</f>
        <v/>
      </c>
      <c r="G1100">
        <f>IF(OR($A1100="",$F1100="",$F1100="نامعتبر"),"",LEFT($F1100,4)&amp;MID($F1100,6,2)&amp;RIGHT($F1100,2)&amp;"0000"&amp;"|"&amp;"1"&amp;RIGHT("00000"&amp;1095,5))</f>
        <v/>
      </c>
      <c r="H1100">
        <f>IF(OR($B1100&lt;&gt;1,$G1100=""),"",COUNTIFS(LdAParty,$A1100,LdAType,1,LdAKey,"&lt;"&amp;$G1100)+COUNTIFS(LdBMember,$A1100,LdBKey,"&lt;"&amp;$G1100)+COUNTIFS(LdCParty,$A1100,LdCKey,"&lt;"&amp;$G1100)+1)</f>
        <v/>
      </c>
      <c r="I1100">
        <f>IF($H1100="","",$A1100&amp;"|"&amp;RIGHT("000000"&amp;$H1100,6))</f>
        <v/>
      </c>
      <c r="J1100">
        <f>IF(OR($B1100&lt;&gt;2,$G1100=""),"",COUNTIFS(LdAParty,$A1100,LdAType,2,LdAKey,"&lt;"&amp;$G1100)+1)</f>
        <v/>
      </c>
      <c r="K1100">
        <f>IF($J1100="","",$A1100&amp;"|"&amp;RIGHT("000000"&amp;$J1100,6))</f>
        <v/>
      </c>
      <c r="L1100">
        <f>IF($A1100="","",IF(Wages!$G1103="",0,Wages!$G1103))</f>
        <v/>
      </c>
      <c r="M1100">
        <f>IF($A1100="","",Wages!$J1103)</f>
        <v/>
      </c>
      <c r="N1100">
        <f>IF($A1100="","",Wages!$D1103)</f>
        <v/>
      </c>
      <c r="P1100">
        <f>IF(OR(Shares!$B1103="",Shares!$C1103=""),"",Shares!$C1103)</f>
        <v/>
      </c>
      <c r="Q1100">
        <f>IF($P1100="","",Shares!$B1103)</f>
        <v/>
      </c>
      <c r="R1100">
        <f>IF($P1100="","",IFERROR(INDEX(WageParty,MATCH($Q1100,WageIds,0)),""))</f>
        <v/>
      </c>
      <c r="S1100">
        <f>IF($P1100="","",IFERROR(INDEX($F$6:$F$2005,MATCH($Q1100,WageIds,0)),""))</f>
        <v/>
      </c>
      <c r="T1100">
        <f>IF(OR($P1100="",$S1100="",$S1100="نامعتبر"),"",LEFT($S1100,4)&amp;MID($S1100,6,2)&amp;RIGHT($S1100,2)&amp;"0000"&amp;"|"&amp;"2"&amp;RIGHT("00000"&amp;1095,5))</f>
        <v/>
      </c>
      <c r="U1100">
        <f>IF($T1100="","",COUNTIFS(LdAParty,$P1100,LdAType,1,LdAKey,"&lt;"&amp;$T1100)+COUNTIFS(LdBMember,$P1100,LdBKey,"&lt;"&amp;$T1100)+COUNTIFS(LdCParty,$P1100,LdCKey,"&lt;"&amp;$T1100)+1)</f>
        <v/>
      </c>
      <c r="V1100">
        <f>IF($U1100="","",$P1100&amp;"|"&amp;RIGHT("000000"&amp;$U1100,6))</f>
        <v/>
      </c>
      <c r="W1100">
        <f>IF($T1100="","",COUNTIFS(LdBGroup,$R1100,LdBKey,"&lt;"&amp;$T1100)+1)</f>
        <v/>
      </c>
      <c r="X1100">
        <f>IF($W1100="","",$R1100&amp;"|"&amp;RIGHT("000000"&amp;$W1100,6))</f>
        <v/>
      </c>
      <c r="Y1100">
        <f>IF($P1100="","",IF(Shares!$E1103="",0,Shares!$E1103))</f>
        <v/>
      </c>
      <c r="Z1100">
        <f>IF($P1100="","",Shares!$H1103)</f>
        <v/>
      </c>
      <c r="AE1100">
        <f>IF(OR(Sync!$S1100="",Sync!$P1100=""),"",Sync!$S1100)</f>
        <v/>
      </c>
      <c r="AF1100">
        <f>IF($AE1100="","",IF(ISNUMBER(Sync!$P1100),IF(AND(Sync!$P1100&gt;=10000101,Sync!$P1100&lt;=99991231),INT(Sync!$P1100/10000),""),IFERROR(VALUE(TRIM(LEFT(Sync!$P1100,FIND("/",Sync!$P1100)-1))),"")))</f>
        <v/>
      </c>
      <c r="AG1100">
        <f>IF(OR($AE1100="",$AF1100=""),"",IF(ISNUMBER(Sync!$P1100),INT(MOD(Sync!$P1100,10000)/100),IFERROR(VALUE(TRIM(LEFT(MID(Sync!$P1100,FIND("/",Sync!$P1100)+1,20),FIND("/",MID(Sync!$P1100,FIND("/",Sync!$P1100)+1,20))-1))),"")))</f>
        <v/>
      </c>
      <c r="AH1100">
        <f>IF(OR($AE1100="",$AF1100=""),"",IF(ISNUMBER(Sync!$P1100),MOD(Sync!$P1100,100),IFERROR(VALUE(TRIM(MID(MID(Sync!$P1100,FIND("/",Sync!$P1100)+1,20),FIND("/",MID(Sync!$P1100,FIND("/",Sync!$P1100)+1,20))+1,20))),"")))</f>
        <v/>
      </c>
      <c r="AI1100">
        <f>IF($AE1100="","",IF(OR($AF1100="",$AG1100="",$AH1100="",$AF1100&lt;1300,$AF1100&gt;1500,$AG1100&lt;1,$AG1100&gt;12,$AH1100&lt;1,$AH1100&gt;31),"نامعتبر",RIGHT("0000"&amp;$AF1100,4)&amp;"/"&amp;RIGHT("00"&amp;$AG1100,2)&amp;"/"&amp;RIGHT("00"&amp;$AH1100,2)))</f>
        <v/>
      </c>
      <c r="AJ1100">
        <f>IF($AE1100="","",IF(Sync!$Q1100="","0000",IF(AND(ISNUMBER(Sync!$Q1100),Sync!$Q1100&gt;=0,Sync!$Q1100&lt;1),RIGHT("00"&amp;HOUR(Sync!$Q1100),2)&amp;RIGHT("00"&amp;MINUTE(Sync!$Q1100),2),IFERROR(RIGHT("00"&amp;VALUE(LEFT(Sync!$Q1100,FIND(":",Sync!$Q1100)-1)),2)&amp;RIGHT("00"&amp;VALUE(MID(Sync!$Q1100,FIND(":",Sync!$Q1100)+1,2)),2),"0000"))))</f>
        <v/>
      </c>
      <c r="AK1100">
        <f>IF(OR($AE1100="",$AI1100="",$AI1100="نامعتبر"),"",LEFT($AI1100,4)&amp;MID($AI1100,6,2)&amp;RIGHT($AI1100,2)&amp;$AJ1100&amp;"|"&amp;"3"&amp;RIGHT("00000"&amp;1095,5))</f>
        <v/>
      </c>
      <c r="AL1100">
        <f>IF($AK1100="","",COUNTIFS(LdAParty,$AE1100,LdAType,1,LdAKey,"&lt;"&amp;$AK1100)+COUNTIFS(LdBMember,$AE1100,LdBKey,"&lt;"&amp;$AK1100)+COUNTIFS(LdCParty,$AE1100,LdCKey,"&lt;"&amp;$AK1100)+1)</f>
        <v/>
      </c>
      <c r="AM1100">
        <f>IF($AL1100="","",$AE1100&amp;"|"&amp;RIGHT("000000"&amp;$AL1100,6))</f>
        <v/>
      </c>
      <c r="AN1100">
        <f>IF($AE1100="","",IF(Sync!$W1100="",0,Sync!$W1100))</f>
        <v/>
      </c>
      <c r="AO1100">
        <f>IF($AE1100="","",IF(Sync!$X1100="",0,Sync!$X1100))</f>
        <v/>
      </c>
      <c r="AP1100">
        <f>IF($AE1100="","",Sync!$R1100)</f>
        <v/>
      </c>
      <c r="AQ1100">
        <f>IF($AE1100="","",Sync!$Y1100)</f>
        <v/>
      </c>
    </row>
    <row r="1101">
      <c r="A1101">
        <f>IF(OR(Wages!$B1104="",Wages!$E1104=""),"",Wages!$E1104)</f>
        <v/>
      </c>
      <c r="B1101">
        <f>IF($A1101="","",IF(Wages!$C1104="دستمزد گروهی",2,1))</f>
        <v/>
      </c>
      <c r="C1101">
        <f>IF($A1101="","",IF(ISNUMBER(Wages!$B1104),IF(AND(Wages!$B1104&gt;=10000101,Wages!$B1104&lt;=99991231),INT(Wages!$B1104/10000),""),IFERROR(VALUE(TRIM(LEFT(Wages!$B1104,FIND("/",Wages!$B1104)-1))),"")))</f>
        <v/>
      </c>
      <c r="D1101">
        <f>IF(OR($A1101="",$C1101=""),"",IF(ISNUMBER(Wages!$B1104),INT(MOD(Wages!$B1104,10000)/100),IFERROR(VALUE(TRIM(LEFT(MID(Wages!$B1104,FIND("/",Wages!$B1104)+1,20),FIND("/",MID(Wages!$B1104,FIND("/",Wages!$B1104)+1,20))-1))),"")))</f>
        <v/>
      </c>
      <c r="E1101">
        <f>IF(OR($A1101="",$C1101=""),"",IF(ISNUMBER(Wages!$B1104),MOD(Wages!$B1104,100),IFERROR(VALUE(TRIM(MID(MID(Wages!$B1104,FIND("/",Wages!$B1104)+1,20),FIND("/",MID(Wages!$B1104,FIND("/",Wages!$B1104)+1,20))+1,20))),"")))</f>
        <v/>
      </c>
      <c r="F1101">
        <f>IF($A1101="","",IF(OR($C1101="",$D1101="",$E1101="",$C1101&lt;1300,$C1101&gt;1500,$D1101&lt;1,$D1101&gt;12,$E1101&lt;1,$E1101&gt;31),"نامعتبر",RIGHT("0000"&amp;$C1101,4)&amp;"/"&amp;RIGHT("00"&amp;$D1101,2)&amp;"/"&amp;RIGHT("00"&amp;$E1101,2)))</f>
        <v/>
      </c>
      <c r="G1101">
        <f>IF(OR($A1101="",$F1101="",$F1101="نامعتبر"),"",LEFT($F1101,4)&amp;MID($F1101,6,2)&amp;RIGHT($F1101,2)&amp;"0000"&amp;"|"&amp;"1"&amp;RIGHT("00000"&amp;1096,5))</f>
        <v/>
      </c>
      <c r="H1101">
        <f>IF(OR($B1101&lt;&gt;1,$G1101=""),"",COUNTIFS(LdAParty,$A1101,LdAType,1,LdAKey,"&lt;"&amp;$G1101)+COUNTIFS(LdBMember,$A1101,LdBKey,"&lt;"&amp;$G1101)+COUNTIFS(LdCParty,$A1101,LdCKey,"&lt;"&amp;$G1101)+1)</f>
        <v/>
      </c>
      <c r="I1101">
        <f>IF($H1101="","",$A1101&amp;"|"&amp;RIGHT("000000"&amp;$H1101,6))</f>
        <v/>
      </c>
      <c r="J1101">
        <f>IF(OR($B1101&lt;&gt;2,$G1101=""),"",COUNTIFS(LdAParty,$A1101,LdAType,2,LdAKey,"&lt;"&amp;$G1101)+1)</f>
        <v/>
      </c>
      <c r="K1101">
        <f>IF($J1101="","",$A1101&amp;"|"&amp;RIGHT("000000"&amp;$J1101,6))</f>
        <v/>
      </c>
      <c r="L1101">
        <f>IF($A1101="","",IF(Wages!$G1104="",0,Wages!$G1104))</f>
        <v/>
      </c>
      <c r="M1101">
        <f>IF($A1101="","",Wages!$J1104)</f>
        <v/>
      </c>
      <c r="N1101">
        <f>IF($A1101="","",Wages!$D1104)</f>
        <v/>
      </c>
      <c r="P1101">
        <f>IF(OR(Shares!$B1104="",Shares!$C1104=""),"",Shares!$C1104)</f>
        <v/>
      </c>
      <c r="Q1101">
        <f>IF($P1101="","",Shares!$B1104)</f>
        <v/>
      </c>
      <c r="R1101">
        <f>IF($P1101="","",IFERROR(INDEX(WageParty,MATCH($Q1101,WageIds,0)),""))</f>
        <v/>
      </c>
      <c r="S1101">
        <f>IF($P1101="","",IFERROR(INDEX($F$6:$F$2005,MATCH($Q1101,WageIds,0)),""))</f>
        <v/>
      </c>
      <c r="T1101">
        <f>IF(OR($P1101="",$S1101="",$S1101="نامعتبر"),"",LEFT($S1101,4)&amp;MID($S1101,6,2)&amp;RIGHT($S1101,2)&amp;"0000"&amp;"|"&amp;"2"&amp;RIGHT("00000"&amp;1096,5))</f>
        <v/>
      </c>
      <c r="U1101">
        <f>IF($T1101="","",COUNTIFS(LdAParty,$P1101,LdAType,1,LdAKey,"&lt;"&amp;$T1101)+COUNTIFS(LdBMember,$P1101,LdBKey,"&lt;"&amp;$T1101)+COUNTIFS(LdCParty,$P1101,LdCKey,"&lt;"&amp;$T1101)+1)</f>
        <v/>
      </c>
      <c r="V1101">
        <f>IF($U1101="","",$P1101&amp;"|"&amp;RIGHT("000000"&amp;$U1101,6))</f>
        <v/>
      </c>
      <c r="W1101">
        <f>IF($T1101="","",COUNTIFS(LdBGroup,$R1101,LdBKey,"&lt;"&amp;$T1101)+1)</f>
        <v/>
      </c>
      <c r="X1101">
        <f>IF($W1101="","",$R1101&amp;"|"&amp;RIGHT("000000"&amp;$W1101,6))</f>
        <v/>
      </c>
      <c r="Y1101">
        <f>IF($P1101="","",IF(Shares!$E1104="",0,Shares!$E1104))</f>
        <v/>
      </c>
      <c r="Z1101">
        <f>IF($P1101="","",Shares!$H1104)</f>
        <v/>
      </c>
      <c r="AE1101">
        <f>IF(OR(Sync!$S1101="",Sync!$P1101=""),"",Sync!$S1101)</f>
        <v/>
      </c>
      <c r="AF1101">
        <f>IF($AE1101="","",IF(ISNUMBER(Sync!$P1101),IF(AND(Sync!$P1101&gt;=10000101,Sync!$P1101&lt;=99991231),INT(Sync!$P1101/10000),""),IFERROR(VALUE(TRIM(LEFT(Sync!$P1101,FIND("/",Sync!$P1101)-1))),"")))</f>
        <v/>
      </c>
      <c r="AG1101">
        <f>IF(OR($AE1101="",$AF1101=""),"",IF(ISNUMBER(Sync!$P1101),INT(MOD(Sync!$P1101,10000)/100),IFERROR(VALUE(TRIM(LEFT(MID(Sync!$P1101,FIND("/",Sync!$P1101)+1,20),FIND("/",MID(Sync!$P1101,FIND("/",Sync!$P1101)+1,20))-1))),"")))</f>
        <v/>
      </c>
      <c r="AH1101">
        <f>IF(OR($AE1101="",$AF1101=""),"",IF(ISNUMBER(Sync!$P1101),MOD(Sync!$P1101,100),IFERROR(VALUE(TRIM(MID(MID(Sync!$P1101,FIND("/",Sync!$P1101)+1,20),FIND("/",MID(Sync!$P1101,FIND("/",Sync!$P1101)+1,20))+1,20))),"")))</f>
        <v/>
      </c>
      <c r="AI1101">
        <f>IF($AE1101="","",IF(OR($AF1101="",$AG1101="",$AH1101="",$AF1101&lt;1300,$AF1101&gt;1500,$AG1101&lt;1,$AG1101&gt;12,$AH1101&lt;1,$AH1101&gt;31),"نامعتبر",RIGHT("0000"&amp;$AF1101,4)&amp;"/"&amp;RIGHT("00"&amp;$AG1101,2)&amp;"/"&amp;RIGHT("00"&amp;$AH1101,2)))</f>
        <v/>
      </c>
      <c r="AJ1101">
        <f>IF($AE1101="","",IF(Sync!$Q1101="","0000",IF(AND(ISNUMBER(Sync!$Q1101),Sync!$Q1101&gt;=0,Sync!$Q1101&lt;1),RIGHT("00"&amp;HOUR(Sync!$Q1101),2)&amp;RIGHT("00"&amp;MINUTE(Sync!$Q1101),2),IFERROR(RIGHT("00"&amp;VALUE(LEFT(Sync!$Q1101,FIND(":",Sync!$Q1101)-1)),2)&amp;RIGHT("00"&amp;VALUE(MID(Sync!$Q1101,FIND(":",Sync!$Q1101)+1,2)),2),"0000"))))</f>
        <v/>
      </c>
      <c r="AK1101">
        <f>IF(OR($AE1101="",$AI1101="",$AI1101="نامعتبر"),"",LEFT($AI1101,4)&amp;MID($AI1101,6,2)&amp;RIGHT($AI1101,2)&amp;$AJ1101&amp;"|"&amp;"3"&amp;RIGHT("00000"&amp;1096,5))</f>
        <v/>
      </c>
      <c r="AL1101">
        <f>IF($AK1101="","",COUNTIFS(LdAParty,$AE1101,LdAType,1,LdAKey,"&lt;"&amp;$AK1101)+COUNTIFS(LdBMember,$AE1101,LdBKey,"&lt;"&amp;$AK1101)+COUNTIFS(LdCParty,$AE1101,LdCKey,"&lt;"&amp;$AK1101)+1)</f>
        <v/>
      </c>
      <c r="AM1101">
        <f>IF($AL1101="","",$AE1101&amp;"|"&amp;RIGHT("000000"&amp;$AL1101,6))</f>
        <v/>
      </c>
      <c r="AN1101">
        <f>IF($AE1101="","",IF(Sync!$W1101="",0,Sync!$W1101))</f>
        <v/>
      </c>
      <c r="AO1101">
        <f>IF($AE1101="","",IF(Sync!$X1101="",0,Sync!$X1101))</f>
        <v/>
      </c>
      <c r="AP1101">
        <f>IF($AE1101="","",Sync!$R1101)</f>
        <v/>
      </c>
      <c r="AQ1101">
        <f>IF($AE1101="","",Sync!$Y1101)</f>
        <v/>
      </c>
    </row>
    <row r="1102">
      <c r="A1102">
        <f>IF(OR(Wages!$B1105="",Wages!$E1105=""),"",Wages!$E1105)</f>
        <v/>
      </c>
      <c r="B1102">
        <f>IF($A1102="","",IF(Wages!$C1105="دستمزد گروهی",2,1))</f>
        <v/>
      </c>
      <c r="C1102">
        <f>IF($A1102="","",IF(ISNUMBER(Wages!$B1105),IF(AND(Wages!$B1105&gt;=10000101,Wages!$B1105&lt;=99991231),INT(Wages!$B1105/10000),""),IFERROR(VALUE(TRIM(LEFT(Wages!$B1105,FIND("/",Wages!$B1105)-1))),"")))</f>
        <v/>
      </c>
      <c r="D1102">
        <f>IF(OR($A1102="",$C1102=""),"",IF(ISNUMBER(Wages!$B1105),INT(MOD(Wages!$B1105,10000)/100),IFERROR(VALUE(TRIM(LEFT(MID(Wages!$B1105,FIND("/",Wages!$B1105)+1,20),FIND("/",MID(Wages!$B1105,FIND("/",Wages!$B1105)+1,20))-1))),"")))</f>
        <v/>
      </c>
      <c r="E1102">
        <f>IF(OR($A1102="",$C1102=""),"",IF(ISNUMBER(Wages!$B1105),MOD(Wages!$B1105,100),IFERROR(VALUE(TRIM(MID(MID(Wages!$B1105,FIND("/",Wages!$B1105)+1,20),FIND("/",MID(Wages!$B1105,FIND("/",Wages!$B1105)+1,20))+1,20))),"")))</f>
        <v/>
      </c>
      <c r="F1102">
        <f>IF($A1102="","",IF(OR($C1102="",$D1102="",$E1102="",$C1102&lt;1300,$C1102&gt;1500,$D1102&lt;1,$D1102&gt;12,$E1102&lt;1,$E1102&gt;31),"نامعتبر",RIGHT("0000"&amp;$C1102,4)&amp;"/"&amp;RIGHT("00"&amp;$D1102,2)&amp;"/"&amp;RIGHT("00"&amp;$E1102,2)))</f>
        <v/>
      </c>
      <c r="G1102">
        <f>IF(OR($A1102="",$F1102="",$F1102="نامعتبر"),"",LEFT($F1102,4)&amp;MID($F1102,6,2)&amp;RIGHT($F1102,2)&amp;"0000"&amp;"|"&amp;"1"&amp;RIGHT("00000"&amp;1097,5))</f>
        <v/>
      </c>
      <c r="H1102">
        <f>IF(OR($B1102&lt;&gt;1,$G1102=""),"",COUNTIFS(LdAParty,$A1102,LdAType,1,LdAKey,"&lt;"&amp;$G1102)+COUNTIFS(LdBMember,$A1102,LdBKey,"&lt;"&amp;$G1102)+COUNTIFS(LdCParty,$A1102,LdCKey,"&lt;"&amp;$G1102)+1)</f>
        <v/>
      </c>
      <c r="I1102">
        <f>IF($H1102="","",$A1102&amp;"|"&amp;RIGHT("000000"&amp;$H1102,6))</f>
        <v/>
      </c>
      <c r="J1102">
        <f>IF(OR($B1102&lt;&gt;2,$G1102=""),"",COUNTIFS(LdAParty,$A1102,LdAType,2,LdAKey,"&lt;"&amp;$G1102)+1)</f>
        <v/>
      </c>
      <c r="K1102">
        <f>IF($J1102="","",$A1102&amp;"|"&amp;RIGHT("000000"&amp;$J1102,6))</f>
        <v/>
      </c>
      <c r="L1102">
        <f>IF($A1102="","",IF(Wages!$G1105="",0,Wages!$G1105))</f>
        <v/>
      </c>
      <c r="M1102">
        <f>IF($A1102="","",Wages!$J1105)</f>
        <v/>
      </c>
      <c r="N1102">
        <f>IF($A1102="","",Wages!$D1105)</f>
        <v/>
      </c>
      <c r="P1102">
        <f>IF(OR(Shares!$B1105="",Shares!$C1105=""),"",Shares!$C1105)</f>
        <v/>
      </c>
      <c r="Q1102">
        <f>IF($P1102="","",Shares!$B1105)</f>
        <v/>
      </c>
      <c r="R1102">
        <f>IF($P1102="","",IFERROR(INDEX(WageParty,MATCH($Q1102,WageIds,0)),""))</f>
        <v/>
      </c>
      <c r="S1102">
        <f>IF($P1102="","",IFERROR(INDEX($F$6:$F$2005,MATCH($Q1102,WageIds,0)),""))</f>
        <v/>
      </c>
      <c r="T1102">
        <f>IF(OR($P1102="",$S1102="",$S1102="نامعتبر"),"",LEFT($S1102,4)&amp;MID($S1102,6,2)&amp;RIGHT($S1102,2)&amp;"0000"&amp;"|"&amp;"2"&amp;RIGHT("00000"&amp;1097,5))</f>
        <v/>
      </c>
      <c r="U1102">
        <f>IF($T1102="","",COUNTIFS(LdAParty,$P1102,LdAType,1,LdAKey,"&lt;"&amp;$T1102)+COUNTIFS(LdBMember,$P1102,LdBKey,"&lt;"&amp;$T1102)+COUNTIFS(LdCParty,$P1102,LdCKey,"&lt;"&amp;$T1102)+1)</f>
        <v/>
      </c>
      <c r="V1102">
        <f>IF($U1102="","",$P1102&amp;"|"&amp;RIGHT("000000"&amp;$U1102,6))</f>
        <v/>
      </c>
      <c r="W1102">
        <f>IF($T1102="","",COUNTIFS(LdBGroup,$R1102,LdBKey,"&lt;"&amp;$T1102)+1)</f>
        <v/>
      </c>
      <c r="X1102">
        <f>IF($W1102="","",$R1102&amp;"|"&amp;RIGHT("000000"&amp;$W1102,6))</f>
        <v/>
      </c>
      <c r="Y1102">
        <f>IF($P1102="","",IF(Shares!$E1105="",0,Shares!$E1105))</f>
        <v/>
      </c>
      <c r="Z1102">
        <f>IF($P1102="","",Shares!$H1105)</f>
        <v/>
      </c>
      <c r="AE1102">
        <f>IF(OR(Sync!$S1102="",Sync!$P1102=""),"",Sync!$S1102)</f>
        <v/>
      </c>
      <c r="AF1102">
        <f>IF($AE1102="","",IF(ISNUMBER(Sync!$P1102),IF(AND(Sync!$P1102&gt;=10000101,Sync!$P1102&lt;=99991231),INT(Sync!$P1102/10000),""),IFERROR(VALUE(TRIM(LEFT(Sync!$P1102,FIND("/",Sync!$P1102)-1))),"")))</f>
        <v/>
      </c>
      <c r="AG1102">
        <f>IF(OR($AE1102="",$AF1102=""),"",IF(ISNUMBER(Sync!$P1102),INT(MOD(Sync!$P1102,10000)/100),IFERROR(VALUE(TRIM(LEFT(MID(Sync!$P1102,FIND("/",Sync!$P1102)+1,20),FIND("/",MID(Sync!$P1102,FIND("/",Sync!$P1102)+1,20))-1))),"")))</f>
        <v/>
      </c>
      <c r="AH1102">
        <f>IF(OR($AE1102="",$AF1102=""),"",IF(ISNUMBER(Sync!$P1102),MOD(Sync!$P1102,100),IFERROR(VALUE(TRIM(MID(MID(Sync!$P1102,FIND("/",Sync!$P1102)+1,20),FIND("/",MID(Sync!$P1102,FIND("/",Sync!$P1102)+1,20))+1,20))),"")))</f>
        <v/>
      </c>
      <c r="AI1102">
        <f>IF($AE1102="","",IF(OR($AF1102="",$AG1102="",$AH1102="",$AF1102&lt;1300,$AF1102&gt;1500,$AG1102&lt;1,$AG1102&gt;12,$AH1102&lt;1,$AH1102&gt;31),"نامعتبر",RIGHT("0000"&amp;$AF1102,4)&amp;"/"&amp;RIGHT("00"&amp;$AG1102,2)&amp;"/"&amp;RIGHT("00"&amp;$AH1102,2)))</f>
        <v/>
      </c>
      <c r="AJ1102">
        <f>IF($AE1102="","",IF(Sync!$Q1102="","0000",IF(AND(ISNUMBER(Sync!$Q1102),Sync!$Q1102&gt;=0,Sync!$Q1102&lt;1),RIGHT("00"&amp;HOUR(Sync!$Q1102),2)&amp;RIGHT("00"&amp;MINUTE(Sync!$Q1102),2),IFERROR(RIGHT("00"&amp;VALUE(LEFT(Sync!$Q1102,FIND(":",Sync!$Q1102)-1)),2)&amp;RIGHT("00"&amp;VALUE(MID(Sync!$Q1102,FIND(":",Sync!$Q1102)+1,2)),2),"0000"))))</f>
        <v/>
      </c>
      <c r="AK1102">
        <f>IF(OR($AE1102="",$AI1102="",$AI1102="نامعتبر"),"",LEFT($AI1102,4)&amp;MID($AI1102,6,2)&amp;RIGHT($AI1102,2)&amp;$AJ1102&amp;"|"&amp;"3"&amp;RIGHT("00000"&amp;1097,5))</f>
        <v/>
      </c>
      <c r="AL1102">
        <f>IF($AK1102="","",COUNTIFS(LdAParty,$AE1102,LdAType,1,LdAKey,"&lt;"&amp;$AK1102)+COUNTIFS(LdBMember,$AE1102,LdBKey,"&lt;"&amp;$AK1102)+COUNTIFS(LdCParty,$AE1102,LdCKey,"&lt;"&amp;$AK1102)+1)</f>
        <v/>
      </c>
      <c r="AM1102">
        <f>IF($AL1102="","",$AE1102&amp;"|"&amp;RIGHT("000000"&amp;$AL1102,6))</f>
        <v/>
      </c>
      <c r="AN1102">
        <f>IF($AE1102="","",IF(Sync!$W1102="",0,Sync!$W1102))</f>
        <v/>
      </c>
      <c r="AO1102">
        <f>IF($AE1102="","",IF(Sync!$X1102="",0,Sync!$X1102))</f>
        <v/>
      </c>
      <c r="AP1102">
        <f>IF($AE1102="","",Sync!$R1102)</f>
        <v/>
      </c>
      <c r="AQ1102">
        <f>IF($AE1102="","",Sync!$Y1102)</f>
        <v/>
      </c>
    </row>
    <row r="1103">
      <c r="A1103">
        <f>IF(OR(Wages!$B1106="",Wages!$E1106=""),"",Wages!$E1106)</f>
        <v/>
      </c>
      <c r="B1103">
        <f>IF($A1103="","",IF(Wages!$C1106="دستمزد گروهی",2,1))</f>
        <v/>
      </c>
      <c r="C1103">
        <f>IF($A1103="","",IF(ISNUMBER(Wages!$B1106),IF(AND(Wages!$B1106&gt;=10000101,Wages!$B1106&lt;=99991231),INT(Wages!$B1106/10000),""),IFERROR(VALUE(TRIM(LEFT(Wages!$B1106,FIND("/",Wages!$B1106)-1))),"")))</f>
        <v/>
      </c>
      <c r="D1103">
        <f>IF(OR($A1103="",$C1103=""),"",IF(ISNUMBER(Wages!$B1106),INT(MOD(Wages!$B1106,10000)/100),IFERROR(VALUE(TRIM(LEFT(MID(Wages!$B1106,FIND("/",Wages!$B1106)+1,20),FIND("/",MID(Wages!$B1106,FIND("/",Wages!$B1106)+1,20))-1))),"")))</f>
        <v/>
      </c>
      <c r="E1103">
        <f>IF(OR($A1103="",$C1103=""),"",IF(ISNUMBER(Wages!$B1106),MOD(Wages!$B1106,100),IFERROR(VALUE(TRIM(MID(MID(Wages!$B1106,FIND("/",Wages!$B1106)+1,20),FIND("/",MID(Wages!$B1106,FIND("/",Wages!$B1106)+1,20))+1,20))),"")))</f>
        <v/>
      </c>
      <c r="F1103">
        <f>IF($A1103="","",IF(OR($C1103="",$D1103="",$E1103="",$C1103&lt;1300,$C1103&gt;1500,$D1103&lt;1,$D1103&gt;12,$E1103&lt;1,$E1103&gt;31),"نامعتبر",RIGHT("0000"&amp;$C1103,4)&amp;"/"&amp;RIGHT("00"&amp;$D1103,2)&amp;"/"&amp;RIGHT("00"&amp;$E1103,2)))</f>
        <v/>
      </c>
      <c r="G1103">
        <f>IF(OR($A1103="",$F1103="",$F1103="نامعتبر"),"",LEFT($F1103,4)&amp;MID($F1103,6,2)&amp;RIGHT($F1103,2)&amp;"0000"&amp;"|"&amp;"1"&amp;RIGHT("00000"&amp;1098,5))</f>
        <v/>
      </c>
      <c r="H1103">
        <f>IF(OR($B1103&lt;&gt;1,$G1103=""),"",COUNTIFS(LdAParty,$A1103,LdAType,1,LdAKey,"&lt;"&amp;$G1103)+COUNTIFS(LdBMember,$A1103,LdBKey,"&lt;"&amp;$G1103)+COUNTIFS(LdCParty,$A1103,LdCKey,"&lt;"&amp;$G1103)+1)</f>
        <v/>
      </c>
      <c r="I1103">
        <f>IF($H1103="","",$A1103&amp;"|"&amp;RIGHT("000000"&amp;$H1103,6))</f>
        <v/>
      </c>
      <c r="J1103">
        <f>IF(OR($B1103&lt;&gt;2,$G1103=""),"",COUNTIFS(LdAParty,$A1103,LdAType,2,LdAKey,"&lt;"&amp;$G1103)+1)</f>
        <v/>
      </c>
      <c r="K1103">
        <f>IF($J1103="","",$A1103&amp;"|"&amp;RIGHT("000000"&amp;$J1103,6))</f>
        <v/>
      </c>
      <c r="L1103">
        <f>IF($A1103="","",IF(Wages!$G1106="",0,Wages!$G1106))</f>
        <v/>
      </c>
      <c r="M1103">
        <f>IF($A1103="","",Wages!$J1106)</f>
        <v/>
      </c>
      <c r="N1103">
        <f>IF($A1103="","",Wages!$D1106)</f>
        <v/>
      </c>
      <c r="P1103">
        <f>IF(OR(Shares!$B1106="",Shares!$C1106=""),"",Shares!$C1106)</f>
        <v/>
      </c>
      <c r="Q1103">
        <f>IF($P1103="","",Shares!$B1106)</f>
        <v/>
      </c>
      <c r="R1103">
        <f>IF($P1103="","",IFERROR(INDEX(WageParty,MATCH($Q1103,WageIds,0)),""))</f>
        <v/>
      </c>
      <c r="S1103">
        <f>IF($P1103="","",IFERROR(INDEX($F$6:$F$2005,MATCH($Q1103,WageIds,0)),""))</f>
        <v/>
      </c>
      <c r="T1103">
        <f>IF(OR($P1103="",$S1103="",$S1103="نامعتبر"),"",LEFT($S1103,4)&amp;MID($S1103,6,2)&amp;RIGHT($S1103,2)&amp;"0000"&amp;"|"&amp;"2"&amp;RIGHT("00000"&amp;1098,5))</f>
        <v/>
      </c>
      <c r="U1103">
        <f>IF($T1103="","",COUNTIFS(LdAParty,$P1103,LdAType,1,LdAKey,"&lt;"&amp;$T1103)+COUNTIFS(LdBMember,$P1103,LdBKey,"&lt;"&amp;$T1103)+COUNTIFS(LdCParty,$P1103,LdCKey,"&lt;"&amp;$T1103)+1)</f>
        <v/>
      </c>
      <c r="V1103">
        <f>IF($U1103="","",$P1103&amp;"|"&amp;RIGHT("000000"&amp;$U1103,6))</f>
        <v/>
      </c>
      <c r="W1103">
        <f>IF($T1103="","",COUNTIFS(LdBGroup,$R1103,LdBKey,"&lt;"&amp;$T1103)+1)</f>
        <v/>
      </c>
      <c r="X1103">
        <f>IF($W1103="","",$R1103&amp;"|"&amp;RIGHT("000000"&amp;$W1103,6))</f>
        <v/>
      </c>
      <c r="Y1103">
        <f>IF($P1103="","",IF(Shares!$E1106="",0,Shares!$E1106))</f>
        <v/>
      </c>
      <c r="Z1103">
        <f>IF($P1103="","",Shares!$H1106)</f>
        <v/>
      </c>
      <c r="AE1103">
        <f>IF(OR(Sync!$S1103="",Sync!$P1103=""),"",Sync!$S1103)</f>
        <v/>
      </c>
      <c r="AF1103">
        <f>IF($AE1103="","",IF(ISNUMBER(Sync!$P1103),IF(AND(Sync!$P1103&gt;=10000101,Sync!$P1103&lt;=99991231),INT(Sync!$P1103/10000),""),IFERROR(VALUE(TRIM(LEFT(Sync!$P1103,FIND("/",Sync!$P1103)-1))),"")))</f>
        <v/>
      </c>
      <c r="AG1103">
        <f>IF(OR($AE1103="",$AF1103=""),"",IF(ISNUMBER(Sync!$P1103),INT(MOD(Sync!$P1103,10000)/100),IFERROR(VALUE(TRIM(LEFT(MID(Sync!$P1103,FIND("/",Sync!$P1103)+1,20),FIND("/",MID(Sync!$P1103,FIND("/",Sync!$P1103)+1,20))-1))),"")))</f>
        <v/>
      </c>
      <c r="AH1103">
        <f>IF(OR($AE1103="",$AF1103=""),"",IF(ISNUMBER(Sync!$P1103),MOD(Sync!$P1103,100),IFERROR(VALUE(TRIM(MID(MID(Sync!$P1103,FIND("/",Sync!$P1103)+1,20),FIND("/",MID(Sync!$P1103,FIND("/",Sync!$P1103)+1,20))+1,20))),"")))</f>
        <v/>
      </c>
      <c r="AI1103">
        <f>IF($AE1103="","",IF(OR($AF1103="",$AG1103="",$AH1103="",$AF1103&lt;1300,$AF1103&gt;1500,$AG1103&lt;1,$AG1103&gt;12,$AH1103&lt;1,$AH1103&gt;31),"نامعتبر",RIGHT("0000"&amp;$AF1103,4)&amp;"/"&amp;RIGHT("00"&amp;$AG1103,2)&amp;"/"&amp;RIGHT("00"&amp;$AH1103,2)))</f>
        <v/>
      </c>
      <c r="AJ1103">
        <f>IF($AE1103="","",IF(Sync!$Q1103="","0000",IF(AND(ISNUMBER(Sync!$Q1103),Sync!$Q1103&gt;=0,Sync!$Q1103&lt;1),RIGHT("00"&amp;HOUR(Sync!$Q1103),2)&amp;RIGHT("00"&amp;MINUTE(Sync!$Q1103),2),IFERROR(RIGHT("00"&amp;VALUE(LEFT(Sync!$Q1103,FIND(":",Sync!$Q1103)-1)),2)&amp;RIGHT("00"&amp;VALUE(MID(Sync!$Q1103,FIND(":",Sync!$Q1103)+1,2)),2),"0000"))))</f>
        <v/>
      </c>
      <c r="AK1103">
        <f>IF(OR($AE1103="",$AI1103="",$AI1103="نامعتبر"),"",LEFT($AI1103,4)&amp;MID($AI1103,6,2)&amp;RIGHT($AI1103,2)&amp;$AJ1103&amp;"|"&amp;"3"&amp;RIGHT("00000"&amp;1098,5))</f>
        <v/>
      </c>
      <c r="AL1103">
        <f>IF($AK1103="","",COUNTIFS(LdAParty,$AE1103,LdAType,1,LdAKey,"&lt;"&amp;$AK1103)+COUNTIFS(LdBMember,$AE1103,LdBKey,"&lt;"&amp;$AK1103)+COUNTIFS(LdCParty,$AE1103,LdCKey,"&lt;"&amp;$AK1103)+1)</f>
        <v/>
      </c>
      <c r="AM1103">
        <f>IF($AL1103="","",$AE1103&amp;"|"&amp;RIGHT("000000"&amp;$AL1103,6))</f>
        <v/>
      </c>
      <c r="AN1103">
        <f>IF($AE1103="","",IF(Sync!$W1103="",0,Sync!$W1103))</f>
        <v/>
      </c>
      <c r="AO1103">
        <f>IF($AE1103="","",IF(Sync!$X1103="",0,Sync!$X1103))</f>
        <v/>
      </c>
      <c r="AP1103">
        <f>IF($AE1103="","",Sync!$R1103)</f>
        <v/>
      </c>
      <c r="AQ1103">
        <f>IF($AE1103="","",Sync!$Y1103)</f>
        <v/>
      </c>
    </row>
    <row r="1104">
      <c r="A1104">
        <f>IF(OR(Wages!$B1107="",Wages!$E1107=""),"",Wages!$E1107)</f>
        <v/>
      </c>
      <c r="B1104">
        <f>IF($A1104="","",IF(Wages!$C1107="دستمزد گروهی",2,1))</f>
        <v/>
      </c>
      <c r="C1104">
        <f>IF($A1104="","",IF(ISNUMBER(Wages!$B1107),IF(AND(Wages!$B1107&gt;=10000101,Wages!$B1107&lt;=99991231),INT(Wages!$B1107/10000),""),IFERROR(VALUE(TRIM(LEFT(Wages!$B1107,FIND("/",Wages!$B1107)-1))),"")))</f>
        <v/>
      </c>
      <c r="D1104">
        <f>IF(OR($A1104="",$C1104=""),"",IF(ISNUMBER(Wages!$B1107),INT(MOD(Wages!$B1107,10000)/100),IFERROR(VALUE(TRIM(LEFT(MID(Wages!$B1107,FIND("/",Wages!$B1107)+1,20),FIND("/",MID(Wages!$B1107,FIND("/",Wages!$B1107)+1,20))-1))),"")))</f>
        <v/>
      </c>
      <c r="E1104">
        <f>IF(OR($A1104="",$C1104=""),"",IF(ISNUMBER(Wages!$B1107),MOD(Wages!$B1107,100),IFERROR(VALUE(TRIM(MID(MID(Wages!$B1107,FIND("/",Wages!$B1107)+1,20),FIND("/",MID(Wages!$B1107,FIND("/",Wages!$B1107)+1,20))+1,20))),"")))</f>
        <v/>
      </c>
      <c r="F1104">
        <f>IF($A1104="","",IF(OR($C1104="",$D1104="",$E1104="",$C1104&lt;1300,$C1104&gt;1500,$D1104&lt;1,$D1104&gt;12,$E1104&lt;1,$E1104&gt;31),"نامعتبر",RIGHT("0000"&amp;$C1104,4)&amp;"/"&amp;RIGHT("00"&amp;$D1104,2)&amp;"/"&amp;RIGHT("00"&amp;$E1104,2)))</f>
        <v/>
      </c>
      <c r="G1104">
        <f>IF(OR($A1104="",$F1104="",$F1104="نامعتبر"),"",LEFT($F1104,4)&amp;MID($F1104,6,2)&amp;RIGHT($F1104,2)&amp;"0000"&amp;"|"&amp;"1"&amp;RIGHT("00000"&amp;1099,5))</f>
        <v/>
      </c>
      <c r="H1104">
        <f>IF(OR($B1104&lt;&gt;1,$G1104=""),"",COUNTIFS(LdAParty,$A1104,LdAType,1,LdAKey,"&lt;"&amp;$G1104)+COUNTIFS(LdBMember,$A1104,LdBKey,"&lt;"&amp;$G1104)+COUNTIFS(LdCParty,$A1104,LdCKey,"&lt;"&amp;$G1104)+1)</f>
        <v/>
      </c>
      <c r="I1104">
        <f>IF($H1104="","",$A1104&amp;"|"&amp;RIGHT("000000"&amp;$H1104,6))</f>
        <v/>
      </c>
      <c r="J1104">
        <f>IF(OR($B1104&lt;&gt;2,$G1104=""),"",COUNTIFS(LdAParty,$A1104,LdAType,2,LdAKey,"&lt;"&amp;$G1104)+1)</f>
        <v/>
      </c>
      <c r="K1104">
        <f>IF($J1104="","",$A1104&amp;"|"&amp;RIGHT("000000"&amp;$J1104,6))</f>
        <v/>
      </c>
      <c r="L1104">
        <f>IF($A1104="","",IF(Wages!$G1107="",0,Wages!$G1107))</f>
        <v/>
      </c>
      <c r="M1104">
        <f>IF($A1104="","",Wages!$J1107)</f>
        <v/>
      </c>
      <c r="N1104">
        <f>IF($A1104="","",Wages!$D1107)</f>
        <v/>
      </c>
      <c r="P1104">
        <f>IF(OR(Shares!$B1107="",Shares!$C1107=""),"",Shares!$C1107)</f>
        <v/>
      </c>
      <c r="Q1104">
        <f>IF($P1104="","",Shares!$B1107)</f>
        <v/>
      </c>
      <c r="R1104">
        <f>IF($P1104="","",IFERROR(INDEX(WageParty,MATCH($Q1104,WageIds,0)),""))</f>
        <v/>
      </c>
      <c r="S1104">
        <f>IF($P1104="","",IFERROR(INDEX($F$6:$F$2005,MATCH($Q1104,WageIds,0)),""))</f>
        <v/>
      </c>
      <c r="T1104">
        <f>IF(OR($P1104="",$S1104="",$S1104="نامعتبر"),"",LEFT($S1104,4)&amp;MID($S1104,6,2)&amp;RIGHT($S1104,2)&amp;"0000"&amp;"|"&amp;"2"&amp;RIGHT("00000"&amp;1099,5))</f>
        <v/>
      </c>
      <c r="U1104">
        <f>IF($T1104="","",COUNTIFS(LdAParty,$P1104,LdAType,1,LdAKey,"&lt;"&amp;$T1104)+COUNTIFS(LdBMember,$P1104,LdBKey,"&lt;"&amp;$T1104)+COUNTIFS(LdCParty,$P1104,LdCKey,"&lt;"&amp;$T1104)+1)</f>
        <v/>
      </c>
      <c r="V1104">
        <f>IF($U1104="","",$P1104&amp;"|"&amp;RIGHT("000000"&amp;$U1104,6))</f>
        <v/>
      </c>
      <c r="W1104">
        <f>IF($T1104="","",COUNTIFS(LdBGroup,$R1104,LdBKey,"&lt;"&amp;$T1104)+1)</f>
        <v/>
      </c>
      <c r="X1104">
        <f>IF($W1104="","",$R1104&amp;"|"&amp;RIGHT("000000"&amp;$W1104,6))</f>
        <v/>
      </c>
      <c r="Y1104">
        <f>IF($P1104="","",IF(Shares!$E1107="",0,Shares!$E1107))</f>
        <v/>
      </c>
      <c r="Z1104">
        <f>IF($P1104="","",Shares!$H1107)</f>
        <v/>
      </c>
      <c r="AE1104">
        <f>IF(OR(Sync!$S1104="",Sync!$P1104=""),"",Sync!$S1104)</f>
        <v/>
      </c>
      <c r="AF1104">
        <f>IF($AE1104="","",IF(ISNUMBER(Sync!$P1104),IF(AND(Sync!$P1104&gt;=10000101,Sync!$P1104&lt;=99991231),INT(Sync!$P1104/10000),""),IFERROR(VALUE(TRIM(LEFT(Sync!$P1104,FIND("/",Sync!$P1104)-1))),"")))</f>
        <v/>
      </c>
      <c r="AG1104">
        <f>IF(OR($AE1104="",$AF1104=""),"",IF(ISNUMBER(Sync!$P1104),INT(MOD(Sync!$P1104,10000)/100),IFERROR(VALUE(TRIM(LEFT(MID(Sync!$P1104,FIND("/",Sync!$P1104)+1,20),FIND("/",MID(Sync!$P1104,FIND("/",Sync!$P1104)+1,20))-1))),"")))</f>
        <v/>
      </c>
      <c r="AH1104">
        <f>IF(OR($AE1104="",$AF1104=""),"",IF(ISNUMBER(Sync!$P1104),MOD(Sync!$P1104,100),IFERROR(VALUE(TRIM(MID(MID(Sync!$P1104,FIND("/",Sync!$P1104)+1,20),FIND("/",MID(Sync!$P1104,FIND("/",Sync!$P1104)+1,20))+1,20))),"")))</f>
        <v/>
      </c>
      <c r="AI1104">
        <f>IF($AE1104="","",IF(OR($AF1104="",$AG1104="",$AH1104="",$AF1104&lt;1300,$AF1104&gt;1500,$AG1104&lt;1,$AG1104&gt;12,$AH1104&lt;1,$AH1104&gt;31),"نامعتبر",RIGHT("0000"&amp;$AF1104,4)&amp;"/"&amp;RIGHT("00"&amp;$AG1104,2)&amp;"/"&amp;RIGHT("00"&amp;$AH1104,2)))</f>
        <v/>
      </c>
      <c r="AJ1104">
        <f>IF($AE1104="","",IF(Sync!$Q1104="","0000",IF(AND(ISNUMBER(Sync!$Q1104),Sync!$Q1104&gt;=0,Sync!$Q1104&lt;1),RIGHT("00"&amp;HOUR(Sync!$Q1104),2)&amp;RIGHT("00"&amp;MINUTE(Sync!$Q1104),2),IFERROR(RIGHT("00"&amp;VALUE(LEFT(Sync!$Q1104,FIND(":",Sync!$Q1104)-1)),2)&amp;RIGHT("00"&amp;VALUE(MID(Sync!$Q1104,FIND(":",Sync!$Q1104)+1,2)),2),"0000"))))</f>
        <v/>
      </c>
      <c r="AK1104">
        <f>IF(OR($AE1104="",$AI1104="",$AI1104="نامعتبر"),"",LEFT($AI1104,4)&amp;MID($AI1104,6,2)&amp;RIGHT($AI1104,2)&amp;$AJ1104&amp;"|"&amp;"3"&amp;RIGHT("00000"&amp;1099,5))</f>
        <v/>
      </c>
      <c r="AL1104">
        <f>IF($AK1104="","",COUNTIFS(LdAParty,$AE1104,LdAType,1,LdAKey,"&lt;"&amp;$AK1104)+COUNTIFS(LdBMember,$AE1104,LdBKey,"&lt;"&amp;$AK1104)+COUNTIFS(LdCParty,$AE1104,LdCKey,"&lt;"&amp;$AK1104)+1)</f>
        <v/>
      </c>
      <c r="AM1104">
        <f>IF($AL1104="","",$AE1104&amp;"|"&amp;RIGHT("000000"&amp;$AL1104,6))</f>
        <v/>
      </c>
      <c r="AN1104">
        <f>IF($AE1104="","",IF(Sync!$W1104="",0,Sync!$W1104))</f>
        <v/>
      </c>
      <c r="AO1104">
        <f>IF($AE1104="","",IF(Sync!$X1104="",0,Sync!$X1104))</f>
        <v/>
      </c>
      <c r="AP1104">
        <f>IF($AE1104="","",Sync!$R1104)</f>
        <v/>
      </c>
      <c r="AQ1104">
        <f>IF($AE1104="","",Sync!$Y1104)</f>
        <v/>
      </c>
    </row>
    <row r="1105">
      <c r="A1105">
        <f>IF(OR(Wages!$B1108="",Wages!$E1108=""),"",Wages!$E1108)</f>
        <v/>
      </c>
      <c r="B1105">
        <f>IF($A1105="","",IF(Wages!$C1108="دستمزد گروهی",2,1))</f>
        <v/>
      </c>
      <c r="C1105">
        <f>IF($A1105="","",IF(ISNUMBER(Wages!$B1108),IF(AND(Wages!$B1108&gt;=10000101,Wages!$B1108&lt;=99991231),INT(Wages!$B1108/10000),""),IFERROR(VALUE(TRIM(LEFT(Wages!$B1108,FIND("/",Wages!$B1108)-1))),"")))</f>
        <v/>
      </c>
      <c r="D1105">
        <f>IF(OR($A1105="",$C1105=""),"",IF(ISNUMBER(Wages!$B1108),INT(MOD(Wages!$B1108,10000)/100),IFERROR(VALUE(TRIM(LEFT(MID(Wages!$B1108,FIND("/",Wages!$B1108)+1,20),FIND("/",MID(Wages!$B1108,FIND("/",Wages!$B1108)+1,20))-1))),"")))</f>
        <v/>
      </c>
      <c r="E1105">
        <f>IF(OR($A1105="",$C1105=""),"",IF(ISNUMBER(Wages!$B1108),MOD(Wages!$B1108,100),IFERROR(VALUE(TRIM(MID(MID(Wages!$B1108,FIND("/",Wages!$B1108)+1,20),FIND("/",MID(Wages!$B1108,FIND("/",Wages!$B1108)+1,20))+1,20))),"")))</f>
        <v/>
      </c>
      <c r="F1105">
        <f>IF($A1105="","",IF(OR($C1105="",$D1105="",$E1105="",$C1105&lt;1300,$C1105&gt;1500,$D1105&lt;1,$D1105&gt;12,$E1105&lt;1,$E1105&gt;31),"نامعتبر",RIGHT("0000"&amp;$C1105,4)&amp;"/"&amp;RIGHT("00"&amp;$D1105,2)&amp;"/"&amp;RIGHT("00"&amp;$E1105,2)))</f>
        <v/>
      </c>
      <c r="G1105">
        <f>IF(OR($A1105="",$F1105="",$F1105="نامعتبر"),"",LEFT($F1105,4)&amp;MID($F1105,6,2)&amp;RIGHT($F1105,2)&amp;"0000"&amp;"|"&amp;"1"&amp;RIGHT("00000"&amp;1100,5))</f>
        <v/>
      </c>
      <c r="H1105">
        <f>IF(OR($B1105&lt;&gt;1,$G1105=""),"",COUNTIFS(LdAParty,$A1105,LdAType,1,LdAKey,"&lt;"&amp;$G1105)+COUNTIFS(LdBMember,$A1105,LdBKey,"&lt;"&amp;$G1105)+COUNTIFS(LdCParty,$A1105,LdCKey,"&lt;"&amp;$G1105)+1)</f>
        <v/>
      </c>
      <c r="I1105">
        <f>IF($H1105="","",$A1105&amp;"|"&amp;RIGHT("000000"&amp;$H1105,6))</f>
        <v/>
      </c>
      <c r="J1105">
        <f>IF(OR($B1105&lt;&gt;2,$G1105=""),"",COUNTIFS(LdAParty,$A1105,LdAType,2,LdAKey,"&lt;"&amp;$G1105)+1)</f>
        <v/>
      </c>
      <c r="K1105">
        <f>IF($J1105="","",$A1105&amp;"|"&amp;RIGHT("000000"&amp;$J1105,6))</f>
        <v/>
      </c>
      <c r="L1105">
        <f>IF($A1105="","",IF(Wages!$G1108="",0,Wages!$G1108))</f>
        <v/>
      </c>
      <c r="M1105">
        <f>IF($A1105="","",Wages!$J1108)</f>
        <v/>
      </c>
      <c r="N1105">
        <f>IF($A1105="","",Wages!$D1108)</f>
        <v/>
      </c>
      <c r="P1105">
        <f>IF(OR(Shares!$B1108="",Shares!$C1108=""),"",Shares!$C1108)</f>
        <v/>
      </c>
      <c r="Q1105">
        <f>IF($P1105="","",Shares!$B1108)</f>
        <v/>
      </c>
      <c r="R1105">
        <f>IF($P1105="","",IFERROR(INDEX(WageParty,MATCH($Q1105,WageIds,0)),""))</f>
        <v/>
      </c>
      <c r="S1105">
        <f>IF($P1105="","",IFERROR(INDEX($F$6:$F$2005,MATCH($Q1105,WageIds,0)),""))</f>
        <v/>
      </c>
      <c r="T1105">
        <f>IF(OR($P1105="",$S1105="",$S1105="نامعتبر"),"",LEFT($S1105,4)&amp;MID($S1105,6,2)&amp;RIGHT($S1105,2)&amp;"0000"&amp;"|"&amp;"2"&amp;RIGHT("00000"&amp;1100,5))</f>
        <v/>
      </c>
      <c r="U1105">
        <f>IF($T1105="","",COUNTIFS(LdAParty,$P1105,LdAType,1,LdAKey,"&lt;"&amp;$T1105)+COUNTIFS(LdBMember,$P1105,LdBKey,"&lt;"&amp;$T1105)+COUNTIFS(LdCParty,$P1105,LdCKey,"&lt;"&amp;$T1105)+1)</f>
        <v/>
      </c>
      <c r="V1105">
        <f>IF($U1105="","",$P1105&amp;"|"&amp;RIGHT("000000"&amp;$U1105,6))</f>
        <v/>
      </c>
      <c r="W1105">
        <f>IF($T1105="","",COUNTIFS(LdBGroup,$R1105,LdBKey,"&lt;"&amp;$T1105)+1)</f>
        <v/>
      </c>
      <c r="X1105">
        <f>IF($W1105="","",$R1105&amp;"|"&amp;RIGHT("000000"&amp;$W1105,6))</f>
        <v/>
      </c>
      <c r="Y1105">
        <f>IF($P1105="","",IF(Shares!$E1108="",0,Shares!$E1108))</f>
        <v/>
      </c>
      <c r="Z1105">
        <f>IF($P1105="","",Shares!$H1108)</f>
        <v/>
      </c>
      <c r="AE1105">
        <f>IF(OR(Sync!$S1105="",Sync!$P1105=""),"",Sync!$S1105)</f>
        <v/>
      </c>
      <c r="AF1105">
        <f>IF($AE1105="","",IF(ISNUMBER(Sync!$P1105),IF(AND(Sync!$P1105&gt;=10000101,Sync!$P1105&lt;=99991231),INT(Sync!$P1105/10000),""),IFERROR(VALUE(TRIM(LEFT(Sync!$P1105,FIND("/",Sync!$P1105)-1))),"")))</f>
        <v/>
      </c>
      <c r="AG1105">
        <f>IF(OR($AE1105="",$AF1105=""),"",IF(ISNUMBER(Sync!$P1105),INT(MOD(Sync!$P1105,10000)/100),IFERROR(VALUE(TRIM(LEFT(MID(Sync!$P1105,FIND("/",Sync!$P1105)+1,20),FIND("/",MID(Sync!$P1105,FIND("/",Sync!$P1105)+1,20))-1))),"")))</f>
        <v/>
      </c>
      <c r="AH1105">
        <f>IF(OR($AE1105="",$AF1105=""),"",IF(ISNUMBER(Sync!$P1105),MOD(Sync!$P1105,100),IFERROR(VALUE(TRIM(MID(MID(Sync!$P1105,FIND("/",Sync!$P1105)+1,20),FIND("/",MID(Sync!$P1105,FIND("/",Sync!$P1105)+1,20))+1,20))),"")))</f>
        <v/>
      </c>
      <c r="AI1105">
        <f>IF($AE1105="","",IF(OR($AF1105="",$AG1105="",$AH1105="",$AF1105&lt;1300,$AF1105&gt;1500,$AG1105&lt;1,$AG1105&gt;12,$AH1105&lt;1,$AH1105&gt;31),"نامعتبر",RIGHT("0000"&amp;$AF1105,4)&amp;"/"&amp;RIGHT("00"&amp;$AG1105,2)&amp;"/"&amp;RIGHT("00"&amp;$AH1105,2)))</f>
        <v/>
      </c>
      <c r="AJ1105">
        <f>IF($AE1105="","",IF(Sync!$Q1105="","0000",IF(AND(ISNUMBER(Sync!$Q1105),Sync!$Q1105&gt;=0,Sync!$Q1105&lt;1),RIGHT("00"&amp;HOUR(Sync!$Q1105),2)&amp;RIGHT("00"&amp;MINUTE(Sync!$Q1105),2),IFERROR(RIGHT("00"&amp;VALUE(LEFT(Sync!$Q1105,FIND(":",Sync!$Q1105)-1)),2)&amp;RIGHT("00"&amp;VALUE(MID(Sync!$Q1105,FIND(":",Sync!$Q1105)+1,2)),2),"0000"))))</f>
        <v/>
      </c>
      <c r="AK1105">
        <f>IF(OR($AE1105="",$AI1105="",$AI1105="نامعتبر"),"",LEFT($AI1105,4)&amp;MID($AI1105,6,2)&amp;RIGHT($AI1105,2)&amp;$AJ1105&amp;"|"&amp;"3"&amp;RIGHT("00000"&amp;1100,5))</f>
        <v/>
      </c>
      <c r="AL1105">
        <f>IF($AK1105="","",COUNTIFS(LdAParty,$AE1105,LdAType,1,LdAKey,"&lt;"&amp;$AK1105)+COUNTIFS(LdBMember,$AE1105,LdBKey,"&lt;"&amp;$AK1105)+COUNTIFS(LdCParty,$AE1105,LdCKey,"&lt;"&amp;$AK1105)+1)</f>
        <v/>
      </c>
      <c r="AM1105">
        <f>IF($AL1105="","",$AE1105&amp;"|"&amp;RIGHT("000000"&amp;$AL1105,6))</f>
        <v/>
      </c>
      <c r="AN1105">
        <f>IF($AE1105="","",IF(Sync!$W1105="",0,Sync!$W1105))</f>
        <v/>
      </c>
      <c r="AO1105">
        <f>IF($AE1105="","",IF(Sync!$X1105="",0,Sync!$X1105))</f>
        <v/>
      </c>
      <c r="AP1105">
        <f>IF($AE1105="","",Sync!$R1105)</f>
        <v/>
      </c>
      <c r="AQ1105">
        <f>IF($AE1105="","",Sync!$Y1105)</f>
        <v/>
      </c>
    </row>
    <row r="1106">
      <c r="A1106">
        <f>IF(OR(Wages!$B1109="",Wages!$E1109=""),"",Wages!$E1109)</f>
        <v/>
      </c>
      <c r="B1106">
        <f>IF($A1106="","",IF(Wages!$C1109="دستمزد گروهی",2,1))</f>
        <v/>
      </c>
      <c r="C1106">
        <f>IF($A1106="","",IF(ISNUMBER(Wages!$B1109),IF(AND(Wages!$B1109&gt;=10000101,Wages!$B1109&lt;=99991231),INT(Wages!$B1109/10000),""),IFERROR(VALUE(TRIM(LEFT(Wages!$B1109,FIND("/",Wages!$B1109)-1))),"")))</f>
        <v/>
      </c>
      <c r="D1106">
        <f>IF(OR($A1106="",$C1106=""),"",IF(ISNUMBER(Wages!$B1109),INT(MOD(Wages!$B1109,10000)/100),IFERROR(VALUE(TRIM(LEFT(MID(Wages!$B1109,FIND("/",Wages!$B1109)+1,20),FIND("/",MID(Wages!$B1109,FIND("/",Wages!$B1109)+1,20))-1))),"")))</f>
        <v/>
      </c>
      <c r="E1106">
        <f>IF(OR($A1106="",$C1106=""),"",IF(ISNUMBER(Wages!$B1109),MOD(Wages!$B1109,100),IFERROR(VALUE(TRIM(MID(MID(Wages!$B1109,FIND("/",Wages!$B1109)+1,20),FIND("/",MID(Wages!$B1109,FIND("/",Wages!$B1109)+1,20))+1,20))),"")))</f>
        <v/>
      </c>
      <c r="F1106">
        <f>IF($A1106="","",IF(OR($C1106="",$D1106="",$E1106="",$C1106&lt;1300,$C1106&gt;1500,$D1106&lt;1,$D1106&gt;12,$E1106&lt;1,$E1106&gt;31),"نامعتبر",RIGHT("0000"&amp;$C1106,4)&amp;"/"&amp;RIGHT("00"&amp;$D1106,2)&amp;"/"&amp;RIGHT("00"&amp;$E1106,2)))</f>
        <v/>
      </c>
      <c r="G1106">
        <f>IF(OR($A1106="",$F1106="",$F1106="نامعتبر"),"",LEFT($F1106,4)&amp;MID($F1106,6,2)&amp;RIGHT($F1106,2)&amp;"0000"&amp;"|"&amp;"1"&amp;RIGHT("00000"&amp;1101,5))</f>
        <v/>
      </c>
      <c r="H1106">
        <f>IF(OR($B1106&lt;&gt;1,$G1106=""),"",COUNTIFS(LdAParty,$A1106,LdAType,1,LdAKey,"&lt;"&amp;$G1106)+COUNTIFS(LdBMember,$A1106,LdBKey,"&lt;"&amp;$G1106)+COUNTIFS(LdCParty,$A1106,LdCKey,"&lt;"&amp;$G1106)+1)</f>
        <v/>
      </c>
      <c r="I1106">
        <f>IF($H1106="","",$A1106&amp;"|"&amp;RIGHT("000000"&amp;$H1106,6))</f>
        <v/>
      </c>
      <c r="J1106">
        <f>IF(OR($B1106&lt;&gt;2,$G1106=""),"",COUNTIFS(LdAParty,$A1106,LdAType,2,LdAKey,"&lt;"&amp;$G1106)+1)</f>
        <v/>
      </c>
      <c r="K1106">
        <f>IF($J1106="","",$A1106&amp;"|"&amp;RIGHT("000000"&amp;$J1106,6))</f>
        <v/>
      </c>
      <c r="L1106">
        <f>IF($A1106="","",IF(Wages!$G1109="",0,Wages!$G1109))</f>
        <v/>
      </c>
      <c r="M1106">
        <f>IF($A1106="","",Wages!$J1109)</f>
        <v/>
      </c>
      <c r="N1106">
        <f>IF($A1106="","",Wages!$D1109)</f>
        <v/>
      </c>
      <c r="P1106">
        <f>IF(OR(Shares!$B1109="",Shares!$C1109=""),"",Shares!$C1109)</f>
        <v/>
      </c>
      <c r="Q1106">
        <f>IF($P1106="","",Shares!$B1109)</f>
        <v/>
      </c>
      <c r="R1106">
        <f>IF($P1106="","",IFERROR(INDEX(WageParty,MATCH($Q1106,WageIds,0)),""))</f>
        <v/>
      </c>
      <c r="S1106">
        <f>IF($P1106="","",IFERROR(INDEX($F$6:$F$2005,MATCH($Q1106,WageIds,0)),""))</f>
        <v/>
      </c>
      <c r="T1106">
        <f>IF(OR($P1106="",$S1106="",$S1106="نامعتبر"),"",LEFT($S1106,4)&amp;MID($S1106,6,2)&amp;RIGHT($S1106,2)&amp;"0000"&amp;"|"&amp;"2"&amp;RIGHT("00000"&amp;1101,5))</f>
        <v/>
      </c>
      <c r="U1106">
        <f>IF($T1106="","",COUNTIFS(LdAParty,$P1106,LdAType,1,LdAKey,"&lt;"&amp;$T1106)+COUNTIFS(LdBMember,$P1106,LdBKey,"&lt;"&amp;$T1106)+COUNTIFS(LdCParty,$P1106,LdCKey,"&lt;"&amp;$T1106)+1)</f>
        <v/>
      </c>
      <c r="V1106">
        <f>IF($U1106="","",$P1106&amp;"|"&amp;RIGHT("000000"&amp;$U1106,6))</f>
        <v/>
      </c>
      <c r="W1106">
        <f>IF($T1106="","",COUNTIFS(LdBGroup,$R1106,LdBKey,"&lt;"&amp;$T1106)+1)</f>
        <v/>
      </c>
      <c r="X1106">
        <f>IF($W1106="","",$R1106&amp;"|"&amp;RIGHT("000000"&amp;$W1106,6))</f>
        <v/>
      </c>
      <c r="Y1106">
        <f>IF($P1106="","",IF(Shares!$E1109="",0,Shares!$E1109))</f>
        <v/>
      </c>
      <c r="Z1106">
        <f>IF($P1106="","",Shares!$H1109)</f>
        <v/>
      </c>
      <c r="AE1106">
        <f>IF(OR(Sync!$S1106="",Sync!$P1106=""),"",Sync!$S1106)</f>
        <v/>
      </c>
      <c r="AF1106">
        <f>IF($AE1106="","",IF(ISNUMBER(Sync!$P1106),IF(AND(Sync!$P1106&gt;=10000101,Sync!$P1106&lt;=99991231),INT(Sync!$P1106/10000),""),IFERROR(VALUE(TRIM(LEFT(Sync!$P1106,FIND("/",Sync!$P1106)-1))),"")))</f>
        <v/>
      </c>
      <c r="AG1106">
        <f>IF(OR($AE1106="",$AF1106=""),"",IF(ISNUMBER(Sync!$P1106),INT(MOD(Sync!$P1106,10000)/100),IFERROR(VALUE(TRIM(LEFT(MID(Sync!$P1106,FIND("/",Sync!$P1106)+1,20),FIND("/",MID(Sync!$P1106,FIND("/",Sync!$P1106)+1,20))-1))),"")))</f>
        <v/>
      </c>
      <c r="AH1106">
        <f>IF(OR($AE1106="",$AF1106=""),"",IF(ISNUMBER(Sync!$P1106),MOD(Sync!$P1106,100),IFERROR(VALUE(TRIM(MID(MID(Sync!$P1106,FIND("/",Sync!$P1106)+1,20),FIND("/",MID(Sync!$P1106,FIND("/",Sync!$P1106)+1,20))+1,20))),"")))</f>
        <v/>
      </c>
      <c r="AI1106">
        <f>IF($AE1106="","",IF(OR($AF1106="",$AG1106="",$AH1106="",$AF1106&lt;1300,$AF1106&gt;1500,$AG1106&lt;1,$AG1106&gt;12,$AH1106&lt;1,$AH1106&gt;31),"نامعتبر",RIGHT("0000"&amp;$AF1106,4)&amp;"/"&amp;RIGHT("00"&amp;$AG1106,2)&amp;"/"&amp;RIGHT("00"&amp;$AH1106,2)))</f>
        <v/>
      </c>
      <c r="AJ1106">
        <f>IF($AE1106="","",IF(Sync!$Q1106="","0000",IF(AND(ISNUMBER(Sync!$Q1106),Sync!$Q1106&gt;=0,Sync!$Q1106&lt;1),RIGHT("00"&amp;HOUR(Sync!$Q1106),2)&amp;RIGHT("00"&amp;MINUTE(Sync!$Q1106),2),IFERROR(RIGHT("00"&amp;VALUE(LEFT(Sync!$Q1106,FIND(":",Sync!$Q1106)-1)),2)&amp;RIGHT("00"&amp;VALUE(MID(Sync!$Q1106,FIND(":",Sync!$Q1106)+1,2)),2),"0000"))))</f>
        <v/>
      </c>
      <c r="AK1106">
        <f>IF(OR($AE1106="",$AI1106="",$AI1106="نامعتبر"),"",LEFT($AI1106,4)&amp;MID($AI1106,6,2)&amp;RIGHT($AI1106,2)&amp;$AJ1106&amp;"|"&amp;"3"&amp;RIGHT("00000"&amp;1101,5))</f>
        <v/>
      </c>
      <c r="AL1106">
        <f>IF($AK1106="","",COUNTIFS(LdAParty,$AE1106,LdAType,1,LdAKey,"&lt;"&amp;$AK1106)+COUNTIFS(LdBMember,$AE1106,LdBKey,"&lt;"&amp;$AK1106)+COUNTIFS(LdCParty,$AE1106,LdCKey,"&lt;"&amp;$AK1106)+1)</f>
        <v/>
      </c>
      <c r="AM1106">
        <f>IF($AL1106="","",$AE1106&amp;"|"&amp;RIGHT("000000"&amp;$AL1106,6))</f>
        <v/>
      </c>
      <c r="AN1106">
        <f>IF($AE1106="","",IF(Sync!$W1106="",0,Sync!$W1106))</f>
        <v/>
      </c>
      <c r="AO1106">
        <f>IF($AE1106="","",IF(Sync!$X1106="",0,Sync!$X1106))</f>
        <v/>
      </c>
      <c r="AP1106">
        <f>IF($AE1106="","",Sync!$R1106)</f>
        <v/>
      </c>
      <c r="AQ1106">
        <f>IF($AE1106="","",Sync!$Y1106)</f>
        <v/>
      </c>
    </row>
    <row r="1107">
      <c r="A1107">
        <f>IF(OR(Wages!$B1110="",Wages!$E1110=""),"",Wages!$E1110)</f>
        <v/>
      </c>
      <c r="B1107">
        <f>IF($A1107="","",IF(Wages!$C1110="دستمزد گروهی",2,1))</f>
        <v/>
      </c>
      <c r="C1107">
        <f>IF($A1107="","",IF(ISNUMBER(Wages!$B1110),IF(AND(Wages!$B1110&gt;=10000101,Wages!$B1110&lt;=99991231),INT(Wages!$B1110/10000),""),IFERROR(VALUE(TRIM(LEFT(Wages!$B1110,FIND("/",Wages!$B1110)-1))),"")))</f>
        <v/>
      </c>
      <c r="D1107">
        <f>IF(OR($A1107="",$C1107=""),"",IF(ISNUMBER(Wages!$B1110),INT(MOD(Wages!$B1110,10000)/100),IFERROR(VALUE(TRIM(LEFT(MID(Wages!$B1110,FIND("/",Wages!$B1110)+1,20),FIND("/",MID(Wages!$B1110,FIND("/",Wages!$B1110)+1,20))-1))),"")))</f>
        <v/>
      </c>
      <c r="E1107">
        <f>IF(OR($A1107="",$C1107=""),"",IF(ISNUMBER(Wages!$B1110),MOD(Wages!$B1110,100),IFERROR(VALUE(TRIM(MID(MID(Wages!$B1110,FIND("/",Wages!$B1110)+1,20),FIND("/",MID(Wages!$B1110,FIND("/",Wages!$B1110)+1,20))+1,20))),"")))</f>
        <v/>
      </c>
      <c r="F1107">
        <f>IF($A1107="","",IF(OR($C1107="",$D1107="",$E1107="",$C1107&lt;1300,$C1107&gt;1500,$D1107&lt;1,$D1107&gt;12,$E1107&lt;1,$E1107&gt;31),"نامعتبر",RIGHT("0000"&amp;$C1107,4)&amp;"/"&amp;RIGHT("00"&amp;$D1107,2)&amp;"/"&amp;RIGHT("00"&amp;$E1107,2)))</f>
        <v/>
      </c>
      <c r="G1107">
        <f>IF(OR($A1107="",$F1107="",$F1107="نامعتبر"),"",LEFT($F1107,4)&amp;MID($F1107,6,2)&amp;RIGHT($F1107,2)&amp;"0000"&amp;"|"&amp;"1"&amp;RIGHT("00000"&amp;1102,5))</f>
        <v/>
      </c>
      <c r="H1107">
        <f>IF(OR($B1107&lt;&gt;1,$G1107=""),"",COUNTIFS(LdAParty,$A1107,LdAType,1,LdAKey,"&lt;"&amp;$G1107)+COUNTIFS(LdBMember,$A1107,LdBKey,"&lt;"&amp;$G1107)+COUNTIFS(LdCParty,$A1107,LdCKey,"&lt;"&amp;$G1107)+1)</f>
        <v/>
      </c>
      <c r="I1107">
        <f>IF($H1107="","",$A1107&amp;"|"&amp;RIGHT("000000"&amp;$H1107,6))</f>
        <v/>
      </c>
      <c r="J1107">
        <f>IF(OR($B1107&lt;&gt;2,$G1107=""),"",COUNTIFS(LdAParty,$A1107,LdAType,2,LdAKey,"&lt;"&amp;$G1107)+1)</f>
        <v/>
      </c>
      <c r="K1107">
        <f>IF($J1107="","",$A1107&amp;"|"&amp;RIGHT("000000"&amp;$J1107,6))</f>
        <v/>
      </c>
      <c r="L1107">
        <f>IF($A1107="","",IF(Wages!$G1110="",0,Wages!$G1110))</f>
        <v/>
      </c>
      <c r="M1107">
        <f>IF($A1107="","",Wages!$J1110)</f>
        <v/>
      </c>
      <c r="N1107">
        <f>IF($A1107="","",Wages!$D1110)</f>
        <v/>
      </c>
      <c r="P1107">
        <f>IF(OR(Shares!$B1110="",Shares!$C1110=""),"",Shares!$C1110)</f>
        <v/>
      </c>
      <c r="Q1107">
        <f>IF($P1107="","",Shares!$B1110)</f>
        <v/>
      </c>
      <c r="R1107">
        <f>IF($P1107="","",IFERROR(INDEX(WageParty,MATCH($Q1107,WageIds,0)),""))</f>
        <v/>
      </c>
      <c r="S1107">
        <f>IF($P1107="","",IFERROR(INDEX($F$6:$F$2005,MATCH($Q1107,WageIds,0)),""))</f>
        <v/>
      </c>
      <c r="T1107">
        <f>IF(OR($P1107="",$S1107="",$S1107="نامعتبر"),"",LEFT($S1107,4)&amp;MID($S1107,6,2)&amp;RIGHT($S1107,2)&amp;"0000"&amp;"|"&amp;"2"&amp;RIGHT("00000"&amp;1102,5))</f>
        <v/>
      </c>
      <c r="U1107">
        <f>IF($T1107="","",COUNTIFS(LdAParty,$P1107,LdAType,1,LdAKey,"&lt;"&amp;$T1107)+COUNTIFS(LdBMember,$P1107,LdBKey,"&lt;"&amp;$T1107)+COUNTIFS(LdCParty,$P1107,LdCKey,"&lt;"&amp;$T1107)+1)</f>
        <v/>
      </c>
      <c r="V1107">
        <f>IF($U1107="","",$P1107&amp;"|"&amp;RIGHT("000000"&amp;$U1107,6))</f>
        <v/>
      </c>
      <c r="W1107">
        <f>IF($T1107="","",COUNTIFS(LdBGroup,$R1107,LdBKey,"&lt;"&amp;$T1107)+1)</f>
        <v/>
      </c>
      <c r="X1107">
        <f>IF($W1107="","",$R1107&amp;"|"&amp;RIGHT("000000"&amp;$W1107,6))</f>
        <v/>
      </c>
      <c r="Y1107">
        <f>IF($P1107="","",IF(Shares!$E1110="",0,Shares!$E1110))</f>
        <v/>
      </c>
      <c r="Z1107">
        <f>IF($P1107="","",Shares!$H1110)</f>
        <v/>
      </c>
      <c r="AE1107">
        <f>IF(OR(Sync!$S1107="",Sync!$P1107=""),"",Sync!$S1107)</f>
        <v/>
      </c>
      <c r="AF1107">
        <f>IF($AE1107="","",IF(ISNUMBER(Sync!$P1107),IF(AND(Sync!$P1107&gt;=10000101,Sync!$P1107&lt;=99991231),INT(Sync!$P1107/10000),""),IFERROR(VALUE(TRIM(LEFT(Sync!$P1107,FIND("/",Sync!$P1107)-1))),"")))</f>
        <v/>
      </c>
      <c r="AG1107">
        <f>IF(OR($AE1107="",$AF1107=""),"",IF(ISNUMBER(Sync!$P1107),INT(MOD(Sync!$P1107,10000)/100),IFERROR(VALUE(TRIM(LEFT(MID(Sync!$P1107,FIND("/",Sync!$P1107)+1,20),FIND("/",MID(Sync!$P1107,FIND("/",Sync!$P1107)+1,20))-1))),"")))</f>
        <v/>
      </c>
      <c r="AH1107">
        <f>IF(OR($AE1107="",$AF1107=""),"",IF(ISNUMBER(Sync!$P1107),MOD(Sync!$P1107,100),IFERROR(VALUE(TRIM(MID(MID(Sync!$P1107,FIND("/",Sync!$P1107)+1,20),FIND("/",MID(Sync!$P1107,FIND("/",Sync!$P1107)+1,20))+1,20))),"")))</f>
        <v/>
      </c>
      <c r="AI1107">
        <f>IF($AE1107="","",IF(OR($AF1107="",$AG1107="",$AH1107="",$AF1107&lt;1300,$AF1107&gt;1500,$AG1107&lt;1,$AG1107&gt;12,$AH1107&lt;1,$AH1107&gt;31),"نامعتبر",RIGHT("0000"&amp;$AF1107,4)&amp;"/"&amp;RIGHT("00"&amp;$AG1107,2)&amp;"/"&amp;RIGHT("00"&amp;$AH1107,2)))</f>
        <v/>
      </c>
      <c r="AJ1107">
        <f>IF($AE1107="","",IF(Sync!$Q1107="","0000",IF(AND(ISNUMBER(Sync!$Q1107),Sync!$Q1107&gt;=0,Sync!$Q1107&lt;1),RIGHT("00"&amp;HOUR(Sync!$Q1107),2)&amp;RIGHT("00"&amp;MINUTE(Sync!$Q1107),2),IFERROR(RIGHT("00"&amp;VALUE(LEFT(Sync!$Q1107,FIND(":",Sync!$Q1107)-1)),2)&amp;RIGHT("00"&amp;VALUE(MID(Sync!$Q1107,FIND(":",Sync!$Q1107)+1,2)),2),"0000"))))</f>
        <v/>
      </c>
      <c r="AK1107">
        <f>IF(OR($AE1107="",$AI1107="",$AI1107="نامعتبر"),"",LEFT($AI1107,4)&amp;MID($AI1107,6,2)&amp;RIGHT($AI1107,2)&amp;$AJ1107&amp;"|"&amp;"3"&amp;RIGHT("00000"&amp;1102,5))</f>
        <v/>
      </c>
      <c r="AL1107">
        <f>IF($AK1107="","",COUNTIFS(LdAParty,$AE1107,LdAType,1,LdAKey,"&lt;"&amp;$AK1107)+COUNTIFS(LdBMember,$AE1107,LdBKey,"&lt;"&amp;$AK1107)+COUNTIFS(LdCParty,$AE1107,LdCKey,"&lt;"&amp;$AK1107)+1)</f>
        <v/>
      </c>
      <c r="AM1107">
        <f>IF($AL1107="","",$AE1107&amp;"|"&amp;RIGHT("000000"&amp;$AL1107,6))</f>
        <v/>
      </c>
      <c r="AN1107">
        <f>IF($AE1107="","",IF(Sync!$W1107="",0,Sync!$W1107))</f>
        <v/>
      </c>
      <c r="AO1107">
        <f>IF($AE1107="","",IF(Sync!$X1107="",0,Sync!$X1107))</f>
        <v/>
      </c>
      <c r="AP1107">
        <f>IF($AE1107="","",Sync!$R1107)</f>
        <v/>
      </c>
      <c r="AQ1107">
        <f>IF($AE1107="","",Sync!$Y1107)</f>
        <v/>
      </c>
    </row>
    <row r="1108">
      <c r="A1108">
        <f>IF(OR(Wages!$B1111="",Wages!$E1111=""),"",Wages!$E1111)</f>
        <v/>
      </c>
      <c r="B1108">
        <f>IF($A1108="","",IF(Wages!$C1111="دستمزد گروهی",2,1))</f>
        <v/>
      </c>
      <c r="C1108">
        <f>IF($A1108="","",IF(ISNUMBER(Wages!$B1111),IF(AND(Wages!$B1111&gt;=10000101,Wages!$B1111&lt;=99991231),INT(Wages!$B1111/10000),""),IFERROR(VALUE(TRIM(LEFT(Wages!$B1111,FIND("/",Wages!$B1111)-1))),"")))</f>
        <v/>
      </c>
      <c r="D1108">
        <f>IF(OR($A1108="",$C1108=""),"",IF(ISNUMBER(Wages!$B1111),INT(MOD(Wages!$B1111,10000)/100),IFERROR(VALUE(TRIM(LEFT(MID(Wages!$B1111,FIND("/",Wages!$B1111)+1,20),FIND("/",MID(Wages!$B1111,FIND("/",Wages!$B1111)+1,20))-1))),"")))</f>
        <v/>
      </c>
      <c r="E1108">
        <f>IF(OR($A1108="",$C1108=""),"",IF(ISNUMBER(Wages!$B1111),MOD(Wages!$B1111,100),IFERROR(VALUE(TRIM(MID(MID(Wages!$B1111,FIND("/",Wages!$B1111)+1,20),FIND("/",MID(Wages!$B1111,FIND("/",Wages!$B1111)+1,20))+1,20))),"")))</f>
        <v/>
      </c>
      <c r="F1108">
        <f>IF($A1108="","",IF(OR($C1108="",$D1108="",$E1108="",$C1108&lt;1300,$C1108&gt;1500,$D1108&lt;1,$D1108&gt;12,$E1108&lt;1,$E1108&gt;31),"نامعتبر",RIGHT("0000"&amp;$C1108,4)&amp;"/"&amp;RIGHT("00"&amp;$D1108,2)&amp;"/"&amp;RIGHT("00"&amp;$E1108,2)))</f>
        <v/>
      </c>
      <c r="G1108">
        <f>IF(OR($A1108="",$F1108="",$F1108="نامعتبر"),"",LEFT($F1108,4)&amp;MID($F1108,6,2)&amp;RIGHT($F1108,2)&amp;"0000"&amp;"|"&amp;"1"&amp;RIGHT("00000"&amp;1103,5))</f>
        <v/>
      </c>
      <c r="H1108">
        <f>IF(OR($B1108&lt;&gt;1,$G1108=""),"",COUNTIFS(LdAParty,$A1108,LdAType,1,LdAKey,"&lt;"&amp;$G1108)+COUNTIFS(LdBMember,$A1108,LdBKey,"&lt;"&amp;$G1108)+COUNTIFS(LdCParty,$A1108,LdCKey,"&lt;"&amp;$G1108)+1)</f>
        <v/>
      </c>
      <c r="I1108">
        <f>IF($H1108="","",$A1108&amp;"|"&amp;RIGHT("000000"&amp;$H1108,6))</f>
        <v/>
      </c>
      <c r="J1108">
        <f>IF(OR($B1108&lt;&gt;2,$G1108=""),"",COUNTIFS(LdAParty,$A1108,LdAType,2,LdAKey,"&lt;"&amp;$G1108)+1)</f>
        <v/>
      </c>
      <c r="K1108">
        <f>IF($J1108="","",$A1108&amp;"|"&amp;RIGHT("000000"&amp;$J1108,6))</f>
        <v/>
      </c>
      <c r="L1108">
        <f>IF($A1108="","",IF(Wages!$G1111="",0,Wages!$G1111))</f>
        <v/>
      </c>
      <c r="M1108">
        <f>IF($A1108="","",Wages!$J1111)</f>
        <v/>
      </c>
      <c r="N1108">
        <f>IF($A1108="","",Wages!$D1111)</f>
        <v/>
      </c>
      <c r="P1108">
        <f>IF(OR(Shares!$B1111="",Shares!$C1111=""),"",Shares!$C1111)</f>
        <v/>
      </c>
      <c r="Q1108">
        <f>IF($P1108="","",Shares!$B1111)</f>
        <v/>
      </c>
      <c r="R1108">
        <f>IF($P1108="","",IFERROR(INDEX(WageParty,MATCH($Q1108,WageIds,0)),""))</f>
        <v/>
      </c>
      <c r="S1108">
        <f>IF($P1108="","",IFERROR(INDEX($F$6:$F$2005,MATCH($Q1108,WageIds,0)),""))</f>
        <v/>
      </c>
      <c r="T1108">
        <f>IF(OR($P1108="",$S1108="",$S1108="نامعتبر"),"",LEFT($S1108,4)&amp;MID($S1108,6,2)&amp;RIGHT($S1108,2)&amp;"0000"&amp;"|"&amp;"2"&amp;RIGHT("00000"&amp;1103,5))</f>
        <v/>
      </c>
      <c r="U1108">
        <f>IF($T1108="","",COUNTIFS(LdAParty,$P1108,LdAType,1,LdAKey,"&lt;"&amp;$T1108)+COUNTIFS(LdBMember,$P1108,LdBKey,"&lt;"&amp;$T1108)+COUNTIFS(LdCParty,$P1108,LdCKey,"&lt;"&amp;$T1108)+1)</f>
        <v/>
      </c>
      <c r="V1108">
        <f>IF($U1108="","",$P1108&amp;"|"&amp;RIGHT("000000"&amp;$U1108,6))</f>
        <v/>
      </c>
      <c r="W1108">
        <f>IF($T1108="","",COUNTIFS(LdBGroup,$R1108,LdBKey,"&lt;"&amp;$T1108)+1)</f>
        <v/>
      </c>
      <c r="X1108">
        <f>IF($W1108="","",$R1108&amp;"|"&amp;RIGHT("000000"&amp;$W1108,6))</f>
        <v/>
      </c>
      <c r="Y1108">
        <f>IF($P1108="","",IF(Shares!$E1111="",0,Shares!$E1111))</f>
        <v/>
      </c>
      <c r="Z1108">
        <f>IF($P1108="","",Shares!$H1111)</f>
        <v/>
      </c>
      <c r="AE1108">
        <f>IF(OR(Sync!$S1108="",Sync!$P1108=""),"",Sync!$S1108)</f>
        <v/>
      </c>
      <c r="AF1108">
        <f>IF($AE1108="","",IF(ISNUMBER(Sync!$P1108),IF(AND(Sync!$P1108&gt;=10000101,Sync!$P1108&lt;=99991231),INT(Sync!$P1108/10000),""),IFERROR(VALUE(TRIM(LEFT(Sync!$P1108,FIND("/",Sync!$P1108)-1))),"")))</f>
        <v/>
      </c>
      <c r="AG1108">
        <f>IF(OR($AE1108="",$AF1108=""),"",IF(ISNUMBER(Sync!$P1108),INT(MOD(Sync!$P1108,10000)/100),IFERROR(VALUE(TRIM(LEFT(MID(Sync!$P1108,FIND("/",Sync!$P1108)+1,20),FIND("/",MID(Sync!$P1108,FIND("/",Sync!$P1108)+1,20))-1))),"")))</f>
        <v/>
      </c>
      <c r="AH1108">
        <f>IF(OR($AE1108="",$AF1108=""),"",IF(ISNUMBER(Sync!$P1108),MOD(Sync!$P1108,100),IFERROR(VALUE(TRIM(MID(MID(Sync!$P1108,FIND("/",Sync!$P1108)+1,20),FIND("/",MID(Sync!$P1108,FIND("/",Sync!$P1108)+1,20))+1,20))),"")))</f>
        <v/>
      </c>
      <c r="AI1108">
        <f>IF($AE1108="","",IF(OR($AF1108="",$AG1108="",$AH1108="",$AF1108&lt;1300,$AF1108&gt;1500,$AG1108&lt;1,$AG1108&gt;12,$AH1108&lt;1,$AH1108&gt;31),"نامعتبر",RIGHT("0000"&amp;$AF1108,4)&amp;"/"&amp;RIGHT("00"&amp;$AG1108,2)&amp;"/"&amp;RIGHT("00"&amp;$AH1108,2)))</f>
        <v/>
      </c>
      <c r="AJ1108">
        <f>IF($AE1108="","",IF(Sync!$Q1108="","0000",IF(AND(ISNUMBER(Sync!$Q1108),Sync!$Q1108&gt;=0,Sync!$Q1108&lt;1),RIGHT("00"&amp;HOUR(Sync!$Q1108),2)&amp;RIGHT("00"&amp;MINUTE(Sync!$Q1108),2),IFERROR(RIGHT("00"&amp;VALUE(LEFT(Sync!$Q1108,FIND(":",Sync!$Q1108)-1)),2)&amp;RIGHT("00"&amp;VALUE(MID(Sync!$Q1108,FIND(":",Sync!$Q1108)+1,2)),2),"0000"))))</f>
        <v/>
      </c>
      <c r="AK1108">
        <f>IF(OR($AE1108="",$AI1108="",$AI1108="نامعتبر"),"",LEFT($AI1108,4)&amp;MID($AI1108,6,2)&amp;RIGHT($AI1108,2)&amp;$AJ1108&amp;"|"&amp;"3"&amp;RIGHT("00000"&amp;1103,5))</f>
        <v/>
      </c>
      <c r="AL1108">
        <f>IF($AK1108="","",COUNTIFS(LdAParty,$AE1108,LdAType,1,LdAKey,"&lt;"&amp;$AK1108)+COUNTIFS(LdBMember,$AE1108,LdBKey,"&lt;"&amp;$AK1108)+COUNTIFS(LdCParty,$AE1108,LdCKey,"&lt;"&amp;$AK1108)+1)</f>
        <v/>
      </c>
      <c r="AM1108">
        <f>IF($AL1108="","",$AE1108&amp;"|"&amp;RIGHT("000000"&amp;$AL1108,6))</f>
        <v/>
      </c>
      <c r="AN1108">
        <f>IF($AE1108="","",IF(Sync!$W1108="",0,Sync!$W1108))</f>
        <v/>
      </c>
      <c r="AO1108">
        <f>IF($AE1108="","",IF(Sync!$X1108="",0,Sync!$X1108))</f>
        <v/>
      </c>
      <c r="AP1108">
        <f>IF($AE1108="","",Sync!$R1108)</f>
        <v/>
      </c>
      <c r="AQ1108">
        <f>IF($AE1108="","",Sync!$Y1108)</f>
        <v/>
      </c>
    </row>
    <row r="1109">
      <c r="A1109">
        <f>IF(OR(Wages!$B1112="",Wages!$E1112=""),"",Wages!$E1112)</f>
        <v/>
      </c>
      <c r="B1109">
        <f>IF($A1109="","",IF(Wages!$C1112="دستمزد گروهی",2,1))</f>
        <v/>
      </c>
      <c r="C1109">
        <f>IF($A1109="","",IF(ISNUMBER(Wages!$B1112),IF(AND(Wages!$B1112&gt;=10000101,Wages!$B1112&lt;=99991231),INT(Wages!$B1112/10000),""),IFERROR(VALUE(TRIM(LEFT(Wages!$B1112,FIND("/",Wages!$B1112)-1))),"")))</f>
        <v/>
      </c>
      <c r="D1109">
        <f>IF(OR($A1109="",$C1109=""),"",IF(ISNUMBER(Wages!$B1112),INT(MOD(Wages!$B1112,10000)/100),IFERROR(VALUE(TRIM(LEFT(MID(Wages!$B1112,FIND("/",Wages!$B1112)+1,20),FIND("/",MID(Wages!$B1112,FIND("/",Wages!$B1112)+1,20))-1))),"")))</f>
        <v/>
      </c>
      <c r="E1109">
        <f>IF(OR($A1109="",$C1109=""),"",IF(ISNUMBER(Wages!$B1112),MOD(Wages!$B1112,100),IFERROR(VALUE(TRIM(MID(MID(Wages!$B1112,FIND("/",Wages!$B1112)+1,20),FIND("/",MID(Wages!$B1112,FIND("/",Wages!$B1112)+1,20))+1,20))),"")))</f>
        <v/>
      </c>
      <c r="F1109">
        <f>IF($A1109="","",IF(OR($C1109="",$D1109="",$E1109="",$C1109&lt;1300,$C1109&gt;1500,$D1109&lt;1,$D1109&gt;12,$E1109&lt;1,$E1109&gt;31),"نامعتبر",RIGHT("0000"&amp;$C1109,4)&amp;"/"&amp;RIGHT("00"&amp;$D1109,2)&amp;"/"&amp;RIGHT("00"&amp;$E1109,2)))</f>
        <v/>
      </c>
      <c r="G1109">
        <f>IF(OR($A1109="",$F1109="",$F1109="نامعتبر"),"",LEFT($F1109,4)&amp;MID($F1109,6,2)&amp;RIGHT($F1109,2)&amp;"0000"&amp;"|"&amp;"1"&amp;RIGHT("00000"&amp;1104,5))</f>
        <v/>
      </c>
      <c r="H1109">
        <f>IF(OR($B1109&lt;&gt;1,$G1109=""),"",COUNTIFS(LdAParty,$A1109,LdAType,1,LdAKey,"&lt;"&amp;$G1109)+COUNTIFS(LdBMember,$A1109,LdBKey,"&lt;"&amp;$G1109)+COUNTIFS(LdCParty,$A1109,LdCKey,"&lt;"&amp;$G1109)+1)</f>
        <v/>
      </c>
      <c r="I1109">
        <f>IF($H1109="","",$A1109&amp;"|"&amp;RIGHT("000000"&amp;$H1109,6))</f>
        <v/>
      </c>
      <c r="J1109">
        <f>IF(OR($B1109&lt;&gt;2,$G1109=""),"",COUNTIFS(LdAParty,$A1109,LdAType,2,LdAKey,"&lt;"&amp;$G1109)+1)</f>
        <v/>
      </c>
      <c r="K1109">
        <f>IF($J1109="","",$A1109&amp;"|"&amp;RIGHT("000000"&amp;$J1109,6))</f>
        <v/>
      </c>
      <c r="L1109">
        <f>IF($A1109="","",IF(Wages!$G1112="",0,Wages!$G1112))</f>
        <v/>
      </c>
      <c r="M1109">
        <f>IF($A1109="","",Wages!$J1112)</f>
        <v/>
      </c>
      <c r="N1109">
        <f>IF($A1109="","",Wages!$D1112)</f>
        <v/>
      </c>
      <c r="P1109">
        <f>IF(OR(Shares!$B1112="",Shares!$C1112=""),"",Shares!$C1112)</f>
        <v/>
      </c>
      <c r="Q1109">
        <f>IF($P1109="","",Shares!$B1112)</f>
        <v/>
      </c>
      <c r="R1109">
        <f>IF($P1109="","",IFERROR(INDEX(WageParty,MATCH($Q1109,WageIds,0)),""))</f>
        <v/>
      </c>
      <c r="S1109">
        <f>IF($P1109="","",IFERROR(INDEX($F$6:$F$2005,MATCH($Q1109,WageIds,0)),""))</f>
        <v/>
      </c>
      <c r="T1109">
        <f>IF(OR($P1109="",$S1109="",$S1109="نامعتبر"),"",LEFT($S1109,4)&amp;MID($S1109,6,2)&amp;RIGHT($S1109,2)&amp;"0000"&amp;"|"&amp;"2"&amp;RIGHT("00000"&amp;1104,5))</f>
        <v/>
      </c>
      <c r="U1109">
        <f>IF($T1109="","",COUNTIFS(LdAParty,$P1109,LdAType,1,LdAKey,"&lt;"&amp;$T1109)+COUNTIFS(LdBMember,$P1109,LdBKey,"&lt;"&amp;$T1109)+COUNTIFS(LdCParty,$P1109,LdCKey,"&lt;"&amp;$T1109)+1)</f>
        <v/>
      </c>
      <c r="V1109">
        <f>IF($U1109="","",$P1109&amp;"|"&amp;RIGHT("000000"&amp;$U1109,6))</f>
        <v/>
      </c>
      <c r="W1109">
        <f>IF($T1109="","",COUNTIFS(LdBGroup,$R1109,LdBKey,"&lt;"&amp;$T1109)+1)</f>
        <v/>
      </c>
      <c r="X1109">
        <f>IF($W1109="","",$R1109&amp;"|"&amp;RIGHT("000000"&amp;$W1109,6))</f>
        <v/>
      </c>
      <c r="Y1109">
        <f>IF($P1109="","",IF(Shares!$E1112="",0,Shares!$E1112))</f>
        <v/>
      </c>
      <c r="Z1109">
        <f>IF($P1109="","",Shares!$H1112)</f>
        <v/>
      </c>
      <c r="AE1109">
        <f>IF(OR(Sync!$S1109="",Sync!$P1109=""),"",Sync!$S1109)</f>
        <v/>
      </c>
      <c r="AF1109">
        <f>IF($AE1109="","",IF(ISNUMBER(Sync!$P1109),IF(AND(Sync!$P1109&gt;=10000101,Sync!$P1109&lt;=99991231),INT(Sync!$P1109/10000),""),IFERROR(VALUE(TRIM(LEFT(Sync!$P1109,FIND("/",Sync!$P1109)-1))),"")))</f>
        <v/>
      </c>
      <c r="AG1109">
        <f>IF(OR($AE1109="",$AF1109=""),"",IF(ISNUMBER(Sync!$P1109),INT(MOD(Sync!$P1109,10000)/100),IFERROR(VALUE(TRIM(LEFT(MID(Sync!$P1109,FIND("/",Sync!$P1109)+1,20),FIND("/",MID(Sync!$P1109,FIND("/",Sync!$P1109)+1,20))-1))),"")))</f>
        <v/>
      </c>
      <c r="AH1109">
        <f>IF(OR($AE1109="",$AF1109=""),"",IF(ISNUMBER(Sync!$P1109),MOD(Sync!$P1109,100),IFERROR(VALUE(TRIM(MID(MID(Sync!$P1109,FIND("/",Sync!$P1109)+1,20),FIND("/",MID(Sync!$P1109,FIND("/",Sync!$P1109)+1,20))+1,20))),"")))</f>
        <v/>
      </c>
      <c r="AI1109">
        <f>IF($AE1109="","",IF(OR($AF1109="",$AG1109="",$AH1109="",$AF1109&lt;1300,$AF1109&gt;1500,$AG1109&lt;1,$AG1109&gt;12,$AH1109&lt;1,$AH1109&gt;31),"نامعتبر",RIGHT("0000"&amp;$AF1109,4)&amp;"/"&amp;RIGHT("00"&amp;$AG1109,2)&amp;"/"&amp;RIGHT("00"&amp;$AH1109,2)))</f>
        <v/>
      </c>
      <c r="AJ1109">
        <f>IF($AE1109="","",IF(Sync!$Q1109="","0000",IF(AND(ISNUMBER(Sync!$Q1109),Sync!$Q1109&gt;=0,Sync!$Q1109&lt;1),RIGHT("00"&amp;HOUR(Sync!$Q1109),2)&amp;RIGHT("00"&amp;MINUTE(Sync!$Q1109),2),IFERROR(RIGHT("00"&amp;VALUE(LEFT(Sync!$Q1109,FIND(":",Sync!$Q1109)-1)),2)&amp;RIGHT("00"&amp;VALUE(MID(Sync!$Q1109,FIND(":",Sync!$Q1109)+1,2)),2),"0000"))))</f>
        <v/>
      </c>
      <c r="AK1109">
        <f>IF(OR($AE1109="",$AI1109="",$AI1109="نامعتبر"),"",LEFT($AI1109,4)&amp;MID($AI1109,6,2)&amp;RIGHT($AI1109,2)&amp;$AJ1109&amp;"|"&amp;"3"&amp;RIGHT("00000"&amp;1104,5))</f>
        <v/>
      </c>
      <c r="AL1109">
        <f>IF($AK1109="","",COUNTIFS(LdAParty,$AE1109,LdAType,1,LdAKey,"&lt;"&amp;$AK1109)+COUNTIFS(LdBMember,$AE1109,LdBKey,"&lt;"&amp;$AK1109)+COUNTIFS(LdCParty,$AE1109,LdCKey,"&lt;"&amp;$AK1109)+1)</f>
        <v/>
      </c>
      <c r="AM1109">
        <f>IF($AL1109="","",$AE1109&amp;"|"&amp;RIGHT("000000"&amp;$AL1109,6))</f>
        <v/>
      </c>
      <c r="AN1109">
        <f>IF($AE1109="","",IF(Sync!$W1109="",0,Sync!$W1109))</f>
        <v/>
      </c>
      <c r="AO1109">
        <f>IF($AE1109="","",IF(Sync!$X1109="",0,Sync!$X1109))</f>
        <v/>
      </c>
      <c r="AP1109">
        <f>IF($AE1109="","",Sync!$R1109)</f>
        <v/>
      </c>
      <c r="AQ1109">
        <f>IF($AE1109="","",Sync!$Y1109)</f>
        <v/>
      </c>
    </row>
    <row r="1110">
      <c r="A1110">
        <f>IF(OR(Wages!$B1113="",Wages!$E1113=""),"",Wages!$E1113)</f>
        <v/>
      </c>
      <c r="B1110">
        <f>IF($A1110="","",IF(Wages!$C1113="دستمزد گروهی",2,1))</f>
        <v/>
      </c>
      <c r="C1110">
        <f>IF($A1110="","",IF(ISNUMBER(Wages!$B1113),IF(AND(Wages!$B1113&gt;=10000101,Wages!$B1113&lt;=99991231),INT(Wages!$B1113/10000),""),IFERROR(VALUE(TRIM(LEFT(Wages!$B1113,FIND("/",Wages!$B1113)-1))),"")))</f>
        <v/>
      </c>
      <c r="D1110">
        <f>IF(OR($A1110="",$C1110=""),"",IF(ISNUMBER(Wages!$B1113),INT(MOD(Wages!$B1113,10000)/100),IFERROR(VALUE(TRIM(LEFT(MID(Wages!$B1113,FIND("/",Wages!$B1113)+1,20),FIND("/",MID(Wages!$B1113,FIND("/",Wages!$B1113)+1,20))-1))),"")))</f>
        <v/>
      </c>
      <c r="E1110">
        <f>IF(OR($A1110="",$C1110=""),"",IF(ISNUMBER(Wages!$B1113),MOD(Wages!$B1113,100),IFERROR(VALUE(TRIM(MID(MID(Wages!$B1113,FIND("/",Wages!$B1113)+1,20),FIND("/",MID(Wages!$B1113,FIND("/",Wages!$B1113)+1,20))+1,20))),"")))</f>
        <v/>
      </c>
      <c r="F1110">
        <f>IF($A1110="","",IF(OR($C1110="",$D1110="",$E1110="",$C1110&lt;1300,$C1110&gt;1500,$D1110&lt;1,$D1110&gt;12,$E1110&lt;1,$E1110&gt;31),"نامعتبر",RIGHT("0000"&amp;$C1110,4)&amp;"/"&amp;RIGHT("00"&amp;$D1110,2)&amp;"/"&amp;RIGHT("00"&amp;$E1110,2)))</f>
        <v/>
      </c>
      <c r="G1110">
        <f>IF(OR($A1110="",$F1110="",$F1110="نامعتبر"),"",LEFT($F1110,4)&amp;MID($F1110,6,2)&amp;RIGHT($F1110,2)&amp;"0000"&amp;"|"&amp;"1"&amp;RIGHT("00000"&amp;1105,5))</f>
        <v/>
      </c>
      <c r="H1110">
        <f>IF(OR($B1110&lt;&gt;1,$G1110=""),"",COUNTIFS(LdAParty,$A1110,LdAType,1,LdAKey,"&lt;"&amp;$G1110)+COUNTIFS(LdBMember,$A1110,LdBKey,"&lt;"&amp;$G1110)+COUNTIFS(LdCParty,$A1110,LdCKey,"&lt;"&amp;$G1110)+1)</f>
        <v/>
      </c>
      <c r="I1110">
        <f>IF($H1110="","",$A1110&amp;"|"&amp;RIGHT("000000"&amp;$H1110,6))</f>
        <v/>
      </c>
      <c r="J1110">
        <f>IF(OR($B1110&lt;&gt;2,$G1110=""),"",COUNTIFS(LdAParty,$A1110,LdAType,2,LdAKey,"&lt;"&amp;$G1110)+1)</f>
        <v/>
      </c>
      <c r="K1110">
        <f>IF($J1110="","",$A1110&amp;"|"&amp;RIGHT("000000"&amp;$J1110,6))</f>
        <v/>
      </c>
      <c r="L1110">
        <f>IF($A1110="","",IF(Wages!$G1113="",0,Wages!$G1113))</f>
        <v/>
      </c>
      <c r="M1110">
        <f>IF($A1110="","",Wages!$J1113)</f>
        <v/>
      </c>
      <c r="N1110">
        <f>IF($A1110="","",Wages!$D1113)</f>
        <v/>
      </c>
      <c r="P1110">
        <f>IF(OR(Shares!$B1113="",Shares!$C1113=""),"",Shares!$C1113)</f>
        <v/>
      </c>
      <c r="Q1110">
        <f>IF($P1110="","",Shares!$B1113)</f>
        <v/>
      </c>
      <c r="R1110">
        <f>IF($P1110="","",IFERROR(INDEX(WageParty,MATCH($Q1110,WageIds,0)),""))</f>
        <v/>
      </c>
      <c r="S1110">
        <f>IF($P1110="","",IFERROR(INDEX($F$6:$F$2005,MATCH($Q1110,WageIds,0)),""))</f>
        <v/>
      </c>
      <c r="T1110">
        <f>IF(OR($P1110="",$S1110="",$S1110="نامعتبر"),"",LEFT($S1110,4)&amp;MID($S1110,6,2)&amp;RIGHT($S1110,2)&amp;"0000"&amp;"|"&amp;"2"&amp;RIGHT("00000"&amp;1105,5))</f>
        <v/>
      </c>
      <c r="U1110">
        <f>IF($T1110="","",COUNTIFS(LdAParty,$P1110,LdAType,1,LdAKey,"&lt;"&amp;$T1110)+COUNTIFS(LdBMember,$P1110,LdBKey,"&lt;"&amp;$T1110)+COUNTIFS(LdCParty,$P1110,LdCKey,"&lt;"&amp;$T1110)+1)</f>
        <v/>
      </c>
      <c r="V1110">
        <f>IF($U1110="","",$P1110&amp;"|"&amp;RIGHT("000000"&amp;$U1110,6))</f>
        <v/>
      </c>
      <c r="W1110">
        <f>IF($T1110="","",COUNTIFS(LdBGroup,$R1110,LdBKey,"&lt;"&amp;$T1110)+1)</f>
        <v/>
      </c>
      <c r="X1110">
        <f>IF($W1110="","",$R1110&amp;"|"&amp;RIGHT("000000"&amp;$W1110,6))</f>
        <v/>
      </c>
      <c r="Y1110">
        <f>IF($P1110="","",IF(Shares!$E1113="",0,Shares!$E1113))</f>
        <v/>
      </c>
      <c r="Z1110">
        <f>IF($P1110="","",Shares!$H1113)</f>
        <v/>
      </c>
      <c r="AE1110">
        <f>IF(OR(Sync!$S1110="",Sync!$P1110=""),"",Sync!$S1110)</f>
        <v/>
      </c>
      <c r="AF1110">
        <f>IF($AE1110="","",IF(ISNUMBER(Sync!$P1110),IF(AND(Sync!$P1110&gt;=10000101,Sync!$P1110&lt;=99991231),INT(Sync!$P1110/10000),""),IFERROR(VALUE(TRIM(LEFT(Sync!$P1110,FIND("/",Sync!$P1110)-1))),"")))</f>
        <v/>
      </c>
      <c r="AG1110">
        <f>IF(OR($AE1110="",$AF1110=""),"",IF(ISNUMBER(Sync!$P1110),INT(MOD(Sync!$P1110,10000)/100),IFERROR(VALUE(TRIM(LEFT(MID(Sync!$P1110,FIND("/",Sync!$P1110)+1,20),FIND("/",MID(Sync!$P1110,FIND("/",Sync!$P1110)+1,20))-1))),"")))</f>
        <v/>
      </c>
      <c r="AH1110">
        <f>IF(OR($AE1110="",$AF1110=""),"",IF(ISNUMBER(Sync!$P1110),MOD(Sync!$P1110,100),IFERROR(VALUE(TRIM(MID(MID(Sync!$P1110,FIND("/",Sync!$P1110)+1,20),FIND("/",MID(Sync!$P1110,FIND("/",Sync!$P1110)+1,20))+1,20))),"")))</f>
        <v/>
      </c>
      <c r="AI1110">
        <f>IF($AE1110="","",IF(OR($AF1110="",$AG1110="",$AH1110="",$AF1110&lt;1300,$AF1110&gt;1500,$AG1110&lt;1,$AG1110&gt;12,$AH1110&lt;1,$AH1110&gt;31),"نامعتبر",RIGHT("0000"&amp;$AF1110,4)&amp;"/"&amp;RIGHT("00"&amp;$AG1110,2)&amp;"/"&amp;RIGHT("00"&amp;$AH1110,2)))</f>
        <v/>
      </c>
      <c r="AJ1110">
        <f>IF($AE1110="","",IF(Sync!$Q1110="","0000",IF(AND(ISNUMBER(Sync!$Q1110),Sync!$Q1110&gt;=0,Sync!$Q1110&lt;1),RIGHT("00"&amp;HOUR(Sync!$Q1110),2)&amp;RIGHT("00"&amp;MINUTE(Sync!$Q1110),2),IFERROR(RIGHT("00"&amp;VALUE(LEFT(Sync!$Q1110,FIND(":",Sync!$Q1110)-1)),2)&amp;RIGHT("00"&amp;VALUE(MID(Sync!$Q1110,FIND(":",Sync!$Q1110)+1,2)),2),"0000"))))</f>
        <v/>
      </c>
      <c r="AK1110">
        <f>IF(OR($AE1110="",$AI1110="",$AI1110="نامعتبر"),"",LEFT($AI1110,4)&amp;MID($AI1110,6,2)&amp;RIGHT($AI1110,2)&amp;$AJ1110&amp;"|"&amp;"3"&amp;RIGHT("00000"&amp;1105,5))</f>
        <v/>
      </c>
      <c r="AL1110">
        <f>IF($AK1110="","",COUNTIFS(LdAParty,$AE1110,LdAType,1,LdAKey,"&lt;"&amp;$AK1110)+COUNTIFS(LdBMember,$AE1110,LdBKey,"&lt;"&amp;$AK1110)+COUNTIFS(LdCParty,$AE1110,LdCKey,"&lt;"&amp;$AK1110)+1)</f>
        <v/>
      </c>
      <c r="AM1110">
        <f>IF($AL1110="","",$AE1110&amp;"|"&amp;RIGHT("000000"&amp;$AL1110,6))</f>
        <v/>
      </c>
      <c r="AN1110">
        <f>IF($AE1110="","",IF(Sync!$W1110="",0,Sync!$W1110))</f>
        <v/>
      </c>
      <c r="AO1110">
        <f>IF($AE1110="","",IF(Sync!$X1110="",0,Sync!$X1110))</f>
        <v/>
      </c>
      <c r="AP1110">
        <f>IF($AE1110="","",Sync!$R1110)</f>
        <v/>
      </c>
      <c r="AQ1110">
        <f>IF($AE1110="","",Sync!$Y1110)</f>
        <v/>
      </c>
    </row>
    <row r="1111">
      <c r="A1111">
        <f>IF(OR(Wages!$B1114="",Wages!$E1114=""),"",Wages!$E1114)</f>
        <v/>
      </c>
      <c r="B1111">
        <f>IF($A1111="","",IF(Wages!$C1114="دستمزد گروهی",2,1))</f>
        <v/>
      </c>
      <c r="C1111">
        <f>IF($A1111="","",IF(ISNUMBER(Wages!$B1114),IF(AND(Wages!$B1114&gt;=10000101,Wages!$B1114&lt;=99991231),INT(Wages!$B1114/10000),""),IFERROR(VALUE(TRIM(LEFT(Wages!$B1114,FIND("/",Wages!$B1114)-1))),"")))</f>
        <v/>
      </c>
      <c r="D1111">
        <f>IF(OR($A1111="",$C1111=""),"",IF(ISNUMBER(Wages!$B1114),INT(MOD(Wages!$B1114,10000)/100),IFERROR(VALUE(TRIM(LEFT(MID(Wages!$B1114,FIND("/",Wages!$B1114)+1,20),FIND("/",MID(Wages!$B1114,FIND("/",Wages!$B1114)+1,20))-1))),"")))</f>
        <v/>
      </c>
      <c r="E1111">
        <f>IF(OR($A1111="",$C1111=""),"",IF(ISNUMBER(Wages!$B1114),MOD(Wages!$B1114,100),IFERROR(VALUE(TRIM(MID(MID(Wages!$B1114,FIND("/",Wages!$B1114)+1,20),FIND("/",MID(Wages!$B1114,FIND("/",Wages!$B1114)+1,20))+1,20))),"")))</f>
        <v/>
      </c>
      <c r="F1111">
        <f>IF($A1111="","",IF(OR($C1111="",$D1111="",$E1111="",$C1111&lt;1300,$C1111&gt;1500,$D1111&lt;1,$D1111&gt;12,$E1111&lt;1,$E1111&gt;31),"نامعتبر",RIGHT("0000"&amp;$C1111,4)&amp;"/"&amp;RIGHT("00"&amp;$D1111,2)&amp;"/"&amp;RIGHT("00"&amp;$E1111,2)))</f>
        <v/>
      </c>
      <c r="G1111">
        <f>IF(OR($A1111="",$F1111="",$F1111="نامعتبر"),"",LEFT($F1111,4)&amp;MID($F1111,6,2)&amp;RIGHT($F1111,2)&amp;"0000"&amp;"|"&amp;"1"&amp;RIGHT("00000"&amp;1106,5))</f>
        <v/>
      </c>
      <c r="H1111">
        <f>IF(OR($B1111&lt;&gt;1,$G1111=""),"",COUNTIFS(LdAParty,$A1111,LdAType,1,LdAKey,"&lt;"&amp;$G1111)+COUNTIFS(LdBMember,$A1111,LdBKey,"&lt;"&amp;$G1111)+COUNTIFS(LdCParty,$A1111,LdCKey,"&lt;"&amp;$G1111)+1)</f>
        <v/>
      </c>
      <c r="I1111">
        <f>IF($H1111="","",$A1111&amp;"|"&amp;RIGHT("000000"&amp;$H1111,6))</f>
        <v/>
      </c>
      <c r="J1111">
        <f>IF(OR($B1111&lt;&gt;2,$G1111=""),"",COUNTIFS(LdAParty,$A1111,LdAType,2,LdAKey,"&lt;"&amp;$G1111)+1)</f>
        <v/>
      </c>
      <c r="K1111">
        <f>IF($J1111="","",$A1111&amp;"|"&amp;RIGHT("000000"&amp;$J1111,6))</f>
        <v/>
      </c>
      <c r="L1111">
        <f>IF($A1111="","",IF(Wages!$G1114="",0,Wages!$G1114))</f>
        <v/>
      </c>
      <c r="M1111">
        <f>IF($A1111="","",Wages!$J1114)</f>
        <v/>
      </c>
      <c r="N1111">
        <f>IF($A1111="","",Wages!$D1114)</f>
        <v/>
      </c>
      <c r="P1111">
        <f>IF(OR(Shares!$B1114="",Shares!$C1114=""),"",Shares!$C1114)</f>
        <v/>
      </c>
      <c r="Q1111">
        <f>IF($P1111="","",Shares!$B1114)</f>
        <v/>
      </c>
      <c r="R1111">
        <f>IF($P1111="","",IFERROR(INDEX(WageParty,MATCH($Q1111,WageIds,0)),""))</f>
        <v/>
      </c>
      <c r="S1111">
        <f>IF($P1111="","",IFERROR(INDEX($F$6:$F$2005,MATCH($Q1111,WageIds,0)),""))</f>
        <v/>
      </c>
      <c r="T1111">
        <f>IF(OR($P1111="",$S1111="",$S1111="نامعتبر"),"",LEFT($S1111,4)&amp;MID($S1111,6,2)&amp;RIGHT($S1111,2)&amp;"0000"&amp;"|"&amp;"2"&amp;RIGHT("00000"&amp;1106,5))</f>
        <v/>
      </c>
      <c r="U1111">
        <f>IF($T1111="","",COUNTIFS(LdAParty,$P1111,LdAType,1,LdAKey,"&lt;"&amp;$T1111)+COUNTIFS(LdBMember,$P1111,LdBKey,"&lt;"&amp;$T1111)+COUNTIFS(LdCParty,$P1111,LdCKey,"&lt;"&amp;$T1111)+1)</f>
        <v/>
      </c>
      <c r="V1111">
        <f>IF($U1111="","",$P1111&amp;"|"&amp;RIGHT("000000"&amp;$U1111,6))</f>
        <v/>
      </c>
      <c r="W1111">
        <f>IF($T1111="","",COUNTIFS(LdBGroup,$R1111,LdBKey,"&lt;"&amp;$T1111)+1)</f>
        <v/>
      </c>
      <c r="X1111">
        <f>IF($W1111="","",$R1111&amp;"|"&amp;RIGHT("000000"&amp;$W1111,6))</f>
        <v/>
      </c>
      <c r="Y1111">
        <f>IF($P1111="","",IF(Shares!$E1114="",0,Shares!$E1114))</f>
        <v/>
      </c>
      <c r="Z1111">
        <f>IF($P1111="","",Shares!$H1114)</f>
        <v/>
      </c>
      <c r="AE1111">
        <f>IF(OR(Sync!$S1111="",Sync!$P1111=""),"",Sync!$S1111)</f>
        <v/>
      </c>
      <c r="AF1111">
        <f>IF($AE1111="","",IF(ISNUMBER(Sync!$P1111),IF(AND(Sync!$P1111&gt;=10000101,Sync!$P1111&lt;=99991231),INT(Sync!$P1111/10000),""),IFERROR(VALUE(TRIM(LEFT(Sync!$P1111,FIND("/",Sync!$P1111)-1))),"")))</f>
        <v/>
      </c>
      <c r="AG1111">
        <f>IF(OR($AE1111="",$AF1111=""),"",IF(ISNUMBER(Sync!$P1111),INT(MOD(Sync!$P1111,10000)/100),IFERROR(VALUE(TRIM(LEFT(MID(Sync!$P1111,FIND("/",Sync!$P1111)+1,20),FIND("/",MID(Sync!$P1111,FIND("/",Sync!$P1111)+1,20))-1))),"")))</f>
        <v/>
      </c>
      <c r="AH1111">
        <f>IF(OR($AE1111="",$AF1111=""),"",IF(ISNUMBER(Sync!$P1111),MOD(Sync!$P1111,100),IFERROR(VALUE(TRIM(MID(MID(Sync!$P1111,FIND("/",Sync!$P1111)+1,20),FIND("/",MID(Sync!$P1111,FIND("/",Sync!$P1111)+1,20))+1,20))),"")))</f>
        <v/>
      </c>
      <c r="AI1111">
        <f>IF($AE1111="","",IF(OR($AF1111="",$AG1111="",$AH1111="",$AF1111&lt;1300,$AF1111&gt;1500,$AG1111&lt;1,$AG1111&gt;12,$AH1111&lt;1,$AH1111&gt;31),"نامعتبر",RIGHT("0000"&amp;$AF1111,4)&amp;"/"&amp;RIGHT("00"&amp;$AG1111,2)&amp;"/"&amp;RIGHT("00"&amp;$AH1111,2)))</f>
        <v/>
      </c>
      <c r="AJ1111">
        <f>IF($AE1111="","",IF(Sync!$Q1111="","0000",IF(AND(ISNUMBER(Sync!$Q1111),Sync!$Q1111&gt;=0,Sync!$Q1111&lt;1),RIGHT("00"&amp;HOUR(Sync!$Q1111),2)&amp;RIGHT("00"&amp;MINUTE(Sync!$Q1111),2),IFERROR(RIGHT("00"&amp;VALUE(LEFT(Sync!$Q1111,FIND(":",Sync!$Q1111)-1)),2)&amp;RIGHT("00"&amp;VALUE(MID(Sync!$Q1111,FIND(":",Sync!$Q1111)+1,2)),2),"0000"))))</f>
        <v/>
      </c>
      <c r="AK1111">
        <f>IF(OR($AE1111="",$AI1111="",$AI1111="نامعتبر"),"",LEFT($AI1111,4)&amp;MID($AI1111,6,2)&amp;RIGHT($AI1111,2)&amp;$AJ1111&amp;"|"&amp;"3"&amp;RIGHT("00000"&amp;1106,5))</f>
        <v/>
      </c>
      <c r="AL1111">
        <f>IF($AK1111="","",COUNTIFS(LdAParty,$AE1111,LdAType,1,LdAKey,"&lt;"&amp;$AK1111)+COUNTIFS(LdBMember,$AE1111,LdBKey,"&lt;"&amp;$AK1111)+COUNTIFS(LdCParty,$AE1111,LdCKey,"&lt;"&amp;$AK1111)+1)</f>
        <v/>
      </c>
      <c r="AM1111">
        <f>IF($AL1111="","",$AE1111&amp;"|"&amp;RIGHT("000000"&amp;$AL1111,6))</f>
        <v/>
      </c>
      <c r="AN1111">
        <f>IF($AE1111="","",IF(Sync!$W1111="",0,Sync!$W1111))</f>
        <v/>
      </c>
      <c r="AO1111">
        <f>IF($AE1111="","",IF(Sync!$X1111="",0,Sync!$X1111))</f>
        <v/>
      </c>
      <c r="AP1111">
        <f>IF($AE1111="","",Sync!$R1111)</f>
        <v/>
      </c>
      <c r="AQ1111">
        <f>IF($AE1111="","",Sync!$Y1111)</f>
        <v/>
      </c>
    </row>
    <row r="1112">
      <c r="A1112">
        <f>IF(OR(Wages!$B1115="",Wages!$E1115=""),"",Wages!$E1115)</f>
        <v/>
      </c>
      <c r="B1112">
        <f>IF($A1112="","",IF(Wages!$C1115="دستمزد گروهی",2,1))</f>
        <v/>
      </c>
      <c r="C1112">
        <f>IF($A1112="","",IF(ISNUMBER(Wages!$B1115),IF(AND(Wages!$B1115&gt;=10000101,Wages!$B1115&lt;=99991231),INT(Wages!$B1115/10000),""),IFERROR(VALUE(TRIM(LEFT(Wages!$B1115,FIND("/",Wages!$B1115)-1))),"")))</f>
        <v/>
      </c>
      <c r="D1112">
        <f>IF(OR($A1112="",$C1112=""),"",IF(ISNUMBER(Wages!$B1115),INT(MOD(Wages!$B1115,10000)/100),IFERROR(VALUE(TRIM(LEFT(MID(Wages!$B1115,FIND("/",Wages!$B1115)+1,20),FIND("/",MID(Wages!$B1115,FIND("/",Wages!$B1115)+1,20))-1))),"")))</f>
        <v/>
      </c>
      <c r="E1112">
        <f>IF(OR($A1112="",$C1112=""),"",IF(ISNUMBER(Wages!$B1115),MOD(Wages!$B1115,100),IFERROR(VALUE(TRIM(MID(MID(Wages!$B1115,FIND("/",Wages!$B1115)+1,20),FIND("/",MID(Wages!$B1115,FIND("/",Wages!$B1115)+1,20))+1,20))),"")))</f>
        <v/>
      </c>
      <c r="F1112">
        <f>IF($A1112="","",IF(OR($C1112="",$D1112="",$E1112="",$C1112&lt;1300,$C1112&gt;1500,$D1112&lt;1,$D1112&gt;12,$E1112&lt;1,$E1112&gt;31),"نامعتبر",RIGHT("0000"&amp;$C1112,4)&amp;"/"&amp;RIGHT("00"&amp;$D1112,2)&amp;"/"&amp;RIGHT("00"&amp;$E1112,2)))</f>
        <v/>
      </c>
      <c r="G1112">
        <f>IF(OR($A1112="",$F1112="",$F1112="نامعتبر"),"",LEFT($F1112,4)&amp;MID($F1112,6,2)&amp;RIGHT($F1112,2)&amp;"0000"&amp;"|"&amp;"1"&amp;RIGHT("00000"&amp;1107,5))</f>
        <v/>
      </c>
      <c r="H1112">
        <f>IF(OR($B1112&lt;&gt;1,$G1112=""),"",COUNTIFS(LdAParty,$A1112,LdAType,1,LdAKey,"&lt;"&amp;$G1112)+COUNTIFS(LdBMember,$A1112,LdBKey,"&lt;"&amp;$G1112)+COUNTIFS(LdCParty,$A1112,LdCKey,"&lt;"&amp;$G1112)+1)</f>
        <v/>
      </c>
      <c r="I1112">
        <f>IF($H1112="","",$A1112&amp;"|"&amp;RIGHT("000000"&amp;$H1112,6))</f>
        <v/>
      </c>
      <c r="J1112">
        <f>IF(OR($B1112&lt;&gt;2,$G1112=""),"",COUNTIFS(LdAParty,$A1112,LdAType,2,LdAKey,"&lt;"&amp;$G1112)+1)</f>
        <v/>
      </c>
      <c r="K1112">
        <f>IF($J1112="","",$A1112&amp;"|"&amp;RIGHT("000000"&amp;$J1112,6))</f>
        <v/>
      </c>
      <c r="L1112">
        <f>IF($A1112="","",IF(Wages!$G1115="",0,Wages!$G1115))</f>
        <v/>
      </c>
      <c r="M1112">
        <f>IF($A1112="","",Wages!$J1115)</f>
        <v/>
      </c>
      <c r="N1112">
        <f>IF($A1112="","",Wages!$D1115)</f>
        <v/>
      </c>
      <c r="P1112">
        <f>IF(OR(Shares!$B1115="",Shares!$C1115=""),"",Shares!$C1115)</f>
        <v/>
      </c>
      <c r="Q1112">
        <f>IF($P1112="","",Shares!$B1115)</f>
        <v/>
      </c>
      <c r="R1112">
        <f>IF($P1112="","",IFERROR(INDEX(WageParty,MATCH($Q1112,WageIds,0)),""))</f>
        <v/>
      </c>
      <c r="S1112">
        <f>IF($P1112="","",IFERROR(INDEX($F$6:$F$2005,MATCH($Q1112,WageIds,0)),""))</f>
        <v/>
      </c>
      <c r="T1112">
        <f>IF(OR($P1112="",$S1112="",$S1112="نامعتبر"),"",LEFT($S1112,4)&amp;MID($S1112,6,2)&amp;RIGHT($S1112,2)&amp;"0000"&amp;"|"&amp;"2"&amp;RIGHT("00000"&amp;1107,5))</f>
        <v/>
      </c>
      <c r="U1112">
        <f>IF($T1112="","",COUNTIFS(LdAParty,$P1112,LdAType,1,LdAKey,"&lt;"&amp;$T1112)+COUNTIFS(LdBMember,$P1112,LdBKey,"&lt;"&amp;$T1112)+COUNTIFS(LdCParty,$P1112,LdCKey,"&lt;"&amp;$T1112)+1)</f>
        <v/>
      </c>
      <c r="V1112">
        <f>IF($U1112="","",$P1112&amp;"|"&amp;RIGHT("000000"&amp;$U1112,6))</f>
        <v/>
      </c>
      <c r="W1112">
        <f>IF($T1112="","",COUNTIFS(LdBGroup,$R1112,LdBKey,"&lt;"&amp;$T1112)+1)</f>
        <v/>
      </c>
      <c r="X1112">
        <f>IF($W1112="","",$R1112&amp;"|"&amp;RIGHT("000000"&amp;$W1112,6))</f>
        <v/>
      </c>
      <c r="Y1112">
        <f>IF($P1112="","",IF(Shares!$E1115="",0,Shares!$E1115))</f>
        <v/>
      </c>
      <c r="Z1112">
        <f>IF($P1112="","",Shares!$H1115)</f>
        <v/>
      </c>
      <c r="AE1112">
        <f>IF(OR(Sync!$S1112="",Sync!$P1112=""),"",Sync!$S1112)</f>
        <v/>
      </c>
      <c r="AF1112">
        <f>IF($AE1112="","",IF(ISNUMBER(Sync!$P1112),IF(AND(Sync!$P1112&gt;=10000101,Sync!$P1112&lt;=99991231),INT(Sync!$P1112/10000),""),IFERROR(VALUE(TRIM(LEFT(Sync!$P1112,FIND("/",Sync!$P1112)-1))),"")))</f>
        <v/>
      </c>
      <c r="AG1112">
        <f>IF(OR($AE1112="",$AF1112=""),"",IF(ISNUMBER(Sync!$P1112),INT(MOD(Sync!$P1112,10000)/100),IFERROR(VALUE(TRIM(LEFT(MID(Sync!$P1112,FIND("/",Sync!$P1112)+1,20),FIND("/",MID(Sync!$P1112,FIND("/",Sync!$P1112)+1,20))-1))),"")))</f>
        <v/>
      </c>
      <c r="AH1112">
        <f>IF(OR($AE1112="",$AF1112=""),"",IF(ISNUMBER(Sync!$P1112),MOD(Sync!$P1112,100),IFERROR(VALUE(TRIM(MID(MID(Sync!$P1112,FIND("/",Sync!$P1112)+1,20),FIND("/",MID(Sync!$P1112,FIND("/",Sync!$P1112)+1,20))+1,20))),"")))</f>
        <v/>
      </c>
      <c r="AI1112">
        <f>IF($AE1112="","",IF(OR($AF1112="",$AG1112="",$AH1112="",$AF1112&lt;1300,$AF1112&gt;1500,$AG1112&lt;1,$AG1112&gt;12,$AH1112&lt;1,$AH1112&gt;31),"نامعتبر",RIGHT("0000"&amp;$AF1112,4)&amp;"/"&amp;RIGHT("00"&amp;$AG1112,2)&amp;"/"&amp;RIGHT("00"&amp;$AH1112,2)))</f>
        <v/>
      </c>
      <c r="AJ1112">
        <f>IF($AE1112="","",IF(Sync!$Q1112="","0000",IF(AND(ISNUMBER(Sync!$Q1112),Sync!$Q1112&gt;=0,Sync!$Q1112&lt;1),RIGHT("00"&amp;HOUR(Sync!$Q1112),2)&amp;RIGHT("00"&amp;MINUTE(Sync!$Q1112),2),IFERROR(RIGHT("00"&amp;VALUE(LEFT(Sync!$Q1112,FIND(":",Sync!$Q1112)-1)),2)&amp;RIGHT("00"&amp;VALUE(MID(Sync!$Q1112,FIND(":",Sync!$Q1112)+1,2)),2),"0000"))))</f>
        <v/>
      </c>
      <c r="AK1112">
        <f>IF(OR($AE1112="",$AI1112="",$AI1112="نامعتبر"),"",LEFT($AI1112,4)&amp;MID($AI1112,6,2)&amp;RIGHT($AI1112,2)&amp;$AJ1112&amp;"|"&amp;"3"&amp;RIGHT("00000"&amp;1107,5))</f>
        <v/>
      </c>
      <c r="AL1112">
        <f>IF($AK1112="","",COUNTIFS(LdAParty,$AE1112,LdAType,1,LdAKey,"&lt;"&amp;$AK1112)+COUNTIFS(LdBMember,$AE1112,LdBKey,"&lt;"&amp;$AK1112)+COUNTIFS(LdCParty,$AE1112,LdCKey,"&lt;"&amp;$AK1112)+1)</f>
        <v/>
      </c>
      <c r="AM1112">
        <f>IF($AL1112="","",$AE1112&amp;"|"&amp;RIGHT("000000"&amp;$AL1112,6))</f>
        <v/>
      </c>
      <c r="AN1112">
        <f>IF($AE1112="","",IF(Sync!$W1112="",0,Sync!$W1112))</f>
        <v/>
      </c>
      <c r="AO1112">
        <f>IF($AE1112="","",IF(Sync!$X1112="",0,Sync!$X1112))</f>
        <v/>
      </c>
      <c r="AP1112">
        <f>IF($AE1112="","",Sync!$R1112)</f>
        <v/>
      </c>
      <c r="AQ1112">
        <f>IF($AE1112="","",Sync!$Y1112)</f>
        <v/>
      </c>
    </row>
    <row r="1113">
      <c r="A1113">
        <f>IF(OR(Wages!$B1116="",Wages!$E1116=""),"",Wages!$E1116)</f>
        <v/>
      </c>
      <c r="B1113">
        <f>IF($A1113="","",IF(Wages!$C1116="دستمزد گروهی",2,1))</f>
        <v/>
      </c>
      <c r="C1113">
        <f>IF($A1113="","",IF(ISNUMBER(Wages!$B1116),IF(AND(Wages!$B1116&gt;=10000101,Wages!$B1116&lt;=99991231),INT(Wages!$B1116/10000),""),IFERROR(VALUE(TRIM(LEFT(Wages!$B1116,FIND("/",Wages!$B1116)-1))),"")))</f>
        <v/>
      </c>
      <c r="D1113">
        <f>IF(OR($A1113="",$C1113=""),"",IF(ISNUMBER(Wages!$B1116),INT(MOD(Wages!$B1116,10000)/100),IFERROR(VALUE(TRIM(LEFT(MID(Wages!$B1116,FIND("/",Wages!$B1116)+1,20),FIND("/",MID(Wages!$B1116,FIND("/",Wages!$B1116)+1,20))-1))),"")))</f>
        <v/>
      </c>
      <c r="E1113">
        <f>IF(OR($A1113="",$C1113=""),"",IF(ISNUMBER(Wages!$B1116),MOD(Wages!$B1116,100),IFERROR(VALUE(TRIM(MID(MID(Wages!$B1116,FIND("/",Wages!$B1116)+1,20),FIND("/",MID(Wages!$B1116,FIND("/",Wages!$B1116)+1,20))+1,20))),"")))</f>
        <v/>
      </c>
      <c r="F1113">
        <f>IF($A1113="","",IF(OR($C1113="",$D1113="",$E1113="",$C1113&lt;1300,$C1113&gt;1500,$D1113&lt;1,$D1113&gt;12,$E1113&lt;1,$E1113&gt;31),"نامعتبر",RIGHT("0000"&amp;$C1113,4)&amp;"/"&amp;RIGHT("00"&amp;$D1113,2)&amp;"/"&amp;RIGHT("00"&amp;$E1113,2)))</f>
        <v/>
      </c>
      <c r="G1113">
        <f>IF(OR($A1113="",$F1113="",$F1113="نامعتبر"),"",LEFT($F1113,4)&amp;MID($F1113,6,2)&amp;RIGHT($F1113,2)&amp;"0000"&amp;"|"&amp;"1"&amp;RIGHT("00000"&amp;1108,5))</f>
        <v/>
      </c>
      <c r="H1113">
        <f>IF(OR($B1113&lt;&gt;1,$G1113=""),"",COUNTIFS(LdAParty,$A1113,LdAType,1,LdAKey,"&lt;"&amp;$G1113)+COUNTIFS(LdBMember,$A1113,LdBKey,"&lt;"&amp;$G1113)+COUNTIFS(LdCParty,$A1113,LdCKey,"&lt;"&amp;$G1113)+1)</f>
        <v/>
      </c>
      <c r="I1113">
        <f>IF($H1113="","",$A1113&amp;"|"&amp;RIGHT("000000"&amp;$H1113,6))</f>
        <v/>
      </c>
      <c r="J1113">
        <f>IF(OR($B1113&lt;&gt;2,$G1113=""),"",COUNTIFS(LdAParty,$A1113,LdAType,2,LdAKey,"&lt;"&amp;$G1113)+1)</f>
        <v/>
      </c>
      <c r="K1113">
        <f>IF($J1113="","",$A1113&amp;"|"&amp;RIGHT("000000"&amp;$J1113,6))</f>
        <v/>
      </c>
      <c r="L1113">
        <f>IF($A1113="","",IF(Wages!$G1116="",0,Wages!$G1116))</f>
        <v/>
      </c>
      <c r="M1113">
        <f>IF($A1113="","",Wages!$J1116)</f>
        <v/>
      </c>
      <c r="N1113">
        <f>IF($A1113="","",Wages!$D1116)</f>
        <v/>
      </c>
      <c r="P1113">
        <f>IF(OR(Shares!$B1116="",Shares!$C1116=""),"",Shares!$C1116)</f>
        <v/>
      </c>
      <c r="Q1113">
        <f>IF($P1113="","",Shares!$B1116)</f>
        <v/>
      </c>
      <c r="R1113">
        <f>IF($P1113="","",IFERROR(INDEX(WageParty,MATCH($Q1113,WageIds,0)),""))</f>
        <v/>
      </c>
      <c r="S1113">
        <f>IF($P1113="","",IFERROR(INDEX($F$6:$F$2005,MATCH($Q1113,WageIds,0)),""))</f>
        <v/>
      </c>
      <c r="T1113">
        <f>IF(OR($P1113="",$S1113="",$S1113="نامعتبر"),"",LEFT($S1113,4)&amp;MID($S1113,6,2)&amp;RIGHT($S1113,2)&amp;"0000"&amp;"|"&amp;"2"&amp;RIGHT("00000"&amp;1108,5))</f>
        <v/>
      </c>
      <c r="U1113">
        <f>IF($T1113="","",COUNTIFS(LdAParty,$P1113,LdAType,1,LdAKey,"&lt;"&amp;$T1113)+COUNTIFS(LdBMember,$P1113,LdBKey,"&lt;"&amp;$T1113)+COUNTIFS(LdCParty,$P1113,LdCKey,"&lt;"&amp;$T1113)+1)</f>
        <v/>
      </c>
      <c r="V1113">
        <f>IF($U1113="","",$P1113&amp;"|"&amp;RIGHT("000000"&amp;$U1113,6))</f>
        <v/>
      </c>
      <c r="W1113">
        <f>IF($T1113="","",COUNTIFS(LdBGroup,$R1113,LdBKey,"&lt;"&amp;$T1113)+1)</f>
        <v/>
      </c>
      <c r="X1113">
        <f>IF($W1113="","",$R1113&amp;"|"&amp;RIGHT("000000"&amp;$W1113,6))</f>
        <v/>
      </c>
      <c r="Y1113">
        <f>IF($P1113="","",IF(Shares!$E1116="",0,Shares!$E1116))</f>
        <v/>
      </c>
      <c r="Z1113">
        <f>IF($P1113="","",Shares!$H1116)</f>
        <v/>
      </c>
      <c r="AE1113">
        <f>IF(OR(Sync!$S1113="",Sync!$P1113=""),"",Sync!$S1113)</f>
        <v/>
      </c>
      <c r="AF1113">
        <f>IF($AE1113="","",IF(ISNUMBER(Sync!$P1113),IF(AND(Sync!$P1113&gt;=10000101,Sync!$P1113&lt;=99991231),INT(Sync!$P1113/10000),""),IFERROR(VALUE(TRIM(LEFT(Sync!$P1113,FIND("/",Sync!$P1113)-1))),"")))</f>
        <v/>
      </c>
      <c r="AG1113">
        <f>IF(OR($AE1113="",$AF1113=""),"",IF(ISNUMBER(Sync!$P1113),INT(MOD(Sync!$P1113,10000)/100),IFERROR(VALUE(TRIM(LEFT(MID(Sync!$P1113,FIND("/",Sync!$P1113)+1,20),FIND("/",MID(Sync!$P1113,FIND("/",Sync!$P1113)+1,20))-1))),"")))</f>
        <v/>
      </c>
      <c r="AH1113">
        <f>IF(OR($AE1113="",$AF1113=""),"",IF(ISNUMBER(Sync!$P1113),MOD(Sync!$P1113,100),IFERROR(VALUE(TRIM(MID(MID(Sync!$P1113,FIND("/",Sync!$P1113)+1,20),FIND("/",MID(Sync!$P1113,FIND("/",Sync!$P1113)+1,20))+1,20))),"")))</f>
        <v/>
      </c>
      <c r="AI1113">
        <f>IF($AE1113="","",IF(OR($AF1113="",$AG1113="",$AH1113="",$AF1113&lt;1300,$AF1113&gt;1500,$AG1113&lt;1,$AG1113&gt;12,$AH1113&lt;1,$AH1113&gt;31),"نامعتبر",RIGHT("0000"&amp;$AF1113,4)&amp;"/"&amp;RIGHT("00"&amp;$AG1113,2)&amp;"/"&amp;RIGHT("00"&amp;$AH1113,2)))</f>
        <v/>
      </c>
      <c r="AJ1113">
        <f>IF($AE1113="","",IF(Sync!$Q1113="","0000",IF(AND(ISNUMBER(Sync!$Q1113),Sync!$Q1113&gt;=0,Sync!$Q1113&lt;1),RIGHT("00"&amp;HOUR(Sync!$Q1113),2)&amp;RIGHT("00"&amp;MINUTE(Sync!$Q1113),2),IFERROR(RIGHT("00"&amp;VALUE(LEFT(Sync!$Q1113,FIND(":",Sync!$Q1113)-1)),2)&amp;RIGHT("00"&amp;VALUE(MID(Sync!$Q1113,FIND(":",Sync!$Q1113)+1,2)),2),"0000"))))</f>
        <v/>
      </c>
      <c r="AK1113">
        <f>IF(OR($AE1113="",$AI1113="",$AI1113="نامعتبر"),"",LEFT($AI1113,4)&amp;MID($AI1113,6,2)&amp;RIGHT($AI1113,2)&amp;$AJ1113&amp;"|"&amp;"3"&amp;RIGHT("00000"&amp;1108,5))</f>
        <v/>
      </c>
      <c r="AL1113">
        <f>IF($AK1113="","",COUNTIFS(LdAParty,$AE1113,LdAType,1,LdAKey,"&lt;"&amp;$AK1113)+COUNTIFS(LdBMember,$AE1113,LdBKey,"&lt;"&amp;$AK1113)+COUNTIFS(LdCParty,$AE1113,LdCKey,"&lt;"&amp;$AK1113)+1)</f>
        <v/>
      </c>
      <c r="AM1113">
        <f>IF($AL1113="","",$AE1113&amp;"|"&amp;RIGHT("000000"&amp;$AL1113,6))</f>
        <v/>
      </c>
      <c r="AN1113">
        <f>IF($AE1113="","",IF(Sync!$W1113="",0,Sync!$W1113))</f>
        <v/>
      </c>
      <c r="AO1113">
        <f>IF($AE1113="","",IF(Sync!$X1113="",0,Sync!$X1113))</f>
        <v/>
      </c>
      <c r="AP1113">
        <f>IF($AE1113="","",Sync!$R1113)</f>
        <v/>
      </c>
      <c r="AQ1113">
        <f>IF($AE1113="","",Sync!$Y1113)</f>
        <v/>
      </c>
    </row>
    <row r="1114">
      <c r="A1114">
        <f>IF(OR(Wages!$B1117="",Wages!$E1117=""),"",Wages!$E1117)</f>
        <v/>
      </c>
      <c r="B1114">
        <f>IF($A1114="","",IF(Wages!$C1117="دستمزد گروهی",2,1))</f>
        <v/>
      </c>
      <c r="C1114">
        <f>IF($A1114="","",IF(ISNUMBER(Wages!$B1117),IF(AND(Wages!$B1117&gt;=10000101,Wages!$B1117&lt;=99991231),INT(Wages!$B1117/10000),""),IFERROR(VALUE(TRIM(LEFT(Wages!$B1117,FIND("/",Wages!$B1117)-1))),"")))</f>
        <v/>
      </c>
      <c r="D1114">
        <f>IF(OR($A1114="",$C1114=""),"",IF(ISNUMBER(Wages!$B1117),INT(MOD(Wages!$B1117,10000)/100),IFERROR(VALUE(TRIM(LEFT(MID(Wages!$B1117,FIND("/",Wages!$B1117)+1,20),FIND("/",MID(Wages!$B1117,FIND("/",Wages!$B1117)+1,20))-1))),"")))</f>
        <v/>
      </c>
      <c r="E1114">
        <f>IF(OR($A1114="",$C1114=""),"",IF(ISNUMBER(Wages!$B1117),MOD(Wages!$B1117,100),IFERROR(VALUE(TRIM(MID(MID(Wages!$B1117,FIND("/",Wages!$B1117)+1,20),FIND("/",MID(Wages!$B1117,FIND("/",Wages!$B1117)+1,20))+1,20))),"")))</f>
        <v/>
      </c>
      <c r="F1114">
        <f>IF($A1114="","",IF(OR($C1114="",$D1114="",$E1114="",$C1114&lt;1300,$C1114&gt;1500,$D1114&lt;1,$D1114&gt;12,$E1114&lt;1,$E1114&gt;31),"نامعتبر",RIGHT("0000"&amp;$C1114,4)&amp;"/"&amp;RIGHT("00"&amp;$D1114,2)&amp;"/"&amp;RIGHT("00"&amp;$E1114,2)))</f>
        <v/>
      </c>
      <c r="G1114">
        <f>IF(OR($A1114="",$F1114="",$F1114="نامعتبر"),"",LEFT($F1114,4)&amp;MID($F1114,6,2)&amp;RIGHT($F1114,2)&amp;"0000"&amp;"|"&amp;"1"&amp;RIGHT("00000"&amp;1109,5))</f>
        <v/>
      </c>
      <c r="H1114">
        <f>IF(OR($B1114&lt;&gt;1,$G1114=""),"",COUNTIFS(LdAParty,$A1114,LdAType,1,LdAKey,"&lt;"&amp;$G1114)+COUNTIFS(LdBMember,$A1114,LdBKey,"&lt;"&amp;$G1114)+COUNTIFS(LdCParty,$A1114,LdCKey,"&lt;"&amp;$G1114)+1)</f>
        <v/>
      </c>
      <c r="I1114">
        <f>IF($H1114="","",$A1114&amp;"|"&amp;RIGHT("000000"&amp;$H1114,6))</f>
        <v/>
      </c>
      <c r="J1114">
        <f>IF(OR($B1114&lt;&gt;2,$G1114=""),"",COUNTIFS(LdAParty,$A1114,LdAType,2,LdAKey,"&lt;"&amp;$G1114)+1)</f>
        <v/>
      </c>
      <c r="K1114">
        <f>IF($J1114="","",$A1114&amp;"|"&amp;RIGHT("000000"&amp;$J1114,6))</f>
        <v/>
      </c>
      <c r="L1114">
        <f>IF($A1114="","",IF(Wages!$G1117="",0,Wages!$G1117))</f>
        <v/>
      </c>
      <c r="M1114">
        <f>IF($A1114="","",Wages!$J1117)</f>
        <v/>
      </c>
      <c r="N1114">
        <f>IF($A1114="","",Wages!$D1117)</f>
        <v/>
      </c>
      <c r="P1114">
        <f>IF(OR(Shares!$B1117="",Shares!$C1117=""),"",Shares!$C1117)</f>
        <v/>
      </c>
      <c r="Q1114">
        <f>IF($P1114="","",Shares!$B1117)</f>
        <v/>
      </c>
      <c r="R1114">
        <f>IF($P1114="","",IFERROR(INDEX(WageParty,MATCH($Q1114,WageIds,0)),""))</f>
        <v/>
      </c>
      <c r="S1114">
        <f>IF($P1114="","",IFERROR(INDEX($F$6:$F$2005,MATCH($Q1114,WageIds,0)),""))</f>
        <v/>
      </c>
      <c r="T1114">
        <f>IF(OR($P1114="",$S1114="",$S1114="نامعتبر"),"",LEFT($S1114,4)&amp;MID($S1114,6,2)&amp;RIGHT($S1114,2)&amp;"0000"&amp;"|"&amp;"2"&amp;RIGHT("00000"&amp;1109,5))</f>
        <v/>
      </c>
      <c r="U1114">
        <f>IF($T1114="","",COUNTIFS(LdAParty,$P1114,LdAType,1,LdAKey,"&lt;"&amp;$T1114)+COUNTIFS(LdBMember,$P1114,LdBKey,"&lt;"&amp;$T1114)+COUNTIFS(LdCParty,$P1114,LdCKey,"&lt;"&amp;$T1114)+1)</f>
        <v/>
      </c>
      <c r="V1114">
        <f>IF($U1114="","",$P1114&amp;"|"&amp;RIGHT("000000"&amp;$U1114,6))</f>
        <v/>
      </c>
      <c r="W1114">
        <f>IF($T1114="","",COUNTIFS(LdBGroup,$R1114,LdBKey,"&lt;"&amp;$T1114)+1)</f>
        <v/>
      </c>
      <c r="X1114">
        <f>IF($W1114="","",$R1114&amp;"|"&amp;RIGHT("000000"&amp;$W1114,6))</f>
        <v/>
      </c>
      <c r="Y1114">
        <f>IF($P1114="","",IF(Shares!$E1117="",0,Shares!$E1117))</f>
        <v/>
      </c>
      <c r="Z1114">
        <f>IF($P1114="","",Shares!$H1117)</f>
        <v/>
      </c>
      <c r="AE1114">
        <f>IF(OR(Sync!$S1114="",Sync!$P1114=""),"",Sync!$S1114)</f>
        <v/>
      </c>
      <c r="AF1114">
        <f>IF($AE1114="","",IF(ISNUMBER(Sync!$P1114),IF(AND(Sync!$P1114&gt;=10000101,Sync!$P1114&lt;=99991231),INT(Sync!$P1114/10000),""),IFERROR(VALUE(TRIM(LEFT(Sync!$P1114,FIND("/",Sync!$P1114)-1))),"")))</f>
        <v/>
      </c>
      <c r="AG1114">
        <f>IF(OR($AE1114="",$AF1114=""),"",IF(ISNUMBER(Sync!$P1114),INT(MOD(Sync!$P1114,10000)/100),IFERROR(VALUE(TRIM(LEFT(MID(Sync!$P1114,FIND("/",Sync!$P1114)+1,20),FIND("/",MID(Sync!$P1114,FIND("/",Sync!$P1114)+1,20))-1))),"")))</f>
        <v/>
      </c>
      <c r="AH1114">
        <f>IF(OR($AE1114="",$AF1114=""),"",IF(ISNUMBER(Sync!$P1114),MOD(Sync!$P1114,100),IFERROR(VALUE(TRIM(MID(MID(Sync!$P1114,FIND("/",Sync!$P1114)+1,20),FIND("/",MID(Sync!$P1114,FIND("/",Sync!$P1114)+1,20))+1,20))),"")))</f>
        <v/>
      </c>
      <c r="AI1114">
        <f>IF($AE1114="","",IF(OR($AF1114="",$AG1114="",$AH1114="",$AF1114&lt;1300,$AF1114&gt;1500,$AG1114&lt;1,$AG1114&gt;12,$AH1114&lt;1,$AH1114&gt;31),"نامعتبر",RIGHT("0000"&amp;$AF1114,4)&amp;"/"&amp;RIGHT("00"&amp;$AG1114,2)&amp;"/"&amp;RIGHT("00"&amp;$AH1114,2)))</f>
        <v/>
      </c>
      <c r="AJ1114">
        <f>IF($AE1114="","",IF(Sync!$Q1114="","0000",IF(AND(ISNUMBER(Sync!$Q1114),Sync!$Q1114&gt;=0,Sync!$Q1114&lt;1),RIGHT("00"&amp;HOUR(Sync!$Q1114),2)&amp;RIGHT("00"&amp;MINUTE(Sync!$Q1114),2),IFERROR(RIGHT("00"&amp;VALUE(LEFT(Sync!$Q1114,FIND(":",Sync!$Q1114)-1)),2)&amp;RIGHT("00"&amp;VALUE(MID(Sync!$Q1114,FIND(":",Sync!$Q1114)+1,2)),2),"0000"))))</f>
        <v/>
      </c>
      <c r="AK1114">
        <f>IF(OR($AE1114="",$AI1114="",$AI1114="نامعتبر"),"",LEFT($AI1114,4)&amp;MID($AI1114,6,2)&amp;RIGHT($AI1114,2)&amp;$AJ1114&amp;"|"&amp;"3"&amp;RIGHT("00000"&amp;1109,5))</f>
        <v/>
      </c>
      <c r="AL1114">
        <f>IF($AK1114="","",COUNTIFS(LdAParty,$AE1114,LdAType,1,LdAKey,"&lt;"&amp;$AK1114)+COUNTIFS(LdBMember,$AE1114,LdBKey,"&lt;"&amp;$AK1114)+COUNTIFS(LdCParty,$AE1114,LdCKey,"&lt;"&amp;$AK1114)+1)</f>
        <v/>
      </c>
      <c r="AM1114">
        <f>IF($AL1114="","",$AE1114&amp;"|"&amp;RIGHT("000000"&amp;$AL1114,6))</f>
        <v/>
      </c>
      <c r="AN1114">
        <f>IF($AE1114="","",IF(Sync!$W1114="",0,Sync!$W1114))</f>
        <v/>
      </c>
      <c r="AO1114">
        <f>IF($AE1114="","",IF(Sync!$X1114="",0,Sync!$X1114))</f>
        <v/>
      </c>
      <c r="AP1114">
        <f>IF($AE1114="","",Sync!$R1114)</f>
        <v/>
      </c>
      <c r="AQ1114">
        <f>IF($AE1114="","",Sync!$Y1114)</f>
        <v/>
      </c>
    </row>
    <row r="1115">
      <c r="A1115">
        <f>IF(OR(Wages!$B1118="",Wages!$E1118=""),"",Wages!$E1118)</f>
        <v/>
      </c>
      <c r="B1115">
        <f>IF($A1115="","",IF(Wages!$C1118="دستمزد گروهی",2,1))</f>
        <v/>
      </c>
      <c r="C1115">
        <f>IF($A1115="","",IF(ISNUMBER(Wages!$B1118),IF(AND(Wages!$B1118&gt;=10000101,Wages!$B1118&lt;=99991231),INT(Wages!$B1118/10000),""),IFERROR(VALUE(TRIM(LEFT(Wages!$B1118,FIND("/",Wages!$B1118)-1))),"")))</f>
        <v/>
      </c>
      <c r="D1115">
        <f>IF(OR($A1115="",$C1115=""),"",IF(ISNUMBER(Wages!$B1118),INT(MOD(Wages!$B1118,10000)/100),IFERROR(VALUE(TRIM(LEFT(MID(Wages!$B1118,FIND("/",Wages!$B1118)+1,20),FIND("/",MID(Wages!$B1118,FIND("/",Wages!$B1118)+1,20))-1))),"")))</f>
        <v/>
      </c>
      <c r="E1115">
        <f>IF(OR($A1115="",$C1115=""),"",IF(ISNUMBER(Wages!$B1118),MOD(Wages!$B1118,100),IFERROR(VALUE(TRIM(MID(MID(Wages!$B1118,FIND("/",Wages!$B1118)+1,20),FIND("/",MID(Wages!$B1118,FIND("/",Wages!$B1118)+1,20))+1,20))),"")))</f>
        <v/>
      </c>
      <c r="F1115">
        <f>IF($A1115="","",IF(OR($C1115="",$D1115="",$E1115="",$C1115&lt;1300,$C1115&gt;1500,$D1115&lt;1,$D1115&gt;12,$E1115&lt;1,$E1115&gt;31),"نامعتبر",RIGHT("0000"&amp;$C1115,4)&amp;"/"&amp;RIGHT("00"&amp;$D1115,2)&amp;"/"&amp;RIGHT("00"&amp;$E1115,2)))</f>
        <v/>
      </c>
      <c r="G1115">
        <f>IF(OR($A1115="",$F1115="",$F1115="نامعتبر"),"",LEFT($F1115,4)&amp;MID($F1115,6,2)&amp;RIGHT($F1115,2)&amp;"0000"&amp;"|"&amp;"1"&amp;RIGHT("00000"&amp;1110,5))</f>
        <v/>
      </c>
      <c r="H1115">
        <f>IF(OR($B1115&lt;&gt;1,$G1115=""),"",COUNTIFS(LdAParty,$A1115,LdAType,1,LdAKey,"&lt;"&amp;$G1115)+COUNTIFS(LdBMember,$A1115,LdBKey,"&lt;"&amp;$G1115)+COUNTIFS(LdCParty,$A1115,LdCKey,"&lt;"&amp;$G1115)+1)</f>
        <v/>
      </c>
      <c r="I1115">
        <f>IF($H1115="","",$A1115&amp;"|"&amp;RIGHT("000000"&amp;$H1115,6))</f>
        <v/>
      </c>
      <c r="J1115">
        <f>IF(OR($B1115&lt;&gt;2,$G1115=""),"",COUNTIFS(LdAParty,$A1115,LdAType,2,LdAKey,"&lt;"&amp;$G1115)+1)</f>
        <v/>
      </c>
      <c r="K1115">
        <f>IF($J1115="","",$A1115&amp;"|"&amp;RIGHT("000000"&amp;$J1115,6))</f>
        <v/>
      </c>
      <c r="L1115">
        <f>IF($A1115="","",IF(Wages!$G1118="",0,Wages!$G1118))</f>
        <v/>
      </c>
      <c r="M1115">
        <f>IF($A1115="","",Wages!$J1118)</f>
        <v/>
      </c>
      <c r="N1115">
        <f>IF($A1115="","",Wages!$D1118)</f>
        <v/>
      </c>
      <c r="P1115">
        <f>IF(OR(Shares!$B1118="",Shares!$C1118=""),"",Shares!$C1118)</f>
        <v/>
      </c>
      <c r="Q1115">
        <f>IF($P1115="","",Shares!$B1118)</f>
        <v/>
      </c>
      <c r="R1115">
        <f>IF($P1115="","",IFERROR(INDEX(WageParty,MATCH($Q1115,WageIds,0)),""))</f>
        <v/>
      </c>
      <c r="S1115">
        <f>IF($P1115="","",IFERROR(INDEX($F$6:$F$2005,MATCH($Q1115,WageIds,0)),""))</f>
        <v/>
      </c>
      <c r="T1115">
        <f>IF(OR($P1115="",$S1115="",$S1115="نامعتبر"),"",LEFT($S1115,4)&amp;MID($S1115,6,2)&amp;RIGHT($S1115,2)&amp;"0000"&amp;"|"&amp;"2"&amp;RIGHT("00000"&amp;1110,5))</f>
        <v/>
      </c>
      <c r="U1115">
        <f>IF($T1115="","",COUNTIFS(LdAParty,$P1115,LdAType,1,LdAKey,"&lt;"&amp;$T1115)+COUNTIFS(LdBMember,$P1115,LdBKey,"&lt;"&amp;$T1115)+COUNTIFS(LdCParty,$P1115,LdCKey,"&lt;"&amp;$T1115)+1)</f>
        <v/>
      </c>
      <c r="V1115">
        <f>IF($U1115="","",$P1115&amp;"|"&amp;RIGHT("000000"&amp;$U1115,6))</f>
        <v/>
      </c>
      <c r="W1115">
        <f>IF($T1115="","",COUNTIFS(LdBGroup,$R1115,LdBKey,"&lt;"&amp;$T1115)+1)</f>
        <v/>
      </c>
      <c r="X1115">
        <f>IF($W1115="","",$R1115&amp;"|"&amp;RIGHT("000000"&amp;$W1115,6))</f>
        <v/>
      </c>
      <c r="Y1115">
        <f>IF($P1115="","",IF(Shares!$E1118="",0,Shares!$E1118))</f>
        <v/>
      </c>
      <c r="Z1115">
        <f>IF($P1115="","",Shares!$H1118)</f>
        <v/>
      </c>
      <c r="AE1115">
        <f>IF(OR(Sync!$S1115="",Sync!$P1115=""),"",Sync!$S1115)</f>
        <v/>
      </c>
      <c r="AF1115">
        <f>IF($AE1115="","",IF(ISNUMBER(Sync!$P1115),IF(AND(Sync!$P1115&gt;=10000101,Sync!$P1115&lt;=99991231),INT(Sync!$P1115/10000),""),IFERROR(VALUE(TRIM(LEFT(Sync!$P1115,FIND("/",Sync!$P1115)-1))),"")))</f>
        <v/>
      </c>
      <c r="AG1115">
        <f>IF(OR($AE1115="",$AF1115=""),"",IF(ISNUMBER(Sync!$P1115),INT(MOD(Sync!$P1115,10000)/100),IFERROR(VALUE(TRIM(LEFT(MID(Sync!$P1115,FIND("/",Sync!$P1115)+1,20),FIND("/",MID(Sync!$P1115,FIND("/",Sync!$P1115)+1,20))-1))),"")))</f>
        <v/>
      </c>
      <c r="AH1115">
        <f>IF(OR($AE1115="",$AF1115=""),"",IF(ISNUMBER(Sync!$P1115),MOD(Sync!$P1115,100),IFERROR(VALUE(TRIM(MID(MID(Sync!$P1115,FIND("/",Sync!$P1115)+1,20),FIND("/",MID(Sync!$P1115,FIND("/",Sync!$P1115)+1,20))+1,20))),"")))</f>
        <v/>
      </c>
      <c r="AI1115">
        <f>IF($AE1115="","",IF(OR($AF1115="",$AG1115="",$AH1115="",$AF1115&lt;1300,$AF1115&gt;1500,$AG1115&lt;1,$AG1115&gt;12,$AH1115&lt;1,$AH1115&gt;31),"نامعتبر",RIGHT("0000"&amp;$AF1115,4)&amp;"/"&amp;RIGHT("00"&amp;$AG1115,2)&amp;"/"&amp;RIGHT("00"&amp;$AH1115,2)))</f>
        <v/>
      </c>
      <c r="AJ1115">
        <f>IF($AE1115="","",IF(Sync!$Q1115="","0000",IF(AND(ISNUMBER(Sync!$Q1115),Sync!$Q1115&gt;=0,Sync!$Q1115&lt;1),RIGHT("00"&amp;HOUR(Sync!$Q1115),2)&amp;RIGHT("00"&amp;MINUTE(Sync!$Q1115),2),IFERROR(RIGHT("00"&amp;VALUE(LEFT(Sync!$Q1115,FIND(":",Sync!$Q1115)-1)),2)&amp;RIGHT("00"&amp;VALUE(MID(Sync!$Q1115,FIND(":",Sync!$Q1115)+1,2)),2),"0000"))))</f>
        <v/>
      </c>
      <c r="AK1115">
        <f>IF(OR($AE1115="",$AI1115="",$AI1115="نامعتبر"),"",LEFT($AI1115,4)&amp;MID($AI1115,6,2)&amp;RIGHT($AI1115,2)&amp;$AJ1115&amp;"|"&amp;"3"&amp;RIGHT("00000"&amp;1110,5))</f>
        <v/>
      </c>
      <c r="AL1115">
        <f>IF($AK1115="","",COUNTIFS(LdAParty,$AE1115,LdAType,1,LdAKey,"&lt;"&amp;$AK1115)+COUNTIFS(LdBMember,$AE1115,LdBKey,"&lt;"&amp;$AK1115)+COUNTIFS(LdCParty,$AE1115,LdCKey,"&lt;"&amp;$AK1115)+1)</f>
        <v/>
      </c>
      <c r="AM1115">
        <f>IF($AL1115="","",$AE1115&amp;"|"&amp;RIGHT("000000"&amp;$AL1115,6))</f>
        <v/>
      </c>
      <c r="AN1115">
        <f>IF($AE1115="","",IF(Sync!$W1115="",0,Sync!$W1115))</f>
        <v/>
      </c>
      <c r="AO1115">
        <f>IF($AE1115="","",IF(Sync!$X1115="",0,Sync!$X1115))</f>
        <v/>
      </c>
      <c r="AP1115">
        <f>IF($AE1115="","",Sync!$R1115)</f>
        <v/>
      </c>
      <c r="AQ1115">
        <f>IF($AE1115="","",Sync!$Y1115)</f>
        <v/>
      </c>
    </row>
    <row r="1116">
      <c r="A1116">
        <f>IF(OR(Wages!$B1119="",Wages!$E1119=""),"",Wages!$E1119)</f>
        <v/>
      </c>
      <c r="B1116">
        <f>IF($A1116="","",IF(Wages!$C1119="دستمزد گروهی",2,1))</f>
        <v/>
      </c>
      <c r="C1116">
        <f>IF($A1116="","",IF(ISNUMBER(Wages!$B1119),IF(AND(Wages!$B1119&gt;=10000101,Wages!$B1119&lt;=99991231),INT(Wages!$B1119/10000),""),IFERROR(VALUE(TRIM(LEFT(Wages!$B1119,FIND("/",Wages!$B1119)-1))),"")))</f>
        <v/>
      </c>
      <c r="D1116">
        <f>IF(OR($A1116="",$C1116=""),"",IF(ISNUMBER(Wages!$B1119),INT(MOD(Wages!$B1119,10000)/100),IFERROR(VALUE(TRIM(LEFT(MID(Wages!$B1119,FIND("/",Wages!$B1119)+1,20),FIND("/",MID(Wages!$B1119,FIND("/",Wages!$B1119)+1,20))-1))),"")))</f>
        <v/>
      </c>
      <c r="E1116">
        <f>IF(OR($A1116="",$C1116=""),"",IF(ISNUMBER(Wages!$B1119),MOD(Wages!$B1119,100),IFERROR(VALUE(TRIM(MID(MID(Wages!$B1119,FIND("/",Wages!$B1119)+1,20),FIND("/",MID(Wages!$B1119,FIND("/",Wages!$B1119)+1,20))+1,20))),"")))</f>
        <v/>
      </c>
      <c r="F1116">
        <f>IF($A1116="","",IF(OR($C1116="",$D1116="",$E1116="",$C1116&lt;1300,$C1116&gt;1500,$D1116&lt;1,$D1116&gt;12,$E1116&lt;1,$E1116&gt;31),"نامعتبر",RIGHT("0000"&amp;$C1116,4)&amp;"/"&amp;RIGHT("00"&amp;$D1116,2)&amp;"/"&amp;RIGHT("00"&amp;$E1116,2)))</f>
        <v/>
      </c>
      <c r="G1116">
        <f>IF(OR($A1116="",$F1116="",$F1116="نامعتبر"),"",LEFT($F1116,4)&amp;MID($F1116,6,2)&amp;RIGHT($F1116,2)&amp;"0000"&amp;"|"&amp;"1"&amp;RIGHT("00000"&amp;1111,5))</f>
        <v/>
      </c>
      <c r="H1116">
        <f>IF(OR($B1116&lt;&gt;1,$G1116=""),"",COUNTIFS(LdAParty,$A1116,LdAType,1,LdAKey,"&lt;"&amp;$G1116)+COUNTIFS(LdBMember,$A1116,LdBKey,"&lt;"&amp;$G1116)+COUNTIFS(LdCParty,$A1116,LdCKey,"&lt;"&amp;$G1116)+1)</f>
        <v/>
      </c>
      <c r="I1116">
        <f>IF($H1116="","",$A1116&amp;"|"&amp;RIGHT("000000"&amp;$H1116,6))</f>
        <v/>
      </c>
      <c r="J1116">
        <f>IF(OR($B1116&lt;&gt;2,$G1116=""),"",COUNTIFS(LdAParty,$A1116,LdAType,2,LdAKey,"&lt;"&amp;$G1116)+1)</f>
        <v/>
      </c>
      <c r="K1116">
        <f>IF($J1116="","",$A1116&amp;"|"&amp;RIGHT("000000"&amp;$J1116,6))</f>
        <v/>
      </c>
      <c r="L1116">
        <f>IF($A1116="","",IF(Wages!$G1119="",0,Wages!$G1119))</f>
        <v/>
      </c>
      <c r="M1116">
        <f>IF($A1116="","",Wages!$J1119)</f>
        <v/>
      </c>
      <c r="N1116">
        <f>IF($A1116="","",Wages!$D1119)</f>
        <v/>
      </c>
      <c r="P1116">
        <f>IF(OR(Shares!$B1119="",Shares!$C1119=""),"",Shares!$C1119)</f>
        <v/>
      </c>
      <c r="Q1116">
        <f>IF($P1116="","",Shares!$B1119)</f>
        <v/>
      </c>
      <c r="R1116">
        <f>IF($P1116="","",IFERROR(INDEX(WageParty,MATCH($Q1116,WageIds,0)),""))</f>
        <v/>
      </c>
      <c r="S1116">
        <f>IF($P1116="","",IFERROR(INDEX($F$6:$F$2005,MATCH($Q1116,WageIds,0)),""))</f>
        <v/>
      </c>
      <c r="T1116">
        <f>IF(OR($P1116="",$S1116="",$S1116="نامعتبر"),"",LEFT($S1116,4)&amp;MID($S1116,6,2)&amp;RIGHT($S1116,2)&amp;"0000"&amp;"|"&amp;"2"&amp;RIGHT("00000"&amp;1111,5))</f>
        <v/>
      </c>
      <c r="U1116">
        <f>IF($T1116="","",COUNTIFS(LdAParty,$P1116,LdAType,1,LdAKey,"&lt;"&amp;$T1116)+COUNTIFS(LdBMember,$P1116,LdBKey,"&lt;"&amp;$T1116)+COUNTIFS(LdCParty,$P1116,LdCKey,"&lt;"&amp;$T1116)+1)</f>
        <v/>
      </c>
      <c r="V1116">
        <f>IF($U1116="","",$P1116&amp;"|"&amp;RIGHT("000000"&amp;$U1116,6))</f>
        <v/>
      </c>
      <c r="W1116">
        <f>IF($T1116="","",COUNTIFS(LdBGroup,$R1116,LdBKey,"&lt;"&amp;$T1116)+1)</f>
        <v/>
      </c>
      <c r="X1116">
        <f>IF($W1116="","",$R1116&amp;"|"&amp;RIGHT("000000"&amp;$W1116,6))</f>
        <v/>
      </c>
      <c r="Y1116">
        <f>IF($P1116="","",IF(Shares!$E1119="",0,Shares!$E1119))</f>
        <v/>
      </c>
      <c r="Z1116">
        <f>IF($P1116="","",Shares!$H1119)</f>
        <v/>
      </c>
      <c r="AE1116">
        <f>IF(OR(Sync!$S1116="",Sync!$P1116=""),"",Sync!$S1116)</f>
        <v/>
      </c>
      <c r="AF1116">
        <f>IF($AE1116="","",IF(ISNUMBER(Sync!$P1116),IF(AND(Sync!$P1116&gt;=10000101,Sync!$P1116&lt;=99991231),INT(Sync!$P1116/10000),""),IFERROR(VALUE(TRIM(LEFT(Sync!$P1116,FIND("/",Sync!$P1116)-1))),"")))</f>
        <v/>
      </c>
      <c r="AG1116">
        <f>IF(OR($AE1116="",$AF1116=""),"",IF(ISNUMBER(Sync!$P1116),INT(MOD(Sync!$P1116,10000)/100),IFERROR(VALUE(TRIM(LEFT(MID(Sync!$P1116,FIND("/",Sync!$P1116)+1,20),FIND("/",MID(Sync!$P1116,FIND("/",Sync!$P1116)+1,20))-1))),"")))</f>
        <v/>
      </c>
      <c r="AH1116">
        <f>IF(OR($AE1116="",$AF1116=""),"",IF(ISNUMBER(Sync!$P1116),MOD(Sync!$P1116,100),IFERROR(VALUE(TRIM(MID(MID(Sync!$P1116,FIND("/",Sync!$P1116)+1,20),FIND("/",MID(Sync!$P1116,FIND("/",Sync!$P1116)+1,20))+1,20))),"")))</f>
        <v/>
      </c>
      <c r="AI1116">
        <f>IF($AE1116="","",IF(OR($AF1116="",$AG1116="",$AH1116="",$AF1116&lt;1300,$AF1116&gt;1500,$AG1116&lt;1,$AG1116&gt;12,$AH1116&lt;1,$AH1116&gt;31),"نامعتبر",RIGHT("0000"&amp;$AF1116,4)&amp;"/"&amp;RIGHT("00"&amp;$AG1116,2)&amp;"/"&amp;RIGHT("00"&amp;$AH1116,2)))</f>
        <v/>
      </c>
      <c r="AJ1116">
        <f>IF($AE1116="","",IF(Sync!$Q1116="","0000",IF(AND(ISNUMBER(Sync!$Q1116),Sync!$Q1116&gt;=0,Sync!$Q1116&lt;1),RIGHT("00"&amp;HOUR(Sync!$Q1116),2)&amp;RIGHT("00"&amp;MINUTE(Sync!$Q1116),2),IFERROR(RIGHT("00"&amp;VALUE(LEFT(Sync!$Q1116,FIND(":",Sync!$Q1116)-1)),2)&amp;RIGHT("00"&amp;VALUE(MID(Sync!$Q1116,FIND(":",Sync!$Q1116)+1,2)),2),"0000"))))</f>
        <v/>
      </c>
      <c r="AK1116">
        <f>IF(OR($AE1116="",$AI1116="",$AI1116="نامعتبر"),"",LEFT($AI1116,4)&amp;MID($AI1116,6,2)&amp;RIGHT($AI1116,2)&amp;$AJ1116&amp;"|"&amp;"3"&amp;RIGHT("00000"&amp;1111,5))</f>
        <v/>
      </c>
      <c r="AL1116">
        <f>IF($AK1116="","",COUNTIFS(LdAParty,$AE1116,LdAType,1,LdAKey,"&lt;"&amp;$AK1116)+COUNTIFS(LdBMember,$AE1116,LdBKey,"&lt;"&amp;$AK1116)+COUNTIFS(LdCParty,$AE1116,LdCKey,"&lt;"&amp;$AK1116)+1)</f>
        <v/>
      </c>
      <c r="AM1116">
        <f>IF($AL1116="","",$AE1116&amp;"|"&amp;RIGHT("000000"&amp;$AL1116,6))</f>
        <v/>
      </c>
      <c r="AN1116">
        <f>IF($AE1116="","",IF(Sync!$W1116="",0,Sync!$W1116))</f>
        <v/>
      </c>
      <c r="AO1116">
        <f>IF($AE1116="","",IF(Sync!$X1116="",0,Sync!$X1116))</f>
        <v/>
      </c>
      <c r="AP1116">
        <f>IF($AE1116="","",Sync!$R1116)</f>
        <v/>
      </c>
      <c r="AQ1116">
        <f>IF($AE1116="","",Sync!$Y1116)</f>
        <v/>
      </c>
    </row>
    <row r="1117">
      <c r="A1117">
        <f>IF(OR(Wages!$B1120="",Wages!$E1120=""),"",Wages!$E1120)</f>
        <v/>
      </c>
      <c r="B1117">
        <f>IF($A1117="","",IF(Wages!$C1120="دستمزد گروهی",2,1))</f>
        <v/>
      </c>
      <c r="C1117">
        <f>IF($A1117="","",IF(ISNUMBER(Wages!$B1120),IF(AND(Wages!$B1120&gt;=10000101,Wages!$B1120&lt;=99991231),INT(Wages!$B1120/10000),""),IFERROR(VALUE(TRIM(LEFT(Wages!$B1120,FIND("/",Wages!$B1120)-1))),"")))</f>
        <v/>
      </c>
      <c r="D1117">
        <f>IF(OR($A1117="",$C1117=""),"",IF(ISNUMBER(Wages!$B1120),INT(MOD(Wages!$B1120,10000)/100),IFERROR(VALUE(TRIM(LEFT(MID(Wages!$B1120,FIND("/",Wages!$B1120)+1,20),FIND("/",MID(Wages!$B1120,FIND("/",Wages!$B1120)+1,20))-1))),"")))</f>
        <v/>
      </c>
      <c r="E1117">
        <f>IF(OR($A1117="",$C1117=""),"",IF(ISNUMBER(Wages!$B1120),MOD(Wages!$B1120,100),IFERROR(VALUE(TRIM(MID(MID(Wages!$B1120,FIND("/",Wages!$B1120)+1,20),FIND("/",MID(Wages!$B1120,FIND("/",Wages!$B1120)+1,20))+1,20))),"")))</f>
        <v/>
      </c>
      <c r="F1117">
        <f>IF($A1117="","",IF(OR($C1117="",$D1117="",$E1117="",$C1117&lt;1300,$C1117&gt;1500,$D1117&lt;1,$D1117&gt;12,$E1117&lt;1,$E1117&gt;31),"نامعتبر",RIGHT("0000"&amp;$C1117,4)&amp;"/"&amp;RIGHT("00"&amp;$D1117,2)&amp;"/"&amp;RIGHT("00"&amp;$E1117,2)))</f>
        <v/>
      </c>
      <c r="G1117">
        <f>IF(OR($A1117="",$F1117="",$F1117="نامعتبر"),"",LEFT($F1117,4)&amp;MID($F1117,6,2)&amp;RIGHT($F1117,2)&amp;"0000"&amp;"|"&amp;"1"&amp;RIGHT("00000"&amp;1112,5))</f>
        <v/>
      </c>
      <c r="H1117">
        <f>IF(OR($B1117&lt;&gt;1,$G1117=""),"",COUNTIFS(LdAParty,$A1117,LdAType,1,LdAKey,"&lt;"&amp;$G1117)+COUNTIFS(LdBMember,$A1117,LdBKey,"&lt;"&amp;$G1117)+COUNTIFS(LdCParty,$A1117,LdCKey,"&lt;"&amp;$G1117)+1)</f>
        <v/>
      </c>
      <c r="I1117">
        <f>IF($H1117="","",$A1117&amp;"|"&amp;RIGHT("000000"&amp;$H1117,6))</f>
        <v/>
      </c>
      <c r="J1117">
        <f>IF(OR($B1117&lt;&gt;2,$G1117=""),"",COUNTIFS(LdAParty,$A1117,LdAType,2,LdAKey,"&lt;"&amp;$G1117)+1)</f>
        <v/>
      </c>
      <c r="K1117">
        <f>IF($J1117="","",$A1117&amp;"|"&amp;RIGHT("000000"&amp;$J1117,6))</f>
        <v/>
      </c>
      <c r="L1117">
        <f>IF($A1117="","",IF(Wages!$G1120="",0,Wages!$G1120))</f>
        <v/>
      </c>
      <c r="M1117">
        <f>IF($A1117="","",Wages!$J1120)</f>
        <v/>
      </c>
      <c r="N1117">
        <f>IF($A1117="","",Wages!$D1120)</f>
        <v/>
      </c>
      <c r="P1117">
        <f>IF(OR(Shares!$B1120="",Shares!$C1120=""),"",Shares!$C1120)</f>
        <v/>
      </c>
      <c r="Q1117">
        <f>IF($P1117="","",Shares!$B1120)</f>
        <v/>
      </c>
      <c r="R1117">
        <f>IF($P1117="","",IFERROR(INDEX(WageParty,MATCH($Q1117,WageIds,0)),""))</f>
        <v/>
      </c>
      <c r="S1117">
        <f>IF($P1117="","",IFERROR(INDEX($F$6:$F$2005,MATCH($Q1117,WageIds,0)),""))</f>
        <v/>
      </c>
      <c r="T1117">
        <f>IF(OR($P1117="",$S1117="",$S1117="نامعتبر"),"",LEFT($S1117,4)&amp;MID($S1117,6,2)&amp;RIGHT($S1117,2)&amp;"0000"&amp;"|"&amp;"2"&amp;RIGHT("00000"&amp;1112,5))</f>
        <v/>
      </c>
      <c r="U1117">
        <f>IF($T1117="","",COUNTIFS(LdAParty,$P1117,LdAType,1,LdAKey,"&lt;"&amp;$T1117)+COUNTIFS(LdBMember,$P1117,LdBKey,"&lt;"&amp;$T1117)+COUNTIFS(LdCParty,$P1117,LdCKey,"&lt;"&amp;$T1117)+1)</f>
        <v/>
      </c>
      <c r="V1117">
        <f>IF($U1117="","",$P1117&amp;"|"&amp;RIGHT("000000"&amp;$U1117,6))</f>
        <v/>
      </c>
      <c r="W1117">
        <f>IF($T1117="","",COUNTIFS(LdBGroup,$R1117,LdBKey,"&lt;"&amp;$T1117)+1)</f>
        <v/>
      </c>
      <c r="X1117">
        <f>IF($W1117="","",$R1117&amp;"|"&amp;RIGHT("000000"&amp;$W1117,6))</f>
        <v/>
      </c>
      <c r="Y1117">
        <f>IF($P1117="","",IF(Shares!$E1120="",0,Shares!$E1120))</f>
        <v/>
      </c>
      <c r="Z1117">
        <f>IF($P1117="","",Shares!$H1120)</f>
        <v/>
      </c>
      <c r="AE1117">
        <f>IF(OR(Sync!$S1117="",Sync!$P1117=""),"",Sync!$S1117)</f>
        <v/>
      </c>
      <c r="AF1117">
        <f>IF($AE1117="","",IF(ISNUMBER(Sync!$P1117),IF(AND(Sync!$P1117&gt;=10000101,Sync!$P1117&lt;=99991231),INT(Sync!$P1117/10000),""),IFERROR(VALUE(TRIM(LEFT(Sync!$P1117,FIND("/",Sync!$P1117)-1))),"")))</f>
        <v/>
      </c>
      <c r="AG1117">
        <f>IF(OR($AE1117="",$AF1117=""),"",IF(ISNUMBER(Sync!$P1117),INT(MOD(Sync!$P1117,10000)/100),IFERROR(VALUE(TRIM(LEFT(MID(Sync!$P1117,FIND("/",Sync!$P1117)+1,20),FIND("/",MID(Sync!$P1117,FIND("/",Sync!$P1117)+1,20))-1))),"")))</f>
        <v/>
      </c>
      <c r="AH1117">
        <f>IF(OR($AE1117="",$AF1117=""),"",IF(ISNUMBER(Sync!$P1117),MOD(Sync!$P1117,100),IFERROR(VALUE(TRIM(MID(MID(Sync!$P1117,FIND("/",Sync!$P1117)+1,20),FIND("/",MID(Sync!$P1117,FIND("/",Sync!$P1117)+1,20))+1,20))),"")))</f>
        <v/>
      </c>
      <c r="AI1117">
        <f>IF($AE1117="","",IF(OR($AF1117="",$AG1117="",$AH1117="",$AF1117&lt;1300,$AF1117&gt;1500,$AG1117&lt;1,$AG1117&gt;12,$AH1117&lt;1,$AH1117&gt;31),"نامعتبر",RIGHT("0000"&amp;$AF1117,4)&amp;"/"&amp;RIGHT("00"&amp;$AG1117,2)&amp;"/"&amp;RIGHT("00"&amp;$AH1117,2)))</f>
        <v/>
      </c>
      <c r="AJ1117">
        <f>IF($AE1117="","",IF(Sync!$Q1117="","0000",IF(AND(ISNUMBER(Sync!$Q1117),Sync!$Q1117&gt;=0,Sync!$Q1117&lt;1),RIGHT("00"&amp;HOUR(Sync!$Q1117),2)&amp;RIGHT("00"&amp;MINUTE(Sync!$Q1117),2),IFERROR(RIGHT("00"&amp;VALUE(LEFT(Sync!$Q1117,FIND(":",Sync!$Q1117)-1)),2)&amp;RIGHT("00"&amp;VALUE(MID(Sync!$Q1117,FIND(":",Sync!$Q1117)+1,2)),2),"0000"))))</f>
        <v/>
      </c>
      <c r="AK1117">
        <f>IF(OR($AE1117="",$AI1117="",$AI1117="نامعتبر"),"",LEFT($AI1117,4)&amp;MID($AI1117,6,2)&amp;RIGHT($AI1117,2)&amp;$AJ1117&amp;"|"&amp;"3"&amp;RIGHT("00000"&amp;1112,5))</f>
        <v/>
      </c>
      <c r="AL1117">
        <f>IF($AK1117="","",COUNTIFS(LdAParty,$AE1117,LdAType,1,LdAKey,"&lt;"&amp;$AK1117)+COUNTIFS(LdBMember,$AE1117,LdBKey,"&lt;"&amp;$AK1117)+COUNTIFS(LdCParty,$AE1117,LdCKey,"&lt;"&amp;$AK1117)+1)</f>
        <v/>
      </c>
      <c r="AM1117">
        <f>IF($AL1117="","",$AE1117&amp;"|"&amp;RIGHT("000000"&amp;$AL1117,6))</f>
        <v/>
      </c>
      <c r="AN1117">
        <f>IF($AE1117="","",IF(Sync!$W1117="",0,Sync!$W1117))</f>
        <v/>
      </c>
      <c r="AO1117">
        <f>IF($AE1117="","",IF(Sync!$X1117="",0,Sync!$X1117))</f>
        <v/>
      </c>
      <c r="AP1117">
        <f>IF($AE1117="","",Sync!$R1117)</f>
        <v/>
      </c>
      <c r="AQ1117">
        <f>IF($AE1117="","",Sync!$Y1117)</f>
        <v/>
      </c>
    </row>
    <row r="1118">
      <c r="A1118">
        <f>IF(OR(Wages!$B1121="",Wages!$E1121=""),"",Wages!$E1121)</f>
        <v/>
      </c>
      <c r="B1118">
        <f>IF($A1118="","",IF(Wages!$C1121="دستمزد گروهی",2,1))</f>
        <v/>
      </c>
      <c r="C1118">
        <f>IF($A1118="","",IF(ISNUMBER(Wages!$B1121),IF(AND(Wages!$B1121&gt;=10000101,Wages!$B1121&lt;=99991231),INT(Wages!$B1121/10000),""),IFERROR(VALUE(TRIM(LEFT(Wages!$B1121,FIND("/",Wages!$B1121)-1))),"")))</f>
        <v/>
      </c>
      <c r="D1118">
        <f>IF(OR($A1118="",$C1118=""),"",IF(ISNUMBER(Wages!$B1121),INT(MOD(Wages!$B1121,10000)/100),IFERROR(VALUE(TRIM(LEFT(MID(Wages!$B1121,FIND("/",Wages!$B1121)+1,20),FIND("/",MID(Wages!$B1121,FIND("/",Wages!$B1121)+1,20))-1))),"")))</f>
        <v/>
      </c>
      <c r="E1118">
        <f>IF(OR($A1118="",$C1118=""),"",IF(ISNUMBER(Wages!$B1121),MOD(Wages!$B1121,100),IFERROR(VALUE(TRIM(MID(MID(Wages!$B1121,FIND("/",Wages!$B1121)+1,20),FIND("/",MID(Wages!$B1121,FIND("/",Wages!$B1121)+1,20))+1,20))),"")))</f>
        <v/>
      </c>
      <c r="F1118">
        <f>IF($A1118="","",IF(OR($C1118="",$D1118="",$E1118="",$C1118&lt;1300,$C1118&gt;1500,$D1118&lt;1,$D1118&gt;12,$E1118&lt;1,$E1118&gt;31),"نامعتبر",RIGHT("0000"&amp;$C1118,4)&amp;"/"&amp;RIGHT("00"&amp;$D1118,2)&amp;"/"&amp;RIGHT("00"&amp;$E1118,2)))</f>
        <v/>
      </c>
      <c r="G1118">
        <f>IF(OR($A1118="",$F1118="",$F1118="نامعتبر"),"",LEFT($F1118,4)&amp;MID($F1118,6,2)&amp;RIGHT($F1118,2)&amp;"0000"&amp;"|"&amp;"1"&amp;RIGHT("00000"&amp;1113,5))</f>
        <v/>
      </c>
      <c r="H1118">
        <f>IF(OR($B1118&lt;&gt;1,$G1118=""),"",COUNTIFS(LdAParty,$A1118,LdAType,1,LdAKey,"&lt;"&amp;$G1118)+COUNTIFS(LdBMember,$A1118,LdBKey,"&lt;"&amp;$G1118)+COUNTIFS(LdCParty,$A1118,LdCKey,"&lt;"&amp;$G1118)+1)</f>
        <v/>
      </c>
      <c r="I1118">
        <f>IF($H1118="","",$A1118&amp;"|"&amp;RIGHT("000000"&amp;$H1118,6))</f>
        <v/>
      </c>
      <c r="J1118">
        <f>IF(OR($B1118&lt;&gt;2,$G1118=""),"",COUNTIFS(LdAParty,$A1118,LdAType,2,LdAKey,"&lt;"&amp;$G1118)+1)</f>
        <v/>
      </c>
      <c r="K1118">
        <f>IF($J1118="","",$A1118&amp;"|"&amp;RIGHT("000000"&amp;$J1118,6))</f>
        <v/>
      </c>
      <c r="L1118">
        <f>IF($A1118="","",IF(Wages!$G1121="",0,Wages!$G1121))</f>
        <v/>
      </c>
      <c r="M1118">
        <f>IF($A1118="","",Wages!$J1121)</f>
        <v/>
      </c>
      <c r="N1118">
        <f>IF($A1118="","",Wages!$D1121)</f>
        <v/>
      </c>
      <c r="P1118">
        <f>IF(OR(Shares!$B1121="",Shares!$C1121=""),"",Shares!$C1121)</f>
        <v/>
      </c>
      <c r="Q1118">
        <f>IF($P1118="","",Shares!$B1121)</f>
        <v/>
      </c>
      <c r="R1118">
        <f>IF($P1118="","",IFERROR(INDEX(WageParty,MATCH($Q1118,WageIds,0)),""))</f>
        <v/>
      </c>
      <c r="S1118">
        <f>IF($P1118="","",IFERROR(INDEX($F$6:$F$2005,MATCH($Q1118,WageIds,0)),""))</f>
        <v/>
      </c>
      <c r="T1118">
        <f>IF(OR($P1118="",$S1118="",$S1118="نامعتبر"),"",LEFT($S1118,4)&amp;MID($S1118,6,2)&amp;RIGHT($S1118,2)&amp;"0000"&amp;"|"&amp;"2"&amp;RIGHT("00000"&amp;1113,5))</f>
        <v/>
      </c>
      <c r="U1118">
        <f>IF($T1118="","",COUNTIFS(LdAParty,$P1118,LdAType,1,LdAKey,"&lt;"&amp;$T1118)+COUNTIFS(LdBMember,$P1118,LdBKey,"&lt;"&amp;$T1118)+COUNTIFS(LdCParty,$P1118,LdCKey,"&lt;"&amp;$T1118)+1)</f>
        <v/>
      </c>
      <c r="V1118">
        <f>IF($U1118="","",$P1118&amp;"|"&amp;RIGHT("000000"&amp;$U1118,6))</f>
        <v/>
      </c>
      <c r="W1118">
        <f>IF($T1118="","",COUNTIFS(LdBGroup,$R1118,LdBKey,"&lt;"&amp;$T1118)+1)</f>
        <v/>
      </c>
      <c r="X1118">
        <f>IF($W1118="","",$R1118&amp;"|"&amp;RIGHT("000000"&amp;$W1118,6))</f>
        <v/>
      </c>
      <c r="Y1118">
        <f>IF($P1118="","",IF(Shares!$E1121="",0,Shares!$E1121))</f>
        <v/>
      </c>
      <c r="Z1118">
        <f>IF($P1118="","",Shares!$H1121)</f>
        <v/>
      </c>
      <c r="AE1118">
        <f>IF(OR(Sync!$S1118="",Sync!$P1118=""),"",Sync!$S1118)</f>
        <v/>
      </c>
      <c r="AF1118">
        <f>IF($AE1118="","",IF(ISNUMBER(Sync!$P1118),IF(AND(Sync!$P1118&gt;=10000101,Sync!$P1118&lt;=99991231),INT(Sync!$P1118/10000),""),IFERROR(VALUE(TRIM(LEFT(Sync!$P1118,FIND("/",Sync!$P1118)-1))),"")))</f>
        <v/>
      </c>
      <c r="AG1118">
        <f>IF(OR($AE1118="",$AF1118=""),"",IF(ISNUMBER(Sync!$P1118),INT(MOD(Sync!$P1118,10000)/100),IFERROR(VALUE(TRIM(LEFT(MID(Sync!$P1118,FIND("/",Sync!$P1118)+1,20),FIND("/",MID(Sync!$P1118,FIND("/",Sync!$P1118)+1,20))-1))),"")))</f>
        <v/>
      </c>
      <c r="AH1118">
        <f>IF(OR($AE1118="",$AF1118=""),"",IF(ISNUMBER(Sync!$P1118),MOD(Sync!$P1118,100),IFERROR(VALUE(TRIM(MID(MID(Sync!$P1118,FIND("/",Sync!$P1118)+1,20),FIND("/",MID(Sync!$P1118,FIND("/",Sync!$P1118)+1,20))+1,20))),"")))</f>
        <v/>
      </c>
      <c r="AI1118">
        <f>IF($AE1118="","",IF(OR($AF1118="",$AG1118="",$AH1118="",$AF1118&lt;1300,$AF1118&gt;1500,$AG1118&lt;1,$AG1118&gt;12,$AH1118&lt;1,$AH1118&gt;31),"نامعتبر",RIGHT("0000"&amp;$AF1118,4)&amp;"/"&amp;RIGHT("00"&amp;$AG1118,2)&amp;"/"&amp;RIGHT("00"&amp;$AH1118,2)))</f>
        <v/>
      </c>
      <c r="AJ1118">
        <f>IF($AE1118="","",IF(Sync!$Q1118="","0000",IF(AND(ISNUMBER(Sync!$Q1118),Sync!$Q1118&gt;=0,Sync!$Q1118&lt;1),RIGHT("00"&amp;HOUR(Sync!$Q1118),2)&amp;RIGHT("00"&amp;MINUTE(Sync!$Q1118),2),IFERROR(RIGHT("00"&amp;VALUE(LEFT(Sync!$Q1118,FIND(":",Sync!$Q1118)-1)),2)&amp;RIGHT("00"&amp;VALUE(MID(Sync!$Q1118,FIND(":",Sync!$Q1118)+1,2)),2),"0000"))))</f>
        <v/>
      </c>
      <c r="AK1118">
        <f>IF(OR($AE1118="",$AI1118="",$AI1118="نامعتبر"),"",LEFT($AI1118,4)&amp;MID($AI1118,6,2)&amp;RIGHT($AI1118,2)&amp;$AJ1118&amp;"|"&amp;"3"&amp;RIGHT("00000"&amp;1113,5))</f>
        <v/>
      </c>
      <c r="AL1118">
        <f>IF($AK1118="","",COUNTIFS(LdAParty,$AE1118,LdAType,1,LdAKey,"&lt;"&amp;$AK1118)+COUNTIFS(LdBMember,$AE1118,LdBKey,"&lt;"&amp;$AK1118)+COUNTIFS(LdCParty,$AE1118,LdCKey,"&lt;"&amp;$AK1118)+1)</f>
        <v/>
      </c>
      <c r="AM1118">
        <f>IF($AL1118="","",$AE1118&amp;"|"&amp;RIGHT("000000"&amp;$AL1118,6))</f>
        <v/>
      </c>
      <c r="AN1118">
        <f>IF($AE1118="","",IF(Sync!$W1118="",0,Sync!$W1118))</f>
        <v/>
      </c>
      <c r="AO1118">
        <f>IF($AE1118="","",IF(Sync!$X1118="",0,Sync!$X1118))</f>
        <v/>
      </c>
      <c r="AP1118">
        <f>IF($AE1118="","",Sync!$R1118)</f>
        <v/>
      </c>
      <c r="AQ1118">
        <f>IF($AE1118="","",Sync!$Y1118)</f>
        <v/>
      </c>
    </row>
    <row r="1119">
      <c r="A1119">
        <f>IF(OR(Wages!$B1122="",Wages!$E1122=""),"",Wages!$E1122)</f>
        <v/>
      </c>
      <c r="B1119">
        <f>IF($A1119="","",IF(Wages!$C1122="دستمزد گروهی",2,1))</f>
        <v/>
      </c>
      <c r="C1119">
        <f>IF($A1119="","",IF(ISNUMBER(Wages!$B1122),IF(AND(Wages!$B1122&gt;=10000101,Wages!$B1122&lt;=99991231),INT(Wages!$B1122/10000),""),IFERROR(VALUE(TRIM(LEFT(Wages!$B1122,FIND("/",Wages!$B1122)-1))),"")))</f>
        <v/>
      </c>
      <c r="D1119">
        <f>IF(OR($A1119="",$C1119=""),"",IF(ISNUMBER(Wages!$B1122),INT(MOD(Wages!$B1122,10000)/100),IFERROR(VALUE(TRIM(LEFT(MID(Wages!$B1122,FIND("/",Wages!$B1122)+1,20),FIND("/",MID(Wages!$B1122,FIND("/",Wages!$B1122)+1,20))-1))),"")))</f>
        <v/>
      </c>
      <c r="E1119">
        <f>IF(OR($A1119="",$C1119=""),"",IF(ISNUMBER(Wages!$B1122),MOD(Wages!$B1122,100),IFERROR(VALUE(TRIM(MID(MID(Wages!$B1122,FIND("/",Wages!$B1122)+1,20),FIND("/",MID(Wages!$B1122,FIND("/",Wages!$B1122)+1,20))+1,20))),"")))</f>
        <v/>
      </c>
      <c r="F1119">
        <f>IF($A1119="","",IF(OR($C1119="",$D1119="",$E1119="",$C1119&lt;1300,$C1119&gt;1500,$D1119&lt;1,$D1119&gt;12,$E1119&lt;1,$E1119&gt;31),"نامعتبر",RIGHT("0000"&amp;$C1119,4)&amp;"/"&amp;RIGHT("00"&amp;$D1119,2)&amp;"/"&amp;RIGHT("00"&amp;$E1119,2)))</f>
        <v/>
      </c>
      <c r="G1119">
        <f>IF(OR($A1119="",$F1119="",$F1119="نامعتبر"),"",LEFT($F1119,4)&amp;MID($F1119,6,2)&amp;RIGHT($F1119,2)&amp;"0000"&amp;"|"&amp;"1"&amp;RIGHT("00000"&amp;1114,5))</f>
        <v/>
      </c>
      <c r="H1119">
        <f>IF(OR($B1119&lt;&gt;1,$G1119=""),"",COUNTIFS(LdAParty,$A1119,LdAType,1,LdAKey,"&lt;"&amp;$G1119)+COUNTIFS(LdBMember,$A1119,LdBKey,"&lt;"&amp;$G1119)+COUNTIFS(LdCParty,$A1119,LdCKey,"&lt;"&amp;$G1119)+1)</f>
        <v/>
      </c>
      <c r="I1119">
        <f>IF($H1119="","",$A1119&amp;"|"&amp;RIGHT("000000"&amp;$H1119,6))</f>
        <v/>
      </c>
      <c r="J1119">
        <f>IF(OR($B1119&lt;&gt;2,$G1119=""),"",COUNTIFS(LdAParty,$A1119,LdAType,2,LdAKey,"&lt;"&amp;$G1119)+1)</f>
        <v/>
      </c>
      <c r="K1119">
        <f>IF($J1119="","",$A1119&amp;"|"&amp;RIGHT("000000"&amp;$J1119,6))</f>
        <v/>
      </c>
      <c r="L1119">
        <f>IF($A1119="","",IF(Wages!$G1122="",0,Wages!$G1122))</f>
        <v/>
      </c>
      <c r="M1119">
        <f>IF($A1119="","",Wages!$J1122)</f>
        <v/>
      </c>
      <c r="N1119">
        <f>IF($A1119="","",Wages!$D1122)</f>
        <v/>
      </c>
      <c r="P1119">
        <f>IF(OR(Shares!$B1122="",Shares!$C1122=""),"",Shares!$C1122)</f>
        <v/>
      </c>
      <c r="Q1119">
        <f>IF($P1119="","",Shares!$B1122)</f>
        <v/>
      </c>
      <c r="R1119">
        <f>IF($P1119="","",IFERROR(INDEX(WageParty,MATCH($Q1119,WageIds,0)),""))</f>
        <v/>
      </c>
      <c r="S1119">
        <f>IF($P1119="","",IFERROR(INDEX($F$6:$F$2005,MATCH($Q1119,WageIds,0)),""))</f>
        <v/>
      </c>
      <c r="T1119">
        <f>IF(OR($P1119="",$S1119="",$S1119="نامعتبر"),"",LEFT($S1119,4)&amp;MID($S1119,6,2)&amp;RIGHT($S1119,2)&amp;"0000"&amp;"|"&amp;"2"&amp;RIGHT("00000"&amp;1114,5))</f>
        <v/>
      </c>
      <c r="U1119">
        <f>IF($T1119="","",COUNTIFS(LdAParty,$P1119,LdAType,1,LdAKey,"&lt;"&amp;$T1119)+COUNTIFS(LdBMember,$P1119,LdBKey,"&lt;"&amp;$T1119)+COUNTIFS(LdCParty,$P1119,LdCKey,"&lt;"&amp;$T1119)+1)</f>
        <v/>
      </c>
      <c r="V1119">
        <f>IF($U1119="","",$P1119&amp;"|"&amp;RIGHT("000000"&amp;$U1119,6))</f>
        <v/>
      </c>
      <c r="W1119">
        <f>IF($T1119="","",COUNTIFS(LdBGroup,$R1119,LdBKey,"&lt;"&amp;$T1119)+1)</f>
        <v/>
      </c>
      <c r="X1119">
        <f>IF($W1119="","",$R1119&amp;"|"&amp;RIGHT("000000"&amp;$W1119,6))</f>
        <v/>
      </c>
      <c r="Y1119">
        <f>IF($P1119="","",IF(Shares!$E1122="",0,Shares!$E1122))</f>
        <v/>
      </c>
      <c r="Z1119">
        <f>IF($P1119="","",Shares!$H1122)</f>
        <v/>
      </c>
      <c r="AE1119">
        <f>IF(OR(Sync!$S1119="",Sync!$P1119=""),"",Sync!$S1119)</f>
        <v/>
      </c>
      <c r="AF1119">
        <f>IF($AE1119="","",IF(ISNUMBER(Sync!$P1119),IF(AND(Sync!$P1119&gt;=10000101,Sync!$P1119&lt;=99991231),INT(Sync!$P1119/10000),""),IFERROR(VALUE(TRIM(LEFT(Sync!$P1119,FIND("/",Sync!$P1119)-1))),"")))</f>
        <v/>
      </c>
      <c r="AG1119">
        <f>IF(OR($AE1119="",$AF1119=""),"",IF(ISNUMBER(Sync!$P1119),INT(MOD(Sync!$P1119,10000)/100),IFERROR(VALUE(TRIM(LEFT(MID(Sync!$P1119,FIND("/",Sync!$P1119)+1,20),FIND("/",MID(Sync!$P1119,FIND("/",Sync!$P1119)+1,20))-1))),"")))</f>
        <v/>
      </c>
      <c r="AH1119">
        <f>IF(OR($AE1119="",$AF1119=""),"",IF(ISNUMBER(Sync!$P1119),MOD(Sync!$P1119,100),IFERROR(VALUE(TRIM(MID(MID(Sync!$P1119,FIND("/",Sync!$P1119)+1,20),FIND("/",MID(Sync!$P1119,FIND("/",Sync!$P1119)+1,20))+1,20))),"")))</f>
        <v/>
      </c>
      <c r="AI1119">
        <f>IF($AE1119="","",IF(OR($AF1119="",$AG1119="",$AH1119="",$AF1119&lt;1300,$AF1119&gt;1500,$AG1119&lt;1,$AG1119&gt;12,$AH1119&lt;1,$AH1119&gt;31),"نامعتبر",RIGHT("0000"&amp;$AF1119,4)&amp;"/"&amp;RIGHT("00"&amp;$AG1119,2)&amp;"/"&amp;RIGHT("00"&amp;$AH1119,2)))</f>
        <v/>
      </c>
      <c r="AJ1119">
        <f>IF($AE1119="","",IF(Sync!$Q1119="","0000",IF(AND(ISNUMBER(Sync!$Q1119),Sync!$Q1119&gt;=0,Sync!$Q1119&lt;1),RIGHT("00"&amp;HOUR(Sync!$Q1119),2)&amp;RIGHT("00"&amp;MINUTE(Sync!$Q1119),2),IFERROR(RIGHT("00"&amp;VALUE(LEFT(Sync!$Q1119,FIND(":",Sync!$Q1119)-1)),2)&amp;RIGHT("00"&amp;VALUE(MID(Sync!$Q1119,FIND(":",Sync!$Q1119)+1,2)),2),"0000"))))</f>
        <v/>
      </c>
      <c r="AK1119">
        <f>IF(OR($AE1119="",$AI1119="",$AI1119="نامعتبر"),"",LEFT($AI1119,4)&amp;MID($AI1119,6,2)&amp;RIGHT($AI1119,2)&amp;$AJ1119&amp;"|"&amp;"3"&amp;RIGHT("00000"&amp;1114,5))</f>
        <v/>
      </c>
      <c r="AL1119">
        <f>IF($AK1119="","",COUNTIFS(LdAParty,$AE1119,LdAType,1,LdAKey,"&lt;"&amp;$AK1119)+COUNTIFS(LdBMember,$AE1119,LdBKey,"&lt;"&amp;$AK1119)+COUNTIFS(LdCParty,$AE1119,LdCKey,"&lt;"&amp;$AK1119)+1)</f>
        <v/>
      </c>
      <c r="AM1119">
        <f>IF($AL1119="","",$AE1119&amp;"|"&amp;RIGHT("000000"&amp;$AL1119,6))</f>
        <v/>
      </c>
      <c r="AN1119">
        <f>IF($AE1119="","",IF(Sync!$W1119="",0,Sync!$W1119))</f>
        <v/>
      </c>
      <c r="AO1119">
        <f>IF($AE1119="","",IF(Sync!$X1119="",0,Sync!$X1119))</f>
        <v/>
      </c>
      <c r="AP1119">
        <f>IF($AE1119="","",Sync!$R1119)</f>
        <v/>
      </c>
      <c r="AQ1119">
        <f>IF($AE1119="","",Sync!$Y1119)</f>
        <v/>
      </c>
    </row>
    <row r="1120">
      <c r="A1120">
        <f>IF(OR(Wages!$B1123="",Wages!$E1123=""),"",Wages!$E1123)</f>
        <v/>
      </c>
      <c r="B1120">
        <f>IF($A1120="","",IF(Wages!$C1123="دستمزد گروهی",2,1))</f>
        <v/>
      </c>
      <c r="C1120">
        <f>IF($A1120="","",IF(ISNUMBER(Wages!$B1123),IF(AND(Wages!$B1123&gt;=10000101,Wages!$B1123&lt;=99991231),INT(Wages!$B1123/10000),""),IFERROR(VALUE(TRIM(LEFT(Wages!$B1123,FIND("/",Wages!$B1123)-1))),"")))</f>
        <v/>
      </c>
      <c r="D1120">
        <f>IF(OR($A1120="",$C1120=""),"",IF(ISNUMBER(Wages!$B1123),INT(MOD(Wages!$B1123,10000)/100),IFERROR(VALUE(TRIM(LEFT(MID(Wages!$B1123,FIND("/",Wages!$B1123)+1,20),FIND("/",MID(Wages!$B1123,FIND("/",Wages!$B1123)+1,20))-1))),"")))</f>
        <v/>
      </c>
      <c r="E1120">
        <f>IF(OR($A1120="",$C1120=""),"",IF(ISNUMBER(Wages!$B1123),MOD(Wages!$B1123,100),IFERROR(VALUE(TRIM(MID(MID(Wages!$B1123,FIND("/",Wages!$B1123)+1,20),FIND("/",MID(Wages!$B1123,FIND("/",Wages!$B1123)+1,20))+1,20))),"")))</f>
        <v/>
      </c>
      <c r="F1120">
        <f>IF($A1120="","",IF(OR($C1120="",$D1120="",$E1120="",$C1120&lt;1300,$C1120&gt;1500,$D1120&lt;1,$D1120&gt;12,$E1120&lt;1,$E1120&gt;31),"نامعتبر",RIGHT("0000"&amp;$C1120,4)&amp;"/"&amp;RIGHT("00"&amp;$D1120,2)&amp;"/"&amp;RIGHT("00"&amp;$E1120,2)))</f>
        <v/>
      </c>
      <c r="G1120">
        <f>IF(OR($A1120="",$F1120="",$F1120="نامعتبر"),"",LEFT($F1120,4)&amp;MID($F1120,6,2)&amp;RIGHT($F1120,2)&amp;"0000"&amp;"|"&amp;"1"&amp;RIGHT("00000"&amp;1115,5))</f>
        <v/>
      </c>
      <c r="H1120">
        <f>IF(OR($B1120&lt;&gt;1,$G1120=""),"",COUNTIFS(LdAParty,$A1120,LdAType,1,LdAKey,"&lt;"&amp;$G1120)+COUNTIFS(LdBMember,$A1120,LdBKey,"&lt;"&amp;$G1120)+COUNTIFS(LdCParty,$A1120,LdCKey,"&lt;"&amp;$G1120)+1)</f>
        <v/>
      </c>
      <c r="I1120">
        <f>IF($H1120="","",$A1120&amp;"|"&amp;RIGHT("000000"&amp;$H1120,6))</f>
        <v/>
      </c>
      <c r="J1120">
        <f>IF(OR($B1120&lt;&gt;2,$G1120=""),"",COUNTIFS(LdAParty,$A1120,LdAType,2,LdAKey,"&lt;"&amp;$G1120)+1)</f>
        <v/>
      </c>
      <c r="K1120">
        <f>IF($J1120="","",$A1120&amp;"|"&amp;RIGHT("000000"&amp;$J1120,6))</f>
        <v/>
      </c>
      <c r="L1120">
        <f>IF($A1120="","",IF(Wages!$G1123="",0,Wages!$G1123))</f>
        <v/>
      </c>
      <c r="M1120">
        <f>IF($A1120="","",Wages!$J1123)</f>
        <v/>
      </c>
      <c r="N1120">
        <f>IF($A1120="","",Wages!$D1123)</f>
        <v/>
      </c>
      <c r="P1120">
        <f>IF(OR(Shares!$B1123="",Shares!$C1123=""),"",Shares!$C1123)</f>
        <v/>
      </c>
      <c r="Q1120">
        <f>IF($P1120="","",Shares!$B1123)</f>
        <v/>
      </c>
      <c r="R1120">
        <f>IF($P1120="","",IFERROR(INDEX(WageParty,MATCH($Q1120,WageIds,0)),""))</f>
        <v/>
      </c>
      <c r="S1120">
        <f>IF($P1120="","",IFERROR(INDEX($F$6:$F$2005,MATCH($Q1120,WageIds,0)),""))</f>
        <v/>
      </c>
      <c r="T1120">
        <f>IF(OR($P1120="",$S1120="",$S1120="نامعتبر"),"",LEFT($S1120,4)&amp;MID($S1120,6,2)&amp;RIGHT($S1120,2)&amp;"0000"&amp;"|"&amp;"2"&amp;RIGHT("00000"&amp;1115,5))</f>
        <v/>
      </c>
      <c r="U1120">
        <f>IF($T1120="","",COUNTIFS(LdAParty,$P1120,LdAType,1,LdAKey,"&lt;"&amp;$T1120)+COUNTIFS(LdBMember,$P1120,LdBKey,"&lt;"&amp;$T1120)+COUNTIFS(LdCParty,$P1120,LdCKey,"&lt;"&amp;$T1120)+1)</f>
        <v/>
      </c>
      <c r="V1120">
        <f>IF($U1120="","",$P1120&amp;"|"&amp;RIGHT("000000"&amp;$U1120,6))</f>
        <v/>
      </c>
      <c r="W1120">
        <f>IF($T1120="","",COUNTIFS(LdBGroup,$R1120,LdBKey,"&lt;"&amp;$T1120)+1)</f>
        <v/>
      </c>
      <c r="X1120">
        <f>IF($W1120="","",$R1120&amp;"|"&amp;RIGHT("000000"&amp;$W1120,6))</f>
        <v/>
      </c>
      <c r="Y1120">
        <f>IF($P1120="","",IF(Shares!$E1123="",0,Shares!$E1123))</f>
        <v/>
      </c>
      <c r="Z1120">
        <f>IF($P1120="","",Shares!$H1123)</f>
        <v/>
      </c>
      <c r="AE1120">
        <f>IF(OR(Sync!$S1120="",Sync!$P1120=""),"",Sync!$S1120)</f>
        <v/>
      </c>
      <c r="AF1120">
        <f>IF($AE1120="","",IF(ISNUMBER(Sync!$P1120),IF(AND(Sync!$P1120&gt;=10000101,Sync!$P1120&lt;=99991231),INT(Sync!$P1120/10000),""),IFERROR(VALUE(TRIM(LEFT(Sync!$P1120,FIND("/",Sync!$P1120)-1))),"")))</f>
        <v/>
      </c>
      <c r="AG1120">
        <f>IF(OR($AE1120="",$AF1120=""),"",IF(ISNUMBER(Sync!$P1120),INT(MOD(Sync!$P1120,10000)/100),IFERROR(VALUE(TRIM(LEFT(MID(Sync!$P1120,FIND("/",Sync!$P1120)+1,20),FIND("/",MID(Sync!$P1120,FIND("/",Sync!$P1120)+1,20))-1))),"")))</f>
        <v/>
      </c>
      <c r="AH1120">
        <f>IF(OR($AE1120="",$AF1120=""),"",IF(ISNUMBER(Sync!$P1120),MOD(Sync!$P1120,100),IFERROR(VALUE(TRIM(MID(MID(Sync!$P1120,FIND("/",Sync!$P1120)+1,20),FIND("/",MID(Sync!$P1120,FIND("/",Sync!$P1120)+1,20))+1,20))),"")))</f>
        <v/>
      </c>
      <c r="AI1120">
        <f>IF($AE1120="","",IF(OR($AF1120="",$AG1120="",$AH1120="",$AF1120&lt;1300,$AF1120&gt;1500,$AG1120&lt;1,$AG1120&gt;12,$AH1120&lt;1,$AH1120&gt;31),"نامعتبر",RIGHT("0000"&amp;$AF1120,4)&amp;"/"&amp;RIGHT("00"&amp;$AG1120,2)&amp;"/"&amp;RIGHT("00"&amp;$AH1120,2)))</f>
        <v/>
      </c>
      <c r="AJ1120">
        <f>IF($AE1120="","",IF(Sync!$Q1120="","0000",IF(AND(ISNUMBER(Sync!$Q1120),Sync!$Q1120&gt;=0,Sync!$Q1120&lt;1),RIGHT("00"&amp;HOUR(Sync!$Q1120),2)&amp;RIGHT("00"&amp;MINUTE(Sync!$Q1120),2),IFERROR(RIGHT("00"&amp;VALUE(LEFT(Sync!$Q1120,FIND(":",Sync!$Q1120)-1)),2)&amp;RIGHT("00"&amp;VALUE(MID(Sync!$Q1120,FIND(":",Sync!$Q1120)+1,2)),2),"0000"))))</f>
        <v/>
      </c>
      <c r="AK1120">
        <f>IF(OR($AE1120="",$AI1120="",$AI1120="نامعتبر"),"",LEFT($AI1120,4)&amp;MID($AI1120,6,2)&amp;RIGHT($AI1120,2)&amp;$AJ1120&amp;"|"&amp;"3"&amp;RIGHT("00000"&amp;1115,5))</f>
        <v/>
      </c>
      <c r="AL1120">
        <f>IF($AK1120="","",COUNTIFS(LdAParty,$AE1120,LdAType,1,LdAKey,"&lt;"&amp;$AK1120)+COUNTIFS(LdBMember,$AE1120,LdBKey,"&lt;"&amp;$AK1120)+COUNTIFS(LdCParty,$AE1120,LdCKey,"&lt;"&amp;$AK1120)+1)</f>
        <v/>
      </c>
      <c r="AM1120">
        <f>IF($AL1120="","",$AE1120&amp;"|"&amp;RIGHT("000000"&amp;$AL1120,6))</f>
        <v/>
      </c>
      <c r="AN1120">
        <f>IF($AE1120="","",IF(Sync!$W1120="",0,Sync!$W1120))</f>
        <v/>
      </c>
      <c r="AO1120">
        <f>IF($AE1120="","",IF(Sync!$X1120="",0,Sync!$X1120))</f>
        <v/>
      </c>
      <c r="AP1120">
        <f>IF($AE1120="","",Sync!$R1120)</f>
        <v/>
      </c>
      <c r="AQ1120">
        <f>IF($AE1120="","",Sync!$Y1120)</f>
        <v/>
      </c>
    </row>
    <row r="1121">
      <c r="A1121">
        <f>IF(OR(Wages!$B1124="",Wages!$E1124=""),"",Wages!$E1124)</f>
        <v/>
      </c>
      <c r="B1121">
        <f>IF($A1121="","",IF(Wages!$C1124="دستمزد گروهی",2,1))</f>
        <v/>
      </c>
      <c r="C1121">
        <f>IF($A1121="","",IF(ISNUMBER(Wages!$B1124),IF(AND(Wages!$B1124&gt;=10000101,Wages!$B1124&lt;=99991231),INT(Wages!$B1124/10000),""),IFERROR(VALUE(TRIM(LEFT(Wages!$B1124,FIND("/",Wages!$B1124)-1))),"")))</f>
        <v/>
      </c>
      <c r="D1121">
        <f>IF(OR($A1121="",$C1121=""),"",IF(ISNUMBER(Wages!$B1124),INT(MOD(Wages!$B1124,10000)/100),IFERROR(VALUE(TRIM(LEFT(MID(Wages!$B1124,FIND("/",Wages!$B1124)+1,20),FIND("/",MID(Wages!$B1124,FIND("/",Wages!$B1124)+1,20))-1))),"")))</f>
        <v/>
      </c>
      <c r="E1121">
        <f>IF(OR($A1121="",$C1121=""),"",IF(ISNUMBER(Wages!$B1124),MOD(Wages!$B1124,100),IFERROR(VALUE(TRIM(MID(MID(Wages!$B1124,FIND("/",Wages!$B1124)+1,20),FIND("/",MID(Wages!$B1124,FIND("/",Wages!$B1124)+1,20))+1,20))),"")))</f>
        <v/>
      </c>
      <c r="F1121">
        <f>IF($A1121="","",IF(OR($C1121="",$D1121="",$E1121="",$C1121&lt;1300,$C1121&gt;1500,$D1121&lt;1,$D1121&gt;12,$E1121&lt;1,$E1121&gt;31),"نامعتبر",RIGHT("0000"&amp;$C1121,4)&amp;"/"&amp;RIGHT("00"&amp;$D1121,2)&amp;"/"&amp;RIGHT("00"&amp;$E1121,2)))</f>
        <v/>
      </c>
      <c r="G1121">
        <f>IF(OR($A1121="",$F1121="",$F1121="نامعتبر"),"",LEFT($F1121,4)&amp;MID($F1121,6,2)&amp;RIGHT($F1121,2)&amp;"0000"&amp;"|"&amp;"1"&amp;RIGHT("00000"&amp;1116,5))</f>
        <v/>
      </c>
      <c r="H1121">
        <f>IF(OR($B1121&lt;&gt;1,$G1121=""),"",COUNTIFS(LdAParty,$A1121,LdAType,1,LdAKey,"&lt;"&amp;$G1121)+COUNTIFS(LdBMember,$A1121,LdBKey,"&lt;"&amp;$G1121)+COUNTIFS(LdCParty,$A1121,LdCKey,"&lt;"&amp;$G1121)+1)</f>
        <v/>
      </c>
      <c r="I1121">
        <f>IF($H1121="","",$A1121&amp;"|"&amp;RIGHT("000000"&amp;$H1121,6))</f>
        <v/>
      </c>
      <c r="J1121">
        <f>IF(OR($B1121&lt;&gt;2,$G1121=""),"",COUNTIFS(LdAParty,$A1121,LdAType,2,LdAKey,"&lt;"&amp;$G1121)+1)</f>
        <v/>
      </c>
      <c r="K1121">
        <f>IF($J1121="","",$A1121&amp;"|"&amp;RIGHT("000000"&amp;$J1121,6))</f>
        <v/>
      </c>
      <c r="L1121">
        <f>IF($A1121="","",IF(Wages!$G1124="",0,Wages!$G1124))</f>
        <v/>
      </c>
      <c r="M1121">
        <f>IF($A1121="","",Wages!$J1124)</f>
        <v/>
      </c>
      <c r="N1121">
        <f>IF($A1121="","",Wages!$D1124)</f>
        <v/>
      </c>
      <c r="P1121">
        <f>IF(OR(Shares!$B1124="",Shares!$C1124=""),"",Shares!$C1124)</f>
        <v/>
      </c>
      <c r="Q1121">
        <f>IF($P1121="","",Shares!$B1124)</f>
        <v/>
      </c>
      <c r="R1121">
        <f>IF($P1121="","",IFERROR(INDEX(WageParty,MATCH($Q1121,WageIds,0)),""))</f>
        <v/>
      </c>
      <c r="S1121">
        <f>IF($P1121="","",IFERROR(INDEX($F$6:$F$2005,MATCH($Q1121,WageIds,0)),""))</f>
        <v/>
      </c>
      <c r="T1121">
        <f>IF(OR($P1121="",$S1121="",$S1121="نامعتبر"),"",LEFT($S1121,4)&amp;MID($S1121,6,2)&amp;RIGHT($S1121,2)&amp;"0000"&amp;"|"&amp;"2"&amp;RIGHT("00000"&amp;1116,5))</f>
        <v/>
      </c>
      <c r="U1121">
        <f>IF($T1121="","",COUNTIFS(LdAParty,$P1121,LdAType,1,LdAKey,"&lt;"&amp;$T1121)+COUNTIFS(LdBMember,$P1121,LdBKey,"&lt;"&amp;$T1121)+COUNTIFS(LdCParty,$P1121,LdCKey,"&lt;"&amp;$T1121)+1)</f>
        <v/>
      </c>
      <c r="V1121">
        <f>IF($U1121="","",$P1121&amp;"|"&amp;RIGHT("000000"&amp;$U1121,6))</f>
        <v/>
      </c>
      <c r="W1121">
        <f>IF($T1121="","",COUNTIFS(LdBGroup,$R1121,LdBKey,"&lt;"&amp;$T1121)+1)</f>
        <v/>
      </c>
      <c r="X1121">
        <f>IF($W1121="","",$R1121&amp;"|"&amp;RIGHT("000000"&amp;$W1121,6))</f>
        <v/>
      </c>
      <c r="Y1121">
        <f>IF($P1121="","",IF(Shares!$E1124="",0,Shares!$E1124))</f>
        <v/>
      </c>
      <c r="Z1121">
        <f>IF($P1121="","",Shares!$H1124)</f>
        <v/>
      </c>
      <c r="AE1121">
        <f>IF(OR(Sync!$S1121="",Sync!$P1121=""),"",Sync!$S1121)</f>
        <v/>
      </c>
      <c r="AF1121">
        <f>IF($AE1121="","",IF(ISNUMBER(Sync!$P1121),IF(AND(Sync!$P1121&gt;=10000101,Sync!$P1121&lt;=99991231),INT(Sync!$P1121/10000),""),IFERROR(VALUE(TRIM(LEFT(Sync!$P1121,FIND("/",Sync!$P1121)-1))),"")))</f>
        <v/>
      </c>
      <c r="AG1121">
        <f>IF(OR($AE1121="",$AF1121=""),"",IF(ISNUMBER(Sync!$P1121),INT(MOD(Sync!$P1121,10000)/100),IFERROR(VALUE(TRIM(LEFT(MID(Sync!$P1121,FIND("/",Sync!$P1121)+1,20),FIND("/",MID(Sync!$P1121,FIND("/",Sync!$P1121)+1,20))-1))),"")))</f>
        <v/>
      </c>
      <c r="AH1121">
        <f>IF(OR($AE1121="",$AF1121=""),"",IF(ISNUMBER(Sync!$P1121),MOD(Sync!$P1121,100),IFERROR(VALUE(TRIM(MID(MID(Sync!$P1121,FIND("/",Sync!$P1121)+1,20),FIND("/",MID(Sync!$P1121,FIND("/",Sync!$P1121)+1,20))+1,20))),"")))</f>
        <v/>
      </c>
      <c r="AI1121">
        <f>IF($AE1121="","",IF(OR($AF1121="",$AG1121="",$AH1121="",$AF1121&lt;1300,$AF1121&gt;1500,$AG1121&lt;1,$AG1121&gt;12,$AH1121&lt;1,$AH1121&gt;31),"نامعتبر",RIGHT("0000"&amp;$AF1121,4)&amp;"/"&amp;RIGHT("00"&amp;$AG1121,2)&amp;"/"&amp;RIGHT("00"&amp;$AH1121,2)))</f>
        <v/>
      </c>
      <c r="AJ1121">
        <f>IF($AE1121="","",IF(Sync!$Q1121="","0000",IF(AND(ISNUMBER(Sync!$Q1121),Sync!$Q1121&gt;=0,Sync!$Q1121&lt;1),RIGHT("00"&amp;HOUR(Sync!$Q1121),2)&amp;RIGHT("00"&amp;MINUTE(Sync!$Q1121),2),IFERROR(RIGHT("00"&amp;VALUE(LEFT(Sync!$Q1121,FIND(":",Sync!$Q1121)-1)),2)&amp;RIGHT("00"&amp;VALUE(MID(Sync!$Q1121,FIND(":",Sync!$Q1121)+1,2)),2),"0000"))))</f>
        <v/>
      </c>
      <c r="AK1121">
        <f>IF(OR($AE1121="",$AI1121="",$AI1121="نامعتبر"),"",LEFT($AI1121,4)&amp;MID($AI1121,6,2)&amp;RIGHT($AI1121,2)&amp;$AJ1121&amp;"|"&amp;"3"&amp;RIGHT("00000"&amp;1116,5))</f>
        <v/>
      </c>
      <c r="AL1121">
        <f>IF($AK1121="","",COUNTIFS(LdAParty,$AE1121,LdAType,1,LdAKey,"&lt;"&amp;$AK1121)+COUNTIFS(LdBMember,$AE1121,LdBKey,"&lt;"&amp;$AK1121)+COUNTIFS(LdCParty,$AE1121,LdCKey,"&lt;"&amp;$AK1121)+1)</f>
        <v/>
      </c>
      <c r="AM1121">
        <f>IF($AL1121="","",$AE1121&amp;"|"&amp;RIGHT("000000"&amp;$AL1121,6))</f>
        <v/>
      </c>
      <c r="AN1121">
        <f>IF($AE1121="","",IF(Sync!$W1121="",0,Sync!$W1121))</f>
        <v/>
      </c>
      <c r="AO1121">
        <f>IF($AE1121="","",IF(Sync!$X1121="",0,Sync!$X1121))</f>
        <v/>
      </c>
      <c r="AP1121">
        <f>IF($AE1121="","",Sync!$R1121)</f>
        <v/>
      </c>
      <c r="AQ1121">
        <f>IF($AE1121="","",Sync!$Y1121)</f>
        <v/>
      </c>
    </row>
    <row r="1122">
      <c r="A1122">
        <f>IF(OR(Wages!$B1125="",Wages!$E1125=""),"",Wages!$E1125)</f>
        <v/>
      </c>
      <c r="B1122">
        <f>IF($A1122="","",IF(Wages!$C1125="دستمزد گروهی",2,1))</f>
        <v/>
      </c>
      <c r="C1122">
        <f>IF($A1122="","",IF(ISNUMBER(Wages!$B1125),IF(AND(Wages!$B1125&gt;=10000101,Wages!$B1125&lt;=99991231),INT(Wages!$B1125/10000),""),IFERROR(VALUE(TRIM(LEFT(Wages!$B1125,FIND("/",Wages!$B1125)-1))),"")))</f>
        <v/>
      </c>
      <c r="D1122">
        <f>IF(OR($A1122="",$C1122=""),"",IF(ISNUMBER(Wages!$B1125),INT(MOD(Wages!$B1125,10000)/100),IFERROR(VALUE(TRIM(LEFT(MID(Wages!$B1125,FIND("/",Wages!$B1125)+1,20),FIND("/",MID(Wages!$B1125,FIND("/",Wages!$B1125)+1,20))-1))),"")))</f>
        <v/>
      </c>
      <c r="E1122">
        <f>IF(OR($A1122="",$C1122=""),"",IF(ISNUMBER(Wages!$B1125),MOD(Wages!$B1125,100),IFERROR(VALUE(TRIM(MID(MID(Wages!$B1125,FIND("/",Wages!$B1125)+1,20),FIND("/",MID(Wages!$B1125,FIND("/",Wages!$B1125)+1,20))+1,20))),"")))</f>
        <v/>
      </c>
      <c r="F1122">
        <f>IF($A1122="","",IF(OR($C1122="",$D1122="",$E1122="",$C1122&lt;1300,$C1122&gt;1500,$D1122&lt;1,$D1122&gt;12,$E1122&lt;1,$E1122&gt;31),"نامعتبر",RIGHT("0000"&amp;$C1122,4)&amp;"/"&amp;RIGHT("00"&amp;$D1122,2)&amp;"/"&amp;RIGHT("00"&amp;$E1122,2)))</f>
        <v/>
      </c>
      <c r="G1122">
        <f>IF(OR($A1122="",$F1122="",$F1122="نامعتبر"),"",LEFT($F1122,4)&amp;MID($F1122,6,2)&amp;RIGHT($F1122,2)&amp;"0000"&amp;"|"&amp;"1"&amp;RIGHT("00000"&amp;1117,5))</f>
        <v/>
      </c>
      <c r="H1122">
        <f>IF(OR($B1122&lt;&gt;1,$G1122=""),"",COUNTIFS(LdAParty,$A1122,LdAType,1,LdAKey,"&lt;"&amp;$G1122)+COUNTIFS(LdBMember,$A1122,LdBKey,"&lt;"&amp;$G1122)+COUNTIFS(LdCParty,$A1122,LdCKey,"&lt;"&amp;$G1122)+1)</f>
        <v/>
      </c>
      <c r="I1122">
        <f>IF($H1122="","",$A1122&amp;"|"&amp;RIGHT("000000"&amp;$H1122,6))</f>
        <v/>
      </c>
      <c r="J1122">
        <f>IF(OR($B1122&lt;&gt;2,$G1122=""),"",COUNTIFS(LdAParty,$A1122,LdAType,2,LdAKey,"&lt;"&amp;$G1122)+1)</f>
        <v/>
      </c>
      <c r="K1122">
        <f>IF($J1122="","",$A1122&amp;"|"&amp;RIGHT("000000"&amp;$J1122,6))</f>
        <v/>
      </c>
      <c r="L1122">
        <f>IF($A1122="","",IF(Wages!$G1125="",0,Wages!$G1125))</f>
        <v/>
      </c>
      <c r="M1122">
        <f>IF($A1122="","",Wages!$J1125)</f>
        <v/>
      </c>
      <c r="N1122">
        <f>IF($A1122="","",Wages!$D1125)</f>
        <v/>
      </c>
      <c r="P1122">
        <f>IF(OR(Shares!$B1125="",Shares!$C1125=""),"",Shares!$C1125)</f>
        <v/>
      </c>
      <c r="Q1122">
        <f>IF($P1122="","",Shares!$B1125)</f>
        <v/>
      </c>
      <c r="R1122">
        <f>IF($P1122="","",IFERROR(INDEX(WageParty,MATCH($Q1122,WageIds,0)),""))</f>
        <v/>
      </c>
      <c r="S1122">
        <f>IF($P1122="","",IFERROR(INDEX($F$6:$F$2005,MATCH($Q1122,WageIds,0)),""))</f>
        <v/>
      </c>
      <c r="T1122">
        <f>IF(OR($P1122="",$S1122="",$S1122="نامعتبر"),"",LEFT($S1122,4)&amp;MID($S1122,6,2)&amp;RIGHT($S1122,2)&amp;"0000"&amp;"|"&amp;"2"&amp;RIGHT("00000"&amp;1117,5))</f>
        <v/>
      </c>
      <c r="U1122">
        <f>IF($T1122="","",COUNTIFS(LdAParty,$P1122,LdAType,1,LdAKey,"&lt;"&amp;$T1122)+COUNTIFS(LdBMember,$P1122,LdBKey,"&lt;"&amp;$T1122)+COUNTIFS(LdCParty,$P1122,LdCKey,"&lt;"&amp;$T1122)+1)</f>
        <v/>
      </c>
      <c r="V1122">
        <f>IF($U1122="","",$P1122&amp;"|"&amp;RIGHT("000000"&amp;$U1122,6))</f>
        <v/>
      </c>
      <c r="W1122">
        <f>IF($T1122="","",COUNTIFS(LdBGroup,$R1122,LdBKey,"&lt;"&amp;$T1122)+1)</f>
        <v/>
      </c>
      <c r="X1122">
        <f>IF($W1122="","",$R1122&amp;"|"&amp;RIGHT("000000"&amp;$W1122,6))</f>
        <v/>
      </c>
      <c r="Y1122">
        <f>IF($P1122="","",IF(Shares!$E1125="",0,Shares!$E1125))</f>
        <v/>
      </c>
      <c r="Z1122">
        <f>IF($P1122="","",Shares!$H1125)</f>
        <v/>
      </c>
      <c r="AE1122">
        <f>IF(OR(Sync!$S1122="",Sync!$P1122=""),"",Sync!$S1122)</f>
        <v/>
      </c>
      <c r="AF1122">
        <f>IF($AE1122="","",IF(ISNUMBER(Sync!$P1122),IF(AND(Sync!$P1122&gt;=10000101,Sync!$P1122&lt;=99991231),INT(Sync!$P1122/10000),""),IFERROR(VALUE(TRIM(LEFT(Sync!$P1122,FIND("/",Sync!$P1122)-1))),"")))</f>
        <v/>
      </c>
      <c r="AG1122">
        <f>IF(OR($AE1122="",$AF1122=""),"",IF(ISNUMBER(Sync!$P1122),INT(MOD(Sync!$P1122,10000)/100),IFERROR(VALUE(TRIM(LEFT(MID(Sync!$P1122,FIND("/",Sync!$P1122)+1,20),FIND("/",MID(Sync!$P1122,FIND("/",Sync!$P1122)+1,20))-1))),"")))</f>
        <v/>
      </c>
      <c r="AH1122">
        <f>IF(OR($AE1122="",$AF1122=""),"",IF(ISNUMBER(Sync!$P1122),MOD(Sync!$P1122,100),IFERROR(VALUE(TRIM(MID(MID(Sync!$P1122,FIND("/",Sync!$P1122)+1,20),FIND("/",MID(Sync!$P1122,FIND("/",Sync!$P1122)+1,20))+1,20))),"")))</f>
        <v/>
      </c>
      <c r="AI1122">
        <f>IF($AE1122="","",IF(OR($AF1122="",$AG1122="",$AH1122="",$AF1122&lt;1300,$AF1122&gt;1500,$AG1122&lt;1,$AG1122&gt;12,$AH1122&lt;1,$AH1122&gt;31),"نامعتبر",RIGHT("0000"&amp;$AF1122,4)&amp;"/"&amp;RIGHT("00"&amp;$AG1122,2)&amp;"/"&amp;RIGHT("00"&amp;$AH1122,2)))</f>
        <v/>
      </c>
      <c r="AJ1122">
        <f>IF($AE1122="","",IF(Sync!$Q1122="","0000",IF(AND(ISNUMBER(Sync!$Q1122),Sync!$Q1122&gt;=0,Sync!$Q1122&lt;1),RIGHT("00"&amp;HOUR(Sync!$Q1122),2)&amp;RIGHT("00"&amp;MINUTE(Sync!$Q1122),2),IFERROR(RIGHT("00"&amp;VALUE(LEFT(Sync!$Q1122,FIND(":",Sync!$Q1122)-1)),2)&amp;RIGHT("00"&amp;VALUE(MID(Sync!$Q1122,FIND(":",Sync!$Q1122)+1,2)),2),"0000"))))</f>
        <v/>
      </c>
      <c r="AK1122">
        <f>IF(OR($AE1122="",$AI1122="",$AI1122="نامعتبر"),"",LEFT($AI1122,4)&amp;MID($AI1122,6,2)&amp;RIGHT($AI1122,2)&amp;$AJ1122&amp;"|"&amp;"3"&amp;RIGHT("00000"&amp;1117,5))</f>
        <v/>
      </c>
      <c r="AL1122">
        <f>IF($AK1122="","",COUNTIFS(LdAParty,$AE1122,LdAType,1,LdAKey,"&lt;"&amp;$AK1122)+COUNTIFS(LdBMember,$AE1122,LdBKey,"&lt;"&amp;$AK1122)+COUNTIFS(LdCParty,$AE1122,LdCKey,"&lt;"&amp;$AK1122)+1)</f>
        <v/>
      </c>
      <c r="AM1122">
        <f>IF($AL1122="","",$AE1122&amp;"|"&amp;RIGHT("000000"&amp;$AL1122,6))</f>
        <v/>
      </c>
      <c r="AN1122">
        <f>IF($AE1122="","",IF(Sync!$W1122="",0,Sync!$W1122))</f>
        <v/>
      </c>
      <c r="AO1122">
        <f>IF($AE1122="","",IF(Sync!$X1122="",0,Sync!$X1122))</f>
        <v/>
      </c>
      <c r="AP1122">
        <f>IF($AE1122="","",Sync!$R1122)</f>
        <v/>
      </c>
      <c r="AQ1122">
        <f>IF($AE1122="","",Sync!$Y1122)</f>
        <v/>
      </c>
    </row>
    <row r="1123">
      <c r="A1123">
        <f>IF(OR(Wages!$B1126="",Wages!$E1126=""),"",Wages!$E1126)</f>
        <v/>
      </c>
      <c r="B1123">
        <f>IF($A1123="","",IF(Wages!$C1126="دستمزد گروهی",2,1))</f>
        <v/>
      </c>
      <c r="C1123">
        <f>IF($A1123="","",IF(ISNUMBER(Wages!$B1126),IF(AND(Wages!$B1126&gt;=10000101,Wages!$B1126&lt;=99991231),INT(Wages!$B1126/10000),""),IFERROR(VALUE(TRIM(LEFT(Wages!$B1126,FIND("/",Wages!$B1126)-1))),"")))</f>
        <v/>
      </c>
      <c r="D1123">
        <f>IF(OR($A1123="",$C1123=""),"",IF(ISNUMBER(Wages!$B1126),INT(MOD(Wages!$B1126,10000)/100),IFERROR(VALUE(TRIM(LEFT(MID(Wages!$B1126,FIND("/",Wages!$B1126)+1,20),FIND("/",MID(Wages!$B1126,FIND("/",Wages!$B1126)+1,20))-1))),"")))</f>
        <v/>
      </c>
      <c r="E1123">
        <f>IF(OR($A1123="",$C1123=""),"",IF(ISNUMBER(Wages!$B1126),MOD(Wages!$B1126,100),IFERROR(VALUE(TRIM(MID(MID(Wages!$B1126,FIND("/",Wages!$B1126)+1,20),FIND("/",MID(Wages!$B1126,FIND("/",Wages!$B1126)+1,20))+1,20))),"")))</f>
        <v/>
      </c>
      <c r="F1123">
        <f>IF($A1123="","",IF(OR($C1123="",$D1123="",$E1123="",$C1123&lt;1300,$C1123&gt;1500,$D1123&lt;1,$D1123&gt;12,$E1123&lt;1,$E1123&gt;31),"نامعتبر",RIGHT("0000"&amp;$C1123,4)&amp;"/"&amp;RIGHT("00"&amp;$D1123,2)&amp;"/"&amp;RIGHT("00"&amp;$E1123,2)))</f>
        <v/>
      </c>
      <c r="G1123">
        <f>IF(OR($A1123="",$F1123="",$F1123="نامعتبر"),"",LEFT($F1123,4)&amp;MID($F1123,6,2)&amp;RIGHT($F1123,2)&amp;"0000"&amp;"|"&amp;"1"&amp;RIGHT("00000"&amp;1118,5))</f>
        <v/>
      </c>
      <c r="H1123">
        <f>IF(OR($B1123&lt;&gt;1,$G1123=""),"",COUNTIFS(LdAParty,$A1123,LdAType,1,LdAKey,"&lt;"&amp;$G1123)+COUNTIFS(LdBMember,$A1123,LdBKey,"&lt;"&amp;$G1123)+COUNTIFS(LdCParty,$A1123,LdCKey,"&lt;"&amp;$G1123)+1)</f>
        <v/>
      </c>
      <c r="I1123">
        <f>IF($H1123="","",$A1123&amp;"|"&amp;RIGHT("000000"&amp;$H1123,6))</f>
        <v/>
      </c>
      <c r="J1123">
        <f>IF(OR($B1123&lt;&gt;2,$G1123=""),"",COUNTIFS(LdAParty,$A1123,LdAType,2,LdAKey,"&lt;"&amp;$G1123)+1)</f>
        <v/>
      </c>
      <c r="K1123">
        <f>IF($J1123="","",$A1123&amp;"|"&amp;RIGHT("000000"&amp;$J1123,6))</f>
        <v/>
      </c>
      <c r="L1123">
        <f>IF($A1123="","",IF(Wages!$G1126="",0,Wages!$G1126))</f>
        <v/>
      </c>
      <c r="M1123">
        <f>IF($A1123="","",Wages!$J1126)</f>
        <v/>
      </c>
      <c r="N1123">
        <f>IF($A1123="","",Wages!$D1126)</f>
        <v/>
      </c>
      <c r="P1123">
        <f>IF(OR(Shares!$B1126="",Shares!$C1126=""),"",Shares!$C1126)</f>
        <v/>
      </c>
      <c r="Q1123">
        <f>IF($P1123="","",Shares!$B1126)</f>
        <v/>
      </c>
      <c r="R1123">
        <f>IF($P1123="","",IFERROR(INDEX(WageParty,MATCH($Q1123,WageIds,0)),""))</f>
        <v/>
      </c>
      <c r="S1123">
        <f>IF($P1123="","",IFERROR(INDEX($F$6:$F$2005,MATCH($Q1123,WageIds,0)),""))</f>
        <v/>
      </c>
      <c r="T1123">
        <f>IF(OR($P1123="",$S1123="",$S1123="نامعتبر"),"",LEFT($S1123,4)&amp;MID($S1123,6,2)&amp;RIGHT($S1123,2)&amp;"0000"&amp;"|"&amp;"2"&amp;RIGHT("00000"&amp;1118,5))</f>
        <v/>
      </c>
      <c r="U1123">
        <f>IF($T1123="","",COUNTIFS(LdAParty,$P1123,LdAType,1,LdAKey,"&lt;"&amp;$T1123)+COUNTIFS(LdBMember,$P1123,LdBKey,"&lt;"&amp;$T1123)+COUNTIFS(LdCParty,$P1123,LdCKey,"&lt;"&amp;$T1123)+1)</f>
        <v/>
      </c>
      <c r="V1123">
        <f>IF($U1123="","",$P1123&amp;"|"&amp;RIGHT("000000"&amp;$U1123,6))</f>
        <v/>
      </c>
      <c r="W1123">
        <f>IF($T1123="","",COUNTIFS(LdBGroup,$R1123,LdBKey,"&lt;"&amp;$T1123)+1)</f>
        <v/>
      </c>
      <c r="X1123">
        <f>IF($W1123="","",$R1123&amp;"|"&amp;RIGHT("000000"&amp;$W1123,6))</f>
        <v/>
      </c>
      <c r="Y1123">
        <f>IF($P1123="","",IF(Shares!$E1126="",0,Shares!$E1126))</f>
        <v/>
      </c>
      <c r="Z1123">
        <f>IF($P1123="","",Shares!$H1126)</f>
        <v/>
      </c>
      <c r="AE1123">
        <f>IF(OR(Sync!$S1123="",Sync!$P1123=""),"",Sync!$S1123)</f>
        <v/>
      </c>
      <c r="AF1123">
        <f>IF($AE1123="","",IF(ISNUMBER(Sync!$P1123),IF(AND(Sync!$P1123&gt;=10000101,Sync!$P1123&lt;=99991231),INT(Sync!$P1123/10000),""),IFERROR(VALUE(TRIM(LEFT(Sync!$P1123,FIND("/",Sync!$P1123)-1))),"")))</f>
        <v/>
      </c>
      <c r="AG1123">
        <f>IF(OR($AE1123="",$AF1123=""),"",IF(ISNUMBER(Sync!$P1123),INT(MOD(Sync!$P1123,10000)/100),IFERROR(VALUE(TRIM(LEFT(MID(Sync!$P1123,FIND("/",Sync!$P1123)+1,20),FIND("/",MID(Sync!$P1123,FIND("/",Sync!$P1123)+1,20))-1))),"")))</f>
        <v/>
      </c>
      <c r="AH1123">
        <f>IF(OR($AE1123="",$AF1123=""),"",IF(ISNUMBER(Sync!$P1123),MOD(Sync!$P1123,100),IFERROR(VALUE(TRIM(MID(MID(Sync!$P1123,FIND("/",Sync!$P1123)+1,20),FIND("/",MID(Sync!$P1123,FIND("/",Sync!$P1123)+1,20))+1,20))),"")))</f>
        <v/>
      </c>
      <c r="AI1123">
        <f>IF($AE1123="","",IF(OR($AF1123="",$AG1123="",$AH1123="",$AF1123&lt;1300,$AF1123&gt;1500,$AG1123&lt;1,$AG1123&gt;12,$AH1123&lt;1,$AH1123&gt;31),"نامعتبر",RIGHT("0000"&amp;$AF1123,4)&amp;"/"&amp;RIGHT("00"&amp;$AG1123,2)&amp;"/"&amp;RIGHT("00"&amp;$AH1123,2)))</f>
        <v/>
      </c>
      <c r="AJ1123">
        <f>IF($AE1123="","",IF(Sync!$Q1123="","0000",IF(AND(ISNUMBER(Sync!$Q1123),Sync!$Q1123&gt;=0,Sync!$Q1123&lt;1),RIGHT("00"&amp;HOUR(Sync!$Q1123),2)&amp;RIGHT("00"&amp;MINUTE(Sync!$Q1123),2),IFERROR(RIGHT("00"&amp;VALUE(LEFT(Sync!$Q1123,FIND(":",Sync!$Q1123)-1)),2)&amp;RIGHT("00"&amp;VALUE(MID(Sync!$Q1123,FIND(":",Sync!$Q1123)+1,2)),2),"0000"))))</f>
        <v/>
      </c>
      <c r="AK1123">
        <f>IF(OR($AE1123="",$AI1123="",$AI1123="نامعتبر"),"",LEFT($AI1123,4)&amp;MID($AI1123,6,2)&amp;RIGHT($AI1123,2)&amp;$AJ1123&amp;"|"&amp;"3"&amp;RIGHT("00000"&amp;1118,5))</f>
        <v/>
      </c>
      <c r="AL1123">
        <f>IF($AK1123="","",COUNTIFS(LdAParty,$AE1123,LdAType,1,LdAKey,"&lt;"&amp;$AK1123)+COUNTIFS(LdBMember,$AE1123,LdBKey,"&lt;"&amp;$AK1123)+COUNTIFS(LdCParty,$AE1123,LdCKey,"&lt;"&amp;$AK1123)+1)</f>
        <v/>
      </c>
      <c r="AM1123">
        <f>IF($AL1123="","",$AE1123&amp;"|"&amp;RIGHT("000000"&amp;$AL1123,6))</f>
        <v/>
      </c>
      <c r="AN1123">
        <f>IF($AE1123="","",IF(Sync!$W1123="",0,Sync!$W1123))</f>
        <v/>
      </c>
      <c r="AO1123">
        <f>IF($AE1123="","",IF(Sync!$X1123="",0,Sync!$X1123))</f>
        <v/>
      </c>
      <c r="AP1123">
        <f>IF($AE1123="","",Sync!$R1123)</f>
        <v/>
      </c>
      <c r="AQ1123">
        <f>IF($AE1123="","",Sync!$Y1123)</f>
        <v/>
      </c>
    </row>
    <row r="1124">
      <c r="A1124">
        <f>IF(OR(Wages!$B1127="",Wages!$E1127=""),"",Wages!$E1127)</f>
        <v/>
      </c>
      <c r="B1124">
        <f>IF($A1124="","",IF(Wages!$C1127="دستمزد گروهی",2,1))</f>
        <v/>
      </c>
      <c r="C1124">
        <f>IF($A1124="","",IF(ISNUMBER(Wages!$B1127),IF(AND(Wages!$B1127&gt;=10000101,Wages!$B1127&lt;=99991231),INT(Wages!$B1127/10000),""),IFERROR(VALUE(TRIM(LEFT(Wages!$B1127,FIND("/",Wages!$B1127)-1))),"")))</f>
        <v/>
      </c>
      <c r="D1124">
        <f>IF(OR($A1124="",$C1124=""),"",IF(ISNUMBER(Wages!$B1127),INT(MOD(Wages!$B1127,10000)/100),IFERROR(VALUE(TRIM(LEFT(MID(Wages!$B1127,FIND("/",Wages!$B1127)+1,20),FIND("/",MID(Wages!$B1127,FIND("/",Wages!$B1127)+1,20))-1))),"")))</f>
        <v/>
      </c>
      <c r="E1124">
        <f>IF(OR($A1124="",$C1124=""),"",IF(ISNUMBER(Wages!$B1127),MOD(Wages!$B1127,100),IFERROR(VALUE(TRIM(MID(MID(Wages!$B1127,FIND("/",Wages!$B1127)+1,20),FIND("/",MID(Wages!$B1127,FIND("/",Wages!$B1127)+1,20))+1,20))),"")))</f>
        <v/>
      </c>
      <c r="F1124">
        <f>IF($A1124="","",IF(OR($C1124="",$D1124="",$E1124="",$C1124&lt;1300,$C1124&gt;1500,$D1124&lt;1,$D1124&gt;12,$E1124&lt;1,$E1124&gt;31),"نامعتبر",RIGHT("0000"&amp;$C1124,4)&amp;"/"&amp;RIGHT("00"&amp;$D1124,2)&amp;"/"&amp;RIGHT("00"&amp;$E1124,2)))</f>
        <v/>
      </c>
      <c r="G1124">
        <f>IF(OR($A1124="",$F1124="",$F1124="نامعتبر"),"",LEFT($F1124,4)&amp;MID($F1124,6,2)&amp;RIGHT($F1124,2)&amp;"0000"&amp;"|"&amp;"1"&amp;RIGHT("00000"&amp;1119,5))</f>
        <v/>
      </c>
      <c r="H1124">
        <f>IF(OR($B1124&lt;&gt;1,$G1124=""),"",COUNTIFS(LdAParty,$A1124,LdAType,1,LdAKey,"&lt;"&amp;$G1124)+COUNTIFS(LdBMember,$A1124,LdBKey,"&lt;"&amp;$G1124)+COUNTIFS(LdCParty,$A1124,LdCKey,"&lt;"&amp;$G1124)+1)</f>
        <v/>
      </c>
      <c r="I1124">
        <f>IF($H1124="","",$A1124&amp;"|"&amp;RIGHT("000000"&amp;$H1124,6))</f>
        <v/>
      </c>
      <c r="J1124">
        <f>IF(OR($B1124&lt;&gt;2,$G1124=""),"",COUNTIFS(LdAParty,$A1124,LdAType,2,LdAKey,"&lt;"&amp;$G1124)+1)</f>
        <v/>
      </c>
      <c r="K1124">
        <f>IF($J1124="","",$A1124&amp;"|"&amp;RIGHT("000000"&amp;$J1124,6))</f>
        <v/>
      </c>
      <c r="L1124">
        <f>IF($A1124="","",IF(Wages!$G1127="",0,Wages!$G1127))</f>
        <v/>
      </c>
      <c r="M1124">
        <f>IF($A1124="","",Wages!$J1127)</f>
        <v/>
      </c>
      <c r="N1124">
        <f>IF($A1124="","",Wages!$D1127)</f>
        <v/>
      </c>
      <c r="P1124">
        <f>IF(OR(Shares!$B1127="",Shares!$C1127=""),"",Shares!$C1127)</f>
        <v/>
      </c>
      <c r="Q1124">
        <f>IF($P1124="","",Shares!$B1127)</f>
        <v/>
      </c>
      <c r="R1124">
        <f>IF($P1124="","",IFERROR(INDEX(WageParty,MATCH($Q1124,WageIds,0)),""))</f>
        <v/>
      </c>
      <c r="S1124">
        <f>IF($P1124="","",IFERROR(INDEX($F$6:$F$2005,MATCH($Q1124,WageIds,0)),""))</f>
        <v/>
      </c>
      <c r="T1124">
        <f>IF(OR($P1124="",$S1124="",$S1124="نامعتبر"),"",LEFT($S1124,4)&amp;MID($S1124,6,2)&amp;RIGHT($S1124,2)&amp;"0000"&amp;"|"&amp;"2"&amp;RIGHT("00000"&amp;1119,5))</f>
        <v/>
      </c>
      <c r="U1124">
        <f>IF($T1124="","",COUNTIFS(LdAParty,$P1124,LdAType,1,LdAKey,"&lt;"&amp;$T1124)+COUNTIFS(LdBMember,$P1124,LdBKey,"&lt;"&amp;$T1124)+COUNTIFS(LdCParty,$P1124,LdCKey,"&lt;"&amp;$T1124)+1)</f>
        <v/>
      </c>
      <c r="V1124">
        <f>IF($U1124="","",$P1124&amp;"|"&amp;RIGHT("000000"&amp;$U1124,6))</f>
        <v/>
      </c>
      <c r="W1124">
        <f>IF($T1124="","",COUNTIFS(LdBGroup,$R1124,LdBKey,"&lt;"&amp;$T1124)+1)</f>
        <v/>
      </c>
      <c r="X1124">
        <f>IF($W1124="","",$R1124&amp;"|"&amp;RIGHT("000000"&amp;$W1124,6))</f>
        <v/>
      </c>
      <c r="Y1124">
        <f>IF($P1124="","",IF(Shares!$E1127="",0,Shares!$E1127))</f>
        <v/>
      </c>
      <c r="Z1124">
        <f>IF($P1124="","",Shares!$H1127)</f>
        <v/>
      </c>
      <c r="AE1124">
        <f>IF(OR(Sync!$S1124="",Sync!$P1124=""),"",Sync!$S1124)</f>
        <v/>
      </c>
      <c r="AF1124">
        <f>IF($AE1124="","",IF(ISNUMBER(Sync!$P1124),IF(AND(Sync!$P1124&gt;=10000101,Sync!$P1124&lt;=99991231),INT(Sync!$P1124/10000),""),IFERROR(VALUE(TRIM(LEFT(Sync!$P1124,FIND("/",Sync!$P1124)-1))),"")))</f>
        <v/>
      </c>
      <c r="AG1124">
        <f>IF(OR($AE1124="",$AF1124=""),"",IF(ISNUMBER(Sync!$P1124),INT(MOD(Sync!$P1124,10000)/100),IFERROR(VALUE(TRIM(LEFT(MID(Sync!$P1124,FIND("/",Sync!$P1124)+1,20),FIND("/",MID(Sync!$P1124,FIND("/",Sync!$P1124)+1,20))-1))),"")))</f>
        <v/>
      </c>
      <c r="AH1124">
        <f>IF(OR($AE1124="",$AF1124=""),"",IF(ISNUMBER(Sync!$P1124),MOD(Sync!$P1124,100),IFERROR(VALUE(TRIM(MID(MID(Sync!$P1124,FIND("/",Sync!$P1124)+1,20),FIND("/",MID(Sync!$P1124,FIND("/",Sync!$P1124)+1,20))+1,20))),"")))</f>
        <v/>
      </c>
      <c r="AI1124">
        <f>IF($AE1124="","",IF(OR($AF1124="",$AG1124="",$AH1124="",$AF1124&lt;1300,$AF1124&gt;1500,$AG1124&lt;1,$AG1124&gt;12,$AH1124&lt;1,$AH1124&gt;31),"نامعتبر",RIGHT("0000"&amp;$AF1124,4)&amp;"/"&amp;RIGHT("00"&amp;$AG1124,2)&amp;"/"&amp;RIGHT("00"&amp;$AH1124,2)))</f>
        <v/>
      </c>
      <c r="AJ1124">
        <f>IF($AE1124="","",IF(Sync!$Q1124="","0000",IF(AND(ISNUMBER(Sync!$Q1124),Sync!$Q1124&gt;=0,Sync!$Q1124&lt;1),RIGHT("00"&amp;HOUR(Sync!$Q1124),2)&amp;RIGHT("00"&amp;MINUTE(Sync!$Q1124),2),IFERROR(RIGHT("00"&amp;VALUE(LEFT(Sync!$Q1124,FIND(":",Sync!$Q1124)-1)),2)&amp;RIGHT("00"&amp;VALUE(MID(Sync!$Q1124,FIND(":",Sync!$Q1124)+1,2)),2),"0000"))))</f>
        <v/>
      </c>
      <c r="AK1124">
        <f>IF(OR($AE1124="",$AI1124="",$AI1124="نامعتبر"),"",LEFT($AI1124,4)&amp;MID($AI1124,6,2)&amp;RIGHT($AI1124,2)&amp;$AJ1124&amp;"|"&amp;"3"&amp;RIGHT("00000"&amp;1119,5))</f>
        <v/>
      </c>
      <c r="AL1124">
        <f>IF($AK1124="","",COUNTIFS(LdAParty,$AE1124,LdAType,1,LdAKey,"&lt;"&amp;$AK1124)+COUNTIFS(LdBMember,$AE1124,LdBKey,"&lt;"&amp;$AK1124)+COUNTIFS(LdCParty,$AE1124,LdCKey,"&lt;"&amp;$AK1124)+1)</f>
        <v/>
      </c>
      <c r="AM1124">
        <f>IF($AL1124="","",$AE1124&amp;"|"&amp;RIGHT("000000"&amp;$AL1124,6))</f>
        <v/>
      </c>
      <c r="AN1124">
        <f>IF($AE1124="","",IF(Sync!$W1124="",0,Sync!$W1124))</f>
        <v/>
      </c>
      <c r="AO1124">
        <f>IF($AE1124="","",IF(Sync!$X1124="",0,Sync!$X1124))</f>
        <v/>
      </c>
      <c r="AP1124">
        <f>IF($AE1124="","",Sync!$R1124)</f>
        <v/>
      </c>
      <c r="AQ1124">
        <f>IF($AE1124="","",Sync!$Y1124)</f>
        <v/>
      </c>
    </row>
    <row r="1125">
      <c r="A1125">
        <f>IF(OR(Wages!$B1128="",Wages!$E1128=""),"",Wages!$E1128)</f>
        <v/>
      </c>
      <c r="B1125">
        <f>IF($A1125="","",IF(Wages!$C1128="دستمزد گروهی",2,1))</f>
        <v/>
      </c>
      <c r="C1125">
        <f>IF($A1125="","",IF(ISNUMBER(Wages!$B1128),IF(AND(Wages!$B1128&gt;=10000101,Wages!$B1128&lt;=99991231),INT(Wages!$B1128/10000),""),IFERROR(VALUE(TRIM(LEFT(Wages!$B1128,FIND("/",Wages!$B1128)-1))),"")))</f>
        <v/>
      </c>
      <c r="D1125">
        <f>IF(OR($A1125="",$C1125=""),"",IF(ISNUMBER(Wages!$B1128),INT(MOD(Wages!$B1128,10000)/100),IFERROR(VALUE(TRIM(LEFT(MID(Wages!$B1128,FIND("/",Wages!$B1128)+1,20),FIND("/",MID(Wages!$B1128,FIND("/",Wages!$B1128)+1,20))-1))),"")))</f>
        <v/>
      </c>
      <c r="E1125">
        <f>IF(OR($A1125="",$C1125=""),"",IF(ISNUMBER(Wages!$B1128),MOD(Wages!$B1128,100),IFERROR(VALUE(TRIM(MID(MID(Wages!$B1128,FIND("/",Wages!$B1128)+1,20),FIND("/",MID(Wages!$B1128,FIND("/",Wages!$B1128)+1,20))+1,20))),"")))</f>
        <v/>
      </c>
      <c r="F1125">
        <f>IF($A1125="","",IF(OR($C1125="",$D1125="",$E1125="",$C1125&lt;1300,$C1125&gt;1500,$D1125&lt;1,$D1125&gt;12,$E1125&lt;1,$E1125&gt;31),"نامعتبر",RIGHT("0000"&amp;$C1125,4)&amp;"/"&amp;RIGHT("00"&amp;$D1125,2)&amp;"/"&amp;RIGHT("00"&amp;$E1125,2)))</f>
        <v/>
      </c>
      <c r="G1125">
        <f>IF(OR($A1125="",$F1125="",$F1125="نامعتبر"),"",LEFT($F1125,4)&amp;MID($F1125,6,2)&amp;RIGHT($F1125,2)&amp;"0000"&amp;"|"&amp;"1"&amp;RIGHT("00000"&amp;1120,5))</f>
        <v/>
      </c>
      <c r="H1125">
        <f>IF(OR($B1125&lt;&gt;1,$G1125=""),"",COUNTIFS(LdAParty,$A1125,LdAType,1,LdAKey,"&lt;"&amp;$G1125)+COUNTIFS(LdBMember,$A1125,LdBKey,"&lt;"&amp;$G1125)+COUNTIFS(LdCParty,$A1125,LdCKey,"&lt;"&amp;$G1125)+1)</f>
        <v/>
      </c>
      <c r="I1125">
        <f>IF($H1125="","",$A1125&amp;"|"&amp;RIGHT("000000"&amp;$H1125,6))</f>
        <v/>
      </c>
      <c r="J1125">
        <f>IF(OR($B1125&lt;&gt;2,$G1125=""),"",COUNTIFS(LdAParty,$A1125,LdAType,2,LdAKey,"&lt;"&amp;$G1125)+1)</f>
        <v/>
      </c>
      <c r="K1125">
        <f>IF($J1125="","",$A1125&amp;"|"&amp;RIGHT("000000"&amp;$J1125,6))</f>
        <v/>
      </c>
      <c r="L1125">
        <f>IF($A1125="","",IF(Wages!$G1128="",0,Wages!$G1128))</f>
        <v/>
      </c>
      <c r="M1125">
        <f>IF($A1125="","",Wages!$J1128)</f>
        <v/>
      </c>
      <c r="N1125">
        <f>IF($A1125="","",Wages!$D1128)</f>
        <v/>
      </c>
      <c r="P1125">
        <f>IF(OR(Shares!$B1128="",Shares!$C1128=""),"",Shares!$C1128)</f>
        <v/>
      </c>
      <c r="Q1125">
        <f>IF($P1125="","",Shares!$B1128)</f>
        <v/>
      </c>
      <c r="R1125">
        <f>IF($P1125="","",IFERROR(INDEX(WageParty,MATCH($Q1125,WageIds,0)),""))</f>
        <v/>
      </c>
      <c r="S1125">
        <f>IF($P1125="","",IFERROR(INDEX($F$6:$F$2005,MATCH($Q1125,WageIds,0)),""))</f>
        <v/>
      </c>
      <c r="T1125">
        <f>IF(OR($P1125="",$S1125="",$S1125="نامعتبر"),"",LEFT($S1125,4)&amp;MID($S1125,6,2)&amp;RIGHT($S1125,2)&amp;"0000"&amp;"|"&amp;"2"&amp;RIGHT("00000"&amp;1120,5))</f>
        <v/>
      </c>
      <c r="U1125">
        <f>IF($T1125="","",COUNTIFS(LdAParty,$P1125,LdAType,1,LdAKey,"&lt;"&amp;$T1125)+COUNTIFS(LdBMember,$P1125,LdBKey,"&lt;"&amp;$T1125)+COUNTIFS(LdCParty,$P1125,LdCKey,"&lt;"&amp;$T1125)+1)</f>
        <v/>
      </c>
      <c r="V1125">
        <f>IF($U1125="","",$P1125&amp;"|"&amp;RIGHT("000000"&amp;$U1125,6))</f>
        <v/>
      </c>
      <c r="W1125">
        <f>IF($T1125="","",COUNTIFS(LdBGroup,$R1125,LdBKey,"&lt;"&amp;$T1125)+1)</f>
        <v/>
      </c>
      <c r="X1125">
        <f>IF($W1125="","",$R1125&amp;"|"&amp;RIGHT("000000"&amp;$W1125,6))</f>
        <v/>
      </c>
      <c r="Y1125">
        <f>IF($P1125="","",IF(Shares!$E1128="",0,Shares!$E1128))</f>
        <v/>
      </c>
      <c r="Z1125">
        <f>IF($P1125="","",Shares!$H1128)</f>
        <v/>
      </c>
      <c r="AE1125">
        <f>IF(OR(Sync!$S1125="",Sync!$P1125=""),"",Sync!$S1125)</f>
        <v/>
      </c>
      <c r="AF1125">
        <f>IF($AE1125="","",IF(ISNUMBER(Sync!$P1125),IF(AND(Sync!$P1125&gt;=10000101,Sync!$P1125&lt;=99991231),INT(Sync!$P1125/10000),""),IFERROR(VALUE(TRIM(LEFT(Sync!$P1125,FIND("/",Sync!$P1125)-1))),"")))</f>
        <v/>
      </c>
      <c r="AG1125">
        <f>IF(OR($AE1125="",$AF1125=""),"",IF(ISNUMBER(Sync!$P1125),INT(MOD(Sync!$P1125,10000)/100),IFERROR(VALUE(TRIM(LEFT(MID(Sync!$P1125,FIND("/",Sync!$P1125)+1,20),FIND("/",MID(Sync!$P1125,FIND("/",Sync!$P1125)+1,20))-1))),"")))</f>
        <v/>
      </c>
      <c r="AH1125">
        <f>IF(OR($AE1125="",$AF1125=""),"",IF(ISNUMBER(Sync!$P1125),MOD(Sync!$P1125,100),IFERROR(VALUE(TRIM(MID(MID(Sync!$P1125,FIND("/",Sync!$P1125)+1,20),FIND("/",MID(Sync!$P1125,FIND("/",Sync!$P1125)+1,20))+1,20))),"")))</f>
        <v/>
      </c>
      <c r="AI1125">
        <f>IF($AE1125="","",IF(OR($AF1125="",$AG1125="",$AH1125="",$AF1125&lt;1300,$AF1125&gt;1500,$AG1125&lt;1,$AG1125&gt;12,$AH1125&lt;1,$AH1125&gt;31),"نامعتبر",RIGHT("0000"&amp;$AF1125,4)&amp;"/"&amp;RIGHT("00"&amp;$AG1125,2)&amp;"/"&amp;RIGHT("00"&amp;$AH1125,2)))</f>
        <v/>
      </c>
      <c r="AJ1125">
        <f>IF($AE1125="","",IF(Sync!$Q1125="","0000",IF(AND(ISNUMBER(Sync!$Q1125),Sync!$Q1125&gt;=0,Sync!$Q1125&lt;1),RIGHT("00"&amp;HOUR(Sync!$Q1125),2)&amp;RIGHT("00"&amp;MINUTE(Sync!$Q1125),2),IFERROR(RIGHT("00"&amp;VALUE(LEFT(Sync!$Q1125,FIND(":",Sync!$Q1125)-1)),2)&amp;RIGHT("00"&amp;VALUE(MID(Sync!$Q1125,FIND(":",Sync!$Q1125)+1,2)),2),"0000"))))</f>
        <v/>
      </c>
      <c r="AK1125">
        <f>IF(OR($AE1125="",$AI1125="",$AI1125="نامعتبر"),"",LEFT($AI1125,4)&amp;MID($AI1125,6,2)&amp;RIGHT($AI1125,2)&amp;$AJ1125&amp;"|"&amp;"3"&amp;RIGHT("00000"&amp;1120,5))</f>
        <v/>
      </c>
      <c r="AL1125">
        <f>IF($AK1125="","",COUNTIFS(LdAParty,$AE1125,LdAType,1,LdAKey,"&lt;"&amp;$AK1125)+COUNTIFS(LdBMember,$AE1125,LdBKey,"&lt;"&amp;$AK1125)+COUNTIFS(LdCParty,$AE1125,LdCKey,"&lt;"&amp;$AK1125)+1)</f>
        <v/>
      </c>
      <c r="AM1125">
        <f>IF($AL1125="","",$AE1125&amp;"|"&amp;RIGHT("000000"&amp;$AL1125,6))</f>
        <v/>
      </c>
      <c r="AN1125">
        <f>IF($AE1125="","",IF(Sync!$W1125="",0,Sync!$W1125))</f>
        <v/>
      </c>
      <c r="AO1125">
        <f>IF($AE1125="","",IF(Sync!$X1125="",0,Sync!$X1125))</f>
        <v/>
      </c>
      <c r="AP1125">
        <f>IF($AE1125="","",Sync!$R1125)</f>
        <v/>
      </c>
      <c r="AQ1125">
        <f>IF($AE1125="","",Sync!$Y1125)</f>
        <v/>
      </c>
    </row>
    <row r="1126">
      <c r="A1126">
        <f>IF(OR(Wages!$B1129="",Wages!$E1129=""),"",Wages!$E1129)</f>
        <v/>
      </c>
      <c r="B1126">
        <f>IF($A1126="","",IF(Wages!$C1129="دستمزد گروهی",2,1))</f>
        <v/>
      </c>
      <c r="C1126">
        <f>IF($A1126="","",IF(ISNUMBER(Wages!$B1129),IF(AND(Wages!$B1129&gt;=10000101,Wages!$B1129&lt;=99991231),INT(Wages!$B1129/10000),""),IFERROR(VALUE(TRIM(LEFT(Wages!$B1129,FIND("/",Wages!$B1129)-1))),"")))</f>
        <v/>
      </c>
      <c r="D1126">
        <f>IF(OR($A1126="",$C1126=""),"",IF(ISNUMBER(Wages!$B1129),INT(MOD(Wages!$B1129,10000)/100),IFERROR(VALUE(TRIM(LEFT(MID(Wages!$B1129,FIND("/",Wages!$B1129)+1,20),FIND("/",MID(Wages!$B1129,FIND("/",Wages!$B1129)+1,20))-1))),"")))</f>
        <v/>
      </c>
      <c r="E1126">
        <f>IF(OR($A1126="",$C1126=""),"",IF(ISNUMBER(Wages!$B1129),MOD(Wages!$B1129,100),IFERROR(VALUE(TRIM(MID(MID(Wages!$B1129,FIND("/",Wages!$B1129)+1,20),FIND("/",MID(Wages!$B1129,FIND("/",Wages!$B1129)+1,20))+1,20))),"")))</f>
        <v/>
      </c>
      <c r="F1126">
        <f>IF($A1126="","",IF(OR($C1126="",$D1126="",$E1126="",$C1126&lt;1300,$C1126&gt;1500,$D1126&lt;1,$D1126&gt;12,$E1126&lt;1,$E1126&gt;31),"نامعتبر",RIGHT("0000"&amp;$C1126,4)&amp;"/"&amp;RIGHT("00"&amp;$D1126,2)&amp;"/"&amp;RIGHT("00"&amp;$E1126,2)))</f>
        <v/>
      </c>
      <c r="G1126">
        <f>IF(OR($A1126="",$F1126="",$F1126="نامعتبر"),"",LEFT($F1126,4)&amp;MID($F1126,6,2)&amp;RIGHT($F1126,2)&amp;"0000"&amp;"|"&amp;"1"&amp;RIGHT("00000"&amp;1121,5))</f>
        <v/>
      </c>
      <c r="H1126">
        <f>IF(OR($B1126&lt;&gt;1,$G1126=""),"",COUNTIFS(LdAParty,$A1126,LdAType,1,LdAKey,"&lt;"&amp;$G1126)+COUNTIFS(LdBMember,$A1126,LdBKey,"&lt;"&amp;$G1126)+COUNTIFS(LdCParty,$A1126,LdCKey,"&lt;"&amp;$G1126)+1)</f>
        <v/>
      </c>
      <c r="I1126">
        <f>IF($H1126="","",$A1126&amp;"|"&amp;RIGHT("000000"&amp;$H1126,6))</f>
        <v/>
      </c>
      <c r="J1126">
        <f>IF(OR($B1126&lt;&gt;2,$G1126=""),"",COUNTIFS(LdAParty,$A1126,LdAType,2,LdAKey,"&lt;"&amp;$G1126)+1)</f>
        <v/>
      </c>
      <c r="K1126">
        <f>IF($J1126="","",$A1126&amp;"|"&amp;RIGHT("000000"&amp;$J1126,6))</f>
        <v/>
      </c>
      <c r="L1126">
        <f>IF($A1126="","",IF(Wages!$G1129="",0,Wages!$G1129))</f>
        <v/>
      </c>
      <c r="M1126">
        <f>IF($A1126="","",Wages!$J1129)</f>
        <v/>
      </c>
      <c r="N1126">
        <f>IF($A1126="","",Wages!$D1129)</f>
        <v/>
      </c>
      <c r="P1126">
        <f>IF(OR(Shares!$B1129="",Shares!$C1129=""),"",Shares!$C1129)</f>
        <v/>
      </c>
      <c r="Q1126">
        <f>IF($P1126="","",Shares!$B1129)</f>
        <v/>
      </c>
      <c r="R1126">
        <f>IF($P1126="","",IFERROR(INDEX(WageParty,MATCH($Q1126,WageIds,0)),""))</f>
        <v/>
      </c>
      <c r="S1126">
        <f>IF($P1126="","",IFERROR(INDEX($F$6:$F$2005,MATCH($Q1126,WageIds,0)),""))</f>
        <v/>
      </c>
      <c r="T1126">
        <f>IF(OR($P1126="",$S1126="",$S1126="نامعتبر"),"",LEFT($S1126,4)&amp;MID($S1126,6,2)&amp;RIGHT($S1126,2)&amp;"0000"&amp;"|"&amp;"2"&amp;RIGHT("00000"&amp;1121,5))</f>
        <v/>
      </c>
      <c r="U1126">
        <f>IF($T1126="","",COUNTIFS(LdAParty,$P1126,LdAType,1,LdAKey,"&lt;"&amp;$T1126)+COUNTIFS(LdBMember,$P1126,LdBKey,"&lt;"&amp;$T1126)+COUNTIFS(LdCParty,$P1126,LdCKey,"&lt;"&amp;$T1126)+1)</f>
        <v/>
      </c>
      <c r="V1126">
        <f>IF($U1126="","",$P1126&amp;"|"&amp;RIGHT("000000"&amp;$U1126,6))</f>
        <v/>
      </c>
      <c r="W1126">
        <f>IF($T1126="","",COUNTIFS(LdBGroup,$R1126,LdBKey,"&lt;"&amp;$T1126)+1)</f>
        <v/>
      </c>
      <c r="X1126">
        <f>IF($W1126="","",$R1126&amp;"|"&amp;RIGHT("000000"&amp;$W1126,6))</f>
        <v/>
      </c>
      <c r="Y1126">
        <f>IF($P1126="","",IF(Shares!$E1129="",0,Shares!$E1129))</f>
        <v/>
      </c>
      <c r="Z1126">
        <f>IF($P1126="","",Shares!$H1129)</f>
        <v/>
      </c>
      <c r="AE1126">
        <f>IF(OR(Sync!$S1126="",Sync!$P1126=""),"",Sync!$S1126)</f>
        <v/>
      </c>
      <c r="AF1126">
        <f>IF($AE1126="","",IF(ISNUMBER(Sync!$P1126),IF(AND(Sync!$P1126&gt;=10000101,Sync!$P1126&lt;=99991231),INT(Sync!$P1126/10000),""),IFERROR(VALUE(TRIM(LEFT(Sync!$P1126,FIND("/",Sync!$P1126)-1))),"")))</f>
        <v/>
      </c>
      <c r="AG1126">
        <f>IF(OR($AE1126="",$AF1126=""),"",IF(ISNUMBER(Sync!$P1126),INT(MOD(Sync!$P1126,10000)/100),IFERROR(VALUE(TRIM(LEFT(MID(Sync!$P1126,FIND("/",Sync!$P1126)+1,20),FIND("/",MID(Sync!$P1126,FIND("/",Sync!$P1126)+1,20))-1))),"")))</f>
        <v/>
      </c>
      <c r="AH1126">
        <f>IF(OR($AE1126="",$AF1126=""),"",IF(ISNUMBER(Sync!$P1126),MOD(Sync!$P1126,100),IFERROR(VALUE(TRIM(MID(MID(Sync!$P1126,FIND("/",Sync!$P1126)+1,20),FIND("/",MID(Sync!$P1126,FIND("/",Sync!$P1126)+1,20))+1,20))),"")))</f>
        <v/>
      </c>
      <c r="AI1126">
        <f>IF($AE1126="","",IF(OR($AF1126="",$AG1126="",$AH1126="",$AF1126&lt;1300,$AF1126&gt;1500,$AG1126&lt;1,$AG1126&gt;12,$AH1126&lt;1,$AH1126&gt;31),"نامعتبر",RIGHT("0000"&amp;$AF1126,4)&amp;"/"&amp;RIGHT("00"&amp;$AG1126,2)&amp;"/"&amp;RIGHT("00"&amp;$AH1126,2)))</f>
        <v/>
      </c>
      <c r="AJ1126">
        <f>IF($AE1126="","",IF(Sync!$Q1126="","0000",IF(AND(ISNUMBER(Sync!$Q1126),Sync!$Q1126&gt;=0,Sync!$Q1126&lt;1),RIGHT("00"&amp;HOUR(Sync!$Q1126),2)&amp;RIGHT("00"&amp;MINUTE(Sync!$Q1126),2),IFERROR(RIGHT("00"&amp;VALUE(LEFT(Sync!$Q1126,FIND(":",Sync!$Q1126)-1)),2)&amp;RIGHT("00"&amp;VALUE(MID(Sync!$Q1126,FIND(":",Sync!$Q1126)+1,2)),2),"0000"))))</f>
        <v/>
      </c>
      <c r="AK1126">
        <f>IF(OR($AE1126="",$AI1126="",$AI1126="نامعتبر"),"",LEFT($AI1126,4)&amp;MID($AI1126,6,2)&amp;RIGHT($AI1126,2)&amp;$AJ1126&amp;"|"&amp;"3"&amp;RIGHT("00000"&amp;1121,5))</f>
        <v/>
      </c>
      <c r="AL1126">
        <f>IF($AK1126="","",COUNTIFS(LdAParty,$AE1126,LdAType,1,LdAKey,"&lt;"&amp;$AK1126)+COUNTIFS(LdBMember,$AE1126,LdBKey,"&lt;"&amp;$AK1126)+COUNTIFS(LdCParty,$AE1126,LdCKey,"&lt;"&amp;$AK1126)+1)</f>
        <v/>
      </c>
      <c r="AM1126">
        <f>IF($AL1126="","",$AE1126&amp;"|"&amp;RIGHT("000000"&amp;$AL1126,6))</f>
        <v/>
      </c>
      <c r="AN1126">
        <f>IF($AE1126="","",IF(Sync!$W1126="",0,Sync!$W1126))</f>
        <v/>
      </c>
      <c r="AO1126">
        <f>IF($AE1126="","",IF(Sync!$X1126="",0,Sync!$X1126))</f>
        <v/>
      </c>
      <c r="AP1126">
        <f>IF($AE1126="","",Sync!$R1126)</f>
        <v/>
      </c>
      <c r="AQ1126">
        <f>IF($AE1126="","",Sync!$Y1126)</f>
        <v/>
      </c>
    </row>
    <row r="1127">
      <c r="A1127">
        <f>IF(OR(Wages!$B1130="",Wages!$E1130=""),"",Wages!$E1130)</f>
        <v/>
      </c>
      <c r="B1127">
        <f>IF($A1127="","",IF(Wages!$C1130="دستمزد گروهی",2,1))</f>
        <v/>
      </c>
      <c r="C1127">
        <f>IF($A1127="","",IF(ISNUMBER(Wages!$B1130),IF(AND(Wages!$B1130&gt;=10000101,Wages!$B1130&lt;=99991231),INT(Wages!$B1130/10000),""),IFERROR(VALUE(TRIM(LEFT(Wages!$B1130,FIND("/",Wages!$B1130)-1))),"")))</f>
        <v/>
      </c>
      <c r="D1127">
        <f>IF(OR($A1127="",$C1127=""),"",IF(ISNUMBER(Wages!$B1130),INT(MOD(Wages!$B1130,10000)/100),IFERROR(VALUE(TRIM(LEFT(MID(Wages!$B1130,FIND("/",Wages!$B1130)+1,20),FIND("/",MID(Wages!$B1130,FIND("/",Wages!$B1130)+1,20))-1))),"")))</f>
        <v/>
      </c>
      <c r="E1127">
        <f>IF(OR($A1127="",$C1127=""),"",IF(ISNUMBER(Wages!$B1130),MOD(Wages!$B1130,100),IFERROR(VALUE(TRIM(MID(MID(Wages!$B1130,FIND("/",Wages!$B1130)+1,20),FIND("/",MID(Wages!$B1130,FIND("/",Wages!$B1130)+1,20))+1,20))),"")))</f>
        <v/>
      </c>
      <c r="F1127">
        <f>IF($A1127="","",IF(OR($C1127="",$D1127="",$E1127="",$C1127&lt;1300,$C1127&gt;1500,$D1127&lt;1,$D1127&gt;12,$E1127&lt;1,$E1127&gt;31),"نامعتبر",RIGHT("0000"&amp;$C1127,4)&amp;"/"&amp;RIGHT("00"&amp;$D1127,2)&amp;"/"&amp;RIGHT("00"&amp;$E1127,2)))</f>
        <v/>
      </c>
      <c r="G1127">
        <f>IF(OR($A1127="",$F1127="",$F1127="نامعتبر"),"",LEFT($F1127,4)&amp;MID($F1127,6,2)&amp;RIGHT($F1127,2)&amp;"0000"&amp;"|"&amp;"1"&amp;RIGHT("00000"&amp;1122,5))</f>
        <v/>
      </c>
      <c r="H1127">
        <f>IF(OR($B1127&lt;&gt;1,$G1127=""),"",COUNTIFS(LdAParty,$A1127,LdAType,1,LdAKey,"&lt;"&amp;$G1127)+COUNTIFS(LdBMember,$A1127,LdBKey,"&lt;"&amp;$G1127)+COUNTIFS(LdCParty,$A1127,LdCKey,"&lt;"&amp;$G1127)+1)</f>
        <v/>
      </c>
      <c r="I1127">
        <f>IF($H1127="","",$A1127&amp;"|"&amp;RIGHT("000000"&amp;$H1127,6))</f>
        <v/>
      </c>
      <c r="J1127">
        <f>IF(OR($B1127&lt;&gt;2,$G1127=""),"",COUNTIFS(LdAParty,$A1127,LdAType,2,LdAKey,"&lt;"&amp;$G1127)+1)</f>
        <v/>
      </c>
      <c r="K1127">
        <f>IF($J1127="","",$A1127&amp;"|"&amp;RIGHT("000000"&amp;$J1127,6))</f>
        <v/>
      </c>
      <c r="L1127">
        <f>IF($A1127="","",IF(Wages!$G1130="",0,Wages!$G1130))</f>
        <v/>
      </c>
      <c r="M1127">
        <f>IF($A1127="","",Wages!$J1130)</f>
        <v/>
      </c>
      <c r="N1127">
        <f>IF($A1127="","",Wages!$D1130)</f>
        <v/>
      </c>
      <c r="P1127">
        <f>IF(OR(Shares!$B1130="",Shares!$C1130=""),"",Shares!$C1130)</f>
        <v/>
      </c>
      <c r="Q1127">
        <f>IF($P1127="","",Shares!$B1130)</f>
        <v/>
      </c>
      <c r="R1127">
        <f>IF($P1127="","",IFERROR(INDEX(WageParty,MATCH($Q1127,WageIds,0)),""))</f>
        <v/>
      </c>
      <c r="S1127">
        <f>IF($P1127="","",IFERROR(INDEX($F$6:$F$2005,MATCH($Q1127,WageIds,0)),""))</f>
        <v/>
      </c>
      <c r="T1127">
        <f>IF(OR($P1127="",$S1127="",$S1127="نامعتبر"),"",LEFT($S1127,4)&amp;MID($S1127,6,2)&amp;RIGHT($S1127,2)&amp;"0000"&amp;"|"&amp;"2"&amp;RIGHT("00000"&amp;1122,5))</f>
        <v/>
      </c>
      <c r="U1127">
        <f>IF($T1127="","",COUNTIFS(LdAParty,$P1127,LdAType,1,LdAKey,"&lt;"&amp;$T1127)+COUNTIFS(LdBMember,$P1127,LdBKey,"&lt;"&amp;$T1127)+COUNTIFS(LdCParty,$P1127,LdCKey,"&lt;"&amp;$T1127)+1)</f>
        <v/>
      </c>
      <c r="V1127">
        <f>IF($U1127="","",$P1127&amp;"|"&amp;RIGHT("000000"&amp;$U1127,6))</f>
        <v/>
      </c>
      <c r="W1127">
        <f>IF($T1127="","",COUNTIFS(LdBGroup,$R1127,LdBKey,"&lt;"&amp;$T1127)+1)</f>
        <v/>
      </c>
      <c r="X1127">
        <f>IF($W1127="","",$R1127&amp;"|"&amp;RIGHT("000000"&amp;$W1127,6))</f>
        <v/>
      </c>
      <c r="Y1127">
        <f>IF($P1127="","",IF(Shares!$E1130="",0,Shares!$E1130))</f>
        <v/>
      </c>
      <c r="Z1127">
        <f>IF($P1127="","",Shares!$H1130)</f>
        <v/>
      </c>
      <c r="AE1127">
        <f>IF(OR(Sync!$S1127="",Sync!$P1127=""),"",Sync!$S1127)</f>
        <v/>
      </c>
      <c r="AF1127">
        <f>IF($AE1127="","",IF(ISNUMBER(Sync!$P1127),IF(AND(Sync!$P1127&gt;=10000101,Sync!$P1127&lt;=99991231),INT(Sync!$P1127/10000),""),IFERROR(VALUE(TRIM(LEFT(Sync!$P1127,FIND("/",Sync!$P1127)-1))),"")))</f>
        <v/>
      </c>
      <c r="AG1127">
        <f>IF(OR($AE1127="",$AF1127=""),"",IF(ISNUMBER(Sync!$P1127),INT(MOD(Sync!$P1127,10000)/100),IFERROR(VALUE(TRIM(LEFT(MID(Sync!$P1127,FIND("/",Sync!$P1127)+1,20),FIND("/",MID(Sync!$P1127,FIND("/",Sync!$P1127)+1,20))-1))),"")))</f>
        <v/>
      </c>
      <c r="AH1127">
        <f>IF(OR($AE1127="",$AF1127=""),"",IF(ISNUMBER(Sync!$P1127),MOD(Sync!$P1127,100),IFERROR(VALUE(TRIM(MID(MID(Sync!$P1127,FIND("/",Sync!$P1127)+1,20),FIND("/",MID(Sync!$P1127,FIND("/",Sync!$P1127)+1,20))+1,20))),"")))</f>
        <v/>
      </c>
      <c r="AI1127">
        <f>IF($AE1127="","",IF(OR($AF1127="",$AG1127="",$AH1127="",$AF1127&lt;1300,$AF1127&gt;1500,$AG1127&lt;1,$AG1127&gt;12,$AH1127&lt;1,$AH1127&gt;31),"نامعتبر",RIGHT("0000"&amp;$AF1127,4)&amp;"/"&amp;RIGHT("00"&amp;$AG1127,2)&amp;"/"&amp;RIGHT("00"&amp;$AH1127,2)))</f>
        <v/>
      </c>
      <c r="AJ1127">
        <f>IF($AE1127="","",IF(Sync!$Q1127="","0000",IF(AND(ISNUMBER(Sync!$Q1127),Sync!$Q1127&gt;=0,Sync!$Q1127&lt;1),RIGHT("00"&amp;HOUR(Sync!$Q1127),2)&amp;RIGHT("00"&amp;MINUTE(Sync!$Q1127),2),IFERROR(RIGHT("00"&amp;VALUE(LEFT(Sync!$Q1127,FIND(":",Sync!$Q1127)-1)),2)&amp;RIGHT("00"&amp;VALUE(MID(Sync!$Q1127,FIND(":",Sync!$Q1127)+1,2)),2),"0000"))))</f>
        <v/>
      </c>
      <c r="AK1127">
        <f>IF(OR($AE1127="",$AI1127="",$AI1127="نامعتبر"),"",LEFT($AI1127,4)&amp;MID($AI1127,6,2)&amp;RIGHT($AI1127,2)&amp;$AJ1127&amp;"|"&amp;"3"&amp;RIGHT("00000"&amp;1122,5))</f>
        <v/>
      </c>
      <c r="AL1127">
        <f>IF($AK1127="","",COUNTIFS(LdAParty,$AE1127,LdAType,1,LdAKey,"&lt;"&amp;$AK1127)+COUNTIFS(LdBMember,$AE1127,LdBKey,"&lt;"&amp;$AK1127)+COUNTIFS(LdCParty,$AE1127,LdCKey,"&lt;"&amp;$AK1127)+1)</f>
        <v/>
      </c>
      <c r="AM1127">
        <f>IF($AL1127="","",$AE1127&amp;"|"&amp;RIGHT("000000"&amp;$AL1127,6))</f>
        <v/>
      </c>
      <c r="AN1127">
        <f>IF($AE1127="","",IF(Sync!$W1127="",0,Sync!$W1127))</f>
        <v/>
      </c>
      <c r="AO1127">
        <f>IF($AE1127="","",IF(Sync!$X1127="",0,Sync!$X1127))</f>
        <v/>
      </c>
      <c r="AP1127">
        <f>IF($AE1127="","",Sync!$R1127)</f>
        <v/>
      </c>
      <c r="AQ1127">
        <f>IF($AE1127="","",Sync!$Y1127)</f>
        <v/>
      </c>
    </row>
    <row r="1128">
      <c r="A1128">
        <f>IF(OR(Wages!$B1131="",Wages!$E1131=""),"",Wages!$E1131)</f>
        <v/>
      </c>
      <c r="B1128">
        <f>IF($A1128="","",IF(Wages!$C1131="دستمزد گروهی",2,1))</f>
        <v/>
      </c>
      <c r="C1128">
        <f>IF($A1128="","",IF(ISNUMBER(Wages!$B1131),IF(AND(Wages!$B1131&gt;=10000101,Wages!$B1131&lt;=99991231),INT(Wages!$B1131/10000),""),IFERROR(VALUE(TRIM(LEFT(Wages!$B1131,FIND("/",Wages!$B1131)-1))),"")))</f>
        <v/>
      </c>
      <c r="D1128">
        <f>IF(OR($A1128="",$C1128=""),"",IF(ISNUMBER(Wages!$B1131),INT(MOD(Wages!$B1131,10000)/100),IFERROR(VALUE(TRIM(LEFT(MID(Wages!$B1131,FIND("/",Wages!$B1131)+1,20),FIND("/",MID(Wages!$B1131,FIND("/",Wages!$B1131)+1,20))-1))),"")))</f>
        <v/>
      </c>
      <c r="E1128">
        <f>IF(OR($A1128="",$C1128=""),"",IF(ISNUMBER(Wages!$B1131),MOD(Wages!$B1131,100),IFERROR(VALUE(TRIM(MID(MID(Wages!$B1131,FIND("/",Wages!$B1131)+1,20),FIND("/",MID(Wages!$B1131,FIND("/",Wages!$B1131)+1,20))+1,20))),"")))</f>
        <v/>
      </c>
      <c r="F1128">
        <f>IF($A1128="","",IF(OR($C1128="",$D1128="",$E1128="",$C1128&lt;1300,$C1128&gt;1500,$D1128&lt;1,$D1128&gt;12,$E1128&lt;1,$E1128&gt;31),"نامعتبر",RIGHT("0000"&amp;$C1128,4)&amp;"/"&amp;RIGHT("00"&amp;$D1128,2)&amp;"/"&amp;RIGHT("00"&amp;$E1128,2)))</f>
        <v/>
      </c>
      <c r="G1128">
        <f>IF(OR($A1128="",$F1128="",$F1128="نامعتبر"),"",LEFT($F1128,4)&amp;MID($F1128,6,2)&amp;RIGHT($F1128,2)&amp;"0000"&amp;"|"&amp;"1"&amp;RIGHT("00000"&amp;1123,5))</f>
        <v/>
      </c>
      <c r="H1128">
        <f>IF(OR($B1128&lt;&gt;1,$G1128=""),"",COUNTIFS(LdAParty,$A1128,LdAType,1,LdAKey,"&lt;"&amp;$G1128)+COUNTIFS(LdBMember,$A1128,LdBKey,"&lt;"&amp;$G1128)+COUNTIFS(LdCParty,$A1128,LdCKey,"&lt;"&amp;$G1128)+1)</f>
        <v/>
      </c>
      <c r="I1128">
        <f>IF($H1128="","",$A1128&amp;"|"&amp;RIGHT("000000"&amp;$H1128,6))</f>
        <v/>
      </c>
      <c r="J1128">
        <f>IF(OR($B1128&lt;&gt;2,$G1128=""),"",COUNTIFS(LdAParty,$A1128,LdAType,2,LdAKey,"&lt;"&amp;$G1128)+1)</f>
        <v/>
      </c>
      <c r="K1128">
        <f>IF($J1128="","",$A1128&amp;"|"&amp;RIGHT("000000"&amp;$J1128,6))</f>
        <v/>
      </c>
      <c r="L1128">
        <f>IF($A1128="","",IF(Wages!$G1131="",0,Wages!$G1131))</f>
        <v/>
      </c>
      <c r="M1128">
        <f>IF($A1128="","",Wages!$J1131)</f>
        <v/>
      </c>
      <c r="N1128">
        <f>IF($A1128="","",Wages!$D1131)</f>
        <v/>
      </c>
      <c r="P1128">
        <f>IF(OR(Shares!$B1131="",Shares!$C1131=""),"",Shares!$C1131)</f>
        <v/>
      </c>
      <c r="Q1128">
        <f>IF($P1128="","",Shares!$B1131)</f>
        <v/>
      </c>
      <c r="R1128">
        <f>IF($P1128="","",IFERROR(INDEX(WageParty,MATCH($Q1128,WageIds,0)),""))</f>
        <v/>
      </c>
      <c r="S1128">
        <f>IF($P1128="","",IFERROR(INDEX($F$6:$F$2005,MATCH($Q1128,WageIds,0)),""))</f>
        <v/>
      </c>
      <c r="T1128">
        <f>IF(OR($P1128="",$S1128="",$S1128="نامعتبر"),"",LEFT($S1128,4)&amp;MID($S1128,6,2)&amp;RIGHT($S1128,2)&amp;"0000"&amp;"|"&amp;"2"&amp;RIGHT("00000"&amp;1123,5))</f>
        <v/>
      </c>
      <c r="U1128">
        <f>IF($T1128="","",COUNTIFS(LdAParty,$P1128,LdAType,1,LdAKey,"&lt;"&amp;$T1128)+COUNTIFS(LdBMember,$P1128,LdBKey,"&lt;"&amp;$T1128)+COUNTIFS(LdCParty,$P1128,LdCKey,"&lt;"&amp;$T1128)+1)</f>
        <v/>
      </c>
      <c r="V1128">
        <f>IF($U1128="","",$P1128&amp;"|"&amp;RIGHT("000000"&amp;$U1128,6))</f>
        <v/>
      </c>
      <c r="W1128">
        <f>IF($T1128="","",COUNTIFS(LdBGroup,$R1128,LdBKey,"&lt;"&amp;$T1128)+1)</f>
        <v/>
      </c>
      <c r="X1128">
        <f>IF($W1128="","",$R1128&amp;"|"&amp;RIGHT("000000"&amp;$W1128,6))</f>
        <v/>
      </c>
      <c r="Y1128">
        <f>IF($P1128="","",IF(Shares!$E1131="",0,Shares!$E1131))</f>
        <v/>
      </c>
      <c r="Z1128">
        <f>IF($P1128="","",Shares!$H1131)</f>
        <v/>
      </c>
      <c r="AE1128">
        <f>IF(OR(Sync!$S1128="",Sync!$P1128=""),"",Sync!$S1128)</f>
        <v/>
      </c>
      <c r="AF1128">
        <f>IF($AE1128="","",IF(ISNUMBER(Sync!$P1128),IF(AND(Sync!$P1128&gt;=10000101,Sync!$P1128&lt;=99991231),INT(Sync!$P1128/10000),""),IFERROR(VALUE(TRIM(LEFT(Sync!$P1128,FIND("/",Sync!$P1128)-1))),"")))</f>
        <v/>
      </c>
      <c r="AG1128">
        <f>IF(OR($AE1128="",$AF1128=""),"",IF(ISNUMBER(Sync!$P1128),INT(MOD(Sync!$P1128,10000)/100),IFERROR(VALUE(TRIM(LEFT(MID(Sync!$P1128,FIND("/",Sync!$P1128)+1,20),FIND("/",MID(Sync!$P1128,FIND("/",Sync!$P1128)+1,20))-1))),"")))</f>
        <v/>
      </c>
      <c r="AH1128">
        <f>IF(OR($AE1128="",$AF1128=""),"",IF(ISNUMBER(Sync!$P1128),MOD(Sync!$P1128,100),IFERROR(VALUE(TRIM(MID(MID(Sync!$P1128,FIND("/",Sync!$P1128)+1,20),FIND("/",MID(Sync!$P1128,FIND("/",Sync!$P1128)+1,20))+1,20))),"")))</f>
        <v/>
      </c>
      <c r="AI1128">
        <f>IF($AE1128="","",IF(OR($AF1128="",$AG1128="",$AH1128="",$AF1128&lt;1300,$AF1128&gt;1500,$AG1128&lt;1,$AG1128&gt;12,$AH1128&lt;1,$AH1128&gt;31),"نامعتبر",RIGHT("0000"&amp;$AF1128,4)&amp;"/"&amp;RIGHT("00"&amp;$AG1128,2)&amp;"/"&amp;RIGHT("00"&amp;$AH1128,2)))</f>
        <v/>
      </c>
      <c r="AJ1128">
        <f>IF($AE1128="","",IF(Sync!$Q1128="","0000",IF(AND(ISNUMBER(Sync!$Q1128),Sync!$Q1128&gt;=0,Sync!$Q1128&lt;1),RIGHT("00"&amp;HOUR(Sync!$Q1128),2)&amp;RIGHT("00"&amp;MINUTE(Sync!$Q1128),2),IFERROR(RIGHT("00"&amp;VALUE(LEFT(Sync!$Q1128,FIND(":",Sync!$Q1128)-1)),2)&amp;RIGHT("00"&amp;VALUE(MID(Sync!$Q1128,FIND(":",Sync!$Q1128)+1,2)),2),"0000"))))</f>
        <v/>
      </c>
      <c r="AK1128">
        <f>IF(OR($AE1128="",$AI1128="",$AI1128="نامعتبر"),"",LEFT($AI1128,4)&amp;MID($AI1128,6,2)&amp;RIGHT($AI1128,2)&amp;$AJ1128&amp;"|"&amp;"3"&amp;RIGHT("00000"&amp;1123,5))</f>
        <v/>
      </c>
      <c r="AL1128">
        <f>IF($AK1128="","",COUNTIFS(LdAParty,$AE1128,LdAType,1,LdAKey,"&lt;"&amp;$AK1128)+COUNTIFS(LdBMember,$AE1128,LdBKey,"&lt;"&amp;$AK1128)+COUNTIFS(LdCParty,$AE1128,LdCKey,"&lt;"&amp;$AK1128)+1)</f>
        <v/>
      </c>
      <c r="AM1128">
        <f>IF($AL1128="","",$AE1128&amp;"|"&amp;RIGHT("000000"&amp;$AL1128,6))</f>
        <v/>
      </c>
      <c r="AN1128">
        <f>IF($AE1128="","",IF(Sync!$W1128="",0,Sync!$W1128))</f>
        <v/>
      </c>
      <c r="AO1128">
        <f>IF($AE1128="","",IF(Sync!$X1128="",0,Sync!$X1128))</f>
        <v/>
      </c>
      <c r="AP1128">
        <f>IF($AE1128="","",Sync!$R1128)</f>
        <v/>
      </c>
      <c r="AQ1128">
        <f>IF($AE1128="","",Sync!$Y1128)</f>
        <v/>
      </c>
    </row>
    <row r="1129">
      <c r="A1129">
        <f>IF(OR(Wages!$B1132="",Wages!$E1132=""),"",Wages!$E1132)</f>
        <v/>
      </c>
      <c r="B1129">
        <f>IF($A1129="","",IF(Wages!$C1132="دستمزد گروهی",2,1))</f>
        <v/>
      </c>
      <c r="C1129">
        <f>IF($A1129="","",IF(ISNUMBER(Wages!$B1132),IF(AND(Wages!$B1132&gt;=10000101,Wages!$B1132&lt;=99991231),INT(Wages!$B1132/10000),""),IFERROR(VALUE(TRIM(LEFT(Wages!$B1132,FIND("/",Wages!$B1132)-1))),"")))</f>
        <v/>
      </c>
      <c r="D1129">
        <f>IF(OR($A1129="",$C1129=""),"",IF(ISNUMBER(Wages!$B1132),INT(MOD(Wages!$B1132,10000)/100),IFERROR(VALUE(TRIM(LEFT(MID(Wages!$B1132,FIND("/",Wages!$B1132)+1,20),FIND("/",MID(Wages!$B1132,FIND("/",Wages!$B1132)+1,20))-1))),"")))</f>
        <v/>
      </c>
      <c r="E1129">
        <f>IF(OR($A1129="",$C1129=""),"",IF(ISNUMBER(Wages!$B1132),MOD(Wages!$B1132,100),IFERROR(VALUE(TRIM(MID(MID(Wages!$B1132,FIND("/",Wages!$B1132)+1,20),FIND("/",MID(Wages!$B1132,FIND("/",Wages!$B1132)+1,20))+1,20))),"")))</f>
        <v/>
      </c>
      <c r="F1129">
        <f>IF($A1129="","",IF(OR($C1129="",$D1129="",$E1129="",$C1129&lt;1300,$C1129&gt;1500,$D1129&lt;1,$D1129&gt;12,$E1129&lt;1,$E1129&gt;31),"نامعتبر",RIGHT("0000"&amp;$C1129,4)&amp;"/"&amp;RIGHT("00"&amp;$D1129,2)&amp;"/"&amp;RIGHT("00"&amp;$E1129,2)))</f>
        <v/>
      </c>
      <c r="G1129">
        <f>IF(OR($A1129="",$F1129="",$F1129="نامعتبر"),"",LEFT($F1129,4)&amp;MID($F1129,6,2)&amp;RIGHT($F1129,2)&amp;"0000"&amp;"|"&amp;"1"&amp;RIGHT("00000"&amp;1124,5))</f>
        <v/>
      </c>
      <c r="H1129">
        <f>IF(OR($B1129&lt;&gt;1,$G1129=""),"",COUNTIFS(LdAParty,$A1129,LdAType,1,LdAKey,"&lt;"&amp;$G1129)+COUNTIFS(LdBMember,$A1129,LdBKey,"&lt;"&amp;$G1129)+COUNTIFS(LdCParty,$A1129,LdCKey,"&lt;"&amp;$G1129)+1)</f>
        <v/>
      </c>
      <c r="I1129">
        <f>IF($H1129="","",$A1129&amp;"|"&amp;RIGHT("000000"&amp;$H1129,6))</f>
        <v/>
      </c>
      <c r="J1129">
        <f>IF(OR($B1129&lt;&gt;2,$G1129=""),"",COUNTIFS(LdAParty,$A1129,LdAType,2,LdAKey,"&lt;"&amp;$G1129)+1)</f>
        <v/>
      </c>
      <c r="K1129">
        <f>IF($J1129="","",$A1129&amp;"|"&amp;RIGHT("000000"&amp;$J1129,6))</f>
        <v/>
      </c>
      <c r="L1129">
        <f>IF($A1129="","",IF(Wages!$G1132="",0,Wages!$G1132))</f>
        <v/>
      </c>
      <c r="M1129">
        <f>IF($A1129="","",Wages!$J1132)</f>
        <v/>
      </c>
      <c r="N1129">
        <f>IF($A1129="","",Wages!$D1132)</f>
        <v/>
      </c>
      <c r="P1129">
        <f>IF(OR(Shares!$B1132="",Shares!$C1132=""),"",Shares!$C1132)</f>
        <v/>
      </c>
      <c r="Q1129">
        <f>IF($P1129="","",Shares!$B1132)</f>
        <v/>
      </c>
      <c r="R1129">
        <f>IF($P1129="","",IFERROR(INDEX(WageParty,MATCH($Q1129,WageIds,0)),""))</f>
        <v/>
      </c>
      <c r="S1129">
        <f>IF($P1129="","",IFERROR(INDEX($F$6:$F$2005,MATCH($Q1129,WageIds,0)),""))</f>
        <v/>
      </c>
      <c r="T1129">
        <f>IF(OR($P1129="",$S1129="",$S1129="نامعتبر"),"",LEFT($S1129,4)&amp;MID($S1129,6,2)&amp;RIGHT($S1129,2)&amp;"0000"&amp;"|"&amp;"2"&amp;RIGHT("00000"&amp;1124,5))</f>
        <v/>
      </c>
      <c r="U1129">
        <f>IF($T1129="","",COUNTIFS(LdAParty,$P1129,LdAType,1,LdAKey,"&lt;"&amp;$T1129)+COUNTIFS(LdBMember,$P1129,LdBKey,"&lt;"&amp;$T1129)+COUNTIFS(LdCParty,$P1129,LdCKey,"&lt;"&amp;$T1129)+1)</f>
        <v/>
      </c>
      <c r="V1129">
        <f>IF($U1129="","",$P1129&amp;"|"&amp;RIGHT("000000"&amp;$U1129,6))</f>
        <v/>
      </c>
      <c r="W1129">
        <f>IF($T1129="","",COUNTIFS(LdBGroup,$R1129,LdBKey,"&lt;"&amp;$T1129)+1)</f>
        <v/>
      </c>
      <c r="X1129">
        <f>IF($W1129="","",$R1129&amp;"|"&amp;RIGHT("000000"&amp;$W1129,6))</f>
        <v/>
      </c>
      <c r="Y1129">
        <f>IF($P1129="","",IF(Shares!$E1132="",0,Shares!$E1132))</f>
        <v/>
      </c>
      <c r="Z1129">
        <f>IF($P1129="","",Shares!$H1132)</f>
        <v/>
      </c>
      <c r="AE1129">
        <f>IF(OR(Sync!$S1129="",Sync!$P1129=""),"",Sync!$S1129)</f>
        <v/>
      </c>
      <c r="AF1129">
        <f>IF($AE1129="","",IF(ISNUMBER(Sync!$P1129),IF(AND(Sync!$P1129&gt;=10000101,Sync!$P1129&lt;=99991231),INT(Sync!$P1129/10000),""),IFERROR(VALUE(TRIM(LEFT(Sync!$P1129,FIND("/",Sync!$P1129)-1))),"")))</f>
        <v/>
      </c>
      <c r="AG1129">
        <f>IF(OR($AE1129="",$AF1129=""),"",IF(ISNUMBER(Sync!$P1129),INT(MOD(Sync!$P1129,10000)/100),IFERROR(VALUE(TRIM(LEFT(MID(Sync!$P1129,FIND("/",Sync!$P1129)+1,20),FIND("/",MID(Sync!$P1129,FIND("/",Sync!$P1129)+1,20))-1))),"")))</f>
        <v/>
      </c>
      <c r="AH1129">
        <f>IF(OR($AE1129="",$AF1129=""),"",IF(ISNUMBER(Sync!$P1129),MOD(Sync!$P1129,100),IFERROR(VALUE(TRIM(MID(MID(Sync!$P1129,FIND("/",Sync!$P1129)+1,20),FIND("/",MID(Sync!$P1129,FIND("/",Sync!$P1129)+1,20))+1,20))),"")))</f>
        <v/>
      </c>
      <c r="AI1129">
        <f>IF($AE1129="","",IF(OR($AF1129="",$AG1129="",$AH1129="",$AF1129&lt;1300,$AF1129&gt;1500,$AG1129&lt;1,$AG1129&gt;12,$AH1129&lt;1,$AH1129&gt;31),"نامعتبر",RIGHT("0000"&amp;$AF1129,4)&amp;"/"&amp;RIGHT("00"&amp;$AG1129,2)&amp;"/"&amp;RIGHT("00"&amp;$AH1129,2)))</f>
        <v/>
      </c>
      <c r="AJ1129">
        <f>IF($AE1129="","",IF(Sync!$Q1129="","0000",IF(AND(ISNUMBER(Sync!$Q1129),Sync!$Q1129&gt;=0,Sync!$Q1129&lt;1),RIGHT("00"&amp;HOUR(Sync!$Q1129),2)&amp;RIGHT("00"&amp;MINUTE(Sync!$Q1129),2),IFERROR(RIGHT("00"&amp;VALUE(LEFT(Sync!$Q1129,FIND(":",Sync!$Q1129)-1)),2)&amp;RIGHT("00"&amp;VALUE(MID(Sync!$Q1129,FIND(":",Sync!$Q1129)+1,2)),2),"0000"))))</f>
        <v/>
      </c>
      <c r="AK1129">
        <f>IF(OR($AE1129="",$AI1129="",$AI1129="نامعتبر"),"",LEFT($AI1129,4)&amp;MID($AI1129,6,2)&amp;RIGHT($AI1129,2)&amp;$AJ1129&amp;"|"&amp;"3"&amp;RIGHT("00000"&amp;1124,5))</f>
        <v/>
      </c>
      <c r="AL1129">
        <f>IF($AK1129="","",COUNTIFS(LdAParty,$AE1129,LdAType,1,LdAKey,"&lt;"&amp;$AK1129)+COUNTIFS(LdBMember,$AE1129,LdBKey,"&lt;"&amp;$AK1129)+COUNTIFS(LdCParty,$AE1129,LdCKey,"&lt;"&amp;$AK1129)+1)</f>
        <v/>
      </c>
      <c r="AM1129">
        <f>IF($AL1129="","",$AE1129&amp;"|"&amp;RIGHT("000000"&amp;$AL1129,6))</f>
        <v/>
      </c>
      <c r="AN1129">
        <f>IF($AE1129="","",IF(Sync!$W1129="",0,Sync!$W1129))</f>
        <v/>
      </c>
      <c r="AO1129">
        <f>IF($AE1129="","",IF(Sync!$X1129="",0,Sync!$X1129))</f>
        <v/>
      </c>
      <c r="AP1129">
        <f>IF($AE1129="","",Sync!$R1129)</f>
        <v/>
      </c>
      <c r="AQ1129">
        <f>IF($AE1129="","",Sync!$Y1129)</f>
        <v/>
      </c>
    </row>
    <row r="1130">
      <c r="A1130">
        <f>IF(OR(Wages!$B1133="",Wages!$E1133=""),"",Wages!$E1133)</f>
        <v/>
      </c>
      <c r="B1130">
        <f>IF($A1130="","",IF(Wages!$C1133="دستمزد گروهی",2,1))</f>
        <v/>
      </c>
      <c r="C1130">
        <f>IF($A1130="","",IF(ISNUMBER(Wages!$B1133),IF(AND(Wages!$B1133&gt;=10000101,Wages!$B1133&lt;=99991231),INT(Wages!$B1133/10000),""),IFERROR(VALUE(TRIM(LEFT(Wages!$B1133,FIND("/",Wages!$B1133)-1))),"")))</f>
        <v/>
      </c>
      <c r="D1130">
        <f>IF(OR($A1130="",$C1130=""),"",IF(ISNUMBER(Wages!$B1133),INT(MOD(Wages!$B1133,10000)/100),IFERROR(VALUE(TRIM(LEFT(MID(Wages!$B1133,FIND("/",Wages!$B1133)+1,20),FIND("/",MID(Wages!$B1133,FIND("/",Wages!$B1133)+1,20))-1))),"")))</f>
        <v/>
      </c>
      <c r="E1130">
        <f>IF(OR($A1130="",$C1130=""),"",IF(ISNUMBER(Wages!$B1133),MOD(Wages!$B1133,100),IFERROR(VALUE(TRIM(MID(MID(Wages!$B1133,FIND("/",Wages!$B1133)+1,20),FIND("/",MID(Wages!$B1133,FIND("/",Wages!$B1133)+1,20))+1,20))),"")))</f>
        <v/>
      </c>
      <c r="F1130">
        <f>IF($A1130="","",IF(OR($C1130="",$D1130="",$E1130="",$C1130&lt;1300,$C1130&gt;1500,$D1130&lt;1,$D1130&gt;12,$E1130&lt;1,$E1130&gt;31),"نامعتبر",RIGHT("0000"&amp;$C1130,4)&amp;"/"&amp;RIGHT("00"&amp;$D1130,2)&amp;"/"&amp;RIGHT("00"&amp;$E1130,2)))</f>
        <v/>
      </c>
      <c r="G1130">
        <f>IF(OR($A1130="",$F1130="",$F1130="نامعتبر"),"",LEFT($F1130,4)&amp;MID($F1130,6,2)&amp;RIGHT($F1130,2)&amp;"0000"&amp;"|"&amp;"1"&amp;RIGHT("00000"&amp;1125,5))</f>
        <v/>
      </c>
      <c r="H1130">
        <f>IF(OR($B1130&lt;&gt;1,$G1130=""),"",COUNTIFS(LdAParty,$A1130,LdAType,1,LdAKey,"&lt;"&amp;$G1130)+COUNTIFS(LdBMember,$A1130,LdBKey,"&lt;"&amp;$G1130)+COUNTIFS(LdCParty,$A1130,LdCKey,"&lt;"&amp;$G1130)+1)</f>
        <v/>
      </c>
      <c r="I1130">
        <f>IF($H1130="","",$A1130&amp;"|"&amp;RIGHT("000000"&amp;$H1130,6))</f>
        <v/>
      </c>
      <c r="J1130">
        <f>IF(OR($B1130&lt;&gt;2,$G1130=""),"",COUNTIFS(LdAParty,$A1130,LdAType,2,LdAKey,"&lt;"&amp;$G1130)+1)</f>
        <v/>
      </c>
      <c r="K1130">
        <f>IF($J1130="","",$A1130&amp;"|"&amp;RIGHT("000000"&amp;$J1130,6))</f>
        <v/>
      </c>
      <c r="L1130">
        <f>IF($A1130="","",IF(Wages!$G1133="",0,Wages!$G1133))</f>
        <v/>
      </c>
      <c r="M1130">
        <f>IF($A1130="","",Wages!$J1133)</f>
        <v/>
      </c>
      <c r="N1130">
        <f>IF($A1130="","",Wages!$D1133)</f>
        <v/>
      </c>
      <c r="P1130">
        <f>IF(OR(Shares!$B1133="",Shares!$C1133=""),"",Shares!$C1133)</f>
        <v/>
      </c>
      <c r="Q1130">
        <f>IF($P1130="","",Shares!$B1133)</f>
        <v/>
      </c>
      <c r="R1130">
        <f>IF($P1130="","",IFERROR(INDEX(WageParty,MATCH($Q1130,WageIds,0)),""))</f>
        <v/>
      </c>
      <c r="S1130">
        <f>IF($P1130="","",IFERROR(INDEX($F$6:$F$2005,MATCH($Q1130,WageIds,0)),""))</f>
        <v/>
      </c>
      <c r="T1130">
        <f>IF(OR($P1130="",$S1130="",$S1130="نامعتبر"),"",LEFT($S1130,4)&amp;MID($S1130,6,2)&amp;RIGHT($S1130,2)&amp;"0000"&amp;"|"&amp;"2"&amp;RIGHT("00000"&amp;1125,5))</f>
        <v/>
      </c>
      <c r="U1130">
        <f>IF($T1130="","",COUNTIFS(LdAParty,$P1130,LdAType,1,LdAKey,"&lt;"&amp;$T1130)+COUNTIFS(LdBMember,$P1130,LdBKey,"&lt;"&amp;$T1130)+COUNTIFS(LdCParty,$P1130,LdCKey,"&lt;"&amp;$T1130)+1)</f>
        <v/>
      </c>
      <c r="V1130">
        <f>IF($U1130="","",$P1130&amp;"|"&amp;RIGHT("000000"&amp;$U1130,6))</f>
        <v/>
      </c>
      <c r="W1130">
        <f>IF($T1130="","",COUNTIFS(LdBGroup,$R1130,LdBKey,"&lt;"&amp;$T1130)+1)</f>
        <v/>
      </c>
      <c r="X1130">
        <f>IF($W1130="","",$R1130&amp;"|"&amp;RIGHT("000000"&amp;$W1130,6))</f>
        <v/>
      </c>
      <c r="Y1130">
        <f>IF($P1130="","",IF(Shares!$E1133="",0,Shares!$E1133))</f>
        <v/>
      </c>
      <c r="Z1130">
        <f>IF($P1130="","",Shares!$H1133)</f>
        <v/>
      </c>
      <c r="AE1130">
        <f>IF(OR(Sync!$S1130="",Sync!$P1130=""),"",Sync!$S1130)</f>
        <v/>
      </c>
      <c r="AF1130">
        <f>IF($AE1130="","",IF(ISNUMBER(Sync!$P1130),IF(AND(Sync!$P1130&gt;=10000101,Sync!$P1130&lt;=99991231),INT(Sync!$P1130/10000),""),IFERROR(VALUE(TRIM(LEFT(Sync!$P1130,FIND("/",Sync!$P1130)-1))),"")))</f>
        <v/>
      </c>
      <c r="AG1130">
        <f>IF(OR($AE1130="",$AF1130=""),"",IF(ISNUMBER(Sync!$P1130),INT(MOD(Sync!$P1130,10000)/100),IFERROR(VALUE(TRIM(LEFT(MID(Sync!$P1130,FIND("/",Sync!$P1130)+1,20),FIND("/",MID(Sync!$P1130,FIND("/",Sync!$P1130)+1,20))-1))),"")))</f>
        <v/>
      </c>
      <c r="AH1130">
        <f>IF(OR($AE1130="",$AF1130=""),"",IF(ISNUMBER(Sync!$P1130),MOD(Sync!$P1130,100),IFERROR(VALUE(TRIM(MID(MID(Sync!$P1130,FIND("/",Sync!$P1130)+1,20),FIND("/",MID(Sync!$P1130,FIND("/",Sync!$P1130)+1,20))+1,20))),"")))</f>
        <v/>
      </c>
      <c r="AI1130">
        <f>IF($AE1130="","",IF(OR($AF1130="",$AG1130="",$AH1130="",$AF1130&lt;1300,$AF1130&gt;1500,$AG1130&lt;1,$AG1130&gt;12,$AH1130&lt;1,$AH1130&gt;31),"نامعتبر",RIGHT("0000"&amp;$AF1130,4)&amp;"/"&amp;RIGHT("00"&amp;$AG1130,2)&amp;"/"&amp;RIGHT("00"&amp;$AH1130,2)))</f>
        <v/>
      </c>
      <c r="AJ1130">
        <f>IF($AE1130="","",IF(Sync!$Q1130="","0000",IF(AND(ISNUMBER(Sync!$Q1130),Sync!$Q1130&gt;=0,Sync!$Q1130&lt;1),RIGHT("00"&amp;HOUR(Sync!$Q1130),2)&amp;RIGHT("00"&amp;MINUTE(Sync!$Q1130),2),IFERROR(RIGHT("00"&amp;VALUE(LEFT(Sync!$Q1130,FIND(":",Sync!$Q1130)-1)),2)&amp;RIGHT("00"&amp;VALUE(MID(Sync!$Q1130,FIND(":",Sync!$Q1130)+1,2)),2),"0000"))))</f>
        <v/>
      </c>
      <c r="AK1130">
        <f>IF(OR($AE1130="",$AI1130="",$AI1130="نامعتبر"),"",LEFT($AI1130,4)&amp;MID($AI1130,6,2)&amp;RIGHT($AI1130,2)&amp;$AJ1130&amp;"|"&amp;"3"&amp;RIGHT("00000"&amp;1125,5))</f>
        <v/>
      </c>
      <c r="AL1130">
        <f>IF($AK1130="","",COUNTIFS(LdAParty,$AE1130,LdAType,1,LdAKey,"&lt;"&amp;$AK1130)+COUNTIFS(LdBMember,$AE1130,LdBKey,"&lt;"&amp;$AK1130)+COUNTIFS(LdCParty,$AE1130,LdCKey,"&lt;"&amp;$AK1130)+1)</f>
        <v/>
      </c>
      <c r="AM1130">
        <f>IF($AL1130="","",$AE1130&amp;"|"&amp;RIGHT("000000"&amp;$AL1130,6))</f>
        <v/>
      </c>
      <c r="AN1130">
        <f>IF($AE1130="","",IF(Sync!$W1130="",0,Sync!$W1130))</f>
        <v/>
      </c>
      <c r="AO1130">
        <f>IF($AE1130="","",IF(Sync!$X1130="",0,Sync!$X1130))</f>
        <v/>
      </c>
      <c r="AP1130">
        <f>IF($AE1130="","",Sync!$R1130)</f>
        <v/>
      </c>
      <c r="AQ1130">
        <f>IF($AE1130="","",Sync!$Y1130)</f>
        <v/>
      </c>
    </row>
    <row r="1131">
      <c r="A1131">
        <f>IF(OR(Wages!$B1134="",Wages!$E1134=""),"",Wages!$E1134)</f>
        <v/>
      </c>
      <c r="B1131">
        <f>IF($A1131="","",IF(Wages!$C1134="دستمزد گروهی",2,1))</f>
        <v/>
      </c>
      <c r="C1131">
        <f>IF($A1131="","",IF(ISNUMBER(Wages!$B1134),IF(AND(Wages!$B1134&gt;=10000101,Wages!$B1134&lt;=99991231),INT(Wages!$B1134/10000),""),IFERROR(VALUE(TRIM(LEFT(Wages!$B1134,FIND("/",Wages!$B1134)-1))),"")))</f>
        <v/>
      </c>
      <c r="D1131">
        <f>IF(OR($A1131="",$C1131=""),"",IF(ISNUMBER(Wages!$B1134),INT(MOD(Wages!$B1134,10000)/100),IFERROR(VALUE(TRIM(LEFT(MID(Wages!$B1134,FIND("/",Wages!$B1134)+1,20),FIND("/",MID(Wages!$B1134,FIND("/",Wages!$B1134)+1,20))-1))),"")))</f>
        <v/>
      </c>
      <c r="E1131">
        <f>IF(OR($A1131="",$C1131=""),"",IF(ISNUMBER(Wages!$B1134),MOD(Wages!$B1134,100),IFERROR(VALUE(TRIM(MID(MID(Wages!$B1134,FIND("/",Wages!$B1134)+1,20),FIND("/",MID(Wages!$B1134,FIND("/",Wages!$B1134)+1,20))+1,20))),"")))</f>
        <v/>
      </c>
      <c r="F1131">
        <f>IF($A1131="","",IF(OR($C1131="",$D1131="",$E1131="",$C1131&lt;1300,$C1131&gt;1500,$D1131&lt;1,$D1131&gt;12,$E1131&lt;1,$E1131&gt;31),"نامعتبر",RIGHT("0000"&amp;$C1131,4)&amp;"/"&amp;RIGHT("00"&amp;$D1131,2)&amp;"/"&amp;RIGHT("00"&amp;$E1131,2)))</f>
        <v/>
      </c>
      <c r="G1131">
        <f>IF(OR($A1131="",$F1131="",$F1131="نامعتبر"),"",LEFT($F1131,4)&amp;MID($F1131,6,2)&amp;RIGHT($F1131,2)&amp;"0000"&amp;"|"&amp;"1"&amp;RIGHT("00000"&amp;1126,5))</f>
        <v/>
      </c>
      <c r="H1131">
        <f>IF(OR($B1131&lt;&gt;1,$G1131=""),"",COUNTIFS(LdAParty,$A1131,LdAType,1,LdAKey,"&lt;"&amp;$G1131)+COUNTIFS(LdBMember,$A1131,LdBKey,"&lt;"&amp;$G1131)+COUNTIFS(LdCParty,$A1131,LdCKey,"&lt;"&amp;$G1131)+1)</f>
        <v/>
      </c>
      <c r="I1131">
        <f>IF($H1131="","",$A1131&amp;"|"&amp;RIGHT("000000"&amp;$H1131,6))</f>
        <v/>
      </c>
      <c r="J1131">
        <f>IF(OR($B1131&lt;&gt;2,$G1131=""),"",COUNTIFS(LdAParty,$A1131,LdAType,2,LdAKey,"&lt;"&amp;$G1131)+1)</f>
        <v/>
      </c>
      <c r="K1131">
        <f>IF($J1131="","",$A1131&amp;"|"&amp;RIGHT("000000"&amp;$J1131,6))</f>
        <v/>
      </c>
      <c r="L1131">
        <f>IF($A1131="","",IF(Wages!$G1134="",0,Wages!$G1134))</f>
        <v/>
      </c>
      <c r="M1131">
        <f>IF($A1131="","",Wages!$J1134)</f>
        <v/>
      </c>
      <c r="N1131">
        <f>IF($A1131="","",Wages!$D1134)</f>
        <v/>
      </c>
      <c r="P1131">
        <f>IF(OR(Shares!$B1134="",Shares!$C1134=""),"",Shares!$C1134)</f>
        <v/>
      </c>
      <c r="Q1131">
        <f>IF($P1131="","",Shares!$B1134)</f>
        <v/>
      </c>
      <c r="R1131">
        <f>IF($P1131="","",IFERROR(INDEX(WageParty,MATCH($Q1131,WageIds,0)),""))</f>
        <v/>
      </c>
      <c r="S1131">
        <f>IF($P1131="","",IFERROR(INDEX($F$6:$F$2005,MATCH($Q1131,WageIds,0)),""))</f>
        <v/>
      </c>
      <c r="T1131">
        <f>IF(OR($P1131="",$S1131="",$S1131="نامعتبر"),"",LEFT($S1131,4)&amp;MID($S1131,6,2)&amp;RIGHT($S1131,2)&amp;"0000"&amp;"|"&amp;"2"&amp;RIGHT("00000"&amp;1126,5))</f>
        <v/>
      </c>
      <c r="U1131">
        <f>IF($T1131="","",COUNTIFS(LdAParty,$P1131,LdAType,1,LdAKey,"&lt;"&amp;$T1131)+COUNTIFS(LdBMember,$P1131,LdBKey,"&lt;"&amp;$T1131)+COUNTIFS(LdCParty,$P1131,LdCKey,"&lt;"&amp;$T1131)+1)</f>
        <v/>
      </c>
      <c r="V1131">
        <f>IF($U1131="","",$P1131&amp;"|"&amp;RIGHT("000000"&amp;$U1131,6))</f>
        <v/>
      </c>
      <c r="W1131">
        <f>IF($T1131="","",COUNTIFS(LdBGroup,$R1131,LdBKey,"&lt;"&amp;$T1131)+1)</f>
        <v/>
      </c>
      <c r="X1131">
        <f>IF($W1131="","",$R1131&amp;"|"&amp;RIGHT("000000"&amp;$W1131,6))</f>
        <v/>
      </c>
      <c r="Y1131">
        <f>IF($P1131="","",IF(Shares!$E1134="",0,Shares!$E1134))</f>
        <v/>
      </c>
      <c r="Z1131">
        <f>IF($P1131="","",Shares!$H1134)</f>
        <v/>
      </c>
      <c r="AE1131">
        <f>IF(OR(Sync!$S1131="",Sync!$P1131=""),"",Sync!$S1131)</f>
        <v/>
      </c>
      <c r="AF1131">
        <f>IF($AE1131="","",IF(ISNUMBER(Sync!$P1131),IF(AND(Sync!$P1131&gt;=10000101,Sync!$P1131&lt;=99991231),INT(Sync!$P1131/10000),""),IFERROR(VALUE(TRIM(LEFT(Sync!$P1131,FIND("/",Sync!$P1131)-1))),"")))</f>
        <v/>
      </c>
      <c r="AG1131">
        <f>IF(OR($AE1131="",$AF1131=""),"",IF(ISNUMBER(Sync!$P1131),INT(MOD(Sync!$P1131,10000)/100),IFERROR(VALUE(TRIM(LEFT(MID(Sync!$P1131,FIND("/",Sync!$P1131)+1,20),FIND("/",MID(Sync!$P1131,FIND("/",Sync!$P1131)+1,20))-1))),"")))</f>
        <v/>
      </c>
      <c r="AH1131">
        <f>IF(OR($AE1131="",$AF1131=""),"",IF(ISNUMBER(Sync!$P1131),MOD(Sync!$P1131,100),IFERROR(VALUE(TRIM(MID(MID(Sync!$P1131,FIND("/",Sync!$P1131)+1,20),FIND("/",MID(Sync!$P1131,FIND("/",Sync!$P1131)+1,20))+1,20))),"")))</f>
        <v/>
      </c>
      <c r="AI1131">
        <f>IF($AE1131="","",IF(OR($AF1131="",$AG1131="",$AH1131="",$AF1131&lt;1300,$AF1131&gt;1500,$AG1131&lt;1,$AG1131&gt;12,$AH1131&lt;1,$AH1131&gt;31),"نامعتبر",RIGHT("0000"&amp;$AF1131,4)&amp;"/"&amp;RIGHT("00"&amp;$AG1131,2)&amp;"/"&amp;RIGHT("00"&amp;$AH1131,2)))</f>
        <v/>
      </c>
      <c r="AJ1131">
        <f>IF($AE1131="","",IF(Sync!$Q1131="","0000",IF(AND(ISNUMBER(Sync!$Q1131),Sync!$Q1131&gt;=0,Sync!$Q1131&lt;1),RIGHT("00"&amp;HOUR(Sync!$Q1131),2)&amp;RIGHT("00"&amp;MINUTE(Sync!$Q1131),2),IFERROR(RIGHT("00"&amp;VALUE(LEFT(Sync!$Q1131,FIND(":",Sync!$Q1131)-1)),2)&amp;RIGHT("00"&amp;VALUE(MID(Sync!$Q1131,FIND(":",Sync!$Q1131)+1,2)),2),"0000"))))</f>
        <v/>
      </c>
      <c r="AK1131">
        <f>IF(OR($AE1131="",$AI1131="",$AI1131="نامعتبر"),"",LEFT($AI1131,4)&amp;MID($AI1131,6,2)&amp;RIGHT($AI1131,2)&amp;$AJ1131&amp;"|"&amp;"3"&amp;RIGHT("00000"&amp;1126,5))</f>
        <v/>
      </c>
      <c r="AL1131">
        <f>IF($AK1131="","",COUNTIFS(LdAParty,$AE1131,LdAType,1,LdAKey,"&lt;"&amp;$AK1131)+COUNTIFS(LdBMember,$AE1131,LdBKey,"&lt;"&amp;$AK1131)+COUNTIFS(LdCParty,$AE1131,LdCKey,"&lt;"&amp;$AK1131)+1)</f>
        <v/>
      </c>
      <c r="AM1131">
        <f>IF($AL1131="","",$AE1131&amp;"|"&amp;RIGHT("000000"&amp;$AL1131,6))</f>
        <v/>
      </c>
      <c r="AN1131">
        <f>IF($AE1131="","",IF(Sync!$W1131="",0,Sync!$W1131))</f>
        <v/>
      </c>
      <c r="AO1131">
        <f>IF($AE1131="","",IF(Sync!$X1131="",0,Sync!$X1131))</f>
        <v/>
      </c>
      <c r="AP1131">
        <f>IF($AE1131="","",Sync!$R1131)</f>
        <v/>
      </c>
      <c r="AQ1131">
        <f>IF($AE1131="","",Sync!$Y1131)</f>
        <v/>
      </c>
    </row>
    <row r="1132">
      <c r="A1132">
        <f>IF(OR(Wages!$B1135="",Wages!$E1135=""),"",Wages!$E1135)</f>
        <v/>
      </c>
      <c r="B1132">
        <f>IF($A1132="","",IF(Wages!$C1135="دستمزد گروهی",2,1))</f>
        <v/>
      </c>
      <c r="C1132">
        <f>IF($A1132="","",IF(ISNUMBER(Wages!$B1135),IF(AND(Wages!$B1135&gt;=10000101,Wages!$B1135&lt;=99991231),INT(Wages!$B1135/10000),""),IFERROR(VALUE(TRIM(LEFT(Wages!$B1135,FIND("/",Wages!$B1135)-1))),"")))</f>
        <v/>
      </c>
      <c r="D1132">
        <f>IF(OR($A1132="",$C1132=""),"",IF(ISNUMBER(Wages!$B1135),INT(MOD(Wages!$B1135,10000)/100),IFERROR(VALUE(TRIM(LEFT(MID(Wages!$B1135,FIND("/",Wages!$B1135)+1,20),FIND("/",MID(Wages!$B1135,FIND("/",Wages!$B1135)+1,20))-1))),"")))</f>
        <v/>
      </c>
      <c r="E1132">
        <f>IF(OR($A1132="",$C1132=""),"",IF(ISNUMBER(Wages!$B1135),MOD(Wages!$B1135,100),IFERROR(VALUE(TRIM(MID(MID(Wages!$B1135,FIND("/",Wages!$B1135)+1,20),FIND("/",MID(Wages!$B1135,FIND("/",Wages!$B1135)+1,20))+1,20))),"")))</f>
        <v/>
      </c>
      <c r="F1132">
        <f>IF($A1132="","",IF(OR($C1132="",$D1132="",$E1132="",$C1132&lt;1300,$C1132&gt;1500,$D1132&lt;1,$D1132&gt;12,$E1132&lt;1,$E1132&gt;31),"نامعتبر",RIGHT("0000"&amp;$C1132,4)&amp;"/"&amp;RIGHT("00"&amp;$D1132,2)&amp;"/"&amp;RIGHT("00"&amp;$E1132,2)))</f>
        <v/>
      </c>
      <c r="G1132">
        <f>IF(OR($A1132="",$F1132="",$F1132="نامعتبر"),"",LEFT($F1132,4)&amp;MID($F1132,6,2)&amp;RIGHT($F1132,2)&amp;"0000"&amp;"|"&amp;"1"&amp;RIGHT("00000"&amp;1127,5))</f>
        <v/>
      </c>
      <c r="H1132">
        <f>IF(OR($B1132&lt;&gt;1,$G1132=""),"",COUNTIFS(LdAParty,$A1132,LdAType,1,LdAKey,"&lt;"&amp;$G1132)+COUNTIFS(LdBMember,$A1132,LdBKey,"&lt;"&amp;$G1132)+COUNTIFS(LdCParty,$A1132,LdCKey,"&lt;"&amp;$G1132)+1)</f>
        <v/>
      </c>
      <c r="I1132">
        <f>IF($H1132="","",$A1132&amp;"|"&amp;RIGHT("000000"&amp;$H1132,6))</f>
        <v/>
      </c>
      <c r="J1132">
        <f>IF(OR($B1132&lt;&gt;2,$G1132=""),"",COUNTIFS(LdAParty,$A1132,LdAType,2,LdAKey,"&lt;"&amp;$G1132)+1)</f>
        <v/>
      </c>
      <c r="K1132">
        <f>IF($J1132="","",$A1132&amp;"|"&amp;RIGHT("000000"&amp;$J1132,6))</f>
        <v/>
      </c>
      <c r="L1132">
        <f>IF($A1132="","",IF(Wages!$G1135="",0,Wages!$G1135))</f>
        <v/>
      </c>
      <c r="M1132">
        <f>IF($A1132="","",Wages!$J1135)</f>
        <v/>
      </c>
      <c r="N1132">
        <f>IF($A1132="","",Wages!$D1135)</f>
        <v/>
      </c>
      <c r="P1132">
        <f>IF(OR(Shares!$B1135="",Shares!$C1135=""),"",Shares!$C1135)</f>
        <v/>
      </c>
      <c r="Q1132">
        <f>IF($P1132="","",Shares!$B1135)</f>
        <v/>
      </c>
      <c r="R1132">
        <f>IF($P1132="","",IFERROR(INDEX(WageParty,MATCH($Q1132,WageIds,0)),""))</f>
        <v/>
      </c>
      <c r="S1132">
        <f>IF($P1132="","",IFERROR(INDEX($F$6:$F$2005,MATCH($Q1132,WageIds,0)),""))</f>
        <v/>
      </c>
      <c r="T1132">
        <f>IF(OR($P1132="",$S1132="",$S1132="نامعتبر"),"",LEFT($S1132,4)&amp;MID($S1132,6,2)&amp;RIGHT($S1132,2)&amp;"0000"&amp;"|"&amp;"2"&amp;RIGHT("00000"&amp;1127,5))</f>
        <v/>
      </c>
      <c r="U1132">
        <f>IF($T1132="","",COUNTIFS(LdAParty,$P1132,LdAType,1,LdAKey,"&lt;"&amp;$T1132)+COUNTIFS(LdBMember,$P1132,LdBKey,"&lt;"&amp;$T1132)+COUNTIFS(LdCParty,$P1132,LdCKey,"&lt;"&amp;$T1132)+1)</f>
        <v/>
      </c>
      <c r="V1132">
        <f>IF($U1132="","",$P1132&amp;"|"&amp;RIGHT("000000"&amp;$U1132,6))</f>
        <v/>
      </c>
      <c r="W1132">
        <f>IF($T1132="","",COUNTIFS(LdBGroup,$R1132,LdBKey,"&lt;"&amp;$T1132)+1)</f>
        <v/>
      </c>
      <c r="X1132">
        <f>IF($W1132="","",$R1132&amp;"|"&amp;RIGHT("000000"&amp;$W1132,6))</f>
        <v/>
      </c>
      <c r="Y1132">
        <f>IF($P1132="","",IF(Shares!$E1135="",0,Shares!$E1135))</f>
        <v/>
      </c>
      <c r="Z1132">
        <f>IF($P1132="","",Shares!$H1135)</f>
        <v/>
      </c>
      <c r="AE1132">
        <f>IF(OR(Sync!$S1132="",Sync!$P1132=""),"",Sync!$S1132)</f>
        <v/>
      </c>
      <c r="AF1132">
        <f>IF($AE1132="","",IF(ISNUMBER(Sync!$P1132),IF(AND(Sync!$P1132&gt;=10000101,Sync!$P1132&lt;=99991231),INT(Sync!$P1132/10000),""),IFERROR(VALUE(TRIM(LEFT(Sync!$P1132,FIND("/",Sync!$P1132)-1))),"")))</f>
        <v/>
      </c>
      <c r="AG1132">
        <f>IF(OR($AE1132="",$AF1132=""),"",IF(ISNUMBER(Sync!$P1132),INT(MOD(Sync!$P1132,10000)/100),IFERROR(VALUE(TRIM(LEFT(MID(Sync!$P1132,FIND("/",Sync!$P1132)+1,20),FIND("/",MID(Sync!$P1132,FIND("/",Sync!$P1132)+1,20))-1))),"")))</f>
        <v/>
      </c>
      <c r="AH1132">
        <f>IF(OR($AE1132="",$AF1132=""),"",IF(ISNUMBER(Sync!$P1132),MOD(Sync!$P1132,100),IFERROR(VALUE(TRIM(MID(MID(Sync!$P1132,FIND("/",Sync!$P1132)+1,20),FIND("/",MID(Sync!$P1132,FIND("/",Sync!$P1132)+1,20))+1,20))),"")))</f>
        <v/>
      </c>
      <c r="AI1132">
        <f>IF($AE1132="","",IF(OR($AF1132="",$AG1132="",$AH1132="",$AF1132&lt;1300,$AF1132&gt;1500,$AG1132&lt;1,$AG1132&gt;12,$AH1132&lt;1,$AH1132&gt;31),"نامعتبر",RIGHT("0000"&amp;$AF1132,4)&amp;"/"&amp;RIGHT("00"&amp;$AG1132,2)&amp;"/"&amp;RIGHT("00"&amp;$AH1132,2)))</f>
        <v/>
      </c>
      <c r="AJ1132">
        <f>IF($AE1132="","",IF(Sync!$Q1132="","0000",IF(AND(ISNUMBER(Sync!$Q1132),Sync!$Q1132&gt;=0,Sync!$Q1132&lt;1),RIGHT("00"&amp;HOUR(Sync!$Q1132),2)&amp;RIGHT("00"&amp;MINUTE(Sync!$Q1132),2),IFERROR(RIGHT("00"&amp;VALUE(LEFT(Sync!$Q1132,FIND(":",Sync!$Q1132)-1)),2)&amp;RIGHT("00"&amp;VALUE(MID(Sync!$Q1132,FIND(":",Sync!$Q1132)+1,2)),2),"0000"))))</f>
        <v/>
      </c>
      <c r="AK1132">
        <f>IF(OR($AE1132="",$AI1132="",$AI1132="نامعتبر"),"",LEFT($AI1132,4)&amp;MID($AI1132,6,2)&amp;RIGHT($AI1132,2)&amp;$AJ1132&amp;"|"&amp;"3"&amp;RIGHT("00000"&amp;1127,5))</f>
        <v/>
      </c>
      <c r="AL1132">
        <f>IF($AK1132="","",COUNTIFS(LdAParty,$AE1132,LdAType,1,LdAKey,"&lt;"&amp;$AK1132)+COUNTIFS(LdBMember,$AE1132,LdBKey,"&lt;"&amp;$AK1132)+COUNTIFS(LdCParty,$AE1132,LdCKey,"&lt;"&amp;$AK1132)+1)</f>
        <v/>
      </c>
      <c r="AM1132">
        <f>IF($AL1132="","",$AE1132&amp;"|"&amp;RIGHT("000000"&amp;$AL1132,6))</f>
        <v/>
      </c>
      <c r="AN1132">
        <f>IF($AE1132="","",IF(Sync!$W1132="",0,Sync!$W1132))</f>
        <v/>
      </c>
      <c r="AO1132">
        <f>IF($AE1132="","",IF(Sync!$X1132="",0,Sync!$X1132))</f>
        <v/>
      </c>
      <c r="AP1132">
        <f>IF($AE1132="","",Sync!$R1132)</f>
        <v/>
      </c>
      <c r="AQ1132">
        <f>IF($AE1132="","",Sync!$Y1132)</f>
        <v/>
      </c>
    </row>
    <row r="1133">
      <c r="A1133">
        <f>IF(OR(Wages!$B1136="",Wages!$E1136=""),"",Wages!$E1136)</f>
        <v/>
      </c>
      <c r="B1133">
        <f>IF($A1133="","",IF(Wages!$C1136="دستمزد گروهی",2,1))</f>
        <v/>
      </c>
      <c r="C1133">
        <f>IF($A1133="","",IF(ISNUMBER(Wages!$B1136),IF(AND(Wages!$B1136&gt;=10000101,Wages!$B1136&lt;=99991231),INT(Wages!$B1136/10000),""),IFERROR(VALUE(TRIM(LEFT(Wages!$B1136,FIND("/",Wages!$B1136)-1))),"")))</f>
        <v/>
      </c>
      <c r="D1133">
        <f>IF(OR($A1133="",$C1133=""),"",IF(ISNUMBER(Wages!$B1136),INT(MOD(Wages!$B1136,10000)/100),IFERROR(VALUE(TRIM(LEFT(MID(Wages!$B1136,FIND("/",Wages!$B1136)+1,20),FIND("/",MID(Wages!$B1136,FIND("/",Wages!$B1136)+1,20))-1))),"")))</f>
        <v/>
      </c>
      <c r="E1133">
        <f>IF(OR($A1133="",$C1133=""),"",IF(ISNUMBER(Wages!$B1136),MOD(Wages!$B1136,100),IFERROR(VALUE(TRIM(MID(MID(Wages!$B1136,FIND("/",Wages!$B1136)+1,20),FIND("/",MID(Wages!$B1136,FIND("/",Wages!$B1136)+1,20))+1,20))),"")))</f>
        <v/>
      </c>
      <c r="F1133">
        <f>IF($A1133="","",IF(OR($C1133="",$D1133="",$E1133="",$C1133&lt;1300,$C1133&gt;1500,$D1133&lt;1,$D1133&gt;12,$E1133&lt;1,$E1133&gt;31),"نامعتبر",RIGHT("0000"&amp;$C1133,4)&amp;"/"&amp;RIGHT("00"&amp;$D1133,2)&amp;"/"&amp;RIGHT("00"&amp;$E1133,2)))</f>
        <v/>
      </c>
      <c r="G1133">
        <f>IF(OR($A1133="",$F1133="",$F1133="نامعتبر"),"",LEFT($F1133,4)&amp;MID($F1133,6,2)&amp;RIGHT($F1133,2)&amp;"0000"&amp;"|"&amp;"1"&amp;RIGHT("00000"&amp;1128,5))</f>
        <v/>
      </c>
      <c r="H1133">
        <f>IF(OR($B1133&lt;&gt;1,$G1133=""),"",COUNTIFS(LdAParty,$A1133,LdAType,1,LdAKey,"&lt;"&amp;$G1133)+COUNTIFS(LdBMember,$A1133,LdBKey,"&lt;"&amp;$G1133)+COUNTIFS(LdCParty,$A1133,LdCKey,"&lt;"&amp;$G1133)+1)</f>
        <v/>
      </c>
      <c r="I1133">
        <f>IF($H1133="","",$A1133&amp;"|"&amp;RIGHT("000000"&amp;$H1133,6))</f>
        <v/>
      </c>
      <c r="J1133">
        <f>IF(OR($B1133&lt;&gt;2,$G1133=""),"",COUNTIFS(LdAParty,$A1133,LdAType,2,LdAKey,"&lt;"&amp;$G1133)+1)</f>
        <v/>
      </c>
      <c r="K1133">
        <f>IF($J1133="","",$A1133&amp;"|"&amp;RIGHT("000000"&amp;$J1133,6))</f>
        <v/>
      </c>
      <c r="L1133">
        <f>IF($A1133="","",IF(Wages!$G1136="",0,Wages!$G1136))</f>
        <v/>
      </c>
      <c r="M1133">
        <f>IF($A1133="","",Wages!$J1136)</f>
        <v/>
      </c>
      <c r="N1133">
        <f>IF($A1133="","",Wages!$D1136)</f>
        <v/>
      </c>
      <c r="P1133">
        <f>IF(OR(Shares!$B1136="",Shares!$C1136=""),"",Shares!$C1136)</f>
        <v/>
      </c>
      <c r="Q1133">
        <f>IF($P1133="","",Shares!$B1136)</f>
        <v/>
      </c>
      <c r="R1133">
        <f>IF($P1133="","",IFERROR(INDEX(WageParty,MATCH($Q1133,WageIds,0)),""))</f>
        <v/>
      </c>
      <c r="S1133">
        <f>IF($P1133="","",IFERROR(INDEX($F$6:$F$2005,MATCH($Q1133,WageIds,0)),""))</f>
        <v/>
      </c>
      <c r="T1133">
        <f>IF(OR($P1133="",$S1133="",$S1133="نامعتبر"),"",LEFT($S1133,4)&amp;MID($S1133,6,2)&amp;RIGHT($S1133,2)&amp;"0000"&amp;"|"&amp;"2"&amp;RIGHT("00000"&amp;1128,5))</f>
        <v/>
      </c>
      <c r="U1133">
        <f>IF($T1133="","",COUNTIFS(LdAParty,$P1133,LdAType,1,LdAKey,"&lt;"&amp;$T1133)+COUNTIFS(LdBMember,$P1133,LdBKey,"&lt;"&amp;$T1133)+COUNTIFS(LdCParty,$P1133,LdCKey,"&lt;"&amp;$T1133)+1)</f>
        <v/>
      </c>
      <c r="V1133">
        <f>IF($U1133="","",$P1133&amp;"|"&amp;RIGHT("000000"&amp;$U1133,6))</f>
        <v/>
      </c>
      <c r="W1133">
        <f>IF($T1133="","",COUNTIFS(LdBGroup,$R1133,LdBKey,"&lt;"&amp;$T1133)+1)</f>
        <v/>
      </c>
      <c r="X1133">
        <f>IF($W1133="","",$R1133&amp;"|"&amp;RIGHT("000000"&amp;$W1133,6))</f>
        <v/>
      </c>
      <c r="Y1133">
        <f>IF($P1133="","",IF(Shares!$E1136="",0,Shares!$E1136))</f>
        <v/>
      </c>
      <c r="Z1133">
        <f>IF($P1133="","",Shares!$H1136)</f>
        <v/>
      </c>
      <c r="AE1133">
        <f>IF(OR(Sync!$S1133="",Sync!$P1133=""),"",Sync!$S1133)</f>
        <v/>
      </c>
      <c r="AF1133">
        <f>IF($AE1133="","",IF(ISNUMBER(Sync!$P1133),IF(AND(Sync!$P1133&gt;=10000101,Sync!$P1133&lt;=99991231),INT(Sync!$P1133/10000),""),IFERROR(VALUE(TRIM(LEFT(Sync!$P1133,FIND("/",Sync!$P1133)-1))),"")))</f>
        <v/>
      </c>
      <c r="AG1133">
        <f>IF(OR($AE1133="",$AF1133=""),"",IF(ISNUMBER(Sync!$P1133),INT(MOD(Sync!$P1133,10000)/100),IFERROR(VALUE(TRIM(LEFT(MID(Sync!$P1133,FIND("/",Sync!$P1133)+1,20),FIND("/",MID(Sync!$P1133,FIND("/",Sync!$P1133)+1,20))-1))),"")))</f>
        <v/>
      </c>
      <c r="AH1133">
        <f>IF(OR($AE1133="",$AF1133=""),"",IF(ISNUMBER(Sync!$P1133),MOD(Sync!$P1133,100),IFERROR(VALUE(TRIM(MID(MID(Sync!$P1133,FIND("/",Sync!$P1133)+1,20),FIND("/",MID(Sync!$P1133,FIND("/",Sync!$P1133)+1,20))+1,20))),"")))</f>
        <v/>
      </c>
      <c r="AI1133">
        <f>IF($AE1133="","",IF(OR($AF1133="",$AG1133="",$AH1133="",$AF1133&lt;1300,$AF1133&gt;1500,$AG1133&lt;1,$AG1133&gt;12,$AH1133&lt;1,$AH1133&gt;31),"نامعتبر",RIGHT("0000"&amp;$AF1133,4)&amp;"/"&amp;RIGHT("00"&amp;$AG1133,2)&amp;"/"&amp;RIGHT("00"&amp;$AH1133,2)))</f>
        <v/>
      </c>
      <c r="AJ1133">
        <f>IF($AE1133="","",IF(Sync!$Q1133="","0000",IF(AND(ISNUMBER(Sync!$Q1133),Sync!$Q1133&gt;=0,Sync!$Q1133&lt;1),RIGHT("00"&amp;HOUR(Sync!$Q1133),2)&amp;RIGHT("00"&amp;MINUTE(Sync!$Q1133),2),IFERROR(RIGHT("00"&amp;VALUE(LEFT(Sync!$Q1133,FIND(":",Sync!$Q1133)-1)),2)&amp;RIGHT("00"&amp;VALUE(MID(Sync!$Q1133,FIND(":",Sync!$Q1133)+1,2)),2),"0000"))))</f>
        <v/>
      </c>
      <c r="AK1133">
        <f>IF(OR($AE1133="",$AI1133="",$AI1133="نامعتبر"),"",LEFT($AI1133,4)&amp;MID($AI1133,6,2)&amp;RIGHT($AI1133,2)&amp;$AJ1133&amp;"|"&amp;"3"&amp;RIGHT("00000"&amp;1128,5))</f>
        <v/>
      </c>
      <c r="AL1133">
        <f>IF($AK1133="","",COUNTIFS(LdAParty,$AE1133,LdAType,1,LdAKey,"&lt;"&amp;$AK1133)+COUNTIFS(LdBMember,$AE1133,LdBKey,"&lt;"&amp;$AK1133)+COUNTIFS(LdCParty,$AE1133,LdCKey,"&lt;"&amp;$AK1133)+1)</f>
        <v/>
      </c>
      <c r="AM1133">
        <f>IF($AL1133="","",$AE1133&amp;"|"&amp;RIGHT("000000"&amp;$AL1133,6))</f>
        <v/>
      </c>
      <c r="AN1133">
        <f>IF($AE1133="","",IF(Sync!$W1133="",0,Sync!$W1133))</f>
        <v/>
      </c>
      <c r="AO1133">
        <f>IF($AE1133="","",IF(Sync!$X1133="",0,Sync!$X1133))</f>
        <v/>
      </c>
      <c r="AP1133">
        <f>IF($AE1133="","",Sync!$R1133)</f>
        <v/>
      </c>
      <c r="AQ1133">
        <f>IF($AE1133="","",Sync!$Y1133)</f>
        <v/>
      </c>
    </row>
    <row r="1134">
      <c r="A1134">
        <f>IF(OR(Wages!$B1137="",Wages!$E1137=""),"",Wages!$E1137)</f>
        <v/>
      </c>
      <c r="B1134">
        <f>IF($A1134="","",IF(Wages!$C1137="دستمزد گروهی",2,1))</f>
        <v/>
      </c>
      <c r="C1134">
        <f>IF($A1134="","",IF(ISNUMBER(Wages!$B1137),IF(AND(Wages!$B1137&gt;=10000101,Wages!$B1137&lt;=99991231),INT(Wages!$B1137/10000),""),IFERROR(VALUE(TRIM(LEFT(Wages!$B1137,FIND("/",Wages!$B1137)-1))),"")))</f>
        <v/>
      </c>
      <c r="D1134">
        <f>IF(OR($A1134="",$C1134=""),"",IF(ISNUMBER(Wages!$B1137),INT(MOD(Wages!$B1137,10000)/100),IFERROR(VALUE(TRIM(LEFT(MID(Wages!$B1137,FIND("/",Wages!$B1137)+1,20),FIND("/",MID(Wages!$B1137,FIND("/",Wages!$B1137)+1,20))-1))),"")))</f>
        <v/>
      </c>
      <c r="E1134">
        <f>IF(OR($A1134="",$C1134=""),"",IF(ISNUMBER(Wages!$B1137),MOD(Wages!$B1137,100),IFERROR(VALUE(TRIM(MID(MID(Wages!$B1137,FIND("/",Wages!$B1137)+1,20),FIND("/",MID(Wages!$B1137,FIND("/",Wages!$B1137)+1,20))+1,20))),"")))</f>
        <v/>
      </c>
      <c r="F1134">
        <f>IF($A1134="","",IF(OR($C1134="",$D1134="",$E1134="",$C1134&lt;1300,$C1134&gt;1500,$D1134&lt;1,$D1134&gt;12,$E1134&lt;1,$E1134&gt;31),"نامعتبر",RIGHT("0000"&amp;$C1134,4)&amp;"/"&amp;RIGHT("00"&amp;$D1134,2)&amp;"/"&amp;RIGHT("00"&amp;$E1134,2)))</f>
        <v/>
      </c>
      <c r="G1134">
        <f>IF(OR($A1134="",$F1134="",$F1134="نامعتبر"),"",LEFT($F1134,4)&amp;MID($F1134,6,2)&amp;RIGHT($F1134,2)&amp;"0000"&amp;"|"&amp;"1"&amp;RIGHT("00000"&amp;1129,5))</f>
        <v/>
      </c>
      <c r="H1134">
        <f>IF(OR($B1134&lt;&gt;1,$G1134=""),"",COUNTIFS(LdAParty,$A1134,LdAType,1,LdAKey,"&lt;"&amp;$G1134)+COUNTIFS(LdBMember,$A1134,LdBKey,"&lt;"&amp;$G1134)+COUNTIFS(LdCParty,$A1134,LdCKey,"&lt;"&amp;$G1134)+1)</f>
        <v/>
      </c>
      <c r="I1134">
        <f>IF($H1134="","",$A1134&amp;"|"&amp;RIGHT("000000"&amp;$H1134,6))</f>
        <v/>
      </c>
      <c r="J1134">
        <f>IF(OR($B1134&lt;&gt;2,$G1134=""),"",COUNTIFS(LdAParty,$A1134,LdAType,2,LdAKey,"&lt;"&amp;$G1134)+1)</f>
        <v/>
      </c>
      <c r="K1134">
        <f>IF($J1134="","",$A1134&amp;"|"&amp;RIGHT("000000"&amp;$J1134,6))</f>
        <v/>
      </c>
      <c r="L1134">
        <f>IF($A1134="","",IF(Wages!$G1137="",0,Wages!$G1137))</f>
        <v/>
      </c>
      <c r="M1134">
        <f>IF($A1134="","",Wages!$J1137)</f>
        <v/>
      </c>
      <c r="N1134">
        <f>IF($A1134="","",Wages!$D1137)</f>
        <v/>
      </c>
      <c r="P1134">
        <f>IF(OR(Shares!$B1137="",Shares!$C1137=""),"",Shares!$C1137)</f>
        <v/>
      </c>
      <c r="Q1134">
        <f>IF($P1134="","",Shares!$B1137)</f>
        <v/>
      </c>
      <c r="R1134">
        <f>IF($P1134="","",IFERROR(INDEX(WageParty,MATCH($Q1134,WageIds,0)),""))</f>
        <v/>
      </c>
      <c r="S1134">
        <f>IF($P1134="","",IFERROR(INDEX($F$6:$F$2005,MATCH($Q1134,WageIds,0)),""))</f>
        <v/>
      </c>
      <c r="T1134">
        <f>IF(OR($P1134="",$S1134="",$S1134="نامعتبر"),"",LEFT($S1134,4)&amp;MID($S1134,6,2)&amp;RIGHT($S1134,2)&amp;"0000"&amp;"|"&amp;"2"&amp;RIGHT("00000"&amp;1129,5))</f>
        <v/>
      </c>
      <c r="U1134">
        <f>IF($T1134="","",COUNTIFS(LdAParty,$P1134,LdAType,1,LdAKey,"&lt;"&amp;$T1134)+COUNTIFS(LdBMember,$P1134,LdBKey,"&lt;"&amp;$T1134)+COUNTIFS(LdCParty,$P1134,LdCKey,"&lt;"&amp;$T1134)+1)</f>
        <v/>
      </c>
      <c r="V1134">
        <f>IF($U1134="","",$P1134&amp;"|"&amp;RIGHT("000000"&amp;$U1134,6))</f>
        <v/>
      </c>
      <c r="W1134">
        <f>IF($T1134="","",COUNTIFS(LdBGroup,$R1134,LdBKey,"&lt;"&amp;$T1134)+1)</f>
        <v/>
      </c>
      <c r="X1134">
        <f>IF($W1134="","",$R1134&amp;"|"&amp;RIGHT("000000"&amp;$W1134,6))</f>
        <v/>
      </c>
      <c r="Y1134">
        <f>IF($P1134="","",IF(Shares!$E1137="",0,Shares!$E1137))</f>
        <v/>
      </c>
      <c r="Z1134">
        <f>IF($P1134="","",Shares!$H1137)</f>
        <v/>
      </c>
      <c r="AE1134">
        <f>IF(OR(Sync!$S1134="",Sync!$P1134=""),"",Sync!$S1134)</f>
        <v/>
      </c>
      <c r="AF1134">
        <f>IF($AE1134="","",IF(ISNUMBER(Sync!$P1134),IF(AND(Sync!$P1134&gt;=10000101,Sync!$P1134&lt;=99991231),INT(Sync!$P1134/10000),""),IFERROR(VALUE(TRIM(LEFT(Sync!$P1134,FIND("/",Sync!$P1134)-1))),"")))</f>
        <v/>
      </c>
      <c r="AG1134">
        <f>IF(OR($AE1134="",$AF1134=""),"",IF(ISNUMBER(Sync!$P1134),INT(MOD(Sync!$P1134,10000)/100),IFERROR(VALUE(TRIM(LEFT(MID(Sync!$P1134,FIND("/",Sync!$P1134)+1,20),FIND("/",MID(Sync!$P1134,FIND("/",Sync!$P1134)+1,20))-1))),"")))</f>
        <v/>
      </c>
      <c r="AH1134">
        <f>IF(OR($AE1134="",$AF1134=""),"",IF(ISNUMBER(Sync!$P1134),MOD(Sync!$P1134,100),IFERROR(VALUE(TRIM(MID(MID(Sync!$P1134,FIND("/",Sync!$P1134)+1,20),FIND("/",MID(Sync!$P1134,FIND("/",Sync!$P1134)+1,20))+1,20))),"")))</f>
        <v/>
      </c>
      <c r="AI1134">
        <f>IF($AE1134="","",IF(OR($AF1134="",$AG1134="",$AH1134="",$AF1134&lt;1300,$AF1134&gt;1500,$AG1134&lt;1,$AG1134&gt;12,$AH1134&lt;1,$AH1134&gt;31),"نامعتبر",RIGHT("0000"&amp;$AF1134,4)&amp;"/"&amp;RIGHT("00"&amp;$AG1134,2)&amp;"/"&amp;RIGHT("00"&amp;$AH1134,2)))</f>
        <v/>
      </c>
      <c r="AJ1134">
        <f>IF($AE1134="","",IF(Sync!$Q1134="","0000",IF(AND(ISNUMBER(Sync!$Q1134),Sync!$Q1134&gt;=0,Sync!$Q1134&lt;1),RIGHT("00"&amp;HOUR(Sync!$Q1134),2)&amp;RIGHT("00"&amp;MINUTE(Sync!$Q1134),2),IFERROR(RIGHT("00"&amp;VALUE(LEFT(Sync!$Q1134,FIND(":",Sync!$Q1134)-1)),2)&amp;RIGHT("00"&amp;VALUE(MID(Sync!$Q1134,FIND(":",Sync!$Q1134)+1,2)),2),"0000"))))</f>
        <v/>
      </c>
      <c r="AK1134">
        <f>IF(OR($AE1134="",$AI1134="",$AI1134="نامعتبر"),"",LEFT($AI1134,4)&amp;MID($AI1134,6,2)&amp;RIGHT($AI1134,2)&amp;$AJ1134&amp;"|"&amp;"3"&amp;RIGHT("00000"&amp;1129,5))</f>
        <v/>
      </c>
      <c r="AL1134">
        <f>IF($AK1134="","",COUNTIFS(LdAParty,$AE1134,LdAType,1,LdAKey,"&lt;"&amp;$AK1134)+COUNTIFS(LdBMember,$AE1134,LdBKey,"&lt;"&amp;$AK1134)+COUNTIFS(LdCParty,$AE1134,LdCKey,"&lt;"&amp;$AK1134)+1)</f>
        <v/>
      </c>
      <c r="AM1134">
        <f>IF($AL1134="","",$AE1134&amp;"|"&amp;RIGHT("000000"&amp;$AL1134,6))</f>
        <v/>
      </c>
      <c r="AN1134">
        <f>IF($AE1134="","",IF(Sync!$W1134="",0,Sync!$W1134))</f>
        <v/>
      </c>
      <c r="AO1134">
        <f>IF($AE1134="","",IF(Sync!$X1134="",0,Sync!$X1134))</f>
        <v/>
      </c>
      <c r="AP1134">
        <f>IF($AE1134="","",Sync!$R1134)</f>
        <v/>
      </c>
      <c r="AQ1134">
        <f>IF($AE1134="","",Sync!$Y1134)</f>
        <v/>
      </c>
    </row>
    <row r="1135">
      <c r="A1135">
        <f>IF(OR(Wages!$B1138="",Wages!$E1138=""),"",Wages!$E1138)</f>
        <v/>
      </c>
      <c r="B1135">
        <f>IF($A1135="","",IF(Wages!$C1138="دستمزد گروهی",2,1))</f>
        <v/>
      </c>
      <c r="C1135">
        <f>IF($A1135="","",IF(ISNUMBER(Wages!$B1138),IF(AND(Wages!$B1138&gt;=10000101,Wages!$B1138&lt;=99991231),INT(Wages!$B1138/10000),""),IFERROR(VALUE(TRIM(LEFT(Wages!$B1138,FIND("/",Wages!$B1138)-1))),"")))</f>
        <v/>
      </c>
      <c r="D1135">
        <f>IF(OR($A1135="",$C1135=""),"",IF(ISNUMBER(Wages!$B1138),INT(MOD(Wages!$B1138,10000)/100),IFERROR(VALUE(TRIM(LEFT(MID(Wages!$B1138,FIND("/",Wages!$B1138)+1,20),FIND("/",MID(Wages!$B1138,FIND("/",Wages!$B1138)+1,20))-1))),"")))</f>
        <v/>
      </c>
      <c r="E1135">
        <f>IF(OR($A1135="",$C1135=""),"",IF(ISNUMBER(Wages!$B1138),MOD(Wages!$B1138,100),IFERROR(VALUE(TRIM(MID(MID(Wages!$B1138,FIND("/",Wages!$B1138)+1,20),FIND("/",MID(Wages!$B1138,FIND("/",Wages!$B1138)+1,20))+1,20))),"")))</f>
        <v/>
      </c>
      <c r="F1135">
        <f>IF($A1135="","",IF(OR($C1135="",$D1135="",$E1135="",$C1135&lt;1300,$C1135&gt;1500,$D1135&lt;1,$D1135&gt;12,$E1135&lt;1,$E1135&gt;31),"نامعتبر",RIGHT("0000"&amp;$C1135,4)&amp;"/"&amp;RIGHT("00"&amp;$D1135,2)&amp;"/"&amp;RIGHT("00"&amp;$E1135,2)))</f>
        <v/>
      </c>
      <c r="G1135">
        <f>IF(OR($A1135="",$F1135="",$F1135="نامعتبر"),"",LEFT($F1135,4)&amp;MID($F1135,6,2)&amp;RIGHT($F1135,2)&amp;"0000"&amp;"|"&amp;"1"&amp;RIGHT("00000"&amp;1130,5))</f>
        <v/>
      </c>
      <c r="H1135">
        <f>IF(OR($B1135&lt;&gt;1,$G1135=""),"",COUNTIFS(LdAParty,$A1135,LdAType,1,LdAKey,"&lt;"&amp;$G1135)+COUNTIFS(LdBMember,$A1135,LdBKey,"&lt;"&amp;$G1135)+COUNTIFS(LdCParty,$A1135,LdCKey,"&lt;"&amp;$G1135)+1)</f>
        <v/>
      </c>
      <c r="I1135">
        <f>IF($H1135="","",$A1135&amp;"|"&amp;RIGHT("000000"&amp;$H1135,6))</f>
        <v/>
      </c>
      <c r="J1135">
        <f>IF(OR($B1135&lt;&gt;2,$G1135=""),"",COUNTIFS(LdAParty,$A1135,LdAType,2,LdAKey,"&lt;"&amp;$G1135)+1)</f>
        <v/>
      </c>
      <c r="K1135">
        <f>IF($J1135="","",$A1135&amp;"|"&amp;RIGHT("000000"&amp;$J1135,6))</f>
        <v/>
      </c>
      <c r="L1135">
        <f>IF($A1135="","",IF(Wages!$G1138="",0,Wages!$G1138))</f>
        <v/>
      </c>
      <c r="M1135">
        <f>IF($A1135="","",Wages!$J1138)</f>
        <v/>
      </c>
      <c r="N1135">
        <f>IF($A1135="","",Wages!$D1138)</f>
        <v/>
      </c>
      <c r="P1135">
        <f>IF(OR(Shares!$B1138="",Shares!$C1138=""),"",Shares!$C1138)</f>
        <v/>
      </c>
      <c r="Q1135">
        <f>IF($P1135="","",Shares!$B1138)</f>
        <v/>
      </c>
      <c r="R1135">
        <f>IF($P1135="","",IFERROR(INDEX(WageParty,MATCH($Q1135,WageIds,0)),""))</f>
        <v/>
      </c>
      <c r="S1135">
        <f>IF($P1135="","",IFERROR(INDEX($F$6:$F$2005,MATCH($Q1135,WageIds,0)),""))</f>
        <v/>
      </c>
      <c r="T1135">
        <f>IF(OR($P1135="",$S1135="",$S1135="نامعتبر"),"",LEFT($S1135,4)&amp;MID($S1135,6,2)&amp;RIGHT($S1135,2)&amp;"0000"&amp;"|"&amp;"2"&amp;RIGHT("00000"&amp;1130,5))</f>
        <v/>
      </c>
      <c r="U1135">
        <f>IF($T1135="","",COUNTIFS(LdAParty,$P1135,LdAType,1,LdAKey,"&lt;"&amp;$T1135)+COUNTIFS(LdBMember,$P1135,LdBKey,"&lt;"&amp;$T1135)+COUNTIFS(LdCParty,$P1135,LdCKey,"&lt;"&amp;$T1135)+1)</f>
        <v/>
      </c>
      <c r="V1135">
        <f>IF($U1135="","",$P1135&amp;"|"&amp;RIGHT("000000"&amp;$U1135,6))</f>
        <v/>
      </c>
      <c r="W1135">
        <f>IF($T1135="","",COUNTIFS(LdBGroup,$R1135,LdBKey,"&lt;"&amp;$T1135)+1)</f>
        <v/>
      </c>
      <c r="X1135">
        <f>IF($W1135="","",$R1135&amp;"|"&amp;RIGHT("000000"&amp;$W1135,6))</f>
        <v/>
      </c>
      <c r="Y1135">
        <f>IF($P1135="","",IF(Shares!$E1138="",0,Shares!$E1138))</f>
        <v/>
      </c>
      <c r="Z1135">
        <f>IF($P1135="","",Shares!$H1138)</f>
        <v/>
      </c>
      <c r="AE1135">
        <f>IF(OR(Sync!$S1135="",Sync!$P1135=""),"",Sync!$S1135)</f>
        <v/>
      </c>
      <c r="AF1135">
        <f>IF($AE1135="","",IF(ISNUMBER(Sync!$P1135),IF(AND(Sync!$P1135&gt;=10000101,Sync!$P1135&lt;=99991231),INT(Sync!$P1135/10000),""),IFERROR(VALUE(TRIM(LEFT(Sync!$P1135,FIND("/",Sync!$P1135)-1))),"")))</f>
        <v/>
      </c>
      <c r="AG1135">
        <f>IF(OR($AE1135="",$AF1135=""),"",IF(ISNUMBER(Sync!$P1135),INT(MOD(Sync!$P1135,10000)/100),IFERROR(VALUE(TRIM(LEFT(MID(Sync!$P1135,FIND("/",Sync!$P1135)+1,20),FIND("/",MID(Sync!$P1135,FIND("/",Sync!$P1135)+1,20))-1))),"")))</f>
        <v/>
      </c>
      <c r="AH1135">
        <f>IF(OR($AE1135="",$AF1135=""),"",IF(ISNUMBER(Sync!$P1135),MOD(Sync!$P1135,100),IFERROR(VALUE(TRIM(MID(MID(Sync!$P1135,FIND("/",Sync!$P1135)+1,20),FIND("/",MID(Sync!$P1135,FIND("/",Sync!$P1135)+1,20))+1,20))),"")))</f>
        <v/>
      </c>
      <c r="AI1135">
        <f>IF($AE1135="","",IF(OR($AF1135="",$AG1135="",$AH1135="",$AF1135&lt;1300,$AF1135&gt;1500,$AG1135&lt;1,$AG1135&gt;12,$AH1135&lt;1,$AH1135&gt;31),"نامعتبر",RIGHT("0000"&amp;$AF1135,4)&amp;"/"&amp;RIGHT("00"&amp;$AG1135,2)&amp;"/"&amp;RIGHT("00"&amp;$AH1135,2)))</f>
        <v/>
      </c>
      <c r="AJ1135">
        <f>IF($AE1135="","",IF(Sync!$Q1135="","0000",IF(AND(ISNUMBER(Sync!$Q1135),Sync!$Q1135&gt;=0,Sync!$Q1135&lt;1),RIGHT("00"&amp;HOUR(Sync!$Q1135),2)&amp;RIGHT("00"&amp;MINUTE(Sync!$Q1135),2),IFERROR(RIGHT("00"&amp;VALUE(LEFT(Sync!$Q1135,FIND(":",Sync!$Q1135)-1)),2)&amp;RIGHT("00"&amp;VALUE(MID(Sync!$Q1135,FIND(":",Sync!$Q1135)+1,2)),2),"0000"))))</f>
        <v/>
      </c>
      <c r="AK1135">
        <f>IF(OR($AE1135="",$AI1135="",$AI1135="نامعتبر"),"",LEFT($AI1135,4)&amp;MID($AI1135,6,2)&amp;RIGHT($AI1135,2)&amp;$AJ1135&amp;"|"&amp;"3"&amp;RIGHT("00000"&amp;1130,5))</f>
        <v/>
      </c>
      <c r="AL1135">
        <f>IF($AK1135="","",COUNTIFS(LdAParty,$AE1135,LdAType,1,LdAKey,"&lt;"&amp;$AK1135)+COUNTIFS(LdBMember,$AE1135,LdBKey,"&lt;"&amp;$AK1135)+COUNTIFS(LdCParty,$AE1135,LdCKey,"&lt;"&amp;$AK1135)+1)</f>
        <v/>
      </c>
      <c r="AM1135">
        <f>IF($AL1135="","",$AE1135&amp;"|"&amp;RIGHT("000000"&amp;$AL1135,6))</f>
        <v/>
      </c>
      <c r="AN1135">
        <f>IF($AE1135="","",IF(Sync!$W1135="",0,Sync!$W1135))</f>
        <v/>
      </c>
      <c r="AO1135">
        <f>IF($AE1135="","",IF(Sync!$X1135="",0,Sync!$X1135))</f>
        <v/>
      </c>
      <c r="AP1135">
        <f>IF($AE1135="","",Sync!$R1135)</f>
        <v/>
      </c>
      <c r="AQ1135">
        <f>IF($AE1135="","",Sync!$Y1135)</f>
        <v/>
      </c>
    </row>
    <row r="1136">
      <c r="A1136">
        <f>IF(OR(Wages!$B1139="",Wages!$E1139=""),"",Wages!$E1139)</f>
        <v/>
      </c>
      <c r="B1136">
        <f>IF($A1136="","",IF(Wages!$C1139="دستمزد گروهی",2,1))</f>
        <v/>
      </c>
      <c r="C1136">
        <f>IF($A1136="","",IF(ISNUMBER(Wages!$B1139),IF(AND(Wages!$B1139&gt;=10000101,Wages!$B1139&lt;=99991231),INT(Wages!$B1139/10000),""),IFERROR(VALUE(TRIM(LEFT(Wages!$B1139,FIND("/",Wages!$B1139)-1))),"")))</f>
        <v/>
      </c>
      <c r="D1136">
        <f>IF(OR($A1136="",$C1136=""),"",IF(ISNUMBER(Wages!$B1139),INT(MOD(Wages!$B1139,10000)/100),IFERROR(VALUE(TRIM(LEFT(MID(Wages!$B1139,FIND("/",Wages!$B1139)+1,20),FIND("/",MID(Wages!$B1139,FIND("/",Wages!$B1139)+1,20))-1))),"")))</f>
        <v/>
      </c>
      <c r="E1136">
        <f>IF(OR($A1136="",$C1136=""),"",IF(ISNUMBER(Wages!$B1139),MOD(Wages!$B1139,100),IFERROR(VALUE(TRIM(MID(MID(Wages!$B1139,FIND("/",Wages!$B1139)+1,20),FIND("/",MID(Wages!$B1139,FIND("/",Wages!$B1139)+1,20))+1,20))),"")))</f>
        <v/>
      </c>
      <c r="F1136">
        <f>IF($A1136="","",IF(OR($C1136="",$D1136="",$E1136="",$C1136&lt;1300,$C1136&gt;1500,$D1136&lt;1,$D1136&gt;12,$E1136&lt;1,$E1136&gt;31),"نامعتبر",RIGHT("0000"&amp;$C1136,4)&amp;"/"&amp;RIGHT("00"&amp;$D1136,2)&amp;"/"&amp;RIGHT("00"&amp;$E1136,2)))</f>
        <v/>
      </c>
      <c r="G1136">
        <f>IF(OR($A1136="",$F1136="",$F1136="نامعتبر"),"",LEFT($F1136,4)&amp;MID($F1136,6,2)&amp;RIGHT($F1136,2)&amp;"0000"&amp;"|"&amp;"1"&amp;RIGHT("00000"&amp;1131,5))</f>
        <v/>
      </c>
      <c r="H1136">
        <f>IF(OR($B1136&lt;&gt;1,$G1136=""),"",COUNTIFS(LdAParty,$A1136,LdAType,1,LdAKey,"&lt;"&amp;$G1136)+COUNTIFS(LdBMember,$A1136,LdBKey,"&lt;"&amp;$G1136)+COUNTIFS(LdCParty,$A1136,LdCKey,"&lt;"&amp;$G1136)+1)</f>
        <v/>
      </c>
      <c r="I1136">
        <f>IF($H1136="","",$A1136&amp;"|"&amp;RIGHT("000000"&amp;$H1136,6))</f>
        <v/>
      </c>
      <c r="J1136">
        <f>IF(OR($B1136&lt;&gt;2,$G1136=""),"",COUNTIFS(LdAParty,$A1136,LdAType,2,LdAKey,"&lt;"&amp;$G1136)+1)</f>
        <v/>
      </c>
      <c r="K1136">
        <f>IF($J1136="","",$A1136&amp;"|"&amp;RIGHT("000000"&amp;$J1136,6))</f>
        <v/>
      </c>
      <c r="L1136">
        <f>IF($A1136="","",IF(Wages!$G1139="",0,Wages!$G1139))</f>
        <v/>
      </c>
      <c r="M1136">
        <f>IF($A1136="","",Wages!$J1139)</f>
        <v/>
      </c>
      <c r="N1136">
        <f>IF($A1136="","",Wages!$D1139)</f>
        <v/>
      </c>
      <c r="P1136">
        <f>IF(OR(Shares!$B1139="",Shares!$C1139=""),"",Shares!$C1139)</f>
        <v/>
      </c>
      <c r="Q1136">
        <f>IF($P1136="","",Shares!$B1139)</f>
        <v/>
      </c>
      <c r="R1136">
        <f>IF($P1136="","",IFERROR(INDEX(WageParty,MATCH($Q1136,WageIds,0)),""))</f>
        <v/>
      </c>
      <c r="S1136">
        <f>IF($P1136="","",IFERROR(INDEX($F$6:$F$2005,MATCH($Q1136,WageIds,0)),""))</f>
        <v/>
      </c>
      <c r="T1136">
        <f>IF(OR($P1136="",$S1136="",$S1136="نامعتبر"),"",LEFT($S1136,4)&amp;MID($S1136,6,2)&amp;RIGHT($S1136,2)&amp;"0000"&amp;"|"&amp;"2"&amp;RIGHT("00000"&amp;1131,5))</f>
        <v/>
      </c>
      <c r="U1136">
        <f>IF($T1136="","",COUNTIFS(LdAParty,$P1136,LdAType,1,LdAKey,"&lt;"&amp;$T1136)+COUNTIFS(LdBMember,$P1136,LdBKey,"&lt;"&amp;$T1136)+COUNTIFS(LdCParty,$P1136,LdCKey,"&lt;"&amp;$T1136)+1)</f>
        <v/>
      </c>
      <c r="V1136">
        <f>IF($U1136="","",$P1136&amp;"|"&amp;RIGHT("000000"&amp;$U1136,6))</f>
        <v/>
      </c>
      <c r="W1136">
        <f>IF($T1136="","",COUNTIFS(LdBGroup,$R1136,LdBKey,"&lt;"&amp;$T1136)+1)</f>
        <v/>
      </c>
      <c r="X1136">
        <f>IF($W1136="","",$R1136&amp;"|"&amp;RIGHT("000000"&amp;$W1136,6))</f>
        <v/>
      </c>
      <c r="Y1136">
        <f>IF($P1136="","",IF(Shares!$E1139="",0,Shares!$E1139))</f>
        <v/>
      </c>
      <c r="Z1136">
        <f>IF($P1136="","",Shares!$H1139)</f>
        <v/>
      </c>
      <c r="AE1136">
        <f>IF(OR(Sync!$S1136="",Sync!$P1136=""),"",Sync!$S1136)</f>
        <v/>
      </c>
      <c r="AF1136">
        <f>IF($AE1136="","",IF(ISNUMBER(Sync!$P1136),IF(AND(Sync!$P1136&gt;=10000101,Sync!$P1136&lt;=99991231),INT(Sync!$P1136/10000),""),IFERROR(VALUE(TRIM(LEFT(Sync!$P1136,FIND("/",Sync!$P1136)-1))),"")))</f>
        <v/>
      </c>
      <c r="AG1136">
        <f>IF(OR($AE1136="",$AF1136=""),"",IF(ISNUMBER(Sync!$P1136),INT(MOD(Sync!$P1136,10000)/100),IFERROR(VALUE(TRIM(LEFT(MID(Sync!$P1136,FIND("/",Sync!$P1136)+1,20),FIND("/",MID(Sync!$P1136,FIND("/",Sync!$P1136)+1,20))-1))),"")))</f>
        <v/>
      </c>
      <c r="AH1136">
        <f>IF(OR($AE1136="",$AF1136=""),"",IF(ISNUMBER(Sync!$P1136),MOD(Sync!$P1136,100),IFERROR(VALUE(TRIM(MID(MID(Sync!$P1136,FIND("/",Sync!$P1136)+1,20),FIND("/",MID(Sync!$P1136,FIND("/",Sync!$P1136)+1,20))+1,20))),"")))</f>
        <v/>
      </c>
      <c r="AI1136">
        <f>IF($AE1136="","",IF(OR($AF1136="",$AG1136="",$AH1136="",$AF1136&lt;1300,$AF1136&gt;1500,$AG1136&lt;1,$AG1136&gt;12,$AH1136&lt;1,$AH1136&gt;31),"نامعتبر",RIGHT("0000"&amp;$AF1136,4)&amp;"/"&amp;RIGHT("00"&amp;$AG1136,2)&amp;"/"&amp;RIGHT("00"&amp;$AH1136,2)))</f>
        <v/>
      </c>
      <c r="AJ1136">
        <f>IF($AE1136="","",IF(Sync!$Q1136="","0000",IF(AND(ISNUMBER(Sync!$Q1136),Sync!$Q1136&gt;=0,Sync!$Q1136&lt;1),RIGHT("00"&amp;HOUR(Sync!$Q1136),2)&amp;RIGHT("00"&amp;MINUTE(Sync!$Q1136),2),IFERROR(RIGHT("00"&amp;VALUE(LEFT(Sync!$Q1136,FIND(":",Sync!$Q1136)-1)),2)&amp;RIGHT("00"&amp;VALUE(MID(Sync!$Q1136,FIND(":",Sync!$Q1136)+1,2)),2),"0000"))))</f>
        <v/>
      </c>
      <c r="AK1136">
        <f>IF(OR($AE1136="",$AI1136="",$AI1136="نامعتبر"),"",LEFT($AI1136,4)&amp;MID($AI1136,6,2)&amp;RIGHT($AI1136,2)&amp;$AJ1136&amp;"|"&amp;"3"&amp;RIGHT("00000"&amp;1131,5))</f>
        <v/>
      </c>
      <c r="AL1136">
        <f>IF($AK1136="","",COUNTIFS(LdAParty,$AE1136,LdAType,1,LdAKey,"&lt;"&amp;$AK1136)+COUNTIFS(LdBMember,$AE1136,LdBKey,"&lt;"&amp;$AK1136)+COUNTIFS(LdCParty,$AE1136,LdCKey,"&lt;"&amp;$AK1136)+1)</f>
        <v/>
      </c>
      <c r="AM1136">
        <f>IF($AL1136="","",$AE1136&amp;"|"&amp;RIGHT("000000"&amp;$AL1136,6))</f>
        <v/>
      </c>
      <c r="AN1136">
        <f>IF($AE1136="","",IF(Sync!$W1136="",0,Sync!$W1136))</f>
        <v/>
      </c>
      <c r="AO1136">
        <f>IF($AE1136="","",IF(Sync!$X1136="",0,Sync!$X1136))</f>
        <v/>
      </c>
      <c r="AP1136">
        <f>IF($AE1136="","",Sync!$R1136)</f>
        <v/>
      </c>
      <c r="AQ1136">
        <f>IF($AE1136="","",Sync!$Y1136)</f>
        <v/>
      </c>
    </row>
    <row r="1137">
      <c r="A1137">
        <f>IF(OR(Wages!$B1140="",Wages!$E1140=""),"",Wages!$E1140)</f>
        <v/>
      </c>
      <c r="B1137">
        <f>IF($A1137="","",IF(Wages!$C1140="دستمزد گروهی",2,1))</f>
        <v/>
      </c>
      <c r="C1137">
        <f>IF($A1137="","",IF(ISNUMBER(Wages!$B1140),IF(AND(Wages!$B1140&gt;=10000101,Wages!$B1140&lt;=99991231),INT(Wages!$B1140/10000),""),IFERROR(VALUE(TRIM(LEFT(Wages!$B1140,FIND("/",Wages!$B1140)-1))),"")))</f>
        <v/>
      </c>
      <c r="D1137">
        <f>IF(OR($A1137="",$C1137=""),"",IF(ISNUMBER(Wages!$B1140),INT(MOD(Wages!$B1140,10000)/100),IFERROR(VALUE(TRIM(LEFT(MID(Wages!$B1140,FIND("/",Wages!$B1140)+1,20),FIND("/",MID(Wages!$B1140,FIND("/",Wages!$B1140)+1,20))-1))),"")))</f>
        <v/>
      </c>
      <c r="E1137">
        <f>IF(OR($A1137="",$C1137=""),"",IF(ISNUMBER(Wages!$B1140),MOD(Wages!$B1140,100),IFERROR(VALUE(TRIM(MID(MID(Wages!$B1140,FIND("/",Wages!$B1140)+1,20),FIND("/",MID(Wages!$B1140,FIND("/",Wages!$B1140)+1,20))+1,20))),"")))</f>
        <v/>
      </c>
      <c r="F1137">
        <f>IF($A1137="","",IF(OR($C1137="",$D1137="",$E1137="",$C1137&lt;1300,$C1137&gt;1500,$D1137&lt;1,$D1137&gt;12,$E1137&lt;1,$E1137&gt;31),"نامعتبر",RIGHT("0000"&amp;$C1137,4)&amp;"/"&amp;RIGHT("00"&amp;$D1137,2)&amp;"/"&amp;RIGHT("00"&amp;$E1137,2)))</f>
        <v/>
      </c>
      <c r="G1137">
        <f>IF(OR($A1137="",$F1137="",$F1137="نامعتبر"),"",LEFT($F1137,4)&amp;MID($F1137,6,2)&amp;RIGHT($F1137,2)&amp;"0000"&amp;"|"&amp;"1"&amp;RIGHT("00000"&amp;1132,5))</f>
        <v/>
      </c>
      <c r="H1137">
        <f>IF(OR($B1137&lt;&gt;1,$G1137=""),"",COUNTIFS(LdAParty,$A1137,LdAType,1,LdAKey,"&lt;"&amp;$G1137)+COUNTIFS(LdBMember,$A1137,LdBKey,"&lt;"&amp;$G1137)+COUNTIFS(LdCParty,$A1137,LdCKey,"&lt;"&amp;$G1137)+1)</f>
        <v/>
      </c>
      <c r="I1137">
        <f>IF($H1137="","",$A1137&amp;"|"&amp;RIGHT("000000"&amp;$H1137,6))</f>
        <v/>
      </c>
      <c r="J1137">
        <f>IF(OR($B1137&lt;&gt;2,$G1137=""),"",COUNTIFS(LdAParty,$A1137,LdAType,2,LdAKey,"&lt;"&amp;$G1137)+1)</f>
        <v/>
      </c>
      <c r="K1137">
        <f>IF($J1137="","",$A1137&amp;"|"&amp;RIGHT("000000"&amp;$J1137,6))</f>
        <v/>
      </c>
      <c r="L1137">
        <f>IF($A1137="","",IF(Wages!$G1140="",0,Wages!$G1140))</f>
        <v/>
      </c>
      <c r="M1137">
        <f>IF($A1137="","",Wages!$J1140)</f>
        <v/>
      </c>
      <c r="N1137">
        <f>IF($A1137="","",Wages!$D1140)</f>
        <v/>
      </c>
      <c r="P1137">
        <f>IF(OR(Shares!$B1140="",Shares!$C1140=""),"",Shares!$C1140)</f>
        <v/>
      </c>
      <c r="Q1137">
        <f>IF($P1137="","",Shares!$B1140)</f>
        <v/>
      </c>
      <c r="R1137">
        <f>IF($P1137="","",IFERROR(INDEX(WageParty,MATCH($Q1137,WageIds,0)),""))</f>
        <v/>
      </c>
      <c r="S1137">
        <f>IF($P1137="","",IFERROR(INDEX($F$6:$F$2005,MATCH($Q1137,WageIds,0)),""))</f>
        <v/>
      </c>
      <c r="T1137">
        <f>IF(OR($P1137="",$S1137="",$S1137="نامعتبر"),"",LEFT($S1137,4)&amp;MID($S1137,6,2)&amp;RIGHT($S1137,2)&amp;"0000"&amp;"|"&amp;"2"&amp;RIGHT("00000"&amp;1132,5))</f>
        <v/>
      </c>
      <c r="U1137">
        <f>IF($T1137="","",COUNTIFS(LdAParty,$P1137,LdAType,1,LdAKey,"&lt;"&amp;$T1137)+COUNTIFS(LdBMember,$P1137,LdBKey,"&lt;"&amp;$T1137)+COUNTIFS(LdCParty,$P1137,LdCKey,"&lt;"&amp;$T1137)+1)</f>
        <v/>
      </c>
      <c r="V1137">
        <f>IF($U1137="","",$P1137&amp;"|"&amp;RIGHT("000000"&amp;$U1137,6))</f>
        <v/>
      </c>
      <c r="W1137">
        <f>IF($T1137="","",COUNTIFS(LdBGroup,$R1137,LdBKey,"&lt;"&amp;$T1137)+1)</f>
        <v/>
      </c>
      <c r="X1137">
        <f>IF($W1137="","",$R1137&amp;"|"&amp;RIGHT("000000"&amp;$W1137,6))</f>
        <v/>
      </c>
      <c r="Y1137">
        <f>IF($P1137="","",IF(Shares!$E1140="",0,Shares!$E1140))</f>
        <v/>
      </c>
      <c r="Z1137">
        <f>IF($P1137="","",Shares!$H1140)</f>
        <v/>
      </c>
      <c r="AE1137">
        <f>IF(OR(Sync!$S1137="",Sync!$P1137=""),"",Sync!$S1137)</f>
        <v/>
      </c>
      <c r="AF1137">
        <f>IF($AE1137="","",IF(ISNUMBER(Sync!$P1137),IF(AND(Sync!$P1137&gt;=10000101,Sync!$P1137&lt;=99991231),INT(Sync!$P1137/10000),""),IFERROR(VALUE(TRIM(LEFT(Sync!$P1137,FIND("/",Sync!$P1137)-1))),"")))</f>
        <v/>
      </c>
      <c r="AG1137">
        <f>IF(OR($AE1137="",$AF1137=""),"",IF(ISNUMBER(Sync!$P1137),INT(MOD(Sync!$P1137,10000)/100),IFERROR(VALUE(TRIM(LEFT(MID(Sync!$P1137,FIND("/",Sync!$P1137)+1,20),FIND("/",MID(Sync!$P1137,FIND("/",Sync!$P1137)+1,20))-1))),"")))</f>
        <v/>
      </c>
      <c r="AH1137">
        <f>IF(OR($AE1137="",$AF1137=""),"",IF(ISNUMBER(Sync!$P1137),MOD(Sync!$P1137,100),IFERROR(VALUE(TRIM(MID(MID(Sync!$P1137,FIND("/",Sync!$P1137)+1,20),FIND("/",MID(Sync!$P1137,FIND("/",Sync!$P1137)+1,20))+1,20))),"")))</f>
        <v/>
      </c>
      <c r="AI1137">
        <f>IF($AE1137="","",IF(OR($AF1137="",$AG1137="",$AH1137="",$AF1137&lt;1300,$AF1137&gt;1500,$AG1137&lt;1,$AG1137&gt;12,$AH1137&lt;1,$AH1137&gt;31),"نامعتبر",RIGHT("0000"&amp;$AF1137,4)&amp;"/"&amp;RIGHT("00"&amp;$AG1137,2)&amp;"/"&amp;RIGHT("00"&amp;$AH1137,2)))</f>
        <v/>
      </c>
      <c r="AJ1137">
        <f>IF($AE1137="","",IF(Sync!$Q1137="","0000",IF(AND(ISNUMBER(Sync!$Q1137),Sync!$Q1137&gt;=0,Sync!$Q1137&lt;1),RIGHT("00"&amp;HOUR(Sync!$Q1137),2)&amp;RIGHT("00"&amp;MINUTE(Sync!$Q1137),2),IFERROR(RIGHT("00"&amp;VALUE(LEFT(Sync!$Q1137,FIND(":",Sync!$Q1137)-1)),2)&amp;RIGHT("00"&amp;VALUE(MID(Sync!$Q1137,FIND(":",Sync!$Q1137)+1,2)),2),"0000"))))</f>
        <v/>
      </c>
      <c r="AK1137">
        <f>IF(OR($AE1137="",$AI1137="",$AI1137="نامعتبر"),"",LEFT($AI1137,4)&amp;MID($AI1137,6,2)&amp;RIGHT($AI1137,2)&amp;$AJ1137&amp;"|"&amp;"3"&amp;RIGHT("00000"&amp;1132,5))</f>
        <v/>
      </c>
      <c r="AL1137">
        <f>IF($AK1137="","",COUNTIFS(LdAParty,$AE1137,LdAType,1,LdAKey,"&lt;"&amp;$AK1137)+COUNTIFS(LdBMember,$AE1137,LdBKey,"&lt;"&amp;$AK1137)+COUNTIFS(LdCParty,$AE1137,LdCKey,"&lt;"&amp;$AK1137)+1)</f>
        <v/>
      </c>
      <c r="AM1137">
        <f>IF($AL1137="","",$AE1137&amp;"|"&amp;RIGHT("000000"&amp;$AL1137,6))</f>
        <v/>
      </c>
      <c r="AN1137">
        <f>IF($AE1137="","",IF(Sync!$W1137="",0,Sync!$W1137))</f>
        <v/>
      </c>
      <c r="AO1137">
        <f>IF($AE1137="","",IF(Sync!$X1137="",0,Sync!$X1137))</f>
        <v/>
      </c>
      <c r="AP1137">
        <f>IF($AE1137="","",Sync!$R1137)</f>
        <v/>
      </c>
      <c r="AQ1137">
        <f>IF($AE1137="","",Sync!$Y1137)</f>
        <v/>
      </c>
    </row>
    <row r="1138">
      <c r="A1138">
        <f>IF(OR(Wages!$B1141="",Wages!$E1141=""),"",Wages!$E1141)</f>
        <v/>
      </c>
      <c r="B1138">
        <f>IF($A1138="","",IF(Wages!$C1141="دستمزد گروهی",2,1))</f>
        <v/>
      </c>
      <c r="C1138">
        <f>IF($A1138="","",IF(ISNUMBER(Wages!$B1141),IF(AND(Wages!$B1141&gt;=10000101,Wages!$B1141&lt;=99991231),INT(Wages!$B1141/10000),""),IFERROR(VALUE(TRIM(LEFT(Wages!$B1141,FIND("/",Wages!$B1141)-1))),"")))</f>
        <v/>
      </c>
      <c r="D1138">
        <f>IF(OR($A1138="",$C1138=""),"",IF(ISNUMBER(Wages!$B1141),INT(MOD(Wages!$B1141,10000)/100),IFERROR(VALUE(TRIM(LEFT(MID(Wages!$B1141,FIND("/",Wages!$B1141)+1,20),FIND("/",MID(Wages!$B1141,FIND("/",Wages!$B1141)+1,20))-1))),"")))</f>
        <v/>
      </c>
      <c r="E1138">
        <f>IF(OR($A1138="",$C1138=""),"",IF(ISNUMBER(Wages!$B1141),MOD(Wages!$B1141,100),IFERROR(VALUE(TRIM(MID(MID(Wages!$B1141,FIND("/",Wages!$B1141)+1,20),FIND("/",MID(Wages!$B1141,FIND("/",Wages!$B1141)+1,20))+1,20))),"")))</f>
        <v/>
      </c>
      <c r="F1138">
        <f>IF($A1138="","",IF(OR($C1138="",$D1138="",$E1138="",$C1138&lt;1300,$C1138&gt;1500,$D1138&lt;1,$D1138&gt;12,$E1138&lt;1,$E1138&gt;31),"نامعتبر",RIGHT("0000"&amp;$C1138,4)&amp;"/"&amp;RIGHT("00"&amp;$D1138,2)&amp;"/"&amp;RIGHT("00"&amp;$E1138,2)))</f>
        <v/>
      </c>
      <c r="G1138">
        <f>IF(OR($A1138="",$F1138="",$F1138="نامعتبر"),"",LEFT($F1138,4)&amp;MID($F1138,6,2)&amp;RIGHT($F1138,2)&amp;"0000"&amp;"|"&amp;"1"&amp;RIGHT("00000"&amp;1133,5))</f>
        <v/>
      </c>
      <c r="H1138">
        <f>IF(OR($B1138&lt;&gt;1,$G1138=""),"",COUNTIFS(LdAParty,$A1138,LdAType,1,LdAKey,"&lt;"&amp;$G1138)+COUNTIFS(LdBMember,$A1138,LdBKey,"&lt;"&amp;$G1138)+COUNTIFS(LdCParty,$A1138,LdCKey,"&lt;"&amp;$G1138)+1)</f>
        <v/>
      </c>
      <c r="I1138">
        <f>IF($H1138="","",$A1138&amp;"|"&amp;RIGHT("000000"&amp;$H1138,6))</f>
        <v/>
      </c>
      <c r="J1138">
        <f>IF(OR($B1138&lt;&gt;2,$G1138=""),"",COUNTIFS(LdAParty,$A1138,LdAType,2,LdAKey,"&lt;"&amp;$G1138)+1)</f>
        <v/>
      </c>
      <c r="K1138">
        <f>IF($J1138="","",$A1138&amp;"|"&amp;RIGHT("000000"&amp;$J1138,6))</f>
        <v/>
      </c>
      <c r="L1138">
        <f>IF($A1138="","",IF(Wages!$G1141="",0,Wages!$G1141))</f>
        <v/>
      </c>
      <c r="M1138">
        <f>IF($A1138="","",Wages!$J1141)</f>
        <v/>
      </c>
      <c r="N1138">
        <f>IF($A1138="","",Wages!$D1141)</f>
        <v/>
      </c>
      <c r="P1138">
        <f>IF(OR(Shares!$B1141="",Shares!$C1141=""),"",Shares!$C1141)</f>
        <v/>
      </c>
      <c r="Q1138">
        <f>IF($P1138="","",Shares!$B1141)</f>
        <v/>
      </c>
      <c r="R1138">
        <f>IF($P1138="","",IFERROR(INDEX(WageParty,MATCH($Q1138,WageIds,0)),""))</f>
        <v/>
      </c>
      <c r="S1138">
        <f>IF($P1138="","",IFERROR(INDEX($F$6:$F$2005,MATCH($Q1138,WageIds,0)),""))</f>
        <v/>
      </c>
      <c r="T1138">
        <f>IF(OR($P1138="",$S1138="",$S1138="نامعتبر"),"",LEFT($S1138,4)&amp;MID($S1138,6,2)&amp;RIGHT($S1138,2)&amp;"0000"&amp;"|"&amp;"2"&amp;RIGHT("00000"&amp;1133,5))</f>
        <v/>
      </c>
      <c r="U1138">
        <f>IF($T1138="","",COUNTIFS(LdAParty,$P1138,LdAType,1,LdAKey,"&lt;"&amp;$T1138)+COUNTIFS(LdBMember,$P1138,LdBKey,"&lt;"&amp;$T1138)+COUNTIFS(LdCParty,$P1138,LdCKey,"&lt;"&amp;$T1138)+1)</f>
        <v/>
      </c>
      <c r="V1138">
        <f>IF($U1138="","",$P1138&amp;"|"&amp;RIGHT("000000"&amp;$U1138,6))</f>
        <v/>
      </c>
      <c r="W1138">
        <f>IF($T1138="","",COUNTIFS(LdBGroup,$R1138,LdBKey,"&lt;"&amp;$T1138)+1)</f>
        <v/>
      </c>
      <c r="X1138">
        <f>IF($W1138="","",$R1138&amp;"|"&amp;RIGHT("000000"&amp;$W1138,6))</f>
        <v/>
      </c>
      <c r="Y1138">
        <f>IF($P1138="","",IF(Shares!$E1141="",0,Shares!$E1141))</f>
        <v/>
      </c>
      <c r="Z1138">
        <f>IF($P1138="","",Shares!$H1141)</f>
        <v/>
      </c>
      <c r="AE1138">
        <f>IF(OR(Sync!$S1138="",Sync!$P1138=""),"",Sync!$S1138)</f>
        <v/>
      </c>
      <c r="AF1138">
        <f>IF($AE1138="","",IF(ISNUMBER(Sync!$P1138),IF(AND(Sync!$P1138&gt;=10000101,Sync!$P1138&lt;=99991231),INT(Sync!$P1138/10000),""),IFERROR(VALUE(TRIM(LEFT(Sync!$P1138,FIND("/",Sync!$P1138)-1))),"")))</f>
        <v/>
      </c>
      <c r="AG1138">
        <f>IF(OR($AE1138="",$AF1138=""),"",IF(ISNUMBER(Sync!$P1138),INT(MOD(Sync!$P1138,10000)/100),IFERROR(VALUE(TRIM(LEFT(MID(Sync!$P1138,FIND("/",Sync!$P1138)+1,20),FIND("/",MID(Sync!$P1138,FIND("/",Sync!$P1138)+1,20))-1))),"")))</f>
        <v/>
      </c>
      <c r="AH1138">
        <f>IF(OR($AE1138="",$AF1138=""),"",IF(ISNUMBER(Sync!$P1138),MOD(Sync!$P1138,100),IFERROR(VALUE(TRIM(MID(MID(Sync!$P1138,FIND("/",Sync!$P1138)+1,20),FIND("/",MID(Sync!$P1138,FIND("/",Sync!$P1138)+1,20))+1,20))),"")))</f>
        <v/>
      </c>
      <c r="AI1138">
        <f>IF($AE1138="","",IF(OR($AF1138="",$AG1138="",$AH1138="",$AF1138&lt;1300,$AF1138&gt;1500,$AG1138&lt;1,$AG1138&gt;12,$AH1138&lt;1,$AH1138&gt;31),"نامعتبر",RIGHT("0000"&amp;$AF1138,4)&amp;"/"&amp;RIGHT("00"&amp;$AG1138,2)&amp;"/"&amp;RIGHT("00"&amp;$AH1138,2)))</f>
        <v/>
      </c>
      <c r="AJ1138">
        <f>IF($AE1138="","",IF(Sync!$Q1138="","0000",IF(AND(ISNUMBER(Sync!$Q1138),Sync!$Q1138&gt;=0,Sync!$Q1138&lt;1),RIGHT("00"&amp;HOUR(Sync!$Q1138),2)&amp;RIGHT("00"&amp;MINUTE(Sync!$Q1138),2),IFERROR(RIGHT("00"&amp;VALUE(LEFT(Sync!$Q1138,FIND(":",Sync!$Q1138)-1)),2)&amp;RIGHT("00"&amp;VALUE(MID(Sync!$Q1138,FIND(":",Sync!$Q1138)+1,2)),2),"0000"))))</f>
        <v/>
      </c>
      <c r="AK1138">
        <f>IF(OR($AE1138="",$AI1138="",$AI1138="نامعتبر"),"",LEFT($AI1138,4)&amp;MID($AI1138,6,2)&amp;RIGHT($AI1138,2)&amp;$AJ1138&amp;"|"&amp;"3"&amp;RIGHT("00000"&amp;1133,5))</f>
        <v/>
      </c>
      <c r="AL1138">
        <f>IF($AK1138="","",COUNTIFS(LdAParty,$AE1138,LdAType,1,LdAKey,"&lt;"&amp;$AK1138)+COUNTIFS(LdBMember,$AE1138,LdBKey,"&lt;"&amp;$AK1138)+COUNTIFS(LdCParty,$AE1138,LdCKey,"&lt;"&amp;$AK1138)+1)</f>
        <v/>
      </c>
      <c r="AM1138">
        <f>IF($AL1138="","",$AE1138&amp;"|"&amp;RIGHT("000000"&amp;$AL1138,6))</f>
        <v/>
      </c>
      <c r="AN1138">
        <f>IF($AE1138="","",IF(Sync!$W1138="",0,Sync!$W1138))</f>
        <v/>
      </c>
      <c r="AO1138">
        <f>IF($AE1138="","",IF(Sync!$X1138="",0,Sync!$X1138))</f>
        <v/>
      </c>
      <c r="AP1138">
        <f>IF($AE1138="","",Sync!$R1138)</f>
        <v/>
      </c>
      <c r="AQ1138">
        <f>IF($AE1138="","",Sync!$Y1138)</f>
        <v/>
      </c>
    </row>
    <row r="1139">
      <c r="A1139">
        <f>IF(OR(Wages!$B1142="",Wages!$E1142=""),"",Wages!$E1142)</f>
        <v/>
      </c>
      <c r="B1139">
        <f>IF($A1139="","",IF(Wages!$C1142="دستمزد گروهی",2,1))</f>
        <v/>
      </c>
      <c r="C1139">
        <f>IF($A1139="","",IF(ISNUMBER(Wages!$B1142),IF(AND(Wages!$B1142&gt;=10000101,Wages!$B1142&lt;=99991231),INT(Wages!$B1142/10000),""),IFERROR(VALUE(TRIM(LEFT(Wages!$B1142,FIND("/",Wages!$B1142)-1))),"")))</f>
        <v/>
      </c>
      <c r="D1139">
        <f>IF(OR($A1139="",$C1139=""),"",IF(ISNUMBER(Wages!$B1142),INT(MOD(Wages!$B1142,10000)/100),IFERROR(VALUE(TRIM(LEFT(MID(Wages!$B1142,FIND("/",Wages!$B1142)+1,20),FIND("/",MID(Wages!$B1142,FIND("/",Wages!$B1142)+1,20))-1))),"")))</f>
        <v/>
      </c>
      <c r="E1139">
        <f>IF(OR($A1139="",$C1139=""),"",IF(ISNUMBER(Wages!$B1142),MOD(Wages!$B1142,100),IFERROR(VALUE(TRIM(MID(MID(Wages!$B1142,FIND("/",Wages!$B1142)+1,20),FIND("/",MID(Wages!$B1142,FIND("/",Wages!$B1142)+1,20))+1,20))),"")))</f>
        <v/>
      </c>
      <c r="F1139">
        <f>IF($A1139="","",IF(OR($C1139="",$D1139="",$E1139="",$C1139&lt;1300,$C1139&gt;1500,$D1139&lt;1,$D1139&gt;12,$E1139&lt;1,$E1139&gt;31),"نامعتبر",RIGHT("0000"&amp;$C1139,4)&amp;"/"&amp;RIGHT("00"&amp;$D1139,2)&amp;"/"&amp;RIGHT("00"&amp;$E1139,2)))</f>
        <v/>
      </c>
      <c r="G1139">
        <f>IF(OR($A1139="",$F1139="",$F1139="نامعتبر"),"",LEFT($F1139,4)&amp;MID($F1139,6,2)&amp;RIGHT($F1139,2)&amp;"0000"&amp;"|"&amp;"1"&amp;RIGHT("00000"&amp;1134,5))</f>
        <v/>
      </c>
      <c r="H1139">
        <f>IF(OR($B1139&lt;&gt;1,$G1139=""),"",COUNTIFS(LdAParty,$A1139,LdAType,1,LdAKey,"&lt;"&amp;$G1139)+COUNTIFS(LdBMember,$A1139,LdBKey,"&lt;"&amp;$G1139)+COUNTIFS(LdCParty,$A1139,LdCKey,"&lt;"&amp;$G1139)+1)</f>
        <v/>
      </c>
      <c r="I1139">
        <f>IF($H1139="","",$A1139&amp;"|"&amp;RIGHT("000000"&amp;$H1139,6))</f>
        <v/>
      </c>
      <c r="J1139">
        <f>IF(OR($B1139&lt;&gt;2,$G1139=""),"",COUNTIFS(LdAParty,$A1139,LdAType,2,LdAKey,"&lt;"&amp;$G1139)+1)</f>
        <v/>
      </c>
      <c r="K1139">
        <f>IF($J1139="","",$A1139&amp;"|"&amp;RIGHT("000000"&amp;$J1139,6))</f>
        <v/>
      </c>
      <c r="L1139">
        <f>IF($A1139="","",IF(Wages!$G1142="",0,Wages!$G1142))</f>
        <v/>
      </c>
      <c r="M1139">
        <f>IF($A1139="","",Wages!$J1142)</f>
        <v/>
      </c>
      <c r="N1139">
        <f>IF($A1139="","",Wages!$D1142)</f>
        <v/>
      </c>
      <c r="P1139">
        <f>IF(OR(Shares!$B1142="",Shares!$C1142=""),"",Shares!$C1142)</f>
        <v/>
      </c>
      <c r="Q1139">
        <f>IF($P1139="","",Shares!$B1142)</f>
        <v/>
      </c>
      <c r="R1139">
        <f>IF($P1139="","",IFERROR(INDEX(WageParty,MATCH($Q1139,WageIds,0)),""))</f>
        <v/>
      </c>
      <c r="S1139">
        <f>IF($P1139="","",IFERROR(INDEX($F$6:$F$2005,MATCH($Q1139,WageIds,0)),""))</f>
        <v/>
      </c>
      <c r="T1139">
        <f>IF(OR($P1139="",$S1139="",$S1139="نامعتبر"),"",LEFT($S1139,4)&amp;MID($S1139,6,2)&amp;RIGHT($S1139,2)&amp;"0000"&amp;"|"&amp;"2"&amp;RIGHT("00000"&amp;1134,5))</f>
        <v/>
      </c>
      <c r="U1139">
        <f>IF($T1139="","",COUNTIFS(LdAParty,$P1139,LdAType,1,LdAKey,"&lt;"&amp;$T1139)+COUNTIFS(LdBMember,$P1139,LdBKey,"&lt;"&amp;$T1139)+COUNTIFS(LdCParty,$P1139,LdCKey,"&lt;"&amp;$T1139)+1)</f>
        <v/>
      </c>
      <c r="V1139">
        <f>IF($U1139="","",$P1139&amp;"|"&amp;RIGHT("000000"&amp;$U1139,6))</f>
        <v/>
      </c>
      <c r="W1139">
        <f>IF($T1139="","",COUNTIFS(LdBGroup,$R1139,LdBKey,"&lt;"&amp;$T1139)+1)</f>
        <v/>
      </c>
      <c r="X1139">
        <f>IF($W1139="","",$R1139&amp;"|"&amp;RIGHT("000000"&amp;$W1139,6))</f>
        <v/>
      </c>
      <c r="Y1139">
        <f>IF($P1139="","",IF(Shares!$E1142="",0,Shares!$E1142))</f>
        <v/>
      </c>
      <c r="Z1139">
        <f>IF($P1139="","",Shares!$H1142)</f>
        <v/>
      </c>
      <c r="AE1139">
        <f>IF(OR(Sync!$S1139="",Sync!$P1139=""),"",Sync!$S1139)</f>
        <v/>
      </c>
      <c r="AF1139">
        <f>IF($AE1139="","",IF(ISNUMBER(Sync!$P1139),IF(AND(Sync!$P1139&gt;=10000101,Sync!$P1139&lt;=99991231),INT(Sync!$P1139/10000),""),IFERROR(VALUE(TRIM(LEFT(Sync!$P1139,FIND("/",Sync!$P1139)-1))),"")))</f>
        <v/>
      </c>
      <c r="AG1139">
        <f>IF(OR($AE1139="",$AF1139=""),"",IF(ISNUMBER(Sync!$P1139),INT(MOD(Sync!$P1139,10000)/100),IFERROR(VALUE(TRIM(LEFT(MID(Sync!$P1139,FIND("/",Sync!$P1139)+1,20),FIND("/",MID(Sync!$P1139,FIND("/",Sync!$P1139)+1,20))-1))),"")))</f>
        <v/>
      </c>
      <c r="AH1139">
        <f>IF(OR($AE1139="",$AF1139=""),"",IF(ISNUMBER(Sync!$P1139),MOD(Sync!$P1139,100),IFERROR(VALUE(TRIM(MID(MID(Sync!$P1139,FIND("/",Sync!$P1139)+1,20),FIND("/",MID(Sync!$P1139,FIND("/",Sync!$P1139)+1,20))+1,20))),"")))</f>
        <v/>
      </c>
      <c r="AI1139">
        <f>IF($AE1139="","",IF(OR($AF1139="",$AG1139="",$AH1139="",$AF1139&lt;1300,$AF1139&gt;1500,$AG1139&lt;1,$AG1139&gt;12,$AH1139&lt;1,$AH1139&gt;31),"نامعتبر",RIGHT("0000"&amp;$AF1139,4)&amp;"/"&amp;RIGHT("00"&amp;$AG1139,2)&amp;"/"&amp;RIGHT("00"&amp;$AH1139,2)))</f>
        <v/>
      </c>
      <c r="AJ1139">
        <f>IF($AE1139="","",IF(Sync!$Q1139="","0000",IF(AND(ISNUMBER(Sync!$Q1139),Sync!$Q1139&gt;=0,Sync!$Q1139&lt;1),RIGHT("00"&amp;HOUR(Sync!$Q1139),2)&amp;RIGHT("00"&amp;MINUTE(Sync!$Q1139),2),IFERROR(RIGHT("00"&amp;VALUE(LEFT(Sync!$Q1139,FIND(":",Sync!$Q1139)-1)),2)&amp;RIGHT("00"&amp;VALUE(MID(Sync!$Q1139,FIND(":",Sync!$Q1139)+1,2)),2),"0000"))))</f>
        <v/>
      </c>
      <c r="AK1139">
        <f>IF(OR($AE1139="",$AI1139="",$AI1139="نامعتبر"),"",LEFT($AI1139,4)&amp;MID($AI1139,6,2)&amp;RIGHT($AI1139,2)&amp;$AJ1139&amp;"|"&amp;"3"&amp;RIGHT("00000"&amp;1134,5))</f>
        <v/>
      </c>
      <c r="AL1139">
        <f>IF($AK1139="","",COUNTIFS(LdAParty,$AE1139,LdAType,1,LdAKey,"&lt;"&amp;$AK1139)+COUNTIFS(LdBMember,$AE1139,LdBKey,"&lt;"&amp;$AK1139)+COUNTIFS(LdCParty,$AE1139,LdCKey,"&lt;"&amp;$AK1139)+1)</f>
        <v/>
      </c>
      <c r="AM1139">
        <f>IF($AL1139="","",$AE1139&amp;"|"&amp;RIGHT("000000"&amp;$AL1139,6))</f>
        <v/>
      </c>
      <c r="AN1139">
        <f>IF($AE1139="","",IF(Sync!$W1139="",0,Sync!$W1139))</f>
        <v/>
      </c>
      <c r="AO1139">
        <f>IF($AE1139="","",IF(Sync!$X1139="",0,Sync!$X1139))</f>
        <v/>
      </c>
      <c r="AP1139">
        <f>IF($AE1139="","",Sync!$R1139)</f>
        <v/>
      </c>
      <c r="AQ1139">
        <f>IF($AE1139="","",Sync!$Y1139)</f>
        <v/>
      </c>
    </row>
    <row r="1140">
      <c r="A1140">
        <f>IF(OR(Wages!$B1143="",Wages!$E1143=""),"",Wages!$E1143)</f>
        <v/>
      </c>
      <c r="B1140">
        <f>IF($A1140="","",IF(Wages!$C1143="دستمزد گروهی",2,1))</f>
        <v/>
      </c>
      <c r="C1140">
        <f>IF($A1140="","",IF(ISNUMBER(Wages!$B1143),IF(AND(Wages!$B1143&gt;=10000101,Wages!$B1143&lt;=99991231),INT(Wages!$B1143/10000),""),IFERROR(VALUE(TRIM(LEFT(Wages!$B1143,FIND("/",Wages!$B1143)-1))),"")))</f>
        <v/>
      </c>
      <c r="D1140">
        <f>IF(OR($A1140="",$C1140=""),"",IF(ISNUMBER(Wages!$B1143),INT(MOD(Wages!$B1143,10000)/100),IFERROR(VALUE(TRIM(LEFT(MID(Wages!$B1143,FIND("/",Wages!$B1143)+1,20),FIND("/",MID(Wages!$B1143,FIND("/",Wages!$B1143)+1,20))-1))),"")))</f>
        <v/>
      </c>
      <c r="E1140">
        <f>IF(OR($A1140="",$C1140=""),"",IF(ISNUMBER(Wages!$B1143),MOD(Wages!$B1143,100),IFERROR(VALUE(TRIM(MID(MID(Wages!$B1143,FIND("/",Wages!$B1143)+1,20),FIND("/",MID(Wages!$B1143,FIND("/",Wages!$B1143)+1,20))+1,20))),"")))</f>
        <v/>
      </c>
      <c r="F1140">
        <f>IF($A1140="","",IF(OR($C1140="",$D1140="",$E1140="",$C1140&lt;1300,$C1140&gt;1500,$D1140&lt;1,$D1140&gt;12,$E1140&lt;1,$E1140&gt;31),"نامعتبر",RIGHT("0000"&amp;$C1140,4)&amp;"/"&amp;RIGHT("00"&amp;$D1140,2)&amp;"/"&amp;RIGHT("00"&amp;$E1140,2)))</f>
        <v/>
      </c>
      <c r="G1140">
        <f>IF(OR($A1140="",$F1140="",$F1140="نامعتبر"),"",LEFT($F1140,4)&amp;MID($F1140,6,2)&amp;RIGHT($F1140,2)&amp;"0000"&amp;"|"&amp;"1"&amp;RIGHT("00000"&amp;1135,5))</f>
        <v/>
      </c>
      <c r="H1140">
        <f>IF(OR($B1140&lt;&gt;1,$G1140=""),"",COUNTIFS(LdAParty,$A1140,LdAType,1,LdAKey,"&lt;"&amp;$G1140)+COUNTIFS(LdBMember,$A1140,LdBKey,"&lt;"&amp;$G1140)+COUNTIFS(LdCParty,$A1140,LdCKey,"&lt;"&amp;$G1140)+1)</f>
        <v/>
      </c>
      <c r="I1140">
        <f>IF($H1140="","",$A1140&amp;"|"&amp;RIGHT("000000"&amp;$H1140,6))</f>
        <v/>
      </c>
      <c r="J1140">
        <f>IF(OR($B1140&lt;&gt;2,$G1140=""),"",COUNTIFS(LdAParty,$A1140,LdAType,2,LdAKey,"&lt;"&amp;$G1140)+1)</f>
        <v/>
      </c>
      <c r="K1140">
        <f>IF($J1140="","",$A1140&amp;"|"&amp;RIGHT("000000"&amp;$J1140,6))</f>
        <v/>
      </c>
      <c r="L1140">
        <f>IF($A1140="","",IF(Wages!$G1143="",0,Wages!$G1143))</f>
        <v/>
      </c>
      <c r="M1140">
        <f>IF($A1140="","",Wages!$J1143)</f>
        <v/>
      </c>
      <c r="N1140">
        <f>IF($A1140="","",Wages!$D1143)</f>
        <v/>
      </c>
      <c r="P1140">
        <f>IF(OR(Shares!$B1143="",Shares!$C1143=""),"",Shares!$C1143)</f>
        <v/>
      </c>
      <c r="Q1140">
        <f>IF($P1140="","",Shares!$B1143)</f>
        <v/>
      </c>
      <c r="R1140">
        <f>IF($P1140="","",IFERROR(INDEX(WageParty,MATCH($Q1140,WageIds,0)),""))</f>
        <v/>
      </c>
      <c r="S1140">
        <f>IF($P1140="","",IFERROR(INDEX($F$6:$F$2005,MATCH($Q1140,WageIds,0)),""))</f>
        <v/>
      </c>
      <c r="T1140">
        <f>IF(OR($P1140="",$S1140="",$S1140="نامعتبر"),"",LEFT($S1140,4)&amp;MID($S1140,6,2)&amp;RIGHT($S1140,2)&amp;"0000"&amp;"|"&amp;"2"&amp;RIGHT("00000"&amp;1135,5))</f>
        <v/>
      </c>
      <c r="U1140">
        <f>IF($T1140="","",COUNTIFS(LdAParty,$P1140,LdAType,1,LdAKey,"&lt;"&amp;$T1140)+COUNTIFS(LdBMember,$P1140,LdBKey,"&lt;"&amp;$T1140)+COUNTIFS(LdCParty,$P1140,LdCKey,"&lt;"&amp;$T1140)+1)</f>
        <v/>
      </c>
      <c r="V1140">
        <f>IF($U1140="","",$P1140&amp;"|"&amp;RIGHT("000000"&amp;$U1140,6))</f>
        <v/>
      </c>
      <c r="W1140">
        <f>IF($T1140="","",COUNTIFS(LdBGroup,$R1140,LdBKey,"&lt;"&amp;$T1140)+1)</f>
        <v/>
      </c>
      <c r="X1140">
        <f>IF($W1140="","",$R1140&amp;"|"&amp;RIGHT("000000"&amp;$W1140,6))</f>
        <v/>
      </c>
      <c r="Y1140">
        <f>IF($P1140="","",IF(Shares!$E1143="",0,Shares!$E1143))</f>
        <v/>
      </c>
      <c r="Z1140">
        <f>IF($P1140="","",Shares!$H1143)</f>
        <v/>
      </c>
      <c r="AE1140">
        <f>IF(OR(Sync!$S1140="",Sync!$P1140=""),"",Sync!$S1140)</f>
        <v/>
      </c>
      <c r="AF1140">
        <f>IF($AE1140="","",IF(ISNUMBER(Sync!$P1140),IF(AND(Sync!$P1140&gt;=10000101,Sync!$P1140&lt;=99991231),INT(Sync!$P1140/10000),""),IFERROR(VALUE(TRIM(LEFT(Sync!$P1140,FIND("/",Sync!$P1140)-1))),"")))</f>
        <v/>
      </c>
      <c r="AG1140">
        <f>IF(OR($AE1140="",$AF1140=""),"",IF(ISNUMBER(Sync!$P1140),INT(MOD(Sync!$P1140,10000)/100),IFERROR(VALUE(TRIM(LEFT(MID(Sync!$P1140,FIND("/",Sync!$P1140)+1,20),FIND("/",MID(Sync!$P1140,FIND("/",Sync!$P1140)+1,20))-1))),"")))</f>
        <v/>
      </c>
      <c r="AH1140">
        <f>IF(OR($AE1140="",$AF1140=""),"",IF(ISNUMBER(Sync!$P1140),MOD(Sync!$P1140,100),IFERROR(VALUE(TRIM(MID(MID(Sync!$P1140,FIND("/",Sync!$P1140)+1,20),FIND("/",MID(Sync!$P1140,FIND("/",Sync!$P1140)+1,20))+1,20))),"")))</f>
        <v/>
      </c>
      <c r="AI1140">
        <f>IF($AE1140="","",IF(OR($AF1140="",$AG1140="",$AH1140="",$AF1140&lt;1300,$AF1140&gt;1500,$AG1140&lt;1,$AG1140&gt;12,$AH1140&lt;1,$AH1140&gt;31),"نامعتبر",RIGHT("0000"&amp;$AF1140,4)&amp;"/"&amp;RIGHT("00"&amp;$AG1140,2)&amp;"/"&amp;RIGHT("00"&amp;$AH1140,2)))</f>
        <v/>
      </c>
      <c r="AJ1140">
        <f>IF($AE1140="","",IF(Sync!$Q1140="","0000",IF(AND(ISNUMBER(Sync!$Q1140),Sync!$Q1140&gt;=0,Sync!$Q1140&lt;1),RIGHT("00"&amp;HOUR(Sync!$Q1140),2)&amp;RIGHT("00"&amp;MINUTE(Sync!$Q1140),2),IFERROR(RIGHT("00"&amp;VALUE(LEFT(Sync!$Q1140,FIND(":",Sync!$Q1140)-1)),2)&amp;RIGHT("00"&amp;VALUE(MID(Sync!$Q1140,FIND(":",Sync!$Q1140)+1,2)),2),"0000"))))</f>
        <v/>
      </c>
      <c r="AK1140">
        <f>IF(OR($AE1140="",$AI1140="",$AI1140="نامعتبر"),"",LEFT($AI1140,4)&amp;MID($AI1140,6,2)&amp;RIGHT($AI1140,2)&amp;$AJ1140&amp;"|"&amp;"3"&amp;RIGHT("00000"&amp;1135,5))</f>
        <v/>
      </c>
      <c r="AL1140">
        <f>IF($AK1140="","",COUNTIFS(LdAParty,$AE1140,LdAType,1,LdAKey,"&lt;"&amp;$AK1140)+COUNTIFS(LdBMember,$AE1140,LdBKey,"&lt;"&amp;$AK1140)+COUNTIFS(LdCParty,$AE1140,LdCKey,"&lt;"&amp;$AK1140)+1)</f>
        <v/>
      </c>
      <c r="AM1140">
        <f>IF($AL1140="","",$AE1140&amp;"|"&amp;RIGHT("000000"&amp;$AL1140,6))</f>
        <v/>
      </c>
      <c r="AN1140">
        <f>IF($AE1140="","",IF(Sync!$W1140="",0,Sync!$W1140))</f>
        <v/>
      </c>
      <c r="AO1140">
        <f>IF($AE1140="","",IF(Sync!$X1140="",0,Sync!$X1140))</f>
        <v/>
      </c>
      <c r="AP1140">
        <f>IF($AE1140="","",Sync!$R1140)</f>
        <v/>
      </c>
      <c r="AQ1140">
        <f>IF($AE1140="","",Sync!$Y1140)</f>
        <v/>
      </c>
    </row>
    <row r="1141">
      <c r="A1141">
        <f>IF(OR(Wages!$B1144="",Wages!$E1144=""),"",Wages!$E1144)</f>
        <v/>
      </c>
      <c r="B1141">
        <f>IF($A1141="","",IF(Wages!$C1144="دستمزد گروهی",2,1))</f>
        <v/>
      </c>
      <c r="C1141">
        <f>IF($A1141="","",IF(ISNUMBER(Wages!$B1144),IF(AND(Wages!$B1144&gt;=10000101,Wages!$B1144&lt;=99991231),INT(Wages!$B1144/10000),""),IFERROR(VALUE(TRIM(LEFT(Wages!$B1144,FIND("/",Wages!$B1144)-1))),"")))</f>
        <v/>
      </c>
      <c r="D1141">
        <f>IF(OR($A1141="",$C1141=""),"",IF(ISNUMBER(Wages!$B1144),INT(MOD(Wages!$B1144,10000)/100),IFERROR(VALUE(TRIM(LEFT(MID(Wages!$B1144,FIND("/",Wages!$B1144)+1,20),FIND("/",MID(Wages!$B1144,FIND("/",Wages!$B1144)+1,20))-1))),"")))</f>
        <v/>
      </c>
      <c r="E1141">
        <f>IF(OR($A1141="",$C1141=""),"",IF(ISNUMBER(Wages!$B1144),MOD(Wages!$B1144,100),IFERROR(VALUE(TRIM(MID(MID(Wages!$B1144,FIND("/",Wages!$B1144)+1,20),FIND("/",MID(Wages!$B1144,FIND("/",Wages!$B1144)+1,20))+1,20))),"")))</f>
        <v/>
      </c>
      <c r="F1141">
        <f>IF($A1141="","",IF(OR($C1141="",$D1141="",$E1141="",$C1141&lt;1300,$C1141&gt;1500,$D1141&lt;1,$D1141&gt;12,$E1141&lt;1,$E1141&gt;31),"نامعتبر",RIGHT("0000"&amp;$C1141,4)&amp;"/"&amp;RIGHT("00"&amp;$D1141,2)&amp;"/"&amp;RIGHT("00"&amp;$E1141,2)))</f>
        <v/>
      </c>
      <c r="G1141">
        <f>IF(OR($A1141="",$F1141="",$F1141="نامعتبر"),"",LEFT($F1141,4)&amp;MID($F1141,6,2)&amp;RIGHT($F1141,2)&amp;"0000"&amp;"|"&amp;"1"&amp;RIGHT("00000"&amp;1136,5))</f>
        <v/>
      </c>
      <c r="H1141">
        <f>IF(OR($B1141&lt;&gt;1,$G1141=""),"",COUNTIFS(LdAParty,$A1141,LdAType,1,LdAKey,"&lt;"&amp;$G1141)+COUNTIFS(LdBMember,$A1141,LdBKey,"&lt;"&amp;$G1141)+COUNTIFS(LdCParty,$A1141,LdCKey,"&lt;"&amp;$G1141)+1)</f>
        <v/>
      </c>
      <c r="I1141">
        <f>IF($H1141="","",$A1141&amp;"|"&amp;RIGHT("000000"&amp;$H1141,6))</f>
        <v/>
      </c>
      <c r="J1141">
        <f>IF(OR($B1141&lt;&gt;2,$G1141=""),"",COUNTIFS(LdAParty,$A1141,LdAType,2,LdAKey,"&lt;"&amp;$G1141)+1)</f>
        <v/>
      </c>
      <c r="K1141">
        <f>IF($J1141="","",$A1141&amp;"|"&amp;RIGHT("000000"&amp;$J1141,6))</f>
        <v/>
      </c>
      <c r="L1141">
        <f>IF($A1141="","",IF(Wages!$G1144="",0,Wages!$G1144))</f>
        <v/>
      </c>
      <c r="M1141">
        <f>IF($A1141="","",Wages!$J1144)</f>
        <v/>
      </c>
      <c r="N1141">
        <f>IF($A1141="","",Wages!$D1144)</f>
        <v/>
      </c>
      <c r="P1141">
        <f>IF(OR(Shares!$B1144="",Shares!$C1144=""),"",Shares!$C1144)</f>
        <v/>
      </c>
      <c r="Q1141">
        <f>IF($P1141="","",Shares!$B1144)</f>
        <v/>
      </c>
      <c r="R1141">
        <f>IF($P1141="","",IFERROR(INDEX(WageParty,MATCH($Q1141,WageIds,0)),""))</f>
        <v/>
      </c>
      <c r="S1141">
        <f>IF($P1141="","",IFERROR(INDEX($F$6:$F$2005,MATCH($Q1141,WageIds,0)),""))</f>
        <v/>
      </c>
      <c r="T1141">
        <f>IF(OR($P1141="",$S1141="",$S1141="نامعتبر"),"",LEFT($S1141,4)&amp;MID($S1141,6,2)&amp;RIGHT($S1141,2)&amp;"0000"&amp;"|"&amp;"2"&amp;RIGHT("00000"&amp;1136,5))</f>
        <v/>
      </c>
      <c r="U1141">
        <f>IF($T1141="","",COUNTIFS(LdAParty,$P1141,LdAType,1,LdAKey,"&lt;"&amp;$T1141)+COUNTIFS(LdBMember,$P1141,LdBKey,"&lt;"&amp;$T1141)+COUNTIFS(LdCParty,$P1141,LdCKey,"&lt;"&amp;$T1141)+1)</f>
        <v/>
      </c>
      <c r="V1141">
        <f>IF($U1141="","",$P1141&amp;"|"&amp;RIGHT("000000"&amp;$U1141,6))</f>
        <v/>
      </c>
      <c r="W1141">
        <f>IF($T1141="","",COUNTIFS(LdBGroup,$R1141,LdBKey,"&lt;"&amp;$T1141)+1)</f>
        <v/>
      </c>
      <c r="X1141">
        <f>IF($W1141="","",$R1141&amp;"|"&amp;RIGHT("000000"&amp;$W1141,6))</f>
        <v/>
      </c>
      <c r="Y1141">
        <f>IF($P1141="","",IF(Shares!$E1144="",0,Shares!$E1144))</f>
        <v/>
      </c>
      <c r="Z1141">
        <f>IF($P1141="","",Shares!$H1144)</f>
        <v/>
      </c>
      <c r="AE1141">
        <f>IF(OR(Sync!$S1141="",Sync!$P1141=""),"",Sync!$S1141)</f>
        <v/>
      </c>
      <c r="AF1141">
        <f>IF($AE1141="","",IF(ISNUMBER(Sync!$P1141),IF(AND(Sync!$P1141&gt;=10000101,Sync!$P1141&lt;=99991231),INT(Sync!$P1141/10000),""),IFERROR(VALUE(TRIM(LEFT(Sync!$P1141,FIND("/",Sync!$P1141)-1))),"")))</f>
        <v/>
      </c>
      <c r="AG1141">
        <f>IF(OR($AE1141="",$AF1141=""),"",IF(ISNUMBER(Sync!$P1141),INT(MOD(Sync!$P1141,10000)/100),IFERROR(VALUE(TRIM(LEFT(MID(Sync!$P1141,FIND("/",Sync!$P1141)+1,20),FIND("/",MID(Sync!$P1141,FIND("/",Sync!$P1141)+1,20))-1))),"")))</f>
        <v/>
      </c>
      <c r="AH1141">
        <f>IF(OR($AE1141="",$AF1141=""),"",IF(ISNUMBER(Sync!$P1141),MOD(Sync!$P1141,100),IFERROR(VALUE(TRIM(MID(MID(Sync!$P1141,FIND("/",Sync!$P1141)+1,20),FIND("/",MID(Sync!$P1141,FIND("/",Sync!$P1141)+1,20))+1,20))),"")))</f>
        <v/>
      </c>
      <c r="AI1141">
        <f>IF($AE1141="","",IF(OR($AF1141="",$AG1141="",$AH1141="",$AF1141&lt;1300,$AF1141&gt;1500,$AG1141&lt;1,$AG1141&gt;12,$AH1141&lt;1,$AH1141&gt;31),"نامعتبر",RIGHT("0000"&amp;$AF1141,4)&amp;"/"&amp;RIGHT("00"&amp;$AG1141,2)&amp;"/"&amp;RIGHT("00"&amp;$AH1141,2)))</f>
        <v/>
      </c>
      <c r="AJ1141">
        <f>IF($AE1141="","",IF(Sync!$Q1141="","0000",IF(AND(ISNUMBER(Sync!$Q1141),Sync!$Q1141&gt;=0,Sync!$Q1141&lt;1),RIGHT("00"&amp;HOUR(Sync!$Q1141),2)&amp;RIGHT("00"&amp;MINUTE(Sync!$Q1141),2),IFERROR(RIGHT("00"&amp;VALUE(LEFT(Sync!$Q1141,FIND(":",Sync!$Q1141)-1)),2)&amp;RIGHT("00"&amp;VALUE(MID(Sync!$Q1141,FIND(":",Sync!$Q1141)+1,2)),2),"0000"))))</f>
        <v/>
      </c>
      <c r="AK1141">
        <f>IF(OR($AE1141="",$AI1141="",$AI1141="نامعتبر"),"",LEFT($AI1141,4)&amp;MID($AI1141,6,2)&amp;RIGHT($AI1141,2)&amp;$AJ1141&amp;"|"&amp;"3"&amp;RIGHT("00000"&amp;1136,5))</f>
        <v/>
      </c>
      <c r="AL1141">
        <f>IF($AK1141="","",COUNTIFS(LdAParty,$AE1141,LdAType,1,LdAKey,"&lt;"&amp;$AK1141)+COUNTIFS(LdBMember,$AE1141,LdBKey,"&lt;"&amp;$AK1141)+COUNTIFS(LdCParty,$AE1141,LdCKey,"&lt;"&amp;$AK1141)+1)</f>
        <v/>
      </c>
      <c r="AM1141">
        <f>IF($AL1141="","",$AE1141&amp;"|"&amp;RIGHT("000000"&amp;$AL1141,6))</f>
        <v/>
      </c>
      <c r="AN1141">
        <f>IF($AE1141="","",IF(Sync!$W1141="",0,Sync!$W1141))</f>
        <v/>
      </c>
      <c r="AO1141">
        <f>IF($AE1141="","",IF(Sync!$X1141="",0,Sync!$X1141))</f>
        <v/>
      </c>
      <c r="AP1141">
        <f>IF($AE1141="","",Sync!$R1141)</f>
        <v/>
      </c>
      <c r="AQ1141">
        <f>IF($AE1141="","",Sync!$Y1141)</f>
        <v/>
      </c>
    </row>
    <row r="1142">
      <c r="A1142">
        <f>IF(OR(Wages!$B1145="",Wages!$E1145=""),"",Wages!$E1145)</f>
        <v/>
      </c>
      <c r="B1142">
        <f>IF($A1142="","",IF(Wages!$C1145="دستمزد گروهی",2,1))</f>
        <v/>
      </c>
      <c r="C1142">
        <f>IF($A1142="","",IF(ISNUMBER(Wages!$B1145),IF(AND(Wages!$B1145&gt;=10000101,Wages!$B1145&lt;=99991231),INT(Wages!$B1145/10000),""),IFERROR(VALUE(TRIM(LEFT(Wages!$B1145,FIND("/",Wages!$B1145)-1))),"")))</f>
        <v/>
      </c>
      <c r="D1142">
        <f>IF(OR($A1142="",$C1142=""),"",IF(ISNUMBER(Wages!$B1145),INT(MOD(Wages!$B1145,10000)/100),IFERROR(VALUE(TRIM(LEFT(MID(Wages!$B1145,FIND("/",Wages!$B1145)+1,20),FIND("/",MID(Wages!$B1145,FIND("/",Wages!$B1145)+1,20))-1))),"")))</f>
        <v/>
      </c>
      <c r="E1142">
        <f>IF(OR($A1142="",$C1142=""),"",IF(ISNUMBER(Wages!$B1145),MOD(Wages!$B1145,100),IFERROR(VALUE(TRIM(MID(MID(Wages!$B1145,FIND("/",Wages!$B1145)+1,20),FIND("/",MID(Wages!$B1145,FIND("/",Wages!$B1145)+1,20))+1,20))),"")))</f>
        <v/>
      </c>
      <c r="F1142">
        <f>IF($A1142="","",IF(OR($C1142="",$D1142="",$E1142="",$C1142&lt;1300,$C1142&gt;1500,$D1142&lt;1,$D1142&gt;12,$E1142&lt;1,$E1142&gt;31),"نامعتبر",RIGHT("0000"&amp;$C1142,4)&amp;"/"&amp;RIGHT("00"&amp;$D1142,2)&amp;"/"&amp;RIGHT("00"&amp;$E1142,2)))</f>
        <v/>
      </c>
      <c r="G1142">
        <f>IF(OR($A1142="",$F1142="",$F1142="نامعتبر"),"",LEFT($F1142,4)&amp;MID($F1142,6,2)&amp;RIGHT($F1142,2)&amp;"0000"&amp;"|"&amp;"1"&amp;RIGHT("00000"&amp;1137,5))</f>
        <v/>
      </c>
      <c r="H1142">
        <f>IF(OR($B1142&lt;&gt;1,$G1142=""),"",COUNTIFS(LdAParty,$A1142,LdAType,1,LdAKey,"&lt;"&amp;$G1142)+COUNTIFS(LdBMember,$A1142,LdBKey,"&lt;"&amp;$G1142)+COUNTIFS(LdCParty,$A1142,LdCKey,"&lt;"&amp;$G1142)+1)</f>
        <v/>
      </c>
      <c r="I1142">
        <f>IF($H1142="","",$A1142&amp;"|"&amp;RIGHT("000000"&amp;$H1142,6))</f>
        <v/>
      </c>
      <c r="J1142">
        <f>IF(OR($B1142&lt;&gt;2,$G1142=""),"",COUNTIFS(LdAParty,$A1142,LdAType,2,LdAKey,"&lt;"&amp;$G1142)+1)</f>
        <v/>
      </c>
      <c r="K1142">
        <f>IF($J1142="","",$A1142&amp;"|"&amp;RIGHT("000000"&amp;$J1142,6))</f>
        <v/>
      </c>
      <c r="L1142">
        <f>IF($A1142="","",IF(Wages!$G1145="",0,Wages!$G1145))</f>
        <v/>
      </c>
      <c r="M1142">
        <f>IF($A1142="","",Wages!$J1145)</f>
        <v/>
      </c>
      <c r="N1142">
        <f>IF($A1142="","",Wages!$D1145)</f>
        <v/>
      </c>
      <c r="P1142">
        <f>IF(OR(Shares!$B1145="",Shares!$C1145=""),"",Shares!$C1145)</f>
        <v/>
      </c>
      <c r="Q1142">
        <f>IF($P1142="","",Shares!$B1145)</f>
        <v/>
      </c>
      <c r="R1142">
        <f>IF($P1142="","",IFERROR(INDEX(WageParty,MATCH($Q1142,WageIds,0)),""))</f>
        <v/>
      </c>
      <c r="S1142">
        <f>IF($P1142="","",IFERROR(INDEX($F$6:$F$2005,MATCH($Q1142,WageIds,0)),""))</f>
        <v/>
      </c>
      <c r="T1142">
        <f>IF(OR($P1142="",$S1142="",$S1142="نامعتبر"),"",LEFT($S1142,4)&amp;MID($S1142,6,2)&amp;RIGHT($S1142,2)&amp;"0000"&amp;"|"&amp;"2"&amp;RIGHT("00000"&amp;1137,5))</f>
        <v/>
      </c>
      <c r="U1142">
        <f>IF($T1142="","",COUNTIFS(LdAParty,$P1142,LdAType,1,LdAKey,"&lt;"&amp;$T1142)+COUNTIFS(LdBMember,$P1142,LdBKey,"&lt;"&amp;$T1142)+COUNTIFS(LdCParty,$P1142,LdCKey,"&lt;"&amp;$T1142)+1)</f>
        <v/>
      </c>
      <c r="V1142">
        <f>IF($U1142="","",$P1142&amp;"|"&amp;RIGHT("000000"&amp;$U1142,6))</f>
        <v/>
      </c>
      <c r="W1142">
        <f>IF($T1142="","",COUNTIFS(LdBGroup,$R1142,LdBKey,"&lt;"&amp;$T1142)+1)</f>
        <v/>
      </c>
      <c r="X1142">
        <f>IF($W1142="","",$R1142&amp;"|"&amp;RIGHT("000000"&amp;$W1142,6))</f>
        <v/>
      </c>
      <c r="Y1142">
        <f>IF($P1142="","",IF(Shares!$E1145="",0,Shares!$E1145))</f>
        <v/>
      </c>
      <c r="Z1142">
        <f>IF($P1142="","",Shares!$H1145)</f>
        <v/>
      </c>
      <c r="AE1142">
        <f>IF(OR(Sync!$S1142="",Sync!$P1142=""),"",Sync!$S1142)</f>
        <v/>
      </c>
      <c r="AF1142">
        <f>IF($AE1142="","",IF(ISNUMBER(Sync!$P1142),IF(AND(Sync!$P1142&gt;=10000101,Sync!$P1142&lt;=99991231),INT(Sync!$P1142/10000),""),IFERROR(VALUE(TRIM(LEFT(Sync!$P1142,FIND("/",Sync!$P1142)-1))),"")))</f>
        <v/>
      </c>
      <c r="AG1142">
        <f>IF(OR($AE1142="",$AF1142=""),"",IF(ISNUMBER(Sync!$P1142),INT(MOD(Sync!$P1142,10000)/100),IFERROR(VALUE(TRIM(LEFT(MID(Sync!$P1142,FIND("/",Sync!$P1142)+1,20),FIND("/",MID(Sync!$P1142,FIND("/",Sync!$P1142)+1,20))-1))),"")))</f>
        <v/>
      </c>
      <c r="AH1142">
        <f>IF(OR($AE1142="",$AF1142=""),"",IF(ISNUMBER(Sync!$P1142),MOD(Sync!$P1142,100),IFERROR(VALUE(TRIM(MID(MID(Sync!$P1142,FIND("/",Sync!$P1142)+1,20),FIND("/",MID(Sync!$P1142,FIND("/",Sync!$P1142)+1,20))+1,20))),"")))</f>
        <v/>
      </c>
      <c r="AI1142">
        <f>IF($AE1142="","",IF(OR($AF1142="",$AG1142="",$AH1142="",$AF1142&lt;1300,$AF1142&gt;1500,$AG1142&lt;1,$AG1142&gt;12,$AH1142&lt;1,$AH1142&gt;31),"نامعتبر",RIGHT("0000"&amp;$AF1142,4)&amp;"/"&amp;RIGHT("00"&amp;$AG1142,2)&amp;"/"&amp;RIGHT("00"&amp;$AH1142,2)))</f>
        <v/>
      </c>
      <c r="AJ1142">
        <f>IF($AE1142="","",IF(Sync!$Q1142="","0000",IF(AND(ISNUMBER(Sync!$Q1142),Sync!$Q1142&gt;=0,Sync!$Q1142&lt;1),RIGHT("00"&amp;HOUR(Sync!$Q1142),2)&amp;RIGHT("00"&amp;MINUTE(Sync!$Q1142),2),IFERROR(RIGHT("00"&amp;VALUE(LEFT(Sync!$Q1142,FIND(":",Sync!$Q1142)-1)),2)&amp;RIGHT("00"&amp;VALUE(MID(Sync!$Q1142,FIND(":",Sync!$Q1142)+1,2)),2),"0000"))))</f>
        <v/>
      </c>
      <c r="AK1142">
        <f>IF(OR($AE1142="",$AI1142="",$AI1142="نامعتبر"),"",LEFT($AI1142,4)&amp;MID($AI1142,6,2)&amp;RIGHT($AI1142,2)&amp;$AJ1142&amp;"|"&amp;"3"&amp;RIGHT("00000"&amp;1137,5))</f>
        <v/>
      </c>
      <c r="AL1142">
        <f>IF($AK1142="","",COUNTIFS(LdAParty,$AE1142,LdAType,1,LdAKey,"&lt;"&amp;$AK1142)+COUNTIFS(LdBMember,$AE1142,LdBKey,"&lt;"&amp;$AK1142)+COUNTIFS(LdCParty,$AE1142,LdCKey,"&lt;"&amp;$AK1142)+1)</f>
        <v/>
      </c>
      <c r="AM1142">
        <f>IF($AL1142="","",$AE1142&amp;"|"&amp;RIGHT("000000"&amp;$AL1142,6))</f>
        <v/>
      </c>
      <c r="AN1142">
        <f>IF($AE1142="","",IF(Sync!$W1142="",0,Sync!$W1142))</f>
        <v/>
      </c>
      <c r="AO1142">
        <f>IF($AE1142="","",IF(Sync!$X1142="",0,Sync!$X1142))</f>
        <v/>
      </c>
      <c r="AP1142">
        <f>IF($AE1142="","",Sync!$R1142)</f>
        <v/>
      </c>
      <c r="AQ1142">
        <f>IF($AE1142="","",Sync!$Y1142)</f>
        <v/>
      </c>
    </row>
    <row r="1143">
      <c r="A1143">
        <f>IF(OR(Wages!$B1146="",Wages!$E1146=""),"",Wages!$E1146)</f>
        <v/>
      </c>
      <c r="B1143">
        <f>IF($A1143="","",IF(Wages!$C1146="دستمزد گروهی",2,1))</f>
        <v/>
      </c>
      <c r="C1143">
        <f>IF($A1143="","",IF(ISNUMBER(Wages!$B1146),IF(AND(Wages!$B1146&gt;=10000101,Wages!$B1146&lt;=99991231),INT(Wages!$B1146/10000),""),IFERROR(VALUE(TRIM(LEFT(Wages!$B1146,FIND("/",Wages!$B1146)-1))),"")))</f>
        <v/>
      </c>
      <c r="D1143">
        <f>IF(OR($A1143="",$C1143=""),"",IF(ISNUMBER(Wages!$B1146),INT(MOD(Wages!$B1146,10000)/100),IFERROR(VALUE(TRIM(LEFT(MID(Wages!$B1146,FIND("/",Wages!$B1146)+1,20),FIND("/",MID(Wages!$B1146,FIND("/",Wages!$B1146)+1,20))-1))),"")))</f>
        <v/>
      </c>
      <c r="E1143">
        <f>IF(OR($A1143="",$C1143=""),"",IF(ISNUMBER(Wages!$B1146),MOD(Wages!$B1146,100),IFERROR(VALUE(TRIM(MID(MID(Wages!$B1146,FIND("/",Wages!$B1146)+1,20),FIND("/",MID(Wages!$B1146,FIND("/",Wages!$B1146)+1,20))+1,20))),"")))</f>
        <v/>
      </c>
      <c r="F1143">
        <f>IF($A1143="","",IF(OR($C1143="",$D1143="",$E1143="",$C1143&lt;1300,$C1143&gt;1500,$D1143&lt;1,$D1143&gt;12,$E1143&lt;1,$E1143&gt;31),"نامعتبر",RIGHT("0000"&amp;$C1143,4)&amp;"/"&amp;RIGHT("00"&amp;$D1143,2)&amp;"/"&amp;RIGHT("00"&amp;$E1143,2)))</f>
        <v/>
      </c>
      <c r="G1143">
        <f>IF(OR($A1143="",$F1143="",$F1143="نامعتبر"),"",LEFT($F1143,4)&amp;MID($F1143,6,2)&amp;RIGHT($F1143,2)&amp;"0000"&amp;"|"&amp;"1"&amp;RIGHT("00000"&amp;1138,5))</f>
        <v/>
      </c>
      <c r="H1143">
        <f>IF(OR($B1143&lt;&gt;1,$G1143=""),"",COUNTIFS(LdAParty,$A1143,LdAType,1,LdAKey,"&lt;"&amp;$G1143)+COUNTIFS(LdBMember,$A1143,LdBKey,"&lt;"&amp;$G1143)+COUNTIFS(LdCParty,$A1143,LdCKey,"&lt;"&amp;$G1143)+1)</f>
        <v/>
      </c>
      <c r="I1143">
        <f>IF($H1143="","",$A1143&amp;"|"&amp;RIGHT("000000"&amp;$H1143,6))</f>
        <v/>
      </c>
      <c r="J1143">
        <f>IF(OR($B1143&lt;&gt;2,$G1143=""),"",COUNTIFS(LdAParty,$A1143,LdAType,2,LdAKey,"&lt;"&amp;$G1143)+1)</f>
        <v/>
      </c>
      <c r="K1143">
        <f>IF($J1143="","",$A1143&amp;"|"&amp;RIGHT("000000"&amp;$J1143,6))</f>
        <v/>
      </c>
      <c r="L1143">
        <f>IF($A1143="","",IF(Wages!$G1146="",0,Wages!$G1146))</f>
        <v/>
      </c>
      <c r="M1143">
        <f>IF($A1143="","",Wages!$J1146)</f>
        <v/>
      </c>
      <c r="N1143">
        <f>IF($A1143="","",Wages!$D1146)</f>
        <v/>
      </c>
      <c r="P1143">
        <f>IF(OR(Shares!$B1146="",Shares!$C1146=""),"",Shares!$C1146)</f>
        <v/>
      </c>
      <c r="Q1143">
        <f>IF($P1143="","",Shares!$B1146)</f>
        <v/>
      </c>
      <c r="R1143">
        <f>IF($P1143="","",IFERROR(INDEX(WageParty,MATCH($Q1143,WageIds,0)),""))</f>
        <v/>
      </c>
      <c r="S1143">
        <f>IF($P1143="","",IFERROR(INDEX($F$6:$F$2005,MATCH($Q1143,WageIds,0)),""))</f>
        <v/>
      </c>
      <c r="T1143">
        <f>IF(OR($P1143="",$S1143="",$S1143="نامعتبر"),"",LEFT($S1143,4)&amp;MID($S1143,6,2)&amp;RIGHT($S1143,2)&amp;"0000"&amp;"|"&amp;"2"&amp;RIGHT("00000"&amp;1138,5))</f>
        <v/>
      </c>
      <c r="U1143">
        <f>IF($T1143="","",COUNTIFS(LdAParty,$P1143,LdAType,1,LdAKey,"&lt;"&amp;$T1143)+COUNTIFS(LdBMember,$P1143,LdBKey,"&lt;"&amp;$T1143)+COUNTIFS(LdCParty,$P1143,LdCKey,"&lt;"&amp;$T1143)+1)</f>
        <v/>
      </c>
      <c r="V1143">
        <f>IF($U1143="","",$P1143&amp;"|"&amp;RIGHT("000000"&amp;$U1143,6))</f>
        <v/>
      </c>
      <c r="W1143">
        <f>IF($T1143="","",COUNTIFS(LdBGroup,$R1143,LdBKey,"&lt;"&amp;$T1143)+1)</f>
        <v/>
      </c>
      <c r="X1143">
        <f>IF($W1143="","",$R1143&amp;"|"&amp;RIGHT("000000"&amp;$W1143,6))</f>
        <v/>
      </c>
      <c r="Y1143">
        <f>IF($P1143="","",IF(Shares!$E1146="",0,Shares!$E1146))</f>
        <v/>
      </c>
      <c r="Z1143">
        <f>IF($P1143="","",Shares!$H1146)</f>
        <v/>
      </c>
      <c r="AE1143">
        <f>IF(OR(Sync!$S1143="",Sync!$P1143=""),"",Sync!$S1143)</f>
        <v/>
      </c>
      <c r="AF1143">
        <f>IF($AE1143="","",IF(ISNUMBER(Sync!$P1143),IF(AND(Sync!$P1143&gt;=10000101,Sync!$P1143&lt;=99991231),INT(Sync!$P1143/10000),""),IFERROR(VALUE(TRIM(LEFT(Sync!$P1143,FIND("/",Sync!$P1143)-1))),"")))</f>
        <v/>
      </c>
      <c r="AG1143">
        <f>IF(OR($AE1143="",$AF1143=""),"",IF(ISNUMBER(Sync!$P1143),INT(MOD(Sync!$P1143,10000)/100),IFERROR(VALUE(TRIM(LEFT(MID(Sync!$P1143,FIND("/",Sync!$P1143)+1,20),FIND("/",MID(Sync!$P1143,FIND("/",Sync!$P1143)+1,20))-1))),"")))</f>
        <v/>
      </c>
      <c r="AH1143">
        <f>IF(OR($AE1143="",$AF1143=""),"",IF(ISNUMBER(Sync!$P1143),MOD(Sync!$P1143,100),IFERROR(VALUE(TRIM(MID(MID(Sync!$P1143,FIND("/",Sync!$P1143)+1,20),FIND("/",MID(Sync!$P1143,FIND("/",Sync!$P1143)+1,20))+1,20))),"")))</f>
        <v/>
      </c>
      <c r="AI1143">
        <f>IF($AE1143="","",IF(OR($AF1143="",$AG1143="",$AH1143="",$AF1143&lt;1300,$AF1143&gt;1500,$AG1143&lt;1,$AG1143&gt;12,$AH1143&lt;1,$AH1143&gt;31),"نامعتبر",RIGHT("0000"&amp;$AF1143,4)&amp;"/"&amp;RIGHT("00"&amp;$AG1143,2)&amp;"/"&amp;RIGHT("00"&amp;$AH1143,2)))</f>
        <v/>
      </c>
      <c r="AJ1143">
        <f>IF($AE1143="","",IF(Sync!$Q1143="","0000",IF(AND(ISNUMBER(Sync!$Q1143),Sync!$Q1143&gt;=0,Sync!$Q1143&lt;1),RIGHT("00"&amp;HOUR(Sync!$Q1143),2)&amp;RIGHT("00"&amp;MINUTE(Sync!$Q1143),2),IFERROR(RIGHT("00"&amp;VALUE(LEFT(Sync!$Q1143,FIND(":",Sync!$Q1143)-1)),2)&amp;RIGHT("00"&amp;VALUE(MID(Sync!$Q1143,FIND(":",Sync!$Q1143)+1,2)),2),"0000"))))</f>
        <v/>
      </c>
      <c r="AK1143">
        <f>IF(OR($AE1143="",$AI1143="",$AI1143="نامعتبر"),"",LEFT($AI1143,4)&amp;MID($AI1143,6,2)&amp;RIGHT($AI1143,2)&amp;$AJ1143&amp;"|"&amp;"3"&amp;RIGHT("00000"&amp;1138,5))</f>
        <v/>
      </c>
      <c r="AL1143">
        <f>IF($AK1143="","",COUNTIFS(LdAParty,$AE1143,LdAType,1,LdAKey,"&lt;"&amp;$AK1143)+COUNTIFS(LdBMember,$AE1143,LdBKey,"&lt;"&amp;$AK1143)+COUNTIFS(LdCParty,$AE1143,LdCKey,"&lt;"&amp;$AK1143)+1)</f>
        <v/>
      </c>
      <c r="AM1143">
        <f>IF($AL1143="","",$AE1143&amp;"|"&amp;RIGHT("000000"&amp;$AL1143,6))</f>
        <v/>
      </c>
      <c r="AN1143">
        <f>IF($AE1143="","",IF(Sync!$W1143="",0,Sync!$W1143))</f>
        <v/>
      </c>
      <c r="AO1143">
        <f>IF($AE1143="","",IF(Sync!$X1143="",0,Sync!$X1143))</f>
        <v/>
      </c>
      <c r="AP1143">
        <f>IF($AE1143="","",Sync!$R1143)</f>
        <v/>
      </c>
      <c r="AQ1143">
        <f>IF($AE1143="","",Sync!$Y1143)</f>
        <v/>
      </c>
    </row>
    <row r="1144">
      <c r="A1144">
        <f>IF(OR(Wages!$B1147="",Wages!$E1147=""),"",Wages!$E1147)</f>
        <v/>
      </c>
      <c r="B1144">
        <f>IF($A1144="","",IF(Wages!$C1147="دستمزد گروهی",2,1))</f>
        <v/>
      </c>
      <c r="C1144">
        <f>IF($A1144="","",IF(ISNUMBER(Wages!$B1147),IF(AND(Wages!$B1147&gt;=10000101,Wages!$B1147&lt;=99991231),INT(Wages!$B1147/10000),""),IFERROR(VALUE(TRIM(LEFT(Wages!$B1147,FIND("/",Wages!$B1147)-1))),"")))</f>
        <v/>
      </c>
      <c r="D1144">
        <f>IF(OR($A1144="",$C1144=""),"",IF(ISNUMBER(Wages!$B1147),INT(MOD(Wages!$B1147,10000)/100),IFERROR(VALUE(TRIM(LEFT(MID(Wages!$B1147,FIND("/",Wages!$B1147)+1,20),FIND("/",MID(Wages!$B1147,FIND("/",Wages!$B1147)+1,20))-1))),"")))</f>
        <v/>
      </c>
      <c r="E1144">
        <f>IF(OR($A1144="",$C1144=""),"",IF(ISNUMBER(Wages!$B1147),MOD(Wages!$B1147,100),IFERROR(VALUE(TRIM(MID(MID(Wages!$B1147,FIND("/",Wages!$B1147)+1,20),FIND("/",MID(Wages!$B1147,FIND("/",Wages!$B1147)+1,20))+1,20))),"")))</f>
        <v/>
      </c>
      <c r="F1144">
        <f>IF($A1144="","",IF(OR($C1144="",$D1144="",$E1144="",$C1144&lt;1300,$C1144&gt;1500,$D1144&lt;1,$D1144&gt;12,$E1144&lt;1,$E1144&gt;31),"نامعتبر",RIGHT("0000"&amp;$C1144,4)&amp;"/"&amp;RIGHT("00"&amp;$D1144,2)&amp;"/"&amp;RIGHT("00"&amp;$E1144,2)))</f>
        <v/>
      </c>
      <c r="G1144">
        <f>IF(OR($A1144="",$F1144="",$F1144="نامعتبر"),"",LEFT($F1144,4)&amp;MID($F1144,6,2)&amp;RIGHT($F1144,2)&amp;"0000"&amp;"|"&amp;"1"&amp;RIGHT("00000"&amp;1139,5))</f>
        <v/>
      </c>
      <c r="H1144">
        <f>IF(OR($B1144&lt;&gt;1,$G1144=""),"",COUNTIFS(LdAParty,$A1144,LdAType,1,LdAKey,"&lt;"&amp;$G1144)+COUNTIFS(LdBMember,$A1144,LdBKey,"&lt;"&amp;$G1144)+COUNTIFS(LdCParty,$A1144,LdCKey,"&lt;"&amp;$G1144)+1)</f>
        <v/>
      </c>
      <c r="I1144">
        <f>IF($H1144="","",$A1144&amp;"|"&amp;RIGHT("000000"&amp;$H1144,6))</f>
        <v/>
      </c>
      <c r="J1144">
        <f>IF(OR($B1144&lt;&gt;2,$G1144=""),"",COUNTIFS(LdAParty,$A1144,LdAType,2,LdAKey,"&lt;"&amp;$G1144)+1)</f>
        <v/>
      </c>
      <c r="K1144">
        <f>IF($J1144="","",$A1144&amp;"|"&amp;RIGHT("000000"&amp;$J1144,6))</f>
        <v/>
      </c>
      <c r="L1144">
        <f>IF($A1144="","",IF(Wages!$G1147="",0,Wages!$G1147))</f>
        <v/>
      </c>
      <c r="M1144">
        <f>IF($A1144="","",Wages!$J1147)</f>
        <v/>
      </c>
      <c r="N1144">
        <f>IF($A1144="","",Wages!$D1147)</f>
        <v/>
      </c>
      <c r="P1144">
        <f>IF(OR(Shares!$B1147="",Shares!$C1147=""),"",Shares!$C1147)</f>
        <v/>
      </c>
      <c r="Q1144">
        <f>IF($P1144="","",Shares!$B1147)</f>
        <v/>
      </c>
      <c r="R1144">
        <f>IF($P1144="","",IFERROR(INDEX(WageParty,MATCH($Q1144,WageIds,0)),""))</f>
        <v/>
      </c>
      <c r="S1144">
        <f>IF($P1144="","",IFERROR(INDEX($F$6:$F$2005,MATCH($Q1144,WageIds,0)),""))</f>
        <v/>
      </c>
      <c r="T1144">
        <f>IF(OR($P1144="",$S1144="",$S1144="نامعتبر"),"",LEFT($S1144,4)&amp;MID($S1144,6,2)&amp;RIGHT($S1144,2)&amp;"0000"&amp;"|"&amp;"2"&amp;RIGHT("00000"&amp;1139,5))</f>
        <v/>
      </c>
      <c r="U1144">
        <f>IF($T1144="","",COUNTIFS(LdAParty,$P1144,LdAType,1,LdAKey,"&lt;"&amp;$T1144)+COUNTIFS(LdBMember,$P1144,LdBKey,"&lt;"&amp;$T1144)+COUNTIFS(LdCParty,$P1144,LdCKey,"&lt;"&amp;$T1144)+1)</f>
        <v/>
      </c>
      <c r="V1144">
        <f>IF($U1144="","",$P1144&amp;"|"&amp;RIGHT("000000"&amp;$U1144,6))</f>
        <v/>
      </c>
      <c r="W1144">
        <f>IF($T1144="","",COUNTIFS(LdBGroup,$R1144,LdBKey,"&lt;"&amp;$T1144)+1)</f>
        <v/>
      </c>
      <c r="X1144">
        <f>IF($W1144="","",$R1144&amp;"|"&amp;RIGHT("000000"&amp;$W1144,6))</f>
        <v/>
      </c>
      <c r="Y1144">
        <f>IF($P1144="","",IF(Shares!$E1147="",0,Shares!$E1147))</f>
        <v/>
      </c>
      <c r="Z1144">
        <f>IF($P1144="","",Shares!$H1147)</f>
        <v/>
      </c>
      <c r="AE1144">
        <f>IF(OR(Sync!$S1144="",Sync!$P1144=""),"",Sync!$S1144)</f>
        <v/>
      </c>
      <c r="AF1144">
        <f>IF($AE1144="","",IF(ISNUMBER(Sync!$P1144),IF(AND(Sync!$P1144&gt;=10000101,Sync!$P1144&lt;=99991231),INT(Sync!$P1144/10000),""),IFERROR(VALUE(TRIM(LEFT(Sync!$P1144,FIND("/",Sync!$P1144)-1))),"")))</f>
        <v/>
      </c>
      <c r="AG1144">
        <f>IF(OR($AE1144="",$AF1144=""),"",IF(ISNUMBER(Sync!$P1144),INT(MOD(Sync!$P1144,10000)/100),IFERROR(VALUE(TRIM(LEFT(MID(Sync!$P1144,FIND("/",Sync!$P1144)+1,20),FIND("/",MID(Sync!$P1144,FIND("/",Sync!$P1144)+1,20))-1))),"")))</f>
        <v/>
      </c>
      <c r="AH1144">
        <f>IF(OR($AE1144="",$AF1144=""),"",IF(ISNUMBER(Sync!$P1144),MOD(Sync!$P1144,100),IFERROR(VALUE(TRIM(MID(MID(Sync!$P1144,FIND("/",Sync!$P1144)+1,20),FIND("/",MID(Sync!$P1144,FIND("/",Sync!$P1144)+1,20))+1,20))),"")))</f>
        <v/>
      </c>
      <c r="AI1144">
        <f>IF($AE1144="","",IF(OR($AF1144="",$AG1144="",$AH1144="",$AF1144&lt;1300,$AF1144&gt;1500,$AG1144&lt;1,$AG1144&gt;12,$AH1144&lt;1,$AH1144&gt;31),"نامعتبر",RIGHT("0000"&amp;$AF1144,4)&amp;"/"&amp;RIGHT("00"&amp;$AG1144,2)&amp;"/"&amp;RIGHT("00"&amp;$AH1144,2)))</f>
        <v/>
      </c>
      <c r="AJ1144">
        <f>IF($AE1144="","",IF(Sync!$Q1144="","0000",IF(AND(ISNUMBER(Sync!$Q1144),Sync!$Q1144&gt;=0,Sync!$Q1144&lt;1),RIGHT("00"&amp;HOUR(Sync!$Q1144),2)&amp;RIGHT("00"&amp;MINUTE(Sync!$Q1144),2),IFERROR(RIGHT("00"&amp;VALUE(LEFT(Sync!$Q1144,FIND(":",Sync!$Q1144)-1)),2)&amp;RIGHT("00"&amp;VALUE(MID(Sync!$Q1144,FIND(":",Sync!$Q1144)+1,2)),2),"0000"))))</f>
        <v/>
      </c>
      <c r="AK1144">
        <f>IF(OR($AE1144="",$AI1144="",$AI1144="نامعتبر"),"",LEFT($AI1144,4)&amp;MID($AI1144,6,2)&amp;RIGHT($AI1144,2)&amp;$AJ1144&amp;"|"&amp;"3"&amp;RIGHT("00000"&amp;1139,5))</f>
        <v/>
      </c>
      <c r="AL1144">
        <f>IF($AK1144="","",COUNTIFS(LdAParty,$AE1144,LdAType,1,LdAKey,"&lt;"&amp;$AK1144)+COUNTIFS(LdBMember,$AE1144,LdBKey,"&lt;"&amp;$AK1144)+COUNTIFS(LdCParty,$AE1144,LdCKey,"&lt;"&amp;$AK1144)+1)</f>
        <v/>
      </c>
      <c r="AM1144">
        <f>IF($AL1144="","",$AE1144&amp;"|"&amp;RIGHT("000000"&amp;$AL1144,6))</f>
        <v/>
      </c>
      <c r="AN1144">
        <f>IF($AE1144="","",IF(Sync!$W1144="",0,Sync!$W1144))</f>
        <v/>
      </c>
      <c r="AO1144">
        <f>IF($AE1144="","",IF(Sync!$X1144="",0,Sync!$X1144))</f>
        <v/>
      </c>
      <c r="AP1144">
        <f>IF($AE1144="","",Sync!$R1144)</f>
        <v/>
      </c>
      <c r="AQ1144">
        <f>IF($AE1144="","",Sync!$Y1144)</f>
        <v/>
      </c>
    </row>
    <row r="1145">
      <c r="A1145">
        <f>IF(OR(Wages!$B1148="",Wages!$E1148=""),"",Wages!$E1148)</f>
        <v/>
      </c>
      <c r="B1145">
        <f>IF($A1145="","",IF(Wages!$C1148="دستمزد گروهی",2,1))</f>
        <v/>
      </c>
      <c r="C1145">
        <f>IF($A1145="","",IF(ISNUMBER(Wages!$B1148),IF(AND(Wages!$B1148&gt;=10000101,Wages!$B1148&lt;=99991231),INT(Wages!$B1148/10000),""),IFERROR(VALUE(TRIM(LEFT(Wages!$B1148,FIND("/",Wages!$B1148)-1))),"")))</f>
        <v/>
      </c>
      <c r="D1145">
        <f>IF(OR($A1145="",$C1145=""),"",IF(ISNUMBER(Wages!$B1148),INT(MOD(Wages!$B1148,10000)/100),IFERROR(VALUE(TRIM(LEFT(MID(Wages!$B1148,FIND("/",Wages!$B1148)+1,20),FIND("/",MID(Wages!$B1148,FIND("/",Wages!$B1148)+1,20))-1))),"")))</f>
        <v/>
      </c>
      <c r="E1145">
        <f>IF(OR($A1145="",$C1145=""),"",IF(ISNUMBER(Wages!$B1148),MOD(Wages!$B1148,100),IFERROR(VALUE(TRIM(MID(MID(Wages!$B1148,FIND("/",Wages!$B1148)+1,20),FIND("/",MID(Wages!$B1148,FIND("/",Wages!$B1148)+1,20))+1,20))),"")))</f>
        <v/>
      </c>
      <c r="F1145">
        <f>IF($A1145="","",IF(OR($C1145="",$D1145="",$E1145="",$C1145&lt;1300,$C1145&gt;1500,$D1145&lt;1,$D1145&gt;12,$E1145&lt;1,$E1145&gt;31),"نامعتبر",RIGHT("0000"&amp;$C1145,4)&amp;"/"&amp;RIGHT("00"&amp;$D1145,2)&amp;"/"&amp;RIGHT("00"&amp;$E1145,2)))</f>
        <v/>
      </c>
      <c r="G1145">
        <f>IF(OR($A1145="",$F1145="",$F1145="نامعتبر"),"",LEFT($F1145,4)&amp;MID($F1145,6,2)&amp;RIGHT($F1145,2)&amp;"0000"&amp;"|"&amp;"1"&amp;RIGHT("00000"&amp;1140,5))</f>
        <v/>
      </c>
      <c r="H1145">
        <f>IF(OR($B1145&lt;&gt;1,$G1145=""),"",COUNTIFS(LdAParty,$A1145,LdAType,1,LdAKey,"&lt;"&amp;$G1145)+COUNTIFS(LdBMember,$A1145,LdBKey,"&lt;"&amp;$G1145)+COUNTIFS(LdCParty,$A1145,LdCKey,"&lt;"&amp;$G1145)+1)</f>
        <v/>
      </c>
      <c r="I1145">
        <f>IF($H1145="","",$A1145&amp;"|"&amp;RIGHT("000000"&amp;$H1145,6))</f>
        <v/>
      </c>
      <c r="J1145">
        <f>IF(OR($B1145&lt;&gt;2,$G1145=""),"",COUNTIFS(LdAParty,$A1145,LdAType,2,LdAKey,"&lt;"&amp;$G1145)+1)</f>
        <v/>
      </c>
      <c r="K1145">
        <f>IF($J1145="","",$A1145&amp;"|"&amp;RIGHT("000000"&amp;$J1145,6))</f>
        <v/>
      </c>
      <c r="L1145">
        <f>IF($A1145="","",IF(Wages!$G1148="",0,Wages!$G1148))</f>
        <v/>
      </c>
      <c r="M1145">
        <f>IF($A1145="","",Wages!$J1148)</f>
        <v/>
      </c>
      <c r="N1145">
        <f>IF($A1145="","",Wages!$D1148)</f>
        <v/>
      </c>
      <c r="P1145">
        <f>IF(OR(Shares!$B1148="",Shares!$C1148=""),"",Shares!$C1148)</f>
        <v/>
      </c>
      <c r="Q1145">
        <f>IF($P1145="","",Shares!$B1148)</f>
        <v/>
      </c>
      <c r="R1145">
        <f>IF($P1145="","",IFERROR(INDEX(WageParty,MATCH($Q1145,WageIds,0)),""))</f>
        <v/>
      </c>
      <c r="S1145">
        <f>IF($P1145="","",IFERROR(INDEX($F$6:$F$2005,MATCH($Q1145,WageIds,0)),""))</f>
        <v/>
      </c>
      <c r="T1145">
        <f>IF(OR($P1145="",$S1145="",$S1145="نامعتبر"),"",LEFT($S1145,4)&amp;MID($S1145,6,2)&amp;RIGHT($S1145,2)&amp;"0000"&amp;"|"&amp;"2"&amp;RIGHT("00000"&amp;1140,5))</f>
        <v/>
      </c>
      <c r="U1145">
        <f>IF($T1145="","",COUNTIFS(LdAParty,$P1145,LdAType,1,LdAKey,"&lt;"&amp;$T1145)+COUNTIFS(LdBMember,$P1145,LdBKey,"&lt;"&amp;$T1145)+COUNTIFS(LdCParty,$P1145,LdCKey,"&lt;"&amp;$T1145)+1)</f>
        <v/>
      </c>
      <c r="V1145">
        <f>IF($U1145="","",$P1145&amp;"|"&amp;RIGHT("000000"&amp;$U1145,6))</f>
        <v/>
      </c>
      <c r="W1145">
        <f>IF($T1145="","",COUNTIFS(LdBGroup,$R1145,LdBKey,"&lt;"&amp;$T1145)+1)</f>
        <v/>
      </c>
      <c r="X1145">
        <f>IF($W1145="","",$R1145&amp;"|"&amp;RIGHT("000000"&amp;$W1145,6))</f>
        <v/>
      </c>
      <c r="Y1145">
        <f>IF($P1145="","",IF(Shares!$E1148="",0,Shares!$E1148))</f>
        <v/>
      </c>
      <c r="Z1145">
        <f>IF($P1145="","",Shares!$H1148)</f>
        <v/>
      </c>
      <c r="AE1145">
        <f>IF(OR(Sync!$S1145="",Sync!$P1145=""),"",Sync!$S1145)</f>
        <v/>
      </c>
      <c r="AF1145">
        <f>IF($AE1145="","",IF(ISNUMBER(Sync!$P1145),IF(AND(Sync!$P1145&gt;=10000101,Sync!$P1145&lt;=99991231),INT(Sync!$P1145/10000),""),IFERROR(VALUE(TRIM(LEFT(Sync!$P1145,FIND("/",Sync!$P1145)-1))),"")))</f>
        <v/>
      </c>
      <c r="AG1145">
        <f>IF(OR($AE1145="",$AF1145=""),"",IF(ISNUMBER(Sync!$P1145),INT(MOD(Sync!$P1145,10000)/100),IFERROR(VALUE(TRIM(LEFT(MID(Sync!$P1145,FIND("/",Sync!$P1145)+1,20),FIND("/",MID(Sync!$P1145,FIND("/",Sync!$P1145)+1,20))-1))),"")))</f>
        <v/>
      </c>
      <c r="AH1145">
        <f>IF(OR($AE1145="",$AF1145=""),"",IF(ISNUMBER(Sync!$P1145),MOD(Sync!$P1145,100),IFERROR(VALUE(TRIM(MID(MID(Sync!$P1145,FIND("/",Sync!$P1145)+1,20),FIND("/",MID(Sync!$P1145,FIND("/",Sync!$P1145)+1,20))+1,20))),"")))</f>
        <v/>
      </c>
      <c r="AI1145">
        <f>IF($AE1145="","",IF(OR($AF1145="",$AG1145="",$AH1145="",$AF1145&lt;1300,$AF1145&gt;1500,$AG1145&lt;1,$AG1145&gt;12,$AH1145&lt;1,$AH1145&gt;31),"نامعتبر",RIGHT("0000"&amp;$AF1145,4)&amp;"/"&amp;RIGHT("00"&amp;$AG1145,2)&amp;"/"&amp;RIGHT("00"&amp;$AH1145,2)))</f>
        <v/>
      </c>
      <c r="AJ1145">
        <f>IF($AE1145="","",IF(Sync!$Q1145="","0000",IF(AND(ISNUMBER(Sync!$Q1145),Sync!$Q1145&gt;=0,Sync!$Q1145&lt;1),RIGHT("00"&amp;HOUR(Sync!$Q1145),2)&amp;RIGHT("00"&amp;MINUTE(Sync!$Q1145),2),IFERROR(RIGHT("00"&amp;VALUE(LEFT(Sync!$Q1145,FIND(":",Sync!$Q1145)-1)),2)&amp;RIGHT("00"&amp;VALUE(MID(Sync!$Q1145,FIND(":",Sync!$Q1145)+1,2)),2),"0000"))))</f>
        <v/>
      </c>
      <c r="AK1145">
        <f>IF(OR($AE1145="",$AI1145="",$AI1145="نامعتبر"),"",LEFT($AI1145,4)&amp;MID($AI1145,6,2)&amp;RIGHT($AI1145,2)&amp;$AJ1145&amp;"|"&amp;"3"&amp;RIGHT("00000"&amp;1140,5))</f>
        <v/>
      </c>
      <c r="AL1145">
        <f>IF($AK1145="","",COUNTIFS(LdAParty,$AE1145,LdAType,1,LdAKey,"&lt;"&amp;$AK1145)+COUNTIFS(LdBMember,$AE1145,LdBKey,"&lt;"&amp;$AK1145)+COUNTIFS(LdCParty,$AE1145,LdCKey,"&lt;"&amp;$AK1145)+1)</f>
        <v/>
      </c>
      <c r="AM1145">
        <f>IF($AL1145="","",$AE1145&amp;"|"&amp;RIGHT("000000"&amp;$AL1145,6))</f>
        <v/>
      </c>
      <c r="AN1145">
        <f>IF($AE1145="","",IF(Sync!$W1145="",0,Sync!$W1145))</f>
        <v/>
      </c>
      <c r="AO1145">
        <f>IF($AE1145="","",IF(Sync!$X1145="",0,Sync!$X1145))</f>
        <v/>
      </c>
      <c r="AP1145">
        <f>IF($AE1145="","",Sync!$R1145)</f>
        <v/>
      </c>
      <c r="AQ1145">
        <f>IF($AE1145="","",Sync!$Y1145)</f>
        <v/>
      </c>
    </row>
    <row r="1146">
      <c r="A1146">
        <f>IF(OR(Wages!$B1149="",Wages!$E1149=""),"",Wages!$E1149)</f>
        <v/>
      </c>
      <c r="B1146">
        <f>IF($A1146="","",IF(Wages!$C1149="دستمزد گروهی",2,1))</f>
        <v/>
      </c>
      <c r="C1146">
        <f>IF($A1146="","",IF(ISNUMBER(Wages!$B1149),IF(AND(Wages!$B1149&gt;=10000101,Wages!$B1149&lt;=99991231),INT(Wages!$B1149/10000),""),IFERROR(VALUE(TRIM(LEFT(Wages!$B1149,FIND("/",Wages!$B1149)-1))),"")))</f>
        <v/>
      </c>
      <c r="D1146">
        <f>IF(OR($A1146="",$C1146=""),"",IF(ISNUMBER(Wages!$B1149),INT(MOD(Wages!$B1149,10000)/100),IFERROR(VALUE(TRIM(LEFT(MID(Wages!$B1149,FIND("/",Wages!$B1149)+1,20),FIND("/",MID(Wages!$B1149,FIND("/",Wages!$B1149)+1,20))-1))),"")))</f>
        <v/>
      </c>
      <c r="E1146">
        <f>IF(OR($A1146="",$C1146=""),"",IF(ISNUMBER(Wages!$B1149),MOD(Wages!$B1149,100),IFERROR(VALUE(TRIM(MID(MID(Wages!$B1149,FIND("/",Wages!$B1149)+1,20),FIND("/",MID(Wages!$B1149,FIND("/",Wages!$B1149)+1,20))+1,20))),"")))</f>
        <v/>
      </c>
      <c r="F1146">
        <f>IF($A1146="","",IF(OR($C1146="",$D1146="",$E1146="",$C1146&lt;1300,$C1146&gt;1500,$D1146&lt;1,$D1146&gt;12,$E1146&lt;1,$E1146&gt;31),"نامعتبر",RIGHT("0000"&amp;$C1146,4)&amp;"/"&amp;RIGHT("00"&amp;$D1146,2)&amp;"/"&amp;RIGHT("00"&amp;$E1146,2)))</f>
        <v/>
      </c>
      <c r="G1146">
        <f>IF(OR($A1146="",$F1146="",$F1146="نامعتبر"),"",LEFT($F1146,4)&amp;MID($F1146,6,2)&amp;RIGHT($F1146,2)&amp;"0000"&amp;"|"&amp;"1"&amp;RIGHT("00000"&amp;1141,5))</f>
        <v/>
      </c>
      <c r="H1146">
        <f>IF(OR($B1146&lt;&gt;1,$G1146=""),"",COUNTIFS(LdAParty,$A1146,LdAType,1,LdAKey,"&lt;"&amp;$G1146)+COUNTIFS(LdBMember,$A1146,LdBKey,"&lt;"&amp;$G1146)+COUNTIFS(LdCParty,$A1146,LdCKey,"&lt;"&amp;$G1146)+1)</f>
        <v/>
      </c>
      <c r="I1146">
        <f>IF($H1146="","",$A1146&amp;"|"&amp;RIGHT("000000"&amp;$H1146,6))</f>
        <v/>
      </c>
      <c r="J1146">
        <f>IF(OR($B1146&lt;&gt;2,$G1146=""),"",COUNTIFS(LdAParty,$A1146,LdAType,2,LdAKey,"&lt;"&amp;$G1146)+1)</f>
        <v/>
      </c>
      <c r="K1146">
        <f>IF($J1146="","",$A1146&amp;"|"&amp;RIGHT("000000"&amp;$J1146,6))</f>
        <v/>
      </c>
      <c r="L1146">
        <f>IF($A1146="","",IF(Wages!$G1149="",0,Wages!$G1149))</f>
        <v/>
      </c>
      <c r="M1146">
        <f>IF($A1146="","",Wages!$J1149)</f>
        <v/>
      </c>
      <c r="N1146">
        <f>IF($A1146="","",Wages!$D1149)</f>
        <v/>
      </c>
      <c r="P1146">
        <f>IF(OR(Shares!$B1149="",Shares!$C1149=""),"",Shares!$C1149)</f>
        <v/>
      </c>
      <c r="Q1146">
        <f>IF($P1146="","",Shares!$B1149)</f>
        <v/>
      </c>
      <c r="R1146">
        <f>IF($P1146="","",IFERROR(INDEX(WageParty,MATCH($Q1146,WageIds,0)),""))</f>
        <v/>
      </c>
      <c r="S1146">
        <f>IF($P1146="","",IFERROR(INDEX($F$6:$F$2005,MATCH($Q1146,WageIds,0)),""))</f>
        <v/>
      </c>
      <c r="T1146">
        <f>IF(OR($P1146="",$S1146="",$S1146="نامعتبر"),"",LEFT($S1146,4)&amp;MID($S1146,6,2)&amp;RIGHT($S1146,2)&amp;"0000"&amp;"|"&amp;"2"&amp;RIGHT("00000"&amp;1141,5))</f>
        <v/>
      </c>
      <c r="U1146">
        <f>IF($T1146="","",COUNTIFS(LdAParty,$P1146,LdAType,1,LdAKey,"&lt;"&amp;$T1146)+COUNTIFS(LdBMember,$P1146,LdBKey,"&lt;"&amp;$T1146)+COUNTIFS(LdCParty,$P1146,LdCKey,"&lt;"&amp;$T1146)+1)</f>
        <v/>
      </c>
      <c r="V1146">
        <f>IF($U1146="","",$P1146&amp;"|"&amp;RIGHT("000000"&amp;$U1146,6))</f>
        <v/>
      </c>
      <c r="W1146">
        <f>IF($T1146="","",COUNTIFS(LdBGroup,$R1146,LdBKey,"&lt;"&amp;$T1146)+1)</f>
        <v/>
      </c>
      <c r="X1146">
        <f>IF($W1146="","",$R1146&amp;"|"&amp;RIGHT("000000"&amp;$W1146,6))</f>
        <v/>
      </c>
      <c r="Y1146">
        <f>IF($P1146="","",IF(Shares!$E1149="",0,Shares!$E1149))</f>
        <v/>
      </c>
      <c r="Z1146">
        <f>IF($P1146="","",Shares!$H1149)</f>
        <v/>
      </c>
      <c r="AE1146">
        <f>IF(OR(Sync!$S1146="",Sync!$P1146=""),"",Sync!$S1146)</f>
        <v/>
      </c>
      <c r="AF1146">
        <f>IF($AE1146="","",IF(ISNUMBER(Sync!$P1146),IF(AND(Sync!$P1146&gt;=10000101,Sync!$P1146&lt;=99991231),INT(Sync!$P1146/10000),""),IFERROR(VALUE(TRIM(LEFT(Sync!$P1146,FIND("/",Sync!$P1146)-1))),"")))</f>
        <v/>
      </c>
      <c r="AG1146">
        <f>IF(OR($AE1146="",$AF1146=""),"",IF(ISNUMBER(Sync!$P1146),INT(MOD(Sync!$P1146,10000)/100),IFERROR(VALUE(TRIM(LEFT(MID(Sync!$P1146,FIND("/",Sync!$P1146)+1,20),FIND("/",MID(Sync!$P1146,FIND("/",Sync!$P1146)+1,20))-1))),"")))</f>
        <v/>
      </c>
      <c r="AH1146">
        <f>IF(OR($AE1146="",$AF1146=""),"",IF(ISNUMBER(Sync!$P1146),MOD(Sync!$P1146,100),IFERROR(VALUE(TRIM(MID(MID(Sync!$P1146,FIND("/",Sync!$P1146)+1,20),FIND("/",MID(Sync!$P1146,FIND("/",Sync!$P1146)+1,20))+1,20))),"")))</f>
        <v/>
      </c>
      <c r="AI1146">
        <f>IF($AE1146="","",IF(OR($AF1146="",$AG1146="",$AH1146="",$AF1146&lt;1300,$AF1146&gt;1500,$AG1146&lt;1,$AG1146&gt;12,$AH1146&lt;1,$AH1146&gt;31),"نامعتبر",RIGHT("0000"&amp;$AF1146,4)&amp;"/"&amp;RIGHT("00"&amp;$AG1146,2)&amp;"/"&amp;RIGHT("00"&amp;$AH1146,2)))</f>
        <v/>
      </c>
      <c r="AJ1146">
        <f>IF($AE1146="","",IF(Sync!$Q1146="","0000",IF(AND(ISNUMBER(Sync!$Q1146),Sync!$Q1146&gt;=0,Sync!$Q1146&lt;1),RIGHT("00"&amp;HOUR(Sync!$Q1146),2)&amp;RIGHT("00"&amp;MINUTE(Sync!$Q1146),2),IFERROR(RIGHT("00"&amp;VALUE(LEFT(Sync!$Q1146,FIND(":",Sync!$Q1146)-1)),2)&amp;RIGHT("00"&amp;VALUE(MID(Sync!$Q1146,FIND(":",Sync!$Q1146)+1,2)),2),"0000"))))</f>
        <v/>
      </c>
      <c r="AK1146">
        <f>IF(OR($AE1146="",$AI1146="",$AI1146="نامعتبر"),"",LEFT($AI1146,4)&amp;MID($AI1146,6,2)&amp;RIGHT($AI1146,2)&amp;$AJ1146&amp;"|"&amp;"3"&amp;RIGHT("00000"&amp;1141,5))</f>
        <v/>
      </c>
      <c r="AL1146">
        <f>IF($AK1146="","",COUNTIFS(LdAParty,$AE1146,LdAType,1,LdAKey,"&lt;"&amp;$AK1146)+COUNTIFS(LdBMember,$AE1146,LdBKey,"&lt;"&amp;$AK1146)+COUNTIFS(LdCParty,$AE1146,LdCKey,"&lt;"&amp;$AK1146)+1)</f>
        <v/>
      </c>
      <c r="AM1146">
        <f>IF($AL1146="","",$AE1146&amp;"|"&amp;RIGHT("000000"&amp;$AL1146,6))</f>
        <v/>
      </c>
      <c r="AN1146">
        <f>IF($AE1146="","",IF(Sync!$W1146="",0,Sync!$W1146))</f>
        <v/>
      </c>
      <c r="AO1146">
        <f>IF($AE1146="","",IF(Sync!$X1146="",0,Sync!$X1146))</f>
        <v/>
      </c>
      <c r="AP1146">
        <f>IF($AE1146="","",Sync!$R1146)</f>
        <v/>
      </c>
      <c r="AQ1146">
        <f>IF($AE1146="","",Sync!$Y1146)</f>
        <v/>
      </c>
    </row>
    <row r="1147">
      <c r="A1147">
        <f>IF(OR(Wages!$B1150="",Wages!$E1150=""),"",Wages!$E1150)</f>
        <v/>
      </c>
      <c r="B1147">
        <f>IF($A1147="","",IF(Wages!$C1150="دستمزد گروهی",2,1))</f>
        <v/>
      </c>
      <c r="C1147">
        <f>IF($A1147="","",IF(ISNUMBER(Wages!$B1150),IF(AND(Wages!$B1150&gt;=10000101,Wages!$B1150&lt;=99991231),INT(Wages!$B1150/10000),""),IFERROR(VALUE(TRIM(LEFT(Wages!$B1150,FIND("/",Wages!$B1150)-1))),"")))</f>
        <v/>
      </c>
      <c r="D1147">
        <f>IF(OR($A1147="",$C1147=""),"",IF(ISNUMBER(Wages!$B1150),INT(MOD(Wages!$B1150,10000)/100),IFERROR(VALUE(TRIM(LEFT(MID(Wages!$B1150,FIND("/",Wages!$B1150)+1,20),FIND("/",MID(Wages!$B1150,FIND("/",Wages!$B1150)+1,20))-1))),"")))</f>
        <v/>
      </c>
      <c r="E1147">
        <f>IF(OR($A1147="",$C1147=""),"",IF(ISNUMBER(Wages!$B1150),MOD(Wages!$B1150,100),IFERROR(VALUE(TRIM(MID(MID(Wages!$B1150,FIND("/",Wages!$B1150)+1,20),FIND("/",MID(Wages!$B1150,FIND("/",Wages!$B1150)+1,20))+1,20))),"")))</f>
        <v/>
      </c>
      <c r="F1147">
        <f>IF($A1147="","",IF(OR($C1147="",$D1147="",$E1147="",$C1147&lt;1300,$C1147&gt;1500,$D1147&lt;1,$D1147&gt;12,$E1147&lt;1,$E1147&gt;31),"نامعتبر",RIGHT("0000"&amp;$C1147,4)&amp;"/"&amp;RIGHT("00"&amp;$D1147,2)&amp;"/"&amp;RIGHT("00"&amp;$E1147,2)))</f>
        <v/>
      </c>
      <c r="G1147">
        <f>IF(OR($A1147="",$F1147="",$F1147="نامعتبر"),"",LEFT($F1147,4)&amp;MID($F1147,6,2)&amp;RIGHT($F1147,2)&amp;"0000"&amp;"|"&amp;"1"&amp;RIGHT("00000"&amp;1142,5))</f>
        <v/>
      </c>
      <c r="H1147">
        <f>IF(OR($B1147&lt;&gt;1,$G1147=""),"",COUNTIFS(LdAParty,$A1147,LdAType,1,LdAKey,"&lt;"&amp;$G1147)+COUNTIFS(LdBMember,$A1147,LdBKey,"&lt;"&amp;$G1147)+COUNTIFS(LdCParty,$A1147,LdCKey,"&lt;"&amp;$G1147)+1)</f>
        <v/>
      </c>
      <c r="I1147">
        <f>IF($H1147="","",$A1147&amp;"|"&amp;RIGHT("000000"&amp;$H1147,6))</f>
        <v/>
      </c>
      <c r="J1147">
        <f>IF(OR($B1147&lt;&gt;2,$G1147=""),"",COUNTIFS(LdAParty,$A1147,LdAType,2,LdAKey,"&lt;"&amp;$G1147)+1)</f>
        <v/>
      </c>
      <c r="K1147">
        <f>IF($J1147="","",$A1147&amp;"|"&amp;RIGHT("000000"&amp;$J1147,6))</f>
        <v/>
      </c>
      <c r="L1147">
        <f>IF($A1147="","",IF(Wages!$G1150="",0,Wages!$G1150))</f>
        <v/>
      </c>
      <c r="M1147">
        <f>IF($A1147="","",Wages!$J1150)</f>
        <v/>
      </c>
      <c r="N1147">
        <f>IF($A1147="","",Wages!$D1150)</f>
        <v/>
      </c>
      <c r="P1147">
        <f>IF(OR(Shares!$B1150="",Shares!$C1150=""),"",Shares!$C1150)</f>
        <v/>
      </c>
      <c r="Q1147">
        <f>IF($P1147="","",Shares!$B1150)</f>
        <v/>
      </c>
      <c r="R1147">
        <f>IF($P1147="","",IFERROR(INDEX(WageParty,MATCH($Q1147,WageIds,0)),""))</f>
        <v/>
      </c>
      <c r="S1147">
        <f>IF($P1147="","",IFERROR(INDEX($F$6:$F$2005,MATCH($Q1147,WageIds,0)),""))</f>
        <v/>
      </c>
      <c r="T1147">
        <f>IF(OR($P1147="",$S1147="",$S1147="نامعتبر"),"",LEFT($S1147,4)&amp;MID($S1147,6,2)&amp;RIGHT($S1147,2)&amp;"0000"&amp;"|"&amp;"2"&amp;RIGHT("00000"&amp;1142,5))</f>
        <v/>
      </c>
      <c r="U1147">
        <f>IF($T1147="","",COUNTIFS(LdAParty,$P1147,LdAType,1,LdAKey,"&lt;"&amp;$T1147)+COUNTIFS(LdBMember,$P1147,LdBKey,"&lt;"&amp;$T1147)+COUNTIFS(LdCParty,$P1147,LdCKey,"&lt;"&amp;$T1147)+1)</f>
        <v/>
      </c>
      <c r="V1147">
        <f>IF($U1147="","",$P1147&amp;"|"&amp;RIGHT("000000"&amp;$U1147,6))</f>
        <v/>
      </c>
      <c r="W1147">
        <f>IF($T1147="","",COUNTIFS(LdBGroup,$R1147,LdBKey,"&lt;"&amp;$T1147)+1)</f>
        <v/>
      </c>
      <c r="X1147">
        <f>IF($W1147="","",$R1147&amp;"|"&amp;RIGHT("000000"&amp;$W1147,6))</f>
        <v/>
      </c>
      <c r="Y1147">
        <f>IF($P1147="","",IF(Shares!$E1150="",0,Shares!$E1150))</f>
        <v/>
      </c>
      <c r="Z1147">
        <f>IF($P1147="","",Shares!$H1150)</f>
        <v/>
      </c>
      <c r="AE1147">
        <f>IF(OR(Sync!$S1147="",Sync!$P1147=""),"",Sync!$S1147)</f>
        <v/>
      </c>
      <c r="AF1147">
        <f>IF($AE1147="","",IF(ISNUMBER(Sync!$P1147),IF(AND(Sync!$P1147&gt;=10000101,Sync!$P1147&lt;=99991231),INT(Sync!$P1147/10000),""),IFERROR(VALUE(TRIM(LEFT(Sync!$P1147,FIND("/",Sync!$P1147)-1))),"")))</f>
        <v/>
      </c>
      <c r="AG1147">
        <f>IF(OR($AE1147="",$AF1147=""),"",IF(ISNUMBER(Sync!$P1147),INT(MOD(Sync!$P1147,10000)/100),IFERROR(VALUE(TRIM(LEFT(MID(Sync!$P1147,FIND("/",Sync!$P1147)+1,20),FIND("/",MID(Sync!$P1147,FIND("/",Sync!$P1147)+1,20))-1))),"")))</f>
        <v/>
      </c>
      <c r="AH1147">
        <f>IF(OR($AE1147="",$AF1147=""),"",IF(ISNUMBER(Sync!$P1147),MOD(Sync!$P1147,100),IFERROR(VALUE(TRIM(MID(MID(Sync!$P1147,FIND("/",Sync!$P1147)+1,20),FIND("/",MID(Sync!$P1147,FIND("/",Sync!$P1147)+1,20))+1,20))),"")))</f>
        <v/>
      </c>
      <c r="AI1147">
        <f>IF($AE1147="","",IF(OR($AF1147="",$AG1147="",$AH1147="",$AF1147&lt;1300,$AF1147&gt;1500,$AG1147&lt;1,$AG1147&gt;12,$AH1147&lt;1,$AH1147&gt;31),"نامعتبر",RIGHT("0000"&amp;$AF1147,4)&amp;"/"&amp;RIGHT("00"&amp;$AG1147,2)&amp;"/"&amp;RIGHT("00"&amp;$AH1147,2)))</f>
        <v/>
      </c>
      <c r="AJ1147">
        <f>IF($AE1147="","",IF(Sync!$Q1147="","0000",IF(AND(ISNUMBER(Sync!$Q1147),Sync!$Q1147&gt;=0,Sync!$Q1147&lt;1),RIGHT("00"&amp;HOUR(Sync!$Q1147),2)&amp;RIGHT("00"&amp;MINUTE(Sync!$Q1147),2),IFERROR(RIGHT("00"&amp;VALUE(LEFT(Sync!$Q1147,FIND(":",Sync!$Q1147)-1)),2)&amp;RIGHT("00"&amp;VALUE(MID(Sync!$Q1147,FIND(":",Sync!$Q1147)+1,2)),2),"0000"))))</f>
        <v/>
      </c>
      <c r="AK1147">
        <f>IF(OR($AE1147="",$AI1147="",$AI1147="نامعتبر"),"",LEFT($AI1147,4)&amp;MID($AI1147,6,2)&amp;RIGHT($AI1147,2)&amp;$AJ1147&amp;"|"&amp;"3"&amp;RIGHT("00000"&amp;1142,5))</f>
        <v/>
      </c>
      <c r="AL1147">
        <f>IF($AK1147="","",COUNTIFS(LdAParty,$AE1147,LdAType,1,LdAKey,"&lt;"&amp;$AK1147)+COUNTIFS(LdBMember,$AE1147,LdBKey,"&lt;"&amp;$AK1147)+COUNTIFS(LdCParty,$AE1147,LdCKey,"&lt;"&amp;$AK1147)+1)</f>
        <v/>
      </c>
      <c r="AM1147">
        <f>IF($AL1147="","",$AE1147&amp;"|"&amp;RIGHT("000000"&amp;$AL1147,6))</f>
        <v/>
      </c>
      <c r="AN1147">
        <f>IF($AE1147="","",IF(Sync!$W1147="",0,Sync!$W1147))</f>
        <v/>
      </c>
      <c r="AO1147">
        <f>IF($AE1147="","",IF(Sync!$X1147="",0,Sync!$X1147))</f>
        <v/>
      </c>
      <c r="AP1147">
        <f>IF($AE1147="","",Sync!$R1147)</f>
        <v/>
      </c>
      <c r="AQ1147">
        <f>IF($AE1147="","",Sync!$Y1147)</f>
        <v/>
      </c>
    </row>
    <row r="1148">
      <c r="A1148">
        <f>IF(OR(Wages!$B1151="",Wages!$E1151=""),"",Wages!$E1151)</f>
        <v/>
      </c>
      <c r="B1148">
        <f>IF($A1148="","",IF(Wages!$C1151="دستمزد گروهی",2,1))</f>
        <v/>
      </c>
      <c r="C1148">
        <f>IF($A1148="","",IF(ISNUMBER(Wages!$B1151),IF(AND(Wages!$B1151&gt;=10000101,Wages!$B1151&lt;=99991231),INT(Wages!$B1151/10000),""),IFERROR(VALUE(TRIM(LEFT(Wages!$B1151,FIND("/",Wages!$B1151)-1))),"")))</f>
        <v/>
      </c>
      <c r="D1148">
        <f>IF(OR($A1148="",$C1148=""),"",IF(ISNUMBER(Wages!$B1151),INT(MOD(Wages!$B1151,10000)/100),IFERROR(VALUE(TRIM(LEFT(MID(Wages!$B1151,FIND("/",Wages!$B1151)+1,20),FIND("/",MID(Wages!$B1151,FIND("/",Wages!$B1151)+1,20))-1))),"")))</f>
        <v/>
      </c>
      <c r="E1148">
        <f>IF(OR($A1148="",$C1148=""),"",IF(ISNUMBER(Wages!$B1151),MOD(Wages!$B1151,100),IFERROR(VALUE(TRIM(MID(MID(Wages!$B1151,FIND("/",Wages!$B1151)+1,20),FIND("/",MID(Wages!$B1151,FIND("/",Wages!$B1151)+1,20))+1,20))),"")))</f>
        <v/>
      </c>
      <c r="F1148">
        <f>IF($A1148="","",IF(OR($C1148="",$D1148="",$E1148="",$C1148&lt;1300,$C1148&gt;1500,$D1148&lt;1,$D1148&gt;12,$E1148&lt;1,$E1148&gt;31),"نامعتبر",RIGHT("0000"&amp;$C1148,4)&amp;"/"&amp;RIGHT("00"&amp;$D1148,2)&amp;"/"&amp;RIGHT("00"&amp;$E1148,2)))</f>
        <v/>
      </c>
      <c r="G1148">
        <f>IF(OR($A1148="",$F1148="",$F1148="نامعتبر"),"",LEFT($F1148,4)&amp;MID($F1148,6,2)&amp;RIGHT($F1148,2)&amp;"0000"&amp;"|"&amp;"1"&amp;RIGHT("00000"&amp;1143,5))</f>
        <v/>
      </c>
      <c r="H1148">
        <f>IF(OR($B1148&lt;&gt;1,$G1148=""),"",COUNTIFS(LdAParty,$A1148,LdAType,1,LdAKey,"&lt;"&amp;$G1148)+COUNTIFS(LdBMember,$A1148,LdBKey,"&lt;"&amp;$G1148)+COUNTIFS(LdCParty,$A1148,LdCKey,"&lt;"&amp;$G1148)+1)</f>
        <v/>
      </c>
      <c r="I1148">
        <f>IF($H1148="","",$A1148&amp;"|"&amp;RIGHT("000000"&amp;$H1148,6))</f>
        <v/>
      </c>
      <c r="J1148">
        <f>IF(OR($B1148&lt;&gt;2,$G1148=""),"",COUNTIFS(LdAParty,$A1148,LdAType,2,LdAKey,"&lt;"&amp;$G1148)+1)</f>
        <v/>
      </c>
      <c r="K1148">
        <f>IF($J1148="","",$A1148&amp;"|"&amp;RIGHT("000000"&amp;$J1148,6))</f>
        <v/>
      </c>
      <c r="L1148">
        <f>IF($A1148="","",IF(Wages!$G1151="",0,Wages!$G1151))</f>
        <v/>
      </c>
      <c r="M1148">
        <f>IF($A1148="","",Wages!$J1151)</f>
        <v/>
      </c>
      <c r="N1148">
        <f>IF($A1148="","",Wages!$D1151)</f>
        <v/>
      </c>
      <c r="P1148">
        <f>IF(OR(Shares!$B1151="",Shares!$C1151=""),"",Shares!$C1151)</f>
        <v/>
      </c>
      <c r="Q1148">
        <f>IF($P1148="","",Shares!$B1151)</f>
        <v/>
      </c>
      <c r="R1148">
        <f>IF($P1148="","",IFERROR(INDEX(WageParty,MATCH($Q1148,WageIds,0)),""))</f>
        <v/>
      </c>
      <c r="S1148">
        <f>IF($P1148="","",IFERROR(INDEX($F$6:$F$2005,MATCH($Q1148,WageIds,0)),""))</f>
        <v/>
      </c>
      <c r="T1148">
        <f>IF(OR($P1148="",$S1148="",$S1148="نامعتبر"),"",LEFT($S1148,4)&amp;MID($S1148,6,2)&amp;RIGHT($S1148,2)&amp;"0000"&amp;"|"&amp;"2"&amp;RIGHT("00000"&amp;1143,5))</f>
        <v/>
      </c>
      <c r="U1148">
        <f>IF($T1148="","",COUNTIFS(LdAParty,$P1148,LdAType,1,LdAKey,"&lt;"&amp;$T1148)+COUNTIFS(LdBMember,$P1148,LdBKey,"&lt;"&amp;$T1148)+COUNTIFS(LdCParty,$P1148,LdCKey,"&lt;"&amp;$T1148)+1)</f>
        <v/>
      </c>
      <c r="V1148">
        <f>IF($U1148="","",$P1148&amp;"|"&amp;RIGHT("000000"&amp;$U1148,6))</f>
        <v/>
      </c>
      <c r="W1148">
        <f>IF($T1148="","",COUNTIFS(LdBGroup,$R1148,LdBKey,"&lt;"&amp;$T1148)+1)</f>
        <v/>
      </c>
      <c r="X1148">
        <f>IF($W1148="","",$R1148&amp;"|"&amp;RIGHT("000000"&amp;$W1148,6))</f>
        <v/>
      </c>
      <c r="Y1148">
        <f>IF($P1148="","",IF(Shares!$E1151="",0,Shares!$E1151))</f>
        <v/>
      </c>
      <c r="Z1148">
        <f>IF($P1148="","",Shares!$H1151)</f>
        <v/>
      </c>
      <c r="AE1148">
        <f>IF(OR(Sync!$S1148="",Sync!$P1148=""),"",Sync!$S1148)</f>
        <v/>
      </c>
      <c r="AF1148">
        <f>IF($AE1148="","",IF(ISNUMBER(Sync!$P1148),IF(AND(Sync!$P1148&gt;=10000101,Sync!$P1148&lt;=99991231),INT(Sync!$P1148/10000),""),IFERROR(VALUE(TRIM(LEFT(Sync!$P1148,FIND("/",Sync!$P1148)-1))),"")))</f>
        <v/>
      </c>
      <c r="AG1148">
        <f>IF(OR($AE1148="",$AF1148=""),"",IF(ISNUMBER(Sync!$P1148),INT(MOD(Sync!$P1148,10000)/100),IFERROR(VALUE(TRIM(LEFT(MID(Sync!$P1148,FIND("/",Sync!$P1148)+1,20),FIND("/",MID(Sync!$P1148,FIND("/",Sync!$P1148)+1,20))-1))),"")))</f>
        <v/>
      </c>
      <c r="AH1148">
        <f>IF(OR($AE1148="",$AF1148=""),"",IF(ISNUMBER(Sync!$P1148),MOD(Sync!$P1148,100),IFERROR(VALUE(TRIM(MID(MID(Sync!$P1148,FIND("/",Sync!$P1148)+1,20),FIND("/",MID(Sync!$P1148,FIND("/",Sync!$P1148)+1,20))+1,20))),"")))</f>
        <v/>
      </c>
      <c r="AI1148">
        <f>IF($AE1148="","",IF(OR($AF1148="",$AG1148="",$AH1148="",$AF1148&lt;1300,$AF1148&gt;1500,$AG1148&lt;1,$AG1148&gt;12,$AH1148&lt;1,$AH1148&gt;31),"نامعتبر",RIGHT("0000"&amp;$AF1148,4)&amp;"/"&amp;RIGHT("00"&amp;$AG1148,2)&amp;"/"&amp;RIGHT("00"&amp;$AH1148,2)))</f>
        <v/>
      </c>
      <c r="AJ1148">
        <f>IF($AE1148="","",IF(Sync!$Q1148="","0000",IF(AND(ISNUMBER(Sync!$Q1148),Sync!$Q1148&gt;=0,Sync!$Q1148&lt;1),RIGHT("00"&amp;HOUR(Sync!$Q1148),2)&amp;RIGHT("00"&amp;MINUTE(Sync!$Q1148),2),IFERROR(RIGHT("00"&amp;VALUE(LEFT(Sync!$Q1148,FIND(":",Sync!$Q1148)-1)),2)&amp;RIGHT("00"&amp;VALUE(MID(Sync!$Q1148,FIND(":",Sync!$Q1148)+1,2)),2),"0000"))))</f>
        <v/>
      </c>
      <c r="AK1148">
        <f>IF(OR($AE1148="",$AI1148="",$AI1148="نامعتبر"),"",LEFT($AI1148,4)&amp;MID($AI1148,6,2)&amp;RIGHT($AI1148,2)&amp;$AJ1148&amp;"|"&amp;"3"&amp;RIGHT("00000"&amp;1143,5))</f>
        <v/>
      </c>
      <c r="AL1148">
        <f>IF($AK1148="","",COUNTIFS(LdAParty,$AE1148,LdAType,1,LdAKey,"&lt;"&amp;$AK1148)+COUNTIFS(LdBMember,$AE1148,LdBKey,"&lt;"&amp;$AK1148)+COUNTIFS(LdCParty,$AE1148,LdCKey,"&lt;"&amp;$AK1148)+1)</f>
        <v/>
      </c>
      <c r="AM1148">
        <f>IF($AL1148="","",$AE1148&amp;"|"&amp;RIGHT("000000"&amp;$AL1148,6))</f>
        <v/>
      </c>
      <c r="AN1148">
        <f>IF($AE1148="","",IF(Sync!$W1148="",0,Sync!$W1148))</f>
        <v/>
      </c>
      <c r="AO1148">
        <f>IF($AE1148="","",IF(Sync!$X1148="",0,Sync!$X1148))</f>
        <v/>
      </c>
      <c r="AP1148">
        <f>IF($AE1148="","",Sync!$R1148)</f>
        <v/>
      </c>
      <c r="AQ1148">
        <f>IF($AE1148="","",Sync!$Y1148)</f>
        <v/>
      </c>
    </row>
    <row r="1149">
      <c r="A1149">
        <f>IF(OR(Wages!$B1152="",Wages!$E1152=""),"",Wages!$E1152)</f>
        <v/>
      </c>
      <c r="B1149">
        <f>IF($A1149="","",IF(Wages!$C1152="دستمزد گروهی",2,1))</f>
        <v/>
      </c>
      <c r="C1149">
        <f>IF($A1149="","",IF(ISNUMBER(Wages!$B1152),IF(AND(Wages!$B1152&gt;=10000101,Wages!$B1152&lt;=99991231),INT(Wages!$B1152/10000),""),IFERROR(VALUE(TRIM(LEFT(Wages!$B1152,FIND("/",Wages!$B1152)-1))),"")))</f>
        <v/>
      </c>
      <c r="D1149">
        <f>IF(OR($A1149="",$C1149=""),"",IF(ISNUMBER(Wages!$B1152),INT(MOD(Wages!$B1152,10000)/100),IFERROR(VALUE(TRIM(LEFT(MID(Wages!$B1152,FIND("/",Wages!$B1152)+1,20),FIND("/",MID(Wages!$B1152,FIND("/",Wages!$B1152)+1,20))-1))),"")))</f>
        <v/>
      </c>
      <c r="E1149">
        <f>IF(OR($A1149="",$C1149=""),"",IF(ISNUMBER(Wages!$B1152),MOD(Wages!$B1152,100),IFERROR(VALUE(TRIM(MID(MID(Wages!$B1152,FIND("/",Wages!$B1152)+1,20),FIND("/",MID(Wages!$B1152,FIND("/",Wages!$B1152)+1,20))+1,20))),"")))</f>
        <v/>
      </c>
      <c r="F1149">
        <f>IF($A1149="","",IF(OR($C1149="",$D1149="",$E1149="",$C1149&lt;1300,$C1149&gt;1500,$D1149&lt;1,$D1149&gt;12,$E1149&lt;1,$E1149&gt;31),"نامعتبر",RIGHT("0000"&amp;$C1149,4)&amp;"/"&amp;RIGHT("00"&amp;$D1149,2)&amp;"/"&amp;RIGHT("00"&amp;$E1149,2)))</f>
        <v/>
      </c>
      <c r="G1149">
        <f>IF(OR($A1149="",$F1149="",$F1149="نامعتبر"),"",LEFT($F1149,4)&amp;MID($F1149,6,2)&amp;RIGHT($F1149,2)&amp;"0000"&amp;"|"&amp;"1"&amp;RIGHT("00000"&amp;1144,5))</f>
        <v/>
      </c>
      <c r="H1149">
        <f>IF(OR($B1149&lt;&gt;1,$G1149=""),"",COUNTIFS(LdAParty,$A1149,LdAType,1,LdAKey,"&lt;"&amp;$G1149)+COUNTIFS(LdBMember,$A1149,LdBKey,"&lt;"&amp;$G1149)+COUNTIFS(LdCParty,$A1149,LdCKey,"&lt;"&amp;$G1149)+1)</f>
        <v/>
      </c>
      <c r="I1149">
        <f>IF($H1149="","",$A1149&amp;"|"&amp;RIGHT("000000"&amp;$H1149,6))</f>
        <v/>
      </c>
      <c r="J1149">
        <f>IF(OR($B1149&lt;&gt;2,$G1149=""),"",COUNTIFS(LdAParty,$A1149,LdAType,2,LdAKey,"&lt;"&amp;$G1149)+1)</f>
        <v/>
      </c>
      <c r="K1149">
        <f>IF($J1149="","",$A1149&amp;"|"&amp;RIGHT("000000"&amp;$J1149,6))</f>
        <v/>
      </c>
      <c r="L1149">
        <f>IF($A1149="","",IF(Wages!$G1152="",0,Wages!$G1152))</f>
        <v/>
      </c>
      <c r="M1149">
        <f>IF($A1149="","",Wages!$J1152)</f>
        <v/>
      </c>
      <c r="N1149">
        <f>IF($A1149="","",Wages!$D1152)</f>
        <v/>
      </c>
      <c r="P1149">
        <f>IF(OR(Shares!$B1152="",Shares!$C1152=""),"",Shares!$C1152)</f>
        <v/>
      </c>
      <c r="Q1149">
        <f>IF($P1149="","",Shares!$B1152)</f>
        <v/>
      </c>
      <c r="R1149">
        <f>IF($P1149="","",IFERROR(INDEX(WageParty,MATCH($Q1149,WageIds,0)),""))</f>
        <v/>
      </c>
      <c r="S1149">
        <f>IF($P1149="","",IFERROR(INDEX($F$6:$F$2005,MATCH($Q1149,WageIds,0)),""))</f>
        <v/>
      </c>
      <c r="T1149">
        <f>IF(OR($P1149="",$S1149="",$S1149="نامعتبر"),"",LEFT($S1149,4)&amp;MID($S1149,6,2)&amp;RIGHT($S1149,2)&amp;"0000"&amp;"|"&amp;"2"&amp;RIGHT("00000"&amp;1144,5))</f>
        <v/>
      </c>
      <c r="U1149">
        <f>IF($T1149="","",COUNTIFS(LdAParty,$P1149,LdAType,1,LdAKey,"&lt;"&amp;$T1149)+COUNTIFS(LdBMember,$P1149,LdBKey,"&lt;"&amp;$T1149)+COUNTIFS(LdCParty,$P1149,LdCKey,"&lt;"&amp;$T1149)+1)</f>
        <v/>
      </c>
      <c r="V1149">
        <f>IF($U1149="","",$P1149&amp;"|"&amp;RIGHT("000000"&amp;$U1149,6))</f>
        <v/>
      </c>
      <c r="W1149">
        <f>IF($T1149="","",COUNTIFS(LdBGroup,$R1149,LdBKey,"&lt;"&amp;$T1149)+1)</f>
        <v/>
      </c>
      <c r="X1149">
        <f>IF($W1149="","",$R1149&amp;"|"&amp;RIGHT("000000"&amp;$W1149,6))</f>
        <v/>
      </c>
      <c r="Y1149">
        <f>IF($P1149="","",IF(Shares!$E1152="",0,Shares!$E1152))</f>
        <v/>
      </c>
      <c r="Z1149">
        <f>IF($P1149="","",Shares!$H1152)</f>
        <v/>
      </c>
      <c r="AE1149">
        <f>IF(OR(Sync!$S1149="",Sync!$P1149=""),"",Sync!$S1149)</f>
        <v/>
      </c>
      <c r="AF1149">
        <f>IF($AE1149="","",IF(ISNUMBER(Sync!$P1149),IF(AND(Sync!$P1149&gt;=10000101,Sync!$P1149&lt;=99991231),INT(Sync!$P1149/10000),""),IFERROR(VALUE(TRIM(LEFT(Sync!$P1149,FIND("/",Sync!$P1149)-1))),"")))</f>
        <v/>
      </c>
      <c r="AG1149">
        <f>IF(OR($AE1149="",$AF1149=""),"",IF(ISNUMBER(Sync!$P1149),INT(MOD(Sync!$P1149,10000)/100),IFERROR(VALUE(TRIM(LEFT(MID(Sync!$P1149,FIND("/",Sync!$P1149)+1,20),FIND("/",MID(Sync!$P1149,FIND("/",Sync!$P1149)+1,20))-1))),"")))</f>
        <v/>
      </c>
      <c r="AH1149">
        <f>IF(OR($AE1149="",$AF1149=""),"",IF(ISNUMBER(Sync!$P1149),MOD(Sync!$P1149,100),IFERROR(VALUE(TRIM(MID(MID(Sync!$P1149,FIND("/",Sync!$P1149)+1,20),FIND("/",MID(Sync!$P1149,FIND("/",Sync!$P1149)+1,20))+1,20))),"")))</f>
        <v/>
      </c>
      <c r="AI1149">
        <f>IF($AE1149="","",IF(OR($AF1149="",$AG1149="",$AH1149="",$AF1149&lt;1300,$AF1149&gt;1500,$AG1149&lt;1,$AG1149&gt;12,$AH1149&lt;1,$AH1149&gt;31),"نامعتبر",RIGHT("0000"&amp;$AF1149,4)&amp;"/"&amp;RIGHT("00"&amp;$AG1149,2)&amp;"/"&amp;RIGHT("00"&amp;$AH1149,2)))</f>
        <v/>
      </c>
      <c r="AJ1149">
        <f>IF($AE1149="","",IF(Sync!$Q1149="","0000",IF(AND(ISNUMBER(Sync!$Q1149),Sync!$Q1149&gt;=0,Sync!$Q1149&lt;1),RIGHT("00"&amp;HOUR(Sync!$Q1149),2)&amp;RIGHT("00"&amp;MINUTE(Sync!$Q1149),2),IFERROR(RIGHT("00"&amp;VALUE(LEFT(Sync!$Q1149,FIND(":",Sync!$Q1149)-1)),2)&amp;RIGHT("00"&amp;VALUE(MID(Sync!$Q1149,FIND(":",Sync!$Q1149)+1,2)),2),"0000"))))</f>
        <v/>
      </c>
      <c r="AK1149">
        <f>IF(OR($AE1149="",$AI1149="",$AI1149="نامعتبر"),"",LEFT($AI1149,4)&amp;MID($AI1149,6,2)&amp;RIGHT($AI1149,2)&amp;$AJ1149&amp;"|"&amp;"3"&amp;RIGHT("00000"&amp;1144,5))</f>
        <v/>
      </c>
      <c r="AL1149">
        <f>IF($AK1149="","",COUNTIFS(LdAParty,$AE1149,LdAType,1,LdAKey,"&lt;"&amp;$AK1149)+COUNTIFS(LdBMember,$AE1149,LdBKey,"&lt;"&amp;$AK1149)+COUNTIFS(LdCParty,$AE1149,LdCKey,"&lt;"&amp;$AK1149)+1)</f>
        <v/>
      </c>
      <c r="AM1149">
        <f>IF($AL1149="","",$AE1149&amp;"|"&amp;RIGHT("000000"&amp;$AL1149,6))</f>
        <v/>
      </c>
      <c r="AN1149">
        <f>IF($AE1149="","",IF(Sync!$W1149="",0,Sync!$W1149))</f>
        <v/>
      </c>
      <c r="AO1149">
        <f>IF($AE1149="","",IF(Sync!$X1149="",0,Sync!$X1149))</f>
        <v/>
      </c>
      <c r="AP1149">
        <f>IF($AE1149="","",Sync!$R1149)</f>
        <v/>
      </c>
      <c r="AQ1149">
        <f>IF($AE1149="","",Sync!$Y1149)</f>
        <v/>
      </c>
    </row>
    <row r="1150">
      <c r="A1150">
        <f>IF(OR(Wages!$B1153="",Wages!$E1153=""),"",Wages!$E1153)</f>
        <v/>
      </c>
      <c r="B1150">
        <f>IF($A1150="","",IF(Wages!$C1153="دستمزد گروهی",2,1))</f>
        <v/>
      </c>
      <c r="C1150">
        <f>IF($A1150="","",IF(ISNUMBER(Wages!$B1153),IF(AND(Wages!$B1153&gt;=10000101,Wages!$B1153&lt;=99991231),INT(Wages!$B1153/10000),""),IFERROR(VALUE(TRIM(LEFT(Wages!$B1153,FIND("/",Wages!$B1153)-1))),"")))</f>
        <v/>
      </c>
      <c r="D1150">
        <f>IF(OR($A1150="",$C1150=""),"",IF(ISNUMBER(Wages!$B1153),INT(MOD(Wages!$B1153,10000)/100),IFERROR(VALUE(TRIM(LEFT(MID(Wages!$B1153,FIND("/",Wages!$B1153)+1,20),FIND("/",MID(Wages!$B1153,FIND("/",Wages!$B1153)+1,20))-1))),"")))</f>
        <v/>
      </c>
      <c r="E1150">
        <f>IF(OR($A1150="",$C1150=""),"",IF(ISNUMBER(Wages!$B1153),MOD(Wages!$B1153,100),IFERROR(VALUE(TRIM(MID(MID(Wages!$B1153,FIND("/",Wages!$B1153)+1,20),FIND("/",MID(Wages!$B1153,FIND("/",Wages!$B1153)+1,20))+1,20))),"")))</f>
        <v/>
      </c>
      <c r="F1150">
        <f>IF($A1150="","",IF(OR($C1150="",$D1150="",$E1150="",$C1150&lt;1300,$C1150&gt;1500,$D1150&lt;1,$D1150&gt;12,$E1150&lt;1,$E1150&gt;31),"نامعتبر",RIGHT("0000"&amp;$C1150,4)&amp;"/"&amp;RIGHT("00"&amp;$D1150,2)&amp;"/"&amp;RIGHT("00"&amp;$E1150,2)))</f>
        <v/>
      </c>
      <c r="G1150">
        <f>IF(OR($A1150="",$F1150="",$F1150="نامعتبر"),"",LEFT($F1150,4)&amp;MID($F1150,6,2)&amp;RIGHT($F1150,2)&amp;"0000"&amp;"|"&amp;"1"&amp;RIGHT("00000"&amp;1145,5))</f>
        <v/>
      </c>
      <c r="H1150">
        <f>IF(OR($B1150&lt;&gt;1,$G1150=""),"",COUNTIFS(LdAParty,$A1150,LdAType,1,LdAKey,"&lt;"&amp;$G1150)+COUNTIFS(LdBMember,$A1150,LdBKey,"&lt;"&amp;$G1150)+COUNTIFS(LdCParty,$A1150,LdCKey,"&lt;"&amp;$G1150)+1)</f>
        <v/>
      </c>
      <c r="I1150">
        <f>IF($H1150="","",$A1150&amp;"|"&amp;RIGHT("000000"&amp;$H1150,6))</f>
        <v/>
      </c>
      <c r="J1150">
        <f>IF(OR($B1150&lt;&gt;2,$G1150=""),"",COUNTIFS(LdAParty,$A1150,LdAType,2,LdAKey,"&lt;"&amp;$G1150)+1)</f>
        <v/>
      </c>
      <c r="K1150">
        <f>IF($J1150="","",$A1150&amp;"|"&amp;RIGHT("000000"&amp;$J1150,6))</f>
        <v/>
      </c>
      <c r="L1150">
        <f>IF($A1150="","",IF(Wages!$G1153="",0,Wages!$G1153))</f>
        <v/>
      </c>
      <c r="M1150">
        <f>IF($A1150="","",Wages!$J1153)</f>
        <v/>
      </c>
      <c r="N1150">
        <f>IF($A1150="","",Wages!$D1153)</f>
        <v/>
      </c>
      <c r="P1150">
        <f>IF(OR(Shares!$B1153="",Shares!$C1153=""),"",Shares!$C1153)</f>
        <v/>
      </c>
      <c r="Q1150">
        <f>IF($P1150="","",Shares!$B1153)</f>
        <v/>
      </c>
      <c r="R1150">
        <f>IF($P1150="","",IFERROR(INDEX(WageParty,MATCH($Q1150,WageIds,0)),""))</f>
        <v/>
      </c>
      <c r="S1150">
        <f>IF($P1150="","",IFERROR(INDEX($F$6:$F$2005,MATCH($Q1150,WageIds,0)),""))</f>
        <v/>
      </c>
      <c r="T1150">
        <f>IF(OR($P1150="",$S1150="",$S1150="نامعتبر"),"",LEFT($S1150,4)&amp;MID($S1150,6,2)&amp;RIGHT($S1150,2)&amp;"0000"&amp;"|"&amp;"2"&amp;RIGHT("00000"&amp;1145,5))</f>
        <v/>
      </c>
      <c r="U1150">
        <f>IF($T1150="","",COUNTIFS(LdAParty,$P1150,LdAType,1,LdAKey,"&lt;"&amp;$T1150)+COUNTIFS(LdBMember,$P1150,LdBKey,"&lt;"&amp;$T1150)+COUNTIFS(LdCParty,$P1150,LdCKey,"&lt;"&amp;$T1150)+1)</f>
        <v/>
      </c>
      <c r="V1150">
        <f>IF($U1150="","",$P1150&amp;"|"&amp;RIGHT("000000"&amp;$U1150,6))</f>
        <v/>
      </c>
      <c r="W1150">
        <f>IF($T1150="","",COUNTIFS(LdBGroup,$R1150,LdBKey,"&lt;"&amp;$T1150)+1)</f>
        <v/>
      </c>
      <c r="X1150">
        <f>IF($W1150="","",$R1150&amp;"|"&amp;RIGHT("000000"&amp;$W1150,6))</f>
        <v/>
      </c>
      <c r="Y1150">
        <f>IF($P1150="","",IF(Shares!$E1153="",0,Shares!$E1153))</f>
        <v/>
      </c>
      <c r="Z1150">
        <f>IF($P1150="","",Shares!$H1153)</f>
        <v/>
      </c>
      <c r="AE1150">
        <f>IF(OR(Sync!$S1150="",Sync!$P1150=""),"",Sync!$S1150)</f>
        <v/>
      </c>
      <c r="AF1150">
        <f>IF($AE1150="","",IF(ISNUMBER(Sync!$P1150),IF(AND(Sync!$P1150&gt;=10000101,Sync!$P1150&lt;=99991231),INT(Sync!$P1150/10000),""),IFERROR(VALUE(TRIM(LEFT(Sync!$P1150,FIND("/",Sync!$P1150)-1))),"")))</f>
        <v/>
      </c>
      <c r="AG1150">
        <f>IF(OR($AE1150="",$AF1150=""),"",IF(ISNUMBER(Sync!$P1150),INT(MOD(Sync!$P1150,10000)/100),IFERROR(VALUE(TRIM(LEFT(MID(Sync!$P1150,FIND("/",Sync!$P1150)+1,20),FIND("/",MID(Sync!$P1150,FIND("/",Sync!$P1150)+1,20))-1))),"")))</f>
        <v/>
      </c>
      <c r="AH1150">
        <f>IF(OR($AE1150="",$AF1150=""),"",IF(ISNUMBER(Sync!$P1150),MOD(Sync!$P1150,100),IFERROR(VALUE(TRIM(MID(MID(Sync!$P1150,FIND("/",Sync!$P1150)+1,20),FIND("/",MID(Sync!$P1150,FIND("/",Sync!$P1150)+1,20))+1,20))),"")))</f>
        <v/>
      </c>
      <c r="AI1150">
        <f>IF($AE1150="","",IF(OR($AF1150="",$AG1150="",$AH1150="",$AF1150&lt;1300,$AF1150&gt;1500,$AG1150&lt;1,$AG1150&gt;12,$AH1150&lt;1,$AH1150&gt;31),"نامعتبر",RIGHT("0000"&amp;$AF1150,4)&amp;"/"&amp;RIGHT("00"&amp;$AG1150,2)&amp;"/"&amp;RIGHT("00"&amp;$AH1150,2)))</f>
        <v/>
      </c>
      <c r="AJ1150">
        <f>IF($AE1150="","",IF(Sync!$Q1150="","0000",IF(AND(ISNUMBER(Sync!$Q1150),Sync!$Q1150&gt;=0,Sync!$Q1150&lt;1),RIGHT("00"&amp;HOUR(Sync!$Q1150),2)&amp;RIGHT("00"&amp;MINUTE(Sync!$Q1150),2),IFERROR(RIGHT("00"&amp;VALUE(LEFT(Sync!$Q1150,FIND(":",Sync!$Q1150)-1)),2)&amp;RIGHT("00"&amp;VALUE(MID(Sync!$Q1150,FIND(":",Sync!$Q1150)+1,2)),2),"0000"))))</f>
        <v/>
      </c>
      <c r="AK1150">
        <f>IF(OR($AE1150="",$AI1150="",$AI1150="نامعتبر"),"",LEFT($AI1150,4)&amp;MID($AI1150,6,2)&amp;RIGHT($AI1150,2)&amp;$AJ1150&amp;"|"&amp;"3"&amp;RIGHT("00000"&amp;1145,5))</f>
        <v/>
      </c>
      <c r="AL1150">
        <f>IF($AK1150="","",COUNTIFS(LdAParty,$AE1150,LdAType,1,LdAKey,"&lt;"&amp;$AK1150)+COUNTIFS(LdBMember,$AE1150,LdBKey,"&lt;"&amp;$AK1150)+COUNTIFS(LdCParty,$AE1150,LdCKey,"&lt;"&amp;$AK1150)+1)</f>
        <v/>
      </c>
      <c r="AM1150">
        <f>IF($AL1150="","",$AE1150&amp;"|"&amp;RIGHT("000000"&amp;$AL1150,6))</f>
        <v/>
      </c>
      <c r="AN1150">
        <f>IF($AE1150="","",IF(Sync!$W1150="",0,Sync!$W1150))</f>
        <v/>
      </c>
      <c r="AO1150">
        <f>IF($AE1150="","",IF(Sync!$X1150="",0,Sync!$X1150))</f>
        <v/>
      </c>
      <c r="AP1150">
        <f>IF($AE1150="","",Sync!$R1150)</f>
        <v/>
      </c>
      <c r="AQ1150">
        <f>IF($AE1150="","",Sync!$Y1150)</f>
        <v/>
      </c>
    </row>
    <row r="1151">
      <c r="A1151">
        <f>IF(OR(Wages!$B1154="",Wages!$E1154=""),"",Wages!$E1154)</f>
        <v/>
      </c>
      <c r="B1151">
        <f>IF($A1151="","",IF(Wages!$C1154="دستمزد گروهی",2,1))</f>
        <v/>
      </c>
      <c r="C1151">
        <f>IF($A1151="","",IF(ISNUMBER(Wages!$B1154),IF(AND(Wages!$B1154&gt;=10000101,Wages!$B1154&lt;=99991231),INT(Wages!$B1154/10000),""),IFERROR(VALUE(TRIM(LEFT(Wages!$B1154,FIND("/",Wages!$B1154)-1))),"")))</f>
        <v/>
      </c>
      <c r="D1151">
        <f>IF(OR($A1151="",$C1151=""),"",IF(ISNUMBER(Wages!$B1154),INT(MOD(Wages!$B1154,10000)/100),IFERROR(VALUE(TRIM(LEFT(MID(Wages!$B1154,FIND("/",Wages!$B1154)+1,20),FIND("/",MID(Wages!$B1154,FIND("/",Wages!$B1154)+1,20))-1))),"")))</f>
        <v/>
      </c>
      <c r="E1151">
        <f>IF(OR($A1151="",$C1151=""),"",IF(ISNUMBER(Wages!$B1154),MOD(Wages!$B1154,100),IFERROR(VALUE(TRIM(MID(MID(Wages!$B1154,FIND("/",Wages!$B1154)+1,20),FIND("/",MID(Wages!$B1154,FIND("/",Wages!$B1154)+1,20))+1,20))),"")))</f>
        <v/>
      </c>
      <c r="F1151">
        <f>IF($A1151="","",IF(OR($C1151="",$D1151="",$E1151="",$C1151&lt;1300,$C1151&gt;1500,$D1151&lt;1,$D1151&gt;12,$E1151&lt;1,$E1151&gt;31),"نامعتبر",RIGHT("0000"&amp;$C1151,4)&amp;"/"&amp;RIGHT("00"&amp;$D1151,2)&amp;"/"&amp;RIGHT("00"&amp;$E1151,2)))</f>
        <v/>
      </c>
      <c r="G1151">
        <f>IF(OR($A1151="",$F1151="",$F1151="نامعتبر"),"",LEFT($F1151,4)&amp;MID($F1151,6,2)&amp;RIGHT($F1151,2)&amp;"0000"&amp;"|"&amp;"1"&amp;RIGHT("00000"&amp;1146,5))</f>
        <v/>
      </c>
      <c r="H1151">
        <f>IF(OR($B1151&lt;&gt;1,$G1151=""),"",COUNTIFS(LdAParty,$A1151,LdAType,1,LdAKey,"&lt;"&amp;$G1151)+COUNTIFS(LdBMember,$A1151,LdBKey,"&lt;"&amp;$G1151)+COUNTIFS(LdCParty,$A1151,LdCKey,"&lt;"&amp;$G1151)+1)</f>
        <v/>
      </c>
      <c r="I1151">
        <f>IF($H1151="","",$A1151&amp;"|"&amp;RIGHT("000000"&amp;$H1151,6))</f>
        <v/>
      </c>
      <c r="J1151">
        <f>IF(OR($B1151&lt;&gt;2,$G1151=""),"",COUNTIFS(LdAParty,$A1151,LdAType,2,LdAKey,"&lt;"&amp;$G1151)+1)</f>
        <v/>
      </c>
      <c r="K1151">
        <f>IF($J1151="","",$A1151&amp;"|"&amp;RIGHT("000000"&amp;$J1151,6))</f>
        <v/>
      </c>
      <c r="L1151">
        <f>IF($A1151="","",IF(Wages!$G1154="",0,Wages!$G1154))</f>
        <v/>
      </c>
      <c r="M1151">
        <f>IF($A1151="","",Wages!$J1154)</f>
        <v/>
      </c>
      <c r="N1151">
        <f>IF($A1151="","",Wages!$D1154)</f>
        <v/>
      </c>
      <c r="P1151">
        <f>IF(OR(Shares!$B1154="",Shares!$C1154=""),"",Shares!$C1154)</f>
        <v/>
      </c>
      <c r="Q1151">
        <f>IF($P1151="","",Shares!$B1154)</f>
        <v/>
      </c>
      <c r="R1151">
        <f>IF($P1151="","",IFERROR(INDEX(WageParty,MATCH($Q1151,WageIds,0)),""))</f>
        <v/>
      </c>
      <c r="S1151">
        <f>IF($P1151="","",IFERROR(INDEX($F$6:$F$2005,MATCH($Q1151,WageIds,0)),""))</f>
        <v/>
      </c>
      <c r="T1151">
        <f>IF(OR($P1151="",$S1151="",$S1151="نامعتبر"),"",LEFT($S1151,4)&amp;MID($S1151,6,2)&amp;RIGHT($S1151,2)&amp;"0000"&amp;"|"&amp;"2"&amp;RIGHT("00000"&amp;1146,5))</f>
        <v/>
      </c>
      <c r="U1151">
        <f>IF($T1151="","",COUNTIFS(LdAParty,$P1151,LdAType,1,LdAKey,"&lt;"&amp;$T1151)+COUNTIFS(LdBMember,$P1151,LdBKey,"&lt;"&amp;$T1151)+COUNTIFS(LdCParty,$P1151,LdCKey,"&lt;"&amp;$T1151)+1)</f>
        <v/>
      </c>
      <c r="V1151">
        <f>IF($U1151="","",$P1151&amp;"|"&amp;RIGHT("000000"&amp;$U1151,6))</f>
        <v/>
      </c>
      <c r="W1151">
        <f>IF($T1151="","",COUNTIFS(LdBGroup,$R1151,LdBKey,"&lt;"&amp;$T1151)+1)</f>
        <v/>
      </c>
      <c r="X1151">
        <f>IF($W1151="","",$R1151&amp;"|"&amp;RIGHT("000000"&amp;$W1151,6))</f>
        <v/>
      </c>
      <c r="Y1151">
        <f>IF($P1151="","",IF(Shares!$E1154="",0,Shares!$E1154))</f>
        <v/>
      </c>
      <c r="Z1151">
        <f>IF($P1151="","",Shares!$H1154)</f>
        <v/>
      </c>
      <c r="AE1151">
        <f>IF(OR(Sync!$S1151="",Sync!$P1151=""),"",Sync!$S1151)</f>
        <v/>
      </c>
      <c r="AF1151">
        <f>IF($AE1151="","",IF(ISNUMBER(Sync!$P1151),IF(AND(Sync!$P1151&gt;=10000101,Sync!$P1151&lt;=99991231),INT(Sync!$P1151/10000),""),IFERROR(VALUE(TRIM(LEFT(Sync!$P1151,FIND("/",Sync!$P1151)-1))),"")))</f>
        <v/>
      </c>
      <c r="AG1151">
        <f>IF(OR($AE1151="",$AF1151=""),"",IF(ISNUMBER(Sync!$P1151),INT(MOD(Sync!$P1151,10000)/100),IFERROR(VALUE(TRIM(LEFT(MID(Sync!$P1151,FIND("/",Sync!$P1151)+1,20),FIND("/",MID(Sync!$P1151,FIND("/",Sync!$P1151)+1,20))-1))),"")))</f>
        <v/>
      </c>
      <c r="AH1151">
        <f>IF(OR($AE1151="",$AF1151=""),"",IF(ISNUMBER(Sync!$P1151),MOD(Sync!$P1151,100),IFERROR(VALUE(TRIM(MID(MID(Sync!$P1151,FIND("/",Sync!$P1151)+1,20),FIND("/",MID(Sync!$P1151,FIND("/",Sync!$P1151)+1,20))+1,20))),"")))</f>
        <v/>
      </c>
      <c r="AI1151">
        <f>IF($AE1151="","",IF(OR($AF1151="",$AG1151="",$AH1151="",$AF1151&lt;1300,$AF1151&gt;1500,$AG1151&lt;1,$AG1151&gt;12,$AH1151&lt;1,$AH1151&gt;31),"نامعتبر",RIGHT("0000"&amp;$AF1151,4)&amp;"/"&amp;RIGHT("00"&amp;$AG1151,2)&amp;"/"&amp;RIGHT("00"&amp;$AH1151,2)))</f>
        <v/>
      </c>
      <c r="AJ1151">
        <f>IF($AE1151="","",IF(Sync!$Q1151="","0000",IF(AND(ISNUMBER(Sync!$Q1151),Sync!$Q1151&gt;=0,Sync!$Q1151&lt;1),RIGHT("00"&amp;HOUR(Sync!$Q1151),2)&amp;RIGHT("00"&amp;MINUTE(Sync!$Q1151),2),IFERROR(RIGHT("00"&amp;VALUE(LEFT(Sync!$Q1151,FIND(":",Sync!$Q1151)-1)),2)&amp;RIGHT("00"&amp;VALUE(MID(Sync!$Q1151,FIND(":",Sync!$Q1151)+1,2)),2),"0000"))))</f>
        <v/>
      </c>
      <c r="AK1151">
        <f>IF(OR($AE1151="",$AI1151="",$AI1151="نامعتبر"),"",LEFT($AI1151,4)&amp;MID($AI1151,6,2)&amp;RIGHT($AI1151,2)&amp;$AJ1151&amp;"|"&amp;"3"&amp;RIGHT("00000"&amp;1146,5))</f>
        <v/>
      </c>
      <c r="AL1151">
        <f>IF($AK1151="","",COUNTIFS(LdAParty,$AE1151,LdAType,1,LdAKey,"&lt;"&amp;$AK1151)+COUNTIFS(LdBMember,$AE1151,LdBKey,"&lt;"&amp;$AK1151)+COUNTIFS(LdCParty,$AE1151,LdCKey,"&lt;"&amp;$AK1151)+1)</f>
        <v/>
      </c>
      <c r="AM1151">
        <f>IF($AL1151="","",$AE1151&amp;"|"&amp;RIGHT("000000"&amp;$AL1151,6))</f>
        <v/>
      </c>
      <c r="AN1151">
        <f>IF($AE1151="","",IF(Sync!$W1151="",0,Sync!$W1151))</f>
        <v/>
      </c>
      <c r="AO1151">
        <f>IF($AE1151="","",IF(Sync!$X1151="",0,Sync!$X1151))</f>
        <v/>
      </c>
      <c r="AP1151">
        <f>IF($AE1151="","",Sync!$R1151)</f>
        <v/>
      </c>
      <c r="AQ1151">
        <f>IF($AE1151="","",Sync!$Y1151)</f>
        <v/>
      </c>
    </row>
    <row r="1152">
      <c r="A1152">
        <f>IF(OR(Wages!$B1155="",Wages!$E1155=""),"",Wages!$E1155)</f>
        <v/>
      </c>
      <c r="B1152">
        <f>IF($A1152="","",IF(Wages!$C1155="دستمزد گروهی",2,1))</f>
        <v/>
      </c>
      <c r="C1152">
        <f>IF($A1152="","",IF(ISNUMBER(Wages!$B1155),IF(AND(Wages!$B1155&gt;=10000101,Wages!$B1155&lt;=99991231),INT(Wages!$B1155/10000),""),IFERROR(VALUE(TRIM(LEFT(Wages!$B1155,FIND("/",Wages!$B1155)-1))),"")))</f>
        <v/>
      </c>
      <c r="D1152">
        <f>IF(OR($A1152="",$C1152=""),"",IF(ISNUMBER(Wages!$B1155),INT(MOD(Wages!$B1155,10000)/100),IFERROR(VALUE(TRIM(LEFT(MID(Wages!$B1155,FIND("/",Wages!$B1155)+1,20),FIND("/",MID(Wages!$B1155,FIND("/",Wages!$B1155)+1,20))-1))),"")))</f>
        <v/>
      </c>
      <c r="E1152">
        <f>IF(OR($A1152="",$C1152=""),"",IF(ISNUMBER(Wages!$B1155),MOD(Wages!$B1155,100),IFERROR(VALUE(TRIM(MID(MID(Wages!$B1155,FIND("/",Wages!$B1155)+1,20),FIND("/",MID(Wages!$B1155,FIND("/",Wages!$B1155)+1,20))+1,20))),"")))</f>
        <v/>
      </c>
      <c r="F1152">
        <f>IF($A1152="","",IF(OR($C1152="",$D1152="",$E1152="",$C1152&lt;1300,$C1152&gt;1500,$D1152&lt;1,$D1152&gt;12,$E1152&lt;1,$E1152&gt;31),"نامعتبر",RIGHT("0000"&amp;$C1152,4)&amp;"/"&amp;RIGHT("00"&amp;$D1152,2)&amp;"/"&amp;RIGHT("00"&amp;$E1152,2)))</f>
        <v/>
      </c>
      <c r="G1152">
        <f>IF(OR($A1152="",$F1152="",$F1152="نامعتبر"),"",LEFT($F1152,4)&amp;MID($F1152,6,2)&amp;RIGHT($F1152,2)&amp;"0000"&amp;"|"&amp;"1"&amp;RIGHT("00000"&amp;1147,5))</f>
        <v/>
      </c>
      <c r="H1152">
        <f>IF(OR($B1152&lt;&gt;1,$G1152=""),"",COUNTIFS(LdAParty,$A1152,LdAType,1,LdAKey,"&lt;"&amp;$G1152)+COUNTIFS(LdBMember,$A1152,LdBKey,"&lt;"&amp;$G1152)+COUNTIFS(LdCParty,$A1152,LdCKey,"&lt;"&amp;$G1152)+1)</f>
        <v/>
      </c>
      <c r="I1152">
        <f>IF($H1152="","",$A1152&amp;"|"&amp;RIGHT("000000"&amp;$H1152,6))</f>
        <v/>
      </c>
      <c r="J1152">
        <f>IF(OR($B1152&lt;&gt;2,$G1152=""),"",COUNTIFS(LdAParty,$A1152,LdAType,2,LdAKey,"&lt;"&amp;$G1152)+1)</f>
        <v/>
      </c>
      <c r="K1152">
        <f>IF($J1152="","",$A1152&amp;"|"&amp;RIGHT("000000"&amp;$J1152,6))</f>
        <v/>
      </c>
      <c r="L1152">
        <f>IF($A1152="","",IF(Wages!$G1155="",0,Wages!$G1155))</f>
        <v/>
      </c>
      <c r="M1152">
        <f>IF($A1152="","",Wages!$J1155)</f>
        <v/>
      </c>
      <c r="N1152">
        <f>IF($A1152="","",Wages!$D1155)</f>
        <v/>
      </c>
      <c r="P1152">
        <f>IF(OR(Shares!$B1155="",Shares!$C1155=""),"",Shares!$C1155)</f>
        <v/>
      </c>
      <c r="Q1152">
        <f>IF($P1152="","",Shares!$B1155)</f>
        <v/>
      </c>
      <c r="R1152">
        <f>IF($P1152="","",IFERROR(INDEX(WageParty,MATCH($Q1152,WageIds,0)),""))</f>
        <v/>
      </c>
      <c r="S1152">
        <f>IF($P1152="","",IFERROR(INDEX($F$6:$F$2005,MATCH($Q1152,WageIds,0)),""))</f>
        <v/>
      </c>
      <c r="T1152">
        <f>IF(OR($P1152="",$S1152="",$S1152="نامعتبر"),"",LEFT($S1152,4)&amp;MID($S1152,6,2)&amp;RIGHT($S1152,2)&amp;"0000"&amp;"|"&amp;"2"&amp;RIGHT("00000"&amp;1147,5))</f>
        <v/>
      </c>
      <c r="U1152">
        <f>IF($T1152="","",COUNTIFS(LdAParty,$P1152,LdAType,1,LdAKey,"&lt;"&amp;$T1152)+COUNTIFS(LdBMember,$P1152,LdBKey,"&lt;"&amp;$T1152)+COUNTIFS(LdCParty,$P1152,LdCKey,"&lt;"&amp;$T1152)+1)</f>
        <v/>
      </c>
      <c r="V1152">
        <f>IF($U1152="","",$P1152&amp;"|"&amp;RIGHT("000000"&amp;$U1152,6))</f>
        <v/>
      </c>
      <c r="W1152">
        <f>IF($T1152="","",COUNTIFS(LdBGroup,$R1152,LdBKey,"&lt;"&amp;$T1152)+1)</f>
        <v/>
      </c>
      <c r="X1152">
        <f>IF($W1152="","",$R1152&amp;"|"&amp;RIGHT("000000"&amp;$W1152,6))</f>
        <v/>
      </c>
      <c r="Y1152">
        <f>IF($P1152="","",IF(Shares!$E1155="",0,Shares!$E1155))</f>
        <v/>
      </c>
      <c r="Z1152">
        <f>IF($P1152="","",Shares!$H1155)</f>
        <v/>
      </c>
      <c r="AE1152">
        <f>IF(OR(Sync!$S1152="",Sync!$P1152=""),"",Sync!$S1152)</f>
        <v/>
      </c>
      <c r="AF1152">
        <f>IF($AE1152="","",IF(ISNUMBER(Sync!$P1152),IF(AND(Sync!$P1152&gt;=10000101,Sync!$P1152&lt;=99991231),INT(Sync!$P1152/10000),""),IFERROR(VALUE(TRIM(LEFT(Sync!$P1152,FIND("/",Sync!$P1152)-1))),"")))</f>
        <v/>
      </c>
      <c r="AG1152">
        <f>IF(OR($AE1152="",$AF1152=""),"",IF(ISNUMBER(Sync!$P1152),INT(MOD(Sync!$P1152,10000)/100),IFERROR(VALUE(TRIM(LEFT(MID(Sync!$P1152,FIND("/",Sync!$P1152)+1,20),FIND("/",MID(Sync!$P1152,FIND("/",Sync!$P1152)+1,20))-1))),"")))</f>
        <v/>
      </c>
      <c r="AH1152">
        <f>IF(OR($AE1152="",$AF1152=""),"",IF(ISNUMBER(Sync!$P1152),MOD(Sync!$P1152,100),IFERROR(VALUE(TRIM(MID(MID(Sync!$P1152,FIND("/",Sync!$P1152)+1,20),FIND("/",MID(Sync!$P1152,FIND("/",Sync!$P1152)+1,20))+1,20))),"")))</f>
        <v/>
      </c>
      <c r="AI1152">
        <f>IF($AE1152="","",IF(OR($AF1152="",$AG1152="",$AH1152="",$AF1152&lt;1300,$AF1152&gt;1500,$AG1152&lt;1,$AG1152&gt;12,$AH1152&lt;1,$AH1152&gt;31),"نامعتبر",RIGHT("0000"&amp;$AF1152,4)&amp;"/"&amp;RIGHT("00"&amp;$AG1152,2)&amp;"/"&amp;RIGHT("00"&amp;$AH1152,2)))</f>
        <v/>
      </c>
      <c r="AJ1152">
        <f>IF($AE1152="","",IF(Sync!$Q1152="","0000",IF(AND(ISNUMBER(Sync!$Q1152),Sync!$Q1152&gt;=0,Sync!$Q1152&lt;1),RIGHT("00"&amp;HOUR(Sync!$Q1152),2)&amp;RIGHT("00"&amp;MINUTE(Sync!$Q1152),2),IFERROR(RIGHT("00"&amp;VALUE(LEFT(Sync!$Q1152,FIND(":",Sync!$Q1152)-1)),2)&amp;RIGHT("00"&amp;VALUE(MID(Sync!$Q1152,FIND(":",Sync!$Q1152)+1,2)),2),"0000"))))</f>
        <v/>
      </c>
      <c r="AK1152">
        <f>IF(OR($AE1152="",$AI1152="",$AI1152="نامعتبر"),"",LEFT($AI1152,4)&amp;MID($AI1152,6,2)&amp;RIGHT($AI1152,2)&amp;$AJ1152&amp;"|"&amp;"3"&amp;RIGHT("00000"&amp;1147,5))</f>
        <v/>
      </c>
      <c r="AL1152">
        <f>IF($AK1152="","",COUNTIFS(LdAParty,$AE1152,LdAType,1,LdAKey,"&lt;"&amp;$AK1152)+COUNTIFS(LdBMember,$AE1152,LdBKey,"&lt;"&amp;$AK1152)+COUNTIFS(LdCParty,$AE1152,LdCKey,"&lt;"&amp;$AK1152)+1)</f>
        <v/>
      </c>
      <c r="AM1152">
        <f>IF($AL1152="","",$AE1152&amp;"|"&amp;RIGHT("000000"&amp;$AL1152,6))</f>
        <v/>
      </c>
      <c r="AN1152">
        <f>IF($AE1152="","",IF(Sync!$W1152="",0,Sync!$W1152))</f>
        <v/>
      </c>
      <c r="AO1152">
        <f>IF($AE1152="","",IF(Sync!$X1152="",0,Sync!$X1152))</f>
        <v/>
      </c>
      <c r="AP1152">
        <f>IF($AE1152="","",Sync!$R1152)</f>
        <v/>
      </c>
      <c r="AQ1152">
        <f>IF($AE1152="","",Sync!$Y1152)</f>
        <v/>
      </c>
    </row>
    <row r="1153">
      <c r="A1153">
        <f>IF(OR(Wages!$B1156="",Wages!$E1156=""),"",Wages!$E1156)</f>
        <v/>
      </c>
      <c r="B1153">
        <f>IF($A1153="","",IF(Wages!$C1156="دستمزد گروهی",2,1))</f>
        <v/>
      </c>
      <c r="C1153">
        <f>IF($A1153="","",IF(ISNUMBER(Wages!$B1156),IF(AND(Wages!$B1156&gt;=10000101,Wages!$B1156&lt;=99991231),INT(Wages!$B1156/10000),""),IFERROR(VALUE(TRIM(LEFT(Wages!$B1156,FIND("/",Wages!$B1156)-1))),"")))</f>
        <v/>
      </c>
      <c r="D1153">
        <f>IF(OR($A1153="",$C1153=""),"",IF(ISNUMBER(Wages!$B1156),INT(MOD(Wages!$B1156,10000)/100),IFERROR(VALUE(TRIM(LEFT(MID(Wages!$B1156,FIND("/",Wages!$B1156)+1,20),FIND("/",MID(Wages!$B1156,FIND("/",Wages!$B1156)+1,20))-1))),"")))</f>
        <v/>
      </c>
      <c r="E1153">
        <f>IF(OR($A1153="",$C1153=""),"",IF(ISNUMBER(Wages!$B1156),MOD(Wages!$B1156,100),IFERROR(VALUE(TRIM(MID(MID(Wages!$B1156,FIND("/",Wages!$B1156)+1,20),FIND("/",MID(Wages!$B1156,FIND("/",Wages!$B1156)+1,20))+1,20))),"")))</f>
        <v/>
      </c>
      <c r="F1153">
        <f>IF($A1153="","",IF(OR($C1153="",$D1153="",$E1153="",$C1153&lt;1300,$C1153&gt;1500,$D1153&lt;1,$D1153&gt;12,$E1153&lt;1,$E1153&gt;31),"نامعتبر",RIGHT("0000"&amp;$C1153,4)&amp;"/"&amp;RIGHT("00"&amp;$D1153,2)&amp;"/"&amp;RIGHT("00"&amp;$E1153,2)))</f>
        <v/>
      </c>
      <c r="G1153">
        <f>IF(OR($A1153="",$F1153="",$F1153="نامعتبر"),"",LEFT($F1153,4)&amp;MID($F1153,6,2)&amp;RIGHT($F1153,2)&amp;"0000"&amp;"|"&amp;"1"&amp;RIGHT("00000"&amp;1148,5))</f>
        <v/>
      </c>
      <c r="H1153">
        <f>IF(OR($B1153&lt;&gt;1,$G1153=""),"",COUNTIFS(LdAParty,$A1153,LdAType,1,LdAKey,"&lt;"&amp;$G1153)+COUNTIFS(LdBMember,$A1153,LdBKey,"&lt;"&amp;$G1153)+COUNTIFS(LdCParty,$A1153,LdCKey,"&lt;"&amp;$G1153)+1)</f>
        <v/>
      </c>
      <c r="I1153">
        <f>IF($H1153="","",$A1153&amp;"|"&amp;RIGHT("000000"&amp;$H1153,6))</f>
        <v/>
      </c>
      <c r="J1153">
        <f>IF(OR($B1153&lt;&gt;2,$G1153=""),"",COUNTIFS(LdAParty,$A1153,LdAType,2,LdAKey,"&lt;"&amp;$G1153)+1)</f>
        <v/>
      </c>
      <c r="K1153">
        <f>IF($J1153="","",$A1153&amp;"|"&amp;RIGHT("000000"&amp;$J1153,6))</f>
        <v/>
      </c>
      <c r="L1153">
        <f>IF($A1153="","",IF(Wages!$G1156="",0,Wages!$G1156))</f>
        <v/>
      </c>
      <c r="M1153">
        <f>IF($A1153="","",Wages!$J1156)</f>
        <v/>
      </c>
      <c r="N1153">
        <f>IF($A1153="","",Wages!$D1156)</f>
        <v/>
      </c>
      <c r="P1153">
        <f>IF(OR(Shares!$B1156="",Shares!$C1156=""),"",Shares!$C1156)</f>
        <v/>
      </c>
      <c r="Q1153">
        <f>IF($P1153="","",Shares!$B1156)</f>
        <v/>
      </c>
      <c r="R1153">
        <f>IF($P1153="","",IFERROR(INDEX(WageParty,MATCH($Q1153,WageIds,0)),""))</f>
        <v/>
      </c>
      <c r="S1153">
        <f>IF($P1153="","",IFERROR(INDEX($F$6:$F$2005,MATCH($Q1153,WageIds,0)),""))</f>
        <v/>
      </c>
      <c r="T1153">
        <f>IF(OR($P1153="",$S1153="",$S1153="نامعتبر"),"",LEFT($S1153,4)&amp;MID($S1153,6,2)&amp;RIGHT($S1153,2)&amp;"0000"&amp;"|"&amp;"2"&amp;RIGHT("00000"&amp;1148,5))</f>
        <v/>
      </c>
      <c r="U1153">
        <f>IF($T1153="","",COUNTIFS(LdAParty,$P1153,LdAType,1,LdAKey,"&lt;"&amp;$T1153)+COUNTIFS(LdBMember,$P1153,LdBKey,"&lt;"&amp;$T1153)+COUNTIFS(LdCParty,$P1153,LdCKey,"&lt;"&amp;$T1153)+1)</f>
        <v/>
      </c>
      <c r="V1153">
        <f>IF($U1153="","",$P1153&amp;"|"&amp;RIGHT("000000"&amp;$U1153,6))</f>
        <v/>
      </c>
      <c r="W1153">
        <f>IF($T1153="","",COUNTIFS(LdBGroup,$R1153,LdBKey,"&lt;"&amp;$T1153)+1)</f>
        <v/>
      </c>
      <c r="X1153">
        <f>IF($W1153="","",$R1153&amp;"|"&amp;RIGHT("000000"&amp;$W1153,6))</f>
        <v/>
      </c>
      <c r="Y1153">
        <f>IF($P1153="","",IF(Shares!$E1156="",0,Shares!$E1156))</f>
        <v/>
      </c>
      <c r="Z1153">
        <f>IF($P1153="","",Shares!$H1156)</f>
        <v/>
      </c>
      <c r="AE1153">
        <f>IF(OR(Sync!$S1153="",Sync!$P1153=""),"",Sync!$S1153)</f>
        <v/>
      </c>
      <c r="AF1153">
        <f>IF($AE1153="","",IF(ISNUMBER(Sync!$P1153),IF(AND(Sync!$P1153&gt;=10000101,Sync!$P1153&lt;=99991231),INT(Sync!$P1153/10000),""),IFERROR(VALUE(TRIM(LEFT(Sync!$P1153,FIND("/",Sync!$P1153)-1))),"")))</f>
        <v/>
      </c>
      <c r="AG1153">
        <f>IF(OR($AE1153="",$AF1153=""),"",IF(ISNUMBER(Sync!$P1153),INT(MOD(Sync!$P1153,10000)/100),IFERROR(VALUE(TRIM(LEFT(MID(Sync!$P1153,FIND("/",Sync!$P1153)+1,20),FIND("/",MID(Sync!$P1153,FIND("/",Sync!$P1153)+1,20))-1))),"")))</f>
        <v/>
      </c>
      <c r="AH1153">
        <f>IF(OR($AE1153="",$AF1153=""),"",IF(ISNUMBER(Sync!$P1153),MOD(Sync!$P1153,100),IFERROR(VALUE(TRIM(MID(MID(Sync!$P1153,FIND("/",Sync!$P1153)+1,20),FIND("/",MID(Sync!$P1153,FIND("/",Sync!$P1153)+1,20))+1,20))),"")))</f>
        <v/>
      </c>
      <c r="AI1153">
        <f>IF($AE1153="","",IF(OR($AF1153="",$AG1153="",$AH1153="",$AF1153&lt;1300,$AF1153&gt;1500,$AG1153&lt;1,$AG1153&gt;12,$AH1153&lt;1,$AH1153&gt;31),"نامعتبر",RIGHT("0000"&amp;$AF1153,4)&amp;"/"&amp;RIGHT("00"&amp;$AG1153,2)&amp;"/"&amp;RIGHT("00"&amp;$AH1153,2)))</f>
        <v/>
      </c>
      <c r="AJ1153">
        <f>IF($AE1153="","",IF(Sync!$Q1153="","0000",IF(AND(ISNUMBER(Sync!$Q1153),Sync!$Q1153&gt;=0,Sync!$Q1153&lt;1),RIGHT("00"&amp;HOUR(Sync!$Q1153),2)&amp;RIGHT("00"&amp;MINUTE(Sync!$Q1153),2),IFERROR(RIGHT("00"&amp;VALUE(LEFT(Sync!$Q1153,FIND(":",Sync!$Q1153)-1)),2)&amp;RIGHT("00"&amp;VALUE(MID(Sync!$Q1153,FIND(":",Sync!$Q1153)+1,2)),2),"0000"))))</f>
        <v/>
      </c>
      <c r="AK1153">
        <f>IF(OR($AE1153="",$AI1153="",$AI1153="نامعتبر"),"",LEFT($AI1153,4)&amp;MID($AI1153,6,2)&amp;RIGHT($AI1153,2)&amp;$AJ1153&amp;"|"&amp;"3"&amp;RIGHT("00000"&amp;1148,5))</f>
        <v/>
      </c>
      <c r="AL1153">
        <f>IF($AK1153="","",COUNTIFS(LdAParty,$AE1153,LdAType,1,LdAKey,"&lt;"&amp;$AK1153)+COUNTIFS(LdBMember,$AE1153,LdBKey,"&lt;"&amp;$AK1153)+COUNTIFS(LdCParty,$AE1153,LdCKey,"&lt;"&amp;$AK1153)+1)</f>
        <v/>
      </c>
      <c r="AM1153">
        <f>IF($AL1153="","",$AE1153&amp;"|"&amp;RIGHT("000000"&amp;$AL1153,6))</f>
        <v/>
      </c>
      <c r="AN1153">
        <f>IF($AE1153="","",IF(Sync!$W1153="",0,Sync!$W1153))</f>
        <v/>
      </c>
      <c r="AO1153">
        <f>IF($AE1153="","",IF(Sync!$X1153="",0,Sync!$X1153))</f>
        <v/>
      </c>
      <c r="AP1153">
        <f>IF($AE1153="","",Sync!$R1153)</f>
        <v/>
      </c>
      <c r="AQ1153">
        <f>IF($AE1153="","",Sync!$Y1153)</f>
        <v/>
      </c>
    </row>
    <row r="1154">
      <c r="A1154">
        <f>IF(OR(Wages!$B1157="",Wages!$E1157=""),"",Wages!$E1157)</f>
        <v/>
      </c>
      <c r="B1154">
        <f>IF($A1154="","",IF(Wages!$C1157="دستمزد گروهی",2,1))</f>
        <v/>
      </c>
      <c r="C1154">
        <f>IF($A1154="","",IF(ISNUMBER(Wages!$B1157),IF(AND(Wages!$B1157&gt;=10000101,Wages!$B1157&lt;=99991231),INT(Wages!$B1157/10000),""),IFERROR(VALUE(TRIM(LEFT(Wages!$B1157,FIND("/",Wages!$B1157)-1))),"")))</f>
        <v/>
      </c>
      <c r="D1154">
        <f>IF(OR($A1154="",$C1154=""),"",IF(ISNUMBER(Wages!$B1157),INT(MOD(Wages!$B1157,10000)/100),IFERROR(VALUE(TRIM(LEFT(MID(Wages!$B1157,FIND("/",Wages!$B1157)+1,20),FIND("/",MID(Wages!$B1157,FIND("/",Wages!$B1157)+1,20))-1))),"")))</f>
        <v/>
      </c>
      <c r="E1154">
        <f>IF(OR($A1154="",$C1154=""),"",IF(ISNUMBER(Wages!$B1157),MOD(Wages!$B1157,100),IFERROR(VALUE(TRIM(MID(MID(Wages!$B1157,FIND("/",Wages!$B1157)+1,20),FIND("/",MID(Wages!$B1157,FIND("/",Wages!$B1157)+1,20))+1,20))),"")))</f>
        <v/>
      </c>
      <c r="F1154">
        <f>IF($A1154="","",IF(OR($C1154="",$D1154="",$E1154="",$C1154&lt;1300,$C1154&gt;1500,$D1154&lt;1,$D1154&gt;12,$E1154&lt;1,$E1154&gt;31),"نامعتبر",RIGHT("0000"&amp;$C1154,4)&amp;"/"&amp;RIGHT("00"&amp;$D1154,2)&amp;"/"&amp;RIGHT("00"&amp;$E1154,2)))</f>
        <v/>
      </c>
      <c r="G1154">
        <f>IF(OR($A1154="",$F1154="",$F1154="نامعتبر"),"",LEFT($F1154,4)&amp;MID($F1154,6,2)&amp;RIGHT($F1154,2)&amp;"0000"&amp;"|"&amp;"1"&amp;RIGHT("00000"&amp;1149,5))</f>
        <v/>
      </c>
      <c r="H1154">
        <f>IF(OR($B1154&lt;&gt;1,$G1154=""),"",COUNTIFS(LdAParty,$A1154,LdAType,1,LdAKey,"&lt;"&amp;$G1154)+COUNTIFS(LdBMember,$A1154,LdBKey,"&lt;"&amp;$G1154)+COUNTIFS(LdCParty,$A1154,LdCKey,"&lt;"&amp;$G1154)+1)</f>
        <v/>
      </c>
      <c r="I1154">
        <f>IF($H1154="","",$A1154&amp;"|"&amp;RIGHT("000000"&amp;$H1154,6))</f>
        <v/>
      </c>
      <c r="J1154">
        <f>IF(OR($B1154&lt;&gt;2,$G1154=""),"",COUNTIFS(LdAParty,$A1154,LdAType,2,LdAKey,"&lt;"&amp;$G1154)+1)</f>
        <v/>
      </c>
      <c r="K1154">
        <f>IF($J1154="","",$A1154&amp;"|"&amp;RIGHT("000000"&amp;$J1154,6))</f>
        <v/>
      </c>
      <c r="L1154">
        <f>IF($A1154="","",IF(Wages!$G1157="",0,Wages!$G1157))</f>
        <v/>
      </c>
      <c r="M1154">
        <f>IF($A1154="","",Wages!$J1157)</f>
        <v/>
      </c>
      <c r="N1154">
        <f>IF($A1154="","",Wages!$D1157)</f>
        <v/>
      </c>
      <c r="P1154">
        <f>IF(OR(Shares!$B1157="",Shares!$C1157=""),"",Shares!$C1157)</f>
        <v/>
      </c>
      <c r="Q1154">
        <f>IF($P1154="","",Shares!$B1157)</f>
        <v/>
      </c>
      <c r="R1154">
        <f>IF($P1154="","",IFERROR(INDEX(WageParty,MATCH($Q1154,WageIds,0)),""))</f>
        <v/>
      </c>
      <c r="S1154">
        <f>IF($P1154="","",IFERROR(INDEX($F$6:$F$2005,MATCH($Q1154,WageIds,0)),""))</f>
        <v/>
      </c>
      <c r="T1154">
        <f>IF(OR($P1154="",$S1154="",$S1154="نامعتبر"),"",LEFT($S1154,4)&amp;MID($S1154,6,2)&amp;RIGHT($S1154,2)&amp;"0000"&amp;"|"&amp;"2"&amp;RIGHT("00000"&amp;1149,5))</f>
        <v/>
      </c>
      <c r="U1154">
        <f>IF($T1154="","",COUNTIFS(LdAParty,$P1154,LdAType,1,LdAKey,"&lt;"&amp;$T1154)+COUNTIFS(LdBMember,$P1154,LdBKey,"&lt;"&amp;$T1154)+COUNTIFS(LdCParty,$P1154,LdCKey,"&lt;"&amp;$T1154)+1)</f>
        <v/>
      </c>
      <c r="V1154">
        <f>IF($U1154="","",$P1154&amp;"|"&amp;RIGHT("000000"&amp;$U1154,6))</f>
        <v/>
      </c>
      <c r="W1154">
        <f>IF($T1154="","",COUNTIFS(LdBGroup,$R1154,LdBKey,"&lt;"&amp;$T1154)+1)</f>
        <v/>
      </c>
      <c r="X1154">
        <f>IF($W1154="","",$R1154&amp;"|"&amp;RIGHT("000000"&amp;$W1154,6))</f>
        <v/>
      </c>
      <c r="Y1154">
        <f>IF($P1154="","",IF(Shares!$E1157="",0,Shares!$E1157))</f>
        <v/>
      </c>
      <c r="Z1154">
        <f>IF($P1154="","",Shares!$H1157)</f>
        <v/>
      </c>
      <c r="AE1154">
        <f>IF(OR(Sync!$S1154="",Sync!$P1154=""),"",Sync!$S1154)</f>
        <v/>
      </c>
      <c r="AF1154">
        <f>IF($AE1154="","",IF(ISNUMBER(Sync!$P1154),IF(AND(Sync!$P1154&gt;=10000101,Sync!$P1154&lt;=99991231),INT(Sync!$P1154/10000),""),IFERROR(VALUE(TRIM(LEFT(Sync!$P1154,FIND("/",Sync!$P1154)-1))),"")))</f>
        <v/>
      </c>
      <c r="AG1154">
        <f>IF(OR($AE1154="",$AF1154=""),"",IF(ISNUMBER(Sync!$P1154),INT(MOD(Sync!$P1154,10000)/100),IFERROR(VALUE(TRIM(LEFT(MID(Sync!$P1154,FIND("/",Sync!$P1154)+1,20),FIND("/",MID(Sync!$P1154,FIND("/",Sync!$P1154)+1,20))-1))),"")))</f>
        <v/>
      </c>
      <c r="AH1154">
        <f>IF(OR($AE1154="",$AF1154=""),"",IF(ISNUMBER(Sync!$P1154),MOD(Sync!$P1154,100),IFERROR(VALUE(TRIM(MID(MID(Sync!$P1154,FIND("/",Sync!$P1154)+1,20),FIND("/",MID(Sync!$P1154,FIND("/",Sync!$P1154)+1,20))+1,20))),"")))</f>
        <v/>
      </c>
      <c r="AI1154">
        <f>IF($AE1154="","",IF(OR($AF1154="",$AG1154="",$AH1154="",$AF1154&lt;1300,$AF1154&gt;1500,$AG1154&lt;1,$AG1154&gt;12,$AH1154&lt;1,$AH1154&gt;31),"نامعتبر",RIGHT("0000"&amp;$AF1154,4)&amp;"/"&amp;RIGHT("00"&amp;$AG1154,2)&amp;"/"&amp;RIGHT("00"&amp;$AH1154,2)))</f>
        <v/>
      </c>
      <c r="AJ1154">
        <f>IF($AE1154="","",IF(Sync!$Q1154="","0000",IF(AND(ISNUMBER(Sync!$Q1154),Sync!$Q1154&gt;=0,Sync!$Q1154&lt;1),RIGHT("00"&amp;HOUR(Sync!$Q1154),2)&amp;RIGHT("00"&amp;MINUTE(Sync!$Q1154),2),IFERROR(RIGHT("00"&amp;VALUE(LEFT(Sync!$Q1154,FIND(":",Sync!$Q1154)-1)),2)&amp;RIGHT("00"&amp;VALUE(MID(Sync!$Q1154,FIND(":",Sync!$Q1154)+1,2)),2),"0000"))))</f>
        <v/>
      </c>
      <c r="AK1154">
        <f>IF(OR($AE1154="",$AI1154="",$AI1154="نامعتبر"),"",LEFT($AI1154,4)&amp;MID($AI1154,6,2)&amp;RIGHT($AI1154,2)&amp;$AJ1154&amp;"|"&amp;"3"&amp;RIGHT("00000"&amp;1149,5))</f>
        <v/>
      </c>
      <c r="AL1154">
        <f>IF($AK1154="","",COUNTIFS(LdAParty,$AE1154,LdAType,1,LdAKey,"&lt;"&amp;$AK1154)+COUNTIFS(LdBMember,$AE1154,LdBKey,"&lt;"&amp;$AK1154)+COUNTIFS(LdCParty,$AE1154,LdCKey,"&lt;"&amp;$AK1154)+1)</f>
        <v/>
      </c>
      <c r="AM1154">
        <f>IF($AL1154="","",$AE1154&amp;"|"&amp;RIGHT("000000"&amp;$AL1154,6))</f>
        <v/>
      </c>
      <c r="AN1154">
        <f>IF($AE1154="","",IF(Sync!$W1154="",0,Sync!$W1154))</f>
        <v/>
      </c>
      <c r="AO1154">
        <f>IF($AE1154="","",IF(Sync!$X1154="",0,Sync!$X1154))</f>
        <v/>
      </c>
      <c r="AP1154">
        <f>IF($AE1154="","",Sync!$R1154)</f>
        <v/>
      </c>
      <c r="AQ1154">
        <f>IF($AE1154="","",Sync!$Y1154)</f>
        <v/>
      </c>
    </row>
    <row r="1155">
      <c r="A1155">
        <f>IF(OR(Wages!$B1158="",Wages!$E1158=""),"",Wages!$E1158)</f>
        <v/>
      </c>
      <c r="B1155">
        <f>IF($A1155="","",IF(Wages!$C1158="دستمزد گروهی",2,1))</f>
        <v/>
      </c>
      <c r="C1155">
        <f>IF($A1155="","",IF(ISNUMBER(Wages!$B1158),IF(AND(Wages!$B1158&gt;=10000101,Wages!$B1158&lt;=99991231),INT(Wages!$B1158/10000),""),IFERROR(VALUE(TRIM(LEFT(Wages!$B1158,FIND("/",Wages!$B1158)-1))),"")))</f>
        <v/>
      </c>
      <c r="D1155">
        <f>IF(OR($A1155="",$C1155=""),"",IF(ISNUMBER(Wages!$B1158),INT(MOD(Wages!$B1158,10000)/100),IFERROR(VALUE(TRIM(LEFT(MID(Wages!$B1158,FIND("/",Wages!$B1158)+1,20),FIND("/",MID(Wages!$B1158,FIND("/",Wages!$B1158)+1,20))-1))),"")))</f>
        <v/>
      </c>
      <c r="E1155">
        <f>IF(OR($A1155="",$C1155=""),"",IF(ISNUMBER(Wages!$B1158),MOD(Wages!$B1158,100),IFERROR(VALUE(TRIM(MID(MID(Wages!$B1158,FIND("/",Wages!$B1158)+1,20),FIND("/",MID(Wages!$B1158,FIND("/",Wages!$B1158)+1,20))+1,20))),"")))</f>
        <v/>
      </c>
      <c r="F1155">
        <f>IF($A1155="","",IF(OR($C1155="",$D1155="",$E1155="",$C1155&lt;1300,$C1155&gt;1500,$D1155&lt;1,$D1155&gt;12,$E1155&lt;1,$E1155&gt;31),"نامعتبر",RIGHT("0000"&amp;$C1155,4)&amp;"/"&amp;RIGHT("00"&amp;$D1155,2)&amp;"/"&amp;RIGHT("00"&amp;$E1155,2)))</f>
        <v/>
      </c>
      <c r="G1155">
        <f>IF(OR($A1155="",$F1155="",$F1155="نامعتبر"),"",LEFT($F1155,4)&amp;MID($F1155,6,2)&amp;RIGHT($F1155,2)&amp;"0000"&amp;"|"&amp;"1"&amp;RIGHT("00000"&amp;1150,5))</f>
        <v/>
      </c>
      <c r="H1155">
        <f>IF(OR($B1155&lt;&gt;1,$G1155=""),"",COUNTIFS(LdAParty,$A1155,LdAType,1,LdAKey,"&lt;"&amp;$G1155)+COUNTIFS(LdBMember,$A1155,LdBKey,"&lt;"&amp;$G1155)+COUNTIFS(LdCParty,$A1155,LdCKey,"&lt;"&amp;$G1155)+1)</f>
        <v/>
      </c>
      <c r="I1155">
        <f>IF($H1155="","",$A1155&amp;"|"&amp;RIGHT("000000"&amp;$H1155,6))</f>
        <v/>
      </c>
      <c r="J1155">
        <f>IF(OR($B1155&lt;&gt;2,$G1155=""),"",COUNTIFS(LdAParty,$A1155,LdAType,2,LdAKey,"&lt;"&amp;$G1155)+1)</f>
        <v/>
      </c>
      <c r="K1155">
        <f>IF($J1155="","",$A1155&amp;"|"&amp;RIGHT("000000"&amp;$J1155,6))</f>
        <v/>
      </c>
      <c r="L1155">
        <f>IF($A1155="","",IF(Wages!$G1158="",0,Wages!$G1158))</f>
        <v/>
      </c>
      <c r="M1155">
        <f>IF($A1155="","",Wages!$J1158)</f>
        <v/>
      </c>
      <c r="N1155">
        <f>IF($A1155="","",Wages!$D1158)</f>
        <v/>
      </c>
      <c r="P1155">
        <f>IF(OR(Shares!$B1158="",Shares!$C1158=""),"",Shares!$C1158)</f>
        <v/>
      </c>
      <c r="Q1155">
        <f>IF($P1155="","",Shares!$B1158)</f>
        <v/>
      </c>
      <c r="R1155">
        <f>IF($P1155="","",IFERROR(INDEX(WageParty,MATCH($Q1155,WageIds,0)),""))</f>
        <v/>
      </c>
      <c r="S1155">
        <f>IF($P1155="","",IFERROR(INDEX($F$6:$F$2005,MATCH($Q1155,WageIds,0)),""))</f>
        <v/>
      </c>
      <c r="T1155">
        <f>IF(OR($P1155="",$S1155="",$S1155="نامعتبر"),"",LEFT($S1155,4)&amp;MID($S1155,6,2)&amp;RIGHT($S1155,2)&amp;"0000"&amp;"|"&amp;"2"&amp;RIGHT("00000"&amp;1150,5))</f>
        <v/>
      </c>
      <c r="U1155">
        <f>IF($T1155="","",COUNTIFS(LdAParty,$P1155,LdAType,1,LdAKey,"&lt;"&amp;$T1155)+COUNTIFS(LdBMember,$P1155,LdBKey,"&lt;"&amp;$T1155)+COUNTIFS(LdCParty,$P1155,LdCKey,"&lt;"&amp;$T1155)+1)</f>
        <v/>
      </c>
      <c r="V1155">
        <f>IF($U1155="","",$P1155&amp;"|"&amp;RIGHT("000000"&amp;$U1155,6))</f>
        <v/>
      </c>
      <c r="W1155">
        <f>IF($T1155="","",COUNTIFS(LdBGroup,$R1155,LdBKey,"&lt;"&amp;$T1155)+1)</f>
        <v/>
      </c>
      <c r="X1155">
        <f>IF($W1155="","",$R1155&amp;"|"&amp;RIGHT("000000"&amp;$W1155,6))</f>
        <v/>
      </c>
      <c r="Y1155">
        <f>IF($P1155="","",IF(Shares!$E1158="",0,Shares!$E1158))</f>
        <v/>
      </c>
      <c r="Z1155">
        <f>IF($P1155="","",Shares!$H1158)</f>
        <v/>
      </c>
      <c r="AE1155">
        <f>IF(OR(Sync!$S1155="",Sync!$P1155=""),"",Sync!$S1155)</f>
        <v/>
      </c>
      <c r="AF1155">
        <f>IF($AE1155="","",IF(ISNUMBER(Sync!$P1155),IF(AND(Sync!$P1155&gt;=10000101,Sync!$P1155&lt;=99991231),INT(Sync!$P1155/10000),""),IFERROR(VALUE(TRIM(LEFT(Sync!$P1155,FIND("/",Sync!$P1155)-1))),"")))</f>
        <v/>
      </c>
      <c r="AG1155">
        <f>IF(OR($AE1155="",$AF1155=""),"",IF(ISNUMBER(Sync!$P1155),INT(MOD(Sync!$P1155,10000)/100),IFERROR(VALUE(TRIM(LEFT(MID(Sync!$P1155,FIND("/",Sync!$P1155)+1,20),FIND("/",MID(Sync!$P1155,FIND("/",Sync!$P1155)+1,20))-1))),"")))</f>
        <v/>
      </c>
      <c r="AH1155">
        <f>IF(OR($AE1155="",$AF1155=""),"",IF(ISNUMBER(Sync!$P1155),MOD(Sync!$P1155,100),IFERROR(VALUE(TRIM(MID(MID(Sync!$P1155,FIND("/",Sync!$P1155)+1,20),FIND("/",MID(Sync!$P1155,FIND("/",Sync!$P1155)+1,20))+1,20))),"")))</f>
        <v/>
      </c>
      <c r="AI1155">
        <f>IF($AE1155="","",IF(OR($AF1155="",$AG1155="",$AH1155="",$AF1155&lt;1300,$AF1155&gt;1500,$AG1155&lt;1,$AG1155&gt;12,$AH1155&lt;1,$AH1155&gt;31),"نامعتبر",RIGHT("0000"&amp;$AF1155,4)&amp;"/"&amp;RIGHT("00"&amp;$AG1155,2)&amp;"/"&amp;RIGHT("00"&amp;$AH1155,2)))</f>
        <v/>
      </c>
      <c r="AJ1155">
        <f>IF($AE1155="","",IF(Sync!$Q1155="","0000",IF(AND(ISNUMBER(Sync!$Q1155),Sync!$Q1155&gt;=0,Sync!$Q1155&lt;1),RIGHT("00"&amp;HOUR(Sync!$Q1155),2)&amp;RIGHT("00"&amp;MINUTE(Sync!$Q1155),2),IFERROR(RIGHT("00"&amp;VALUE(LEFT(Sync!$Q1155,FIND(":",Sync!$Q1155)-1)),2)&amp;RIGHT("00"&amp;VALUE(MID(Sync!$Q1155,FIND(":",Sync!$Q1155)+1,2)),2),"0000"))))</f>
        <v/>
      </c>
      <c r="AK1155">
        <f>IF(OR($AE1155="",$AI1155="",$AI1155="نامعتبر"),"",LEFT($AI1155,4)&amp;MID($AI1155,6,2)&amp;RIGHT($AI1155,2)&amp;$AJ1155&amp;"|"&amp;"3"&amp;RIGHT("00000"&amp;1150,5))</f>
        <v/>
      </c>
      <c r="AL1155">
        <f>IF($AK1155="","",COUNTIFS(LdAParty,$AE1155,LdAType,1,LdAKey,"&lt;"&amp;$AK1155)+COUNTIFS(LdBMember,$AE1155,LdBKey,"&lt;"&amp;$AK1155)+COUNTIFS(LdCParty,$AE1155,LdCKey,"&lt;"&amp;$AK1155)+1)</f>
        <v/>
      </c>
      <c r="AM1155">
        <f>IF($AL1155="","",$AE1155&amp;"|"&amp;RIGHT("000000"&amp;$AL1155,6))</f>
        <v/>
      </c>
      <c r="AN1155">
        <f>IF($AE1155="","",IF(Sync!$W1155="",0,Sync!$W1155))</f>
        <v/>
      </c>
      <c r="AO1155">
        <f>IF($AE1155="","",IF(Sync!$X1155="",0,Sync!$X1155))</f>
        <v/>
      </c>
      <c r="AP1155">
        <f>IF($AE1155="","",Sync!$R1155)</f>
        <v/>
      </c>
      <c r="AQ1155">
        <f>IF($AE1155="","",Sync!$Y1155)</f>
        <v/>
      </c>
    </row>
    <row r="1156">
      <c r="A1156">
        <f>IF(OR(Wages!$B1159="",Wages!$E1159=""),"",Wages!$E1159)</f>
        <v/>
      </c>
      <c r="B1156">
        <f>IF($A1156="","",IF(Wages!$C1159="دستمزد گروهی",2,1))</f>
        <v/>
      </c>
      <c r="C1156">
        <f>IF($A1156="","",IF(ISNUMBER(Wages!$B1159),IF(AND(Wages!$B1159&gt;=10000101,Wages!$B1159&lt;=99991231),INT(Wages!$B1159/10000),""),IFERROR(VALUE(TRIM(LEFT(Wages!$B1159,FIND("/",Wages!$B1159)-1))),"")))</f>
        <v/>
      </c>
      <c r="D1156">
        <f>IF(OR($A1156="",$C1156=""),"",IF(ISNUMBER(Wages!$B1159),INT(MOD(Wages!$B1159,10000)/100),IFERROR(VALUE(TRIM(LEFT(MID(Wages!$B1159,FIND("/",Wages!$B1159)+1,20),FIND("/",MID(Wages!$B1159,FIND("/",Wages!$B1159)+1,20))-1))),"")))</f>
        <v/>
      </c>
      <c r="E1156">
        <f>IF(OR($A1156="",$C1156=""),"",IF(ISNUMBER(Wages!$B1159),MOD(Wages!$B1159,100),IFERROR(VALUE(TRIM(MID(MID(Wages!$B1159,FIND("/",Wages!$B1159)+1,20),FIND("/",MID(Wages!$B1159,FIND("/",Wages!$B1159)+1,20))+1,20))),"")))</f>
        <v/>
      </c>
      <c r="F1156">
        <f>IF($A1156="","",IF(OR($C1156="",$D1156="",$E1156="",$C1156&lt;1300,$C1156&gt;1500,$D1156&lt;1,$D1156&gt;12,$E1156&lt;1,$E1156&gt;31),"نامعتبر",RIGHT("0000"&amp;$C1156,4)&amp;"/"&amp;RIGHT("00"&amp;$D1156,2)&amp;"/"&amp;RIGHT("00"&amp;$E1156,2)))</f>
        <v/>
      </c>
      <c r="G1156">
        <f>IF(OR($A1156="",$F1156="",$F1156="نامعتبر"),"",LEFT($F1156,4)&amp;MID($F1156,6,2)&amp;RIGHT($F1156,2)&amp;"0000"&amp;"|"&amp;"1"&amp;RIGHT("00000"&amp;1151,5))</f>
        <v/>
      </c>
      <c r="H1156">
        <f>IF(OR($B1156&lt;&gt;1,$G1156=""),"",COUNTIFS(LdAParty,$A1156,LdAType,1,LdAKey,"&lt;"&amp;$G1156)+COUNTIFS(LdBMember,$A1156,LdBKey,"&lt;"&amp;$G1156)+COUNTIFS(LdCParty,$A1156,LdCKey,"&lt;"&amp;$G1156)+1)</f>
        <v/>
      </c>
      <c r="I1156">
        <f>IF($H1156="","",$A1156&amp;"|"&amp;RIGHT("000000"&amp;$H1156,6))</f>
        <v/>
      </c>
      <c r="J1156">
        <f>IF(OR($B1156&lt;&gt;2,$G1156=""),"",COUNTIFS(LdAParty,$A1156,LdAType,2,LdAKey,"&lt;"&amp;$G1156)+1)</f>
        <v/>
      </c>
      <c r="K1156">
        <f>IF($J1156="","",$A1156&amp;"|"&amp;RIGHT("000000"&amp;$J1156,6))</f>
        <v/>
      </c>
      <c r="L1156">
        <f>IF($A1156="","",IF(Wages!$G1159="",0,Wages!$G1159))</f>
        <v/>
      </c>
      <c r="M1156">
        <f>IF($A1156="","",Wages!$J1159)</f>
        <v/>
      </c>
      <c r="N1156">
        <f>IF($A1156="","",Wages!$D1159)</f>
        <v/>
      </c>
      <c r="P1156">
        <f>IF(OR(Shares!$B1159="",Shares!$C1159=""),"",Shares!$C1159)</f>
        <v/>
      </c>
      <c r="Q1156">
        <f>IF($P1156="","",Shares!$B1159)</f>
        <v/>
      </c>
      <c r="R1156">
        <f>IF($P1156="","",IFERROR(INDEX(WageParty,MATCH($Q1156,WageIds,0)),""))</f>
        <v/>
      </c>
      <c r="S1156">
        <f>IF($P1156="","",IFERROR(INDEX($F$6:$F$2005,MATCH($Q1156,WageIds,0)),""))</f>
        <v/>
      </c>
      <c r="T1156">
        <f>IF(OR($P1156="",$S1156="",$S1156="نامعتبر"),"",LEFT($S1156,4)&amp;MID($S1156,6,2)&amp;RIGHT($S1156,2)&amp;"0000"&amp;"|"&amp;"2"&amp;RIGHT("00000"&amp;1151,5))</f>
        <v/>
      </c>
      <c r="U1156">
        <f>IF($T1156="","",COUNTIFS(LdAParty,$P1156,LdAType,1,LdAKey,"&lt;"&amp;$T1156)+COUNTIFS(LdBMember,$P1156,LdBKey,"&lt;"&amp;$T1156)+COUNTIFS(LdCParty,$P1156,LdCKey,"&lt;"&amp;$T1156)+1)</f>
        <v/>
      </c>
      <c r="V1156">
        <f>IF($U1156="","",$P1156&amp;"|"&amp;RIGHT("000000"&amp;$U1156,6))</f>
        <v/>
      </c>
      <c r="W1156">
        <f>IF($T1156="","",COUNTIFS(LdBGroup,$R1156,LdBKey,"&lt;"&amp;$T1156)+1)</f>
        <v/>
      </c>
      <c r="X1156">
        <f>IF($W1156="","",$R1156&amp;"|"&amp;RIGHT("000000"&amp;$W1156,6))</f>
        <v/>
      </c>
      <c r="Y1156">
        <f>IF($P1156="","",IF(Shares!$E1159="",0,Shares!$E1159))</f>
        <v/>
      </c>
      <c r="Z1156">
        <f>IF($P1156="","",Shares!$H1159)</f>
        <v/>
      </c>
      <c r="AE1156">
        <f>IF(OR(Sync!$S1156="",Sync!$P1156=""),"",Sync!$S1156)</f>
        <v/>
      </c>
      <c r="AF1156">
        <f>IF($AE1156="","",IF(ISNUMBER(Sync!$P1156),IF(AND(Sync!$P1156&gt;=10000101,Sync!$P1156&lt;=99991231),INT(Sync!$P1156/10000),""),IFERROR(VALUE(TRIM(LEFT(Sync!$P1156,FIND("/",Sync!$P1156)-1))),"")))</f>
        <v/>
      </c>
      <c r="AG1156">
        <f>IF(OR($AE1156="",$AF1156=""),"",IF(ISNUMBER(Sync!$P1156),INT(MOD(Sync!$P1156,10000)/100),IFERROR(VALUE(TRIM(LEFT(MID(Sync!$P1156,FIND("/",Sync!$P1156)+1,20),FIND("/",MID(Sync!$P1156,FIND("/",Sync!$P1156)+1,20))-1))),"")))</f>
        <v/>
      </c>
      <c r="AH1156">
        <f>IF(OR($AE1156="",$AF1156=""),"",IF(ISNUMBER(Sync!$P1156),MOD(Sync!$P1156,100),IFERROR(VALUE(TRIM(MID(MID(Sync!$P1156,FIND("/",Sync!$P1156)+1,20),FIND("/",MID(Sync!$P1156,FIND("/",Sync!$P1156)+1,20))+1,20))),"")))</f>
        <v/>
      </c>
      <c r="AI1156">
        <f>IF($AE1156="","",IF(OR($AF1156="",$AG1156="",$AH1156="",$AF1156&lt;1300,$AF1156&gt;1500,$AG1156&lt;1,$AG1156&gt;12,$AH1156&lt;1,$AH1156&gt;31),"نامعتبر",RIGHT("0000"&amp;$AF1156,4)&amp;"/"&amp;RIGHT("00"&amp;$AG1156,2)&amp;"/"&amp;RIGHT("00"&amp;$AH1156,2)))</f>
        <v/>
      </c>
      <c r="AJ1156">
        <f>IF($AE1156="","",IF(Sync!$Q1156="","0000",IF(AND(ISNUMBER(Sync!$Q1156),Sync!$Q1156&gt;=0,Sync!$Q1156&lt;1),RIGHT("00"&amp;HOUR(Sync!$Q1156),2)&amp;RIGHT("00"&amp;MINUTE(Sync!$Q1156),2),IFERROR(RIGHT("00"&amp;VALUE(LEFT(Sync!$Q1156,FIND(":",Sync!$Q1156)-1)),2)&amp;RIGHT("00"&amp;VALUE(MID(Sync!$Q1156,FIND(":",Sync!$Q1156)+1,2)),2),"0000"))))</f>
        <v/>
      </c>
      <c r="AK1156">
        <f>IF(OR($AE1156="",$AI1156="",$AI1156="نامعتبر"),"",LEFT($AI1156,4)&amp;MID($AI1156,6,2)&amp;RIGHT($AI1156,2)&amp;$AJ1156&amp;"|"&amp;"3"&amp;RIGHT("00000"&amp;1151,5))</f>
        <v/>
      </c>
      <c r="AL1156">
        <f>IF($AK1156="","",COUNTIFS(LdAParty,$AE1156,LdAType,1,LdAKey,"&lt;"&amp;$AK1156)+COUNTIFS(LdBMember,$AE1156,LdBKey,"&lt;"&amp;$AK1156)+COUNTIFS(LdCParty,$AE1156,LdCKey,"&lt;"&amp;$AK1156)+1)</f>
        <v/>
      </c>
      <c r="AM1156">
        <f>IF($AL1156="","",$AE1156&amp;"|"&amp;RIGHT("000000"&amp;$AL1156,6))</f>
        <v/>
      </c>
      <c r="AN1156">
        <f>IF($AE1156="","",IF(Sync!$W1156="",0,Sync!$W1156))</f>
        <v/>
      </c>
      <c r="AO1156">
        <f>IF($AE1156="","",IF(Sync!$X1156="",0,Sync!$X1156))</f>
        <v/>
      </c>
      <c r="AP1156">
        <f>IF($AE1156="","",Sync!$R1156)</f>
        <v/>
      </c>
      <c r="AQ1156">
        <f>IF($AE1156="","",Sync!$Y1156)</f>
        <v/>
      </c>
    </row>
    <row r="1157">
      <c r="A1157">
        <f>IF(OR(Wages!$B1160="",Wages!$E1160=""),"",Wages!$E1160)</f>
        <v/>
      </c>
      <c r="B1157">
        <f>IF($A1157="","",IF(Wages!$C1160="دستمزد گروهی",2,1))</f>
        <v/>
      </c>
      <c r="C1157">
        <f>IF($A1157="","",IF(ISNUMBER(Wages!$B1160),IF(AND(Wages!$B1160&gt;=10000101,Wages!$B1160&lt;=99991231),INT(Wages!$B1160/10000),""),IFERROR(VALUE(TRIM(LEFT(Wages!$B1160,FIND("/",Wages!$B1160)-1))),"")))</f>
        <v/>
      </c>
      <c r="D1157">
        <f>IF(OR($A1157="",$C1157=""),"",IF(ISNUMBER(Wages!$B1160),INT(MOD(Wages!$B1160,10000)/100),IFERROR(VALUE(TRIM(LEFT(MID(Wages!$B1160,FIND("/",Wages!$B1160)+1,20),FIND("/",MID(Wages!$B1160,FIND("/",Wages!$B1160)+1,20))-1))),"")))</f>
        <v/>
      </c>
      <c r="E1157">
        <f>IF(OR($A1157="",$C1157=""),"",IF(ISNUMBER(Wages!$B1160),MOD(Wages!$B1160,100),IFERROR(VALUE(TRIM(MID(MID(Wages!$B1160,FIND("/",Wages!$B1160)+1,20),FIND("/",MID(Wages!$B1160,FIND("/",Wages!$B1160)+1,20))+1,20))),"")))</f>
        <v/>
      </c>
      <c r="F1157">
        <f>IF($A1157="","",IF(OR($C1157="",$D1157="",$E1157="",$C1157&lt;1300,$C1157&gt;1500,$D1157&lt;1,$D1157&gt;12,$E1157&lt;1,$E1157&gt;31),"نامعتبر",RIGHT("0000"&amp;$C1157,4)&amp;"/"&amp;RIGHT("00"&amp;$D1157,2)&amp;"/"&amp;RIGHT("00"&amp;$E1157,2)))</f>
        <v/>
      </c>
      <c r="G1157">
        <f>IF(OR($A1157="",$F1157="",$F1157="نامعتبر"),"",LEFT($F1157,4)&amp;MID($F1157,6,2)&amp;RIGHT($F1157,2)&amp;"0000"&amp;"|"&amp;"1"&amp;RIGHT("00000"&amp;1152,5))</f>
        <v/>
      </c>
      <c r="H1157">
        <f>IF(OR($B1157&lt;&gt;1,$G1157=""),"",COUNTIFS(LdAParty,$A1157,LdAType,1,LdAKey,"&lt;"&amp;$G1157)+COUNTIFS(LdBMember,$A1157,LdBKey,"&lt;"&amp;$G1157)+COUNTIFS(LdCParty,$A1157,LdCKey,"&lt;"&amp;$G1157)+1)</f>
        <v/>
      </c>
      <c r="I1157">
        <f>IF($H1157="","",$A1157&amp;"|"&amp;RIGHT("000000"&amp;$H1157,6))</f>
        <v/>
      </c>
      <c r="J1157">
        <f>IF(OR($B1157&lt;&gt;2,$G1157=""),"",COUNTIFS(LdAParty,$A1157,LdAType,2,LdAKey,"&lt;"&amp;$G1157)+1)</f>
        <v/>
      </c>
      <c r="K1157">
        <f>IF($J1157="","",$A1157&amp;"|"&amp;RIGHT("000000"&amp;$J1157,6))</f>
        <v/>
      </c>
      <c r="L1157">
        <f>IF($A1157="","",IF(Wages!$G1160="",0,Wages!$G1160))</f>
        <v/>
      </c>
      <c r="M1157">
        <f>IF($A1157="","",Wages!$J1160)</f>
        <v/>
      </c>
      <c r="N1157">
        <f>IF($A1157="","",Wages!$D1160)</f>
        <v/>
      </c>
      <c r="P1157">
        <f>IF(OR(Shares!$B1160="",Shares!$C1160=""),"",Shares!$C1160)</f>
        <v/>
      </c>
      <c r="Q1157">
        <f>IF($P1157="","",Shares!$B1160)</f>
        <v/>
      </c>
      <c r="R1157">
        <f>IF($P1157="","",IFERROR(INDEX(WageParty,MATCH($Q1157,WageIds,0)),""))</f>
        <v/>
      </c>
      <c r="S1157">
        <f>IF($P1157="","",IFERROR(INDEX($F$6:$F$2005,MATCH($Q1157,WageIds,0)),""))</f>
        <v/>
      </c>
      <c r="T1157">
        <f>IF(OR($P1157="",$S1157="",$S1157="نامعتبر"),"",LEFT($S1157,4)&amp;MID($S1157,6,2)&amp;RIGHT($S1157,2)&amp;"0000"&amp;"|"&amp;"2"&amp;RIGHT("00000"&amp;1152,5))</f>
        <v/>
      </c>
      <c r="U1157">
        <f>IF($T1157="","",COUNTIFS(LdAParty,$P1157,LdAType,1,LdAKey,"&lt;"&amp;$T1157)+COUNTIFS(LdBMember,$P1157,LdBKey,"&lt;"&amp;$T1157)+COUNTIFS(LdCParty,$P1157,LdCKey,"&lt;"&amp;$T1157)+1)</f>
        <v/>
      </c>
      <c r="V1157">
        <f>IF($U1157="","",$P1157&amp;"|"&amp;RIGHT("000000"&amp;$U1157,6))</f>
        <v/>
      </c>
      <c r="W1157">
        <f>IF($T1157="","",COUNTIFS(LdBGroup,$R1157,LdBKey,"&lt;"&amp;$T1157)+1)</f>
        <v/>
      </c>
      <c r="X1157">
        <f>IF($W1157="","",$R1157&amp;"|"&amp;RIGHT("000000"&amp;$W1157,6))</f>
        <v/>
      </c>
      <c r="Y1157">
        <f>IF($P1157="","",IF(Shares!$E1160="",0,Shares!$E1160))</f>
        <v/>
      </c>
      <c r="Z1157">
        <f>IF($P1157="","",Shares!$H1160)</f>
        <v/>
      </c>
      <c r="AE1157">
        <f>IF(OR(Sync!$S1157="",Sync!$P1157=""),"",Sync!$S1157)</f>
        <v/>
      </c>
      <c r="AF1157">
        <f>IF($AE1157="","",IF(ISNUMBER(Sync!$P1157),IF(AND(Sync!$P1157&gt;=10000101,Sync!$P1157&lt;=99991231),INT(Sync!$P1157/10000),""),IFERROR(VALUE(TRIM(LEFT(Sync!$P1157,FIND("/",Sync!$P1157)-1))),"")))</f>
        <v/>
      </c>
      <c r="AG1157">
        <f>IF(OR($AE1157="",$AF1157=""),"",IF(ISNUMBER(Sync!$P1157),INT(MOD(Sync!$P1157,10000)/100),IFERROR(VALUE(TRIM(LEFT(MID(Sync!$P1157,FIND("/",Sync!$P1157)+1,20),FIND("/",MID(Sync!$P1157,FIND("/",Sync!$P1157)+1,20))-1))),"")))</f>
        <v/>
      </c>
      <c r="AH1157">
        <f>IF(OR($AE1157="",$AF1157=""),"",IF(ISNUMBER(Sync!$P1157),MOD(Sync!$P1157,100),IFERROR(VALUE(TRIM(MID(MID(Sync!$P1157,FIND("/",Sync!$P1157)+1,20),FIND("/",MID(Sync!$P1157,FIND("/",Sync!$P1157)+1,20))+1,20))),"")))</f>
        <v/>
      </c>
      <c r="AI1157">
        <f>IF($AE1157="","",IF(OR($AF1157="",$AG1157="",$AH1157="",$AF1157&lt;1300,$AF1157&gt;1500,$AG1157&lt;1,$AG1157&gt;12,$AH1157&lt;1,$AH1157&gt;31),"نامعتبر",RIGHT("0000"&amp;$AF1157,4)&amp;"/"&amp;RIGHT("00"&amp;$AG1157,2)&amp;"/"&amp;RIGHT("00"&amp;$AH1157,2)))</f>
        <v/>
      </c>
      <c r="AJ1157">
        <f>IF($AE1157="","",IF(Sync!$Q1157="","0000",IF(AND(ISNUMBER(Sync!$Q1157),Sync!$Q1157&gt;=0,Sync!$Q1157&lt;1),RIGHT("00"&amp;HOUR(Sync!$Q1157),2)&amp;RIGHT("00"&amp;MINUTE(Sync!$Q1157),2),IFERROR(RIGHT("00"&amp;VALUE(LEFT(Sync!$Q1157,FIND(":",Sync!$Q1157)-1)),2)&amp;RIGHT("00"&amp;VALUE(MID(Sync!$Q1157,FIND(":",Sync!$Q1157)+1,2)),2),"0000"))))</f>
        <v/>
      </c>
      <c r="AK1157">
        <f>IF(OR($AE1157="",$AI1157="",$AI1157="نامعتبر"),"",LEFT($AI1157,4)&amp;MID($AI1157,6,2)&amp;RIGHT($AI1157,2)&amp;$AJ1157&amp;"|"&amp;"3"&amp;RIGHT("00000"&amp;1152,5))</f>
        <v/>
      </c>
      <c r="AL1157">
        <f>IF($AK1157="","",COUNTIFS(LdAParty,$AE1157,LdAType,1,LdAKey,"&lt;"&amp;$AK1157)+COUNTIFS(LdBMember,$AE1157,LdBKey,"&lt;"&amp;$AK1157)+COUNTIFS(LdCParty,$AE1157,LdCKey,"&lt;"&amp;$AK1157)+1)</f>
        <v/>
      </c>
      <c r="AM1157">
        <f>IF($AL1157="","",$AE1157&amp;"|"&amp;RIGHT("000000"&amp;$AL1157,6))</f>
        <v/>
      </c>
      <c r="AN1157">
        <f>IF($AE1157="","",IF(Sync!$W1157="",0,Sync!$W1157))</f>
        <v/>
      </c>
      <c r="AO1157">
        <f>IF($AE1157="","",IF(Sync!$X1157="",0,Sync!$X1157))</f>
        <v/>
      </c>
      <c r="AP1157">
        <f>IF($AE1157="","",Sync!$R1157)</f>
        <v/>
      </c>
      <c r="AQ1157">
        <f>IF($AE1157="","",Sync!$Y1157)</f>
        <v/>
      </c>
    </row>
    <row r="1158">
      <c r="A1158">
        <f>IF(OR(Wages!$B1161="",Wages!$E1161=""),"",Wages!$E1161)</f>
        <v/>
      </c>
      <c r="B1158">
        <f>IF($A1158="","",IF(Wages!$C1161="دستمزد گروهی",2,1))</f>
        <v/>
      </c>
      <c r="C1158">
        <f>IF($A1158="","",IF(ISNUMBER(Wages!$B1161),IF(AND(Wages!$B1161&gt;=10000101,Wages!$B1161&lt;=99991231),INT(Wages!$B1161/10000),""),IFERROR(VALUE(TRIM(LEFT(Wages!$B1161,FIND("/",Wages!$B1161)-1))),"")))</f>
        <v/>
      </c>
      <c r="D1158">
        <f>IF(OR($A1158="",$C1158=""),"",IF(ISNUMBER(Wages!$B1161),INT(MOD(Wages!$B1161,10000)/100),IFERROR(VALUE(TRIM(LEFT(MID(Wages!$B1161,FIND("/",Wages!$B1161)+1,20),FIND("/",MID(Wages!$B1161,FIND("/",Wages!$B1161)+1,20))-1))),"")))</f>
        <v/>
      </c>
      <c r="E1158">
        <f>IF(OR($A1158="",$C1158=""),"",IF(ISNUMBER(Wages!$B1161),MOD(Wages!$B1161,100),IFERROR(VALUE(TRIM(MID(MID(Wages!$B1161,FIND("/",Wages!$B1161)+1,20),FIND("/",MID(Wages!$B1161,FIND("/",Wages!$B1161)+1,20))+1,20))),"")))</f>
        <v/>
      </c>
      <c r="F1158">
        <f>IF($A1158="","",IF(OR($C1158="",$D1158="",$E1158="",$C1158&lt;1300,$C1158&gt;1500,$D1158&lt;1,$D1158&gt;12,$E1158&lt;1,$E1158&gt;31),"نامعتبر",RIGHT("0000"&amp;$C1158,4)&amp;"/"&amp;RIGHT("00"&amp;$D1158,2)&amp;"/"&amp;RIGHT("00"&amp;$E1158,2)))</f>
        <v/>
      </c>
      <c r="G1158">
        <f>IF(OR($A1158="",$F1158="",$F1158="نامعتبر"),"",LEFT($F1158,4)&amp;MID($F1158,6,2)&amp;RIGHT($F1158,2)&amp;"0000"&amp;"|"&amp;"1"&amp;RIGHT("00000"&amp;1153,5))</f>
        <v/>
      </c>
      <c r="H1158">
        <f>IF(OR($B1158&lt;&gt;1,$G1158=""),"",COUNTIFS(LdAParty,$A1158,LdAType,1,LdAKey,"&lt;"&amp;$G1158)+COUNTIFS(LdBMember,$A1158,LdBKey,"&lt;"&amp;$G1158)+COUNTIFS(LdCParty,$A1158,LdCKey,"&lt;"&amp;$G1158)+1)</f>
        <v/>
      </c>
      <c r="I1158">
        <f>IF($H1158="","",$A1158&amp;"|"&amp;RIGHT("000000"&amp;$H1158,6))</f>
        <v/>
      </c>
      <c r="J1158">
        <f>IF(OR($B1158&lt;&gt;2,$G1158=""),"",COUNTIFS(LdAParty,$A1158,LdAType,2,LdAKey,"&lt;"&amp;$G1158)+1)</f>
        <v/>
      </c>
      <c r="K1158">
        <f>IF($J1158="","",$A1158&amp;"|"&amp;RIGHT("000000"&amp;$J1158,6))</f>
        <v/>
      </c>
      <c r="L1158">
        <f>IF($A1158="","",IF(Wages!$G1161="",0,Wages!$G1161))</f>
        <v/>
      </c>
      <c r="M1158">
        <f>IF($A1158="","",Wages!$J1161)</f>
        <v/>
      </c>
      <c r="N1158">
        <f>IF($A1158="","",Wages!$D1161)</f>
        <v/>
      </c>
      <c r="P1158">
        <f>IF(OR(Shares!$B1161="",Shares!$C1161=""),"",Shares!$C1161)</f>
        <v/>
      </c>
      <c r="Q1158">
        <f>IF($P1158="","",Shares!$B1161)</f>
        <v/>
      </c>
      <c r="R1158">
        <f>IF($P1158="","",IFERROR(INDEX(WageParty,MATCH($Q1158,WageIds,0)),""))</f>
        <v/>
      </c>
      <c r="S1158">
        <f>IF($P1158="","",IFERROR(INDEX($F$6:$F$2005,MATCH($Q1158,WageIds,0)),""))</f>
        <v/>
      </c>
      <c r="T1158">
        <f>IF(OR($P1158="",$S1158="",$S1158="نامعتبر"),"",LEFT($S1158,4)&amp;MID($S1158,6,2)&amp;RIGHT($S1158,2)&amp;"0000"&amp;"|"&amp;"2"&amp;RIGHT("00000"&amp;1153,5))</f>
        <v/>
      </c>
      <c r="U1158">
        <f>IF($T1158="","",COUNTIFS(LdAParty,$P1158,LdAType,1,LdAKey,"&lt;"&amp;$T1158)+COUNTIFS(LdBMember,$P1158,LdBKey,"&lt;"&amp;$T1158)+COUNTIFS(LdCParty,$P1158,LdCKey,"&lt;"&amp;$T1158)+1)</f>
        <v/>
      </c>
      <c r="V1158">
        <f>IF($U1158="","",$P1158&amp;"|"&amp;RIGHT("000000"&amp;$U1158,6))</f>
        <v/>
      </c>
      <c r="W1158">
        <f>IF($T1158="","",COUNTIFS(LdBGroup,$R1158,LdBKey,"&lt;"&amp;$T1158)+1)</f>
        <v/>
      </c>
      <c r="X1158">
        <f>IF($W1158="","",$R1158&amp;"|"&amp;RIGHT("000000"&amp;$W1158,6))</f>
        <v/>
      </c>
      <c r="Y1158">
        <f>IF($P1158="","",IF(Shares!$E1161="",0,Shares!$E1161))</f>
        <v/>
      </c>
      <c r="Z1158">
        <f>IF($P1158="","",Shares!$H1161)</f>
        <v/>
      </c>
      <c r="AE1158">
        <f>IF(OR(Sync!$S1158="",Sync!$P1158=""),"",Sync!$S1158)</f>
        <v/>
      </c>
      <c r="AF1158">
        <f>IF($AE1158="","",IF(ISNUMBER(Sync!$P1158),IF(AND(Sync!$P1158&gt;=10000101,Sync!$P1158&lt;=99991231),INT(Sync!$P1158/10000),""),IFERROR(VALUE(TRIM(LEFT(Sync!$P1158,FIND("/",Sync!$P1158)-1))),"")))</f>
        <v/>
      </c>
      <c r="AG1158">
        <f>IF(OR($AE1158="",$AF1158=""),"",IF(ISNUMBER(Sync!$P1158),INT(MOD(Sync!$P1158,10000)/100),IFERROR(VALUE(TRIM(LEFT(MID(Sync!$P1158,FIND("/",Sync!$P1158)+1,20),FIND("/",MID(Sync!$P1158,FIND("/",Sync!$P1158)+1,20))-1))),"")))</f>
        <v/>
      </c>
      <c r="AH1158">
        <f>IF(OR($AE1158="",$AF1158=""),"",IF(ISNUMBER(Sync!$P1158),MOD(Sync!$P1158,100),IFERROR(VALUE(TRIM(MID(MID(Sync!$P1158,FIND("/",Sync!$P1158)+1,20),FIND("/",MID(Sync!$P1158,FIND("/",Sync!$P1158)+1,20))+1,20))),"")))</f>
        <v/>
      </c>
      <c r="AI1158">
        <f>IF($AE1158="","",IF(OR($AF1158="",$AG1158="",$AH1158="",$AF1158&lt;1300,$AF1158&gt;1500,$AG1158&lt;1,$AG1158&gt;12,$AH1158&lt;1,$AH1158&gt;31),"نامعتبر",RIGHT("0000"&amp;$AF1158,4)&amp;"/"&amp;RIGHT("00"&amp;$AG1158,2)&amp;"/"&amp;RIGHT("00"&amp;$AH1158,2)))</f>
        <v/>
      </c>
      <c r="AJ1158">
        <f>IF($AE1158="","",IF(Sync!$Q1158="","0000",IF(AND(ISNUMBER(Sync!$Q1158),Sync!$Q1158&gt;=0,Sync!$Q1158&lt;1),RIGHT("00"&amp;HOUR(Sync!$Q1158),2)&amp;RIGHT("00"&amp;MINUTE(Sync!$Q1158),2),IFERROR(RIGHT("00"&amp;VALUE(LEFT(Sync!$Q1158,FIND(":",Sync!$Q1158)-1)),2)&amp;RIGHT("00"&amp;VALUE(MID(Sync!$Q1158,FIND(":",Sync!$Q1158)+1,2)),2),"0000"))))</f>
        <v/>
      </c>
      <c r="AK1158">
        <f>IF(OR($AE1158="",$AI1158="",$AI1158="نامعتبر"),"",LEFT($AI1158,4)&amp;MID($AI1158,6,2)&amp;RIGHT($AI1158,2)&amp;$AJ1158&amp;"|"&amp;"3"&amp;RIGHT("00000"&amp;1153,5))</f>
        <v/>
      </c>
      <c r="AL1158">
        <f>IF($AK1158="","",COUNTIFS(LdAParty,$AE1158,LdAType,1,LdAKey,"&lt;"&amp;$AK1158)+COUNTIFS(LdBMember,$AE1158,LdBKey,"&lt;"&amp;$AK1158)+COUNTIFS(LdCParty,$AE1158,LdCKey,"&lt;"&amp;$AK1158)+1)</f>
        <v/>
      </c>
      <c r="AM1158">
        <f>IF($AL1158="","",$AE1158&amp;"|"&amp;RIGHT("000000"&amp;$AL1158,6))</f>
        <v/>
      </c>
      <c r="AN1158">
        <f>IF($AE1158="","",IF(Sync!$W1158="",0,Sync!$W1158))</f>
        <v/>
      </c>
      <c r="AO1158">
        <f>IF($AE1158="","",IF(Sync!$X1158="",0,Sync!$X1158))</f>
        <v/>
      </c>
      <c r="AP1158">
        <f>IF($AE1158="","",Sync!$R1158)</f>
        <v/>
      </c>
      <c r="AQ1158">
        <f>IF($AE1158="","",Sync!$Y1158)</f>
        <v/>
      </c>
    </row>
    <row r="1159">
      <c r="A1159">
        <f>IF(OR(Wages!$B1162="",Wages!$E1162=""),"",Wages!$E1162)</f>
        <v/>
      </c>
      <c r="B1159">
        <f>IF($A1159="","",IF(Wages!$C1162="دستمزد گروهی",2,1))</f>
        <v/>
      </c>
      <c r="C1159">
        <f>IF($A1159="","",IF(ISNUMBER(Wages!$B1162),IF(AND(Wages!$B1162&gt;=10000101,Wages!$B1162&lt;=99991231),INT(Wages!$B1162/10000),""),IFERROR(VALUE(TRIM(LEFT(Wages!$B1162,FIND("/",Wages!$B1162)-1))),"")))</f>
        <v/>
      </c>
      <c r="D1159">
        <f>IF(OR($A1159="",$C1159=""),"",IF(ISNUMBER(Wages!$B1162),INT(MOD(Wages!$B1162,10000)/100),IFERROR(VALUE(TRIM(LEFT(MID(Wages!$B1162,FIND("/",Wages!$B1162)+1,20),FIND("/",MID(Wages!$B1162,FIND("/",Wages!$B1162)+1,20))-1))),"")))</f>
        <v/>
      </c>
      <c r="E1159">
        <f>IF(OR($A1159="",$C1159=""),"",IF(ISNUMBER(Wages!$B1162),MOD(Wages!$B1162,100),IFERROR(VALUE(TRIM(MID(MID(Wages!$B1162,FIND("/",Wages!$B1162)+1,20),FIND("/",MID(Wages!$B1162,FIND("/",Wages!$B1162)+1,20))+1,20))),"")))</f>
        <v/>
      </c>
      <c r="F1159">
        <f>IF($A1159="","",IF(OR($C1159="",$D1159="",$E1159="",$C1159&lt;1300,$C1159&gt;1500,$D1159&lt;1,$D1159&gt;12,$E1159&lt;1,$E1159&gt;31),"نامعتبر",RIGHT("0000"&amp;$C1159,4)&amp;"/"&amp;RIGHT("00"&amp;$D1159,2)&amp;"/"&amp;RIGHT("00"&amp;$E1159,2)))</f>
        <v/>
      </c>
      <c r="G1159">
        <f>IF(OR($A1159="",$F1159="",$F1159="نامعتبر"),"",LEFT($F1159,4)&amp;MID($F1159,6,2)&amp;RIGHT($F1159,2)&amp;"0000"&amp;"|"&amp;"1"&amp;RIGHT("00000"&amp;1154,5))</f>
        <v/>
      </c>
      <c r="H1159">
        <f>IF(OR($B1159&lt;&gt;1,$G1159=""),"",COUNTIFS(LdAParty,$A1159,LdAType,1,LdAKey,"&lt;"&amp;$G1159)+COUNTIFS(LdBMember,$A1159,LdBKey,"&lt;"&amp;$G1159)+COUNTIFS(LdCParty,$A1159,LdCKey,"&lt;"&amp;$G1159)+1)</f>
        <v/>
      </c>
      <c r="I1159">
        <f>IF($H1159="","",$A1159&amp;"|"&amp;RIGHT("000000"&amp;$H1159,6))</f>
        <v/>
      </c>
      <c r="J1159">
        <f>IF(OR($B1159&lt;&gt;2,$G1159=""),"",COUNTIFS(LdAParty,$A1159,LdAType,2,LdAKey,"&lt;"&amp;$G1159)+1)</f>
        <v/>
      </c>
      <c r="K1159">
        <f>IF($J1159="","",$A1159&amp;"|"&amp;RIGHT("000000"&amp;$J1159,6))</f>
        <v/>
      </c>
      <c r="L1159">
        <f>IF($A1159="","",IF(Wages!$G1162="",0,Wages!$G1162))</f>
        <v/>
      </c>
      <c r="M1159">
        <f>IF($A1159="","",Wages!$J1162)</f>
        <v/>
      </c>
      <c r="N1159">
        <f>IF($A1159="","",Wages!$D1162)</f>
        <v/>
      </c>
      <c r="P1159">
        <f>IF(OR(Shares!$B1162="",Shares!$C1162=""),"",Shares!$C1162)</f>
        <v/>
      </c>
      <c r="Q1159">
        <f>IF($P1159="","",Shares!$B1162)</f>
        <v/>
      </c>
      <c r="R1159">
        <f>IF($P1159="","",IFERROR(INDEX(WageParty,MATCH($Q1159,WageIds,0)),""))</f>
        <v/>
      </c>
      <c r="S1159">
        <f>IF($P1159="","",IFERROR(INDEX($F$6:$F$2005,MATCH($Q1159,WageIds,0)),""))</f>
        <v/>
      </c>
      <c r="T1159">
        <f>IF(OR($P1159="",$S1159="",$S1159="نامعتبر"),"",LEFT($S1159,4)&amp;MID($S1159,6,2)&amp;RIGHT($S1159,2)&amp;"0000"&amp;"|"&amp;"2"&amp;RIGHT("00000"&amp;1154,5))</f>
        <v/>
      </c>
      <c r="U1159">
        <f>IF($T1159="","",COUNTIFS(LdAParty,$P1159,LdAType,1,LdAKey,"&lt;"&amp;$T1159)+COUNTIFS(LdBMember,$P1159,LdBKey,"&lt;"&amp;$T1159)+COUNTIFS(LdCParty,$P1159,LdCKey,"&lt;"&amp;$T1159)+1)</f>
        <v/>
      </c>
      <c r="V1159">
        <f>IF($U1159="","",$P1159&amp;"|"&amp;RIGHT("000000"&amp;$U1159,6))</f>
        <v/>
      </c>
      <c r="W1159">
        <f>IF($T1159="","",COUNTIFS(LdBGroup,$R1159,LdBKey,"&lt;"&amp;$T1159)+1)</f>
        <v/>
      </c>
      <c r="X1159">
        <f>IF($W1159="","",$R1159&amp;"|"&amp;RIGHT("000000"&amp;$W1159,6))</f>
        <v/>
      </c>
      <c r="Y1159">
        <f>IF($P1159="","",IF(Shares!$E1162="",0,Shares!$E1162))</f>
        <v/>
      </c>
      <c r="Z1159">
        <f>IF($P1159="","",Shares!$H1162)</f>
        <v/>
      </c>
      <c r="AE1159">
        <f>IF(OR(Sync!$S1159="",Sync!$P1159=""),"",Sync!$S1159)</f>
        <v/>
      </c>
      <c r="AF1159">
        <f>IF($AE1159="","",IF(ISNUMBER(Sync!$P1159),IF(AND(Sync!$P1159&gt;=10000101,Sync!$P1159&lt;=99991231),INT(Sync!$P1159/10000),""),IFERROR(VALUE(TRIM(LEFT(Sync!$P1159,FIND("/",Sync!$P1159)-1))),"")))</f>
        <v/>
      </c>
      <c r="AG1159">
        <f>IF(OR($AE1159="",$AF1159=""),"",IF(ISNUMBER(Sync!$P1159),INT(MOD(Sync!$P1159,10000)/100),IFERROR(VALUE(TRIM(LEFT(MID(Sync!$P1159,FIND("/",Sync!$P1159)+1,20),FIND("/",MID(Sync!$P1159,FIND("/",Sync!$P1159)+1,20))-1))),"")))</f>
        <v/>
      </c>
      <c r="AH1159">
        <f>IF(OR($AE1159="",$AF1159=""),"",IF(ISNUMBER(Sync!$P1159),MOD(Sync!$P1159,100),IFERROR(VALUE(TRIM(MID(MID(Sync!$P1159,FIND("/",Sync!$P1159)+1,20),FIND("/",MID(Sync!$P1159,FIND("/",Sync!$P1159)+1,20))+1,20))),"")))</f>
        <v/>
      </c>
      <c r="AI1159">
        <f>IF($AE1159="","",IF(OR($AF1159="",$AG1159="",$AH1159="",$AF1159&lt;1300,$AF1159&gt;1500,$AG1159&lt;1,$AG1159&gt;12,$AH1159&lt;1,$AH1159&gt;31),"نامعتبر",RIGHT("0000"&amp;$AF1159,4)&amp;"/"&amp;RIGHT("00"&amp;$AG1159,2)&amp;"/"&amp;RIGHT("00"&amp;$AH1159,2)))</f>
        <v/>
      </c>
      <c r="AJ1159">
        <f>IF($AE1159="","",IF(Sync!$Q1159="","0000",IF(AND(ISNUMBER(Sync!$Q1159),Sync!$Q1159&gt;=0,Sync!$Q1159&lt;1),RIGHT("00"&amp;HOUR(Sync!$Q1159),2)&amp;RIGHT("00"&amp;MINUTE(Sync!$Q1159),2),IFERROR(RIGHT("00"&amp;VALUE(LEFT(Sync!$Q1159,FIND(":",Sync!$Q1159)-1)),2)&amp;RIGHT("00"&amp;VALUE(MID(Sync!$Q1159,FIND(":",Sync!$Q1159)+1,2)),2),"0000"))))</f>
        <v/>
      </c>
      <c r="AK1159">
        <f>IF(OR($AE1159="",$AI1159="",$AI1159="نامعتبر"),"",LEFT($AI1159,4)&amp;MID($AI1159,6,2)&amp;RIGHT($AI1159,2)&amp;$AJ1159&amp;"|"&amp;"3"&amp;RIGHT("00000"&amp;1154,5))</f>
        <v/>
      </c>
      <c r="AL1159">
        <f>IF($AK1159="","",COUNTIFS(LdAParty,$AE1159,LdAType,1,LdAKey,"&lt;"&amp;$AK1159)+COUNTIFS(LdBMember,$AE1159,LdBKey,"&lt;"&amp;$AK1159)+COUNTIFS(LdCParty,$AE1159,LdCKey,"&lt;"&amp;$AK1159)+1)</f>
        <v/>
      </c>
      <c r="AM1159">
        <f>IF($AL1159="","",$AE1159&amp;"|"&amp;RIGHT("000000"&amp;$AL1159,6))</f>
        <v/>
      </c>
      <c r="AN1159">
        <f>IF($AE1159="","",IF(Sync!$W1159="",0,Sync!$W1159))</f>
        <v/>
      </c>
      <c r="AO1159">
        <f>IF($AE1159="","",IF(Sync!$X1159="",0,Sync!$X1159))</f>
        <v/>
      </c>
      <c r="AP1159">
        <f>IF($AE1159="","",Sync!$R1159)</f>
        <v/>
      </c>
      <c r="AQ1159">
        <f>IF($AE1159="","",Sync!$Y1159)</f>
        <v/>
      </c>
    </row>
    <row r="1160">
      <c r="A1160">
        <f>IF(OR(Wages!$B1163="",Wages!$E1163=""),"",Wages!$E1163)</f>
        <v/>
      </c>
      <c r="B1160">
        <f>IF($A1160="","",IF(Wages!$C1163="دستمزد گروهی",2,1))</f>
        <v/>
      </c>
      <c r="C1160">
        <f>IF($A1160="","",IF(ISNUMBER(Wages!$B1163),IF(AND(Wages!$B1163&gt;=10000101,Wages!$B1163&lt;=99991231),INT(Wages!$B1163/10000),""),IFERROR(VALUE(TRIM(LEFT(Wages!$B1163,FIND("/",Wages!$B1163)-1))),"")))</f>
        <v/>
      </c>
      <c r="D1160">
        <f>IF(OR($A1160="",$C1160=""),"",IF(ISNUMBER(Wages!$B1163),INT(MOD(Wages!$B1163,10000)/100),IFERROR(VALUE(TRIM(LEFT(MID(Wages!$B1163,FIND("/",Wages!$B1163)+1,20),FIND("/",MID(Wages!$B1163,FIND("/",Wages!$B1163)+1,20))-1))),"")))</f>
        <v/>
      </c>
      <c r="E1160">
        <f>IF(OR($A1160="",$C1160=""),"",IF(ISNUMBER(Wages!$B1163),MOD(Wages!$B1163,100),IFERROR(VALUE(TRIM(MID(MID(Wages!$B1163,FIND("/",Wages!$B1163)+1,20),FIND("/",MID(Wages!$B1163,FIND("/",Wages!$B1163)+1,20))+1,20))),"")))</f>
        <v/>
      </c>
      <c r="F1160">
        <f>IF($A1160="","",IF(OR($C1160="",$D1160="",$E1160="",$C1160&lt;1300,$C1160&gt;1500,$D1160&lt;1,$D1160&gt;12,$E1160&lt;1,$E1160&gt;31),"نامعتبر",RIGHT("0000"&amp;$C1160,4)&amp;"/"&amp;RIGHT("00"&amp;$D1160,2)&amp;"/"&amp;RIGHT("00"&amp;$E1160,2)))</f>
        <v/>
      </c>
      <c r="G1160">
        <f>IF(OR($A1160="",$F1160="",$F1160="نامعتبر"),"",LEFT($F1160,4)&amp;MID($F1160,6,2)&amp;RIGHT($F1160,2)&amp;"0000"&amp;"|"&amp;"1"&amp;RIGHT("00000"&amp;1155,5))</f>
        <v/>
      </c>
      <c r="H1160">
        <f>IF(OR($B1160&lt;&gt;1,$G1160=""),"",COUNTIFS(LdAParty,$A1160,LdAType,1,LdAKey,"&lt;"&amp;$G1160)+COUNTIFS(LdBMember,$A1160,LdBKey,"&lt;"&amp;$G1160)+COUNTIFS(LdCParty,$A1160,LdCKey,"&lt;"&amp;$G1160)+1)</f>
        <v/>
      </c>
      <c r="I1160">
        <f>IF($H1160="","",$A1160&amp;"|"&amp;RIGHT("000000"&amp;$H1160,6))</f>
        <v/>
      </c>
      <c r="J1160">
        <f>IF(OR($B1160&lt;&gt;2,$G1160=""),"",COUNTIFS(LdAParty,$A1160,LdAType,2,LdAKey,"&lt;"&amp;$G1160)+1)</f>
        <v/>
      </c>
      <c r="K1160">
        <f>IF($J1160="","",$A1160&amp;"|"&amp;RIGHT("000000"&amp;$J1160,6))</f>
        <v/>
      </c>
      <c r="L1160">
        <f>IF($A1160="","",IF(Wages!$G1163="",0,Wages!$G1163))</f>
        <v/>
      </c>
      <c r="M1160">
        <f>IF($A1160="","",Wages!$J1163)</f>
        <v/>
      </c>
      <c r="N1160">
        <f>IF($A1160="","",Wages!$D1163)</f>
        <v/>
      </c>
      <c r="P1160">
        <f>IF(OR(Shares!$B1163="",Shares!$C1163=""),"",Shares!$C1163)</f>
        <v/>
      </c>
      <c r="Q1160">
        <f>IF($P1160="","",Shares!$B1163)</f>
        <v/>
      </c>
      <c r="R1160">
        <f>IF($P1160="","",IFERROR(INDEX(WageParty,MATCH($Q1160,WageIds,0)),""))</f>
        <v/>
      </c>
      <c r="S1160">
        <f>IF($P1160="","",IFERROR(INDEX($F$6:$F$2005,MATCH($Q1160,WageIds,0)),""))</f>
        <v/>
      </c>
      <c r="T1160">
        <f>IF(OR($P1160="",$S1160="",$S1160="نامعتبر"),"",LEFT($S1160,4)&amp;MID($S1160,6,2)&amp;RIGHT($S1160,2)&amp;"0000"&amp;"|"&amp;"2"&amp;RIGHT("00000"&amp;1155,5))</f>
        <v/>
      </c>
      <c r="U1160">
        <f>IF($T1160="","",COUNTIFS(LdAParty,$P1160,LdAType,1,LdAKey,"&lt;"&amp;$T1160)+COUNTIFS(LdBMember,$P1160,LdBKey,"&lt;"&amp;$T1160)+COUNTIFS(LdCParty,$P1160,LdCKey,"&lt;"&amp;$T1160)+1)</f>
        <v/>
      </c>
      <c r="V1160">
        <f>IF($U1160="","",$P1160&amp;"|"&amp;RIGHT("000000"&amp;$U1160,6))</f>
        <v/>
      </c>
      <c r="W1160">
        <f>IF($T1160="","",COUNTIFS(LdBGroup,$R1160,LdBKey,"&lt;"&amp;$T1160)+1)</f>
        <v/>
      </c>
      <c r="X1160">
        <f>IF($W1160="","",$R1160&amp;"|"&amp;RIGHT("000000"&amp;$W1160,6))</f>
        <v/>
      </c>
      <c r="Y1160">
        <f>IF($P1160="","",IF(Shares!$E1163="",0,Shares!$E1163))</f>
        <v/>
      </c>
      <c r="Z1160">
        <f>IF($P1160="","",Shares!$H1163)</f>
        <v/>
      </c>
      <c r="AE1160">
        <f>IF(OR(Sync!$S1160="",Sync!$P1160=""),"",Sync!$S1160)</f>
        <v/>
      </c>
      <c r="AF1160">
        <f>IF($AE1160="","",IF(ISNUMBER(Sync!$P1160),IF(AND(Sync!$P1160&gt;=10000101,Sync!$P1160&lt;=99991231),INT(Sync!$P1160/10000),""),IFERROR(VALUE(TRIM(LEFT(Sync!$P1160,FIND("/",Sync!$P1160)-1))),"")))</f>
        <v/>
      </c>
      <c r="AG1160">
        <f>IF(OR($AE1160="",$AF1160=""),"",IF(ISNUMBER(Sync!$P1160),INT(MOD(Sync!$P1160,10000)/100),IFERROR(VALUE(TRIM(LEFT(MID(Sync!$P1160,FIND("/",Sync!$P1160)+1,20),FIND("/",MID(Sync!$P1160,FIND("/",Sync!$P1160)+1,20))-1))),"")))</f>
        <v/>
      </c>
      <c r="AH1160">
        <f>IF(OR($AE1160="",$AF1160=""),"",IF(ISNUMBER(Sync!$P1160),MOD(Sync!$P1160,100),IFERROR(VALUE(TRIM(MID(MID(Sync!$P1160,FIND("/",Sync!$P1160)+1,20),FIND("/",MID(Sync!$P1160,FIND("/",Sync!$P1160)+1,20))+1,20))),"")))</f>
        <v/>
      </c>
      <c r="AI1160">
        <f>IF($AE1160="","",IF(OR($AF1160="",$AG1160="",$AH1160="",$AF1160&lt;1300,$AF1160&gt;1500,$AG1160&lt;1,$AG1160&gt;12,$AH1160&lt;1,$AH1160&gt;31),"نامعتبر",RIGHT("0000"&amp;$AF1160,4)&amp;"/"&amp;RIGHT("00"&amp;$AG1160,2)&amp;"/"&amp;RIGHT("00"&amp;$AH1160,2)))</f>
        <v/>
      </c>
      <c r="AJ1160">
        <f>IF($AE1160="","",IF(Sync!$Q1160="","0000",IF(AND(ISNUMBER(Sync!$Q1160),Sync!$Q1160&gt;=0,Sync!$Q1160&lt;1),RIGHT("00"&amp;HOUR(Sync!$Q1160),2)&amp;RIGHT("00"&amp;MINUTE(Sync!$Q1160),2),IFERROR(RIGHT("00"&amp;VALUE(LEFT(Sync!$Q1160,FIND(":",Sync!$Q1160)-1)),2)&amp;RIGHT("00"&amp;VALUE(MID(Sync!$Q1160,FIND(":",Sync!$Q1160)+1,2)),2),"0000"))))</f>
        <v/>
      </c>
      <c r="AK1160">
        <f>IF(OR($AE1160="",$AI1160="",$AI1160="نامعتبر"),"",LEFT($AI1160,4)&amp;MID($AI1160,6,2)&amp;RIGHT($AI1160,2)&amp;$AJ1160&amp;"|"&amp;"3"&amp;RIGHT("00000"&amp;1155,5))</f>
        <v/>
      </c>
      <c r="AL1160">
        <f>IF($AK1160="","",COUNTIFS(LdAParty,$AE1160,LdAType,1,LdAKey,"&lt;"&amp;$AK1160)+COUNTIFS(LdBMember,$AE1160,LdBKey,"&lt;"&amp;$AK1160)+COUNTIFS(LdCParty,$AE1160,LdCKey,"&lt;"&amp;$AK1160)+1)</f>
        <v/>
      </c>
      <c r="AM1160">
        <f>IF($AL1160="","",$AE1160&amp;"|"&amp;RIGHT("000000"&amp;$AL1160,6))</f>
        <v/>
      </c>
      <c r="AN1160">
        <f>IF($AE1160="","",IF(Sync!$W1160="",0,Sync!$W1160))</f>
        <v/>
      </c>
      <c r="AO1160">
        <f>IF($AE1160="","",IF(Sync!$X1160="",0,Sync!$X1160))</f>
        <v/>
      </c>
      <c r="AP1160">
        <f>IF($AE1160="","",Sync!$R1160)</f>
        <v/>
      </c>
      <c r="AQ1160">
        <f>IF($AE1160="","",Sync!$Y1160)</f>
        <v/>
      </c>
    </row>
    <row r="1161">
      <c r="A1161">
        <f>IF(OR(Wages!$B1164="",Wages!$E1164=""),"",Wages!$E1164)</f>
        <v/>
      </c>
      <c r="B1161">
        <f>IF($A1161="","",IF(Wages!$C1164="دستمزد گروهی",2,1))</f>
        <v/>
      </c>
      <c r="C1161">
        <f>IF($A1161="","",IF(ISNUMBER(Wages!$B1164),IF(AND(Wages!$B1164&gt;=10000101,Wages!$B1164&lt;=99991231),INT(Wages!$B1164/10000),""),IFERROR(VALUE(TRIM(LEFT(Wages!$B1164,FIND("/",Wages!$B1164)-1))),"")))</f>
        <v/>
      </c>
      <c r="D1161">
        <f>IF(OR($A1161="",$C1161=""),"",IF(ISNUMBER(Wages!$B1164),INT(MOD(Wages!$B1164,10000)/100),IFERROR(VALUE(TRIM(LEFT(MID(Wages!$B1164,FIND("/",Wages!$B1164)+1,20),FIND("/",MID(Wages!$B1164,FIND("/",Wages!$B1164)+1,20))-1))),"")))</f>
        <v/>
      </c>
      <c r="E1161">
        <f>IF(OR($A1161="",$C1161=""),"",IF(ISNUMBER(Wages!$B1164),MOD(Wages!$B1164,100),IFERROR(VALUE(TRIM(MID(MID(Wages!$B1164,FIND("/",Wages!$B1164)+1,20),FIND("/",MID(Wages!$B1164,FIND("/",Wages!$B1164)+1,20))+1,20))),"")))</f>
        <v/>
      </c>
      <c r="F1161">
        <f>IF($A1161="","",IF(OR($C1161="",$D1161="",$E1161="",$C1161&lt;1300,$C1161&gt;1500,$D1161&lt;1,$D1161&gt;12,$E1161&lt;1,$E1161&gt;31),"نامعتبر",RIGHT("0000"&amp;$C1161,4)&amp;"/"&amp;RIGHT("00"&amp;$D1161,2)&amp;"/"&amp;RIGHT("00"&amp;$E1161,2)))</f>
        <v/>
      </c>
      <c r="G1161">
        <f>IF(OR($A1161="",$F1161="",$F1161="نامعتبر"),"",LEFT($F1161,4)&amp;MID($F1161,6,2)&amp;RIGHT($F1161,2)&amp;"0000"&amp;"|"&amp;"1"&amp;RIGHT("00000"&amp;1156,5))</f>
        <v/>
      </c>
      <c r="H1161">
        <f>IF(OR($B1161&lt;&gt;1,$G1161=""),"",COUNTIFS(LdAParty,$A1161,LdAType,1,LdAKey,"&lt;"&amp;$G1161)+COUNTIFS(LdBMember,$A1161,LdBKey,"&lt;"&amp;$G1161)+COUNTIFS(LdCParty,$A1161,LdCKey,"&lt;"&amp;$G1161)+1)</f>
        <v/>
      </c>
      <c r="I1161">
        <f>IF($H1161="","",$A1161&amp;"|"&amp;RIGHT("000000"&amp;$H1161,6))</f>
        <v/>
      </c>
      <c r="J1161">
        <f>IF(OR($B1161&lt;&gt;2,$G1161=""),"",COUNTIFS(LdAParty,$A1161,LdAType,2,LdAKey,"&lt;"&amp;$G1161)+1)</f>
        <v/>
      </c>
      <c r="K1161">
        <f>IF($J1161="","",$A1161&amp;"|"&amp;RIGHT("000000"&amp;$J1161,6))</f>
        <v/>
      </c>
      <c r="L1161">
        <f>IF($A1161="","",IF(Wages!$G1164="",0,Wages!$G1164))</f>
        <v/>
      </c>
      <c r="M1161">
        <f>IF($A1161="","",Wages!$J1164)</f>
        <v/>
      </c>
      <c r="N1161">
        <f>IF($A1161="","",Wages!$D1164)</f>
        <v/>
      </c>
      <c r="P1161">
        <f>IF(OR(Shares!$B1164="",Shares!$C1164=""),"",Shares!$C1164)</f>
        <v/>
      </c>
      <c r="Q1161">
        <f>IF($P1161="","",Shares!$B1164)</f>
        <v/>
      </c>
      <c r="R1161">
        <f>IF($P1161="","",IFERROR(INDEX(WageParty,MATCH($Q1161,WageIds,0)),""))</f>
        <v/>
      </c>
      <c r="S1161">
        <f>IF($P1161="","",IFERROR(INDEX($F$6:$F$2005,MATCH($Q1161,WageIds,0)),""))</f>
        <v/>
      </c>
      <c r="T1161">
        <f>IF(OR($P1161="",$S1161="",$S1161="نامعتبر"),"",LEFT($S1161,4)&amp;MID($S1161,6,2)&amp;RIGHT($S1161,2)&amp;"0000"&amp;"|"&amp;"2"&amp;RIGHT("00000"&amp;1156,5))</f>
        <v/>
      </c>
      <c r="U1161">
        <f>IF($T1161="","",COUNTIFS(LdAParty,$P1161,LdAType,1,LdAKey,"&lt;"&amp;$T1161)+COUNTIFS(LdBMember,$P1161,LdBKey,"&lt;"&amp;$T1161)+COUNTIFS(LdCParty,$P1161,LdCKey,"&lt;"&amp;$T1161)+1)</f>
        <v/>
      </c>
      <c r="V1161">
        <f>IF($U1161="","",$P1161&amp;"|"&amp;RIGHT("000000"&amp;$U1161,6))</f>
        <v/>
      </c>
      <c r="W1161">
        <f>IF($T1161="","",COUNTIFS(LdBGroup,$R1161,LdBKey,"&lt;"&amp;$T1161)+1)</f>
        <v/>
      </c>
      <c r="X1161">
        <f>IF($W1161="","",$R1161&amp;"|"&amp;RIGHT("000000"&amp;$W1161,6))</f>
        <v/>
      </c>
      <c r="Y1161">
        <f>IF($P1161="","",IF(Shares!$E1164="",0,Shares!$E1164))</f>
        <v/>
      </c>
      <c r="Z1161">
        <f>IF($P1161="","",Shares!$H1164)</f>
        <v/>
      </c>
      <c r="AE1161">
        <f>IF(OR(Sync!$S1161="",Sync!$P1161=""),"",Sync!$S1161)</f>
        <v/>
      </c>
      <c r="AF1161">
        <f>IF($AE1161="","",IF(ISNUMBER(Sync!$P1161),IF(AND(Sync!$P1161&gt;=10000101,Sync!$P1161&lt;=99991231),INT(Sync!$P1161/10000),""),IFERROR(VALUE(TRIM(LEFT(Sync!$P1161,FIND("/",Sync!$P1161)-1))),"")))</f>
        <v/>
      </c>
      <c r="AG1161">
        <f>IF(OR($AE1161="",$AF1161=""),"",IF(ISNUMBER(Sync!$P1161),INT(MOD(Sync!$P1161,10000)/100),IFERROR(VALUE(TRIM(LEFT(MID(Sync!$P1161,FIND("/",Sync!$P1161)+1,20),FIND("/",MID(Sync!$P1161,FIND("/",Sync!$P1161)+1,20))-1))),"")))</f>
        <v/>
      </c>
      <c r="AH1161">
        <f>IF(OR($AE1161="",$AF1161=""),"",IF(ISNUMBER(Sync!$P1161),MOD(Sync!$P1161,100),IFERROR(VALUE(TRIM(MID(MID(Sync!$P1161,FIND("/",Sync!$P1161)+1,20),FIND("/",MID(Sync!$P1161,FIND("/",Sync!$P1161)+1,20))+1,20))),"")))</f>
        <v/>
      </c>
      <c r="AI1161">
        <f>IF($AE1161="","",IF(OR($AF1161="",$AG1161="",$AH1161="",$AF1161&lt;1300,$AF1161&gt;1500,$AG1161&lt;1,$AG1161&gt;12,$AH1161&lt;1,$AH1161&gt;31),"نامعتبر",RIGHT("0000"&amp;$AF1161,4)&amp;"/"&amp;RIGHT("00"&amp;$AG1161,2)&amp;"/"&amp;RIGHT("00"&amp;$AH1161,2)))</f>
        <v/>
      </c>
      <c r="AJ1161">
        <f>IF($AE1161="","",IF(Sync!$Q1161="","0000",IF(AND(ISNUMBER(Sync!$Q1161),Sync!$Q1161&gt;=0,Sync!$Q1161&lt;1),RIGHT("00"&amp;HOUR(Sync!$Q1161),2)&amp;RIGHT("00"&amp;MINUTE(Sync!$Q1161),2),IFERROR(RIGHT("00"&amp;VALUE(LEFT(Sync!$Q1161,FIND(":",Sync!$Q1161)-1)),2)&amp;RIGHT("00"&amp;VALUE(MID(Sync!$Q1161,FIND(":",Sync!$Q1161)+1,2)),2),"0000"))))</f>
        <v/>
      </c>
      <c r="AK1161">
        <f>IF(OR($AE1161="",$AI1161="",$AI1161="نامعتبر"),"",LEFT($AI1161,4)&amp;MID($AI1161,6,2)&amp;RIGHT($AI1161,2)&amp;$AJ1161&amp;"|"&amp;"3"&amp;RIGHT("00000"&amp;1156,5))</f>
        <v/>
      </c>
      <c r="AL1161">
        <f>IF($AK1161="","",COUNTIFS(LdAParty,$AE1161,LdAType,1,LdAKey,"&lt;"&amp;$AK1161)+COUNTIFS(LdBMember,$AE1161,LdBKey,"&lt;"&amp;$AK1161)+COUNTIFS(LdCParty,$AE1161,LdCKey,"&lt;"&amp;$AK1161)+1)</f>
        <v/>
      </c>
      <c r="AM1161">
        <f>IF($AL1161="","",$AE1161&amp;"|"&amp;RIGHT("000000"&amp;$AL1161,6))</f>
        <v/>
      </c>
      <c r="AN1161">
        <f>IF($AE1161="","",IF(Sync!$W1161="",0,Sync!$W1161))</f>
        <v/>
      </c>
      <c r="AO1161">
        <f>IF($AE1161="","",IF(Sync!$X1161="",0,Sync!$X1161))</f>
        <v/>
      </c>
      <c r="AP1161">
        <f>IF($AE1161="","",Sync!$R1161)</f>
        <v/>
      </c>
      <c r="AQ1161">
        <f>IF($AE1161="","",Sync!$Y1161)</f>
        <v/>
      </c>
    </row>
    <row r="1162">
      <c r="A1162">
        <f>IF(OR(Wages!$B1165="",Wages!$E1165=""),"",Wages!$E1165)</f>
        <v/>
      </c>
      <c r="B1162">
        <f>IF($A1162="","",IF(Wages!$C1165="دستمزد گروهی",2,1))</f>
        <v/>
      </c>
      <c r="C1162">
        <f>IF($A1162="","",IF(ISNUMBER(Wages!$B1165),IF(AND(Wages!$B1165&gt;=10000101,Wages!$B1165&lt;=99991231),INT(Wages!$B1165/10000),""),IFERROR(VALUE(TRIM(LEFT(Wages!$B1165,FIND("/",Wages!$B1165)-1))),"")))</f>
        <v/>
      </c>
      <c r="D1162">
        <f>IF(OR($A1162="",$C1162=""),"",IF(ISNUMBER(Wages!$B1165),INT(MOD(Wages!$B1165,10000)/100),IFERROR(VALUE(TRIM(LEFT(MID(Wages!$B1165,FIND("/",Wages!$B1165)+1,20),FIND("/",MID(Wages!$B1165,FIND("/",Wages!$B1165)+1,20))-1))),"")))</f>
        <v/>
      </c>
      <c r="E1162">
        <f>IF(OR($A1162="",$C1162=""),"",IF(ISNUMBER(Wages!$B1165),MOD(Wages!$B1165,100),IFERROR(VALUE(TRIM(MID(MID(Wages!$B1165,FIND("/",Wages!$B1165)+1,20),FIND("/",MID(Wages!$B1165,FIND("/",Wages!$B1165)+1,20))+1,20))),"")))</f>
        <v/>
      </c>
      <c r="F1162">
        <f>IF($A1162="","",IF(OR($C1162="",$D1162="",$E1162="",$C1162&lt;1300,$C1162&gt;1500,$D1162&lt;1,$D1162&gt;12,$E1162&lt;1,$E1162&gt;31),"نامعتبر",RIGHT("0000"&amp;$C1162,4)&amp;"/"&amp;RIGHT("00"&amp;$D1162,2)&amp;"/"&amp;RIGHT("00"&amp;$E1162,2)))</f>
        <v/>
      </c>
      <c r="G1162">
        <f>IF(OR($A1162="",$F1162="",$F1162="نامعتبر"),"",LEFT($F1162,4)&amp;MID($F1162,6,2)&amp;RIGHT($F1162,2)&amp;"0000"&amp;"|"&amp;"1"&amp;RIGHT("00000"&amp;1157,5))</f>
        <v/>
      </c>
      <c r="H1162">
        <f>IF(OR($B1162&lt;&gt;1,$G1162=""),"",COUNTIFS(LdAParty,$A1162,LdAType,1,LdAKey,"&lt;"&amp;$G1162)+COUNTIFS(LdBMember,$A1162,LdBKey,"&lt;"&amp;$G1162)+COUNTIFS(LdCParty,$A1162,LdCKey,"&lt;"&amp;$G1162)+1)</f>
        <v/>
      </c>
      <c r="I1162">
        <f>IF($H1162="","",$A1162&amp;"|"&amp;RIGHT("000000"&amp;$H1162,6))</f>
        <v/>
      </c>
      <c r="J1162">
        <f>IF(OR($B1162&lt;&gt;2,$G1162=""),"",COUNTIFS(LdAParty,$A1162,LdAType,2,LdAKey,"&lt;"&amp;$G1162)+1)</f>
        <v/>
      </c>
      <c r="K1162">
        <f>IF($J1162="","",$A1162&amp;"|"&amp;RIGHT("000000"&amp;$J1162,6))</f>
        <v/>
      </c>
      <c r="L1162">
        <f>IF($A1162="","",IF(Wages!$G1165="",0,Wages!$G1165))</f>
        <v/>
      </c>
      <c r="M1162">
        <f>IF($A1162="","",Wages!$J1165)</f>
        <v/>
      </c>
      <c r="N1162">
        <f>IF($A1162="","",Wages!$D1165)</f>
        <v/>
      </c>
      <c r="P1162">
        <f>IF(OR(Shares!$B1165="",Shares!$C1165=""),"",Shares!$C1165)</f>
        <v/>
      </c>
      <c r="Q1162">
        <f>IF($P1162="","",Shares!$B1165)</f>
        <v/>
      </c>
      <c r="R1162">
        <f>IF($P1162="","",IFERROR(INDEX(WageParty,MATCH($Q1162,WageIds,0)),""))</f>
        <v/>
      </c>
      <c r="S1162">
        <f>IF($P1162="","",IFERROR(INDEX($F$6:$F$2005,MATCH($Q1162,WageIds,0)),""))</f>
        <v/>
      </c>
      <c r="T1162">
        <f>IF(OR($P1162="",$S1162="",$S1162="نامعتبر"),"",LEFT($S1162,4)&amp;MID($S1162,6,2)&amp;RIGHT($S1162,2)&amp;"0000"&amp;"|"&amp;"2"&amp;RIGHT("00000"&amp;1157,5))</f>
        <v/>
      </c>
      <c r="U1162">
        <f>IF($T1162="","",COUNTIFS(LdAParty,$P1162,LdAType,1,LdAKey,"&lt;"&amp;$T1162)+COUNTIFS(LdBMember,$P1162,LdBKey,"&lt;"&amp;$T1162)+COUNTIFS(LdCParty,$P1162,LdCKey,"&lt;"&amp;$T1162)+1)</f>
        <v/>
      </c>
      <c r="V1162">
        <f>IF($U1162="","",$P1162&amp;"|"&amp;RIGHT("000000"&amp;$U1162,6))</f>
        <v/>
      </c>
      <c r="W1162">
        <f>IF($T1162="","",COUNTIFS(LdBGroup,$R1162,LdBKey,"&lt;"&amp;$T1162)+1)</f>
        <v/>
      </c>
      <c r="X1162">
        <f>IF($W1162="","",$R1162&amp;"|"&amp;RIGHT("000000"&amp;$W1162,6))</f>
        <v/>
      </c>
      <c r="Y1162">
        <f>IF($P1162="","",IF(Shares!$E1165="",0,Shares!$E1165))</f>
        <v/>
      </c>
      <c r="Z1162">
        <f>IF($P1162="","",Shares!$H1165)</f>
        <v/>
      </c>
      <c r="AE1162">
        <f>IF(OR(Sync!$S1162="",Sync!$P1162=""),"",Sync!$S1162)</f>
        <v/>
      </c>
      <c r="AF1162">
        <f>IF($AE1162="","",IF(ISNUMBER(Sync!$P1162),IF(AND(Sync!$P1162&gt;=10000101,Sync!$P1162&lt;=99991231),INT(Sync!$P1162/10000),""),IFERROR(VALUE(TRIM(LEFT(Sync!$P1162,FIND("/",Sync!$P1162)-1))),"")))</f>
        <v/>
      </c>
      <c r="AG1162">
        <f>IF(OR($AE1162="",$AF1162=""),"",IF(ISNUMBER(Sync!$P1162),INT(MOD(Sync!$P1162,10000)/100),IFERROR(VALUE(TRIM(LEFT(MID(Sync!$P1162,FIND("/",Sync!$P1162)+1,20),FIND("/",MID(Sync!$P1162,FIND("/",Sync!$P1162)+1,20))-1))),"")))</f>
        <v/>
      </c>
      <c r="AH1162">
        <f>IF(OR($AE1162="",$AF1162=""),"",IF(ISNUMBER(Sync!$P1162),MOD(Sync!$P1162,100),IFERROR(VALUE(TRIM(MID(MID(Sync!$P1162,FIND("/",Sync!$P1162)+1,20),FIND("/",MID(Sync!$P1162,FIND("/",Sync!$P1162)+1,20))+1,20))),"")))</f>
        <v/>
      </c>
      <c r="AI1162">
        <f>IF($AE1162="","",IF(OR($AF1162="",$AG1162="",$AH1162="",$AF1162&lt;1300,$AF1162&gt;1500,$AG1162&lt;1,$AG1162&gt;12,$AH1162&lt;1,$AH1162&gt;31),"نامعتبر",RIGHT("0000"&amp;$AF1162,4)&amp;"/"&amp;RIGHT("00"&amp;$AG1162,2)&amp;"/"&amp;RIGHT("00"&amp;$AH1162,2)))</f>
        <v/>
      </c>
      <c r="AJ1162">
        <f>IF($AE1162="","",IF(Sync!$Q1162="","0000",IF(AND(ISNUMBER(Sync!$Q1162),Sync!$Q1162&gt;=0,Sync!$Q1162&lt;1),RIGHT("00"&amp;HOUR(Sync!$Q1162),2)&amp;RIGHT("00"&amp;MINUTE(Sync!$Q1162),2),IFERROR(RIGHT("00"&amp;VALUE(LEFT(Sync!$Q1162,FIND(":",Sync!$Q1162)-1)),2)&amp;RIGHT("00"&amp;VALUE(MID(Sync!$Q1162,FIND(":",Sync!$Q1162)+1,2)),2),"0000"))))</f>
        <v/>
      </c>
      <c r="AK1162">
        <f>IF(OR($AE1162="",$AI1162="",$AI1162="نامعتبر"),"",LEFT($AI1162,4)&amp;MID($AI1162,6,2)&amp;RIGHT($AI1162,2)&amp;$AJ1162&amp;"|"&amp;"3"&amp;RIGHT("00000"&amp;1157,5))</f>
        <v/>
      </c>
      <c r="AL1162">
        <f>IF($AK1162="","",COUNTIFS(LdAParty,$AE1162,LdAType,1,LdAKey,"&lt;"&amp;$AK1162)+COUNTIFS(LdBMember,$AE1162,LdBKey,"&lt;"&amp;$AK1162)+COUNTIFS(LdCParty,$AE1162,LdCKey,"&lt;"&amp;$AK1162)+1)</f>
        <v/>
      </c>
      <c r="AM1162">
        <f>IF($AL1162="","",$AE1162&amp;"|"&amp;RIGHT("000000"&amp;$AL1162,6))</f>
        <v/>
      </c>
      <c r="AN1162">
        <f>IF($AE1162="","",IF(Sync!$W1162="",0,Sync!$W1162))</f>
        <v/>
      </c>
      <c r="AO1162">
        <f>IF($AE1162="","",IF(Sync!$X1162="",0,Sync!$X1162))</f>
        <v/>
      </c>
      <c r="AP1162">
        <f>IF($AE1162="","",Sync!$R1162)</f>
        <v/>
      </c>
      <c r="AQ1162">
        <f>IF($AE1162="","",Sync!$Y1162)</f>
        <v/>
      </c>
    </row>
    <row r="1163">
      <c r="A1163">
        <f>IF(OR(Wages!$B1166="",Wages!$E1166=""),"",Wages!$E1166)</f>
        <v/>
      </c>
      <c r="B1163">
        <f>IF($A1163="","",IF(Wages!$C1166="دستمزد گروهی",2,1))</f>
        <v/>
      </c>
      <c r="C1163">
        <f>IF($A1163="","",IF(ISNUMBER(Wages!$B1166),IF(AND(Wages!$B1166&gt;=10000101,Wages!$B1166&lt;=99991231),INT(Wages!$B1166/10000),""),IFERROR(VALUE(TRIM(LEFT(Wages!$B1166,FIND("/",Wages!$B1166)-1))),"")))</f>
        <v/>
      </c>
      <c r="D1163">
        <f>IF(OR($A1163="",$C1163=""),"",IF(ISNUMBER(Wages!$B1166),INT(MOD(Wages!$B1166,10000)/100),IFERROR(VALUE(TRIM(LEFT(MID(Wages!$B1166,FIND("/",Wages!$B1166)+1,20),FIND("/",MID(Wages!$B1166,FIND("/",Wages!$B1166)+1,20))-1))),"")))</f>
        <v/>
      </c>
      <c r="E1163">
        <f>IF(OR($A1163="",$C1163=""),"",IF(ISNUMBER(Wages!$B1166),MOD(Wages!$B1166,100),IFERROR(VALUE(TRIM(MID(MID(Wages!$B1166,FIND("/",Wages!$B1166)+1,20),FIND("/",MID(Wages!$B1166,FIND("/",Wages!$B1166)+1,20))+1,20))),"")))</f>
        <v/>
      </c>
      <c r="F1163">
        <f>IF($A1163="","",IF(OR($C1163="",$D1163="",$E1163="",$C1163&lt;1300,$C1163&gt;1500,$D1163&lt;1,$D1163&gt;12,$E1163&lt;1,$E1163&gt;31),"نامعتبر",RIGHT("0000"&amp;$C1163,4)&amp;"/"&amp;RIGHT("00"&amp;$D1163,2)&amp;"/"&amp;RIGHT("00"&amp;$E1163,2)))</f>
        <v/>
      </c>
      <c r="G1163">
        <f>IF(OR($A1163="",$F1163="",$F1163="نامعتبر"),"",LEFT($F1163,4)&amp;MID($F1163,6,2)&amp;RIGHT($F1163,2)&amp;"0000"&amp;"|"&amp;"1"&amp;RIGHT("00000"&amp;1158,5))</f>
        <v/>
      </c>
      <c r="H1163">
        <f>IF(OR($B1163&lt;&gt;1,$G1163=""),"",COUNTIFS(LdAParty,$A1163,LdAType,1,LdAKey,"&lt;"&amp;$G1163)+COUNTIFS(LdBMember,$A1163,LdBKey,"&lt;"&amp;$G1163)+COUNTIFS(LdCParty,$A1163,LdCKey,"&lt;"&amp;$G1163)+1)</f>
        <v/>
      </c>
      <c r="I1163">
        <f>IF($H1163="","",$A1163&amp;"|"&amp;RIGHT("000000"&amp;$H1163,6))</f>
        <v/>
      </c>
      <c r="J1163">
        <f>IF(OR($B1163&lt;&gt;2,$G1163=""),"",COUNTIFS(LdAParty,$A1163,LdAType,2,LdAKey,"&lt;"&amp;$G1163)+1)</f>
        <v/>
      </c>
      <c r="K1163">
        <f>IF($J1163="","",$A1163&amp;"|"&amp;RIGHT("000000"&amp;$J1163,6))</f>
        <v/>
      </c>
      <c r="L1163">
        <f>IF($A1163="","",IF(Wages!$G1166="",0,Wages!$G1166))</f>
        <v/>
      </c>
      <c r="M1163">
        <f>IF($A1163="","",Wages!$J1166)</f>
        <v/>
      </c>
      <c r="N1163">
        <f>IF($A1163="","",Wages!$D1166)</f>
        <v/>
      </c>
      <c r="P1163">
        <f>IF(OR(Shares!$B1166="",Shares!$C1166=""),"",Shares!$C1166)</f>
        <v/>
      </c>
      <c r="Q1163">
        <f>IF($P1163="","",Shares!$B1166)</f>
        <v/>
      </c>
      <c r="R1163">
        <f>IF($P1163="","",IFERROR(INDEX(WageParty,MATCH($Q1163,WageIds,0)),""))</f>
        <v/>
      </c>
      <c r="S1163">
        <f>IF($P1163="","",IFERROR(INDEX($F$6:$F$2005,MATCH($Q1163,WageIds,0)),""))</f>
        <v/>
      </c>
      <c r="T1163">
        <f>IF(OR($P1163="",$S1163="",$S1163="نامعتبر"),"",LEFT($S1163,4)&amp;MID($S1163,6,2)&amp;RIGHT($S1163,2)&amp;"0000"&amp;"|"&amp;"2"&amp;RIGHT("00000"&amp;1158,5))</f>
        <v/>
      </c>
      <c r="U1163">
        <f>IF($T1163="","",COUNTIFS(LdAParty,$P1163,LdAType,1,LdAKey,"&lt;"&amp;$T1163)+COUNTIFS(LdBMember,$P1163,LdBKey,"&lt;"&amp;$T1163)+COUNTIFS(LdCParty,$P1163,LdCKey,"&lt;"&amp;$T1163)+1)</f>
        <v/>
      </c>
      <c r="V1163">
        <f>IF($U1163="","",$P1163&amp;"|"&amp;RIGHT("000000"&amp;$U1163,6))</f>
        <v/>
      </c>
      <c r="W1163">
        <f>IF($T1163="","",COUNTIFS(LdBGroup,$R1163,LdBKey,"&lt;"&amp;$T1163)+1)</f>
        <v/>
      </c>
      <c r="X1163">
        <f>IF($W1163="","",$R1163&amp;"|"&amp;RIGHT("000000"&amp;$W1163,6))</f>
        <v/>
      </c>
      <c r="Y1163">
        <f>IF($P1163="","",IF(Shares!$E1166="",0,Shares!$E1166))</f>
        <v/>
      </c>
      <c r="Z1163">
        <f>IF($P1163="","",Shares!$H1166)</f>
        <v/>
      </c>
      <c r="AE1163">
        <f>IF(OR(Sync!$S1163="",Sync!$P1163=""),"",Sync!$S1163)</f>
        <v/>
      </c>
      <c r="AF1163">
        <f>IF($AE1163="","",IF(ISNUMBER(Sync!$P1163),IF(AND(Sync!$P1163&gt;=10000101,Sync!$P1163&lt;=99991231),INT(Sync!$P1163/10000),""),IFERROR(VALUE(TRIM(LEFT(Sync!$P1163,FIND("/",Sync!$P1163)-1))),"")))</f>
        <v/>
      </c>
      <c r="AG1163">
        <f>IF(OR($AE1163="",$AF1163=""),"",IF(ISNUMBER(Sync!$P1163),INT(MOD(Sync!$P1163,10000)/100),IFERROR(VALUE(TRIM(LEFT(MID(Sync!$P1163,FIND("/",Sync!$P1163)+1,20),FIND("/",MID(Sync!$P1163,FIND("/",Sync!$P1163)+1,20))-1))),"")))</f>
        <v/>
      </c>
      <c r="AH1163">
        <f>IF(OR($AE1163="",$AF1163=""),"",IF(ISNUMBER(Sync!$P1163),MOD(Sync!$P1163,100),IFERROR(VALUE(TRIM(MID(MID(Sync!$P1163,FIND("/",Sync!$P1163)+1,20),FIND("/",MID(Sync!$P1163,FIND("/",Sync!$P1163)+1,20))+1,20))),"")))</f>
        <v/>
      </c>
      <c r="AI1163">
        <f>IF($AE1163="","",IF(OR($AF1163="",$AG1163="",$AH1163="",$AF1163&lt;1300,$AF1163&gt;1500,$AG1163&lt;1,$AG1163&gt;12,$AH1163&lt;1,$AH1163&gt;31),"نامعتبر",RIGHT("0000"&amp;$AF1163,4)&amp;"/"&amp;RIGHT("00"&amp;$AG1163,2)&amp;"/"&amp;RIGHT("00"&amp;$AH1163,2)))</f>
        <v/>
      </c>
      <c r="AJ1163">
        <f>IF($AE1163="","",IF(Sync!$Q1163="","0000",IF(AND(ISNUMBER(Sync!$Q1163),Sync!$Q1163&gt;=0,Sync!$Q1163&lt;1),RIGHT("00"&amp;HOUR(Sync!$Q1163),2)&amp;RIGHT("00"&amp;MINUTE(Sync!$Q1163),2),IFERROR(RIGHT("00"&amp;VALUE(LEFT(Sync!$Q1163,FIND(":",Sync!$Q1163)-1)),2)&amp;RIGHT("00"&amp;VALUE(MID(Sync!$Q1163,FIND(":",Sync!$Q1163)+1,2)),2),"0000"))))</f>
        <v/>
      </c>
      <c r="AK1163">
        <f>IF(OR($AE1163="",$AI1163="",$AI1163="نامعتبر"),"",LEFT($AI1163,4)&amp;MID($AI1163,6,2)&amp;RIGHT($AI1163,2)&amp;$AJ1163&amp;"|"&amp;"3"&amp;RIGHT("00000"&amp;1158,5))</f>
        <v/>
      </c>
      <c r="AL1163">
        <f>IF($AK1163="","",COUNTIFS(LdAParty,$AE1163,LdAType,1,LdAKey,"&lt;"&amp;$AK1163)+COUNTIFS(LdBMember,$AE1163,LdBKey,"&lt;"&amp;$AK1163)+COUNTIFS(LdCParty,$AE1163,LdCKey,"&lt;"&amp;$AK1163)+1)</f>
        <v/>
      </c>
      <c r="AM1163">
        <f>IF($AL1163="","",$AE1163&amp;"|"&amp;RIGHT("000000"&amp;$AL1163,6))</f>
        <v/>
      </c>
      <c r="AN1163">
        <f>IF($AE1163="","",IF(Sync!$W1163="",0,Sync!$W1163))</f>
        <v/>
      </c>
      <c r="AO1163">
        <f>IF($AE1163="","",IF(Sync!$X1163="",0,Sync!$X1163))</f>
        <v/>
      </c>
      <c r="AP1163">
        <f>IF($AE1163="","",Sync!$R1163)</f>
        <v/>
      </c>
      <c r="AQ1163">
        <f>IF($AE1163="","",Sync!$Y1163)</f>
        <v/>
      </c>
    </row>
    <row r="1164">
      <c r="A1164">
        <f>IF(OR(Wages!$B1167="",Wages!$E1167=""),"",Wages!$E1167)</f>
        <v/>
      </c>
      <c r="B1164">
        <f>IF($A1164="","",IF(Wages!$C1167="دستمزد گروهی",2,1))</f>
        <v/>
      </c>
      <c r="C1164">
        <f>IF($A1164="","",IF(ISNUMBER(Wages!$B1167),IF(AND(Wages!$B1167&gt;=10000101,Wages!$B1167&lt;=99991231),INT(Wages!$B1167/10000),""),IFERROR(VALUE(TRIM(LEFT(Wages!$B1167,FIND("/",Wages!$B1167)-1))),"")))</f>
        <v/>
      </c>
      <c r="D1164">
        <f>IF(OR($A1164="",$C1164=""),"",IF(ISNUMBER(Wages!$B1167),INT(MOD(Wages!$B1167,10000)/100),IFERROR(VALUE(TRIM(LEFT(MID(Wages!$B1167,FIND("/",Wages!$B1167)+1,20),FIND("/",MID(Wages!$B1167,FIND("/",Wages!$B1167)+1,20))-1))),"")))</f>
        <v/>
      </c>
      <c r="E1164">
        <f>IF(OR($A1164="",$C1164=""),"",IF(ISNUMBER(Wages!$B1167),MOD(Wages!$B1167,100),IFERROR(VALUE(TRIM(MID(MID(Wages!$B1167,FIND("/",Wages!$B1167)+1,20),FIND("/",MID(Wages!$B1167,FIND("/",Wages!$B1167)+1,20))+1,20))),"")))</f>
        <v/>
      </c>
      <c r="F1164">
        <f>IF($A1164="","",IF(OR($C1164="",$D1164="",$E1164="",$C1164&lt;1300,$C1164&gt;1500,$D1164&lt;1,$D1164&gt;12,$E1164&lt;1,$E1164&gt;31),"نامعتبر",RIGHT("0000"&amp;$C1164,4)&amp;"/"&amp;RIGHT("00"&amp;$D1164,2)&amp;"/"&amp;RIGHT("00"&amp;$E1164,2)))</f>
        <v/>
      </c>
      <c r="G1164">
        <f>IF(OR($A1164="",$F1164="",$F1164="نامعتبر"),"",LEFT($F1164,4)&amp;MID($F1164,6,2)&amp;RIGHT($F1164,2)&amp;"0000"&amp;"|"&amp;"1"&amp;RIGHT("00000"&amp;1159,5))</f>
        <v/>
      </c>
      <c r="H1164">
        <f>IF(OR($B1164&lt;&gt;1,$G1164=""),"",COUNTIFS(LdAParty,$A1164,LdAType,1,LdAKey,"&lt;"&amp;$G1164)+COUNTIFS(LdBMember,$A1164,LdBKey,"&lt;"&amp;$G1164)+COUNTIFS(LdCParty,$A1164,LdCKey,"&lt;"&amp;$G1164)+1)</f>
        <v/>
      </c>
      <c r="I1164">
        <f>IF($H1164="","",$A1164&amp;"|"&amp;RIGHT("000000"&amp;$H1164,6))</f>
        <v/>
      </c>
      <c r="J1164">
        <f>IF(OR($B1164&lt;&gt;2,$G1164=""),"",COUNTIFS(LdAParty,$A1164,LdAType,2,LdAKey,"&lt;"&amp;$G1164)+1)</f>
        <v/>
      </c>
      <c r="K1164">
        <f>IF($J1164="","",$A1164&amp;"|"&amp;RIGHT("000000"&amp;$J1164,6))</f>
        <v/>
      </c>
      <c r="L1164">
        <f>IF($A1164="","",IF(Wages!$G1167="",0,Wages!$G1167))</f>
        <v/>
      </c>
      <c r="M1164">
        <f>IF($A1164="","",Wages!$J1167)</f>
        <v/>
      </c>
      <c r="N1164">
        <f>IF($A1164="","",Wages!$D1167)</f>
        <v/>
      </c>
      <c r="P1164">
        <f>IF(OR(Shares!$B1167="",Shares!$C1167=""),"",Shares!$C1167)</f>
        <v/>
      </c>
      <c r="Q1164">
        <f>IF($P1164="","",Shares!$B1167)</f>
        <v/>
      </c>
      <c r="R1164">
        <f>IF($P1164="","",IFERROR(INDEX(WageParty,MATCH($Q1164,WageIds,0)),""))</f>
        <v/>
      </c>
      <c r="S1164">
        <f>IF($P1164="","",IFERROR(INDEX($F$6:$F$2005,MATCH($Q1164,WageIds,0)),""))</f>
        <v/>
      </c>
      <c r="T1164">
        <f>IF(OR($P1164="",$S1164="",$S1164="نامعتبر"),"",LEFT($S1164,4)&amp;MID($S1164,6,2)&amp;RIGHT($S1164,2)&amp;"0000"&amp;"|"&amp;"2"&amp;RIGHT("00000"&amp;1159,5))</f>
        <v/>
      </c>
      <c r="U1164">
        <f>IF($T1164="","",COUNTIFS(LdAParty,$P1164,LdAType,1,LdAKey,"&lt;"&amp;$T1164)+COUNTIFS(LdBMember,$P1164,LdBKey,"&lt;"&amp;$T1164)+COUNTIFS(LdCParty,$P1164,LdCKey,"&lt;"&amp;$T1164)+1)</f>
        <v/>
      </c>
      <c r="V1164">
        <f>IF($U1164="","",$P1164&amp;"|"&amp;RIGHT("000000"&amp;$U1164,6))</f>
        <v/>
      </c>
      <c r="W1164">
        <f>IF($T1164="","",COUNTIFS(LdBGroup,$R1164,LdBKey,"&lt;"&amp;$T1164)+1)</f>
        <v/>
      </c>
      <c r="X1164">
        <f>IF($W1164="","",$R1164&amp;"|"&amp;RIGHT("000000"&amp;$W1164,6))</f>
        <v/>
      </c>
      <c r="Y1164">
        <f>IF($P1164="","",IF(Shares!$E1167="",0,Shares!$E1167))</f>
        <v/>
      </c>
      <c r="Z1164">
        <f>IF($P1164="","",Shares!$H1167)</f>
        <v/>
      </c>
      <c r="AE1164">
        <f>IF(OR(Sync!$S1164="",Sync!$P1164=""),"",Sync!$S1164)</f>
        <v/>
      </c>
      <c r="AF1164">
        <f>IF($AE1164="","",IF(ISNUMBER(Sync!$P1164),IF(AND(Sync!$P1164&gt;=10000101,Sync!$P1164&lt;=99991231),INT(Sync!$P1164/10000),""),IFERROR(VALUE(TRIM(LEFT(Sync!$P1164,FIND("/",Sync!$P1164)-1))),"")))</f>
        <v/>
      </c>
      <c r="AG1164">
        <f>IF(OR($AE1164="",$AF1164=""),"",IF(ISNUMBER(Sync!$P1164),INT(MOD(Sync!$P1164,10000)/100),IFERROR(VALUE(TRIM(LEFT(MID(Sync!$P1164,FIND("/",Sync!$P1164)+1,20),FIND("/",MID(Sync!$P1164,FIND("/",Sync!$P1164)+1,20))-1))),"")))</f>
        <v/>
      </c>
      <c r="AH1164">
        <f>IF(OR($AE1164="",$AF1164=""),"",IF(ISNUMBER(Sync!$P1164),MOD(Sync!$P1164,100),IFERROR(VALUE(TRIM(MID(MID(Sync!$P1164,FIND("/",Sync!$P1164)+1,20),FIND("/",MID(Sync!$P1164,FIND("/",Sync!$P1164)+1,20))+1,20))),"")))</f>
        <v/>
      </c>
      <c r="AI1164">
        <f>IF($AE1164="","",IF(OR($AF1164="",$AG1164="",$AH1164="",$AF1164&lt;1300,$AF1164&gt;1500,$AG1164&lt;1,$AG1164&gt;12,$AH1164&lt;1,$AH1164&gt;31),"نامعتبر",RIGHT("0000"&amp;$AF1164,4)&amp;"/"&amp;RIGHT("00"&amp;$AG1164,2)&amp;"/"&amp;RIGHT("00"&amp;$AH1164,2)))</f>
        <v/>
      </c>
      <c r="AJ1164">
        <f>IF($AE1164="","",IF(Sync!$Q1164="","0000",IF(AND(ISNUMBER(Sync!$Q1164),Sync!$Q1164&gt;=0,Sync!$Q1164&lt;1),RIGHT("00"&amp;HOUR(Sync!$Q1164),2)&amp;RIGHT("00"&amp;MINUTE(Sync!$Q1164),2),IFERROR(RIGHT("00"&amp;VALUE(LEFT(Sync!$Q1164,FIND(":",Sync!$Q1164)-1)),2)&amp;RIGHT("00"&amp;VALUE(MID(Sync!$Q1164,FIND(":",Sync!$Q1164)+1,2)),2),"0000"))))</f>
        <v/>
      </c>
      <c r="AK1164">
        <f>IF(OR($AE1164="",$AI1164="",$AI1164="نامعتبر"),"",LEFT($AI1164,4)&amp;MID($AI1164,6,2)&amp;RIGHT($AI1164,2)&amp;$AJ1164&amp;"|"&amp;"3"&amp;RIGHT("00000"&amp;1159,5))</f>
        <v/>
      </c>
      <c r="AL1164">
        <f>IF($AK1164="","",COUNTIFS(LdAParty,$AE1164,LdAType,1,LdAKey,"&lt;"&amp;$AK1164)+COUNTIFS(LdBMember,$AE1164,LdBKey,"&lt;"&amp;$AK1164)+COUNTIFS(LdCParty,$AE1164,LdCKey,"&lt;"&amp;$AK1164)+1)</f>
        <v/>
      </c>
      <c r="AM1164">
        <f>IF($AL1164="","",$AE1164&amp;"|"&amp;RIGHT("000000"&amp;$AL1164,6))</f>
        <v/>
      </c>
      <c r="AN1164">
        <f>IF($AE1164="","",IF(Sync!$W1164="",0,Sync!$W1164))</f>
        <v/>
      </c>
      <c r="AO1164">
        <f>IF($AE1164="","",IF(Sync!$X1164="",0,Sync!$X1164))</f>
        <v/>
      </c>
      <c r="AP1164">
        <f>IF($AE1164="","",Sync!$R1164)</f>
        <v/>
      </c>
      <c r="AQ1164">
        <f>IF($AE1164="","",Sync!$Y1164)</f>
        <v/>
      </c>
    </row>
    <row r="1165">
      <c r="A1165">
        <f>IF(OR(Wages!$B1168="",Wages!$E1168=""),"",Wages!$E1168)</f>
        <v/>
      </c>
      <c r="B1165">
        <f>IF($A1165="","",IF(Wages!$C1168="دستمزد گروهی",2,1))</f>
        <v/>
      </c>
      <c r="C1165">
        <f>IF($A1165="","",IF(ISNUMBER(Wages!$B1168),IF(AND(Wages!$B1168&gt;=10000101,Wages!$B1168&lt;=99991231),INT(Wages!$B1168/10000),""),IFERROR(VALUE(TRIM(LEFT(Wages!$B1168,FIND("/",Wages!$B1168)-1))),"")))</f>
        <v/>
      </c>
      <c r="D1165">
        <f>IF(OR($A1165="",$C1165=""),"",IF(ISNUMBER(Wages!$B1168),INT(MOD(Wages!$B1168,10000)/100),IFERROR(VALUE(TRIM(LEFT(MID(Wages!$B1168,FIND("/",Wages!$B1168)+1,20),FIND("/",MID(Wages!$B1168,FIND("/",Wages!$B1168)+1,20))-1))),"")))</f>
        <v/>
      </c>
      <c r="E1165">
        <f>IF(OR($A1165="",$C1165=""),"",IF(ISNUMBER(Wages!$B1168),MOD(Wages!$B1168,100),IFERROR(VALUE(TRIM(MID(MID(Wages!$B1168,FIND("/",Wages!$B1168)+1,20),FIND("/",MID(Wages!$B1168,FIND("/",Wages!$B1168)+1,20))+1,20))),"")))</f>
        <v/>
      </c>
      <c r="F1165">
        <f>IF($A1165="","",IF(OR($C1165="",$D1165="",$E1165="",$C1165&lt;1300,$C1165&gt;1500,$D1165&lt;1,$D1165&gt;12,$E1165&lt;1,$E1165&gt;31),"نامعتبر",RIGHT("0000"&amp;$C1165,4)&amp;"/"&amp;RIGHT("00"&amp;$D1165,2)&amp;"/"&amp;RIGHT("00"&amp;$E1165,2)))</f>
        <v/>
      </c>
      <c r="G1165">
        <f>IF(OR($A1165="",$F1165="",$F1165="نامعتبر"),"",LEFT($F1165,4)&amp;MID($F1165,6,2)&amp;RIGHT($F1165,2)&amp;"0000"&amp;"|"&amp;"1"&amp;RIGHT("00000"&amp;1160,5))</f>
        <v/>
      </c>
      <c r="H1165">
        <f>IF(OR($B1165&lt;&gt;1,$G1165=""),"",COUNTIFS(LdAParty,$A1165,LdAType,1,LdAKey,"&lt;"&amp;$G1165)+COUNTIFS(LdBMember,$A1165,LdBKey,"&lt;"&amp;$G1165)+COUNTIFS(LdCParty,$A1165,LdCKey,"&lt;"&amp;$G1165)+1)</f>
        <v/>
      </c>
      <c r="I1165">
        <f>IF($H1165="","",$A1165&amp;"|"&amp;RIGHT("000000"&amp;$H1165,6))</f>
        <v/>
      </c>
      <c r="J1165">
        <f>IF(OR($B1165&lt;&gt;2,$G1165=""),"",COUNTIFS(LdAParty,$A1165,LdAType,2,LdAKey,"&lt;"&amp;$G1165)+1)</f>
        <v/>
      </c>
      <c r="K1165">
        <f>IF($J1165="","",$A1165&amp;"|"&amp;RIGHT("000000"&amp;$J1165,6))</f>
        <v/>
      </c>
      <c r="L1165">
        <f>IF($A1165="","",IF(Wages!$G1168="",0,Wages!$G1168))</f>
        <v/>
      </c>
      <c r="M1165">
        <f>IF($A1165="","",Wages!$J1168)</f>
        <v/>
      </c>
      <c r="N1165">
        <f>IF($A1165="","",Wages!$D1168)</f>
        <v/>
      </c>
      <c r="P1165">
        <f>IF(OR(Shares!$B1168="",Shares!$C1168=""),"",Shares!$C1168)</f>
        <v/>
      </c>
      <c r="Q1165">
        <f>IF($P1165="","",Shares!$B1168)</f>
        <v/>
      </c>
      <c r="R1165">
        <f>IF($P1165="","",IFERROR(INDEX(WageParty,MATCH($Q1165,WageIds,0)),""))</f>
        <v/>
      </c>
      <c r="S1165">
        <f>IF($P1165="","",IFERROR(INDEX($F$6:$F$2005,MATCH($Q1165,WageIds,0)),""))</f>
        <v/>
      </c>
      <c r="T1165">
        <f>IF(OR($P1165="",$S1165="",$S1165="نامعتبر"),"",LEFT($S1165,4)&amp;MID($S1165,6,2)&amp;RIGHT($S1165,2)&amp;"0000"&amp;"|"&amp;"2"&amp;RIGHT("00000"&amp;1160,5))</f>
        <v/>
      </c>
      <c r="U1165">
        <f>IF($T1165="","",COUNTIFS(LdAParty,$P1165,LdAType,1,LdAKey,"&lt;"&amp;$T1165)+COUNTIFS(LdBMember,$P1165,LdBKey,"&lt;"&amp;$T1165)+COUNTIFS(LdCParty,$P1165,LdCKey,"&lt;"&amp;$T1165)+1)</f>
        <v/>
      </c>
      <c r="V1165">
        <f>IF($U1165="","",$P1165&amp;"|"&amp;RIGHT("000000"&amp;$U1165,6))</f>
        <v/>
      </c>
      <c r="W1165">
        <f>IF($T1165="","",COUNTIFS(LdBGroup,$R1165,LdBKey,"&lt;"&amp;$T1165)+1)</f>
        <v/>
      </c>
      <c r="X1165">
        <f>IF($W1165="","",$R1165&amp;"|"&amp;RIGHT("000000"&amp;$W1165,6))</f>
        <v/>
      </c>
      <c r="Y1165">
        <f>IF($P1165="","",IF(Shares!$E1168="",0,Shares!$E1168))</f>
        <v/>
      </c>
      <c r="Z1165">
        <f>IF($P1165="","",Shares!$H1168)</f>
        <v/>
      </c>
      <c r="AE1165">
        <f>IF(OR(Sync!$S1165="",Sync!$P1165=""),"",Sync!$S1165)</f>
        <v/>
      </c>
      <c r="AF1165">
        <f>IF($AE1165="","",IF(ISNUMBER(Sync!$P1165),IF(AND(Sync!$P1165&gt;=10000101,Sync!$P1165&lt;=99991231),INT(Sync!$P1165/10000),""),IFERROR(VALUE(TRIM(LEFT(Sync!$P1165,FIND("/",Sync!$P1165)-1))),"")))</f>
        <v/>
      </c>
      <c r="AG1165">
        <f>IF(OR($AE1165="",$AF1165=""),"",IF(ISNUMBER(Sync!$P1165),INT(MOD(Sync!$P1165,10000)/100),IFERROR(VALUE(TRIM(LEFT(MID(Sync!$P1165,FIND("/",Sync!$P1165)+1,20),FIND("/",MID(Sync!$P1165,FIND("/",Sync!$P1165)+1,20))-1))),"")))</f>
        <v/>
      </c>
      <c r="AH1165">
        <f>IF(OR($AE1165="",$AF1165=""),"",IF(ISNUMBER(Sync!$P1165),MOD(Sync!$P1165,100),IFERROR(VALUE(TRIM(MID(MID(Sync!$P1165,FIND("/",Sync!$P1165)+1,20),FIND("/",MID(Sync!$P1165,FIND("/",Sync!$P1165)+1,20))+1,20))),"")))</f>
        <v/>
      </c>
      <c r="AI1165">
        <f>IF($AE1165="","",IF(OR($AF1165="",$AG1165="",$AH1165="",$AF1165&lt;1300,$AF1165&gt;1500,$AG1165&lt;1,$AG1165&gt;12,$AH1165&lt;1,$AH1165&gt;31),"نامعتبر",RIGHT("0000"&amp;$AF1165,4)&amp;"/"&amp;RIGHT("00"&amp;$AG1165,2)&amp;"/"&amp;RIGHT("00"&amp;$AH1165,2)))</f>
        <v/>
      </c>
      <c r="AJ1165">
        <f>IF($AE1165="","",IF(Sync!$Q1165="","0000",IF(AND(ISNUMBER(Sync!$Q1165),Sync!$Q1165&gt;=0,Sync!$Q1165&lt;1),RIGHT("00"&amp;HOUR(Sync!$Q1165),2)&amp;RIGHT("00"&amp;MINUTE(Sync!$Q1165),2),IFERROR(RIGHT("00"&amp;VALUE(LEFT(Sync!$Q1165,FIND(":",Sync!$Q1165)-1)),2)&amp;RIGHT("00"&amp;VALUE(MID(Sync!$Q1165,FIND(":",Sync!$Q1165)+1,2)),2),"0000"))))</f>
        <v/>
      </c>
      <c r="AK1165">
        <f>IF(OR($AE1165="",$AI1165="",$AI1165="نامعتبر"),"",LEFT($AI1165,4)&amp;MID($AI1165,6,2)&amp;RIGHT($AI1165,2)&amp;$AJ1165&amp;"|"&amp;"3"&amp;RIGHT("00000"&amp;1160,5))</f>
        <v/>
      </c>
      <c r="AL1165">
        <f>IF($AK1165="","",COUNTIFS(LdAParty,$AE1165,LdAType,1,LdAKey,"&lt;"&amp;$AK1165)+COUNTIFS(LdBMember,$AE1165,LdBKey,"&lt;"&amp;$AK1165)+COUNTIFS(LdCParty,$AE1165,LdCKey,"&lt;"&amp;$AK1165)+1)</f>
        <v/>
      </c>
      <c r="AM1165">
        <f>IF($AL1165="","",$AE1165&amp;"|"&amp;RIGHT("000000"&amp;$AL1165,6))</f>
        <v/>
      </c>
      <c r="AN1165">
        <f>IF($AE1165="","",IF(Sync!$W1165="",0,Sync!$W1165))</f>
        <v/>
      </c>
      <c r="AO1165">
        <f>IF($AE1165="","",IF(Sync!$X1165="",0,Sync!$X1165))</f>
        <v/>
      </c>
      <c r="AP1165">
        <f>IF($AE1165="","",Sync!$R1165)</f>
        <v/>
      </c>
      <c r="AQ1165">
        <f>IF($AE1165="","",Sync!$Y1165)</f>
        <v/>
      </c>
    </row>
    <row r="1166">
      <c r="A1166">
        <f>IF(OR(Wages!$B1169="",Wages!$E1169=""),"",Wages!$E1169)</f>
        <v/>
      </c>
      <c r="B1166">
        <f>IF($A1166="","",IF(Wages!$C1169="دستمزد گروهی",2,1))</f>
        <v/>
      </c>
      <c r="C1166">
        <f>IF($A1166="","",IF(ISNUMBER(Wages!$B1169),IF(AND(Wages!$B1169&gt;=10000101,Wages!$B1169&lt;=99991231),INT(Wages!$B1169/10000),""),IFERROR(VALUE(TRIM(LEFT(Wages!$B1169,FIND("/",Wages!$B1169)-1))),"")))</f>
        <v/>
      </c>
      <c r="D1166">
        <f>IF(OR($A1166="",$C1166=""),"",IF(ISNUMBER(Wages!$B1169),INT(MOD(Wages!$B1169,10000)/100),IFERROR(VALUE(TRIM(LEFT(MID(Wages!$B1169,FIND("/",Wages!$B1169)+1,20),FIND("/",MID(Wages!$B1169,FIND("/",Wages!$B1169)+1,20))-1))),"")))</f>
        <v/>
      </c>
      <c r="E1166">
        <f>IF(OR($A1166="",$C1166=""),"",IF(ISNUMBER(Wages!$B1169),MOD(Wages!$B1169,100),IFERROR(VALUE(TRIM(MID(MID(Wages!$B1169,FIND("/",Wages!$B1169)+1,20),FIND("/",MID(Wages!$B1169,FIND("/",Wages!$B1169)+1,20))+1,20))),"")))</f>
        <v/>
      </c>
      <c r="F1166">
        <f>IF($A1166="","",IF(OR($C1166="",$D1166="",$E1166="",$C1166&lt;1300,$C1166&gt;1500,$D1166&lt;1,$D1166&gt;12,$E1166&lt;1,$E1166&gt;31),"نامعتبر",RIGHT("0000"&amp;$C1166,4)&amp;"/"&amp;RIGHT("00"&amp;$D1166,2)&amp;"/"&amp;RIGHT("00"&amp;$E1166,2)))</f>
        <v/>
      </c>
      <c r="G1166">
        <f>IF(OR($A1166="",$F1166="",$F1166="نامعتبر"),"",LEFT($F1166,4)&amp;MID($F1166,6,2)&amp;RIGHT($F1166,2)&amp;"0000"&amp;"|"&amp;"1"&amp;RIGHT("00000"&amp;1161,5))</f>
        <v/>
      </c>
      <c r="H1166">
        <f>IF(OR($B1166&lt;&gt;1,$G1166=""),"",COUNTIFS(LdAParty,$A1166,LdAType,1,LdAKey,"&lt;"&amp;$G1166)+COUNTIFS(LdBMember,$A1166,LdBKey,"&lt;"&amp;$G1166)+COUNTIFS(LdCParty,$A1166,LdCKey,"&lt;"&amp;$G1166)+1)</f>
        <v/>
      </c>
      <c r="I1166">
        <f>IF($H1166="","",$A1166&amp;"|"&amp;RIGHT("000000"&amp;$H1166,6))</f>
        <v/>
      </c>
      <c r="J1166">
        <f>IF(OR($B1166&lt;&gt;2,$G1166=""),"",COUNTIFS(LdAParty,$A1166,LdAType,2,LdAKey,"&lt;"&amp;$G1166)+1)</f>
        <v/>
      </c>
      <c r="K1166">
        <f>IF($J1166="","",$A1166&amp;"|"&amp;RIGHT("000000"&amp;$J1166,6))</f>
        <v/>
      </c>
      <c r="L1166">
        <f>IF($A1166="","",IF(Wages!$G1169="",0,Wages!$G1169))</f>
        <v/>
      </c>
      <c r="M1166">
        <f>IF($A1166="","",Wages!$J1169)</f>
        <v/>
      </c>
      <c r="N1166">
        <f>IF($A1166="","",Wages!$D1169)</f>
        <v/>
      </c>
      <c r="P1166">
        <f>IF(OR(Shares!$B1169="",Shares!$C1169=""),"",Shares!$C1169)</f>
        <v/>
      </c>
      <c r="Q1166">
        <f>IF($P1166="","",Shares!$B1169)</f>
        <v/>
      </c>
      <c r="R1166">
        <f>IF($P1166="","",IFERROR(INDEX(WageParty,MATCH($Q1166,WageIds,0)),""))</f>
        <v/>
      </c>
      <c r="S1166">
        <f>IF($P1166="","",IFERROR(INDEX($F$6:$F$2005,MATCH($Q1166,WageIds,0)),""))</f>
        <v/>
      </c>
      <c r="T1166">
        <f>IF(OR($P1166="",$S1166="",$S1166="نامعتبر"),"",LEFT($S1166,4)&amp;MID($S1166,6,2)&amp;RIGHT($S1166,2)&amp;"0000"&amp;"|"&amp;"2"&amp;RIGHT("00000"&amp;1161,5))</f>
        <v/>
      </c>
      <c r="U1166">
        <f>IF($T1166="","",COUNTIFS(LdAParty,$P1166,LdAType,1,LdAKey,"&lt;"&amp;$T1166)+COUNTIFS(LdBMember,$P1166,LdBKey,"&lt;"&amp;$T1166)+COUNTIFS(LdCParty,$P1166,LdCKey,"&lt;"&amp;$T1166)+1)</f>
        <v/>
      </c>
      <c r="V1166">
        <f>IF($U1166="","",$P1166&amp;"|"&amp;RIGHT("000000"&amp;$U1166,6))</f>
        <v/>
      </c>
      <c r="W1166">
        <f>IF($T1166="","",COUNTIFS(LdBGroup,$R1166,LdBKey,"&lt;"&amp;$T1166)+1)</f>
        <v/>
      </c>
      <c r="X1166">
        <f>IF($W1166="","",$R1166&amp;"|"&amp;RIGHT("000000"&amp;$W1166,6))</f>
        <v/>
      </c>
      <c r="Y1166">
        <f>IF($P1166="","",IF(Shares!$E1169="",0,Shares!$E1169))</f>
        <v/>
      </c>
      <c r="Z1166">
        <f>IF($P1166="","",Shares!$H1169)</f>
        <v/>
      </c>
      <c r="AE1166">
        <f>IF(OR(Sync!$S1166="",Sync!$P1166=""),"",Sync!$S1166)</f>
        <v/>
      </c>
      <c r="AF1166">
        <f>IF($AE1166="","",IF(ISNUMBER(Sync!$P1166),IF(AND(Sync!$P1166&gt;=10000101,Sync!$P1166&lt;=99991231),INT(Sync!$P1166/10000),""),IFERROR(VALUE(TRIM(LEFT(Sync!$P1166,FIND("/",Sync!$P1166)-1))),"")))</f>
        <v/>
      </c>
      <c r="AG1166">
        <f>IF(OR($AE1166="",$AF1166=""),"",IF(ISNUMBER(Sync!$P1166),INT(MOD(Sync!$P1166,10000)/100),IFERROR(VALUE(TRIM(LEFT(MID(Sync!$P1166,FIND("/",Sync!$P1166)+1,20),FIND("/",MID(Sync!$P1166,FIND("/",Sync!$P1166)+1,20))-1))),"")))</f>
        <v/>
      </c>
      <c r="AH1166">
        <f>IF(OR($AE1166="",$AF1166=""),"",IF(ISNUMBER(Sync!$P1166),MOD(Sync!$P1166,100),IFERROR(VALUE(TRIM(MID(MID(Sync!$P1166,FIND("/",Sync!$P1166)+1,20),FIND("/",MID(Sync!$P1166,FIND("/",Sync!$P1166)+1,20))+1,20))),"")))</f>
        <v/>
      </c>
      <c r="AI1166">
        <f>IF($AE1166="","",IF(OR($AF1166="",$AG1166="",$AH1166="",$AF1166&lt;1300,$AF1166&gt;1500,$AG1166&lt;1,$AG1166&gt;12,$AH1166&lt;1,$AH1166&gt;31),"نامعتبر",RIGHT("0000"&amp;$AF1166,4)&amp;"/"&amp;RIGHT("00"&amp;$AG1166,2)&amp;"/"&amp;RIGHT("00"&amp;$AH1166,2)))</f>
        <v/>
      </c>
      <c r="AJ1166">
        <f>IF($AE1166="","",IF(Sync!$Q1166="","0000",IF(AND(ISNUMBER(Sync!$Q1166),Sync!$Q1166&gt;=0,Sync!$Q1166&lt;1),RIGHT("00"&amp;HOUR(Sync!$Q1166),2)&amp;RIGHT("00"&amp;MINUTE(Sync!$Q1166),2),IFERROR(RIGHT("00"&amp;VALUE(LEFT(Sync!$Q1166,FIND(":",Sync!$Q1166)-1)),2)&amp;RIGHT("00"&amp;VALUE(MID(Sync!$Q1166,FIND(":",Sync!$Q1166)+1,2)),2),"0000"))))</f>
        <v/>
      </c>
      <c r="AK1166">
        <f>IF(OR($AE1166="",$AI1166="",$AI1166="نامعتبر"),"",LEFT($AI1166,4)&amp;MID($AI1166,6,2)&amp;RIGHT($AI1166,2)&amp;$AJ1166&amp;"|"&amp;"3"&amp;RIGHT("00000"&amp;1161,5))</f>
        <v/>
      </c>
      <c r="AL1166">
        <f>IF($AK1166="","",COUNTIFS(LdAParty,$AE1166,LdAType,1,LdAKey,"&lt;"&amp;$AK1166)+COUNTIFS(LdBMember,$AE1166,LdBKey,"&lt;"&amp;$AK1166)+COUNTIFS(LdCParty,$AE1166,LdCKey,"&lt;"&amp;$AK1166)+1)</f>
        <v/>
      </c>
      <c r="AM1166">
        <f>IF($AL1166="","",$AE1166&amp;"|"&amp;RIGHT("000000"&amp;$AL1166,6))</f>
        <v/>
      </c>
      <c r="AN1166">
        <f>IF($AE1166="","",IF(Sync!$W1166="",0,Sync!$W1166))</f>
        <v/>
      </c>
      <c r="AO1166">
        <f>IF($AE1166="","",IF(Sync!$X1166="",0,Sync!$X1166))</f>
        <v/>
      </c>
      <c r="AP1166">
        <f>IF($AE1166="","",Sync!$R1166)</f>
        <v/>
      </c>
      <c r="AQ1166">
        <f>IF($AE1166="","",Sync!$Y1166)</f>
        <v/>
      </c>
    </row>
    <row r="1167">
      <c r="A1167">
        <f>IF(OR(Wages!$B1170="",Wages!$E1170=""),"",Wages!$E1170)</f>
        <v/>
      </c>
      <c r="B1167">
        <f>IF($A1167="","",IF(Wages!$C1170="دستمزد گروهی",2,1))</f>
        <v/>
      </c>
      <c r="C1167">
        <f>IF($A1167="","",IF(ISNUMBER(Wages!$B1170),IF(AND(Wages!$B1170&gt;=10000101,Wages!$B1170&lt;=99991231),INT(Wages!$B1170/10000),""),IFERROR(VALUE(TRIM(LEFT(Wages!$B1170,FIND("/",Wages!$B1170)-1))),"")))</f>
        <v/>
      </c>
      <c r="D1167">
        <f>IF(OR($A1167="",$C1167=""),"",IF(ISNUMBER(Wages!$B1170),INT(MOD(Wages!$B1170,10000)/100),IFERROR(VALUE(TRIM(LEFT(MID(Wages!$B1170,FIND("/",Wages!$B1170)+1,20),FIND("/",MID(Wages!$B1170,FIND("/",Wages!$B1170)+1,20))-1))),"")))</f>
        <v/>
      </c>
      <c r="E1167">
        <f>IF(OR($A1167="",$C1167=""),"",IF(ISNUMBER(Wages!$B1170),MOD(Wages!$B1170,100),IFERROR(VALUE(TRIM(MID(MID(Wages!$B1170,FIND("/",Wages!$B1170)+1,20),FIND("/",MID(Wages!$B1170,FIND("/",Wages!$B1170)+1,20))+1,20))),"")))</f>
        <v/>
      </c>
      <c r="F1167">
        <f>IF($A1167="","",IF(OR($C1167="",$D1167="",$E1167="",$C1167&lt;1300,$C1167&gt;1500,$D1167&lt;1,$D1167&gt;12,$E1167&lt;1,$E1167&gt;31),"نامعتبر",RIGHT("0000"&amp;$C1167,4)&amp;"/"&amp;RIGHT("00"&amp;$D1167,2)&amp;"/"&amp;RIGHT("00"&amp;$E1167,2)))</f>
        <v/>
      </c>
      <c r="G1167">
        <f>IF(OR($A1167="",$F1167="",$F1167="نامعتبر"),"",LEFT($F1167,4)&amp;MID($F1167,6,2)&amp;RIGHT($F1167,2)&amp;"0000"&amp;"|"&amp;"1"&amp;RIGHT("00000"&amp;1162,5))</f>
        <v/>
      </c>
      <c r="H1167">
        <f>IF(OR($B1167&lt;&gt;1,$G1167=""),"",COUNTIFS(LdAParty,$A1167,LdAType,1,LdAKey,"&lt;"&amp;$G1167)+COUNTIFS(LdBMember,$A1167,LdBKey,"&lt;"&amp;$G1167)+COUNTIFS(LdCParty,$A1167,LdCKey,"&lt;"&amp;$G1167)+1)</f>
        <v/>
      </c>
      <c r="I1167">
        <f>IF($H1167="","",$A1167&amp;"|"&amp;RIGHT("000000"&amp;$H1167,6))</f>
        <v/>
      </c>
      <c r="J1167">
        <f>IF(OR($B1167&lt;&gt;2,$G1167=""),"",COUNTIFS(LdAParty,$A1167,LdAType,2,LdAKey,"&lt;"&amp;$G1167)+1)</f>
        <v/>
      </c>
      <c r="K1167">
        <f>IF($J1167="","",$A1167&amp;"|"&amp;RIGHT("000000"&amp;$J1167,6))</f>
        <v/>
      </c>
      <c r="L1167">
        <f>IF($A1167="","",IF(Wages!$G1170="",0,Wages!$G1170))</f>
        <v/>
      </c>
      <c r="M1167">
        <f>IF($A1167="","",Wages!$J1170)</f>
        <v/>
      </c>
      <c r="N1167">
        <f>IF($A1167="","",Wages!$D1170)</f>
        <v/>
      </c>
      <c r="P1167">
        <f>IF(OR(Shares!$B1170="",Shares!$C1170=""),"",Shares!$C1170)</f>
        <v/>
      </c>
      <c r="Q1167">
        <f>IF($P1167="","",Shares!$B1170)</f>
        <v/>
      </c>
      <c r="R1167">
        <f>IF($P1167="","",IFERROR(INDEX(WageParty,MATCH($Q1167,WageIds,0)),""))</f>
        <v/>
      </c>
      <c r="S1167">
        <f>IF($P1167="","",IFERROR(INDEX($F$6:$F$2005,MATCH($Q1167,WageIds,0)),""))</f>
        <v/>
      </c>
      <c r="T1167">
        <f>IF(OR($P1167="",$S1167="",$S1167="نامعتبر"),"",LEFT($S1167,4)&amp;MID($S1167,6,2)&amp;RIGHT($S1167,2)&amp;"0000"&amp;"|"&amp;"2"&amp;RIGHT("00000"&amp;1162,5))</f>
        <v/>
      </c>
      <c r="U1167">
        <f>IF($T1167="","",COUNTIFS(LdAParty,$P1167,LdAType,1,LdAKey,"&lt;"&amp;$T1167)+COUNTIFS(LdBMember,$P1167,LdBKey,"&lt;"&amp;$T1167)+COUNTIFS(LdCParty,$P1167,LdCKey,"&lt;"&amp;$T1167)+1)</f>
        <v/>
      </c>
      <c r="V1167">
        <f>IF($U1167="","",$P1167&amp;"|"&amp;RIGHT("000000"&amp;$U1167,6))</f>
        <v/>
      </c>
      <c r="W1167">
        <f>IF($T1167="","",COUNTIFS(LdBGroup,$R1167,LdBKey,"&lt;"&amp;$T1167)+1)</f>
        <v/>
      </c>
      <c r="X1167">
        <f>IF($W1167="","",$R1167&amp;"|"&amp;RIGHT("000000"&amp;$W1167,6))</f>
        <v/>
      </c>
      <c r="Y1167">
        <f>IF($P1167="","",IF(Shares!$E1170="",0,Shares!$E1170))</f>
        <v/>
      </c>
      <c r="Z1167">
        <f>IF($P1167="","",Shares!$H1170)</f>
        <v/>
      </c>
      <c r="AE1167">
        <f>IF(OR(Sync!$S1167="",Sync!$P1167=""),"",Sync!$S1167)</f>
        <v/>
      </c>
      <c r="AF1167">
        <f>IF($AE1167="","",IF(ISNUMBER(Sync!$P1167),IF(AND(Sync!$P1167&gt;=10000101,Sync!$P1167&lt;=99991231),INT(Sync!$P1167/10000),""),IFERROR(VALUE(TRIM(LEFT(Sync!$P1167,FIND("/",Sync!$P1167)-1))),"")))</f>
        <v/>
      </c>
      <c r="AG1167">
        <f>IF(OR($AE1167="",$AF1167=""),"",IF(ISNUMBER(Sync!$P1167),INT(MOD(Sync!$P1167,10000)/100),IFERROR(VALUE(TRIM(LEFT(MID(Sync!$P1167,FIND("/",Sync!$P1167)+1,20),FIND("/",MID(Sync!$P1167,FIND("/",Sync!$P1167)+1,20))-1))),"")))</f>
        <v/>
      </c>
      <c r="AH1167">
        <f>IF(OR($AE1167="",$AF1167=""),"",IF(ISNUMBER(Sync!$P1167),MOD(Sync!$P1167,100),IFERROR(VALUE(TRIM(MID(MID(Sync!$P1167,FIND("/",Sync!$P1167)+1,20),FIND("/",MID(Sync!$P1167,FIND("/",Sync!$P1167)+1,20))+1,20))),"")))</f>
        <v/>
      </c>
      <c r="AI1167">
        <f>IF($AE1167="","",IF(OR($AF1167="",$AG1167="",$AH1167="",$AF1167&lt;1300,$AF1167&gt;1500,$AG1167&lt;1,$AG1167&gt;12,$AH1167&lt;1,$AH1167&gt;31),"نامعتبر",RIGHT("0000"&amp;$AF1167,4)&amp;"/"&amp;RIGHT("00"&amp;$AG1167,2)&amp;"/"&amp;RIGHT("00"&amp;$AH1167,2)))</f>
        <v/>
      </c>
      <c r="AJ1167">
        <f>IF($AE1167="","",IF(Sync!$Q1167="","0000",IF(AND(ISNUMBER(Sync!$Q1167),Sync!$Q1167&gt;=0,Sync!$Q1167&lt;1),RIGHT("00"&amp;HOUR(Sync!$Q1167),2)&amp;RIGHT("00"&amp;MINUTE(Sync!$Q1167),2),IFERROR(RIGHT("00"&amp;VALUE(LEFT(Sync!$Q1167,FIND(":",Sync!$Q1167)-1)),2)&amp;RIGHT("00"&amp;VALUE(MID(Sync!$Q1167,FIND(":",Sync!$Q1167)+1,2)),2),"0000"))))</f>
        <v/>
      </c>
      <c r="AK1167">
        <f>IF(OR($AE1167="",$AI1167="",$AI1167="نامعتبر"),"",LEFT($AI1167,4)&amp;MID($AI1167,6,2)&amp;RIGHT($AI1167,2)&amp;$AJ1167&amp;"|"&amp;"3"&amp;RIGHT("00000"&amp;1162,5))</f>
        <v/>
      </c>
      <c r="AL1167">
        <f>IF($AK1167="","",COUNTIFS(LdAParty,$AE1167,LdAType,1,LdAKey,"&lt;"&amp;$AK1167)+COUNTIFS(LdBMember,$AE1167,LdBKey,"&lt;"&amp;$AK1167)+COUNTIFS(LdCParty,$AE1167,LdCKey,"&lt;"&amp;$AK1167)+1)</f>
        <v/>
      </c>
      <c r="AM1167">
        <f>IF($AL1167="","",$AE1167&amp;"|"&amp;RIGHT("000000"&amp;$AL1167,6))</f>
        <v/>
      </c>
      <c r="AN1167">
        <f>IF($AE1167="","",IF(Sync!$W1167="",0,Sync!$W1167))</f>
        <v/>
      </c>
      <c r="AO1167">
        <f>IF($AE1167="","",IF(Sync!$X1167="",0,Sync!$X1167))</f>
        <v/>
      </c>
      <c r="AP1167">
        <f>IF($AE1167="","",Sync!$R1167)</f>
        <v/>
      </c>
      <c r="AQ1167">
        <f>IF($AE1167="","",Sync!$Y1167)</f>
        <v/>
      </c>
    </row>
    <row r="1168">
      <c r="A1168">
        <f>IF(OR(Wages!$B1171="",Wages!$E1171=""),"",Wages!$E1171)</f>
        <v/>
      </c>
      <c r="B1168">
        <f>IF($A1168="","",IF(Wages!$C1171="دستمزد گروهی",2,1))</f>
        <v/>
      </c>
      <c r="C1168">
        <f>IF($A1168="","",IF(ISNUMBER(Wages!$B1171),IF(AND(Wages!$B1171&gt;=10000101,Wages!$B1171&lt;=99991231),INT(Wages!$B1171/10000),""),IFERROR(VALUE(TRIM(LEFT(Wages!$B1171,FIND("/",Wages!$B1171)-1))),"")))</f>
        <v/>
      </c>
      <c r="D1168">
        <f>IF(OR($A1168="",$C1168=""),"",IF(ISNUMBER(Wages!$B1171),INT(MOD(Wages!$B1171,10000)/100),IFERROR(VALUE(TRIM(LEFT(MID(Wages!$B1171,FIND("/",Wages!$B1171)+1,20),FIND("/",MID(Wages!$B1171,FIND("/",Wages!$B1171)+1,20))-1))),"")))</f>
        <v/>
      </c>
      <c r="E1168">
        <f>IF(OR($A1168="",$C1168=""),"",IF(ISNUMBER(Wages!$B1171),MOD(Wages!$B1171,100),IFERROR(VALUE(TRIM(MID(MID(Wages!$B1171,FIND("/",Wages!$B1171)+1,20),FIND("/",MID(Wages!$B1171,FIND("/",Wages!$B1171)+1,20))+1,20))),"")))</f>
        <v/>
      </c>
      <c r="F1168">
        <f>IF($A1168="","",IF(OR($C1168="",$D1168="",$E1168="",$C1168&lt;1300,$C1168&gt;1500,$D1168&lt;1,$D1168&gt;12,$E1168&lt;1,$E1168&gt;31),"نامعتبر",RIGHT("0000"&amp;$C1168,4)&amp;"/"&amp;RIGHT("00"&amp;$D1168,2)&amp;"/"&amp;RIGHT("00"&amp;$E1168,2)))</f>
        <v/>
      </c>
      <c r="G1168">
        <f>IF(OR($A1168="",$F1168="",$F1168="نامعتبر"),"",LEFT($F1168,4)&amp;MID($F1168,6,2)&amp;RIGHT($F1168,2)&amp;"0000"&amp;"|"&amp;"1"&amp;RIGHT("00000"&amp;1163,5))</f>
        <v/>
      </c>
      <c r="H1168">
        <f>IF(OR($B1168&lt;&gt;1,$G1168=""),"",COUNTIFS(LdAParty,$A1168,LdAType,1,LdAKey,"&lt;"&amp;$G1168)+COUNTIFS(LdBMember,$A1168,LdBKey,"&lt;"&amp;$G1168)+COUNTIFS(LdCParty,$A1168,LdCKey,"&lt;"&amp;$G1168)+1)</f>
        <v/>
      </c>
      <c r="I1168">
        <f>IF($H1168="","",$A1168&amp;"|"&amp;RIGHT("000000"&amp;$H1168,6))</f>
        <v/>
      </c>
      <c r="J1168">
        <f>IF(OR($B1168&lt;&gt;2,$G1168=""),"",COUNTIFS(LdAParty,$A1168,LdAType,2,LdAKey,"&lt;"&amp;$G1168)+1)</f>
        <v/>
      </c>
      <c r="K1168">
        <f>IF($J1168="","",$A1168&amp;"|"&amp;RIGHT("000000"&amp;$J1168,6))</f>
        <v/>
      </c>
      <c r="L1168">
        <f>IF($A1168="","",IF(Wages!$G1171="",0,Wages!$G1171))</f>
        <v/>
      </c>
      <c r="M1168">
        <f>IF($A1168="","",Wages!$J1171)</f>
        <v/>
      </c>
      <c r="N1168">
        <f>IF($A1168="","",Wages!$D1171)</f>
        <v/>
      </c>
      <c r="P1168">
        <f>IF(OR(Shares!$B1171="",Shares!$C1171=""),"",Shares!$C1171)</f>
        <v/>
      </c>
      <c r="Q1168">
        <f>IF($P1168="","",Shares!$B1171)</f>
        <v/>
      </c>
      <c r="R1168">
        <f>IF($P1168="","",IFERROR(INDEX(WageParty,MATCH($Q1168,WageIds,0)),""))</f>
        <v/>
      </c>
      <c r="S1168">
        <f>IF($P1168="","",IFERROR(INDEX($F$6:$F$2005,MATCH($Q1168,WageIds,0)),""))</f>
        <v/>
      </c>
      <c r="T1168">
        <f>IF(OR($P1168="",$S1168="",$S1168="نامعتبر"),"",LEFT($S1168,4)&amp;MID($S1168,6,2)&amp;RIGHT($S1168,2)&amp;"0000"&amp;"|"&amp;"2"&amp;RIGHT("00000"&amp;1163,5))</f>
        <v/>
      </c>
      <c r="U1168">
        <f>IF($T1168="","",COUNTIFS(LdAParty,$P1168,LdAType,1,LdAKey,"&lt;"&amp;$T1168)+COUNTIFS(LdBMember,$P1168,LdBKey,"&lt;"&amp;$T1168)+COUNTIFS(LdCParty,$P1168,LdCKey,"&lt;"&amp;$T1168)+1)</f>
        <v/>
      </c>
      <c r="V1168">
        <f>IF($U1168="","",$P1168&amp;"|"&amp;RIGHT("000000"&amp;$U1168,6))</f>
        <v/>
      </c>
      <c r="W1168">
        <f>IF($T1168="","",COUNTIFS(LdBGroup,$R1168,LdBKey,"&lt;"&amp;$T1168)+1)</f>
        <v/>
      </c>
      <c r="X1168">
        <f>IF($W1168="","",$R1168&amp;"|"&amp;RIGHT("000000"&amp;$W1168,6))</f>
        <v/>
      </c>
      <c r="Y1168">
        <f>IF($P1168="","",IF(Shares!$E1171="",0,Shares!$E1171))</f>
        <v/>
      </c>
      <c r="Z1168">
        <f>IF($P1168="","",Shares!$H1171)</f>
        <v/>
      </c>
      <c r="AE1168">
        <f>IF(OR(Sync!$S1168="",Sync!$P1168=""),"",Sync!$S1168)</f>
        <v/>
      </c>
      <c r="AF1168">
        <f>IF($AE1168="","",IF(ISNUMBER(Sync!$P1168),IF(AND(Sync!$P1168&gt;=10000101,Sync!$P1168&lt;=99991231),INT(Sync!$P1168/10000),""),IFERROR(VALUE(TRIM(LEFT(Sync!$P1168,FIND("/",Sync!$P1168)-1))),"")))</f>
        <v/>
      </c>
      <c r="AG1168">
        <f>IF(OR($AE1168="",$AF1168=""),"",IF(ISNUMBER(Sync!$P1168),INT(MOD(Sync!$P1168,10000)/100),IFERROR(VALUE(TRIM(LEFT(MID(Sync!$P1168,FIND("/",Sync!$P1168)+1,20),FIND("/",MID(Sync!$P1168,FIND("/",Sync!$P1168)+1,20))-1))),"")))</f>
        <v/>
      </c>
      <c r="AH1168">
        <f>IF(OR($AE1168="",$AF1168=""),"",IF(ISNUMBER(Sync!$P1168),MOD(Sync!$P1168,100),IFERROR(VALUE(TRIM(MID(MID(Sync!$P1168,FIND("/",Sync!$P1168)+1,20),FIND("/",MID(Sync!$P1168,FIND("/",Sync!$P1168)+1,20))+1,20))),"")))</f>
        <v/>
      </c>
      <c r="AI1168">
        <f>IF($AE1168="","",IF(OR($AF1168="",$AG1168="",$AH1168="",$AF1168&lt;1300,$AF1168&gt;1500,$AG1168&lt;1,$AG1168&gt;12,$AH1168&lt;1,$AH1168&gt;31),"نامعتبر",RIGHT("0000"&amp;$AF1168,4)&amp;"/"&amp;RIGHT("00"&amp;$AG1168,2)&amp;"/"&amp;RIGHT("00"&amp;$AH1168,2)))</f>
        <v/>
      </c>
      <c r="AJ1168">
        <f>IF($AE1168="","",IF(Sync!$Q1168="","0000",IF(AND(ISNUMBER(Sync!$Q1168),Sync!$Q1168&gt;=0,Sync!$Q1168&lt;1),RIGHT("00"&amp;HOUR(Sync!$Q1168),2)&amp;RIGHT("00"&amp;MINUTE(Sync!$Q1168),2),IFERROR(RIGHT("00"&amp;VALUE(LEFT(Sync!$Q1168,FIND(":",Sync!$Q1168)-1)),2)&amp;RIGHT("00"&amp;VALUE(MID(Sync!$Q1168,FIND(":",Sync!$Q1168)+1,2)),2),"0000"))))</f>
        <v/>
      </c>
      <c r="AK1168">
        <f>IF(OR($AE1168="",$AI1168="",$AI1168="نامعتبر"),"",LEFT($AI1168,4)&amp;MID($AI1168,6,2)&amp;RIGHT($AI1168,2)&amp;$AJ1168&amp;"|"&amp;"3"&amp;RIGHT("00000"&amp;1163,5))</f>
        <v/>
      </c>
      <c r="AL1168">
        <f>IF($AK1168="","",COUNTIFS(LdAParty,$AE1168,LdAType,1,LdAKey,"&lt;"&amp;$AK1168)+COUNTIFS(LdBMember,$AE1168,LdBKey,"&lt;"&amp;$AK1168)+COUNTIFS(LdCParty,$AE1168,LdCKey,"&lt;"&amp;$AK1168)+1)</f>
        <v/>
      </c>
      <c r="AM1168">
        <f>IF($AL1168="","",$AE1168&amp;"|"&amp;RIGHT("000000"&amp;$AL1168,6))</f>
        <v/>
      </c>
      <c r="AN1168">
        <f>IF($AE1168="","",IF(Sync!$W1168="",0,Sync!$W1168))</f>
        <v/>
      </c>
      <c r="AO1168">
        <f>IF($AE1168="","",IF(Sync!$X1168="",0,Sync!$X1168))</f>
        <v/>
      </c>
      <c r="AP1168">
        <f>IF($AE1168="","",Sync!$R1168)</f>
        <v/>
      </c>
      <c r="AQ1168">
        <f>IF($AE1168="","",Sync!$Y1168)</f>
        <v/>
      </c>
    </row>
    <row r="1169">
      <c r="A1169">
        <f>IF(OR(Wages!$B1172="",Wages!$E1172=""),"",Wages!$E1172)</f>
        <v/>
      </c>
      <c r="B1169">
        <f>IF($A1169="","",IF(Wages!$C1172="دستمزد گروهی",2,1))</f>
        <v/>
      </c>
      <c r="C1169">
        <f>IF($A1169="","",IF(ISNUMBER(Wages!$B1172),IF(AND(Wages!$B1172&gt;=10000101,Wages!$B1172&lt;=99991231),INT(Wages!$B1172/10000),""),IFERROR(VALUE(TRIM(LEFT(Wages!$B1172,FIND("/",Wages!$B1172)-1))),"")))</f>
        <v/>
      </c>
      <c r="D1169">
        <f>IF(OR($A1169="",$C1169=""),"",IF(ISNUMBER(Wages!$B1172),INT(MOD(Wages!$B1172,10000)/100),IFERROR(VALUE(TRIM(LEFT(MID(Wages!$B1172,FIND("/",Wages!$B1172)+1,20),FIND("/",MID(Wages!$B1172,FIND("/",Wages!$B1172)+1,20))-1))),"")))</f>
        <v/>
      </c>
      <c r="E1169">
        <f>IF(OR($A1169="",$C1169=""),"",IF(ISNUMBER(Wages!$B1172),MOD(Wages!$B1172,100),IFERROR(VALUE(TRIM(MID(MID(Wages!$B1172,FIND("/",Wages!$B1172)+1,20),FIND("/",MID(Wages!$B1172,FIND("/",Wages!$B1172)+1,20))+1,20))),"")))</f>
        <v/>
      </c>
      <c r="F1169">
        <f>IF($A1169="","",IF(OR($C1169="",$D1169="",$E1169="",$C1169&lt;1300,$C1169&gt;1500,$D1169&lt;1,$D1169&gt;12,$E1169&lt;1,$E1169&gt;31),"نامعتبر",RIGHT("0000"&amp;$C1169,4)&amp;"/"&amp;RIGHT("00"&amp;$D1169,2)&amp;"/"&amp;RIGHT("00"&amp;$E1169,2)))</f>
        <v/>
      </c>
      <c r="G1169">
        <f>IF(OR($A1169="",$F1169="",$F1169="نامعتبر"),"",LEFT($F1169,4)&amp;MID($F1169,6,2)&amp;RIGHT($F1169,2)&amp;"0000"&amp;"|"&amp;"1"&amp;RIGHT("00000"&amp;1164,5))</f>
        <v/>
      </c>
      <c r="H1169">
        <f>IF(OR($B1169&lt;&gt;1,$G1169=""),"",COUNTIFS(LdAParty,$A1169,LdAType,1,LdAKey,"&lt;"&amp;$G1169)+COUNTIFS(LdBMember,$A1169,LdBKey,"&lt;"&amp;$G1169)+COUNTIFS(LdCParty,$A1169,LdCKey,"&lt;"&amp;$G1169)+1)</f>
        <v/>
      </c>
      <c r="I1169">
        <f>IF($H1169="","",$A1169&amp;"|"&amp;RIGHT("000000"&amp;$H1169,6))</f>
        <v/>
      </c>
      <c r="J1169">
        <f>IF(OR($B1169&lt;&gt;2,$G1169=""),"",COUNTIFS(LdAParty,$A1169,LdAType,2,LdAKey,"&lt;"&amp;$G1169)+1)</f>
        <v/>
      </c>
      <c r="K1169">
        <f>IF($J1169="","",$A1169&amp;"|"&amp;RIGHT("000000"&amp;$J1169,6))</f>
        <v/>
      </c>
      <c r="L1169">
        <f>IF($A1169="","",IF(Wages!$G1172="",0,Wages!$G1172))</f>
        <v/>
      </c>
      <c r="M1169">
        <f>IF($A1169="","",Wages!$J1172)</f>
        <v/>
      </c>
      <c r="N1169">
        <f>IF($A1169="","",Wages!$D1172)</f>
        <v/>
      </c>
      <c r="P1169">
        <f>IF(OR(Shares!$B1172="",Shares!$C1172=""),"",Shares!$C1172)</f>
        <v/>
      </c>
      <c r="Q1169">
        <f>IF($P1169="","",Shares!$B1172)</f>
        <v/>
      </c>
      <c r="R1169">
        <f>IF($P1169="","",IFERROR(INDEX(WageParty,MATCH($Q1169,WageIds,0)),""))</f>
        <v/>
      </c>
      <c r="S1169">
        <f>IF($P1169="","",IFERROR(INDEX($F$6:$F$2005,MATCH($Q1169,WageIds,0)),""))</f>
        <v/>
      </c>
      <c r="T1169">
        <f>IF(OR($P1169="",$S1169="",$S1169="نامعتبر"),"",LEFT($S1169,4)&amp;MID($S1169,6,2)&amp;RIGHT($S1169,2)&amp;"0000"&amp;"|"&amp;"2"&amp;RIGHT("00000"&amp;1164,5))</f>
        <v/>
      </c>
      <c r="U1169">
        <f>IF($T1169="","",COUNTIFS(LdAParty,$P1169,LdAType,1,LdAKey,"&lt;"&amp;$T1169)+COUNTIFS(LdBMember,$P1169,LdBKey,"&lt;"&amp;$T1169)+COUNTIFS(LdCParty,$P1169,LdCKey,"&lt;"&amp;$T1169)+1)</f>
        <v/>
      </c>
      <c r="V1169">
        <f>IF($U1169="","",$P1169&amp;"|"&amp;RIGHT("000000"&amp;$U1169,6))</f>
        <v/>
      </c>
      <c r="W1169">
        <f>IF($T1169="","",COUNTIFS(LdBGroup,$R1169,LdBKey,"&lt;"&amp;$T1169)+1)</f>
        <v/>
      </c>
      <c r="X1169">
        <f>IF($W1169="","",$R1169&amp;"|"&amp;RIGHT("000000"&amp;$W1169,6))</f>
        <v/>
      </c>
      <c r="Y1169">
        <f>IF($P1169="","",IF(Shares!$E1172="",0,Shares!$E1172))</f>
        <v/>
      </c>
      <c r="Z1169">
        <f>IF($P1169="","",Shares!$H1172)</f>
        <v/>
      </c>
      <c r="AE1169">
        <f>IF(OR(Sync!$S1169="",Sync!$P1169=""),"",Sync!$S1169)</f>
        <v/>
      </c>
      <c r="AF1169">
        <f>IF($AE1169="","",IF(ISNUMBER(Sync!$P1169),IF(AND(Sync!$P1169&gt;=10000101,Sync!$P1169&lt;=99991231),INT(Sync!$P1169/10000),""),IFERROR(VALUE(TRIM(LEFT(Sync!$P1169,FIND("/",Sync!$P1169)-1))),"")))</f>
        <v/>
      </c>
      <c r="AG1169">
        <f>IF(OR($AE1169="",$AF1169=""),"",IF(ISNUMBER(Sync!$P1169),INT(MOD(Sync!$P1169,10000)/100),IFERROR(VALUE(TRIM(LEFT(MID(Sync!$P1169,FIND("/",Sync!$P1169)+1,20),FIND("/",MID(Sync!$P1169,FIND("/",Sync!$P1169)+1,20))-1))),"")))</f>
        <v/>
      </c>
      <c r="AH1169">
        <f>IF(OR($AE1169="",$AF1169=""),"",IF(ISNUMBER(Sync!$P1169),MOD(Sync!$P1169,100),IFERROR(VALUE(TRIM(MID(MID(Sync!$P1169,FIND("/",Sync!$P1169)+1,20),FIND("/",MID(Sync!$P1169,FIND("/",Sync!$P1169)+1,20))+1,20))),"")))</f>
        <v/>
      </c>
      <c r="AI1169">
        <f>IF($AE1169="","",IF(OR($AF1169="",$AG1169="",$AH1169="",$AF1169&lt;1300,$AF1169&gt;1500,$AG1169&lt;1,$AG1169&gt;12,$AH1169&lt;1,$AH1169&gt;31),"نامعتبر",RIGHT("0000"&amp;$AF1169,4)&amp;"/"&amp;RIGHT("00"&amp;$AG1169,2)&amp;"/"&amp;RIGHT("00"&amp;$AH1169,2)))</f>
        <v/>
      </c>
      <c r="AJ1169">
        <f>IF($AE1169="","",IF(Sync!$Q1169="","0000",IF(AND(ISNUMBER(Sync!$Q1169),Sync!$Q1169&gt;=0,Sync!$Q1169&lt;1),RIGHT("00"&amp;HOUR(Sync!$Q1169),2)&amp;RIGHT("00"&amp;MINUTE(Sync!$Q1169),2),IFERROR(RIGHT("00"&amp;VALUE(LEFT(Sync!$Q1169,FIND(":",Sync!$Q1169)-1)),2)&amp;RIGHT("00"&amp;VALUE(MID(Sync!$Q1169,FIND(":",Sync!$Q1169)+1,2)),2),"0000"))))</f>
        <v/>
      </c>
      <c r="AK1169">
        <f>IF(OR($AE1169="",$AI1169="",$AI1169="نامعتبر"),"",LEFT($AI1169,4)&amp;MID($AI1169,6,2)&amp;RIGHT($AI1169,2)&amp;$AJ1169&amp;"|"&amp;"3"&amp;RIGHT("00000"&amp;1164,5))</f>
        <v/>
      </c>
      <c r="AL1169">
        <f>IF($AK1169="","",COUNTIFS(LdAParty,$AE1169,LdAType,1,LdAKey,"&lt;"&amp;$AK1169)+COUNTIFS(LdBMember,$AE1169,LdBKey,"&lt;"&amp;$AK1169)+COUNTIFS(LdCParty,$AE1169,LdCKey,"&lt;"&amp;$AK1169)+1)</f>
        <v/>
      </c>
      <c r="AM1169">
        <f>IF($AL1169="","",$AE1169&amp;"|"&amp;RIGHT("000000"&amp;$AL1169,6))</f>
        <v/>
      </c>
      <c r="AN1169">
        <f>IF($AE1169="","",IF(Sync!$W1169="",0,Sync!$W1169))</f>
        <v/>
      </c>
      <c r="AO1169">
        <f>IF($AE1169="","",IF(Sync!$X1169="",0,Sync!$X1169))</f>
        <v/>
      </c>
      <c r="AP1169">
        <f>IF($AE1169="","",Sync!$R1169)</f>
        <v/>
      </c>
      <c r="AQ1169">
        <f>IF($AE1169="","",Sync!$Y1169)</f>
        <v/>
      </c>
    </row>
    <row r="1170">
      <c r="A1170">
        <f>IF(OR(Wages!$B1173="",Wages!$E1173=""),"",Wages!$E1173)</f>
        <v/>
      </c>
      <c r="B1170">
        <f>IF($A1170="","",IF(Wages!$C1173="دستمزد گروهی",2,1))</f>
        <v/>
      </c>
      <c r="C1170">
        <f>IF($A1170="","",IF(ISNUMBER(Wages!$B1173),IF(AND(Wages!$B1173&gt;=10000101,Wages!$B1173&lt;=99991231),INT(Wages!$B1173/10000),""),IFERROR(VALUE(TRIM(LEFT(Wages!$B1173,FIND("/",Wages!$B1173)-1))),"")))</f>
        <v/>
      </c>
      <c r="D1170">
        <f>IF(OR($A1170="",$C1170=""),"",IF(ISNUMBER(Wages!$B1173),INT(MOD(Wages!$B1173,10000)/100),IFERROR(VALUE(TRIM(LEFT(MID(Wages!$B1173,FIND("/",Wages!$B1173)+1,20),FIND("/",MID(Wages!$B1173,FIND("/",Wages!$B1173)+1,20))-1))),"")))</f>
        <v/>
      </c>
      <c r="E1170">
        <f>IF(OR($A1170="",$C1170=""),"",IF(ISNUMBER(Wages!$B1173),MOD(Wages!$B1173,100),IFERROR(VALUE(TRIM(MID(MID(Wages!$B1173,FIND("/",Wages!$B1173)+1,20),FIND("/",MID(Wages!$B1173,FIND("/",Wages!$B1173)+1,20))+1,20))),"")))</f>
        <v/>
      </c>
      <c r="F1170">
        <f>IF($A1170="","",IF(OR($C1170="",$D1170="",$E1170="",$C1170&lt;1300,$C1170&gt;1500,$D1170&lt;1,$D1170&gt;12,$E1170&lt;1,$E1170&gt;31),"نامعتبر",RIGHT("0000"&amp;$C1170,4)&amp;"/"&amp;RIGHT("00"&amp;$D1170,2)&amp;"/"&amp;RIGHT("00"&amp;$E1170,2)))</f>
        <v/>
      </c>
      <c r="G1170">
        <f>IF(OR($A1170="",$F1170="",$F1170="نامعتبر"),"",LEFT($F1170,4)&amp;MID($F1170,6,2)&amp;RIGHT($F1170,2)&amp;"0000"&amp;"|"&amp;"1"&amp;RIGHT("00000"&amp;1165,5))</f>
        <v/>
      </c>
      <c r="H1170">
        <f>IF(OR($B1170&lt;&gt;1,$G1170=""),"",COUNTIFS(LdAParty,$A1170,LdAType,1,LdAKey,"&lt;"&amp;$G1170)+COUNTIFS(LdBMember,$A1170,LdBKey,"&lt;"&amp;$G1170)+COUNTIFS(LdCParty,$A1170,LdCKey,"&lt;"&amp;$G1170)+1)</f>
        <v/>
      </c>
      <c r="I1170">
        <f>IF($H1170="","",$A1170&amp;"|"&amp;RIGHT("000000"&amp;$H1170,6))</f>
        <v/>
      </c>
      <c r="J1170">
        <f>IF(OR($B1170&lt;&gt;2,$G1170=""),"",COUNTIFS(LdAParty,$A1170,LdAType,2,LdAKey,"&lt;"&amp;$G1170)+1)</f>
        <v/>
      </c>
      <c r="K1170">
        <f>IF($J1170="","",$A1170&amp;"|"&amp;RIGHT("000000"&amp;$J1170,6))</f>
        <v/>
      </c>
      <c r="L1170">
        <f>IF($A1170="","",IF(Wages!$G1173="",0,Wages!$G1173))</f>
        <v/>
      </c>
      <c r="M1170">
        <f>IF($A1170="","",Wages!$J1173)</f>
        <v/>
      </c>
      <c r="N1170">
        <f>IF($A1170="","",Wages!$D1173)</f>
        <v/>
      </c>
      <c r="P1170">
        <f>IF(OR(Shares!$B1173="",Shares!$C1173=""),"",Shares!$C1173)</f>
        <v/>
      </c>
      <c r="Q1170">
        <f>IF($P1170="","",Shares!$B1173)</f>
        <v/>
      </c>
      <c r="R1170">
        <f>IF($P1170="","",IFERROR(INDEX(WageParty,MATCH($Q1170,WageIds,0)),""))</f>
        <v/>
      </c>
      <c r="S1170">
        <f>IF($P1170="","",IFERROR(INDEX($F$6:$F$2005,MATCH($Q1170,WageIds,0)),""))</f>
        <v/>
      </c>
      <c r="T1170">
        <f>IF(OR($P1170="",$S1170="",$S1170="نامعتبر"),"",LEFT($S1170,4)&amp;MID($S1170,6,2)&amp;RIGHT($S1170,2)&amp;"0000"&amp;"|"&amp;"2"&amp;RIGHT("00000"&amp;1165,5))</f>
        <v/>
      </c>
      <c r="U1170">
        <f>IF($T1170="","",COUNTIFS(LdAParty,$P1170,LdAType,1,LdAKey,"&lt;"&amp;$T1170)+COUNTIFS(LdBMember,$P1170,LdBKey,"&lt;"&amp;$T1170)+COUNTIFS(LdCParty,$P1170,LdCKey,"&lt;"&amp;$T1170)+1)</f>
        <v/>
      </c>
      <c r="V1170">
        <f>IF($U1170="","",$P1170&amp;"|"&amp;RIGHT("000000"&amp;$U1170,6))</f>
        <v/>
      </c>
      <c r="W1170">
        <f>IF($T1170="","",COUNTIFS(LdBGroup,$R1170,LdBKey,"&lt;"&amp;$T1170)+1)</f>
        <v/>
      </c>
      <c r="X1170">
        <f>IF($W1170="","",$R1170&amp;"|"&amp;RIGHT("000000"&amp;$W1170,6))</f>
        <v/>
      </c>
      <c r="Y1170">
        <f>IF($P1170="","",IF(Shares!$E1173="",0,Shares!$E1173))</f>
        <v/>
      </c>
      <c r="Z1170">
        <f>IF($P1170="","",Shares!$H1173)</f>
        <v/>
      </c>
      <c r="AE1170">
        <f>IF(OR(Sync!$S1170="",Sync!$P1170=""),"",Sync!$S1170)</f>
        <v/>
      </c>
      <c r="AF1170">
        <f>IF($AE1170="","",IF(ISNUMBER(Sync!$P1170),IF(AND(Sync!$P1170&gt;=10000101,Sync!$P1170&lt;=99991231),INT(Sync!$P1170/10000),""),IFERROR(VALUE(TRIM(LEFT(Sync!$P1170,FIND("/",Sync!$P1170)-1))),"")))</f>
        <v/>
      </c>
      <c r="AG1170">
        <f>IF(OR($AE1170="",$AF1170=""),"",IF(ISNUMBER(Sync!$P1170),INT(MOD(Sync!$P1170,10000)/100),IFERROR(VALUE(TRIM(LEFT(MID(Sync!$P1170,FIND("/",Sync!$P1170)+1,20),FIND("/",MID(Sync!$P1170,FIND("/",Sync!$P1170)+1,20))-1))),"")))</f>
        <v/>
      </c>
      <c r="AH1170">
        <f>IF(OR($AE1170="",$AF1170=""),"",IF(ISNUMBER(Sync!$P1170),MOD(Sync!$P1170,100),IFERROR(VALUE(TRIM(MID(MID(Sync!$P1170,FIND("/",Sync!$P1170)+1,20),FIND("/",MID(Sync!$P1170,FIND("/",Sync!$P1170)+1,20))+1,20))),"")))</f>
        <v/>
      </c>
      <c r="AI1170">
        <f>IF($AE1170="","",IF(OR($AF1170="",$AG1170="",$AH1170="",$AF1170&lt;1300,$AF1170&gt;1500,$AG1170&lt;1,$AG1170&gt;12,$AH1170&lt;1,$AH1170&gt;31),"نامعتبر",RIGHT("0000"&amp;$AF1170,4)&amp;"/"&amp;RIGHT("00"&amp;$AG1170,2)&amp;"/"&amp;RIGHT("00"&amp;$AH1170,2)))</f>
        <v/>
      </c>
      <c r="AJ1170">
        <f>IF($AE1170="","",IF(Sync!$Q1170="","0000",IF(AND(ISNUMBER(Sync!$Q1170),Sync!$Q1170&gt;=0,Sync!$Q1170&lt;1),RIGHT("00"&amp;HOUR(Sync!$Q1170),2)&amp;RIGHT("00"&amp;MINUTE(Sync!$Q1170),2),IFERROR(RIGHT("00"&amp;VALUE(LEFT(Sync!$Q1170,FIND(":",Sync!$Q1170)-1)),2)&amp;RIGHT("00"&amp;VALUE(MID(Sync!$Q1170,FIND(":",Sync!$Q1170)+1,2)),2),"0000"))))</f>
        <v/>
      </c>
      <c r="AK1170">
        <f>IF(OR($AE1170="",$AI1170="",$AI1170="نامعتبر"),"",LEFT($AI1170,4)&amp;MID($AI1170,6,2)&amp;RIGHT($AI1170,2)&amp;$AJ1170&amp;"|"&amp;"3"&amp;RIGHT("00000"&amp;1165,5))</f>
        <v/>
      </c>
      <c r="AL1170">
        <f>IF($AK1170="","",COUNTIFS(LdAParty,$AE1170,LdAType,1,LdAKey,"&lt;"&amp;$AK1170)+COUNTIFS(LdBMember,$AE1170,LdBKey,"&lt;"&amp;$AK1170)+COUNTIFS(LdCParty,$AE1170,LdCKey,"&lt;"&amp;$AK1170)+1)</f>
        <v/>
      </c>
      <c r="AM1170">
        <f>IF($AL1170="","",$AE1170&amp;"|"&amp;RIGHT("000000"&amp;$AL1170,6))</f>
        <v/>
      </c>
      <c r="AN1170">
        <f>IF($AE1170="","",IF(Sync!$W1170="",0,Sync!$W1170))</f>
        <v/>
      </c>
      <c r="AO1170">
        <f>IF($AE1170="","",IF(Sync!$X1170="",0,Sync!$X1170))</f>
        <v/>
      </c>
      <c r="AP1170">
        <f>IF($AE1170="","",Sync!$R1170)</f>
        <v/>
      </c>
      <c r="AQ1170">
        <f>IF($AE1170="","",Sync!$Y1170)</f>
        <v/>
      </c>
    </row>
    <row r="1171">
      <c r="A1171">
        <f>IF(OR(Wages!$B1174="",Wages!$E1174=""),"",Wages!$E1174)</f>
        <v/>
      </c>
      <c r="B1171">
        <f>IF($A1171="","",IF(Wages!$C1174="دستمزد گروهی",2,1))</f>
        <v/>
      </c>
      <c r="C1171">
        <f>IF($A1171="","",IF(ISNUMBER(Wages!$B1174),IF(AND(Wages!$B1174&gt;=10000101,Wages!$B1174&lt;=99991231),INT(Wages!$B1174/10000),""),IFERROR(VALUE(TRIM(LEFT(Wages!$B1174,FIND("/",Wages!$B1174)-1))),"")))</f>
        <v/>
      </c>
      <c r="D1171">
        <f>IF(OR($A1171="",$C1171=""),"",IF(ISNUMBER(Wages!$B1174),INT(MOD(Wages!$B1174,10000)/100),IFERROR(VALUE(TRIM(LEFT(MID(Wages!$B1174,FIND("/",Wages!$B1174)+1,20),FIND("/",MID(Wages!$B1174,FIND("/",Wages!$B1174)+1,20))-1))),"")))</f>
        <v/>
      </c>
      <c r="E1171">
        <f>IF(OR($A1171="",$C1171=""),"",IF(ISNUMBER(Wages!$B1174),MOD(Wages!$B1174,100),IFERROR(VALUE(TRIM(MID(MID(Wages!$B1174,FIND("/",Wages!$B1174)+1,20),FIND("/",MID(Wages!$B1174,FIND("/",Wages!$B1174)+1,20))+1,20))),"")))</f>
        <v/>
      </c>
      <c r="F1171">
        <f>IF($A1171="","",IF(OR($C1171="",$D1171="",$E1171="",$C1171&lt;1300,$C1171&gt;1500,$D1171&lt;1,$D1171&gt;12,$E1171&lt;1,$E1171&gt;31),"نامعتبر",RIGHT("0000"&amp;$C1171,4)&amp;"/"&amp;RIGHT("00"&amp;$D1171,2)&amp;"/"&amp;RIGHT("00"&amp;$E1171,2)))</f>
        <v/>
      </c>
      <c r="G1171">
        <f>IF(OR($A1171="",$F1171="",$F1171="نامعتبر"),"",LEFT($F1171,4)&amp;MID($F1171,6,2)&amp;RIGHT($F1171,2)&amp;"0000"&amp;"|"&amp;"1"&amp;RIGHT("00000"&amp;1166,5))</f>
        <v/>
      </c>
      <c r="H1171">
        <f>IF(OR($B1171&lt;&gt;1,$G1171=""),"",COUNTIFS(LdAParty,$A1171,LdAType,1,LdAKey,"&lt;"&amp;$G1171)+COUNTIFS(LdBMember,$A1171,LdBKey,"&lt;"&amp;$G1171)+COUNTIFS(LdCParty,$A1171,LdCKey,"&lt;"&amp;$G1171)+1)</f>
        <v/>
      </c>
      <c r="I1171">
        <f>IF($H1171="","",$A1171&amp;"|"&amp;RIGHT("000000"&amp;$H1171,6))</f>
        <v/>
      </c>
      <c r="J1171">
        <f>IF(OR($B1171&lt;&gt;2,$G1171=""),"",COUNTIFS(LdAParty,$A1171,LdAType,2,LdAKey,"&lt;"&amp;$G1171)+1)</f>
        <v/>
      </c>
      <c r="K1171">
        <f>IF($J1171="","",$A1171&amp;"|"&amp;RIGHT("000000"&amp;$J1171,6))</f>
        <v/>
      </c>
      <c r="L1171">
        <f>IF($A1171="","",IF(Wages!$G1174="",0,Wages!$G1174))</f>
        <v/>
      </c>
      <c r="M1171">
        <f>IF($A1171="","",Wages!$J1174)</f>
        <v/>
      </c>
      <c r="N1171">
        <f>IF($A1171="","",Wages!$D1174)</f>
        <v/>
      </c>
      <c r="P1171">
        <f>IF(OR(Shares!$B1174="",Shares!$C1174=""),"",Shares!$C1174)</f>
        <v/>
      </c>
      <c r="Q1171">
        <f>IF($P1171="","",Shares!$B1174)</f>
        <v/>
      </c>
      <c r="R1171">
        <f>IF($P1171="","",IFERROR(INDEX(WageParty,MATCH($Q1171,WageIds,0)),""))</f>
        <v/>
      </c>
      <c r="S1171">
        <f>IF($P1171="","",IFERROR(INDEX($F$6:$F$2005,MATCH($Q1171,WageIds,0)),""))</f>
        <v/>
      </c>
      <c r="T1171">
        <f>IF(OR($P1171="",$S1171="",$S1171="نامعتبر"),"",LEFT($S1171,4)&amp;MID($S1171,6,2)&amp;RIGHT($S1171,2)&amp;"0000"&amp;"|"&amp;"2"&amp;RIGHT("00000"&amp;1166,5))</f>
        <v/>
      </c>
      <c r="U1171">
        <f>IF($T1171="","",COUNTIFS(LdAParty,$P1171,LdAType,1,LdAKey,"&lt;"&amp;$T1171)+COUNTIFS(LdBMember,$P1171,LdBKey,"&lt;"&amp;$T1171)+COUNTIFS(LdCParty,$P1171,LdCKey,"&lt;"&amp;$T1171)+1)</f>
        <v/>
      </c>
      <c r="V1171">
        <f>IF($U1171="","",$P1171&amp;"|"&amp;RIGHT("000000"&amp;$U1171,6))</f>
        <v/>
      </c>
      <c r="W1171">
        <f>IF($T1171="","",COUNTIFS(LdBGroup,$R1171,LdBKey,"&lt;"&amp;$T1171)+1)</f>
        <v/>
      </c>
      <c r="X1171">
        <f>IF($W1171="","",$R1171&amp;"|"&amp;RIGHT("000000"&amp;$W1171,6))</f>
        <v/>
      </c>
      <c r="Y1171">
        <f>IF($P1171="","",IF(Shares!$E1174="",0,Shares!$E1174))</f>
        <v/>
      </c>
      <c r="Z1171">
        <f>IF($P1171="","",Shares!$H1174)</f>
        <v/>
      </c>
      <c r="AE1171">
        <f>IF(OR(Sync!$S1171="",Sync!$P1171=""),"",Sync!$S1171)</f>
        <v/>
      </c>
      <c r="AF1171">
        <f>IF($AE1171="","",IF(ISNUMBER(Sync!$P1171),IF(AND(Sync!$P1171&gt;=10000101,Sync!$P1171&lt;=99991231),INT(Sync!$P1171/10000),""),IFERROR(VALUE(TRIM(LEFT(Sync!$P1171,FIND("/",Sync!$P1171)-1))),"")))</f>
        <v/>
      </c>
      <c r="AG1171">
        <f>IF(OR($AE1171="",$AF1171=""),"",IF(ISNUMBER(Sync!$P1171),INT(MOD(Sync!$P1171,10000)/100),IFERROR(VALUE(TRIM(LEFT(MID(Sync!$P1171,FIND("/",Sync!$P1171)+1,20),FIND("/",MID(Sync!$P1171,FIND("/",Sync!$P1171)+1,20))-1))),"")))</f>
        <v/>
      </c>
      <c r="AH1171">
        <f>IF(OR($AE1171="",$AF1171=""),"",IF(ISNUMBER(Sync!$P1171),MOD(Sync!$P1171,100),IFERROR(VALUE(TRIM(MID(MID(Sync!$P1171,FIND("/",Sync!$P1171)+1,20),FIND("/",MID(Sync!$P1171,FIND("/",Sync!$P1171)+1,20))+1,20))),"")))</f>
        <v/>
      </c>
      <c r="AI1171">
        <f>IF($AE1171="","",IF(OR($AF1171="",$AG1171="",$AH1171="",$AF1171&lt;1300,$AF1171&gt;1500,$AG1171&lt;1,$AG1171&gt;12,$AH1171&lt;1,$AH1171&gt;31),"نامعتبر",RIGHT("0000"&amp;$AF1171,4)&amp;"/"&amp;RIGHT("00"&amp;$AG1171,2)&amp;"/"&amp;RIGHT("00"&amp;$AH1171,2)))</f>
        <v/>
      </c>
      <c r="AJ1171">
        <f>IF($AE1171="","",IF(Sync!$Q1171="","0000",IF(AND(ISNUMBER(Sync!$Q1171),Sync!$Q1171&gt;=0,Sync!$Q1171&lt;1),RIGHT("00"&amp;HOUR(Sync!$Q1171),2)&amp;RIGHT("00"&amp;MINUTE(Sync!$Q1171),2),IFERROR(RIGHT("00"&amp;VALUE(LEFT(Sync!$Q1171,FIND(":",Sync!$Q1171)-1)),2)&amp;RIGHT("00"&amp;VALUE(MID(Sync!$Q1171,FIND(":",Sync!$Q1171)+1,2)),2),"0000"))))</f>
        <v/>
      </c>
      <c r="AK1171">
        <f>IF(OR($AE1171="",$AI1171="",$AI1171="نامعتبر"),"",LEFT($AI1171,4)&amp;MID($AI1171,6,2)&amp;RIGHT($AI1171,2)&amp;$AJ1171&amp;"|"&amp;"3"&amp;RIGHT("00000"&amp;1166,5))</f>
        <v/>
      </c>
      <c r="AL1171">
        <f>IF($AK1171="","",COUNTIFS(LdAParty,$AE1171,LdAType,1,LdAKey,"&lt;"&amp;$AK1171)+COUNTIFS(LdBMember,$AE1171,LdBKey,"&lt;"&amp;$AK1171)+COUNTIFS(LdCParty,$AE1171,LdCKey,"&lt;"&amp;$AK1171)+1)</f>
        <v/>
      </c>
      <c r="AM1171">
        <f>IF($AL1171="","",$AE1171&amp;"|"&amp;RIGHT("000000"&amp;$AL1171,6))</f>
        <v/>
      </c>
      <c r="AN1171">
        <f>IF($AE1171="","",IF(Sync!$W1171="",0,Sync!$W1171))</f>
        <v/>
      </c>
      <c r="AO1171">
        <f>IF($AE1171="","",IF(Sync!$X1171="",0,Sync!$X1171))</f>
        <v/>
      </c>
      <c r="AP1171">
        <f>IF($AE1171="","",Sync!$R1171)</f>
        <v/>
      </c>
      <c r="AQ1171">
        <f>IF($AE1171="","",Sync!$Y1171)</f>
        <v/>
      </c>
    </row>
    <row r="1172">
      <c r="A1172">
        <f>IF(OR(Wages!$B1175="",Wages!$E1175=""),"",Wages!$E1175)</f>
        <v/>
      </c>
      <c r="B1172">
        <f>IF($A1172="","",IF(Wages!$C1175="دستمزد گروهی",2,1))</f>
        <v/>
      </c>
      <c r="C1172">
        <f>IF($A1172="","",IF(ISNUMBER(Wages!$B1175),IF(AND(Wages!$B1175&gt;=10000101,Wages!$B1175&lt;=99991231),INT(Wages!$B1175/10000),""),IFERROR(VALUE(TRIM(LEFT(Wages!$B1175,FIND("/",Wages!$B1175)-1))),"")))</f>
        <v/>
      </c>
      <c r="D1172">
        <f>IF(OR($A1172="",$C1172=""),"",IF(ISNUMBER(Wages!$B1175),INT(MOD(Wages!$B1175,10000)/100),IFERROR(VALUE(TRIM(LEFT(MID(Wages!$B1175,FIND("/",Wages!$B1175)+1,20),FIND("/",MID(Wages!$B1175,FIND("/",Wages!$B1175)+1,20))-1))),"")))</f>
        <v/>
      </c>
      <c r="E1172">
        <f>IF(OR($A1172="",$C1172=""),"",IF(ISNUMBER(Wages!$B1175),MOD(Wages!$B1175,100),IFERROR(VALUE(TRIM(MID(MID(Wages!$B1175,FIND("/",Wages!$B1175)+1,20),FIND("/",MID(Wages!$B1175,FIND("/",Wages!$B1175)+1,20))+1,20))),"")))</f>
        <v/>
      </c>
      <c r="F1172">
        <f>IF($A1172="","",IF(OR($C1172="",$D1172="",$E1172="",$C1172&lt;1300,$C1172&gt;1500,$D1172&lt;1,$D1172&gt;12,$E1172&lt;1,$E1172&gt;31),"نامعتبر",RIGHT("0000"&amp;$C1172,4)&amp;"/"&amp;RIGHT("00"&amp;$D1172,2)&amp;"/"&amp;RIGHT("00"&amp;$E1172,2)))</f>
        <v/>
      </c>
      <c r="G1172">
        <f>IF(OR($A1172="",$F1172="",$F1172="نامعتبر"),"",LEFT($F1172,4)&amp;MID($F1172,6,2)&amp;RIGHT($F1172,2)&amp;"0000"&amp;"|"&amp;"1"&amp;RIGHT("00000"&amp;1167,5))</f>
        <v/>
      </c>
      <c r="H1172">
        <f>IF(OR($B1172&lt;&gt;1,$G1172=""),"",COUNTIFS(LdAParty,$A1172,LdAType,1,LdAKey,"&lt;"&amp;$G1172)+COUNTIFS(LdBMember,$A1172,LdBKey,"&lt;"&amp;$G1172)+COUNTIFS(LdCParty,$A1172,LdCKey,"&lt;"&amp;$G1172)+1)</f>
        <v/>
      </c>
      <c r="I1172">
        <f>IF($H1172="","",$A1172&amp;"|"&amp;RIGHT("000000"&amp;$H1172,6))</f>
        <v/>
      </c>
      <c r="J1172">
        <f>IF(OR($B1172&lt;&gt;2,$G1172=""),"",COUNTIFS(LdAParty,$A1172,LdAType,2,LdAKey,"&lt;"&amp;$G1172)+1)</f>
        <v/>
      </c>
      <c r="K1172">
        <f>IF($J1172="","",$A1172&amp;"|"&amp;RIGHT("000000"&amp;$J1172,6))</f>
        <v/>
      </c>
      <c r="L1172">
        <f>IF($A1172="","",IF(Wages!$G1175="",0,Wages!$G1175))</f>
        <v/>
      </c>
      <c r="M1172">
        <f>IF($A1172="","",Wages!$J1175)</f>
        <v/>
      </c>
      <c r="N1172">
        <f>IF($A1172="","",Wages!$D1175)</f>
        <v/>
      </c>
      <c r="P1172">
        <f>IF(OR(Shares!$B1175="",Shares!$C1175=""),"",Shares!$C1175)</f>
        <v/>
      </c>
      <c r="Q1172">
        <f>IF($P1172="","",Shares!$B1175)</f>
        <v/>
      </c>
      <c r="R1172">
        <f>IF($P1172="","",IFERROR(INDEX(WageParty,MATCH($Q1172,WageIds,0)),""))</f>
        <v/>
      </c>
      <c r="S1172">
        <f>IF($P1172="","",IFERROR(INDEX($F$6:$F$2005,MATCH($Q1172,WageIds,0)),""))</f>
        <v/>
      </c>
      <c r="T1172">
        <f>IF(OR($P1172="",$S1172="",$S1172="نامعتبر"),"",LEFT($S1172,4)&amp;MID($S1172,6,2)&amp;RIGHT($S1172,2)&amp;"0000"&amp;"|"&amp;"2"&amp;RIGHT("00000"&amp;1167,5))</f>
        <v/>
      </c>
      <c r="U1172">
        <f>IF($T1172="","",COUNTIFS(LdAParty,$P1172,LdAType,1,LdAKey,"&lt;"&amp;$T1172)+COUNTIFS(LdBMember,$P1172,LdBKey,"&lt;"&amp;$T1172)+COUNTIFS(LdCParty,$P1172,LdCKey,"&lt;"&amp;$T1172)+1)</f>
        <v/>
      </c>
      <c r="V1172">
        <f>IF($U1172="","",$P1172&amp;"|"&amp;RIGHT("000000"&amp;$U1172,6))</f>
        <v/>
      </c>
      <c r="W1172">
        <f>IF($T1172="","",COUNTIFS(LdBGroup,$R1172,LdBKey,"&lt;"&amp;$T1172)+1)</f>
        <v/>
      </c>
      <c r="X1172">
        <f>IF($W1172="","",$R1172&amp;"|"&amp;RIGHT("000000"&amp;$W1172,6))</f>
        <v/>
      </c>
      <c r="Y1172">
        <f>IF($P1172="","",IF(Shares!$E1175="",0,Shares!$E1175))</f>
        <v/>
      </c>
      <c r="Z1172">
        <f>IF($P1172="","",Shares!$H1175)</f>
        <v/>
      </c>
      <c r="AE1172">
        <f>IF(OR(Sync!$S1172="",Sync!$P1172=""),"",Sync!$S1172)</f>
        <v/>
      </c>
      <c r="AF1172">
        <f>IF($AE1172="","",IF(ISNUMBER(Sync!$P1172),IF(AND(Sync!$P1172&gt;=10000101,Sync!$P1172&lt;=99991231),INT(Sync!$P1172/10000),""),IFERROR(VALUE(TRIM(LEFT(Sync!$P1172,FIND("/",Sync!$P1172)-1))),"")))</f>
        <v/>
      </c>
      <c r="AG1172">
        <f>IF(OR($AE1172="",$AF1172=""),"",IF(ISNUMBER(Sync!$P1172),INT(MOD(Sync!$P1172,10000)/100),IFERROR(VALUE(TRIM(LEFT(MID(Sync!$P1172,FIND("/",Sync!$P1172)+1,20),FIND("/",MID(Sync!$P1172,FIND("/",Sync!$P1172)+1,20))-1))),"")))</f>
        <v/>
      </c>
      <c r="AH1172">
        <f>IF(OR($AE1172="",$AF1172=""),"",IF(ISNUMBER(Sync!$P1172),MOD(Sync!$P1172,100),IFERROR(VALUE(TRIM(MID(MID(Sync!$P1172,FIND("/",Sync!$P1172)+1,20),FIND("/",MID(Sync!$P1172,FIND("/",Sync!$P1172)+1,20))+1,20))),"")))</f>
        <v/>
      </c>
      <c r="AI1172">
        <f>IF($AE1172="","",IF(OR($AF1172="",$AG1172="",$AH1172="",$AF1172&lt;1300,$AF1172&gt;1500,$AG1172&lt;1,$AG1172&gt;12,$AH1172&lt;1,$AH1172&gt;31),"نامعتبر",RIGHT("0000"&amp;$AF1172,4)&amp;"/"&amp;RIGHT("00"&amp;$AG1172,2)&amp;"/"&amp;RIGHT("00"&amp;$AH1172,2)))</f>
        <v/>
      </c>
      <c r="AJ1172">
        <f>IF($AE1172="","",IF(Sync!$Q1172="","0000",IF(AND(ISNUMBER(Sync!$Q1172),Sync!$Q1172&gt;=0,Sync!$Q1172&lt;1),RIGHT("00"&amp;HOUR(Sync!$Q1172),2)&amp;RIGHT("00"&amp;MINUTE(Sync!$Q1172),2),IFERROR(RIGHT("00"&amp;VALUE(LEFT(Sync!$Q1172,FIND(":",Sync!$Q1172)-1)),2)&amp;RIGHT("00"&amp;VALUE(MID(Sync!$Q1172,FIND(":",Sync!$Q1172)+1,2)),2),"0000"))))</f>
        <v/>
      </c>
      <c r="AK1172">
        <f>IF(OR($AE1172="",$AI1172="",$AI1172="نامعتبر"),"",LEFT($AI1172,4)&amp;MID($AI1172,6,2)&amp;RIGHT($AI1172,2)&amp;$AJ1172&amp;"|"&amp;"3"&amp;RIGHT("00000"&amp;1167,5))</f>
        <v/>
      </c>
      <c r="AL1172">
        <f>IF($AK1172="","",COUNTIFS(LdAParty,$AE1172,LdAType,1,LdAKey,"&lt;"&amp;$AK1172)+COUNTIFS(LdBMember,$AE1172,LdBKey,"&lt;"&amp;$AK1172)+COUNTIFS(LdCParty,$AE1172,LdCKey,"&lt;"&amp;$AK1172)+1)</f>
        <v/>
      </c>
      <c r="AM1172">
        <f>IF($AL1172="","",$AE1172&amp;"|"&amp;RIGHT("000000"&amp;$AL1172,6))</f>
        <v/>
      </c>
      <c r="AN1172">
        <f>IF($AE1172="","",IF(Sync!$W1172="",0,Sync!$W1172))</f>
        <v/>
      </c>
      <c r="AO1172">
        <f>IF($AE1172="","",IF(Sync!$X1172="",0,Sync!$X1172))</f>
        <v/>
      </c>
      <c r="AP1172">
        <f>IF($AE1172="","",Sync!$R1172)</f>
        <v/>
      </c>
      <c r="AQ1172">
        <f>IF($AE1172="","",Sync!$Y1172)</f>
        <v/>
      </c>
    </row>
    <row r="1173">
      <c r="A1173">
        <f>IF(OR(Wages!$B1176="",Wages!$E1176=""),"",Wages!$E1176)</f>
        <v/>
      </c>
      <c r="B1173">
        <f>IF($A1173="","",IF(Wages!$C1176="دستمزد گروهی",2,1))</f>
        <v/>
      </c>
      <c r="C1173">
        <f>IF($A1173="","",IF(ISNUMBER(Wages!$B1176),IF(AND(Wages!$B1176&gt;=10000101,Wages!$B1176&lt;=99991231),INT(Wages!$B1176/10000),""),IFERROR(VALUE(TRIM(LEFT(Wages!$B1176,FIND("/",Wages!$B1176)-1))),"")))</f>
        <v/>
      </c>
      <c r="D1173">
        <f>IF(OR($A1173="",$C1173=""),"",IF(ISNUMBER(Wages!$B1176),INT(MOD(Wages!$B1176,10000)/100),IFERROR(VALUE(TRIM(LEFT(MID(Wages!$B1176,FIND("/",Wages!$B1176)+1,20),FIND("/",MID(Wages!$B1176,FIND("/",Wages!$B1176)+1,20))-1))),"")))</f>
        <v/>
      </c>
      <c r="E1173">
        <f>IF(OR($A1173="",$C1173=""),"",IF(ISNUMBER(Wages!$B1176),MOD(Wages!$B1176,100),IFERROR(VALUE(TRIM(MID(MID(Wages!$B1176,FIND("/",Wages!$B1176)+1,20),FIND("/",MID(Wages!$B1176,FIND("/",Wages!$B1176)+1,20))+1,20))),"")))</f>
        <v/>
      </c>
      <c r="F1173">
        <f>IF($A1173="","",IF(OR($C1173="",$D1173="",$E1173="",$C1173&lt;1300,$C1173&gt;1500,$D1173&lt;1,$D1173&gt;12,$E1173&lt;1,$E1173&gt;31),"نامعتبر",RIGHT("0000"&amp;$C1173,4)&amp;"/"&amp;RIGHT("00"&amp;$D1173,2)&amp;"/"&amp;RIGHT("00"&amp;$E1173,2)))</f>
        <v/>
      </c>
      <c r="G1173">
        <f>IF(OR($A1173="",$F1173="",$F1173="نامعتبر"),"",LEFT($F1173,4)&amp;MID($F1173,6,2)&amp;RIGHT($F1173,2)&amp;"0000"&amp;"|"&amp;"1"&amp;RIGHT("00000"&amp;1168,5))</f>
        <v/>
      </c>
      <c r="H1173">
        <f>IF(OR($B1173&lt;&gt;1,$G1173=""),"",COUNTIFS(LdAParty,$A1173,LdAType,1,LdAKey,"&lt;"&amp;$G1173)+COUNTIFS(LdBMember,$A1173,LdBKey,"&lt;"&amp;$G1173)+COUNTIFS(LdCParty,$A1173,LdCKey,"&lt;"&amp;$G1173)+1)</f>
        <v/>
      </c>
      <c r="I1173">
        <f>IF($H1173="","",$A1173&amp;"|"&amp;RIGHT("000000"&amp;$H1173,6))</f>
        <v/>
      </c>
      <c r="J1173">
        <f>IF(OR($B1173&lt;&gt;2,$G1173=""),"",COUNTIFS(LdAParty,$A1173,LdAType,2,LdAKey,"&lt;"&amp;$G1173)+1)</f>
        <v/>
      </c>
      <c r="K1173">
        <f>IF($J1173="","",$A1173&amp;"|"&amp;RIGHT("000000"&amp;$J1173,6))</f>
        <v/>
      </c>
      <c r="L1173">
        <f>IF($A1173="","",IF(Wages!$G1176="",0,Wages!$G1176))</f>
        <v/>
      </c>
      <c r="M1173">
        <f>IF($A1173="","",Wages!$J1176)</f>
        <v/>
      </c>
      <c r="N1173">
        <f>IF($A1173="","",Wages!$D1176)</f>
        <v/>
      </c>
      <c r="P1173">
        <f>IF(OR(Shares!$B1176="",Shares!$C1176=""),"",Shares!$C1176)</f>
        <v/>
      </c>
      <c r="Q1173">
        <f>IF($P1173="","",Shares!$B1176)</f>
        <v/>
      </c>
      <c r="R1173">
        <f>IF($P1173="","",IFERROR(INDEX(WageParty,MATCH($Q1173,WageIds,0)),""))</f>
        <v/>
      </c>
      <c r="S1173">
        <f>IF($P1173="","",IFERROR(INDEX($F$6:$F$2005,MATCH($Q1173,WageIds,0)),""))</f>
        <v/>
      </c>
      <c r="T1173">
        <f>IF(OR($P1173="",$S1173="",$S1173="نامعتبر"),"",LEFT($S1173,4)&amp;MID($S1173,6,2)&amp;RIGHT($S1173,2)&amp;"0000"&amp;"|"&amp;"2"&amp;RIGHT("00000"&amp;1168,5))</f>
        <v/>
      </c>
      <c r="U1173">
        <f>IF($T1173="","",COUNTIFS(LdAParty,$P1173,LdAType,1,LdAKey,"&lt;"&amp;$T1173)+COUNTIFS(LdBMember,$P1173,LdBKey,"&lt;"&amp;$T1173)+COUNTIFS(LdCParty,$P1173,LdCKey,"&lt;"&amp;$T1173)+1)</f>
        <v/>
      </c>
      <c r="V1173">
        <f>IF($U1173="","",$P1173&amp;"|"&amp;RIGHT("000000"&amp;$U1173,6))</f>
        <v/>
      </c>
      <c r="W1173">
        <f>IF($T1173="","",COUNTIFS(LdBGroup,$R1173,LdBKey,"&lt;"&amp;$T1173)+1)</f>
        <v/>
      </c>
      <c r="X1173">
        <f>IF($W1173="","",$R1173&amp;"|"&amp;RIGHT("000000"&amp;$W1173,6))</f>
        <v/>
      </c>
      <c r="Y1173">
        <f>IF($P1173="","",IF(Shares!$E1176="",0,Shares!$E1176))</f>
        <v/>
      </c>
      <c r="Z1173">
        <f>IF($P1173="","",Shares!$H1176)</f>
        <v/>
      </c>
      <c r="AE1173">
        <f>IF(OR(Sync!$S1173="",Sync!$P1173=""),"",Sync!$S1173)</f>
        <v/>
      </c>
      <c r="AF1173">
        <f>IF($AE1173="","",IF(ISNUMBER(Sync!$P1173),IF(AND(Sync!$P1173&gt;=10000101,Sync!$P1173&lt;=99991231),INT(Sync!$P1173/10000),""),IFERROR(VALUE(TRIM(LEFT(Sync!$P1173,FIND("/",Sync!$P1173)-1))),"")))</f>
        <v/>
      </c>
      <c r="AG1173">
        <f>IF(OR($AE1173="",$AF1173=""),"",IF(ISNUMBER(Sync!$P1173),INT(MOD(Sync!$P1173,10000)/100),IFERROR(VALUE(TRIM(LEFT(MID(Sync!$P1173,FIND("/",Sync!$P1173)+1,20),FIND("/",MID(Sync!$P1173,FIND("/",Sync!$P1173)+1,20))-1))),"")))</f>
        <v/>
      </c>
      <c r="AH1173">
        <f>IF(OR($AE1173="",$AF1173=""),"",IF(ISNUMBER(Sync!$P1173),MOD(Sync!$P1173,100),IFERROR(VALUE(TRIM(MID(MID(Sync!$P1173,FIND("/",Sync!$P1173)+1,20),FIND("/",MID(Sync!$P1173,FIND("/",Sync!$P1173)+1,20))+1,20))),"")))</f>
        <v/>
      </c>
      <c r="AI1173">
        <f>IF($AE1173="","",IF(OR($AF1173="",$AG1173="",$AH1173="",$AF1173&lt;1300,$AF1173&gt;1500,$AG1173&lt;1,$AG1173&gt;12,$AH1173&lt;1,$AH1173&gt;31),"نامعتبر",RIGHT("0000"&amp;$AF1173,4)&amp;"/"&amp;RIGHT("00"&amp;$AG1173,2)&amp;"/"&amp;RIGHT("00"&amp;$AH1173,2)))</f>
        <v/>
      </c>
      <c r="AJ1173">
        <f>IF($AE1173="","",IF(Sync!$Q1173="","0000",IF(AND(ISNUMBER(Sync!$Q1173),Sync!$Q1173&gt;=0,Sync!$Q1173&lt;1),RIGHT("00"&amp;HOUR(Sync!$Q1173),2)&amp;RIGHT("00"&amp;MINUTE(Sync!$Q1173),2),IFERROR(RIGHT("00"&amp;VALUE(LEFT(Sync!$Q1173,FIND(":",Sync!$Q1173)-1)),2)&amp;RIGHT("00"&amp;VALUE(MID(Sync!$Q1173,FIND(":",Sync!$Q1173)+1,2)),2),"0000"))))</f>
        <v/>
      </c>
      <c r="AK1173">
        <f>IF(OR($AE1173="",$AI1173="",$AI1173="نامعتبر"),"",LEFT($AI1173,4)&amp;MID($AI1173,6,2)&amp;RIGHT($AI1173,2)&amp;$AJ1173&amp;"|"&amp;"3"&amp;RIGHT("00000"&amp;1168,5))</f>
        <v/>
      </c>
      <c r="AL1173">
        <f>IF($AK1173="","",COUNTIFS(LdAParty,$AE1173,LdAType,1,LdAKey,"&lt;"&amp;$AK1173)+COUNTIFS(LdBMember,$AE1173,LdBKey,"&lt;"&amp;$AK1173)+COUNTIFS(LdCParty,$AE1173,LdCKey,"&lt;"&amp;$AK1173)+1)</f>
        <v/>
      </c>
      <c r="AM1173">
        <f>IF($AL1173="","",$AE1173&amp;"|"&amp;RIGHT("000000"&amp;$AL1173,6))</f>
        <v/>
      </c>
      <c r="AN1173">
        <f>IF($AE1173="","",IF(Sync!$W1173="",0,Sync!$W1173))</f>
        <v/>
      </c>
      <c r="AO1173">
        <f>IF($AE1173="","",IF(Sync!$X1173="",0,Sync!$X1173))</f>
        <v/>
      </c>
      <c r="AP1173">
        <f>IF($AE1173="","",Sync!$R1173)</f>
        <v/>
      </c>
      <c r="AQ1173">
        <f>IF($AE1173="","",Sync!$Y1173)</f>
        <v/>
      </c>
    </row>
    <row r="1174">
      <c r="A1174">
        <f>IF(OR(Wages!$B1177="",Wages!$E1177=""),"",Wages!$E1177)</f>
        <v/>
      </c>
      <c r="B1174">
        <f>IF($A1174="","",IF(Wages!$C1177="دستمزد گروهی",2,1))</f>
        <v/>
      </c>
      <c r="C1174">
        <f>IF($A1174="","",IF(ISNUMBER(Wages!$B1177),IF(AND(Wages!$B1177&gt;=10000101,Wages!$B1177&lt;=99991231),INT(Wages!$B1177/10000),""),IFERROR(VALUE(TRIM(LEFT(Wages!$B1177,FIND("/",Wages!$B1177)-1))),"")))</f>
        <v/>
      </c>
      <c r="D1174">
        <f>IF(OR($A1174="",$C1174=""),"",IF(ISNUMBER(Wages!$B1177),INT(MOD(Wages!$B1177,10000)/100),IFERROR(VALUE(TRIM(LEFT(MID(Wages!$B1177,FIND("/",Wages!$B1177)+1,20),FIND("/",MID(Wages!$B1177,FIND("/",Wages!$B1177)+1,20))-1))),"")))</f>
        <v/>
      </c>
      <c r="E1174">
        <f>IF(OR($A1174="",$C1174=""),"",IF(ISNUMBER(Wages!$B1177),MOD(Wages!$B1177,100),IFERROR(VALUE(TRIM(MID(MID(Wages!$B1177,FIND("/",Wages!$B1177)+1,20),FIND("/",MID(Wages!$B1177,FIND("/",Wages!$B1177)+1,20))+1,20))),"")))</f>
        <v/>
      </c>
      <c r="F1174">
        <f>IF($A1174="","",IF(OR($C1174="",$D1174="",$E1174="",$C1174&lt;1300,$C1174&gt;1500,$D1174&lt;1,$D1174&gt;12,$E1174&lt;1,$E1174&gt;31),"نامعتبر",RIGHT("0000"&amp;$C1174,4)&amp;"/"&amp;RIGHT("00"&amp;$D1174,2)&amp;"/"&amp;RIGHT("00"&amp;$E1174,2)))</f>
        <v/>
      </c>
      <c r="G1174">
        <f>IF(OR($A1174="",$F1174="",$F1174="نامعتبر"),"",LEFT($F1174,4)&amp;MID($F1174,6,2)&amp;RIGHT($F1174,2)&amp;"0000"&amp;"|"&amp;"1"&amp;RIGHT("00000"&amp;1169,5))</f>
        <v/>
      </c>
      <c r="H1174">
        <f>IF(OR($B1174&lt;&gt;1,$G1174=""),"",COUNTIFS(LdAParty,$A1174,LdAType,1,LdAKey,"&lt;"&amp;$G1174)+COUNTIFS(LdBMember,$A1174,LdBKey,"&lt;"&amp;$G1174)+COUNTIFS(LdCParty,$A1174,LdCKey,"&lt;"&amp;$G1174)+1)</f>
        <v/>
      </c>
      <c r="I1174">
        <f>IF($H1174="","",$A1174&amp;"|"&amp;RIGHT("000000"&amp;$H1174,6))</f>
        <v/>
      </c>
      <c r="J1174">
        <f>IF(OR($B1174&lt;&gt;2,$G1174=""),"",COUNTIFS(LdAParty,$A1174,LdAType,2,LdAKey,"&lt;"&amp;$G1174)+1)</f>
        <v/>
      </c>
      <c r="K1174">
        <f>IF($J1174="","",$A1174&amp;"|"&amp;RIGHT("000000"&amp;$J1174,6))</f>
        <v/>
      </c>
      <c r="L1174">
        <f>IF($A1174="","",IF(Wages!$G1177="",0,Wages!$G1177))</f>
        <v/>
      </c>
      <c r="M1174">
        <f>IF($A1174="","",Wages!$J1177)</f>
        <v/>
      </c>
      <c r="N1174">
        <f>IF($A1174="","",Wages!$D1177)</f>
        <v/>
      </c>
      <c r="P1174">
        <f>IF(OR(Shares!$B1177="",Shares!$C1177=""),"",Shares!$C1177)</f>
        <v/>
      </c>
      <c r="Q1174">
        <f>IF($P1174="","",Shares!$B1177)</f>
        <v/>
      </c>
      <c r="R1174">
        <f>IF($P1174="","",IFERROR(INDEX(WageParty,MATCH($Q1174,WageIds,0)),""))</f>
        <v/>
      </c>
      <c r="S1174">
        <f>IF($P1174="","",IFERROR(INDEX($F$6:$F$2005,MATCH($Q1174,WageIds,0)),""))</f>
        <v/>
      </c>
      <c r="T1174">
        <f>IF(OR($P1174="",$S1174="",$S1174="نامعتبر"),"",LEFT($S1174,4)&amp;MID($S1174,6,2)&amp;RIGHT($S1174,2)&amp;"0000"&amp;"|"&amp;"2"&amp;RIGHT("00000"&amp;1169,5))</f>
        <v/>
      </c>
      <c r="U1174">
        <f>IF($T1174="","",COUNTIFS(LdAParty,$P1174,LdAType,1,LdAKey,"&lt;"&amp;$T1174)+COUNTIFS(LdBMember,$P1174,LdBKey,"&lt;"&amp;$T1174)+COUNTIFS(LdCParty,$P1174,LdCKey,"&lt;"&amp;$T1174)+1)</f>
        <v/>
      </c>
      <c r="V1174">
        <f>IF($U1174="","",$P1174&amp;"|"&amp;RIGHT("000000"&amp;$U1174,6))</f>
        <v/>
      </c>
      <c r="W1174">
        <f>IF($T1174="","",COUNTIFS(LdBGroup,$R1174,LdBKey,"&lt;"&amp;$T1174)+1)</f>
        <v/>
      </c>
      <c r="X1174">
        <f>IF($W1174="","",$R1174&amp;"|"&amp;RIGHT("000000"&amp;$W1174,6))</f>
        <v/>
      </c>
      <c r="Y1174">
        <f>IF($P1174="","",IF(Shares!$E1177="",0,Shares!$E1177))</f>
        <v/>
      </c>
      <c r="Z1174">
        <f>IF($P1174="","",Shares!$H1177)</f>
        <v/>
      </c>
      <c r="AE1174">
        <f>IF(OR(Sync!$S1174="",Sync!$P1174=""),"",Sync!$S1174)</f>
        <v/>
      </c>
      <c r="AF1174">
        <f>IF($AE1174="","",IF(ISNUMBER(Sync!$P1174),IF(AND(Sync!$P1174&gt;=10000101,Sync!$P1174&lt;=99991231),INT(Sync!$P1174/10000),""),IFERROR(VALUE(TRIM(LEFT(Sync!$P1174,FIND("/",Sync!$P1174)-1))),"")))</f>
        <v/>
      </c>
      <c r="AG1174">
        <f>IF(OR($AE1174="",$AF1174=""),"",IF(ISNUMBER(Sync!$P1174),INT(MOD(Sync!$P1174,10000)/100),IFERROR(VALUE(TRIM(LEFT(MID(Sync!$P1174,FIND("/",Sync!$P1174)+1,20),FIND("/",MID(Sync!$P1174,FIND("/",Sync!$P1174)+1,20))-1))),"")))</f>
        <v/>
      </c>
      <c r="AH1174">
        <f>IF(OR($AE1174="",$AF1174=""),"",IF(ISNUMBER(Sync!$P1174),MOD(Sync!$P1174,100),IFERROR(VALUE(TRIM(MID(MID(Sync!$P1174,FIND("/",Sync!$P1174)+1,20),FIND("/",MID(Sync!$P1174,FIND("/",Sync!$P1174)+1,20))+1,20))),"")))</f>
        <v/>
      </c>
      <c r="AI1174">
        <f>IF($AE1174="","",IF(OR($AF1174="",$AG1174="",$AH1174="",$AF1174&lt;1300,$AF1174&gt;1500,$AG1174&lt;1,$AG1174&gt;12,$AH1174&lt;1,$AH1174&gt;31),"نامعتبر",RIGHT("0000"&amp;$AF1174,4)&amp;"/"&amp;RIGHT("00"&amp;$AG1174,2)&amp;"/"&amp;RIGHT("00"&amp;$AH1174,2)))</f>
        <v/>
      </c>
      <c r="AJ1174">
        <f>IF($AE1174="","",IF(Sync!$Q1174="","0000",IF(AND(ISNUMBER(Sync!$Q1174),Sync!$Q1174&gt;=0,Sync!$Q1174&lt;1),RIGHT("00"&amp;HOUR(Sync!$Q1174),2)&amp;RIGHT("00"&amp;MINUTE(Sync!$Q1174),2),IFERROR(RIGHT("00"&amp;VALUE(LEFT(Sync!$Q1174,FIND(":",Sync!$Q1174)-1)),2)&amp;RIGHT("00"&amp;VALUE(MID(Sync!$Q1174,FIND(":",Sync!$Q1174)+1,2)),2),"0000"))))</f>
        <v/>
      </c>
      <c r="AK1174">
        <f>IF(OR($AE1174="",$AI1174="",$AI1174="نامعتبر"),"",LEFT($AI1174,4)&amp;MID($AI1174,6,2)&amp;RIGHT($AI1174,2)&amp;$AJ1174&amp;"|"&amp;"3"&amp;RIGHT("00000"&amp;1169,5))</f>
        <v/>
      </c>
      <c r="AL1174">
        <f>IF($AK1174="","",COUNTIFS(LdAParty,$AE1174,LdAType,1,LdAKey,"&lt;"&amp;$AK1174)+COUNTIFS(LdBMember,$AE1174,LdBKey,"&lt;"&amp;$AK1174)+COUNTIFS(LdCParty,$AE1174,LdCKey,"&lt;"&amp;$AK1174)+1)</f>
        <v/>
      </c>
      <c r="AM1174">
        <f>IF($AL1174="","",$AE1174&amp;"|"&amp;RIGHT("000000"&amp;$AL1174,6))</f>
        <v/>
      </c>
      <c r="AN1174">
        <f>IF($AE1174="","",IF(Sync!$W1174="",0,Sync!$W1174))</f>
        <v/>
      </c>
      <c r="AO1174">
        <f>IF($AE1174="","",IF(Sync!$X1174="",0,Sync!$X1174))</f>
        <v/>
      </c>
      <c r="AP1174">
        <f>IF($AE1174="","",Sync!$R1174)</f>
        <v/>
      </c>
      <c r="AQ1174">
        <f>IF($AE1174="","",Sync!$Y1174)</f>
        <v/>
      </c>
    </row>
    <row r="1175">
      <c r="A1175">
        <f>IF(OR(Wages!$B1178="",Wages!$E1178=""),"",Wages!$E1178)</f>
        <v/>
      </c>
      <c r="B1175">
        <f>IF($A1175="","",IF(Wages!$C1178="دستمزد گروهی",2,1))</f>
        <v/>
      </c>
      <c r="C1175">
        <f>IF($A1175="","",IF(ISNUMBER(Wages!$B1178),IF(AND(Wages!$B1178&gt;=10000101,Wages!$B1178&lt;=99991231),INT(Wages!$B1178/10000),""),IFERROR(VALUE(TRIM(LEFT(Wages!$B1178,FIND("/",Wages!$B1178)-1))),"")))</f>
        <v/>
      </c>
      <c r="D1175">
        <f>IF(OR($A1175="",$C1175=""),"",IF(ISNUMBER(Wages!$B1178),INT(MOD(Wages!$B1178,10000)/100),IFERROR(VALUE(TRIM(LEFT(MID(Wages!$B1178,FIND("/",Wages!$B1178)+1,20),FIND("/",MID(Wages!$B1178,FIND("/",Wages!$B1178)+1,20))-1))),"")))</f>
        <v/>
      </c>
      <c r="E1175">
        <f>IF(OR($A1175="",$C1175=""),"",IF(ISNUMBER(Wages!$B1178),MOD(Wages!$B1178,100),IFERROR(VALUE(TRIM(MID(MID(Wages!$B1178,FIND("/",Wages!$B1178)+1,20),FIND("/",MID(Wages!$B1178,FIND("/",Wages!$B1178)+1,20))+1,20))),"")))</f>
        <v/>
      </c>
      <c r="F1175">
        <f>IF($A1175="","",IF(OR($C1175="",$D1175="",$E1175="",$C1175&lt;1300,$C1175&gt;1500,$D1175&lt;1,$D1175&gt;12,$E1175&lt;1,$E1175&gt;31),"نامعتبر",RIGHT("0000"&amp;$C1175,4)&amp;"/"&amp;RIGHT("00"&amp;$D1175,2)&amp;"/"&amp;RIGHT("00"&amp;$E1175,2)))</f>
        <v/>
      </c>
      <c r="G1175">
        <f>IF(OR($A1175="",$F1175="",$F1175="نامعتبر"),"",LEFT($F1175,4)&amp;MID($F1175,6,2)&amp;RIGHT($F1175,2)&amp;"0000"&amp;"|"&amp;"1"&amp;RIGHT("00000"&amp;1170,5))</f>
        <v/>
      </c>
      <c r="H1175">
        <f>IF(OR($B1175&lt;&gt;1,$G1175=""),"",COUNTIFS(LdAParty,$A1175,LdAType,1,LdAKey,"&lt;"&amp;$G1175)+COUNTIFS(LdBMember,$A1175,LdBKey,"&lt;"&amp;$G1175)+COUNTIFS(LdCParty,$A1175,LdCKey,"&lt;"&amp;$G1175)+1)</f>
        <v/>
      </c>
      <c r="I1175">
        <f>IF($H1175="","",$A1175&amp;"|"&amp;RIGHT("000000"&amp;$H1175,6))</f>
        <v/>
      </c>
      <c r="J1175">
        <f>IF(OR($B1175&lt;&gt;2,$G1175=""),"",COUNTIFS(LdAParty,$A1175,LdAType,2,LdAKey,"&lt;"&amp;$G1175)+1)</f>
        <v/>
      </c>
      <c r="K1175">
        <f>IF($J1175="","",$A1175&amp;"|"&amp;RIGHT("000000"&amp;$J1175,6))</f>
        <v/>
      </c>
      <c r="L1175">
        <f>IF($A1175="","",IF(Wages!$G1178="",0,Wages!$G1178))</f>
        <v/>
      </c>
      <c r="M1175">
        <f>IF($A1175="","",Wages!$J1178)</f>
        <v/>
      </c>
      <c r="N1175">
        <f>IF($A1175="","",Wages!$D1178)</f>
        <v/>
      </c>
      <c r="P1175">
        <f>IF(OR(Shares!$B1178="",Shares!$C1178=""),"",Shares!$C1178)</f>
        <v/>
      </c>
      <c r="Q1175">
        <f>IF($P1175="","",Shares!$B1178)</f>
        <v/>
      </c>
      <c r="R1175">
        <f>IF($P1175="","",IFERROR(INDEX(WageParty,MATCH($Q1175,WageIds,0)),""))</f>
        <v/>
      </c>
      <c r="S1175">
        <f>IF($P1175="","",IFERROR(INDEX($F$6:$F$2005,MATCH($Q1175,WageIds,0)),""))</f>
        <v/>
      </c>
      <c r="T1175">
        <f>IF(OR($P1175="",$S1175="",$S1175="نامعتبر"),"",LEFT($S1175,4)&amp;MID($S1175,6,2)&amp;RIGHT($S1175,2)&amp;"0000"&amp;"|"&amp;"2"&amp;RIGHT("00000"&amp;1170,5))</f>
        <v/>
      </c>
      <c r="U1175">
        <f>IF($T1175="","",COUNTIFS(LdAParty,$P1175,LdAType,1,LdAKey,"&lt;"&amp;$T1175)+COUNTIFS(LdBMember,$P1175,LdBKey,"&lt;"&amp;$T1175)+COUNTIFS(LdCParty,$P1175,LdCKey,"&lt;"&amp;$T1175)+1)</f>
        <v/>
      </c>
      <c r="V1175">
        <f>IF($U1175="","",$P1175&amp;"|"&amp;RIGHT("000000"&amp;$U1175,6))</f>
        <v/>
      </c>
      <c r="W1175">
        <f>IF($T1175="","",COUNTIFS(LdBGroup,$R1175,LdBKey,"&lt;"&amp;$T1175)+1)</f>
        <v/>
      </c>
      <c r="X1175">
        <f>IF($W1175="","",$R1175&amp;"|"&amp;RIGHT("000000"&amp;$W1175,6))</f>
        <v/>
      </c>
      <c r="Y1175">
        <f>IF($P1175="","",IF(Shares!$E1178="",0,Shares!$E1178))</f>
        <v/>
      </c>
      <c r="Z1175">
        <f>IF($P1175="","",Shares!$H1178)</f>
        <v/>
      </c>
      <c r="AE1175">
        <f>IF(OR(Sync!$S1175="",Sync!$P1175=""),"",Sync!$S1175)</f>
        <v/>
      </c>
      <c r="AF1175">
        <f>IF($AE1175="","",IF(ISNUMBER(Sync!$P1175),IF(AND(Sync!$P1175&gt;=10000101,Sync!$P1175&lt;=99991231),INT(Sync!$P1175/10000),""),IFERROR(VALUE(TRIM(LEFT(Sync!$P1175,FIND("/",Sync!$P1175)-1))),"")))</f>
        <v/>
      </c>
      <c r="AG1175">
        <f>IF(OR($AE1175="",$AF1175=""),"",IF(ISNUMBER(Sync!$P1175),INT(MOD(Sync!$P1175,10000)/100),IFERROR(VALUE(TRIM(LEFT(MID(Sync!$P1175,FIND("/",Sync!$P1175)+1,20),FIND("/",MID(Sync!$P1175,FIND("/",Sync!$P1175)+1,20))-1))),"")))</f>
        <v/>
      </c>
      <c r="AH1175">
        <f>IF(OR($AE1175="",$AF1175=""),"",IF(ISNUMBER(Sync!$P1175),MOD(Sync!$P1175,100),IFERROR(VALUE(TRIM(MID(MID(Sync!$P1175,FIND("/",Sync!$P1175)+1,20),FIND("/",MID(Sync!$P1175,FIND("/",Sync!$P1175)+1,20))+1,20))),"")))</f>
        <v/>
      </c>
      <c r="AI1175">
        <f>IF($AE1175="","",IF(OR($AF1175="",$AG1175="",$AH1175="",$AF1175&lt;1300,$AF1175&gt;1500,$AG1175&lt;1,$AG1175&gt;12,$AH1175&lt;1,$AH1175&gt;31),"نامعتبر",RIGHT("0000"&amp;$AF1175,4)&amp;"/"&amp;RIGHT("00"&amp;$AG1175,2)&amp;"/"&amp;RIGHT("00"&amp;$AH1175,2)))</f>
        <v/>
      </c>
      <c r="AJ1175">
        <f>IF($AE1175="","",IF(Sync!$Q1175="","0000",IF(AND(ISNUMBER(Sync!$Q1175),Sync!$Q1175&gt;=0,Sync!$Q1175&lt;1),RIGHT("00"&amp;HOUR(Sync!$Q1175),2)&amp;RIGHT("00"&amp;MINUTE(Sync!$Q1175),2),IFERROR(RIGHT("00"&amp;VALUE(LEFT(Sync!$Q1175,FIND(":",Sync!$Q1175)-1)),2)&amp;RIGHT("00"&amp;VALUE(MID(Sync!$Q1175,FIND(":",Sync!$Q1175)+1,2)),2),"0000"))))</f>
        <v/>
      </c>
      <c r="AK1175">
        <f>IF(OR($AE1175="",$AI1175="",$AI1175="نامعتبر"),"",LEFT($AI1175,4)&amp;MID($AI1175,6,2)&amp;RIGHT($AI1175,2)&amp;$AJ1175&amp;"|"&amp;"3"&amp;RIGHT("00000"&amp;1170,5))</f>
        <v/>
      </c>
      <c r="AL1175">
        <f>IF($AK1175="","",COUNTIFS(LdAParty,$AE1175,LdAType,1,LdAKey,"&lt;"&amp;$AK1175)+COUNTIFS(LdBMember,$AE1175,LdBKey,"&lt;"&amp;$AK1175)+COUNTIFS(LdCParty,$AE1175,LdCKey,"&lt;"&amp;$AK1175)+1)</f>
        <v/>
      </c>
      <c r="AM1175">
        <f>IF($AL1175="","",$AE1175&amp;"|"&amp;RIGHT("000000"&amp;$AL1175,6))</f>
        <v/>
      </c>
      <c r="AN1175">
        <f>IF($AE1175="","",IF(Sync!$W1175="",0,Sync!$W1175))</f>
        <v/>
      </c>
      <c r="AO1175">
        <f>IF($AE1175="","",IF(Sync!$X1175="",0,Sync!$X1175))</f>
        <v/>
      </c>
      <c r="AP1175">
        <f>IF($AE1175="","",Sync!$R1175)</f>
        <v/>
      </c>
      <c r="AQ1175">
        <f>IF($AE1175="","",Sync!$Y1175)</f>
        <v/>
      </c>
    </row>
    <row r="1176">
      <c r="A1176">
        <f>IF(OR(Wages!$B1179="",Wages!$E1179=""),"",Wages!$E1179)</f>
        <v/>
      </c>
      <c r="B1176">
        <f>IF($A1176="","",IF(Wages!$C1179="دستمزد گروهی",2,1))</f>
        <v/>
      </c>
      <c r="C1176">
        <f>IF($A1176="","",IF(ISNUMBER(Wages!$B1179),IF(AND(Wages!$B1179&gt;=10000101,Wages!$B1179&lt;=99991231),INT(Wages!$B1179/10000),""),IFERROR(VALUE(TRIM(LEFT(Wages!$B1179,FIND("/",Wages!$B1179)-1))),"")))</f>
        <v/>
      </c>
      <c r="D1176">
        <f>IF(OR($A1176="",$C1176=""),"",IF(ISNUMBER(Wages!$B1179),INT(MOD(Wages!$B1179,10000)/100),IFERROR(VALUE(TRIM(LEFT(MID(Wages!$B1179,FIND("/",Wages!$B1179)+1,20),FIND("/",MID(Wages!$B1179,FIND("/",Wages!$B1179)+1,20))-1))),"")))</f>
        <v/>
      </c>
      <c r="E1176">
        <f>IF(OR($A1176="",$C1176=""),"",IF(ISNUMBER(Wages!$B1179),MOD(Wages!$B1179,100),IFERROR(VALUE(TRIM(MID(MID(Wages!$B1179,FIND("/",Wages!$B1179)+1,20),FIND("/",MID(Wages!$B1179,FIND("/",Wages!$B1179)+1,20))+1,20))),"")))</f>
        <v/>
      </c>
      <c r="F1176">
        <f>IF($A1176="","",IF(OR($C1176="",$D1176="",$E1176="",$C1176&lt;1300,$C1176&gt;1500,$D1176&lt;1,$D1176&gt;12,$E1176&lt;1,$E1176&gt;31),"نامعتبر",RIGHT("0000"&amp;$C1176,4)&amp;"/"&amp;RIGHT("00"&amp;$D1176,2)&amp;"/"&amp;RIGHT("00"&amp;$E1176,2)))</f>
        <v/>
      </c>
      <c r="G1176">
        <f>IF(OR($A1176="",$F1176="",$F1176="نامعتبر"),"",LEFT($F1176,4)&amp;MID($F1176,6,2)&amp;RIGHT($F1176,2)&amp;"0000"&amp;"|"&amp;"1"&amp;RIGHT("00000"&amp;1171,5))</f>
        <v/>
      </c>
      <c r="H1176">
        <f>IF(OR($B1176&lt;&gt;1,$G1176=""),"",COUNTIFS(LdAParty,$A1176,LdAType,1,LdAKey,"&lt;"&amp;$G1176)+COUNTIFS(LdBMember,$A1176,LdBKey,"&lt;"&amp;$G1176)+COUNTIFS(LdCParty,$A1176,LdCKey,"&lt;"&amp;$G1176)+1)</f>
        <v/>
      </c>
      <c r="I1176">
        <f>IF($H1176="","",$A1176&amp;"|"&amp;RIGHT("000000"&amp;$H1176,6))</f>
        <v/>
      </c>
      <c r="J1176">
        <f>IF(OR($B1176&lt;&gt;2,$G1176=""),"",COUNTIFS(LdAParty,$A1176,LdAType,2,LdAKey,"&lt;"&amp;$G1176)+1)</f>
        <v/>
      </c>
      <c r="K1176">
        <f>IF($J1176="","",$A1176&amp;"|"&amp;RIGHT("000000"&amp;$J1176,6))</f>
        <v/>
      </c>
      <c r="L1176">
        <f>IF($A1176="","",IF(Wages!$G1179="",0,Wages!$G1179))</f>
        <v/>
      </c>
      <c r="M1176">
        <f>IF($A1176="","",Wages!$J1179)</f>
        <v/>
      </c>
      <c r="N1176">
        <f>IF($A1176="","",Wages!$D1179)</f>
        <v/>
      </c>
      <c r="P1176">
        <f>IF(OR(Shares!$B1179="",Shares!$C1179=""),"",Shares!$C1179)</f>
        <v/>
      </c>
      <c r="Q1176">
        <f>IF($P1176="","",Shares!$B1179)</f>
        <v/>
      </c>
      <c r="R1176">
        <f>IF($P1176="","",IFERROR(INDEX(WageParty,MATCH($Q1176,WageIds,0)),""))</f>
        <v/>
      </c>
      <c r="S1176">
        <f>IF($P1176="","",IFERROR(INDEX($F$6:$F$2005,MATCH($Q1176,WageIds,0)),""))</f>
        <v/>
      </c>
      <c r="T1176">
        <f>IF(OR($P1176="",$S1176="",$S1176="نامعتبر"),"",LEFT($S1176,4)&amp;MID($S1176,6,2)&amp;RIGHT($S1176,2)&amp;"0000"&amp;"|"&amp;"2"&amp;RIGHT("00000"&amp;1171,5))</f>
        <v/>
      </c>
      <c r="U1176">
        <f>IF($T1176="","",COUNTIFS(LdAParty,$P1176,LdAType,1,LdAKey,"&lt;"&amp;$T1176)+COUNTIFS(LdBMember,$P1176,LdBKey,"&lt;"&amp;$T1176)+COUNTIFS(LdCParty,$P1176,LdCKey,"&lt;"&amp;$T1176)+1)</f>
        <v/>
      </c>
      <c r="V1176">
        <f>IF($U1176="","",$P1176&amp;"|"&amp;RIGHT("000000"&amp;$U1176,6))</f>
        <v/>
      </c>
      <c r="W1176">
        <f>IF($T1176="","",COUNTIFS(LdBGroup,$R1176,LdBKey,"&lt;"&amp;$T1176)+1)</f>
        <v/>
      </c>
      <c r="X1176">
        <f>IF($W1176="","",$R1176&amp;"|"&amp;RIGHT("000000"&amp;$W1176,6))</f>
        <v/>
      </c>
      <c r="Y1176">
        <f>IF($P1176="","",IF(Shares!$E1179="",0,Shares!$E1179))</f>
        <v/>
      </c>
      <c r="Z1176">
        <f>IF($P1176="","",Shares!$H1179)</f>
        <v/>
      </c>
      <c r="AE1176">
        <f>IF(OR(Sync!$S1176="",Sync!$P1176=""),"",Sync!$S1176)</f>
        <v/>
      </c>
      <c r="AF1176">
        <f>IF($AE1176="","",IF(ISNUMBER(Sync!$P1176),IF(AND(Sync!$P1176&gt;=10000101,Sync!$P1176&lt;=99991231),INT(Sync!$P1176/10000),""),IFERROR(VALUE(TRIM(LEFT(Sync!$P1176,FIND("/",Sync!$P1176)-1))),"")))</f>
        <v/>
      </c>
      <c r="AG1176">
        <f>IF(OR($AE1176="",$AF1176=""),"",IF(ISNUMBER(Sync!$P1176),INT(MOD(Sync!$P1176,10000)/100),IFERROR(VALUE(TRIM(LEFT(MID(Sync!$P1176,FIND("/",Sync!$P1176)+1,20),FIND("/",MID(Sync!$P1176,FIND("/",Sync!$P1176)+1,20))-1))),"")))</f>
        <v/>
      </c>
      <c r="AH1176">
        <f>IF(OR($AE1176="",$AF1176=""),"",IF(ISNUMBER(Sync!$P1176),MOD(Sync!$P1176,100),IFERROR(VALUE(TRIM(MID(MID(Sync!$P1176,FIND("/",Sync!$P1176)+1,20),FIND("/",MID(Sync!$P1176,FIND("/",Sync!$P1176)+1,20))+1,20))),"")))</f>
        <v/>
      </c>
      <c r="AI1176">
        <f>IF($AE1176="","",IF(OR($AF1176="",$AG1176="",$AH1176="",$AF1176&lt;1300,$AF1176&gt;1500,$AG1176&lt;1,$AG1176&gt;12,$AH1176&lt;1,$AH1176&gt;31),"نامعتبر",RIGHT("0000"&amp;$AF1176,4)&amp;"/"&amp;RIGHT("00"&amp;$AG1176,2)&amp;"/"&amp;RIGHT("00"&amp;$AH1176,2)))</f>
        <v/>
      </c>
      <c r="AJ1176">
        <f>IF($AE1176="","",IF(Sync!$Q1176="","0000",IF(AND(ISNUMBER(Sync!$Q1176),Sync!$Q1176&gt;=0,Sync!$Q1176&lt;1),RIGHT("00"&amp;HOUR(Sync!$Q1176),2)&amp;RIGHT("00"&amp;MINUTE(Sync!$Q1176),2),IFERROR(RIGHT("00"&amp;VALUE(LEFT(Sync!$Q1176,FIND(":",Sync!$Q1176)-1)),2)&amp;RIGHT("00"&amp;VALUE(MID(Sync!$Q1176,FIND(":",Sync!$Q1176)+1,2)),2),"0000"))))</f>
        <v/>
      </c>
      <c r="AK1176">
        <f>IF(OR($AE1176="",$AI1176="",$AI1176="نامعتبر"),"",LEFT($AI1176,4)&amp;MID($AI1176,6,2)&amp;RIGHT($AI1176,2)&amp;$AJ1176&amp;"|"&amp;"3"&amp;RIGHT("00000"&amp;1171,5))</f>
        <v/>
      </c>
      <c r="AL1176">
        <f>IF($AK1176="","",COUNTIFS(LdAParty,$AE1176,LdAType,1,LdAKey,"&lt;"&amp;$AK1176)+COUNTIFS(LdBMember,$AE1176,LdBKey,"&lt;"&amp;$AK1176)+COUNTIFS(LdCParty,$AE1176,LdCKey,"&lt;"&amp;$AK1176)+1)</f>
        <v/>
      </c>
      <c r="AM1176">
        <f>IF($AL1176="","",$AE1176&amp;"|"&amp;RIGHT("000000"&amp;$AL1176,6))</f>
        <v/>
      </c>
      <c r="AN1176">
        <f>IF($AE1176="","",IF(Sync!$W1176="",0,Sync!$W1176))</f>
        <v/>
      </c>
      <c r="AO1176">
        <f>IF($AE1176="","",IF(Sync!$X1176="",0,Sync!$X1176))</f>
        <v/>
      </c>
      <c r="AP1176">
        <f>IF($AE1176="","",Sync!$R1176)</f>
        <v/>
      </c>
      <c r="AQ1176">
        <f>IF($AE1176="","",Sync!$Y1176)</f>
        <v/>
      </c>
    </row>
    <row r="1177">
      <c r="A1177">
        <f>IF(OR(Wages!$B1180="",Wages!$E1180=""),"",Wages!$E1180)</f>
        <v/>
      </c>
      <c r="B1177">
        <f>IF($A1177="","",IF(Wages!$C1180="دستمزد گروهی",2,1))</f>
        <v/>
      </c>
      <c r="C1177">
        <f>IF($A1177="","",IF(ISNUMBER(Wages!$B1180),IF(AND(Wages!$B1180&gt;=10000101,Wages!$B1180&lt;=99991231),INT(Wages!$B1180/10000),""),IFERROR(VALUE(TRIM(LEFT(Wages!$B1180,FIND("/",Wages!$B1180)-1))),"")))</f>
        <v/>
      </c>
      <c r="D1177">
        <f>IF(OR($A1177="",$C1177=""),"",IF(ISNUMBER(Wages!$B1180),INT(MOD(Wages!$B1180,10000)/100),IFERROR(VALUE(TRIM(LEFT(MID(Wages!$B1180,FIND("/",Wages!$B1180)+1,20),FIND("/",MID(Wages!$B1180,FIND("/",Wages!$B1180)+1,20))-1))),"")))</f>
        <v/>
      </c>
      <c r="E1177">
        <f>IF(OR($A1177="",$C1177=""),"",IF(ISNUMBER(Wages!$B1180),MOD(Wages!$B1180,100),IFERROR(VALUE(TRIM(MID(MID(Wages!$B1180,FIND("/",Wages!$B1180)+1,20),FIND("/",MID(Wages!$B1180,FIND("/",Wages!$B1180)+1,20))+1,20))),"")))</f>
        <v/>
      </c>
      <c r="F1177">
        <f>IF($A1177="","",IF(OR($C1177="",$D1177="",$E1177="",$C1177&lt;1300,$C1177&gt;1500,$D1177&lt;1,$D1177&gt;12,$E1177&lt;1,$E1177&gt;31),"نامعتبر",RIGHT("0000"&amp;$C1177,4)&amp;"/"&amp;RIGHT("00"&amp;$D1177,2)&amp;"/"&amp;RIGHT("00"&amp;$E1177,2)))</f>
        <v/>
      </c>
      <c r="G1177">
        <f>IF(OR($A1177="",$F1177="",$F1177="نامعتبر"),"",LEFT($F1177,4)&amp;MID($F1177,6,2)&amp;RIGHT($F1177,2)&amp;"0000"&amp;"|"&amp;"1"&amp;RIGHT("00000"&amp;1172,5))</f>
        <v/>
      </c>
      <c r="H1177">
        <f>IF(OR($B1177&lt;&gt;1,$G1177=""),"",COUNTIFS(LdAParty,$A1177,LdAType,1,LdAKey,"&lt;"&amp;$G1177)+COUNTIFS(LdBMember,$A1177,LdBKey,"&lt;"&amp;$G1177)+COUNTIFS(LdCParty,$A1177,LdCKey,"&lt;"&amp;$G1177)+1)</f>
        <v/>
      </c>
      <c r="I1177">
        <f>IF($H1177="","",$A1177&amp;"|"&amp;RIGHT("000000"&amp;$H1177,6))</f>
        <v/>
      </c>
      <c r="J1177">
        <f>IF(OR($B1177&lt;&gt;2,$G1177=""),"",COUNTIFS(LdAParty,$A1177,LdAType,2,LdAKey,"&lt;"&amp;$G1177)+1)</f>
        <v/>
      </c>
      <c r="K1177">
        <f>IF($J1177="","",$A1177&amp;"|"&amp;RIGHT("000000"&amp;$J1177,6))</f>
        <v/>
      </c>
      <c r="L1177">
        <f>IF($A1177="","",IF(Wages!$G1180="",0,Wages!$G1180))</f>
        <v/>
      </c>
      <c r="M1177">
        <f>IF($A1177="","",Wages!$J1180)</f>
        <v/>
      </c>
      <c r="N1177">
        <f>IF($A1177="","",Wages!$D1180)</f>
        <v/>
      </c>
      <c r="P1177">
        <f>IF(OR(Shares!$B1180="",Shares!$C1180=""),"",Shares!$C1180)</f>
        <v/>
      </c>
      <c r="Q1177">
        <f>IF($P1177="","",Shares!$B1180)</f>
        <v/>
      </c>
      <c r="R1177">
        <f>IF($P1177="","",IFERROR(INDEX(WageParty,MATCH($Q1177,WageIds,0)),""))</f>
        <v/>
      </c>
      <c r="S1177">
        <f>IF($P1177="","",IFERROR(INDEX($F$6:$F$2005,MATCH($Q1177,WageIds,0)),""))</f>
        <v/>
      </c>
      <c r="T1177">
        <f>IF(OR($P1177="",$S1177="",$S1177="نامعتبر"),"",LEFT($S1177,4)&amp;MID($S1177,6,2)&amp;RIGHT($S1177,2)&amp;"0000"&amp;"|"&amp;"2"&amp;RIGHT("00000"&amp;1172,5))</f>
        <v/>
      </c>
      <c r="U1177">
        <f>IF($T1177="","",COUNTIFS(LdAParty,$P1177,LdAType,1,LdAKey,"&lt;"&amp;$T1177)+COUNTIFS(LdBMember,$P1177,LdBKey,"&lt;"&amp;$T1177)+COUNTIFS(LdCParty,$P1177,LdCKey,"&lt;"&amp;$T1177)+1)</f>
        <v/>
      </c>
      <c r="V1177">
        <f>IF($U1177="","",$P1177&amp;"|"&amp;RIGHT("000000"&amp;$U1177,6))</f>
        <v/>
      </c>
      <c r="W1177">
        <f>IF($T1177="","",COUNTIFS(LdBGroup,$R1177,LdBKey,"&lt;"&amp;$T1177)+1)</f>
        <v/>
      </c>
      <c r="X1177">
        <f>IF($W1177="","",$R1177&amp;"|"&amp;RIGHT("000000"&amp;$W1177,6))</f>
        <v/>
      </c>
      <c r="Y1177">
        <f>IF($P1177="","",IF(Shares!$E1180="",0,Shares!$E1180))</f>
        <v/>
      </c>
      <c r="Z1177">
        <f>IF($P1177="","",Shares!$H1180)</f>
        <v/>
      </c>
      <c r="AE1177">
        <f>IF(OR(Sync!$S1177="",Sync!$P1177=""),"",Sync!$S1177)</f>
        <v/>
      </c>
      <c r="AF1177">
        <f>IF($AE1177="","",IF(ISNUMBER(Sync!$P1177),IF(AND(Sync!$P1177&gt;=10000101,Sync!$P1177&lt;=99991231),INT(Sync!$P1177/10000),""),IFERROR(VALUE(TRIM(LEFT(Sync!$P1177,FIND("/",Sync!$P1177)-1))),"")))</f>
        <v/>
      </c>
      <c r="AG1177">
        <f>IF(OR($AE1177="",$AF1177=""),"",IF(ISNUMBER(Sync!$P1177),INT(MOD(Sync!$P1177,10000)/100),IFERROR(VALUE(TRIM(LEFT(MID(Sync!$P1177,FIND("/",Sync!$P1177)+1,20),FIND("/",MID(Sync!$P1177,FIND("/",Sync!$P1177)+1,20))-1))),"")))</f>
        <v/>
      </c>
      <c r="AH1177">
        <f>IF(OR($AE1177="",$AF1177=""),"",IF(ISNUMBER(Sync!$P1177),MOD(Sync!$P1177,100),IFERROR(VALUE(TRIM(MID(MID(Sync!$P1177,FIND("/",Sync!$P1177)+1,20),FIND("/",MID(Sync!$P1177,FIND("/",Sync!$P1177)+1,20))+1,20))),"")))</f>
        <v/>
      </c>
      <c r="AI1177">
        <f>IF($AE1177="","",IF(OR($AF1177="",$AG1177="",$AH1177="",$AF1177&lt;1300,$AF1177&gt;1500,$AG1177&lt;1,$AG1177&gt;12,$AH1177&lt;1,$AH1177&gt;31),"نامعتبر",RIGHT("0000"&amp;$AF1177,4)&amp;"/"&amp;RIGHT("00"&amp;$AG1177,2)&amp;"/"&amp;RIGHT("00"&amp;$AH1177,2)))</f>
        <v/>
      </c>
      <c r="AJ1177">
        <f>IF($AE1177="","",IF(Sync!$Q1177="","0000",IF(AND(ISNUMBER(Sync!$Q1177),Sync!$Q1177&gt;=0,Sync!$Q1177&lt;1),RIGHT("00"&amp;HOUR(Sync!$Q1177),2)&amp;RIGHT("00"&amp;MINUTE(Sync!$Q1177),2),IFERROR(RIGHT("00"&amp;VALUE(LEFT(Sync!$Q1177,FIND(":",Sync!$Q1177)-1)),2)&amp;RIGHT("00"&amp;VALUE(MID(Sync!$Q1177,FIND(":",Sync!$Q1177)+1,2)),2),"0000"))))</f>
        <v/>
      </c>
      <c r="AK1177">
        <f>IF(OR($AE1177="",$AI1177="",$AI1177="نامعتبر"),"",LEFT($AI1177,4)&amp;MID($AI1177,6,2)&amp;RIGHT($AI1177,2)&amp;$AJ1177&amp;"|"&amp;"3"&amp;RIGHT("00000"&amp;1172,5))</f>
        <v/>
      </c>
      <c r="AL1177">
        <f>IF($AK1177="","",COUNTIFS(LdAParty,$AE1177,LdAType,1,LdAKey,"&lt;"&amp;$AK1177)+COUNTIFS(LdBMember,$AE1177,LdBKey,"&lt;"&amp;$AK1177)+COUNTIFS(LdCParty,$AE1177,LdCKey,"&lt;"&amp;$AK1177)+1)</f>
        <v/>
      </c>
      <c r="AM1177">
        <f>IF($AL1177="","",$AE1177&amp;"|"&amp;RIGHT("000000"&amp;$AL1177,6))</f>
        <v/>
      </c>
      <c r="AN1177">
        <f>IF($AE1177="","",IF(Sync!$W1177="",0,Sync!$W1177))</f>
        <v/>
      </c>
      <c r="AO1177">
        <f>IF($AE1177="","",IF(Sync!$X1177="",0,Sync!$X1177))</f>
        <v/>
      </c>
      <c r="AP1177">
        <f>IF($AE1177="","",Sync!$R1177)</f>
        <v/>
      </c>
      <c r="AQ1177">
        <f>IF($AE1177="","",Sync!$Y1177)</f>
        <v/>
      </c>
    </row>
    <row r="1178">
      <c r="A1178">
        <f>IF(OR(Wages!$B1181="",Wages!$E1181=""),"",Wages!$E1181)</f>
        <v/>
      </c>
      <c r="B1178">
        <f>IF($A1178="","",IF(Wages!$C1181="دستمزد گروهی",2,1))</f>
        <v/>
      </c>
      <c r="C1178">
        <f>IF($A1178="","",IF(ISNUMBER(Wages!$B1181),IF(AND(Wages!$B1181&gt;=10000101,Wages!$B1181&lt;=99991231),INT(Wages!$B1181/10000),""),IFERROR(VALUE(TRIM(LEFT(Wages!$B1181,FIND("/",Wages!$B1181)-1))),"")))</f>
        <v/>
      </c>
      <c r="D1178">
        <f>IF(OR($A1178="",$C1178=""),"",IF(ISNUMBER(Wages!$B1181),INT(MOD(Wages!$B1181,10000)/100),IFERROR(VALUE(TRIM(LEFT(MID(Wages!$B1181,FIND("/",Wages!$B1181)+1,20),FIND("/",MID(Wages!$B1181,FIND("/",Wages!$B1181)+1,20))-1))),"")))</f>
        <v/>
      </c>
      <c r="E1178">
        <f>IF(OR($A1178="",$C1178=""),"",IF(ISNUMBER(Wages!$B1181),MOD(Wages!$B1181,100),IFERROR(VALUE(TRIM(MID(MID(Wages!$B1181,FIND("/",Wages!$B1181)+1,20),FIND("/",MID(Wages!$B1181,FIND("/",Wages!$B1181)+1,20))+1,20))),"")))</f>
        <v/>
      </c>
      <c r="F1178">
        <f>IF($A1178="","",IF(OR($C1178="",$D1178="",$E1178="",$C1178&lt;1300,$C1178&gt;1500,$D1178&lt;1,$D1178&gt;12,$E1178&lt;1,$E1178&gt;31),"نامعتبر",RIGHT("0000"&amp;$C1178,4)&amp;"/"&amp;RIGHT("00"&amp;$D1178,2)&amp;"/"&amp;RIGHT("00"&amp;$E1178,2)))</f>
        <v/>
      </c>
      <c r="G1178">
        <f>IF(OR($A1178="",$F1178="",$F1178="نامعتبر"),"",LEFT($F1178,4)&amp;MID($F1178,6,2)&amp;RIGHT($F1178,2)&amp;"0000"&amp;"|"&amp;"1"&amp;RIGHT("00000"&amp;1173,5))</f>
        <v/>
      </c>
      <c r="H1178">
        <f>IF(OR($B1178&lt;&gt;1,$G1178=""),"",COUNTIFS(LdAParty,$A1178,LdAType,1,LdAKey,"&lt;"&amp;$G1178)+COUNTIFS(LdBMember,$A1178,LdBKey,"&lt;"&amp;$G1178)+COUNTIFS(LdCParty,$A1178,LdCKey,"&lt;"&amp;$G1178)+1)</f>
        <v/>
      </c>
      <c r="I1178">
        <f>IF($H1178="","",$A1178&amp;"|"&amp;RIGHT("000000"&amp;$H1178,6))</f>
        <v/>
      </c>
      <c r="J1178">
        <f>IF(OR($B1178&lt;&gt;2,$G1178=""),"",COUNTIFS(LdAParty,$A1178,LdAType,2,LdAKey,"&lt;"&amp;$G1178)+1)</f>
        <v/>
      </c>
      <c r="K1178">
        <f>IF($J1178="","",$A1178&amp;"|"&amp;RIGHT("000000"&amp;$J1178,6))</f>
        <v/>
      </c>
      <c r="L1178">
        <f>IF($A1178="","",IF(Wages!$G1181="",0,Wages!$G1181))</f>
        <v/>
      </c>
      <c r="M1178">
        <f>IF($A1178="","",Wages!$J1181)</f>
        <v/>
      </c>
      <c r="N1178">
        <f>IF($A1178="","",Wages!$D1181)</f>
        <v/>
      </c>
      <c r="P1178">
        <f>IF(OR(Shares!$B1181="",Shares!$C1181=""),"",Shares!$C1181)</f>
        <v/>
      </c>
      <c r="Q1178">
        <f>IF($P1178="","",Shares!$B1181)</f>
        <v/>
      </c>
      <c r="R1178">
        <f>IF($P1178="","",IFERROR(INDEX(WageParty,MATCH($Q1178,WageIds,0)),""))</f>
        <v/>
      </c>
      <c r="S1178">
        <f>IF($P1178="","",IFERROR(INDEX($F$6:$F$2005,MATCH($Q1178,WageIds,0)),""))</f>
        <v/>
      </c>
      <c r="T1178">
        <f>IF(OR($P1178="",$S1178="",$S1178="نامعتبر"),"",LEFT($S1178,4)&amp;MID($S1178,6,2)&amp;RIGHT($S1178,2)&amp;"0000"&amp;"|"&amp;"2"&amp;RIGHT("00000"&amp;1173,5))</f>
        <v/>
      </c>
      <c r="U1178">
        <f>IF($T1178="","",COUNTIFS(LdAParty,$P1178,LdAType,1,LdAKey,"&lt;"&amp;$T1178)+COUNTIFS(LdBMember,$P1178,LdBKey,"&lt;"&amp;$T1178)+COUNTIFS(LdCParty,$P1178,LdCKey,"&lt;"&amp;$T1178)+1)</f>
        <v/>
      </c>
      <c r="V1178">
        <f>IF($U1178="","",$P1178&amp;"|"&amp;RIGHT("000000"&amp;$U1178,6))</f>
        <v/>
      </c>
      <c r="W1178">
        <f>IF($T1178="","",COUNTIFS(LdBGroup,$R1178,LdBKey,"&lt;"&amp;$T1178)+1)</f>
        <v/>
      </c>
      <c r="X1178">
        <f>IF($W1178="","",$R1178&amp;"|"&amp;RIGHT("000000"&amp;$W1178,6))</f>
        <v/>
      </c>
      <c r="Y1178">
        <f>IF($P1178="","",IF(Shares!$E1181="",0,Shares!$E1181))</f>
        <v/>
      </c>
      <c r="Z1178">
        <f>IF($P1178="","",Shares!$H1181)</f>
        <v/>
      </c>
      <c r="AE1178">
        <f>IF(OR(Sync!$S1178="",Sync!$P1178=""),"",Sync!$S1178)</f>
        <v/>
      </c>
      <c r="AF1178">
        <f>IF($AE1178="","",IF(ISNUMBER(Sync!$P1178),IF(AND(Sync!$P1178&gt;=10000101,Sync!$P1178&lt;=99991231),INT(Sync!$P1178/10000),""),IFERROR(VALUE(TRIM(LEFT(Sync!$P1178,FIND("/",Sync!$P1178)-1))),"")))</f>
        <v/>
      </c>
      <c r="AG1178">
        <f>IF(OR($AE1178="",$AF1178=""),"",IF(ISNUMBER(Sync!$P1178),INT(MOD(Sync!$P1178,10000)/100),IFERROR(VALUE(TRIM(LEFT(MID(Sync!$P1178,FIND("/",Sync!$P1178)+1,20),FIND("/",MID(Sync!$P1178,FIND("/",Sync!$P1178)+1,20))-1))),"")))</f>
        <v/>
      </c>
      <c r="AH1178">
        <f>IF(OR($AE1178="",$AF1178=""),"",IF(ISNUMBER(Sync!$P1178),MOD(Sync!$P1178,100),IFERROR(VALUE(TRIM(MID(MID(Sync!$P1178,FIND("/",Sync!$P1178)+1,20),FIND("/",MID(Sync!$P1178,FIND("/",Sync!$P1178)+1,20))+1,20))),"")))</f>
        <v/>
      </c>
      <c r="AI1178">
        <f>IF($AE1178="","",IF(OR($AF1178="",$AG1178="",$AH1178="",$AF1178&lt;1300,$AF1178&gt;1500,$AG1178&lt;1,$AG1178&gt;12,$AH1178&lt;1,$AH1178&gt;31),"نامعتبر",RIGHT("0000"&amp;$AF1178,4)&amp;"/"&amp;RIGHT("00"&amp;$AG1178,2)&amp;"/"&amp;RIGHT("00"&amp;$AH1178,2)))</f>
        <v/>
      </c>
      <c r="AJ1178">
        <f>IF($AE1178="","",IF(Sync!$Q1178="","0000",IF(AND(ISNUMBER(Sync!$Q1178),Sync!$Q1178&gt;=0,Sync!$Q1178&lt;1),RIGHT("00"&amp;HOUR(Sync!$Q1178),2)&amp;RIGHT("00"&amp;MINUTE(Sync!$Q1178),2),IFERROR(RIGHT("00"&amp;VALUE(LEFT(Sync!$Q1178,FIND(":",Sync!$Q1178)-1)),2)&amp;RIGHT("00"&amp;VALUE(MID(Sync!$Q1178,FIND(":",Sync!$Q1178)+1,2)),2),"0000"))))</f>
        <v/>
      </c>
      <c r="AK1178">
        <f>IF(OR($AE1178="",$AI1178="",$AI1178="نامعتبر"),"",LEFT($AI1178,4)&amp;MID($AI1178,6,2)&amp;RIGHT($AI1178,2)&amp;$AJ1178&amp;"|"&amp;"3"&amp;RIGHT("00000"&amp;1173,5))</f>
        <v/>
      </c>
      <c r="AL1178">
        <f>IF($AK1178="","",COUNTIFS(LdAParty,$AE1178,LdAType,1,LdAKey,"&lt;"&amp;$AK1178)+COUNTIFS(LdBMember,$AE1178,LdBKey,"&lt;"&amp;$AK1178)+COUNTIFS(LdCParty,$AE1178,LdCKey,"&lt;"&amp;$AK1178)+1)</f>
        <v/>
      </c>
      <c r="AM1178">
        <f>IF($AL1178="","",$AE1178&amp;"|"&amp;RIGHT("000000"&amp;$AL1178,6))</f>
        <v/>
      </c>
      <c r="AN1178">
        <f>IF($AE1178="","",IF(Sync!$W1178="",0,Sync!$W1178))</f>
        <v/>
      </c>
      <c r="AO1178">
        <f>IF($AE1178="","",IF(Sync!$X1178="",0,Sync!$X1178))</f>
        <v/>
      </c>
      <c r="AP1178">
        <f>IF($AE1178="","",Sync!$R1178)</f>
        <v/>
      </c>
      <c r="AQ1178">
        <f>IF($AE1178="","",Sync!$Y1178)</f>
        <v/>
      </c>
    </row>
    <row r="1179">
      <c r="A1179">
        <f>IF(OR(Wages!$B1182="",Wages!$E1182=""),"",Wages!$E1182)</f>
        <v/>
      </c>
      <c r="B1179">
        <f>IF($A1179="","",IF(Wages!$C1182="دستمزد گروهی",2,1))</f>
        <v/>
      </c>
      <c r="C1179">
        <f>IF($A1179="","",IF(ISNUMBER(Wages!$B1182),IF(AND(Wages!$B1182&gt;=10000101,Wages!$B1182&lt;=99991231),INT(Wages!$B1182/10000),""),IFERROR(VALUE(TRIM(LEFT(Wages!$B1182,FIND("/",Wages!$B1182)-1))),"")))</f>
        <v/>
      </c>
      <c r="D1179">
        <f>IF(OR($A1179="",$C1179=""),"",IF(ISNUMBER(Wages!$B1182),INT(MOD(Wages!$B1182,10000)/100),IFERROR(VALUE(TRIM(LEFT(MID(Wages!$B1182,FIND("/",Wages!$B1182)+1,20),FIND("/",MID(Wages!$B1182,FIND("/",Wages!$B1182)+1,20))-1))),"")))</f>
        <v/>
      </c>
      <c r="E1179">
        <f>IF(OR($A1179="",$C1179=""),"",IF(ISNUMBER(Wages!$B1182),MOD(Wages!$B1182,100),IFERROR(VALUE(TRIM(MID(MID(Wages!$B1182,FIND("/",Wages!$B1182)+1,20),FIND("/",MID(Wages!$B1182,FIND("/",Wages!$B1182)+1,20))+1,20))),"")))</f>
        <v/>
      </c>
      <c r="F1179">
        <f>IF($A1179="","",IF(OR($C1179="",$D1179="",$E1179="",$C1179&lt;1300,$C1179&gt;1500,$D1179&lt;1,$D1179&gt;12,$E1179&lt;1,$E1179&gt;31),"نامعتبر",RIGHT("0000"&amp;$C1179,4)&amp;"/"&amp;RIGHT("00"&amp;$D1179,2)&amp;"/"&amp;RIGHT("00"&amp;$E1179,2)))</f>
        <v/>
      </c>
      <c r="G1179">
        <f>IF(OR($A1179="",$F1179="",$F1179="نامعتبر"),"",LEFT($F1179,4)&amp;MID($F1179,6,2)&amp;RIGHT($F1179,2)&amp;"0000"&amp;"|"&amp;"1"&amp;RIGHT("00000"&amp;1174,5))</f>
        <v/>
      </c>
      <c r="H1179">
        <f>IF(OR($B1179&lt;&gt;1,$G1179=""),"",COUNTIFS(LdAParty,$A1179,LdAType,1,LdAKey,"&lt;"&amp;$G1179)+COUNTIFS(LdBMember,$A1179,LdBKey,"&lt;"&amp;$G1179)+COUNTIFS(LdCParty,$A1179,LdCKey,"&lt;"&amp;$G1179)+1)</f>
        <v/>
      </c>
      <c r="I1179">
        <f>IF($H1179="","",$A1179&amp;"|"&amp;RIGHT("000000"&amp;$H1179,6))</f>
        <v/>
      </c>
      <c r="J1179">
        <f>IF(OR($B1179&lt;&gt;2,$G1179=""),"",COUNTIFS(LdAParty,$A1179,LdAType,2,LdAKey,"&lt;"&amp;$G1179)+1)</f>
        <v/>
      </c>
      <c r="K1179">
        <f>IF($J1179="","",$A1179&amp;"|"&amp;RIGHT("000000"&amp;$J1179,6))</f>
        <v/>
      </c>
      <c r="L1179">
        <f>IF($A1179="","",IF(Wages!$G1182="",0,Wages!$G1182))</f>
        <v/>
      </c>
      <c r="M1179">
        <f>IF($A1179="","",Wages!$J1182)</f>
        <v/>
      </c>
      <c r="N1179">
        <f>IF($A1179="","",Wages!$D1182)</f>
        <v/>
      </c>
      <c r="P1179">
        <f>IF(OR(Shares!$B1182="",Shares!$C1182=""),"",Shares!$C1182)</f>
        <v/>
      </c>
      <c r="Q1179">
        <f>IF($P1179="","",Shares!$B1182)</f>
        <v/>
      </c>
      <c r="R1179">
        <f>IF($P1179="","",IFERROR(INDEX(WageParty,MATCH($Q1179,WageIds,0)),""))</f>
        <v/>
      </c>
      <c r="S1179">
        <f>IF($P1179="","",IFERROR(INDEX($F$6:$F$2005,MATCH($Q1179,WageIds,0)),""))</f>
        <v/>
      </c>
      <c r="T1179">
        <f>IF(OR($P1179="",$S1179="",$S1179="نامعتبر"),"",LEFT($S1179,4)&amp;MID($S1179,6,2)&amp;RIGHT($S1179,2)&amp;"0000"&amp;"|"&amp;"2"&amp;RIGHT("00000"&amp;1174,5))</f>
        <v/>
      </c>
      <c r="U1179">
        <f>IF($T1179="","",COUNTIFS(LdAParty,$P1179,LdAType,1,LdAKey,"&lt;"&amp;$T1179)+COUNTIFS(LdBMember,$P1179,LdBKey,"&lt;"&amp;$T1179)+COUNTIFS(LdCParty,$P1179,LdCKey,"&lt;"&amp;$T1179)+1)</f>
        <v/>
      </c>
      <c r="V1179">
        <f>IF($U1179="","",$P1179&amp;"|"&amp;RIGHT("000000"&amp;$U1179,6))</f>
        <v/>
      </c>
      <c r="W1179">
        <f>IF($T1179="","",COUNTIFS(LdBGroup,$R1179,LdBKey,"&lt;"&amp;$T1179)+1)</f>
        <v/>
      </c>
      <c r="X1179">
        <f>IF($W1179="","",$R1179&amp;"|"&amp;RIGHT("000000"&amp;$W1179,6))</f>
        <v/>
      </c>
      <c r="Y1179">
        <f>IF($P1179="","",IF(Shares!$E1182="",0,Shares!$E1182))</f>
        <v/>
      </c>
      <c r="Z1179">
        <f>IF($P1179="","",Shares!$H1182)</f>
        <v/>
      </c>
      <c r="AE1179">
        <f>IF(OR(Sync!$S1179="",Sync!$P1179=""),"",Sync!$S1179)</f>
        <v/>
      </c>
      <c r="AF1179">
        <f>IF($AE1179="","",IF(ISNUMBER(Sync!$P1179),IF(AND(Sync!$P1179&gt;=10000101,Sync!$P1179&lt;=99991231),INT(Sync!$P1179/10000),""),IFERROR(VALUE(TRIM(LEFT(Sync!$P1179,FIND("/",Sync!$P1179)-1))),"")))</f>
        <v/>
      </c>
      <c r="AG1179">
        <f>IF(OR($AE1179="",$AF1179=""),"",IF(ISNUMBER(Sync!$P1179),INT(MOD(Sync!$P1179,10000)/100),IFERROR(VALUE(TRIM(LEFT(MID(Sync!$P1179,FIND("/",Sync!$P1179)+1,20),FIND("/",MID(Sync!$P1179,FIND("/",Sync!$P1179)+1,20))-1))),"")))</f>
        <v/>
      </c>
      <c r="AH1179">
        <f>IF(OR($AE1179="",$AF1179=""),"",IF(ISNUMBER(Sync!$P1179),MOD(Sync!$P1179,100),IFERROR(VALUE(TRIM(MID(MID(Sync!$P1179,FIND("/",Sync!$P1179)+1,20),FIND("/",MID(Sync!$P1179,FIND("/",Sync!$P1179)+1,20))+1,20))),"")))</f>
        <v/>
      </c>
      <c r="AI1179">
        <f>IF($AE1179="","",IF(OR($AF1179="",$AG1179="",$AH1179="",$AF1179&lt;1300,$AF1179&gt;1500,$AG1179&lt;1,$AG1179&gt;12,$AH1179&lt;1,$AH1179&gt;31),"نامعتبر",RIGHT("0000"&amp;$AF1179,4)&amp;"/"&amp;RIGHT("00"&amp;$AG1179,2)&amp;"/"&amp;RIGHT("00"&amp;$AH1179,2)))</f>
        <v/>
      </c>
      <c r="AJ1179">
        <f>IF($AE1179="","",IF(Sync!$Q1179="","0000",IF(AND(ISNUMBER(Sync!$Q1179),Sync!$Q1179&gt;=0,Sync!$Q1179&lt;1),RIGHT("00"&amp;HOUR(Sync!$Q1179),2)&amp;RIGHT("00"&amp;MINUTE(Sync!$Q1179),2),IFERROR(RIGHT("00"&amp;VALUE(LEFT(Sync!$Q1179,FIND(":",Sync!$Q1179)-1)),2)&amp;RIGHT("00"&amp;VALUE(MID(Sync!$Q1179,FIND(":",Sync!$Q1179)+1,2)),2),"0000"))))</f>
        <v/>
      </c>
      <c r="AK1179">
        <f>IF(OR($AE1179="",$AI1179="",$AI1179="نامعتبر"),"",LEFT($AI1179,4)&amp;MID($AI1179,6,2)&amp;RIGHT($AI1179,2)&amp;$AJ1179&amp;"|"&amp;"3"&amp;RIGHT("00000"&amp;1174,5))</f>
        <v/>
      </c>
      <c r="AL1179">
        <f>IF($AK1179="","",COUNTIFS(LdAParty,$AE1179,LdAType,1,LdAKey,"&lt;"&amp;$AK1179)+COUNTIFS(LdBMember,$AE1179,LdBKey,"&lt;"&amp;$AK1179)+COUNTIFS(LdCParty,$AE1179,LdCKey,"&lt;"&amp;$AK1179)+1)</f>
        <v/>
      </c>
      <c r="AM1179">
        <f>IF($AL1179="","",$AE1179&amp;"|"&amp;RIGHT("000000"&amp;$AL1179,6))</f>
        <v/>
      </c>
      <c r="AN1179">
        <f>IF($AE1179="","",IF(Sync!$W1179="",0,Sync!$W1179))</f>
        <v/>
      </c>
      <c r="AO1179">
        <f>IF($AE1179="","",IF(Sync!$X1179="",0,Sync!$X1179))</f>
        <v/>
      </c>
      <c r="AP1179">
        <f>IF($AE1179="","",Sync!$R1179)</f>
        <v/>
      </c>
      <c r="AQ1179">
        <f>IF($AE1179="","",Sync!$Y1179)</f>
        <v/>
      </c>
    </row>
    <row r="1180">
      <c r="A1180">
        <f>IF(OR(Wages!$B1183="",Wages!$E1183=""),"",Wages!$E1183)</f>
        <v/>
      </c>
      <c r="B1180">
        <f>IF($A1180="","",IF(Wages!$C1183="دستمزد گروهی",2,1))</f>
        <v/>
      </c>
      <c r="C1180">
        <f>IF($A1180="","",IF(ISNUMBER(Wages!$B1183),IF(AND(Wages!$B1183&gt;=10000101,Wages!$B1183&lt;=99991231),INT(Wages!$B1183/10000),""),IFERROR(VALUE(TRIM(LEFT(Wages!$B1183,FIND("/",Wages!$B1183)-1))),"")))</f>
        <v/>
      </c>
      <c r="D1180">
        <f>IF(OR($A1180="",$C1180=""),"",IF(ISNUMBER(Wages!$B1183),INT(MOD(Wages!$B1183,10000)/100),IFERROR(VALUE(TRIM(LEFT(MID(Wages!$B1183,FIND("/",Wages!$B1183)+1,20),FIND("/",MID(Wages!$B1183,FIND("/",Wages!$B1183)+1,20))-1))),"")))</f>
        <v/>
      </c>
      <c r="E1180">
        <f>IF(OR($A1180="",$C1180=""),"",IF(ISNUMBER(Wages!$B1183),MOD(Wages!$B1183,100),IFERROR(VALUE(TRIM(MID(MID(Wages!$B1183,FIND("/",Wages!$B1183)+1,20),FIND("/",MID(Wages!$B1183,FIND("/",Wages!$B1183)+1,20))+1,20))),"")))</f>
        <v/>
      </c>
      <c r="F1180">
        <f>IF($A1180="","",IF(OR($C1180="",$D1180="",$E1180="",$C1180&lt;1300,$C1180&gt;1500,$D1180&lt;1,$D1180&gt;12,$E1180&lt;1,$E1180&gt;31),"نامعتبر",RIGHT("0000"&amp;$C1180,4)&amp;"/"&amp;RIGHT("00"&amp;$D1180,2)&amp;"/"&amp;RIGHT("00"&amp;$E1180,2)))</f>
        <v/>
      </c>
      <c r="G1180">
        <f>IF(OR($A1180="",$F1180="",$F1180="نامعتبر"),"",LEFT($F1180,4)&amp;MID($F1180,6,2)&amp;RIGHT($F1180,2)&amp;"0000"&amp;"|"&amp;"1"&amp;RIGHT("00000"&amp;1175,5))</f>
        <v/>
      </c>
      <c r="H1180">
        <f>IF(OR($B1180&lt;&gt;1,$G1180=""),"",COUNTIFS(LdAParty,$A1180,LdAType,1,LdAKey,"&lt;"&amp;$G1180)+COUNTIFS(LdBMember,$A1180,LdBKey,"&lt;"&amp;$G1180)+COUNTIFS(LdCParty,$A1180,LdCKey,"&lt;"&amp;$G1180)+1)</f>
        <v/>
      </c>
      <c r="I1180">
        <f>IF($H1180="","",$A1180&amp;"|"&amp;RIGHT("000000"&amp;$H1180,6))</f>
        <v/>
      </c>
      <c r="J1180">
        <f>IF(OR($B1180&lt;&gt;2,$G1180=""),"",COUNTIFS(LdAParty,$A1180,LdAType,2,LdAKey,"&lt;"&amp;$G1180)+1)</f>
        <v/>
      </c>
      <c r="K1180">
        <f>IF($J1180="","",$A1180&amp;"|"&amp;RIGHT("000000"&amp;$J1180,6))</f>
        <v/>
      </c>
      <c r="L1180">
        <f>IF($A1180="","",IF(Wages!$G1183="",0,Wages!$G1183))</f>
        <v/>
      </c>
      <c r="M1180">
        <f>IF($A1180="","",Wages!$J1183)</f>
        <v/>
      </c>
      <c r="N1180">
        <f>IF($A1180="","",Wages!$D1183)</f>
        <v/>
      </c>
      <c r="P1180">
        <f>IF(OR(Shares!$B1183="",Shares!$C1183=""),"",Shares!$C1183)</f>
        <v/>
      </c>
      <c r="Q1180">
        <f>IF($P1180="","",Shares!$B1183)</f>
        <v/>
      </c>
      <c r="R1180">
        <f>IF($P1180="","",IFERROR(INDEX(WageParty,MATCH($Q1180,WageIds,0)),""))</f>
        <v/>
      </c>
      <c r="S1180">
        <f>IF($P1180="","",IFERROR(INDEX($F$6:$F$2005,MATCH($Q1180,WageIds,0)),""))</f>
        <v/>
      </c>
      <c r="T1180">
        <f>IF(OR($P1180="",$S1180="",$S1180="نامعتبر"),"",LEFT($S1180,4)&amp;MID($S1180,6,2)&amp;RIGHT($S1180,2)&amp;"0000"&amp;"|"&amp;"2"&amp;RIGHT("00000"&amp;1175,5))</f>
        <v/>
      </c>
      <c r="U1180">
        <f>IF($T1180="","",COUNTIFS(LdAParty,$P1180,LdAType,1,LdAKey,"&lt;"&amp;$T1180)+COUNTIFS(LdBMember,$P1180,LdBKey,"&lt;"&amp;$T1180)+COUNTIFS(LdCParty,$P1180,LdCKey,"&lt;"&amp;$T1180)+1)</f>
        <v/>
      </c>
      <c r="V1180">
        <f>IF($U1180="","",$P1180&amp;"|"&amp;RIGHT("000000"&amp;$U1180,6))</f>
        <v/>
      </c>
      <c r="W1180">
        <f>IF($T1180="","",COUNTIFS(LdBGroup,$R1180,LdBKey,"&lt;"&amp;$T1180)+1)</f>
        <v/>
      </c>
      <c r="X1180">
        <f>IF($W1180="","",$R1180&amp;"|"&amp;RIGHT("000000"&amp;$W1180,6))</f>
        <v/>
      </c>
      <c r="Y1180">
        <f>IF($P1180="","",IF(Shares!$E1183="",0,Shares!$E1183))</f>
        <v/>
      </c>
      <c r="Z1180">
        <f>IF($P1180="","",Shares!$H1183)</f>
        <v/>
      </c>
      <c r="AE1180">
        <f>IF(OR(Sync!$S1180="",Sync!$P1180=""),"",Sync!$S1180)</f>
        <v/>
      </c>
      <c r="AF1180">
        <f>IF($AE1180="","",IF(ISNUMBER(Sync!$P1180),IF(AND(Sync!$P1180&gt;=10000101,Sync!$P1180&lt;=99991231),INT(Sync!$P1180/10000),""),IFERROR(VALUE(TRIM(LEFT(Sync!$P1180,FIND("/",Sync!$P1180)-1))),"")))</f>
        <v/>
      </c>
      <c r="AG1180">
        <f>IF(OR($AE1180="",$AF1180=""),"",IF(ISNUMBER(Sync!$P1180),INT(MOD(Sync!$P1180,10000)/100),IFERROR(VALUE(TRIM(LEFT(MID(Sync!$P1180,FIND("/",Sync!$P1180)+1,20),FIND("/",MID(Sync!$P1180,FIND("/",Sync!$P1180)+1,20))-1))),"")))</f>
        <v/>
      </c>
      <c r="AH1180">
        <f>IF(OR($AE1180="",$AF1180=""),"",IF(ISNUMBER(Sync!$P1180),MOD(Sync!$P1180,100),IFERROR(VALUE(TRIM(MID(MID(Sync!$P1180,FIND("/",Sync!$P1180)+1,20),FIND("/",MID(Sync!$P1180,FIND("/",Sync!$P1180)+1,20))+1,20))),"")))</f>
        <v/>
      </c>
      <c r="AI1180">
        <f>IF($AE1180="","",IF(OR($AF1180="",$AG1180="",$AH1180="",$AF1180&lt;1300,$AF1180&gt;1500,$AG1180&lt;1,$AG1180&gt;12,$AH1180&lt;1,$AH1180&gt;31),"نامعتبر",RIGHT("0000"&amp;$AF1180,4)&amp;"/"&amp;RIGHT("00"&amp;$AG1180,2)&amp;"/"&amp;RIGHT("00"&amp;$AH1180,2)))</f>
        <v/>
      </c>
      <c r="AJ1180">
        <f>IF($AE1180="","",IF(Sync!$Q1180="","0000",IF(AND(ISNUMBER(Sync!$Q1180),Sync!$Q1180&gt;=0,Sync!$Q1180&lt;1),RIGHT("00"&amp;HOUR(Sync!$Q1180),2)&amp;RIGHT("00"&amp;MINUTE(Sync!$Q1180),2),IFERROR(RIGHT("00"&amp;VALUE(LEFT(Sync!$Q1180,FIND(":",Sync!$Q1180)-1)),2)&amp;RIGHT("00"&amp;VALUE(MID(Sync!$Q1180,FIND(":",Sync!$Q1180)+1,2)),2),"0000"))))</f>
        <v/>
      </c>
      <c r="AK1180">
        <f>IF(OR($AE1180="",$AI1180="",$AI1180="نامعتبر"),"",LEFT($AI1180,4)&amp;MID($AI1180,6,2)&amp;RIGHT($AI1180,2)&amp;$AJ1180&amp;"|"&amp;"3"&amp;RIGHT("00000"&amp;1175,5))</f>
        <v/>
      </c>
      <c r="AL1180">
        <f>IF($AK1180="","",COUNTIFS(LdAParty,$AE1180,LdAType,1,LdAKey,"&lt;"&amp;$AK1180)+COUNTIFS(LdBMember,$AE1180,LdBKey,"&lt;"&amp;$AK1180)+COUNTIFS(LdCParty,$AE1180,LdCKey,"&lt;"&amp;$AK1180)+1)</f>
        <v/>
      </c>
      <c r="AM1180">
        <f>IF($AL1180="","",$AE1180&amp;"|"&amp;RIGHT("000000"&amp;$AL1180,6))</f>
        <v/>
      </c>
      <c r="AN1180">
        <f>IF($AE1180="","",IF(Sync!$W1180="",0,Sync!$W1180))</f>
        <v/>
      </c>
      <c r="AO1180">
        <f>IF($AE1180="","",IF(Sync!$X1180="",0,Sync!$X1180))</f>
        <v/>
      </c>
      <c r="AP1180">
        <f>IF($AE1180="","",Sync!$R1180)</f>
        <v/>
      </c>
      <c r="AQ1180">
        <f>IF($AE1180="","",Sync!$Y1180)</f>
        <v/>
      </c>
    </row>
    <row r="1181">
      <c r="A1181">
        <f>IF(OR(Wages!$B1184="",Wages!$E1184=""),"",Wages!$E1184)</f>
        <v/>
      </c>
      <c r="B1181">
        <f>IF($A1181="","",IF(Wages!$C1184="دستمزد گروهی",2,1))</f>
        <v/>
      </c>
      <c r="C1181">
        <f>IF($A1181="","",IF(ISNUMBER(Wages!$B1184),IF(AND(Wages!$B1184&gt;=10000101,Wages!$B1184&lt;=99991231),INT(Wages!$B1184/10000),""),IFERROR(VALUE(TRIM(LEFT(Wages!$B1184,FIND("/",Wages!$B1184)-1))),"")))</f>
        <v/>
      </c>
      <c r="D1181">
        <f>IF(OR($A1181="",$C1181=""),"",IF(ISNUMBER(Wages!$B1184),INT(MOD(Wages!$B1184,10000)/100),IFERROR(VALUE(TRIM(LEFT(MID(Wages!$B1184,FIND("/",Wages!$B1184)+1,20),FIND("/",MID(Wages!$B1184,FIND("/",Wages!$B1184)+1,20))-1))),"")))</f>
        <v/>
      </c>
      <c r="E1181">
        <f>IF(OR($A1181="",$C1181=""),"",IF(ISNUMBER(Wages!$B1184),MOD(Wages!$B1184,100),IFERROR(VALUE(TRIM(MID(MID(Wages!$B1184,FIND("/",Wages!$B1184)+1,20),FIND("/",MID(Wages!$B1184,FIND("/",Wages!$B1184)+1,20))+1,20))),"")))</f>
        <v/>
      </c>
      <c r="F1181">
        <f>IF($A1181="","",IF(OR($C1181="",$D1181="",$E1181="",$C1181&lt;1300,$C1181&gt;1500,$D1181&lt;1,$D1181&gt;12,$E1181&lt;1,$E1181&gt;31),"نامعتبر",RIGHT("0000"&amp;$C1181,4)&amp;"/"&amp;RIGHT("00"&amp;$D1181,2)&amp;"/"&amp;RIGHT("00"&amp;$E1181,2)))</f>
        <v/>
      </c>
      <c r="G1181">
        <f>IF(OR($A1181="",$F1181="",$F1181="نامعتبر"),"",LEFT($F1181,4)&amp;MID($F1181,6,2)&amp;RIGHT($F1181,2)&amp;"0000"&amp;"|"&amp;"1"&amp;RIGHT("00000"&amp;1176,5))</f>
        <v/>
      </c>
      <c r="H1181">
        <f>IF(OR($B1181&lt;&gt;1,$G1181=""),"",COUNTIFS(LdAParty,$A1181,LdAType,1,LdAKey,"&lt;"&amp;$G1181)+COUNTIFS(LdBMember,$A1181,LdBKey,"&lt;"&amp;$G1181)+COUNTIFS(LdCParty,$A1181,LdCKey,"&lt;"&amp;$G1181)+1)</f>
        <v/>
      </c>
      <c r="I1181">
        <f>IF($H1181="","",$A1181&amp;"|"&amp;RIGHT("000000"&amp;$H1181,6))</f>
        <v/>
      </c>
      <c r="J1181">
        <f>IF(OR($B1181&lt;&gt;2,$G1181=""),"",COUNTIFS(LdAParty,$A1181,LdAType,2,LdAKey,"&lt;"&amp;$G1181)+1)</f>
        <v/>
      </c>
      <c r="K1181">
        <f>IF($J1181="","",$A1181&amp;"|"&amp;RIGHT("000000"&amp;$J1181,6))</f>
        <v/>
      </c>
      <c r="L1181">
        <f>IF($A1181="","",IF(Wages!$G1184="",0,Wages!$G1184))</f>
        <v/>
      </c>
      <c r="M1181">
        <f>IF($A1181="","",Wages!$J1184)</f>
        <v/>
      </c>
      <c r="N1181">
        <f>IF($A1181="","",Wages!$D1184)</f>
        <v/>
      </c>
      <c r="P1181">
        <f>IF(OR(Shares!$B1184="",Shares!$C1184=""),"",Shares!$C1184)</f>
        <v/>
      </c>
      <c r="Q1181">
        <f>IF($P1181="","",Shares!$B1184)</f>
        <v/>
      </c>
      <c r="R1181">
        <f>IF($P1181="","",IFERROR(INDEX(WageParty,MATCH($Q1181,WageIds,0)),""))</f>
        <v/>
      </c>
      <c r="S1181">
        <f>IF($P1181="","",IFERROR(INDEX($F$6:$F$2005,MATCH($Q1181,WageIds,0)),""))</f>
        <v/>
      </c>
      <c r="T1181">
        <f>IF(OR($P1181="",$S1181="",$S1181="نامعتبر"),"",LEFT($S1181,4)&amp;MID($S1181,6,2)&amp;RIGHT($S1181,2)&amp;"0000"&amp;"|"&amp;"2"&amp;RIGHT("00000"&amp;1176,5))</f>
        <v/>
      </c>
      <c r="U1181">
        <f>IF($T1181="","",COUNTIFS(LdAParty,$P1181,LdAType,1,LdAKey,"&lt;"&amp;$T1181)+COUNTIFS(LdBMember,$P1181,LdBKey,"&lt;"&amp;$T1181)+COUNTIFS(LdCParty,$P1181,LdCKey,"&lt;"&amp;$T1181)+1)</f>
        <v/>
      </c>
      <c r="V1181">
        <f>IF($U1181="","",$P1181&amp;"|"&amp;RIGHT("000000"&amp;$U1181,6))</f>
        <v/>
      </c>
      <c r="W1181">
        <f>IF($T1181="","",COUNTIFS(LdBGroup,$R1181,LdBKey,"&lt;"&amp;$T1181)+1)</f>
        <v/>
      </c>
      <c r="X1181">
        <f>IF($W1181="","",$R1181&amp;"|"&amp;RIGHT("000000"&amp;$W1181,6))</f>
        <v/>
      </c>
      <c r="Y1181">
        <f>IF($P1181="","",IF(Shares!$E1184="",0,Shares!$E1184))</f>
        <v/>
      </c>
      <c r="Z1181">
        <f>IF($P1181="","",Shares!$H1184)</f>
        <v/>
      </c>
      <c r="AE1181">
        <f>IF(OR(Sync!$S1181="",Sync!$P1181=""),"",Sync!$S1181)</f>
        <v/>
      </c>
      <c r="AF1181">
        <f>IF($AE1181="","",IF(ISNUMBER(Sync!$P1181),IF(AND(Sync!$P1181&gt;=10000101,Sync!$P1181&lt;=99991231),INT(Sync!$P1181/10000),""),IFERROR(VALUE(TRIM(LEFT(Sync!$P1181,FIND("/",Sync!$P1181)-1))),"")))</f>
        <v/>
      </c>
      <c r="AG1181">
        <f>IF(OR($AE1181="",$AF1181=""),"",IF(ISNUMBER(Sync!$P1181),INT(MOD(Sync!$P1181,10000)/100),IFERROR(VALUE(TRIM(LEFT(MID(Sync!$P1181,FIND("/",Sync!$P1181)+1,20),FIND("/",MID(Sync!$P1181,FIND("/",Sync!$P1181)+1,20))-1))),"")))</f>
        <v/>
      </c>
      <c r="AH1181">
        <f>IF(OR($AE1181="",$AF1181=""),"",IF(ISNUMBER(Sync!$P1181),MOD(Sync!$P1181,100),IFERROR(VALUE(TRIM(MID(MID(Sync!$P1181,FIND("/",Sync!$P1181)+1,20),FIND("/",MID(Sync!$P1181,FIND("/",Sync!$P1181)+1,20))+1,20))),"")))</f>
        <v/>
      </c>
      <c r="AI1181">
        <f>IF($AE1181="","",IF(OR($AF1181="",$AG1181="",$AH1181="",$AF1181&lt;1300,$AF1181&gt;1500,$AG1181&lt;1,$AG1181&gt;12,$AH1181&lt;1,$AH1181&gt;31),"نامعتبر",RIGHT("0000"&amp;$AF1181,4)&amp;"/"&amp;RIGHT("00"&amp;$AG1181,2)&amp;"/"&amp;RIGHT("00"&amp;$AH1181,2)))</f>
        <v/>
      </c>
      <c r="AJ1181">
        <f>IF($AE1181="","",IF(Sync!$Q1181="","0000",IF(AND(ISNUMBER(Sync!$Q1181),Sync!$Q1181&gt;=0,Sync!$Q1181&lt;1),RIGHT("00"&amp;HOUR(Sync!$Q1181),2)&amp;RIGHT("00"&amp;MINUTE(Sync!$Q1181),2),IFERROR(RIGHT("00"&amp;VALUE(LEFT(Sync!$Q1181,FIND(":",Sync!$Q1181)-1)),2)&amp;RIGHT("00"&amp;VALUE(MID(Sync!$Q1181,FIND(":",Sync!$Q1181)+1,2)),2),"0000"))))</f>
        <v/>
      </c>
      <c r="AK1181">
        <f>IF(OR($AE1181="",$AI1181="",$AI1181="نامعتبر"),"",LEFT($AI1181,4)&amp;MID($AI1181,6,2)&amp;RIGHT($AI1181,2)&amp;$AJ1181&amp;"|"&amp;"3"&amp;RIGHT("00000"&amp;1176,5))</f>
        <v/>
      </c>
      <c r="AL1181">
        <f>IF($AK1181="","",COUNTIFS(LdAParty,$AE1181,LdAType,1,LdAKey,"&lt;"&amp;$AK1181)+COUNTIFS(LdBMember,$AE1181,LdBKey,"&lt;"&amp;$AK1181)+COUNTIFS(LdCParty,$AE1181,LdCKey,"&lt;"&amp;$AK1181)+1)</f>
        <v/>
      </c>
      <c r="AM1181">
        <f>IF($AL1181="","",$AE1181&amp;"|"&amp;RIGHT("000000"&amp;$AL1181,6))</f>
        <v/>
      </c>
      <c r="AN1181">
        <f>IF($AE1181="","",IF(Sync!$W1181="",0,Sync!$W1181))</f>
        <v/>
      </c>
      <c r="AO1181">
        <f>IF($AE1181="","",IF(Sync!$X1181="",0,Sync!$X1181))</f>
        <v/>
      </c>
      <c r="AP1181">
        <f>IF($AE1181="","",Sync!$R1181)</f>
        <v/>
      </c>
      <c r="AQ1181">
        <f>IF($AE1181="","",Sync!$Y1181)</f>
        <v/>
      </c>
    </row>
    <row r="1182">
      <c r="A1182">
        <f>IF(OR(Wages!$B1185="",Wages!$E1185=""),"",Wages!$E1185)</f>
        <v/>
      </c>
      <c r="B1182">
        <f>IF($A1182="","",IF(Wages!$C1185="دستمزد گروهی",2,1))</f>
        <v/>
      </c>
      <c r="C1182">
        <f>IF($A1182="","",IF(ISNUMBER(Wages!$B1185),IF(AND(Wages!$B1185&gt;=10000101,Wages!$B1185&lt;=99991231),INT(Wages!$B1185/10000),""),IFERROR(VALUE(TRIM(LEFT(Wages!$B1185,FIND("/",Wages!$B1185)-1))),"")))</f>
        <v/>
      </c>
      <c r="D1182">
        <f>IF(OR($A1182="",$C1182=""),"",IF(ISNUMBER(Wages!$B1185),INT(MOD(Wages!$B1185,10000)/100),IFERROR(VALUE(TRIM(LEFT(MID(Wages!$B1185,FIND("/",Wages!$B1185)+1,20),FIND("/",MID(Wages!$B1185,FIND("/",Wages!$B1185)+1,20))-1))),"")))</f>
        <v/>
      </c>
      <c r="E1182">
        <f>IF(OR($A1182="",$C1182=""),"",IF(ISNUMBER(Wages!$B1185),MOD(Wages!$B1185,100),IFERROR(VALUE(TRIM(MID(MID(Wages!$B1185,FIND("/",Wages!$B1185)+1,20),FIND("/",MID(Wages!$B1185,FIND("/",Wages!$B1185)+1,20))+1,20))),"")))</f>
        <v/>
      </c>
      <c r="F1182">
        <f>IF($A1182="","",IF(OR($C1182="",$D1182="",$E1182="",$C1182&lt;1300,$C1182&gt;1500,$D1182&lt;1,$D1182&gt;12,$E1182&lt;1,$E1182&gt;31),"نامعتبر",RIGHT("0000"&amp;$C1182,4)&amp;"/"&amp;RIGHT("00"&amp;$D1182,2)&amp;"/"&amp;RIGHT("00"&amp;$E1182,2)))</f>
        <v/>
      </c>
      <c r="G1182">
        <f>IF(OR($A1182="",$F1182="",$F1182="نامعتبر"),"",LEFT($F1182,4)&amp;MID($F1182,6,2)&amp;RIGHT($F1182,2)&amp;"0000"&amp;"|"&amp;"1"&amp;RIGHT("00000"&amp;1177,5))</f>
        <v/>
      </c>
      <c r="H1182">
        <f>IF(OR($B1182&lt;&gt;1,$G1182=""),"",COUNTIFS(LdAParty,$A1182,LdAType,1,LdAKey,"&lt;"&amp;$G1182)+COUNTIFS(LdBMember,$A1182,LdBKey,"&lt;"&amp;$G1182)+COUNTIFS(LdCParty,$A1182,LdCKey,"&lt;"&amp;$G1182)+1)</f>
        <v/>
      </c>
      <c r="I1182">
        <f>IF($H1182="","",$A1182&amp;"|"&amp;RIGHT("000000"&amp;$H1182,6))</f>
        <v/>
      </c>
      <c r="J1182">
        <f>IF(OR($B1182&lt;&gt;2,$G1182=""),"",COUNTIFS(LdAParty,$A1182,LdAType,2,LdAKey,"&lt;"&amp;$G1182)+1)</f>
        <v/>
      </c>
      <c r="K1182">
        <f>IF($J1182="","",$A1182&amp;"|"&amp;RIGHT("000000"&amp;$J1182,6))</f>
        <v/>
      </c>
      <c r="L1182">
        <f>IF($A1182="","",IF(Wages!$G1185="",0,Wages!$G1185))</f>
        <v/>
      </c>
      <c r="M1182">
        <f>IF($A1182="","",Wages!$J1185)</f>
        <v/>
      </c>
      <c r="N1182">
        <f>IF($A1182="","",Wages!$D1185)</f>
        <v/>
      </c>
      <c r="P1182">
        <f>IF(OR(Shares!$B1185="",Shares!$C1185=""),"",Shares!$C1185)</f>
        <v/>
      </c>
      <c r="Q1182">
        <f>IF($P1182="","",Shares!$B1185)</f>
        <v/>
      </c>
      <c r="R1182">
        <f>IF($P1182="","",IFERROR(INDEX(WageParty,MATCH($Q1182,WageIds,0)),""))</f>
        <v/>
      </c>
      <c r="S1182">
        <f>IF($P1182="","",IFERROR(INDEX($F$6:$F$2005,MATCH($Q1182,WageIds,0)),""))</f>
        <v/>
      </c>
      <c r="T1182">
        <f>IF(OR($P1182="",$S1182="",$S1182="نامعتبر"),"",LEFT($S1182,4)&amp;MID($S1182,6,2)&amp;RIGHT($S1182,2)&amp;"0000"&amp;"|"&amp;"2"&amp;RIGHT("00000"&amp;1177,5))</f>
        <v/>
      </c>
      <c r="U1182">
        <f>IF($T1182="","",COUNTIFS(LdAParty,$P1182,LdAType,1,LdAKey,"&lt;"&amp;$T1182)+COUNTIFS(LdBMember,$P1182,LdBKey,"&lt;"&amp;$T1182)+COUNTIFS(LdCParty,$P1182,LdCKey,"&lt;"&amp;$T1182)+1)</f>
        <v/>
      </c>
      <c r="V1182">
        <f>IF($U1182="","",$P1182&amp;"|"&amp;RIGHT("000000"&amp;$U1182,6))</f>
        <v/>
      </c>
      <c r="W1182">
        <f>IF($T1182="","",COUNTIFS(LdBGroup,$R1182,LdBKey,"&lt;"&amp;$T1182)+1)</f>
        <v/>
      </c>
      <c r="X1182">
        <f>IF($W1182="","",$R1182&amp;"|"&amp;RIGHT("000000"&amp;$W1182,6))</f>
        <v/>
      </c>
      <c r="Y1182">
        <f>IF($P1182="","",IF(Shares!$E1185="",0,Shares!$E1185))</f>
        <v/>
      </c>
      <c r="Z1182">
        <f>IF($P1182="","",Shares!$H1185)</f>
        <v/>
      </c>
      <c r="AE1182">
        <f>IF(OR(Sync!$S1182="",Sync!$P1182=""),"",Sync!$S1182)</f>
        <v/>
      </c>
      <c r="AF1182">
        <f>IF($AE1182="","",IF(ISNUMBER(Sync!$P1182),IF(AND(Sync!$P1182&gt;=10000101,Sync!$P1182&lt;=99991231),INT(Sync!$P1182/10000),""),IFERROR(VALUE(TRIM(LEFT(Sync!$P1182,FIND("/",Sync!$P1182)-1))),"")))</f>
        <v/>
      </c>
      <c r="AG1182">
        <f>IF(OR($AE1182="",$AF1182=""),"",IF(ISNUMBER(Sync!$P1182),INT(MOD(Sync!$P1182,10000)/100),IFERROR(VALUE(TRIM(LEFT(MID(Sync!$P1182,FIND("/",Sync!$P1182)+1,20),FIND("/",MID(Sync!$P1182,FIND("/",Sync!$P1182)+1,20))-1))),"")))</f>
        <v/>
      </c>
      <c r="AH1182">
        <f>IF(OR($AE1182="",$AF1182=""),"",IF(ISNUMBER(Sync!$P1182),MOD(Sync!$P1182,100),IFERROR(VALUE(TRIM(MID(MID(Sync!$P1182,FIND("/",Sync!$P1182)+1,20),FIND("/",MID(Sync!$P1182,FIND("/",Sync!$P1182)+1,20))+1,20))),"")))</f>
        <v/>
      </c>
      <c r="AI1182">
        <f>IF($AE1182="","",IF(OR($AF1182="",$AG1182="",$AH1182="",$AF1182&lt;1300,$AF1182&gt;1500,$AG1182&lt;1,$AG1182&gt;12,$AH1182&lt;1,$AH1182&gt;31),"نامعتبر",RIGHT("0000"&amp;$AF1182,4)&amp;"/"&amp;RIGHT("00"&amp;$AG1182,2)&amp;"/"&amp;RIGHT("00"&amp;$AH1182,2)))</f>
        <v/>
      </c>
      <c r="AJ1182">
        <f>IF($AE1182="","",IF(Sync!$Q1182="","0000",IF(AND(ISNUMBER(Sync!$Q1182),Sync!$Q1182&gt;=0,Sync!$Q1182&lt;1),RIGHT("00"&amp;HOUR(Sync!$Q1182),2)&amp;RIGHT("00"&amp;MINUTE(Sync!$Q1182),2),IFERROR(RIGHT("00"&amp;VALUE(LEFT(Sync!$Q1182,FIND(":",Sync!$Q1182)-1)),2)&amp;RIGHT("00"&amp;VALUE(MID(Sync!$Q1182,FIND(":",Sync!$Q1182)+1,2)),2),"0000"))))</f>
        <v/>
      </c>
      <c r="AK1182">
        <f>IF(OR($AE1182="",$AI1182="",$AI1182="نامعتبر"),"",LEFT($AI1182,4)&amp;MID($AI1182,6,2)&amp;RIGHT($AI1182,2)&amp;$AJ1182&amp;"|"&amp;"3"&amp;RIGHT("00000"&amp;1177,5))</f>
        <v/>
      </c>
      <c r="AL1182">
        <f>IF($AK1182="","",COUNTIFS(LdAParty,$AE1182,LdAType,1,LdAKey,"&lt;"&amp;$AK1182)+COUNTIFS(LdBMember,$AE1182,LdBKey,"&lt;"&amp;$AK1182)+COUNTIFS(LdCParty,$AE1182,LdCKey,"&lt;"&amp;$AK1182)+1)</f>
        <v/>
      </c>
      <c r="AM1182">
        <f>IF($AL1182="","",$AE1182&amp;"|"&amp;RIGHT("000000"&amp;$AL1182,6))</f>
        <v/>
      </c>
      <c r="AN1182">
        <f>IF($AE1182="","",IF(Sync!$W1182="",0,Sync!$W1182))</f>
        <v/>
      </c>
      <c r="AO1182">
        <f>IF($AE1182="","",IF(Sync!$X1182="",0,Sync!$X1182))</f>
        <v/>
      </c>
      <c r="AP1182">
        <f>IF($AE1182="","",Sync!$R1182)</f>
        <v/>
      </c>
      <c r="AQ1182">
        <f>IF($AE1182="","",Sync!$Y1182)</f>
        <v/>
      </c>
    </row>
    <row r="1183">
      <c r="A1183">
        <f>IF(OR(Wages!$B1186="",Wages!$E1186=""),"",Wages!$E1186)</f>
        <v/>
      </c>
      <c r="B1183">
        <f>IF($A1183="","",IF(Wages!$C1186="دستمزد گروهی",2,1))</f>
        <v/>
      </c>
      <c r="C1183">
        <f>IF($A1183="","",IF(ISNUMBER(Wages!$B1186),IF(AND(Wages!$B1186&gt;=10000101,Wages!$B1186&lt;=99991231),INT(Wages!$B1186/10000),""),IFERROR(VALUE(TRIM(LEFT(Wages!$B1186,FIND("/",Wages!$B1186)-1))),"")))</f>
        <v/>
      </c>
      <c r="D1183">
        <f>IF(OR($A1183="",$C1183=""),"",IF(ISNUMBER(Wages!$B1186),INT(MOD(Wages!$B1186,10000)/100),IFERROR(VALUE(TRIM(LEFT(MID(Wages!$B1186,FIND("/",Wages!$B1186)+1,20),FIND("/",MID(Wages!$B1186,FIND("/",Wages!$B1186)+1,20))-1))),"")))</f>
        <v/>
      </c>
      <c r="E1183">
        <f>IF(OR($A1183="",$C1183=""),"",IF(ISNUMBER(Wages!$B1186),MOD(Wages!$B1186,100),IFERROR(VALUE(TRIM(MID(MID(Wages!$B1186,FIND("/",Wages!$B1186)+1,20),FIND("/",MID(Wages!$B1186,FIND("/",Wages!$B1186)+1,20))+1,20))),"")))</f>
        <v/>
      </c>
      <c r="F1183">
        <f>IF($A1183="","",IF(OR($C1183="",$D1183="",$E1183="",$C1183&lt;1300,$C1183&gt;1500,$D1183&lt;1,$D1183&gt;12,$E1183&lt;1,$E1183&gt;31),"نامعتبر",RIGHT("0000"&amp;$C1183,4)&amp;"/"&amp;RIGHT("00"&amp;$D1183,2)&amp;"/"&amp;RIGHT("00"&amp;$E1183,2)))</f>
        <v/>
      </c>
      <c r="G1183">
        <f>IF(OR($A1183="",$F1183="",$F1183="نامعتبر"),"",LEFT($F1183,4)&amp;MID($F1183,6,2)&amp;RIGHT($F1183,2)&amp;"0000"&amp;"|"&amp;"1"&amp;RIGHT("00000"&amp;1178,5))</f>
        <v/>
      </c>
      <c r="H1183">
        <f>IF(OR($B1183&lt;&gt;1,$G1183=""),"",COUNTIFS(LdAParty,$A1183,LdAType,1,LdAKey,"&lt;"&amp;$G1183)+COUNTIFS(LdBMember,$A1183,LdBKey,"&lt;"&amp;$G1183)+COUNTIFS(LdCParty,$A1183,LdCKey,"&lt;"&amp;$G1183)+1)</f>
        <v/>
      </c>
      <c r="I1183">
        <f>IF($H1183="","",$A1183&amp;"|"&amp;RIGHT("000000"&amp;$H1183,6))</f>
        <v/>
      </c>
      <c r="J1183">
        <f>IF(OR($B1183&lt;&gt;2,$G1183=""),"",COUNTIFS(LdAParty,$A1183,LdAType,2,LdAKey,"&lt;"&amp;$G1183)+1)</f>
        <v/>
      </c>
      <c r="K1183">
        <f>IF($J1183="","",$A1183&amp;"|"&amp;RIGHT("000000"&amp;$J1183,6))</f>
        <v/>
      </c>
      <c r="L1183">
        <f>IF($A1183="","",IF(Wages!$G1186="",0,Wages!$G1186))</f>
        <v/>
      </c>
      <c r="M1183">
        <f>IF($A1183="","",Wages!$J1186)</f>
        <v/>
      </c>
      <c r="N1183">
        <f>IF($A1183="","",Wages!$D1186)</f>
        <v/>
      </c>
      <c r="P1183">
        <f>IF(OR(Shares!$B1186="",Shares!$C1186=""),"",Shares!$C1186)</f>
        <v/>
      </c>
      <c r="Q1183">
        <f>IF($P1183="","",Shares!$B1186)</f>
        <v/>
      </c>
      <c r="R1183">
        <f>IF($P1183="","",IFERROR(INDEX(WageParty,MATCH($Q1183,WageIds,0)),""))</f>
        <v/>
      </c>
      <c r="S1183">
        <f>IF($P1183="","",IFERROR(INDEX($F$6:$F$2005,MATCH($Q1183,WageIds,0)),""))</f>
        <v/>
      </c>
      <c r="T1183">
        <f>IF(OR($P1183="",$S1183="",$S1183="نامعتبر"),"",LEFT($S1183,4)&amp;MID($S1183,6,2)&amp;RIGHT($S1183,2)&amp;"0000"&amp;"|"&amp;"2"&amp;RIGHT("00000"&amp;1178,5))</f>
        <v/>
      </c>
      <c r="U1183">
        <f>IF($T1183="","",COUNTIFS(LdAParty,$P1183,LdAType,1,LdAKey,"&lt;"&amp;$T1183)+COUNTIFS(LdBMember,$P1183,LdBKey,"&lt;"&amp;$T1183)+COUNTIFS(LdCParty,$P1183,LdCKey,"&lt;"&amp;$T1183)+1)</f>
        <v/>
      </c>
      <c r="V1183">
        <f>IF($U1183="","",$P1183&amp;"|"&amp;RIGHT("000000"&amp;$U1183,6))</f>
        <v/>
      </c>
      <c r="W1183">
        <f>IF($T1183="","",COUNTIFS(LdBGroup,$R1183,LdBKey,"&lt;"&amp;$T1183)+1)</f>
        <v/>
      </c>
      <c r="X1183">
        <f>IF($W1183="","",$R1183&amp;"|"&amp;RIGHT("000000"&amp;$W1183,6))</f>
        <v/>
      </c>
      <c r="Y1183">
        <f>IF($P1183="","",IF(Shares!$E1186="",0,Shares!$E1186))</f>
        <v/>
      </c>
      <c r="Z1183">
        <f>IF($P1183="","",Shares!$H1186)</f>
        <v/>
      </c>
      <c r="AE1183">
        <f>IF(OR(Sync!$S1183="",Sync!$P1183=""),"",Sync!$S1183)</f>
        <v/>
      </c>
      <c r="AF1183">
        <f>IF($AE1183="","",IF(ISNUMBER(Sync!$P1183),IF(AND(Sync!$P1183&gt;=10000101,Sync!$P1183&lt;=99991231),INT(Sync!$P1183/10000),""),IFERROR(VALUE(TRIM(LEFT(Sync!$P1183,FIND("/",Sync!$P1183)-1))),"")))</f>
        <v/>
      </c>
      <c r="AG1183">
        <f>IF(OR($AE1183="",$AF1183=""),"",IF(ISNUMBER(Sync!$P1183),INT(MOD(Sync!$P1183,10000)/100),IFERROR(VALUE(TRIM(LEFT(MID(Sync!$P1183,FIND("/",Sync!$P1183)+1,20),FIND("/",MID(Sync!$P1183,FIND("/",Sync!$P1183)+1,20))-1))),"")))</f>
        <v/>
      </c>
      <c r="AH1183">
        <f>IF(OR($AE1183="",$AF1183=""),"",IF(ISNUMBER(Sync!$P1183),MOD(Sync!$P1183,100),IFERROR(VALUE(TRIM(MID(MID(Sync!$P1183,FIND("/",Sync!$P1183)+1,20),FIND("/",MID(Sync!$P1183,FIND("/",Sync!$P1183)+1,20))+1,20))),"")))</f>
        <v/>
      </c>
      <c r="AI1183">
        <f>IF($AE1183="","",IF(OR($AF1183="",$AG1183="",$AH1183="",$AF1183&lt;1300,$AF1183&gt;1500,$AG1183&lt;1,$AG1183&gt;12,$AH1183&lt;1,$AH1183&gt;31),"نامعتبر",RIGHT("0000"&amp;$AF1183,4)&amp;"/"&amp;RIGHT("00"&amp;$AG1183,2)&amp;"/"&amp;RIGHT("00"&amp;$AH1183,2)))</f>
        <v/>
      </c>
      <c r="AJ1183">
        <f>IF($AE1183="","",IF(Sync!$Q1183="","0000",IF(AND(ISNUMBER(Sync!$Q1183),Sync!$Q1183&gt;=0,Sync!$Q1183&lt;1),RIGHT("00"&amp;HOUR(Sync!$Q1183),2)&amp;RIGHT("00"&amp;MINUTE(Sync!$Q1183),2),IFERROR(RIGHT("00"&amp;VALUE(LEFT(Sync!$Q1183,FIND(":",Sync!$Q1183)-1)),2)&amp;RIGHT("00"&amp;VALUE(MID(Sync!$Q1183,FIND(":",Sync!$Q1183)+1,2)),2),"0000"))))</f>
        <v/>
      </c>
      <c r="AK1183">
        <f>IF(OR($AE1183="",$AI1183="",$AI1183="نامعتبر"),"",LEFT($AI1183,4)&amp;MID($AI1183,6,2)&amp;RIGHT($AI1183,2)&amp;$AJ1183&amp;"|"&amp;"3"&amp;RIGHT("00000"&amp;1178,5))</f>
        <v/>
      </c>
      <c r="AL1183">
        <f>IF($AK1183="","",COUNTIFS(LdAParty,$AE1183,LdAType,1,LdAKey,"&lt;"&amp;$AK1183)+COUNTIFS(LdBMember,$AE1183,LdBKey,"&lt;"&amp;$AK1183)+COUNTIFS(LdCParty,$AE1183,LdCKey,"&lt;"&amp;$AK1183)+1)</f>
        <v/>
      </c>
      <c r="AM1183">
        <f>IF($AL1183="","",$AE1183&amp;"|"&amp;RIGHT("000000"&amp;$AL1183,6))</f>
        <v/>
      </c>
      <c r="AN1183">
        <f>IF($AE1183="","",IF(Sync!$W1183="",0,Sync!$W1183))</f>
        <v/>
      </c>
      <c r="AO1183">
        <f>IF($AE1183="","",IF(Sync!$X1183="",0,Sync!$X1183))</f>
        <v/>
      </c>
      <c r="AP1183">
        <f>IF($AE1183="","",Sync!$R1183)</f>
        <v/>
      </c>
      <c r="AQ1183">
        <f>IF($AE1183="","",Sync!$Y1183)</f>
        <v/>
      </c>
    </row>
    <row r="1184">
      <c r="A1184">
        <f>IF(OR(Wages!$B1187="",Wages!$E1187=""),"",Wages!$E1187)</f>
        <v/>
      </c>
      <c r="B1184">
        <f>IF($A1184="","",IF(Wages!$C1187="دستمزد گروهی",2,1))</f>
        <v/>
      </c>
      <c r="C1184">
        <f>IF($A1184="","",IF(ISNUMBER(Wages!$B1187),IF(AND(Wages!$B1187&gt;=10000101,Wages!$B1187&lt;=99991231),INT(Wages!$B1187/10000),""),IFERROR(VALUE(TRIM(LEFT(Wages!$B1187,FIND("/",Wages!$B1187)-1))),"")))</f>
        <v/>
      </c>
      <c r="D1184">
        <f>IF(OR($A1184="",$C1184=""),"",IF(ISNUMBER(Wages!$B1187),INT(MOD(Wages!$B1187,10000)/100),IFERROR(VALUE(TRIM(LEFT(MID(Wages!$B1187,FIND("/",Wages!$B1187)+1,20),FIND("/",MID(Wages!$B1187,FIND("/",Wages!$B1187)+1,20))-1))),"")))</f>
        <v/>
      </c>
      <c r="E1184">
        <f>IF(OR($A1184="",$C1184=""),"",IF(ISNUMBER(Wages!$B1187),MOD(Wages!$B1187,100),IFERROR(VALUE(TRIM(MID(MID(Wages!$B1187,FIND("/",Wages!$B1187)+1,20),FIND("/",MID(Wages!$B1187,FIND("/",Wages!$B1187)+1,20))+1,20))),"")))</f>
        <v/>
      </c>
      <c r="F1184">
        <f>IF($A1184="","",IF(OR($C1184="",$D1184="",$E1184="",$C1184&lt;1300,$C1184&gt;1500,$D1184&lt;1,$D1184&gt;12,$E1184&lt;1,$E1184&gt;31),"نامعتبر",RIGHT("0000"&amp;$C1184,4)&amp;"/"&amp;RIGHT("00"&amp;$D1184,2)&amp;"/"&amp;RIGHT("00"&amp;$E1184,2)))</f>
        <v/>
      </c>
      <c r="G1184">
        <f>IF(OR($A1184="",$F1184="",$F1184="نامعتبر"),"",LEFT($F1184,4)&amp;MID($F1184,6,2)&amp;RIGHT($F1184,2)&amp;"0000"&amp;"|"&amp;"1"&amp;RIGHT("00000"&amp;1179,5))</f>
        <v/>
      </c>
      <c r="H1184">
        <f>IF(OR($B1184&lt;&gt;1,$G1184=""),"",COUNTIFS(LdAParty,$A1184,LdAType,1,LdAKey,"&lt;"&amp;$G1184)+COUNTIFS(LdBMember,$A1184,LdBKey,"&lt;"&amp;$G1184)+COUNTIFS(LdCParty,$A1184,LdCKey,"&lt;"&amp;$G1184)+1)</f>
        <v/>
      </c>
      <c r="I1184">
        <f>IF($H1184="","",$A1184&amp;"|"&amp;RIGHT("000000"&amp;$H1184,6))</f>
        <v/>
      </c>
      <c r="J1184">
        <f>IF(OR($B1184&lt;&gt;2,$G1184=""),"",COUNTIFS(LdAParty,$A1184,LdAType,2,LdAKey,"&lt;"&amp;$G1184)+1)</f>
        <v/>
      </c>
      <c r="K1184">
        <f>IF($J1184="","",$A1184&amp;"|"&amp;RIGHT("000000"&amp;$J1184,6))</f>
        <v/>
      </c>
      <c r="L1184">
        <f>IF($A1184="","",IF(Wages!$G1187="",0,Wages!$G1187))</f>
        <v/>
      </c>
      <c r="M1184">
        <f>IF($A1184="","",Wages!$J1187)</f>
        <v/>
      </c>
      <c r="N1184">
        <f>IF($A1184="","",Wages!$D1187)</f>
        <v/>
      </c>
      <c r="P1184">
        <f>IF(OR(Shares!$B1187="",Shares!$C1187=""),"",Shares!$C1187)</f>
        <v/>
      </c>
      <c r="Q1184">
        <f>IF($P1184="","",Shares!$B1187)</f>
        <v/>
      </c>
      <c r="R1184">
        <f>IF($P1184="","",IFERROR(INDEX(WageParty,MATCH($Q1184,WageIds,0)),""))</f>
        <v/>
      </c>
      <c r="S1184">
        <f>IF($P1184="","",IFERROR(INDEX($F$6:$F$2005,MATCH($Q1184,WageIds,0)),""))</f>
        <v/>
      </c>
      <c r="T1184">
        <f>IF(OR($P1184="",$S1184="",$S1184="نامعتبر"),"",LEFT($S1184,4)&amp;MID($S1184,6,2)&amp;RIGHT($S1184,2)&amp;"0000"&amp;"|"&amp;"2"&amp;RIGHT("00000"&amp;1179,5))</f>
        <v/>
      </c>
      <c r="U1184">
        <f>IF($T1184="","",COUNTIFS(LdAParty,$P1184,LdAType,1,LdAKey,"&lt;"&amp;$T1184)+COUNTIFS(LdBMember,$P1184,LdBKey,"&lt;"&amp;$T1184)+COUNTIFS(LdCParty,$P1184,LdCKey,"&lt;"&amp;$T1184)+1)</f>
        <v/>
      </c>
      <c r="V1184">
        <f>IF($U1184="","",$P1184&amp;"|"&amp;RIGHT("000000"&amp;$U1184,6))</f>
        <v/>
      </c>
      <c r="W1184">
        <f>IF($T1184="","",COUNTIFS(LdBGroup,$R1184,LdBKey,"&lt;"&amp;$T1184)+1)</f>
        <v/>
      </c>
      <c r="X1184">
        <f>IF($W1184="","",$R1184&amp;"|"&amp;RIGHT("000000"&amp;$W1184,6))</f>
        <v/>
      </c>
      <c r="Y1184">
        <f>IF($P1184="","",IF(Shares!$E1187="",0,Shares!$E1187))</f>
        <v/>
      </c>
      <c r="Z1184">
        <f>IF($P1184="","",Shares!$H1187)</f>
        <v/>
      </c>
      <c r="AE1184">
        <f>IF(OR(Sync!$S1184="",Sync!$P1184=""),"",Sync!$S1184)</f>
        <v/>
      </c>
      <c r="AF1184">
        <f>IF($AE1184="","",IF(ISNUMBER(Sync!$P1184),IF(AND(Sync!$P1184&gt;=10000101,Sync!$P1184&lt;=99991231),INT(Sync!$P1184/10000),""),IFERROR(VALUE(TRIM(LEFT(Sync!$P1184,FIND("/",Sync!$P1184)-1))),"")))</f>
        <v/>
      </c>
      <c r="AG1184">
        <f>IF(OR($AE1184="",$AF1184=""),"",IF(ISNUMBER(Sync!$P1184),INT(MOD(Sync!$P1184,10000)/100),IFERROR(VALUE(TRIM(LEFT(MID(Sync!$P1184,FIND("/",Sync!$P1184)+1,20),FIND("/",MID(Sync!$P1184,FIND("/",Sync!$P1184)+1,20))-1))),"")))</f>
        <v/>
      </c>
      <c r="AH1184">
        <f>IF(OR($AE1184="",$AF1184=""),"",IF(ISNUMBER(Sync!$P1184),MOD(Sync!$P1184,100),IFERROR(VALUE(TRIM(MID(MID(Sync!$P1184,FIND("/",Sync!$P1184)+1,20),FIND("/",MID(Sync!$P1184,FIND("/",Sync!$P1184)+1,20))+1,20))),"")))</f>
        <v/>
      </c>
      <c r="AI1184">
        <f>IF($AE1184="","",IF(OR($AF1184="",$AG1184="",$AH1184="",$AF1184&lt;1300,$AF1184&gt;1500,$AG1184&lt;1,$AG1184&gt;12,$AH1184&lt;1,$AH1184&gt;31),"نامعتبر",RIGHT("0000"&amp;$AF1184,4)&amp;"/"&amp;RIGHT("00"&amp;$AG1184,2)&amp;"/"&amp;RIGHT("00"&amp;$AH1184,2)))</f>
        <v/>
      </c>
      <c r="AJ1184">
        <f>IF($AE1184="","",IF(Sync!$Q1184="","0000",IF(AND(ISNUMBER(Sync!$Q1184),Sync!$Q1184&gt;=0,Sync!$Q1184&lt;1),RIGHT("00"&amp;HOUR(Sync!$Q1184),2)&amp;RIGHT("00"&amp;MINUTE(Sync!$Q1184),2),IFERROR(RIGHT("00"&amp;VALUE(LEFT(Sync!$Q1184,FIND(":",Sync!$Q1184)-1)),2)&amp;RIGHT("00"&amp;VALUE(MID(Sync!$Q1184,FIND(":",Sync!$Q1184)+1,2)),2),"0000"))))</f>
        <v/>
      </c>
      <c r="AK1184">
        <f>IF(OR($AE1184="",$AI1184="",$AI1184="نامعتبر"),"",LEFT($AI1184,4)&amp;MID($AI1184,6,2)&amp;RIGHT($AI1184,2)&amp;$AJ1184&amp;"|"&amp;"3"&amp;RIGHT("00000"&amp;1179,5))</f>
        <v/>
      </c>
      <c r="AL1184">
        <f>IF($AK1184="","",COUNTIFS(LdAParty,$AE1184,LdAType,1,LdAKey,"&lt;"&amp;$AK1184)+COUNTIFS(LdBMember,$AE1184,LdBKey,"&lt;"&amp;$AK1184)+COUNTIFS(LdCParty,$AE1184,LdCKey,"&lt;"&amp;$AK1184)+1)</f>
        <v/>
      </c>
      <c r="AM1184">
        <f>IF($AL1184="","",$AE1184&amp;"|"&amp;RIGHT("000000"&amp;$AL1184,6))</f>
        <v/>
      </c>
      <c r="AN1184">
        <f>IF($AE1184="","",IF(Sync!$W1184="",0,Sync!$W1184))</f>
        <v/>
      </c>
      <c r="AO1184">
        <f>IF($AE1184="","",IF(Sync!$X1184="",0,Sync!$X1184))</f>
        <v/>
      </c>
      <c r="AP1184">
        <f>IF($AE1184="","",Sync!$R1184)</f>
        <v/>
      </c>
      <c r="AQ1184">
        <f>IF($AE1184="","",Sync!$Y1184)</f>
        <v/>
      </c>
    </row>
    <row r="1185">
      <c r="A1185">
        <f>IF(OR(Wages!$B1188="",Wages!$E1188=""),"",Wages!$E1188)</f>
        <v/>
      </c>
      <c r="B1185">
        <f>IF($A1185="","",IF(Wages!$C1188="دستمزد گروهی",2,1))</f>
        <v/>
      </c>
      <c r="C1185">
        <f>IF($A1185="","",IF(ISNUMBER(Wages!$B1188),IF(AND(Wages!$B1188&gt;=10000101,Wages!$B1188&lt;=99991231),INT(Wages!$B1188/10000),""),IFERROR(VALUE(TRIM(LEFT(Wages!$B1188,FIND("/",Wages!$B1188)-1))),"")))</f>
        <v/>
      </c>
      <c r="D1185">
        <f>IF(OR($A1185="",$C1185=""),"",IF(ISNUMBER(Wages!$B1188),INT(MOD(Wages!$B1188,10000)/100),IFERROR(VALUE(TRIM(LEFT(MID(Wages!$B1188,FIND("/",Wages!$B1188)+1,20),FIND("/",MID(Wages!$B1188,FIND("/",Wages!$B1188)+1,20))-1))),"")))</f>
        <v/>
      </c>
      <c r="E1185">
        <f>IF(OR($A1185="",$C1185=""),"",IF(ISNUMBER(Wages!$B1188),MOD(Wages!$B1188,100),IFERROR(VALUE(TRIM(MID(MID(Wages!$B1188,FIND("/",Wages!$B1188)+1,20),FIND("/",MID(Wages!$B1188,FIND("/",Wages!$B1188)+1,20))+1,20))),"")))</f>
        <v/>
      </c>
      <c r="F1185">
        <f>IF($A1185="","",IF(OR($C1185="",$D1185="",$E1185="",$C1185&lt;1300,$C1185&gt;1500,$D1185&lt;1,$D1185&gt;12,$E1185&lt;1,$E1185&gt;31),"نامعتبر",RIGHT("0000"&amp;$C1185,4)&amp;"/"&amp;RIGHT("00"&amp;$D1185,2)&amp;"/"&amp;RIGHT("00"&amp;$E1185,2)))</f>
        <v/>
      </c>
      <c r="G1185">
        <f>IF(OR($A1185="",$F1185="",$F1185="نامعتبر"),"",LEFT($F1185,4)&amp;MID($F1185,6,2)&amp;RIGHT($F1185,2)&amp;"0000"&amp;"|"&amp;"1"&amp;RIGHT("00000"&amp;1180,5))</f>
        <v/>
      </c>
      <c r="H1185">
        <f>IF(OR($B1185&lt;&gt;1,$G1185=""),"",COUNTIFS(LdAParty,$A1185,LdAType,1,LdAKey,"&lt;"&amp;$G1185)+COUNTIFS(LdBMember,$A1185,LdBKey,"&lt;"&amp;$G1185)+COUNTIFS(LdCParty,$A1185,LdCKey,"&lt;"&amp;$G1185)+1)</f>
        <v/>
      </c>
      <c r="I1185">
        <f>IF($H1185="","",$A1185&amp;"|"&amp;RIGHT("000000"&amp;$H1185,6))</f>
        <v/>
      </c>
      <c r="J1185">
        <f>IF(OR($B1185&lt;&gt;2,$G1185=""),"",COUNTIFS(LdAParty,$A1185,LdAType,2,LdAKey,"&lt;"&amp;$G1185)+1)</f>
        <v/>
      </c>
      <c r="K1185">
        <f>IF($J1185="","",$A1185&amp;"|"&amp;RIGHT("000000"&amp;$J1185,6))</f>
        <v/>
      </c>
      <c r="L1185">
        <f>IF($A1185="","",IF(Wages!$G1188="",0,Wages!$G1188))</f>
        <v/>
      </c>
      <c r="M1185">
        <f>IF($A1185="","",Wages!$J1188)</f>
        <v/>
      </c>
      <c r="N1185">
        <f>IF($A1185="","",Wages!$D1188)</f>
        <v/>
      </c>
      <c r="P1185">
        <f>IF(OR(Shares!$B1188="",Shares!$C1188=""),"",Shares!$C1188)</f>
        <v/>
      </c>
      <c r="Q1185">
        <f>IF($P1185="","",Shares!$B1188)</f>
        <v/>
      </c>
      <c r="R1185">
        <f>IF($P1185="","",IFERROR(INDEX(WageParty,MATCH($Q1185,WageIds,0)),""))</f>
        <v/>
      </c>
      <c r="S1185">
        <f>IF($P1185="","",IFERROR(INDEX($F$6:$F$2005,MATCH($Q1185,WageIds,0)),""))</f>
        <v/>
      </c>
      <c r="T1185">
        <f>IF(OR($P1185="",$S1185="",$S1185="نامعتبر"),"",LEFT($S1185,4)&amp;MID($S1185,6,2)&amp;RIGHT($S1185,2)&amp;"0000"&amp;"|"&amp;"2"&amp;RIGHT("00000"&amp;1180,5))</f>
        <v/>
      </c>
      <c r="U1185">
        <f>IF($T1185="","",COUNTIFS(LdAParty,$P1185,LdAType,1,LdAKey,"&lt;"&amp;$T1185)+COUNTIFS(LdBMember,$P1185,LdBKey,"&lt;"&amp;$T1185)+COUNTIFS(LdCParty,$P1185,LdCKey,"&lt;"&amp;$T1185)+1)</f>
        <v/>
      </c>
      <c r="V1185">
        <f>IF($U1185="","",$P1185&amp;"|"&amp;RIGHT("000000"&amp;$U1185,6))</f>
        <v/>
      </c>
      <c r="W1185">
        <f>IF($T1185="","",COUNTIFS(LdBGroup,$R1185,LdBKey,"&lt;"&amp;$T1185)+1)</f>
        <v/>
      </c>
      <c r="X1185">
        <f>IF($W1185="","",$R1185&amp;"|"&amp;RIGHT("000000"&amp;$W1185,6))</f>
        <v/>
      </c>
      <c r="Y1185">
        <f>IF($P1185="","",IF(Shares!$E1188="",0,Shares!$E1188))</f>
        <v/>
      </c>
      <c r="Z1185">
        <f>IF($P1185="","",Shares!$H1188)</f>
        <v/>
      </c>
      <c r="AE1185">
        <f>IF(OR(Sync!$S1185="",Sync!$P1185=""),"",Sync!$S1185)</f>
        <v/>
      </c>
      <c r="AF1185">
        <f>IF($AE1185="","",IF(ISNUMBER(Sync!$P1185),IF(AND(Sync!$P1185&gt;=10000101,Sync!$P1185&lt;=99991231),INT(Sync!$P1185/10000),""),IFERROR(VALUE(TRIM(LEFT(Sync!$P1185,FIND("/",Sync!$P1185)-1))),"")))</f>
        <v/>
      </c>
      <c r="AG1185">
        <f>IF(OR($AE1185="",$AF1185=""),"",IF(ISNUMBER(Sync!$P1185),INT(MOD(Sync!$P1185,10000)/100),IFERROR(VALUE(TRIM(LEFT(MID(Sync!$P1185,FIND("/",Sync!$P1185)+1,20),FIND("/",MID(Sync!$P1185,FIND("/",Sync!$P1185)+1,20))-1))),"")))</f>
        <v/>
      </c>
      <c r="AH1185">
        <f>IF(OR($AE1185="",$AF1185=""),"",IF(ISNUMBER(Sync!$P1185),MOD(Sync!$P1185,100),IFERROR(VALUE(TRIM(MID(MID(Sync!$P1185,FIND("/",Sync!$P1185)+1,20),FIND("/",MID(Sync!$P1185,FIND("/",Sync!$P1185)+1,20))+1,20))),"")))</f>
        <v/>
      </c>
      <c r="AI1185">
        <f>IF($AE1185="","",IF(OR($AF1185="",$AG1185="",$AH1185="",$AF1185&lt;1300,$AF1185&gt;1500,$AG1185&lt;1,$AG1185&gt;12,$AH1185&lt;1,$AH1185&gt;31),"نامعتبر",RIGHT("0000"&amp;$AF1185,4)&amp;"/"&amp;RIGHT("00"&amp;$AG1185,2)&amp;"/"&amp;RIGHT("00"&amp;$AH1185,2)))</f>
        <v/>
      </c>
      <c r="AJ1185">
        <f>IF($AE1185="","",IF(Sync!$Q1185="","0000",IF(AND(ISNUMBER(Sync!$Q1185),Sync!$Q1185&gt;=0,Sync!$Q1185&lt;1),RIGHT("00"&amp;HOUR(Sync!$Q1185),2)&amp;RIGHT("00"&amp;MINUTE(Sync!$Q1185),2),IFERROR(RIGHT("00"&amp;VALUE(LEFT(Sync!$Q1185,FIND(":",Sync!$Q1185)-1)),2)&amp;RIGHT("00"&amp;VALUE(MID(Sync!$Q1185,FIND(":",Sync!$Q1185)+1,2)),2),"0000"))))</f>
        <v/>
      </c>
      <c r="AK1185">
        <f>IF(OR($AE1185="",$AI1185="",$AI1185="نامعتبر"),"",LEFT($AI1185,4)&amp;MID($AI1185,6,2)&amp;RIGHT($AI1185,2)&amp;$AJ1185&amp;"|"&amp;"3"&amp;RIGHT("00000"&amp;1180,5))</f>
        <v/>
      </c>
      <c r="AL1185">
        <f>IF($AK1185="","",COUNTIFS(LdAParty,$AE1185,LdAType,1,LdAKey,"&lt;"&amp;$AK1185)+COUNTIFS(LdBMember,$AE1185,LdBKey,"&lt;"&amp;$AK1185)+COUNTIFS(LdCParty,$AE1185,LdCKey,"&lt;"&amp;$AK1185)+1)</f>
        <v/>
      </c>
      <c r="AM1185">
        <f>IF($AL1185="","",$AE1185&amp;"|"&amp;RIGHT("000000"&amp;$AL1185,6))</f>
        <v/>
      </c>
      <c r="AN1185">
        <f>IF($AE1185="","",IF(Sync!$W1185="",0,Sync!$W1185))</f>
        <v/>
      </c>
      <c r="AO1185">
        <f>IF($AE1185="","",IF(Sync!$X1185="",0,Sync!$X1185))</f>
        <v/>
      </c>
      <c r="AP1185">
        <f>IF($AE1185="","",Sync!$R1185)</f>
        <v/>
      </c>
      <c r="AQ1185">
        <f>IF($AE1185="","",Sync!$Y1185)</f>
        <v/>
      </c>
    </row>
    <row r="1186">
      <c r="A1186">
        <f>IF(OR(Wages!$B1189="",Wages!$E1189=""),"",Wages!$E1189)</f>
        <v/>
      </c>
      <c r="B1186">
        <f>IF($A1186="","",IF(Wages!$C1189="دستمزد گروهی",2,1))</f>
        <v/>
      </c>
      <c r="C1186">
        <f>IF($A1186="","",IF(ISNUMBER(Wages!$B1189),IF(AND(Wages!$B1189&gt;=10000101,Wages!$B1189&lt;=99991231),INT(Wages!$B1189/10000),""),IFERROR(VALUE(TRIM(LEFT(Wages!$B1189,FIND("/",Wages!$B1189)-1))),"")))</f>
        <v/>
      </c>
      <c r="D1186">
        <f>IF(OR($A1186="",$C1186=""),"",IF(ISNUMBER(Wages!$B1189),INT(MOD(Wages!$B1189,10000)/100),IFERROR(VALUE(TRIM(LEFT(MID(Wages!$B1189,FIND("/",Wages!$B1189)+1,20),FIND("/",MID(Wages!$B1189,FIND("/",Wages!$B1189)+1,20))-1))),"")))</f>
        <v/>
      </c>
      <c r="E1186">
        <f>IF(OR($A1186="",$C1186=""),"",IF(ISNUMBER(Wages!$B1189),MOD(Wages!$B1189,100),IFERROR(VALUE(TRIM(MID(MID(Wages!$B1189,FIND("/",Wages!$B1189)+1,20),FIND("/",MID(Wages!$B1189,FIND("/",Wages!$B1189)+1,20))+1,20))),"")))</f>
        <v/>
      </c>
      <c r="F1186">
        <f>IF($A1186="","",IF(OR($C1186="",$D1186="",$E1186="",$C1186&lt;1300,$C1186&gt;1500,$D1186&lt;1,$D1186&gt;12,$E1186&lt;1,$E1186&gt;31),"نامعتبر",RIGHT("0000"&amp;$C1186,4)&amp;"/"&amp;RIGHT("00"&amp;$D1186,2)&amp;"/"&amp;RIGHT("00"&amp;$E1186,2)))</f>
        <v/>
      </c>
      <c r="G1186">
        <f>IF(OR($A1186="",$F1186="",$F1186="نامعتبر"),"",LEFT($F1186,4)&amp;MID($F1186,6,2)&amp;RIGHT($F1186,2)&amp;"0000"&amp;"|"&amp;"1"&amp;RIGHT("00000"&amp;1181,5))</f>
        <v/>
      </c>
      <c r="H1186">
        <f>IF(OR($B1186&lt;&gt;1,$G1186=""),"",COUNTIFS(LdAParty,$A1186,LdAType,1,LdAKey,"&lt;"&amp;$G1186)+COUNTIFS(LdBMember,$A1186,LdBKey,"&lt;"&amp;$G1186)+COUNTIFS(LdCParty,$A1186,LdCKey,"&lt;"&amp;$G1186)+1)</f>
        <v/>
      </c>
      <c r="I1186">
        <f>IF($H1186="","",$A1186&amp;"|"&amp;RIGHT("000000"&amp;$H1186,6))</f>
        <v/>
      </c>
      <c r="J1186">
        <f>IF(OR($B1186&lt;&gt;2,$G1186=""),"",COUNTIFS(LdAParty,$A1186,LdAType,2,LdAKey,"&lt;"&amp;$G1186)+1)</f>
        <v/>
      </c>
      <c r="K1186">
        <f>IF($J1186="","",$A1186&amp;"|"&amp;RIGHT("000000"&amp;$J1186,6))</f>
        <v/>
      </c>
      <c r="L1186">
        <f>IF($A1186="","",IF(Wages!$G1189="",0,Wages!$G1189))</f>
        <v/>
      </c>
      <c r="M1186">
        <f>IF($A1186="","",Wages!$J1189)</f>
        <v/>
      </c>
      <c r="N1186">
        <f>IF($A1186="","",Wages!$D1189)</f>
        <v/>
      </c>
      <c r="P1186">
        <f>IF(OR(Shares!$B1189="",Shares!$C1189=""),"",Shares!$C1189)</f>
        <v/>
      </c>
      <c r="Q1186">
        <f>IF($P1186="","",Shares!$B1189)</f>
        <v/>
      </c>
      <c r="R1186">
        <f>IF($P1186="","",IFERROR(INDEX(WageParty,MATCH($Q1186,WageIds,0)),""))</f>
        <v/>
      </c>
      <c r="S1186">
        <f>IF($P1186="","",IFERROR(INDEX($F$6:$F$2005,MATCH($Q1186,WageIds,0)),""))</f>
        <v/>
      </c>
      <c r="T1186">
        <f>IF(OR($P1186="",$S1186="",$S1186="نامعتبر"),"",LEFT($S1186,4)&amp;MID($S1186,6,2)&amp;RIGHT($S1186,2)&amp;"0000"&amp;"|"&amp;"2"&amp;RIGHT("00000"&amp;1181,5))</f>
        <v/>
      </c>
      <c r="U1186">
        <f>IF($T1186="","",COUNTIFS(LdAParty,$P1186,LdAType,1,LdAKey,"&lt;"&amp;$T1186)+COUNTIFS(LdBMember,$P1186,LdBKey,"&lt;"&amp;$T1186)+COUNTIFS(LdCParty,$P1186,LdCKey,"&lt;"&amp;$T1186)+1)</f>
        <v/>
      </c>
      <c r="V1186">
        <f>IF($U1186="","",$P1186&amp;"|"&amp;RIGHT("000000"&amp;$U1186,6))</f>
        <v/>
      </c>
      <c r="W1186">
        <f>IF($T1186="","",COUNTIFS(LdBGroup,$R1186,LdBKey,"&lt;"&amp;$T1186)+1)</f>
        <v/>
      </c>
      <c r="X1186">
        <f>IF($W1186="","",$R1186&amp;"|"&amp;RIGHT("000000"&amp;$W1186,6))</f>
        <v/>
      </c>
      <c r="Y1186">
        <f>IF($P1186="","",IF(Shares!$E1189="",0,Shares!$E1189))</f>
        <v/>
      </c>
      <c r="Z1186">
        <f>IF($P1186="","",Shares!$H1189)</f>
        <v/>
      </c>
      <c r="AE1186">
        <f>IF(OR(Sync!$S1186="",Sync!$P1186=""),"",Sync!$S1186)</f>
        <v/>
      </c>
      <c r="AF1186">
        <f>IF($AE1186="","",IF(ISNUMBER(Sync!$P1186),IF(AND(Sync!$P1186&gt;=10000101,Sync!$P1186&lt;=99991231),INT(Sync!$P1186/10000),""),IFERROR(VALUE(TRIM(LEFT(Sync!$P1186,FIND("/",Sync!$P1186)-1))),"")))</f>
        <v/>
      </c>
      <c r="AG1186">
        <f>IF(OR($AE1186="",$AF1186=""),"",IF(ISNUMBER(Sync!$P1186),INT(MOD(Sync!$P1186,10000)/100),IFERROR(VALUE(TRIM(LEFT(MID(Sync!$P1186,FIND("/",Sync!$P1186)+1,20),FIND("/",MID(Sync!$P1186,FIND("/",Sync!$P1186)+1,20))-1))),"")))</f>
        <v/>
      </c>
      <c r="AH1186">
        <f>IF(OR($AE1186="",$AF1186=""),"",IF(ISNUMBER(Sync!$P1186),MOD(Sync!$P1186,100),IFERROR(VALUE(TRIM(MID(MID(Sync!$P1186,FIND("/",Sync!$P1186)+1,20),FIND("/",MID(Sync!$P1186,FIND("/",Sync!$P1186)+1,20))+1,20))),"")))</f>
        <v/>
      </c>
      <c r="AI1186">
        <f>IF($AE1186="","",IF(OR($AF1186="",$AG1186="",$AH1186="",$AF1186&lt;1300,$AF1186&gt;1500,$AG1186&lt;1,$AG1186&gt;12,$AH1186&lt;1,$AH1186&gt;31),"نامعتبر",RIGHT("0000"&amp;$AF1186,4)&amp;"/"&amp;RIGHT("00"&amp;$AG1186,2)&amp;"/"&amp;RIGHT("00"&amp;$AH1186,2)))</f>
        <v/>
      </c>
      <c r="AJ1186">
        <f>IF($AE1186="","",IF(Sync!$Q1186="","0000",IF(AND(ISNUMBER(Sync!$Q1186),Sync!$Q1186&gt;=0,Sync!$Q1186&lt;1),RIGHT("00"&amp;HOUR(Sync!$Q1186),2)&amp;RIGHT("00"&amp;MINUTE(Sync!$Q1186),2),IFERROR(RIGHT("00"&amp;VALUE(LEFT(Sync!$Q1186,FIND(":",Sync!$Q1186)-1)),2)&amp;RIGHT("00"&amp;VALUE(MID(Sync!$Q1186,FIND(":",Sync!$Q1186)+1,2)),2),"0000"))))</f>
        <v/>
      </c>
      <c r="AK1186">
        <f>IF(OR($AE1186="",$AI1186="",$AI1186="نامعتبر"),"",LEFT($AI1186,4)&amp;MID($AI1186,6,2)&amp;RIGHT($AI1186,2)&amp;$AJ1186&amp;"|"&amp;"3"&amp;RIGHT("00000"&amp;1181,5))</f>
        <v/>
      </c>
      <c r="AL1186">
        <f>IF($AK1186="","",COUNTIFS(LdAParty,$AE1186,LdAType,1,LdAKey,"&lt;"&amp;$AK1186)+COUNTIFS(LdBMember,$AE1186,LdBKey,"&lt;"&amp;$AK1186)+COUNTIFS(LdCParty,$AE1186,LdCKey,"&lt;"&amp;$AK1186)+1)</f>
        <v/>
      </c>
      <c r="AM1186">
        <f>IF($AL1186="","",$AE1186&amp;"|"&amp;RIGHT("000000"&amp;$AL1186,6))</f>
        <v/>
      </c>
      <c r="AN1186">
        <f>IF($AE1186="","",IF(Sync!$W1186="",0,Sync!$W1186))</f>
        <v/>
      </c>
      <c r="AO1186">
        <f>IF($AE1186="","",IF(Sync!$X1186="",0,Sync!$X1186))</f>
        <v/>
      </c>
      <c r="AP1186">
        <f>IF($AE1186="","",Sync!$R1186)</f>
        <v/>
      </c>
      <c r="AQ1186">
        <f>IF($AE1186="","",Sync!$Y1186)</f>
        <v/>
      </c>
    </row>
    <row r="1187">
      <c r="A1187">
        <f>IF(OR(Wages!$B1190="",Wages!$E1190=""),"",Wages!$E1190)</f>
        <v/>
      </c>
      <c r="B1187">
        <f>IF($A1187="","",IF(Wages!$C1190="دستمزد گروهی",2,1))</f>
        <v/>
      </c>
      <c r="C1187">
        <f>IF($A1187="","",IF(ISNUMBER(Wages!$B1190),IF(AND(Wages!$B1190&gt;=10000101,Wages!$B1190&lt;=99991231),INT(Wages!$B1190/10000),""),IFERROR(VALUE(TRIM(LEFT(Wages!$B1190,FIND("/",Wages!$B1190)-1))),"")))</f>
        <v/>
      </c>
      <c r="D1187">
        <f>IF(OR($A1187="",$C1187=""),"",IF(ISNUMBER(Wages!$B1190),INT(MOD(Wages!$B1190,10000)/100),IFERROR(VALUE(TRIM(LEFT(MID(Wages!$B1190,FIND("/",Wages!$B1190)+1,20),FIND("/",MID(Wages!$B1190,FIND("/",Wages!$B1190)+1,20))-1))),"")))</f>
        <v/>
      </c>
      <c r="E1187">
        <f>IF(OR($A1187="",$C1187=""),"",IF(ISNUMBER(Wages!$B1190),MOD(Wages!$B1190,100),IFERROR(VALUE(TRIM(MID(MID(Wages!$B1190,FIND("/",Wages!$B1190)+1,20),FIND("/",MID(Wages!$B1190,FIND("/",Wages!$B1190)+1,20))+1,20))),"")))</f>
        <v/>
      </c>
      <c r="F1187">
        <f>IF($A1187="","",IF(OR($C1187="",$D1187="",$E1187="",$C1187&lt;1300,$C1187&gt;1500,$D1187&lt;1,$D1187&gt;12,$E1187&lt;1,$E1187&gt;31),"نامعتبر",RIGHT("0000"&amp;$C1187,4)&amp;"/"&amp;RIGHT("00"&amp;$D1187,2)&amp;"/"&amp;RIGHT("00"&amp;$E1187,2)))</f>
        <v/>
      </c>
      <c r="G1187">
        <f>IF(OR($A1187="",$F1187="",$F1187="نامعتبر"),"",LEFT($F1187,4)&amp;MID($F1187,6,2)&amp;RIGHT($F1187,2)&amp;"0000"&amp;"|"&amp;"1"&amp;RIGHT("00000"&amp;1182,5))</f>
        <v/>
      </c>
      <c r="H1187">
        <f>IF(OR($B1187&lt;&gt;1,$G1187=""),"",COUNTIFS(LdAParty,$A1187,LdAType,1,LdAKey,"&lt;"&amp;$G1187)+COUNTIFS(LdBMember,$A1187,LdBKey,"&lt;"&amp;$G1187)+COUNTIFS(LdCParty,$A1187,LdCKey,"&lt;"&amp;$G1187)+1)</f>
        <v/>
      </c>
      <c r="I1187">
        <f>IF($H1187="","",$A1187&amp;"|"&amp;RIGHT("000000"&amp;$H1187,6))</f>
        <v/>
      </c>
      <c r="J1187">
        <f>IF(OR($B1187&lt;&gt;2,$G1187=""),"",COUNTIFS(LdAParty,$A1187,LdAType,2,LdAKey,"&lt;"&amp;$G1187)+1)</f>
        <v/>
      </c>
      <c r="K1187">
        <f>IF($J1187="","",$A1187&amp;"|"&amp;RIGHT("000000"&amp;$J1187,6))</f>
        <v/>
      </c>
      <c r="L1187">
        <f>IF($A1187="","",IF(Wages!$G1190="",0,Wages!$G1190))</f>
        <v/>
      </c>
      <c r="M1187">
        <f>IF($A1187="","",Wages!$J1190)</f>
        <v/>
      </c>
      <c r="N1187">
        <f>IF($A1187="","",Wages!$D1190)</f>
        <v/>
      </c>
      <c r="P1187">
        <f>IF(OR(Shares!$B1190="",Shares!$C1190=""),"",Shares!$C1190)</f>
        <v/>
      </c>
      <c r="Q1187">
        <f>IF($P1187="","",Shares!$B1190)</f>
        <v/>
      </c>
      <c r="R1187">
        <f>IF($P1187="","",IFERROR(INDEX(WageParty,MATCH($Q1187,WageIds,0)),""))</f>
        <v/>
      </c>
      <c r="S1187">
        <f>IF($P1187="","",IFERROR(INDEX($F$6:$F$2005,MATCH($Q1187,WageIds,0)),""))</f>
        <v/>
      </c>
      <c r="T1187">
        <f>IF(OR($P1187="",$S1187="",$S1187="نامعتبر"),"",LEFT($S1187,4)&amp;MID($S1187,6,2)&amp;RIGHT($S1187,2)&amp;"0000"&amp;"|"&amp;"2"&amp;RIGHT("00000"&amp;1182,5))</f>
        <v/>
      </c>
      <c r="U1187">
        <f>IF($T1187="","",COUNTIFS(LdAParty,$P1187,LdAType,1,LdAKey,"&lt;"&amp;$T1187)+COUNTIFS(LdBMember,$P1187,LdBKey,"&lt;"&amp;$T1187)+COUNTIFS(LdCParty,$P1187,LdCKey,"&lt;"&amp;$T1187)+1)</f>
        <v/>
      </c>
      <c r="V1187">
        <f>IF($U1187="","",$P1187&amp;"|"&amp;RIGHT("000000"&amp;$U1187,6))</f>
        <v/>
      </c>
      <c r="W1187">
        <f>IF($T1187="","",COUNTIFS(LdBGroup,$R1187,LdBKey,"&lt;"&amp;$T1187)+1)</f>
        <v/>
      </c>
      <c r="X1187">
        <f>IF($W1187="","",$R1187&amp;"|"&amp;RIGHT("000000"&amp;$W1187,6))</f>
        <v/>
      </c>
      <c r="Y1187">
        <f>IF($P1187="","",IF(Shares!$E1190="",0,Shares!$E1190))</f>
        <v/>
      </c>
      <c r="Z1187">
        <f>IF($P1187="","",Shares!$H1190)</f>
        <v/>
      </c>
      <c r="AE1187">
        <f>IF(OR(Sync!$S1187="",Sync!$P1187=""),"",Sync!$S1187)</f>
        <v/>
      </c>
      <c r="AF1187">
        <f>IF($AE1187="","",IF(ISNUMBER(Sync!$P1187),IF(AND(Sync!$P1187&gt;=10000101,Sync!$P1187&lt;=99991231),INT(Sync!$P1187/10000),""),IFERROR(VALUE(TRIM(LEFT(Sync!$P1187,FIND("/",Sync!$P1187)-1))),"")))</f>
        <v/>
      </c>
      <c r="AG1187">
        <f>IF(OR($AE1187="",$AF1187=""),"",IF(ISNUMBER(Sync!$P1187),INT(MOD(Sync!$P1187,10000)/100),IFERROR(VALUE(TRIM(LEFT(MID(Sync!$P1187,FIND("/",Sync!$P1187)+1,20),FIND("/",MID(Sync!$P1187,FIND("/",Sync!$P1187)+1,20))-1))),"")))</f>
        <v/>
      </c>
      <c r="AH1187">
        <f>IF(OR($AE1187="",$AF1187=""),"",IF(ISNUMBER(Sync!$P1187),MOD(Sync!$P1187,100),IFERROR(VALUE(TRIM(MID(MID(Sync!$P1187,FIND("/",Sync!$P1187)+1,20),FIND("/",MID(Sync!$P1187,FIND("/",Sync!$P1187)+1,20))+1,20))),"")))</f>
        <v/>
      </c>
      <c r="AI1187">
        <f>IF($AE1187="","",IF(OR($AF1187="",$AG1187="",$AH1187="",$AF1187&lt;1300,$AF1187&gt;1500,$AG1187&lt;1,$AG1187&gt;12,$AH1187&lt;1,$AH1187&gt;31),"نامعتبر",RIGHT("0000"&amp;$AF1187,4)&amp;"/"&amp;RIGHT("00"&amp;$AG1187,2)&amp;"/"&amp;RIGHT("00"&amp;$AH1187,2)))</f>
        <v/>
      </c>
      <c r="AJ1187">
        <f>IF($AE1187="","",IF(Sync!$Q1187="","0000",IF(AND(ISNUMBER(Sync!$Q1187),Sync!$Q1187&gt;=0,Sync!$Q1187&lt;1),RIGHT("00"&amp;HOUR(Sync!$Q1187),2)&amp;RIGHT("00"&amp;MINUTE(Sync!$Q1187),2),IFERROR(RIGHT("00"&amp;VALUE(LEFT(Sync!$Q1187,FIND(":",Sync!$Q1187)-1)),2)&amp;RIGHT("00"&amp;VALUE(MID(Sync!$Q1187,FIND(":",Sync!$Q1187)+1,2)),2),"0000"))))</f>
        <v/>
      </c>
      <c r="AK1187">
        <f>IF(OR($AE1187="",$AI1187="",$AI1187="نامعتبر"),"",LEFT($AI1187,4)&amp;MID($AI1187,6,2)&amp;RIGHT($AI1187,2)&amp;$AJ1187&amp;"|"&amp;"3"&amp;RIGHT("00000"&amp;1182,5))</f>
        <v/>
      </c>
      <c r="AL1187">
        <f>IF($AK1187="","",COUNTIFS(LdAParty,$AE1187,LdAType,1,LdAKey,"&lt;"&amp;$AK1187)+COUNTIFS(LdBMember,$AE1187,LdBKey,"&lt;"&amp;$AK1187)+COUNTIFS(LdCParty,$AE1187,LdCKey,"&lt;"&amp;$AK1187)+1)</f>
        <v/>
      </c>
      <c r="AM1187">
        <f>IF($AL1187="","",$AE1187&amp;"|"&amp;RIGHT("000000"&amp;$AL1187,6))</f>
        <v/>
      </c>
      <c r="AN1187">
        <f>IF($AE1187="","",IF(Sync!$W1187="",0,Sync!$W1187))</f>
        <v/>
      </c>
      <c r="AO1187">
        <f>IF($AE1187="","",IF(Sync!$X1187="",0,Sync!$X1187))</f>
        <v/>
      </c>
      <c r="AP1187">
        <f>IF($AE1187="","",Sync!$R1187)</f>
        <v/>
      </c>
      <c r="AQ1187">
        <f>IF($AE1187="","",Sync!$Y1187)</f>
        <v/>
      </c>
    </row>
    <row r="1188">
      <c r="A1188">
        <f>IF(OR(Wages!$B1191="",Wages!$E1191=""),"",Wages!$E1191)</f>
        <v/>
      </c>
      <c r="B1188">
        <f>IF($A1188="","",IF(Wages!$C1191="دستمزد گروهی",2,1))</f>
        <v/>
      </c>
      <c r="C1188">
        <f>IF($A1188="","",IF(ISNUMBER(Wages!$B1191),IF(AND(Wages!$B1191&gt;=10000101,Wages!$B1191&lt;=99991231),INT(Wages!$B1191/10000),""),IFERROR(VALUE(TRIM(LEFT(Wages!$B1191,FIND("/",Wages!$B1191)-1))),"")))</f>
        <v/>
      </c>
      <c r="D1188">
        <f>IF(OR($A1188="",$C1188=""),"",IF(ISNUMBER(Wages!$B1191),INT(MOD(Wages!$B1191,10000)/100),IFERROR(VALUE(TRIM(LEFT(MID(Wages!$B1191,FIND("/",Wages!$B1191)+1,20),FIND("/",MID(Wages!$B1191,FIND("/",Wages!$B1191)+1,20))-1))),"")))</f>
        <v/>
      </c>
      <c r="E1188">
        <f>IF(OR($A1188="",$C1188=""),"",IF(ISNUMBER(Wages!$B1191),MOD(Wages!$B1191,100),IFERROR(VALUE(TRIM(MID(MID(Wages!$B1191,FIND("/",Wages!$B1191)+1,20),FIND("/",MID(Wages!$B1191,FIND("/",Wages!$B1191)+1,20))+1,20))),"")))</f>
        <v/>
      </c>
      <c r="F1188">
        <f>IF($A1188="","",IF(OR($C1188="",$D1188="",$E1188="",$C1188&lt;1300,$C1188&gt;1500,$D1188&lt;1,$D1188&gt;12,$E1188&lt;1,$E1188&gt;31),"نامعتبر",RIGHT("0000"&amp;$C1188,4)&amp;"/"&amp;RIGHT("00"&amp;$D1188,2)&amp;"/"&amp;RIGHT("00"&amp;$E1188,2)))</f>
        <v/>
      </c>
      <c r="G1188">
        <f>IF(OR($A1188="",$F1188="",$F1188="نامعتبر"),"",LEFT($F1188,4)&amp;MID($F1188,6,2)&amp;RIGHT($F1188,2)&amp;"0000"&amp;"|"&amp;"1"&amp;RIGHT("00000"&amp;1183,5))</f>
        <v/>
      </c>
      <c r="H1188">
        <f>IF(OR($B1188&lt;&gt;1,$G1188=""),"",COUNTIFS(LdAParty,$A1188,LdAType,1,LdAKey,"&lt;"&amp;$G1188)+COUNTIFS(LdBMember,$A1188,LdBKey,"&lt;"&amp;$G1188)+COUNTIFS(LdCParty,$A1188,LdCKey,"&lt;"&amp;$G1188)+1)</f>
        <v/>
      </c>
      <c r="I1188">
        <f>IF($H1188="","",$A1188&amp;"|"&amp;RIGHT("000000"&amp;$H1188,6))</f>
        <v/>
      </c>
      <c r="J1188">
        <f>IF(OR($B1188&lt;&gt;2,$G1188=""),"",COUNTIFS(LdAParty,$A1188,LdAType,2,LdAKey,"&lt;"&amp;$G1188)+1)</f>
        <v/>
      </c>
      <c r="K1188">
        <f>IF($J1188="","",$A1188&amp;"|"&amp;RIGHT("000000"&amp;$J1188,6))</f>
        <v/>
      </c>
      <c r="L1188">
        <f>IF($A1188="","",IF(Wages!$G1191="",0,Wages!$G1191))</f>
        <v/>
      </c>
      <c r="M1188">
        <f>IF($A1188="","",Wages!$J1191)</f>
        <v/>
      </c>
      <c r="N1188">
        <f>IF($A1188="","",Wages!$D1191)</f>
        <v/>
      </c>
      <c r="P1188">
        <f>IF(OR(Shares!$B1191="",Shares!$C1191=""),"",Shares!$C1191)</f>
        <v/>
      </c>
      <c r="Q1188">
        <f>IF($P1188="","",Shares!$B1191)</f>
        <v/>
      </c>
      <c r="R1188">
        <f>IF($P1188="","",IFERROR(INDEX(WageParty,MATCH($Q1188,WageIds,0)),""))</f>
        <v/>
      </c>
      <c r="S1188">
        <f>IF($P1188="","",IFERROR(INDEX($F$6:$F$2005,MATCH($Q1188,WageIds,0)),""))</f>
        <v/>
      </c>
      <c r="T1188">
        <f>IF(OR($P1188="",$S1188="",$S1188="نامعتبر"),"",LEFT($S1188,4)&amp;MID($S1188,6,2)&amp;RIGHT($S1188,2)&amp;"0000"&amp;"|"&amp;"2"&amp;RIGHT("00000"&amp;1183,5))</f>
        <v/>
      </c>
      <c r="U1188">
        <f>IF($T1188="","",COUNTIFS(LdAParty,$P1188,LdAType,1,LdAKey,"&lt;"&amp;$T1188)+COUNTIFS(LdBMember,$P1188,LdBKey,"&lt;"&amp;$T1188)+COUNTIFS(LdCParty,$P1188,LdCKey,"&lt;"&amp;$T1188)+1)</f>
        <v/>
      </c>
      <c r="V1188">
        <f>IF($U1188="","",$P1188&amp;"|"&amp;RIGHT("000000"&amp;$U1188,6))</f>
        <v/>
      </c>
      <c r="W1188">
        <f>IF($T1188="","",COUNTIFS(LdBGroup,$R1188,LdBKey,"&lt;"&amp;$T1188)+1)</f>
        <v/>
      </c>
      <c r="X1188">
        <f>IF($W1188="","",$R1188&amp;"|"&amp;RIGHT("000000"&amp;$W1188,6))</f>
        <v/>
      </c>
      <c r="Y1188">
        <f>IF($P1188="","",IF(Shares!$E1191="",0,Shares!$E1191))</f>
        <v/>
      </c>
      <c r="Z1188">
        <f>IF($P1188="","",Shares!$H1191)</f>
        <v/>
      </c>
      <c r="AE1188">
        <f>IF(OR(Sync!$S1188="",Sync!$P1188=""),"",Sync!$S1188)</f>
        <v/>
      </c>
      <c r="AF1188">
        <f>IF($AE1188="","",IF(ISNUMBER(Sync!$P1188),IF(AND(Sync!$P1188&gt;=10000101,Sync!$P1188&lt;=99991231),INT(Sync!$P1188/10000),""),IFERROR(VALUE(TRIM(LEFT(Sync!$P1188,FIND("/",Sync!$P1188)-1))),"")))</f>
        <v/>
      </c>
      <c r="AG1188">
        <f>IF(OR($AE1188="",$AF1188=""),"",IF(ISNUMBER(Sync!$P1188),INT(MOD(Sync!$P1188,10000)/100),IFERROR(VALUE(TRIM(LEFT(MID(Sync!$P1188,FIND("/",Sync!$P1188)+1,20),FIND("/",MID(Sync!$P1188,FIND("/",Sync!$P1188)+1,20))-1))),"")))</f>
        <v/>
      </c>
      <c r="AH1188">
        <f>IF(OR($AE1188="",$AF1188=""),"",IF(ISNUMBER(Sync!$P1188),MOD(Sync!$P1188,100),IFERROR(VALUE(TRIM(MID(MID(Sync!$P1188,FIND("/",Sync!$P1188)+1,20),FIND("/",MID(Sync!$P1188,FIND("/",Sync!$P1188)+1,20))+1,20))),"")))</f>
        <v/>
      </c>
      <c r="AI1188">
        <f>IF($AE1188="","",IF(OR($AF1188="",$AG1188="",$AH1188="",$AF1188&lt;1300,$AF1188&gt;1500,$AG1188&lt;1,$AG1188&gt;12,$AH1188&lt;1,$AH1188&gt;31),"نامعتبر",RIGHT("0000"&amp;$AF1188,4)&amp;"/"&amp;RIGHT("00"&amp;$AG1188,2)&amp;"/"&amp;RIGHT("00"&amp;$AH1188,2)))</f>
        <v/>
      </c>
      <c r="AJ1188">
        <f>IF($AE1188="","",IF(Sync!$Q1188="","0000",IF(AND(ISNUMBER(Sync!$Q1188),Sync!$Q1188&gt;=0,Sync!$Q1188&lt;1),RIGHT("00"&amp;HOUR(Sync!$Q1188),2)&amp;RIGHT("00"&amp;MINUTE(Sync!$Q1188),2),IFERROR(RIGHT("00"&amp;VALUE(LEFT(Sync!$Q1188,FIND(":",Sync!$Q1188)-1)),2)&amp;RIGHT("00"&amp;VALUE(MID(Sync!$Q1188,FIND(":",Sync!$Q1188)+1,2)),2),"0000"))))</f>
        <v/>
      </c>
      <c r="AK1188">
        <f>IF(OR($AE1188="",$AI1188="",$AI1188="نامعتبر"),"",LEFT($AI1188,4)&amp;MID($AI1188,6,2)&amp;RIGHT($AI1188,2)&amp;$AJ1188&amp;"|"&amp;"3"&amp;RIGHT("00000"&amp;1183,5))</f>
        <v/>
      </c>
      <c r="AL1188">
        <f>IF($AK1188="","",COUNTIFS(LdAParty,$AE1188,LdAType,1,LdAKey,"&lt;"&amp;$AK1188)+COUNTIFS(LdBMember,$AE1188,LdBKey,"&lt;"&amp;$AK1188)+COUNTIFS(LdCParty,$AE1188,LdCKey,"&lt;"&amp;$AK1188)+1)</f>
        <v/>
      </c>
      <c r="AM1188">
        <f>IF($AL1188="","",$AE1188&amp;"|"&amp;RIGHT("000000"&amp;$AL1188,6))</f>
        <v/>
      </c>
      <c r="AN1188">
        <f>IF($AE1188="","",IF(Sync!$W1188="",0,Sync!$W1188))</f>
        <v/>
      </c>
      <c r="AO1188">
        <f>IF($AE1188="","",IF(Sync!$X1188="",0,Sync!$X1188))</f>
        <v/>
      </c>
      <c r="AP1188">
        <f>IF($AE1188="","",Sync!$R1188)</f>
        <v/>
      </c>
      <c r="AQ1188">
        <f>IF($AE1188="","",Sync!$Y1188)</f>
        <v/>
      </c>
    </row>
    <row r="1189">
      <c r="A1189">
        <f>IF(OR(Wages!$B1192="",Wages!$E1192=""),"",Wages!$E1192)</f>
        <v/>
      </c>
      <c r="B1189">
        <f>IF($A1189="","",IF(Wages!$C1192="دستمزد گروهی",2,1))</f>
        <v/>
      </c>
      <c r="C1189">
        <f>IF($A1189="","",IF(ISNUMBER(Wages!$B1192),IF(AND(Wages!$B1192&gt;=10000101,Wages!$B1192&lt;=99991231),INT(Wages!$B1192/10000),""),IFERROR(VALUE(TRIM(LEFT(Wages!$B1192,FIND("/",Wages!$B1192)-1))),"")))</f>
        <v/>
      </c>
      <c r="D1189">
        <f>IF(OR($A1189="",$C1189=""),"",IF(ISNUMBER(Wages!$B1192),INT(MOD(Wages!$B1192,10000)/100),IFERROR(VALUE(TRIM(LEFT(MID(Wages!$B1192,FIND("/",Wages!$B1192)+1,20),FIND("/",MID(Wages!$B1192,FIND("/",Wages!$B1192)+1,20))-1))),"")))</f>
        <v/>
      </c>
      <c r="E1189">
        <f>IF(OR($A1189="",$C1189=""),"",IF(ISNUMBER(Wages!$B1192),MOD(Wages!$B1192,100),IFERROR(VALUE(TRIM(MID(MID(Wages!$B1192,FIND("/",Wages!$B1192)+1,20),FIND("/",MID(Wages!$B1192,FIND("/",Wages!$B1192)+1,20))+1,20))),"")))</f>
        <v/>
      </c>
      <c r="F1189">
        <f>IF($A1189="","",IF(OR($C1189="",$D1189="",$E1189="",$C1189&lt;1300,$C1189&gt;1500,$D1189&lt;1,$D1189&gt;12,$E1189&lt;1,$E1189&gt;31),"نامعتبر",RIGHT("0000"&amp;$C1189,4)&amp;"/"&amp;RIGHT("00"&amp;$D1189,2)&amp;"/"&amp;RIGHT("00"&amp;$E1189,2)))</f>
        <v/>
      </c>
      <c r="G1189">
        <f>IF(OR($A1189="",$F1189="",$F1189="نامعتبر"),"",LEFT($F1189,4)&amp;MID($F1189,6,2)&amp;RIGHT($F1189,2)&amp;"0000"&amp;"|"&amp;"1"&amp;RIGHT("00000"&amp;1184,5))</f>
        <v/>
      </c>
      <c r="H1189">
        <f>IF(OR($B1189&lt;&gt;1,$G1189=""),"",COUNTIFS(LdAParty,$A1189,LdAType,1,LdAKey,"&lt;"&amp;$G1189)+COUNTIFS(LdBMember,$A1189,LdBKey,"&lt;"&amp;$G1189)+COUNTIFS(LdCParty,$A1189,LdCKey,"&lt;"&amp;$G1189)+1)</f>
        <v/>
      </c>
      <c r="I1189">
        <f>IF($H1189="","",$A1189&amp;"|"&amp;RIGHT("000000"&amp;$H1189,6))</f>
        <v/>
      </c>
      <c r="J1189">
        <f>IF(OR($B1189&lt;&gt;2,$G1189=""),"",COUNTIFS(LdAParty,$A1189,LdAType,2,LdAKey,"&lt;"&amp;$G1189)+1)</f>
        <v/>
      </c>
      <c r="K1189">
        <f>IF($J1189="","",$A1189&amp;"|"&amp;RIGHT("000000"&amp;$J1189,6))</f>
        <v/>
      </c>
      <c r="L1189">
        <f>IF($A1189="","",IF(Wages!$G1192="",0,Wages!$G1192))</f>
        <v/>
      </c>
      <c r="M1189">
        <f>IF($A1189="","",Wages!$J1192)</f>
        <v/>
      </c>
      <c r="N1189">
        <f>IF($A1189="","",Wages!$D1192)</f>
        <v/>
      </c>
      <c r="P1189">
        <f>IF(OR(Shares!$B1192="",Shares!$C1192=""),"",Shares!$C1192)</f>
        <v/>
      </c>
      <c r="Q1189">
        <f>IF($P1189="","",Shares!$B1192)</f>
        <v/>
      </c>
      <c r="R1189">
        <f>IF($P1189="","",IFERROR(INDEX(WageParty,MATCH($Q1189,WageIds,0)),""))</f>
        <v/>
      </c>
      <c r="S1189">
        <f>IF($P1189="","",IFERROR(INDEX($F$6:$F$2005,MATCH($Q1189,WageIds,0)),""))</f>
        <v/>
      </c>
      <c r="T1189">
        <f>IF(OR($P1189="",$S1189="",$S1189="نامعتبر"),"",LEFT($S1189,4)&amp;MID($S1189,6,2)&amp;RIGHT($S1189,2)&amp;"0000"&amp;"|"&amp;"2"&amp;RIGHT("00000"&amp;1184,5))</f>
        <v/>
      </c>
      <c r="U1189">
        <f>IF($T1189="","",COUNTIFS(LdAParty,$P1189,LdAType,1,LdAKey,"&lt;"&amp;$T1189)+COUNTIFS(LdBMember,$P1189,LdBKey,"&lt;"&amp;$T1189)+COUNTIFS(LdCParty,$P1189,LdCKey,"&lt;"&amp;$T1189)+1)</f>
        <v/>
      </c>
      <c r="V1189">
        <f>IF($U1189="","",$P1189&amp;"|"&amp;RIGHT("000000"&amp;$U1189,6))</f>
        <v/>
      </c>
      <c r="W1189">
        <f>IF($T1189="","",COUNTIFS(LdBGroup,$R1189,LdBKey,"&lt;"&amp;$T1189)+1)</f>
        <v/>
      </c>
      <c r="X1189">
        <f>IF($W1189="","",$R1189&amp;"|"&amp;RIGHT("000000"&amp;$W1189,6))</f>
        <v/>
      </c>
      <c r="Y1189">
        <f>IF($P1189="","",IF(Shares!$E1192="",0,Shares!$E1192))</f>
        <v/>
      </c>
      <c r="Z1189">
        <f>IF($P1189="","",Shares!$H1192)</f>
        <v/>
      </c>
      <c r="AE1189">
        <f>IF(OR(Sync!$S1189="",Sync!$P1189=""),"",Sync!$S1189)</f>
        <v/>
      </c>
      <c r="AF1189">
        <f>IF($AE1189="","",IF(ISNUMBER(Sync!$P1189),IF(AND(Sync!$P1189&gt;=10000101,Sync!$P1189&lt;=99991231),INT(Sync!$P1189/10000),""),IFERROR(VALUE(TRIM(LEFT(Sync!$P1189,FIND("/",Sync!$P1189)-1))),"")))</f>
        <v/>
      </c>
      <c r="AG1189">
        <f>IF(OR($AE1189="",$AF1189=""),"",IF(ISNUMBER(Sync!$P1189),INT(MOD(Sync!$P1189,10000)/100),IFERROR(VALUE(TRIM(LEFT(MID(Sync!$P1189,FIND("/",Sync!$P1189)+1,20),FIND("/",MID(Sync!$P1189,FIND("/",Sync!$P1189)+1,20))-1))),"")))</f>
        <v/>
      </c>
      <c r="AH1189">
        <f>IF(OR($AE1189="",$AF1189=""),"",IF(ISNUMBER(Sync!$P1189),MOD(Sync!$P1189,100),IFERROR(VALUE(TRIM(MID(MID(Sync!$P1189,FIND("/",Sync!$P1189)+1,20),FIND("/",MID(Sync!$P1189,FIND("/",Sync!$P1189)+1,20))+1,20))),"")))</f>
        <v/>
      </c>
      <c r="AI1189">
        <f>IF($AE1189="","",IF(OR($AF1189="",$AG1189="",$AH1189="",$AF1189&lt;1300,$AF1189&gt;1500,$AG1189&lt;1,$AG1189&gt;12,$AH1189&lt;1,$AH1189&gt;31),"نامعتبر",RIGHT("0000"&amp;$AF1189,4)&amp;"/"&amp;RIGHT("00"&amp;$AG1189,2)&amp;"/"&amp;RIGHT("00"&amp;$AH1189,2)))</f>
        <v/>
      </c>
      <c r="AJ1189">
        <f>IF($AE1189="","",IF(Sync!$Q1189="","0000",IF(AND(ISNUMBER(Sync!$Q1189),Sync!$Q1189&gt;=0,Sync!$Q1189&lt;1),RIGHT("00"&amp;HOUR(Sync!$Q1189),2)&amp;RIGHT("00"&amp;MINUTE(Sync!$Q1189),2),IFERROR(RIGHT("00"&amp;VALUE(LEFT(Sync!$Q1189,FIND(":",Sync!$Q1189)-1)),2)&amp;RIGHT("00"&amp;VALUE(MID(Sync!$Q1189,FIND(":",Sync!$Q1189)+1,2)),2),"0000"))))</f>
        <v/>
      </c>
      <c r="AK1189">
        <f>IF(OR($AE1189="",$AI1189="",$AI1189="نامعتبر"),"",LEFT($AI1189,4)&amp;MID($AI1189,6,2)&amp;RIGHT($AI1189,2)&amp;$AJ1189&amp;"|"&amp;"3"&amp;RIGHT("00000"&amp;1184,5))</f>
        <v/>
      </c>
      <c r="AL1189">
        <f>IF($AK1189="","",COUNTIFS(LdAParty,$AE1189,LdAType,1,LdAKey,"&lt;"&amp;$AK1189)+COUNTIFS(LdBMember,$AE1189,LdBKey,"&lt;"&amp;$AK1189)+COUNTIFS(LdCParty,$AE1189,LdCKey,"&lt;"&amp;$AK1189)+1)</f>
        <v/>
      </c>
      <c r="AM1189">
        <f>IF($AL1189="","",$AE1189&amp;"|"&amp;RIGHT("000000"&amp;$AL1189,6))</f>
        <v/>
      </c>
      <c r="AN1189">
        <f>IF($AE1189="","",IF(Sync!$W1189="",0,Sync!$W1189))</f>
        <v/>
      </c>
      <c r="AO1189">
        <f>IF($AE1189="","",IF(Sync!$X1189="",0,Sync!$X1189))</f>
        <v/>
      </c>
      <c r="AP1189">
        <f>IF($AE1189="","",Sync!$R1189)</f>
        <v/>
      </c>
      <c r="AQ1189">
        <f>IF($AE1189="","",Sync!$Y1189)</f>
        <v/>
      </c>
    </row>
    <row r="1190">
      <c r="A1190">
        <f>IF(OR(Wages!$B1193="",Wages!$E1193=""),"",Wages!$E1193)</f>
        <v/>
      </c>
      <c r="B1190">
        <f>IF($A1190="","",IF(Wages!$C1193="دستمزد گروهی",2,1))</f>
        <v/>
      </c>
      <c r="C1190">
        <f>IF($A1190="","",IF(ISNUMBER(Wages!$B1193),IF(AND(Wages!$B1193&gt;=10000101,Wages!$B1193&lt;=99991231),INT(Wages!$B1193/10000),""),IFERROR(VALUE(TRIM(LEFT(Wages!$B1193,FIND("/",Wages!$B1193)-1))),"")))</f>
        <v/>
      </c>
      <c r="D1190">
        <f>IF(OR($A1190="",$C1190=""),"",IF(ISNUMBER(Wages!$B1193),INT(MOD(Wages!$B1193,10000)/100),IFERROR(VALUE(TRIM(LEFT(MID(Wages!$B1193,FIND("/",Wages!$B1193)+1,20),FIND("/",MID(Wages!$B1193,FIND("/",Wages!$B1193)+1,20))-1))),"")))</f>
        <v/>
      </c>
      <c r="E1190">
        <f>IF(OR($A1190="",$C1190=""),"",IF(ISNUMBER(Wages!$B1193),MOD(Wages!$B1193,100),IFERROR(VALUE(TRIM(MID(MID(Wages!$B1193,FIND("/",Wages!$B1193)+1,20),FIND("/",MID(Wages!$B1193,FIND("/",Wages!$B1193)+1,20))+1,20))),"")))</f>
        <v/>
      </c>
      <c r="F1190">
        <f>IF($A1190="","",IF(OR($C1190="",$D1190="",$E1190="",$C1190&lt;1300,$C1190&gt;1500,$D1190&lt;1,$D1190&gt;12,$E1190&lt;1,$E1190&gt;31),"نامعتبر",RIGHT("0000"&amp;$C1190,4)&amp;"/"&amp;RIGHT("00"&amp;$D1190,2)&amp;"/"&amp;RIGHT("00"&amp;$E1190,2)))</f>
        <v/>
      </c>
      <c r="G1190">
        <f>IF(OR($A1190="",$F1190="",$F1190="نامعتبر"),"",LEFT($F1190,4)&amp;MID($F1190,6,2)&amp;RIGHT($F1190,2)&amp;"0000"&amp;"|"&amp;"1"&amp;RIGHT("00000"&amp;1185,5))</f>
        <v/>
      </c>
      <c r="H1190">
        <f>IF(OR($B1190&lt;&gt;1,$G1190=""),"",COUNTIFS(LdAParty,$A1190,LdAType,1,LdAKey,"&lt;"&amp;$G1190)+COUNTIFS(LdBMember,$A1190,LdBKey,"&lt;"&amp;$G1190)+COUNTIFS(LdCParty,$A1190,LdCKey,"&lt;"&amp;$G1190)+1)</f>
        <v/>
      </c>
      <c r="I1190">
        <f>IF($H1190="","",$A1190&amp;"|"&amp;RIGHT("000000"&amp;$H1190,6))</f>
        <v/>
      </c>
      <c r="J1190">
        <f>IF(OR($B1190&lt;&gt;2,$G1190=""),"",COUNTIFS(LdAParty,$A1190,LdAType,2,LdAKey,"&lt;"&amp;$G1190)+1)</f>
        <v/>
      </c>
      <c r="K1190">
        <f>IF($J1190="","",$A1190&amp;"|"&amp;RIGHT("000000"&amp;$J1190,6))</f>
        <v/>
      </c>
      <c r="L1190">
        <f>IF($A1190="","",IF(Wages!$G1193="",0,Wages!$G1193))</f>
        <v/>
      </c>
      <c r="M1190">
        <f>IF($A1190="","",Wages!$J1193)</f>
        <v/>
      </c>
      <c r="N1190">
        <f>IF($A1190="","",Wages!$D1193)</f>
        <v/>
      </c>
      <c r="P1190">
        <f>IF(OR(Shares!$B1193="",Shares!$C1193=""),"",Shares!$C1193)</f>
        <v/>
      </c>
      <c r="Q1190">
        <f>IF($P1190="","",Shares!$B1193)</f>
        <v/>
      </c>
      <c r="R1190">
        <f>IF($P1190="","",IFERROR(INDEX(WageParty,MATCH($Q1190,WageIds,0)),""))</f>
        <v/>
      </c>
      <c r="S1190">
        <f>IF($P1190="","",IFERROR(INDEX($F$6:$F$2005,MATCH($Q1190,WageIds,0)),""))</f>
        <v/>
      </c>
      <c r="T1190">
        <f>IF(OR($P1190="",$S1190="",$S1190="نامعتبر"),"",LEFT($S1190,4)&amp;MID($S1190,6,2)&amp;RIGHT($S1190,2)&amp;"0000"&amp;"|"&amp;"2"&amp;RIGHT("00000"&amp;1185,5))</f>
        <v/>
      </c>
      <c r="U1190">
        <f>IF($T1190="","",COUNTIFS(LdAParty,$P1190,LdAType,1,LdAKey,"&lt;"&amp;$T1190)+COUNTIFS(LdBMember,$P1190,LdBKey,"&lt;"&amp;$T1190)+COUNTIFS(LdCParty,$P1190,LdCKey,"&lt;"&amp;$T1190)+1)</f>
        <v/>
      </c>
      <c r="V1190">
        <f>IF($U1190="","",$P1190&amp;"|"&amp;RIGHT("000000"&amp;$U1190,6))</f>
        <v/>
      </c>
      <c r="W1190">
        <f>IF($T1190="","",COUNTIFS(LdBGroup,$R1190,LdBKey,"&lt;"&amp;$T1190)+1)</f>
        <v/>
      </c>
      <c r="X1190">
        <f>IF($W1190="","",$R1190&amp;"|"&amp;RIGHT("000000"&amp;$W1190,6))</f>
        <v/>
      </c>
      <c r="Y1190">
        <f>IF($P1190="","",IF(Shares!$E1193="",0,Shares!$E1193))</f>
        <v/>
      </c>
      <c r="Z1190">
        <f>IF($P1190="","",Shares!$H1193)</f>
        <v/>
      </c>
      <c r="AE1190">
        <f>IF(OR(Sync!$S1190="",Sync!$P1190=""),"",Sync!$S1190)</f>
        <v/>
      </c>
      <c r="AF1190">
        <f>IF($AE1190="","",IF(ISNUMBER(Sync!$P1190),IF(AND(Sync!$P1190&gt;=10000101,Sync!$P1190&lt;=99991231),INT(Sync!$P1190/10000),""),IFERROR(VALUE(TRIM(LEFT(Sync!$P1190,FIND("/",Sync!$P1190)-1))),"")))</f>
        <v/>
      </c>
      <c r="AG1190">
        <f>IF(OR($AE1190="",$AF1190=""),"",IF(ISNUMBER(Sync!$P1190),INT(MOD(Sync!$P1190,10000)/100),IFERROR(VALUE(TRIM(LEFT(MID(Sync!$P1190,FIND("/",Sync!$P1190)+1,20),FIND("/",MID(Sync!$P1190,FIND("/",Sync!$P1190)+1,20))-1))),"")))</f>
        <v/>
      </c>
      <c r="AH1190">
        <f>IF(OR($AE1190="",$AF1190=""),"",IF(ISNUMBER(Sync!$P1190),MOD(Sync!$P1190,100),IFERROR(VALUE(TRIM(MID(MID(Sync!$P1190,FIND("/",Sync!$P1190)+1,20),FIND("/",MID(Sync!$P1190,FIND("/",Sync!$P1190)+1,20))+1,20))),"")))</f>
        <v/>
      </c>
      <c r="AI1190">
        <f>IF($AE1190="","",IF(OR($AF1190="",$AG1190="",$AH1190="",$AF1190&lt;1300,$AF1190&gt;1500,$AG1190&lt;1,$AG1190&gt;12,$AH1190&lt;1,$AH1190&gt;31),"نامعتبر",RIGHT("0000"&amp;$AF1190,4)&amp;"/"&amp;RIGHT("00"&amp;$AG1190,2)&amp;"/"&amp;RIGHT("00"&amp;$AH1190,2)))</f>
        <v/>
      </c>
      <c r="AJ1190">
        <f>IF($AE1190="","",IF(Sync!$Q1190="","0000",IF(AND(ISNUMBER(Sync!$Q1190),Sync!$Q1190&gt;=0,Sync!$Q1190&lt;1),RIGHT("00"&amp;HOUR(Sync!$Q1190),2)&amp;RIGHT("00"&amp;MINUTE(Sync!$Q1190),2),IFERROR(RIGHT("00"&amp;VALUE(LEFT(Sync!$Q1190,FIND(":",Sync!$Q1190)-1)),2)&amp;RIGHT("00"&amp;VALUE(MID(Sync!$Q1190,FIND(":",Sync!$Q1190)+1,2)),2),"0000"))))</f>
        <v/>
      </c>
      <c r="AK1190">
        <f>IF(OR($AE1190="",$AI1190="",$AI1190="نامعتبر"),"",LEFT($AI1190,4)&amp;MID($AI1190,6,2)&amp;RIGHT($AI1190,2)&amp;$AJ1190&amp;"|"&amp;"3"&amp;RIGHT("00000"&amp;1185,5))</f>
        <v/>
      </c>
      <c r="AL1190">
        <f>IF($AK1190="","",COUNTIFS(LdAParty,$AE1190,LdAType,1,LdAKey,"&lt;"&amp;$AK1190)+COUNTIFS(LdBMember,$AE1190,LdBKey,"&lt;"&amp;$AK1190)+COUNTIFS(LdCParty,$AE1190,LdCKey,"&lt;"&amp;$AK1190)+1)</f>
        <v/>
      </c>
      <c r="AM1190">
        <f>IF($AL1190="","",$AE1190&amp;"|"&amp;RIGHT("000000"&amp;$AL1190,6))</f>
        <v/>
      </c>
      <c r="AN1190">
        <f>IF($AE1190="","",IF(Sync!$W1190="",0,Sync!$W1190))</f>
        <v/>
      </c>
      <c r="AO1190">
        <f>IF($AE1190="","",IF(Sync!$X1190="",0,Sync!$X1190))</f>
        <v/>
      </c>
      <c r="AP1190">
        <f>IF($AE1190="","",Sync!$R1190)</f>
        <v/>
      </c>
      <c r="AQ1190">
        <f>IF($AE1190="","",Sync!$Y1190)</f>
        <v/>
      </c>
    </row>
    <row r="1191">
      <c r="A1191">
        <f>IF(OR(Wages!$B1194="",Wages!$E1194=""),"",Wages!$E1194)</f>
        <v/>
      </c>
      <c r="B1191">
        <f>IF($A1191="","",IF(Wages!$C1194="دستمزد گروهی",2,1))</f>
        <v/>
      </c>
      <c r="C1191">
        <f>IF($A1191="","",IF(ISNUMBER(Wages!$B1194),IF(AND(Wages!$B1194&gt;=10000101,Wages!$B1194&lt;=99991231),INT(Wages!$B1194/10000),""),IFERROR(VALUE(TRIM(LEFT(Wages!$B1194,FIND("/",Wages!$B1194)-1))),"")))</f>
        <v/>
      </c>
      <c r="D1191">
        <f>IF(OR($A1191="",$C1191=""),"",IF(ISNUMBER(Wages!$B1194),INT(MOD(Wages!$B1194,10000)/100),IFERROR(VALUE(TRIM(LEFT(MID(Wages!$B1194,FIND("/",Wages!$B1194)+1,20),FIND("/",MID(Wages!$B1194,FIND("/",Wages!$B1194)+1,20))-1))),"")))</f>
        <v/>
      </c>
      <c r="E1191">
        <f>IF(OR($A1191="",$C1191=""),"",IF(ISNUMBER(Wages!$B1194),MOD(Wages!$B1194,100),IFERROR(VALUE(TRIM(MID(MID(Wages!$B1194,FIND("/",Wages!$B1194)+1,20),FIND("/",MID(Wages!$B1194,FIND("/",Wages!$B1194)+1,20))+1,20))),"")))</f>
        <v/>
      </c>
      <c r="F1191">
        <f>IF($A1191="","",IF(OR($C1191="",$D1191="",$E1191="",$C1191&lt;1300,$C1191&gt;1500,$D1191&lt;1,$D1191&gt;12,$E1191&lt;1,$E1191&gt;31),"نامعتبر",RIGHT("0000"&amp;$C1191,4)&amp;"/"&amp;RIGHT("00"&amp;$D1191,2)&amp;"/"&amp;RIGHT("00"&amp;$E1191,2)))</f>
        <v/>
      </c>
      <c r="G1191">
        <f>IF(OR($A1191="",$F1191="",$F1191="نامعتبر"),"",LEFT($F1191,4)&amp;MID($F1191,6,2)&amp;RIGHT($F1191,2)&amp;"0000"&amp;"|"&amp;"1"&amp;RIGHT("00000"&amp;1186,5))</f>
        <v/>
      </c>
      <c r="H1191">
        <f>IF(OR($B1191&lt;&gt;1,$G1191=""),"",COUNTIFS(LdAParty,$A1191,LdAType,1,LdAKey,"&lt;"&amp;$G1191)+COUNTIFS(LdBMember,$A1191,LdBKey,"&lt;"&amp;$G1191)+COUNTIFS(LdCParty,$A1191,LdCKey,"&lt;"&amp;$G1191)+1)</f>
        <v/>
      </c>
      <c r="I1191">
        <f>IF($H1191="","",$A1191&amp;"|"&amp;RIGHT("000000"&amp;$H1191,6))</f>
        <v/>
      </c>
      <c r="J1191">
        <f>IF(OR($B1191&lt;&gt;2,$G1191=""),"",COUNTIFS(LdAParty,$A1191,LdAType,2,LdAKey,"&lt;"&amp;$G1191)+1)</f>
        <v/>
      </c>
      <c r="K1191">
        <f>IF($J1191="","",$A1191&amp;"|"&amp;RIGHT("000000"&amp;$J1191,6))</f>
        <v/>
      </c>
      <c r="L1191">
        <f>IF($A1191="","",IF(Wages!$G1194="",0,Wages!$G1194))</f>
        <v/>
      </c>
      <c r="M1191">
        <f>IF($A1191="","",Wages!$J1194)</f>
        <v/>
      </c>
      <c r="N1191">
        <f>IF($A1191="","",Wages!$D1194)</f>
        <v/>
      </c>
      <c r="P1191">
        <f>IF(OR(Shares!$B1194="",Shares!$C1194=""),"",Shares!$C1194)</f>
        <v/>
      </c>
      <c r="Q1191">
        <f>IF($P1191="","",Shares!$B1194)</f>
        <v/>
      </c>
      <c r="R1191">
        <f>IF($P1191="","",IFERROR(INDEX(WageParty,MATCH($Q1191,WageIds,0)),""))</f>
        <v/>
      </c>
      <c r="S1191">
        <f>IF($P1191="","",IFERROR(INDEX($F$6:$F$2005,MATCH($Q1191,WageIds,0)),""))</f>
        <v/>
      </c>
      <c r="T1191">
        <f>IF(OR($P1191="",$S1191="",$S1191="نامعتبر"),"",LEFT($S1191,4)&amp;MID($S1191,6,2)&amp;RIGHT($S1191,2)&amp;"0000"&amp;"|"&amp;"2"&amp;RIGHT("00000"&amp;1186,5))</f>
        <v/>
      </c>
      <c r="U1191">
        <f>IF($T1191="","",COUNTIFS(LdAParty,$P1191,LdAType,1,LdAKey,"&lt;"&amp;$T1191)+COUNTIFS(LdBMember,$P1191,LdBKey,"&lt;"&amp;$T1191)+COUNTIFS(LdCParty,$P1191,LdCKey,"&lt;"&amp;$T1191)+1)</f>
        <v/>
      </c>
      <c r="V1191">
        <f>IF($U1191="","",$P1191&amp;"|"&amp;RIGHT("000000"&amp;$U1191,6))</f>
        <v/>
      </c>
      <c r="W1191">
        <f>IF($T1191="","",COUNTIFS(LdBGroup,$R1191,LdBKey,"&lt;"&amp;$T1191)+1)</f>
        <v/>
      </c>
      <c r="X1191">
        <f>IF($W1191="","",$R1191&amp;"|"&amp;RIGHT("000000"&amp;$W1191,6))</f>
        <v/>
      </c>
      <c r="Y1191">
        <f>IF($P1191="","",IF(Shares!$E1194="",0,Shares!$E1194))</f>
        <v/>
      </c>
      <c r="Z1191">
        <f>IF($P1191="","",Shares!$H1194)</f>
        <v/>
      </c>
      <c r="AE1191">
        <f>IF(OR(Sync!$S1191="",Sync!$P1191=""),"",Sync!$S1191)</f>
        <v/>
      </c>
      <c r="AF1191">
        <f>IF($AE1191="","",IF(ISNUMBER(Sync!$P1191),IF(AND(Sync!$P1191&gt;=10000101,Sync!$P1191&lt;=99991231),INT(Sync!$P1191/10000),""),IFERROR(VALUE(TRIM(LEFT(Sync!$P1191,FIND("/",Sync!$P1191)-1))),"")))</f>
        <v/>
      </c>
      <c r="AG1191">
        <f>IF(OR($AE1191="",$AF1191=""),"",IF(ISNUMBER(Sync!$P1191),INT(MOD(Sync!$P1191,10000)/100),IFERROR(VALUE(TRIM(LEFT(MID(Sync!$P1191,FIND("/",Sync!$P1191)+1,20),FIND("/",MID(Sync!$P1191,FIND("/",Sync!$P1191)+1,20))-1))),"")))</f>
        <v/>
      </c>
      <c r="AH1191">
        <f>IF(OR($AE1191="",$AF1191=""),"",IF(ISNUMBER(Sync!$P1191),MOD(Sync!$P1191,100),IFERROR(VALUE(TRIM(MID(MID(Sync!$P1191,FIND("/",Sync!$P1191)+1,20),FIND("/",MID(Sync!$P1191,FIND("/",Sync!$P1191)+1,20))+1,20))),"")))</f>
        <v/>
      </c>
      <c r="AI1191">
        <f>IF($AE1191="","",IF(OR($AF1191="",$AG1191="",$AH1191="",$AF1191&lt;1300,$AF1191&gt;1500,$AG1191&lt;1,$AG1191&gt;12,$AH1191&lt;1,$AH1191&gt;31),"نامعتبر",RIGHT("0000"&amp;$AF1191,4)&amp;"/"&amp;RIGHT("00"&amp;$AG1191,2)&amp;"/"&amp;RIGHT("00"&amp;$AH1191,2)))</f>
        <v/>
      </c>
      <c r="AJ1191">
        <f>IF($AE1191="","",IF(Sync!$Q1191="","0000",IF(AND(ISNUMBER(Sync!$Q1191),Sync!$Q1191&gt;=0,Sync!$Q1191&lt;1),RIGHT("00"&amp;HOUR(Sync!$Q1191),2)&amp;RIGHT("00"&amp;MINUTE(Sync!$Q1191),2),IFERROR(RIGHT("00"&amp;VALUE(LEFT(Sync!$Q1191,FIND(":",Sync!$Q1191)-1)),2)&amp;RIGHT("00"&amp;VALUE(MID(Sync!$Q1191,FIND(":",Sync!$Q1191)+1,2)),2),"0000"))))</f>
        <v/>
      </c>
      <c r="AK1191">
        <f>IF(OR($AE1191="",$AI1191="",$AI1191="نامعتبر"),"",LEFT($AI1191,4)&amp;MID($AI1191,6,2)&amp;RIGHT($AI1191,2)&amp;$AJ1191&amp;"|"&amp;"3"&amp;RIGHT("00000"&amp;1186,5))</f>
        <v/>
      </c>
      <c r="AL1191">
        <f>IF($AK1191="","",COUNTIFS(LdAParty,$AE1191,LdAType,1,LdAKey,"&lt;"&amp;$AK1191)+COUNTIFS(LdBMember,$AE1191,LdBKey,"&lt;"&amp;$AK1191)+COUNTIFS(LdCParty,$AE1191,LdCKey,"&lt;"&amp;$AK1191)+1)</f>
        <v/>
      </c>
      <c r="AM1191">
        <f>IF($AL1191="","",$AE1191&amp;"|"&amp;RIGHT("000000"&amp;$AL1191,6))</f>
        <v/>
      </c>
      <c r="AN1191">
        <f>IF($AE1191="","",IF(Sync!$W1191="",0,Sync!$W1191))</f>
        <v/>
      </c>
      <c r="AO1191">
        <f>IF($AE1191="","",IF(Sync!$X1191="",0,Sync!$X1191))</f>
        <v/>
      </c>
      <c r="AP1191">
        <f>IF($AE1191="","",Sync!$R1191)</f>
        <v/>
      </c>
      <c r="AQ1191">
        <f>IF($AE1191="","",Sync!$Y1191)</f>
        <v/>
      </c>
    </row>
    <row r="1192">
      <c r="A1192">
        <f>IF(OR(Wages!$B1195="",Wages!$E1195=""),"",Wages!$E1195)</f>
        <v/>
      </c>
      <c r="B1192">
        <f>IF($A1192="","",IF(Wages!$C1195="دستمزد گروهی",2,1))</f>
        <v/>
      </c>
      <c r="C1192">
        <f>IF($A1192="","",IF(ISNUMBER(Wages!$B1195),IF(AND(Wages!$B1195&gt;=10000101,Wages!$B1195&lt;=99991231),INT(Wages!$B1195/10000),""),IFERROR(VALUE(TRIM(LEFT(Wages!$B1195,FIND("/",Wages!$B1195)-1))),"")))</f>
        <v/>
      </c>
      <c r="D1192">
        <f>IF(OR($A1192="",$C1192=""),"",IF(ISNUMBER(Wages!$B1195),INT(MOD(Wages!$B1195,10000)/100),IFERROR(VALUE(TRIM(LEFT(MID(Wages!$B1195,FIND("/",Wages!$B1195)+1,20),FIND("/",MID(Wages!$B1195,FIND("/",Wages!$B1195)+1,20))-1))),"")))</f>
        <v/>
      </c>
      <c r="E1192">
        <f>IF(OR($A1192="",$C1192=""),"",IF(ISNUMBER(Wages!$B1195),MOD(Wages!$B1195,100),IFERROR(VALUE(TRIM(MID(MID(Wages!$B1195,FIND("/",Wages!$B1195)+1,20),FIND("/",MID(Wages!$B1195,FIND("/",Wages!$B1195)+1,20))+1,20))),"")))</f>
        <v/>
      </c>
      <c r="F1192">
        <f>IF($A1192="","",IF(OR($C1192="",$D1192="",$E1192="",$C1192&lt;1300,$C1192&gt;1500,$D1192&lt;1,$D1192&gt;12,$E1192&lt;1,$E1192&gt;31),"نامعتبر",RIGHT("0000"&amp;$C1192,4)&amp;"/"&amp;RIGHT("00"&amp;$D1192,2)&amp;"/"&amp;RIGHT("00"&amp;$E1192,2)))</f>
        <v/>
      </c>
      <c r="G1192">
        <f>IF(OR($A1192="",$F1192="",$F1192="نامعتبر"),"",LEFT($F1192,4)&amp;MID($F1192,6,2)&amp;RIGHT($F1192,2)&amp;"0000"&amp;"|"&amp;"1"&amp;RIGHT("00000"&amp;1187,5))</f>
        <v/>
      </c>
      <c r="H1192">
        <f>IF(OR($B1192&lt;&gt;1,$G1192=""),"",COUNTIFS(LdAParty,$A1192,LdAType,1,LdAKey,"&lt;"&amp;$G1192)+COUNTIFS(LdBMember,$A1192,LdBKey,"&lt;"&amp;$G1192)+COUNTIFS(LdCParty,$A1192,LdCKey,"&lt;"&amp;$G1192)+1)</f>
        <v/>
      </c>
      <c r="I1192">
        <f>IF($H1192="","",$A1192&amp;"|"&amp;RIGHT("000000"&amp;$H1192,6))</f>
        <v/>
      </c>
      <c r="J1192">
        <f>IF(OR($B1192&lt;&gt;2,$G1192=""),"",COUNTIFS(LdAParty,$A1192,LdAType,2,LdAKey,"&lt;"&amp;$G1192)+1)</f>
        <v/>
      </c>
      <c r="K1192">
        <f>IF($J1192="","",$A1192&amp;"|"&amp;RIGHT("000000"&amp;$J1192,6))</f>
        <v/>
      </c>
      <c r="L1192">
        <f>IF($A1192="","",IF(Wages!$G1195="",0,Wages!$G1195))</f>
        <v/>
      </c>
      <c r="M1192">
        <f>IF($A1192="","",Wages!$J1195)</f>
        <v/>
      </c>
      <c r="N1192">
        <f>IF($A1192="","",Wages!$D1195)</f>
        <v/>
      </c>
      <c r="P1192">
        <f>IF(OR(Shares!$B1195="",Shares!$C1195=""),"",Shares!$C1195)</f>
        <v/>
      </c>
      <c r="Q1192">
        <f>IF($P1192="","",Shares!$B1195)</f>
        <v/>
      </c>
      <c r="R1192">
        <f>IF($P1192="","",IFERROR(INDEX(WageParty,MATCH($Q1192,WageIds,0)),""))</f>
        <v/>
      </c>
      <c r="S1192">
        <f>IF($P1192="","",IFERROR(INDEX($F$6:$F$2005,MATCH($Q1192,WageIds,0)),""))</f>
        <v/>
      </c>
      <c r="T1192">
        <f>IF(OR($P1192="",$S1192="",$S1192="نامعتبر"),"",LEFT($S1192,4)&amp;MID($S1192,6,2)&amp;RIGHT($S1192,2)&amp;"0000"&amp;"|"&amp;"2"&amp;RIGHT("00000"&amp;1187,5))</f>
        <v/>
      </c>
      <c r="U1192">
        <f>IF($T1192="","",COUNTIFS(LdAParty,$P1192,LdAType,1,LdAKey,"&lt;"&amp;$T1192)+COUNTIFS(LdBMember,$P1192,LdBKey,"&lt;"&amp;$T1192)+COUNTIFS(LdCParty,$P1192,LdCKey,"&lt;"&amp;$T1192)+1)</f>
        <v/>
      </c>
      <c r="V1192">
        <f>IF($U1192="","",$P1192&amp;"|"&amp;RIGHT("000000"&amp;$U1192,6))</f>
        <v/>
      </c>
      <c r="W1192">
        <f>IF($T1192="","",COUNTIFS(LdBGroup,$R1192,LdBKey,"&lt;"&amp;$T1192)+1)</f>
        <v/>
      </c>
      <c r="X1192">
        <f>IF($W1192="","",$R1192&amp;"|"&amp;RIGHT("000000"&amp;$W1192,6))</f>
        <v/>
      </c>
      <c r="Y1192">
        <f>IF($P1192="","",IF(Shares!$E1195="",0,Shares!$E1195))</f>
        <v/>
      </c>
      <c r="Z1192">
        <f>IF($P1192="","",Shares!$H1195)</f>
        <v/>
      </c>
      <c r="AE1192">
        <f>IF(OR(Sync!$S1192="",Sync!$P1192=""),"",Sync!$S1192)</f>
        <v/>
      </c>
      <c r="AF1192">
        <f>IF($AE1192="","",IF(ISNUMBER(Sync!$P1192),IF(AND(Sync!$P1192&gt;=10000101,Sync!$P1192&lt;=99991231),INT(Sync!$P1192/10000),""),IFERROR(VALUE(TRIM(LEFT(Sync!$P1192,FIND("/",Sync!$P1192)-1))),"")))</f>
        <v/>
      </c>
      <c r="AG1192">
        <f>IF(OR($AE1192="",$AF1192=""),"",IF(ISNUMBER(Sync!$P1192),INT(MOD(Sync!$P1192,10000)/100),IFERROR(VALUE(TRIM(LEFT(MID(Sync!$P1192,FIND("/",Sync!$P1192)+1,20),FIND("/",MID(Sync!$P1192,FIND("/",Sync!$P1192)+1,20))-1))),"")))</f>
        <v/>
      </c>
      <c r="AH1192">
        <f>IF(OR($AE1192="",$AF1192=""),"",IF(ISNUMBER(Sync!$P1192),MOD(Sync!$P1192,100),IFERROR(VALUE(TRIM(MID(MID(Sync!$P1192,FIND("/",Sync!$P1192)+1,20),FIND("/",MID(Sync!$P1192,FIND("/",Sync!$P1192)+1,20))+1,20))),"")))</f>
        <v/>
      </c>
      <c r="AI1192">
        <f>IF($AE1192="","",IF(OR($AF1192="",$AG1192="",$AH1192="",$AF1192&lt;1300,$AF1192&gt;1500,$AG1192&lt;1,$AG1192&gt;12,$AH1192&lt;1,$AH1192&gt;31),"نامعتبر",RIGHT("0000"&amp;$AF1192,4)&amp;"/"&amp;RIGHT("00"&amp;$AG1192,2)&amp;"/"&amp;RIGHT("00"&amp;$AH1192,2)))</f>
        <v/>
      </c>
      <c r="AJ1192">
        <f>IF($AE1192="","",IF(Sync!$Q1192="","0000",IF(AND(ISNUMBER(Sync!$Q1192),Sync!$Q1192&gt;=0,Sync!$Q1192&lt;1),RIGHT("00"&amp;HOUR(Sync!$Q1192),2)&amp;RIGHT("00"&amp;MINUTE(Sync!$Q1192),2),IFERROR(RIGHT("00"&amp;VALUE(LEFT(Sync!$Q1192,FIND(":",Sync!$Q1192)-1)),2)&amp;RIGHT("00"&amp;VALUE(MID(Sync!$Q1192,FIND(":",Sync!$Q1192)+1,2)),2),"0000"))))</f>
        <v/>
      </c>
      <c r="AK1192">
        <f>IF(OR($AE1192="",$AI1192="",$AI1192="نامعتبر"),"",LEFT($AI1192,4)&amp;MID($AI1192,6,2)&amp;RIGHT($AI1192,2)&amp;$AJ1192&amp;"|"&amp;"3"&amp;RIGHT("00000"&amp;1187,5))</f>
        <v/>
      </c>
      <c r="AL1192">
        <f>IF($AK1192="","",COUNTIFS(LdAParty,$AE1192,LdAType,1,LdAKey,"&lt;"&amp;$AK1192)+COUNTIFS(LdBMember,$AE1192,LdBKey,"&lt;"&amp;$AK1192)+COUNTIFS(LdCParty,$AE1192,LdCKey,"&lt;"&amp;$AK1192)+1)</f>
        <v/>
      </c>
      <c r="AM1192">
        <f>IF($AL1192="","",$AE1192&amp;"|"&amp;RIGHT("000000"&amp;$AL1192,6))</f>
        <v/>
      </c>
      <c r="AN1192">
        <f>IF($AE1192="","",IF(Sync!$W1192="",0,Sync!$W1192))</f>
        <v/>
      </c>
      <c r="AO1192">
        <f>IF($AE1192="","",IF(Sync!$X1192="",0,Sync!$X1192))</f>
        <v/>
      </c>
      <c r="AP1192">
        <f>IF($AE1192="","",Sync!$R1192)</f>
        <v/>
      </c>
      <c r="AQ1192">
        <f>IF($AE1192="","",Sync!$Y1192)</f>
        <v/>
      </c>
    </row>
    <row r="1193">
      <c r="A1193">
        <f>IF(OR(Wages!$B1196="",Wages!$E1196=""),"",Wages!$E1196)</f>
        <v/>
      </c>
      <c r="B1193">
        <f>IF($A1193="","",IF(Wages!$C1196="دستمزد گروهی",2,1))</f>
        <v/>
      </c>
      <c r="C1193">
        <f>IF($A1193="","",IF(ISNUMBER(Wages!$B1196),IF(AND(Wages!$B1196&gt;=10000101,Wages!$B1196&lt;=99991231),INT(Wages!$B1196/10000),""),IFERROR(VALUE(TRIM(LEFT(Wages!$B1196,FIND("/",Wages!$B1196)-1))),"")))</f>
        <v/>
      </c>
      <c r="D1193">
        <f>IF(OR($A1193="",$C1193=""),"",IF(ISNUMBER(Wages!$B1196),INT(MOD(Wages!$B1196,10000)/100),IFERROR(VALUE(TRIM(LEFT(MID(Wages!$B1196,FIND("/",Wages!$B1196)+1,20),FIND("/",MID(Wages!$B1196,FIND("/",Wages!$B1196)+1,20))-1))),"")))</f>
        <v/>
      </c>
      <c r="E1193">
        <f>IF(OR($A1193="",$C1193=""),"",IF(ISNUMBER(Wages!$B1196),MOD(Wages!$B1196,100),IFERROR(VALUE(TRIM(MID(MID(Wages!$B1196,FIND("/",Wages!$B1196)+1,20),FIND("/",MID(Wages!$B1196,FIND("/",Wages!$B1196)+1,20))+1,20))),"")))</f>
        <v/>
      </c>
      <c r="F1193">
        <f>IF($A1193="","",IF(OR($C1193="",$D1193="",$E1193="",$C1193&lt;1300,$C1193&gt;1500,$D1193&lt;1,$D1193&gt;12,$E1193&lt;1,$E1193&gt;31),"نامعتبر",RIGHT("0000"&amp;$C1193,4)&amp;"/"&amp;RIGHT("00"&amp;$D1193,2)&amp;"/"&amp;RIGHT("00"&amp;$E1193,2)))</f>
        <v/>
      </c>
      <c r="G1193">
        <f>IF(OR($A1193="",$F1193="",$F1193="نامعتبر"),"",LEFT($F1193,4)&amp;MID($F1193,6,2)&amp;RIGHT($F1193,2)&amp;"0000"&amp;"|"&amp;"1"&amp;RIGHT("00000"&amp;1188,5))</f>
        <v/>
      </c>
      <c r="H1193">
        <f>IF(OR($B1193&lt;&gt;1,$G1193=""),"",COUNTIFS(LdAParty,$A1193,LdAType,1,LdAKey,"&lt;"&amp;$G1193)+COUNTIFS(LdBMember,$A1193,LdBKey,"&lt;"&amp;$G1193)+COUNTIFS(LdCParty,$A1193,LdCKey,"&lt;"&amp;$G1193)+1)</f>
        <v/>
      </c>
      <c r="I1193">
        <f>IF($H1193="","",$A1193&amp;"|"&amp;RIGHT("000000"&amp;$H1193,6))</f>
        <v/>
      </c>
      <c r="J1193">
        <f>IF(OR($B1193&lt;&gt;2,$G1193=""),"",COUNTIFS(LdAParty,$A1193,LdAType,2,LdAKey,"&lt;"&amp;$G1193)+1)</f>
        <v/>
      </c>
      <c r="K1193">
        <f>IF($J1193="","",$A1193&amp;"|"&amp;RIGHT("000000"&amp;$J1193,6))</f>
        <v/>
      </c>
      <c r="L1193">
        <f>IF($A1193="","",IF(Wages!$G1196="",0,Wages!$G1196))</f>
        <v/>
      </c>
      <c r="M1193">
        <f>IF($A1193="","",Wages!$J1196)</f>
        <v/>
      </c>
      <c r="N1193">
        <f>IF($A1193="","",Wages!$D1196)</f>
        <v/>
      </c>
      <c r="P1193">
        <f>IF(OR(Shares!$B1196="",Shares!$C1196=""),"",Shares!$C1196)</f>
        <v/>
      </c>
      <c r="Q1193">
        <f>IF($P1193="","",Shares!$B1196)</f>
        <v/>
      </c>
      <c r="R1193">
        <f>IF($P1193="","",IFERROR(INDEX(WageParty,MATCH($Q1193,WageIds,0)),""))</f>
        <v/>
      </c>
      <c r="S1193">
        <f>IF($P1193="","",IFERROR(INDEX($F$6:$F$2005,MATCH($Q1193,WageIds,0)),""))</f>
        <v/>
      </c>
      <c r="T1193">
        <f>IF(OR($P1193="",$S1193="",$S1193="نامعتبر"),"",LEFT($S1193,4)&amp;MID($S1193,6,2)&amp;RIGHT($S1193,2)&amp;"0000"&amp;"|"&amp;"2"&amp;RIGHT("00000"&amp;1188,5))</f>
        <v/>
      </c>
      <c r="U1193">
        <f>IF($T1193="","",COUNTIFS(LdAParty,$P1193,LdAType,1,LdAKey,"&lt;"&amp;$T1193)+COUNTIFS(LdBMember,$P1193,LdBKey,"&lt;"&amp;$T1193)+COUNTIFS(LdCParty,$P1193,LdCKey,"&lt;"&amp;$T1193)+1)</f>
        <v/>
      </c>
      <c r="V1193">
        <f>IF($U1193="","",$P1193&amp;"|"&amp;RIGHT("000000"&amp;$U1193,6))</f>
        <v/>
      </c>
      <c r="W1193">
        <f>IF($T1193="","",COUNTIFS(LdBGroup,$R1193,LdBKey,"&lt;"&amp;$T1193)+1)</f>
        <v/>
      </c>
      <c r="X1193">
        <f>IF($W1193="","",$R1193&amp;"|"&amp;RIGHT("000000"&amp;$W1193,6))</f>
        <v/>
      </c>
      <c r="Y1193">
        <f>IF($P1193="","",IF(Shares!$E1196="",0,Shares!$E1196))</f>
        <v/>
      </c>
      <c r="Z1193">
        <f>IF($P1193="","",Shares!$H1196)</f>
        <v/>
      </c>
      <c r="AE1193">
        <f>IF(OR(Sync!$S1193="",Sync!$P1193=""),"",Sync!$S1193)</f>
        <v/>
      </c>
      <c r="AF1193">
        <f>IF($AE1193="","",IF(ISNUMBER(Sync!$P1193),IF(AND(Sync!$P1193&gt;=10000101,Sync!$P1193&lt;=99991231),INT(Sync!$P1193/10000),""),IFERROR(VALUE(TRIM(LEFT(Sync!$P1193,FIND("/",Sync!$P1193)-1))),"")))</f>
        <v/>
      </c>
      <c r="AG1193">
        <f>IF(OR($AE1193="",$AF1193=""),"",IF(ISNUMBER(Sync!$P1193),INT(MOD(Sync!$P1193,10000)/100),IFERROR(VALUE(TRIM(LEFT(MID(Sync!$P1193,FIND("/",Sync!$P1193)+1,20),FIND("/",MID(Sync!$P1193,FIND("/",Sync!$P1193)+1,20))-1))),"")))</f>
        <v/>
      </c>
      <c r="AH1193">
        <f>IF(OR($AE1193="",$AF1193=""),"",IF(ISNUMBER(Sync!$P1193),MOD(Sync!$P1193,100),IFERROR(VALUE(TRIM(MID(MID(Sync!$P1193,FIND("/",Sync!$P1193)+1,20),FIND("/",MID(Sync!$P1193,FIND("/",Sync!$P1193)+1,20))+1,20))),"")))</f>
        <v/>
      </c>
      <c r="AI1193">
        <f>IF($AE1193="","",IF(OR($AF1193="",$AG1193="",$AH1193="",$AF1193&lt;1300,$AF1193&gt;1500,$AG1193&lt;1,$AG1193&gt;12,$AH1193&lt;1,$AH1193&gt;31),"نامعتبر",RIGHT("0000"&amp;$AF1193,4)&amp;"/"&amp;RIGHT("00"&amp;$AG1193,2)&amp;"/"&amp;RIGHT("00"&amp;$AH1193,2)))</f>
        <v/>
      </c>
      <c r="AJ1193">
        <f>IF($AE1193="","",IF(Sync!$Q1193="","0000",IF(AND(ISNUMBER(Sync!$Q1193),Sync!$Q1193&gt;=0,Sync!$Q1193&lt;1),RIGHT("00"&amp;HOUR(Sync!$Q1193),2)&amp;RIGHT("00"&amp;MINUTE(Sync!$Q1193),2),IFERROR(RIGHT("00"&amp;VALUE(LEFT(Sync!$Q1193,FIND(":",Sync!$Q1193)-1)),2)&amp;RIGHT("00"&amp;VALUE(MID(Sync!$Q1193,FIND(":",Sync!$Q1193)+1,2)),2),"0000"))))</f>
        <v/>
      </c>
      <c r="AK1193">
        <f>IF(OR($AE1193="",$AI1193="",$AI1193="نامعتبر"),"",LEFT($AI1193,4)&amp;MID($AI1193,6,2)&amp;RIGHT($AI1193,2)&amp;$AJ1193&amp;"|"&amp;"3"&amp;RIGHT("00000"&amp;1188,5))</f>
        <v/>
      </c>
      <c r="AL1193">
        <f>IF($AK1193="","",COUNTIFS(LdAParty,$AE1193,LdAType,1,LdAKey,"&lt;"&amp;$AK1193)+COUNTIFS(LdBMember,$AE1193,LdBKey,"&lt;"&amp;$AK1193)+COUNTIFS(LdCParty,$AE1193,LdCKey,"&lt;"&amp;$AK1193)+1)</f>
        <v/>
      </c>
      <c r="AM1193">
        <f>IF($AL1193="","",$AE1193&amp;"|"&amp;RIGHT("000000"&amp;$AL1193,6))</f>
        <v/>
      </c>
      <c r="AN1193">
        <f>IF($AE1193="","",IF(Sync!$W1193="",0,Sync!$W1193))</f>
        <v/>
      </c>
      <c r="AO1193">
        <f>IF($AE1193="","",IF(Sync!$X1193="",0,Sync!$X1193))</f>
        <v/>
      </c>
      <c r="AP1193">
        <f>IF($AE1193="","",Sync!$R1193)</f>
        <v/>
      </c>
      <c r="AQ1193">
        <f>IF($AE1193="","",Sync!$Y1193)</f>
        <v/>
      </c>
    </row>
    <row r="1194">
      <c r="A1194">
        <f>IF(OR(Wages!$B1197="",Wages!$E1197=""),"",Wages!$E1197)</f>
        <v/>
      </c>
      <c r="B1194">
        <f>IF($A1194="","",IF(Wages!$C1197="دستمزد گروهی",2,1))</f>
        <v/>
      </c>
      <c r="C1194">
        <f>IF($A1194="","",IF(ISNUMBER(Wages!$B1197),IF(AND(Wages!$B1197&gt;=10000101,Wages!$B1197&lt;=99991231),INT(Wages!$B1197/10000),""),IFERROR(VALUE(TRIM(LEFT(Wages!$B1197,FIND("/",Wages!$B1197)-1))),"")))</f>
        <v/>
      </c>
      <c r="D1194">
        <f>IF(OR($A1194="",$C1194=""),"",IF(ISNUMBER(Wages!$B1197),INT(MOD(Wages!$B1197,10000)/100),IFERROR(VALUE(TRIM(LEFT(MID(Wages!$B1197,FIND("/",Wages!$B1197)+1,20),FIND("/",MID(Wages!$B1197,FIND("/",Wages!$B1197)+1,20))-1))),"")))</f>
        <v/>
      </c>
      <c r="E1194">
        <f>IF(OR($A1194="",$C1194=""),"",IF(ISNUMBER(Wages!$B1197),MOD(Wages!$B1197,100),IFERROR(VALUE(TRIM(MID(MID(Wages!$B1197,FIND("/",Wages!$B1197)+1,20),FIND("/",MID(Wages!$B1197,FIND("/",Wages!$B1197)+1,20))+1,20))),"")))</f>
        <v/>
      </c>
      <c r="F1194">
        <f>IF($A1194="","",IF(OR($C1194="",$D1194="",$E1194="",$C1194&lt;1300,$C1194&gt;1500,$D1194&lt;1,$D1194&gt;12,$E1194&lt;1,$E1194&gt;31),"نامعتبر",RIGHT("0000"&amp;$C1194,4)&amp;"/"&amp;RIGHT("00"&amp;$D1194,2)&amp;"/"&amp;RIGHT("00"&amp;$E1194,2)))</f>
        <v/>
      </c>
      <c r="G1194">
        <f>IF(OR($A1194="",$F1194="",$F1194="نامعتبر"),"",LEFT($F1194,4)&amp;MID($F1194,6,2)&amp;RIGHT($F1194,2)&amp;"0000"&amp;"|"&amp;"1"&amp;RIGHT("00000"&amp;1189,5))</f>
        <v/>
      </c>
      <c r="H1194">
        <f>IF(OR($B1194&lt;&gt;1,$G1194=""),"",COUNTIFS(LdAParty,$A1194,LdAType,1,LdAKey,"&lt;"&amp;$G1194)+COUNTIFS(LdBMember,$A1194,LdBKey,"&lt;"&amp;$G1194)+COUNTIFS(LdCParty,$A1194,LdCKey,"&lt;"&amp;$G1194)+1)</f>
        <v/>
      </c>
      <c r="I1194">
        <f>IF($H1194="","",$A1194&amp;"|"&amp;RIGHT("000000"&amp;$H1194,6))</f>
        <v/>
      </c>
      <c r="J1194">
        <f>IF(OR($B1194&lt;&gt;2,$G1194=""),"",COUNTIFS(LdAParty,$A1194,LdAType,2,LdAKey,"&lt;"&amp;$G1194)+1)</f>
        <v/>
      </c>
      <c r="K1194">
        <f>IF($J1194="","",$A1194&amp;"|"&amp;RIGHT("000000"&amp;$J1194,6))</f>
        <v/>
      </c>
      <c r="L1194">
        <f>IF($A1194="","",IF(Wages!$G1197="",0,Wages!$G1197))</f>
        <v/>
      </c>
      <c r="M1194">
        <f>IF($A1194="","",Wages!$J1197)</f>
        <v/>
      </c>
      <c r="N1194">
        <f>IF($A1194="","",Wages!$D1197)</f>
        <v/>
      </c>
      <c r="P1194">
        <f>IF(OR(Shares!$B1197="",Shares!$C1197=""),"",Shares!$C1197)</f>
        <v/>
      </c>
      <c r="Q1194">
        <f>IF($P1194="","",Shares!$B1197)</f>
        <v/>
      </c>
      <c r="R1194">
        <f>IF($P1194="","",IFERROR(INDEX(WageParty,MATCH($Q1194,WageIds,0)),""))</f>
        <v/>
      </c>
      <c r="S1194">
        <f>IF($P1194="","",IFERROR(INDEX($F$6:$F$2005,MATCH($Q1194,WageIds,0)),""))</f>
        <v/>
      </c>
      <c r="T1194">
        <f>IF(OR($P1194="",$S1194="",$S1194="نامعتبر"),"",LEFT($S1194,4)&amp;MID($S1194,6,2)&amp;RIGHT($S1194,2)&amp;"0000"&amp;"|"&amp;"2"&amp;RIGHT("00000"&amp;1189,5))</f>
        <v/>
      </c>
      <c r="U1194">
        <f>IF($T1194="","",COUNTIFS(LdAParty,$P1194,LdAType,1,LdAKey,"&lt;"&amp;$T1194)+COUNTIFS(LdBMember,$P1194,LdBKey,"&lt;"&amp;$T1194)+COUNTIFS(LdCParty,$P1194,LdCKey,"&lt;"&amp;$T1194)+1)</f>
        <v/>
      </c>
      <c r="V1194">
        <f>IF($U1194="","",$P1194&amp;"|"&amp;RIGHT("000000"&amp;$U1194,6))</f>
        <v/>
      </c>
      <c r="W1194">
        <f>IF($T1194="","",COUNTIFS(LdBGroup,$R1194,LdBKey,"&lt;"&amp;$T1194)+1)</f>
        <v/>
      </c>
      <c r="X1194">
        <f>IF($W1194="","",$R1194&amp;"|"&amp;RIGHT("000000"&amp;$W1194,6))</f>
        <v/>
      </c>
      <c r="Y1194">
        <f>IF($P1194="","",IF(Shares!$E1197="",0,Shares!$E1197))</f>
        <v/>
      </c>
      <c r="Z1194">
        <f>IF($P1194="","",Shares!$H1197)</f>
        <v/>
      </c>
      <c r="AE1194">
        <f>IF(OR(Sync!$S1194="",Sync!$P1194=""),"",Sync!$S1194)</f>
        <v/>
      </c>
      <c r="AF1194">
        <f>IF($AE1194="","",IF(ISNUMBER(Sync!$P1194),IF(AND(Sync!$P1194&gt;=10000101,Sync!$P1194&lt;=99991231),INT(Sync!$P1194/10000),""),IFERROR(VALUE(TRIM(LEFT(Sync!$P1194,FIND("/",Sync!$P1194)-1))),"")))</f>
        <v/>
      </c>
      <c r="AG1194">
        <f>IF(OR($AE1194="",$AF1194=""),"",IF(ISNUMBER(Sync!$P1194),INT(MOD(Sync!$P1194,10000)/100),IFERROR(VALUE(TRIM(LEFT(MID(Sync!$P1194,FIND("/",Sync!$P1194)+1,20),FIND("/",MID(Sync!$P1194,FIND("/",Sync!$P1194)+1,20))-1))),"")))</f>
        <v/>
      </c>
      <c r="AH1194">
        <f>IF(OR($AE1194="",$AF1194=""),"",IF(ISNUMBER(Sync!$P1194),MOD(Sync!$P1194,100),IFERROR(VALUE(TRIM(MID(MID(Sync!$P1194,FIND("/",Sync!$P1194)+1,20),FIND("/",MID(Sync!$P1194,FIND("/",Sync!$P1194)+1,20))+1,20))),"")))</f>
        <v/>
      </c>
      <c r="AI1194">
        <f>IF($AE1194="","",IF(OR($AF1194="",$AG1194="",$AH1194="",$AF1194&lt;1300,$AF1194&gt;1500,$AG1194&lt;1,$AG1194&gt;12,$AH1194&lt;1,$AH1194&gt;31),"نامعتبر",RIGHT("0000"&amp;$AF1194,4)&amp;"/"&amp;RIGHT("00"&amp;$AG1194,2)&amp;"/"&amp;RIGHT("00"&amp;$AH1194,2)))</f>
        <v/>
      </c>
      <c r="AJ1194">
        <f>IF($AE1194="","",IF(Sync!$Q1194="","0000",IF(AND(ISNUMBER(Sync!$Q1194),Sync!$Q1194&gt;=0,Sync!$Q1194&lt;1),RIGHT("00"&amp;HOUR(Sync!$Q1194),2)&amp;RIGHT("00"&amp;MINUTE(Sync!$Q1194),2),IFERROR(RIGHT("00"&amp;VALUE(LEFT(Sync!$Q1194,FIND(":",Sync!$Q1194)-1)),2)&amp;RIGHT("00"&amp;VALUE(MID(Sync!$Q1194,FIND(":",Sync!$Q1194)+1,2)),2),"0000"))))</f>
        <v/>
      </c>
      <c r="AK1194">
        <f>IF(OR($AE1194="",$AI1194="",$AI1194="نامعتبر"),"",LEFT($AI1194,4)&amp;MID($AI1194,6,2)&amp;RIGHT($AI1194,2)&amp;$AJ1194&amp;"|"&amp;"3"&amp;RIGHT("00000"&amp;1189,5))</f>
        <v/>
      </c>
      <c r="AL1194">
        <f>IF($AK1194="","",COUNTIFS(LdAParty,$AE1194,LdAType,1,LdAKey,"&lt;"&amp;$AK1194)+COUNTIFS(LdBMember,$AE1194,LdBKey,"&lt;"&amp;$AK1194)+COUNTIFS(LdCParty,$AE1194,LdCKey,"&lt;"&amp;$AK1194)+1)</f>
        <v/>
      </c>
      <c r="AM1194">
        <f>IF($AL1194="","",$AE1194&amp;"|"&amp;RIGHT("000000"&amp;$AL1194,6))</f>
        <v/>
      </c>
      <c r="AN1194">
        <f>IF($AE1194="","",IF(Sync!$W1194="",0,Sync!$W1194))</f>
        <v/>
      </c>
      <c r="AO1194">
        <f>IF($AE1194="","",IF(Sync!$X1194="",0,Sync!$X1194))</f>
        <v/>
      </c>
      <c r="AP1194">
        <f>IF($AE1194="","",Sync!$R1194)</f>
        <v/>
      </c>
      <c r="AQ1194">
        <f>IF($AE1194="","",Sync!$Y1194)</f>
        <v/>
      </c>
    </row>
    <row r="1195">
      <c r="A1195">
        <f>IF(OR(Wages!$B1198="",Wages!$E1198=""),"",Wages!$E1198)</f>
        <v/>
      </c>
      <c r="B1195">
        <f>IF($A1195="","",IF(Wages!$C1198="دستمزد گروهی",2,1))</f>
        <v/>
      </c>
      <c r="C1195">
        <f>IF($A1195="","",IF(ISNUMBER(Wages!$B1198),IF(AND(Wages!$B1198&gt;=10000101,Wages!$B1198&lt;=99991231),INT(Wages!$B1198/10000),""),IFERROR(VALUE(TRIM(LEFT(Wages!$B1198,FIND("/",Wages!$B1198)-1))),"")))</f>
        <v/>
      </c>
      <c r="D1195">
        <f>IF(OR($A1195="",$C1195=""),"",IF(ISNUMBER(Wages!$B1198),INT(MOD(Wages!$B1198,10000)/100),IFERROR(VALUE(TRIM(LEFT(MID(Wages!$B1198,FIND("/",Wages!$B1198)+1,20),FIND("/",MID(Wages!$B1198,FIND("/",Wages!$B1198)+1,20))-1))),"")))</f>
        <v/>
      </c>
      <c r="E1195">
        <f>IF(OR($A1195="",$C1195=""),"",IF(ISNUMBER(Wages!$B1198),MOD(Wages!$B1198,100),IFERROR(VALUE(TRIM(MID(MID(Wages!$B1198,FIND("/",Wages!$B1198)+1,20),FIND("/",MID(Wages!$B1198,FIND("/",Wages!$B1198)+1,20))+1,20))),"")))</f>
        <v/>
      </c>
      <c r="F1195">
        <f>IF($A1195="","",IF(OR($C1195="",$D1195="",$E1195="",$C1195&lt;1300,$C1195&gt;1500,$D1195&lt;1,$D1195&gt;12,$E1195&lt;1,$E1195&gt;31),"نامعتبر",RIGHT("0000"&amp;$C1195,4)&amp;"/"&amp;RIGHT("00"&amp;$D1195,2)&amp;"/"&amp;RIGHT("00"&amp;$E1195,2)))</f>
        <v/>
      </c>
      <c r="G1195">
        <f>IF(OR($A1195="",$F1195="",$F1195="نامعتبر"),"",LEFT($F1195,4)&amp;MID($F1195,6,2)&amp;RIGHT($F1195,2)&amp;"0000"&amp;"|"&amp;"1"&amp;RIGHT("00000"&amp;1190,5))</f>
        <v/>
      </c>
      <c r="H1195">
        <f>IF(OR($B1195&lt;&gt;1,$G1195=""),"",COUNTIFS(LdAParty,$A1195,LdAType,1,LdAKey,"&lt;"&amp;$G1195)+COUNTIFS(LdBMember,$A1195,LdBKey,"&lt;"&amp;$G1195)+COUNTIFS(LdCParty,$A1195,LdCKey,"&lt;"&amp;$G1195)+1)</f>
        <v/>
      </c>
      <c r="I1195">
        <f>IF($H1195="","",$A1195&amp;"|"&amp;RIGHT("000000"&amp;$H1195,6))</f>
        <v/>
      </c>
      <c r="J1195">
        <f>IF(OR($B1195&lt;&gt;2,$G1195=""),"",COUNTIFS(LdAParty,$A1195,LdAType,2,LdAKey,"&lt;"&amp;$G1195)+1)</f>
        <v/>
      </c>
      <c r="K1195">
        <f>IF($J1195="","",$A1195&amp;"|"&amp;RIGHT("000000"&amp;$J1195,6))</f>
        <v/>
      </c>
      <c r="L1195">
        <f>IF($A1195="","",IF(Wages!$G1198="",0,Wages!$G1198))</f>
        <v/>
      </c>
      <c r="M1195">
        <f>IF($A1195="","",Wages!$J1198)</f>
        <v/>
      </c>
      <c r="N1195">
        <f>IF($A1195="","",Wages!$D1198)</f>
        <v/>
      </c>
      <c r="P1195">
        <f>IF(OR(Shares!$B1198="",Shares!$C1198=""),"",Shares!$C1198)</f>
        <v/>
      </c>
      <c r="Q1195">
        <f>IF($P1195="","",Shares!$B1198)</f>
        <v/>
      </c>
      <c r="R1195">
        <f>IF($P1195="","",IFERROR(INDEX(WageParty,MATCH($Q1195,WageIds,0)),""))</f>
        <v/>
      </c>
      <c r="S1195">
        <f>IF($P1195="","",IFERROR(INDEX($F$6:$F$2005,MATCH($Q1195,WageIds,0)),""))</f>
        <v/>
      </c>
      <c r="T1195">
        <f>IF(OR($P1195="",$S1195="",$S1195="نامعتبر"),"",LEFT($S1195,4)&amp;MID($S1195,6,2)&amp;RIGHT($S1195,2)&amp;"0000"&amp;"|"&amp;"2"&amp;RIGHT("00000"&amp;1190,5))</f>
        <v/>
      </c>
      <c r="U1195">
        <f>IF($T1195="","",COUNTIFS(LdAParty,$P1195,LdAType,1,LdAKey,"&lt;"&amp;$T1195)+COUNTIFS(LdBMember,$P1195,LdBKey,"&lt;"&amp;$T1195)+COUNTIFS(LdCParty,$P1195,LdCKey,"&lt;"&amp;$T1195)+1)</f>
        <v/>
      </c>
      <c r="V1195">
        <f>IF($U1195="","",$P1195&amp;"|"&amp;RIGHT("000000"&amp;$U1195,6))</f>
        <v/>
      </c>
      <c r="W1195">
        <f>IF($T1195="","",COUNTIFS(LdBGroup,$R1195,LdBKey,"&lt;"&amp;$T1195)+1)</f>
        <v/>
      </c>
      <c r="X1195">
        <f>IF($W1195="","",$R1195&amp;"|"&amp;RIGHT("000000"&amp;$W1195,6))</f>
        <v/>
      </c>
      <c r="Y1195">
        <f>IF($P1195="","",IF(Shares!$E1198="",0,Shares!$E1198))</f>
        <v/>
      </c>
      <c r="Z1195">
        <f>IF($P1195="","",Shares!$H1198)</f>
        <v/>
      </c>
      <c r="AE1195">
        <f>IF(OR(Sync!$S1195="",Sync!$P1195=""),"",Sync!$S1195)</f>
        <v/>
      </c>
      <c r="AF1195">
        <f>IF($AE1195="","",IF(ISNUMBER(Sync!$P1195),IF(AND(Sync!$P1195&gt;=10000101,Sync!$P1195&lt;=99991231),INT(Sync!$P1195/10000),""),IFERROR(VALUE(TRIM(LEFT(Sync!$P1195,FIND("/",Sync!$P1195)-1))),"")))</f>
        <v/>
      </c>
      <c r="AG1195">
        <f>IF(OR($AE1195="",$AF1195=""),"",IF(ISNUMBER(Sync!$P1195),INT(MOD(Sync!$P1195,10000)/100),IFERROR(VALUE(TRIM(LEFT(MID(Sync!$P1195,FIND("/",Sync!$P1195)+1,20),FIND("/",MID(Sync!$P1195,FIND("/",Sync!$P1195)+1,20))-1))),"")))</f>
        <v/>
      </c>
      <c r="AH1195">
        <f>IF(OR($AE1195="",$AF1195=""),"",IF(ISNUMBER(Sync!$P1195),MOD(Sync!$P1195,100),IFERROR(VALUE(TRIM(MID(MID(Sync!$P1195,FIND("/",Sync!$P1195)+1,20),FIND("/",MID(Sync!$P1195,FIND("/",Sync!$P1195)+1,20))+1,20))),"")))</f>
        <v/>
      </c>
      <c r="AI1195">
        <f>IF($AE1195="","",IF(OR($AF1195="",$AG1195="",$AH1195="",$AF1195&lt;1300,$AF1195&gt;1500,$AG1195&lt;1,$AG1195&gt;12,$AH1195&lt;1,$AH1195&gt;31),"نامعتبر",RIGHT("0000"&amp;$AF1195,4)&amp;"/"&amp;RIGHT("00"&amp;$AG1195,2)&amp;"/"&amp;RIGHT("00"&amp;$AH1195,2)))</f>
        <v/>
      </c>
      <c r="AJ1195">
        <f>IF($AE1195="","",IF(Sync!$Q1195="","0000",IF(AND(ISNUMBER(Sync!$Q1195),Sync!$Q1195&gt;=0,Sync!$Q1195&lt;1),RIGHT("00"&amp;HOUR(Sync!$Q1195),2)&amp;RIGHT("00"&amp;MINUTE(Sync!$Q1195),2),IFERROR(RIGHT("00"&amp;VALUE(LEFT(Sync!$Q1195,FIND(":",Sync!$Q1195)-1)),2)&amp;RIGHT("00"&amp;VALUE(MID(Sync!$Q1195,FIND(":",Sync!$Q1195)+1,2)),2),"0000"))))</f>
        <v/>
      </c>
      <c r="AK1195">
        <f>IF(OR($AE1195="",$AI1195="",$AI1195="نامعتبر"),"",LEFT($AI1195,4)&amp;MID($AI1195,6,2)&amp;RIGHT($AI1195,2)&amp;$AJ1195&amp;"|"&amp;"3"&amp;RIGHT("00000"&amp;1190,5))</f>
        <v/>
      </c>
      <c r="AL1195">
        <f>IF($AK1195="","",COUNTIFS(LdAParty,$AE1195,LdAType,1,LdAKey,"&lt;"&amp;$AK1195)+COUNTIFS(LdBMember,$AE1195,LdBKey,"&lt;"&amp;$AK1195)+COUNTIFS(LdCParty,$AE1195,LdCKey,"&lt;"&amp;$AK1195)+1)</f>
        <v/>
      </c>
      <c r="AM1195">
        <f>IF($AL1195="","",$AE1195&amp;"|"&amp;RIGHT("000000"&amp;$AL1195,6))</f>
        <v/>
      </c>
      <c r="AN1195">
        <f>IF($AE1195="","",IF(Sync!$W1195="",0,Sync!$W1195))</f>
        <v/>
      </c>
      <c r="AO1195">
        <f>IF($AE1195="","",IF(Sync!$X1195="",0,Sync!$X1195))</f>
        <v/>
      </c>
      <c r="AP1195">
        <f>IF($AE1195="","",Sync!$R1195)</f>
        <v/>
      </c>
      <c r="AQ1195">
        <f>IF($AE1195="","",Sync!$Y1195)</f>
        <v/>
      </c>
    </row>
    <row r="1196">
      <c r="A1196">
        <f>IF(OR(Wages!$B1199="",Wages!$E1199=""),"",Wages!$E1199)</f>
        <v/>
      </c>
      <c r="B1196">
        <f>IF($A1196="","",IF(Wages!$C1199="دستمزد گروهی",2,1))</f>
        <v/>
      </c>
      <c r="C1196">
        <f>IF($A1196="","",IF(ISNUMBER(Wages!$B1199),IF(AND(Wages!$B1199&gt;=10000101,Wages!$B1199&lt;=99991231),INT(Wages!$B1199/10000),""),IFERROR(VALUE(TRIM(LEFT(Wages!$B1199,FIND("/",Wages!$B1199)-1))),"")))</f>
        <v/>
      </c>
      <c r="D1196">
        <f>IF(OR($A1196="",$C1196=""),"",IF(ISNUMBER(Wages!$B1199),INT(MOD(Wages!$B1199,10000)/100),IFERROR(VALUE(TRIM(LEFT(MID(Wages!$B1199,FIND("/",Wages!$B1199)+1,20),FIND("/",MID(Wages!$B1199,FIND("/",Wages!$B1199)+1,20))-1))),"")))</f>
        <v/>
      </c>
      <c r="E1196">
        <f>IF(OR($A1196="",$C1196=""),"",IF(ISNUMBER(Wages!$B1199),MOD(Wages!$B1199,100),IFERROR(VALUE(TRIM(MID(MID(Wages!$B1199,FIND("/",Wages!$B1199)+1,20),FIND("/",MID(Wages!$B1199,FIND("/",Wages!$B1199)+1,20))+1,20))),"")))</f>
        <v/>
      </c>
      <c r="F1196">
        <f>IF($A1196="","",IF(OR($C1196="",$D1196="",$E1196="",$C1196&lt;1300,$C1196&gt;1500,$D1196&lt;1,$D1196&gt;12,$E1196&lt;1,$E1196&gt;31),"نامعتبر",RIGHT("0000"&amp;$C1196,4)&amp;"/"&amp;RIGHT("00"&amp;$D1196,2)&amp;"/"&amp;RIGHT("00"&amp;$E1196,2)))</f>
        <v/>
      </c>
      <c r="G1196">
        <f>IF(OR($A1196="",$F1196="",$F1196="نامعتبر"),"",LEFT($F1196,4)&amp;MID($F1196,6,2)&amp;RIGHT($F1196,2)&amp;"0000"&amp;"|"&amp;"1"&amp;RIGHT("00000"&amp;1191,5))</f>
        <v/>
      </c>
      <c r="H1196">
        <f>IF(OR($B1196&lt;&gt;1,$G1196=""),"",COUNTIFS(LdAParty,$A1196,LdAType,1,LdAKey,"&lt;"&amp;$G1196)+COUNTIFS(LdBMember,$A1196,LdBKey,"&lt;"&amp;$G1196)+COUNTIFS(LdCParty,$A1196,LdCKey,"&lt;"&amp;$G1196)+1)</f>
        <v/>
      </c>
      <c r="I1196">
        <f>IF($H1196="","",$A1196&amp;"|"&amp;RIGHT("000000"&amp;$H1196,6))</f>
        <v/>
      </c>
      <c r="J1196">
        <f>IF(OR($B1196&lt;&gt;2,$G1196=""),"",COUNTIFS(LdAParty,$A1196,LdAType,2,LdAKey,"&lt;"&amp;$G1196)+1)</f>
        <v/>
      </c>
      <c r="K1196">
        <f>IF($J1196="","",$A1196&amp;"|"&amp;RIGHT("000000"&amp;$J1196,6))</f>
        <v/>
      </c>
      <c r="L1196">
        <f>IF($A1196="","",IF(Wages!$G1199="",0,Wages!$G1199))</f>
        <v/>
      </c>
      <c r="M1196">
        <f>IF($A1196="","",Wages!$J1199)</f>
        <v/>
      </c>
      <c r="N1196">
        <f>IF($A1196="","",Wages!$D1199)</f>
        <v/>
      </c>
      <c r="P1196">
        <f>IF(OR(Shares!$B1199="",Shares!$C1199=""),"",Shares!$C1199)</f>
        <v/>
      </c>
      <c r="Q1196">
        <f>IF($P1196="","",Shares!$B1199)</f>
        <v/>
      </c>
      <c r="R1196">
        <f>IF($P1196="","",IFERROR(INDEX(WageParty,MATCH($Q1196,WageIds,0)),""))</f>
        <v/>
      </c>
      <c r="S1196">
        <f>IF($P1196="","",IFERROR(INDEX($F$6:$F$2005,MATCH($Q1196,WageIds,0)),""))</f>
        <v/>
      </c>
      <c r="T1196">
        <f>IF(OR($P1196="",$S1196="",$S1196="نامعتبر"),"",LEFT($S1196,4)&amp;MID($S1196,6,2)&amp;RIGHT($S1196,2)&amp;"0000"&amp;"|"&amp;"2"&amp;RIGHT("00000"&amp;1191,5))</f>
        <v/>
      </c>
      <c r="U1196">
        <f>IF($T1196="","",COUNTIFS(LdAParty,$P1196,LdAType,1,LdAKey,"&lt;"&amp;$T1196)+COUNTIFS(LdBMember,$P1196,LdBKey,"&lt;"&amp;$T1196)+COUNTIFS(LdCParty,$P1196,LdCKey,"&lt;"&amp;$T1196)+1)</f>
        <v/>
      </c>
      <c r="V1196">
        <f>IF($U1196="","",$P1196&amp;"|"&amp;RIGHT("000000"&amp;$U1196,6))</f>
        <v/>
      </c>
      <c r="W1196">
        <f>IF($T1196="","",COUNTIFS(LdBGroup,$R1196,LdBKey,"&lt;"&amp;$T1196)+1)</f>
        <v/>
      </c>
      <c r="X1196">
        <f>IF($W1196="","",$R1196&amp;"|"&amp;RIGHT("000000"&amp;$W1196,6))</f>
        <v/>
      </c>
      <c r="Y1196">
        <f>IF($P1196="","",IF(Shares!$E1199="",0,Shares!$E1199))</f>
        <v/>
      </c>
      <c r="Z1196">
        <f>IF($P1196="","",Shares!$H1199)</f>
        <v/>
      </c>
      <c r="AE1196">
        <f>IF(OR(Sync!$S1196="",Sync!$P1196=""),"",Sync!$S1196)</f>
        <v/>
      </c>
      <c r="AF1196">
        <f>IF($AE1196="","",IF(ISNUMBER(Sync!$P1196),IF(AND(Sync!$P1196&gt;=10000101,Sync!$P1196&lt;=99991231),INT(Sync!$P1196/10000),""),IFERROR(VALUE(TRIM(LEFT(Sync!$P1196,FIND("/",Sync!$P1196)-1))),"")))</f>
        <v/>
      </c>
      <c r="AG1196">
        <f>IF(OR($AE1196="",$AF1196=""),"",IF(ISNUMBER(Sync!$P1196),INT(MOD(Sync!$P1196,10000)/100),IFERROR(VALUE(TRIM(LEFT(MID(Sync!$P1196,FIND("/",Sync!$P1196)+1,20),FIND("/",MID(Sync!$P1196,FIND("/",Sync!$P1196)+1,20))-1))),"")))</f>
        <v/>
      </c>
      <c r="AH1196">
        <f>IF(OR($AE1196="",$AF1196=""),"",IF(ISNUMBER(Sync!$P1196),MOD(Sync!$P1196,100),IFERROR(VALUE(TRIM(MID(MID(Sync!$P1196,FIND("/",Sync!$P1196)+1,20),FIND("/",MID(Sync!$P1196,FIND("/",Sync!$P1196)+1,20))+1,20))),"")))</f>
        <v/>
      </c>
      <c r="AI1196">
        <f>IF($AE1196="","",IF(OR($AF1196="",$AG1196="",$AH1196="",$AF1196&lt;1300,$AF1196&gt;1500,$AG1196&lt;1,$AG1196&gt;12,$AH1196&lt;1,$AH1196&gt;31),"نامعتبر",RIGHT("0000"&amp;$AF1196,4)&amp;"/"&amp;RIGHT("00"&amp;$AG1196,2)&amp;"/"&amp;RIGHT("00"&amp;$AH1196,2)))</f>
        <v/>
      </c>
      <c r="AJ1196">
        <f>IF($AE1196="","",IF(Sync!$Q1196="","0000",IF(AND(ISNUMBER(Sync!$Q1196),Sync!$Q1196&gt;=0,Sync!$Q1196&lt;1),RIGHT("00"&amp;HOUR(Sync!$Q1196),2)&amp;RIGHT("00"&amp;MINUTE(Sync!$Q1196),2),IFERROR(RIGHT("00"&amp;VALUE(LEFT(Sync!$Q1196,FIND(":",Sync!$Q1196)-1)),2)&amp;RIGHT("00"&amp;VALUE(MID(Sync!$Q1196,FIND(":",Sync!$Q1196)+1,2)),2),"0000"))))</f>
        <v/>
      </c>
      <c r="AK1196">
        <f>IF(OR($AE1196="",$AI1196="",$AI1196="نامعتبر"),"",LEFT($AI1196,4)&amp;MID($AI1196,6,2)&amp;RIGHT($AI1196,2)&amp;$AJ1196&amp;"|"&amp;"3"&amp;RIGHT("00000"&amp;1191,5))</f>
        <v/>
      </c>
      <c r="AL1196">
        <f>IF($AK1196="","",COUNTIFS(LdAParty,$AE1196,LdAType,1,LdAKey,"&lt;"&amp;$AK1196)+COUNTIFS(LdBMember,$AE1196,LdBKey,"&lt;"&amp;$AK1196)+COUNTIFS(LdCParty,$AE1196,LdCKey,"&lt;"&amp;$AK1196)+1)</f>
        <v/>
      </c>
      <c r="AM1196">
        <f>IF($AL1196="","",$AE1196&amp;"|"&amp;RIGHT("000000"&amp;$AL1196,6))</f>
        <v/>
      </c>
      <c r="AN1196">
        <f>IF($AE1196="","",IF(Sync!$W1196="",0,Sync!$W1196))</f>
        <v/>
      </c>
      <c r="AO1196">
        <f>IF($AE1196="","",IF(Sync!$X1196="",0,Sync!$X1196))</f>
        <v/>
      </c>
      <c r="AP1196">
        <f>IF($AE1196="","",Sync!$R1196)</f>
        <v/>
      </c>
      <c r="AQ1196">
        <f>IF($AE1196="","",Sync!$Y1196)</f>
        <v/>
      </c>
    </row>
    <row r="1197">
      <c r="A1197">
        <f>IF(OR(Wages!$B1200="",Wages!$E1200=""),"",Wages!$E1200)</f>
        <v/>
      </c>
      <c r="B1197">
        <f>IF($A1197="","",IF(Wages!$C1200="دستمزد گروهی",2,1))</f>
        <v/>
      </c>
      <c r="C1197">
        <f>IF($A1197="","",IF(ISNUMBER(Wages!$B1200),IF(AND(Wages!$B1200&gt;=10000101,Wages!$B1200&lt;=99991231),INT(Wages!$B1200/10000),""),IFERROR(VALUE(TRIM(LEFT(Wages!$B1200,FIND("/",Wages!$B1200)-1))),"")))</f>
        <v/>
      </c>
      <c r="D1197">
        <f>IF(OR($A1197="",$C1197=""),"",IF(ISNUMBER(Wages!$B1200),INT(MOD(Wages!$B1200,10000)/100),IFERROR(VALUE(TRIM(LEFT(MID(Wages!$B1200,FIND("/",Wages!$B1200)+1,20),FIND("/",MID(Wages!$B1200,FIND("/",Wages!$B1200)+1,20))-1))),"")))</f>
        <v/>
      </c>
      <c r="E1197">
        <f>IF(OR($A1197="",$C1197=""),"",IF(ISNUMBER(Wages!$B1200),MOD(Wages!$B1200,100),IFERROR(VALUE(TRIM(MID(MID(Wages!$B1200,FIND("/",Wages!$B1200)+1,20),FIND("/",MID(Wages!$B1200,FIND("/",Wages!$B1200)+1,20))+1,20))),"")))</f>
        <v/>
      </c>
      <c r="F1197">
        <f>IF($A1197="","",IF(OR($C1197="",$D1197="",$E1197="",$C1197&lt;1300,$C1197&gt;1500,$D1197&lt;1,$D1197&gt;12,$E1197&lt;1,$E1197&gt;31),"نامعتبر",RIGHT("0000"&amp;$C1197,4)&amp;"/"&amp;RIGHT("00"&amp;$D1197,2)&amp;"/"&amp;RIGHT("00"&amp;$E1197,2)))</f>
        <v/>
      </c>
      <c r="G1197">
        <f>IF(OR($A1197="",$F1197="",$F1197="نامعتبر"),"",LEFT($F1197,4)&amp;MID($F1197,6,2)&amp;RIGHT($F1197,2)&amp;"0000"&amp;"|"&amp;"1"&amp;RIGHT("00000"&amp;1192,5))</f>
        <v/>
      </c>
      <c r="H1197">
        <f>IF(OR($B1197&lt;&gt;1,$G1197=""),"",COUNTIFS(LdAParty,$A1197,LdAType,1,LdAKey,"&lt;"&amp;$G1197)+COUNTIFS(LdBMember,$A1197,LdBKey,"&lt;"&amp;$G1197)+COUNTIFS(LdCParty,$A1197,LdCKey,"&lt;"&amp;$G1197)+1)</f>
        <v/>
      </c>
      <c r="I1197">
        <f>IF($H1197="","",$A1197&amp;"|"&amp;RIGHT("000000"&amp;$H1197,6))</f>
        <v/>
      </c>
      <c r="J1197">
        <f>IF(OR($B1197&lt;&gt;2,$G1197=""),"",COUNTIFS(LdAParty,$A1197,LdAType,2,LdAKey,"&lt;"&amp;$G1197)+1)</f>
        <v/>
      </c>
      <c r="K1197">
        <f>IF($J1197="","",$A1197&amp;"|"&amp;RIGHT("000000"&amp;$J1197,6))</f>
        <v/>
      </c>
      <c r="L1197">
        <f>IF($A1197="","",IF(Wages!$G1200="",0,Wages!$G1200))</f>
        <v/>
      </c>
      <c r="M1197">
        <f>IF($A1197="","",Wages!$J1200)</f>
        <v/>
      </c>
      <c r="N1197">
        <f>IF($A1197="","",Wages!$D1200)</f>
        <v/>
      </c>
      <c r="P1197">
        <f>IF(OR(Shares!$B1200="",Shares!$C1200=""),"",Shares!$C1200)</f>
        <v/>
      </c>
      <c r="Q1197">
        <f>IF($P1197="","",Shares!$B1200)</f>
        <v/>
      </c>
      <c r="R1197">
        <f>IF($P1197="","",IFERROR(INDEX(WageParty,MATCH($Q1197,WageIds,0)),""))</f>
        <v/>
      </c>
      <c r="S1197">
        <f>IF($P1197="","",IFERROR(INDEX($F$6:$F$2005,MATCH($Q1197,WageIds,0)),""))</f>
        <v/>
      </c>
      <c r="T1197">
        <f>IF(OR($P1197="",$S1197="",$S1197="نامعتبر"),"",LEFT($S1197,4)&amp;MID($S1197,6,2)&amp;RIGHT($S1197,2)&amp;"0000"&amp;"|"&amp;"2"&amp;RIGHT("00000"&amp;1192,5))</f>
        <v/>
      </c>
      <c r="U1197">
        <f>IF($T1197="","",COUNTIFS(LdAParty,$P1197,LdAType,1,LdAKey,"&lt;"&amp;$T1197)+COUNTIFS(LdBMember,$P1197,LdBKey,"&lt;"&amp;$T1197)+COUNTIFS(LdCParty,$P1197,LdCKey,"&lt;"&amp;$T1197)+1)</f>
        <v/>
      </c>
      <c r="V1197">
        <f>IF($U1197="","",$P1197&amp;"|"&amp;RIGHT("000000"&amp;$U1197,6))</f>
        <v/>
      </c>
      <c r="W1197">
        <f>IF($T1197="","",COUNTIFS(LdBGroup,$R1197,LdBKey,"&lt;"&amp;$T1197)+1)</f>
        <v/>
      </c>
      <c r="X1197">
        <f>IF($W1197="","",$R1197&amp;"|"&amp;RIGHT("000000"&amp;$W1197,6))</f>
        <v/>
      </c>
      <c r="Y1197">
        <f>IF($P1197="","",IF(Shares!$E1200="",0,Shares!$E1200))</f>
        <v/>
      </c>
      <c r="Z1197">
        <f>IF($P1197="","",Shares!$H1200)</f>
        <v/>
      </c>
      <c r="AE1197">
        <f>IF(OR(Sync!$S1197="",Sync!$P1197=""),"",Sync!$S1197)</f>
        <v/>
      </c>
      <c r="AF1197">
        <f>IF($AE1197="","",IF(ISNUMBER(Sync!$P1197),IF(AND(Sync!$P1197&gt;=10000101,Sync!$P1197&lt;=99991231),INT(Sync!$P1197/10000),""),IFERROR(VALUE(TRIM(LEFT(Sync!$P1197,FIND("/",Sync!$P1197)-1))),"")))</f>
        <v/>
      </c>
      <c r="AG1197">
        <f>IF(OR($AE1197="",$AF1197=""),"",IF(ISNUMBER(Sync!$P1197),INT(MOD(Sync!$P1197,10000)/100),IFERROR(VALUE(TRIM(LEFT(MID(Sync!$P1197,FIND("/",Sync!$P1197)+1,20),FIND("/",MID(Sync!$P1197,FIND("/",Sync!$P1197)+1,20))-1))),"")))</f>
        <v/>
      </c>
      <c r="AH1197">
        <f>IF(OR($AE1197="",$AF1197=""),"",IF(ISNUMBER(Sync!$P1197),MOD(Sync!$P1197,100),IFERROR(VALUE(TRIM(MID(MID(Sync!$P1197,FIND("/",Sync!$P1197)+1,20),FIND("/",MID(Sync!$P1197,FIND("/",Sync!$P1197)+1,20))+1,20))),"")))</f>
        <v/>
      </c>
      <c r="AI1197">
        <f>IF($AE1197="","",IF(OR($AF1197="",$AG1197="",$AH1197="",$AF1197&lt;1300,$AF1197&gt;1500,$AG1197&lt;1,$AG1197&gt;12,$AH1197&lt;1,$AH1197&gt;31),"نامعتبر",RIGHT("0000"&amp;$AF1197,4)&amp;"/"&amp;RIGHT("00"&amp;$AG1197,2)&amp;"/"&amp;RIGHT("00"&amp;$AH1197,2)))</f>
        <v/>
      </c>
      <c r="AJ1197">
        <f>IF($AE1197="","",IF(Sync!$Q1197="","0000",IF(AND(ISNUMBER(Sync!$Q1197),Sync!$Q1197&gt;=0,Sync!$Q1197&lt;1),RIGHT("00"&amp;HOUR(Sync!$Q1197),2)&amp;RIGHT("00"&amp;MINUTE(Sync!$Q1197),2),IFERROR(RIGHT("00"&amp;VALUE(LEFT(Sync!$Q1197,FIND(":",Sync!$Q1197)-1)),2)&amp;RIGHT("00"&amp;VALUE(MID(Sync!$Q1197,FIND(":",Sync!$Q1197)+1,2)),2),"0000"))))</f>
        <v/>
      </c>
      <c r="AK1197">
        <f>IF(OR($AE1197="",$AI1197="",$AI1197="نامعتبر"),"",LEFT($AI1197,4)&amp;MID($AI1197,6,2)&amp;RIGHT($AI1197,2)&amp;$AJ1197&amp;"|"&amp;"3"&amp;RIGHT("00000"&amp;1192,5))</f>
        <v/>
      </c>
      <c r="AL1197">
        <f>IF($AK1197="","",COUNTIFS(LdAParty,$AE1197,LdAType,1,LdAKey,"&lt;"&amp;$AK1197)+COUNTIFS(LdBMember,$AE1197,LdBKey,"&lt;"&amp;$AK1197)+COUNTIFS(LdCParty,$AE1197,LdCKey,"&lt;"&amp;$AK1197)+1)</f>
        <v/>
      </c>
      <c r="AM1197">
        <f>IF($AL1197="","",$AE1197&amp;"|"&amp;RIGHT("000000"&amp;$AL1197,6))</f>
        <v/>
      </c>
      <c r="AN1197">
        <f>IF($AE1197="","",IF(Sync!$W1197="",0,Sync!$W1197))</f>
        <v/>
      </c>
      <c r="AO1197">
        <f>IF($AE1197="","",IF(Sync!$X1197="",0,Sync!$X1197))</f>
        <v/>
      </c>
      <c r="AP1197">
        <f>IF($AE1197="","",Sync!$R1197)</f>
        <v/>
      </c>
      <c r="AQ1197">
        <f>IF($AE1197="","",Sync!$Y1197)</f>
        <v/>
      </c>
    </row>
    <row r="1198">
      <c r="A1198">
        <f>IF(OR(Wages!$B1201="",Wages!$E1201=""),"",Wages!$E1201)</f>
        <v/>
      </c>
      <c r="B1198">
        <f>IF($A1198="","",IF(Wages!$C1201="دستمزد گروهی",2,1))</f>
        <v/>
      </c>
      <c r="C1198">
        <f>IF($A1198="","",IF(ISNUMBER(Wages!$B1201),IF(AND(Wages!$B1201&gt;=10000101,Wages!$B1201&lt;=99991231),INT(Wages!$B1201/10000),""),IFERROR(VALUE(TRIM(LEFT(Wages!$B1201,FIND("/",Wages!$B1201)-1))),"")))</f>
        <v/>
      </c>
      <c r="D1198">
        <f>IF(OR($A1198="",$C1198=""),"",IF(ISNUMBER(Wages!$B1201),INT(MOD(Wages!$B1201,10000)/100),IFERROR(VALUE(TRIM(LEFT(MID(Wages!$B1201,FIND("/",Wages!$B1201)+1,20),FIND("/",MID(Wages!$B1201,FIND("/",Wages!$B1201)+1,20))-1))),"")))</f>
        <v/>
      </c>
      <c r="E1198">
        <f>IF(OR($A1198="",$C1198=""),"",IF(ISNUMBER(Wages!$B1201),MOD(Wages!$B1201,100),IFERROR(VALUE(TRIM(MID(MID(Wages!$B1201,FIND("/",Wages!$B1201)+1,20),FIND("/",MID(Wages!$B1201,FIND("/",Wages!$B1201)+1,20))+1,20))),"")))</f>
        <v/>
      </c>
      <c r="F1198">
        <f>IF($A1198="","",IF(OR($C1198="",$D1198="",$E1198="",$C1198&lt;1300,$C1198&gt;1500,$D1198&lt;1,$D1198&gt;12,$E1198&lt;1,$E1198&gt;31),"نامعتبر",RIGHT("0000"&amp;$C1198,4)&amp;"/"&amp;RIGHT("00"&amp;$D1198,2)&amp;"/"&amp;RIGHT("00"&amp;$E1198,2)))</f>
        <v/>
      </c>
      <c r="G1198">
        <f>IF(OR($A1198="",$F1198="",$F1198="نامعتبر"),"",LEFT($F1198,4)&amp;MID($F1198,6,2)&amp;RIGHT($F1198,2)&amp;"0000"&amp;"|"&amp;"1"&amp;RIGHT("00000"&amp;1193,5))</f>
        <v/>
      </c>
      <c r="H1198">
        <f>IF(OR($B1198&lt;&gt;1,$G1198=""),"",COUNTIFS(LdAParty,$A1198,LdAType,1,LdAKey,"&lt;"&amp;$G1198)+COUNTIFS(LdBMember,$A1198,LdBKey,"&lt;"&amp;$G1198)+COUNTIFS(LdCParty,$A1198,LdCKey,"&lt;"&amp;$G1198)+1)</f>
        <v/>
      </c>
      <c r="I1198">
        <f>IF($H1198="","",$A1198&amp;"|"&amp;RIGHT("000000"&amp;$H1198,6))</f>
        <v/>
      </c>
      <c r="J1198">
        <f>IF(OR($B1198&lt;&gt;2,$G1198=""),"",COUNTIFS(LdAParty,$A1198,LdAType,2,LdAKey,"&lt;"&amp;$G1198)+1)</f>
        <v/>
      </c>
      <c r="K1198">
        <f>IF($J1198="","",$A1198&amp;"|"&amp;RIGHT("000000"&amp;$J1198,6))</f>
        <v/>
      </c>
      <c r="L1198">
        <f>IF($A1198="","",IF(Wages!$G1201="",0,Wages!$G1201))</f>
        <v/>
      </c>
      <c r="M1198">
        <f>IF($A1198="","",Wages!$J1201)</f>
        <v/>
      </c>
      <c r="N1198">
        <f>IF($A1198="","",Wages!$D1201)</f>
        <v/>
      </c>
      <c r="P1198">
        <f>IF(OR(Shares!$B1201="",Shares!$C1201=""),"",Shares!$C1201)</f>
        <v/>
      </c>
      <c r="Q1198">
        <f>IF($P1198="","",Shares!$B1201)</f>
        <v/>
      </c>
      <c r="R1198">
        <f>IF($P1198="","",IFERROR(INDEX(WageParty,MATCH($Q1198,WageIds,0)),""))</f>
        <v/>
      </c>
      <c r="S1198">
        <f>IF($P1198="","",IFERROR(INDEX($F$6:$F$2005,MATCH($Q1198,WageIds,0)),""))</f>
        <v/>
      </c>
      <c r="T1198">
        <f>IF(OR($P1198="",$S1198="",$S1198="نامعتبر"),"",LEFT($S1198,4)&amp;MID($S1198,6,2)&amp;RIGHT($S1198,2)&amp;"0000"&amp;"|"&amp;"2"&amp;RIGHT("00000"&amp;1193,5))</f>
        <v/>
      </c>
      <c r="U1198">
        <f>IF($T1198="","",COUNTIFS(LdAParty,$P1198,LdAType,1,LdAKey,"&lt;"&amp;$T1198)+COUNTIFS(LdBMember,$P1198,LdBKey,"&lt;"&amp;$T1198)+COUNTIFS(LdCParty,$P1198,LdCKey,"&lt;"&amp;$T1198)+1)</f>
        <v/>
      </c>
      <c r="V1198">
        <f>IF($U1198="","",$P1198&amp;"|"&amp;RIGHT("000000"&amp;$U1198,6))</f>
        <v/>
      </c>
      <c r="W1198">
        <f>IF($T1198="","",COUNTIFS(LdBGroup,$R1198,LdBKey,"&lt;"&amp;$T1198)+1)</f>
        <v/>
      </c>
      <c r="X1198">
        <f>IF($W1198="","",$R1198&amp;"|"&amp;RIGHT("000000"&amp;$W1198,6))</f>
        <v/>
      </c>
      <c r="Y1198">
        <f>IF($P1198="","",IF(Shares!$E1201="",0,Shares!$E1201))</f>
        <v/>
      </c>
      <c r="Z1198">
        <f>IF($P1198="","",Shares!$H1201)</f>
        <v/>
      </c>
      <c r="AE1198">
        <f>IF(OR(Sync!$S1198="",Sync!$P1198=""),"",Sync!$S1198)</f>
        <v/>
      </c>
      <c r="AF1198">
        <f>IF($AE1198="","",IF(ISNUMBER(Sync!$P1198),IF(AND(Sync!$P1198&gt;=10000101,Sync!$P1198&lt;=99991231),INT(Sync!$P1198/10000),""),IFERROR(VALUE(TRIM(LEFT(Sync!$P1198,FIND("/",Sync!$P1198)-1))),"")))</f>
        <v/>
      </c>
      <c r="AG1198">
        <f>IF(OR($AE1198="",$AF1198=""),"",IF(ISNUMBER(Sync!$P1198),INT(MOD(Sync!$P1198,10000)/100),IFERROR(VALUE(TRIM(LEFT(MID(Sync!$P1198,FIND("/",Sync!$P1198)+1,20),FIND("/",MID(Sync!$P1198,FIND("/",Sync!$P1198)+1,20))-1))),"")))</f>
        <v/>
      </c>
      <c r="AH1198">
        <f>IF(OR($AE1198="",$AF1198=""),"",IF(ISNUMBER(Sync!$P1198),MOD(Sync!$P1198,100),IFERROR(VALUE(TRIM(MID(MID(Sync!$P1198,FIND("/",Sync!$P1198)+1,20),FIND("/",MID(Sync!$P1198,FIND("/",Sync!$P1198)+1,20))+1,20))),"")))</f>
        <v/>
      </c>
      <c r="AI1198">
        <f>IF($AE1198="","",IF(OR($AF1198="",$AG1198="",$AH1198="",$AF1198&lt;1300,$AF1198&gt;1500,$AG1198&lt;1,$AG1198&gt;12,$AH1198&lt;1,$AH1198&gt;31),"نامعتبر",RIGHT("0000"&amp;$AF1198,4)&amp;"/"&amp;RIGHT("00"&amp;$AG1198,2)&amp;"/"&amp;RIGHT("00"&amp;$AH1198,2)))</f>
        <v/>
      </c>
      <c r="AJ1198">
        <f>IF($AE1198="","",IF(Sync!$Q1198="","0000",IF(AND(ISNUMBER(Sync!$Q1198),Sync!$Q1198&gt;=0,Sync!$Q1198&lt;1),RIGHT("00"&amp;HOUR(Sync!$Q1198),2)&amp;RIGHT("00"&amp;MINUTE(Sync!$Q1198),2),IFERROR(RIGHT("00"&amp;VALUE(LEFT(Sync!$Q1198,FIND(":",Sync!$Q1198)-1)),2)&amp;RIGHT("00"&amp;VALUE(MID(Sync!$Q1198,FIND(":",Sync!$Q1198)+1,2)),2),"0000"))))</f>
        <v/>
      </c>
      <c r="AK1198">
        <f>IF(OR($AE1198="",$AI1198="",$AI1198="نامعتبر"),"",LEFT($AI1198,4)&amp;MID($AI1198,6,2)&amp;RIGHT($AI1198,2)&amp;$AJ1198&amp;"|"&amp;"3"&amp;RIGHT("00000"&amp;1193,5))</f>
        <v/>
      </c>
      <c r="AL1198">
        <f>IF($AK1198="","",COUNTIFS(LdAParty,$AE1198,LdAType,1,LdAKey,"&lt;"&amp;$AK1198)+COUNTIFS(LdBMember,$AE1198,LdBKey,"&lt;"&amp;$AK1198)+COUNTIFS(LdCParty,$AE1198,LdCKey,"&lt;"&amp;$AK1198)+1)</f>
        <v/>
      </c>
      <c r="AM1198">
        <f>IF($AL1198="","",$AE1198&amp;"|"&amp;RIGHT("000000"&amp;$AL1198,6))</f>
        <v/>
      </c>
      <c r="AN1198">
        <f>IF($AE1198="","",IF(Sync!$W1198="",0,Sync!$W1198))</f>
        <v/>
      </c>
      <c r="AO1198">
        <f>IF($AE1198="","",IF(Sync!$X1198="",0,Sync!$X1198))</f>
        <v/>
      </c>
      <c r="AP1198">
        <f>IF($AE1198="","",Sync!$R1198)</f>
        <v/>
      </c>
      <c r="AQ1198">
        <f>IF($AE1198="","",Sync!$Y1198)</f>
        <v/>
      </c>
    </row>
    <row r="1199">
      <c r="A1199">
        <f>IF(OR(Wages!$B1202="",Wages!$E1202=""),"",Wages!$E1202)</f>
        <v/>
      </c>
      <c r="B1199">
        <f>IF($A1199="","",IF(Wages!$C1202="دستمزد گروهی",2,1))</f>
        <v/>
      </c>
      <c r="C1199">
        <f>IF($A1199="","",IF(ISNUMBER(Wages!$B1202),IF(AND(Wages!$B1202&gt;=10000101,Wages!$B1202&lt;=99991231),INT(Wages!$B1202/10000),""),IFERROR(VALUE(TRIM(LEFT(Wages!$B1202,FIND("/",Wages!$B1202)-1))),"")))</f>
        <v/>
      </c>
      <c r="D1199">
        <f>IF(OR($A1199="",$C1199=""),"",IF(ISNUMBER(Wages!$B1202),INT(MOD(Wages!$B1202,10000)/100),IFERROR(VALUE(TRIM(LEFT(MID(Wages!$B1202,FIND("/",Wages!$B1202)+1,20),FIND("/",MID(Wages!$B1202,FIND("/",Wages!$B1202)+1,20))-1))),"")))</f>
        <v/>
      </c>
      <c r="E1199">
        <f>IF(OR($A1199="",$C1199=""),"",IF(ISNUMBER(Wages!$B1202),MOD(Wages!$B1202,100),IFERROR(VALUE(TRIM(MID(MID(Wages!$B1202,FIND("/",Wages!$B1202)+1,20),FIND("/",MID(Wages!$B1202,FIND("/",Wages!$B1202)+1,20))+1,20))),"")))</f>
        <v/>
      </c>
      <c r="F1199">
        <f>IF($A1199="","",IF(OR($C1199="",$D1199="",$E1199="",$C1199&lt;1300,$C1199&gt;1500,$D1199&lt;1,$D1199&gt;12,$E1199&lt;1,$E1199&gt;31),"نامعتبر",RIGHT("0000"&amp;$C1199,4)&amp;"/"&amp;RIGHT("00"&amp;$D1199,2)&amp;"/"&amp;RIGHT("00"&amp;$E1199,2)))</f>
        <v/>
      </c>
      <c r="G1199">
        <f>IF(OR($A1199="",$F1199="",$F1199="نامعتبر"),"",LEFT($F1199,4)&amp;MID($F1199,6,2)&amp;RIGHT($F1199,2)&amp;"0000"&amp;"|"&amp;"1"&amp;RIGHT("00000"&amp;1194,5))</f>
        <v/>
      </c>
      <c r="H1199">
        <f>IF(OR($B1199&lt;&gt;1,$G1199=""),"",COUNTIFS(LdAParty,$A1199,LdAType,1,LdAKey,"&lt;"&amp;$G1199)+COUNTIFS(LdBMember,$A1199,LdBKey,"&lt;"&amp;$G1199)+COUNTIFS(LdCParty,$A1199,LdCKey,"&lt;"&amp;$G1199)+1)</f>
        <v/>
      </c>
      <c r="I1199">
        <f>IF($H1199="","",$A1199&amp;"|"&amp;RIGHT("000000"&amp;$H1199,6))</f>
        <v/>
      </c>
      <c r="J1199">
        <f>IF(OR($B1199&lt;&gt;2,$G1199=""),"",COUNTIFS(LdAParty,$A1199,LdAType,2,LdAKey,"&lt;"&amp;$G1199)+1)</f>
        <v/>
      </c>
      <c r="K1199">
        <f>IF($J1199="","",$A1199&amp;"|"&amp;RIGHT("000000"&amp;$J1199,6))</f>
        <v/>
      </c>
      <c r="L1199">
        <f>IF($A1199="","",IF(Wages!$G1202="",0,Wages!$G1202))</f>
        <v/>
      </c>
      <c r="M1199">
        <f>IF($A1199="","",Wages!$J1202)</f>
        <v/>
      </c>
      <c r="N1199">
        <f>IF($A1199="","",Wages!$D1202)</f>
        <v/>
      </c>
      <c r="P1199">
        <f>IF(OR(Shares!$B1202="",Shares!$C1202=""),"",Shares!$C1202)</f>
        <v/>
      </c>
      <c r="Q1199">
        <f>IF($P1199="","",Shares!$B1202)</f>
        <v/>
      </c>
      <c r="R1199">
        <f>IF($P1199="","",IFERROR(INDEX(WageParty,MATCH($Q1199,WageIds,0)),""))</f>
        <v/>
      </c>
      <c r="S1199">
        <f>IF($P1199="","",IFERROR(INDEX($F$6:$F$2005,MATCH($Q1199,WageIds,0)),""))</f>
        <v/>
      </c>
      <c r="T1199">
        <f>IF(OR($P1199="",$S1199="",$S1199="نامعتبر"),"",LEFT($S1199,4)&amp;MID($S1199,6,2)&amp;RIGHT($S1199,2)&amp;"0000"&amp;"|"&amp;"2"&amp;RIGHT("00000"&amp;1194,5))</f>
        <v/>
      </c>
      <c r="U1199">
        <f>IF($T1199="","",COUNTIFS(LdAParty,$P1199,LdAType,1,LdAKey,"&lt;"&amp;$T1199)+COUNTIFS(LdBMember,$P1199,LdBKey,"&lt;"&amp;$T1199)+COUNTIFS(LdCParty,$P1199,LdCKey,"&lt;"&amp;$T1199)+1)</f>
        <v/>
      </c>
      <c r="V1199">
        <f>IF($U1199="","",$P1199&amp;"|"&amp;RIGHT("000000"&amp;$U1199,6))</f>
        <v/>
      </c>
      <c r="W1199">
        <f>IF($T1199="","",COUNTIFS(LdBGroup,$R1199,LdBKey,"&lt;"&amp;$T1199)+1)</f>
        <v/>
      </c>
      <c r="X1199">
        <f>IF($W1199="","",$R1199&amp;"|"&amp;RIGHT("000000"&amp;$W1199,6))</f>
        <v/>
      </c>
      <c r="Y1199">
        <f>IF($P1199="","",IF(Shares!$E1202="",0,Shares!$E1202))</f>
        <v/>
      </c>
      <c r="Z1199">
        <f>IF($P1199="","",Shares!$H1202)</f>
        <v/>
      </c>
      <c r="AE1199">
        <f>IF(OR(Sync!$S1199="",Sync!$P1199=""),"",Sync!$S1199)</f>
        <v/>
      </c>
      <c r="AF1199">
        <f>IF($AE1199="","",IF(ISNUMBER(Sync!$P1199),IF(AND(Sync!$P1199&gt;=10000101,Sync!$P1199&lt;=99991231),INT(Sync!$P1199/10000),""),IFERROR(VALUE(TRIM(LEFT(Sync!$P1199,FIND("/",Sync!$P1199)-1))),"")))</f>
        <v/>
      </c>
      <c r="AG1199">
        <f>IF(OR($AE1199="",$AF1199=""),"",IF(ISNUMBER(Sync!$P1199),INT(MOD(Sync!$P1199,10000)/100),IFERROR(VALUE(TRIM(LEFT(MID(Sync!$P1199,FIND("/",Sync!$P1199)+1,20),FIND("/",MID(Sync!$P1199,FIND("/",Sync!$P1199)+1,20))-1))),"")))</f>
        <v/>
      </c>
      <c r="AH1199">
        <f>IF(OR($AE1199="",$AF1199=""),"",IF(ISNUMBER(Sync!$P1199),MOD(Sync!$P1199,100),IFERROR(VALUE(TRIM(MID(MID(Sync!$P1199,FIND("/",Sync!$P1199)+1,20),FIND("/",MID(Sync!$P1199,FIND("/",Sync!$P1199)+1,20))+1,20))),"")))</f>
        <v/>
      </c>
      <c r="AI1199">
        <f>IF($AE1199="","",IF(OR($AF1199="",$AG1199="",$AH1199="",$AF1199&lt;1300,$AF1199&gt;1500,$AG1199&lt;1,$AG1199&gt;12,$AH1199&lt;1,$AH1199&gt;31),"نامعتبر",RIGHT("0000"&amp;$AF1199,4)&amp;"/"&amp;RIGHT("00"&amp;$AG1199,2)&amp;"/"&amp;RIGHT("00"&amp;$AH1199,2)))</f>
        <v/>
      </c>
      <c r="AJ1199">
        <f>IF($AE1199="","",IF(Sync!$Q1199="","0000",IF(AND(ISNUMBER(Sync!$Q1199),Sync!$Q1199&gt;=0,Sync!$Q1199&lt;1),RIGHT("00"&amp;HOUR(Sync!$Q1199),2)&amp;RIGHT("00"&amp;MINUTE(Sync!$Q1199),2),IFERROR(RIGHT("00"&amp;VALUE(LEFT(Sync!$Q1199,FIND(":",Sync!$Q1199)-1)),2)&amp;RIGHT("00"&amp;VALUE(MID(Sync!$Q1199,FIND(":",Sync!$Q1199)+1,2)),2),"0000"))))</f>
        <v/>
      </c>
      <c r="AK1199">
        <f>IF(OR($AE1199="",$AI1199="",$AI1199="نامعتبر"),"",LEFT($AI1199,4)&amp;MID($AI1199,6,2)&amp;RIGHT($AI1199,2)&amp;$AJ1199&amp;"|"&amp;"3"&amp;RIGHT("00000"&amp;1194,5))</f>
        <v/>
      </c>
      <c r="AL1199">
        <f>IF($AK1199="","",COUNTIFS(LdAParty,$AE1199,LdAType,1,LdAKey,"&lt;"&amp;$AK1199)+COUNTIFS(LdBMember,$AE1199,LdBKey,"&lt;"&amp;$AK1199)+COUNTIFS(LdCParty,$AE1199,LdCKey,"&lt;"&amp;$AK1199)+1)</f>
        <v/>
      </c>
      <c r="AM1199">
        <f>IF($AL1199="","",$AE1199&amp;"|"&amp;RIGHT("000000"&amp;$AL1199,6))</f>
        <v/>
      </c>
      <c r="AN1199">
        <f>IF($AE1199="","",IF(Sync!$W1199="",0,Sync!$W1199))</f>
        <v/>
      </c>
      <c r="AO1199">
        <f>IF($AE1199="","",IF(Sync!$X1199="",0,Sync!$X1199))</f>
        <v/>
      </c>
      <c r="AP1199">
        <f>IF($AE1199="","",Sync!$R1199)</f>
        <v/>
      </c>
      <c r="AQ1199">
        <f>IF($AE1199="","",Sync!$Y1199)</f>
        <v/>
      </c>
    </row>
    <row r="1200">
      <c r="A1200">
        <f>IF(OR(Wages!$B1203="",Wages!$E1203=""),"",Wages!$E1203)</f>
        <v/>
      </c>
      <c r="B1200">
        <f>IF($A1200="","",IF(Wages!$C1203="دستمزد گروهی",2,1))</f>
        <v/>
      </c>
      <c r="C1200">
        <f>IF($A1200="","",IF(ISNUMBER(Wages!$B1203),IF(AND(Wages!$B1203&gt;=10000101,Wages!$B1203&lt;=99991231),INT(Wages!$B1203/10000),""),IFERROR(VALUE(TRIM(LEFT(Wages!$B1203,FIND("/",Wages!$B1203)-1))),"")))</f>
        <v/>
      </c>
      <c r="D1200">
        <f>IF(OR($A1200="",$C1200=""),"",IF(ISNUMBER(Wages!$B1203),INT(MOD(Wages!$B1203,10000)/100),IFERROR(VALUE(TRIM(LEFT(MID(Wages!$B1203,FIND("/",Wages!$B1203)+1,20),FIND("/",MID(Wages!$B1203,FIND("/",Wages!$B1203)+1,20))-1))),"")))</f>
        <v/>
      </c>
      <c r="E1200">
        <f>IF(OR($A1200="",$C1200=""),"",IF(ISNUMBER(Wages!$B1203),MOD(Wages!$B1203,100),IFERROR(VALUE(TRIM(MID(MID(Wages!$B1203,FIND("/",Wages!$B1203)+1,20),FIND("/",MID(Wages!$B1203,FIND("/",Wages!$B1203)+1,20))+1,20))),"")))</f>
        <v/>
      </c>
      <c r="F1200">
        <f>IF($A1200="","",IF(OR($C1200="",$D1200="",$E1200="",$C1200&lt;1300,$C1200&gt;1500,$D1200&lt;1,$D1200&gt;12,$E1200&lt;1,$E1200&gt;31),"نامعتبر",RIGHT("0000"&amp;$C1200,4)&amp;"/"&amp;RIGHT("00"&amp;$D1200,2)&amp;"/"&amp;RIGHT("00"&amp;$E1200,2)))</f>
        <v/>
      </c>
      <c r="G1200">
        <f>IF(OR($A1200="",$F1200="",$F1200="نامعتبر"),"",LEFT($F1200,4)&amp;MID($F1200,6,2)&amp;RIGHT($F1200,2)&amp;"0000"&amp;"|"&amp;"1"&amp;RIGHT("00000"&amp;1195,5))</f>
        <v/>
      </c>
      <c r="H1200">
        <f>IF(OR($B1200&lt;&gt;1,$G1200=""),"",COUNTIFS(LdAParty,$A1200,LdAType,1,LdAKey,"&lt;"&amp;$G1200)+COUNTIFS(LdBMember,$A1200,LdBKey,"&lt;"&amp;$G1200)+COUNTIFS(LdCParty,$A1200,LdCKey,"&lt;"&amp;$G1200)+1)</f>
        <v/>
      </c>
      <c r="I1200">
        <f>IF($H1200="","",$A1200&amp;"|"&amp;RIGHT("000000"&amp;$H1200,6))</f>
        <v/>
      </c>
      <c r="J1200">
        <f>IF(OR($B1200&lt;&gt;2,$G1200=""),"",COUNTIFS(LdAParty,$A1200,LdAType,2,LdAKey,"&lt;"&amp;$G1200)+1)</f>
        <v/>
      </c>
      <c r="K1200">
        <f>IF($J1200="","",$A1200&amp;"|"&amp;RIGHT("000000"&amp;$J1200,6))</f>
        <v/>
      </c>
      <c r="L1200">
        <f>IF($A1200="","",IF(Wages!$G1203="",0,Wages!$G1203))</f>
        <v/>
      </c>
      <c r="M1200">
        <f>IF($A1200="","",Wages!$J1203)</f>
        <v/>
      </c>
      <c r="N1200">
        <f>IF($A1200="","",Wages!$D1203)</f>
        <v/>
      </c>
      <c r="P1200">
        <f>IF(OR(Shares!$B1203="",Shares!$C1203=""),"",Shares!$C1203)</f>
        <v/>
      </c>
      <c r="Q1200">
        <f>IF($P1200="","",Shares!$B1203)</f>
        <v/>
      </c>
      <c r="R1200">
        <f>IF($P1200="","",IFERROR(INDEX(WageParty,MATCH($Q1200,WageIds,0)),""))</f>
        <v/>
      </c>
      <c r="S1200">
        <f>IF($P1200="","",IFERROR(INDEX($F$6:$F$2005,MATCH($Q1200,WageIds,0)),""))</f>
        <v/>
      </c>
      <c r="T1200">
        <f>IF(OR($P1200="",$S1200="",$S1200="نامعتبر"),"",LEFT($S1200,4)&amp;MID($S1200,6,2)&amp;RIGHT($S1200,2)&amp;"0000"&amp;"|"&amp;"2"&amp;RIGHT("00000"&amp;1195,5))</f>
        <v/>
      </c>
      <c r="U1200">
        <f>IF($T1200="","",COUNTIFS(LdAParty,$P1200,LdAType,1,LdAKey,"&lt;"&amp;$T1200)+COUNTIFS(LdBMember,$P1200,LdBKey,"&lt;"&amp;$T1200)+COUNTIFS(LdCParty,$P1200,LdCKey,"&lt;"&amp;$T1200)+1)</f>
        <v/>
      </c>
      <c r="V1200">
        <f>IF($U1200="","",$P1200&amp;"|"&amp;RIGHT("000000"&amp;$U1200,6))</f>
        <v/>
      </c>
      <c r="W1200">
        <f>IF($T1200="","",COUNTIFS(LdBGroup,$R1200,LdBKey,"&lt;"&amp;$T1200)+1)</f>
        <v/>
      </c>
      <c r="X1200">
        <f>IF($W1200="","",$R1200&amp;"|"&amp;RIGHT("000000"&amp;$W1200,6))</f>
        <v/>
      </c>
      <c r="Y1200">
        <f>IF($P1200="","",IF(Shares!$E1203="",0,Shares!$E1203))</f>
        <v/>
      </c>
      <c r="Z1200">
        <f>IF($P1200="","",Shares!$H1203)</f>
        <v/>
      </c>
      <c r="AE1200">
        <f>IF(OR(Sync!$S1200="",Sync!$P1200=""),"",Sync!$S1200)</f>
        <v/>
      </c>
      <c r="AF1200">
        <f>IF($AE1200="","",IF(ISNUMBER(Sync!$P1200),IF(AND(Sync!$P1200&gt;=10000101,Sync!$P1200&lt;=99991231),INT(Sync!$P1200/10000),""),IFERROR(VALUE(TRIM(LEFT(Sync!$P1200,FIND("/",Sync!$P1200)-1))),"")))</f>
        <v/>
      </c>
      <c r="AG1200">
        <f>IF(OR($AE1200="",$AF1200=""),"",IF(ISNUMBER(Sync!$P1200),INT(MOD(Sync!$P1200,10000)/100),IFERROR(VALUE(TRIM(LEFT(MID(Sync!$P1200,FIND("/",Sync!$P1200)+1,20),FIND("/",MID(Sync!$P1200,FIND("/",Sync!$P1200)+1,20))-1))),"")))</f>
        <v/>
      </c>
      <c r="AH1200">
        <f>IF(OR($AE1200="",$AF1200=""),"",IF(ISNUMBER(Sync!$P1200),MOD(Sync!$P1200,100),IFERROR(VALUE(TRIM(MID(MID(Sync!$P1200,FIND("/",Sync!$P1200)+1,20),FIND("/",MID(Sync!$P1200,FIND("/",Sync!$P1200)+1,20))+1,20))),"")))</f>
        <v/>
      </c>
      <c r="AI1200">
        <f>IF($AE1200="","",IF(OR($AF1200="",$AG1200="",$AH1200="",$AF1200&lt;1300,$AF1200&gt;1500,$AG1200&lt;1,$AG1200&gt;12,$AH1200&lt;1,$AH1200&gt;31),"نامعتبر",RIGHT("0000"&amp;$AF1200,4)&amp;"/"&amp;RIGHT("00"&amp;$AG1200,2)&amp;"/"&amp;RIGHT("00"&amp;$AH1200,2)))</f>
        <v/>
      </c>
      <c r="AJ1200">
        <f>IF($AE1200="","",IF(Sync!$Q1200="","0000",IF(AND(ISNUMBER(Sync!$Q1200),Sync!$Q1200&gt;=0,Sync!$Q1200&lt;1),RIGHT("00"&amp;HOUR(Sync!$Q1200),2)&amp;RIGHT("00"&amp;MINUTE(Sync!$Q1200),2),IFERROR(RIGHT("00"&amp;VALUE(LEFT(Sync!$Q1200,FIND(":",Sync!$Q1200)-1)),2)&amp;RIGHT("00"&amp;VALUE(MID(Sync!$Q1200,FIND(":",Sync!$Q1200)+1,2)),2),"0000"))))</f>
        <v/>
      </c>
      <c r="AK1200">
        <f>IF(OR($AE1200="",$AI1200="",$AI1200="نامعتبر"),"",LEFT($AI1200,4)&amp;MID($AI1200,6,2)&amp;RIGHT($AI1200,2)&amp;$AJ1200&amp;"|"&amp;"3"&amp;RIGHT("00000"&amp;1195,5))</f>
        <v/>
      </c>
      <c r="AL1200">
        <f>IF($AK1200="","",COUNTIFS(LdAParty,$AE1200,LdAType,1,LdAKey,"&lt;"&amp;$AK1200)+COUNTIFS(LdBMember,$AE1200,LdBKey,"&lt;"&amp;$AK1200)+COUNTIFS(LdCParty,$AE1200,LdCKey,"&lt;"&amp;$AK1200)+1)</f>
        <v/>
      </c>
      <c r="AM1200">
        <f>IF($AL1200="","",$AE1200&amp;"|"&amp;RIGHT("000000"&amp;$AL1200,6))</f>
        <v/>
      </c>
      <c r="AN1200">
        <f>IF($AE1200="","",IF(Sync!$W1200="",0,Sync!$W1200))</f>
        <v/>
      </c>
      <c r="AO1200">
        <f>IF($AE1200="","",IF(Sync!$X1200="",0,Sync!$X1200))</f>
        <v/>
      </c>
      <c r="AP1200">
        <f>IF($AE1200="","",Sync!$R1200)</f>
        <v/>
      </c>
      <c r="AQ1200">
        <f>IF($AE1200="","",Sync!$Y1200)</f>
        <v/>
      </c>
    </row>
    <row r="1201">
      <c r="A1201">
        <f>IF(OR(Wages!$B1204="",Wages!$E1204=""),"",Wages!$E1204)</f>
        <v/>
      </c>
      <c r="B1201">
        <f>IF($A1201="","",IF(Wages!$C1204="دستمزد گروهی",2,1))</f>
        <v/>
      </c>
      <c r="C1201">
        <f>IF($A1201="","",IF(ISNUMBER(Wages!$B1204),IF(AND(Wages!$B1204&gt;=10000101,Wages!$B1204&lt;=99991231),INT(Wages!$B1204/10000),""),IFERROR(VALUE(TRIM(LEFT(Wages!$B1204,FIND("/",Wages!$B1204)-1))),"")))</f>
        <v/>
      </c>
      <c r="D1201">
        <f>IF(OR($A1201="",$C1201=""),"",IF(ISNUMBER(Wages!$B1204),INT(MOD(Wages!$B1204,10000)/100),IFERROR(VALUE(TRIM(LEFT(MID(Wages!$B1204,FIND("/",Wages!$B1204)+1,20),FIND("/",MID(Wages!$B1204,FIND("/",Wages!$B1204)+1,20))-1))),"")))</f>
        <v/>
      </c>
      <c r="E1201">
        <f>IF(OR($A1201="",$C1201=""),"",IF(ISNUMBER(Wages!$B1204),MOD(Wages!$B1204,100),IFERROR(VALUE(TRIM(MID(MID(Wages!$B1204,FIND("/",Wages!$B1204)+1,20),FIND("/",MID(Wages!$B1204,FIND("/",Wages!$B1204)+1,20))+1,20))),"")))</f>
        <v/>
      </c>
      <c r="F1201">
        <f>IF($A1201="","",IF(OR($C1201="",$D1201="",$E1201="",$C1201&lt;1300,$C1201&gt;1500,$D1201&lt;1,$D1201&gt;12,$E1201&lt;1,$E1201&gt;31),"نامعتبر",RIGHT("0000"&amp;$C1201,4)&amp;"/"&amp;RIGHT("00"&amp;$D1201,2)&amp;"/"&amp;RIGHT("00"&amp;$E1201,2)))</f>
        <v/>
      </c>
      <c r="G1201">
        <f>IF(OR($A1201="",$F1201="",$F1201="نامعتبر"),"",LEFT($F1201,4)&amp;MID($F1201,6,2)&amp;RIGHT($F1201,2)&amp;"0000"&amp;"|"&amp;"1"&amp;RIGHT("00000"&amp;1196,5))</f>
        <v/>
      </c>
      <c r="H1201">
        <f>IF(OR($B1201&lt;&gt;1,$G1201=""),"",COUNTIFS(LdAParty,$A1201,LdAType,1,LdAKey,"&lt;"&amp;$G1201)+COUNTIFS(LdBMember,$A1201,LdBKey,"&lt;"&amp;$G1201)+COUNTIFS(LdCParty,$A1201,LdCKey,"&lt;"&amp;$G1201)+1)</f>
        <v/>
      </c>
      <c r="I1201">
        <f>IF($H1201="","",$A1201&amp;"|"&amp;RIGHT("000000"&amp;$H1201,6))</f>
        <v/>
      </c>
      <c r="J1201">
        <f>IF(OR($B1201&lt;&gt;2,$G1201=""),"",COUNTIFS(LdAParty,$A1201,LdAType,2,LdAKey,"&lt;"&amp;$G1201)+1)</f>
        <v/>
      </c>
      <c r="K1201">
        <f>IF($J1201="","",$A1201&amp;"|"&amp;RIGHT("000000"&amp;$J1201,6))</f>
        <v/>
      </c>
      <c r="L1201">
        <f>IF($A1201="","",IF(Wages!$G1204="",0,Wages!$G1204))</f>
        <v/>
      </c>
      <c r="M1201">
        <f>IF($A1201="","",Wages!$J1204)</f>
        <v/>
      </c>
      <c r="N1201">
        <f>IF($A1201="","",Wages!$D1204)</f>
        <v/>
      </c>
      <c r="P1201">
        <f>IF(OR(Shares!$B1204="",Shares!$C1204=""),"",Shares!$C1204)</f>
        <v/>
      </c>
      <c r="Q1201">
        <f>IF($P1201="","",Shares!$B1204)</f>
        <v/>
      </c>
      <c r="R1201">
        <f>IF($P1201="","",IFERROR(INDEX(WageParty,MATCH($Q1201,WageIds,0)),""))</f>
        <v/>
      </c>
      <c r="S1201">
        <f>IF($P1201="","",IFERROR(INDEX($F$6:$F$2005,MATCH($Q1201,WageIds,0)),""))</f>
        <v/>
      </c>
      <c r="T1201">
        <f>IF(OR($P1201="",$S1201="",$S1201="نامعتبر"),"",LEFT($S1201,4)&amp;MID($S1201,6,2)&amp;RIGHT($S1201,2)&amp;"0000"&amp;"|"&amp;"2"&amp;RIGHT("00000"&amp;1196,5))</f>
        <v/>
      </c>
      <c r="U1201">
        <f>IF($T1201="","",COUNTIFS(LdAParty,$P1201,LdAType,1,LdAKey,"&lt;"&amp;$T1201)+COUNTIFS(LdBMember,$P1201,LdBKey,"&lt;"&amp;$T1201)+COUNTIFS(LdCParty,$P1201,LdCKey,"&lt;"&amp;$T1201)+1)</f>
        <v/>
      </c>
      <c r="V1201">
        <f>IF($U1201="","",$P1201&amp;"|"&amp;RIGHT("000000"&amp;$U1201,6))</f>
        <v/>
      </c>
      <c r="W1201">
        <f>IF($T1201="","",COUNTIFS(LdBGroup,$R1201,LdBKey,"&lt;"&amp;$T1201)+1)</f>
        <v/>
      </c>
      <c r="X1201">
        <f>IF($W1201="","",$R1201&amp;"|"&amp;RIGHT("000000"&amp;$W1201,6))</f>
        <v/>
      </c>
      <c r="Y1201">
        <f>IF($P1201="","",IF(Shares!$E1204="",0,Shares!$E1204))</f>
        <v/>
      </c>
      <c r="Z1201">
        <f>IF($P1201="","",Shares!$H1204)</f>
        <v/>
      </c>
      <c r="AE1201">
        <f>IF(OR(Sync!$S1201="",Sync!$P1201=""),"",Sync!$S1201)</f>
        <v/>
      </c>
      <c r="AF1201">
        <f>IF($AE1201="","",IF(ISNUMBER(Sync!$P1201),IF(AND(Sync!$P1201&gt;=10000101,Sync!$P1201&lt;=99991231),INT(Sync!$P1201/10000),""),IFERROR(VALUE(TRIM(LEFT(Sync!$P1201,FIND("/",Sync!$P1201)-1))),"")))</f>
        <v/>
      </c>
      <c r="AG1201">
        <f>IF(OR($AE1201="",$AF1201=""),"",IF(ISNUMBER(Sync!$P1201),INT(MOD(Sync!$P1201,10000)/100),IFERROR(VALUE(TRIM(LEFT(MID(Sync!$P1201,FIND("/",Sync!$P1201)+1,20),FIND("/",MID(Sync!$P1201,FIND("/",Sync!$P1201)+1,20))-1))),"")))</f>
        <v/>
      </c>
      <c r="AH1201">
        <f>IF(OR($AE1201="",$AF1201=""),"",IF(ISNUMBER(Sync!$P1201),MOD(Sync!$P1201,100),IFERROR(VALUE(TRIM(MID(MID(Sync!$P1201,FIND("/",Sync!$P1201)+1,20),FIND("/",MID(Sync!$P1201,FIND("/",Sync!$P1201)+1,20))+1,20))),"")))</f>
        <v/>
      </c>
      <c r="AI1201">
        <f>IF($AE1201="","",IF(OR($AF1201="",$AG1201="",$AH1201="",$AF1201&lt;1300,$AF1201&gt;1500,$AG1201&lt;1,$AG1201&gt;12,$AH1201&lt;1,$AH1201&gt;31),"نامعتبر",RIGHT("0000"&amp;$AF1201,4)&amp;"/"&amp;RIGHT("00"&amp;$AG1201,2)&amp;"/"&amp;RIGHT("00"&amp;$AH1201,2)))</f>
        <v/>
      </c>
      <c r="AJ1201">
        <f>IF($AE1201="","",IF(Sync!$Q1201="","0000",IF(AND(ISNUMBER(Sync!$Q1201),Sync!$Q1201&gt;=0,Sync!$Q1201&lt;1),RIGHT("00"&amp;HOUR(Sync!$Q1201),2)&amp;RIGHT("00"&amp;MINUTE(Sync!$Q1201),2),IFERROR(RIGHT("00"&amp;VALUE(LEFT(Sync!$Q1201,FIND(":",Sync!$Q1201)-1)),2)&amp;RIGHT("00"&amp;VALUE(MID(Sync!$Q1201,FIND(":",Sync!$Q1201)+1,2)),2),"0000"))))</f>
        <v/>
      </c>
      <c r="AK1201">
        <f>IF(OR($AE1201="",$AI1201="",$AI1201="نامعتبر"),"",LEFT($AI1201,4)&amp;MID($AI1201,6,2)&amp;RIGHT($AI1201,2)&amp;$AJ1201&amp;"|"&amp;"3"&amp;RIGHT("00000"&amp;1196,5))</f>
        <v/>
      </c>
      <c r="AL1201">
        <f>IF($AK1201="","",COUNTIFS(LdAParty,$AE1201,LdAType,1,LdAKey,"&lt;"&amp;$AK1201)+COUNTIFS(LdBMember,$AE1201,LdBKey,"&lt;"&amp;$AK1201)+COUNTIFS(LdCParty,$AE1201,LdCKey,"&lt;"&amp;$AK1201)+1)</f>
        <v/>
      </c>
      <c r="AM1201">
        <f>IF($AL1201="","",$AE1201&amp;"|"&amp;RIGHT("000000"&amp;$AL1201,6))</f>
        <v/>
      </c>
      <c r="AN1201">
        <f>IF($AE1201="","",IF(Sync!$W1201="",0,Sync!$W1201))</f>
        <v/>
      </c>
      <c r="AO1201">
        <f>IF($AE1201="","",IF(Sync!$X1201="",0,Sync!$X1201))</f>
        <v/>
      </c>
      <c r="AP1201">
        <f>IF($AE1201="","",Sync!$R1201)</f>
        <v/>
      </c>
      <c r="AQ1201">
        <f>IF($AE1201="","",Sync!$Y1201)</f>
        <v/>
      </c>
    </row>
    <row r="1202">
      <c r="A1202">
        <f>IF(OR(Wages!$B1205="",Wages!$E1205=""),"",Wages!$E1205)</f>
        <v/>
      </c>
      <c r="B1202">
        <f>IF($A1202="","",IF(Wages!$C1205="دستمزد گروهی",2,1))</f>
        <v/>
      </c>
      <c r="C1202">
        <f>IF($A1202="","",IF(ISNUMBER(Wages!$B1205),IF(AND(Wages!$B1205&gt;=10000101,Wages!$B1205&lt;=99991231),INT(Wages!$B1205/10000),""),IFERROR(VALUE(TRIM(LEFT(Wages!$B1205,FIND("/",Wages!$B1205)-1))),"")))</f>
        <v/>
      </c>
      <c r="D1202">
        <f>IF(OR($A1202="",$C1202=""),"",IF(ISNUMBER(Wages!$B1205),INT(MOD(Wages!$B1205,10000)/100),IFERROR(VALUE(TRIM(LEFT(MID(Wages!$B1205,FIND("/",Wages!$B1205)+1,20),FIND("/",MID(Wages!$B1205,FIND("/",Wages!$B1205)+1,20))-1))),"")))</f>
        <v/>
      </c>
      <c r="E1202">
        <f>IF(OR($A1202="",$C1202=""),"",IF(ISNUMBER(Wages!$B1205),MOD(Wages!$B1205,100),IFERROR(VALUE(TRIM(MID(MID(Wages!$B1205,FIND("/",Wages!$B1205)+1,20),FIND("/",MID(Wages!$B1205,FIND("/",Wages!$B1205)+1,20))+1,20))),"")))</f>
        <v/>
      </c>
      <c r="F1202">
        <f>IF($A1202="","",IF(OR($C1202="",$D1202="",$E1202="",$C1202&lt;1300,$C1202&gt;1500,$D1202&lt;1,$D1202&gt;12,$E1202&lt;1,$E1202&gt;31),"نامعتبر",RIGHT("0000"&amp;$C1202,4)&amp;"/"&amp;RIGHT("00"&amp;$D1202,2)&amp;"/"&amp;RIGHT("00"&amp;$E1202,2)))</f>
        <v/>
      </c>
      <c r="G1202">
        <f>IF(OR($A1202="",$F1202="",$F1202="نامعتبر"),"",LEFT($F1202,4)&amp;MID($F1202,6,2)&amp;RIGHT($F1202,2)&amp;"0000"&amp;"|"&amp;"1"&amp;RIGHT("00000"&amp;1197,5))</f>
        <v/>
      </c>
      <c r="H1202">
        <f>IF(OR($B1202&lt;&gt;1,$G1202=""),"",COUNTIFS(LdAParty,$A1202,LdAType,1,LdAKey,"&lt;"&amp;$G1202)+COUNTIFS(LdBMember,$A1202,LdBKey,"&lt;"&amp;$G1202)+COUNTIFS(LdCParty,$A1202,LdCKey,"&lt;"&amp;$G1202)+1)</f>
        <v/>
      </c>
      <c r="I1202">
        <f>IF($H1202="","",$A1202&amp;"|"&amp;RIGHT("000000"&amp;$H1202,6))</f>
        <v/>
      </c>
      <c r="J1202">
        <f>IF(OR($B1202&lt;&gt;2,$G1202=""),"",COUNTIFS(LdAParty,$A1202,LdAType,2,LdAKey,"&lt;"&amp;$G1202)+1)</f>
        <v/>
      </c>
      <c r="K1202">
        <f>IF($J1202="","",$A1202&amp;"|"&amp;RIGHT("000000"&amp;$J1202,6))</f>
        <v/>
      </c>
      <c r="L1202">
        <f>IF($A1202="","",IF(Wages!$G1205="",0,Wages!$G1205))</f>
        <v/>
      </c>
      <c r="M1202">
        <f>IF($A1202="","",Wages!$J1205)</f>
        <v/>
      </c>
      <c r="N1202">
        <f>IF($A1202="","",Wages!$D1205)</f>
        <v/>
      </c>
      <c r="P1202">
        <f>IF(OR(Shares!$B1205="",Shares!$C1205=""),"",Shares!$C1205)</f>
        <v/>
      </c>
      <c r="Q1202">
        <f>IF($P1202="","",Shares!$B1205)</f>
        <v/>
      </c>
      <c r="R1202">
        <f>IF($P1202="","",IFERROR(INDEX(WageParty,MATCH($Q1202,WageIds,0)),""))</f>
        <v/>
      </c>
      <c r="S1202">
        <f>IF($P1202="","",IFERROR(INDEX($F$6:$F$2005,MATCH($Q1202,WageIds,0)),""))</f>
        <v/>
      </c>
      <c r="T1202">
        <f>IF(OR($P1202="",$S1202="",$S1202="نامعتبر"),"",LEFT($S1202,4)&amp;MID($S1202,6,2)&amp;RIGHT($S1202,2)&amp;"0000"&amp;"|"&amp;"2"&amp;RIGHT("00000"&amp;1197,5))</f>
        <v/>
      </c>
      <c r="U1202">
        <f>IF($T1202="","",COUNTIFS(LdAParty,$P1202,LdAType,1,LdAKey,"&lt;"&amp;$T1202)+COUNTIFS(LdBMember,$P1202,LdBKey,"&lt;"&amp;$T1202)+COUNTIFS(LdCParty,$P1202,LdCKey,"&lt;"&amp;$T1202)+1)</f>
        <v/>
      </c>
      <c r="V1202">
        <f>IF($U1202="","",$P1202&amp;"|"&amp;RIGHT("000000"&amp;$U1202,6))</f>
        <v/>
      </c>
      <c r="W1202">
        <f>IF($T1202="","",COUNTIFS(LdBGroup,$R1202,LdBKey,"&lt;"&amp;$T1202)+1)</f>
        <v/>
      </c>
      <c r="X1202">
        <f>IF($W1202="","",$R1202&amp;"|"&amp;RIGHT("000000"&amp;$W1202,6))</f>
        <v/>
      </c>
      <c r="Y1202">
        <f>IF($P1202="","",IF(Shares!$E1205="",0,Shares!$E1205))</f>
        <v/>
      </c>
      <c r="Z1202">
        <f>IF($P1202="","",Shares!$H1205)</f>
        <v/>
      </c>
      <c r="AE1202">
        <f>IF(OR(Sync!$S1202="",Sync!$P1202=""),"",Sync!$S1202)</f>
        <v/>
      </c>
      <c r="AF1202">
        <f>IF($AE1202="","",IF(ISNUMBER(Sync!$P1202),IF(AND(Sync!$P1202&gt;=10000101,Sync!$P1202&lt;=99991231),INT(Sync!$P1202/10000),""),IFERROR(VALUE(TRIM(LEFT(Sync!$P1202,FIND("/",Sync!$P1202)-1))),"")))</f>
        <v/>
      </c>
      <c r="AG1202">
        <f>IF(OR($AE1202="",$AF1202=""),"",IF(ISNUMBER(Sync!$P1202),INT(MOD(Sync!$P1202,10000)/100),IFERROR(VALUE(TRIM(LEFT(MID(Sync!$P1202,FIND("/",Sync!$P1202)+1,20),FIND("/",MID(Sync!$P1202,FIND("/",Sync!$P1202)+1,20))-1))),"")))</f>
        <v/>
      </c>
      <c r="AH1202">
        <f>IF(OR($AE1202="",$AF1202=""),"",IF(ISNUMBER(Sync!$P1202),MOD(Sync!$P1202,100),IFERROR(VALUE(TRIM(MID(MID(Sync!$P1202,FIND("/",Sync!$P1202)+1,20),FIND("/",MID(Sync!$P1202,FIND("/",Sync!$P1202)+1,20))+1,20))),"")))</f>
        <v/>
      </c>
      <c r="AI1202">
        <f>IF($AE1202="","",IF(OR($AF1202="",$AG1202="",$AH1202="",$AF1202&lt;1300,$AF1202&gt;1500,$AG1202&lt;1,$AG1202&gt;12,$AH1202&lt;1,$AH1202&gt;31),"نامعتبر",RIGHT("0000"&amp;$AF1202,4)&amp;"/"&amp;RIGHT("00"&amp;$AG1202,2)&amp;"/"&amp;RIGHT("00"&amp;$AH1202,2)))</f>
        <v/>
      </c>
      <c r="AJ1202">
        <f>IF($AE1202="","",IF(Sync!$Q1202="","0000",IF(AND(ISNUMBER(Sync!$Q1202),Sync!$Q1202&gt;=0,Sync!$Q1202&lt;1),RIGHT("00"&amp;HOUR(Sync!$Q1202),2)&amp;RIGHT("00"&amp;MINUTE(Sync!$Q1202),2),IFERROR(RIGHT("00"&amp;VALUE(LEFT(Sync!$Q1202,FIND(":",Sync!$Q1202)-1)),2)&amp;RIGHT("00"&amp;VALUE(MID(Sync!$Q1202,FIND(":",Sync!$Q1202)+1,2)),2),"0000"))))</f>
        <v/>
      </c>
      <c r="AK1202">
        <f>IF(OR($AE1202="",$AI1202="",$AI1202="نامعتبر"),"",LEFT($AI1202,4)&amp;MID($AI1202,6,2)&amp;RIGHT($AI1202,2)&amp;$AJ1202&amp;"|"&amp;"3"&amp;RIGHT("00000"&amp;1197,5))</f>
        <v/>
      </c>
      <c r="AL1202">
        <f>IF($AK1202="","",COUNTIFS(LdAParty,$AE1202,LdAType,1,LdAKey,"&lt;"&amp;$AK1202)+COUNTIFS(LdBMember,$AE1202,LdBKey,"&lt;"&amp;$AK1202)+COUNTIFS(LdCParty,$AE1202,LdCKey,"&lt;"&amp;$AK1202)+1)</f>
        <v/>
      </c>
      <c r="AM1202">
        <f>IF($AL1202="","",$AE1202&amp;"|"&amp;RIGHT("000000"&amp;$AL1202,6))</f>
        <v/>
      </c>
      <c r="AN1202">
        <f>IF($AE1202="","",IF(Sync!$W1202="",0,Sync!$W1202))</f>
        <v/>
      </c>
      <c r="AO1202">
        <f>IF($AE1202="","",IF(Sync!$X1202="",0,Sync!$X1202))</f>
        <v/>
      </c>
      <c r="AP1202">
        <f>IF($AE1202="","",Sync!$R1202)</f>
        <v/>
      </c>
      <c r="AQ1202">
        <f>IF($AE1202="","",Sync!$Y1202)</f>
        <v/>
      </c>
    </row>
    <row r="1203">
      <c r="A1203">
        <f>IF(OR(Wages!$B1206="",Wages!$E1206=""),"",Wages!$E1206)</f>
        <v/>
      </c>
      <c r="B1203">
        <f>IF($A1203="","",IF(Wages!$C1206="دستمزد گروهی",2,1))</f>
        <v/>
      </c>
      <c r="C1203">
        <f>IF($A1203="","",IF(ISNUMBER(Wages!$B1206),IF(AND(Wages!$B1206&gt;=10000101,Wages!$B1206&lt;=99991231),INT(Wages!$B1206/10000),""),IFERROR(VALUE(TRIM(LEFT(Wages!$B1206,FIND("/",Wages!$B1206)-1))),"")))</f>
        <v/>
      </c>
      <c r="D1203">
        <f>IF(OR($A1203="",$C1203=""),"",IF(ISNUMBER(Wages!$B1206),INT(MOD(Wages!$B1206,10000)/100),IFERROR(VALUE(TRIM(LEFT(MID(Wages!$B1206,FIND("/",Wages!$B1206)+1,20),FIND("/",MID(Wages!$B1206,FIND("/",Wages!$B1206)+1,20))-1))),"")))</f>
        <v/>
      </c>
      <c r="E1203">
        <f>IF(OR($A1203="",$C1203=""),"",IF(ISNUMBER(Wages!$B1206),MOD(Wages!$B1206,100),IFERROR(VALUE(TRIM(MID(MID(Wages!$B1206,FIND("/",Wages!$B1206)+1,20),FIND("/",MID(Wages!$B1206,FIND("/",Wages!$B1206)+1,20))+1,20))),"")))</f>
        <v/>
      </c>
      <c r="F1203">
        <f>IF($A1203="","",IF(OR($C1203="",$D1203="",$E1203="",$C1203&lt;1300,$C1203&gt;1500,$D1203&lt;1,$D1203&gt;12,$E1203&lt;1,$E1203&gt;31),"نامعتبر",RIGHT("0000"&amp;$C1203,4)&amp;"/"&amp;RIGHT("00"&amp;$D1203,2)&amp;"/"&amp;RIGHT("00"&amp;$E1203,2)))</f>
        <v/>
      </c>
      <c r="G1203">
        <f>IF(OR($A1203="",$F1203="",$F1203="نامعتبر"),"",LEFT($F1203,4)&amp;MID($F1203,6,2)&amp;RIGHT($F1203,2)&amp;"0000"&amp;"|"&amp;"1"&amp;RIGHT("00000"&amp;1198,5))</f>
        <v/>
      </c>
      <c r="H1203">
        <f>IF(OR($B1203&lt;&gt;1,$G1203=""),"",COUNTIFS(LdAParty,$A1203,LdAType,1,LdAKey,"&lt;"&amp;$G1203)+COUNTIFS(LdBMember,$A1203,LdBKey,"&lt;"&amp;$G1203)+COUNTIFS(LdCParty,$A1203,LdCKey,"&lt;"&amp;$G1203)+1)</f>
        <v/>
      </c>
      <c r="I1203">
        <f>IF($H1203="","",$A1203&amp;"|"&amp;RIGHT("000000"&amp;$H1203,6))</f>
        <v/>
      </c>
      <c r="J1203">
        <f>IF(OR($B1203&lt;&gt;2,$G1203=""),"",COUNTIFS(LdAParty,$A1203,LdAType,2,LdAKey,"&lt;"&amp;$G1203)+1)</f>
        <v/>
      </c>
      <c r="K1203">
        <f>IF($J1203="","",$A1203&amp;"|"&amp;RIGHT("000000"&amp;$J1203,6))</f>
        <v/>
      </c>
      <c r="L1203">
        <f>IF($A1203="","",IF(Wages!$G1206="",0,Wages!$G1206))</f>
        <v/>
      </c>
      <c r="M1203">
        <f>IF($A1203="","",Wages!$J1206)</f>
        <v/>
      </c>
      <c r="N1203">
        <f>IF($A1203="","",Wages!$D1206)</f>
        <v/>
      </c>
      <c r="P1203">
        <f>IF(OR(Shares!$B1206="",Shares!$C1206=""),"",Shares!$C1206)</f>
        <v/>
      </c>
      <c r="Q1203">
        <f>IF($P1203="","",Shares!$B1206)</f>
        <v/>
      </c>
      <c r="R1203">
        <f>IF($P1203="","",IFERROR(INDEX(WageParty,MATCH($Q1203,WageIds,0)),""))</f>
        <v/>
      </c>
      <c r="S1203">
        <f>IF($P1203="","",IFERROR(INDEX($F$6:$F$2005,MATCH($Q1203,WageIds,0)),""))</f>
        <v/>
      </c>
      <c r="T1203">
        <f>IF(OR($P1203="",$S1203="",$S1203="نامعتبر"),"",LEFT($S1203,4)&amp;MID($S1203,6,2)&amp;RIGHT($S1203,2)&amp;"0000"&amp;"|"&amp;"2"&amp;RIGHT("00000"&amp;1198,5))</f>
        <v/>
      </c>
      <c r="U1203">
        <f>IF($T1203="","",COUNTIFS(LdAParty,$P1203,LdAType,1,LdAKey,"&lt;"&amp;$T1203)+COUNTIFS(LdBMember,$P1203,LdBKey,"&lt;"&amp;$T1203)+COUNTIFS(LdCParty,$P1203,LdCKey,"&lt;"&amp;$T1203)+1)</f>
        <v/>
      </c>
      <c r="V1203">
        <f>IF($U1203="","",$P1203&amp;"|"&amp;RIGHT("000000"&amp;$U1203,6))</f>
        <v/>
      </c>
      <c r="W1203">
        <f>IF($T1203="","",COUNTIFS(LdBGroup,$R1203,LdBKey,"&lt;"&amp;$T1203)+1)</f>
        <v/>
      </c>
      <c r="X1203">
        <f>IF($W1203="","",$R1203&amp;"|"&amp;RIGHT("000000"&amp;$W1203,6))</f>
        <v/>
      </c>
      <c r="Y1203">
        <f>IF($P1203="","",IF(Shares!$E1206="",0,Shares!$E1206))</f>
        <v/>
      </c>
      <c r="Z1203">
        <f>IF($P1203="","",Shares!$H1206)</f>
        <v/>
      </c>
      <c r="AE1203">
        <f>IF(OR(Sync!$S1203="",Sync!$P1203=""),"",Sync!$S1203)</f>
        <v/>
      </c>
      <c r="AF1203">
        <f>IF($AE1203="","",IF(ISNUMBER(Sync!$P1203),IF(AND(Sync!$P1203&gt;=10000101,Sync!$P1203&lt;=99991231),INT(Sync!$P1203/10000),""),IFERROR(VALUE(TRIM(LEFT(Sync!$P1203,FIND("/",Sync!$P1203)-1))),"")))</f>
        <v/>
      </c>
      <c r="AG1203">
        <f>IF(OR($AE1203="",$AF1203=""),"",IF(ISNUMBER(Sync!$P1203),INT(MOD(Sync!$P1203,10000)/100),IFERROR(VALUE(TRIM(LEFT(MID(Sync!$P1203,FIND("/",Sync!$P1203)+1,20),FIND("/",MID(Sync!$P1203,FIND("/",Sync!$P1203)+1,20))-1))),"")))</f>
        <v/>
      </c>
      <c r="AH1203">
        <f>IF(OR($AE1203="",$AF1203=""),"",IF(ISNUMBER(Sync!$P1203),MOD(Sync!$P1203,100),IFERROR(VALUE(TRIM(MID(MID(Sync!$P1203,FIND("/",Sync!$P1203)+1,20),FIND("/",MID(Sync!$P1203,FIND("/",Sync!$P1203)+1,20))+1,20))),"")))</f>
        <v/>
      </c>
      <c r="AI1203">
        <f>IF($AE1203="","",IF(OR($AF1203="",$AG1203="",$AH1203="",$AF1203&lt;1300,$AF1203&gt;1500,$AG1203&lt;1,$AG1203&gt;12,$AH1203&lt;1,$AH1203&gt;31),"نامعتبر",RIGHT("0000"&amp;$AF1203,4)&amp;"/"&amp;RIGHT("00"&amp;$AG1203,2)&amp;"/"&amp;RIGHT("00"&amp;$AH1203,2)))</f>
        <v/>
      </c>
      <c r="AJ1203">
        <f>IF($AE1203="","",IF(Sync!$Q1203="","0000",IF(AND(ISNUMBER(Sync!$Q1203),Sync!$Q1203&gt;=0,Sync!$Q1203&lt;1),RIGHT("00"&amp;HOUR(Sync!$Q1203),2)&amp;RIGHT("00"&amp;MINUTE(Sync!$Q1203),2),IFERROR(RIGHT("00"&amp;VALUE(LEFT(Sync!$Q1203,FIND(":",Sync!$Q1203)-1)),2)&amp;RIGHT("00"&amp;VALUE(MID(Sync!$Q1203,FIND(":",Sync!$Q1203)+1,2)),2),"0000"))))</f>
        <v/>
      </c>
      <c r="AK1203">
        <f>IF(OR($AE1203="",$AI1203="",$AI1203="نامعتبر"),"",LEFT($AI1203,4)&amp;MID($AI1203,6,2)&amp;RIGHT($AI1203,2)&amp;$AJ1203&amp;"|"&amp;"3"&amp;RIGHT("00000"&amp;1198,5))</f>
        <v/>
      </c>
      <c r="AL1203">
        <f>IF($AK1203="","",COUNTIFS(LdAParty,$AE1203,LdAType,1,LdAKey,"&lt;"&amp;$AK1203)+COUNTIFS(LdBMember,$AE1203,LdBKey,"&lt;"&amp;$AK1203)+COUNTIFS(LdCParty,$AE1203,LdCKey,"&lt;"&amp;$AK1203)+1)</f>
        <v/>
      </c>
      <c r="AM1203">
        <f>IF($AL1203="","",$AE1203&amp;"|"&amp;RIGHT("000000"&amp;$AL1203,6))</f>
        <v/>
      </c>
      <c r="AN1203">
        <f>IF($AE1203="","",IF(Sync!$W1203="",0,Sync!$W1203))</f>
        <v/>
      </c>
      <c r="AO1203">
        <f>IF($AE1203="","",IF(Sync!$X1203="",0,Sync!$X1203))</f>
        <v/>
      </c>
      <c r="AP1203">
        <f>IF($AE1203="","",Sync!$R1203)</f>
        <v/>
      </c>
      <c r="AQ1203">
        <f>IF($AE1203="","",Sync!$Y1203)</f>
        <v/>
      </c>
    </row>
    <row r="1204">
      <c r="A1204">
        <f>IF(OR(Wages!$B1207="",Wages!$E1207=""),"",Wages!$E1207)</f>
        <v/>
      </c>
      <c r="B1204">
        <f>IF($A1204="","",IF(Wages!$C1207="دستمزد گروهی",2,1))</f>
        <v/>
      </c>
      <c r="C1204">
        <f>IF($A1204="","",IF(ISNUMBER(Wages!$B1207),IF(AND(Wages!$B1207&gt;=10000101,Wages!$B1207&lt;=99991231),INT(Wages!$B1207/10000),""),IFERROR(VALUE(TRIM(LEFT(Wages!$B1207,FIND("/",Wages!$B1207)-1))),"")))</f>
        <v/>
      </c>
      <c r="D1204">
        <f>IF(OR($A1204="",$C1204=""),"",IF(ISNUMBER(Wages!$B1207),INT(MOD(Wages!$B1207,10000)/100),IFERROR(VALUE(TRIM(LEFT(MID(Wages!$B1207,FIND("/",Wages!$B1207)+1,20),FIND("/",MID(Wages!$B1207,FIND("/",Wages!$B1207)+1,20))-1))),"")))</f>
        <v/>
      </c>
      <c r="E1204">
        <f>IF(OR($A1204="",$C1204=""),"",IF(ISNUMBER(Wages!$B1207),MOD(Wages!$B1207,100),IFERROR(VALUE(TRIM(MID(MID(Wages!$B1207,FIND("/",Wages!$B1207)+1,20),FIND("/",MID(Wages!$B1207,FIND("/",Wages!$B1207)+1,20))+1,20))),"")))</f>
        <v/>
      </c>
      <c r="F1204">
        <f>IF($A1204="","",IF(OR($C1204="",$D1204="",$E1204="",$C1204&lt;1300,$C1204&gt;1500,$D1204&lt;1,$D1204&gt;12,$E1204&lt;1,$E1204&gt;31),"نامعتبر",RIGHT("0000"&amp;$C1204,4)&amp;"/"&amp;RIGHT("00"&amp;$D1204,2)&amp;"/"&amp;RIGHT("00"&amp;$E1204,2)))</f>
        <v/>
      </c>
      <c r="G1204">
        <f>IF(OR($A1204="",$F1204="",$F1204="نامعتبر"),"",LEFT($F1204,4)&amp;MID($F1204,6,2)&amp;RIGHT($F1204,2)&amp;"0000"&amp;"|"&amp;"1"&amp;RIGHT("00000"&amp;1199,5))</f>
        <v/>
      </c>
      <c r="H1204">
        <f>IF(OR($B1204&lt;&gt;1,$G1204=""),"",COUNTIFS(LdAParty,$A1204,LdAType,1,LdAKey,"&lt;"&amp;$G1204)+COUNTIFS(LdBMember,$A1204,LdBKey,"&lt;"&amp;$G1204)+COUNTIFS(LdCParty,$A1204,LdCKey,"&lt;"&amp;$G1204)+1)</f>
        <v/>
      </c>
      <c r="I1204">
        <f>IF($H1204="","",$A1204&amp;"|"&amp;RIGHT("000000"&amp;$H1204,6))</f>
        <v/>
      </c>
      <c r="J1204">
        <f>IF(OR($B1204&lt;&gt;2,$G1204=""),"",COUNTIFS(LdAParty,$A1204,LdAType,2,LdAKey,"&lt;"&amp;$G1204)+1)</f>
        <v/>
      </c>
      <c r="K1204">
        <f>IF($J1204="","",$A1204&amp;"|"&amp;RIGHT("000000"&amp;$J1204,6))</f>
        <v/>
      </c>
      <c r="L1204">
        <f>IF($A1204="","",IF(Wages!$G1207="",0,Wages!$G1207))</f>
        <v/>
      </c>
      <c r="M1204">
        <f>IF($A1204="","",Wages!$J1207)</f>
        <v/>
      </c>
      <c r="N1204">
        <f>IF($A1204="","",Wages!$D1207)</f>
        <v/>
      </c>
      <c r="P1204">
        <f>IF(OR(Shares!$B1207="",Shares!$C1207=""),"",Shares!$C1207)</f>
        <v/>
      </c>
      <c r="Q1204">
        <f>IF($P1204="","",Shares!$B1207)</f>
        <v/>
      </c>
      <c r="R1204">
        <f>IF($P1204="","",IFERROR(INDEX(WageParty,MATCH($Q1204,WageIds,0)),""))</f>
        <v/>
      </c>
      <c r="S1204">
        <f>IF($P1204="","",IFERROR(INDEX($F$6:$F$2005,MATCH($Q1204,WageIds,0)),""))</f>
        <v/>
      </c>
      <c r="T1204">
        <f>IF(OR($P1204="",$S1204="",$S1204="نامعتبر"),"",LEFT($S1204,4)&amp;MID($S1204,6,2)&amp;RIGHT($S1204,2)&amp;"0000"&amp;"|"&amp;"2"&amp;RIGHT("00000"&amp;1199,5))</f>
        <v/>
      </c>
      <c r="U1204">
        <f>IF($T1204="","",COUNTIFS(LdAParty,$P1204,LdAType,1,LdAKey,"&lt;"&amp;$T1204)+COUNTIFS(LdBMember,$P1204,LdBKey,"&lt;"&amp;$T1204)+COUNTIFS(LdCParty,$P1204,LdCKey,"&lt;"&amp;$T1204)+1)</f>
        <v/>
      </c>
      <c r="V1204">
        <f>IF($U1204="","",$P1204&amp;"|"&amp;RIGHT("000000"&amp;$U1204,6))</f>
        <v/>
      </c>
      <c r="W1204">
        <f>IF($T1204="","",COUNTIFS(LdBGroup,$R1204,LdBKey,"&lt;"&amp;$T1204)+1)</f>
        <v/>
      </c>
      <c r="X1204">
        <f>IF($W1204="","",$R1204&amp;"|"&amp;RIGHT("000000"&amp;$W1204,6))</f>
        <v/>
      </c>
      <c r="Y1204">
        <f>IF($P1204="","",IF(Shares!$E1207="",0,Shares!$E1207))</f>
        <v/>
      </c>
      <c r="Z1204">
        <f>IF($P1204="","",Shares!$H1207)</f>
        <v/>
      </c>
      <c r="AE1204">
        <f>IF(OR(Sync!$S1204="",Sync!$P1204=""),"",Sync!$S1204)</f>
        <v/>
      </c>
      <c r="AF1204">
        <f>IF($AE1204="","",IF(ISNUMBER(Sync!$P1204),IF(AND(Sync!$P1204&gt;=10000101,Sync!$P1204&lt;=99991231),INT(Sync!$P1204/10000),""),IFERROR(VALUE(TRIM(LEFT(Sync!$P1204,FIND("/",Sync!$P1204)-1))),"")))</f>
        <v/>
      </c>
      <c r="AG1204">
        <f>IF(OR($AE1204="",$AF1204=""),"",IF(ISNUMBER(Sync!$P1204),INT(MOD(Sync!$P1204,10000)/100),IFERROR(VALUE(TRIM(LEFT(MID(Sync!$P1204,FIND("/",Sync!$P1204)+1,20),FIND("/",MID(Sync!$P1204,FIND("/",Sync!$P1204)+1,20))-1))),"")))</f>
        <v/>
      </c>
      <c r="AH1204">
        <f>IF(OR($AE1204="",$AF1204=""),"",IF(ISNUMBER(Sync!$P1204),MOD(Sync!$P1204,100),IFERROR(VALUE(TRIM(MID(MID(Sync!$P1204,FIND("/",Sync!$P1204)+1,20),FIND("/",MID(Sync!$P1204,FIND("/",Sync!$P1204)+1,20))+1,20))),"")))</f>
        <v/>
      </c>
      <c r="AI1204">
        <f>IF($AE1204="","",IF(OR($AF1204="",$AG1204="",$AH1204="",$AF1204&lt;1300,$AF1204&gt;1500,$AG1204&lt;1,$AG1204&gt;12,$AH1204&lt;1,$AH1204&gt;31),"نامعتبر",RIGHT("0000"&amp;$AF1204,4)&amp;"/"&amp;RIGHT("00"&amp;$AG1204,2)&amp;"/"&amp;RIGHT("00"&amp;$AH1204,2)))</f>
        <v/>
      </c>
      <c r="AJ1204">
        <f>IF($AE1204="","",IF(Sync!$Q1204="","0000",IF(AND(ISNUMBER(Sync!$Q1204),Sync!$Q1204&gt;=0,Sync!$Q1204&lt;1),RIGHT("00"&amp;HOUR(Sync!$Q1204),2)&amp;RIGHT("00"&amp;MINUTE(Sync!$Q1204),2),IFERROR(RIGHT("00"&amp;VALUE(LEFT(Sync!$Q1204,FIND(":",Sync!$Q1204)-1)),2)&amp;RIGHT("00"&amp;VALUE(MID(Sync!$Q1204,FIND(":",Sync!$Q1204)+1,2)),2),"0000"))))</f>
        <v/>
      </c>
      <c r="AK1204">
        <f>IF(OR($AE1204="",$AI1204="",$AI1204="نامعتبر"),"",LEFT($AI1204,4)&amp;MID($AI1204,6,2)&amp;RIGHT($AI1204,2)&amp;$AJ1204&amp;"|"&amp;"3"&amp;RIGHT("00000"&amp;1199,5))</f>
        <v/>
      </c>
      <c r="AL1204">
        <f>IF($AK1204="","",COUNTIFS(LdAParty,$AE1204,LdAType,1,LdAKey,"&lt;"&amp;$AK1204)+COUNTIFS(LdBMember,$AE1204,LdBKey,"&lt;"&amp;$AK1204)+COUNTIFS(LdCParty,$AE1204,LdCKey,"&lt;"&amp;$AK1204)+1)</f>
        <v/>
      </c>
      <c r="AM1204">
        <f>IF($AL1204="","",$AE1204&amp;"|"&amp;RIGHT("000000"&amp;$AL1204,6))</f>
        <v/>
      </c>
      <c r="AN1204">
        <f>IF($AE1204="","",IF(Sync!$W1204="",0,Sync!$W1204))</f>
        <v/>
      </c>
      <c r="AO1204">
        <f>IF($AE1204="","",IF(Sync!$X1204="",0,Sync!$X1204))</f>
        <v/>
      </c>
      <c r="AP1204">
        <f>IF($AE1204="","",Sync!$R1204)</f>
        <v/>
      </c>
      <c r="AQ1204">
        <f>IF($AE1204="","",Sync!$Y1204)</f>
        <v/>
      </c>
    </row>
    <row r="1205">
      <c r="A1205">
        <f>IF(OR(Wages!$B1208="",Wages!$E1208=""),"",Wages!$E1208)</f>
        <v/>
      </c>
      <c r="B1205">
        <f>IF($A1205="","",IF(Wages!$C1208="دستمزد گروهی",2,1))</f>
        <v/>
      </c>
      <c r="C1205">
        <f>IF($A1205="","",IF(ISNUMBER(Wages!$B1208),IF(AND(Wages!$B1208&gt;=10000101,Wages!$B1208&lt;=99991231),INT(Wages!$B1208/10000),""),IFERROR(VALUE(TRIM(LEFT(Wages!$B1208,FIND("/",Wages!$B1208)-1))),"")))</f>
        <v/>
      </c>
      <c r="D1205">
        <f>IF(OR($A1205="",$C1205=""),"",IF(ISNUMBER(Wages!$B1208),INT(MOD(Wages!$B1208,10000)/100),IFERROR(VALUE(TRIM(LEFT(MID(Wages!$B1208,FIND("/",Wages!$B1208)+1,20),FIND("/",MID(Wages!$B1208,FIND("/",Wages!$B1208)+1,20))-1))),"")))</f>
        <v/>
      </c>
      <c r="E1205">
        <f>IF(OR($A1205="",$C1205=""),"",IF(ISNUMBER(Wages!$B1208),MOD(Wages!$B1208,100),IFERROR(VALUE(TRIM(MID(MID(Wages!$B1208,FIND("/",Wages!$B1208)+1,20),FIND("/",MID(Wages!$B1208,FIND("/",Wages!$B1208)+1,20))+1,20))),"")))</f>
        <v/>
      </c>
      <c r="F1205">
        <f>IF($A1205="","",IF(OR($C1205="",$D1205="",$E1205="",$C1205&lt;1300,$C1205&gt;1500,$D1205&lt;1,$D1205&gt;12,$E1205&lt;1,$E1205&gt;31),"نامعتبر",RIGHT("0000"&amp;$C1205,4)&amp;"/"&amp;RIGHT("00"&amp;$D1205,2)&amp;"/"&amp;RIGHT("00"&amp;$E1205,2)))</f>
        <v/>
      </c>
      <c r="G1205">
        <f>IF(OR($A1205="",$F1205="",$F1205="نامعتبر"),"",LEFT($F1205,4)&amp;MID($F1205,6,2)&amp;RIGHT($F1205,2)&amp;"0000"&amp;"|"&amp;"1"&amp;RIGHT("00000"&amp;1200,5))</f>
        <v/>
      </c>
      <c r="H1205">
        <f>IF(OR($B1205&lt;&gt;1,$G1205=""),"",COUNTIFS(LdAParty,$A1205,LdAType,1,LdAKey,"&lt;"&amp;$G1205)+COUNTIFS(LdBMember,$A1205,LdBKey,"&lt;"&amp;$G1205)+COUNTIFS(LdCParty,$A1205,LdCKey,"&lt;"&amp;$G1205)+1)</f>
        <v/>
      </c>
      <c r="I1205">
        <f>IF($H1205="","",$A1205&amp;"|"&amp;RIGHT("000000"&amp;$H1205,6))</f>
        <v/>
      </c>
      <c r="J1205">
        <f>IF(OR($B1205&lt;&gt;2,$G1205=""),"",COUNTIFS(LdAParty,$A1205,LdAType,2,LdAKey,"&lt;"&amp;$G1205)+1)</f>
        <v/>
      </c>
      <c r="K1205">
        <f>IF($J1205="","",$A1205&amp;"|"&amp;RIGHT("000000"&amp;$J1205,6))</f>
        <v/>
      </c>
      <c r="L1205">
        <f>IF($A1205="","",IF(Wages!$G1208="",0,Wages!$G1208))</f>
        <v/>
      </c>
      <c r="M1205">
        <f>IF($A1205="","",Wages!$J1208)</f>
        <v/>
      </c>
      <c r="N1205">
        <f>IF($A1205="","",Wages!$D1208)</f>
        <v/>
      </c>
      <c r="P1205">
        <f>IF(OR(Shares!$B1208="",Shares!$C1208=""),"",Shares!$C1208)</f>
        <v/>
      </c>
      <c r="Q1205">
        <f>IF($P1205="","",Shares!$B1208)</f>
        <v/>
      </c>
      <c r="R1205">
        <f>IF($P1205="","",IFERROR(INDEX(WageParty,MATCH($Q1205,WageIds,0)),""))</f>
        <v/>
      </c>
      <c r="S1205">
        <f>IF($P1205="","",IFERROR(INDEX($F$6:$F$2005,MATCH($Q1205,WageIds,0)),""))</f>
        <v/>
      </c>
      <c r="T1205">
        <f>IF(OR($P1205="",$S1205="",$S1205="نامعتبر"),"",LEFT($S1205,4)&amp;MID($S1205,6,2)&amp;RIGHT($S1205,2)&amp;"0000"&amp;"|"&amp;"2"&amp;RIGHT("00000"&amp;1200,5))</f>
        <v/>
      </c>
      <c r="U1205">
        <f>IF($T1205="","",COUNTIFS(LdAParty,$P1205,LdAType,1,LdAKey,"&lt;"&amp;$T1205)+COUNTIFS(LdBMember,$P1205,LdBKey,"&lt;"&amp;$T1205)+COUNTIFS(LdCParty,$P1205,LdCKey,"&lt;"&amp;$T1205)+1)</f>
        <v/>
      </c>
      <c r="V1205">
        <f>IF($U1205="","",$P1205&amp;"|"&amp;RIGHT("000000"&amp;$U1205,6))</f>
        <v/>
      </c>
      <c r="W1205">
        <f>IF($T1205="","",COUNTIFS(LdBGroup,$R1205,LdBKey,"&lt;"&amp;$T1205)+1)</f>
        <v/>
      </c>
      <c r="X1205">
        <f>IF($W1205="","",$R1205&amp;"|"&amp;RIGHT("000000"&amp;$W1205,6))</f>
        <v/>
      </c>
      <c r="Y1205">
        <f>IF($P1205="","",IF(Shares!$E1208="",0,Shares!$E1208))</f>
        <v/>
      </c>
      <c r="Z1205">
        <f>IF($P1205="","",Shares!$H1208)</f>
        <v/>
      </c>
      <c r="AE1205">
        <f>IF(OR(Sync!$S1205="",Sync!$P1205=""),"",Sync!$S1205)</f>
        <v/>
      </c>
      <c r="AF1205">
        <f>IF($AE1205="","",IF(ISNUMBER(Sync!$P1205),IF(AND(Sync!$P1205&gt;=10000101,Sync!$P1205&lt;=99991231),INT(Sync!$P1205/10000),""),IFERROR(VALUE(TRIM(LEFT(Sync!$P1205,FIND("/",Sync!$P1205)-1))),"")))</f>
        <v/>
      </c>
      <c r="AG1205">
        <f>IF(OR($AE1205="",$AF1205=""),"",IF(ISNUMBER(Sync!$P1205),INT(MOD(Sync!$P1205,10000)/100),IFERROR(VALUE(TRIM(LEFT(MID(Sync!$P1205,FIND("/",Sync!$P1205)+1,20),FIND("/",MID(Sync!$P1205,FIND("/",Sync!$P1205)+1,20))-1))),"")))</f>
        <v/>
      </c>
      <c r="AH1205">
        <f>IF(OR($AE1205="",$AF1205=""),"",IF(ISNUMBER(Sync!$P1205),MOD(Sync!$P1205,100),IFERROR(VALUE(TRIM(MID(MID(Sync!$P1205,FIND("/",Sync!$P1205)+1,20),FIND("/",MID(Sync!$P1205,FIND("/",Sync!$P1205)+1,20))+1,20))),"")))</f>
        <v/>
      </c>
      <c r="AI1205">
        <f>IF($AE1205="","",IF(OR($AF1205="",$AG1205="",$AH1205="",$AF1205&lt;1300,$AF1205&gt;1500,$AG1205&lt;1,$AG1205&gt;12,$AH1205&lt;1,$AH1205&gt;31),"نامعتبر",RIGHT("0000"&amp;$AF1205,4)&amp;"/"&amp;RIGHT("00"&amp;$AG1205,2)&amp;"/"&amp;RIGHT("00"&amp;$AH1205,2)))</f>
        <v/>
      </c>
      <c r="AJ1205">
        <f>IF($AE1205="","",IF(Sync!$Q1205="","0000",IF(AND(ISNUMBER(Sync!$Q1205),Sync!$Q1205&gt;=0,Sync!$Q1205&lt;1),RIGHT("00"&amp;HOUR(Sync!$Q1205),2)&amp;RIGHT("00"&amp;MINUTE(Sync!$Q1205),2),IFERROR(RIGHT("00"&amp;VALUE(LEFT(Sync!$Q1205,FIND(":",Sync!$Q1205)-1)),2)&amp;RIGHT("00"&amp;VALUE(MID(Sync!$Q1205,FIND(":",Sync!$Q1205)+1,2)),2),"0000"))))</f>
        <v/>
      </c>
      <c r="AK1205">
        <f>IF(OR($AE1205="",$AI1205="",$AI1205="نامعتبر"),"",LEFT($AI1205,4)&amp;MID($AI1205,6,2)&amp;RIGHT($AI1205,2)&amp;$AJ1205&amp;"|"&amp;"3"&amp;RIGHT("00000"&amp;1200,5))</f>
        <v/>
      </c>
      <c r="AL1205">
        <f>IF($AK1205="","",COUNTIFS(LdAParty,$AE1205,LdAType,1,LdAKey,"&lt;"&amp;$AK1205)+COUNTIFS(LdBMember,$AE1205,LdBKey,"&lt;"&amp;$AK1205)+COUNTIFS(LdCParty,$AE1205,LdCKey,"&lt;"&amp;$AK1205)+1)</f>
        <v/>
      </c>
      <c r="AM1205">
        <f>IF($AL1205="","",$AE1205&amp;"|"&amp;RIGHT("000000"&amp;$AL1205,6))</f>
        <v/>
      </c>
      <c r="AN1205">
        <f>IF($AE1205="","",IF(Sync!$W1205="",0,Sync!$W1205))</f>
        <v/>
      </c>
      <c r="AO1205">
        <f>IF($AE1205="","",IF(Sync!$X1205="",0,Sync!$X1205))</f>
        <v/>
      </c>
      <c r="AP1205">
        <f>IF($AE1205="","",Sync!$R1205)</f>
        <v/>
      </c>
      <c r="AQ1205">
        <f>IF($AE1205="","",Sync!$Y1205)</f>
        <v/>
      </c>
    </row>
    <row r="1206">
      <c r="A1206">
        <f>IF(OR(Wages!$B1209="",Wages!$E1209=""),"",Wages!$E1209)</f>
        <v/>
      </c>
      <c r="B1206">
        <f>IF($A1206="","",IF(Wages!$C1209="دستمزد گروهی",2,1))</f>
        <v/>
      </c>
      <c r="C1206">
        <f>IF($A1206="","",IF(ISNUMBER(Wages!$B1209),IF(AND(Wages!$B1209&gt;=10000101,Wages!$B1209&lt;=99991231),INT(Wages!$B1209/10000),""),IFERROR(VALUE(TRIM(LEFT(Wages!$B1209,FIND("/",Wages!$B1209)-1))),"")))</f>
        <v/>
      </c>
      <c r="D1206">
        <f>IF(OR($A1206="",$C1206=""),"",IF(ISNUMBER(Wages!$B1209),INT(MOD(Wages!$B1209,10000)/100),IFERROR(VALUE(TRIM(LEFT(MID(Wages!$B1209,FIND("/",Wages!$B1209)+1,20),FIND("/",MID(Wages!$B1209,FIND("/",Wages!$B1209)+1,20))-1))),"")))</f>
        <v/>
      </c>
      <c r="E1206">
        <f>IF(OR($A1206="",$C1206=""),"",IF(ISNUMBER(Wages!$B1209),MOD(Wages!$B1209,100),IFERROR(VALUE(TRIM(MID(MID(Wages!$B1209,FIND("/",Wages!$B1209)+1,20),FIND("/",MID(Wages!$B1209,FIND("/",Wages!$B1209)+1,20))+1,20))),"")))</f>
        <v/>
      </c>
      <c r="F1206">
        <f>IF($A1206="","",IF(OR($C1206="",$D1206="",$E1206="",$C1206&lt;1300,$C1206&gt;1500,$D1206&lt;1,$D1206&gt;12,$E1206&lt;1,$E1206&gt;31),"نامعتبر",RIGHT("0000"&amp;$C1206,4)&amp;"/"&amp;RIGHT("00"&amp;$D1206,2)&amp;"/"&amp;RIGHT("00"&amp;$E1206,2)))</f>
        <v/>
      </c>
      <c r="G1206">
        <f>IF(OR($A1206="",$F1206="",$F1206="نامعتبر"),"",LEFT($F1206,4)&amp;MID($F1206,6,2)&amp;RIGHT($F1206,2)&amp;"0000"&amp;"|"&amp;"1"&amp;RIGHT("00000"&amp;1201,5))</f>
        <v/>
      </c>
      <c r="H1206">
        <f>IF(OR($B1206&lt;&gt;1,$G1206=""),"",COUNTIFS(LdAParty,$A1206,LdAType,1,LdAKey,"&lt;"&amp;$G1206)+COUNTIFS(LdBMember,$A1206,LdBKey,"&lt;"&amp;$G1206)+COUNTIFS(LdCParty,$A1206,LdCKey,"&lt;"&amp;$G1206)+1)</f>
        <v/>
      </c>
      <c r="I1206">
        <f>IF($H1206="","",$A1206&amp;"|"&amp;RIGHT("000000"&amp;$H1206,6))</f>
        <v/>
      </c>
      <c r="J1206">
        <f>IF(OR($B1206&lt;&gt;2,$G1206=""),"",COUNTIFS(LdAParty,$A1206,LdAType,2,LdAKey,"&lt;"&amp;$G1206)+1)</f>
        <v/>
      </c>
      <c r="K1206">
        <f>IF($J1206="","",$A1206&amp;"|"&amp;RIGHT("000000"&amp;$J1206,6))</f>
        <v/>
      </c>
      <c r="L1206">
        <f>IF($A1206="","",IF(Wages!$G1209="",0,Wages!$G1209))</f>
        <v/>
      </c>
      <c r="M1206">
        <f>IF($A1206="","",Wages!$J1209)</f>
        <v/>
      </c>
      <c r="N1206">
        <f>IF($A1206="","",Wages!$D1209)</f>
        <v/>
      </c>
      <c r="P1206">
        <f>IF(OR(Shares!$B1209="",Shares!$C1209=""),"",Shares!$C1209)</f>
        <v/>
      </c>
      <c r="Q1206">
        <f>IF($P1206="","",Shares!$B1209)</f>
        <v/>
      </c>
      <c r="R1206">
        <f>IF($P1206="","",IFERROR(INDEX(WageParty,MATCH($Q1206,WageIds,0)),""))</f>
        <v/>
      </c>
      <c r="S1206">
        <f>IF($P1206="","",IFERROR(INDEX($F$6:$F$2005,MATCH($Q1206,WageIds,0)),""))</f>
        <v/>
      </c>
      <c r="T1206">
        <f>IF(OR($P1206="",$S1206="",$S1206="نامعتبر"),"",LEFT($S1206,4)&amp;MID($S1206,6,2)&amp;RIGHT($S1206,2)&amp;"0000"&amp;"|"&amp;"2"&amp;RIGHT("00000"&amp;1201,5))</f>
        <v/>
      </c>
      <c r="U1206">
        <f>IF($T1206="","",COUNTIFS(LdAParty,$P1206,LdAType,1,LdAKey,"&lt;"&amp;$T1206)+COUNTIFS(LdBMember,$P1206,LdBKey,"&lt;"&amp;$T1206)+COUNTIFS(LdCParty,$P1206,LdCKey,"&lt;"&amp;$T1206)+1)</f>
        <v/>
      </c>
      <c r="V1206">
        <f>IF($U1206="","",$P1206&amp;"|"&amp;RIGHT("000000"&amp;$U1206,6))</f>
        <v/>
      </c>
      <c r="W1206">
        <f>IF($T1206="","",COUNTIFS(LdBGroup,$R1206,LdBKey,"&lt;"&amp;$T1206)+1)</f>
        <v/>
      </c>
      <c r="X1206">
        <f>IF($W1206="","",$R1206&amp;"|"&amp;RIGHT("000000"&amp;$W1206,6))</f>
        <v/>
      </c>
      <c r="Y1206">
        <f>IF($P1206="","",IF(Shares!$E1209="",0,Shares!$E1209))</f>
        <v/>
      </c>
      <c r="Z1206">
        <f>IF($P1206="","",Shares!$H1209)</f>
        <v/>
      </c>
      <c r="AE1206">
        <f>IF(OR(Sync!$S1206="",Sync!$P1206=""),"",Sync!$S1206)</f>
        <v/>
      </c>
      <c r="AF1206">
        <f>IF($AE1206="","",IF(ISNUMBER(Sync!$P1206),IF(AND(Sync!$P1206&gt;=10000101,Sync!$P1206&lt;=99991231),INT(Sync!$P1206/10000),""),IFERROR(VALUE(TRIM(LEFT(Sync!$P1206,FIND("/",Sync!$P1206)-1))),"")))</f>
        <v/>
      </c>
      <c r="AG1206">
        <f>IF(OR($AE1206="",$AF1206=""),"",IF(ISNUMBER(Sync!$P1206),INT(MOD(Sync!$P1206,10000)/100),IFERROR(VALUE(TRIM(LEFT(MID(Sync!$P1206,FIND("/",Sync!$P1206)+1,20),FIND("/",MID(Sync!$P1206,FIND("/",Sync!$P1206)+1,20))-1))),"")))</f>
        <v/>
      </c>
      <c r="AH1206">
        <f>IF(OR($AE1206="",$AF1206=""),"",IF(ISNUMBER(Sync!$P1206),MOD(Sync!$P1206,100),IFERROR(VALUE(TRIM(MID(MID(Sync!$P1206,FIND("/",Sync!$P1206)+1,20),FIND("/",MID(Sync!$P1206,FIND("/",Sync!$P1206)+1,20))+1,20))),"")))</f>
        <v/>
      </c>
      <c r="AI1206">
        <f>IF($AE1206="","",IF(OR($AF1206="",$AG1206="",$AH1206="",$AF1206&lt;1300,$AF1206&gt;1500,$AG1206&lt;1,$AG1206&gt;12,$AH1206&lt;1,$AH1206&gt;31),"نامعتبر",RIGHT("0000"&amp;$AF1206,4)&amp;"/"&amp;RIGHT("00"&amp;$AG1206,2)&amp;"/"&amp;RIGHT("00"&amp;$AH1206,2)))</f>
        <v/>
      </c>
      <c r="AJ1206">
        <f>IF($AE1206="","",IF(Sync!$Q1206="","0000",IF(AND(ISNUMBER(Sync!$Q1206),Sync!$Q1206&gt;=0,Sync!$Q1206&lt;1),RIGHT("00"&amp;HOUR(Sync!$Q1206),2)&amp;RIGHT("00"&amp;MINUTE(Sync!$Q1206),2),IFERROR(RIGHT("00"&amp;VALUE(LEFT(Sync!$Q1206,FIND(":",Sync!$Q1206)-1)),2)&amp;RIGHT("00"&amp;VALUE(MID(Sync!$Q1206,FIND(":",Sync!$Q1206)+1,2)),2),"0000"))))</f>
        <v/>
      </c>
      <c r="AK1206">
        <f>IF(OR($AE1206="",$AI1206="",$AI1206="نامعتبر"),"",LEFT($AI1206,4)&amp;MID($AI1206,6,2)&amp;RIGHT($AI1206,2)&amp;$AJ1206&amp;"|"&amp;"3"&amp;RIGHT("00000"&amp;1201,5))</f>
        <v/>
      </c>
      <c r="AL1206">
        <f>IF($AK1206="","",COUNTIFS(LdAParty,$AE1206,LdAType,1,LdAKey,"&lt;"&amp;$AK1206)+COUNTIFS(LdBMember,$AE1206,LdBKey,"&lt;"&amp;$AK1206)+COUNTIFS(LdCParty,$AE1206,LdCKey,"&lt;"&amp;$AK1206)+1)</f>
        <v/>
      </c>
      <c r="AM1206">
        <f>IF($AL1206="","",$AE1206&amp;"|"&amp;RIGHT("000000"&amp;$AL1206,6))</f>
        <v/>
      </c>
      <c r="AN1206">
        <f>IF($AE1206="","",IF(Sync!$W1206="",0,Sync!$W1206))</f>
        <v/>
      </c>
      <c r="AO1206">
        <f>IF($AE1206="","",IF(Sync!$X1206="",0,Sync!$X1206))</f>
        <v/>
      </c>
      <c r="AP1206">
        <f>IF($AE1206="","",Sync!$R1206)</f>
        <v/>
      </c>
      <c r="AQ1206">
        <f>IF($AE1206="","",Sync!$Y1206)</f>
        <v/>
      </c>
    </row>
    <row r="1207">
      <c r="A1207">
        <f>IF(OR(Wages!$B1210="",Wages!$E1210=""),"",Wages!$E1210)</f>
        <v/>
      </c>
      <c r="B1207">
        <f>IF($A1207="","",IF(Wages!$C1210="دستمزد گروهی",2,1))</f>
        <v/>
      </c>
      <c r="C1207">
        <f>IF($A1207="","",IF(ISNUMBER(Wages!$B1210),IF(AND(Wages!$B1210&gt;=10000101,Wages!$B1210&lt;=99991231),INT(Wages!$B1210/10000),""),IFERROR(VALUE(TRIM(LEFT(Wages!$B1210,FIND("/",Wages!$B1210)-1))),"")))</f>
        <v/>
      </c>
      <c r="D1207">
        <f>IF(OR($A1207="",$C1207=""),"",IF(ISNUMBER(Wages!$B1210),INT(MOD(Wages!$B1210,10000)/100),IFERROR(VALUE(TRIM(LEFT(MID(Wages!$B1210,FIND("/",Wages!$B1210)+1,20),FIND("/",MID(Wages!$B1210,FIND("/",Wages!$B1210)+1,20))-1))),"")))</f>
        <v/>
      </c>
      <c r="E1207">
        <f>IF(OR($A1207="",$C1207=""),"",IF(ISNUMBER(Wages!$B1210),MOD(Wages!$B1210,100),IFERROR(VALUE(TRIM(MID(MID(Wages!$B1210,FIND("/",Wages!$B1210)+1,20),FIND("/",MID(Wages!$B1210,FIND("/",Wages!$B1210)+1,20))+1,20))),"")))</f>
        <v/>
      </c>
      <c r="F1207">
        <f>IF($A1207="","",IF(OR($C1207="",$D1207="",$E1207="",$C1207&lt;1300,$C1207&gt;1500,$D1207&lt;1,$D1207&gt;12,$E1207&lt;1,$E1207&gt;31),"نامعتبر",RIGHT("0000"&amp;$C1207,4)&amp;"/"&amp;RIGHT("00"&amp;$D1207,2)&amp;"/"&amp;RIGHT("00"&amp;$E1207,2)))</f>
        <v/>
      </c>
      <c r="G1207">
        <f>IF(OR($A1207="",$F1207="",$F1207="نامعتبر"),"",LEFT($F1207,4)&amp;MID($F1207,6,2)&amp;RIGHT($F1207,2)&amp;"0000"&amp;"|"&amp;"1"&amp;RIGHT("00000"&amp;1202,5))</f>
        <v/>
      </c>
      <c r="H1207">
        <f>IF(OR($B1207&lt;&gt;1,$G1207=""),"",COUNTIFS(LdAParty,$A1207,LdAType,1,LdAKey,"&lt;"&amp;$G1207)+COUNTIFS(LdBMember,$A1207,LdBKey,"&lt;"&amp;$G1207)+COUNTIFS(LdCParty,$A1207,LdCKey,"&lt;"&amp;$G1207)+1)</f>
        <v/>
      </c>
      <c r="I1207">
        <f>IF($H1207="","",$A1207&amp;"|"&amp;RIGHT("000000"&amp;$H1207,6))</f>
        <v/>
      </c>
      <c r="J1207">
        <f>IF(OR($B1207&lt;&gt;2,$G1207=""),"",COUNTIFS(LdAParty,$A1207,LdAType,2,LdAKey,"&lt;"&amp;$G1207)+1)</f>
        <v/>
      </c>
      <c r="K1207">
        <f>IF($J1207="","",$A1207&amp;"|"&amp;RIGHT("000000"&amp;$J1207,6))</f>
        <v/>
      </c>
      <c r="L1207">
        <f>IF($A1207="","",IF(Wages!$G1210="",0,Wages!$G1210))</f>
        <v/>
      </c>
      <c r="M1207">
        <f>IF($A1207="","",Wages!$J1210)</f>
        <v/>
      </c>
      <c r="N1207">
        <f>IF($A1207="","",Wages!$D1210)</f>
        <v/>
      </c>
      <c r="P1207">
        <f>IF(OR(Shares!$B1210="",Shares!$C1210=""),"",Shares!$C1210)</f>
        <v/>
      </c>
      <c r="Q1207">
        <f>IF($P1207="","",Shares!$B1210)</f>
        <v/>
      </c>
      <c r="R1207">
        <f>IF($P1207="","",IFERROR(INDEX(WageParty,MATCH($Q1207,WageIds,0)),""))</f>
        <v/>
      </c>
      <c r="S1207">
        <f>IF($P1207="","",IFERROR(INDEX($F$6:$F$2005,MATCH($Q1207,WageIds,0)),""))</f>
        <v/>
      </c>
      <c r="T1207">
        <f>IF(OR($P1207="",$S1207="",$S1207="نامعتبر"),"",LEFT($S1207,4)&amp;MID($S1207,6,2)&amp;RIGHT($S1207,2)&amp;"0000"&amp;"|"&amp;"2"&amp;RIGHT("00000"&amp;1202,5))</f>
        <v/>
      </c>
      <c r="U1207">
        <f>IF($T1207="","",COUNTIFS(LdAParty,$P1207,LdAType,1,LdAKey,"&lt;"&amp;$T1207)+COUNTIFS(LdBMember,$P1207,LdBKey,"&lt;"&amp;$T1207)+COUNTIFS(LdCParty,$P1207,LdCKey,"&lt;"&amp;$T1207)+1)</f>
        <v/>
      </c>
      <c r="V1207">
        <f>IF($U1207="","",$P1207&amp;"|"&amp;RIGHT("000000"&amp;$U1207,6))</f>
        <v/>
      </c>
      <c r="W1207">
        <f>IF($T1207="","",COUNTIFS(LdBGroup,$R1207,LdBKey,"&lt;"&amp;$T1207)+1)</f>
        <v/>
      </c>
      <c r="X1207">
        <f>IF($W1207="","",$R1207&amp;"|"&amp;RIGHT("000000"&amp;$W1207,6))</f>
        <v/>
      </c>
      <c r="Y1207">
        <f>IF($P1207="","",IF(Shares!$E1210="",0,Shares!$E1210))</f>
        <v/>
      </c>
      <c r="Z1207">
        <f>IF($P1207="","",Shares!$H1210)</f>
        <v/>
      </c>
      <c r="AE1207">
        <f>IF(OR(Sync!$S1207="",Sync!$P1207=""),"",Sync!$S1207)</f>
        <v/>
      </c>
      <c r="AF1207">
        <f>IF($AE1207="","",IF(ISNUMBER(Sync!$P1207),IF(AND(Sync!$P1207&gt;=10000101,Sync!$P1207&lt;=99991231),INT(Sync!$P1207/10000),""),IFERROR(VALUE(TRIM(LEFT(Sync!$P1207,FIND("/",Sync!$P1207)-1))),"")))</f>
        <v/>
      </c>
      <c r="AG1207">
        <f>IF(OR($AE1207="",$AF1207=""),"",IF(ISNUMBER(Sync!$P1207),INT(MOD(Sync!$P1207,10000)/100),IFERROR(VALUE(TRIM(LEFT(MID(Sync!$P1207,FIND("/",Sync!$P1207)+1,20),FIND("/",MID(Sync!$P1207,FIND("/",Sync!$P1207)+1,20))-1))),"")))</f>
        <v/>
      </c>
      <c r="AH1207">
        <f>IF(OR($AE1207="",$AF1207=""),"",IF(ISNUMBER(Sync!$P1207),MOD(Sync!$P1207,100),IFERROR(VALUE(TRIM(MID(MID(Sync!$P1207,FIND("/",Sync!$P1207)+1,20),FIND("/",MID(Sync!$P1207,FIND("/",Sync!$P1207)+1,20))+1,20))),"")))</f>
        <v/>
      </c>
      <c r="AI1207">
        <f>IF($AE1207="","",IF(OR($AF1207="",$AG1207="",$AH1207="",$AF1207&lt;1300,$AF1207&gt;1500,$AG1207&lt;1,$AG1207&gt;12,$AH1207&lt;1,$AH1207&gt;31),"نامعتبر",RIGHT("0000"&amp;$AF1207,4)&amp;"/"&amp;RIGHT("00"&amp;$AG1207,2)&amp;"/"&amp;RIGHT("00"&amp;$AH1207,2)))</f>
        <v/>
      </c>
      <c r="AJ1207">
        <f>IF($AE1207="","",IF(Sync!$Q1207="","0000",IF(AND(ISNUMBER(Sync!$Q1207),Sync!$Q1207&gt;=0,Sync!$Q1207&lt;1),RIGHT("00"&amp;HOUR(Sync!$Q1207),2)&amp;RIGHT("00"&amp;MINUTE(Sync!$Q1207),2),IFERROR(RIGHT("00"&amp;VALUE(LEFT(Sync!$Q1207,FIND(":",Sync!$Q1207)-1)),2)&amp;RIGHT("00"&amp;VALUE(MID(Sync!$Q1207,FIND(":",Sync!$Q1207)+1,2)),2),"0000"))))</f>
        <v/>
      </c>
      <c r="AK1207">
        <f>IF(OR($AE1207="",$AI1207="",$AI1207="نامعتبر"),"",LEFT($AI1207,4)&amp;MID($AI1207,6,2)&amp;RIGHT($AI1207,2)&amp;$AJ1207&amp;"|"&amp;"3"&amp;RIGHT("00000"&amp;1202,5))</f>
        <v/>
      </c>
      <c r="AL1207">
        <f>IF($AK1207="","",COUNTIFS(LdAParty,$AE1207,LdAType,1,LdAKey,"&lt;"&amp;$AK1207)+COUNTIFS(LdBMember,$AE1207,LdBKey,"&lt;"&amp;$AK1207)+COUNTIFS(LdCParty,$AE1207,LdCKey,"&lt;"&amp;$AK1207)+1)</f>
        <v/>
      </c>
      <c r="AM1207">
        <f>IF($AL1207="","",$AE1207&amp;"|"&amp;RIGHT("000000"&amp;$AL1207,6))</f>
        <v/>
      </c>
      <c r="AN1207">
        <f>IF($AE1207="","",IF(Sync!$W1207="",0,Sync!$W1207))</f>
        <v/>
      </c>
      <c r="AO1207">
        <f>IF($AE1207="","",IF(Sync!$X1207="",0,Sync!$X1207))</f>
        <v/>
      </c>
      <c r="AP1207">
        <f>IF($AE1207="","",Sync!$R1207)</f>
        <v/>
      </c>
      <c r="AQ1207">
        <f>IF($AE1207="","",Sync!$Y1207)</f>
        <v/>
      </c>
    </row>
    <row r="1208">
      <c r="A1208">
        <f>IF(OR(Wages!$B1211="",Wages!$E1211=""),"",Wages!$E1211)</f>
        <v/>
      </c>
      <c r="B1208">
        <f>IF($A1208="","",IF(Wages!$C1211="دستمزد گروهی",2,1))</f>
        <v/>
      </c>
      <c r="C1208">
        <f>IF($A1208="","",IF(ISNUMBER(Wages!$B1211),IF(AND(Wages!$B1211&gt;=10000101,Wages!$B1211&lt;=99991231),INT(Wages!$B1211/10000),""),IFERROR(VALUE(TRIM(LEFT(Wages!$B1211,FIND("/",Wages!$B1211)-1))),"")))</f>
        <v/>
      </c>
      <c r="D1208">
        <f>IF(OR($A1208="",$C1208=""),"",IF(ISNUMBER(Wages!$B1211),INT(MOD(Wages!$B1211,10000)/100),IFERROR(VALUE(TRIM(LEFT(MID(Wages!$B1211,FIND("/",Wages!$B1211)+1,20),FIND("/",MID(Wages!$B1211,FIND("/",Wages!$B1211)+1,20))-1))),"")))</f>
        <v/>
      </c>
      <c r="E1208">
        <f>IF(OR($A1208="",$C1208=""),"",IF(ISNUMBER(Wages!$B1211),MOD(Wages!$B1211,100),IFERROR(VALUE(TRIM(MID(MID(Wages!$B1211,FIND("/",Wages!$B1211)+1,20),FIND("/",MID(Wages!$B1211,FIND("/",Wages!$B1211)+1,20))+1,20))),"")))</f>
        <v/>
      </c>
      <c r="F1208">
        <f>IF($A1208="","",IF(OR($C1208="",$D1208="",$E1208="",$C1208&lt;1300,$C1208&gt;1500,$D1208&lt;1,$D1208&gt;12,$E1208&lt;1,$E1208&gt;31),"نامعتبر",RIGHT("0000"&amp;$C1208,4)&amp;"/"&amp;RIGHT("00"&amp;$D1208,2)&amp;"/"&amp;RIGHT("00"&amp;$E1208,2)))</f>
        <v/>
      </c>
      <c r="G1208">
        <f>IF(OR($A1208="",$F1208="",$F1208="نامعتبر"),"",LEFT($F1208,4)&amp;MID($F1208,6,2)&amp;RIGHT($F1208,2)&amp;"0000"&amp;"|"&amp;"1"&amp;RIGHT("00000"&amp;1203,5))</f>
        <v/>
      </c>
      <c r="H1208">
        <f>IF(OR($B1208&lt;&gt;1,$G1208=""),"",COUNTIFS(LdAParty,$A1208,LdAType,1,LdAKey,"&lt;"&amp;$G1208)+COUNTIFS(LdBMember,$A1208,LdBKey,"&lt;"&amp;$G1208)+COUNTIFS(LdCParty,$A1208,LdCKey,"&lt;"&amp;$G1208)+1)</f>
        <v/>
      </c>
      <c r="I1208">
        <f>IF($H1208="","",$A1208&amp;"|"&amp;RIGHT("000000"&amp;$H1208,6))</f>
        <v/>
      </c>
      <c r="J1208">
        <f>IF(OR($B1208&lt;&gt;2,$G1208=""),"",COUNTIFS(LdAParty,$A1208,LdAType,2,LdAKey,"&lt;"&amp;$G1208)+1)</f>
        <v/>
      </c>
      <c r="K1208">
        <f>IF($J1208="","",$A1208&amp;"|"&amp;RIGHT("000000"&amp;$J1208,6))</f>
        <v/>
      </c>
      <c r="L1208">
        <f>IF($A1208="","",IF(Wages!$G1211="",0,Wages!$G1211))</f>
        <v/>
      </c>
      <c r="M1208">
        <f>IF($A1208="","",Wages!$J1211)</f>
        <v/>
      </c>
      <c r="N1208">
        <f>IF($A1208="","",Wages!$D1211)</f>
        <v/>
      </c>
      <c r="P1208">
        <f>IF(OR(Shares!$B1211="",Shares!$C1211=""),"",Shares!$C1211)</f>
        <v/>
      </c>
      <c r="Q1208">
        <f>IF($P1208="","",Shares!$B1211)</f>
        <v/>
      </c>
      <c r="R1208">
        <f>IF($P1208="","",IFERROR(INDEX(WageParty,MATCH($Q1208,WageIds,0)),""))</f>
        <v/>
      </c>
      <c r="S1208">
        <f>IF($P1208="","",IFERROR(INDEX($F$6:$F$2005,MATCH($Q1208,WageIds,0)),""))</f>
        <v/>
      </c>
      <c r="T1208">
        <f>IF(OR($P1208="",$S1208="",$S1208="نامعتبر"),"",LEFT($S1208,4)&amp;MID($S1208,6,2)&amp;RIGHT($S1208,2)&amp;"0000"&amp;"|"&amp;"2"&amp;RIGHT("00000"&amp;1203,5))</f>
        <v/>
      </c>
      <c r="U1208">
        <f>IF($T1208="","",COUNTIFS(LdAParty,$P1208,LdAType,1,LdAKey,"&lt;"&amp;$T1208)+COUNTIFS(LdBMember,$P1208,LdBKey,"&lt;"&amp;$T1208)+COUNTIFS(LdCParty,$P1208,LdCKey,"&lt;"&amp;$T1208)+1)</f>
        <v/>
      </c>
      <c r="V1208">
        <f>IF($U1208="","",$P1208&amp;"|"&amp;RIGHT("000000"&amp;$U1208,6))</f>
        <v/>
      </c>
      <c r="W1208">
        <f>IF($T1208="","",COUNTIFS(LdBGroup,$R1208,LdBKey,"&lt;"&amp;$T1208)+1)</f>
        <v/>
      </c>
      <c r="X1208">
        <f>IF($W1208="","",$R1208&amp;"|"&amp;RIGHT("000000"&amp;$W1208,6))</f>
        <v/>
      </c>
      <c r="Y1208">
        <f>IF($P1208="","",IF(Shares!$E1211="",0,Shares!$E1211))</f>
        <v/>
      </c>
      <c r="Z1208">
        <f>IF($P1208="","",Shares!$H1211)</f>
        <v/>
      </c>
      <c r="AE1208">
        <f>IF(OR(Sync!$S1208="",Sync!$P1208=""),"",Sync!$S1208)</f>
        <v/>
      </c>
      <c r="AF1208">
        <f>IF($AE1208="","",IF(ISNUMBER(Sync!$P1208),IF(AND(Sync!$P1208&gt;=10000101,Sync!$P1208&lt;=99991231),INT(Sync!$P1208/10000),""),IFERROR(VALUE(TRIM(LEFT(Sync!$P1208,FIND("/",Sync!$P1208)-1))),"")))</f>
        <v/>
      </c>
      <c r="AG1208">
        <f>IF(OR($AE1208="",$AF1208=""),"",IF(ISNUMBER(Sync!$P1208),INT(MOD(Sync!$P1208,10000)/100),IFERROR(VALUE(TRIM(LEFT(MID(Sync!$P1208,FIND("/",Sync!$P1208)+1,20),FIND("/",MID(Sync!$P1208,FIND("/",Sync!$P1208)+1,20))-1))),"")))</f>
        <v/>
      </c>
      <c r="AH1208">
        <f>IF(OR($AE1208="",$AF1208=""),"",IF(ISNUMBER(Sync!$P1208),MOD(Sync!$P1208,100),IFERROR(VALUE(TRIM(MID(MID(Sync!$P1208,FIND("/",Sync!$P1208)+1,20),FIND("/",MID(Sync!$P1208,FIND("/",Sync!$P1208)+1,20))+1,20))),"")))</f>
        <v/>
      </c>
      <c r="AI1208">
        <f>IF($AE1208="","",IF(OR($AF1208="",$AG1208="",$AH1208="",$AF1208&lt;1300,$AF1208&gt;1500,$AG1208&lt;1,$AG1208&gt;12,$AH1208&lt;1,$AH1208&gt;31),"نامعتبر",RIGHT("0000"&amp;$AF1208,4)&amp;"/"&amp;RIGHT("00"&amp;$AG1208,2)&amp;"/"&amp;RIGHT("00"&amp;$AH1208,2)))</f>
        <v/>
      </c>
      <c r="AJ1208">
        <f>IF($AE1208="","",IF(Sync!$Q1208="","0000",IF(AND(ISNUMBER(Sync!$Q1208),Sync!$Q1208&gt;=0,Sync!$Q1208&lt;1),RIGHT("00"&amp;HOUR(Sync!$Q1208),2)&amp;RIGHT("00"&amp;MINUTE(Sync!$Q1208),2),IFERROR(RIGHT("00"&amp;VALUE(LEFT(Sync!$Q1208,FIND(":",Sync!$Q1208)-1)),2)&amp;RIGHT("00"&amp;VALUE(MID(Sync!$Q1208,FIND(":",Sync!$Q1208)+1,2)),2),"0000"))))</f>
        <v/>
      </c>
      <c r="AK1208">
        <f>IF(OR($AE1208="",$AI1208="",$AI1208="نامعتبر"),"",LEFT($AI1208,4)&amp;MID($AI1208,6,2)&amp;RIGHT($AI1208,2)&amp;$AJ1208&amp;"|"&amp;"3"&amp;RIGHT("00000"&amp;1203,5))</f>
        <v/>
      </c>
      <c r="AL1208">
        <f>IF($AK1208="","",COUNTIFS(LdAParty,$AE1208,LdAType,1,LdAKey,"&lt;"&amp;$AK1208)+COUNTIFS(LdBMember,$AE1208,LdBKey,"&lt;"&amp;$AK1208)+COUNTIFS(LdCParty,$AE1208,LdCKey,"&lt;"&amp;$AK1208)+1)</f>
        <v/>
      </c>
      <c r="AM1208">
        <f>IF($AL1208="","",$AE1208&amp;"|"&amp;RIGHT("000000"&amp;$AL1208,6))</f>
        <v/>
      </c>
      <c r="AN1208">
        <f>IF($AE1208="","",IF(Sync!$W1208="",0,Sync!$W1208))</f>
        <v/>
      </c>
      <c r="AO1208">
        <f>IF($AE1208="","",IF(Sync!$X1208="",0,Sync!$X1208))</f>
        <v/>
      </c>
      <c r="AP1208">
        <f>IF($AE1208="","",Sync!$R1208)</f>
        <v/>
      </c>
      <c r="AQ1208">
        <f>IF($AE1208="","",Sync!$Y1208)</f>
        <v/>
      </c>
    </row>
    <row r="1209">
      <c r="A1209">
        <f>IF(OR(Wages!$B1212="",Wages!$E1212=""),"",Wages!$E1212)</f>
        <v/>
      </c>
      <c r="B1209">
        <f>IF($A1209="","",IF(Wages!$C1212="دستمزد گروهی",2,1))</f>
        <v/>
      </c>
      <c r="C1209">
        <f>IF($A1209="","",IF(ISNUMBER(Wages!$B1212),IF(AND(Wages!$B1212&gt;=10000101,Wages!$B1212&lt;=99991231),INT(Wages!$B1212/10000),""),IFERROR(VALUE(TRIM(LEFT(Wages!$B1212,FIND("/",Wages!$B1212)-1))),"")))</f>
        <v/>
      </c>
      <c r="D1209">
        <f>IF(OR($A1209="",$C1209=""),"",IF(ISNUMBER(Wages!$B1212),INT(MOD(Wages!$B1212,10000)/100),IFERROR(VALUE(TRIM(LEFT(MID(Wages!$B1212,FIND("/",Wages!$B1212)+1,20),FIND("/",MID(Wages!$B1212,FIND("/",Wages!$B1212)+1,20))-1))),"")))</f>
        <v/>
      </c>
      <c r="E1209">
        <f>IF(OR($A1209="",$C1209=""),"",IF(ISNUMBER(Wages!$B1212),MOD(Wages!$B1212,100),IFERROR(VALUE(TRIM(MID(MID(Wages!$B1212,FIND("/",Wages!$B1212)+1,20),FIND("/",MID(Wages!$B1212,FIND("/",Wages!$B1212)+1,20))+1,20))),"")))</f>
        <v/>
      </c>
      <c r="F1209">
        <f>IF($A1209="","",IF(OR($C1209="",$D1209="",$E1209="",$C1209&lt;1300,$C1209&gt;1500,$D1209&lt;1,$D1209&gt;12,$E1209&lt;1,$E1209&gt;31),"نامعتبر",RIGHT("0000"&amp;$C1209,4)&amp;"/"&amp;RIGHT("00"&amp;$D1209,2)&amp;"/"&amp;RIGHT("00"&amp;$E1209,2)))</f>
        <v/>
      </c>
      <c r="G1209">
        <f>IF(OR($A1209="",$F1209="",$F1209="نامعتبر"),"",LEFT($F1209,4)&amp;MID($F1209,6,2)&amp;RIGHT($F1209,2)&amp;"0000"&amp;"|"&amp;"1"&amp;RIGHT("00000"&amp;1204,5))</f>
        <v/>
      </c>
      <c r="H1209">
        <f>IF(OR($B1209&lt;&gt;1,$G1209=""),"",COUNTIFS(LdAParty,$A1209,LdAType,1,LdAKey,"&lt;"&amp;$G1209)+COUNTIFS(LdBMember,$A1209,LdBKey,"&lt;"&amp;$G1209)+COUNTIFS(LdCParty,$A1209,LdCKey,"&lt;"&amp;$G1209)+1)</f>
        <v/>
      </c>
      <c r="I1209">
        <f>IF($H1209="","",$A1209&amp;"|"&amp;RIGHT("000000"&amp;$H1209,6))</f>
        <v/>
      </c>
      <c r="J1209">
        <f>IF(OR($B1209&lt;&gt;2,$G1209=""),"",COUNTIFS(LdAParty,$A1209,LdAType,2,LdAKey,"&lt;"&amp;$G1209)+1)</f>
        <v/>
      </c>
      <c r="K1209">
        <f>IF($J1209="","",$A1209&amp;"|"&amp;RIGHT("000000"&amp;$J1209,6))</f>
        <v/>
      </c>
      <c r="L1209">
        <f>IF($A1209="","",IF(Wages!$G1212="",0,Wages!$G1212))</f>
        <v/>
      </c>
      <c r="M1209">
        <f>IF($A1209="","",Wages!$J1212)</f>
        <v/>
      </c>
      <c r="N1209">
        <f>IF($A1209="","",Wages!$D1212)</f>
        <v/>
      </c>
      <c r="P1209">
        <f>IF(OR(Shares!$B1212="",Shares!$C1212=""),"",Shares!$C1212)</f>
        <v/>
      </c>
      <c r="Q1209">
        <f>IF($P1209="","",Shares!$B1212)</f>
        <v/>
      </c>
      <c r="R1209">
        <f>IF($P1209="","",IFERROR(INDEX(WageParty,MATCH($Q1209,WageIds,0)),""))</f>
        <v/>
      </c>
      <c r="S1209">
        <f>IF($P1209="","",IFERROR(INDEX($F$6:$F$2005,MATCH($Q1209,WageIds,0)),""))</f>
        <v/>
      </c>
      <c r="T1209">
        <f>IF(OR($P1209="",$S1209="",$S1209="نامعتبر"),"",LEFT($S1209,4)&amp;MID($S1209,6,2)&amp;RIGHT($S1209,2)&amp;"0000"&amp;"|"&amp;"2"&amp;RIGHT("00000"&amp;1204,5))</f>
        <v/>
      </c>
      <c r="U1209">
        <f>IF($T1209="","",COUNTIFS(LdAParty,$P1209,LdAType,1,LdAKey,"&lt;"&amp;$T1209)+COUNTIFS(LdBMember,$P1209,LdBKey,"&lt;"&amp;$T1209)+COUNTIFS(LdCParty,$P1209,LdCKey,"&lt;"&amp;$T1209)+1)</f>
        <v/>
      </c>
      <c r="V1209">
        <f>IF($U1209="","",$P1209&amp;"|"&amp;RIGHT("000000"&amp;$U1209,6))</f>
        <v/>
      </c>
      <c r="W1209">
        <f>IF($T1209="","",COUNTIFS(LdBGroup,$R1209,LdBKey,"&lt;"&amp;$T1209)+1)</f>
        <v/>
      </c>
      <c r="X1209">
        <f>IF($W1209="","",$R1209&amp;"|"&amp;RIGHT("000000"&amp;$W1209,6))</f>
        <v/>
      </c>
      <c r="Y1209">
        <f>IF($P1209="","",IF(Shares!$E1212="",0,Shares!$E1212))</f>
        <v/>
      </c>
      <c r="Z1209">
        <f>IF($P1209="","",Shares!$H1212)</f>
        <v/>
      </c>
      <c r="AE1209">
        <f>IF(OR(Sync!$S1209="",Sync!$P1209=""),"",Sync!$S1209)</f>
        <v/>
      </c>
      <c r="AF1209">
        <f>IF($AE1209="","",IF(ISNUMBER(Sync!$P1209),IF(AND(Sync!$P1209&gt;=10000101,Sync!$P1209&lt;=99991231),INT(Sync!$P1209/10000),""),IFERROR(VALUE(TRIM(LEFT(Sync!$P1209,FIND("/",Sync!$P1209)-1))),"")))</f>
        <v/>
      </c>
      <c r="AG1209">
        <f>IF(OR($AE1209="",$AF1209=""),"",IF(ISNUMBER(Sync!$P1209),INT(MOD(Sync!$P1209,10000)/100),IFERROR(VALUE(TRIM(LEFT(MID(Sync!$P1209,FIND("/",Sync!$P1209)+1,20),FIND("/",MID(Sync!$P1209,FIND("/",Sync!$P1209)+1,20))-1))),"")))</f>
        <v/>
      </c>
      <c r="AH1209">
        <f>IF(OR($AE1209="",$AF1209=""),"",IF(ISNUMBER(Sync!$P1209),MOD(Sync!$P1209,100),IFERROR(VALUE(TRIM(MID(MID(Sync!$P1209,FIND("/",Sync!$P1209)+1,20),FIND("/",MID(Sync!$P1209,FIND("/",Sync!$P1209)+1,20))+1,20))),"")))</f>
        <v/>
      </c>
      <c r="AI1209">
        <f>IF($AE1209="","",IF(OR($AF1209="",$AG1209="",$AH1209="",$AF1209&lt;1300,$AF1209&gt;1500,$AG1209&lt;1,$AG1209&gt;12,$AH1209&lt;1,$AH1209&gt;31),"نامعتبر",RIGHT("0000"&amp;$AF1209,4)&amp;"/"&amp;RIGHT("00"&amp;$AG1209,2)&amp;"/"&amp;RIGHT("00"&amp;$AH1209,2)))</f>
        <v/>
      </c>
      <c r="AJ1209">
        <f>IF($AE1209="","",IF(Sync!$Q1209="","0000",IF(AND(ISNUMBER(Sync!$Q1209),Sync!$Q1209&gt;=0,Sync!$Q1209&lt;1),RIGHT("00"&amp;HOUR(Sync!$Q1209),2)&amp;RIGHT("00"&amp;MINUTE(Sync!$Q1209),2),IFERROR(RIGHT("00"&amp;VALUE(LEFT(Sync!$Q1209,FIND(":",Sync!$Q1209)-1)),2)&amp;RIGHT("00"&amp;VALUE(MID(Sync!$Q1209,FIND(":",Sync!$Q1209)+1,2)),2),"0000"))))</f>
        <v/>
      </c>
      <c r="AK1209">
        <f>IF(OR($AE1209="",$AI1209="",$AI1209="نامعتبر"),"",LEFT($AI1209,4)&amp;MID($AI1209,6,2)&amp;RIGHT($AI1209,2)&amp;$AJ1209&amp;"|"&amp;"3"&amp;RIGHT("00000"&amp;1204,5))</f>
        <v/>
      </c>
      <c r="AL1209">
        <f>IF($AK1209="","",COUNTIFS(LdAParty,$AE1209,LdAType,1,LdAKey,"&lt;"&amp;$AK1209)+COUNTIFS(LdBMember,$AE1209,LdBKey,"&lt;"&amp;$AK1209)+COUNTIFS(LdCParty,$AE1209,LdCKey,"&lt;"&amp;$AK1209)+1)</f>
        <v/>
      </c>
      <c r="AM1209">
        <f>IF($AL1209="","",$AE1209&amp;"|"&amp;RIGHT("000000"&amp;$AL1209,6))</f>
        <v/>
      </c>
      <c r="AN1209">
        <f>IF($AE1209="","",IF(Sync!$W1209="",0,Sync!$W1209))</f>
        <v/>
      </c>
      <c r="AO1209">
        <f>IF($AE1209="","",IF(Sync!$X1209="",0,Sync!$X1209))</f>
        <v/>
      </c>
      <c r="AP1209">
        <f>IF($AE1209="","",Sync!$R1209)</f>
        <v/>
      </c>
      <c r="AQ1209">
        <f>IF($AE1209="","",Sync!$Y1209)</f>
        <v/>
      </c>
    </row>
    <row r="1210">
      <c r="A1210">
        <f>IF(OR(Wages!$B1213="",Wages!$E1213=""),"",Wages!$E1213)</f>
        <v/>
      </c>
      <c r="B1210">
        <f>IF($A1210="","",IF(Wages!$C1213="دستمزد گروهی",2,1))</f>
        <v/>
      </c>
      <c r="C1210">
        <f>IF($A1210="","",IF(ISNUMBER(Wages!$B1213),IF(AND(Wages!$B1213&gt;=10000101,Wages!$B1213&lt;=99991231),INT(Wages!$B1213/10000),""),IFERROR(VALUE(TRIM(LEFT(Wages!$B1213,FIND("/",Wages!$B1213)-1))),"")))</f>
        <v/>
      </c>
      <c r="D1210">
        <f>IF(OR($A1210="",$C1210=""),"",IF(ISNUMBER(Wages!$B1213),INT(MOD(Wages!$B1213,10000)/100),IFERROR(VALUE(TRIM(LEFT(MID(Wages!$B1213,FIND("/",Wages!$B1213)+1,20),FIND("/",MID(Wages!$B1213,FIND("/",Wages!$B1213)+1,20))-1))),"")))</f>
        <v/>
      </c>
      <c r="E1210">
        <f>IF(OR($A1210="",$C1210=""),"",IF(ISNUMBER(Wages!$B1213),MOD(Wages!$B1213,100),IFERROR(VALUE(TRIM(MID(MID(Wages!$B1213,FIND("/",Wages!$B1213)+1,20),FIND("/",MID(Wages!$B1213,FIND("/",Wages!$B1213)+1,20))+1,20))),"")))</f>
        <v/>
      </c>
      <c r="F1210">
        <f>IF($A1210="","",IF(OR($C1210="",$D1210="",$E1210="",$C1210&lt;1300,$C1210&gt;1500,$D1210&lt;1,$D1210&gt;12,$E1210&lt;1,$E1210&gt;31),"نامعتبر",RIGHT("0000"&amp;$C1210,4)&amp;"/"&amp;RIGHT("00"&amp;$D1210,2)&amp;"/"&amp;RIGHT("00"&amp;$E1210,2)))</f>
        <v/>
      </c>
      <c r="G1210">
        <f>IF(OR($A1210="",$F1210="",$F1210="نامعتبر"),"",LEFT($F1210,4)&amp;MID($F1210,6,2)&amp;RIGHT($F1210,2)&amp;"0000"&amp;"|"&amp;"1"&amp;RIGHT("00000"&amp;1205,5))</f>
        <v/>
      </c>
      <c r="H1210">
        <f>IF(OR($B1210&lt;&gt;1,$G1210=""),"",COUNTIFS(LdAParty,$A1210,LdAType,1,LdAKey,"&lt;"&amp;$G1210)+COUNTIFS(LdBMember,$A1210,LdBKey,"&lt;"&amp;$G1210)+COUNTIFS(LdCParty,$A1210,LdCKey,"&lt;"&amp;$G1210)+1)</f>
        <v/>
      </c>
      <c r="I1210">
        <f>IF($H1210="","",$A1210&amp;"|"&amp;RIGHT("000000"&amp;$H1210,6))</f>
        <v/>
      </c>
      <c r="J1210">
        <f>IF(OR($B1210&lt;&gt;2,$G1210=""),"",COUNTIFS(LdAParty,$A1210,LdAType,2,LdAKey,"&lt;"&amp;$G1210)+1)</f>
        <v/>
      </c>
      <c r="K1210">
        <f>IF($J1210="","",$A1210&amp;"|"&amp;RIGHT("000000"&amp;$J1210,6))</f>
        <v/>
      </c>
      <c r="L1210">
        <f>IF($A1210="","",IF(Wages!$G1213="",0,Wages!$G1213))</f>
        <v/>
      </c>
      <c r="M1210">
        <f>IF($A1210="","",Wages!$J1213)</f>
        <v/>
      </c>
      <c r="N1210">
        <f>IF($A1210="","",Wages!$D1213)</f>
        <v/>
      </c>
      <c r="P1210">
        <f>IF(OR(Shares!$B1213="",Shares!$C1213=""),"",Shares!$C1213)</f>
        <v/>
      </c>
      <c r="Q1210">
        <f>IF($P1210="","",Shares!$B1213)</f>
        <v/>
      </c>
      <c r="R1210">
        <f>IF($P1210="","",IFERROR(INDEX(WageParty,MATCH($Q1210,WageIds,0)),""))</f>
        <v/>
      </c>
      <c r="S1210">
        <f>IF($P1210="","",IFERROR(INDEX($F$6:$F$2005,MATCH($Q1210,WageIds,0)),""))</f>
        <v/>
      </c>
      <c r="T1210">
        <f>IF(OR($P1210="",$S1210="",$S1210="نامعتبر"),"",LEFT($S1210,4)&amp;MID($S1210,6,2)&amp;RIGHT($S1210,2)&amp;"0000"&amp;"|"&amp;"2"&amp;RIGHT("00000"&amp;1205,5))</f>
        <v/>
      </c>
      <c r="U1210">
        <f>IF($T1210="","",COUNTIFS(LdAParty,$P1210,LdAType,1,LdAKey,"&lt;"&amp;$T1210)+COUNTIFS(LdBMember,$P1210,LdBKey,"&lt;"&amp;$T1210)+COUNTIFS(LdCParty,$P1210,LdCKey,"&lt;"&amp;$T1210)+1)</f>
        <v/>
      </c>
      <c r="V1210">
        <f>IF($U1210="","",$P1210&amp;"|"&amp;RIGHT("000000"&amp;$U1210,6))</f>
        <v/>
      </c>
      <c r="W1210">
        <f>IF($T1210="","",COUNTIFS(LdBGroup,$R1210,LdBKey,"&lt;"&amp;$T1210)+1)</f>
        <v/>
      </c>
      <c r="X1210">
        <f>IF($W1210="","",$R1210&amp;"|"&amp;RIGHT("000000"&amp;$W1210,6))</f>
        <v/>
      </c>
      <c r="Y1210">
        <f>IF($P1210="","",IF(Shares!$E1213="",0,Shares!$E1213))</f>
        <v/>
      </c>
      <c r="Z1210">
        <f>IF($P1210="","",Shares!$H1213)</f>
        <v/>
      </c>
      <c r="AE1210">
        <f>IF(OR(Sync!$S1210="",Sync!$P1210=""),"",Sync!$S1210)</f>
        <v/>
      </c>
      <c r="AF1210">
        <f>IF($AE1210="","",IF(ISNUMBER(Sync!$P1210),IF(AND(Sync!$P1210&gt;=10000101,Sync!$P1210&lt;=99991231),INT(Sync!$P1210/10000),""),IFERROR(VALUE(TRIM(LEFT(Sync!$P1210,FIND("/",Sync!$P1210)-1))),"")))</f>
        <v/>
      </c>
      <c r="AG1210">
        <f>IF(OR($AE1210="",$AF1210=""),"",IF(ISNUMBER(Sync!$P1210),INT(MOD(Sync!$P1210,10000)/100),IFERROR(VALUE(TRIM(LEFT(MID(Sync!$P1210,FIND("/",Sync!$P1210)+1,20),FIND("/",MID(Sync!$P1210,FIND("/",Sync!$P1210)+1,20))-1))),"")))</f>
        <v/>
      </c>
      <c r="AH1210">
        <f>IF(OR($AE1210="",$AF1210=""),"",IF(ISNUMBER(Sync!$P1210),MOD(Sync!$P1210,100),IFERROR(VALUE(TRIM(MID(MID(Sync!$P1210,FIND("/",Sync!$P1210)+1,20),FIND("/",MID(Sync!$P1210,FIND("/",Sync!$P1210)+1,20))+1,20))),"")))</f>
        <v/>
      </c>
      <c r="AI1210">
        <f>IF($AE1210="","",IF(OR($AF1210="",$AG1210="",$AH1210="",$AF1210&lt;1300,$AF1210&gt;1500,$AG1210&lt;1,$AG1210&gt;12,$AH1210&lt;1,$AH1210&gt;31),"نامعتبر",RIGHT("0000"&amp;$AF1210,4)&amp;"/"&amp;RIGHT("00"&amp;$AG1210,2)&amp;"/"&amp;RIGHT("00"&amp;$AH1210,2)))</f>
        <v/>
      </c>
      <c r="AJ1210">
        <f>IF($AE1210="","",IF(Sync!$Q1210="","0000",IF(AND(ISNUMBER(Sync!$Q1210),Sync!$Q1210&gt;=0,Sync!$Q1210&lt;1),RIGHT("00"&amp;HOUR(Sync!$Q1210),2)&amp;RIGHT("00"&amp;MINUTE(Sync!$Q1210),2),IFERROR(RIGHT("00"&amp;VALUE(LEFT(Sync!$Q1210,FIND(":",Sync!$Q1210)-1)),2)&amp;RIGHT("00"&amp;VALUE(MID(Sync!$Q1210,FIND(":",Sync!$Q1210)+1,2)),2),"0000"))))</f>
        <v/>
      </c>
      <c r="AK1210">
        <f>IF(OR($AE1210="",$AI1210="",$AI1210="نامعتبر"),"",LEFT($AI1210,4)&amp;MID($AI1210,6,2)&amp;RIGHT($AI1210,2)&amp;$AJ1210&amp;"|"&amp;"3"&amp;RIGHT("00000"&amp;1205,5))</f>
        <v/>
      </c>
      <c r="AL1210">
        <f>IF($AK1210="","",COUNTIFS(LdAParty,$AE1210,LdAType,1,LdAKey,"&lt;"&amp;$AK1210)+COUNTIFS(LdBMember,$AE1210,LdBKey,"&lt;"&amp;$AK1210)+COUNTIFS(LdCParty,$AE1210,LdCKey,"&lt;"&amp;$AK1210)+1)</f>
        <v/>
      </c>
      <c r="AM1210">
        <f>IF($AL1210="","",$AE1210&amp;"|"&amp;RIGHT("000000"&amp;$AL1210,6))</f>
        <v/>
      </c>
      <c r="AN1210">
        <f>IF($AE1210="","",IF(Sync!$W1210="",0,Sync!$W1210))</f>
        <v/>
      </c>
      <c r="AO1210">
        <f>IF($AE1210="","",IF(Sync!$X1210="",0,Sync!$X1210))</f>
        <v/>
      </c>
      <c r="AP1210">
        <f>IF($AE1210="","",Sync!$R1210)</f>
        <v/>
      </c>
      <c r="AQ1210">
        <f>IF($AE1210="","",Sync!$Y1210)</f>
        <v/>
      </c>
    </row>
    <row r="1211">
      <c r="A1211">
        <f>IF(OR(Wages!$B1214="",Wages!$E1214=""),"",Wages!$E1214)</f>
        <v/>
      </c>
      <c r="B1211">
        <f>IF($A1211="","",IF(Wages!$C1214="دستمزد گروهی",2,1))</f>
        <v/>
      </c>
      <c r="C1211">
        <f>IF($A1211="","",IF(ISNUMBER(Wages!$B1214),IF(AND(Wages!$B1214&gt;=10000101,Wages!$B1214&lt;=99991231),INT(Wages!$B1214/10000),""),IFERROR(VALUE(TRIM(LEFT(Wages!$B1214,FIND("/",Wages!$B1214)-1))),"")))</f>
        <v/>
      </c>
      <c r="D1211">
        <f>IF(OR($A1211="",$C1211=""),"",IF(ISNUMBER(Wages!$B1214),INT(MOD(Wages!$B1214,10000)/100),IFERROR(VALUE(TRIM(LEFT(MID(Wages!$B1214,FIND("/",Wages!$B1214)+1,20),FIND("/",MID(Wages!$B1214,FIND("/",Wages!$B1214)+1,20))-1))),"")))</f>
        <v/>
      </c>
      <c r="E1211">
        <f>IF(OR($A1211="",$C1211=""),"",IF(ISNUMBER(Wages!$B1214),MOD(Wages!$B1214,100),IFERROR(VALUE(TRIM(MID(MID(Wages!$B1214,FIND("/",Wages!$B1214)+1,20),FIND("/",MID(Wages!$B1214,FIND("/",Wages!$B1214)+1,20))+1,20))),"")))</f>
        <v/>
      </c>
      <c r="F1211">
        <f>IF($A1211="","",IF(OR($C1211="",$D1211="",$E1211="",$C1211&lt;1300,$C1211&gt;1500,$D1211&lt;1,$D1211&gt;12,$E1211&lt;1,$E1211&gt;31),"نامعتبر",RIGHT("0000"&amp;$C1211,4)&amp;"/"&amp;RIGHT("00"&amp;$D1211,2)&amp;"/"&amp;RIGHT("00"&amp;$E1211,2)))</f>
        <v/>
      </c>
      <c r="G1211">
        <f>IF(OR($A1211="",$F1211="",$F1211="نامعتبر"),"",LEFT($F1211,4)&amp;MID($F1211,6,2)&amp;RIGHT($F1211,2)&amp;"0000"&amp;"|"&amp;"1"&amp;RIGHT("00000"&amp;1206,5))</f>
        <v/>
      </c>
      <c r="H1211">
        <f>IF(OR($B1211&lt;&gt;1,$G1211=""),"",COUNTIFS(LdAParty,$A1211,LdAType,1,LdAKey,"&lt;"&amp;$G1211)+COUNTIFS(LdBMember,$A1211,LdBKey,"&lt;"&amp;$G1211)+COUNTIFS(LdCParty,$A1211,LdCKey,"&lt;"&amp;$G1211)+1)</f>
        <v/>
      </c>
      <c r="I1211">
        <f>IF($H1211="","",$A1211&amp;"|"&amp;RIGHT("000000"&amp;$H1211,6))</f>
        <v/>
      </c>
      <c r="J1211">
        <f>IF(OR($B1211&lt;&gt;2,$G1211=""),"",COUNTIFS(LdAParty,$A1211,LdAType,2,LdAKey,"&lt;"&amp;$G1211)+1)</f>
        <v/>
      </c>
      <c r="K1211">
        <f>IF($J1211="","",$A1211&amp;"|"&amp;RIGHT("000000"&amp;$J1211,6))</f>
        <v/>
      </c>
      <c r="L1211">
        <f>IF($A1211="","",IF(Wages!$G1214="",0,Wages!$G1214))</f>
        <v/>
      </c>
      <c r="M1211">
        <f>IF($A1211="","",Wages!$J1214)</f>
        <v/>
      </c>
      <c r="N1211">
        <f>IF($A1211="","",Wages!$D1214)</f>
        <v/>
      </c>
      <c r="P1211">
        <f>IF(OR(Shares!$B1214="",Shares!$C1214=""),"",Shares!$C1214)</f>
        <v/>
      </c>
      <c r="Q1211">
        <f>IF($P1211="","",Shares!$B1214)</f>
        <v/>
      </c>
      <c r="R1211">
        <f>IF($P1211="","",IFERROR(INDEX(WageParty,MATCH($Q1211,WageIds,0)),""))</f>
        <v/>
      </c>
      <c r="S1211">
        <f>IF($P1211="","",IFERROR(INDEX($F$6:$F$2005,MATCH($Q1211,WageIds,0)),""))</f>
        <v/>
      </c>
      <c r="T1211">
        <f>IF(OR($P1211="",$S1211="",$S1211="نامعتبر"),"",LEFT($S1211,4)&amp;MID($S1211,6,2)&amp;RIGHT($S1211,2)&amp;"0000"&amp;"|"&amp;"2"&amp;RIGHT("00000"&amp;1206,5))</f>
        <v/>
      </c>
      <c r="U1211">
        <f>IF($T1211="","",COUNTIFS(LdAParty,$P1211,LdAType,1,LdAKey,"&lt;"&amp;$T1211)+COUNTIFS(LdBMember,$P1211,LdBKey,"&lt;"&amp;$T1211)+COUNTIFS(LdCParty,$P1211,LdCKey,"&lt;"&amp;$T1211)+1)</f>
        <v/>
      </c>
      <c r="V1211">
        <f>IF($U1211="","",$P1211&amp;"|"&amp;RIGHT("000000"&amp;$U1211,6))</f>
        <v/>
      </c>
      <c r="W1211">
        <f>IF($T1211="","",COUNTIFS(LdBGroup,$R1211,LdBKey,"&lt;"&amp;$T1211)+1)</f>
        <v/>
      </c>
      <c r="X1211">
        <f>IF($W1211="","",$R1211&amp;"|"&amp;RIGHT("000000"&amp;$W1211,6))</f>
        <v/>
      </c>
      <c r="Y1211">
        <f>IF($P1211="","",IF(Shares!$E1214="",0,Shares!$E1214))</f>
        <v/>
      </c>
      <c r="Z1211">
        <f>IF($P1211="","",Shares!$H1214)</f>
        <v/>
      </c>
      <c r="AE1211">
        <f>IF(OR(Sync!$S1211="",Sync!$P1211=""),"",Sync!$S1211)</f>
        <v/>
      </c>
      <c r="AF1211">
        <f>IF($AE1211="","",IF(ISNUMBER(Sync!$P1211),IF(AND(Sync!$P1211&gt;=10000101,Sync!$P1211&lt;=99991231),INT(Sync!$P1211/10000),""),IFERROR(VALUE(TRIM(LEFT(Sync!$P1211,FIND("/",Sync!$P1211)-1))),"")))</f>
        <v/>
      </c>
      <c r="AG1211">
        <f>IF(OR($AE1211="",$AF1211=""),"",IF(ISNUMBER(Sync!$P1211),INT(MOD(Sync!$P1211,10000)/100),IFERROR(VALUE(TRIM(LEFT(MID(Sync!$P1211,FIND("/",Sync!$P1211)+1,20),FIND("/",MID(Sync!$P1211,FIND("/",Sync!$P1211)+1,20))-1))),"")))</f>
        <v/>
      </c>
      <c r="AH1211">
        <f>IF(OR($AE1211="",$AF1211=""),"",IF(ISNUMBER(Sync!$P1211),MOD(Sync!$P1211,100),IFERROR(VALUE(TRIM(MID(MID(Sync!$P1211,FIND("/",Sync!$P1211)+1,20),FIND("/",MID(Sync!$P1211,FIND("/",Sync!$P1211)+1,20))+1,20))),"")))</f>
        <v/>
      </c>
      <c r="AI1211">
        <f>IF($AE1211="","",IF(OR($AF1211="",$AG1211="",$AH1211="",$AF1211&lt;1300,$AF1211&gt;1500,$AG1211&lt;1,$AG1211&gt;12,$AH1211&lt;1,$AH1211&gt;31),"نامعتبر",RIGHT("0000"&amp;$AF1211,4)&amp;"/"&amp;RIGHT("00"&amp;$AG1211,2)&amp;"/"&amp;RIGHT("00"&amp;$AH1211,2)))</f>
        <v/>
      </c>
      <c r="AJ1211">
        <f>IF($AE1211="","",IF(Sync!$Q1211="","0000",IF(AND(ISNUMBER(Sync!$Q1211),Sync!$Q1211&gt;=0,Sync!$Q1211&lt;1),RIGHT("00"&amp;HOUR(Sync!$Q1211),2)&amp;RIGHT("00"&amp;MINUTE(Sync!$Q1211),2),IFERROR(RIGHT("00"&amp;VALUE(LEFT(Sync!$Q1211,FIND(":",Sync!$Q1211)-1)),2)&amp;RIGHT("00"&amp;VALUE(MID(Sync!$Q1211,FIND(":",Sync!$Q1211)+1,2)),2),"0000"))))</f>
        <v/>
      </c>
      <c r="AK1211">
        <f>IF(OR($AE1211="",$AI1211="",$AI1211="نامعتبر"),"",LEFT($AI1211,4)&amp;MID($AI1211,6,2)&amp;RIGHT($AI1211,2)&amp;$AJ1211&amp;"|"&amp;"3"&amp;RIGHT("00000"&amp;1206,5))</f>
        <v/>
      </c>
      <c r="AL1211">
        <f>IF($AK1211="","",COUNTIFS(LdAParty,$AE1211,LdAType,1,LdAKey,"&lt;"&amp;$AK1211)+COUNTIFS(LdBMember,$AE1211,LdBKey,"&lt;"&amp;$AK1211)+COUNTIFS(LdCParty,$AE1211,LdCKey,"&lt;"&amp;$AK1211)+1)</f>
        <v/>
      </c>
      <c r="AM1211">
        <f>IF($AL1211="","",$AE1211&amp;"|"&amp;RIGHT("000000"&amp;$AL1211,6))</f>
        <v/>
      </c>
      <c r="AN1211">
        <f>IF($AE1211="","",IF(Sync!$W1211="",0,Sync!$W1211))</f>
        <v/>
      </c>
      <c r="AO1211">
        <f>IF($AE1211="","",IF(Sync!$X1211="",0,Sync!$X1211))</f>
        <v/>
      </c>
      <c r="AP1211">
        <f>IF($AE1211="","",Sync!$R1211)</f>
        <v/>
      </c>
      <c r="AQ1211">
        <f>IF($AE1211="","",Sync!$Y1211)</f>
        <v/>
      </c>
    </row>
    <row r="1212">
      <c r="A1212">
        <f>IF(OR(Wages!$B1215="",Wages!$E1215=""),"",Wages!$E1215)</f>
        <v/>
      </c>
      <c r="B1212">
        <f>IF($A1212="","",IF(Wages!$C1215="دستمزد گروهی",2,1))</f>
        <v/>
      </c>
      <c r="C1212">
        <f>IF($A1212="","",IF(ISNUMBER(Wages!$B1215),IF(AND(Wages!$B1215&gt;=10000101,Wages!$B1215&lt;=99991231),INT(Wages!$B1215/10000),""),IFERROR(VALUE(TRIM(LEFT(Wages!$B1215,FIND("/",Wages!$B1215)-1))),"")))</f>
        <v/>
      </c>
      <c r="D1212">
        <f>IF(OR($A1212="",$C1212=""),"",IF(ISNUMBER(Wages!$B1215),INT(MOD(Wages!$B1215,10000)/100),IFERROR(VALUE(TRIM(LEFT(MID(Wages!$B1215,FIND("/",Wages!$B1215)+1,20),FIND("/",MID(Wages!$B1215,FIND("/",Wages!$B1215)+1,20))-1))),"")))</f>
        <v/>
      </c>
      <c r="E1212">
        <f>IF(OR($A1212="",$C1212=""),"",IF(ISNUMBER(Wages!$B1215),MOD(Wages!$B1215,100),IFERROR(VALUE(TRIM(MID(MID(Wages!$B1215,FIND("/",Wages!$B1215)+1,20),FIND("/",MID(Wages!$B1215,FIND("/",Wages!$B1215)+1,20))+1,20))),"")))</f>
        <v/>
      </c>
      <c r="F1212">
        <f>IF($A1212="","",IF(OR($C1212="",$D1212="",$E1212="",$C1212&lt;1300,$C1212&gt;1500,$D1212&lt;1,$D1212&gt;12,$E1212&lt;1,$E1212&gt;31),"نامعتبر",RIGHT("0000"&amp;$C1212,4)&amp;"/"&amp;RIGHT("00"&amp;$D1212,2)&amp;"/"&amp;RIGHT("00"&amp;$E1212,2)))</f>
        <v/>
      </c>
      <c r="G1212">
        <f>IF(OR($A1212="",$F1212="",$F1212="نامعتبر"),"",LEFT($F1212,4)&amp;MID($F1212,6,2)&amp;RIGHT($F1212,2)&amp;"0000"&amp;"|"&amp;"1"&amp;RIGHT("00000"&amp;1207,5))</f>
        <v/>
      </c>
      <c r="H1212">
        <f>IF(OR($B1212&lt;&gt;1,$G1212=""),"",COUNTIFS(LdAParty,$A1212,LdAType,1,LdAKey,"&lt;"&amp;$G1212)+COUNTIFS(LdBMember,$A1212,LdBKey,"&lt;"&amp;$G1212)+COUNTIFS(LdCParty,$A1212,LdCKey,"&lt;"&amp;$G1212)+1)</f>
        <v/>
      </c>
      <c r="I1212">
        <f>IF($H1212="","",$A1212&amp;"|"&amp;RIGHT("000000"&amp;$H1212,6))</f>
        <v/>
      </c>
      <c r="J1212">
        <f>IF(OR($B1212&lt;&gt;2,$G1212=""),"",COUNTIFS(LdAParty,$A1212,LdAType,2,LdAKey,"&lt;"&amp;$G1212)+1)</f>
        <v/>
      </c>
      <c r="K1212">
        <f>IF($J1212="","",$A1212&amp;"|"&amp;RIGHT("000000"&amp;$J1212,6))</f>
        <v/>
      </c>
      <c r="L1212">
        <f>IF($A1212="","",IF(Wages!$G1215="",0,Wages!$G1215))</f>
        <v/>
      </c>
      <c r="M1212">
        <f>IF($A1212="","",Wages!$J1215)</f>
        <v/>
      </c>
      <c r="N1212">
        <f>IF($A1212="","",Wages!$D1215)</f>
        <v/>
      </c>
      <c r="P1212">
        <f>IF(OR(Shares!$B1215="",Shares!$C1215=""),"",Shares!$C1215)</f>
        <v/>
      </c>
      <c r="Q1212">
        <f>IF($P1212="","",Shares!$B1215)</f>
        <v/>
      </c>
      <c r="R1212">
        <f>IF($P1212="","",IFERROR(INDEX(WageParty,MATCH($Q1212,WageIds,0)),""))</f>
        <v/>
      </c>
      <c r="S1212">
        <f>IF($P1212="","",IFERROR(INDEX($F$6:$F$2005,MATCH($Q1212,WageIds,0)),""))</f>
        <v/>
      </c>
      <c r="T1212">
        <f>IF(OR($P1212="",$S1212="",$S1212="نامعتبر"),"",LEFT($S1212,4)&amp;MID($S1212,6,2)&amp;RIGHT($S1212,2)&amp;"0000"&amp;"|"&amp;"2"&amp;RIGHT("00000"&amp;1207,5))</f>
        <v/>
      </c>
      <c r="U1212">
        <f>IF($T1212="","",COUNTIFS(LdAParty,$P1212,LdAType,1,LdAKey,"&lt;"&amp;$T1212)+COUNTIFS(LdBMember,$P1212,LdBKey,"&lt;"&amp;$T1212)+COUNTIFS(LdCParty,$P1212,LdCKey,"&lt;"&amp;$T1212)+1)</f>
        <v/>
      </c>
      <c r="V1212">
        <f>IF($U1212="","",$P1212&amp;"|"&amp;RIGHT("000000"&amp;$U1212,6))</f>
        <v/>
      </c>
      <c r="W1212">
        <f>IF($T1212="","",COUNTIFS(LdBGroup,$R1212,LdBKey,"&lt;"&amp;$T1212)+1)</f>
        <v/>
      </c>
      <c r="X1212">
        <f>IF($W1212="","",$R1212&amp;"|"&amp;RIGHT("000000"&amp;$W1212,6))</f>
        <v/>
      </c>
      <c r="Y1212">
        <f>IF($P1212="","",IF(Shares!$E1215="",0,Shares!$E1215))</f>
        <v/>
      </c>
      <c r="Z1212">
        <f>IF($P1212="","",Shares!$H1215)</f>
        <v/>
      </c>
      <c r="AE1212">
        <f>IF(OR(Sync!$S1212="",Sync!$P1212=""),"",Sync!$S1212)</f>
        <v/>
      </c>
      <c r="AF1212">
        <f>IF($AE1212="","",IF(ISNUMBER(Sync!$P1212),IF(AND(Sync!$P1212&gt;=10000101,Sync!$P1212&lt;=99991231),INT(Sync!$P1212/10000),""),IFERROR(VALUE(TRIM(LEFT(Sync!$P1212,FIND("/",Sync!$P1212)-1))),"")))</f>
        <v/>
      </c>
      <c r="AG1212">
        <f>IF(OR($AE1212="",$AF1212=""),"",IF(ISNUMBER(Sync!$P1212),INT(MOD(Sync!$P1212,10000)/100),IFERROR(VALUE(TRIM(LEFT(MID(Sync!$P1212,FIND("/",Sync!$P1212)+1,20),FIND("/",MID(Sync!$P1212,FIND("/",Sync!$P1212)+1,20))-1))),"")))</f>
        <v/>
      </c>
      <c r="AH1212">
        <f>IF(OR($AE1212="",$AF1212=""),"",IF(ISNUMBER(Sync!$P1212),MOD(Sync!$P1212,100),IFERROR(VALUE(TRIM(MID(MID(Sync!$P1212,FIND("/",Sync!$P1212)+1,20),FIND("/",MID(Sync!$P1212,FIND("/",Sync!$P1212)+1,20))+1,20))),"")))</f>
        <v/>
      </c>
      <c r="AI1212">
        <f>IF($AE1212="","",IF(OR($AF1212="",$AG1212="",$AH1212="",$AF1212&lt;1300,$AF1212&gt;1500,$AG1212&lt;1,$AG1212&gt;12,$AH1212&lt;1,$AH1212&gt;31),"نامعتبر",RIGHT("0000"&amp;$AF1212,4)&amp;"/"&amp;RIGHT("00"&amp;$AG1212,2)&amp;"/"&amp;RIGHT("00"&amp;$AH1212,2)))</f>
        <v/>
      </c>
      <c r="AJ1212">
        <f>IF($AE1212="","",IF(Sync!$Q1212="","0000",IF(AND(ISNUMBER(Sync!$Q1212),Sync!$Q1212&gt;=0,Sync!$Q1212&lt;1),RIGHT("00"&amp;HOUR(Sync!$Q1212),2)&amp;RIGHT("00"&amp;MINUTE(Sync!$Q1212),2),IFERROR(RIGHT("00"&amp;VALUE(LEFT(Sync!$Q1212,FIND(":",Sync!$Q1212)-1)),2)&amp;RIGHT("00"&amp;VALUE(MID(Sync!$Q1212,FIND(":",Sync!$Q1212)+1,2)),2),"0000"))))</f>
        <v/>
      </c>
      <c r="AK1212">
        <f>IF(OR($AE1212="",$AI1212="",$AI1212="نامعتبر"),"",LEFT($AI1212,4)&amp;MID($AI1212,6,2)&amp;RIGHT($AI1212,2)&amp;$AJ1212&amp;"|"&amp;"3"&amp;RIGHT("00000"&amp;1207,5))</f>
        <v/>
      </c>
      <c r="AL1212">
        <f>IF($AK1212="","",COUNTIFS(LdAParty,$AE1212,LdAType,1,LdAKey,"&lt;"&amp;$AK1212)+COUNTIFS(LdBMember,$AE1212,LdBKey,"&lt;"&amp;$AK1212)+COUNTIFS(LdCParty,$AE1212,LdCKey,"&lt;"&amp;$AK1212)+1)</f>
        <v/>
      </c>
      <c r="AM1212">
        <f>IF($AL1212="","",$AE1212&amp;"|"&amp;RIGHT("000000"&amp;$AL1212,6))</f>
        <v/>
      </c>
      <c r="AN1212">
        <f>IF($AE1212="","",IF(Sync!$W1212="",0,Sync!$W1212))</f>
        <v/>
      </c>
      <c r="AO1212">
        <f>IF($AE1212="","",IF(Sync!$X1212="",0,Sync!$X1212))</f>
        <v/>
      </c>
      <c r="AP1212">
        <f>IF($AE1212="","",Sync!$R1212)</f>
        <v/>
      </c>
      <c r="AQ1212">
        <f>IF($AE1212="","",Sync!$Y1212)</f>
        <v/>
      </c>
    </row>
    <row r="1213">
      <c r="A1213">
        <f>IF(OR(Wages!$B1216="",Wages!$E1216=""),"",Wages!$E1216)</f>
        <v/>
      </c>
      <c r="B1213">
        <f>IF($A1213="","",IF(Wages!$C1216="دستمزد گروهی",2,1))</f>
        <v/>
      </c>
      <c r="C1213">
        <f>IF($A1213="","",IF(ISNUMBER(Wages!$B1216),IF(AND(Wages!$B1216&gt;=10000101,Wages!$B1216&lt;=99991231),INT(Wages!$B1216/10000),""),IFERROR(VALUE(TRIM(LEFT(Wages!$B1216,FIND("/",Wages!$B1216)-1))),"")))</f>
        <v/>
      </c>
      <c r="D1213">
        <f>IF(OR($A1213="",$C1213=""),"",IF(ISNUMBER(Wages!$B1216),INT(MOD(Wages!$B1216,10000)/100),IFERROR(VALUE(TRIM(LEFT(MID(Wages!$B1216,FIND("/",Wages!$B1216)+1,20),FIND("/",MID(Wages!$B1216,FIND("/",Wages!$B1216)+1,20))-1))),"")))</f>
        <v/>
      </c>
      <c r="E1213">
        <f>IF(OR($A1213="",$C1213=""),"",IF(ISNUMBER(Wages!$B1216),MOD(Wages!$B1216,100),IFERROR(VALUE(TRIM(MID(MID(Wages!$B1216,FIND("/",Wages!$B1216)+1,20),FIND("/",MID(Wages!$B1216,FIND("/",Wages!$B1216)+1,20))+1,20))),"")))</f>
        <v/>
      </c>
      <c r="F1213">
        <f>IF($A1213="","",IF(OR($C1213="",$D1213="",$E1213="",$C1213&lt;1300,$C1213&gt;1500,$D1213&lt;1,$D1213&gt;12,$E1213&lt;1,$E1213&gt;31),"نامعتبر",RIGHT("0000"&amp;$C1213,4)&amp;"/"&amp;RIGHT("00"&amp;$D1213,2)&amp;"/"&amp;RIGHT("00"&amp;$E1213,2)))</f>
        <v/>
      </c>
      <c r="G1213">
        <f>IF(OR($A1213="",$F1213="",$F1213="نامعتبر"),"",LEFT($F1213,4)&amp;MID($F1213,6,2)&amp;RIGHT($F1213,2)&amp;"0000"&amp;"|"&amp;"1"&amp;RIGHT("00000"&amp;1208,5))</f>
        <v/>
      </c>
      <c r="H1213">
        <f>IF(OR($B1213&lt;&gt;1,$G1213=""),"",COUNTIFS(LdAParty,$A1213,LdAType,1,LdAKey,"&lt;"&amp;$G1213)+COUNTIFS(LdBMember,$A1213,LdBKey,"&lt;"&amp;$G1213)+COUNTIFS(LdCParty,$A1213,LdCKey,"&lt;"&amp;$G1213)+1)</f>
        <v/>
      </c>
      <c r="I1213">
        <f>IF($H1213="","",$A1213&amp;"|"&amp;RIGHT("000000"&amp;$H1213,6))</f>
        <v/>
      </c>
      <c r="J1213">
        <f>IF(OR($B1213&lt;&gt;2,$G1213=""),"",COUNTIFS(LdAParty,$A1213,LdAType,2,LdAKey,"&lt;"&amp;$G1213)+1)</f>
        <v/>
      </c>
      <c r="K1213">
        <f>IF($J1213="","",$A1213&amp;"|"&amp;RIGHT("000000"&amp;$J1213,6))</f>
        <v/>
      </c>
      <c r="L1213">
        <f>IF($A1213="","",IF(Wages!$G1216="",0,Wages!$G1216))</f>
        <v/>
      </c>
      <c r="M1213">
        <f>IF($A1213="","",Wages!$J1216)</f>
        <v/>
      </c>
      <c r="N1213">
        <f>IF($A1213="","",Wages!$D1216)</f>
        <v/>
      </c>
      <c r="P1213">
        <f>IF(OR(Shares!$B1216="",Shares!$C1216=""),"",Shares!$C1216)</f>
        <v/>
      </c>
      <c r="Q1213">
        <f>IF($P1213="","",Shares!$B1216)</f>
        <v/>
      </c>
      <c r="R1213">
        <f>IF($P1213="","",IFERROR(INDEX(WageParty,MATCH($Q1213,WageIds,0)),""))</f>
        <v/>
      </c>
      <c r="S1213">
        <f>IF($P1213="","",IFERROR(INDEX($F$6:$F$2005,MATCH($Q1213,WageIds,0)),""))</f>
        <v/>
      </c>
      <c r="T1213">
        <f>IF(OR($P1213="",$S1213="",$S1213="نامعتبر"),"",LEFT($S1213,4)&amp;MID($S1213,6,2)&amp;RIGHT($S1213,2)&amp;"0000"&amp;"|"&amp;"2"&amp;RIGHT("00000"&amp;1208,5))</f>
        <v/>
      </c>
      <c r="U1213">
        <f>IF($T1213="","",COUNTIFS(LdAParty,$P1213,LdAType,1,LdAKey,"&lt;"&amp;$T1213)+COUNTIFS(LdBMember,$P1213,LdBKey,"&lt;"&amp;$T1213)+COUNTIFS(LdCParty,$P1213,LdCKey,"&lt;"&amp;$T1213)+1)</f>
        <v/>
      </c>
      <c r="V1213">
        <f>IF($U1213="","",$P1213&amp;"|"&amp;RIGHT("000000"&amp;$U1213,6))</f>
        <v/>
      </c>
      <c r="W1213">
        <f>IF($T1213="","",COUNTIFS(LdBGroup,$R1213,LdBKey,"&lt;"&amp;$T1213)+1)</f>
        <v/>
      </c>
      <c r="X1213">
        <f>IF($W1213="","",$R1213&amp;"|"&amp;RIGHT("000000"&amp;$W1213,6))</f>
        <v/>
      </c>
      <c r="Y1213">
        <f>IF($P1213="","",IF(Shares!$E1216="",0,Shares!$E1216))</f>
        <v/>
      </c>
      <c r="Z1213">
        <f>IF($P1213="","",Shares!$H1216)</f>
        <v/>
      </c>
      <c r="AE1213">
        <f>IF(OR(Sync!$S1213="",Sync!$P1213=""),"",Sync!$S1213)</f>
        <v/>
      </c>
      <c r="AF1213">
        <f>IF($AE1213="","",IF(ISNUMBER(Sync!$P1213),IF(AND(Sync!$P1213&gt;=10000101,Sync!$P1213&lt;=99991231),INT(Sync!$P1213/10000),""),IFERROR(VALUE(TRIM(LEFT(Sync!$P1213,FIND("/",Sync!$P1213)-1))),"")))</f>
        <v/>
      </c>
      <c r="AG1213">
        <f>IF(OR($AE1213="",$AF1213=""),"",IF(ISNUMBER(Sync!$P1213),INT(MOD(Sync!$P1213,10000)/100),IFERROR(VALUE(TRIM(LEFT(MID(Sync!$P1213,FIND("/",Sync!$P1213)+1,20),FIND("/",MID(Sync!$P1213,FIND("/",Sync!$P1213)+1,20))-1))),"")))</f>
        <v/>
      </c>
      <c r="AH1213">
        <f>IF(OR($AE1213="",$AF1213=""),"",IF(ISNUMBER(Sync!$P1213),MOD(Sync!$P1213,100),IFERROR(VALUE(TRIM(MID(MID(Sync!$P1213,FIND("/",Sync!$P1213)+1,20),FIND("/",MID(Sync!$P1213,FIND("/",Sync!$P1213)+1,20))+1,20))),"")))</f>
        <v/>
      </c>
      <c r="AI1213">
        <f>IF($AE1213="","",IF(OR($AF1213="",$AG1213="",$AH1213="",$AF1213&lt;1300,$AF1213&gt;1500,$AG1213&lt;1,$AG1213&gt;12,$AH1213&lt;1,$AH1213&gt;31),"نامعتبر",RIGHT("0000"&amp;$AF1213,4)&amp;"/"&amp;RIGHT("00"&amp;$AG1213,2)&amp;"/"&amp;RIGHT("00"&amp;$AH1213,2)))</f>
        <v/>
      </c>
      <c r="AJ1213">
        <f>IF($AE1213="","",IF(Sync!$Q1213="","0000",IF(AND(ISNUMBER(Sync!$Q1213),Sync!$Q1213&gt;=0,Sync!$Q1213&lt;1),RIGHT("00"&amp;HOUR(Sync!$Q1213),2)&amp;RIGHT("00"&amp;MINUTE(Sync!$Q1213),2),IFERROR(RIGHT("00"&amp;VALUE(LEFT(Sync!$Q1213,FIND(":",Sync!$Q1213)-1)),2)&amp;RIGHT("00"&amp;VALUE(MID(Sync!$Q1213,FIND(":",Sync!$Q1213)+1,2)),2),"0000"))))</f>
        <v/>
      </c>
      <c r="AK1213">
        <f>IF(OR($AE1213="",$AI1213="",$AI1213="نامعتبر"),"",LEFT($AI1213,4)&amp;MID($AI1213,6,2)&amp;RIGHT($AI1213,2)&amp;$AJ1213&amp;"|"&amp;"3"&amp;RIGHT("00000"&amp;1208,5))</f>
        <v/>
      </c>
      <c r="AL1213">
        <f>IF($AK1213="","",COUNTIFS(LdAParty,$AE1213,LdAType,1,LdAKey,"&lt;"&amp;$AK1213)+COUNTIFS(LdBMember,$AE1213,LdBKey,"&lt;"&amp;$AK1213)+COUNTIFS(LdCParty,$AE1213,LdCKey,"&lt;"&amp;$AK1213)+1)</f>
        <v/>
      </c>
      <c r="AM1213">
        <f>IF($AL1213="","",$AE1213&amp;"|"&amp;RIGHT("000000"&amp;$AL1213,6))</f>
        <v/>
      </c>
      <c r="AN1213">
        <f>IF($AE1213="","",IF(Sync!$W1213="",0,Sync!$W1213))</f>
        <v/>
      </c>
      <c r="AO1213">
        <f>IF($AE1213="","",IF(Sync!$X1213="",0,Sync!$X1213))</f>
        <v/>
      </c>
      <c r="AP1213">
        <f>IF($AE1213="","",Sync!$R1213)</f>
        <v/>
      </c>
      <c r="AQ1213">
        <f>IF($AE1213="","",Sync!$Y1213)</f>
        <v/>
      </c>
    </row>
    <row r="1214">
      <c r="A1214">
        <f>IF(OR(Wages!$B1217="",Wages!$E1217=""),"",Wages!$E1217)</f>
        <v/>
      </c>
      <c r="B1214">
        <f>IF($A1214="","",IF(Wages!$C1217="دستمزد گروهی",2,1))</f>
        <v/>
      </c>
      <c r="C1214">
        <f>IF($A1214="","",IF(ISNUMBER(Wages!$B1217),IF(AND(Wages!$B1217&gt;=10000101,Wages!$B1217&lt;=99991231),INT(Wages!$B1217/10000),""),IFERROR(VALUE(TRIM(LEFT(Wages!$B1217,FIND("/",Wages!$B1217)-1))),"")))</f>
        <v/>
      </c>
      <c r="D1214">
        <f>IF(OR($A1214="",$C1214=""),"",IF(ISNUMBER(Wages!$B1217),INT(MOD(Wages!$B1217,10000)/100),IFERROR(VALUE(TRIM(LEFT(MID(Wages!$B1217,FIND("/",Wages!$B1217)+1,20),FIND("/",MID(Wages!$B1217,FIND("/",Wages!$B1217)+1,20))-1))),"")))</f>
        <v/>
      </c>
      <c r="E1214">
        <f>IF(OR($A1214="",$C1214=""),"",IF(ISNUMBER(Wages!$B1217),MOD(Wages!$B1217,100),IFERROR(VALUE(TRIM(MID(MID(Wages!$B1217,FIND("/",Wages!$B1217)+1,20),FIND("/",MID(Wages!$B1217,FIND("/",Wages!$B1217)+1,20))+1,20))),"")))</f>
        <v/>
      </c>
      <c r="F1214">
        <f>IF($A1214="","",IF(OR($C1214="",$D1214="",$E1214="",$C1214&lt;1300,$C1214&gt;1500,$D1214&lt;1,$D1214&gt;12,$E1214&lt;1,$E1214&gt;31),"نامعتبر",RIGHT("0000"&amp;$C1214,4)&amp;"/"&amp;RIGHT("00"&amp;$D1214,2)&amp;"/"&amp;RIGHT("00"&amp;$E1214,2)))</f>
        <v/>
      </c>
      <c r="G1214">
        <f>IF(OR($A1214="",$F1214="",$F1214="نامعتبر"),"",LEFT($F1214,4)&amp;MID($F1214,6,2)&amp;RIGHT($F1214,2)&amp;"0000"&amp;"|"&amp;"1"&amp;RIGHT("00000"&amp;1209,5))</f>
        <v/>
      </c>
      <c r="H1214">
        <f>IF(OR($B1214&lt;&gt;1,$G1214=""),"",COUNTIFS(LdAParty,$A1214,LdAType,1,LdAKey,"&lt;"&amp;$G1214)+COUNTIFS(LdBMember,$A1214,LdBKey,"&lt;"&amp;$G1214)+COUNTIFS(LdCParty,$A1214,LdCKey,"&lt;"&amp;$G1214)+1)</f>
        <v/>
      </c>
      <c r="I1214">
        <f>IF($H1214="","",$A1214&amp;"|"&amp;RIGHT("000000"&amp;$H1214,6))</f>
        <v/>
      </c>
      <c r="J1214">
        <f>IF(OR($B1214&lt;&gt;2,$G1214=""),"",COUNTIFS(LdAParty,$A1214,LdAType,2,LdAKey,"&lt;"&amp;$G1214)+1)</f>
        <v/>
      </c>
      <c r="K1214">
        <f>IF($J1214="","",$A1214&amp;"|"&amp;RIGHT("000000"&amp;$J1214,6))</f>
        <v/>
      </c>
      <c r="L1214">
        <f>IF($A1214="","",IF(Wages!$G1217="",0,Wages!$G1217))</f>
        <v/>
      </c>
      <c r="M1214">
        <f>IF($A1214="","",Wages!$J1217)</f>
        <v/>
      </c>
      <c r="N1214">
        <f>IF($A1214="","",Wages!$D1217)</f>
        <v/>
      </c>
      <c r="P1214">
        <f>IF(OR(Shares!$B1217="",Shares!$C1217=""),"",Shares!$C1217)</f>
        <v/>
      </c>
      <c r="Q1214">
        <f>IF($P1214="","",Shares!$B1217)</f>
        <v/>
      </c>
      <c r="R1214">
        <f>IF($P1214="","",IFERROR(INDEX(WageParty,MATCH($Q1214,WageIds,0)),""))</f>
        <v/>
      </c>
      <c r="S1214">
        <f>IF($P1214="","",IFERROR(INDEX($F$6:$F$2005,MATCH($Q1214,WageIds,0)),""))</f>
        <v/>
      </c>
      <c r="T1214">
        <f>IF(OR($P1214="",$S1214="",$S1214="نامعتبر"),"",LEFT($S1214,4)&amp;MID($S1214,6,2)&amp;RIGHT($S1214,2)&amp;"0000"&amp;"|"&amp;"2"&amp;RIGHT("00000"&amp;1209,5))</f>
        <v/>
      </c>
      <c r="U1214">
        <f>IF($T1214="","",COUNTIFS(LdAParty,$P1214,LdAType,1,LdAKey,"&lt;"&amp;$T1214)+COUNTIFS(LdBMember,$P1214,LdBKey,"&lt;"&amp;$T1214)+COUNTIFS(LdCParty,$P1214,LdCKey,"&lt;"&amp;$T1214)+1)</f>
        <v/>
      </c>
      <c r="V1214">
        <f>IF($U1214="","",$P1214&amp;"|"&amp;RIGHT("000000"&amp;$U1214,6))</f>
        <v/>
      </c>
      <c r="W1214">
        <f>IF($T1214="","",COUNTIFS(LdBGroup,$R1214,LdBKey,"&lt;"&amp;$T1214)+1)</f>
        <v/>
      </c>
      <c r="X1214">
        <f>IF($W1214="","",$R1214&amp;"|"&amp;RIGHT("000000"&amp;$W1214,6))</f>
        <v/>
      </c>
      <c r="Y1214">
        <f>IF($P1214="","",IF(Shares!$E1217="",0,Shares!$E1217))</f>
        <v/>
      </c>
      <c r="Z1214">
        <f>IF($P1214="","",Shares!$H1217)</f>
        <v/>
      </c>
      <c r="AE1214">
        <f>IF(OR(Sync!$S1214="",Sync!$P1214=""),"",Sync!$S1214)</f>
        <v/>
      </c>
      <c r="AF1214">
        <f>IF($AE1214="","",IF(ISNUMBER(Sync!$P1214),IF(AND(Sync!$P1214&gt;=10000101,Sync!$P1214&lt;=99991231),INT(Sync!$P1214/10000),""),IFERROR(VALUE(TRIM(LEFT(Sync!$P1214,FIND("/",Sync!$P1214)-1))),"")))</f>
        <v/>
      </c>
      <c r="AG1214">
        <f>IF(OR($AE1214="",$AF1214=""),"",IF(ISNUMBER(Sync!$P1214),INT(MOD(Sync!$P1214,10000)/100),IFERROR(VALUE(TRIM(LEFT(MID(Sync!$P1214,FIND("/",Sync!$P1214)+1,20),FIND("/",MID(Sync!$P1214,FIND("/",Sync!$P1214)+1,20))-1))),"")))</f>
        <v/>
      </c>
      <c r="AH1214">
        <f>IF(OR($AE1214="",$AF1214=""),"",IF(ISNUMBER(Sync!$P1214),MOD(Sync!$P1214,100),IFERROR(VALUE(TRIM(MID(MID(Sync!$P1214,FIND("/",Sync!$P1214)+1,20),FIND("/",MID(Sync!$P1214,FIND("/",Sync!$P1214)+1,20))+1,20))),"")))</f>
        <v/>
      </c>
      <c r="AI1214">
        <f>IF($AE1214="","",IF(OR($AF1214="",$AG1214="",$AH1214="",$AF1214&lt;1300,$AF1214&gt;1500,$AG1214&lt;1,$AG1214&gt;12,$AH1214&lt;1,$AH1214&gt;31),"نامعتبر",RIGHT("0000"&amp;$AF1214,4)&amp;"/"&amp;RIGHT("00"&amp;$AG1214,2)&amp;"/"&amp;RIGHT("00"&amp;$AH1214,2)))</f>
        <v/>
      </c>
      <c r="AJ1214">
        <f>IF($AE1214="","",IF(Sync!$Q1214="","0000",IF(AND(ISNUMBER(Sync!$Q1214),Sync!$Q1214&gt;=0,Sync!$Q1214&lt;1),RIGHT("00"&amp;HOUR(Sync!$Q1214),2)&amp;RIGHT("00"&amp;MINUTE(Sync!$Q1214),2),IFERROR(RIGHT("00"&amp;VALUE(LEFT(Sync!$Q1214,FIND(":",Sync!$Q1214)-1)),2)&amp;RIGHT("00"&amp;VALUE(MID(Sync!$Q1214,FIND(":",Sync!$Q1214)+1,2)),2),"0000"))))</f>
        <v/>
      </c>
      <c r="AK1214">
        <f>IF(OR($AE1214="",$AI1214="",$AI1214="نامعتبر"),"",LEFT($AI1214,4)&amp;MID($AI1214,6,2)&amp;RIGHT($AI1214,2)&amp;$AJ1214&amp;"|"&amp;"3"&amp;RIGHT("00000"&amp;1209,5))</f>
        <v/>
      </c>
      <c r="AL1214">
        <f>IF($AK1214="","",COUNTIFS(LdAParty,$AE1214,LdAType,1,LdAKey,"&lt;"&amp;$AK1214)+COUNTIFS(LdBMember,$AE1214,LdBKey,"&lt;"&amp;$AK1214)+COUNTIFS(LdCParty,$AE1214,LdCKey,"&lt;"&amp;$AK1214)+1)</f>
        <v/>
      </c>
      <c r="AM1214">
        <f>IF($AL1214="","",$AE1214&amp;"|"&amp;RIGHT("000000"&amp;$AL1214,6))</f>
        <v/>
      </c>
      <c r="AN1214">
        <f>IF($AE1214="","",IF(Sync!$W1214="",0,Sync!$W1214))</f>
        <v/>
      </c>
      <c r="AO1214">
        <f>IF($AE1214="","",IF(Sync!$X1214="",0,Sync!$X1214))</f>
        <v/>
      </c>
      <c r="AP1214">
        <f>IF($AE1214="","",Sync!$R1214)</f>
        <v/>
      </c>
      <c r="AQ1214">
        <f>IF($AE1214="","",Sync!$Y1214)</f>
        <v/>
      </c>
    </row>
    <row r="1215">
      <c r="A1215">
        <f>IF(OR(Wages!$B1218="",Wages!$E1218=""),"",Wages!$E1218)</f>
        <v/>
      </c>
      <c r="B1215">
        <f>IF($A1215="","",IF(Wages!$C1218="دستمزد گروهی",2,1))</f>
        <v/>
      </c>
      <c r="C1215">
        <f>IF($A1215="","",IF(ISNUMBER(Wages!$B1218),IF(AND(Wages!$B1218&gt;=10000101,Wages!$B1218&lt;=99991231),INT(Wages!$B1218/10000),""),IFERROR(VALUE(TRIM(LEFT(Wages!$B1218,FIND("/",Wages!$B1218)-1))),"")))</f>
        <v/>
      </c>
      <c r="D1215">
        <f>IF(OR($A1215="",$C1215=""),"",IF(ISNUMBER(Wages!$B1218),INT(MOD(Wages!$B1218,10000)/100),IFERROR(VALUE(TRIM(LEFT(MID(Wages!$B1218,FIND("/",Wages!$B1218)+1,20),FIND("/",MID(Wages!$B1218,FIND("/",Wages!$B1218)+1,20))-1))),"")))</f>
        <v/>
      </c>
      <c r="E1215">
        <f>IF(OR($A1215="",$C1215=""),"",IF(ISNUMBER(Wages!$B1218),MOD(Wages!$B1218,100),IFERROR(VALUE(TRIM(MID(MID(Wages!$B1218,FIND("/",Wages!$B1218)+1,20),FIND("/",MID(Wages!$B1218,FIND("/",Wages!$B1218)+1,20))+1,20))),"")))</f>
        <v/>
      </c>
      <c r="F1215">
        <f>IF($A1215="","",IF(OR($C1215="",$D1215="",$E1215="",$C1215&lt;1300,$C1215&gt;1500,$D1215&lt;1,$D1215&gt;12,$E1215&lt;1,$E1215&gt;31),"نامعتبر",RIGHT("0000"&amp;$C1215,4)&amp;"/"&amp;RIGHT("00"&amp;$D1215,2)&amp;"/"&amp;RIGHT("00"&amp;$E1215,2)))</f>
        <v/>
      </c>
      <c r="G1215">
        <f>IF(OR($A1215="",$F1215="",$F1215="نامعتبر"),"",LEFT($F1215,4)&amp;MID($F1215,6,2)&amp;RIGHT($F1215,2)&amp;"0000"&amp;"|"&amp;"1"&amp;RIGHT("00000"&amp;1210,5))</f>
        <v/>
      </c>
      <c r="H1215">
        <f>IF(OR($B1215&lt;&gt;1,$G1215=""),"",COUNTIFS(LdAParty,$A1215,LdAType,1,LdAKey,"&lt;"&amp;$G1215)+COUNTIFS(LdBMember,$A1215,LdBKey,"&lt;"&amp;$G1215)+COUNTIFS(LdCParty,$A1215,LdCKey,"&lt;"&amp;$G1215)+1)</f>
        <v/>
      </c>
      <c r="I1215">
        <f>IF($H1215="","",$A1215&amp;"|"&amp;RIGHT("000000"&amp;$H1215,6))</f>
        <v/>
      </c>
      <c r="J1215">
        <f>IF(OR($B1215&lt;&gt;2,$G1215=""),"",COUNTIFS(LdAParty,$A1215,LdAType,2,LdAKey,"&lt;"&amp;$G1215)+1)</f>
        <v/>
      </c>
      <c r="K1215">
        <f>IF($J1215="","",$A1215&amp;"|"&amp;RIGHT("000000"&amp;$J1215,6))</f>
        <v/>
      </c>
      <c r="L1215">
        <f>IF($A1215="","",IF(Wages!$G1218="",0,Wages!$G1218))</f>
        <v/>
      </c>
      <c r="M1215">
        <f>IF($A1215="","",Wages!$J1218)</f>
        <v/>
      </c>
      <c r="N1215">
        <f>IF($A1215="","",Wages!$D1218)</f>
        <v/>
      </c>
      <c r="P1215">
        <f>IF(OR(Shares!$B1218="",Shares!$C1218=""),"",Shares!$C1218)</f>
        <v/>
      </c>
      <c r="Q1215">
        <f>IF($P1215="","",Shares!$B1218)</f>
        <v/>
      </c>
      <c r="R1215">
        <f>IF($P1215="","",IFERROR(INDEX(WageParty,MATCH($Q1215,WageIds,0)),""))</f>
        <v/>
      </c>
      <c r="S1215">
        <f>IF($P1215="","",IFERROR(INDEX($F$6:$F$2005,MATCH($Q1215,WageIds,0)),""))</f>
        <v/>
      </c>
      <c r="T1215">
        <f>IF(OR($P1215="",$S1215="",$S1215="نامعتبر"),"",LEFT($S1215,4)&amp;MID($S1215,6,2)&amp;RIGHT($S1215,2)&amp;"0000"&amp;"|"&amp;"2"&amp;RIGHT("00000"&amp;1210,5))</f>
        <v/>
      </c>
      <c r="U1215">
        <f>IF($T1215="","",COUNTIFS(LdAParty,$P1215,LdAType,1,LdAKey,"&lt;"&amp;$T1215)+COUNTIFS(LdBMember,$P1215,LdBKey,"&lt;"&amp;$T1215)+COUNTIFS(LdCParty,$P1215,LdCKey,"&lt;"&amp;$T1215)+1)</f>
        <v/>
      </c>
      <c r="V1215">
        <f>IF($U1215="","",$P1215&amp;"|"&amp;RIGHT("000000"&amp;$U1215,6))</f>
        <v/>
      </c>
      <c r="W1215">
        <f>IF($T1215="","",COUNTIFS(LdBGroup,$R1215,LdBKey,"&lt;"&amp;$T1215)+1)</f>
        <v/>
      </c>
      <c r="X1215">
        <f>IF($W1215="","",$R1215&amp;"|"&amp;RIGHT("000000"&amp;$W1215,6))</f>
        <v/>
      </c>
      <c r="Y1215">
        <f>IF($P1215="","",IF(Shares!$E1218="",0,Shares!$E1218))</f>
        <v/>
      </c>
      <c r="Z1215">
        <f>IF($P1215="","",Shares!$H1218)</f>
        <v/>
      </c>
      <c r="AE1215">
        <f>IF(OR(Sync!$S1215="",Sync!$P1215=""),"",Sync!$S1215)</f>
        <v/>
      </c>
      <c r="AF1215">
        <f>IF($AE1215="","",IF(ISNUMBER(Sync!$P1215),IF(AND(Sync!$P1215&gt;=10000101,Sync!$P1215&lt;=99991231),INT(Sync!$P1215/10000),""),IFERROR(VALUE(TRIM(LEFT(Sync!$P1215,FIND("/",Sync!$P1215)-1))),"")))</f>
        <v/>
      </c>
      <c r="AG1215">
        <f>IF(OR($AE1215="",$AF1215=""),"",IF(ISNUMBER(Sync!$P1215),INT(MOD(Sync!$P1215,10000)/100),IFERROR(VALUE(TRIM(LEFT(MID(Sync!$P1215,FIND("/",Sync!$P1215)+1,20),FIND("/",MID(Sync!$P1215,FIND("/",Sync!$P1215)+1,20))-1))),"")))</f>
        <v/>
      </c>
      <c r="AH1215">
        <f>IF(OR($AE1215="",$AF1215=""),"",IF(ISNUMBER(Sync!$P1215),MOD(Sync!$P1215,100),IFERROR(VALUE(TRIM(MID(MID(Sync!$P1215,FIND("/",Sync!$P1215)+1,20),FIND("/",MID(Sync!$P1215,FIND("/",Sync!$P1215)+1,20))+1,20))),"")))</f>
        <v/>
      </c>
      <c r="AI1215">
        <f>IF($AE1215="","",IF(OR($AF1215="",$AG1215="",$AH1215="",$AF1215&lt;1300,$AF1215&gt;1500,$AG1215&lt;1,$AG1215&gt;12,$AH1215&lt;1,$AH1215&gt;31),"نامعتبر",RIGHT("0000"&amp;$AF1215,4)&amp;"/"&amp;RIGHT("00"&amp;$AG1215,2)&amp;"/"&amp;RIGHT("00"&amp;$AH1215,2)))</f>
        <v/>
      </c>
      <c r="AJ1215">
        <f>IF($AE1215="","",IF(Sync!$Q1215="","0000",IF(AND(ISNUMBER(Sync!$Q1215),Sync!$Q1215&gt;=0,Sync!$Q1215&lt;1),RIGHT("00"&amp;HOUR(Sync!$Q1215),2)&amp;RIGHT("00"&amp;MINUTE(Sync!$Q1215),2),IFERROR(RIGHT("00"&amp;VALUE(LEFT(Sync!$Q1215,FIND(":",Sync!$Q1215)-1)),2)&amp;RIGHT("00"&amp;VALUE(MID(Sync!$Q1215,FIND(":",Sync!$Q1215)+1,2)),2),"0000"))))</f>
        <v/>
      </c>
      <c r="AK1215">
        <f>IF(OR($AE1215="",$AI1215="",$AI1215="نامعتبر"),"",LEFT($AI1215,4)&amp;MID($AI1215,6,2)&amp;RIGHT($AI1215,2)&amp;$AJ1215&amp;"|"&amp;"3"&amp;RIGHT("00000"&amp;1210,5))</f>
        <v/>
      </c>
      <c r="AL1215">
        <f>IF($AK1215="","",COUNTIFS(LdAParty,$AE1215,LdAType,1,LdAKey,"&lt;"&amp;$AK1215)+COUNTIFS(LdBMember,$AE1215,LdBKey,"&lt;"&amp;$AK1215)+COUNTIFS(LdCParty,$AE1215,LdCKey,"&lt;"&amp;$AK1215)+1)</f>
        <v/>
      </c>
      <c r="AM1215">
        <f>IF($AL1215="","",$AE1215&amp;"|"&amp;RIGHT("000000"&amp;$AL1215,6))</f>
        <v/>
      </c>
      <c r="AN1215">
        <f>IF($AE1215="","",IF(Sync!$W1215="",0,Sync!$W1215))</f>
        <v/>
      </c>
      <c r="AO1215">
        <f>IF($AE1215="","",IF(Sync!$X1215="",0,Sync!$X1215))</f>
        <v/>
      </c>
      <c r="AP1215">
        <f>IF($AE1215="","",Sync!$R1215)</f>
        <v/>
      </c>
      <c r="AQ1215">
        <f>IF($AE1215="","",Sync!$Y1215)</f>
        <v/>
      </c>
    </row>
    <row r="1216">
      <c r="A1216">
        <f>IF(OR(Wages!$B1219="",Wages!$E1219=""),"",Wages!$E1219)</f>
        <v/>
      </c>
      <c r="B1216">
        <f>IF($A1216="","",IF(Wages!$C1219="دستمزد گروهی",2,1))</f>
        <v/>
      </c>
      <c r="C1216">
        <f>IF($A1216="","",IF(ISNUMBER(Wages!$B1219),IF(AND(Wages!$B1219&gt;=10000101,Wages!$B1219&lt;=99991231),INT(Wages!$B1219/10000),""),IFERROR(VALUE(TRIM(LEFT(Wages!$B1219,FIND("/",Wages!$B1219)-1))),"")))</f>
        <v/>
      </c>
      <c r="D1216">
        <f>IF(OR($A1216="",$C1216=""),"",IF(ISNUMBER(Wages!$B1219),INT(MOD(Wages!$B1219,10000)/100),IFERROR(VALUE(TRIM(LEFT(MID(Wages!$B1219,FIND("/",Wages!$B1219)+1,20),FIND("/",MID(Wages!$B1219,FIND("/",Wages!$B1219)+1,20))-1))),"")))</f>
        <v/>
      </c>
      <c r="E1216">
        <f>IF(OR($A1216="",$C1216=""),"",IF(ISNUMBER(Wages!$B1219),MOD(Wages!$B1219,100),IFERROR(VALUE(TRIM(MID(MID(Wages!$B1219,FIND("/",Wages!$B1219)+1,20),FIND("/",MID(Wages!$B1219,FIND("/",Wages!$B1219)+1,20))+1,20))),"")))</f>
        <v/>
      </c>
      <c r="F1216">
        <f>IF($A1216="","",IF(OR($C1216="",$D1216="",$E1216="",$C1216&lt;1300,$C1216&gt;1500,$D1216&lt;1,$D1216&gt;12,$E1216&lt;1,$E1216&gt;31),"نامعتبر",RIGHT("0000"&amp;$C1216,4)&amp;"/"&amp;RIGHT("00"&amp;$D1216,2)&amp;"/"&amp;RIGHT("00"&amp;$E1216,2)))</f>
        <v/>
      </c>
      <c r="G1216">
        <f>IF(OR($A1216="",$F1216="",$F1216="نامعتبر"),"",LEFT($F1216,4)&amp;MID($F1216,6,2)&amp;RIGHT($F1216,2)&amp;"0000"&amp;"|"&amp;"1"&amp;RIGHT("00000"&amp;1211,5))</f>
        <v/>
      </c>
      <c r="H1216">
        <f>IF(OR($B1216&lt;&gt;1,$G1216=""),"",COUNTIFS(LdAParty,$A1216,LdAType,1,LdAKey,"&lt;"&amp;$G1216)+COUNTIFS(LdBMember,$A1216,LdBKey,"&lt;"&amp;$G1216)+COUNTIFS(LdCParty,$A1216,LdCKey,"&lt;"&amp;$G1216)+1)</f>
        <v/>
      </c>
      <c r="I1216">
        <f>IF($H1216="","",$A1216&amp;"|"&amp;RIGHT("000000"&amp;$H1216,6))</f>
        <v/>
      </c>
      <c r="J1216">
        <f>IF(OR($B1216&lt;&gt;2,$G1216=""),"",COUNTIFS(LdAParty,$A1216,LdAType,2,LdAKey,"&lt;"&amp;$G1216)+1)</f>
        <v/>
      </c>
      <c r="K1216">
        <f>IF($J1216="","",$A1216&amp;"|"&amp;RIGHT("000000"&amp;$J1216,6))</f>
        <v/>
      </c>
      <c r="L1216">
        <f>IF($A1216="","",IF(Wages!$G1219="",0,Wages!$G1219))</f>
        <v/>
      </c>
      <c r="M1216">
        <f>IF($A1216="","",Wages!$J1219)</f>
        <v/>
      </c>
      <c r="N1216">
        <f>IF($A1216="","",Wages!$D1219)</f>
        <v/>
      </c>
      <c r="P1216">
        <f>IF(OR(Shares!$B1219="",Shares!$C1219=""),"",Shares!$C1219)</f>
        <v/>
      </c>
      <c r="Q1216">
        <f>IF($P1216="","",Shares!$B1219)</f>
        <v/>
      </c>
      <c r="R1216">
        <f>IF($P1216="","",IFERROR(INDEX(WageParty,MATCH($Q1216,WageIds,0)),""))</f>
        <v/>
      </c>
      <c r="S1216">
        <f>IF($P1216="","",IFERROR(INDEX($F$6:$F$2005,MATCH($Q1216,WageIds,0)),""))</f>
        <v/>
      </c>
      <c r="T1216">
        <f>IF(OR($P1216="",$S1216="",$S1216="نامعتبر"),"",LEFT($S1216,4)&amp;MID($S1216,6,2)&amp;RIGHT($S1216,2)&amp;"0000"&amp;"|"&amp;"2"&amp;RIGHT("00000"&amp;1211,5))</f>
        <v/>
      </c>
      <c r="U1216">
        <f>IF($T1216="","",COUNTIFS(LdAParty,$P1216,LdAType,1,LdAKey,"&lt;"&amp;$T1216)+COUNTIFS(LdBMember,$P1216,LdBKey,"&lt;"&amp;$T1216)+COUNTIFS(LdCParty,$P1216,LdCKey,"&lt;"&amp;$T1216)+1)</f>
        <v/>
      </c>
      <c r="V1216">
        <f>IF($U1216="","",$P1216&amp;"|"&amp;RIGHT("000000"&amp;$U1216,6))</f>
        <v/>
      </c>
      <c r="W1216">
        <f>IF($T1216="","",COUNTIFS(LdBGroup,$R1216,LdBKey,"&lt;"&amp;$T1216)+1)</f>
        <v/>
      </c>
      <c r="X1216">
        <f>IF($W1216="","",$R1216&amp;"|"&amp;RIGHT("000000"&amp;$W1216,6))</f>
        <v/>
      </c>
      <c r="Y1216">
        <f>IF($P1216="","",IF(Shares!$E1219="",0,Shares!$E1219))</f>
        <v/>
      </c>
      <c r="Z1216">
        <f>IF($P1216="","",Shares!$H1219)</f>
        <v/>
      </c>
      <c r="AE1216">
        <f>IF(OR(Sync!$S1216="",Sync!$P1216=""),"",Sync!$S1216)</f>
        <v/>
      </c>
      <c r="AF1216">
        <f>IF($AE1216="","",IF(ISNUMBER(Sync!$P1216),IF(AND(Sync!$P1216&gt;=10000101,Sync!$P1216&lt;=99991231),INT(Sync!$P1216/10000),""),IFERROR(VALUE(TRIM(LEFT(Sync!$P1216,FIND("/",Sync!$P1216)-1))),"")))</f>
        <v/>
      </c>
      <c r="AG1216">
        <f>IF(OR($AE1216="",$AF1216=""),"",IF(ISNUMBER(Sync!$P1216),INT(MOD(Sync!$P1216,10000)/100),IFERROR(VALUE(TRIM(LEFT(MID(Sync!$P1216,FIND("/",Sync!$P1216)+1,20),FIND("/",MID(Sync!$P1216,FIND("/",Sync!$P1216)+1,20))-1))),"")))</f>
        <v/>
      </c>
      <c r="AH1216">
        <f>IF(OR($AE1216="",$AF1216=""),"",IF(ISNUMBER(Sync!$P1216),MOD(Sync!$P1216,100),IFERROR(VALUE(TRIM(MID(MID(Sync!$P1216,FIND("/",Sync!$P1216)+1,20),FIND("/",MID(Sync!$P1216,FIND("/",Sync!$P1216)+1,20))+1,20))),"")))</f>
        <v/>
      </c>
      <c r="AI1216">
        <f>IF($AE1216="","",IF(OR($AF1216="",$AG1216="",$AH1216="",$AF1216&lt;1300,$AF1216&gt;1500,$AG1216&lt;1,$AG1216&gt;12,$AH1216&lt;1,$AH1216&gt;31),"نامعتبر",RIGHT("0000"&amp;$AF1216,4)&amp;"/"&amp;RIGHT("00"&amp;$AG1216,2)&amp;"/"&amp;RIGHT("00"&amp;$AH1216,2)))</f>
        <v/>
      </c>
      <c r="AJ1216">
        <f>IF($AE1216="","",IF(Sync!$Q1216="","0000",IF(AND(ISNUMBER(Sync!$Q1216),Sync!$Q1216&gt;=0,Sync!$Q1216&lt;1),RIGHT("00"&amp;HOUR(Sync!$Q1216),2)&amp;RIGHT("00"&amp;MINUTE(Sync!$Q1216),2),IFERROR(RIGHT("00"&amp;VALUE(LEFT(Sync!$Q1216,FIND(":",Sync!$Q1216)-1)),2)&amp;RIGHT("00"&amp;VALUE(MID(Sync!$Q1216,FIND(":",Sync!$Q1216)+1,2)),2),"0000"))))</f>
        <v/>
      </c>
      <c r="AK1216">
        <f>IF(OR($AE1216="",$AI1216="",$AI1216="نامعتبر"),"",LEFT($AI1216,4)&amp;MID($AI1216,6,2)&amp;RIGHT($AI1216,2)&amp;$AJ1216&amp;"|"&amp;"3"&amp;RIGHT("00000"&amp;1211,5))</f>
        <v/>
      </c>
      <c r="AL1216">
        <f>IF($AK1216="","",COUNTIFS(LdAParty,$AE1216,LdAType,1,LdAKey,"&lt;"&amp;$AK1216)+COUNTIFS(LdBMember,$AE1216,LdBKey,"&lt;"&amp;$AK1216)+COUNTIFS(LdCParty,$AE1216,LdCKey,"&lt;"&amp;$AK1216)+1)</f>
        <v/>
      </c>
      <c r="AM1216">
        <f>IF($AL1216="","",$AE1216&amp;"|"&amp;RIGHT("000000"&amp;$AL1216,6))</f>
        <v/>
      </c>
      <c r="AN1216">
        <f>IF($AE1216="","",IF(Sync!$W1216="",0,Sync!$W1216))</f>
        <v/>
      </c>
      <c r="AO1216">
        <f>IF($AE1216="","",IF(Sync!$X1216="",0,Sync!$X1216))</f>
        <v/>
      </c>
      <c r="AP1216">
        <f>IF($AE1216="","",Sync!$R1216)</f>
        <v/>
      </c>
      <c r="AQ1216">
        <f>IF($AE1216="","",Sync!$Y1216)</f>
        <v/>
      </c>
    </row>
    <row r="1217">
      <c r="A1217">
        <f>IF(OR(Wages!$B1220="",Wages!$E1220=""),"",Wages!$E1220)</f>
        <v/>
      </c>
      <c r="B1217">
        <f>IF($A1217="","",IF(Wages!$C1220="دستمزد گروهی",2,1))</f>
        <v/>
      </c>
      <c r="C1217">
        <f>IF($A1217="","",IF(ISNUMBER(Wages!$B1220),IF(AND(Wages!$B1220&gt;=10000101,Wages!$B1220&lt;=99991231),INT(Wages!$B1220/10000),""),IFERROR(VALUE(TRIM(LEFT(Wages!$B1220,FIND("/",Wages!$B1220)-1))),"")))</f>
        <v/>
      </c>
      <c r="D1217">
        <f>IF(OR($A1217="",$C1217=""),"",IF(ISNUMBER(Wages!$B1220),INT(MOD(Wages!$B1220,10000)/100),IFERROR(VALUE(TRIM(LEFT(MID(Wages!$B1220,FIND("/",Wages!$B1220)+1,20),FIND("/",MID(Wages!$B1220,FIND("/",Wages!$B1220)+1,20))-1))),"")))</f>
        <v/>
      </c>
      <c r="E1217">
        <f>IF(OR($A1217="",$C1217=""),"",IF(ISNUMBER(Wages!$B1220),MOD(Wages!$B1220,100),IFERROR(VALUE(TRIM(MID(MID(Wages!$B1220,FIND("/",Wages!$B1220)+1,20),FIND("/",MID(Wages!$B1220,FIND("/",Wages!$B1220)+1,20))+1,20))),"")))</f>
        <v/>
      </c>
      <c r="F1217">
        <f>IF($A1217="","",IF(OR($C1217="",$D1217="",$E1217="",$C1217&lt;1300,$C1217&gt;1500,$D1217&lt;1,$D1217&gt;12,$E1217&lt;1,$E1217&gt;31),"نامعتبر",RIGHT("0000"&amp;$C1217,4)&amp;"/"&amp;RIGHT("00"&amp;$D1217,2)&amp;"/"&amp;RIGHT("00"&amp;$E1217,2)))</f>
        <v/>
      </c>
      <c r="G1217">
        <f>IF(OR($A1217="",$F1217="",$F1217="نامعتبر"),"",LEFT($F1217,4)&amp;MID($F1217,6,2)&amp;RIGHT($F1217,2)&amp;"0000"&amp;"|"&amp;"1"&amp;RIGHT("00000"&amp;1212,5))</f>
        <v/>
      </c>
      <c r="H1217">
        <f>IF(OR($B1217&lt;&gt;1,$G1217=""),"",COUNTIFS(LdAParty,$A1217,LdAType,1,LdAKey,"&lt;"&amp;$G1217)+COUNTIFS(LdBMember,$A1217,LdBKey,"&lt;"&amp;$G1217)+COUNTIFS(LdCParty,$A1217,LdCKey,"&lt;"&amp;$G1217)+1)</f>
        <v/>
      </c>
      <c r="I1217">
        <f>IF($H1217="","",$A1217&amp;"|"&amp;RIGHT("000000"&amp;$H1217,6))</f>
        <v/>
      </c>
      <c r="J1217">
        <f>IF(OR($B1217&lt;&gt;2,$G1217=""),"",COUNTIFS(LdAParty,$A1217,LdAType,2,LdAKey,"&lt;"&amp;$G1217)+1)</f>
        <v/>
      </c>
      <c r="K1217">
        <f>IF($J1217="","",$A1217&amp;"|"&amp;RIGHT("000000"&amp;$J1217,6))</f>
        <v/>
      </c>
      <c r="L1217">
        <f>IF($A1217="","",IF(Wages!$G1220="",0,Wages!$G1220))</f>
        <v/>
      </c>
      <c r="M1217">
        <f>IF($A1217="","",Wages!$J1220)</f>
        <v/>
      </c>
      <c r="N1217">
        <f>IF($A1217="","",Wages!$D1220)</f>
        <v/>
      </c>
      <c r="P1217">
        <f>IF(OR(Shares!$B1220="",Shares!$C1220=""),"",Shares!$C1220)</f>
        <v/>
      </c>
      <c r="Q1217">
        <f>IF($P1217="","",Shares!$B1220)</f>
        <v/>
      </c>
      <c r="R1217">
        <f>IF($P1217="","",IFERROR(INDEX(WageParty,MATCH($Q1217,WageIds,0)),""))</f>
        <v/>
      </c>
      <c r="S1217">
        <f>IF($P1217="","",IFERROR(INDEX($F$6:$F$2005,MATCH($Q1217,WageIds,0)),""))</f>
        <v/>
      </c>
      <c r="T1217">
        <f>IF(OR($P1217="",$S1217="",$S1217="نامعتبر"),"",LEFT($S1217,4)&amp;MID($S1217,6,2)&amp;RIGHT($S1217,2)&amp;"0000"&amp;"|"&amp;"2"&amp;RIGHT("00000"&amp;1212,5))</f>
        <v/>
      </c>
      <c r="U1217">
        <f>IF($T1217="","",COUNTIFS(LdAParty,$P1217,LdAType,1,LdAKey,"&lt;"&amp;$T1217)+COUNTIFS(LdBMember,$P1217,LdBKey,"&lt;"&amp;$T1217)+COUNTIFS(LdCParty,$P1217,LdCKey,"&lt;"&amp;$T1217)+1)</f>
        <v/>
      </c>
      <c r="V1217">
        <f>IF($U1217="","",$P1217&amp;"|"&amp;RIGHT("000000"&amp;$U1217,6))</f>
        <v/>
      </c>
      <c r="W1217">
        <f>IF($T1217="","",COUNTIFS(LdBGroup,$R1217,LdBKey,"&lt;"&amp;$T1217)+1)</f>
        <v/>
      </c>
      <c r="X1217">
        <f>IF($W1217="","",$R1217&amp;"|"&amp;RIGHT("000000"&amp;$W1217,6))</f>
        <v/>
      </c>
      <c r="Y1217">
        <f>IF($P1217="","",IF(Shares!$E1220="",0,Shares!$E1220))</f>
        <v/>
      </c>
      <c r="Z1217">
        <f>IF($P1217="","",Shares!$H1220)</f>
        <v/>
      </c>
      <c r="AE1217">
        <f>IF(OR(Sync!$S1217="",Sync!$P1217=""),"",Sync!$S1217)</f>
        <v/>
      </c>
      <c r="AF1217">
        <f>IF($AE1217="","",IF(ISNUMBER(Sync!$P1217),IF(AND(Sync!$P1217&gt;=10000101,Sync!$P1217&lt;=99991231),INT(Sync!$P1217/10000),""),IFERROR(VALUE(TRIM(LEFT(Sync!$P1217,FIND("/",Sync!$P1217)-1))),"")))</f>
        <v/>
      </c>
      <c r="AG1217">
        <f>IF(OR($AE1217="",$AF1217=""),"",IF(ISNUMBER(Sync!$P1217),INT(MOD(Sync!$P1217,10000)/100),IFERROR(VALUE(TRIM(LEFT(MID(Sync!$P1217,FIND("/",Sync!$P1217)+1,20),FIND("/",MID(Sync!$P1217,FIND("/",Sync!$P1217)+1,20))-1))),"")))</f>
        <v/>
      </c>
      <c r="AH1217">
        <f>IF(OR($AE1217="",$AF1217=""),"",IF(ISNUMBER(Sync!$P1217),MOD(Sync!$P1217,100),IFERROR(VALUE(TRIM(MID(MID(Sync!$P1217,FIND("/",Sync!$P1217)+1,20),FIND("/",MID(Sync!$P1217,FIND("/",Sync!$P1217)+1,20))+1,20))),"")))</f>
        <v/>
      </c>
      <c r="AI1217">
        <f>IF($AE1217="","",IF(OR($AF1217="",$AG1217="",$AH1217="",$AF1217&lt;1300,$AF1217&gt;1500,$AG1217&lt;1,$AG1217&gt;12,$AH1217&lt;1,$AH1217&gt;31),"نامعتبر",RIGHT("0000"&amp;$AF1217,4)&amp;"/"&amp;RIGHT("00"&amp;$AG1217,2)&amp;"/"&amp;RIGHT("00"&amp;$AH1217,2)))</f>
        <v/>
      </c>
      <c r="AJ1217">
        <f>IF($AE1217="","",IF(Sync!$Q1217="","0000",IF(AND(ISNUMBER(Sync!$Q1217),Sync!$Q1217&gt;=0,Sync!$Q1217&lt;1),RIGHT("00"&amp;HOUR(Sync!$Q1217),2)&amp;RIGHT("00"&amp;MINUTE(Sync!$Q1217),2),IFERROR(RIGHT("00"&amp;VALUE(LEFT(Sync!$Q1217,FIND(":",Sync!$Q1217)-1)),2)&amp;RIGHT("00"&amp;VALUE(MID(Sync!$Q1217,FIND(":",Sync!$Q1217)+1,2)),2),"0000"))))</f>
        <v/>
      </c>
      <c r="AK1217">
        <f>IF(OR($AE1217="",$AI1217="",$AI1217="نامعتبر"),"",LEFT($AI1217,4)&amp;MID($AI1217,6,2)&amp;RIGHT($AI1217,2)&amp;$AJ1217&amp;"|"&amp;"3"&amp;RIGHT("00000"&amp;1212,5))</f>
        <v/>
      </c>
      <c r="AL1217">
        <f>IF($AK1217="","",COUNTIFS(LdAParty,$AE1217,LdAType,1,LdAKey,"&lt;"&amp;$AK1217)+COUNTIFS(LdBMember,$AE1217,LdBKey,"&lt;"&amp;$AK1217)+COUNTIFS(LdCParty,$AE1217,LdCKey,"&lt;"&amp;$AK1217)+1)</f>
        <v/>
      </c>
      <c r="AM1217">
        <f>IF($AL1217="","",$AE1217&amp;"|"&amp;RIGHT("000000"&amp;$AL1217,6))</f>
        <v/>
      </c>
      <c r="AN1217">
        <f>IF($AE1217="","",IF(Sync!$W1217="",0,Sync!$W1217))</f>
        <v/>
      </c>
      <c r="AO1217">
        <f>IF($AE1217="","",IF(Sync!$X1217="",0,Sync!$X1217))</f>
        <v/>
      </c>
      <c r="AP1217">
        <f>IF($AE1217="","",Sync!$R1217)</f>
        <v/>
      </c>
      <c r="AQ1217">
        <f>IF($AE1217="","",Sync!$Y1217)</f>
        <v/>
      </c>
    </row>
    <row r="1218">
      <c r="A1218">
        <f>IF(OR(Wages!$B1221="",Wages!$E1221=""),"",Wages!$E1221)</f>
        <v/>
      </c>
      <c r="B1218">
        <f>IF($A1218="","",IF(Wages!$C1221="دستمزد گروهی",2,1))</f>
        <v/>
      </c>
      <c r="C1218">
        <f>IF($A1218="","",IF(ISNUMBER(Wages!$B1221),IF(AND(Wages!$B1221&gt;=10000101,Wages!$B1221&lt;=99991231),INT(Wages!$B1221/10000),""),IFERROR(VALUE(TRIM(LEFT(Wages!$B1221,FIND("/",Wages!$B1221)-1))),"")))</f>
        <v/>
      </c>
      <c r="D1218">
        <f>IF(OR($A1218="",$C1218=""),"",IF(ISNUMBER(Wages!$B1221),INT(MOD(Wages!$B1221,10000)/100),IFERROR(VALUE(TRIM(LEFT(MID(Wages!$B1221,FIND("/",Wages!$B1221)+1,20),FIND("/",MID(Wages!$B1221,FIND("/",Wages!$B1221)+1,20))-1))),"")))</f>
        <v/>
      </c>
      <c r="E1218">
        <f>IF(OR($A1218="",$C1218=""),"",IF(ISNUMBER(Wages!$B1221),MOD(Wages!$B1221,100),IFERROR(VALUE(TRIM(MID(MID(Wages!$B1221,FIND("/",Wages!$B1221)+1,20),FIND("/",MID(Wages!$B1221,FIND("/",Wages!$B1221)+1,20))+1,20))),"")))</f>
        <v/>
      </c>
      <c r="F1218">
        <f>IF($A1218="","",IF(OR($C1218="",$D1218="",$E1218="",$C1218&lt;1300,$C1218&gt;1500,$D1218&lt;1,$D1218&gt;12,$E1218&lt;1,$E1218&gt;31),"نامعتبر",RIGHT("0000"&amp;$C1218,4)&amp;"/"&amp;RIGHT("00"&amp;$D1218,2)&amp;"/"&amp;RIGHT("00"&amp;$E1218,2)))</f>
        <v/>
      </c>
      <c r="G1218">
        <f>IF(OR($A1218="",$F1218="",$F1218="نامعتبر"),"",LEFT($F1218,4)&amp;MID($F1218,6,2)&amp;RIGHT($F1218,2)&amp;"0000"&amp;"|"&amp;"1"&amp;RIGHT("00000"&amp;1213,5))</f>
        <v/>
      </c>
      <c r="H1218">
        <f>IF(OR($B1218&lt;&gt;1,$G1218=""),"",COUNTIFS(LdAParty,$A1218,LdAType,1,LdAKey,"&lt;"&amp;$G1218)+COUNTIFS(LdBMember,$A1218,LdBKey,"&lt;"&amp;$G1218)+COUNTIFS(LdCParty,$A1218,LdCKey,"&lt;"&amp;$G1218)+1)</f>
        <v/>
      </c>
      <c r="I1218">
        <f>IF($H1218="","",$A1218&amp;"|"&amp;RIGHT("000000"&amp;$H1218,6))</f>
        <v/>
      </c>
      <c r="J1218">
        <f>IF(OR($B1218&lt;&gt;2,$G1218=""),"",COUNTIFS(LdAParty,$A1218,LdAType,2,LdAKey,"&lt;"&amp;$G1218)+1)</f>
        <v/>
      </c>
      <c r="K1218">
        <f>IF($J1218="","",$A1218&amp;"|"&amp;RIGHT("000000"&amp;$J1218,6))</f>
        <v/>
      </c>
      <c r="L1218">
        <f>IF($A1218="","",IF(Wages!$G1221="",0,Wages!$G1221))</f>
        <v/>
      </c>
      <c r="M1218">
        <f>IF($A1218="","",Wages!$J1221)</f>
        <v/>
      </c>
      <c r="N1218">
        <f>IF($A1218="","",Wages!$D1221)</f>
        <v/>
      </c>
      <c r="P1218">
        <f>IF(OR(Shares!$B1221="",Shares!$C1221=""),"",Shares!$C1221)</f>
        <v/>
      </c>
      <c r="Q1218">
        <f>IF($P1218="","",Shares!$B1221)</f>
        <v/>
      </c>
      <c r="R1218">
        <f>IF($P1218="","",IFERROR(INDEX(WageParty,MATCH($Q1218,WageIds,0)),""))</f>
        <v/>
      </c>
      <c r="S1218">
        <f>IF($P1218="","",IFERROR(INDEX($F$6:$F$2005,MATCH($Q1218,WageIds,0)),""))</f>
        <v/>
      </c>
      <c r="T1218">
        <f>IF(OR($P1218="",$S1218="",$S1218="نامعتبر"),"",LEFT($S1218,4)&amp;MID($S1218,6,2)&amp;RIGHT($S1218,2)&amp;"0000"&amp;"|"&amp;"2"&amp;RIGHT("00000"&amp;1213,5))</f>
        <v/>
      </c>
      <c r="U1218">
        <f>IF($T1218="","",COUNTIFS(LdAParty,$P1218,LdAType,1,LdAKey,"&lt;"&amp;$T1218)+COUNTIFS(LdBMember,$P1218,LdBKey,"&lt;"&amp;$T1218)+COUNTIFS(LdCParty,$P1218,LdCKey,"&lt;"&amp;$T1218)+1)</f>
        <v/>
      </c>
      <c r="V1218">
        <f>IF($U1218="","",$P1218&amp;"|"&amp;RIGHT("000000"&amp;$U1218,6))</f>
        <v/>
      </c>
      <c r="W1218">
        <f>IF($T1218="","",COUNTIFS(LdBGroup,$R1218,LdBKey,"&lt;"&amp;$T1218)+1)</f>
        <v/>
      </c>
      <c r="X1218">
        <f>IF($W1218="","",$R1218&amp;"|"&amp;RIGHT("000000"&amp;$W1218,6))</f>
        <v/>
      </c>
      <c r="Y1218">
        <f>IF($P1218="","",IF(Shares!$E1221="",0,Shares!$E1221))</f>
        <v/>
      </c>
      <c r="Z1218">
        <f>IF($P1218="","",Shares!$H1221)</f>
        <v/>
      </c>
      <c r="AE1218">
        <f>IF(OR(Sync!$S1218="",Sync!$P1218=""),"",Sync!$S1218)</f>
        <v/>
      </c>
      <c r="AF1218">
        <f>IF($AE1218="","",IF(ISNUMBER(Sync!$P1218),IF(AND(Sync!$P1218&gt;=10000101,Sync!$P1218&lt;=99991231),INT(Sync!$P1218/10000),""),IFERROR(VALUE(TRIM(LEFT(Sync!$P1218,FIND("/",Sync!$P1218)-1))),"")))</f>
        <v/>
      </c>
      <c r="AG1218">
        <f>IF(OR($AE1218="",$AF1218=""),"",IF(ISNUMBER(Sync!$P1218),INT(MOD(Sync!$P1218,10000)/100),IFERROR(VALUE(TRIM(LEFT(MID(Sync!$P1218,FIND("/",Sync!$P1218)+1,20),FIND("/",MID(Sync!$P1218,FIND("/",Sync!$P1218)+1,20))-1))),"")))</f>
        <v/>
      </c>
      <c r="AH1218">
        <f>IF(OR($AE1218="",$AF1218=""),"",IF(ISNUMBER(Sync!$P1218),MOD(Sync!$P1218,100),IFERROR(VALUE(TRIM(MID(MID(Sync!$P1218,FIND("/",Sync!$P1218)+1,20),FIND("/",MID(Sync!$P1218,FIND("/",Sync!$P1218)+1,20))+1,20))),"")))</f>
        <v/>
      </c>
      <c r="AI1218">
        <f>IF($AE1218="","",IF(OR($AF1218="",$AG1218="",$AH1218="",$AF1218&lt;1300,$AF1218&gt;1500,$AG1218&lt;1,$AG1218&gt;12,$AH1218&lt;1,$AH1218&gt;31),"نامعتبر",RIGHT("0000"&amp;$AF1218,4)&amp;"/"&amp;RIGHT("00"&amp;$AG1218,2)&amp;"/"&amp;RIGHT("00"&amp;$AH1218,2)))</f>
        <v/>
      </c>
      <c r="AJ1218">
        <f>IF($AE1218="","",IF(Sync!$Q1218="","0000",IF(AND(ISNUMBER(Sync!$Q1218),Sync!$Q1218&gt;=0,Sync!$Q1218&lt;1),RIGHT("00"&amp;HOUR(Sync!$Q1218),2)&amp;RIGHT("00"&amp;MINUTE(Sync!$Q1218),2),IFERROR(RIGHT("00"&amp;VALUE(LEFT(Sync!$Q1218,FIND(":",Sync!$Q1218)-1)),2)&amp;RIGHT("00"&amp;VALUE(MID(Sync!$Q1218,FIND(":",Sync!$Q1218)+1,2)),2),"0000"))))</f>
        <v/>
      </c>
      <c r="AK1218">
        <f>IF(OR($AE1218="",$AI1218="",$AI1218="نامعتبر"),"",LEFT($AI1218,4)&amp;MID($AI1218,6,2)&amp;RIGHT($AI1218,2)&amp;$AJ1218&amp;"|"&amp;"3"&amp;RIGHT("00000"&amp;1213,5))</f>
        <v/>
      </c>
      <c r="AL1218">
        <f>IF($AK1218="","",COUNTIFS(LdAParty,$AE1218,LdAType,1,LdAKey,"&lt;"&amp;$AK1218)+COUNTIFS(LdBMember,$AE1218,LdBKey,"&lt;"&amp;$AK1218)+COUNTIFS(LdCParty,$AE1218,LdCKey,"&lt;"&amp;$AK1218)+1)</f>
        <v/>
      </c>
      <c r="AM1218">
        <f>IF($AL1218="","",$AE1218&amp;"|"&amp;RIGHT("000000"&amp;$AL1218,6))</f>
        <v/>
      </c>
      <c r="AN1218">
        <f>IF($AE1218="","",IF(Sync!$W1218="",0,Sync!$W1218))</f>
        <v/>
      </c>
      <c r="AO1218">
        <f>IF($AE1218="","",IF(Sync!$X1218="",0,Sync!$X1218))</f>
        <v/>
      </c>
      <c r="AP1218">
        <f>IF($AE1218="","",Sync!$R1218)</f>
        <v/>
      </c>
      <c r="AQ1218">
        <f>IF($AE1218="","",Sync!$Y1218)</f>
        <v/>
      </c>
    </row>
    <row r="1219">
      <c r="A1219">
        <f>IF(OR(Wages!$B1222="",Wages!$E1222=""),"",Wages!$E1222)</f>
        <v/>
      </c>
      <c r="B1219">
        <f>IF($A1219="","",IF(Wages!$C1222="دستمزد گروهی",2,1))</f>
        <v/>
      </c>
      <c r="C1219">
        <f>IF($A1219="","",IF(ISNUMBER(Wages!$B1222),IF(AND(Wages!$B1222&gt;=10000101,Wages!$B1222&lt;=99991231),INT(Wages!$B1222/10000),""),IFERROR(VALUE(TRIM(LEFT(Wages!$B1222,FIND("/",Wages!$B1222)-1))),"")))</f>
        <v/>
      </c>
      <c r="D1219">
        <f>IF(OR($A1219="",$C1219=""),"",IF(ISNUMBER(Wages!$B1222),INT(MOD(Wages!$B1222,10000)/100),IFERROR(VALUE(TRIM(LEFT(MID(Wages!$B1222,FIND("/",Wages!$B1222)+1,20),FIND("/",MID(Wages!$B1222,FIND("/",Wages!$B1222)+1,20))-1))),"")))</f>
        <v/>
      </c>
      <c r="E1219">
        <f>IF(OR($A1219="",$C1219=""),"",IF(ISNUMBER(Wages!$B1222),MOD(Wages!$B1222,100),IFERROR(VALUE(TRIM(MID(MID(Wages!$B1222,FIND("/",Wages!$B1222)+1,20),FIND("/",MID(Wages!$B1222,FIND("/",Wages!$B1222)+1,20))+1,20))),"")))</f>
        <v/>
      </c>
      <c r="F1219">
        <f>IF($A1219="","",IF(OR($C1219="",$D1219="",$E1219="",$C1219&lt;1300,$C1219&gt;1500,$D1219&lt;1,$D1219&gt;12,$E1219&lt;1,$E1219&gt;31),"نامعتبر",RIGHT("0000"&amp;$C1219,4)&amp;"/"&amp;RIGHT("00"&amp;$D1219,2)&amp;"/"&amp;RIGHT("00"&amp;$E1219,2)))</f>
        <v/>
      </c>
      <c r="G1219">
        <f>IF(OR($A1219="",$F1219="",$F1219="نامعتبر"),"",LEFT($F1219,4)&amp;MID($F1219,6,2)&amp;RIGHT($F1219,2)&amp;"0000"&amp;"|"&amp;"1"&amp;RIGHT("00000"&amp;1214,5))</f>
        <v/>
      </c>
      <c r="H1219">
        <f>IF(OR($B1219&lt;&gt;1,$G1219=""),"",COUNTIFS(LdAParty,$A1219,LdAType,1,LdAKey,"&lt;"&amp;$G1219)+COUNTIFS(LdBMember,$A1219,LdBKey,"&lt;"&amp;$G1219)+COUNTIFS(LdCParty,$A1219,LdCKey,"&lt;"&amp;$G1219)+1)</f>
        <v/>
      </c>
      <c r="I1219">
        <f>IF($H1219="","",$A1219&amp;"|"&amp;RIGHT("000000"&amp;$H1219,6))</f>
        <v/>
      </c>
      <c r="J1219">
        <f>IF(OR($B1219&lt;&gt;2,$G1219=""),"",COUNTIFS(LdAParty,$A1219,LdAType,2,LdAKey,"&lt;"&amp;$G1219)+1)</f>
        <v/>
      </c>
      <c r="K1219">
        <f>IF($J1219="","",$A1219&amp;"|"&amp;RIGHT("000000"&amp;$J1219,6))</f>
        <v/>
      </c>
      <c r="L1219">
        <f>IF($A1219="","",IF(Wages!$G1222="",0,Wages!$G1222))</f>
        <v/>
      </c>
      <c r="M1219">
        <f>IF($A1219="","",Wages!$J1222)</f>
        <v/>
      </c>
      <c r="N1219">
        <f>IF($A1219="","",Wages!$D1222)</f>
        <v/>
      </c>
      <c r="P1219">
        <f>IF(OR(Shares!$B1222="",Shares!$C1222=""),"",Shares!$C1222)</f>
        <v/>
      </c>
      <c r="Q1219">
        <f>IF($P1219="","",Shares!$B1222)</f>
        <v/>
      </c>
      <c r="R1219">
        <f>IF($P1219="","",IFERROR(INDEX(WageParty,MATCH($Q1219,WageIds,0)),""))</f>
        <v/>
      </c>
      <c r="S1219">
        <f>IF($P1219="","",IFERROR(INDEX($F$6:$F$2005,MATCH($Q1219,WageIds,0)),""))</f>
        <v/>
      </c>
      <c r="T1219">
        <f>IF(OR($P1219="",$S1219="",$S1219="نامعتبر"),"",LEFT($S1219,4)&amp;MID($S1219,6,2)&amp;RIGHT($S1219,2)&amp;"0000"&amp;"|"&amp;"2"&amp;RIGHT("00000"&amp;1214,5))</f>
        <v/>
      </c>
      <c r="U1219">
        <f>IF($T1219="","",COUNTIFS(LdAParty,$P1219,LdAType,1,LdAKey,"&lt;"&amp;$T1219)+COUNTIFS(LdBMember,$P1219,LdBKey,"&lt;"&amp;$T1219)+COUNTIFS(LdCParty,$P1219,LdCKey,"&lt;"&amp;$T1219)+1)</f>
        <v/>
      </c>
      <c r="V1219">
        <f>IF($U1219="","",$P1219&amp;"|"&amp;RIGHT("000000"&amp;$U1219,6))</f>
        <v/>
      </c>
      <c r="W1219">
        <f>IF($T1219="","",COUNTIFS(LdBGroup,$R1219,LdBKey,"&lt;"&amp;$T1219)+1)</f>
        <v/>
      </c>
      <c r="X1219">
        <f>IF($W1219="","",$R1219&amp;"|"&amp;RIGHT("000000"&amp;$W1219,6))</f>
        <v/>
      </c>
      <c r="Y1219">
        <f>IF($P1219="","",IF(Shares!$E1222="",0,Shares!$E1222))</f>
        <v/>
      </c>
      <c r="Z1219">
        <f>IF($P1219="","",Shares!$H1222)</f>
        <v/>
      </c>
      <c r="AE1219">
        <f>IF(OR(Sync!$S1219="",Sync!$P1219=""),"",Sync!$S1219)</f>
        <v/>
      </c>
      <c r="AF1219">
        <f>IF($AE1219="","",IF(ISNUMBER(Sync!$P1219),IF(AND(Sync!$P1219&gt;=10000101,Sync!$P1219&lt;=99991231),INT(Sync!$P1219/10000),""),IFERROR(VALUE(TRIM(LEFT(Sync!$P1219,FIND("/",Sync!$P1219)-1))),"")))</f>
        <v/>
      </c>
      <c r="AG1219">
        <f>IF(OR($AE1219="",$AF1219=""),"",IF(ISNUMBER(Sync!$P1219),INT(MOD(Sync!$P1219,10000)/100),IFERROR(VALUE(TRIM(LEFT(MID(Sync!$P1219,FIND("/",Sync!$P1219)+1,20),FIND("/",MID(Sync!$P1219,FIND("/",Sync!$P1219)+1,20))-1))),"")))</f>
        <v/>
      </c>
      <c r="AH1219">
        <f>IF(OR($AE1219="",$AF1219=""),"",IF(ISNUMBER(Sync!$P1219),MOD(Sync!$P1219,100),IFERROR(VALUE(TRIM(MID(MID(Sync!$P1219,FIND("/",Sync!$P1219)+1,20),FIND("/",MID(Sync!$P1219,FIND("/",Sync!$P1219)+1,20))+1,20))),"")))</f>
        <v/>
      </c>
      <c r="AI1219">
        <f>IF($AE1219="","",IF(OR($AF1219="",$AG1219="",$AH1219="",$AF1219&lt;1300,$AF1219&gt;1500,$AG1219&lt;1,$AG1219&gt;12,$AH1219&lt;1,$AH1219&gt;31),"نامعتبر",RIGHT("0000"&amp;$AF1219,4)&amp;"/"&amp;RIGHT("00"&amp;$AG1219,2)&amp;"/"&amp;RIGHT("00"&amp;$AH1219,2)))</f>
        <v/>
      </c>
      <c r="AJ1219">
        <f>IF($AE1219="","",IF(Sync!$Q1219="","0000",IF(AND(ISNUMBER(Sync!$Q1219),Sync!$Q1219&gt;=0,Sync!$Q1219&lt;1),RIGHT("00"&amp;HOUR(Sync!$Q1219),2)&amp;RIGHT("00"&amp;MINUTE(Sync!$Q1219),2),IFERROR(RIGHT("00"&amp;VALUE(LEFT(Sync!$Q1219,FIND(":",Sync!$Q1219)-1)),2)&amp;RIGHT("00"&amp;VALUE(MID(Sync!$Q1219,FIND(":",Sync!$Q1219)+1,2)),2),"0000"))))</f>
        <v/>
      </c>
      <c r="AK1219">
        <f>IF(OR($AE1219="",$AI1219="",$AI1219="نامعتبر"),"",LEFT($AI1219,4)&amp;MID($AI1219,6,2)&amp;RIGHT($AI1219,2)&amp;$AJ1219&amp;"|"&amp;"3"&amp;RIGHT("00000"&amp;1214,5))</f>
        <v/>
      </c>
      <c r="AL1219">
        <f>IF($AK1219="","",COUNTIFS(LdAParty,$AE1219,LdAType,1,LdAKey,"&lt;"&amp;$AK1219)+COUNTIFS(LdBMember,$AE1219,LdBKey,"&lt;"&amp;$AK1219)+COUNTIFS(LdCParty,$AE1219,LdCKey,"&lt;"&amp;$AK1219)+1)</f>
        <v/>
      </c>
      <c r="AM1219">
        <f>IF($AL1219="","",$AE1219&amp;"|"&amp;RIGHT("000000"&amp;$AL1219,6))</f>
        <v/>
      </c>
      <c r="AN1219">
        <f>IF($AE1219="","",IF(Sync!$W1219="",0,Sync!$W1219))</f>
        <v/>
      </c>
      <c r="AO1219">
        <f>IF($AE1219="","",IF(Sync!$X1219="",0,Sync!$X1219))</f>
        <v/>
      </c>
      <c r="AP1219">
        <f>IF($AE1219="","",Sync!$R1219)</f>
        <v/>
      </c>
      <c r="AQ1219">
        <f>IF($AE1219="","",Sync!$Y1219)</f>
        <v/>
      </c>
    </row>
    <row r="1220">
      <c r="A1220">
        <f>IF(OR(Wages!$B1223="",Wages!$E1223=""),"",Wages!$E1223)</f>
        <v/>
      </c>
      <c r="B1220">
        <f>IF($A1220="","",IF(Wages!$C1223="دستمزد گروهی",2,1))</f>
        <v/>
      </c>
      <c r="C1220">
        <f>IF($A1220="","",IF(ISNUMBER(Wages!$B1223),IF(AND(Wages!$B1223&gt;=10000101,Wages!$B1223&lt;=99991231),INT(Wages!$B1223/10000),""),IFERROR(VALUE(TRIM(LEFT(Wages!$B1223,FIND("/",Wages!$B1223)-1))),"")))</f>
        <v/>
      </c>
      <c r="D1220">
        <f>IF(OR($A1220="",$C1220=""),"",IF(ISNUMBER(Wages!$B1223),INT(MOD(Wages!$B1223,10000)/100),IFERROR(VALUE(TRIM(LEFT(MID(Wages!$B1223,FIND("/",Wages!$B1223)+1,20),FIND("/",MID(Wages!$B1223,FIND("/",Wages!$B1223)+1,20))-1))),"")))</f>
        <v/>
      </c>
      <c r="E1220">
        <f>IF(OR($A1220="",$C1220=""),"",IF(ISNUMBER(Wages!$B1223),MOD(Wages!$B1223,100),IFERROR(VALUE(TRIM(MID(MID(Wages!$B1223,FIND("/",Wages!$B1223)+1,20),FIND("/",MID(Wages!$B1223,FIND("/",Wages!$B1223)+1,20))+1,20))),"")))</f>
        <v/>
      </c>
      <c r="F1220">
        <f>IF($A1220="","",IF(OR($C1220="",$D1220="",$E1220="",$C1220&lt;1300,$C1220&gt;1500,$D1220&lt;1,$D1220&gt;12,$E1220&lt;1,$E1220&gt;31),"نامعتبر",RIGHT("0000"&amp;$C1220,4)&amp;"/"&amp;RIGHT("00"&amp;$D1220,2)&amp;"/"&amp;RIGHT("00"&amp;$E1220,2)))</f>
        <v/>
      </c>
      <c r="G1220">
        <f>IF(OR($A1220="",$F1220="",$F1220="نامعتبر"),"",LEFT($F1220,4)&amp;MID($F1220,6,2)&amp;RIGHT($F1220,2)&amp;"0000"&amp;"|"&amp;"1"&amp;RIGHT("00000"&amp;1215,5))</f>
        <v/>
      </c>
      <c r="H1220">
        <f>IF(OR($B1220&lt;&gt;1,$G1220=""),"",COUNTIFS(LdAParty,$A1220,LdAType,1,LdAKey,"&lt;"&amp;$G1220)+COUNTIFS(LdBMember,$A1220,LdBKey,"&lt;"&amp;$G1220)+COUNTIFS(LdCParty,$A1220,LdCKey,"&lt;"&amp;$G1220)+1)</f>
        <v/>
      </c>
      <c r="I1220">
        <f>IF($H1220="","",$A1220&amp;"|"&amp;RIGHT("000000"&amp;$H1220,6))</f>
        <v/>
      </c>
      <c r="J1220">
        <f>IF(OR($B1220&lt;&gt;2,$G1220=""),"",COUNTIFS(LdAParty,$A1220,LdAType,2,LdAKey,"&lt;"&amp;$G1220)+1)</f>
        <v/>
      </c>
      <c r="K1220">
        <f>IF($J1220="","",$A1220&amp;"|"&amp;RIGHT("000000"&amp;$J1220,6))</f>
        <v/>
      </c>
      <c r="L1220">
        <f>IF($A1220="","",IF(Wages!$G1223="",0,Wages!$G1223))</f>
        <v/>
      </c>
      <c r="M1220">
        <f>IF($A1220="","",Wages!$J1223)</f>
        <v/>
      </c>
      <c r="N1220">
        <f>IF($A1220="","",Wages!$D1223)</f>
        <v/>
      </c>
      <c r="P1220">
        <f>IF(OR(Shares!$B1223="",Shares!$C1223=""),"",Shares!$C1223)</f>
        <v/>
      </c>
      <c r="Q1220">
        <f>IF($P1220="","",Shares!$B1223)</f>
        <v/>
      </c>
      <c r="R1220">
        <f>IF($P1220="","",IFERROR(INDEX(WageParty,MATCH($Q1220,WageIds,0)),""))</f>
        <v/>
      </c>
      <c r="S1220">
        <f>IF($P1220="","",IFERROR(INDEX($F$6:$F$2005,MATCH($Q1220,WageIds,0)),""))</f>
        <v/>
      </c>
      <c r="T1220">
        <f>IF(OR($P1220="",$S1220="",$S1220="نامعتبر"),"",LEFT($S1220,4)&amp;MID($S1220,6,2)&amp;RIGHT($S1220,2)&amp;"0000"&amp;"|"&amp;"2"&amp;RIGHT("00000"&amp;1215,5))</f>
        <v/>
      </c>
      <c r="U1220">
        <f>IF($T1220="","",COUNTIFS(LdAParty,$P1220,LdAType,1,LdAKey,"&lt;"&amp;$T1220)+COUNTIFS(LdBMember,$P1220,LdBKey,"&lt;"&amp;$T1220)+COUNTIFS(LdCParty,$P1220,LdCKey,"&lt;"&amp;$T1220)+1)</f>
        <v/>
      </c>
      <c r="V1220">
        <f>IF($U1220="","",$P1220&amp;"|"&amp;RIGHT("000000"&amp;$U1220,6))</f>
        <v/>
      </c>
      <c r="W1220">
        <f>IF($T1220="","",COUNTIFS(LdBGroup,$R1220,LdBKey,"&lt;"&amp;$T1220)+1)</f>
        <v/>
      </c>
      <c r="X1220">
        <f>IF($W1220="","",$R1220&amp;"|"&amp;RIGHT("000000"&amp;$W1220,6))</f>
        <v/>
      </c>
      <c r="Y1220">
        <f>IF($P1220="","",IF(Shares!$E1223="",0,Shares!$E1223))</f>
        <v/>
      </c>
      <c r="Z1220">
        <f>IF($P1220="","",Shares!$H1223)</f>
        <v/>
      </c>
      <c r="AE1220">
        <f>IF(OR(Sync!$S1220="",Sync!$P1220=""),"",Sync!$S1220)</f>
        <v/>
      </c>
      <c r="AF1220">
        <f>IF($AE1220="","",IF(ISNUMBER(Sync!$P1220),IF(AND(Sync!$P1220&gt;=10000101,Sync!$P1220&lt;=99991231),INT(Sync!$P1220/10000),""),IFERROR(VALUE(TRIM(LEFT(Sync!$P1220,FIND("/",Sync!$P1220)-1))),"")))</f>
        <v/>
      </c>
      <c r="AG1220">
        <f>IF(OR($AE1220="",$AF1220=""),"",IF(ISNUMBER(Sync!$P1220),INT(MOD(Sync!$P1220,10000)/100),IFERROR(VALUE(TRIM(LEFT(MID(Sync!$P1220,FIND("/",Sync!$P1220)+1,20),FIND("/",MID(Sync!$P1220,FIND("/",Sync!$P1220)+1,20))-1))),"")))</f>
        <v/>
      </c>
      <c r="AH1220">
        <f>IF(OR($AE1220="",$AF1220=""),"",IF(ISNUMBER(Sync!$P1220),MOD(Sync!$P1220,100),IFERROR(VALUE(TRIM(MID(MID(Sync!$P1220,FIND("/",Sync!$P1220)+1,20),FIND("/",MID(Sync!$P1220,FIND("/",Sync!$P1220)+1,20))+1,20))),"")))</f>
        <v/>
      </c>
      <c r="AI1220">
        <f>IF($AE1220="","",IF(OR($AF1220="",$AG1220="",$AH1220="",$AF1220&lt;1300,$AF1220&gt;1500,$AG1220&lt;1,$AG1220&gt;12,$AH1220&lt;1,$AH1220&gt;31),"نامعتبر",RIGHT("0000"&amp;$AF1220,4)&amp;"/"&amp;RIGHT("00"&amp;$AG1220,2)&amp;"/"&amp;RIGHT("00"&amp;$AH1220,2)))</f>
        <v/>
      </c>
      <c r="AJ1220">
        <f>IF($AE1220="","",IF(Sync!$Q1220="","0000",IF(AND(ISNUMBER(Sync!$Q1220),Sync!$Q1220&gt;=0,Sync!$Q1220&lt;1),RIGHT("00"&amp;HOUR(Sync!$Q1220),2)&amp;RIGHT("00"&amp;MINUTE(Sync!$Q1220),2),IFERROR(RIGHT("00"&amp;VALUE(LEFT(Sync!$Q1220,FIND(":",Sync!$Q1220)-1)),2)&amp;RIGHT("00"&amp;VALUE(MID(Sync!$Q1220,FIND(":",Sync!$Q1220)+1,2)),2),"0000"))))</f>
        <v/>
      </c>
      <c r="AK1220">
        <f>IF(OR($AE1220="",$AI1220="",$AI1220="نامعتبر"),"",LEFT($AI1220,4)&amp;MID($AI1220,6,2)&amp;RIGHT($AI1220,2)&amp;$AJ1220&amp;"|"&amp;"3"&amp;RIGHT("00000"&amp;1215,5))</f>
        <v/>
      </c>
      <c r="AL1220">
        <f>IF($AK1220="","",COUNTIFS(LdAParty,$AE1220,LdAType,1,LdAKey,"&lt;"&amp;$AK1220)+COUNTIFS(LdBMember,$AE1220,LdBKey,"&lt;"&amp;$AK1220)+COUNTIFS(LdCParty,$AE1220,LdCKey,"&lt;"&amp;$AK1220)+1)</f>
        <v/>
      </c>
      <c r="AM1220">
        <f>IF($AL1220="","",$AE1220&amp;"|"&amp;RIGHT("000000"&amp;$AL1220,6))</f>
        <v/>
      </c>
      <c r="AN1220">
        <f>IF($AE1220="","",IF(Sync!$W1220="",0,Sync!$W1220))</f>
        <v/>
      </c>
      <c r="AO1220">
        <f>IF($AE1220="","",IF(Sync!$X1220="",0,Sync!$X1220))</f>
        <v/>
      </c>
      <c r="AP1220">
        <f>IF($AE1220="","",Sync!$R1220)</f>
        <v/>
      </c>
      <c r="AQ1220">
        <f>IF($AE1220="","",Sync!$Y1220)</f>
        <v/>
      </c>
    </row>
    <row r="1221">
      <c r="A1221">
        <f>IF(OR(Wages!$B1224="",Wages!$E1224=""),"",Wages!$E1224)</f>
        <v/>
      </c>
      <c r="B1221">
        <f>IF($A1221="","",IF(Wages!$C1224="دستمزد گروهی",2,1))</f>
        <v/>
      </c>
      <c r="C1221">
        <f>IF($A1221="","",IF(ISNUMBER(Wages!$B1224),IF(AND(Wages!$B1224&gt;=10000101,Wages!$B1224&lt;=99991231),INT(Wages!$B1224/10000),""),IFERROR(VALUE(TRIM(LEFT(Wages!$B1224,FIND("/",Wages!$B1224)-1))),"")))</f>
        <v/>
      </c>
      <c r="D1221">
        <f>IF(OR($A1221="",$C1221=""),"",IF(ISNUMBER(Wages!$B1224),INT(MOD(Wages!$B1224,10000)/100),IFERROR(VALUE(TRIM(LEFT(MID(Wages!$B1224,FIND("/",Wages!$B1224)+1,20),FIND("/",MID(Wages!$B1224,FIND("/",Wages!$B1224)+1,20))-1))),"")))</f>
        <v/>
      </c>
      <c r="E1221">
        <f>IF(OR($A1221="",$C1221=""),"",IF(ISNUMBER(Wages!$B1224),MOD(Wages!$B1224,100),IFERROR(VALUE(TRIM(MID(MID(Wages!$B1224,FIND("/",Wages!$B1224)+1,20),FIND("/",MID(Wages!$B1224,FIND("/",Wages!$B1224)+1,20))+1,20))),"")))</f>
        <v/>
      </c>
      <c r="F1221">
        <f>IF($A1221="","",IF(OR($C1221="",$D1221="",$E1221="",$C1221&lt;1300,$C1221&gt;1500,$D1221&lt;1,$D1221&gt;12,$E1221&lt;1,$E1221&gt;31),"نامعتبر",RIGHT("0000"&amp;$C1221,4)&amp;"/"&amp;RIGHT("00"&amp;$D1221,2)&amp;"/"&amp;RIGHT("00"&amp;$E1221,2)))</f>
        <v/>
      </c>
      <c r="G1221">
        <f>IF(OR($A1221="",$F1221="",$F1221="نامعتبر"),"",LEFT($F1221,4)&amp;MID($F1221,6,2)&amp;RIGHT($F1221,2)&amp;"0000"&amp;"|"&amp;"1"&amp;RIGHT("00000"&amp;1216,5))</f>
        <v/>
      </c>
      <c r="H1221">
        <f>IF(OR($B1221&lt;&gt;1,$G1221=""),"",COUNTIFS(LdAParty,$A1221,LdAType,1,LdAKey,"&lt;"&amp;$G1221)+COUNTIFS(LdBMember,$A1221,LdBKey,"&lt;"&amp;$G1221)+COUNTIFS(LdCParty,$A1221,LdCKey,"&lt;"&amp;$G1221)+1)</f>
        <v/>
      </c>
      <c r="I1221">
        <f>IF($H1221="","",$A1221&amp;"|"&amp;RIGHT("000000"&amp;$H1221,6))</f>
        <v/>
      </c>
      <c r="J1221">
        <f>IF(OR($B1221&lt;&gt;2,$G1221=""),"",COUNTIFS(LdAParty,$A1221,LdAType,2,LdAKey,"&lt;"&amp;$G1221)+1)</f>
        <v/>
      </c>
      <c r="K1221">
        <f>IF($J1221="","",$A1221&amp;"|"&amp;RIGHT("000000"&amp;$J1221,6))</f>
        <v/>
      </c>
      <c r="L1221">
        <f>IF($A1221="","",IF(Wages!$G1224="",0,Wages!$G1224))</f>
        <v/>
      </c>
      <c r="M1221">
        <f>IF($A1221="","",Wages!$J1224)</f>
        <v/>
      </c>
      <c r="N1221">
        <f>IF($A1221="","",Wages!$D1224)</f>
        <v/>
      </c>
      <c r="P1221">
        <f>IF(OR(Shares!$B1224="",Shares!$C1224=""),"",Shares!$C1224)</f>
        <v/>
      </c>
      <c r="Q1221">
        <f>IF($P1221="","",Shares!$B1224)</f>
        <v/>
      </c>
      <c r="R1221">
        <f>IF($P1221="","",IFERROR(INDEX(WageParty,MATCH($Q1221,WageIds,0)),""))</f>
        <v/>
      </c>
      <c r="S1221">
        <f>IF($P1221="","",IFERROR(INDEX($F$6:$F$2005,MATCH($Q1221,WageIds,0)),""))</f>
        <v/>
      </c>
      <c r="T1221">
        <f>IF(OR($P1221="",$S1221="",$S1221="نامعتبر"),"",LEFT($S1221,4)&amp;MID($S1221,6,2)&amp;RIGHT($S1221,2)&amp;"0000"&amp;"|"&amp;"2"&amp;RIGHT("00000"&amp;1216,5))</f>
        <v/>
      </c>
      <c r="U1221">
        <f>IF($T1221="","",COUNTIFS(LdAParty,$P1221,LdAType,1,LdAKey,"&lt;"&amp;$T1221)+COUNTIFS(LdBMember,$P1221,LdBKey,"&lt;"&amp;$T1221)+COUNTIFS(LdCParty,$P1221,LdCKey,"&lt;"&amp;$T1221)+1)</f>
        <v/>
      </c>
      <c r="V1221">
        <f>IF($U1221="","",$P1221&amp;"|"&amp;RIGHT("000000"&amp;$U1221,6))</f>
        <v/>
      </c>
      <c r="W1221">
        <f>IF($T1221="","",COUNTIFS(LdBGroup,$R1221,LdBKey,"&lt;"&amp;$T1221)+1)</f>
        <v/>
      </c>
      <c r="X1221">
        <f>IF($W1221="","",$R1221&amp;"|"&amp;RIGHT("000000"&amp;$W1221,6))</f>
        <v/>
      </c>
      <c r="Y1221">
        <f>IF($P1221="","",IF(Shares!$E1224="",0,Shares!$E1224))</f>
        <v/>
      </c>
      <c r="Z1221">
        <f>IF($P1221="","",Shares!$H1224)</f>
        <v/>
      </c>
      <c r="AE1221">
        <f>IF(OR(Sync!$S1221="",Sync!$P1221=""),"",Sync!$S1221)</f>
        <v/>
      </c>
      <c r="AF1221">
        <f>IF($AE1221="","",IF(ISNUMBER(Sync!$P1221),IF(AND(Sync!$P1221&gt;=10000101,Sync!$P1221&lt;=99991231),INT(Sync!$P1221/10000),""),IFERROR(VALUE(TRIM(LEFT(Sync!$P1221,FIND("/",Sync!$P1221)-1))),"")))</f>
        <v/>
      </c>
      <c r="AG1221">
        <f>IF(OR($AE1221="",$AF1221=""),"",IF(ISNUMBER(Sync!$P1221),INT(MOD(Sync!$P1221,10000)/100),IFERROR(VALUE(TRIM(LEFT(MID(Sync!$P1221,FIND("/",Sync!$P1221)+1,20),FIND("/",MID(Sync!$P1221,FIND("/",Sync!$P1221)+1,20))-1))),"")))</f>
        <v/>
      </c>
      <c r="AH1221">
        <f>IF(OR($AE1221="",$AF1221=""),"",IF(ISNUMBER(Sync!$P1221),MOD(Sync!$P1221,100),IFERROR(VALUE(TRIM(MID(MID(Sync!$P1221,FIND("/",Sync!$P1221)+1,20),FIND("/",MID(Sync!$P1221,FIND("/",Sync!$P1221)+1,20))+1,20))),"")))</f>
        <v/>
      </c>
      <c r="AI1221">
        <f>IF($AE1221="","",IF(OR($AF1221="",$AG1221="",$AH1221="",$AF1221&lt;1300,$AF1221&gt;1500,$AG1221&lt;1,$AG1221&gt;12,$AH1221&lt;1,$AH1221&gt;31),"نامعتبر",RIGHT("0000"&amp;$AF1221,4)&amp;"/"&amp;RIGHT("00"&amp;$AG1221,2)&amp;"/"&amp;RIGHT("00"&amp;$AH1221,2)))</f>
        <v/>
      </c>
      <c r="AJ1221">
        <f>IF($AE1221="","",IF(Sync!$Q1221="","0000",IF(AND(ISNUMBER(Sync!$Q1221),Sync!$Q1221&gt;=0,Sync!$Q1221&lt;1),RIGHT("00"&amp;HOUR(Sync!$Q1221),2)&amp;RIGHT("00"&amp;MINUTE(Sync!$Q1221),2),IFERROR(RIGHT("00"&amp;VALUE(LEFT(Sync!$Q1221,FIND(":",Sync!$Q1221)-1)),2)&amp;RIGHT("00"&amp;VALUE(MID(Sync!$Q1221,FIND(":",Sync!$Q1221)+1,2)),2),"0000"))))</f>
        <v/>
      </c>
      <c r="AK1221">
        <f>IF(OR($AE1221="",$AI1221="",$AI1221="نامعتبر"),"",LEFT($AI1221,4)&amp;MID($AI1221,6,2)&amp;RIGHT($AI1221,2)&amp;$AJ1221&amp;"|"&amp;"3"&amp;RIGHT("00000"&amp;1216,5))</f>
        <v/>
      </c>
      <c r="AL1221">
        <f>IF($AK1221="","",COUNTIFS(LdAParty,$AE1221,LdAType,1,LdAKey,"&lt;"&amp;$AK1221)+COUNTIFS(LdBMember,$AE1221,LdBKey,"&lt;"&amp;$AK1221)+COUNTIFS(LdCParty,$AE1221,LdCKey,"&lt;"&amp;$AK1221)+1)</f>
        <v/>
      </c>
      <c r="AM1221">
        <f>IF($AL1221="","",$AE1221&amp;"|"&amp;RIGHT("000000"&amp;$AL1221,6))</f>
        <v/>
      </c>
      <c r="AN1221">
        <f>IF($AE1221="","",IF(Sync!$W1221="",0,Sync!$W1221))</f>
        <v/>
      </c>
      <c r="AO1221">
        <f>IF($AE1221="","",IF(Sync!$X1221="",0,Sync!$X1221))</f>
        <v/>
      </c>
      <c r="AP1221">
        <f>IF($AE1221="","",Sync!$R1221)</f>
        <v/>
      </c>
      <c r="AQ1221">
        <f>IF($AE1221="","",Sync!$Y1221)</f>
        <v/>
      </c>
    </row>
    <row r="1222">
      <c r="A1222">
        <f>IF(OR(Wages!$B1225="",Wages!$E1225=""),"",Wages!$E1225)</f>
        <v/>
      </c>
      <c r="B1222">
        <f>IF($A1222="","",IF(Wages!$C1225="دستمزد گروهی",2,1))</f>
        <v/>
      </c>
      <c r="C1222">
        <f>IF($A1222="","",IF(ISNUMBER(Wages!$B1225),IF(AND(Wages!$B1225&gt;=10000101,Wages!$B1225&lt;=99991231),INT(Wages!$B1225/10000),""),IFERROR(VALUE(TRIM(LEFT(Wages!$B1225,FIND("/",Wages!$B1225)-1))),"")))</f>
        <v/>
      </c>
      <c r="D1222">
        <f>IF(OR($A1222="",$C1222=""),"",IF(ISNUMBER(Wages!$B1225),INT(MOD(Wages!$B1225,10000)/100),IFERROR(VALUE(TRIM(LEFT(MID(Wages!$B1225,FIND("/",Wages!$B1225)+1,20),FIND("/",MID(Wages!$B1225,FIND("/",Wages!$B1225)+1,20))-1))),"")))</f>
        <v/>
      </c>
      <c r="E1222">
        <f>IF(OR($A1222="",$C1222=""),"",IF(ISNUMBER(Wages!$B1225),MOD(Wages!$B1225,100),IFERROR(VALUE(TRIM(MID(MID(Wages!$B1225,FIND("/",Wages!$B1225)+1,20),FIND("/",MID(Wages!$B1225,FIND("/",Wages!$B1225)+1,20))+1,20))),"")))</f>
        <v/>
      </c>
      <c r="F1222">
        <f>IF($A1222="","",IF(OR($C1222="",$D1222="",$E1222="",$C1222&lt;1300,$C1222&gt;1500,$D1222&lt;1,$D1222&gt;12,$E1222&lt;1,$E1222&gt;31),"نامعتبر",RIGHT("0000"&amp;$C1222,4)&amp;"/"&amp;RIGHT("00"&amp;$D1222,2)&amp;"/"&amp;RIGHT("00"&amp;$E1222,2)))</f>
        <v/>
      </c>
      <c r="G1222">
        <f>IF(OR($A1222="",$F1222="",$F1222="نامعتبر"),"",LEFT($F1222,4)&amp;MID($F1222,6,2)&amp;RIGHT($F1222,2)&amp;"0000"&amp;"|"&amp;"1"&amp;RIGHT("00000"&amp;1217,5))</f>
        <v/>
      </c>
      <c r="H1222">
        <f>IF(OR($B1222&lt;&gt;1,$G1222=""),"",COUNTIFS(LdAParty,$A1222,LdAType,1,LdAKey,"&lt;"&amp;$G1222)+COUNTIFS(LdBMember,$A1222,LdBKey,"&lt;"&amp;$G1222)+COUNTIFS(LdCParty,$A1222,LdCKey,"&lt;"&amp;$G1222)+1)</f>
        <v/>
      </c>
      <c r="I1222">
        <f>IF($H1222="","",$A1222&amp;"|"&amp;RIGHT("000000"&amp;$H1222,6))</f>
        <v/>
      </c>
      <c r="J1222">
        <f>IF(OR($B1222&lt;&gt;2,$G1222=""),"",COUNTIFS(LdAParty,$A1222,LdAType,2,LdAKey,"&lt;"&amp;$G1222)+1)</f>
        <v/>
      </c>
      <c r="K1222">
        <f>IF($J1222="","",$A1222&amp;"|"&amp;RIGHT("000000"&amp;$J1222,6))</f>
        <v/>
      </c>
      <c r="L1222">
        <f>IF($A1222="","",IF(Wages!$G1225="",0,Wages!$G1225))</f>
        <v/>
      </c>
      <c r="M1222">
        <f>IF($A1222="","",Wages!$J1225)</f>
        <v/>
      </c>
      <c r="N1222">
        <f>IF($A1222="","",Wages!$D1225)</f>
        <v/>
      </c>
      <c r="P1222">
        <f>IF(OR(Shares!$B1225="",Shares!$C1225=""),"",Shares!$C1225)</f>
        <v/>
      </c>
      <c r="Q1222">
        <f>IF($P1222="","",Shares!$B1225)</f>
        <v/>
      </c>
      <c r="R1222">
        <f>IF($P1222="","",IFERROR(INDEX(WageParty,MATCH($Q1222,WageIds,0)),""))</f>
        <v/>
      </c>
      <c r="S1222">
        <f>IF($P1222="","",IFERROR(INDEX($F$6:$F$2005,MATCH($Q1222,WageIds,0)),""))</f>
        <v/>
      </c>
      <c r="T1222">
        <f>IF(OR($P1222="",$S1222="",$S1222="نامعتبر"),"",LEFT($S1222,4)&amp;MID($S1222,6,2)&amp;RIGHT($S1222,2)&amp;"0000"&amp;"|"&amp;"2"&amp;RIGHT("00000"&amp;1217,5))</f>
        <v/>
      </c>
      <c r="U1222">
        <f>IF($T1222="","",COUNTIFS(LdAParty,$P1222,LdAType,1,LdAKey,"&lt;"&amp;$T1222)+COUNTIFS(LdBMember,$P1222,LdBKey,"&lt;"&amp;$T1222)+COUNTIFS(LdCParty,$P1222,LdCKey,"&lt;"&amp;$T1222)+1)</f>
        <v/>
      </c>
      <c r="V1222">
        <f>IF($U1222="","",$P1222&amp;"|"&amp;RIGHT("000000"&amp;$U1222,6))</f>
        <v/>
      </c>
      <c r="W1222">
        <f>IF($T1222="","",COUNTIFS(LdBGroup,$R1222,LdBKey,"&lt;"&amp;$T1222)+1)</f>
        <v/>
      </c>
      <c r="X1222">
        <f>IF($W1222="","",$R1222&amp;"|"&amp;RIGHT("000000"&amp;$W1222,6))</f>
        <v/>
      </c>
      <c r="Y1222">
        <f>IF($P1222="","",IF(Shares!$E1225="",0,Shares!$E1225))</f>
        <v/>
      </c>
      <c r="Z1222">
        <f>IF($P1222="","",Shares!$H1225)</f>
        <v/>
      </c>
      <c r="AE1222">
        <f>IF(OR(Sync!$S1222="",Sync!$P1222=""),"",Sync!$S1222)</f>
        <v/>
      </c>
      <c r="AF1222">
        <f>IF($AE1222="","",IF(ISNUMBER(Sync!$P1222),IF(AND(Sync!$P1222&gt;=10000101,Sync!$P1222&lt;=99991231),INT(Sync!$P1222/10000),""),IFERROR(VALUE(TRIM(LEFT(Sync!$P1222,FIND("/",Sync!$P1222)-1))),"")))</f>
        <v/>
      </c>
      <c r="AG1222">
        <f>IF(OR($AE1222="",$AF1222=""),"",IF(ISNUMBER(Sync!$P1222),INT(MOD(Sync!$P1222,10000)/100),IFERROR(VALUE(TRIM(LEFT(MID(Sync!$P1222,FIND("/",Sync!$P1222)+1,20),FIND("/",MID(Sync!$P1222,FIND("/",Sync!$P1222)+1,20))-1))),"")))</f>
        <v/>
      </c>
      <c r="AH1222">
        <f>IF(OR($AE1222="",$AF1222=""),"",IF(ISNUMBER(Sync!$P1222),MOD(Sync!$P1222,100),IFERROR(VALUE(TRIM(MID(MID(Sync!$P1222,FIND("/",Sync!$P1222)+1,20),FIND("/",MID(Sync!$P1222,FIND("/",Sync!$P1222)+1,20))+1,20))),"")))</f>
        <v/>
      </c>
      <c r="AI1222">
        <f>IF($AE1222="","",IF(OR($AF1222="",$AG1222="",$AH1222="",$AF1222&lt;1300,$AF1222&gt;1500,$AG1222&lt;1,$AG1222&gt;12,$AH1222&lt;1,$AH1222&gt;31),"نامعتبر",RIGHT("0000"&amp;$AF1222,4)&amp;"/"&amp;RIGHT("00"&amp;$AG1222,2)&amp;"/"&amp;RIGHT("00"&amp;$AH1222,2)))</f>
        <v/>
      </c>
      <c r="AJ1222">
        <f>IF($AE1222="","",IF(Sync!$Q1222="","0000",IF(AND(ISNUMBER(Sync!$Q1222),Sync!$Q1222&gt;=0,Sync!$Q1222&lt;1),RIGHT("00"&amp;HOUR(Sync!$Q1222),2)&amp;RIGHT("00"&amp;MINUTE(Sync!$Q1222),2),IFERROR(RIGHT("00"&amp;VALUE(LEFT(Sync!$Q1222,FIND(":",Sync!$Q1222)-1)),2)&amp;RIGHT("00"&amp;VALUE(MID(Sync!$Q1222,FIND(":",Sync!$Q1222)+1,2)),2),"0000"))))</f>
        <v/>
      </c>
      <c r="AK1222">
        <f>IF(OR($AE1222="",$AI1222="",$AI1222="نامعتبر"),"",LEFT($AI1222,4)&amp;MID($AI1222,6,2)&amp;RIGHT($AI1222,2)&amp;$AJ1222&amp;"|"&amp;"3"&amp;RIGHT("00000"&amp;1217,5))</f>
        <v/>
      </c>
      <c r="AL1222">
        <f>IF($AK1222="","",COUNTIFS(LdAParty,$AE1222,LdAType,1,LdAKey,"&lt;"&amp;$AK1222)+COUNTIFS(LdBMember,$AE1222,LdBKey,"&lt;"&amp;$AK1222)+COUNTIFS(LdCParty,$AE1222,LdCKey,"&lt;"&amp;$AK1222)+1)</f>
        <v/>
      </c>
      <c r="AM1222">
        <f>IF($AL1222="","",$AE1222&amp;"|"&amp;RIGHT("000000"&amp;$AL1222,6))</f>
        <v/>
      </c>
      <c r="AN1222">
        <f>IF($AE1222="","",IF(Sync!$W1222="",0,Sync!$W1222))</f>
        <v/>
      </c>
      <c r="AO1222">
        <f>IF($AE1222="","",IF(Sync!$X1222="",0,Sync!$X1222))</f>
        <v/>
      </c>
      <c r="AP1222">
        <f>IF($AE1222="","",Sync!$R1222)</f>
        <v/>
      </c>
      <c r="AQ1222">
        <f>IF($AE1222="","",Sync!$Y1222)</f>
        <v/>
      </c>
    </row>
    <row r="1223">
      <c r="A1223">
        <f>IF(OR(Wages!$B1226="",Wages!$E1226=""),"",Wages!$E1226)</f>
        <v/>
      </c>
      <c r="B1223">
        <f>IF($A1223="","",IF(Wages!$C1226="دستمزد گروهی",2,1))</f>
        <v/>
      </c>
      <c r="C1223">
        <f>IF($A1223="","",IF(ISNUMBER(Wages!$B1226),IF(AND(Wages!$B1226&gt;=10000101,Wages!$B1226&lt;=99991231),INT(Wages!$B1226/10000),""),IFERROR(VALUE(TRIM(LEFT(Wages!$B1226,FIND("/",Wages!$B1226)-1))),"")))</f>
        <v/>
      </c>
      <c r="D1223">
        <f>IF(OR($A1223="",$C1223=""),"",IF(ISNUMBER(Wages!$B1226),INT(MOD(Wages!$B1226,10000)/100),IFERROR(VALUE(TRIM(LEFT(MID(Wages!$B1226,FIND("/",Wages!$B1226)+1,20),FIND("/",MID(Wages!$B1226,FIND("/",Wages!$B1226)+1,20))-1))),"")))</f>
        <v/>
      </c>
      <c r="E1223">
        <f>IF(OR($A1223="",$C1223=""),"",IF(ISNUMBER(Wages!$B1226),MOD(Wages!$B1226,100),IFERROR(VALUE(TRIM(MID(MID(Wages!$B1226,FIND("/",Wages!$B1226)+1,20),FIND("/",MID(Wages!$B1226,FIND("/",Wages!$B1226)+1,20))+1,20))),"")))</f>
        <v/>
      </c>
      <c r="F1223">
        <f>IF($A1223="","",IF(OR($C1223="",$D1223="",$E1223="",$C1223&lt;1300,$C1223&gt;1500,$D1223&lt;1,$D1223&gt;12,$E1223&lt;1,$E1223&gt;31),"نامعتبر",RIGHT("0000"&amp;$C1223,4)&amp;"/"&amp;RIGHT("00"&amp;$D1223,2)&amp;"/"&amp;RIGHT("00"&amp;$E1223,2)))</f>
        <v/>
      </c>
      <c r="G1223">
        <f>IF(OR($A1223="",$F1223="",$F1223="نامعتبر"),"",LEFT($F1223,4)&amp;MID($F1223,6,2)&amp;RIGHT($F1223,2)&amp;"0000"&amp;"|"&amp;"1"&amp;RIGHT("00000"&amp;1218,5))</f>
        <v/>
      </c>
      <c r="H1223">
        <f>IF(OR($B1223&lt;&gt;1,$G1223=""),"",COUNTIFS(LdAParty,$A1223,LdAType,1,LdAKey,"&lt;"&amp;$G1223)+COUNTIFS(LdBMember,$A1223,LdBKey,"&lt;"&amp;$G1223)+COUNTIFS(LdCParty,$A1223,LdCKey,"&lt;"&amp;$G1223)+1)</f>
        <v/>
      </c>
      <c r="I1223">
        <f>IF($H1223="","",$A1223&amp;"|"&amp;RIGHT("000000"&amp;$H1223,6))</f>
        <v/>
      </c>
      <c r="J1223">
        <f>IF(OR($B1223&lt;&gt;2,$G1223=""),"",COUNTIFS(LdAParty,$A1223,LdAType,2,LdAKey,"&lt;"&amp;$G1223)+1)</f>
        <v/>
      </c>
      <c r="K1223">
        <f>IF($J1223="","",$A1223&amp;"|"&amp;RIGHT("000000"&amp;$J1223,6))</f>
        <v/>
      </c>
      <c r="L1223">
        <f>IF($A1223="","",IF(Wages!$G1226="",0,Wages!$G1226))</f>
        <v/>
      </c>
      <c r="M1223">
        <f>IF($A1223="","",Wages!$J1226)</f>
        <v/>
      </c>
      <c r="N1223">
        <f>IF($A1223="","",Wages!$D1226)</f>
        <v/>
      </c>
      <c r="P1223">
        <f>IF(OR(Shares!$B1226="",Shares!$C1226=""),"",Shares!$C1226)</f>
        <v/>
      </c>
      <c r="Q1223">
        <f>IF($P1223="","",Shares!$B1226)</f>
        <v/>
      </c>
      <c r="R1223">
        <f>IF($P1223="","",IFERROR(INDEX(WageParty,MATCH($Q1223,WageIds,0)),""))</f>
        <v/>
      </c>
      <c r="S1223">
        <f>IF($P1223="","",IFERROR(INDEX($F$6:$F$2005,MATCH($Q1223,WageIds,0)),""))</f>
        <v/>
      </c>
      <c r="T1223">
        <f>IF(OR($P1223="",$S1223="",$S1223="نامعتبر"),"",LEFT($S1223,4)&amp;MID($S1223,6,2)&amp;RIGHT($S1223,2)&amp;"0000"&amp;"|"&amp;"2"&amp;RIGHT("00000"&amp;1218,5))</f>
        <v/>
      </c>
      <c r="U1223">
        <f>IF($T1223="","",COUNTIFS(LdAParty,$P1223,LdAType,1,LdAKey,"&lt;"&amp;$T1223)+COUNTIFS(LdBMember,$P1223,LdBKey,"&lt;"&amp;$T1223)+COUNTIFS(LdCParty,$P1223,LdCKey,"&lt;"&amp;$T1223)+1)</f>
        <v/>
      </c>
      <c r="V1223">
        <f>IF($U1223="","",$P1223&amp;"|"&amp;RIGHT("000000"&amp;$U1223,6))</f>
        <v/>
      </c>
      <c r="W1223">
        <f>IF($T1223="","",COUNTIFS(LdBGroup,$R1223,LdBKey,"&lt;"&amp;$T1223)+1)</f>
        <v/>
      </c>
      <c r="X1223">
        <f>IF($W1223="","",$R1223&amp;"|"&amp;RIGHT("000000"&amp;$W1223,6))</f>
        <v/>
      </c>
      <c r="Y1223">
        <f>IF($P1223="","",IF(Shares!$E1226="",0,Shares!$E1226))</f>
        <v/>
      </c>
      <c r="Z1223">
        <f>IF($P1223="","",Shares!$H1226)</f>
        <v/>
      </c>
      <c r="AE1223">
        <f>IF(OR(Sync!$S1223="",Sync!$P1223=""),"",Sync!$S1223)</f>
        <v/>
      </c>
      <c r="AF1223">
        <f>IF($AE1223="","",IF(ISNUMBER(Sync!$P1223),IF(AND(Sync!$P1223&gt;=10000101,Sync!$P1223&lt;=99991231),INT(Sync!$P1223/10000),""),IFERROR(VALUE(TRIM(LEFT(Sync!$P1223,FIND("/",Sync!$P1223)-1))),"")))</f>
        <v/>
      </c>
      <c r="AG1223">
        <f>IF(OR($AE1223="",$AF1223=""),"",IF(ISNUMBER(Sync!$P1223),INT(MOD(Sync!$P1223,10000)/100),IFERROR(VALUE(TRIM(LEFT(MID(Sync!$P1223,FIND("/",Sync!$P1223)+1,20),FIND("/",MID(Sync!$P1223,FIND("/",Sync!$P1223)+1,20))-1))),"")))</f>
        <v/>
      </c>
      <c r="AH1223">
        <f>IF(OR($AE1223="",$AF1223=""),"",IF(ISNUMBER(Sync!$P1223),MOD(Sync!$P1223,100),IFERROR(VALUE(TRIM(MID(MID(Sync!$P1223,FIND("/",Sync!$P1223)+1,20),FIND("/",MID(Sync!$P1223,FIND("/",Sync!$P1223)+1,20))+1,20))),"")))</f>
        <v/>
      </c>
      <c r="AI1223">
        <f>IF($AE1223="","",IF(OR($AF1223="",$AG1223="",$AH1223="",$AF1223&lt;1300,$AF1223&gt;1500,$AG1223&lt;1,$AG1223&gt;12,$AH1223&lt;1,$AH1223&gt;31),"نامعتبر",RIGHT("0000"&amp;$AF1223,4)&amp;"/"&amp;RIGHT("00"&amp;$AG1223,2)&amp;"/"&amp;RIGHT("00"&amp;$AH1223,2)))</f>
        <v/>
      </c>
      <c r="AJ1223">
        <f>IF($AE1223="","",IF(Sync!$Q1223="","0000",IF(AND(ISNUMBER(Sync!$Q1223),Sync!$Q1223&gt;=0,Sync!$Q1223&lt;1),RIGHT("00"&amp;HOUR(Sync!$Q1223),2)&amp;RIGHT("00"&amp;MINUTE(Sync!$Q1223),2),IFERROR(RIGHT("00"&amp;VALUE(LEFT(Sync!$Q1223,FIND(":",Sync!$Q1223)-1)),2)&amp;RIGHT("00"&amp;VALUE(MID(Sync!$Q1223,FIND(":",Sync!$Q1223)+1,2)),2),"0000"))))</f>
        <v/>
      </c>
      <c r="AK1223">
        <f>IF(OR($AE1223="",$AI1223="",$AI1223="نامعتبر"),"",LEFT($AI1223,4)&amp;MID($AI1223,6,2)&amp;RIGHT($AI1223,2)&amp;$AJ1223&amp;"|"&amp;"3"&amp;RIGHT("00000"&amp;1218,5))</f>
        <v/>
      </c>
      <c r="AL1223">
        <f>IF($AK1223="","",COUNTIFS(LdAParty,$AE1223,LdAType,1,LdAKey,"&lt;"&amp;$AK1223)+COUNTIFS(LdBMember,$AE1223,LdBKey,"&lt;"&amp;$AK1223)+COUNTIFS(LdCParty,$AE1223,LdCKey,"&lt;"&amp;$AK1223)+1)</f>
        <v/>
      </c>
      <c r="AM1223">
        <f>IF($AL1223="","",$AE1223&amp;"|"&amp;RIGHT("000000"&amp;$AL1223,6))</f>
        <v/>
      </c>
      <c r="AN1223">
        <f>IF($AE1223="","",IF(Sync!$W1223="",0,Sync!$W1223))</f>
        <v/>
      </c>
      <c r="AO1223">
        <f>IF($AE1223="","",IF(Sync!$X1223="",0,Sync!$X1223))</f>
        <v/>
      </c>
      <c r="AP1223">
        <f>IF($AE1223="","",Sync!$R1223)</f>
        <v/>
      </c>
      <c r="AQ1223">
        <f>IF($AE1223="","",Sync!$Y1223)</f>
        <v/>
      </c>
    </row>
    <row r="1224">
      <c r="A1224">
        <f>IF(OR(Wages!$B1227="",Wages!$E1227=""),"",Wages!$E1227)</f>
        <v/>
      </c>
      <c r="B1224">
        <f>IF($A1224="","",IF(Wages!$C1227="دستمزد گروهی",2,1))</f>
        <v/>
      </c>
      <c r="C1224">
        <f>IF($A1224="","",IF(ISNUMBER(Wages!$B1227),IF(AND(Wages!$B1227&gt;=10000101,Wages!$B1227&lt;=99991231),INT(Wages!$B1227/10000),""),IFERROR(VALUE(TRIM(LEFT(Wages!$B1227,FIND("/",Wages!$B1227)-1))),"")))</f>
        <v/>
      </c>
      <c r="D1224">
        <f>IF(OR($A1224="",$C1224=""),"",IF(ISNUMBER(Wages!$B1227),INT(MOD(Wages!$B1227,10000)/100),IFERROR(VALUE(TRIM(LEFT(MID(Wages!$B1227,FIND("/",Wages!$B1227)+1,20),FIND("/",MID(Wages!$B1227,FIND("/",Wages!$B1227)+1,20))-1))),"")))</f>
        <v/>
      </c>
      <c r="E1224">
        <f>IF(OR($A1224="",$C1224=""),"",IF(ISNUMBER(Wages!$B1227),MOD(Wages!$B1227,100),IFERROR(VALUE(TRIM(MID(MID(Wages!$B1227,FIND("/",Wages!$B1227)+1,20),FIND("/",MID(Wages!$B1227,FIND("/",Wages!$B1227)+1,20))+1,20))),"")))</f>
        <v/>
      </c>
      <c r="F1224">
        <f>IF($A1224="","",IF(OR($C1224="",$D1224="",$E1224="",$C1224&lt;1300,$C1224&gt;1500,$D1224&lt;1,$D1224&gt;12,$E1224&lt;1,$E1224&gt;31),"نامعتبر",RIGHT("0000"&amp;$C1224,4)&amp;"/"&amp;RIGHT("00"&amp;$D1224,2)&amp;"/"&amp;RIGHT("00"&amp;$E1224,2)))</f>
        <v/>
      </c>
      <c r="G1224">
        <f>IF(OR($A1224="",$F1224="",$F1224="نامعتبر"),"",LEFT($F1224,4)&amp;MID($F1224,6,2)&amp;RIGHT($F1224,2)&amp;"0000"&amp;"|"&amp;"1"&amp;RIGHT("00000"&amp;1219,5))</f>
        <v/>
      </c>
      <c r="H1224">
        <f>IF(OR($B1224&lt;&gt;1,$G1224=""),"",COUNTIFS(LdAParty,$A1224,LdAType,1,LdAKey,"&lt;"&amp;$G1224)+COUNTIFS(LdBMember,$A1224,LdBKey,"&lt;"&amp;$G1224)+COUNTIFS(LdCParty,$A1224,LdCKey,"&lt;"&amp;$G1224)+1)</f>
        <v/>
      </c>
      <c r="I1224">
        <f>IF($H1224="","",$A1224&amp;"|"&amp;RIGHT("000000"&amp;$H1224,6))</f>
        <v/>
      </c>
      <c r="J1224">
        <f>IF(OR($B1224&lt;&gt;2,$G1224=""),"",COUNTIFS(LdAParty,$A1224,LdAType,2,LdAKey,"&lt;"&amp;$G1224)+1)</f>
        <v/>
      </c>
      <c r="K1224">
        <f>IF($J1224="","",$A1224&amp;"|"&amp;RIGHT("000000"&amp;$J1224,6))</f>
        <v/>
      </c>
      <c r="L1224">
        <f>IF($A1224="","",IF(Wages!$G1227="",0,Wages!$G1227))</f>
        <v/>
      </c>
      <c r="M1224">
        <f>IF($A1224="","",Wages!$J1227)</f>
        <v/>
      </c>
      <c r="N1224">
        <f>IF($A1224="","",Wages!$D1227)</f>
        <v/>
      </c>
      <c r="P1224">
        <f>IF(OR(Shares!$B1227="",Shares!$C1227=""),"",Shares!$C1227)</f>
        <v/>
      </c>
      <c r="Q1224">
        <f>IF($P1224="","",Shares!$B1227)</f>
        <v/>
      </c>
      <c r="R1224">
        <f>IF($P1224="","",IFERROR(INDEX(WageParty,MATCH($Q1224,WageIds,0)),""))</f>
        <v/>
      </c>
      <c r="S1224">
        <f>IF($P1224="","",IFERROR(INDEX($F$6:$F$2005,MATCH($Q1224,WageIds,0)),""))</f>
        <v/>
      </c>
      <c r="T1224">
        <f>IF(OR($P1224="",$S1224="",$S1224="نامعتبر"),"",LEFT($S1224,4)&amp;MID($S1224,6,2)&amp;RIGHT($S1224,2)&amp;"0000"&amp;"|"&amp;"2"&amp;RIGHT("00000"&amp;1219,5))</f>
        <v/>
      </c>
      <c r="U1224">
        <f>IF($T1224="","",COUNTIFS(LdAParty,$P1224,LdAType,1,LdAKey,"&lt;"&amp;$T1224)+COUNTIFS(LdBMember,$P1224,LdBKey,"&lt;"&amp;$T1224)+COUNTIFS(LdCParty,$P1224,LdCKey,"&lt;"&amp;$T1224)+1)</f>
        <v/>
      </c>
      <c r="V1224">
        <f>IF($U1224="","",$P1224&amp;"|"&amp;RIGHT("000000"&amp;$U1224,6))</f>
        <v/>
      </c>
      <c r="W1224">
        <f>IF($T1224="","",COUNTIFS(LdBGroup,$R1224,LdBKey,"&lt;"&amp;$T1224)+1)</f>
        <v/>
      </c>
      <c r="X1224">
        <f>IF($W1224="","",$R1224&amp;"|"&amp;RIGHT("000000"&amp;$W1224,6))</f>
        <v/>
      </c>
      <c r="Y1224">
        <f>IF($P1224="","",IF(Shares!$E1227="",0,Shares!$E1227))</f>
        <v/>
      </c>
      <c r="Z1224">
        <f>IF($P1224="","",Shares!$H1227)</f>
        <v/>
      </c>
      <c r="AE1224">
        <f>IF(OR(Sync!$S1224="",Sync!$P1224=""),"",Sync!$S1224)</f>
        <v/>
      </c>
      <c r="AF1224">
        <f>IF($AE1224="","",IF(ISNUMBER(Sync!$P1224),IF(AND(Sync!$P1224&gt;=10000101,Sync!$P1224&lt;=99991231),INT(Sync!$P1224/10000),""),IFERROR(VALUE(TRIM(LEFT(Sync!$P1224,FIND("/",Sync!$P1224)-1))),"")))</f>
        <v/>
      </c>
      <c r="AG1224">
        <f>IF(OR($AE1224="",$AF1224=""),"",IF(ISNUMBER(Sync!$P1224),INT(MOD(Sync!$P1224,10000)/100),IFERROR(VALUE(TRIM(LEFT(MID(Sync!$P1224,FIND("/",Sync!$P1224)+1,20),FIND("/",MID(Sync!$P1224,FIND("/",Sync!$P1224)+1,20))-1))),"")))</f>
        <v/>
      </c>
      <c r="AH1224">
        <f>IF(OR($AE1224="",$AF1224=""),"",IF(ISNUMBER(Sync!$P1224),MOD(Sync!$P1224,100),IFERROR(VALUE(TRIM(MID(MID(Sync!$P1224,FIND("/",Sync!$P1224)+1,20),FIND("/",MID(Sync!$P1224,FIND("/",Sync!$P1224)+1,20))+1,20))),"")))</f>
        <v/>
      </c>
      <c r="AI1224">
        <f>IF($AE1224="","",IF(OR($AF1224="",$AG1224="",$AH1224="",$AF1224&lt;1300,$AF1224&gt;1500,$AG1224&lt;1,$AG1224&gt;12,$AH1224&lt;1,$AH1224&gt;31),"نامعتبر",RIGHT("0000"&amp;$AF1224,4)&amp;"/"&amp;RIGHT("00"&amp;$AG1224,2)&amp;"/"&amp;RIGHT("00"&amp;$AH1224,2)))</f>
        <v/>
      </c>
      <c r="AJ1224">
        <f>IF($AE1224="","",IF(Sync!$Q1224="","0000",IF(AND(ISNUMBER(Sync!$Q1224),Sync!$Q1224&gt;=0,Sync!$Q1224&lt;1),RIGHT("00"&amp;HOUR(Sync!$Q1224),2)&amp;RIGHT("00"&amp;MINUTE(Sync!$Q1224),2),IFERROR(RIGHT("00"&amp;VALUE(LEFT(Sync!$Q1224,FIND(":",Sync!$Q1224)-1)),2)&amp;RIGHT("00"&amp;VALUE(MID(Sync!$Q1224,FIND(":",Sync!$Q1224)+1,2)),2),"0000"))))</f>
        <v/>
      </c>
      <c r="AK1224">
        <f>IF(OR($AE1224="",$AI1224="",$AI1224="نامعتبر"),"",LEFT($AI1224,4)&amp;MID($AI1224,6,2)&amp;RIGHT($AI1224,2)&amp;$AJ1224&amp;"|"&amp;"3"&amp;RIGHT("00000"&amp;1219,5))</f>
        <v/>
      </c>
      <c r="AL1224">
        <f>IF($AK1224="","",COUNTIFS(LdAParty,$AE1224,LdAType,1,LdAKey,"&lt;"&amp;$AK1224)+COUNTIFS(LdBMember,$AE1224,LdBKey,"&lt;"&amp;$AK1224)+COUNTIFS(LdCParty,$AE1224,LdCKey,"&lt;"&amp;$AK1224)+1)</f>
        <v/>
      </c>
      <c r="AM1224">
        <f>IF($AL1224="","",$AE1224&amp;"|"&amp;RIGHT("000000"&amp;$AL1224,6))</f>
        <v/>
      </c>
      <c r="AN1224">
        <f>IF($AE1224="","",IF(Sync!$W1224="",0,Sync!$W1224))</f>
        <v/>
      </c>
      <c r="AO1224">
        <f>IF($AE1224="","",IF(Sync!$X1224="",0,Sync!$X1224))</f>
        <v/>
      </c>
      <c r="AP1224">
        <f>IF($AE1224="","",Sync!$R1224)</f>
        <v/>
      </c>
      <c r="AQ1224">
        <f>IF($AE1224="","",Sync!$Y1224)</f>
        <v/>
      </c>
    </row>
    <row r="1225">
      <c r="A1225">
        <f>IF(OR(Wages!$B1228="",Wages!$E1228=""),"",Wages!$E1228)</f>
        <v/>
      </c>
      <c r="B1225">
        <f>IF($A1225="","",IF(Wages!$C1228="دستمزد گروهی",2,1))</f>
        <v/>
      </c>
      <c r="C1225">
        <f>IF($A1225="","",IF(ISNUMBER(Wages!$B1228),IF(AND(Wages!$B1228&gt;=10000101,Wages!$B1228&lt;=99991231),INT(Wages!$B1228/10000),""),IFERROR(VALUE(TRIM(LEFT(Wages!$B1228,FIND("/",Wages!$B1228)-1))),"")))</f>
        <v/>
      </c>
      <c r="D1225">
        <f>IF(OR($A1225="",$C1225=""),"",IF(ISNUMBER(Wages!$B1228),INT(MOD(Wages!$B1228,10000)/100),IFERROR(VALUE(TRIM(LEFT(MID(Wages!$B1228,FIND("/",Wages!$B1228)+1,20),FIND("/",MID(Wages!$B1228,FIND("/",Wages!$B1228)+1,20))-1))),"")))</f>
        <v/>
      </c>
      <c r="E1225">
        <f>IF(OR($A1225="",$C1225=""),"",IF(ISNUMBER(Wages!$B1228),MOD(Wages!$B1228,100),IFERROR(VALUE(TRIM(MID(MID(Wages!$B1228,FIND("/",Wages!$B1228)+1,20),FIND("/",MID(Wages!$B1228,FIND("/",Wages!$B1228)+1,20))+1,20))),"")))</f>
        <v/>
      </c>
      <c r="F1225">
        <f>IF($A1225="","",IF(OR($C1225="",$D1225="",$E1225="",$C1225&lt;1300,$C1225&gt;1500,$D1225&lt;1,$D1225&gt;12,$E1225&lt;1,$E1225&gt;31),"نامعتبر",RIGHT("0000"&amp;$C1225,4)&amp;"/"&amp;RIGHT("00"&amp;$D1225,2)&amp;"/"&amp;RIGHT("00"&amp;$E1225,2)))</f>
        <v/>
      </c>
      <c r="G1225">
        <f>IF(OR($A1225="",$F1225="",$F1225="نامعتبر"),"",LEFT($F1225,4)&amp;MID($F1225,6,2)&amp;RIGHT($F1225,2)&amp;"0000"&amp;"|"&amp;"1"&amp;RIGHT("00000"&amp;1220,5))</f>
        <v/>
      </c>
      <c r="H1225">
        <f>IF(OR($B1225&lt;&gt;1,$G1225=""),"",COUNTIFS(LdAParty,$A1225,LdAType,1,LdAKey,"&lt;"&amp;$G1225)+COUNTIFS(LdBMember,$A1225,LdBKey,"&lt;"&amp;$G1225)+COUNTIFS(LdCParty,$A1225,LdCKey,"&lt;"&amp;$G1225)+1)</f>
        <v/>
      </c>
      <c r="I1225">
        <f>IF($H1225="","",$A1225&amp;"|"&amp;RIGHT("000000"&amp;$H1225,6))</f>
        <v/>
      </c>
      <c r="J1225">
        <f>IF(OR($B1225&lt;&gt;2,$G1225=""),"",COUNTIFS(LdAParty,$A1225,LdAType,2,LdAKey,"&lt;"&amp;$G1225)+1)</f>
        <v/>
      </c>
      <c r="K1225">
        <f>IF($J1225="","",$A1225&amp;"|"&amp;RIGHT("000000"&amp;$J1225,6))</f>
        <v/>
      </c>
      <c r="L1225">
        <f>IF($A1225="","",IF(Wages!$G1228="",0,Wages!$G1228))</f>
        <v/>
      </c>
      <c r="M1225">
        <f>IF($A1225="","",Wages!$J1228)</f>
        <v/>
      </c>
      <c r="N1225">
        <f>IF($A1225="","",Wages!$D1228)</f>
        <v/>
      </c>
      <c r="P1225">
        <f>IF(OR(Shares!$B1228="",Shares!$C1228=""),"",Shares!$C1228)</f>
        <v/>
      </c>
      <c r="Q1225">
        <f>IF($P1225="","",Shares!$B1228)</f>
        <v/>
      </c>
      <c r="R1225">
        <f>IF($P1225="","",IFERROR(INDEX(WageParty,MATCH($Q1225,WageIds,0)),""))</f>
        <v/>
      </c>
      <c r="S1225">
        <f>IF($P1225="","",IFERROR(INDEX($F$6:$F$2005,MATCH($Q1225,WageIds,0)),""))</f>
        <v/>
      </c>
      <c r="T1225">
        <f>IF(OR($P1225="",$S1225="",$S1225="نامعتبر"),"",LEFT($S1225,4)&amp;MID($S1225,6,2)&amp;RIGHT($S1225,2)&amp;"0000"&amp;"|"&amp;"2"&amp;RIGHT("00000"&amp;1220,5))</f>
        <v/>
      </c>
      <c r="U1225">
        <f>IF($T1225="","",COUNTIFS(LdAParty,$P1225,LdAType,1,LdAKey,"&lt;"&amp;$T1225)+COUNTIFS(LdBMember,$P1225,LdBKey,"&lt;"&amp;$T1225)+COUNTIFS(LdCParty,$P1225,LdCKey,"&lt;"&amp;$T1225)+1)</f>
        <v/>
      </c>
      <c r="V1225">
        <f>IF($U1225="","",$P1225&amp;"|"&amp;RIGHT("000000"&amp;$U1225,6))</f>
        <v/>
      </c>
      <c r="W1225">
        <f>IF($T1225="","",COUNTIFS(LdBGroup,$R1225,LdBKey,"&lt;"&amp;$T1225)+1)</f>
        <v/>
      </c>
      <c r="X1225">
        <f>IF($W1225="","",$R1225&amp;"|"&amp;RIGHT("000000"&amp;$W1225,6))</f>
        <v/>
      </c>
      <c r="Y1225">
        <f>IF($P1225="","",IF(Shares!$E1228="",0,Shares!$E1228))</f>
        <v/>
      </c>
      <c r="Z1225">
        <f>IF($P1225="","",Shares!$H1228)</f>
        <v/>
      </c>
      <c r="AE1225">
        <f>IF(OR(Sync!$S1225="",Sync!$P1225=""),"",Sync!$S1225)</f>
        <v/>
      </c>
      <c r="AF1225">
        <f>IF($AE1225="","",IF(ISNUMBER(Sync!$P1225),IF(AND(Sync!$P1225&gt;=10000101,Sync!$P1225&lt;=99991231),INT(Sync!$P1225/10000),""),IFERROR(VALUE(TRIM(LEFT(Sync!$P1225,FIND("/",Sync!$P1225)-1))),"")))</f>
        <v/>
      </c>
      <c r="AG1225">
        <f>IF(OR($AE1225="",$AF1225=""),"",IF(ISNUMBER(Sync!$P1225),INT(MOD(Sync!$P1225,10000)/100),IFERROR(VALUE(TRIM(LEFT(MID(Sync!$P1225,FIND("/",Sync!$P1225)+1,20),FIND("/",MID(Sync!$P1225,FIND("/",Sync!$P1225)+1,20))-1))),"")))</f>
        <v/>
      </c>
      <c r="AH1225">
        <f>IF(OR($AE1225="",$AF1225=""),"",IF(ISNUMBER(Sync!$P1225),MOD(Sync!$P1225,100),IFERROR(VALUE(TRIM(MID(MID(Sync!$P1225,FIND("/",Sync!$P1225)+1,20),FIND("/",MID(Sync!$P1225,FIND("/",Sync!$P1225)+1,20))+1,20))),"")))</f>
        <v/>
      </c>
      <c r="AI1225">
        <f>IF($AE1225="","",IF(OR($AF1225="",$AG1225="",$AH1225="",$AF1225&lt;1300,$AF1225&gt;1500,$AG1225&lt;1,$AG1225&gt;12,$AH1225&lt;1,$AH1225&gt;31),"نامعتبر",RIGHT("0000"&amp;$AF1225,4)&amp;"/"&amp;RIGHT("00"&amp;$AG1225,2)&amp;"/"&amp;RIGHT("00"&amp;$AH1225,2)))</f>
        <v/>
      </c>
      <c r="AJ1225">
        <f>IF($AE1225="","",IF(Sync!$Q1225="","0000",IF(AND(ISNUMBER(Sync!$Q1225),Sync!$Q1225&gt;=0,Sync!$Q1225&lt;1),RIGHT("00"&amp;HOUR(Sync!$Q1225),2)&amp;RIGHT("00"&amp;MINUTE(Sync!$Q1225),2),IFERROR(RIGHT("00"&amp;VALUE(LEFT(Sync!$Q1225,FIND(":",Sync!$Q1225)-1)),2)&amp;RIGHT("00"&amp;VALUE(MID(Sync!$Q1225,FIND(":",Sync!$Q1225)+1,2)),2),"0000"))))</f>
        <v/>
      </c>
      <c r="AK1225">
        <f>IF(OR($AE1225="",$AI1225="",$AI1225="نامعتبر"),"",LEFT($AI1225,4)&amp;MID($AI1225,6,2)&amp;RIGHT($AI1225,2)&amp;$AJ1225&amp;"|"&amp;"3"&amp;RIGHT("00000"&amp;1220,5))</f>
        <v/>
      </c>
      <c r="AL1225">
        <f>IF($AK1225="","",COUNTIFS(LdAParty,$AE1225,LdAType,1,LdAKey,"&lt;"&amp;$AK1225)+COUNTIFS(LdBMember,$AE1225,LdBKey,"&lt;"&amp;$AK1225)+COUNTIFS(LdCParty,$AE1225,LdCKey,"&lt;"&amp;$AK1225)+1)</f>
        <v/>
      </c>
      <c r="AM1225">
        <f>IF($AL1225="","",$AE1225&amp;"|"&amp;RIGHT("000000"&amp;$AL1225,6))</f>
        <v/>
      </c>
      <c r="AN1225">
        <f>IF($AE1225="","",IF(Sync!$W1225="",0,Sync!$W1225))</f>
        <v/>
      </c>
      <c r="AO1225">
        <f>IF($AE1225="","",IF(Sync!$X1225="",0,Sync!$X1225))</f>
        <v/>
      </c>
      <c r="AP1225">
        <f>IF($AE1225="","",Sync!$R1225)</f>
        <v/>
      </c>
      <c r="AQ1225">
        <f>IF($AE1225="","",Sync!$Y1225)</f>
        <v/>
      </c>
    </row>
    <row r="1226">
      <c r="A1226">
        <f>IF(OR(Wages!$B1229="",Wages!$E1229=""),"",Wages!$E1229)</f>
        <v/>
      </c>
      <c r="B1226">
        <f>IF($A1226="","",IF(Wages!$C1229="دستمزد گروهی",2,1))</f>
        <v/>
      </c>
      <c r="C1226">
        <f>IF($A1226="","",IF(ISNUMBER(Wages!$B1229),IF(AND(Wages!$B1229&gt;=10000101,Wages!$B1229&lt;=99991231),INT(Wages!$B1229/10000),""),IFERROR(VALUE(TRIM(LEFT(Wages!$B1229,FIND("/",Wages!$B1229)-1))),"")))</f>
        <v/>
      </c>
      <c r="D1226">
        <f>IF(OR($A1226="",$C1226=""),"",IF(ISNUMBER(Wages!$B1229),INT(MOD(Wages!$B1229,10000)/100),IFERROR(VALUE(TRIM(LEFT(MID(Wages!$B1229,FIND("/",Wages!$B1229)+1,20),FIND("/",MID(Wages!$B1229,FIND("/",Wages!$B1229)+1,20))-1))),"")))</f>
        <v/>
      </c>
      <c r="E1226">
        <f>IF(OR($A1226="",$C1226=""),"",IF(ISNUMBER(Wages!$B1229),MOD(Wages!$B1229,100),IFERROR(VALUE(TRIM(MID(MID(Wages!$B1229,FIND("/",Wages!$B1229)+1,20),FIND("/",MID(Wages!$B1229,FIND("/",Wages!$B1229)+1,20))+1,20))),"")))</f>
        <v/>
      </c>
      <c r="F1226">
        <f>IF($A1226="","",IF(OR($C1226="",$D1226="",$E1226="",$C1226&lt;1300,$C1226&gt;1500,$D1226&lt;1,$D1226&gt;12,$E1226&lt;1,$E1226&gt;31),"نامعتبر",RIGHT("0000"&amp;$C1226,4)&amp;"/"&amp;RIGHT("00"&amp;$D1226,2)&amp;"/"&amp;RIGHT("00"&amp;$E1226,2)))</f>
        <v/>
      </c>
      <c r="G1226">
        <f>IF(OR($A1226="",$F1226="",$F1226="نامعتبر"),"",LEFT($F1226,4)&amp;MID($F1226,6,2)&amp;RIGHT($F1226,2)&amp;"0000"&amp;"|"&amp;"1"&amp;RIGHT("00000"&amp;1221,5))</f>
        <v/>
      </c>
      <c r="H1226">
        <f>IF(OR($B1226&lt;&gt;1,$G1226=""),"",COUNTIFS(LdAParty,$A1226,LdAType,1,LdAKey,"&lt;"&amp;$G1226)+COUNTIFS(LdBMember,$A1226,LdBKey,"&lt;"&amp;$G1226)+COUNTIFS(LdCParty,$A1226,LdCKey,"&lt;"&amp;$G1226)+1)</f>
        <v/>
      </c>
      <c r="I1226">
        <f>IF($H1226="","",$A1226&amp;"|"&amp;RIGHT("000000"&amp;$H1226,6))</f>
        <v/>
      </c>
      <c r="J1226">
        <f>IF(OR($B1226&lt;&gt;2,$G1226=""),"",COUNTIFS(LdAParty,$A1226,LdAType,2,LdAKey,"&lt;"&amp;$G1226)+1)</f>
        <v/>
      </c>
      <c r="K1226">
        <f>IF($J1226="","",$A1226&amp;"|"&amp;RIGHT("000000"&amp;$J1226,6))</f>
        <v/>
      </c>
      <c r="L1226">
        <f>IF($A1226="","",IF(Wages!$G1229="",0,Wages!$G1229))</f>
        <v/>
      </c>
      <c r="M1226">
        <f>IF($A1226="","",Wages!$J1229)</f>
        <v/>
      </c>
      <c r="N1226">
        <f>IF($A1226="","",Wages!$D1229)</f>
        <v/>
      </c>
      <c r="P1226">
        <f>IF(OR(Shares!$B1229="",Shares!$C1229=""),"",Shares!$C1229)</f>
        <v/>
      </c>
      <c r="Q1226">
        <f>IF($P1226="","",Shares!$B1229)</f>
        <v/>
      </c>
      <c r="R1226">
        <f>IF($P1226="","",IFERROR(INDEX(WageParty,MATCH($Q1226,WageIds,0)),""))</f>
        <v/>
      </c>
      <c r="S1226">
        <f>IF($P1226="","",IFERROR(INDEX($F$6:$F$2005,MATCH($Q1226,WageIds,0)),""))</f>
        <v/>
      </c>
      <c r="T1226">
        <f>IF(OR($P1226="",$S1226="",$S1226="نامعتبر"),"",LEFT($S1226,4)&amp;MID($S1226,6,2)&amp;RIGHT($S1226,2)&amp;"0000"&amp;"|"&amp;"2"&amp;RIGHT("00000"&amp;1221,5))</f>
        <v/>
      </c>
      <c r="U1226">
        <f>IF($T1226="","",COUNTIFS(LdAParty,$P1226,LdAType,1,LdAKey,"&lt;"&amp;$T1226)+COUNTIFS(LdBMember,$P1226,LdBKey,"&lt;"&amp;$T1226)+COUNTIFS(LdCParty,$P1226,LdCKey,"&lt;"&amp;$T1226)+1)</f>
        <v/>
      </c>
      <c r="V1226">
        <f>IF($U1226="","",$P1226&amp;"|"&amp;RIGHT("000000"&amp;$U1226,6))</f>
        <v/>
      </c>
      <c r="W1226">
        <f>IF($T1226="","",COUNTIFS(LdBGroup,$R1226,LdBKey,"&lt;"&amp;$T1226)+1)</f>
        <v/>
      </c>
      <c r="X1226">
        <f>IF($W1226="","",$R1226&amp;"|"&amp;RIGHT("000000"&amp;$W1226,6))</f>
        <v/>
      </c>
      <c r="Y1226">
        <f>IF($P1226="","",IF(Shares!$E1229="",0,Shares!$E1229))</f>
        <v/>
      </c>
      <c r="Z1226">
        <f>IF($P1226="","",Shares!$H1229)</f>
        <v/>
      </c>
      <c r="AE1226">
        <f>IF(OR(Sync!$S1226="",Sync!$P1226=""),"",Sync!$S1226)</f>
        <v/>
      </c>
      <c r="AF1226">
        <f>IF($AE1226="","",IF(ISNUMBER(Sync!$P1226),IF(AND(Sync!$P1226&gt;=10000101,Sync!$P1226&lt;=99991231),INT(Sync!$P1226/10000),""),IFERROR(VALUE(TRIM(LEFT(Sync!$P1226,FIND("/",Sync!$P1226)-1))),"")))</f>
        <v/>
      </c>
      <c r="AG1226">
        <f>IF(OR($AE1226="",$AF1226=""),"",IF(ISNUMBER(Sync!$P1226),INT(MOD(Sync!$P1226,10000)/100),IFERROR(VALUE(TRIM(LEFT(MID(Sync!$P1226,FIND("/",Sync!$P1226)+1,20),FIND("/",MID(Sync!$P1226,FIND("/",Sync!$P1226)+1,20))-1))),"")))</f>
        <v/>
      </c>
      <c r="AH1226">
        <f>IF(OR($AE1226="",$AF1226=""),"",IF(ISNUMBER(Sync!$P1226),MOD(Sync!$P1226,100),IFERROR(VALUE(TRIM(MID(MID(Sync!$P1226,FIND("/",Sync!$P1226)+1,20),FIND("/",MID(Sync!$P1226,FIND("/",Sync!$P1226)+1,20))+1,20))),"")))</f>
        <v/>
      </c>
      <c r="AI1226">
        <f>IF($AE1226="","",IF(OR($AF1226="",$AG1226="",$AH1226="",$AF1226&lt;1300,$AF1226&gt;1500,$AG1226&lt;1,$AG1226&gt;12,$AH1226&lt;1,$AH1226&gt;31),"نامعتبر",RIGHT("0000"&amp;$AF1226,4)&amp;"/"&amp;RIGHT("00"&amp;$AG1226,2)&amp;"/"&amp;RIGHT("00"&amp;$AH1226,2)))</f>
        <v/>
      </c>
      <c r="AJ1226">
        <f>IF($AE1226="","",IF(Sync!$Q1226="","0000",IF(AND(ISNUMBER(Sync!$Q1226),Sync!$Q1226&gt;=0,Sync!$Q1226&lt;1),RIGHT("00"&amp;HOUR(Sync!$Q1226),2)&amp;RIGHT("00"&amp;MINUTE(Sync!$Q1226),2),IFERROR(RIGHT("00"&amp;VALUE(LEFT(Sync!$Q1226,FIND(":",Sync!$Q1226)-1)),2)&amp;RIGHT("00"&amp;VALUE(MID(Sync!$Q1226,FIND(":",Sync!$Q1226)+1,2)),2),"0000"))))</f>
        <v/>
      </c>
      <c r="AK1226">
        <f>IF(OR($AE1226="",$AI1226="",$AI1226="نامعتبر"),"",LEFT($AI1226,4)&amp;MID($AI1226,6,2)&amp;RIGHT($AI1226,2)&amp;$AJ1226&amp;"|"&amp;"3"&amp;RIGHT("00000"&amp;1221,5))</f>
        <v/>
      </c>
      <c r="AL1226">
        <f>IF($AK1226="","",COUNTIFS(LdAParty,$AE1226,LdAType,1,LdAKey,"&lt;"&amp;$AK1226)+COUNTIFS(LdBMember,$AE1226,LdBKey,"&lt;"&amp;$AK1226)+COUNTIFS(LdCParty,$AE1226,LdCKey,"&lt;"&amp;$AK1226)+1)</f>
        <v/>
      </c>
      <c r="AM1226">
        <f>IF($AL1226="","",$AE1226&amp;"|"&amp;RIGHT("000000"&amp;$AL1226,6))</f>
        <v/>
      </c>
      <c r="AN1226">
        <f>IF($AE1226="","",IF(Sync!$W1226="",0,Sync!$W1226))</f>
        <v/>
      </c>
      <c r="AO1226">
        <f>IF($AE1226="","",IF(Sync!$X1226="",0,Sync!$X1226))</f>
        <v/>
      </c>
      <c r="AP1226">
        <f>IF($AE1226="","",Sync!$R1226)</f>
        <v/>
      </c>
      <c r="AQ1226">
        <f>IF($AE1226="","",Sync!$Y1226)</f>
        <v/>
      </c>
    </row>
    <row r="1227">
      <c r="A1227">
        <f>IF(OR(Wages!$B1230="",Wages!$E1230=""),"",Wages!$E1230)</f>
        <v/>
      </c>
      <c r="B1227">
        <f>IF($A1227="","",IF(Wages!$C1230="دستمزد گروهی",2,1))</f>
        <v/>
      </c>
      <c r="C1227">
        <f>IF($A1227="","",IF(ISNUMBER(Wages!$B1230),IF(AND(Wages!$B1230&gt;=10000101,Wages!$B1230&lt;=99991231),INT(Wages!$B1230/10000),""),IFERROR(VALUE(TRIM(LEFT(Wages!$B1230,FIND("/",Wages!$B1230)-1))),"")))</f>
        <v/>
      </c>
      <c r="D1227">
        <f>IF(OR($A1227="",$C1227=""),"",IF(ISNUMBER(Wages!$B1230),INT(MOD(Wages!$B1230,10000)/100),IFERROR(VALUE(TRIM(LEFT(MID(Wages!$B1230,FIND("/",Wages!$B1230)+1,20),FIND("/",MID(Wages!$B1230,FIND("/",Wages!$B1230)+1,20))-1))),"")))</f>
        <v/>
      </c>
      <c r="E1227">
        <f>IF(OR($A1227="",$C1227=""),"",IF(ISNUMBER(Wages!$B1230),MOD(Wages!$B1230,100),IFERROR(VALUE(TRIM(MID(MID(Wages!$B1230,FIND("/",Wages!$B1230)+1,20),FIND("/",MID(Wages!$B1230,FIND("/",Wages!$B1230)+1,20))+1,20))),"")))</f>
        <v/>
      </c>
      <c r="F1227">
        <f>IF($A1227="","",IF(OR($C1227="",$D1227="",$E1227="",$C1227&lt;1300,$C1227&gt;1500,$D1227&lt;1,$D1227&gt;12,$E1227&lt;1,$E1227&gt;31),"نامعتبر",RIGHT("0000"&amp;$C1227,4)&amp;"/"&amp;RIGHT("00"&amp;$D1227,2)&amp;"/"&amp;RIGHT("00"&amp;$E1227,2)))</f>
        <v/>
      </c>
      <c r="G1227">
        <f>IF(OR($A1227="",$F1227="",$F1227="نامعتبر"),"",LEFT($F1227,4)&amp;MID($F1227,6,2)&amp;RIGHT($F1227,2)&amp;"0000"&amp;"|"&amp;"1"&amp;RIGHT("00000"&amp;1222,5))</f>
        <v/>
      </c>
      <c r="H1227">
        <f>IF(OR($B1227&lt;&gt;1,$G1227=""),"",COUNTIFS(LdAParty,$A1227,LdAType,1,LdAKey,"&lt;"&amp;$G1227)+COUNTIFS(LdBMember,$A1227,LdBKey,"&lt;"&amp;$G1227)+COUNTIFS(LdCParty,$A1227,LdCKey,"&lt;"&amp;$G1227)+1)</f>
        <v/>
      </c>
      <c r="I1227">
        <f>IF($H1227="","",$A1227&amp;"|"&amp;RIGHT("000000"&amp;$H1227,6))</f>
        <v/>
      </c>
      <c r="J1227">
        <f>IF(OR($B1227&lt;&gt;2,$G1227=""),"",COUNTIFS(LdAParty,$A1227,LdAType,2,LdAKey,"&lt;"&amp;$G1227)+1)</f>
        <v/>
      </c>
      <c r="K1227">
        <f>IF($J1227="","",$A1227&amp;"|"&amp;RIGHT("000000"&amp;$J1227,6))</f>
        <v/>
      </c>
      <c r="L1227">
        <f>IF($A1227="","",IF(Wages!$G1230="",0,Wages!$G1230))</f>
        <v/>
      </c>
      <c r="M1227">
        <f>IF($A1227="","",Wages!$J1230)</f>
        <v/>
      </c>
      <c r="N1227">
        <f>IF($A1227="","",Wages!$D1230)</f>
        <v/>
      </c>
      <c r="P1227">
        <f>IF(OR(Shares!$B1230="",Shares!$C1230=""),"",Shares!$C1230)</f>
        <v/>
      </c>
      <c r="Q1227">
        <f>IF($P1227="","",Shares!$B1230)</f>
        <v/>
      </c>
      <c r="R1227">
        <f>IF($P1227="","",IFERROR(INDEX(WageParty,MATCH($Q1227,WageIds,0)),""))</f>
        <v/>
      </c>
      <c r="S1227">
        <f>IF($P1227="","",IFERROR(INDEX($F$6:$F$2005,MATCH($Q1227,WageIds,0)),""))</f>
        <v/>
      </c>
      <c r="T1227">
        <f>IF(OR($P1227="",$S1227="",$S1227="نامعتبر"),"",LEFT($S1227,4)&amp;MID($S1227,6,2)&amp;RIGHT($S1227,2)&amp;"0000"&amp;"|"&amp;"2"&amp;RIGHT("00000"&amp;1222,5))</f>
        <v/>
      </c>
      <c r="U1227">
        <f>IF($T1227="","",COUNTIFS(LdAParty,$P1227,LdAType,1,LdAKey,"&lt;"&amp;$T1227)+COUNTIFS(LdBMember,$P1227,LdBKey,"&lt;"&amp;$T1227)+COUNTIFS(LdCParty,$P1227,LdCKey,"&lt;"&amp;$T1227)+1)</f>
        <v/>
      </c>
      <c r="V1227">
        <f>IF($U1227="","",$P1227&amp;"|"&amp;RIGHT("000000"&amp;$U1227,6))</f>
        <v/>
      </c>
      <c r="W1227">
        <f>IF($T1227="","",COUNTIFS(LdBGroup,$R1227,LdBKey,"&lt;"&amp;$T1227)+1)</f>
        <v/>
      </c>
      <c r="X1227">
        <f>IF($W1227="","",$R1227&amp;"|"&amp;RIGHT("000000"&amp;$W1227,6))</f>
        <v/>
      </c>
      <c r="Y1227">
        <f>IF($P1227="","",IF(Shares!$E1230="",0,Shares!$E1230))</f>
        <v/>
      </c>
      <c r="Z1227">
        <f>IF($P1227="","",Shares!$H1230)</f>
        <v/>
      </c>
      <c r="AE1227">
        <f>IF(OR(Sync!$S1227="",Sync!$P1227=""),"",Sync!$S1227)</f>
        <v/>
      </c>
      <c r="AF1227">
        <f>IF($AE1227="","",IF(ISNUMBER(Sync!$P1227),IF(AND(Sync!$P1227&gt;=10000101,Sync!$P1227&lt;=99991231),INT(Sync!$P1227/10000),""),IFERROR(VALUE(TRIM(LEFT(Sync!$P1227,FIND("/",Sync!$P1227)-1))),"")))</f>
        <v/>
      </c>
      <c r="AG1227">
        <f>IF(OR($AE1227="",$AF1227=""),"",IF(ISNUMBER(Sync!$P1227),INT(MOD(Sync!$P1227,10000)/100),IFERROR(VALUE(TRIM(LEFT(MID(Sync!$P1227,FIND("/",Sync!$P1227)+1,20),FIND("/",MID(Sync!$P1227,FIND("/",Sync!$P1227)+1,20))-1))),"")))</f>
        <v/>
      </c>
      <c r="AH1227">
        <f>IF(OR($AE1227="",$AF1227=""),"",IF(ISNUMBER(Sync!$P1227),MOD(Sync!$P1227,100),IFERROR(VALUE(TRIM(MID(MID(Sync!$P1227,FIND("/",Sync!$P1227)+1,20),FIND("/",MID(Sync!$P1227,FIND("/",Sync!$P1227)+1,20))+1,20))),"")))</f>
        <v/>
      </c>
      <c r="AI1227">
        <f>IF($AE1227="","",IF(OR($AF1227="",$AG1227="",$AH1227="",$AF1227&lt;1300,$AF1227&gt;1500,$AG1227&lt;1,$AG1227&gt;12,$AH1227&lt;1,$AH1227&gt;31),"نامعتبر",RIGHT("0000"&amp;$AF1227,4)&amp;"/"&amp;RIGHT("00"&amp;$AG1227,2)&amp;"/"&amp;RIGHT("00"&amp;$AH1227,2)))</f>
        <v/>
      </c>
      <c r="AJ1227">
        <f>IF($AE1227="","",IF(Sync!$Q1227="","0000",IF(AND(ISNUMBER(Sync!$Q1227),Sync!$Q1227&gt;=0,Sync!$Q1227&lt;1),RIGHT("00"&amp;HOUR(Sync!$Q1227),2)&amp;RIGHT("00"&amp;MINUTE(Sync!$Q1227),2),IFERROR(RIGHT("00"&amp;VALUE(LEFT(Sync!$Q1227,FIND(":",Sync!$Q1227)-1)),2)&amp;RIGHT("00"&amp;VALUE(MID(Sync!$Q1227,FIND(":",Sync!$Q1227)+1,2)),2),"0000"))))</f>
        <v/>
      </c>
      <c r="AK1227">
        <f>IF(OR($AE1227="",$AI1227="",$AI1227="نامعتبر"),"",LEFT($AI1227,4)&amp;MID($AI1227,6,2)&amp;RIGHT($AI1227,2)&amp;$AJ1227&amp;"|"&amp;"3"&amp;RIGHT("00000"&amp;1222,5))</f>
        <v/>
      </c>
      <c r="AL1227">
        <f>IF($AK1227="","",COUNTIFS(LdAParty,$AE1227,LdAType,1,LdAKey,"&lt;"&amp;$AK1227)+COUNTIFS(LdBMember,$AE1227,LdBKey,"&lt;"&amp;$AK1227)+COUNTIFS(LdCParty,$AE1227,LdCKey,"&lt;"&amp;$AK1227)+1)</f>
        <v/>
      </c>
      <c r="AM1227">
        <f>IF($AL1227="","",$AE1227&amp;"|"&amp;RIGHT("000000"&amp;$AL1227,6))</f>
        <v/>
      </c>
      <c r="AN1227">
        <f>IF($AE1227="","",IF(Sync!$W1227="",0,Sync!$W1227))</f>
        <v/>
      </c>
      <c r="AO1227">
        <f>IF($AE1227="","",IF(Sync!$X1227="",0,Sync!$X1227))</f>
        <v/>
      </c>
      <c r="AP1227">
        <f>IF($AE1227="","",Sync!$R1227)</f>
        <v/>
      </c>
      <c r="AQ1227">
        <f>IF($AE1227="","",Sync!$Y1227)</f>
        <v/>
      </c>
    </row>
    <row r="1228">
      <c r="A1228">
        <f>IF(OR(Wages!$B1231="",Wages!$E1231=""),"",Wages!$E1231)</f>
        <v/>
      </c>
      <c r="B1228">
        <f>IF($A1228="","",IF(Wages!$C1231="دستمزد گروهی",2,1))</f>
        <v/>
      </c>
      <c r="C1228">
        <f>IF($A1228="","",IF(ISNUMBER(Wages!$B1231),IF(AND(Wages!$B1231&gt;=10000101,Wages!$B1231&lt;=99991231),INT(Wages!$B1231/10000),""),IFERROR(VALUE(TRIM(LEFT(Wages!$B1231,FIND("/",Wages!$B1231)-1))),"")))</f>
        <v/>
      </c>
      <c r="D1228">
        <f>IF(OR($A1228="",$C1228=""),"",IF(ISNUMBER(Wages!$B1231),INT(MOD(Wages!$B1231,10000)/100),IFERROR(VALUE(TRIM(LEFT(MID(Wages!$B1231,FIND("/",Wages!$B1231)+1,20),FIND("/",MID(Wages!$B1231,FIND("/",Wages!$B1231)+1,20))-1))),"")))</f>
        <v/>
      </c>
      <c r="E1228">
        <f>IF(OR($A1228="",$C1228=""),"",IF(ISNUMBER(Wages!$B1231),MOD(Wages!$B1231,100),IFERROR(VALUE(TRIM(MID(MID(Wages!$B1231,FIND("/",Wages!$B1231)+1,20),FIND("/",MID(Wages!$B1231,FIND("/",Wages!$B1231)+1,20))+1,20))),"")))</f>
        <v/>
      </c>
      <c r="F1228">
        <f>IF($A1228="","",IF(OR($C1228="",$D1228="",$E1228="",$C1228&lt;1300,$C1228&gt;1500,$D1228&lt;1,$D1228&gt;12,$E1228&lt;1,$E1228&gt;31),"نامعتبر",RIGHT("0000"&amp;$C1228,4)&amp;"/"&amp;RIGHT("00"&amp;$D1228,2)&amp;"/"&amp;RIGHT("00"&amp;$E1228,2)))</f>
        <v/>
      </c>
      <c r="G1228">
        <f>IF(OR($A1228="",$F1228="",$F1228="نامعتبر"),"",LEFT($F1228,4)&amp;MID($F1228,6,2)&amp;RIGHT($F1228,2)&amp;"0000"&amp;"|"&amp;"1"&amp;RIGHT("00000"&amp;1223,5))</f>
        <v/>
      </c>
      <c r="H1228">
        <f>IF(OR($B1228&lt;&gt;1,$G1228=""),"",COUNTIFS(LdAParty,$A1228,LdAType,1,LdAKey,"&lt;"&amp;$G1228)+COUNTIFS(LdBMember,$A1228,LdBKey,"&lt;"&amp;$G1228)+COUNTIFS(LdCParty,$A1228,LdCKey,"&lt;"&amp;$G1228)+1)</f>
        <v/>
      </c>
      <c r="I1228">
        <f>IF($H1228="","",$A1228&amp;"|"&amp;RIGHT("000000"&amp;$H1228,6))</f>
        <v/>
      </c>
      <c r="J1228">
        <f>IF(OR($B1228&lt;&gt;2,$G1228=""),"",COUNTIFS(LdAParty,$A1228,LdAType,2,LdAKey,"&lt;"&amp;$G1228)+1)</f>
        <v/>
      </c>
      <c r="K1228">
        <f>IF($J1228="","",$A1228&amp;"|"&amp;RIGHT("000000"&amp;$J1228,6))</f>
        <v/>
      </c>
      <c r="L1228">
        <f>IF($A1228="","",IF(Wages!$G1231="",0,Wages!$G1231))</f>
        <v/>
      </c>
      <c r="M1228">
        <f>IF($A1228="","",Wages!$J1231)</f>
        <v/>
      </c>
      <c r="N1228">
        <f>IF($A1228="","",Wages!$D1231)</f>
        <v/>
      </c>
      <c r="P1228">
        <f>IF(OR(Shares!$B1231="",Shares!$C1231=""),"",Shares!$C1231)</f>
        <v/>
      </c>
      <c r="Q1228">
        <f>IF($P1228="","",Shares!$B1231)</f>
        <v/>
      </c>
      <c r="R1228">
        <f>IF($P1228="","",IFERROR(INDEX(WageParty,MATCH($Q1228,WageIds,0)),""))</f>
        <v/>
      </c>
      <c r="S1228">
        <f>IF($P1228="","",IFERROR(INDEX($F$6:$F$2005,MATCH($Q1228,WageIds,0)),""))</f>
        <v/>
      </c>
      <c r="T1228">
        <f>IF(OR($P1228="",$S1228="",$S1228="نامعتبر"),"",LEFT($S1228,4)&amp;MID($S1228,6,2)&amp;RIGHT($S1228,2)&amp;"0000"&amp;"|"&amp;"2"&amp;RIGHT("00000"&amp;1223,5))</f>
        <v/>
      </c>
      <c r="U1228">
        <f>IF($T1228="","",COUNTIFS(LdAParty,$P1228,LdAType,1,LdAKey,"&lt;"&amp;$T1228)+COUNTIFS(LdBMember,$P1228,LdBKey,"&lt;"&amp;$T1228)+COUNTIFS(LdCParty,$P1228,LdCKey,"&lt;"&amp;$T1228)+1)</f>
        <v/>
      </c>
      <c r="V1228">
        <f>IF($U1228="","",$P1228&amp;"|"&amp;RIGHT("000000"&amp;$U1228,6))</f>
        <v/>
      </c>
      <c r="W1228">
        <f>IF($T1228="","",COUNTIFS(LdBGroup,$R1228,LdBKey,"&lt;"&amp;$T1228)+1)</f>
        <v/>
      </c>
      <c r="X1228">
        <f>IF($W1228="","",$R1228&amp;"|"&amp;RIGHT("000000"&amp;$W1228,6))</f>
        <v/>
      </c>
      <c r="Y1228">
        <f>IF($P1228="","",IF(Shares!$E1231="",0,Shares!$E1231))</f>
        <v/>
      </c>
      <c r="Z1228">
        <f>IF($P1228="","",Shares!$H1231)</f>
        <v/>
      </c>
      <c r="AE1228">
        <f>IF(OR(Sync!$S1228="",Sync!$P1228=""),"",Sync!$S1228)</f>
        <v/>
      </c>
      <c r="AF1228">
        <f>IF($AE1228="","",IF(ISNUMBER(Sync!$P1228),IF(AND(Sync!$P1228&gt;=10000101,Sync!$P1228&lt;=99991231),INT(Sync!$P1228/10000),""),IFERROR(VALUE(TRIM(LEFT(Sync!$P1228,FIND("/",Sync!$P1228)-1))),"")))</f>
        <v/>
      </c>
      <c r="AG1228">
        <f>IF(OR($AE1228="",$AF1228=""),"",IF(ISNUMBER(Sync!$P1228),INT(MOD(Sync!$P1228,10000)/100),IFERROR(VALUE(TRIM(LEFT(MID(Sync!$P1228,FIND("/",Sync!$P1228)+1,20),FIND("/",MID(Sync!$P1228,FIND("/",Sync!$P1228)+1,20))-1))),"")))</f>
        <v/>
      </c>
      <c r="AH1228">
        <f>IF(OR($AE1228="",$AF1228=""),"",IF(ISNUMBER(Sync!$P1228),MOD(Sync!$P1228,100),IFERROR(VALUE(TRIM(MID(MID(Sync!$P1228,FIND("/",Sync!$P1228)+1,20),FIND("/",MID(Sync!$P1228,FIND("/",Sync!$P1228)+1,20))+1,20))),"")))</f>
        <v/>
      </c>
      <c r="AI1228">
        <f>IF($AE1228="","",IF(OR($AF1228="",$AG1228="",$AH1228="",$AF1228&lt;1300,$AF1228&gt;1500,$AG1228&lt;1,$AG1228&gt;12,$AH1228&lt;1,$AH1228&gt;31),"نامعتبر",RIGHT("0000"&amp;$AF1228,4)&amp;"/"&amp;RIGHT("00"&amp;$AG1228,2)&amp;"/"&amp;RIGHT("00"&amp;$AH1228,2)))</f>
        <v/>
      </c>
      <c r="AJ1228">
        <f>IF($AE1228="","",IF(Sync!$Q1228="","0000",IF(AND(ISNUMBER(Sync!$Q1228),Sync!$Q1228&gt;=0,Sync!$Q1228&lt;1),RIGHT("00"&amp;HOUR(Sync!$Q1228),2)&amp;RIGHT("00"&amp;MINUTE(Sync!$Q1228),2),IFERROR(RIGHT("00"&amp;VALUE(LEFT(Sync!$Q1228,FIND(":",Sync!$Q1228)-1)),2)&amp;RIGHT("00"&amp;VALUE(MID(Sync!$Q1228,FIND(":",Sync!$Q1228)+1,2)),2),"0000"))))</f>
        <v/>
      </c>
      <c r="AK1228">
        <f>IF(OR($AE1228="",$AI1228="",$AI1228="نامعتبر"),"",LEFT($AI1228,4)&amp;MID($AI1228,6,2)&amp;RIGHT($AI1228,2)&amp;$AJ1228&amp;"|"&amp;"3"&amp;RIGHT("00000"&amp;1223,5))</f>
        <v/>
      </c>
      <c r="AL1228">
        <f>IF($AK1228="","",COUNTIFS(LdAParty,$AE1228,LdAType,1,LdAKey,"&lt;"&amp;$AK1228)+COUNTIFS(LdBMember,$AE1228,LdBKey,"&lt;"&amp;$AK1228)+COUNTIFS(LdCParty,$AE1228,LdCKey,"&lt;"&amp;$AK1228)+1)</f>
        <v/>
      </c>
      <c r="AM1228">
        <f>IF($AL1228="","",$AE1228&amp;"|"&amp;RIGHT("000000"&amp;$AL1228,6))</f>
        <v/>
      </c>
      <c r="AN1228">
        <f>IF($AE1228="","",IF(Sync!$W1228="",0,Sync!$W1228))</f>
        <v/>
      </c>
      <c r="AO1228">
        <f>IF($AE1228="","",IF(Sync!$X1228="",0,Sync!$X1228))</f>
        <v/>
      </c>
      <c r="AP1228">
        <f>IF($AE1228="","",Sync!$R1228)</f>
        <v/>
      </c>
      <c r="AQ1228">
        <f>IF($AE1228="","",Sync!$Y1228)</f>
        <v/>
      </c>
    </row>
    <row r="1229">
      <c r="A1229">
        <f>IF(OR(Wages!$B1232="",Wages!$E1232=""),"",Wages!$E1232)</f>
        <v/>
      </c>
      <c r="B1229">
        <f>IF($A1229="","",IF(Wages!$C1232="دستمزد گروهی",2,1))</f>
        <v/>
      </c>
      <c r="C1229">
        <f>IF($A1229="","",IF(ISNUMBER(Wages!$B1232),IF(AND(Wages!$B1232&gt;=10000101,Wages!$B1232&lt;=99991231),INT(Wages!$B1232/10000),""),IFERROR(VALUE(TRIM(LEFT(Wages!$B1232,FIND("/",Wages!$B1232)-1))),"")))</f>
        <v/>
      </c>
      <c r="D1229">
        <f>IF(OR($A1229="",$C1229=""),"",IF(ISNUMBER(Wages!$B1232),INT(MOD(Wages!$B1232,10000)/100),IFERROR(VALUE(TRIM(LEFT(MID(Wages!$B1232,FIND("/",Wages!$B1232)+1,20),FIND("/",MID(Wages!$B1232,FIND("/",Wages!$B1232)+1,20))-1))),"")))</f>
        <v/>
      </c>
      <c r="E1229">
        <f>IF(OR($A1229="",$C1229=""),"",IF(ISNUMBER(Wages!$B1232),MOD(Wages!$B1232,100),IFERROR(VALUE(TRIM(MID(MID(Wages!$B1232,FIND("/",Wages!$B1232)+1,20),FIND("/",MID(Wages!$B1232,FIND("/",Wages!$B1232)+1,20))+1,20))),"")))</f>
        <v/>
      </c>
      <c r="F1229">
        <f>IF($A1229="","",IF(OR($C1229="",$D1229="",$E1229="",$C1229&lt;1300,$C1229&gt;1500,$D1229&lt;1,$D1229&gt;12,$E1229&lt;1,$E1229&gt;31),"نامعتبر",RIGHT("0000"&amp;$C1229,4)&amp;"/"&amp;RIGHT("00"&amp;$D1229,2)&amp;"/"&amp;RIGHT("00"&amp;$E1229,2)))</f>
        <v/>
      </c>
      <c r="G1229">
        <f>IF(OR($A1229="",$F1229="",$F1229="نامعتبر"),"",LEFT($F1229,4)&amp;MID($F1229,6,2)&amp;RIGHT($F1229,2)&amp;"0000"&amp;"|"&amp;"1"&amp;RIGHT("00000"&amp;1224,5))</f>
        <v/>
      </c>
      <c r="H1229">
        <f>IF(OR($B1229&lt;&gt;1,$G1229=""),"",COUNTIFS(LdAParty,$A1229,LdAType,1,LdAKey,"&lt;"&amp;$G1229)+COUNTIFS(LdBMember,$A1229,LdBKey,"&lt;"&amp;$G1229)+COUNTIFS(LdCParty,$A1229,LdCKey,"&lt;"&amp;$G1229)+1)</f>
        <v/>
      </c>
      <c r="I1229">
        <f>IF($H1229="","",$A1229&amp;"|"&amp;RIGHT("000000"&amp;$H1229,6))</f>
        <v/>
      </c>
      <c r="J1229">
        <f>IF(OR($B1229&lt;&gt;2,$G1229=""),"",COUNTIFS(LdAParty,$A1229,LdAType,2,LdAKey,"&lt;"&amp;$G1229)+1)</f>
        <v/>
      </c>
      <c r="K1229">
        <f>IF($J1229="","",$A1229&amp;"|"&amp;RIGHT("000000"&amp;$J1229,6))</f>
        <v/>
      </c>
      <c r="L1229">
        <f>IF($A1229="","",IF(Wages!$G1232="",0,Wages!$G1232))</f>
        <v/>
      </c>
      <c r="M1229">
        <f>IF($A1229="","",Wages!$J1232)</f>
        <v/>
      </c>
      <c r="N1229">
        <f>IF($A1229="","",Wages!$D1232)</f>
        <v/>
      </c>
      <c r="P1229">
        <f>IF(OR(Shares!$B1232="",Shares!$C1232=""),"",Shares!$C1232)</f>
        <v/>
      </c>
      <c r="Q1229">
        <f>IF($P1229="","",Shares!$B1232)</f>
        <v/>
      </c>
      <c r="R1229">
        <f>IF($P1229="","",IFERROR(INDEX(WageParty,MATCH($Q1229,WageIds,0)),""))</f>
        <v/>
      </c>
      <c r="S1229">
        <f>IF($P1229="","",IFERROR(INDEX($F$6:$F$2005,MATCH($Q1229,WageIds,0)),""))</f>
        <v/>
      </c>
      <c r="T1229">
        <f>IF(OR($P1229="",$S1229="",$S1229="نامعتبر"),"",LEFT($S1229,4)&amp;MID($S1229,6,2)&amp;RIGHT($S1229,2)&amp;"0000"&amp;"|"&amp;"2"&amp;RIGHT("00000"&amp;1224,5))</f>
        <v/>
      </c>
      <c r="U1229">
        <f>IF($T1229="","",COUNTIFS(LdAParty,$P1229,LdAType,1,LdAKey,"&lt;"&amp;$T1229)+COUNTIFS(LdBMember,$P1229,LdBKey,"&lt;"&amp;$T1229)+COUNTIFS(LdCParty,$P1229,LdCKey,"&lt;"&amp;$T1229)+1)</f>
        <v/>
      </c>
      <c r="V1229">
        <f>IF($U1229="","",$P1229&amp;"|"&amp;RIGHT("000000"&amp;$U1229,6))</f>
        <v/>
      </c>
      <c r="W1229">
        <f>IF($T1229="","",COUNTIFS(LdBGroup,$R1229,LdBKey,"&lt;"&amp;$T1229)+1)</f>
        <v/>
      </c>
      <c r="X1229">
        <f>IF($W1229="","",$R1229&amp;"|"&amp;RIGHT("000000"&amp;$W1229,6))</f>
        <v/>
      </c>
      <c r="Y1229">
        <f>IF($P1229="","",IF(Shares!$E1232="",0,Shares!$E1232))</f>
        <v/>
      </c>
      <c r="Z1229">
        <f>IF($P1229="","",Shares!$H1232)</f>
        <v/>
      </c>
      <c r="AE1229">
        <f>IF(OR(Sync!$S1229="",Sync!$P1229=""),"",Sync!$S1229)</f>
        <v/>
      </c>
      <c r="AF1229">
        <f>IF($AE1229="","",IF(ISNUMBER(Sync!$P1229),IF(AND(Sync!$P1229&gt;=10000101,Sync!$P1229&lt;=99991231),INT(Sync!$P1229/10000),""),IFERROR(VALUE(TRIM(LEFT(Sync!$P1229,FIND("/",Sync!$P1229)-1))),"")))</f>
        <v/>
      </c>
      <c r="AG1229">
        <f>IF(OR($AE1229="",$AF1229=""),"",IF(ISNUMBER(Sync!$P1229),INT(MOD(Sync!$P1229,10000)/100),IFERROR(VALUE(TRIM(LEFT(MID(Sync!$P1229,FIND("/",Sync!$P1229)+1,20),FIND("/",MID(Sync!$P1229,FIND("/",Sync!$P1229)+1,20))-1))),"")))</f>
        <v/>
      </c>
      <c r="AH1229">
        <f>IF(OR($AE1229="",$AF1229=""),"",IF(ISNUMBER(Sync!$P1229),MOD(Sync!$P1229,100),IFERROR(VALUE(TRIM(MID(MID(Sync!$P1229,FIND("/",Sync!$P1229)+1,20),FIND("/",MID(Sync!$P1229,FIND("/",Sync!$P1229)+1,20))+1,20))),"")))</f>
        <v/>
      </c>
      <c r="AI1229">
        <f>IF($AE1229="","",IF(OR($AF1229="",$AG1229="",$AH1229="",$AF1229&lt;1300,$AF1229&gt;1500,$AG1229&lt;1,$AG1229&gt;12,$AH1229&lt;1,$AH1229&gt;31),"نامعتبر",RIGHT("0000"&amp;$AF1229,4)&amp;"/"&amp;RIGHT("00"&amp;$AG1229,2)&amp;"/"&amp;RIGHT("00"&amp;$AH1229,2)))</f>
        <v/>
      </c>
      <c r="AJ1229">
        <f>IF($AE1229="","",IF(Sync!$Q1229="","0000",IF(AND(ISNUMBER(Sync!$Q1229),Sync!$Q1229&gt;=0,Sync!$Q1229&lt;1),RIGHT("00"&amp;HOUR(Sync!$Q1229),2)&amp;RIGHT("00"&amp;MINUTE(Sync!$Q1229),2),IFERROR(RIGHT("00"&amp;VALUE(LEFT(Sync!$Q1229,FIND(":",Sync!$Q1229)-1)),2)&amp;RIGHT("00"&amp;VALUE(MID(Sync!$Q1229,FIND(":",Sync!$Q1229)+1,2)),2),"0000"))))</f>
        <v/>
      </c>
      <c r="AK1229">
        <f>IF(OR($AE1229="",$AI1229="",$AI1229="نامعتبر"),"",LEFT($AI1229,4)&amp;MID($AI1229,6,2)&amp;RIGHT($AI1229,2)&amp;$AJ1229&amp;"|"&amp;"3"&amp;RIGHT("00000"&amp;1224,5))</f>
        <v/>
      </c>
      <c r="AL1229">
        <f>IF($AK1229="","",COUNTIFS(LdAParty,$AE1229,LdAType,1,LdAKey,"&lt;"&amp;$AK1229)+COUNTIFS(LdBMember,$AE1229,LdBKey,"&lt;"&amp;$AK1229)+COUNTIFS(LdCParty,$AE1229,LdCKey,"&lt;"&amp;$AK1229)+1)</f>
        <v/>
      </c>
      <c r="AM1229">
        <f>IF($AL1229="","",$AE1229&amp;"|"&amp;RIGHT("000000"&amp;$AL1229,6))</f>
        <v/>
      </c>
      <c r="AN1229">
        <f>IF($AE1229="","",IF(Sync!$W1229="",0,Sync!$W1229))</f>
        <v/>
      </c>
      <c r="AO1229">
        <f>IF($AE1229="","",IF(Sync!$X1229="",0,Sync!$X1229))</f>
        <v/>
      </c>
      <c r="AP1229">
        <f>IF($AE1229="","",Sync!$R1229)</f>
        <v/>
      </c>
      <c r="AQ1229">
        <f>IF($AE1229="","",Sync!$Y1229)</f>
        <v/>
      </c>
    </row>
    <row r="1230">
      <c r="A1230">
        <f>IF(OR(Wages!$B1233="",Wages!$E1233=""),"",Wages!$E1233)</f>
        <v/>
      </c>
      <c r="B1230">
        <f>IF($A1230="","",IF(Wages!$C1233="دستمزد گروهی",2,1))</f>
        <v/>
      </c>
      <c r="C1230">
        <f>IF($A1230="","",IF(ISNUMBER(Wages!$B1233),IF(AND(Wages!$B1233&gt;=10000101,Wages!$B1233&lt;=99991231),INT(Wages!$B1233/10000),""),IFERROR(VALUE(TRIM(LEFT(Wages!$B1233,FIND("/",Wages!$B1233)-1))),"")))</f>
        <v/>
      </c>
      <c r="D1230">
        <f>IF(OR($A1230="",$C1230=""),"",IF(ISNUMBER(Wages!$B1233),INT(MOD(Wages!$B1233,10000)/100),IFERROR(VALUE(TRIM(LEFT(MID(Wages!$B1233,FIND("/",Wages!$B1233)+1,20),FIND("/",MID(Wages!$B1233,FIND("/",Wages!$B1233)+1,20))-1))),"")))</f>
        <v/>
      </c>
      <c r="E1230">
        <f>IF(OR($A1230="",$C1230=""),"",IF(ISNUMBER(Wages!$B1233),MOD(Wages!$B1233,100),IFERROR(VALUE(TRIM(MID(MID(Wages!$B1233,FIND("/",Wages!$B1233)+1,20),FIND("/",MID(Wages!$B1233,FIND("/",Wages!$B1233)+1,20))+1,20))),"")))</f>
        <v/>
      </c>
      <c r="F1230">
        <f>IF($A1230="","",IF(OR($C1230="",$D1230="",$E1230="",$C1230&lt;1300,$C1230&gt;1500,$D1230&lt;1,$D1230&gt;12,$E1230&lt;1,$E1230&gt;31),"نامعتبر",RIGHT("0000"&amp;$C1230,4)&amp;"/"&amp;RIGHT("00"&amp;$D1230,2)&amp;"/"&amp;RIGHT("00"&amp;$E1230,2)))</f>
        <v/>
      </c>
      <c r="G1230">
        <f>IF(OR($A1230="",$F1230="",$F1230="نامعتبر"),"",LEFT($F1230,4)&amp;MID($F1230,6,2)&amp;RIGHT($F1230,2)&amp;"0000"&amp;"|"&amp;"1"&amp;RIGHT("00000"&amp;1225,5))</f>
        <v/>
      </c>
      <c r="H1230">
        <f>IF(OR($B1230&lt;&gt;1,$G1230=""),"",COUNTIFS(LdAParty,$A1230,LdAType,1,LdAKey,"&lt;"&amp;$G1230)+COUNTIFS(LdBMember,$A1230,LdBKey,"&lt;"&amp;$G1230)+COUNTIFS(LdCParty,$A1230,LdCKey,"&lt;"&amp;$G1230)+1)</f>
        <v/>
      </c>
      <c r="I1230">
        <f>IF($H1230="","",$A1230&amp;"|"&amp;RIGHT("000000"&amp;$H1230,6))</f>
        <v/>
      </c>
      <c r="J1230">
        <f>IF(OR($B1230&lt;&gt;2,$G1230=""),"",COUNTIFS(LdAParty,$A1230,LdAType,2,LdAKey,"&lt;"&amp;$G1230)+1)</f>
        <v/>
      </c>
      <c r="K1230">
        <f>IF($J1230="","",$A1230&amp;"|"&amp;RIGHT("000000"&amp;$J1230,6))</f>
        <v/>
      </c>
      <c r="L1230">
        <f>IF($A1230="","",IF(Wages!$G1233="",0,Wages!$G1233))</f>
        <v/>
      </c>
      <c r="M1230">
        <f>IF($A1230="","",Wages!$J1233)</f>
        <v/>
      </c>
      <c r="N1230">
        <f>IF($A1230="","",Wages!$D1233)</f>
        <v/>
      </c>
      <c r="P1230">
        <f>IF(OR(Shares!$B1233="",Shares!$C1233=""),"",Shares!$C1233)</f>
        <v/>
      </c>
      <c r="Q1230">
        <f>IF($P1230="","",Shares!$B1233)</f>
        <v/>
      </c>
      <c r="R1230">
        <f>IF($P1230="","",IFERROR(INDEX(WageParty,MATCH($Q1230,WageIds,0)),""))</f>
        <v/>
      </c>
      <c r="S1230">
        <f>IF($P1230="","",IFERROR(INDEX($F$6:$F$2005,MATCH($Q1230,WageIds,0)),""))</f>
        <v/>
      </c>
      <c r="T1230">
        <f>IF(OR($P1230="",$S1230="",$S1230="نامعتبر"),"",LEFT($S1230,4)&amp;MID($S1230,6,2)&amp;RIGHT($S1230,2)&amp;"0000"&amp;"|"&amp;"2"&amp;RIGHT("00000"&amp;1225,5))</f>
        <v/>
      </c>
      <c r="U1230">
        <f>IF($T1230="","",COUNTIFS(LdAParty,$P1230,LdAType,1,LdAKey,"&lt;"&amp;$T1230)+COUNTIFS(LdBMember,$P1230,LdBKey,"&lt;"&amp;$T1230)+COUNTIFS(LdCParty,$P1230,LdCKey,"&lt;"&amp;$T1230)+1)</f>
        <v/>
      </c>
      <c r="V1230">
        <f>IF($U1230="","",$P1230&amp;"|"&amp;RIGHT("000000"&amp;$U1230,6))</f>
        <v/>
      </c>
      <c r="W1230">
        <f>IF($T1230="","",COUNTIFS(LdBGroup,$R1230,LdBKey,"&lt;"&amp;$T1230)+1)</f>
        <v/>
      </c>
      <c r="X1230">
        <f>IF($W1230="","",$R1230&amp;"|"&amp;RIGHT("000000"&amp;$W1230,6))</f>
        <v/>
      </c>
      <c r="Y1230">
        <f>IF($P1230="","",IF(Shares!$E1233="",0,Shares!$E1233))</f>
        <v/>
      </c>
      <c r="Z1230">
        <f>IF($P1230="","",Shares!$H1233)</f>
        <v/>
      </c>
      <c r="AE1230">
        <f>IF(OR(Sync!$S1230="",Sync!$P1230=""),"",Sync!$S1230)</f>
        <v/>
      </c>
      <c r="AF1230">
        <f>IF($AE1230="","",IF(ISNUMBER(Sync!$P1230),IF(AND(Sync!$P1230&gt;=10000101,Sync!$P1230&lt;=99991231),INT(Sync!$P1230/10000),""),IFERROR(VALUE(TRIM(LEFT(Sync!$P1230,FIND("/",Sync!$P1230)-1))),"")))</f>
        <v/>
      </c>
      <c r="AG1230">
        <f>IF(OR($AE1230="",$AF1230=""),"",IF(ISNUMBER(Sync!$P1230),INT(MOD(Sync!$P1230,10000)/100),IFERROR(VALUE(TRIM(LEFT(MID(Sync!$P1230,FIND("/",Sync!$P1230)+1,20),FIND("/",MID(Sync!$P1230,FIND("/",Sync!$P1230)+1,20))-1))),"")))</f>
        <v/>
      </c>
      <c r="AH1230">
        <f>IF(OR($AE1230="",$AF1230=""),"",IF(ISNUMBER(Sync!$P1230),MOD(Sync!$P1230,100),IFERROR(VALUE(TRIM(MID(MID(Sync!$P1230,FIND("/",Sync!$P1230)+1,20),FIND("/",MID(Sync!$P1230,FIND("/",Sync!$P1230)+1,20))+1,20))),"")))</f>
        <v/>
      </c>
      <c r="AI1230">
        <f>IF($AE1230="","",IF(OR($AF1230="",$AG1230="",$AH1230="",$AF1230&lt;1300,$AF1230&gt;1500,$AG1230&lt;1,$AG1230&gt;12,$AH1230&lt;1,$AH1230&gt;31),"نامعتبر",RIGHT("0000"&amp;$AF1230,4)&amp;"/"&amp;RIGHT("00"&amp;$AG1230,2)&amp;"/"&amp;RIGHT("00"&amp;$AH1230,2)))</f>
        <v/>
      </c>
      <c r="AJ1230">
        <f>IF($AE1230="","",IF(Sync!$Q1230="","0000",IF(AND(ISNUMBER(Sync!$Q1230),Sync!$Q1230&gt;=0,Sync!$Q1230&lt;1),RIGHT("00"&amp;HOUR(Sync!$Q1230),2)&amp;RIGHT("00"&amp;MINUTE(Sync!$Q1230),2),IFERROR(RIGHT("00"&amp;VALUE(LEFT(Sync!$Q1230,FIND(":",Sync!$Q1230)-1)),2)&amp;RIGHT("00"&amp;VALUE(MID(Sync!$Q1230,FIND(":",Sync!$Q1230)+1,2)),2),"0000"))))</f>
        <v/>
      </c>
      <c r="AK1230">
        <f>IF(OR($AE1230="",$AI1230="",$AI1230="نامعتبر"),"",LEFT($AI1230,4)&amp;MID($AI1230,6,2)&amp;RIGHT($AI1230,2)&amp;$AJ1230&amp;"|"&amp;"3"&amp;RIGHT("00000"&amp;1225,5))</f>
        <v/>
      </c>
      <c r="AL1230">
        <f>IF($AK1230="","",COUNTIFS(LdAParty,$AE1230,LdAType,1,LdAKey,"&lt;"&amp;$AK1230)+COUNTIFS(LdBMember,$AE1230,LdBKey,"&lt;"&amp;$AK1230)+COUNTIFS(LdCParty,$AE1230,LdCKey,"&lt;"&amp;$AK1230)+1)</f>
        <v/>
      </c>
      <c r="AM1230">
        <f>IF($AL1230="","",$AE1230&amp;"|"&amp;RIGHT("000000"&amp;$AL1230,6))</f>
        <v/>
      </c>
      <c r="AN1230">
        <f>IF($AE1230="","",IF(Sync!$W1230="",0,Sync!$W1230))</f>
        <v/>
      </c>
      <c r="AO1230">
        <f>IF($AE1230="","",IF(Sync!$X1230="",0,Sync!$X1230))</f>
        <v/>
      </c>
      <c r="AP1230">
        <f>IF($AE1230="","",Sync!$R1230)</f>
        <v/>
      </c>
      <c r="AQ1230">
        <f>IF($AE1230="","",Sync!$Y1230)</f>
        <v/>
      </c>
    </row>
    <row r="1231">
      <c r="A1231">
        <f>IF(OR(Wages!$B1234="",Wages!$E1234=""),"",Wages!$E1234)</f>
        <v/>
      </c>
      <c r="B1231">
        <f>IF($A1231="","",IF(Wages!$C1234="دستمزد گروهی",2,1))</f>
        <v/>
      </c>
      <c r="C1231">
        <f>IF($A1231="","",IF(ISNUMBER(Wages!$B1234),IF(AND(Wages!$B1234&gt;=10000101,Wages!$B1234&lt;=99991231),INT(Wages!$B1234/10000),""),IFERROR(VALUE(TRIM(LEFT(Wages!$B1234,FIND("/",Wages!$B1234)-1))),"")))</f>
        <v/>
      </c>
      <c r="D1231">
        <f>IF(OR($A1231="",$C1231=""),"",IF(ISNUMBER(Wages!$B1234),INT(MOD(Wages!$B1234,10000)/100),IFERROR(VALUE(TRIM(LEFT(MID(Wages!$B1234,FIND("/",Wages!$B1234)+1,20),FIND("/",MID(Wages!$B1234,FIND("/",Wages!$B1234)+1,20))-1))),"")))</f>
        <v/>
      </c>
      <c r="E1231">
        <f>IF(OR($A1231="",$C1231=""),"",IF(ISNUMBER(Wages!$B1234),MOD(Wages!$B1234,100),IFERROR(VALUE(TRIM(MID(MID(Wages!$B1234,FIND("/",Wages!$B1234)+1,20),FIND("/",MID(Wages!$B1234,FIND("/",Wages!$B1234)+1,20))+1,20))),"")))</f>
        <v/>
      </c>
      <c r="F1231">
        <f>IF($A1231="","",IF(OR($C1231="",$D1231="",$E1231="",$C1231&lt;1300,$C1231&gt;1500,$D1231&lt;1,$D1231&gt;12,$E1231&lt;1,$E1231&gt;31),"نامعتبر",RIGHT("0000"&amp;$C1231,4)&amp;"/"&amp;RIGHT("00"&amp;$D1231,2)&amp;"/"&amp;RIGHT("00"&amp;$E1231,2)))</f>
        <v/>
      </c>
      <c r="G1231">
        <f>IF(OR($A1231="",$F1231="",$F1231="نامعتبر"),"",LEFT($F1231,4)&amp;MID($F1231,6,2)&amp;RIGHT($F1231,2)&amp;"0000"&amp;"|"&amp;"1"&amp;RIGHT("00000"&amp;1226,5))</f>
        <v/>
      </c>
      <c r="H1231">
        <f>IF(OR($B1231&lt;&gt;1,$G1231=""),"",COUNTIFS(LdAParty,$A1231,LdAType,1,LdAKey,"&lt;"&amp;$G1231)+COUNTIFS(LdBMember,$A1231,LdBKey,"&lt;"&amp;$G1231)+COUNTIFS(LdCParty,$A1231,LdCKey,"&lt;"&amp;$G1231)+1)</f>
        <v/>
      </c>
      <c r="I1231">
        <f>IF($H1231="","",$A1231&amp;"|"&amp;RIGHT("000000"&amp;$H1231,6))</f>
        <v/>
      </c>
      <c r="J1231">
        <f>IF(OR($B1231&lt;&gt;2,$G1231=""),"",COUNTIFS(LdAParty,$A1231,LdAType,2,LdAKey,"&lt;"&amp;$G1231)+1)</f>
        <v/>
      </c>
      <c r="K1231">
        <f>IF($J1231="","",$A1231&amp;"|"&amp;RIGHT("000000"&amp;$J1231,6))</f>
        <v/>
      </c>
      <c r="L1231">
        <f>IF($A1231="","",IF(Wages!$G1234="",0,Wages!$G1234))</f>
        <v/>
      </c>
      <c r="M1231">
        <f>IF($A1231="","",Wages!$J1234)</f>
        <v/>
      </c>
      <c r="N1231">
        <f>IF($A1231="","",Wages!$D1234)</f>
        <v/>
      </c>
      <c r="P1231">
        <f>IF(OR(Shares!$B1234="",Shares!$C1234=""),"",Shares!$C1234)</f>
        <v/>
      </c>
      <c r="Q1231">
        <f>IF($P1231="","",Shares!$B1234)</f>
        <v/>
      </c>
      <c r="R1231">
        <f>IF($P1231="","",IFERROR(INDEX(WageParty,MATCH($Q1231,WageIds,0)),""))</f>
        <v/>
      </c>
      <c r="S1231">
        <f>IF($P1231="","",IFERROR(INDEX($F$6:$F$2005,MATCH($Q1231,WageIds,0)),""))</f>
        <v/>
      </c>
      <c r="T1231">
        <f>IF(OR($P1231="",$S1231="",$S1231="نامعتبر"),"",LEFT($S1231,4)&amp;MID($S1231,6,2)&amp;RIGHT($S1231,2)&amp;"0000"&amp;"|"&amp;"2"&amp;RIGHT("00000"&amp;1226,5))</f>
        <v/>
      </c>
      <c r="U1231">
        <f>IF($T1231="","",COUNTIFS(LdAParty,$P1231,LdAType,1,LdAKey,"&lt;"&amp;$T1231)+COUNTIFS(LdBMember,$P1231,LdBKey,"&lt;"&amp;$T1231)+COUNTIFS(LdCParty,$P1231,LdCKey,"&lt;"&amp;$T1231)+1)</f>
        <v/>
      </c>
      <c r="V1231">
        <f>IF($U1231="","",$P1231&amp;"|"&amp;RIGHT("000000"&amp;$U1231,6))</f>
        <v/>
      </c>
      <c r="W1231">
        <f>IF($T1231="","",COUNTIFS(LdBGroup,$R1231,LdBKey,"&lt;"&amp;$T1231)+1)</f>
        <v/>
      </c>
      <c r="X1231">
        <f>IF($W1231="","",$R1231&amp;"|"&amp;RIGHT("000000"&amp;$W1231,6))</f>
        <v/>
      </c>
      <c r="Y1231">
        <f>IF($P1231="","",IF(Shares!$E1234="",0,Shares!$E1234))</f>
        <v/>
      </c>
      <c r="Z1231">
        <f>IF($P1231="","",Shares!$H1234)</f>
        <v/>
      </c>
      <c r="AE1231">
        <f>IF(OR(Sync!$S1231="",Sync!$P1231=""),"",Sync!$S1231)</f>
        <v/>
      </c>
      <c r="AF1231">
        <f>IF($AE1231="","",IF(ISNUMBER(Sync!$P1231),IF(AND(Sync!$P1231&gt;=10000101,Sync!$P1231&lt;=99991231),INT(Sync!$P1231/10000),""),IFERROR(VALUE(TRIM(LEFT(Sync!$P1231,FIND("/",Sync!$P1231)-1))),"")))</f>
        <v/>
      </c>
      <c r="AG1231">
        <f>IF(OR($AE1231="",$AF1231=""),"",IF(ISNUMBER(Sync!$P1231),INT(MOD(Sync!$P1231,10000)/100),IFERROR(VALUE(TRIM(LEFT(MID(Sync!$P1231,FIND("/",Sync!$P1231)+1,20),FIND("/",MID(Sync!$P1231,FIND("/",Sync!$P1231)+1,20))-1))),"")))</f>
        <v/>
      </c>
      <c r="AH1231">
        <f>IF(OR($AE1231="",$AF1231=""),"",IF(ISNUMBER(Sync!$P1231),MOD(Sync!$P1231,100),IFERROR(VALUE(TRIM(MID(MID(Sync!$P1231,FIND("/",Sync!$P1231)+1,20),FIND("/",MID(Sync!$P1231,FIND("/",Sync!$P1231)+1,20))+1,20))),"")))</f>
        <v/>
      </c>
      <c r="AI1231">
        <f>IF($AE1231="","",IF(OR($AF1231="",$AG1231="",$AH1231="",$AF1231&lt;1300,$AF1231&gt;1500,$AG1231&lt;1,$AG1231&gt;12,$AH1231&lt;1,$AH1231&gt;31),"نامعتبر",RIGHT("0000"&amp;$AF1231,4)&amp;"/"&amp;RIGHT("00"&amp;$AG1231,2)&amp;"/"&amp;RIGHT("00"&amp;$AH1231,2)))</f>
        <v/>
      </c>
      <c r="AJ1231">
        <f>IF($AE1231="","",IF(Sync!$Q1231="","0000",IF(AND(ISNUMBER(Sync!$Q1231),Sync!$Q1231&gt;=0,Sync!$Q1231&lt;1),RIGHT("00"&amp;HOUR(Sync!$Q1231),2)&amp;RIGHT("00"&amp;MINUTE(Sync!$Q1231),2),IFERROR(RIGHT("00"&amp;VALUE(LEFT(Sync!$Q1231,FIND(":",Sync!$Q1231)-1)),2)&amp;RIGHT("00"&amp;VALUE(MID(Sync!$Q1231,FIND(":",Sync!$Q1231)+1,2)),2),"0000"))))</f>
        <v/>
      </c>
      <c r="AK1231">
        <f>IF(OR($AE1231="",$AI1231="",$AI1231="نامعتبر"),"",LEFT($AI1231,4)&amp;MID($AI1231,6,2)&amp;RIGHT($AI1231,2)&amp;$AJ1231&amp;"|"&amp;"3"&amp;RIGHT("00000"&amp;1226,5))</f>
        <v/>
      </c>
      <c r="AL1231">
        <f>IF($AK1231="","",COUNTIFS(LdAParty,$AE1231,LdAType,1,LdAKey,"&lt;"&amp;$AK1231)+COUNTIFS(LdBMember,$AE1231,LdBKey,"&lt;"&amp;$AK1231)+COUNTIFS(LdCParty,$AE1231,LdCKey,"&lt;"&amp;$AK1231)+1)</f>
        <v/>
      </c>
      <c r="AM1231">
        <f>IF($AL1231="","",$AE1231&amp;"|"&amp;RIGHT("000000"&amp;$AL1231,6))</f>
        <v/>
      </c>
      <c r="AN1231">
        <f>IF($AE1231="","",IF(Sync!$W1231="",0,Sync!$W1231))</f>
        <v/>
      </c>
      <c r="AO1231">
        <f>IF($AE1231="","",IF(Sync!$X1231="",0,Sync!$X1231))</f>
        <v/>
      </c>
      <c r="AP1231">
        <f>IF($AE1231="","",Sync!$R1231)</f>
        <v/>
      </c>
      <c r="AQ1231">
        <f>IF($AE1231="","",Sync!$Y1231)</f>
        <v/>
      </c>
    </row>
    <row r="1232">
      <c r="A1232">
        <f>IF(OR(Wages!$B1235="",Wages!$E1235=""),"",Wages!$E1235)</f>
        <v/>
      </c>
      <c r="B1232">
        <f>IF($A1232="","",IF(Wages!$C1235="دستمزد گروهی",2,1))</f>
        <v/>
      </c>
      <c r="C1232">
        <f>IF($A1232="","",IF(ISNUMBER(Wages!$B1235),IF(AND(Wages!$B1235&gt;=10000101,Wages!$B1235&lt;=99991231),INT(Wages!$B1235/10000),""),IFERROR(VALUE(TRIM(LEFT(Wages!$B1235,FIND("/",Wages!$B1235)-1))),"")))</f>
        <v/>
      </c>
      <c r="D1232">
        <f>IF(OR($A1232="",$C1232=""),"",IF(ISNUMBER(Wages!$B1235),INT(MOD(Wages!$B1235,10000)/100),IFERROR(VALUE(TRIM(LEFT(MID(Wages!$B1235,FIND("/",Wages!$B1235)+1,20),FIND("/",MID(Wages!$B1235,FIND("/",Wages!$B1235)+1,20))-1))),"")))</f>
        <v/>
      </c>
      <c r="E1232">
        <f>IF(OR($A1232="",$C1232=""),"",IF(ISNUMBER(Wages!$B1235),MOD(Wages!$B1235,100),IFERROR(VALUE(TRIM(MID(MID(Wages!$B1235,FIND("/",Wages!$B1235)+1,20),FIND("/",MID(Wages!$B1235,FIND("/",Wages!$B1235)+1,20))+1,20))),"")))</f>
        <v/>
      </c>
      <c r="F1232">
        <f>IF($A1232="","",IF(OR($C1232="",$D1232="",$E1232="",$C1232&lt;1300,$C1232&gt;1500,$D1232&lt;1,$D1232&gt;12,$E1232&lt;1,$E1232&gt;31),"نامعتبر",RIGHT("0000"&amp;$C1232,4)&amp;"/"&amp;RIGHT("00"&amp;$D1232,2)&amp;"/"&amp;RIGHT("00"&amp;$E1232,2)))</f>
        <v/>
      </c>
      <c r="G1232">
        <f>IF(OR($A1232="",$F1232="",$F1232="نامعتبر"),"",LEFT($F1232,4)&amp;MID($F1232,6,2)&amp;RIGHT($F1232,2)&amp;"0000"&amp;"|"&amp;"1"&amp;RIGHT("00000"&amp;1227,5))</f>
        <v/>
      </c>
      <c r="H1232">
        <f>IF(OR($B1232&lt;&gt;1,$G1232=""),"",COUNTIFS(LdAParty,$A1232,LdAType,1,LdAKey,"&lt;"&amp;$G1232)+COUNTIFS(LdBMember,$A1232,LdBKey,"&lt;"&amp;$G1232)+COUNTIFS(LdCParty,$A1232,LdCKey,"&lt;"&amp;$G1232)+1)</f>
        <v/>
      </c>
      <c r="I1232">
        <f>IF($H1232="","",$A1232&amp;"|"&amp;RIGHT("000000"&amp;$H1232,6))</f>
        <v/>
      </c>
      <c r="J1232">
        <f>IF(OR($B1232&lt;&gt;2,$G1232=""),"",COUNTIFS(LdAParty,$A1232,LdAType,2,LdAKey,"&lt;"&amp;$G1232)+1)</f>
        <v/>
      </c>
      <c r="K1232">
        <f>IF($J1232="","",$A1232&amp;"|"&amp;RIGHT("000000"&amp;$J1232,6))</f>
        <v/>
      </c>
      <c r="L1232">
        <f>IF($A1232="","",IF(Wages!$G1235="",0,Wages!$G1235))</f>
        <v/>
      </c>
      <c r="M1232">
        <f>IF($A1232="","",Wages!$J1235)</f>
        <v/>
      </c>
      <c r="N1232">
        <f>IF($A1232="","",Wages!$D1235)</f>
        <v/>
      </c>
      <c r="P1232">
        <f>IF(OR(Shares!$B1235="",Shares!$C1235=""),"",Shares!$C1235)</f>
        <v/>
      </c>
      <c r="Q1232">
        <f>IF($P1232="","",Shares!$B1235)</f>
        <v/>
      </c>
      <c r="R1232">
        <f>IF($P1232="","",IFERROR(INDEX(WageParty,MATCH($Q1232,WageIds,0)),""))</f>
        <v/>
      </c>
      <c r="S1232">
        <f>IF($P1232="","",IFERROR(INDEX($F$6:$F$2005,MATCH($Q1232,WageIds,0)),""))</f>
        <v/>
      </c>
      <c r="T1232">
        <f>IF(OR($P1232="",$S1232="",$S1232="نامعتبر"),"",LEFT($S1232,4)&amp;MID($S1232,6,2)&amp;RIGHT($S1232,2)&amp;"0000"&amp;"|"&amp;"2"&amp;RIGHT("00000"&amp;1227,5))</f>
        <v/>
      </c>
      <c r="U1232">
        <f>IF($T1232="","",COUNTIFS(LdAParty,$P1232,LdAType,1,LdAKey,"&lt;"&amp;$T1232)+COUNTIFS(LdBMember,$P1232,LdBKey,"&lt;"&amp;$T1232)+COUNTIFS(LdCParty,$P1232,LdCKey,"&lt;"&amp;$T1232)+1)</f>
        <v/>
      </c>
      <c r="V1232">
        <f>IF($U1232="","",$P1232&amp;"|"&amp;RIGHT("000000"&amp;$U1232,6))</f>
        <v/>
      </c>
      <c r="W1232">
        <f>IF($T1232="","",COUNTIFS(LdBGroup,$R1232,LdBKey,"&lt;"&amp;$T1232)+1)</f>
        <v/>
      </c>
      <c r="X1232">
        <f>IF($W1232="","",$R1232&amp;"|"&amp;RIGHT("000000"&amp;$W1232,6))</f>
        <v/>
      </c>
      <c r="Y1232">
        <f>IF($P1232="","",IF(Shares!$E1235="",0,Shares!$E1235))</f>
        <v/>
      </c>
      <c r="Z1232">
        <f>IF($P1232="","",Shares!$H1235)</f>
        <v/>
      </c>
      <c r="AE1232">
        <f>IF(OR(Sync!$S1232="",Sync!$P1232=""),"",Sync!$S1232)</f>
        <v/>
      </c>
      <c r="AF1232">
        <f>IF($AE1232="","",IF(ISNUMBER(Sync!$P1232),IF(AND(Sync!$P1232&gt;=10000101,Sync!$P1232&lt;=99991231),INT(Sync!$P1232/10000),""),IFERROR(VALUE(TRIM(LEFT(Sync!$P1232,FIND("/",Sync!$P1232)-1))),"")))</f>
        <v/>
      </c>
      <c r="AG1232">
        <f>IF(OR($AE1232="",$AF1232=""),"",IF(ISNUMBER(Sync!$P1232),INT(MOD(Sync!$P1232,10000)/100),IFERROR(VALUE(TRIM(LEFT(MID(Sync!$P1232,FIND("/",Sync!$P1232)+1,20),FIND("/",MID(Sync!$P1232,FIND("/",Sync!$P1232)+1,20))-1))),"")))</f>
        <v/>
      </c>
      <c r="AH1232">
        <f>IF(OR($AE1232="",$AF1232=""),"",IF(ISNUMBER(Sync!$P1232),MOD(Sync!$P1232,100),IFERROR(VALUE(TRIM(MID(MID(Sync!$P1232,FIND("/",Sync!$P1232)+1,20),FIND("/",MID(Sync!$P1232,FIND("/",Sync!$P1232)+1,20))+1,20))),"")))</f>
        <v/>
      </c>
      <c r="AI1232">
        <f>IF($AE1232="","",IF(OR($AF1232="",$AG1232="",$AH1232="",$AF1232&lt;1300,$AF1232&gt;1500,$AG1232&lt;1,$AG1232&gt;12,$AH1232&lt;1,$AH1232&gt;31),"نامعتبر",RIGHT("0000"&amp;$AF1232,4)&amp;"/"&amp;RIGHT("00"&amp;$AG1232,2)&amp;"/"&amp;RIGHT("00"&amp;$AH1232,2)))</f>
        <v/>
      </c>
      <c r="AJ1232">
        <f>IF($AE1232="","",IF(Sync!$Q1232="","0000",IF(AND(ISNUMBER(Sync!$Q1232),Sync!$Q1232&gt;=0,Sync!$Q1232&lt;1),RIGHT("00"&amp;HOUR(Sync!$Q1232),2)&amp;RIGHT("00"&amp;MINUTE(Sync!$Q1232),2),IFERROR(RIGHT("00"&amp;VALUE(LEFT(Sync!$Q1232,FIND(":",Sync!$Q1232)-1)),2)&amp;RIGHT("00"&amp;VALUE(MID(Sync!$Q1232,FIND(":",Sync!$Q1232)+1,2)),2),"0000"))))</f>
        <v/>
      </c>
      <c r="AK1232">
        <f>IF(OR($AE1232="",$AI1232="",$AI1232="نامعتبر"),"",LEFT($AI1232,4)&amp;MID($AI1232,6,2)&amp;RIGHT($AI1232,2)&amp;$AJ1232&amp;"|"&amp;"3"&amp;RIGHT("00000"&amp;1227,5))</f>
        <v/>
      </c>
      <c r="AL1232">
        <f>IF($AK1232="","",COUNTIFS(LdAParty,$AE1232,LdAType,1,LdAKey,"&lt;"&amp;$AK1232)+COUNTIFS(LdBMember,$AE1232,LdBKey,"&lt;"&amp;$AK1232)+COUNTIFS(LdCParty,$AE1232,LdCKey,"&lt;"&amp;$AK1232)+1)</f>
        <v/>
      </c>
      <c r="AM1232">
        <f>IF($AL1232="","",$AE1232&amp;"|"&amp;RIGHT("000000"&amp;$AL1232,6))</f>
        <v/>
      </c>
      <c r="AN1232">
        <f>IF($AE1232="","",IF(Sync!$W1232="",0,Sync!$W1232))</f>
        <v/>
      </c>
      <c r="AO1232">
        <f>IF($AE1232="","",IF(Sync!$X1232="",0,Sync!$X1232))</f>
        <v/>
      </c>
      <c r="AP1232">
        <f>IF($AE1232="","",Sync!$R1232)</f>
        <v/>
      </c>
      <c r="AQ1232">
        <f>IF($AE1232="","",Sync!$Y1232)</f>
        <v/>
      </c>
    </row>
    <row r="1233">
      <c r="A1233">
        <f>IF(OR(Wages!$B1236="",Wages!$E1236=""),"",Wages!$E1236)</f>
        <v/>
      </c>
      <c r="B1233">
        <f>IF($A1233="","",IF(Wages!$C1236="دستمزد گروهی",2,1))</f>
        <v/>
      </c>
      <c r="C1233">
        <f>IF($A1233="","",IF(ISNUMBER(Wages!$B1236),IF(AND(Wages!$B1236&gt;=10000101,Wages!$B1236&lt;=99991231),INT(Wages!$B1236/10000),""),IFERROR(VALUE(TRIM(LEFT(Wages!$B1236,FIND("/",Wages!$B1236)-1))),"")))</f>
        <v/>
      </c>
      <c r="D1233">
        <f>IF(OR($A1233="",$C1233=""),"",IF(ISNUMBER(Wages!$B1236),INT(MOD(Wages!$B1236,10000)/100),IFERROR(VALUE(TRIM(LEFT(MID(Wages!$B1236,FIND("/",Wages!$B1236)+1,20),FIND("/",MID(Wages!$B1236,FIND("/",Wages!$B1236)+1,20))-1))),"")))</f>
        <v/>
      </c>
      <c r="E1233">
        <f>IF(OR($A1233="",$C1233=""),"",IF(ISNUMBER(Wages!$B1236),MOD(Wages!$B1236,100),IFERROR(VALUE(TRIM(MID(MID(Wages!$B1236,FIND("/",Wages!$B1236)+1,20),FIND("/",MID(Wages!$B1236,FIND("/",Wages!$B1236)+1,20))+1,20))),"")))</f>
        <v/>
      </c>
      <c r="F1233">
        <f>IF($A1233="","",IF(OR($C1233="",$D1233="",$E1233="",$C1233&lt;1300,$C1233&gt;1500,$D1233&lt;1,$D1233&gt;12,$E1233&lt;1,$E1233&gt;31),"نامعتبر",RIGHT("0000"&amp;$C1233,4)&amp;"/"&amp;RIGHT("00"&amp;$D1233,2)&amp;"/"&amp;RIGHT("00"&amp;$E1233,2)))</f>
        <v/>
      </c>
      <c r="G1233">
        <f>IF(OR($A1233="",$F1233="",$F1233="نامعتبر"),"",LEFT($F1233,4)&amp;MID($F1233,6,2)&amp;RIGHT($F1233,2)&amp;"0000"&amp;"|"&amp;"1"&amp;RIGHT("00000"&amp;1228,5))</f>
        <v/>
      </c>
      <c r="H1233">
        <f>IF(OR($B1233&lt;&gt;1,$G1233=""),"",COUNTIFS(LdAParty,$A1233,LdAType,1,LdAKey,"&lt;"&amp;$G1233)+COUNTIFS(LdBMember,$A1233,LdBKey,"&lt;"&amp;$G1233)+COUNTIFS(LdCParty,$A1233,LdCKey,"&lt;"&amp;$G1233)+1)</f>
        <v/>
      </c>
      <c r="I1233">
        <f>IF($H1233="","",$A1233&amp;"|"&amp;RIGHT("000000"&amp;$H1233,6))</f>
        <v/>
      </c>
      <c r="J1233">
        <f>IF(OR($B1233&lt;&gt;2,$G1233=""),"",COUNTIFS(LdAParty,$A1233,LdAType,2,LdAKey,"&lt;"&amp;$G1233)+1)</f>
        <v/>
      </c>
      <c r="K1233">
        <f>IF($J1233="","",$A1233&amp;"|"&amp;RIGHT("000000"&amp;$J1233,6))</f>
        <v/>
      </c>
      <c r="L1233">
        <f>IF($A1233="","",IF(Wages!$G1236="",0,Wages!$G1236))</f>
        <v/>
      </c>
      <c r="M1233">
        <f>IF($A1233="","",Wages!$J1236)</f>
        <v/>
      </c>
      <c r="N1233">
        <f>IF($A1233="","",Wages!$D1236)</f>
        <v/>
      </c>
      <c r="P1233">
        <f>IF(OR(Shares!$B1236="",Shares!$C1236=""),"",Shares!$C1236)</f>
        <v/>
      </c>
      <c r="Q1233">
        <f>IF($P1233="","",Shares!$B1236)</f>
        <v/>
      </c>
      <c r="R1233">
        <f>IF($P1233="","",IFERROR(INDEX(WageParty,MATCH($Q1233,WageIds,0)),""))</f>
        <v/>
      </c>
      <c r="S1233">
        <f>IF($P1233="","",IFERROR(INDEX($F$6:$F$2005,MATCH($Q1233,WageIds,0)),""))</f>
        <v/>
      </c>
      <c r="T1233">
        <f>IF(OR($P1233="",$S1233="",$S1233="نامعتبر"),"",LEFT($S1233,4)&amp;MID($S1233,6,2)&amp;RIGHT($S1233,2)&amp;"0000"&amp;"|"&amp;"2"&amp;RIGHT("00000"&amp;1228,5))</f>
        <v/>
      </c>
      <c r="U1233">
        <f>IF($T1233="","",COUNTIFS(LdAParty,$P1233,LdAType,1,LdAKey,"&lt;"&amp;$T1233)+COUNTIFS(LdBMember,$P1233,LdBKey,"&lt;"&amp;$T1233)+COUNTIFS(LdCParty,$P1233,LdCKey,"&lt;"&amp;$T1233)+1)</f>
        <v/>
      </c>
      <c r="V1233">
        <f>IF($U1233="","",$P1233&amp;"|"&amp;RIGHT("000000"&amp;$U1233,6))</f>
        <v/>
      </c>
      <c r="W1233">
        <f>IF($T1233="","",COUNTIFS(LdBGroup,$R1233,LdBKey,"&lt;"&amp;$T1233)+1)</f>
        <v/>
      </c>
      <c r="X1233">
        <f>IF($W1233="","",$R1233&amp;"|"&amp;RIGHT("000000"&amp;$W1233,6))</f>
        <v/>
      </c>
      <c r="Y1233">
        <f>IF($P1233="","",IF(Shares!$E1236="",0,Shares!$E1236))</f>
        <v/>
      </c>
      <c r="Z1233">
        <f>IF($P1233="","",Shares!$H1236)</f>
        <v/>
      </c>
      <c r="AE1233">
        <f>IF(OR(Sync!$S1233="",Sync!$P1233=""),"",Sync!$S1233)</f>
        <v/>
      </c>
      <c r="AF1233">
        <f>IF($AE1233="","",IF(ISNUMBER(Sync!$P1233),IF(AND(Sync!$P1233&gt;=10000101,Sync!$P1233&lt;=99991231),INT(Sync!$P1233/10000),""),IFERROR(VALUE(TRIM(LEFT(Sync!$P1233,FIND("/",Sync!$P1233)-1))),"")))</f>
        <v/>
      </c>
      <c r="AG1233">
        <f>IF(OR($AE1233="",$AF1233=""),"",IF(ISNUMBER(Sync!$P1233),INT(MOD(Sync!$P1233,10000)/100),IFERROR(VALUE(TRIM(LEFT(MID(Sync!$P1233,FIND("/",Sync!$P1233)+1,20),FIND("/",MID(Sync!$P1233,FIND("/",Sync!$P1233)+1,20))-1))),"")))</f>
        <v/>
      </c>
      <c r="AH1233">
        <f>IF(OR($AE1233="",$AF1233=""),"",IF(ISNUMBER(Sync!$P1233),MOD(Sync!$P1233,100),IFERROR(VALUE(TRIM(MID(MID(Sync!$P1233,FIND("/",Sync!$P1233)+1,20),FIND("/",MID(Sync!$P1233,FIND("/",Sync!$P1233)+1,20))+1,20))),"")))</f>
        <v/>
      </c>
      <c r="AI1233">
        <f>IF($AE1233="","",IF(OR($AF1233="",$AG1233="",$AH1233="",$AF1233&lt;1300,$AF1233&gt;1500,$AG1233&lt;1,$AG1233&gt;12,$AH1233&lt;1,$AH1233&gt;31),"نامعتبر",RIGHT("0000"&amp;$AF1233,4)&amp;"/"&amp;RIGHT("00"&amp;$AG1233,2)&amp;"/"&amp;RIGHT("00"&amp;$AH1233,2)))</f>
        <v/>
      </c>
      <c r="AJ1233">
        <f>IF($AE1233="","",IF(Sync!$Q1233="","0000",IF(AND(ISNUMBER(Sync!$Q1233),Sync!$Q1233&gt;=0,Sync!$Q1233&lt;1),RIGHT("00"&amp;HOUR(Sync!$Q1233),2)&amp;RIGHT("00"&amp;MINUTE(Sync!$Q1233),2),IFERROR(RIGHT("00"&amp;VALUE(LEFT(Sync!$Q1233,FIND(":",Sync!$Q1233)-1)),2)&amp;RIGHT("00"&amp;VALUE(MID(Sync!$Q1233,FIND(":",Sync!$Q1233)+1,2)),2),"0000"))))</f>
        <v/>
      </c>
      <c r="AK1233">
        <f>IF(OR($AE1233="",$AI1233="",$AI1233="نامعتبر"),"",LEFT($AI1233,4)&amp;MID($AI1233,6,2)&amp;RIGHT($AI1233,2)&amp;$AJ1233&amp;"|"&amp;"3"&amp;RIGHT("00000"&amp;1228,5))</f>
        <v/>
      </c>
      <c r="AL1233">
        <f>IF($AK1233="","",COUNTIFS(LdAParty,$AE1233,LdAType,1,LdAKey,"&lt;"&amp;$AK1233)+COUNTIFS(LdBMember,$AE1233,LdBKey,"&lt;"&amp;$AK1233)+COUNTIFS(LdCParty,$AE1233,LdCKey,"&lt;"&amp;$AK1233)+1)</f>
        <v/>
      </c>
      <c r="AM1233">
        <f>IF($AL1233="","",$AE1233&amp;"|"&amp;RIGHT("000000"&amp;$AL1233,6))</f>
        <v/>
      </c>
      <c r="AN1233">
        <f>IF($AE1233="","",IF(Sync!$W1233="",0,Sync!$W1233))</f>
        <v/>
      </c>
      <c r="AO1233">
        <f>IF($AE1233="","",IF(Sync!$X1233="",0,Sync!$X1233))</f>
        <v/>
      </c>
      <c r="AP1233">
        <f>IF($AE1233="","",Sync!$R1233)</f>
        <v/>
      </c>
      <c r="AQ1233">
        <f>IF($AE1233="","",Sync!$Y1233)</f>
        <v/>
      </c>
    </row>
    <row r="1234">
      <c r="A1234">
        <f>IF(OR(Wages!$B1237="",Wages!$E1237=""),"",Wages!$E1237)</f>
        <v/>
      </c>
      <c r="B1234">
        <f>IF($A1234="","",IF(Wages!$C1237="دستمزد گروهی",2,1))</f>
        <v/>
      </c>
      <c r="C1234">
        <f>IF($A1234="","",IF(ISNUMBER(Wages!$B1237),IF(AND(Wages!$B1237&gt;=10000101,Wages!$B1237&lt;=99991231),INT(Wages!$B1237/10000),""),IFERROR(VALUE(TRIM(LEFT(Wages!$B1237,FIND("/",Wages!$B1237)-1))),"")))</f>
        <v/>
      </c>
      <c r="D1234">
        <f>IF(OR($A1234="",$C1234=""),"",IF(ISNUMBER(Wages!$B1237),INT(MOD(Wages!$B1237,10000)/100),IFERROR(VALUE(TRIM(LEFT(MID(Wages!$B1237,FIND("/",Wages!$B1237)+1,20),FIND("/",MID(Wages!$B1237,FIND("/",Wages!$B1237)+1,20))-1))),"")))</f>
        <v/>
      </c>
      <c r="E1234">
        <f>IF(OR($A1234="",$C1234=""),"",IF(ISNUMBER(Wages!$B1237),MOD(Wages!$B1237,100),IFERROR(VALUE(TRIM(MID(MID(Wages!$B1237,FIND("/",Wages!$B1237)+1,20),FIND("/",MID(Wages!$B1237,FIND("/",Wages!$B1237)+1,20))+1,20))),"")))</f>
        <v/>
      </c>
      <c r="F1234">
        <f>IF($A1234="","",IF(OR($C1234="",$D1234="",$E1234="",$C1234&lt;1300,$C1234&gt;1500,$D1234&lt;1,$D1234&gt;12,$E1234&lt;1,$E1234&gt;31),"نامعتبر",RIGHT("0000"&amp;$C1234,4)&amp;"/"&amp;RIGHT("00"&amp;$D1234,2)&amp;"/"&amp;RIGHT("00"&amp;$E1234,2)))</f>
        <v/>
      </c>
      <c r="G1234">
        <f>IF(OR($A1234="",$F1234="",$F1234="نامعتبر"),"",LEFT($F1234,4)&amp;MID($F1234,6,2)&amp;RIGHT($F1234,2)&amp;"0000"&amp;"|"&amp;"1"&amp;RIGHT("00000"&amp;1229,5))</f>
        <v/>
      </c>
      <c r="H1234">
        <f>IF(OR($B1234&lt;&gt;1,$G1234=""),"",COUNTIFS(LdAParty,$A1234,LdAType,1,LdAKey,"&lt;"&amp;$G1234)+COUNTIFS(LdBMember,$A1234,LdBKey,"&lt;"&amp;$G1234)+COUNTIFS(LdCParty,$A1234,LdCKey,"&lt;"&amp;$G1234)+1)</f>
        <v/>
      </c>
      <c r="I1234">
        <f>IF($H1234="","",$A1234&amp;"|"&amp;RIGHT("000000"&amp;$H1234,6))</f>
        <v/>
      </c>
      <c r="J1234">
        <f>IF(OR($B1234&lt;&gt;2,$G1234=""),"",COUNTIFS(LdAParty,$A1234,LdAType,2,LdAKey,"&lt;"&amp;$G1234)+1)</f>
        <v/>
      </c>
      <c r="K1234">
        <f>IF($J1234="","",$A1234&amp;"|"&amp;RIGHT("000000"&amp;$J1234,6))</f>
        <v/>
      </c>
      <c r="L1234">
        <f>IF($A1234="","",IF(Wages!$G1237="",0,Wages!$G1237))</f>
        <v/>
      </c>
      <c r="M1234">
        <f>IF($A1234="","",Wages!$J1237)</f>
        <v/>
      </c>
      <c r="N1234">
        <f>IF($A1234="","",Wages!$D1237)</f>
        <v/>
      </c>
      <c r="P1234">
        <f>IF(OR(Shares!$B1237="",Shares!$C1237=""),"",Shares!$C1237)</f>
        <v/>
      </c>
      <c r="Q1234">
        <f>IF($P1234="","",Shares!$B1237)</f>
        <v/>
      </c>
      <c r="R1234">
        <f>IF($P1234="","",IFERROR(INDEX(WageParty,MATCH($Q1234,WageIds,0)),""))</f>
        <v/>
      </c>
      <c r="S1234">
        <f>IF($P1234="","",IFERROR(INDEX($F$6:$F$2005,MATCH($Q1234,WageIds,0)),""))</f>
        <v/>
      </c>
      <c r="T1234">
        <f>IF(OR($P1234="",$S1234="",$S1234="نامعتبر"),"",LEFT($S1234,4)&amp;MID($S1234,6,2)&amp;RIGHT($S1234,2)&amp;"0000"&amp;"|"&amp;"2"&amp;RIGHT("00000"&amp;1229,5))</f>
        <v/>
      </c>
      <c r="U1234">
        <f>IF($T1234="","",COUNTIFS(LdAParty,$P1234,LdAType,1,LdAKey,"&lt;"&amp;$T1234)+COUNTIFS(LdBMember,$P1234,LdBKey,"&lt;"&amp;$T1234)+COUNTIFS(LdCParty,$P1234,LdCKey,"&lt;"&amp;$T1234)+1)</f>
        <v/>
      </c>
      <c r="V1234">
        <f>IF($U1234="","",$P1234&amp;"|"&amp;RIGHT("000000"&amp;$U1234,6))</f>
        <v/>
      </c>
      <c r="W1234">
        <f>IF($T1234="","",COUNTIFS(LdBGroup,$R1234,LdBKey,"&lt;"&amp;$T1234)+1)</f>
        <v/>
      </c>
      <c r="X1234">
        <f>IF($W1234="","",$R1234&amp;"|"&amp;RIGHT("000000"&amp;$W1234,6))</f>
        <v/>
      </c>
      <c r="Y1234">
        <f>IF($P1234="","",IF(Shares!$E1237="",0,Shares!$E1237))</f>
        <v/>
      </c>
      <c r="Z1234">
        <f>IF($P1234="","",Shares!$H1237)</f>
        <v/>
      </c>
      <c r="AE1234">
        <f>IF(OR(Sync!$S1234="",Sync!$P1234=""),"",Sync!$S1234)</f>
        <v/>
      </c>
      <c r="AF1234">
        <f>IF($AE1234="","",IF(ISNUMBER(Sync!$P1234),IF(AND(Sync!$P1234&gt;=10000101,Sync!$P1234&lt;=99991231),INT(Sync!$P1234/10000),""),IFERROR(VALUE(TRIM(LEFT(Sync!$P1234,FIND("/",Sync!$P1234)-1))),"")))</f>
        <v/>
      </c>
      <c r="AG1234">
        <f>IF(OR($AE1234="",$AF1234=""),"",IF(ISNUMBER(Sync!$P1234),INT(MOD(Sync!$P1234,10000)/100),IFERROR(VALUE(TRIM(LEFT(MID(Sync!$P1234,FIND("/",Sync!$P1234)+1,20),FIND("/",MID(Sync!$P1234,FIND("/",Sync!$P1234)+1,20))-1))),"")))</f>
        <v/>
      </c>
      <c r="AH1234">
        <f>IF(OR($AE1234="",$AF1234=""),"",IF(ISNUMBER(Sync!$P1234),MOD(Sync!$P1234,100),IFERROR(VALUE(TRIM(MID(MID(Sync!$P1234,FIND("/",Sync!$P1234)+1,20),FIND("/",MID(Sync!$P1234,FIND("/",Sync!$P1234)+1,20))+1,20))),"")))</f>
        <v/>
      </c>
      <c r="AI1234">
        <f>IF($AE1234="","",IF(OR($AF1234="",$AG1234="",$AH1234="",$AF1234&lt;1300,$AF1234&gt;1500,$AG1234&lt;1,$AG1234&gt;12,$AH1234&lt;1,$AH1234&gt;31),"نامعتبر",RIGHT("0000"&amp;$AF1234,4)&amp;"/"&amp;RIGHT("00"&amp;$AG1234,2)&amp;"/"&amp;RIGHT("00"&amp;$AH1234,2)))</f>
        <v/>
      </c>
      <c r="AJ1234">
        <f>IF($AE1234="","",IF(Sync!$Q1234="","0000",IF(AND(ISNUMBER(Sync!$Q1234),Sync!$Q1234&gt;=0,Sync!$Q1234&lt;1),RIGHT("00"&amp;HOUR(Sync!$Q1234),2)&amp;RIGHT("00"&amp;MINUTE(Sync!$Q1234),2),IFERROR(RIGHT("00"&amp;VALUE(LEFT(Sync!$Q1234,FIND(":",Sync!$Q1234)-1)),2)&amp;RIGHT("00"&amp;VALUE(MID(Sync!$Q1234,FIND(":",Sync!$Q1234)+1,2)),2),"0000"))))</f>
        <v/>
      </c>
      <c r="AK1234">
        <f>IF(OR($AE1234="",$AI1234="",$AI1234="نامعتبر"),"",LEFT($AI1234,4)&amp;MID($AI1234,6,2)&amp;RIGHT($AI1234,2)&amp;$AJ1234&amp;"|"&amp;"3"&amp;RIGHT("00000"&amp;1229,5))</f>
        <v/>
      </c>
      <c r="AL1234">
        <f>IF($AK1234="","",COUNTIFS(LdAParty,$AE1234,LdAType,1,LdAKey,"&lt;"&amp;$AK1234)+COUNTIFS(LdBMember,$AE1234,LdBKey,"&lt;"&amp;$AK1234)+COUNTIFS(LdCParty,$AE1234,LdCKey,"&lt;"&amp;$AK1234)+1)</f>
        <v/>
      </c>
      <c r="AM1234">
        <f>IF($AL1234="","",$AE1234&amp;"|"&amp;RIGHT("000000"&amp;$AL1234,6))</f>
        <v/>
      </c>
      <c r="AN1234">
        <f>IF($AE1234="","",IF(Sync!$W1234="",0,Sync!$W1234))</f>
        <v/>
      </c>
      <c r="AO1234">
        <f>IF($AE1234="","",IF(Sync!$X1234="",0,Sync!$X1234))</f>
        <v/>
      </c>
      <c r="AP1234">
        <f>IF($AE1234="","",Sync!$R1234)</f>
        <v/>
      </c>
      <c r="AQ1234">
        <f>IF($AE1234="","",Sync!$Y1234)</f>
        <v/>
      </c>
    </row>
    <row r="1235">
      <c r="A1235">
        <f>IF(OR(Wages!$B1238="",Wages!$E1238=""),"",Wages!$E1238)</f>
        <v/>
      </c>
      <c r="B1235">
        <f>IF($A1235="","",IF(Wages!$C1238="دستمزد گروهی",2,1))</f>
        <v/>
      </c>
      <c r="C1235">
        <f>IF($A1235="","",IF(ISNUMBER(Wages!$B1238),IF(AND(Wages!$B1238&gt;=10000101,Wages!$B1238&lt;=99991231),INT(Wages!$B1238/10000),""),IFERROR(VALUE(TRIM(LEFT(Wages!$B1238,FIND("/",Wages!$B1238)-1))),"")))</f>
        <v/>
      </c>
      <c r="D1235">
        <f>IF(OR($A1235="",$C1235=""),"",IF(ISNUMBER(Wages!$B1238),INT(MOD(Wages!$B1238,10000)/100),IFERROR(VALUE(TRIM(LEFT(MID(Wages!$B1238,FIND("/",Wages!$B1238)+1,20),FIND("/",MID(Wages!$B1238,FIND("/",Wages!$B1238)+1,20))-1))),"")))</f>
        <v/>
      </c>
      <c r="E1235">
        <f>IF(OR($A1235="",$C1235=""),"",IF(ISNUMBER(Wages!$B1238),MOD(Wages!$B1238,100),IFERROR(VALUE(TRIM(MID(MID(Wages!$B1238,FIND("/",Wages!$B1238)+1,20),FIND("/",MID(Wages!$B1238,FIND("/",Wages!$B1238)+1,20))+1,20))),"")))</f>
        <v/>
      </c>
      <c r="F1235">
        <f>IF($A1235="","",IF(OR($C1235="",$D1235="",$E1235="",$C1235&lt;1300,$C1235&gt;1500,$D1235&lt;1,$D1235&gt;12,$E1235&lt;1,$E1235&gt;31),"نامعتبر",RIGHT("0000"&amp;$C1235,4)&amp;"/"&amp;RIGHT("00"&amp;$D1235,2)&amp;"/"&amp;RIGHT("00"&amp;$E1235,2)))</f>
        <v/>
      </c>
      <c r="G1235">
        <f>IF(OR($A1235="",$F1235="",$F1235="نامعتبر"),"",LEFT($F1235,4)&amp;MID($F1235,6,2)&amp;RIGHT($F1235,2)&amp;"0000"&amp;"|"&amp;"1"&amp;RIGHT("00000"&amp;1230,5))</f>
        <v/>
      </c>
      <c r="H1235">
        <f>IF(OR($B1235&lt;&gt;1,$G1235=""),"",COUNTIFS(LdAParty,$A1235,LdAType,1,LdAKey,"&lt;"&amp;$G1235)+COUNTIFS(LdBMember,$A1235,LdBKey,"&lt;"&amp;$G1235)+COUNTIFS(LdCParty,$A1235,LdCKey,"&lt;"&amp;$G1235)+1)</f>
        <v/>
      </c>
      <c r="I1235">
        <f>IF($H1235="","",$A1235&amp;"|"&amp;RIGHT("000000"&amp;$H1235,6))</f>
        <v/>
      </c>
      <c r="J1235">
        <f>IF(OR($B1235&lt;&gt;2,$G1235=""),"",COUNTIFS(LdAParty,$A1235,LdAType,2,LdAKey,"&lt;"&amp;$G1235)+1)</f>
        <v/>
      </c>
      <c r="K1235">
        <f>IF($J1235="","",$A1235&amp;"|"&amp;RIGHT("000000"&amp;$J1235,6))</f>
        <v/>
      </c>
      <c r="L1235">
        <f>IF($A1235="","",IF(Wages!$G1238="",0,Wages!$G1238))</f>
        <v/>
      </c>
      <c r="M1235">
        <f>IF($A1235="","",Wages!$J1238)</f>
        <v/>
      </c>
      <c r="N1235">
        <f>IF($A1235="","",Wages!$D1238)</f>
        <v/>
      </c>
      <c r="P1235">
        <f>IF(OR(Shares!$B1238="",Shares!$C1238=""),"",Shares!$C1238)</f>
        <v/>
      </c>
      <c r="Q1235">
        <f>IF($P1235="","",Shares!$B1238)</f>
        <v/>
      </c>
      <c r="R1235">
        <f>IF($P1235="","",IFERROR(INDEX(WageParty,MATCH($Q1235,WageIds,0)),""))</f>
        <v/>
      </c>
      <c r="S1235">
        <f>IF($P1235="","",IFERROR(INDEX($F$6:$F$2005,MATCH($Q1235,WageIds,0)),""))</f>
        <v/>
      </c>
      <c r="T1235">
        <f>IF(OR($P1235="",$S1235="",$S1235="نامعتبر"),"",LEFT($S1235,4)&amp;MID($S1235,6,2)&amp;RIGHT($S1235,2)&amp;"0000"&amp;"|"&amp;"2"&amp;RIGHT("00000"&amp;1230,5))</f>
        <v/>
      </c>
      <c r="U1235">
        <f>IF($T1235="","",COUNTIFS(LdAParty,$P1235,LdAType,1,LdAKey,"&lt;"&amp;$T1235)+COUNTIFS(LdBMember,$P1235,LdBKey,"&lt;"&amp;$T1235)+COUNTIFS(LdCParty,$P1235,LdCKey,"&lt;"&amp;$T1235)+1)</f>
        <v/>
      </c>
      <c r="V1235">
        <f>IF($U1235="","",$P1235&amp;"|"&amp;RIGHT("000000"&amp;$U1235,6))</f>
        <v/>
      </c>
      <c r="W1235">
        <f>IF($T1235="","",COUNTIFS(LdBGroup,$R1235,LdBKey,"&lt;"&amp;$T1235)+1)</f>
        <v/>
      </c>
      <c r="X1235">
        <f>IF($W1235="","",$R1235&amp;"|"&amp;RIGHT("000000"&amp;$W1235,6))</f>
        <v/>
      </c>
      <c r="Y1235">
        <f>IF($P1235="","",IF(Shares!$E1238="",0,Shares!$E1238))</f>
        <v/>
      </c>
      <c r="Z1235">
        <f>IF($P1235="","",Shares!$H1238)</f>
        <v/>
      </c>
      <c r="AE1235">
        <f>IF(OR(Sync!$S1235="",Sync!$P1235=""),"",Sync!$S1235)</f>
        <v/>
      </c>
      <c r="AF1235">
        <f>IF($AE1235="","",IF(ISNUMBER(Sync!$P1235),IF(AND(Sync!$P1235&gt;=10000101,Sync!$P1235&lt;=99991231),INT(Sync!$P1235/10000),""),IFERROR(VALUE(TRIM(LEFT(Sync!$P1235,FIND("/",Sync!$P1235)-1))),"")))</f>
        <v/>
      </c>
      <c r="AG1235">
        <f>IF(OR($AE1235="",$AF1235=""),"",IF(ISNUMBER(Sync!$P1235),INT(MOD(Sync!$P1235,10000)/100),IFERROR(VALUE(TRIM(LEFT(MID(Sync!$P1235,FIND("/",Sync!$P1235)+1,20),FIND("/",MID(Sync!$P1235,FIND("/",Sync!$P1235)+1,20))-1))),"")))</f>
        <v/>
      </c>
      <c r="AH1235">
        <f>IF(OR($AE1235="",$AF1235=""),"",IF(ISNUMBER(Sync!$P1235),MOD(Sync!$P1235,100),IFERROR(VALUE(TRIM(MID(MID(Sync!$P1235,FIND("/",Sync!$P1235)+1,20),FIND("/",MID(Sync!$P1235,FIND("/",Sync!$P1235)+1,20))+1,20))),"")))</f>
        <v/>
      </c>
      <c r="AI1235">
        <f>IF($AE1235="","",IF(OR($AF1235="",$AG1235="",$AH1235="",$AF1235&lt;1300,$AF1235&gt;1500,$AG1235&lt;1,$AG1235&gt;12,$AH1235&lt;1,$AH1235&gt;31),"نامعتبر",RIGHT("0000"&amp;$AF1235,4)&amp;"/"&amp;RIGHT("00"&amp;$AG1235,2)&amp;"/"&amp;RIGHT("00"&amp;$AH1235,2)))</f>
        <v/>
      </c>
      <c r="AJ1235">
        <f>IF($AE1235="","",IF(Sync!$Q1235="","0000",IF(AND(ISNUMBER(Sync!$Q1235),Sync!$Q1235&gt;=0,Sync!$Q1235&lt;1),RIGHT("00"&amp;HOUR(Sync!$Q1235),2)&amp;RIGHT("00"&amp;MINUTE(Sync!$Q1235),2),IFERROR(RIGHT("00"&amp;VALUE(LEFT(Sync!$Q1235,FIND(":",Sync!$Q1235)-1)),2)&amp;RIGHT("00"&amp;VALUE(MID(Sync!$Q1235,FIND(":",Sync!$Q1235)+1,2)),2),"0000"))))</f>
        <v/>
      </c>
      <c r="AK1235">
        <f>IF(OR($AE1235="",$AI1235="",$AI1235="نامعتبر"),"",LEFT($AI1235,4)&amp;MID($AI1235,6,2)&amp;RIGHT($AI1235,2)&amp;$AJ1235&amp;"|"&amp;"3"&amp;RIGHT("00000"&amp;1230,5))</f>
        <v/>
      </c>
      <c r="AL1235">
        <f>IF($AK1235="","",COUNTIFS(LdAParty,$AE1235,LdAType,1,LdAKey,"&lt;"&amp;$AK1235)+COUNTIFS(LdBMember,$AE1235,LdBKey,"&lt;"&amp;$AK1235)+COUNTIFS(LdCParty,$AE1235,LdCKey,"&lt;"&amp;$AK1235)+1)</f>
        <v/>
      </c>
      <c r="AM1235">
        <f>IF($AL1235="","",$AE1235&amp;"|"&amp;RIGHT("000000"&amp;$AL1235,6))</f>
        <v/>
      </c>
      <c r="AN1235">
        <f>IF($AE1235="","",IF(Sync!$W1235="",0,Sync!$W1235))</f>
        <v/>
      </c>
      <c r="AO1235">
        <f>IF($AE1235="","",IF(Sync!$X1235="",0,Sync!$X1235))</f>
        <v/>
      </c>
      <c r="AP1235">
        <f>IF($AE1235="","",Sync!$R1235)</f>
        <v/>
      </c>
      <c r="AQ1235">
        <f>IF($AE1235="","",Sync!$Y1235)</f>
        <v/>
      </c>
    </row>
    <row r="1236">
      <c r="A1236">
        <f>IF(OR(Wages!$B1239="",Wages!$E1239=""),"",Wages!$E1239)</f>
        <v/>
      </c>
      <c r="B1236">
        <f>IF($A1236="","",IF(Wages!$C1239="دستمزد گروهی",2,1))</f>
        <v/>
      </c>
      <c r="C1236">
        <f>IF($A1236="","",IF(ISNUMBER(Wages!$B1239),IF(AND(Wages!$B1239&gt;=10000101,Wages!$B1239&lt;=99991231),INT(Wages!$B1239/10000),""),IFERROR(VALUE(TRIM(LEFT(Wages!$B1239,FIND("/",Wages!$B1239)-1))),"")))</f>
        <v/>
      </c>
      <c r="D1236">
        <f>IF(OR($A1236="",$C1236=""),"",IF(ISNUMBER(Wages!$B1239),INT(MOD(Wages!$B1239,10000)/100),IFERROR(VALUE(TRIM(LEFT(MID(Wages!$B1239,FIND("/",Wages!$B1239)+1,20),FIND("/",MID(Wages!$B1239,FIND("/",Wages!$B1239)+1,20))-1))),"")))</f>
        <v/>
      </c>
      <c r="E1236">
        <f>IF(OR($A1236="",$C1236=""),"",IF(ISNUMBER(Wages!$B1239),MOD(Wages!$B1239,100),IFERROR(VALUE(TRIM(MID(MID(Wages!$B1239,FIND("/",Wages!$B1239)+1,20),FIND("/",MID(Wages!$B1239,FIND("/",Wages!$B1239)+1,20))+1,20))),"")))</f>
        <v/>
      </c>
      <c r="F1236">
        <f>IF($A1236="","",IF(OR($C1236="",$D1236="",$E1236="",$C1236&lt;1300,$C1236&gt;1500,$D1236&lt;1,$D1236&gt;12,$E1236&lt;1,$E1236&gt;31),"نامعتبر",RIGHT("0000"&amp;$C1236,4)&amp;"/"&amp;RIGHT("00"&amp;$D1236,2)&amp;"/"&amp;RIGHT("00"&amp;$E1236,2)))</f>
        <v/>
      </c>
      <c r="G1236">
        <f>IF(OR($A1236="",$F1236="",$F1236="نامعتبر"),"",LEFT($F1236,4)&amp;MID($F1236,6,2)&amp;RIGHT($F1236,2)&amp;"0000"&amp;"|"&amp;"1"&amp;RIGHT("00000"&amp;1231,5))</f>
        <v/>
      </c>
      <c r="H1236">
        <f>IF(OR($B1236&lt;&gt;1,$G1236=""),"",COUNTIFS(LdAParty,$A1236,LdAType,1,LdAKey,"&lt;"&amp;$G1236)+COUNTIFS(LdBMember,$A1236,LdBKey,"&lt;"&amp;$G1236)+COUNTIFS(LdCParty,$A1236,LdCKey,"&lt;"&amp;$G1236)+1)</f>
        <v/>
      </c>
      <c r="I1236">
        <f>IF($H1236="","",$A1236&amp;"|"&amp;RIGHT("000000"&amp;$H1236,6))</f>
        <v/>
      </c>
      <c r="J1236">
        <f>IF(OR($B1236&lt;&gt;2,$G1236=""),"",COUNTIFS(LdAParty,$A1236,LdAType,2,LdAKey,"&lt;"&amp;$G1236)+1)</f>
        <v/>
      </c>
      <c r="K1236">
        <f>IF($J1236="","",$A1236&amp;"|"&amp;RIGHT("000000"&amp;$J1236,6))</f>
        <v/>
      </c>
      <c r="L1236">
        <f>IF($A1236="","",IF(Wages!$G1239="",0,Wages!$G1239))</f>
        <v/>
      </c>
      <c r="M1236">
        <f>IF($A1236="","",Wages!$J1239)</f>
        <v/>
      </c>
      <c r="N1236">
        <f>IF($A1236="","",Wages!$D1239)</f>
        <v/>
      </c>
      <c r="P1236">
        <f>IF(OR(Shares!$B1239="",Shares!$C1239=""),"",Shares!$C1239)</f>
        <v/>
      </c>
      <c r="Q1236">
        <f>IF($P1236="","",Shares!$B1239)</f>
        <v/>
      </c>
      <c r="R1236">
        <f>IF($P1236="","",IFERROR(INDEX(WageParty,MATCH($Q1236,WageIds,0)),""))</f>
        <v/>
      </c>
      <c r="S1236">
        <f>IF($P1236="","",IFERROR(INDEX($F$6:$F$2005,MATCH($Q1236,WageIds,0)),""))</f>
        <v/>
      </c>
      <c r="T1236">
        <f>IF(OR($P1236="",$S1236="",$S1236="نامعتبر"),"",LEFT($S1236,4)&amp;MID($S1236,6,2)&amp;RIGHT($S1236,2)&amp;"0000"&amp;"|"&amp;"2"&amp;RIGHT("00000"&amp;1231,5))</f>
        <v/>
      </c>
      <c r="U1236">
        <f>IF($T1236="","",COUNTIFS(LdAParty,$P1236,LdAType,1,LdAKey,"&lt;"&amp;$T1236)+COUNTIFS(LdBMember,$P1236,LdBKey,"&lt;"&amp;$T1236)+COUNTIFS(LdCParty,$P1236,LdCKey,"&lt;"&amp;$T1236)+1)</f>
        <v/>
      </c>
      <c r="V1236">
        <f>IF($U1236="","",$P1236&amp;"|"&amp;RIGHT("000000"&amp;$U1236,6))</f>
        <v/>
      </c>
      <c r="W1236">
        <f>IF($T1236="","",COUNTIFS(LdBGroup,$R1236,LdBKey,"&lt;"&amp;$T1236)+1)</f>
        <v/>
      </c>
      <c r="X1236">
        <f>IF($W1236="","",$R1236&amp;"|"&amp;RIGHT("000000"&amp;$W1236,6))</f>
        <v/>
      </c>
      <c r="Y1236">
        <f>IF($P1236="","",IF(Shares!$E1239="",0,Shares!$E1239))</f>
        <v/>
      </c>
      <c r="Z1236">
        <f>IF($P1236="","",Shares!$H1239)</f>
        <v/>
      </c>
      <c r="AE1236">
        <f>IF(OR(Sync!$S1236="",Sync!$P1236=""),"",Sync!$S1236)</f>
        <v/>
      </c>
      <c r="AF1236">
        <f>IF($AE1236="","",IF(ISNUMBER(Sync!$P1236),IF(AND(Sync!$P1236&gt;=10000101,Sync!$P1236&lt;=99991231),INT(Sync!$P1236/10000),""),IFERROR(VALUE(TRIM(LEFT(Sync!$P1236,FIND("/",Sync!$P1236)-1))),"")))</f>
        <v/>
      </c>
      <c r="AG1236">
        <f>IF(OR($AE1236="",$AF1236=""),"",IF(ISNUMBER(Sync!$P1236),INT(MOD(Sync!$P1236,10000)/100),IFERROR(VALUE(TRIM(LEFT(MID(Sync!$P1236,FIND("/",Sync!$P1236)+1,20),FIND("/",MID(Sync!$P1236,FIND("/",Sync!$P1236)+1,20))-1))),"")))</f>
        <v/>
      </c>
      <c r="AH1236">
        <f>IF(OR($AE1236="",$AF1236=""),"",IF(ISNUMBER(Sync!$P1236),MOD(Sync!$P1236,100),IFERROR(VALUE(TRIM(MID(MID(Sync!$P1236,FIND("/",Sync!$P1236)+1,20),FIND("/",MID(Sync!$P1236,FIND("/",Sync!$P1236)+1,20))+1,20))),"")))</f>
        <v/>
      </c>
      <c r="AI1236">
        <f>IF($AE1236="","",IF(OR($AF1236="",$AG1236="",$AH1236="",$AF1236&lt;1300,$AF1236&gt;1500,$AG1236&lt;1,$AG1236&gt;12,$AH1236&lt;1,$AH1236&gt;31),"نامعتبر",RIGHT("0000"&amp;$AF1236,4)&amp;"/"&amp;RIGHT("00"&amp;$AG1236,2)&amp;"/"&amp;RIGHT("00"&amp;$AH1236,2)))</f>
        <v/>
      </c>
      <c r="AJ1236">
        <f>IF($AE1236="","",IF(Sync!$Q1236="","0000",IF(AND(ISNUMBER(Sync!$Q1236),Sync!$Q1236&gt;=0,Sync!$Q1236&lt;1),RIGHT("00"&amp;HOUR(Sync!$Q1236),2)&amp;RIGHT("00"&amp;MINUTE(Sync!$Q1236),2),IFERROR(RIGHT("00"&amp;VALUE(LEFT(Sync!$Q1236,FIND(":",Sync!$Q1236)-1)),2)&amp;RIGHT("00"&amp;VALUE(MID(Sync!$Q1236,FIND(":",Sync!$Q1236)+1,2)),2),"0000"))))</f>
        <v/>
      </c>
      <c r="AK1236">
        <f>IF(OR($AE1236="",$AI1236="",$AI1236="نامعتبر"),"",LEFT($AI1236,4)&amp;MID($AI1236,6,2)&amp;RIGHT($AI1236,2)&amp;$AJ1236&amp;"|"&amp;"3"&amp;RIGHT("00000"&amp;1231,5))</f>
        <v/>
      </c>
      <c r="AL1236">
        <f>IF($AK1236="","",COUNTIFS(LdAParty,$AE1236,LdAType,1,LdAKey,"&lt;"&amp;$AK1236)+COUNTIFS(LdBMember,$AE1236,LdBKey,"&lt;"&amp;$AK1236)+COUNTIFS(LdCParty,$AE1236,LdCKey,"&lt;"&amp;$AK1236)+1)</f>
        <v/>
      </c>
      <c r="AM1236">
        <f>IF($AL1236="","",$AE1236&amp;"|"&amp;RIGHT("000000"&amp;$AL1236,6))</f>
        <v/>
      </c>
      <c r="AN1236">
        <f>IF($AE1236="","",IF(Sync!$W1236="",0,Sync!$W1236))</f>
        <v/>
      </c>
      <c r="AO1236">
        <f>IF($AE1236="","",IF(Sync!$X1236="",0,Sync!$X1236))</f>
        <v/>
      </c>
      <c r="AP1236">
        <f>IF($AE1236="","",Sync!$R1236)</f>
        <v/>
      </c>
      <c r="AQ1236">
        <f>IF($AE1236="","",Sync!$Y1236)</f>
        <v/>
      </c>
    </row>
    <row r="1237">
      <c r="A1237">
        <f>IF(OR(Wages!$B1240="",Wages!$E1240=""),"",Wages!$E1240)</f>
        <v/>
      </c>
      <c r="B1237">
        <f>IF($A1237="","",IF(Wages!$C1240="دستمزد گروهی",2,1))</f>
        <v/>
      </c>
      <c r="C1237">
        <f>IF($A1237="","",IF(ISNUMBER(Wages!$B1240),IF(AND(Wages!$B1240&gt;=10000101,Wages!$B1240&lt;=99991231),INT(Wages!$B1240/10000),""),IFERROR(VALUE(TRIM(LEFT(Wages!$B1240,FIND("/",Wages!$B1240)-1))),"")))</f>
        <v/>
      </c>
      <c r="D1237">
        <f>IF(OR($A1237="",$C1237=""),"",IF(ISNUMBER(Wages!$B1240),INT(MOD(Wages!$B1240,10000)/100),IFERROR(VALUE(TRIM(LEFT(MID(Wages!$B1240,FIND("/",Wages!$B1240)+1,20),FIND("/",MID(Wages!$B1240,FIND("/",Wages!$B1240)+1,20))-1))),"")))</f>
        <v/>
      </c>
      <c r="E1237">
        <f>IF(OR($A1237="",$C1237=""),"",IF(ISNUMBER(Wages!$B1240),MOD(Wages!$B1240,100),IFERROR(VALUE(TRIM(MID(MID(Wages!$B1240,FIND("/",Wages!$B1240)+1,20),FIND("/",MID(Wages!$B1240,FIND("/",Wages!$B1240)+1,20))+1,20))),"")))</f>
        <v/>
      </c>
      <c r="F1237">
        <f>IF($A1237="","",IF(OR($C1237="",$D1237="",$E1237="",$C1237&lt;1300,$C1237&gt;1500,$D1237&lt;1,$D1237&gt;12,$E1237&lt;1,$E1237&gt;31),"نامعتبر",RIGHT("0000"&amp;$C1237,4)&amp;"/"&amp;RIGHT("00"&amp;$D1237,2)&amp;"/"&amp;RIGHT("00"&amp;$E1237,2)))</f>
        <v/>
      </c>
      <c r="G1237">
        <f>IF(OR($A1237="",$F1237="",$F1237="نامعتبر"),"",LEFT($F1237,4)&amp;MID($F1237,6,2)&amp;RIGHT($F1237,2)&amp;"0000"&amp;"|"&amp;"1"&amp;RIGHT("00000"&amp;1232,5))</f>
        <v/>
      </c>
      <c r="H1237">
        <f>IF(OR($B1237&lt;&gt;1,$G1237=""),"",COUNTIFS(LdAParty,$A1237,LdAType,1,LdAKey,"&lt;"&amp;$G1237)+COUNTIFS(LdBMember,$A1237,LdBKey,"&lt;"&amp;$G1237)+COUNTIFS(LdCParty,$A1237,LdCKey,"&lt;"&amp;$G1237)+1)</f>
        <v/>
      </c>
      <c r="I1237">
        <f>IF($H1237="","",$A1237&amp;"|"&amp;RIGHT("000000"&amp;$H1237,6))</f>
        <v/>
      </c>
      <c r="J1237">
        <f>IF(OR($B1237&lt;&gt;2,$G1237=""),"",COUNTIFS(LdAParty,$A1237,LdAType,2,LdAKey,"&lt;"&amp;$G1237)+1)</f>
        <v/>
      </c>
      <c r="K1237">
        <f>IF($J1237="","",$A1237&amp;"|"&amp;RIGHT("000000"&amp;$J1237,6))</f>
        <v/>
      </c>
      <c r="L1237">
        <f>IF($A1237="","",IF(Wages!$G1240="",0,Wages!$G1240))</f>
        <v/>
      </c>
      <c r="M1237">
        <f>IF($A1237="","",Wages!$J1240)</f>
        <v/>
      </c>
      <c r="N1237">
        <f>IF($A1237="","",Wages!$D1240)</f>
        <v/>
      </c>
      <c r="P1237">
        <f>IF(OR(Shares!$B1240="",Shares!$C1240=""),"",Shares!$C1240)</f>
        <v/>
      </c>
      <c r="Q1237">
        <f>IF($P1237="","",Shares!$B1240)</f>
        <v/>
      </c>
      <c r="R1237">
        <f>IF($P1237="","",IFERROR(INDEX(WageParty,MATCH($Q1237,WageIds,0)),""))</f>
        <v/>
      </c>
      <c r="S1237">
        <f>IF($P1237="","",IFERROR(INDEX($F$6:$F$2005,MATCH($Q1237,WageIds,0)),""))</f>
        <v/>
      </c>
      <c r="T1237">
        <f>IF(OR($P1237="",$S1237="",$S1237="نامعتبر"),"",LEFT($S1237,4)&amp;MID($S1237,6,2)&amp;RIGHT($S1237,2)&amp;"0000"&amp;"|"&amp;"2"&amp;RIGHT("00000"&amp;1232,5))</f>
        <v/>
      </c>
      <c r="U1237">
        <f>IF($T1237="","",COUNTIFS(LdAParty,$P1237,LdAType,1,LdAKey,"&lt;"&amp;$T1237)+COUNTIFS(LdBMember,$P1237,LdBKey,"&lt;"&amp;$T1237)+COUNTIFS(LdCParty,$P1237,LdCKey,"&lt;"&amp;$T1237)+1)</f>
        <v/>
      </c>
      <c r="V1237">
        <f>IF($U1237="","",$P1237&amp;"|"&amp;RIGHT("000000"&amp;$U1237,6))</f>
        <v/>
      </c>
      <c r="W1237">
        <f>IF($T1237="","",COUNTIFS(LdBGroup,$R1237,LdBKey,"&lt;"&amp;$T1237)+1)</f>
        <v/>
      </c>
      <c r="X1237">
        <f>IF($W1237="","",$R1237&amp;"|"&amp;RIGHT("000000"&amp;$W1237,6))</f>
        <v/>
      </c>
      <c r="Y1237">
        <f>IF($P1237="","",IF(Shares!$E1240="",0,Shares!$E1240))</f>
        <v/>
      </c>
      <c r="Z1237">
        <f>IF($P1237="","",Shares!$H1240)</f>
        <v/>
      </c>
      <c r="AE1237">
        <f>IF(OR(Sync!$S1237="",Sync!$P1237=""),"",Sync!$S1237)</f>
        <v/>
      </c>
      <c r="AF1237">
        <f>IF($AE1237="","",IF(ISNUMBER(Sync!$P1237),IF(AND(Sync!$P1237&gt;=10000101,Sync!$P1237&lt;=99991231),INT(Sync!$P1237/10000),""),IFERROR(VALUE(TRIM(LEFT(Sync!$P1237,FIND("/",Sync!$P1237)-1))),"")))</f>
        <v/>
      </c>
      <c r="AG1237">
        <f>IF(OR($AE1237="",$AF1237=""),"",IF(ISNUMBER(Sync!$P1237),INT(MOD(Sync!$P1237,10000)/100),IFERROR(VALUE(TRIM(LEFT(MID(Sync!$P1237,FIND("/",Sync!$P1237)+1,20),FIND("/",MID(Sync!$P1237,FIND("/",Sync!$P1237)+1,20))-1))),"")))</f>
        <v/>
      </c>
      <c r="AH1237">
        <f>IF(OR($AE1237="",$AF1237=""),"",IF(ISNUMBER(Sync!$P1237),MOD(Sync!$P1237,100),IFERROR(VALUE(TRIM(MID(MID(Sync!$P1237,FIND("/",Sync!$P1237)+1,20),FIND("/",MID(Sync!$P1237,FIND("/",Sync!$P1237)+1,20))+1,20))),"")))</f>
        <v/>
      </c>
      <c r="AI1237">
        <f>IF($AE1237="","",IF(OR($AF1237="",$AG1237="",$AH1237="",$AF1237&lt;1300,$AF1237&gt;1500,$AG1237&lt;1,$AG1237&gt;12,$AH1237&lt;1,$AH1237&gt;31),"نامعتبر",RIGHT("0000"&amp;$AF1237,4)&amp;"/"&amp;RIGHT("00"&amp;$AG1237,2)&amp;"/"&amp;RIGHT("00"&amp;$AH1237,2)))</f>
        <v/>
      </c>
      <c r="AJ1237">
        <f>IF($AE1237="","",IF(Sync!$Q1237="","0000",IF(AND(ISNUMBER(Sync!$Q1237),Sync!$Q1237&gt;=0,Sync!$Q1237&lt;1),RIGHT("00"&amp;HOUR(Sync!$Q1237),2)&amp;RIGHT("00"&amp;MINUTE(Sync!$Q1237),2),IFERROR(RIGHT("00"&amp;VALUE(LEFT(Sync!$Q1237,FIND(":",Sync!$Q1237)-1)),2)&amp;RIGHT("00"&amp;VALUE(MID(Sync!$Q1237,FIND(":",Sync!$Q1237)+1,2)),2),"0000"))))</f>
        <v/>
      </c>
      <c r="AK1237">
        <f>IF(OR($AE1237="",$AI1237="",$AI1237="نامعتبر"),"",LEFT($AI1237,4)&amp;MID($AI1237,6,2)&amp;RIGHT($AI1237,2)&amp;$AJ1237&amp;"|"&amp;"3"&amp;RIGHT("00000"&amp;1232,5))</f>
        <v/>
      </c>
      <c r="AL1237">
        <f>IF($AK1237="","",COUNTIFS(LdAParty,$AE1237,LdAType,1,LdAKey,"&lt;"&amp;$AK1237)+COUNTIFS(LdBMember,$AE1237,LdBKey,"&lt;"&amp;$AK1237)+COUNTIFS(LdCParty,$AE1237,LdCKey,"&lt;"&amp;$AK1237)+1)</f>
        <v/>
      </c>
      <c r="AM1237">
        <f>IF($AL1237="","",$AE1237&amp;"|"&amp;RIGHT("000000"&amp;$AL1237,6))</f>
        <v/>
      </c>
      <c r="AN1237">
        <f>IF($AE1237="","",IF(Sync!$W1237="",0,Sync!$W1237))</f>
        <v/>
      </c>
      <c r="AO1237">
        <f>IF($AE1237="","",IF(Sync!$X1237="",0,Sync!$X1237))</f>
        <v/>
      </c>
      <c r="AP1237">
        <f>IF($AE1237="","",Sync!$R1237)</f>
        <v/>
      </c>
      <c r="AQ1237">
        <f>IF($AE1237="","",Sync!$Y1237)</f>
        <v/>
      </c>
    </row>
    <row r="1238">
      <c r="A1238">
        <f>IF(OR(Wages!$B1241="",Wages!$E1241=""),"",Wages!$E1241)</f>
        <v/>
      </c>
      <c r="B1238">
        <f>IF($A1238="","",IF(Wages!$C1241="دستمزد گروهی",2,1))</f>
        <v/>
      </c>
      <c r="C1238">
        <f>IF($A1238="","",IF(ISNUMBER(Wages!$B1241),IF(AND(Wages!$B1241&gt;=10000101,Wages!$B1241&lt;=99991231),INT(Wages!$B1241/10000),""),IFERROR(VALUE(TRIM(LEFT(Wages!$B1241,FIND("/",Wages!$B1241)-1))),"")))</f>
        <v/>
      </c>
      <c r="D1238">
        <f>IF(OR($A1238="",$C1238=""),"",IF(ISNUMBER(Wages!$B1241),INT(MOD(Wages!$B1241,10000)/100),IFERROR(VALUE(TRIM(LEFT(MID(Wages!$B1241,FIND("/",Wages!$B1241)+1,20),FIND("/",MID(Wages!$B1241,FIND("/",Wages!$B1241)+1,20))-1))),"")))</f>
        <v/>
      </c>
      <c r="E1238">
        <f>IF(OR($A1238="",$C1238=""),"",IF(ISNUMBER(Wages!$B1241),MOD(Wages!$B1241,100),IFERROR(VALUE(TRIM(MID(MID(Wages!$B1241,FIND("/",Wages!$B1241)+1,20),FIND("/",MID(Wages!$B1241,FIND("/",Wages!$B1241)+1,20))+1,20))),"")))</f>
        <v/>
      </c>
      <c r="F1238">
        <f>IF($A1238="","",IF(OR($C1238="",$D1238="",$E1238="",$C1238&lt;1300,$C1238&gt;1500,$D1238&lt;1,$D1238&gt;12,$E1238&lt;1,$E1238&gt;31),"نامعتبر",RIGHT("0000"&amp;$C1238,4)&amp;"/"&amp;RIGHT("00"&amp;$D1238,2)&amp;"/"&amp;RIGHT("00"&amp;$E1238,2)))</f>
        <v/>
      </c>
      <c r="G1238">
        <f>IF(OR($A1238="",$F1238="",$F1238="نامعتبر"),"",LEFT($F1238,4)&amp;MID($F1238,6,2)&amp;RIGHT($F1238,2)&amp;"0000"&amp;"|"&amp;"1"&amp;RIGHT("00000"&amp;1233,5))</f>
        <v/>
      </c>
      <c r="H1238">
        <f>IF(OR($B1238&lt;&gt;1,$G1238=""),"",COUNTIFS(LdAParty,$A1238,LdAType,1,LdAKey,"&lt;"&amp;$G1238)+COUNTIFS(LdBMember,$A1238,LdBKey,"&lt;"&amp;$G1238)+COUNTIFS(LdCParty,$A1238,LdCKey,"&lt;"&amp;$G1238)+1)</f>
        <v/>
      </c>
      <c r="I1238">
        <f>IF($H1238="","",$A1238&amp;"|"&amp;RIGHT("000000"&amp;$H1238,6))</f>
        <v/>
      </c>
      <c r="J1238">
        <f>IF(OR($B1238&lt;&gt;2,$G1238=""),"",COUNTIFS(LdAParty,$A1238,LdAType,2,LdAKey,"&lt;"&amp;$G1238)+1)</f>
        <v/>
      </c>
      <c r="K1238">
        <f>IF($J1238="","",$A1238&amp;"|"&amp;RIGHT("000000"&amp;$J1238,6))</f>
        <v/>
      </c>
      <c r="L1238">
        <f>IF($A1238="","",IF(Wages!$G1241="",0,Wages!$G1241))</f>
        <v/>
      </c>
      <c r="M1238">
        <f>IF($A1238="","",Wages!$J1241)</f>
        <v/>
      </c>
      <c r="N1238">
        <f>IF($A1238="","",Wages!$D1241)</f>
        <v/>
      </c>
      <c r="P1238">
        <f>IF(OR(Shares!$B1241="",Shares!$C1241=""),"",Shares!$C1241)</f>
        <v/>
      </c>
      <c r="Q1238">
        <f>IF($P1238="","",Shares!$B1241)</f>
        <v/>
      </c>
      <c r="R1238">
        <f>IF($P1238="","",IFERROR(INDEX(WageParty,MATCH($Q1238,WageIds,0)),""))</f>
        <v/>
      </c>
      <c r="S1238">
        <f>IF($P1238="","",IFERROR(INDEX($F$6:$F$2005,MATCH($Q1238,WageIds,0)),""))</f>
        <v/>
      </c>
      <c r="T1238">
        <f>IF(OR($P1238="",$S1238="",$S1238="نامعتبر"),"",LEFT($S1238,4)&amp;MID($S1238,6,2)&amp;RIGHT($S1238,2)&amp;"0000"&amp;"|"&amp;"2"&amp;RIGHT("00000"&amp;1233,5))</f>
        <v/>
      </c>
      <c r="U1238">
        <f>IF($T1238="","",COUNTIFS(LdAParty,$P1238,LdAType,1,LdAKey,"&lt;"&amp;$T1238)+COUNTIFS(LdBMember,$P1238,LdBKey,"&lt;"&amp;$T1238)+COUNTIFS(LdCParty,$P1238,LdCKey,"&lt;"&amp;$T1238)+1)</f>
        <v/>
      </c>
      <c r="V1238">
        <f>IF($U1238="","",$P1238&amp;"|"&amp;RIGHT("000000"&amp;$U1238,6))</f>
        <v/>
      </c>
      <c r="W1238">
        <f>IF($T1238="","",COUNTIFS(LdBGroup,$R1238,LdBKey,"&lt;"&amp;$T1238)+1)</f>
        <v/>
      </c>
      <c r="X1238">
        <f>IF($W1238="","",$R1238&amp;"|"&amp;RIGHT("000000"&amp;$W1238,6))</f>
        <v/>
      </c>
      <c r="Y1238">
        <f>IF($P1238="","",IF(Shares!$E1241="",0,Shares!$E1241))</f>
        <v/>
      </c>
      <c r="Z1238">
        <f>IF($P1238="","",Shares!$H1241)</f>
        <v/>
      </c>
      <c r="AE1238">
        <f>IF(OR(Sync!$S1238="",Sync!$P1238=""),"",Sync!$S1238)</f>
        <v/>
      </c>
      <c r="AF1238">
        <f>IF($AE1238="","",IF(ISNUMBER(Sync!$P1238),IF(AND(Sync!$P1238&gt;=10000101,Sync!$P1238&lt;=99991231),INT(Sync!$P1238/10000),""),IFERROR(VALUE(TRIM(LEFT(Sync!$P1238,FIND("/",Sync!$P1238)-1))),"")))</f>
        <v/>
      </c>
      <c r="AG1238">
        <f>IF(OR($AE1238="",$AF1238=""),"",IF(ISNUMBER(Sync!$P1238),INT(MOD(Sync!$P1238,10000)/100),IFERROR(VALUE(TRIM(LEFT(MID(Sync!$P1238,FIND("/",Sync!$P1238)+1,20),FIND("/",MID(Sync!$P1238,FIND("/",Sync!$P1238)+1,20))-1))),"")))</f>
        <v/>
      </c>
      <c r="AH1238">
        <f>IF(OR($AE1238="",$AF1238=""),"",IF(ISNUMBER(Sync!$P1238),MOD(Sync!$P1238,100),IFERROR(VALUE(TRIM(MID(MID(Sync!$P1238,FIND("/",Sync!$P1238)+1,20),FIND("/",MID(Sync!$P1238,FIND("/",Sync!$P1238)+1,20))+1,20))),"")))</f>
        <v/>
      </c>
      <c r="AI1238">
        <f>IF($AE1238="","",IF(OR($AF1238="",$AG1238="",$AH1238="",$AF1238&lt;1300,$AF1238&gt;1500,$AG1238&lt;1,$AG1238&gt;12,$AH1238&lt;1,$AH1238&gt;31),"نامعتبر",RIGHT("0000"&amp;$AF1238,4)&amp;"/"&amp;RIGHT("00"&amp;$AG1238,2)&amp;"/"&amp;RIGHT("00"&amp;$AH1238,2)))</f>
        <v/>
      </c>
      <c r="AJ1238">
        <f>IF($AE1238="","",IF(Sync!$Q1238="","0000",IF(AND(ISNUMBER(Sync!$Q1238),Sync!$Q1238&gt;=0,Sync!$Q1238&lt;1),RIGHT("00"&amp;HOUR(Sync!$Q1238),2)&amp;RIGHT("00"&amp;MINUTE(Sync!$Q1238),2),IFERROR(RIGHT("00"&amp;VALUE(LEFT(Sync!$Q1238,FIND(":",Sync!$Q1238)-1)),2)&amp;RIGHT("00"&amp;VALUE(MID(Sync!$Q1238,FIND(":",Sync!$Q1238)+1,2)),2),"0000"))))</f>
        <v/>
      </c>
      <c r="AK1238">
        <f>IF(OR($AE1238="",$AI1238="",$AI1238="نامعتبر"),"",LEFT($AI1238,4)&amp;MID($AI1238,6,2)&amp;RIGHT($AI1238,2)&amp;$AJ1238&amp;"|"&amp;"3"&amp;RIGHT("00000"&amp;1233,5))</f>
        <v/>
      </c>
      <c r="AL1238">
        <f>IF($AK1238="","",COUNTIFS(LdAParty,$AE1238,LdAType,1,LdAKey,"&lt;"&amp;$AK1238)+COUNTIFS(LdBMember,$AE1238,LdBKey,"&lt;"&amp;$AK1238)+COUNTIFS(LdCParty,$AE1238,LdCKey,"&lt;"&amp;$AK1238)+1)</f>
        <v/>
      </c>
      <c r="AM1238">
        <f>IF($AL1238="","",$AE1238&amp;"|"&amp;RIGHT("000000"&amp;$AL1238,6))</f>
        <v/>
      </c>
      <c r="AN1238">
        <f>IF($AE1238="","",IF(Sync!$W1238="",0,Sync!$W1238))</f>
        <v/>
      </c>
      <c r="AO1238">
        <f>IF($AE1238="","",IF(Sync!$X1238="",0,Sync!$X1238))</f>
        <v/>
      </c>
      <c r="AP1238">
        <f>IF($AE1238="","",Sync!$R1238)</f>
        <v/>
      </c>
      <c r="AQ1238">
        <f>IF($AE1238="","",Sync!$Y1238)</f>
        <v/>
      </c>
    </row>
    <row r="1239">
      <c r="A1239">
        <f>IF(OR(Wages!$B1242="",Wages!$E1242=""),"",Wages!$E1242)</f>
        <v/>
      </c>
      <c r="B1239">
        <f>IF($A1239="","",IF(Wages!$C1242="دستمزد گروهی",2,1))</f>
        <v/>
      </c>
      <c r="C1239">
        <f>IF($A1239="","",IF(ISNUMBER(Wages!$B1242),IF(AND(Wages!$B1242&gt;=10000101,Wages!$B1242&lt;=99991231),INT(Wages!$B1242/10000),""),IFERROR(VALUE(TRIM(LEFT(Wages!$B1242,FIND("/",Wages!$B1242)-1))),"")))</f>
        <v/>
      </c>
      <c r="D1239">
        <f>IF(OR($A1239="",$C1239=""),"",IF(ISNUMBER(Wages!$B1242),INT(MOD(Wages!$B1242,10000)/100),IFERROR(VALUE(TRIM(LEFT(MID(Wages!$B1242,FIND("/",Wages!$B1242)+1,20),FIND("/",MID(Wages!$B1242,FIND("/",Wages!$B1242)+1,20))-1))),"")))</f>
        <v/>
      </c>
      <c r="E1239">
        <f>IF(OR($A1239="",$C1239=""),"",IF(ISNUMBER(Wages!$B1242),MOD(Wages!$B1242,100),IFERROR(VALUE(TRIM(MID(MID(Wages!$B1242,FIND("/",Wages!$B1242)+1,20),FIND("/",MID(Wages!$B1242,FIND("/",Wages!$B1242)+1,20))+1,20))),"")))</f>
        <v/>
      </c>
      <c r="F1239">
        <f>IF($A1239="","",IF(OR($C1239="",$D1239="",$E1239="",$C1239&lt;1300,$C1239&gt;1500,$D1239&lt;1,$D1239&gt;12,$E1239&lt;1,$E1239&gt;31),"نامعتبر",RIGHT("0000"&amp;$C1239,4)&amp;"/"&amp;RIGHT("00"&amp;$D1239,2)&amp;"/"&amp;RIGHT("00"&amp;$E1239,2)))</f>
        <v/>
      </c>
      <c r="G1239">
        <f>IF(OR($A1239="",$F1239="",$F1239="نامعتبر"),"",LEFT($F1239,4)&amp;MID($F1239,6,2)&amp;RIGHT($F1239,2)&amp;"0000"&amp;"|"&amp;"1"&amp;RIGHT("00000"&amp;1234,5))</f>
        <v/>
      </c>
      <c r="H1239">
        <f>IF(OR($B1239&lt;&gt;1,$G1239=""),"",COUNTIFS(LdAParty,$A1239,LdAType,1,LdAKey,"&lt;"&amp;$G1239)+COUNTIFS(LdBMember,$A1239,LdBKey,"&lt;"&amp;$G1239)+COUNTIFS(LdCParty,$A1239,LdCKey,"&lt;"&amp;$G1239)+1)</f>
        <v/>
      </c>
      <c r="I1239">
        <f>IF($H1239="","",$A1239&amp;"|"&amp;RIGHT("000000"&amp;$H1239,6))</f>
        <v/>
      </c>
      <c r="J1239">
        <f>IF(OR($B1239&lt;&gt;2,$G1239=""),"",COUNTIFS(LdAParty,$A1239,LdAType,2,LdAKey,"&lt;"&amp;$G1239)+1)</f>
        <v/>
      </c>
      <c r="K1239">
        <f>IF($J1239="","",$A1239&amp;"|"&amp;RIGHT("000000"&amp;$J1239,6))</f>
        <v/>
      </c>
      <c r="L1239">
        <f>IF($A1239="","",IF(Wages!$G1242="",0,Wages!$G1242))</f>
        <v/>
      </c>
      <c r="M1239">
        <f>IF($A1239="","",Wages!$J1242)</f>
        <v/>
      </c>
      <c r="N1239">
        <f>IF($A1239="","",Wages!$D1242)</f>
        <v/>
      </c>
      <c r="P1239">
        <f>IF(OR(Shares!$B1242="",Shares!$C1242=""),"",Shares!$C1242)</f>
        <v/>
      </c>
      <c r="Q1239">
        <f>IF($P1239="","",Shares!$B1242)</f>
        <v/>
      </c>
      <c r="R1239">
        <f>IF($P1239="","",IFERROR(INDEX(WageParty,MATCH($Q1239,WageIds,0)),""))</f>
        <v/>
      </c>
      <c r="S1239">
        <f>IF($P1239="","",IFERROR(INDEX($F$6:$F$2005,MATCH($Q1239,WageIds,0)),""))</f>
        <v/>
      </c>
      <c r="T1239">
        <f>IF(OR($P1239="",$S1239="",$S1239="نامعتبر"),"",LEFT($S1239,4)&amp;MID($S1239,6,2)&amp;RIGHT($S1239,2)&amp;"0000"&amp;"|"&amp;"2"&amp;RIGHT("00000"&amp;1234,5))</f>
        <v/>
      </c>
      <c r="U1239">
        <f>IF($T1239="","",COUNTIFS(LdAParty,$P1239,LdAType,1,LdAKey,"&lt;"&amp;$T1239)+COUNTIFS(LdBMember,$P1239,LdBKey,"&lt;"&amp;$T1239)+COUNTIFS(LdCParty,$P1239,LdCKey,"&lt;"&amp;$T1239)+1)</f>
        <v/>
      </c>
      <c r="V1239">
        <f>IF($U1239="","",$P1239&amp;"|"&amp;RIGHT("000000"&amp;$U1239,6))</f>
        <v/>
      </c>
      <c r="W1239">
        <f>IF($T1239="","",COUNTIFS(LdBGroup,$R1239,LdBKey,"&lt;"&amp;$T1239)+1)</f>
        <v/>
      </c>
      <c r="X1239">
        <f>IF($W1239="","",$R1239&amp;"|"&amp;RIGHT("000000"&amp;$W1239,6))</f>
        <v/>
      </c>
      <c r="Y1239">
        <f>IF($P1239="","",IF(Shares!$E1242="",0,Shares!$E1242))</f>
        <v/>
      </c>
      <c r="Z1239">
        <f>IF($P1239="","",Shares!$H1242)</f>
        <v/>
      </c>
      <c r="AE1239">
        <f>IF(OR(Sync!$S1239="",Sync!$P1239=""),"",Sync!$S1239)</f>
        <v/>
      </c>
      <c r="AF1239">
        <f>IF($AE1239="","",IF(ISNUMBER(Sync!$P1239),IF(AND(Sync!$P1239&gt;=10000101,Sync!$P1239&lt;=99991231),INT(Sync!$P1239/10000),""),IFERROR(VALUE(TRIM(LEFT(Sync!$P1239,FIND("/",Sync!$P1239)-1))),"")))</f>
        <v/>
      </c>
      <c r="AG1239">
        <f>IF(OR($AE1239="",$AF1239=""),"",IF(ISNUMBER(Sync!$P1239),INT(MOD(Sync!$P1239,10000)/100),IFERROR(VALUE(TRIM(LEFT(MID(Sync!$P1239,FIND("/",Sync!$P1239)+1,20),FIND("/",MID(Sync!$P1239,FIND("/",Sync!$P1239)+1,20))-1))),"")))</f>
        <v/>
      </c>
      <c r="AH1239">
        <f>IF(OR($AE1239="",$AF1239=""),"",IF(ISNUMBER(Sync!$P1239),MOD(Sync!$P1239,100),IFERROR(VALUE(TRIM(MID(MID(Sync!$P1239,FIND("/",Sync!$P1239)+1,20),FIND("/",MID(Sync!$P1239,FIND("/",Sync!$P1239)+1,20))+1,20))),"")))</f>
        <v/>
      </c>
      <c r="AI1239">
        <f>IF($AE1239="","",IF(OR($AF1239="",$AG1239="",$AH1239="",$AF1239&lt;1300,$AF1239&gt;1500,$AG1239&lt;1,$AG1239&gt;12,$AH1239&lt;1,$AH1239&gt;31),"نامعتبر",RIGHT("0000"&amp;$AF1239,4)&amp;"/"&amp;RIGHT("00"&amp;$AG1239,2)&amp;"/"&amp;RIGHT("00"&amp;$AH1239,2)))</f>
        <v/>
      </c>
      <c r="AJ1239">
        <f>IF($AE1239="","",IF(Sync!$Q1239="","0000",IF(AND(ISNUMBER(Sync!$Q1239),Sync!$Q1239&gt;=0,Sync!$Q1239&lt;1),RIGHT("00"&amp;HOUR(Sync!$Q1239),2)&amp;RIGHT("00"&amp;MINUTE(Sync!$Q1239),2),IFERROR(RIGHT("00"&amp;VALUE(LEFT(Sync!$Q1239,FIND(":",Sync!$Q1239)-1)),2)&amp;RIGHT("00"&amp;VALUE(MID(Sync!$Q1239,FIND(":",Sync!$Q1239)+1,2)),2),"0000"))))</f>
        <v/>
      </c>
      <c r="AK1239">
        <f>IF(OR($AE1239="",$AI1239="",$AI1239="نامعتبر"),"",LEFT($AI1239,4)&amp;MID($AI1239,6,2)&amp;RIGHT($AI1239,2)&amp;$AJ1239&amp;"|"&amp;"3"&amp;RIGHT("00000"&amp;1234,5))</f>
        <v/>
      </c>
      <c r="AL1239">
        <f>IF($AK1239="","",COUNTIFS(LdAParty,$AE1239,LdAType,1,LdAKey,"&lt;"&amp;$AK1239)+COUNTIFS(LdBMember,$AE1239,LdBKey,"&lt;"&amp;$AK1239)+COUNTIFS(LdCParty,$AE1239,LdCKey,"&lt;"&amp;$AK1239)+1)</f>
        <v/>
      </c>
      <c r="AM1239">
        <f>IF($AL1239="","",$AE1239&amp;"|"&amp;RIGHT("000000"&amp;$AL1239,6))</f>
        <v/>
      </c>
      <c r="AN1239">
        <f>IF($AE1239="","",IF(Sync!$W1239="",0,Sync!$W1239))</f>
        <v/>
      </c>
      <c r="AO1239">
        <f>IF($AE1239="","",IF(Sync!$X1239="",0,Sync!$X1239))</f>
        <v/>
      </c>
      <c r="AP1239">
        <f>IF($AE1239="","",Sync!$R1239)</f>
        <v/>
      </c>
      <c r="AQ1239">
        <f>IF($AE1239="","",Sync!$Y1239)</f>
        <v/>
      </c>
    </row>
    <row r="1240">
      <c r="A1240">
        <f>IF(OR(Wages!$B1243="",Wages!$E1243=""),"",Wages!$E1243)</f>
        <v/>
      </c>
      <c r="B1240">
        <f>IF($A1240="","",IF(Wages!$C1243="دستمزد گروهی",2,1))</f>
        <v/>
      </c>
      <c r="C1240">
        <f>IF($A1240="","",IF(ISNUMBER(Wages!$B1243),IF(AND(Wages!$B1243&gt;=10000101,Wages!$B1243&lt;=99991231),INT(Wages!$B1243/10000),""),IFERROR(VALUE(TRIM(LEFT(Wages!$B1243,FIND("/",Wages!$B1243)-1))),"")))</f>
        <v/>
      </c>
      <c r="D1240">
        <f>IF(OR($A1240="",$C1240=""),"",IF(ISNUMBER(Wages!$B1243),INT(MOD(Wages!$B1243,10000)/100),IFERROR(VALUE(TRIM(LEFT(MID(Wages!$B1243,FIND("/",Wages!$B1243)+1,20),FIND("/",MID(Wages!$B1243,FIND("/",Wages!$B1243)+1,20))-1))),"")))</f>
        <v/>
      </c>
      <c r="E1240">
        <f>IF(OR($A1240="",$C1240=""),"",IF(ISNUMBER(Wages!$B1243),MOD(Wages!$B1243,100),IFERROR(VALUE(TRIM(MID(MID(Wages!$B1243,FIND("/",Wages!$B1243)+1,20),FIND("/",MID(Wages!$B1243,FIND("/",Wages!$B1243)+1,20))+1,20))),"")))</f>
        <v/>
      </c>
      <c r="F1240">
        <f>IF($A1240="","",IF(OR($C1240="",$D1240="",$E1240="",$C1240&lt;1300,$C1240&gt;1500,$D1240&lt;1,$D1240&gt;12,$E1240&lt;1,$E1240&gt;31),"نامعتبر",RIGHT("0000"&amp;$C1240,4)&amp;"/"&amp;RIGHT("00"&amp;$D1240,2)&amp;"/"&amp;RIGHT("00"&amp;$E1240,2)))</f>
        <v/>
      </c>
      <c r="G1240">
        <f>IF(OR($A1240="",$F1240="",$F1240="نامعتبر"),"",LEFT($F1240,4)&amp;MID($F1240,6,2)&amp;RIGHT($F1240,2)&amp;"0000"&amp;"|"&amp;"1"&amp;RIGHT("00000"&amp;1235,5))</f>
        <v/>
      </c>
      <c r="H1240">
        <f>IF(OR($B1240&lt;&gt;1,$G1240=""),"",COUNTIFS(LdAParty,$A1240,LdAType,1,LdAKey,"&lt;"&amp;$G1240)+COUNTIFS(LdBMember,$A1240,LdBKey,"&lt;"&amp;$G1240)+COUNTIFS(LdCParty,$A1240,LdCKey,"&lt;"&amp;$G1240)+1)</f>
        <v/>
      </c>
      <c r="I1240">
        <f>IF($H1240="","",$A1240&amp;"|"&amp;RIGHT("000000"&amp;$H1240,6))</f>
        <v/>
      </c>
      <c r="J1240">
        <f>IF(OR($B1240&lt;&gt;2,$G1240=""),"",COUNTIFS(LdAParty,$A1240,LdAType,2,LdAKey,"&lt;"&amp;$G1240)+1)</f>
        <v/>
      </c>
      <c r="K1240">
        <f>IF($J1240="","",$A1240&amp;"|"&amp;RIGHT("000000"&amp;$J1240,6))</f>
        <v/>
      </c>
      <c r="L1240">
        <f>IF($A1240="","",IF(Wages!$G1243="",0,Wages!$G1243))</f>
        <v/>
      </c>
      <c r="M1240">
        <f>IF($A1240="","",Wages!$J1243)</f>
        <v/>
      </c>
      <c r="N1240">
        <f>IF($A1240="","",Wages!$D1243)</f>
        <v/>
      </c>
      <c r="P1240">
        <f>IF(OR(Shares!$B1243="",Shares!$C1243=""),"",Shares!$C1243)</f>
        <v/>
      </c>
      <c r="Q1240">
        <f>IF($P1240="","",Shares!$B1243)</f>
        <v/>
      </c>
      <c r="R1240">
        <f>IF($P1240="","",IFERROR(INDEX(WageParty,MATCH($Q1240,WageIds,0)),""))</f>
        <v/>
      </c>
      <c r="S1240">
        <f>IF($P1240="","",IFERROR(INDEX($F$6:$F$2005,MATCH($Q1240,WageIds,0)),""))</f>
        <v/>
      </c>
      <c r="T1240">
        <f>IF(OR($P1240="",$S1240="",$S1240="نامعتبر"),"",LEFT($S1240,4)&amp;MID($S1240,6,2)&amp;RIGHT($S1240,2)&amp;"0000"&amp;"|"&amp;"2"&amp;RIGHT("00000"&amp;1235,5))</f>
        <v/>
      </c>
      <c r="U1240">
        <f>IF($T1240="","",COUNTIFS(LdAParty,$P1240,LdAType,1,LdAKey,"&lt;"&amp;$T1240)+COUNTIFS(LdBMember,$P1240,LdBKey,"&lt;"&amp;$T1240)+COUNTIFS(LdCParty,$P1240,LdCKey,"&lt;"&amp;$T1240)+1)</f>
        <v/>
      </c>
      <c r="V1240">
        <f>IF($U1240="","",$P1240&amp;"|"&amp;RIGHT("000000"&amp;$U1240,6))</f>
        <v/>
      </c>
      <c r="W1240">
        <f>IF($T1240="","",COUNTIFS(LdBGroup,$R1240,LdBKey,"&lt;"&amp;$T1240)+1)</f>
        <v/>
      </c>
      <c r="X1240">
        <f>IF($W1240="","",$R1240&amp;"|"&amp;RIGHT("000000"&amp;$W1240,6))</f>
        <v/>
      </c>
      <c r="Y1240">
        <f>IF($P1240="","",IF(Shares!$E1243="",0,Shares!$E1243))</f>
        <v/>
      </c>
      <c r="Z1240">
        <f>IF($P1240="","",Shares!$H1243)</f>
        <v/>
      </c>
      <c r="AE1240">
        <f>IF(OR(Sync!$S1240="",Sync!$P1240=""),"",Sync!$S1240)</f>
        <v/>
      </c>
      <c r="AF1240">
        <f>IF($AE1240="","",IF(ISNUMBER(Sync!$P1240),IF(AND(Sync!$P1240&gt;=10000101,Sync!$P1240&lt;=99991231),INT(Sync!$P1240/10000),""),IFERROR(VALUE(TRIM(LEFT(Sync!$P1240,FIND("/",Sync!$P1240)-1))),"")))</f>
        <v/>
      </c>
      <c r="AG1240">
        <f>IF(OR($AE1240="",$AF1240=""),"",IF(ISNUMBER(Sync!$P1240),INT(MOD(Sync!$P1240,10000)/100),IFERROR(VALUE(TRIM(LEFT(MID(Sync!$P1240,FIND("/",Sync!$P1240)+1,20),FIND("/",MID(Sync!$P1240,FIND("/",Sync!$P1240)+1,20))-1))),"")))</f>
        <v/>
      </c>
      <c r="AH1240">
        <f>IF(OR($AE1240="",$AF1240=""),"",IF(ISNUMBER(Sync!$P1240),MOD(Sync!$P1240,100),IFERROR(VALUE(TRIM(MID(MID(Sync!$P1240,FIND("/",Sync!$P1240)+1,20),FIND("/",MID(Sync!$P1240,FIND("/",Sync!$P1240)+1,20))+1,20))),"")))</f>
        <v/>
      </c>
      <c r="AI1240">
        <f>IF($AE1240="","",IF(OR($AF1240="",$AG1240="",$AH1240="",$AF1240&lt;1300,$AF1240&gt;1500,$AG1240&lt;1,$AG1240&gt;12,$AH1240&lt;1,$AH1240&gt;31),"نامعتبر",RIGHT("0000"&amp;$AF1240,4)&amp;"/"&amp;RIGHT("00"&amp;$AG1240,2)&amp;"/"&amp;RIGHT("00"&amp;$AH1240,2)))</f>
        <v/>
      </c>
      <c r="AJ1240">
        <f>IF($AE1240="","",IF(Sync!$Q1240="","0000",IF(AND(ISNUMBER(Sync!$Q1240),Sync!$Q1240&gt;=0,Sync!$Q1240&lt;1),RIGHT("00"&amp;HOUR(Sync!$Q1240),2)&amp;RIGHT("00"&amp;MINUTE(Sync!$Q1240),2),IFERROR(RIGHT("00"&amp;VALUE(LEFT(Sync!$Q1240,FIND(":",Sync!$Q1240)-1)),2)&amp;RIGHT("00"&amp;VALUE(MID(Sync!$Q1240,FIND(":",Sync!$Q1240)+1,2)),2),"0000"))))</f>
        <v/>
      </c>
      <c r="AK1240">
        <f>IF(OR($AE1240="",$AI1240="",$AI1240="نامعتبر"),"",LEFT($AI1240,4)&amp;MID($AI1240,6,2)&amp;RIGHT($AI1240,2)&amp;$AJ1240&amp;"|"&amp;"3"&amp;RIGHT("00000"&amp;1235,5))</f>
        <v/>
      </c>
      <c r="AL1240">
        <f>IF($AK1240="","",COUNTIFS(LdAParty,$AE1240,LdAType,1,LdAKey,"&lt;"&amp;$AK1240)+COUNTIFS(LdBMember,$AE1240,LdBKey,"&lt;"&amp;$AK1240)+COUNTIFS(LdCParty,$AE1240,LdCKey,"&lt;"&amp;$AK1240)+1)</f>
        <v/>
      </c>
      <c r="AM1240">
        <f>IF($AL1240="","",$AE1240&amp;"|"&amp;RIGHT("000000"&amp;$AL1240,6))</f>
        <v/>
      </c>
      <c r="AN1240">
        <f>IF($AE1240="","",IF(Sync!$W1240="",0,Sync!$W1240))</f>
        <v/>
      </c>
      <c r="AO1240">
        <f>IF($AE1240="","",IF(Sync!$X1240="",0,Sync!$X1240))</f>
        <v/>
      </c>
      <c r="AP1240">
        <f>IF($AE1240="","",Sync!$R1240)</f>
        <v/>
      </c>
      <c r="AQ1240">
        <f>IF($AE1240="","",Sync!$Y1240)</f>
        <v/>
      </c>
    </row>
    <row r="1241">
      <c r="A1241">
        <f>IF(OR(Wages!$B1244="",Wages!$E1244=""),"",Wages!$E1244)</f>
        <v/>
      </c>
      <c r="B1241">
        <f>IF($A1241="","",IF(Wages!$C1244="دستمزد گروهی",2,1))</f>
        <v/>
      </c>
      <c r="C1241">
        <f>IF($A1241="","",IF(ISNUMBER(Wages!$B1244),IF(AND(Wages!$B1244&gt;=10000101,Wages!$B1244&lt;=99991231),INT(Wages!$B1244/10000),""),IFERROR(VALUE(TRIM(LEFT(Wages!$B1244,FIND("/",Wages!$B1244)-1))),"")))</f>
        <v/>
      </c>
      <c r="D1241">
        <f>IF(OR($A1241="",$C1241=""),"",IF(ISNUMBER(Wages!$B1244),INT(MOD(Wages!$B1244,10000)/100),IFERROR(VALUE(TRIM(LEFT(MID(Wages!$B1244,FIND("/",Wages!$B1244)+1,20),FIND("/",MID(Wages!$B1244,FIND("/",Wages!$B1244)+1,20))-1))),"")))</f>
        <v/>
      </c>
      <c r="E1241">
        <f>IF(OR($A1241="",$C1241=""),"",IF(ISNUMBER(Wages!$B1244),MOD(Wages!$B1244,100),IFERROR(VALUE(TRIM(MID(MID(Wages!$B1244,FIND("/",Wages!$B1244)+1,20),FIND("/",MID(Wages!$B1244,FIND("/",Wages!$B1244)+1,20))+1,20))),"")))</f>
        <v/>
      </c>
      <c r="F1241">
        <f>IF($A1241="","",IF(OR($C1241="",$D1241="",$E1241="",$C1241&lt;1300,$C1241&gt;1500,$D1241&lt;1,$D1241&gt;12,$E1241&lt;1,$E1241&gt;31),"نامعتبر",RIGHT("0000"&amp;$C1241,4)&amp;"/"&amp;RIGHT("00"&amp;$D1241,2)&amp;"/"&amp;RIGHT("00"&amp;$E1241,2)))</f>
        <v/>
      </c>
      <c r="G1241">
        <f>IF(OR($A1241="",$F1241="",$F1241="نامعتبر"),"",LEFT($F1241,4)&amp;MID($F1241,6,2)&amp;RIGHT($F1241,2)&amp;"0000"&amp;"|"&amp;"1"&amp;RIGHT("00000"&amp;1236,5))</f>
        <v/>
      </c>
      <c r="H1241">
        <f>IF(OR($B1241&lt;&gt;1,$G1241=""),"",COUNTIFS(LdAParty,$A1241,LdAType,1,LdAKey,"&lt;"&amp;$G1241)+COUNTIFS(LdBMember,$A1241,LdBKey,"&lt;"&amp;$G1241)+COUNTIFS(LdCParty,$A1241,LdCKey,"&lt;"&amp;$G1241)+1)</f>
        <v/>
      </c>
      <c r="I1241">
        <f>IF($H1241="","",$A1241&amp;"|"&amp;RIGHT("000000"&amp;$H1241,6))</f>
        <v/>
      </c>
      <c r="J1241">
        <f>IF(OR($B1241&lt;&gt;2,$G1241=""),"",COUNTIFS(LdAParty,$A1241,LdAType,2,LdAKey,"&lt;"&amp;$G1241)+1)</f>
        <v/>
      </c>
      <c r="K1241">
        <f>IF($J1241="","",$A1241&amp;"|"&amp;RIGHT("000000"&amp;$J1241,6))</f>
        <v/>
      </c>
      <c r="L1241">
        <f>IF($A1241="","",IF(Wages!$G1244="",0,Wages!$G1244))</f>
        <v/>
      </c>
      <c r="M1241">
        <f>IF($A1241="","",Wages!$J1244)</f>
        <v/>
      </c>
      <c r="N1241">
        <f>IF($A1241="","",Wages!$D1244)</f>
        <v/>
      </c>
      <c r="P1241">
        <f>IF(OR(Shares!$B1244="",Shares!$C1244=""),"",Shares!$C1244)</f>
        <v/>
      </c>
      <c r="Q1241">
        <f>IF($P1241="","",Shares!$B1244)</f>
        <v/>
      </c>
      <c r="R1241">
        <f>IF($P1241="","",IFERROR(INDEX(WageParty,MATCH($Q1241,WageIds,0)),""))</f>
        <v/>
      </c>
      <c r="S1241">
        <f>IF($P1241="","",IFERROR(INDEX($F$6:$F$2005,MATCH($Q1241,WageIds,0)),""))</f>
        <v/>
      </c>
      <c r="T1241">
        <f>IF(OR($P1241="",$S1241="",$S1241="نامعتبر"),"",LEFT($S1241,4)&amp;MID($S1241,6,2)&amp;RIGHT($S1241,2)&amp;"0000"&amp;"|"&amp;"2"&amp;RIGHT("00000"&amp;1236,5))</f>
        <v/>
      </c>
      <c r="U1241">
        <f>IF($T1241="","",COUNTIFS(LdAParty,$P1241,LdAType,1,LdAKey,"&lt;"&amp;$T1241)+COUNTIFS(LdBMember,$P1241,LdBKey,"&lt;"&amp;$T1241)+COUNTIFS(LdCParty,$P1241,LdCKey,"&lt;"&amp;$T1241)+1)</f>
        <v/>
      </c>
      <c r="V1241">
        <f>IF($U1241="","",$P1241&amp;"|"&amp;RIGHT("000000"&amp;$U1241,6))</f>
        <v/>
      </c>
      <c r="W1241">
        <f>IF($T1241="","",COUNTIFS(LdBGroup,$R1241,LdBKey,"&lt;"&amp;$T1241)+1)</f>
        <v/>
      </c>
      <c r="X1241">
        <f>IF($W1241="","",$R1241&amp;"|"&amp;RIGHT("000000"&amp;$W1241,6))</f>
        <v/>
      </c>
      <c r="Y1241">
        <f>IF($P1241="","",IF(Shares!$E1244="",0,Shares!$E1244))</f>
        <v/>
      </c>
      <c r="Z1241">
        <f>IF($P1241="","",Shares!$H1244)</f>
        <v/>
      </c>
      <c r="AE1241">
        <f>IF(OR(Sync!$S1241="",Sync!$P1241=""),"",Sync!$S1241)</f>
        <v/>
      </c>
      <c r="AF1241">
        <f>IF($AE1241="","",IF(ISNUMBER(Sync!$P1241),IF(AND(Sync!$P1241&gt;=10000101,Sync!$P1241&lt;=99991231),INT(Sync!$P1241/10000),""),IFERROR(VALUE(TRIM(LEFT(Sync!$P1241,FIND("/",Sync!$P1241)-1))),"")))</f>
        <v/>
      </c>
      <c r="AG1241">
        <f>IF(OR($AE1241="",$AF1241=""),"",IF(ISNUMBER(Sync!$P1241),INT(MOD(Sync!$P1241,10000)/100),IFERROR(VALUE(TRIM(LEFT(MID(Sync!$P1241,FIND("/",Sync!$P1241)+1,20),FIND("/",MID(Sync!$P1241,FIND("/",Sync!$P1241)+1,20))-1))),"")))</f>
        <v/>
      </c>
      <c r="AH1241">
        <f>IF(OR($AE1241="",$AF1241=""),"",IF(ISNUMBER(Sync!$P1241),MOD(Sync!$P1241,100),IFERROR(VALUE(TRIM(MID(MID(Sync!$P1241,FIND("/",Sync!$P1241)+1,20),FIND("/",MID(Sync!$P1241,FIND("/",Sync!$P1241)+1,20))+1,20))),"")))</f>
        <v/>
      </c>
      <c r="AI1241">
        <f>IF($AE1241="","",IF(OR($AF1241="",$AG1241="",$AH1241="",$AF1241&lt;1300,$AF1241&gt;1500,$AG1241&lt;1,$AG1241&gt;12,$AH1241&lt;1,$AH1241&gt;31),"نامعتبر",RIGHT("0000"&amp;$AF1241,4)&amp;"/"&amp;RIGHT("00"&amp;$AG1241,2)&amp;"/"&amp;RIGHT("00"&amp;$AH1241,2)))</f>
        <v/>
      </c>
      <c r="AJ1241">
        <f>IF($AE1241="","",IF(Sync!$Q1241="","0000",IF(AND(ISNUMBER(Sync!$Q1241),Sync!$Q1241&gt;=0,Sync!$Q1241&lt;1),RIGHT("00"&amp;HOUR(Sync!$Q1241),2)&amp;RIGHT("00"&amp;MINUTE(Sync!$Q1241),2),IFERROR(RIGHT("00"&amp;VALUE(LEFT(Sync!$Q1241,FIND(":",Sync!$Q1241)-1)),2)&amp;RIGHT("00"&amp;VALUE(MID(Sync!$Q1241,FIND(":",Sync!$Q1241)+1,2)),2),"0000"))))</f>
        <v/>
      </c>
      <c r="AK1241">
        <f>IF(OR($AE1241="",$AI1241="",$AI1241="نامعتبر"),"",LEFT($AI1241,4)&amp;MID($AI1241,6,2)&amp;RIGHT($AI1241,2)&amp;$AJ1241&amp;"|"&amp;"3"&amp;RIGHT("00000"&amp;1236,5))</f>
        <v/>
      </c>
      <c r="AL1241">
        <f>IF($AK1241="","",COUNTIFS(LdAParty,$AE1241,LdAType,1,LdAKey,"&lt;"&amp;$AK1241)+COUNTIFS(LdBMember,$AE1241,LdBKey,"&lt;"&amp;$AK1241)+COUNTIFS(LdCParty,$AE1241,LdCKey,"&lt;"&amp;$AK1241)+1)</f>
        <v/>
      </c>
      <c r="AM1241">
        <f>IF($AL1241="","",$AE1241&amp;"|"&amp;RIGHT("000000"&amp;$AL1241,6))</f>
        <v/>
      </c>
      <c r="AN1241">
        <f>IF($AE1241="","",IF(Sync!$W1241="",0,Sync!$W1241))</f>
        <v/>
      </c>
      <c r="AO1241">
        <f>IF($AE1241="","",IF(Sync!$X1241="",0,Sync!$X1241))</f>
        <v/>
      </c>
      <c r="AP1241">
        <f>IF($AE1241="","",Sync!$R1241)</f>
        <v/>
      </c>
      <c r="AQ1241">
        <f>IF($AE1241="","",Sync!$Y1241)</f>
        <v/>
      </c>
    </row>
    <row r="1242">
      <c r="A1242">
        <f>IF(OR(Wages!$B1245="",Wages!$E1245=""),"",Wages!$E1245)</f>
        <v/>
      </c>
      <c r="B1242">
        <f>IF($A1242="","",IF(Wages!$C1245="دستمزد گروهی",2,1))</f>
        <v/>
      </c>
      <c r="C1242">
        <f>IF($A1242="","",IF(ISNUMBER(Wages!$B1245),IF(AND(Wages!$B1245&gt;=10000101,Wages!$B1245&lt;=99991231),INT(Wages!$B1245/10000),""),IFERROR(VALUE(TRIM(LEFT(Wages!$B1245,FIND("/",Wages!$B1245)-1))),"")))</f>
        <v/>
      </c>
      <c r="D1242">
        <f>IF(OR($A1242="",$C1242=""),"",IF(ISNUMBER(Wages!$B1245),INT(MOD(Wages!$B1245,10000)/100),IFERROR(VALUE(TRIM(LEFT(MID(Wages!$B1245,FIND("/",Wages!$B1245)+1,20),FIND("/",MID(Wages!$B1245,FIND("/",Wages!$B1245)+1,20))-1))),"")))</f>
        <v/>
      </c>
      <c r="E1242">
        <f>IF(OR($A1242="",$C1242=""),"",IF(ISNUMBER(Wages!$B1245),MOD(Wages!$B1245,100),IFERROR(VALUE(TRIM(MID(MID(Wages!$B1245,FIND("/",Wages!$B1245)+1,20),FIND("/",MID(Wages!$B1245,FIND("/",Wages!$B1245)+1,20))+1,20))),"")))</f>
        <v/>
      </c>
      <c r="F1242">
        <f>IF($A1242="","",IF(OR($C1242="",$D1242="",$E1242="",$C1242&lt;1300,$C1242&gt;1500,$D1242&lt;1,$D1242&gt;12,$E1242&lt;1,$E1242&gt;31),"نامعتبر",RIGHT("0000"&amp;$C1242,4)&amp;"/"&amp;RIGHT("00"&amp;$D1242,2)&amp;"/"&amp;RIGHT("00"&amp;$E1242,2)))</f>
        <v/>
      </c>
      <c r="G1242">
        <f>IF(OR($A1242="",$F1242="",$F1242="نامعتبر"),"",LEFT($F1242,4)&amp;MID($F1242,6,2)&amp;RIGHT($F1242,2)&amp;"0000"&amp;"|"&amp;"1"&amp;RIGHT("00000"&amp;1237,5))</f>
        <v/>
      </c>
      <c r="H1242">
        <f>IF(OR($B1242&lt;&gt;1,$G1242=""),"",COUNTIFS(LdAParty,$A1242,LdAType,1,LdAKey,"&lt;"&amp;$G1242)+COUNTIFS(LdBMember,$A1242,LdBKey,"&lt;"&amp;$G1242)+COUNTIFS(LdCParty,$A1242,LdCKey,"&lt;"&amp;$G1242)+1)</f>
        <v/>
      </c>
      <c r="I1242">
        <f>IF($H1242="","",$A1242&amp;"|"&amp;RIGHT("000000"&amp;$H1242,6))</f>
        <v/>
      </c>
      <c r="J1242">
        <f>IF(OR($B1242&lt;&gt;2,$G1242=""),"",COUNTIFS(LdAParty,$A1242,LdAType,2,LdAKey,"&lt;"&amp;$G1242)+1)</f>
        <v/>
      </c>
      <c r="K1242">
        <f>IF($J1242="","",$A1242&amp;"|"&amp;RIGHT("000000"&amp;$J1242,6))</f>
        <v/>
      </c>
      <c r="L1242">
        <f>IF($A1242="","",IF(Wages!$G1245="",0,Wages!$G1245))</f>
        <v/>
      </c>
      <c r="M1242">
        <f>IF($A1242="","",Wages!$J1245)</f>
        <v/>
      </c>
      <c r="N1242">
        <f>IF($A1242="","",Wages!$D1245)</f>
        <v/>
      </c>
      <c r="P1242">
        <f>IF(OR(Shares!$B1245="",Shares!$C1245=""),"",Shares!$C1245)</f>
        <v/>
      </c>
      <c r="Q1242">
        <f>IF($P1242="","",Shares!$B1245)</f>
        <v/>
      </c>
      <c r="R1242">
        <f>IF($P1242="","",IFERROR(INDEX(WageParty,MATCH($Q1242,WageIds,0)),""))</f>
        <v/>
      </c>
      <c r="S1242">
        <f>IF($P1242="","",IFERROR(INDEX($F$6:$F$2005,MATCH($Q1242,WageIds,0)),""))</f>
        <v/>
      </c>
      <c r="T1242">
        <f>IF(OR($P1242="",$S1242="",$S1242="نامعتبر"),"",LEFT($S1242,4)&amp;MID($S1242,6,2)&amp;RIGHT($S1242,2)&amp;"0000"&amp;"|"&amp;"2"&amp;RIGHT("00000"&amp;1237,5))</f>
        <v/>
      </c>
      <c r="U1242">
        <f>IF($T1242="","",COUNTIFS(LdAParty,$P1242,LdAType,1,LdAKey,"&lt;"&amp;$T1242)+COUNTIFS(LdBMember,$P1242,LdBKey,"&lt;"&amp;$T1242)+COUNTIFS(LdCParty,$P1242,LdCKey,"&lt;"&amp;$T1242)+1)</f>
        <v/>
      </c>
      <c r="V1242">
        <f>IF($U1242="","",$P1242&amp;"|"&amp;RIGHT("000000"&amp;$U1242,6))</f>
        <v/>
      </c>
      <c r="W1242">
        <f>IF($T1242="","",COUNTIFS(LdBGroup,$R1242,LdBKey,"&lt;"&amp;$T1242)+1)</f>
        <v/>
      </c>
      <c r="X1242">
        <f>IF($W1242="","",$R1242&amp;"|"&amp;RIGHT("000000"&amp;$W1242,6))</f>
        <v/>
      </c>
      <c r="Y1242">
        <f>IF($P1242="","",IF(Shares!$E1245="",0,Shares!$E1245))</f>
        <v/>
      </c>
      <c r="Z1242">
        <f>IF($P1242="","",Shares!$H1245)</f>
        <v/>
      </c>
      <c r="AE1242">
        <f>IF(OR(Sync!$S1242="",Sync!$P1242=""),"",Sync!$S1242)</f>
        <v/>
      </c>
      <c r="AF1242">
        <f>IF($AE1242="","",IF(ISNUMBER(Sync!$P1242),IF(AND(Sync!$P1242&gt;=10000101,Sync!$P1242&lt;=99991231),INT(Sync!$P1242/10000),""),IFERROR(VALUE(TRIM(LEFT(Sync!$P1242,FIND("/",Sync!$P1242)-1))),"")))</f>
        <v/>
      </c>
      <c r="AG1242">
        <f>IF(OR($AE1242="",$AF1242=""),"",IF(ISNUMBER(Sync!$P1242),INT(MOD(Sync!$P1242,10000)/100),IFERROR(VALUE(TRIM(LEFT(MID(Sync!$P1242,FIND("/",Sync!$P1242)+1,20),FIND("/",MID(Sync!$P1242,FIND("/",Sync!$P1242)+1,20))-1))),"")))</f>
        <v/>
      </c>
      <c r="AH1242">
        <f>IF(OR($AE1242="",$AF1242=""),"",IF(ISNUMBER(Sync!$P1242),MOD(Sync!$P1242,100),IFERROR(VALUE(TRIM(MID(MID(Sync!$P1242,FIND("/",Sync!$P1242)+1,20),FIND("/",MID(Sync!$P1242,FIND("/",Sync!$P1242)+1,20))+1,20))),"")))</f>
        <v/>
      </c>
      <c r="AI1242">
        <f>IF($AE1242="","",IF(OR($AF1242="",$AG1242="",$AH1242="",$AF1242&lt;1300,$AF1242&gt;1500,$AG1242&lt;1,$AG1242&gt;12,$AH1242&lt;1,$AH1242&gt;31),"نامعتبر",RIGHT("0000"&amp;$AF1242,4)&amp;"/"&amp;RIGHT("00"&amp;$AG1242,2)&amp;"/"&amp;RIGHT("00"&amp;$AH1242,2)))</f>
        <v/>
      </c>
      <c r="AJ1242">
        <f>IF($AE1242="","",IF(Sync!$Q1242="","0000",IF(AND(ISNUMBER(Sync!$Q1242),Sync!$Q1242&gt;=0,Sync!$Q1242&lt;1),RIGHT("00"&amp;HOUR(Sync!$Q1242),2)&amp;RIGHT("00"&amp;MINUTE(Sync!$Q1242),2),IFERROR(RIGHT("00"&amp;VALUE(LEFT(Sync!$Q1242,FIND(":",Sync!$Q1242)-1)),2)&amp;RIGHT("00"&amp;VALUE(MID(Sync!$Q1242,FIND(":",Sync!$Q1242)+1,2)),2),"0000"))))</f>
        <v/>
      </c>
      <c r="AK1242">
        <f>IF(OR($AE1242="",$AI1242="",$AI1242="نامعتبر"),"",LEFT($AI1242,4)&amp;MID($AI1242,6,2)&amp;RIGHT($AI1242,2)&amp;$AJ1242&amp;"|"&amp;"3"&amp;RIGHT("00000"&amp;1237,5))</f>
        <v/>
      </c>
      <c r="AL1242">
        <f>IF($AK1242="","",COUNTIFS(LdAParty,$AE1242,LdAType,1,LdAKey,"&lt;"&amp;$AK1242)+COUNTIFS(LdBMember,$AE1242,LdBKey,"&lt;"&amp;$AK1242)+COUNTIFS(LdCParty,$AE1242,LdCKey,"&lt;"&amp;$AK1242)+1)</f>
        <v/>
      </c>
      <c r="AM1242">
        <f>IF($AL1242="","",$AE1242&amp;"|"&amp;RIGHT("000000"&amp;$AL1242,6))</f>
        <v/>
      </c>
      <c r="AN1242">
        <f>IF($AE1242="","",IF(Sync!$W1242="",0,Sync!$W1242))</f>
        <v/>
      </c>
      <c r="AO1242">
        <f>IF($AE1242="","",IF(Sync!$X1242="",0,Sync!$X1242))</f>
        <v/>
      </c>
      <c r="AP1242">
        <f>IF($AE1242="","",Sync!$R1242)</f>
        <v/>
      </c>
      <c r="AQ1242">
        <f>IF($AE1242="","",Sync!$Y1242)</f>
        <v/>
      </c>
    </row>
    <row r="1243">
      <c r="A1243">
        <f>IF(OR(Wages!$B1246="",Wages!$E1246=""),"",Wages!$E1246)</f>
        <v/>
      </c>
      <c r="B1243">
        <f>IF($A1243="","",IF(Wages!$C1246="دستمزد گروهی",2,1))</f>
        <v/>
      </c>
      <c r="C1243">
        <f>IF($A1243="","",IF(ISNUMBER(Wages!$B1246),IF(AND(Wages!$B1246&gt;=10000101,Wages!$B1246&lt;=99991231),INT(Wages!$B1246/10000),""),IFERROR(VALUE(TRIM(LEFT(Wages!$B1246,FIND("/",Wages!$B1246)-1))),"")))</f>
        <v/>
      </c>
      <c r="D1243">
        <f>IF(OR($A1243="",$C1243=""),"",IF(ISNUMBER(Wages!$B1246),INT(MOD(Wages!$B1246,10000)/100),IFERROR(VALUE(TRIM(LEFT(MID(Wages!$B1246,FIND("/",Wages!$B1246)+1,20),FIND("/",MID(Wages!$B1246,FIND("/",Wages!$B1246)+1,20))-1))),"")))</f>
        <v/>
      </c>
      <c r="E1243">
        <f>IF(OR($A1243="",$C1243=""),"",IF(ISNUMBER(Wages!$B1246),MOD(Wages!$B1246,100),IFERROR(VALUE(TRIM(MID(MID(Wages!$B1246,FIND("/",Wages!$B1246)+1,20),FIND("/",MID(Wages!$B1246,FIND("/",Wages!$B1246)+1,20))+1,20))),"")))</f>
        <v/>
      </c>
      <c r="F1243">
        <f>IF($A1243="","",IF(OR($C1243="",$D1243="",$E1243="",$C1243&lt;1300,$C1243&gt;1500,$D1243&lt;1,$D1243&gt;12,$E1243&lt;1,$E1243&gt;31),"نامعتبر",RIGHT("0000"&amp;$C1243,4)&amp;"/"&amp;RIGHT("00"&amp;$D1243,2)&amp;"/"&amp;RIGHT("00"&amp;$E1243,2)))</f>
        <v/>
      </c>
      <c r="G1243">
        <f>IF(OR($A1243="",$F1243="",$F1243="نامعتبر"),"",LEFT($F1243,4)&amp;MID($F1243,6,2)&amp;RIGHT($F1243,2)&amp;"0000"&amp;"|"&amp;"1"&amp;RIGHT("00000"&amp;1238,5))</f>
        <v/>
      </c>
      <c r="H1243">
        <f>IF(OR($B1243&lt;&gt;1,$G1243=""),"",COUNTIFS(LdAParty,$A1243,LdAType,1,LdAKey,"&lt;"&amp;$G1243)+COUNTIFS(LdBMember,$A1243,LdBKey,"&lt;"&amp;$G1243)+COUNTIFS(LdCParty,$A1243,LdCKey,"&lt;"&amp;$G1243)+1)</f>
        <v/>
      </c>
      <c r="I1243">
        <f>IF($H1243="","",$A1243&amp;"|"&amp;RIGHT("000000"&amp;$H1243,6))</f>
        <v/>
      </c>
      <c r="J1243">
        <f>IF(OR($B1243&lt;&gt;2,$G1243=""),"",COUNTIFS(LdAParty,$A1243,LdAType,2,LdAKey,"&lt;"&amp;$G1243)+1)</f>
        <v/>
      </c>
      <c r="K1243">
        <f>IF($J1243="","",$A1243&amp;"|"&amp;RIGHT("000000"&amp;$J1243,6))</f>
        <v/>
      </c>
      <c r="L1243">
        <f>IF($A1243="","",IF(Wages!$G1246="",0,Wages!$G1246))</f>
        <v/>
      </c>
      <c r="M1243">
        <f>IF($A1243="","",Wages!$J1246)</f>
        <v/>
      </c>
      <c r="N1243">
        <f>IF($A1243="","",Wages!$D1246)</f>
        <v/>
      </c>
      <c r="P1243">
        <f>IF(OR(Shares!$B1246="",Shares!$C1246=""),"",Shares!$C1246)</f>
        <v/>
      </c>
      <c r="Q1243">
        <f>IF($P1243="","",Shares!$B1246)</f>
        <v/>
      </c>
      <c r="R1243">
        <f>IF($P1243="","",IFERROR(INDEX(WageParty,MATCH($Q1243,WageIds,0)),""))</f>
        <v/>
      </c>
      <c r="S1243">
        <f>IF($P1243="","",IFERROR(INDEX($F$6:$F$2005,MATCH($Q1243,WageIds,0)),""))</f>
        <v/>
      </c>
      <c r="T1243">
        <f>IF(OR($P1243="",$S1243="",$S1243="نامعتبر"),"",LEFT($S1243,4)&amp;MID($S1243,6,2)&amp;RIGHT($S1243,2)&amp;"0000"&amp;"|"&amp;"2"&amp;RIGHT("00000"&amp;1238,5))</f>
        <v/>
      </c>
      <c r="U1243">
        <f>IF($T1243="","",COUNTIFS(LdAParty,$P1243,LdAType,1,LdAKey,"&lt;"&amp;$T1243)+COUNTIFS(LdBMember,$P1243,LdBKey,"&lt;"&amp;$T1243)+COUNTIFS(LdCParty,$P1243,LdCKey,"&lt;"&amp;$T1243)+1)</f>
        <v/>
      </c>
      <c r="V1243">
        <f>IF($U1243="","",$P1243&amp;"|"&amp;RIGHT("000000"&amp;$U1243,6))</f>
        <v/>
      </c>
      <c r="W1243">
        <f>IF($T1243="","",COUNTIFS(LdBGroup,$R1243,LdBKey,"&lt;"&amp;$T1243)+1)</f>
        <v/>
      </c>
      <c r="X1243">
        <f>IF($W1243="","",$R1243&amp;"|"&amp;RIGHT("000000"&amp;$W1243,6))</f>
        <v/>
      </c>
      <c r="Y1243">
        <f>IF($P1243="","",IF(Shares!$E1246="",0,Shares!$E1246))</f>
        <v/>
      </c>
      <c r="Z1243">
        <f>IF($P1243="","",Shares!$H1246)</f>
        <v/>
      </c>
      <c r="AE1243">
        <f>IF(OR(Sync!$S1243="",Sync!$P1243=""),"",Sync!$S1243)</f>
        <v/>
      </c>
      <c r="AF1243">
        <f>IF($AE1243="","",IF(ISNUMBER(Sync!$P1243),IF(AND(Sync!$P1243&gt;=10000101,Sync!$P1243&lt;=99991231),INT(Sync!$P1243/10000),""),IFERROR(VALUE(TRIM(LEFT(Sync!$P1243,FIND("/",Sync!$P1243)-1))),"")))</f>
        <v/>
      </c>
      <c r="AG1243">
        <f>IF(OR($AE1243="",$AF1243=""),"",IF(ISNUMBER(Sync!$P1243),INT(MOD(Sync!$P1243,10000)/100),IFERROR(VALUE(TRIM(LEFT(MID(Sync!$P1243,FIND("/",Sync!$P1243)+1,20),FIND("/",MID(Sync!$P1243,FIND("/",Sync!$P1243)+1,20))-1))),"")))</f>
        <v/>
      </c>
      <c r="AH1243">
        <f>IF(OR($AE1243="",$AF1243=""),"",IF(ISNUMBER(Sync!$P1243),MOD(Sync!$P1243,100),IFERROR(VALUE(TRIM(MID(MID(Sync!$P1243,FIND("/",Sync!$P1243)+1,20),FIND("/",MID(Sync!$P1243,FIND("/",Sync!$P1243)+1,20))+1,20))),"")))</f>
        <v/>
      </c>
      <c r="AI1243">
        <f>IF($AE1243="","",IF(OR($AF1243="",$AG1243="",$AH1243="",$AF1243&lt;1300,$AF1243&gt;1500,$AG1243&lt;1,$AG1243&gt;12,$AH1243&lt;1,$AH1243&gt;31),"نامعتبر",RIGHT("0000"&amp;$AF1243,4)&amp;"/"&amp;RIGHT("00"&amp;$AG1243,2)&amp;"/"&amp;RIGHT("00"&amp;$AH1243,2)))</f>
        <v/>
      </c>
      <c r="AJ1243">
        <f>IF($AE1243="","",IF(Sync!$Q1243="","0000",IF(AND(ISNUMBER(Sync!$Q1243),Sync!$Q1243&gt;=0,Sync!$Q1243&lt;1),RIGHT("00"&amp;HOUR(Sync!$Q1243),2)&amp;RIGHT("00"&amp;MINUTE(Sync!$Q1243),2),IFERROR(RIGHT("00"&amp;VALUE(LEFT(Sync!$Q1243,FIND(":",Sync!$Q1243)-1)),2)&amp;RIGHT("00"&amp;VALUE(MID(Sync!$Q1243,FIND(":",Sync!$Q1243)+1,2)),2),"0000"))))</f>
        <v/>
      </c>
      <c r="AK1243">
        <f>IF(OR($AE1243="",$AI1243="",$AI1243="نامعتبر"),"",LEFT($AI1243,4)&amp;MID($AI1243,6,2)&amp;RIGHT($AI1243,2)&amp;$AJ1243&amp;"|"&amp;"3"&amp;RIGHT("00000"&amp;1238,5))</f>
        <v/>
      </c>
      <c r="AL1243">
        <f>IF($AK1243="","",COUNTIFS(LdAParty,$AE1243,LdAType,1,LdAKey,"&lt;"&amp;$AK1243)+COUNTIFS(LdBMember,$AE1243,LdBKey,"&lt;"&amp;$AK1243)+COUNTIFS(LdCParty,$AE1243,LdCKey,"&lt;"&amp;$AK1243)+1)</f>
        <v/>
      </c>
      <c r="AM1243">
        <f>IF($AL1243="","",$AE1243&amp;"|"&amp;RIGHT("000000"&amp;$AL1243,6))</f>
        <v/>
      </c>
      <c r="AN1243">
        <f>IF($AE1243="","",IF(Sync!$W1243="",0,Sync!$W1243))</f>
        <v/>
      </c>
      <c r="AO1243">
        <f>IF($AE1243="","",IF(Sync!$X1243="",0,Sync!$X1243))</f>
        <v/>
      </c>
      <c r="AP1243">
        <f>IF($AE1243="","",Sync!$R1243)</f>
        <v/>
      </c>
      <c r="AQ1243">
        <f>IF($AE1243="","",Sync!$Y1243)</f>
        <v/>
      </c>
    </row>
    <row r="1244">
      <c r="A1244">
        <f>IF(OR(Wages!$B1247="",Wages!$E1247=""),"",Wages!$E1247)</f>
        <v/>
      </c>
      <c r="B1244">
        <f>IF($A1244="","",IF(Wages!$C1247="دستمزد گروهی",2,1))</f>
        <v/>
      </c>
      <c r="C1244">
        <f>IF($A1244="","",IF(ISNUMBER(Wages!$B1247),IF(AND(Wages!$B1247&gt;=10000101,Wages!$B1247&lt;=99991231),INT(Wages!$B1247/10000),""),IFERROR(VALUE(TRIM(LEFT(Wages!$B1247,FIND("/",Wages!$B1247)-1))),"")))</f>
        <v/>
      </c>
      <c r="D1244">
        <f>IF(OR($A1244="",$C1244=""),"",IF(ISNUMBER(Wages!$B1247),INT(MOD(Wages!$B1247,10000)/100),IFERROR(VALUE(TRIM(LEFT(MID(Wages!$B1247,FIND("/",Wages!$B1247)+1,20),FIND("/",MID(Wages!$B1247,FIND("/",Wages!$B1247)+1,20))-1))),"")))</f>
        <v/>
      </c>
      <c r="E1244">
        <f>IF(OR($A1244="",$C1244=""),"",IF(ISNUMBER(Wages!$B1247),MOD(Wages!$B1247,100),IFERROR(VALUE(TRIM(MID(MID(Wages!$B1247,FIND("/",Wages!$B1247)+1,20),FIND("/",MID(Wages!$B1247,FIND("/",Wages!$B1247)+1,20))+1,20))),"")))</f>
        <v/>
      </c>
      <c r="F1244">
        <f>IF($A1244="","",IF(OR($C1244="",$D1244="",$E1244="",$C1244&lt;1300,$C1244&gt;1500,$D1244&lt;1,$D1244&gt;12,$E1244&lt;1,$E1244&gt;31),"نامعتبر",RIGHT("0000"&amp;$C1244,4)&amp;"/"&amp;RIGHT("00"&amp;$D1244,2)&amp;"/"&amp;RIGHT("00"&amp;$E1244,2)))</f>
        <v/>
      </c>
      <c r="G1244">
        <f>IF(OR($A1244="",$F1244="",$F1244="نامعتبر"),"",LEFT($F1244,4)&amp;MID($F1244,6,2)&amp;RIGHT($F1244,2)&amp;"0000"&amp;"|"&amp;"1"&amp;RIGHT("00000"&amp;1239,5))</f>
        <v/>
      </c>
      <c r="H1244">
        <f>IF(OR($B1244&lt;&gt;1,$G1244=""),"",COUNTIFS(LdAParty,$A1244,LdAType,1,LdAKey,"&lt;"&amp;$G1244)+COUNTIFS(LdBMember,$A1244,LdBKey,"&lt;"&amp;$G1244)+COUNTIFS(LdCParty,$A1244,LdCKey,"&lt;"&amp;$G1244)+1)</f>
        <v/>
      </c>
      <c r="I1244">
        <f>IF($H1244="","",$A1244&amp;"|"&amp;RIGHT("000000"&amp;$H1244,6))</f>
        <v/>
      </c>
      <c r="J1244">
        <f>IF(OR($B1244&lt;&gt;2,$G1244=""),"",COUNTIFS(LdAParty,$A1244,LdAType,2,LdAKey,"&lt;"&amp;$G1244)+1)</f>
        <v/>
      </c>
      <c r="K1244">
        <f>IF($J1244="","",$A1244&amp;"|"&amp;RIGHT("000000"&amp;$J1244,6))</f>
        <v/>
      </c>
      <c r="L1244">
        <f>IF($A1244="","",IF(Wages!$G1247="",0,Wages!$G1247))</f>
        <v/>
      </c>
      <c r="M1244">
        <f>IF($A1244="","",Wages!$J1247)</f>
        <v/>
      </c>
      <c r="N1244">
        <f>IF($A1244="","",Wages!$D1247)</f>
        <v/>
      </c>
      <c r="P1244">
        <f>IF(OR(Shares!$B1247="",Shares!$C1247=""),"",Shares!$C1247)</f>
        <v/>
      </c>
      <c r="Q1244">
        <f>IF($P1244="","",Shares!$B1247)</f>
        <v/>
      </c>
      <c r="R1244">
        <f>IF($P1244="","",IFERROR(INDEX(WageParty,MATCH($Q1244,WageIds,0)),""))</f>
        <v/>
      </c>
      <c r="S1244">
        <f>IF($P1244="","",IFERROR(INDEX($F$6:$F$2005,MATCH($Q1244,WageIds,0)),""))</f>
        <v/>
      </c>
      <c r="T1244">
        <f>IF(OR($P1244="",$S1244="",$S1244="نامعتبر"),"",LEFT($S1244,4)&amp;MID($S1244,6,2)&amp;RIGHT($S1244,2)&amp;"0000"&amp;"|"&amp;"2"&amp;RIGHT("00000"&amp;1239,5))</f>
        <v/>
      </c>
      <c r="U1244">
        <f>IF($T1244="","",COUNTIFS(LdAParty,$P1244,LdAType,1,LdAKey,"&lt;"&amp;$T1244)+COUNTIFS(LdBMember,$P1244,LdBKey,"&lt;"&amp;$T1244)+COUNTIFS(LdCParty,$P1244,LdCKey,"&lt;"&amp;$T1244)+1)</f>
        <v/>
      </c>
      <c r="V1244">
        <f>IF($U1244="","",$P1244&amp;"|"&amp;RIGHT("000000"&amp;$U1244,6))</f>
        <v/>
      </c>
      <c r="W1244">
        <f>IF($T1244="","",COUNTIFS(LdBGroup,$R1244,LdBKey,"&lt;"&amp;$T1244)+1)</f>
        <v/>
      </c>
      <c r="X1244">
        <f>IF($W1244="","",$R1244&amp;"|"&amp;RIGHT("000000"&amp;$W1244,6))</f>
        <v/>
      </c>
      <c r="Y1244">
        <f>IF($P1244="","",IF(Shares!$E1247="",0,Shares!$E1247))</f>
        <v/>
      </c>
      <c r="Z1244">
        <f>IF($P1244="","",Shares!$H1247)</f>
        <v/>
      </c>
      <c r="AE1244">
        <f>IF(OR(Sync!$S1244="",Sync!$P1244=""),"",Sync!$S1244)</f>
        <v/>
      </c>
      <c r="AF1244">
        <f>IF($AE1244="","",IF(ISNUMBER(Sync!$P1244),IF(AND(Sync!$P1244&gt;=10000101,Sync!$P1244&lt;=99991231),INT(Sync!$P1244/10000),""),IFERROR(VALUE(TRIM(LEFT(Sync!$P1244,FIND("/",Sync!$P1244)-1))),"")))</f>
        <v/>
      </c>
      <c r="AG1244">
        <f>IF(OR($AE1244="",$AF1244=""),"",IF(ISNUMBER(Sync!$P1244),INT(MOD(Sync!$P1244,10000)/100),IFERROR(VALUE(TRIM(LEFT(MID(Sync!$P1244,FIND("/",Sync!$P1244)+1,20),FIND("/",MID(Sync!$P1244,FIND("/",Sync!$P1244)+1,20))-1))),"")))</f>
        <v/>
      </c>
      <c r="AH1244">
        <f>IF(OR($AE1244="",$AF1244=""),"",IF(ISNUMBER(Sync!$P1244),MOD(Sync!$P1244,100),IFERROR(VALUE(TRIM(MID(MID(Sync!$P1244,FIND("/",Sync!$P1244)+1,20),FIND("/",MID(Sync!$P1244,FIND("/",Sync!$P1244)+1,20))+1,20))),"")))</f>
        <v/>
      </c>
      <c r="AI1244">
        <f>IF($AE1244="","",IF(OR($AF1244="",$AG1244="",$AH1244="",$AF1244&lt;1300,$AF1244&gt;1500,$AG1244&lt;1,$AG1244&gt;12,$AH1244&lt;1,$AH1244&gt;31),"نامعتبر",RIGHT("0000"&amp;$AF1244,4)&amp;"/"&amp;RIGHT("00"&amp;$AG1244,2)&amp;"/"&amp;RIGHT("00"&amp;$AH1244,2)))</f>
        <v/>
      </c>
      <c r="AJ1244">
        <f>IF($AE1244="","",IF(Sync!$Q1244="","0000",IF(AND(ISNUMBER(Sync!$Q1244),Sync!$Q1244&gt;=0,Sync!$Q1244&lt;1),RIGHT("00"&amp;HOUR(Sync!$Q1244),2)&amp;RIGHT("00"&amp;MINUTE(Sync!$Q1244),2),IFERROR(RIGHT("00"&amp;VALUE(LEFT(Sync!$Q1244,FIND(":",Sync!$Q1244)-1)),2)&amp;RIGHT("00"&amp;VALUE(MID(Sync!$Q1244,FIND(":",Sync!$Q1244)+1,2)),2),"0000"))))</f>
        <v/>
      </c>
      <c r="AK1244">
        <f>IF(OR($AE1244="",$AI1244="",$AI1244="نامعتبر"),"",LEFT($AI1244,4)&amp;MID($AI1244,6,2)&amp;RIGHT($AI1244,2)&amp;$AJ1244&amp;"|"&amp;"3"&amp;RIGHT("00000"&amp;1239,5))</f>
        <v/>
      </c>
      <c r="AL1244">
        <f>IF($AK1244="","",COUNTIFS(LdAParty,$AE1244,LdAType,1,LdAKey,"&lt;"&amp;$AK1244)+COUNTIFS(LdBMember,$AE1244,LdBKey,"&lt;"&amp;$AK1244)+COUNTIFS(LdCParty,$AE1244,LdCKey,"&lt;"&amp;$AK1244)+1)</f>
        <v/>
      </c>
      <c r="AM1244">
        <f>IF($AL1244="","",$AE1244&amp;"|"&amp;RIGHT("000000"&amp;$AL1244,6))</f>
        <v/>
      </c>
      <c r="AN1244">
        <f>IF($AE1244="","",IF(Sync!$W1244="",0,Sync!$W1244))</f>
        <v/>
      </c>
      <c r="AO1244">
        <f>IF($AE1244="","",IF(Sync!$X1244="",0,Sync!$X1244))</f>
        <v/>
      </c>
      <c r="AP1244">
        <f>IF($AE1244="","",Sync!$R1244)</f>
        <v/>
      </c>
      <c r="AQ1244">
        <f>IF($AE1244="","",Sync!$Y1244)</f>
        <v/>
      </c>
    </row>
    <row r="1245">
      <c r="A1245">
        <f>IF(OR(Wages!$B1248="",Wages!$E1248=""),"",Wages!$E1248)</f>
        <v/>
      </c>
      <c r="B1245">
        <f>IF($A1245="","",IF(Wages!$C1248="دستمزد گروهی",2,1))</f>
        <v/>
      </c>
      <c r="C1245">
        <f>IF($A1245="","",IF(ISNUMBER(Wages!$B1248),IF(AND(Wages!$B1248&gt;=10000101,Wages!$B1248&lt;=99991231),INT(Wages!$B1248/10000),""),IFERROR(VALUE(TRIM(LEFT(Wages!$B1248,FIND("/",Wages!$B1248)-1))),"")))</f>
        <v/>
      </c>
      <c r="D1245">
        <f>IF(OR($A1245="",$C1245=""),"",IF(ISNUMBER(Wages!$B1248),INT(MOD(Wages!$B1248,10000)/100),IFERROR(VALUE(TRIM(LEFT(MID(Wages!$B1248,FIND("/",Wages!$B1248)+1,20),FIND("/",MID(Wages!$B1248,FIND("/",Wages!$B1248)+1,20))-1))),"")))</f>
        <v/>
      </c>
      <c r="E1245">
        <f>IF(OR($A1245="",$C1245=""),"",IF(ISNUMBER(Wages!$B1248),MOD(Wages!$B1248,100),IFERROR(VALUE(TRIM(MID(MID(Wages!$B1248,FIND("/",Wages!$B1248)+1,20),FIND("/",MID(Wages!$B1248,FIND("/",Wages!$B1248)+1,20))+1,20))),"")))</f>
        <v/>
      </c>
      <c r="F1245">
        <f>IF($A1245="","",IF(OR($C1245="",$D1245="",$E1245="",$C1245&lt;1300,$C1245&gt;1500,$D1245&lt;1,$D1245&gt;12,$E1245&lt;1,$E1245&gt;31),"نامعتبر",RIGHT("0000"&amp;$C1245,4)&amp;"/"&amp;RIGHT("00"&amp;$D1245,2)&amp;"/"&amp;RIGHT("00"&amp;$E1245,2)))</f>
        <v/>
      </c>
      <c r="G1245">
        <f>IF(OR($A1245="",$F1245="",$F1245="نامعتبر"),"",LEFT($F1245,4)&amp;MID($F1245,6,2)&amp;RIGHT($F1245,2)&amp;"0000"&amp;"|"&amp;"1"&amp;RIGHT("00000"&amp;1240,5))</f>
        <v/>
      </c>
      <c r="H1245">
        <f>IF(OR($B1245&lt;&gt;1,$G1245=""),"",COUNTIFS(LdAParty,$A1245,LdAType,1,LdAKey,"&lt;"&amp;$G1245)+COUNTIFS(LdBMember,$A1245,LdBKey,"&lt;"&amp;$G1245)+COUNTIFS(LdCParty,$A1245,LdCKey,"&lt;"&amp;$G1245)+1)</f>
        <v/>
      </c>
      <c r="I1245">
        <f>IF($H1245="","",$A1245&amp;"|"&amp;RIGHT("000000"&amp;$H1245,6))</f>
        <v/>
      </c>
      <c r="J1245">
        <f>IF(OR($B1245&lt;&gt;2,$G1245=""),"",COUNTIFS(LdAParty,$A1245,LdAType,2,LdAKey,"&lt;"&amp;$G1245)+1)</f>
        <v/>
      </c>
      <c r="K1245">
        <f>IF($J1245="","",$A1245&amp;"|"&amp;RIGHT("000000"&amp;$J1245,6))</f>
        <v/>
      </c>
      <c r="L1245">
        <f>IF($A1245="","",IF(Wages!$G1248="",0,Wages!$G1248))</f>
        <v/>
      </c>
      <c r="M1245">
        <f>IF($A1245="","",Wages!$J1248)</f>
        <v/>
      </c>
      <c r="N1245">
        <f>IF($A1245="","",Wages!$D1248)</f>
        <v/>
      </c>
      <c r="P1245">
        <f>IF(OR(Shares!$B1248="",Shares!$C1248=""),"",Shares!$C1248)</f>
        <v/>
      </c>
      <c r="Q1245">
        <f>IF($P1245="","",Shares!$B1248)</f>
        <v/>
      </c>
      <c r="R1245">
        <f>IF($P1245="","",IFERROR(INDEX(WageParty,MATCH($Q1245,WageIds,0)),""))</f>
        <v/>
      </c>
      <c r="S1245">
        <f>IF($P1245="","",IFERROR(INDEX($F$6:$F$2005,MATCH($Q1245,WageIds,0)),""))</f>
        <v/>
      </c>
      <c r="T1245">
        <f>IF(OR($P1245="",$S1245="",$S1245="نامعتبر"),"",LEFT($S1245,4)&amp;MID($S1245,6,2)&amp;RIGHT($S1245,2)&amp;"0000"&amp;"|"&amp;"2"&amp;RIGHT("00000"&amp;1240,5))</f>
        <v/>
      </c>
      <c r="U1245">
        <f>IF($T1245="","",COUNTIFS(LdAParty,$P1245,LdAType,1,LdAKey,"&lt;"&amp;$T1245)+COUNTIFS(LdBMember,$P1245,LdBKey,"&lt;"&amp;$T1245)+COUNTIFS(LdCParty,$P1245,LdCKey,"&lt;"&amp;$T1245)+1)</f>
        <v/>
      </c>
      <c r="V1245">
        <f>IF($U1245="","",$P1245&amp;"|"&amp;RIGHT("000000"&amp;$U1245,6))</f>
        <v/>
      </c>
      <c r="W1245">
        <f>IF($T1245="","",COUNTIFS(LdBGroup,$R1245,LdBKey,"&lt;"&amp;$T1245)+1)</f>
        <v/>
      </c>
      <c r="X1245">
        <f>IF($W1245="","",$R1245&amp;"|"&amp;RIGHT("000000"&amp;$W1245,6))</f>
        <v/>
      </c>
      <c r="Y1245">
        <f>IF($P1245="","",IF(Shares!$E1248="",0,Shares!$E1248))</f>
        <v/>
      </c>
      <c r="Z1245">
        <f>IF($P1245="","",Shares!$H1248)</f>
        <v/>
      </c>
      <c r="AE1245">
        <f>IF(OR(Sync!$S1245="",Sync!$P1245=""),"",Sync!$S1245)</f>
        <v/>
      </c>
      <c r="AF1245">
        <f>IF($AE1245="","",IF(ISNUMBER(Sync!$P1245),IF(AND(Sync!$P1245&gt;=10000101,Sync!$P1245&lt;=99991231),INT(Sync!$P1245/10000),""),IFERROR(VALUE(TRIM(LEFT(Sync!$P1245,FIND("/",Sync!$P1245)-1))),"")))</f>
        <v/>
      </c>
      <c r="AG1245">
        <f>IF(OR($AE1245="",$AF1245=""),"",IF(ISNUMBER(Sync!$P1245),INT(MOD(Sync!$P1245,10000)/100),IFERROR(VALUE(TRIM(LEFT(MID(Sync!$P1245,FIND("/",Sync!$P1245)+1,20),FIND("/",MID(Sync!$P1245,FIND("/",Sync!$P1245)+1,20))-1))),"")))</f>
        <v/>
      </c>
      <c r="AH1245">
        <f>IF(OR($AE1245="",$AF1245=""),"",IF(ISNUMBER(Sync!$P1245),MOD(Sync!$P1245,100),IFERROR(VALUE(TRIM(MID(MID(Sync!$P1245,FIND("/",Sync!$P1245)+1,20),FIND("/",MID(Sync!$P1245,FIND("/",Sync!$P1245)+1,20))+1,20))),"")))</f>
        <v/>
      </c>
      <c r="AI1245">
        <f>IF($AE1245="","",IF(OR($AF1245="",$AG1245="",$AH1245="",$AF1245&lt;1300,$AF1245&gt;1500,$AG1245&lt;1,$AG1245&gt;12,$AH1245&lt;1,$AH1245&gt;31),"نامعتبر",RIGHT("0000"&amp;$AF1245,4)&amp;"/"&amp;RIGHT("00"&amp;$AG1245,2)&amp;"/"&amp;RIGHT("00"&amp;$AH1245,2)))</f>
        <v/>
      </c>
      <c r="AJ1245">
        <f>IF($AE1245="","",IF(Sync!$Q1245="","0000",IF(AND(ISNUMBER(Sync!$Q1245),Sync!$Q1245&gt;=0,Sync!$Q1245&lt;1),RIGHT("00"&amp;HOUR(Sync!$Q1245),2)&amp;RIGHT("00"&amp;MINUTE(Sync!$Q1245),2),IFERROR(RIGHT("00"&amp;VALUE(LEFT(Sync!$Q1245,FIND(":",Sync!$Q1245)-1)),2)&amp;RIGHT("00"&amp;VALUE(MID(Sync!$Q1245,FIND(":",Sync!$Q1245)+1,2)),2),"0000"))))</f>
        <v/>
      </c>
      <c r="AK1245">
        <f>IF(OR($AE1245="",$AI1245="",$AI1245="نامعتبر"),"",LEFT($AI1245,4)&amp;MID($AI1245,6,2)&amp;RIGHT($AI1245,2)&amp;$AJ1245&amp;"|"&amp;"3"&amp;RIGHT("00000"&amp;1240,5))</f>
        <v/>
      </c>
      <c r="AL1245">
        <f>IF($AK1245="","",COUNTIFS(LdAParty,$AE1245,LdAType,1,LdAKey,"&lt;"&amp;$AK1245)+COUNTIFS(LdBMember,$AE1245,LdBKey,"&lt;"&amp;$AK1245)+COUNTIFS(LdCParty,$AE1245,LdCKey,"&lt;"&amp;$AK1245)+1)</f>
        <v/>
      </c>
      <c r="AM1245">
        <f>IF($AL1245="","",$AE1245&amp;"|"&amp;RIGHT("000000"&amp;$AL1245,6))</f>
        <v/>
      </c>
      <c r="AN1245">
        <f>IF($AE1245="","",IF(Sync!$W1245="",0,Sync!$W1245))</f>
        <v/>
      </c>
      <c r="AO1245">
        <f>IF($AE1245="","",IF(Sync!$X1245="",0,Sync!$X1245))</f>
        <v/>
      </c>
      <c r="AP1245">
        <f>IF($AE1245="","",Sync!$R1245)</f>
        <v/>
      </c>
      <c r="AQ1245">
        <f>IF($AE1245="","",Sync!$Y1245)</f>
        <v/>
      </c>
    </row>
    <row r="1246">
      <c r="A1246">
        <f>IF(OR(Wages!$B1249="",Wages!$E1249=""),"",Wages!$E1249)</f>
        <v/>
      </c>
      <c r="B1246">
        <f>IF($A1246="","",IF(Wages!$C1249="دستمزد گروهی",2,1))</f>
        <v/>
      </c>
      <c r="C1246">
        <f>IF($A1246="","",IF(ISNUMBER(Wages!$B1249),IF(AND(Wages!$B1249&gt;=10000101,Wages!$B1249&lt;=99991231),INT(Wages!$B1249/10000),""),IFERROR(VALUE(TRIM(LEFT(Wages!$B1249,FIND("/",Wages!$B1249)-1))),"")))</f>
        <v/>
      </c>
      <c r="D1246">
        <f>IF(OR($A1246="",$C1246=""),"",IF(ISNUMBER(Wages!$B1249),INT(MOD(Wages!$B1249,10000)/100),IFERROR(VALUE(TRIM(LEFT(MID(Wages!$B1249,FIND("/",Wages!$B1249)+1,20),FIND("/",MID(Wages!$B1249,FIND("/",Wages!$B1249)+1,20))-1))),"")))</f>
        <v/>
      </c>
      <c r="E1246">
        <f>IF(OR($A1246="",$C1246=""),"",IF(ISNUMBER(Wages!$B1249),MOD(Wages!$B1249,100),IFERROR(VALUE(TRIM(MID(MID(Wages!$B1249,FIND("/",Wages!$B1249)+1,20),FIND("/",MID(Wages!$B1249,FIND("/",Wages!$B1249)+1,20))+1,20))),"")))</f>
        <v/>
      </c>
      <c r="F1246">
        <f>IF($A1246="","",IF(OR($C1246="",$D1246="",$E1246="",$C1246&lt;1300,$C1246&gt;1500,$D1246&lt;1,$D1246&gt;12,$E1246&lt;1,$E1246&gt;31),"نامعتبر",RIGHT("0000"&amp;$C1246,4)&amp;"/"&amp;RIGHT("00"&amp;$D1246,2)&amp;"/"&amp;RIGHT("00"&amp;$E1246,2)))</f>
        <v/>
      </c>
      <c r="G1246">
        <f>IF(OR($A1246="",$F1246="",$F1246="نامعتبر"),"",LEFT($F1246,4)&amp;MID($F1246,6,2)&amp;RIGHT($F1246,2)&amp;"0000"&amp;"|"&amp;"1"&amp;RIGHT("00000"&amp;1241,5))</f>
        <v/>
      </c>
      <c r="H1246">
        <f>IF(OR($B1246&lt;&gt;1,$G1246=""),"",COUNTIFS(LdAParty,$A1246,LdAType,1,LdAKey,"&lt;"&amp;$G1246)+COUNTIFS(LdBMember,$A1246,LdBKey,"&lt;"&amp;$G1246)+COUNTIFS(LdCParty,$A1246,LdCKey,"&lt;"&amp;$G1246)+1)</f>
        <v/>
      </c>
      <c r="I1246">
        <f>IF($H1246="","",$A1246&amp;"|"&amp;RIGHT("000000"&amp;$H1246,6))</f>
        <v/>
      </c>
      <c r="J1246">
        <f>IF(OR($B1246&lt;&gt;2,$G1246=""),"",COUNTIFS(LdAParty,$A1246,LdAType,2,LdAKey,"&lt;"&amp;$G1246)+1)</f>
        <v/>
      </c>
      <c r="K1246">
        <f>IF($J1246="","",$A1246&amp;"|"&amp;RIGHT("000000"&amp;$J1246,6))</f>
        <v/>
      </c>
      <c r="L1246">
        <f>IF($A1246="","",IF(Wages!$G1249="",0,Wages!$G1249))</f>
        <v/>
      </c>
      <c r="M1246">
        <f>IF($A1246="","",Wages!$J1249)</f>
        <v/>
      </c>
      <c r="N1246">
        <f>IF($A1246="","",Wages!$D1249)</f>
        <v/>
      </c>
      <c r="P1246">
        <f>IF(OR(Shares!$B1249="",Shares!$C1249=""),"",Shares!$C1249)</f>
        <v/>
      </c>
      <c r="Q1246">
        <f>IF($P1246="","",Shares!$B1249)</f>
        <v/>
      </c>
      <c r="R1246">
        <f>IF($P1246="","",IFERROR(INDEX(WageParty,MATCH($Q1246,WageIds,0)),""))</f>
        <v/>
      </c>
      <c r="S1246">
        <f>IF($P1246="","",IFERROR(INDEX($F$6:$F$2005,MATCH($Q1246,WageIds,0)),""))</f>
        <v/>
      </c>
      <c r="T1246">
        <f>IF(OR($P1246="",$S1246="",$S1246="نامعتبر"),"",LEFT($S1246,4)&amp;MID($S1246,6,2)&amp;RIGHT($S1246,2)&amp;"0000"&amp;"|"&amp;"2"&amp;RIGHT("00000"&amp;1241,5))</f>
        <v/>
      </c>
      <c r="U1246">
        <f>IF($T1246="","",COUNTIFS(LdAParty,$P1246,LdAType,1,LdAKey,"&lt;"&amp;$T1246)+COUNTIFS(LdBMember,$P1246,LdBKey,"&lt;"&amp;$T1246)+COUNTIFS(LdCParty,$P1246,LdCKey,"&lt;"&amp;$T1246)+1)</f>
        <v/>
      </c>
      <c r="V1246">
        <f>IF($U1246="","",$P1246&amp;"|"&amp;RIGHT("000000"&amp;$U1246,6))</f>
        <v/>
      </c>
      <c r="W1246">
        <f>IF($T1246="","",COUNTIFS(LdBGroup,$R1246,LdBKey,"&lt;"&amp;$T1246)+1)</f>
        <v/>
      </c>
      <c r="X1246">
        <f>IF($W1246="","",$R1246&amp;"|"&amp;RIGHT("000000"&amp;$W1246,6))</f>
        <v/>
      </c>
      <c r="Y1246">
        <f>IF($P1246="","",IF(Shares!$E1249="",0,Shares!$E1249))</f>
        <v/>
      </c>
      <c r="Z1246">
        <f>IF($P1246="","",Shares!$H1249)</f>
        <v/>
      </c>
      <c r="AE1246">
        <f>IF(OR(Sync!$S1246="",Sync!$P1246=""),"",Sync!$S1246)</f>
        <v/>
      </c>
      <c r="AF1246">
        <f>IF($AE1246="","",IF(ISNUMBER(Sync!$P1246),IF(AND(Sync!$P1246&gt;=10000101,Sync!$P1246&lt;=99991231),INT(Sync!$P1246/10000),""),IFERROR(VALUE(TRIM(LEFT(Sync!$P1246,FIND("/",Sync!$P1246)-1))),"")))</f>
        <v/>
      </c>
      <c r="AG1246">
        <f>IF(OR($AE1246="",$AF1246=""),"",IF(ISNUMBER(Sync!$P1246),INT(MOD(Sync!$P1246,10000)/100),IFERROR(VALUE(TRIM(LEFT(MID(Sync!$P1246,FIND("/",Sync!$P1246)+1,20),FIND("/",MID(Sync!$P1246,FIND("/",Sync!$P1246)+1,20))-1))),"")))</f>
        <v/>
      </c>
      <c r="AH1246">
        <f>IF(OR($AE1246="",$AF1246=""),"",IF(ISNUMBER(Sync!$P1246),MOD(Sync!$P1246,100),IFERROR(VALUE(TRIM(MID(MID(Sync!$P1246,FIND("/",Sync!$P1246)+1,20),FIND("/",MID(Sync!$P1246,FIND("/",Sync!$P1246)+1,20))+1,20))),"")))</f>
        <v/>
      </c>
      <c r="AI1246">
        <f>IF($AE1246="","",IF(OR($AF1246="",$AG1246="",$AH1246="",$AF1246&lt;1300,$AF1246&gt;1500,$AG1246&lt;1,$AG1246&gt;12,$AH1246&lt;1,$AH1246&gt;31),"نامعتبر",RIGHT("0000"&amp;$AF1246,4)&amp;"/"&amp;RIGHT("00"&amp;$AG1246,2)&amp;"/"&amp;RIGHT("00"&amp;$AH1246,2)))</f>
        <v/>
      </c>
      <c r="AJ1246">
        <f>IF($AE1246="","",IF(Sync!$Q1246="","0000",IF(AND(ISNUMBER(Sync!$Q1246),Sync!$Q1246&gt;=0,Sync!$Q1246&lt;1),RIGHT("00"&amp;HOUR(Sync!$Q1246),2)&amp;RIGHT("00"&amp;MINUTE(Sync!$Q1246),2),IFERROR(RIGHT("00"&amp;VALUE(LEFT(Sync!$Q1246,FIND(":",Sync!$Q1246)-1)),2)&amp;RIGHT("00"&amp;VALUE(MID(Sync!$Q1246,FIND(":",Sync!$Q1246)+1,2)),2),"0000"))))</f>
        <v/>
      </c>
      <c r="AK1246">
        <f>IF(OR($AE1246="",$AI1246="",$AI1246="نامعتبر"),"",LEFT($AI1246,4)&amp;MID($AI1246,6,2)&amp;RIGHT($AI1246,2)&amp;$AJ1246&amp;"|"&amp;"3"&amp;RIGHT("00000"&amp;1241,5))</f>
        <v/>
      </c>
      <c r="AL1246">
        <f>IF($AK1246="","",COUNTIFS(LdAParty,$AE1246,LdAType,1,LdAKey,"&lt;"&amp;$AK1246)+COUNTIFS(LdBMember,$AE1246,LdBKey,"&lt;"&amp;$AK1246)+COUNTIFS(LdCParty,$AE1246,LdCKey,"&lt;"&amp;$AK1246)+1)</f>
        <v/>
      </c>
      <c r="AM1246">
        <f>IF($AL1246="","",$AE1246&amp;"|"&amp;RIGHT("000000"&amp;$AL1246,6))</f>
        <v/>
      </c>
      <c r="AN1246">
        <f>IF($AE1246="","",IF(Sync!$W1246="",0,Sync!$W1246))</f>
        <v/>
      </c>
      <c r="AO1246">
        <f>IF($AE1246="","",IF(Sync!$X1246="",0,Sync!$X1246))</f>
        <v/>
      </c>
      <c r="AP1246">
        <f>IF($AE1246="","",Sync!$R1246)</f>
        <v/>
      </c>
      <c r="AQ1246">
        <f>IF($AE1246="","",Sync!$Y1246)</f>
        <v/>
      </c>
    </row>
    <row r="1247">
      <c r="A1247">
        <f>IF(OR(Wages!$B1250="",Wages!$E1250=""),"",Wages!$E1250)</f>
        <v/>
      </c>
      <c r="B1247">
        <f>IF($A1247="","",IF(Wages!$C1250="دستمزد گروهی",2,1))</f>
        <v/>
      </c>
      <c r="C1247">
        <f>IF($A1247="","",IF(ISNUMBER(Wages!$B1250),IF(AND(Wages!$B1250&gt;=10000101,Wages!$B1250&lt;=99991231),INT(Wages!$B1250/10000),""),IFERROR(VALUE(TRIM(LEFT(Wages!$B1250,FIND("/",Wages!$B1250)-1))),"")))</f>
        <v/>
      </c>
      <c r="D1247">
        <f>IF(OR($A1247="",$C1247=""),"",IF(ISNUMBER(Wages!$B1250),INT(MOD(Wages!$B1250,10000)/100),IFERROR(VALUE(TRIM(LEFT(MID(Wages!$B1250,FIND("/",Wages!$B1250)+1,20),FIND("/",MID(Wages!$B1250,FIND("/",Wages!$B1250)+1,20))-1))),"")))</f>
        <v/>
      </c>
      <c r="E1247">
        <f>IF(OR($A1247="",$C1247=""),"",IF(ISNUMBER(Wages!$B1250),MOD(Wages!$B1250,100),IFERROR(VALUE(TRIM(MID(MID(Wages!$B1250,FIND("/",Wages!$B1250)+1,20),FIND("/",MID(Wages!$B1250,FIND("/",Wages!$B1250)+1,20))+1,20))),"")))</f>
        <v/>
      </c>
      <c r="F1247">
        <f>IF($A1247="","",IF(OR($C1247="",$D1247="",$E1247="",$C1247&lt;1300,$C1247&gt;1500,$D1247&lt;1,$D1247&gt;12,$E1247&lt;1,$E1247&gt;31),"نامعتبر",RIGHT("0000"&amp;$C1247,4)&amp;"/"&amp;RIGHT("00"&amp;$D1247,2)&amp;"/"&amp;RIGHT("00"&amp;$E1247,2)))</f>
        <v/>
      </c>
      <c r="G1247">
        <f>IF(OR($A1247="",$F1247="",$F1247="نامعتبر"),"",LEFT($F1247,4)&amp;MID($F1247,6,2)&amp;RIGHT($F1247,2)&amp;"0000"&amp;"|"&amp;"1"&amp;RIGHT("00000"&amp;1242,5))</f>
        <v/>
      </c>
      <c r="H1247">
        <f>IF(OR($B1247&lt;&gt;1,$G1247=""),"",COUNTIFS(LdAParty,$A1247,LdAType,1,LdAKey,"&lt;"&amp;$G1247)+COUNTIFS(LdBMember,$A1247,LdBKey,"&lt;"&amp;$G1247)+COUNTIFS(LdCParty,$A1247,LdCKey,"&lt;"&amp;$G1247)+1)</f>
        <v/>
      </c>
      <c r="I1247">
        <f>IF($H1247="","",$A1247&amp;"|"&amp;RIGHT("000000"&amp;$H1247,6))</f>
        <v/>
      </c>
      <c r="J1247">
        <f>IF(OR($B1247&lt;&gt;2,$G1247=""),"",COUNTIFS(LdAParty,$A1247,LdAType,2,LdAKey,"&lt;"&amp;$G1247)+1)</f>
        <v/>
      </c>
      <c r="K1247">
        <f>IF($J1247="","",$A1247&amp;"|"&amp;RIGHT("000000"&amp;$J1247,6))</f>
        <v/>
      </c>
      <c r="L1247">
        <f>IF($A1247="","",IF(Wages!$G1250="",0,Wages!$G1250))</f>
        <v/>
      </c>
      <c r="M1247">
        <f>IF($A1247="","",Wages!$J1250)</f>
        <v/>
      </c>
      <c r="N1247">
        <f>IF($A1247="","",Wages!$D1250)</f>
        <v/>
      </c>
      <c r="P1247">
        <f>IF(OR(Shares!$B1250="",Shares!$C1250=""),"",Shares!$C1250)</f>
        <v/>
      </c>
      <c r="Q1247">
        <f>IF($P1247="","",Shares!$B1250)</f>
        <v/>
      </c>
      <c r="R1247">
        <f>IF($P1247="","",IFERROR(INDEX(WageParty,MATCH($Q1247,WageIds,0)),""))</f>
        <v/>
      </c>
      <c r="S1247">
        <f>IF($P1247="","",IFERROR(INDEX($F$6:$F$2005,MATCH($Q1247,WageIds,0)),""))</f>
        <v/>
      </c>
      <c r="T1247">
        <f>IF(OR($P1247="",$S1247="",$S1247="نامعتبر"),"",LEFT($S1247,4)&amp;MID($S1247,6,2)&amp;RIGHT($S1247,2)&amp;"0000"&amp;"|"&amp;"2"&amp;RIGHT("00000"&amp;1242,5))</f>
        <v/>
      </c>
      <c r="U1247">
        <f>IF($T1247="","",COUNTIFS(LdAParty,$P1247,LdAType,1,LdAKey,"&lt;"&amp;$T1247)+COUNTIFS(LdBMember,$P1247,LdBKey,"&lt;"&amp;$T1247)+COUNTIFS(LdCParty,$P1247,LdCKey,"&lt;"&amp;$T1247)+1)</f>
        <v/>
      </c>
      <c r="V1247">
        <f>IF($U1247="","",$P1247&amp;"|"&amp;RIGHT("000000"&amp;$U1247,6))</f>
        <v/>
      </c>
      <c r="W1247">
        <f>IF($T1247="","",COUNTIFS(LdBGroup,$R1247,LdBKey,"&lt;"&amp;$T1247)+1)</f>
        <v/>
      </c>
      <c r="X1247">
        <f>IF($W1247="","",$R1247&amp;"|"&amp;RIGHT("000000"&amp;$W1247,6))</f>
        <v/>
      </c>
      <c r="Y1247">
        <f>IF($P1247="","",IF(Shares!$E1250="",0,Shares!$E1250))</f>
        <v/>
      </c>
      <c r="Z1247">
        <f>IF($P1247="","",Shares!$H1250)</f>
        <v/>
      </c>
      <c r="AE1247">
        <f>IF(OR(Sync!$S1247="",Sync!$P1247=""),"",Sync!$S1247)</f>
        <v/>
      </c>
      <c r="AF1247">
        <f>IF($AE1247="","",IF(ISNUMBER(Sync!$P1247),IF(AND(Sync!$P1247&gt;=10000101,Sync!$P1247&lt;=99991231),INT(Sync!$P1247/10000),""),IFERROR(VALUE(TRIM(LEFT(Sync!$P1247,FIND("/",Sync!$P1247)-1))),"")))</f>
        <v/>
      </c>
      <c r="AG1247">
        <f>IF(OR($AE1247="",$AF1247=""),"",IF(ISNUMBER(Sync!$P1247),INT(MOD(Sync!$P1247,10000)/100),IFERROR(VALUE(TRIM(LEFT(MID(Sync!$P1247,FIND("/",Sync!$P1247)+1,20),FIND("/",MID(Sync!$P1247,FIND("/",Sync!$P1247)+1,20))-1))),"")))</f>
        <v/>
      </c>
      <c r="AH1247">
        <f>IF(OR($AE1247="",$AF1247=""),"",IF(ISNUMBER(Sync!$P1247),MOD(Sync!$P1247,100),IFERROR(VALUE(TRIM(MID(MID(Sync!$P1247,FIND("/",Sync!$P1247)+1,20),FIND("/",MID(Sync!$P1247,FIND("/",Sync!$P1247)+1,20))+1,20))),"")))</f>
        <v/>
      </c>
      <c r="AI1247">
        <f>IF($AE1247="","",IF(OR($AF1247="",$AG1247="",$AH1247="",$AF1247&lt;1300,$AF1247&gt;1500,$AG1247&lt;1,$AG1247&gt;12,$AH1247&lt;1,$AH1247&gt;31),"نامعتبر",RIGHT("0000"&amp;$AF1247,4)&amp;"/"&amp;RIGHT("00"&amp;$AG1247,2)&amp;"/"&amp;RIGHT("00"&amp;$AH1247,2)))</f>
        <v/>
      </c>
      <c r="AJ1247">
        <f>IF($AE1247="","",IF(Sync!$Q1247="","0000",IF(AND(ISNUMBER(Sync!$Q1247),Sync!$Q1247&gt;=0,Sync!$Q1247&lt;1),RIGHT("00"&amp;HOUR(Sync!$Q1247),2)&amp;RIGHT("00"&amp;MINUTE(Sync!$Q1247),2),IFERROR(RIGHT("00"&amp;VALUE(LEFT(Sync!$Q1247,FIND(":",Sync!$Q1247)-1)),2)&amp;RIGHT("00"&amp;VALUE(MID(Sync!$Q1247,FIND(":",Sync!$Q1247)+1,2)),2),"0000"))))</f>
        <v/>
      </c>
      <c r="AK1247">
        <f>IF(OR($AE1247="",$AI1247="",$AI1247="نامعتبر"),"",LEFT($AI1247,4)&amp;MID($AI1247,6,2)&amp;RIGHT($AI1247,2)&amp;$AJ1247&amp;"|"&amp;"3"&amp;RIGHT("00000"&amp;1242,5))</f>
        <v/>
      </c>
      <c r="AL1247">
        <f>IF($AK1247="","",COUNTIFS(LdAParty,$AE1247,LdAType,1,LdAKey,"&lt;"&amp;$AK1247)+COUNTIFS(LdBMember,$AE1247,LdBKey,"&lt;"&amp;$AK1247)+COUNTIFS(LdCParty,$AE1247,LdCKey,"&lt;"&amp;$AK1247)+1)</f>
        <v/>
      </c>
      <c r="AM1247">
        <f>IF($AL1247="","",$AE1247&amp;"|"&amp;RIGHT("000000"&amp;$AL1247,6))</f>
        <v/>
      </c>
      <c r="AN1247">
        <f>IF($AE1247="","",IF(Sync!$W1247="",0,Sync!$W1247))</f>
        <v/>
      </c>
      <c r="AO1247">
        <f>IF($AE1247="","",IF(Sync!$X1247="",0,Sync!$X1247))</f>
        <v/>
      </c>
      <c r="AP1247">
        <f>IF($AE1247="","",Sync!$R1247)</f>
        <v/>
      </c>
      <c r="AQ1247">
        <f>IF($AE1247="","",Sync!$Y1247)</f>
        <v/>
      </c>
    </row>
    <row r="1248">
      <c r="A1248">
        <f>IF(OR(Wages!$B1251="",Wages!$E1251=""),"",Wages!$E1251)</f>
        <v/>
      </c>
      <c r="B1248">
        <f>IF($A1248="","",IF(Wages!$C1251="دستمزد گروهی",2,1))</f>
        <v/>
      </c>
      <c r="C1248">
        <f>IF($A1248="","",IF(ISNUMBER(Wages!$B1251),IF(AND(Wages!$B1251&gt;=10000101,Wages!$B1251&lt;=99991231),INT(Wages!$B1251/10000),""),IFERROR(VALUE(TRIM(LEFT(Wages!$B1251,FIND("/",Wages!$B1251)-1))),"")))</f>
        <v/>
      </c>
      <c r="D1248">
        <f>IF(OR($A1248="",$C1248=""),"",IF(ISNUMBER(Wages!$B1251),INT(MOD(Wages!$B1251,10000)/100),IFERROR(VALUE(TRIM(LEFT(MID(Wages!$B1251,FIND("/",Wages!$B1251)+1,20),FIND("/",MID(Wages!$B1251,FIND("/",Wages!$B1251)+1,20))-1))),"")))</f>
        <v/>
      </c>
      <c r="E1248">
        <f>IF(OR($A1248="",$C1248=""),"",IF(ISNUMBER(Wages!$B1251),MOD(Wages!$B1251,100),IFERROR(VALUE(TRIM(MID(MID(Wages!$B1251,FIND("/",Wages!$B1251)+1,20),FIND("/",MID(Wages!$B1251,FIND("/",Wages!$B1251)+1,20))+1,20))),"")))</f>
        <v/>
      </c>
      <c r="F1248">
        <f>IF($A1248="","",IF(OR($C1248="",$D1248="",$E1248="",$C1248&lt;1300,$C1248&gt;1500,$D1248&lt;1,$D1248&gt;12,$E1248&lt;1,$E1248&gt;31),"نامعتبر",RIGHT("0000"&amp;$C1248,4)&amp;"/"&amp;RIGHT("00"&amp;$D1248,2)&amp;"/"&amp;RIGHT("00"&amp;$E1248,2)))</f>
        <v/>
      </c>
      <c r="G1248">
        <f>IF(OR($A1248="",$F1248="",$F1248="نامعتبر"),"",LEFT($F1248,4)&amp;MID($F1248,6,2)&amp;RIGHT($F1248,2)&amp;"0000"&amp;"|"&amp;"1"&amp;RIGHT("00000"&amp;1243,5))</f>
        <v/>
      </c>
      <c r="H1248">
        <f>IF(OR($B1248&lt;&gt;1,$G1248=""),"",COUNTIFS(LdAParty,$A1248,LdAType,1,LdAKey,"&lt;"&amp;$G1248)+COUNTIFS(LdBMember,$A1248,LdBKey,"&lt;"&amp;$G1248)+COUNTIFS(LdCParty,$A1248,LdCKey,"&lt;"&amp;$G1248)+1)</f>
        <v/>
      </c>
      <c r="I1248">
        <f>IF($H1248="","",$A1248&amp;"|"&amp;RIGHT("000000"&amp;$H1248,6))</f>
        <v/>
      </c>
      <c r="J1248">
        <f>IF(OR($B1248&lt;&gt;2,$G1248=""),"",COUNTIFS(LdAParty,$A1248,LdAType,2,LdAKey,"&lt;"&amp;$G1248)+1)</f>
        <v/>
      </c>
      <c r="K1248">
        <f>IF($J1248="","",$A1248&amp;"|"&amp;RIGHT("000000"&amp;$J1248,6))</f>
        <v/>
      </c>
      <c r="L1248">
        <f>IF($A1248="","",IF(Wages!$G1251="",0,Wages!$G1251))</f>
        <v/>
      </c>
      <c r="M1248">
        <f>IF($A1248="","",Wages!$J1251)</f>
        <v/>
      </c>
      <c r="N1248">
        <f>IF($A1248="","",Wages!$D1251)</f>
        <v/>
      </c>
      <c r="P1248">
        <f>IF(OR(Shares!$B1251="",Shares!$C1251=""),"",Shares!$C1251)</f>
        <v/>
      </c>
      <c r="Q1248">
        <f>IF($P1248="","",Shares!$B1251)</f>
        <v/>
      </c>
      <c r="R1248">
        <f>IF($P1248="","",IFERROR(INDEX(WageParty,MATCH($Q1248,WageIds,0)),""))</f>
        <v/>
      </c>
      <c r="S1248">
        <f>IF($P1248="","",IFERROR(INDEX($F$6:$F$2005,MATCH($Q1248,WageIds,0)),""))</f>
        <v/>
      </c>
      <c r="T1248">
        <f>IF(OR($P1248="",$S1248="",$S1248="نامعتبر"),"",LEFT($S1248,4)&amp;MID($S1248,6,2)&amp;RIGHT($S1248,2)&amp;"0000"&amp;"|"&amp;"2"&amp;RIGHT("00000"&amp;1243,5))</f>
        <v/>
      </c>
      <c r="U1248">
        <f>IF($T1248="","",COUNTIFS(LdAParty,$P1248,LdAType,1,LdAKey,"&lt;"&amp;$T1248)+COUNTIFS(LdBMember,$P1248,LdBKey,"&lt;"&amp;$T1248)+COUNTIFS(LdCParty,$P1248,LdCKey,"&lt;"&amp;$T1248)+1)</f>
        <v/>
      </c>
      <c r="V1248">
        <f>IF($U1248="","",$P1248&amp;"|"&amp;RIGHT("000000"&amp;$U1248,6))</f>
        <v/>
      </c>
      <c r="W1248">
        <f>IF($T1248="","",COUNTIFS(LdBGroup,$R1248,LdBKey,"&lt;"&amp;$T1248)+1)</f>
        <v/>
      </c>
      <c r="X1248">
        <f>IF($W1248="","",$R1248&amp;"|"&amp;RIGHT("000000"&amp;$W1248,6))</f>
        <v/>
      </c>
      <c r="Y1248">
        <f>IF($P1248="","",IF(Shares!$E1251="",0,Shares!$E1251))</f>
        <v/>
      </c>
      <c r="Z1248">
        <f>IF($P1248="","",Shares!$H1251)</f>
        <v/>
      </c>
      <c r="AE1248">
        <f>IF(OR(Sync!$S1248="",Sync!$P1248=""),"",Sync!$S1248)</f>
        <v/>
      </c>
      <c r="AF1248">
        <f>IF($AE1248="","",IF(ISNUMBER(Sync!$P1248),IF(AND(Sync!$P1248&gt;=10000101,Sync!$P1248&lt;=99991231),INT(Sync!$P1248/10000),""),IFERROR(VALUE(TRIM(LEFT(Sync!$P1248,FIND("/",Sync!$P1248)-1))),"")))</f>
        <v/>
      </c>
      <c r="AG1248">
        <f>IF(OR($AE1248="",$AF1248=""),"",IF(ISNUMBER(Sync!$P1248),INT(MOD(Sync!$P1248,10000)/100),IFERROR(VALUE(TRIM(LEFT(MID(Sync!$P1248,FIND("/",Sync!$P1248)+1,20),FIND("/",MID(Sync!$P1248,FIND("/",Sync!$P1248)+1,20))-1))),"")))</f>
        <v/>
      </c>
      <c r="AH1248">
        <f>IF(OR($AE1248="",$AF1248=""),"",IF(ISNUMBER(Sync!$P1248),MOD(Sync!$P1248,100),IFERROR(VALUE(TRIM(MID(MID(Sync!$P1248,FIND("/",Sync!$P1248)+1,20),FIND("/",MID(Sync!$P1248,FIND("/",Sync!$P1248)+1,20))+1,20))),"")))</f>
        <v/>
      </c>
      <c r="AI1248">
        <f>IF($AE1248="","",IF(OR($AF1248="",$AG1248="",$AH1248="",$AF1248&lt;1300,$AF1248&gt;1500,$AG1248&lt;1,$AG1248&gt;12,$AH1248&lt;1,$AH1248&gt;31),"نامعتبر",RIGHT("0000"&amp;$AF1248,4)&amp;"/"&amp;RIGHT("00"&amp;$AG1248,2)&amp;"/"&amp;RIGHT("00"&amp;$AH1248,2)))</f>
        <v/>
      </c>
      <c r="AJ1248">
        <f>IF($AE1248="","",IF(Sync!$Q1248="","0000",IF(AND(ISNUMBER(Sync!$Q1248),Sync!$Q1248&gt;=0,Sync!$Q1248&lt;1),RIGHT("00"&amp;HOUR(Sync!$Q1248),2)&amp;RIGHT("00"&amp;MINUTE(Sync!$Q1248),2),IFERROR(RIGHT("00"&amp;VALUE(LEFT(Sync!$Q1248,FIND(":",Sync!$Q1248)-1)),2)&amp;RIGHT("00"&amp;VALUE(MID(Sync!$Q1248,FIND(":",Sync!$Q1248)+1,2)),2),"0000"))))</f>
        <v/>
      </c>
      <c r="AK1248">
        <f>IF(OR($AE1248="",$AI1248="",$AI1248="نامعتبر"),"",LEFT($AI1248,4)&amp;MID($AI1248,6,2)&amp;RIGHT($AI1248,2)&amp;$AJ1248&amp;"|"&amp;"3"&amp;RIGHT("00000"&amp;1243,5))</f>
        <v/>
      </c>
      <c r="AL1248">
        <f>IF($AK1248="","",COUNTIFS(LdAParty,$AE1248,LdAType,1,LdAKey,"&lt;"&amp;$AK1248)+COUNTIFS(LdBMember,$AE1248,LdBKey,"&lt;"&amp;$AK1248)+COUNTIFS(LdCParty,$AE1248,LdCKey,"&lt;"&amp;$AK1248)+1)</f>
        <v/>
      </c>
      <c r="AM1248">
        <f>IF($AL1248="","",$AE1248&amp;"|"&amp;RIGHT("000000"&amp;$AL1248,6))</f>
        <v/>
      </c>
      <c r="AN1248">
        <f>IF($AE1248="","",IF(Sync!$W1248="",0,Sync!$W1248))</f>
        <v/>
      </c>
      <c r="AO1248">
        <f>IF($AE1248="","",IF(Sync!$X1248="",0,Sync!$X1248))</f>
        <v/>
      </c>
      <c r="AP1248">
        <f>IF($AE1248="","",Sync!$R1248)</f>
        <v/>
      </c>
      <c r="AQ1248">
        <f>IF($AE1248="","",Sync!$Y1248)</f>
        <v/>
      </c>
    </row>
    <row r="1249">
      <c r="A1249">
        <f>IF(OR(Wages!$B1252="",Wages!$E1252=""),"",Wages!$E1252)</f>
        <v/>
      </c>
      <c r="B1249">
        <f>IF($A1249="","",IF(Wages!$C1252="دستمزد گروهی",2,1))</f>
        <v/>
      </c>
      <c r="C1249">
        <f>IF($A1249="","",IF(ISNUMBER(Wages!$B1252),IF(AND(Wages!$B1252&gt;=10000101,Wages!$B1252&lt;=99991231),INT(Wages!$B1252/10000),""),IFERROR(VALUE(TRIM(LEFT(Wages!$B1252,FIND("/",Wages!$B1252)-1))),"")))</f>
        <v/>
      </c>
      <c r="D1249">
        <f>IF(OR($A1249="",$C1249=""),"",IF(ISNUMBER(Wages!$B1252),INT(MOD(Wages!$B1252,10000)/100),IFERROR(VALUE(TRIM(LEFT(MID(Wages!$B1252,FIND("/",Wages!$B1252)+1,20),FIND("/",MID(Wages!$B1252,FIND("/",Wages!$B1252)+1,20))-1))),"")))</f>
        <v/>
      </c>
      <c r="E1249">
        <f>IF(OR($A1249="",$C1249=""),"",IF(ISNUMBER(Wages!$B1252),MOD(Wages!$B1252,100),IFERROR(VALUE(TRIM(MID(MID(Wages!$B1252,FIND("/",Wages!$B1252)+1,20),FIND("/",MID(Wages!$B1252,FIND("/",Wages!$B1252)+1,20))+1,20))),"")))</f>
        <v/>
      </c>
      <c r="F1249">
        <f>IF($A1249="","",IF(OR($C1249="",$D1249="",$E1249="",$C1249&lt;1300,$C1249&gt;1500,$D1249&lt;1,$D1249&gt;12,$E1249&lt;1,$E1249&gt;31),"نامعتبر",RIGHT("0000"&amp;$C1249,4)&amp;"/"&amp;RIGHT("00"&amp;$D1249,2)&amp;"/"&amp;RIGHT("00"&amp;$E1249,2)))</f>
        <v/>
      </c>
      <c r="G1249">
        <f>IF(OR($A1249="",$F1249="",$F1249="نامعتبر"),"",LEFT($F1249,4)&amp;MID($F1249,6,2)&amp;RIGHT($F1249,2)&amp;"0000"&amp;"|"&amp;"1"&amp;RIGHT("00000"&amp;1244,5))</f>
        <v/>
      </c>
      <c r="H1249">
        <f>IF(OR($B1249&lt;&gt;1,$G1249=""),"",COUNTIFS(LdAParty,$A1249,LdAType,1,LdAKey,"&lt;"&amp;$G1249)+COUNTIFS(LdBMember,$A1249,LdBKey,"&lt;"&amp;$G1249)+COUNTIFS(LdCParty,$A1249,LdCKey,"&lt;"&amp;$G1249)+1)</f>
        <v/>
      </c>
      <c r="I1249">
        <f>IF($H1249="","",$A1249&amp;"|"&amp;RIGHT("000000"&amp;$H1249,6))</f>
        <v/>
      </c>
      <c r="J1249">
        <f>IF(OR($B1249&lt;&gt;2,$G1249=""),"",COUNTIFS(LdAParty,$A1249,LdAType,2,LdAKey,"&lt;"&amp;$G1249)+1)</f>
        <v/>
      </c>
      <c r="K1249">
        <f>IF($J1249="","",$A1249&amp;"|"&amp;RIGHT("000000"&amp;$J1249,6))</f>
        <v/>
      </c>
      <c r="L1249">
        <f>IF($A1249="","",IF(Wages!$G1252="",0,Wages!$G1252))</f>
        <v/>
      </c>
      <c r="M1249">
        <f>IF($A1249="","",Wages!$J1252)</f>
        <v/>
      </c>
      <c r="N1249">
        <f>IF($A1249="","",Wages!$D1252)</f>
        <v/>
      </c>
      <c r="P1249">
        <f>IF(OR(Shares!$B1252="",Shares!$C1252=""),"",Shares!$C1252)</f>
        <v/>
      </c>
      <c r="Q1249">
        <f>IF($P1249="","",Shares!$B1252)</f>
        <v/>
      </c>
      <c r="R1249">
        <f>IF($P1249="","",IFERROR(INDEX(WageParty,MATCH($Q1249,WageIds,0)),""))</f>
        <v/>
      </c>
      <c r="S1249">
        <f>IF($P1249="","",IFERROR(INDEX($F$6:$F$2005,MATCH($Q1249,WageIds,0)),""))</f>
        <v/>
      </c>
      <c r="T1249">
        <f>IF(OR($P1249="",$S1249="",$S1249="نامعتبر"),"",LEFT($S1249,4)&amp;MID($S1249,6,2)&amp;RIGHT($S1249,2)&amp;"0000"&amp;"|"&amp;"2"&amp;RIGHT("00000"&amp;1244,5))</f>
        <v/>
      </c>
      <c r="U1249">
        <f>IF($T1249="","",COUNTIFS(LdAParty,$P1249,LdAType,1,LdAKey,"&lt;"&amp;$T1249)+COUNTIFS(LdBMember,$P1249,LdBKey,"&lt;"&amp;$T1249)+COUNTIFS(LdCParty,$P1249,LdCKey,"&lt;"&amp;$T1249)+1)</f>
        <v/>
      </c>
      <c r="V1249">
        <f>IF($U1249="","",$P1249&amp;"|"&amp;RIGHT("000000"&amp;$U1249,6))</f>
        <v/>
      </c>
      <c r="W1249">
        <f>IF($T1249="","",COUNTIFS(LdBGroup,$R1249,LdBKey,"&lt;"&amp;$T1249)+1)</f>
        <v/>
      </c>
      <c r="X1249">
        <f>IF($W1249="","",$R1249&amp;"|"&amp;RIGHT("000000"&amp;$W1249,6))</f>
        <v/>
      </c>
      <c r="Y1249">
        <f>IF($P1249="","",IF(Shares!$E1252="",0,Shares!$E1252))</f>
        <v/>
      </c>
      <c r="Z1249">
        <f>IF($P1249="","",Shares!$H1252)</f>
        <v/>
      </c>
      <c r="AE1249">
        <f>IF(OR(Sync!$S1249="",Sync!$P1249=""),"",Sync!$S1249)</f>
        <v/>
      </c>
      <c r="AF1249">
        <f>IF($AE1249="","",IF(ISNUMBER(Sync!$P1249),IF(AND(Sync!$P1249&gt;=10000101,Sync!$P1249&lt;=99991231),INT(Sync!$P1249/10000),""),IFERROR(VALUE(TRIM(LEFT(Sync!$P1249,FIND("/",Sync!$P1249)-1))),"")))</f>
        <v/>
      </c>
      <c r="AG1249">
        <f>IF(OR($AE1249="",$AF1249=""),"",IF(ISNUMBER(Sync!$P1249),INT(MOD(Sync!$P1249,10000)/100),IFERROR(VALUE(TRIM(LEFT(MID(Sync!$P1249,FIND("/",Sync!$P1249)+1,20),FIND("/",MID(Sync!$P1249,FIND("/",Sync!$P1249)+1,20))-1))),"")))</f>
        <v/>
      </c>
      <c r="AH1249">
        <f>IF(OR($AE1249="",$AF1249=""),"",IF(ISNUMBER(Sync!$P1249),MOD(Sync!$P1249,100),IFERROR(VALUE(TRIM(MID(MID(Sync!$P1249,FIND("/",Sync!$P1249)+1,20),FIND("/",MID(Sync!$P1249,FIND("/",Sync!$P1249)+1,20))+1,20))),"")))</f>
        <v/>
      </c>
      <c r="AI1249">
        <f>IF($AE1249="","",IF(OR($AF1249="",$AG1249="",$AH1249="",$AF1249&lt;1300,$AF1249&gt;1500,$AG1249&lt;1,$AG1249&gt;12,$AH1249&lt;1,$AH1249&gt;31),"نامعتبر",RIGHT("0000"&amp;$AF1249,4)&amp;"/"&amp;RIGHT("00"&amp;$AG1249,2)&amp;"/"&amp;RIGHT("00"&amp;$AH1249,2)))</f>
        <v/>
      </c>
      <c r="AJ1249">
        <f>IF($AE1249="","",IF(Sync!$Q1249="","0000",IF(AND(ISNUMBER(Sync!$Q1249),Sync!$Q1249&gt;=0,Sync!$Q1249&lt;1),RIGHT("00"&amp;HOUR(Sync!$Q1249),2)&amp;RIGHT("00"&amp;MINUTE(Sync!$Q1249),2),IFERROR(RIGHT("00"&amp;VALUE(LEFT(Sync!$Q1249,FIND(":",Sync!$Q1249)-1)),2)&amp;RIGHT("00"&amp;VALUE(MID(Sync!$Q1249,FIND(":",Sync!$Q1249)+1,2)),2),"0000"))))</f>
        <v/>
      </c>
      <c r="AK1249">
        <f>IF(OR($AE1249="",$AI1249="",$AI1249="نامعتبر"),"",LEFT($AI1249,4)&amp;MID($AI1249,6,2)&amp;RIGHT($AI1249,2)&amp;$AJ1249&amp;"|"&amp;"3"&amp;RIGHT("00000"&amp;1244,5))</f>
        <v/>
      </c>
      <c r="AL1249">
        <f>IF($AK1249="","",COUNTIFS(LdAParty,$AE1249,LdAType,1,LdAKey,"&lt;"&amp;$AK1249)+COUNTIFS(LdBMember,$AE1249,LdBKey,"&lt;"&amp;$AK1249)+COUNTIFS(LdCParty,$AE1249,LdCKey,"&lt;"&amp;$AK1249)+1)</f>
        <v/>
      </c>
      <c r="AM1249">
        <f>IF($AL1249="","",$AE1249&amp;"|"&amp;RIGHT("000000"&amp;$AL1249,6))</f>
        <v/>
      </c>
      <c r="AN1249">
        <f>IF($AE1249="","",IF(Sync!$W1249="",0,Sync!$W1249))</f>
        <v/>
      </c>
      <c r="AO1249">
        <f>IF($AE1249="","",IF(Sync!$X1249="",0,Sync!$X1249))</f>
        <v/>
      </c>
      <c r="AP1249">
        <f>IF($AE1249="","",Sync!$R1249)</f>
        <v/>
      </c>
      <c r="AQ1249">
        <f>IF($AE1249="","",Sync!$Y1249)</f>
        <v/>
      </c>
    </row>
    <row r="1250">
      <c r="A1250">
        <f>IF(OR(Wages!$B1253="",Wages!$E1253=""),"",Wages!$E1253)</f>
        <v/>
      </c>
      <c r="B1250">
        <f>IF($A1250="","",IF(Wages!$C1253="دستمزد گروهی",2,1))</f>
        <v/>
      </c>
      <c r="C1250">
        <f>IF($A1250="","",IF(ISNUMBER(Wages!$B1253),IF(AND(Wages!$B1253&gt;=10000101,Wages!$B1253&lt;=99991231),INT(Wages!$B1253/10000),""),IFERROR(VALUE(TRIM(LEFT(Wages!$B1253,FIND("/",Wages!$B1253)-1))),"")))</f>
        <v/>
      </c>
      <c r="D1250">
        <f>IF(OR($A1250="",$C1250=""),"",IF(ISNUMBER(Wages!$B1253),INT(MOD(Wages!$B1253,10000)/100),IFERROR(VALUE(TRIM(LEFT(MID(Wages!$B1253,FIND("/",Wages!$B1253)+1,20),FIND("/",MID(Wages!$B1253,FIND("/",Wages!$B1253)+1,20))-1))),"")))</f>
        <v/>
      </c>
      <c r="E1250">
        <f>IF(OR($A1250="",$C1250=""),"",IF(ISNUMBER(Wages!$B1253),MOD(Wages!$B1253,100),IFERROR(VALUE(TRIM(MID(MID(Wages!$B1253,FIND("/",Wages!$B1253)+1,20),FIND("/",MID(Wages!$B1253,FIND("/",Wages!$B1253)+1,20))+1,20))),"")))</f>
        <v/>
      </c>
      <c r="F1250">
        <f>IF($A1250="","",IF(OR($C1250="",$D1250="",$E1250="",$C1250&lt;1300,$C1250&gt;1500,$D1250&lt;1,$D1250&gt;12,$E1250&lt;1,$E1250&gt;31),"نامعتبر",RIGHT("0000"&amp;$C1250,4)&amp;"/"&amp;RIGHT("00"&amp;$D1250,2)&amp;"/"&amp;RIGHT("00"&amp;$E1250,2)))</f>
        <v/>
      </c>
      <c r="G1250">
        <f>IF(OR($A1250="",$F1250="",$F1250="نامعتبر"),"",LEFT($F1250,4)&amp;MID($F1250,6,2)&amp;RIGHT($F1250,2)&amp;"0000"&amp;"|"&amp;"1"&amp;RIGHT("00000"&amp;1245,5))</f>
        <v/>
      </c>
      <c r="H1250">
        <f>IF(OR($B1250&lt;&gt;1,$G1250=""),"",COUNTIFS(LdAParty,$A1250,LdAType,1,LdAKey,"&lt;"&amp;$G1250)+COUNTIFS(LdBMember,$A1250,LdBKey,"&lt;"&amp;$G1250)+COUNTIFS(LdCParty,$A1250,LdCKey,"&lt;"&amp;$G1250)+1)</f>
        <v/>
      </c>
      <c r="I1250">
        <f>IF($H1250="","",$A1250&amp;"|"&amp;RIGHT("000000"&amp;$H1250,6))</f>
        <v/>
      </c>
      <c r="J1250">
        <f>IF(OR($B1250&lt;&gt;2,$G1250=""),"",COUNTIFS(LdAParty,$A1250,LdAType,2,LdAKey,"&lt;"&amp;$G1250)+1)</f>
        <v/>
      </c>
      <c r="K1250">
        <f>IF($J1250="","",$A1250&amp;"|"&amp;RIGHT("000000"&amp;$J1250,6))</f>
        <v/>
      </c>
      <c r="L1250">
        <f>IF($A1250="","",IF(Wages!$G1253="",0,Wages!$G1253))</f>
        <v/>
      </c>
      <c r="M1250">
        <f>IF($A1250="","",Wages!$J1253)</f>
        <v/>
      </c>
      <c r="N1250">
        <f>IF($A1250="","",Wages!$D1253)</f>
        <v/>
      </c>
      <c r="P1250">
        <f>IF(OR(Shares!$B1253="",Shares!$C1253=""),"",Shares!$C1253)</f>
        <v/>
      </c>
      <c r="Q1250">
        <f>IF($P1250="","",Shares!$B1253)</f>
        <v/>
      </c>
      <c r="R1250">
        <f>IF($P1250="","",IFERROR(INDEX(WageParty,MATCH($Q1250,WageIds,0)),""))</f>
        <v/>
      </c>
      <c r="S1250">
        <f>IF($P1250="","",IFERROR(INDEX($F$6:$F$2005,MATCH($Q1250,WageIds,0)),""))</f>
        <v/>
      </c>
      <c r="T1250">
        <f>IF(OR($P1250="",$S1250="",$S1250="نامعتبر"),"",LEFT($S1250,4)&amp;MID($S1250,6,2)&amp;RIGHT($S1250,2)&amp;"0000"&amp;"|"&amp;"2"&amp;RIGHT("00000"&amp;1245,5))</f>
        <v/>
      </c>
      <c r="U1250">
        <f>IF($T1250="","",COUNTIFS(LdAParty,$P1250,LdAType,1,LdAKey,"&lt;"&amp;$T1250)+COUNTIFS(LdBMember,$P1250,LdBKey,"&lt;"&amp;$T1250)+COUNTIFS(LdCParty,$P1250,LdCKey,"&lt;"&amp;$T1250)+1)</f>
        <v/>
      </c>
      <c r="V1250">
        <f>IF($U1250="","",$P1250&amp;"|"&amp;RIGHT("000000"&amp;$U1250,6))</f>
        <v/>
      </c>
      <c r="W1250">
        <f>IF($T1250="","",COUNTIFS(LdBGroup,$R1250,LdBKey,"&lt;"&amp;$T1250)+1)</f>
        <v/>
      </c>
      <c r="X1250">
        <f>IF($W1250="","",$R1250&amp;"|"&amp;RIGHT("000000"&amp;$W1250,6))</f>
        <v/>
      </c>
      <c r="Y1250">
        <f>IF($P1250="","",IF(Shares!$E1253="",0,Shares!$E1253))</f>
        <v/>
      </c>
      <c r="Z1250">
        <f>IF($P1250="","",Shares!$H1253)</f>
        <v/>
      </c>
      <c r="AE1250">
        <f>IF(OR(Sync!$S1250="",Sync!$P1250=""),"",Sync!$S1250)</f>
        <v/>
      </c>
      <c r="AF1250">
        <f>IF($AE1250="","",IF(ISNUMBER(Sync!$P1250),IF(AND(Sync!$P1250&gt;=10000101,Sync!$P1250&lt;=99991231),INT(Sync!$P1250/10000),""),IFERROR(VALUE(TRIM(LEFT(Sync!$P1250,FIND("/",Sync!$P1250)-1))),"")))</f>
        <v/>
      </c>
      <c r="AG1250">
        <f>IF(OR($AE1250="",$AF1250=""),"",IF(ISNUMBER(Sync!$P1250),INT(MOD(Sync!$P1250,10000)/100),IFERROR(VALUE(TRIM(LEFT(MID(Sync!$P1250,FIND("/",Sync!$P1250)+1,20),FIND("/",MID(Sync!$P1250,FIND("/",Sync!$P1250)+1,20))-1))),"")))</f>
        <v/>
      </c>
      <c r="AH1250">
        <f>IF(OR($AE1250="",$AF1250=""),"",IF(ISNUMBER(Sync!$P1250),MOD(Sync!$P1250,100),IFERROR(VALUE(TRIM(MID(MID(Sync!$P1250,FIND("/",Sync!$P1250)+1,20),FIND("/",MID(Sync!$P1250,FIND("/",Sync!$P1250)+1,20))+1,20))),"")))</f>
        <v/>
      </c>
      <c r="AI1250">
        <f>IF($AE1250="","",IF(OR($AF1250="",$AG1250="",$AH1250="",$AF1250&lt;1300,$AF1250&gt;1500,$AG1250&lt;1,$AG1250&gt;12,$AH1250&lt;1,$AH1250&gt;31),"نامعتبر",RIGHT("0000"&amp;$AF1250,4)&amp;"/"&amp;RIGHT("00"&amp;$AG1250,2)&amp;"/"&amp;RIGHT("00"&amp;$AH1250,2)))</f>
        <v/>
      </c>
      <c r="AJ1250">
        <f>IF($AE1250="","",IF(Sync!$Q1250="","0000",IF(AND(ISNUMBER(Sync!$Q1250),Sync!$Q1250&gt;=0,Sync!$Q1250&lt;1),RIGHT("00"&amp;HOUR(Sync!$Q1250),2)&amp;RIGHT("00"&amp;MINUTE(Sync!$Q1250),2),IFERROR(RIGHT("00"&amp;VALUE(LEFT(Sync!$Q1250,FIND(":",Sync!$Q1250)-1)),2)&amp;RIGHT("00"&amp;VALUE(MID(Sync!$Q1250,FIND(":",Sync!$Q1250)+1,2)),2),"0000"))))</f>
        <v/>
      </c>
      <c r="AK1250">
        <f>IF(OR($AE1250="",$AI1250="",$AI1250="نامعتبر"),"",LEFT($AI1250,4)&amp;MID($AI1250,6,2)&amp;RIGHT($AI1250,2)&amp;$AJ1250&amp;"|"&amp;"3"&amp;RIGHT("00000"&amp;1245,5))</f>
        <v/>
      </c>
      <c r="AL1250">
        <f>IF($AK1250="","",COUNTIFS(LdAParty,$AE1250,LdAType,1,LdAKey,"&lt;"&amp;$AK1250)+COUNTIFS(LdBMember,$AE1250,LdBKey,"&lt;"&amp;$AK1250)+COUNTIFS(LdCParty,$AE1250,LdCKey,"&lt;"&amp;$AK1250)+1)</f>
        <v/>
      </c>
      <c r="AM1250">
        <f>IF($AL1250="","",$AE1250&amp;"|"&amp;RIGHT("000000"&amp;$AL1250,6))</f>
        <v/>
      </c>
      <c r="AN1250">
        <f>IF($AE1250="","",IF(Sync!$W1250="",0,Sync!$W1250))</f>
        <v/>
      </c>
      <c r="AO1250">
        <f>IF($AE1250="","",IF(Sync!$X1250="",0,Sync!$X1250))</f>
        <v/>
      </c>
      <c r="AP1250">
        <f>IF($AE1250="","",Sync!$R1250)</f>
        <v/>
      </c>
      <c r="AQ1250">
        <f>IF($AE1250="","",Sync!$Y1250)</f>
        <v/>
      </c>
    </row>
    <row r="1251">
      <c r="A1251">
        <f>IF(OR(Wages!$B1254="",Wages!$E1254=""),"",Wages!$E1254)</f>
        <v/>
      </c>
      <c r="B1251">
        <f>IF($A1251="","",IF(Wages!$C1254="دستمزد گروهی",2,1))</f>
        <v/>
      </c>
      <c r="C1251">
        <f>IF($A1251="","",IF(ISNUMBER(Wages!$B1254),IF(AND(Wages!$B1254&gt;=10000101,Wages!$B1254&lt;=99991231),INT(Wages!$B1254/10000),""),IFERROR(VALUE(TRIM(LEFT(Wages!$B1254,FIND("/",Wages!$B1254)-1))),"")))</f>
        <v/>
      </c>
      <c r="D1251">
        <f>IF(OR($A1251="",$C1251=""),"",IF(ISNUMBER(Wages!$B1254),INT(MOD(Wages!$B1254,10000)/100),IFERROR(VALUE(TRIM(LEFT(MID(Wages!$B1254,FIND("/",Wages!$B1254)+1,20),FIND("/",MID(Wages!$B1254,FIND("/",Wages!$B1254)+1,20))-1))),"")))</f>
        <v/>
      </c>
      <c r="E1251">
        <f>IF(OR($A1251="",$C1251=""),"",IF(ISNUMBER(Wages!$B1254),MOD(Wages!$B1254,100),IFERROR(VALUE(TRIM(MID(MID(Wages!$B1254,FIND("/",Wages!$B1254)+1,20),FIND("/",MID(Wages!$B1254,FIND("/",Wages!$B1254)+1,20))+1,20))),"")))</f>
        <v/>
      </c>
      <c r="F1251">
        <f>IF($A1251="","",IF(OR($C1251="",$D1251="",$E1251="",$C1251&lt;1300,$C1251&gt;1500,$D1251&lt;1,$D1251&gt;12,$E1251&lt;1,$E1251&gt;31),"نامعتبر",RIGHT("0000"&amp;$C1251,4)&amp;"/"&amp;RIGHT("00"&amp;$D1251,2)&amp;"/"&amp;RIGHT("00"&amp;$E1251,2)))</f>
        <v/>
      </c>
      <c r="G1251">
        <f>IF(OR($A1251="",$F1251="",$F1251="نامعتبر"),"",LEFT($F1251,4)&amp;MID($F1251,6,2)&amp;RIGHT($F1251,2)&amp;"0000"&amp;"|"&amp;"1"&amp;RIGHT("00000"&amp;1246,5))</f>
        <v/>
      </c>
      <c r="H1251">
        <f>IF(OR($B1251&lt;&gt;1,$G1251=""),"",COUNTIFS(LdAParty,$A1251,LdAType,1,LdAKey,"&lt;"&amp;$G1251)+COUNTIFS(LdBMember,$A1251,LdBKey,"&lt;"&amp;$G1251)+COUNTIFS(LdCParty,$A1251,LdCKey,"&lt;"&amp;$G1251)+1)</f>
        <v/>
      </c>
      <c r="I1251">
        <f>IF($H1251="","",$A1251&amp;"|"&amp;RIGHT("000000"&amp;$H1251,6))</f>
        <v/>
      </c>
      <c r="J1251">
        <f>IF(OR($B1251&lt;&gt;2,$G1251=""),"",COUNTIFS(LdAParty,$A1251,LdAType,2,LdAKey,"&lt;"&amp;$G1251)+1)</f>
        <v/>
      </c>
      <c r="K1251">
        <f>IF($J1251="","",$A1251&amp;"|"&amp;RIGHT("000000"&amp;$J1251,6))</f>
        <v/>
      </c>
      <c r="L1251">
        <f>IF($A1251="","",IF(Wages!$G1254="",0,Wages!$G1254))</f>
        <v/>
      </c>
      <c r="M1251">
        <f>IF($A1251="","",Wages!$J1254)</f>
        <v/>
      </c>
      <c r="N1251">
        <f>IF($A1251="","",Wages!$D1254)</f>
        <v/>
      </c>
      <c r="P1251">
        <f>IF(OR(Shares!$B1254="",Shares!$C1254=""),"",Shares!$C1254)</f>
        <v/>
      </c>
      <c r="Q1251">
        <f>IF($P1251="","",Shares!$B1254)</f>
        <v/>
      </c>
      <c r="R1251">
        <f>IF($P1251="","",IFERROR(INDEX(WageParty,MATCH($Q1251,WageIds,0)),""))</f>
        <v/>
      </c>
      <c r="S1251">
        <f>IF($P1251="","",IFERROR(INDEX($F$6:$F$2005,MATCH($Q1251,WageIds,0)),""))</f>
        <v/>
      </c>
      <c r="T1251">
        <f>IF(OR($P1251="",$S1251="",$S1251="نامعتبر"),"",LEFT($S1251,4)&amp;MID($S1251,6,2)&amp;RIGHT($S1251,2)&amp;"0000"&amp;"|"&amp;"2"&amp;RIGHT("00000"&amp;1246,5))</f>
        <v/>
      </c>
      <c r="U1251">
        <f>IF($T1251="","",COUNTIFS(LdAParty,$P1251,LdAType,1,LdAKey,"&lt;"&amp;$T1251)+COUNTIFS(LdBMember,$P1251,LdBKey,"&lt;"&amp;$T1251)+COUNTIFS(LdCParty,$P1251,LdCKey,"&lt;"&amp;$T1251)+1)</f>
        <v/>
      </c>
      <c r="V1251">
        <f>IF($U1251="","",$P1251&amp;"|"&amp;RIGHT("000000"&amp;$U1251,6))</f>
        <v/>
      </c>
      <c r="W1251">
        <f>IF($T1251="","",COUNTIFS(LdBGroup,$R1251,LdBKey,"&lt;"&amp;$T1251)+1)</f>
        <v/>
      </c>
      <c r="X1251">
        <f>IF($W1251="","",$R1251&amp;"|"&amp;RIGHT("000000"&amp;$W1251,6))</f>
        <v/>
      </c>
      <c r="Y1251">
        <f>IF($P1251="","",IF(Shares!$E1254="",0,Shares!$E1254))</f>
        <v/>
      </c>
      <c r="Z1251">
        <f>IF($P1251="","",Shares!$H1254)</f>
        <v/>
      </c>
      <c r="AE1251">
        <f>IF(OR(Sync!$S1251="",Sync!$P1251=""),"",Sync!$S1251)</f>
        <v/>
      </c>
      <c r="AF1251">
        <f>IF($AE1251="","",IF(ISNUMBER(Sync!$P1251),IF(AND(Sync!$P1251&gt;=10000101,Sync!$P1251&lt;=99991231),INT(Sync!$P1251/10000),""),IFERROR(VALUE(TRIM(LEFT(Sync!$P1251,FIND("/",Sync!$P1251)-1))),"")))</f>
        <v/>
      </c>
      <c r="AG1251">
        <f>IF(OR($AE1251="",$AF1251=""),"",IF(ISNUMBER(Sync!$P1251),INT(MOD(Sync!$P1251,10000)/100),IFERROR(VALUE(TRIM(LEFT(MID(Sync!$P1251,FIND("/",Sync!$P1251)+1,20),FIND("/",MID(Sync!$P1251,FIND("/",Sync!$P1251)+1,20))-1))),"")))</f>
        <v/>
      </c>
      <c r="AH1251">
        <f>IF(OR($AE1251="",$AF1251=""),"",IF(ISNUMBER(Sync!$P1251),MOD(Sync!$P1251,100),IFERROR(VALUE(TRIM(MID(MID(Sync!$P1251,FIND("/",Sync!$P1251)+1,20),FIND("/",MID(Sync!$P1251,FIND("/",Sync!$P1251)+1,20))+1,20))),"")))</f>
        <v/>
      </c>
      <c r="AI1251">
        <f>IF($AE1251="","",IF(OR($AF1251="",$AG1251="",$AH1251="",$AF1251&lt;1300,$AF1251&gt;1500,$AG1251&lt;1,$AG1251&gt;12,$AH1251&lt;1,$AH1251&gt;31),"نامعتبر",RIGHT("0000"&amp;$AF1251,4)&amp;"/"&amp;RIGHT("00"&amp;$AG1251,2)&amp;"/"&amp;RIGHT("00"&amp;$AH1251,2)))</f>
        <v/>
      </c>
      <c r="AJ1251">
        <f>IF($AE1251="","",IF(Sync!$Q1251="","0000",IF(AND(ISNUMBER(Sync!$Q1251),Sync!$Q1251&gt;=0,Sync!$Q1251&lt;1),RIGHT("00"&amp;HOUR(Sync!$Q1251),2)&amp;RIGHT("00"&amp;MINUTE(Sync!$Q1251),2),IFERROR(RIGHT("00"&amp;VALUE(LEFT(Sync!$Q1251,FIND(":",Sync!$Q1251)-1)),2)&amp;RIGHT("00"&amp;VALUE(MID(Sync!$Q1251,FIND(":",Sync!$Q1251)+1,2)),2),"0000"))))</f>
        <v/>
      </c>
      <c r="AK1251">
        <f>IF(OR($AE1251="",$AI1251="",$AI1251="نامعتبر"),"",LEFT($AI1251,4)&amp;MID($AI1251,6,2)&amp;RIGHT($AI1251,2)&amp;$AJ1251&amp;"|"&amp;"3"&amp;RIGHT("00000"&amp;1246,5))</f>
        <v/>
      </c>
      <c r="AL1251">
        <f>IF($AK1251="","",COUNTIFS(LdAParty,$AE1251,LdAType,1,LdAKey,"&lt;"&amp;$AK1251)+COUNTIFS(LdBMember,$AE1251,LdBKey,"&lt;"&amp;$AK1251)+COUNTIFS(LdCParty,$AE1251,LdCKey,"&lt;"&amp;$AK1251)+1)</f>
        <v/>
      </c>
      <c r="AM1251">
        <f>IF($AL1251="","",$AE1251&amp;"|"&amp;RIGHT("000000"&amp;$AL1251,6))</f>
        <v/>
      </c>
      <c r="AN1251">
        <f>IF($AE1251="","",IF(Sync!$W1251="",0,Sync!$W1251))</f>
        <v/>
      </c>
      <c r="AO1251">
        <f>IF($AE1251="","",IF(Sync!$X1251="",0,Sync!$X1251))</f>
        <v/>
      </c>
      <c r="AP1251">
        <f>IF($AE1251="","",Sync!$R1251)</f>
        <v/>
      </c>
      <c r="AQ1251">
        <f>IF($AE1251="","",Sync!$Y1251)</f>
        <v/>
      </c>
    </row>
    <row r="1252">
      <c r="A1252">
        <f>IF(OR(Wages!$B1255="",Wages!$E1255=""),"",Wages!$E1255)</f>
        <v/>
      </c>
      <c r="B1252">
        <f>IF($A1252="","",IF(Wages!$C1255="دستمزد گروهی",2,1))</f>
        <v/>
      </c>
      <c r="C1252">
        <f>IF($A1252="","",IF(ISNUMBER(Wages!$B1255),IF(AND(Wages!$B1255&gt;=10000101,Wages!$B1255&lt;=99991231),INT(Wages!$B1255/10000),""),IFERROR(VALUE(TRIM(LEFT(Wages!$B1255,FIND("/",Wages!$B1255)-1))),"")))</f>
        <v/>
      </c>
      <c r="D1252">
        <f>IF(OR($A1252="",$C1252=""),"",IF(ISNUMBER(Wages!$B1255),INT(MOD(Wages!$B1255,10000)/100),IFERROR(VALUE(TRIM(LEFT(MID(Wages!$B1255,FIND("/",Wages!$B1255)+1,20),FIND("/",MID(Wages!$B1255,FIND("/",Wages!$B1255)+1,20))-1))),"")))</f>
        <v/>
      </c>
      <c r="E1252">
        <f>IF(OR($A1252="",$C1252=""),"",IF(ISNUMBER(Wages!$B1255),MOD(Wages!$B1255,100),IFERROR(VALUE(TRIM(MID(MID(Wages!$B1255,FIND("/",Wages!$B1255)+1,20),FIND("/",MID(Wages!$B1255,FIND("/",Wages!$B1255)+1,20))+1,20))),"")))</f>
        <v/>
      </c>
      <c r="F1252">
        <f>IF($A1252="","",IF(OR($C1252="",$D1252="",$E1252="",$C1252&lt;1300,$C1252&gt;1500,$D1252&lt;1,$D1252&gt;12,$E1252&lt;1,$E1252&gt;31),"نامعتبر",RIGHT("0000"&amp;$C1252,4)&amp;"/"&amp;RIGHT("00"&amp;$D1252,2)&amp;"/"&amp;RIGHT("00"&amp;$E1252,2)))</f>
        <v/>
      </c>
      <c r="G1252">
        <f>IF(OR($A1252="",$F1252="",$F1252="نامعتبر"),"",LEFT($F1252,4)&amp;MID($F1252,6,2)&amp;RIGHT($F1252,2)&amp;"0000"&amp;"|"&amp;"1"&amp;RIGHT("00000"&amp;1247,5))</f>
        <v/>
      </c>
      <c r="H1252">
        <f>IF(OR($B1252&lt;&gt;1,$G1252=""),"",COUNTIFS(LdAParty,$A1252,LdAType,1,LdAKey,"&lt;"&amp;$G1252)+COUNTIFS(LdBMember,$A1252,LdBKey,"&lt;"&amp;$G1252)+COUNTIFS(LdCParty,$A1252,LdCKey,"&lt;"&amp;$G1252)+1)</f>
        <v/>
      </c>
      <c r="I1252">
        <f>IF($H1252="","",$A1252&amp;"|"&amp;RIGHT("000000"&amp;$H1252,6))</f>
        <v/>
      </c>
      <c r="J1252">
        <f>IF(OR($B1252&lt;&gt;2,$G1252=""),"",COUNTIFS(LdAParty,$A1252,LdAType,2,LdAKey,"&lt;"&amp;$G1252)+1)</f>
        <v/>
      </c>
      <c r="K1252">
        <f>IF($J1252="","",$A1252&amp;"|"&amp;RIGHT("000000"&amp;$J1252,6))</f>
        <v/>
      </c>
      <c r="L1252">
        <f>IF($A1252="","",IF(Wages!$G1255="",0,Wages!$G1255))</f>
        <v/>
      </c>
      <c r="M1252">
        <f>IF($A1252="","",Wages!$J1255)</f>
        <v/>
      </c>
      <c r="N1252">
        <f>IF($A1252="","",Wages!$D1255)</f>
        <v/>
      </c>
      <c r="P1252">
        <f>IF(OR(Shares!$B1255="",Shares!$C1255=""),"",Shares!$C1255)</f>
        <v/>
      </c>
      <c r="Q1252">
        <f>IF($P1252="","",Shares!$B1255)</f>
        <v/>
      </c>
      <c r="R1252">
        <f>IF($P1252="","",IFERROR(INDEX(WageParty,MATCH($Q1252,WageIds,0)),""))</f>
        <v/>
      </c>
      <c r="S1252">
        <f>IF($P1252="","",IFERROR(INDEX($F$6:$F$2005,MATCH($Q1252,WageIds,0)),""))</f>
        <v/>
      </c>
      <c r="T1252">
        <f>IF(OR($P1252="",$S1252="",$S1252="نامعتبر"),"",LEFT($S1252,4)&amp;MID($S1252,6,2)&amp;RIGHT($S1252,2)&amp;"0000"&amp;"|"&amp;"2"&amp;RIGHT("00000"&amp;1247,5))</f>
        <v/>
      </c>
      <c r="U1252">
        <f>IF($T1252="","",COUNTIFS(LdAParty,$P1252,LdAType,1,LdAKey,"&lt;"&amp;$T1252)+COUNTIFS(LdBMember,$P1252,LdBKey,"&lt;"&amp;$T1252)+COUNTIFS(LdCParty,$P1252,LdCKey,"&lt;"&amp;$T1252)+1)</f>
        <v/>
      </c>
      <c r="V1252">
        <f>IF($U1252="","",$P1252&amp;"|"&amp;RIGHT("000000"&amp;$U1252,6))</f>
        <v/>
      </c>
      <c r="W1252">
        <f>IF($T1252="","",COUNTIFS(LdBGroup,$R1252,LdBKey,"&lt;"&amp;$T1252)+1)</f>
        <v/>
      </c>
      <c r="X1252">
        <f>IF($W1252="","",$R1252&amp;"|"&amp;RIGHT("000000"&amp;$W1252,6))</f>
        <v/>
      </c>
      <c r="Y1252">
        <f>IF($P1252="","",IF(Shares!$E1255="",0,Shares!$E1255))</f>
        <v/>
      </c>
      <c r="Z1252">
        <f>IF($P1252="","",Shares!$H1255)</f>
        <v/>
      </c>
      <c r="AE1252">
        <f>IF(OR(Sync!$S1252="",Sync!$P1252=""),"",Sync!$S1252)</f>
        <v/>
      </c>
      <c r="AF1252">
        <f>IF($AE1252="","",IF(ISNUMBER(Sync!$P1252),IF(AND(Sync!$P1252&gt;=10000101,Sync!$P1252&lt;=99991231),INT(Sync!$P1252/10000),""),IFERROR(VALUE(TRIM(LEFT(Sync!$P1252,FIND("/",Sync!$P1252)-1))),"")))</f>
        <v/>
      </c>
      <c r="AG1252">
        <f>IF(OR($AE1252="",$AF1252=""),"",IF(ISNUMBER(Sync!$P1252),INT(MOD(Sync!$P1252,10000)/100),IFERROR(VALUE(TRIM(LEFT(MID(Sync!$P1252,FIND("/",Sync!$P1252)+1,20),FIND("/",MID(Sync!$P1252,FIND("/",Sync!$P1252)+1,20))-1))),"")))</f>
        <v/>
      </c>
      <c r="AH1252">
        <f>IF(OR($AE1252="",$AF1252=""),"",IF(ISNUMBER(Sync!$P1252),MOD(Sync!$P1252,100),IFERROR(VALUE(TRIM(MID(MID(Sync!$P1252,FIND("/",Sync!$P1252)+1,20),FIND("/",MID(Sync!$P1252,FIND("/",Sync!$P1252)+1,20))+1,20))),"")))</f>
        <v/>
      </c>
      <c r="AI1252">
        <f>IF($AE1252="","",IF(OR($AF1252="",$AG1252="",$AH1252="",$AF1252&lt;1300,$AF1252&gt;1500,$AG1252&lt;1,$AG1252&gt;12,$AH1252&lt;1,$AH1252&gt;31),"نامعتبر",RIGHT("0000"&amp;$AF1252,4)&amp;"/"&amp;RIGHT("00"&amp;$AG1252,2)&amp;"/"&amp;RIGHT("00"&amp;$AH1252,2)))</f>
        <v/>
      </c>
      <c r="AJ1252">
        <f>IF($AE1252="","",IF(Sync!$Q1252="","0000",IF(AND(ISNUMBER(Sync!$Q1252),Sync!$Q1252&gt;=0,Sync!$Q1252&lt;1),RIGHT("00"&amp;HOUR(Sync!$Q1252),2)&amp;RIGHT("00"&amp;MINUTE(Sync!$Q1252),2),IFERROR(RIGHT("00"&amp;VALUE(LEFT(Sync!$Q1252,FIND(":",Sync!$Q1252)-1)),2)&amp;RIGHT("00"&amp;VALUE(MID(Sync!$Q1252,FIND(":",Sync!$Q1252)+1,2)),2),"0000"))))</f>
        <v/>
      </c>
      <c r="AK1252">
        <f>IF(OR($AE1252="",$AI1252="",$AI1252="نامعتبر"),"",LEFT($AI1252,4)&amp;MID($AI1252,6,2)&amp;RIGHT($AI1252,2)&amp;$AJ1252&amp;"|"&amp;"3"&amp;RIGHT("00000"&amp;1247,5))</f>
        <v/>
      </c>
      <c r="AL1252">
        <f>IF($AK1252="","",COUNTIFS(LdAParty,$AE1252,LdAType,1,LdAKey,"&lt;"&amp;$AK1252)+COUNTIFS(LdBMember,$AE1252,LdBKey,"&lt;"&amp;$AK1252)+COUNTIFS(LdCParty,$AE1252,LdCKey,"&lt;"&amp;$AK1252)+1)</f>
        <v/>
      </c>
      <c r="AM1252">
        <f>IF($AL1252="","",$AE1252&amp;"|"&amp;RIGHT("000000"&amp;$AL1252,6))</f>
        <v/>
      </c>
      <c r="AN1252">
        <f>IF($AE1252="","",IF(Sync!$W1252="",0,Sync!$W1252))</f>
        <v/>
      </c>
      <c r="AO1252">
        <f>IF($AE1252="","",IF(Sync!$X1252="",0,Sync!$X1252))</f>
        <v/>
      </c>
      <c r="AP1252">
        <f>IF($AE1252="","",Sync!$R1252)</f>
        <v/>
      </c>
      <c r="AQ1252">
        <f>IF($AE1252="","",Sync!$Y1252)</f>
        <v/>
      </c>
    </row>
    <row r="1253">
      <c r="A1253">
        <f>IF(OR(Wages!$B1256="",Wages!$E1256=""),"",Wages!$E1256)</f>
        <v/>
      </c>
      <c r="B1253">
        <f>IF($A1253="","",IF(Wages!$C1256="دستمزد گروهی",2,1))</f>
        <v/>
      </c>
      <c r="C1253">
        <f>IF($A1253="","",IF(ISNUMBER(Wages!$B1256),IF(AND(Wages!$B1256&gt;=10000101,Wages!$B1256&lt;=99991231),INT(Wages!$B1256/10000),""),IFERROR(VALUE(TRIM(LEFT(Wages!$B1256,FIND("/",Wages!$B1256)-1))),"")))</f>
        <v/>
      </c>
      <c r="D1253">
        <f>IF(OR($A1253="",$C1253=""),"",IF(ISNUMBER(Wages!$B1256),INT(MOD(Wages!$B1256,10000)/100),IFERROR(VALUE(TRIM(LEFT(MID(Wages!$B1256,FIND("/",Wages!$B1256)+1,20),FIND("/",MID(Wages!$B1256,FIND("/",Wages!$B1256)+1,20))-1))),"")))</f>
        <v/>
      </c>
      <c r="E1253">
        <f>IF(OR($A1253="",$C1253=""),"",IF(ISNUMBER(Wages!$B1256),MOD(Wages!$B1256,100),IFERROR(VALUE(TRIM(MID(MID(Wages!$B1256,FIND("/",Wages!$B1256)+1,20),FIND("/",MID(Wages!$B1256,FIND("/",Wages!$B1256)+1,20))+1,20))),"")))</f>
        <v/>
      </c>
      <c r="F1253">
        <f>IF($A1253="","",IF(OR($C1253="",$D1253="",$E1253="",$C1253&lt;1300,$C1253&gt;1500,$D1253&lt;1,$D1253&gt;12,$E1253&lt;1,$E1253&gt;31),"نامعتبر",RIGHT("0000"&amp;$C1253,4)&amp;"/"&amp;RIGHT("00"&amp;$D1253,2)&amp;"/"&amp;RIGHT("00"&amp;$E1253,2)))</f>
        <v/>
      </c>
      <c r="G1253">
        <f>IF(OR($A1253="",$F1253="",$F1253="نامعتبر"),"",LEFT($F1253,4)&amp;MID($F1253,6,2)&amp;RIGHT($F1253,2)&amp;"0000"&amp;"|"&amp;"1"&amp;RIGHT("00000"&amp;1248,5))</f>
        <v/>
      </c>
      <c r="H1253">
        <f>IF(OR($B1253&lt;&gt;1,$G1253=""),"",COUNTIFS(LdAParty,$A1253,LdAType,1,LdAKey,"&lt;"&amp;$G1253)+COUNTIFS(LdBMember,$A1253,LdBKey,"&lt;"&amp;$G1253)+COUNTIFS(LdCParty,$A1253,LdCKey,"&lt;"&amp;$G1253)+1)</f>
        <v/>
      </c>
      <c r="I1253">
        <f>IF($H1253="","",$A1253&amp;"|"&amp;RIGHT("000000"&amp;$H1253,6))</f>
        <v/>
      </c>
      <c r="J1253">
        <f>IF(OR($B1253&lt;&gt;2,$G1253=""),"",COUNTIFS(LdAParty,$A1253,LdAType,2,LdAKey,"&lt;"&amp;$G1253)+1)</f>
        <v/>
      </c>
      <c r="K1253">
        <f>IF($J1253="","",$A1253&amp;"|"&amp;RIGHT("000000"&amp;$J1253,6))</f>
        <v/>
      </c>
      <c r="L1253">
        <f>IF($A1253="","",IF(Wages!$G1256="",0,Wages!$G1256))</f>
        <v/>
      </c>
      <c r="M1253">
        <f>IF($A1253="","",Wages!$J1256)</f>
        <v/>
      </c>
      <c r="N1253">
        <f>IF($A1253="","",Wages!$D1256)</f>
        <v/>
      </c>
      <c r="P1253">
        <f>IF(OR(Shares!$B1256="",Shares!$C1256=""),"",Shares!$C1256)</f>
        <v/>
      </c>
      <c r="Q1253">
        <f>IF($P1253="","",Shares!$B1256)</f>
        <v/>
      </c>
      <c r="R1253">
        <f>IF($P1253="","",IFERROR(INDEX(WageParty,MATCH($Q1253,WageIds,0)),""))</f>
        <v/>
      </c>
      <c r="S1253">
        <f>IF($P1253="","",IFERROR(INDEX($F$6:$F$2005,MATCH($Q1253,WageIds,0)),""))</f>
        <v/>
      </c>
      <c r="T1253">
        <f>IF(OR($P1253="",$S1253="",$S1253="نامعتبر"),"",LEFT($S1253,4)&amp;MID($S1253,6,2)&amp;RIGHT($S1253,2)&amp;"0000"&amp;"|"&amp;"2"&amp;RIGHT("00000"&amp;1248,5))</f>
        <v/>
      </c>
      <c r="U1253">
        <f>IF($T1253="","",COUNTIFS(LdAParty,$P1253,LdAType,1,LdAKey,"&lt;"&amp;$T1253)+COUNTIFS(LdBMember,$P1253,LdBKey,"&lt;"&amp;$T1253)+COUNTIFS(LdCParty,$P1253,LdCKey,"&lt;"&amp;$T1253)+1)</f>
        <v/>
      </c>
      <c r="V1253">
        <f>IF($U1253="","",$P1253&amp;"|"&amp;RIGHT("000000"&amp;$U1253,6))</f>
        <v/>
      </c>
      <c r="W1253">
        <f>IF($T1253="","",COUNTIFS(LdBGroup,$R1253,LdBKey,"&lt;"&amp;$T1253)+1)</f>
        <v/>
      </c>
      <c r="X1253">
        <f>IF($W1253="","",$R1253&amp;"|"&amp;RIGHT("000000"&amp;$W1253,6))</f>
        <v/>
      </c>
      <c r="Y1253">
        <f>IF($P1253="","",IF(Shares!$E1256="",0,Shares!$E1256))</f>
        <v/>
      </c>
      <c r="Z1253">
        <f>IF($P1253="","",Shares!$H1256)</f>
        <v/>
      </c>
      <c r="AE1253">
        <f>IF(OR(Sync!$S1253="",Sync!$P1253=""),"",Sync!$S1253)</f>
        <v/>
      </c>
      <c r="AF1253">
        <f>IF($AE1253="","",IF(ISNUMBER(Sync!$P1253),IF(AND(Sync!$P1253&gt;=10000101,Sync!$P1253&lt;=99991231),INT(Sync!$P1253/10000),""),IFERROR(VALUE(TRIM(LEFT(Sync!$P1253,FIND("/",Sync!$P1253)-1))),"")))</f>
        <v/>
      </c>
      <c r="AG1253">
        <f>IF(OR($AE1253="",$AF1253=""),"",IF(ISNUMBER(Sync!$P1253),INT(MOD(Sync!$P1253,10000)/100),IFERROR(VALUE(TRIM(LEFT(MID(Sync!$P1253,FIND("/",Sync!$P1253)+1,20),FIND("/",MID(Sync!$P1253,FIND("/",Sync!$P1253)+1,20))-1))),"")))</f>
        <v/>
      </c>
      <c r="AH1253">
        <f>IF(OR($AE1253="",$AF1253=""),"",IF(ISNUMBER(Sync!$P1253),MOD(Sync!$P1253,100),IFERROR(VALUE(TRIM(MID(MID(Sync!$P1253,FIND("/",Sync!$P1253)+1,20),FIND("/",MID(Sync!$P1253,FIND("/",Sync!$P1253)+1,20))+1,20))),"")))</f>
        <v/>
      </c>
      <c r="AI1253">
        <f>IF($AE1253="","",IF(OR($AF1253="",$AG1253="",$AH1253="",$AF1253&lt;1300,$AF1253&gt;1500,$AG1253&lt;1,$AG1253&gt;12,$AH1253&lt;1,$AH1253&gt;31),"نامعتبر",RIGHT("0000"&amp;$AF1253,4)&amp;"/"&amp;RIGHT("00"&amp;$AG1253,2)&amp;"/"&amp;RIGHT("00"&amp;$AH1253,2)))</f>
        <v/>
      </c>
      <c r="AJ1253">
        <f>IF($AE1253="","",IF(Sync!$Q1253="","0000",IF(AND(ISNUMBER(Sync!$Q1253),Sync!$Q1253&gt;=0,Sync!$Q1253&lt;1),RIGHT("00"&amp;HOUR(Sync!$Q1253),2)&amp;RIGHT("00"&amp;MINUTE(Sync!$Q1253),2),IFERROR(RIGHT("00"&amp;VALUE(LEFT(Sync!$Q1253,FIND(":",Sync!$Q1253)-1)),2)&amp;RIGHT("00"&amp;VALUE(MID(Sync!$Q1253,FIND(":",Sync!$Q1253)+1,2)),2),"0000"))))</f>
        <v/>
      </c>
      <c r="AK1253">
        <f>IF(OR($AE1253="",$AI1253="",$AI1253="نامعتبر"),"",LEFT($AI1253,4)&amp;MID($AI1253,6,2)&amp;RIGHT($AI1253,2)&amp;$AJ1253&amp;"|"&amp;"3"&amp;RIGHT("00000"&amp;1248,5))</f>
        <v/>
      </c>
      <c r="AL1253">
        <f>IF($AK1253="","",COUNTIFS(LdAParty,$AE1253,LdAType,1,LdAKey,"&lt;"&amp;$AK1253)+COUNTIFS(LdBMember,$AE1253,LdBKey,"&lt;"&amp;$AK1253)+COUNTIFS(LdCParty,$AE1253,LdCKey,"&lt;"&amp;$AK1253)+1)</f>
        <v/>
      </c>
      <c r="AM1253">
        <f>IF($AL1253="","",$AE1253&amp;"|"&amp;RIGHT("000000"&amp;$AL1253,6))</f>
        <v/>
      </c>
      <c r="AN1253">
        <f>IF($AE1253="","",IF(Sync!$W1253="",0,Sync!$W1253))</f>
        <v/>
      </c>
      <c r="AO1253">
        <f>IF($AE1253="","",IF(Sync!$X1253="",0,Sync!$X1253))</f>
        <v/>
      </c>
      <c r="AP1253">
        <f>IF($AE1253="","",Sync!$R1253)</f>
        <v/>
      </c>
      <c r="AQ1253">
        <f>IF($AE1253="","",Sync!$Y1253)</f>
        <v/>
      </c>
    </row>
    <row r="1254">
      <c r="A1254">
        <f>IF(OR(Wages!$B1257="",Wages!$E1257=""),"",Wages!$E1257)</f>
        <v/>
      </c>
      <c r="B1254">
        <f>IF($A1254="","",IF(Wages!$C1257="دستمزد گروهی",2,1))</f>
        <v/>
      </c>
      <c r="C1254">
        <f>IF($A1254="","",IF(ISNUMBER(Wages!$B1257),IF(AND(Wages!$B1257&gt;=10000101,Wages!$B1257&lt;=99991231),INT(Wages!$B1257/10000),""),IFERROR(VALUE(TRIM(LEFT(Wages!$B1257,FIND("/",Wages!$B1257)-1))),"")))</f>
        <v/>
      </c>
      <c r="D1254">
        <f>IF(OR($A1254="",$C1254=""),"",IF(ISNUMBER(Wages!$B1257),INT(MOD(Wages!$B1257,10000)/100),IFERROR(VALUE(TRIM(LEFT(MID(Wages!$B1257,FIND("/",Wages!$B1257)+1,20),FIND("/",MID(Wages!$B1257,FIND("/",Wages!$B1257)+1,20))-1))),"")))</f>
        <v/>
      </c>
      <c r="E1254">
        <f>IF(OR($A1254="",$C1254=""),"",IF(ISNUMBER(Wages!$B1257),MOD(Wages!$B1257,100),IFERROR(VALUE(TRIM(MID(MID(Wages!$B1257,FIND("/",Wages!$B1257)+1,20),FIND("/",MID(Wages!$B1257,FIND("/",Wages!$B1257)+1,20))+1,20))),"")))</f>
        <v/>
      </c>
      <c r="F1254">
        <f>IF($A1254="","",IF(OR($C1254="",$D1254="",$E1254="",$C1254&lt;1300,$C1254&gt;1500,$D1254&lt;1,$D1254&gt;12,$E1254&lt;1,$E1254&gt;31),"نامعتبر",RIGHT("0000"&amp;$C1254,4)&amp;"/"&amp;RIGHT("00"&amp;$D1254,2)&amp;"/"&amp;RIGHT("00"&amp;$E1254,2)))</f>
        <v/>
      </c>
      <c r="G1254">
        <f>IF(OR($A1254="",$F1254="",$F1254="نامعتبر"),"",LEFT($F1254,4)&amp;MID($F1254,6,2)&amp;RIGHT($F1254,2)&amp;"0000"&amp;"|"&amp;"1"&amp;RIGHT("00000"&amp;1249,5))</f>
        <v/>
      </c>
      <c r="H1254">
        <f>IF(OR($B1254&lt;&gt;1,$G1254=""),"",COUNTIFS(LdAParty,$A1254,LdAType,1,LdAKey,"&lt;"&amp;$G1254)+COUNTIFS(LdBMember,$A1254,LdBKey,"&lt;"&amp;$G1254)+COUNTIFS(LdCParty,$A1254,LdCKey,"&lt;"&amp;$G1254)+1)</f>
        <v/>
      </c>
      <c r="I1254">
        <f>IF($H1254="","",$A1254&amp;"|"&amp;RIGHT("000000"&amp;$H1254,6))</f>
        <v/>
      </c>
      <c r="J1254">
        <f>IF(OR($B1254&lt;&gt;2,$G1254=""),"",COUNTIFS(LdAParty,$A1254,LdAType,2,LdAKey,"&lt;"&amp;$G1254)+1)</f>
        <v/>
      </c>
      <c r="K1254">
        <f>IF($J1254="","",$A1254&amp;"|"&amp;RIGHT("000000"&amp;$J1254,6))</f>
        <v/>
      </c>
      <c r="L1254">
        <f>IF($A1254="","",IF(Wages!$G1257="",0,Wages!$G1257))</f>
        <v/>
      </c>
      <c r="M1254">
        <f>IF($A1254="","",Wages!$J1257)</f>
        <v/>
      </c>
      <c r="N1254">
        <f>IF($A1254="","",Wages!$D1257)</f>
        <v/>
      </c>
      <c r="P1254">
        <f>IF(OR(Shares!$B1257="",Shares!$C1257=""),"",Shares!$C1257)</f>
        <v/>
      </c>
      <c r="Q1254">
        <f>IF($P1254="","",Shares!$B1257)</f>
        <v/>
      </c>
      <c r="R1254">
        <f>IF($P1254="","",IFERROR(INDEX(WageParty,MATCH($Q1254,WageIds,0)),""))</f>
        <v/>
      </c>
      <c r="S1254">
        <f>IF($P1254="","",IFERROR(INDEX($F$6:$F$2005,MATCH($Q1254,WageIds,0)),""))</f>
        <v/>
      </c>
      <c r="T1254">
        <f>IF(OR($P1254="",$S1254="",$S1254="نامعتبر"),"",LEFT($S1254,4)&amp;MID($S1254,6,2)&amp;RIGHT($S1254,2)&amp;"0000"&amp;"|"&amp;"2"&amp;RIGHT("00000"&amp;1249,5))</f>
        <v/>
      </c>
      <c r="U1254">
        <f>IF($T1254="","",COUNTIFS(LdAParty,$P1254,LdAType,1,LdAKey,"&lt;"&amp;$T1254)+COUNTIFS(LdBMember,$P1254,LdBKey,"&lt;"&amp;$T1254)+COUNTIFS(LdCParty,$P1254,LdCKey,"&lt;"&amp;$T1254)+1)</f>
        <v/>
      </c>
      <c r="V1254">
        <f>IF($U1254="","",$P1254&amp;"|"&amp;RIGHT("000000"&amp;$U1254,6))</f>
        <v/>
      </c>
      <c r="W1254">
        <f>IF($T1254="","",COUNTIFS(LdBGroup,$R1254,LdBKey,"&lt;"&amp;$T1254)+1)</f>
        <v/>
      </c>
      <c r="X1254">
        <f>IF($W1254="","",$R1254&amp;"|"&amp;RIGHT("000000"&amp;$W1254,6))</f>
        <v/>
      </c>
      <c r="Y1254">
        <f>IF($P1254="","",IF(Shares!$E1257="",0,Shares!$E1257))</f>
        <v/>
      </c>
      <c r="Z1254">
        <f>IF($P1254="","",Shares!$H1257)</f>
        <v/>
      </c>
      <c r="AE1254">
        <f>IF(OR(Sync!$S1254="",Sync!$P1254=""),"",Sync!$S1254)</f>
        <v/>
      </c>
      <c r="AF1254">
        <f>IF($AE1254="","",IF(ISNUMBER(Sync!$P1254),IF(AND(Sync!$P1254&gt;=10000101,Sync!$P1254&lt;=99991231),INT(Sync!$P1254/10000),""),IFERROR(VALUE(TRIM(LEFT(Sync!$P1254,FIND("/",Sync!$P1254)-1))),"")))</f>
        <v/>
      </c>
      <c r="AG1254">
        <f>IF(OR($AE1254="",$AF1254=""),"",IF(ISNUMBER(Sync!$P1254),INT(MOD(Sync!$P1254,10000)/100),IFERROR(VALUE(TRIM(LEFT(MID(Sync!$P1254,FIND("/",Sync!$P1254)+1,20),FIND("/",MID(Sync!$P1254,FIND("/",Sync!$P1254)+1,20))-1))),"")))</f>
        <v/>
      </c>
      <c r="AH1254">
        <f>IF(OR($AE1254="",$AF1254=""),"",IF(ISNUMBER(Sync!$P1254),MOD(Sync!$P1254,100),IFERROR(VALUE(TRIM(MID(MID(Sync!$P1254,FIND("/",Sync!$P1254)+1,20),FIND("/",MID(Sync!$P1254,FIND("/",Sync!$P1254)+1,20))+1,20))),"")))</f>
        <v/>
      </c>
      <c r="AI1254">
        <f>IF($AE1254="","",IF(OR($AF1254="",$AG1254="",$AH1254="",$AF1254&lt;1300,$AF1254&gt;1500,$AG1254&lt;1,$AG1254&gt;12,$AH1254&lt;1,$AH1254&gt;31),"نامعتبر",RIGHT("0000"&amp;$AF1254,4)&amp;"/"&amp;RIGHT("00"&amp;$AG1254,2)&amp;"/"&amp;RIGHT("00"&amp;$AH1254,2)))</f>
        <v/>
      </c>
      <c r="AJ1254">
        <f>IF($AE1254="","",IF(Sync!$Q1254="","0000",IF(AND(ISNUMBER(Sync!$Q1254),Sync!$Q1254&gt;=0,Sync!$Q1254&lt;1),RIGHT("00"&amp;HOUR(Sync!$Q1254),2)&amp;RIGHT("00"&amp;MINUTE(Sync!$Q1254),2),IFERROR(RIGHT("00"&amp;VALUE(LEFT(Sync!$Q1254,FIND(":",Sync!$Q1254)-1)),2)&amp;RIGHT("00"&amp;VALUE(MID(Sync!$Q1254,FIND(":",Sync!$Q1254)+1,2)),2),"0000"))))</f>
        <v/>
      </c>
      <c r="AK1254">
        <f>IF(OR($AE1254="",$AI1254="",$AI1254="نامعتبر"),"",LEFT($AI1254,4)&amp;MID($AI1254,6,2)&amp;RIGHT($AI1254,2)&amp;$AJ1254&amp;"|"&amp;"3"&amp;RIGHT("00000"&amp;1249,5))</f>
        <v/>
      </c>
      <c r="AL1254">
        <f>IF($AK1254="","",COUNTIFS(LdAParty,$AE1254,LdAType,1,LdAKey,"&lt;"&amp;$AK1254)+COUNTIFS(LdBMember,$AE1254,LdBKey,"&lt;"&amp;$AK1254)+COUNTIFS(LdCParty,$AE1254,LdCKey,"&lt;"&amp;$AK1254)+1)</f>
        <v/>
      </c>
      <c r="AM1254">
        <f>IF($AL1254="","",$AE1254&amp;"|"&amp;RIGHT("000000"&amp;$AL1254,6))</f>
        <v/>
      </c>
      <c r="AN1254">
        <f>IF($AE1254="","",IF(Sync!$W1254="",0,Sync!$W1254))</f>
        <v/>
      </c>
      <c r="AO1254">
        <f>IF($AE1254="","",IF(Sync!$X1254="",0,Sync!$X1254))</f>
        <v/>
      </c>
      <c r="AP1254">
        <f>IF($AE1254="","",Sync!$R1254)</f>
        <v/>
      </c>
      <c r="AQ1254">
        <f>IF($AE1254="","",Sync!$Y1254)</f>
        <v/>
      </c>
    </row>
    <row r="1255">
      <c r="A1255">
        <f>IF(OR(Wages!$B1258="",Wages!$E1258=""),"",Wages!$E1258)</f>
        <v/>
      </c>
      <c r="B1255">
        <f>IF($A1255="","",IF(Wages!$C1258="دستمزد گروهی",2,1))</f>
        <v/>
      </c>
      <c r="C1255">
        <f>IF($A1255="","",IF(ISNUMBER(Wages!$B1258),IF(AND(Wages!$B1258&gt;=10000101,Wages!$B1258&lt;=99991231),INT(Wages!$B1258/10000),""),IFERROR(VALUE(TRIM(LEFT(Wages!$B1258,FIND("/",Wages!$B1258)-1))),"")))</f>
        <v/>
      </c>
      <c r="D1255">
        <f>IF(OR($A1255="",$C1255=""),"",IF(ISNUMBER(Wages!$B1258),INT(MOD(Wages!$B1258,10000)/100),IFERROR(VALUE(TRIM(LEFT(MID(Wages!$B1258,FIND("/",Wages!$B1258)+1,20),FIND("/",MID(Wages!$B1258,FIND("/",Wages!$B1258)+1,20))-1))),"")))</f>
        <v/>
      </c>
      <c r="E1255">
        <f>IF(OR($A1255="",$C1255=""),"",IF(ISNUMBER(Wages!$B1258),MOD(Wages!$B1258,100),IFERROR(VALUE(TRIM(MID(MID(Wages!$B1258,FIND("/",Wages!$B1258)+1,20),FIND("/",MID(Wages!$B1258,FIND("/",Wages!$B1258)+1,20))+1,20))),"")))</f>
        <v/>
      </c>
      <c r="F1255">
        <f>IF($A1255="","",IF(OR($C1255="",$D1255="",$E1255="",$C1255&lt;1300,$C1255&gt;1500,$D1255&lt;1,$D1255&gt;12,$E1255&lt;1,$E1255&gt;31),"نامعتبر",RIGHT("0000"&amp;$C1255,4)&amp;"/"&amp;RIGHT("00"&amp;$D1255,2)&amp;"/"&amp;RIGHT("00"&amp;$E1255,2)))</f>
        <v/>
      </c>
      <c r="G1255">
        <f>IF(OR($A1255="",$F1255="",$F1255="نامعتبر"),"",LEFT($F1255,4)&amp;MID($F1255,6,2)&amp;RIGHT($F1255,2)&amp;"0000"&amp;"|"&amp;"1"&amp;RIGHT("00000"&amp;1250,5))</f>
        <v/>
      </c>
      <c r="H1255">
        <f>IF(OR($B1255&lt;&gt;1,$G1255=""),"",COUNTIFS(LdAParty,$A1255,LdAType,1,LdAKey,"&lt;"&amp;$G1255)+COUNTIFS(LdBMember,$A1255,LdBKey,"&lt;"&amp;$G1255)+COUNTIFS(LdCParty,$A1255,LdCKey,"&lt;"&amp;$G1255)+1)</f>
        <v/>
      </c>
      <c r="I1255">
        <f>IF($H1255="","",$A1255&amp;"|"&amp;RIGHT("000000"&amp;$H1255,6))</f>
        <v/>
      </c>
      <c r="J1255">
        <f>IF(OR($B1255&lt;&gt;2,$G1255=""),"",COUNTIFS(LdAParty,$A1255,LdAType,2,LdAKey,"&lt;"&amp;$G1255)+1)</f>
        <v/>
      </c>
      <c r="K1255">
        <f>IF($J1255="","",$A1255&amp;"|"&amp;RIGHT("000000"&amp;$J1255,6))</f>
        <v/>
      </c>
      <c r="L1255">
        <f>IF($A1255="","",IF(Wages!$G1258="",0,Wages!$G1258))</f>
        <v/>
      </c>
      <c r="M1255">
        <f>IF($A1255="","",Wages!$J1258)</f>
        <v/>
      </c>
      <c r="N1255">
        <f>IF($A1255="","",Wages!$D1258)</f>
        <v/>
      </c>
      <c r="P1255">
        <f>IF(OR(Shares!$B1258="",Shares!$C1258=""),"",Shares!$C1258)</f>
        <v/>
      </c>
      <c r="Q1255">
        <f>IF($P1255="","",Shares!$B1258)</f>
        <v/>
      </c>
      <c r="R1255">
        <f>IF($P1255="","",IFERROR(INDEX(WageParty,MATCH($Q1255,WageIds,0)),""))</f>
        <v/>
      </c>
      <c r="S1255">
        <f>IF($P1255="","",IFERROR(INDEX($F$6:$F$2005,MATCH($Q1255,WageIds,0)),""))</f>
        <v/>
      </c>
      <c r="T1255">
        <f>IF(OR($P1255="",$S1255="",$S1255="نامعتبر"),"",LEFT($S1255,4)&amp;MID($S1255,6,2)&amp;RIGHT($S1255,2)&amp;"0000"&amp;"|"&amp;"2"&amp;RIGHT("00000"&amp;1250,5))</f>
        <v/>
      </c>
      <c r="U1255">
        <f>IF($T1255="","",COUNTIFS(LdAParty,$P1255,LdAType,1,LdAKey,"&lt;"&amp;$T1255)+COUNTIFS(LdBMember,$P1255,LdBKey,"&lt;"&amp;$T1255)+COUNTIFS(LdCParty,$P1255,LdCKey,"&lt;"&amp;$T1255)+1)</f>
        <v/>
      </c>
      <c r="V1255">
        <f>IF($U1255="","",$P1255&amp;"|"&amp;RIGHT("000000"&amp;$U1255,6))</f>
        <v/>
      </c>
      <c r="W1255">
        <f>IF($T1255="","",COUNTIFS(LdBGroup,$R1255,LdBKey,"&lt;"&amp;$T1255)+1)</f>
        <v/>
      </c>
      <c r="X1255">
        <f>IF($W1255="","",$R1255&amp;"|"&amp;RIGHT("000000"&amp;$W1255,6))</f>
        <v/>
      </c>
      <c r="Y1255">
        <f>IF($P1255="","",IF(Shares!$E1258="",0,Shares!$E1258))</f>
        <v/>
      </c>
      <c r="Z1255">
        <f>IF($P1255="","",Shares!$H1258)</f>
        <v/>
      </c>
      <c r="AE1255">
        <f>IF(OR(Sync!$S1255="",Sync!$P1255=""),"",Sync!$S1255)</f>
        <v/>
      </c>
      <c r="AF1255">
        <f>IF($AE1255="","",IF(ISNUMBER(Sync!$P1255),IF(AND(Sync!$P1255&gt;=10000101,Sync!$P1255&lt;=99991231),INT(Sync!$P1255/10000),""),IFERROR(VALUE(TRIM(LEFT(Sync!$P1255,FIND("/",Sync!$P1255)-1))),"")))</f>
        <v/>
      </c>
      <c r="AG1255">
        <f>IF(OR($AE1255="",$AF1255=""),"",IF(ISNUMBER(Sync!$P1255),INT(MOD(Sync!$P1255,10000)/100),IFERROR(VALUE(TRIM(LEFT(MID(Sync!$P1255,FIND("/",Sync!$P1255)+1,20),FIND("/",MID(Sync!$P1255,FIND("/",Sync!$P1255)+1,20))-1))),"")))</f>
        <v/>
      </c>
      <c r="AH1255">
        <f>IF(OR($AE1255="",$AF1255=""),"",IF(ISNUMBER(Sync!$P1255),MOD(Sync!$P1255,100),IFERROR(VALUE(TRIM(MID(MID(Sync!$P1255,FIND("/",Sync!$P1255)+1,20),FIND("/",MID(Sync!$P1255,FIND("/",Sync!$P1255)+1,20))+1,20))),"")))</f>
        <v/>
      </c>
      <c r="AI1255">
        <f>IF($AE1255="","",IF(OR($AF1255="",$AG1255="",$AH1255="",$AF1255&lt;1300,$AF1255&gt;1500,$AG1255&lt;1,$AG1255&gt;12,$AH1255&lt;1,$AH1255&gt;31),"نامعتبر",RIGHT("0000"&amp;$AF1255,4)&amp;"/"&amp;RIGHT("00"&amp;$AG1255,2)&amp;"/"&amp;RIGHT("00"&amp;$AH1255,2)))</f>
        <v/>
      </c>
      <c r="AJ1255">
        <f>IF($AE1255="","",IF(Sync!$Q1255="","0000",IF(AND(ISNUMBER(Sync!$Q1255),Sync!$Q1255&gt;=0,Sync!$Q1255&lt;1),RIGHT("00"&amp;HOUR(Sync!$Q1255),2)&amp;RIGHT("00"&amp;MINUTE(Sync!$Q1255),2),IFERROR(RIGHT("00"&amp;VALUE(LEFT(Sync!$Q1255,FIND(":",Sync!$Q1255)-1)),2)&amp;RIGHT("00"&amp;VALUE(MID(Sync!$Q1255,FIND(":",Sync!$Q1255)+1,2)),2),"0000"))))</f>
        <v/>
      </c>
      <c r="AK1255">
        <f>IF(OR($AE1255="",$AI1255="",$AI1255="نامعتبر"),"",LEFT($AI1255,4)&amp;MID($AI1255,6,2)&amp;RIGHT($AI1255,2)&amp;$AJ1255&amp;"|"&amp;"3"&amp;RIGHT("00000"&amp;1250,5))</f>
        <v/>
      </c>
      <c r="AL1255">
        <f>IF($AK1255="","",COUNTIFS(LdAParty,$AE1255,LdAType,1,LdAKey,"&lt;"&amp;$AK1255)+COUNTIFS(LdBMember,$AE1255,LdBKey,"&lt;"&amp;$AK1255)+COUNTIFS(LdCParty,$AE1255,LdCKey,"&lt;"&amp;$AK1255)+1)</f>
        <v/>
      </c>
      <c r="AM1255">
        <f>IF($AL1255="","",$AE1255&amp;"|"&amp;RIGHT("000000"&amp;$AL1255,6))</f>
        <v/>
      </c>
      <c r="AN1255">
        <f>IF($AE1255="","",IF(Sync!$W1255="",0,Sync!$W1255))</f>
        <v/>
      </c>
      <c r="AO1255">
        <f>IF($AE1255="","",IF(Sync!$X1255="",0,Sync!$X1255))</f>
        <v/>
      </c>
      <c r="AP1255">
        <f>IF($AE1255="","",Sync!$R1255)</f>
        <v/>
      </c>
      <c r="AQ1255">
        <f>IF($AE1255="","",Sync!$Y1255)</f>
        <v/>
      </c>
    </row>
    <row r="1256">
      <c r="A1256">
        <f>IF(OR(Wages!$B1259="",Wages!$E1259=""),"",Wages!$E1259)</f>
        <v/>
      </c>
      <c r="B1256">
        <f>IF($A1256="","",IF(Wages!$C1259="دستمزد گروهی",2,1))</f>
        <v/>
      </c>
      <c r="C1256">
        <f>IF($A1256="","",IF(ISNUMBER(Wages!$B1259),IF(AND(Wages!$B1259&gt;=10000101,Wages!$B1259&lt;=99991231),INT(Wages!$B1259/10000),""),IFERROR(VALUE(TRIM(LEFT(Wages!$B1259,FIND("/",Wages!$B1259)-1))),"")))</f>
        <v/>
      </c>
      <c r="D1256">
        <f>IF(OR($A1256="",$C1256=""),"",IF(ISNUMBER(Wages!$B1259),INT(MOD(Wages!$B1259,10000)/100),IFERROR(VALUE(TRIM(LEFT(MID(Wages!$B1259,FIND("/",Wages!$B1259)+1,20),FIND("/",MID(Wages!$B1259,FIND("/",Wages!$B1259)+1,20))-1))),"")))</f>
        <v/>
      </c>
      <c r="E1256">
        <f>IF(OR($A1256="",$C1256=""),"",IF(ISNUMBER(Wages!$B1259),MOD(Wages!$B1259,100),IFERROR(VALUE(TRIM(MID(MID(Wages!$B1259,FIND("/",Wages!$B1259)+1,20),FIND("/",MID(Wages!$B1259,FIND("/",Wages!$B1259)+1,20))+1,20))),"")))</f>
        <v/>
      </c>
      <c r="F1256">
        <f>IF($A1256="","",IF(OR($C1256="",$D1256="",$E1256="",$C1256&lt;1300,$C1256&gt;1500,$D1256&lt;1,$D1256&gt;12,$E1256&lt;1,$E1256&gt;31),"نامعتبر",RIGHT("0000"&amp;$C1256,4)&amp;"/"&amp;RIGHT("00"&amp;$D1256,2)&amp;"/"&amp;RIGHT("00"&amp;$E1256,2)))</f>
        <v/>
      </c>
      <c r="G1256">
        <f>IF(OR($A1256="",$F1256="",$F1256="نامعتبر"),"",LEFT($F1256,4)&amp;MID($F1256,6,2)&amp;RIGHT($F1256,2)&amp;"0000"&amp;"|"&amp;"1"&amp;RIGHT("00000"&amp;1251,5))</f>
        <v/>
      </c>
      <c r="H1256">
        <f>IF(OR($B1256&lt;&gt;1,$G1256=""),"",COUNTIFS(LdAParty,$A1256,LdAType,1,LdAKey,"&lt;"&amp;$G1256)+COUNTIFS(LdBMember,$A1256,LdBKey,"&lt;"&amp;$G1256)+COUNTIFS(LdCParty,$A1256,LdCKey,"&lt;"&amp;$G1256)+1)</f>
        <v/>
      </c>
      <c r="I1256">
        <f>IF($H1256="","",$A1256&amp;"|"&amp;RIGHT("000000"&amp;$H1256,6))</f>
        <v/>
      </c>
      <c r="J1256">
        <f>IF(OR($B1256&lt;&gt;2,$G1256=""),"",COUNTIFS(LdAParty,$A1256,LdAType,2,LdAKey,"&lt;"&amp;$G1256)+1)</f>
        <v/>
      </c>
      <c r="K1256">
        <f>IF($J1256="","",$A1256&amp;"|"&amp;RIGHT("000000"&amp;$J1256,6))</f>
        <v/>
      </c>
      <c r="L1256">
        <f>IF($A1256="","",IF(Wages!$G1259="",0,Wages!$G1259))</f>
        <v/>
      </c>
      <c r="M1256">
        <f>IF($A1256="","",Wages!$J1259)</f>
        <v/>
      </c>
      <c r="N1256">
        <f>IF($A1256="","",Wages!$D1259)</f>
        <v/>
      </c>
      <c r="P1256">
        <f>IF(OR(Shares!$B1259="",Shares!$C1259=""),"",Shares!$C1259)</f>
        <v/>
      </c>
      <c r="Q1256">
        <f>IF($P1256="","",Shares!$B1259)</f>
        <v/>
      </c>
      <c r="R1256">
        <f>IF($P1256="","",IFERROR(INDEX(WageParty,MATCH($Q1256,WageIds,0)),""))</f>
        <v/>
      </c>
      <c r="S1256">
        <f>IF($P1256="","",IFERROR(INDEX($F$6:$F$2005,MATCH($Q1256,WageIds,0)),""))</f>
        <v/>
      </c>
      <c r="T1256">
        <f>IF(OR($P1256="",$S1256="",$S1256="نامعتبر"),"",LEFT($S1256,4)&amp;MID($S1256,6,2)&amp;RIGHT($S1256,2)&amp;"0000"&amp;"|"&amp;"2"&amp;RIGHT("00000"&amp;1251,5))</f>
        <v/>
      </c>
      <c r="U1256">
        <f>IF($T1256="","",COUNTIFS(LdAParty,$P1256,LdAType,1,LdAKey,"&lt;"&amp;$T1256)+COUNTIFS(LdBMember,$P1256,LdBKey,"&lt;"&amp;$T1256)+COUNTIFS(LdCParty,$P1256,LdCKey,"&lt;"&amp;$T1256)+1)</f>
        <v/>
      </c>
      <c r="V1256">
        <f>IF($U1256="","",$P1256&amp;"|"&amp;RIGHT("000000"&amp;$U1256,6))</f>
        <v/>
      </c>
      <c r="W1256">
        <f>IF($T1256="","",COUNTIFS(LdBGroup,$R1256,LdBKey,"&lt;"&amp;$T1256)+1)</f>
        <v/>
      </c>
      <c r="X1256">
        <f>IF($W1256="","",$R1256&amp;"|"&amp;RIGHT("000000"&amp;$W1256,6))</f>
        <v/>
      </c>
      <c r="Y1256">
        <f>IF($P1256="","",IF(Shares!$E1259="",0,Shares!$E1259))</f>
        <v/>
      </c>
      <c r="Z1256">
        <f>IF($P1256="","",Shares!$H1259)</f>
        <v/>
      </c>
      <c r="AE1256">
        <f>IF(OR(Sync!$S1256="",Sync!$P1256=""),"",Sync!$S1256)</f>
        <v/>
      </c>
      <c r="AF1256">
        <f>IF($AE1256="","",IF(ISNUMBER(Sync!$P1256),IF(AND(Sync!$P1256&gt;=10000101,Sync!$P1256&lt;=99991231),INT(Sync!$P1256/10000),""),IFERROR(VALUE(TRIM(LEFT(Sync!$P1256,FIND("/",Sync!$P1256)-1))),"")))</f>
        <v/>
      </c>
      <c r="AG1256">
        <f>IF(OR($AE1256="",$AF1256=""),"",IF(ISNUMBER(Sync!$P1256),INT(MOD(Sync!$P1256,10000)/100),IFERROR(VALUE(TRIM(LEFT(MID(Sync!$P1256,FIND("/",Sync!$P1256)+1,20),FIND("/",MID(Sync!$P1256,FIND("/",Sync!$P1256)+1,20))-1))),"")))</f>
        <v/>
      </c>
      <c r="AH1256">
        <f>IF(OR($AE1256="",$AF1256=""),"",IF(ISNUMBER(Sync!$P1256),MOD(Sync!$P1256,100),IFERROR(VALUE(TRIM(MID(MID(Sync!$P1256,FIND("/",Sync!$P1256)+1,20),FIND("/",MID(Sync!$P1256,FIND("/",Sync!$P1256)+1,20))+1,20))),"")))</f>
        <v/>
      </c>
      <c r="AI1256">
        <f>IF($AE1256="","",IF(OR($AF1256="",$AG1256="",$AH1256="",$AF1256&lt;1300,$AF1256&gt;1500,$AG1256&lt;1,$AG1256&gt;12,$AH1256&lt;1,$AH1256&gt;31),"نامعتبر",RIGHT("0000"&amp;$AF1256,4)&amp;"/"&amp;RIGHT("00"&amp;$AG1256,2)&amp;"/"&amp;RIGHT("00"&amp;$AH1256,2)))</f>
        <v/>
      </c>
      <c r="AJ1256">
        <f>IF($AE1256="","",IF(Sync!$Q1256="","0000",IF(AND(ISNUMBER(Sync!$Q1256),Sync!$Q1256&gt;=0,Sync!$Q1256&lt;1),RIGHT("00"&amp;HOUR(Sync!$Q1256),2)&amp;RIGHT("00"&amp;MINUTE(Sync!$Q1256),2),IFERROR(RIGHT("00"&amp;VALUE(LEFT(Sync!$Q1256,FIND(":",Sync!$Q1256)-1)),2)&amp;RIGHT("00"&amp;VALUE(MID(Sync!$Q1256,FIND(":",Sync!$Q1256)+1,2)),2),"0000"))))</f>
        <v/>
      </c>
      <c r="AK1256">
        <f>IF(OR($AE1256="",$AI1256="",$AI1256="نامعتبر"),"",LEFT($AI1256,4)&amp;MID($AI1256,6,2)&amp;RIGHT($AI1256,2)&amp;$AJ1256&amp;"|"&amp;"3"&amp;RIGHT("00000"&amp;1251,5))</f>
        <v/>
      </c>
      <c r="AL1256">
        <f>IF($AK1256="","",COUNTIFS(LdAParty,$AE1256,LdAType,1,LdAKey,"&lt;"&amp;$AK1256)+COUNTIFS(LdBMember,$AE1256,LdBKey,"&lt;"&amp;$AK1256)+COUNTIFS(LdCParty,$AE1256,LdCKey,"&lt;"&amp;$AK1256)+1)</f>
        <v/>
      </c>
      <c r="AM1256">
        <f>IF($AL1256="","",$AE1256&amp;"|"&amp;RIGHT("000000"&amp;$AL1256,6))</f>
        <v/>
      </c>
      <c r="AN1256">
        <f>IF($AE1256="","",IF(Sync!$W1256="",0,Sync!$W1256))</f>
        <v/>
      </c>
      <c r="AO1256">
        <f>IF($AE1256="","",IF(Sync!$X1256="",0,Sync!$X1256))</f>
        <v/>
      </c>
      <c r="AP1256">
        <f>IF($AE1256="","",Sync!$R1256)</f>
        <v/>
      </c>
      <c r="AQ1256">
        <f>IF($AE1256="","",Sync!$Y1256)</f>
        <v/>
      </c>
    </row>
    <row r="1257">
      <c r="A1257">
        <f>IF(OR(Wages!$B1260="",Wages!$E1260=""),"",Wages!$E1260)</f>
        <v/>
      </c>
      <c r="B1257">
        <f>IF($A1257="","",IF(Wages!$C1260="دستمزد گروهی",2,1))</f>
        <v/>
      </c>
      <c r="C1257">
        <f>IF($A1257="","",IF(ISNUMBER(Wages!$B1260),IF(AND(Wages!$B1260&gt;=10000101,Wages!$B1260&lt;=99991231),INT(Wages!$B1260/10000),""),IFERROR(VALUE(TRIM(LEFT(Wages!$B1260,FIND("/",Wages!$B1260)-1))),"")))</f>
        <v/>
      </c>
      <c r="D1257">
        <f>IF(OR($A1257="",$C1257=""),"",IF(ISNUMBER(Wages!$B1260),INT(MOD(Wages!$B1260,10000)/100),IFERROR(VALUE(TRIM(LEFT(MID(Wages!$B1260,FIND("/",Wages!$B1260)+1,20),FIND("/",MID(Wages!$B1260,FIND("/",Wages!$B1260)+1,20))-1))),"")))</f>
        <v/>
      </c>
      <c r="E1257">
        <f>IF(OR($A1257="",$C1257=""),"",IF(ISNUMBER(Wages!$B1260),MOD(Wages!$B1260,100),IFERROR(VALUE(TRIM(MID(MID(Wages!$B1260,FIND("/",Wages!$B1260)+1,20),FIND("/",MID(Wages!$B1260,FIND("/",Wages!$B1260)+1,20))+1,20))),"")))</f>
        <v/>
      </c>
      <c r="F1257">
        <f>IF($A1257="","",IF(OR($C1257="",$D1257="",$E1257="",$C1257&lt;1300,$C1257&gt;1500,$D1257&lt;1,$D1257&gt;12,$E1257&lt;1,$E1257&gt;31),"نامعتبر",RIGHT("0000"&amp;$C1257,4)&amp;"/"&amp;RIGHT("00"&amp;$D1257,2)&amp;"/"&amp;RIGHT("00"&amp;$E1257,2)))</f>
        <v/>
      </c>
      <c r="G1257">
        <f>IF(OR($A1257="",$F1257="",$F1257="نامعتبر"),"",LEFT($F1257,4)&amp;MID($F1257,6,2)&amp;RIGHT($F1257,2)&amp;"0000"&amp;"|"&amp;"1"&amp;RIGHT("00000"&amp;1252,5))</f>
        <v/>
      </c>
      <c r="H1257">
        <f>IF(OR($B1257&lt;&gt;1,$G1257=""),"",COUNTIFS(LdAParty,$A1257,LdAType,1,LdAKey,"&lt;"&amp;$G1257)+COUNTIFS(LdBMember,$A1257,LdBKey,"&lt;"&amp;$G1257)+COUNTIFS(LdCParty,$A1257,LdCKey,"&lt;"&amp;$G1257)+1)</f>
        <v/>
      </c>
      <c r="I1257">
        <f>IF($H1257="","",$A1257&amp;"|"&amp;RIGHT("000000"&amp;$H1257,6))</f>
        <v/>
      </c>
      <c r="J1257">
        <f>IF(OR($B1257&lt;&gt;2,$G1257=""),"",COUNTIFS(LdAParty,$A1257,LdAType,2,LdAKey,"&lt;"&amp;$G1257)+1)</f>
        <v/>
      </c>
      <c r="K1257">
        <f>IF($J1257="","",$A1257&amp;"|"&amp;RIGHT("000000"&amp;$J1257,6))</f>
        <v/>
      </c>
      <c r="L1257">
        <f>IF($A1257="","",IF(Wages!$G1260="",0,Wages!$G1260))</f>
        <v/>
      </c>
      <c r="M1257">
        <f>IF($A1257="","",Wages!$J1260)</f>
        <v/>
      </c>
      <c r="N1257">
        <f>IF($A1257="","",Wages!$D1260)</f>
        <v/>
      </c>
      <c r="P1257">
        <f>IF(OR(Shares!$B1260="",Shares!$C1260=""),"",Shares!$C1260)</f>
        <v/>
      </c>
      <c r="Q1257">
        <f>IF($P1257="","",Shares!$B1260)</f>
        <v/>
      </c>
      <c r="R1257">
        <f>IF($P1257="","",IFERROR(INDEX(WageParty,MATCH($Q1257,WageIds,0)),""))</f>
        <v/>
      </c>
      <c r="S1257">
        <f>IF($P1257="","",IFERROR(INDEX($F$6:$F$2005,MATCH($Q1257,WageIds,0)),""))</f>
        <v/>
      </c>
      <c r="T1257">
        <f>IF(OR($P1257="",$S1257="",$S1257="نامعتبر"),"",LEFT($S1257,4)&amp;MID($S1257,6,2)&amp;RIGHT($S1257,2)&amp;"0000"&amp;"|"&amp;"2"&amp;RIGHT("00000"&amp;1252,5))</f>
        <v/>
      </c>
      <c r="U1257">
        <f>IF($T1257="","",COUNTIFS(LdAParty,$P1257,LdAType,1,LdAKey,"&lt;"&amp;$T1257)+COUNTIFS(LdBMember,$P1257,LdBKey,"&lt;"&amp;$T1257)+COUNTIFS(LdCParty,$P1257,LdCKey,"&lt;"&amp;$T1257)+1)</f>
        <v/>
      </c>
      <c r="V1257">
        <f>IF($U1257="","",$P1257&amp;"|"&amp;RIGHT("000000"&amp;$U1257,6))</f>
        <v/>
      </c>
      <c r="W1257">
        <f>IF($T1257="","",COUNTIFS(LdBGroup,$R1257,LdBKey,"&lt;"&amp;$T1257)+1)</f>
        <v/>
      </c>
      <c r="X1257">
        <f>IF($W1257="","",$R1257&amp;"|"&amp;RIGHT("000000"&amp;$W1257,6))</f>
        <v/>
      </c>
      <c r="Y1257">
        <f>IF($P1257="","",IF(Shares!$E1260="",0,Shares!$E1260))</f>
        <v/>
      </c>
      <c r="Z1257">
        <f>IF($P1257="","",Shares!$H1260)</f>
        <v/>
      </c>
      <c r="AE1257">
        <f>IF(OR(Sync!$S1257="",Sync!$P1257=""),"",Sync!$S1257)</f>
        <v/>
      </c>
      <c r="AF1257">
        <f>IF($AE1257="","",IF(ISNUMBER(Sync!$P1257),IF(AND(Sync!$P1257&gt;=10000101,Sync!$P1257&lt;=99991231),INT(Sync!$P1257/10000),""),IFERROR(VALUE(TRIM(LEFT(Sync!$P1257,FIND("/",Sync!$P1257)-1))),"")))</f>
        <v/>
      </c>
      <c r="AG1257">
        <f>IF(OR($AE1257="",$AF1257=""),"",IF(ISNUMBER(Sync!$P1257),INT(MOD(Sync!$P1257,10000)/100),IFERROR(VALUE(TRIM(LEFT(MID(Sync!$P1257,FIND("/",Sync!$P1257)+1,20),FIND("/",MID(Sync!$P1257,FIND("/",Sync!$P1257)+1,20))-1))),"")))</f>
        <v/>
      </c>
      <c r="AH1257">
        <f>IF(OR($AE1257="",$AF1257=""),"",IF(ISNUMBER(Sync!$P1257),MOD(Sync!$P1257,100),IFERROR(VALUE(TRIM(MID(MID(Sync!$P1257,FIND("/",Sync!$P1257)+1,20),FIND("/",MID(Sync!$P1257,FIND("/",Sync!$P1257)+1,20))+1,20))),"")))</f>
        <v/>
      </c>
      <c r="AI1257">
        <f>IF($AE1257="","",IF(OR($AF1257="",$AG1257="",$AH1257="",$AF1257&lt;1300,$AF1257&gt;1500,$AG1257&lt;1,$AG1257&gt;12,$AH1257&lt;1,$AH1257&gt;31),"نامعتبر",RIGHT("0000"&amp;$AF1257,4)&amp;"/"&amp;RIGHT("00"&amp;$AG1257,2)&amp;"/"&amp;RIGHT("00"&amp;$AH1257,2)))</f>
        <v/>
      </c>
      <c r="AJ1257">
        <f>IF($AE1257="","",IF(Sync!$Q1257="","0000",IF(AND(ISNUMBER(Sync!$Q1257),Sync!$Q1257&gt;=0,Sync!$Q1257&lt;1),RIGHT("00"&amp;HOUR(Sync!$Q1257),2)&amp;RIGHT("00"&amp;MINUTE(Sync!$Q1257),2),IFERROR(RIGHT("00"&amp;VALUE(LEFT(Sync!$Q1257,FIND(":",Sync!$Q1257)-1)),2)&amp;RIGHT("00"&amp;VALUE(MID(Sync!$Q1257,FIND(":",Sync!$Q1257)+1,2)),2),"0000"))))</f>
        <v/>
      </c>
      <c r="AK1257">
        <f>IF(OR($AE1257="",$AI1257="",$AI1257="نامعتبر"),"",LEFT($AI1257,4)&amp;MID($AI1257,6,2)&amp;RIGHT($AI1257,2)&amp;$AJ1257&amp;"|"&amp;"3"&amp;RIGHT("00000"&amp;1252,5))</f>
        <v/>
      </c>
      <c r="AL1257">
        <f>IF($AK1257="","",COUNTIFS(LdAParty,$AE1257,LdAType,1,LdAKey,"&lt;"&amp;$AK1257)+COUNTIFS(LdBMember,$AE1257,LdBKey,"&lt;"&amp;$AK1257)+COUNTIFS(LdCParty,$AE1257,LdCKey,"&lt;"&amp;$AK1257)+1)</f>
        <v/>
      </c>
      <c r="AM1257">
        <f>IF($AL1257="","",$AE1257&amp;"|"&amp;RIGHT("000000"&amp;$AL1257,6))</f>
        <v/>
      </c>
      <c r="AN1257">
        <f>IF($AE1257="","",IF(Sync!$W1257="",0,Sync!$W1257))</f>
        <v/>
      </c>
      <c r="AO1257">
        <f>IF($AE1257="","",IF(Sync!$X1257="",0,Sync!$X1257))</f>
        <v/>
      </c>
      <c r="AP1257">
        <f>IF($AE1257="","",Sync!$R1257)</f>
        <v/>
      </c>
      <c r="AQ1257">
        <f>IF($AE1257="","",Sync!$Y1257)</f>
        <v/>
      </c>
    </row>
    <row r="1258">
      <c r="A1258">
        <f>IF(OR(Wages!$B1261="",Wages!$E1261=""),"",Wages!$E1261)</f>
        <v/>
      </c>
      <c r="B1258">
        <f>IF($A1258="","",IF(Wages!$C1261="دستمزد گروهی",2,1))</f>
        <v/>
      </c>
      <c r="C1258">
        <f>IF($A1258="","",IF(ISNUMBER(Wages!$B1261),IF(AND(Wages!$B1261&gt;=10000101,Wages!$B1261&lt;=99991231),INT(Wages!$B1261/10000),""),IFERROR(VALUE(TRIM(LEFT(Wages!$B1261,FIND("/",Wages!$B1261)-1))),"")))</f>
        <v/>
      </c>
      <c r="D1258">
        <f>IF(OR($A1258="",$C1258=""),"",IF(ISNUMBER(Wages!$B1261),INT(MOD(Wages!$B1261,10000)/100),IFERROR(VALUE(TRIM(LEFT(MID(Wages!$B1261,FIND("/",Wages!$B1261)+1,20),FIND("/",MID(Wages!$B1261,FIND("/",Wages!$B1261)+1,20))-1))),"")))</f>
        <v/>
      </c>
      <c r="E1258">
        <f>IF(OR($A1258="",$C1258=""),"",IF(ISNUMBER(Wages!$B1261),MOD(Wages!$B1261,100),IFERROR(VALUE(TRIM(MID(MID(Wages!$B1261,FIND("/",Wages!$B1261)+1,20),FIND("/",MID(Wages!$B1261,FIND("/",Wages!$B1261)+1,20))+1,20))),"")))</f>
        <v/>
      </c>
      <c r="F1258">
        <f>IF($A1258="","",IF(OR($C1258="",$D1258="",$E1258="",$C1258&lt;1300,$C1258&gt;1500,$D1258&lt;1,$D1258&gt;12,$E1258&lt;1,$E1258&gt;31),"نامعتبر",RIGHT("0000"&amp;$C1258,4)&amp;"/"&amp;RIGHT("00"&amp;$D1258,2)&amp;"/"&amp;RIGHT("00"&amp;$E1258,2)))</f>
        <v/>
      </c>
      <c r="G1258">
        <f>IF(OR($A1258="",$F1258="",$F1258="نامعتبر"),"",LEFT($F1258,4)&amp;MID($F1258,6,2)&amp;RIGHT($F1258,2)&amp;"0000"&amp;"|"&amp;"1"&amp;RIGHT("00000"&amp;1253,5))</f>
        <v/>
      </c>
      <c r="H1258">
        <f>IF(OR($B1258&lt;&gt;1,$G1258=""),"",COUNTIFS(LdAParty,$A1258,LdAType,1,LdAKey,"&lt;"&amp;$G1258)+COUNTIFS(LdBMember,$A1258,LdBKey,"&lt;"&amp;$G1258)+COUNTIFS(LdCParty,$A1258,LdCKey,"&lt;"&amp;$G1258)+1)</f>
        <v/>
      </c>
      <c r="I1258">
        <f>IF($H1258="","",$A1258&amp;"|"&amp;RIGHT("000000"&amp;$H1258,6))</f>
        <v/>
      </c>
      <c r="J1258">
        <f>IF(OR($B1258&lt;&gt;2,$G1258=""),"",COUNTIFS(LdAParty,$A1258,LdAType,2,LdAKey,"&lt;"&amp;$G1258)+1)</f>
        <v/>
      </c>
      <c r="K1258">
        <f>IF($J1258="","",$A1258&amp;"|"&amp;RIGHT("000000"&amp;$J1258,6))</f>
        <v/>
      </c>
      <c r="L1258">
        <f>IF($A1258="","",IF(Wages!$G1261="",0,Wages!$G1261))</f>
        <v/>
      </c>
      <c r="M1258">
        <f>IF($A1258="","",Wages!$J1261)</f>
        <v/>
      </c>
      <c r="N1258">
        <f>IF($A1258="","",Wages!$D1261)</f>
        <v/>
      </c>
      <c r="P1258">
        <f>IF(OR(Shares!$B1261="",Shares!$C1261=""),"",Shares!$C1261)</f>
        <v/>
      </c>
      <c r="Q1258">
        <f>IF($P1258="","",Shares!$B1261)</f>
        <v/>
      </c>
      <c r="R1258">
        <f>IF($P1258="","",IFERROR(INDEX(WageParty,MATCH($Q1258,WageIds,0)),""))</f>
        <v/>
      </c>
      <c r="S1258">
        <f>IF($P1258="","",IFERROR(INDEX($F$6:$F$2005,MATCH($Q1258,WageIds,0)),""))</f>
        <v/>
      </c>
      <c r="T1258">
        <f>IF(OR($P1258="",$S1258="",$S1258="نامعتبر"),"",LEFT($S1258,4)&amp;MID($S1258,6,2)&amp;RIGHT($S1258,2)&amp;"0000"&amp;"|"&amp;"2"&amp;RIGHT("00000"&amp;1253,5))</f>
        <v/>
      </c>
      <c r="U1258">
        <f>IF($T1258="","",COUNTIFS(LdAParty,$P1258,LdAType,1,LdAKey,"&lt;"&amp;$T1258)+COUNTIFS(LdBMember,$P1258,LdBKey,"&lt;"&amp;$T1258)+COUNTIFS(LdCParty,$P1258,LdCKey,"&lt;"&amp;$T1258)+1)</f>
        <v/>
      </c>
      <c r="V1258">
        <f>IF($U1258="","",$P1258&amp;"|"&amp;RIGHT("000000"&amp;$U1258,6))</f>
        <v/>
      </c>
      <c r="W1258">
        <f>IF($T1258="","",COUNTIFS(LdBGroup,$R1258,LdBKey,"&lt;"&amp;$T1258)+1)</f>
        <v/>
      </c>
      <c r="X1258">
        <f>IF($W1258="","",$R1258&amp;"|"&amp;RIGHT("000000"&amp;$W1258,6))</f>
        <v/>
      </c>
      <c r="Y1258">
        <f>IF($P1258="","",IF(Shares!$E1261="",0,Shares!$E1261))</f>
        <v/>
      </c>
      <c r="Z1258">
        <f>IF($P1258="","",Shares!$H1261)</f>
        <v/>
      </c>
      <c r="AE1258">
        <f>IF(OR(Sync!$S1258="",Sync!$P1258=""),"",Sync!$S1258)</f>
        <v/>
      </c>
      <c r="AF1258">
        <f>IF($AE1258="","",IF(ISNUMBER(Sync!$P1258),IF(AND(Sync!$P1258&gt;=10000101,Sync!$P1258&lt;=99991231),INT(Sync!$P1258/10000),""),IFERROR(VALUE(TRIM(LEFT(Sync!$P1258,FIND("/",Sync!$P1258)-1))),"")))</f>
        <v/>
      </c>
      <c r="AG1258">
        <f>IF(OR($AE1258="",$AF1258=""),"",IF(ISNUMBER(Sync!$P1258),INT(MOD(Sync!$P1258,10000)/100),IFERROR(VALUE(TRIM(LEFT(MID(Sync!$P1258,FIND("/",Sync!$P1258)+1,20),FIND("/",MID(Sync!$P1258,FIND("/",Sync!$P1258)+1,20))-1))),"")))</f>
        <v/>
      </c>
      <c r="AH1258">
        <f>IF(OR($AE1258="",$AF1258=""),"",IF(ISNUMBER(Sync!$P1258),MOD(Sync!$P1258,100),IFERROR(VALUE(TRIM(MID(MID(Sync!$P1258,FIND("/",Sync!$P1258)+1,20),FIND("/",MID(Sync!$P1258,FIND("/",Sync!$P1258)+1,20))+1,20))),"")))</f>
        <v/>
      </c>
      <c r="AI1258">
        <f>IF($AE1258="","",IF(OR($AF1258="",$AG1258="",$AH1258="",$AF1258&lt;1300,$AF1258&gt;1500,$AG1258&lt;1,$AG1258&gt;12,$AH1258&lt;1,$AH1258&gt;31),"نامعتبر",RIGHT("0000"&amp;$AF1258,4)&amp;"/"&amp;RIGHT("00"&amp;$AG1258,2)&amp;"/"&amp;RIGHT("00"&amp;$AH1258,2)))</f>
        <v/>
      </c>
      <c r="AJ1258">
        <f>IF($AE1258="","",IF(Sync!$Q1258="","0000",IF(AND(ISNUMBER(Sync!$Q1258),Sync!$Q1258&gt;=0,Sync!$Q1258&lt;1),RIGHT("00"&amp;HOUR(Sync!$Q1258),2)&amp;RIGHT("00"&amp;MINUTE(Sync!$Q1258),2),IFERROR(RIGHT("00"&amp;VALUE(LEFT(Sync!$Q1258,FIND(":",Sync!$Q1258)-1)),2)&amp;RIGHT("00"&amp;VALUE(MID(Sync!$Q1258,FIND(":",Sync!$Q1258)+1,2)),2),"0000"))))</f>
        <v/>
      </c>
      <c r="AK1258">
        <f>IF(OR($AE1258="",$AI1258="",$AI1258="نامعتبر"),"",LEFT($AI1258,4)&amp;MID($AI1258,6,2)&amp;RIGHT($AI1258,2)&amp;$AJ1258&amp;"|"&amp;"3"&amp;RIGHT("00000"&amp;1253,5))</f>
        <v/>
      </c>
      <c r="AL1258">
        <f>IF($AK1258="","",COUNTIFS(LdAParty,$AE1258,LdAType,1,LdAKey,"&lt;"&amp;$AK1258)+COUNTIFS(LdBMember,$AE1258,LdBKey,"&lt;"&amp;$AK1258)+COUNTIFS(LdCParty,$AE1258,LdCKey,"&lt;"&amp;$AK1258)+1)</f>
        <v/>
      </c>
      <c r="AM1258">
        <f>IF($AL1258="","",$AE1258&amp;"|"&amp;RIGHT("000000"&amp;$AL1258,6))</f>
        <v/>
      </c>
      <c r="AN1258">
        <f>IF($AE1258="","",IF(Sync!$W1258="",0,Sync!$W1258))</f>
        <v/>
      </c>
      <c r="AO1258">
        <f>IF($AE1258="","",IF(Sync!$X1258="",0,Sync!$X1258))</f>
        <v/>
      </c>
      <c r="AP1258">
        <f>IF($AE1258="","",Sync!$R1258)</f>
        <v/>
      </c>
      <c r="AQ1258">
        <f>IF($AE1258="","",Sync!$Y1258)</f>
        <v/>
      </c>
    </row>
    <row r="1259">
      <c r="A1259">
        <f>IF(OR(Wages!$B1262="",Wages!$E1262=""),"",Wages!$E1262)</f>
        <v/>
      </c>
      <c r="B1259">
        <f>IF($A1259="","",IF(Wages!$C1262="دستمزد گروهی",2,1))</f>
        <v/>
      </c>
      <c r="C1259">
        <f>IF($A1259="","",IF(ISNUMBER(Wages!$B1262),IF(AND(Wages!$B1262&gt;=10000101,Wages!$B1262&lt;=99991231),INT(Wages!$B1262/10000),""),IFERROR(VALUE(TRIM(LEFT(Wages!$B1262,FIND("/",Wages!$B1262)-1))),"")))</f>
        <v/>
      </c>
      <c r="D1259">
        <f>IF(OR($A1259="",$C1259=""),"",IF(ISNUMBER(Wages!$B1262),INT(MOD(Wages!$B1262,10000)/100),IFERROR(VALUE(TRIM(LEFT(MID(Wages!$B1262,FIND("/",Wages!$B1262)+1,20),FIND("/",MID(Wages!$B1262,FIND("/",Wages!$B1262)+1,20))-1))),"")))</f>
        <v/>
      </c>
      <c r="E1259">
        <f>IF(OR($A1259="",$C1259=""),"",IF(ISNUMBER(Wages!$B1262),MOD(Wages!$B1262,100),IFERROR(VALUE(TRIM(MID(MID(Wages!$B1262,FIND("/",Wages!$B1262)+1,20),FIND("/",MID(Wages!$B1262,FIND("/",Wages!$B1262)+1,20))+1,20))),"")))</f>
        <v/>
      </c>
      <c r="F1259">
        <f>IF($A1259="","",IF(OR($C1259="",$D1259="",$E1259="",$C1259&lt;1300,$C1259&gt;1500,$D1259&lt;1,$D1259&gt;12,$E1259&lt;1,$E1259&gt;31),"نامعتبر",RIGHT("0000"&amp;$C1259,4)&amp;"/"&amp;RIGHT("00"&amp;$D1259,2)&amp;"/"&amp;RIGHT("00"&amp;$E1259,2)))</f>
        <v/>
      </c>
      <c r="G1259">
        <f>IF(OR($A1259="",$F1259="",$F1259="نامعتبر"),"",LEFT($F1259,4)&amp;MID($F1259,6,2)&amp;RIGHT($F1259,2)&amp;"0000"&amp;"|"&amp;"1"&amp;RIGHT("00000"&amp;1254,5))</f>
        <v/>
      </c>
      <c r="H1259">
        <f>IF(OR($B1259&lt;&gt;1,$G1259=""),"",COUNTIFS(LdAParty,$A1259,LdAType,1,LdAKey,"&lt;"&amp;$G1259)+COUNTIFS(LdBMember,$A1259,LdBKey,"&lt;"&amp;$G1259)+COUNTIFS(LdCParty,$A1259,LdCKey,"&lt;"&amp;$G1259)+1)</f>
        <v/>
      </c>
      <c r="I1259">
        <f>IF($H1259="","",$A1259&amp;"|"&amp;RIGHT("000000"&amp;$H1259,6))</f>
        <v/>
      </c>
      <c r="J1259">
        <f>IF(OR($B1259&lt;&gt;2,$G1259=""),"",COUNTIFS(LdAParty,$A1259,LdAType,2,LdAKey,"&lt;"&amp;$G1259)+1)</f>
        <v/>
      </c>
      <c r="K1259">
        <f>IF($J1259="","",$A1259&amp;"|"&amp;RIGHT("000000"&amp;$J1259,6))</f>
        <v/>
      </c>
      <c r="L1259">
        <f>IF($A1259="","",IF(Wages!$G1262="",0,Wages!$G1262))</f>
        <v/>
      </c>
      <c r="M1259">
        <f>IF($A1259="","",Wages!$J1262)</f>
        <v/>
      </c>
      <c r="N1259">
        <f>IF($A1259="","",Wages!$D1262)</f>
        <v/>
      </c>
      <c r="P1259">
        <f>IF(OR(Shares!$B1262="",Shares!$C1262=""),"",Shares!$C1262)</f>
        <v/>
      </c>
      <c r="Q1259">
        <f>IF($P1259="","",Shares!$B1262)</f>
        <v/>
      </c>
      <c r="R1259">
        <f>IF($P1259="","",IFERROR(INDEX(WageParty,MATCH($Q1259,WageIds,0)),""))</f>
        <v/>
      </c>
      <c r="S1259">
        <f>IF($P1259="","",IFERROR(INDEX($F$6:$F$2005,MATCH($Q1259,WageIds,0)),""))</f>
        <v/>
      </c>
      <c r="T1259">
        <f>IF(OR($P1259="",$S1259="",$S1259="نامعتبر"),"",LEFT($S1259,4)&amp;MID($S1259,6,2)&amp;RIGHT($S1259,2)&amp;"0000"&amp;"|"&amp;"2"&amp;RIGHT("00000"&amp;1254,5))</f>
        <v/>
      </c>
      <c r="U1259">
        <f>IF($T1259="","",COUNTIFS(LdAParty,$P1259,LdAType,1,LdAKey,"&lt;"&amp;$T1259)+COUNTIFS(LdBMember,$P1259,LdBKey,"&lt;"&amp;$T1259)+COUNTIFS(LdCParty,$P1259,LdCKey,"&lt;"&amp;$T1259)+1)</f>
        <v/>
      </c>
      <c r="V1259">
        <f>IF($U1259="","",$P1259&amp;"|"&amp;RIGHT("000000"&amp;$U1259,6))</f>
        <v/>
      </c>
      <c r="W1259">
        <f>IF($T1259="","",COUNTIFS(LdBGroup,$R1259,LdBKey,"&lt;"&amp;$T1259)+1)</f>
        <v/>
      </c>
      <c r="X1259">
        <f>IF($W1259="","",$R1259&amp;"|"&amp;RIGHT("000000"&amp;$W1259,6))</f>
        <v/>
      </c>
      <c r="Y1259">
        <f>IF($P1259="","",IF(Shares!$E1262="",0,Shares!$E1262))</f>
        <v/>
      </c>
      <c r="Z1259">
        <f>IF($P1259="","",Shares!$H1262)</f>
        <v/>
      </c>
      <c r="AE1259">
        <f>IF(OR(Sync!$S1259="",Sync!$P1259=""),"",Sync!$S1259)</f>
        <v/>
      </c>
      <c r="AF1259">
        <f>IF($AE1259="","",IF(ISNUMBER(Sync!$P1259),IF(AND(Sync!$P1259&gt;=10000101,Sync!$P1259&lt;=99991231),INT(Sync!$P1259/10000),""),IFERROR(VALUE(TRIM(LEFT(Sync!$P1259,FIND("/",Sync!$P1259)-1))),"")))</f>
        <v/>
      </c>
      <c r="AG1259">
        <f>IF(OR($AE1259="",$AF1259=""),"",IF(ISNUMBER(Sync!$P1259),INT(MOD(Sync!$P1259,10000)/100),IFERROR(VALUE(TRIM(LEFT(MID(Sync!$P1259,FIND("/",Sync!$P1259)+1,20),FIND("/",MID(Sync!$P1259,FIND("/",Sync!$P1259)+1,20))-1))),"")))</f>
        <v/>
      </c>
      <c r="AH1259">
        <f>IF(OR($AE1259="",$AF1259=""),"",IF(ISNUMBER(Sync!$P1259),MOD(Sync!$P1259,100),IFERROR(VALUE(TRIM(MID(MID(Sync!$P1259,FIND("/",Sync!$P1259)+1,20),FIND("/",MID(Sync!$P1259,FIND("/",Sync!$P1259)+1,20))+1,20))),"")))</f>
        <v/>
      </c>
      <c r="AI1259">
        <f>IF($AE1259="","",IF(OR($AF1259="",$AG1259="",$AH1259="",$AF1259&lt;1300,$AF1259&gt;1500,$AG1259&lt;1,$AG1259&gt;12,$AH1259&lt;1,$AH1259&gt;31),"نامعتبر",RIGHT("0000"&amp;$AF1259,4)&amp;"/"&amp;RIGHT("00"&amp;$AG1259,2)&amp;"/"&amp;RIGHT("00"&amp;$AH1259,2)))</f>
        <v/>
      </c>
      <c r="AJ1259">
        <f>IF($AE1259="","",IF(Sync!$Q1259="","0000",IF(AND(ISNUMBER(Sync!$Q1259),Sync!$Q1259&gt;=0,Sync!$Q1259&lt;1),RIGHT("00"&amp;HOUR(Sync!$Q1259),2)&amp;RIGHT("00"&amp;MINUTE(Sync!$Q1259),2),IFERROR(RIGHT("00"&amp;VALUE(LEFT(Sync!$Q1259,FIND(":",Sync!$Q1259)-1)),2)&amp;RIGHT("00"&amp;VALUE(MID(Sync!$Q1259,FIND(":",Sync!$Q1259)+1,2)),2),"0000"))))</f>
        <v/>
      </c>
      <c r="AK1259">
        <f>IF(OR($AE1259="",$AI1259="",$AI1259="نامعتبر"),"",LEFT($AI1259,4)&amp;MID($AI1259,6,2)&amp;RIGHT($AI1259,2)&amp;$AJ1259&amp;"|"&amp;"3"&amp;RIGHT("00000"&amp;1254,5))</f>
        <v/>
      </c>
      <c r="AL1259">
        <f>IF($AK1259="","",COUNTIFS(LdAParty,$AE1259,LdAType,1,LdAKey,"&lt;"&amp;$AK1259)+COUNTIFS(LdBMember,$AE1259,LdBKey,"&lt;"&amp;$AK1259)+COUNTIFS(LdCParty,$AE1259,LdCKey,"&lt;"&amp;$AK1259)+1)</f>
        <v/>
      </c>
      <c r="AM1259">
        <f>IF($AL1259="","",$AE1259&amp;"|"&amp;RIGHT("000000"&amp;$AL1259,6))</f>
        <v/>
      </c>
      <c r="AN1259">
        <f>IF($AE1259="","",IF(Sync!$W1259="",0,Sync!$W1259))</f>
        <v/>
      </c>
      <c r="AO1259">
        <f>IF($AE1259="","",IF(Sync!$X1259="",0,Sync!$X1259))</f>
        <v/>
      </c>
      <c r="AP1259">
        <f>IF($AE1259="","",Sync!$R1259)</f>
        <v/>
      </c>
      <c r="AQ1259">
        <f>IF($AE1259="","",Sync!$Y1259)</f>
        <v/>
      </c>
    </row>
    <row r="1260">
      <c r="A1260">
        <f>IF(OR(Wages!$B1263="",Wages!$E1263=""),"",Wages!$E1263)</f>
        <v/>
      </c>
      <c r="B1260">
        <f>IF($A1260="","",IF(Wages!$C1263="دستمزد گروهی",2,1))</f>
        <v/>
      </c>
      <c r="C1260">
        <f>IF($A1260="","",IF(ISNUMBER(Wages!$B1263),IF(AND(Wages!$B1263&gt;=10000101,Wages!$B1263&lt;=99991231),INT(Wages!$B1263/10000),""),IFERROR(VALUE(TRIM(LEFT(Wages!$B1263,FIND("/",Wages!$B1263)-1))),"")))</f>
        <v/>
      </c>
      <c r="D1260">
        <f>IF(OR($A1260="",$C1260=""),"",IF(ISNUMBER(Wages!$B1263),INT(MOD(Wages!$B1263,10000)/100),IFERROR(VALUE(TRIM(LEFT(MID(Wages!$B1263,FIND("/",Wages!$B1263)+1,20),FIND("/",MID(Wages!$B1263,FIND("/",Wages!$B1263)+1,20))-1))),"")))</f>
        <v/>
      </c>
      <c r="E1260">
        <f>IF(OR($A1260="",$C1260=""),"",IF(ISNUMBER(Wages!$B1263),MOD(Wages!$B1263,100),IFERROR(VALUE(TRIM(MID(MID(Wages!$B1263,FIND("/",Wages!$B1263)+1,20),FIND("/",MID(Wages!$B1263,FIND("/",Wages!$B1263)+1,20))+1,20))),"")))</f>
        <v/>
      </c>
      <c r="F1260">
        <f>IF($A1260="","",IF(OR($C1260="",$D1260="",$E1260="",$C1260&lt;1300,$C1260&gt;1500,$D1260&lt;1,$D1260&gt;12,$E1260&lt;1,$E1260&gt;31),"نامعتبر",RIGHT("0000"&amp;$C1260,4)&amp;"/"&amp;RIGHT("00"&amp;$D1260,2)&amp;"/"&amp;RIGHT("00"&amp;$E1260,2)))</f>
        <v/>
      </c>
      <c r="G1260">
        <f>IF(OR($A1260="",$F1260="",$F1260="نامعتبر"),"",LEFT($F1260,4)&amp;MID($F1260,6,2)&amp;RIGHT($F1260,2)&amp;"0000"&amp;"|"&amp;"1"&amp;RIGHT("00000"&amp;1255,5))</f>
        <v/>
      </c>
      <c r="H1260">
        <f>IF(OR($B1260&lt;&gt;1,$G1260=""),"",COUNTIFS(LdAParty,$A1260,LdAType,1,LdAKey,"&lt;"&amp;$G1260)+COUNTIFS(LdBMember,$A1260,LdBKey,"&lt;"&amp;$G1260)+COUNTIFS(LdCParty,$A1260,LdCKey,"&lt;"&amp;$G1260)+1)</f>
        <v/>
      </c>
      <c r="I1260">
        <f>IF($H1260="","",$A1260&amp;"|"&amp;RIGHT("000000"&amp;$H1260,6))</f>
        <v/>
      </c>
      <c r="J1260">
        <f>IF(OR($B1260&lt;&gt;2,$G1260=""),"",COUNTIFS(LdAParty,$A1260,LdAType,2,LdAKey,"&lt;"&amp;$G1260)+1)</f>
        <v/>
      </c>
      <c r="K1260">
        <f>IF($J1260="","",$A1260&amp;"|"&amp;RIGHT("000000"&amp;$J1260,6))</f>
        <v/>
      </c>
      <c r="L1260">
        <f>IF($A1260="","",IF(Wages!$G1263="",0,Wages!$G1263))</f>
        <v/>
      </c>
      <c r="M1260">
        <f>IF($A1260="","",Wages!$J1263)</f>
        <v/>
      </c>
      <c r="N1260">
        <f>IF($A1260="","",Wages!$D1263)</f>
        <v/>
      </c>
      <c r="P1260">
        <f>IF(OR(Shares!$B1263="",Shares!$C1263=""),"",Shares!$C1263)</f>
        <v/>
      </c>
      <c r="Q1260">
        <f>IF($P1260="","",Shares!$B1263)</f>
        <v/>
      </c>
      <c r="R1260">
        <f>IF($P1260="","",IFERROR(INDEX(WageParty,MATCH($Q1260,WageIds,0)),""))</f>
        <v/>
      </c>
      <c r="S1260">
        <f>IF($P1260="","",IFERROR(INDEX($F$6:$F$2005,MATCH($Q1260,WageIds,0)),""))</f>
        <v/>
      </c>
      <c r="T1260">
        <f>IF(OR($P1260="",$S1260="",$S1260="نامعتبر"),"",LEFT($S1260,4)&amp;MID($S1260,6,2)&amp;RIGHT($S1260,2)&amp;"0000"&amp;"|"&amp;"2"&amp;RIGHT("00000"&amp;1255,5))</f>
        <v/>
      </c>
      <c r="U1260">
        <f>IF($T1260="","",COUNTIFS(LdAParty,$P1260,LdAType,1,LdAKey,"&lt;"&amp;$T1260)+COUNTIFS(LdBMember,$P1260,LdBKey,"&lt;"&amp;$T1260)+COUNTIFS(LdCParty,$P1260,LdCKey,"&lt;"&amp;$T1260)+1)</f>
        <v/>
      </c>
      <c r="V1260">
        <f>IF($U1260="","",$P1260&amp;"|"&amp;RIGHT("000000"&amp;$U1260,6))</f>
        <v/>
      </c>
      <c r="W1260">
        <f>IF($T1260="","",COUNTIFS(LdBGroup,$R1260,LdBKey,"&lt;"&amp;$T1260)+1)</f>
        <v/>
      </c>
      <c r="X1260">
        <f>IF($W1260="","",$R1260&amp;"|"&amp;RIGHT("000000"&amp;$W1260,6))</f>
        <v/>
      </c>
      <c r="Y1260">
        <f>IF($P1260="","",IF(Shares!$E1263="",0,Shares!$E1263))</f>
        <v/>
      </c>
      <c r="Z1260">
        <f>IF($P1260="","",Shares!$H1263)</f>
        <v/>
      </c>
      <c r="AE1260">
        <f>IF(OR(Sync!$S1260="",Sync!$P1260=""),"",Sync!$S1260)</f>
        <v/>
      </c>
      <c r="AF1260">
        <f>IF($AE1260="","",IF(ISNUMBER(Sync!$P1260),IF(AND(Sync!$P1260&gt;=10000101,Sync!$P1260&lt;=99991231),INT(Sync!$P1260/10000),""),IFERROR(VALUE(TRIM(LEFT(Sync!$P1260,FIND("/",Sync!$P1260)-1))),"")))</f>
        <v/>
      </c>
      <c r="AG1260">
        <f>IF(OR($AE1260="",$AF1260=""),"",IF(ISNUMBER(Sync!$P1260),INT(MOD(Sync!$P1260,10000)/100),IFERROR(VALUE(TRIM(LEFT(MID(Sync!$P1260,FIND("/",Sync!$P1260)+1,20),FIND("/",MID(Sync!$P1260,FIND("/",Sync!$P1260)+1,20))-1))),"")))</f>
        <v/>
      </c>
      <c r="AH1260">
        <f>IF(OR($AE1260="",$AF1260=""),"",IF(ISNUMBER(Sync!$P1260),MOD(Sync!$P1260,100),IFERROR(VALUE(TRIM(MID(MID(Sync!$P1260,FIND("/",Sync!$P1260)+1,20),FIND("/",MID(Sync!$P1260,FIND("/",Sync!$P1260)+1,20))+1,20))),"")))</f>
        <v/>
      </c>
      <c r="AI1260">
        <f>IF($AE1260="","",IF(OR($AF1260="",$AG1260="",$AH1260="",$AF1260&lt;1300,$AF1260&gt;1500,$AG1260&lt;1,$AG1260&gt;12,$AH1260&lt;1,$AH1260&gt;31),"نامعتبر",RIGHT("0000"&amp;$AF1260,4)&amp;"/"&amp;RIGHT("00"&amp;$AG1260,2)&amp;"/"&amp;RIGHT("00"&amp;$AH1260,2)))</f>
        <v/>
      </c>
      <c r="AJ1260">
        <f>IF($AE1260="","",IF(Sync!$Q1260="","0000",IF(AND(ISNUMBER(Sync!$Q1260),Sync!$Q1260&gt;=0,Sync!$Q1260&lt;1),RIGHT("00"&amp;HOUR(Sync!$Q1260),2)&amp;RIGHT("00"&amp;MINUTE(Sync!$Q1260),2),IFERROR(RIGHT("00"&amp;VALUE(LEFT(Sync!$Q1260,FIND(":",Sync!$Q1260)-1)),2)&amp;RIGHT("00"&amp;VALUE(MID(Sync!$Q1260,FIND(":",Sync!$Q1260)+1,2)),2),"0000"))))</f>
        <v/>
      </c>
      <c r="AK1260">
        <f>IF(OR($AE1260="",$AI1260="",$AI1260="نامعتبر"),"",LEFT($AI1260,4)&amp;MID($AI1260,6,2)&amp;RIGHT($AI1260,2)&amp;$AJ1260&amp;"|"&amp;"3"&amp;RIGHT("00000"&amp;1255,5))</f>
        <v/>
      </c>
      <c r="AL1260">
        <f>IF($AK1260="","",COUNTIFS(LdAParty,$AE1260,LdAType,1,LdAKey,"&lt;"&amp;$AK1260)+COUNTIFS(LdBMember,$AE1260,LdBKey,"&lt;"&amp;$AK1260)+COUNTIFS(LdCParty,$AE1260,LdCKey,"&lt;"&amp;$AK1260)+1)</f>
        <v/>
      </c>
      <c r="AM1260">
        <f>IF($AL1260="","",$AE1260&amp;"|"&amp;RIGHT("000000"&amp;$AL1260,6))</f>
        <v/>
      </c>
      <c r="AN1260">
        <f>IF($AE1260="","",IF(Sync!$W1260="",0,Sync!$W1260))</f>
        <v/>
      </c>
      <c r="AO1260">
        <f>IF($AE1260="","",IF(Sync!$X1260="",0,Sync!$X1260))</f>
        <v/>
      </c>
      <c r="AP1260">
        <f>IF($AE1260="","",Sync!$R1260)</f>
        <v/>
      </c>
      <c r="AQ1260">
        <f>IF($AE1260="","",Sync!$Y1260)</f>
        <v/>
      </c>
    </row>
    <row r="1261">
      <c r="A1261">
        <f>IF(OR(Wages!$B1264="",Wages!$E1264=""),"",Wages!$E1264)</f>
        <v/>
      </c>
      <c r="B1261">
        <f>IF($A1261="","",IF(Wages!$C1264="دستمزد گروهی",2,1))</f>
        <v/>
      </c>
      <c r="C1261">
        <f>IF($A1261="","",IF(ISNUMBER(Wages!$B1264),IF(AND(Wages!$B1264&gt;=10000101,Wages!$B1264&lt;=99991231),INT(Wages!$B1264/10000),""),IFERROR(VALUE(TRIM(LEFT(Wages!$B1264,FIND("/",Wages!$B1264)-1))),"")))</f>
        <v/>
      </c>
      <c r="D1261">
        <f>IF(OR($A1261="",$C1261=""),"",IF(ISNUMBER(Wages!$B1264),INT(MOD(Wages!$B1264,10000)/100),IFERROR(VALUE(TRIM(LEFT(MID(Wages!$B1264,FIND("/",Wages!$B1264)+1,20),FIND("/",MID(Wages!$B1264,FIND("/",Wages!$B1264)+1,20))-1))),"")))</f>
        <v/>
      </c>
      <c r="E1261">
        <f>IF(OR($A1261="",$C1261=""),"",IF(ISNUMBER(Wages!$B1264),MOD(Wages!$B1264,100),IFERROR(VALUE(TRIM(MID(MID(Wages!$B1264,FIND("/",Wages!$B1264)+1,20),FIND("/",MID(Wages!$B1264,FIND("/",Wages!$B1264)+1,20))+1,20))),"")))</f>
        <v/>
      </c>
      <c r="F1261">
        <f>IF($A1261="","",IF(OR($C1261="",$D1261="",$E1261="",$C1261&lt;1300,$C1261&gt;1500,$D1261&lt;1,$D1261&gt;12,$E1261&lt;1,$E1261&gt;31),"نامعتبر",RIGHT("0000"&amp;$C1261,4)&amp;"/"&amp;RIGHT("00"&amp;$D1261,2)&amp;"/"&amp;RIGHT("00"&amp;$E1261,2)))</f>
        <v/>
      </c>
      <c r="G1261">
        <f>IF(OR($A1261="",$F1261="",$F1261="نامعتبر"),"",LEFT($F1261,4)&amp;MID($F1261,6,2)&amp;RIGHT($F1261,2)&amp;"0000"&amp;"|"&amp;"1"&amp;RIGHT("00000"&amp;1256,5))</f>
        <v/>
      </c>
      <c r="H1261">
        <f>IF(OR($B1261&lt;&gt;1,$G1261=""),"",COUNTIFS(LdAParty,$A1261,LdAType,1,LdAKey,"&lt;"&amp;$G1261)+COUNTIFS(LdBMember,$A1261,LdBKey,"&lt;"&amp;$G1261)+COUNTIFS(LdCParty,$A1261,LdCKey,"&lt;"&amp;$G1261)+1)</f>
        <v/>
      </c>
      <c r="I1261">
        <f>IF($H1261="","",$A1261&amp;"|"&amp;RIGHT("000000"&amp;$H1261,6))</f>
        <v/>
      </c>
      <c r="J1261">
        <f>IF(OR($B1261&lt;&gt;2,$G1261=""),"",COUNTIFS(LdAParty,$A1261,LdAType,2,LdAKey,"&lt;"&amp;$G1261)+1)</f>
        <v/>
      </c>
      <c r="K1261">
        <f>IF($J1261="","",$A1261&amp;"|"&amp;RIGHT("000000"&amp;$J1261,6))</f>
        <v/>
      </c>
      <c r="L1261">
        <f>IF($A1261="","",IF(Wages!$G1264="",0,Wages!$G1264))</f>
        <v/>
      </c>
      <c r="M1261">
        <f>IF($A1261="","",Wages!$J1264)</f>
        <v/>
      </c>
      <c r="N1261">
        <f>IF($A1261="","",Wages!$D1264)</f>
        <v/>
      </c>
      <c r="P1261">
        <f>IF(OR(Shares!$B1264="",Shares!$C1264=""),"",Shares!$C1264)</f>
        <v/>
      </c>
      <c r="Q1261">
        <f>IF($P1261="","",Shares!$B1264)</f>
        <v/>
      </c>
      <c r="R1261">
        <f>IF($P1261="","",IFERROR(INDEX(WageParty,MATCH($Q1261,WageIds,0)),""))</f>
        <v/>
      </c>
      <c r="S1261">
        <f>IF($P1261="","",IFERROR(INDEX($F$6:$F$2005,MATCH($Q1261,WageIds,0)),""))</f>
        <v/>
      </c>
      <c r="T1261">
        <f>IF(OR($P1261="",$S1261="",$S1261="نامعتبر"),"",LEFT($S1261,4)&amp;MID($S1261,6,2)&amp;RIGHT($S1261,2)&amp;"0000"&amp;"|"&amp;"2"&amp;RIGHT("00000"&amp;1256,5))</f>
        <v/>
      </c>
      <c r="U1261">
        <f>IF($T1261="","",COUNTIFS(LdAParty,$P1261,LdAType,1,LdAKey,"&lt;"&amp;$T1261)+COUNTIFS(LdBMember,$P1261,LdBKey,"&lt;"&amp;$T1261)+COUNTIFS(LdCParty,$P1261,LdCKey,"&lt;"&amp;$T1261)+1)</f>
        <v/>
      </c>
      <c r="V1261">
        <f>IF($U1261="","",$P1261&amp;"|"&amp;RIGHT("000000"&amp;$U1261,6))</f>
        <v/>
      </c>
      <c r="W1261">
        <f>IF($T1261="","",COUNTIFS(LdBGroup,$R1261,LdBKey,"&lt;"&amp;$T1261)+1)</f>
        <v/>
      </c>
      <c r="X1261">
        <f>IF($W1261="","",$R1261&amp;"|"&amp;RIGHT("000000"&amp;$W1261,6))</f>
        <v/>
      </c>
      <c r="Y1261">
        <f>IF($P1261="","",IF(Shares!$E1264="",0,Shares!$E1264))</f>
        <v/>
      </c>
      <c r="Z1261">
        <f>IF($P1261="","",Shares!$H1264)</f>
        <v/>
      </c>
      <c r="AE1261">
        <f>IF(OR(Sync!$S1261="",Sync!$P1261=""),"",Sync!$S1261)</f>
        <v/>
      </c>
      <c r="AF1261">
        <f>IF($AE1261="","",IF(ISNUMBER(Sync!$P1261),IF(AND(Sync!$P1261&gt;=10000101,Sync!$P1261&lt;=99991231),INT(Sync!$P1261/10000),""),IFERROR(VALUE(TRIM(LEFT(Sync!$P1261,FIND("/",Sync!$P1261)-1))),"")))</f>
        <v/>
      </c>
      <c r="AG1261">
        <f>IF(OR($AE1261="",$AF1261=""),"",IF(ISNUMBER(Sync!$P1261),INT(MOD(Sync!$P1261,10000)/100),IFERROR(VALUE(TRIM(LEFT(MID(Sync!$P1261,FIND("/",Sync!$P1261)+1,20),FIND("/",MID(Sync!$P1261,FIND("/",Sync!$P1261)+1,20))-1))),"")))</f>
        <v/>
      </c>
      <c r="AH1261">
        <f>IF(OR($AE1261="",$AF1261=""),"",IF(ISNUMBER(Sync!$P1261),MOD(Sync!$P1261,100),IFERROR(VALUE(TRIM(MID(MID(Sync!$P1261,FIND("/",Sync!$P1261)+1,20),FIND("/",MID(Sync!$P1261,FIND("/",Sync!$P1261)+1,20))+1,20))),"")))</f>
        <v/>
      </c>
      <c r="AI1261">
        <f>IF($AE1261="","",IF(OR($AF1261="",$AG1261="",$AH1261="",$AF1261&lt;1300,$AF1261&gt;1500,$AG1261&lt;1,$AG1261&gt;12,$AH1261&lt;1,$AH1261&gt;31),"نامعتبر",RIGHT("0000"&amp;$AF1261,4)&amp;"/"&amp;RIGHT("00"&amp;$AG1261,2)&amp;"/"&amp;RIGHT("00"&amp;$AH1261,2)))</f>
        <v/>
      </c>
      <c r="AJ1261">
        <f>IF($AE1261="","",IF(Sync!$Q1261="","0000",IF(AND(ISNUMBER(Sync!$Q1261),Sync!$Q1261&gt;=0,Sync!$Q1261&lt;1),RIGHT("00"&amp;HOUR(Sync!$Q1261),2)&amp;RIGHT("00"&amp;MINUTE(Sync!$Q1261),2),IFERROR(RIGHT("00"&amp;VALUE(LEFT(Sync!$Q1261,FIND(":",Sync!$Q1261)-1)),2)&amp;RIGHT("00"&amp;VALUE(MID(Sync!$Q1261,FIND(":",Sync!$Q1261)+1,2)),2),"0000"))))</f>
        <v/>
      </c>
      <c r="AK1261">
        <f>IF(OR($AE1261="",$AI1261="",$AI1261="نامعتبر"),"",LEFT($AI1261,4)&amp;MID($AI1261,6,2)&amp;RIGHT($AI1261,2)&amp;$AJ1261&amp;"|"&amp;"3"&amp;RIGHT("00000"&amp;1256,5))</f>
        <v/>
      </c>
      <c r="AL1261">
        <f>IF($AK1261="","",COUNTIFS(LdAParty,$AE1261,LdAType,1,LdAKey,"&lt;"&amp;$AK1261)+COUNTIFS(LdBMember,$AE1261,LdBKey,"&lt;"&amp;$AK1261)+COUNTIFS(LdCParty,$AE1261,LdCKey,"&lt;"&amp;$AK1261)+1)</f>
        <v/>
      </c>
      <c r="AM1261">
        <f>IF($AL1261="","",$AE1261&amp;"|"&amp;RIGHT("000000"&amp;$AL1261,6))</f>
        <v/>
      </c>
      <c r="AN1261">
        <f>IF($AE1261="","",IF(Sync!$W1261="",0,Sync!$W1261))</f>
        <v/>
      </c>
      <c r="AO1261">
        <f>IF($AE1261="","",IF(Sync!$X1261="",0,Sync!$X1261))</f>
        <v/>
      </c>
      <c r="AP1261">
        <f>IF($AE1261="","",Sync!$R1261)</f>
        <v/>
      </c>
      <c r="AQ1261">
        <f>IF($AE1261="","",Sync!$Y1261)</f>
        <v/>
      </c>
    </row>
    <row r="1262">
      <c r="A1262">
        <f>IF(OR(Wages!$B1265="",Wages!$E1265=""),"",Wages!$E1265)</f>
        <v/>
      </c>
      <c r="B1262">
        <f>IF($A1262="","",IF(Wages!$C1265="دستمزد گروهی",2,1))</f>
        <v/>
      </c>
      <c r="C1262">
        <f>IF($A1262="","",IF(ISNUMBER(Wages!$B1265),IF(AND(Wages!$B1265&gt;=10000101,Wages!$B1265&lt;=99991231),INT(Wages!$B1265/10000),""),IFERROR(VALUE(TRIM(LEFT(Wages!$B1265,FIND("/",Wages!$B1265)-1))),"")))</f>
        <v/>
      </c>
      <c r="D1262">
        <f>IF(OR($A1262="",$C1262=""),"",IF(ISNUMBER(Wages!$B1265),INT(MOD(Wages!$B1265,10000)/100),IFERROR(VALUE(TRIM(LEFT(MID(Wages!$B1265,FIND("/",Wages!$B1265)+1,20),FIND("/",MID(Wages!$B1265,FIND("/",Wages!$B1265)+1,20))-1))),"")))</f>
        <v/>
      </c>
      <c r="E1262">
        <f>IF(OR($A1262="",$C1262=""),"",IF(ISNUMBER(Wages!$B1265),MOD(Wages!$B1265,100),IFERROR(VALUE(TRIM(MID(MID(Wages!$B1265,FIND("/",Wages!$B1265)+1,20),FIND("/",MID(Wages!$B1265,FIND("/",Wages!$B1265)+1,20))+1,20))),"")))</f>
        <v/>
      </c>
      <c r="F1262">
        <f>IF($A1262="","",IF(OR($C1262="",$D1262="",$E1262="",$C1262&lt;1300,$C1262&gt;1500,$D1262&lt;1,$D1262&gt;12,$E1262&lt;1,$E1262&gt;31),"نامعتبر",RIGHT("0000"&amp;$C1262,4)&amp;"/"&amp;RIGHT("00"&amp;$D1262,2)&amp;"/"&amp;RIGHT("00"&amp;$E1262,2)))</f>
        <v/>
      </c>
      <c r="G1262">
        <f>IF(OR($A1262="",$F1262="",$F1262="نامعتبر"),"",LEFT($F1262,4)&amp;MID($F1262,6,2)&amp;RIGHT($F1262,2)&amp;"0000"&amp;"|"&amp;"1"&amp;RIGHT("00000"&amp;1257,5))</f>
        <v/>
      </c>
      <c r="H1262">
        <f>IF(OR($B1262&lt;&gt;1,$G1262=""),"",COUNTIFS(LdAParty,$A1262,LdAType,1,LdAKey,"&lt;"&amp;$G1262)+COUNTIFS(LdBMember,$A1262,LdBKey,"&lt;"&amp;$G1262)+COUNTIFS(LdCParty,$A1262,LdCKey,"&lt;"&amp;$G1262)+1)</f>
        <v/>
      </c>
      <c r="I1262">
        <f>IF($H1262="","",$A1262&amp;"|"&amp;RIGHT("000000"&amp;$H1262,6))</f>
        <v/>
      </c>
      <c r="J1262">
        <f>IF(OR($B1262&lt;&gt;2,$G1262=""),"",COUNTIFS(LdAParty,$A1262,LdAType,2,LdAKey,"&lt;"&amp;$G1262)+1)</f>
        <v/>
      </c>
      <c r="K1262">
        <f>IF($J1262="","",$A1262&amp;"|"&amp;RIGHT("000000"&amp;$J1262,6))</f>
        <v/>
      </c>
      <c r="L1262">
        <f>IF($A1262="","",IF(Wages!$G1265="",0,Wages!$G1265))</f>
        <v/>
      </c>
      <c r="M1262">
        <f>IF($A1262="","",Wages!$J1265)</f>
        <v/>
      </c>
      <c r="N1262">
        <f>IF($A1262="","",Wages!$D1265)</f>
        <v/>
      </c>
      <c r="P1262">
        <f>IF(OR(Shares!$B1265="",Shares!$C1265=""),"",Shares!$C1265)</f>
        <v/>
      </c>
      <c r="Q1262">
        <f>IF($P1262="","",Shares!$B1265)</f>
        <v/>
      </c>
      <c r="R1262">
        <f>IF($P1262="","",IFERROR(INDEX(WageParty,MATCH($Q1262,WageIds,0)),""))</f>
        <v/>
      </c>
      <c r="S1262">
        <f>IF($P1262="","",IFERROR(INDEX($F$6:$F$2005,MATCH($Q1262,WageIds,0)),""))</f>
        <v/>
      </c>
      <c r="T1262">
        <f>IF(OR($P1262="",$S1262="",$S1262="نامعتبر"),"",LEFT($S1262,4)&amp;MID($S1262,6,2)&amp;RIGHT($S1262,2)&amp;"0000"&amp;"|"&amp;"2"&amp;RIGHT("00000"&amp;1257,5))</f>
        <v/>
      </c>
      <c r="U1262">
        <f>IF($T1262="","",COUNTIFS(LdAParty,$P1262,LdAType,1,LdAKey,"&lt;"&amp;$T1262)+COUNTIFS(LdBMember,$P1262,LdBKey,"&lt;"&amp;$T1262)+COUNTIFS(LdCParty,$P1262,LdCKey,"&lt;"&amp;$T1262)+1)</f>
        <v/>
      </c>
      <c r="V1262">
        <f>IF($U1262="","",$P1262&amp;"|"&amp;RIGHT("000000"&amp;$U1262,6))</f>
        <v/>
      </c>
      <c r="W1262">
        <f>IF($T1262="","",COUNTIFS(LdBGroup,$R1262,LdBKey,"&lt;"&amp;$T1262)+1)</f>
        <v/>
      </c>
      <c r="X1262">
        <f>IF($W1262="","",$R1262&amp;"|"&amp;RIGHT("000000"&amp;$W1262,6))</f>
        <v/>
      </c>
      <c r="Y1262">
        <f>IF($P1262="","",IF(Shares!$E1265="",0,Shares!$E1265))</f>
        <v/>
      </c>
      <c r="Z1262">
        <f>IF($P1262="","",Shares!$H1265)</f>
        <v/>
      </c>
      <c r="AE1262">
        <f>IF(OR(Sync!$S1262="",Sync!$P1262=""),"",Sync!$S1262)</f>
        <v/>
      </c>
      <c r="AF1262">
        <f>IF($AE1262="","",IF(ISNUMBER(Sync!$P1262),IF(AND(Sync!$P1262&gt;=10000101,Sync!$P1262&lt;=99991231),INT(Sync!$P1262/10000),""),IFERROR(VALUE(TRIM(LEFT(Sync!$P1262,FIND("/",Sync!$P1262)-1))),"")))</f>
        <v/>
      </c>
      <c r="AG1262">
        <f>IF(OR($AE1262="",$AF1262=""),"",IF(ISNUMBER(Sync!$P1262),INT(MOD(Sync!$P1262,10000)/100),IFERROR(VALUE(TRIM(LEFT(MID(Sync!$P1262,FIND("/",Sync!$P1262)+1,20),FIND("/",MID(Sync!$P1262,FIND("/",Sync!$P1262)+1,20))-1))),"")))</f>
        <v/>
      </c>
      <c r="AH1262">
        <f>IF(OR($AE1262="",$AF1262=""),"",IF(ISNUMBER(Sync!$P1262),MOD(Sync!$P1262,100),IFERROR(VALUE(TRIM(MID(MID(Sync!$P1262,FIND("/",Sync!$P1262)+1,20),FIND("/",MID(Sync!$P1262,FIND("/",Sync!$P1262)+1,20))+1,20))),"")))</f>
        <v/>
      </c>
      <c r="AI1262">
        <f>IF($AE1262="","",IF(OR($AF1262="",$AG1262="",$AH1262="",$AF1262&lt;1300,$AF1262&gt;1500,$AG1262&lt;1,$AG1262&gt;12,$AH1262&lt;1,$AH1262&gt;31),"نامعتبر",RIGHT("0000"&amp;$AF1262,4)&amp;"/"&amp;RIGHT("00"&amp;$AG1262,2)&amp;"/"&amp;RIGHT("00"&amp;$AH1262,2)))</f>
        <v/>
      </c>
      <c r="AJ1262">
        <f>IF($AE1262="","",IF(Sync!$Q1262="","0000",IF(AND(ISNUMBER(Sync!$Q1262),Sync!$Q1262&gt;=0,Sync!$Q1262&lt;1),RIGHT("00"&amp;HOUR(Sync!$Q1262),2)&amp;RIGHT("00"&amp;MINUTE(Sync!$Q1262),2),IFERROR(RIGHT("00"&amp;VALUE(LEFT(Sync!$Q1262,FIND(":",Sync!$Q1262)-1)),2)&amp;RIGHT("00"&amp;VALUE(MID(Sync!$Q1262,FIND(":",Sync!$Q1262)+1,2)),2),"0000"))))</f>
        <v/>
      </c>
      <c r="AK1262">
        <f>IF(OR($AE1262="",$AI1262="",$AI1262="نامعتبر"),"",LEFT($AI1262,4)&amp;MID($AI1262,6,2)&amp;RIGHT($AI1262,2)&amp;$AJ1262&amp;"|"&amp;"3"&amp;RIGHT("00000"&amp;1257,5))</f>
        <v/>
      </c>
      <c r="AL1262">
        <f>IF($AK1262="","",COUNTIFS(LdAParty,$AE1262,LdAType,1,LdAKey,"&lt;"&amp;$AK1262)+COUNTIFS(LdBMember,$AE1262,LdBKey,"&lt;"&amp;$AK1262)+COUNTIFS(LdCParty,$AE1262,LdCKey,"&lt;"&amp;$AK1262)+1)</f>
        <v/>
      </c>
      <c r="AM1262">
        <f>IF($AL1262="","",$AE1262&amp;"|"&amp;RIGHT("000000"&amp;$AL1262,6))</f>
        <v/>
      </c>
      <c r="AN1262">
        <f>IF($AE1262="","",IF(Sync!$W1262="",0,Sync!$W1262))</f>
        <v/>
      </c>
      <c r="AO1262">
        <f>IF($AE1262="","",IF(Sync!$X1262="",0,Sync!$X1262))</f>
        <v/>
      </c>
      <c r="AP1262">
        <f>IF($AE1262="","",Sync!$R1262)</f>
        <v/>
      </c>
      <c r="AQ1262">
        <f>IF($AE1262="","",Sync!$Y1262)</f>
        <v/>
      </c>
    </row>
    <row r="1263">
      <c r="A1263">
        <f>IF(OR(Wages!$B1266="",Wages!$E1266=""),"",Wages!$E1266)</f>
        <v/>
      </c>
      <c r="B1263">
        <f>IF($A1263="","",IF(Wages!$C1266="دستمزد گروهی",2,1))</f>
        <v/>
      </c>
      <c r="C1263">
        <f>IF($A1263="","",IF(ISNUMBER(Wages!$B1266),IF(AND(Wages!$B1266&gt;=10000101,Wages!$B1266&lt;=99991231),INT(Wages!$B1266/10000),""),IFERROR(VALUE(TRIM(LEFT(Wages!$B1266,FIND("/",Wages!$B1266)-1))),"")))</f>
        <v/>
      </c>
      <c r="D1263">
        <f>IF(OR($A1263="",$C1263=""),"",IF(ISNUMBER(Wages!$B1266),INT(MOD(Wages!$B1266,10000)/100),IFERROR(VALUE(TRIM(LEFT(MID(Wages!$B1266,FIND("/",Wages!$B1266)+1,20),FIND("/",MID(Wages!$B1266,FIND("/",Wages!$B1266)+1,20))-1))),"")))</f>
        <v/>
      </c>
      <c r="E1263">
        <f>IF(OR($A1263="",$C1263=""),"",IF(ISNUMBER(Wages!$B1266),MOD(Wages!$B1266,100),IFERROR(VALUE(TRIM(MID(MID(Wages!$B1266,FIND("/",Wages!$B1266)+1,20),FIND("/",MID(Wages!$B1266,FIND("/",Wages!$B1266)+1,20))+1,20))),"")))</f>
        <v/>
      </c>
      <c r="F1263">
        <f>IF($A1263="","",IF(OR($C1263="",$D1263="",$E1263="",$C1263&lt;1300,$C1263&gt;1500,$D1263&lt;1,$D1263&gt;12,$E1263&lt;1,$E1263&gt;31),"نامعتبر",RIGHT("0000"&amp;$C1263,4)&amp;"/"&amp;RIGHT("00"&amp;$D1263,2)&amp;"/"&amp;RIGHT("00"&amp;$E1263,2)))</f>
        <v/>
      </c>
      <c r="G1263">
        <f>IF(OR($A1263="",$F1263="",$F1263="نامعتبر"),"",LEFT($F1263,4)&amp;MID($F1263,6,2)&amp;RIGHT($F1263,2)&amp;"0000"&amp;"|"&amp;"1"&amp;RIGHT("00000"&amp;1258,5))</f>
        <v/>
      </c>
      <c r="H1263">
        <f>IF(OR($B1263&lt;&gt;1,$G1263=""),"",COUNTIFS(LdAParty,$A1263,LdAType,1,LdAKey,"&lt;"&amp;$G1263)+COUNTIFS(LdBMember,$A1263,LdBKey,"&lt;"&amp;$G1263)+COUNTIFS(LdCParty,$A1263,LdCKey,"&lt;"&amp;$G1263)+1)</f>
        <v/>
      </c>
      <c r="I1263">
        <f>IF($H1263="","",$A1263&amp;"|"&amp;RIGHT("000000"&amp;$H1263,6))</f>
        <v/>
      </c>
      <c r="J1263">
        <f>IF(OR($B1263&lt;&gt;2,$G1263=""),"",COUNTIFS(LdAParty,$A1263,LdAType,2,LdAKey,"&lt;"&amp;$G1263)+1)</f>
        <v/>
      </c>
      <c r="K1263">
        <f>IF($J1263="","",$A1263&amp;"|"&amp;RIGHT("000000"&amp;$J1263,6))</f>
        <v/>
      </c>
      <c r="L1263">
        <f>IF($A1263="","",IF(Wages!$G1266="",0,Wages!$G1266))</f>
        <v/>
      </c>
      <c r="M1263">
        <f>IF($A1263="","",Wages!$J1266)</f>
        <v/>
      </c>
      <c r="N1263">
        <f>IF($A1263="","",Wages!$D1266)</f>
        <v/>
      </c>
      <c r="P1263">
        <f>IF(OR(Shares!$B1266="",Shares!$C1266=""),"",Shares!$C1266)</f>
        <v/>
      </c>
      <c r="Q1263">
        <f>IF($P1263="","",Shares!$B1266)</f>
        <v/>
      </c>
      <c r="R1263">
        <f>IF($P1263="","",IFERROR(INDEX(WageParty,MATCH($Q1263,WageIds,0)),""))</f>
        <v/>
      </c>
      <c r="S1263">
        <f>IF($P1263="","",IFERROR(INDEX($F$6:$F$2005,MATCH($Q1263,WageIds,0)),""))</f>
        <v/>
      </c>
      <c r="T1263">
        <f>IF(OR($P1263="",$S1263="",$S1263="نامعتبر"),"",LEFT($S1263,4)&amp;MID($S1263,6,2)&amp;RIGHT($S1263,2)&amp;"0000"&amp;"|"&amp;"2"&amp;RIGHT("00000"&amp;1258,5))</f>
        <v/>
      </c>
      <c r="U1263">
        <f>IF($T1263="","",COUNTIFS(LdAParty,$P1263,LdAType,1,LdAKey,"&lt;"&amp;$T1263)+COUNTIFS(LdBMember,$P1263,LdBKey,"&lt;"&amp;$T1263)+COUNTIFS(LdCParty,$P1263,LdCKey,"&lt;"&amp;$T1263)+1)</f>
        <v/>
      </c>
      <c r="V1263">
        <f>IF($U1263="","",$P1263&amp;"|"&amp;RIGHT("000000"&amp;$U1263,6))</f>
        <v/>
      </c>
      <c r="W1263">
        <f>IF($T1263="","",COUNTIFS(LdBGroup,$R1263,LdBKey,"&lt;"&amp;$T1263)+1)</f>
        <v/>
      </c>
      <c r="X1263">
        <f>IF($W1263="","",$R1263&amp;"|"&amp;RIGHT("000000"&amp;$W1263,6))</f>
        <v/>
      </c>
      <c r="Y1263">
        <f>IF($P1263="","",IF(Shares!$E1266="",0,Shares!$E1266))</f>
        <v/>
      </c>
      <c r="Z1263">
        <f>IF($P1263="","",Shares!$H1266)</f>
        <v/>
      </c>
      <c r="AE1263">
        <f>IF(OR(Sync!$S1263="",Sync!$P1263=""),"",Sync!$S1263)</f>
        <v/>
      </c>
      <c r="AF1263">
        <f>IF($AE1263="","",IF(ISNUMBER(Sync!$P1263),IF(AND(Sync!$P1263&gt;=10000101,Sync!$P1263&lt;=99991231),INT(Sync!$P1263/10000),""),IFERROR(VALUE(TRIM(LEFT(Sync!$P1263,FIND("/",Sync!$P1263)-1))),"")))</f>
        <v/>
      </c>
      <c r="AG1263">
        <f>IF(OR($AE1263="",$AF1263=""),"",IF(ISNUMBER(Sync!$P1263),INT(MOD(Sync!$P1263,10000)/100),IFERROR(VALUE(TRIM(LEFT(MID(Sync!$P1263,FIND("/",Sync!$P1263)+1,20),FIND("/",MID(Sync!$P1263,FIND("/",Sync!$P1263)+1,20))-1))),"")))</f>
        <v/>
      </c>
      <c r="AH1263">
        <f>IF(OR($AE1263="",$AF1263=""),"",IF(ISNUMBER(Sync!$P1263),MOD(Sync!$P1263,100),IFERROR(VALUE(TRIM(MID(MID(Sync!$P1263,FIND("/",Sync!$P1263)+1,20),FIND("/",MID(Sync!$P1263,FIND("/",Sync!$P1263)+1,20))+1,20))),"")))</f>
        <v/>
      </c>
      <c r="AI1263">
        <f>IF($AE1263="","",IF(OR($AF1263="",$AG1263="",$AH1263="",$AF1263&lt;1300,$AF1263&gt;1500,$AG1263&lt;1,$AG1263&gt;12,$AH1263&lt;1,$AH1263&gt;31),"نامعتبر",RIGHT("0000"&amp;$AF1263,4)&amp;"/"&amp;RIGHT("00"&amp;$AG1263,2)&amp;"/"&amp;RIGHT("00"&amp;$AH1263,2)))</f>
        <v/>
      </c>
      <c r="AJ1263">
        <f>IF($AE1263="","",IF(Sync!$Q1263="","0000",IF(AND(ISNUMBER(Sync!$Q1263),Sync!$Q1263&gt;=0,Sync!$Q1263&lt;1),RIGHT("00"&amp;HOUR(Sync!$Q1263),2)&amp;RIGHT("00"&amp;MINUTE(Sync!$Q1263),2),IFERROR(RIGHT("00"&amp;VALUE(LEFT(Sync!$Q1263,FIND(":",Sync!$Q1263)-1)),2)&amp;RIGHT("00"&amp;VALUE(MID(Sync!$Q1263,FIND(":",Sync!$Q1263)+1,2)),2),"0000"))))</f>
        <v/>
      </c>
      <c r="AK1263">
        <f>IF(OR($AE1263="",$AI1263="",$AI1263="نامعتبر"),"",LEFT($AI1263,4)&amp;MID($AI1263,6,2)&amp;RIGHT($AI1263,2)&amp;$AJ1263&amp;"|"&amp;"3"&amp;RIGHT("00000"&amp;1258,5))</f>
        <v/>
      </c>
      <c r="AL1263">
        <f>IF($AK1263="","",COUNTIFS(LdAParty,$AE1263,LdAType,1,LdAKey,"&lt;"&amp;$AK1263)+COUNTIFS(LdBMember,$AE1263,LdBKey,"&lt;"&amp;$AK1263)+COUNTIFS(LdCParty,$AE1263,LdCKey,"&lt;"&amp;$AK1263)+1)</f>
        <v/>
      </c>
      <c r="AM1263">
        <f>IF($AL1263="","",$AE1263&amp;"|"&amp;RIGHT("000000"&amp;$AL1263,6))</f>
        <v/>
      </c>
      <c r="AN1263">
        <f>IF($AE1263="","",IF(Sync!$W1263="",0,Sync!$W1263))</f>
        <v/>
      </c>
      <c r="AO1263">
        <f>IF($AE1263="","",IF(Sync!$X1263="",0,Sync!$X1263))</f>
        <v/>
      </c>
      <c r="AP1263">
        <f>IF($AE1263="","",Sync!$R1263)</f>
        <v/>
      </c>
      <c r="AQ1263">
        <f>IF($AE1263="","",Sync!$Y1263)</f>
        <v/>
      </c>
    </row>
    <row r="1264">
      <c r="A1264">
        <f>IF(OR(Wages!$B1267="",Wages!$E1267=""),"",Wages!$E1267)</f>
        <v/>
      </c>
      <c r="B1264">
        <f>IF($A1264="","",IF(Wages!$C1267="دستمزد گروهی",2,1))</f>
        <v/>
      </c>
      <c r="C1264">
        <f>IF($A1264="","",IF(ISNUMBER(Wages!$B1267),IF(AND(Wages!$B1267&gt;=10000101,Wages!$B1267&lt;=99991231),INT(Wages!$B1267/10000),""),IFERROR(VALUE(TRIM(LEFT(Wages!$B1267,FIND("/",Wages!$B1267)-1))),"")))</f>
        <v/>
      </c>
      <c r="D1264">
        <f>IF(OR($A1264="",$C1264=""),"",IF(ISNUMBER(Wages!$B1267),INT(MOD(Wages!$B1267,10000)/100),IFERROR(VALUE(TRIM(LEFT(MID(Wages!$B1267,FIND("/",Wages!$B1267)+1,20),FIND("/",MID(Wages!$B1267,FIND("/",Wages!$B1267)+1,20))-1))),"")))</f>
        <v/>
      </c>
      <c r="E1264">
        <f>IF(OR($A1264="",$C1264=""),"",IF(ISNUMBER(Wages!$B1267),MOD(Wages!$B1267,100),IFERROR(VALUE(TRIM(MID(MID(Wages!$B1267,FIND("/",Wages!$B1267)+1,20),FIND("/",MID(Wages!$B1267,FIND("/",Wages!$B1267)+1,20))+1,20))),"")))</f>
        <v/>
      </c>
      <c r="F1264">
        <f>IF($A1264="","",IF(OR($C1264="",$D1264="",$E1264="",$C1264&lt;1300,$C1264&gt;1500,$D1264&lt;1,$D1264&gt;12,$E1264&lt;1,$E1264&gt;31),"نامعتبر",RIGHT("0000"&amp;$C1264,4)&amp;"/"&amp;RIGHT("00"&amp;$D1264,2)&amp;"/"&amp;RIGHT("00"&amp;$E1264,2)))</f>
        <v/>
      </c>
      <c r="G1264">
        <f>IF(OR($A1264="",$F1264="",$F1264="نامعتبر"),"",LEFT($F1264,4)&amp;MID($F1264,6,2)&amp;RIGHT($F1264,2)&amp;"0000"&amp;"|"&amp;"1"&amp;RIGHT("00000"&amp;1259,5))</f>
        <v/>
      </c>
      <c r="H1264">
        <f>IF(OR($B1264&lt;&gt;1,$G1264=""),"",COUNTIFS(LdAParty,$A1264,LdAType,1,LdAKey,"&lt;"&amp;$G1264)+COUNTIFS(LdBMember,$A1264,LdBKey,"&lt;"&amp;$G1264)+COUNTIFS(LdCParty,$A1264,LdCKey,"&lt;"&amp;$G1264)+1)</f>
        <v/>
      </c>
      <c r="I1264">
        <f>IF($H1264="","",$A1264&amp;"|"&amp;RIGHT("000000"&amp;$H1264,6))</f>
        <v/>
      </c>
      <c r="J1264">
        <f>IF(OR($B1264&lt;&gt;2,$G1264=""),"",COUNTIFS(LdAParty,$A1264,LdAType,2,LdAKey,"&lt;"&amp;$G1264)+1)</f>
        <v/>
      </c>
      <c r="K1264">
        <f>IF($J1264="","",$A1264&amp;"|"&amp;RIGHT("000000"&amp;$J1264,6))</f>
        <v/>
      </c>
      <c r="L1264">
        <f>IF($A1264="","",IF(Wages!$G1267="",0,Wages!$G1267))</f>
        <v/>
      </c>
      <c r="M1264">
        <f>IF($A1264="","",Wages!$J1267)</f>
        <v/>
      </c>
      <c r="N1264">
        <f>IF($A1264="","",Wages!$D1267)</f>
        <v/>
      </c>
      <c r="P1264">
        <f>IF(OR(Shares!$B1267="",Shares!$C1267=""),"",Shares!$C1267)</f>
        <v/>
      </c>
      <c r="Q1264">
        <f>IF($P1264="","",Shares!$B1267)</f>
        <v/>
      </c>
      <c r="R1264">
        <f>IF($P1264="","",IFERROR(INDEX(WageParty,MATCH($Q1264,WageIds,0)),""))</f>
        <v/>
      </c>
      <c r="S1264">
        <f>IF($P1264="","",IFERROR(INDEX($F$6:$F$2005,MATCH($Q1264,WageIds,0)),""))</f>
        <v/>
      </c>
      <c r="T1264">
        <f>IF(OR($P1264="",$S1264="",$S1264="نامعتبر"),"",LEFT($S1264,4)&amp;MID($S1264,6,2)&amp;RIGHT($S1264,2)&amp;"0000"&amp;"|"&amp;"2"&amp;RIGHT("00000"&amp;1259,5))</f>
        <v/>
      </c>
      <c r="U1264">
        <f>IF($T1264="","",COUNTIFS(LdAParty,$P1264,LdAType,1,LdAKey,"&lt;"&amp;$T1264)+COUNTIFS(LdBMember,$P1264,LdBKey,"&lt;"&amp;$T1264)+COUNTIFS(LdCParty,$P1264,LdCKey,"&lt;"&amp;$T1264)+1)</f>
        <v/>
      </c>
      <c r="V1264">
        <f>IF($U1264="","",$P1264&amp;"|"&amp;RIGHT("000000"&amp;$U1264,6))</f>
        <v/>
      </c>
      <c r="W1264">
        <f>IF($T1264="","",COUNTIFS(LdBGroup,$R1264,LdBKey,"&lt;"&amp;$T1264)+1)</f>
        <v/>
      </c>
      <c r="X1264">
        <f>IF($W1264="","",$R1264&amp;"|"&amp;RIGHT("000000"&amp;$W1264,6))</f>
        <v/>
      </c>
      <c r="Y1264">
        <f>IF($P1264="","",IF(Shares!$E1267="",0,Shares!$E1267))</f>
        <v/>
      </c>
      <c r="Z1264">
        <f>IF($P1264="","",Shares!$H1267)</f>
        <v/>
      </c>
      <c r="AE1264">
        <f>IF(OR(Sync!$S1264="",Sync!$P1264=""),"",Sync!$S1264)</f>
        <v/>
      </c>
      <c r="AF1264">
        <f>IF($AE1264="","",IF(ISNUMBER(Sync!$P1264),IF(AND(Sync!$P1264&gt;=10000101,Sync!$P1264&lt;=99991231),INT(Sync!$P1264/10000),""),IFERROR(VALUE(TRIM(LEFT(Sync!$P1264,FIND("/",Sync!$P1264)-1))),"")))</f>
        <v/>
      </c>
      <c r="AG1264">
        <f>IF(OR($AE1264="",$AF1264=""),"",IF(ISNUMBER(Sync!$P1264),INT(MOD(Sync!$P1264,10000)/100),IFERROR(VALUE(TRIM(LEFT(MID(Sync!$P1264,FIND("/",Sync!$P1264)+1,20),FIND("/",MID(Sync!$P1264,FIND("/",Sync!$P1264)+1,20))-1))),"")))</f>
        <v/>
      </c>
      <c r="AH1264">
        <f>IF(OR($AE1264="",$AF1264=""),"",IF(ISNUMBER(Sync!$P1264),MOD(Sync!$P1264,100),IFERROR(VALUE(TRIM(MID(MID(Sync!$P1264,FIND("/",Sync!$P1264)+1,20),FIND("/",MID(Sync!$P1264,FIND("/",Sync!$P1264)+1,20))+1,20))),"")))</f>
        <v/>
      </c>
      <c r="AI1264">
        <f>IF($AE1264="","",IF(OR($AF1264="",$AG1264="",$AH1264="",$AF1264&lt;1300,$AF1264&gt;1500,$AG1264&lt;1,$AG1264&gt;12,$AH1264&lt;1,$AH1264&gt;31),"نامعتبر",RIGHT("0000"&amp;$AF1264,4)&amp;"/"&amp;RIGHT("00"&amp;$AG1264,2)&amp;"/"&amp;RIGHT("00"&amp;$AH1264,2)))</f>
        <v/>
      </c>
      <c r="AJ1264">
        <f>IF($AE1264="","",IF(Sync!$Q1264="","0000",IF(AND(ISNUMBER(Sync!$Q1264),Sync!$Q1264&gt;=0,Sync!$Q1264&lt;1),RIGHT("00"&amp;HOUR(Sync!$Q1264),2)&amp;RIGHT("00"&amp;MINUTE(Sync!$Q1264),2),IFERROR(RIGHT("00"&amp;VALUE(LEFT(Sync!$Q1264,FIND(":",Sync!$Q1264)-1)),2)&amp;RIGHT("00"&amp;VALUE(MID(Sync!$Q1264,FIND(":",Sync!$Q1264)+1,2)),2),"0000"))))</f>
        <v/>
      </c>
      <c r="AK1264">
        <f>IF(OR($AE1264="",$AI1264="",$AI1264="نامعتبر"),"",LEFT($AI1264,4)&amp;MID($AI1264,6,2)&amp;RIGHT($AI1264,2)&amp;$AJ1264&amp;"|"&amp;"3"&amp;RIGHT("00000"&amp;1259,5))</f>
        <v/>
      </c>
      <c r="AL1264">
        <f>IF($AK1264="","",COUNTIFS(LdAParty,$AE1264,LdAType,1,LdAKey,"&lt;"&amp;$AK1264)+COUNTIFS(LdBMember,$AE1264,LdBKey,"&lt;"&amp;$AK1264)+COUNTIFS(LdCParty,$AE1264,LdCKey,"&lt;"&amp;$AK1264)+1)</f>
        <v/>
      </c>
      <c r="AM1264">
        <f>IF($AL1264="","",$AE1264&amp;"|"&amp;RIGHT("000000"&amp;$AL1264,6))</f>
        <v/>
      </c>
      <c r="AN1264">
        <f>IF($AE1264="","",IF(Sync!$W1264="",0,Sync!$W1264))</f>
        <v/>
      </c>
      <c r="AO1264">
        <f>IF($AE1264="","",IF(Sync!$X1264="",0,Sync!$X1264))</f>
        <v/>
      </c>
      <c r="AP1264">
        <f>IF($AE1264="","",Sync!$R1264)</f>
        <v/>
      </c>
      <c r="AQ1264">
        <f>IF($AE1264="","",Sync!$Y1264)</f>
        <v/>
      </c>
    </row>
    <row r="1265">
      <c r="A1265">
        <f>IF(OR(Wages!$B1268="",Wages!$E1268=""),"",Wages!$E1268)</f>
        <v/>
      </c>
      <c r="B1265">
        <f>IF($A1265="","",IF(Wages!$C1268="دستمزد گروهی",2,1))</f>
        <v/>
      </c>
      <c r="C1265">
        <f>IF($A1265="","",IF(ISNUMBER(Wages!$B1268),IF(AND(Wages!$B1268&gt;=10000101,Wages!$B1268&lt;=99991231),INT(Wages!$B1268/10000),""),IFERROR(VALUE(TRIM(LEFT(Wages!$B1268,FIND("/",Wages!$B1268)-1))),"")))</f>
        <v/>
      </c>
      <c r="D1265">
        <f>IF(OR($A1265="",$C1265=""),"",IF(ISNUMBER(Wages!$B1268),INT(MOD(Wages!$B1268,10000)/100),IFERROR(VALUE(TRIM(LEFT(MID(Wages!$B1268,FIND("/",Wages!$B1268)+1,20),FIND("/",MID(Wages!$B1268,FIND("/",Wages!$B1268)+1,20))-1))),"")))</f>
        <v/>
      </c>
      <c r="E1265">
        <f>IF(OR($A1265="",$C1265=""),"",IF(ISNUMBER(Wages!$B1268),MOD(Wages!$B1268,100),IFERROR(VALUE(TRIM(MID(MID(Wages!$B1268,FIND("/",Wages!$B1268)+1,20),FIND("/",MID(Wages!$B1268,FIND("/",Wages!$B1268)+1,20))+1,20))),"")))</f>
        <v/>
      </c>
      <c r="F1265">
        <f>IF($A1265="","",IF(OR($C1265="",$D1265="",$E1265="",$C1265&lt;1300,$C1265&gt;1500,$D1265&lt;1,$D1265&gt;12,$E1265&lt;1,$E1265&gt;31),"نامعتبر",RIGHT("0000"&amp;$C1265,4)&amp;"/"&amp;RIGHT("00"&amp;$D1265,2)&amp;"/"&amp;RIGHT("00"&amp;$E1265,2)))</f>
        <v/>
      </c>
      <c r="G1265">
        <f>IF(OR($A1265="",$F1265="",$F1265="نامعتبر"),"",LEFT($F1265,4)&amp;MID($F1265,6,2)&amp;RIGHT($F1265,2)&amp;"0000"&amp;"|"&amp;"1"&amp;RIGHT("00000"&amp;1260,5))</f>
        <v/>
      </c>
      <c r="H1265">
        <f>IF(OR($B1265&lt;&gt;1,$G1265=""),"",COUNTIFS(LdAParty,$A1265,LdAType,1,LdAKey,"&lt;"&amp;$G1265)+COUNTIFS(LdBMember,$A1265,LdBKey,"&lt;"&amp;$G1265)+COUNTIFS(LdCParty,$A1265,LdCKey,"&lt;"&amp;$G1265)+1)</f>
        <v/>
      </c>
      <c r="I1265">
        <f>IF($H1265="","",$A1265&amp;"|"&amp;RIGHT("000000"&amp;$H1265,6))</f>
        <v/>
      </c>
      <c r="J1265">
        <f>IF(OR($B1265&lt;&gt;2,$G1265=""),"",COUNTIFS(LdAParty,$A1265,LdAType,2,LdAKey,"&lt;"&amp;$G1265)+1)</f>
        <v/>
      </c>
      <c r="K1265">
        <f>IF($J1265="","",$A1265&amp;"|"&amp;RIGHT("000000"&amp;$J1265,6))</f>
        <v/>
      </c>
      <c r="L1265">
        <f>IF($A1265="","",IF(Wages!$G1268="",0,Wages!$G1268))</f>
        <v/>
      </c>
      <c r="M1265">
        <f>IF($A1265="","",Wages!$J1268)</f>
        <v/>
      </c>
      <c r="N1265">
        <f>IF($A1265="","",Wages!$D1268)</f>
        <v/>
      </c>
      <c r="P1265">
        <f>IF(OR(Shares!$B1268="",Shares!$C1268=""),"",Shares!$C1268)</f>
        <v/>
      </c>
      <c r="Q1265">
        <f>IF($P1265="","",Shares!$B1268)</f>
        <v/>
      </c>
      <c r="R1265">
        <f>IF($P1265="","",IFERROR(INDEX(WageParty,MATCH($Q1265,WageIds,0)),""))</f>
        <v/>
      </c>
      <c r="S1265">
        <f>IF($P1265="","",IFERROR(INDEX($F$6:$F$2005,MATCH($Q1265,WageIds,0)),""))</f>
        <v/>
      </c>
      <c r="T1265">
        <f>IF(OR($P1265="",$S1265="",$S1265="نامعتبر"),"",LEFT($S1265,4)&amp;MID($S1265,6,2)&amp;RIGHT($S1265,2)&amp;"0000"&amp;"|"&amp;"2"&amp;RIGHT("00000"&amp;1260,5))</f>
        <v/>
      </c>
      <c r="U1265">
        <f>IF($T1265="","",COUNTIFS(LdAParty,$P1265,LdAType,1,LdAKey,"&lt;"&amp;$T1265)+COUNTIFS(LdBMember,$P1265,LdBKey,"&lt;"&amp;$T1265)+COUNTIFS(LdCParty,$P1265,LdCKey,"&lt;"&amp;$T1265)+1)</f>
        <v/>
      </c>
      <c r="V1265">
        <f>IF($U1265="","",$P1265&amp;"|"&amp;RIGHT("000000"&amp;$U1265,6))</f>
        <v/>
      </c>
      <c r="W1265">
        <f>IF($T1265="","",COUNTIFS(LdBGroup,$R1265,LdBKey,"&lt;"&amp;$T1265)+1)</f>
        <v/>
      </c>
      <c r="X1265">
        <f>IF($W1265="","",$R1265&amp;"|"&amp;RIGHT("000000"&amp;$W1265,6))</f>
        <v/>
      </c>
      <c r="Y1265">
        <f>IF($P1265="","",IF(Shares!$E1268="",0,Shares!$E1268))</f>
        <v/>
      </c>
      <c r="Z1265">
        <f>IF($P1265="","",Shares!$H1268)</f>
        <v/>
      </c>
      <c r="AE1265">
        <f>IF(OR(Sync!$S1265="",Sync!$P1265=""),"",Sync!$S1265)</f>
        <v/>
      </c>
      <c r="AF1265">
        <f>IF($AE1265="","",IF(ISNUMBER(Sync!$P1265),IF(AND(Sync!$P1265&gt;=10000101,Sync!$P1265&lt;=99991231),INT(Sync!$P1265/10000),""),IFERROR(VALUE(TRIM(LEFT(Sync!$P1265,FIND("/",Sync!$P1265)-1))),"")))</f>
        <v/>
      </c>
      <c r="AG1265">
        <f>IF(OR($AE1265="",$AF1265=""),"",IF(ISNUMBER(Sync!$P1265),INT(MOD(Sync!$P1265,10000)/100),IFERROR(VALUE(TRIM(LEFT(MID(Sync!$P1265,FIND("/",Sync!$P1265)+1,20),FIND("/",MID(Sync!$P1265,FIND("/",Sync!$P1265)+1,20))-1))),"")))</f>
        <v/>
      </c>
      <c r="AH1265">
        <f>IF(OR($AE1265="",$AF1265=""),"",IF(ISNUMBER(Sync!$P1265),MOD(Sync!$P1265,100),IFERROR(VALUE(TRIM(MID(MID(Sync!$P1265,FIND("/",Sync!$P1265)+1,20),FIND("/",MID(Sync!$P1265,FIND("/",Sync!$P1265)+1,20))+1,20))),"")))</f>
        <v/>
      </c>
      <c r="AI1265">
        <f>IF($AE1265="","",IF(OR($AF1265="",$AG1265="",$AH1265="",$AF1265&lt;1300,$AF1265&gt;1500,$AG1265&lt;1,$AG1265&gt;12,$AH1265&lt;1,$AH1265&gt;31),"نامعتبر",RIGHT("0000"&amp;$AF1265,4)&amp;"/"&amp;RIGHT("00"&amp;$AG1265,2)&amp;"/"&amp;RIGHT("00"&amp;$AH1265,2)))</f>
        <v/>
      </c>
      <c r="AJ1265">
        <f>IF($AE1265="","",IF(Sync!$Q1265="","0000",IF(AND(ISNUMBER(Sync!$Q1265),Sync!$Q1265&gt;=0,Sync!$Q1265&lt;1),RIGHT("00"&amp;HOUR(Sync!$Q1265),2)&amp;RIGHT("00"&amp;MINUTE(Sync!$Q1265),2),IFERROR(RIGHT("00"&amp;VALUE(LEFT(Sync!$Q1265,FIND(":",Sync!$Q1265)-1)),2)&amp;RIGHT("00"&amp;VALUE(MID(Sync!$Q1265,FIND(":",Sync!$Q1265)+1,2)),2),"0000"))))</f>
        <v/>
      </c>
      <c r="AK1265">
        <f>IF(OR($AE1265="",$AI1265="",$AI1265="نامعتبر"),"",LEFT($AI1265,4)&amp;MID($AI1265,6,2)&amp;RIGHT($AI1265,2)&amp;$AJ1265&amp;"|"&amp;"3"&amp;RIGHT("00000"&amp;1260,5))</f>
        <v/>
      </c>
      <c r="AL1265">
        <f>IF($AK1265="","",COUNTIFS(LdAParty,$AE1265,LdAType,1,LdAKey,"&lt;"&amp;$AK1265)+COUNTIFS(LdBMember,$AE1265,LdBKey,"&lt;"&amp;$AK1265)+COUNTIFS(LdCParty,$AE1265,LdCKey,"&lt;"&amp;$AK1265)+1)</f>
        <v/>
      </c>
      <c r="AM1265">
        <f>IF($AL1265="","",$AE1265&amp;"|"&amp;RIGHT("000000"&amp;$AL1265,6))</f>
        <v/>
      </c>
      <c r="AN1265">
        <f>IF($AE1265="","",IF(Sync!$W1265="",0,Sync!$W1265))</f>
        <v/>
      </c>
      <c r="AO1265">
        <f>IF($AE1265="","",IF(Sync!$X1265="",0,Sync!$X1265))</f>
        <v/>
      </c>
      <c r="AP1265">
        <f>IF($AE1265="","",Sync!$R1265)</f>
        <v/>
      </c>
      <c r="AQ1265">
        <f>IF($AE1265="","",Sync!$Y1265)</f>
        <v/>
      </c>
    </row>
    <row r="1266">
      <c r="A1266">
        <f>IF(OR(Wages!$B1269="",Wages!$E1269=""),"",Wages!$E1269)</f>
        <v/>
      </c>
      <c r="B1266">
        <f>IF($A1266="","",IF(Wages!$C1269="دستمزد گروهی",2,1))</f>
        <v/>
      </c>
      <c r="C1266">
        <f>IF($A1266="","",IF(ISNUMBER(Wages!$B1269),IF(AND(Wages!$B1269&gt;=10000101,Wages!$B1269&lt;=99991231),INT(Wages!$B1269/10000),""),IFERROR(VALUE(TRIM(LEFT(Wages!$B1269,FIND("/",Wages!$B1269)-1))),"")))</f>
        <v/>
      </c>
      <c r="D1266">
        <f>IF(OR($A1266="",$C1266=""),"",IF(ISNUMBER(Wages!$B1269),INT(MOD(Wages!$B1269,10000)/100),IFERROR(VALUE(TRIM(LEFT(MID(Wages!$B1269,FIND("/",Wages!$B1269)+1,20),FIND("/",MID(Wages!$B1269,FIND("/",Wages!$B1269)+1,20))-1))),"")))</f>
        <v/>
      </c>
      <c r="E1266">
        <f>IF(OR($A1266="",$C1266=""),"",IF(ISNUMBER(Wages!$B1269),MOD(Wages!$B1269,100),IFERROR(VALUE(TRIM(MID(MID(Wages!$B1269,FIND("/",Wages!$B1269)+1,20),FIND("/",MID(Wages!$B1269,FIND("/",Wages!$B1269)+1,20))+1,20))),"")))</f>
        <v/>
      </c>
      <c r="F1266">
        <f>IF($A1266="","",IF(OR($C1266="",$D1266="",$E1266="",$C1266&lt;1300,$C1266&gt;1500,$D1266&lt;1,$D1266&gt;12,$E1266&lt;1,$E1266&gt;31),"نامعتبر",RIGHT("0000"&amp;$C1266,4)&amp;"/"&amp;RIGHT("00"&amp;$D1266,2)&amp;"/"&amp;RIGHT("00"&amp;$E1266,2)))</f>
        <v/>
      </c>
      <c r="G1266">
        <f>IF(OR($A1266="",$F1266="",$F1266="نامعتبر"),"",LEFT($F1266,4)&amp;MID($F1266,6,2)&amp;RIGHT($F1266,2)&amp;"0000"&amp;"|"&amp;"1"&amp;RIGHT("00000"&amp;1261,5))</f>
        <v/>
      </c>
      <c r="H1266">
        <f>IF(OR($B1266&lt;&gt;1,$G1266=""),"",COUNTIFS(LdAParty,$A1266,LdAType,1,LdAKey,"&lt;"&amp;$G1266)+COUNTIFS(LdBMember,$A1266,LdBKey,"&lt;"&amp;$G1266)+COUNTIFS(LdCParty,$A1266,LdCKey,"&lt;"&amp;$G1266)+1)</f>
        <v/>
      </c>
      <c r="I1266">
        <f>IF($H1266="","",$A1266&amp;"|"&amp;RIGHT("000000"&amp;$H1266,6))</f>
        <v/>
      </c>
      <c r="J1266">
        <f>IF(OR($B1266&lt;&gt;2,$G1266=""),"",COUNTIFS(LdAParty,$A1266,LdAType,2,LdAKey,"&lt;"&amp;$G1266)+1)</f>
        <v/>
      </c>
      <c r="K1266">
        <f>IF($J1266="","",$A1266&amp;"|"&amp;RIGHT("000000"&amp;$J1266,6))</f>
        <v/>
      </c>
      <c r="L1266">
        <f>IF($A1266="","",IF(Wages!$G1269="",0,Wages!$G1269))</f>
        <v/>
      </c>
      <c r="M1266">
        <f>IF($A1266="","",Wages!$J1269)</f>
        <v/>
      </c>
      <c r="N1266">
        <f>IF($A1266="","",Wages!$D1269)</f>
        <v/>
      </c>
      <c r="P1266">
        <f>IF(OR(Shares!$B1269="",Shares!$C1269=""),"",Shares!$C1269)</f>
        <v/>
      </c>
      <c r="Q1266">
        <f>IF($P1266="","",Shares!$B1269)</f>
        <v/>
      </c>
      <c r="R1266">
        <f>IF($P1266="","",IFERROR(INDEX(WageParty,MATCH($Q1266,WageIds,0)),""))</f>
        <v/>
      </c>
      <c r="S1266">
        <f>IF($P1266="","",IFERROR(INDEX($F$6:$F$2005,MATCH($Q1266,WageIds,0)),""))</f>
        <v/>
      </c>
      <c r="T1266">
        <f>IF(OR($P1266="",$S1266="",$S1266="نامعتبر"),"",LEFT($S1266,4)&amp;MID($S1266,6,2)&amp;RIGHT($S1266,2)&amp;"0000"&amp;"|"&amp;"2"&amp;RIGHT("00000"&amp;1261,5))</f>
        <v/>
      </c>
      <c r="U1266">
        <f>IF($T1266="","",COUNTIFS(LdAParty,$P1266,LdAType,1,LdAKey,"&lt;"&amp;$T1266)+COUNTIFS(LdBMember,$P1266,LdBKey,"&lt;"&amp;$T1266)+COUNTIFS(LdCParty,$P1266,LdCKey,"&lt;"&amp;$T1266)+1)</f>
        <v/>
      </c>
      <c r="V1266">
        <f>IF($U1266="","",$P1266&amp;"|"&amp;RIGHT("000000"&amp;$U1266,6))</f>
        <v/>
      </c>
      <c r="W1266">
        <f>IF($T1266="","",COUNTIFS(LdBGroup,$R1266,LdBKey,"&lt;"&amp;$T1266)+1)</f>
        <v/>
      </c>
      <c r="X1266">
        <f>IF($W1266="","",$R1266&amp;"|"&amp;RIGHT("000000"&amp;$W1266,6))</f>
        <v/>
      </c>
      <c r="Y1266">
        <f>IF($P1266="","",IF(Shares!$E1269="",0,Shares!$E1269))</f>
        <v/>
      </c>
      <c r="Z1266">
        <f>IF($P1266="","",Shares!$H1269)</f>
        <v/>
      </c>
      <c r="AE1266">
        <f>IF(OR(Sync!$S1266="",Sync!$P1266=""),"",Sync!$S1266)</f>
        <v/>
      </c>
      <c r="AF1266">
        <f>IF($AE1266="","",IF(ISNUMBER(Sync!$P1266),IF(AND(Sync!$P1266&gt;=10000101,Sync!$P1266&lt;=99991231),INT(Sync!$P1266/10000),""),IFERROR(VALUE(TRIM(LEFT(Sync!$P1266,FIND("/",Sync!$P1266)-1))),"")))</f>
        <v/>
      </c>
      <c r="AG1266">
        <f>IF(OR($AE1266="",$AF1266=""),"",IF(ISNUMBER(Sync!$P1266),INT(MOD(Sync!$P1266,10000)/100),IFERROR(VALUE(TRIM(LEFT(MID(Sync!$P1266,FIND("/",Sync!$P1266)+1,20),FIND("/",MID(Sync!$P1266,FIND("/",Sync!$P1266)+1,20))-1))),"")))</f>
        <v/>
      </c>
      <c r="AH1266">
        <f>IF(OR($AE1266="",$AF1266=""),"",IF(ISNUMBER(Sync!$P1266),MOD(Sync!$P1266,100),IFERROR(VALUE(TRIM(MID(MID(Sync!$P1266,FIND("/",Sync!$P1266)+1,20),FIND("/",MID(Sync!$P1266,FIND("/",Sync!$P1266)+1,20))+1,20))),"")))</f>
        <v/>
      </c>
      <c r="AI1266">
        <f>IF($AE1266="","",IF(OR($AF1266="",$AG1266="",$AH1266="",$AF1266&lt;1300,$AF1266&gt;1500,$AG1266&lt;1,$AG1266&gt;12,$AH1266&lt;1,$AH1266&gt;31),"نامعتبر",RIGHT("0000"&amp;$AF1266,4)&amp;"/"&amp;RIGHT("00"&amp;$AG1266,2)&amp;"/"&amp;RIGHT("00"&amp;$AH1266,2)))</f>
        <v/>
      </c>
      <c r="AJ1266">
        <f>IF($AE1266="","",IF(Sync!$Q1266="","0000",IF(AND(ISNUMBER(Sync!$Q1266),Sync!$Q1266&gt;=0,Sync!$Q1266&lt;1),RIGHT("00"&amp;HOUR(Sync!$Q1266),2)&amp;RIGHT("00"&amp;MINUTE(Sync!$Q1266),2),IFERROR(RIGHT("00"&amp;VALUE(LEFT(Sync!$Q1266,FIND(":",Sync!$Q1266)-1)),2)&amp;RIGHT("00"&amp;VALUE(MID(Sync!$Q1266,FIND(":",Sync!$Q1266)+1,2)),2),"0000"))))</f>
        <v/>
      </c>
      <c r="AK1266">
        <f>IF(OR($AE1266="",$AI1266="",$AI1266="نامعتبر"),"",LEFT($AI1266,4)&amp;MID($AI1266,6,2)&amp;RIGHT($AI1266,2)&amp;$AJ1266&amp;"|"&amp;"3"&amp;RIGHT("00000"&amp;1261,5))</f>
        <v/>
      </c>
      <c r="AL1266">
        <f>IF($AK1266="","",COUNTIFS(LdAParty,$AE1266,LdAType,1,LdAKey,"&lt;"&amp;$AK1266)+COUNTIFS(LdBMember,$AE1266,LdBKey,"&lt;"&amp;$AK1266)+COUNTIFS(LdCParty,$AE1266,LdCKey,"&lt;"&amp;$AK1266)+1)</f>
        <v/>
      </c>
      <c r="AM1266">
        <f>IF($AL1266="","",$AE1266&amp;"|"&amp;RIGHT("000000"&amp;$AL1266,6))</f>
        <v/>
      </c>
      <c r="AN1266">
        <f>IF($AE1266="","",IF(Sync!$W1266="",0,Sync!$W1266))</f>
        <v/>
      </c>
      <c r="AO1266">
        <f>IF($AE1266="","",IF(Sync!$X1266="",0,Sync!$X1266))</f>
        <v/>
      </c>
      <c r="AP1266">
        <f>IF($AE1266="","",Sync!$R1266)</f>
        <v/>
      </c>
      <c r="AQ1266">
        <f>IF($AE1266="","",Sync!$Y1266)</f>
        <v/>
      </c>
    </row>
    <row r="1267">
      <c r="A1267">
        <f>IF(OR(Wages!$B1270="",Wages!$E1270=""),"",Wages!$E1270)</f>
        <v/>
      </c>
      <c r="B1267">
        <f>IF($A1267="","",IF(Wages!$C1270="دستمزد گروهی",2,1))</f>
        <v/>
      </c>
      <c r="C1267">
        <f>IF($A1267="","",IF(ISNUMBER(Wages!$B1270),IF(AND(Wages!$B1270&gt;=10000101,Wages!$B1270&lt;=99991231),INT(Wages!$B1270/10000),""),IFERROR(VALUE(TRIM(LEFT(Wages!$B1270,FIND("/",Wages!$B1270)-1))),"")))</f>
        <v/>
      </c>
      <c r="D1267">
        <f>IF(OR($A1267="",$C1267=""),"",IF(ISNUMBER(Wages!$B1270),INT(MOD(Wages!$B1270,10000)/100),IFERROR(VALUE(TRIM(LEFT(MID(Wages!$B1270,FIND("/",Wages!$B1270)+1,20),FIND("/",MID(Wages!$B1270,FIND("/",Wages!$B1270)+1,20))-1))),"")))</f>
        <v/>
      </c>
      <c r="E1267">
        <f>IF(OR($A1267="",$C1267=""),"",IF(ISNUMBER(Wages!$B1270),MOD(Wages!$B1270,100),IFERROR(VALUE(TRIM(MID(MID(Wages!$B1270,FIND("/",Wages!$B1270)+1,20),FIND("/",MID(Wages!$B1270,FIND("/",Wages!$B1270)+1,20))+1,20))),"")))</f>
        <v/>
      </c>
      <c r="F1267">
        <f>IF($A1267="","",IF(OR($C1267="",$D1267="",$E1267="",$C1267&lt;1300,$C1267&gt;1500,$D1267&lt;1,$D1267&gt;12,$E1267&lt;1,$E1267&gt;31),"نامعتبر",RIGHT("0000"&amp;$C1267,4)&amp;"/"&amp;RIGHT("00"&amp;$D1267,2)&amp;"/"&amp;RIGHT("00"&amp;$E1267,2)))</f>
        <v/>
      </c>
      <c r="G1267">
        <f>IF(OR($A1267="",$F1267="",$F1267="نامعتبر"),"",LEFT($F1267,4)&amp;MID($F1267,6,2)&amp;RIGHT($F1267,2)&amp;"0000"&amp;"|"&amp;"1"&amp;RIGHT("00000"&amp;1262,5))</f>
        <v/>
      </c>
      <c r="H1267">
        <f>IF(OR($B1267&lt;&gt;1,$G1267=""),"",COUNTIFS(LdAParty,$A1267,LdAType,1,LdAKey,"&lt;"&amp;$G1267)+COUNTIFS(LdBMember,$A1267,LdBKey,"&lt;"&amp;$G1267)+COUNTIFS(LdCParty,$A1267,LdCKey,"&lt;"&amp;$G1267)+1)</f>
        <v/>
      </c>
      <c r="I1267">
        <f>IF($H1267="","",$A1267&amp;"|"&amp;RIGHT("000000"&amp;$H1267,6))</f>
        <v/>
      </c>
      <c r="J1267">
        <f>IF(OR($B1267&lt;&gt;2,$G1267=""),"",COUNTIFS(LdAParty,$A1267,LdAType,2,LdAKey,"&lt;"&amp;$G1267)+1)</f>
        <v/>
      </c>
      <c r="K1267">
        <f>IF($J1267="","",$A1267&amp;"|"&amp;RIGHT("000000"&amp;$J1267,6))</f>
        <v/>
      </c>
      <c r="L1267">
        <f>IF($A1267="","",IF(Wages!$G1270="",0,Wages!$G1270))</f>
        <v/>
      </c>
      <c r="M1267">
        <f>IF($A1267="","",Wages!$J1270)</f>
        <v/>
      </c>
      <c r="N1267">
        <f>IF($A1267="","",Wages!$D1270)</f>
        <v/>
      </c>
      <c r="P1267">
        <f>IF(OR(Shares!$B1270="",Shares!$C1270=""),"",Shares!$C1270)</f>
        <v/>
      </c>
      <c r="Q1267">
        <f>IF($P1267="","",Shares!$B1270)</f>
        <v/>
      </c>
      <c r="R1267">
        <f>IF($P1267="","",IFERROR(INDEX(WageParty,MATCH($Q1267,WageIds,0)),""))</f>
        <v/>
      </c>
      <c r="S1267">
        <f>IF($P1267="","",IFERROR(INDEX($F$6:$F$2005,MATCH($Q1267,WageIds,0)),""))</f>
        <v/>
      </c>
      <c r="T1267">
        <f>IF(OR($P1267="",$S1267="",$S1267="نامعتبر"),"",LEFT($S1267,4)&amp;MID($S1267,6,2)&amp;RIGHT($S1267,2)&amp;"0000"&amp;"|"&amp;"2"&amp;RIGHT("00000"&amp;1262,5))</f>
        <v/>
      </c>
      <c r="U1267">
        <f>IF($T1267="","",COUNTIFS(LdAParty,$P1267,LdAType,1,LdAKey,"&lt;"&amp;$T1267)+COUNTIFS(LdBMember,$P1267,LdBKey,"&lt;"&amp;$T1267)+COUNTIFS(LdCParty,$P1267,LdCKey,"&lt;"&amp;$T1267)+1)</f>
        <v/>
      </c>
      <c r="V1267">
        <f>IF($U1267="","",$P1267&amp;"|"&amp;RIGHT("000000"&amp;$U1267,6))</f>
        <v/>
      </c>
      <c r="W1267">
        <f>IF($T1267="","",COUNTIFS(LdBGroup,$R1267,LdBKey,"&lt;"&amp;$T1267)+1)</f>
        <v/>
      </c>
      <c r="X1267">
        <f>IF($W1267="","",$R1267&amp;"|"&amp;RIGHT("000000"&amp;$W1267,6))</f>
        <v/>
      </c>
      <c r="Y1267">
        <f>IF($P1267="","",IF(Shares!$E1270="",0,Shares!$E1270))</f>
        <v/>
      </c>
      <c r="Z1267">
        <f>IF($P1267="","",Shares!$H1270)</f>
        <v/>
      </c>
      <c r="AE1267">
        <f>IF(OR(Sync!$S1267="",Sync!$P1267=""),"",Sync!$S1267)</f>
        <v/>
      </c>
      <c r="AF1267">
        <f>IF($AE1267="","",IF(ISNUMBER(Sync!$P1267),IF(AND(Sync!$P1267&gt;=10000101,Sync!$P1267&lt;=99991231),INT(Sync!$P1267/10000),""),IFERROR(VALUE(TRIM(LEFT(Sync!$P1267,FIND("/",Sync!$P1267)-1))),"")))</f>
        <v/>
      </c>
      <c r="AG1267">
        <f>IF(OR($AE1267="",$AF1267=""),"",IF(ISNUMBER(Sync!$P1267),INT(MOD(Sync!$P1267,10000)/100),IFERROR(VALUE(TRIM(LEFT(MID(Sync!$P1267,FIND("/",Sync!$P1267)+1,20),FIND("/",MID(Sync!$P1267,FIND("/",Sync!$P1267)+1,20))-1))),"")))</f>
        <v/>
      </c>
      <c r="AH1267">
        <f>IF(OR($AE1267="",$AF1267=""),"",IF(ISNUMBER(Sync!$P1267),MOD(Sync!$P1267,100),IFERROR(VALUE(TRIM(MID(MID(Sync!$P1267,FIND("/",Sync!$P1267)+1,20),FIND("/",MID(Sync!$P1267,FIND("/",Sync!$P1267)+1,20))+1,20))),"")))</f>
        <v/>
      </c>
      <c r="AI1267">
        <f>IF($AE1267="","",IF(OR($AF1267="",$AG1267="",$AH1267="",$AF1267&lt;1300,$AF1267&gt;1500,$AG1267&lt;1,$AG1267&gt;12,$AH1267&lt;1,$AH1267&gt;31),"نامعتبر",RIGHT("0000"&amp;$AF1267,4)&amp;"/"&amp;RIGHT("00"&amp;$AG1267,2)&amp;"/"&amp;RIGHT("00"&amp;$AH1267,2)))</f>
        <v/>
      </c>
      <c r="AJ1267">
        <f>IF($AE1267="","",IF(Sync!$Q1267="","0000",IF(AND(ISNUMBER(Sync!$Q1267),Sync!$Q1267&gt;=0,Sync!$Q1267&lt;1),RIGHT("00"&amp;HOUR(Sync!$Q1267),2)&amp;RIGHT("00"&amp;MINUTE(Sync!$Q1267),2),IFERROR(RIGHT("00"&amp;VALUE(LEFT(Sync!$Q1267,FIND(":",Sync!$Q1267)-1)),2)&amp;RIGHT("00"&amp;VALUE(MID(Sync!$Q1267,FIND(":",Sync!$Q1267)+1,2)),2),"0000"))))</f>
        <v/>
      </c>
      <c r="AK1267">
        <f>IF(OR($AE1267="",$AI1267="",$AI1267="نامعتبر"),"",LEFT($AI1267,4)&amp;MID($AI1267,6,2)&amp;RIGHT($AI1267,2)&amp;$AJ1267&amp;"|"&amp;"3"&amp;RIGHT("00000"&amp;1262,5))</f>
        <v/>
      </c>
      <c r="AL1267">
        <f>IF($AK1267="","",COUNTIFS(LdAParty,$AE1267,LdAType,1,LdAKey,"&lt;"&amp;$AK1267)+COUNTIFS(LdBMember,$AE1267,LdBKey,"&lt;"&amp;$AK1267)+COUNTIFS(LdCParty,$AE1267,LdCKey,"&lt;"&amp;$AK1267)+1)</f>
        <v/>
      </c>
      <c r="AM1267">
        <f>IF($AL1267="","",$AE1267&amp;"|"&amp;RIGHT("000000"&amp;$AL1267,6))</f>
        <v/>
      </c>
      <c r="AN1267">
        <f>IF($AE1267="","",IF(Sync!$W1267="",0,Sync!$W1267))</f>
        <v/>
      </c>
      <c r="AO1267">
        <f>IF($AE1267="","",IF(Sync!$X1267="",0,Sync!$X1267))</f>
        <v/>
      </c>
      <c r="AP1267">
        <f>IF($AE1267="","",Sync!$R1267)</f>
        <v/>
      </c>
      <c r="AQ1267">
        <f>IF($AE1267="","",Sync!$Y1267)</f>
        <v/>
      </c>
    </row>
    <row r="1268">
      <c r="A1268">
        <f>IF(OR(Wages!$B1271="",Wages!$E1271=""),"",Wages!$E1271)</f>
        <v/>
      </c>
      <c r="B1268">
        <f>IF($A1268="","",IF(Wages!$C1271="دستمزد گروهی",2,1))</f>
        <v/>
      </c>
      <c r="C1268">
        <f>IF($A1268="","",IF(ISNUMBER(Wages!$B1271),IF(AND(Wages!$B1271&gt;=10000101,Wages!$B1271&lt;=99991231),INT(Wages!$B1271/10000),""),IFERROR(VALUE(TRIM(LEFT(Wages!$B1271,FIND("/",Wages!$B1271)-1))),"")))</f>
        <v/>
      </c>
      <c r="D1268">
        <f>IF(OR($A1268="",$C1268=""),"",IF(ISNUMBER(Wages!$B1271),INT(MOD(Wages!$B1271,10000)/100),IFERROR(VALUE(TRIM(LEFT(MID(Wages!$B1271,FIND("/",Wages!$B1271)+1,20),FIND("/",MID(Wages!$B1271,FIND("/",Wages!$B1271)+1,20))-1))),"")))</f>
        <v/>
      </c>
      <c r="E1268">
        <f>IF(OR($A1268="",$C1268=""),"",IF(ISNUMBER(Wages!$B1271),MOD(Wages!$B1271,100),IFERROR(VALUE(TRIM(MID(MID(Wages!$B1271,FIND("/",Wages!$B1271)+1,20),FIND("/",MID(Wages!$B1271,FIND("/",Wages!$B1271)+1,20))+1,20))),"")))</f>
        <v/>
      </c>
      <c r="F1268">
        <f>IF($A1268="","",IF(OR($C1268="",$D1268="",$E1268="",$C1268&lt;1300,$C1268&gt;1500,$D1268&lt;1,$D1268&gt;12,$E1268&lt;1,$E1268&gt;31),"نامعتبر",RIGHT("0000"&amp;$C1268,4)&amp;"/"&amp;RIGHT("00"&amp;$D1268,2)&amp;"/"&amp;RIGHT("00"&amp;$E1268,2)))</f>
        <v/>
      </c>
      <c r="G1268">
        <f>IF(OR($A1268="",$F1268="",$F1268="نامعتبر"),"",LEFT($F1268,4)&amp;MID($F1268,6,2)&amp;RIGHT($F1268,2)&amp;"0000"&amp;"|"&amp;"1"&amp;RIGHT("00000"&amp;1263,5))</f>
        <v/>
      </c>
      <c r="H1268">
        <f>IF(OR($B1268&lt;&gt;1,$G1268=""),"",COUNTIFS(LdAParty,$A1268,LdAType,1,LdAKey,"&lt;"&amp;$G1268)+COUNTIFS(LdBMember,$A1268,LdBKey,"&lt;"&amp;$G1268)+COUNTIFS(LdCParty,$A1268,LdCKey,"&lt;"&amp;$G1268)+1)</f>
        <v/>
      </c>
      <c r="I1268">
        <f>IF($H1268="","",$A1268&amp;"|"&amp;RIGHT("000000"&amp;$H1268,6))</f>
        <v/>
      </c>
      <c r="J1268">
        <f>IF(OR($B1268&lt;&gt;2,$G1268=""),"",COUNTIFS(LdAParty,$A1268,LdAType,2,LdAKey,"&lt;"&amp;$G1268)+1)</f>
        <v/>
      </c>
      <c r="K1268">
        <f>IF($J1268="","",$A1268&amp;"|"&amp;RIGHT("000000"&amp;$J1268,6))</f>
        <v/>
      </c>
      <c r="L1268">
        <f>IF($A1268="","",IF(Wages!$G1271="",0,Wages!$G1271))</f>
        <v/>
      </c>
      <c r="M1268">
        <f>IF($A1268="","",Wages!$J1271)</f>
        <v/>
      </c>
      <c r="N1268">
        <f>IF($A1268="","",Wages!$D1271)</f>
        <v/>
      </c>
      <c r="P1268">
        <f>IF(OR(Shares!$B1271="",Shares!$C1271=""),"",Shares!$C1271)</f>
        <v/>
      </c>
      <c r="Q1268">
        <f>IF($P1268="","",Shares!$B1271)</f>
        <v/>
      </c>
      <c r="R1268">
        <f>IF($P1268="","",IFERROR(INDEX(WageParty,MATCH($Q1268,WageIds,0)),""))</f>
        <v/>
      </c>
      <c r="S1268">
        <f>IF($P1268="","",IFERROR(INDEX($F$6:$F$2005,MATCH($Q1268,WageIds,0)),""))</f>
        <v/>
      </c>
      <c r="T1268">
        <f>IF(OR($P1268="",$S1268="",$S1268="نامعتبر"),"",LEFT($S1268,4)&amp;MID($S1268,6,2)&amp;RIGHT($S1268,2)&amp;"0000"&amp;"|"&amp;"2"&amp;RIGHT("00000"&amp;1263,5))</f>
        <v/>
      </c>
      <c r="U1268">
        <f>IF($T1268="","",COUNTIFS(LdAParty,$P1268,LdAType,1,LdAKey,"&lt;"&amp;$T1268)+COUNTIFS(LdBMember,$P1268,LdBKey,"&lt;"&amp;$T1268)+COUNTIFS(LdCParty,$P1268,LdCKey,"&lt;"&amp;$T1268)+1)</f>
        <v/>
      </c>
      <c r="V1268">
        <f>IF($U1268="","",$P1268&amp;"|"&amp;RIGHT("000000"&amp;$U1268,6))</f>
        <v/>
      </c>
      <c r="W1268">
        <f>IF($T1268="","",COUNTIFS(LdBGroup,$R1268,LdBKey,"&lt;"&amp;$T1268)+1)</f>
        <v/>
      </c>
      <c r="X1268">
        <f>IF($W1268="","",$R1268&amp;"|"&amp;RIGHT("000000"&amp;$W1268,6))</f>
        <v/>
      </c>
      <c r="Y1268">
        <f>IF($P1268="","",IF(Shares!$E1271="",0,Shares!$E1271))</f>
        <v/>
      </c>
      <c r="Z1268">
        <f>IF($P1268="","",Shares!$H1271)</f>
        <v/>
      </c>
      <c r="AE1268">
        <f>IF(OR(Sync!$S1268="",Sync!$P1268=""),"",Sync!$S1268)</f>
        <v/>
      </c>
      <c r="AF1268">
        <f>IF($AE1268="","",IF(ISNUMBER(Sync!$P1268),IF(AND(Sync!$P1268&gt;=10000101,Sync!$P1268&lt;=99991231),INT(Sync!$P1268/10000),""),IFERROR(VALUE(TRIM(LEFT(Sync!$P1268,FIND("/",Sync!$P1268)-1))),"")))</f>
        <v/>
      </c>
      <c r="AG1268">
        <f>IF(OR($AE1268="",$AF1268=""),"",IF(ISNUMBER(Sync!$P1268),INT(MOD(Sync!$P1268,10000)/100),IFERROR(VALUE(TRIM(LEFT(MID(Sync!$P1268,FIND("/",Sync!$P1268)+1,20),FIND("/",MID(Sync!$P1268,FIND("/",Sync!$P1268)+1,20))-1))),"")))</f>
        <v/>
      </c>
      <c r="AH1268">
        <f>IF(OR($AE1268="",$AF1268=""),"",IF(ISNUMBER(Sync!$P1268),MOD(Sync!$P1268,100),IFERROR(VALUE(TRIM(MID(MID(Sync!$P1268,FIND("/",Sync!$P1268)+1,20),FIND("/",MID(Sync!$P1268,FIND("/",Sync!$P1268)+1,20))+1,20))),"")))</f>
        <v/>
      </c>
      <c r="AI1268">
        <f>IF($AE1268="","",IF(OR($AF1268="",$AG1268="",$AH1268="",$AF1268&lt;1300,$AF1268&gt;1500,$AG1268&lt;1,$AG1268&gt;12,$AH1268&lt;1,$AH1268&gt;31),"نامعتبر",RIGHT("0000"&amp;$AF1268,4)&amp;"/"&amp;RIGHT("00"&amp;$AG1268,2)&amp;"/"&amp;RIGHT("00"&amp;$AH1268,2)))</f>
        <v/>
      </c>
      <c r="AJ1268">
        <f>IF($AE1268="","",IF(Sync!$Q1268="","0000",IF(AND(ISNUMBER(Sync!$Q1268),Sync!$Q1268&gt;=0,Sync!$Q1268&lt;1),RIGHT("00"&amp;HOUR(Sync!$Q1268),2)&amp;RIGHT("00"&amp;MINUTE(Sync!$Q1268),2),IFERROR(RIGHT("00"&amp;VALUE(LEFT(Sync!$Q1268,FIND(":",Sync!$Q1268)-1)),2)&amp;RIGHT("00"&amp;VALUE(MID(Sync!$Q1268,FIND(":",Sync!$Q1268)+1,2)),2),"0000"))))</f>
        <v/>
      </c>
      <c r="AK1268">
        <f>IF(OR($AE1268="",$AI1268="",$AI1268="نامعتبر"),"",LEFT($AI1268,4)&amp;MID($AI1268,6,2)&amp;RIGHT($AI1268,2)&amp;$AJ1268&amp;"|"&amp;"3"&amp;RIGHT("00000"&amp;1263,5))</f>
        <v/>
      </c>
      <c r="AL1268">
        <f>IF($AK1268="","",COUNTIFS(LdAParty,$AE1268,LdAType,1,LdAKey,"&lt;"&amp;$AK1268)+COUNTIFS(LdBMember,$AE1268,LdBKey,"&lt;"&amp;$AK1268)+COUNTIFS(LdCParty,$AE1268,LdCKey,"&lt;"&amp;$AK1268)+1)</f>
        <v/>
      </c>
      <c r="AM1268">
        <f>IF($AL1268="","",$AE1268&amp;"|"&amp;RIGHT("000000"&amp;$AL1268,6))</f>
        <v/>
      </c>
      <c r="AN1268">
        <f>IF($AE1268="","",IF(Sync!$W1268="",0,Sync!$W1268))</f>
        <v/>
      </c>
      <c r="AO1268">
        <f>IF($AE1268="","",IF(Sync!$X1268="",0,Sync!$X1268))</f>
        <v/>
      </c>
      <c r="AP1268">
        <f>IF($AE1268="","",Sync!$R1268)</f>
        <v/>
      </c>
      <c r="AQ1268">
        <f>IF($AE1268="","",Sync!$Y1268)</f>
        <v/>
      </c>
    </row>
    <row r="1269">
      <c r="A1269">
        <f>IF(OR(Wages!$B1272="",Wages!$E1272=""),"",Wages!$E1272)</f>
        <v/>
      </c>
      <c r="B1269">
        <f>IF($A1269="","",IF(Wages!$C1272="دستمزد گروهی",2,1))</f>
        <v/>
      </c>
      <c r="C1269">
        <f>IF($A1269="","",IF(ISNUMBER(Wages!$B1272),IF(AND(Wages!$B1272&gt;=10000101,Wages!$B1272&lt;=99991231),INT(Wages!$B1272/10000),""),IFERROR(VALUE(TRIM(LEFT(Wages!$B1272,FIND("/",Wages!$B1272)-1))),"")))</f>
        <v/>
      </c>
      <c r="D1269">
        <f>IF(OR($A1269="",$C1269=""),"",IF(ISNUMBER(Wages!$B1272),INT(MOD(Wages!$B1272,10000)/100),IFERROR(VALUE(TRIM(LEFT(MID(Wages!$B1272,FIND("/",Wages!$B1272)+1,20),FIND("/",MID(Wages!$B1272,FIND("/",Wages!$B1272)+1,20))-1))),"")))</f>
        <v/>
      </c>
      <c r="E1269">
        <f>IF(OR($A1269="",$C1269=""),"",IF(ISNUMBER(Wages!$B1272),MOD(Wages!$B1272,100),IFERROR(VALUE(TRIM(MID(MID(Wages!$B1272,FIND("/",Wages!$B1272)+1,20),FIND("/",MID(Wages!$B1272,FIND("/",Wages!$B1272)+1,20))+1,20))),"")))</f>
        <v/>
      </c>
      <c r="F1269">
        <f>IF($A1269="","",IF(OR($C1269="",$D1269="",$E1269="",$C1269&lt;1300,$C1269&gt;1500,$D1269&lt;1,$D1269&gt;12,$E1269&lt;1,$E1269&gt;31),"نامعتبر",RIGHT("0000"&amp;$C1269,4)&amp;"/"&amp;RIGHT("00"&amp;$D1269,2)&amp;"/"&amp;RIGHT("00"&amp;$E1269,2)))</f>
        <v/>
      </c>
      <c r="G1269">
        <f>IF(OR($A1269="",$F1269="",$F1269="نامعتبر"),"",LEFT($F1269,4)&amp;MID($F1269,6,2)&amp;RIGHT($F1269,2)&amp;"0000"&amp;"|"&amp;"1"&amp;RIGHT("00000"&amp;1264,5))</f>
        <v/>
      </c>
      <c r="H1269">
        <f>IF(OR($B1269&lt;&gt;1,$G1269=""),"",COUNTIFS(LdAParty,$A1269,LdAType,1,LdAKey,"&lt;"&amp;$G1269)+COUNTIFS(LdBMember,$A1269,LdBKey,"&lt;"&amp;$G1269)+COUNTIFS(LdCParty,$A1269,LdCKey,"&lt;"&amp;$G1269)+1)</f>
        <v/>
      </c>
      <c r="I1269">
        <f>IF($H1269="","",$A1269&amp;"|"&amp;RIGHT("000000"&amp;$H1269,6))</f>
        <v/>
      </c>
      <c r="J1269">
        <f>IF(OR($B1269&lt;&gt;2,$G1269=""),"",COUNTIFS(LdAParty,$A1269,LdAType,2,LdAKey,"&lt;"&amp;$G1269)+1)</f>
        <v/>
      </c>
      <c r="K1269">
        <f>IF($J1269="","",$A1269&amp;"|"&amp;RIGHT("000000"&amp;$J1269,6))</f>
        <v/>
      </c>
      <c r="L1269">
        <f>IF($A1269="","",IF(Wages!$G1272="",0,Wages!$G1272))</f>
        <v/>
      </c>
      <c r="M1269">
        <f>IF($A1269="","",Wages!$J1272)</f>
        <v/>
      </c>
      <c r="N1269">
        <f>IF($A1269="","",Wages!$D1272)</f>
        <v/>
      </c>
      <c r="P1269">
        <f>IF(OR(Shares!$B1272="",Shares!$C1272=""),"",Shares!$C1272)</f>
        <v/>
      </c>
      <c r="Q1269">
        <f>IF($P1269="","",Shares!$B1272)</f>
        <v/>
      </c>
      <c r="R1269">
        <f>IF($P1269="","",IFERROR(INDEX(WageParty,MATCH($Q1269,WageIds,0)),""))</f>
        <v/>
      </c>
      <c r="S1269">
        <f>IF($P1269="","",IFERROR(INDEX($F$6:$F$2005,MATCH($Q1269,WageIds,0)),""))</f>
        <v/>
      </c>
      <c r="T1269">
        <f>IF(OR($P1269="",$S1269="",$S1269="نامعتبر"),"",LEFT($S1269,4)&amp;MID($S1269,6,2)&amp;RIGHT($S1269,2)&amp;"0000"&amp;"|"&amp;"2"&amp;RIGHT("00000"&amp;1264,5))</f>
        <v/>
      </c>
      <c r="U1269">
        <f>IF($T1269="","",COUNTIFS(LdAParty,$P1269,LdAType,1,LdAKey,"&lt;"&amp;$T1269)+COUNTIFS(LdBMember,$P1269,LdBKey,"&lt;"&amp;$T1269)+COUNTIFS(LdCParty,$P1269,LdCKey,"&lt;"&amp;$T1269)+1)</f>
        <v/>
      </c>
      <c r="V1269">
        <f>IF($U1269="","",$P1269&amp;"|"&amp;RIGHT("000000"&amp;$U1269,6))</f>
        <v/>
      </c>
      <c r="W1269">
        <f>IF($T1269="","",COUNTIFS(LdBGroup,$R1269,LdBKey,"&lt;"&amp;$T1269)+1)</f>
        <v/>
      </c>
      <c r="X1269">
        <f>IF($W1269="","",$R1269&amp;"|"&amp;RIGHT("000000"&amp;$W1269,6))</f>
        <v/>
      </c>
      <c r="Y1269">
        <f>IF($P1269="","",IF(Shares!$E1272="",0,Shares!$E1272))</f>
        <v/>
      </c>
      <c r="Z1269">
        <f>IF($P1269="","",Shares!$H1272)</f>
        <v/>
      </c>
      <c r="AE1269">
        <f>IF(OR(Sync!$S1269="",Sync!$P1269=""),"",Sync!$S1269)</f>
        <v/>
      </c>
      <c r="AF1269">
        <f>IF($AE1269="","",IF(ISNUMBER(Sync!$P1269),IF(AND(Sync!$P1269&gt;=10000101,Sync!$P1269&lt;=99991231),INT(Sync!$P1269/10000),""),IFERROR(VALUE(TRIM(LEFT(Sync!$P1269,FIND("/",Sync!$P1269)-1))),"")))</f>
        <v/>
      </c>
      <c r="AG1269">
        <f>IF(OR($AE1269="",$AF1269=""),"",IF(ISNUMBER(Sync!$P1269),INT(MOD(Sync!$P1269,10000)/100),IFERROR(VALUE(TRIM(LEFT(MID(Sync!$P1269,FIND("/",Sync!$P1269)+1,20),FIND("/",MID(Sync!$P1269,FIND("/",Sync!$P1269)+1,20))-1))),"")))</f>
        <v/>
      </c>
      <c r="AH1269">
        <f>IF(OR($AE1269="",$AF1269=""),"",IF(ISNUMBER(Sync!$P1269),MOD(Sync!$P1269,100),IFERROR(VALUE(TRIM(MID(MID(Sync!$P1269,FIND("/",Sync!$P1269)+1,20),FIND("/",MID(Sync!$P1269,FIND("/",Sync!$P1269)+1,20))+1,20))),"")))</f>
        <v/>
      </c>
      <c r="AI1269">
        <f>IF($AE1269="","",IF(OR($AF1269="",$AG1269="",$AH1269="",$AF1269&lt;1300,$AF1269&gt;1500,$AG1269&lt;1,$AG1269&gt;12,$AH1269&lt;1,$AH1269&gt;31),"نامعتبر",RIGHT("0000"&amp;$AF1269,4)&amp;"/"&amp;RIGHT("00"&amp;$AG1269,2)&amp;"/"&amp;RIGHT("00"&amp;$AH1269,2)))</f>
        <v/>
      </c>
      <c r="AJ1269">
        <f>IF($AE1269="","",IF(Sync!$Q1269="","0000",IF(AND(ISNUMBER(Sync!$Q1269),Sync!$Q1269&gt;=0,Sync!$Q1269&lt;1),RIGHT("00"&amp;HOUR(Sync!$Q1269),2)&amp;RIGHT("00"&amp;MINUTE(Sync!$Q1269),2),IFERROR(RIGHT("00"&amp;VALUE(LEFT(Sync!$Q1269,FIND(":",Sync!$Q1269)-1)),2)&amp;RIGHT("00"&amp;VALUE(MID(Sync!$Q1269,FIND(":",Sync!$Q1269)+1,2)),2),"0000"))))</f>
        <v/>
      </c>
      <c r="AK1269">
        <f>IF(OR($AE1269="",$AI1269="",$AI1269="نامعتبر"),"",LEFT($AI1269,4)&amp;MID($AI1269,6,2)&amp;RIGHT($AI1269,2)&amp;$AJ1269&amp;"|"&amp;"3"&amp;RIGHT("00000"&amp;1264,5))</f>
        <v/>
      </c>
      <c r="AL1269">
        <f>IF($AK1269="","",COUNTIFS(LdAParty,$AE1269,LdAType,1,LdAKey,"&lt;"&amp;$AK1269)+COUNTIFS(LdBMember,$AE1269,LdBKey,"&lt;"&amp;$AK1269)+COUNTIFS(LdCParty,$AE1269,LdCKey,"&lt;"&amp;$AK1269)+1)</f>
        <v/>
      </c>
      <c r="AM1269">
        <f>IF($AL1269="","",$AE1269&amp;"|"&amp;RIGHT("000000"&amp;$AL1269,6))</f>
        <v/>
      </c>
      <c r="AN1269">
        <f>IF($AE1269="","",IF(Sync!$W1269="",0,Sync!$W1269))</f>
        <v/>
      </c>
      <c r="AO1269">
        <f>IF($AE1269="","",IF(Sync!$X1269="",0,Sync!$X1269))</f>
        <v/>
      </c>
      <c r="AP1269">
        <f>IF($AE1269="","",Sync!$R1269)</f>
        <v/>
      </c>
      <c r="AQ1269">
        <f>IF($AE1269="","",Sync!$Y1269)</f>
        <v/>
      </c>
    </row>
    <row r="1270">
      <c r="A1270">
        <f>IF(OR(Wages!$B1273="",Wages!$E1273=""),"",Wages!$E1273)</f>
        <v/>
      </c>
      <c r="B1270">
        <f>IF($A1270="","",IF(Wages!$C1273="دستمزد گروهی",2,1))</f>
        <v/>
      </c>
      <c r="C1270">
        <f>IF($A1270="","",IF(ISNUMBER(Wages!$B1273),IF(AND(Wages!$B1273&gt;=10000101,Wages!$B1273&lt;=99991231),INT(Wages!$B1273/10000),""),IFERROR(VALUE(TRIM(LEFT(Wages!$B1273,FIND("/",Wages!$B1273)-1))),"")))</f>
        <v/>
      </c>
      <c r="D1270">
        <f>IF(OR($A1270="",$C1270=""),"",IF(ISNUMBER(Wages!$B1273),INT(MOD(Wages!$B1273,10000)/100),IFERROR(VALUE(TRIM(LEFT(MID(Wages!$B1273,FIND("/",Wages!$B1273)+1,20),FIND("/",MID(Wages!$B1273,FIND("/",Wages!$B1273)+1,20))-1))),"")))</f>
        <v/>
      </c>
      <c r="E1270">
        <f>IF(OR($A1270="",$C1270=""),"",IF(ISNUMBER(Wages!$B1273),MOD(Wages!$B1273,100),IFERROR(VALUE(TRIM(MID(MID(Wages!$B1273,FIND("/",Wages!$B1273)+1,20),FIND("/",MID(Wages!$B1273,FIND("/",Wages!$B1273)+1,20))+1,20))),"")))</f>
        <v/>
      </c>
      <c r="F1270">
        <f>IF($A1270="","",IF(OR($C1270="",$D1270="",$E1270="",$C1270&lt;1300,$C1270&gt;1500,$D1270&lt;1,$D1270&gt;12,$E1270&lt;1,$E1270&gt;31),"نامعتبر",RIGHT("0000"&amp;$C1270,4)&amp;"/"&amp;RIGHT("00"&amp;$D1270,2)&amp;"/"&amp;RIGHT("00"&amp;$E1270,2)))</f>
        <v/>
      </c>
      <c r="G1270">
        <f>IF(OR($A1270="",$F1270="",$F1270="نامعتبر"),"",LEFT($F1270,4)&amp;MID($F1270,6,2)&amp;RIGHT($F1270,2)&amp;"0000"&amp;"|"&amp;"1"&amp;RIGHT("00000"&amp;1265,5))</f>
        <v/>
      </c>
      <c r="H1270">
        <f>IF(OR($B1270&lt;&gt;1,$G1270=""),"",COUNTIFS(LdAParty,$A1270,LdAType,1,LdAKey,"&lt;"&amp;$G1270)+COUNTIFS(LdBMember,$A1270,LdBKey,"&lt;"&amp;$G1270)+COUNTIFS(LdCParty,$A1270,LdCKey,"&lt;"&amp;$G1270)+1)</f>
        <v/>
      </c>
      <c r="I1270">
        <f>IF($H1270="","",$A1270&amp;"|"&amp;RIGHT("000000"&amp;$H1270,6))</f>
        <v/>
      </c>
      <c r="J1270">
        <f>IF(OR($B1270&lt;&gt;2,$G1270=""),"",COUNTIFS(LdAParty,$A1270,LdAType,2,LdAKey,"&lt;"&amp;$G1270)+1)</f>
        <v/>
      </c>
      <c r="K1270">
        <f>IF($J1270="","",$A1270&amp;"|"&amp;RIGHT("000000"&amp;$J1270,6))</f>
        <v/>
      </c>
      <c r="L1270">
        <f>IF($A1270="","",IF(Wages!$G1273="",0,Wages!$G1273))</f>
        <v/>
      </c>
      <c r="M1270">
        <f>IF($A1270="","",Wages!$J1273)</f>
        <v/>
      </c>
      <c r="N1270">
        <f>IF($A1270="","",Wages!$D1273)</f>
        <v/>
      </c>
      <c r="P1270">
        <f>IF(OR(Shares!$B1273="",Shares!$C1273=""),"",Shares!$C1273)</f>
        <v/>
      </c>
      <c r="Q1270">
        <f>IF($P1270="","",Shares!$B1273)</f>
        <v/>
      </c>
      <c r="R1270">
        <f>IF($P1270="","",IFERROR(INDEX(WageParty,MATCH($Q1270,WageIds,0)),""))</f>
        <v/>
      </c>
      <c r="S1270">
        <f>IF($P1270="","",IFERROR(INDEX($F$6:$F$2005,MATCH($Q1270,WageIds,0)),""))</f>
        <v/>
      </c>
      <c r="T1270">
        <f>IF(OR($P1270="",$S1270="",$S1270="نامعتبر"),"",LEFT($S1270,4)&amp;MID($S1270,6,2)&amp;RIGHT($S1270,2)&amp;"0000"&amp;"|"&amp;"2"&amp;RIGHT("00000"&amp;1265,5))</f>
        <v/>
      </c>
      <c r="U1270">
        <f>IF($T1270="","",COUNTIFS(LdAParty,$P1270,LdAType,1,LdAKey,"&lt;"&amp;$T1270)+COUNTIFS(LdBMember,$P1270,LdBKey,"&lt;"&amp;$T1270)+COUNTIFS(LdCParty,$P1270,LdCKey,"&lt;"&amp;$T1270)+1)</f>
        <v/>
      </c>
      <c r="V1270">
        <f>IF($U1270="","",$P1270&amp;"|"&amp;RIGHT("000000"&amp;$U1270,6))</f>
        <v/>
      </c>
      <c r="W1270">
        <f>IF($T1270="","",COUNTIFS(LdBGroup,$R1270,LdBKey,"&lt;"&amp;$T1270)+1)</f>
        <v/>
      </c>
      <c r="X1270">
        <f>IF($W1270="","",$R1270&amp;"|"&amp;RIGHT("000000"&amp;$W1270,6))</f>
        <v/>
      </c>
      <c r="Y1270">
        <f>IF($P1270="","",IF(Shares!$E1273="",0,Shares!$E1273))</f>
        <v/>
      </c>
      <c r="Z1270">
        <f>IF($P1270="","",Shares!$H1273)</f>
        <v/>
      </c>
      <c r="AE1270">
        <f>IF(OR(Sync!$S1270="",Sync!$P1270=""),"",Sync!$S1270)</f>
        <v/>
      </c>
      <c r="AF1270">
        <f>IF($AE1270="","",IF(ISNUMBER(Sync!$P1270),IF(AND(Sync!$P1270&gt;=10000101,Sync!$P1270&lt;=99991231),INT(Sync!$P1270/10000),""),IFERROR(VALUE(TRIM(LEFT(Sync!$P1270,FIND("/",Sync!$P1270)-1))),"")))</f>
        <v/>
      </c>
      <c r="AG1270">
        <f>IF(OR($AE1270="",$AF1270=""),"",IF(ISNUMBER(Sync!$P1270),INT(MOD(Sync!$P1270,10000)/100),IFERROR(VALUE(TRIM(LEFT(MID(Sync!$P1270,FIND("/",Sync!$P1270)+1,20),FIND("/",MID(Sync!$P1270,FIND("/",Sync!$P1270)+1,20))-1))),"")))</f>
        <v/>
      </c>
      <c r="AH1270">
        <f>IF(OR($AE1270="",$AF1270=""),"",IF(ISNUMBER(Sync!$P1270),MOD(Sync!$P1270,100),IFERROR(VALUE(TRIM(MID(MID(Sync!$P1270,FIND("/",Sync!$P1270)+1,20),FIND("/",MID(Sync!$P1270,FIND("/",Sync!$P1270)+1,20))+1,20))),"")))</f>
        <v/>
      </c>
      <c r="AI1270">
        <f>IF($AE1270="","",IF(OR($AF1270="",$AG1270="",$AH1270="",$AF1270&lt;1300,$AF1270&gt;1500,$AG1270&lt;1,$AG1270&gt;12,$AH1270&lt;1,$AH1270&gt;31),"نامعتبر",RIGHT("0000"&amp;$AF1270,4)&amp;"/"&amp;RIGHT("00"&amp;$AG1270,2)&amp;"/"&amp;RIGHT("00"&amp;$AH1270,2)))</f>
        <v/>
      </c>
      <c r="AJ1270">
        <f>IF($AE1270="","",IF(Sync!$Q1270="","0000",IF(AND(ISNUMBER(Sync!$Q1270),Sync!$Q1270&gt;=0,Sync!$Q1270&lt;1),RIGHT("00"&amp;HOUR(Sync!$Q1270),2)&amp;RIGHT("00"&amp;MINUTE(Sync!$Q1270),2),IFERROR(RIGHT("00"&amp;VALUE(LEFT(Sync!$Q1270,FIND(":",Sync!$Q1270)-1)),2)&amp;RIGHT("00"&amp;VALUE(MID(Sync!$Q1270,FIND(":",Sync!$Q1270)+1,2)),2),"0000"))))</f>
        <v/>
      </c>
      <c r="AK1270">
        <f>IF(OR($AE1270="",$AI1270="",$AI1270="نامعتبر"),"",LEFT($AI1270,4)&amp;MID($AI1270,6,2)&amp;RIGHT($AI1270,2)&amp;$AJ1270&amp;"|"&amp;"3"&amp;RIGHT("00000"&amp;1265,5))</f>
        <v/>
      </c>
      <c r="AL1270">
        <f>IF($AK1270="","",COUNTIFS(LdAParty,$AE1270,LdAType,1,LdAKey,"&lt;"&amp;$AK1270)+COUNTIFS(LdBMember,$AE1270,LdBKey,"&lt;"&amp;$AK1270)+COUNTIFS(LdCParty,$AE1270,LdCKey,"&lt;"&amp;$AK1270)+1)</f>
        <v/>
      </c>
      <c r="AM1270">
        <f>IF($AL1270="","",$AE1270&amp;"|"&amp;RIGHT("000000"&amp;$AL1270,6))</f>
        <v/>
      </c>
      <c r="AN1270">
        <f>IF($AE1270="","",IF(Sync!$W1270="",0,Sync!$W1270))</f>
        <v/>
      </c>
      <c r="AO1270">
        <f>IF($AE1270="","",IF(Sync!$X1270="",0,Sync!$X1270))</f>
        <v/>
      </c>
      <c r="AP1270">
        <f>IF($AE1270="","",Sync!$R1270)</f>
        <v/>
      </c>
      <c r="AQ1270">
        <f>IF($AE1270="","",Sync!$Y1270)</f>
        <v/>
      </c>
    </row>
    <row r="1271">
      <c r="A1271">
        <f>IF(OR(Wages!$B1274="",Wages!$E1274=""),"",Wages!$E1274)</f>
        <v/>
      </c>
      <c r="B1271">
        <f>IF($A1271="","",IF(Wages!$C1274="دستمزد گروهی",2,1))</f>
        <v/>
      </c>
      <c r="C1271">
        <f>IF($A1271="","",IF(ISNUMBER(Wages!$B1274),IF(AND(Wages!$B1274&gt;=10000101,Wages!$B1274&lt;=99991231),INT(Wages!$B1274/10000),""),IFERROR(VALUE(TRIM(LEFT(Wages!$B1274,FIND("/",Wages!$B1274)-1))),"")))</f>
        <v/>
      </c>
      <c r="D1271">
        <f>IF(OR($A1271="",$C1271=""),"",IF(ISNUMBER(Wages!$B1274),INT(MOD(Wages!$B1274,10000)/100),IFERROR(VALUE(TRIM(LEFT(MID(Wages!$B1274,FIND("/",Wages!$B1274)+1,20),FIND("/",MID(Wages!$B1274,FIND("/",Wages!$B1274)+1,20))-1))),"")))</f>
        <v/>
      </c>
      <c r="E1271">
        <f>IF(OR($A1271="",$C1271=""),"",IF(ISNUMBER(Wages!$B1274),MOD(Wages!$B1274,100),IFERROR(VALUE(TRIM(MID(MID(Wages!$B1274,FIND("/",Wages!$B1274)+1,20),FIND("/",MID(Wages!$B1274,FIND("/",Wages!$B1274)+1,20))+1,20))),"")))</f>
        <v/>
      </c>
      <c r="F1271">
        <f>IF($A1271="","",IF(OR($C1271="",$D1271="",$E1271="",$C1271&lt;1300,$C1271&gt;1500,$D1271&lt;1,$D1271&gt;12,$E1271&lt;1,$E1271&gt;31),"نامعتبر",RIGHT("0000"&amp;$C1271,4)&amp;"/"&amp;RIGHT("00"&amp;$D1271,2)&amp;"/"&amp;RIGHT("00"&amp;$E1271,2)))</f>
        <v/>
      </c>
      <c r="G1271">
        <f>IF(OR($A1271="",$F1271="",$F1271="نامعتبر"),"",LEFT($F1271,4)&amp;MID($F1271,6,2)&amp;RIGHT($F1271,2)&amp;"0000"&amp;"|"&amp;"1"&amp;RIGHT("00000"&amp;1266,5))</f>
        <v/>
      </c>
      <c r="H1271">
        <f>IF(OR($B1271&lt;&gt;1,$G1271=""),"",COUNTIFS(LdAParty,$A1271,LdAType,1,LdAKey,"&lt;"&amp;$G1271)+COUNTIFS(LdBMember,$A1271,LdBKey,"&lt;"&amp;$G1271)+COUNTIFS(LdCParty,$A1271,LdCKey,"&lt;"&amp;$G1271)+1)</f>
        <v/>
      </c>
      <c r="I1271">
        <f>IF($H1271="","",$A1271&amp;"|"&amp;RIGHT("000000"&amp;$H1271,6))</f>
        <v/>
      </c>
      <c r="J1271">
        <f>IF(OR($B1271&lt;&gt;2,$G1271=""),"",COUNTIFS(LdAParty,$A1271,LdAType,2,LdAKey,"&lt;"&amp;$G1271)+1)</f>
        <v/>
      </c>
      <c r="K1271">
        <f>IF($J1271="","",$A1271&amp;"|"&amp;RIGHT("000000"&amp;$J1271,6))</f>
        <v/>
      </c>
      <c r="L1271">
        <f>IF($A1271="","",IF(Wages!$G1274="",0,Wages!$G1274))</f>
        <v/>
      </c>
      <c r="M1271">
        <f>IF($A1271="","",Wages!$J1274)</f>
        <v/>
      </c>
      <c r="N1271">
        <f>IF($A1271="","",Wages!$D1274)</f>
        <v/>
      </c>
      <c r="P1271">
        <f>IF(OR(Shares!$B1274="",Shares!$C1274=""),"",Shares!$C1274)</f>
        <v/>
      </c>
      <c r="Q1271">
        <f>IF($P1271="","",Shares!$B1274)</f>
        <v/>
      </c>
      <c r="R1271">
        <f>IF($P1271="","",IFERROR(INDEX(WageParty,MATCH($Q1271,WageIds,0)),""))</f>
        <v/>
      </c>
      <c r="S1271">
        <f>IF($P1271="","",IFERROR(INDEX($F$6:$F$2005,MATCH($Q1271,WageIds,0)),""))</f>
        <v/>
      </c>
      <c r="T1271">
        <f>IF(OR($P1271="",$S1271="",$S1271="نامعتبر"),"",LEFT($S1271,4)&amp;MID($S1271,6,2)&amp;RIGHT($S1271,2)&amp;"0000"&amp;"|"&amp;"2"&amp;RIGHT("00000"&amp;1266,5))</f>
        <v/>
      </c>
      <c r="U1271">
        <f>IF($T1271="","",COUNTIFS(LdAParty,$P1271,LdAType,1,LdAKey,"&lt;"&amp;$T1271)+COUNTIFS(LdBMember,$P1271,LdBKey,"&lt;"&amp;$T1271)+COUNTIFS(LdCParty,$P1271,LdCKey,"&lt;"&amp;$T1271)+1)</f>
        <v/>
      </c>
      <c r="V1271">
        <f>IF($U1271="","",$P1271&amp;"|"&amp;RIGHT("000000"&amp;$U1271,6))</f>
        <v/>
      </c>
      <c r="W1271">
        <f>IF($T1271="","",COUNTIFS(LdBGroup,$R1271,LdBKey,"&lt;"&amp;$T1271)+1)</f>
        <v/>
      </c>
      <c r="X1271">
        <f>IF($W1271="","",$R1271&amp;"|"&amp;RIGHT("000000"&amp;$W1271,6))</f>
        <v/>
      </c>
      <c r="Y1271">
        <f>IF($P1271="","",IF(Shares!$E1274="",0,Shares!$E1274))</f>
        <v/>
      </c>
      <c r="Z1271">
        <f>IF($P1271="","",Shares!$H1274)</f>
        <v/>
      </c>
      <c r="AE1271">
        <f>IF(OR(Sync!$S1271="",Sync!$P1271=""),"",Sync!$S1271)</f>
        <v/>
      </c>
      <c r="AF1271">
        <f>IF($AE1271="","",IF(ISNUMBER(Sync!$P1271),IF(AND(Sync!$P1271&gt;=10000101,Sync!$P1271&lt;=99991231),INT(Sync!$P1271/10000),""),IFERROR(VALUE(TRIM(LEFT(Sync!$P1271,FIND("/",Sync!$P1271)-1))),"")))</f>
        <v/>
      </c>
      <c r="AG1271">
        <f>IF(OR($AE1271="",$AF1271=""),"",IF(ISNUMBER(Sync!$P1271),INT(MOD(Sync!$P1271,10000)/100),IFERROR(VALUE(TRIM(LEFT(MID(Sync!$P1271,FIND("/",Sync!$P1271)+1,20),FIND("/",MID(Sync!$P1271,FIND("/",Sync!$P1271)+1,20))-1))),"")))</f>
        <v/>
      </c>
      <c r="AH1271">
        <f>IF(OR($AE1271="",$AF1271=""),"",IF(ISNUMBER(Sync!$P1271),MOD(Sync!$P1271,100),IFERROR(VALUE(TRIM(MID(MID(Sync!$P1271,FIND("/",Sync!$P1271)+1,20),FIND("/",MID(Sync!$P1271,FIND("/",Sync!$P1271)+1,20))+1,20))),"")))</f>
        <v/>
      </c>
      <c r="AI1271">
        <f>IF($AE1271="","",IF(OR($AF1271="",$AG1271="",$AH1271="",$AF1271&lt;1300,$AF1271&gt;1500,$AG1271&lt;1,$AG1271&gt;12,$AH1271&lt;1,$AH1271&gt;31),"نامعتبر",RIGHT("0000"&amp;$AF1271,4)&amp;"/"&amp;RIGHT("00"&amp;$AG1271,2)&amp;"/"&amp;RIGHT("00"&amp;$AH1271,2)))</f>
        <v/>
      </c>
      <c r="AJ1271">
        <f>IF($AE1271="","",IF(Sync!$Q1271="","0000",IF(AND(ISNUMBER(Sync!$Q1271),Sync!$Q1271&gt;=0,Sync!$Q1271&lt;1),RIGHT("00"&amp;HOUR(Sync!$Q1271),2)&amp;RIGHT("00"&amp;MINUTE(Sync!$Q1271),2),IFERROR(RIGHT("00"&amp;VALUE(LEFT(Sync!$Q1271,FIND(":",Sync!$Q1271)-1)),2)&amp;RIGHT("00"&amp;VALUE(MID(Sync!$Q1271,FIND(":",Sync!$Q1271)+1,2)),2),"0000"))))</f>
        <v/>
      </c>
      <c r="AK1271">
        <f>IF(OR($AE1271="",$AI1271="",$AI1271="نامعتبر"),"",LEFT($AI1271,4)&amp;MID($AI1271,6,2)&amp;RIGHT($AI1271,2)&amp;$AJ1271&amp;"|"&amp;"3"&amp;RIGHT("00000"&amp;1266,5))</f>
        <v/>
      </c>
      <c r="AL1271">
        <f>IF($AK1271="","",COUNTIFS(LdAParty,$AE1271,LdAType,1,LdAKey,"&lt;"&amp;$AK1271)+COUNTIFS(LdBMember,$AE1271,LdBKey,"&lt;"&amp;$AK1271)+COUNTIFS(LdCParty,$AE1271,LdCKey,"&lt;"&amp;$AK1271)+1)</f>
        <v/>
      </c>
      <c r="AM1271">
        <f>IF($AL1271="","",$AE1271&amp;"|"&amp;RIGHT("000000"&amp;$AL1271,6))</f>
        <v/>
      </c>
      <c r="AN1271">
        <f>IF($AE1271="","",IF(Sync!$W1271="",0,Sync!$W1271))</f>
        <v/>
      </c>
      <c r="AO1271">
        <f>IF($AE1271="","",IF(Sync!$X1271="",0,Sync!$X1271))</f>
        <v/>
      </c>
      <c r="AP1271">
        <f>IF($AE1271="","",Sync!$R1271)</f>
        <v/>
      </c>
      <c r="AQ1271">
        <f>IF($AE1271="","",Sync!$Y1271)</f>
        <v/>
      </c>
    </row>
    <row r="1272">
      <c r="A1272">
        <f>IF(OR(Wages!$B1275="",Wages!$E1275=""),"",Wages!$E1275)</f>
        <v/>
      </c>
      <c r="B1272">
        <f>IF($A1272="","",IF(Wages!$C1275="دستمزد گروهی",2,1))</f>
        <v/>
      </c>
      <c r="C1272">
        <f>IF($A1272="","",IF(ISNUMBER(Wages!$B1275),IF(AND(Wages!$B1275&gt;=10000101,Wages!$B1275&lt;=99991231),INT(Wages!$B1275/10000),""),IFERROR(VALUE(TRIM(LEFT(Wages!$B1275,FIND("/",Wages!$B1275)-1))),"")))</f>
        <v/>
      </c>
      <c r="D1272">
        <f>IF(OR($A1272="",$C1272=""),"",IF(ISNUMBER(Wages!$B1275),INT(MOD(Wages!$B1275,10000)/100),IFERROR(VALUE(TRIM(LEFT(MID(Wages!$B1275,FIND("/",Wages!$B1275)+1,20),FIND("/",MID(Wages!$B1275,FIND("/",Wages!$B1275)+1,20))-1))),"")))</f>
        <v/>
      </c>
      <c r="E1272">
        <f>IF(OR($A1272="",$C1272=""),"",IF(ISNUMBER(Wages!$B1275),MOD(Wages!$B1275,100),IFERROR(VALUE(TRIM(MID(MID(Wages!$B1275,FIND("/",Wages!$B1275)+1,20),FIND("/",MID(Wages!$B1275,FIND("/",Wages!$B1275)+1,20))+1,20))),"")))</f>
        <v/>
      </c>
      <c r="F1272">
        <f>IF($A1272="","",IF(OR($C1272="",$D1272="",$E1272="",$C1272&lt;1300,$C1272&gt;1500,$D1272&lt;1,$D1272&gt;12,$E1272&lt;1,$E1272&gt;31),"نامعتبر",RIGHT("0000"&amp;$C1272,4)&amp;"/"&amp;RIGHT("00"&amp;$D1272,2)&amp;"/"&amp;RIGHT("00"&amp;$E1272,2)))</f>
        <v/>
      </c>
      <c r="G1272">
        <f>IF(OR($A1272="",$F1272="",$F1272="نامعتبر"),"",LEFT($F1272,4)&amp;MID($F1272,6,2)&amp;RIGHT($F1272,2)&amp;"0000"&amp;"|"&amp;"1"&amp;RIGHT("00000"&amp;1267,5))</f>
        <v/>
      </c>
      <c r="H1272">
        <f>IF(OR($B1272&lt;&gt;1,$G1272=""),"",COUNTIFS(LdAParty,$A1272,LdAType,1,LdAKey,"&lt;"&amp;$G1272)+COUNTIFS(LdBMember,$A1272,LdBKey,"&lt;"&amp;$G1272)+COUNTIFS(LdCParty,$A1272,LdCKey,"&lt;"&amp;$G1272)+1)</f>
        <v/>
      </c>
      <c r="I1272">
        <f>IF($H1272="","",$A1272&amp;"|"&amp;RIGHT("000000"&amp;$H1272,6))</f>
        <v/>
      </c>
      <c r="J1272">
        <f>IF(OR($B1272&lt;&gt;2,$G1272=""),"",COUNTIFS(LdAParty,$A1272,LdAType,2,LdAKey,"&lt;"&amp;$G1272)+1)</f>
        <v/>
      </c>
      <c r="K1272">
        <f>IF($J1272="","",$A1272&amp;"|"&amp;RIGHT("000000"&amp;$J1272,6))</f>
        <v/>
      </c>
      <c r="L1272">
        <f>IF($A1272="","",IF(Wages!$G1275="",0,Wages!$G1275))</f>
        <v/>
      </c>
      <c r="M1272">
        <f>IF($A1272="","",Wages!$J1275)</f>
        <v/>
      </c>
      <c r="N1272">
        <f>IF($A1272="","",Wages!$D1275)</f>
        <v/>
      </c>
      <c r="P1272">
        <f>IF(OR(Shares!$B1275="",Shares!$C1275=""),"",Shares!$C1275)</f>
        <v/>
      </c>
      <c r="Q1272">
        <f>IF($P1272="","",Shares!$B1275)</f>
        <v/>
      </c>
      <c r="R1272">
        <f>IF($P1272="","",IFERROR(INDEX(WageParty,MATCH($Q1272,WageIds,0)),""))</f>
        <v/>
      </c>
      <c r="S1272">
        <f>IF($P1272="","",IFERROR(INDEX($F$6:$F$2005,MATCH($Q1272,WageIds,0)),""))</f>
        <v/>
      </c>
      <c r="T1272">
        <f>IF(OR($P1272="",$S1272="",$S1272="نامعتبر"),"",LEFT($S1272,4)&amp;MID($S1272,6,2)&amp;RIGHT($S1272,2)&amp;"0000"&amp;"|"&amp;"2"&amp;RIGHT("00000"&amp;1267,5))</f>
        <v/>
      </c>
      <c r="U1272">
        <f>IF($T1272="","",COUNTIFS(LdAParty,$P1272,LdAType,1,LdAKey,"&lt;"&amp;$T1272)+COUNTIFS(LdBMember,$P1272,LdBKey,"&lt;"&amp;$T1272)+COUNTIFS(LdCParty,$P1272,LdCKey,"&lt;"&amp;$T1272)+1)</f>
        <v/>
      </c>
      <c r="V1272">
        <f>IF($U1272="","",$P1272&amp;"|"&amp;RIGHT("000000"&amp;$U1272,6))</f>
        <v/>
      </c>
      <c r="W1272">
        <f>IF($T1272="","",COUNTIFS(LdBGroup,$R1272,LdBKey,"&lt;"&amp;$T1272)+1)</f>
        <v/>
      </c>
      <c r="X1272">
        <f>IF($W1272="","",$R1272&amp;"|"&amp;RIGHT("000000"&amp;$W1272,6))</f>
        <v/>
      </c>
      <c r="Y1272">
        <f>IF($P1272="","",IF(Shares!$E1275="",0,Shares!$E1275))</f>
        <v/>
      </c>
      <c r="Z1272">
        <f>IF($P1272="","",Shares!$H1275)</f>
        <v/>
      </c>
      <c r="AE1272">
        <f>IF(OR(Sync!$S1272="",Sync!$P1272=""),"",Sync!$S1272)</f>
        <v/>
      </c>
      <c r="AF1272">
        <f>IF($AE1272="","",IF(ISNUMBER(Sync!$P1272),IF(AND(Sync!$P1272&gt;=10000101,Sync!$P1272&lt;=99991231),INT(Sync!$P1272/10000),""),IFERROR(VALUE(TRIM(LEFT(Sync!$P1272,FIND("/",Sync!$P1272)-1))),"")))</f>
        <v/>
      </c>
      <c r="AG1272">
        <f>IF(OR($AE1272="",$AF1272=""),"",IF(ISNUMBER(Sync!$P1272),INT(MOD(Sync!$P1272,10000)/100),IFERROR(VALUE(TRIM(LEFT(MID(Sync!$P1272,FIND("/",Sync!$P1272)+1,20),FIND("/",MID(Sync!$P1272,FIND("/",Sync!$P1272)+1,20))-1))),"")))</f>
        <v/>
      </c>
      <c r="AH1272">
        <f>IF(OR($AE1272="",$AF1272=""),"",IF(ISNUMBER(Sync!$P1272),MOD(Sync!$P1272,100),IFERROR(VALUE(TRIM(MID(MID(Sync!$P1272,FIND("/",Sync!$P1272)+1,20),FIND("/",MID(Sync!$P1272,FIND("/",Sync!$P1272)+1,20))+1,20))),"")))</f>
        <v/>
      </c>
      <c r="AI1272">
        <f>IF($AE1272="","",IF(OR($AF1272="",$AG1272="",$AH1272="",$AF1272&lt;1300,$AF1272&gt;1500,$AG1272&lt;1,$AG1272&gt;12,$AH1272&lt;1,$AH1272&gt;31),"نامعتبر",RIGHT("0000"&amp;$AF1272,4)&amp;"/"&amp;RIGHT("00"&amp;$AG1272,2)&amp;"/"&amp;RIGHT("00"&amp;$AH1272,2)))</f>
        <v/>
      </c>
      <c r="AJ1272">
        <f>IF($AE1272="","",IF(Sync!$Q1272="","0000",IF(AND(ISNUMBER(Sync!$Q1272),Sync!$Q1272&gt;=0,Sync!$Q1272&lt;1),RIGHT("00"&amp;HOUR(Sync!$Q1272),2)&amp;RIGHT("00"&amp;MINUTE(Sync!$Q1272),2),IFERROR(RIGHT("00"&amp;VALUE(LEFT(Sync!$Q1272,FIND(":",Sync!$Q1272)-1)),2)&amp;RIGHT("00"&amp;VALUE(MID(Sync!$Q1272,FIND(":",Sync!$Q1272)+1,2)),2),"0000"))))</f>
        <v/>
      </c>
      <c r="AK1272">
        <f>IF(OR($AE1272="",$AI1272="",$AI1272="نامعتبر"),"",LEFT($AI1272,4)&amp;MID($AI1272,6,2)&amp;RIGHT($AI1272,2)&amp;$AJ1272&amp;"|"&amp;"3"&amp;RIGHT("00000"&amp;1267,5))</f>
        <v/>
      </c>
      <c r="AL1272">
        <f>IF($AK1272="","",COUNTIFS(LdAParty,$AE1272,LdAType,1,LdAKey,"&lt;"&amp;$AK1272)+COUNTIFS(LdBMember,$AE1272,LdBKey,"&lt;"&amp;$AK1272)+COUNTIFS(LdCParty,$AE1272,LdCKey,"&lt;"&amp;$AK1272)+1)</f>
        <v/>
      </c>
      <c r="AM1272">
        <f>IF($AL1272="","",$AE1272&amp;"|"&amp;RIGHT("000000"&amp;$AL1272,6))</f>
        <v/>
      </c>
      <c r="AN1272">
        <f>IF($AE1272="","",IF(Sync!$W1272="",0,Sync!$W1272))</f>
        <v/>
      </c>
      <c r="AO1272">
        <f>IF($AE1272="","",IF(Sync!$X1272="",0,Sync!$X1272))</f>
        <v/>
      </c>
      <c r="AP1272">
        <f>IF($AE1272="","",Sync!$R1272)</f>
        <v/>
      </c>
      <c r="AQ1272">
        <f>IF($AE1272="","",Sync!$Y1272)</f>
        <v/>
      </c>
    </row>
    <row r="1273">
      <c r="A1273">
        <f>IF(OR(Wages!$B1276="",Wages!$E1276=""),"",Wages!$E1276)</f>
        <v/>
      </c>
      <c r="B1273">
        <f>IF($A1273="","",IF(Wages!$C1276="دستمزد گروهی",2,1))</f>
        <v/>
      </c>
      <c r="C1273">
        <f>IF($A1273="","",IF(ISNUMBER(Wages!$B1276),IF(AND(Wages!$B1276&gt;=10000101,Wages!$B1276&lt;=99991231),INT(Wages!$B1276/10000),""),IFERROR(VALUE(TRIM(LEFT(Wages!$B1276,FIND("/",Wages!$B1276)-1))),"")))</f>
        <v/>
      </c>
      <c r="D1273">
        <f>IF(OR($A1273="",$C1273=""),"",IF(ISNUMBER(Wages!$B1276),INT(MOD(Wages!$B1276,10000)/100),IFERROR(VALUE(TRIM(LEFT(MID(Wages!$B1276,FIND("/",Wages!$B1276)+1,20),FIND("/",MID(Wages!$B1276,FIND("/",Wages!$B1276)+1,20))-1))),"")))</f>
        <v/>
      </c>
      <c r="E1273">
        <f>IF(OR($A1273="",$C1273=""),"",IF(ISNUMBER(Wages!$B1276),MOD(Wages!$B1276,100),IFERROR(VALUE(TRIM(MID(MID(Wages!$B1276,FIND("/",Wages!$B1276)+1,20),FIND("/",MID(Wages!$B1276,FIND("/",Wages!$B1276)+1,20))+1,20))),"")))</f>
        <v/>
      </c>
      <c r="F1273">
        <f>IF($A1273="","",IF(OR($C1273="",$D1273="",$E1273="",$C1273&lt;1300,$C1273&gt;1500,$D1273&lt;1,$D1273&gt;12,$E1273&lt;1,$E1273&gt;31),"نامعتبر",RIGHT("0000"&amp;$C1273,4)&amp;"/"&amp;RIGHT("00"&amp;$D1273,2)&amp;"/"&amp;RIGHT("00"&amp;$E1273,2)))</f>
        <v/>
      </c>
      <c r="G1273">
        <f>IF(OR($A1273="",$F1273="",$F1273="نامعتبر"),"",LEFT($F1273,4)&amp;MID($F1273,6,2)&amp;RIGHT($F1273,2)&amp;"0000"&amp;"|"&amp;"1"&amp;RIGHT("00000"&amp;1268,5))</f>
        <v/>
      </c>
      <c r="H1273">
        <f>IF(OR($B1273&lt;&gt;1,$G1273=""),"",COUNTIFS(LdAParty,$A1273,LdAType,1,LdAKey,"&lt;"&amp;$G1273)+COUNTIFS(LdBMember,$A1273,LdBKey,"&lt;"&amp;$G1273)+COUNTIFS(LdCParty,$A1273,LdCKey,"&lt;"&amp;$G1273)+1)</f>
        <v/>
      </c>
      <c r="I1273">
        <f>IF($H1273="","",$A1273&amp;"|"&amp;RIGHT("000000"&amp;$H1273,6))</f>
        <v/>
      </c>
      <c r="J1273">
        <f>IF(OR($B1273&lt;&gt;2,$G1273=""),"",COUNTIFS(LdAParty,$A1273,LdAType,2,LdAKey,"&lt;"&amp;$G1273)+1)</f>
        <v/>
      </c>
      <c r="K1273">
        <f>IF($J1273="","",$A1273&amp;"|"&amp;RIGHT("000000"&amp;$J1273,6))</f>
        <v/>
      </c>
      <c r="L1273">
        <f>IF($A1273="","",IF(Wages!$G1276="",0,Wages!$G1276))</f>
        <v/>
      </c>
      <c r="M1273">
        <f>IF($A1273="","",Wages!$J1276)</f>
        <v/>
      </c>
      <c r="N1273">
        <f>IF($A1273="","",Wages!$D1276)</f>
        <v/>
      </c>
      <c r="P1273">
        <f>IF(OR(Shares!$B1276="",Shares!$C1276=""),"",Shares!$C1276)</f>
        <v/>
      </c>
      <c r="Q1273">
        <f>IF($P1273="","",Shares!$B1276)</f>
        <v/>
      </c>
      <c r="R1273">
        <f>IF($P1273="","",IFERROR(INDEX(WageParty,MATCH($Q1273,WageIds,0)),""))</f>
        <v/>
      </c>
      <c r="S1273">
        <f>IF($P1273="","",IFERROR(INDEX($F$6:$F$2005,MATCH($Q1273,WageIds,0)),""))</f>
        <v/>
      </c>
      <c r="T1273">
        <f>IF(OR($P1273="",$S1273="",$S1273="نامعتبر"),"",LEFT($S1273,4)&amp;MID($S1273,6,2)&amp;RIGHT($S1273,2)&amp;"0000"&amp;"|"&amp;"2"&amp;RIGHT("00000"&amp;1268,5))</f>
        <v/>
      </c>
      <c r="U1273">
        <f>IF($T1273="","",COUNTIFS(LdAParty,$P1273,LdAType,1,LdAKey,"&lt;"&amp;$T1273)+COUNTIFS(LdBMember,$P1273,LdBKey,"&lt;"&amp;$T1273)+COUNTIFS(LdCParty,$P1273,LdCKey,"&lt;"&amp;$T1273)+1)</f>
        <v/>
      </c>
      <c r="V1273">
        <f>IF($U1273="","",$P1273&amp;"|"&amp;RIGHT("000000"&amp;$U1273,6))</f>
        <v/>
      </c>
      <c r="W1273">
        <f>IF($T1273="","",COUNTIFS(LdBGroup,$R1273,LdBKey,"&lt;"&amp;$T1273)+1)</f>
        <v/>
      </c>
      <c r="X1273">
        <f>IF($W1273="","",$R1273&amp;"|"&amp;RIGHT("000000"&amp;$W1273,6))</f>
        <v/>
      </c>
      <c r="Y1273">
        <f>IF($P1273="","",IF(Shares!$E1276="",0,Shares!$E1276))</f>
        <v/>
      </c>
      <c r="Z1273">
        <f>IF($P1273="","",Shares!$H1276)</f>
        <v/>
      </c>
      <c r="AE1273">
        <f>IF(OR(Sync!$S1273="",Sync!$P1273=""),"",Sync!$S1273)</f>
        <v/>
      </c>
      <c r="AF1273">
        <f>IF($AE1273="","",IF(ISNUMBER(Sync!$P1273),IF(AND(Sync!$P1273&gt;=10000101,Sync!$P1273&lt;=99991231),INT(Sync!$P1273/10000),""),IFERROR(VALUE(TRIM(LEFT(Sync!$P1273,FIND("/",Sync!$P1273)-1))),"")))</f>
        <v/>
      </c>
      <c r="AG1273">
        <f>IF(OR($AE1273="",$AF1273=""),"",IF(ISNUMBER(Sync!$P1273),INT(MOD(Sync!$P1273,10000)/100),IFERROR(VALUE(TRIM(LEFT(MID(Sync!$P1273,FIND("/",Sync!$P1273)+1,20),FIND("/",MID(Sync!$P1273,FIND("/",Sync!$P1273)+1,20))-1))),"")))</f>
        <v/>
      </c>
      <c r="AH1273">
        <f>IF(OR($AE1273="",$AF1273=""),"",IF(ISNUMBER(Sync!$P1273),MOD(Sync!$P1273,100),IFERROR(VALUE(TRIM(MID(MID(Sync!$P1273,FIND("/",Sync!$P1273)+1,20),FIND("/",MID(Sync!$P1273,FIND("/",Sync!$P1273)+1,20))+1,20))),"")))</f>
        <v/>
      </c>
      <c r="AI1273">
        <f>IF($AE1273="","",IF(OR($AF1273="",$AG1273="",$AH1273="",$AF1273&lt;1300,$AF1273&gt;1500,$AG1273&lt;1,$AG1273&gt;12,$AH1273&lt;1,$AH1273&gt;31),"نامعتبر",RIGHT("0000"&amp;$AF1273,4)&amp;"/"&amp;RIGHT("00"&amp;$AG1273,2)&amp;"/"&amp;RIGHT("00"&amp;$AH1273,2)))</f>
        <v/>
      </c>
      <c r="AJ1273">
        <f>IF($AE1273="","",IF(Sync!$Q1273="","0000",IF(AND(ISNUMBER(Sync!$Q1273),Sync!$Q1273&gt;=0,Sync!$Q1273&lt;1),RIGHT("00"&amp;HOUR(Sync!$Q1273),2)&amp;RIGHT("00"&amp;MINUTE(Sync!$Q1273),2),IFERROR(RIGHT("00"&amp;VALUE(LEFT(Sync!$Q1273,FIND(":",Sync!$Q1273)-1)),2)&amp;RIGHT("00"&amp;VALUE(MID(Sync!$Q1273,FIND(":",Sync!$Q1273)+1,2)),2),"0000"))))</f>
        <v/>
      </c>
      <c r="AK1273">
        <f>IF(OR($AE1273="",$AI1273="",$AI1273="نامعتبر"),"",LEFT($AI1273,4)&amp;MID($AI1273,6,2)&amp;RIGHT($AI1273,2)&amp;$AJ1273&amp;"|"&amp;"3"&amp;RIGHT("00000"&amp;1268,5))</f>
        <v/>
      </c>
      <c r="AL1273">
        <f>IF($AK1273="","",COUNTIFS(LdAParty,$AE1273,LdAType,1,LdAKey,"&lt;"&amp;$AK1273)+COUNTIFS(LdBMember,$AE1273,LdBKey,"&lt;"&amp;$AK1273)+COUNTIFS(LdCParty,$AE1273,LdCKey,"&lt;"&amp;$AK1273)+1)</f>
        <v/>
      </c>
      <c r="AM1273">
        <f>IF($AL1273="","",$AE1273&amp;"|"&amp;RIGHT("000000"&amp;$AL1273,6))</f>
        <v/>
      </c>
      <c r="AN1273">
        <f>IF($AE1273="","",IF(Sync!$W1273="",0,Sync!$W1273))</f>
        <v/>
      </c>
      <c r="AO1273">
        <f>IF($AE1273="","",IF(Sync!$X1273="",0,Sync!$X1273))</f>
        <v/>
      </c>
      <c r="AP1273">
        <f>IF($AE1273="","",Sync!$R1273)</f>
        <v/>
      </c>
      <c r="AQ1273">
        <f>IF($AE1273="","",Sync!$Y1273)</f>
        <v/>
      </c>
    </row>
    <row r="1274">
      <c r="A1274">
        <f>IF(OR(Wages!$B1277="",Wages!$E1277=""),"",Wages!$E1277)</f>
        <v/>
      </c>
      <c r="B1274">
        <f>IF($A1274="","",IF(Wages!$C1277="دستمزد گروهی",2,1))</f>
        <v/>
      </c>
      <c r="C1274">
        <f>IF($A1274="","",IF(ISNUMBER(Wages!$B1277),IF(AND(Wages!$B1277&gt;=10000101,Wages!$B1277&lt;=99991231),INT(Wages!$B1277/10000),""),IFERROR(VALUE(TRIM(LEFT(Wages!$B1277,FIND("/",Wages!$B1277)-1))),"")))</f>
        <v/>
      </c>
      <c r="D1274">
        <f>IF(OR($A1274="",$C1274=""),"",IF(ISNUMBER(Wages!$B1277),INT(MOD(Wages!$B1277,10000)/100),IFERROR(VALUE(TRIM(LEFT(MID(Wages!$B1277,FIND("/",Wages!$B1277)+1,20),FIND("/",MID(Wages!$B1277,FIND("/",Wages!$B1277)+1,20))-1))),"")))</f>
        <v/>
      </c>
      <c r="E1274">
        <f>IF(OR($A1274="",$C1274=""),"",IF(ISNUMBER(Wages!$B1277),MOD(Wages!$B1277,100),IFERROR(VALUE(TRIM(MID(MID(Wages!$B1277,FIND("/",Wages!$B1277)+1,20),FIND("/",MID(Wages!$B1277,FIND("/",Wages!$B1277)+1,20))+1,20))),"")))</f>
        <v/>
      </c>
      <c r="F1274">
        <f>IF($A1274="","",IF(OR($C1274="",$D1274="",$E1274="",$C1274&lt;1300,$C1274&gt;1500,$D1274&lt;1,$D1274&gt;12,$E1274&lt;1,$E1274&gt;31),"نامعتبر",RIGHT("0000"&amp;$C1274,4)&amp;"/"&amp;RIGHT("00"&amp;$D1274,2)&amp;"/"&amp;RIGHT("00"&amp;$E1274,2)))</f>
        <v/>
      </c>
      <c r="G1274">
        <f>IF(OR($A1274="",$F1274="",$F1274="نامعتبر"),"",LEFT($F1274,4)&amp;MID($F1274,6,2)&amp;RIGHT($F1274,2)&amp;"0000"&amp;"|"&amp;"1"&amp;RIGHT("00000"&amp;1269,5))</f>
        <v/>
      </c>
      <c r="H1274">
        <f>IF(OR($B1274&lt;&gt;1,$G1274=""),"",COUNTIFS(LdAParty,$A1274,LdAType,1,LdAKey,"&lt;"&amp;$G1274)+COUNTIFS(LdBMember,$A1274,LdBKey,"&lt;"&amp;$G1274)+COUNTIFS(LdCParty,$A1274,LdCKey,"&lt;"&amp;$G1274)+1)</f>
        <v/>
      </c>
      <c r="I1274">
        <f>IF($H1274="","",$A1274&amp;"|"&amp;RIGHT("000000"&amp;$H1274,6))</f>
        <v/>
      </c>
      <c r="J1274">
        <f>IF(OR($B1274&lt;&gt;2,$G1274=""),"",COUNTIFS(LdAParty,$A1274,LdAType,2,LdAKey,"&lt;"&amp;$G1274)+1)</f>
        <v/>
      </c>
      <c r="K1274">
        <f>IF($J1274="","",$A1274&amp;"|"&amp;RIGHT("000000"&amp;$J1274,6))</f>
        <v/>
      </c>
      <c r="L1274">
        <f>IF($A1274="","",IF(Wages!$G1277="",0,Wages!$G1277))</f>
        <v/>
      </c>
      <c r="M1274">
        <f>IF($A1274="","",Wages!$J1277)</f>
        <v/>
      </c>
      <c r="N1274">
        <f>IF($A1274="","",Wages!$D1277)</f>
        <v/>
      </c>
      <c r="P1274">
        <f>IF(OR(Shares!$B1277="",Shares!$C1277=""),"",Shares!$C1277)</f>
        <v/>
      </c>
      <c r="Q1274">
        <f>IF($P1274="","",Shares!$B1277)</f>
        <v/>
      </c>
      <c r="R1274">
        <f>IF($P1274="","",IFERROR(INDEX(WageParty,MATCH($Q1274,WageIds,0)),""))</f>
        <v/>
      </c>
      <c r="S1274">
        <f>IF($P1274="","",IFERROR(INDEX($F$6:$F$2005,MATCH($Q1274,WageIds,0)),""))</f>
        <v/>
      </c>
      <c r="T1274">
        <f>IF(OR($P1274="",$S1274="",$S1274="نامعتبر"),"",LEFT($S1274,4)&amp;MID($S1274,6,2)&amp;RIGHT($S1274,2)&amp;"0000"&amp;"|"&amp;"2"&amp;RIGHT("00000"&amp;1269,5))</f>
        <v/>
      </c>
      <c r="U1274">
        <f>IF($T1274="","",COUNTIFS(LdAParty,$P1274,LdAType,1,LdAKey,"&lt;"&amp;$T1274)+COUNTIFS(LdBMember,$P1274,LdBKey,"&lt;"&amp;$T1274)+COUNTIFS(LdCParty,$P1274,LdCKey,"&lt;"&amp;$T1274)+1)</f>
        <v/>
      </c>
      <c r="V1274">
        <f>IF($U1274="","",$P1274&amp;"|"&amp;RIGHT("000000"&amp;$U1274,6))</f>
        <v/>
      </c>
      <c r="W1274">
        <f>IF($T1274="","",COUNTIFS(LdBGroup,$R1274,LdBKey,"&lt;"&amp;$T1274)+1)</f>
        <v/>
      </c>
      <c r="X1274">
        <f>IF($W1274="","",$R1274&amp;"|"&amp;RIGHT("000000"&amp;$W1274,6))</f>
        <v/>
      </c>
      <c r="Y1274">
        <f>IF($P1274="","",IF(Shares!$E1277="",0,Shares!$E1277))</f>
        <v/>
      </c>
      <c r="Z1274">
        <f>IF($P1274="","",Shares!$H1277)</f>
        <v/>
      </c>
      <c r="AE1274">
        <f>IF(OR(Sync!$S1274="",Sync!$P1274=""),"",Sync!$S1274)</f>
        <v/>
      </c>
      <c r="AF1274">
        <f>IF($AE1274="","",IF(ISNUMBER(Sync!$P1274),IF(AND(Sync!$P1274&gt;=10000101,Sync!$P1274&lt;=99991231),INT(Sync!$P1274/10000),""),IFERROR(VALUE(TRIM(LEFT(Sync!$P1274,FIND("/",Sync!$P1274)-1))),"")))</f>
        <v/>
      </c>
      <c r="AG1274">
        <f>IF(OR($AE1274="",$AF1274=""),"",IF(ISNUMBER(Sync!$P1274),INT(MOD(Sync!$P1274,10000)/100),IFERROR(VALUE(TRIM(LEFT(MID(Sync!$P1274,FIND("/",Sync!$P1274)+1,20),FIND("/",MID(Sync!$P1274,FIND("/",Sync!$P1274)+1,20))-1))),"")))</f>
        <v/>
      </c>
      <c r="AH1274">
        <f>IF(OR($AE1274="",$AF1274=""),"",IF(ISNUMBER(Sync!$P1274),MOD(Sync!$P1274,100),IFERROR(VALUE(TRIM(MID(MID(Sync!$P1274,FIND("/",Sync!$P1274)+1,20),FIND("/",MID(Sync!$P1274,FIND("/",Sync!$P1274)+1,20))+1,20))),"")))</f>
        <v/>
      </c>
      <c r="AI1274">
        <f>IF($AE1274="","",IF(OR($AF1274="",$AG1274="",$AH1274="",$AF1274&lt;1300,$AF1274&gt;1500,$AG1274&lt;1,$AG1274&gt;12,$AH1274&lt;1,$AH1274&gt;31),"نامعتبر",RIGHT("0000"&amp;$AF1274,4)&amp;"/"&amp;RIGHT("00"&amp;$AG1274,2)&amp;"/"&amp;RIGHT("00"&amp;$AH1274,2)))</f>
        <v/>
      </c>
      <c r="AJ1274">
        <f>IF($AE1274="","",IF(Sync!$Q1274="","0000",IF(AND(ISNUMBER(Sync!$Q1274),Sync!$Q1274&gt;=0,Sync!$Q1274&lt;1),RIGHT("00"&amp;HOUR(Sync!$Q1274),2)&amp;RIGHT("00"&amp;MINUTE(Sync!$Q1274),2),IFERROR(RIGHT("00"&amp;VALUE(LEFT(Sync!$Q1274,FIND(":",Sync!$Q1274)-1)),2)&amp;RIGHT("00"&amp;VALUE(MID(Sync!$Q1274,FIND(":",Sync!$Q1274)+1,2)),2),"0000"))))</f>
        <v/>
      </c>
      <c r="AK1274">
        <f>IF(OR($AE1274="",$AI1274="",$AI1274="نامعتبر"),"",LEFT($AI1274,4)&amp;MID($AI1274,6,2)&amp;RIGHT($AI1274,2)&amp;$AJ1274&amp;"|"&amp;"3"&amp;RIGHT("00000"&amp;1269,5))</f>
        <v/>
      </c>
      <c r="AL1274">
        <f>IF($AK1274="","",COUNTIFS(LdAParty,$AE1274,LdAType,1,LdAKey,"&lt;"&amp;$AK1274)+COUNTIFS(LdBMember,$AE1274,LdBKey,"&lt;"&amp;$AK1274)+COUNTIFS(LdCParty,$AE1274,LdCKey,"&lt;"&amp;$AK1274)+1)</f>
        <v/>
      </c>
      <c r="AM1274">
        <f>IF($AL1274="","",$AE1274&amp;"|"&amp;RIGHT("000000"&amp;$AL1274,6))</f>
        <v/>
      </c>
      <c r="AN1274">
        <f>IF($AE1274="","",IF(Sync!$W1274="",0,Sync!$W1274))</f>
        <v/>
      </c>
      <c r="AO1274">
        <f>IF($AE1274="","",IF(Sync!$X1274="",0,Sync!$X1274))</f>
        <v/>
      </c>
      <c r="AP1274">
        <f>IF($AE1274="","",Sync!$R1274)</f>
        <v/>
      </c>
      <c r="AQ1274">
        <f>IF($AE1274="","",Sync!$Y1274)</f>
        <v/>
      </c>
    </row>
    <row r="1275">
      <c r="A1275">
        <f>IF(OR(Wages!$B1278="",Wages!$E1278=""),"",Wages!$E1278)</f>
        <v/>
      </c>
      <c r="B1275">
        <f>IF($A1275="","",IF(Wages!$C1278="دستمزد گروهی",2,1))</f>
        <v/>
      </c>
      <c r="C1275">
        <f>IF($A1275="","",IF(ISNUMBER(Wages!$B1278),IF(AND(Wages!$B1278&gt;=10000101,Wages!$B1278&lt;=99991231),INT(Wages!$B1278/10000),""),IFERROR(VALUE(TRIM(LEFT(Wages!$B1278,FIND("/",Wages!$B1278)-1))),"")))</f>
        <v/>
      </c>
      <c r="D1275">
        <f>IF(OR($A1275="",$C1275=""),"",IF(ISNUMBER(Wages!$B1278),INT(MOD(Wages!$B1278,10000)/100),IFERROR(VALUE(TRIM(LEFT(MID(Wages!$B1278,FIND("/",Wages!$B1278)+1,20),FIND("/",MID(Wages!$B1278,FIND("/",Wages!$B1278)+1,20))-1))),"")))</f>
        <v/>
      </c>
      <c r="E1275">
        <f>IF(OR($A1275="",$C1275=""),"",IF(ISNUMBER(Wages!$B1278),MOD(Wages!$B1278,100),IFERROR(VALUE(TRIM(MID(MID(Wages!$B1278,FIND("/",Wages!$B1278)+1,20),FIND("/",MID(Wages!$B1278,FIND("/",Wages!$B1278)+1,20))+1,20))),"")))</f>
        <v/>
      </c>
      <c r="F1275">
        <f>IF($A1275="","",IF(OR($C1275="",$D1275="",$E1275="",$C1275&lt;1300,$C1275&gt;1500,$D1275&lt;1,$D1275&gt;12,$E1275&lt;1,$E1275&gt;31),"نامعتبر",RIGHT("0000"&amp;$C1275,4)&amp;"/"&amp;RIGHT("00"&amp;$D1275,2)&amp;"/"&amp;RIGHT("00"&amp;$E1275,2)))</f>
        <v/>
      </c>
      <c r="G1275">
        <f>IF(OR($A1275="",$F1275="",$F1275="نامعتبر"),"",LEFT($F1275,4)&amp;MID($F1275,6,2)&amp;RIGHT($F1275,2)&amp;"0000"&amp;"|"&amp;"1"&amp;RIGHT("00000"&amp;1270,5))</f>
        <v/>
      </c>
      <c r="H1275">
        <f>IF(OR($B1275&lt;&gt;1,$G1275=""),"",COUNTIFS(LdAParty,$A1275,LdAType,1,LdAKey,"&lt;"&amp;$G1275)+COUNTIFS(LdBMember,$A1275,LdBKey,"&lt;"&amp;$G1275)+COUNTIFS(LdCParty,$A1275,LdCKey,"&lt;"&amp;$G1275)+1)</f>
        <v/>
      </c>
      <c r="I1275">
        <f>IF($H1275="","",$A1275&amp;"|"&amp;RIGHT("000000"&amp;$H1275,6))</f>
        <v/>
      </c>
      <c r="J1275">
        <f>IF(OR($B1275&lt;&gt;2,$G1275=""),"",COUNTIFS(LdAParty,$A1275,LdAType,2,LdAKey,"&lt;"&amp;$G1275)+1)</f>
        <v/>
      </c>
      <c r="K1275">
        <f>IF($J1275="","",$A1275&amp;"|"&amp;RIGHT("000000"&amp;$J1275,6))</f>
        <v/>
      </c>
      <c r="L1275">
        <f>IF($A1275="","",IF(Wages!$G1278="",0,Wages!$G1278))</f>
        <v/>
      </c>
      <c r="M1275">
        <f>IF($A1275="","",Wages!$J1278)</f>
        <v/>
      </c>
      <c r="N1275">
        <f>IF($A1275="","",Wages!$D1278)</f>
        <v/>
      </c>
      <c r="P1275">
        <f>IF(OR(Shares!$B1278="",Shares!$C1278=""),"",Shares!$C1278)</f>
        <v/>
      </c>
      <c r="Q1275">
        <f>IF($P1275="","",Shares!$B1278)</f>
        <v/>
      </c>
      <c r="R1275">
        <f>IF($P1275="","",IFERROR(INDEX(WageParty,MATCH($Q1275,WageIds,0)),""))</f>
        <v/>
      </c>
      <c r="S1275">
        <f>IF($P1275="","",IFERROR(INDEX($F$6:$F$2005,MATCH($Q1275,WageIds,0)),""))</f>
        <v/>
      </c>
      <c r="T1275">
        <f>IF(OR($P1275="",$S1275="",$S1275="نامعتبر"),"",LEFT($S1275,4)&amp;MID($S1275,6,2)&amp;RIGHT($S1275,2)&amp;"0000"&amp;"|"&amp;"2"&amp;RIGHT("00000"&amp;1270,5))</f>
        <v/>
      </c>
      <c r="U1275">
        <f>IF($T1275="","",COUNTIFS(LdAParty,$P1275,LdAType,1,LdAKey,"&lt;"&amp;$T1275)+COUNTIFS(LdBMember,$P1275,LdBKey,"&lt;"&amp;$T1275)+COUNTIFS(LdCParty,$P1275,LdCKey,"&lt;"&amp;$T1275)+1)</f>
        <v/>
      </c>
      <c r="V1275">
        <f>IF($U1275="","",$P1275&amp;"|"&amp;RIGHT("000000"&amp;$U1275,6))</f>
        <v/>
      </c>
      <c r="W1275">
        <f>IF($T1275="","",COUNTIFS(LdBGroup,$R1275,LdBKey,"&lt;"&amp;$T1275)+1)</f>
        <v/>
      </c>
      <c r="X1275">
        <f>IF($W1275="","",$R1275&amp;"|"&amp;RIGHT("000000"&amp;$W1275,6))</f>
        <v/>
      </c>
      <c r="Y1275">
        <f>IF($P1275="","",IF(Shares!$E1278="",0,Shares!$E1278))</f>
        <v/>
      </c>
      <c r="Z1275">
        <f>IF($P1275="","",Shares!$H1278)</f>
        <v/>
      </c>
      <c r="AE1275">
        <f>IF(OR(Sync!$S1275="",Sync!$P1275=""),"",Sync!$S1275)</f>
        <v/>
      </c>
      <c r="AF1275">
        <f>IF($AE1275="","",IF(ISNUMBER(Sync!$P1275),IF(AND(Sync!$P1275&gt;=10000101,Sync!$P1275&lt;=99991231),INT(Sync!$P1275/10000),""),IFERROR(VALUE(TRIM(LEFT(Sync!$P1275,FIND("/",Sync!$P1275)-1))),"")))</f>
        <v/>
      </c>
      <c r="AG1275">
        <f>IF(OR($AE1275="",$AF1275=""),"",IF(ISNUMBER(Sync!$P1275),INT(MOD(Sync!$P1275,10000)/100),IFERROR(VALUE(TRIM(LEFT(MID(Sync!$P1275,FIND("/",Sync!$P1275)+1,20),FIND("/",MID(Sync!$P1275,FIND("/",Sync!$P1275)+1,20))-1))),"")))</f>
        <v/>
      </c>
      <c r="AH1275">
        <f>IF(OR($AE1275="",$AF1275=""),"",IF(ISNUMBER(Sync!$P1275),MOD(Sync!$P1275,100),IFERROR(VALUE(TRIM(MID(MID(Sync!$P1275,FIND("/",Sync!$P1275)+1,20),FIND("/",MID(Sync!$P1275,FIND("/",Sync!$P1275)+1,20))+1,20))),"")))</f>
        <v/>
      </c>
      <c r="AI1275">
        <f>IF($AE1275="","",IF(OR($AF1275="",$AG1275="",$AH1275="",$AF1275&lt;1300,$AF1275&gt;1500,$AG1275&lt;1,$AG1275&gt;12,$AH1275&lt;1,$AH1275&gt;31),"نامعتبر",RIGHT("0000"&amp;$AF1275,4)&amp;"/"&amp;RIGHT("00"&amp;$AG1275,2)&amp;"/"&amp;RIGHT("00"&amp;$AH1275,2)))</f>
        <v/>
      </c>
      <c r="AJ1275">
        <f>IF($AE1275="","",IF(Sync!$Q1275="","0000",IF(AND(ISNUMBER(Sync!$Q1275),Sync!$Q1275&gt;=0,Sync!$Q1275&lt;1),RIGHT("00"&amp;HOUR(Sync!$Q1275),2)&amp;RIGHT("00"&amp;MINUTE(Sync!$Q1275),2),IFERROR(RIGHT("00"&amp;VALUE(LEFT(Sync!$Q1275,FIND(":",Sync!$Q1275)-1)),2)&amp;RIGHT("00"&amp;VALUE(MID(Sync!$Q1275,FIND(":",Sync!$Q1275)+1,2)),2),"0000"))))</f>
        <v/>
      </c>
      <c r="AK1275">
        <f>IF(OR($AE1275="",$AI1275="",$AI1275="نامعتبر"),"",LEFT($AI1275,4)&amp;MID($AI1275,6,2)&amp;RIGHT($AI1275,2)&amp;$AJ1275&amp;"|"&amp;"3"&amp;RIGHT("00000"&amp;1270,5))</f>
        <v/>
      </c>
      <c r="AL1275">
        <f>IF($AK1275="","",COUNTIFS(LdAParty,$AE1275,LdAType,1,LdAKey,"&lt;"&amp;$AK1275)+COUNTIFS(LdBMember,$AE1275,LdBKey,"&lt;"&amp;$AK1275)+COUNTIFS(LdCParty,$AE1275,LdCKey,"&lt;"&amp;$AK1275)+1)</f>
        <v/>
      </c>
      <c r="AM1275">
        <f>IF($AL1275="","",$AE1275&amp;"|"&amp;RIGHT("000000"&amp;$AL1275,6))</f>
        <v/>
      </c>
      <c r="AN1275">
        <f>IF($AE1275="","",IF(Sync!$W1275="",0,Sync!$W1275))</f>
        <v/>
      </c>
      <c r="AO1275">
        <f>IF($AE1275="","",IF(Sync!$X1275="",0,Sync!$X1275))</f>
        <v/>
      </c>
      <c r="AP1275">
        <f>IF($AE1275="","",Sync!$R1275)</f>
        <v/>
      </c>
      <c r="AQ1275">
        <f>IF($AE1275="","",Sync!$Y1275)</f>
        <v/>
      </c>
    </row>
    <row r="1276">
      <c r="A1276">
        <f>IF(OR(Wages!$B1279="",Wages!$E1279=""),"",Wages!$E1279)</f>
        <v/>
      </c>
      <c r="B1276">
        <f>IF($A1276="","",IF(Wages!$C1279="دستمزد گروهی",2,1))</f>
        <v/>
      </c>
      <c r="C1276">
        <f>IF($A1276="","",IF(ISNUMBER(Wages!$B1279),IF(AND(Wages!$B1279&gt;=10000101,Wages!$B1279&lt;=99991231),INT(Wages!$B1279/10000),""),IFERROR(VALUE(TRIM(LEFT(Wages!$B1279,FIND("/",Wages!$B1279)-1))),"")))</f>
        <v/>
      </c>
      <c r="D1276">
        <f>IF(OR($A1276="",$C1276=""),"",IF(ISNUMBER(Wages!$B1279),INT(MOD(Wages!$B1279,10000)/100),IFERROR(VALUE(TRIM(LEFT(MID(Wages!$B1279,FIND("/",Wages!$B1279)+1,20),FIND("/",MID(Wages!$B1279,FIND("/",Wages!$B1279)+1,20))-1))),"")))</f>
        <v/>
      </c>
      <c r="E1276">
        <f>IF(OR($A1276="",$C1276=""),"",IF(ISNUMBER(Wages!$B1279),MOD(Wages!$B1279,100),IFERROR(VALUE(TRIM(MID(MID(Wages!$B1279,FIND("/",Wages!$B1279)+1,20),FIND("/",MID(Wages!$B1279,FIND("/",Wages!$B1279)+1,20))+1,20))),"")))</f>
        <v/>
      </c>
      <c r="F1276">
        <f>IF($A1276="","",IF(OR($C1276="",$D1276="",$E1276="",$C1276&lt;1300,$C1276&gt;1500,$D1276&lt;1,$D1276&gt;12,$E1276&lt;1,$E1276&gt;31),"نامعتبر",RIGHT("0000"&amp;$C1276,4)&amp;"/"&amp;RIGHT("00"&amp;$D1276,2)&amp;"/"&amp;RIGHT("00"&amp;$E1276,2)))</f>
        <v/>
      </c>
      <c r="G1276">
        <f>IF(OR($A1276="",$F1276="",$F1276="نامعتبر"),"",LEFT($F1276,4)&amp;MID($F1276,6,2)&amp;RIGHT($F1276,2)&amp;"0000"&amp;"|"&amp;"1"&amp;RIGHT("00000"&amp;1271,5))</f>
        <v/>
      </c>
      <c r="H1276">
        <f>IF(OR($B1276&lt;&gt;1,$G1276=""),"",COUNTIFS(LdAParty,$A1276,LdAType,1,LdAKey,"&lt;"&amp;$G1276)+COUNTIFS(LdBMember,$A1276,LdBKey,"&lt;"&amp;$G1276)+COUNTIFS(LdCParty,$A1276,LdCKey,"&lt;"&amp;$G1276)+1)</f>
        <v/>
      </c>
      <c r="I1276">
        <f>IF($H1276="","",$A1276&amp;"|"&amp;RIGHT("000000"&amp;$H1276,6))</f>
        <v/>
      </c>
      <c r="J1276">
        <f>IF(OR($B1276&lt;&gt;2,$G1276=""),"",COUNTIFS(LdAParty,$A1276,LdAType,2,LdAKey,"&lt;"&amp;$G1276)+1)</f>
        <v/>
      </c>
      <c r="K1276">
        <f>IF($J1276="","",$A1276&amp;"|"&amp;RIGHT("000000"&amp;$J1276,6))</f>
        <v/>
      </c>
      <c r="L1276">
        <f>IF($A1276="","",IF(Wages!$G1279="",0,Wages!$G1279))</f>
        <v/>
      </c>
      <c r="M1276">
        <f>IF($A1276="","",Wages!$J1279)</f>
        <v/>
      </c>
      <c r="N1276">
        <f>IF($A1276="","",Wages!$D1279)</f>
        <v/>
      </c>
      <c r="P1276">
        <f>IF(OR(Shares!$B1279="",Shares!$C1279=""),"",Shares!$C1279)</f>
        <v/>
      </c>
      <c r="Q1276">
        <f>IF($P1276="","",Shares!$B1279)</f>
        <v/>
      </c>
      <c r="R1276">
        <f>IF($P1276="","",IFERROR(INDEX(WageParty,MATCH($Q1276,WageIds,0)),""))</f>
        <v/>
      </c>
      <c r="S1276">
        <f>IF($P1276="","",IFERROR(INDEX($F$6:$F$2005,MATCH($Q1276,WageIds,0)),""))</f>
        <v/>
      </c>
      <c r="T1276">
        <f>IF(OR($P1276="",$S1276="",$S1276="نامعتبر"),"",LEFT($S1276,4)&amp;MID($S1276,6,2)&amp;RIGHT($S1276,2)&amp;"0000"&amp;"|"&amp;"2"&amp;RIGHT("00000"&amp;1271,5))</f>
        <v/>
      </c>
      <c r="U1276">
        <f>IF($T1276="","",COUNTIFS(LdAParty,$P1276,LdAType,1,LdAKey,"&lt;"&amp;$T1276)+COUNTIFS(LdBMember,$P1276,LdBKey,"&lt;"&amp;$T1276)+COUNTIFS(LdCParty,$P1276,LdCKey,"&lt;"&amp;$T1276)+1)</f>
        <v/>
      </c>
      <c r="V1276">
        <f>IF($U1276="","",$P1276&amp;"|"&amp;RIGHT("000000"&amp;$U1276,6))</f>
        <v/>
      </c>
      <c r="W1276">
        <f>IF($T1276="","",COUNTIFS(LdBGroup,$R1276,LdBKey,"&lt;"&amp;$T1276)+1)</f>
        <v/>
      </c>
      <c r="X1276">
        <f>IF($W1276="","",$R1276&amp;"|"&amp;RIGHT("000000"&amp;$W1276,6))</f>
        <v/>
      </c>
      <c r="Y1276">
        <f>IF($P1276="","",IF(Shares!$E1279="",0,Shares!$E1279))</f>
        <v/>
      </c>
      <c r="Z1276">
        <f>IF($P1276="","",Shares!$H1279)</f>
        <v/>
      </c>
      <c r="AE1276">
        <f>IF(OR(Sync!$S1276="",Sync!$P1276=""),"",Sync!$S1276)</f>
        <v/>
      </c>
      <c r="AF1276">
        <f>IF($AE1276="","",IF(ISNUMBER(Sync!$P1276),IF(AND(Sync!$P1276&gt;=10000101,Sync!$P1276&lt;=99991231),INT(Sync!$P1276/10000),""),IFERROR(VALUE(TRIM(LEFT(Sync!$P1276,FIND("/",Sync!$P1276)-1))),"")))</f>
        <v/>
      </c>
      <c r="AG1276">
        <f>IF(OR($AE1276="",$AF1276=""),"",IF(ISNUMBER(Sync!$P1276),INT(MOD(Sync!$P1276,10000)/100),IFERROR(VALUE(TRIM(LEFT(MID(Sync!$P1276,FIND("/",Sync!$P1276)+1,20),FIND("/",MID(Sync!$P1276,FIND("/",Sync!$P1276)+1,20))-1))),"")))</f>
        <v/>
      </c>
      <c r="AH1276">
        <f>IF(OR($AE1276="",$AF1276=""),"",IF(ISNUMBER(Sync!$P1276),MOD(Sync!$P1276,100),IFERROR(VALUE(TRIM(MID(MID(Sync!$P1276,FIND("/",Sync!$P1276)+1,20),FIND("/",MID(Sync!$P1276,FIND("/",Sync!$P1276)+1,20))+1,20))),"")))</f>
        <v/>
      </c>
      <c r="AI1276">
        <f>IF($AE1276="","",IF(OR($AF1276="",$AG1276="",$AH1276="",$AF1276&lt;1300,$AF1276&gt;1500,$AG1276&lt;1,$AG1276&gt;12,$AH1276&lt;1,$AH1276&gt;31),"نامعتبر",RIGHT("0000"&amp;$AF1276,4)&amp;"/"&amp;RIGHT("00"&amp;$AG1276,2)&amp;"/"&amp;RIGHT("00"&amp;$AH1276,2)))</f>
        <v/>
      </c>
      <c r="AJ1276">
        <f>IF($AE1276="","",IF(Sync!$Q1276="","0000",IF(AND(ISNUMBER(Sync!$Q1276),Sync!$Q1276&gt;=0,Sync!$Q1276&lt;1),RIGHT("00"&amp;HOUR(Sync!$Q1276),2)&amp;RIGHT("00"&amp;MINUTE(Sync!$Q1276),2),IFERROR(RIGHT("00"&amp;VALUE(LEFT(Sync!$Q1276,FIND(":",Sync!$Q1276)-1)),2)&amp;RIGHT("00"&amp;VALUE(MID(Sync!$Q1276,FIND(":",Sync!$Q1276)+1,2)),2),"0000"))))</f>
        <v/>
      </c>
      <c r="AK1276">
        <f>IF(OR($AE1276="",$AI1276="",$AI1276="نامعتبر"),"",LEFT($AI1276,4)&amp;MID($AI1276,6,2)&amp;RIGHT($AI1276,2)&amp;$AJ1276&amp;"|"&amp;"3"&amp;RIGHT("00000"&amp;1271,5))</f>
        <v/>
      </c>
      <c r="AL1276">
        <f>IF($AK1276="","",COUNTIFS(LdAParty,$AE1276,LdAType,1,LdAKey,"&lt;"&amp;$AK1276)+COUNTIFS(LdBMember,$AE1276,LdBKey,"&lt;"&amp;$AK1276)+COUNTIFS(LdCParty,$AE1276,LdCKey,"&lt;"&amp;$AK1276)+1)</f>
        <v/>
      </c>
      <c r="AM1276">
        <f>IF($AL1276="","",$AE1276&amp;"|"&amp;RIGHT("000000"&amp;$AL1276,6))</f>
        <v/>
      </c>
      <c r="AN1276">
        <f>IF($AE1276="","",IF(Sync!$W1276="",0,Sync!$W1276))</f>
        <v/>
      </c>
      <c r="AO1276">
        <f>IF($AE1276="","",IF(Sync!$X1276="",0,Sync!$X1276))</f>
        <v/>
      </c>
      <c r="AP1276">
        <f>IF($AE1276="","",Sync!$R1276)</f>
        <v/>
      </c>
      <c r="AQ1276">
        <f>IF($AE1276="","",Sync!$Y1276)</f>
        <v/>
      </c>
    </row>
    <row r="1277">
      <c r="A1277">
        <f>IF(OR(Wages!$B1280="",Wages!$E1280=""),"",Wages!$E1280)</f>
        <v/>
      </c>
      <c r="B1277">
        <f>IF($A1277="","",IF(Wages!$C1280="دستمزد گروهی",2,1))</f>
        <v/>
      </c>
      <c r="C1277">
        <f>IF($A1277="","",IF(ISNUMBER(Wages!$B1280),IF(AND(Wages!$B1280&gt;=10000101,Wages!$B1280&lt;=99991231),INT(Wages!$B1280/10000),""),IFERROR(VALUE(TRIM(LEFT(Wages!$B1280,FIND("/",Wages!$B1280)-1))),"")))</f>
        <v/>
      </c>
      <c r="D1277">
        <f>IF(OR($A1277="",$C1277=""),"",IF(ISNUMBER(Wages!$B1280),INT(MOD(Wages!$B1280,10000)/100),IFERROR(VALUE(TRIM(LEFT(MID(Wages!$B1280,FIND("/",Wages!$B1280)+1,20),FIND("/",MID(Wages!$B1280,FIND("/",Wages!$B1280)+1,20))-1))),"")))</f>
        <v/>
      </c>
      <c r="E1277">
        <f>IF(OR($A1277="",$C1277=""),"",IF(ISNUMBER(Wages!$B1280),MOD(Wages!$B1280,100),IFERROR(VALUE(TRIM(MID(MID(Wages!$B1280,FIND("/",Wages!$B1280)+1,20),FIND("/",MID(Wages!$B1280,FIND("/",Wages!$B1280)+1,20))+1,20))),"")))</f>
        <v/>
      </c>
      <c r="F1277">
        <f>IF($A1277="","",IF(OR($C1277="",$D1277="",$E1277="",$C1277&lt;1300,$C1277&gt;1500,$D1277&lt;1,$D1277&gt;12,$E1277&lt;1,$E1277&gt;31),"نامعتبر",RIGHT("0000"&amp;$C1277,4)&amp;"/"&amp;RIGHT("00"&amp;$D1277,2)&amp;"/"&amp;RIGHT("00"&amp;$E1277,2)))</f>
        <v/>
      </c>
      <c r="G1277">
        <f>IF(OR($A1277="",$F1277="",$F1277="نامعتبر"),"",LEFT($F1277,4)&amp;MID($F1277,6,2)&amp;RIGHT($F1277,2)&amp;"0000"&amp;"|"&amp;"1"&amp;RIGHT("00000"&amp;1272,5))</f>
        <v/>
      </c>
      <c r="H1277">
        <f>IF(OR($B1277&lt;&gt;1,$G1277=""),"",COUNTIFS(LdAParty,$A1277,LdAType,1,LdAKey,"&lt;"&amp;$G1277)+COUNTIFS(LdBMember,$A1277,LdBKey,"&lt;"&amp;$G1277)+COUNTIFS(LdCParty,$A1277,LdCKey,"&lt;"&amp;$G1277)+1)</f>
        <v/>
      </c>
      <c r="I1277">
        <f>IF($H1277="","",$A1277&amp;"|"&amp;RIGHT("000000"&amp;$H1277,6))</f>
        <v/>
      </c>
      <c r="J1277">
        <f>IF(OR($B1277&lt;&gt;2,$G1277=""),"",COUNTIFS(LdAParty,$A1277,LdAType,2,LdAKey,"&lt;"&amp;$G1277)+1)</f>
        <v/>
      </c>
      <c r="K1277">
        <f>IF($J1277="","",$A1277&amp;"|"&amp;RIGHT("000000"&amp;$J1277,6))</f>
        <v/>
      </c>
      <c r="L1277">
        <f>IF($A1277="","",IF(Wages!$G1280="",0,Wages!$G1280))</f>
        <v/>
      </c>
      <c r="M1277">
        <f>IF($A1277="","",Wages!$J1280)</f>
        <v/>
      </c>
      <c r="N1277">
        <f>IF($A1277="","",Wages!$D1280)</f>
        <v/>
      </c>
      <c r="P1277">
        <f>IF(OR(Shares!$B1280="",Shares!$C1280=""),"",Shares!$C1280)</f>
        <v/>
      </c>
      <c r="Q1277">
        <f>IF($P1277="","",Shares!$B1280)</f>
        <v/>
      </c>
      <c r="R1277">
        <f>IF($P1277="","",IFERROR(INDEX(WageParty,MATCH($Q1277,WageIds,0)),""))</f>
        <v/>
      </c>
      <c r="S1277">
        <f>IF($P1277="","",IFERROR(INDEX($F$6:$F$2005,MATCH($Q1277,WageIds,0)),""))</f>
        <v/>
      </c>
      <c r="T1277">
        <f>IF(OR($P1277="",$S1277="",$S1277="نامعتبر"),"",LEFT($S1277,4)&amp;MID($S1277,6,2)&amp;RIGHT($S1277,2)&amp;"0000"&amp;"|"&amp;"2"&amp;RIGHT("00000"&amp;1272,5))</f>
        <v/>
      </c>
      <c r="U1277">
        <f>IF($T1277="","",COUNTIFS(LdAParty,$P1277,LdAType,1,LdAKey,"&lt;"&amp;$T1277)+COUNTIFS(LdBMember,$P1277,LdBKey,"&lt;"&amp;$T1277)+COUNTIFS(LdCParty,$P1277,LdCKey,"&lt;"&amp;$T1277)+1)</f>
        <v/>
      </c>
      <c r="V1277">
        <f>IF($U1277="","",$P1277&amp;"|"&amp;RIGHT("000000"&amp;$U1277,6))</f>
        <v/>
      </c>
      <c r="W1277">
        <f>IF($T1277="","",COUNTIFS(LdBGroup,$R1277,LdBKey,"&lt;"&amp;$T1277)+1)</f>
        <v/>
      </c>
      <c r="X1277">
        <f>IF($W1277="","",$R1277&amp;"|"&amp;RIGHT("000000"&amp;$W1277,6))</f>
        <v/>
      </c>
      <c r="Y1277">
        <f>IF($P1277="","",IF(Shares!$E1280="",0,Shares!$E1280))</f>
        <v/>
      </c>
      <c r="Z1277">
        <f>IF($P1277="","",Shares!$H1280)</f>
        <v/>
      </c>
      <c r="AE1277">
        <f>IF(OR(Sync!$S1277="",Sync!$P1277=""),"",Sync!$S1277)</f>
        <v/>
      </c>
      <c r="AF1277">
        <f>IF($AE1277="","",IF(ISNUMBER(Sync!$P1277),IF(AND(Sync!$P1277&gt;=10000101,Sync!$P1277&lt;=99991231),INT(Sync!$P1277/10000),""),IFERROR(VALUE(TRIM(LEFT(Sync!$P1277,FIND("/",Sync!$P1277)-1))),"")))</f>
        <v/>
      </c>
      <c r="AG1277">
        <f>IF(OR($AE1277="",$AF1277=""),"",IF(ISNUMBER(Sync!$P1277),INT(MOD(Sync!$P1277,10000)/100),IFERROR(VALUE(TRIM(LEFT(MID(Sync!$P1277,FIND("/",Sync!$P1277)+1,20),FIND("/",MID(Sync!$P1277,FIND("/",Sync!$P1277)+1,20))-1))),"")))</f>
        <v/>
      </c>
      <c r="AH1277">
        <f>IF(OR($AE1277="",$AF1277=""),"",IF(ISNUMBER(Sync!$P1277),MOD(Sync!$P1277,100),IFERROR(VALUE(TRIM(MID(MID(Sync!$P1277,FIND("/",Sync!$P1277)+1,20),FIND("/",MID(Sync!$P1277,FIND("/",Sync!$P1277)+1,20))+1,20))),"")))</f>
        <v/>
      </c>
      <c r="AI1277">
        <f>IF($AE1277="","",IF(OR($AF1277="",$AG1277="",$AH1277="",$AF1277&lt;1300,$AF1277&gt;1500,$AG1277&lt;1,$AG1277&gt;12,$AH1277&lt;1,$AH1277&gt;31),"نامعتبر",RIGHT("0000"&amp;$AF1277,4)&amp;"/"&amp;RIGHT("00"&amp;$AG1277,2)&amp;"/"&amp;RIGHT("00"&amp;$AH1277,2)))</f>
        <v/>
      </c>
      <c r="AJ1277">
        <f>IF($AE1277="","",IF(Sync!$Q1277="","0000",IF(AND(ISNUMBER(Sync!$Q1277),Sync!$Q1277&gt;=0,Sync!$Q1277&lt;1),RIGHT("00"&amp;HOUR(Sync!$Q1277),2)&amp;RIGHT("00"&amp;MINUTE(Sync!$Q1277),2),IFERROR(RIGHT("00"&amp;VALUE(LEFT(Sync!$Q1277,FIND(":",Sync!$Q1277)-1)),2)&amp;RIGHT("00"&amp;VALUE(MID(Sync!$Q1277,FIND(":",Sync!$Q1277)+1,2)),2),"0000"))))</f>
        <v/>
      </c>
      <c r="AK1277">
        <f>IF(OR($AE1277="",$AI1277="",$AI1277="نامعتبر"),"",LEFT($AI1277,4)&amp;MID($AI1277,6,2)&amp;RIGHT($AI1277,2)&amp;$AJ1277&amp;"|"&amp;"3"&amp;RIGHT("00000"&amp;1272,5))</f>
        <v/>
      </c>
      <c r="AL1277">
        <f>IF($AK1277="","",COUNTIFS(LdAParty,$AE1277,LdAType,1,LdAKey,"&lt;"&amp;$AK1277)+COUNTIFS(LdBMember,$AE1277,LdBKey,"&lt;"&amp;$AK1277)+COUNTIFS(LdCParty,$AE1277,LdCKey,"&lt;"&amp;$AK1277)+1)</f>
        <v/>
      </c>
      <c r="AM1277">
        <f>IF($AL1277="","",$AE1277&amp;"|"&amp;RIGHT("000000"&amp;$AL1277,6))</f>
        <v/>
      </c>
      <c r="AN1277">
        <f>IF($AE1277="","",IF(Sync!$W1277="",0,Sync!$W1277))</f>
        <v/>
      </c>
      <c r="AO1277">
        <f>IF($AE1277="","",IF(Sync!$X1277="",0,Sync!$X1277))</f>
        <v/>
      </c>
      <c r="AP1277">
        <f>IF($AE1277="","",Sync!$R1277)</f>
        <v/>
      </c>
      <c r="AQ1277">
        <f>IF($AE1277="","",Sync!$Y1277)</f>
        <v/>
      </c>
    </row>
    <row r="1278">
      <c r="A1278">
        <f>IF(OR(Wages!$B1281="",Wages!$E1281=""),"",Wages!$E1281)</f>
        <v/>
      </c>
      <c r="B1278">
        <f>IF($A1278="","",IF(Wages!$C1281="دستمزد گروهی",2,1))</f>
        <v/>
      </c>
      <c r="C1278">
        <f>IF($A1278="","",IF(ISNUMBER(Wages!$B1281),IF(AND(Wages!$B1281&gt;=10000101,Wages!$B1281&lt;=99991231),INT(Wages!$B1281/10000),""),IFERROR(VALUE(TRIM(LEFT(Wages!$B1281,FIND("/",Wages!$B1281)-1))),"")))</f>
        <v/>
      </c>
      <c r="D1278">
        <f>IF(OR($A1278="",$C1278=""),"",IF(ISNUMBER(Wages!$B1281),INT(MOD(Wages!$B1281,10000)/100),IFERROR(VALUE(TRIM(LEFT(MID(Wages!$B1281,FIND("/",Wages!$B1281)+1,20),FIND("/",MID(Wages!$B1281,FIND("/",Wages!$B1281)+1,20))-1))),"")))</f>
        <v/>
      </c>
      <c r="E1278">
        <f>IF(OR($A1278="",$C1278=""),"",IF(ISNUMBER(Wages!$B1281),MOD(Wages!$B1281,100),IFERROR(VALUE(TRIM(MID(MID(Wages!$B1281,FIND("/",Wages!$B1281)+1,20),FIND("/",MID(Wages!$B1281,FIND("/",Wages!$B1281)+1,20))+1,20))),"")))</f>
        <v/>
      </c>
      <c r="F1278">
        <f>IF($A1278="","",IF(OR($C1278="",$D1278="",$E1278="",$C1278&lt;1300,$C1278&gt;1500,$D1278&lt;1,$D1278&gt;12,$E1278&lt;1,$E1278&gt;31),"نامعتبر",RIGHT("0000"&amp;$C1278,4)&amp;"/"&amp;RIGHT("00"&amp;$D1278,2)&amp;"/"&amp;RIGHT("00"&amp;$E1278,2)))</f>
        <v/>
      </c>
      <c r="G1278">
        <f>IF(OR($A1278="",$F1278="",$F1278="نامعتبر"),"",LEFT($F1278,4)&amp;MID($F1278,6,2)&amp;RIGHT($F1278,2)&amp;"0000"&amp;"|"&amp;"1"&amp;RIGHT("00000"&amp;1273,5))</f>
        <v/>
      </c>
      <c r="H1278">
        <f>IF(OR($B1278&lt;&gt;1,$G1278=""),"",COUNTIFS(LdAParty,$A1278,LdAType,1,LdAKey,"&lt;"&amp;$G1278)+COUNTIFS(LdBMember,$A1278,LdBKey,"&lt;"&amp;$G1278)+COUNTIFS(LdCParty,$A1278,LdCKey,"&lt;"&amp;$G1278)+1)</f>
        <v/>
      </c>
      <c r="I1278">
        <f>IF($H1278="","",$A1278&amp;"|"&amp;RIGHT("000000"&amp;$H1278,6))</f>
        <v/>
      </c>
      <c r="J1278">
        <f>IF(OR($B1278&lt;&gt;2,$G1278=""),"",COUNTIFS(LdAParty,$A1278,LdAType,2,LdAKey,"&lt;"&amp;$G1278)+1)</f>
        <v/>
      </c>
      <c r="K1278">
        <f>IF($J1278="","",$A1278&amp;"|"&amp;RIGHT("000000"&amp;$J1278,6))</f>
        <v/>
      </c>
      <c r="L1278">
        <f>IF($A1278="","",IF(Wages!$G1281="",0,Wages!$G1281))</f>
        <v/>
      </c>
      <c r="M1278">
        <f>IF($A1278="","",Wages!$J1281)</f>
        <v/>
      </c>
      <c r="N1278">
        <f>IF($A1278="","",Wages!$D1281)</f>
        <v/>
      </c>
      <c r="P1278">
        <f>IF(OR(Shares!$B1281="",Shares!$C1281=""),"",Shares!$C1281)</f>
        <v/>
      </c>
      <c r="Q1278">
        <f>IF($P1278="","",Shares!$B1281)</f>
        <v/>
      </c>
      <c r="R1278">
        <f>IF($P1278="","",IFERROR(INDEX(WageParty,MATCH($Q1278,WageIds,0)),""))</f>
        <v/>
      </c>
      <c r="S1278">
        <f>IF($P1278="","",IFERROR(INDEX($F$6:$F$2005,MATCH($Q1278,WageIds,0)),""))</f>
        <v/>
      </c>
      <c r="T1278">
        <f>IF(OR($P1278="",$S1278="",$S1278="نامعتبر"),"",LEFT($S1278,4)&amp;MID($S1278,6,2)&amp;RIGHT($S1278,2)&amp;"0000"&amp;"|"&amp;"2"&amp;RIGHT("00000"&amp;1273,5))</f>
        <v/>
      </c>
      <c r="U1278">
        <f>IF($T1278="","",COUNTIFS(LdAParty,$P1278,LdAType,1,LdAKey,"&lt;"&amp;$T1278)+COUNTIFS(LdBMember,$P1278,LdBKey,"&lt;"&amp;$T1278)+COUNTIFS(LdCParty,$P1278,LdCKey,"&lt;"&amp;$T1278)+1)</f>
        <v/>
      </c>
      <c r="V1278">
        <f>IF($U1278="","",$P1278&amp;"|"&amp;RIGHT("000000"&amp;$U1278,6))</f>
        <v/>
      </c>
      <c r="W1278">
        <f>IF($T1278="","",COUNTIFS(LdBGroup,$R1278,LdBKey,"&lt;"&amp;$T1278)+1)</f>
        <v/>
      </c>
      <c r="X1278">
        <f>IF($W1278="","",$R1278&amp;"|"&amp;RIGHT("000000"&amp;$W1278,6))</f>
        <v/>
      </c>
      <c r="Y1278">
        <f>IF($P1278="","",IF(Shares!$E1281="",0,Shares!$E1281))</f>
        <v/>
      </c>
      <c r="Z1278">
        <f>IF($P1278="","",Shares!$H1281)</f>
        <v/>
      </c>
      <c r="AE1278">
        <f>IF(OR(Sync!$S1278="",Sync!$P1278=""),"",Sync!$S1278)</f>
        <v/>
      </c>
      <c r="AF1278">
        <f>IF($AE1278="","",IF(ISNUMBER(Sync!$P1278),IF(AND(Sync!$P1278&gt;=10000101,Sync!$P1278&lt;=99991231),INT(Sync!$P1278/10000),""),IFERROR(VALUE(TRIM(LEFT(Sync!$P1278,FIND("/",Sync!$P1278)-1))),"")))</f>
        <v/>
      </c>
      <c r="AG1278">
        <f>IF(OR($AE1278="",$AF1278=""),"",IF(ISNUMBER(Sync!$P1278),INT(MOD(Sync!$P1278,10000)/100),IFERROR(VALUE(TRIM(LEFT(MID(Sync!$P1278,FIND("/",Sync!$P1278)+1,20),FIND("/",MID(Sync!$P1278,FIND("/",Sync!$P1278)+1,20))-1))),"")))</f>
        <v/>
      </c>
      <c r="AH1278">
        <f>IF(OR($AE1278="",$AF1278=""),"",IF(ISNUMBER(Sync!$P1278),MOD(Sync!$P1278,100),IFERROR(VALUE(TRIM(MID(MID(Sync!$P1278,FIND("/",Sync!$P1278)+1,20),FIND("/",MID(Sync!$P1278,FIND("/",Sync!$P1278)+1,20))+1,20))),"")))</f>
        <v/>
      </c>
      <c r="AI1278">
        <f>IF($AE1278="","",IF(OR($AF1278="",$AG1278="",$AH1278="",$AF1278&lt;1300,$AF1278&gt;1500,$AG1278&lt;1,$AG1278&gt;12,$AH1278&lt;1,$AH1278&gt;31),"نامعتبر",RIGHT("0000"&amp;$AF1278,4)&amp;"/"&amp;RIGHT("00"&amp;$AG1278,2)&amp;"/"&amp;RIGHT("00"&amp;$AH1278,2)))</f>
        <v/>
      </c>
      <c r="AJ1278">
        <f>IF($AE1278="","",IF(Sync!$Q1278="","0000",IF(AND(ISNUMBER(Sync!$Q1278),Sync!$Q1278&gt;=0,Sync!$Q1278&lt;1),RIGHT("00"&amp;HOUR(Sync!$Q1278),2)&amp;RIGHT("00"&amp;MINUTE(Sync!$Q1278),2),IFERROR(RIGHT("00"&amp;VALUE(LEFT(Sync!$Q1278,FIND(":",Sync!$Q1278)-1)),2)&amp;RIGHT("00"&amp;VALUE(MID(Sync!$Q1278,FIND(":",Sync!$Q1278)+1,2)),2),"0000"))))</f>
        <v/>
      </c>
      <c r="AK1278">
        <f>IF(OR($AE1278="",$AI1278="",$AI1278="نامعتبر"),"",LEFT($AI1278,4)&amp;MID($AI1278,6,2)&amp;RIGHT($AI1278,2)&amp;$AJ1278&amp;"|"&amp;"3"&amp;RIGHT("00000"&amp;1273,5))</f>
        <v/>
      </c>
      <c r="AL1278">
        <f>IF($AK1278="","",COUNTIFS(LdAParty,$AE1278,LdAType,1,LdAKey,"&lt;"&amp;$AK1278)+COUNTIFS(LdBMember,$AE1278,LdBKey,"&lt;"&amp;$AK1278)+COUNTIFS(LdCParty,$AE1278,LdCKey,"&lt;"&amp;$AK1278)+1)</f>
        <v/>
      </c>
      <c r="AM1278">
        <f>IF($AL1278="","",$AE1278&amp;"|"&amp;RIGHT("000000"&amp;$AL1278,6))</f>
        <v/>
      </c>
      <c r="AN1278">
        <f>IF($AE1278="","",IF(Sync!$W1278="",0,Sync!$W1278))</f>
        <v/>
      </c>
      <c r="AO1278">
        <f>IF($AE1278="","",IF(Sync!$X1278="",0,Sync!$X1278))</f>
        <v/>
      </c>
      <c r="AP1278">
        <f>IF($AE1278="","",Sync!$R1278)</f>
        <v/>
      </c>
      <c r="AQ1278">
        <f>IF($AE1278="","",Sync!$Y1278)</f>
        <v/>
      </c>
    </row>
    <row r="1279">
      <c r="A1279">
        <f>IF(OR(Wages!$B1282="",Wages!$E1282=""),"",Wages!$E1282)</f>
        <v/>
      </c>
      <c r="B1279">
        <f>IF($A1279="","",IF(Wages!$C1282="دستمزد گروهی",2,1))</f>
        <v/>
      </c>
      <c r="C1279">
        <f>IF($A1279="","",IF(ISNUMBER(Wages!$B1282),IF(AND(Wages!$B1282&gt;=10000101,Wages!$B1282&lt;=99991231),INT(Wages!$B1282/10000),""),IFERROR(VALUE(TRIM(LEFT(Wages!$B1282,FIND("/",Wages!$B1282)-1))),"")))</f>
        <v/>
      </c>
      <c r="D1279">
        <f>IF(OR($A1279="",$C1279=""),"",IF(ISNUMBER(Wages!$B1282),INT(MOD(Wages!$B1282,10000)/100),IFERROR(VALUE(TRIM(LEFT(MID(Wages!$B1282,FIND("/",Wages!$B1282)+1,20),FIND("/",MID(Wages!$B1282,FIND("/",Wages!$B1282)+1,20))-1))),"")))</f>
        <v/>
      </c>
      <c r="E1279">
        <f>IF(OR($A1279="",$C1279=""),"",IF(ISNUMBER(Wages!$B1282),MOD(Wages!$B1282,100),IFERROR(VALUE(TRIM(MID(MID(Wages!$B1282,FIND("/",Wages!$B1282)+1,20),FIND("/",MID(Wages!$B1282,FIND("/",Wages!$B1282)+1,20))+1,20))),"")))</f>
        <v/>
      </c>
      <c r="F1279">
        <f>IF($A1279="","",IF(OR($C1279="",$D1279="",$E1279="",$C1279&lt;1300,$C1279&gt;1500,$D1279&lt;1,$D1279&gt;12,$E1279&lt;1,$E1279&gt;31),"نامعتبر",RIGHT("0000"&amp;$C1279,4)&amp;"/"&amp;RIGHT("00"&amp;$D1279,2)&amp;"/"&amp;RIGHT("00"&amp;$E1279,2)))</f>
        <v/>
      </c>
      <c r="G1279">
        <f>IF(OR($A1279="",$F1279="",$F1279="نامعتبر"),"",LEFT($F1279,4)&amp;MID($F1279,6,2)&amp;RIGHT($F1279,2)&amp;"0000"&amp;"|"&amp;"1"&amp;RIGHT("00000"&amp;1274,5))</f>
        <v/>
      </c>
      <c r="H1279">
        <f>IF(OR($B1279&lt;&gt;1,$G1279=""),"",COUNTIFS(LdAParty,$A1279,LdAType,1,LdAKey,"&lt;"&amp;$G1279)+COUNTIFS(LdBMember,$A1279,LdBKey,"&lt;"&amp;$G1279)+COUNTIFS(LdCParty,$A1279,LdCKey,"&lt;"&amp;$G1279)+1)</f>
        <v/>
      </c>
      <c r="I1279">
        <f>IF($H1279="","",$A1279&amp;"|"&amp;RIGHT("000000"&amp;$H1279,6))</f>
        <v/>
      </c>
      <c r="J1279">
        <f>IF(OR($B1279&lt;&gt;2,$G1279=""),"",COUNTIFS(LdAParty,$A1279,LdAType,2,LdAKey,"&lt;"&amp;$G1279)+1)</f>
        <v/>
      </c>
      <c r="K1279">
        <f>IF($J1279="","",$A1279&amp;"|"&amp;RIGHT("000000"&amp;$J1279,6))</f>
        <v/>
      </c>
      <c r="L1279">
        <f>IF($A1279="","",IF(Wages!$G1282="",0,Wages!$G1282))</f>
        <v/>
      </c>
      <c r="M1279">
        <f>IF($A1279="","",Wages!$J1282)</f>
        <v/>
      </c>
      <c r="N1279">
        <f>IF($A1279="","",Wages!$D1282)</f>
        <v/>
      </c>
      <c r="P1279">
        <f>IF(OR(Shares!$B1282="",Shares!$C1282=""),"",Shares!$C1282)</f>
        <v/>
      </c>
      <c r="Q1279">
        <f>IF($P1279="","",Shares!$B1282)</f>
        <v/>
      </c>
      <c r="R1279">
        <f>IF($P1279="","",IFERROR(INDEX(WageParty,MATCH($Q1279,WageIds,0)),""))</f>
        <v/>
      </c>
      <c r="S1279">
        <f>IF($P1279="","",IFERROR(INDEX($F$6:$F$2005,MATCH($Q1279,WageIds,0)),""))</f>
        <v/>
      </c>
      <c r="T1279">
        <f>IF(OR($P1279="",$S1279="",$S1279="نامعتبر"),"",LEFT($S1279,4)&amp;MID($S1279,6,2)&amp;RIGHT($S1279,2)&amp;"0000"&amp;"|"&amp;"2"&amp;RIGHT("00000"&amp;1274,5))</f>
        <v/>
      </c>
      <c r="U1279">
        <f>IF($T1279="","",COUNTIFS(LdAParty,$P1279,LdAType,1,LdAKey,"&lt;"&amp;$T1279)+COUNTIFS(LdBMember,$P1279,LdBKey,"&lt;"&amp;$T1279)+COUNTIFS(LdCParty,$P1279,LdCKey,"&lt;"&amp;$T1279)+1)</f>
        <v/>
      </c>
      <c r="V1279">
        <f>IF($U1279="","",$P1279&amp;"|"&amp;RIGHT("000000"&amp;$U1279,6))</f>
        <v/>
      </c>
      <c r="W1279">
        <f>IF($T1279="","",COUNTIFS(LdBGroup,$R1279,LdBKey,"&lt;"&amp;$T1279)+1)</f>
        <v/>
      </c>
      <c r="X1279">
        <f>IF($W1279="","",$R1279&amp;"|"&amp;RIGHT("000000"&amp;$W1279,6))</f>
        <v/>
      </c>
      <c r="Y1279">
        <f>IF($P1279="","",IF(Shares!$E1282="",0,Shares!$E1282))</f>
        <v/>
      </c>
      <c r="Z1279">
        <f>IF($P1279="","",Shares!$H1282)</f>
        <v/>
      </c>
      <c r="AE1279">
        <f>IF(OR(Sync!$S1279="",Sync!$P1279=""),"",Sync!$S1279)</f>
        <v/>
      </c>
      <c r="AF1279">
        <f>IF($AE1279="","",IF(ISNUMBER(Sync!$P1279),IF(AND(Sync!$P1279&gt;=10000101,Sync!$P1279&lt;=99991231),INT(Sync!$P1279/10000),""),IFERROR(VALUE(TRIM(LEFT(Sync!$P1279,FIND("/",Sync!$P1279)-1))),"")))</f>
        <v/>
      </c>
      <c r="AG1279">
        <f>IF(OR($AE1279="",$AF1279=""),"",IF(ISNUMBER(Sync!$P1279),INT(MOD(Sync!$P1279,10000)/100),IFERROR(VALUE(TRIM(LEFT(MID(Sync!$P1279,FIND("/",Sync!$P1279)+1,20),FIND("/",MID(Sync!$P1279,FIND("/",Sync!$P1279)+1,20))-1))),"")))</f>
        <v/>
      </c>
      <c r="AH1279">
        <f>IF(OR($AE1279="",$AF1279=""),"",IF(ISNUMBER(Sync!$P1279),MOD(Sync!$P1279,100),IFERROR(VALUE(TRIM(MID(MID(Sync!$P1279,FIND("/",Sync!$P1279)+1,20),FIND("/",MID(Sync!$P1279,FIND("/",Sync!$P1279)+1,20))+1,20))),"")))</f>
        <v/>
      </c>
      <c r="AI1279">
        <f>IF($AE1279="","",IF(OR($AF1279="",$AG1279="",$AH1279="",$AF1279&lt;1300,$AF1279&gt;1500,$AG1279&lt;1,$AG1279&gt;12,$AH1279&lt;1,$AH1279&gt;31),"نامعتبر",RIGHT("0000"&amp;$AF1279,4)&amp;"/"&amp;RIGHT("00"&amp;$AG1279,2)&amp;"/"&amp;RIGHT("00"&amp;$AH1279,2)))</f>
        <v/>
      </c>
      <c r="AJ1279">
        <f>IF($AE1279="","",IF(Sync!$Q1279="","0000",IF(AND(ISNUMBER(Sync!$Q1279),Sync!$Q1279&gt;=0,Sync!$Q1279&lt;1),RIGHT("00"&amp;HOUR(Sync!$Q1279),2)&amp;RIGHT("00"&amp;MINUTE(Sync!$Q1279),2),IFERROR(RIGHT("00"&amp;VALUE(LEFT(Sync!$Q1279,FIND(":",Sync!$Q1279)-1)),2)&amp;RIGHT("00"&amp;VALUE(MID(Sync!$Q1279,FIND(":",Sync!$Q1279)+1,2)),2),"0000"))))</f>
        <v/>
      </c>
      <c r="AK1279">
        <f>IF(OR($AE1279="",$AI1279="",$AI1279="نامعتبر"),"",LEFT($AI1279,4)&amp;MID($AI1279,6,2)&amp;RIGHT($AI1279,2)&amp;$AJ1279&amp;"|"&amp;"3"&amp;RIGHT("00000"&amp;1274,5))</f>
        <v/>
      </c>
      <c r="AL1279">
        <f>IF($AK1279="","",COUNTIFS(LdAParty,$AE1279,LdAType,1,LdAKey,"&lt;"&amp;$AK1279)+COUNTIFS(LdBMember,$AE1279,LdBKey,"&lt;"&amp;$AK1279)+COUNTIFS(LdCParty,$AE1279,LdCKey,"&lt;"&amp;$AK1279)+1)</f>
        <v/>
      </c>
      <c r="AM1279">
        <f>IF($AL1279="","",$AE1279&amp;"|"&amp;RIGHT("000000"&amp;$AL1279,6))</f>
        <v/>
      </c>
      <c r="AN1279">
        <f>IF($AE1279="","",IF(Sync!$W1279="",0,Sync!$W1279))</f>
        <v/>
      </c>
      <c r="AO1279">
        <f>IF($AE1279="","",IF(Sync!$X1279="",0,Sync!$X1279))</f>
        <v/>
      </c>
      <c r="AP1279">
        <f>IF($AE1279="","",Sync!$R1279)</f>
        <v/>
      </c>
      <c r="AQ1279">
        <f>IF($AE1279="","",Sync!$Y1279)</f>
        <v/>
      </c>
    </row>
    <row r="1280">
      <c r="A1280">
        <f>IF(OR(Wages!$B1283="",Wages!$E1283=""),"",Wages!$E1283)</f>
        <v/>
      </c>
      <c r="B1280">
        <f>IF($A1280="","",IF(Wages!$C1283="دستمزد گروهی",2,1))</f>
        <v/>
      </c>
      <c r="C1280">
        <f>IF($A1280="","",IF(ISNUMBER(Wages!$B1283),IF(AND(Wages!$B1283&gt;=10000101,Wages!$B1283&lt;=99991231),INT(Wages!$B1283/10000),""),IFERROR(VALUE(TRIM(LEFT(Wages!$B1283,FIND("/",Wages!$B1283)-1))),"")))</f>
        <v/>
      </c>
      <c r="D1280">
        <f>IF(OR($A1280="",$C1280=""),"",IF(ISNUMBER(Wages!$B1283),INT(MOD(Wages!$B1283,10000)/100),IFERROR(VALUE(TRIM(LEFT(MID(Wages!$B1283,FIND("/",Wages!$B1283)+1,20),FIND("/",MID(Wages!$B1283,FIND("/",Wages!$B1283)+1,20))-1))),"")))</f>
        <v/>
      </c>
      <c r="E1280">
        <f>IF(OR($A1280="",$C1280=""),"",IF(ISNUMBER(Wages!$B1283),MOD(Wages!$B1283,100),IFERROR(VALUE(TRIM(MID(MID(Wages!$B1283,FIND("/",Wages!$B1283)+1,20),FIND("/",MID(Wages!$B1283,FIND("/",Wages!$B1283)+1,20))+1,20))),"")))</f>
        <v/>
      </c>
      <c r="F1280">
        <f>IF($A1280="","",IF(OR($C1280="",$D1280="",$E1280="",$C1280&lt;1300,$C1280&gt;1500,$D1280&lt;1,$D1280&gt;12,$E1280&lt;1,$E1280&gt;31),"نامعتبر",RIGHT("0000"&amp;$C1280,4)&amp;"/"&amp;RIGHT("00"&amp;$D1280,2)&amp;"/"&amp;RIGHT("00"&amp;$E1280,2)))</f>
        <v/>
      </c>
      <c r="G1280">
        <f>IF(OR($A1280="",$F1280="",$F1280="نامعتبر"),"",LEFT($F1280,4)&amp;MID($F1280,6,2)&amp;RIGHT($F1280,2)&amp;"0000"&amp;"|"&amp;"1"&amp;RIGHT("00000"&amp;1275,5))</f>
        <v/>
      </c>
      <c r="H1280">
        <f>IF(OR($B1280&lt;&gt;1,$G1280=""),"",COUNTIFS(LdAParty,$A1280,LdAType,1,LdAKey,"&lt;"&amp;$G1280)+COUNTIFS(LdBMember,$A1280,LdBKey,"&lt;"&amp;$G1280)+COUNTIFS(LdCParty,$A1280,LdCKey,"&lt;"&amp;$G1280)+1)</f>
        <v/>
      </c>
      <c r="I1280">
        <f>IF($H1280="","",$A1280&amp;"|"&amp;RIGHT("000000"&amp;$H1280,6))</f>
        <v/>
      </c>
      <c r="J1280">
        <f>IF(OR($B1280&lt;&gt;2,$G1280=""),"",COUNTIFS(LdAParty,$A1280,LdAType,2,LdAKey,"&lt;"&amp;$G1280)+1)</f>
        <v/>
      </c>
      <c r="K1280">
        <f>IF($J1280="","",$A1280&amp;"|"&amp;RIGHT("000000"&amp;$J1280,6))</f>
        <v/>
      </c>
      <c r="L1280">
        <f>IF($A1280="","",IF(Wages!$G1283="",0,Wages!$G1283))</f>
        <v/>
      </c>
      <c r="M1280">
        <f>IF($A1280="","",Wages!$J1283)</f>
        <v/>
      </c>
      <c r="N1280">
        <f>IF($A1280="","",Wages!$D1283)</f>
        <v/>
      </c>
      <c r="P1280">
        <f>IF(OR(Shares!$B1283="",Shares!$C1283=""),"",Shares!$C1283)</f>
        <v/>
      </c>
      <c r="Q1280">
        <f>IF($P1280="","",Shares!$B1283)</f>
        <v/>
      </c>
      <c r="R1280">
        <f>IF($P1280="","",IFERROR(INDEX(WageParty,MATCH($Q1280,WageIds,0)),""))</f>
        <v/>
      </c>
      <c r="S1280">
        <f>IF($P1280="","",IFERROR(INDEX($F$6:$F$2005,MATCH($Q1280,WageIds,0)),""))</f>
        <v/>
      </c>
      <c r="T1280">
        <f>IF(OR($P1280="",$S1280="",$S1280="نامعتبر"),"",LEFT($S1280,4)&amp;MID($S1280,6,2)&amp;RIGHT($S1280,2)&amp;"0000"&amp;"|"&amp;"2"&amp;RIGHT("00000"&amp;1275,5))</f>
        <v/>
      </c>
      <c r="U1280">
        <f>IF($T1280="","",COUNTIFS(LdAParty,$P1280,LdAType,1,LdAKey,"&lt;"&amp;$T1280)+COUNTIFS(LdBMember,$P1280,LdBKey,"&lt;"&amp;$T1280)+COUNTIFS(LdCParty,$P1280,LdCKey,"&lt;"&amp;$T1280)+1)</f>
        <v/>
      </c>
      <c r="V1280">
        <f>IF($U1280="","",$P1280&amp;"|"&amp;RIGHT("000000"&amp;$U1280,6))</f>
        <v/>
      </c>
      <c r="W1280">
        <f>IF($T1280="","",COUNTIFS(LdBGroup,$R1280,LdBKey,"&lt;"&amp;$T1280)+1)</f>
        <v/>
      </c>
      <c r="X1280">
        <f>IF($W1280="","",$R1280&amp;"|"&amp;RIGHT("000000"&amp;$W1280,6))</f>
        <v/>
      </c>
      <c r="Y1280">
        <f>IF($P1280="","",IF(Shares!$E1283="",0,Shares!$E1283))</f>
        <v/>
      </c>
      <c r="Z1280">
        <f>IF($P1280="","",Shares!$H1283)</f>
        <v/>
      </c>
      <c r="AE1280">
        <f>IF(OR(Sync!$S1280="",Sync!$P1280=""),"",Sync!$S1280)</f>
        <v/>
      </c>
      <c r="AF1280">
        <f>IF($AE1280="","",IF(ISNUMBER(Sync!$P1280),IF(AND(Sync!$P1280&gt;=10000101,Sync!$P1280&lt;=99991231),INT(Sync!$P1280/10000),""),IFERROR(VALUE(TRIM(LEFT(Sync!$P1280,FIND("/",Sync!$P1280)-1))),"")))</f>
        <v/>
      </c>
      <c r="AG1280">
        <f>IF(OR($AE1280="",$AF1280=""),"",IF(ISNUMBER(Sync!$P1280),INT(MOD(Sync!$P1280,10000)/100),IFERROR(VALUE(TRIM(LEFT(MID(Sync!$P1280,FIND("/",Sync!$P1280)+1,20),FIND("/",MID(Sync!$P1280,FIND("/",Sync!$P1280)+1,20))-1))),"")))</f>
        <v/>
      </c>
      <c r="AH1280">
        <f>IF(OR($AE1280="",$AF1280=""),"",IF(ISNUMBER(Sync!$P1280),MOD(Sync!$P1280,100),IFERROR(VALUE(TRIM(MID(MID(Sync!$P1280,FIND("/",Sync!$P1280)+1,20),FIND("/",MID(Sync!$P1280,FIND("/",Sync!$P1280)+1,20))+1,20))),"")))</f>
        <v/>
      </c>
      <c r="AI1280">
        <f>IF($AE1280="","",IF(OR($AF1280="",$AG1280="",$AH1280="",$AF1280&lt;1300,$AF1280&gt;1500,$AG1280&lt;1,$AG1280&gt;12,$AH1280&lt;1,$AH1280&gt;31),"نامعتبر",RIGHT("0000"&amp;$AF1280,4)&amp;"/"&amp;RIGHT("00"&amp;$AG1280,2)&amp;"/"&amp;RIGHT("00"&amp;$AH1280,2)))</f>
        <v/>
      </c>
      <c r="AJ1280">
        <f>IF($AE1280="","",IF(Sync!$Q1280="","0000",IF(AND(ISNUMBER(Sync!$Q1280),Sync!$Q1280&gt;=0,Sync!$Q1280&lt;1),RIGHT("00"&amp;HOUR(Sync!$Q1280),2)&amp;RIGHT("00"&amp;MINUTE(Sync!$Q1280),2),IFERROR(RIGHT("00"&amp;VALUE(LEFT(Sync!$Q1280,FIND(":",Sync!$Q1280)-1)),2)&amp;RIGHT("00"&amp;VALUE(MID(Sync!$Q1280,FIND(":",Sync!$Q1280)+1,2)),2),"0000"))))</f>
        <v/>
      </c>
      <c r="AK1280">
        <f>IF(OR($AE1280="",$AI1280="",$AI1280="نامعتبر"),"",LEFT($AI1280,4)&amp;MID($AI1280,6,2)&amp;RIGHT($AI1280,2)&amp;$AJ1280&amp;"|"&amp;"3"&amp;RIGHT("00000"&amp;1275,5))</f>
        <v/>
      </c>
      <c r="AL1280">
        <f>IF($AK1280="","",COUNTIFS(LdAParty,$AE1280,LdAType,1,LdAKey,"&lt;"&amp;$AK1280)+COUNTIFS(LdBMember,$AE1280,LdBKey,"&lt;"&amp;$AK1280)+COUNTIFS(LdCParty,$AE1280,LdCKey,"&lt;"&amp;$AK1280)+1)</f>
        <v/>
      </c>
      <c r="AM1280">
        <f>IF($AL1280="","",$AE1280&amp;"|"&amp;RIGHT("000000"&amp;$AL1280,6))</f>
        <v/>
      </c>
      <c r="AN1280">
        <f>IF($AE1280="","",IF(Sync!$W1280="",0,Sync!$W1280))</f>
        <v/>
      </c>
      <c r="AO1280">
        <f>IF($AE1280="","",IF(Sync!$X1280="",0,Sync!$X1280))</f>
        <v/>
      </c>
      <c r="AP1280">
        <f>IF($AE1280="","",Sync!$R1280)</f>
        <v/>
      </c>
      <c r="AQ1280">
        <f>IF($AE1280="","",Sync!$Y1280)</f>
        <v/>
      </c>
    </row>
    <row r="1281">
      <c r="A1281">
        <f>IF(OR(Wages!$B1284="",Wages!$E1284=""),"",Wages!$E1284)</f>
        <v/>
      </c>
      <c r="B1281">
        <f>IF($A1281="","",IF(Wages!$C1284="دستمزد گروهی",2,1))</f>
        <v/>
      </c>
      <c r="C1281">
        <f>IF($A1281="","",IF(ISNUMBER(Wages!$B1284),IF(AND(Wages!$B1284&gt;=10000101,Wages!$B1284&lt;=99991231),INT(Wages!$B1284/10000),""),IFERROR(VALUE(TRIM(LEFT(Wages!$B1284,FIND("/",Wages!$B1284)-1))),"")))</f>
        <v/>
      </c>
      <c r="D1281">
        <f>IF(OR($A1281="",$C1281=""),"",IF(ISNUMBER(Wages!$B1284),INT(MOD(Wages!$B1284,10000)/100),IFERROR(VALUE(TRIM(LEFT(MID(Wages!$B1284,FIND("/",Wages!$B1284)+1,20),FIND("/",MID(Wages!$B1284,FIND("/",Wages!$B1284)+1,20))-1))),"")))</f>
        <v/>
      </c>
      <c r="E1281">
        <f>IF(OR($A1281="",$C1281=""),"",IF(ISNUMBER(Wages!$B1284),MOD(Wages!$B1284,100),IFERROR(VALUE(TRIM(MID(MID(Wages!$B1284,FIND("/",Wages!$B1284)+1,20),FIND("/",MID(Wages!$B1284,FIND("/",Wages!$B1284)+1,20))+1,20))),"")))</f>
        <v/>
      </c>
      <c r="F1281">
        <f>IF($A1281="","",IF(OR($C1281="",$D1281="",$E1281="",$C1281&lt;1300,$C1281&gt;1500,$D1281&lt;1,$D1281&gt;12,$E1281&lt;1,$E1281&gt;31),"نامعتبر",RIGHT("0000"&amp;$C1281,4)&amp;"/"&amp;RIGHT("00"&amp;$D1281,2)&amp;"/"&amp;RIGHT("00"&amp;$E1281,2)))</f>
        <v/>
      </c>
      <c r="G1281">
        <f>IF(OR($A1281="",$F1281="",$F1281="نامعتبر"),"",LEFT($F1281,4)&amp;MID($F1281,6,2)&amp;RIGHT($F1281,2)&amp;"0000"&amp;"|"&amp;"1"&amp;RIGHT("00000"&amp;1276,5))</f>
        <v/>
      </c>
      <c r="H1281">
        <f>IF(OR($B1281&lt;&gt;1,$G1281=""),"",COUNTIFS(LdAParty,$A1281,LdAType,1,LdAKey,"&lt;"&amp;$G1281)+COUNTIFS(LdBMember,$A1281,LdBKey,"&lt;"&amp;$G1281)+COUNTIFS(LdCParty,$A1281,LdCKey,"&lt;"&amp;$G1281)+1)</f>
        <v/>
      </c>
      <c r="I1281">
        <f>IF($H1281="","",$A1281&amp;"|"&amp;RIGHT("000000"&amp;$H1281,6))</f>
        <v/>
      </c>
      <c r="J1281">
        <f>IF(OR($B1281&lt;&gt;2,$G1281=""),"",COUNTIFS(LdAParty,$A1281,LdAType,2,LdAKey,"&lt;"&amp;$G1281)+1)</f>
        <v/>
      </c>
      <c r="K1281">
        <f>IF($J1281="","",$A1281&amp;"|"&amp;RIGHT("000000"&amp;$J1281,6))</f>
        <v/>
      </c>
      <c r="L1281">
        <f>IF($A1281="","",IF(Wages!$G1284="",0,Wages!$G1284))</f>
        <v/>
      </c>
      <c r="M1281">
        <f>IF($A1281="","",Wages!$J1284)</f>
        <v/>
      </c>
      <c r="N1281">
        <f>IF($A1281="","",Wages!$D1284)</f>
        <v/>
      </c>
      <c r="P1281">
        <f>IF(OR(Shares!$B1284="",Shares!$C1284=""),"",Shares!$C1284)</f>
        <v/>
      </c>
      <c r="Q1281">
        <f>IF($P1281="","",Shares!$B1284)</f>
        <v/>
      </c>
      <c r="R1281">
        <f>IF($P1281="","",IFERROR(INDEX(WageParty,MATCH($Q1281,WageIds,0)),""))</f>
        <v/>
      </c>
      <c r="S1281">
        <f>IF($P1281="","",IFERROR(INDEX($F$6:$F$2005,MATCH($Q1281,WageIds,0)),""))</f>
        <v/>
      </c>
      <c r="T1281">
        <f>IF(OR($P1281="",$S1281="",$S1281="نامعتبر"),"",LEFT($S1281,4)&amp;MID($S1281,6,2)&amp;RIGHT($S1281,2)&amp;"0000"&amp;"|"&amp;"2"&amp;RIGHT("00000"&amp;1276,5))</f>
        <v/>
      </c>
      <c r="U1281">
        <f>IF($T1281="","",COUNTIFS(LdAParty,$P1281,LdAType,1,LdAKey,"&lt;"&amp;$T1281)+COUNTIFS(LdBMember,$P1281,LdBKey,"&lt;"&amp;$T1281)+COUNTIFS(LdCParty,$P1281,LdCKey,"&lt;"&amp;$T1281)+1)</f>
        <v/>
      </c>
      <c r="V1281">
        <f>IF($U1281="","",$P1281&amp;"|"&amp;RIGHT("000000"&amp;$U1281,6))</f>
        <v/>
      </c>
      <c r="W1281">
        <f>IF($T1281="","",COUNTIFS(LdBGroup,$R1281,LdBKey,"&lt;"&amp;$T1281)+1)</f>
        <v/>
      </c>
      <c r="X1281">
        <f>IF($W1281="","",$R1281&amp;"|"&amp;RIGHT("000000"&amp;$W1281,6))</f>
        <v/>
      </c>
      <c r="Y1281">
        <f>IF($P1281="","",IF(Shares!$E1284="",0,Shares!$E1284))</f>
        <v/>
      </c>
      <c r="Z1281">
        <f>IF($P1281="","",Shares!$H1284)</f>
        <v/>
      </c>
      <c r="AE1281">
        <f>IF(OR(Sync!$S1281="",Sync!$P1281=""),"",Sync!$S1281)</f>
        <v/>
      </c>
      <c r="AF1281">
        <f>IF($AE1281="","",IF(ISNUMBER(Sync!$P1281),IF(AND(Sync!$P1281&gt;=10000101,Sync!$P1281&lt;=99991231),INT(Sync!$P1281/10000),""),IFERROR(VALUE(TRIM(LEFT(Sync!$P1281,FIND("/",Sync!$P1281)-1))),"")))</f>
        <v/>
      </c>
      <c r="AG1281">
        <f>IF(OR($AE1281="",$AF1281=""),"",IF(ISNUMBER(Sync!$P1281),INT(MOD(Sync!$P1281,10000)/100),IFERROR(VALUE(TRIM(LEFT(MID(Sync!$P1281,FIND("/",Sync!$P1281)+1,20),FIND("/",MID(Sync!$P1281,FIND("/",Sync!$P1281)+1,20))-1))),"")))</f>
        <v/>
      </c>
      <c r="AH1281">
        <f>IF(OR($AE1281="",$AF1281=""),"",IF(ISNUMBER(Sync!$P1281),MOD(Sync!$P1281,100),IFERROR(VALUE(TRIM(MID(MID(Sync!$P1281,FIND("/",Sync!$P1281)+1,20),FIND("/",MID(Sync!$P1281,FIND("/",Sync!$P1281)+1,20))+1,20))),"")))</f>
        <v/>
      </c>
      <c r="AI1281">
        <f>IF($AE1281="","",IF(OR($AF1281="",$AG1281="",$AH1281="",$AF1281&lt;1300,$AF1281&gt;1500,$AG1281&lt;1,$AG1281&gt;12,$AH1281&lt;1,$AH1281&gt;31),"نامعتبر",RIGHT("0000"&amp;$AF1281,4)&amp;"/"&amp;RIGHT("00"&amp;$AG1281,2)&amp;"/"&amp;RIGHT("00"&amp;$AH1281,2)))</f>
        <v/>
      </c>
      <c r="AJ1281">
        <f>IF($AE1281="","",IF(Sync!$Q1281="","0000",IF(AND(ISNUMBER(Sync!$Q1281),Sync!$Q1281&gt;=0,Sync!$Q1281&lt;1),RIGHT("00"&amp;HOUR(Sync!$Q1281),2)&amp;RIGHT("00"&amp;MINUTE(Sync!$Q1281),2),IFERROR(RIGHT("00"&amp;VALUE(LEFT(Sync!$Q1281,FIND(":",Sync!$Q1281)-1)),2)&amp;RIGHT("00"&amp;VALUE(MID(Sync!$Q1281,FIND(":",Sync!$Q1281)+1,2)),2),"0000"))))</f>
        <v/>
      </c>
      <c r="AK1281">
        <f>IF(OR($AE1281="",$AI1281="",$AI1281="نامعتبر"),"",LEFT($AI1281,4)&amp;MID($AI1281,6,2)&amp;RIGHT($AI1281,2)&amp;$AJ1281&amp;"|"&amp;"3"&amp;RIGHT("00000"&amp;1276,5))</f>
        <v/>
      </c>
      <c r="AL1281">
        <f>IF($AK1281="","",COUNTIFS(LdAParty,$AE1281,LdAType,1,LdAKey,"&lt;"&amp;$AK1281)+COUNTIFS(LdBMember,$AE1281,LdBKey,"&lt;"&amp;$AK1281)+COUNTIFS(LdCParty,$AE1281,LdCKey,"&lt;"&amp;$AK1281)+1)</f>
        <v/>
      </c>
      <c r="AM1281">
        <f>IF($AL1281="","",$AE1281&amp;"|"&amp;RIGHT("000000"&amp;$AL1281,6))</f>
        <v/>
      </c>
      <c r="AN1281">
        <f>IF($AE1281="","",IF(Sync!$W1281="",0,Sync!$W1281))</f>
        <v/>
      </c>
      <c r="AO1281">
        <f>IF($AE1281="","",IF(Sync!$X1281="",0,Sync!$X1281))</f>
        <v/>
      </c>
      <c r="AP1281">
        <f>IF($AE1281="","",Sync!$R1281)</f>
        <v/>
      </c>
      <c r="AQ1281">
        <f>IF($AE1281="","",Sync!$Y1281)</f>
        <v/>
      </c>
    </row>
    <row r="1282">
      <c r="A1282">
        <f>IF(OR(Wages!$B1285="",Wages!$E1285=""),"",Wages!$E1285)</f>
        <v/>
      </c>
      <c r="B1282">
        <f>IF($A1282="","",IF(Wages!$C1285="دستمزد گروهی",2,1))</f>
        <v/>
      </c>
      <c r="C1282">
        <f>IF($A1282="","",IF(ISNUMBER(Wages!$B1285),IF(AND(Wages!$B1285&gt;=10000101,Wages!$B1285&lt;=99991231),INT(Wages!$B1285/10000),""),IFERROR(VALUE(TRIM(LEFT(Wages!$B1285,FIND("/",Wages!$B1285)-1))),"")))</f>
        <v/>
      </c>
      <c r="D1282">
        <f>IF(OR($A1282="",$C1282=""),"",IF(ISNUMBER(Wages!$B1285),INT(MOD(Wages!$B1285,10000)/100),IFERROR(VALUE(TRIM(LEFT(MID(Wages!$B1285,FIND("/",Wages!$B1285)+1,20),FIND("/",MID(Wages!$B1285,FIND("/",Wages!$B1285)+1,20))-1))),"")))</f>
        <v/>
      </c>
      <c r="E1282">
        <f>IF(OR($A1282="",$C1282=""),"",IF(ISNUMBER(Wages!$B1285),MOD(Wages!$B1285,100),IFERROR(VALUE(TRIM(MID(MID(Wages!$B1285,FIND("/",Wages!$B1285)+1,20),FIND("/",MID(Wages!$B1285,FIND("/",Wages!$B1285)+1,20))+1,20))),"")))</f>
        <v/>
      </c>
      <c r="F1282">
        <f>IF($A1282="","",IF(OR($C1282="",$D1282="",$E1282="",$C1282&lt;1300,$C1282&gt;1500,$D1282&lt;1,$D1282&gt;12,$E1282&lt;1,$E1282&gt;31),"نامعتبر",RIGHT("0000"&amp;$C1282,4)&amp;"/"&amp;RIGHT("00"&amp;$D1282,2)&amp;"/"&amp;RIGHT("00"&amp;$E1282,2)))</f>
        <v/>
      </c>
      <c r="G1282">
        <f>IF(OR($A1282="",$F1282="",$F1282="نامعتبر"),"",LEFT($F1282,4)&amp;MID($F1282,6,2)&amp;RIGHT($F1282,2)&amp;"0000"&amp;"|"&amp;"1"&amp;RIGHT("00000"&amp;1277,5))</f>
        <v/>
      </c>
      <c r="H1282">
        <f>IF(OR($B1282&lt;&gt;1,$G1282=""),"",COUNTIFS(LdAParty,$A1282,LdAType,1,LdAKey,"&lt;"&amp;$G1282)+COUNTIFS(LdBMember,$A1282,LdBKey,"&lt;"&amp;$G1282)+COUNTIFS(LdCParty,$A1282,LdCKey,"&lt;"&amp;$G1282)+1)</f>
        <v/>
      </c>
      <c r="I1282">
        <f>IF($H1282="","",$A1282&amp;"|"&amp;RIGHT("000000"&amp;$H1282,6))</f>
        <v/>
      </c>
      <c r="J1282">
        <f>IF(OR($B1282&lt;&gt;2,$G1282=""),"",COUNTIFS(LdAParty,$A1282,LdAType,2,LdAKey,"&lt;"&amp;$G1282)+1)</f>
        <v/>
      </c>
      <c r="K1282">
        <f>IF($J1282="","",$A1282&amp;"|"&amp;RIGHT("000000"&amp;$J1282,6))</f>
        <v/>
      </c>
      <c r="L1282">
        <f>IF($A1282="","",IF(Wages!$G1285="",0,Wages!$G1285))</f>
        <v/>
      </c>
      <c r="M1282">
        <f>IF($A1282="","",Wages!$J1285)</f>
        <v/>
      </c>
      <c r="N1282">
        <f>IF($A1282="","",Wages!$D1285)</f>
        <v/>
      </c>
      <c r="P1282">
        <f>IF(OR(Shares!$B1285="",Shares!$C1285=""),"",Shares!$C1285)</f>
        <v/>
      </c>
      <c r="Q1282">
        <f>IF($P1282="","",Shares!$B1285)</f>
        <v/>
      </c>
      <c r="R1282">
        <f>IF($P1282="","",IFERROR(INDEX(WageParty,MATCH($Q1282,WageIds,0)),""))</f>
        <v/>
      </c>
      <c r="S1282">
        <f>IF($P1282="","",IFERROR(INDEX($F$6:$F$2005,MATCH($Q1282,WageIds,0)),""))</f>
        <v/>
      </c>
      <c r="T1282">
        <f>IF(OR($P1282="",$S1282="",$S1282="نامعتبر"),"",LEFT($S1282,4)&amp;MID($S1282,6,2)&amp;RIGHT($S1282,2)&amp;"0000"&amp;"|"&amp;"2"&amp;RIGHT("00000"&amp;1277,5))</f>
        <v/>
      </c>
      <c r="U1282">
        <f>IF($T1282="","",COUNTIFS(LdAParty,$P1282,LdAType,1,LdAKey,"&lt;"&amp;$T1282)+COUNTIFS(LdBMember,$P1282,LdBKey,"&lt;"&amp;$T1282)+COUNTIFS(LdCParty,$P1282,LdCKey,"&lt;"&amp;$T1282)+1)</f>
        <v/>
      </c>
      <c r="V1282">
        <f>IF($U1282="","",$P1282&amp;"|"&amp;RIGHT("000000"&amp;$U1282,6))</f>
        <v/>
      </c>
      <c r="W1282">
        <f>IF($T1282="","",COUNTIFS(LdBGroup,$R1282,LdBKey,"&lt;"&amp;$T1282)+1)</f>
        <v/>
      </c>
      <c r="X1282">
        <f>IF($W1282="","",$R1282&amp;"|"&amp;RIGHT("000000"&amp;$W1282,6))</f>
        <v/>
      </c>
      <c r="Y1282">
        <f>IF($P1282="","",IF(Shares!$E1285="",0,Shares!$E1285))</f>
        <v/>
      </c>
      <c r="Z1282">
        <f>IF($P1282="","",Shares!$H1285)</f>
        <v/>
      </c>
      <c r="AE1282">
        <f>IF(OR(Sync!$S1282="",Sync!$P1282=""),"",Sync!$S1282)</f>
        <v/>
      </c>
      <c r="AF1282">
        <f>IF($AE1282="","",IF(ISNUMBER(Sync!$P1282),IF(AND(Sync!$P1282&gt;=10000101,Sync!$P1282&lt;=99991231),INT(Sync!$P1282/10000),""),IFERROR(VALUE(TRIM(LEFT(Sync!$P1282,FIND("/",Sync!$P1282)-1))),"")))</f>
        <v/>
      </c>
      <c r="AG1282">
        <f>IF(OR($AE1282="",$AF1282=""),"",IF(ISNUMBER(Sync!$P1282),INT(MOD(Sync!$P1282,10000)/100),IFERROR(VALUE(TRIM(LEFT(MID(Sync!$P1282,FIND("/",Sync!$P1282)+1,20),FIND("/",MID(Sync!$P1282,FIND("/",Sync!$P1282)+1,20))-1))),"")))</f>
        <v/>
      </c>
      <c r="AH1282">
        <f>IF(OR($AE1282="",$AF1282=""),"",IF(ISNUMBER(Sync!$P1282),MOD(Sync!$P1282,100),IFERROR(VALUE(TRIM(MID(MID(Sync!$P1282,FIND("/",Sync!$P1282)+1,20),FIND("/",MID(Sync!$P1282,FIND("/",Sync!$P1282)+1,20))+1,20))),"")))</f>
        <v/>
      </c>
      <c r="AI1282">
        <f>IF($AE1282="","",IF(OR($AF1282="",$AG1282="",$AH1282="",$AF1282&lt;1300,$AF1282&gt;1500,$AG1282&lt;1,$AG1282&gt;12,$AH1282&lt;1,$AH1282&gt;31),"نامعتبر",RIGHT("0000"&amp;$AF1282,4)&amp;"/"&amp;RIGHT("00"&amp;$AG1282,2)&amp;"/"&amp;RIGHT("00"&amp;$AH1282,2)))</f>
        <v/>
      </c>
      <c r="AJ1282">
        <f>IF($AE1282="","",IF(Sync!$Q1282="","0000",IF(AND(ISNUMBER(Sync!$Q1282),Sync!$Q1282&gt;=0,Sync!$Q1282&lt;1),RIGHT("00"&amp;HOUR(Sync!$Q1282),2)&amp;RIGHT("00"&amp;MINUTE(Sync!$Q1282),2),IFERROR(RIGHT("00"&amp;VALUE(LEFT(Sync!$Q1282,FIND(":",Sync!$Q1282)-1)),2)&amp;RIGHT("00"&amp;VALUE(MID(Sync!$Q1282,FIND(":",Sync!$Q1282)+1,2)),2),"0000"))))</f>
        <v/>
      </c>
      <c r="AK1282">
        <f>IF(OR($AE1282="",$AI1282="",$AI1282="نامعتبر"),"",LEFT($AI1282,4)&amp;MID($AI1282,6,2)&amp;RIGHT($AI1282,2)&amp;$AJ1282&amp;"|"&amp;"3"&amp;RIGHT("00000"&amp;1277,5))</f>
        <v/>
      </c>
      <c r="AL1282">
        <f>IF($AK1282="","",COUNTIFS(LdAParty,$AE1282,LdAType,1,LdAKey,"&lt;"&amp;$AK1282)+COUNTIFS(LdBMember,$AE1282,LdBKey,"&lt;"&amp;$AK1282)+COUNTIFS(LdCParty,$AE1282,LdCKey,"&lt;"&amp;$AK1282)+1)</f>
        <v/>
      </c>
      <c r="AM1282">
        <f>IF($AL1282="","",$AE1282&amp;"|"&amp;RIGHT("000000"&amp;$AL1282,6))</f>
        <v/>
      </c>
      <c r="AN1282">
        <f>IF($AE1282="","",IF(Sync!$W1282="",0,Sync!$W1282))</f>
        <v/>
      </c>
      <c r="AO1282">
        <f>IF($AE1282="","",IF(Sync!$X1282="",0,Sync!$X1282))</f>
        <v/>
      </c>
      <c r="AP1282">
        <f>IF($AE1282="","",Sync!$R1282)</f>
        <v/>
      </c>
      <c r="AQ1282">
        <f>IF($AE1282="","",Sync!$Y1282)</f>
        <v/>
      </c>
    </row>
    <row r="1283">
      <c r="A1283">
        <f>IF(OR(Wages!$B1286="",Wages!$E1286=""),"",Wages!$E1286)</f>
        <v/>
      </c>
      <c r="B1283">
        <f>IF($A1283="","",IF(Wages!$C1286="دستمزد گروهی",2,1))</f>
        <v/>
      </c>
      <c r="C1283">
        <f>IF($A1283="","",IF(ISNUMBER(Wages!$B1286),IF(AND(Wages!$B1286&gt;=10000101,Wages!$B1286&lt;=99991231),INT(Wages!$B1286/10000),""),IFERROR(VALUE(TRIM(LEFT(Wages!$B1286,FIND("/",Wages!$B1286)-1))),"")))</f>
        <v/>
      </c>
      <c r="D1283">
        <f>IF(OR($A1283="",$C1283=""),"",IF(ISNUMBER(Wages!$B1286),INT(MOD(Wages!$B1286,10000)/100),IFERROR(VALUE(TRIM(LEFT(MID(Wages!$B1286,FIND("/",Wages!$B1286)+1,20),FIND("/",MID(Wages!$B1286,FIND("/",Wages!$B1286)+1,20))-1))),"")))</f>
        <v/>
      </c>
      <c r="E1283">
        <f>IF(OR($A1283="",$C1283=""),"",IF(ISNUMBER(Wages!$B1286),MOD(Wages!$B1286,100),IFERROR(VALUE(TRIM(MID(MID(Wages!$B1286,FIND("/",Wages!$B1286)+1,20),FIND("/",MID(Wages!$B1286,FIND("/",Wages!$B1286)+1,20))+1,20))),"")))</f>
        <v/>
      </c>
      <c r="F1283">
        <f>IF($A1283="","",IF(OR($C1283="",$D1283="",$E1283="",$C1283&lt;1300,$C1283&gt;1500,$D1283&lt;1,$D1283&gt;12,$E1283&lt;1,$E1283&gt;31),"نامعتبر",RIGHT("0000"&amp;$C1283,4)&amp;"/"&amp;RIGHT("00"&amp;$D1283,2)&amp;"/"&amp;RIGHT("00"&amp;$E1283,2)))</f>
        <v/>
      </c>
      <c r="G1283">
        <f>IF(OR($A1283="",$F1283="",$F1283="نامعتبر"),"",LEFT($F1283,4)&amp;MID($F1283,6,2)&amp;RIGHT($F1283,2)&amp;"0000"&amp;"|"&amp;"1"&amp;RIGHT("00000"&amp;1278,5))</f>
        <v/>
      </c>
      <c r="H1283">
        <f>IF(OR($B1283&lt;&gt;1,$G1283=""),"",COUNTIFS(LdAParty,$A1283,LdAType,1,LdAKey,"&lt;"&amp;$G1283)+COUNTIFS(LdBMember,$A1283,LdBKey,"&lt;"&amp;$G1283)+COUNTIFS(LdCParty,$A1283,LdCKey,"&lt;"&amp;$G1283)+1)</f>
        <v/>
      </c>
      <c r="I1283">
        <f>IF($H1283="","",$A1283&amp;"|"&amp;RIGHT("000000"&amp;$H1283,6))</f>
        <v/>
      </c>
      <c r="J1283">
        <f>IF(OR($B1283&lt;&gt;2,$G1283=""),"",COUNTIFS(LdAParty,$A1283,LdAType,2,LdAKey,"&lt;"&amp;$G1283)+1)</f>
        <v/>
      </c>
      <c r="K1283">
        <f>IF($J1283="","",$A1283&amp;"|"&amp;RIGHT("000000"&amp;$J1283,6))</f>
        <v/>
      </c>
      <c r="L1283">
        <f>IF($A1283="","",IF(Wages!$G1286="",0,Wages!$G1286))</f>
        <v/>
      </c>
      <c r="M1283">
        <f>IF($A1283="","",Wages!$J1286)</f>
        <v/>
      </c>
      <c r="N1283">
        <f>IF($A1283="","",Wages!$D1286)</f>
        <v/>
      </c>
      <c r="P1283">
        <f>IF(OR(Shares!$B1286="",Shares!$C1286=""),"",Shares!$C1286)</f>
        <v/>
      </c>
      <c r="Q1283">
        <f>IF($P1283="","",Shares!$B1286)</f>
        <v/>
      </c>
      <c r="R1283">
        <f>IF($P1283="","",IFERROR(INDEX(WageParty,MATCH($Q1283,WageIds,0)),""))</f>
        <v/>
      </c>
      <c r="S1283">
        <f>IF($P1283="","",IFERROR(INDEX($F$6:$F$2005,MATCH($Q1283,WageIds,0)),""))</f>
        <v/>
      </c>
      <c r="T1283">
        <f>IF(OR($P1283="",$S1283="",$S1283="نامعتبر"),"",LEFT($S1283,4)&amp;MID($S1283,6,2)&amp;RIGHT($S1283,2)&amp;"0000"&amp;"|"&amp;"2"&amp;RIGHT("00000"&amp;1278,5))</f>
        <v/>
      </c>
      <c r="U1283">
        <f>IF($T1283="","",COUNTIFS(LdAParty,$P1283,LdAType,1,LdAKey,"&lt;"&amp;$T1283)+COUNTIFS(LdBMember,$P1283,LdBKey,"&lt;"&amp;$T1283)+COUNTIFS(LdCParty,$P1283,LdCKey,"&lt;"&amp;$T1283)+1)</f>
        <v/>
      </c>
      <c r="V1283">
        <f>IF($U1283="","",$P1283&amp;"|"&amp;RIGHT("000000"&amp;$U1283,6))</f>
        <v/>
      </c>
      <c r="W1283">
        <f>IF($T1283="","",COUNTIFS(LdBGroup,$R1283,LdBKey,"&lt;"&amp;$T1283)+1)</f>
        <v/>
      </c>
      <c r="X1283">
        <f>IF($W1283="","",$R1283&amp;"|"&amp;RIGHT("000000"&amp;$W1283,6))</f>
        <v/>
      </c>
      <c r="Y1283">
        <f>IF($P1283="","",IF(Shares!$E1286="",0,Shares!$E1286))</f>
        <v/>
      </c>
      <c r="Z1283">
        <f>IF($P1283="","",Shares!$H1286)</f>
        <v/>
      </c>
      <c r="AE1283">
        <f>IF(OR(Sync!$S1283="",Sync!$P1283=""),"",Sync!$S1283)</f>
        <v/>
      </c>
      <c r="AF1283">
        <f>IF($AE1283="","",IF(ISNUMBER(Sync!$P1283),IF(AND(Sync!$P1283&gt;=10000101,Sync!$P1283&lt;=99991231),INT(Sync!$P1283/10000),""),IFERROR(VALUE(TRIM(LEFT(Sync!$P1283,FIND("/",Sync!$P1283)-1))),"")))</f>
        <v/>
      </c>
      <c r="AG1283">
        <f>IF(OR($AE1283="",$AF1283=""),"",IF(ISNUMBER(Sync!$P1283),INT(MOD(Sync!$P1283,10000)/100),IFERROR(VALUE(TRIM(LEFT(MID(Sync!$P1283,FIND("/",Sync!$P1283)+1,20),FIND("/",MID(Sync!$P1283,FIND("/",Sync!$P1283)+1,20))-1))),"")))</f>
        <v/>
      </c>
      <c r="AH1283">
        <f>IF(OR($AE1283="",$AF1283=""),"",IF(ISNUMBER(Sync!$P1283),MOD(Sync!$P1283,100),IFERROR(VALUE(TRIM(MID(MID(Sync!$P1283,FIND("/",Sync!$P1283)+1,20),FIND("/",MID(Sync!$P1283,FIND("/",Sync!$P1283)+1,20))+1,20))),"")))</f>
        <v/>
      </c>
      <c r="AI1283">
        <f>IF($AE1283="","",IF(OR($AF1283="",$AG1283="",$AH1283="",$AF1283&lt;1300,$AF1283&gt;1500,$AG1283&lt;1,$AG1283&gt;12,$AH1283&lt;1,$AH1283&gt;31),"نامعتبر",RIGHT("0000"&amp;$AF1283,4)&amp;"/"&amp;RIGHT("00"&amp;$AG1283,2)&amp;"/"&amp;RIGHT("00"&amp;$AH1283,2)))</f>
        <v/>
      </c>
      <c r="AJ1283">
        <f>IF($AE1283="","",IF(Sync!$Q1283="","0000",IF(AND(ISNUMBER(Sync!$Q1283),Sync!$Q1283&gt;=0,Sync!$Q1283&lt;1),RIGHT("00"&amp;HOUR(Sync!$Q1283),2)&amp;RIGHT("00"&amp;MINUTE(Sync!$Q1283),2),IFERROR(RIGHT("00"&amp;VALUE(LEFT(Sync!$Q1283,FIND(":",Sync!$Q1283)-1)),2)&amp;RIGHT("00"&amp;VALUE(MID(Sync!$Q1283,FIND(":",Sync!$Q1283)+1,2)),2),"0000"))))</f>
        <v/>
      </c>
      <c r="AK1283">
        <f>IF(OR($AE1283="",$AI1283="",$AI1283="نامعتبر"),"",LEFT($AI1283,4)&amp;MID($AI1283,6,2)&amp;RIGHT($AI1283,2)&amp;$AJ1283&amp;"|"&amp;"3"&amp;RIGHT("00000"&amp;1278,5))</f>
        <v/>
      </c>
      <c r="AL1283">
        <f>IF($AK1283="","",COUNTIFS(LdAParty,$AE1283,LdAType,1,LdAKey,"&lt;"&amp;$AK1283)+COUNTIFS(LdBMember,$AE1283,LdBKey,"&lt;"&amp;$AK1283)+COUNTIFS(LdCParty,$AE1283,LdCKey,"&lt;"&amp;$AK1283)+1)</f>
        <v/>
      </c>
      <c r="AM1283">
        <f>IF($AL1283="","",$AE1283&amp;"|"&amp;RIGHT("000000"&amp;$AL1283,6))</f>
        <v/>
      </c>
      <c r="AN1283">
        <f>IF($AE1283="","",IF(Sync!$W1283="",0,Sync!$W1283))</f>
        <v/>
      </c>
      <c r="AO1283">
        <f>IF($AE1283="","",IF(Sync!$X1283="",0,Sync!$X1283))</f>
        <v/>
      </c>
      <c r="AP1283">
        <f>IF($AE1283="","",Sync!$R1283)</f>
        <v/>
      </c>
      <c r="AQ1283">
        <f>IF($AE1283="","",Sync!$Y1283)</f>
        <v/>
      </c>
    </row>
    <row r="1284">
      <c r="A1284">
        <f>IF(OR(Wages!$B1287="",Wages!$E1287=""),"",Wages!$E1287)</f>
        <v/>
      </c>
      <c r="B1284">
        <f>IF($A1284="","",IF(Wages!$C1287="دستمزد گروهی",2,1))</f>
        <v/>
      </c>
      <c r="C1284">
        <f>IF($A1284="","",IF(ISNUMBER(Wages!$B1287),IF(AND(Wages!$B1287&gt;=10000101,Wages!$B1287&lt;=99991231),INT(Wages!$B1287/10000),""),IFERROR(VALUE(TRIM(LEFT(Wages!$B1287,FIND("/",Wages!$B1287)-1))),"")))</f>
        <v/>
      </c>
      <c r="D1284">
        <f>IF(OR($A1284="",$C1284=""),"",IF(ISNUMBER(Wages!$B1287),INT(MOD(Wages!$B1287,10000)/100),IFERROR(VALUE(TRIM(LEFT(MID(Wages!$B1287,FIND("/",Wages!$B1287)+1,20),FIND("/",MID(Wages!$B1287,FIND("/",Wages!$B1287)+1,20))-1))),"")))</f>
        <v/>
      </c>
      <c r="E1284">
        <f>IF(OR($A1284="",$C1284=""),"",IF(ISNUMBER(Wages!$B1287),MOD(Wages!$B1287,100),IFERROR(VALUE(TRIM(MID(MID(Wages!$B1287,FIND("/",Wages!$B1287)+1,20),FIND("/",MID(Wages!$B1287,FIND("/",Wages!$B1287)+1,20))+1,20))),"")))</f>
        <v/>
      </c>
      <c r="F1284">
        <f>IF($A1284="","",IF(OR($C1284="",$D1284="",$E1284="",$C1284&lt;1300,$C1284&gt;1500,$D1284&lt;1,$D1284&gt;12,$E1284&lt;1,$E1284&gt;31),"نامعتبر",RIGHT("0000"&amp;$C1284,4)&amp;"/"&amp;RIGHT("00"&amp;$D1284,2)&amp;"/"&amp;RIGHT("00"&amp;$E1284,2)))</f>
        <v/>
      </c>
      <c r="G1284">
        <f>IF(OR($A1284="",$F1284="",$F1284="نامعتبر"),"",LEFT($F1284,4)&amp;MID($F1284,6,2)&amp;RIGHT($F1284,2)&amp;"0000"&amp;"|"&amp;"1"&amp;RIGHT("00000"&amp;1279,5))</f>
        <v/>
      </c>
      <c r="H1284">
        <f>IF(OR($B1284&lt;&gt;1,$G1284=""),"",COUNTIFS(LdAParty,$A1284,LdAType,1,LdAKey,"&lt;"&amp;$G1284)+COUNTIFS(LdBMember,$A1284,LdBKey,"&lt;"&amp;$G1284)+COUNTIFS(LdCParty,$A1284,LdCKey,"&lt;"&amp;$G1284)+1)</f>
        <v/>
      </c>
      <c r="I1284">
        <f>IF($H1284="","",$A1284&amp;"|"&amp;RIGHT("000000"&amp;$H1284,6))</f>
        <v/>
      </c>
      <c r="J1284">
        <f>IF(OR($B1284&lt;&gt;2,$G1284=""),"",COUNTIFS(LdAParty,$A1284,LdAType,2,LdAKey,"&lt;"&amp;$G1284)+1)</f>
        <v/>
      </c>
      <c r="K1284">
        <f>IF($J1284="","",$A1284&amp;"|"&amp;RIGHT("000000"&amp;$J1284,6))</f>
        <v/>
      </c>
      <c r="L1284">
        <f>IF($A1284="","",IF(Wages!$G1287="",0,Wages!$G1287))</f>
        <v/>
      </c>
      <c r="M1284">
        <f>IF($A1284="","",Wages!$J1287)</f>
        <v/>
      </c>
      <c r="N1284">
        <f>IF($A1284="","",Wages!$D1287)</f>
        <v/>
      </c>
      <c r="P1284">
        <f>IF(OR(Shares!$B1287="",Shares!$C1287=""),"",Shares!$C1287)</f>
        <v/>
      </c>
      <c r="Q1284">
        <f>IF($P1284="","",Shares!$B1287)</f>
        <v/>
      </c>
      <c r="R1284">
        <f>IF($P1284="","",IFERROR(INDEX(WageParty,MATCH($Q1284,WageIds,0)),""))</f>
        <v/>
      </c>
      <c r="S1284">
        <f>IF($P1284="","",IFERROR(INDEX($F$6:$F$2005,MATCH($Q1284,WageIds,0)),""))</f>
        <v/>
      </c>
      <c r="T1284">
        <f>IF(OR($P1284="",$S1284="",$S1284="نامعتبر"),"",LEFT($S1284,4)&amp;MID($S1284,6,2)&amp;RIGHT($S1284,2)&amp;"0000"&amp;"|"&amp;"2"&amp;RIGHT("00000"&amp;1279,5))</f>
        <v/>
      </c>
      <c r="U1284">
        <f>IF($T1284="","",COUNTIFS(LdAParty,$P1284,LdAType,1,LdAKey,"&lt;"&amp;$T1284)+COUNTIFS(LdBMember,$P1284,LdBKey,"&lt;"&amp;$T1284)+COUNTIFS(LdCParty,$P1284,LdCKey,"&lt;"&amp;$T1284)+1)</f>
        <v/>
      </c>
      <c r="V1284">
        <f>IF($U1284="","",$P1284&amp;"|"&amp;RIGHT("000000"&amp;$U1284,6))</f>
        <v/>
      </c>
      <c r="W1284">
        <f>IF($T1284="","",COUNTIFS(LdBGroup,$R1284,LdBKey,"&lt;"&amp;$T1284)+1)</f>
        <v/>
      </c>
      <c r="X1284">
        <f>IF($W1284="","",$R1284&amp;"|"&amp;RIGHT("000000"&amp;$W1284,6))</f>
        <v/>
      </c>
      <c r="Y1284">
        <f>IF($P1284="","",IF(Shares!$E1287="",0,Shares!$E1287))</f>
        <v/>
      </c>
      <c r="Z1284">
        <f>IF($P1284="","",Shares!$H1287)</f>
        <v/>
      </c>
      <c r="AE1284">
        <f>IF(OR(Sync!$S1284="",Sync!$P1284=""),"",Sync!$S1284)</f>
        <v/>
      </c>
      <c r="AF1284">
        <f>IF($AE1284="","",IF(ISNUMBER(Sync!$P1284),IF(AND(Sync!$P1284&gt;=10000101,Sync!$P1284&lt;=99991231),INT(Sync!$P1284/10000),""),IFERROR(VALUE(TRIM(LEFT(Sync!$P1284,FIND("/",Sync!$P1284)-1))),"")))</f>
        <v/>
      </c>
      <c r="AG1284">
        <f>IF(OR($AE1284="",$AF1284=""),"",IF(ISNUMBER(Sync!$P1284),INT(MOD(Sync!$P1284,10000)/100),IFERROR(VALUE(TRIM(LEFT(MID(Sync!$P1284,FIND("/",Sync!$P1284)+1,20),FIND("/",MID(Sync!$P1284,FIND("/",Sync!$P1284)+1,20))-1))),"")))</f>
        <v/>
      </c>
      <c r="AH1284">
        <f>IF(OR($AE1284="",$AF1284=""),"",IF(ISNUMBER(Sync!$P1284),MOD(Sync!$P1284,100),IFERROR(VALUE(TRIM(MID(MID(Sync!$P1284,FIND("/",Sync!$P1284)+1,20),FIND("/",MID(Sync!$P1284,FIND("/",Sync!$P1284)+1,20))+1,20))),"")))</f>
        <v/>
      </c>
      <c r="AI1284">
        <f>IF($AE1284="","",IF(OR($AF1284="",$AG1284="",$AH1284="",$AF1284&lt;1300,$AF1284&gt;1500,$AG1284&lt;1,$AG1284&gt;12,$AH1284&lt;1,$AH1284&gt;31),"نامعتبر",RIGHT("0000"&amp;$AF1284,4)&amp;"/"&amp;RIGHT("00"&amp;$AG1284,2)&amp;"/"&amp;RIGHT("00"&amp;$AH1284,2)))</f>
        <v/>
      </c>
      <c r="AJ1284">
        <f>IF($AE1284="","",IF(Sync!$Q1284="","0000",IF(AND(ISNUMBER(Sync!$Q1284),Sync!$Q1284&gt;=0,Sync!$Q1284&lt;1),RIGHT("00"&amp;HOUR(Sync!$Q1284),2)&amp;RIGHT("00"&amp;MINUTE(Sync!$Q1284),2),IFERROR(RIGHT("00"&amp;VALUE(LEFT(Sync!$Q1284,FIND(":",Sync!$Q1284)-1)),2)&amp;RIGHT("00"&amp;VALUE(MID(Sync!$Q1284,FIND(":",Sync!$Q1284)+1,2)),2),"0000"))))</f>
        <v/>
      </c>
      <c r="AK1284">
        <f>IF(OR($AE1284="",$AI1284="",$AI1284="نامعتبر"),"",LEFT($AI1284,4)&amp;MID($AI1284,6,2)&amp;RIGHT($AI1284,2)&amp;$AJ1284&amp;"|"&amp;"3"&amp;RIGHT("00000"&amp;1279,5))</f>
        <v/>
      </c>
      <c r="AL1284">
        <f>IF($AK1284="","",COUNTIFS(LdAParty,$AE1284,LdAType,1,LdAKey,"&lt;"&amp;$AK1284)+COUNTIFS(LdBMember,$AE1284,LdBKey,"&lt;"&amp;$AK1284)+COUNTIFS(LdCParty,$AE1284,LdCKey,"&lt;"&amp;$AK1284)+1)</f>
        <v/>
      </c>
      <c r="AM1284">
        <f>IF($AL1284="","",$AE1284&amp;"|"&amp;RIGHT("000000"&amp;$AL1284,6))</f>
        <v/>
      </c>
      <c r="AN1284">
        <f>IF($AE1284="","",IF(Sync!$W1284="",0,Sync!$W1284))</f>
        <v/>
      </c>
      <c r="AO1284">
        <f>IF($AE1284="","",IF(Sync!$X1284="",0,Sync!$X1284))</f>
        <v/>
      </c>
      <c r="AP1284">
        <f>IF($AE1284="","",Sync!$R1284)</f>
        <v/>
      </c>
      <c r="AQ1284">
        <f>IF($AE1284="","",Sync!$Y1284)</f>
        <v/>
      </c>
    </row>
    <row r="1285">
      <c r="A1285">
        <f>IF(OR(Wages!$B1288="",Wages!$E1288=""),"",Wages!$E1288)</f>
        <v/>
      </c>
      <c r="B1285">
        <f>IF($A1285="","",IF(Wages!$C1288="دستمزد گروهی",2,1))</f>
        <v/>
      </c>
      <c r="C1285">
        <f>IF($A1285="","",IF(ISNUMBER(Wages!$B1288),IF(AND(Wages!$B1288&gt;=10000101,Wages!$B1288&lt;=99991231),INT(Wages!$B1288/10000),""),IFERROR(VALUE(TRIM(LEFT(Wages!$B1288,FIND("/",Wages!$B1288)-1))),"")))</f>
        <v/>
      </c>
      <c r="D1285">
        <f>IF(OR($A1285="",$C1285=""),"",IF(ISNUMBER(Wages!$B1288),INT(MOD(Wages!$B1288,10000)/100),IFERROR(VALUE(TRIM(LEFT(MID(Wages!$B1288,FIND("/",Wages!$B1288)+1,20),FIND("/",MID(Wages!$B1288,FIND("/",Wages!$B1288)+1,20))-1))),"")))</f>
        <v/>
      </c>
      <c r="E1285">
        <f>IF(OR($A1285="",$C1285=""),"",IF(ISNUMBER(Wages!$B1288),MOD(Wages!$B1288,100),IFERROR(VALUE(TRIM(MID(MID(Wages!$B1288,FIND("/",Wages!$B1288)+1,20),FIND("/",MID(Wages!$B1288,FIND("/",Wages!$B1288)+1,20))+1,20))),"")))</f>
        <v/>
      </c>
      <c r="F1285">
        <f>IF($A1285="","",IF(OR($C1285="",$D1285="",$E1285="",$C1285&lt;1300,$C1285&gt;1500,$D1285&lt;1,$D1285&gt;12,$E1285&lt;1,$E1285&gt;31),"نامعتبر",RIGHT("0000"&amp;$C1285,4)&amp;"/"&amp;RIGHT("00"&amp;$D1285,2)&amp;"/"&amp;RIGHT("00"&amp;$E1285,2)))</f>
        <v/>
      </c>
      <c r="G1285">
        <f>IF(OR($A1285="",$F1285="",$F1285="نامعتبر"),"",LEFT($F1285,4)&amp;MID($F1285,6,2)&amp;RIGHT($F1285,2)&amp;"0000"&amp;"|"&amp;"1"&amp;RIGHT("00000"&amp;1280,5))</f>
        <v/>
      </c>
      <c r="H1285">
        <f>IF(OR($B1285&lt;&gt;1,$G1285=""),"",COUNTIFS(LdAParty,$A1285,LdAType,1,LdAKey,"&lt;"&amp;$G1285)+COUNTIFS(LdBMember,$A1285,LdBKey,"&lt;"&amp;$G1285)+COUNTIFS(LdCParty,$A1285,LdCKey,"&lt;"&amp;$G1285)+1)</f>
        <v/>
      </c>
      <c r="I1285">
        <f>IF($H1285="","",$A1285&amp;"|"&amp;RIGHT("000000"&amp;$H1285,6))</f>
        <v/>
      </c>
      <c r="J1285">
        <f>IF(OR($B1285&lt;&gt;2,$G1285=""),"",COUNTIFS(LdAParty,$A1285,LdAType,2,LdAKey,"&lt;"&amp;$G1285)+1)</f>
        <v/>
      </c>
      <c r="K1285">
        <f>IF($J1285="","",$A1285&amp;"|"&amp;RIGHT("000000"&amp;$J1285,6))</f>
        <v/>
      </c>
      <c r="L1285">
        <f>IF($A1285="","",IF(Wages!$G1288="",0,Wages!$G1288))</f>
        <v/>
      </c>
      <c r="M1285">
        <f>IF($A1285="","",Wages!$J1288)</f>
        <v/>
      </c>
      <c r="N1285">
        <f>IF($A1285="","",Wages!$D1288)</f>
        <v/>
      </c>
      <c r="P1285">
        <f>IF(OR(Shares!$B1288="",Shares!$C1288=""),"",Shares!$C1288)</f>
        <v/>
      </c>
      <c r="Q1285">
        <f>IF($P1285="","",Shares!$B1288)</f>
        <v/>
      </c>
      <c r="R1285">
        <f>IF($P1285="","",IFERROR(INDEX(WageParty,MATCH($Q1285,WageIds,0)),""))</f>
        <v/>
      </c>
      <c r="S1285">
        <f>IF($P1285="","",IFERROR(INDEX($F$6:$F$2005,MATCH($Q1285,WageIds,0)),""))</f>
        <v/>
      </c>
      <c r="T1285">
        <f>IF(OR($P1285="",$S1285="",$S1285="نامعتبر"),"",LEFT($S1285,4)&amp;MID($S1285,6,2)&amp;RIGHT($S1285,2)&amp;"0000"&amp;"|"&amp;"2"&amp;RIGHT("00000"&amp;1280,5))</f>
        <v/>
      </c>
      <c r="U1285">
        <f>IF($T1285="","",COUNTIFS(LdAParty,$P1285,LdAType,1,LdAKey,"&lt;"&amp;$T1285)+COUNTIFS(LdBMember,$P1285,LdBKey,"&lt;"&amp;$T1285)+COUNTIFS(LdCParty,$P1285,LdCKey,"&lt;"&amp;$T1285)+1)</f>
        <v/>
      </c>
      <c r="V1285">
        <f>IF($U1285="","",$P1285&amp;"|"&amp;RIGHT("000000"&amp;$U1285,6))</f>
        <v/>
      </c>
      <c r="W1285">
        <f>IF($T1285="","",COUNTIFS(LdBGroup,$R1285,LdBKey,"&lt;"&amp;$T1285)+1)</f>
        <v/>
      </c>
      <c r="X1285">
        <f>IF($W1285="","",$R1285&amp;"|"&amp;RIGHT("000000"&amp;$W1285,6))</f>
        <v/>
      </c>
      <c r="Y1285">
        <f>IF($P1285="","",IF(Shares!$E1288="",0,Shares!$E1288))</f>
        <v/>
      </c>
      <c r="Z1285">
        <f>IF($P1285="","",Shares!$H1288)</f>
        <v/>
      </c>
      <c r="AE1285">
        <f>IF(OR(Sync!$S1285="",Sync!$P1285=""),"",Sync!$S1285)</f>
        <v/>
      </c>
      <c r="AF1285">
        <f>IF($AE1285="","",IF(ISNUMBER(Sync!$P1285),IF(AND(Sync!$P1285&gt;=10000101,Sync!$P1285&lt;=99991231),INT(Sync!$P1285/10000),""),IFERROR(VALUE(TRIM(LEFT(Sync!$P1285,FIND("/",Sync!$P1285)-1))),"")))</f>
        <v/>
      </c>
      <c r="AG1285">
        <f>IF(OR($AE1285="",$AF1285=""),"",IF(ISNUMBER(Sync!$P1285),INT(MOD(Sync!$P1285,10000)/100),IFERROR(VALUE(TRIM(LEFT(MID(Sync!$P1285,FIND("/",Sync!$P1285)+1,20),FIND("/",MID(Sync!$P1285,FIND("/",Sync!$P1285)+1,20))-1))),"")))</f>
        <v/>
      </c>
      <c r="AH1285">
        <f>IF(OR($AE1285="",$AF1285=""),"",IF(ISNUMBER(Sync!$P1285),MOD(Sync!$P1285,100),IFERROR(VALUE(TRIM(MID(MID(Sync!$P1285,FIND("/",Sync!$P1285)+1,20),FIND("/",MID(Sync!$P1285,FIND("/",Sync!$P1285)+1,20))+1,20))),"")))</f>
        <v/>
      </c>
      <c r="AI1285">
        <f>IF($AE1285="","",IF(OR($AF1285="",$AG1285="",$AH1285="",$AF1285&lt;1300,$AF1285&gt;1500,$AG1285&lt;1,$AG1285&gt;12,$AH1285&lt;1,$AH1285&gt;31),"نامعتبر",RIGHT("0000"&amp;$AF1285,4)&amp;"/"&amp;RIGHT("00"&amp;$AG1285,2)&amp;"/"&amp;RIGHT("00"&amp;$AH1285,2)))</f>
        <v/>
      </c>
      <c r="AJ1285">
        <f>IF($AE1285="","",IF(Sync!$Q1285="","0000",IF(AND(ISNUMBER(Sync!$Q1285),Sync!$Q1285&gt;=0,Sync!$Q1285&lt;1),RIGHT("00"&amp;HOUR(Sync!$Q1285),2)&amp;RIGHT("00"&amp;MINUTE(Sync!$Q1285),2),IFERROR(RIGHT("00"&amp;VALUE(LEFT(Sync!$Q1285,FIND(":",Sync!$Q1285)-1)),2)&amp;RIGHT("00"&amp;VALUE(MID(Sync!$Q1285,FIND(":",Sync!$Q1285)+1,2)),2),"0000"))))</f>
        <v/>
      </c>
      <c r="AK1285">
        <f>IF(OR($AE1285="",$AI1285="",$AI1285="نامعتبر"),"",LEFT($AI1285,4)&amp;MID($AI1285,6,2)&amp;RIGHT($AI1285,2)&amp;$AJ1285&amp;"|"&amp;"3"&amp;RIGHT("00000"&amp;1280,5))</f>
        <v/>
      </c>
      <c r="AL1285">
        <f>IF($AK1285="","",COUNTIFS(LdAParty,$AE1285,LdAType,1,LdAKey,"&lt;"&amp;$AK1285)+COUNTIFS(LdBMember,$AE1285,LdBKey,"&lt;"&amp;$AK1285)+COUNTIFS(LdCParty,$AE1285,LdCKey,"&lt;"&amp;$AK1285)+1)</f>
        <v/>
      </c>
      <c r="AM1285">
        <f>IF($AL1285="","",$AE1285&amp;"|"&amp;RIGHT("000000"&amp;$AL1285,6))</f>
        <v/>
      </c>
      <c r="AN1285">
        <f>IF($AE1285="","",IF(Sync!$W1285="",0,Sync!$W1285))</f>
        <v/>
      </c>
      <c r="AO1285">
        <f>IF($AE1285="","",IF(Sync!$X1285="",0,Sync!$X1285))</f>
        <v/>
      </c>
      <c r="AP1285">
        <f>IF($AE1285="","",Sync!$R1285)</f>
        <v/>
      </c>
      <c r="AQ1285">
        <f>IF($AE1285="","",Sync!$Y1285)</f>
        <v/>
      </c>
    </row>
    <row r="1286">
      <c r="A1286">
        <f>IF(OR(Wages!$B1289="",Wages!$E1289=""),"",Wages!$E1289)</f>
        <v/>
      </c>
      <c r="B1286">
        <f>IF($A1286="","",IF(Wages!$C1289="دستمزد گروهی",2,1))</f>
        <v/>
      </c>
      <c r="C1286">
        <f>IF($A1286="","",IF(ISNUMBER(Wages!$B1289),IF(AND(Wages!$B1289&gt;=10000101,Wages!$B1289&lt;=99991231),INT(Wages!$B1289/10000),""),IFERROR(VALUE(TRIM(LEFT(Wages!$B1289,FIND("/",Wages!$B1289)-1))),"")))</f>
        <v/>
      </c>
      <c r="D1286">
        <f>IF(OR($A1286="",$C1286=""),"",IF(ISNUMBER(Wages!$B1289),INT(MOD(Wages!$B1289,10000)/100),IFERROR(VALUE(TRIM(LEFT(MID(Wages!$B1289,FIND("/",Wages!$B1289)+1,20),FIND("/",MID(Wages!$B1289,FIND("/",Wages!$B1289)+1,20))-1))),"")))</f>
        <v/>
      </c>
      <c r="E1286">
        <f>IF(OR($A1286="",$C1286=""),"",IF(ISNUMBER(Wages!$B1289),MOD(Wages!$B1289,100),IFERROR(VALUE(TRIM(MID(MID(Wages!$B1289,FIND("/",Wages!$B1289)+1,20),FIND("/",MID(Wages!$B1289,FIND("/",Wages!$B1289)+1,20))+1,20))),"")))</f>
        <v/>
      </c>
      <c r="F1286">
        <f>IF($A1286="","",IF(OR($C1286="",$D1286="",$E1286="",$C1286&lt;1300,$C1286&gt;1500,$D1286&lt;1,$D1286&gt;12,$E1286&lt;1,$E1286&gt;31),"نامعتبر",RIGHT("0000"&amp;$C1286,4)&amp;"/"&amp;RIGHT("00"&amp;$D1286,2)&amp;"/"&amp;RIGHT("00"&amp;$E1286,2)))</f>
        <v/>
      </c>
      <c r="G1286">
        <f>IF(OR($A1286="",$F1286="",$F1286="نامعتبر"),"",LEFT($F1286,4)&amp;MID($F1286,6,2)&amp;RIGHT($F1286,2)&amp;"0000"&amp;"|"&amp;"1"&amp;RIGHT("00000"&amp;1281,5))</f>
        <v/>
      </c>
      <c r="H1286">
        <f>IF(OR($B1286&lt;&gt;1,$G1286=""),"",COUNTIFS(LdAParty,$A1286,LdAType,1,LdAKey,"&lt;"&amp;$G1286)+COUNTIFS(LdBMember,$A1286,LdBKey,"&lt;"&amp;$G1286)+COUNTIFS(LdCParty,$A1286,LdCKey,"&lt;"&amp;$G1286)+1)</f>
        <v/>
      </c>
      <c r="I1286">
        <f>IF($H1286="","",$A1286&amp;"|"&amp;RIGHT("000000"&amp;$H1286,6))</f>
        <v/>
      </c>
      <c r="J1286">
        <f>IF(OR($B1286&lt;&gt;2,$G1286=""),"",COUNTIFS(LdAParty,$A1286,LdAType,2,LdAKey,"&lt;"&amp;$G1286)+1)</f>
        <v/>
      </c>
      <c r="K1286">
        <f>IF($J1286="","",$A1286&amp;"|"&amp;RIGHT("000000"&amp;$J1286,6))</f>
        <v/>
      </c>
      <c r="L1286">
        <f>IF($A1286="","",IF(Wages!$G1289="",0,Wages!$G1289))</f>
        <v/>
      </c>
      <c r="M1286">
        <f>IF($A1286="","",Wages!$J1289)</f>
        <v/>
      </c>
      <c r="N1286">
        <f>IF($A1286="","",Wages!$D1289)</f>
        <v/>
      </c>
      <c r="P1286">
        <f>IF(OR(Shares!$B1289="",Shares!$C1289=""),"",Shares!$C1289)</f>
        <v/>
      </c>
      <c r="Q1286">
        <f>IF($P1286="","",Shares!$B1289)</f>
        <v/>
      </c>
      <c r="R1286">
        <f>IF($P1286="","",IFERROR(INDEX(WageParty,MATCH($Q1286,WageIds,0)),""))</f>
        <v/>
      </c>
      <c r="S1286">
        <f>IF($P1286="","",IFERROR(INDEX($F$6:$F$2005,MATCH($Q1286,WageIds,0)),""))</f>
        <v/>
      </c>
      <c r="T1286">
        <f>IF(OR($P1286="",$S1286="",$S1286="نامعتبر"),"",LEFT($S1286,4)&amp;MID($S1286,6,2)&amp;RIGHT($S1286,2)&amp;"0000"&amp;"|"&amp;"2"&amp;RIGHT("00000"&amp;1281,5))</f>
        <v/>
      </c>
      <c r="U1286">
        <f>IF($T1286="","",COUNTIFS(LdAParty,$P1286,LdAType,1,LdAKey,"&lt;"&amp;$T1286)+COUNTIFS(LdBMember,$P1286,LdBKey,"&lt;"&amp;$T1286)+COUNTIFS(LdCParty,$P1286,LdCKey,"&lt;"&amp;$T1286)+1)</f>
        <v/>
      </c>
      <c r="V1286">
        <f>IF($U1286="","",$P1286&amp;"|"&amp;RIGHT("000000"&amp;$U1286,6))</f>
        <v/>
      </c>
      <c r="W1286">
        <f>IF($T1286="","",COUNTIFS(LdBGroup,$R1286,LdBKey,"&lt;"&amp;$T1286)+1)</f>
        <v/>
      </c>
      <c r="X1286">
        <f>IF($W1286="","",$R1286&amp;"|"&amp;RIGHT("000000"&amp;$W1286,6))</f>
        <v/>
      </c>
      <c r="Y1286">
        <f>IF($P1286="","",IF(Shares!$E1289="",0,Shares!$E1289))</f>
        <v/>
      </c>
      <c r="Z1286">
        <f>IF($P1286="","",Shares!$H1289)</f>
        <v/>
      </c>
      <c r="AE1286">
        <f>IF(OR(Sync!$S1286="",Sync!$P1286=""),"",Sync!$S1286)</f>
        <v/>
      </c>
      <c r="AF1286">
        <f>IF($AE1286="","",IF(ISNUMBER(Sync!$P1286),IF(AND(Sync!$P1286&gt;=10000101,Sync!$P1286&lt;=99991231),INT(Sync!$P1286/10000),""),IFERROR(VALUE(TRIM(LEFT(Sync!$P1286,FIND("/",Sync!$P1286)-1))),"")))</f>
        <v/>
      </c>
      <c r="AG1286">
        <f>IF(OR($AE1286="",$AF1286=""),"",IF(ISNUMBER(Sync!$P1286),INT(MOD(Sync!$P1286,10000)/100),IFERROR(VALUE(TRIM(LEFT(MID(Sync!$P1286,FIND("/",Sync!$P1286)+1,20),FIND("/",MID(Sync!$P1286,FIND("/",Sync!$P1286)+1,20))-1))),"")))</f>
        <v/>
      </c>
      <c r="AH1286">
        <f>IF(OR($AE1286="",$AF1286=""),"",IF(ISNUMBER(Sync!$P1286),MOD(Sync!$P1286,100),IFERROR(VALUE(TRIM(MID(MID(Sync!$P1286,FIND("/",Sync!$P1286)+1,20),FIND("/",MID(Sync!$P1286,FIND("/",Sync!$P1286)+1,20))+1,20))),"")))</f>
        <v/>
      </c>
      <c r="AI1286">
        <f>IF($AE1286="","",IF(OR($AF1286="",$AG1286="",$AH1286="",$AF1286&lt;1300,$AF1286&gt;1500,$AG1286&lt;1,$AG1286&gt;12,$AH1286&lt;1,$AH1286&gt;31),"نامعتبر",RIGHT("0000"&amp;$AF1286,4)&amp;"/"&amp;RIGHT("00"&amp;$AG1286,2)&amp;"/"&amp;RIGHT("00"&amp;$AH1286,2)))</f>
        <v/>
      </c>
      <c r="AJ1286">
        <f>IF($AE1286="","",IF(Sync!$Q1286="","0000",IF(AND(ISNUMBER(Sync!$Q1286),Sync!$Q1286&gt;=0,Sync!$Q1286&lt;1),RIGHT("00"&amp;HOUR(Sync!$Q1286),2)&amp;RIGHT("00"&amp;MINUTE(Sync!$Q1286),2),IFERROR(RIGHT("00"&amp;VALUE(LEFT(Sync!$Q1286,FIND(":",Sync!$Q1286)-1)),2)&amp;RIGHT("00"&amp;VALUE(MID(Sync!$Q1286,FIND(":",Sync!$Q1286)+1,2)),2),"0000"))))</f>
        <v/>
      </c>
      <c r="AK1286">
        <f>IF(OR($AE1286="",$AI1286="",$AI1286="نامعتبر"),"",LEFT($AI1286,4)&amp;MID($AI1286,6,2)&amp;RIGHT($AI1286,2)&amp;$AJ1286&amp;"|"&amp;"3"&amp;RIGHT("00000"&amp;1281,5))</f>
        <v/>
      </c>
      <c r="AL1286">
        <f>IF($AK1286="","",COUNTIFS(LdAParty,$AE1286,LdAType,1,LdAKey,"&lt;"&amp;$AK1286)+COUNTIFS(LdBMember,$AE1286,LdBKey,"&lt;"&amp;$AK1286)+COUNTIFS(LdCParty,$AE1286,LdCKey,"&lt;"&amp;$AK1286)+1)</f>
        <v/>
      </c>
      <c r="AM1286">
        <f>IF($AL1286="","",$AE1286&amp;"|"&amp;RIGHT("000000"&amp;$AL1286,6))</f>
        <v/>
      </c>
      <c r="AN1286">
        <f>IF($AE1286="","",IF(Sync!$W1286="",0,Sync!$W1286))</f>
        <v/>
      </c>
      <c r="AO1286">
        <f>IF($AE1286="","",IF(Sync!$X1286="",0,Sync!$X1286))</f>
        <v/>
      </c>
      <c r="AP1286">
        <f>IF($AE1286="","",Sync!$R1286)</f>
        <v/>
      </c>
      <c r="AQ1286">
        <f>IF($AE1286="","",Sync!$Y1286)</f>
        <v/>
      </c>
    </row>
    <row r="1287">
      <c r="A1287">
        <f>IF(OR(Wages!$B1290="",Wages!$E1290=""),"",Wages!$E1290)</f>
        <v/>
      </c>
      <c r="B1287">
        <f>IF($A1287="","",IF(Wages!$C1290="دستمزد گروهی",2,1))</f>
        <v/>
      </c>
      <c r="C1287">
        <f>IF($A1287="","",IF(ISNUMBER(Wages!$B1290),IF(AND(Wages!$B1290&gt;=10000101,Wages!$B1290&lt;=99991231),INT(Wages!$B1290/10000),""),IFERROR(VALUE(TRIM(LEFT(Wages!$B1290,FIND("/",Wages!$B1290)-1))),"")))</f>
        <v/>
      </c>
      <c r="D1287">
        <f>IF(OR($A1287="",$C1287=""),"",IF(ISNUMBER(Wages!$B1290),INT(MOD(Wages!$B1290,10000)/100),IFERROR(VALUE(TRIM(LEFT(MID(Wages!$B1290,FIND("/",Wages!$B1290)+1,20),FIND("/",MID(Wages!$B1290,FIND("/",Wages!$B1290)+1,20))-1))),"")))</f>
        <v/>
      </c>
      <c r="E1287">
        <f>IF(OR($A1287="",$C1287=""),"",IF(ISNUMBER(Wages!$B1290),MOD(Wages!$B1290,100),IFERROR(VALUE(TRIM(MID(MID(Wages!$B1290,FIND("/",Wages!$B1290)+1,20),FIND("/",MID(Wages!$B1290,FIND("/",Wages!$B1290)+1,20))+1,20))),"")))</f>
        <v/>
      </c>
      <c r="F1287">
        <f>IF($A1287="","",IF(OR($C1287="",$D1287="",$E1287="",$C1287&lt;1300,$C1287&gt;1500,$D1287&lt;1,$D1287&gt;12,$E1287&lt;1,$E1287&gt;31),"نامعتبر",RIGHT("0000"&amp;$C1287,4)&amp;"/"&amp;RIGHT("00"&amp;$D1287,2)&amp;"/"&amp;RIGHT("00"&amp;$E1287,2)))</f>
        <v/>
      </c>
      <c r="G1287">
        <f>IF(OR($A1287="",$F1287="",$F1287="نامعتبر"),"",LEFT($F1287,4)&amp;MID($F1287,6,2)&amp;RIGHT($F1287,2)&amp;"0000"&amp;"|"&amp;"1"&amp;RIGHT("00000"&amp;1282,5))</f>
        <v/>
      </c>
      <c r="H1287">
        <f>IF(OR($B1287&lt;&gt;1,$G1287=""),"",COUNTIFS(LdAParty,$A1287,LdAType,1,LdAKey,"&lt;"&amp;$G1287)+COUNTIFS(LdBMember,$A1287,LdBKey,"&lt;"&amp;$G1287)+COUNTIFS(LdCParty,$A1287,LdCKey,"&lt;"&amp;$G1287)+1)</f>
        <v/>
      </c>
      <c r="I1287">
        <f>IF($H1287="","",$A1287&amp;"|"&amp;RIGHT("000000"&amp;$H1287,6))</f>
        <v/>
      </c>
      <c r="J1287">
        <f>IF(OR($B1287&lt;&gt;2,$G1287=""),"",COUNTIFS(LdAParty,$A1287,LdAType,2,LdAKey,"&lt;"&amp;$G1287)+1)</f>
        <v/>
      </c>
      <c r="K1287">
        <f>IF($J1287="","",$A1287&amp;"|"&amp;RIGHT("000000"&amp;$J1287,6))</f>
        <v/>
      </c>
      <c r="L1287">
        <f>IF($A1287="","",IF(Wages!$G1290="",0,Wages!$G1290))</f>
        <v/>
      </c>
      <c r="M1287">
        <f>IF($A1287="","",Wages!$J1290)</f>
        <v/>
      </c>
      <c r="N1287">
        <f>IF($A1287="","",Wages!$D1290)</f>
        <v/>
      </c>
      <c r="P1287">
        <f>IF(OR(Shares!$B1290="",Shares!$C1290=""),"",Shares!$C1290)</f>
        <v/>
      </c>
      <c r="Q1287">
        <f>IF($P1287="","",Shares!$B1290)</f>
        <v/>
      </c>
      <c r="R1287">
        <f>IF($P1287="","",IFERROR(INDEX(WageParty,MATCH($Q1287,WageIds,0)),""))</f>
        <v/>
      </c>
      <c r="S1287">
        <f>IF($P1287="","",IFERROR(INDEX($F$6:$F$2005,MATCH($Q1287,WageIds,0)),""))</f>
        <v/>
      </c>
      <c r="T1287">
        <f>IF(OR($P1287="",$S1287="",$S1287="نامعتبر"),"",LEFT($S1287,4)&amp;MID($S1287,6,2)&amp;RIGHT($S1287,2)&amp;"0000"&amp;"|"&amp;"2"&amp;RIGHT("00000"&amp;1282,5))</f>
        <v/>
      </c>
      <c r="U1287">
        <f>IF($T1287="","",COUNTIFS(LdAParty,$P1287,LdAType,1,LdAKey,"&lt;"&amp;$T1287)+COUNTIFS(LdBMember,$P1287,LdBKey,"&lt;"&amp;$T1287)+COUNTIFS(LdCParty,$P1287,LdCKey,"&lt;"&amp;$T1287)+1)</f>
        <v/>
      </c>
      <c r="V1287">
        <f>IF($U1287="","",$P1287&amp;"|"&amp;RIGHT("000000"&amp;$U1287,6))</f>
        <v/>
      </c>
      <c r="W1287">
        <f>IF($T1287="","",COUNTIFS(LdBGroup,$R1287,LdBKey,"&lt;"&amp;$T1287)+1)</f>
        <v/>
      </c>
      <c r="X1287">
        <f>IF($W1287="","",$R1287&amp;"|"&amp;RIGHT("000000"&amp;$W1287,6))</f>
        <v/>
      </c>
      <c r="Y1287">
        <f>IF($P1287="","",IF(Shares!$E1290="",0,Shares!$E1290))</f>
        <v/>
      </c>
      <c r="Z1287">
        <f>IF($P1287="","",Shares!$H1290)</f>
        <v/>
      </c>
      <c r="AE1287">
        <f>IF(OR(Sync!$S1287="",Sync!$P1287=""),"",Sync!$S1287)</f>
        <v/>
      </c>
      <c r="AF1287">
        <f>IF($AE1287="","",IF(ISNUMBER(Sync!$P1287),IF(AND(Sync!$P1287&gt;=10000101,Sync!$P1287&lt;=99991231),INT(Sync!$P1287/10000),""),IFERROR(VALUE(TRIM(LEFT(Sync!$P1287,FIND("/",Sync!$P1287)-1))),"")))</f>
        <v/>
      </c>
      <c r="AG1287">
        <f>IF(OR($AE1287="",$AF1287=""),"",IF(ISNUMBER(Sync!$P1287),INT(MOD(Sync!$P1287,10000)/100),IFERROR(VALUE(TRIM(LEFT(MID(Sync!$P1287,FIND("/",Sync!$P1287)+1,20),FIND("/",MID(Sync!$P1287,FIND("/",Sync!$P1287)+1,20))-1))),"")))</f>
        <v/>
      </c>
      <c r="AH1287">
        <f>IF(OR($AE1287="",$AF1287=""),"",IF(ISNUMBER(Sync!$P1287),MOD(Sync!$P1287,100),IFERROR(VALUE(TRIM(MID(MID(Sync!$P1287,FIND("/",Sync!$P1287)+1,20),FIND("/",MID(Sync!$P1287,FIND("/",Sync!$P1287)+1,20))+1,20))),"")))</f>
        <v/>
      </c>
      <c r="AI1287">
        <f>IF($AE1287="","",IF(OR($AF1287="",$AG1287="",$AH1287="",$AF1287&lt;1300,$AF1287&gt;1500,$AG1287&lt;1,$AG1287&gt;12,$AH1287&lt;1,$AH1287&gt;31),"نامعتبر",RIGHT("0000"&amp;$AF1287,4)&amp;"/"&amp;RIGHT("00"&amp;$AG1287,2)&amp;"/"&amp;RIGHT("00"&amp;$AH1287,2)))</f>
        <v/>
      </c>
      <c r="AJ1287">
        <f>IF($AE1287="","",IF(Sync!$Q1287="","0000",IF(AND(ISNUMBER(Sync!$Q1287),Sync!$Q1287&gt;=0,Sync!$Q1287&lt;1),RIGHT("00"&amp;HOUR(Sync!$Q1287),2)&amp;RIGHT("00"&amp;MINUTE(Sync!$Q1287),2),IFERROR(RIGHT("00"&amp;VALUE(LEFT(Sync!$Q1287,FIND(":",Sync!$Q1287)-1)),2)&amp;RIGHT("00"&amp;VALUE(MID(Sync!$Q1287,FIND(":",Sync!$Q1287)+1,2)),2),"0000"))))</f>
        <v/>
      </c>
      <c r="AK1287">
        <f>IF(OR($AE1287="",$AI1287="",$AI1287="نامعتبر"),"",LEFT($AI1287,4)&amp;MID($AI1287,6,2)&amp;RIGHT($AI1287,2)&amp;$AJ1287&amp;"|"&amp;"3"&amp;RIGHT("00000"&amp;1282,5))</f>
        <v/>
      </c>
      <c r="AL1287">
        <f>IF($AK1287="","",COUNTIFS(LdAParty,$AE1287,LdAType,1,LdAKey,"&lt;"&amp;$AK1287)+COUNTIFS(LdBMember,$AE1287,LdBKey,"&lt;"&amp;$AK1287)+COUNTIFS(LdCParty,$AE1287,LdCKey,"&lt;"&amp;$AK1287)+1)</f>
        <v/>
      </c>
      <c r="AM1287">
        <f>IF($AL1287="","",$AE1287&amp;"|"&amp;RIGHT("000000"&amp;$AL1287,6))</f>
        <v/>
      </c>
      <c r="AN1287">
        <f>IF($AE1287="","",IF(Sync!$W1287="",0,Sync!$W1287))</f>
        <v/>
      </c>
      <c r="AO1287">
        <f>IF($AE1287="","",IF(Sync!$X1287="",0,Sync!$X1287))</f>
        <v/>
      </c>
      <c r="AP1287">
        <f>IF($AE1287="","",Sync!$R1287)</f>
        <v/>
      </c>
      <c r="AQ1287">
        <f>IF($AE1287="","",Sync!$Y1287)</f>
        <v/>
      </c>
    </row>
    <row r="1288">
      <c r="A1288">
        <f>IF(OR(Wages!$B1291="",Wages!$E1291=""),"",Wages!$E1291)</f>
        <v/>
      </c>
      <c r="B1288">
        <f>IF($A1288="","",IF(Wages!$C1291="دستمزد گروهی",2,1))</f>
        <v/>
      </c>
      <c r="C1288">
        <f>IF($A1288="","",IF(ISNUMBER(Wages!$B1291),IF(AND(Wages!$B1291&gt;=10000101,Wages!$B1291&lt;=99991231),INT(Wages!$B1291/10000),""),IFERROR(VALUE(TRIM(LEFT(Wages!$B1291,FIND("/",Wages!$B1291)-1))),"")))</f>
        <v/>
      </c>
      <c r="D1288">
        <f>IF(OR($A1288="",$C1288=""),"",IF(ISNUMBER(Wages!$B1291),INT(MOD(Wages!$B1291,10000)/100),IFERROR(VALUE(TRIM(LEFT(MID(Wages!$B1291,FIND("/",Wages!$B1291)+1,20),FIND("/",MID(Wages!$B1291,FIND("/",Wages!$B1291)+1,20))-1))),"")))</f>
        <v/>
      </c>
      <c r="E1288">
        <f>IF(OR($A1288="",$C1288=""),"",IF(ISNUMBER(Wages!$B1291),MOD(Wages!$B1291,100),IFERROR(VALUE(TRIM(MID(MID(Wages!$B1291,FIND("/",Wages!$B1291)+1,20),FIND("/",MID(Wages!$B1291,FIND("/",Wages!$B1291)+1,20))+1,20))),"")))</f>
        <v/>
      </c>
      <c r="F1288">
        <f>IF($A1288="","",IF(OR($C1288="",$D1288="",$E1288="",$C1288&lt;1300,$C1288&gt;1500,$D1288&lt;1,$D1288&gt;12,$E1288&lt;1,$E1288&gt;31),"نامعتبر",RIGHT("0000"&amp;$C1288,4)&amp;"/"&amp;RIGHT("00"&amp;$D1288,2)&amp;"/"&amp;RIGHT("00"&amp;$E1288,2)))</f>
        <v/>
      </c>
      <c r="G1288">
        <f>IF(OR($A1288="",$F1288="",$F1288="نامعتبر"),"",LEFT($F1288,4)&amp;MID($F1288,6,2)&amp;RIGHT($F1288,2)&amp;"0000"&amp;"|"&amp;"1"&amp;RIGHT("00000"&amp;1283,5))</f>
        <v/>
      </c>
      <c r="H1288">
        <f>IF(OR($B1288&lt;&gt;1,$G1288=""),"",COUNTIFS(LdAParty,$A1288,LdAType,1,LdAKey,"&lt;"&amp;$G1288)+COUNTIFS(LdBMember,$A1288,LdBKey,"&lt;"&amp;$G1288)+COUNTIFS(LdCParty,$A1288,LdCKey,"&lt;"&amp;$G1288)+1)</f>
        <v/>
      </c>
      <c r="I1288">
        <f>IF($H1288="","",$A1288&amp;"|"&amp;RIGHT("000000"&amp;$H1288,6))</f>
        <v/>
      </c>
      <c r="J1288">
        <f>IF(OR($B1288&lt;&gt;2,$G1288=""),"",COUNTIFS(LdAParty,$A1288,LdAType,2,LdAKey,"&lt;"&amp;$G1288)+1)</f>
        <v/>
      </c>
      <c r="K1288">
        <f>IF($J1288="","",$A1288&amp;"|"&amp;RIGHT("000000"&amp;$J1288,6))</f>
        <v/>
      </c>
      <c r="L1288">
        <f>IF($A1288="","",IF(Wages!$G1291="",0,Wages!$G1291))</f>
        <v/>
      </c>
      <c r="M1288">
        <f>IF($A1288="","",Wages!$J1291)</f>
        <v/>
      </c>
      <c r="N1288">
        <f>IF($A1288="","",Wages!$D1291)</f>
        <v/>
      </c>
      <c r="P1288">
        <f>IF(OR(Shares!$B1291="",Shares!$C1291=""),"",Shares!$C1291)</f>
        <v/>
      </c>
      <c r="Q1288">
        <f>IF($P1288="","",Shares!$B1291)</f>
        <v/>
      </c>
      <c r="R1288">
        <f>IF($P1288="","",IFERROR(INDEX(WageParty,MATCH($Q1288,WageIds,0)),""))</f>
        <v/>
      </c>
      <c r="S1288">
        <f>IF($P1288="","",IFERROR(INDEX($F$6:$F$2005,MATCH($Q1288,WageIds,0)),""))</f>
        <v/>
      </c>
      <c r="T1288">
        <f>IF(OR($P1288="",$S1288="",$S1288="نامعتبر"),"",LEFT($S1288,4)&amp;MID($S1288,6,2)&amp;RIGHT($S1288,2)&amp;"0000"&amp;"|"&amp;"2"&amp;RIGHT("00000"&amp;1283,5))</f>
        <v/>
      </c>
      <c r="U1288">
        <f>IF($T1288="","",COUNTIFS(LdAParty,$P1288,LdAType,1,LdAKey,"&lt;"&amp;$T1288)+COUNTIFS(LdBMember,$P1288,LdBKey,"&lt;"&amp;$T1288)+COUNTIFS(LdCParty,$P1288,LdCKey,"&lt;"&amp;$T1288)+1)</f>
        <v/>
      </c>
      <c r="V1288">
        <f>IF($U1288="","",$P1288&amp;"|"&amp;RIGHT("000000"&amp;$U1288,6))</f>
        <v/>
      </c>
      <c r="W1288">
        <f>IF($T1288="","",COUNTIFS(LdBGroup,$R1288,LdBKey,"&lt;"&amp;$T1288)+1)</f>
        <v/>
      </c>
      <c r="X1288">
        <f>IF($W1288="","",$R1288&amp;"|"&amp;RIGHT("000000"&amp;$W1288,6))</f>
        <v/>
      </c>
      <c r="Y1288">
        <f>IF($P1288="","",IF(Shares!$E1291="",0,Shares!$E1291))</f>
        <v/>
      </c>
      <c r="Z1288">
        <f>IF($P1288="","",Shares!$H1291)</f>
        <v/>
      </c>
      <c r="AE1288">
        <f>IF(OR(Sync!$S1288="",Sync!$P1288=""),"",Sync!$S1288)</f>
        <v/>
      </c>
      <c r="AF1288">
        <f>IF($AE1288="","",IF(ISNUMBER(Sync!$P1288),IF(AND(Sync!$P1288&gt;=10000101,Sync!$P1288&lt;=99991231),INT(Sync!$P1288/10000),""),IFERROR(VALUE(TRIM(LEFT(Sync!$P1288,FIND("/",Sync!$P1288)-1))),"")))</f>
        <v/>
      </c>
      <c r="AG1288">
        <f>IF(OR($AE1288="",$AF1288=""),"",IF(ISNUMBER(Sync!$P1288),INT(MOD(Sync!$P1288,10000)/100),IFERROR(VALUE(TRIM(LEFT(MID(Sync!$P1288,FIND("/",Sync!$P1288)+1,20),FIND("/",MID(Sync!$P1288,FIND("/",Sync!$P1288)+1,20))-1))),"")))</f>
        <v/>
      </c>
      <c r="AH1288">
        <f>IF(OR($AE1288="",$AF1288=""),"",IF(ISNUMBER(Sync!$P1288),MOD(Sync!$P1288,100),IFERROR(VALUE(TRIM(MID(MID(Sync!$P1288,FIND("/",Sync!$P1288)+1,20),FIND("/",MID(Sync!$P1288,FIND("/",Sync!$P1288)+1,20))+1,20))),"")))</f>
        <v/>
      </c>
      <c r="AI1288">
        <f>IF($AE1288="","",IF(OR($AF1288="",$AG1288="",$AH1288="",$AF1288&lt;1300,$AF1288&gt;1500,$AG1288&lt;1,$AG1288&gt;12,$AH1288&lt;1,$AH1288&gt;31),"نامعتبر",RIGHT("0000"&amp;$AF1288,4)&amp;"/"&amp;RIGHT("00"&amp;$AG1288,2)&amp;"/"&amp;RIGHT("00"&amp;$AH1288,2)))</f>
        <v/>
      </c>
      <c r="AJ1288">
        <f>IF($AE1288="","",IF(Sync!$Q1288="","0000",IF(AND(ISNUMBER(Sync!$Q1288),Sync!$Q1288&gt;=0,Sync!$Q1288&lt;1),RIGHT("00"&amp;HOUR(Sync!$Q1288),2)&amp;RIGHT("00"&amp;MINUTE(Sync!$Q1288),2),IFERROR(RIGHT("00"&amp;VALUE(LEFT(Sync!$Q1288,FIND(":",Sync!$Q1288)-1)),2)&amp;RIGHT("00"&amp;VALUE(MID(Sync!$Q1288,FIND(":",Sync!$Q1288)+1,2)),2),"0000"))))</f>
        <v/>
      </c>
      <c r="AK1288">
        <f>IF(OR($AE1288="",$AI1288="",$AI1288="نامعتبر"),"",LEFT($AI1288,4)&amp;MID($AI1288,6,2)&amp;RIGHT($AI1288,2)&amp;$AJ1288&amp;"|"&amp;"3"&amp;RIGHT("00000"&amp;1283,5))</f>
        <v/>
      </c>
      <c r="AL1288">
        <f>IF($AK1288="","",COUNTIFS(LdAParty,$AE1288,LdAType,1,LdAKey,"&lt;"&amp;$AK1288)+COUNTIFS(LdBMember,$AE1288,LdBKey,"&lt;"&amp;$AK1288)+COUNTIFS(LdCParty,$AE1288,LdCKey,"&lt;"&amp;$AK1288)+1)</f>
        <v/>
      </c>
      <c r="AM1288">
        <f>IF($AL1288="","",$AE1288&amp;"|"&amp;RIGHT("000000"&amp;$AL1288,6))</f>
        <v/>
      </c>
      <c r="AN1288">
        <f>IF($AE1288="","",IF(Sync!$W1288="",0,Sync!$W1288))</f>
        <v/>
      </c>
      <c r="AO1288">
        <f>IF($AE1288="","",IF(Sync!$X1288="",0,Sync!$X1288))</f>
        <v/>
      </c>
      <c r="AP1288">
        <f>IF($AE1288="","",Sync!$R1288)</f>
        <v/>
      </c>
      <c r="AQ1288">
        <f>IF($AE1288="","",Sync!$Y1288)</f>
        <v/>
      </c>
    </row>
    <row r="1289">
      <c r="A1289">
        <f>IF(OR(Wages!$B1292="",Wages!$E1292=""),"",Wages!$E1292)</f>
        <v/>
      </c>
      <c r="B1289">
        <f>IF($A1289="","",IF(Wages!$C1292="دستمزد گروهی",2,1))</f>
        <v/>
      </c>
      <c r="C1289">
        <f>IF($A1289="","",IF(ISNUMBER(Wages!$B1292),IF(AND(Wages!$B1292&gt;=10000101,Wages!$B1292&lt;=99991231),INT(Wages!$B1292/10000),""),IFERROR(VALUE(TRIM(LEFT(Wages!$B1292,FIND("/",Wages!$B1292)-1))),"")))</f>
        <v/>
      </c>
      <c r="D1289">
        <f>IF(OR($A1289="",$C1289=""),"",IF(ISNUMBER(Wages!$B1292),INT(MOD(Wages!$B1292,10000)/100),IFERROR(VALUE(TRIM(LEFT(MID(Wages!$B1292,FIND("/",Wages!$B1292)+1,20),FIND("/",MID(Wages!$B1292,FIND("/",Wages!$B1292)+1,20))-1))),"")))</f>
        <v/>
      </c>
      <c r="E1289">
        <f>IF(OR($A1289="",$C1289=""),"",IF(ISNUMBER(Wages!$B1292),MOD(Wages!$B1292,100),IFERROR(VALUE(TRIM(MID(MID(Wages!$B1292,FIND("/",Wages!$B1292)+1,20),FIND("/",MID(Wages!$B1292,FIND("/",Wages!$B1292)+1,20))+1,20))),"")))</f>
        <v/>
      </c>
      <c r="F1289">
        <f>IF($A1289="","",IF(OR($C1289="",$D1289="",$E1289="",$C1289&lt;1300,$C1289&gt;1500,$D1289&lt;1,$D1289&gt;12,$E1289&lt;1,$E1289&gt;31),"نامعتبر",RIGHT("0000"&amp;$C1289,4)&amp;"/"&amp;RIGHT("00"&amp;$D1289,2)&amp;"/"&amp;RIGHT("00"&amp;$E1289,2)))</f>
        <v/>
      </c>
      <c r="G1289">
        <f>IF(OR($A1289="",$F1289="",$F1289="نامعتبر"),"",LEFT($F1289,4)&amp;MID($F1289,6,2)&amp;RIGHT($F1289,2)&amp;"0000"&amp;"|"&amp;"1"&amp;RIGHT("00000"&amp;1284,5))</f>
        <v/>
      </c>
      <c r="H1289">
        <f>IF(OR($B1289&lt;&gt;1,$G1289=""),"",COUNTIFS(LdAParty,$A1289,LdAType,1,LdAKey,"&lt;"&amp;$G1289)+COUNTIFS(LdBMember,$A1289,LdBKey,"&lt;"&amp;$G1289)+COUNTIFS(LdCParty,$A1289,LdCKey,"&lt;"&amp;$G1289)+1)</f>
        <v/>
      </c>
      <c r="I1289">
        <f>IF($H1289="","",$A1289&amp;"|"&amp;RIGHT("000000"&amp;$H1289,6))</f>
        <v/>
      </c>
      <c r="J1289">
        <f>IF(OR($B1289&lt;&gt;2,$G1289=""),"",COUNTIFS(LdAParty,$A1289,LdAType,2,LdAKey,"&lt;"&amp;$G1289)+1)</f>
        <v/>
      </c>
      <c r="K1289">
        <f>IF($J1289="","",$A1289&amp;"|"&amp;RIGHT("000000"&amp;$J1289,6))</f>
        <v/>
      </c>
      <c r="L1289">
        <f>IF($A1289="","",IF(Wages!$G1292="",0,Wages!$G1292))</f>
        <v/>
      </c>
      <c r="M1289">
        <f>IF($A1289="","",Wages!$J1292)</f>
        <v/>
      </c>
      <c r="N1289">
        <f>IF($A1289="","",Wages!$D1292)</f>
        <v/>
      </c>
      <c r="P1289">
        <f>IF(OR(Shares!$B1292="",Shares!$C1292=""),"",Shares!$C1292)</f>
        <v/>
      </c>
      <c r="Q1289">
        <f>IF($P1289="","",Shares!$B1292)</f>
        <v/>
      </c>
      <c r="R1289">
        <f>IF($P1289="","",IFERROR(INDEX(WageParty,MATCH($Q1289,WageIds,0)),""))</f>
        <v/>
      </c>
      <c r="S1289">
        <f>IF($P1289="","",IFERROR(INDEX($F$6:$F$2005,MATCH($Q1289,WageIds,0)),""))</f>
        <v/>
      </c>
      <c r="T1289">
        <f>IF(OR($P1289="",$S1289="",$S1289="نامعتبر"),"",LEFT($S1289,4)&amp;MID($S1289,6,2)&amp;RIGHT($S1289,2)&amp;"0000"&amp;"|"&amp;"2"&amp;RIGHT("00000"&amp;1284,5))</f>
        <v/>
      </c>
      <c r="U1289">
        <f>IF($T1289="","",COUNTIFS(LdAParty,$P1289,LdAType,1,LdAKey,"&lt;"&amp;$T1289)+COUNTIFS(LdBMember,$P1289,LdBKey,"&lt;"&amp;$T1289)+COUNTIFS(LdCParty,$P1289,LdCKey,"&lt;"&amp;$T1289)+1)</f>
        <v/>
      </c>
      <c r="V1289">
        <f>IF($U1289="","",$P1289&amp;"|"&amp;RIGHT("000000"&amp;$U1289,6))</f>
        <v/>
      </c>
      <c r="W1289">
        <f>IF($T1289="","",COUNTIFS(LdBGroup,$R1289,LdBKey,"&lt;"&amp;$T1289)+1)</f>
        <v/>
      </c>
      <c r="X1289">
        <f>IF($W1289="","",$R1289&amp;"|"&amp;RIGHT("000000"&amp;$W1289,6))</f>
        <v/>
      </c>
      <c r="Y1289">
        <f>IF($P1289="","",IF(Shares!$E1292="",0,Shares!$E1292))</f>
        <v/>
      </c>
      <c r="Z1289">
        <f>IF($P1289="","",Shares!$H1292)</f>
        <v/>
      </c>
      <c r="AE1289">
        <f>IF(OR(Sync!$S1289="",Sync!$P1289=""),"",Sync!$S1289)</f>
        <v/>
      </c>
      <c r="AF1289">
        <f>IF($AE1289="","",IF(ISNUMBER(Sync!$P1289),IF(AND(Sync!$P1289&gt;=10000101,Sync!$P1289&lt;=99991231),INT(Sync!$P1289/10000),""),IFERROR(VALUE(TRIM(LEFT(Sync!$P1289,FIND("/",Sync!$P1289)-1))),"")))</f>
        <v/>
      </c>
      <c r="AG1289">
        <f>IF(OR($AE1289="",$AF1289=""),"",IF(ISNUMBER(Sync!$P1289),INT(MOD(Sync!$P1289,10000)/100),IFERROR(VALUE(TRIM(LEFT(MID(Sync!$P1289,FIND("/",Sync!$P1289)+1,20),FIND("/",MID(Sync!$P1289,FIND("/",Sync!$P1289)+1,20))-1))),"")))</f>
        <v/>
      </c>
      <c r="AH1289">
        <f>IF(OR($AE1289="",$AF1289=""),"",IF(ISNUMBER(Sync!$P1289),MOD(Sync!$P1289,100),IFERROR(VALUE(TRIM(MID(MID(Sync!$P1289,FIND("/",Sync!$P1289)+1,20),FIND("/",MID(Sync!$P1289,FIND("/",Sync!$P1289)+1,20))+1,20))),"")))</f>
        <v/>
      </c>
      <c r="AI1289">
        <f>IF($AE1289="","",IF(OR($AF1289="",$AG1289="",$AH1289="",$AF1289&lt;1300,$AF1289&gt;1500,$AG1289&lt;1,$AG1289&gt;12,$AH1289&lt;1,$AH1289&gt;31),"نامعتبر",RIGHT("0000"&amp;$AF1289,4)&amp;"/"&amp;RIGHT("00"&amp;$AG1289,2)&amp;"/"&amp;RIGHT("00"&amp;$AH1289,2)))</f>
        <v/>
      </c>
      <c r="AJ1289">
        <f>IF($AE1289="","",IF(Sync!$Q1289="","0000",IF(AND(ISNUMBER(Sync!$Q1289),Sync!$Q1289&gt;=0,Sync!$Q1289&lt;1),RIGHT("00"&amp;HOUR(Sync!$Q1289),2)&amp;RIGHT("00"&amp;MINUTE(Sync!$Q1289),2),IFERROR(RIGHT("00"&amp;VALUE(LEFT(Sync!$Q1289,FIND(":",Sync!$Q1289)-1)),2)&amp;RIGHT("00"&amp;VALUE(MID(Sync!$Q1289,FIND(":",Sync!$Q1289)+1,2)),2),"0000"))))</f>
        <v/>
      </c>
      <c r="AK1289">
        <f>IF(OR($AE1289="",$AI1289="",$AI1289="نامعتبر"),"",LEFT($AI1289,4)&amp;MID($AI1289,6,2)&amp;RIGHT($AI1289,2)&amp;$AJ1289&amp;"|"&amp;"3"&amp;RIGHT("00000"&amp;1284,5))</f>
        <v/>
      </c>
      <c r="AL1289">
        <f>IF($AK1289="","",COUNTIFS(LdAParty,$AE1289,LdAType,1,LdAKey,"&lt;"&amp;$AK1289)+COUNTIFS(LdBMember,$AE1289,LdBKey,"&lt;"&amp;$AK1289)+COUNTIFS(LdCParty,$AE1289,LdCKey,"&lt;"&amp;$AK1289)+1)</f>
        <v/>
      </c>
      <c r="AM1289">
        <f>IF($AL1289="","",$AE1289&amp;"|"&amp;RIGHT("000000"&amp;$AL1289,6))</f>
        <v/>
      </c>
      <c r="AN1289">
        <f>IF($AE1289="","",IF(Sync!$W1289="",0,Sync!$W1289))</f>
        <v/>
      </c>
      <c r="AO1289">
        <f>IF($AE1289="","",IF(Sync!$X1289="",0,Sync!$X1289))</f>
        <v/>
      </c>
      <c r="AP1289">
        <f>IF($AE1289="","",Sync!$R1289)</f>
        <v/>
      </c>
      <c r="AQ1289">
        <f>IF($AE1289="","",Sync!$Y1289)</f>
        <v/>
      </c>
    </row>
    <row r="1290">
      <c r="A1290">
        <f>IF(OR(Wages!$B1293="",Wages!$E1293=""),"",Wages!$E1293)</f>
        <v/>
      </c>
      <c r="B1290">
        <f>IF($A1290="","",IF(Wages!$C1293="دستمزد گروهی",2,1))</f>
        <v/>
      </c>
      <c r="C1290">
        <f>IF($A1290="","",IF(ISNUMBER(Wages!$B1293),IF(AND(Wages!$B1293&gt;=10000101,Wages!$B1293&lt;=99991231),INT(Wages!$B1293/10000),""),IFERROR(VALUE(TRIM(LEFT(Wages!$B1293,FIND("/",Wages!$B1293)-1))),"")))</f>
        <v/>
      </c>
      <c r="D1290">
        <f>IF(OR($A1290="",$C1290=""),"",IF(ISNUMBER(Wages!$B1293),INT(MOD(Wages!$B1293,10000)/100),IFERROR(VALUE(TRIM(LEFT(MID(Wages!$B1293,FIND("/",Wages!$B1293)+1,20),FIND("/",MID(Wages!$B1293,FIND("/",Wages!$B1293)+1,20))-1))),"")))</f>
        <v/>
      </c>
      <c r="E1290">
        <f>IF(OR($A1290="",$C1290=""),"",IF(ISNUMBER(Wages!$B1293),MOD(Wages!$B1293,100),IFERROR(VALUE(TRIM(MID(MID(Wages!$B1293,FIND("/",Wages!$B1293)+1,20),FIND("/",MID(Wages!$B1293,FIND("/",Wages!$B1293)+1,20))+1,20))),"")))</f>
        <v/>
      </c>
      <c r="F1290">
        <f>IF($A1290="","",IF(OR($C1290="",$D1290="",$E1290="",$C1290&lt;1300,$C1290&gt;1500,$D1290&lt;1,$D1290&gt;12,$E1290&lt;1,$E1290&gt;31),"نامعتبر",RIGHT("0000"&amp;$C1290,4)&amp;"/"&amp;RIGHT("00"&amp;$D1290,2)&amp;"/"&amp;RIGHT("00"&amp;$E1290,2)))</f>
        <v/>
      </c>
      <c r="G1290">
        <f>IF(OR($A1290="",$F1290="",$F1290="نامعتبر"),"",LEFT($F1290,4)&amp;MID($F1290,6,2)&amp;RIGHT($F1290,2)&amp;"0000"&amp;"|"&amp;"1"&amp;RIGHT("00000"&amp;1285,5))</f>
        <v/>
      </c>
      <c r="H1290">
        <f>IF(OR($B1290&lt;&gt;1,$G1290=""),"",COUNTIFS(LdAParty,$A1290,LdAType,1,LdAKey,"&lt;"&amp;$G1290)+COUNTIFS(LdBMember,$A1290,LdBKey,"&lt;"&amp;$G1290)+COUNTIFS(LdCParty,$A1290,LdCKey,"&lt;"&amp;$G1290)+1)</f>
        <v/>
      </c>
      <c r="I1290">
        <f>IF($H1290="","",$A1290&amp;"|"&amp;RIGHT("000000"&amp;$H1290,6))</f>
        <v/>
      </c>
      <c r="J1290">
        <f>IF(OR($B1290&lt;&gt;2,$G1290=""),"",COUNTIFS(LdAParty,$A1290,LdAType,2,LdAKey,"&lt;"&amp;$G1290)+1)</f>
        <v/>
      </c>
      <c r="K1290">
        <f>IF($J1290="","",$A1290&amp;"|"&amp;RIGHT("000000"&amp;$J1290,6))</f>
        <v/>
      </c>
      <c r="L1290">
        <f>IF($A1290="","",IF(Wages!$G1293="",0,Wages!$G1293))</f>
        <v/>
      </c>
      <c r="M1290">
        <f>IF($A1290="","",Wages!$J1293)</f>
        <v/>
      </c>
      <c r="N1290">
        <f>IF($A1290="","",Wages!$D1293)</f>
        <v/>
      </c>
      <c r="P1290">
        <f>IF(OR(Shares!$B1293="",Shares!$C1293=""),"",Shares!$C1293)</f>
        <v/>
      </c>
      <c r="Q1290">
        <f>IF($P1290="","",Shares!$B1293)</f>
        <v/>
      </c>
      <c r="R1290">
        <f>IF($P1290="","",IFERROR(INDEX(WageParty,MATCH($Q1290,WageIds,0)),""))</f>
        <v/>
      </c>
      <c r="S1290">
        <f>IF($P1290="","",IFERROR(INDEX($F$6:$F$2005,MATCH($Q1290,WageIds,0)),""))</f>
        <v/>
      </c>
      <c r="T1290">
        <f>IF(OR($P1290="",$S1290="",$S1290="نامعتبر"),"",LEFT($S1290,4)&amp;MID($S1290,6,2)&amp;RIGHT($S1290,2)&amp;"0000"&amp;"|"&amp;"2"&amp;RIGHT("00000"&amp;1285,5))</f>
        <v/>
      </c>
      <c r="U1290">
        <f>IF($T1290="","",COUNTIFS(LdAParty,$P1290,LdAType,1,LdAKey,"&lt;"&amp;$T1290)+COUNTIFS(LdBMember,$P1290,LdBKey,"&lt;"&amp;$T1290)+COUNTIFS(LdCParty,$P1290,LdCKey,"&lt;"&amp;$T1290)+1)</f>
        <v/>
      </c>
      <c r="V1290">
        <f>IF($U1290="","",$P1290&amp;"|"&amp;RIGHT("000000"&amp;$U1290,6))</f>
        <v/>
      </c>
      <c r="W1290">
        <f>IF($T1290="","",COUNTIFS(LdBGroup,$R1290,LdBKey,"&lt;"&amp;$T1290)+1)</f>
        <v/>
      </c>
      <c r="X1290">
        <f>IF($W1290="","",$R1290&amp;"|"&amp;RIGHT("000000"&amp;$W1290,6))</f>
        <v/>
      </c>
      <c r="Y1290">
        <f>IF($P1290="","",IF(Shares!$E1293="",0,Shares!$E1293))</f>
        <v/>
      </c>
      <c r="Z1290">
        <f>IF($P1290="","",Shares!$H1293)</f>
        <v/>
      </c>
      <c r="AE1290">
        <f>IF(OR(Sync!$S1290="",Sync!$P1290=""),"",Sync!$S1290)</f>
        <v/>
      </c>
      <c r="AF1290">
        <f>IF($AE1290="","",IF(ISNUMBER(Sync!$P1290),IF(AND(Sync!$P1290&gt;=10000101,Sync!$P1290&lt;=99991231),INT(Sync!$P1290/10000),""),IFERROR(VALUE(TRIM(LEFT(Sync!$P1290,FIND("/",Sync!$P1290)-1))),"")))</f>
        <v/>
      </c>
      <c r="AG1290">
        <f>IF(OR($AE1290="",$AF1290=""),"",IF(ISNUMBER(Sync!$P1290),INT(MOD(Sync!$P1290,10000)/100),IFERROR(VALUE(TRIM(LEFT(MID(Sync!$P1290,FIND("/",Sync!$P1290)+1,20),FIND("/",MID(Sync!$P1290,FIND("/",Sync!$P1290)+1,20))-1))),"")))</f>
        <v/>
      </c>
      <c r="AH1290">
        <f>IF(OR($AE1290="",$AF1290=""),"",IF(ISNUMBER(Sync!$P1290),MOD(Sync!$P1290,100),IFERROR(VALUE(TRIM(MID(MID(Sync!$P1290,FIND("/",Sync!$P1290)+1,20),FIND("/",MID(Sync!$P1290,FIND("/",Sync!$P1290)+1,20))+1,20))),"")))</f>
        <v/>
      </c>
      <c r="AI1290">
        <f>IF($AE1290="","",IF(OR($AF1290="",$AG1290="",$AH1290="",$AF1290&lt;1300,$AF1290&gt;1500,$AG1290&lt;1,$AG1290&gt;12,$AH1290&lt;1,$AH1290&gt;31),"نامعتبر",RIGHT("0000"&amp;$AF1290,4)&amp;"/"&amp;RIGHT("00"&amp;$AG1290,2)&amp;"/"&amp;RIGHT("00"&amp;$AH1290,2)))</f>
        <v/>
      </c>
      <c r="AJ1290">
        <f>IF($AE1290="","",IF(Sync!$Q1290="","0000",IF(AND(ISNUMBER(Sync!$Q1290),Sync!$Q1290&gt;=0,Sync!$Q1290&lt;1),RIGHT("00"&amp;HOUR(Sync!$Q1290),2)&amp;RIGHT("00"&amp;MINUTE(Sync!$Q1290),2),IFERROR(RIGHT("00"&amp;VALUE(LEFT(Sync!$Q1290,FIND(":",Sync!$Q1290)-1)),2)&amp;RIGHT("00"&amp;VALUE(MID(Sync!$Q1290,FIND(":",Sync!$Q1290)+1,2)),2),"0000"))))</f>
        <v/>
      </c>
      <c r="AK1290">
        <f>IF(OR($AE1290="",$AI1290="",$AI1290="نامعتبر"),"",LEFT($AI1290,4)&amp;MID($AI1290,6,2)&amp;RIGHT($AI1290,2)&amp;$AJ1290&amp;"|"&amp;"3"&amp;RIGHT("00000"&amp;1285,5))</f>
        <v/>
      </c>
      <c r="AL1290">
        <f>IF($AK1290="","",COUNTIFS(LdAParty,$AE1290,LdAType,1,LdAKey,"&lt;"&amp;$AK1290)+COUNTIFS(LdBMember,$AE1290,LdBKey,"&lt;"&amp;$AK1290)+COUNTIFS(LdCParty,$AE1290,LdCKey,"&lt;"&amp;$AK1290)+1)</f>
        <v/>
      </c>
      <c r="AM1290">
        <f>IF($AL1290="","",$AE1290&amp;"|"&amp;RIGHT("000000"&amp;$AL1290,6))</f>
        <v/>
      </c>
      <c r="AN1290">
        <f>IF($AE1290="","",IF(Sync!$W1290="",0,Sync!$W1290))</f>
        <v/>
      </c>
      <c r="AO1290">
        <f>IF($AE1290="","",IF(Sync!$X1290="",0,Sync!$X1290))</f>
        <v/>
      </c>
      <c r="AP1290">
        <f>IF($AE1290="","",Sync!$R1290)</f>
        <v/>
      </c>
      <c r="AQ1290">
        <f>IF($AE1290="","",Sync!$Y1290)</f>
        <v/>
      </c>
    </row>
    <row r="1291">
      <c r="A1291">
        <f>IF(OR(Wages!$B1294="",Wages!$E1294=""),"",Wages!$E1294)</f>
        <v/>
      </c>
      <c r="B1291">
        <f>IF($A1291="","",IF(Wages!$C1294="دستمزد گروهی",2,1))</f>
        <v/>
      </c>
      <c r="C1291">
        <f>IF($A1291="","",IF(ISNUMBER(Wages!$B1294),IF(AND(Wages!$B1294&gt;=10000101,Wages!$B1294&lt;=99991231),INT(Wages!$B1294/10000),""),IFERROR(VALUE(TRIM(LEFT(Wages!$B1294,FIND("/",Wages!$B1294)-1))),"")))</f>
        <v/>
      </c>
      <c r="D1291">
        <f>IF(OR($A1291="",$C1291=""),"",IF(ISNUMBER(Wages!$B1294),INT(MOD(Wages!$B1294,10000)/100),IFERROR(VALUE(TRIM(LEFT(MID(Wages!$B1294,FIND("/",Wages!$B1294)+1,20),FIND("/",MID(Wages!$B1294,FIND("/",Wages!$B1294)+1,20))-1))),"")))</f>
        <v/>
      </c>
      <c r="E1291">
        <f>IF(OR($A1291="",$C1291=""),"",IF(ISNUMBER(Wages!$B1294),MOD(Wages!$B1294,100),IFERROR(VALUE(TRIM(MID(MID(Wages!$B1294,FIND("/",Wages!$B1294)+1,20),FIND("/",MID(Wages!$B1294,FIND("/",Wages!$B1294)+1,20))+1,20))),"")))</f>
        <v/>
      </c>
      <c r="F1291">
        <f>IF($A1291="","",IF(OR($C1291="",$D1291="",$E1291="",$C1291&lt;1300,$C1291&gt;1500,$D1291&lt;1,$D1291&gt;12,$E1291&lt;1,$E1291&gt;31),"نامعتبر",RIGHT("0000"&amp;$C1291,4)&amp;"/"&amp;RIGHT("00"&amp;$D1291,2)&amp;"/"&amp;RIGHT("00"&amp;$E1291,2)))</f>
        <v/>
      </c>
      <c r="G1291">
        <f>IF(OR($A1291="",$F1291="",$F1291="نامعتبر"),"",LEFT($F1291,4)&amp;MID($F1291,6,2)&amp;RIGHT($F1291,2)&amp;"0000"&amp;"|"&amp;"1"&amp;RIGHT("00000"&amp;1286,5))</f>
        <v/>
      </c>
      <c r="H1291">
        <f>IF(OR($B1291&lt;&gt;1,$G1291=""),"",COUNTIFS(LdAParty,$A1291,LdAType,1,LdAKey,"&lt;"&amp;$G1291)+COUNTIFS(LdBMember,$A1291,LdBKey,"&lt;"&amp;$G1291)+COUNTIFS(LdCParty,$A1291,LdCKey,"&lt;"&amp;$G1291)+1)</f>
        <v/>
      </c>
      <c r="I1291">
        <f>IF($H1291="","",$A1291&amp;"|"&amp;RIGHT("000000"&amp;$H1291,6))</f>
        <v/>
      </c>
      <c r="J1291">
        <f>IF(OR($B1291&lt;&gt;2,$G1291=""),"",COUNTIFS(LdAParty,$A1291,LdAType,2,LdAKey,"&lt;"&amp;$G1291)+1)</f>
        <v/>
      </c>
      <c r="K1291">
        <f>IF($J1291="","",$A1291&amp;"|"&amp;RIGHT("000000"&amp;$J1291,6))</f>
        <v/>
      </c>
      <c r="L1291">
        <f>IF($A1291="","",IF(Wages!$G1294="",0,Wages!$G1294))</f>
        <v/>
      </c>
      <c r="M1291">
        <f>IF($A1291="","",Wages!$J1294)</f>
        <v/>
      </c>
      <c r="N1291">
        <f>IF($A1291="","",Wages!$D1294)</f>
        <v/>
      </c>
      <c r="P1291">
        <f>IF(OR(Shares!$B1294="",Shares!$C1294=""),"",Shares!$C1294)</f>
        <v/>
      </c>
      <c r="Q1291">
        <f>IF($P1291="","",Shares!$B1294)</f>
        <v/>
      </c>
      <c r="R1291">
        <f>IF($P1291="","",IFERROR(INDEX(WageParty,MATCH($Q1291,WageIds,0)),""))</f>
        <v/>
      </c>
      <c r="S1291">
        <f>IF($P1291="","",IFERROR(INDEX($F$6:$F$2005,MATCH($Q1291,WageIds,0)),""))</f>
        <v/>
      </c>
      <c r="T1291">
        <f>IF(OR($P1291="",$S1291="",$S1291="نامعتبر"),"",LEFT($S1291,4)&amp;MID($S1291,6,2)&amp;RIGHT($S1291,2)&amp;"0000"&amp;"|"&amp;"2"&amp;RIGHT("00000"&amp;1286,5))</f>
        <v/>
      </c>
      <c r="U1291">
        <f>IF($T1291="","",COUNTIFS(LdAParty,$P1291,LdAType,1,LdAKey,"&lt;"&amp;$T1291)+COUNTIFS(LdBMember,$P1291,LdBKey,"&lt;"&amp;$T1291)+COUNTIFS(LdCParty,$P1291,LdCKey,"&lt;"&amp;$T1291)+1)</f>
        <v/>
      </c>
      <c r="V1291">
        <f>IF($U1291="","",$P1291&amp;"|"&amp;RIGHT("000000"&amp;$U1291,6))</f>
        <v/>
      </c>
      <c r="W1291">
        <f>IF($T1291="","",COUNTIFS(LdBGroup,$R1291,LdBKey,"&lt;"&amp;$T1291)+1)</f>
        <v/>
      </c>
      <c r="X1291">
        <f>IF($W1291="","",$R1291&amp;"|"&amp;RIGHT("000000"&amp;$W1291,6))</f>
        <v/>
      </c>
      <c r="Y1291">
        <f>IF($P1291="","",IF(Shares!$E1294="",0,Shares!$E1294))</f>
        <v/>
      </c>
      <c r="Z1291">
        <f>IF($P1291="","",Shares!$H1294)</f>
        <v/>
      </c>
      <c r="AE1291">
        <f>IF(OR(Sync!$S1291="",Sync!$P1291=""),"",Sync!$S1291)</f>
        <v/>
      </c>
      <c r="AF1291">
        <f>IF($AE1291="","",IF(ISNUMBER(Sync!$P1291),IF(AND(Sync!$P1291&gt;=10000101,Sync!$P1291&lt;=99991231),INT(Sync!$P1291/10000),""),IFERROR(VALUE(TRIM(LEFT(Sync!$P1291,FIND("/",Sync!$P1291)-1))),"")))</f>
        <v/>
      </c>
      <c r="AG1291">
        <f>IF(OR($AE1291="",$AF1291=""),"",IF(ISNUMBER(Sync!$P1291),INT(MOD(Sync!$P1291,10000)/100),IFERROR(VALUE(TRIM(LEFT(MID(Sync!$P1291,FIND("/",Sync!$P1291)+1,20),FIND("/",MID(Sync!$P1291,FIND("/",Sync!$P1291)+1,20))-1))),"")))</f>
        <v/>
      </c>
      <c r="AH1291">
        <f>IF(OR($AE1291="",$AF1291=""),"",IF(ISNUMBER(Sync!$P1291),MOD(Sync!$P1291,100),IFERROR(VALUE(TRIM(MID(MID(Sync!$P1291,FIND("/",Sync!$P1291)+1,20),FIND("/",MID(Sync!$P1291,FIND("/",Sync!$P1291)+1,20))+1,20))),"")))</f>
        <v/>
      </c>
      <c r="AI1291">
        <f>IF($AE1291="","",IF(OR($AF1291="",$AG1291="",$AH1291="",$AF1291&lt;1300,$AF1291&gt;1500,$AG1291&lt;1,$AG1291&gt;12,$AH1291&lt;1,$AH1291&gt;31),"نامعتبر",RIGHT("0000"&amp;$AF1291,4)&amp;"/"&amp;RIGHT("00"&amp;$AG1291,2)&amp;"/"&amp;RIGHT("00"&amp;$AH1291,2)))</f>
        <v/>
      </c>
      <c r="AJ1291">
        <f>IF($AE1291="","",IF(Sync!$Q1291="","0000",IF(AND(ISNUMBER(Sync!$Q1291),Sync!$Q1291&gt;=0,Sync!$Q1291&lt;1),RIGHT("00"&amp;HOUR(Sync!$Q1291),2)&amp;RIGHT("00"&amp;MINUTE(Sync!$Q1291),2),IFERROR(RIGHT("00"&amp;VALUE(LEFT(Sync!$Q1291,FIND(":",Sync!$Q1291)-1)),2)&amp;RIGHT("00"&amp;VALUE(MID(Sync!$Q1291,FIND(":",Sync!$Q1291)+1,2)),2),"0000"))))</f>
        <v/>
      </c>
      <c r="AK1291">
        <f>IF(OR($AE1291="",$AI1291="",$AI1291="نامعتبر"),"",LEFT($AI1291,4)&amp;MID($AI1291,6,2)&amp;RIGHT($AI1291,2)&amp;$AJ1291&amp;"|"&amp;"3"&amp;RIGHT("00000"&amp;1286,5))</f>
        <v/>
      </c>
      <c r="AL1291">
        <f>IF($AK1291="","",COUNTIFS(LdAParty,$AE1291,LdAType,1,LdAKey,"&lt;"&amp;$AK1291)+COUNTIFS(LdBMember,$AE1291,LdBKey,"&lt;"&amp;$AK1291)+COUNTIFS(LdCParty,$AE1291,LdCKey,"&lt;"&amp;$AK1291)+1)</f>
        <v/>
      </c>
      <c r="AM1291">
        <f>IF($AL1291="","",$AE1291&amp;"|"&amp;RIGHT("000000"&amp;$AL1291,6))</f>
        <v/>
      </c>
      <c r="AN1291">
        <f>IF($AE1291="","",IF(Sync!$W1291="",0,Sync!$W1291))</f>
        <v/>
      </c>
      <c r="AO1291">
        <f>IF($AE1291="","",IF(Sync!$X1291="",0,Sync!$X1291))</f>
        <v/>
      </c>
      <c r="AP1291">
        <f>IF($AE1291="","",Sync!$R1291)</f>
        <v/>
      </c>
      <c r="AQ1291">
        <f>IF($AE1291="","",Sync!$Y1291)</f>
        <v/>
      </c>
    </row>
    <row r="1292">
      <c r="A1292">
        <f>IF(OR(Wages!$B1295="",Wages!$E1295=""),"",Wages!$E1295)</f>
        <v/>
      </c>
      <c r="B1292">
        <f>IF($A1292="","",IF(Wages!$C1295="دستمزد گروهی",2,1))</f>
        <v/>
      </c>
      <c r="C1292">
        <f>IF($A1292="","",IF(ISNUMBER(Wages!$B1295),IF(AND(Wages!$B1295&gt;=10000101,Wages!$B1295&lt;=99991231),INT(Wages!$B1295/10000),""),IFERROR(VALUE(TRIM(LEFT(Wages!$B1295,FIND("/",Wages!$B1295)-1))),"")))</f>
        <v/>
      </c>
      <c r="D1292">
        <f>IF(OR($A1292="",$C1292=""),"",IF(ISNUMBER(Wages!$B1295),INT(MOD(Wages!$B1295,10000)/100),IFERROR(VALUE(TRIM(LEFT(MID(Wages!$B1295,FIND("/",Wages!$B1295)+1,20),FIND("/",MID(Wages!$B1295,FIND("/",Wages!$B1295)+1,20))-1))),"")))</f>
        <v/>
      </c>
      <c r="E1292">
        <f>IF(OR($A1292="",$C1292=""),"",IF(ISNUMBER(Wages!$B1295),MOD(Wages!$B1295,100),IFERROR(VALUE(TRIM(MID(MID(Wages!$B1295,FIND("/",Wages!$B1295)+1,20),FIND("/",MID(Wages!$B1295,FIND("/",Wages!$B1295)+1,20))+1,20))),"")))</f>
        <v/>
      </c>
      <c r="F1292">
        <f>IF($A1292="","",IF(OR($C1292="",$D1292="",$E1292="",$C1292&lt;1300,$C1292&gt;1500,$D1292&lt;1,$D1292&gt;12,$E1292&lt;1,$E1292&gt;31),"نامعتبر",RIGHT("0000"&amp;$C1292,4)&amp;"/"&amp;RIGHT("00"&amp;$D1292,2)&amp;"/"&amp;RIGHT("00"&amp;$E1292,2)))</f>
        <v/>
      </c>
      <c r="G1292">
        <f>IF(OR($A1292="",$F1292="",$F1292="نامعتبر"),"",LEFT($F1292,4)&amp;MID($F1292,6,2)&amp;RIGHT($F1292,2)&amp;"0000"&amp;"|"&amp;"1"&amp;RIGHT("00000"&amp;1287,5))</f>
        <v/>
      </c>
      <c r="H1292">
        <f>IF(OR($B1292&lt;&gt;1,$G1292=""),"",COUNTIFS(LdAParty,$A1292,LdAType,1,LdAKey,"&lt;"&amp;$G1292)+COUNTIFS(LdBMember,$A1292,LdBKey,"&lt;"&amp;$G1292)+COUNTIFS(LdCParty,$A1292,LdCKey,"&lt;"&amp;$G1292)+1)</f>
        <v/>
      </c>
      <c r="I1292">
        <f>IF($H1292="","",$A1292&amp;"|"&amp;RIGHT("000000"&amp;$H1292,6))</f>
        <v/>
      </c>
      <c r="J1292">
        <f>IF(OR($B1292&lt;&gt;2,$G1292=""),"",COUNTIFS(LdAParty,$A1292,LdAType,2,LdAKey,"&lt;"&amp;$G1292)+1)</f>
        <v/>
      </c>
      <c r="K1292">
        <f>IF($J1292="","",$A1292&amp;"|"&amp;RIGHT("000000"&amp;$J1292,6))</f>
        <v/>
      </c>
      <c r="L1292">
        <f>IF($A1292="","",IF(Wages!$G1295="",0,Wages!$G1295))</f>
        <v/>
      </c>
      <c r="M1292">
        <f>IF($A1292="","",Wages!$J1295)</f>
        <v/>
      </c>
      <c r="N1292">
        <f>IF($A1292="","",Wages!$D1295)</f>
        <v/>
      </c>
      <c r="P1292">
        <f>IF(OR(Shares!$B1295="",Shares!$C1295=""),"",Shares!$C1295)</f>
        <v/>
      </c>
      <c r="Q1292">
        <f>IF($P1292="","",Shares!$B1295)</f>
        <v/>
      </c>
      <c r="R1292">
        <f>IF($P1292="","",IFERROR(INDEX(WageParty,MATCH($Q1292,WageIds,0)),""))</f>
        <v/>
      </c>
      <c r="S1292">
        <f>IF($P1292="","",IFERROR(INDEX($F$6:$F$2005,MATCH($Q1292,WageIds,0)),""))</f>
        <v/>
      </c>
      <c r="T1292">
        <f>IF(OR($P1292="",$S1292="",$S1292="نامعتبر"),"",LEFT($S1292,4)&amp;MID($S1292,6,2)&amp;RIGHT($S1292,2)&amp;"0000"&amp;"|"&amp;"2"&amp;RIGHT("00000"&amp;1287,5))</f>
        <v/>
      </c>
      <c r="U1292">
        <f>IF($T1292="","",COUNTIFS(LdAParty,$P1292,LdAType,1,LdAKey,"&lt;"&amp;$T1292)+COUNTIFS(LdBMember,$P1292,LdBKey,"&lt;"&amp;$T1292)+COUNTIFS(LdCParty,$P1292,LdCKey,"&lt;"&amp;$T1292)+1)</f>
        <v/>
      </c>
      <c r="V1292">
        <f>IF($U1292="","",$P1292&amp;"|"&amp;RIGHT("000000"&amp;$U1292,6))</f>
        <v/>
      </c>
      <c r="W1292">
        <f>IF($T1292="","",COUNTIFS(LdBGroup,$R1292,LdBKey,"&lt;"&amp;$T1292)+1)</f>
        <v/>
      </c>
      <c r="X1292">
        <f>IF($W1292="","",$R1292&amp;"|"&amp;RIGHT("000000"&amp;$W1292,6))</f>
        <v/>
      </c>
      <c r="Y1292">
        <f>IF($P1292="","",IF(Shares!$E1295="",0,Shares!$E1295))</f>
        <v/>
      </c>
      <c r="Z1292">
        <f>IF($P1292="","",Shares!$H1295)</f>
        <v/>
      </c>
      <c r="AE1292">
        <f>IF(OR(Sync!$S1292="",Sync!$P1292=""),"",Sync!$S1292)</f>
        <v/>
      </c>
      <c r="AF1292">
        <f>IF($AE1292="","",IF(ISNUMBER(Sync!$P1292),IF(AND(Sync!$P1292&gt;=10000101,Sync!$P1292&lt;=99991231),INT(Sync!$P1292/10000),""),IFERROR(VALUE(TRIM(LEFT(Sync!$P1292,FIND("/",Sync!$P1292)-1))),"")))</f>
        <v/>
      </c>
      <c r="AG1292">
        <f>IF(OR($AE1292="",$AF1292=""),"",IF(ISNUMBER(Sync!$P1292),INT(MOD(Sync!$P1292,10000)/100),IFERROR(VALUE(TRIM(LEFT(MID(Sync!$P1292,FIND("/",Sync!$P1292)+1,20),FIND("/",MID(Sync!$P1292,FIND("/",Sync!$P1292)+1,20))-1))),"")))</f>
        <v/>
      </c>
      <c r="AH1292">
        <f>IF(OR($AE1292="",$AF1292=""),"",IF(ISNUMBER(Sync!$P1292),MOD(Sync!$P1292,100),IFERROR(VALUE(TRIM(MID(MID(Sync!$P1292,FIND("/",Sync!$P1292)+1,20),FIND("/",MID(Sync!$P1292,FIND("/",Sync!$P1292)+1,20))+1,20))),"")))</f>
        <v/>
      </c>
      <c r="AI1292">
        <f>IF($AE1292="","",IF(OR($AF1292="",$AG1292="",$AH1292="",$AF1292&lt;1300,$AF1292&gt;1500,$AG1292&lt;1,$AG1292&gt;12,$AH1292&lt;1,$AH1292&gt;31),"نامعتبر",RIGHT("0000"&amp;$AF1292,4)&amp;"/"&amp;RIGHT("00"&amp;$AG1292,2)&amp;"/"&amp;RIGHT("00"&amp;$AH1292,2)))</f>
        <v/>
      </c>
      <c r="AJ1292">
        <f>IF($AE1292="","",IF(Sync!$Q1292="","0000",IF(AND(ISNUMBER(Sync!$Q1292),Sync!$Q1292&gt;=0,Sync!$Q1292&lt;1),RIGHT("00"&amp;HOUR(Sync!$Q1292),2)&amp;RIGHT("00"&amp;MINUTE(Sync!$Q1292),2),IFERROR(RIGHT("00"&amp;VALUE(LEFT(Sync!$Q1292,FIND(":",Sync!$Q1292)-1)),2)&amp;RIGHT("00"&amp;VALUE(MID(Sync!$Q1292,FIND(":",Sync!$Q1292)+1,2)),2),"0000"))))</f>
        <v/>
      </c>
      <c r="AK1292">
        <f>IF(OR($AE1292="",$AI1292="",$AI1292="نامعتبر"),"",LEFT($AI1292,4)&amp;MID($AI1292,6,2)&amp;RIGHT($AI1292,2)&amp;$AJ1292&amp;"|"&amp;"3"&amp;RIGHT("00000"&amp;1287,5))</f>
        <v/>
      </c>
      <c r="AL1292">
        <f>IF($AK1292="","",COUNTIFS(LdAParty,$AE1292,LdAType,1,LdAKey,"&lt;"&amp;$AK1292)+COUNTIFS(LdBMember,$AE1292,LdBKey,"&lt;"&amp;$AK1292)+COUNTIFS(LdCParty,$AE1292,LdCKey,"&lt;"&amp;$AK1292)+1)</f>
        <v/>
      </c>
      <c r="AM1292">
        <f>IF($AL1292="","",$AE1292&amp;"|"&amp;RIGHT("000000"&amp;$AL1292,6))</f>
        <v/>
      </c>
      <c r="AN1292">
        <f>IF($AE1292="","",IF(Sync!$W1292="",0,Sync!$W1292))</f>
        <v/>
      </c>
      <c r="AO1292">
        <f>IF($AE1292="","",IF(Sync!$X1292="",0,Sync!$X1292))</f>
        <v/>
      </c>
      <c r="AP1292">
        <f>IF($AE1292="","",Sync!$R1292)</f>
        <v/>
      </c>
      <c r="AQ1292">
        <f>IF($AE1292="","",Sync!$Y1292)</f>
        <v/>
      </c>
    </row>
    <row r="1293">
      <c r="A1293">
        <f>IF(OR(Wages!$B1296="",Wages!$E1296=""),"",Wages!$E1296)</f>
        <v/>
      </c>
      <c r="B1293">
        <f>IF($A1293="","",IF(Wages!$C1296="دستمزد گروهی",2,1))</f>
        <v/>
      </c>
      <c r="C1293">
        <f>IF($A1293="","",IF(ISNUMBER(Wages!$B1296),IF(AND(Wages!$B1296&gt;=10000101,Wages!$B1296&lt;=99991231),INT(Wages!$B1296/10000),""),IFERROR(VALUE(TRIM(LEFT(Wages!$B1296,FIND("/",Wages!$B1296)-1))),"")))</f>
        <v/>
      </c>
      <c r="D1293">
        <f>IF(OR($A1293="",$C1293=""),"",IF(ISNUMBER(Wages!$B1296),INT(MOD(Wages!$B1296,10000)/100),IFERROR(VALUE(TRIM(LEFT(MID(Wages!$B1296,FIND("/",Wages!$B1296)+1,20),FIND("/",MID(Wages!$B1296,FIND("/",Wages!$B1296)+1,20))-1))),"")))</f>
        <v/>
      </c>
      <c r="E1293">
        <f>IF(OR($A1293="",$C1293=""),"",IF(ISNUMBER(Wages!$B1296),MOD(Wages!$B1296,100),IFERROR(VALUE(TRIM(MID(MID(Wages!$B1296,FIND("/",Wages!$B1296)+1,20),FIND("/",MID(Wages!$B1296,FIND("/",Wages!$B1296)+1,20))+1,20))),"")))</f>
        <v/>
      </c>
      <c r="F1293">
        <f>IF($A1293="","",IF(OR($C1293="",$D1293="",$E1293="",$C1293&lt;1300,$C1293&gt;1500,$D1293&lt;1,$D1293&gt;12,$E1293&lt;1,$E1293&gt;31),"نامعتبر",RIGHT("0000"&amp;$C1293,4)&amp;"/"&amp;RIGHT("00"&amp;$D1293,2)&amp;"/"&amp;RIGHT("00"&amp;$E1293,2)))</f>
        <v/>
      </c>
      <c r="G1293">
        <f>IF(OR($A1293="",$F1293="",$F1293="نامعتبر"),"",LEFT($F1293,4)&amp;MID($F1293,6,2)&amp;RIGHT($F1293,2)&amp;"0000"&amp;"|"&amp;"1"&amp;RIGHT("00000"&amp;1288,5))</f>
        <v/>
      </c>
      <c r="H1293">
        <f>IF(OR($B1293&lt;&gt;1,$G1293=""),"",COUNTIFS(LdAParty,$A1293,LdAType,1,LdAKey,"&lt;"&amp;$G1293)+COUNTIFS(LdBMember,$A1293,LdBKey,"&lt;"&amp;$G1293)+COUNTIFS(LdCParty,$A1293,LdCKey,"&lt;"&amp;$G1293)+1)</f>
        <v/>
      </c>
      <c r="I1293">
        <f>IF($H1293="","",$A1293&amp;"|"&amp;RIGHT("000000"&amp;$H1293,6))</f>
        <v/>
      </c>
      <c r="J1293">
        <f>IF(OR($B1293&lt;&gt;2,$G1293=""),"",COUNTIFS(LdAParty,$A1293,LdAType,2,LdAKey,"&lt;"&amp;$G1293)+1)</f>
        <v/>
      </c>
      <c r="K1293">
        <f>IF($J1293="","",$A1293&amp;"|"&amp;RIGHT("000000"&amp;$J1293,6))</f>
        <v/>
      </c>
      <c r="L1293">
        <f>IF($A1293="","",IF(Wages!$G1296="",0,Wages!$G1296))</f>
        <v/>
      </c>
      <c r="M1293">
        <f>IF($A1293="","",Wages!$J1296)</f>
        <v/>
      </c>
      <c r="N1293">
        <f>IF($A1293="","",Wages!$D1296)</f>
        <v/>
      </c>
      <c r="P1293">
        <f>IF(OR(Shares!$B1296="",Shares!$C1296=""),"",Shares!$C1296)</f>
        <v/>
      </c>
      <c r="Q1293">
        <f>IF($P1293="","",Shares!$B1296)</f>
        <v/>
      </c>
      <c r="R1293">
        <f>IF($P1293="","",IFERROR(INDEX(WageParty,MATCH($Q1293,WageIds,0)),""))</f>
        <v/>
      </c>
      <c r="S1293">
        <f>IF($P1293="","",IFERROR(INDEX($F$6:$F$2005,MATCH($Q1293,WageIds,0)),""))</f>
        <v/>
      </c>
      <c r="T1293">
        <f>IF(OR($P1293="",$S1293="",$S1293="نامعتبر"),"",LEFT($S1293,4)&amp;MID($S1293,6,2)&amp;RIGHT($S1293,2)&amp;"0000"&amp;"|"&amp;"2"&amp;RIGHT("00000"&amp;1288,5))</f>
        <v/>
      </c>
      <c r="U1293">
        <f>IF($T1293="","",COUNTIFS(LdAParty,$P1293,LdAType,1,LdAKey,"&lt;"&amp;$T1293)+COUNTIFS(LdBMember,$P1293,LdBKey,"&lt;"&amp;$T1293)+COUNTIFS(LdCParty,$P1293,LdCKey,"&lt;"&amp;$T1293)+1)</f>
        <v/>
      </c>
      <c r="V1293">
        <f>IF($U1293="","",$P1293&amp;"|"&amp;RIGHT("000000"&amp;$U1293,6))</f>
        <v/>
      </c>
      <c r="W1293">
        <f>IF($T1293="","",COUNTIFS(LdBGroup,$R1293,LdBKey,"&lt;"&amp;$T1293)+1)</f>
        <v/>
      </c>
      <c r="X1293">
        <f>IF($W1293="","",$R1293&amp;"|"&amp;RIGHT("000000"&amp;$W1293,6))</f>
        <v/>
      </c>
      <c r="Y1293">
        <f>IF($P1293="","",IF(Shares!$E1296="",0,Shares!$E1296))</f>
        <v/>
      </c>
      <c r="Z1293">
        <f>IF($P1293="","",Shares!$H1296)</f>
        <v/>
      </c>
      <c r="AE1293">
        <f>IF(OR(Sync!$S1293="",Sync!$P1293=""),"",Sync!$S1293)</f>
        <v/>
      </c>
      <c r="AF1293">
        <f>IF($AE1293="","",IF(ISNUMBER(Sync!$P1293),IF(AND(Sync!$P1293&gt;=10000101,Sync!$P1293&lt;=99991231),INT(Sync!$P1293/10000),""),IFERROR(VALUE(TRIM(LEFT(Sync!$P1293,FIND("/",Sync!$P1293)-1))),"")))</f>
        <v/>
      </c>
      <c r="AG1293">
        <f>IF(OR($AE1293="",$AF1293=""),"",IF(ISNUMBER(Sync!$P1293),INT(MOD(Sync!$P1293,10000)/100),IFERROR(VALUE(TRIM(LEFT(MID(Sync!$P1293,FIND("/",Sync!$P1293)+1,20),FIND("/",MID(Sync!$P1293,FIND("/",Sync!$P1293)+1,20))-1))),"")))</f>
        <v/>
      </c>
      <c r="AH1293">
        <f>IF(OR($AE1293="",$AF1293=""),"",IF(ISNUMBER(Sync!$P1293),MOD(Sync!$P1293,100),IFERROR(VALUE(TRIM(MID(MID(Sync!$P1293,FIND("/",Sync!$P1293)+1,20),FIND("/",MID(Sync!$P1293,FIND("/",Sync!$P1293)+1,20))+1,20))),"")))</f>
        <v/>
      </c>
      <c r="AI1293">
        <f>IF($AE1293="","",IF(OR($AF1293="",$AG1293="",$AH1293="",$AF1293&lt;1300,$AF1293&gt;1500,$AG1293&lt;1,$AG1293&gt;12,$AH1293&lt;1,$AH1293&gt;31),"نامعتبر",RIGHT("0000"&amp;$AF1293,4)&amp;"/"&amp;RIGHT("00"&amp;$AG1293,2)&amp;"/"&amp;RIGHT("00"&amp;$AH1293,2)))</f>
        <v/>
      </c>
      <c r="AJ1293">
        <f>IF($AE1293="","",IF(Sync!$Q1293="","0000",IF(AND(ISNUMBER(Sync!$Q1293),Sync!$Q1293&gt;=0,Sync!$Q1293&lt;1),RIGHT("00"&amp;HOUR(Sync!$Q1293),2)&amp;RIGHT("00"&amp;MINUTE(Sync!$Q1293),2),IFERROR(RIGHT("00"&amp;VALUE(LEFT(Sync!$Q1293,FIND(":",Sync!$Q1293)-1)),2)&amp;RIGHT("00"&amp;VALUE(MID(Sync!$Q1293,FIND(":",Sync!$Q1293)+1,2)),2),"0000"))))</f>
        <v/>
      </c>
      <c r="AK1293">
        <f>IF(OR($AE1293="",$AI1293="",$AI1293="نامعتبر"),"",LEFT($AI1293,4)&amp;MID($AI1293,6,2)&amp;RIGHT($AI1293,2)&amp;$AJ1293&amp;"|"&amp;"3"&amp;RIGHT("00000"&amp;1288,5))</f>
        <v/>
      </c>
      <c r="AL1293">
        <f>IF($AK1293="","",COUNTIFS(LdAParty,$AE1293,LdAType,1,LdAKey,"&lt;"&amp;$AK1293)+COUNTIFS(LdBMember,$AE1293,LdBKey,"&lt;"&amp;$AK1293)+COUNTIFS(LdCParty,$AE1293,LdCKey,"&lt;"&amp;$AK1293)+1)</f>
        <v/>
      </c>
      <c r="AM1293">
        <f>IF($AL1293="","",$AE1293&amp;"|"&amp;RIGHT("000000"&amp;$AL1293,6))</f>
        <v/>
      </c>
      <c r="AN1293">
        <f>IF($AE1293="","",IF(Sync!$W1293="",0,Sync!$W1293))</f>
        <v/>
      </c>
      <c r="AO1293">
        <f>IF($AE1293="","",IF(Sync!$X1293="",0,Sync!$X1293))</f>
        <v/>
      </c>
      <c r="AP1293">
        <f>IF($AE1293="","",Sync!$R1293)</f>
        <v/>
      </c>
      <c r="AQ1293">
        <f>IF($AE1293="","",Sync!$Y1293)</f>
        <v/>
      </c>
    </row>
    <row r="1294">
      <c r="A1294">
        <f>IF(OR(Wages!$B1297="",Wages!$E1297=""),"",Wages!$E1297)</f>
        <v/>
      </c>
      <c r="B1294">
        <f>IF($A1294="","",IF(Wages!$C1297="دستمزد گروهی",2,1))</f>
        <v/>
      </c>
      <c r="C1294">
        <f>IF($A1294="","",IF(ISNUMBER(Wages!$B1297),IF(AND(Wages!$B1297&gt;=10000101,Wages!$B1297&lt;=99991231),INT(Wages!$B1297/10000),""),IFERROR(VALUE(TRIM(LEFT(Wages!$B1297,FIND("/",Wages!$B1297)-1))),"")))</f>
        <v/>
      </c>
      <c r="D1294">
        <f>IF(OR($A1294="",$C1294=""),"",IF(ISNUMBER(Wages!$B1297),INT(MOD(Wages!$B1297,10000)/100),IFERROR(VALUE(TRIM(LEFT(MID(Wages!$B1297,FIND("/",Wages!$B1297)+1,20),FIND("/",MID(Wages!$B1297,FIND("/",Wages!$B1297)+1,20))-1))),"")))</f>
        <v/>
      </c>
      <c r="E1294">
        <f>IF(OR($A1294="",$C1294=""),"",IF(ISNUMBER(Wages!$B1297),MOD(Wages!$B1297,100),IFERROR(VALUE(TRIM(MID(MID(Wages!$B1297,FIND("/",Wages!$B1297)+1,20),FIND("/",MID(Wages!$B1297,FIND("/",Wages!$B1297)+1,20))+1,20))),"")))</f>
        <v/>
      </c>
      <c r="F1294">
        <f>IF($A1294="","",IF(OR($C1294="",$D1294="",$E1294="",$C1294&lt;1300,$C1294&gt;1500,$D1294&lt;1,$D1294&gt;12,$E1294&lt;1,$E1294&gt;31),"نامعتبر",RIGHT("0000"&amp;$C1294,4)&amp;"/"&amp;RIGHT("00"&amp;$D1294,2)&amp;"/"&amp;RIGHT("00"&amp;$E1294,2)))</f>
        <v/>
      </c>
      <c r="G1294">
        <f>IF(OR($A1294="",$F1294="",$F1294="نامعتبر"),"",LEFT($F1294,4)&amp;MID($F1294,6,2)&amp;RIGHT($F1294,2)&amp;"0000"&amp;"|"&amp;"1"&amp;RIGHT("00000"&amp;1289,5))</f>
        <v/>
      </c>
      <c r="H1294">
        <f>IF(OR($B1294&lt;&gt;1,$G1294=""),"",COUNTIFS(LdAParty,$A1294,LdAType,1,LdAKey,"&lt;"&amp;$G1294)+COUNTIFS(LdBMember,$A1294,LdBKey,"&lt;"&amp;$G1294)+COUNTIFS(LdCParty,$A1294,LdCKey,"&lt;"&amp;$G1294)+1)</f>
        <v/>
      </c>
      <c r="I1294">
        <f>IF($H1294="","",$A1294&amp;"|"&amp;RIGHT("000000"&amp;$H1294,6))</f>
        <v/>
      </c>
      <c r="J1294">
        <f>IF(OR($B1294&lt;&gt;2,$G1294=""),"",COUNTIFS(LdAParty,$A1294,LdAType,2,LdAKey,"&lt;"&amp;$G1294)+1)</f>
        <v/>
      </c>
      <c r="K1294">
        <f>IF($J1294="","",$A1294&amp;"|"&amp;RIGHT("000000"&amp;$J1294,6))</f>
        <v/>
      </c>
      <c r="L1294">
        <f>IF($A1294="","",IF(Wages!$G1297="",0,Wages!$G1297))</f>
        <v/>
      </c>
      <c r="M1294">
        <f>IF($A1294="","",Wages!$J1297)</f>
        <v/>
      </c>
      <c r="N1294">
        <f>IF($A1294="","",Wages!$D1297)</f>
        <v/>
      </c>
      <c r="P1294">
        <f>IF(OR(Shares!$B1297="",Shares!$C1297=""),"",Shares!$C1297)</f>
        <v/>
      </c>
      <c r="Q1294">
        <f>IF($P1294="","",Shares!$B1297)</f>
        <v/>
      </c>
      <c r="R1294">
        <f>IF($P1294="","",IFERROR(INDEX(WageParty,MATCH($Q1294,WageIds,0)),""))</f>
        <v/>
      </c>
      <c r="S1294">
        <f>IF($P1294="","",IFERROR(INDEX($F$6:$F$2005,MATCH($Q1294,WageIds,0)),""))</f>
        <v/>
      </c>
      <c r="T1294">
        <f>IF(OR($P1294="",$S1294="",$S1294="نامعتبر"),"",LEFT($S1294,4)&amp;MID($S1294,6,2)&amp;RIGHT($S1294,2)&amp;"0000"&amp;"|"&amp;"2"&amp;RIGHT("00000"&amp;1289,5))</f>
        <v/>
      </c>
      <c r="U1294">
        <f>IF($T1294="","",COUNTIFS(LdAParty,$P1294,LdAType,1,LdAKey,"&lt;"&amp;$T1294)+COUNTIFS(LdBMember,$P1294,LdBKey,"&lt;"&amp;$T1294)+COUNTIFS(LdCParty,$P1294,LdCKey,"&lt;"&amp;$T1294)+1)</f>
        <v/>
      </c>
      <c r="V1294">
        <f>IF($U1294="","",$P1294&amp;"|"&amp;RIGHT("000000"&amp;$U1294,6))</f>
        <v/>
      </c>
      <c r="W1294">
        <f>IF($T1294="","",COUNTIFS(LdBGroup,$R1294,LdBKey,"&lt;"&amp;$T1294)+1)</f>
        <v/>
      </c>
      <c r="X1294">
        <f>IF($W1294="","",$R1294&amp;"|"&amp;RIGHT("000000"&amp;$W1294,6))</f>
        <v/>
      </c>
      <c r="Y1294">
        <f>IF($P1294="","",IF(Shares!$E1297="",0,Shares!$E1297))</f>
        <v/>
      </c>
      <c r="Z1294">
        <f>IF($P1294="","",Shares!$H1297)</f>
        <v/>
      </c>
      <c r="AE1294">
        <f>IF(OR(Sync!$S1294="",Sync!$P1294=""),"",Sync!$S1294)</f>
        <v/>
      </c>
      <c r="AF1294">
        <f>IF($AE1294="","",IF(ISNUMBER(Sync!$P1294),IF(AND(Sync!$P1294&gt;=10000101,Sync!$P1294&lt;=99991231),INT(Sync!$P1294/10000),""),IFERROR(VALUE(TRIM(LEFT(Sync!$P1294,FIND("/",Sync!$P1294)-1))),"")))</f>
        <v/>
      </c>
      <c r="AG1294">
        <f>IF(OR($AE1294="",$AF1294=""),"",IF(ISNUMBER(Sync!$P1294),INT(MOD(Sync!$P1294,10000)/100),IFERROR(VALUE(TRIM(LEFT(MID(Sync!$P1294,FIND("/",Sync!$P1294)+1,20),FIND("/",MID(Sync!$P1294,FIND("/",Sync!$P1294)+1,20))-1))),"")))</f>
        <v/>
      </c>
      <c r="AH1294">
        <f>IF(OR($AE1294="",$AF1294=""),"",IF(ISNUMBER(Sync!$P1294),MOD(Sync!$P1294,100),IFERROR(VALUE(TRIM(MID(MID(Sync!$P1294,FIND("/",Sync!$P1294)+1,20),FIND("/",MID(Sync!$P1294,FIND("/",Sync!$P1294)+1,20))+1,20))),"")))</f>
        <v/>
      </c>
      <c r="AI1294">
        <f>IF($AE1294="","",IF(OR($AF1294="",$AG1294="",$AH1294="",$AF1294&lt;1300,$AF1294&gt;1500,$AG1294&lt;1,$AG1294&gt;12,$AH1294&lt;1,$AH1294&gt;31),"نامعتبر",RIGHT("0000"&amp;$AF1294,4)&amp;"/"&amp;RIGHT("00"&amp;$AG1294,2)&amp;"/"&amp;RIGHT("00"&amp;$AH1294,2)))</f>
        <v/>
      </c>
      <c r="AJ1294">
        <f>IF($AE1294="","",IF(Sync!$Q1294="","0000",IF(AND(ISNUMBER(Sync!$Q1294),Sync!$Q1294&gt;=0,Sync!$Q1294&lt;1),RIGHT("00"&amp;HOUR(Sync!$Q1294),2)&amp;RIGHT("00"&amp;MINUTE(Sync!$Q1294),2),IFERROR(RIGHT("00"&amp;VALUE(LEFT(Sync!$Q1294,FIND(":",Sync!$Q1294)-1)),2)&amp;RIGHT("00"&amp;VALUE(MID(Sync!$Q1294,FIND(":",Sync!$Q1294)+1,2)),2),"0000"))))</f>
        <v/>
      </c>
      <c r="AK1294">
        <f>IF(OR($AE1294="",$AI1294="",$AI1294="نامعتبر"),"",LEFT($AI1294,4)&amp;MID($AI1294,6,2)&amp;RIGHT($AI1294,2)&amp;$AJ1294&amp;"|"&amp;"3"&amp;RIGHT("00000"&amp;1289,5))</f>
        <v/>
      </c>
      <c r="AL1294">
        <f>IF($AK1294="","",COUNTIFS(LdAParty,$AE1294,LdAType,1,LdAKey,"&lt;"&amp;$AK1294)+COUNTIFS(LdBMember,$AE1294,LdBKey,"&lt;"&amp;$AK1294)+COUNTIFS(LdCParty,$AE1294,LdCKey,"&lt;"&amp;$AK1294)+1)</f>
        <v/>
      </c>
      <c r="AM1294">
        <f>IF($AL1294="","",$AE1294&amp;"|"&amp;RIGHT("000000"&amp;$AL1294,6))</f>
        <v/>
      </c>
      <c r="AN1294">
        <f>IF($AE1294="","",IF(Sync!$W1294="",0,Sync!$W1294))</f>
        <v/>
      </c>
      <c r="AO1294">
        <f>IF($AE1294="","",IF(Sync!$X1294="",0,Sync!$X1294))</f>
        <v/>
      </c>
      <c r="AP1294">
        <f>IF($AE1294="","",Sync!$R1294)</f>
        <v/>
      </c>
      <c r="AQ1294">
        <f>IF($AE1294="","",Sync!$Y1294)</f>
        <v/>
      </c>
    </row>
    <row r="1295">
      <c r="A1295">
        <f>IF(OR(Wages!$B1298="",Wages!$E1298=""),"",Wages!$E1298)</f>
        <v/>
      </c>
      <c r="B1295">
        <f>IF($A1295="","",IF(Wages!$C1298="دستمزد گروهی",2,1))</f>
        <v/>
      </c>
      <c r="C1295">
        <f>IF($A1295="","",IF(ISNUMBER(Wages!$B1298),IF(AND(Wages!$B1298&gt;=10000101,Wages!$B1298&lt;=99991231),INT(Wages!$B1298/10000),""),IFERROR(VALUE(TRIM(LEFT(Wages!$B1298,FIND("/",Wages!$B1298)-1))),"")))</f>
        <v/>
      </c>
      <c r="D1295">
        <f>IF(OR($A1295="",$C1295=""),"",IF(ISNUMBER(Wages!$B1298),INT(MOD(Wages!$B1298,10000)/100),IFERROR(VALUE(TRIM(LEFT(MID(Wages!$B1298,FIND("/",Wages!$B1298)+1,20),FIND("/",MID(Wages!$B1298,FIND("/",Wages!$B1298)+1,20))-1))),"")))</f>
        <v/>
      </c>
      <c r="E1295">
        <f>IF(OR($A1295="",$C1295=""),"",IF(ISNUMBER(Wages!$B1298),MOD(Wages!$B1298,100),IFERROR(VALUE(TRIM(MID(MID(Wages!$B1298,FIND("/",Wages!$B1298)+1,20),FIND("/",MID(Wages!$B1298,FIND("/",Wages!$B1298)+1,20))+1,20))),"")))</f>
        <v/>
      </c>
      <c r="F1295">
        <f>IF($A1295="","",IF(OR($C1295="",$D1295="",$E1295="",$C1295&lt;1300,$C1295&gt;1500,$D1295&lt;1,$D1295&gt;12,$E1295&lt;1,$E1295&gt;31),"نامعتبر",RIGHT("0000"&amp;$C1295,4)&amp;"/"&amp;RIGHT("00"&amp;$D1295,2)&amp;"/"&amp;RIGHT("00"&amp;$E1295,2)))</f>
        <v/>
      </c>
      <c r="G1295">
        <f>IF(OR($A1295="",$F1295="",$F1295="نامعتبر"),"",LEFT($F1295,4)&amp;MID($F1295,6,2)&amp;RIGHT($F1295,2)&amp;"0000"&amp;"|"&amp;"1"&amp;RIGHT("00000"&amp;1290,5))</f>
        <v/>
      </c>
      <c r="H1295">
        <f>IF(OR($B1295&lt;&gt;1,$G1295=""),"",COUNTIFS(LdAParty,$A1295,LdAType,1,LdAKey,"&lt;"&amp;$G1295)+COUNTIFS(LdBMember,$A1295,LdBKey,"&lt;"&amp;$G1295)+COUNTIFS(LdCParty,$A1295,LdCKey,"&lt;"&amp;$G1295)+1)</f>
        <v/>
      </c>
      <c r="I1295">
        <f>IF($H1295="","",$A1295&amp;"|"&amp;RIGHT("000000"&amp;$H1295,6))</f>
        <v/>
      </c>
      <c r="J1295">
        <f>IF(OR($B1295&lt;&gt;2,$G1295=""),"",COUNTIFS(LdAParty,$A1295,LdAType,2,LdAKey,"&lt;"&amp;$G1295)+1)</f>
        <v/>
      </c>
      <c r="K1295">
        <f>IF($J1295="","",$A1295&amp;"|"&amp;RIGHT("000000"&amp;$J1295,6))</f>
        <v/>
      </c>
      <c r="L1295">
        <f>IF($A1295="","",IF(Wages!$G1298="",0,Wages!$G1298))</f>
        <v/>
      </c>
      <c r="M1295">
        <f>IF($A1295="","",Wages!$J1298)</f>
        <v/>
      </c>
      <c r="N1295">
        <f>IF($A1295="","",Wages!$D1298)</f>
        <v/>
      </c>
      <c r="P1295">
        <f>IF(OR(Shares!$B1298="",Shares!$C1298=""),"",Shares!$C1298)</f>
        <v/>
      </c>
      <c r="Q1295">
        <f>IF($P1295="","",Shares!$B1298)</f>
        <v/>
      </c>
      <c r="R1295">
        <f>IF($P1295="","",IFERROR(INDEX(WageParty,MATCH($Q1295,WageIds,0)),""))</f>
        <v/>
      </c>
      <c r="S1295">
        <f>IF($P1295="","",IFERROR(INDEX($F$6:$F$2005,MATCH($Q1295,WageIds,0)),""))</f>
        <v/>
      </c>
      <c r="T1295">
        <f>IF(OR($P1295="",$S1295="",$S1295="نامعتبر"),"",LEFT($S1295,4)&amp;MID($S1295,6,2)&amp;RIGHT($S1295,2)&amp;"0000"&amp;"|"&amp;"2"&amp;RIGHT("00000"&amp;1290,5))</f>
        <v/>
      </c>
      <c r="U1295">
        <f>IF($T1295="","",COUNTIFS(LdAParty,$P1295,LdAType,1,LdAKey,"&lt;"&amp;$T1295)+COUNTIFS(LdBMember,$P1295,LdBKey,"&lt;"&amp;$T1295)+COUNTIFS(LdCParty,$P1295,LdCKey,"&lt;"&amp;$T1295)+1)</f>
        <v/>
      </c>
      <c r="V1295">
        <f>IF($U1295="","",$P1295&amp;"|"&amp;RIGHT("000000"&amp;$U1295,6))</f>
        <v/>
      </c>
      <c r="W1295">
        <f>IF($T1295="","",COUNTIFS(LdBGroup,$R1295,LdBKey,"&lt;"&amp;$T1295)+1)</f>
        <v/>
      </c>
      <c r="X1295">
        <f>IF($W1295="","",$R1295&amp;"|"&amp;RIGHT("000000"&amp;$W1295,6))</f>
        <v/>
      </c>
      <c r="Y1295">
        <f>IF($P1295="","",IF(Shares!$E1298="",0,Shares!$E1298))</f>
        <v/>
      </c>
      <c r="Z1295">
        <f>IF($P1295="","",Shares!$H1298)</f>
        <v/>
      </c>
      <c r="AE1295">
        <f>IF(OR(Sync!$S1295="",Sync!$P1295=""),"",Sync!$S1295)</f>
        <v/>
      </c>
      <c r="AF1295">
        <f>IF($AE1295="","",IF(ISNUMBER(Sync!$P1295),IF(AND(Sync!$P1295&gt;=10000101,Sync!$P1295&lt;=99991231),INT(Sync!$P1295/10000),""),IFERROR(VALUE(TRIM(LEFT(Sync!$P1295,FIND("/",Sync!$P1295)-1))),"")))</f>
        <v/>
      </c>
      <c r="AG1295">
        <f>IF(OR($AE1295="",$AF1295=""),"",IF(ISNUMBER(Sync!$P1295),INT(MOD(Sync!$P1295,10000)/100),IFERROR(VALUE(TRIM(LEFT(MID(Sync!$P1295,FIND("/",Sync!$P1295)+1,20),FIND("/",MID(Sync!$P1295,FIND("/",Sync!$P1295)+1,20))-1))),"")))</f>
        <v/>
      </c>
      <c r="AH1295">
        <f>IF(OR($AE1295="",$AF1295=""),"",IF(ISNUMBER(Sync!$P1295),MOD(Sync!$P1295,100),IFERROR(VALUE(TRIM(MID(MID(Sync!$P1295,FIND("/",Sync!$P1295)+1,20),FIND("/",MID(Sync!$P1295,FIND("/",Sync!$P1295)+1,20))+1,20))),"")))</f>
        <v/>
      </c>
      <c r="AI1295">
        <f>IF($AE1295="","",IF(OR($AF1295="",$AG1295="",$AH1295="",$AF1295&lt;1300,$AF1295&gt;1500,$AG1295&lt;1,$AG1295&gt;12,$AH1295&lt;1,$AH1295&gt;31),"نامعتبر",RIGHT("0000"&amp;$AF1295,4)&amp;"/"&amp;RIGHT("00"&amp;$AG1295,2)&amp;"/"&amp;RIGHT("00"&amp;$AH1295,2)))</f>
        <v/>
      </c>
      <c r="AJ1295">
        <f>IF($AE1295="","",IF(Sync!$Q1295="","0000",IF(AND(ISNUMBER(Sync!$Q1295),Sync!$Q1295&gt;=0,Sync!$Q1295&lt;1),RIGHT("00"&amp;HOUR(Sync!$Q1295),2)&amp;RIGHT("00"&amp;MINUTE(Sync!$Q1295),2),IFERROR(RIGHT("00"&amp;VALUE(LEFT(Sync!$Q1295,FIND(":",Sync!$Q1295)-1)),2)&amp;RIGHT("00"&amp;VALUE(MID(Sync!$Q1295,FIND(":",Sync!$Q1295)+1,2)),2),"0000"))))</f>
        <v/>
      </c>
      <c r="AK1295">
        <f>IF(OR($AE1295="",$AI1295="",$AI1295="نامعتبر"),"",LEFT($AI1295,4)&amp;MID($AI1295,6,2)&amp;RIGHT($AI1295,2)&amp;$AJ1295&amp;"|"&amp;"3"&amp;RIGHT("00000"&amp;1290,5))</f>
        <v/>
      </c>
      <c r="AL1295">
        <f>IF($AK1295="","",COUNTIFS(LdAParty,$AE1295,LdAType,1,LdAKey,"&lt;"&amp;$AK1295)+COUNTIFS(LdBMember,$AE1295,LdBKey,"&lt;"&amp;$AK1295)+COUNTIFS(LdCParty,$AE1295,LdCKey,"&lt;"&amp;$AK1295)+1)</f>
        <v/>
      </c>
      <c r="AM1295">
        <f>IF($AL1295="","",$AE1295&amp;"|"&amp;RIGHT("000000"&amp;$AL1295,6))</f>
        <v/>
      </c>
      <c r="AN1295">
        <f>IF($AE1295="","",IF(Sync!$W1295="",0,Sync!$W1295))</f>
        <v/>
      </c>
      <c r="AO1295">
        <f>IF($AE1295="","",IF(Sync!$X1295="",0,Sync!$X1295))</f>
        <v/>
      </c>
      <c r="AP1295">
        <f>IF($AE1295="","",Sync!$R1295)</f>
        <v/>
      </c>
      <c r="AQ1295">
        <f>IF($AE1295="","",Sync!$Y1295)</f>
        <v/>
      </c>
    </row>
    <row r="1296">
      <c r="A1296">
        <f>IF(OR(Wages!$B1299="",Wages!$E1299=""),"",Wages!$E1299)</f>
        <v/>
      </c>
      <c r="B1296">
        <f>IF($A1296="","",IF(Wages!$C1299="دستمزد گروهی",2,1))</f>
        <v/>
      </c>
      <c r="C1296">
        <f>IF($A1296="","",IF(ISNUMBER(Wages!$B1299),IF(AND(Wages!$B1299&gt;=10000101,Wages!$B1299&lt;=99991231),INT(Wages!$B1299/10000),""),IFERROR(VALUE(TRIM(LEFT(Wages!$B1299,FIND("/",Wages!$B1299)-1))),"")))</f>
        <v/>
      </c>
      <c r="D1296">
        <f>IF(OR($A1296="",$C1296=""),"",IF(ISNUMBER(Wages!$B1299),INT(MOD(Wages!$B1299,10000)/100),IFERROR(VALUE(TRIM(LEFT(MID(Wages!$B1299,FIND("/",Wages!$B1299)+1,20),FIND("/",MID(Wages!$B1299,FIND("/",Wages!$B1299)+1,20))-1))),"")))</f>
        <v/>
      </c>
      <c r="E1296">
        <f>IF(OR($A1296="",$C1296=""),"",IF(ISNUMBER(Wages!$B1299),MOD(Wages!$B1299,100),IFERROR(VALUE(TRIM(MID(MID(Wages!$B1299,FIND("/",Wages!$B1299)+1,20),FIND("/",MID(Wages!$B1299,FIND("/",Wages!$B1299)+1,20))+1,20))),"")))</f>
        <v/>
      </c>
      <c r="F1296">
        <f>IF($A1296="","",IF(OR($C1296="",$D1296="",$E1296="",$C1296&lt;1300,$C1296&gt;1500,$D1296&lt;1,$D1296&gt;12,$E1296&lt;1,$E1296&gt;31),"نامعتبر",RIGHT("0000"&amp;$C1296,4)&amp;"/"&amp;RIGHT("00"&amp;$D1296,2)&amp;"/"&amp;RIGHT("00"&amp;$E1296,2)))</f>
        <v/>
      </c>
      <c r="G1296">
        <f>IF(OR($A1296="",$F1296="",$F1296="نامعتبر"),"",LEFT($F1296,4)&amp;MID($F1296,6,2)&amp;RIGHT($F1296,2)&amp;"0000"&amp;"|"&amp;"1"&amp;RIGHT("00000"&amp;1291,5))</f>
        <v/>
      </c>
      <c r="H1296">
        <f>IF(OR($B1296&lt;&gt;1,$G1296=""),"",COUNTIFS(LdAParty,$A1296,LdAType,1,LdAKey,"&lt;"&amp;$G1296)+COUNTIFS(LdBMember,$A1296,LdBKey,"&lt;"&amp;$G1296)+COUNTIFS(LdCParty,$A1296,LdCKey,"&lt;"&amp;$G1296)+1)</f>
        <v/>
      </c>
      <c r="I1296">
        <f>IF($H1296="","",$A1296&amp;"|"&amp;RIGHT("000000"&amp;$H1296,6))</f>
        <v/>
      </c>
      <c r="J1296">
        <f>IF(OR($B1296&lt;&gt;2,$G1296=""),"",COUNTIFS(LdAParty,$A1296,LdAType,2,LdAKey,"&lt;"&amp;$G1296)+1)</f>
        <v/>
      </c>
      <c r="K1296">
        <f>IF($J1296="","",$A1296&amp;"|"&amp;RIGHT("000000"&amp;$J1296,6))</f>
        <v/>
      </c>
      <c r="L1296">
        <f>IF($A1296="","",IF(Wages!$G1299="",0,Wages!$G1299))</f>
        <v/>
      </c>
      <c r="M1296">
        <f>IF($A1296="","",Wages!$J1299)</f>
        <v/>
      </c>
      <c r="N1296">
        <f>IF($A1296="","",Wages!$D1299)</f>
        <v/>
      </c>
      <c r="P1296">
        <f>IF(OR(Shares!$B1299="",Shares!$C1299=""),"",Shares!$C1299)</f>
        <v/>
      </c>
      <c r="Q1296">
        <f>IF($P1296="","",Shares!$B1299)</f>
        <v/>
      </c>
      <c r="R1296">
        <f>IF($P1296="","",IFERROR(INDEX(WageParty,MATCH($Q1296,WageIds,0)),""))</f>
        <v/>
      </c>
      <c r="S1296">
        <f>IF($P1296="","",IFERROR(INDEX($F$6:$F$2005,MATCH($Q1296,WageIds,0)),""))</f>
        <v/>
      </c>
      <c r="T1296">
        <f>IF(OR($P1296="",$S1296="",$S1296="نامعتبر"),"",LEFT($S1296,4)&amp;MID($S1296,6,2)&amp;RIGHT($S1296,2)&amp;"0000"&amp;"|"&amp;"2"&amp;RIGHT("00000"&amp;1291,5))</f>
        <v/>
      </c>
      <c r="U1296">
        <f>IF($T1296="","",COUNTIFS(LdAParty,$P1296,LdAType,1,LdAKey,"&lt;"&amp;$T1296)+COUNTIFS(LdBMember,$P1296,LdBKey,"&lt;"&amp;$T1296)+COUNTIFS(LdCParty,$P1296,LdCKey,"&lt;"&amp;$T1296)+1)</f>
        <v/>
      </c>
      <c r="V1296">
        <f>IF($U1296="","",$P1296&amp;"|"&amp;RIGHT("000000"&amp;$U1296,6))</f>
        <v/>
      </c>
      <c r="W1296">
        <f>IF($T1296="","",COUNTIFS(LdBGroup,$R1296,LdBKey,"&lt;"&amp;$T1296)+1)</f>
        <v/>
      </c>
      <c r="X1296">
        <f>IF($W1296="","",$R1296&amp;"|"&amp;RIGHT("000000"&amp;$W1296,6))</f>
        <v/>
      </c>
      <c r="Y1296">
        <f>IF($P1296="","",IF(Shares!$E1299="",0,Shares!$E1299))</f>
        <v/>
      </c>
      <c r="Z1296">
        <f>IF($P1296="","",Shares!$H1299)</f>
        <v/>
      </c>
      <c r="AE1296">
        <f>IF(OR(Sync!$S1296="",Sync!$P1296=""),"",Sync!$S1296)</f>
        <v/>
      </c>
      <c r="AF1296">
        <f>IF($AE1296="","",IF(ISNUMBER(Sync!$P1296),IF(AND(Sync!$P1296&gt;=10000101,Sync!$P1296&lt;=99991231),INT(Sync!$P1296/10000),""),IFERROR(VALUE(TRIM(LEFT(Sync!$P1296,FIND("/",Sync!$P1296)-1))),"")))</f>
        <v/>
      </c>
      <c r="AG1296">
        <f>IF(OR($AE1296="",$AF1296=""),"",IF(ISNUMBER(Sync!$P1296),INT(MOD(Sync!$P1296,10000)/100),IFERROR(VALUE(TRIM(LEFT(MID(Sync!$P1296,FIND("/",Sync!$P1296)+1,20),FIND("/",MID(Sync!$P1296,FIND("/",Sync!$P1296)+1,20))-1))),"")))</f>
        <v/>
      </c>
      <c r="AH1296">
        <f>IF(OR($AE1296="",$AF1296=""),"",IF(ISNUMBER(Sync!$P1296),MOD(Sync!$P1296,100),IFERROR(VALUE(TRIM(MID(MID(Sync!$P1296,FIND("/",Sync!$P1296)+1,20),FIND("/",MID(Sync!$P1296,FIND("/",Sync!$P1296)+1,20))+1,20))),"")))</f>
        <v/>
      </c>
      <c r="AI1296">
        <f>IF($AE1296="","",IF(OR($AF1296="",$AG1296="",$AH1296="",$AF1296&lt;1300,$AF1296&gt;1500,$AG1296&lt;1,$AG1296&gt;12,$AH1296&lt;1,$AH1296&gt;31),"نامعتبر",RIGHT("0000"&amp;$AF1296,4)&amp;"/"&amp;RIGHT("00"&amp;$AG1296,2)&amp;"/"&amp;RIGHT("00"&amp;$AH1296,2)))</f>
        <v/>
      </c>
      <c r="AJ1296">
        <f>IF($AE1296="","",IF(Sync!$Q1296="","0000",IF(AND(ISNUMBER(Sync!$Q1296),Sync!$Q1296&gt;=0,Sync!$Q1296&lt;1),RIGHT("00"&amp;HOUR(Sync!$Q1296),2)&amp;RIGHT("00"&amp;MINUTE(Sync!$Q1296),2),IFERROR(RIGHT("00"&amp;VALUE(LEFT(Sync!$Q1296,FIND(":",Sync!$Q1296)-1)),2)&amp;RIGHT("00"&amp;VALUE(MID(Sync!$Q1296,FIND(":",Sync!$Q1296)+1,2)),2),"0000"))))</f>
        <v/>
      </c>
      <c r="AK1296">
        <f>IF(OR($AE1296="",$AI1296="",$AI1296="نامعتبر"),"",LEFT($AI1296,4)&amp;MID($AI1296,6,2)&amp;RIGHT($AI1296,2)&amp;$AJ1296&amp;"|"&amp;"3"&amp;RIGHT("00000"&amp;1291,5))</f>
        <v/>
      </c>
      <c r="AL1296">
        <f>IF($AK1296="","",COUNTIFS(LdAParty,$AE1296,LdAType,1,LdAKey,"&lt;"&amp;$AK1296)+COUNTIFS(LdBMember,$AE1296,LdBKey,"&lt;"&amp;$AK1296)+COUNTIFS(LdCParty,$AE1296,LdCKey,"&lt;"&amp;$AK1296)+1)</f>
        <v/>
      </c>
      <c r="AM1296">
        <f>IF($AL1296="","",$AE1296&amp;"|"&amp;RIGHT("000000"&amp;$AL1296,6))</f>
        <v/>
      </c>
      <c r="AN1296">
        <f>IF($AE1296="","",IF(Sync!$W1296="",0,Sync!$W1296))</f>
        <v/>
      </c>
      <c r="AO1296">
        <f>IF($AE1296="","",IF(Sync!$X1296="",0,Sync!$X1296))</f>
        <v/>
      </c>
      <c r="AP1296">
        <f>IF($AE1296="","",Sync!$R1296)</f>
        <v/>
      </c>
      <c r="AQ1296">
        <f>IF($AE1296="","",Sync!$Y1296)</f>
        <v/>
      </c>
    </row>
    <row r="1297">
      <c r="A1297">
        <f>IF(OR(Wages!$B1300="",Wages!$E1300=""),"",Wages!$E1300)</f>
        <v/>
      </c>
      <c r="B1297">
        <f>IF($A1297="","",IF(Wages!$C1300="دستمزد گروهی",2,1))</f>
        <v/>
      </c>
      <c r="C1297">
        <f>IF($A1297="","",IF(ISNUMBER(Wages!$B1300),IF(AND(Wages!$B1300&gt;=10000101,Wages!$B1300&lt;=99991231),INT(Wages!$B1300/10000),""),IFERROR(VALUE(TRIM(LEFT(Wages!$B1300,FIND("/",Wages!$B1300)-1))),"")))</f>
        <v/>
      </c>
      <c r="D1297">
        <f>IF(OR($A1297="",$C1297=""),"",IF(ISNUMBER(Wages!$B1300),INT(MOD(Wages!$B1300,10000)/100),IFERROR(VALUE(TRIM(LEFT(MID(Wages!$B1300,FIND("/",Wages!$B1300)+1,20),FIND("/",MID(Wages!$B1300,FIND("/",Wages!$B1300)+1,20))-1))),"")))</f>
        <v/>
      </c>
      <c r="E1297">
        <f>IF(OR($A1297="",$C1297=""),"",IF(ISNUMBER(Wages!$B1300),MOD(Wages!$B1300,100),IFERROR(VALUE(TRIM(MID(MID(Wages!$B1300,FIND("/",Wages!$B1300)+1,20),FIND("/",MID(Wages!$B1300,FIND("/",Wages!$B1300)+1,20))+1,20))),"")))</f>
        <v/>
      </c>
      <c r="F1297">
        <f>IF($A1297="","",IF(OR($C1297="",$D1297="",$E1297="",$C1297&lt;1300,$C1297&gt;1500,$D1297&lt;1,$D1297&gt;12,$E1297&lt;1,$E1297&gt;31),"نامعتبر",RIGHT("0000"&amp;$C1297,4)&amp;"/"&amp;RIGHT("00"&amp;$D1297,2)&amp;"/"&amp;RIGHT("00"&amp;$E1297,2)))</f>
        <v/>
      </c>
      <c r="G1297">
        <f>IF(OR($A1297="",$F1297="",$F1297="نامعتبر"),"",LEFT($F1297,4)&amp;MID($F1297,6,2)&amp;RIGHT($F1297,2)&amp;"0000"&amp;"|"&amp;"1"&amp;RIGHT("00000"&amp;1292,5))</f>
        <v/>
      </c>
      <c r="H1297">
        <f>IF(OR($B1297&lt;&gt;1,$G1297=""),"",COUNTIFS(LdAParty,$A1297,LdAType,1,LdAKey,"&lt;"&amp;$G1297)+COUNTIFS(LdBMember,$A1297,LdBKey,"&lt;"&amp;$G1297)+COUNTIFS(LdCParty,$A1297,LdCKey,"&lt;"&amp;$G1297)+1)</f>
        <v/>
      </c>
      <c r="I1297">
        <f>IF($H1297="","",$A1297&amp;"|"&amp;RIGHT("000000"&amp;$H1297,6))</f>
        <v/>
      </c>
      <c r="J1297">
        <f>IF(OR($B1297&lt;&gt;2,$G1297=""),"",COUNTIFS(LdAParty,$A1297,LdAType,2,LdAKey,"&lt;"&amp;$G1297)+1)</f>
        <v/>
      </c>
      <c r="K1297">
        <f>IF($J1297="","",$A1297&amp;"|"&amp;RIGHT("000000"&amp;$J1297,6))</f>
        <v/>
      </c>
      <c r="L1297">
        <f>IF($A1297="","",IF(Wages!$G1300="",0,Wages!$G1300))</f>
        <v/>
      </c>
      <c r="M1297">
        <f>IF($A1297="","",Wages!$J1300)</f>
        <v/>
      </c>
      <c r="N1297">
        <f>IF($A1297="","",Wages!$D1300)</f>
        <v/>
      </c>
      <c r="P1297">
        <f>IF(OR(Shares!$B1300="",Shares!$C1300=""),"",Shares!$C1300)</f>
        <v/>
      </c>
      <c r="Q1297">
        <f>IF($P1297="","",Shares!$B1300)</f>
        <v/>
      </c>
      <c r="R1297">
        <f>IF($P1297="","",IFERROR(INDEX(WageParty,MATCH($Q1297,WageIds,0)),""))</f>
        <v/>
      </c>
      <c r="S1297">
        <f>IF($P1297="","",IFERROR(INDEX($F$6:$F$2005,MATCH($Q1297,WageIds,0)),""))</f>
        <v/>
      </c>
      <c r="T1297">
        <f>IF(OR($P1297="",$S1297="",$S1297="نامعتبر"),"",LEFT($S1297,4)&amp;MID($S1297,6,2)&amp;RIGHT($S1297,2)&amp;"0000"&amp;"|"&amp;"2"&amp;RIGHT("00000"&amp;1292,5))</f>
        <v/>
      </c>
      <c r="U1297">
        <f>IF($T1297="","",COUNTIFS(LdAParty,$P1297,LdAType,1,LdAKey,"&lt;"&amp;$T1297)+COUNTIFS(LdBMember,$P1297,LdBKey,"&lt;"&amp;$T1297)+COUNTIFS(LdCParty,$P1297,LdCKey,"&lt;"&amp;$T1297)+1)</f>
        <v/>
      </c>
      <c r="V1297">
        <f>IF($U1297="","",$P1297&amp;"|"&amp;RIGHT("000000"&amp;$U1297,6))</f>
        <v/>
      </c>
      <c r="W1297">
        <f>IF($T1297="","",COUNTIFS(LdBGroup,$R1297,LdBKey,"&lt;"&amp;$T1297)+1)</f>
        <v/>
      </c>
      <c r="X1297">
        <f>IF($W1297="","",$R1297&amp;"|"&amp;RIGHT("000000"&amp;$W1297,6))</f>
        <v/>
      </c>
      <c r="Y1297">
        <f>IF($P1297="","",IF(Shares!$E1300="",0,Shares!$E1300))</f>
        <v/>
      </c>
      <c r="Z1297">
        <f>IF($P1297="","",Shares!$H1300)</f>
        <v/>
      </c>
      <c r="AE1297">
        <f>IF(OR(Sync!$S1297="",Sync!$P1297=""),"",Sync!$S1297)</f>
        <v/>
      </c>
      <c r="AF1297">
        <f>IF($AE1297="","",IF(ISNUMBER(Sync!$P1297),IF(AND(Sync!$P1297&gt;=10000101,Sync!$P1297&lt;=99991231),INT(Sync!$P1297/10000),""),IFERROR(VALUE(TRIM(LEFT(Sync!$P1297,FIND("/",Sync!$P1297)-1))),"")))</f>
        <v/>
      </c>
      <c r="AG1297">
        <f>IF(OR($AE1297="",$AF1297=""),"",IF(ISNUMBER(Sync!$P1297),INT(MOD(Sync!$P1297,10000)/100),IFERROR(VALUE(TRIM(LEFT(MID(Sync!$P1297,FIND("/",Sync!$P1297)+1,20),FIND("/",MID(Sync!$P1297,FIND("/",Sync!$P1297)+1,20))-1))),"")))</f>
        <v/>
      </c>
      <c r="AH1297">
        <f>IF(OR($AE1297="",$AF1297=""),"",IF(ISNUMBER(Sync!$P1297),MOD(Sync!$P1297,100),IFERROR(VALUE(TRIM(MID(MID(Sync!$P1297,FIND("/",Sync!$P1297)+1,20),FIND("/",MID(Sync!$P1297,FIND("/",Sync!$P1297)+1,20))+1,20))),"")))</f>
        <v/>
      </c>
      <c r="AI1297">
        <f>IF($AE1297="","",IF(OR($AF1297="",$AG1297="",$AH1297="",$AF1297&lt;1300,$AF1297&gt;1500,$AG1297&lt;1,$AG1297&gt;12,$AH1297&lt;1,$AH1297&gt;31),"نامعتبر",RIGHT("0000"&amp;$AF1297,4)&amp;"/"&amp;RIGHT("00"&amp;$AG1297,2)&amp;"/"&amp;RIGHT("00"&amp;$AH1297,2)))</f>
        <v/>
      </c>
      <c r="AJ1297">
        <f>IF($AE1297="","",IF(Sync!$Q1297="","0000",IF(AND(ISNUMBER(Sync!$Q1297),Sync!$Q1297&gt;=0,Sync!$Q1297&lt;1),RIGHT("00"&amp;HOUR(Sync!$Q1297),2)&amp;RIGHT("00"&amp;MINUTE(Sync!$Q1297),2),IFERROR(RIGHT("00"&amp;VALUE(LEFT(Sync!$Q1297,FIND(":",Sync!$Q1297)-1)),2)&amp;RIGHT("00"&amp;VALUE(MID(Sync!$Q1297,FIND(":",Sync!$Q1297)+1,2)),2),"0000"))))</f>
        <v/>
      </c>
      <c r="AK1297">
        <f>IF(OR($AE1297="",$AI1297="",$AI1297="نامعتبر"),"",LEFT($AI1297,4)&amp;MID($AI1297,6,2)&amp;RIGHT($AI1297,2)&amp;$AJ1297&amp;"|"&amp;"3"&amp;RIGHT("00000"&amp;1292,5))</f>
        <v/>
      </c>
      <c r="AL1297">
        <f>IF($AK1297="","",COUNTIFS(LdAParty,$AE1297,LdAType,1,LdAKey,"&lt;"&amp;$AK1297)+COUNTIFS(LdBMember,$AE1297,LdBKey,"&lt;"&amp;$AK1297)+COUNTIFS(LdCParty,$AE1297,LdCKey,"&lt;"&amp;$AK1297)+1)</f>
        <v/>
      </c>
      <c r="AM1297">
        <f>IF($AL1297="","",$AE1297&amp;"|"&amp;RIGHT("000000"&amp;$AL1297,6))</f>
        <v/>
      </c>
      <c r="AN1297">
        <f>IF($AE1297="","",IF(Sync!$W1297="",0,Sync!$W1297))</f>
        <v/>
      </c>
      <c r="AO1297">
        <f>IF($AE1297="","",IF(Sync!$X1297="",0,Sync!$X1297))</f>
        <v/>
      </c>
      <c r="AP1297">
        <f>IF($AE1297="","",Sync!$R1297)</f>
        <v/>
      </c>
      <c r="AQ1297">
        <f>IF($AE1297="","",Sync!$Y1297)</f>
        <v/>
      </c>
    </row>
    <row r="1298">
      <c r="A1298">
        <f>IF(OR(Wages!$B1301="",Wages!$E1301=""),"",Wages!$E1301)</f>
        <v/>
      </c>
      <c r="B1298">
        <f>IF($A1298="","",IF(Wages!$C1301="دستمزد گروهی",2,1))</f>
        <v/>
      </c>
      <c r="C1298">
        <f>IF($A1298="","",IF(ISNUMBER(Wages!$B1301),IF(AND(Wages!$B1301&gt;=10000101,Wages!$B1301&lt;=99991231),INT(Wages!$B1301/10000),""),IFERROR(VALUE(TRIM(LEFT(Wages!$B1301,FIND("/",Wages!$B1301)-1))),"")))</f>
        <v/>
      </c>
      <c r="D1298">
        <f>IF(OR($A1298="",$C1298=""),"",IF(ISNUMBER(Wages!$B1301),INT(MOD(Wages!$B1301,10000)/100),IFERROR(VALUE(TRIM(LEFT(MID(Wages!$B1301,FIND("/",Wages!$B1301)+1,20),FIND("/",MID(Wages!$B1301,FIND("/",Wages!$B1301)+1,20))-1))),"")))</f>
        <v/>
      </c>
      <c r="E1298">
        <f>IF(OR($A1298="",$C1298=""),"",IF(ISNUMBER(Wages!$B1301),MOD(Wages!$B1301,100),IFERROR(VALUE(TRIM(MID(MID(Wages!$B1301,FIND("/",Wages!$B1301)+1,20),FIND("/",MID(Wages!$B1301,FIND("/",Wages!$B1301)+1,20))+1,20))),"")))</f>
        <v/>
      </c>
      <c r="F1298">
        <f>IF($A1298="","",IF(OR($C1298="",$D1298="",$E1298="",$C1298&lt;1300,$C1298&gt;1500,$D1298&lt;1,$D1298&gt;12,$E1298&lt;1,$E1298&gt;31),"نامعتبر",RIGHT("0000"&amp;$C1298,4)&amp;"/"&amp;RIGHT("00"&amp;$D1298,2)&amp;"/"&amp;RIGHT("00"&amp;$E1298,2)))</f>
        <v/>
      </c>
      <c r="G1298">
        <f>IF(OR($A1298="",$F1298="",$F1298="نامعتبر"),"",LEFT($F1298,4)&amp;MID($F1298,6,2)&amp;RIGHT($F1298,2)&amp;"0000"&amp;"|"&amp;"1"&amp;RIGHT("00000"&amp;1293,5))</f>
        <v/>
      </c>
      <c r="H1298">
        <f>IF(OR($B1298&lt;&gt;1,$G1298=""),"",COUNTIFS(LdAParty,$A1298,LdAType,1,LdAKey,"&lt;"&amp;$G1298)+COUNTIFS(LdBMember,$A1298,LdBKey,"&lt;"&amp;$G1298)+COUNTIFS(LdCParty,$A1298,LdCKey,"&lt;"&amp;$G1298)+1)</f>
        <v/>
      </c>
      <c r="I1298">
        <f>IF($H1298="","",$A1298&amp;"|"&amp;RIGHT("000000"&amp;$H1298,6))</f>
        <v/>
      </c>
      <c r="J1298">
        <f>IF(OR($B1298&lt;&gt;2,$G1298=""),"",COUNTIFS(LdAParty,$A1298,LdAType,2,LdAKey,"&lt;"&amp;$G1298)+1)</f>
        <v/>
      </c>
      <c r="K1298">
        <f>IF($J1298="","",$A1298&amp;"|"&amp;RIGHT("000000"&amp;$J1298,6))</f>
        <v/>
      </c>
      <c r="L1298">
        <f>IF($A1298="","",IF(Wages!$G1301="",0,Wages!$G1301))</f>
        <v/>
      </c>
      <c r="M1298">
        <f>IF($A1298="","",Wages!$J1301)</f>
        <v/>
      </c>
      <c r="N1298">
        <f>IF($A1298="","",Wages!$D1301)</f>
        <v/>
      </c>
      <c r="P1298">
        <f>IF(OR(Shares!$B1301="",Shares!$C1301=""),"",Shares!$C1301)</f>
        <v/>
      </c>
      <c r="Q1298">
        <f>IF($P1298="","",Shares!$B1301)</f>
        <v/>
      </c>
      <c r="R1298">
        <f>IF($P1298="","",IFERROR(INDEX(WageParty,MATCH($Q1298,WageIds,0)),""))</f>
        <v/>
      </c>
      <c r="S1298">
        <f>IF($P1298="","",IFERROR(INDEX($F$6:$F$2005,MATCH($Q1298,WageIds,0)),""))</f>
        <v/>
      </c>
      <c r="T1298">
        <f>IF(OR($P1298="",$S1298="",$S1298="نامعتبر"),"",LEFT($S1298,4)&amp;MID($S1298,6,2)&amp;RIGHT($S1298,2)&amp;"0000"&amp;"|"&amp;"2"&amp;RIGHT("00000"&amp;1293,5))</f>
        <v/>
      </c>
      <c r="U1298">
        <f>IF($T1298="","",COUNTIFS(LdAParty,$P1298,LdAType,1,LdAKey,"&lt;"&amp;$T1298)+COUNTIFS(LdBMember,$P1298,LdBKey,"&lt;"&amp;$T1298)+COUNTIFS(LdCParty,$P1298,LdCKey,"&lt;"&amp;$T1298)+1)</f>
        <v/>
      </c>
      <c r="V1298">
        <f>IF($U1298="","",$P1298&amp;"|"&amp;RIGHT("000000"&amp;$U1298,6))</f>
        <v/>
      </c>
      <c r="W1298">
        <f>IF($T1298="","",COUNTIFS(LdBGroup,$R1298,LdBKey,"&lt;"&amp;$T1298)+1)</f>
        <v/>
      </c>
      <c r="X1298">
        <f>IF($W1298="","",$R1298&amp;"|"&amp;RIGHT("000000"&amp;$W1298,6))</f>
        <v/>
      </c>
      <c r="Y1298">
        <f>IF($P1298="","",IF(Shares!$E1301="",0,Shares!$E1301))</f>
        <v/>
      </c>
      <c r="Z1298">
        <f>IF($P1298="","",Shares!$H1301)</f>
        <v/>
      </c>
      <c r="AE1298">
        <f>IF(OR(Sync!$S1298="",Sync!$P1298=""),"",Sync!$S1298)</f>
        <v/>
      </c>
      <c r="AF1298">
        <f>IF($AE1298="","",IF(ISNUMBER(Sync!$P1298),IF(AND(Sync!$P1298&gt;=10000101,Sync!$P1298&lt;=99991231),INT(Sync!$P1298/10000),""),IFERROR(VALUE(TRIM(LEFT(Sync!$P1298,FIND("/",Sync!$P1298)-1))),"")))</f>
        <v/>
      </c>
      <c r="AG1298">
        <f>IF(OR($AE1298="",$AF1298=""),"",IF(ISNUMBER(Sync!$P1298),INT(MOD(Sync!$P1298,10000)/100),IFERROR(VALUE(TRIM(LEFT(MID(Sync!$P1298,FIND("/",Sync!$P1298)+1,20),FIND("/",MID(Sync!$P1298,FIND("/",Sync!$P1298)+1,20))-1))),"")))</f>
        <v/>
      </c>
      <c r="AH1298">
        <f>IF(OR($AE1298="",$AF1298=""),"",IF(ISNUMBER(Sync!$P1298),MOD(Sync!$P1298,100),IFERROR(VALUE(TRIM(MID(MID(Sync!$P1298,FIND("/",Sync!$P1298)+1,20),FIND("/",MID(Sync!$P1298,FIND("/",Sync!$P1298)+1,20))+1,20))),"")))</f>
        <v/>
      </c>
      <c r="AI1298">
        <f>IF($AE1298="","",IF(OR($AF1298="",$AG1298="",$AH1298="",$AF1298&lt;1300,$AF1298&gt;1500,$AG1298&lt;1,$AG1298&gt;12,$AH1298&lt;1,$AH1298&gt;31),"نامعتبر",RIGHT("0000"&amp;$AF1298,4)&amp;"/"&amp;RIGHT("00"&amp;$AG1298,2)&amp;"/"&amp;RIGHT("00"&amp;$AH1298,2)))</f>
        <v/>
      </c>
      <c r="AJ1298">
        <f>IF($AE1298="","",IF(Sync!$Q1298="","0000",IF(AND(ISNUMBER(Sync!$Q1298),Sync!$Q1298&gt;=0,Sync!$Q1298&lt;1),RIGHT("00"&amp;HOUR(Sync!$Q1298),2)&amp;RIGHT("00"&amp;MINUTE(Sync!$Q1298),2),IFERROR(RIGHT("00"&amp;VALUE(LEFT(Sync!$Q1298,FIND(":",Sync!$Q1298)-1)),2)&amp;RIGHT("00"&amp;VALUE(MID(Sync!$Q1298,FIND(":",Sync!$Q1298)+1,2)),2),"0000"))))</f>
        <v/>
      </c>
      <c r="AK1298">
        <f>IF(OR($AE1298="",$AI1298="",$AI1298="نامعتبر"),"",LEFT($AI1298,4)&amp;MID($AI1298,6,2)&amp;RIGHT($AI1298,2)&amp;$AJ1298&amp;"|"&amp;"3"&amp;RIGHT("00000"&amp;1293,5))</f>
        <v/>
      </c>
      <c r="AL1298">
        <f>IF($AK1298="","",COUNTIFS(LdAParty,$AE1298,LdAType,1,LdAKey,"&lt;"&amp;$AK1298)+COUNTIFS(LdBMember,$AE1298,LdBKey,"&lt;"&amp;$AK1298)+COUNTIFS(LdCParty,$AE1298,LdCKey,"&lt;"&amp;$AK1298)+1)</f>
        <v/>
      </c>
      <c r="AM1298">
        <f>IF($AL1298="","",$AE1298&amp;"|"&amp;RIGHT("000000"&amp;$AL1298,6))</f>
        <v/>
      </c>
      <c r="AN1298">
        <f>IF($AE1298="","",IF(Sync!$W1298="",0,Sync!$W1298))</f>
        <v/>
      </c>
      <c r="AO1298">
        <f>IF($AE1298="","",IF(Sync!$X1298="",0,Sync!$X1298))</f>
        <v/>
      </c>
      <c r="AP1298">
        <f>IF($AE1298="","",Sync!$R1298)</f>
        <v/>
      </c>
      <c r="AQ1298">
        <f>IF($AE1298="","",Sync!$Y1298)</f>
        <v/>
      </c>
    </row>
    <row r="1299">
      <c r="A1299">
        <f>IF(OR(Wages!$B1302="",Wages!$E1302=""),"",Wages!$E1302)</f>
        <v/>
      </c>
      <c r="B1299">
        <f>IF($A1299="","",IF(Wages!$C1302="دستمزد گروهی",2,1))</f>
        <v/>
      </c>
      <c r="C1299">
        <f>IF($A1299="","",IF(ISNUMBER(Wages!$B1302),IF(AND(Wages!$B1302&gt;=10000101,Wages!$B1302&lt;=99991231),INT(Wages!$B1302/10000),""),IFERROR(VALUE(TRIM(LEFT(Wages!$B1302,FIND("/",Wages!$B1302)-1))),"")))</f>
        <v/>
      </c>
      <c r="D1299">
        <f>IF(OR($A1299="",$C1299=""),"",IF(ISNUMBER(Wages!$B1302),INT(MOD(Wages!$B1302,10000)/100),IFERROR(VALUE(TRIM(LEFT(MID(Wages!$B1302,FIND("/",Wages!$B1302)+1,20),FIND("/",MID(Wages!$B1302,FIND("/",Wages!$B1302)+1,20))-1))),"")))</f>
        <v/>
      </c>
      <c r="E1299">
        <f>IF(OR($A1299="",$C1299=""),"",IF(ISNUMBER(Wages!$B1302),MOD(Wages!$B1302,100),IFERROR(VALUE(TRIM(MID(MID(Wages!$B1302,FIND("/",Wages!$B1302)+1,20),FIND("/",MID(Wages!$B1302,FIND("/",Wages!$B1302)+1,20))+1,20))),"")))</f>
        <v/>
      </c>
      <c r="F1299">
        <f>IF($A1299="","",IF(OR($C1299="",$D1299="",$E1299="",$C1299&lt;1300,$C1299&gt;1500,$D1299&lt;1,$D1299&gt;12,$E1299&lt;1,$E1299&gt;31),"نامعتبر",RIGHT("0000"&amp;$C1299,4)&amp;"/"&amp;RIGHT("00"&amp;$D1299,2)&amp;"/"&amp;RIGHT("00"&amp;$E1299,2)))</f>
        <v/>
      </c>
      <c r="G1299">
        <f>IF(OR($A1299="",$F1299="",$F1299="نامعتبر"),"",LEFT($F1299,4)&amp;MID($F1299,6,2)&amp;RIGHT($F1299,2)&amp;"0000"&amp;"|"&amp;"1"&amp;RIGHT("00000"&amp;1294,5))</f>
        <v/>
      </c>
      <c r="H1299">
        <f>IF(OR($B1299&lt;&gt;1,$G1299=""),"",COUNTIFS(LdAParty,$A1299,LdAType,1,LdAKey,"&lt;"&amp;$G1299)+COUNTIFS(LdBMember,$A1299,LdBKey,"&lt;"&amp;$G1299)+COUNTIFS(LdCParty,$A1299,LdCKey,"&lt;"&amp;$G1299)+1)</f>
        <v/>
      </c>
      <c r="I1299">
        <f>IF($H1299="","",$A1299&amp;"|"&amp;RIGHT("000000"&amp;$H1299,6))</f>
        <v/>
      </c>
      <c r="J1299">
        <f>IF(OR($B1299&lt;&gt;2,$G1299=""),"",COUNTIFS(LdAParty,$A1299,LdAType,2,LdAKey,"&lt;"&amp;$G1299)+1)</f>
        <v/>
      </c>
      <c r="K1299">
        <f>IF($J1299="","",$A1299&amp;"|"&amp;RIGHT("000000"&amp;$J1299,6))</f>
        <v/>
      </c>
      <c r="L1299">
        <f>IF($A1299="","",IF(Wages!$G1302="",0,Wages!$G1302))</f>
        <v/>
      </c>
      <c r="M1299">
        <f>IF($A1299="","",Wages!$J1302)</f>
        <v/>
      </c>
      <c r="N1299">
        <f>IF($A1299="","",Wages!$D1302)</f>
        <v/>
      </c>
      <c r="P1299">
        <f>IF(OR(Shares!$B1302="",Shares!$C1302=""),"",Shares!$C1302)</f>
        <v/>
      </c>
      <c r="Q1299">
        <f>IF($P1299="","",Shares!$B1302)</f>
        <v/>
      </c>
      <c r="R1299">
        <f>IF($P1299="","",IFERROR(INDEX(WageParty,MATCH($Q1299,WageIds,0)),""))</f>
        <v/>
      </c>
      <c r="S1299">
        <f>IF($P1299="","",IFERROR(INDEX($F$6:$F$2005,MATCH($Q1299,WageIds,0)),""))</f>
        <v/>
      </c>
      <c r="T1299">
        <f>IF(OR($P1299="",$S1299="",$S1299="نامعتبر"),"",LEFT($S1299,4)&amp;MID($S1299,6,2)&amp;RIGHT($S1299,2)&amp;"0000"&amp;"|"&amp;"2"&amp;RIGHT("00000"&amp;1294,5))</f>
        <v/>
      </c>
      <c r="U1299">
        <f>IF($T1299="","",COUNTIFS(LdAParty,$P1299,LdAType,1,LdAKey,"&lt;"&amp;$T1299)+COUNTIFS(LdBMember,$P1299,LdBKey,"&lt;"&amp;$T1299)+COUNTIFS(LdCParty,$P1299,LdCKey,"&lt;"&amp;$T1299)+1)</f>
        <v/>
      </c>
      <c r="V1299">
        <f>IF($U1299="","",$P1299&amp;"|"&amp;RIGHT("000000"&amp;$U1299,6))</f>
        <v/>
      </c>
      <c r="W1299">
        <f>IF($T1299="","",COUNTIFS(LdBGroup,$R1299,LdBKey,"&lt;"&amp;$T1299)+1)</f>
        <v/>
      </c>
      <c r="X1299">
        <f>IF($W1299="","",$R1299&amp;"|"&amp;RIGHT("000000"&amp;$W1299,6))</f>
        <v/>
      </c>
      <c r="Y1299">
        <f>IF($P1299="","",IF(Shares!$E1302="",0,Shares!$E1302))</f>
        <v/>
      </c>
      <c r="Z1299">
        <f>IF($P1299="","",Shares!$H1302)</f>
        <v/>
      </c>
      <c r="AE1299">
        <f>IF(OR(Sync!$S1299="",Sync!$P1299=""),"",Sync!$S1299)</f>
        <v/>
      </c>
      <c r="AF1299">
        <f>IF($AE1299="","",IF(ISNUMBER(Sync!$P1299),IF(AND(Sync!$P1299&gt;=10000101,Sync!$P1299&lt;=99991231),INT(Sync!$P1299/10000),""),IFERROR(VALUE(TRIM(LEFT(Sync!$P1299,FIND("/",Sync!$P1299)-1))),"")))</f>
        <v/>
      </c>
      <c r="AG1299">
        <f>IF(OR($AE1299="",$AF1299=""),"",IF(ISNUMBER(Sync!$P1299),INT(MOD(Sync!$P1299,10000)/100),IFERROR(VALUE(TRIM(LEFT(MID(Sync!$P1299,FIND("/",Sync!$P1299)+1,20),FIND("/",MID(Sync!$P1299,FIND("/",Sync!$P1299)+1,20))-1))),"")))</f>
        <v/>
      </c>
      <c r="AH1299">
        <f>IF(OR($AE1299="",$AF1299=""),"",IF(ISNUMBER(Sync!$P1299),MOD(Sync!$P1299,100),IFERROR(VALUE(TRIM(MID(MID(Sync!$P1299,FIND("/",Sync!$P1299)+1,20),FIND("/",MID(Sync!$P1299,FIND("/",Sync!$P1299)+1,20))+1,20))),"")))</f>
        <v/>
      </c>
      <c r="AI1299">
        <f>IF($AE1299="","",IF(OR($AF1299="",$AG1299="",$AH1299="",$AF1299&lt;1300,$AF1299&gt;1500,$AG1299&lt;1,$AG1299&gt;12,$AH1299&lt;1,$AH1299&gt;31),"نامعتبر",RIGHT("0000"&amp;$AF1299,4)&amp;"/"&amp;RIGHT("00"&amp;$AG1299,2)&amp;"/"&amp;RIGHT("00"&amp;$AH1299,2)))</f>
        <v/>
      </c>
      <c r="AJ1299">
        <f>IF($AE1299="","",IF(Sync!$Q1299="","0000",IF(AND(ISNUMBER(Sync!$Q1299),Sync!$Q1299&gt;=0,Sync!$Q1299&lt;1),RIGHT("00"&amp;HOUR(Sync!$Q1299),2)&amp;RIGHT("00"&amp;MINUTE(Sync!$Q1299),2),IFERROR(RIGHT("00"&amp;VALUE(LEFT(Sync!$Q1299,FIND(":",Sync!$Q1299)-1)),2)&amp;RIGHT("00"&amp;VALUE(MID(Sync!$Q1299,FIND(":",Sync!$Q1299)+1,2)),2),"0000"))))</f>
        <v/>
      </c>
      <c r="AK1299">
        <f>IF(OR($AE1299="",$AI1299="",$AI1299="نامعتبر"),"",LEFT($AI1299,4)&amp;MID($AI1299,6,2)&amp;RIGHT($AI1299,2)&amp;$AJ1299&amp;"|"&amp;"3"&amp;RIGHT("00000"&amp;1294,5))</f>
        <v/>
      </c>
      <c r="AL1299">
        <f>IF($AK1299="","",COUNTIFS(LdAParty,$AE1299,LdAType,1,LdAKey,"&lt;"&amp;$AK1299)+COUNTIFS(LdBMember,$AE1299,LdBKey,"&lt;"&amp;$AK1299)+COUNTIFS(LdCParty,$AE1299,LdCKey,"&lt;"&amp;$AK1299)+1)</f>
        <v/>
      </c>
      <c r="AM1299">
        <f>IF($AL1299="","",$AE1299&amp;"|"&amp;RIGHT("000000"&amp;$AL1299,6))</f>
        <v/>
      </c>
      <c r="AN1299">
        <f>IF($AE1299="","",IF(Sync!$W1299="",0,Sync!$W1299))</f>
        <v/>
      </c>
      <c r="AO1299">
        <f>IF($AE1299="","",IF(Sync!$X1299="",0,Sync!$X1299))</f>
        <v/>
      </c>
      <c r="AP1299">
        <f>IF($AE1299="","",Sync!$R1299)</f>
        <v/>
      </c>
      <c r="AQ1299">
        <f>IF($AE1299="","",Sync!$Y1299)</f>
        <v/>
      </c>
    </row>
    <row r="1300">
      <c r="A1300">
        <f>IF(OR(Wages!$B1303="",Wages!$E1303=""),"",Wages!$E1303)</f>
        <v/>
      </c>
      <c r="B1300">
        <f>IF($A1300="","",IF(Wages!$C1303="دستمزد گروهی",2,1))</f>
        <v/>
      </c>
      <c r="C1300">
        <f>IF($A1300="","",IF(ISNUMBER(Wages!$B1303),IF(AND(Wages!$B1303&gt;=10000101,Wages!$B1303&lt;=99991231),INT(Wages!$B1303/10000),""),IFERROR(VALUE(TRIM(LEFT(Wages!$B1303,FIND("/",Wages!$B1303)-1))),"")))</f>
        <v/>
      </c>
      <c r="D1300">
        <f>IF(OR($A1300="",$C1300=""),"",IF(ISNUMBER(Wages!$B1303),INT(MOD(Wages!$B1303,10000)/100),IFERROR(VALUE(TRIM(LEFT(MID(Wages!$B1303,FIND("/",Wages!$B1303)+1,20),FIND("/",MID(Wages!$B1303,FIND("/",Wages!$B1303)+1,20))-1))),"")))</f>
        <v/>
      </c>
      <c r="E1300">
        <f>IF(OR($A1300="",$C1300=""),"",IF(ISNUMBER(Wages!$B1303),MOD(Wages!$B1303,100),IFERROR(VALUE(TRIM(MID(MID(Wages!$B1303,FIND("/",Wages!$B1303)+1,20),FIND("/",MID(Wages!$B1303,FIND("/",Wages!$B1303)+1,20))+1,20))),"")))</f>
        <v/>
      </c>
      <c r="F1300">
        <f>IF($A1300="","",IF(OR($C1300="",$D1300="",$E1300="",$C1300&lt;1300,$C1300&gt;1500,$D1300&lt;1,$D1300&gt;12,$E1300&lt;1,$E1300&gt;31),"نامعتبر",RIGHT("0000"&amp;$C1300,4)&amp;"/"&amp;RIGHT("00"&amp;$D1300,2)&amp;"/"&amp;RIGHT("00"&amp;$E1300,2)))</f>
        <v/>
      </c>
      <c r="G1300">
        <f>IF(OR($A1300="",$F1300="",$F1300="نامعتبر"),"",LEFT($F1300,4)&amp;MID($F1300,6,2)&amp;RIGHT($F1300,2)&amp;"0000"&amp;"|"&amp;"1"&amp;RIGHT("00000"&amp;1295,5))</f>
        <v/>
      </c>
      <c r="H1300">
        <f>IF(OR($B1300&lt;&gt;1,$G1300=""),"",COUNTIFS(LdAParty,$A1300,LdAType,1,LdAKey,"&lt;"&amp;$G1300)+COUNTIFS(LdBMember,$A1300,LdBKey,"&lt;"&amp;$G1300)+COUNTIFS(LdCParty,$A1300,LdCKey,"&lt;"&amp;$G1300)+1)</f>
        <v/>
      </c>
      <c r="I1300">
        <f>IF($H1300="","",$A1300&amp;"|"&amp;RIGHT("000000"&amp;$H1300,6))</f>
        <v/>
      </c>
      <c r="J1300">
        <f>IF(OR($B1300&lt;&gt;2,$G1300=""),"",COUNTIFS(LdAParty,$A1300,LdAType,2,LdAKey,"&lt;"&amp;$G1300)+1)</f>
        <v/>
      </c>
      <c r="K1300">
        <f>IF($J1300="","",$A1300&amp;"|"&amp;RIGHT("000000"&amp;$J1300,6))</f>
        <v/>
      </c>
      <c r="L1300">
        <f>IF($A1300="","",IF(Wages!$G1303="",0,Wages!$G1303))</f>
        <v/>
      </c>
      <c r="M1300">
        <f>IF($A1300="","",Wages!$J1303)</f>
        <v/>
      </c>
      <c r="N1300">
        <f>IF($A1300="","",Wages!$D1303)</f>
        <v/>
      </c>
      <c r="P1300">
        <f>IF(OR(Shares!$B1303="",Shares!$C1303=""),"",Shares!$C1303)</f>
        <v/>
      </c>
      <c r="Q1300">
        <f>IF($P1300="","",Shares!$B1303)</f>
        <v/>
      </c>
      <c r="R1300">
        <f>IF($P1300="","",IFERROR(INDEX(WageParty,MATCH($Q1300,WageIds,0)),""))</f>
        <v/>
      </c>
      <c r="S1300">
        <f>IF($P1300="","",IFERROR(INDEX($F$6:$F$2005,MATCH($Q1300,WageIds,0)),""))</f>
        <v/>
      </c>
      <c r="T1300">
        <f>IF(OR($P1300="",$S1300="",$S1300="نامعتبر"),"",LEFT($S1300,4)&amp;MID($S1300,6,2)&amp;RIGHT($S1300,2)&amp;"0000"&amp;"|"&amp;"2"&amp;RIGHT("00000"&amp;1295,5))</f>
        <v/>
      </c>
      <c r="U1300">
        <f>IF($T1300="","",COUNTIFS(LdAParty,$P1300,LdAType,1,LdAKey,"&lt;"&amp;$T1300)+COUNTIFS(LdBMember,$P1300,LdBKey,"&lt;"&amp;$T1300)+COUNTIFS(LdCParty,$P1300,LdCKey,"&lt;"&amp;$T1300)+1)</f>
        <v/>
      </c>
      <c r="V1300">
        <f>IF($U1300="","",$P1300&amp;"|"&amp;RIGHT("000000"&amp;$U1300,6))</f>
        <v/>
      </c>
      <c r="W1300">
        <f>IF($T1300="","",COUNTIFS(LdBGroup,$R1300,LdBKey,"&lt;"&amp;$T1300)+1)</f>
        <v/>
      </c>
      <c r="X1300">
        <f>IF($W1300="","",$R1300&amp;"|"&amp;RIGHT("000000"&amp;$W1300,6))</f>
        <v/>
      </c>
      <c r="Y1300">
        <f>IF($P1300="","",IF(Shares!$E1303="",0,Shares!$E1303))</f>
        <v/>
      </c>
      <c r="Z1300">
        <f>IF($P1300="","",Shares!$H1303)</f>
        <v/>
      </c>
      <c r="AE1300">
        <f>IF(OR(Sync!$S1300="",Sync!$P1300=""),"",Sync!$S1300)</f>
        <v/>
      </c>
      <c r="AF1300">
        <f>IF($AE1300="","",IF(ISNUMBER(Sync!$P1300),IF(AND(Sync!$P1300&gt;=10000101,Sync!$P1300&lt;=99991231),INT(Sync!$P1300/10000),""),IFERROR(VALUE(TRIM(LEFT(Sync!$P1300,FIND("/",Sync!$P1300)-1))),"")))</f>
        <v/>
      </c>
      <c r="AG1300">
        <f>IF(OR($AE1300="",$AF1300=""),"",IF(ISNUMBER(Sync!$P1300),INT(MOD(Sync!$P1300,10000)/100),IFERROR(VALUE(TRIM(LEFT(MID(Sync!$P1300,FIND("/",Sync!$P1300)+1,20),FIND("/",MID(Sync!$P1300,FIND("/",Sync!$P1300)+1,20))-1))),"")))</f>
        <v/>
      </c>
      <c r="AH1300">
        <f>IF(OR($AE1300="",$AF1300=""),"",IF(ISNUMBER(Sync!$P1300),MOD(Sync!$P1300,100),IFERROR(VALUE(TRIM(MID(MID(Sync!$P1300,FIND("/",Sync!$P1300)+1,20),FIND("/",MID(Sync!$P1300,FIND("/",Sync!$P1300)+1,20))+1,20))),"")))</f>
        <v/>
      </c>
      <c r="AI1300">
        <f>IF($AE1300="","",IF(OR($AF1300="",$AG1300="",$AH1300="",$AF1300&lt;1300,$AF1300&gt;1500,$AG1300&lt;1,$AG1300&gt;12,$AH1300&lt;1,$AH1300&gt;31),"نامعتبر",RIGHT("0000"&amp;$AF1300,4)&amp;"/"&amp;RIGHT("00"&amp;$AG1300,2)&amp;"/"&amp;RIGHT("00"&amp;$AH1300,2)))</f>
        <v/>
      </c>
      <c r="AJ1300">
        <f>IF($AE1300="","",IF(Sync!$Q1300="","0000",IF(AND(ISNUMBER(Sync!$Q1300),Sync!$Q1300&gt;=0,Sync!$Q1300&lt;1),RIGHT("00"&amp;HOUR(Sync!$Q1300),2)&amp;RIGHT("00"&amp;MINUTE(Sync!$Q1300),2),IFERROR(RIGHT("00"&amp;VALUE(LEFT(Sync!$Q1300,FIND(":",Sync!$Q1300)-1)),2)&amp;RIGHT("00"&amp;VALUE(MID(Sync!$Q1300,FIND(":",Sync!$Q1300)+1,2)),2),"0000"))))</f>
        <v/>
      </c>
      <c r="AK1300">
        <f>IF(OR($AE1300="",$AI1300="",$AI1300="نامعتبر"),"",LEFT($AI1300,4)&amp;MID($AI1300,6,2)&amp;RIGHT($AI1300,2)&amp;$AJ1300&amp;"|"&amp;"3"&amp;RIGHT("00000"&amp;1295,5))</f>
        <v/>
      </c>
      <c r="AL1300">
        <f>IF($AK1300="","",COUNTIFS(LdAParty,$AE1300,LdAType,1,LdAKey,"&lt;"&amp;$AK1300)+COUNTIFS(LdBMember,$AE1300,LdBKey,"&lt;"&amp;$AK1300)+COUNTIFS(LdCParty,$AE1300,LdCKey,"&lt;"&amp;$AK1300)+1)</f>
        <v/>
      </c>
      <c r="AM1300">
        <f>IF($AL1300="","",$AE1300&amp;"|"&amp;RIGHT("000000"&amp;$AL1300,6))</f>
        <v/>
      </c>
      <c r="AN1300">
        <f>IF($AE1300="","",IF(Sync!$W1300="",0,Sync!$W1300))</f>
        <v/>
      </c>
      <c r="AO1300">
        <f>IF($AE1300="","",IF(Sync!$X1300="",0,Sync!$X1300))</f>
        <v/>
      </c>
      <c r="AP1300">
        <f>IF($AE1300="","",Sync!$R1300)</f>
        <v/>
      </c>
      <c r="AQ1300">
        <f>IF($AE1300="","",Sync!$Y1300)</f>
        <v/>
      </c>
    </row>
    <row r="1301">
      <c r="A1301">
        <f>IF(OR(Wages!$B1304="",Wages!$E1304=""),"",Wages!$E1304)</f>
        <v/>
      </c>
      <c r="B1301">
        <f>IF($A1301="","",IF(Wages!$C1304="دستمزد گروهی",2,1))</f>
        <v/>
      </c>
      <c r="C1301">
        <f>IF($A1301="","",IF(ISNUMBER(Wages!$B1304),IF(AND(Wages!$B1304&gt;=10000101,Wages!$B1304&lt;=99991231),INT(Wages!$B1304/10000),""),IFERROR(VALUE(TRIM(LEFT(Wages!$B1304,FIND("/",Wages!$B1304)-1))),"")))</f>
        <v/>
      </c>
      <c r="D1301">
        <f>IF(OR($A1301="",$C1301=""),"",IF(ISNUMBER(Wages!$B1304),INT(MOD(Wages!$B1304,10000)/100),IFERROR(VALUE(TRIM(LEFT(MID(Wages!$B1304,FIND("/",Wages!$B1304)+1,20),FIND("/",MID(Wages!$B1304,FIND("/",Wages!$B1304)+1,20))-1))),"")))</f>
        <v/>
      </c>
      <c r="E1301">
        <f>IF(OR($A1301="",$C1301=""),"",IF(ISNUMBER(Wages!$B1304),MOD(Wages!$B1304,100),IFERROR(VALUE(TRIM(MID(MID(Wages!$B1304,FIND("/",Wages!$B1304)+1,20),FIND("/",MID(Wages!$B1304,FIND("/",Wages!$B1304)+1,20))+1,20))),"")))</f>
        <v/>
      </c>
      <c r="F1301">
        <f>IF($A1301="","",IF(OR($C1301="",$D1301="",$E1301="",$C1301&lt;1300,$C1301&gt;1500,$D1301&lt;1,$D1301&gt;12,$E1301&lt;1,$E1301&gt;31),"نامعتبر",RIGHT("0000"&amp;$C1301,4)&amp;"/"&amp;RIGHT("00"&amp;$D1301,2)&amp;"/"&amp;RIGHT("00"&amp;$E1301,2)))</f>
        <v/>
      </c>
      <c r="G1301">
        <f>IF(OR($A1301="",$F1301="",$F1301="نامعتبر"),"",LEFT($F1301,4)&amp;MID($F1301,6,2)&amp;RIGHT($F1301,2)&amp;"0000"&amp;"|"&amp;"1"&amp;RIGHT("00000"&amp;1296,5))</f>
        <v/>
      </c>
      <c r="H1301">
        <f>IF(OR($B1301&lt;&gt;1,$G1301=""),"",COUNTIFS(LdAParty,$A1301,LdAType,1,LdAKey,"&lt;"&amp;$G1301)+COUNTIFS(LdBMember,$A1301,LdBKey,"&lt;"&amp;$G1301)+COUNTIFS(LdCParty,$A1301,LdCKey,"&lt;"&amp;$G1301)+1)</f>
        <v/>
      </c>
      <c r="I1301">
        <f>IF($H1301="","",$A1301&amp;"|"&amp;RIGHT("000000"&amp;$H1301,6))</f>
        <v/>
      </c>
      <c r="J1301">
        <f>IF(OR($B1301&lt;&gt;2,$G1301=""),"",COUNTIFS(LdAParty,$A1301,LdAType,2,LdAKey,"&lt;"&amp;$G1301)+1)</f>
        <v/>
      </c>
      <c r="K1301">
        <f>IF($J1301="","",$A1301&amp;"|"&amp;RIGHT("000000"&amp;$J1301,6))</f>
        <v/>
      </c>
      <c r="L1301">
        <f>IF($A1301="","",IF(Wages!$G1304="",0,Wages!$G1304))</f>
        <v/>
      </c>
      <c r="M1301">
        <f>IF($A1301="","",Wages!$J1304)</f>
        <v/>
      </c>
      <c r="N1301">
        <f>IF($A1301="","",Wages!$D1304)</f>
        <v/>
      </c>
      <c r="P1301">
        <f>IF(OR(Shares!$B1304="",Shares!$C1304=""),"",Shares!$C1304)</f>
        <v/>
      </c>
      <c r="Q1301">
        <f>IF($P1301="","",Shares!$B1304)</f>
        <v/>
      </c>
      <c r="R1301">
        <f>IF($P1301="","",IFERROR(INDEX(WageParty,MATCH($Q1301,WageIds,0)),""))</f>
        <v/>
      </c>
      <c r="S1301">
        <f>IF($P1301="","",IFERROR(INDEX($F$6:$F$2005,MATCH($Q1301,WageIds,0)),""))</f>
        <v/>
      </c>
      <c r="T1301">
        <f>IF(OR($P1301="",$S1301="",$S1301="نامعتبر"),"",LEFT($S1301,4)&amp;MID($S1301,6,2)&amp;RIGHT($S1301,2)&amp;"0000"&amp;"|"&amp;"2"&amp;RIGHT("00000"&amp;1296,5))</f>
        <v/>
      </c>
      <c r="U1301">
        <f>IF($T1301="","",COUNTIFS(LdAParty,$P1301,LdAType,1,LdAKey,"&lt;"&amp;$T1301)+COUNTIFS(LdBMember,$P1301,LdBKey,"&lt;"&amp;$T1301)+COUNTIFS(LdCParty,$P1301,LdCKey,"&lt;"&amp;$T1301)+1)</f>
        <v/>
      </c>
      <c r="V1301">
        <f>IF($U1301="","",$P1301&amp;"|"&amp;RIGHT("000000"&amp;$U1301,6))</f>
        <v/>
      </c>
      <c r="W1301">
        <f>IF($T1301="","",COUNTIFS(LdBGroup,$R1301,LdBKey,"&lt;"&amp;$T1301)+1)</f>
        <v/>
      </c>
      <c r="X1301">
        <f>IF($W1301="","",$R1301&amp;"|"&amp;RIGHT("000000"&amp;$W1301,6))</f>
        <v/>
      </c>
      <c r="Y1301">
        <f>IF($P1301="","",IF(Shares!$E1304="",0,Shares!$E1304))</f>
        <v/>
      </c>
      <c r="Z1301">
        <f>IF($P1301="","",Shares!$H1304)</f>
        <v/>
      </c>
      <c r="AE1301">
        <f>IF(OR(Sync!$S1301="",Sync!$P1301=""),"",Sync!$S1301)</f>
        <v/>
      </c>
      <c r="AF1301">
        <f>IF($AE1301="","",IF(ISNUMBER(Sync!$P1301),IF(AND(Sync!$P1301&gt;=10000101,Sync!$P1301&lt;=99991231),INT(Sync!$P1301/10000),""),IFERROR(VALUE(TRIM(LEFT(Sync!$P1301,FIND("/",Sync!$P1301)-1))),"")))</f>
        <v/>
      </c>
      <c r="AG1301">
        <f>IF(OR($AE1301="",$AF1301=""),"",IF(ISNUMBER(Sync!$P1301),INT(MOD(Sync!$P1301,10000)/100),IFERROR(VALUE(TRIM(LEFT(MID(Sync!$P1301,FIND("/",Sync!$P1301)+1,20),FIND("/",MID(Sync!$P1301,FIND("/",Sync!$P1301)+1,20))-1))),"")))</f>
        <v/>
      </c>
      <c r="AH1301">
        <f>IF(OR($AE1301="",$AF1301=""),"",IF(ISNUMBER(Sync!$P1301),MOD(Sync!$P1301,100),IFERROR(VALUE(TRIM(MID(MID(Sync!$P1301,FIND("/",Sync!$P1301)+1,20),FIND("/",MID(Sync!$P1301,FIND("/",Sync!$P1301)+1,20))+1,20))),"")))</f>
        <v/>
      </c>
      <c r="AI1301">
        <f>IF($AE1301="","",IF(OR($AF1301="",$AG1301="",$AH1301="",$AF1301&lt;1300,$AF1301&gt;1500,$AG1301&lt;1,$AG1301&gt;12,$AH1301&lt;1,$AH1301&gt;31),"نامعتبر",RIGHT("0000"&amp;$AF1301,4)&amp;"/"&amp;RIGHT("00"&amp;$AG1301,2)&amp;"/"&amp;RIGHT("00"&amp;$AH1301,2)))</f>
        <v/>
      </c>
      <c r="AJ1301">
        <f>IF($AE1301="","",IF(Sync!$Q1301="","0000",IF(AND(ISNUMBER(Sync!$Q1301),Sync!$Q1301&gt;=0,Sync!$Q1301&lt;1),RIGHT("00"&amp;HOUR(Sync!$Q1301),2)&amp;RIGHT("00"&amp;MINUTE(Sync!$Q1301),2),IFERROR(RIGHT("00"&amp;VALUE(LEFT(Sync!$Q1301,FIND(":",Sync!$Q1301)-1)),2)&amp;RIGHT("00"&amp;VALUE(MID(Sync!$Q1301,FIND(":",Sync!$Q1301)+1,2)),2),"0000"))))</f>
        <v/>
      </c>
      <c r="AK1301">
        <f>IF(OR($AE1301="",$AI1301="",$AI1301="نامعتبر"),"",LEFT($AI1301,4)&amp;MID($AI1301,6,2)&amp;RIGHT($AI1301,2)&amp;$AJ1301&amp;"|"&amp;"3"&amp;RIGHT("00000"&amp;1296,5))</f>
        <v/>
      </c>
      <c r="AL1301">
        <f>IF($AK1301="","",COUNTIFS(LdAParty,$AE1301,LdAType,1,LdAKey,"&lt;"&amp;$AK1301)+COUNTIFS(LdBMember,$AE1301,LdBKey,"&lt;"&amp;$AK1301)+COUNTIFS(LdCParty,$AE1301,LdCKey,"&lt;"&amp;$AK1301)+1)</f>
        <v/>
      </c>
      <c r="AM1301">
        <f>IF($AL1301="","",$AE1301&amp;"|"&amp;RIGHT("000000"&amp;$AL1301,6))</f>
        <v/>
      </c>
      <c r="AN1301">
        <f>IF($AE1301="","",IF(Sync!$W1301="",0,Sync!$W1301))</f>
        <v/>
      </c>
      <c r="AO1301">
        <f>IF($AE1301="","",IF(Sync!$X1301="",0,Sync!$X1301))</f>
        <v/>
      </c>
      <c r="AP1301">
        <f>IF($AE1301="","",Sync!$R1301)</f>
        <v/>
      </c>
      <c r="AQ1301">
        <f>IF($AE1301="","",Sync!$Y1301)</f>
        <v/>
      </c>
    </row>
    <row r="1302">
      <c r="A1302">
        <f>IF(OR(Wages!$B1305="",Wages!$E1305=""),"",Wages!$E1305)</f>
        <v/>
      </c>
      <c r="B1302">
        <f>IF($A1302="","",IF(Wages!$C1305="دستمزد گروهی",2,1))</f>
        <v/>
      </c>
      <c r="C1302">
        <f>IF($A1302="","",IF(ISNUMBER(Wages!$B1305),IF(AND(Wages!$B1305&gt;=10000101,Wages!$B1305&lt;=99991231),INT(Wages!$B1305/10000),""),IFERROR(VALUE(TRIM(LEFT(Wages!$B1305,FIND("/",Wages!$B1305)-1))),"")))</f>
        <v/>
      </c>
      <c r="D1302">
        <f>IF(OR($A1302="",$C1302=""),"",IF(ISNUMBER(Wages!$B1305),INT(MOD(Wages!$B1305,10000)/100),IFERROR(VALUE(TRIM(LEFT(MID(Wages!$B1305,FIND("/",Wages!$B1305)+1,20),FIND("/",MID(Wages!$B1305,FIND("/",Wages!$B1305)+1,20))-1))),"")))</f>
        <v/>
      </c>
      <c r="E1302">
        <f>IF(OR($A1302="",$C1302=""),"",IF(ISNUMBER(Wages!$B1305),MOD(Wages!$B1305,100),IFERROR(VALUE(TRIM(MID(MID(Wages!$B1305,FIND("/",Wages!$B1305)+1,20),FIND("/",MID(Wages!$B1305,FIND("/",Wages!$B1305)+1,20))+1,20))),"")))</f>
        <v/>
      </c>
      <c r="F1302">
        <f>IF($A1302="","",IF(OR($C1302="",$D1302="",$E1302="",$C1302&lt;1300,$C1302&gt;1500,$D1302&lt;1,$D1302&gt;12,$E1302&lt;1,$E1302&gt;31),"نامعتبر",RIGHT("0000"&amp;$C1302,4)&amp;"/"&amp;RIGHT("00"&amp;$D1302,2)&amp;"/"&amp;RIGHT("00"&amp;$E1302,2)))</f>
        <v/>
      </c>
      <c r="G1302">
        <f>IF(OR($A1302="",$F1302="",$F1302="نامعتبر"),"",LEFT($F1302,4)&amp;MID($F1302,6,2)&amp;RIGHT($F1302,2)&amp;"0000"&amp;"|"&amp;"1"&amp;RIGHT("00000"&amp;1297,5))</f>
        <v/>
      </c>
      <c r="H1302">
        <f>IF(OR($B1302&lt;&gt;1,$G1302=""),"",COUNTIFS(LdAParty,$A1302,LdAType,1,LdAKey,"&lt;"&amp;$G1302)+COUNTIFS(LdBMember,$A1302,LdBKey,"&lt;"&amp;$G1302)+COUNTIFS(LdCParty,$A1302,LdCKey,"&lt;"&amp;$G1302)+1)</f>
        <v/>
      </c>
      <c r="I1302">
        <f>IF($H1302="","",$A1302&amp;"|"&amp;RIGHT("000000"&amp;$H1302,6))</f>
        <v/>
      </c>
      <c r="J1302">
        <f>IF(OR($B1302&lt;&gt;2,$G1302=""),"",COUNTIFS(LdAParty,$A1302,LdAType,2,LdAKey,"&lt;"&amp;$G1302)+1)</f>
        <v/>
      </c>
      <c r="K1302">
        <f>IF($J1302="","",$A1302&amp;"|"&amp;RIGHT("000000"&amp;$J1302,6))</f>
        <v/>
      </c>
      <c r="L1302">
        <f>IF($A1302="","",IF(Wages!$G1305="",0,Wages!$G1305))</f>
        <v/>
      </c>
      <c r="M1302">
        <f>IF($A1302="","",Wages!$J1305)</f>
        <v/>
      </c>
      <c r="N1302">
        <f>IF($A1302="","",Wages!$D1305)</f>
        <v/>
      </c>
      <c r="P1302">
        <f>IF(OR(Shares!$B1305="",Shares!$C1305=""),"",Shares!$C1305)</f>
        <v/>
      </c>
      <c r="Q1302">
        <f>IF($P1302="","",Shares!$B1305)</f>
        <v/>
      </c>
      <c r="R1302">
        <f>IF($P1302="","",IFERROR(INDEX(WageParty,MATCH($Q1302,WageIds,0)),""))</f>
        <v/>
      </c>
      <c r="S1302">
        <f>IF($P1302="","",IFERROR(INDEX($F$6:$F$2005,MATCH($Q1302,WageIds,0)),""))</f>
        <v/>
      </c>
      <c r="T1302">
        <f>IF(OR($P1302="",$S1302="",$S1302="نامعتبر"),"",LEFT($S1302,4)&amp;MID($S1302,6,2)&amp;RIGHT($S1302,2)&amp;"0000"&amp;"|"&amp;"2"&amp;RIGHT("00000"&amp;1297,5))</f>
        <v/>
      </c>
      <c r="U1302">
        <f>IF($T1302="","",COUNTIFS(LdAParty,$P1302,LdAType,1,LdAKey,"&lt;"&amp;$T1302)+COUNTIFS(LdBMember,$P1302,LdBKey,"&lt;"&amp;$T1302)+COUNTIFS(LdCParty,$P1302,LdCKey,"&lt;"&amp;$T1302)+1)</f>
        <v/>
      </c>
      <c r="V1302">
        <f>IF($U1302="","",$P1302&amp;"|"&amp;RIGHT("000000"&amp;$U1302,6))</f>
        <v/>
      </c>
      <c r="W1302">
        <f>IF($T1302="","",COUNTIFS(LdBGroup,$R1302,LdBKey,"&lt;"&amp;$T1302)+1)</f>
        <v/>
      </c>
      <c r="X1302">
        <f>IF($W1302="","",$R1302&amp;"|"&amp;RIGHT("000000"&amp;$W1302,6))</f>
        <v/>
      </c>
      <c r="Y1302">
        <f>IF($P1302="","",IF(Shares!$E1305="",0,Shares!$E1305))</f>
        <v/>
      </c>
      <c r="Z1302">
        <f>IF($P1302="","",Shares!$H1305)</f>
        <v/>
      </c>
      <c r="AE1302">
        <f>IF(OR(Sync!$S1302="",Sync!$P1302=""),"",Sync!$S1302)</f>
        <v/>
      </c>
      <c r="AF1302">
        <f>IF($AE1302="","",IF(ISNUMBER(Sync!$P1302),IF(AND(Sync!$P1302&gt;=10000101,Sync!$P1302&lt;=99991231),INT(Sync!$P1302/10000),""),IFERROR(VALUE(TRIM(LEFT(Sync!$P1302,FIND("/",Sync!$P1302)-1))),"")))</f>
        <v/>
      </c>
      <c r="AG1302">
        <f>IF(OR($AE1302="",$AF1302=""),"",IF(ISNUMBER(Sync!$P1302),INT(MOD(Sync!$P1302,10000)/100),IFERROR(VALUE(TRIM(LEFT(MID(Sync!$P1302,FIND("/",Sync!$P1302)+1,20),FIND("/",MID(Sync!$P1302,FIND("/",Sync!$P1302)+1,20))-1))),"")))</f>
        <v/>
      </c>
      <c r="AH1302">
        <f>IF(OR($AE1302="",$AF1302=""),"",IF(ISNUMBER(Sync!$P1302),MOD(Sync!$P1302,100),IFERROR(VALUE(TRIM(MID(MID(Sync!$P1302,FIND("/",Sync!$P1302)+1,20),FIND("/",MID(Sync!$P1302,FIND("/",Sync!$P1302)+1,20))+1,20))),"")))</f>
        <v/>
      </c>
      <c r="AI1302">
        <f>IF($AE1302="","",IF(OR($AF1302="",$AG1302="",$AH1302="",$AF1302&lt;1300,$AF1302&gt;1500,$AG1302&lt;1,$AG1302&gt;12,$AH1302&lt;1,$AH1302&gt;31),"نامعتبر",RIGHT("0000"&amp;$AF1302,4)&amp;"/"&amp;RIGHT("00"&amp;$AG1302,2)&amp;"/"&amp;RIGHT("00"&amp;$AH1302,2)))</f>
        <v/>
      </c>
      <c r="AJ1302">
        <f>IF($AE1302="","",IF(Sync!$Q1302="","0000",IF(AND(ISNUMBER(Sync!$Q1302),Sync!$Q1302&gt;=0,Sync!$Q1302&lt;1),RIGHT("00"&amp;HOUR(Sync!$Q1302),2)&amp;RIGHT("00"&amp;MINUTE(Sync!$Q1302),2),IFERROR(RIGHT("00"&amp;VALUE(LEFT(Sync!$Q1302,FIND(":",Sync!$Q1302)-1)),2)&amp;RIGHT("00"&amp;VALUE(MID(Sync!$Q1302,FIND(":",Sync!$Q1302)+1,2)),2),"0000"))))</f>
        <v/>
      </c>
      <c r="AK1302">
        <f>IF(OR($AE1302="",$AI1302="",$AI1302="نامعتبر"),"",LEFT($AI1302,4)&amp;MID($AI1302,6,2)&amp;RIGHT($AI1302,2)&amp;$AJ1302&amp;"|"&amp;"3"&amp;RIGHT("00000"&amp;1297,5))</f>
        <v/>
      </c>
      <c r="AL1302">
        <f>IF($AK1302="","",COUNTIFS(LdAParty,$AE1302,LdAType,1,LdAKey,"&lt;"&amp;$AK1302)+COUNTIFS(LdBMember,$AE1302,LdBKey,"&lt;"&amp;$AK1302)+COUNTIFS(LdCParty,$AE1302,LdCKey,"&lt;"&amp;$AK1302)+1)</f>
        <v/>
      </c>
      <c r="AM1302">
        <f>IF($AL1302="","",$AE1302&amp;"|"&amp;RIGHT("000000"&amp;$AL1302,6))</f>
        <v/>
      </c>
      <c r="AN1302">
        <f>IF($AE1302="","",IF(Sync!$W1302="",0,Sync!$W1302))</f>
        <v/>
      </c>
      <c r="AO1302">
        <f>IF($AE1302="","",IF(Sync!$X1302="",0,Sync!$X1302))</f>
        <v/>
      </c>
      <c r="AP1302">
        <f>IF($AE1302="","",Sync!$R1302)</f>
        <v/>
      </c>
      <c r="AQ1302">
        <f>IF($AE1302="","",Sync!$Y1302)</f>
        <v/>
      </c>
    </row>
    <row r="1303">
      <c r="A1303">
        <f>IF(OR(Wages!$B1306="",Wages!$E1306=""),"",Wages!$E1306)</f>
        <v/>
      </c>
      <c r="B1303">
        <f>IF($A1303="","",IF(Wages!$C1306="دستمزد گروهی",2,1))</f>
        <v/>
      </c>
      <c r="C1303">
        <f>IF($A1303="","",IF(ISNUMBER(Wages!$B1306),IF(AND(Wages!$B1306&gt;=10000101,Wages!$B1306&lt;=99991231),INT(Wages!$B1306/10000),""),IFERROR(VALUE(TRIM(LEFT(Wages!$B1306,FIND("/",Wages!$B1306)-1))),"")))</f>
        <v/>
      </c>
      <c r="D1303">
        <f>IF(OR($A1303="",$C1303=""),"",IF(ISNUMBER(Wages!$B1306),INT(MOD(Wages!$B1306,10000)/100),IFERROR(VALUE(TRIM(LEFT(MID(Wages!$B1306,FIND("/",Wages!$B1306)+1,20),FIND("/",MID(Wages!$B1306,FIND("/",Wages!$B1306)+1,20))-1))),"")))</f>
        <v/>
      </c>
      <c r="E1303">
        <f>IF(OR($A1303="",$C1303=""),"",IF(ISNUMBER(Wages!$B1306),MOD(Wages!$B1306,100),IFERROR(VALUE(TRIM(MID(MID(Wages!$B1306,FIND("/",Wages!$B1306)+1,20),FIND("/",MID(Wages!$B1306,FIND("/",Wages!$B1306)+1,20))+1,20))),"")))</f>
        <v/>
      </c>
      <c r="F1303">
        <f>IF($A1303="","",IF(OR($C1303="",$D1303="",$E1303="",$C1303&lt;1300,$C1303&gt;1500,$D1303&lt;1,$D1303&gt;12,$E1303&lt;1,$E1303&gt;31),"نامعتبر",RIGHT("0000"&amp;$C1303,4)&amp;"/"&amp;RIGHT("00"&amp;$D1303,2)&amp;"/"&amp;RIGHT("00"&amp;$E1303,2)))</f>
        <v/>
      </c>
      <c r="G1303">
        <f>IF(OR($A1303="",$F1303="",$F1303="نامعتبر"),"",LEFT($F1303,4)&amp;MID($F1303,6,2)&amp;RIGHT($F1303,2)&amp;"0000"&amp;"|"&amp;"1"&amp;RIGHT("00000"&amp;1298,5))</f>
        <v/>
      </c>
      <c r="H1303">
        <f>IF(OR($B1303&lt;&gt;1,$G1303=""),"",COUNTIFS(LdAParty,$A1303,LdAType,1,LdAKey,"&lt;"&amp;$G1303)+COUNTIFS(LdBMember,$A1303,LdBKey,"&lt;"&amp;$G1303)+COUNTIFS(LdCParty,$A1303,LdCKey,"&lt;"&amp;$G1303)+1)</f>
        <v/>
      </c>
      <c r="I1303">
        <f>IF($H1303="","",$A1303&amp;"|"&amp;RIGHT("000000"&amp;$H1303,6))</f>
        <v/>
      </c>
      <c r="J1303">
        <f>IF(OR($B1303&lt;&gt;2,$G1303=""),"",COUNTIFS(LdAParty,$A1303,LdAType,2,LdAKey,"&lt;"&amp;$G1303)+1)</f>
        <v/>
      </c>
      <c r="K1303">
        <f>IF($J1303="","",$A1303&amp;"|"&amp;RIGHT("000000"&amp;$J1303,6))</f>
        <v/>
      </c>
      <c r="L1303">
        <f>IF($A1303="","",IF(Wages!$G1306="",0,Wages!$G1306))</f>
        <v/>
      </c>
      <c r="M1303">
        <f>IF($A1303="","",Wages!$J1306)</f>
        <v/>
      </c>
      <c r="N1303">
        <f>IF($A1303="","",Wages!$D1306)</f>
        <v/>
      </c>
      <c r="P1303">
        <f>IF(OR(Shares!$B1306="",Shares!$C1306=""),"",Shares!$C1306)</f>
        <v/>
      </c>
      <c r="Q1303">
        <f>IF($P1303="","",Shares!$B1306)</f>
        <v/>
      </c>
      <c r="R1303">
        <f>IF($P1303="","",IFERROR(INDEX(WageParty,MATCH($Q1303,WageIds,0)),""))</f>
        <v/>
      </c>
      <c r="S1303">
        <f>IF($P1303="","",IFERROR(INDEX($F$6:$F$2005,MATCH($Q1303,WageIds,0)),""))</f>
        <v/>
      </c>
      <c r="T1303">
        <f>IF(OR($P1303="",$S1303="",$S1303="نامعتبر"),"",LEFT($S1303,4)&amp;MID($S1303,6,2)&amp;RIGHT($S1303,2)&amp;"0000"&amp;"|"&amp;"2"&amp;RIGHT("00000"&amp;1298,5))</f>
        <v/>
      </c>
      <c r="U1303">
        <f>IF($T1303="","",COUNTIFS(LdAParty,$P1303,LdAType,1,LdAKey,"&lt;"&amp;$T1303)+COUNTIFS(LdBMember,$P1303,LdBKey,"&lt;"&amp;$T1303)+COUNTIFS(LdCParty,$P1303,LdCKey,"&lt;"&amp;$T1303)+1)</f>
        <v/>
      </c>
      <c r="V1303">
        <f>IF($U1303="","",$P1303&amp;"|"&amp;RIGHT("000000"&amp;$U1303,6))</f>
        <v/>
      </c>
      <c r="W1303">
        <f>IF($T1303="","",COUNTIFS(LdBGroup,$R1303,LdBKey,"&lt;"&amp;$T1303)+1)</f>
        <v/>
      </c>
      <c r="X1303">
        <f>IF($W1303="","",$R1303&amp;"|"&amp;RIGHT("000000"&amp;$W1303,6))</f>
        <v/>
      </c>
      <c r="Y1303">
        <f>IF($P1303="","",IF(Shares!$E1306="",0,Shares!$E1306))</f>
        <v/>
      </c>
      <c r="Z1303">
        <f>IF($P1303="","",Shares!$H1306)</f>
        <v/>
      </c>
      <c r="AE1303">
        <f>IF(OR(Sync!$S1303="",Sync!$P1303=""),"",Sync!$S1303)</f>
        <v/>
      </c>
      <c r="AF1303">
        <f>IF($AE1303="","",IF(ISNUMBER(Sync!$P1303),IF(AND(Sync!$P1303&gt;=10000101,Sync!$P1303&lt;=99991231),INT(Sync!$P1303/10000),""),IFERROR(VALUE(TRIM(LEFT(Sync!$P1303,FIND("/",Sync!$P1303)-1))),"")))</f>
        <v/>
      </c>
      <c r="AG1303">
        <f>IF(OR($AE1303="",$AF1303=""),"",IF(ISNUMBER(Sync!$P1303),INT(MOD(Sync!$P1303,10000)/100),IFERROR(VALUE(TRIM(LEFT(MID(Sync!$P1303,FIND("/",Sync!$P1303)+1,20),FIND("/",MID(Sync!$P1303,FIND("/",Sync!$P1303)+1,20))-1))),"")))</f>
        <v/>
      </c>
      <c r="AH1303">
        <f>IF(OR($AE1303="",$AF1303=""),"",IF(ISNUMBER(Sync!$P1303),MOD(Sync!$P1303,100),IFERROR(VALUE(TRIM(MID(MID(Sync!$P1303,FIND("/",Sync!$P1303)+1,20),FIND("/",MID(Sync!$P1303,FIND("/",Sync!$P1303)+1,20))+1,20))),"")))</f>
        <v/>
      </c>
      <c r="AI1303">
        <f>IF($AE1303="","",IF(OR($AF1303="",$AG1303="",$AH1303="",$AF1303&lt;1300,$AF1303&gt;1500,$AG1303&lt;1,$AG1303&gt;12,$AH1303&lt;1,$AH1303&gt;31),"نامعتبر",RIGHT("0000"&amp;$AF1303,4)&amp;"/"&amp;RIGHT("00"&amp;$AG1303,2)&amp;"/"&amp;RIGHT("00"&amp;$AH1303,2)))</f>
        <v/>
      </c>
      <c r="AJ1303">
        <f>IF($AE1303="","",IF(Sync!$Q1303="","0000",IF(AND(ISNUMBER(Sync!$Q1303),Sync!$Q1303&gt;=0,Sync!$Q1303&lt;1),RIGHT("00"&amp;HOUR(Sync!$Q1303),2)&amp;RIGHT("00"&amp;MINUTE(Sync!$Q1303),2),IFERROR(RIGHT("00"&amp;VALUE(LEFT(Sync!$Q1303,FIND(":",Sync!$Q1303)-1)),2)&amp;RIGHT("00"&amp;VALUE(MID(Sync!$Q1303,FIND(":",Sync!$Q1303)+1,2)),2),"0000"))))</f>
        <v/>
      </c>
      <c r="AK1303">
        <f>IF(OR($AE1303="",$AI1303="",$AI1303="نامعتبر"),"",LEFT($AI1303,4)&amp;MID($AI1303,6,2)&amp;RIGHT($AI1303,2)&amp;$AJ1303&amp;"|"&amp;"3"&amp;RIGHT("00000"&amp;1298,5))</f>
        <v/>
      </c>
      <c r="AL1303">
        <f>IF($AK1303="","",COUNTIFS(LdAParty,$AE1303,LdAType,1,LdAKey,"&lt;"&amp;$AK1303)+COUNTIFS(LdBMember,$AE1303,LdBKey,"&lt;"&amp;$AK1303)+COUNTIFS(LdCParty,$AE1303,LdCKey,"&lt;"&amp;$AK1303)+1)</f>
        <v/>
      </c>
      <c r="AM1303">
        <f>IF($AL1303="","",$AE1303&amp;"|"&amp;RIGHT("000000"&amp;$AL1303,6))</f>
        <v/>
      </c>
      <c r="AN1303">
        <f>IF($AE1303="","",IF(Sync!$W1303="",0,Sync!$W1303))</f>
        <v/>
      </c>
      <c r="AO1303">
        <f>IF($AE1303="","",IF(Sync!$X1303="",0,Sync!$X1303))</f>
        <v/>
      </c>
      <c r="AP1303">
        <f>IF($AE1303="","",Sync!$R1303)</f>
        <v/>
      </c>
      <c r="AQ1303">
        <f>IF($AE1303="","",Sync!$Y1303)</f>
        <v/>
      </c>
    </row>
    <row r="1304">
      <c r="A1304">
        <f>IF(OR(Wages!$B1307="",Wages!$E1307=""),"",Wages!$E1307)</f>
        <v/>
      </c>
      <c r="B1304">
        <f>IF($A1304="","",IF(Wages!$C1307="دستمزد گروهی",2,1))</f>
        <v/>
      </c>
      <c r="C1304">
        <f>IF($A1304="","",IF(ISNUMBER(Wages!$B1307),IF(AND(Wages!$B1307&gt;=10000101,Wages!$B1307&lt;=99991231),INT(Wages!$B1307/10000),""),IFERROR(VALUE(TRIM(LEFT(Wages!$B1307,FIND("/",Wages!$B1307)-1))),"")))</f>
        <v/>
      </c>
      <c r="D1304">
        <f>IF(OR($A1304="",$C1304=""),"",IF(ISNUMBER(Wages!$B1307),INT(MOD(Wages!$B1307,10000)/100),IFERROR(VALUE(TRIM(LEFT(MID(Wages!$B1307,FIND("/",Wages!$B1307)+1,20),FIND("/",MID(Wages!$B1307,FIND("/",Wages!$B1307)+1,20))-1))),"")))</f>
        <v/>
      </c>
      <c r="E1304">
        <f>IF(OR($A1304="",$C1304=""),"",IF(ISNUMBER(Wages!$B1307),MOD(Wages!$B1307,100),IFERROR(VALUE(TRIM(MID(MID(Wages!$B1307,FIND("/",Wages!$B1307)+1,20),FIND("/",MID(Wages!$B1307,FIND("/",Wages!$B1307)+1,20))+1,20))),"")))</f>
        <v/>
      </c>
      <c r="F1304">
        <f>IF($A1304="","",IF(OR($C1304="",$D1304="",$E1304="",$C1304&lt;1300,$C1304&gt;1500,$D1304&lt;1,$D1304&gt;12,$E1304&lt;1,$E1304&gt;31),"نامعتبر",RIGHT("0000"&amp;$C1304,4)&amp;"/"&amp;RIGHT("00"&amp;$D1304,2)&amp;"/"&amp;RIGHT("00"&amp;$E1304,2)))</f>
        <v/>
      </c>
      <c r="G1304">
        <f>IF(OR($A1304="",$F1304="",$F1304="نامعتبر"),"",LEFT($F1304,4)&amp;MID($F1304,6,2)&amp;RIGHT($F1304,2)&amp;"0000"&amp;"|"&amp;"1"&amp;RIGHT("00000"&amp;1299,5))</f>
        <v/>
      </c>
      <c r="H1304">
        <f>IF(OR($B1304&lt;&gt;1,$G1304=""),"",COUNTIFS(LdAParty,$A1304,LdAType,1,LdAKey,"&lt;"&amp;$G1304)+COUNTIFS(LdBMember,$A1304,LdBKey,"&lt;"&amp;$G1304)+COUNTIFS(LdCParty,$A1304,LdCKey,"&lt;"&amp;$G1304)+1)</f>
        <v/>
      </c>
      <c r="I1304">
        <f>IF($H1304="","",$A1304&amp;"|"&amp;RIGHT("000000"&amp;$H1304,6))</f>
        <v/>
      </c>
      <c r="J1304">
        <f>IF(OR($B1304&lt;&gt;2,$G1304=""),"",COUNTIFS(LdAParty,$A1304,LdAType,2,LdAKey,"&lt;"&amp;$G1304)+1)</f>
        <v/>
      </c>
      <c r="K1304">
        <f>IF($J1304="","",$A1304&amp;"|"&amp;RIGHT("000000"&amp;$J1304,6))</f>
        <v/>
      </c>
      <c r="L1304">
        <f>IF($A1304="","",IF(Wages!$G1307="",0,Wages!$G1307))</f>
        <v/>
      </c>
      <c r="M1304">
        <f>IF($A1304="","",Wages!$J1307)</f>
        <v/>
      </c>
      <c r="N1304">
        <f>IF($A1304="","",Wages!$D1307)</f>
        <v/>
      </c>
      <c r="P1304">
        <f>IF(OR(Shares!$B1307="",Shares!$C1307=""),"",Shares!$C1307)</f>
        <v/>
      </c>
      <c r="Q1304">
        <f>IF($P1304="","",Shares!$B1307)</f>
        <v/>
      </c>
      <c r="R1304">
        <f>IF($P1304="","",IFERROR(INDEX(WageParty,MATCH($Q1304,WageIds,0)),""))</f>
        <v/>
      </c>
      <c r="S1304">
        <f>IF($P1304="","",IFERROR(INDEX($F$6:$F$2005,MATCH($Q1304,WageIds,0)),""))</f>
        <v/>
      </c>
      <c r="T1304">
        <f>IF(OR($P1304="",$S1304="",$S1304="نامعتبر"),"",LEFT($S1304,4)&amp;MID($S1304,6,2)&amp;RIGHT($S1304,2)&amp;"0000"&amp;"|"&amp;"2"&amp;RIGHT("00000"&amp;1299,5))</f>
        <v/>
      </c>
      <c r="U1304">
        <f>IF($T1304="","",COUNTIFS(LdAParty,$P1304,LdAType,1,LdAKey,"&lt;"&amp;$T1304)+COUNTIFS(LdBMember,$P1304,LdBKey,"&lt;"&amp;$T1304)+COUNTIFS(LdCParty,$P1304,LdCKey,"&lt;"&amp;$T1304)+1)</f>
        <v/>
      </c>
      <c r="V1304">
        <f>IF($U1304="","",$P1304&amp;"|"&amp;RIGHT("000000"&amp;$U1304,6))</f>
        <v/>
      </c>
      <c r="W1304">
        <f>IF($T1304="","",COUNTIFS(LdBGroup,$R1304,LdBKey,"&lt;"&amp;$T1304)+1)</f>
        <v/>
      </c>
      <c r="X1304">
        <f>IF($W1304="","",$R1304&amp;"|"&amp;RIGHT("000000"&amp;$W1304,6))</f>
        <v/>
      </c>
      <c r="Y1304">
        <f>IF($P1304="","",IF(Shares!$E1307="",0,Shares!$E1307))</f>
        <v/>
      </c>
      <c r="Z1304">
        <f>IF($P1304="","",Shares!$H1307)</f>
        <v/>
      </c>
      <c r="AE1304">
        <f>IF(OR(Sync!$S1304="",Sync!$P1304=""),"",Sync!$S1304)</f>
        <v/>
      </c>
      <c r="AF1304">
        <f>IF($AE1304="","",IF(ISNUMBER(Sync!$P1304),IF(AND(Sync!$P1304&gt;=10000101,Sync!$P1304&lt;=99991231),INT(Sync!$P1304/10000),""),IFERROR(VALUE(TRIM(LEFT(Sync!$P1304,FIND("/",Sync!$P1304)-1))),"")))</f>
        <v/>
      </c>
      <c r="AG1304">
        <f>IF(OR($AE1304="",$AF1304=""),"",IF(ISNUMBER(Sync!$P1304),INT(MOD(Sync!$P1304,10000)/100),IFERROR(VALUE(TRIM(LEFT(MID(Sync!$P1304,FIND("/",Sync!$P1304)+1,20),FIND("/",MID(Sync!$P1304,FIND("/",Sync!$P1304)+1,20))-1))),"")))</f>
        <v/>
      </c>
      <c r="AH1304">
        <f>IF(OR($AE1304="",$AF1304=""),"",IF(ISNUMBER(Sync!$P1304),MOD(Sync!$P1304,100),IFERROR(VALUE(TRIM(MID(MID(Sync!$P1304,FIND("/",Sync!$P1304)+1,20),FIND("/",MID(Sync!$P1304,FIND("/",Sync!$P1304)+1,20))+1,20))),"")))</f>
        <v/>
      </c>
      <c r="AI1304">
        <f>IF($AE1304="","",IF(OR($AF1304="",$AG1304="",$AH1304="",$AF1304&lt;1300,$AF1304&gt;1500,$AG1304&lt;1,$AG1304&gt;12,$AH1304&lt;1,$AH1304&gt;31),"نامعتبر",RIGHT("0000"&amp;$AF1304,4)&amp;"/"&amp;RIGHT("00"&amp;$AG1304,2)&amp;"/"&amp;RIGHT("00"&amp;$AH1304,2)))</f>
        <v/>
      </c>
      <c r="AJ1304">
        <f>IF($AE1304="","",IF(Sync!$Q1304="","0000",IF(AND(ISNUMBER(Sync!$Q1304),Sync!$Q1304&gt;=0,Sync!$Q1304&lt;1),RIGHT("00"&amp;HOUR(Sync!$Q1304),2)&amp;RIGHT("00"&amp;MINUTE(Sync!$Q1304),2),IFERROR(RIGHT("00"&amp;VALUE(LEFT(Sync!$Q1304,FIND(":",Sync!$Q1304)-1)),2)&amp;RIGHT("00"&amp;VALUE(MID(Sync!$Q1304,FIND(":",Sync!$Q1304)+1,2)),2),"0000"))))</f>
        <v/>
      </c>
      <c r="AK1304">
        <f>IF(OR($AE1304="",$AI1304="",$AI1304="نامعتبر"),"",LEFT($AI1304,4)&amp;MID($AI1304,6,2)&amp;RIGHT($AI1304,2)&amp;$AJ1304&amp;"|"&amp;"3"&amp;RIGHT("00000"&amp;1299,5))</f>
        <v/>
      </c>
      <c r="AL1304">
        <f>IF($AK1304="","",COUNTIFS(LdAParty,$AE1304,LdAType,1,LdAKey,"&lt;"&amp;$AK1304)+COUNTIFS(LdBMember,$AE1304,LdBKey,"&lt;"&amp;$AK1304)+COUNTIFS(LdCParty,$AE1304,LdCKey,"&lt;"&amp;$AK1304)+1)</f>
        <v/>
      </c>
      <c r="AM1304">
        <f>IF($AL1304="","",$AE1304&amp;"|"&amp;RIGHT("000000"&amp;$AL1304,6))</f>
        <v/>
      </c>
      <c r="AN1304">
        <f>IF($AE1304="","",IF(Sync!$W1304="",0,Sync!$W1304))</f>
        <v/>
      </c>
      <c r="AO1304">
        <f>IF($AE1304="","",IF(Sync!$X1304="",0,Sync!$X1304))</f>
        <v/>
      </c>
      <c r="AP1304">
        <f>IF($AE1304="","",Sync!$R1304)</f>
        <v/>
      </c>
      <c r="AQ1304">
        <f>IF($AE1304="","",Sync!$Y1304)</f>
        <v/>
      </c>
    </row>
    <row r="1305">
      <c r="A1305">
        <f>IF(OR(Wages!$B1308="",Wages!$E1308=""),"",Wages!$E1308)</f>
        <v/>
      </c>
      <c r="B1305">
        <f>IF($A1305="","",IF(Wages!$C1308="دستمزد گروهی",2,1))</f>
        <v/>
      </c>
      <c r="C1305">
        <f>IF($A1305="","",IF(ISNUMBER(Wages!$B1308),IF(AND(Wages!$B1308&gt;=10000101,Wages!$B1308&lt;=99991231),INT(Wages!$B1308/10000),""),IFERROR(VALUE(TRIM(LEFT(Wages!$B1308,FIND("/",Wages!$B1308)-1))),"")))</f>
        <v/>
      </c>
      <c r="D1305">
        <f>IF(OR($A1305="",$C1305=""),"",IF(ISNUMBER(Wages!$B1308),INT(MOD(Wages!$B1308,10000)/100),IFERROR(VALUE(TRIM(LEFT(MID(Wages!$B1308,FIND("/",Wages!$B1308)+1,20),FIND("/",MID(Wages!$B1308,FIND("/",Wages!$B1308)+1,20))-1))),"")))</f>
        <v/>
      </c>
      <c r="E1305">
        <f>IF(OR($A1305="",$C1305=""),"",IF(ISNUMBER(Wages!$B1308),MOD(Wages!$B1308,100),IFERROR(VALUE(TRIM(MID(MID(Wages!$B1308,FIND("/",Wages!$B1308)+1,20),FIND("/",MID(Wages!$B1308,FIND("/",Wages!$B1308)+1,20))+1,20))),"")))</f>
        <v/>
      </c>
      <c r="F1305">
        <f>IF($A1305="","",IF(OR($C1305="",$D1305="",$E1305="",$C1305&lt;1300,$C1305&gt;1500,$D1305&lt;1,$D1305&gt;12,$E1305&lt;1,$E1305&gt;31),"نامعتبر",RIGHT("0000"&amp;$C1305,4)&amp;"/"&amp;RIGHT("00"&amp;$D1305,2)&amp;"/"&amp;RIGHT("00"&amp;$E1305,2)))</f>
        <v/>
      </c>
      <c r="G1305">
        <f>IF(OR($A1305="",$F1305="",$F1305="نامعتبر"),"",LEFT($F1305,4)&amp;MID($F1305,6,2)&amp;RIGHT($F1305,2)&amp;"0000"&amp;"|"&amp;"1"&amp;RIGHT("00000"&amp;1300,5))</f>
        <v/>
      </c>
      <c r="H1305">
        <f>IF(OR($B1305&lt;&gt;1,$G1305=""),"",COUNTIFS(LdAParty,$A1305,LdAType,1,LdAKey,"&lt;"&amp;$G1305)+COUNTIFS(LdBMember,$A1305,LdBKey,"&lt;"&amp;$G1305)+COUNTIFS(LdCParty,$A1305,LdCKey,"&lt;"&amp;$G1305)+1)</f>
        <v/>
      </c>
      <c r="I1305">
        <f>IF($H1305="","",$A1305&amp;"|"&amp;RIGHT("000000"&amp;$H1305,6))</f>
        <v/>
      </c>
      <c r="J1305">
        <f>IF(OR($B1305&lt;&gt;2,$G1305=""),"",COUNTIFS(LdAParty,$A1305,LdAType,2,LdAKey,"&lt;"&amp;$G1305)+1)</f>
        <v/>
      </c>
      <c r="K1305">
        <f>IF($J1305="","",$A1305&amp;"|"&amp;RIGHT("000000"&amp;$J1305,6))</f>
        <v/>
      </c>
      <c r="L1305">
        <f>IF($A1305="","",IF(Wages!$G1308="",0,Wages!$G1308))</f>
        <v/>
      </c>
      <c r="M1305">
        <f>IF($A1305="","",Wages!$J1308)</f>
        <v/>
      </c>
      <c r="N1305">
        <f>IF($A1305="","",Wages!$D1308)</f>
        <v/>
      </c>
      <c r="P1305">
        <f>IF(OR(Shares!$B1308="",Shares!$C1308=""),"",Shares!$C1308)</f>
        <v/>
      </c>
      <c r="Q1305">
        <f>IF($P1305="","",Shares!$B1308)</f>
        <v/>
      </c>
      <c r="R1305">
        <f>IF($P1305="","",IFERROR(INDEX(WageParty,MATCH($Q1305,WageIds,0)),""))</f>
        <v/>
      </c>
      <c r="S1305">
        <f>IF($P1305="","",IFERROR(INDEX($F$6:$F$2005,MATCH($Q1305,WageIds,0)),""))</f>
        <v/>
      </c>
      <c r="T1305">
        <f>IF(OR($P1305="",$S1305="",$S1305="نامعتبر"),"",LEFT($S1305,4)&amp;MID($S1305,6,2)&amp;RIGHT($S1305,2)&amp;"0000"&amp;"|"&amp;"2"&amp;RIGHT("00000"&amp;1300,5))</f>
        <v/>
      </c>
      <c r="U1305">
        <f>IF($T1305="","",COUNTIFS(LdAParty,$P1305,LdAType,1,LdAKey,"&lt;"&amp;$T1305)+COUNTIFS(LdBMember,$P1305,LdBKey,"&lt;"&amp;$T1305)+COUNTIFS(LdCParty,$P1305,LdCKey,"&lt;"&amp;$T1305)+1)</f>
        <v/>
      </c>
      <c r="V1305">
        <f>IF($U1305="","",$P1305&amp;"|"&amp;RIGHT("000000"&amp;$U1305,6))</f>
        <v/>
      </c>
      <c r="W1305">
        <f>IF($T1305="","",COUNTIFS(LdBGroup,$R1305,LdBKey,"&lt;"&amp;$T1305)+1)</f>
        <v/>
      </c>
      <c r="X1305">
        <f>IF($W1305="","",$R1305&amp;"|"&amp;RIGHT("000000"&amp;$W1305,6))</f>
        <v/>
      </c>
      <c r="Y1305">
        <f>IF($P1305="","",IF(Shares!$E1308="",0,Shares!$E1308))</f>
        <v/>
      </c>
      <c r="Z1305">
        <f>IF($P1305="","",Shares!$H1308)</f>
        <v/>
      </c>
      <c r="AE1305">
        <f>IF(OR(Sync!$S1305="",Sync!$P1305=""),"",Sync!$S1305)</f>
        <v/>
      </c>
      <c r="AF1305">
        <f>IF($AE1305="","",IF(ISNUMBER(Sync!$P1305),IF(AND(Sync!$P1305&gt;=10000101,Sync!$P1305&lt;=99991231),INT(Sync!$P1305/10000),""),IFERROR(VALUE(TRIM(LEFT(Sync!$P1305,FIND("/",Sync!$P1305)-1))),"")))</f>
        <v/>
      </c>
      <c r="AG1305">
        <f>IF(OR($AE1305="",$AF1305=""),"",IF(ISNUMBER(Sync!$P1305),INT(MOD(Sync!$P1305,10000)/100),IFERROR(VALUE(TRIM(LEFT(MID(Sync!$P1305,FIND("/",Sync!$P1305)+1,20),FIND("/",MID(Sync!$P1305,FIND("/",Sync!$P1305)+1,20))-1))),"")))</f>
        <v/>
      </c>
      <c r="AH1305">
        <f>IF(OR($AE1305="",$AF1305=""),"",IF(ISNUMBER(Sync!$P1305),MOD(Sync!$P1305,100),IFERROR(VALUE(TRIM(MID(MID(Sync!$P1305,FIND("/",Sync!$P1305)+1,20),FIND("/",MID(Sync!$P1305,FIND("/",Sync!$P1305)+1,20))+1,20))),"")))</f>
        <v/>
      </c>
      <c r="AI1305">
        <f>IF($AE1305="","",IF(OR($AF1305="",$AG1305="",$AH1305="",$AF1305&lt;1300,$AF1305&gt;1500,$AG1305&lt;1,$AG1305&gt;12,$AH1305&lt;1,$AH1305&gt;31),"نامعتبر",RIGHT("0000"&amp;$AF1305,4)&amp;"/"&amp;RIGHT("00"&amp;$AG1305,2)&amp;"/"&amp;RIGHT("00"&amp;$AH1305,2)))</f>
        <v/>
      </c>
      <c r="AJ1305">
        <f>IF($AE1305="","",IF(Sync!$Q1305="","0000",IF(AND(ISNUMBER(Sync!$Q1305),Sync!$Q1305&gt;=0,Sync!$Q1305&lt;1),RIGHT("00"&amp;HOUR(Sync!$Q1305),2)&amp;RIGHT("00"&amp;MINUTE(Sync!$Q1305),2),IFERROR(RIGHT("00"&amp;VALUE(LEFT(Sync!$Q1305,FIND(":",Sync!$Q1305)-1)),2)&amp;RIGHT("00"&amp;VALUE(MID(Sync!$Q1305,FIND(":",Sync!$Q1305)+1,2)),2),"0000"))))</f>
        <v/>
      </c>
      <c r="AK1305">
        <f>IF(OR($AE1305="",$AI1305="",$AI1305="نامعتبر"),"",LEFT($AI1305,4)&amp;MID($AI1305,6,2)&amp;RIGHT($AI1305,2)&amp;$AJ1305&amp;"|"&amp;"3"&amp;RIGHT("00000"&amp;1300,5))</f>
        <v/>
      </c>
      <c r="AL1305">
        <f>IF($AK1305="","",COUNTIFS(LdAParty,$AE1305,LdAType,1,LdAKey,"&lt;"&amp;$AK1305)+COUNTIFS(LdBMember,$AE1305,LdBKey,"&lt;"&amp;$AK1305)+COUNTIFS(LdCParty,$AE1305,LdCKey,"&lt;"&amp;$AK1305)+1)</f>
        <v/>
      </c>
      <c r="AM1305">
        <f>IF($AL1305="","",$AE1305&amp;"|"&amp;RIGHT("000000"&amp;$AL1305,6))</f>
        <v/>
      </c>
      <c r="AN1305">
        <f>IF($AE1305="","",IF(Sync!$W1305="",0,Sync!$W1305))</f>
        <v/>
      </c>
      <c r="AO1305">
        <f>IF($AE1305="","",IF(Sync!$X1305="",0,Sync!$X1305))</f>
        <v/>
      </c>
      <c r="AP1305">
        <f>IF($AE1305="","",Sync!$R1305)</f>
        <v/>
      </c>
      <c r="AQ1305">
        <f>IF($AE1305="","",Sync!$Y1305)</f>
        <v/>
      </c>
    </row>
    <row r="1306">
      <c r="A1306">
        <f>IF(OR(Wages!$B1309="",Wages!$E1309=""),"",Wages!$E1309)</f>
        <v/>
      </c>
      <c r="B1306">
        <f>IF($A1306="","",IF(Wages!$C1309="دستمزد گروهی",2,1))</f>
        <v/>
      </c>
      <c r="C1306">
        <f>IF($A1306="","",IF(ISNUMBER(Wages!$B1309),IF(AND(Wages!$B1309&gt;=10000101,Wages!$B1309&lt;=99991231),INT(Wages!$B1309/10000),""),IFERROR(VALUE(TRIM(LEFT(Wages!$B1309,FIND("/",Wages!$B1309)-1))),"")))</f>
        <v/>
      </c>
      <c r="D1306">
        <f>IF(OR($A1306="",$C1306=""),"",IF(ISNUMBER(Wages!$B1309),INT(MOD(Wages!$B1309,10000)/100),IFERROR(VALUE(TRIM(LEFT(MID(Wages!$B1309,FIND("/",Wages!$B1309)+1,20),FIND("/",MID(Wages!$B1309,FIND("/",Wages!$B1309)+1,20))-1))),"")))</f>
        <v/>
      </c>
      <c r="E1306">
        <f>IF(OR($A1306="",$C1306=""),"",IF(ISNUMBER(Wages!$B1309),MOD(Wages!$B1309,100),IFERROR(VALUE(TRIM(MID(MID(Wages!$B1309,FIND("/",Wages!$B1309)+1,20),FIND("/",MID(Wages!$B1309,FIND("/",Wages!$B1309)+1,20))+1,20))),"")))</f>
        <v/>
      </c>
      <c r="F1306">
        <f>IF($A1306="","",IF(OR($C1306="",$D1306="",$E1306="",$C1306&lt;1300,$C1306&gt;1500,$D1306&lt;1,$D1306&gt;12,$E1306&lt;1,$E1306&gt;31),"نامعتبر",RIGHT("0000"&amp;$C1306,4)&amp;"/"&amp;RIGHT("00"&amp;$D1306,2)&amp;"/"&amp;RIGHT("00"&amp;$E1306,2)))</f>
        <v/>
      </c>
      <c r="G1306">
        <f>IF(OR($A1306="",$F1306="",$F1306="نامعتبر"),"",LEFT($F1306,4)&amp;MID($F1306,6,2)&amp;RIGHT($F1306,2)&amp;"0000"&amp;"|"&amp;"1"&amp;RIGHT("00000"&amp;1301,5))</f>
        <v/>
      </c>
      <c r="H1306">
        <f>IF(OR($B1306&lt;&gt;1,$G1306=""),"",COUNTIFS(LdAParty,$A1306,LdAType,1,LdAKey,"&lt;"&amp;$G1306)+COUNTIFS(LdBMember,$A1306,LdBKey,"&lt;"&amp;$G1306)+COUNTIFS(LdCParty,$A1306,LdCKey,"&lt;"&amp;$G1306)+1)</f>
        <v/>
      </c>
      <c r="I1306">
        <f>IF($H1306="","",$A1306&amp;"|"&amp;RIGHT("000000"&amp;$H1306,6))</f>
        <v/>
      </c>
      <c r="J1306">
        <f>IF(OR($B1306&lt;&gt;2,$G1306=""),"",COUNTIFS(LdAParty,$A1306,LdAType,2,LdAKey,"&lt;"&amp;$G1306)+1)</f>
        <v/>
      </c>
      <c r="K1306">
        <f>IF($J1306="","",$A1306&amp;"|"&amp;RIGHT("000000"&amp;$J1306,6))</f>
        <v/>
      </c>
      <c r="L1306">
        <f>IF($A1306="","",IF(Wages!$G1309="",0,Wages!$G1309))</f>
        <v/>
      </c>
      <c r="M1306">
        <f>IF($A1306="","",Wages!$J1309)</f>
        <v/>
      </c>
      <c r="N1306">
        <f>IF($A1306="","",Wages!$D1309)</f>
        <v/>
      </c>
      <c r="P1306">
        <f>IF(OR(Shares!$B1309="",Shares!$C1309=""),"",Shares!$C1309)</f>
        <v/>
      </c>
      <c r="Q1306">
        <f>IF($P1306="","",Shares!$B1309)</f>
        <v/>
      </c>
      <c r="R1306">
        <f>IF($P1306="","",IFERROR(INDEX(WageParty,MATCH($Q1306,WageIds,0)),""))</f>
        <v/>
      </c>
      <c r="S1306">
        <f>IF($P1306="","",IFERROR(INDEX($F$6:$F$2005,MATCH($Q1306,WageIds,0)),""))</f>
        <v/>
      </c>
      <c r="T1306">
        <f>IF(OR($P1306="",$S1306="",$S1306="نامعتبر"),"",LEFT($S1306,4)&amp;MID($S1306,6,2)&amp;RIGHT($S1306,2)&amp;"0000"&amp;"|"&amp;"2"&amp;RIGHT("00000"&amp;1301,5))</f>
        <v/>
      </c>
      <c r="U1306">
        <f>IF($T1306="","",COUNTIFS(LdAParty,$P1306,LdAType,1,LdAKey,"&lt;"&amp;$T1306)+COUNTIFS(LdBMember,$P1306,LdBKey,"&lt;"&amp;$T1306)+COUNTIFS(LdCParty,$P1306,LdCKey,"&lt;"&amp;$T1306)+1)</f>
        <v/>
      </c>
      <c r="V1306">
        <f>IF($U1306="","",$P1306&amp;"|"&amp;RIGHT("000000"&amp;$U1306,6))</f>
        <v/>
      </c>
      <c r="W1306">
        <f>IF($T1306="","",COUNTIFS(LdBGroup,$R1306,LdBKey,"&lt;"&amp;$T1306)+1)</f>
        <v/>
      </c>
      <c r="X1306">
        <f>IF($W1306="","",$R1306&amp;"|"&amp;RIGHT("000000"&amp;$W1306,6))</f>
        <v/>
      </c>
      <c r="Y1306">
        <f>IF($P1306="","",IF(Shares!$E1309="",0,Shares!$E1309))</f>
        <v/>
      </c>
      <c r="Z1306">
        <f>IF($P1306="","",Shares!$H1309)</f>
        <v/>
      </c>
      <c r="AE1306">
        <f>IF(OR(Sync!$S1306="",Sync!$P1306=""),"",Sync!$S1306)</f>
        <v/>
      </c>
      <c r="AF1306">
        <f>IF($AE1306="","",IF(ISNUMBER(Sync!$P1306),IF(AND(Sync!$P1306&gt;=10000101,Sync!$P1306&lt;=99991231),INT(Sync!$P1306/10000),""),IFERROR(VALUE(TRIM(LEFT(Sync!$P1306,FIND("/",Sync!$P1306)-1))),"")))</f>
        <v/>
      </c>
      <c r="AG1306">
        <f>IF(OR($AE1306="",$AF1306=""),"",IF(ISNUMBER(Sync!$P1306),INT(MOD(Sync!$P1306,10000)/100),IFERROR(VALUE(TRIM(LEFT(MID(Sync!$P1306,FIND("/",Sync!$P1306)+1,20),FIND("/",MID(Sync!$P1306,FIND("/",Sync!$P1306)+1,20))-1))),"")))</f>
        <v/>
      </c>
      <c r="AH1306">
        <f>IF(OR($AE1306="",$AF1306=""),"",IF(ISNUMBER(Sync!$P1306),MOD(Sync!$P1306,100),IFERROR(VALUE(TRIM(MID(MID(Sync!$P1306,FIND("/",Sync!$P1306)+1,20),FIND("/",MID(Sync!$P1306,FIND("/",Sync!$P1306)+1,20))+1,20))),"")))</f>
        <v/>
      </c>
      <c r="AI1306">
        <f>IF($AE1306="","",IF(OR($AF1306="",$AG1306="",$AH1306="",$AF1306&lt;1300,$AF1306&gt;1500,$AG1306&lt;1,$AG1306&gt;12,$AH1306&lt;1,$AH1306&gt;31),"نامعتبر",RIGHT("0000"&amp;$AF1306,4)&amp;"/"&amp;RIGHT("00"&amp;$AG1306,2)&amp;"/"&amp;RIGHT("00"&amp;$AH1306,2)))</f>
        <v/>
      </c>
      <c r="AJ1306">
        <f>IF($AE1306="","",IF(Sync!$Q1306="","0000",IF(AND(ISNUMBER(Sync!$Q1306),Sync!$Q1306&gt;=0,Sync!$Q1306&lt;1),RIGHT("00"&amp;HOUR(Sync!$Q1306),2)&amp;RIGHT("00"&amp;MINUTE(Sync!$Q1306),2),IFERROR(RIGHT("00"&amp;VALUE(LEFT(Sync!$Q1306,FIND(":",Sync!$Q1306)-1)),2)&amp;RIGHT("00"&amp;VALUE(MID(Sync!$Q1306,FIND(":",Sync!$Q1306)+1,2)),2),"0000"))))</f>
        <v/>
      </c>
      <c r="AK1306">
        <f>IF(OR($AE1306="",$AI1306="",$AI1306="نامعتبر"),"",LEFT($AI1306,4)&amp;MID($AI1306,6,2)&amp;RIGHT($AI1306,2)&amp;$AJ1306&amp;"|"&amp;"3"&amp;RIGHT("00000"&amp;1301,5))</f>
        <v/>
      </c>
      <c r="AL1306">
        <f>IF($AK1306="","",COUNTIFS(LdAParty,$AE1306,LdAType,1,LdAKey,"&lt;"&amp;$AK1306)+COUNTIFS(LdBMember,$AE1306,LdBKey,"&lt;"&amp;$AK1306)+COUNTIFS(LdCParty,$AE1306,LdCKey,"&lt;"&amp;$AK1306)+1)</f>
        <v/>
      </c>
      <c r="AM1306">
        <f>IF($AL1306="","",$AE1306&amp;"|"&amp;RIGHT("000000"&amp;$AL1306,6))</f>
        <v/>
      </c>
      <c r="AN1306">
        <f>IF($AE1306="","",IF(Sync!$W1306="",0,Sync!$W1306))</f>
        <v/>
      </c>
      <c r="AO1306">
        <f>IF($AE1306="","",IF(Sync!$X1306="",0,Sync!$X1306))</f>
        <v/>
      </c>
      <c r="AP1306">
        <f>IF($AE1306="","",Sync!$R1306)</f>
        <v/>
      </c>
      <c r="AQ1306">
        <f>IF($AE1306="","",Sync!$Y1306)</f>
        <v/>
      </c>
    </row>
    <row r="1307">
      <c r="A1307">
        <f>IF(OR(Wages!$B1310="",Wages!$E1310=""),"",Wages!$E1310)</f>
        <v/>
      </c>
      <c r="B1307">
        <f>IF($A1307="","",IF(Wages!$C1310="دستمزد گروهی",2,1))</f>
        <v/>
      </c>
      <c r="C1307">
        <f>IF($A1307="","",IF(ISNUMBER(Wages!$B1310),IF(AND(Wages!$B1310&gt;=10000101,Wages!$B1310&lt;=99991231),INT(Wages!$B1310/10000),""),IFERROR(VALUE(TRIM(LEFT(Wages!$B1310,FIND("/",Wages!$B1310)-1))),"")))</f>
        <v/>
      </c>
      <c r="D1307">
        <f>IF(OR($A1307="",$C1307=""),"",IF(ISNUMBER(Wages!$B1310),INT(MOD(Wages!$B1310,10000)/100),IFERROR(VALUE(TRIM(LEFT(MID(Wages!$B1310,FIND("/",Wages!$B1310)+1,20),FIND("/",MID(Wages!$B1310,FIND("/",Wages!$B1310)+1,20))-1))),"")))</f>
        <v/>
      </c>
      <c r="E1307">
        <f>IF(OR($A1307="",$C1307=""),"",IF(ISNUMBER(Wages!$B1310),MOD(Wages!$B1310,100),IFERROR(VALUE(TRIM(MID(MID(Wages!$B1310,FIND("/",Wages!$B1310)+1,20),FIND("/",MID(Wages!$B1310,FIND("/",Wages!$B1310)+1,20))+1,20))),"")))</f>
        <v/>
      </c>
      <c r="F1307">
        <f>IF($A1307="","",IF(OR($C1307="",$D1307="",$E1307="",$C1307&lt;1300,$C1307&gt;1500,$D1307&lt;1,$D1307&gt;12,$E1307&lt;1,$E1307&gt;31),"نامعتبر",RIGHT("0000"&amp;$C1307,4)&amp;"/"&amp;RIGHT("00"&amp;$D1307,2)&amp;"/"&amp;RIGHT("00"&amp;$E1307,2)))</f>
        <v/>
      </c>
      <c r="G1307">
        <f>IF(OR($A1307="",$F1307="",$F1307="نامعتبر"),"",LEFT($F1307,4)&amp;MID($F1307,6,2)&amp;RIGHT($F1307,2)&amp;"0000"&amp;"|"&amp;"1"&amp;RIGHT("00000"&amp;1302,5))</f>
        <v/>
      </c>
      <c r="H1307">
        <f>IF(OR($B1307&lt;&gt;1,$G1307=""),"",COUNTIFS(LdAParty,$A1307,LdAType,1,LdAKey,"&lt;"&amp;$G1307)+COUNTIFS(LdBMember,$A1307,LdBKey,"&lt;"&amp;$G1307)+COUNTIFS(LdCParty,$A1307,LdCKey,"&lt;"&amp;$G1307)+1)</f>
        <v/>
      </c>
      <c r="I1307">
        <f>IF($H1307="","",$A1307&amp;"|"&amp;RIGHT("000000"&amp;$H1307,6))</f>
        <v/>
      </c>
      <c r="J1307">
        <f>IF(OR($B1307&lt;&gt;2,$G1307=""),"",COUNTIFS(LdAParty,$A1307,LdAType,2,LdAKey,"&lt;"&amp;$G1307)+1)</f>
        <v/>
      </c>
      <c r="K1307">
        <f>IF($J1307="","",$A1307&amp;"|"&amp;RIGHT("000000"&amp;$J1307,6))</f>
        <v/>
      </c>
      <c r="L1307">
        <f>IF($A1307="","",IF(Wages!$G1310="",0,Wages!$G1310))</f>
        <v/>
      </c>
      <c r="M1307">
        <f>IF($A1307="","",Wages!$J1310)</f>
        <v/>
      </c>
      <c r="N1307">
        <f>IF($A1307="","",Wages!$D1310)</f>
        <v/>
      </c>
      <c r="P1307">
        <f>IF(OR(Shares!$B1310="",Shares!$C1310=""),"",Shares!$C1310)</f>
        <v/>
      </c>
      <c r="Q1307">
        <f>IF($P1307="","",Shares!$B1310)</f>
        <v/>
      </c>
      <c r="R1307">
        <f>IF($P1307="","",IFERROR(INDEX(WageParty,MATCH($Q1307,WageIds,0)),""))</f>
        <v/>
      </c>
      <c r="S1307">
        <f>IF($P1307="","",IFERROR(INDEX($F$6:$F$2005,MATCH($Q1307,WageIds,0)),""))</f>
        <v/>
      </c>
      <c r="T1307">
        <f>IF(OR($P1307="",$S1307="",$S1307="نامعتبر"),"",LEFT($S1307,4)&amp;MID($S1307,6,2)&amp;RIGHT($S1307,2)&amp;"0000"&amp;"|"&amp;"2"&amp;RIGHT("00000"&amp;1302,5))</f>
        <v/>
      </c>
      <c r="U1307">
        <f>IF($T1307="","",COUNTIFS(LdAParty,$P1307,LdAType,1,LdAKey,"&lt;"&amp;$T1307)+COUNTIFS(LdBMember,$P1307,LdBKey,"&lt;"&amp;$T1307)+COUNTIFS(LdCParty,$P1307,LdCKey,"&lt;"&amp;$T1307)+1)</f>
        <v/>
      </c>
      <c r="V1307">
        <f>IF($U1307="","",$P1307&amp;"|"&amp;RIGHT("000000"&amp;$U1307,6))</f>
        <v/>
      </c>
      <c r="W1307">
        <f>IF($T1307="","",COUNTIFS(LdBGroup,$R1307,LdBKey,"&lt;"&amp;$T1307)+1)</f>
        <v/>
      </c>
      <c r="X1307">
        <f>IF($W1307="","",$R1307&amp;"|"&amp;RIGHT("000000"&amp;$W1307,6))</f>
        <v/>
      </c>
      <c r="Y1307">
        <f>IF($P1307="","",IF(Shares!$E1310="",0,Shares!$E1310))</f>
        <v/>
      </c>
      <c r="Z1307">
        <f>IF($P1307="","",Shares!$H1310)</f>
        <v/>
      </c>
      <c r="AE1307">
        <f>IF(OR(Sync!$S1307="",Sync!$P1307=""),"",Sync!$S1307)</f>
        <v/>
      </c>
      <c r="AF1307">
        <f>IF($AE1307="","",IF(ISNUMBER(Sync!$P1307),IF(AND(Sync!$P1307&gt;=10000101,Sync!$P1307&lt;=99991231),INT(Sync!$P1307/10000),""),IFERROR(VALUE(TRIM(LEFT(Sync!$P1307,FIND("/",Sync!$P1307)-1))),"")))</f>
        <v/>
      </c>
      <c r="AG1307">
        <f>IF(OR($AE1307="",$AF1307=""),"",IF(ISNUMBER(Sync!$P1307),INT(MOD(Sync!$P1307,10000)/100),IFERROR(VALUE(TRIM(LEFT(MID(Sync!$P1307,FIND("/",Sync!$P1307)+1,20),FIND("/",MID(Sync!$P1307,FIND("/",Sync!$P1307)+1,20))-1))),"")))</f>
        <v/>
      </c>
      <c r="AH1307">
        <f>IF(OR($AE1307="",$AF1307=""),"",IF(ISNUMBER(Sync!$P1307),MOD(Sync!$P1307,100),IFERROR(VALUE(TRIM(MID(MID(Sync!$P1307,FIND("/",Sync!$P1307)+1,20),FIND("/",MID(Sync!$P1307,FIND("/",Sync!$P1307)+1,20))+1,20))),"")))</f>
        <v/>
      </c>
      <c r="AI1307">
        <f>IF($AE1307="","",IF(OR($AF1307="",$AG1307="",$AH1307="",$AF1307&lt;1300,$AF1307&gt;1500,$AG1307&lt;1,$AG1307&gt;12,$AH1307&lt;1,$AH1307&gt;31),"نامعتبر",RIGHT("0000"&amp;$AF1307,4)&amp;"/"&amp;RIGHT("00"&amp;$AG1307,2)&amp;"/"&amp;RIGHT("00"&amp;$AH1307,2)))</f>
        <v/>
      </c>
      <c r="AJ1307">
        <f>IF($AE1307="","",IF(Sync!$Q1307="","0000",IF(AND(ISNUMBER(Sync!$Q1307),Sync!$Q1307&gt;=0,Sync!$Q1307&lt;1),RIGHT("00"&amp;HOUR(Sync!$Q1307),2)&amp;RIGHT("00"&amp;MINUTE(Sync!$Q1307),2),IFERROR(RIGHT("00"&amp;VALUE(LEFT(Sync!$Q1307,FIND(":",Sync!$Q1307)-1)),2)&amp;RIGHT("00"&amp;VALUE(MID(Sync!$Q1307,FIND(":",Sync!$Q1307)+1,2)),2),"0000"))))</f>
        <v/>
      </c>
      <c r="AK1307">
        <f>IF(OR($AE1307="",$AI1307="",$AI1307="نامعتبر"),"",LEFT($AI1307,4)&amp;MID($AI1307,6,2)&amp;RIGHT($AI1307,2)&amp;$AJ1307&amp;"|"&amp;"3"&amp;RIGHT("00000"&amp;1302,5))</f>
        <v/>
      </c>
      <c r="AL1307">
        <f>IF($AK1307="","",COUNTIFS(LdAParty,$AE1307,LdAType,1,LdAKey,"&lt;"&amp;$AK1307)+COUNTIFS(LdBMember,$AE1307,LdBKey,"&lt;"&amp;$AK1307)+COUNTIFS(LdCParty,$AE1307,LdCKey,"&lt;"&amp;$AK1307)+1)</f>
        <v/>
      </c>
      <c r="AM1307">
        <f>IF($AL1307="","",$AE1307&amp;"|"&amp;RIGHT("000000"&amp;$AL1307,6))</f>
        <v/>
      </c>
      <c r="AN1307">
        <f>IF($AE1307="","",IF(Sync!$W1307="",0,Sync!$W1307))</f>
        <v/>
      </c>
      <c r="AO1307">
        <f>IF($AE1307="","",IF(Sync!$X1307="",0,Sync!$X1307))</f>
        <v/>
      </c>
      <c r="AP1307">
        <f>IF($AE1307="","",Sync!$R1307)</f>
        <v/>
      </c>
      <c r="AQ1307">
        <f>IF($AE1307="","",Sync!$Y1307)</f>
        <v/>
      </c>
    </row>
    <row r="1308">
      <c r="A1308">
        <f>IF(OR(Wages!$B1311="",Wages!$E1311=""),"",Wages!$E1311)</f>
        <v/>
      </c>
      <c r="B1308">
        <f>IF($A1308="","",IF(Wages!$C1311="دستمزد گروهی",2,1))</f>
        <v/>
      </c>
      <c r="C1308">
        <f>IF($A1308="","",IF(ISNUMBER(Wages!$B1311),IF(AND(Wages!$B1311&gt;=10000101,Wages!$B1311&lt;=99991231),INT(Wages!$B1311/10000),""),IFERROR(VALUE(TRIM(LEFT(Wages!$B1311,FIND("/",Wages!$B1311)-1))),"")))</f>
        <v/>
      </c>
      <c r="D1308">
        <f>IF(OR($A1308="",$C1308=""),"",IF(ISNUMBER(Wages!$B1311),INT(MOD(Wages!$B1311,10000)/100),IFERROR(VALUE(TRIM(LEFT(MID(Wages!$B1311,FIND("/",Wages!$B1311)+1,20),FIND("/",MID(Wages!$B1311,FIND("/",Wages!$B1311)+1,20))-1))),"")))</f>
        <v/>
      </c>
      <c r="E1308">
        <f>IF(OR($A1308="",$C1308=""),"",IF(ISNUMBER(Wages!$B1311),MOD(Wages!$B1311,100),IFERROR(VALUE(TRIM(MID(MID(Wages!$B1311,FIND("/",Wages!$B1311)+1,20),FIND("/",MID(Wages!$B1311,FIND("/",Wages!$B1311)+1,20))+1,20))),"")))</f>
        <v/>
      </c>
      <c r="F1308">
        <f>IF($A1308="","",IF(OR($C1308="",$D1308="",$E1308="",$C1308&lt;1300,$C1308&gt;1500,$D1308&lt;1,$D1308&gt;12,$E1308&lt;1,$E1308&gt;31),"نامعتبر",RIGHT("0000"&amp;$C1308,4)&amp;"/"&amp;RIGHT("00"&amp;$D1308,2)&amp;"/"&amp;RIGHT("00"&amp;$E1308,2)))</f>
        <v/>
      </c>
      <c r="G1308">
        <f>IF(OR($A1308="",$F1308="",$F1308="نامعتبر"),"",LEFT($F1308,4)&amp;MID($F1308,6,2)&amp;RIGHT($F1308,2)&amp;"0000"&amp;"|"&amp;"1"&amp;RIGHT("00000"&amp;1303,5))</f>
        <v/>
      </c>
      <c r="H1308">
        <f>IF(OR($B1308&lt;&gt;1,$G1308=""),"",COUNTIFS(LdAParty,$A1308,LdAType,1,LdAKey,"&lt;"&amp;$G1308)+COUNTIFS(LdBMember,$A1308,LdBKey,"&lt;"&amp;$G1308)+COUNTIFS(LdCParty,$A1308,LdCKey,"&lt;"&amp;$G1308)+1)</f>
        <v/>
      </c>
      <c r="I1308">
        <f>IF($H1308="","",$A1308&amp;"|"&amp;RIGHT("000000"&amp;$H1308,6))</f>
        <v/>
      </c>
      <c r="J1308">
        <f>IF(OR($B1308&lt;&gt;2,$G1308=""),"",COUNTIFS(LdAParty,$A1308,LdAType,2,LdAKey,"&lt;"&amp;$G1308)+1)</f>
        <v/>
      </c>
      <c r="K1308">
        <f>IF($J1308="","",$A1308&amp;"|"&amp;RIGHT("000000"&amp;$J1308,6))</f>
        <v/>
      </c>
      <c r="L1308">
        <f>IF($A1308="","",IF(Wages!$G1311="",0,Wages!$G1311))</f>
        <v/>
      </c>
      <c r="M1308">
        <f>IF($A1308="","",Wages!$J1311)</f>
        <v/>
      </c>
      <c r="N1308">
        <f>IF($A1308="","",Wages!$D1311)</f>
        <v/>
      </c>
      <c r="P1308">
        <f>IF(OR(Shares!$B1311="",Shares!$C1311=""),"",Shares!$C1311)</f>
        <v/>
      </c>
      <c r="Q1308">
        <f>IF($P1308="","",Shares!$B1311)</f>
        <v/>
      </c>
      <c r="R1308">
        <f>IF($P1308="","",IFERROR(INDEX(WageParty,MATCH($Q1308,WageIds,0)),""))</f>
        <v/>
      </c>
      <c r="S1308">
        <f>IF($P1308="","",IFERROR(INDEX($F$6:$F$2005,MATCH($Q1308,WageIds,0)),""))</f>
        <v/>
      </c>
      <c r="T1308">
        <f>IF(OR($P1308="",$S1308="",$S1308="نامعتبر"),"",LEFT($S1308,4)&amp;MID($S1308,6,2)&amp;RIGHT($S1308,2)&amp;"0000"&amp;"|"&amp;"2"&amp;RIGHT("00000"&amp;1303,5))</f>
        <v/>
      </c>
      <c r="U1308">
        <f>IF($T1308="","",COUNTIFS(LdAParty,$P1308,LdAType,1,LdAKey,"&lt;"&amp;$T1308)+COUNTIFS(LdBMember,$P1308,LdBKey,"&lt;"&amp;$T1308)+COUNTIFS(LdCParty,$P1308,LdCKey,"&lt;"&amp;$T1308)+1)</f>
        <v/>
      </c>
      <c r="V1308">
        <f>IF($U1308="","",$P1308&amp;"|"&amp;RIGHT("000000"&amp;$U1308,6))</f>
        <v/>
      </c>
      <c r="W1308">
        <f>IF($T1308="","",COUNTIFS(LdBGroup,$R1308,LdBKey,"&lt;"&amp;$T1308)+1)</f>
        <v/>
      </c>
      <c r="X1308">
        <f>IF($W1308="","",$R1308&amp;"|"&amp;RIGHT("000000"&amp;$W1308,6))</f>
        <v/>
      </c>
      <c r="Y1308">
        <f>IF($P1308="","",IF(Shares!$E1311="",0,Shares!$E1311))</f>
        <v/>
      </c>
      <c r="Z1308">
        <f>IF($P1308="","",Shares!$H1311)</f>
        <v/>
      </c>
      <c r="AE1308">
        <f>IF(OR(Sync!$S1308="",Sync!$P1308=""),"",Sync!$S1308)</f>
        <v/>
      </c>
      <c r="AF1308">
        <f>IF($AE1308="","",IF(ISNUMBER(Sync!$P1308),IF(AND(Sync!$P1308&gt;=10000101,Sync!$P1308&lt;=99991231),INT(Sync!$P1308/10000),""),IFERROR(VALUE(TRIM(LEFT(Sync!$P1308,FIND("/",Sync!$P1308)-1))),"")))</f>
        <v/>
      </c>
      <c r="AG1308">
        <f>IF(OR($AE1308="",$AF1308=""),"",IF(ISNUMBER(Sync!$P1308),INT(MOD(Sync!$P1308,10000)/100),IFERROR(VALUE(TRIM(LEFT(MID(Sync!$P1308,FIND("/",Sync!$P1308)+1,20),FIND("/",MID(Sync!$P1308,FIND("/",Sync!$P1308)+1,20))-1))),"")))</f>
        <v/>
      </c>
      <c r="AH1308">
        <f>IF(OR($AE1308="",$AF1308=""),"",IF(ISNUMBER(Sync!$P1308),MOD(Sync!$P1308,100),IFERROR(VALUE(TRIM(MID(MID(Sync!$P1308,FIND("/",Sync!$P1308)+1,20),FIND("/",MID(Sync!$P1308,FIND("/",Sync!$P1308)+1,20))+1,20))),"")))</f>
        <v/>
      </c>
      <c r="AI1308">
        <f>IF($AE1308="","",IF(OR($AF1308="",$AG1308="",$AH1308="",$AF1308&lt;1300,$AF1308&gt;1500,$AG1308&lt;1,$AG1308&gt;12,$AH1308&lt;1,$AH1308&gt;31),"نامعتبر",RIGHT("0000"&amp;$AF1308,4)&amp;"/"&amp;RIGHT("00"&amp;$AG1308,2)&amp;"/"&amp;RIGHT("00"&amp;$AH1308,2)))</f>
        <v/>
      </c>
      <c r="AJ1308">
        <f>IF($AE1308="","",IF(Sync!$Q1308="","0000",IF(AND(ISNUMBER(Sync!$Q1308),Sync!$Q1308&gt;=0,Sync!$Q1308&lt;1),RIGHT("00"&amp;HOUR(Sync!$Q1308),2)&amp;RIGHT("00"&amp;MINUTE(Sync!$Q1308),2),IFERROR(RIGHT("00"&amp;VALUE(LEFT(Sync!$Q1308,FIND(":",Sync!$Q1308)-1)),2)&amp;RIGHT("00"&amp;VALUE(MID(Sync!$Q1308,FIND(":",Sync!$Q1308)+1,2)),2),"0000"))))</f>
        <v/>
      </c>
      <c r="AK1308">
        <f>IF(OR($AE1308="",$AI1308="",$AI1308="نامعتبر"),"",LEFT($AI1308,4)&amp;MID($AI1308,6,2)&amp;RIGHT($AI1308,2)&amp;$AJ1308&amp;"|"&amp;"3"&amp;RIGHT("00000"&amp;1303,5))</f>
        <v/>
      </c>
      <c r="AL1308">
        <f>IF($AK1308="","",COUNTIFS(LdAParty,$AE1308,LdAType,1,LdAKey,"&lt;"&amp;$AK1308)+COUNTIFS(LdBMember,$AE1308,LdBKey,"&lt;"&amp;$AK1308)+COUNTIFS(LdCParty,$AE1308,LdCKey,"&lt;"&amp;$AK1308)+1)</f>
        <v/>
      </c>
      <c r="AM1308">
        <f>IF($AL1308="","",$AE1308&amp;"|"&amp;RIGHT("000000"&amp;$AL1308,6))</f>
        <v/>
      </c>
      <c r="AN1308">
        <f>IF($AE1308="","",IF(Sync!$W1308="",0,Sync!$W1308))</f>
        <v/>
      </c>
      <c r="AO1308">
        <f>IF($AE1308="","",IF(Sync!$X1308="",0,Sync!$X1308))</f>
        <v/>
      </c>
      <c r="AP1308">
        <f>IF($AE1308="","",Sync!$R1308)</f>
        <v/>
      </c>
      <c r="AQ1308">
        <f>IF($AE1308="","",Sync!$Y1308)</f>
        <v/>
      </c>
    </row>
    <row r="1309">
      <c r="A1309">
        <f>IF(OR(Wages!$B1312="",Wages!$E1312=""),"",Wages!$E1312)</f>
        <v/>
      </c>
      <c r="B1309">
        <f>IF($A1309="","",IF(Wages!$C1312="دستمزد گروهی",2,1))</f>
        <v/>
      </c>
      <c r="C1309">
        <f>IF($A1309="","",IF(ISNUMBER(Wages!$B1312),IF(AND(Wages!$B1312&gt;=10000101,Wages!$B1312&lt;=99991231),INT(Wages!$B1312/10000),""),IFERROR(VALUE(TRIM(LEFT(Wages!$B1312,FIND("/",Wages!$B1312)-1))),"")))</f>
        <v/>
      </c>
      <c r="D1309">
        <f>IF(OR($A1309="",$C1309=""),"",IF(ISNUMBER(Wages!$B1312),INT(MOD(Wages!$B1312,10000)/100),IFERROR(VALUE(TRIM(LEFT(MID(Wages!$B1312,FIND("/",Wages!$B1312)+1,20),FIND("/",MID(Wages!$B1312,FIND("/",Wages!$B1312)+1,20))-1))),"")))</f>
        <v/>
      </c>
      <c r="E1309">
        <f>IF(OR($A1309="",$C1309=""),"",IF(ISNUMBER(Wages!$B1312),MOD(Wages!$B1312,100),IFERROR(VALUE(TRIM(MID(MID(Wages!$B1312,FIND("/",Wages!$B1312)+1,20),FIND("/",MID(Wages!$B1312,FIND("/",Wages!$B1312)+1,20))+1,20))),"")))</f>
        <v/>
      </c>
      <c r="F1309">
        <f>IF($A1309="","",IF(OR($C1309="",$D1309="",$E1309="",$C1309&lt;1300,$C1309&gt;1500,$D1309&lt;1,$D1309&gt;12,$E1309&lt;1,$E1309&gt;31),"نامعتبر",RIGHT("0000"&amp;$C1309,4)&amp;"/"&amp;RIGHT("00"&amp;$D1309,2)&amp;"/"&amp;RIGHT("00"&amp;$E1309,2)))</f>
        <v/>
      </c>
      <c r="G1309">
        <f>IF(OR($A1309="",$F1309="",$F1309="نامعتبر"),"",LEFT($F1309,4)&amp;MID($F1309,6,2)&amp;RIGHT($F1309,2)&amp;"0000"&amp;"|"&amp;"1"&amp;RIGHT("00000"&amp;1304,5))</f>
        <v/>
      </c>
      <c r="H1309">
        <f>IF(OR($B1309&lt;&gt;1,$G1309=""),"",COUNTIFS(LdAParty,$A1309,LdAType,1,LdAKey,"&lt;"&amp;$G1309)+COUNTIFS(LdBMember,$A1309,LdBKey,"&lt;"&amp;$G1309)+COUNTIFS(LdCParty,$A1309,LdCKey,"&lt;"&amp;$G1309)+1)</f>
        <v/>
      </c>
      <c r="I1309">
        <f>IF($H1309="","",$A1309&amp;"|"&amp;RIGHT("000000"&amp;$H1309,6))</f>
        <v/>
      </c>
      <c r="J1309">
        <f>IF(OR($B1309&lt;&gt;2,$G1309=""),"",COUNTIFS(LdAParty,$A1309,LdAType,2,LdAKey,"&lt;"&amp;$G1309)+1)</f>
        <v/>
      </c>
      <c r="K1309">
        <f>IF($J1309="","",$A1309&amp;"|"&amp;RIGHT("000000"&amp;$J1309,6))</f>
        <v/>
      </c>
      <c r="L1309">
        <f>IF($A1309="","",IF(Wages!$G1312="",0,Wages!$G1312))</f>
        <v/>
      </c>
      <c r="M1309">
        <f>IF($A1309="","",Wages!$J1312)</f>
        <v/>
      </c>
      <c r="N1309">
        <f>IF($A1309="","",Wages!$D1312)</f>
        <v/>
      </c>
      <c r="P1309">
        <f>IF(OR(Shares!$B1312="",Shares!$C1312=""),"",Shares!$C1312)</f>
        <v/>
      </c>
      <c r="Q1309">
        <f>IF($P1309="","",Shares!$B1312)</f>
        <v/>
      </c>
      <c r="R1309">
        <f>IF($P1309="","",IFERROR(INDEX(WageParty,MATCH($Q1309,WageIds,0)),""))</f>
        <v/>
      </c>
      <c r="S1309">
        <f>IF($P1309="","",IFERROR(INDEX($F$6:$F$2005,MATCH($Q1309,WageIds,0)),""))</f>
        <v/>
      </c>
      <c r="T1309">
        <f>IF(OR($P1309="",$S1309="",$S1309="نامعتبر"),"",LEFT($S1309,4)&amp;MID($S1309,6,2)&amp;RIGHT($S1309,2)&amp;"0000"&amp;"|"&amp;"2"&amp;RIGHT("00000"&amp;1304,5))</f>
        <v/>
      </c>
      <c r="U1309">
        <f>IF($T1309="","",COUNTIFS(LdAParty,$P1309,LdAType,1,LdAKey,"&lt;"&amp;$T1309)+COUNTIFS(LdBMember,$P1309,LdBKey,"&lt;"&amp;$T1309)+COUNTIFS(LdCParty,$P1309,LdCKey,"&lt;"&amp;$T1309)+1)</f>
        <v/>
      </c>
      <c r="V1309">
        <f>IF($U1309="","",$P1309&amp;"|"&amp;RIGHT("000000"&amp;$U1309,6))</f>
        <v/>
      </c>
      <c r="W1309">
        <f>IF($T1309="","",COUNTIFS(LdBGroup,$R1309,LdBKey,"&lt;"&amp;$T1309)+1)</f>
        <v/>
      </c>
      <c r="X1309">
        <f>IF($W1309="","",$R1309&amp;"|"&amp;RIGHT("000000"&amp;$W1309,6))</f>
        <v/>
      </c>
      <c r="Y1309">
        <f>IF($P1309="","",IF(Shares!$E1312="",0,Shares!$E1312))</f>
        <v/>
      </c>
      <c r="Z1309">
        <f>IF($P1309="","",Shares!$H1312)</f>
        <v/>
      </c>
      <c r="AE1309">
        <f>IF(OR(Sync!$S1309="",Sync!$P1309=""),"",Sync!$S1309)</f>
        <v/>
      </c>
      <c r="AF1309">
        <f>IF($AE1309="","",IF(ISNUMBER(Sync!$P1309),IF(AND(Sync!$P1309&gt;=10000101,Sync!$P1309&lt;=99991231),INT(Sync!$P1309/10000),""),IFERROR(VALUE(TRIM(LEFT(Sync!$P1309,FIND("/",Sync!$P1309)-1))),"")))</f>
        <v/>
      </c>
      <c r="AG1309">
        <f>IF(OR($AE1309="",$AF1309=""),"",IF(ISNUMBER(Sync!$P1309),INT(MOD(Sync!$P1309,10000)/100),IFERROR(VALUE(TRIM(LEFT(MID(Sync!$P1309,FIND("/",Sync!$P1309)+1,20),FIND("/",MID(Sync!$P1309,FIND("/",Sync!$P1309)+1,20))-1))),"")))</f>
        <v/>
      </c>
      <c r="AH1309">
        <f>IF(OR($AE1309="",$AF1309=""),"",IF(ISNUMBER(Sync!$P1309),MOD(Sync!$P1309,100),IFERROR(VALUE(TRIM(MID(MID(Sync!$P1309,FIND("/",Sync!$P1309)+1,20),FIND("/",MID(Sync!$P1309,FIND("/",Sync!$P1309)+1,20))+1,20))),"")))</f>
        <v/>
      </c>
      <c r="AI1309">
        <f>IF($AE1309="","",IF(OR($AF1309="",$AG1309="",$AH1309="",$AF1309&lt;1300,$AF1309&gt;1500,$AG1309&lt;1,$AG1309&gt;12,$AH1309&lt;1,$AH1309&gt;31),"نامعتبر",RIGHT("0000"&amp;$AF1309,4)&amp;"/"&amp;RIGHT("00"&amp;$AG1309,2)&amp;"/"&amp;RIGHT("00"&amp;$AH1309,2)))</f>
        <v/>
      </c>
      <c r="AJ1309">
        <f>IF($AE1309="","",IF(Sync!$Q1309="","0000",IF(AND(ISNUMBER(Sync!$Q1309),Sync!$Q1309&gt;=0,Sync!$Q1309&lt;1),RIGHT("00"&amp;HOUR(Sync!$Q1309),2)&amp;RIGHT("00"&amp;MINUTE(Sync!$Q1309),2),IFERROR(RIGHT("00"&amp;VALUE(LEFT(Sync!$Q1309,FIND(":",Sync!$Q1309)-1)),2)&amp;RIGHT("00"&amp;VALUE(MID(Sync!$Q1309,FIND(":",Sync!$Q1309)+1,2)),2),"0000"))))</f>
        <v/>
      </c>
      <c r="AK1309">
        <f>IF(OR($AE1309="",$AI1309="",$AI1309="نامعتبر"),"",LEFT($AI1309,4)&amp;MID($AI1309,6,2)&amp;RIGHT($AI1309,2)&amp;$AJ1309&amp;"|"&amp;"3"&amp;RIGHT("00000"&amp;1304,5))</f>
        <v/>
      </c>
      <c r="AL1309">
        <f>IF($AK1309="","",COUNTIFS(LdAParty,$AE1309,LdAType,1,LdAKey,"&lt;"&amp;$AK1309)+COUNTIFS(LdBMember,$AE1309,LdBKey,"&lt;"&amp;$AK1309)+COUNTIFS(LdCParty,$AE1309,LdCKey,"&lt;"&amp;$AK1309)+1)</f>
        <v/>
      </c>
      <c r="AM1309">
        <f>IF($AL1309="","",$AE1309&amp;"|"&amp;RIGHT("000000"&amp;$AL1309,6))</f>
        <v/>
      </c>
      <c r="AN1309">
        <f>IF($AE1309="","",IF(Sync!$W1309="",0,Sync!$W1309))</f>
        <v/>
      </c>
      <c r="AO1309">
        <f>IF($AE1309="","",IF(Sync!$X1309="",0,Sync!$X1309))</f>
        <v/>
      </c>
      <c r="AP1309">
        <f>IF($AE1309="","",Sync!$R1309)</f>
        <v/>
      </c>
      <c r="AQ1309">
        <f>IF($AE1309="","",Sync!$Y1309)</f>
        <v/>
      </c>
    </row>
    <row r="1310">
      <c r="A1310">
        <f>IF(OR(Wages!$B1313="",Wages!$E1313=""),"",Wages!$E1313)</f>
        <v/>
      </c>
      <c r="B1310">
        <f>IF($A1310="","",IF(Wages!$C1313="دستمزد گروهی",2,1))</f>
        <v/>
      </c>
      <c r="C1310">
        <f>IF($A1310="","",IF(ISNUMBER(Wages!$B1313),IF(AND(Wages!$B1313&gt;=10000101,Wages!$B1313&lt;=99991231),INT(Wages!$B1313/10000),""),IFERROR(VALUE(TRIM(LEFT(Wages!$B1313,FIND("/",Wages!$B1313)-1))),"")))</f>
        <v/>
      </c>
      <c r="D1310">
        <f>IF(OR($A1310="",$C1310=""),"",IF(ISNUMBER(Wages!$B1313),INT(MOD(Wages!$B1313,10000)/100),IFERROR(VALUE(TRIM(LEFT(MID(Wages!$B1313,FIND("/",Wages!$B1313)+1,20),FIND("/",MID(Wages!$B1313,FIND("/",Wages!$B1313)+1,20))-1))),"")))</f>
        <v/>
      </c>
      <c r="E1310">
        <f>IF(OR($A1310="",$C1310=""),"",IF(ISNUMBER(Wages!$B1313),MOD(Wages!$B1313,100),IFERROR(VALUE(TRIM(MID(MID(Wages!$B1313,FIND("/",Wages!$B1313)+1,20),FIND("/",MID(Wages!$B1313,FIND("/",Wages!$B1313)+1,20))+1,20))),"")))</f>
        <v/>
      </c>
      <c r="F1310">
        <f>IF($A1310="","",IF(OR($C1310="",$D1310="",$E1310="",$C1310&lt;1300,$C1310&gt;1500,$D1310&lt;1,$D1310&gt;12,$E1310&lt;1,$E1310&gt;31),"نامعتبر",RIGHT("0000"&amp;$C1310,4)&amp;"/"&amp;RIGHT("00"&amp;$D1310,2)&amp;"/"&amp;RIGHT("00"&amp;$E1310,2)))</f>
        <v/>
      </c>
      <c r="G1310">
        <f>IF(OR($A1310="",$F1310="",$F1310="نامعتبر"),"",LEFT($F1310,4)&amp;MID($F1310,6,2)&amp;RIGHT($F1310,2)&amp;"0000"&amp;"|"&amp;"1"&amp;RIGHT("00000"&amp;1305,5))</f>
        <v/>
      </c>
      <c r="H1310">
        <f>IF(OR($B1310&lt;&gt;1,$G1310=""),"",COUNTIFS(LdAParty,$A1310,LdAType,1,LdAKey,"&lt;"&amp;$G1310)+COUNTIFS(LdBMember,$A1310,LdBKey,"&lt;"&amp;$G1310)+COUNTIFS(LdCParty,$A1310,LdCKey,"&lt;"&amp;$G1310)+1)</f>
        <v/>
      </c>
      <c r="I1310">
        <f>IF($H1310="","",$A1310&amp;"|"&amp;RIGHT("000000"&amp;$H1310,6))</f>
        <v/>
      </c>
      <c r="J1310">
        <f>IF(OR($B1310&lt;&gt;2,$G1310=""),"",COUNTIFS(LdAParty,$A1310,LdAType,2,LdAKey,"&lt;"&amp;$G1310)+1)</f>
        <v/>
      </c>
      <c r="K1310">
        <f>IF($J1310="","",$A1310&amp;"|"&amp;RIGHT("000000"&amp;$J1310,6))</f>
        <v/>
      </c>
      <c r="L1310">
        <f>IF($A1310="","",IF(Wages!$G1313="",0,Wages!$G1313))</f>
        <v/>
      </c>
      <c r="M1310">
        <f>IF($A1310="","",Wages!$J1313)</f>
        <v/>
      </c>
      <c r="N1310">
        <f>IF($A1310="","",Wages!$D1313)</f>
        <v/>
      </c>
      <c r="P1310">
        <f>IF(OR(Shares!$B1313="",Shares!$C1313=""),"",Shares!$C1313)</f>
        <v/>
      </c>
      <c r="Q1310">
        <f>IF($P1310="","",Shares!$B1313)</f>
        <v/>
      </c>
      <c r="R1310">
        <f>IF($P1310="","",IFERROR(INDEX(WageParty,MATCH($Q1310,WageIds,0)),""))</f>
        <v/>
      </c>
      <c r="S1310">
        <f>IF($P1310="","",IFERROR(INDEX($F$6:$F$2005,MATCH($Q1310,WageIds,0)),""))</f>
        <v/>
      </c>
      <c r="T1310">
        <f>IF(OR($P1310="",$S1310="",$S1310="نامعتبر"),"",LEFT($S1310,4)&amp;MID($S1310,6,2)&amp;RIGHT($S1310,2)&amp;"0000"&amp;"|"&amp;"2"&amp;RIGHT("00000"&amp;1305,5))</f>
        <v/>
      </c>
      <c r="U1310">
        <f>IF($T1310="","",COUNTIFS(LdAParty,$P1310,LdAType,1,LdAKey,"&lt;"&amp;$T1310)+COUNTIFS(LdBMember,$P1310,LdBKey,"&lt;"&amp;$T1310)+COUNTIFS(LdCParty,$P1310,LdCKey,"&lt;"&amp;$T1310)+1)</f>
        <v/>
      </c>
      <c r="V1310">
        <f>IF($U1310="","",$P1310&amp;"|"&amp;RIGHT("000000"&amp;$U1310,6))</f>
        <v/>
      </c>
      <c r="W1310">
        <f>IF($T1310="","",COUNTIFS(LdBGroup,$R1310,LdBKey,"&lt;"&amp;$T1310)+1)</f>
        <v/>
      </c>
      <c r="X1310">
        <f>IF($W1310="","",$R1310&amp;"|"&amp;RIGHT("000000"&amp;$W1310,6))</f>
        <v/>
      </c>
      <c r="Y1310">
        <f>IF($P1310="","",IF(Shares!$E1313="",0,Shares!$E1313))</f>
        <v/>
      </c>
      <c r="Z1310">
        <f>IF($P1310="","",Shares!$H1313)</f>
        <v/>
      </c>
      <c r="AE1310">
        <f>IF(OR(Sync!$S1310="",Sync!$P1310=""),"",Sync!$S1310)</f>
        <v/>
      </c>
      <c r="AF1310">
        <f>IF($AE1310="","",IF(ISNUMBER(Sync!$P1310),IF(AND(Sync!$P1310&gt;=10000101,Sync!$P1310&lt;=99991231),INT(Sync!$P1310/10000),""),IFERROR(VALUE(TRIM(LEFT(Sync!$P1310,FIND("/",Sync!$P1310)-1))),"")))</f>
        <v/>
      </c>
      <c r="AG1310">
        <f>IF(OR($AE1310="",$AF1310=""),"",IF(ISNUMBER(Sync!$P1310),INT(MOD(Sync!$P1310,10000)/100),IFERROR(VALUE(TRIM(LEFT(MID(Sync!$P1310,FIND("/",Sync!$P1310)+1,20),FIND("/",MID(Sync!$P1310,FIND("/",Sync!$P1310)+1,20))-1))),"")))</f>
        <v/>
      </c>
      <c r="AH1310">
        <f>IF(OR($AE1310="",$AF1310=""),"",IF(ISNUMBER(Sync!$P1310),MOD(Sync!$P1310,100),IFERROR(VALUE(TRIM(MID(MID(Sync!$P1310,FIND("/",Sync!$P1310)+1,20),FIND("/",MID(Sync!$P1310,FIND("/",Sync!$P1310)+1,20))+1,20))),"")))</f>
        <v/>
      </c>
      <c r="AI1310">
        <f>IF($AE1310="","",IF(OR($AF1310="",$AG1310="",$AH1310="",$AF1310&lt;1300,$AF1310&gt;1500,$AG1310&lt;1,$AG1310&gt;12,$AH1310&lt;1,$AH1310&gt;31),"نامعتبر",RIGHT("0000"&amp;$AF1310,4)&amp;"/"&amp;RIGHT("00"&amp;$AG1310,2)&amp;"/"&amp;RIGHT("00"&amp;$AH1310,2)))</f>
        <v/>
      </c>
      <c r="AJ1310">
        <f>IF($AE1310="","",IF(Sync!$Q1310="","0000",IF(AND(ISNUMBER(Sync!$Q1310),Sync!$Q1310&gt;=0,Sync!$Q1310&lt;1),RIGHT("00"&amp;HOUR(Sync!$Q1310),2)&amp;RIGHT("00"&amp;MINUTE(Sync!$Q1310),2),IFERROR(RIGHT("00"&amp;VALUE(LEFT(Sync!$Q1310,FIND(":",Sync!$Q1310)-1)),2)&amp;RIGHT("00"&amp;VALUE(MID(Sync!$Q1310,FIND(":",Sync!$Q1310)+1,2)),2),"0000"))))</f>
        <v/>
      </c>
      <c r="AK1310">
        <f>IF(OR($AE1310="",$AI1310="",$AI1310="نامعتبر"),"",LEFT($AI1310,4)&amp;MID($AI1310,6,2)&amp;RIGHT($AI1310,2)&amp;$AJ1310&amp;"|"&amp;"3"&amp;RIGHT("00000"&amp;1305,5))</f>
        <v/>
      </c>
      <c r="AL1310">
        <f>IF($AK1310="","",COUNTIFS(LdAParty,$AE1310,LdAType,1,LdAKey,"&lt;"&amp;$AK1310)+COUNTIFS(LdBMember,$AE1310,LdBKey,"&lt;"&amp;$AK1310)+COUNTIFS(LdCParty,$AE1310,LdCKey,"&lt;"&amp;$AK1310)+1)</f>
        <v/>
      </c>
      <c r="AM1310">
        <f>IF($AL1310="","",$AE1310&amp;"|"&amp;RIGHT("000000"&amp;$AL1310,6))</f>
        <v/>
      </c>
      <c r="AN1310">
        <f>IF($AE1310="","",IF(Sync!$W1310="",0,Sync!$W1310))</f>
        <v/>
      </c>
      <c r="AO1310">
        <f>IF($AE1310="","",IF(Sync!$X1310="",0,Sync!$X1310))</f>
        <v/>
      </c>
      <c r="AP1310">
        <f>IF($AE1310="","",Sync!$R1310)</f>
        <v/>
      </c>
      <c r="AQ1310">
        <f>IF($AE1310="","",Sync!$Y1310)</f>
        <v/>
      </c>
    </row>
    <row r="1311">
      <c r="A1311">
        <f>IF(OR(Wages!$B1314="",Wages!$E1314=""),"",Wages!$E1314)</f>
        <v/>
      </c>
      <c r="B1311">
        <f>IF($A1311="","",IF(Wages!$C1314="دستمزد گروهی",2,1))</f>
        <v/>
      </c>
      <c r="C1311">
        <f>IF($A1311="","",IF(ISNUMBER(Wages!$B1314),IF(AND(Wages!$B1314&gt;=10000101,Wages!$B1314&lt;=99991231),INT(Wages!$B1314/10000),""),IFERROR(VALUE(TRIM(LEFT(Wages!$B1314,FIND("/",Wages!$B1314)-1))),"")))</f>
        <v/>
      </c>
      <c r="D1311">
        <f>IF(OR($A1311="",$C1311=""),"",IF(ISNUMBER(Wages!$B1314),INT(MOD(Wages!$B1314,10000)/100),IFERROR(VALUE(TRIM(LEFT(MID(Wages!$B1314,FIND("/",Wages!$B1314)+1,20),FIND("/",MID(Wages!$B1314,FIND("/",Wages!$B1314)+1,20))-1))),"")))</f>
        <v/>
      </c>
      <c r="E1311">
        <f>IF(OR($A1311="",$C1311=""),"",IF(ISNUMBER(Wages!$B1314),MOD(Wages!$B1314,100),IFERROR(VALUE(TRIM(MID(MID(Wages!$B1314,FIND("/",Wages!$B1314)+1,20),FIND("/",MID(Wages!$B1314,FIND("/",Wages!$B1314)+1,20))+1,20))),"")))</f>
        <v/>
      </c>
      <c r="F1311">
        <f>IF($A1311="","",IF(OR($C1311="",$D1311="",$E1311="",$C1311&lt;1300,$C1311&gt;1500,$D1311&lt;1,$D1311&gt;12,$E1311&lt;1,$E1311&gt;31),"نامعتبر",RIGHT("0000"&amp;$C1311,4)&amp;"/"&amp;RIGHT("00"&amp;$D1311,2)&amp;"/"&amp;RIGHT("00"&amp;$E1311,2)))</f>
        <v/>
      </c>
      <c r="G1311">
        <f>IF(OR($A1311="",$F1311="",$F1311="نامعتبر"),"",LEFT($F1311,4)&amp;MID($F1311,6,2)&amp;RIGHT($F1311,2)&amp;"0000"&amp;"|"&amp;"1"&amp;RIGHT("00000"&amp;1306,5))</f>
        <v/>
      </c>
      <c r="H1311">
        <f>IF(OR($B1311&lt;&gt;1,$G1311=""),"",COUNTIFS(LdAParty,$A1311,LdAType,1,LdAKey,"&lt;"&amp;$G1311)+COUNTIFS(LdBMember,$A1311,LdBKey,"&lt;"&amp;$G1311)+COUNTIFS(LdCParty,$A1311,LdCKey,"&lt;"&amp;$G1311)+1)</f>
        <v/>
      </c>
      <c r="I1311">
        <f>IF($H1311="","",$A1311&amp;"|"&amp;RIGHT("000000"&amp;$H1311,6))</f>
        <v/>
      </c>
      <c r="J1311">
        <f>IF(OR($B1311&lt;&gt;2,$G1311=""),"",COUNTIFS(LdAParty,$A1311,LdAType,2,LdAKey,"&lt;"&amp;$G1311)+1)</f>
        <v/>
      </c>
      <c r="K1311">
        <f>IF($J1311="","",$A1311&amp;"|"&amp;RIGHT("000000"&amp;$J1311,6))</f>
        <v/>
      </c>
      <c r="L1311">
        <f>IF($A1311="","",IF(Wages!$G1314="",0,Wages!$G1314))</f>
        <v/>
      </c>
      <c r="M1311">
        <f>IF($A1311="","",Wages!$J1314)</f>
        <v/>
      </c>
      <c r="N1311">
        <f>IF($A1311="","",Wages!$D1314)</f>
        <v/>
      </c>
      <c r="P1311">
        <f>IF(OR(Shares!$B1314="",Shares!$C1314=""),"",Shares!$C1314)</f>
        <v/>
      </c>
      <c r="Q1311">
        <f>IF($P1311="","",Shares!$B1314)</f>
        <v/>
      </c>
      <c r="R1311">
        <f>IF($P1311="","",IFERROR(INDEX(WageParty,MATCH($Q1311,WageIds,0)),""))</f>
        <v/>
      </c>
      <c r="S1311">
        <f>IF($P1311="","",IFERROR(INDEX($F$6:$F$2005,MATCH($Q1311,WageIds,0)),""))</f>
        <v/>
      </c>
      <c r="T1311">
        <f>IF(OR($P1311="",$S1311="",$S1311="نامعتبر"),"",LEFT($S1311,4)&amp;MID($S1311,6,2)&amp;RIGHT($S1311,2)&amp;"0000"&amp;"|"&amp;"2"&amp;RIGHT("00000"&amp;1306,5))</f>
        <v/>
      </c>
      <c r="U1311">
        <f>IF($T1311="","",COUNTIFS(LdAParty,$P1311,LdAType,1,LdAKey,"&lt;"&amp;$T1311)+COUNTIFS(LdBMember,$P1311,LdBKey,"&lt;"&amp;$T1311)+COUNTIFS(LdCParty,$P1311,LdCKey,"&lt;"&amp;$T1311)+1)</f>
        <v/>
      </c>
      <c r="V1311">
        <f>IF($U1311="","",$P1311&amp;"|"&amp;RIGHT("000000"&amp;$U1311,6))</f>
        <v/>
      </c>
      <c r="W1311">
        <f>IF($T1311="","",COUNTIFS(LdBGroup,$R1311,LdBKey,"&lt;"&amp;$T1311)+1)</f>
        <v/>
      </c>
      <c r="X1311">
        <f>IF($W1311="","",$R1311&amp;"|"&amp;RIGHT("000000"&amp;$W1311,6))</f>
        <v/>
      </c>
      <c r="Y1311">
        <f>IF($P1311="","",IF(Shares!$E1314="",0,Shares!$E1314))</f>
        <v/>
      </c>
      <c r="Z1311">
        <f>IF($P1311="","",Shares!$H1314)</f>
        <v/>
      </c>
      <c r="AE1311">
        <f>IF(OR(Sync!$S1311="",Sync!$P1311=""),"",Sync!$S1311)</f>
        <v/>
      </c>
      <c r="AF1311">
        <f>IF($AE1311="","",IF(ISNUMBER(Sync!$P1311),IF(AND(Sync!$P1311&gt;=10000101,Sync!$P1311&lt;=99991231),INT(Sync!$P1311/10000),""),IFERROR(VALUE(TRIM(LEFT(Sync!$P1311,FIND("/",Sync!$P1311)-1))),"")))</f>
        <v/>
      </c>
      <c r="AG1311">
        <f>IF(OR($AE1311="",$AF1311=""),"",IF(ISNUMBER(Sync!$P1311),INT(MOD(Sync!$P1311,10000)/100),IFERROR(VALUE(TRIM(LEFT(MID(Sync!$P1311,FIND("/",Sync!$P1311)+1,20),FIND("/",MID(Sync!$P1311,FIND("/",Sync!$P1311)+1,20))-1))),"")))</f>
        <v/>
      </c>
      <c r="AH1311">
        <f>IF(OR($AE1311="",$AF1311=""),"",IF(ISNUMBER(Sync!$P1311),MOD(Sync!$P1311,100),IFERROR(VALUE(TRIM(MID(MID(Sync!$P1311,FIND("/",Sync!$P1311)+1,20),FIND("/",MID(Sync!$P1311,FIND("/",Sync!$P1311)+1,20))+1,20))),"")))</f>
        <v/>
      </c>
      <c r="AI1311">
        <f>IF($AE1311="","",IF(OR($AF1311="",$AG1311="",$AH1311="",$AF1311&lt;1300,$AF1311&gt;1500,$AG1311&lt;1,$AG1311&gt;12,$AH1311&lt;1,$AH1311&gt;31),"نامعتبر",RIGHT("0000"&amp;$AF1311,4)&amp;"/"&amp;RIGHT("00"&amp;$AG1311,2)&amp;"/"&amp;RIGHT("00"&amp;$AH1311,2)))</f>
        <v/>
      </c>
      <c r="AJ1311">
        <f>IF($AE1311="","",IF(Sync!$Q1311="","0000",IF(AND(ISNUMBER(Sync!$Q1311),Sync!$Q1311&gt;=0,Sync!$Q1311&lt;1),RIGHT("00"&amp;HOUR(Sync!$Q1311),2)&amp;RIGHT("00"&amp;MINUTE(Sync!$Q1311),2),IFERROR(RIGHT("00"&amp;VALUE(LEFT(Sync!$Q1311,FIND(":",Sync!$Q1311)-1)),2)&amp;RIGHT("00"&amp;VALUE(MID(Sync!$Q1311,FIND(":",Sync!$Q1311)+1,2)),2),"0000"))))</f>
        <v/>
      </c>
      <c r="AK1311">
        <f>IF(OR($AE1311="",$AI1311="",$AI1311="نامعتبر"),"",LEFT($AI1311,4)&amp;MID($AI1311,6,2)&amp;RIGHT($AI1311,2)&amp;$AJ1311&amp;"|"&amp;"3"&amp;RIGHT("00000"&amp;1306,5))</f>
        <v/>
      </c>
      <c r="AL1311">
        <f>IF($AK1311="","",COUNTIFS(LdAParty,$AE1311,LdAType,1,LdAKey,"&lt;"&amp;$AK1311)+COUNTIFS(LdBMember,$AE1311,LdBKey,"&lt;"&amp;$AK1311)+COUNTIFS(LdCParty,$AE1311,LdCKey,"&lt;"&amp;$AK1311)+1)</f>
        <v/>
      </c>
      <c r="AM1311">
        <f>IF($AL1311="","",$AE1311&amp;"|"&amp;RIGHT("000000"&amp;$AL1311,6))</f>
        <v/>
      </c>
      <c r="AN1311">
        <f>IF($AE1311="","",IF(Sync!$W1311="",0,Sync!$W1311))</f>
        <v/>
      </c>
      <c r="AO1311">
        <f>IF($AE1311="","",IF(Sync!$X1311="",0,Sync!$X1311))</f>
        <v/>
      </c>
      <c r="AP1311">
        <f>IF($AE1311="","",Sync!$R1311)</f>
        <v/>
      </c>
      <c r="AQ1311">
        <f>IF($AE1311="","",Sync!$Y1311)</f>
        <v/>
      </c>
    </row>
    <row r="1312">
      <c r="A1312">
        <f>IF(OR(Wages!$B1315="",Wages!$E1315=""),"",Wages!$E1315)</f>
        <v/>
      </c>
      <c r="B1312">
        <f>IF($A1312="","",IF(Wages!$C1315="دستمزد گروهی",2,1))</f>
        <v/>
      </c>
      <c r="C1312">
        <f>IF($A1312="","",IF(ISNUMBER(Wages!$B1315),IF(AND(Wages!$B1315&gt;=10000101,Wages!$B1315&lt;=99991231),INT(Wages!$B1315/10000),""),IFERROR(VALUE(TRIM(LEFT(Wages!$B1315,FIND("/",Wages!$B1315)-1))),"")))</f>
        <v/>
      </c>
      <c r="D1312">
        <f>IF(OR($A1312="",$C1312=""),"",IF(ISNUMBER(Wages!$B1315),INT(MOD(Wages!$B1315,10000)/100),IFERROR(VALUE(TRIM(LEFT(MID(Wages!$B1315,FIND("/",Wages!$B1315)+1,20),FIND("/",MID(Wages!$B1315,FIND("/",Wages!$B1315)+1,20))-1))),"")))</f>
        <v/>
      </c>
      <c r="E1312">
        <f>IF(OR($A1312="",$C1312=""),"",IF(ISNUMBER(Wages!$B1315),MOD(Wages!$B1315,100),IFERROR(VALUE(TRIM(MID(MID(Wages!$B1315,FIND("/",Wages!$B1315)+1,20),FIND("/",MID(Wages!$B1315,FIND("/",Wages!$B1315)+1,20))+1,20))),"")))</f>
        <v/>
      </c>
      <c r="F1312">
        <f>IF($A1312="","",IF(OR($C1312="",$D1312="",$E1312="",$C1312&lt;1300,$C1312&gt;1500,$D1312&lt;1,$D1312&gt;12,$E1312&lt;1,$E1312&gt;31),"نامعتبر",RIGHT("0000"&amp;$C1312,4)&amp;"/"&amp;RIGHT("00"&amp;$D1312,2)&amp;"/"&amp;RIGHT("00"&amp;$E1312,2)))</f>
        <v/>
      </c>
      <c r="G1312">
        <f>IF(OR($A1312="",$F1312="",$F1312="نامعتبر"),"",LEFT($F1312,4)&amp;MID($F1312,6,2)&amp;RIGHT($F1312,2)&amp;"0000"&amp;"|"&amp;"1"&amp;RIGHT("00000"&amp;1307,5))</f>
        <v/>
      </c>
      <c r="H1312">
        <f>IF(OR($B1312&lt;&gt;1,$G1312=""),"",COUNTIFS(LdAParty,$A1312,LdAType,1,LdAKey,"&lt;"&amp;$G1312)+COUNTIFS(LdBMember,$A1312,LdBKey,"&lt;"&amp;$G1312)+COUNTIFS(LdCParty,$A1312,LdCKey,"&lt;"&amp;$G1312)+1)</f>
        <v/>
      </c>
      <c r="I1312">
        <f>IF($H1312="","",$A1312&amp;"|"&amp;RIGHT("000000"&amp;$H1312,6))</f>
        <v/>
      </c>
      <c r="J1312">
        <f>IF(OR($B1312&lt;&gt;2,$G1312=""),"",COUNTIFS(LdAParty,$A1312,LdAType,2,LdAKey,"&lt;"&amp;$G1312)+1)</f>
        <v/>
      </c>
      <c r="K1312">
        <f>IF($J1312="","",$A1312&amp;"|"&amp;RIGHT("000000"&amp;$J1312,6))</f>
        <v/>
      </c>
      <c r="L1312">
        <f>IF($A1312="","",IF(Wages!$G1315="",0,Wages!$G1315))</f>
        <v/>
      </c>
      <c r="M1312">
        <f>IF($A1312="","",Wages!$J1315)</f>
        <v/>
      </c>
      <c r="N1312">
        <f>IF($A1312="","",Wages!$D1315)</f>
        <v/>
      </c>
      <c r="P1312">
        <f>IF(OR(Shares!$B1315="",Shares!$C1315=""),"",Shares!$C1315)</f>
        <v/>
      </c>
      <c r="Q1312">
        <f>IF($P1312="","",Shares!$B1315)</f>
        <v/>
      </c>
      <c r="R1312">
        <f>IF($P1312="","",IFERROR(INDEX(WageParty,MATCH($Q1312,WageIds,0)),""))</f>
        <v/>
      </c>
      <c r="S1312">
        <f>IF($P1312="","",IFERROR(INDEX($F$6:$F$2005,MATCH($Q1312,WageIds,0)),""))</f>
        <v/>
      </c>
      <c r="T1312">
        <f>IF(OR($P1312="",$S1312="",$S1312="نامعتبر"),"",LEFT($S1312,4)&amp;MID($S1312,6,2)&amp;RIGHT($S1312,2)&amp;"0000"&amp;"|"&amp;"2"&amp;RIGHT("00000"&amp;1307,5))</f>
        <v/>
      </c>
      <c r="U1312">
        <f>IF($T1312="","",COUNTIFS(LdAParty,$P1312,LdAType,1,LdAKey,"&lt;"&amp;$T1312)+COUNTIFS(LdBMember,$P1312,LdBKey,"&lt;"&amp;$T1312)+COUNTIFS(LdCParty,$P1312,LdCKey,"&lt;"&amp;$T1312)+1)</f>
        <v/>
      </c>
      <c r="V1312">
        <f>IF($U1312="","",$P1312&amp;"|"&amp;RIGHT("000000"&amp;$U1312,6))</f>
        <v/>
      </c>
      <c r="W1312">
        <f>IF($T1312="","",COUNTIFS(LdBGroup,$R1312,LdBKey,"&lt;"&amp;$T1312)+1)</f>
        <v/>
      </c>
      <c r="X1312">
        <f>IF($W1312="","",$R1312&amp;"|"&amp;RIGHT("000000"&amp;$W1312,6))</f>
        <v/>
      </c>
      <c r="Y1312">
        <f>IF($P1312="","",IF(Shares!$E1315="",0,Shares!$E1315))</f>
        <v/>
      </c>
      <c r="Z1312">
        <f>IF($P1312="","",Shares!$H1315)</f>
        <v/>
      </c>
      <c r="AE1312">
        <f>IF(OR(Sync!$S1312="",Sync!$P1312=""),"",Sync!$S1312)</f>
        <v/>
      </c>
      <c r="AF1312">
        <f>IF($AE1312="","",IF(ISNUMBER(Sync!$P1312),IF(AND(Sync!$P1312&gt;=10000101,Sync!$P1312&lt;=99991231),INT(Sync!$P1312/10000),""),IFERROR(VALUE(TRIM(LEFT(Sync!$P1312,FIND("/",Sync!$P1312)-1))),"")))</f>
        <v/>
      </c>
      <c r="AG1312">
        <f>IF(OR($AE1312="",$AF1312=""),"",IF(ISNUMBER(Sync!$P1312),INT(MOD(Sync!$P1312,10000)/100),IFERROR(VALUE(TRIM(LEFT(MID(Sync!$P1312,FIND("/",Sync!$P1312)+1,20),FIND("/",MID(Sync!$P1312,FIND("/",Sync!$P1312)+1,20))-1))),"")))</f>
        <v/>
      </c>
      <c r="AH1312">
        <f>IF(OR($AE1312="",$AF1312=""),"",IF(ISNUMBER(Sync!$P1312),MOD(Sync!$P1312,100),IFERROR(VALUE(TRIM(MID(MID(Sync!$P1312,FIND("/",Sync!$P1312)+1,20),FIND("/",MID(Sync!$P1312,FIND("/",Sync!$P1312)+1,20))+1,20))),"")))</f>
        <v/>
      </c>
      <c r="AI1312">
        <f>IF($AE1312="","",IF(OR($AF1312="",$AG1312="",$AH1312="",$AF1312&lt;1300,$AF1312&gt;1500,$AG1312&lt;1,$AG1312&gt;12,$AH1312&lt;1,$AH1312&gt;31),"نامعتبر",RIGHT("0000"&amp;$AF1312,4)&amp;"/"&amp;RIGHT("00"&amp;$AG1312,2)&amp;"/"&amp;RIGHT("00"&amp;$AH1312,2)))</f>
        <v/>
      </c>
      <c r="AJ1312">
        <f>IF($AE1312="","",IF(Sync!$Q1312="","0000",IF(AND(ISNUMBER(Sync!$Q1312),Sync!$Q1312&gt;=0,Sync!$Q1312&lt;1),RIGHT("00"&amp;HOUR(Sync!$Q1312),2)&amp;RIGHT("00"&amp;MINUTE(Sync!$Q1312),2),IFERROR(RIGHT("00"&amp;VALUE(LEFT(Sync!$Q1312,FIND(":",Sync!$Q1312)-1)),2)&amp;RIGHT("00"&amp;VALUE(MID(Sync!$Q1312,FIND(":",Sync!$Q1312)+1,2)),2),"0000"))))</f>
        <v/>
      </c>
      <c r="AK1312">
        <f>IF(OR($AE1312="",$AI1312="",$AI1312="نامعتبر"),"",LEFT($AI1312,4)&amp;MID($AI1312,6,2)&amp;RIGHT($AI1312,2)&amp;$AJ1312&amp;"|"&amp;"3"&amp;RIGHT("00000"&amp;1307,5))</f>
        <v/>
      </c>
      <c r="AL1312">
        <f>IF($AK1312="","",COUNTIFS(LdAParty,$AE1312,LdAType,1,LdAKey,"&lt;"&amp;$AK1312)+COUNTIFS(LdBMember,$AE1312,LdBKey,"&lt;"&amp;$AK1312)+COUNTIFS(LdCParty,$AE1312,LdCKey,"&lt;"&amp;$AK1312)+1)</f>
        <v/>
      </c>
      <c r="AM1312">
        <f>IF($AL1312="","",$AE1312&amp;"|"&amp;RIGHT("000000"&amp;$AL1312,6))</f>
        <v/>
      </c>
      <c r="AN1312">
        <f>IF($AE1312="","",IF(Sync!$W1312="",0,Sync!$W1312))</f>
        <v/>
      </c>
      <c r="AO1312">
        <f>IF($AE1312="","",IF(Sync!$X1312="",0,Sync!$X1312))</f>
        <v/>
      </c>
      <c r="AP1312">
        <f>IF($AE1312="","",Sync!$R1312)</f>
        <v/>
      </c>
      <c r="AQ1312">
        <f>IF($AE1312="","",Sync!$Y1312)</f>
        <v/>
      </c>
    </row>
    <row r="1313">
      <c r="A1313">
        <f>IF(OR(Wages!$B1316="",Wages!$E1316=""),"",Wages!$E1316)</f>
        <v/>
      </c>
      <c r="B1313">
        <f>IF($A1313="","",IF(Wages!$C1316="دستمزد گروهی",2,1))</f>
        <v/>
      </c>
      <c r="C1313">
        <f>IF($A1313="","",IF(ISNUMBER(Wages!$B1316),IF(AND(Wages!$B1316&gt;=10000101,Wages!$B1316&lt;=99991231),INT(Wages!$B1316/10000),""),IFERROR(VALUE(TRIM(LEFT(Wages!$B1316,FIND("/",Wages!$B1316)-1))),"")))</f>
        <v/>
      </c>
      <c r="D1313">
        <f>IF(OR($A1313="",$C1313=""),"",IF(ISNUMBER(Wages!$B1316),INT(MOD(Wages!$B1316,10000)/100),IFERROR(VALUE(TRIM(LEFT(MID(Wages!$B1316,FIND("/",Wages!$B1316)+1,20),FIND("/",MID(Wages!$B1316,FIND("/",Wages!$B1316)+1,20))-1))),"")))</f>
        <v/>
      </c>
      <c r="E1313">
        <f>IF(OR($A1313="",$C1313=""),"",IF(ISNUMBER(Wages!$B1316),MOD(Wages!$B1316,100),IFERROR(VALUE(TRIM(MID(MID(Wages!$B1316,FIND("/",Wages!$B1316)+1,20),FIND("/",MID(Wages!$B1316,FIND("/",Wages!$B1316)+1,20))+1,20))),"")))</f>
        <v/>
      </c>
      <c r="F1313">
        <f>IF($A1313="","",IF(OR($C1313="",$D1313="",$E1313="",$C1313&lt;1300,$C1313&gt;1500,$D1313&lt;1,$D1313&gt;12,$E1313&lt;1,$E1313&gt;31),"نامعتبر",RIGHT("0000"&amp;$C1313,4)&amp;"/"&amp;RIGHT("00"&amp;$D1313,2)&amp;"/"&amp;RIGHT("00"&amp;$E1313,2)))</f>
        <v/>
      </c>
      <c r="G1313">
        <f>IF(OR($A1313="",$F1313="",$F1313="نامعتبر"),"",LEFT($F1313,4)&amp;MID($F1313,6,2)&amp;RIGHT($F1313,2)&amp;"0000"&amp;"|"&amp;"1"&amp;RIGHT("00000"&amp;1308,5))</f>
        <v/>
      </c>
      <c r="H1313">
        <f>IF(OR($B1313&lt;&gt;1,$G1313=""),"",COUNTIFS(LdAParty,$A1313,LdAType,1,LdAKey,"&lt;"&amp;$G1313)+COUNTIFS(LdBMember,$A1313,LdBKey,"&lt;"&amp;$G1313)+COUNTIFS(LdCParty,$A1313,LdCKey,"&lt;"&amp;$G1313)+1)</f>
        <v/>
      </c>
      <c r="I1313">
        <f>IF($H1313="","",$A1313&amp;"|"&amp;RIGHT("000000"&amp;$H1313,6))</f>
        <v/>
      </c>
      <c r="J1313">
        <f>IF(OR($B1313&lt;&gt;2,$G1313=""),"",COUNTIFS(LdAParty,$A1313,LdAType,2,LdAKey,"&lt;"&amp;$G1313)+1)</f>
        <v/>
      </c>
      <c r="K1313">
        <f>IF($J1313="","",$A1313&amp;"|"&amp;RIGHT("000000"&amp;$J1313,6))</f>
        <v/>
      </c>
      <c r="L1313">
        <f>IF($A1313="","",IF(Wages!$G1316="",0,Wages!$G1316))</f>
        <v/>
      </c>
      <c r="M1313">
        <f>IF($A1313="","",Wages!$J1316)</f>
        <v/>
      </c>
      <c r="N1313">
        <f>IF($A1313="","",Wages!$D1316)</f>
        <v/>
      </c>
      <c r="P1313">
        <f>IF(OR(Shares!$B1316="",Shares!$C1316=""),"",Shares!$C1316)</f>
        <v/>
      </c>
      <c r="Q1313">
        <f>IF($P1313="","",Shares!$B1316)</f>
        <v/>
      </c>
      <c r="R1313">
        <f>IF($P1313="","",IFERROR(INDEX(WageParty,MATCH($Q1313,WageIds,0)),""))</f>
        <v/>
      </c>
      <c r="S1313">
        <f>IF($P1313="","",IFERROR(INDEX($F$6:$F$2005,MATCH($Q1313,WageIds,0)),""))</f>
        <v/>
      </c>
      <c r="T1313">
        <f>IF(OR($P1313="",$S1313="",$S1313="نامعتبر"),"",LEFT($S1313,4)&amp;MID($S1313,6,2)&amp;RIGHT($S1313,2)&amp;"0000"&amp;"|"&amp;"2"&amp;RIGHT("00000"&amp;1308,5))</f>
        <v/>
      </c>
      <c r="U1313">
        <f>IF($T1313="","",COUNTIFS(LdAParty,$P1313,LdAType,1,LdAKey,"&lt;"&amp;$T1313)+COUNTIFS(LdBMember,$P1313,LdBKey,"&lt;"&amp;$T1313)+COUNTIFS(LdCParty,$P1313,LdCKey,"&lt;"&amp;$T1313)+1)</f>
        <v/>
      </c>
      <c r="V1313">
        <f>IF($U1313="","",$P1313&amp;"|"&amp;RIGHT("000000"&amp;$U1313,6))</f>
        <v/>
      </c>
      <c r="W1313">
        <f>IF($T1313="","",COUNTIFS(LdBGroup,$R1313,LdBKey,"&lt;"&amp;$T1313)+1)</f>
        <v/>
      </c>
      <c r="X1313">
        <f>IF($W1313="","",$R1313&amp;"|"&amp;RIGHT("000000"&amp;$W1313,6))</f>
        <v/>
      </c>
      <c r="Y1313">
        <f>IF($P1313="","",IF(Shares!$E1316="",0,Shares!$E1316))</f>
        <v/>
      </c>
      <c r="Z1313">
        <f>IF($P1313="","",Shares!$H1316)</f>
        <v/>
      </c>
      <c r="AE1313">
        <f>IF(OR(Sync!$S1313="",Sync!$P1313=""),"",Sync!$S1313)</f>
        <v/>
      </c>
      <c r="AF1313">
        <f>IF($AE1313="","",IF(ISNUMBER(Sync!$P1313),IF(AND(Sync!$P1313&gt;=10000101,Sync!$P1313&lt;=99991231),INT(Sync!$P1313/10000),""),IFERROR(VALUE(TRIM(LEFT(Sync!$P1313,FIND("/",Sync!$P1313)-1))),"")))</f>
        <v/>
      </c>
      <c r="AG1313">
        <f>IF(OR($AE1313="",$AF1313=""),"",IF(ISNUMBER(Sync!$P1313),INT(MOD(Sync!$P1313,10000)/100),IFERROR(VALUE(TRIM(LEFT(MID(Sync!$P1313,FIND("/",Sync!$P1313)+1,20),FIND("/",MID(Sync!$P1313,FIND("/",Sync!$P1313)+1,20))-1))),"")))</f>
        <v/>
      </c>
      <c r="AH1313">
        <f>IF(OR($AE1313="",$AF1313=""),"",IF(ISNUMBER(Sync!$P1313),MOD(Sync!$P1313,100),IFERROR(VALUE(TRIM(MID(MID(Sync!$P1313,FIND("/",Sync!$P1313)+1,20),FIND("/",MID(Sync!$P1313,FIND("/",Sync!$P1313)+1,20))+1,20))),"")))</f>
        <v/>
      </c>
      <c r="AI1313">
        <f>IF($AE1313="","",IF(OR($AF1313="",$AG1313="",$AH1313="",$AF1313&lt;1300,$AF1313&gt;1500,$AG1313&lt;1,$AG1313&gt;12,$AH1313&lt;1,$AH1313&gt;31),"نامعتبر",RIGHT("0000"&amp;$AF1313,4)&amp;"/"&amp;RIGHT("00"&amp;$AG1313,2)&amp;"/"&amp;RIGHT("00"&amp;$AH1313,2)))</f>
        <v/>
      </c>
      <c r="AJ1313">
        <f>IF($AE1313="","",IF(Sync!$Q1313="","0000",IF(AND(ISNUMBER(Sync!$Q1313),Sync!$Q1313&gt;=0,Sync!$Q1313&lt;1),RIGHT("00"&amp;HOUR(Sync!$Q1313),2)&amp;RIGHT("00"&amp;MINUTE(Sync!$Q1313),2),IFERROR(RIGHT("00"&amp;VALUE(LEFT(Sync!$Q1313,FIND(":",Sync!$Q1313)-1)),2)&amp;RIGHT("00"&amp;VALUE(MID(Sync!$Q1313,FIND(":",Sync!$Q1313)+1,2)),2),"0000"))))</f>
        <v/>
      </c>
      <c r="AK1313">
        <f>IF(OR($AE1313="",$AI1313="",$AI1313="نامعتبر"),"",LEFT($AI1313,4)&amp;MID($AI1313,6,2)&amp;RIGHT($AI1313,2)&amp;$AJ1313&amp;"|"&amp;"3"&amp;RIGHT("00000"&amp;1308,5))</f>
        <v/>
      </c>
      <c r="AL1313">
        <f>IF($AK1313="","",COUNTIFS(LdAParty,$AE1313,LdAType,1,LdAKey,"&lt;"&amp;$AK1313)+COUNTIFS(LdBMember,$AE1313,LdBKey,"&lt;"&amp;$AK1313)+COUNTIFS(LdCParty,$AE1313,LdCKey,"&lt;"&amp;$AK1313)+1)</f>
        <v/>
      </c>
      <c r="AM1313">
        <f>IF($AL1313="","",$AE1313&amp;"|"&amp;RIGHT("000000"&amp;$AL1313,6))</f>
        <v/>
      </c>
      <c r="AN1313">
        <f>IF($AE1313="","",IF(Sync!$W1313="",0,Sync!$W1313))</f>
        <v/>
      </c>
      <c r="AO1313">
        <f>IF($AE1313="","",IF(Sync!$X1313="",0,Sync!$X1313))</f>
        <v/>
      </c>
      <c r="AP1313">
        <f>IF($AE1313="","",Sync!$R1313)</f>
        <v/>
      </c>
      <c r="AQ1313">
        <f>IF($AE1313="","",Sync!$Y1313)</f>
        <v/>
      </c>
    </row>
    <row r="1314">
      <c r="A1314">
        <f>IF(OR(Wages!$B1317="",Wages!$E1317=""),"",Wages!$E1317)</f>
        <v/>
      </c>
      <c r="B1314">
        <f>IF($A1314="","",IF(Wages!$C1317="دستمزد گروهی",2,1))</f>
        <v/>
      </c>
      <c r="C1314">
        <f>IF($A1314="","",IF(ISNUMBER(Wages!$B1317),IF(AND(Wages!$B1317&gt;=10000101,Wages!$B1317&lt;=99991231),INT(Wages!$B1317/10000),""),IFERROR(VALUE(TRIM(LEFT(Wages!$B1317,FIND("/",Wages!$B1317)-1))),"")))</f>
        <v/>
      </c>
      <c r="D1314">
        <f>IF(OR($A1314="",$C1314=""),"",IF(ISNUMBER(Wages!$B1317),INT(MOD(Wages!$B1317,10000)/100),IFERROR(VALUE(TRIM(LEFT(MID(Wages!$B1317,FIND("/",Wages!$B1317)+1,20),FIND("/",MID(Wages!$B1317,FIND("/",Wages!$B1317)+1,20))-1))),"")))</f>
        <v/>
      </c>
      <c r="E1314">
        <f>IF(OR($A1314="",$C1314=""),"",IF(ISNUMBER(Wages!$B1317),MOD(Wages!$B1317,100),IFERROR(VALUE(TRIM(MID(MID(Wages!$B1317,FIND("/",Wages!$B1317)+1,20),FIND("/",MID(Wages!$B1317,FIND("/",Wages!$B1317)+1,20))+1,20))),"")))</f>
        <v/>
      </c>
      <c r="F1314">
        <f>IF($A1314="","",IF(OR($C1314="",$D1314="",$E1314="",$C1314&lt;1300,$C1314&gt;1500,$D1314&lt;1,$D1314&gt;12,$E1314&lt;1,$E1314&gt;31),"نامعتبر",RIGHT("0000"&amp;$C1314,4)&amp;"/"&amp;RIGHT("00"&amp;$D1314,2)&amp;"/"&amp;RIGHT("00"&amp;$E1314,2)))</f>
        <v/>
      </c>
      <c r="G1314">
        <f>IF(OR($A1314="",$F1314="",$F1314="نامعتبر"),"",LEFT($F1314,4)&amp;MID($F1314,6,2)&amp;RIGHT($F1314,2)&amp;"0000"&amp;"|"&amp;"1"&amp;RIGHT("00000"&amp;1309,5))</f>
        <v/>
      </c>
      <c r="H1314">
        <f>IF(OR($B1314&lt;&gt;1,$G1314=""),"",COUNTIFS(LdAParty,$A1314,LdAType,1,LdAKey,"&lt;"&amp;$G1314)+COUNTIFS(LdBMember,$A1314,LdBKey,"&lt;"&amp;$G1314)+COUNTIFS(LdCParty,$A1314,LdCKey,"&lt;"&amp;$G1314)+1)</f>
        <v/>
      </c>
      <c r="I1314">
        <f>IF($H1314="","",$A1314&amp;"|"&amp;RIGHT("000000"&amp;$H1314,6))</f>
        <v/>
      </c>
      <c r="J1314">
        <f>IF(OR($B1314&lt;&gt;2,$G1314=""),"",COUNTIFS(LdAParty,$A1314,LdAType,2,LdAKey,"&lt;"&amp;$G1314)+1)</f>
        <v/>
      </c>
      <c r="K1314">
        <f>IF($J1314="","",$A1314&amp;"|"&amp;RIGHT("000000"&amp;$J1314,6))</f>
        <v/>
      </c>
      <c r="L1314">
        <f>IF($A1314="","",IF(Wages!$G1317="",0,Wages!$G1317))</f>
        <v/>
      </c>
      <c r="M1314">
        <f>IF($A1314="","",Wages!$J1317)</f>
        <v/>
      </c>
      <c r="N1314">
        <f>IF($A1314="","",Wages!$D1317)</f>
        <v/>
      </c>
      <c r="P1314">
        <f>IF(OR(Shares!$B1317="",Shares!$C1317=""),"",Shares!$C1317)</f>
        <v/>
      </c>
      <c r="Q1314">
        <f>IF($P1314="","",Shares!$B1317)</f>
        <v/>
      </c>
      <c r="R1314">
        <f>IF($P1314="","",IFERROR(INDEX(WageParty,MATCH($Q1314,WageIds,0)),""))</f>
        <v/>
      </c>
      <c r="S1314">
        <f>IF($P1314="","",IFERROR(INDEX($F$6:$F$2005,MATCH($Q1314,WageIds,0)),""))</f>
        <v/>
      </c>
      <c r="T1314">
        <f>IF(OR($P1314="",$S1314="",$S1314="نامعتبر"),"",LEFT($S1314,4)&amp;MID($S1314,6,2)&amp;RIGHT($S1314,2)&amp;"0000"&amp;"|"&amp;"2"&amp;RIGHT("00000"&amp;1309,5))</f>
        <v/>
      </c>
      <c r="U1314">
        <f>IF($T1314="","",COUNTIFS(LdAParty,$P1314,LdAType,1,LdAKey,"&lt;"&amp;$T1314)+COUNTIFS(LdBMember,$P1314,LdBKey,"&lt;"&amp;$T1314)+COUNTIFS(LdCParty,$P1314,LdCKey,"&lt;"&amp;$T1314)+1)</f>
        <v/>
      </c>
      <c r="V1314">
        <f>IF($U1314="","",$P1314&amp;"|"&amp;RIGHT("000000"&amp;$U1314,6))</f>
        <v/>
      </c>
      <c r="W1314">
        <f>IF($T1314="","",COUNTIFS(LdBGroup,$R1314,LdBKey,"&lt;"&amp;$T1314)+1)</f>
        <v/>
      </c>
      <c r="X1314">
        <f>IF($W1314="","",$R1314&amp;"|"&amp;RIGHT("000000"&amp;$W1314,6))</f>
        <v/>
      </c>
      <c r="Y1314">
        <f>IF($P1314="","",IF(Shares!$E1317="",0,Shares!$E1317))</f>
        <v/>
      </c>
      <c r="Z1314">
        <f>IF($P1314="","",Shares!$H1317)</f>
        <v/>
      </c>
      <c r="AE1314">
        <f>IF(OR(Sync!$S1314="",Sync!$P1314=""),"",Sync!$S1314)</f>
        <v/>
      </c>
      <c r="AF1314">
        <f>IF($AE1314="","",IF(ISNUMBER(Sync!$P1314),IF(AND(Sync!$P1314&gt;=10000101,Sync!$P1314&lt;=99991231),INT(Sync!$P1314/10000),""),IFERROR(VALUE(TRIM(LEFT(Sync!$P1314,FIND("/",Sync!$P1314)-1))),"")))</f>
        <v/>
      </c>
      <c r="AG1314">
        <f>IF(OR($AE1314="",$AF1314=""),"",IF(ISNUMBER(Sync!$P1314),INT(MOD(Sync!$P1314,10000)/100),IFERROR(VALUE(TRIM(LEFT(MID(Sync!$P1314,FIND("/",Sync!$P1314)+1,20),FIND("/",MID(Sync!$P1314,FIND("/",Sync!$P1314)+1,20))-1))),"")))</f>
        <v/>
      </c>
      <c r="AH1314">
        <f>IF(OR($AE1314="",$AF1314=""),"",IF(ISNUMBER(Sync!$P1314),MOD(Sync!$P1314,100),IFERROR(VALUE(TRIM(MID(MID(Sync!$P1314,FIND("/",Sync!$P1314)+1,20),FIND("/",MID(Sync!$P1314,FIND("/",Sync!$P1314)+1,20))+1,20))),"")))</f>
        <v/>
      </c>
      <c r="AI1314">
        <f>IF($AE1314="","",IF(OR($AF1314="",$AG1314="",$AH1314="",$AF1314&lt;1300,$AF1314&gt;1500,$AG1314&lt;1,$AG1314&gt;12,$AH1314&lt;1,$AH1314&gt;31),"نامعتبر",RIGHT("0000"&amp;$AF1314,4)&amp;"/"&amp;RIGHT("00"&amp;$AG1314,2)&amp;"/"&amp;RIGHT("00"&amp;$AH1314,2)))</f>
        <v/>
      </c>
      <c r="AJ1314">
        <f>IF($AE1314="","",IF(Sync!$Q1314="","0000",IF(AND(ISNUMBER(Sync!$Q1314),Sync!$Q1314&gt;=0,Sync!$Q1314&lt;1),RIGHT("00"&amp;HOUR(Sync!$Q1314),2)&amp;RIGHT("00"&amp;MINUTE(Sync!$Q1314),2),IFERROR(RIGHT("00"&amp;VALUE(LEFT(Sync!$Q1314,FIND(":",Sync!$Q1314)-1)),2)&amp;RIGHT("00"&amp;VALUE(MID(Sync!$Q1314,FIND(":",Sync!$Q1314)+1,2)),2),"0000"))))</f>
        <v/>
      </c>
      <c r="AK1314">
        <f>IF(OR($AE1314="",$AI1314="",$AI1314="نامعتبر"),"",LEFT($AI1314,4)&amp;MID($AI1314,6,2)&amp;RIGHT($AI1314,2)&amp;$AJ1314&amp;"|"&amp;"3"&amp;RIGHT("00000"&amp;1309,5))</f>
        <v/>
      </c>
      <c r="AL1314">
        <f>IF($AK1314="","",COUNTIFS(LdAParty,$AE1314,LdAType,1,LdAKey,"&lt;"&amp;$AK1314)+COUNTIFS(LdBMember,$AE1314,LdBKey,"&lt;"&amp;$AK1314)+COUNTIFS(LdCParty,$AE1314,LdCKey,"&lt;"&amp;$AK1314)+1)</f>
        <v/>
      </c>
      <c r="AM1314">
        <f>IF($AL1314="","",$AE1314&amp;"|"&amp;RIGHT("000000"&amp;$AL1314,6))</f>
        <v/>
      </c>
      <c r="AN1314">
        <f>IF($AE1314="","",IF(Sync!$W1314="",0,Sync!$W1314))</f>
        <v/>
      </c>
      <c r="AO1314">
        <f>IF($AE1314="","",IF(Sync!$X1314="",0,Sync!$X1314))</f>
        <v/>
      </c>
      <c r="AP1314">
        <f>IF($AE1314="","",Sync!$R1314)</f>
        <v/>
      </c>
      <c r="AQ1314">
        <f>IF($AE1314="","",Sync!$Y1314)</f>
        <v/>
      </c>
    </row>
    <row r="1315">
      <c r="A1315">
        <f>IF(OR(Wages!$B1318="",Wages!$E1318=""),"",Wages!$E1318)</f>
        <v/>
      </c>
      <c r="B1315">
        <f>IF($A1315="","",IF(Wages!$C1318="دستمزد گروهی",2,1))</f>
        <v/>
      </c>
      <c r="C1315">
        <f>IF($A1315="","",IF(ISNUMBER(Wages!$B1318),IF(AND(Wages!$B1318&gt;=10000101,Wages!$B1318&lt;=99991231),INT(Wages!$B1318/10000),""),IFERROR(VALUE(TRIM(LEFT(Wages!$B1318,FIND("/",Wages!$B1318)-1))),"")))</f>
        <v/>
      </c>
      <c r="D1315">
        <f>IF(OR($A1315="",$C1315=""),"",IF(ISNUMBER(Wages!$B1318),INT(MOD(Wages!$B1318,10000)/100),IFERROR(VALUE(TRIM(LEFT(MID(Wages!$B1318,FIND("/",Wages!$B1318)+1,20),FIND("/",MID(Wages!$B1318,FIND("/",Wages!$B1318)+1,20))-1))),"")))</f>
        <v/>
      </c>
      <c r="E1315">
        <f>IF(OR($A1315="",$C1315=""),"",IF(ISNUMBER(Wages!$B1318),MOD(Wages!$B1318,100),IFERROR(VALUE(TRIM(MID(MID(Wages!$B1318,FIND("/",Wages!$B1318)+1,20),FIND("/",MID(Wages!$B1318,FIND("/",Wages!$B1318)+1,20))+1,20))),"")))</f>
        <v/>
      </c>
      <c r="F1315">
        <f>IF($A1315="","",IF(OR($C1315="",$D1315="",$E1315="",$C1315&lt;1300,$C1315&gt;1500,$D1315&lt;1,$D1315&gt;12,$E1315&lt;1,$E1315&gt;31),"نامعتبر",RIGHT("0000"&amp;$C1315,4)&amp;"/"&amp;RIGHT("00"&amp;$D1315,2)&amp;"/"&amp;RIGHT("00"&amp;$E1315,2)))</f>
        <v/>
      </c>
      <c r="G1315">
        <f>IF(OR($A1315="",$F1315="",$F1315="نامعتبر"),"",LEFT($F1315,4)&amp;MID($F1315,6,2)&amp;RIGHT($F1315,2)&amp;"0000"&amp;"|"&amp;"1"&amp;RIGHT("00000"&amp;1310,5))</f>
        <v/>
      </c>
      <c r="H1315">
        <f>IF(OR($B1315&lt;&gt;1,$G1315=""),"",COUNTIFS(LdAParty,$A1315,LdAType,1,LdAKey,"&lt;"&amp;$G1315)+COUNTIFS(LdBMember,$A1315,LdBKey,"&lt;"&amp;$G1315)+COUNTIFS(LdCParty,$A1315,LdCKey,"&lt;"&amp;$G1315)+1)</f>
        <v/>
      </c>
      <c r="I1315">
        <f>IF($H1315="","",$A1315&amp;"|"&amp;RIGHT("000000"&amp;$H1315,6))</f>
        <v/>
      </c>
      <c r="J1315">
        <f>IF(OR($B1315&lt;&gt;2,$G1315=""),"",COUNTIFS(LdAParty,$A1315,LdAType,2,LdAKey,"&lt;"&amp;$G1315)+1)</f>
        <v/>
      </c>
      <c r="K1315">
        <f>IF($J1315="","",$A1315&amp;"|"&amp;RIGHT("000000"&amp;$J1315,6))</f>
        <v/>
      </c>
      <c r="L1315">
        <f>IF($A1315="","",IF(Wages!$G1318="",0,Wages!$G1318))</f>
        <v/>
      </c>
      <c r="M1315">
        <f>IF($A1315="","",Wages!$J1318)</f>
        <v/>
      </c>
      <c r="N1315">
        <f>IF($A1315="","",Wages!$D1318)</f>
        <v/>
      </c>
      <c r="P1315">
        <f>IF(OR(Shares!$B1318="",Shares!$C1318=""),"",Shares!$C1318)</f>
        <v/>
      </c>
      <c r="Q1315">
        <f>IF($P1315="","",Shares!$B1318)</f>
        <v/>
      </c>
      <c r="R1315">
        <f>IF($P1315="","",IFERROR(INDEX(WageParty,MATCH($Q1315,WageIds,0)),""))</f>
        <v/>
      </c>
      <c r="S1315">
        <f>IF($P1315="","",IFERROR(INDEX($F$6:$F$2005,MATCH($Q1315,WageIds,0)),""))</f>
        <v/>
      </c>
      <c r="T1315">
        <f>IF(OR($P1315="",$S1315="",$S1315="نامعتبر"),"",LEFT($S1315,4)&amp;MID($S1315,6,2)&amp;RIGHT($S1315,2)&amp;"0000"&amp;"|"&amp;"2"&amp;RIGHT("00000"&amp;1310,5))</f>
        <v/>
      </c>
      <c r="U1315">
        <f>IF($T1315="","",COUNTIFS(LdAParty,$P1315,LdAType,1,LdAKey,"&lt;"&amp;$T1315)+COUNTIFS(LdBMember,$P1315,LdBKey,"&lt;"&amp;$T1315)+COUNTIFS(LdCParty,$P1315,LdCKey,"&lt;"&amp;$T1315)+1)</f>
        <v/>
      </c>
      <c r="V1315">
        <f>IF($U1315="","",$P1315&amp;"|"&amp;RIGHT("000000"&amp;$U1315,6))</f>
        <v/>
      </c>
      <c r="W1315">
        <f>IF($T1315="","",COUNTIFS(LdBGroup,$R1315,LdBKey,"&lt;"&amp;$T1315)+1)</f>
        <v/>
      </c>
      <c r="X1315">
        <f>IF($W1315="","",$R1315&amp;"|"&amp;RIGHT("000000"&amp;$W1315,6))</f>
        <v/>
      </c>
      <c r="Y1315">
        <f>IF($P1315="","",IF(Shares!$E1318="",0,Shares!$E1318))</f>
        <v/>
      </c>
      <c r="Z1315">
        <f>IF($P1315="","",Shares!$H1318)</f>
        <v/>
      </c>
      <c r="AE1315">
        <f>IF(OR(Sync!$S1315="",Sync!$P1315=""),"",Sync!$S1315)</f>
        <v/>
      </c>
      <c r="AF1315">
        <f>IF($AE1315="","",IF(ISNUMBER(Sync!$P1315),IF(AND(Sync!$P1315&gt;=10000101,Sync!$P1315&lt;=99991231),INT(Sync!$P1315/10000),""),IFERROR(VALUE(TRIM(LEFT(Sync!$P1315,FIND("/",Sync!$P1315)-1))),"")))</f>
        <v/>
      </c>
      <c r="AG1315">
        <f>IF(OR($AE1315="",$AF1315=""),"",IF(ISNUMBER(Sync!$P1315),INT(MOD(Sync!$P1315,10000)/100),IFERROR(VALUE(TRIM(LEFT(MID(Sync!$P1315,FIND("/",Sync!$P1315)+1,20),FIND("/",MID(Sync!$P1315,FIND("/",Sync!$P1315)+1,20))-1))),"")))</f>
        <v/>
      </c>
      <c r="AH1315">
        <f>IF(OR($AE1315="",$AF1315=""),"",IF(ISNUMBER(Sync!$P1315),MOD(Sync!$P1315,100),IFERROR(VALUE(TRIM(MID(MID(Sync!$P1315,FIND("/",Sync!$P1315)+1,20),FIND("/",MID(Sync!$P1315,FIND("/",Sync!$P1315)+1,20))+1,20))),"")))</f>
        <v/>
      </c>
      <c r="AI1315">
        <f>IF($AE1315="","",IF(OR($AF1315="",$AG1315="",$AH1315="",$AF1315&lt;1300,$AF1315&gt;1500,$AG1315&lt;1,$AG1315&gt;12,$AH1315&lt;1,$AH1315&gt;31),"نامعتبر",RIGHT("0000"&amp;$AF1315,4)&amp;"/"&amp;RIGHT("00"&amp;$AG1315,2)&amp;"/"&amp;RIGHT("00"&amp;$AH1315,2)))</f>
        <v/>
      </c>
      <c r="AJ1315">
        <f>IF($AE1315="","",IF(Sync!$Q1315="","0000",IF(AND(ISNUMBER(Sync!$Q1315),Sync!$Q1315&gt;=0,Sync!$Q1315&lt;1),RIGHT("00"&amp;HOUR(Sync!$Q1315),2)&amp;RIGHT("00"&amp;MINUTE(Sync!$Q1315),2),IFERROR(RIGHT("00"&amp;VALUE(LEFT(Sync!$Q1315,FIND(":",Sync!$Q1315)-1)),2)&amp;RIGHT("00"&amp;VALUE(MID(Sync!$Q1315,FIND(":",Sync!$Q1315)+1,2)),2),"0000"))))</f>
        <v/>
      </c>
      <c r="AK1315">
        <f>IF(OR($AE1315="",$AI1315="",$AI1315="نامعتبر"),"",LEFT($AI1315,4)&amp;MID($AI1315,6,2)&amp;RIGHT($AI1315,2)&amp;$AJ1315&amp;"|"&amp;"3"&amp;RIGHT("00000"&amp;1310,5))</f>
        <v/>
      </c>
      <c r="AL1315">
        <f>IF($AK1315="","",COUNTIFS(LdAParty,$AE1315,LdAType,1,LdAKey,"&lt;"&amp;$AK1315)+COUNTIFS(LdBMember,$AE1315,LdBKey,"&lt;"&amp;$AK1315)+COUNTIFS(LdCParty,$AE1315,LdCKey,"&lt;"&amp;$AK1315)+1)</f>
        <v/>
      </c>
      <c r="AM1315">
        <f>IF($AL1315="","",$AE1315&amp;"|"&amp;RIGHT("000000"&amp;$AL1315,6))</f>
        <v/>
      </c>
      <c r="AN1315">
        <f>IF($AE1315="","",IF(Sync!$W1315="",0,Sync!$W1315))</f>
        <v/>
      </c>
      <c r="AO1315">
        <f>IF($AE1315="","",IF(Sync!$X1315="",0,Sync!$X1315))</f>
        <v/>
      </c>
      <c r="AP1315">
        <f>IF($AE1315="","",Sync!$R1315)</f>
        <v/>
      </c>
      <c r="AQ1315">
        <f>IF($AE1315="","",Sync!$Y1315)</f>
        <v/>
      </c>
    </row>
    <row r="1316">
      <c r="A1316">
        <f>IF(OR(Wages!$B1319="",Wages!$E1319=""),"",Wages!$E1319)</f>
        <v/>
      </c>
      <c r="B1316">
        <f>IF($A1316="","",IF(Wages!$C1319="دستمزد گروهی",2,1))</f>
        <v/>
      </c>
      <c r="C1316">
        <f>IF($A1316="","",IF(ISNUMBER(Wages!$B1319),IF(AND(Wages!$B1319&gt;=10000101,Wages!$B1319&lt;=99991231),INT(Wages!$B1319/10000),""),IFERROR(VALUE(TRIM(LEFT(Wages!$B1319,FIND("/",Wages!$B1319)-1))),"")))</f>
        <v/>
      </c>
      <c r="D1316">
        <f>IF(OR($A1316="",$C1316=""),"",IF(ISNUMBER(Wages!$B1319),INT(MOD(Wages!$B1319,10000)/100),IFERROR(VALUE(TRIM(LEFT(MID(Wages!$B1319,FIND("/",Wages!$B1319)+1,20),FIND("/",MID(Wages!$B1319,FIND("/",Wages!$B1319)+1,20))-1))),"")))</f>
        <v/>
      </c>
      <c r="E1316">
        <f>IF(OR($A1316="",$C1316=""),"",IF(ISNUMBER(Wages!$B1319),MOD(Wages!$B1319,100),IFERROR(VALUE(TRIM(MID(MID(Wages!$B1319,FIND("/",Wages!$B1319)+1,20),FIND("/",MID(Wages!$B1319,FIND("/",Wages!$B1319)+1,20))+1,20))),"")))</f>
        <v/>
      </c>
      <c r="F1316">
        <f>IF($A1316="","",IF(OR($C1316="",$D1316="",$E1316="",$C1316&lt;1300,$C1316&gt;1500,$D1316&lt;1,$D1316&gt;12,$E1316&lt;1,$E1316&gt;31),"نامعتبر",RIGHT("0000"&amp;$C1316,4)&amp;"/"&amp;RIGHT("00"&amp;$D1316,2)&amp;"/"&amp;RIGHT("00"&amp;$E1316,2)))</f>
        <v/>
      </c>
      <c r="G1316">
        <f>IF(OR($A1316="",$F1316="",$F1316="نامعتبر"),"",LEFT($F1316,4)&amp;MID($F1316,6,2)&amp;RIGHT($F1316,2)&amp;"0000"&amp;"|"&amp;"1"&amp;RIGHT("00000"&amp;1311,5))</f>
        <v/>
      </c>
      <c r="H1316">
        <f>IF(OR($B1316&lt;&gt;1,$G1316=""),"",COUNTIFS(LdAParty,$A1316,LdAType,1,LdAKey,"&lt;"&amp;$G1316)+COUNTIFS(LdBMember,$A1316,LdBKey,"&lt;"&amp;$G1316)+COUNTIFS(LdCParty,$A1316,LdCKey,"&lt;"&amp;$G1316)+1)</f>
        <v/>
      </c>
      <c r="I1316">
        <f>IF($H1316="","",$A1316&amp;"|"&amp;RIGHT("000000"&amp;$H1316,6))</f>
        <v/>
      </c>
      <c r="J1316">
        <f>IF(OR($B1316&lt;&gt;2,$G1316=""),"",COUNTIFS(LdAParty,$A1316,LdAType,2,LdAKey,"&lt;"&amp;$G1316)+1)</f>
        <v/>
      </c>
      <c r="K1316">
        <f>IF($J1316="","",$A1316&amp;"|"&amp;RIGHT("000000"&amp;$J1316,6))</f>
        <v/>
      </c>
      <c r="L1316">
        <f>IF($A1316="","",IF(Wages!$G1319="",0,Wages!$G1319))</f>
        <v/>
      </c>
      <c r="M1316">
        <f>IF($A1316="","",Wages!$J1319)</f>
        <v/>
      </c>
      <c r="N1316">
        <f>IF($A1316="","",Wages!$D1319)</f>
        <v/>
      </c>
      <c r="P1316">
        <f>IF(OR(Shares!$B1319="",Shares!$C1319=""),"",Shares!$C1319)</f>
        <v/>
      </c>
      <c r="Q1316">
        <f>IF($P1316="","",Shares!$B1319)</f>
        <v/>
      </c>
      <c r="R1316">
        <f>IF($P1316="","",IFERROR(INDEX(WageParty,MATCH($Q1316,WageIds,0)),""))</f>
        <v/>
      </c>
      <c r="S1316">
        <f>IF($P1316="","",IFERROR(INDEX($F$6:$F$2005,MATCH($Q1316,WageIds,0)),""))</f>
        <v/>
      </c>
      <c r="T1316">
        <f>IF(OR($P1316="",$S1316="",$S1316="نامعتبر"),"",LEFT($S1316,4)&amp;MID($S1316,6,2)&amp;RIGHT($S1316,2)&amp;"0000"&amp;"|"&amp;"2"&amp;RIGHT("00000"&amp;1311,5))</f>
        <v/>
      </c>
      <c r="U1316">
        <f>IF($T1316="","",COUNTIFS(LdAParty,$P1316,LdAType,1,LdAKey,"&lt;"&amp;$T1316)+COUNTIFS(LdBMember,$P1316,LdBKey,"&lt;"&amp;$T1316)+COUNTIFS(LdCParty,$P1316,LdCKey,"&lt;"&amp;$T1316)+1)</f>
        <v/>
      </c>
      <c r="V1316">
        <f>IF($U1316="","",$P1316&amp;"|"&amp;RIGHT("000000"&amp;$U1316,6))</f>
        <v/>
      </c>
      <c r="W1316">
        <f>IF($T1316="","",COUNTIFS(LdBGroup,$R1316,LdBKey,"&lt;"&amp;$T1316)+1)</f>
        <v/>
      </c>
      <c r="X1316">
        <f>IF($W1316="","",$R1316&amp;"|"&amp;RIGHT("000000"&amp;$W1316,6))</f>
        <v/>
      </c>
      <c r="Y1316">
        <f>IF($P1316="","",IF(Shares!$E1319="",0,Shares!$E1319))</f>
        <v/>
      </c>
      <c r="Z1316">
        <f>IF($P1316="","",Shares!$H1319)</f>
        <v/>
      </c>
      <c r="AE1316">
        <f>IF(OR(Sync!$S1316="",Sync!$P1316=""),"",Sync!$S1316)</f>
        <v/>
      </c>
      <c r="AF1316">
        <f>IF($AE1316="","",IF(ISNUMBER(Sync!$P1316),IF(AND(Sync!$P1316&gt;=10000101,Sync!$P1316&lt;=99991231),INT(Sync!$P1316/10000),""),IFERROR(VALUE(TRIM(LEFT(Sync!$P1316,FIND("/",Sync!$P1316)-1))),"")))</f>
        <v/>
      </c>
      <c r="AG1316">
        <f>IF(OR($AE1316="",$AF1316=""),"",IF(ISNUMBER(Sync!$P1316),INT(MOD(Sync!$P1316,10000)/100),IFERROR(VALUE(TRIM(LEFT(MID(Sync!$P1316,FIND("/",Sync!$P1316)+1,20),FIND("/",MID(Sync!$P1316,FIND("/",Sync!$P1316)+1,20))-1))),"")))</f>
        <v/>
      </c>
      <c r="AH1316">
        <f>IF(OR($AE1316="",$AF1316=""),"",IF(ISNUMBER(Sync!$P1316),MOD(Sync!$P1316,100),IFERROR(VALUE(TRIM(MID(MID(Sync!$P1316,FIND("/",Sync!$P1316)+1,20),FIND("/",MID(Sync!$P1316,FIND("/",Sync!$P1316)+1,20))+1,20))),"")))</f>
        <v/>
      </c>
      <c r="AI1316">
        <f>IF($AE1316="","",IF(OR($AF1316="",$AG1316="",$AH1316="",$AF1316&lt;1300,$AF1316&gt;1500,$AG1316&lt;1,$AG1316&gt;12,$AH1316&lt;1,$AH1316&gt;31),"نامعتبر",RIGHT("0000"&amp;$AF1316,4)&amp;"/"&amp;RIGHT("00"&amp;$AG1316,2)&amp;"/"&amp;RIGHT("00"&amp;$AH1316,2)))</f>
        <v/>
      </c>
      <c r="AJ1316">
        <f>IF($AE1316="","",IF(Sync!$Q1316="","0000",IF(AND(ISNUMBER(Sync!$Q1316),Sync!$Q1316&gt;=0,Sync!$Q1316&lt;1),RIGHT("00"&amp;HOUR(Sync!$Q1316),2)&amp;RIGHT("00"&amp;MINUTE(Sync!$Q1316),2),IFERROR(RIGHT("00"&amp;VALUE(LEFT(Sync!$Q1316,FIND(":",Sync!$Q1316)-1)),2)&amp;RIGHT("00"&amp;VALUE(MID(Sync!$Q1316,FIND(":",Sync!$Q1316)+1,2)),2),"0000"))))</f>
        <v/>
      </c>
      <c r="AK1316">
        <f>IF(OR($AE1316="",$AI1316="",$AI1316="نامعتبر"),"",LEFT($AI1316,4)&amp;MID($AI1316,6,2)&amp;RIGHT($AI1316,2)&amp;$AJ1316&amp;"|"&amp;"3"&amp;RIGHT("00000"&amp;1311,5))</f>
        <v/>
      </c>
      <c r="AL1316">
        <f>IF($AK1316="","",COUNTIFS(LdAParty,$AE1316,LdAType,1,LdAKey,"&lt;"&amp;$AK1316)+COUNTIFS(LdBMember,$AE1316,LdBKey,"&lt;"&amp;$AK1316)+COUNTIFS(LdCParty,$AE1316,LdCKey,"&lt;"&amp;$AK1316)+1)</f>
        <v/>
      </c>
      <c r="AM1316">
        <f>IF($AL1316="","",$AE1316&amp;"|"&amp;RIGHT("000000"&amp;$AL1316,6))</f>
        <v/>
      </c>
      <c r="AN1316">
        <f>IF($AE1316="","",IF(Sync!$W1316="",0,Sync!$W1316))</f>
        <v/>
      </c>
      <c r="AO1316">
        <f>IF($AE1316="","",IF(Sync!$X1316="",0,Sync!$X1316))</f>
        <v/>
      </c>
      <c r="AP1316">
        <f>IF($AE1316="","",Sync!$R1316)</f>
        <v/>
      </c>
      <c r="AQ1316">
        <f>IF($AE1316="","",Sync!$Y1316)</f>
        <v/>
      </c>
    </row>
    <row r="1317">
      <c r="A1317">
        <f>IF(OR(Wages!$B1320="",Wages!$E1320=""),"",Wages!$E1320)</f>
        <v/>
      </c>
      <c r="B1317">
        <f>IF($A1317="","",IF(Wages!$C1320="دستمزد گروهی",2,1))</f>
        <v/>
      </c>
      <c r="C1317">
        <f>IF($A1317="","",IF(ISNUMBER(Wages!$B1320),IF(AND(Wages!$B1320&gt;=10000101,Wages!$B1320&lt;=99991231),INT(Wages!$B1320/10000),""),IFERROR(VALUE(TRIM(LEFT(Wages!$B1320,FIND("/",Wages!$B1320)-1))),"")))</f>
        <v/>
      </c>
      <c r="D1317">
        <f>IF(OR($A1317="",$C1317=""),"",IF(ISNUMBER(Wages!$B1320),INT(MOD(Wages!$B1320,10000)/100),IFERROR(VALUE(TRIM(LEFT(MID(Wages!$B1320,FIND("/",Wages!$B1320)+1,20),FIND("/",MID(Wages!$B1320,FIND("/",Wages!$B1320)+1,20))-1))),"")))</f>
        <v/>
      </c>
      <c r="E1317">
        <f>IF(OR($A1317="",$C1317=""),"",IF(ISNUMBER(Wages!$B1320),MOD(Wages!$B1320,100),IFERROR(VALUE(TRIM(MID(MID(Wages!$B1320,FIND("/",Wages!$B1320)+1,20),FIND("/",MID(Wages!$B1320,FIND("/",Wages!$B1320)+1,20))+1,20))),"")))</f>
        <v/>
      </c>
      <c r="F1317">
        <f>IF($A1317="","",IF(OR($C1317="",$D1317="",$E1317="",$C1317&lt;1300,$C1317&gt;1500,$D1317&lt;1,$D1317&gt;12,$E1317&lt;1,$E1317&gt;31),"نامعتبر",RIGHT("0000"&amp;$C1317,4)&amp;"/"&amp;RIGHT("00"&amp;$D1317,2)&amp;"/"&amp;RIGHT("00"&amp;$E1317,2)))</f>
        <v/>
      </c>
      <c r="G1317">
        <f>IF(OR($A1317="",$F1317="",$F1317="نامعتبر"),"",LEFT($F1317,4)&amp;MID($F1317,6,2)&amp;RIGHT($F1317,2)&amp;"0000"&amp;"|"&amp;"1"&amp;RIGHT("00000"&amp;1312,5))</f>
        <v/>
      </c>
      <c r="H1317">
        <f>IF(OR($B1317&lt;&gt;1,$G1317=""),"",COUNTIFS(LdAParty,$A1317,LdAType,1,LdAKey,"&lt;"&amp;$G1317)+COUNTIFS(LdBMember,$A1317,LdBKey,"&lt;"&amp;$G1317)+COUNTIFS(LdCParty,$A1317,LdCKey,"&lt;"&amp;$G1317)+1)</f>
        <v/>
      </c>
      <c r="I1317">
        <f>IF($H1317="","",$A1317&amp;"|"&amp;RIGHT("000000"&amp;$H1317,6))</f>
        <v/>
      </c>
      <c r="J1317">
        <f>IF(OR($B1317&lt;&gt;2,$G1317=""),"",COUNTIFS(LdAParty,$A1317,LdAType,2,LdAKey,"&lt;"&amp;$G1317)+1)</f>
        <v/>
      </c>
      <c r="K1317">
        <f>IF($J1317="","",$A1317&amp;"|"&amp;RIGHT("000000"&amp;$J1317,6))</f>
        <v/>
      </c>
      <c r="L1317">
        <f>IF($A1317="","",IF(Wages!$G1320="",0,Wages!$G1320))</f>
        <v/>
      </c>
      <c r="M1317">
        <f>IF($A1317="","",Wages!$J1320)</f>
        <v/>
      </c>
      <c r="N1317">
        <f>IF($A1317="","",Wages!$D1320)</f>
        <v/>
      </c>
      <c r="P1317">
        <f>IF(OR(Shares!$B1320="",Shares!$C1320=""),"",Shares!$C1320)</f>
        <v/>
      </c>
      <c r="Q1317">
        <f>IF($P1317="","",Shares!$B1320)</f>
        <v/>
      </c>
      <c r="R1317">
        <f>IF($P1317="","",IFERROR(INDEX(WageParty,MATCH($Q1317,WageIds,0)),""))</f>
        <v/>
      </c>
      <c r="S1317">
        <f>IF($P1317="","",IFERROR(INDEX($F$6:$F$2005,MATCH($Q1317,WageIds,0)),""))</f>
        <v/>
      </c>
      <c r="T1317">
        <f>IF(OR($P1317="",$S1317="",$S1317="نامعتبر"),"",LEFT($S1317,4)&amp;MID($S1317,6,2)&amp;RIGHT($S1317,2)&amp;"0000"&amp;"|"&amp;"2"&amp;RIGHT("00000"&amp;1312,5))</f>
        <v/>
      </c>
      <c r="U1317">
        <f>IF($T1317="","",COUNTIFS(LdAParty,$P1317,LdAType,1,LdAKey,"&lt;"&amp;$T1317)+COUNTIFS(LdBMember,$P1317,LdBKey,"&lt;"&amp;$T1317)+COUNTIFS(LdCParty,$P1317,LdCKey,"&lt;"&amp;$T1317)+1)</f>
        <v/>
      </c>
      <c r="V1317">
        <f>IF($U1317="","",$P1317&amp;"|"&amp;RIGHT("000000"&amp;$U1317,6))</f>
        <v/>
      </c>
      <c r="W1317">
        <f>IF($T1317="","",COUNTIFS(LdBGroup,$R1317,LdBKey,"&lt;"&amp;$T1317)+1)</f>
        <v/>
      </c>
      <c r="X1317">
        <f>IF($W1317="","",$R1317&amp;"|"&amp;RIGHT("000000"&amp;$W1317,6))</f>
        <v/>
      </c>
      <c r="Y1317">
        <f>IF($P1317="","",IF(Shares!$E1320="",0,Shares!$E1320))</f>
        <v/>
      </c>
      <c r="Z1317">
        <f>IF($P1317="","",Shares!$H1320)</f>
        <v/>
      </c>
      <c r="AE1317">
        <f>IF(OR(Sync!$S1317="",Sync!$P1317=""),"",Sync!$S1317)</f>
        <v/>
      </c>
      <c r="AF1317">
        <f>IF($AE1317="","",IF(ISNUMBER(Sync!$P1317),IF(AND(Sync!$P1317&gt;=10000101,Sync!$P1317&lt;=99991231),INT(Sync!$P1317/10000),""),IFERROR(VALUE(TRIM(LEFT(Sync!$P1317,FIND("/",Sync!$P1317)-1))),"")))</f>
        <v/>
      </c>
      <c r="AG1317">
        <f>IF(OR($AE1317="",$AF1317=""),"",IF(ISNUMBER(Sync!$P1317),INT(MOD(Sync!$P1317,10000)/100),IFERROR(VALUE(TRIM(LEFT(MID(Sync!$P1317,FIND("/",Sync!$P1317)+1,20),FIND("/",MID(Sync!$P1317,FIND("/",Sync!$P1317)+1,20))-1))),"")))</f>
        <v/>
      </c>
      <c r="AH1317">
        <f>IF(OR($AE1317="",$AF1317=""),"",IF(ISNUMBER(Sync!$P1317),MOD(Sync!$P1317,100),IFERROR(VALUE(TRIM(MID(MID(Sync!$P1317,FIND("/",Sync!$P1317)+1,20),FIND("/",MID(Sync!$P1317,FIND("/",Sync!$P1317)+1,20))+1,20))),"")))</f>
        <v/>
      </c>
      <c r="AI1317">
        <f>IF($AE1317="","",IF(OR($AF1317="",$AG1317="",$AH1317="",$AF1317&lt;1300,$AF1317&gt;1500,$AG1317&lt;1,$AG1317&gt;12,$AH1317&lt;1,$AH1317&gt;31),"نامعتبر",RIGHT("0000"&amp;$AF1317,4)&amp;"/"&amp;RIGHT("00"&amp;$AG1317,2)&amp;"/"&amp;RIGHT("00"&amp;$AH1317,2)))</f>
        <v/>
      </c>
      <c r="AJ1317">
        <f>IF($AE1317="","",IF(Sync!$Q1317="","0000",IF(AND(ISNUMBER(Sync!$Q1317),Sync!$Q1317&gt;=0,Sync!$Q1317&lt;1),RIGHT("00"&amp;HOUR(Sync!$Q1317),2)&amp;RIGHT("00"&amp;MINUTE(Sync!$Q1317),2),IFERROR(RIGHT("00"&amp;VALUE(LEFT(Sync!$Q1317,FIND(":",Sync!$Q1317)-1)),2)&amp;RIGHT("00"&amp;VALUE(MID(Sync!$Q1317,FIND(":",Sync!$Q1317)+1,2)),2),"0000"))))</f>
        <v/>
      </c>
      <c r="AK1317">
        <f>IF(OR($AE1317="",$AI1317="",$AI1317="نامعتبر"),"",LEFT($AI1317,4)&amp;MID($AI1317,6,2)&amp;RIGHT($AI1317,2)&amp;$AJ1317&amp;"|"&amp;"3"&amp;RIGHT("00000"&amp;1312,5))</f>
        <v/>
      </c>
      <c r="AL1317">
        <f>IF($AK1317="","",COUNTIFS(LdAParty,$AE1317,LdAType,1,LdAKey,"&lt;"&amp;$AK1317)+COUNTIFS(LdBMember,$AE1317,LdBKey,"&lt;"&amp;$AK1317)+COUNTIFS(LdCParty,$AE1317,LdCKey,"&lt;"&amp;$AK1317)+1)</f>
        <v/>
      </c>
      <c r="AM1317">
        <f>IF($AL1317="","",$AE1317&amp;"|"&amp;RIGHT("000000"&amp;$AL1317,6))</f>
        <v/>
      </c>
      <c r="AN1317">
        <f>IF($AE1317="","",IF(Sync!$W1317="",0,Sync!$W1317))</f>
        <v/>
      </c>
      <c r="AO1317">
        <f>IF($AE1317="","",IF(Sync!$X1317="",0,Sync!$X1317))</f>
        <v/>
      </c>
      <c r="AP1317">
        <f>IF($AE1317="","",Sync!$R1317)</f>
        <v/>
      </c>
      <c r="AQ1317">
        <f>IF($AE1317="","",Sync!$Y1317)</f>
        <v/>
      </c>
    </row>
    <row r="1318">
      <c r="A1318">
        <f>IF(OR(Wages!$B1321="",Wages!$E1321=""),"",Wages!$E1321)</f>
        <v/>
      </c>
      <c r="B1318">
        <f>IF($A1318="","",IF(Wages!$C1321="دستمزد گروهی",2,1))</f>
        <v/>
      </c>
      <c r="C1318">
        <f>IF($A1318="","",IF(ISNUMBER(Wages!$B1321),IF(AND(Wages!$B1321&gt;=10000101,Wages!$B1321&lt;=99991231),INT(Wages!$B1321/10000),""),IFERROR(VALUE(TRIM(LEFT(Wages!$B1321,FIND("/",Wages!$B1321)-1))),"")))</f>
        <v/>
      </c>
      <c r="D1318">
        <f>IF(OR($A1318="",$C1318=""),"",IF(ISNUMBER(Wages!$B1321),INT(MOD(Wages!$B1321,10000)/100),IFERROR(VALUE(TRIM(LEFT(MID(Wages!$B1321,FIND("/",Wages!$B1321)+1,20),FIND("/",MID(Wages!$B1321,FIND("/",Wages!$B1321)+1,20))-1))),"")))</f>
        <v/>
      </c>
      <c r="E1318">
        <f>IF(OR($A1318="",$C1318=""),"",IF(ISNUMBER(Wages!$B1321),MOD(Wages!$B1321,100),IFERROR(VALUE(TRIM(MID(MID(Wages!$B1321,FIND("/",Wages!$B1321)+1,20),FIND("/",MID(Wages!$B1321,FIND("/",Wages!$B1321)+1,20))+1,20))),"")))</f>
        <v/>
      </c>
      <c r="F1318">
        <f>IF($A1318="","",IF(OR($C1318="",$D1318="",$E1318="",$C1318&lt;1300,$C1318&gt;1500,$D1318&lt;1,$D1318&gt;12,$E1318&lt;1,$E1318&gt;31),"نامعتبر",RIGHT("0000"&amp;$C1318,4)&amp;"/"&amp;RIGHT("00"&amp;$D1318,2)&amp;"/"&amp;RIGHT("00"&amp;$E1318,2)))</f>
        <v/>
      </c>
      <c r="G1318">
        <f>IF(OR($A1318="",$F1318="",$F1318="نامعتبر"),"",LEFT($F1318,4)&amp;MID($F1318,6,2)&amp;RIGHT($F1318,2)&amp;"0000"&amp;"|"&amp;"1"&amp;RIGHT("00000"&amp;1313,5))</f>
        <v/>
      </c>
      <c r="H1318">
        <f>IF(OR($B1318&lt;&gt;1,$G1318=""),"",COUNTIFS(LdAParty,$A1318,LdAType,1,LdAKey,"&lt;"&amp;$G1318)+COUNTIFS(LdBMember,$A1318,LdBKey,"&lt;"&amp;$G1318)+COUNTIFS(LdCParty,$A1318,LdCKey,"&lt;"&amp;$G1318)+1)</f>
        <v/>
      </c>
      <c r="I1318">
        <f>IF($H1318="","",$A1318&amp;"|"&amp;RIGHT("000000"&amp;$H1318,6))</f>
        <v/>
      </c>
      <c r="J1318">
        <f>IF(OR($B1318&lt;&gt;2,$G1318=""),"",COUNTIFS(LdAParty,$A1318,LdAType,2,LdAKey,"&lt;"&amp;$G1318)+1)</f>
        <v/>
      </c>
      <c r="K1318">
        <f>IF($J1318="","",$A1318&amp;"|"&amp;RIGHT("000000"&amp;$J1318,6))</f>
        <v/>
      </c>
      <c r="L1318">
        <f>IF($A1318="","",IF(Wages!$G1321="",0,Wages!$G1321))</f>
        <v/>
      </c>
      <c r="M1318">
        <f>IF($A1318="","",Wages!$J1321)</f>
        <v/>
      </c>
      <c r="N1318">
        <f>IF($A1318="","",Wages!$D1321)</f>
        <v/>
      </c>
      <c r="P1318">
        <f>IF(OR(Shares!$B1321="",Shares!$C1321=""),"",Shares!$C1321)</f>
        <v/>
      </c>
      <c r="Q1318">
        <f>IF($P1318="","",Shares!$B1321)</f>
        <v/>
      </c>
      <c r="R1318">
        <f>IF($P1318="","",IFERROR(INDEX(WageParty,MATCH($Q1318,WageIds,0)),""))</f>
        <v/>
      </c>
      <c r="S1318">
        <f>IF($P1318="","",IFERROR(INDEX($F$6:$F$2005,MATCH($Q1318,WageIds,0)),""))</f>
        <v/>
      </c>
      <c r="T1318">
        <f>IF(OR($P1318="",$S1318="",$S1318="نامعتبر"),"",LEFT($S1318,4)&amp;MID($S1318,6,2)&amp;RIGHT($S1318,2)&amp;"0000"&amp;"|"&amp;"2"&amp;RIGHT("00000"&amp;1313,5))</f>
        <v/>
      </c>
      <c r="U1318">
        <f>IF($T1318="","",COUNTIFS(LdAParty,$P1318,LdAType,1,LdAKey,"&lt;"&amp;$T1318)+COUNTIFS(LdBMember,$P1318,LdBKey,"&lt;"&amp;$T1318)+COUNTIFS(LdCParty,$P1318,LdCKey,"&lt;"&amp;$T1318)+1)</f>
        <v/>
      </c>
      <c r="V1318">
        <f>IF($U1318="","",$P1318&amp;"|"&amp;RIGHT("000000"&amp;$U1318,6))</f>
        <v/>
      </c>
      <c r="W1318">
        <f>IF($T1318="","",COUNTIFS(LdBGroup,$R1318,LdBKey,"&lt;"&amp;$T1318)+1)</f>
        <v/>
      </c>
      <c r="X1318">
        <f>IF($W1318="","",$R1318&amp;"|"&amp;RIGHT("000000"&amp;$W1318,6))</f>
        <v/>
      </c>
      <c r="Y1318">
        <f>IF($P1318="","",IF(Shares!$E1321="",0,Shares!$E1321))</f>
        <v/>
      </c>
      <c r="Z1318">
        <f>IF($P1318="","",Shares!$H1321)</f>
        <v/>
      </c>
      <c r="AE1318">
        <f>IF(OR(Sync!$S1318="",Sync!$P1318=""),"",Sync!$S1318)</f>
        <v/>
      </c>
      <c r="AF1318">
        <f>IF($AE1318="","",IF(ISNUMBER(Sync!$P1318),IF(AND(Sync!$P1318&gt;=10000101,Sync!$P1318&lt;=99991231),INT(Sync!$P1318/10000),""),IFERROR(VALUE(TRIM(LEFT(Sync!$P1318,FIND("/",Sync!$P1318)-1))),"")))</f>
        <v/>
      </c>
      <c r="AG1318">
        <f>IF(OR($AE1318="",$AF1318=""),"",IF(ISNUMBER(Sync!$P1318),INT(MOD(Sync!$P1318,10000)/100),IFERROR(VALUE(TRIM(LEFT(MID(Sync!$P1318,FIND("/",Sync!$P1318)+1,20),FIND("/",MID(Sync!$P1318,FIND("/",Sync!$P1318)+1,20))-1))),"")))</f>
        <v/>
      </c>
      <c r="AH1318">
        <f>IF(OR($AE1318="",$AF1318=""),"",IF(ISNUMBER(Sync!$P1318),MOD(Sync!$P1318,100),IFERROR(VALUE(TRIM(MID(MID(Sync!$P1318,FIND("/",Sync!$P1318)+1,20),FIND("/",MID(Sync!$P1318,FIND("/",Sync!$P1318)+1,20))+1,20))),"")))</f>
        <v/>
      </c>
      <c r="AI1318">
        <f>IF($AE1318="","",IF(OR($AF1318="",$AG1318="",$AH1318="",$AF1318&lt;1300,$AF1318&gt;1500,$AG1318&lt;1,$AG1318&gt;12,$AH1318&lt;1,$AH1318&gt;31),"نامعتبر",RIGHT("0000"&amp;$AF1318,4)&amp;"/"&amp;RIGHT("00"&amp;$AG1318,2)&amp;"/"&amp;RIGHT("00"&amp;$AH1318,2)))</f>
        <v/>
      </c>
      <c r="AJ1318">
        <f>IF($AE1318="","",IF(Sync!$Q1318="","0000",IF(AND(ISNUMBER(Sync!$Q1318),Sync!$Q1318&gt;=0,Sync!$Q1318&lt;1),RIGHT("00"&amp;HOUR(Sync!$Q1318),2)&amp;RIGHT("00"&amp;MINUTE(Sync!$Q1318),2),IFERROR(RIGHT("00"&amp;VALUE(LEFT(Sync!$Q1318,FIND(":",Sync!$Q1318)-1)),2)&amp;RIGHT("00"&amp;VALUE(MID(Sync!$Q1318,FIND(":",Sync!$Q1318)+1,2)),2),"0000"))))</f>
        <v/>
      </c>
      <c r="AK1318">
        <f>IF(OR($AE1318="",$AI1318="",$AI1318="نامعتبر"),"",LEFT($AI1318,4)&amp;MID($AI1318,6,2)&amp;RIGHT($AI1318,2)&amp;$AJ1318&amp;"|"&amp;"3"&amp;RIGHT("00000"&amp;1313,5))</f>
        <v/>
      </c>
      <c r="AL1318">
        <f>IF($AK1318="","",COUNTIFS(LdAParty,$AE1318,LdAType,1,LdAKey,"&lt;"&amp;$AK1318)+COUNTIFS(LdBMember,$AE1318,LdBKey,"&lt;"&amp;$AK1318)+COUNTIFS(LdCParty,$AE1318,LdCKey,"&lt;"&amp;$AK1318)+1)</f>
        <v/>
      </c>
      <c r="AM1318">
        <f>IF($AL1318="","",$AE1318&amp;"|"&amp;RIGHT("000000"&amp;$AL1318,6))</f>
        <v/>
      </c>
      <c r="AN1318">
        <f>IF($AE1318="","",IF(Sync!$W1318="",0,Sync!$W1318))</f>
        <v/>
      </c>
      <c r="AO1318">
        <f>IF($AE1318="","",IF(Sync!$X1318="",0,Sync!$X1318))</f>
        <v/>
      </c>
      <c r="AP1318">
        <f>IF($AE1318="","",Sync!$R1318)</f>
        <v/>
      </c>
      <c r="AQ1318">
        <f>IF($AE1318="","",Sync!$Y1318)</f>
        <v/>
      </c>
    </row>
    <row r="1319">
      <c r="A1319">
        <f>IF(OR(Wages!$B1322="",Wages!$E1322=""),"",Wages!$E1322)</f>
        <v/>
      </c>
      <c r="B1319">
        <f>IF($A1319="","",IF(Wages!$C1322="دستمزد گروهی",2,1))</f>
        <v/>
      </c>
      <c r="C1319">
        <f>IF($A1319="","",IF(ISNUMBER(Wages!$B1322),IF(AND(Wages!$B1322&gt;=10000101,Wages!$B1322&lt;=99991231),INT(Wages!$B1322/10000),""),IFERROR(VALUE(TRIM(LEFT(Wages!$B1322,FIND("/",Wages!$B1322)-1))),"")))</f>
        <v/>
      </c>
      <c r="D1319">
        <f>IF(OR($A1319="",$C1319=""),"",IF(ISNUMBER(Wages!$B1322),INT(MOD(Wages!$B1322,10000)/100),IFERROR(VALUE(TRIM(LEFT(MID(Wages!$B1322,FIND("/",Wages!$B1322)+1,20),FIND("/",MID(Wages!$B1322,FIND("/",Wages!$B1322)+1,20))-1))),"")))</f>
        <v/>
      </c>
      <c r="E1319">
        <f>IF(OR($A1319="",$C1319=""),"",IF(ISNUMBER(Wages!$B1322),MOD(Wages!$B1322,100),IFERROR(VALUE(TRIM(MID(MID(Wages!$B1322,FIND("/",Wages!$B1322)+1,20),FIND("/",MID(Wages!$B1322,FIND("/",Wages!$B1322)+1,20))+1,20))),"")))</f>
        <v/>
      </c>
      <c r="F1319">
        <f>IF($A1319="","",IF(OR($C1319="",$D1319="",$E1319="",$C1319&lt;1300,$C1319&gt;1500,$D1319&lt;1,$D1319&gt;12,$E1319&lt;1,$E1319&gt;31),"نامعتبر",RIGHT("0000"&amp;$C1319,4)&amp;"/"&amp;RIGHT("00"&amp;$D1319,2)&amp;"/"&amp;RIGHT("00"&amp;$E1319,2)))</f>
        <v/>
      </c>
      <c r="G1319">
        <f>IF(OR($A1319="",$F1319="",$F1319="نامعتبر"),"",LEFT($F1319,4)&amp;MID($F1319,6,2)&amp;RIGHT($F1319,2)&amp;"0000"&amp;"|"&amp;"1"&amp;RIGHT("00000"&amp;1314,5))</f>
        <v/>
      </c>
      <c r="H1319">
        <f>IF(OR($B1319&lt;&gt;1,$G1319=""),"",COUNTIFS(LdAParty,$A1319,LdAType,1,LdAKey,"&lt;"&amp;$G1319)+COUNTIFS(LdBMember,$A1319,LdBKey,"&lt;"&amp;$G1319)+COUNTIFS(LdCParty,$A1319,LdCKey,"&lt;"&amp;$G1319)+1)</f>
        <v/>
      </c>
      <c r="I1319">
        <f>IF($H1319="","",$A1319&amp;"|"&amp;RIGHT("000000"&amp;$H1319,6))</f>
        <v/>
      </c>
      <c r="J1319">
        <f>IF(OR($B1319&lt;&gt;2,$G1319=""),"",COUNTIFS(LdAParty,$A1319,LdAType,2,LdAKey,"&lt;"&amp;$G1319)+1)</f>
        <v/>
      </c>
      <c r="K1319">
        <f>IF($J1319="","",$A1319&amp;"|"&amp;RIGHT("000000"&amp;$J1319,6))</f>
        <v/>
      </c>
      <c r="L1319">
        <f>IF($A1319="","",IF(Wages!$G1322="",0,Wages!$G1322))</f>
        <v/>
      </c>
      <c r="M1319">
        <f>IF($A1319="","",Wages!$J1322)</f>
        <v/>
      </c>
      <c r="N1319">
        <f>IF($A1319="","",Wages!$D1322)</f>
        <v/>
      </c>
      <c r="P1319">
        <f>IF(OR(Shares!$B1322="",Shares!$C1322=""),"",Shares!$C1322)</f>
        <v/>
      </c>
      <c r="Q1319">
        <f>IF($P1319="","",Shares!$B1322)</f>
        <v/>
      </c>
      <c r="R1319">
        <f>IF($P1319="","",IFERROR(INDEX(WageParty,MATCH($Q1319,WageIds,0)),""))</f>
        <v/>
      </c>
      <c r="S1319">
        <f>IF($P1319="","",IFERROR(INDEX($F$6:$F$2005,MATCH($Q1319,WageIds,0)),""))</f>
        <v/>
      </c>
      <c r="T1319">
        <f>IF(OR($P1319="",$S1319="",$S1319="نامعتبر"),"",LEFT($S1319,4)&amp;MID($S1319,6,2)&amp;RIGHT($S1319,2)&amp;"0000"&amp;"|"&amp;"2"&amp;RIGHT("00000"&amp;1314,5))</f>
        <v/>
      </c>
      <c r="U1319">
        <f>IF($T1319="","",COUNTIFS(LdAParty,$P1319,LdAType,1,LdAKey,"&lt;"&amp;$T1319)+COUNTIFS(LdBMember,$P1319,LdBKey,"&lt;"&amp;$T1319)+COUNTIFS(LdCParty,$P1319,LdCKey,"&lt;"&amp;$T1319)+1)</f>
        <v/>
      </c>
      <c r="V1319">
        <f>IF($U1319="","",$P1319&amp;"|"&amp;RIGHT("000000"&amp;$U1319,6))</f>
        <v/>
      </c>
      <c r="W1319">
        <f>IF($T1319="","",COUNTIFS(LdBGroup,$R1319,LdBKey,"&lt;"&amp;$T1319)+1)</f>
        <v/>
      </c>
      <c r="X1319">
        <f>IF($W1319="","",$R1319&amp;"|"&amp;RIGHT("000000"&amp;$W1319,6))</f>
        <v/>
      </c>
      <c r="Y1319">
        <f>IF($P1319="","",IF(Shares!$E1322="",0,Shares!$E1322))</f>
        <v/>
      </c>
      <c r="Z1319">
        <f>IF($P1319="","",Shares!$H1322)</f>
        <v/>
      </c>
      <c r="AE1319">
        <f>IF(OR(Sync!$S1319="",Sync!$P1319=""),"",Sync!$S1319)</f>
        <v/>
      </c>
      <c r="AF1319">
        <f>IF($AE1319="","",IF(ISNUMBER(Sync!$P1319),IF(AND(Sync!$P1319&gt;=10000101,Sync!$P1319&lt;=99991231),INT(Sync!$P1319/10000),""),IFERROR(VALUE(TRIM(LEFT(Sync!$P1319,FIND("/",Sync!$P1319)-1))),"")))</f>
        <v/>
      </c>
      <c r="AG1319">
        <f>IF(OR($AE1319="",$AF1319=""),"",IF(ISNUMBER(Sync!$P1319),INT(MOD(Sync!$P1319,10000)/100),IFERROR(VALUE(TRIM(LEFT(MID(Sync!$P1319,FIND("/",Sync!$P1319)+1,20),FIND("/",MID(Sync!$P1319,FIND("/",Sync!$P1319)+1,20))-1))),"")))</f>
        <v/>
      </c>
      <c r="AH1319">
        <f>IF(OR($AE1319="",$AF1319=""),"",IF(ISNUMBER(Sync!$P1319),MOD(Sync!$P1319,100),IFERROR(VALUE(TRIM(MID(MID(Sync!$P1319,FIND("/",Sync!$P1319)+1,20),FIND("/",MID(Sync!$P1319,FIND("/",Sync!$P1319)+1,20))+1,20))),"")))</f>
        <v/>
      </c>
      <c r="AI1319">
        <f>IF($AE1319="","",IF(OR($AF1319="",$AG1319="",$AH1319="",$AF1319&lt;1300,$AF1319&gt;1500,$AG1319&lt;1,$AG1319&gt;12,$AH1319&lt;1,$AH1319&gt;31),"نامعتبر",RIGHT("0000"&amp;$AF1319,4)&amp;"/"&amp;RIGHT("00"&amp;$AG1319,2)&amp;"/"&amp;RIGHT("00"&amp;$AH1319,2)))</f>
        <v/>
      </c>
      <c r="AJ1319">
        <f>IF($AE1319="","",IF(Sync!$Q1319="","0000",IF(AND(ISNUMBER(Sync!$Q1319),Sync!$Q1319&gt;=0,Sync!$Q1319&lt;1),RIGHT("00"&amp;HOUR(Sync!$Q1319),2)&amp;RIGHT("00"&amp;MINUTE(Sync!$Q1319),2),IFERROR(RIGHT("00"&amp;VALUE(LEFT(Sync!$Q1319,FIND(":",Sync!$Q1319)-1)),2)&amp;RIGHT("00"&amp;VALUE(MID(Sync!$Q1319,FIND(":",Sync!$Q1319)+1,2)),2),"0000"))))</f>
        <v/>
      </c>
      <c r="AK1319">
        <f>IF(OR($AE1319="",$AI1319="",$AI1319="نامعتبر"),"",LEFT($AI1319,4)&amp;MID($AI1319,6,2)&amp;RIGHT($AI1319,2)&amp;$AJ1319&amp;"|"&amp;"3"&amp;RIGHT("00000"&amp;1314,5))</f>
        <v/>
      </c>
      <c r="AL1319">
        <f>IF($AK1319="","",COUNTIFS(LdAParty,$AE1319,LdAType,1,LdAKey,"&lt;"&amp;$AK1319)+COUNTIFS(LdBMember,$AE1319,LdBKey,"&lt;"&amp;$AK1319)+COUNTIFS(LdCParty,$AE1319,LdCKey,"&lt;"&amp;$AK1319)+1)</f>
        <v/>
      </c>
      <c r="AM1319">
        <f>IF($AL1319="","",$AE1319&amp;"|"&amp;RIGHT("000000"&amp;$AL1319,6))</f>
        <v/>
      </c>
      <c r="AN1319">
        <f>IF($AE1319="","",IF(Sync!$W1319="",0,Sync!$W1319))</f>
        <v/>
      </c>
      <c r="AO1319">
        <f>IF($AE1319="","",IF(Sync!$X1319="",0,Sync!$X1319))</f>
        <v/>
      </c>
      <c r="AP1319">
        <f>IF($AE1319="","",Sync!$R1319)</f>
        <v/>
      </c>
      <c r="AQ1319">
        <f>IF($AE1319="","",Sync!$Y1319)</f>
        <v/>
      </c>
    </row>
    <row r="1320">
      <c r="A1320">
        <f>IF(OR(Wages!$B1323="",Wages!$E1323=""),"",Wages!$E1323)</f>
        <v/>
      </c>
      <c r="B1320">
        <f>IF($A1320="","",IF(Wages!$C1323="دستمزد گروهی",2,1))</f>
        <v/>
      </c>
      <c r="C1320">
        <f>IF($A1320="","",IF(ISNUMBER(Wages!$B1323),IF(AND(Wages!$B1323&gt;=10000101,Wages!$B1323&lt;=99991231),INT(Wages!$B1323/10000),""),IFERROR(VALUE(TRIM(LEFT(Wages!$B1323,FIND("/",Wages!$B1323)-1))),"")))</f>
        <v/>
      </c>
      <c r="D1320">
        <f>IF(OR($A1320="",$C1320=""),"",IF(ISNUMBER(Wages!$B1323),INT(MOD(Wages!$B1323,10000)/100),IFERROR(VALUE(TRIM(LEFT(MID(Wages!$B1323,FIND("/",Wages!$B1323)+1,20),FIND("/",MID(Wages!$B1323,FIND("/",Wages!$B1323)+1,20))-1))),"")))</f>
        <v/>
      </c>
      <c r="E1320">
        <f>IF(OR($A1320="",$C1320=""),"",IF(ISNUMBER(Wages!$B1323),MOD(Wages!$B1323,100),IFERROR(VALUE(TRIM(MID(MID(Wages!$B1323,FIND("/",Wages!$B1323)+1,20),FIND("/",MID(Wages!$B1323,FIND("/",Wages!$B1323)+1,20))+1,20))),"")))</f>
        <v/>
      </c>
      <c r="F1320">
        <f>IF($A1320="","",IF(OR($C1320="",$D1320="",$E1320="",$C1320&lt;1300,$C1320&gt;1500,$D1320&lt;1,$D1320&gt;12,$E1320&lt;1,$E1320&gt;31),"نامعتبر",RIGHT("0000"&amp;$C1320,4)&amp;"/"&amp;RIGHT("00"&amp;$D1320,2)&amp;"/"&amp;RIGHT("00"&amp;$E1320,2)))</f>
        <v/>
      </c>
      <c r="G1320">
        <f>IF(OR($A1320="",$F1320="",$F1320="نامعتبر"),"",LEFT($F1320,4)&amp;MID($F1320,6,2)&amp;RIGHT($F1320,2)&amp;"0000"&amp;"|"&amp;"1"&amp;RIGHT("00000"&amp;1315,5))</f>
        <v/>
      </c>
      <c r="H1320">
        <f>IF(OR($B1320&lt;&gt;1,$G1320=""),"",COUNTIFS(LdAParty,$A1320,LdAType,1,LdAKey,"&lt;"&amp;$G1320)+COUNTIFS(LdBMember,$A1320,LdBKey,"&lt;"&amp;$G1320)+COUNTIFS(LdCParty,$A1320,LdCKey,"&lt;"&amp;$G1320)+1)</f>
        <v/>
      </c>
      <c r="I1320">
        <f>IF($H1320="","",$A1320&amp;"|"&amp;RIGHT("000000"&amp;$H1320,6))</f>
        <v/>
      </c>
      <c r="J1320">
        <f>IF(OR($B1320&lt;&gt;2,$G1320=""),"",COUNTIFS(LdAParty,$A1320,LdAType,2,LdAKey,"&lt;"&amp;$G1320)+1)</f>
        <v/>
      </c>
      <c r="K1320">
        <f>IF($J1320="","",$A1320&amp;"|"&amp;RIGHT("000000"&amp;$J1320,6))</f>
        <v/>
      </c>
      <c r="L1320">
        <f>IF($A1320="","",IF(Wages!$G1323="",0,Wages!$G1323))</f>
        <v/>
      </c>
      <c r="M1320">
        <f>IF($A1320="","",Wages!$J1323)</f>
        <v/>
      </c>
      <c r="N1320">
        <f>IF($A1320="","",Wages!$D1323)</f>
        <v/>
      </c>
      <c r="P1320">
        <f>IF(OR(Shares!$B1323="",Shares!$C1323=""),"",Shares!$C1323)</f>
        <v/>
      </c>
      <c r="Q1320">
        <f>IF($P1320="","",Shares!$B1323)</f>
        <v/>
      </c>
      <c r="R1320">
        <f>IF($P1320="","",IFERROR(INDEX(WageParty,MATCH($Q1320,WageIds,0)),""))</f>
        <v/>
      </c>
      <c r="S1320">
        <f>IF($P1320="","",IFERROR(INDEX($F$6:$F$2005,MATCH($Q1320,WageIds,0)),""))</f>
        <v/>
      </c>
      <c r="T1320">
        <f>IF(OR($P1320="",$S1320="",$S1320="نامعتبر"),"",LEFT($S1320,4)&amp;MID($S1320,6,2)&amp;RIGHT($S1320,2)&amp;"0000"&amp;"|"&amp;"2"&amp;RIGHT("00000"&amp;1315,5))</f>
        <v/>
      </c>
      <c r="U1320">
        <f>IF($T1320="","",COUNTIFS(LdAParty,$P1320,LdAType,1,LdAKey,"&lt;"&amp;$T1320)+COUNTIFS(LdBMember,$P1320,LdBKey,"&lt;"&amp;$T1320)+COUNTIFS(LdCParty,$P1320,LdCKey,"&lt;"&amp;$T1320)+1)</f>
        <v/>
      </c>
      <c r="V1320">
        <f>IF($U1320="","",$P1320&amp;"|"&amp;RIGHT("000000"&amp;$U1320,6))</f>
        <v/>
      </c>
      <c r="W1320">
        <f>IF($T1320="","",COUNTIFS(LdBGroup,$R1320,LdBKey,"&lt;"&amp;$T1320)+1)</f>
        <v/>
      </c>
      <c r="X1320">
        <f>IF($W1320="","",$R1320&amp;"|"&amp;RIGHT("000000"&amp;$W1320,6))</f>
        <v/>
      </c>
      <c r="Y1320">
        <f>IF($P1320="","",IF(Shares!$E1323="",0,Shares!$E1323))</f>
        <v/>
      </c>
      <c r="Z1320">
        <f>IF($P1320="","",Shares!$H1323)</f>
        <v/>
      </c>
      <c r="AE1320">
        <f>IF(OR(Sync!$S1320="",Sync!$P1320=""),"",Sync!$S1320)</f>
        <v/>
      </c>
      <c r="AF1320">
        <f>IF($AE1320="","",IF(ISNUMBER(Sync!$P1320),IF(AND(Sync!$P1320&gt;=10000101,Sync!$P1320&lt;=99991231),INT(Sync!$P1320/10000),""),IFERROR(VALUE(TRIM(LEFT(Sync!$P1320,FIND("/",Sync!$P1320)-1))),"")))</f>
        <v/>
      </c>
      <c r="AG1320">
        <f>IF(OR($AE1320="",$AF1320=""),"",IF(ISNUMBER(Sync!$P1320),INT(MOD(Sync!$P1320,10000)/100),IFERROR(VALUE(TRIM(LEFT(MID(Sync!$P1320,FIND("/",Sync!$P1320)+1,20),FIND("/",MID(Sync!$P1320,FIND("/",Sync!$P1320)+1,20))-1))),"")))</f>
        <v/>
      </c>
      <c r="AH1320">
        <f>IF(OR($AE1320="",$AF1320=""),"",IF(ISNUMBER(Sync!$P1320),MOD(Sync!$P1320,100),IFERROR(VALUE(TRIM(MID(MID(Sync!$P1320,FIND("/",Sync!$P1320)+1,20),FIND("/",MID(Sync!$P1320,FIND("/",Sync!$P1320)+1,20))+1,20))),"")))</f>
        <v/>
      </c>
      <c r="AI1320">
        <f>IF($AE1320="","",IF(OR($AF1320="",$AG1320="",$AH1320="",$AF1320&lt;1300,$AF1320&gt;1500,$AG1320&lt;1,$AG1320&gt;12,$AH1320&lt;1,$AH1320&gt;31),"نامعتبر",RIGHT("0000"&amp;$AF1320,4)&amp;"/"&amp;RIGHT("00"&amp;$AG1320,2)&amp;"/"&amp;RIGHT("00"&amp;$AH1320,2)))</f>
        <v/>
      </c>
      <c r="AJ1320">
        <f>IF($AE1320="","",IF(Sync!$Q1320="","0000",IF(AND(ISNUMBER(Sync!$Q1320),Sync!$Q1320&gt;=0,Sync!$Q1320&lt;1),RIGHT("00"&amp;HOUR(Sync!$Q1320),2)&amp;RIGHT("00"&amp;MINUTE(Sync!$Q1320),2),IFERROR(RIGHT("00"&amp;VALUE(LEFT(Sync!$Q1320,FIND(":",Sync!$Q1320)-1)),2)&amp;RIGHT("00"&amp;VALUE(MID(Sync!$Q1320,FIND(":",Sync!$Q1320)+1,2)),2),"0000"))))</f>
        <v/>
      </c>
      <c r="AK1320">
        <f>IF(OR($AE1320="",$AI1320="",$AI1320="نامعتبر"),"",LEFT($AI1320,4)&amp;MID($AI1320,6,2)&amp;RIGHT($AI1320,2)&amp;$AJ1320&amp;"|"&amp;"3"&amp;RIGHT("00000"&amp;1315,5))</f>
        <v/>
      </c>
      <c r="AL1320">
        <f>IF($AK1320="","",COUNTIFS(LdAParty,$AE1320,LdAType,1,LdAKey,"&lt;"&amp;$AK1320)+COUNTIFS(LdBMember,$AE1320,LdBKey,"&lt;"&amp;$AK1320)+COUNTIFS(LdCParty,$AE1320,LdCKey,"&lt;"&amp;$AK1320)+1)</f>
        <v/>
      </c>
      <c r="AM1320">
        <f>IF($AL1320="","",$AE1320&amp;"|"&amp;RIGHT("000000"&amp;$AL1320,6))</f>
        <v/>
      </c>
      <c r="AN1320">
        <f>IF($AE1320="","",IF(Sync!$W1320="",0,Sync!$W1320))</f>
        <v/>
      </c>
      <c r="AO1320">
        <f>IF($AE1320="","",IF(Sync!$X1320="",0,Sync!$X1320))</f>
        <v/>
      </c>
      <c r="AP1320">
        <f>IF($AE1320="","",Sync!$R1320)</f>
        <v/>
      </c>
      <c r="AQ1320">
        <f>IF($AE1320="","",Sync!$Y1320)</f>
        <v/>
      </c>
    </row>
    <row r="1321">
      <c r="A1321">
        <f>IF(OR(Wages!$B1324="",Wages!$E1324=""),"",Wages!$E1324)</f>
        <v/>
      </c>
      <c r="B1321">
        <f>IF($A1321="","",IF(Wages!$C1324="دستمزد گروهی",2,1))</f>
        <v/>
      </c>
      <c r="C1321">
        <f>IF($A1321="","",IF(ISNUMBER(Wages!$B1324),IF(AND(Wages!$B1324&gt;=10000101,Wages!$B1324&lt;=99991231),INT(Wages!$B1324/10000),""),IFERROR(VALUE(TRIM(LEFT(Wages!$B1324,FIND("/",Wages!$B1324)-1))),"")))</f>
        <v/>
      </c>
      <c r="D1321">
        <f>IF(OR($A1321="",$C1321=""),"",IF(ISNUMBER(Wages!$B1324),INT(MOD(Wages!$B1324,10000)/100),IFERROR(VALUE(TRIM(LEFT(MID(Wages!$B1324,FIND("/",Wages!$B1324)+1,20),FIND("/",MID(Wages!$B1324,FIND("/",Wages!$B1324)+1,20))-1))),"")))</f>
        <v/>
      </c>
      <c r="E1321">
        <f>IF(OR($A1321="",$C1321=""),"",IF(ISNUMBER(Wages!$B1324),MOD(Wages!$B1324,100),IFERROR(VALUE(TRIM(MID(MID(Wages!$B1324,FIND("/",Wages!$B1324)+1,20),FIND("/",MID(Wages!$B1324,FIND("/",Wages!$B1324)+1,20))+1,20))),"")))</f>
        <v/>
      </c>
      <c r="F1321">
        <f>IF($A1321="","",IF(OR($C1321="",$D1321="",$E1321="",$C1321&lt;1300,$C1321&gt;1500,$D1321&lt;1,$D1321&gt;12,$E1321&lt;1,$E1321&gt;31),"نامعتبر",RIGHT("0000"&amp;$C1321,4)&amp;"/"&amp;RIGHT("00"&amp;$D1321,2)&amp;"/"&amp;RIGHT("00"&amp;$E1321,2)))</f>
        <v/>
      </c>
      <c r="G1321">
        <f>IF(OR($A1321="",$F1321="",$F1321="نامعتبر"),"",LEFT($F1321,4)&amp;MID($F1321,6,2)&amp;RIGHT($F1321,2)&amp;"0000"&amp;"|"&amp;"1"&amp;RIGHT("00000"&amp;1316,5))</f>
        <v/>
      </c>
      <c r="H1321">
        <f>IF(OR($B1321&lt;&gt;1,$G1321=""),"",COUNTIFS(LdAParty,$A1321,LdAType,1,LdAKey,"&lt;"&amp;$G1321)+COUNTIFS(LdBMember,$A1321,LdBKey,"&lt;"&amp;$G1321)+COUNTIFS(LdCParty,$A1321,LdCKey,"&lt;"&amp;$G1321)+1)</f>
        <v/>
      </c>
      <c r="I1321">
        <f>IF($H1321="","",$A1321&amp;"|"&amp;RIGHT("000000"&amp;$H1321,6))</f>
        <v/>
      </c>
      <c r="J1321">
        <f>IF(OR($B1321&lt;&gt;2,$G1321=""),"",COUNTIFS(LdAParty,$A1321,LdAType,2,LdAKey,"&lt;"&amp;$G1321)+1)</f>
        <v/>
      </c>
      <c r="K1321">
        <f>IF($J1321="","",$A1321&amp;"|"&amp;RIGHT("000000"&amp;$J1321,6))</f>
        <v/>
      </c>
      <c r="L1321">
        <f>IF($A1321="","",IF(Wages!$G1324="",0,Wages!$G1324))</f>
        <v/>
      </c>
      <c r="M1321">
        <f>IF($A1321="","",Wages!$J1324)</f>
        <v/>
      </c>
      <c r="N1321">
        <f>IF($A1321="","",Wages!$D1324)</f>
        <v/>
      </c>
      <c r="P1321">
        <f>IF(OR(Shares!$B1324="",Shares!$C1324=""),"",Shares!$C1324)</f>
        <v/>
      </c>
      <c r="Q1321">
        <f>IF($P1321="","",Shares!$B1324)</f>
        <v/>
      </c>
      <c r="R1321">
        <f>IF($P1321="","",IFERROR(INDEX(WageParty,MATCH($Q1321,WageIds,0)),""))</f>
        <v/>
      </c>
      <c r="S1321">
        <f>IF($P1321="","",IFERROR(INDEX($F$6:$F$2005,MATCH($Q1321,WageIds,0)),""))</f>
        <v/>
      </c>
      <c r="T1321">
        <f>IF(OR($P1321="",$S1321="",$S1321="نامعتبر"),"",LEFT($S1321,4)&amp;MID($S1321,6,2)&amp;RIGHT($S1321,2)&amp;"0000"&amp;"|"&amp;"2"&amp;RIGHT("00000"&amp;1316,5))</f>
        <v/>
      </c>
      <c r="U1321">
        <f>IF($T1321="","",COUNTIFS(LdAParty,$P1321,LdAType,1,LdAKey,"&lt;"&amp;$T1321)+COUNTIFS(LdBMember,$P1321,LdBKey,"&lt;"&amp;$T1321)+COUNTIFS(LdCParty,$P1321,LdCKey,"&lt;"&amp;$T1321)+1)</f>
        <v/>
      </c>
      <c r="V1321">
        <f>IF($U1321="","",$P1321&amp;"|"&amp;RIGHT("000000"&amp;$U1321,6))</f>
        <v/>
      </c>
      <c r="W1321">
        <f>IF($T1321="","",COUNTIFS(LdBGroup,$R1321,LdBKey,"&lt;"&amp;$T1321)+1)</f>
        <v/>
      </c>
      <c r="X1321">
        <f>IF($W1321="","",$R1321&amp;"|"&amp;RIGHT("000000"&amp;$W1321,6))</f>
        <v/>
      </c>
      <c r="Y1321">
        <f>IF($P1321="","",IF(Shares!$E1324="",0,Shares!$E1324))</f>
        <v/>
      </c>
      <c r="Z1321">
        <f>IF($P1321="","",Shares!$H1324)</f>
        <v/>
      </c>
      <c r="AE1321">
        <f>IF(OR(Sync!$S1321="",Sync!$P1321=""),"",Sync!$S1321)</f>
        <v/>
      </c>
      <c r="AF1321">
        <f>IF($AE1321="","",IF(ISNUMBER(Sync!$P1321),IF(AND(Sync!$P1321&gt;=10000101,Sync!$P1321&lt;=99991231),INT(Sync!$P1321/10000),""),IFERROR(VALUE(TRIM(LEFT(Sync!$P1321,FIND("/",Sync!$P1321)-1))),"")))</f>
        <v/>
      </c>
      <c r="AG1321">
        <f>IF(OR($AE1321="",$AF1321=""),"",IF(ISNUMBER(Sync!$P1321),INT(MOD(Sync!$P1321,10000)/100),IFERROR(VALUE(TRIM(LEFT(MID(Sync!$P1321,FIND("/",Sync!$P1321)+1,20),FIND("/",MID(Sync!$P1321,FIND("/",Sync!$P1321)+1,20))-1))),"")))</f>
        <v/>
      </c>
      <c r="AH1321">
        <f>IF(OR($AE1321="",$AF1321=""),"",IF(ISNUMBER(Sync!$P1321),MOD(Sync!$P1321,100),IFERROR(VALUE(TRIM(MID(MID(Sync!$P1321,FIND("/",Sync!$P1321)+1,20),FIND("/",MID(Sync!$P1321,FIND("/",Sync!$P1321)+1,20))+1,20))),"")))</f>
        <v/>
      </c>
      <c r="AI1321">
        <f>IF($AE1321="","",IF(OR($AF1321="",$AG1321="",$AH1321="",$AF1321&lt;1300,$AF1321&gt;1500,$AG1321&lt;1,$AG1321&gt;12,$AH1321&lt;1,$AH1321&gt;31),"نامعتبر",RIGHT("0000"&amp;$AF1321,4)&amp;"/"&amp;RIGHT("00"&amp;$AG1321,2)&amp;"/"&amp;RIGHT("00"&amp;$AH1321,2)))</f>
        <v/>
      </c>
      <c r="AJ1321">
        <f>IF($AE1321="","",IF(Sync!$Q1321="","0000",IF(AND(ISNUMBER(Sync!$Q1321),Sync!$Q1321&gt;=0,Sync!$Q1321&lt;1),RIGHT("00"&amp;HOUR(Sync!$Q1321),2)&amp;RIGHT("00"&amp;MINUTE(Sync!$Q1321),2),IFERROR(RIGHT("00"&amp;VALUE(LEFT(Sync!$Q1321,FIND(":",Sync!$Q1321)-1)),2)&amp;RIGHT("00"&amp;VALUE(MID(Sync!$Q1321,FIND(":",Sync!$Q1321)+1,2)),2),"0000"))))</f>
        <v/>
      </c>
      <c r="AK1321">
        <f>IF(OR($AE1321="",$AI1321="",$AI1321="نامعتبر"),"",LEFT($AI1321,4)&amp;MID($AI1321,6,2)&amp;RIGHT($AI1321,2)&amp;$AJ1321&amp;"|"&amp;"3"&amp;RIGHT("00000"&amp;1316,5))</f>
        <v/>
      </c>
      <c r="AL1321">
        <f>IF($AK1321="","",COUNTIFS(LdAParty,$AE1321,LdAType,1,LdAKey,"&lt;"&amp;$AK1321)+COUNTIFS(LdBMember,$AE1321,LdBKey,"&lt;"&amp;$AK1321)+COUNTIFS(LdCParty,$AE1321,LdCKey,"&lt;"&amp;$AK1321)+1)</f>
        <v/>
      </c>
      <c r="AM1321">
        <f>IF($AL1321="","",$AE1321&amp;"|"&amp;RIGHT("000000"&amp;$AL1321,6))</f>
        <v/>
      </c>
      <c r="AN1321">
        <f>IF($AE1321="","",IF(Sync!$W1321="",0,Sync!$W1321))</f>
        <v/>
      </c>
      <c r="AO1321">
        <f>IF($AE1321="","",IF(Sync!$X1321="",0,Sync!$X1321))</f>
        <v/>
      </c>
      <c r="AP1321">
        <f>IF($AE1321="","",Sync!$R1321)</f>
        <v/>
      </c>
      <c r="AQ1321">
        <f>IF($AE1321="","",Sync!$Y1321)</f>
        <v/>
      </c>
    </row>
    <row r="1322">
      <c r="A1322">
        <f>IF(OR(Wages!$B1325="",Wages!$E1325=""),"",Wages!$E1325)</f>
        <v/>
      </c>
      <c r="B1322">
        <f>IF($A1322="","",IF(Wages!$C1325="دستمزد گروهی",2,1))</f>
        <v/>
      </c>
      <c r="C1322">
        <f>IF($A1322="","",IF(ISNUMBER(Wages!$B1325),IF(AND(Wages!$B1325&gt;=10000101,Wages!$B1325&lt;=99991231),INT(Wages!$B1325/10000),""),IFERROR(VALUE(TRIM(LEFT(Wages!$B1325,FIND("/",Wages!$B1325)-1))),"")))</f>
        <v/>
      </c>
      <c r="D1322">
        <f>IF(OR($A1322="",$C1322=""),"",IF(ISNUMBER(Wages!$B1325),INT(MOD(Wages!$B1325,10000)/100),IFERROR(VALUE(TRIM(LEFT(MID(Wages!$B1325,FIND("/",Wages!$B1325)+1,20),FIND("/",MID(Wages!$B1325,FIND("/",Wages!$B1325)+1,20))-1))),"")))</f>
        <v/>
      </c>
      <c r="E1322">
        <f>IF(OR($A1322="",$C1322=""),"",IF(ISNUMBER(Wages!$B1325),MOD(Wages!$B1325,100),IFERROR(VALUE(TRIM(MID(MID(Wages!$B1325,FIND("/",Wages!$B1325)+1,20),FIND("/",MID(Wages!$B1325,FIND("/",Wages!$B1325)+1,20))+1,20))),"")))</f>
        <v/>
      </c>
      <c r="F1322">
        <f>IF($A1322="","",IF(OR($C1322="",$D1322="",$E1322="",$C1322&lt;1300,$C1322&gt;1500,$D1322&lt;1,$D1322&gt;12,$E1322&lt;1,$E1322&gt;31),"نامعتبر",RIGHT("0000"&amp;$C1322,4)&amp;"/"&amp;RIGHT("00"&amp;$D1322,2)&amp;"/"&amp;RIGHT("00"&amp;$E1322,2)))</f>
        <v/>
      </c>
      <c r="G1322">
        <f>IF(OR($A1322="",$F1322="",$F1322="نامعتبر"),"",LEFT($F1322,4)&amp;MID($F1322,6,2)&amp;RIGHT($F1322,2)&amp;"0000"&amp;"|"&amp;"1"&amp;RIGHT("00000"&amp;1317,5))</f>
        <v/>
      </c>
      <c r="H1322">
        <f>IF(OR($B1322&lt;&gt;1,$G1322=""),"",COUNTIFS(LdAParty,$A1322,LdAType,1,LdAKey,"&lt;"&amp;$G1322)+COUNTIFS(LdBMember,$A1322,LdBKey,"&lt;"&amp;$G1322)+COUNTIFS(LdCParty,$A1322,LdCKey,"&lt;"&amp;$G1322)+1)</f>
        <v/>
      </c>
      <c r="I1322">
        <f>IF($H1322="","",$A1322&amp;"|"&amp;RIGHT("000000"&amp;$H1322,6))</f>
        <v/>
      </c>
      <c r="J1322">
        <f>IF(OR($B1322&lt;&gt;2,$G1322=""),"",COUNTIFS(LdAParty,$A1322,LdAType,2,LdAKey,"&lt;"&amp;$G1322)+1)</f>
        <v/>
      </c>
      <c r="K1322">
        <f>IF($J1322="","",$A1322&amp;"|"&amp;RIGHT("000000"&amp;$J1322,6))</f>
        <v/>
      </c>
      <c r="L1322">
        <f>IF($A1322="","",IF(Wages!$G1325="",0,Wages!$G1325))</f>
        <v/>
      </c>
      <c r="M1322">
        <f>IF($A1322="","",Wages!$J1325)</f>
        <v/>
      </c>
      <c r="N1322">
        <f>IF($A1322="","",Wages!$D1325)</f>
        <v/>
      </c>
      <c r="P1322">
        <f>IF(OR(Shares!$B1325="",Shares!$C1325=""),"",Shares!$C1325)</f>
        <v/>
      </c>
      <c r="Q1322">
        <f>IF($P1322="","",Shares!$B1325)</f>
        <v/>
      </c>
      <c r="R1322">
        <f>IF($P1322="","",IFERROR(INDEX(WageParty,MATCH($Q1322,WageIds,0)),""))</f>
        <v/>
      </c>
      <c r="S1322">
        <f>IF($P1322="","",IFERROR(INDEX($F$6:$F$2005,MATCH($Q1322,WageIds,0)),""))</f>
        <v/>
      </c>
      <c r="T1322">
        <f>IF(OR($P1322="",$S1322="",$S1322="نامعتبر"),"",LEFT($S1322,4)&amp;MID($S1322,6,2)&amp;RIGHT($S1322,2)&amp;"0000"&amp;"|"&amp;"2"&amp;RIGHT("00000"&amp;1317,5))</f>
        <v/>
      </c>
      <c r="U1322">
        <f>IF($T1322="","",COUNTIFS(LdAParty,$P1322,LdAType,1,LdAKey,"&lt;"&amp;$T1322)+COUNTIFS(LdBMember,$P1322,LdBKey,"&lt;"&amp;$T1322)+COUNTIFS(LdCParty,$P1322,LdCKey,"&lt;"&amp;$T1322)+1)</f>
        <v/>
      </c>
      <c r="V1322">
        <f>IF($U1322="","",$P1322&amp;"|"&amp;RIGHT("000000"&amp;$U1322,6))</f>
        <v/>
      </c>
      <c r="W1322">
        <f>IF($T1322="","",COUNTIFS(LdBGroup,$R1322,LdBKey,"&lt;"&amp;$T1322)+1)</f>
        <v/>
      </c>
      <c r="X1322">
        <f>IF($W1322="","",$R1322&amp;"|"&amp;RIGHT("000000"&amp;$W1322,6))</f>
        <v/>
      </c>
      <c r="Y1322">
        <f>IF($P1322="","",IF(Shares!$E1325="",0,Shares!$E1325))</f>
        <v/>
      </c>
      <c r="Z1322">
        <f>IF($P1322="","",Shares!$H1325)</f>
        <v/>
      </c>
      <c r="AE1322">
        <f>IF(OR(Sync!$S1322="",Sync!$P1322=""),"",Sync!$S1322)</f>
        <v/>
      </c>
      <c r="AF1322">
        <f>IF($AE1322="","",IF(ISNUMBER(Sync!$P1322),IF(AND(Sync!$P1322&gt;=10000101,Sync!$P1322&lt;=99991231),INT(Sync!$P1322/10000),""),IFERROR(VALUE(TRIM(LEFT(Sync!$P1322,FIND("/",Sync!$P1322)-1))),"")))</f>
        <v/>
      </c>
      <c r="AG1322">
        <f>IF(OR($AE1322="",$AF1322=""),"",IF(ISNUMBER(Sync!$P1322),INT(MOD(Sync!$P1322,10000)/100),IFERROR(VALUE(TRIM(LEFT(MID(Sync!$P1322,FIND("/",Sync!$P1322)+1,20),FIND("/",MID(Sync!$P1322,FIND("/",Sync!$P1322)+1,20))-1))),"")))</f>
        <v/>
      </c>
      <c r="AH1322">
        <f>IF(OR($AE1322="",$AF1322=""),"",IF(ISNUMBER(Sync!$P1322),MOD(Sync!$P1322,100),IFERROR(VALUE(TRIM(MID(MID(Sync!$P1322,FIND("/",Sync!$P1322)+1,20),FIND("/",MID(Sync!$P1322,FIND("/",Sync!$P1322)+1,20))+1,20))),"")))</f>
        <v/>
      </c>
      <c r="AI1322">
        <f>IF($AE1322="","",IF(OR($AF1322="",$AG1322="",$AH1322="",$AF1322&lt;1300,$AF1322&gt;1500,$AG1322&lt;1,$AG1322&gt;12,$AH1322&lt;1,$AH1322&gt;31),"نامعتبر",RIGHT("0000"&amp;$AF1322,4)&amp;"/"&amp;RIGHT("00"&amp;$AG1322,2)&amp;"/"&amp;RIGHT("00"&amp;$AH1322,2)))</f>
        <v/>
      </c>
      <c r="AJ1322">
        <f>IF($AE1322="","",IF(Sync!$Q1322="","0000",IF(AND(ISNUMBER(Sync!$Q1322),Sync!$Q1322&gt;=0,Sync!$Q1322&lt;1),RIGHT("00"&amp;HOUR(Sync!$Q1322),2)&amp;RIGHT("00"&amp;MINUTE(Sync!$Q1322),2),IFERROR(RIGHT("00"&amp;VALUE(LEFT(Sync!$Q1322,FIND(":",Sync!$Q1322)-1)),2)&amp;RIGHT("00"&amp;VALUE(MID(Sync!$Q1322,FIND(":",Sync!$Q1322)+1,2)),2),"0000"))))</f>
        <v/>
      </c>
      <c r="AK1322">
        <f>IF(OR($AE1322="",$AI1322="",$AI1322="نامعتبر"),"",LEFT($AI1322,4)&amp;MID($AI1322,6,2)&amp;RIGHT($AI1322,2)&amp;$AJ1322&amp;"|"&amp;"3"&amp;RIGHT("00000"&amp;1317,5))</f>
        <v/>
      </c>
      <c r="AL1322">
        <f>IF($AK1322="","",COUNTIFS(LdAParty,$AE1322,LdAType,1,LdAKey,"&lt;"&amp;$AK1322)+COUNTIFS(LdBMember,$AE1322,LdBKey,"&lt;"&amp;$AK1322)+COUNTIFS(LdCParty,$AE1322,LdCKey,"&lt;"&amp;$AK1322)+1)</f>
        <v/>
      </c>
      <c r="AM1322">
        <f>IF($AL1322="","",$AE1322&amp;"|"&amp;RIGHT("000000"&amp;$AL1322,6))</f>
        <v/>
      </c>
      <c r="AN1322">
        <f>IF($AE1322="","",IF(Sync!$W1322="",0,Sync!$W1322))</f>
        <v/>
      </c>
      <c r="AO1322">
        <f>IF($AE1322="","",IF(Sync!$X1322="",0,Sync!$X1322))</f>
        <v/>
      </c>
      <c r="AP1322">
        <f>IF($AE1322="","",Sync!$R1322)</f>
        <v/>
      </c>
      <c r="AQ1322">
        <f>IF($AE1322="","",Sync!$Y1322)</f>
        <v/>
      </c>
    </row>
    <row r="1323">
      <c r="A1323">
        <f>IF(OR(Wages!$B1326="",Wages!$E1326=""),"",Wages!$E1326)</f>
        <v/>
      </c>
      <c r="B1323">
        <f>IF($A1323="","",IF(Wages!$C1326="دستمزد گروهی",2,1))</f>
        <v/>
      </c>
      <c r="C1323">
        <f>IF($A1323="","",IF(ISNUMBER(Wages!$B1326),IF(AND(Wages!$B1326&gt;=10000101,Wages!$B1326&lt;=99991231),INT(Wages!$B1326/10000),""),IFERROR(VALUE(TRIM(LEFT(Wages!$B1326,FIND("/",Wages!$B1326)-1))),"")))</f>
        <v/>
      </c>
      <c r="D1323">
        <f>IF(OR($A1323="",$C1323=""),"",IF(ISNUMBER(Wages!$B1326),INT(MOD(Wages!$B1326,10000)/100),IFERROR(VALUE(TRIM(LEFT(MID(Wages!$B1326,FIND("/",Wages!$B1326)+1,20),FIND("/",MID(Wages!$B1326,FIND("/",Wages!$B1326)+1,20))-1))),"")))</f>
        <v/>
      </c>
      <c r="E1323">
        <f>IF(OR($A1323="",$C1323=""),"",IF(ISNUMBER(Wages!$B1326),MOD(Wages!$B1326,100),IFERROR(VALUE(TRIM(MID(MID(Wages!$B1326,FIND("/",Wages!$B1326)+1,20),FIND("/",MID(Wages!$B1326,FIND("/",Wages!$B1326)+1,20))+1,20))),"")))</f>
        <v/>
      </c>
      <c r="F1323">
        <f>IF($A1323="","",IF(OR($C1323="",$D1323="",$E1323="",$C1323&lt;1300,$C1323&gt;1500,$D1323&lt;1,$D1323&gt;12,$E1323&lt;1,$E1323&gt;31),"نامعتبر",RIGHT("0000"&amp;$C1323,4)&amp;"/"&amp;RIGHT("00"&amp;$D1323,2)&amp;"/"&amp;RIGHT("00"&amp;$E1323,2)))</f>
        <v/>
      </c>
      <c r="G1323">
        <f>IF(OR($A1323="",$F1323="",$F1323="نامعتبر"),"",LEFT($F1323,4)&amp;MID($F1323,6,2)&amp;RIGHT($F1323,2)&amp;"0000"&amp;"|"&amp;"1"&amp;RIGHT("00000"&amp;1318,5))</f>
        <v/>
      </c>
      <c r="H1323">
        <f>IF(OR($B1323&lt;&gt;1,$G1323=""),"",COUNTIFS(LdAParty,$A1323,LdAType,1,LdAKey,"&lt;"&amp;$G1323)+COUNTIFS(LdBMember,$A1323,LdBKey,"&lt;"&amp;$G1323)+COUNTIFS(LdCParty,$A1323,LdCKey,"&lt;"&amp;$G1323)+1)</f>
        <v/>
      </c>
      <c r="I1323">
        <f>IF($H1323="","",$A1323&amp;"|"&amp;RIGHT("000000"&amp;$H1323,6))</f>
        <v/>
      </c>
      <c r="J1323">
        <f>IF(OR($B1323&lt;&gt;2,$G1323=""),"",COUNTIFS(LdAParty,$A1323,LdAType,2,LdAKey,"&lt;"&amp;$G1323)+1)</f>
        <v/>
      </c>
      <c r="K1323">
        <f>IF($J1323="","",$A1323&amp;"|"&amp;RIGHT("000000"&amp;$J1323,6))</f>
        <v/>
      </c>
      <c r="L1323">
        <f>IF($A1323="","",IF(Wages!$G1326="",0,Wages!$G1326))</f>
        <v/>
      </c>
      <c r="M1323">
        <f>IF($A1323="","",Wages!$J1326)</f>
        <v/>
      </c>
      <c r="N1323">
        <f>IF($A1323="","",Wages!$D1326)</f>
        <v/>
      </c>
      <c r="P1323">
        <f>IF(OR(Shares!$B1326="",Shares!$C1326=""),"",Shares!$C1326)</f>
        <v/>
      </c>
      <c r="Q1323">
        <f>IF($P1323="","",Shares!$B1326)</f>
        <v/>
      </c>
      <c r="R1323">
        <f>IF($P1323="","",IFERROR(INDEX(WageParty,MATCH($Q1323,WageIds,0)),""))</f>
        <v/>
      </c>
      <c r="S1323">
        <f>IF($P1323="","",IFERROR(INDEX($F$6:$F$2005,MATCH($Q1323,WageIds,0)),""))</f>
        <v/>
      </c>
      <c r="T1323">
        <f>IF(OR($P1323="",$S1323="",$S1323="نامعتبر"),"",LEFT($S1323,4)&amp;MID($S1323,6,2)&amp;RIGHT($S1323,2)&amp;"0000"&amp;"|"&amp;"2"&amp;RIGHT("00000"&amp;1318,5))</f>
        <v/>
      </c>
      <c r="U1323">
        <f>IF($T1323="","",COUNTIFS(LdAParty,$P1323,LdAType,1,LdAKey,"&lt;"&amp;$T1323)+COUNTIFS(LdBMember,$P1323,LdBKey,"&lt;"&amp;$T1323)+COUNTIFS(LdCParty,$P1323,LdCKey,"&lt;"&amp;$T1323)+1)</f>
        <v/>
      </c>
      <c r="V1323">
        <f>IF($U1323="","",$P1323&amp;"|"&amp;RIGHT("000000"&amp;$U1323,6))</f>
        <v/>
      </c>
      <c r="W1323">
        <f>IF($T1323="","",COUNTIFS(LdBGroup,$R1323,LdBKey,"&lt;"&amp;$T1323)+1)</f>
        <v/>
      </c>
      <c r="X1323">
        <f>IF($W1323="","",$R1323&amp;"|"&amp;RIGHT("000000"&amp;$W1323,6))</f>
        <v/>
      </c>
      <c r="Y1323">
        <f>IF($P1323="","",IF(Shares!$E1326="",0,Shares!$E1326))</f>
        <v/>
      </c>
      <c r="Z1323">
        <f>IF($P1323="","",Shares!$H1326)</f>
        <v/>
      </c>
      <c r="AE1323">
        <f>IF(OR(Sync!$S1323="",Sync!$P1323=""),"",Sync!$S1323)</f>
        <v/>
      </c>
      <c r="AF1323">
        <f>IF($AE1323="","",IF(ISNUMBER(Sync!$P1323),IF(AND(Sync!$P1323&gt;=10000101,Sync!$P1323&lt;=99991231),INT(Sync!$P1323/10000),""),IFERROR(VALUE(TRIM(LEFT(Sync!$P1323,FIND("/",Sync!$P1323)-1))),"")))</f>
        <v/>
      </c>
      <c r="AG1323">
        <f>IF(OR($AE1323="",$AF1323=""),"",IF(ISNUMBER(Sync!$P1323),INT(MOD(Sync!$P1323,10000)/100),IFERROR(VALUE(TRIM(LEFT(MID(Sync!$P1323,FIND("/",Sync!$P1323)+1,20),FIND("/",MID(Sync!$P1323,FIND("/",Sync!$P1323)+1,20))-1))),"")))</f>
        <v/>
      </c>
      <c r="AH1323">
        <f>IF(OR($AE1323="",$AF1323=""),"",IF(ISNUMBER(Sync!$P1323),MOD(Sync!$P1323,100),IFERROR(VALUE(TRIM(MID(MID(Sync!$P1323,FIND("/",Sync!$P1323)+1,20),FIND("/",MID(Sync!$P1323,FIND("/",Sync!$P1323)+1,20))+1,20))),"")))</f>
        <v/>
      </c>
      <c r="AI1323">
        <f>IF($AE1323="","",IF(OR($AF1323="",$AG1323="",$AH1323="",$AF1323&lt;1300,$AF1323&gt;1500,$AG1323&lt;1,$AG1323&gt;12,$AH1323&lt;1,$AH1323&gt;31),"نامعتبر",RIGHT("0000"&amp;$AF1323,4)&amp;"/"&amp;RIGHT("00"&amp;$AG1323,2)&amp;"/"&amp;RIGHT("00"&amp;$AH1323,2)))</f>
        <v/>
      </c>
      <c r="AJ1323">
        <f>IF($AE1323="","",IF(Sync!$Q1323="","0000",IF(AND(ISNUMBER(Sync!$Q1323),Sync!$Q1323&gt;=0,Sync!$Q1323&lt;1),RIGHT("00"&amp;HOUR(Sync!$Q1323),2)&amp;RIGHT("00"&amp;MINUTE(Sync!$Q1323),2),IFERROR(RIGHT("00"&amp;VALUE(LEFT(Sync!$Q1323,FIND(":",Sync!$Q1323)-1)),2)&amp;RIGHT("00"&amp;VALUE(MID(Sync!$Q1323,FIND(":",Sync!$Q1323)+1,2)),2),"0000"))))</f>
        <v/>
      </c>
      <c r="AK1323">
        <f>IF(OR($AE1323="",$AI1323="",$AI1323="نامعتبر"),"",LEFT($AI1323,4)&amp;MID($AI1323,6,2)&amp;RIGHT($AI1323,2)&amp;$AJ1323&amp;"|"&amp;"3"&amp;RIGHT("00000"&amp;1318,5))</f>
        <v/>
      </c>
      <c r="AL1323">
        <f>IF($AK1323="","",COUNTIFS(LdAParty,$AE1323,LdAType,1,LdAKey,"&lt;"&amp;$AK1323)+COUNTIFS(LdBMember,$AE1323,LdBKey,"&lt;"&amp;$AK1323)+COUNTIFS(LdCParty,$AE1323,LdCKey,"&lt;"&amp;$AK1323)+1)</f>
        <v/>
      </c>
      <c r="AM1323">
        <f>IF($AL1323="","",$AE1323&amp;"|"&amp;RIGHT("000000"&amp;$AL1323,6))</f>
        <v/>
      </c>
      <c r="AN1323">
        <f>IF($AE1323="","",IF(Sync!$W1323="",0,Sync!$W1323))</f>
        <v/>
      </c>
      <c r="AO1323">
        <f>IF($AE1323="","",IF(Sync!$X1323="",0,Sync!$X1323))</f>
        <v/>
      </c>
      <c r="AP1323">
        <f>IF($AE1323="","",Sync!$R1323)</f>
        <v/>
      </c>
      <c r="AQ1323">
        <f>IF($AE1323="","",Sync!$Y1323)</f>
        <v/>
      </c>
    </row>
    <row r="1324">
      <c r="A1324">
        <f>IF(OR(Wages!$B1327="",Wages!$E1327=""),"",Wages!$E1327)</f>
        <v/>
      </c>
      <c r="B1324">
        <f>IF($A1324="","",IF(Wages!$C1327="دستمزد گروهی",2,1))</f>
        <v/>
      </c>
      <c r="C1324">
        <f>IF($A1324="","",IF(ISNUMBER(Wages!$B1327),IF(AND(Wages!$B1327&gt;=10000101,Wages!$B1327&lt;=99991231),INT(Wages!$B1327/10000),""),IFERROR(VALUE(TRIM(LEFT(Wages!$B1327,FIND("/",Wages!$B1327)-1))),"")))</f>
        <v/>
      </c>
      <c r="D1324">
        <f>IF(OR($A1324="",$C1324=""),"",IF(ISNUMBER(Wages!$B1327),INT(MOD(Wages!$B1327,10000)/100),IFERROR(VALUE(TRIM(LEFT(MID(Wages!$B1327,FIND("/",Wages!$B1327)+1,20),FIND("/",MID(Wages!$B1327,FIND("/",Wages!$B1327)+1,20))-1))),"")))</f>
        <v/>
      </c>
      <c r="E1324">
        <f>IF(OR($A1324="",$C1324=""),"",IF(ISNUMBER(Wages!$B1327),MOD(Wages!$B1327,100),IFERROR(VALUE(TRIM(MID(MID(Wages!$B1327,FIND("/",Wages!$B1327)+1,20),FIND("/",MID(Wages!$B1327,FIND("/",Wages!$B1327)+1,20))+1,20))),"")))</f>
        <v/>
      </c>
      <c r="F1324">
        <f>IF($A1324="","",IF(OR($C1324="",$D1324="",$E1324="",$C1324&lt;1300,$C1324&gt;1500,$D1324&lt;1,$D1324&gt;12,$E1324&lt;1,$E1324&gt;31),"نامعتبر",RIGHT("0000"&amp;$C1324,4)&amp;"/"&amp;RIGHT("00"&amp;$D1324,2)&amp;"/"&amp;RIGHT("00"&amp;$E1324,2)))</f>
        <v/>
      </c>
      <c r="G1324">
        <f>IF(OR($A1324="",$F1324="",$F1324="نامعتبر"),"",LEFT($F1324,4)&amp;MID($F1324,6,2)&amp;RIGHT($F1324,2)&amp;"0000"&amp;"|"&amp;"1"&amp;RIGHT("00000"&amp;1319,5))</f>
        <v/>
      </c>
      <c r="H1324">
        <f>IF(OR($B1324&lt;&gt;1,$G1324=""),"",COUNTIFS(LdAParty,$A1324,LdAType,1,LdAKey,"&lt;"&amp;$G1324)+COUNTIFS(LdBMember,$A1324,LdBKey,"&lt;"&amp;$G1324)+COUNTIFS(LdCParty,$A1324,LdCKey,"&lt;"&amp;$G1324)+1)</f>
        <v/>
      </c>
      <c r="I1324">
        <f>IF($H1324="","",$A1324&amp;"|"&amp;RIGHT("000000"&amp;$H1324,6))</f>
        <v/>
      </c>
      <c r="J1324">
        <f>IF(OR($B1324&lt;&gt;2,$G1324=""),"",COUNTIFS(LdAParty,$A1324,LdAType,2,LdAKey,"&lt;"&amp;$G1324)+1)</f>
        <v/>
      </c>
      <c r="K1324">
        <f>IF($J1324="","",$A1324&amp;"|"&amp;RIGHT("000000"&amp;$J1324,6))</f>
        <v/>
      </c>
      <c r="L1324">
        <f>IF($A1324="","",IF(Wages!$G1327="",0,Wages!$G1327))</f>
        <v/>
      </c>
      <c r="M1324">
        <f>IF($A1324="","",Wages!$J1327)</f>
        <v/>
      </c>
      <c r="N1324">
        <f>IF($A1324="","",Wages!$D1327)</f>
        <v/>
      </c>
      <c r="P1324">
        <f>IF(OR(Shares!$B1327="",Shares!$C1327=""),"",Shares!$C1327)</f>
        <v/>
      </c>
      <c r="Q1324">
        <f>IF($P1324="","",Shares!$B1327)</f>
        <v/>
      </c>
      <c r="R1324">
        <f>IF($P1324="","",IFERROR(INDEX(WageParty,MATCH($Q1324,WageIds,0)),""))</f>
        <v/>
      </c>
      <c r="S1324">
        <f>IF($P1324="","",IFERROR(INDEX($F$6:$F$2005,MATCH($Q1324,WageIds,0)),""))</f>
        <v/>
      </c>
      <c r="T1324">
        <f>IF(OR($P1324="",$S1324="",$S1324="نامعتبر"),"",LEFT($S1324,4)&amp;MID($S1324,6,2)&amp;RIGHT($S1324,2)&amp;"0000"&amp;"|"&amp;"2"&amp;RIGHT("00000"&amp;1319,5))</f>
        <v/>
      </c>
      <c r="U1324">
        <f>IF($T1324="","",COUNTIFS(LdAParty,$P1324,LdAType,1,LdAKey,"&lt;"&amp;$T1324)+COUNTIFS(LdBMember,$P1324,LdBKey,"&lt;"&amp;$T1324)+COUNTIFS(LdCParty,$P1324,LdCKey,"&lt;"&amp;$T1324)+1)</f>
        <v/>
      </c>
      <c r="V1324">
        <f>IF($U1324="","",$P1324&amp;"|"&amp;RIGHT("000000"&amp;$U1324,6))</f>
        <v/>
      </c>
      <c r="W1324">
        <f>IF($T1324="","",COUNTIFS(LdBGroup,$R1324,LdBKey,"&lt;"&amp;$T1324)+1)</f>
        <v/>
      </c>
      <c r="X1324">
        <f>IF($W1324="","",$R1324&amp;"|"&amp;RIGHT("000000"&amp;$W1324,6))</f>
        <v/>
      </c>
      <c r="Y1324">
        <f>IF($P1324="","",IF(Shares!$E1327="",0,Shares!$E1327))</f>
        <v/>
      </c>
      <c r="Z1324">
        <f>IF($P1324="","",Shares!$H1327)</f>
        <v/>
      </c>
      <c r="AE1324">
        <f>IF(OR(Sync!$S1324="",Sync!$P1324=""),"",Sync!$S1324)</f>
        <v/>
      </c>
      <c r="AF1324">
        <f>IF($AE1324="","",IF(ISNUMBER(Sync!$P1324),IF(AND(Sync!$P1324&gt;=10000101,Sync!$P1324&lt;=99991231),INT(Sync!$P1324/10000),""),IFERROR(VALUE(TRIM(LEFT(Sync!$P1324,FIND("/",Sync!$P1324)-1))),"")))</f>
        <v/>
      </c>
      <c r="AG1324">
        <f>IF(OR($AE1324="",$AF1324=""),"",IF(ISNUMBER(Sync!$P1324),INT(MOD(Sync!$P1324,10000)/100),IFERROR(VALUE(TRIM(LEFT(MID(Sync!$P1324,FIND("/",Sync!$P1324)+1,20),FIND("/",MID(Sync!$P1324,FIND("/",Sync!$P1324)+1,20))-1))),"")))</f>
        <v/>
      </c>
      <c r="AH1324">
        <f>IF(OR($AE1324="",$AF1324=""),"",IF(ISNUMBER(Sync!$P1324),MOD(Sync!$P1324,100),IFERROR(VALUE(TRIM(MID(MID(Sync!$P1324,FIND("/",Sync!$P1324)+1,20),FIND("/",MID(Sync!$P1324,FIND("/",Sync!$P1324)+1,20))+1,20))),"")))</f>
        <v/>
      </c>
      <c r="AI1324">
        <f>IF($AE1324="","",IF(OR($AF1324="",$AG1324="",$AH1324="",$AF1324&lt;1300,$AF1324&gt;1500,$AG1324&lt;1,$AG1324&gt;12,$AH1324&lt;1,$AH1324&gt;31),"نامعتبر",RIGHT("0000"&amp;$AF1324,4)&amp;"/"&amp;RIGHT("00"&amp;$AG1324,2)&amp;"/"&amp;RIGHT("00"&amp;$AH1324,2)))</f>
        <v/>
      </c>
      <c r="AJ1324">
        <f>IF($AE1324="","",IF(Sync!$Q1324="","0000",IF(AND(ISNUMBER(Sync!$Q1324),Sync!$Q1324&gt;=0,Sync!$Q1324&lt;1),RIGHT("00"&amp;HOUR(Sync!$Q1324),2)&amp;RIGHT("00"&amp;MINUTE(Sync!$Q1324),2),IFERROR(RIGHT("00"&amp;VALUE(LEFT(Sync!$Q1324,FIND(":",Sync!$Q1324)-1)),2)&amp;RIGHT("00"&amp;VALUE(MID(Sync!$Q1324,FIND(":",Sync!$Q1324)+1,2)),2),"0000"))))</f>
        <v/>
      </c>
      <c r="AK1324">
        <f>IF(OR($AE1324="",$AI1324="",$AI1324="نامعتبر"),"",LEFT($AI1324,4)&amp;MID($AI1324,6,2)&amp;RIGHT($AI1324,2)&amp;$AJ1324&amp;"|"&amp;"3"&amp;RIGHT("00000"&amp;1319,5))</f>
        <v/>
      </c>
      <c r="AL1324">
        <f>IF($AK1324="","",COUNTIFS(LdAParty,$AE1324,LdAType,1,LdAKey,"&lt;"&amp;$AK1324)+COUNTIFS(LdBMember,$AE1324,LdBKey,"&lt;"&amp;$AK1324)+COUNTIFS(LdCParty,$AE1324,LdCKey,"&lt;"&amp;$AK1324)+1)</f>
        <v/>
      </c>
      <c r="AM1324">
        <f>IF($AL1324="","",$AE1324&amp;"|"&amp;RIGHT("000000"&amp;$AL1324,6))</f>
        <v/>
      </c>
      <c r="AN1324">
        <f>IF($AE1324="","",IF(Sync!$W1324="",0,Sync!$W1324))</f>
        <v/>
      </c>
      <c r="AO1324">
        <f>IF($AE1324="","",IF(Sync!$X1324="",0,Sync!$X1324))</f>
        <v/>
      </c>
      <c r="AP1324">
        <f>IF($AE1324="","",Sync!$R1324)</f>
        <v/>
      </c>
      <c r="AQ1324">
        <f>IF($AE1324="","",Sync!$Y1324)</f>
        <v/>
      </c>
    </row>
    <row r="1325">
      <c r="A1325">
        <f>IF(OR(Wages!$B1328="",Wages!$E1328=""),"",Wages!$E1328)</f>
        <v/>
      </c>
      <c r="B1325">
        <f>IF($A1325="","",IF(Wages!$C1328="دستمزد گروهی",2,1))</f>
        <v/>
      </c>
      <c r="C1325">
        <f>IF($A1325="","",IF(ISNUMBER(Wages!$B1328),IF(AND(Wages!$B1328&gt;=10000101,Wages!$B1328&lt;=99991231),INT(Wages!$B1328/10000),""),IFERROR(VALUE(TRIM(LEFT(Wages!$B1328,FIND("/",Wages!$B1328)-1))),"")))</f>
        <v/>
      </c>
      <c r="D1325">
        <f>IF(OR($A1325="",$C1325=""),"",IF(ISNUMBER(Wages!$B1328),INT(MOD(Wages!$B1328,10000)/100),IFERROR(VALUE(TRIM(LEFT(MID(Wages!$B1328,FIND("/",Wages!$B1328)+1,20),FIND("/",MID(Wages!$B1328,FIND("/",Wages!$B1328)+1,20))-1))),"")))</f>
        <v/>
      </c>
      <c r="E1325">
        <f>IF(OR($A1325="",$C1325=""),"",IF(ISNUMBER(Wages!$B1328),MOD(Wages!$B1328,100),IFERROR(VALUE(TRIM(MID(MID(Wages!$B1328,FIND("/",Wages!$B1328)+1,20),FIND("/",MID(Wages!$B1328,FIND("/",Wages!$B1328)+1,20))+1,20))),"")))</f>
        <v/>
      </c>
      <c r="F1325">
        <f>IF($A1325="","",IF(OR($C1325="",$D1325="",$E1325="",$C1325&lt;1300,$C1325&gt;1500,$D1325&lt;1,$D1325&gt;12,$E1325&lt;1,$E1325&gt;31),"نامعتبر",RIGHT("0000"&amp;$C1325,4)&amp;"/"&amp;RIGHT("00"&amp;$D1325,2)&amp;"/"&amp;RIGHT("00"&amp;$E1325,2)))</f>
        <v/>
      </c>
      <c r="G1325">
        <f>IF(OR($A1325="",$F1325="",$F1325="نامعتبر"),"",LEFT($F1325,4)&amp;MID($F1325,6,2)&amp;RIGHT($F1325,2)&amp;"0000"&amp;"|"&amp;"1"&amp;RIGHT("00000"&amp;1320,5))</f>
        <v/>
      </c>
      <c r="H1325">
        <f>IF(OR($B1325&lt;&gt;1,$G1325=""),"",COUNTIFS(LdAParty,$A1325,LdAType,1,LdAKey,"&lt;"&amp;$G1325)+COUNTIFS(LdBMember,$A1325,LdBKey,"&lt;"&amp;$G1325)+COUNTIFS(LdCParty,$A1325,LdCKey,"&lt;"&amp;$G1325)+1)</f>
        <v/>
      </c>
      <c r="I1325">
        <f>IF($H1325="","",$A1325&amp;"|"&amp;RIGHT("000000"&amp;$H1325,6))</f>
        <v/>
      </c>
      <c r="J1325">
        <f>IF(OR($B1325&lt;&gt;2,$G1325=""),"",COUNTIFS(LdAParty,$A1325,LdAType,2,LdAKey,"&lt;"&amp;$G1325)+1)</f>
        <v/>
      </c>
      <c r="K1325">
        <f>IF($J1325="","",$A1325&amp;"|"&amp;RIGHT("000000"&amp;$J1325,6))</f>
        <v/>
      </c>
      <c r="L1325">
        <f>IF($A1325="","",IF(Wages!$G1328="",0,Wages!$G1328))</f>
        <v/>
      </c>
      <c r="M1325">
        <f>IF($A1325="","",Wages!$J1328)</f>
        <v/>
      </c>
      <c r="N1325">
        <f>IF($A1325="","",Wages!$D1328)</f>
        <v/>
      </c>
      <c r="P1325">
        <f>IF(OR(Shares!$B1328="",Shares!$C1328=""),"",Shares!$C1328)</f>
        <v/>
      </c>
      <c r="Q1325">
        <f>IF($P1325="","",Shares!$B1328)</f>
        <v/>
      </c>
      <c r="R1325">
        <f>IF($P1325="","",IFERROR(INDEX(WageParty,MATCH($Q1325,WageIds,0)),""))</f>
        <v/>
      </c>
      <c r="S1325">
        <f>IF($P1325="","",IFERROR(INDEX($F$6:$F$2005,MATCH($Q1325,WageIds,0)),""))</f>
        <v/>
      </c>
      <c r="T1325">
        <f>IF(OR($P1325="",$S1325="",$S1325="نامعتبر"),"",LEFT($S1325,4)&amp;MID($S1325,6,2)&amp;RIGHT($S1325,2)&amp;"0000"&amp;"|"&amp;"2"&amp;RIGHT("00000"&amp;1320,5))</f>
        <v/>
      </c>
      <c r="U1325">
        <f>IF($T1325="","",COUNTIFS(LdAParty,$P1325,LdAType,1,LdAKey,"&lt;"&amp;$T1325)+COUNTIFS(LdBMember,$P1325,LdBKey,"&lt;"&amp;$T1325)+COUNTIFS(LdCParty,$P1325,LdCKey,"&lt;"&amp;$T1325)+1)</f>
        <v/>
      </c>
      <c r="V1325">
        <f>IF($U1325="","",$P1325&amp;"|"&amp;RIGHT("000000"&amp;$U1325,6))</f>
        <v/>
      </c>
      <c r="W1325">
        <f>IF($T1325="","",COUNTIFS(LdBGroup,$R1325,LdBKey,"&lt;"&amp;$T1325)+1)</f>
        <v/>
      </c>
      <c r="X1325">
        <f>IF($W1325="","",$R1325&amp;"|"&amp;RIGHT("000000"&amp;$W1325,6))</f>
        <v/>
      </c>
      <c r="Y1325">
        <f>IF($P1325="","",IF(Shares!$E1328="",0,Shares!$E1328))</f>
        <v/>
      </c>
      <c r="Z1325">
        <f>IF($P1325="","",Shares!$H1328)</f>
        <v/>
      </c>
      <c r="AE1325">
        <f>IF(OR(Sync!$S1325="",Sync!$P1325=""),"",Sync!$S1325)</f>
        <v/>
      </c>
      <c r="AF1325">
        <f>IF($AE1325="","",IF(ISNUMBER(Sync!$P1325),IF(AND(Sync!$P1325&gt;=10000101,Sync!$P1325&lt;=99991231),INT(Sync!$P1325/10000),""),IFERROR(VALUE(TRIM(LEFT(Sync!$P1325,FIND("/",Sync!$P1325)-1))),"")))</f>
        <v/>
      </c>
      <c r="AG1325">
        <f>IF(OR($AE1325="",$AF1325=""),"",IF(ISNUMBER(Sync!$P1325),INT(MOD(Sync!$P1325,10000)/100),IFERROR(VALUE(TRIM(LEFT(MID(Sync!$P1325,FIND("/",Sync!$P1325)+1,20),FIND("/",MID(Sync!$P1325,FIND("/",Sync!$P1325)+1,20))-1))),"")))</f>
        <v/>
      </c>
      <c r="AH1325">
        <f>IF(OR($AE1325="",$AF1325=""),"",IF(ISNUMBER(Sync!$P1325),MOD(Sync!$P1325,100),IFERROR(VALUE(TRIM(MID(MID(Sync!$P1325,FIND("/",Sync!$P1325)+1,20),FIND("/",MID(Sync!$P1325,FIND("/",Sync!$P1325)+1,20))+1,20))),"")))</f>
        <v/>
      </c>
      <c r="AI1325">
        <f>IF($AE1325="","",IF(OR($AF1325="",$AG1325="",$AH1325="",$AF1325&lt;1300,$AF1325&gt;1500,$AG1325&lt;1,$AG1325&gt;12,$AH1325&lt;1,$AH1325&gt;31),"نامعتبر",RIGHT("0000"&amp;$AF1325,4)&amp;"/"&amp;RIGHT("00"&amp;$AG1325,2)&amp;"/"&amp;RIGHT("00"&amp;$AH1325,2)))</f>
        <v/>
      </c>
      <c r="AJ1325">
        <f>IF($AE1325="","",IF(Sync!$Q1325="","0000",IF(AND(ISNUMBER(Sync!$Q1325),Sync!$Q1325&gt;=0,Sync!$Q1325&lt;1),RIGHT("00"&amp;HOUR(Sync!$Q1325),2)&amp;RIGHT("00"&amp;MINUTE(Sync!$Q1325),2),IFERROR(RIGHT("00"&amp;VALUE(LEFT(Sync!$Q1325,FIND(":",Sync!$Q1325)-1)),2)&amp;RIGHT("00"&amp;VALUE(MID(Sync!$Q1325,FIND(":",Sync!$Q1325)+1,2)),2),"0000"))))</f>
        <v/>
      </c>
      <c r="AK1325">
        <f>IF(OR($AE1325="",$AI1325="",$AI1325="نامعتبر"),"",LEFT($AI1325,4)&amp;MID($AI1325,6,2)&amp;RIGHT($AI1325,2)&amp;$AJ1325&amp;"|"&amp;"3"&amp;RIGHT("00000"&amp;1320,5))</f>
        <v/>
      </c>
      <c r="AL1325">
        <f>IF($AK1325="","",COUNTIFS(LdAParty,$AE1325,LdAType,1,LdAKey,"&lt;"&amp;$AK1325)+COUNTIFS(LdBMember,$AE1325,LdBKey,"&lt;"&amp;$AK1325)+COUNTIFS(LdCParty,$AE1325,LdCKey,"&lt;"&amp;$AK1325)+1)</f>
        <v/>
      </c>
      <c r="AM1325">
        <f>IF($AL1325="","",$AE1325&amp;"|"&amp;RIGHT("000000"&amp;$AL1325,6))</f>
        <v/>
      </c>
      <c r="AN1325">
        <f>IF($AE1325="","",IF(Sync!$W1325="",0,Sync!$W1325))</f>
        <v/>
      </c>
      <c r="AO1325">
        <f>IF($AE1325="","",IF(Sync!$X1325="",0,Sync!$X1325))</f>
        <v/>
      </c>
      <c r="AP1325">
        <f>IF($AE1325="","",Sync!$R1325)</f>
        <v/>
      </c>
      <c r="AQ1325">
        <f>IF($AE1325="","",Sync!$Y1325)</f>
        <v/>
      </c>
    </row>
    <row r="1326">
      <c r="A1326">
        <f>IF(OR(Wages!$B1329="",Wages!$E1329=""),"",Wages!$E1329)</f>
        <v/>
      </c>
      <c r="B1326">
        <f>IF($A1326="","",IF(Wages!$C1329="دستمزد گروهی",2,1))</f>
        <v/>
      </c>
      <c r="C1326">
        <f>IF($A1326="","",IF(ISNUMBER(Wages!$B1329),IF(AND(Wages!$B1329&gt;=10000101,Wages!$B1329&lt;=99991231),INT(Wages!$B1329/10000),""),IFERROR(VALUE(TRIM(LEFT(Wages!$B1329,FIND("/",Wages!$B1329)-1))),"")))</f>
        <v/>
      </c>
      <c r="D1326">
        <f>IF(OR($A1326="",$C1326=""),"",IF(ISNUMBER(Wages!$B1329),INT(MOD(Wages!$B1329,10000)/100),IFERROR(VALUE(TRIM(LEFT(MID(Wages!$B1329,FIND("/",Wages!$B1329)+1,20),FIND("/",MID(Wages!$B1329,FIND("/",Wages!$B1329)+1,20))-1))),"")))</f>
        <v/>
      </c>
      <c r="E1326">
        <f>IF(OR($A1326="",$C1326=""),"",IF(ISNUMBER(Wages!$B1329),MOD(Wages!$B1329,100),IFERROR(VALUE(TRIM(MID(MID(Wages!$B1329,FIND("/",Wages!$B1329)+1,20),FIND("/",MID(Wages!$B1329,FIND("/",Wages!$B1329)+1,20))+1,20))),"")))</f>
        <v/>
      </c>
      <c r="F1326">
        <f>IF($A1326="","",IF(OR($C1326="",$D1326="",$E1326="",$C1326&lt;1300,$C1326&gt;1500,$D1326&lt;1,$D1326&gt;12,$E1326&lt;1,$E1326&gt;31),"نامعتبر",RIGHT("0000"&amp;$C1326,4)&amp;"/"&amp;RIGHT("00"&amp;$D1326,2)&amp;"/"&amp;RIGHT("00"&amp;$E1326,2)))</f>
        <v/>
      </c>
      <c r="G1326">
        <f>IF(OR($A1326="",$F1326="",$F1326="نامعتبر"),"",LEFT($F1326,4)&amp;MID($F1326,6,2)&amp;RIGHT($F1326,2)&amp;"0000"&amp;"|"&amp;"1"&amp;RIGHT("00000"&amp;1321,5))</f>
        <v/>
      </c>
      <c r="H1326">
        <f>IF(OR($B1326&lt;&gt;1,$G1326=""),"",COUNTIFS(LdAParty,$A1326,LdAType,1,LdAKey,"&lt;"&amp;$G1326)+COUNTIFS(LdBMember,$A1326,LdBKey,"&lt;"&amp;$G1326)+COUNTIFS(LdCParty,$A1326,LdCKey,"&lt;"&amp;$G1326)+1)</f>
        <v/>
      </c>
      <c r="I1326">
        <f>IF($H1326="","",$A1326&amp;"|"&amp;RIGHT("000000"&amp;$H1326,6))</f>
        <v/>
      </c>
      <c r="J1326">
        <f>IF(OR($B1326&lt;&gt;2,$G1326=""),"",COUNTIFS(LdAParty,$A1326,LdAType,2,LdAKey,"&lt;"&amp;$G1326)+1)</f>
        <v/>
      </c>
      <c r="K1326">
        <f>IF($J1326="","",$A1326&amp;"|"&amp;RIGHT("000000"&amp;$J1326,6))</f>
        <v/>
      </c>
      <c r="L1326">
        <f>IF($A1326="","",IF(Wages!$G1329="",0,Wages!$G1329))</f>
        <v/>
      </c>
      <c r="M1326">
        <f>IF($A1326="","",Wages!$J1329)</f>
        <v/>
      </c>
      <c r="N1326">
        <f>IF($A1326="","",Wages!$D1329)</f>
        <v/>
      </c>
      <c r="P1326">
        <f>IF(OR(Shares!$B1329="",Shares!$C1329=""),"",Shares!$C1329)</f>
        <v/>
      </c>
      <c r="Q1326">
        <f>IF($P1326="","",Shares!$B1329)</f>
        <v/>
      </c>
      <c r="R1326">
        <f>IF($P1326="","",IFERROR(INDEX(WageParty,MATCH($Q1326,WageIds,0)),""))</f>
        <v/>
      </c>
      <c r="S1326">
        <f>IF($P1326="","",IFERROR(INDEX($F$6:$F$2005,MATCH($Q1326,WageIds,0)),""))</f>
        <v/>
      </c>
      <c r="T1326">
        <f>IF(OR($P1326="",$S1326="",$S1326="نامعتبر"),"",LEFT($S1326,4)&amp;MID($S1326,6,2)&amp;RIGHT($S1326,2)&amp;"0000"&amp;"|"&amp;"2"&amp;RIGHT("00000"&amp;1321,5))</f>
        <v/>
      </c>
      <c r="U1326">
        <f>IF($T1326="","",COUNTIFS(LdAParty,$P1326,LdAType,1,LdAKey,"&lt;"&amp;$T1326)+COUNTIFS(LdBMember,$P1326,LdBKey,"&lt;"&amp;$T1326)+COUNTIFS(LdCParty,$P1326,LdCKey,"&lt;"&amp;$T1326)+1)</f>
        <v/>
      </c>
      <c r="V1326">
        <f>IF($U1326="","",$P1326&amp;"|"&amp;RIGHT("000000"&amp;$U1326,6))</f>
        <v/>
      </c>
      <c r="W1326">
        <f>IF($T1326="","",COUNTIFS(LdBGroup,$R1326,LdBKey,"&lt;"&amp;$T1326)+1)</f>
        <v/>
      </c>
      <c r="X1326">
        <f>IF($W1326="","",$R1326&amp;"|"&amp;RIGHT("000000"&amp;$W1326,6))</f>
        <v/>
      </c>
      <c r="Y1326">
        <f>IF($P1326="","",IF(Shares!$E1329="",0,Shares!$E1329))</f>
        <v/>
      </c>
      <c r="Z1326">
        <f>IF($P1326="","",Shares!$H1329)</f>
        <v/>
      </c>
      <c r="AE1326">
        <f>IF(OR(Sync!$S1326="",Sync!$P1326=""),"",Sync!$S1326)</f>
        <v/>
      </c>
      <c r="AF1326">
        <f>IF($AE1326="","",IF(ISNUMBER(Sync!$P1326),IF(AND(Sync!$P1326&gt;=10000101,Sync!$P1326&lt;=99991231),INT(Sync!$P1326/10000),""),IFERROR(VALUE(TRIM(LEFT(Sync!$P1326,FIND("/",Sync!$P1326)-1))),"")))</f>
        <v/>
      </c>
      <c r="AG1326">
        <f>IF(OR($AE1326="",$AF1326=""),"",IF(ISNUMBER(Sync!$P1326),INT(MOD(Sync!$P1326,10000)/100),IFERROR(VALUE(TRIM(LEFT(MID(Sync!$P1326,FIND("/",Sync!$P1326)+1,20),FIND("/",MID(Sync!$P1326,FIND("/",Sync!$P1326)+1,20))-1))),"")))</f>
        <v/>
      </c>
      <c r="AH1326">
        <f>IF(OR($AE1326="",$AF1326=""),"",IF(ISNUMBER(Sync!$P1326),MOD(Sync!$P1326,100),IFERROR(VALUE(TRIM(MID(MID(Sync!$P1326,FIND("/",Sync!$P1326)+1,20),FIND("/",MID(Sync!$P1326,FIND("/",Sync!$P1326)+1,20))+1,20))),"")))</f>
        <v/>
      </c>
      <c r="AI1326">
        <f>IF($AE1326="","",IF(OR($AF1326="",$AG1326="",$AH1326="",$AF1326&lt;1300,$AF1326&gt;1500,$AG1326&lt;1,$AG1326&gt;12,$AH1326&lt;1,$AH1326&gt;31),"نامعتبر",RIGHT("0000"&amp;$AF1326,4)&amp;"/"&amp;RIGHT("00"&amp;$AG1326,2)&amp;"/"&amp;RIGHT("00"&amp;$AH1326,2)))</f>
        <v/>
      </c>
      <c r="AJ1326">
        <f>IF($AE1326="","",IF(Sync!$Q1326="","0000",IF(AND(ISNUMBER(Sync!$Q1326),Sync!$Q1326&gt;=0,Sync!$Q1326&lt;1),RIGHT("00"&amp;HOUR(Sync!$Q1326),2)&amp;RIGHT("00"&amp;MINUTE(Sync!$Q1326),2),IFERROR(RIGHT("00"&amp;VALUE(LEFT(Sync!$Q1326,FIND(":",Sync!$Q1326)-1)),2)&amp;RIGHT("00"&amp;VALUE(MID(Sync!$Q1326,FIND(":",Sync!$Q1326)+1,2)),2),"0000"))))</f>
        <v/>
      </c>
      <c r="AK1326">
        <f>IF(OR($AE1326="",$AI1326="",$AI1326="نامعتبر"),"",LEFT($AI1326,4)&amp;MID($AI1326,6,2)&amp;RIGHT($AI1326,2)&amp;$AJ1326&amp;"|"&amp;"3"&amp;RIGHT("00000"&amp;1321,5))</f>
        <v/>
      </c>
      <c r="AL1326">
        <f>IF($AK1326="","",COUNTIFS(LdAParty,$AE1326,LdAType,1,LdAKey,"&lt;"&amp;$AK1326)+COUNTIFS(LdBMember,$AE1326,LdBKey,"&lt;"&amp;$AK1326)+COUNTIFS(LdCParty,$AE1326,LdCKey,"&lt;"&amp;$AK1326)+1)</f>
        <v/>
      </c>
      <c r="AM1326">
        <f>IF($AL1326="","",$AE1326&amp;"|"&amp;RIGHT("000000"&amp;$AL1326,6))</f>
        <v/>
      </c>
      <c r="AN1326">
        <f>IF($AE1326="","",IF(Sync!$W1326="",0,Sync!$W1326))</f>
        <v/>
      </c>
      <c r="AO1326">
        <f>IF($AE1326="","",IF(Sync!$X1326="",0,Sync!$X1326))</f>
        <v/>
      </c>
      <c r="AP1326">
        <f>IF($AE1326="","",Sync!$R1326)</f>
        <v/>
      </c>
      <c r="AQ1326">
        <f>IF($AE1326="","",Sync!$Y1326)</f>
        <v/>
      </c>
    </row>
    <row r="1327">
      <c r="A1327">
        <f>IF(OR(Wages!$B1330="",Wages!$E1330=""),"",Wages!$E1330)</f>
        <v/>
      </c>
      <c r="B1327">
        <f>IF($A1327="","",IF(Wages!$C1330="دستمزد گروهی",2,1))</f>
        <v/>
      </c>
      <c r="C1327">
        <f>IF($A1327="","",IF(ISNUMBER(Wages!$B1330),IF(AND(Wages!$B1330&gt;=10000101,Wages!$B1330&lt;=99991231),INT(Wages!$B1330/10000),""),IFERROR(VALUE(TRIM(LEFT(Wages!$B1330,FIND("/",Wages!$B1330)-1))),"")))</f>
        <v/>
      </c>
      <c r="D1327">
        <f>IF(OR($A1327="",$C1327=""),"",IF(ISNUMBER(Wages!$B1330),INT(MOD(Wages!$B1330,10000)/100),IFERROR(VALUE(TRIM(LEFT(MID(Wages!$B1330,FIND("/",Wages!$B1330)+1,20),FIND("/",MID(Wages!$B1330,FIND("/",Wages!$B1330)+1,20))-1))),"")))</f>
        <v/>
      </c>
      <c r="E1327">
        <f>IF(OR($A1327="",$C1327=""),"",IF(ISNUMBER(Wages!$B1330),MOD(Wages!$B1330,100),IFERROR(VALUE(TRIM(MID(MID(Wages!$B1330,FIND("/",Wages!$B1330)+1,20),FIND("/",MID(Wages!$B1330,FIND("/",Wages!$B1330)+1,20))+1,20))),"")))</f>
        <v/>
      </c>
      <c r="F1327">
        <f>IF($A1327="","",IF(OR($C1327="",$D1327="",$E1327="",$C1327&lt;1300,$C1327&gt;1500,$D1327&lt;1,$D1327&gt;12,$E1327&lt;1,$E1327&gt;31),"نامعتبر",RIGHT("0000"&amp;$C1327,4)&amp;"/"&amp;RIGHT("00"&amp;$D1327,2)&amp;"/"&amp;RIGHT("00"&amp;$E1327,2)))</f>
        <v/>
      </c>
      <c r="G1327">
        <f>IF(OR($A1327="",$F1327="",$F1327="نامعتبر"),"",LEFT($F1327,4)&amp;MID($F1327,6,2)&amp;RIGHT($F1327,2)&amp;"0000"&amp;"|"&amp;"1"&amp;RIGHT("00000"&amp;1322,5))</f>
        <v/>
      </c>
      <c r="H1327">
        <f>IF(OR($B1327&lt;&gt;1,$G1327=""),"",COUNTIFS(LdAParty,$A1327,LdAType,1,LdAKey,"&lt;"&amp;$G1327)+COUNTIFS(LdBMember,$A1327,LdBKey,"&lt;"&amp;$G1327)+COUNTIFS(LdCParty,$A1327,LdCKey,"&lt;"&amp;$G1327)+1)</f>
        <v/>
      </c>
      <c r="I1327">
        <f>IF($H1327="","",$A1327&amp;"|"&amp;RIGHT("000000"&amp;$H1327,6))</f>
        <v/>
      </c>
      <c r="J1327">
        <f>IF(OR($B1327&lt;&gt;2,$G1327=""),"",COUNTIFS(LdAParty,$A1327,LdAType,2,LdAKey,"&lt;"&amp;$G1327)+1)</f>
        <v/>
      </c>
      <c r="K1327">
        <f>IF($J1327="","",$A1327&amp;"|"&amp;RIGHT("000000"&amp;$J1327,6))</f>
        <v/>
      </c>
      <c r="L1327">
        <f>IF($A1327="","",IF(Wages!$G1330="",0,Wages!$G1330))</f>
        <v/>
      </c>
      <c r="M1327">
        <f>IF($A1327="","",Wages!$J1330)</f>
        <v/>
      </c>
      <c r="N1327">
        <f>IF($A1327="","",Wages!$D1330)</f>
        <v/>
      </c>
      <c r="P1327">
        <f>IF(OR(Shares!$B1330="",Shares!$C1330=""),"",Shares!$C1330)</f>
        <v/>
      </c>
      <c r="Q1327">
        <f>IF($P1327="","",Shares!$B1330)</f>
        <v/>
      </c>
      <c r="R1327">
        <f>IF($P1327="","",IFERROR(INDEX(WageParty,MATCH($Q1327,WageIds,0)),""))</f>
        <v/>
      </c>
      <c r="S1327">
        <f>IF($P1327="","",IFERROR(INDEX($F$6:$F$2005,MATCH($Q1327,WageIds,0)),""))</f>
        <v/>
      </c>
      <c r="T1327">
        <f>IF(OR($P1327="",$S1327="",$S1327="نامعتبر"),"",LEFT($S1327,4)&amp;MID($S1327,6,2)&amp;RIGHT($S1327,2)&amp;"0000"&amp;"|"&amp;"2"&amp;RIGHT("00000"&amp;1322,5))</f>
        <v/>
      </c>
      <c r="U1327">
        <f>IF($T1327="","",COUNTIFS(LdAParty,$P1327,LdAType,1,LdAKey,"&lt;"&amp;$T1327)+COUNTIFS(LdBMember,$P1327,LdBKey,"&lt;"&amp;$T1327)+COUNTIFS(LdCParty,$P1327,LdCKey,"&lt;"&amp;$T1327)+1)</f>
        <v/>
      </c>
      <c r="V1327">
        <f>IF($U1327="","",$P1327&amp;"|"&amp;RIGHT("000000"&amp;$U1327,6))</f>
        <v/>
      </c>
      <c r="W1327">
        <f>IF($T1327="","",COUNTIFS(LdBGroup,$R1327,LdBKey,"&lt;"&amp;$T1327)+1)</f>
        <v/>
      </c>
      <c r="X1327">
        <f>IF($W1327="","",$R1327&amp;"|"&amp;RIGHT("000000"&amp;$W1327,6))</f>
        <v/>
      </c>
      <c r="Y1327">
        <f>IF($P1327="","",IF(Shares!$E1330="",0,Shares!$E1330))</f>
        <v/>
      </c>
      <c r="Z1327">
        <f>IF($P1327="","",Shares!$H1330)</f>
        <v/>
      </c>
      <c r="AE1327">
        <f>IF(OR(Sync!$S1327="",Sync!$P1327=""),"",Sync!$S1327)</f>
        <v/>
      </c>
      <c r="AF1327">
        <f>IF($AE1327="","",IF(ISNUMBER(Sync!$P1327),IF(AND(Sync!$P1327&gt;=10000101,Sync!$P1327&lt;=99991231),INT(Sync!$P1327/10000),""),IFERROR(VALUE(TRIM(LEFT(Sync!$P1327,FIND("/",Sync!$P1327)-1))),"")))</f>
        <v/>
      </c>
      <c r="AG1327">
        <f>IF(OR($AE1327="",$AF1327=""),"",IF(ISNUMBER(Sync!$P1327),INT(MOD(Sync!$P1327,10000)/100),IFERROR(VALUE(TRIM(LEFT(MID(Sync!$P1327,FIND("/",Sync!$P1327)+1,20),FIND("/",MID(Sync!$P1327,FIND("/",Sync!$P1327)+1,20))-1))),"")))</f>
        <v/>
      </c>
      <c r="AH1327">
        <f>IF(OR($AE1327="",$AF1327=""),"",IF(ISNUMBER(Sync!$P1327),MOD(Sync!$P1327,100),IFERROR(VALUE(TRIM(MID(MID(Sync!$P1327,FIND("/",Sync!$P1327)+1,20),FIND("/",MID(Sync!$P1327,FIND("/",Sync!$P1327)+1,20))+1,20))),"")))</f>
        <v/>
      </c>
      <c r="AI1327">
        <f>IF($AE1327="","",IF(OR($AF1327="",$AG1327="",$AH1327="",$AF1327&lt;1300,$AF1327&gt;1500,$AG1327&lt;1,$AG1327&gt;12,$AH1327&lt;1,$AH1327&gt;31),"نامعتبر",RIGHT("0000"&amp;$AF1327,4)&amp;"/"&amp;RIGHT("00"&amp;$AG1327,2)&amp;"/"&amp;RIGHT("00"&amp;$AH1327,2)))</f>
        <v/>
      </c>
      <c r="AJ1327">
        <f>IF($AE1327="","",IF(Sync!$Q1327="","0000",IF(AND(ISNUMBER(Sync!$Q1327),Sync!$Q1327&gt;=0,Sync!$Q1327&lt;1),RIGHT("00"&amp;HOUR(Sync!$Q1327),2)&amp;RIGHT("00"&amp;MINUTE(Sync!$Q1327),2),IFERROR(RIGHT("00"&amp;VALUE(LEFT(Sync!$Q1327,FIND(":",Sync!$Q1327)-1)),2)&amp;RIGHT("00"&amp;VALUE(MID(Sync!$Q1327,FIND(":",Sync!$Q1327)+1,2)),2),"0000"))))</f>
        <v/>
      </c>
      <c r="AK1327">
        <f>IF(OR($AE1327="",$AI1327="",$AI1327="نامعتبر"),"",LEFT($AI1327,4)&amp;MID($AI1327,6,2)&amp;RIGHT($AI1327,2)&amp;$AJ1327&amp;"|"&amp;"3"&amp;RIGHT("00000"&amp;1322,5))</f>
        <v/>
      </c>
      <c r="AL1327">
        <f>IF($AK1327="","",COUNTIFS(LdAParty,$AE1327,LdAType,1,LdAKey,"&lt;"&amp;$AK1327)+COUNTIFS(LdBMember,$AE1327,LdBKey,"&lt;"&amp;$AK1327)+COUNTIFS(LdCParty,$AE1327,LdCKey,"&lt;"&amp;$AK1327)+1)</f>
        <v/>
      </c>
      <c r="AM1327">
        <f>IF($AL1327="","",$AE1327&amp;"|"&amp;RIGHT("000000"&amp;$AL1327,6))</f>
        <v/>
      </c>
      <c r="AN1327">
        <f>IF($AE1327="","",IF(Sync!$W1327="",0,Sync!$W1327))</f>
        <v/>
      </c>
      <c r="AO1327">
        <f>IF($AE1327="","",IF(Sync!$X1327="",0,Sync!$X1327))</f>
        <v/>
      </c>
      <c r="AP1327">
        <f>IF($AE1327="","",Sync!$R1327)</f>
        <v/>
      </c>
      <c r="AQ1327">
        <f>IF($AE1327="","",Sync!$Y1327)</f>
        <v/>
      </c>
    </row>
    <row r="1328">
      <c r="A1328">
        <f>IF(OR(Wages!$B1331="",Wages!$E1331=""),"",Wages!$E1331)</f>
        <v/>
      </c>
      <c r="B1328">
        <f>IF($A1328="","",IF(Wages!$C1331="دستمزد گروهی",2,1))</f>
        <v/>
      </c>
      <c r="C1328">
        <f>IF($A1328="","",IF(ISNUMBER(Wages!$B1331),IF(AND(Wages!$B1331&gt;=10000101,Wages!$B1331&lt;=99991231),INT(Wages!$B1331/10000),""),IFERROR(VALUE(TRIM(LEFT(Wages!$B1331,FIND("/",Wages!$B1331)-1))),"")))</f>
        <v/>
      </c>
      <c r="D1328">
        <f>IF(OR($A1328="",$C1328=""),"",IF(ISNUMBER(Wages!$B1331),INT(MOD(Wages!$B1331,10000)/100),IFERROR(VALUE(TRIM(LEFT(MID(Wages!$B1331,FIND("/",Wages!$B1331)+1,20),FIND("/",MID(Wages!$B1331,FIND("/",Wages!$B1331)+1,20))-1))),"")))</f>
        <v/>
      </c>
      <c r="E1328">
        <f>IF(OR($A1328="",$C1328=""),"",IF(ISNUMBER(Wages!$B1331),MOD(Wages!$B1331,100),IFERROR(VALUE(TRIM(MID(MID(Wages!$B1331,FIND("/",Wages!$B1331)+1,20),FIND("/",MID(Wages!$B1331,FIND("/",Wages!$B1331)+1,20))+1,20))),"")))</f>
        <v/>
      </c>
      <c r="F1328">
        <f>IF($A1328="","",IF(OR($C1328="",$D1328="",$E1328="",$C1328&lt;1300,$C1328&gt;1500,$D1328&lt;1,$D1328&gt;12,$E1328&lt;1,$E1328&gt;31),"نامعتبر",RIGHT("0000"&amp;$C1328,4)&amp;"/"&amp;RIGHT("00"&amp;$D1328,2)&amp;"/"&amp;RIGHT("00"&amp;$E1328,2)))</f>
        <v/>
      </c>
      <c r="G1328">
        <f>IF(OR($A1328="",$F1328="",$F1328="نامعتبر"),"",LEFT($F1328,4)&amp;MID($F1328,6,2)&amp;RIGHT($F1328,2)&amp;"0000"&amp;"|"&amp;"1"&amp;RIGHT("00000"&amp;1323,5))</f>
        <v/>
      </c>
      <c r="H1328">
        <f>IF(OR($B1328&lt;&gt;1,$G1328=""),"",COUNTIFS(LdAParty,$A1328,LdAType,1,LdAKey,"&lt;"&amp;$G1328)+COUNTIFS(LdBMember,$A1328,LdBKey,"&lt;"&amp;$G1328)+COUNTIFS(LdCParty,$A1328,LdCKey,"&lt;"&amp;$G1328)+1)</f>
        <v/>
      </c>
      <c r="I1328">
        <f>IF($H1328="","",$A1328&amp;"|"&amp;RIGHT("000000"&amp;$H1328,6))</f>
        <v/>
      </c>
      <c r="J1328">
        <f>IF(OR($B1328&lt;&gt;2,$G1328=""),"",COUNTIFS(LdAParty,$A1328,LdAType,2,LdAKey,"&lt;"&amp;$G1328)+1)</f>
        <v/>
      </c>
      <c r="K1328">
        <f>IF($J1328="","",$A1328&amp;"|"&amp;RIGHT("000000"&amp;$J1328,6))</f>
        <v/>
      </c>
      <c r="L1328">
        <f>IF($A1328="","",IF(Wages!$G1331="",0,Wages!$G1331))</f>
        <v/>
      </c>
      <c r="M1328">
        <f>IF($A1328="","",Wages!$J1331)</f>
        <v/>
      </c>
      <c r="N1328">
        <f>IF($A1328="","",Wages!$D1331)</f>
        <v/>
      </c>
      <c r="P1328">
        <f>IF(OR(Shares!$B1331="",Shares!$C1331=""),"",Shares!$C1331)</f>
        <v/>
      </c>
      <c r="Q1328">
        <f>IF($P1328="","",Shares!$B1331)</f>
        <v/>
      </c>
      <c r="R1328">
        <f>IF($P1328="","",IFERROR(INDEX(WageParty,MATCH($Q1328,WageIds,0)),""))</f>
        <v/>
      </c>
      <c r="S1328">
        <f>IF($P1328="","",IFERROR(INDEX($F$6:$F$2005,MATCH($Q1328,WageIds,0)),""))</f>
        <v/>
      </c>
      <c r="T1328">
        <f>IF(OR($P1328="",$S1328="",$S1328="نامعتبر"),"",LEFT($S1328,4)&amp;MID($S1328,6,2)&amp;RIGHT($S1328,2)&amp;"0000"&amp;"|"&amp;"2"&amp;RIGHT("00000"&amp;1323,5))</f>
        <v/>
      </c>
      <c r="U1328">
        <f>IF($T1328="","",COUNTIFS(LdAParty,$P1328,LdAType,1,LdAKey,"&lt;"&amp;$T1328)+COUNTIFS(LdBMember,$P1328,LdBKey,"&lt;"&amp;$T1328)+COUNTIFS(LdCParty,$P1328,LdCKey,"&lt;"&amp;$T1328)+1)</f>
        <v/>
      </c>
      <c r="V1328">
        <f>IF($U1328="","",$P1328&amp;"|"&amp;RIGHT("000000"&amp;$U1328,6))</f>
        <v/>
      </c>
      <c r="W1328">
        <f>IF($T1328="","",COUNTIFS(LdBGroup,$R1328,LdBKey,"&lt;"&amp;$T1328)+1)</f>
        <v/>
      </c>
      <c r="X1328">
        <f>IF($W1328="","",$R1328&amp;"|"&amp;RIGHT("000000"&amp;$W1328,6))</f>
        <v/>
      </c>
      <c r="Y1328">
        <f>IF($P1328="","",IF(Shares!$E1331="",0,Shares!$E1331))</f>
        <v/>
      </c>
      <c r="Z1328">
        <f>IF($P1328="","",Shares!$H1331)</f>
        <v/>
      </c>
      <c r="AE1328">
        <f>IF(OR(Sync!$S1328="",Sync!$P1328=""),"",Sync!$S1328)</f>
        <v/>
      </c>
      <c r="AF1328">
        <f>IF($AE1328="","",IF(ISNUMBER(Sync!$P1328),IF(AND(Sync!$P1328&gt;=10000101,Sync!$P1328&lt;=99991231),INT(Sync!$P1328/10000),""),IFERROR(VALUE(TRIM(LEFT(Sync!$P1328,FIND("/",Sync!$P1328)-1))),"")))</f>
        <v/>
      </c>
      <c r="AG1328">
        <f>IF(OR($AE1328="",$AF1328=""),"",IF(ISNUMBER(Sync!$P1328),INT(MOD(Sync!$P1328,10000)/100),IFERROR(VALUE(TRIM(LEFT(MID(Sync!$P1328,FIND("/",Sync!$P1328)+1,20),FIND("/",MID(Sync!$P1328,FIND("/",Sync!$P1328)+1,20))-1))),"")))</f>
        <v/>
      </c>
      <c r="AH1328">
        <f>IF(OR($AE1328="",$AF1328=""),"",IF(ISNUMBER(Sync!$P1328),MOD(Sync!$P1328,100),IFERROR(VALUE(TRIM(MID(MID(Sync!$P1328,FIND("/",Sync!$P1328)+1,20),FIND("/",MID(Sync!$P1328,FIND("/",Sync!$P1328)+1,20))+1,20))),"")))</f>
        <v/>
      </c>
      <c r="AI1328">
        <f>IF($AE1328="","",IF(OR($AF1328="",$AG1328="",$AH1328="",$AF1328&lt;1300,$AF1328&gt;1500,$AG1328&lt;1,$AG1328&gt;12,$AH1328&lt;1,$AH1328&gt;31),"نامعتبر",RIGHT("0000"&amp;$AF1328,4)&amp;"/"&amp;RIGHT("00"&amp;$AG1328,2)&amp;"/"&amp;RIGHT("00"&amp;$AH1328,2)))</f>
        <v/>
      </c>
      <c r="AJ1328">
        <f>IF($AE1328="","",IF(Sync!$Q1328="","0000",IF(AND(ISNUMBER(Sync!$Q1328),Sync!$Q1328&gt;=0,Sync!$Q1328&lt;1),RIGHT("00"&amp;HOUR(Sync!$Q1328),2)&amp;RIGHT("00"&amp;MINUTE(Sync!$Q1328),2),IFERROR(RIGHT("00"&amp;VALUE(LEFT(Sync!$Q1328,FIND(":",Sync!$Q1328)-1)),2)&amp;RIGHT("00"&amp;VALUE(MID(Sync!$Q1328,FIND(":",Sync!$Q1328)+1,2)),2),"0000"))))</f>
        <v/>
      </c>
      <c r="AK1328">
        <f>IF(OR($AE1328="",$AI1328="",$AI1328="نامعتبر"),"",LEFT($AI1328,4)&amp;MID($AI1328,6,2)&amp;RIGHT($AI1328,2)&amp;$AJ1328&amp;"|"&amp;"3"&amp;RIGHT("00000"&amp;1323,5))</f>
        <v/>
      </c>
      <c r="AL1328">
        <f>IF($AK1328="","",COUNTIFS(LdAParty,$AE1328,LdAType,1,LdAKey,"&lt;"&amp;$AK1328)+COUNTIFS(LdBMember,$AE1328,LdBKey,"&lt;"&amp;$AK1328)+COUNTIFS(LdCParty,$AE1328,LdCKey,"&lt;"&amp;$AK1328)+1)</f>
        <v/>
      </c>
      <c r="AM1328">
        <f>IF($AL1328="","",$AE1328&amp;"|"&amp;RIGHT("000000"&amp;$AL1328,6))</f>
        <v/>
      </c>
      <c r="AN1328">
        <f>IF($AE1328="","",IF(Sync!$W1328="",0,Sync!$W1328))</f>
        <v/>
      </c>
      <c r="AO1328">
        <f>IF($AE1328="","",IF(Sync!$X1328="",0,Sync!$X1328))</f>
        <v/>
      </c>
      <c r="AP1328">
        <f>IF($AE1328="","",Sync!$R1328)</f>
        <v/>
      </c>
      <c r="AQ1328">
        <f>IF($AE1328="","",Sync!$Y1328)</f>
        <v/>
      </c>
    </row>
    <row r="1329">
      <c r="A1329">
        <f>IF(OR(Wages!$B1332="",Wages!$E1332=""),"",Wages!$E1332)</f>
        <v/>
      </c>
      <c r="B1329">
        <f>IF($A1329="","",IF(Wages!$C1332="دستمزد گروهی",2,1))</f>
        <v/>
      </c>
      <c r="C1329">
        <f>IF($A1329="","",IF(ISNUMBER(Wages!$B1332),IF(AND(Wages!$B1332&gt;=10000101,Wages!$B1332&lt;=99991231),INT(Wages!$B1332/10000),""),IFERROR(VALUE(TRIM(LEFT(Wages!$B1332,FIND("/",Wages!$B1332)-1))),"")))</f>
        <v/>
      </c>
      <c r="D1329">
        <f>IF(OR($A1329="",$C1329=""),"",IF(ISNUMBER(Wages!$B1332),INT(MOD(Wages!$B1332,10000)/100),IFERROR(VALUE(TRIM(LEFT(MID(Wages!$B1332,FIND("/",Wages!$B1332)+1,20),FIND("/",MID(Wages!$B1332,FIND("/",Wages!$B1332)+1,20))-1))),"")))</f>
        <v/>
      </c>
      <c r="E1329">
        <f>IF(OR($A1329="",$C1329=""),"",IF(ISNUMBER(Wages!$B1332),MOD(Wages!$B1332,100),IFERROR(VALUE(TRIM(MID(MID(Wages!$B1332,FIND("/",Wages!$B1332)+1,20),FIND("/",MID(Wages!$B1332,FIND("/",Wages!$B1332)+1,20))+1,20))),"")))</f>
        <v/>
      </c>
      <c r="F1329">
        <f>IF($A1329="","",IF(OR($C1329="",$D1329="",$E1329="",$C1329&lt;1300,$C1329&gt;1500,$D1329&lt;1,$D1329&gt;12,$E1329&lt;1,$E1329&gt;31),"نامعتبر",RIGHT("0000"&amp;$C1329,4)&amp;"/"&amp;RIGHT("00"&amp;$D1329,2)&amp;"/"&amp;RIGHT("00"&amp;$E1329,2)))</f>
        <v/>
      </c>
      <c r="G1329">
        <f>IF(OR($A1329="",$F1329="",$F1329="نامعتبر"),"",LEFT($F1329,4)&amp;MID($F1329,6,2)&amp;RIGHT($F1329,2)&amp;"0000"&amp;"|"&amp;"1"&amp;RIGHT("00000"&amp;1324,5))</f>
        <v/>
      </c>
      <c r="H1329">
        <f>IF(OR($B1329&lt;&gt;1,$G1329=""),"",COUNTIFS(LdAParty,$A1329,LdAType,1,LdAKey,"&lt;"&amp;$G1329)+COUNTIFS(LdBMember,$A1329,LdBKey,"&lt;"&amp;$G1329)+COUNTIFS(LdCParty,$A1329,LdCKey,"&lt;"&amp;$G1329)+1)</f>
        <v/>
      </c>
      <c r="I1329">
        <f>IF($H1329="","",$A1329&amp;"|"&amp;RIGHT("000000"&amp;$H1329,6))</f>
        <v/>
      </c>
      <c r="J1329">
        <f>IF(OR($B1329&lt;&gt;2,$G1329=""),"",COUNTIFS(LdAParty,$A1329,LdAType,2,LdAKey,"&lt;"&amp;$G1329)+1)</f>
        <v/>
      </c>
      <c r="K1329">
        <f>IF($J1329="","",$A1329&amp;"|"&amp;RIGHT("000000"&amp;$J1329,6))</f>
        <v/>
      </c>
      <c r="L1329">
        <f>IF($A1329="","",IF(Wages!$G1332="",0,Wages!$G1332))</f>
        <v/>
      </c>
      <c r="M1329">
        <f>IF($A1329="","",Wages!$J1332)</f>
        <v/>
      </c>
      <c r="N1329">
        <f>IF($A1329="","",Wages!$D1332)</f>
        <v/>
      </c>
      <c r="P1329">
        <f>IF(OR(Shares!$B1332="",Shares!$C1332=""),"",Shares!$C1332)</f>
        <v/>
      </c>
      <c r="Q1329">
        <f>IF($P1329="","",Shares!$B1332)</f>
        <v/>
      </c>
      <c r="R1329">
        <f>IF($P1329="","",IFERROR(INDEX(WageParty,MATCH($Q1329,WageIds,0)),""))</f>
        <v/>
      </c>
      <c r="S1329">
        <f>IF($P1329="","",IFERROR(INDEX($F$6:$F$2005,MATCH($Q1329,WageIds,0)),""))</f>
        <v/>
      </c>
      <c r="T1329">
        <f>IF(OR($P1329="",$S1329="",$S1329="نامعتبر"),"",LEFT($S1329,4)&amp;MID($S1329,6,2)&amp;RIGHT($S1329,2)&amp;"0000"&amp;"|"&amp;"2"&amp;RIGHT("00000"&amp;1324,5))</f>
        <v/>
      </c>
      <c r="U1329">
        <f>IF($T1329="","",COUNTIFS(LdAParty,$P1329,LdAType,1,LdAKey,"&lt;"&amp;$T1329)+COUNTIFS(LdBMember,$P1329,LdBKey,"&lt;"&amp;$T1329)+COUNTIFS(LdCParty,$P1329,LdCKey,"&lt;"&amp;$T1329)+1)</f>
        <v/>
      </c>
      <c r="V1329">
        <f>IF($U1329="","",$P1329&amp;"|"&amp;RIGHT("000000"&amp;$U1329,6))</f>
        <v/>
      </c>
      <c r="W1329">
        <f>IF($T1329="","",COUNTIFS(LdBGroup,$R1329,LdBKey,"&lt;"&amp;$T1329)+1)</f>
        <v/>
      </c>
      <c r="X1329">
        <f>IF($W1329="","",$R1329&amp;"|"&amp;RIGHT("000000"&amp;$W1329,6))</f>
        <v/>
      </c>
      <c r="Y1329">
        <f>IF($P1329="","",IF(Shares!$E1332="",0,Shares!$E1332))</f>
        <v/>
      </c>
      <c r="Z1329">
        <f>IF($P1329="","",Shares!$H1332)</f>
        <v/>
      </c>
      <c r="AE1329">
        <f>IF(OR(Sync!$S1329="",Sync!$P1329=""),"",Sync!$S1329)</f>
        <v/>
      </c>
      <c r="AF1329">
        <f>IF($AE1329="","",IF(ISNUMBER(Sync!$P1329),IF(AND(Sync!$P1329&gt;=10000101,Sync!$P1329&lt;=99991231),INT(Sync!$P1329/10000),""),IFERROR(VALUE(TRIM(LEFT(Sync!$P1329,FIND("/",Sync!$P1329)-1))),"")))</f>
        <v/>
      </c>
      <c r="AG1329">
        <f>IF(OR($AE1329="",$AF1329=""),"",IF(ISNUMBER(Sync!$P1329),INT(MOD(Sync!$P1329,10000)/100),IFERROR(VALUE(TRIM(LEFT(MID(Sync!$P1329,FIND("/",Sync!$P1329)+1,20),FIND("/",MID(Sync!$P1329,FIND("/",Sync!$P1329)+1,20))-1))),"")))</f>
        <v/>
      </c>
      <c r="AH1329">
        <f>IF(OR($AE1329="",$AF1329=""),"",IF(ISNUMBER(Sync!$P1329),MOD(Sync!$P1329,100),IFERROR(VALUE(TRIM(MID(MID(Sync!$P1329,FIND("/",Sync!$P1329)+1,20),FIND("/",MID(Sync!$P1329,FIND("/",Sync!$P1329)+1,20))+1,20))),"")))</f>
        <v/>
      </c>
      <c r="AI1329">
        <f>IF($AE1329="","",IF(OR($AF1329="",$AG1329="",$AH1329="",$AF1329&lt;1300,$AF1329&gt;1500,$AG1329&lt;1,$AG1329&gt;12,$AH1329&lt;1,$AH1329&gt;31),"نامعتبر",RIGHT("0000"&amp;$AF1329,4)&amp;"/"&amp;RIGHT("00"&amp;$AG1329,2)&amp;"/"&amp;RIGHT("00"&amp;$AH1329,2)))</f>
        <v/>
      </c>
      <c r="AJ1329">
        <f>IF($AE1329="","",IF(Sync!$Q1329="","0000",IF(AND(ISNUMBER(Sync!$Q1329),Sync!$Q1329&gt;=0,Sync!$Q1329&lt;1),RIGHT("00"&amp;HOUR(Sync!$Q1329),2)&amp;RIGHT("00"&amp;MINUTE(Sync!$Q1329),2),IFERROR(RIGHT("00"&amp;VALUE(LEFT(Sync!$Q1329,FIND(":",Sync!$Q1329)-1)),2)&amp;RIGHT("00"&amp;VALUE(MID(Sync!$Q1329,FIND(":",Sync!$Q1329)+1,2)),2),"0000"))))</f>
        <v/>
      </c>
      <c r="AK1329">
        <f>IF(OR($AE1329="",$AI1329="",$AI1329="نامعتبر"),"",LEFT($AI1329,4)&amp;MID($AI1329,6,2)&amp;RIGHT($AI1329,2)&amp;$AJ1329&amp;"|"&amp;"3"&amp;RIGHT("00000"&amp;1324,5))</f>
        <v/>
      </c>
      <c r="AL1329">
        <f>IF($AK1329="","",COUNTIFS(LdAParty,$AE1329,LdAType,1,LdAKey,"&lt;"&amp;$AK1329)+COUNTIFS(LdBMember,$AE1329,LdBKey,"&lt;"&amp;$AK1329)+COUNTIFS(LdCParty,$AE1329,LdCKey,"&lt;"&amp;$AK1329)+1)</f>
        <v/>
      </c>
      <c r="AM1329">
        <f>IF($AL1329="","",$AE1329&amp;"|"&amp;RIGHT("000000"&amp;$AL1329,6))</f>
        <v/>
      </c>
      <c r="AN1329">
        <f>IF($AE1329="","",IF(Sync!$W1329="",0,Sync!$W1329))</f>
        <v/>
      </c>
      <c r="AO1329">
        <f>IF($AE1329="","",IF(Sync!$X1329="",0,Sync!$X1329))</f>
        <v/>
      </c>
      <c r="AP1329">
        <f>IF($AE1329="","",Sync!$R1329)</f>
        <v/>
      </c>
      <c r="AQ1329">
        <f>IF($AE1329="","",Sync!$Y1329)</f>
        <v/>
      </c>
    </row>
    <row r="1330">
      <c r="A1330">
        <f>IF(OR(Wages!$B1333="",Wages!$E1333=""),"",Wages!$E1333)</f>
        <v/>
      </c>
      <c r="B1330">
        <f>IF($A1330="","",IF(Wages!$C1333="دستمزد گروهی",2,1))</f>
        <v/>
      </c>
      <c r="C1330">
        <f>IF($A1330="","",IF(ISNUMBER(Wages!$B1333),IF(AND(Wages!$B1333&gt;=10000101,Wages!$B1333&lt;=99991231),INT(Wages!$B1333/10000),""),IFERROR(VALUE(TRIM(LEFT(Wages!$B1333,FIND("/",Wages!$B1333)-1))),"")))</f>
        <v/>
      </c>
      <c r="D1330">
        <f>IF(OR($A1330="",$C1330=""),"",IF(ISNUMBER(Wages!$B1333),INT(MOD(Wages!$B1333,10000)/100),IFERROR(VALUE(TRIM(LEFT(MID(Wages!$B1333,FIND("/",Wages!$B1333)+1,20),FIND("/",MID(Wages!$B1333,FIND("/",Wages!$B1333)+1,20))-1))),"")))</f>
        <v/>
      </c>
      <c r="E1330">
        <f>IF(OR($A1330="",$C1330=""),"",IF(ISNUMBER(Wages!$B1333),MOD(Wages!$B1333,100),IFERROR(VALUE(TRIM(MID(MID(Wages!$B1333,FIND("/",Wages!$B1333)+1,20),FIND("/",MID(Wages!$B1333,FIND("/",Wages!$B1333)+1,20))+1,20))),"")))</f>
        <v/>
      </c>
      <c r="F1330">
        <f>IF($A1330="","",IF(OR($C1330="",$D1330="",$E1330="",$C1330&lt;1300,$C1330&gt;1500,$D1330&lt;1,$D1330&gt;12,$E1330&lt;1,$E1330&gt;31),"نامعتبر",RIGHT("0000"&amp;$C1330,4)&amp;"/"&amp;RIGHT("00"&amp;$D1330,2)&amp;"/"&amp;RIGHT("00"&amp;$E1330,2)))</f>
        <v/>
      </c>
      <c r="G1330">
        <f>IF(OR($A1330="",$F1330="",$F1330="نامعتبر"),"",LEFT($F1330,4)&amp;MID($F1330,6,2)&amp;RIGHT($F1330,2)&amp;"0000"&amp;"|"&amp;"1"&amp;RIGHT("00000"&amp;1325,5))</f>
        <v/>
      </c>
      <c r="H1330">
        <f>IF(OR($B1330&lt;&gt;1,$G1330=""),"",COUNTIFS(LdAParty,$A1330,LdAType,1,LdAKey,"&lt;"&amp;$G1330)+COUNTIFS(LdBMember,$A1330,LdBKey,"&lt;"&amp;$G1330)+COUNTIFS(LdCParty,$A1330,LdCKey,"&lt;"&amp;$G1330)+1)</f>
        <v/>
      </c>
      <c r="I1330">
        <f>IF($H1330="","",$A1330&amp;"|"&amp;RIGHT("000000"&amp;$H1330,6))</f>
        <v/>
      </c>
      <c r="J1330">
        <f>IF(OR($B1330&lt;&gt;2,$G1330=""),"",COUNTIFS(LdAParty,$A1330,LdAType,2,LdAKey,"&lt;"&amp;$G1330)+1)</f>
        <v/>
      </c>
      <c r="K1330">
        <f>IF($J1330="","",$A1330&amp;"|"&amp;RIGHT("000000"&amp;$J1330,6))</f>
        <v/>
      </c>
      <c r="L1330">
        <f>IF($A1330="","",IF(Wages!$G1333="",0,Wages!$G1333))</f>
        <v/>
      </c>
      <c r="M1330">
        <f>IF($A1330="","",Wages!$J1333)</f>
        <v/>
      </c>
      <c r="N1330">
        <f>IF($A1330="","",Wages!$D1333)</f>
        <v/>
      </c>
      <c r="P1330">
        <f>IF(OR(Shares!$B1333="",Shares!$C1333=""),"",Shares!$C1333)</f>
        <v/>
      </c>
      <c r="Q1330">
        <f>IF($P1330="","",Shares!$B1333)</f>
        <v/>
      </c>
      <c r="R1330">
        <f>IF($P1330="","",IFERROR(INDEX(WageParty,MATCH($Q1330,WageIds,0)),""))</f>
        <v/>
      </c>
      <c r="S1330">
        <f>IF($P1330="","",IFERROR(INDEX($F$6:$F$2005,MATCH($Q1330,WageIds,0)),""))</f>
        <v/>
      </c>
      <c r="T1330">
        <f>IF(OR($P1330="",$S1330="",$S1330="نامعتبر"),"",LEFT($S1330,4)&amp;MID($S1330,6,2)&amp;RIGHT($S1330,2)&amp;"0000"&amp;"|"&amp;"2"&amp;RIGHT("00000"&amp;1325,5))</f>
        <v/>
      </c>
      <c r="U1330">
        <f>IF($T1330="","",COUNTIFS(LdAParty,$P1330,LdAType,1,LdAKey,"&lt;"&amp;$T1330)+COUNTIFS(LdBMember,$P1330,LdBKey,"&lt;"&amp;$T1330)+COUNTIFS(LdCParty,$P1330,LdCKey,"&lt;"&amp;$T1330)+1)</f>
        <v/>
      </c>
      <c r="V1330">
        <f>IF($U1330="","",$P1330&amp;"|"&amp;RIGHT("000000"&amp;$U1330,6))</f>
        <v/>
      </c>
      <c r="W1330">
        <f>IF($T1330="","",COUNTIFS(LdBGroup,$R1330,LdBKey,"&lt;"&amp;$T1330)+1)</f>
        <v/>
      </c>
      <c r="X1330">
        <f>IF($W1330="","",$R1330&amp;"|"&amp;RIGHT("000000"&amp;$W1330,6))</f>
        <v/>
      </c>
      <c r="Y1330">
        <f>IF($P1330="","",IF(Shares!$E1333="",0,Shares!$E1333))</f>
        <v/>
      </c>
      <c r="Z1330">
        <f>IF($P1330="","",Shares!$H1333)</f>
        <v/>
      </c>
      <c r="AE1330">
        <f>IF(OR(Sync!$S1330="",Sync!$P1330=""),"",Sync!$S1330)</f>
        <v/>
      </c>
      <c r="AF1330">
        <f>IF($AE1330="","",IF(ISNUMBER(Sync!$P1330),IF(AND(Sync!$P1330&gt;=10000101,Sync!$P1330&lt;=99991231),INT(Sync!$P1330/10000),""),IFERROR(VALUE(TRIM(LEFT(Sync!$P1330,FIND("/",Sync!$P1330)-1))),"")))</f>
        <v/>
      </c>
      <c r="AG1330">
        <f>IF(OR($AE1330="",$AF1330=""),"",IF(ISNUMBER(Sync!$P1330),INT(MOD(Sync!$P1330,10000)/100),IFERROR(VALUE(TRIM(LEFT(MID(Sync!$P1330,FIND("/",Sync!$P1330)+1,20),FIND("/",MID(Sync!$P1330,FIND("/",Sync!$P1330)+1,20))-1))),"")))</f>
        <v/>
      </c>
      <c r="AH1330">
        <f>IF(OR($AE1330="",$AF1330=""),"",IF(ISNUMBER(Sync!$P1330),MOD(Sync!$P1330,100),IFERROR(VALUE(TRIM(MID(MID(Sync!$P1330,FIND("/",Sync!$P1330)+1,20),FIND("/",MID(Sync!$P1330,FIND("/",Sync!$P1330)+1,20))+1,20))),"")))</f>
        <v/>
      </c>
      <c r="AI1330">
        <f>IF($AE1330="","",IF(OR($AF1330="",$AG1330="",$AH1330="",$AF1330&lt;1300,$AF1330&gt;1500,$AG1330&lt;1,$AG1330&gt;12,$AH1330&lt;1,$AH1330&gt;31),"نامعتبر",RIGHT("0000"&amp;$AF1330,4)&amp;"/"&amp;RIGHT("00"&amp;$AG1330,2)&amp;"/"&amp;RIGHT("00"&amp;$AH1330,2)))</f>
        <v/>
      </c>
      <c r="AJ1330">
        <f>IF($AE1330="","",IF(Sync!$Q1330="","0000",IF(AND(ISNUMBER(Sync!$Q1330),Sync!$Q1330&gt;=0,Sync!$Q1330&lt;1),RIGHT("00"&amp;HOUR(Sync!$Q1330),2)&amp;RIGHT("00"&amp;MINUTE(Sync!$Q1330),2),IFERROR(RIGHT("00"&amp;VALUE(LEFT(Sync!$Q1330,FIND(":",Sync!$Q1330)-1)),2)&amp;RIGHT("00"&amp;VALUE(MID(Sync!$Q1330,FIND(":",Sync!$Q1330)+1,2)),2),"0000"))))</f>
        <v/>
      </c>
      <c r="AK1330">
        <f>IF(OR($AE1330="",$AI1330="",$AI1330="نامعتبر"),"",LEFT($AI1330,4)&amp;MID($AI1330,6,2)&amp;RIGHT($AI1330,2)&amp;$AJ1330&amp;"|"&amp;"3"&amp;RIGHT("00000"&amp;1325,5))</f>
        <v/>
      </c>
      <c r="AL1330">
        <f>IF($AK1330="","",COUNTIFS(LdAParty,$AE1330,LdAType,1,LdAKey,"&lt;"&amp;$AK1330)+COUNTIFS(LdBMember,$AE1330,LdBKey,"&lt;"&amp;$AK1330)+COUNTIFS(LdCParty,$AE1330,LdCKey,"&lt;"&amp;$AK1330)+1)</f>
        <v/>
      </c>
      <c r="AM1330">
        <f>IF($AL1330="","",$AE1330&amp;"|"&amp;RIGHT("000000"&amp;$AL1330,6))</f>
        <v/>
      </c>
      <c r="AN1330">
        <f>IF($AE1330="","",IF(Sync!$W1330="",0,Sync!$W1330))</f>
        <v/>
      </c>
      <c r="AO1330">
        <f>IF($AE1330="","",IF(Sync!$X1330="",0,Sync!$X1330))</f>
        <v/>
      </c>
      <c r="AP1330">
        <f>IF($AE1330="","",Sync!$R1330)</f>
        <v/>
      </c>
      <c r="AQ1330">
        <f>IF($AE1330="","",Sync!$Y1330)</f>
        <v/>
      </c>
    </row>
    <row r="1331">
      <c r="A1331">
        <f>IF(OR(Wages!$B1334="",Wages!$E1334=""),"",Wages!$E1334)</f>
        <v/>
      </c>
      <c r="B1331">
        <f>IF($A1331="","",IF(Wages!$C1334="دستمزد گروهی",2,1))</f>
        <v/>
      </c>
      <c r="C1331">
        <f>IF($A1331="","",IF(ISNUMBER(Wages!$B1334),IF(AND(Wages!$B1334&gt;=10000101,Wages!$B1334&lt;=99991231),INT(Wages!$B1334/10000),""),IFERROR(VALUE(TRIM(LEFT(Wages!$B1334,FIND("/",Wages!$B1334)-1))),"")))</f>
        <v/>
      </c>
      <c r="D1331">
        <f>IF(OR($A1331="",$C1331=""),"",IF(ISNUMBER(Wages!$B1334),INT(MOD(Wages!$B1334,10000)/100),IFERROR(VALUE(TRIM(LEFT(MID(Wages!$B1334,FIND("/",Wages!$B1334)+1,20),FIND("/",MID(Wages!$B1334,FIND("/",Wages!$B1334)+1,20))-1))),"")))</f>
        <v/>
      </c>
      <c r="E1331">
        <f>IF(OR($A1331="",$C1331=""),"",IF(ISNUMBER(Wages!$B1334),MOD(Wages!$B1334,100),IFERROR(VALUE(TRIM(MID(MID(Wages!$B1334,FIND("/",Wages!$B1334)+1,20),FIND("/",MID(Wages!$B1334,FIND("/",Wages!$B1334)+1,20))+1,20))),"")))</f>
        <v/>
      </c>
      <c r="F1331">
        <f>IF($A1331="","",IF(OR($C1331="",$D1331="",$E1331="",$C1331&lt;1300,$C1331&gt;1500,$D1331&lt;1,$D1331&gt;12,$E1331&lt;1,$E1331&gt;31),"نامعتبر",RIGHT("0000"&amp;$C1331,4)&amp;"/"&amp;RIGHT("00"&amp;$D1331,2)&amp;"/"&amp;RIGHT("00"&amp;$E1331,2)))</f>
        <v/>
      </c>
      <c r="G1331">
        <f>IF(OR($A1331="",$F1331="",$F1331="نامعتبر"),"",LEFT($F1331,4)&amp;MID($F1331,6,2)&amp;RIGHT($F1331,2)&amp;"0000"&amp;"|"&amp;"1"&amp;RIGHT("00000"&amp;1326,5))</f>
        <v/>
      </c>
      <c r="H1331">
        <f>IF(OR($B1331&lt;&gt;1,$G1331=""),"",COUNTIFS(LdAParty,$A1331,LdAType,1,LdAKey,"&lt;"&amp;$G1331)+COUNTIFS(LdBMember,$A1331,LdBKey,"&lt;"&amp;$G1331)+COUNTIFS(LdCParty,$A1331,LdCKey,"&lt;"&amp;$G1331)+1)</f>
        <v/>
      </c>
      <c r="I1331">
        <f>IF($H1331="","",$A1331&amp;"|"&amp;RIGHT("000000"&amp;$H1331,6))</f>
        <v/>
      </c>
      <c r="J1331">
        <f>IF(OR($B1331&lt;&gt;2,$G1331=""),"",COUNTIFS(LdAParty,$A1331,LdAType,2,LdAKey,"&lt;"&amp;$G1331)+1)</f>
        <v/>
      </c>
      <c r="K1331">
        <f>IF($J1331="","",$A1331&amp;"|"&amp;RIGHT("000000"&amp;$J1331,6))</f>
        <v/>
      </c>
      <c r="L1331">
        <f>IF($A1331="","",IF(Wages!$G1334="",0,Wages!$G1334))</f>
        <v/>
      </c>
      <c r="M1331">
        <f>IF($A1331="","",Wages!$J1334)</f>
        <v/>
      </c>
      <c r="N1331">
        <f>IF($A1331="","",Wages!$D1334)</f>
        <v/>
      </c>
      <c r="P1331">
        <f>IF(OR(Shares!$B1334="",Shares!$C1334=""),"",Shares!$C1334)</f>
        <v/>
      </c>
      <c r="Q1331">
        <f>IF($P1331="","",Shares!$B1334)</f>
        <v/>
      </c>
      <c r="R1331">
        <f>IF($P1331="","",IFERROR(INDEX(WageParty,MATCH($Q1331,WageIds,0)),""))</f>
        <v/>
      </c>
      <c r="S1331">
        <f>IF($P1331="","",IFERROR(INDEX($F$6:$F$2005,MATCH($Q1331,WageIds,0)),""))</f>
        <v/>
      </c>
      <c r="T1331">
        <f>IF(OR($P1331="",$S1331="",$S1331="نامعتبر"),"",LEFT($S1331,4)&amp;MID($S1331,6,2)&amp;RIGHT($S1331,2)&amp;"0000"&amp;"|"&amp;"2"&amp;RIGHT("00000"&amp;1326,5))</f>
        <v/>
      </c>
      <c r="U1331">
        <f>IF($T1331="","",COUNTIFS(LdAParty,$P1331,LdAType,1,LdAKey,"&lt;"&amp;$T1331)+COUNTIFS(LdBMember,$P1331,LdBKey,"&lt;"&amp;$T1331)+COUNTIFS(LdCParty,$P1331,LdCKey,"&lt;"&amp;$T1331)+1)</f>
        <v/>
      </c>
      <c r="V1331">
        <f>IF($U1331="","",$P1331&amp;"|"&amp;RIGHT("000000"&amp;$U1331,6))</f>
        <v/>
      </c>
      <c r="W1331">
        <f>IF($T1331="","",COUNTIFS(LdBGroup,$R1331,LdBKey,"&lt;"&amp;$T1331)+1)</f>
        <v/>
      </c>
      <c r="X1331">
        <f>IF($W1331="","",$R1331&amp;"|"&amp;RIGHT("000000"&amp;$W1331,6))</f>
        <v/>
      </c>
      <c r="Y1331">
        <f>IF($P1331="","",IF(Shares!$E1334="",0,Shares!$E1334))</f>
        <v/>
      </c>
      <c r="Z1331">
        <f>IF($P1331="","",Shares!$H1334)</f>
        <v/>
      </c>
      <c r="AE1331">
        <f>IF(OR(Sync!$S1331="",Sync!$P1331=""),"",Sync!$S1331)</f>
        <v/>
      </c>
      <c r="AF1331">
        <f>IF($AE1331="","",IF(ISNUMBER(Sync!$P1331),IF(AND(Sync!$P1331&gt;=10000101,Sync!$P1331&lt;=99991231),INT(Sync!$P1331/10000),""),IFERROR(VALUE(TRIM(LEFT(Sync!$P1331,FIND("/",Sync!$P1331)-1))),"")))</f>
        <v/>
      </c>
      <c r="AG1331">
        <f>IF(OR($AE1331="",$AF1331=""),"",IF(ISNUMBER(Sync!$P1331),INT(MOD(Sync!$P1331,10000)/100),IFERROR(VALUE(TRIM(LEFT(MID(Sync!$P1331,FIND("/",Sync!$P1331)+1,20),FIND("/",MID(Sync!$P1331,FIND("/",Sync!$P1331)+1,20))-1))),"")))</f>
        <v/>
      </c>
      <c r="AH1331">
        <f>IF(OR($AE1331="",$AF1331=""),"",IF(ISNUMBER(Sync!$P1331),MOD(Sync!$P1331,100),IFERROR(VALUE(TRIM(MID(MID(Sync!$P1331,FIND("/",Sync!$P1331)+1,20),FIND("/",MID(Sync!$P1331,FIND("/",Sync!$P1331)+1,20))+1,20))),"")))</f>
        <v/>
      </c>
      <c r="AI1331">
        <f>IF($AE1331="","",IF(OR($AF1331="",$AG1331="",$AH1331="",$AF1331&lt;1300,$AF1331&gt;1500,$AG1331&lt;1,$AG1331&gt;12,$AH1331&lt;1,$AH1331&gt;31),"نامعتبر",RIGHT("0000"&amp;$AF1331,4)&amp;"/"&amp;RIGHT("00"&amp;$AG1331,2)&amp;"/"&amp;RIGHT("00"&amp;$AH1331,2)))</f>
        <v/>
      </c>
      <c r="AJ1331">
        <f>IF($AE1331="","",IF(Sync!$Q1331="","0000",IF(AND(ISNUMBER(Sync!$Q1331),Sync!$Q1331&gt;=0,Sync!$Q1331&lt;1),RIGHT("00"&amp;HOUR(Sync!$Q1331),2)&amp;RIGHT("00"&amp;MINUTE(Sync!$Q1331),2),IFERROR(RIGHT("00"&amp;VALUE(LEFT(Sync!$Q1331,FIND(":",Sync!$Q1331)-1)),2)&amp;RIGHT("00"&amp;VALUE(MID(Sync!$Q1331,FIND(":",Sync!$Q1331)+1,2)),2),"0000"))))</f>
        <v/>
      </c>
      <c r="AK1331">
        <f>IF(OR($AE1331="",$AI1331="",$AI1331="نامعتبر"),"",LEFT($AI1331,4)&amp;MID($AI1331,6,2)&amp;RIGHT($AI1331,2)&amp;$AJ1331&amp;"|"&amp;"3"&amp;RIGHT("00000"&amp;1326,5))</f>
        <v/>
      </c>
      <c r="AL1331">
        <f>IF($AK1331="","",COUNTIFS(LdAParty,$AE1331,LdAType,1,LdAKey,"&lt;"&amp;$AK1331)+COUNTIFS(LdBMember,$AE1331,LdBKey,"&lt;"&amp;$AK1331)+COUNTIFS(LdCParty,$AE1331,LdCKey,"&lt;"&amp;$AK1331)+1)</f>
        <v/>
      </c>
      <c r="AM1331">
        <f>IF($AL1331="","",$AE1331&amp;"|"&amp;RIGHT("000000"&amp;$AL1331,6))</f>
        <v/>
      </c>
      <c r="AN1331">
        <f>IF($AE1331="","",IF(Sync!$W1331="",0,Sync!$W1331))</f>
        <v/>
      </c>
      <c r="AO1331">
        <f>IF($AE1331="","",IF(Sync!$X1331="",0,Sync!$X1331))</f>
        <v/>
      </c>
      <c r="AP1331">
        <f>IF($AE1331="","",Sync!$R1331)</f>
        <v/>
      </c>
      <c r="AQ1331">
        <f>IF($AE1331="","",Sync!$Y1331)</f>
        <v/>
      </c>
    </row>
    <row r="1332">
      <c r="A1332">
        <f>IF(OR(Wages!$B1335="",Wages!$E1335=""),"",Wages!$E1335)</f>
        <v/>
      </c>
      <c r="B1332">
        <f>IF($A1332="","",IF(Wages!$C1335="دستمزد گروهی",2,1))</f>
        <v/>
      </c>
      <c r="C1332">
        <f>IF($A1332="","",IF(ISNUMBER(Wages!$B1335),IF(AND(Wages!$B1335&gt;=10000101,Wages!$B1335&lt;=99991231),INT(Wages!$B1335/10000),""),IFERROR(VALUE(TRIM(LEFT(Wages!$B1335,FIND("/",Wages!$B1335)-1))),"")))</f>
        <v/>
      </c>
      <c r="D1332">
        <f>IF(OR($A1332="",$C1332=""),"",IF(ISNUMBER(Wages!$B1335),INT(MOD(Wages!$B1335,10000)/100),IFERROR(VALUE(TRIM(LEFT(MID(Wages!$B1335,FIND("/",Wages!$B1335)+1,20),FIND("/",MID(Wages!$B1335,FIND("/",Wages!$B1335)+1,20))-1))),"")))</f>
        <v/>
      </c>
      <c r="E1332">
        <f>IF(OR($A1332="",$C1332=""),"",IF(ISNUMBER(Wages!$B1335),MOD(Wages!$B1335,100),IFERROR(VALUE(TRIM(MID(MID(Wages!$B1335,FIND("/",Wages!$B1335)+1,20),FIND("/",MID(Wages!$B1335,FIND("/",Wages!$B1335)+1,20))+1,20))),"")))</f>
        <v/>
      </c>
      <c r="F1332">
        <f>IF($A1332="","",IF(OR($C1332="",$D1332="",$E1332="",$C1332&lt;1300,$C1332&gt;1500,$D1332&lt;1,$D1332&gt;12,$E1332&lt;1,$E1332&gt;31),"نامعتبر",RIGHT("0000"&amp;$C1332,4)&amp;"/"&amp;RIGHT("00"&amp;$D1332,2)&amp;"/"&amp;RIGHT("00"&amp;$E1332,2)))</f>
        <v/>
      </c>
      <c r="G1332">
        <f>IF(OR($A1332="",$F1332="",$F1332="نامعتبر"),"",LEFT($F1332,4)&amp;MID($F1332,6,2)&amp;RIGHT($F1332,2)&amp;"0000"&amp;"|"&amp;"1"&amp;RIGHT("00000"&amp;1327,5))</f>
        <v/>
      </c>
      <c r="H1332">
        <f>IF(OR($B1332&lt;&gt;1,$G1332=""),"",COUNTIFS(LdAParty,$A1332,LdAType,1,LdAKey,"&lt;"&amp;$G1332)+COUNTIFS(LdBMember,$A1332,LdBKey,"&lt;"&amp;$G1332)+COUNTIFS(LdCParty,$A1332,LdCKey,"&lt;"&amp;$G1332)+1)</f>
        <v/>
      </c>
      <c r="I1332">
        <f>IF($H1332="","",$A1332&amp;"|"&amp;RIGHT("000000"&amp;$H1332,6))</f>
        <v/>
      </c>
      <c r="J1332">
        <f>IF(OR($B1332&lt;&gt;2,$G1332=""),"",COUNTIFS(LdAParty,$A1332,LdAType,2,LdAKey,"&lt;"&amp;$G1332)+1)</f>
        <v/>
      </c>
      <c r="K1332">
        <f>IF($J1332="","",$A1332&amp;"|"&amp;RIGHT("000000"&amp;$J1332,6))</f>
        <v/>
      </c>
      <c r="L1332">
        <f>IF($A1332="","",IF(Wages!$G1335="",0,Wages!$G1335))</f>
        <v/>
      </c>
      <c r="M1332">
        <f>IF($A1332="","",Wages!$J1335)</f>
        <v/>
      </c>
      <c r="N1332">
        <f>IF($A1332="","",Wages!$D1335)</f>
        <v/>
      </c>
      <c r="P1332">
        <f>IF(OR(Shares!$B1335="",Shares!$C1335=""),"",Shares!$C1335)</f>
        <v/>
      </c>
      <c r="Q1332">
        <f>IF($P1332="","",Shares!$B1335)</f>
        <v/>
      </c>
      <c r="R1332">
        <f>IF($P1332="","",IFERROR(INDEX(WageParty,MATCH($Q1332,WageIds,0)),""))</f>
        <v/>
      </c>
      <c r="S1332">
        <f>IF($P1332="","",IFERROR(INDEX($F$6:$F$2005,MATCH($Q1332,WageIds,0)),""))</f>
        <v/>
      </c>
      <c r="T1332">
        <f>IF(OR($P1332="",$S1332="",$S1332="نامعتبر"),"",LEFT($S1332,4)&amp;MID($S1332,6,2)&amp;RIGHT($S1332,2)&amp;"0000"&amp;"|"&amp;"2"&amp;RIGHT("00000"&amp;1327,5))</f>
        <v/>
      </c>
      <c r="U1332">
        <f>IF($T1332="","",COUNTIFS(LdAParty,$P1332,LdAType,1,LdAKey,"&lt;"&amp;$T1332)+COUNTIFS(LdBMember,$P1332,LdBKey,"&lt;"&amp;$T1332)+COUNTIFS(LdCParty,$P1332,LdCKey,"&lt;"&amp;$T1332)+1)</f>
        <v/>
      </c>
      <c r="V1332">
        <f>IF($U1332="","",$P1332&amp;"|"&amp;RIGHT("000000"&amp;$U1332,6))</f>
        <v/>
      </c>
      <c r="W1332">
        <f>IF($T1332="","",COUNTIFS(LdBGroup,$R1332,LdBKey,"&lt;"&amp;$T1332)+1)</f>
        <v/>
      </c>
      <c r="X1332">
        <f>IF($W1332="","",$R1332&amp;"|"&amp;RIGHT("000000"&amp;$W1332,6))</f>
        <v/>
      </c>
      <c r="Y1332">
        <f>IF($P1332="","",IF(Shares!$E1335="",0,Shares!$E1335))</f>
        <v/>
      </c>
      <c r="Z1332">
        <f>IF($P1332="","",Shares!$H1335)</f>
        <v/>
      </c>
      <c r="AE1332">
        <f>IF(OR(Sync!$S1332="",Sync!$P1332=""),"",Sync!$S1332)</f>
        <v/>
      </c>
      <c r="AF1332">
        <f>IF($AE1332="","",IF(ISNUMBER(Sync!$P1332),IF(AND(Sync!$P1332&gt;=10000101,Sync!$P1332&lt;=99991231),INT(Sync!$P1332/10000),""),IFERROR(VALUE(TRIM(LEFT(Sync!$P1332,FIND("/",Sync!$P1332)-1))),"")))</f>
        <v/>
      </c>
      <c r="AG1332">
        <f>IF(OR($AE1332="",$AF1332=""),"",IF(ISNUMBER(Sync!$P1332),INT(MOD(Sync!$P1332,10000)/100),IFERROR(VALUE(TRIM(LEFT(MID(Sync!$P1332,FIND("/",Sync!$P1332)+1,20),FIND("/",MID(Sync!$P1332,FIND("/",Sync!$P1332)+1,20))-1))),"")))</f>
        <v/>
      </c>
      <c r="AH1332">
        <f>IF(OR($AE1332="",$AF1332=""),"",IF(ISNUMBER(Sync!$P1332),MOD(Sync!$P1332,100),IFERROR(VALUE(TRIM(MID(MID(Sync!$P1332,FIND("/",Sync!$P1332)+1,20),FIND("/",MID(Sync!$P1332,FIND("/",Sync!$P1332)+1,20))+1,20))),"")))</f>
        <v/>
      </c>
      <c r="AI1332">
        <f>IF($AE1332="","",IF(OR($AF1332="",$AG1332="",$AH1332="",$AF1332&lt;1300,$AF1332&gt;1500,$AG1332&lt;1,$AG1332&gt;12,$AH1332&lt;1,$AH1332&gt;31),"نامعتبر",RIGHT("0000"&amp;$AF1332,4)&amp;"/"&amp;RIGHT("00"&amp;$AG1332,2)&amp;"/"&amp;RIGHT("00"&amp;$AH1332,2)))</f>
        <v/>
      </c>
      <c r="AJ1332">
        <f>IF($AE1332="","",IF(Sync!$Q1332="","0000",IF(AND(ISNUMBER(Sync!$Q1332),Sync!$Q1332&gt;=0,Sync!$Q1332&lt;1),RIGHT("00"&amp;HOUR(Sync!$Q1332),2)&amp;RIGHT("00"&amp;MINUTE(Sync!$Q1332),2),IFERROR(RIGHT("00"&amp;VALUE(LEFT(Sync!$Q1332,FIND(":",Sync!$Q1332)-1)),2)&amp;RIGHT("00"&amp;VALUE(MID(Sync!$Q1332,FIND(":",Sync!$Q1332)+1,2)),2),"0000"))))</f>
        <v/>
      </c>
      <c r="AK1332">
        <f>IF(OR($AE1332="",$AI1332="",$AI1332="نامعتبر"),"",LEFT($AI1332,4)&amp;MID($AI1332,6,2)&amp;RIGHT($AI1332,2)&amp;$AJ1332&amp;"|"&amp;"3"&amp;RIGHT("00000"&amp;1327,5))</f>
        <v/>
      </c>
      <c r="AL1332">
        <f>IF($AK1332="","",COUNTIFS(LdAParty,$AE1332,LdAType,1,LdAKey,"&lt;"&amp;$AK1332)+COUNTIFS(LdBMember,$AE1332,LdBKey,"&lt;"&amp;$AK1332)+COUNTIFS(LdCParty,$AE1332,LdCKey,"&lt;"&amp;$AK1332)+1)</f>
        <v/>
      </c>
      <c r="AM1332">
        <f>IF($AL1332="","",$AE1332&amp;"|"&amp;RIGHT("000000"&amp;$AL1332,6))</f>
        <v/>
      </c>
      <c r="AN1332">
        <f>IF($AE1332="","",IF(Sync!$W1332="",0,Sync!$W1332))</f>
        <v/>
      </c>
      <c r="AO1332">
        <f>IF($AE1332="","",IF(Sync!$X1332="",0,Sync!$X1332))</f>
        <v/>
      </c>
      <c r="AP1332">
        <f>IF($AE1332="","",Sync!$R1332)</f>
        <v/>
      </c>
      <c r="AQ1332">
        <f>IF($AE1332="","",Sync!$Y1332)</f>
        <v/>
      </c>
    </row>
    <row r="1333">
      <c r="A1333">
        <f>IF(OR(Wages!$B1336="",Wages!$E1336=""),"",Wages!$E1336)</f>
        <v/>
      </c>
      <c r="B1333">
        <f>IF($A1333="","",IF(Wages!$C1336="دستمزد گروهی",2,1))</f>
        <v/>
      </c>
      <c r="C1333">
        <f>IF($A1333="","",IF(ISNUMBER(Wages!$B1336),IF(AND(Wages!$B1336&gt;=10000101,Wages!$B1336&lt;=99991231),INT(Wages!$B1336/10000),""),IFERROR(VALUE(TRIM(LEFT(Wages!$B1336,FIND("/",Wages!$B1336)-1))),"")))</f>
        <v/>
      </c>
      <c r="D1333">
        <f>IF(OR($A1333="",$C1333=""),"",IF(ISNUMBER(Wages!$B1336),INT(MOD(Wages!$B1336,10000)/100),IFERROR(VALUE(TRIM(LEFT(MID(Wages!$B1336,FIND("/",Wages!$B1336)+1,20),FIND("/",MID(Wages!$B1336,FIND("/",Wages!$B1336)+1,20))-1))),"")))</f>
        <v/>
      </c>
      <c r="E1333">
        <f>IF(OR($A1333="",$C1333=""),"",IF(ISNUMBER(Wages!$B1336),MOD(Wages!$B1336,100),IFERROR(VALUE(TRIM(MID(MID(Wages!$B1336,FIND("/",Wages!$B1336)+1,20),FIND("/",MID(Wages!$B1336,FIND("/",Wages!$B1336)+1,20))+1,20))),"")))</f>
        <v/>
      </c>
      <c r="F1333">
        <f>IF($A1333="","",IF(OR($C1333="",$D1333="",$E1333="",$C1333&lt;1300,$C1333&gt;1500,$D1333&lt;1,$D1333&gt;12,$E1333&lt;1,$E1333&gt;31),"نامعتبر",RIGHT("0000"&amp;$C1333,4)&amp;"/"&amp;RIGHT("00"&amp;$D1333,2)&amp;"/"&amp;RIGHT("00"&amp;$E1333,2)))</f>
        <v/>
      </c>
      <c r="G1333">
        <f>IF(OR($A1333="",$F1333="",$F1333="نامعتبر"),"",LEFT($F1333,4)&amp;MID($F1333,6,2)&amp;RIGHT($F1333,2)&amp;"0000"&amp;"|"&amp;"1"&amp;RIGHT("00000"&amp;1328,5))</f>
        <v/>
      </c>
      <c r="H1333">
        <f>IF(OR($B1333&lt;&gt;1,$G1333=""),"",COUNTIFS(LdAParty,$A1333,LdAType,1,LdAKey,"&lt;"&amp;$G1333)+COUNTIFS(LdBMember,$A1333,LdBKey,"&lt;"&amp;$G1333)+COUNTIFS(LdCParty,$A1333,LdCKey,"&lt;"&amp;$G1333)+1)</f>
        <v/>
      </c>
      <c r="I1333">
        <f>IF($H1333="","",$A1333&amp;"|"&amp;RIGHT("000000"&amp;$H1333,6))</f>
        <v/>
      </c>
      <c r="J1333">
        <f>IF(OR($B1333&lt;&gt;2,$G1333=""),"",COUNTIFS(LdAParty,$A1333,LdAType,2,LdAKey,"&lt;"&amp;$G1333)+1)</f>
        <v/>
      </c>
      <c r="K1333">
        <f>IF($J1333="","",$A1333&amp;"|"&amp;RIGHT("000000"&amp;$J1333,6))</f>
        <v/>
      </c>
      <c r="L1333">
        <f>IF($A1333="","",IF(Wages!$G1336="",0,Wages!$G1336))</f>
        <v/>
      </c>
      <c r="M1333">
        <f>IF($A1333="","",Wages!$J1336)</f>
        <v/>
      </c>
      <c r="N1333">
        <f>IF($A1333="","",Wages!$D1336)</f>
        <v/>
      </c>
      <c r="P1333">
        <f>IF(OR(Shares!$B1336="",Shares!$C1336=""),"",Shares!$C1336)</f>
        <v/>
      </c>
      <c r="Q1333">
        <f>IF($P1333="","",Shares!$B1336)</f>
        <v/>
      </c>
      <c r="R1333">
        <f>IF($P1333="","",IFERROR(INDEX(WageParty,MATCH($Q1333,WageIds,0)),""))</f>
        <v/>
      </c>
      <c r="S1333">
        <f>IF($P1333="","",IFERROR(INDEX($F$6:$F$2005,MATCH($Q1333,WageIds,0)),""))</f>
        <v/>
      </c>
      <c r="T1333">
        <f>IF(OR($P1333="",$S1333="",$S1333="نامعتبر"),"",LEFT($S1333,4)&amp;MID($S1333,6,2)&amp;RIGHT($S1333,2)&amp;"0000"&amp;"|"&amp;"2"&amp;RIGHT("00000"&amp;1328,5))</f>
        <v/>
      </c>
      <c r="U1333">
        <f>IF($T1333="","",COUNTIFS(LdAParty,$P1333,LdAType,1,LdAKey,"&lt;"&amp;$T1333)+COUNTIFS(LdBMember,$P1333,LdBKey,"&lt;"&amp;$T1333)+COUNTIFS(LdCParty,$P1333,LdCKey,"&lt;"&amp;$T1333)+1)</f>
        <v/>
      </c>
      <c r="V1333">
        <f>IF($U1333="","",$P1333&amp;"|"&amp;RIGHT("000000"&amp;$U1333,6))</f>
        <v/>
      </c>
      <c r="W1333">
        <f>IF($T1333="","",COUNTIFS(LdBGroup,$R1333,LdBKey,"&lt;"&amp;$T1333)+1)</f>
        <v/>
      </c>
      <c r="X1333">
        <f>IF($W1333="","",$R1333&amp;"|"&amp;RIGHT("000000"&amp;$W1333,6))</f>
        <v/>
      </c>
      <c r="Y1333">
        <f>IF($P1333="","",IF(Shares!$E1336="",0,Shares!$E1336))</f>
        <v/>
      </c>
      <c r="Z1333">
        <f>IF($P1333="","",Shares!$H1336)</f>
        <v/>
      </c>
      <c r="AE1333">
        <f>IF(OR(Sync!$S1333="",Sync!$P1333=""),"",Sync!$S1333)</f>
        <v/>
      </c>
      <c r="AF1333">
        <f>IF($AE1333="","",IF(ISNUMBER(Sync!$P1333),IF(AND(Sync!$P1333&gt;=10000101,Sync!$P1333&lt;=99991231),INT(Sync!$P1333/10000),""),IFERROR(VALUE(TRIM(LEFT(Sync!$P1333,FIND("/",Sync!$P1333)-1))),"")))</f>
        <v/>
      </c>
      <c r="AG1333">
        <f>IF(OR($AE1333="",$AF1333=""),"",IF(ISNUMBER(Sync!$P1333),INT(MOD(Sync!$P1333,10000)/100),IFERROR(VALUE(TRIM(LEFT(MID(Sync!$P1333,FIND("/",Sync!$P1333)+1,20),FIND("/",MID(Sync!$P1333,FIND("/",Sync!$P1333)+1,20))-1))),"")))</f>
        <v/>
      </c>
      <c r="AH1333">
        <f>IF(OR($AE1333="",$AF1333=""),"",IF(ISNUMBER(Sync!$P1333),MOD(Sync!$P1333,100),IFERROR(VALUE(TRIM(MID(MID(Sync!$P1333,FIND("/",Sync!$P1333)+1,20),FIND("/",MID(Sync!$P1333,FIND("/",Sync!$P1333)+1,20))+1,20))),"")))</f>
        <v/>
      </c>
      <c r="AI1333">
        <f>IF($AE1333="","",IF(OR($AF1333="",$AG1333="",$AH1333="",$AF1333&lt;1300,$AF1333&gt;1500,$AG1333&lt;1,$AG1333&gt;12,$AH1333&lt;1,$AH1333&gt;31),"نامعتبر",RIGHT("0000"&amp;$AF1333,4)&amp;"/"&amp;RIGHT("00"&amp;$AG1333,2)&amp;"/"&amp;RIGHT("00"&amp;$AH1333,2)))</f>
        <v/>
      </c>
      <c r="AJ1333">
        <f>IF($AE1333="","",IF(Sync!$Q1333="","0000",IF(AND(ISNUMBER(Sync!$Q1333),Sync!$Q1333&gt;=0,Sync!$Q1333&lt;1),RIGHT("00"&amp;HOUR(Sync!$Q1333),2)&amp;RIGHT("00"&amp;MINUTE(Sync!$Q1333),2),IFERROR(RIGHT("00"&amp;VALUE(LEFT(Sync!$Q1333,FIND(":",Sync!$Q1333)-1)),2)&amp;RIGHT("00"&amp;VALUE(MID(Sync!$Q1333,FIND(":",Sync!$Q1333)+1,2)),2),"0000"))))</f>
        <v/>
      </c>
      <c r="AK1333">
        <f>IF(OR($AE1333="",$AI1333="",$AI1333="نامعتبر"),"",LEFT($AI1333,4)&amp;MID($AI1333,6,2)&amp;RIGHT($AI1333,2)&amp;$AJ1333&amp;"|"&amp;"3"&amp;RIGHT("00000"&amp;1328,5))</f>
        <v/>
      </c>
      <c r="AL1333">
        <f>IF($AK1333="","",COUNTIFS(LdAParty,$AE1333,LdAType,1,LdAKey,"&lt;"&amp;$AK1333)+COUNTIFS(LdBMember,$AE1333,LdBKey,"&lt;"&amp;$AK1333)+COUNTIFS(LdCParty,$AE1333,LdCKey,"&lt;"&amp;$AK1333)+1)</f>
        <v/>
      </c>
      <c r="AM1333">
        <f>IF($AL1333="","",$AE1333&amp;"|"&amp;RIGHT("000000"&amp;$AL1333,6))</f>
        <v/>
      </c>
      <c r="AN1333">
        <f>IF($AE1333="","",IF(Sync!$W1333="",0,Sync!$W1333))</f>
        <v/>
      </c>
      <c r="AO1333">
        <f>IF($AE1333="","",IF(Sync!$X1333="",0,Sync!$X1333))</f>
        <v/>
      </c>
      <c r="AP1333">
        <f>IF($AE1333="","",Sync!$R1333)</f>
        <v/>
      </c>
      <c r="AQ1333">
        <f>IF($AE1333="","",Sync!$Y1333)</f>
        <v/>
      </c>
    </row>
    <row r="1334">
      <c r="A1334">
        <f>IF(OR(Wages!$B1337="",Wages!$E1337=""),"",Wages!$E1337)</f>
        <v/>
      </c>
      <c r="B1334">
        <f>IF($A1334="","",IF(Wages!$C1337="دستمزد گروهی",2,1))</f>
        <v/>
      </c>
      <c r="C1334">
        <f>IF($A1334="","",IF(ISNUMBER(Wages!$B1337),IF(AND(Wages!$B1337&gt;=10000101,Wages!$B1337&lt;=99991231),INT(Wages!$B1337/10000),""),IFERROR(VALUE(TRIM(LEFT(Wages!$B1337,FIND("/",Wages!$B1337)-1))),"")))</f>
        <v/>
      </c>
      <c r="D1334">
        <f>IF(OR($A1334="",$C1334=""),"",IF(ISNUMBER(Wages!$B1337),INT(MOD(Wages!$B1337,10000)/100),IFERROR(VALUE(TRIM(LEFT(MID(Wages!$B1337,FIND("/",Wages!$B1337)+1,20),FIND("/",MID(Wages!$B1337,FIND("/",Wages!$B1337)+1,20))-1))),"")))</f>
        <v/>
      </c>
      <c r="E1334">
        <f>IF(OR($A1334="",$C1334=""),"",IF(ISNUMBER(Wages!$B1337),MOD(Wages!$B1337,100),IFERROR(VALUE(TRIM(MID(MID(Wages!$B1337,FIND("/",Wages!$B1337)+1,20),FIND("/",MID(Wages!$B1337,FIND("/",Wages!$B1337)+1,20))+1,20))),"")))</f>
        <v/>
      </c>
      <c r="F1334">
        <f>IF($A1334="","",IF(OR($C1334="",$D1334="",$E1334="",$C1334&lt;1300,$C1334&gt;1500,$D1334&lt;1,$D1334&gt;12,$E1334&lt;1,$E1334&gt;31),"نامعتبر",RIGHT("0000"&amp;$C1334,4)&amp;"/"&amp;RIGHT("00"&amp;$D1334,2)&amp;"/"&amp;RIGHT("00"&amp;$E1334,2)))</f>
        <v/>
      </c>
      <c r="G1334">
        <f>IF(OR($A1334="",$F1334="",$F1334="نامعتبر"),"",LEFT($F1334,4)&amp;MID($F1334,6,2)&amp;RIGHT($F1334,2)&amp;"0000"&amp;"|"&amp;"1"&amp;RIGHT("00000"&amp;1329,5))</f>
        <v/>
      </c>
      <c r="H1334">
        <f>IF(OR($B1334&lt;&gt;1,$G1334=""),"",COUNTIFS(LdAParty,$A1334,LdAType,1,LdAKey,"&lt;"&amp;$G1334)+COUNTIFS(LdBMember,$A1334,LdBKey,"&lt;"&amp;$G1334)+COUNTIFS(LdCParty,$A1334,LdCKey,"&lt;"&amp;$G1334)+1)</f>
        <v/>
      </c>
      <c r="I1334">
        <f>IF($H1334="","",$A1334&amp;"|"&amp;RIGHT("000000"&amp;$H1334,6))</f>
        <v/>
      </c>
      <c r="J1334">
        <f>IF(OR($B1334&lt;&gt;2,$G1334=""),"",COUNTIFS(LdAParty,$A1334,LdAType,2,LdAKey,"&lt;"&amp;$G1334)+1)</f>
        <v/>
      </c>
      <c r="K1334">
        <f>IF($J1334="","",$A1334&amp;"|"&amp;RIGHT("000000"&amp;$J1334,6))</f>
        <v/>
      </c>
      <c r="L1334">
        <f>IF($A1334="","",IF(Wages!$G1337="",0,Wages!$G1337))</f>
        <v/>
      </c>
      <c r="M1334">
        <f>IF($A1334="","",Wages!$J1337)</f>
        <v/>
      </c>
      <c r="N1334">
        <f>IF($A1334="","",Wages!$D1337)</f>
        <v/>
      </c>
      <c r="P1334">
        <f>IF(OR(Shares!$B1337="",Shares!$C1337=""),"",Shares!$C1337)</f>
        <v/>
      </c>
      <c r="Q1334">
        <f>IF($P1334="","",Shares!$B1337)</f>
        <v/>
      </c>
      <c r="R1334">
        <f>IF($P1334="","",IFERROR(INDEX(WageParty,MATCH($Q1334,WageIds,0)),""))</f>
        <v/>
      </c>
      <c r="S1334">
        <f>IF($P1334="","",IFERROR(INDEX($F$6:$F$2005,MATCH($Q1334,WageIds,0)),""))</f>
        <v/>
      </c>
      <c r="T1334">
        <f>IF(OR($P1334="",$S1334="",$S1334="نامعتبر"),"",LEFT($S1334,4)&amp;MID($S1334,6,2)&amp;RIGHT($S1334,2)&amp;"0000"&amp;"|"&amp;"2"&amp;RIGHT("00000"&amp;1329,5))</f>
        <v/>
      </c>
      <c r="U1334">
        <f>IF($T1334="","",COUNTIFS(LdAParty,$P1334,LdAType,1,LdAKey,"&lt;"&amp;$T1334)+COUNTIFS(LdBMember,$P1334,LdBKey,"&lt;"&amp;$T1334)+COUNTIFS(LdCParty,$P1334,LdCKey,"&lt;"&amp;$T1334)+1)</f>
        <v/>
      </c>
      <c r="V1334">
        <f>IF($U1334="","",$P1334&amp;"|"&amp;RIGHT("000000"&amp;$U1334,6))</f>
        <v/>
      </c>
      <c r="W1334">
        <f>IF($T1334="","",COUNTIFS(LdBGroup,$R1334,LdBKey,"&lt;"&amp;$T1334)+1)</f>
        <v/>
      </c>
      <c r="X1334">
        <f>IF($W1334="","",$R1334&amp;"|"&amp;RIGHT("000000"&amp;$W1334,6))</f>
        <v/>
      </c>
      <c r="Y1334">
        <f>IF($P1334="","",IF(Shares!$E1337="",0,Shares!$E1337))</f>
        <v/>
      </c>
      <c r="Z1334">
        <f>IF($P1334="","",Shares!$H1337)</f>
        <v/>
      </c>
      <c r="AE1334">
        <f>IF(OR(Sync!$S1334="",Sync!$P1334=""),"",Sync!$S1334)</f>
        <v/>
      </c>
      <c r="AF1334">
        <f>IF($AE1334="","",IF(ISNUMBER(Sync!$P1334),IF(AND(Sync!$P1334&gt;=10000101,Sync!$P1334&lt;=99991231),INT(Sync!$P1334/10000),""),IFERROR(VALUE(TRIM(LEFT(Sync!$P1334,FIND("/",Sync!$P1334)-1))),"")))</f>
        <v/>
      </c>
      <c r="AG1334">
        <f>IF(OR($AE1334="",$AF1334=""),"",IF(ISNUMBER(Sync!$P1334),INT(MOD(Sync!$P1334,10000)/100),IFERROR(VALUE(TRIM(LEFT(MID(Sync!$P1334,FIND("/",Sync!$P1334)+1,20),FIND("/",MID(Sync!$P1334,FIND("/",Sync!$P1334)+1,20))-1))),"")))</f>
        <v/>
      </c>
      <c r="AH1334">
        <f>IF(OR($AE1334="",$AF1334=""),"",IF(ISNUMBER(Sync!$P1334),MOD(Sync!$P1334,100),IFERROR(VALUE(TRIM(MID(MID(Sync!$P1334,FIND("/",Sync!$P1334)+1,20),FIND("/",MID(Sync!$P1334,FIND("/",Sync!$P1334)+1,20))+1,20))),"")))</f>
        <v/>
      </c>
      <c r="AI1334">
        <f>IF($AE1334="","",IF(OR($AF1334="",$AG1334="",$AH1334="",$AF1334&lt;1300,$AF1334&gt;1500,$AG1334&lt;1,$AG1334&gt;12,$AH1334&lt;1,$AH1334&gt;31),"نامعتبر",RIGHT("0000"&amp;$AF1334,4)&amp;"/"&amp;RIGHT("00"&amp;$AG1334,2)&amp;"/"&amp;RIGHT("00"&amp;$AH1334,2)))</f>
        <v/>
      </c>
      <c r="AJ1334">
        <f>IF($AE1334="","",IF(Sync!$Q1334="","0000",IF(AND(ISNUMBER(Sync!$Q1334),Sync!$Q1334&gt;=0,Sync!$Q1334&lt;1),RIGHT("00"&amp;HOUR(Sync!$Q1334),2)&amp;RIGHT("00"&amp;MINUTE(Sync!$Q1334),2),IFERROR(RIGHT("00"&amp;VALUE(LEFT(Sync!$Q1334,FIND(":",Sync!$Q1334)-1)),2)&amp;RIGHT("00"&amp;VALUE(MID(Sync!$Q1334,FIND(":",Sync!$Q1334)+1,2)),2),"0000"))))</f>
        <v/>
      </c>
      <c r="AK1334">
        <f>IF(OR($AE1334="",$AI1334="",$AI1334="نامعتبر"),"",LEFT($AI1334,4)&amp;MID($AI1334,6,2)&amp;RIGHT($AI1334,2)&amp;$AJ1334&amp;"|"&amp;"3"&amp;RIGHT("00000"&amp;1329,5))</f>
        <v/>
      </c>
      <c r="AL1334">
        <f>IF($AK1334="","",COUNTIFS(LdAParty,$AE1334,LdAType,1,LdAKey,"&lt;"&amp;$AK1334)+COUNTIFS(LdBMember,$AE1334,LdBKey,"&lt;"&amp;$AK1334)+COUNTIFS(LdCParty,$AE1334,LdCKey,"&lt;"&amp;$AK1334)+1)</f>
        <v/>
      </c>
      <c r="AM1334">
        <f>IF($AL1334="","",$AE1334&amp;"|"&amp;RIGHT("000000"&amp;$AL1334,6))</f>
        <v/>
      </c>
      <c r="AN1334">
        <f>IF($AE1334="","",IF(Sync!$W1334="",0,Sync!$W1334))</f>
        <v/>
      </c>
      <c r="AO1334">
        <f>IF($AE1334="","",IF(Sync!$X1334="",0,Sync!$X1334))</f>
        <v/>
      </c>
      <c r="AP1334">
        <f>IF($AE1334="","",Sync!$R1334)</f>
        <v/>
      </c>
      <c r="AQ1334">
        <f>IF($AE1334="","",Sync!$Y1334)</f>
        <v/>
      </c>
    </row>
    <row r="1335">
      <c r="A1335">
        <f>IF(OR(Wages!$B1338="",Wages!$E1338=""),"",Wages!$E1338)</f>
        <v/>
      </c>
      <c r="B1335">
        <f>IF($A1335="","",IF(Wages!$C1338="دستمزد گروهی",2,1))</f>
        <v/>
      </c>
      <c r="C1335">
        <f>IF($A1335="","",IF(ISNUMBER(Wages!$B1338),IF(AND(Wages!$B1338&gt;=10000101,Wages!$B1338&lt;=99991231),INT(Wages!$B1338/10000),""),IFERROR(VALUE(TRIM(LEFT(Wages!$B1338,FIND("/",Wages!$B1338)-1))),"")))</f>
        <v/>
      </c>
      <c r="D1335">
        <f>IF(OR($A1335="",$C1335=""),"",IF(ISNUMBER(Wages!$B1338),INT(MOD(Wages!$B1338,10000)/100),IFERROR(VALUE(TRIM(LEFT(MID(Wages!$B1338,FIND("/",Wages!$B1338)+1,20),FIND("/",MID(Wages!$B1338,FIND("/",Wages!$B1338)+1,20))-1))),"")))</f>
        <v/>
      </c>
      <c r="E1335">
        <f>IF(OR($A1335="",$C1335=""),"",IF(ISNUMBER(Wages!$B1338),MOD(Wages!$B1338,100),IFERROR(VALUE(TRIM(MID(MID(Wages!$B1338,FIND("/",Wages!$B1338)+1,20),FIND("/",MID(Wages!$B1338,FIND("/",Wages!$B1338)+1,20))+1,20))),"")))</f>
        <v/>
      </c>
      <c r="F1335">
        <f>IF($A1335="","",IF(OR($C1335="",$D1335="",$E1335="",$C1335&lt;1300,$C1335&gt;1500,$D1335&lt;1,$D1335&gt;12,$E1335&lt;1,$E1335&gt;31),"نامعتبر",RIGHT("0000"&amp;$C1335,4)&amp;"/"&amp;RIGHT("00"&amp;$D1335,2)&amp;"/"&amp;RIGHT("00"&amp;$E1335,2)))</f>
        <v/>
      </c>
      <c r="G1335">
        <f>IF(OR($A1335="",$F1335="",$F1335="نامعتبر"),"",LEFT($F1335,4)&amp;MID($F1335,6,2)&amp;RIGHT($F1335,2)&amp;"0000"&amp;"|"&amp;"1"&amp;RIGHT("00000"&amp;1330,5))</f>
        <v/>
      </c>
      <c r="H1335">
        <f>IF(OR($B1335&lt;&gt;1,$G1335=""),"",COUNTIFS(LdAParty,$A1335,LdAType,1,LdAKey,"&lt;"&amp;$G1335)+COUNTIFS(LdBMember,$A1335,LdBKey,"&lt;"&amp;$G1335)+COUNTIFS(LdCParty,$A1335,LdCKey,"&lt;"&amp;$G1335)+1)</f>
        <v/>
      </c>
      <c r="I1335">
        <f>IF($H1335="","",$A1335&amp;"|"&amp;RIGHT("000000"&amp;$H1335,6))</f>
        <v/>
      </c>
      <c r="J1335">
        <f>IF(OR($B1335&lt;&gt;2,$G1335=""),"",COUNTIFS(LdAParty,$A1335,LdAType,2,LdAKey,"&lt;"&amp;$G1335)+1)</f>
        <v/>
      </c>
      <c r="K1335">
        <f>IF($J1335="","",$A1335&amp;"|"&amp;RIGHT("000000"&amp;$J1335,6))</f>
        <v/>
      </c>
      <c r="L1335">
        <f>IF($A1335="","",IF(Wages!$G1338="",0,Wages!$G1338))</f>
        <v/>
      </c>
      <c r="M1335">
        <f>IF($A1335="","",Wages!$J1338)</f>
        <v/>
      </c>
      <c r="N1335">
        <f>IF($A1335="","",Wages!$D1338)</f>
        <v/>
      </c>
      <c r="P1335">
        <f>IF(OR(Shares!$B1338="",Shares!$C1338=""),"",Shares!$C1338)</f>
        <v/>
      </c>
      <c r="Q1335">
        <f>IF($P1335="","",Shares!$B1338)</f>
        <v/>
      </c>
      <c r="R1335">
        <f>IF($P1335="","",IFERROR(INDEX(WageParty,MATCH($Q1335,WageIds,0)),""))</f>
        <v/>
      </c>
      <c r="S1335">
        <f>IF($P1335="","",IFERROR(INDEX($F$6:$F$2005,MATCH($Q1335,WageIds,0)),""))</f>
        <v/>
      </c>
      <c r="T1335">
        <f>IF(OR($P1335="",$S1335="",$S1335="نامعتبر"),"",LEFT($S1335,4)&amp;MID($S1335,6,2)&amp;RIGHT($S1335,2)&amp;"0000"&amp;"|"&amp;"2"&amp;RIGHT("00000"&amp;1330,5))</f>
        <v/>
      </c>
      <c r="U1335">
        <f>IF($T1335="","",COUNTIFS(LdAParty,$P1335,LdAType,1,LdAKey,"&lt;"&amp;$T1335)+COUNTIFS(LdBMember,$P1335,LdBKey,"&lt;"&amp;$T1335)+COUNTIFS(LdCParty,$P1335,LdCKey,"&lt;"&amp;$T1335)+1)</f>
        <v/>
      </c>
      <c r="V1335">
        <f>IF($U1335="","",$P1335&amp;"|"&amp;RIGHT("000000"&amp;$U1335,6))</f>
        <v/>
      </c>
      <c r="W1335">
        <f>IF($T1335="","",COUNTIFS(LdBGroup,$R1335,LdBKey,"&lt;"&amp;$T1335)+1)</f>
        <v/>
      </c>
      <c r="X1335">
        <f>IF($W1335="","",$R1335&amp;"|"&amp;RIGHT("000000"&amp;$W1335,6))</f>
        <v/>
      </c>
      <c r="Y1335">
        <f>IF($P1335="","",IF(Shares!$E1338="",0,Shares!$E1338))</f>
        <v/>
      </c>
      <c r="Z1335">
        <f>IF($P1335="","",Shares!$H1338)</f>
        <v/>
      </c>
      <c r="AE1335">
        <f>IF(OR(Sync!$S1335="",Sync!$P1335=""),"",Sync!$S1335)</f>
        <v/>
      </c>
      <c r="AF1335">
        <f>IF($AE1335="","",IF(ISNUMBER(Sync!$P1335),IF(AND(Sync!$P1335&gt;=10000101,Sync!$P1335&lt;=99991231),INT(Sync!$P1335/10000),""),IFERROR(VALUE(TRIM(LEFT(Sync!$P1335,FIND("/",Sync!$P1335)-1))),"")))</f>
        <v/>
      </c>
      <c r="AG1335">
        <f>IF(OR($AE1335="",$AF1335=""),"",IF(ISNUMBER(Sync!$P1335),INT(MOD(Sync!$P1335,10000)/100),IFERROR(VALUE(TRIM(LEFT(MID(Sync!$P1335,FIND("/",Sync!$P1335)+1,20),FIND("/",MID(Sync!$P1335,FIND("/",Sync!$P1335)+1,20))-1))),"")))</f>
        <v/>
      </c>
      <c r="AH1335">
        <f>IF(OR($AE1335="",$AF1335=""),"",IF(ISNUMBER(Sync!$P1335),MOD(Sync!$P1335,100),IFERROR(VALUE(TRIM(MID(MID(Sync!$P1335,FIND("/",Sync!$P1335)+1,20),FIND("/",MID(Sync!$P1335,FIND("/",Sync!$P1335)+1,20))+1,20))),"")))</f>
        <v/>
      </c>
      <c r="AI1335">
        <f>IF($AE1335="","",IF(OR($AF1335="",$AG1335="",$AH1335="",$AF1335&lt;1300,$AF1335&gt;1500,$AG1335&lt;1,$AG1335&gt;12,$AH1335&lt;1,$AH1335&gt;31),"نامعتبر",RIGHT("0000"&amp;$AF1335,4)&amp;"/"&amp;RIGHT("00"&amp;$AG1335,2)&amp;"/"&amp;RIGHT("00"&amp;$AH1335,2)))</f>
        <v/>
      </c>
      <c r="AJ1335">
        <f>IF($AE1335="","",IF(Sync!$Q1335="","0000",IF(AND(ISNUMBER(Sync!$Q1335),Sync!$Q1335&gt;=0,Sync!$Q1335&lt;1),RIGHT("00"&amp;HOUR(Sync!$Q1335),2)&amp;RIGHT("00"&amp;MINUTE(Sync!$Q1335),2),IFERROR(RIGHT("00"&amp;VALUE(LEFT(Sync!$Q1335,FIND(":",Sync!$Q1335)-1)),2)&amp;RIGHT("00"&amp;VALUE(MID(Sync!$Q1335,FIND(":",Sync!$Q1335)+1,2)),2),"0000"))))</f>
        <v/>
      </c>
      <c r="AK1335">
        <f>IF(OR($AE1335="",$AI1335="",$AI1335="نامعتبر"),"",LEFT($AI1335,4)&amp;MID($AI1335,6,2)&amp;RIGHT($AI1335,2)&amp;$AJ1335&amp;"|"&amp;"3"&amp;RIGHT("00000"&amp;1330,5))</f>
        <v/>
      </c>
      <c r="AL1335">
        <f>IF($AK1335="","",COUNTIFS(LdAParty,$AE1335,LdAType,1,LdAKey,"&lt;"&amp;$AK1335)+COUNTIFS(LdBMember,$AE1335,LdBKey,"&lt;"&amp;$AK1335)+COUNTIFS(LdCParty,$AE1335,LdCKey,"&lt;"&amp;$AK1335)+1)</f>
        <v/>
      </c>
      <c r="AM1335">
        <f>IF($AL1335="","",$AE1335&amp;"|"&amp;RIGHT("000000"&amp;$AL1335,6))</f>
        <v/>
      </c>
      <c r="AN1335">
        <f>IF($AE1335="","",IF(Sync!$W1335="",0,Sync!$W1335))</f>
        <v/>
      </c>
      <c r="AO1335">
        <f>IF($AE1335="","",IF(Sync!$X1335="",0,Sync!$X1335))</f>
        <v/>
      </c>
      <c r="AP1335">
        <f>IF($AE1335="","",Sync!$R1335)</f>
        <v/>
      </c>
      <c r="AQ1335">
        <f>IF($AE1335="","",Sync!$Y1335)</f>
        <v/>
      </c>
    </row>
    <row r="1336">
      <c r="A1336">
        <f>IF(OR(Wages!$B1339="",Wages!$E1339=""),"",Wages!$E1339)</f>
        <v/>
      </c>
      <c r="B1336">
        <f>IF($A1336="","",IF(Wages!$C1339="دستمزد گروهی",2,1))</f>
        <v/>
      </c>
      <c r="C1336">
        <f>IF($A1336="","",IF(ISNUMBER(Wages!$B1339),IF(AND(Wages!$B1339&gt;=10000101,Wages!$B1339&lt;=99991231),INT(Wages!$B1339/10000),""),IFERROR(VALUE(TRIM(LEFT(Wages!$B1339,FIND("/",Wages!$B1339)-1))),"")))</f>
        <v/>
      </c>
      <c r="D1336">
        <f>IF(OR($A1336="",$C1336=""),"",IF(ISNUMBER(Wages!$B1339),INT(MOD(Wages!$B1339,10000)/100),IFERROR(VALUE(TRIM(LEFT(MID(Wages!$B1339,FIND("/",Wages!$B1339)+1,20),FIND("/",MID(Wages!$B1339,FIND("/",Wages!$B1339)+1,20))-1))),"")))</f>
        <v/>
      </c>
      <c r="E1336">
        <f>IF(OR($A1336="",$C1336=""),"",IF(ISNUMBER(Wages!$B1339),MOD(Wages!$B1339,100),IFERROR(VALUE(TRIM(MID(MID(Wages!$B1339,FIND("/",Wages!$B1339)+1,20),FIND("/",MID(Wages!$B1339,FIND("/",Wages!$B1339)+1,20))+1,20))),"")))</f>
        <v/>
      </c>
      <c r="F1336">
        <f>IF($A1336="","",IF(OR($C1336="",$D1336="",$E1336="",$C1336&lt;1300,$C1336&gt;1500,$D1336&lt;1,$D1336&gt;12,$E1336&lt;1,$E1336&gt;31),"نامعتبر",RIGHT("0000"&amp;$C1336,4)&amp;"/"&amp;RIGHT("00"&amp;$D1336,2)&amp;"/"&amp;RIGHT("00"&amp;$E1336,2)))</f>
        <v/>
      </c>
      <c r="G1336">
        <f>IF(OR($A1336="",$F1336="",$F1336="نامعتبر"),"",LEFT($F1336,4)&amp;MID($F1336,6,2)&amp;RIGHT($F1336,2)&amp;"0000"&amp;"|"&amp;"1"&amp;RIGHT("00000"&amp;1331,5))</f>
        <v/>
      </c>
      <c r="H1336">
        <f>IF(OR($B1336&lt;&gt;1,$G1336=""),"",COUNTIFS(LdAParty,$A1336,LdAType,1,LdAKey,"&lt;"&amp;$G1336)+COUNTIFS(LdBMember,$A1336,LdBKey,"&lt;"&amp;$G1336)+COUNTIFS(LdCParty,$A1336,LdCKey,"&lt;"&amp;$G1336)+1)</f>
        <v/>
      </c>
      <c r="I1336">
        <f>IF($H1336="","",$A1336&amp;"|"&amp;RIGHT("000000"&amp;$H1336,6))</f>
        <v/>
      </c>
      <c r="J1336">
        <f>IF(OR($B1336&lt;&gt;2,$G1336=""),"",COUNTIFS(LdAParty,$A1336,LdAType,2,LdAKey,"&lt;"&amp;$G1336)+1)</f>
        <v/>
      </c>
      <c r="K1336">
        <f>IF($J1336="","",$A1336&amp;"|"&amp;RIGHT("000000"&amp;$J1336,6))</f>
        <v/>
      </c>
      <c r="L1336">
        <f>IF($A1336="","",IF(Wages!$G1339="",0,Wages!$G1339))</f>
        <v/>
      </c>
      <c r="M1336">
        <f>IF($A1336="","",Wages!$J1339)</f>
        <v/>
      </c>
      <c r="N1336">
        <f>IF($A1336="","",Wages!$D1339)</f>
        <v/>
      </c>
      <c r="P1336">
        <f>IF(OR(Shares!$B1339="",Shares!$C1339=""),"",Shares!$C1339)</f>
        <v/>
      </c>
      <c r="Q1336">
        <f>IF($P1336="","",Shares!$B1339)</f>
        <v/>
      </c>
      <c r="R1336">
        <f>IF($P1336="","",IFERROR(INDEX(WageParty,MATCH($Q1336,WageIds,0)),""))</f>
        <v/>
      </c>
      <c r="S1336">
        <f>IF($P1336="","",IFERROR(INDEX($F$6:$F$2005,MATCH($Q1336,WageIds,0)),""))</f>
        <v/>
      </c>
      <c r="T1336">
        <f>IF(OR($P1336="",$S1336="",$S1336="نامعتبر"),"",LEFT($S1336,4)&amp;MID($S1336,6,2)&amp;RIGHT($S1336,2)&amp;"0000"&amp;"|"&amp;"2"&amp;RIGHT("00000"&amp;1331,5))</f>
        <v/>
      </c>
      <c r="U1336">
        <f>IF($T1336="","",COUNTIFS(LdAParty,$P1336,LdAType,1,LdAKey,"&lt;"&amp;$T1336)+COUNTIFS(LdBMember,$P1336,LdBKey,"&lt;"&amp;$T1336)+COUNTIFS(LdCParty,$P1336,LdCKey,"&lt;"&amp;$T1336)+1)</f>
        <v/>
      </c>
      <c r="V1336">
        <f>IF($U1336="","",$P1336&amp;"|"&amp;RIGHT("000000"&amp;$U1336,6))</f>
        <v/>
      </c>
      <c r="W1336">
        <f>IF($T1336="","",COUNTIFS(LdBGroup,$R1336,LdBKey,"&lt;"&amp;$T1336)+1)</f>
        <v/>
      </c>
      <c r="X1336">
        <f>IF($W1336="","",$R1336&amp;"|"&amp;RIGHT("000000"&amp;$W1336,6))</f>
        <v/>
      </c>
      <c r="Y1336">
        <f>IF($P1336="","",IF(Shares!$E1339="",0,Shares!$E1339))</f>
        <v/>
      </c>
      <c r="Z1336">
        <f>IF($P1336="","",Shares!$H1339)</f>
        <v/>
      </c>
      <c r="AE1336">
        <f>IF(OR(Sync!$S1336="",Sync!$P1336=""),"",Sync!$S1336)</f>
        <v/>
      </c>
      <c r="AF1336">
        <f>IF($AE1336="","",IF(ISNUMBER(Sync!$P1336),IF(AND(Sync!$P1336&gt;=10000101,Sync!$P1336&lt;=99991231),INT(Sync!$P1336/10000),""),IFERROR(VALUE(TRIM(LEFT(Sync!$P1336,FIND("/",Sync!$P1336)-1))),"")))</f>
        <v/>
      </c>
      <c r="AG1336">
        <f>IF(OR($AE1336="",$AF1336=""),"",IF(ISNUMBER(Sync!$P1336),INT(MOD(Sync!$P1336,10000)/100),IFERROR(VALUE(TRIM(LEFT(MID(Sync!$P1336,FIND("/",Sync!$P1336)+1,20),FIND("/",MID(Sync!$P1336,FIND("/",Sync!$P1336)+1,20))-1))),"")))</f>
        <v/>
      </c>
      <c r="AH1336">
        <f>IF(OR($AE1336="",$AF1336=""),"",IF(ISNUMBER(Sync!$P1336),MOD(Sync!$P1336,100),IFERROR(VALUE(TRIM(MID(MID(Sync!$P1336,FIND("/",Sync!$P1336)+1,20),FIND("/",MID(Sync!$P1336,FIND("/",Sync!$P1336)+1,20))+1,20))),"")))</f>
        <v/>
      </c>
      <c r="AI1336">
        <f>IF($AE1336="","",IF(OR($AF1336="",$AG1336="",$AH1336="",$AF1336&lt;1300,$AF1336&gt;1500,$AG1336&lt;1,$AG1336&gt;12,$AH1336&lt;1,$AH1336&gt;31),"نامعتبر",RIGHT("0000"&amp;$AF1336,4)&amp;"/"&amp;RIGHT("00"&amp;$AG1336,2)&amp;"/"&amp;RIGHT("00"&amp;$AH1336,2)))</f>
        <v/>
      </c>
      <c r="AJ1336">
        <f>IF($AE1336="","",IF(Sync!$Q1336="","0000",IF(AND(ISNUMBER(Sync!$Q1336),Sync!$Q1336&gt;=0,Sync!$Q1336&lt;1),RIGHT("00"&amp;HOUR(Sync!$Q1336),2)&amp;RIGHT("00"&amp;MINUTE(Sync!$Q1336),2),IFERROR(RIGHT("00"&amp;VALUE(LEFT(Sync!$Q1336,FIND(":",Sync!$Q1336)-1)),2)&amp;RIGHT("00"&amp;VALUE(MID(Sync!$Q1336,FIND(":",Sync!$Q1336)+1,2)),2),"0000"))))</f>
        <v/>
      </c>
      <c r="AK1336">
        <f>IF(OR($AE1336="",$AI1336="",$AI1336="نامعتبر"),"",LEFT($AI1336,4)&amp;MID($AI1336,6,2)&amp;RIGHT($AI1336,2)&amp;$AJ1336&amp;"|"&amp;"3"&amp;RIGHT("00000"&amp;1331,5))</f>
        <v/>
      </c>
      <c r="AL1336">
        <f>IF($AK1336="","",COUNTIFS(LdAParty,$AE1336,LdAType,1,LdAKey,"&lt;"&amp;$AK1336)+COUNTIFS(LdBMember,$AE1336,LdBKey,"&lt;"&amp;$AK1336)+COUNTIFS(LdCParty,$AE1336,LdCKey,"&lt;"&amp;$AK1336)+1)</f>
        <v/>
      </c>
      <c r="AM1336">
        <f>IF($AL1336="","",$AE1336&amp;"|"&amp;RIGHT("000000"&amp;$AL1336,6))</f>
        <v/>
      </c>
      <c r="AN1336">
        <f>IF($AE1336="","",IF(Sync!$W1336="",0,Sync!$W1336))</f>
        <v/>
      </c>
      <c r="AO1336">
        <f>IF($AE1336="","",IF(Sync!$X1336="",0,Sync!$X1336))</f>
        <v/>
      </c>
      <c r="AP1336">
        <f>IF($AE1336="","",Sync!$R1336)</f>
        <v/>
      </c>
      <c r="AQ1336">
        <f>IF($AE1336="","",Sync!$Y1336)</f>
        <v/>
      </c>
    </row>
    <row r="1337">
      <c r="A1337">
        <f>IF(OR(Wages!$B1340="",Wages!$E1340=""),"",Wages!$E1340)</f>
        <v/>
      </c>
      <c r="B1337">
        <f>IF($A1337="","",IF(Wages!$C1340="دستمزد گروهی",2,1))</f>
        <v/>
      </c>
      <c r="C1337">
        <f>IF($A1337="","",IF(ISNUMBER(Wages!$B1340),IF(AND(Wages!$B1340&gt;=10000101,Wages!$B1340&lt;=99991231),INT(Wages!$B1340/10000),""),IFERROR(VALUE(TRIM(LEFT(Wages!$B1340,FIND("/",Wages!$B1340)-1))),"")))</f>
        <v/>
      </c>
      <c r="D1337">
        <f>IF(OR($A1337="",$C1337=""),"",IF(ISNUMBER(Wages!$B1340),INT(MOD(Wages!$B1340,10000)/100),IFERROR(VALUE(TRIM(LEFT(MID(Wages!$B1340,FIND("/",Wages!$B1340)+1,20),FIND("/",MID(Wages!$B1340,FIND("/",Wages!$B1340)+1,20))-1))),"")))</f>
        <v/>
      </c>
      <c r="E1337">
        <f>IF(OR($A1337="",$C1337=""),"",IF(ISNUMBER(Wages!$B1340),MOD(Wages!$B1340,100),IFERROR(VALUE(TRIM(MID(MID(Wages!$B1340,FIND("/",Wages!$B1340)+1,20),FIND("/",MID(Wages!$B1340,FIND("/",Wages!$B1340)+1,20))+1,20))),"")))</f>
        <v/>
      </c>
      <c r="F1337">
        <f>IF($A1337="","",IF(OR($C1337="",$D1337="",$E1337="",$C1337&lt;1300,$C1337&gt;1500,$D1337&lt;1,$D1337&gt;12,$E1337&lt;1,$E1337&gt;31),"نامعتبر",RIGHT("0000"&amp;$C1337,4)&amp;"/"&amp;RIGHT("00"&amp;$D1337,2)&amp;"/"&amp;RIGHT("00"&amp;$E1337,2)))</f>
        <v/>
      </c>
      <c r="G1337">
        <f>IF(OR($A1337="",$F1337="",$F1337="نامعتبر"),"",LEFT($F1337,4)&amp;MID($F1337,6,2)&amp;RIGHT($F1337,2)&amp;"0000"&amp;"|"&amp;"1"&amp;RIGHT("00000"&amp;1332,5))</f>
        <v/>
      </c>
      <c r="H1337">
        <f>IF(OR($B1337&lt;&gt;1,$G1337=""),"",COUNTIFS(LdAParty,$A1337,LdAType,1,LdAKey,"&lt;"&amp;$G1337)+COUNTIFS(LdBMember,$A1337,LdBKey,"&lt;"&amp;$G1337)+COUNTIFS(LdCParty,$A1337,LdCKey,"&lt;"&amp;$G1337)+1)</f>
        <v/>
      </c>
      <c r="I1337">
        <f>IF($H1337="","",$A1337&amp;"|"&amp;RIGHT("000000"&amp;$H1337,6))</f>
        <v/>
      </c>
      <c r="J1337">
        <f>IF(OR($B1337&lt;&gt;2,$G1337=""),"",COUNTIFS(LdAParty,$A1337,LdAType,2,LdAKey,"&lt;"&amp;$G1337)+1)</f>
        <v/>
      </c>
      <c r="K1337">
        <f>IF($J1337="","",$A1337&amp;"|"&amp;RIGHT("000000"&amp;$J1337,6))</f>
        <v/>
      </c>
      <c r="L1337">
        <f>IF($A1337="","",IF(Wages!$G1340="",0,Wages!$G1340))</f>
        <v/>
      </c>
      <c r="M1337">
        <f>IF($A1337="","",Wages!$J1340)</f>
        <v/>
      </c>
      <c r="N1337">
        <f>IF($A1337="","",Wages!$D1340)</f>
        <v/>
      </c>
      <c r="P1337">
        <f>IF(OR(Shares!$B1340="",Shares!$C1340=""),"",Shares!$C1340)</f>
        <v/>
      </c>
      <c r="Q1337">
        <f>IF($P1337="","",Shares!$B1340)</f>
        <v/>
      </c>
      <c r="R1337">
        <f>IF($P1337="","",IFERROR(INDEX(WageParty,MATCH($Q1337,WageIds,0)),""))</f>
        <v/>
      </c>
      <c r="S1337">
        <f>IF($P1337="","",IFERROR(INDEX($F$6:$F$2005,MATCH($Q1337,WageIds,0)),""))</f>
        <v/>
      </c>
      <c r="T1337">
        <f>IF(OR($P1337="",$S1337="",$S1337="نامعتبر"),"",LEFT($S1337,4)&amp;MID($S1337,6,2)&amp;RIGHT($S1337,2)&amp;"0000"&amp;"|"&amp;"2"&amp;RIGHT("00000"&amp;1332,5))</f>
        <v/>
      </c>
      <c r="U1337">
        <f>IF($T1337="","",COUNTIFS(LdAParty,$P1337,LdAType,1,LdAKey,"&lt;"&amp;$T1337)+COUNTIFS(LdBMember,$P1337,LdBKey,"&lt;"&amp;$T1337)+COUNTIFS(LdCParty,$P1337,LdCKey,"&lt;"&amp;$T1337)+1)</f>
        <v/>
      </c>
      <c r="V1337">
        <f>IF($U1337="","",$P1337&amp;"|"&amp;RIGHT("000000"&amp;$U1337,6))</f>
        <v/>
      </c>
      <c r="W1337">
        <f>IF($T1337="","",COUNTIFS(LdBGroup,$R1337,LdBKey,"&lt;"&amp;$T1337)+1)</f>
        <v/>
      </c>
      <c r="X1337">
        <f>IF($W1337="","",$R1337&amp;"|"&amp;RIGHT("000000"&amp;$W1337,6))</f>
        <v/>
      </c>
      <c r="Y1337">
        <f>IF($P1337="","",IF(Shares!$E1340="",0,Shares!$E1340))</f>
        <v/>
      </c>
      <c r="Z1337">
        <f>IF($P1337="","",Shares!$H1340)</f>
        <v/>
      </c>
      <c r="AE1337">
        <f>IF(OR(Sync!$S1337="",Sync!$P1337=""),"",Sync!$S1337)</f>
        <v/>
      </c>
      <c r="AF1337">
        <f>IF($AE1337="","",IF(ISNUMBER(Sync!$P1337),IF(AND(Sync!$P1337&gt;=10000101,Sync!$P1337&lt;=99991231),INT(Sync!$P1337/10000),""),IFERROR(VALUE(TRIM(LEFT(Sync!$P1337,FIND("/",Sync!$P1337)-1))),"")))</f>
        <v/>
      </c>
      <c r="AG1337">
        <f>IF(OR($AE1337="",$AF1337=""),"",IF(ISNUMBER(Sync!$P1337),INT(MOD(Sync!$P1337,10000)/100),IFERROR(VALUE(TRIM(LEFT(MID(Sync!$P1337,FIND("/",Sync!$P1337)+1,20),FIND("/",MID(Sync!$P1337,FIND("/",Sync!$P1337)+1,20))-1))),"")))</f>
        <v/>
      </c>
      <c r="AH1337">
        <f>IF(OR($AE1337="",$AF1337=""),"",IF(ISNUMBER(Sync!$P1337),MOD(Sync!$P1337,100),IFERROR(VALUE(TRIM(MID(MID(Sync!$P1337,FIND("/",Sync!$P1337)+1,20),FIND("/",MID(Sync!$P1337,FIND("/",Sync!$P1337)+1,20))+1,20))),"")))</f>
        <v/>
      </c>
      <c r="AI1337">
        <f>IF($AE1337="","",IF(OR($AF1337="",$AG1337="",$AH1337="",$AF1337&lt;1300,$AF1337&gt;1500,$AG1337&lt;1,$AG1337&gt;12,$AH1337&lt;1,$AH1337&gt;31),"نامعتبر",RIGHT("0000"&amp;$AF1337,4)&amp;"/"&amp;RIGHT("00"&amp;$AG1337,2)&amp;"/"&amp;RIGHT("00"&amp;$AH1337,2)))</f>
        <v/>
      </c>
      <c r="AJ1337">
        <f>IF($AE1337="","",IF(Sync!$Q1337="","0000",IF(AND(ISNUMBER(Sync!$Q1337),Sync!$Q1337&gt;=0,Sync!$Q1337&lt;1),RIGHT("00"&amp;HOUR(Sync!$Q1337),2)&amp;RIGHT("00"&amp;MINUTE(Sync!$Q1337),2),IFERROR(RIGHT("00"&amp;VALUE(LEFT(Sync!$Q1337,FIND(":",Sync!$Q1337)-1)),2)&amp;RIGHT("00"&amp;VALUE(MID(Sync!$Q1337,FIND(":",Sync!$Q1337)+1,2)),2),"0000"))))</f>
        <v/>
      </c>
      <c r="AK1337">
        <f>IF(OR($AE1337="",$AI1337="",$AI1337="نامعتبر"),"",LEFT($AI1337,4)&amp;MID($AI1337,6,2)&amp;RIGHT($AI1337,2)&amp;$AJ1337&amp;"|"&amp;"3"&amp;RIGHT("00000"&amp;1332,5))</f>
        <v/>
      </c>
      <c r="AL1337">
        <f>IF($AK1337="","",COUNTIFS(LdAParty,$AE1337,LdAType,1,LdAKey,"&lt;"&amp;$AK1337)+COUNTIFS(LdBMember,$AE1337,LdBKey,"&lt;"&amp;$AK1337)+COUNTIFS(LdCParty,$AE1337,LdCKey,"&lt;"&amp;$AK1337)+1)</f>
        <v/>
      </c>
      <c r="AM1337">
        <f>IF($AL1337="","",$AE1337&amp;"|"&amp;RIGHT("000000"&amp;$AL1337,6))</f>
        <v/>
      </c>
      <c r="AN1337">
        <f>IF($AE1337="","",IF(Sync!$W1337="",0,Sync!$W1337))</f>
        <v/>
      </c>
      <c r="AO1337">
        <f>IF($AE1337="","",IF(Sync!$X1337="",0,Sync!$X1337))</f>
        <v/>
      </c>
      <c r="AP1337">
        <f>IF($AE1337="","",Sync!$R1337)</f>
        <v/>
      </c>
      <c r="AQ1337">
        <f>IF($AE1337="","",Sync!$Y1337)</f>
        <v/>
      </c>
    </row>
    <row r="1338">
      <c r="A1338">
        <f>IF(OR(Wages!$B1341="",Wages!$E1341=""),"",Wages!$E1341)</f>
        <v/>
      </c>
      <c r="B1338">
        <f>IF($A1338="","",IF(Wages!$C1341="دستمزد گروهی",2,1))</f>
        <v/>
      </c>
      <c r="C1338">
        <f>IF($A1338="","",IF(ISNUMBER(Wages!$B1341),IF(AND(Wages!$B1341&gt;=10000101,Wages!$B1341&lt;=99991231),INT(Wages!$B1341/10000),""),IFERROR(VALUE(TRIM(LEFT(Wages!$B1341,FIND("/",Wages!$B1341)-1))),"")))</f>
        <v/>
      </c>
      <c r="D1338">
        <f>IF(OR($A1338="",$C1338=""),"",IF(ISNUMBER(Wages!$B1341),INT(MOD(Wages!$B1341,10000)/100),IFERROR(VALUE(TRIM(LEFT(MID(Wages!$B1341,FIND("/",Wages!$B1341)+1,20),FIND("/",MID(Wages!$B1341,FIND("/",Wages!$B1341)+1,20))-1))),"")))</f>
        <v/>
      </c>
      <c r="E1338">
        <f>IF(OR($A1338="",$C1338=""),"",IF(ISNUMBER(Wages!$B1341),MOD(Wages!$B1341,100),IFERROR(VALUE(TRIM(MID(MID(Wages!$B1341,FIND("/",Wages!$B1341)+1,20),FIND("/",MID(Wages!$B1341,FIND("/",Wages!$B1341)+1,20))+1,20))),"")))</f>
        <v/>
      </c>
      <c r="F1338">
        <f>IF($A1338="","",IF(OR($C1338="",$D1338="",$E1338="",$C1338&lt;1300,$C1338&gt;1500,$D1338&lt;1,$D1338&gt;12,$E1338&lt;1,$E1338&gt;31),"نامعتبر",RIGHT("0000"&amp;$C1338,4)&amp;"/"&amp;RIGHT("00"&amp;$D1338,2)&amp;"/"&amp;RIGHT("00"&amp;$E1338,2)))</f>
        <v/>
      </c>
      <c r="G1338">
        <f>IF(OR($A1338="",$F1338="",$F1338="نامعتبر"),"",LEFT($F1338,4)&amp;MID($F1338,6,2)&amp;RIGHT($F1338,2)&amp;"0000"&amp;"|"&amp;"1"&amp;RIGHT("00000"&amp;1333,5))</f>
        <v/>
      </c>
      <c r="H1338">
        <f>IF(OR($B1338&lt;&gt;1,$G1338=""),"",COUNTIFS(LdAParty,$A1338,LdAType,1,LdAKey,"&lt;"&amp;$G1338)+COUNTIFS(LdBMember,$A1338,LdBKey,"&lt;"&amp;$G1338)+COUNTIFS(LdCParty,$A1338,LdCKey,"&lt;"&amp;$G1338)+1)</f>
        <v/>
      </c>
      <c r="I1338">
        <f>IF($H1338="","",$A1338&amp;"|"&amp;RIGHT("000000"&amp;$H1338,6))</f>
        <v/>
      </c>
      <c r="J1338">
        <f>IF(OR($B1338&lt;&gt;2,$G1338=""),"",COUNTIFS(LdAParty,$A1338,LdAType,2,LdAKey,"&lt;"&amp;$G1338)+1)</f>
        <v/>
      </c>
      <c r="K1338">
        <f>IF($J1338="","",$A1338&amp;"|"&amp;RIGHT("000000"&amp;$J1338,6))</f>
        <v/>
      </c>
      <c r="L1338">
        <f>IF($A1338="","",IF(Wages!$G1341="",0,Wages!$G1341))</f>
        <v/>
      </c>
      <c r="M1338">
        <f>IF($A1338="","",Wages!$J1341)</f>
        <v/>
      </c>
      <c r="N1338">
        <f>IF($A1338="","",Wages!$D1341)</f>
        <v/>
      </c>
      <c r="P1338">
        <f>IF(OR(Shares!$B1341="",Shares!$C1341=""),"",Shares!$C1341)</f>
        <v/>
      </c>
      <c r="Q1338">
        <f>IF($P1338="","",Shares!$B1341)</f>
        <v/>
      </c>
      <c r="R1338">
        <f>IF($P1338="","",IFERROR(INDEX(WageParty,MATCH($Q1338,WageIds,0)),""))</f>
        <v/>
      </c>
      <c r="S1338">
        <f>IF($P1338="","",IFERROR(INDEX($F$6:$F$2005,MATCH($Q1338,WageIds,0)),""))</f>
        <v/>
      </c>
      <c r="T1338">
        <f>IF(OR($P1338="",$S1338="",$S1338="نامعتبر"),"",LEFT($S1338,4)&amp;MID($S1338,6,2)&amp;RIGHT($S1338,2)&amp;"0000"&amp;"|"&amp;"2"&amp;RIGHT("00000"&amp;1333,5))</f>
        <v/>
      </c>
      <c r="U1338">
        <f>IF($T1338="","",COUNTIFS(LdAParty,$P1338,LdAType,1,LdAKey,"&lt;"&amp;$T1338)+COUNTIFS(LdBMember,$P1338,LdBKey,"&lt;"&amp;$T1338)+COUNTIFS(LdCParty,$P1338,LdCKey,"&lt;"&amp;$T1338)+1)</f>
        <v/>
      </c>
      <c r="V1338">
        <f>IF($U1338="","",$P1338&amp;"|"&amp;RIGHT("000000"&amp;$U1338,6))</f>
        <v/>
      </c>
      <c r="W1338">
        <f>IF($T1338="","",COUNTIFS(LdBGroup,$R1338,LdBKey,"&lt;"&amp;$T1338)+1)</f>
        <v/>
      </c>
      <c r="X1338">
        <f>IF($W1338="","",$R1338&amp;"|"&amp;RIGHT("000000"&amp;$W1338,6))</f>
        <v/>
      </c>
      <c r="Y1338">
        <f>IF($P1338="","",IF(Shares!$E1341="",0,Shares!$E1341))</f>
        <v/>
      </c>
      <c r="Z1338">
        <f>IF($P1338="","",Shares!$H1341)</f>
        <v/>
      </c>
      <c r="AE1338">
        <f>IF(OR(Sync!$S1338="",Sync!$P1338=""),"",Sync!$S1338)</f>
        <v/>
      </c>
      <c r="AF1338">
        <f>IF($AE1338="","",IF(ISNUMBER(Sync!$P1338),IF(AND(Sync!$P1338&gt;=10000101,Sync!$P1338&lt;=99991231),INT(Sync!$P1338/10000),""),IFERROR(VALUE(TRIM(LEFT(Sync!$P1338,FIND("/",Sync!$P1338)-1))),"")))</f>
        <v/>
      </c>
      <c r="AG1338">
        <f>IF(OR($AE1338="",$AF1338=""),"",IF(ISNUMBER(Sync!$P1338),INT(MOD(Sync!$P1338,10000)/100),IFERROR(VALUE(TRIM(LEFT(MID(Sync!$P1338,FIND("/",Sync!$P1338)+1,20),FIND("/",MID(Sync!$P1338,FIND("/",Sync!$P1338)+1,20))-1))),"")))</f>
        <v/>
      </c>
      <c r="AH1338">
        <f>IF(OR($AE1338="",$AF1338=""),"",IF(ISNUMBER(Sync!$P1338),MOD(Sync!$P1338,100),IFERROR(VALUE(TRIM(MID(MID(Sync!$P1338,FIND("/",Sync!$P1338)+1,20),FIND("/",MID(Sync!$P1338,FIND("/",Sync!$P1338)+1,20))+1,20))),"")))</f>
        <v/>
      </c>
      <c r="AI1338">
        <f>IF($AE1338="","",IF(OR($AF1338="",$AG1338="",$AH1338="",$AF1338&lt;1300,$AF1338&gt;1500,$AG1338&lt;1,$AG1338&gt;12,$AH1338&lt;1,$AH1338&gt;31),"نامعتبر",RIGHT("0000"&amp;$AF1338,4)&amp;"/"&amp;RIGHT("00"&amp;$AG1338,2)&amp;"/"&amp;RIGHT("00"&amp;$AH1338,2)))</f>
        <v/>
      </c>
      <c r="AJ1338">
        <f>IF($AE1338="","",IF(Sync!$Q1338="","0000",IF(AND(ISNUMBER(Sync!$Q1338),Sync!$Q1338&gt;=0,Sync!$Q1338&lt;1),RIGHT("00"&amp;HOUR(Sync!$Q1338),2)&amp;RIGHT("00"&amp;MINUTE(Sync!$Q1338),2),IFERROR(RIGHT("00"&amp;VALUE(LEFT(Sync!$Q1338,FIND(":",Sync!$Q1338)-1)),2)&amp;RIGHT("00"&amp;VALUE(MID(Sync!$Q1338,FIND(":",Sync!$Q1338)+1,2)),2),"0000"))))</f>
        <v/>
      </c>
      <c r="AK1338">
        <f>IF(OR($AE1338="",$AI1338="",$AI1338="نامعتبر"),"",LEFT($AI1338,4)&amp;MID($AI1338,6,2)&amp;RIGHT($AI1338,2)&amp;$AJ1338&amp;"|"&amp;"3"&amp;RIGHT("00000"&amp;1333,5))</f>
        <v/>
      </c>
      <c r="AL1338">
        <f>IF($AK1338="","",COUNTIFS(LdAParty,$AE1338,LdAType,1,LdAKey,"&lt;"&amp;$AK1338)+COUNTIFS(LdBMember,$AE1338,LdBKey,"&lt;"&amp;$AK1338)+COUNTIFS(LdCParty,$AE1338,LdCKey,"&lt;"&amp;$AK1338)+1)</f>
        <v/>
      </c>
      <c r="AM1338">
        <f>IF($AL1338="","",$AE1338&amp;"|"&amp;RIGHT("000000"&amp;$AL1338,6))</f>
        <v/>
      </c>
      <c r="AN1338">
        <f>IF($AE1338="","",IF(Sync!$W1338="",0,Sync!$W1338))</f>
        <v/>
      </c>
      <c r="AO1338">
        <f>IF($AE1338="","",IF(Sync!$X1338="",0,Sync!$X1338))</f>
        <v/>
      </c>
      <c r="AP1338">
        <f>IF($AE1338="","",Sync!$R1338)</f>
        <v/>
      </c>
      <c r="AQ1338">
        <f>IF($AE1338="","",Sync!$Y1338)</f>
        <v/>
      </c>
    </row>
    <row r="1339">
      <c r="A1339">
        <f>IF(OR(Wages!$B1342="",Wages!$E1342=""),"",Wages!$E1342)</f>
        <v/>
      </c>
      <c r="B1339">
        <f>IF($A1339="","",IF(Wages!$C1342="دستمزد گروهی",2,1))</f>
        <v/>
      </c>
      <c r="C1339">
        <f>IF($A1339="","",IF(ISNUMBER(Wages!$B1342),IF(AND(Wages!$B1342&gt;=10000101,Wages!$B1342&lt;=99991231),INT(Wages!$B1342/10000),""),IFERROR(VALUE(TRIM(LEFT(Wages!$B1342,FIND("/",Wages!$B1342)-1))),"")))</f>
        <v/>
      </c>
      <c r="D1339">
        <f>IF(OR($A1339="",$C1339=""),"",IF(ISNUMBER(Wages!$B1342),INT(MOD(Wages!$B1342,10000)/100),IFERROR(VALUE(TRIM(LEFT(MID(Wages!$B1342,FIND("/",Wages!$B1342)+1,20),FIND("/",MID(Wages!$B1342,FIND("/",Wages!$B1342)+1,20))-1))),"")))</f>
        <v/>
      </c>
      <c r="E1339">
        <f>IF(OR($A1339="",$C1339=""),"",IF(ISNUMBER(Wages!$B1342),MOD(Wages!$B1342,100),IFERROR(VALUE(TRIM(MID(MID(Wages!$B1342,FIND("/",Wages!$B1342)+1,20),FIND("/",MID(Wages!$B1342,FIND("/",Wages!$B1342)+1,20))+1,20))),"")))</f>
        <v/>
      </c>
      <c r="F1339">
        <f>IF($A1339="","",IF(OR($C1339="",$D1339="",$E1339="",$C1339&lt;1300,$C1339&gt;1500,$D1339&lt;1,$D1339&gt;12,$E1339&lt;1,$E1339&gt;31),"نامعتبر",RIGHT("0000"&amp;$C1339,4)&amp;"/"&amp;RIGHT("00"&amp;$D1339,2)&amp;"/"&amp;RIGHT("00"&amp;$E1339,2)))</f>
        <v/>
      </c>
      <c r="G1339">
        <f>IF(OR($A1339="",$F1339="",$F1339="نامعتبر"),"",LEFT($F1339,4)&amp;MID($F1339,6,2)&amp;RIGHT($F1339,2)&amp;"0000"&amp;"|"&amp;"1"&amp;RIGHT("00000"&amp;1334,5))</f>
        <v/>
      </c>
      <c r="H1339">
        <f>IF(OR($B1339&lt;&gt;1,$G1339=""),"",COUNTIFS(LdAParty,$A1339,LdAType,1,LdAKey,"&lt;"&amp;$G1339)+COUNTIFS(LdBMember,$A1339,LdBKey,"&lt;"&amp;$G1339)+COUNTIFS(LdCParty,$A1339,LdCKey,"&lt;"&amp;$G1339)+1)</f>
        <v/>
      </c>
      <c r="I1339">
        <f>IF($H1339="","",$A1339&amp;"|"&amp;RIGHT("000000"&amp;$H1339,6))</f>
        <v/>
      </c>
      <c r="J1339">
        <f>IF(OR($B1339&lt;&gt;2,$G1339=""),"",COUNTIFS(LdAParty,$A1339,LdAType,2,LdAKey,"&lt;"&amp;$G1339)+1)</f>
        <v/>
      </c>
      <c r="K1339">
        <f>IF($J1339="","",$A1339&amp;"|"&amp;RIGHT("000000"&amp;$J1339,6))</f>
        <v/>
      </c>
      <c r="L1339">
        <f>IF($A1339="","",IF(Wages!$G1342="",0,Wages!$G1342))</f>
        <v/>
      </c>
      <c r="M1339">
        <f>IF($A1339="","",Wages!$J1342)</f>
        <v/>
      </c>
      <c r="N1339">
        <f>IF($A1339="","",Wages!$D1342)</f>
        <v/>
      </c>
      <c r="P1339">
        <f>IF(OR(Shares!$B1342="",Shares!$C1342=""),"",Shares!$C1342)</f>
        <v/>
      </c>
      <c r="Q1339">
        <f>IF($P1339="","",Shares!$B1342)</f>
        <v/>
      </c>
      <c r="R1339">
        <f>IF($P1339="","",IFERROR(INDEX(WageParty,MATCH($Q1339,WageIds,0)),""))</f>
        <v/>
      </c>
      <c r="S1339">
        <f>IF($P1339="","",IFERROR(INDEX($F$6:$F$2005,MATCH($Q1339,WageIds,0)),""))</f>
        <v/>
      </c>
      <c r="T1339">
        <f>IF(OR($P1339="",$S1339="",$S1339="نامعتبر"),"",LEFT($S1339,4)&amp;MID($S1339,6,2)&amp;RIGHT($S1339,2)&amp;"0000"&amp;"|"&amp;"2"&amp;RIGHT("00000"&amp;1334,5))</f>
        <v/>
      </c>
      <c r="U1339">
        <f>IF($T1339="","",COUNTIFS(LdAParty,$P1339,LdAType,1,LdAKey,"&lt;"&amp;$T1339)+COUNTIFS(LdBMember,$P1339,LdBKey,"&lt;"&amp;$T1339)+COUNTIFS(LdCParty,$P1339,LdCKey,"&lt;"&amp;$T1339)+1)</f>
        <v/>
      </c>
      <c r="V1339">
        <f>IF($U1339="","",$P1339&amp;"|"&amp;RIGHT("000000"&amp;$U1339,6))</f>
        <v/>
      </c>
      <c r="W1339">
        <f>IF($T1339="","",COUNTIFS(LdBGroup,$R1339,LdBKey,"&lt;"&amp;$T1339)+1)</f>
        <v/>
      </c>
      <c r="X1339">
        <f>IF($W1339="","",$R1339&amp;"|"&amp;RIGHT("000000"&amp;$W1339,6))</f>
        <v/>
      </c>
      <c r="Y1339">
        <f>IF($P1339="","",IF(Shares!$E1342="",0,Shares!$E1342))</f>
        <v/>
      </c>
      <c r="Z1339">
        <f>IF($P1339="","",Shares!$H1342)</f>
        <v/>
      </c>
      <c r="AE1339">
        <f>IF(OR(Sync!$S1339="",Sync!$P1339=""),"",Sync!$S1339)</f>
        <v/>
      </c>
      <c r="AF1339">
        <f>IF($AE1339="","",IF(ISNUMBER(Sync!$P1339),IF(AND(Sync!$P1339&gt;=10000101,Sync!$P1339&lt;=99991231),INT(Sync!$P1339/10000),""),IFERROR(VALUE(TRIM(LEFT(Sync!$P1339,FIND("/",Sync!$P1339)-1))),"")))</f>
        <v/>
      </c>
      <c r="AG1339">
        <f>IF(OR($AE1339="",$AF1339=""),"",IF(ISNUMBER(Sync!$P1339),INT(MOD(Sync!$P1339,10000)/100),IFERROR(VALUE(TRIM(LEFT(MID(Sync!$P1339,FIND("/",Sync!$P1339)+1,20),FIND("/",MID(Sync!$P1339,FIND("/",Sync!$P1339)+1,20))-1))),"")))</f>
        <v/>
      </c>
      <c r="AH1339">
        <f>IF(OR($AE1339="",$AF1339=""),"",IF(ISNUMBER(Sync!$P1339),MOD(Sync!$P1339,100),IFERROR(VALUE(TRIM(MID(MID(Sync!$P1339,FIND("/",Sync!$P1339)+1,20),FIND("/",MID(Sync!$P1339,FIND("/",Sync!$P1339)+1,20))+1,20))),"")))</f>
        <v/>
      </c>
      <c r="AI1339">
        <f>IF($AE1339="","",IF(OR($AF1339="",$AG1339="",$AH1339="",$AF1339&lt;1300,$AF1339&gt;1500,$AG1339&lt;1,$AG1339&gt;12,$AH1339&lt;1,$AH1339&gt;31),"نامعتبر",RIGHT("0000"&amp;$AF1339,4)&amp;"/"&amp;RIGHT("00"&amp;$AG1339,2)&amp;"/"&amp;RIGHT("00"&amp;$AH1339,2)))</f>
        <v/>
      </c>
      <c r="AJ1339">
        <f>IF($AE1339="","",IF(Sync!$Q1339="","0000",IF(AND(ISNUMBER(Sync!$Q1339),Sync!$Q1339&gt;=0,Sync!$Q1339&lt;1),RIGHT("00"&amp;HOUR(Sync!$Q1339),2)&amp;RIGHT("00"&amp;MINUTE(Sync!$Q1339),2),IFERROR(RIGHT("00"&amp;VALUE(LEFT(Sync!$Q1339,FIND(":",Sync!$Q1339)-1)),2)&amp;RIGHT("00"&amp;VALUE(MID(Sync!$Q1339,FIND(":",Sync!$Q1339)+1,2)),2),"0000"))))</f>
        <v/>
      </c>
      <c r="AK1339">
        <f>IF(OR($AE1339="",$AI1339="",$AI1339="نامعتبر"),"",LEFT($AI1339,4)&amp;MID($AI1339,6,2)&amp;RIGHT($AI1339,2)&amp;$AJ1339&amp;"|"&amp;"3"&amp;RIGHT("00000"&amp;1334,5))</f>
        <v/>
      </c>
      <c r="AL1339">
        <f>IF($AK1339="","",COUNTIFS(LdAParty,$AE1339,LdAType,1,LdAKey,"&lt;"&amp;$AK1339)+COUNTIFS(LdBMember,$AE1339,LdBKey,"&lt;"&amp;$AK1339)+COUNTIFS(LdCParty,$AE1339,LdCKey,"&lt;"&amp;$AK1339)+1)</f>
        <v/>
      </c>
      <c r="AM1339">
        <f>IF($AL1339="","",$AE1339&amp;"|"&amp;RIGHT("000000"&amp;$AL1339,6))</f>
        <v/>
      </c>
      <c r="AN1339">
        <f>IF($AE1339="","",IF(Sync!$W1339="",0,Sync!$W1339))</f>
        <v/>
      </c>
      <c r="AO1339">
        <f>IF($AE1339="","",IF(Sync!$X1339="",0,Sync!$X1339))</f>
        <v/>
      </c>
      <c r="AP1339">
        <f>IF($AE1339="","",Sync!$R1339)</f>
        <v/>
      </c>
      <c r="AQ1339">
        <f>IF($AE1339="","",Sync!$Y1339)</f>
        <v/>
      </c>
    </row>
    <row r="1340">
      <c r="A1340">
        <f>IF(OR(Wages!$B1343="",Wages!$E1343=""),"",Wages!$E1343)</f>
        <v/>
      </c>
      <c r="B1340">
        <f>IF($A1340="","",IF(Wages!$C1343="دستمزد گروهی",2,1))</f>
        <v/>
      </c>
      <c r="C1340">
        <f>IF($A1340="","",IF(ISNUMBER(Wages!$B1343),IF(AND(Wages!$B1343&gt;=10000101,Wages!$B1343&lt;=99991231),INT(Wages!$B1343/10000),""),IFERROR(VALUE(TRIM(LEFT(Wages!$B1343,FIND("/",Wages!$B1343)-1))),"")))</f>
        <v/>
      </c>
      <c r="D1340">
        <f>IF(OR($A1340="",$C1340=""),"",IF(ISNUMBER(Wages!$B1343),INT(MOD(Wages!$B1343,10000)/100),IFERROR(VALUE(TRIM(LEFT(MID(Wages!$B1343,FIND("/",Wages!$B1343)+1,20),FIND("/",MID(Wages!$B1343,FIND("/",Wages!$B1343)+1,20))-1))),"")))</f>
        <v/>
      </c>
      <c r="E1340">
        <f>IF(OR($A1340="",$C1340=""),"",IF(ISNUMBER(Wages!$B1343),MOD(Wages!$B1343,100),IFERROR(VALUE(TRIM(MID(MID(Wages!$B1343,FIND("/",Wages!$B1343)+1,20),FIND("/",MID(Wages!$B1343,FIND("/",Wages!$B1343)+1,20))+1,20))),"")))</f>
        <v/>
      </c>
      <c r="F1340">
        <f>IF($A1340="","",IF(OR($C1340="",$D1340="",$E1340="",$C1340&lt;1300,$C1340&gt;1500,$D1340&lt;1,$D1340&gt;12,$E1340&lt;1,$E1340&gt;31),"نامعتبر",RIGHT("0000"&amp;$C1340,4)&amp;"/"&amp;RIGHT("00"&amp;$D1340,2)&amp;"/"&amp;RIGHT("00"&amp;$E1340,2)))</f>
        <v/>
      </c>
      <c r="G1340">
        <f>IF(OR($A1340="",$F1340="",$F1340="نامعتبر"),"",LEFT($F1340,4)&amp;MID($F1340,6,2)&amp;RIGHT($F1340,2)&amp;"0000"&amp;"|"&amp;"1"&amp;RIGHT("00000"&amp;1335,5))</f>
        <v/>
      </c>
      <c r="H1340">
        <f>IF(OR($B1340&lt;&gt;1,$G1340=""),"",COUNTIFS(LdAParty,$A1340,LdAType,1,LdAKey,"&lt;"&amp;$G1340)+COUNTIFS(LdBMember,$A1340,LdBKey,"&lt;"&amp;$G1340)+COUNTIFS(LdCParty,$A1340,LdCKey,"&lt;"&amp;$G1340)+1)</f>
        <v/>
      </c>
      <c r="I1340">
        <f>IF($H1340="","",$A1340&amp;"|"&amp;RIGHT("000000"&amp;$H1340,6))</f>
        <v/>
      </c>
      <c r="J1340">
        <f>IF(OR($B1340&lt;&gt;2,$G1340=""),"",COUNTIFS(LdAParty,$A1340,LdAType,2,LdAKey,"&lt;"&amp;$G1340)+1)</f>
        <v/>
      </c>
      <c r="K1340">
        <f>IF($J1340="","",$A1340&amp;"|"&amp;RIGHT("000000"&amp;$J1340,6))</f>
        <v/>
      </c>
      <c r="L1340">
        <f>IF($A1340="","",IF(Wages!$G1343="",0,Wages!$G1343))</f>
        <v/>
      </c>
      <c r="M1340">
        <f>IF($A1340="","",Wages!$J1343)</f>
        <v/>
      </c>
      <c r="N1340">
        <f>IF($A1340="","",Wages!$D1343)</f>
        <v/>
      </c>
      <c r="P1340">
        <f>IF(OR(Shares!$B1343="",Shares!$C1343=""),"",Shares!$C1343)</f>
        <v/>
      </c>
      <c r="Q1340">
        <f>IF($P1340="","",Shares!$B1343)</f>
        <v/>
      </c>
      <c r="R1340">
        <f>IF($P1340="","",IFERROR(INDEX(WageParty,MATCH($Q1340,WageIds,0)),""))</f>
        <v/>
      </c>
      <c r="S1340">
        <f>IF($P1340="","",IFERROR(INDEX($F$6:$F$2005,MATCH($Q1340,WageIds,0)),""))</f>
        <v/>
      </c>
      <c r="T1340">
        <f>IF(OR($P1340="",$S1340="",$S1340="نامعتبر"),"",LEFT($S1340,4)&amp;MID($S1340,6,2)&amp;RIGHT($S1340,2)&amp;"0000"&amp;"|"&amp;"2"&amp;RIGHT("00000"&amp;1335,5))</f>
        <v/>
      </c>
      <c r="U1340">
        <f>IF($T1340="","",COUNTIFS(LdAParty,$P1340,LdAType,1,LdAKey,"&lt;"&amp;$T1340)+COUNTIFS(LdBMember,$P1340,LdBKey,"&lt;"&amp;$T1340)+COUNTIFS(LdCParty,$P1340,LdCKey,"&lt;"&amp;$T1340)+1)</f>
        <v/>
      </c>
      <c r="V1340">
        <f>IF($U1340="","",$P1340&amp;"|"&amp;RIGHT("000000"&amp;$U1340,6))</f>
        <v/>
      </c>
      <c r="W1340">
        <f>IF($T1340="","",COUNTIFS(LdBGroup,$R1340,LdBKey,"&lt;"&amp;$T1340)+1)</f>
        <v/>
      </c>
      <c r="X1340">
        <f>IF($W1340="","",$R1340&amp;"|"&amp;RIGHT("000000"&amp;$W1340,6))</f>
        <v/>
      </c>
      <c r="Y1340">
        <f>IF($P1340="","",IF(Shares!$E1343="",0,Shares!$E1343))</f>
        <v/>
      </c>
      <c r="Z1340">
        <f>IF($P1340="","",Shares!$H1343)</f>
        <v/>
      </c>
      <c r="AE1340">
        <f>IF(OR(Sync!$S1340="",Sync!$P1340=""),"",Sync!$S1340)</f>
        <v/>
      </c>
      <c r="AF1340">
        <f>IF($AE1340="","",IF(ISNUMBER(Sync!$P1340),IF(AND(Sync!$P1340&gt;=10000101,Sync!$P1340&lt;=99991231),INT(Sync!$P1340/10000),""),IFERROR(VALUE(TRIM(LEFT(Sync!$P1340,FIND("/",Sync!$P1340)-1))),"")))</f>
        <v/>
      </c>
      <c r="AG1340">
        <f>IF(OR($AE1340="",$AF1340=""),"",IF(ISNUMBER(Sync!$P1340),INT(MOD(Sync!$P1340,10000)/100),IFERROR(VALUE(TRIM(LEFT(MID(Sync!$P1340,FIND("/",Sync!$P1340)+1,20),FIND("/",MID(Sync!$P1340,FIND("/",Sync!$P1340)+1,20))-1))),"")))</f>
        <v/>
      </c>
      <c r="AH1340">
        <f>IF(OR($AE1340="",$AF1340=""),"",IF(ISNUMBER(Sync!$P1340),MOD(Sync!$P1340,100),IFERROR(VALUE(TRIM(MID(MID(Sync!$P1340,FIND("/",Sync!$P1340)+1,20),FIND("/",MID(Sync!$P1340,FIND("/",Sync!$P1340)+1,20))+1,20))),"")))</f>
        <v/>
      </c>
      <c r="AI1340">
        <f>IF($AE1340="","",IF(OR($AF1340="",$AG1340="",$AH1340="",$AF1340&lt;1300,$AF1340&gt;1500,$AG1340&lt;1,$AG1340&gt;12,$AH1340&lt;1,$AH1340&gt;31),"نامعتبر",RIGHT("0000"&amp;$AF1340,4)&amp;"/"&amp;RIGHT("00"&amp;$AG1340,2)&amp;"/"&amp;RIGHT("00"&amp;$AH1340,2)))</f>
        <v/>
      </c>
      <c r="AJ1340">
        <f>IF($AE1340="","",IF(Sync!$Q1340="","0000",IF(AND(ISNUMBER(Sync!$Q1340),Sync!$Q1340&gt;=0,Sync!$Q1340&lt;1),RIGHT("00"&amp;HOUR(Sync!$Q1340),2)&amp;RIGHT("00"&amp;MINUTE(Sync!$Q1340),2),IFERROR(RIGHT("00"&amp;VALUE(LEFT(Sync!$Q1340,FIND(":",Sync!$Q1340)-1)),2)&amp;RIGHT("00"&amp;VALUE(MID(Sync!$Q1340,FIND(":",Sync!$Q1340)+1,2)),2),"0000"))))</f>
        <v/>
      </c>
      <c r="AK1340">
        <f>IF(OR($AE1340="",$AI1340="",$AI1340="نامعتبر"),"",LEFT($AI1340,4)&amp;MID($AI1340,6,2)&amp;RIGHT($AI1340,2)&amp;$AJ1340&amp;"|"&amp;"3"&amp;RIGHT("00000"&amp;1335,5))</f>
        <v/>
      </c>
      <c r="AL1340">
        <f>IF($AK1340="","",COUNTIFS(LdAParty,$AE1340,LdAType,1,LdAKey,"&lt;"&amp;$AK1340)+COUNTIFS(LdBMember,$AE1340,LdBKey,"&lt;"&amp;$AK1340)+COUNTIFS(LdCParty,$AE1340,LdCKey,"&lt;"&amp;$AK1340)+1)</f>
        <v/>
      </c>
      <c r="AM1340">
        <f>IF($AL1340="","",$AE1340&amp;"|"&amp;RIGHT("000000"&amp;$AL1340,6))</f>
        <v/>
      </c>
      <c r="AN1340">
        <f>IF($AE1340="","",IF(Sync!$W1340="",0,Sync!$W1340))</f>
        <v/>
      </c>
      <c r="AO1340">
        <f>IF($AE1340="","",IF(Sync!$X1340="",0,Sync!$X1340))</f>
        <v/>
      </c>
      <c r="AP1340">
        <f>IF($AE1340="","",Sync!$R1340)</f>
        <v/>
      </c>
      <c r="AQ1340">
        <f>IF($AE1340="","",Sync!$Y1340)</f>
        <v/>
      </c>
    </row>
    <row r="1341">
      <c r="A1341">
        <f>IF(OR(Wages!$B1344="",Wages!$E1344=""),"",Wages!$E1344)</f>
        <v/>
      </c>
      <c r="B1341">
        <f>IF($A1341="","",IF(Wages!$C1344="دستمزد گروهی",2,1))</f>
        <v/>
      </c>
      <c r="C1341">
        <f>IF($A1341="","",IF(ISNUMBER(Wages!$B1344),IF(AND(Wages!$B1344&gt;=10000101,Wages!$B1344&lt;=99991231),INT(Wages!$B1344/10000),""),IFERROR(VALUE(TRIM(LEFT(Wages!$B1344,FIND("/",Wages!$B1344)-1))),"")))</f>
        <v/>
      </c>
      <c r="D1341">
        <f>IF(OR($A1341="",$C1341=""),"",IF(ISNUMBER(Wages!$B1344),INT(MOD(Wages!$B1344,10000)/100),IFERROR(VALUE(TRIM(LEFT(MID(Wages!$B1344,FIND("/",Wages!$B1344)+1,20),FIND("/",MID(Wages!$B1344,FIND("/",Wages!$B1344)+1,20))-1))),"")))</f>
        <v/>
      </c>
      <c r="E1341">
        <f>IF(OR($A1341="",$C1341=""),"",IF(ISNUMBER(Wages!$B1344),MOD(Wages!$B1344,100),IFERROR(VALUE(TRIM(MID(MID(Wages!$B1344,FIND("/",Wages!$B1344)+1,20),FIND("/",MID(Wages!$B1344,FIND("/",Wages!$B1344)+1,20))+1,20))),"")))</f>
        <v/>
      </c>
      <c r="F1341">
        <f>IF($A1341="","",IF(OR($C1341="",$D1341="",$E1341="",$C1341&lt;1300,$C1341&gt;1500,$D1341&lt;1,$D1341&gt;12,$E1341&lt;1,$E1341&gt;31),"نامعتبر",RIGHT("0000"&amp;$C1341,4)&amp;"/"&amp;RIGHT("00"&amp;$D1341,2)&amp;"/"&amp;RIGHT("00"&amp;$E1341,2)))</f>
        <v/>
      </c>
      <c r="G1341">
        <f>IF(OR($A1341="",$F1341="",$F1341="نامعتبر"),"",LEFT($F1341,4)&amp;MID($F1341,6,2)&amp;RIGHT($F1341,2)&amp;"0000"&amp;"|"&amp;"1"&amp;RIGHT("00000"&amp;1336,5))</f>
        <v/>
      </c>
      <c r="H1341">
        <f>IF(OR($B1341&lt;&gt;1,$G1341=""),"",COUNTIFS(LdAParty,$A1341,LdAType,1,LdAKey,"&lt;"&amp;$G1341)+COUNTIFS(LdBMember,$A1341,LdBKey,"&lt;"&amp;$G1341)+COUNTIFS(LdCParty,$A1341,LdCKey,"&lt;"&amp;$G1341)+1)</f>
        <v/>
      </c>
      <c r="I1341">
        <f>IF($H1341="","",$A1341&amp;"|"&amp;RIGHT("000000"&amp;$H1341,6))</f>
        <v/>
      </c>
      <c r="J1341">
        <f>IF(OR($B1341&lt;&gt;2,$G1341=""),"",COUNTIFS(LdAParty,$A1341,LdAType,2,LdAKey,"&lt;"&amp;$G1341)+1)</f>
        <v/>
      </c>
      <c r="K1341">
        <f>IF($J1341="","",$A1341&amp;"|"&amp;RIGHT("000000"&amp;$J1341,6))</f>
        <v/>
      </c>
      <c r="L1341">
        <f>IF($A1341="","",IF(Wages!$G1344="",0,Wages!$G1344))</f>
        <v/>
      </c>
      <c r="M1341">
        <f>IF($A1341="","",Wages!$J1344)</f>
        <v/>
      </c>
      <c r="N1341">
        <f>IF($A1341="","",Wages!$D1344)</f>
        <v/>
      </c>
      <c r="P1341">
        <f>IF(OR(Shares!$B1344="",Shares!$C1344=""),"",Shares!$C1344)</f>
        <v/>
      </c>
      <c r="Q1341">
        <f>IF($P1341="","",Shares!$B1344)</f>
        <v/>
      </c>
      <c r="R1341">
        <f>IF($P1341="","",IFERROR(INDEX(WageParty,MATCH($Q1341,WageIds,0)),""))</f>
        <v/>
      </c>
      <c r="S1341">
        <f>IF($P1341="","",IFERROR(INDEX($F$6:$F$2005,MATCH($Q1341,WageIds,0)),""))</f>
        <v/>
      </c>
      <c r="T1341">
        <f>IF(OR($P1341="",$S1341="",$S1341="نامعتبر"),"",LEFT($S1341,4)&amp;MID($S1341,6,2)&amp;RIGHT($S1341,2)&amp;"0000"&amp;"|"&amp;"2"&amp;RIGHT("00000"&amp;1336,5))</f>
        <v/>
      </c>
      <c r="U1341">
        <f>IF($T1341="","",COUNTIFS(LdAParty,$P1341,LdAType,1,LdAKey,"&lt;"&amp;$T1341)+COUNTIFS(LdBMember,$P1341,LdBKey,"&lt;"&amp;$T1341)+COUNTIFS(LdCParty,$P1341,LdCKey,"&lt;"&amp;$T1341)+1)</f>
        <v/>
      </c>
      <c r="V1341">
        <f>IF($U1341="","",$P1341&amp;"|"&amp;RIGHT("000000"&amp;$U1341,6))</f>
        <v/>
      </c>
      <c r="W1341">
        <f>IF($T1341="","",COUNTIFS(LdBGroup,$R1341,LdBKey,"&lt;"&amp;$T1341)+1)</f>
        <v/>
      </c>
      <c r="X1341">
        <f>IF($W1341="","",$R1341&amp;"|"&amp;RIGHT("000000"&amp;$W1341,6))</f>
        <v/>
      </c>
      <c r="Y1341">
        <f>IF($P1341="","",IF(Shares!$E1344="",0,Shares!$E1344))</f>
        <v/>
      </c>
      <c r="Z1341">
        <f>IF($P1341="","",Shares!$H1344)</f>
        <v/>
      </c>
      <c r="AE1341">
        <f>IF(OR(Sync!$S1341="",Sync!$P1341=""),"",Sync!$S1341)</f>
        <v/>
      </c>
      <c r="AF1341">
        <f>IF($AE1341="","",IF(ISNUMBER(Sync!$P1341),IF(AND(Sync!$P1341&gt;=10000101,Sync!$P1341&lt;=99991231),INT(Sync!$P1341/10000),""),IFERROR(VALUE(TRIM(LEFT(Sync!$P1341,FIND("/",Sync!$P1341)-1))),"")))</f>
        <v/>
      </c>
      <c r="AG1341">
        <f>IF(OR($AE1341="",$AF1341=""),"",IF(ISNUMBER(Sync!$P1341),INT(MOD(Sync!$P1341,10000)/100),IFERROR(VALUE(TRIM(LEFT(MID(Sync!$P1341,FIND("/",Sync!$P1341)+1,20),FIND("/",MID(Sync!$P1341,FIND("/",Sync!$P1341)+1,20))-1))),"")))</f>
        <v/>
      </c>
      <c r="AH1341">
        <f>IF(OR($AE1341="",$AF1341=""),"",IF(ISNUMBER(Sync!$P1341),MOD(Sync!$P1341,100),IFERROR(VALUE(TRIM(MID(MID(Sync!$P1341,FIND("/",Sync!$P1341)+1,20),FIND("/",MID(Sync!$P1341,FIND("/",Sync!$P1341)+1,20))+1,20))),"")))</f>
        <v/>
      </c>
      <c r="AI1341">
        <f>IF($AE1341="","",IF(OR($AF1341="",$AG1341="",$AH1341="",$AF1341&lt;1300,$AF1341&gt;1500,$AG1341&lt;1,$AG1341&gt;12,$AH1341&lt;1,$AH1341&gt;31),"نامعتبر",RIGHT("0000"&amp;$AF1341,4)&amp;"/"&amp;RIGHT("00"&amp;$AG1341,2)&amp;"/"&amp;RIGHT("00"&amp;$AH1341,2)))</f>
        <v/>
      </c>
      <c r="AJ1341">
        <f>IF($AE1341="","",IF(Sync!$Q1341="","0000",IF(AND(ISNUMBER(Sync!$Q1341),Sync!$Q1341&gt;=0,Sync!$Q1341&lt;1),RIGHT("00"&amp;HOUR(Sync!$Q1341),2)&amp;RIGHT("00"&amp;MINUTE(Sync!$Q1341),2),IFERROR(RIGHT("00"&amp;VALUE(LEFT(Sync!$Q1341,FIND(":",Sync!$Q1341)-1)),2)&amp;RIGHT("00"&amp;VALUE(MID(Sync!$Q1341,FIND(":",Sync!$Q1341)+1,2)),2),"0000"))))</f>
        <v/>
      </c>
      <c r="AK1341">
        <f>IF(OR($AE1341="",$AI1341="",$AI1341="نامعتبر"),"",LEFT($AI1341,4)&amp;MID($AI1341,6,2)&amp;RIGHT($AI1341,2)&amp;$AJ1341&amp;"|"&amp;"3"&amp;RIGHT("00000"&amp;1336,5))</f>
        <v/>
      </c>
      <c r="AL1341">
        <f>IF($AK1341="","",COUNTIFS(LdAParty,$AE1341,LdAType,1,LdAKey,"&lt;"&amp;$AK1341)+COUNTIFS(LdBMember,$AE1341,LdBKey,"&lt;"&amp;$AK1341)+COUNTIFS(LdCParty,$AE1341,LdCKey,"&lt;"&amp;$AK1341)+1)</f>
        <v/>
      </c>
      <c r="AM1341">
        <f>IF($AL1341="","",$AE1341&amp;"|"&amp;RIGHT("000000"&amp;$AL1341,6))</f>
        <v/>
      </c>
      <c r="AN1341">
        <f>IF($AE1341="","",IF(Sync!$W1341="",0,Sync!$W1341))</f>
        <v/>
      </c>
      <c r="AO1341">
        <f>IF($AE1341="","",IF(Sync!$X1341="",0,Sync!$X1341))</f>
        <v/>
      </c>
      <c r="AP1341">
        <f>IF($AE1341="","",Sync!$R1341)</f>
        <v/>
      </c>
      <c r="AQ1341">
        <f>IF($AE1341="","",Sync!$Y1341)</f>
        <v/>
      </c>
    </row>
    <row r="1342">
      <c r="A1342">
        <f>IF(OR(Wages!$B1345="",Wages!$E1345=""),"",Wages!$E1345)</f>
        <v/>
      </c>
      <c r="B1342">
        <f>IF($A1342="","",IF(Wages!$C1345="دستمزد گروهی",2,1))</f>
        <v/>
      </c>
      <c r="C1342">
        <f>IF($A1342="","",IF(ISNUMBER(Wages!$B1345),IF(AND(Wages!$B1345&gt;=10000101,Wages!$B1345&lt;=99991231),INT(Wages!$B1345/10000),""),IFERROR(VALUE(TRIM(LEFT(Wages!$B1345,FIND("/",Wages!$B1345)-1))),"")))</f>
        <v/>
      </c>
      <c r="D1342">
        <f>IF(OR($A1342="",$C1342=""),"",IF(ISNUMBER(Wages!$B1345),INT(MOD(Wages!$B1345,10000)/100),IFERROR(VALUE(TRIM(LEFT(MID(Wages!$B1345,FIND("/",Wages!$B1345)+1,20),FIND("/",MID(Wages!$B1345,FIND("/",Wages!$B1345)+1,20))-1))),"")))</f>
        <v/>
      </c>
      <c r="E1342">
        <f>IF(OR($A1342="",$C1342=""),"",IF(ISNUMBER(Wages!$B1345),MOD(Wages!$B1345,100),IFERROR(VALUE(TRIM(MID(MID(Wages!$B1345,FIND("/",Wages!$B1345)+1,20),FIND("/",MID(Wages!$B1345,FIND("/",Wages!$B1345)+1,20))+1,20))),"")))</f>
        <v/>
      </c>
      <c r="F1342">
        <f>IF($A1342="","",IF(OR($C1342="",$D1342="",$E1342="",$C1342&lt;1300,$C1342&gt;1500,$D1342&lt;1,$D1342&gt;12,$E1342&lt;1,$E1342&gt;31),"نامعتبر",RIGHT("0000"&amp;$C1342,4)&amp;"/"&amp;RIGHT("00"&amp;$D1342,2)&amp;"/"&amp;RIGHT("00"&amp;$E1342,2)))</f>
        <v/>
      </c>
      <c r="G1342">
        <f>IF(OR($A1342="",$F1342="",$F1342="نامعتبر"),"",LEFT($F1342,4)&amp;MID($F1342,6,2)&amp;RIGHT($F1342,2)&amp;"0000"&amp;"|"&amp;"1"&amp;RIGHT("00000"&amp;1337,5))</f>
        <v/>
      </c>
      <c r="H1342">
        <f>IF(OR($B1342&lt;&gt;1,$G1342=""),"",COUNTIFS(LdAParty,$A1342,LdAType,1,LdAKey,"&lt;"&amp;$G1342)+COUNTIFS(LdBMember,$A1342,LdBKey,"&lt;"&amp;$G1342)+COUNTIFS(LdCParty,$A1342,LdCKey,"&lt;"&amp;$G1342)+1)</f>
        <v/>
      </c>
      <c r="I1342">
        <f>IF($H1342="","",$A1342&amp;"|"&amp;RIGHT("000000"&amp;$H1342,6))</f>
        <v/>
      </c>
      <c r="J1342">
        <f>IF(OR($B1342&lt;&gt;2,$G1342=""),"",COUNTIFS(LdAParty,$A1342,LdAType,2,LdAKey,"&lt;"&amp;$G1342)+1)</f>
        <v/>
      </c>
      <c r="K1342">
        <f>IF($J1342="","",$A1342&amp;"|"&amp;RIGHT("000000"&amp;$J1342,6))</f>
        <v/>
      </c>
      <c r="L1342">
        <f>IF($A1342="","",IF(Wages!$G1345="",0,Wages!$G1345))</f>
        <v/>
      </c>
      <c r="M1342">
        <f>IF($A1342="","",Wages!$J1345)</f>
        <v/>
      </c>
      <c r="N1342">
        <f>IF($A1342="","",Wages!$D1345)</f>
        <v/>
      </c>
      <c r="P1342">
        <f>IF(OR(Shares!$B1345="",Shares!$C1345=""),"",Shares!$C1345)</f>
        <v/>
      </c>
      <c r="Q1342">
        <f>IF($P1342="","",Shares!$B1345)</f>
        <v/>
      </c>
      <c r="R1342">
        <f>IF($P1342="","",IFERROR(INDEX(WageParty,MATCH($Q1342,WageIds,0)),""))</f>
        <v/>
      </c>
      <c r="S1342">
        <f>IF($P1342="","",IFERROR(INDEX($F$6:$F$2005,MATCH($Q1342,WageIds,0)),""))</f>
        <v/>
      </c>
      <c r="T1342">
        <f>IF(OR($P1342="",$S1342="",$S1342="نامعتبر"),"",LEFT($S1342,4)&amp;MID($S1342,6,2)&amp;RIGHT($S1342,2)&amp;"0000"&amp;"|"&amp;"2"&amp;RIGHT("00000"&amp;1337,5))</f>
        <v/>
      </c>
      <c r="U1342">
        <f>IF($T1342="","",COUNTIFS(LdAParty,$P1342,LdAType,1,LdAKey,"&lt;"&amp;$T1342)+COUNTIFS(LdBMember,$P1342,LdBKey,"&lt;"&amp;$T1342)+COUNTIFS(LdCParty,$P1342,LdCKey,"&lt;"&amp;$T1342)+1)</f>
        <v/>
      </c>
      <c r="V1342">
        <f>IF($U1342="","",$P1342&amp;"|"&amp;RIGHT("000000"&amp;$U1342,6))</f>
        <v/>
      </c>
      <c r="W1342">
        <f>IF($T1342="","",COUNTIFS(LdBGroup,$R1342,LdBKey,"&lt;"&amp;$T1342)+1)</f>
        <v/>
      </c>
      <c r="X1342">
        <f>IF($W1342="","",$R1342&amp;"|"&amp;RIGHT("000000"&amp;$W1342,6))</f>
        <v/>
      </c>
      <c r="Y1342">
        <f>IF($P1342="","",IF(Shares!$E1345="",0,Shares!$E1345))</f>
        <v/>
      </c>
      <c r="Z1342">
        <f>IF($P1342="","",Shares!$H1345)</f>
        <v/>
      </c>
      <c r="AE1342">
        <f>IF(OR(Sync!$S1342="",Sync!$P1342=""),"",Sync!$S1342)</f>
        <v/>
      </c>
      <c r="AF1342">
        <f>IF($AE1342="","",IF(ISNUMBER(Sync!$P1342),IF(AND(Sync!$P1342&gt;=10000101,Sync!$P1342&lt;=99991231),INT(Sync!$P1342/10000),""),IFERROR(VALUE(TRIM(LEFT(Sync!$P1342,FIND("/",Sync!$P1342)-1))),"")))</f>
        <v/>
      </c>
      <c r="AG1342">
        <f>IF(OR($AE1342="",$AF1342=""),"",IF(ISNUMBER(Sync!$P1342),INT(MOD(Sync!$P1342,10000)/100),IFERROR(VALUE(TRIM(LEFT(MID(Sync!$P1342,FIND("/",Sync!$P1342)+1,20),FIND("/",MID(Sync!$P1342,FIND("/",Sync!$P1342)+1,20))-1))),"")))</f>
        <v/>
      </c>
      <c r="AH1342">
        <f>IF(OR($AE1342="",$AF1342=""),"",IF(ISNUMBER(Sync!$P1342),MOD(Sync!$P1342,100),IFERROR(VALUE(TRIM(MID(MID(Sync!$P1342,FIND("/",Sync!$P1342)+1,20),FIND("/",MID(Sync!$P1342,FIND("/",Sync!$P1342)+1,20))+1,20))),"")))</f>
        <v/>
      </c>
      <c r="AI1342">
        <f>IF($AE1342="","",IF(OR($AF1342="",$AG1342="",$AH1342="",$AF1342&lt;1300,$AF1342&gt;1500,$AG1342&lt;1,$AG1342&gt;12,$AH1342&lt;1,$AH1342&gt;31),"نامعتبر",RIGHT("0000"&amp;$AF1342,4)&amp;"/"&amp;RIGHT("00"&amp;$AG1342,2)&amp;"/"&amp;RIGHT("00"&amp;$AH1342,2)))</f>
        <v/>
      </c>
      <c r="AJ1342">
        <f>IF($AE1342="","",IF(Sync!$Q1342="","0000",IF(AND(ISNUMBER(Sync!$Q1342),Sync!$Q1342&gt;=0,Sync!$Q1342&lt;1),RIGHT("00"&amp;HOUR(Sync!$Q1342),2)&amp;RIGHT("00"&amp;MINUTE(Sync!$Q1342),2),IFERROR(RIGHT("00"&amp;VALUE(LEFT(Sync!$Q1342,FIND(":",Sync!$Q1342)-1)),2)&amp;RIGHT("00"&amp;VALUE(MID(Sync!$Q1342,FIND(":",Sync!$Q1342)+1,2)),2),"0000"))))</f>
        <v/>
      </c>
      <c r="AK1342">
        <f>IF(OR($AE1342="",$AI1342="",$AI1342="نامعتبر"),"",LEFT($AI1342,4)&amp;MID($AI1342,6,2)&amp;RIGHT($AI1342,2)&amp;$AJ1342&amp;"|"&amp;"3"&amp;RIGHT("00000"&amp;1337,5))</f>
        <v/>
      </c>
      <c r="AL1342">
        <f>IF($AK1342="","",COUNTIFS(LdAParty,$AE1342,LdAType,1,LdAKey,"&lt;"&amp;$AK1342)+COUNTIFS(LdBMember,$AE1342,LdBKey,"&lt;"&amp;$AK1342)+COUNTIFS(LdCParty,$AE1342,LdCKey,"&lt;"&amp;$AK1342)+1)</f>
        <v/>
      </c>
      <c r="AM1342">
        <f>IF($AL1342="","",$AE1342&amp;"|"&amp;RIGHT("000000"&amp;$AL1342,6))</f>
        <v/>
      </c>
      <c r="AN1342">
        <f>IF($AE1342="","",IF(Sync!$W1342="",0,Sync!$W1342))</f>
        <v/>
      </c>
      <c r="AO1342">
        <f>IF($AE1342="","",IF(Sync!$X1342="",0,Sync!$X1342))</f>
        <v/>
      </c>
      <c r="AP1342">
        <f>IF($AE1342="","",Sync!$R1342)</f>
        <v/>
      </c>
      <c r="AQ1342">
        <f>IF($AE1342="","",Sync!$Y1342)</f>
        <v/>
      </c>
    </row>
    <row r="1343">
      <c r="A1343">
        <f>IF(OR(Wages!$B1346="",Wages!$E1346=""),"",Wages!$E1346)</f>
        <v/>
      </c>
      <c r="B1343">
        <f>IF($A1343="","",IF(Wages!$C1346="دستمزد گروهی",2,1))</f>
        <v/>
      </c>
      <c r="C1343">
        <f>IF($A1343="","",IF(ISNUMBER(Wages!$B1346),IF(AND(Wages!$B1346&gt;=10000101,Wages!$B1346&lt;=99991231),INT(Wages!$B1346/10000),""),IFERROR(VALUE(TRIM(LEFT(Wages!$B1346,FIND("/",Wages!$B1346)-1))),"")))</f>
        <v/>
      </c>
      <c r="D1343">
        <f>IF(OR($A1343="",$C1343=""),"",IF(ISNUMBER(Wages!$B1346),INT(MOD(Wages!$B1346,10000)/100),IFERROR(VALUE(TRIM(LEFT(MID(Wages!$B1346,FIND("/",Wages!$B1346)+1,20),FIND("/",MID(Wages!$B1346,FIND("/",Wages!$B1346)+1,20))-1))),"")))</f>
        <v/>
      </c>
      <c r="E1343">
        <f>IF(OR($A1343="",$C1343=""),"",IF(ISNUMBER(Wages!$B1346),MOD(Wages!$B1346,100),IFERROR(VALUE(TRIM(MID(MID(Wages!$B1346,FIND("/",Wages!$B1346)+1,20),FIND("/",MID(Wages!$B1346,FIND("/",Wages!$B1346)+1,20))+1,20))),"")))</f>
        <v/>
      </c>
      <c r="F1343">
        <f>IF($A1343="","",IF(OR($C1343="",$D1343="",$E1343="",$C1343&lt;1300,$C1343&gt;1500,$D1343&lt;1,$D1343&gt;12,$E1343&lt;1,$E1343&gt;31),"نامعتبر",RIGHT("0000"&amp;$C1343,4)&amp;"/"&amp;RIGHT("00"&amp;$D1343,2)&amp;"/"&amp;RIGHT("00"&amp;$E1343,2)))</f>
        <v/>
      </c>
      <c r="G1343">
        <f>IF(OR($A1343="",$F1343="",$F1343="نامعتبر"),"",LEFT($F1343,4)&amp;MID($F1343,6,2)&amp;RIGHT($F1343,2)&amp;"0000"&amp;"|"&amp;"1"&amp;RIGHT("00000"&amp;1338,5))</f>
        <v/>
      </c>
      <c r="H1343">
        <f>IF(OR($B1343&lt;&gt;1,$G1343=""),"",COUNTIFS(LdAParty,$A1343,LdAType,1,LdAKey,"&lt;"&amp;$G1343)+COUNTIFS(LdBMember,$A1343,LdBKey,"&lt;"&amp;$G1343)+COUNTIFS(LdCParty,$A1343,LdCKey,"&lt;"&amp;$G1343)+1)</f>
        <v/>
      </c>
      <c r="I1343">
        <f>IF($H1343="","",$A1343&amp;"|"&amp;RIGHT("000000"&amp;$H1343,6))</f>
        <v/>
      </c>
      <c r="J1343">
        <f>IF(OR($B1343&lt;&gt;2,$G1343=""),"",COUNTIFS(LdAParty,$A1343,LdAType,2,LdAKey,"&lt;"&amp;$G1343)+1)</f>
        <v/>
      </c>
      <c r="K1343">
        <f>IF($J1343="","",$A1343&amp;"|"&amp;RIGHT("000000"&amp;$J1343,6))</f>
        <v/>
      </c>
      <c r="L1343">
        <f>IF($A1343="","",IF(Wages!$G1346="",0,Wages!$G1346))</f>
        <v/>
      </c>
      <c r="M1343">
        <f>IF($A1343="","",Wages!$J1346)</f>
        <v/>
      </c>
      <c r="N1343">
        <f>IF($A1343="","",Wages!$D1346)</f>
        <v/>
      </c>
      <c r="P1343">
        <f>IF(OR(Shares!$B1346="",Shares!$C1346=""),"",Shares!$C1346)</f>
        <v/>
      </c>
      <c r="Q1343">
        <f>IF($P1343="","",Shares!$B1346)</f>
        <v/>
      </c>
      <c r="R1343">
        <f>IF($P1343="","",IFERROR(INDEX(WageParty,MATCH($Q1343,WageIds,0)),""))</f>
        <v/>
      </c>
      <c r="S1343">
        <f>IF($P1343="","",IFERROR(INDEX($F$6:$F$2005,MATCH($Q1343,WageIds,0)),""))</f>
        <v/>
      </c>
      <c r="T1343">
        <f>IF(OR($P1343="",$S1343="",$S1343="نامعتبر"),"",LEFT($S1343,4)&amp;MID($S1343,6,2)&amp;RIGHT($S1343,2)&amp;"0000"&amp;"|"&amp;"2"&amp;RIGHT("00000"&amp;1338,5))</f>
        <v/>
      </c>
      <c r="U1343">
        <f>IF($T1343="","",COUNTIFS(LdAParty,$P1343,LdAType,1,LdAKey,"&lt;"&amp;$T1343)+COUNTIFS(LdBMember,$P1343,LdBKey,"&lt;"&amp;$T1343)+COUNTIFS(LdCParty,$P1343,LdCKey,"&lt;"&amp;$T1343)+1)</f>
        <v/>
      </c>
      <c r="V1343">
        <f>IF($U1343="","",$P1343&amp;"|"&amp;RIGHT("000000"&amp;$U1343,6))</f>
        <v/>
      </c>
      <c r="W1343">
        <f>IF($T1343="","",COUNTIFS(LdBGroup,$R1343,LdBKey,"&lt;"&amp;$T1343)+1)</f>
        <v/>
      </c>
      <c r="X1343">
        <f>IF($W1343="","",$R1343&amp;"|"&amp;RIGHT("000000"&amp;$W1343,6))</f>
        <v/>
      </c>
      <c r="Y1343">
        <f>IF($P1343="","",IF(Shares!$E1346="",0,Shares!$E1346))</f>
        <v/>
      </c>
      <c r="Z1343">
        <f>IF($P1343="","",Shares!$H1346)</f>
        <v/>
      </c>
      <c r="AE1343">
        <f>IF(OR(Sync!$S1343="",Sync!$P1343=""),"",Sync!$S1343)</f>
        <v/>
      </c>
      <c r="AF1343">
        <f>IF($AE1343="","",IF(ISNUMBER(Sync!$P1343),IF(AND(Sync!$P1343&gt;=10000101,Sync!$P1343&lt;=99991231),INT(Sync!$P1343/10000),""),IFERROR(VALUE(TRIM(LEFT(Sync!$P1343,FIND("/",Sync!$P1343)-1))),"")))</f>
        <v/>
      </c>
      <c r="AG1343">
        <f>IF(OR($AE1343="",$AF1343=""),"",IF(ISNUMBER(Sync!$P1343),INT(MOD(Sync!$P1343,10000)/100),IFERROR(VALUE(TRIM(LEFT(MID(Sync!$P1343,FIND("/",Sync!$P1343)+1,20),FIND("/",MID(Sync!$P1343,FIND("/",Sync!$P1343)+1,20))-1))),"")))</f>
        <v/>
      </c>
      <c r="AH1343">
        <f>IF(OR($AE1343="",$AF1343=""),"",IF(ISNUMBER(Sync!$P1343),MOD(Sync!$P1343,100),IFERROR(VALUE(TRIM(MID(MID(Sync!$P1343,FIND("/",Sync!$P1343)+1,20),FIND("/",MID(Sync!$P1343,FIND("/",Sync!$P1343)+1,20))+1,20))),"")))</f>
        <v/>
      </c>
      <c r="AI1343">
        <f>IF($AE1343="","",IF(OR($AF1343="",$AG1343="",$AH1343="",$AF1343&lt;1300,$AF1343&gt;1500,$AG1343&lt;1,$AG1343&gt;12,$AH1343&lt;1,$AH1343&gt;31),"نامعتبر",RIGHT("0000"&amp;$AF1343,4)&amp;"/"&amp;RIGHT("00"&amp;$AG1343,2)&amp;"/"&amp;RIGHT("00"&amp;$AH1343,2)))</f>
        <v/>
      </c>
      <c r="AJ1343">
        <f>IF($AE1343="","",IF(Sync!$Q1343="","0000",IF(AND(ISNUMBER(Sync!$Q1343),Sync!$Q1343&gt;=0,Sync!$Q1343&lt;1),RIGHT("00"&amp;HOUR(Sync!$Q1343),2)&amp;RIGHT("00"&amp;MINUTE(Sync!$Q1343),2),IFERROR(RIGHT("00"&amp;VALUE(LEFT(Sync!$Q1343,FIND(":",Sync!$Q1343)-1)),2)&amp;RIGHT("00"&amp;VALUE(MID(Sync!$Q1343,FIND(":",Sync!$Q1343)+1,2)),2),"0000"))))</f>
        <v/>
      </c>
      <c r="AK1343">
        <f>IF(OR($AE1343="",$AI1343="",$AI1343="نامعتبر"),"",LEFT($AI1343,4)&amp;MID($AI1343,6,2)&amp;RIGHT($AI1343,2)&amp;$AJ1343&amp;"|"&amp;"3"&amp;RIGHT("00000"&amp;1338,5))</f>
        <v/>
      </c>
      <c r="AL1343">
        <f>IF($AK1343="","",COUNTIFS(LdAParty,$AE1343,LdAType,1,LdAKey,"&lt;"&amp;$AK1343)+COUNTIFS(LdBMember,$AE1343,LdBKey,"&lt;"&amp;$AK1343)+COUNTIFS(LdCParty,$AE1343,LdCKey,"&lt;"&amp;$AK1343)+1)</f>
        <v/>
      </c>
      <c r="AM1343">
        <f>IF($AL1343="","",$AE1343&amp;"|"&amp;RIGHT("000000"&amp;$AL1343,6))</f>
        <v/>
      </c>
      <c r="AN1343">
        <f>IF($AE1343="","",IF(Sync!$W1343="",0,Sync!$W1343))</f>
        <v/>
      </c>
      <c r="AO1343">
        <f>IF($AE1343="","",IF(Sync!$X1343="",0,Sync!$X1343))</f>
        <v/>
      </c>
      <c r="AP1343">
        <f>IF($AE1343="","",Sync!$R1343)</f>
        <v/>
      </c>
      <c r="AQ1343">
        <f>IF($AE1343="","",Sync!$Y1343)</f>
        <v/>
      </c>
    </row>
    <row r="1344">
      <c r="A1344">
        <f>IF(OR(Wages!$B1347="",Wages!$E1347=""),"",Wages!$E1347)</f>
        <v/>
      </c>
      <c r="B1344">
        <f>IF($A1344="","",IF(Wages!$C1347="دستمزد گروهی",2,1))</f>
        <v/>
      </c>
      <c r="C1344">
        <f>IF($A1344="","",IF(ISNUMBER(Wages!$B1347),IF(AND(Wages!$B1347&gt;=10000101,Wages!$B1347&lt;=99991231),INT(Wages!$B1347/10000),""),IFERROR(VALUE(TRIM(LEFT(Wages!$B1347,FIND("/",Wages!$B1347)-1))),"")))</f>
        <v/>
      </c>
      <c r="D1344">
        <f>IF(OR($A1344="",$C1344=""),"",IF(ISNUMBER(Wages!$B1347),INT(MOD(Wages!$B1347,10000)/100),IFERROR(VALUE(TRIM(LEFT(MID(Wages!$B1347,FIND("/",Wages!$B1347)+1,20),FIND("/",MID(Wages!$B1347,FIND("/",Wages!$B1347)+1,20))-1))),"")))</f>
        <v/>
      </c>
      <c r="E1344">
        <f>IF(OR($A1344="",$C1344=""),"",IF(ISNUMBER(Wages!$B1347),MOD(Wages!$B1347,100),IFERROR(VALUE(TRIM(MID(MID(Wages!$B1347,FIND("/",Wages!$B1347)+1,20),FIND("/",MID(Wages!$B1347,FIND("/",Wages!$B1347)+1,20))+1,20))),"")))</f>
        <v/>
      </c>
      <c r="F1344">
        <f>IF($A1344="","",IF(OR($C1344="",$D1344="",$E1344="",$C1344&lt;1300,$C1344&gt;1500,$D1344&lt;1,$D1344&gt;12,$E1344&lt;1,$E1344&gt;31),"نامعتبر",RIGHT("0000"&amp;$C1344,4)&amp;"/"&amp;RIGHT("00"&amp;$D1344,2)&amp;"/"&amp;RIGHT("00"&amp;$E1344,2)))</f>
        <v/>
      </c>
      <c r="G1344">
        <f>IF(OR($A1344="",$F1344="",$F1344="نامعتبر"),"",LEFT($F1344,4)&amp;MID($F1344,6,2)&amp;RIGHT($F1344,2)&amp;"0000"&amp;"|"&amp;"1"&amp;RIGHT("00000"&amp;1339,5))</f>
        <v/>
      </c>
      <c r="H1344">
        <f>IF(OR($B1344&lt;&gt;1,$G1344=""),"",COUNTIFS(LdAParty,$A1344,LdAType,1,LdAKey,"&lt;"&amp;$G1344)+COUNTIFS(LdBMember,$A1344,LdBKey,"&lt;"&amp;$G1344)+COUNTIFS(LdCParty,$A1344,LdCKey,"&lt;"&amp;$G1344)+1)</f>
        <v/>
      </c>
      <c r="I1344">
        <f>IF($H1344="","",$A1344&amp;"|"&amp;RIGHT("000000"&amp;$H1344,6))</f>
        <v/>
      </c>
      <c r="J1344">
        <f>IF(OR($B1344&lt;&gt;2,$G1344=""),"",COUNTIFS(LdAParty,$A1344,LdAType,2,LdAKey,"&lt;"&amp;$G1344)+1)</f>
        <v/>
      </c>
      <c r="K1344">
        <f>IF($J1344="","",$A1344&amp;"|"&amp;RIGHT("000000"&amp;$J1344,6))</f>
        <v/>
      </c>
      <c r="L1344">
        <f>IF($A1344="","",IF(Wages!$G1347="",0,Wages!$G1347))</f>
        <v/>
      </c>
      <c r="M1344">
        <f>IF($A1344="","",Wages!$J1347)</f>
        <v/>
      </c>
      <c r="N1344">
        <f>IF($A1344="","",Wages!$D1347)</f>
        <v/>
      </c>
      <c r="P1344">
        <f>IF(OR(Shares!$B1347="",Shares!$C1347=""),"",Shares!$C1347)</f>
        <v/>
      </c>
      <c r="Q1344">
        <f>IF($P1344="","",Shares!$B1347)</f>
        <v/>
      </c>
      <c r="R1344">
        <f>IF($P1344="","",IFERROR(INDEX(WageParty,MATCH($Q1344,WageIds,0)),""))</f>
        <v/>
      </c>
      <c r="S1344">
        <f>IF($P1344="","",IFERROR(INDEX($F$6:$F$2005,MATCH($Q1344,WageIds,0)),""))</f>
        <v/>
      </c>
      <c r="T1344">
        <f>IF(OR($P1344="",$S1344="",$S1344="نامعتبر"),"",LEFT($S1344,4)&amp;MID($S1344,6,2)&amp;RIGHT($S1344,2)&amp;"0000"&amp;"|"&amp;"2"&amp;RIGHT("00000"&amp;1339,5))</f>
        <v/>
      </c>
      <c r="U1344">
        <f>IF($T1344="","",COUNTIFS(LdAParty,$P1344,LdAType,1,LdAKey,"&lt;"&amp;$T1344)+COUNTIFS(LdBMember,$P1344,LdBKey,"&lt;"&amp;$T1344)+COUNTIFS(LdCParty,$P1344,LdCKey,"&lt;"&amp;$T1344)+1)</f>
        <v/>
      </c>
      <c r="V1344">
        <f>IF($U1344="","",$P1344&amp;"|"&amp;RIGHT("000000"&amp;$U1344,6))</f>
        <v/>
      </c>
      <c r="W1344">
        <f>IF($T1344="","",COUNTIFS(LdBGroup,$R1344,LdBKey,"&lt;"&amp;$T1344)+1)</f>
        <v/>
      </c>
      <c r="X1344">
        <f>IF($W1344="","",$R1344&amp;"|"&amp;RIGHT("000000"&amp;$W1344,6))</f>
        <v/>
      </c>
      <c r="Y1344">
        <f>IF($P1344="","",IF(Shares!$E1347="",0,Shares!$E1347))</f>
        <v/>
      </c>
      <c r="Z1344">
        <f>IF($P1344="","",Shares!$H1347)</f>
        <v/>
      </c>
      <c r="AE1344">
        <f>IF(OR(Sync!$S1344="",Sync!$P1344=""),"",Sync!$S1344)</f>
        <v/>
      </c>
      <c r="AF1344">
        <f>IF($AE1344="","",IF(ISNUMBER(Sync!$P1344),IF(AND(Sync!$P1344&gt;=10000101,Sync!$P1344&lt;=99991231),INT(Sync!$P1344/10000),""),IFERROR(VALUE(TRIM(LEFT(Sync!$P1344,FIND("/",Sync!$P1344)-1))),"")))</f>
        <v/>
      </c>
      <c r="AG1344">
        <f>IF(OR($AE1344="",$AF1344=""),"",IF(ISNUMBER(Sync!$P1344),INT(MOD(Sync!$P1344,10000)/100),IFERROR(VALUE(TRIM(LEFT(MID(Sync!$P1344,FIND("/",Sync!$P1344)+1,20),FIND("/",MID(Sync!$P1344,FIND("/",Sync!$P1344)+1,20))-1))),"")))</f>
        <v/>
      </c>
      <c r="AH1344">
        <f>IF(OR($AE1344="",$AF1344=""),"",IF(ISNUMBER(Sync!$P1344),MOD(Sync!$P1344,100),IFERROR(VALUE(TRIM(MID(MID(Sync!$P1344,FIND("/",Sync!$P1344)+1,20),FIND("/",MID(Sync!$P1344,FIND("/",Sync!$P1344)+1,20))+1,20))),"")))</f>
        <v/>
      </c>
      <c r="AI1344">
        <f>IF($AE1344="","",IF(OR($AF1344="",$AG1344="",$AH1344="",$AF1344&lt;1300,$AF1344&gt;1500,$AG1344&lt;1,$AG1344&gt;12,$AH1344&lt;1,$AH1344&gt;31),"نامعتبر",RIGHT("0000"&amp;$AF1344,4)&amp;"/"&amp;RIGHT("00"&amp;$AG1344,2)&amp;"/"&amp;RIGHT("00"&amp;$AH1344,2)))</f>
        <v/>
      </c>
      <c r="AJ1344">
        <f>IF($AE1344="","",IF(Sync!$Q1344="","0000",IF(AND(ISNUMBER(Sync!$Q1344),Sync!$Q1344&gt;=0,Sync!$Q1344&lt;1),RIGHT("00"&amp;HOUR(Sync!$Q1344),2)&amp;RIGHT("00"&amp;MINUTE(Sync!$Q1344),2),IFERROR(RIGHT("00"&amp;VALUE(LEFT(Sync!$Q1344,FIND(":",Sync!$Q1344)-1)),2)&amp;RIGHT("00"&amp;VALUE(MID(Sync!$Q1344,FIND(":",Sync!$Q1344)+1,2)),2),"0000"))))</f>
        <v/>
      </c>
      <c r="AK1344">
        <f>IF(OR($AE1344="",$AI1344="",$AI1344="نامعتبر"),"",LEFT($AI1344,4)&amp;MID($AI1344,6,2)&amp;RIGHT($AI1344,2)&amp;$AJ1344&amp;"|"&amp;"3"&amp;RIGHT("00000"&amp;1339,5))</f>
        <v/>
      </c>
      <c r="AL1344">
        <f>IF($AK1344="","",COUNTIFS(LdAParty,$AE1344,LdAType,1,LdAKey,"&lt;"&amp;$AK1344)+COUNTIFS(LdBMember,$AE1344,LdBKey,"&lt;"&amp;$AK1344)+COUNTIFS(LdCParty,$AE1344,LdCKey,"&lt;"&amp;$AK1344)+1)</f>
        <v/>
      </c>
      <c r="AM1344">
        <f>IF($AL1344="","",$AE1344&amp;"|"&amp;RIGHT("000000"&amp;$AL1344,6))</f>
        <v/>
      </c>
      <c r="AN1344">
        <f>IF($AE1344="","",IF(Sync!$W1344="",0,Sync!$W1344))</f>
        <v/>
      </c>
      <c r="AO1344">
        <f>IF($AE1344="","",IF(Sync!$X1344="",0,Sync!$X1344))</f>
        <v/>
      </c>
      <c r="AP1344">
        <f>IF($AE1344="","",Sync!$R1344)</f>
        <v/>
      </c>
      <c r="AQ1344">
        <f>IF($AE1344="","",Sync!$Y1344)</f>
        <v/>
      </c>
    </row>
    <row r="1345">
      <c r="A1345">
        <f>IF(OR(Wages!$B1348="",Wages!$E1348=""),"",Wages!$E1348)</f>
        <v/>
      </c>
      <c r="B1345">
        <f>IF($A1345="","",IF(Wages!$C1348="دستمزد گروهی",2,1))</f>
        <v/>
      </c>
      <c r="C1345">
        <f>IF($A1345="","",IF(ISNUMBER(Wages!$B1348),IF(AND(Wages!$B1348&gt;=10000101,Wages!$B1348&lt;=99991231),INT(Wages!$B1348/10000),""),IFERROR(VALUE(TRIM(LEFT(Wages!$B1348,FIND("/",Wages!$B1348)-1))),"")))</f>
        <v/>
      </c>
      <c r="D1345">
        <f>IF(OR($A1345="",$C1345=""),"",IF(ISNUMBER(Wages!$B1348),INT(MOD(Wages!$B1348,10000)/100),IFERROR(VALUE(TRIM(LEFT(MID(Wages!$B1348,FIND("/",Wages!$B1348)+1,20),FIND("/",MID(Wages!$B1348,FIND("/",Wages!$B1348)+1,20))-1))),"")))</f>
        <v/>
      </c>
      <c r="E1345">
        <f>IF(OR($A1345="",$C1345=""),"",IF(ISNUMBER(Wages!$B1348),MOD(Wages!$B1348,100),IFERROR(VALUE(TRIM(MID(MID(Wages!$B1348,FIND("/",Wages!$B1348)+1,20),FIND("/",MID(Wages!$B1348,FIND("/",Wages!$B1348)+1,20))+1,20))),"")))</f>
        <v/>
      </c>
      <c r="F1345">
        <f>IF($A1345="","",IF(OR($C1345="",$D1345="",$E1345="",$C1345&lt;1300,$C1345&gt;1500,$D1345&lt;1,$D1345&gt;12,$E1345&lt;1,$E1345&gt;31),"نامعتبر",RIGHT("0000"&amp;$C1345,4)&amp;"/"&amp;RIGHT("00"&amp;$D1345,2)&amp;"/"&amp;RIGHT("00"&amp;$E1345,2)))</f>
        <v/>
      </c>
      <c r="G1345">
        <f>IF(OR($A1345="",$F1345="",$F1345="نامعتبر"),"",LEFT($F1345,4)&amp;MID($F1345,6,2)&amp;RIGHT($F1345,2)&amp;"0000"&amp;"|"&amp;"1"&amp;RIGHT("00000"&amp;1340,5))</f>
        <v/>
      </c>
      <c r="H1345">
        <f>IF(OR($B1345&lt;&gt;1,$G1345=""),"",COUNTIFS(LdAParty,$A1345,LdAType,1,LdAKey,"&lt;"&amp;$G1345)+COUNTIFS(LdBMember,$A1345,LdBKey,"&lt;"&amp;$G1345)+COUNTIFS(LdCParty,$A1345,LdCKey,"&lt;"&amp;$G1345)+1)</f>
        <v/>
      </c>
      <c r="I1345">
        <f>IF($H1345="","",$A1345&amp;"|"&amp;RIGHT("000000"&amp;$H1345,6))</f>
        <v/>
      </c>
      <c r="J1345">
        <f>IF(OR($B1345&lt;&gt;2,$G1345=""),"",COUNTIFS(LdAParty,$A1345,LdAType,2,LdAKey,"&lt;"&amp;$G1345)+1)</f>
        <v/>
      </c>
      <c r="K1345">
        <f>IF($J1345="","",$A1345&amp;"|"&amp;RIGHT("000000"&amp;$J1345,6))</f>
        <v/>
      </c>
      <c r="L1345">
        <f>IF($A1345="","",IF(Wages!$G1348="",0,Wages!$G1348))</f>
        <v/>
      </c>
      <c r="M1345">
        <f>IF($A1345="","",Wages!$J1348)</f>
        <v/>
      </c>
      <c r="N1345">
        <f>IF($A1345="","",Wages!$D1348)</f>
        <v/>
      </c>
      <c r="P1345">
        <f>IF(OR(Shares!$B1348="",Shares!$C1348=""),"",Shares!$C1348)</f>
        <v/>
      </c>
      <c r="Q1345">
        <f>IF($P1345="","",Shares!$B1348)</f>
        <v/>
      </c>
      <c r="R1345">
        <f>IF($P1345="","",IFERROR(INDEX(WageParty,MATCH($Q1345,WageIds,0)),""))</f>
        <v/>
      </c>
      <c r="S1345">
        <f>IF($P1345="","",IFERROR(INDEX($F$6:$F$2005,MATCH($Q1345,WageIds,0)),""))</f>
        <v/>
      </c>
      <c r="T1345">
        <f>IF(OR($P1345="",$S1345="",$S1345="نامعتبر"),"",LEFT($S1345,4)&amp;MID($S1345,6,2)&amp;RIGHT($S1345,2)&amp;"0000"&amp;"|"&amp;"2"&amp;RIGHT("00000"&amp;1340,5))</f>
        <v/>
      </c>
      <c r="U1345">
        <f>IF($T1345="","",COUNTIFS(LdAParty,$P1345,LdAType,1,LdAKey,"&lt;"&amp;$T1345)+COUNTIFS(LdBMember,$P1345,LdBKey,"&lt;"&amp;$T1345)+COUNTIFS(LdCParty,$P1345,LdCKey,"&lt;"&amp;$T1345)+1)</f>
        <v/>
      </c>
      <c r="V1345">
        <f>IF($U1345="","",$P1345&amp;"|"&amp;RIGHT("000000"&amp;$U1345,6))</f>
        <v/>
      </c>
      <c r="W1345">
        <f>IF($T1345="","",COUNTIFS(LdBGroup,$R1345,LdBKey,"&lt;"&amp;$T1345)+1)</f>
        <v/>
      </c>
      <c r="X1345">
        <f>IF($W1345="","",$R1345&amp;"|"&amp;RIGHT("000000"&amp;$W1345,6))</f>
        <v/>
      </c>
      <c r="Y1345">
        <f>IF($P1345="","",IF(Shares!$E1348="",0,Shares!$E1348))</f>
        <v/>
      </c>
      <c r="Z1345">
        <f>IF($P1345="","",Shares!$H1348)</f>
        <v/>
      </c>
      <c r="AE1345">
        <f>IF(OR(Sync!$S1345="",Sync!$P1345=""),"",Sync!$S1345)</f>
        <v/>
      </c>
      <c r="AF1345">
        <f>IF($AE1345="","",IF(ISNUMBER(Sync!$P1345),IF(AND(Sync!$P1345&gt;=10000101,Sync!$P1345&lt;=99991231),INT(Sync!$P1345/10000),""),IFERROR(VALUE(TRIM(LEFT(Sync!$P1345,FIND("/",Sync!$P1345)-1))),"")))</f>
        <v/>
      </c>
      <c r="AG1345">
        <f>IF(OR($AE1345="",$AF1345=""),"",IF(ISNUMBER(Sync!$P1345),INT(MOD(Sync!$P1345,10000)/100),IFERROR(VALUE(TRIM(LEFT(MID(Sync!$P1345,FIND("/",Sync!$P1345)+1,20),FIND("/",MID(Sync!$P1345,FIND("/",Sync!$P1345)+1,20))-1))),"")))</f>
        <v/>
      </c>
      <c r="AH1345">
        <f>IF(OR($AE1345="",$AF1345=""),"",IF(ISNUMBER(Sync!$P1345),MOD(Sync!$P1345,100),IFERROR(VALUE(TRIM(MID(MID(Sync!$P1345,FIND("/",Sync!$P1345)+1,20),FIND("/",MID(Sync!$P1345,FIND("/",Sync!$P1345)+1,20))+1,20))),"")))</f>
        <v/>
      </c>
      <c r="AI1345">
        <f>IF($AE1345="","",IF(OR($AF1345="",$AG1345="",$AH1345="",$AF1345&lt;1300,$AF1345&gt;1500,$AG1345&lt;1,$AG1345&gt;12,$AH1345&lt;1,$AH1345&gt;31),"نامعتبر",RIGHT("0000"&amp;$AF1345,4)&amp;"/"&amp;RIGHT("00"&amp;$AG1345,2)&amp;"/"&amp;RIGHT("00"&amp;$AH1345,2)))</f>
        <v/>
      </c>
      <c r="AJ1345">
        <f>IF($AE1345="","",IF(Sync!$Q1345="","0000",IF(AND(ISNUMBER(Sync!$Q1345),Sync!$Q1345&gt;=0,Sync!$Q1345&lt;1),RIGHT("00"&amp;HOUR(Sync!$Q1345),2)&amp;RIGHT("00"&amp;MINUTE(Sync!$Q1345),2),IFERROR(RIGHT("00"&amp;VALUE(LEFT(Sync!$Q1345,FIND(":",Sync!$Q1345)-1)),2)&amp;RIGHT("00"&amp;VALUE(MID(Sync!$Q1345,FIND(":",Sync!$Q1345)+1,2)),2),"0000"))))</f>
        <v/>
      </c>
      <c r="AK1345">
        <f>IF(OR($AE1345="",$AI1345="",$AI1345="نامعتبر"),"",LEFT($AI1345,4)&amp;MID($AI1345,6,2)&amp;RIGHT($AI1345,2)&amp;$AJ1345&amp;"|"&amp;"3"&amp;RIGHT("00000"&amp;1340,5))</f>
        <v/>
      </c>
      <c r="AL1345">
        <f>IF($AK1345="","",COUNTIFS(LdAParty,$AE1345,LdAType,1,LdAKey,"&lt;"&amp;$AK1345)+COUNTIFS(LdBMember,$AE1345,LdBKey,"&lt;"&amp;$AK1345)+COUNTIFS(LdCParty,$AE1345,LdCKey,"&lt;"&amp;$AK1345)+1)</f>
        <v/>
      </c>
      <c r="AM1345">
        <f>IF($AL1345="","",$AE1345&amp;"|"&amp;RIGHT("000000"&amp;$AL1345,6))</f>
        <v/>
      </c>
      <c r="AN1345">
        <f>IF($AE1345="","",IF(Sync!$W1345="",0,Sync!$W1345))</f>
        <v/>
      </c>
      <c r="AO1345">
        <f>IF($AE1345="","",IF(Sync!$X1345="",0,Sync!$X1345))</f>
        <v/>
      </c>
      <c r="AP1345">
        <f>IF($AE1345="","",Sync!$R1345)</f>
        <v/>
      </c>
      <c r="AQ1345">
        <f>IF($AE1345="","",Sync!$Y1345)</f>
        <v/>
      </c>
    </row>
    <row r="1346">
      <c r="A1346">
        <f>IF(OR(Wages!$B1349="",Wages!$E1349=""),"",Wages!$E1349)</f>
        <v/>
      </c>
      <c r="B1346">
        <f>IF($A1346="","",IF(Wages!$C1349="دستمزد گروهی",2,1))</f>
        <v/>
      </c>
      <c r="C1346">
        <f>IF($A1346="","",IF(ISNUMBER(Wages!$B1349),IF(AND(Wages!$B1349&gt;=10000101,Wages!$B1349&lt;=99991231),INT(Wages!$B1349/10000),""),IFERROR(VALUE(TRIM(LEFT(Wages!$B1349,FIND("/",Wages!$B1349)-1))),"")))</f>
        <v/>
      </c>
      <c r="D1346">
        <f>IF(OR($A1346="",$C1346=""),"",IF(ISNUMBER(Wages!$B1349),INT(MOD(Wages!$B1349,10000)/100),IFERROR(VALUE(TRIM(LEFT(MID(Wages!$B1349,FIND("/",Wages!$B1349)+1,20),FIND("/",MID(Wages!$B1349,FIND("/",Wages!$B1349)+1,20))-1))),"")))</f>
        <v/>
      </c>
      <c r="E1346">
        <f>IF(OR($A1346="",$C1346=""),"",IF(ISNUMBER(Wages!$B1349),MOD(Wages!$B1349,100),IFERROR(VALUE(TRIM(MID(MID(Wages!$B1349,FIND("/",Wages!$B1349)+1,20),FIND("/",MID(Wages!$B1349,FIND("/",Wages!$B1349)+1,20))+1,20))),"")))</f>
        <v/>
      </c>
      <c r="F1346">
        <f>IF($A1346="","",IF(OR($C1346="",$D1346="",$E1346="",$C1346&lt;1300,$C1346&gt;1500,$D1346&lt;1,$D1346&gt;12,$E1346&lt;1,$E1346&gt;31),"نامعتبر",RIGHT("0000"&amp;$C1346,4)&amp;"/"&amp;RIGHT("00"&amp;$D1346,2)&amp;"/"&amp;RIGHT("00"&amp;$E1346,2)))</f>
        <v/>
      </c>
      <c r="G1346">
        <f>IF(OR($A1346="",$F1346="",$F1346="نامعتبر"),"",LEFT($F1346,4)&amp;MID($F1346,6,2)&amp;RIGHT($F1346,2)&amp;"0000"&amp;"|"&amp;"1"&amp;RIGHT("00000"&amp;1341,5))</f>
        <v/>
      </c>
      <c r="H1346">
        <f>IF(OR($B1346&lt;&gt;1,$G1346=""),"",COUNTIFS(LdAParty,$A1346,LdAType,1,LdAKey,"&lt;"&amp;$G1346)+COUNTIFS(LdBMember,$A1346,LdBKey,"&lt;"&amp;$G1346)+COUNTIFS(LdCParty,$A1346,LdCKey,"&lt;"&amp;$G1346)+1)</f>
        <v/>
      </c>
      <c r="I1346">
        <f>IF($H1346="","",$A1346&amp;"|"&amp;RIGHT("000000"&amp;$H1346,6))</f>
        <v/>
      </c>
      <c r="J1346">
        <f>IF(OR($B1346&lt;&gt;2,$G1346=""),"",COUNTIFS(LdAParty,$A1346,LdAType,2,LdAKey,"&lt;"&amp;$G1346)+1)</f>
        <v/>
      </c>
      <c r="K1346">
        <f>IF($J1346="","",$A1346&amp;"|"&amp;RIGHT("000000"&amp;$J1346,6))</f>
        <v/>
      </c>
      <c r="L1346">
        <f>IF($A1346="","",IF(Wages!$G1349="",0,Wages!$G1349))</f>
        <v/>
      </c>
      <c r="M1346">
        <f>IF($A1346="","",Wages!$J1349)</f>
        <v/>
      </c>
      <c r="N1346">
        <f>IF($A1346="","",Wages!$D1349)</f>
        <v/>
      </c>
      <c r="P1346">
        <f>IF(OR(Shares!$B1349="",Shares!$C1349=""),"",Shares!$C1349)</f>
        <v/>
      </c>
      <c r="Q1346">
        <f>IF($P1346="","",Shares!$B1349)</f>
        <v/>
      </c>
      <c r="R1346">
        <f>IF($P1346="","",IFERROR(INDEX(WageParty,MATCH($Q1346,WageIds,0)),""))</f>
        <v/>
      </c>
      <c r="S1346">
        <f>IF($P1346="","",IFERROR(INDEX($F$6:$F$2005,MATCH($Q1346,WageIds,0)),""))</f>
        <v/>
      </c>
      <c r="T1346">
        <f>IF(OR($P1346="",$S1346="",$S1346="نامعتبر"),"",LEFT($S1346,4)&amp;MID($S1346,6,2)&amp;RIGHT($S1346,2)&amp;"0000"&amp;"|"&amp;"2"&amp;RIGHT("00000"&amp;1341,5))</f>
        <v/>
      </c>
      <c r="U1346">
        <f>IF($T1346="","",COUNTIFS(LdAParty,$P1346,LdAType,1,LdAKey,"&lt;"&amp;$T1346)+COUNTIFS(LdBMember,$P1346,LdBKey,"&lt;"&amp;$T1346)+COUNTIFS(LdCParty,$P1346,LdCKey,"&lt;"&amp;$T1346)+1)</f>
        <v/>
      </c>
      <c r="V1346">
        <f>IF($U1346="","",$P1346&amp;"|"&amp;RIGHT("000000"&amp;$U1346,6))</f>
        <v/>
      </c>
      <c r="W1346">
        <f>IF($T1346="","",COUNTIFS(LdBGroup,$R1346,LdBKey,"&lt;"&amp;$T1346)+1)</f>
        <v/>
      </c>
      <c r="X1346">
        <f>IF($W1346="","",$R1346&amp;"|"&amp;RIGHT("000000"&amp;$W1346,6))</f>
        <v/>
      </c>
      <c r="Y1346">
        <f>IF($P1346="","",IF(Shares!$E1349="",0,Shares!$E1349))</f>
        <v/>
      </c>
      <c r="Z1346">
        <f>IF($P1346="","",Shares!$H1349)</f>
        <v/>
      </c>
      <c r="AE1346">
        <f>IF(OR(Sync!$S1346="",Sync!$P1346=""),"",Sync!$S1346)</f>
        <v/>
      </c>
      <c r="AF1346">
        <f>IF($AE1346="","",IF(ISNUMBER(Sync!$P1346),IF(AND(Sync!$P1346&gt;=10000101,Sync!$P1346&lt;=99991231),INT(Sync!$P1346/10000),""),IFERROR(VALUE(TRIM(LEFT(Sync!$P1346,FIND("/",Sync!$P1346)-1))),"")))</f>
        <v/>
      </c>
      <c r="AG1346">
        <f>IF(OR($AE1346="",$AF1346=""),"",IF(ISNUMBER(Sync!$P1346),INT(MOD(Sync!$P1346,10000)/100),IFERROR(VALUE(TRIM(LEFT(MID(Sync!$P1346,FIND("/",Sync!$P1346)+1,20),FIND("/",MID(Sync!$P1346,FIND("/",Sync!$P1346)+1,20))-1))),"")))</f>
        <v/>
      </c>
      <c r="AH1346">
        <f>IF(OR($AE1346="",$AF1346=""),"",IF(ISNUMBER(Sync!$P1346),MOD(Sync!$P1346,100),IFERROR(VALUE(TRIM(MID(MID(Sync!$P1346,FIND("/",Sync!$P1346)+1,20),FIND("/",MID(Sync!$P1346,FIND("/",Sync!$P1346)+1,20))+1,20))),"")))</f>
        <v/>
      </c>
      <c r="AI1346">
        <f>IF($AE1346="","",IF(OR($AF1346="",$AG1346="",$AH1346="",$AF1346&lt;1300,$AF1346&gt;1500,$AG1346&lt;1,$AG1346&gt;12,$AH1346&lt;1,$AH1346&gt;31),"نامعتبر",RIGHT("0000"&amp;$AF1346,4)&amp;"/"&amp;RIGHT("00"&amp;$AG1346,2)&amp;"/"&amp;RIGHT("00"&amp;$AH1346,2)))</f>
        <v/>
      </c>
      <c r="AJ1346">
        <f>IF($AE1346="","",IF(Sync!$Q1346="","0000",IF(AND(ISNUMBER(Sync!$Q1346),Sync!$Q1346&gt;=0,Sync!$Q1346&lt;1),RIGHT("00"&amp;HOUR(Sync!$Q1346),2)&amp;RIGHT("00"&amp;MINUTE(Sync!$Q1346),2),IFERROR(RIGHT("00"&amp;VALUE(LEFT(Sync!$Q1346,FIND(":",Sync!$Q1346)-1)),2)&amp;RIGHT("00"&amp;VALUE(MID(Sync!$Q1346,FIND(":",Sync!$Q1346)+1,2)),2),"0000"))))</f>
        <v/>
      </c>
      <c r="AK1346">
        <f>IF(OR($AE1346="",$AI1346="",$AI1346="نامعتبر"),"",LEFT($AI1346,4)&amp;MID($AI1346,6,2)&amp;RIGHT($AI1346,2)&amp;$AJ1346&amp;"|"&amp;"3"&amp;RIGHT("00000"&amp;1341,5))</f>
        <v/>
      </c>
      <c r="AL1346">
        <f>IF($AK1346="","",COUNTIFS(LdAParty,$AE1346,LdAType,1,LdAKey,"&lt;"&amp;$AK1346)+COUNTIFS(LdBMember,$AE1346,LdBKey,"&lt;"&amp;$AK1346)+COUNTIFS(LdCParty,$AE1346,LdCKey,"&lt;"&amp;$AK1346)+1)</f>
        <v/>
      </c>
      <c r="AM1346">
        <f>IF($AL1346="","",$AE1346&amp;"|"&amp;RIGHT("000000"&amp;$AL1346,6))</f>
        <v/>
      </c>
      <c r="AN1346">
        <f>IF($AE1346="","",IF(Sync!$W1346="",0,Sync!$W1346))</f>
        <v/>
      </c>
      <c r="AO1346">
        <f>IF($AE1346="","",IF(Sync!$X1346="",0,Sync!$X1346))</f>
        <v/>
      </c>
      <c r="AP1346">
        <f>IF($AE1346="","",Sync!$R1346)</f>
        <v/>
      </c>
      <c r="AQ1346">
        <f>IF($AE1346="","",Sync!$Y1346)</f>
        <v/>
      </c>
    </row>
    <row r="1347">
      <c r="A1347">
        <f>IF(OR(Wages!$B1350="",Wages!$E1350=""),"",Wages!$E1350)</f>
        <v/>
      </c>
      <c r="B1347">
        <f>IF($A1347="","",IF(Wages!$C1350="دستمزد گروهی",2,1))</f>
        <v/>
      </c>
      <c r="C1347">
        <f>IF($A1347="","",IF(ISNUMBER(Wages!$B1350),IF(AND(Wages!$B1350&gt;=10000101,Wages!$B1350&lt;=99991231),INT(Wages!$B1350/10000),""),IFERROR(VALUE(TRIM(LEFT(Wages!$B1350,FIND("/",Wages!$B1350)-1))),"")))</f>
        <v/>
      </c>
      <c r="D1347">
        <f>IF(OR($A1347="",$C1347=""),"",IF(ISNUMBER(Wages!$B1350),INT(MOD(Wages!$B1350,10000)/100),IFERROR(VALUE(TRIM(LEFT(MID(Wages!$B1350,FIND("/",Wages!$B1350)+1,20),FIND("/",MID(Wages!$B1350,FIND("/",Wages!$B1350)+1,20))-1))),"")))</f>
        <v/>
      </c>
      <c r="E1347">
        <f>IF(OR($A1347="",$C1347=""),"",IF(ISNUMBER(Wages!$B1350),MOD(Wages!$B1350,100),IFERROR(VALUE(TRIM(MID(MID(Wages!$B1350,FIND("/",Wages!$B1350)+1,20),FIND("/",MID(Wages!$B1350,FIND("/",Wages!$B1350)+1,20))+1,20))),"")))</f>
        <v/>
      </c>
      <c r="F1347">
        <f>IF($A1347="","",IF(OR($C1347="",$D1347="",$E1347="",$C1347&lt;1300,$C1347&gt;1500,$D1347&lt;1,$D1347&gt;12,$E1347&lt;1,$E1347&gt;31),"نامعتبر",RIGHT("0000"&amp;$C1347,4)&amp;"/"&amp;RIGHT("00"&amp;$D1347,2)&amp;"/"&amp;RIGHT("00"&amp;$E1347,2)))</f>
        <v/>
      </c>
      <c r="G1347">
        <f>IF(OR($A1347="",$F1347="",$F1347="نامعتبر"),"",LEFT($F1347,4)&amp;MID($F1347,6,2)&amp;RIGHT($F1347,2)&amp;"0000"&amp;"|"&amp;"1"&amp;RIGHT("00000"&amp;1342,5))</f>
        <v/>
      </c>
      <c r="H1347">
        <f>IF(OR($B1347&lt;&gt;1,$G1347=""),"",COUNTIFS(LdAParty,$A1347,LdAType,1,LdAKey,"&lt;"&amp;$G1347)+COUNTIFS(LdBMember,$A1347,LdBKey,"&lt;"&amp;$G1347)+COUNTIFS(LdCParty,$A1347,LdCKey,"&lt;"&amp;$G1347)+1)</f>
        <v/>
      </c>
      <c r="I1347">
        <f>IF($H1347="","",$A1347&amp;"|"&amp;RIGHT("000000"&amp;$H1347,6))</f>
        <v/>
      </c>
      <c r="J1347">
        <f>IF(OR($B1347&lt;&gt;2,$G1347=""),"",COUNTIFS(LdAParty,$A1347,LdAType,2,LdAKey,"&lt;"&amp;$G1347)+1)</f>
        <v/>
      </c>
      <c r="K1347">
        <f>IF($J1347="","",$A1347&amp;"|"&amp;RIGHT("000000"&amp;$J1347,6))</f>
        <v/>
      </c>
      <c r="L1347">
        <f>IF($A1347="","",IF(Wages!$G1350="",0,Wages!$G1350))</f>
        <v/>
      </c>
      <c r="M1347">
        <f>IF($A1347="","",Wages!$J1350)</f>
        <v/>
      </c>
      <c r="N1347">
        <f>IF($A1347="","",Wages!$D1350)</f>
        <v/>
      </c>
      <c r="P1347">
        <f>IF(OR(Shares!$B1350="",Shares!$C1350=""),"",Shares!$C1350)</f>
        <v/>
      </c>
      <c r="Q1347">
        <f>IF($P1347="","",Shares!$B1350)</f>
        <v/>
      </c>
      <c r="R1347">
        <f>IF($P1347="","",IFERROR(INDEX(WageParty,MATCH($Q1347,WageIds,0)),""))</f>
        <v/>
      </c>
      <c r="S1347">
        <f>IF($P1347="","",IFERROR(INDEX($F$6:$F$2005,MATCH($Q1347,WageIds,0)),""))</f>
        <v/>
      </c>
      <c r="T1347">
        <f>IF(OR($P1347="",$S1347="",$S1347="نامعتبر"),"",LEFT($S1347,4)&amp;MID($S1347,6,2)&amp;RIGHT($S1347,2)&amp;"0000"&amp;"|"&amp;"2"&amp;RIGHT("00000"&amp;1342,5))</f>
        <v/>
      </c>
      <c r="U1347">
        <f>IF($T1347="","",COUNTIFS(LdAParty,$P1347,LdAType,1,LdAKey,"&lt;"&amp;$T1347)+COUNTIFS(LdBMember,$P1347,LdBKey,"&lt;"&amp;$T1347)+COUNTIFS(LdCParty,$P1347,LdCKey,"&lt;"&amp;$T1347)+1)</f>
        <v/>
      </c>
      <c r="V1347">
        <f>IF($U1347="","",$P1347&amp;"|"&amp;RIGHT("000000"&amp;$U1347,6))</f>
        <v/>
      </c>
      <c r="W1347">
        <f>IF($T1347="","",COUNTIFS(LdBGroup,$R1347,LdBKey,"&lt;"&amp;$T1347)+1)</f>
        <v/>
      </c>
      <c r="X1347">
        <f>IF($W1347="","",$R1347&amp;"|"&amp;RIGHT("000000"&amp;$W1347,6))</f>
        <v/>
      </c>
      <c r="Y1347">
        <f>IF($P1347="","",IF(Shares!$E1350="",0,Shares!$E1350))</f>
        <v/>
      </c>
      <c r="Z1347">
        <f>IF($P1347="","",Shares!$H1350)</f>
        <v/>
      </c>
      <c r="AE1347">
        <f>IF(OR(Sync!$S1347="",Sync!$P1347=""),"",Sync!$S1347)</f>
        <v/>
      </c>
      <c r="AF1347">
        <f>IF($AE1347="","",IF(ISNUMBER(Sync!$P1347),IF(AND(Sync!$P1347&gt;=10000101,Sync!$P1347&lt;=99991231),INT(Sync!$P1347/10000),""),IFERROR(VALUE(TRIM(LEFT(Sync!$P1347,FIND("/",Sync!$P1347)-1))),"")))</f>
        <v/>
      </c>
      <c r="AG1347">
        <f>IF(OR($AE1347="",$AF1347=""),"",IF(ISNUMBER(Sync!$P1347),INT(MOD(Sync!$P1347,10000)/100),IFERROR(VALUE(TRIM(LEFT(MID(Sync!$P1347,FIND("/",Sync!$P1347)+1,20),FIND("/",MID(Sync!$P1347,FIND("/",Sync!$P1347)+1,20))-1))),"")))</f>
        <v/>
      </c>
      <c r="AH1347">
        <f>IF(OR($AE1347="",$AF1347=""),"",IF(ISNUMBER(Sync!$P1347),MOD(Sync!$P1347,100),IFERROR(VALUE(TRIM(MID(MID(Sync!$P1347,FIND("/",Sync!$P1347)+1,20),FIND("/",MID(Sync!$P1347,FIND("/",Sync!$P1347)+1,20))+1,20))),"")))</f>
        <v/>
      </c>
      <c r="AI1347">
        <f>IF($AE1347="","",IF(OR($AF1347="",$AG1347="",$AH1347="",$AF1347&lt;1300,$AF1347&gt;1500,$AG1347&lt;1,$AG1347&gt;12,$AH1347&lt;1,$AH1347&gt;31),"نامعتبر",RIGHT("0000"&amp;$AF1347,4)&amp;"/"&amp;RIGHT("00"&amp;$AG1347,2)&amp;"/"&amp;RIGHT("00"&amp;$AH1347,2)))</f>
        <v/>
      </c>
      <c r="AJ1347">
        <f>IF($AE1347="","",IF(Sync!$Q1347="","0000",IF(AND(ISNUMBER(Sync!$Q1347),Sync!$Q1347&gt;=0,Sync!$Q1347&lt;1),RIGHT("00"&amp;HOUR(Sync!$Q1347),2)&amp;RIGHT("00"&amp;MINUTE(Sync!$Q1347),2),IFERROR(RIGHT("00"&amp;VALUE(LEFT(Sync!$Q1347,FIND(":",Sync!$Q1347)-1)),2)&amp;RIGHT("00"&amp;VALUE(MID(Sync!$Q1347,FIND(":",Sync!$Q1347)+1,2)),2),"0000"))))</f>
        <v/>
      </c>
      <c r="AK1347">
        <f>IF(OR($AE1347="",$AI1347="",$AI1347="نامعتبر"),"",LEFT($AI1347,4)&amp;MID($AI1347,6,2)&amp;RIGHT($AI1347,2)&amp;$AJ1347&amp;"|"&amp;"3"&amp;RIGHT("00000"&amp;1342,5))</f>
        <v/>
      </c>
      <c r="AL1347">
        <f>IF($AK1347="","",COUNTIFS(LdAParty,$AE1347,LdAType,1,LdAKey,"&lt;"&amp;$AK1347)+COUNTIFS(LdBMember,$AE1347,LdBKey,"&lt;"&amp;$AK1347)+COUNTIFS(LdCParty,$AE1347,LdCKey,"&lt;"&amp;$AK1347)+1)</f>
        <v/>
      </c>
      <c r="AM1347">
        <f>IF($AL1347="","",$AE1347&amp;"|"&amp;RIGHT("000000"&amp;$AL1347,6))</f>
        <v/>
      </c>
      <c r="AN1347">
        <f>IF($AE1347="","",IF(Sync!$W1347="",0,Sync!$W1347))</f>
        <v/>
      </c>
      <c r="AO1347">
        <f>IF($AE1347="","",IF(Sync!$X1347="",0,Sync!$X1347))</f>
        <v/>
      </c>
      <c r="AP1347">
        <f>IF($AE1347="","",Sync!$R1347)</f>
        <v/>
      </c>
      <c r="AQ1347">
        <f>IF($AE1347="","",Sync!$Y1347)</f>
        <v/>
      </c>
    </row>
    <row r="1348">
      <c r="A1348">
        <f>IF(OR(Wages!$B1351="",Wages!$E1351=""),"",Wages!$E1351)</f>
        <v/>
      </c>
      <c r="B1348">
        <f>IF($A1348="","",IF(Wages!$C1351="دستمزد گروهی",2,1))</f>
        <v/>
      </c>
      <c r="C1348">
        <f>IF($A1348="","",IF(ISNUMBER(Wages!$B1351),IF(AND(Wages!$B1351&gt;=10000101,Wages!$B1351&lt;=99991231),INT(Wages!$B1351/10000),""),IFERROR(VALUE(TRIM(LEFT(Wages!$B1351,FIND("/",Wages!$B1351)-1))),"")))</f>
        <v/>
      </c>
      <c r="D1348">
        <f>IF(OR($A1348="",$C1348=""),"",IF(ISNUMBER(Wages!$B1351),INT(MOD(Wages!$B1351,10000)/100),IFERROR(VALUE(TRIM(LEFT(MID(Wages!$B1351,FIND("/",Wages!$B1351)+1,20),FIND("/",MID(Wages!$B1351,FIND("/",Wages!$B1351)+1,20))-1))),"")))</f>
        <v/>
      </c>
      <c r="E1348">
        <f>IF(OR($A1348="",$C1348=""),"",IF(ISNUMBER(Wages!$B1351),MOD(Wages!$B1351,100),IFERROR(VALUE(TRIM(MID(MID(Wages!$B1351,FIND("/",Wages!$B1351)+1,20),FIND("/",MID(Wages!$B1351,FIND("/",Wages!$B1351)+1,20))+1,20))),"")))</f>
        <v/>
      </c>
      <c r="F1348">
        <f>IF($A1348="","",IF(OR($C1348="",$D1348="",$E1348="",$C1348&lt;1300,$C1348&gt;1500,$D1348&lt;1,$D1348&gt;12,$E1348&lt;1,$E1348&gt;31),"نامعتبر",RIGHT("0000"&amp;$C1348,4)&amp;"/"&amp;RIGHT("00"&amp;$D1348,2)&amp;"/"&amp;RIGHT("00"&amp;$E1348,2)))</f>
        <v/>
      </c>
      <c r="G1348">
        <f>IF(OR($A1348="",$F1348="",$F1348="نامعتبر"),"",LEFT($F1348,4)&amp;MID($F1348,6,2)&amp;RIGHT($F1348,2)&amp;"0000"&amp;"|"&amp;"1"&amp;RIGHT("00000"&amp;1343,5))</f>
        <v/>
      </c>
      <c r="H1348">
        <f>IF(OR($B1348&lt;&gt;1,$G1348=""),"",COUNTIFS(LdAParty,$A1348,LdAType,1,LdAKey,"&lt;"&amp;$G1348)+COUNTIFS(LdBMember,$A1348,LdBKey,"&lt;"&amp;$G1348)+COUNTIFS(LdCParty,$A1348,LdCKey,"&lt;"&amp;$G1348)+1)</f>
        <v/>
      </c>
      <c r="I1348">
        <f>IF($H1348="","",$A1348&amp;"|"&amp;RIGHT("000000"&amp;$H1348,6))</f>
        <v/>
      </c>
      <c r="J1348">
        <f>IF(OR($B1348&lt;&gt;2,$G1348=""),"",COUNTIFS(LdAParty,$A1348,LdAType,2,LdAKey,"&lt;"&amp;$G1348)+1)</f>
        <v/>
      </c>
      <c r="K1348">
        <f>IF($J1348="","",$A1348&amp;"|"&amp;RIGHT("000000"&amp;$J1348,6))</f>
        <v/>
      </c>
      <c r="L1348">
        <f>IF($A1348="","",IF(Wages!$G1351="",0,Wages!$G1351))</f>
        <v/>
      </c>
      <c r="M1348">
        <f>IF($A1348="","",Wages!$J1351)</f>
        <v/>
      </c>
      <c r="N1348">
        <f>IF($A1348="","",Wages!$D1351)</f>
        <v/>
      </c>
      <c r="P1348">
        <f>IF(OR(Shares!$B1351="",Shares!$C1351=""),"",Shares!$C1351)</f>
        <v/>
      </c>
      <c r="Q1348">
        <f>IF($P1348="","",Shares!$B1351)</f>
        <v/>
      </c>
      <c r="R1348">
        <f>IF($P1348="","",IFERROR(INDEX(WageParty,MATCH($Q1348,WageIds,0)),""))</f>
        <v/>
      </c>
      <c r="S1348">
        <f>IF($P1348="","",IFERROR(INDEX($F$6:$F$2005,MATCH($Q1348,WageIds,0)),""))</f>
        <v/>
      </c>
      <c r="T1348">
        <f>IF(OR($P1348="",$S1348="",$S1348="نامعتبر"),"",LEFT($S1348,4)&amp;MID($S1348,6,2)&amp;RIGHT($S1348,2)&amp;"0000"&amp;"|"&amp;"2"&amp;RIGHT("00000"&amp;1343,5))</f>
        <v/>
      </c>
      <c r="U1348">
        <f>IF($T1348="","",COUNTIFS(LdAParty,$P1348,LdAType,1,LdAKey,"&lt;"&amp;$T1348)+COUNTIFS(LdBMember,$P1348,LdBKey,"&lt;"&amp;$T1348)+COUNTIFS(LdCParty,$P1348,LdCKey,"&lt;"&amp;$T1348)+1)</f>
        <v/>
      </c>
      <c r="V1348">
        <f>IF($U1348="","",$P1348&amp;"|"&amp;RIGHT("000000"&amp;$U1348,6))</f>
        <v/>
      </c>
      <c r="W1348">
        <f>IF($T1348="","",COUNTIFS(LdBGroup,$R1348,LdBKey,"&lt;"&amp;$T1348)+1)</f>
        <v/>
      </c>
      <c r="X1348">
        <f>IF($W1348="","",$R1348&amp;"|"&amp;RIGHT("000000"&amp;$W1348,6))</f>
        <v/>
      </c>
      <c r="Y1348">
        <f>IF($P1348="","",IF(Shares!$E1351="",0,Shares!$E1351))</f>
        <v/>
      </c>
      <c r="Z1348">
        <f>IF($P1348="","",Shares!$H1351)</f>
        <v/>
      </c>
      <c r="AE1348">
        <f>IF(OR(Sync!$S1348="",Sync!$P1348=""),"",Sync!$S1348)</f>
        <v/>
      </c>
      <c r="AF1348">
        <f>IF($AE1348="","",IF(ISNUMBER(Sync!$P1348),IF(AND(Sync!$P1348&gt;=10000101,Sync!$P1348&lt;=99991231),INT(Sync!$P1348/10000),""),IFERROR(VALUE(TRIM(LEFT(Sync!$P1348,FIND("/",Sync!$P1348)-1))),"")))</f>
        <v/>
      </c>
      <c r="AG1348">
        <f>IF(OR($AE1348="",$AF1348=""),"",IF(ISNUMBER(Sync!$P1348),INT(MOD(Sync!$P1348,10000)/100),IFERROR(VALUE(TRIM(LEFT(MID(Sync!$P1348,FIND("/",Sync!$P1348)+1,20),FIND("/",MID(Sync!$P1348,FIND("/",Sync!$P1348)+1,20))-1))),"")))</f>
        <v/>
      </c>
      <c r="AH1348">
        <f>IF(OR($AE1348="",$AF1348=""),"",IF(ISNUMBER(Sync!$P1348),MOD(Sync!$P1348,100),IFERROR(VALUE(TRIM(MID(MID(Sync!$P1348,FIND("/",Sync!$P1348)+1,20),FIND("/",MID(Sync!$P1348,FIND("/",Sync!$P1348)+1,20))+1,20))),"")))</f>
        <v/>
      </c>
      <c r="AI1348">
        <f>IF($AE1348="","",IF(OR($AF1348="",$AG1348="",$AH1348="",$AF1348&lt;1300,$AF1348&gt;1500,$AG1348&lt;1,$AG1348&gt;12,$AH1348&lt;1,$AH1348&gt;31),"نامعتبر",RIGHT("0000"&amp;$AF1348,4)&amp;"/"&amp;RIGHT("00"&amp;$AG1348,2)&amp;"/"&amp;RIGHT("00"&amp;$AH1348,2)))</f>
        <v/>
      </c>
      <c r="AJ1348">
        <f>IF($AE1348="","",IF(Sync!$Q1348="","0000",IF(AND(ISNUMBER(Sync!$Q1348),Sync!$Q1348&gt;=0,Sync!$Q1348&lt;1),RIGHT("00"&amp;HOUR(Sync!$Q1348),2)&amp;RIGHT("00"&amp;MINUTE(Sync!$Q1348),2),IFERROR(RIGHT("00"&amp;VALUE(LEFT(Sync!$Q1348,FIND(":",Sync!$Q1348)-1)),2)&amp;RIGHT("00"&amp;VALUE(MID(Sync!$Q1348,FIND(":",Sync!$Q1348)+1,2)),2),"0000"))))</f>
        <v/>
      </c>
      <c r="AK1348">
        <f>IF(OR($AE1348="",$AI1348="",$AI1348="نامعتبر"),"",LEFT($AI1348,4)&amp;MID($AI1348,6,2)&amp;RIGHT($AI1348,2)&amp;$AJ1348&amp;"|"&amp;"3"&amp;RIGHT("00000"&amp;1343,5))</f>
        <v/>
      </c>
      <c r="AL1348">
        <f>IF($AK1348="","",COUNTIFS(LdAParty,$AE1348,LdAType,1,LdAKey,"&lt;"&amp;$AK1348)+COUNTIFS(LdBMember,$AE1348,LdBKey,"&lt;"&amp;$AK1348)+COUNTIFS(LdCParty,$AE1348,LdCKey,"&lt;"&amp;$AK1348)+1)</f>
        <v/>
      </c>
      <c r="AM1348">
        <f>IF($AL1348="","",$AE1348&amp;"|"&amp;RIGHT("000000"&amp;$AL1348,6))</f>
        <v/>
      </c>
      <c r="AN1348">
        <f>IF($AE1348="","",IF(Sync!$W1348="",0,Sync!$W1348))</f>
        <v/>
      </c>
      <c r="AO1348">
        <f>IF($AE1348="","",IF(Sync!$X1348="",0,Sync!$X1348))</f>
        <v/>
      </c>
      <c r="AP1348">
        <f>IF($AE1348="","",Sync!$R1348)</f>
        <v/>
      </c>
      <c r="AQ1348">
        <f>IF($AE1348="","",Sync!$Y1348)</f>
        <v/>
      </c>
    </row>
    <row r="1349">
      <c r="A1349">
        <f>IF(OR(Wages!$B1352="",Wages!$E1352=""),"",Wages!$E1352)</f>
        <v/>
      </c>
      <c r="B1349">
        <f>IF($A1349="","",IF(Wages!$C1352="دستمزد گروهی",2,1))</f>
        <v/>
      </c>
      <c r="C1349">
        <f>IF($A1349="","",IF(ISNUMBER(Wages!$B1352),IF(AND(Wages!$B1352&gt;=10000101,Wages!$B1352&lt;=99991231),INT(Wages!$B1352/10000),""),IFERROR(VALUE(TRIM(LEFT(Wages!$B1352,FIND("/",Wages!$B1352)-1))),"")))</f>
        <v/>
      </c>
      <c r="D1349">
        <f>IF(OR($A1349="",$C1349=""),"",IF(ISNUMBER(Wages!$B1352),INT(MOD(Wages!$B1352,10000)/100),IFERROR(VALUE(TRIM(LEFT(MID(Wages!$B1352,FIND("/",Wages!$B1352)+1,20),FIND("/",MID(Wages!$B1352,FIND("/",Wages!$B1352)+1,20))-1))),"")))</f>
        <v/>
      </c>
      <c r="E1349">
        <f>IF(OR($A1349="",$C1349=""),"",IF(ISNUMBER(Wages!$B1352),MOD(Wages!$B1352,100),IFERROR(VALUE(TRIM(MID(MID(Wages!$B1352,FIND("/",Wages!$B1352)+1,20),FIND("/",MID(Wages!$B1352,FIND("/",Wages!$B1352)+1,20))+1,20))),"")))</f>
        <v/>
      </c>
      <c r="F1349">
        <f>IF($A1349="","",IF(OR($C1349="",$D1349="",$E1349="",$C1349&lt;1300,$C1349&gt;1500,$D1349&lt;1,$D1349&gt;12,$E1349&lt;1,$E1349&gt;31),"نامعتبر",RIGHT("0000"&amp;$C1349,4)&amp;"/"&amp;RIGHT("00"&amp;$D1349,2)&amp;"/"&amp;RIGHT("00"&amp;$E1349,2)))</f>
        <v/>
      </c>
      <c r="G1349">
        <f>IF(OR($A1349="",$F1349="",$F1349="نامعتبر"),"",LEFT($F1349,4)&amp;MID($F1349,6,2)&amp;RIGHT($F1349,2)&amp;"0000"&amp;"|"&amp;"1"&amp;RIGHT("00000"&amp;1344,5))</f>
        <v/>
      </c>
      <c r="H1349">
        <f>IF(OR($B1349&lt;&gt;1,$G1349=""),"",COUNTIFS(LdAParty,$A1349,LdAType,1,LdAKey,"&lt;"&amp;$G1349)+COUNTIFS(LdBMember,$A1349,LdBKey,"&lt;"&amp;$G1349)+COUNTIFS(LdCParty,$A1349,LdCKey,"&lt;"&amp;$G1349)+1)</f>
        <v/>
      </c>
      <c r="I1349">
        <f>IF($H1349="","",$A1349&amp;"|"&amp;RIGHT("000000"&amp;$H1349,6))</f>
        <v/>
      </c>
      <c r="J1349">
        <f>IF(OR($B1349&lt;&gt;2,$G1349=""),"",COUNTIFS(LdAParty,$A1349,LdAType,2,LdAKey,"&lt;"&amp;$G1349)+1)</f>
        <v/>
      </c>
      <c r="K1349">
        <f>IF($J1349="","",$A1349&amp;"|"&amp;RIGHT("000000"&amp;$J1349,6))</f>
        <v/>
      </c>
      <c r="L1349">
        <f>IF($A1349="","",IF(Wages!$G1352="",0,Wages!$G1352))</f>
        <v/>
      </c>
      <c r="M1349">
        <f>IF($A1349="","",Wages!$J1352)</f>
        <v/>
      </c>
      <c r="N1349">
        <f>IF($A1349="","",Wages!$D1352)</f>
        <v/>
      </c>
      <c r="P1349">
        <f>IF(OR(Shares!$B1352="",Shares!$C1352=""),"",Shares!$C1352)</f>
        <v/>
      </c>
      <c r="Q1349">
        <f>IF($P1349="","",Shares!$B1352)</f>
        <v/>
      </c>
      <c r="R1349">
        <f>IF($P1349="","",IFERROR(INDEX(WageParty,MATCH($Q1349,WageIds,0)),""))</f>
        <v/>
      </c>
      <c r="S1349">
        <f>IF($P1349="","",IFERROR(INDEX($F$6:$F$2005,MATCH($Q1349,WageIds,0)),""))</f>
        <v/>
      </c>
      <c r="T1349">
        <f>IF(OR($P1349="",$S1349="",$S1349="نامعتبر"),"",LEFT($S1349,4)&amp;MID($S1349,6,2)&amp;RIGHT($S1349,2)&amp;"0000"&amp;"|"&amp;"2"&amp;RIGHT("00000"&amp;1344,5))</f>
        <v/>
      </c>
      <c r="U1349">
        <f>IF($T1349="","",COUNTIFS(LdAParty,$P1349,LdAType,1,LdAKey,"&lt;"&amp;$T1349)+COUNTIFS(LdBMember,$P1349,LdBKey,"&lt;"&amp;$T1349)+COUNTIFS(LdCParty,$P1349,LdCKey,"&lt;"&amp;$T1349)+1)</f>
        <v/>
      </c>
      <c r="V1349">
        <f>IF($U1349="","",$P1349&amp;"|"&amp;RIGHT("000000"&amp;$U1349,6))</f>
        <v/>
      </c>
      <c r="W1349">
        <f>IF($T1349="","",COUNTIFS(LdBGroup,$R1349,LdBKey,"&lt;"&amp;$T1349)+1)</f>
        <v/>
      </c>
      <c r="X1349">
        <f>IF($W1349="","",$R1349&amp;"|"&amp;RIGHT("000000"&amp;$W1349,6))</f>
        <v/>
      </c>
      <c r="Y1349">
        <f>IF($P1349="","",IF(Shares!$E1352="",0,Shares!$E1352))</f>
        <v/>
      </c>
      <c r="Z1349">
        <f>IF($P1349="","",Shares!$H1352)</f>
        <v/>
      </c>
      <c r="AE1349">
        <f>IF(OR(Sync!$S1349="",Sync!$P1349=""),"",Sync!$S1349)</f>
        <v/>
      </c>
      <c r="AF1349">
        <f>IF($AE1349="","",IF(ISNUMBER(Sync!$P1349),IF(AND(Sync!$P1349&gt;=10000101,Sync!$P1349&lt;=99991231),INT(Sync!$P1349/10000),""),IFERROR(VALUE(TRIM(LEFT(Sync!$P1349,FIND("/",Sync!$P1349)-1))),"")))</f>
        <v/>
      </c>
      <c r="AG1349">
        <f>IF(OR($AE1349="",$AF1349=""),"",IF(ISNUMBER(Sync!$P1349),INT(MOD(Sync!$P1349,10000)/100),IFERROR(VALUE(TRIM(LEFT(MID(Sync!$P1349,FIND("/",Sync!$P1349)+1,20),FIND("/",MID(Sync!$P1349,FIND("/",Sync!$P1349)+1,20))-1))),"")))</f>
        <v/>
      </c>
      <c r="AH1349">
        <f>IF(OR($AE1349="",$AF1349=""),"",IF(ISNUMBER(Sync!$P1349),MOD(Sync!$P1349,100),IFERROR(VALUE(TRIM(MID(MID(Sync!$P1349,FIND("/",Sync!$P1349)+1,20),FIND("/",MID(Sync!$P1349,FIND("/",Sync!$P1349)+1,20))+1,20))),"")))</f>
        <v/>
      </c>
      <c r="AI1349">
        <f>IF($AE1349="","",IF(OR($AF1349="",$AG1349="",$AH1349="",$AF1349&lt;1300,$AF1349&gt;1500,$AG1349&lt;1,$AG1349&gt;12,$AH1349&lt;1,$AH1349&gt;31),"نامعتبر",RIGHT("0000"&amp;$AF1349,4)&amp;"/"&amp;RIGHT("00"&amp;$AG1349,2)&amp;"/"&amp;RIGHT("00"&amp;$AH1349,2)))</f>
        <v/>
      </c>
      <c r="AJ1349">
        <f>IF($AE1349="","",IF(Sync!$Q1349="","0000",IF(AND(ISNUMBER(Sync!$Q1349),Sync!$Q1349&gt;=0,Sync!$Q1349&lt;1),RIGHT("00"&amp;HOUR(Sync!$Q1349),2)&amp;RIGHT("00"&amp;MINUTE(Sync!$Q1349),2),IFERROR(RIGHT("00"&amp;VALUE(LEFT(Sync!$Q1349,FIND(":",Sync!$Q1349)-1)),2)&amp;RIGHT("00"&amp;VALUE(MID(Sync!$Q1349,FIND(":",Sync!$Q1349)+1,2)),2),"0000"))))</f>
        <v/>
      </c>
      <c r="AK1349">
        <f>IF(OR($AE1349="",$AI1349="",$AI1349="نامعتبر"),"",LEFT($AI1349,4)&amp;MID($AI1349,6,2)&amp;RIGHT($AI1349,2)&amp;$AJ1349&amp;"|"&amp;"3"&amp;RIGHT("00000"&amp;1344,5))</f>
        <v/>
      </c>
      <c r="AL1349">
        <f>IF($AK1349="","",COUNTIFS(LdAParty,$AE1349,LdAType,1,LdAKey,"&lt;"&amp;$AK1349)+COUNTIFS(LdBMember,$AE1349,LdBKey,"&lt;"&amp;$AK1349)+COUNTIFS(LdCParty,$AE1349,LdCKey,"&lt;"&amp;$AK1349)+1)</f>
        <v/>
      </c>
      <c r="AM1349">
        <f>IF($AL1349="","",$AE1349&amp;"|"&amp;RIGHT("000000"&amp;$AL1349,6))</f>
        <v/>
      </c>
      <c r="AN1349">
        <f>IF($AE1349="","",IF(Sync!$W1349="",0,Sync!$W1349))</f>
        <v/>
      </c>
      <c r="AO1349">
        <f>IF($AE1349="","",IF(Sync!$X1349="",0,Sync!$X1349))</f>
        <v/>
      </c>
      <c r="AP1349">
        <f>IF($AE1349="","",Sync!$R1349)</f>
        <v/>
      </c>
      <c r="AQ1349">
        <f>IF($AE1349="","",Sync!$Y1349)</f>
        <v/>
      </c>
    </row>
    <row r="1350">
      <c r="A1350">
        <f>IF(OR(Wages!$B1353="",Wages!$E1353=""),"",Wages!$E1353)</f>
        <v/>
      </c>
      <c r="B1350">
        <f>IF($A1350="","",IF(Wages!$C1353="دستمزد گروهی",2,1))</f>
        <v/>
      </c>
      <c r="C1350">
        <f>IF($A1350="","",IF(ISNUMBER(Wages!$B1353),IF(AND(Wages!$B1353&gt;=10000101,Wages!$B1353&lt;=99991231),INT(Wages!$B1353/10000),""),IFERROR(VALUE(TRIM(LEFT(Wages!$B1353,FIND("/",Wages!$B1353)-1))),"")))</f>
        <v/>
      </c>
      <c r="D1350">
        <f>IF(OR($A1350="",$C1350=""),"",IF(ISNUMBER(Wages!$B1353),INT(MOD(Wages!$B1353,10000)/100),IFERROR(VALUE(TRIM(LEFT(MID(Wages!$B1353,FIND("/",Wages!$B1353)+1,20),FIND("/",MID(Wages!$B1353,FIND("/",Wages!$B1353)+1,20))-1))),"")))</f>
        <v/>
      </c>
      <c r="E1350">
        <f>IF(OR($A1350="",$C1350=""),"",IF(ISNUMBER(Wages!$B1353),MOD(Wages!$B1353,100),IFERROR(VALUE(TRIM(MID(MID(Wages!$B1353,FIND("/",Wages!$B1353)+1,20),FIND("/",MID(Wages!$B1353,FIND("/",Wages!$B1353)+1,20))+1,20))),"")))</f>
        <v/>
      </c>
      <c r="F1350">
        <f>IF($A1350="","",IF(OR($C1350="",$D1350="",$E1350="",$C1350&lt;1300,$C1350&gt;1500,$D1350&lt;1,$D1350&gt;12,$E1350&lt;1,$E1350&gt;31),"نامعتبر",RIGHT("0000"&amp;$C1350,4)&amp;"/"&amp;RIGHT("00"&amp;$D1350,2)&amp;"/"&amp;RIGHT("00"&amp;$E1350,2)))</f>
        <v/>
      </c>
      <c r="G1350">
        <f>IF(OR($A1350="",$F1350="",$F1350="نامعتبر"),"",LEFT($F1350,4)&amp;MID($F1350,6,2)&amp;RIGHT($F1350,2)&amp;"0000"&amp;"|"&amp;"1"&amp;RIGHT("00000"&amp;1345,5))</f>
        <v/>
      </c>
      <c r="H1350">
        <f>IF(OR($B1350&lt;&gt;1,$G1350=""),"",COUNTIFS(LdAParty,$A1350,LdAType,1,LdAKey,"&lt;"&amp;$G1350)+COUNTIFS(LdBMember,$A1350,LdBKey,"&lt;"&amp;$G1350)+COUNTIFS(LdCParty,$A1350,LdCKey,"&lt;"&amp;$G1350)+1)</f>
        <v/>
      </c>
      <c r="I1350">
        <f>IF($H1350="","",$A1350&amp;"|"&amp;RIGHT("000000"&amp;$H1350,6))</f>
        <v/>
      </c>
      <c r="J1350">
        <f>IF(OR($B1350&lt;&gt;2,$G1350=""),"",COUNTIFS(LdAParty,$A1350,LdAType,2,LdAKey,"&lt;"&amp;$G1350)+1)</f>
        <v/>
      </c>
      <c r="K1350">
        <f>IF($J1350="","",$A1350&amp;"|"&amp;RIGHT("000000"&amp;$J1350,6))</f>
        <v/>
      </c>
      <c r="L1350">
        <f>IF($A1350="","",IF(Wages!$G1353="",0,Wages!$G1353))</f>
        <v/>
      </c>
      <c r="M1350">
        <f>IF($A1350="","",Wages!$J1353)</f>
        <v/>
      </c>
      <c r="N1350">
        <f>IF($A1350="","",Wages!$D1353)</f>
        <v/>
      </c>
      <c r="P1350">
        <f>IF(OR(Shares!$B1353="",Shares!$C1353=""),"",Shares!$C1353)</f>
        <v/>
      </c>
      <c r="Q1350">
        <f>IF($P1350="","",Shares!$B1353)</f>
        <v/>
      </c>
      <c r="R1350">
        <f>IF($P1350="","",IFERROR(INDEX(WageParty,MATCH($Q1350,WageIds,0)),""))</f>
        <v/>
      </c>
      <c r="S1350">
        <f>IF($P1350="","",IFERROR(INDEX($F$6:$F$2005,MATCH($Q1350,WageIds,0)),""))</f>
        <v/>
      </c>
      <c r="T1350">
        <f>IF(OR($P1350="",$S1350="",$S1350="نامعتبر"),"",LEFT($S1350,4)&amp;MID($S1350,6,2)&amp;RIGHT($S1350,2)&amp;"0000"&amp;"|"&amp;"2"&amp;RIGHT("00000"&amp;1345,5))</f>
        <v/>
      </c>
      <c r="U1350">
        <f>IF($T1350="","",COUNTIFS(LdAParty,$P1350,LdAType,1,LdAKey,"&lt;"&amp;$T1350)+COUNTIFS(LdBMember,$P1350,LdBKey,"&lt;"&amp;$T1350)+COUNTIFS(LdCParty,$P1350,LdCKey,"&lt;"&amp;$T1350)+1)</f>
        <v/>
      </c>
      <c r="V1350">
        <f>IF($U1350="","",$P1350&amp;"|"&amp;RIGHT("000000"&amp;$U1350,6))</f>
        <v/>
      </c>
      <c r="W1350">
        <f>IF($T1350="","",COUNTIFS(LdBGroup,$R1350,LdBKey,"&lt;"&amp;$T1350)+1)</f>
        <v/>
      </c>
      <c r="X1350">
        <f>IF($W1350="","",$R1350&amp;"|"&amp;RIGHT("000000"&amp;$W1350,6))</f>
        <v/>
      </c>
      <c r="Y1350">
        <f>IF($P1350="","",IF(Shares!$E1353="",0,Shares!$E1353))</f>
        <v/>
      </c>
      <c r="Z1350">
        <f>IF($P1350="","",Shares!$H1353)</f>
        <v/>
      </c>
      <c r="AE1350">
        <f>IF(OR(Sync!$S1350="",Sync!$P1350=""),"",Sync!$S1350)</f>
        <v/>
      </c>
      <c r="AF1350">
        <f>IF($AE1350="","",IF(ISNUMBER(Sync!$P1350),IF(AND(Sync!$P1350&gt;=10000101,Sync!$P1350&lt;=99991231),INT(Sync!$P1350/10000),""),IFERROR(VALUE(TRIM(LEFT(Sync!$P1350,FIND("/",Sync!$P1350)-1))),"")))</f>
        <v/>
      </c>
      <c r="AG1350">
        <f>IF(OR($AE1350="",$AF1350=""),"",IF(ISNUMBER(Sync!$P1350),INT(MOD(Sync!$P1350,10000)/100),IFERROR(VALUE(TRIM(LEFT(MID(Sync!$P1350,FIND("/",Sync!$P1350)+1,20),FIND("/",MID(Sync!$P1350,FIND("/",Sync!$P1350)+1,20))-1))),"")))</f>
        <v/>
      </c>
      <c r="AH1350">
        <f>IF(OR($AE1350="",$AF1350=""),"",IF(ISNUMBER(Sync!$P1350),MOD(Sync!$P1350,100),IFERROR(VALUE(TRIM(MID(MID(Sync!$P1350,FIND("/",Sync!$P1350)+1,20),FIND("/",MID(Sync!$P1350,FIND("/",Sync!$P1350)+1,20))+1,20))),"")))</f>
        <v/>
      </c>
      <c r="AI1350">
        <f>IF($AE1350="","",IF(OR($AF1350="",$AG1350="",$AH1350="",$AF1350&lt;1300,$AF1350&gt;1500,$AG1350&lt;1,$AG1350&gt;12,$AH1350&lt;1,$AH1350&gt;31),"نامعتبر",RIGHT("0000"&amp;$AF1350,4)&amp;"/"&amp;RIGHT("00"&amp;$AG1350,2)&amp;"/"&amp;RIGHT("00"&amp;$AH1350,2)))</f>
        <v/>
      </c>
      <c r="AJ1350">
        <f>IF($AE1350="","",IF(Sync!$Q1350="","0000",IF(AND(ISNUMBER(Sync!$Q1350),Sync!$Q1350&gt;=0,Sync!$Q1350&lt;1),RIGHT("00"&amp;HOUR(Sync!$Q1350),2)&amp;RIGHT("00"&amp;MINUTE(Sync!$Q1350),2),IFERROR(RIGHT("00"&amp;VALUE(LEFT(Sync!$Q1350,FIND(":",Sync!$Q1350)-1)),2)&amp;RIGHT("00"&amp;VALUE(MID(Sync!$Q1350,FIND(":",Sync!$Q1350)+1,2)),2),"0000"))))</f>
        <v/>
      </c>
      <c r="AK1350">
        <f>IF(OR($AE1350="",$AI1350="",$AI1350="نامعتبر"),"",LEFT($AI1350,4)&amp;MID($AI1350,6,2)&amp;RIGHT($AI1350,2)&amp;$AJ1350&amp;"|"&amp;"3"&amp;RIGHT("00000"&amp;1345,5))</f>
        <v/>
      </c>
      <c r="AL1350">
        <f>IF($AK1350="","",COUNTIFS(LdAParty,$AE1350,LdAType,1,LdAKey,"&lt;"&amp;$AK1350)+COUNTIFS(LdBMember,$AE1350,LdBKey,"&lt;"&amp;$AK1350)+COUNTIFS(LdCParty,$AE1350,LdCKey,"&lt;"&amp;$AK1350)+1)</f>
        <v/>
      </c>
      <c r="AM1350">
        <f>IF($AL1350="","",$AE1350&amp;"|"&amp;RIGHT("000000"&amp;$AL1350,6))</f>
        <v/>
      </c>
      <c r="AN1350">
        <f>IF($AE1350="","",IF(Sync!$W1350="",0,Sync!$W1350))</f>
        <v/>
      </c>
      <c r="AO1350">
        <f>IF($AE1350="","",IF(Sync!$X1350="",0,Sync!$X1350))</f>
        <v/>
      </c>
      <c r="AP1350">
        <f>IF($AE1350="","",Sync!$R1350)</f>
        <v/>
      </c>
      <c r="AQ1350">
        <f>IF($AE1350="","",Sync!$Y1350)</f>
        <v/>
      </c>
    </row>
    <row r="1351">
      <c r="A1351">
        <f>IF(OR(Wages!$B1354="",Wages!$E1354=""),"",Wages!$E1354)</f>
        <v/>
      </c>
      <c r="B1351">
        <f>IF($A1351="","",IF(Wages!$C1354="دستمزد گروهی",2,1))</f>
        <v/>
      </c>
      <c r="C1351">
        <f>IF($A1351="","",IF(ISNUMBER(Wages!$B1354),IF(AND(Wages!$B1354&gt;=10000101,Wages!$B1354&lt;=99991231),INT(Wages!$B1354/10000),""),IFERROR(VALUE(TRIM(LEFT(Wages!$B1354,FIND("/",Wages!$B1354)-1))),"")))</f>
        <v/>
      </c>
      <c r="D1351">
        <f>IF(OR($A1351="",$C1351=""),"",IF(ISNUMBER(Wages!$B1354),INT(MOD(Wages!$B1354,10000)/100),IFERROR(VALUE(TRIM(LEFT(MID(Wages!$B1354,FIND("/",Wages!$B1354)+1,20),FIND("/",MID(Wages!$B1354,FIND("/",Wages!$B1354)+1,20))-1))),"")))</f>
        <v/>
      </c>
      <c r="E1351">
        <f>IF(OR($A1351="",$C1351=""),"",IF(ISNUMBER(Wages!$B1354),MOD(Wages!$B1354,100),IFERROR(VALUE(TRIM(MID(MID(Wages!$B1354,FIND("/",Wages!$B1354)+1,20),FIND("/",MID(Wages!$B1354,FIND("/",Wages!$B1354)+1,20))+1,20))),"")))</f>
        <v/>
      </c>
      <c r="F1351">
        <f>IF($A1351="","",IF(OR($C1351="",$D1351="",$E1351="",$C1351&lt;1300,$C1351&gt;1500,$D1351&lt;1,$D1351&gt;12,$E1351&lt;1,$E1351&gt;31),"نامعتبر",RIGHT("0000"&amp;$C1351,4)&amp;"/"&amp;RIGHT("00"&amp;$D1351,2)&amp;"/"&amp;RIGHT("00"&amp;$E1351,2)))</f>
        <v/>
      </c>
      <c r="G1351">
        <f>IF(OR($A1351="",$F1351="",$F1351="نامعتبر"),"",LEFT($F1351,4)&amp;MID($F1351,6,2)&amp;RIGHT($F1351,2)&amp;"0000"&amp;"|"&amp;"1"&amp;RIGHT("00000"&amp;1346,5))</f>
        <v/>
      </c>
      <c r="H1351">
        <f>IF(OR($B1351&lt;&gt;1,$G1351=""),"",COUNTIFS(LdAParty,$A1351,LdAType,1,LdAKey,"&lt;"&amp;$G1351)+COUNTIFS(LdBMember,$A1351,LdBKey,"&lt;"&amp;$G1351)+COUNTIFS(LdCParty,$A1351,LdCKey,"&lt;"&amp;$G1351)+1)</f>
        <v/>
      </c>
      <c r="I1351">
        <f>IF($H1351="","",$A1351&amp;"|"&amp;RIGHT("000000"&amp;$H1351,6))</f>
        <v/>
      </c>
      <c r="J1351">
        <f>IF(OR($B1351&lt;&gt;2,$G1351=""),"",COUNTIFS(LdAParty,$A1351,LdAType,2,LdAKey,"&lt;"&amp;$G1351)+1)</f>
        <v/>
      </c>
      <c r="K1351">
        <f>IF($J1351="","",$A1351&amp;"|"&amp;RIGHT("000000"&amp;$J1351,6))</f>
        <v/>
      </c>
      <c r="L1351">
        <f>IF($A1351="","",IF(Wages!$G1354="",0,Wages!$G1354))</f>
        <v/>
      </c>
      <c r="M1351">
        <f>IF($A1351="","",Wages!$J1354)</f>
        <v/>
      </c>
      <c r="N1351">
        <f>IF($A1351="","",Wages!$D1354)</f>
        <v/>
      </c>
      <c r="P1351">
        <f>IF(OR(Shares!$B1354="",Shares!$C1354=""),"",Shares!$C1354)</f>
        <v/>
      </c>
      <c r="Q1351">
        <f>IF($P1351="","",Shares!$B1354)</f>
        <v/>
      </c>
      <c r="R1351">
        <f>IF($P1351="","",IFERROR(INDEX(WageParty,MATCH($Q1351,WageIds,0)),""))</f>
        <v/>
      </c>
      <c r="S1351">
        <f>IF($P1351="","",IFERROR(INDEX($F$6:$F$2005,MATCH($Q1351,WageIds,0)),""))</f>
        <v/>
      </c>
      <c r="T1351">
        <f>IF(OR($P1351="",$S1351="",$S1351="نامعتبر"),"",LEFT($S1351,4)&amp;MID($S1351,6,2)&amp;RIGHT($S1351,2)&amp;"0000"&amp;"|"&amp;"2"&amp;RIGHT("00000"&amp;1346,5))</f>
        <v/>
      </c>
      <c r="U1351">
        <f>IF($T1351="","",COUNTIFS(LdAParty,$P1351,LdAType,1,LdAKey,"&lt;"&amp;$T1351)+COUNTIFS(LdBMember,$P1351,LdBKey,"&lt;"&amp;$T1351)+COUNTIFS(LdCParty,$P1351,LdCKey,"&lt;"&amp;$T1351)+1)</f>
        <v/>
      </c>
      <c r="V1351">
        <f>IF($U1351="","",$P1351&amp;"|"&amp;RIGHT("000000"&amp;$U1351,6))</f>
        <v/>
      </c>
      <c r="W1351">
        <f>IF($T1351="","",COUNTIFS(LdBGroup,$R1351,LdBKey,"&lt;"&amp;$T1351)+1)</f>
        <v/>
      </c>
      <c r="X1351">
        <f>IF($W1351="","",$R1351&amp;"|"&amp;RIGHT("000000"&amp;$W1351,6))</f>
        <v/>
      </c>
      <c r="Y1351">
        <f>IF($P1351="","",IF(Shares!$E1354="",0,Shares!$E1354))</f>
        <v/>
      </c>
      <c r="Z1351">
        <f>IF($P1351="","",Shares!$H1354)</f>
        <v/>
      </c>
      <c r="AE1351">
        <f>IF(OR(Sync!$S1351="",Sync!$P1351=""),"",Sync!$S1351)</f>
        <v/>
      </c>
      <c r="AF1351">
        <f>IF($AE1351="","",IF(ISNUMBER(Sync!$P1351),IF(AND(Sync!$P1351&gt;=10000101,Sync!$P1351&lt;=99991231),INT(Sync!$P1351/10000),""),IFERROR(VALUE(TRIM(LEFT(Sync!$P1351,FIND("/",Sync!$P1351)-1))),"")))</f>
        <v/>
      </c>
      <c r="AG1351">
        <f>IF(OR($AE1351="",$AF1351=""),"",IF(ISNUMBER(Sync!$P1351),INT(MOD(Sync!$P1351,10000)/100),IFERROR(VALUE(TRIM(LEFT(MID(Sync!$P1351,FIND("/",Sync!$P1351)+1,20),FIND("/",MID(Sync!$P1351,FIND("/",Sync!$P1351)+1,20))-1))),"")))</f>
        <v/>
      </c>
      <c r="AH1351">
        <f>IF(OR($AE1351="",$AF1351=""),"",IF(ISNUMBER(Sync!$P1351),MOD(Sync!$P1351,100),IFERROR(VALUE(TRIM(MID(MID(Sync!$P1351,FIND("/",Sync!$P1351)+1,20),FIND("/",MID(Sync!$P1351,FIND("/",Sync!$P1351)+1,20))+1,20))),"")))</f>
        <v/>
      </c>
      <c r="AI1351">
        <f>IF($AE1351="","",IF(OR($AF1351="",$AG1351="",$AH1351="",$AF1351&lt;1300,$AF1351&gt;1500,$AG1351&lt;1,$AG1351&gt;12,$AH1351&lt;1,$AH1351&gt;31),"نامعتبر",RIGHT("0000"&amp;$AF1351,4)&amp;"/"&amp;RIGHT("00"&amp;$AG1351,2)&amp;"/"&amp;RIGHT("00"&amp;$AH1351,2)))</f>
        <v/>
      </c>
      <c r="AJ1351">
        <f>IF($AE1351="","",IF(Sync!$Q1351="","0000",IF(AND(ISNUMBER(Sync!$Q1351),Sync!$Q1351&gt;=0,Sync!$Q1351&lt;1),RIGHT("00"&amp;HOUR(Sync!$Q1351),2)&amp;RIGHT("00"&amp;MINUTE(Sync!$Q1351),2),IFERROR(RIGHT("00"&amp;VALUE(LEFT(Sync!$Q1351,FIND(":",Sync!$Q1351)-1)),2)&amp;RIGHT("00"&amp;VALUE(MID(Sync!$Q1351,FIND(":",Sync!$Q1351)+1,2)),2),"0000"))))</f>
        <v/>
      </c>
      <c r="AK1351">
        <f>IF(OR($AE1351="",$AI1351="",$AI1351="نامعتبر"),"",LEFT($AI1351,4)&amp;MID($AI1351,6,2)&amp;RIGHT($AI1351,2)&amp;$AJ1351&amp;"|"&amp;"3"&amp;RIGHT("00000"&amp;1346,5))</f>
        <v/>
      </c>
      <c r="AL1351">
        <f>IF($AK1351="","",COUNTIFS(LdAParty,$AE1351,LdAType,1,LdAKey,"&lt;"&amp;$AK1351)+COUNTIFS(LdBMember,$AE1351,LdBKey,"&lt;"&amp;$AK1351)+COUNTIFS(LdCParty,$AE1351,LdCKey,"&lt;"&amp;$AK1351)+1)</f>
        <v/>
      </c>
      <c r="AM1351">
        <f>IF($AL1351="","",$AE1351&amp;"|"&amp;RIGHT("000000"&amp;$AL1351,6))</f>
        <v/>
      </c>
      <c r="AN1351">
        <f>IF($AE1351="","",IF(Sync!$W1351="",0,Sync!$W1351))</f>
        <v/>
      </c>
      <c r="AO1351">
        <f>IF($AE1351="","",IF(Sync!$X1351="",0,Sync!$X1351))</f>
        <v/>
      </c>
      <c r="AP1351">
        <f>IF($AE1351="","",Sync!$R1351)</f>
        <v/>
      </c>
      <c r="AQ1351">
        <f>IF($AE1351="","",Sync!$Y1351)</f>
        <v/>
      </c>
    </row>
    <row r="1352">
      <c r="A1352">
        <f>IF(OR(Wages!$B1355="",Wages!$E1355=""),"",Wages!$E1355)</f>
        <v/>
      </c>
      <c r="B1352">
        <f>IF($A1352="","",IF(Wages!$C1355="دستمزد گروهی",2,1))</f>
        <v/>
      </c>
      <c r="C1352">
        <f>IF($A1352="","",IF(ISNUMBER(Wages!$B1355),IF(AND(Wages!$B1355&gt;=10000101,Wages!$B1355&lt;=99991231),INT(Wages!$B1355/10000),""),IFERROR(VALUE(TRIM(LEFT(Wages!$B1355,FIND("/",Wages!$B1355)-1))),"")))</f>
        <v/>
      </c>
      <c r="D1352">
        <f>IF(OR($A1352="",$C1352=""),"",IF(ISNUMBER(Wages!$B1355),INT(MOD(Wages!$B1355,10000)/100),IFERROR(VALUE(TRIM(LEFT(MID(Wages!$B1355,FIND("/",Wages!$B1355)+1,20),FIND("/",MID(Wages!$B1355,FIND("/",Wages!$B1355)+1,20))-1))),"")))</f>
        <v/>
      </c>
      <c r="E1352">
        <f>IF(OR($A1352="",$C1352=""),"",IF(ISNUMBER(Wages!$B1355),MOD(Wages!$B1355,100),IFERROR(VALUE(TRIM(MID(MID(Wages!$B1355,FIND("/",Wages!$B1355)+1,20),FIND("/",MID(Wages!$B1355,FIND("/",Wages!$B1355)+1,20))+1,20))),"")))</f>
        <v/>
      </c>
      <c r="F1352">
        <f>IF($A1352="","",IF(OR($C1352="",$D1352="",$E1352="",$C1352&lt;1300,$C1352&gt;1500,$D1352&lt;1,$D1352&gt;12,$E1352&lt;1,$E1352&gt;31),"نامعتبر",RIGHT("0000"&amp;$C1352,4)&amp;"/"&amp;RIGHT("00"&amp;$D1352,2)&amp;"/"&amp;RIGHT("00"&amp;$E1352,2)))</f>
        <v/>
      </c>
      <c r="G1352">
        <f>IF(OR($A1352="",$F1352="",$F1352="نامعتبر"),"",LEFT($F1352,4)&amp;MID($F1352,6,2)&amp;RIGHT($F1352,2)&amp;"0000"&amp;"|"&amp;"1"&amp;RIGHT("00000"&amp;1347,5))</f>
        <v/>
      </c>
      <c r="H1352">
        <f>IF(OR($B1352&lt;&gt;1,$G1352=""),"",COUNTIFS(LdAParty,$A1352,LdAType,1,LdAKey,"&lt;"&amp;$G1352)+COUNTIFS(LdBMember,$A1352,LdBKey,"&lt;"&amp;$G1352)+COUNTIFS(LdCParty,$A1352,LdCKey,"&lt;"&amp;$G1352)+1)</f>
        <v/>
      </c>
      <c r="I1352">
        <f>IF($H1352="","",$A1352&amp;"|"&amp;RIGHT("000000"&amp;$H1352,6))</f>
        <v/>
      </c>
      <c r="J1352">
        <f>IF(OR($B1352&lt;&gt;2,$G1352=""),"",COUNTIFS(LdAParty,$A1352,LdAType,2,LdAKey,"&lt;"&amp;$G1352)+1)</f>
        <v/>
      </c>
      <c r="K1352">
        <f>IF($J1352="","",$A1352&amp;"|"&amp;RIGHT("000000"&amp;$J1352,6))</f>
        <v/>
      </c>
      <c r="L1352">
        <f>IF($A1352="","",IF(Wages!$G1355="",0,Wages!$G1355))</f>
        <v/>
      </c>
      <c r="M1352">
        <f>IF($A1352="","",Wages!$J1355)</f>
        <v/>
      </c>
      <c r="N1352">
        <f>IF($A1352="","",Wages!$D1355)</f>
        <v/>
      </c>
      <c r="P1352">
        <f>IF(OR(Shares!$B1355="",Shares!$C1355=""),"",Shares!$C1355)</f>
        <v/>
      </c>
      <c r="Q1352">
        <f>IF($P1352="","",Shares!$B1355)</f>
        <v/>
      </c>
      <c r="R1352">
        <f>IF($P1352="","",IFERROR(INDEX(WageParty,MATCH($Q1352,WageIds,0)),""))</f>
        <v/>
      </c>
      <c r="S1352">
        <f>IF($P1352="","",IFERROR(INDEX($F$6:$F$2005,MATCH($Q1352,WageIds,0)),""))</f>
        <v/>
      </c>
      <c r="T1352">
        <f>IF(OR($P1352="",$S1352="",$S1352="نامعتبر"),"",LEFT($S1352,4)&amp;MID($S1352,6,2)&amp;RIGHT($S1352,2)&amp;"0000"&amp;"|"&amp;"2"&amp;RIGHT("00000"&amp;1347,5))</f>
        <v/>
      </c>
      <c r="U1352">
        <f>IF($T1352="","",COUNTIFS(LdAParty,$P1352,LdAType,1,LdAKey,"&lt;"&amp;$T1352)+COUNTIFS(LdBMember,$P1352,LdBKey,"&lt;"&amp;$T1352)+COUNTIFS(LdCParty,$P1352,LdCKey,"&lt;"&amp;$T1352)+1)</f>
        <v/>
      </c>
      <c r="V1352">
        <f>IF($U1352="","",$P1352&amp;"|"&amp;RIGHT("000000"&amp;$U1352,6))</f>
        <v/>
      </c>
      <c r="W1352">
        <f>IF($T1352="","",COUNTIFS(LdBGroup,$R1352,LdBKey,"&lt;"&amp;$T1352)+1)</f>
        <v/>
      </c>
      <c r="X1352">
        <f>IF($W1352="","",$R1352&amp;"|"&amp;RIGHT("000000"&amp;$W1352,6))</f>
        <v/>
      </c>
      <c r="Y1352">
        <f>IF($P1352="","",IF(Shares!$E1355="",0,Shares!$E1355))</f>
        <v/>
      </c>
      <c r="Z1352">
        <f>IF($P1352="","",Shares!$H1355)</f>
        <v/>
      </c>
      <c r="AE1352">
        <f>IF(OR(Sync!$S1352="",Sync!$P1352=""),"",Sync!$S1352)</f>
        <v/>
      </c>
      <c r="AF1352">
        <f>IF($AE1352="","",IF(ISNUMBER(Sync!$P1352),IF(AND(Sync!$P1352&gt;=10000101,Sync!$P1352&lt;=99991231),INT(Sync!$P1352/10000),""),IFERROR(VALUE(TRIM(LEFT(Sync!$P1352,FIND("/",Sync!$P1352)-1))),"")))</f>
        <v/>
      </c>
      <c r="AG1352">
        <f>IF(OR($AE1352="",$AF1352=""),"",IF(ISNUMBER(Sync!$P1352),INT(MOD(Sync!$P1352,10000)/100),IFERROR(VALUE(TRIM(LEFT(MID(Sync!$P1352,FIND("/",Sync!$P1352)+1,20),FIND("/",MID(Sync!$P1352,FIND("/",Sync!$P1352)+1,20))-1))),"")))</f>
        <v/>
      </c>
      <c r="AH1352">
        <f>IF(OR($AE1352="",$AF1352=""),"",IF(ISNUMBER(Sync!$P1352),MOD(Sync!$P1352,100),IFERROR(VALUE(TRIM(MID(MID(Sync!$P1352,FIND("/",Sync!$P1352)+1,20),FIND("/",MID(Sync!$P1352,FIND("/",Sync!$P1352)+1,20))+1,20))),"")))</f>
        <v/>
      </c>
      <c r="AI1352">
        <f>IF($AE1352="","",IF(OR($AF1352="",$AG1352="",$AH1352="",$AF1352&lt;1300,$AF1352&gt;1500,$AG1352&lt;1,$AG1352&gt;12,$AH1352&lt;1,$AH1352&gt;31),"نامعتبر",RIGHT("0000"&amp;$AF1352,4)&amp;"/"&amp;RIGHT("00"&amp;$AG1352,2)&amp;"/"&amp;RIGHT("00"&amp;$AH1352,2)))</f>
        <v/>
      </c>
      <c r="AJ1352">
        <f>IF($AE1352="","",IF(Sync!$Q1352="","0000",IF(AND(ISNUMBER(Sync!$Q1352),Sync!$Q1352&gt;=0,Sync!$Q1352&lt;1),RIGHT("00"&amp;HOUR(Sync!$Q1352),2)&amp;RIGHT("00"&amp;MINUTE(Sync!$Q1352),2),IFERROR(RIGHT("00"&amp;VALUE(LEFT(Sync!$Q1352,FIND(":",Sync!$Q1352)-1)),2)&amp;RIGHT("00"&amp;VALUE(MID(Sync!$Q1352,FIND(":",Sync!$Q1352)+1,2)),2),"0000"))))</f>
        <v/>
      </c>
      <c r="AK1352">
        <f>IF(OR($AE1352="",$AI1352="",$AI1352="نامعتبر"),"",LEFT($AI1352,4)&amp;MID($AI1352,6,2)&amp;RIGHT($AI1352,2)&amp;$AJ1352&amp;"|"&amp;"3"&amp;RIGHT("00000"&amp;1347,5))</f>
        <v/>
      </c>
      <c r="AL1352">
        <f>IF($AK1352="","",COUNTIFS(LdAParty,$AE1352,LdAType,1,LdAKey,"&lt;"&amp;$AK1352)+COUNTIFS(LdBMember,$AE1352,LdBKey,"&lt;"&amp;$AK1352)+COUNTIFS(LdCParty,$AE1352,LdCKey,"&lt;"&amp;$AK1352)+1)</f>
        <v/>
      </c>
      <c r="AM1352">
        <f>IF($AL1352="","",$AE1352&amp;"|"&amp;RIGHT("000000"&amp;$AL1352,6))</f>
        <v/>
      </c>
      <c r="AN1352">
        <f>IF($AE1352="","",IF(Sync!$W1352="",0,Sync!$W1352))</f>
        <v/>
      </c>
      <c r="AO1352">
        <f>IF($AE1352="","",IF(Sync!$X1352="",0,Sync!$X1352))</f>
        <v/>
      </c>
      <c r="AP1352">
        <f>IF($AE1352="","",Sync!$R1352)</f>
        <v/>
      </c>
      <c r="AQ1352">
        <f>IF($AE1352="","",Sync!$Y1352)</f>
        <v/>
      </c>
    </row>
    <row r="1353">
      <c r="A1353">
        <f>IF(OR(Wages!$B1356="",Wages!$E1356=""),"",Wages!$E1356)</f>
        <v/>
      </c>
      <c r="B1353">
        <f>IF($A1353="","",IF(Wages!$C1356="دستمزد گروهی",2,1))</f>
        <v/>
      </c>
      <c r="C1353">
        <f>IF($A1353="","",IF(ISNUMBER(Wages!$B1356),IF(AND(Wages!$B1356&gt;=10000101,Wages!$B1356&lt;=99991231),INT(Wages!$B1356/10000),""),IFERROR(VALUE(TRIM(LEFT(Wages!$B1356,FIND("/",Wages!$B1356)-1))),"")))</f>
        <v/>
      </c>
      <c r="D1353">
        <f>IF(OR($A1353="",$C1353=""),"",IF(ISNUMBER(Wages!$B1356),INT(MOD(Wages!$B1356,10000)/100),IFERROR(VALUE(TRIM(LEFT(MID(Wages!$B1356,FIND("/",Wages!$B1356)+1,20),FIND("/",MID(Wages!$B1356,FIND("/",Wages!$B1356)+1,20))-1))),"")))</f>
        <v/>
      </c>
      <c r="E1353">
        <f>IF(OR($A1353="",$C1353=""),"",IF(ISNUMBER(Wages!$B1356),MOD(Wages!$B1356,100),IFERROR(VALUE(TRIM(MID(MID(Wages!$B1356,FIND("/",Wages!$B1356)+1,20),FIND("/",MID(Wages!$B1356,FIND("/",Wages!$B1356)+1,20))+1,20))),"")))</f>
        <v/>
      </c>
      <c r="F1353">
        <f>IF($A1353="","",IF(OR($C1353="",$D1353="",$E1353="",$C1353&lt;1300,$C1353&gt;1500,$D1353&lt;1,$D1353&gt;12,$E1353&lt;1,$E1353&gt;31),"نامعتبر",RIGHT("0000"&amp;$C1353,4)&amp;"/"&amp;RIGHT("00"&amp;$D1353,2)&amp;"/"&amp;RIGHT("00"&amp;$E1353,2)))</f>
        <v/>
      </c>
      <c r="G1353">
        <f>IF(OR($A1353="",$F1353="",$F1353="نامعتبر"),"",LEFT($F1353,4)&amp;MID($F1353,6,2)&amp;RIGHT($F1353,2)&amp;"0000"&amp;"|"&amp;"1"&amp;RIGHT("00000"&amp;1348,5))</f>
        <v/>
      </c>
      <c r="H1353">
        <f>IF(OR($B1353&lt;&gt;1,$G1353=""),"",COUNTIFS(LdAParty,$A1353,LdAType,1,LdAKey,"&lt;"&amp;$G1353)+COUNTIFS(LdBMember,$A1353,LdBKey,"&lt;"&amp;$G1353)+COUNTIFS(LdCParty,$A1353,LdCKey,"&lt;"&amp;$G1353)+1)</f>
        <v/>
      </c>
      <c r="I1353">
        <f>IF($H1353="","",$A1353&amp;"|"&amp;RIGHT("000000"&amp;$H1353,6))</f>
        <v/>
      </c>
      <c r="J1353">
        <f>IF(OR($B1353&lt;&gt;2,$G1353=""),"",COUNTIFS(LdAParty,$A1353,LdAType,2,LdAKey,"&lt;"&amp;$G1353)+1)</f>
        <v/>
      </c>
      <c r="K1353">
        <f>IF($J1353="","",$A1353&amp;"|"&amp;RIGHT("000000"&amp;$J1353,6))</f>
        <v/>
      </c>
      <c r="L1353">
        <f>IF($A1353="","",IF(Wages!$G1356="",0,Wages!$G1356))</f>
        <v/>
      </c>
      <c r="M1353">
        <f>IF($A1353="","",Wages!$J1356)</f>
        <v/>
      </c>
      <c r="N1353">
        <f>IF($A1353="","",Wages!$D1356)</f>
        <v/>
      </c>
      <c r="P1353">
        <f>IF(OR(Shares!$B1356="",Shares!$C1356=""),"",Shares!$C1356)</f>
        <v/>
      </c>
      <c r="Q1353">
        <f>IF($P1353="","",Shares!$B1356)</f>
        <v/>
      </c>
      <c r="R1353">
        <f>IF($P1353="","",IFERROR(INDEX(WageParty,MATCH($Q1353,WageIds,0)),""))</f>
        <v/>
      </c>
      <c r="S1353">
        <f>IF($P1353="","",IFERROR(INDEX($F$6:$F$2005,MATCH($Q1353,WageIds,0)),""))</f>
        <v/>
      </c>
      <c r="T1353">
        <f>IF(OR($P1353="",$S1353="",$S1353="نامعتبر"),"",LEFT($S1353,4)&amp;MID($S1353,6,2)&amp;RIGHT($S1353,2)&amp;"0000"&amp;"|"&amp;"2"&amp;RIGHT("00000"&amp;1348,5))</f>
        <v/>
      </c>
      <c r="U1353">
        <f>IF($T1353="","",COUNTIFS(LdAParty,$P1353,LdAType,1,LdAKey,"&lt;"&amp;$T1353)+COUNTIFS(LdBMember,$P1353,LdBKey,"&lt;"&amp;$T1353)+COUNTIFS(LdCParty,$P1353,LdCKey,"&lt;"&amp;$T1353)+1)</f>
        <v/>
      </c>
      <c r="V1353">
        <f>IF($U1353="","",$P1353&amp;"|"&amp;RIGHT("000000"&amp;$U1353,6))</f>
        <v/>
      </c>
      <c r="W1353">
        <f>IF($T1353="","",COUNTIFS(LdBGroup,$R1353,LdBKey,"&lt;"&amp;$T1353)+1)</f>
        <v/>
      </c>
      <c r="X1353">
        <f>IF($W1353="","",$R1353&amp;"|"&amp;RIGHT("000000"&amp;$W1353,6))</f>
        <v/>
      </c>
      <c r="Y1353">
        <f>IF($P1353="","",IF(Shares!$E1356="",0,Shares!$E1356))</f>
        <v/>
      </c>
      <c r="Z1353">
        <f>IF($P1353="","",Shares!$H1356)</f>
        <v/>
      </c>
      <c r="AE1353">
        <f>IF(OR(Sync!$S1353="",Sync!$P1353=""),"",Sync!$S1353)</f>
        <v/>
      </c>
      <c r="AF1353">
        <f>IF($AE1353="","",IF(ISNUMBER(Sync!$P1353),IF(AND(Sync!$P1353&gt;=10000101,Sync!$P1353&lt;=99991231),INT(Sync!$P1353/10000),""),IFERROR(VALUE(TRIM(LEFT(Sync!$P1353,FIND("/",Sync!$P1353)-1))),"")))</f>
        <v/>
      </c>
      <c r="AG1353">
        <f>IF(OR($AE1353="",$AF1353=""),"",IF(ISNUMBER(Sync!$P1353),INT(MOD(Sync!$P1353,10000)/100),IFERROR(VALUE(TRIM(LEFT(MID(Sync!$P1353,FIND("/",Sync!$P1353)+1,20),FIND("/",MID(Sync!$P1353,FIND("/",Sync!$P1353)+1,20))-1))),"")))</f>
        <v/>
      </c>
      <c r="AH1353">
        <f>IF(OR($AE1353="",$AF1353=""),"",IF(ISNUMBER(Sync!$P1353),MOD(Sync!$P1353,100),IFERROR(VALUE(TRIM(MID(MID(Sync!$P1353,FIND("/",Sync!$P1353)+1,20),FIND("/",MID(Sync!$P1353,FIND("/",Sync!$P1353)+1,20))+1,20))),"")))</f>
        <v/>
      </c>
      <c r="AI1353">
        <f>IF($AE1353="","",IF(OR($AF1353="",$AG1353="",$AH1353="",$AF1353&lt;1300,$AF1353&gt;1500,$AG1353&lt;1,$AG1353&gt;12,$AH1353&lt;1,$AH1353&gt;31),"نامعتبر",RIGHT("0000"&amp;$AF1353,4)&amp;"/"&amp;RIGHT("00"&amp;$AG1353,2)&amp;"/"&amp;RIGHT("00"&amp;$AH1353,2)))</f>
        <v/>
      </c>
      <c r="AJ1353">
        <f>IF($AE1353="","",IF(Sync!$Q1353="","0000",IF(AND(ISNUMBER(Sync!$Q1353),Sync!$Q1353&gt;=0,Sync!$Q1353&lt;1),RIGHT("00"&amp;HOUR(Sync!$Q1353),2)&amp;RIGHT("00"&amp;MINUTE(Sync!$Q1353),2),IFERROR(RIGHT("00"&amp;VALUE(LEFT(Sync!$Q1353,FIND(":",Sync!$Q1353)-1)),2)&amp;RIGHT("00"&amp;VALUE(MID(Sync!$Q1353,FIND(":",Sync!$Q1353)+1,2)),2),"0000"))))</f>
        <v/>
      </c>
      <c r="AK1353">
        <f>IF(OR($AE1353="",$AI1353="",$AI1353="نامعتبر"),"",LEFT($AI1353,4)&amp;MID($AI1353,6,2)&amp;RIGHT($AI1353,2)&amp;$AJ1353&amp;"|"&amp;"3"&amp;RIGHT("00000"&amp;1348,5))</f>
        <v/>
      </c>
      <c r="AL1353">
        <f>IF($AK1353="","",COUNTIFS(LdAParty,$AE1353,LdAType,1,LdAKey,"&lt;"&amp;$AK1353)+COUNTIFS(LdBMember,$AE1353,LdBKey,"&lt;"&amp;$AK1353)+COUNTIFS(LdCParty,$AE1353,LdCKey,"&lt;"&amp;$AK1353)+1)</f>
        <v/>
      </c>
      <c r="AM1353">
        <f>IF($AL1353="","",$AE1353&amp;"|"&amp;RIGHT("000000"&amp;$AL1353,6))</f>
        <v/>
      </c>
      <c r="AN1353">
        <f>IF($AE1353="","",IF(Sync!$W1353="",0,Sync!$W1353))</f>
        <v/>
      </c>
      <c r="AO1353">
        <f>IF($AE1353="","",IF(Sync!$X1353="",0,Sync!$X1353))</f>
        <v/>
      </c>
      <c r="AP1353">
        <f>IF($AE1353="","",Sync!$R1353)</f>
        <v/>
      </c>
      <c r="AQ1353">
        <f>IF($AE1353="","",Sync!$Y1353)</f>
        <v/>
      </c>
    </row>
    <row r="1354">
      <c r="A1354">
        <f>IF(OR(Wages!$B1357="",Wages!$E1357=""),"",Wages!$E1357)</f>
        <v/>
      </c>
      <c r="B1354">
        <f>IF($A1354="","",IF(Wages!$C1357="دستمزد گروهی",2,1))</f>
        <v/>
      </c>
      <c r="C1354">
        <f>IF($A1354="","",IF(ISNUMBER(Wages!$B1357),IF(AND(Wages!$B1357&gt;=10000101,Wages!$B1357&lt;=99991231),INT(Wages!$B1357/10000),""),IFERROR(VALUE(TRIM(LEFT(Wages!$B1357,FIND("/",Wages!$B1357)-1))),"")))</f>
        <v/>
      </c>
      <c r="D1354">
        <f>IF(OR($A1354="",$C1354=""),"",IF(ISNUMBER(Wages!$B1357),INT(MOD(Wages!$B1357,10000)/100),IFERROR(VALUE(TRIM(LEFT(MID(Wages!$B1357,FIND("/",Wages!$B1357)+1,20),FIND("/",MID(Wages!$B1357,FIND("/",Wages!$B1357)+1,20))-1))),"")))</f>
        <v/>
      </c>
      <c r="E1354">
        <f>IF(OR($A1354="",$C1354=""),"",IF(ISNUMBER(Wages!$B1357),MOD(Wages!$B1357,100),IFERROR(VALUE(TRIM(MID(MID(Wages!$B1357,FIND("/",Wages!$B1357)+1,20),FIND("/",MID(Wages!$B1357,FIND("/",Wages!$B1357)+1,20))+1,20))),"")))</f>
        <v/>
      </c>
      <c r="F1354">
        <f>IF($A1354="","",IF(OR($C1354="",$D1354="",$E1354="",$C1354&lt;1300,$C1354&gt;1500,$D1354&lt;1,$D1354&gt;12,$E1354&lt;1,$E1354&gt;31),"نامعتبر",RIGHT("0000"&amp;$C1354,4)&amp;"/"&amp;RIGHT("00"&amp;$D1354,2)&amp;"/"&amp;RIGHT("00"&amp;$E1354,2)))</f>
        <v/>
      </c>
      <c r="G1354">
        <f>IF(OR($A1354="",$F1354="",$F1354="نامعتبر"),"",LEFT($F1354,4)&amp;MID($F1354,6,2)&amp;RIGHT($F1354,2)&amp;"0000"&amp;"|"&amp;"1"&amp;RIGHT("00000"&amp;1349,5))</f>
        <v/>
      </c>
      <c r="H1354">
        <f>IF(OR($B1354&lt;&gt;1,$G1354=""),"",COUNTIFS(LdAParty,$A1354,LdAType,1,LdAKey,"&lt;"&amp;$G1354)+COUNTIFS(LdBMember,$A1354,LdBKey,"&lt;"&amp;$G1354)+COUNTIFS(LdCParty,$A1354,LdCKey,"&lt;"&amp;$G1354)+1)</f>
        <v/>
      </c>
      <c r="I1354">
        <f>IF($H1354="","",$A1354&amp;"|"&amp;RIGHT("000000"&amp;$H1354,6))</f>
        <v/>
      </c>
      <c r="J1354">
        <f>IF(OR($B1354&lt;&gt;2,$G1354=""),"",COUNTIFS(LdAParty,$A1354,LdAType,2,LdAKey,"&lt;"&amp;$G1354)+1)</f>
        <v/>
      </c>
      <c r="K1354">
        <f>IF($J1354="","",$A1354&amp;"|"&amp;RIGHT("000000"&amp;$J1354,6))</f>
        <v/>
      </c>
      <c r="L1354">
        <f>IF($A1354="","",IF(Wages!$G1357="",0,Wages!$G1357))</f>
        <v/>
      </c>
      <c r="M1354">
        <f>IF($A1354="","",Wages!$J1357)</f>
        <v/>
      </c>
      <c r="N1354">
        <f>IF($A1354="","",Wages!$D1357)</f>
        <v/>
      </c>
      <c r="P1354">
        <f>IF(OR(Shares!$B1357="",Shares!$C1357=""),"",Shares!$C1357)</f>
        <v/>
      </c>
      <c r="Q1354">
        <f>IF($P1354="","",Shares!$B1357)</f>
        <v/>
      </c>
      <c r="R1354">
        <f>IF($P1354="","",IFERROR(INDEX(WageParty,MATCH($Q1354,WageIds,0)),""))</f>
        <v/>
      </c>
      <c r="S1354">
        <f>IF($P1354="","",IFERROR(INDEX($F$6:$F$2005,MATCH($Q1354,WageIds,0)),""))</f>
        <v/>
      </c>
      <c r="T1354">
        <f>IF(OR($P1354="",$S1354="",$S1354="نامعتبر"),"",LEFT($S1354,4)&amp;MID($S1354,6,2)&amp;RIGHT($S1354,2)&amp;"0000"&amp;"|"&amp;"2"&amp;RIGHT("00000"&amp;1349,5))</f>
        <v/>
      </c>
      <c r="U1354">
        <f>IF($T1354="","",COUNTIFS(LdAParty,$P1354,LdAType,1,LdAKey,"&lt;"&amp;$T1354)+COUNTIFS(LdBMember,$P1354,LdBKey,"&lt;"&amp;$T1354)+COUNTIFS(LdCParty,$P1354,LdCKey,"&lt;"&amp;$T1354)+1)</f>
        <v/>
      </c>
      <c r="V1354">
        <f>IF($U1354="","",$P1354&amp;"|"&amp;RIGHT("000000"&amp;$U1354,6))</f>
        <v/>
      </c>
      <c r="W1354">
        <f>IF($T1354="","",COUNTIFS(LdBGroup,$R1354,LdBKey,"&lt;"&amp;$T1354)+1)</f>
        <v/>
      </c>
      <c r="X1354">
        <f>IF($W1354="","",$R1354&amp;"|"&amp;RIGHT("000000"&amp;$W1354,6))</f>
        <v/>
      </c>
      <c r="Y1354">
        <f>IF($P1354="","",IF(Shares!$E1357="",0,Shares!$E1357))</f>
        <v/>
      </c>
      <c r="Z1354">
        <f>IF($P1354="","",Shares!$H1357)</f>
        <v/>
      </c>
      <c r="AE1354">
        <f>IF(OR(Sync!$S1354="",Sync!$P1354=""),"",Sync!$S1354)</f>
        <v/>
      </c>
      <c r="AF1354">
        <f>IF($AE1354="","",IF(ISNUMBER(Sync!$P1354),IF(AND(Sync!$P1354&gt;=10000101,Sync!$P1354&lt;=99991231),INT(Sync!$P1354/10000),""),IFERROR(VALUE(TRIM(LEFT(Sync!$P1354,FIND("/",Sync!$P1354)-1))),"")))</f>
        <v/>
      </c>
      <c r="AG1354">
        <f>IF(OR($AE1354="",$AF1354=""),"",IF(ISNUMBER(Sync!$P1354),INT(MOD(Sync!$P1354,10000)/100),IFERROR(VALUE(TRIM(LEFT(MID(Sync!$P1354,FIND("/",Sync!$P1354)+1,20),FIND("/",MID(Sync!$P1354,FIND("/",Sync!$P1354)+1,20))-1))),"")))</f>
        <v/>
      </c>
      <c r="AH1354">
        <f>IF(OR($AE1354="",$AF1354=""),"",IF(ISNUMBER(Sync!$P1354),MOD(Sync!$P1354,100),IFERROR(VALUE(TRIM(MID(MID(Sync!$P1354,FIND("/",Sync!$P1354)+1,20),FIND("/",MID(Sync!$P1354,FIND("/",Sync!$P1354)+1,20))+1,20))),"")))</f>
        <v/>
      </c>
      <c r="AI1354">
        <f>IF($AE1354="","",IF(OR($AF1354="",$AG1354="",$AH1354="",$AF1354&lt;1300,$AF1354&gt;1500,$AG1354&lt;1,$AG1354&gt;12,$AH1354&lt;1,$AH1354&gt;31),"نامعتبر",RIGHT("0000"&amp;$AF1354,4)&amp;"/"&amp;RIGHT("00"&amp;$AG1354,2)&amp;"/"&amp;RIGHT("00"&amp;$AH1354,2)))</f>
        <v/>
      </c>
      <c r="AJ1354">
        <f>IF($AE1354="","",IF(Sync!$Q1354="","0000",IF(AND(ISNUMBER(Sync!$Q1354),Sync!$Q1354&gt;=0,Sync!$Q1354&lt;1),RIGHT("00"&amp;HOUR(Sync!$Q1354),2)&amp;RIGHT("00"&amp;MINUTE(Sync!$Q1354),2),IFERROR(RIGHT("00"&amp;VALUE(LEFT(Sync!$Q1354,FIND(":",Sync!$Q1354)-1)),2)&amp;RIGHT("00"&amp;VALUE(MID(Sync!$Q1354,FIND(":",Sync!$Q1354)+1,2)),2),"0000"))))</f>
        <v/>
      </c>
      <c r="AK1354">
        <f>IF(OR($AE1354="",$AI1354="",$AI1354="نامعتبر"),"",LEFT($AI1354,4)&amp;MID($AI1354,6,2)&amp;RIGHT($AI1354,2)&amp;$AJ1354&amp;"|"&amp;"3"&amp;RIGHT("00000"&amp;1349,5))</f>
        <v/>
      </c>
      <c r="AL1354">
        <f>IF($AK1354="","",COUNTIFS(LdAParty,$AE1354,LdAType,1,LdAKey,"&lt;"&amp;$AK1354)+COUNTIFS(LdBMember,$AE1354,LdBKey,"&lt;"&amp;$AK1354)+COUNTIFS(LdCParty,$AE1354,LdCKey,"&lt;"&amp;$AK1354)+1)</f>
        <v/>
      </c>
      <c r="AM1354">
        <f>IF($AL1354="","",$AE1354&amp;"|"&amp;RIGHT("000000"&amp;$AL1354,6))</f>
        <v/>
      </c>
      <c r="AN1354">
        <f>IF($AE1354="","",IF(Sync!$W1354="",0,Sync!$W1354))</f>
        <v/>
      </c>
      <c r="AO1354">
        <f>IF($AE1354="","",IF(Sync!$X1354="",0,Sync!$X1354))</f>
        <v/>
      </c>
      <c r="AP1354">
        <f>IF($AE1354="","",Sync!$R1354)</f>
        <v/>
      </c>
      <c r="AQ1354">
        <f>IF($AE1354="","",Sync!$Y1354)</f>
        <v/>
      </c>
    </row>
    <row r="1355">
      <c r="A1355">
        <f>IF(OR(Wages!$B1358="",Wages!$E1358=""),"",Wages!$E1358)</f>
        <v/>
      </c>
      <c r="B1355">
        <f>IF($A1355="","",IF(Wages!$C1358="دستمزد گروهی",2,1))</f>
        <v/>
      </c>
      <c r="C1355">
        <f>IF($A1355="","",IF(ISNUMBER(Wages!$B1358),IF(AND(Wages!$B1358&gt;=10000101,Wages!$B1358&lt;=99991231),INT(Wages!$B1358/10000),""),IFERROR(VALUE(TRIM(LEFT(Wages!$B1358,FIND("/",Wages!$B1358)-1))),"")))</f>
        <v/>
      </c>
      <c r="D1355">
        <f>IF(OR($A1355="",$C1355=""),"",IF(ISNUMBER(Wages!$B1358),INT(MOD(Wages!$B1358,10000)/100),IFERROR(VALUE(TRIM(LEFT(MID(Wages!$B1358,FIND("/",Wages!$B1358)+1,20),FIND("/",MID(Wages!$B1358,FIND("/",Wages!$B1358)+1,20))-1))),"")))</f>
        <v/>
      </c>
      <c r="E1355">
        <f>IF(OR($A1355="",$C1355=""),"",IF(ISNUMBER(Wages!$B1358),MOD(Wages!$B1358,100),IFERROR(VALUE(TRIM(MID(MID(Wages!$B1358,FIND("/",Wages!$B1358)+1,20),FIND("/",MID(Wages!$B1358,FIND("/",Wages!$B1358)+1,20))+1,20))),"")))</f>
        <v/>
      </c>
      <c r="F1355">
        <f>IF($A1355="","",IF(OR($C1355="",$D1355="",$E1355="",$C1355&lt;1300,$C1355&gt;1500,$D1355&lt;1,$D1355&gt;12,$E1355&lt;1,$E1355&gt;31),"نامعتبر",RIGHT("0000"&amp;$C1355,4)&amp;"/"&amp;RIGHT("00"&amp;$D1355,2)&amp;"/"&amp;RIGHT("00"&amp;$E1355,2)))</f>
        <v/>
      </c>
      <c r="G1355">
        <f>IF(OR($A1355="",$F1355="",$F1355="نامعتبر"),"",LEFT($F1355,4)&amp;MID($F1355,6,2)&amp;RIGHT($F1355,2)&amp;"0000"&amp;"|"&amp;"1"&amp;RIGHT("00000"&amp;1350,5))</f>
        <v/>
      </c>
      <c r="H1355">
        <f>IF(OR($B1355&lt;&gt;1,$G1355=""),"",COUNTIFS(LdAParty,$A1355,LdAType,1,LdAKey,"&lt;"&amp;$G1355)+COUNTIFS(LdBMember,$A1355,LdBKey,"&lt;"&amp;$G1355)+COUNTIFS(LdCParty,$A1355,LdCKey,"&lt;"&amp;$G1355)+1)</f>
        <v/>
      </c>
      <c r="I1355">
        <f>IF($H1355="","",$A1355&amp;"|"&amp;RIGHT("000000"&amp;$H1355,6))</f>
        <v/>
      </c>
      <c r="J1355">
        <f>IF(OR($B1355&lt;&gt;2,$G1355=""),"",COUNTIFS(LdAParty,$A1355,LdAType,2,LdAKey,"&lt;"&amp;$G1355)+1)</f>
        <v/>
      </c>
      <c r="K1355">
        <f>IF($J1355="","",$A1355&amp;"|"&amp;RIGHT("000000"&amp;$J1355,6))</f>
        <v/>
      </c>
      <c r="L1355">
        <f>IF($A1355="","",IF(Wages!$G1358="",0,Wages!$G1358))</f>
        <v/>
      </c>
      <c r="M1355">
        <f>IF($A1355="","",Wages!$J1358)</f>
        <v/>
      </c>
      <c r="N1355">
        <f>IF($A1355="","",Wages!$D1358)</f>
        <v/>
      </c>
      <c r="P1355">
        <f>IF(OR(Shares!$B1358="",Shares!$C1358=""),"",Shares!$C1358)</f>
        <v/>
      </c>
      <c r="Q1355">
        <f>IF($P1355="","",Shares!$B1358)</f>
        <v/>
      </c>
      <c r="R1355">
        <f>IF($P1355="","",IFERROR(INDEX(WageParty,MATCH($Q1355,WageIds,0)),""))</f>
        <v/>
      </c>
      <c r="S1355">
        <f>IF($P1355="","",IFERROR(INDEX($F$6:$F$2005,MATCH($Q1355,WageIds,0)),""))</f>
        <v/>
      </c>
      <c r="T1355">
        <f>IF(OR($P1355="",$S1355="",$S1355="نامعتبر"),"",LEFT($S1355,4)&amp;MID($S1355,6,2)&amp;RIGHT($S1355,2)&amp;"0000"&amp;"|"&amp;"2"&amp;RIGHT("00000"&amp;1350,5))</f>
        <v/>
      </c>
      <c r="U1355">
        <f>IF($T1355="","",COUNTIFS(LdAParty,$P1355,LdAType,1,LdAKey,"&lt;"&amp;$T1355)+COUNTIFS(LdBMember,$P1355,LdBKey,"&lt;"&amp;$T1355)+COUNTIFS(LdCParty,$P1355,LdCKey,"&lt;"&amp;$T1355)+1)</f>
        <v/>
      </c>
      <c r="V1355">
        <f>IF($U1355="","",$P1355&amp;"|"&amp;RIGHT("000000"&amp;$U1355,6))</f>
        <v/>
      </c>
      <c r="W1355">
        <f>IF($T1355="","",COUNTIFS(LdBGroup,$R1355,LdBKey,"&lt;"&amp;$T1355)+1)</f>
        <v/>
      </c>
      <c r="X1355">
        <f>IF($W1355="","",$R1355&amp;"|"&amp;RIGHT("000000"&amp;$W1355,6))</f>
        <v/>
      </c>
      <c r="Y1355">
        <f>IF($P1355="","",IF(Shares!$E1358="",0,Shares!$E1358))</f>
        <v/>
      </c>
      <c r="Z1355">
        <f>IF($P1355="","",Shares!$H1358)</f>
        <v/>
      </c>
      <c r="AE1355">
        <f>IF(OR(Sync!$S1355="",Sync!$P1355=""),"",Sync!$S1355)</f>
        <v/>
      </c>
      <c r="AF1355">
        <f>IF($AE1355="","",IF(ISNUMBER(Sync!$P1355),IF(AND(Sync!$P1355&gt;=10000101,Sync!$P1355&lt;=99991231),INT(Sync!$P1355/10000),""),IFERROR(VALUE(TRIM(LEFT(Sync!$P1355,FIND("/",Sync!$P1355)-1))),"")))</f>
        <v/>
      </c>
      <c r="AG1355">
        <f>IF(OR($AE1355="",$AF1355=""),"",IF(ISNUMBER(Sync!$P1355),INT(MOD(Sync!$P1355,10000)/100),IFERROR(VALUE(TRIM(LEFT(MID(Sync!$P1355,FIND("/",Sync!$P1355)+1,20),FIND("/",MID(Sync!$P1355,FIND("/",Sync!$P1355)+1,20))-1))),"")))</f>
        <v/>
      </c>
      <c r="AH1355">
        <f>IF(OR($AE1355="",$AF1355=""),"",IF(ISNUMBER(Sync!$P1355),MOD(Sync!$P1355,100),IFERROR(VALUE(TRIM(MID(MID(Sync!$P1355,FIND("/",Sync!$P1355)+1,20),FIND("/",MID(Sync!$P1355,FIND("/",Sync!$P1355)+1,20))+1,20))),"")))</f>
        <v/>
      </c>
      <c r="AI1355">
        <f>IF($AE1355="","",IF(OR($AF1355="",$AG1355="",$AH1355="",$AF1355&lt;1300,$AF1355&gt;1500,$AG1355&lt;1,$AG1355&gt;12,$AH1355&lt;1,$AH1355&gt;31),"نامعتبر",RIGHT("0000"&amp;$AF1355,4)&amp;"/"&amp;RIGHT("00"&amp;$AG1355,2)&amp;"/"&amp;RIGHT("00"&amp;$AH1355,2)))</f>
        <v/>
      </c>
      <c r="AJ1355">
        <f>IF($AE1355="","",IF(Sync!$Q1355="","0000",IF(AND(ISNUMBER(Sync!$Q1355),Sync!$Q1355&gt;=0,Sync!$Q1355&lt;1),RIGHT("00"&amp;HOUR(Sync!$Q1355),2)&amp;RIGHT("00"&amp;MINUTE(Sync!$Q1355),2),IFERROR(RIGHT("00"&amp;VALUE(LEFT(Sync!$Q1355,FIND(":",Sync!$Q1355)-1)),2)&amp;RIGHT("00"&amp;VALUE(MID(Sync!$Q1355,FIND(":",Sync!$Q1355)+1,2)),2),"0000"))))</f>
        <v/>
      </c>
      <c r="AK1355">
        <f>IF(OR($AE1355="",$AI1355="",$AI1355="نامعتبر"),"",LEFT($AI1355,4)&amp;MID($AI1355,6,2)&amp;RIGHT($AI1355,2)&amp;$AJ1355&amp;"|"&amp;"3"&amp;RIGHT("00000"&amp;1350,5))</f>
        <v/>
      </c>
      <c r="AL1355">
        <f>IF($AK1355="","",COUNTIFS(LdAParty,$AE1355,LdAType,1,LdAKey,"&lt;"&amp;$AK1355)+COUNTIFS(LdBMember,$AE1355,LdBKey,"&lt;"&amp;$AK1355)+COUNTIFS(LdCParty,$AE1355,LdCKey,"&lt;"&amp;$AK1355)+1)</f>
        <v/>
      </c>
      <c r="AM1355">
        <f>IF($AL1355="","",$AE1355&amp;"|"&amp;RIGHT("000000"&amp;$AL1355,6))</f>
        <v/>
      </c>
      <c r="AN1355">
        <f>IF($AE1355="","",IF(Sync!$W1355="",0,Sync!$W1355))</f>
        <v/>
      </c>
      <c r="AO1355">
        <f>IF($AE1355="","",IF(Sync!$X1355="",0,Sync!$X1355))</f>
        <v/>
      </c>
      <c r="AP1355">
        <f>IF($AE1355="","",Sync!$R1355)</f>
        <v/>
      </c>
      <c r="AQ1355">
        <f>IF($AE1355="","",Sync!$Y1355)</f>
        <v/>
      </c>
    </row>
    <row r="1356">
      <c r="A1356">
        <f>IF(OR(Wages!$B1359="",Wages!$E1359=""),"",Wages!$E1359)</f>
        <v/>
      </c>
      <c r="B1356">
        <f>IF($A1356="","",IF(Wages!$C1359="دستمزد گروهی",2,1))</f>
        <v/>
      </c>
      <c r="C1356">
        <f>IF($A1356="","",IF(ISNUMBER(Wages!$B1359),IF(AND(Wages!$B1359&gt;=10000101,Wages!$B1359&lt;=99991231),INT(Wages!$B1359/10000),""),IFERROR(VALUE(TRIM(LEFT(Wages!$B1359,FIND("/",Wages!$B1359)-1))),"")))</f>
        <v/>
      </c>
      <c r="D1356">
        <f>IF(OR($A1356="",$C1356=""),"",IF(ISNUMBER(Wages!$B1359),INT(MOD(Wages!$B1359,10000)/100),IFERROR(VALUE(TRIM(LEFT(MID(Wages!$B1359,FIND("/",Wages!$B1359)+1,20),FIND("/",MID(Wages!$B1359,FIND("/",Wages!$B1359)+1,20))-1))),"")))</f>
        <v/>
      </c>
      <c r="E1356">
        <f>IF(OR($A1356="",$C1356=""),"",IF(ISNUMBER(Wages!$B1359),MOD(Wages!$B1359,100),IFERROR(VALUE(TRIM(MID(MID(Wages!$B1359,FIND("/",Wages!$B1359)+1,20),FIND("/",MID(Wages!$B1359,FIND("/",Wages!$B1359)+1,20))+1,20))),"")))</f>
        <v/>
      </c>
      <c r="F1356">
        <f>IF($A1356="","",IF(OR($C1356="",$D1356="",$E1356="",$C1356&lt;1300,$C1356&gt;1500,$D1356&lt;1,$D1356&gt;12,$E1356&lt;1,$E1356&gt;31),"نامعتبر",RIGHT("0000"&amp;$C1356,4)&amp;"/"&amp;RIGHT("00"&amp;$D1356,2)&amp;"/"&amp;RIGHT("00"&amp;$E1356,2)))</f>
        <v/>
      </c>
      <c r="G1356">
        <f>IF(OR($A1356="",$F1356="",$F1356="نامعتبر"),"",LEFT($F1356,4)&amp;MID($F1356,6,2)&amp;RIGHT($F1356,2)&amp;"0000"&amp;"|"&amp;"1"&amp;RIGHT("00000"&amp;1351,5))</f>
        <v/>
      </c>
      <c r="H1356">
        <f>IF(OR($B1356&lt;&gt;1,$G1356=""),"",COUNTIFS(LdAParty,$A1356,LdAType,1,LdAKey,"&lt;"&amp;$G1356)+COUNTIFS(LdBMember,$A1356,LdBKey,"&lt;"&amp;$G1356)+COUNTIFS(LdCParty,$A1356,LdCKey,"&lt;"&amp;$G1356)+1)</f>
        <v/>
      </c>
      <c r="I1356">
        <f>IF($H1356="","",$A1356&amp;"|"&amp;RIGHT("000000"&amp;$H1356,6))</f>
        <v/>
      </c>
      <c r="J1356">
        <f>IF(OR($B1356&lt;&gt;2,$G1356=""),"",COUNTIFS(LdAParty,$A1356,LdAType,2,LdAKey,"&lt;"&amp;$G1356)+1)</f>
        <v/>
      </c>
      <c r="K1356">
        <f>IF($J1356="","",$A1356&amp;"|"&amp;RIGHT("000000"&amp;$J1356,6))</f>
        <v/>
      </c>
      <c r="L1356">
        <f>IF($A1356="","",IF(Wages!$G1359="",0,Wages!$G1359))</f>
        <v/>
      </c>
      <c r="M1356">
        <f>IF($A1356="","",Wages!$J1359)</f>
        <v/>
      </c>
      <c r="N1356">
        <f>IF($A1356="","",Wages!$D1359)</f>
        <v/>
      </c>
      <c r="P1356">
        <f>IF(OR(Shares!$B1359="",Shares!$C1359=""),"",Shares!$C1359)</f>
        <v/>
      </c>
      <c r="Q1356">
        <f>IF($P1356="","",Shares!$B1359)</f>
        <v/>
      </c>
      <c r="R1356">
        <f>IF($P1356="","",IFERROR(INDEX(WageParty,MATCH($Q1356,WageIds,0)),""))</f>
        <v/>
      </c>
      <c r="S1356">
        <f>IF($P1356="","",IFERROR(INDEX($F$6:$F$2005,MATCH($Q1356,WageIds,0)),""))</f>
        <v/>
      </c>
      <c r="T1356">
        <f>IF(OR($P1356="",$S1356="",$S1356="نامعتبر"),"",LEFT($S1356,4)&amp;MID($S1356,6,2)&amp;RIGHT($S1356,2)&amp;"0000"&amp;"|"&amp;"2"&amp;RIGHT("00000"&amp;1351,5))</f>
        <v/>
      </c>
      <c r="U1356">
        <f>IF($T1356="","",COUNTIFS(LdAParty,$P1356,LdAType,1,LdAKey,"&lt;"&amp;$T1356)+COUNTIFS(LdBMember,$P1356,LdBKey,"&lt;"&amp;$T1356)+COUNTIFS(LdCParty,$P1356,LdCKey,"&lt;"&amp;$T1356)+1)</f>
        <v/>
      </c>
      <c r="V1356">
        <f>IF($U1356="","",$P1356&amp;"|"&amp;RIGHT("000000"&amp;$U1356,6))</f>
        <v/>
      </c>
      <c r="W1356">
        <f>IF($T1356="","",COUNTIFS(LdBGroup,$R1356,LdBKey,"&lt;"&amp;$T1356)+1)</f>
        <v/>
      </c>
      <c r="X1356">
        <f>IF($W1356="","",$R1356&amp;"|"&amp;RIGHT("000000"&amp;$W1356,6))</f>
        <v/>
      </c>
      <c r="Y1356">
        <f>IF($P1356="","",IF(Shares!$E1359="",0,Shares!$E1359))</f>
        <v/>
      </c>
      <c r="Z1356">
        <f>IF($P1356="","",Shares!$H1359)</f>
        <v/>
      </c>
      <c r="AE1356">
        <f>IF(OR(Sync!$S1356="",Sync!$P1356=""),"",Sync!$S1356)</f>
        <v/>
      </c>
      <c r="AF1356">
        <f>IF($AE1356="","",IF(ISNUMBER(Sync!$P1356),IF(AND(Sync!$P1356&gt;=10000101,Sync!$P1356&lt;=99991231),INT(Sync!$P1356/10000),""),IFERROR(VALUE(TRIM(LEFT(Sync!$P1356,FIND("/",Sync!$P1356)-1))),"")))</f>
        <v/>
      </c>
      <c r="AG1356">
        <f>IF(OR($AE1356="",$AF1356=""),"",IF(ISNUMBER(Sync!$P1356),INT(MOD(Sync!$P1356,10000)/100),IFERROR(VALUE(TRIM(LEFT(MID(Sync!$P1356,FIND("/",Sync!$P1356)+1,20),FIND("/",MID(Sync!$P1356,FIND("/",Sync!$P1356)+1,20))-1))),"")))</f>
        <v/>
      </c>
      <c r="AH1356">
        <f>IF(OR($AE1356="",$AF1356=""),"",IF(ISNUMBER(Sync!$P1356),MOD(Sync!$P1356,100),IFERROR(VALUE(TRIM(MID(MID(Sync!$P1356,FIND("/",Sync!$P1356)+1,20),FIND("/",MID(Sync!$P1356,FIND("/",Sync!$P1356)+1,20))+1,20))),"")))</f>
        <v/>
      </c>
      <c r="AI1356">
        <f>IF($AE1356="","",IF(OR($AF1356="",$AG1356="",$AH1356="",$AF1356&lt;1300,$AF1356&gt;1500,$AG1356&lt;1,$AG1356&gt;12,$AH1356&lt;1,$AH1356&gt;31),"نامعتبر",RIGHT("0000"&amp;$AF1356,4)&amp;"/"&amp;RIGHT("00"&amp;$AG1356,2)&amp;"/"&amp;RIGHT("00"&amp;$AH1356,2)))</f>
        <v/>
      </c>
      <c r="AJ1356">
        <f>IF($AE1356="","",IF(Sync!$Q1356="","0000",IF(AND(ISNUMBER(Sync!$Q1356),Sync!$Q1356&gt;=0,Sync!$Q1356&lt;1),RIGHT("00"&amp;HOUR(Sync!$Q1356),2)&amp;RIGHT("00"&amp;MINUTE(Sync!$Q1356),2),IFERROR(RIGHT("00"&amp;VALUE(LEFT(Sync!$Q1356,FIND(":",Sync!$Q1356)-1)),2)&amp;RIGHT("00"&amp;VALUE(MID(Sync!$Q1356,FIND(":",Sync!$Q1356)+1,2)),2),"0000"))))</f>
        <v/>
      </c>
      <c r="AK1356">
        <f>IF(OR($AE1356="",$AI1356="",$AI1356="نامعتبر"),"",LEFT($AI1356,4)&amp;MID($AI1356,6,2)&amp;RIGHT($AI1356,2)&amp;$AJ1356&amp;"|"&amp;"3"&amp;RIGHT("00000"&amp;1351,5))</f>
        <v/>
      </c>
      <c r="AL1356">
        <f>IF($AK1356="","",COUNTIFS(LdAParty,$AE1356,LdAType,1,LdAKey,"&lt;"&amp;$AK1356)+COUNTIFS(LdBMember,$AE1356,LdBKey,"&lt;"&amp;$AK1356)+COUNTIFS(LdCParty,$AE1356,LdCKey,"&lt;"&amp;$AK1356)+1)</f>
        <v/>
      </c>
      <c r="AM1356">
        <f>IF($AL1356="","",$AE1356&amp;"|"&amp;RIGHT("000000"&amp;$AL1356,6))</f>
        <v/>
      </c>
      <c r="AN1356">
        <f>IF($AE1356="","",IF(Sync!$W1356="",0,Sync!$W1356))</f>
        <v/>
      </c>
      <c r="AO1356">
        <f>IF($AE1356="","",IF(Sync!$X1356="",0,Sync!$X1356))</f>
        <v/>
      </c>
      <c r="AP1356">
        <f>IF($AE1356="","",Sync!$R1356)</f>
        <v/>
      </c>
      <c r="AQ1356">
        <f>IF($AE1356="","",Sync!$Y1356)</f>
        <v/>
      </c>
    </row>
    <row r="1357">
      <c r="A1357">
        <f>IF(OR(Wages!$B1360="",Wages!$E1360=""),"",Wages!$E1360)</f>
        <v/>
      </c>
      <c r="B1357">
        <f>IF($A1357="","",IF(Wages!$C1360="دستمزد گروهی",2,1))</f>
        <v/>
      </c>
      <c r="C1357">
        <f>IF($A1357="","",IF(ISNUMBER(Wages!$B1360),IF(AND(Wages!$B1360&gt;=10000101,Wages!$B1360&lt;=99991231),INT(Wages!$B1360/10000),""),IFERROR(VALUE(TRIM(LEFT(Wages!$B1360,FIND("/",Wages!$B1360)-1))),"")))</f>
        <v/>
      </c>
      <c r="D1357">
        <f>IF(OR($A1357="",$C1357=""),"",IF(ISNUMBER(Wages!$B1360),INT(MOD(Wages!$B1360,10000)/100),IFERROR(VALUE(TRIM(LEFT(MID(Wages!$B1360,FIND("/",Wages!$B1360)+1,20),FIND("/",MID(Wages!$B1360,FIND("/",Wages!$B1360)+1,20))-1))),"")))</f>
        <v/>
      </c>
      <c r="E1357">
        <f>IF(OR($A1357="",$C1357=""),"",IF(ISNUMBER(Wages!$B1360),MOD(Wages!$B1360,100),IFERROR(VALUE(TRIM(MID(MID(Wages!$B1360,FIND("/",Wages!$B1360)+1,20),FIND("/",MID(Wages!$B1360,FIND("/",Wages!$B1360)+1,20))+1,20))),"")))</f>
        <v/>
      </c>
      <c r="F1357">
        <f>IF($A1357="","",IF(OR($C1357="",$D1357="",$E1357="",$C1357&lt;1300,$C1357&gt;1500,$D1357&lt;1,$D1357&gt;12,$E1357&lt;1,$E1357&gt;31),"نامعتبر",RIGHT("0000"&amp;$C1357,4)&amp;"/"&amp;RIGHT("00"&amp;$D1357,2)&amp;"/"&amp;RIGHT("00"&amp;$E1357,2)))</f>
        <v/>
      </c>
      <c r="G1357">
        <f>IF(OR($A1357="",$F1357="",$F1357="نامعتبر"),"",LEFT($F1357,4)&amp;MID($F1357,6,2)&amp;RIGHT($F1357,2)&amp;"0000"&amp;"|"&amp;"1"&amp;RIGHT("00000"&amp;1352,5))</f>
        <v/>
      </c>
      <c r="H1357">
        <f>IF(OR($B1357&lt;&gt;1,$G1357=""),"",COUNTIFS(LdAParty,$A1357,LdAType,1,LdAKey,"&lt;"&amp;$G1357)+COUNTIFS(LdBMember,$A1357,LdBKey,"&lt;"&amp;$G1357)+COUNTIFS(LdCParty,$A1357,LdCKey,"&lt;"&amp;$G1357)+1)</f>
        <v/>
      </c>
      <c r="I1357">
        <f>IF($H1357="","",$A1357&amp;"|"&amp;RIGHT("000000"&amp;$H1357,6))</f>
        <v/>
      </c>
      <c r="J1357">
        <f>IF(OR($B1357&lt;&gt;2,$G1357=""),"",COUNTIFS(LdAParty,$A1357,LdAType,2,LdAKey,"&lt;"&amp;$G1357)+1)</f>
        <v/>
      </c>
      <c r="K1357">
        <f>IF($J1357="","",$A1357&amp;"|"&amp;RIGHT("000000"&amp;$J1357,6))</f>
        <v/>
      </c>
      <c r="L1357">
        <f>IF($A1357="","",IF(Wages!$G1360="",0,Wages!$G1360))</f>
        <v/>
      </c>
      <c r="M1357">
        <f>IF($A1357="","",Wages!$J1360)</f>
        <v/>
      </c>
      <c r="N1357">
        <f>IF($A1357="","",Wages!$D1360)</f>
        <v/>
      </c>
      <c r="P1357">
        <f>IF(OR(Shares!$B1360="",Shares!$C1360=""),"",Shares!$C1360)</f>
        <v/>
      </c>
      <c r="Q1357">
        <f>IF($P1357="","",Shares!$B1360)</f>
        <v/>
      </c>
      <c r="R1357">
        <f>IF($P1357="","",IFERROR(INDEX(WageParty,MATCH($Q1357,WageIds,0)),""))</f>
        <v/>
      </c>
      <c r="S1357">
        <f>IF($P1357="","",IFERROR(INDEX($F$6:$F$2005,MATCH($Q1357,WageIds,0)),""))</f>
        <v/>
      </c>
      <c r="T1357">
        <f>IF(OR($P1357="",$S1357="",$S1357="نامعتبر"),"",LEFT($S1357,4)&amp;MID($S1357,6,2)&amp;RIGHT($S1357,2)&amp;"0000"&amp;"|"&amp;"2"&amp;RIGHT("00000"&amp;1352,5))</f>
        <v/>
      </c>
      <c r="U1357">
        <f>IF($T1357="","",COUNTIFS(LdAParty,$P1357,LdAType,1,LdAKey,"&lt;"&amp;$T1357)+COUNTIFS(LdBMember,$P1357,LdBKey,"&lt;"&amp;$T1357)+COUNTIFS(LdCParty,$P1357,LdCKey,"&lt;"&amp;$T1357)+1)</f>
        <v/>
      </c>
      <c r="V1357">
        <f>IF($U1357="","",$P1357&amp;"|"&amp;RIGHT("000000"&amp;$U1357,6))</f>
        <v/>
      </c>
      <c r="W1357">
        <f>IF($T1357="","",COUNTIFS(LdBGroup,$R1357,LdBKey,"&lt;"&amp;$T1357)+1)</f>
        <v/>
      </c>
      <c r="X1357">
        <f>IF($W1357="","",$R1357&amp;"|"&amp;RIGHT("000000"&amp;$W1357,6))</f>
        <v/>
      </c>
      <c r="Y1357">
        <f>IF($P1357="","",IF(Shares!$E1360="",0,Shares!$E1360))</f>
        <v/>
      </c>
      <c r="Z1357">
        <f>IF($P1357="","",Shares!$H1360)</f>
        <v/>
      </c>
      <c r="AE1357">
        <f>IF(OR(Sync!$S1357="",Sync!$P1357=""),"",Sync!$S1357)</f>
        <v/>
      </c>
      <c r="AF1357">
        <f>IF($AE1357="","",IF(ISNUMBER(Sync!$P1357),IF(AND(Sync!$P1357&gt;=10000101,Sync!$P1357&lt;=99991231),INT(Sync!$P1357/10000),""),IFERROR(VALUE(TRIM(LEFT(Sync!$P1357,FIND("/",Sync!$P1357)-1))),"")))</f>
        <v/>
      </c>
      <c r="AG1357">
        <f>IF(OR($AE1357="",$AF1357=""),"",IF(ISNUMBER(Sync!$P1357),INT(MOD(Sync!$P1357,10000)/100),IFERROR(VALUE(TRIM(LEFT(MID(Sync!$P1357,FIND("/",Sync!$P1357)+1,20),FIND("/",MID(Sync!$P1357,FIND("/",Sync!$P1357)+1,20))-1))),"")))</f>
        <v/>
      </c>
      <c r="AH1357">
        <f>IF(OR($AE1357="",$AF1357=""),"",IF(ISNUMBER(Sync!$P1357),MOD(Sync!$P1357,100),IFERROR(VALUE(TRIM(MID(MID(Sync!$P1357,FIND("/",Sync!$P1357)+1,20),FIND("/",MID(Sync!$P1357,FIND("/",Sync!$P1357)+1,20))+1,20))),"")))</f>
        <v/>
      </c>
      <c r="AI1357">
        <f>IF($AE1357="","",IF(OR($AF1357="",$AG1357="",$AH1357="",$AF1357&lt;1300,$AF1357&gt;1500,$AG1357&lt;1,$AG1357&gt;12,$AH1357&lt;1,$AH1357&gt;31),"نامعتبر",RIGHT("0000"&amp;$AF1357,4)&amp;"/"&amp;RIGHT("00"&amp;$AG1357,2)&amp;"/"&amp;RIGHT("00"&amp;$AH1357,2)))</f>
        <v/>
      </c>
      <c r="AJ1357">
        <f>IF($AE1357="","",IF(Sync!$Q1357="","0000",IF(AND(ISNUMBER(Sync!$Q1357),Sync!$Q1357&gt;=0,Sync!$Q1357&lt;1),RIGHT("00"&amp;HOUR(Sync!$Q1357),2)&amp;RIGHT("00"&amp;MINUTE(Sync!$Q1357),2),IFERROR(RIGHT("00"&amp;VALUE(LEFT(Sync!$Q1357,FIND(":",Sync!$Q1357)-1)),2)&amp;RIGHT("00"&amp;VALUE(MID(Sync!$Q1357,FIND(":",Sync!$Q1357)+1,2)),2),"0000"))))</f>
        <v/>
      </c>
      <c r="AK1357">
        <f>IF(OR($AE1357="",$AI1357="",$AI1357="نامعتبر"),"",LEFT($AI1357,4)&amp;MID($AI1357,6,2)&amp;RIGHT($AI1357,2)&amp;$AJ1357&amp;"|"&amp;"3"&amp;RIGHT("00000"&amp;1352,5))</f>
        <v/>
      </c>
      <c r="AL1357">
        <f>IF($AK1357="","",COUNTIFS(LdAParty,$AE1357,LdAType,1,LdAKey,"&lt;"&amp;$AK1357)+COUNTIFS(LdBMember,$AE1357,LdBKey,"&lt;"&amp;$AK1357)+COUNTIFS(LdCParty,$AE1357,LdCKey,"&lt;"&amp;$AK1357)+1)</f>
        <v/>
      </c>
      <c r="AM1357">
        <f>IF($AL1357="","",$AE1357&amp;"|"&amp;RIGHT("000000"&amp;$AL1357,6))</f>
        <v/>
      </c>
      <c r="AN1357">
        <f>IF($AE1357="","",IF(Sync!$W1357="",0,Sync!$W1357))</f>
        <v/>
      </c>
      <c r="AO1357">
        <f>IF($AE1357="","",IF(Sync!$X1357="",0,Sync!$X1357))</f>
        <v/>
      </c>
      <c r="AP1357">
        <f>IF($AE1357="","",Sync!$R1357)</f>
        <v/>
      </c>
      <c r="AQ1357">
        <f>IF($AE1357="","",Sync!$Y1357)</f>
        <v/>
      </c>
    </row>
    <row r="1358">
      <c r="A1358">
        <f>IF(OR(Wages!$B1361="",Wages!$E1361=""),"",Wages!$E1361)</f>
        <v/>
      </c>
      <c r="B1358">
        <f>IF($A1358="","",IF(Wages!$C1361="دستمزد گروهی",2,1))</f>
        <v/>
      </c>
      <c r="C1358">
        <f>IF($A1358="","",IF(ISNUMBER(Wages!$B1361),IF(AND(Wages!$B1361&gt;=10000101,Wages!$B1361&lt;=99991231),INT(Wages!$B1361/10000),""),IFERROR(VALUE(TRIM(LEFT(Wages!$B1361,FIND("/",Wages!$B1361)-1))),"")))</f>
        <v/>
      </c>
      <c r="D1358">
        <f>IF(OR($A1358="",$C1358=""),"",IF(ISNUMBER(Wages!$B1361),INT(MOD(Wages!$B1361,10000)/100),IFERROR(VALUE(TRIM(LEFT(MID(Wages!$B1361,FIND("/",Wages!$B1361)+1,20),FIND("/",MID(Wages!$B1361,FIND("/",Wages!$B1361)+1,20))-1))),"")))</f>
        <v/>
      </c>
      <c r="E1358">
        <f>IF(OR($A1358="",$C1358=""),"",IF(ISNUMBER(Wages!$B1361),MOD(Wages!$B1361,100),IFERROR(VALUE(TRIM(MID(MID(Wages!$B1361,FIND("/",Wages!$B1361)+1,20),FIND("/",MID(Wages!$B1361,FIND("/",Wages!$B1361)+1,20))+1,20))),"")))</f>
        <v/>
      </c>
      <c r="F1358">
        <f>IF($A1358="","",IF(OR($C1358="",$D1358="",$E1358="",$C1358&lt;1300,$C1358&gt;1500,$D1358&lt;1,$D1358&gt;12,$E1358&lt;1,$E1358&gt;31),"نامعتبر",RIGHT("0000"&amp;$C1358,4)&amp;"/"&amp;RIGHT("00"&amp;$D1358,2)&amp;"/"&amp;RIGHT("00"&amp;$E1358,2)))</f>
        <v/>
      </c>
      <c r="G1358">
        <f>IF(OR($A1358="",$F1358="",$F1358="نامعتبر"),"",LEFT($F1358,4)&amp;MID($F1358,6,2)&amp;RIGHT($F1358,2)&amp;"0000"&amp;"|"&amp;"1"&amp;RIGHT("00000"&amp;1353,5))</f>
        <v/>
      </c>
      <c r="H1358">
        <f>IF(OR($B1358&lt;&gt;1,$G1358=""),"",COUNTIFS(LdAParty,$A1358,LdAType,1,LdAKey,"&lt;"&amp;$G1358)+COUNTIFS(LdBMember,$A1358,LdBKey,"&lt;"&amp;$G1358)+COUNTIFS(LdCParty,$A1358,LdCKey,"&lt;"&amp;$G1358)+1)</f>
        <v/>
      </c>
      <c r="I1358">
        <f>IF($H1358="","",$A1358&amp;"|"&amp;RIGHT("000000"&amp;$H1358,6))</f>
        <v/>
      </c>
      <c r="J1358">
        <f>IF(OR($B1358&lt;&gt;2,$G1358=""),"",COUNTIFS(LdAParty,$A1358,LdAType,2,LdAKey,"&lt;"&amp;$G1358)+1)</f>
        <v/>
      </c>
      <c r="K1358">
        <f>IF($J1358="","",$A1358&amp;"|"&amp;RIGHT("000000"&amp;$J1358,6))</f>
        <v/>
      </c>
      <c r="L1358">
        <f>IF($A1358="","",IF(Wages!$G1361="",0,Wages!$G1361))</f>
        <v/>
      </c>
      <c r="M1358">
        <f>IF($A1358="","",Wages!$J1361)</f>
        <v/>
      </c>
      <c r="N1358">
        <f>IF($A1358="","",Wages!$D1361)</f>
        <v/>
      </c>
      <c r="P1358">
        <f>IF(OR(Shares!$B1361="",Shares!$C1361=""),"",Shares!$C1361)</f>
        <v/>
      </c>
      <c r="Q1358">
        <f>IF($P1358="","",Shares!$B1361)</f>
        <v/>
      </c>
      <c r="R1358">
        <f>IF($P1358="","",IFERROR(INDEX(WageParty,MATCH($Q1358,WageIds,0)),""))</f>
        <v/>
      </c>
      <c r="S1358">
        <f>IF($P1358="","",IFERROR(INDEX($F$6:$F$2005,MATCH($Q1358,WageIds,0)),""))</f>
        <v/>
      </c>
      <c r="T1358">
        <f>IF(OR($P1358="",$S1358="",$S1358="نامعتبر"),"",LEFT($S1358,4)&amp;MID($S1358,6,2)&amp;RIGHT($S1358,2)&amp;"0000"&amp;"|"&amp;"2"&amp;RIGHT("00000"&amp;1353,5))</f>
        <v/>
      </c>
      <c r="U1358">
        <f>IF($T1358="","",COUNTIFS(LdAParty,$P1358,LdAType,1,LdAKey,"&lt;"&amp;$T1358)+COUNTIFS(LdBMember,$P1358,LdBKey,"&lt;"&amp;$T1358)+COUNTIFS(LdCParty,$P1358,LdCKey,"&lt;"&amp;$T1358)+1)</f>
        <v/>
      </c>
      <c r="V1358">
        <f>IF($U1358="","",$P1358&amp;"|"&amp;RIGHT("000000"&amp;$U1358,6))</f>
        <v/>
      </c>
      <c r="W1358">
        <f>IF($T1358="","",COUNTIFS(LdBGroup,$R1358,LdBKey,"&lt;"&amp;$T1358)+1)</f>
        <v/>
      </c>
      <c r="X1358">
        <f>IF($W1358="","",$R1358&amp;"|"&amp;RIGHT("000000"&amp;$W1358,6))</f>
        <v/>
      </c>
      <c r="Y1358">
        <f>IF($P1358="","",IF(Shares!$E1361="",0,Shares!$E1361))</f>
        <v/>
      </c>
      <c r="Z1358">
        <f>IF($P1358="","",Shares!$H1361)</f>
        <v/>
      </c>
      <c r="AE1358">
        <f>IF(OR(Sync!$S1358="",Sync!$P1358=""),"",Sync!$S1358)</f>
        <v/>
      </c>
      <c r="AF1358">
        <f>IF($AE1358="","",IF(ISNUMBER(Sync!$P1358),IF(AND(Sync!$P1358&gt;=10000101,Sync!$P1358&lt;=99991231),INT(Sync!$P1358/10000),""),IFERROR(VALUE(TRIM(LEFT(Sync!$P1358,FIND("/",Sync!$P1358)-1))),"")))</f>
        <v/>
      </c>
      <c r="AG1358">
        <f>IF(OR($AE1358="",$AF1358=""),"",IF(ISNUMBER(Sync!$P1358),INT(MOD(Sync!$P1358,10000)/100),IFERROR(VALUE(TRIM(LEFT(MID(Sync!$P1358,FIND("/",Sync!$P1358)+1,20),FIND("/",MID(Sync!$P1358,FIND("/",Sync!$P1358)+1,20))-1))),"")))</f>
        <v/>
      </c>
      <c r="AH1358">
        <f>IF(OR($AE1358="",$AF1358=""),"",IF(ISNUMBER(Sync!$P1358),MOD(Sync!$P1358,100),IFERROR(VALUE(TRIM(MID(MID(Sync!$P1358,FIND("/",Sync!$P1358)+1,20),FIND("/",MID(Sync!$P1358,FIND("/",Sync!$P1358)+1,20))+1,20))),"")))</f>
        <v/>
      </c>
      <c r="AI1358">
        <f>IF($AE1358="","",IF(OR($AF1358="",$AG1358="",$AH1358="",$AF1358&lt;1300,$AF1358&gt;1500,$AG1358&lt;1,$AG1358&gt;12,$AH1358&lt;1,$AH1358&gt;31),"نامعتبر",RIGHT("0000"&amp;$AF1358,4)&amp;"/"&amp;RIGHT("00"&amp;$AG1358,2)&amp;"/"&amp;RIGHT("00"&amp;$AH1358,2)))</f>
        <v/>
      </c>
      <c r="AJ1358">
        <f>IF($AE1358="","",IF(Sync!$Q1358="","0000",IF(AND(ISNUMBER(Sync!$Q1358),Sync!$Q1358&gt;=0,Sync!$Q1358&lt;1),RIGHT("00"&amp;HOUR(Sync!$Q1358),2)&amp;RIGHT("00"&amp;MINUTE(Sync!$Q1358),2),IFERROR(RIGHT("00"&amp;VALUE(LEFT(Sync!$Q1358,FIND(":",Sync!$Q1358)-1)),2)&amp;RIGHT("00"&amp;VALUE(MID(Sync!$Q1358,FIND(":",Sync!$Q1358)+1,2)),2),"0000"))))</f>
        <v/>
      </c>
      <c r="AK1358">
        <f>IF(OR($AE1358="",$AI1358="",$AI1358="نامعتبر"),"",LEFT($AI1358,4)&amp;MID($AI1358,6,2)&amp;RIGHT($AI1358,2)&amp;$AJ1358&amp;"|"&amp;"3"&amp;RIGHT("00000"&amp;1353,5))</f>
        <v/>
      </c>
      <c r="AL1358">
        <f>IF($AK1358="","",COUNTIFS(LdAParty,$AE1358,LdAType,1,LdAKey,"&lt;"&amp;$AK1358)+COUNTIFS(LdBMember,$AE1358,LdBKey,"&lt;"&amp;$AK1358)+COUNTIFS(LdCParty,$AE1358,LdCKey,"&lt;"&amp;$AK1358)+1)</f>
        <v/>
      </c>
      <c r="AM1358">
        <f>IF($AL1358="","",$AE1358&amp;"|"&amp;RIGHT("000000"&amp;$AL1358,6))</f>
        <v/>
      </c>
      <c r="AN1358">
        <f>IF($AE1358="","",IF(Sync!$W1358="",0,Sync!$W1358))</f>
        <v/>
      </c>
      <c r="AO1358">
        <f>IF($AE1358="","",IF(Sync!$X1358="",0,Sync!$X1358))</f>
        <v/>
      </c>
      <c r="AP1358">
        <f>IF($AE1358="","",Sync!$R1358)</f>
        <v/>
      </c>
      <c r="AQ1358">
        <f>IF($AE1358="","",Sync!$Y1358)</f>
        <v/>
      </c>
    </row>
    <row r="1359">
      <c r="A1359">
        <f>IF(OR(Wages!$B1362="",Wages!$E1362=""),"",Wages!$E1362)</f>
        <v/>
      </c>
      <c r="B1359">
        <f>IF($A1359="","",IF(Wages!$C1362="دستمزد گروهی",2,1))</f>
        <v/>
      </c>
      <c r="C1359">
        <f>IF($A1359="","",IF(ISNUMBER(Wages!$B1362),IF(AND(Wages!$B1362&gt;=10000101,Wages!$B1362&lt;=99991231),INT(Wages!$B1362/10000),""),IFERROR(VALUE(TRIM(LEFT(Wages!$B1362,FIND("/",Wages!$B1362)-1))),"")))</f>
        <v/>
      </c>
      <c r="D1359">
        <f>IF(OR($A1359="",$C1359=""),"",IF(ISNUMBER(Wages!$B1362),INT(MOD(Wages!$B1362,10000)/100),IFERROR(VALUE(TRIM(LEFT(MID(Wages!$B1362,FIND("/",Wages!$B1362)+1,20),FIND("/",MID(Wages!$B1362,FIND("/",Wages!$B1362)+1,20))-1))),"")))</f>
        <v/>
      </c>
      <c r="E1359">
        <f>IF(OR($A1359="",$C1359=""),"",IF(ISNUMBER(Wages!$B1362),MOD(Wages!$B1362,100),IFERROR(VALUE(TRIM(MID(MID(Wages!$B1362,FIND("/",Wages!$B1362)+1,20),FIND("/",MID(Wages!$B1362,FIND("/",Wages!$B1362)+1,20))+1,20))),"")))</f>
        <v/>
      </c>
      <c r="F1359">
        <f>IF($A1359="","",IF(OR($C1359="",$D1359="",$E1359="",$C1359&lt;1300,$C1359&gt;1500,$D1359&lt;1,$D1359&gt;12,$E1359&lt;1,$E1359&gt;31),"نامعتبر",RIGHT("0000"&amp;$C1359,4)&amp;"/"&amp;RIGHT("00"&amp;$D1359,2)&amp;"/"&amp;RIGHT("00"&amp;$E1359,2)))</f>
        <v/>
      </c>
      <c r="G1359">
        <f>IF(OR($A1359="",$F1359="",$F1359="نامعتبر"),"",LEFT($F1359,4)&amp;MID($F1359,6,2)&amp;RIGHT($F1359,2)&amp;"0000"&amp;"|"&amp;"1"&amp;RIGHT("00000"&amp;1354,5))</f>
        <v/>
      </c>
      <c r="H1359">
        <f>IF(OR($B1359&lt;&gt;1,$G1359=""),"",COUNTIFS(LdAParty,$A1359,LdAType,1,LdAKey,"&lt;"&amp;$G1359)+COUNTIFS(LdBMember,$A1359,LdBKey,"&lt;"&amp;$G1359)+COUNTIFS(LdCParty,$A1359,LdCKey,"&lt;"&amp;$G1359)+1)</f>
        <v/>
      </c>
      <c r="I1359">
        <f>IF($H1359="","",$A1359&amp;"|"&amp;RIGHT("000000"&amp;$H1359,6))</f>
        <v/>
      </c>
      <c r="J1359">
        <f>IF(OR($B1359&lt;&gt;2,$G1359=""),"",COUNTIFS(LdAParty,$A1359,LdAType,2,LdAKey,"&lt;"&amp;$G1359)+1)</f>
        <v/>
      </c>
      <c r="K1359">
        <f>IF($J1359="","",$A1359&amp;"|"&amp;RIGHT("000000"&amp;$J1359,6))</f>
        <v/>
      </c>
      <c r="L1359">
        <f>IF($A1359="","",IF(Wages!$G1362="",0,Wages!$G1362))</f>
        <v/>
      </c>
      <c r="M1359">
        <f>IF($A1359="","",Wages!$J1362)</f>
        <v/>
      </c>
      <c r="N1359">
        <f>IF($A1359="","",Wages!$D1362)</f>
        <v/>
      </c>
      <c r="P1359">
        <f>IF(OR(Shares!$B1362="",Shares!$C1362=""),"",Shares!$C1362)</f>
        <v/>
      </c>
      <c r="Q1359">
        <f>IF($P1359="","",Shares!$B1362)</f>
        <v/>
      </c>
      <c r="R1359">
        <f>IF($P1359="","",IFERROR(INDEX(WageParty,MATCH($Q1359,WageIds,0)),""))</f>
        <v/>
      </c>
      <c r="S1359">
        <f>IF($P1359="","",IFERROR(INDEX($F$6:$F$2005,MATCH($Q1359,WageIds,0)),""))</f>
        <v/>
      </c>
      <c r="T1359">
        <f>IF(OR($P1359="",$S1359="",$S1359="نامعتبر"),"",LEFT($S1359,4)&amp;MID($S1359,6,2)&amp;RIGHT($S1359,2)&amp;"0000"&amp;"|"&amp;"2"&amp;RIGHT("00000"&amp;1354,5))</f>
        <v/>
      </c>
      <c r="U1359">
        <f>IF($T1359="","",COUNTIFS(LdAParty,$P1359,LdAType,1,LdAKey,"&lt;"&amp;$T1359)+COUNTIFS(LdBMember,$P1359,LdBKey,"&lt;"&amp;$T1359)+COUNTIFS(LdCParty,$P1359,LdCKey,"&lt;"&amp;$T1359)+1)</f>
        <v/>
      </c>
      <c r="V1359">
        <f>IF($U1359="","",$P1359&amp;"|"&amp;RIGHT("000000"&amp;$U1359,6))</f>
        <v/>
      </c>
      <c r="W1359">
        <f>IF($T1359="","",COUNTIFS(LdBGroup,$R1359,LdBKey,"&lt;"&amp;$T1359)+1)</f>
        <v/>
      </c>
      <c r="X1359">
        <f>IF($W1359="","",$R1359&amp;"|"&amp;RIGHT("000000"&amp;$W1359,6))</f>
        <v/>
      </c>
      <c r="Y1359">
        <f>IF($P1359="","",IF(Shares!$E1362="",0,Shares!$E1362))</f>
        <v/>
      </c>
      <c r="Z1359">
        <f>IF($P1359="","",Shares!$H1362)</f>
        <v/>
      </c>
      <c r="AE1359">
        <f>IF(OR(Sync!$S1359="",Sync!$P1359=""),"",Sync!$S1359)</f>
        <v/>
      </c>
      <c r="AF1359">
        <f>IF($AE1359="","",IF(ISNUMBER(Sync!$P1359),IF(AND(Sync!$P1359&gt;=10000101,Sync!$P1359&lt;=99991231),INT(Sync!$P1359/10000),""),IFERROR(VALUE(TRIM(LEFT(Sync!$P1359,FIND("/",Sync!$P1359)-1))),"")))</f>
        <v/>
      </c>
      <c r="AG1359">
        <f>IF(OR($AE1359="",$AF1359=""),"",IF(ISNUMBER(Sync!$P1359),INT(MOD(Sync!$P1359,10000)/100),IFERROR(VALUE(TRIM(LEFT(MID(Sync!$P1359,FIND("/",Sync!$P1359)+1,20),FIND("/",MID(Sync!$P1359,FIND("/",Sync!$P1359)+1,20))-1))),"")))</f>
        <v/>
      </c>
      <c r="AH1359">
        <f>IF(OR($AE1359="",$AF1359=""),"",IF(ISNUMBER(Sync!$P1359),MOD(Sync!$P1359,100),IFERROR(VALUE(TRIM(MID(MID(Sync!$P1359,FIND("/",Sync!$P1359)+1,20),FIND("/",MID(Sync!$P1359,FIND("/",Sync!$P1359)+1,20))+1,20))),"")))</f>
        <v/>
      </c>
      <c r="AI1359">
        <f>IF($AE1359="","",IF(OR($AF1359="",$AG1359="",$AH1359="",$AF1359&lt;1300,$AF1359&gt;1500,$AG1359&lt;1,$AG1359&gt;12,$AH1359&lt;1,$AH1359&gt;31),"نامعتبر",RIGHT("0000"&amp;$AF1359,4)&amp;"/"&amp;RIGHT("00"&amp;$AG1359,2)&amp;"/"&amp;RIGHT("00"&amp;$AH1359,2)))</f>
        <v/>
      </c>
      <c r="AJ1359">
        <f>IF($AE1359="","",IF(Sync!$Q1359="","0000",IF(AND(ISNUMBER(Sync!$Q1359),Sync!$Q1359&gt;=0,Sync!$Q1359&lt;1),RIGHT("00"&amp;HOUR(Sync!$Q1359),2)&amp;RIGHT("00"&amp;MINUTE(Sync!$Q1359),2),IFERROR(RIGHT("00"&amp;VALUE(LEFT(Sync!$Q1359,FIND(":",Sync!$Q1359)-1)),2)&amp;RIGHT("00"&amp;VALUE(MID(Sync!$Q1359,FIND(":",Sync!$Q1359)+1,2)),2),"0000"))))</f>
        <v/>
      </c>
      <c r="AK1359">
        <f>IF(OR($AE1359="",$AI1359="",$AI1359="نامعتبر"),"",LEFT($AI1359,4)&amp;MID($AI1359,6,2)&amp;RIGHT($AI1359,2)&amp;$AJ1359&amp;"|"&amp;"3"&amp;RIGHT("00000"&amp;1354,5))</f>
        <v/>
      </c>
      <c r="AL1359">
        <f>IF($AK1359="","",COUNTIFS(LdAParty,$AE1359,LdAType,1,LdAKey,"&lt;"&amp;$AK1359)+COUNTIFS(LdBMember,$AE1359,LdBKey,"&lt;"&amp;$AK1359)+COUNTIFS(LdCParty,$AE1359,LdCKey,"&lt;"&amp;$AK1359)+1)</f>
        <v/>
      </c>
      <c r="AM1359">
        <f>IF($AL1359="","",$AE1359&amp;"|"&amp;RIGHT("000000"&amp;$AL1359,6))</f>
        <v/>
      </c>
      <c r="AN1359">
        <f>IF($AE1359="","",IF(Sync!$W1359="",0,Sync!$W1359))</f>
        <v/>
      </c>
      <c r="AO1359">
        <f>IF($AE1359="","",IF(Sync!$X1359="",0,Sync!$X1359))</f>
        <v/>
      </c>
      <c r="AP1359">
        <f>IF($AE1359="","",Sync!$R1359)</f>
        <v/>
      </c>
      <c r="AQ1359">
        <f>IF($AE1359="","",Sync!$Y1359)</f>
        <v/>
      </c>
    </row>
    <row r="1360">
      <c r="A1360">
        <f>IF(OR(Wages!$B1363="",Wages!$E1363=""),"",Wages!$E1363)</f>
        <v/>
      </c>
      <c r="B1360">
        <f>IF($A1360="","",IF(Wages!$C1363="دستمزد گروهی",2,1))</f>
        <v/>
      </c>
      <c r="C1360">
        <f>IF($A1360="","",IF(ISNUMBER(Wages!$B1363),IF(AND(Wages!$B1363&gt;=10000101,Wages!$B1363&lt;=99991231),INT(Wages!$B1363/10000),""),IFERROR(VALUE(TRIM(LEFT(Wages!$B1363,FIND("/",Wages!$B1363)-1))),"")))</f>
        <v/>
      </c>
      <c r="D1360">
        <f>IF(OR($A1360="",$C1360=""),"",IF(ISNUMBER(Wages!$B1363),INT(MOD(Wages!$B1363,10000)/100),IFERROR(VALUE(TRIM(LEFT(MID(Wages!$B1363,FIND("/",Wages!$B1363)+1,20),FIND("/",MID(Wages!$B1363,FIND("/",Wages!$B1363)+1,20))-1))),"")))</f>
        <v/>
      </c>
      <c r="E1360">
        <f>IF(OR($A1360="",$C1360=""),"",IF(ISNUMBER(Wages!$B1363),MOD(Wages!$B1363,100),IFERROR(VALUE(TRIM(MID(MID(Wages!$B1363,FIND("/",Wages!$B1363)+1,20),FIND("/",MID(Wages!$B1363,FIND("/",Wages!$B1363)+1,20))+1,20))),"")))</f>
        <v/>
      </c>
      <c r="F1360">
        <f>IF($A1360="","",IF(OR($C1360="",$D1360="",$E1360="",$C1360&lt;1300,$C1360&gt;1500,$D1360&lt;1,$D1360&gt;12,$E1360&lt;1,$E1360&gt;31),"نامعتبر",RIGHT("0000"&amp;$C1360,4)&amp;"/"&amp;RIGHT("00"&amp;$D1360,2)&amp;"/"&amp;RIGHT("00"&amp;$E1360,2)))</f>
        <v/>
      </c>
      <c r="G1360">
        <f>IF(OR($A1360="",$F1360="",$F1360="نامعتبر"),"",LEFT($F1360,4)&amp;MID($F1360,6,2)&amp;RIGHT($F1360,2)&amp;"0000"&amp;"|"&amp;"1"&amp;RIGHT("00000"&amp;1355,5))</f>
        <v/>
      </c>
      <c r="H1360">
        <f>IF(OR($B1360&lt;&gt;1,$G1360=""),"",COUNTIFS(LdAParty,$A1360,LdAType,1,LdAKey,"&lt;"&amp;$G1360)+COUNTIFS(LdBMember,$A1360,LdBKey,"&lt;"&amp;$G1360)+COUNTIFS(LdCParty,$A1360,LdCKey,"&lt;"&amp;$G1360)+1)</f>
        <v/>
      </c>
      <c r="I1360">
        <f>IF($H1360="","",$A1360&amp;"|"&amp;RIGHT("000000"&amp;$H1360,6))</f>
        <v/>
      </c>
      <c r="J1360">
        <f>IF(OR($B1360&lt;&gt;2,$G1360=""),"",COUNTIFS(LdAParty,$A1360,LdAType,2,LdAKey,"&lt;"&amp;$G1360)+1)</f>
        <v/>
      </c>
      <c r="K1360">
        <f>IF($J1360="","",$A1360&amp;"|"&amp;RIGHT("000000"&amp;$J1360,6))</f>
        <v/>
      </c>
      <c r="L1360">
        <f>IF($A1360="","",IF(Wages!$G1363="",0,Wages!$G1363))</f>
        <v/>
      </c>
      <c r="M1360">
        <f>IF($A1360="","",Wages!$J1363)</f>
        <v/>
      </c>
      <c r="N1360">
        <f>IF($A1360="","",Wages!$D1363)</f>
        <v/>
      </c>
      <c r="P1360">
        <f>IF(OR(Shares!$B1363="",Shares!$C1363=""),"",Shares!$C1363)</f>
        <v/>
      </c>
      <c r="Q1360">
        <f>IF($P1360="","",Shares!$B1363)</f>
        <v/>
      </c>
      <c r="R1360">
        <f>IF($P1360="","",IFERROR(INDEX(WageParty,MATCH($Q1360,WageIds,0)),""))</f>
        <v/>
      </c>
      <c r="S1360">
        <f>IF($P1360="","",IFERROR(INDEX($F$6:$F$2005,MATCH($Q1360,WageIds,0)),""))</f>
        <v/>
      </c>
      <c r="T1360">
        <f>IF(OR($P1360="",$S1360="",$S1360="نامعتبر"),"",LEFT($S1360,4)&amp;MID($S1360,6,2)&amp;RIGHT($S1360,2)&amp;"0000"&amp;"|"&amp;"2"&amp;RIGHT("00000"&amp;1355,5))</f>
        <v/>
      </c>
      <c r="U1360">
        <f>IF($T1360="","",COUNTIFS(LdAParty,$P1360,LdAType,1,LdAKey,"&lt;"&amp;$T1360)+COUNTIFS(LdBMember,$P1360,LdBKey,"&lt;"&amp;$T1360)+COUNTIFS(LdCParty,$P1360,LdCKey,"&lt;"&amp;$T1360)+1)</f>
        <v/>
      </c>
      <c r="V1360">
        <f>IF($U1360="","",$P1360&amp;"|"&amp;RIGHT("000000"&amp;$U1360,6))</f>
        <v/>
      </c>
      <c r="W1360">
        <f>IF($T1360="","",COUNTIFS(LdBGroup,$R1360,LdBKey,"&lt;"&amp;$T1360)+1)</f>
        <v/>
      </c>
      <c r="X1360">
        <f>IF($W1360="","",$R1360&amp;"|"&amp;RIGHT("000000"&amp;$W1360,6))</f>
        <v/>
      </c>
      <c r="Y1360">
        <f>IF($P1360="","",IF(Shares!$E1363="",0,Shares!$E1363))</f>
        <v/>
      </c>
      <c r="Z1360">
        <f>IF($P1360="","",Shares!$H1363)</f>
        <v/>
      </c>
      <c r="AE1360">
        <f>IF(OR(Sync!$S1360="",Sync!$P1360=""),"",Sync!$S1360)</f>
        <v/>
      </c>
      <c r="AF1360">
        <f>IF($AE1360="","",IF(ISNUMBER(Sync!$P1360),IF(AND(Sync!$P1360&gt;=10000101,Sync!$P1360&lt;=99991231),INT(Sync!$P1360/10000),""),IFERROR(VALUE(TRIM(LEFT(Sync!$P1360,FIND("/",Sync!$P1360)-1))),"")))</f>
        <v/>
      </c>
      <c r="AG1360">
        <f>IF(OR($AE1360="",$AF1360=""),"",IF(ISNUMBER(Sync!$P1360),INT(MOD(Sync!$P1360,10000)/100),IFERROR(VALUE(TRIM(LEFT(MID(Sync!$P1360,FIND("/",Sync!$P1360)+1,20),FIND("/",MID(Sync!$P1360,FIND("/",Sync!$P1360)+1,20))-1))),"")))</f>
        <v/>
      </c>
      <c r="AH1360">
        <f>IF(OR($AE1360="",$AF1360=""),"",IF(ISNUMBER(Sync!$P1360),MOD(Sync!$P1360,100),IFERROR(VALUE(TRIM(MID(MID(Sync!$P1360,FIND("/",Sync!$P1360)+1,20),FIND("/",MID(Sync!$P1360,FIND("/",Sync!$P1360)+1,20))+1,20))),"")))</f>
        <v/>
      </c>
      <c r="AI1360">
        <f>IF($AE1360="","",IF(OR($AF1360="",$AG1360="",$AH1360="",$AF1360&lt;1300,$AF1360&gt;1500,$AG1360&lt;1,$AG1360&gt;12,$AH1360&lt;1,$AH1360&gt;31),"نامعتبر",RIGHT("0000"&amp;$AF1360,4)&amp;"/"&amp;RIGHT("00"&amp;$AG1360,2)&amp;"/"&amp;RIGHT("00"&amp;$AH1360,2)))</f>
        <v/>
      </c>
      <c r="AJ1360">
        <f>IF($AE1360="","",IF(Sync!$Q1360="","0000",IF(AND(ISNUMBER(Sync!$Q1360),Sync!$Q1360&gt;=0,Sync!$Q1360&lt;1),RIGHT("00"&amp;HOUR(Sync!$Q1360),2)&amp;RIGHT("00"&amp;MINUTE(Sync!$Q1360),2),IFERROR(RIGHT("00"&amp;VALUE(LEFT(Sync!$Q1360,FIND(":",Sync!$Q1360)-1)),2)&amp;RIGHT("00"&amp;VALUE(MID(Sync!$Q1360,FIND(":",Sync!$Q1360)+1,2)),2),"0000"))))</f>
        <v/>
      </c>
      <c r="AK1360">
        <f>IF(OR($AE1360="",$AI1360="",$AI1360="نامعتبر"),"",LEFT($AI1360,4)&amp;MID($AI1360,6,2)&amp;RIGHT($AI1360,2)&amp;$AJ1360&amp;"|"&amp;"3"&amp;RIGHT("00000"&amp;1355,5))</f>
        <v/>
      </c>
      <c r="AL1360">
        <f>IF($AK1360="","",COUNTIFS(LdAParty,$AE1360,LdAType,1,LdAKey,"&lt;"&amp;$AK1360)+COUNTIFS(LdBMember,$AE1360,LdBKey,"&lt;"&amp;$AK1360)+COUNTIFS(LdCParty,$AE1360,LdCKey,"&lt;"&amp;$AK1360)+1)</f>
        <v/>
      </c>
      <c r="AM1360">
        <f>IF($AL1360="","",$AE1360&amp;"|"&amp;RIGHT("000000"&amp;$AL1360,6))</f>
        <v/>
      </c>
      <c r="AN1360">
        <f>IF($AE1360="","",IF(Sync!$W1360="",0,Sync!$W1360))</f>
        <v/>
      </c>
      <c r="AO1360">
        <f>IF($AE1360="","",IF(Sync!$X1360="",0,Sync!$X1360))</f>
        <v/>
      </c>
      <c r="AP1360">
        <f>IF($AE1360="","",Sync!$R1360)</f>
        <v/>
      </c>
      <c r="AQ1360">
        <f>IF($AE1360="","",Sync!$Y1360)</f>
        <v/>
      </c>
    </row>
    <row r="1361">
      <c r="A1361">
        <f>IF(OR(Wages!$B1364="",Wages!$E1364=""),"",Wages!$E1364)</f>
        <v/>
      </c>
      <c r="B1361">
        <f>IF($A1361="","",IF(Wages!$C1364="دستمزد گروهی",2,1))</f>
        <v/>
      </c>
      <c r="C1361">
        <f>IF($A1361="","",IF(ISNUMBER(Wages!$B1364),IF(AND(Wages!$B1364&gt;=10000101,Wages!$B1364&lt;=99991231),INT(Wages!$B1364/10000),""),IFERROR(VALUE(TRIM(LEFT(Wages!$B1364,FIND("/",Wages!$B1364)-1))),"")))</f>
        <v/>
      </c>
      <c r="D1361">
        <f>IF(OR($A1361="",$C1361=""),"",IF(ISNUMBER(Wages!$B1364),INT(MOD(Wages!$B1364,10000)/100),IFERROR(VALUE(TRIM(LEFT(MID(Wages!$B1364,FIND("/",Wages!$B1364)+1,20),FIND("/",MID(Wages!$B1364,FIND("/",Wages!$B1364)+1,20))-1))),"")))</f>
        <v/>
      </c>
      <c r="E1361">
        <f>IF(OR($A1361="",$C1361=""),"",IF(ISNUMBER(Wages!$B1364),MOD(Wages!$B1364,100),IFERROR(VALUE(TRIM(MID(MID(Wages!$B1364,FIND("/",Wages!$B1364)+1,20),FIND("/",MID(Wages!$B1364,FIND("/",Wages!$B1364)+1,20))+1,20))),"")))</f>
        <v/>
      </c>
      <c r="F1361">
        <f>IF($A1361="","",IF(OR($C1361="",$D1361="",$E1361="",$C1361&lt;1300,$C1361&gt;1500,$D1361&lt;1,$D1361&gt;12,$E1361&lt;1,$E1361&gt;31),"نامعتبر",RIGHT("0000"&amp;$C1361,4)&amp;"/"&amp;RIGHT("00"&amp;$D1361,2)&amp;"/"&amp;RIGHT("00"&amp;$E1361,2)))</f>
        <v/>
      </c>
      <c r="G1361">
        <f>IF(OR($A1361="",$F1361="",$F1361="نامعتبر"),"",LEFT($F1361,4)&amp;MID($F1361,6,2)&amp;RIGHT($F1361,2)&amp;"0000"&amp;"|"&amp;"1"&amp;RIGHT("00000"&amp;1356,5))</f>
        <v/>
      </c>
      <c r="H1361">
        <f>IF(OR($B1361&lt;&gt;1,$G1361=""),"",COUNTIFS(LdAParty,$A1361,LdAType,1,LdAKey,"&lt;"&amp;$G1361)+COUNTIFS(LdBMember,$A1361,LdBKey,"&lt;"&amp;$G1361)+COUNTIFS(LdCParty,$A1361,LdCKey,"&lt;"&amp;$G1361)+1)</f>
        <v/>
      </c>
      <c r="I1361">
        <f>IF($H1361="","",$A1361&amp;"|"&amp;RIGHT("000000"&amp;$H1361,6))</f>
        <v/>
      </c>
      <c r="J1361">
        <f>IF(OR($B1361&lt;&gt;2,$G1361=""),"",COUNTIFS(LdAParty,$A1361,LdAType,2,LdAKey,"&lt;"&amp;$G1361)+1)</f>
        <v/>
      </c>
      <c r="K1361">
        <f>IF($J1361="","",$A1361&amp;"|"&amp;RIGHT("000000"&amp;$J1361,6))</f>
        <v/>
      </c>
      <c r="L1361">
        <f>IF($A1361="","",IF(Wages!$G1364="",0,Wages!$G1364))</f>
        <v/>
      </c>
      <c r="M1361">
        <f>IF($A1361="","",Wages!$J1364)</f>
        <v/>
      </c>
      <c r="N1361">
        <f>IF($A1361="","",Wages!$D1364)</f>
        <v/>
      </c>
      <c r="P1361">
        <f>IF(OR(Shares!$B1364="",Shares!$C1364=""),"",Shares!$C1364)</f>
        <v/>
      </c>
      <c r="Q1361">
        <f>IF($P1361="","",Shares!$B1364)</f>
        <v/>
      </c>
      <c r="R1361">
        <f>IF($P1361="","",IFERROR(INDEX(WageParty,MATCH($Q1361,WageIds,0)),""))</f>
        <v/>
      </c>
      <c r="S1361">
        <f>IF($P1361="","",IFERROR(INDEX($F$6:$F$2005,MATCH($Q1361,WageIds,0)),""))</f>
        <v/>
      </c>
      <c r="T1361">
        <f>IF(OR($P1361="",$S1361="",$S1361="نامعتبر"),"",LEFT($S1361,4)&amp;MID($S1361,6,2)&amp;RIGHT($S1361,2)&amp;"0000"&amp;"|"&amp;"2"&amp;RIGHT("00000"&amp;1356,5))</f>
        <v/>
      </c>
      <c r="U1361">
        <f>IF($T1361="","",COUNTIFS(LdAParty,$P1361,LdAType,1,LdAKey,"&lt;"&amp;$T1361)+COUNTIFS(LdBMember,$P1361,LdBKey,"&lt;"&amp;$T1361)+COUNTIFS(LdCParty,$P1361,LdCKey,"&lt;"&amp;$T1361)+1)</f>
        <v/>
      </c>
      <c r="V1361">
        <f>IF($U1361="","",$P1361&amp;"|"&amp;RIGHT("000000"&amp;$U1361,6))</f>
        <v/>
      </c>
      <c r="W1361">
        <f>IF($T1361="","",COUNTIFS(LdBGroup,$R1361,LdBKey,"&lt;"&amp;$T1361)+1)</f>
        <v/>
      </c>
      <c r="X1361">
        <f>IF($W1361="","",$R1361&amp;"|"&amp;RIGHT("000000"&amp;$W1361,6))</f>
        <v/>
      </c>
      <c r="Y1361">
        <f>IF($P1361="","",IF(Shares!$E1364="",0,Shares!$E1364))</f>
        <v/>
      </c>
      <c r="Z1361">
        <f>IF($P1361="","",Shares!$H1364)</f>
        <v/>
      </c>
      <c r="AE1361">
        <f>IF(OR(Sync!$S1361="",Sync!$P1361=""),"",Sync!$S1361)</f>
        <v/>
      </c>
      <c r="AF1361">
        <f>IF($AE1361="","",IF(ISNUMBER(Sync!$P1361),IF(AND(Sync!$P1361&gt;=10000101,Sync!$P1361&lt;=99991231),INT(Sync!$P1361/10000),""),IFERROR(VALUE(TRIM(LEFT(Sync!$P1361,FIND("/",Sync!$P1361)-1))),"")))</f>
        <v/>
      </c>
      <c r="AG1361">
        <f>IF(OR($AE1361="",$AF1361=""),"",IF(ISNUMBER(Sync!$P1361),INT(MOD(Sync!$P1361,10000)/100),IFERROR(VALUE(TRIM(LEFT(MID(Sync!$P1361,FIND("/",Sync!$P1361)+1,20),FIND("/",MID(Sync!$P1361,FIND("/",Sync!$P1361)+1,20))-1))),"")))</f>
        <v/>
      </c>
      <c r="AH1361">
        <f>IF(OR($AE1361="",$AF1361=""),"",IF(ISNUMBER(Sync!$P1361),MOD(Sync!$P1361,100),IFERROR(VALUE(TRIM(MID(MID(Sync!$P1361,FIND("/",Sync!$P1361)+1,20),FIND("/",MID(Sync!$P1361,FIND("/",Sync!$P1361)+1,20))+1,20))),"")))</f>
        <v/>
      </c>
      <c r="AI1361">
        <f>IF($AE1361="","",IF(OR($AF1361="",$AG1361="",$AH1361="",$AF1361&lt;1300,$AF1361&gt;1500,$AG1361&lt;1,$AG1361&gt;12,$AH1361&lt;1,$AH1361&gt;31),"نامعتبر",RIGHT("0000"&amp;$AF1361,4)&amp;"/"&amp;RIGHT("00"&amp;$AG1361,2)&amp;"/"&amp;RIGHT("00"&amp;$AH1361,2)))</f>
        <v/>
      </c>
      <c r="AJ1361">
        <f>IF($AE1361="","",IF(Sync!$Q1361="","0000",IF(AND(ISNUMBER(Sync!$Q1361),Sync!$Q1361&gt;=0,Sync!$Q1361&lt;1),RIGHT("00"&amp;HOUR(Sync!$Q1361),2)&amp;RIGHT("00"&amp;MINUTE(Sync!$Q1361),2),IFERROR(RIGHT("00"&amp;VALUE(LEFT(Sync!$Q1361,FIND(":",Sync!$Q1361)-1)),2)&amp;RIGHT("00"&amp;VALUE(MID(Sync!$Q1361,FIND(":",Sync!$Q1361)+1,2)),2),"0000"))))</f>
        <v/>
      </c>
      <c r="AK1361">
        <f>IF(OR($AE1361="",$AI1361="",$AI1361="نامعتبر"),"",LEFT($AI1361,4)&amp;MID($AI1361,6,2)&amp;RIGHT($AI1361,2)&amp;$AJ1361&amp;"|"&amp;"3"&amp;RIGHT("00000"&amp;1356,5))</f>
        <v/>
      </c>
      <c r="AL1361">
        <f>IF($AK1361="","",COUNTIFS(LdAParty,$AE1361,LdAType,1,LdAKey,"&lt;"&amp;$AK1361)+COUNTIFS(LdBMember,$AE1361,LdBKey,"&lt;"&amp;$AK1361)+COUNTIFS(LdCParty,$AE1361,LdCKey,"&lt;"&amp;$AK1361)+1)</f>
        <v/>
      </c>
      <c r="AM1361">
        <f>IF($AL1361="","",$AE1361&amp;"|"&amp;RIGHT("000000"&amp;$AL1361,6))</f>
        <v/>
      </c>
      <c r="AN1361">
        <f>IF($AE1361="","",IF(Sync!$W1361="",0,Sync!$W1361))</f>
        <v/>
      </c>
      <c r="AO1361">
        <f>IF($AE1361="","",IF(Sync!$X1361="",0,Sync!$X1361))</f>
        <v/>
      </c>
      <c r="AP1361">
        <f>IF($AE1361="","",Sync!$R1361)</f>
        <v/>
      </c>
      <c r="AQ1361">
        <f>IF($AE1361="","",Sync!$Y1361)</f>
        <v/>
      </c>
    </row>
    <row r="1362">
      <c r="A1362">
        <f>IF(OR(Wages!$B1365="",Wages!$E1365=""),"",Wages!$E1365)</f>
        <v/>
      </c>
      <c r="B1362">
        <f>IF($A1362="","",IF(Wages!$C1365="دستمزد گروهی",2,1))</f>
        <v/>
      </c>
      <c r="C1362">
        <f>IF($A1362="","",IF(ISNUMBER(Wages!$B1365),IF(AND(Wages!$B1365&gt;=10000101,Wages!$B1365&lt;=99991231),INT(Wages!$B1365/10000),""),IFERROR(VALUE(TRIM(LEFT(Wages!$B1365,FIND("/",Wages!$B1365)-1))),"")))</f>
        <v/>
      </c>
      <c r="D1362">
        <f>IF(OR($A1362="",$C1362=""),"",IF(ISNUMBER(Wages!$B1365),INT(MOD(Wages!$B1365,10000)/100),IFERROR(VALUE(TRIM(LEFT(MID(Wages!$B1365,FIND("/",Wages!$B1365)+1,20),FIND("/",MID(Wages!$B1365,FIND("/",Wages!$B1365)+1,20))-1))),"")))</f>
        <v/>
      </c>
      <c r="E1362">
        <f>IF(OR($A1362="",$C1362=""),"",IF(ISNUMBER(Wages!$B1365),MOD(Wages!$B1365,100),IFERROR(VALUE(TRIM(MID(MID(Wages!$B1365,FIND("/",Wages!$B1365)+1,20),FIND("/",MID(Wages!$B1365,FIND("/",Wages!$B1365)+1,20))+1,20))),"")))</f>
        <v/>
      </c>
      <c r="F1362">
        <f>IF($A1362="","",IF(OR($C1362="",$D1362="",$E1362="",$C1362&lt;1300,$C1362&gt;1500,$D1362&lt;1,$D1362&gt;12,$E1362&lt;1,$E1362&gt;31),"نامعتبر",RIGHT("0000"&amp;$C1362,4)&amp;"/"&amp;RIGHT("00"&amp;$D1362,2)&amp;"/"&amp;RIGHT("00"&amp;$E1362,2)))</f>
        <v/>
      </c>
      <c r="G1362">
        <f>IF(OR($A1362="",$F1362="",$F1362="نامعتبر"),"",LEFT($F1362,4)&amp;MID($F1362,6,2)&amp;RIGHT($F1362,2)&amp;"0000"&amp;"|"&amp;"1"&amp;RIGHT("00000"&amp;1357,5))</f>
        <v/>
      </c>
      <c r="H1362">
        <f>IF(OR($B1362&lt;&gt;1,$G1362=""),"",COUNTIFS(LdAParty,$A1362,LdAType,1,LdAKey,"&lt;"&amp;$G1362)+COUNTIFS(LdBMember,$A1362,LdBKey,"&lt;"&amp;$G1362)+COUNTIFS(LdCParty,$A1362,LdCKey,"&lt;"&amp;$G1362)+1)</f>
        <v/>
      </c>
      <c r="I1362">
        <f>IF($H1362="","",$A1362&amp;"|"&amp;RIGHT("000000"&amp;$H1362,6))</f>
        <v/>
      </c>
      <c r="J1362">
        <f>IF(OR($B1362&lt;&gt;2,$G1362=""),"",COUNTIFS(LdAParty,$A1362,LdAType,2,LdAKey,"&lt;"&amp;$G1362)+1)</f>
        <v/>
      </c>
      <c r="K1362">
        <f>IF($J1362="","",$A1362&amp;"|"&amp;RIGHT("000000"&amp;$J1362,6))</f>
        <v/>
      </c>
      <c r="L1362">
        <f>IF($A1362="","",IF(Wages!$G1365="",0,Wages!$G1365))</f>
        <v/>
      </c>
      <c r="M1362">
        <f>IF($A1362="","",Wages!$J1365)</f>
        <v/>
      </c>
      <c r="N1362">
        <f>IF($A1362="","",Wages!$D1365)</f>
        <v/>
      </c>
      <c r="P1362">
        <f>IF(OR(Shares!$B1365="",Shares!$C1365=""),"",Shares!$C1365)</f>
        <v/>
      </c>
      <c r="Q1362">
        <f>IF($P1362="","",Shares!$B1365)</f>
        <v/>
      </c>
      <c r="R1362">
        <f>IF($P1362="","",IFERROR(INDEX(WageParty,MATCH($Q1362,WageIds,0)),""))</f>
        <v/>
      </c>
      <c r="S1362">
        <f>IF($P1362="","",IFERROR(INDEX($F$6:$F$2005,MATCH($Q1362,WageIds,0)),""))</f>
        <v/>
      </c>
      <c r="T1362">
        <f>IF(OR($P1362="",$S1362="",$S1362="نامعتبر"),"",LEFT($S1362,4)&amp;MID($S1362,6,2)&amp;RIGHT($S1362,2)&amp;"0000"&amp;"|"&amp;"2"&amp;RIGHT("00000"&amp;1357,5))</f>
        <v/>
      </c>
      <c r="U1362">
        <f>IF($T1362="","",COUNTIFS(LdAParty,$P1362,LdAType,1,LdAKey,"&lt;"&amp;$T1362)+COUNTIFS(LdBMember,$P1362,LdBKey,"&lt;"&amp;$T1362)+COUNTIFS(LdCParty,$P1362,LdCKey,"&lt;"&amp;$T1362)+1)</f>
        <v/>
      </c>
      <c r="V1362">
        <f>IF($U1362="","",$P1362&amp;"|"&amp;RIGHT("000000"&amp;$U1362,6))</f>
        <v/>
      </c>
      <c r="W1362">
        <f>IF($T1362="","",COUNTIFS(LdBGroup,$R1362,LdBKey,"&lt;"&amp;$T1362)+1)</f>
        <v/>
      </c>
      <c r="X1362">
        <f>IF($W1362="","",$R1362&amp;"|"&amp;RIGHT("000000"&amp;$W1362,6))</f>
        <v/>
      </c>
      <c r="Y1362">
        <f>IF($P1362="","",IF(Shares!$E1365="",0,Shares!$E1365))</f>
        <v/>
      </c>
      <c r="Z1362">
        <f>IF($P1362="","",Shares!$H1365)</f>
        <v/>
      </c>
      <c r="AE1362">
        <f>IF(OR(Sync!$S1362="",Sync!$P1362=""),"",Sync!$S1362)</f>
        <v/>
      </c>
      <c r="AF1362">
        <f>IF($AE1362="","",IF(ISNUMBER(Sync!$P1362),IF(AND(Sync!$P1362&gt;=10000101,Sync!$P1362&lt;=99991231),INT(Sync!$P1362/10000),""),IFERROR(VALUE(TRIM(LEFT(Sync!$P1362,FIND("/",Sync!$P1362)-1))),"")))</f>
        <v/>
      </c>
      <c r="AG1362">
        <f>IF(OR($AE1362="",$AF1362=""),"",IF(ISNUMBER(Sync!$P1362),INT(MOD(Sync!$P1362,10000)/100),IFERROR(VALUE(TRIM(LEFT(MID(Sync!$P1362,FIND("/",Sync!$P1362)+1,20),FIND("/",MID(Sync!$P1362,FIND("/",Sync!$P1362)+1,20))-1))),"")))</f>
        <v/>
      </c>
      <c r="AH1362">
        <f>IF(OR($AE1362="",$AF1362=""),"",IF(ISNUMBER(Sync!$P1362),MOD(Sync!$P1362,100),IFERROR(VALUE(TRIM(MID(MID(Sync!$P1362,FIND("/",Sync!$P1362)+1,20),FIND("/",MID(Sync!$P1362,FIND("/",Sync!$P1362)+1,20))+1,20))),"")))</f>
        <v/>
      </c>
      <c r="AI1362">
        <f>IF($AE1362="","",IF(OR($AF1362="",$AG1362="",$AH1362="",$AF1362&lt;1300,$AF1362&gt;1500,$AG1362&lt;1,$AG1362&gt;12,$AH1362&lt;1,$AH1362&gt;31),"نامعتبر",RIGHT("0000"&amp;$AF1362,4)&amp;"/"&amp;RIGHT("00"&amp;$AG1362,2)&amp;"/"&amp;RIGHT("00"&amp;$AH1362,2)))</f>
        <v/>
      </c>
      <c r="AJ1362">
        <f>IF($AE1362="","",IF(Sync!$Q1362="","0000",IF(AND(ISNUMBER(Sync!$Q1362),Sync!$Q1362&gt;=0,Sync!$Q1362&lt;1),RIGHT("00"&amp;HOUR(Sync!$Q1362),2)&amp;RIGHT("00"&amp;MINUTE(Sync!$Q1362),2),IFERROR(RIGHT("00"&amp;VALUE(LEFT(Sync!$Q1362,FIND(":",Sync!$Q1362)-1)),2)&amp;RIGHT("00"&amp;VALUE(MID(Sync!$Q1362,FIND(":",Sync!$Q1362)+1,2)),2),"0000"))))</f>
        <v/>
      </c>
      <c r="AK1362">
        <f>IF(OR($AE1362="",$AI1362="",$AI1362="نامعتبر"),"",LEFT($AI1362,4)&amp;MID($AI1362,6,2)&amp;RIGHT($AI1362,2)&amp;$AJ1362&amp;"|"&amp;"3"&amp;RIGHT("00000"&amp;1357,5))</f>
        <v/>
      </c>
      <c r="AL1362">
        <f>IF($AK1362="","",COUNTIFS(LdAParty,$AE1362,LdAType,1,LdAKey,"&lt;"&amp;$AK1362)+COUNTIFS(LdBMember,$AE1362,LdBKey,"&lt;"&amp;$AK1362)+COUNTIFS(LdCParty,$AE1362,LdCKey,"&lt;"&amp;$AK1362)+1)</f>
        <v/>
      </c>
      <c r="AM1362">
        <f>IF($AL1362="","",$AE1362&amp;"|"&amp;RIGHT("000000"&amp;$AL1362,6))</f>
        <v/>
      </c>
      <c r="AN1362">
        <f>IF($AE1362="","",IF(Sync!$W1362="",0,Sync!$W1362))</f>
        <v/>
      </c>
      <c r="AO1362">
        <f>IF($AE1362="","",IF(Sync!$X1362="",0,Sync!$X1362))</f>
        <v/>
      </c>
      <c r="AP1362">
        <f>IF($AE1362="","",Sync!$R1362)</f>
        <v/>
      </c>
      <c r="AQ1362">
        <f>IF($AE1362="","",Sync!$Y1362)</f>
        <v/>
      </c>
    </row>
    <row r="1363">
      <c r="A1363">
        <f>IF(OR(Wages!$B1366="",Wages!$E1366=""),"",Wages!$E1366)</f>
        <v/>
      </c>
      <c r="B1363">
        <f>IF($A1363="","",IF(Wages!$C1366="دستمزد گروهی",2,1))</f>
        <v/>
      </c>
      <c r="C1363">
        <f>IF($A1363="","",IF(ISNUMBER(Wages!$B1366),IF(AND(Wages!$B1366&gt;=10000101,Wages!$B1366&lt;=99991231),INT(Wages!$B1366/10000),""),IFERROR(VALUE(TRIM(LEFT(Wages!$B1366,FIND("/",Wages!$B1366)-1))),"")))</f>
        <v/>
      </c>
      <c r="D1363">
        <f>IF(OR($A1363="",$C1363=""),"",IF(ISNUMBER(Wages!$B1366),INT(MOD(Wages!$B1366,10000)/100),IFERROR(VALUE(TRIM(LEFT(MID(Wages!$B1366,FIND("/",Wages!$B1366)+1,20),FIND("/",MID(Wages!$B1366,FIND("/",Wages!$B1366)+1,20))-1))),"")))</f>
        <v/>
      </c>
      <c r="E1363">
        <f>IF(OR($A1363="",$C1363=""),"",IF(ISNUMBER(Wages!$B1366),MOD(Wages!$B1366,100),IFERROR(VALUE(TRIM(MID(MID(Wages!$B1366,FIND("/",Wages!$B1366)+1,20),FIND("/",MID(Wages!$B1366,FIND("/",Wages!$B1366)+1,20))+1,20))),"")))</f>
        <v/>
      </c>
      <c r="F1363">
        <f>IF($A1363="","",IF(OR($C1363="",$D1363="",$E1363="",$C1363&lt;1300,$C1363&gt;1500,$D1363&lt;1,$D1363&gt;12,$E1363&lt;1,$E1363&gt;31),"نامعتبر",RIGHT("0000"&amp;$C1363,4)&amp;"/"&amp;RIGHT("00"&amp;$D1363,2)&amp;"/"&amp;RIGHT("00"&amp;$E1363,2)))</f>
        <v/>
      </c>
      <c r="G1363">
        <f>IF(OR($A1363="",$F1363="",$F1363="نامعتبر"),"",LEFT($F1363,4)&amp;MID($F1363,6,2)&amp;RIGHT($F1363,2)&amp;"0000"&amp;"|"&amp;"1"&amp;RIGHT("00000"&amp;1358,5))</f>
        <v/>
      </c>
      <c r="H1363">
        <f>IF(OR($B1363&lt;&gt;1,$G1363=""),"",COUNTIFS(LdAParty,$A1363,LdAType,1,LdAKey,"&lt;"&amp;$G1363)+COUNTIFS(LdBMember,$A1363,LdBKey,"&lt;"&amp;$G1363)+COUNTIFS(LdCParty,$A1363,LdCKey,"&lt;"&amp;$G1363)+1)</f>
        <v/>
      </c>
      <c r="I1363">
        <f>IF($H1363="","",$A1363&amp;"|"&amp;RIGHT("000000"&amp;$H1363,6))</f>
        <v/>
      </c>
      <c r="J1363">
        <f>IF(OR($B1363&lt;&gt;2,$G1363=""),"",COUNTIFS(LdAParty,$A1363,LdAType,2,LdAKey,"&lt;"&amp;$G1363)+1)</f>
        <v/>
      </c>
      <c r="K1363">
        <f>IF($J1363="","",$A1363&amp;"|"&amp;RIGHT("000000"&amp;$J1363,6))</f>
        <v/>
      </c>
      <c r="L1363">
        <f>IF($A1363="","",IF(Wages!$G1366="",0,Wages!$G1366))</f>
        <v/>
      </c>
      <c r="M1363">
        <f>IF($A1363="","",Wages!$J1366)</f>
        <v/>
      </c>
      <c r="N1363">
        <f>IF($A1363="","",Wages!$D1366)</f>
        <v/>
      </c>
      <c r="P1363">
        <f>IF(OR(Shares!$B1366="",Shares!$C1366=""),"",Shares!$C1366)</f>
        <v/>
      </c>
      <c r="Q1363">
        <f>IF($P1363="","",Shares!$B1366)</f>
        <v/>
      </c>
      <c r="R1363">
        <f>IF($P1363="","",IFERROR(INDEX(WageParty,MATCH($Q1363,WageIds,0)),""))</f>
        <v/>
      </c>
      <c r="S1363">
        <f>IF($P1363="","",IFERROR(INDEX($F$6:$F$2005,MATCH($Q1363,WageIds,0)),""))</f>
        <v/>
      </c>
      <c r="T1363">
        <f>IF(OR($P1363="",$S1363="",$S1363="نامعتبر"),"",LEFT($S1363,4)&amp;MID($S1363,6,2)&amp;RIGHT($S1363,2)&amp;"0000"&amp;"|"&amp;"2"&amp;RIGHT("00000"&amp;1358,5))</f>
        <v/>
      </c>
      <c r="U1363">
        <f>IF($T1363="","",COUNTIFS(LdAParty,$P1363,LdAType,1,LdAKey,"&lt;"&amp;$T1363)+COUNTIFS(LdBMember,$P1363,LdBKey,"&lt;"&amp;$T1363)+COUNTIFS(LdCParty,$P1363,LdCKey,"&lt;"&amp;$T1363)+1)</f>
        <v/>
      </c>
      <c r="V1363">
        <f>IF($U1363="","",$P1363&amp;"|"&amp;RIGHT("000000"&amp;$U1363,6))</f>
        <v/>
      </c>
      <c r="W1363">
        <f>IF($T1363="","",COUNTIFS(LdBGroup,$R1363,LdBKey,"&lt;"&amp;$T1363)+1)</f>
        <v/>
      </c>
      <c r="X1363">
        <f>IF($W1363="","",$R1363&amp;"|"&amp;RIGHT("000000"&amp;$W1363,6))</f>
        <v/>
      </c>
      <c r="Y1363">
        <f>IF($P1363="","",IF(Shares!$E1366="",0,Shares!$E1366))</f>
        <v/>
      </c>
      <c r="Z1363">
        <f>IF($P1363="","",Shares!$H1366)</f>
        <v/>
      </c>
      <c r="AE1363">
        <f>IF(OR(Sync!$S1363="",Sync!$P1363=""),"",Sync!$S1363)</f>
        <v/>
      </c>
      <c r="AF1363">
        <f>IF($AE1363="","",IF(ISNUMBER(Sync!$P1363),IF(AND(Sync!$P1363&gt;=10000101,Sync!$P1363&lt;=99991231),INT(Sync!$P1363/10000),""),IFERROR(VALUE(TRIM(LEFT(Sync!$P1363,FIND("/",Sync!$P1363)-1))),"")))</f>
        <v/>
      </c>
      <c r="AG1363">
        <f>IF(OR($AE1363="",$AF1363=""),"",IF(ISNUMBER(Sync!$P1363),INT(MOD(Sync!$P1363,10000)/100),IFERROR(VALUE(TRIM(LEFT(MID(Sync!$P1363,FIND("/",Sync!$P1363)+1,20),FIND("/",MID(Sync!$P1363,FIND("/",Sync!$P1363)+1,20))-1))),"")))</f>
        <v/>
      </c>
      <c r="AH1363">
        <f>IF(OR($AE1363="",$AF1363=""),"",IF(ISNUMBER(Sync!$P1363),MOD(Sync!$P1363,100),IFERROR(VALUE(TRIM(MID(MID(Sync!$P1363,FIND("/",Sync!$P1363)+1,20),FIND("/",MID(Sync!$P1363,FIND("/",Sync!$P1363)+1,20))+1,20))),"")))</f>
        <v/>
      </c>
      <c r="AI1363">
        <f>IF($AE1363="","",IF(OR($AF1363="",$AG1363="",$AH1363="",$AF1363&lt;1300,$AF1363&gt;1500,$AG1363&lt;1,$AG1363&gt;12,$AH1363&lt;1,$AH1363&gt;31),"نامعتبر",RIGHT("0000"&amp;$AF1363,4)&amp;"/"&amp;RIGHT("00"&amp;$AG1363,2)&amp;"/"&amp;RIGHT("00"&amp;$AH1363,2)))</f>
        <v/>
      </c>
      <c r="AJ1363">
        <f>IF($AE1363="","",IF(Sync!$Q1363="","0000",IF(AND(ISNUMBER(Sync!$Q1363),Sync!$Q1363&gt;=0,Sync!$Q1363&lt;1),RIGHT("00"&amp;HOUR(Sync!$Q1363),2)&amp;RIGHT("00"&amp;MINUTE(Sync!$Q1363),2),IFERROR(RIGHT("00"&amp;VALUE(LEFT(Sync!$Q1363,FIND(":",Sync!$Q1363)-1)),2)&amp;RIGHT("00"&amp;VALUE(MID(Sync!$Q1363,FIND(":",Sync!$Q1363)+1,2)),2),"0000"))))</f>
        <v/>
      </c>
      <c r="AK1363">
        <f>IF(OR($AE1363="",$AI1363="",$AI1363="نامعتبر"),"",LEFT($AI1363,4)&amp;MID($AI1363,6,2)&amp;RIGHT($AI1363,2)&amp;$AJ1363&amp;"|"&amp;"3"&amp;RIGHT("00000"&amp;1358,5))</f>
        <v/>
      </c>
      <c r="AL1363">
        <f>IF($AK1363="","",COUNTIFS(LdAParty,$AE1363,LdAType,1,LdAKey,"&lt;"&amp;$AK1363)+COUNTIFS(LdBMember,$AE1363,LdBKey,"&lt;"&amp;$AK1363)+COUNTIFS(LdCParty,$AE1363,LdCKey,"&lt;"&amp;$AK1363)+1)</f>
        <v/>
      </c>
      <c r="AM1363">
        <f>IF($AL1363="","",$AE1363&amp;"|"&amp;RIGHT("000000"&amp;$AL1363,6))</f>
        <v/>
      </c>
      <c r="AN1363">
        <f>IF($AE1363="","",IF(Sync!$W1363="",0,Sync!$W1363))</f>
        <v/>
      </c>
      <c r="AO1363">
        <f>IF($AE1363="","",IF(Sync!$X1363="",0,Sync!$X1363))</f>
        <v/>
      </c>
      <c r="AP1363">
        <f>IF($AE1363="","",Sync!$R1363)</f>
        <v/>
      </c>
      <c r="AQ1363">
        <f>IF($AE1363="","",Sync!$Y1363)</f>
        <v/>
      </c>
    </row>
    <row r="1364">
      <c r="A1364">
        <f>IF(OR(Wages!$B1367="",Wages!$E1367=""),"",Wages!$E1367)</f>
        <v/>
      </c>
      <c r="B1364">
        <f>IF($A1364="","",IF(Wages!$C1367="دستمزد گروهی",2,1))</f>
        <v/>
      </c>
      <c r="C1364">
        <f>IF($A1364="","",IF(ISNUMBER(Wages!$B1367),IF(AND(Wages!$B1367&gt;=10000101,Wages!$B1367&lt;=99991231),INT(Wages!$B1367/10000),""),IFERROR(VALUE(TRIM(LEFT(Wages!$B1367,FIND("/",Wages!$B1367)-1))),"")))</f>
        <v/>
      </c>
      <c r="D1364">
        <f>IF(OR($A1364="",$C1364=""),"",IF(ISNUMBER(Wages!$B1367),INT(MOD(Wages!$B1367,10000)/100),IFERROR(VALUE(TRIM(LEFT(MID(Wages!$B1367,FIND("/",Wages!$B1367)+1,20),FIND("/",MID(Wages!$B1367,FIND("/",Wages!$B1367)+1,20))-1))),"")))</f>
        <v/>
      </c>
      <c r="E1364">
        <f>IF(OR($A1364="",$C1364=""),"",IF(ISNUMBER(Wages!$B1367),MOD(Wages!$B1367,100),IFERROR(VALUE(TRIM(MID(MID(Wages!$B1367,FIND("/",Wages!$B1367)+1,20),FIND("/",MID(Wages!$B1367,FIND("/",Wages!$B1367)+1,20))+1,20))),"")))</f>
        <v/>
      </c>
      <c r="F1364">
        <f>IF($A1364="","",IF(OR($C1364="",$D1364="",$E1364="",$C1364&lt;1300,$C1364&gt;1500,$D1364&lt;1,$D1364&gt;12,$E1364&lt;1,$E1364&gt;31),"نامعتبر",RIGHT("0000"&amp;$C1364,4)&amp;"/"&amp;RIGHT("00"&amp;$D1364,2)&amp;"/"&amp;RIGHT("00"&amp;$E1364,2)))</f>
        <v/>
      </c>
      <c r="G1364">
        <f>IF(OR($A1364="",$F1364="",$F1364="نامعتبر"),"",LEFT($F1364,4)&amp;MID($F1364,6,2)&amp;RIGHT($F1364,2)&amp;"0000"&amp;"|"&amp;"1"&amp;RIGHT("00000"&amp;1359,5))</f>
        <v/>
      </c>
      <c r="H1364">
        <f>IF(OR($B1364&lt;&gt;1,$G1364=""),"",COUNTIFS(LdAParty,$A1364,LdAType,1,LdAKey,"&lt;"&amp;$G1364)+COUNTIFS(LdBMember,$A1364,LdBKey,"&lt;"&amp;$G1364)+COUNTIFS(LdCParty,$A1364,LdCKey,"&lt;"&amp;$G1364)+1)</f>
        <v/>
      </c>
      <c r="I1364">
        <f>IF($H1364="","",$A1364&amp;"|"&amp;RIGHT("000000"&amp;$H1364,6))</f>
        <v/>
      </c>
      <c r="J1364">
        <f>IF(OR($B1364&lt;&gt;2,$G1364=""),"",COUNTIFS(LdAParty,$A1364,LdAType,2,LdAKey,"&lt;"&amp;$G1364)+1)</f>
        <v/>
      </c>
      <c r="K1364">
        <f>IF($J1364="","",$A1364&amp;"|"&amp;RIGHT("000000"&amp;$J1364,6))</f>
        <v/>
      </c>
      <c r="L1364">
        <f>IF($A1364="","",IF(Wages!$G1367="",0,Wages!$G1367))</f>
        <v/>
      </c>
      <c r="M1364">
        <f>IF($A1364="","",Wages!$J1367)</f>
        <v/>
      </c>
      <c r="N1364">
        <f>IF($A1364="","",Wages!$D1367)</f>
        <v/>
      </c>
      <c r="P1364">
        <f>IF(OR(Shares!$B1367="",Shares!$C1367=""),"",Shares!$C1367)</f>
        <v/>
      </c>
      <c r="Q1364">
        <f>IF($P1364="","",Shares!$B1367)</f>
        <v/>
      </c>
      <c r="R1364">
        <f>IF($P1364="","",IFERROR(INDEX(WageParty,MATCH($Q1364,WageIds,0)),""))</f>
        <v/>
      </c>
      <c r="S1364">
        <f>IF($P1364="","",IFERROR(INDEX($F$6:$F$2005,MATCH($Q1364,WageIds,0)),""))</f>
        <v/>
      </c>
      <c r="T1364">
        <f>IF(OR($P1364="",$S1364="",$S1364="نامعتبر"),"",LEFT($S1364,4)&amp;MID($S1364,6,2)&amp;RIGHT($S1364,2)&amp;"0000"&amp;"|"&amp;"2"&amp;RIGHT("00000"&amp;1359,5))</f>
        <v/>
      </c>
      <c r="U1364">
        <f>IF($T1364="","",COUNTIFS(LdAParty,$P1364,LdAType,1,LdAKey,"&lt;"&amp;$T1364)+COUNTIFS(LdBMember,$P1364,LdBKey,"&lt;"&amp;$T1364)+COUNTIFS(LdCParty,$P1364,LdCKey,"&lt;"&amp;$T1364)+1)</f>
        <v/>
      </c>
      <c r="V1364">
        <f>IF($U1364="","",$P1364&amp;"|"&amp;RIGHT("000000"&amp;$U1364,6))</f>
        <v/>
      </c>
      <c r="W1364">
        <f>IF($T1364="","",COUNTIFS(LdBGroup,$R1364,LdBKey,"&lt;"&amp;$T1364)+1)</f>
        <v/>
      </c>
      <c r="X1364">
        <f>IF($W1364="","",$R1364&amp;"|"&amp;RIGHT("000000"&amp;$W1364,6))</f>
        <v/>
      </c>
      <c r="Y1364">
        <f>IF($P1364="","",IF(Shares!$E1367="",0,Shares!$E1367))</f>
        <v/>
      </c>
      <c r="Z1364">
        <f>IF($P1364="","",Shares!$H1367)</f>
        <v/>
      </c>
      <c r="AE1364">
        <f>IF(OR(Sync!$S1364="",Sync!$P1364=""),"",Sync!$S1364)</f>
        <v/>
      </c>
      <c r="AF1364">
        <f>IF($AE1364="","",IF(ISNUMBER(Sync!$P1364),IF(AND(Sync!$P1364&gt;=10000101,Sync!$P1364&lt;=99991231),INT(Sync!$P1364/10000),""),IFERROR(VALUE(TRIM(LEFT(Sync!$P1364,FIND("/",Sync!$P1364)-1))),"")))</f>
        <v/>
      </c>
      <c r="AG1364">
        <f>IF(OR($AE1364="",$AF1364=""),"",IF(ISNUMBER(Sync!$P1364),INT(MOD(Sync!$P1364,10000)/100),IFERROR(VALUE(TRIM(LEFT(MID(Sync!$P1364,FIND("/",Sync!$P1364)+1,20),FIND("/",MID(Sync!$P1364,FIND("/",Sync!$P1364)+1,20))-1))),"")))</f>
        <v/>
      </c>
      <c r="AH1364">
        <f>IF(OR($AE1364="",$AF1364=""),"",IF(ISNUMBER(Sync!$P1364),MOD(Sync!$P1364,100),IFERROR(VALUE(TRIM(MID(MID(Sync!$P1364,FIND("/",Sync!$P1364)+1,20),FIND("/",MID(Sync!$P1364,FIND("/",Sync!$P1364)+1,20))+1,20))),"")))</f>
        <v/>
      </c>
      <c r="AI1364">
        <f>IF($AE1364="","",IF(OR($AF1364="",$AG1364="",$AH1364="",$AF1364&lt;1300,$AF1364&gt;1500,$AG1364&lt;1,$AG1364&gt;12,$AH1364&lt;1,$AH1364&gt;31),"نامعتبر",RIGHT("0000"&amp;$AF1364,4)&amp;"/"&amp;RIGHT("00"&amp;$AG1364,2)&amp;"/"&amp;RIGHT("00"&amp;$AH1364,2)))</f>
        <v/>
      </c>
      <c r="AJ1364">
        <f>IF($AE1364="","",IF(Sync!$Q1364="","0000",IF(AND(ISNUMBER(Sync!$Q1364),Sync!$Q1364&gt;=0,Sync!$Q1364&lt;1),RIGHT("00"&amp;HOUR(Sync!$Q1364),2)&amp;RIGHT("00"&amp;MINUTE(Sync!$Q1364),2),IFERROR(RIGHT("00"&amp;VALUE(LEFT(Sync!$Q1364,FIND(":",Sync!$Q1364)-1)),2)&amp;RIGHT("00"&amp;VALUE(MID(Sync!$Q1364,FIND(":",Sync!$Q1364)+1,2)),2),"0000"))))</f>
        <v/>
      </c>
      <c r="AK1364">
        <f>IF(OR($AE1364="",$AI1364="",$AI1364="نامعتبر"),"",LEFT($AI1364,4)&amp;MID($AI1364,6,2)&amp;RIGHT($AI1364,2)&amp;$AJ1364&amp;"|"&amp;"3"&amp;RIGHT("00000"&amp;1359,5))</f>
        <v/>
      </c>
      <c r="AL1364">
        <f>IF($AK1364="","",COUNTIFS(LdAParty,$AE1364,LdAType,1,LdAKey,"&lt;"&amp;$AK1364)+COUNTIFS(LdBMember,$AE1364,LdBKey,"&lt;"&amp;$AK1364)+COUNTIFS(LdCParty,$AE1364,LdCKey,"&lt;"&amp;$AK1364)+1)</f>
        <v/>
      </c>
      <c r="AM1364">
        <f>IF($AL1364="","",$AE1364&amp;"|"&amp;RIGHT("000000"&amp;$AL1364,6))</f>
        <v/>
      </c>
      <c r="AN1364">
        <f>IF($AE1364="","",IF(Sync!$W1364="",0,Sync!$W1364))</f>
        <v/>
      </c>
      <c r="AO1364">
        <f>IF($AE1364="","",IF(Sync!$X1364="",0,Sync!$X1364))</f>
        <v/>
      </c>
      <c r="AP1364">
        <f>IF($AE1364="","",Sync!$R1364)</f>
        <v/>
      </c>
      <c r="AQ1364">
        <f>IF($AE1364="","",Sync!$Y1364)</f>
        <v/>
      </c>
    </row>
    <row r="1365">
      <c r="A1365">
        <f>IF(OR(Wages!$B1368="",Wages!$E1368=""),"",Wages!$E1368)</f>
        <v/>
      </c>
      <c r="B1365">
        <f>IF($A1365="","",IF(Wages!$C1368="دستمزد گروهی",2,1))</f>
        <v/>
      </c>
      <c r="C1365">
        <f>IF($A1365="","",IF(ISNUMBER(Wages!$B1368),IF(AND(Wages!$B1368&gt;=10000101,Wages!$B1368&lt;=99991231),INT(Wages!$B1368/10000),""),IFERROR(VALUE(TRIM(LEFT(Wages!$B1368,FIND("/",Wages!$B1368)-1))),"")))</f>
        <v/>
      </c>
      <c r="D1365">
        <f>IF(OR($A1365="",$C1365=""),"",IF(ISNUMBER(Wages!$B1368),INT(MOD(Wages!$B1368,10000)/100),IFERROR(VALUE(TRIM(LEFT(MID(Wages!$B1368,FIND("/",Wages!$B1368)+1,20),FIND("/",MID(Wages!$B1368,FIND("/",Wages!$B1368)+1,20))-1))),"")))</f>
        <v/>
      </c>
      <c r="E1365">
        <f>IF(OR($A1365="",$C1365=""),"",IF(ISNUMBER(Wages!$B1368),MOD(Wages!$B1368,100),IFERROR(VALUE(TRIM(MID(MID(Wages!$B1368,FIND("/",Wages!$B1368)+1,20),FIND("/",MID(Wages!$B1368,FIND("/",Wages!$B1368)+1,20))+1,20))),"")))</f>
        <v/>
      </c>
      <c r="F1365">
        <f>IF($A1365="","",IF(OR($C1365="",$D1365="",$E1365="",$C1365&lt;1300,$C1365&gt;1500,$D1365&lt;1,$D1365&gt;12,$E1365&lt;1,$E1365&gt;31),"نامعتبر",RIGHT("0000"&amp;$C1365,4)&amp;"/"&amp;RIGHT("00"&amp;$D1365,2)&amp;"/"&amp;RIGHT("00"&amp;$E1365,2)))</f>
        <v/>
      </c>
      <c r="G1365">
        <f>IF(OR($A1365="",$F1365="",$F1365="نامعتبر"),"",LEFT($F1365,4)&amp;MID($F1365,6,2)&amp;RIGHT($F1365,2)&amp;"0000"&amp;"|"&amp;"1"&amp;RIGHT("00000"&amp;1360,5))</f>
        <v/>
      </c>
      <c r="H1365">
        <f>IF(OR($B1365&lt;&gt;1,$G1365=""),"",COUNTIFS(LdAParty,$A1365,LdAType,1,LdAKey,"&lt;"&amp;$G1365)+COUNTIFS(LdBMember,$A1365,LdBKey,"&lt;"&amp;$G1365)+COUNTIFS(LdCParty,$A1365,LdCKey,"&lt;"&amp;$G1365)+1)</f>
        <v/>
      </c>
      <c r="I1365">
        <f>IF($H1365="","",$A1365&amp;"|"&amp;RIGHT("000000"&amp;$H1365,6))</f>
        <v/>
      </c>
      <c r="J1365">
        <f>IF(OR($B1365&lt;&gt;2,$G1365=""),"",COUNTIFS(LdAParty,$A1365,LdAType,2,LdAKey,"&lt;"&amp;$G1365)+1)</f>
        <v/>
      </c>
      <c r="K1365">
        <f>IF($J1365="","",$A1365&amp;"|"&amp;RIGHT("000000"&amp;$J1365,6))</f>
        <v/>
      </c>
      <c r="L1365">
        <f>IF($A1365="","",IF(Wages!$G1368="",0,Wages!$G1368))</f>
        <v/>
      </c>
      <c r="M1365">
        <f>IF($A1365="","",Wages!$J1368)</f>
        <v/>
      </c>
      <c r="N1365">
        <f>IF($A1365="","",Wages!$D1368)</f>
        <v/>
      </c>
      <c r="P1365">
        <f>IF(OR(Shares!$B1368="",Shares!$C1368=""),"",Shares!$C1368)</f>
        <v/>
      </c>
      <c r="Q1365">
        <f>IF($P1365="","",Shares!$B1368)</f>
        <v/>
      </c>
      <c r="R1365">
        <f>IF($P1365="","",IFERROR(INDEX(WageParty,MATCH($Q1365,WageIds,0)),""))</f>
        <v/>
      </c>
      <c r="S1365">
        <f>IF($P1365="","",IFERROR(INDEX($F$6:$F$2005,MATCH($Q1365,WageIds,0)),""))</f>
        <v/>
      </c>
      <c r="T1365">
        <f>IF(OR($P1365="",$S1365="",$S1365="نامعتبر"),"",LEFT($S1365,4)&amp;MID($S1365,6,2)&amp;RIGHT($S1365,2)&amp;"0000"&amp;"|"&amp;"2"&amp;RIGHT("00000"&amp;1360,5))</f>
        <v/>
      </c>
      <c r="U1365">
        <f>IF($T1365="","",COUNTIFS(LdAParty,$P1365,LdAType,1,LdAKey,"&lt;"&amp;$T1365)+COUNTIFS(LdBMember,$P1365,LdBKey,"&lt;"&amp;$T1365)+COUNTIFS(LdCParty,$P1365,LdCKey,"&lt;"&amp;$T1365)+1)</f>
        <v/>
      </c>
      <c r="V1365">
        <f>IF($U1365="","",$P1365&amp;"|"&amp;RIGHT("000000"&amp;$U1365,6))</f>
        <v/>
      </c>
      <c r="W1365">
        <f>IF($T1365="","",COUNTIFS(LdBGroup,$R1365,LdBKey,"&lt;"&amp;$T1365)+1)</f>
        <v/>
      </c>
      <c r="X1365">
        <f>IF($W1365="","",$R1365&amp;"|"&amp;RIGHT("000000"&amp;$W1365,6))</f>
        <v/>
      </c>
      <c r="Y1365">
        <f>IF($P1365="","",IF(Shares!$E1368="",0,Shares!$E1368))</f>
        <v/>
      </c>
      <c r="Z1365">
        <f>IF($P1365="","",Shares!$H1368)</f>
        <v/>
      </c>
      <c r="AE1365">
        <f>IF(OR(Sync!$S1365="",Sync!$P1365=""),"",Sync!$S1365)</f>
        <v/>
      </c>
      <c r="AF1365">
        <f>IF($AE1365="","",IF(ISNUMBER(Sync!$P1365),IF(AND(Sync!$P1365&gt;=10000101,Sync!$P1365&lt;=99991231),INT(Sync!$P1365/10000),""),IFERROR(VALUE(TRIM(LEFT(Sync!$P1365,FIND("/",Sync!$P1365)-1))),"")))</f>
        <v/>
      </c>
      <c r="AG1365">
        <f>IF(OR($AE1365="",$AF1365=""),"",IF(ISNUMBER(Sync!$P1365),INT(MOD(Sync!$P1365,10000)/100),IFERROR(VALUE(TRIM(LEFT(MID(Sync!$P1365,FIND("/",Sync!$P1365)+1,20),FIND("/",MID(Sync!$P1365,FIND("/",Sync!$P1365)+1,20))-1))),"")))</f>
        <v/>
      </c>
      <c r="AH1365">
        <f>IF(OR($AE1365="",$AF1365=""),"",IF(ISNUMBER(Sync!$P1365),MOD(Sync!$P1365,100),IFERROR(VALUE(TRIM(MID(MID(Sync!$P1365,FIND("/",Sync!$P1365)+1,20),FIND("/",MID(Sync!$P1365,FIND("/",Sync!$P1365)+1,20))+1,20))),"")))</f>
        <v/>
      </c>
      <c r="AI1365">
        <f>IF($AE1365="","",IF(OR($AF1365="",$AG1365="",$AH1365="",$AF1365&lt;1300,$AF1365&gt;1500,$AG1365&lt;1,$AG1365&gt;12,$AH1365&lt;1,$AH1365&gt;31),"نامعتبر",RIGHT("0000"&amp;$AF1365,4)&amp;"/"&amp;RIGHT("00"&amp;$AG1365,2)&amp;"/"&amp;RIGHT("00"&amp;$AH1365,2)))</f>
        <v/>
      </c>
      <c r="AJ1365">
        <f>IF($AE1365="","",IF(Sync!$Q1365="","0000",IF(AND(ISNUMBER(Sync!$Q1365),Sync!$Q1365&gt;=0,Sync!$Q1365&lt;1),RIGHT("00"&amp;HOUR(Sync!$Q1365),2)&amp;RIGHT("00"&amp;MINUTE(Sync!$Q1365),2),IFERROR(RIGHT("00"&amp;VALUE(LEFT(Sync!$Q1365,FIND(":",Sync!$Q1365)-1)),2)&amp;RIGHT("00"&amp;VALUE(MID(Sync!$Q1365,FIND(":",Sync!$Q1365)+1,2)),2),"0000"))))</f>
        <v/>
      </c>
      <c r="AK1365">
        <f>IF(OR($AE1365="",$AI1365="",$AI1365="نامعتبر"),"",LEFT($AI1365,4)&amp;MID($AI1365,6,2)&amp;RIGHT($AI1365,2)&amp;$AJ1365&amp;"|"&amp;"3"&amp;RIGHT("00000"&amp;1360,5))</f>
        <v/>
      </c>
      <c r="AL1365">
        <f>IF($AK1365="","",COUNTIFS(LdAParty,$AE1365,LdAType,1,LdAKey,"&lt;"&amp;$AK1365)+COUNTIFS(LdBMember,$AE1365,LdBKey,"&lt;"&amp;$AK1365)+COUNTIFS(LdCParty,$AE1365,LdCKey,"&lt;"&amp;$AK1365)+1)</f>
        <v/>
      </c>
      <c r="AM1365">
        <f>IF($AL1365="","",$AE1365&amp;"|"&amp;RIGHT("000000"&amp;$AL1365,6))</f>
        <v/>
      </c>
      <c r="AN1365">
        <f>IF($AE1365="","",IF(Sync!$W1365="",0,Sync!$W1365))</f>
        <v/>
      </c>
      <c r="AO1365">
        <f>IF($AE1365="","",IF(Sync!$X1365="",0,Sync!$X1365))</f>
        <v/>
      </c>
      <c r="AP1365">
        <f>IF($AE1365="","",Sync!$R1365)</f>
        <v/>
      </c>
      <c r="AQ1365">
        <f>IF($AE1365="","",Sync!$Y1365)</f>
        <v/>
      </c>
    </row>
    <row r="1366">
      <c r="A1366">
        <f>IF(OR(Wages!$B1369="",Wages!$E1369=""),"",Wages!$E1369)</f>
        <v/>
      </c>
      <c r="B1366">
        <f>IF($A1366="","",IF(Wages!$C1369="دستمزد گروهی",2,1))</f>
        <v/>
      </c>
      <c r="C1366">
        <f>IF($A1366="","",IF(ISNUMBER(Wages!$B1369),IF(AND(Wages!$B1369&gt;=10000101,Wages!$B1369&lt;=99991231),INT(Wages!$B1369/10000),""),IFERROR(VALUE(TRIM(LEFT(Wages!$B1369,FIND("/",Wages!$B1369)-1))),"")))</f>
        <v/>
      </c>
      <c r="D1366">
        <f>IF(OR($A1366="",$C1366=""),"",IF(ISNUMBER(Wages!$B1369),INT(MOD(Wages!$B1369,10000)/100),IFERROR(VALUE(TRIM(LEFT(MID(Wages!$B1369,FIND("/",Wages!$B1369)+1,20),FIND("/",MID(Wages!$B1369,FIND("/",Wages!$B1369)+1,20))-1))),"")))</f>
        <v/>
      </c>
      <c r="E1366">
        <f>IF(OR($A1366="",$C1366=""),"",IF(ISNUMBER(Wages!$B1369),MOD(Wages!$B1369,100),IFERROR(VALUE(TRIM(MID(MID(Wages!$B1369,FIND("/",Wages!$B1369)+1,20),FIND("/",MID(Wages!$B1369,FIND("/",Wages!$B1369)+1,20))+1,20))),"")))</f>
        <v/>
      </c>
      <c r="F1366">
        <f>IF($A1366="","",IF(OR($C1366="",$D1366="",$E1366="",$C1366&lt;1300,$C1366&gt;1500,$D1366&lt;1,$D1366&gt;12,$E1366&lt;1,$E1366&gt;31),"نامعتبر",RIGHT("0000"&amp;$C1366,4)&amp;"/"&amp;RIGHT("00"&amp;$D1366,2)&amp;"/"&amp;RIGHT("00"&amp;$E1366,2)))</f>
        <v/>
      </c>
      <c r="G1366">
        <f>IF(OR($A1366="",$F1366="",$F1366="نامعتبر"),"",LEFT($F1366,4)&amp;MID($F1366,6,2)&amp;RIGHT($F1366,2)&amp;"0000"&amp;"|"&amp;"1"&amp;RIGHT("00000"&amp;1361,5))</f>
        <v/>
      </c>
      <c r="H1366">
        <f>IF(OR($B1366&lt;&gt;1,$G1366=""),"",COUNTIFS(LdAParty,$A1366,LdAType,1,LdAKey,"&lt;"&amp;$G1366)+COUNTIFS(LdBMember,$A1366,LdBKey,"&lt;"&amp;$G1366)+COUNTIFS(LdCParty,$A1366,LdCKey,"&lt;"&amp;$G1366)+1)</f>
        <v/>
      </c>
      <c r="I1366">
        <f>IF($H1366="","",$A1366&amp;"|"&amp;RIGHT("000000"&amp;$H1366,6))</f>
        <v/>
      </c>
      <c r="J1366">
        <f>IF(OR($B1366&lt;&gt;2,$G1366=""),"",COUNTIFS(LdAParty,$A1366,LdAType,2,LdAKey,"&lt;"&amp;$G1366)+1)</f>
        <v/>
      </c>
      <c r="K1366">
        <f>IF($J1366="","",$A1366&amp;"|"&amp;RIGHT("000000"&amp;$J1366,6))</f>
        <v/>
      </c>
      <c r="L1366">
        <f>IF($A1366="","",IF(Wages!$G1369="",0,Wages!$G1369))</f>
        <v/>
      </c>
      <c r="M1366">
        <f>IF($A1366="","",Wages!$J1369)</f>
        <v/>
      </c>
      <c r="N1366">
        <f>IF($A1366="","",Wages!$D1369)</f>
        <v/>
      </c>
      <c r="P1366">
        <f>IF(OR(Shares!$B1369="",Shares!$C1369=""),"",Shares!$C1369)</f>
        <v/>
      </c>
      <c r="Q1366">
        <f>IF($P1366="","",Shares!$B1369)</f>
        <v/>
      </c>
      <c r="R1366">
        <f>IF($P1366="","",IFERROR(INDEX(WageParty,MATCH($Q1366,WageIds,0)),""))</f>
        <v/>
      </c>
      <c r="S1366">
        <f>IF($P1366="","",IFERROR(INDEX($F$6:$F$2005,MATCH($Q1366,WageIds,0)),""))</f>
        <v/>
      </c>
      <c r="T1366">
        <f>IF(OR($P1366="",$S1366="",$S1366="نامعتبر"),"",LEFT($S1366,4)&amp;MID($S1366,6,2)&amp;RIGHT($S1366,2)&amp;"0000"&amp;"|"&amp;"2"&amp;RIGHT("00000"&amp;1361,5))</f>
        <v/>
      </c>
      <c r="U1366">
        <f>IF($T1366="","",COUNTIFS(LdAParty,$P1366,LdAType,1,LdAKey,"&lt;"&amp;$T1366)+COUNTIFS(LdBMember,$P1366,LdBKey,"&lt;"&amp;$T1366)+COUNTIFS(LdCParty,$P1366,LdCKey,"&lt;"&amp;$T1366)+1)</f>
        <v/>
      </c>
      <c r="V1366">
        <f>IF($U1366="","",$P1366&amp;"|"&amp;RIGHT("000000"&amp;$U1366,6))</f>
        <v/>
      </c>
      <c r="W1366">
        <f>IF($T1366="","",COUNTIFS(LdBGroup,$R1366,LdBKey,"&lt;"&amp;$T1366)+1)</f>
        <v/>
      </c>
      <c r="X1366">
        <f>IF($W1366="","",$R1366&amp;"|"&amp;RIGHT("000000"&amp;$W1366,6))</f>
        <v/>
      </c>
      <c r="Y1366">
        <f>IF($P1366="","",IF(Shares!$E1369="",0,Shares!$E1369))</f>
        <v/>
      </c>
      <c r="Z1366">
        <f>IF($P1366="","",Shares!$H1369)</f>
        <v/>
      </c>
      <c r="AE1366">
        <f>IF(OR(Sync!$S1366="",Sync!$P1366=""),"",Sync!$S1366)</f>
        <v/>
      </c>
      <c r="AF1366">
        <f>IF($AE1366="","",IF(ISNUMBER(Sync!$P1366),IF(AND(Sync!$P1366&gt;=10000101,Sync!$P1366&lt;=99991231),INT(Sync!$P1366/10000),""),IFERROR(VALUE(TRIM(LEFT(Sync!$P1366,FIND("/",Sync!$P1366)-1))),"")))</f>
        <v/>
      </c>
      <c r="AG1366">
        <f>IF(OR($AE1366="",$AF1366=""),"",IF(ISNUMBER(Sync!$P1366),INT(MOD(Sync!$P1366,10000)/100),IFERROR(VALUE(TRIM(LEFT(MID(Sync!$P1366,FIND("/",Sync!$P1366)+1,20),FIND("/",MID(Sync!$P1366,FIND("/",Sync!$P1366)+1,20))-1))),"")))</f>
        <v/>
      </c>
      <c r="AH1366">
        <f>IF(OR($AE1366="",$AF1366=""),"",IF(ISNUMBER(Sync!$P1366),MOD(Sync!$P1366,100),IFERROR(VALUE(TRIM(MID(MID(Sync!$P1366,FIND("/",Sync!$P1366)+1,20),FIND("/",MID(Sync!$P1366,FIND("/",Sync!$P1366)+1,20))+1,20))),"")))</f>
        <v/>
      </c>
      <c r="AI1366">
        <f>IF($AE1366="","",IF(OR($AF1366="",$AG1366="",$AH1366="",$AF1366&lt;1300,$AF1366&gt;1500,$AG1366&lt;1,$AG1366&gt;12,$AH1366&lt;1,$AH1366&gt;31),"نامعتبر",RIGHT("0000"&amp;$AF1366,4)&amp;"/"&amp;RIGHT("00"&amp;$AG1366,2)&amp;"/"&amp;RIGHT("00"&amp;$AH1366,2)))</f>
        <v/>
      </c>
      <c r="AJ1366">
        <f>IF($AE1366="","",IF(Sync!$Q1366="","0000",IF(AND(ISNUMBER(Sync!$Q1366),Sync!$Q1366&gt;=0,Sync!$Q1366&lt;1),RIGHT("00"&amp;HOUR(Sync!$Q1366),2)&amp;RIGHT("00"&amp;MINUTE(Sync!$Q1366),2),IFERROR(RIGHT("00"&amp;VALUE(LEFT(Sync!$Q1366,FIND(":",Sync!$Q1366)-1)),2)&amp;RIGHT("00"&amp;VALUE(MID(Sync!$Q1366,FIND(":",Sync!$Q1366)+1,2)),2),"0000"))))</f>
        <v/>
      </c>
      <c r="AK1366">
        <f>IF(OR($AE1366="",$AI1366="",$AI1366="نامعتبر"),"",LEFT($AI1366,4)&amp;MID($AI1366,6,2)&amp;RIGHT($AI1366,2)&amp;$AJ1366&amp;"|"&amp;"3"&amp;RIGHT("00000"&amp;1361,5))</f>
        <v/>
      </c>
      <c r="AL1366">
        <f>IF($AK1366="","",COUNTIFS(LdAParty,$AE1366,LdAType,1,LdAKey,"&lt;"&amp;$AK1366)+COUNTIFS(LdBMember,$AE1366,LdBKey,"&lt;"&amp;$AK1366)+COUNTIFS(LdCParty,$AE1366,LdCKey,"&lt;"&amp;$AK1366)+1)</f>
        <v/>
      </c>
      <c r="AM1366">
        <f>IF($AL1366="","",$AE1366&amp;"|"&amp;RIGHT("000000"&amp;$AL1366,6))</f>
        <v/>
      </c>
      <c r="AN1366">
        <f>IF($AE1366="","",IF(Sync!$W1366="",0,Sync!$W1366))</f>
        <v/>
      </c>
      <c r="AO1366">
        <f>IF($AE1366="","",IF(Sync!$X1366="",0,Sync!$X1366))</f>
        <v/>
      </c>
      <c r="AP1366">
        <f>IF($AE1366="","",Sync!$R1366)</f>
        <v/>
      </c>
      <c r="AQ1366">
        <f>IF($AE1366="","",Sync!$Y1366)</f>
        <v/>
      </c>
    </row>
    <row r="1367">
      <c r="A1367">
        <f>IF(OR(Wages!$B1370="",Wages!$E1370=""),"",Wages!$E1370)</f>
        <v/>
      </c>
      <c r="B1367">
        <f>IF($A1367="","",IF(Wages!$C1370="دستمزد گروهی",2,1))</f>
        <v/>
      </c>
      <c r="C1367">
        <f>IF($A1367="","",IF(ISNUMBER(Wages!$B1370),IF(AND(Wages!$B1370&gt;=10000101,Wages!$B1370&lt;=99991231),INT(Wages!$B1370/10000),""),IFERROR(VALUE(TRIM(LEFT(Wages!$B1370,FIND("/",Wages!$B1370)-1))),"")))</f>
        <v/>
      </c>
      <c r="D1367">
        <f>IF(OR($A1367="",$C1367=""),"",IF(ISNUMBER(Wages!$B1370),INT(MOD(Wages!$B1370,10000)/100),IFERROR(VALUE(TRIM(LEFT(MID(Wages!$B1370,FIND("/",Wages!$B1370)+1,20),FIND("/",MID(Wages!$B1370,FIND("/",Wages!$B1370)+1,20))-1))),"")))</f>
        <v/>
      </c>
      <c r="E1367">
        <f>IF(OR($A1367="",$C1367=""),"",IF(ISNUMBER(Wages!$B1370),MOD(Wages!$B1370,100),IFERROR(VALUE(TRIM(MID(MID(Wages!$B1370,FIND("/",Wages!$B1370)+1,20),FIND("/",MID(Wages!$B1370,FIND("/",Wages!$B1370)+1,20))+1,20))),"")))</f>
        <v/>
      </c>
      <c r="F1367">
        <f>IF($A1367="","",IF(OR($C1367="",$D1367="",$E1367="",$C1367&lt;1300,$C1367&gt;1500,$D1367&lt;1,$D1367&gt;12,$E1367&lt;1,$E1367&gt;31),"نامعتبر",RIGHT("0000"&amp;$C1367,4)&amp;"/"&amp;RIGHT("00"&amp;$D1367,2)&amp;"/"&amp;RIGHT("00"&amp;$E1367,2)))</f>
        <v/>
      </c>
      <c r="G1367">
        <f>IF(OR($A1367="",$F1367="",$F1367="نامعتبر"),"",LEFT($F1367,4)&amp;MID($F1367,6,2)&amp;RIGHT($F1367,2)&amp;"0000"&amp;"|"&amp;"1"&amp;RIGHT("00000"&amp;1362,5))</f>
        <v/>
      </c>
      <c r="H1367">
        <f>IF(OR($B1367&lt;&gt;1,$G1367=""),"",COUNTIFS(LdAParty,$A1367,LdAType,1,LdAKey,"&lt;"&amp;$G1367)+COUNTIFS(LdBMember,$A1367,LdBKey,"&lt;"&amp;$G1367)+COUNTIFS(LdCParty,$A1367,LdCKey,"&lt;"&amp;$G1367)+1)</f>
        <v/>
      </c>
      <c r="I1367">
        <f>IF($H1367="","",$A1367&amp;"|"&amp;RIGHT("000000"&amp;$H1367,6))</f>
        <v/>
      </c>
      <c r="J1367">
        <f>IF(OR($B1367&lt;&gt;2,$G1367=""),"",COUNTIFS(LdAParty,$A1367,LdAType,2,LdAKey,"&lt;"&amp;$G1367)+1)</f>
        <v/>
      </c>
      <c r="K1367">
        <f>IF($J1367="","",$A1367&amp;"|"&amp;RIGHT("000000"&amp;$J1367,6))</f>
        <v/>
      </c>
      <c r="L1367">
        <f>IF($A1367="","",IF(Wages!$G1370="",0,Wages!$G1370))</f>
        <v/>
      </c>
      <c r="M1367">
        <f>IF($A1367="","",Wages!$J1370)</f>
        <v/>
      </c>
      <c r="N1367">
        <f>IF($A1367="","",Wages!$D1370)</f>
        <v/>
      </c>
      <c r="P1367">
        <f>IF(OR(Shares!$B1370="",Shares!$C1370=""),"",Shares!$C1370)</f>
        <v/>
      </c>
      <c r="Q1367">
        <f>IF($P1367="","",Shares!$B1370)</f>
        <v/>
      </c>
      <c r="R1367">
        <f>IF($P1367="","",IFERROR(INDEX(WageParty,MATCH($Q1367,WageIds,0)),""))</f>
        <v/>
      </c>
      <c r="S1367">
        <f>IF($P1367="","",IFERROR(INDEX($F$6:$F$2005,MATCH($Q1367,WageIds,0)),""))</f>
        <v/>
      </c>
      <c r="T1367">
        <f>IF(OR($P1367="",$S1367="",$S1367="نامعتبر"),"",LEFT($S1367,4)&amp;MID($S1367,6,2)&amp;RIGHT($S1367,2)&amp;"0000"&amp;"|"&amp;"2"&amp;RIGHT("00000"&amp;1362,5))</f>
        <v/>
      </c>
      <c r="U1367">
        <f>IF($T1367="","",COUNTIFS(LdAParty,$P1367,LdAType,1,LdAKey,"&lt;"&amp;$T1367)+COUNTIFS(LdBMember,$P1367,LdBKey,"&lt;"&amp;$T1367)+COUNTIFS(LdCParty,$P1367,LdCKey,"&lt;"&amp;$T1367)+1)</f>
        <v/>
      </c>
      <c r="V1367">
        <f>IF($U1367="","",$P1367&amp;"|"&amp;RIGHT("000000"&amp;$U1367,6))</f>
        <v/>
      </c>
      <c r="W1367">
        <f>IF($T1367="","",COUNTIFS(LdBGroup,$R1367,LdBKey,"&lt;"&amp;$T1367)+1)</f>
        <v/>
      </c>
      <c r="X1367">
        <f>IF($W1367="","",$R1367&amp;"|"&amp;RIGHT("000000"&amp;$W1367,6))</f>
        <v/>
      </c>
      <c r="Y1367">
        <f>IF($P1367="","",IF(Shares!$E1370="",0,Shares!$E1370))</f>
        <v/>
      </c>
      <c r="Z1367">
        <f>IF($P1367="","",Shares!$H1370)</f>
        <v/>
      </c>
      <c r="AE1367">
        <f>IF(OR(Sync!$S1367="",Sync!$P1367=""),"",Sync!$S1367)</f>
        <v/>
      </c>
      <c r="AF1367">
        <f>IF($AE1367="","",IF(ISNUMBER(Sync!$P1367),IF(AND(Sync!$P1367&gt;=10000101,Sync!$P1367&lt;=99991231),INT(Sync!$P1367/10000),""),IFERROR(VALUE(TRIM(LEFT(Sync!$P1367,FIND("/",Sync!$P1367)-1))),"")))</f>
        <v/>
      </c>
      <c r="AG1367">
        <f>IF(OR($AE1367="",$AF1367=""),"",IF(ISNUMBER(Sync!$P1367),INT(MOD(Sync!$P1367,10000)/100),IFERROR(VALUE(TRIM(LEFT(MID(Sync!$P1367,FIND("/",Sync!$P1367)+1,20),FIND("/",MID(Sync!$P1367,FIND("/",Sync!$P1367)+1,20))-1))),"")))</f>
        <v/>
      </c>
      <c r="AH1367">
        <f>IF(OR($AE1367="",$AF1367=""),"",IF(ISNUMBER(Sync!$P1367),MOD(Sync!$P1367,100),IFERROR(VALUE(TRIM(MID(MID(Sync!$P1367,FIND("/",Sync!$P1367)+1,20),FIND("/",MID(Sync!$P1367,FIND("/",Sync!$P1367)+1,20))+1,20))),"")))</f>
        <v/>
      </c>
      <c r="AI1367">
        <f>IF($AE1367="","",IF(OR($AF1367="",$AG1367="",$AH1367="",$AF1367&lt;1300,$AF1367&gt;1500,$AG1367&lt;1,$AG1367&gt;12,$AH1367&lt;1,$AH1367&gt;31),"نامعتبر",RIGHT("0000"&amp;$AF1367,4)&amp;"/"&amp;RIGHT("00"&amp;$AG1367,2)&amp;"/"&amp;RIGHT("00"&amp;$AH1367,2)))</f>
        <v/>
      </c>
      <c r="AJ1367">
        <f>IF($AE1367="","",IF(Sync!$Q1367="","0000",IF(AND(ISNUMBER(Sync!$Q1367),Sync!$Q1367&gt;=0,Sync!$Q1367&lt;1),RIGHT("00"&amp;HOUR(Sync!$Q1367),2)&amp;RIGHT("00"&amp;MINUTE(Sync!$Q1367),2),IFERROR(RIGHT("00"&amp;VALUE(LEFT(Sync!$Q1367,FIND(":",Sync!$Q1367)-1)),2)&amp;RIGHT("00"&amp;VALUE(MID(Sync!$Q1367,FIND(":",Sync!$Q1367)+1,2)),2),"0000"))))</f>
        <v/>
      </c>
      <c r="AK1367">
        <f>IF(OR($AE1367="",$AI1367="",$AI1367="نامعتبر"),"",LEFT($AI1367,4)&amp;MID($AI1367,6,2)&amp;RIGHT($AI1367,2)&amp;$AJ1367&amp;"|"&amp;"3"&amp;RIGHT("00000"&amp;1362,5))</f>
        <v/>
      </c>
      <c r="AL1367">
        <f>IF($AK1367="","",COUNTIFS(LdAParty,$AE1367,LdAType,1,LdAKey,"&lt;"&amp;$AK1367)+COUNTIFS(LdBMember,$AE1367,LdBKey,"&lt;"&amp;$AK1367)+COUNTIFS(LdCParty,$AE1367,LdCKey,"&lt;"&amp;$AK1367)+1)</f>
        <v/>
      </c>
      <c r="AM1367">
        <f>IF($AL1367="","",$AE1367&amp;"|"&amp;RIGHT("000000"&amp;$AL1367,6))</f>
        <v/>
      </c>
      <c r="AN1367">
        <f>IF($AE1367="","",IF(Sync!$W1367="",0,Sync!$W1367))</f>
        <v/>
      </c>
      <c r="AO1367">
        <f>IF($AE1367="","",IF(Sync!$X1367="",0,Sync!$X1367))</f>
        <v/>
      </c>
      <c r="AP1367">
        <f>IF($AE1367="","",Sync!$R1367)</f>
        <v/>
      </c>
      <c r="AQ1367">
        <f>IF($AE1367="","",Sync!$Y1367)</f>
        <v/>
      </c>
    </row>
    <row r="1368">
      <c r="A1368">
        <f>IF(OR(Wages!$B1371="",Wages!$E1371=""),"",Wages!$E1371)</f>
        <v/>
      </c>
      <c r="B1368">
        <f>IF($A1368="","",IF(Wages!$C1371="دستمزد گروهی",2,1))</f>
        <v/>
      </c>
      <c r="C1368">
        <f>IF($A1368="","",IF(ISNUMBER(Wages!$B1371),IF(AND(Wages!$B1371&gt;=10000101,Wages!$B1371&lt;=99991231),INT(Wages!$B1371/10000),""),IFERROR(VALUE(TRIM(LEFT(Wages!$B1371,FIND("/",Wages!$B1371)-1))),"")))</f>
        <v/>
      </c>
      <c r="D1368">
        <f>IF(OR($A1368="",$C1368=""),"",IF(ISNUMBER(Wages!$B1371),INT(MOD(Wages!$B1371,10000)/100),IFERROR(VALUE(TRIM(LEFT(MID(Wages!$B1371,FIND("/",Wages!$B1371)+1,20),FIND("/",MID(Wages!$B1371,FIND("/",Wages!$B1371)+1,20))-1))),"")))</f>
        <v/>
      </c>
      <c r="E1368">
        <f>IF(OR($A1368="",$C1368=""),"",IF(ISNUMBER(Wages!$B1371),MOD(Wages!$B1371,100),IFERROR(VALUE(TRIM(MID(MID(Wages!$B1371,FIND("/",Wages!$B1371)+1,20),FIND("/",MID(Wages!$B1371,FIND("/",Wages!$B1371)+1,20))+1,20))),"")))</f>
        <v/>
      </c>
      <c r="F1368">
        <f>IF($A1368="","",IF(OR($C1368="",$D1368="",$E1368="",$C1368&lt;1300,$C1368&gt;1500,$D1368&lt;1,$D1368&gt;12,$E1368&lt;1,$E1368&gt;31),"نامعتبر",RIGHT("0000"&amp;$C1368,4)&amp;"/"&amp;RIGHT("00"&amp;$D1368,2)&amp;"/"&amp;RIGHT("00"&amp;$E1368,2)))</f>
        <v/>
      </c>
      <c r="G1368">
        <f>IF(OR($A1368="",$F1368="",$F1368="نامعتبر"),"",LEFT($F1368,4)&amp;MID($F1368,6,2)&amp;RIGHT($F1368,2)&amp;"0000"&amp;"|"&amp;"1"&amp;RIGHT("00000"&amp;1363,5))</f>
        <v/>
      </c>
      <c r="H1368">
        <f>IF(OR($B1368&lt;&gt;1,$G1368=""),"",COUNTIFS(LdAParty,$A1368,LdAType,1,LdAKey,"&lt;"&amp;$G1368)+COUNTIFS(LdBMember,$A1368,LdBKey,"&lt;"&amp;$G1368)+COUNTIFS(LdCParty,$A1368,LdCKey,"&lt;"&amp;$G1368)+1)</f>
        <v/>
      </c>
      <c r="I1368">
        <f>IF($H1368="","",$A1368&amp;"|"&amp;RIGHT("000000"&amp;$H1368,6))</f>
        <v/>
      </c>
      <c r="J1368">
        <f>IF(OR($B1368&lt;&gt;2,$G1368=""),"",COUNTIFS(LdAParty,$A1368,LdAType,2,LdAKey,"&lt;"&amp;$G1368)+1)</f>
        <v/>
      </c>
      <c r="K1368">
        <f>IF($J1368="","",$A1368&amp;"|"&amp;RIGHT("000000"&amp;$J1368,6))</f>
        <v/>
      </c>
      <c r="L1368">
        <f>IF($A1368="","",IF(Wages!$G1371="",0,Wages!$G1371))</f>
        <v/>
      </c>
      <c r="M1368">
        <f>IF($A1368="","",Wages!$J1371)</f>
        <v/>
      </c>
      <c r="N1368">
        <f>IF($A1368="","",Wages!$D1371)</f>
        <v/>
      </c>
      <c r="P1368">
        <f>IF(OR(Shares!$B1371="",Shares!$C1371=""),"",Shares!$C1371)</f>
        <v/>
      </c>
      <c r="Q1368">
        <f>IF($P1368="","",Shares!$B1371)</f>
        <v/>
      </c>
      <c r="R1368">
        <f>IF($P1368="","",IFERROR(INDEX(WageParty,MATCH($Q1368,WageIds,0)),""))</f>
        <v/>
      </c>
      <c r="S1368">
        <f>IF($P1368="","",IFERROR(INDEX($F$6:$F$2005,MATCH($Q1368,WageIds,0)),""))</f>
        <v/>
      </c>
      <c r="T1368">
        <f>IF(OR($P1368="",$S1368="",$S1368="نامعتبر"),"",LEFT($S1368,4)&amp;MID($S1368,6,2)&amp;RIGHT($S1368,2)&amp;"0000"&amp;"|"&amp;"2"&amp;RIGHT("00000"&amp;1363,5))</f>
        <v/>
      </c>
      <c r="U1368">
        <f>IF($T1368="","",COUNTIFS(LdAParty,$P1368,LdAType,1,LdAKey,"&lt;"&amp;$T1368)+COUNTIFS(LdBMember,$P1368,LdBKey,"&lt;"&amp;$T1368)+COUNTIFS(LdCParty,$P1368,LdCKey,"&lt;"&amp;$T1368)+1)</f>
        <v/>
      </c>
      <c r="V1368">
        <f>IF($U1368="","",$P1368&amp;"|"&amp;RIGHT("000000"&amp;$U1368,6))</f>
        <v/>
      </c>
      <c r="W1368">
        <f>IF($T1368="","",COUNTIFS(LdBGroup,$R1368,LdBKey,"&lt;"&amp;$T1368)+1)</f>
        <v/>
      </c>
      <c r="X1368">
        <f>IF($W1368="","",$R1368&amp;"|"&amp;RIGHT("000000"&amp;$W1368,6))</f>
        <v/>
      </c>
      <c r="Y1368">
        <f>IF($P1368="","",IF(Shares!$E1371="",0,Shares!$E1371))</f>
        <v/>
      </c>
      <c r="Z1368">
        <f>IF($P1368="","",Shares!$H1371)</f>
        <v/>
      </c>
      <c r="AE1368">
        <f>IF(OR(Sync!$S1368="",Sync!$P1368=""),"",Sync!$S1368)</f>
        <v/>
      </c>
      <c r="AF1368">
        <f>IF($AE1368="","",IF(ISNUMBER(Sync!$P1368),IF(AND(Sync!$P1368&gt;=10000101,Sync!$P1368&lt;=99991231),INT(Sync!$P1368/10000),""),IFERROR(VALUE(TRIM(LEFT(Sync!$P1368,FIND("/",Sync!$P1368)-1))),"")))</f>
        <v/>
      </c>
      <c r="AG1368">
        <f>IF(OR($AE1368="",$AF1368=""),"",IF(ISNUMBER(Sync!$P1368),INT(MOD(Sync!$P1368,10000)/100),IFERROR(VALUE(TRIM(LEFT(MID(Sync!$P1368,FIND("/",Sync!$P1368)+1,20),FIND("/",MID(Sync!$P1368,FIND("/",Sync!$P1368)+1,20))-1))),"")))</f>
        <v/>
      </c>
      <c r="AH1368">
        <f>IF(OR($AE1368="",$AF1368=""),"",IF(ISNUMBER(Sync!$P1368),MOD(Sync!$P1368,100),IFERROR(VALUE(TRIM(MID(MID(Sync!$P1368,FIND("/",Sync!$P1368)+1,20),FIND("/",MID(Sync!$P1368,FIND("/",Sync!$P1368)+1,20))+1,20))),"")))</f>
        <v/>
      </c>
      <c r="AI1368">
        <f>IF($AE1368="","",IF(OR($AF1368="",$AG1368="",$AH1368="",$AF1368&lt;1300,$AF1368&gt;1500,$AG1368&lt;1,$AG1368&gt;12,$AH1368&lt;1,$AH1368&gt;31),"نامعتبر",RIGHT("0000"&amp;$AF1368,4)&amp;"/"&amp;RIGHT("00"&amp;$AG1368,2)&amp;"/"&amp;RIGHT("00"&amp;$AH1368,2)))</f>
        <v/>
      </c>
      <c r="AJ1368">
        <f>IF($AE1368="","",IF(Sync!$Q1368="","0000",IF(AND(ISNUMBER(Sync!$Q1368),Sync!$Q1368&gt;=0,Sync!$Q1368&lt;1),RIGHT("00"&amp;HOUR(Sync!$Q1368),2)&amp;RIGHT("00"&amp;MINUTE(Sync!$Q1368),2),IFERROR(RIGHT("00"&amp;VALUE(LEFT(Sync!$Q1368,FIND(":",Sync!$Q1368)-1)),2)&amp;RIGHT("00"&amp;VALUE(MID(Sync!$Q1368,FIND(":",Sync!$Q1368)+1,2)),2),"0000"))))</f>
        <v/>
      </c>
      <c r="AK1368">
        <f>IF(OR($AE1368="",$AI1368="",$AI1368="نامعتبر"),"",LEFT($AI1368,4)&amp;MID($AI1368,6,2)&amp;RIGHT($AI1368,2)&amp;$AJ1368&amp;"|"&amp;"3"&amp;RIGHT("00000"&amp;1363,5))</f>
        <v/>
      </c>
      <c r="AL1368">
        <f>IF($AK1368="","",COUNTIFS(LdAParty,$AE1368,LdAType,1,LdAKey,"&lt;"&amp;$AK1368)+COUNTIFS(LdBMember,$AE1368,LdBKey,"&lt;"&amp;$AK1368)+COUNTIFS(LdCParty,$AE1368,LdCKey,"&lt;"&amp;$AK1368)+1)</f>
        <v/>
      </c>
      <c r="AM1368">
        <f>IF($AL1368="","",$AE1368&amp;"|"&amp;RIGHT("000000"&amp;$AL1368,6))</f>
        <v/>
      </c>
      <c r="AN1368">
        <f>IF($AE1368="","",IF(Sync!$W1368="",0,Sync!$W1368))</f>
        <v/>
      </c>
      <c r="AO1368">
        <f>IF($AE1368="","",IF(Sync!$X1368="",0,Sync!$X1368))</f>
        <v/>
      </c>
      <c r="AP1368">
        <f>IF($AE1368="","",Sync!$R1368)</f>
        <v/>
      </c>
      <c r="AQ1368">
        <f>IF($AE1368="","",Sync!$Y1368)</f>
        <v/>
      </c>
    </row>
    <row r="1369">
      <c r="A1369">
        <f>IF(OR(Wages!$B1372="",Wages!$E1372=""),"",Wages!$E1372)</f>
        <v/>
      </c>
      <c r="B1369">
        <f>IF($A1369="","",IF(Wages!$C1372="دستمزد گروهی",2,1))</f>
        <v/>
      </c>
      <c r="C1369">
        <f>IF($A1369="","",IF(ISNUMBER(Wages!$B1372),IF(AND(Wages!$B1372&gt;=10000101,Wages!$B1372&lt;=99991231),INT(Wages!$B1372/10000),""),IFERROR(VALUE(TRIM(LEFT(Wages!$B1372,FIND("/",Wages!$B1372)-1))),"")))</f>
        <v/>
      </c>
      <c r="D1369">
        <f>IF(OR($A1369="",$C1369=""),"",IF(ISNUMBER(Wages!$B1372),INT(MOD(Wages!$B1372,10000)/100),IFERROR(VALUE(TRIM(LEFT(MID(Wages!$B1372,FIND("/",Wages!$B1372)+1,20),FIND("/",MID(Wages!$B1372,FIND("/",Wages!$B1372)+1,20))-1))),"")))</f>
        <v/>
      </c>
      <c r="E1369">
        <f>IF(OR($A1369="",$C1369=""),"",IF(ISNUMBER(Wages!$B1372),MOD(Wages!$B1372,100),IFERROR(VALUE(TRIM(MID(MID(Wages!$B1372,FIND("/",Wages!$B1372)+1,20),FIND("/",MID(Wages!$B1372,FIND("/",Wages!$B1372)+1,20))+1,20))),"")))</f>
        <v/>
      </c>
      <c r="F1369">
        <f>IF($A1369="","",IF(OR($C1369="",$D1369="",$E1369="",$C1369&lt;1300,$C1369&gt;1500,$D1369&lt;1,$D1369&gt;12,$E1369&lt;1,$E1369&gt;31),"نامعتبر",RIGHT("0000"&amp;$C1369,4)&amp;"/"&amp;RIGHT("00"&amp;$D1369,2)&amp;"/"&amp;RIGHT("00"&amp;$E1369,2)))</f>
        <v/>
      </c>
      <c r="G1369">
        <f>IF(OR($A1369="",$F1369="",$F1369="نامعتبر"),"",LEFT($F1369,4)&amp;MID($F1369,6,2)&amp;RIGHT($F1369,2)&amp;"0000"&amp;"|"&amp;"1"&amp;RIGHT("00000"&amp;1364,5))</f>
        <v/>
      </c>
      <c r="H1369">
        <f>IF(OR($B1369&lt;&gt;1,$G1369=""),"",COUNTIFS(LdAParty,$A1369,LdAType,1,LdAKey,"&lt;"&amp;$G1369)+COUNTIFS(LdBMember,$A1369,LdBKey,"&lt;"&amp;$G1369)+COUNTIFS(LdCParty,$A1369,LdCKey,"&lt;"&amp;$G1369)+1)</f>
        <v/>
      </c>
      <c r="I1369">
        <f>IF($H1369="","",$A1369&amp;"|"&amp;RIGHT("000000"&amp;$H1369,6))</f>
        <v/>
      </c>
      <c r="J1369">
        <f>IF(OR($B1369&lt;&gt;2,$G1369=""),"",COUNTIFS(LdAParty,$A1369,LdAType,2,LdAKey,"&lt;"&amp;$G1369)+1)</f>
        <v/>
      </c>
      <c r="K1369">
        <f>IF($J1369="","",$A1369&amp;"|"&amp;RIGHT("000000"&amp;$J1369,6))</f>
        <v/>
      </c>
      <c r="L1369">
        <f>IF($A1369="","",IF(Wages!$G1372="",0,Wages!$G1372))</f>
        <v/>
      </c>
      <c r="M1369">
        <f>IF($A1369="","",Wages!$J1372)</f>
        <v/>
      </c>
      <c r="N1369">
        <f>IF($A1369="","",Wages!$D1372)</f>
        <v/>
      </c>
      <c r="P1369">
        <f>IF(OR(Shares!$B1372="",Shares!$C1372=""),"",Shares!$C1372)</f>
        <v/>
      </c>
      <c r="Q1369">
        <f>IF($P1369="","",Shares!$B1372)</f>
        <v/>
      </c>
      <c r="R1369">
        <f>IF($P1369="","",IFERROR(INDEX(WageParty,MATCH($Q1369,WageIds,0)),""))</f>
        <v/>
      </c>
      <c r="S1369">
        <f>IF($P1369="","",IFERROR(INDEX($F$6:$F$2005,MATCH($Q1369,WageIds,0)),""))</f>
        <v/>
      </c>
      <c r="T1369">
        <f>IF(OR($P1369="",$S1369="",$S1369="نامعتبر"),"",LEFT($S1369,4)&amp;MID($S1369,6,2)&amp;RIGHT($S1369,2)&amp;"0000"&amp;"|"&amp;"2"&amp;RIGHT("00000"&amp;1364,5))</f>
        <v/>
      </c>
      <c r="U1369">
        <f>IF($T1369="","",COUNTIFS(LdAParty,$P1369,LdAType,1,LdAKey,"&lt;"&amp;$T1369)+COUNTIFS(LdBMember,$P1369,LdBKey,"&lt;"&amp;$T1369)+COUNTIFS(LdCParty,$P1369,LdCKey,"&lt;"&amp;$T1369)+1)</f>
        <v/>
      </c>
      <c r="V1369">
        <f>IF($U1369="","",$P1369&amp;"|"&amp;RIGHT("000000"&amp;$U1369,6))</f>
        <v/>
      </c>
      <c r="W1369">
        <f>IF($T1369="","",COUNTIFS(LdBGroup,$R1369,LdBKey,"&lt;"&amp;$T1369)+1)</f>
        <v/>
      </c>
      <c r="X1369">
        <f>IF($W1369="","",$R1369&amp;"|"&amp;RIGHT("000000"&amp;$W1369,6))</f>
        <v/>
      </c>
      <c r="Y1369">
        <f>IF($P1369="","",IF(Shares!$E1372="",0,Shares!$E1372))</f>
        <v/>
      </c>
      <c r="Z1369">
        <f>IF($P1369="","",Shares!$H1372)</f>
        <v/>
      </c>
      <c r="AE1369">
        <f>IF(OR(Sync!$S1369="",Sync!$P1369=""),"",Sync!$S1369)</f>
        <v/>
      </c>
      <c r="AF1369">
        <f>IF($AE1369="","",IF(ISNUMBER(Sync!$P1369),IF(AND(Sync!$P1369&gt;=10000101,Sync!$P1369&lt;=99991231),INT(Sync!$P1369/10000),""),IFERROR(VALUE(TRIM(LEFT(Sync!$P1369,FIND("/",Sync!$P1369)-1))),"")))</f>
        <v/>
      </c>
      <c r="AG1369">
        <f>IF(OR($AE1369="",$AF1369=""),"",IF(ISNUMBER(Sync!$P1369),INT(MOD(Sync!$P1369,10000)/100),IFERROR(VALUE(TRIM(LEFT(MID(Sync!$P1369,FIND("/",Sync!$P1369)+1,20),FIND("/",MID(Sync!$P1369,FIND("/",Sync!$P1369)+1,20))-1))),"")))</f>
        <v/>
      </c>
      <c r="AH1369">
        <f>IF(OR($AE1369="",$AF1369=""),"",IF(ISNUMBER(Sync!$P1369),MOD(Sync!$P1369,100),IFERROR(VALUE(TRIM(MID(MID(Sync!$P1369,FIND("/",Sync!$P1369)+1,20),FIND("/",MID(Sync!$P1369,FIND("/",Sync!$P1369)+1,20))+1,20))),"")))</f>
        <v/>
      </c>
      <c r="AI1369">
        <f>IF($AE1369="","",IF(OR($AF1369="",$AG1369="",$AH1369="",$AF1369&lt;1300,$AF1369&gt;1500,$AG1369&lt;1,$AG1369&gt;12,$AH1369&lt;1,$AH1369&gt;31),"نامعتبر",RIGHT("0000"&amp;$AF1369,4)&amp;"/"&amp;RIGHT("00"&amp;$AG1369,2)&amp;"/"&amp;RIGHT("00"&amp;$AH1369,2)))</f>
        <v/>
      </c>
      <c r="AJ1369">
        <f>IF($AE1369="","",IF(Sync!$Q1369="","0000",IF(AND(ISNUMBER(Sync!$Q1369),Sync!$Q1369&gt;=0,Sync!$Q1369&lt;1),RIGHT("00"&amp;HOUR(Sync!$Q1369),2)&amp;RIGHT("00"&amp;MINUTE(Sync!$Q1369),2),IFERROR(RIGHT("00"&amp;VALUE(LEFT(Sync!$Q1369,FIND(":",Sync!$Q1369)-1)),2)&amp;RIGHT("00"&amp;VALUE(MID(Sync!$Q1369,FIND(":",Sync!$Q1369)+1,2)),2),"0000"))))</f>
        <v/>
      </c>
      <c r="AK1369">
        <f>IF(OR($AE1369="",$AI1369="",$AI1369="نامعتبر"),"",LEFT($AI1369,4)&amp;MID($AI1369,6,2)&amp;RIGHT($AI1369,2)&amp;$AJ1369&amp;"|"&amp;"3"&amp;RIGHT("00000"&amp;1364,5))</f>
        <v/>
      </c>
      <c r="AL1369">
        <f>IF($AK1369="","",COUNTIFS(LdAParty,$AE1369,LdAType,1,LdAKey,"&lt;"&amp;$AK1369)+COUNTIFS(LdBMember,$AE1369,LdBKey,"&lt;"&amp;$AK1369)+COUNTIFS(LdCParty,$AE1369,LdCKey,"&lt;"&amp;$AK1369)+1)</f>
        <v/>
      </c>
      <c r="AM1369">
        <f>IF($AL1369="","",$AE1369&amp;"|"&amp;RIGHT("000000"&amp;$AL1369,6))</f>
        <v/>
      </c>
      <c r="AN1369">
        <f>IF($AE1369="","",IF(Sync!$W1369="",0,Sync!$W1369))</f>
        <v/>
      </c>
      <c r="AO1369">
        <f>IF($AE1369="","",IF(Sync!$X1369="",0,Sync!$X1369))</f>
        <v/>
      </c>
      <c r="AP1369">
        <f>IF($AE1369="","",Sync!$R1369)</f>
        <v/>
      </c>
      <c r="AQ1369">
        <f>IF($AE1369="","",Sync!$Y1369)</f>
        <v/>
      </c>
    </row>
    <row r="1370">
      <c r="A1370">
        <f>IF(OR(Wages!$B1373="",Wages!$E1373=""),"",Wages!$E1373)</f>
        <v/>
      </c>
      <c r="B1370">
        <f>IF($A1370="","",IF(Wages!$C1373="دستمزد گروهی",2,1))</f>
        <v/>
      </c>
      <c r="C1370">
        <f>IF($A1370="","",IF(ISNUMBER(Wages!$B1373),IF(AND(Wages!$B1373&gt;=10000101,Wages!$B1373&lt;=99991231),INT(Wages!$B1373/10000),""),IFERROR(VALUE(TRIM(LEFT(Wages!$B1373,FIND("/",Wages!$B1373)-1))),"")))</f>
        <v/>
      </c>
      <c r="D1370">
        <f>IF(OR($A1370="",$C1370=""),"",IF(ISNUMBER(Wages!$B1373),INT(MOD(Wages!$B1373,10000)/100),IFERROR(VALUE(TRIM(LEFT(MID(Wages!$B1373,FIND("/",Wages!$B1373)+1,20),FIND("/",MID(Wages!$B1373,FIND("/",Wages!$B1373)+1,20))-1))),"")))</f>
        <v/>
      </c>
      <c r="E1370">
        <f>IF(OR($A1370="",$C1370=""),"",IF(ISNUMBER(Wages!$B1373),MOD(Wages!$B1373,100),IFERROR(VALUE(TRIM(MID(MID(Wages!$B1373,FIND("/",Wages!$B1373)+1,20),FIND("/",MID(Wages!$B1373,FIND("/",Wages!$B1373)+1,20))+1,20))),"")))</f>
        <v/>
      </c>
      <c r="F1370">
        <f>IF($A1370="","",IF(OR($C1370="",$D1370="",$E1370="",$C1370&lt;1300,$C1370&gt;1500,$D1370&lt;1,$D1370&gt;12,$E1370&lt;1,$E1370&gt;31),"نامعتبر",RIGHT("0000"&amp;$C1370,4)&amp;"/"&amp;RIGHT("00"&amp;$D1370,2)&amp;"/"&amp;RIGHT("00"&amp;$E1370,2)))</f>
        <v/>
      </c>
      <c r="G1370">
        <f>IF(OR($A1370="",$F1370="",$F1370="نامعتبر"),"",LEFT($F1370,4)&amp;MID($F1370,6,2)&amp;RIGHT($F1370,2)&amp;"0000"&amp;"|"&amp;"1"&amp;RIGHT("00000"&amp;1365,5))</f>
        <v/>
      </c>
      <c r="H1370">
        <f>IF(OR($B1370&lt;&gt;1,$G1370=""),"",COUNTIFS(LdAParty,$A1370,LdAType,1,LdAKey,"&lt;"&amp;$G1370)+COUNTIFS(LdBMember,$A1370,LdBKey,"&lt;"&amp;$G1370)+COUNTIFS(LdCParty,$A1370,LdCKey,"&lt;"&amp;$G1370)+1)</f>
        <v/>
      </c>
      <c r="I1370">
        <f>IF($H1370="","",$A1370&amp;"|"&amp;RIGHT("000000"&amp;$H1370,6))</f>
        <v/>
      </c>
      <c r="J1370">
        <f>IF(OR($B1370&lt;&gt;2,$G1370=""),"",COUNTIFS(LdAParty,$A1370,LdAType,2,LdAKey,"&lt;"&amp;$G1370)+1)</f>
        <v/>
      </c>
      <c r="K1370">
        <f>IF($J1370="","",$A1370&amp;"|"&amp;RIGHT("000000"&amp;$J1370,6))</f>
        <v/>
      </c>
      <c r="L1370">
        <f>IF($A1370="","",IF(Wages!$G1373="",0,Wages!$G1373))</f>
        <v/>
      </c>
      <c r="M1370">
        <f>IF($A1370="","",Wages!$J1373)</f>
        <v/>
      </c>
      <c r="N1370">
        <f>IF($A1370="","",Wages!$D1373)</f>
        <v/>
      </c>
      <c r="P1370">
        <f>IF(OR(Shares!$B1373="",Shares!$C1373=""),"",Shares!$C1373)</f>
        <v/>
      </c>
      <c r="Q1370">
        <f>IF($P1370="","",Shares!$B1373)</f>
        <v/>
      </c>
      <c r="R1370">
        <f>IF($P1370="","",IFERROR(INDEX(WageParty,MATCH($Q1370,WageIds,0)),""))</f>
        <v/>
      </c>
      <c r="S1370">
        <f>IF($P1370="","",IFERROR(INDEX($F$6:$F$2005,MATCH($Q1370,WageIds,0)),""))</f>
        <v/>
      </c>
      <c r="T1370">
        <f>IF(OR($P1370="",$S1370="",$S1370="نامعتبر"),"",LEFT($S1370,4)&amp;MID($S1370,6,2)&amp;RIGHT($S1370,2)&amp;"0000"&amp;"|"&amp;"2"&amp;RIGHT("00000"&amp;1365,5))</f>
        <v/>
      </c>
      <c r="U1370">
        <f>IF($T1370="","",COUNTIFS(LdAParty,$P1370,LdAType,1,LdAKey,"&lt;"&amp;$T1370)+COUNTIFS(LdBMember,$P1370,LdBKey,"&lt;"&amp;$T1370)+COUNTIFS(LdCParty,$P1370,LdCKey,"&lt;"&amp;$T1370)+1)</f>
        <v/>
      </c>
      <c r="V1370">
        <f>IF($U1370="","",$P1370&amp;"|"&amp;RIGHT("000000"&amp;$U1370,6))</f>
        <v/>
      </c>
      <c r="W1370">
        <f>IF($T1370="","",COUNTIFS(LdBGroup,$R1370,LdBKey,"&lt;"&amp;$T1370)+1)</f>
        <v/>
      </c>
      <c r="X1370">
        <f>IF($W1370="","",$R1370&amp;"|"&amp;RIGHT("000000"&amp;$W1370,6))</f>
        <v/>
      </c>
      <c r="Y1370">
        <f>IF($P1370="","",IF(Shares!$E1373="",0,Shares!$E1373))</f>
        <v/>
      </c>
      <c r="Z1370">
        <f>IF($P1370="","",Shares!$H1373)</f>
        <v/>
      </c>
      <c r="AE1370">
        <f>IF(OR(Sync!$S1370="",Sync!$P1370=""),"",Sync!$S1370)</f>
        <v/>
      </c>
      <c r="AF1370">
        <f>IF($AE1370="","",IF(ISNUMBER(Sync!$P1370),IF(AND(Sync!$P1370&gt;=10000101,Sync!$P1370&lt;=99991231),INT(Sync!$P1370/10000),""),IFERROR(VALUE(TRIM(LEFT(Sync!$P1370,FIND("/",Sync!$P1370)-1))),"")))</f>
        <v/>
      </c>
      <c r="AG1370">
        <f>IF(OR($AE1370="",$AF1370=""),"",IF(ISNUMBER(Sync!$P1370),INT(MOD(Sync!$P1370,10000)/100),IFERROR(VALUE(TRIM(LEFT(MID(Sync!$P1370,FIND("/",Sync!$P1370)+1,20),FIND("/",MID(Sync!$P1370,FIND("/",Sync!$P1370)+1,20))-1))),"")))</f>
        <v/>
      </c>
      <c r="AH1370">
        <f>IF(OR($AE1370="",$AF1370=""),"",IF(ISNUMBER(Sync!$P1370),MOD(Sync!$P1370,100),IFERROR(VALUE(TRIM(MID(MID(Sync!$P1370,FIND("/",Sync!$P1370)+1,20),FIND("/",MID(Sync!$P1370,FIND("/",Sync!$P1370)+1,20))+1,20))),"")))</f>
        <v/>
      </c>
      <c r="AI1370">
        <f>IF($AE1370="","",IF(OR($AF1370="",$AG1370="",$AH1370="",$AF1370&lt;1300,$AF1370&gt;1500,$AG1370&lt;1,$AG1370&gt;12,$AH1370&lt;1,$AH1370&gt;31),"نامعتبر",RIGHT("0000"&amp;$AF1370,4)&amp;"/"&amp;RIGHT("00"&amp;$AG1370,2)&amp;"/"&amp;RIGHT("00"&amp;$AH1370,2)))</f>
        <v/>
      </c>
      <c r="AJ1370">
        <f>IF($AE1370="","",IF(Sync!$Q1370="","0000",IF(AND(ISNUMBER(Sync!$Q1370),Sync!$Q1370&gt;=0,Sync!$Q1370&lt;1),RIGHT("00"&amp;HOUR(Sync!$Q1370),2)&amp;RIGHT("00"&amp;MINUTE(Sync!$Q1370),2),IFERROR(RIGHT("00"&amp;VALUE(LEFT(Sync!$Q1370,FIND(":",Sync!$Q1370)-1)),2)&amp;RIGHT("00"&amp;VALUE(MID(Sync!$Q1370,FIND(":",Sync!$Q1370)+1,2)),2),"0000"))))</f>
        <v/>
      </c>
      <c r="AK1370">
        <f>IF(OR($AE1370="",$AI1370="",$AI1370="نامعتبر"),"",LEFT($AI1370,4)&amp;MID($AI1370,6,2)&amp;RIGHT($AI1370,2)&amp;$AJ1370&amp;"|"&amp;"3"&amp;RIGHT("00000"&amp;1365,5))</f>
        <v/>
      </c>
      <c r="AL1370">
        <f>IF($AK1370="","",COUNTIFS(LdAParty,$AE1370,LdAType,1,LdAKey,"&lt;"&amp;$AK1370)+COUNTIFS(LdBMember,$AE1370,LdBKey,"&lt;"&amp;$AK1370)+COUNTIFS(LdCParty,$AE1370,LdCKey,"&lt;"&amp;$AK1370)+1)</f>
        <v/>
      </c>
      <c r="AM1370">
        <f>IF($AL1370="","",$AE1370&amp;"|"&amp;RIGHT("000000"&amp;$AL1370,6))</f>
        <v/>
      </c>
      <c r="AN1370">
        <f>IF($AE1370="","",IF(Sync!$W1370="",0,Sync!$W1370))</f>
        <v/>
      </c>
      <c r="AO1370">
        <f>IF($AE1370="","",IF(Sync!$X1370="",0,Sync!$X1370))</f>
        <v/>
      </c>
      <c r="AP1370">
        <f>IF($AE1370="","",Sync!$R1370)</f>
        <v/>
      </c>
      <c r="AQ1370">
        <f>IF($AE1370="","",Sync!$Y1370)</f>
        <v/>
      </c>
    </row>
    <row r="1371">
      <c r="A1371">
        <f>IF(OR(Wages!$B1374="",Wages!$E1374=""),"",Wages!$E1374)</f>
        <v/>
      </c>
      <c r="B1371">
        <f>IF($A1371="","",IF(Wages!$C1374="دستمزد گروهی",2,1))</f>
        <v/>
      </c>
      <c r="C1371">
        <f>IF($A1371="","",IF(ISNUMBER(Wages!$B1374),IF(AND(Wages!$B1374&gt;=10000101,Wages!$B1374&lt;=99991231),INT(Wages!$B1374/10000),""),IFERROR(VALUE(TRIM(LEFT(Wages!$B1374,FIND("/",Wages!$B1374)-1))),"")))</f>
        <v/>
      </c>
      <c r="D1371">
        <f>IF(OR($A1371="",$C1371=""),"",IF(ISNUMBER(Wages!$B1374),INT(MOD(Wages!$B1374,10000)/100),IFERROR(VALUE(TRIM(LEFT(MID(Wages!$B1374,FIND("/",Wages!$B1374)+1,20),FIND("/",MID(Wages!$B1374,FIND("/",Wages!$B1374)+1,20))-1))),"")))</f>
        <v/>
      </c>
      <c r="E1371">
        <f>IF(OR($A1371="",$C1371=""),"",IF(ISNUMBER(Wages!$B1374),MOD(Wages!$B1374,100),IFERROR(VALUE(TRIM(MID(MID(Wages!$B1374,FIND("/",Wages!$B1374)+1,20),FIND("/",MID(Wages!$B1374,FIND("/",Wages!$B1374)+1,20))+1,20))),"")))</f>
        <v/>
      </c>
      <c r="F1371">
        <f>IF($A1371="","",IF(OR($C1371="",$D1371="",$E1371="",$C1371&lt;1300,$C1371&gt;1500,$D1371&lt;1,$D1371&gt;12,$E1371&lt;1,$E1371&gt;31),"نامعتبر",RIGHT("0000"&amp;$C1371,4)&amp;"/"&amp;RIGHT("00"&amp;$D1371,2)&amp;"/"&amp;RIGHT("00"&amp;$E1371,2)))</f>
        <v/>
      </c>
      <c r="G1371">
        <f>IF(OR($A1371="",$F1371="",$F1371="نامعتبر"),"",LEFT($F1371,4)&amp;MID($F1371,6,2)&amp;RIGHT($F1371,2)&amp;"0000"&amp;"|"&amp;"1"&amp;RIGHT("00000"&amp;1366,5))</f>
        <v/>
      </c>
      <c r="H1371">
        <f>IF(OR($B1371&lt;&gt;1,$G1371=""),"",COUNTIFS(LdAParty,$A1371,LdAType,1,LdAKey,"&lt;"&amp;$G1371)+COUNTIFS(LdBMember,$A1371,LdBKey,"&lt;"&amp;$G1371)+COUNTIFS(LdCParty,$A1371,LdCKey,"&lt;"&amp;$G1371)+1)</f>
        <v/>
      </c>
      <c r="I1371">
        <f>IF($H1371="","",$A1371&amp;"|"&amp;RIGHT("000000"&amp;$H1371,6))</f>
        <v/>
      </c>
      <c r="J1371">
        <f>IF(OR($B1371&lt;&gt;2,$G1371=""),"",COUNTIFS(LdAParty,$A1371,LdAType,2,LdAKey,"&lt;"&amp;$G1371)+1)</f>
        <v/>
      </c>
      <c r="K1371">
        <f>IF($J1371="","",$A1371&amp;"|"&amp;RIGHT("000000"&amp;$J1371,6))</f>
        <v/>
      </c>
      <c r="L1371">
        <f>IF($A1371="","",IF(Wages!$G1374="",0,Wages!$G1374))</f>
        <v/>
      </c>
      <c r="M1371">
        <f>IF($A1371="","",Wages!$J1374)</f>
        <v/>
      </c>
      <c r="N1371">
        <f>IF($A1371="","",Wages!$D1374)</f>
        <v/>
      </c>
      <c r="P1371">
        <f>IF(OR(Shares!$B1374="",Shares!$C1374=""),"",Shares!$C1374)</f>
        <v/>
      </c>
      <c r="Q1371">
        <f>IF($P1371="","",Shares!$B1374)</f>
        <v/>
      </c>
      <c r="R1371">
        <f>IF($P1371="","",IFERROR(INDEX(WageParty,MATCH($Q1371,WageIds,0)),""))</f>
        <v/>
      </c>
      <c r="S1371">
        <f>IF($P1371="","",IFERROR(INDEX($F$6:$F$2005,MATCH($Q1371,WageIds,0)),""))</f>
        <v/>
      </c>
      <c r="T1371">
        <f>IF(OR($P1371="",$S1371="",$S1371="نامعتبر"),"",LEFT($S1371,4)&amp;MID($S1371,6,2)&amp;RIGHT($S1371,2)&amp;"0000"&amp;"|"&amp;"2"&amp;RIGHT("00000"&amp;1366,5))</f>
        <v/>
      </c>
      <c r="U1371">
        <f>IF($T1371="","",COUNTIFS(LdAParty,$P1371,LdAType,1,LdAKey,"&lt;"&amp;$T1371)+COUNTIFS(LdBMember,$P1371,LdBKey,"&lt;"&amp;$T1371)+COUNTIFS(LdCParty,$P1371,LdCKey,"&lt;"&amp;$T1371)+1)</f>
        <v/>
      </c>
      <c r="V1371">
        <f>IF($U1371="","",$P1371&amp;"|"&amp;RIGHT("000000"&amp;$U1371,6))</f>
        <v/>
      </c>
      <c r="W1371">
        <f>IF($T1371="","",COUNTIFS(LdBGroup,$R1371,LdBKey,"&lt;"&amp;$T1371)+1)</f>
        <v/>
      </c>
      <c r="X1371">
        <f>IF($W1371="","",$R1371&amp;"|"&amp;RIGHT("000000"&amp;$W1371,6))</f>
        <v/>
      </c>
      <c r="Y1371">
        <f>IF($P1371="","",IF(Shares!$E1374="",0,Shares!$E1374))</f>
        <v/>
      </c>
      <c r="Z1371">
        <f>IF($P1371="","",Shares!$H1374)</f>
        <v/>
      </c>
      <c r="AE1371">
        <f>IF(OR(Sync!$S1371="",Sync!$P1371=""),"",Sync!$S1371)</f>
        <v/>
      </c>
      <c r="AF1371">
        <f>IF($AE1371="","",IF(ISNUMBER(Sync!$P1371),IF(AND(Sync!$P1371&gt;=10000101,Sync!$P1371&lt;=99991231),INT(Sync!$P1371/10000),""),IFERROR(VALUE(TRIM(LEFT(Sync!$P1371,FIND("/",Sync!$P1371)-1))),"")))</f>
        <v/>
      </c>
      <c r="AG1371">
        <f>IF(OR($AE1371="",$AF1371=""),"",IF(ISNUMBER(Sync!$P1371),INT(MOD(Sync!$P1371,10000)/100),IFERROR(VALUE(TRIM(LEFT(MID(Sync!$P1371,FIND("/",Sync!$P1371)+1,20),FIND("/",MID(Sync!$P1371,FIND("/",Sync!$P1371)+1,20))-1))),"")))</f>
        <v/>
      </c>
      <c r="AH1371">
        <f>IF(OR($AE1371="",$AF1371=""),"",IF(ISNUMBER(Sync!$P1371),MOD(Sync!$P1371,100),IFERROR(VALUE(TRIM(MID(MID(Sync!$P1371,FIND("/",Sync!$P1371)+1,20),FIND("/",MID(Sync!$P1371,FIND("/",Sync!$P1371)+1,20))+1,20))),"")))</f>
        <v/>
      </c>
      <c r="AI1371">
        <f>IF($AE1371="","",IF(OR($AF1371="",$AG1371="",$AH1371="",$AF1371&lt;1300,$AF1371&gt;1500,$AG1371&lt;1,$AG1371&gt;12,$AH1371&lt;1,$AH1371&gt;31),"نامعتبر",RIGHT("0000"&amp;$AF1371,4)&amp;"/"&amp;RIGHT("00"&amp;$AG1371,2)&amp;"/"&amp;RIGHT("00"&amp;$AH1371,2)))</f>
        <v/>
      </c>
      <c r="AJ1371">
        <f>IF($AE1371="","",IF(Sync!$Q1371="","0000",IF(AND(ISNUMBER(Sync!$Q1371),Sync!$Q1371&gt;=0,Sync!$Q1371&lt;1),RIGHT("00"&amp;HOUR(Sync!$Q1371),2)&amp;RIGHT("00"&amp;MINUTE(Sync!$Q1371),2),IFERROR(RIGHT("00"&amp;VALUE(LEFT(Sync!$Q1371,FIND(":",Sync!$Q1371)-1)),2)&amp;RIGHT("00"&amp;VALUE(MID(Sync!$Q1371,FIND(":",Sync!$Q1371)+1,2)),2),"0000"))))</f>
        <v/>
      </c>
      <c r="AK1371">
        <f>IF(OR($AE1371="",$AI1371="",$AI1371="نامعتبر"),"",LEFT($AI1371,4)&amp;MID($AI1371,6,2)&amp;RIGHT($AI1371,2)&amp;$AJ1371&amp;"|"&amp;"3"&amp;RIGHT("00000"&amp;1366,5))</f>
        <v/>
      </c>
      <c r="AL1371">
        <f>IF($AK1371="","",COUNTIFS(LdAParty,$AE1371,LdAType,1,LdAKey,"&lt;"&amp;$AK1371)+COUNTIFS(LdBMember,$AE1371,LdBKey,"&lt;"&amp;$AK1371)+COUNTIFS(LdCParty,$AE1371,LdCKey,"&lt;"&amp;$AK1371)+1)</f>
        <v/>
      </c>
      <c r="AM1371">
        <f>IF($AL1371="","",$AE1371&amp;"|"&amp;RIGHT("000000"&amp;$AL1371,6))</f>
        <v/>
      </c>
      <c r="AN1371">
        <f>IF($AE1371="","",IF(Sync!$W1371="",0,Sync!$W1371))</f>
        <v/>
      </c>
      <c r="AO1371">
        <f>IF($AE1371="","",IF(Sync!$X1371="",0,Sync!$X1371))</f>
        <v/>
      </c>
      <c r="AP1371">
        <f>IF($AE1371="","",Sync!$R1371)</f>
        <v/>
      </c>
      <c r="AQ1371">
        <f>IF($AE1371="","",Sync!$Y1371)</f>
        <v/>
      </c>
    </row>
    <row r="1372">
      <c r="A1372">
        <f>IF(OR(Wages!$B1375="",Wages!$E1375=""),"",Wages!$E1375)</f>
        <v/>
      </c>
      <c r="B1372">
        <f>IF($A1372="","",IF(Wages!$C1375="دستمزد گروهی",2,1))</f>
        <v/>
      </c>
      <c r="C1372">
        <f>IF($A1372="","",IF(ISNUMBER(Wages!$B1375),IF(AND(Wages!$B1375&gt;=10000101,Wages!$B1375&lt;=99991231),INT(Wages!$B1375/10000),""),IFERROR(VALUE(TRIM(LEFT(Wages!$B1375,FIND("/",Wages!$B1375)-1))),"")))</f>
        <v/>
      </c>
      <c r="D1372">
        <f>IF(OR($A1372="",$C1372=""),"",IF(ISNUMBER(Wages!$B1375),INT(MOD(Wages!$B1375,10000)/100),IFERROR(VALUE(TRIM(LEFT(MID(Wages!$B1375,FIND("/",Wages!$B1375)+1,20),FIND("/",MID(Wages!$B1375,FIND("/",Wages!$B1375)+1,20))-1))),"")))</f>
        <v/>
      </c>
      <c r="E1372">
        <f>IF(OR($A1372="",$C1372=""),"",IF(ISNUMBER(Wages!$B1375),MOD(Wages!$B1375,100),IFERROR(VALUE(TRIM(MID(MID(Wages!$B1375,FIND("/",Wages!$B1375)+1,20),FIND("/",MID(Wages!$B1375,FIND("/",Wages!$B1375)+1,20))+1,20))),"")))</f>
        <v/>
      </c>
      <c r="F1372">
        <f>IF($A1372="","",IF(OR($C1372="",$D1372="",$E1372="",$C1372&lt;1300,$C1372&gt;1500,$D1372&lt;1,$D1372&gt;12,$E1372&lt;1,$E1372&gt;31),"نامعتبر",RIGHT("0000"&amp;$C1372,4)&amp;"/"&amp;RIGHT("00"&amp;$D1372,2)&amp;"/"&amp;RIGHT("00"&amp;$E1372,2)))</f>
        <v/>
      </c>
      <c r="G1372">
        <f>IF(OR($A1372="",$F1372="",$F1372="نامعتبر"),"",LEFT($F1372,4)&amp;MID($F1372,6,2)&amp;RIGHT($F1372,2)&amp;"0000"&amp;"|"&amp;"1"&amp;RIGHT("00000"&amp;1367,5))</f>
        <v/>
      </c>
      <c r="H1372">
        <f>IF(OR($B1372&lt;&gt;1,$G1372=""),"",COUNTIFS(LdAParty,$A1372,LdAType,1,LdAKey,"&lt;"&amp;$G1372)+COUNTIFS(LdBMember,$A1372,LdBKey,"&lt;"&amp;$G1372)+COUNTIFS(LdCParty,$A1372,LdCKey,"&lt;"&amp;$G1372)+1)</f>
        <v/>
      </c>
      <c r="I1372">
        <f>IF($H1372="","",$A1372&amp;"|"&amp;RIGHT("000000"&amp;$H1372,6))</f>
        <v/>
      </c>
      <c r="J1372">
        <f>IF(OR($B1372&lt;&gt;2,$G1372=""),"",COUNTIFS(LdAParty,$A1372,LdAType,2,LdAKey,"&lt;"&amp;$G1372)+1)</f>
        <v/>
      </c>
      <c r="K1372">
        <f>IF($J1372="","",$A1372&amp;"|"&amp;RIGHT("000000"&amp;$J1372,6))</f>
        <v/>
      </c>
      <c r="L1372">
        <f>IF($A1372="","",IF(Wages!$G1375="",0,Wages!$G1375))</f>
        <v/>
      </c>
      <c r="M1372">
        <f>IF($A1372="","",Wages!$J1375)</f>
        <v/>
      </c>
      <c r="N1372">
        <f>IF($A1372="","",Wages!$D1375)</f>
        <v/>
      </c>
      <c r="P1372">
        <f>IF(OR(Shares!$B1375="",Shares!$C1375=""),"",Shares!$C1375)</f>
        <v/>
      </c>
      <c r="Q1372">
        <f>IF($P1372="","",Shares!$B1375)</f>
        <v/>
      </c>
      <c r="R1372">
        <f>IF($P1372="","",IFERROR(INDEX(WageParty,MATCH($Q1372,WageIds,0)),""))</f>
        <v/>
      </c>
      <c r="S1372">
        <f>IF($P1372="","",IFERROR(INDEX($F$6:$F$2005,MATCH($Q1372,WageIds,0)),""))</f>
        <v/>
      </c>
      <c r="T1372">
        <f>IF(OR($P1372="",$S1372="",$S1372="نامعتبر"),"",LEFT($S1372,4)&amp;MID($S1372,6,2)&amp;RIGHT($S1372,2)&amp;"0000"&amp;"|"&amp;"2"&amp;RIGHT("00000"&amp;1367,5))</f>
        <v/>
      </c>
      <c r="U1372">
        <f>IF($T1372="","",COUNTIFS(LdAParty,$P1372,LdAType,1,LdAKey,"&lt;"&amp;$T1372)+COUNTIFS(LdBMember,$P1372,LdBKey,"&lt;"&amp;$T1372)+COUNTIFS(LdCParty,$P1372,LdCKey,"&lt;"&amp;$T1372)+1)</f>
        <v/>
      </c>
      <c r="V1372">
        <f>IF($U1372="","",$P1372&amp;"|"&amp;RIGHT("000000"&amp;$U1372,6))</f>
        <v/>
      </c>
      <c r="W1372">
        <f>IF($T1372="","",COUNTIFS(LdBGroup,$R1372,LdBKey,"&lt;"&amp;$T1372)+1)</f>
        <v/>
      </c>
      <c r="X1372">
        <f>IF($W1372="","",$R1372&amp;"|"&amp;RIGHT("000000"&amp;$W1372,6))</f>
        <v/>
      </c>
      <c r="Y1372">
        <f>IF($P1372="","",IF(Shares!$E1375="",0,Shares!$E1375))</f>
        <v/>
      </c>
      <c r="Z1372">
        <f>IF($P1372="","",Shares!$H1375)</f>
        <v/>
      </c>
      <c r="AE1372">
        <f>IF(OR(Sync!$S1372="",Sync!$P1372=""),"",Sync!$S1372)</f>
        <v/>
      </c>
      <c r="AF1372">
        <f>IF($AE1372="","",IF(ISNUMBER(Sync!$P1372),IF(AND(Sync!$P1372&gt;=10000101,Sync!$P1372&lt;=99991231),INT(Sync!$P1372/10000),""),IFERROR(VALUE(TRIM(LEFT(Sync!$P1372,FIND("/",Sync!$P1372)-1))),"")))</f>
        <v/>
      </c>
      <c r="AG1372">
        <f>IF(OR($AE1372="",$AF1372=""),"",IF(ISNUMBER(Sync!$P1372),INT(MOD(Sync!$P1372,10000)/100),IFERROR(VALUE(TRIM(LEFT(MID(Sync!$P1372,FIND("/",Sync!$P1372)+1,20),FIND("/",MID(Sync!$P1372,FIND("/",Sync!$P1372)+1,20))-1))),"")))</f>
        <v/>
      </c>
      <c r="AH1372">
        <f>IF(OR($AE1372="",$AF1372=""),"",IF(ISNUMBER(Sync!$P1372),MOD(Sync!$P1372,100),IFERROR(VALUE(TRIM(MID(MID(Sync!$P1372,FIND("/",Sync!$P1372)+1,20),FIND("/",MID(Sync!$P1372,FIND("/",Sync!$P1372)+1,20))+1,20))),"")))</f>
        <v/>
      </c>
      <c r="AI1372">
        <f>IF($AE1372="","",IF(OR($AF1372="",$AG1372="",$AH1372="",$AF1372&lt;1300,$AF1372&gt;1500,$AG1372&lt;1,$AG1372&gt;12,$AH1372&lt;1,$AH1372&gt;31),"نامعتبر",RIGHT("0000"&amp;$AF1372,4)&amp;"/"&amp;RIGHT("00"&amp;$AG1372,2)&amp;"/"&amp;RIGHT("00"&amp;$AH1372,2)))</f>
        <v/>
      </c>
      <c r="AJ1372">
        <f>IF($AE1372="","",IF(Sync!$Q1372="","0000",IF(AND(ISNUMBER(Sync!$Q1372),Sync!$Q1372&gt;=0,Sync!$Q1372&lt;1),RIGHT("00"&amp;HOUR(Sync!$Q1372),2)&amp;RIGHT("00"&amp;MINUTE(Sync!$Q1372),2),IFERROR(RIGHT("00"&amp;VALUE(LEFT(Sync!$Q1372,FIND(":",Sync!$Q1372)-1)),2)&amp;RIGHT("00"&amp;VALUE(MID(Sync!$Q1372,FIND(":",Sync!$Q1372)+1,2)),2),"0000"))))</f>
        <v/>
      </c>
      <c r="AK1372">
        <f>IF(OR($AE1372="",$AI1372="",$AI1372="نامعتبر"),"",LEFT($AI1372,4)&amp;MID($AI1372,6,2)&amp;RIGHT($AI1372,2)&amp;$AJ1372&amp;"|"&amp;"3"&amp;RIGHT("00000"&amp;1367,5))</f>
        <v/>
      </c>
      <c r="AL1372">
        <f>IF($AK1372="","",COUNTIFS(LdAParty,$AE1372,LdAType,1,LdAKey,"&lt;"&amp;$AK1372)+COUNTIFS(LdBMember,$AE1372,LdBKey,"&lt;"&amp;$AK1372)+COUNTIFS(LdCParty,$AE1372,LdCKey,"&lt;"&amp;$AK1372)+1)</f>
        <v/>
      </c>
      <c r="AM1372">
        <f>IF($AL1372="","",$AE1372&amp;"|"&amp;RIGHT("000000"&amp;$AL1372,6))</f>
        <v/>
      </c>
      <c r="AN1372">
        <f>IF($AE1372="","",IF(Sync!$W1372="",0,Sync!$W1372))</f>
        <v/>
      </c>
      <c r="AO1372">
        <f>IF($AE1372="","",IF(Sync!$X1372="",0,Sync!$X1372))</f>
        <v/>
      </c>
      <c r="AP1372">
        <f>IF($AE1372="","",Sync!$R1372)</f>
        <v/>
      </c>
      <c r="AQ1372">
        <f>IF($AE1372="","",Sync!$Y1372)</f>
        <v/>
      </c>
    </row>
    <row r="1373">
      <c r="A1373">
        <f>IF(OR(Wages!$B1376="",Wages!$E1376=""),"",Wages!$E1376)</f>
        <v/>
      </c>
      <c r="B1373">
        <f>IF($A1373="","",IF(Wages!$C1376="دستمزد گروهی",2,1))</f>
        <v/>
      </c>
      <c r="C1373">
        <f>IF($A1373="","",IF(ISNUMBER(Wages!$B1376),IF(AND(Wages!$B1376&gt;=10000101,Wages!$B1376&lt;=99991231),INT(Wages!$B1376/10000),""),IFERROR(VALUE(TRIM(LEFT(Wages!$B1376,FIND("/",Wages!$B1376)-1))),"")))</f>
        <v/>
      </c>
      <c r="D1373">
        <f>IF(OR($A1373="",$C1373=""),"",IF(ISNUMBER(Wages!$B1376),INT(MOD(Wages!$B1376,10000)/100),IFERROR(VALUE(TRIM(LEFT(MID(Wages!$B1376,FIND("/",Wages!$B1376)+1,20),FIND("/",MID(Wages!$B1376,FIND("/",Wages!$B1376)+1,20))-1))),"")))</f>
        <v/>
      </c>
      <c r="E1373">
        <f>IF(OR($A1373="",$C1373=""),"",IF(ISNUMBER(Wages!$B1376),MOD(Wages!$B1376,100),IFERROR(VALUE(TRIM(MID(MID(Wages!$B1376,FIND("/",Wages!$B1376)+1,20),FIND("/",MID(Wages!$B1376,FIND("/",Wages!$B1376)+1,20))+1,20))),"")))</f>
        <v/>
      </c>
      <c r="F1373">
        <f>IF($A1373="","",IF(OR($C1373="",$D1373="",$E1373="",$C1373&lt;1300,$C1373&gt;1500,$D1373&lt;1,$D1373&gt;12,$E1373&lt;1,$E1373&gt;31),"نامعتبر",RIGHT("0000"&amp;$C1373,4)&amp;"/"&amp;RIGHT("00"&amp;$D1373,2)&amp;"/"&amp;RIGHT("00"&amp;$E1373,2)))</f>
        <v/>
      </c>
      <c r="G1373">
        <f>IF(OR($A1373="",$F1373="",$F1373="نامعتبر"),"",LEFT($F1373,4)&amp;MID($F1373,6,2)&amp;RIGHT($F1373,2)&amp;"0000"&amp;"|"&amp;"1"&amp;RIGHT("00000"&amp;1368,5))</f>
        <v/>
      </c>
      <c r="H1373">
        <f>IF(OR($B1373&lt;&gt;1,$G1373=""),"",COUNTIFS(LdAParty,$A1373,LdAType,1,LdAKey,"&lt;"&amp;$G1373)+COUNTIFS(LdBMember,$A1373,LdBKey,"&lt;"&amp;$G1373)+COUNTIFS(LdCParty,$A1373,LdCKey,"&lt;"&amp;$G1373)+1)</f>
        <v/>
      </c>
      <c r="I1373">
        <f>IF($H1373="","",$A1373&amp;"|"&amp;RIGHT("000000"&amp;$H1373,6))</f>
        <v/>
      </c>
      <c r="J1373">
        <f>IF(OR($B1373&lt;&gt;2,$G1373=""),"",COUNTIFS(LdAParty,$A1373,LdAType,2,LdAKey,"&lt;"&amp;$G1373)+1)</f>
        <v/>
      </c>
      <c r="K1373">
        <f>IF($J1373="","",$A1373&amp;"|"&amp;RIGHT("000000"&amp;$J1373,6))</f>
        <v/>
      </c>
      <c r="L1373">
        <f>IF($A1373="","",IF(Wages!$G1376="",0,Wages!$G1376))</f>
        <v/>
      </c>
      <c r="M1373">
        <f>IF($A1373="","",Wages!$J1376)</f>
        <v/>
      </c>
      <c r="N1373">
        <f>IF($A1373="","",Wages!$D1376)</f>
        <v/>
      </c>
      <c r="P1373">
        <f>IF(OR(Shares!$B1376="",Shares!$C1376=""),"",Shares!$C1376)</f>
        <v/>
      </c>
      <c r="Q1373">
        <f>IF($P1373="","",Shares!$B1376)</f>
        <v/>
      </c>
      <c r="R1373">
        <f>IF($P1373="","",IFERROR(INDEX(WageParty,MATCH($Q1373,WageIds,0)),""))</f>
        <v/>
      </c>
      <c r="S1373">
        <f>IF($P1373="","",IFERROR(INDEX($F$6:$F$2005,MATCH($Q1373,WageIds,0)),""))</f>
        <v/>
      </c>
      <c r="T1373">
        <f>IF(OR($P1373="",$S1373="",$S1373="نامعتبر"),"",LEFT($S1373,4)&amp;MID($S1373,6,2)&amp;RIGHT($S1373,2)&amp;"0000"&amp;"|"&amp;"2"&amp;RIGHT("00000"&amp;1368,5))</f>
        <v/>
      </c>
      <c r="U1373">
        <f>IF($T1373="","",COUNTIFS(LdAParty,$P1373,LdAType,1,LdAKey,"&lt;"&amp;$T1373)+COUNTIFS(LdBMember,$P1373,LdBKey,"&lt;"&amp;$T1373)+COUNTIFS(LdCParty,$P1373,LdCKey,"&lt;"&amp;$T1373)+1)</f>
        <v/>
      </c>
      <c r="V1373">
        <f>IF($U1373="","",$P1373&amp;"|"&amp;RIGHT("000000"&amp;$U1373,6))</f>
        <v/>
      </c>
      <c r="W1373">
        <f>IF($T1373="","",COUNTIFS(LdBGroup,$R1373,LdBKey,"&lt;"&amp;$T1373)+1)</f>
        <v/>
      </c>
      <c r="X1373">
        <f>IF($W1373="","",$R1373&amp;"|"&amp;RIGHT("000000"&amp;$W1373,6))</f>
        <v/>
      </c>
      <c r="Y1373">
        <f>IF($P1373="","",IF(Shares!$E1376="",0,Shares!$E1376))</f>
        <v/>
      </c>
      <c r="Z1373">
        <f>IF($P1373="","",Shares!$H1376)</f>
        <v/>
      </c>
      <c r="AE1373">
        <f>IF(OR(Sync!$S1373="",Sync!$P1373=""),"",Sync!$S1373)</f>
        <v/>
      </c>
      <c r="AF1373">
        <f>IF($AE1373="","",IF(ISNUMBER(Sync!$P1373),IF(AND(Sync!$P1373&gt;=10000101,Sync!$P1373&lt;=99991231),INT(Sync!$P1373/10000),""),IFERROR(VALUE(TRIM(LEFT(Sync!$P1373,FIND("/",Sync!$P1373)-1))),"")))</f>
        <v/>
      </c>
      <c r="AG1373">
        <f>IF(OR($AE1373="",$AF1373=""),"",IF(ISNUMBER(Sync!$P1373),INT(MOD(Sync!$P1373,10000)/100),IFERROR(VALUE(TRIM(LEFT(MID(Sync!$P1373,FIND("/",Sync!$P1373)+1,20),FIND("/",MID(Sync!$P1373,FIND("/",Sync!$P1373)+1,20))-1))),"")))</f>
        <v/>
      </c>
      <c r="AH1373">
        <f>IF(OR($AE1373="",$AF1373=""),"",IF(ISNUMBER(Sync!$P1373),MOD(Sync!$P1373,100),IFERROR(VALUE(TRIM(MID(MID(Sync!$P1373,FIND("/",Sync!$P1373)+1,20),FIND("/",MID(Sync!$P1373,FIND("/",Sync!$P1373)+1,20))+1,20))),"")))</f>
        <v/>
      </c>
      <c r="AI1373">
        <f>IF($AE1373="","",IF(OR($AF1373="",$AG1373="",$AH1373="",$AF1373&lt;1300,$AF1373&gt;1500,$AG1373&lt;1,$AG1373&gt;12,$AH1373&lt;1,$AH1373&gt;31),"نامعتبر",RIGHT("0000"&amp;$AF1373,4)&amp;"/"&amp;RIGHT("00"&amp;$AG1373,2)&amp;"/"&amp;RIGHT("00"&amp;$AH1373,2)))</f>
        <v/>
      </c>
      <c r="AJ1373">
        <f>IF($AE1373="","",IF(Sync!$Q1373="","0000",IF(AND(ISNUMBER(Sync!$Q1373),Sync!$Q1373&gt;=0,Sync!$Q1373&lt;1),RIGHT("00"&amp;HOUR(Sync!$Q1373),2)&amp;RIGHT("00"&amp;MINUTE(Sync!$Q1373),2),IFERROR(RIGHT("00"&amp;VALUE(LEFT(Sync!$Q1373,FIND(":",Sync!$Q1373)-1)),2)&amp;RIGHT("00"&amp;VALUE(MID(Sync!$Q1373,FIND(":",Sync!$Q1373)+1,2)),2),"0000"))))</f>
        <v/>
      </c>
      <c r="AK1373">
        <f>IF(OR($AE1373="",$AI1373="",$AI1373="نامعتبر"),"",LEFT($AI1373,4)&amp;MID($AI1373,6,2)&amp;RIGHT($AI1373,2)&amp;$AJ1373&amp;"|"&amp;"3"&amp;RIGHT("00000"&amp;1368,5))</f>
        <v/>
      </c>
      <c r="AL1373">
        <f>IF($AK1373="","",COUNTIFS(LdAParty,$AE1373,LdAType,1,LdAKey,"&lt;"&amp;$AK1373)+COUNTIFS(LdBMember,$AE1373,LdBKey,"&lt;"&amp;$AK1373)+COUNTIFS(LdCParty,$AE1373,LdCKey,"&lt;"&amp;$AK1373)+1)</f>
        <v/>
      </c>
      <c r="AM1373">
        <f>IF($AL1373="","",$AE1373&amp;"|"&amp;RIGHT("000000"&amp;$AL1373,6))</f>
        <v/>
      </c>
      <c r="AN1373">
        <f>IF($AE1373="","",IF(Sync!$W1373="",0,Sync!$W1373))</f>
        <v/>
      </c>
      <c r="AO1373">
        <f>IF($AE1373="","",IF(Sync!$X1373="",0,Sync!$X1373))</f>
        <v/>
      </c>
      <c r="AP1373">
        <f>IF($AE1373="","",Sync!$R1373)</f>
        <v/>
      </c>
      <c r="AQ1373">
        <f>IF($AE1373="","",Sync!$Y1373)</f>
        <v/>
      </c>
    </row>
    <row r="1374">
      <c r="A1374">
        <f>IF(OR(Wages!$B1377="",Wages!$E1377=""),"",Wages!$E1377)</f>
        <v/>
      </c>
      <c r="B1374">
        <f>IF($A1374="","",IF(Wages!$C1377="دستمزد گروهی",2,1))</f>
        <v/>
      </c>
      <c r="C1374">
        <f>IF($A1374="","",IF(ISNUMBER(Wages!$B1377),IF(AND(Wages!$B1377&gt;=10000101,Wages!$B1377&lt;=99991231),INT(Wages!$B1377/10000),""),IFERROR(VALUE(TRIM(LEFT(Wages!$B1377,FIND("/",Wages!$B1377)-1))),"")))</f>
        <v/>
      </c>
      <c r="D1374">
        <f>IF(OR($A1374="",$C1374=""),"",IF(ISNUMBER(Wages!$B1377),INT(MOD(Wages!$B1377,10000)/100),IFERROR(VALUE(TRIM(LEFT(MID(Wages!$B1377,FIND("/",Wages!$B1377)+1,20),FIND("/",MID(Wages!$B1377,FIND("/",Wages!$B1377)+1,20))-1))),"")))</f>
        <v/>
      </c>
      <c r="E1374">
        <f>IF(OR($A1374="",$C1374=""),"",IF(ISNUMBER(Wages!$B1377),MOD(Wages!$B1377,100),IFERROR(VALUE(TRIM(MID(MID(Wages!$B1377,FIND("/",Wages!$B1377)+1,20),FIND("/",MID(Wages!$B1377,FIND("/",Wages!$B1377)+1,20))+1,20))),"")))</f>
        <v/>
      </c>
      <c r="F1374">
        <f>IF($A1374="","",IF(OR($C1374="",$D1374="",$E1374="",$C1374&lt;1300,$C1374&gt;1500,$D1374&lt;1,$D1374&gt;12,$E1374&lt;1,$E1374&gt;31),"نامعتبر",RIGHT("0000"&amp;$C1374,4)&amp;"/"&amp;RIGHT("00"&amp;$D1374,2)&amp;"/"&amp;RIGHT("00"&amp;$E1374,2)))</f>
        <v/>
      </c>
      <c r="G1374">
        <f>IF(OR($A1374="",$F1374="",$F1374="نامعتبر"),"",LEFT($F1374,4)&amp;MID($F1374,6,2)&amp;RIGHT($F1374,2)&amp;"0000"&amp;"|"&amp;"1"&amp;RIGHT("00000"&amp;1369,5))</f>
        <v/>
      </c>
      <c r="H1374">
        <f>IF(OR($B1374&lt;&gt;1,$G1374=""),"",COUNTIFS(LdAParty,$A1374,LdAType,1,LdAKey,"&lt;"&amp;$G1374)+COUNTIFS(LdBMember,$A1374,LdBKey,"&lt;"&amp;$G1374)+COUNTIFS(LdCParty,$A1374,LdCKey,"&lt;"&amp;$G1374)+1)</f>
        <v/>
      </c>
      <c r="I1374">
        <f>IF($H1374="","",$A1374&amp;"|"&amp;RIGHT("000000"&amp;$H1374,6))</f>
        <v/>
      </c>
      <c r="J1374">
        <f>IF(OR($B1374&lt;&gt;2,$G1374=""),"",COUNTIFS(LdAParty,$A1374,LdAType,2,LdAKey,"&lt;"&amp;$G1374)+1)</f>
        <v/>
      </c>
      <c r="K1374">
        <f>IF($J1374="","",$A1374&amp;"|"&amp;RIGHT("000000"&amp;$J1374,6))</f>
        <v/>
      </c>
      <c r="L1374">
        <f>IF($A1374="","",IF(Wages!$G1377="",0,Wages!$G1377))</f>
        <v/>
      </c>
      <c r="M1374">
        <f>IF($A1374="","",Wages!$J1377)</f>
        <v/>
      </c>
      <c r="N1374">
        <f>IF($A1374="","",Wages!$D1377)</f>
        <v/>
      </c>
      <c r="P1374">
        <f>IF(OR(Shares!$B1377="",Shares!$C1377=""),"",Shares!$C1377)</f>
        <v/>
      </c>
      <c r="Q1374">
        <f>IF($P1374="","",Shares!$B1377)</f>
        <v/>
      </c>
      <c r="R1374">
        <f>IF($P1374="","",IFERROR(INDEX(WageParty,MATCH($Q1374,WageIds,0)),""))</f>
        <v/>
      </c>
      <c r="S1374">
        <f>IF($P1374="","",IFERROR(INDEX($F$6:$F$2005,MATCH($Q1374,WageIds,0)),""))</f>
        <v/>
      </c>
      <c r="T1374">
        <f>IF(OR($P1374="",$S1374="",$S1374="نامعتبر"),"",LEFT($S1374,4)&amp;MID($S1374,6,2)&amp;RIGHT($S1374,2)&amp;"0000"&amp;"|"&amp;"2"&amp;RIGHT("00000"&amp;1369,5))</f>
        <v/>
      </c>
      <c r="U1374">
        <f>IF($T1374="","",COUNTIFS(LdAParty,$P1374,LdAType,1,LdAKey,"&lt;"&amp;$T1374)+COUNTIFS(LdBMember,$P1374,LdBKey,"&lt;"&amp;$T1374)+COUNTIFS(LdCParty,$P1374,LdCKey,"&lt;"&amp;$T1374)+1)</f>
        <v/>
      </c>
      <c r="V1374">
        <f>IF($U1374="","",$P1374&amp;"|"&amp;RIGHT("000000"&amp;$U1374,6))</f>
        <v/>
      </c>
      <c r="W1374">
        <f>IF($T1374="","",COUNTIFS(LdBGroup,$R1374,LdBKey,"&lt;"&amp;$T1374)+1)</f>
        <v/>
      </c>
      <c r="X1374">
        <f>IF($W1374="","",$R1374&amp;"|"&amp;RIGHT("000000"&amp;$W1374,6))</f>
        <v/>
      </c>
      <c r="Y1374">
        <f>IF($P1374="","",IF(Shares!$E1377="",0,Shares!$E1377))</f>
        <v/>
      </c>
      <c r="Z1374">
        <f>IF($P1374="","",Shares!$H1377)</f>
        <v/>
      </c>
      <c r="AE1374">
        <f>IF(OR(Sync!$S1374="",Sync!$P1374=""),"",Sync!$S1374)</f>
        <v/>
      </c>
      <c r="AF1374">
        <f>IF($AE1374="","",IF(ISNUMBER(Sync!$P1374),IF(AND(Sync!$P1374&gt;=10000101,Sync!$P1374&lt;=99991231),INT(Sync!$P1374/10000),""),IFERROR(VALUE(TRIM(LEFT(Sync!$P1374,FIND("/",Sync!$P1374)-1))),"")))</f>
        <v/>
      </c>
      <c r="AG1374">
        <f>IF(OR($AE1374="",$AF1374=""),"",IF(ISNUMBER(Sync!$P1374),INT(MOD(Sync!$P1374,10000)/100),IFERROR(VALUE(TRIM(LEFT(MID(Sync!$P1374,FIND("/",Sync!$P1374)+1,20),FIND("/",MID(Sync!$P1374,FIND("/",Sync!$P1374)+1,20))-1))),"")))</f>
        <v/>
      </c>
      <c r="AH1374">
        <f>IF(OR($AE1374="",$AF1374=""),"",IF(ISNUMBER(Sync!$P1374),MOD(Sync!$P1374,100),IFERROR(VALUE(TRIM(MID(MID(Sync!$P1374,FIND("/",Sync!$P1374)+1,20),FIND("/",MID(Sync!$P1374,FIND("/",Sync!$P1374)+1,20))+1,20))),"")))</f>
        <v/>
      </c>
      <c r="AI1374">
        <f>IF($AE1374="","",IF(OR($AF1374="",$AG1374="",$AH1374="",$AF1374&lt;1300,$AF1374&gt;1500,$AG1374&lt;1,$AG1374&gt;12,$AH1374&lt;1,$AH1374&gt;31),"نامعتبر",RIGHT("0000"&amp;$AF1374,4)&amp;"/"&amp;RIGHT("00"&amp;$AG1374,2)&amp;"/"&amp;RIGHT("00"&amp;$AH1374,2)))</f>
        <v/>
      </c>
      <c r="AJ1374">
        <f>IF($AE1374="","",IF(Sync!$Q1374="","0000",IF(AND(ISNUMBER(Sync!$Q1374),Sync!$Q1374&gt;=0,Sync!$Q1374&lt;1),RIGHT("00"&amp;HOUR(Sync!$Q1374),2)&amp;RIGHT("00"&amp;MINUTE(Sync!$Q1374),2),IFERROR(RIGHT("00"&amp;VALUE(LEFT(Sync!$Q1374,FIND(":",Sync!$Q1374)-1)),2)&amp;RIGHT("00"&amp;VALUE(MID(Sync!$Q1374,FIND(":",Sync!$Q1374)+1,2)),2),"0000"))))</f>
        <v/>
      </c>
      <c r="AK1374">
        <f>IF(OR($AE1374="",$AI1374="",$AI1374="نامعتبر"),"",LEFT($AI1374,4)&amp;MID($AI1374,6,2)&amp;RIGHT($AI1374,2)&amp;$AJ1374&amp;"|"&amp;"3"&amp;RIGHT("00000"&amp;1369,5))</f>
        <v/>
      </c>
      <c r="AL1374">
        <f>IF($AK1374="","",COUNTIFS(LdAParty,$AE1374,LdAType,1,LdAKey,"&lt;"&amp;$AK1374)+COUNTIFS(LdBMember,$AE1374,LdBKey,"&lt;"&amp;$AK1374)+COUNTIFS(LdCParty,$AE1374,LdCKey,"&lt;"&amp;$AK1374)+1)</f>
        <v/>
      </c>
      <c r="AM1374">
        <f>IF($AL1374="","",$AE1374&amp;"|"&amp;RIGHT("000000"&amp;$AL1374,6))</f>
        <v/>
      </c>
      <c r="AN1374">
        <f>IF($AE1374="","",IF(Sync!$W1374="",0,Sync!$W1374))</f>
        <v/>
      </c>
      <c r="AO1374">
        <f>IF($AE1374="","",IF(Sync!$X1374="",0,Sync!$X1374))</f>
        <v/>
      </c>
      <c r="AP1374">
        <f>IF($AE1374="","",Sync!$R1374)</f>
        <v/>
      </c>
      <c r="AQ1374">
        <f>IF($AE1374="","",Sync!$Y1374)</f>
        <v/>
      </c>
    </row>
    <row r="1375">
      <c r="A1375">
        <f>IF(OR(Wages!$B1378="",Wages!$E1378=""),"",Wages!$E1378)</f>
        <v/>
      </c>
      <c r="B1375">
        <f>IF($A1375="","",IF(Wages!$C1378="دستمزد گروهی",2,1))</f>
        <v/>
      </c>
      <c r="C1375">
        <f>IF($A1375="","",IF(ISNUMBER(Wages!$B1378),IF(AND(Wages!$B1378&gt;=10000101,Wages!$B1378&lt;=99991231),INT(Wages!$B1378/10000),""),IFERROR(VALUE(TRIM(LEFT(Wages!$B1378,FIND("/",Wages!$B1378)-1))),"")))</f>
        <v/>
      </c>
      <c r="D1375">
        <f>IF(OR($A1375="",$C1375=""),"",IF(ISNUMBER(Wages!$B1378),INT(MOD(Wages!$B1378,10000)/100),IFERROR(VALUE(TRIM(LEFT(MID(Wages!$B1378,FIND("/",Wages!$B1378)+1,20),FIND("/",MID(Wages!$B1378,FIND("/",Wages!$B1378)+1,20))-1))),"")))</f>
        <v/>
      </c>
      <c r="E1375">
        <f>IF(OR($A1375="",$C1375=""),"",IF(ISNUMBER(Wages!$B1378),MOD(Wages!$B1378,100),IFERROR(VALUE(TRIM(MID(MID(Wages!$B1378,FIND("/",Wages!$B1378)+1,20),FIND("/",MID(Wages!$B1378,FIND("/",Wages!$B1378)+1,20))+1,20))),"")))</f>
        <v/>
      </c>
      <c r="F1375">
        <f>IF($A1375="","",IF(OR($C1375="",$D1375="",$E1375="",$C1375&lt;1300,$C1375&gt;1500,$D1375&lt;1,$D1375&gt;12,$E1375&lt;1,$E1375&gt;31),"نامعتبر",RIGHT("0000"&amp;$C1375,4)&amp;"/"&amp;RIGHT("00"&amp;$D1375,2)&amp;"/"&amp;RIGHT("00"&amp;$E1375,2)))</f>
        <v/>
      </c>
      <c r="G1375">
        <f>IF(OR($A1375="",$F1375="",$F1375="نامعتبر"),"",LEFT($F1375,4)&amp;MID($F1375,6,2)&amp;RIGHT($F1375,2)&amp;"0000"&amp;"|"&amp;"1"&amp;RIGHT("00000"&amp;1370,5))</f>
        <v/>
      </c>
      <c r="H1375">
        <f>IF(OR($B1375&lt;&gt;1,$G1375=""),"",COUNTIFS(LdAParty,$A1375,LdAType,1,LdAKey,"&lt;"&amp;$G1375)+COUNTIFS(LdBMember,$A1375,LdBKey,"&lt;"&amp;$G1375)+COUNTIFS(LdCParty,$A1375,LdCKey,"&lt;"&amp;$G1375)+1)</f>
        <v/>
      </c>
      <c r="I1375">
        <f>IF($H1375="","",$A1375&amp;"|"&amp;RIGHT("000000"&amp;$H1375,6))</f>
        <v/>
      </c>
      <c r="J1375">
        <f>IF(OR($B1375&lt;&gt;2,$G1375=""),"",COUNTIFS(LdAParty,$A1375,LdAType,2,LdAKey,"&lt;"&amp;$G1375)+1)</f>
        <v/>
      </c>
      <c r="K1375">
        <f>IF($J1375="","",$A1375&amp;"|"&amp;RIGHT("000000"&amp;$J1375,6))</f>
        <v/>
      </c>
      <c r="L1375">
        <f>IF($A1375="","",IF(Wages!$G1378="",0,Wages!$G1378))</f>
        <v/>
      </c>
      <c r="M1375">
        <f>IF($A1375="","",Wages!$J1378)</f>
        <v/>
      </c>
      <c r="N1375">
        <f>IF($A1375="","",Wages!$D1378)</f>
        <v/>
      </c>
      <c r="P1375">
        <f>IF(OR(Shares!$B1378="",Shares!$C1378=""),"",Shares!$C1378)</f>
        <v/>
      </c>
      <c r="Q1375">
        <f>IF($P1375="","",Shares!$B1378)</f>
        <v/>
      </c>
      <c r="R1375">
        <f>IF($P1375="","",IFERROR(INDEX(WageParty,MATCH($Q1375,WageIds,0)),""))</f>
        <v/>
      </c>
      <c r="S1375">
        <f>IF($P1375="","",IFERROR(INDEX($F$6:$F$2005,MATCH($Q1375,WageIds,0)),""))</f>
        <v/>
      </c>
      <c r="T1375">
        <f>IF(OR($P1375="",$S1375="",$S1375="نامعتبر"),"",LEFT($S1375,4)&amp;MID($S1375,6,2)&amp;RIGHT($S1375,2)&amp;"0000"&amp;"|"&amp;"2"&amp;RIGHT("00000"&amp;1370,5))</f>
        <v/>
      </c>
      <c r="U1375">
        <f>IF($T1375="","",COUNTIFS(LdAParty,$P1375,LdAType,1,LdAKey,"&lt;"&amp;$T1375)+COUNTIFS(LdBMember,$P1375,LdBKey,"&lt;"&amp;$T1375)+COUNTIFS(LdCParty,$P1375,LdCKey,"&lt;"&amp;$T1375)+1)</f>
        <v/>
      </c>
      <c r="V1375">
        <f>IF($U1375="","",$P1375&amp;"|"&amp;RIGHT("000000"&amp;$U1375,6))</f>
        <v/>
      </c>
      <c r="W1375">
        <f>IF($T1375="","",COUNTIFS(LdBGroup,$R1375,LdBKey,"&lt;"&amp;$T1375)+1)</f>
        <v/>
      </c>
      <c r="X1375">
        <f>IF($W1375="","",$R1375&amp;"|"&amp;RIGHT("000000"&amp;$W1375,6))</f>
        <v/>
      </c>
      <c r="Y1375">
        <f>IF($P1375="","",IF(Shares!$E1378="",0,Shares!$E1378))</f>
        <v/>
      </c>
      <c r="Z1375">
        <f>IF($P1375="","",Shares!$H1378)</f>
        <v/>
      </c>
      <c r="AE1375">
        <f>IF(OR(Sync!$S1375="",Sync!$P1375=""),"",Sync!$S1375)</f>
        <v/>
      </c>
      <c r="AF1375">
        <f>IF($AE1375="","",IF(ISNUMBER(Sync!$P1375),IF(AND(Sync!$P1375&gt;=10000101,Sync!$P1375&lt;=99991231),INT(Sync!$P1375/10000),""),IFERROR(VALUE(TRIM(LEFT(Sync!$P1375,FIND("/",Sync!$P1375)-1))),"")))</f>
        <v/>
      </c>
      <c r="AG1375">
        <f>IF(OR($AE1375="",$AF1375=""),"",IF(ISNUMBER(Sync!$P1375),INT(MOD(Sync!$P1375,10000)/100),IFERROR(VALUE(TRIM(LEFT(MID(Sync!$P1375,FIND("/",Sync!$P1375)+1,20),FIND("/",MID(Sync!$P1375,FIND("/",Sync!$P1375)+1,20))-1))),"")))</f>
        <v/>
      </c>
      <c r="AH1375">
        <f>IF(OR($AE1375="",$AF1375=""),"",IF(ISNUMBER(Sync!$P1375),MOD(Sync!$P1375,100),IFERROR(VALUE(TRIM(MID(MID(Sync!$P1375,FIND("/",Sync!$P1375)+1,20),FIND("/",MID(Sync!$P1375,FIND("/",Sync!$P1375)+1,20))+1,20))),"")))</f>
        <v/>
      </c>
      <c r="AI1375">
        <f>IF($AE1375="","",IF(OR($AF1375="",$AG1375="",$AH1375="",$AF1375&lt;1300,$AF1375&gt;1500,$AG1375&lt;1,$AG1375&gt;12,$AH1375&lt;1,$AH1375&gt;31),"نامعتبر",RIGHT("0000"&amp;$AF1375,4)&amp;"/"&amp;RIGHT("00"&amp;$AG1375,2)&amp;"/"&amp;RIGHT("00"&amp;$AH1375,2)))</f>
        <v/>
      </c>
      <c r="AJ1375">
        <f>IF($AE1375="","",IF(Sync!$Q1375="","0000",IF(AND(ISNUMBER(Sync!$Q1375),Sync!$Q1375&gt;=0,Sync!$Q1375&lt;1),RIGHT("00"&amp;HOUR(Sync!$Q1375),2)&amp;RIGHT("00"&amp;MINUTE(Sync!$Q1375),2),IFERROR(RIGHT("00"&amp;VALUE(LEFT(Sync!$Q1375,FIND(":",Sync!$Q1375)-1)),2)&amp;RIGHT("00"&amp;VALUE(MID(Sync!$Q1375,FIND(":",Sync!$Q1375)+1,2)),2),"0000"))))</f>
        <v/>
      </c>
      <c r="AK1375">
        <f>IF(OR($AE1375="",$AI1375="",$AI1375="نامعتبر"),"",LEFT($AI1375,4)&amp;MID($AI1375,6,2)&amp;RIGHT($AI1375,2)&amp;$AJ1375&amp;"|"&amp;"3"&amp;RIGHT("00000"&amp;1370,5))</f>
        <v/>
      </c>
      <c r="AL1375">
        <f>IF($AK1375="","",COUNTIFS(LdAParty,$AE1375,LdAType,1,LdAKey,"&lt;"&amp;$AK1375)+COUNTIFS(LdBMember,$AE1375,LdBKey,"&lt;"&amp;$AK1375)+COUNTIFS(LdCParty,$AE1375,LdCKey,"&lt;"&amp;$AK1375)+1)</f>
        <v/>
      </c>
      <c r="AM1375">
        <f>IF($AL1375="","",$AE1375&amp;"|"&amp;RIGHT("000000"&amp;$AL1375,6))</f>
        <v/>
      </c>
      <c r="AN1375">
        <f>IF($AE1375="","",IF(Sync!$W1375="",0,Sync!$W1375))</f>
        <v/>
      </c>
      <c r="AO1375">
        <f>IF($AE1375="","",IF(Sync!$X1375="",0,Sync!$X1375))</f>
        <v/>
      </c>
      <c r="AP1375">
        <f>IF($AE1375="","",Sync!$R1375)</f>
        <v/>
      </c>
      <c r="AQ1375">
        <f>IF($AE1375="","",Sync!$Y1375)</f>
        <v/>
      </c>
    </row>
    <row r="1376">
      <c r="A1376">
        <f>IF(OR(Wages!$B1379="",Wages!$E1379=""),"",Wages!$E1379)</f>
        <v/>
      </c>
      <c r="B1376">
        <f>IF($A1376="","",IF(Wages!$C1379="دستمزد گروهی",2,1))</f>
        <v/>
      </c>
      <c r="C1376">
        <f>IF($A1376="","",IF(ISNUMBER(Wages!$B1379),IF(AND(Wages!$B1379&gt;=10000101,Wages!$B1379&lt;=99991231),INT(Wages!$B1379/10000),""),IFERROR(VALUE(TRIM(LEFT(Wages!$B1379,FIND("/",Wages!$B1379)-1))),"")))</f>
        <v/>
      </c>
      <c r="D1376">
        <f>IF(OR($A1376="",$C1376=""),"",IF(ISNUMBER(Wages!$B1379),INT(MOD(Wages!$B1379,10000)/100),IFERROR(VALUE(TRIM(LEFT(MID(Wages!$B1379,FIND("/",Wages!$B1379)+1,20),FIND("/",MID(Wages!$B1379,FIND("/",Wages!$B1379)+1,20))-1))),"")))</f>
        <v/>
      </c>
      <c r="E1376">
        <f>IF(OR($A1376="",$C1376=""),"",IF(ISNUMBER(Wages!$B1379),MOD(Wages!$B1379,100),IFERROR(VALUE(TRIM(MID(MID(Wages!$B1379,FIND("/",Wages!$B1379)+1,20),FIND("/",MID(Wages!$B1379,FIND("/",Wages!$B1379)+1,20))+1,20))),"")))</f>
        <v/>
      </c>
      <c r="F1376">
        <f>IF($A1376="","",IF(OR($C1376="",$D1376="",$E1376="",$C1376&lt;1300,$C1376&gt;1500,$D1376&lt;1,$D1376&gt;12,$E1376&lt;1,$E1376&gt;31),"نامعتبر",RIGHT("0000"&amp;$C1376,4)&amp;"/"&amp;RIGHT("00"&amp;$D1376,2)&amp;"/"&amp;RIGHT("00"&amp;$E1376,2)))</f>
        <v/>
      </c>
      <c r="G1376">
        <f>IF(OR($A1376="",$F1376="",$F1376="نامعتبر"),"",LEFT($F1376,4)&amp;MID($F1376,6,2)&amp;RIGHT($F1376,2)&amp;"0000"&amp;"|"&amp;"1"&amp;RIGHT("00000"&amp;1371,5))</f>
        <v/>
      </c>
      <c r="H1376">
        <f>IF(OR($B1376&lt;&gt;1,$G1376=""),"",COUNTIFS(LdAParty,$A1376,LdAType,1,LdAKey,"&lt;"&amp;$G1376)+COUNTIFS(LdBMember,$A1376,LdBKey,"&lt;"&amp;$G1376)+COUNTIFS(LdCParty,$A1376,LdCKey,"&lt;"&amp;$G1376)+1)</f>
        <v/>
      </c>
      <c r="I1376">
        <f>IF($H1376="","",$A1376&amp;"|"&amp;RIGHT("000000"&amp;$H1376,6))</f>
        <v/>
      </c>
      <c r="J1376">
        <f>IF(OR($B1376&lt;&gt;2,$G1376=""),"",COUNTIFS(LdAParty,$A1376,LdAType,2,LdAKey,"&lt;"&amp;$G1376)+1)</f>
        <v/>
      </c>
      <c r="K1376">
        <f>IF($J1376="","",$A1376&amp;"|"&amp;RIGHT("000000"&amp;$J1376,6))</f>
        <v/>
      </c>
      <c r="L1376">
        <f>IF($A1376="","",IF(Wages!$G1379="",0,Wages!$G1379))</f>
        <v/>
      </c>
      <c r="M1376">
        <f>IF($A1376="","",Wages!$J1379)</f>
        <v/>
      </c>
      <c r="N1376">
        <f>IF($A1376="","",Wages!$D1379)</f>
        <v/>
      </c>
      <c r="P1376">
        <f>IF(OR(Shares!$B1379="",Shares!$C1379=""),"",Shares!$C1379)</f>
        <v/>
      </c>
      <c r="Q1376">
        <f>IF($P1376="","",Shares!$B1379)</f>
        <v/>
      </c>
      <c r="R1376">
        <f>IF($P1376="","",IFERROR(INDEX(WageParty,MATCH($Q1376,WageIds,0)),""))</f>
        <v/>
      </c>
      <c r="S1376">
        <f>IF($P1376="","",IFERROR(INDEX($F$6:$F$2005,MATCH($Q1376,WageIds,0)),""))</f>
        <v/>
      </c>
      <c r="T1376">
        <f>IF(OR($P1376="",$S1376="",$S1376="نامعتبر"),"",LEFT($S1376,4)&amp;MID($S1376,6,2)&amp;RIGHT($S1376,2)&amp;"0000"&amp;"|"&amp;"2"&amp;RIGHT("00000"&amp;1371,5))</f>
        <v/>
      </c>
      <c r="U1376">
        <f>IF($T1376="","",COUNTIFS(LdAParty,$P1376,LdAType,1,LdAKey,"&lt;"&amp;$T1376)+COUNTIFS(LdBMember,$P1376,LdBKey,"&lt;"&amp;$T1376)+COUNTIFS(LdCParty,$P1376,LdCKey,"&lt;"&amp;$T1376)+1)</f>
        <v/>
      </c>
      <c r="V1376">
        <f>IF($U1376="","",$P1376&amp;"|"&amp;RIGHT("000000"&amp;$U1376,6))</f>
        <v/>
      </c>
      <c r="W1376">
        <f>IF($T1376="","",COUNTIFS(LdBGroup,$R1376,LdBKey,"&lt;"&amp;$T1376)+1)</f>
        <v/>
      </c>
      <c r="X1376">
        <f>IF($W1376="","",$R1376&amp;"|"&amp;RIGHT("000000"&amp;$W1376,6))</f>
        <v/>
      </c>
      <c r="Y1376">
        <f>IF($P1376="","",IF(Shares!$E1379="",0,Shares!$E1379))</f>
        <v/>
      </c>
      <c r="Z1376">
        <f>IF($P1376="","",Shares!$H1379)</f>
        <v/>
      </c>
      <c r="AE1376">
        <f>IF(OR(Sync!$S1376="",Sync!$P1376=""),"",Sync!$S1376)</f>
        <v/>
      </c>
      <c r="AF1376">
        <f>IF($AE1376="","",IF(ISNUMBER(Sync!$P1376),IF(AND(Sync!$P1376&gt;=10000101,Sync!$P1376&lt;=99991231),INT(Sync!$P1376/10000),""),IFERROR(VALUE(TRIM(LEFT(Sync!$P1376,FIND("/",Sync!$P1376)-1))),"")))</f>
        <v/>
      </c>
      <c r="AG1376">
        <f>IF(OR($AE1376="",$AF1376=""),"",IF(ISNUMBER(Sync!$P1376),INT(MOD(Sync!$P1376,10000)/100),IFERROR(VALUE(TRIM(LEFT(MID(Sync!$P1376,FIND("/",Sync!$P1376)+1,20),FIND("/",MID(Sync!$P1376,FIND("/",Sync!$P1376)+1,20))-1))),"")))</f>
        <v/>
      </c>
      <c r="AH1376">
        <f>IF(OR($AE1376="",$AF1376=""),"",IF(ISNUMBER(Sync!$P1376),MOD(Sync!$P1376,100),IFERROR(VALUE(TRIM(MID(MID(Sync!$P1376,FIND("/",Sync!$P1376)+1,20),FIND("/",MID(Sync!$P1376,FIND("/",Sync!$P1376)+1,20))+1,20))),"")))</f>
        <v/>
      </c>
      <c r="AI1376">
        <f>IF($AE1376="","",IF(OR($AF1376="",$AG1376="",$AH1376="",$AF1376&lt;1300,$AF1376&gt;1500,$AG1376&lt;1,$AG1376&gt;12,$AH1376&lt;1,$AH1376&gt;31),"نامعتبر",RIGHT("0000"&amp;$AF1376,4)&amp;"/"&amp;RIGHT("00"&amp;$AG1376,2)&amp;"/"&amp;RIGHT("00"&amp;$AH1376,2)))</f>
        <v/>
      </c>
      <c r="AJ1376">
        <f>IF($AE1376="","",IF(Sync!$Q1376="","0000",IF(AND(ISNUMBER(Sync!$Q1376),Sync!$Q1376&gt;=0,Sync!$Q1376&lt;1),RIGHT("00"&amp;HOUR(Sync!$Q1376),2)&amp;RIGHT("00"&amp;MINUTE(Sync!$Q1376),2),IFERROR(RIGHT("00"&amp;VALUE(LEFT(Sync!$Q1376,FIND(":",Sync!$Q1376)-1)),2)&amp;RIGHT("00"&amp;VALUE(MID(Sync!$Q1376,FIND(":",Sync!$Q1376)+1,2)),2),"0000"))))</f>
        <v/>
      </c>
      <c r="AK1376">
        <f>IF(OR($AE1376="",$AI1376="",$AI1376="نامعتبر"),"",LEFT($AI1376,4)&amp;MID($AI1376,6,2)&amp;RIGHT($AI1376,2)&amp;$AJ1376&amp;"|"&amp;"3"&amp;RIGHT("00000"&amp;1371,5))</f>
        <v/>
      </c>
      <c r="AL1376">
        <f>IF($AK1376="","",COUNTIFS(LdAParty,$AE1376,LdAType,1,LdAKey,"&lt;"&amp;$AK1376)+COUNTIFS(LdBMember,$AE1376,LdBKey,"&lt;"&amp;$AK1376)+COUNTIFS(LdCParty,$AE1376,LdCKey,"&lt;"&amp;$AK1376)+1)</f>
        <v/>
      </c>
      <c r="AM1376">
        <f>IF($AL1376="","",$AE1376&amp;"|"&amp;RIGHT("000000"&amp;$AL1376,6))</f>
        <v/>
      </c>
      <c r="AN1376">
        <f>IF($AE1376="","",IF(Sync!$W1376="",0,Sync!$W1376))</f>
        <v/>
      </c>
      <c r="AO1376">
        <f>IF($AE1376="","",IF(Sync!$X1376="",0,Sync!$X1376))</f>
        <v/>
      </c>
      <c r="AP1376">
        <f>IF($AE1376="","",Sync!$R1376)</f>
        <v/>
      </c>
      <c r="AQ1376">
        <f>IF($AE1376="","",Sync!$Y1376)</f>
        <v/>
      </c>
    </row>
    <row r="1377">
      <c r="A1377">
        <f>IF(OR(Wages!$B1380="",Wages!$E1380=""),"",Wages!$E1380)</f>
        <v/>
      </c>
      <c r="B1377">
        <f>IF($A1377="","",IF(Wages!$C1380="دستمزد گروهی",2,1))</f>
        <v/>
      </c>
      <c r="C1377">
        <f>IF($A1377="","",IF(ISNUMBER(Wages!$B1380),IF(AND(Wages!$B1380&gt;=10000101,Wages!$B1380&lt;=99991231),INT(Wages!$B1380/10000),""),IFERROR(VALUE(TRIM(LEFT(Wages!$B1380,FIND("/",Wages!$B1380)-1))),"")))</f>
        <v/>
      </c>
      <c r="D1377">
        <f>IF(OR($A1377="",$C1377=""),"",IF(ISNUMBER(Wages!$B1380),INT(MOD(Wages!$B1380,10000)/100),IFERROR(VALUE(TRIM(LEFT(MID(Wages!$B1380,FIND("/",Wages!$B1380)+1,20),FIND("/",MID(Wages!$B1380,FIND("/",Wages!$B1380)+1,20))-1))),"")))</f>
        <v/>
      </c>
      <c r="E1377">
        <f>IF(OR($A1377="",$C1377=""),"",IF(ISNUMBER(Wages!$B1380),MOD(Wages!$B1380,100),IFERROR(VALUE(TRIM(MID(MID(Wages!$B1380,FIND("/",Wages!$B1380)+1,20),FIND("/",MID(Wages!$B1380,FIND("/",Wages!$B1380)+1,20))+1,20))),"")))</f>
        <v/>
      </c>
      <c r="F1377">
        <f>IF($A1377="","",IF(OR($C1377="",$D1377="",$E1377="",$C1377&lt;1300,$C1377&gt;1500,$D1377&lt;1,$D1377&gt;12,$E1377&lt;1,$E1377&gt;31),"نامعتبر",RIGHT("0000"&amp;$C1377,4)&amp;"/"&amp;RIGHT("00"&amp;$D1377,2)&amp;"/"&amp;RIGHT("00"&amp;$E1377,2)))</f>
        <v/>
      </c>
      <c r="G1377">
        <f>IF(OR($A1377="",$F1377="",$F1377="نامعتبر"),"",LEFT($F1377,4)&amp;MID($F1377,6,2)&amp;RIGHT($F1377,2)&amp;"0000"&amp;"|"&amp;"1"&amp;RIGHT("00000"&amp;1372,5))</f>
        <v/>
      </c>
      <c r="H1377">
        <f>IF(OR($B1377&lt;&gt;1,$G1377=""),"",COUNTIFS(LdAParty,$A1377,LdAType,1,LdAKey,"&lt;"&amp;$G1377)+COUNTIFS(LdBMember,$A1377,LdBKey,"&lt;"&amp;$G1377)+COUNTIFS(LdCParty,$A1377,LdCKey,"&lt;"&amp;$G1377)+1)</f>
        <v/>
      </c>
      <c r="I1377">
        <f>IF($H1377="","",$A1377&amp;"|"&amp;RIGHT("000000"&amp;$H1377,6))</f>
        <v/>
      </c>
      <c r="J1377">
        <f>IF(OR($B1377&lt;&gt;2,$G1377=""),"",COUNTIFS(LdAParty,$A1377,LdAType,2,LdAKey,"&lt;"&amp;$G1377)+1)</f>
        <v/>
      </c>
      <c r="K1377">
        <f>IF($J1377="","",$A1377&amp;"|"&amp;RIGHT("000000"&amp;$J1377,6))</f>
        <v/>
      </c>
      <c r="L1377">
        <f>IF($A1377="","",IF(Wages!$G1380="",0,Wages!$G1380))</f>
        <v/>
      </c>
      <c r="M1377">
        <f>IF($A1377="","",Wages!$J1380)</f>
        <v/>
      </c>
      <c r="N1377">
        <f>IF($A1377="","",Wages!$D1380)</f>
        <v/>
      </c>
      <c r="P1377">
        <f>IF(OR(Shares!$B1380="",Shares!$C1380=""),"",Shares!$C1380)</f>
        <v/>
      </c>
      <c r="Q1377">
        <f>IF($P1377="","",Shares!$B1380)</f>
        <v/>
      </c>
      <c r="R1377">
        <f>IF($P1377="","",IFERROR(INDEX(WageParty,MATCH($Q1377,WageIds,0)),""))</f>
        <v/>
      </c>
      <c r="S1377">
        <f>IF($P1377="","",IFERROR(INDEX($F$6:$F$2005,MATCH($Q1377,WageIds,0)),""))</f>
        <v/>
      </c>
      <c r="T1377">
        <f>IF(OR($P1377="",$S1377="",$S1377="نامعتبر"),"",LEFT($S1377,4)&amp;MID($S1377,6,2)&amp;RIGHT($S1377,2)&amp;"0000"&amp;"|"&amp;"2"&amp;RIGHT("00000"&amp;1372,5))</f>
        <v/>
      </c>
      <c r="U1377">
        <f>IF($T1377="","",COUNTIFS(LdAParty,$P1377,LdAType,1,LdAKey,"&lt;"&amp;$T1377)+COUNTIFS(LdBMember,$P1377,LdBKey,"&lt;"&amp;$T1377)+COUNTIFS(LdCParty,$P1377,LdCKey,"&lt;"&amp;$T1377)+1)</f>
        <v/>
      </c>
      <c r="V1377">
        <f>IF($U1377="","",$P1377&amp;"|"&amp;RIGHT("000000"&amp;$U1377,6))</f>
        <v/>
      </c>
      <c r="W1377">
        <f>IF($T1377="","",COUNTIFS(LdBGroup,$R1377,LdBKey,"&lt;"&amp;$T1377)+1)</f>
        <v/>
      </c>
      <c r="X1377">
        <f>IF($W1377="","",$R1377&amp;"|"&amp;RIGHT("000000"&amp;$W1377,6))</f>
        <v/>
      </c>
      <c r="Y1377">
        <f>IF($P1377="","",IF(Shares!$E1380="",0,Shares!$E1380))</f>
        <v/>
      </c>
      <c r="Z1377">
        <f>IF($P1377="","",Shares!$H1380)</f>
        <v/>
      </c>
      <c r="AE1377">
        <f>IF(OR(Sync!$S1377="",Sync!$P1377=""),"",Sync!$S1377)</f>
        <v/>
      </c>
      <c r="AF1377">
        <f>IF($AE1377="","",IF(ISNUMBER(Sync!$P1377),IF(AND(Sync!$P1377&gt;=10000101,Sync!$P1377&lt;=99991231),INT(Sync!$P1377/10000),""),IFERROR(VALUE(TRIM(LEFT(Sync!$P1377,FIND("/",Sync!$P1377)-1))),"")))</f>
        <v/>
      </c>
      <c r="AG1377">
        <f>IF(OR($AE1377="",$AF1377=""),"",IF(ISNUMBER(Sync!$P1377),INT(MOD(Sync!$P1377,10000)/100),IFERROR(VALUE(TRIM(LEFT(MID(Sync!$P1377,FIND("/",Sync!$P1377)+1,20),FIND("/",MID(Sync!$P1377,FIND("/",Sync!$P1377)+1,20))-1))),"")))</f>
        <v/>
      </c>
      <c r="AH1377">
        <f>IF(OR($AE1377="",$AF1377=""),"",IF(ISNUMBER(Sync!$P1377),MOD(Sync!$P1377,100),IFERROR(VALUE(TRIM(MID(MID(Sync!$P1377,FIND("/",Sync!$P1377)+1,20),FIND("/",MID(Sync!$P1377,FIND("/",Sync!$P1377)+1,20))+1,20))),"")))</f>
        <v/>
      </c>
      <c r="AI1377">
        <f>IF($AE1377="","",IF(OR($AF1377="",$AG1377="",$AH1377="",$AF1377&lt;1300,$AF1377&gt;1500,$AG1377&lt;1,$AG1377&gt;12,$AH1377&lt;1,$AH1377&gt;31),"نامعتبر",RIGHT("0000"&amp;$AF1377,4)&amp;"/"&amp;RIGHT("00"&amp;$AG1377,2)&amp;"/"&amp;RIGHT("00"&amp;$AH1377,2)))</f>
        <v/>
      </c>
      <c r="AJ1377">
        <f>IF($AE1377="","",IF(Sync!$Q1377="","0000",IF(AND(ISNUMBER(Sync!$Q1377),Sync!$Q1377&gt;=0,Sync!$Q1377&lt;1),RIGHT("00"&amp;HOUR(Sync!$Q1377),2)&amp;RIGHT("00"&amp;MINUTE(Sync!$Q1377),2),IFERROR(RIGHT("00"&amp;VALUE(LEFT(Sync!$Q1377,FIND(":",Sync!$Q1377)-1)),2)&amp;RIGHT("00"&amp;VALUE(MID(Sync!$Q1377,FIND(":",Sync!$Q1377)+1,2)),2),"0000"))))</f>
        <v/>
      </c>
      <c r="AK1377">
        <f>IF(OR($AE1377="",$AI1377="",$AI1377="نامعتبر"),"",LEFT($AI1377,4)&amp;MID($AI1377,6,2)&amp;RIGHT($AI1377,2)&amp;$AJ1377&amp;"|"&amp;"3"&amp;RIGHT("00000"&amp;1372,5))</f>
        <v/>
      </c>
      <c r="AL1377">
        <f>IF($AK1377="","",COUNTIFS(LdAParty,$AE1377,LdAType,1,LdAKey,"&lt;"&amp;$AK1377)+COUNTIFS(LdBMember,$AE1377,LdBKey,"&lt;"&amp;$AK1377)+COUNTIFS(LdCParty,$AE1377,LdCKey,"&lt;"&amp;$AK1377)+1)</f>
        <v/>
      </c>
      <c r="AM1377">
        <f>IF($AL1377="","",$AE1377&amp;"|"&amp;RIGHT("000000"&amp;$AL1377,6))</f>
        <v/>
      </c>
      <c r="AN1377">
        <f>IF($AE1377="","",IF(Sync!$W1377="",0,Sync!$W1377))</f>
        <v/>
      </c>
      <c r="AO1377">
        <f>IF($AE1377="","",IF(Sync!$X1377="",0,Sync!$X1377))</f>
        <v/>
      </c>
      <c r="AP1377">
        <f>IF($AE1377="","",Sync!$R1377)</f>
        <v/>
      </c>
      <c r="AQ1377">
        <f>IF($AE1377="","",Sync!$Y1377)</f>
        <v/>
      </c>
    </row>
    <row r="1378">
      <c r="A1378">
        <f>IF(OR(Wages!$B1381="",Wages!$E1381=""),"",Wages!$E1381)</f>
        <v/>
      </c>
      <c r="B1378">
        <f>IF($A1378="","",IF(Wages!$C1381="دستمزد گروهی",2,1))</f>
        <v/>
      </c>
      <c r="C1378">
        <f>IF($A1378="","",IF(ISNUMBER(Wages!$B1381),IF(AND(Wages!$B1381&gt;=10000101,Wages!$B1381&lt;=99991231),INT(Wages!$B1381/10000),""),IFERROR(VALUE(TRIM(LEFT(Wages!$B1381,FIND("/",Wages!$B1381)-1))),"")))</f>
        <v/>
      </c>
      <c r="D1378">
        <f>IF(OR($A1378="",$C1378=""),"",IF(ISNUMBER(Wages!$B1381),INT(MOD(Wages!$B1381,10000)/100),IFERROR(VALUE(TRIM(LEFT(MID(Wages!$B1381,FIND("/",Wages!$B1381)+1,20),FIND("/",MID(Wages!$B1381,FIND("/",Wages!$B1381)+1,20))-1))),"")))</f>
        <v/>
      </c>
      <c r="E1378">
        <f>IF(OR($A1378="",$C1378=""),"",IF(ISNUMBER(Wages!$B1381),MOD(Wages!$B1381,100),IFERROR(VALUE(TRIM(MID(MID(Wages!$B1381,FIND("/",Wages!$B1381)+1,20),FIND("/",MID(Wages!$B1381,FIND("/",Wages!$B1381)+1,20))+1,20))),"")))</f>
        <v/>
      </c>
      <c r="F1378">
        <f>IF($A1378="","",IF(OR($C1378="",$D1378="",$E1378="",$C1378&lt;1300,$C1378&gt;1500,$D1378&lt;1,$D1378&gt;12,$E1378&lt;1,$E1378&gt;31),"نامعتبر",RIGHT("0000"&amp;$C1378,4)&amp;"/"&amp;RIGHT("00"&amp;$D1378,2)&amp;"/"&amp;RIGHT("00"&amp;$E1378,2)))</f>
        <v/>
      </c>
      <c r="G1378">
        <f>IF(OR($A1378="",$F1378="",$F1378="نامعتبر"),"",LEFT($F1378,4)&amp;MID($F1378,6,2)&amp;RIGHT($F1378,2)&amp;"0000"&amp;"|"&amp;"1"&amp;RIGHT("00000"&amp;1373,5))</f>
        <v/>
      </c>
      <c r="H1378">
        <f>IF(OR($B1378&lt;&gt;1,$G1378=""),"",COUNTIFS(LdAParty,$A1378,LdAType,1,LdAKey,"&lt;"&amp;$G1378)+COUNTIFS(LdBMember,$A1378,LdBKey,"&lt;"&amp;$G1378)+COUNTIFS(LdCParty,$A1378,LdCKey,"&lt;"&amp;$G1378)+1)</f>
        <v/>
      </c>
      <c r="I1378">
        <f>IF($H1378="","",$A1378&amp;"|"&amp;RIGHT("000000"&amp;$H1378,6))</f>
        <v/>
      </c>
      <c r="J1378">
        <f>IF(OR($B1378&lt;&gt;2,$G1378=""),"",COUNTIFS(LdAParty,$A1378,LdAType,2,LdAKey,"&lt;"&amp;$G1378)+1)</f>
        <v/>
      </c>
      <c r="K1378">
        <f>IF($J1378="","",$A1378&amp;"|"&amp;RIGHT("000000"&amp;$J1378,6))</f>
        <v/>
      </c>
      <c r="L1378">
        <f>IF($A1378="","",IF(Wages!$G1381="",0,Wages!$G1381))</f>
        <v/>
      </c>
      <c r="M1378">
        <f>IF($A1378="","",Wages!$J1381)</f>
        <v/>
      </c>
      <c r="N1378">
        <f>IF($A1378="","",Wages!$D1381)</f>
        <v/>
      </c>
      <c r="P1378">
        <f>IF(OR(Shares!$B1381="",Shares!$C1381=""),"",Shares!$C1381)</f>
        <v/>
      </c>
      <c r="Q1378">
        <f>IF($P1378="","",Shares!$B1381)</f>
        <v/>
      </c>
      <c r="R1378">
        <f>IF($P1378="","",IFERROR(INDEX(WageParty,MATCH($Q1378,WageIds,0)),""))</f>
        <v/>
      </c>
      <c r="S1378">
        <f>IF($P1378="","",IFERROR(INDEX($F$6:$F$2005,MATCH($Q1378,WageIds,0)),""))</f>
        <v/>
      </c>
      <c r="T1378">
        <f>IF(OR($P1378="",$S1378="",$S1378="نامعتبر"),"",LEFT($S1378,4)&amp;MID($S1378,6,2)&amp;RIGHT($S1378,2)&amp;"0000"&amp;"|"&amp;"2"&amp;RIGHT("00000"&amp;1373,5))</f>
        <v/>
      </c>
      <c r="U1378">
        <f>IF($T1378="","",COUNTIFS(LdAParty,$P1378,LdAType,1,LdAKey,"&lt;"&amp;$T1378)+COUNTIFS(LdBMember,$P1378,LdBKey,"&lt;"&amp;$T1378)+COUNTIFS(LdCParty,$P1378,LdCKey,"&lt;"&amp;$T1378)+1)</f>
        <v/>
      </c>
      <c r="V1378">
        <f>IF($U1378="","",$P1378&amp;"|"&amp;RIGHT("000000"&amp;$U1378,6))</f>
        <v/>
      </c>
      <c r="W1378">
        <f>IF($T1378="","",COUNTIFS(LdBGroup,$R1378,LdBKey,"&lt;"&amp;$T1378)+1)</f>
        <v/>
      </c>
      <c r="X1378">
        <f>IF($W1378="","",$R1378&amp;"|"&amp;RIGHT("000000"&amp;$W1378,6))</f>
        <v/>
      </c>
      <c r="Y1378">
        <f>IF($P1378="","",IF(Shares!$E1381="",0,Shares!$E1381))</f>
        <v/>
      </c>
      <c r="Z1378">
        <f>IF($P1378="","",Shares!$H1381)</f>
        <v/>
      </c>
      <c r="AE1378">
        <f>IF(OR(Sync!$S1378="",Sync!$P1378=""),"",Sync!$S1378)</f>
        <v/>
      </c>
      <c r="AF1378">
        <f>IF($AE1378="","",IF(ISNUMBER(Sync!$P1378),IF(AND(Sync!$P1378&gt;=10000101,Sync!$P1378&lt;=99991231),INT(Sync!$P1378/10000),""),IFERROR(VALUE(TRIM(LEFT(Sync!$P1378,FIND("/",Sync!$P1378)-1))),"")))</f>
        <v/>
      </c>
      <c r="AG1378">
        <f>IF(OR($AE1378="",$AF1378=""),"",IF(ISNUMBER(Sync!$P1378),INT(MOD(Sync!$P1378,10000)/100),IFERROR(VALUE(TRIM(LEFT(MID(Sync!$P1378,FIND("/",Sync!$P1378)+1,20),FIND("/",MID(Sync!$P1378,FIND("/",Sync!$P1378)+1,20))-1))),"")))</f>
        <v/>
      </c>
      <c r="AH1378">
        <f>IF(OR($AE1378="",$AF1378=""),"",IF(ISNUMBER(Sync!$P1378),MOD(Sync!$P1378,100),IFERROR(VALUE(TRIM(MID(MID(Sync!$P1378,FIND("/",Sync!$P1378)+1,20),FIND("/",MID(Sync!$P1378,FIND("/",Sync!$P1378)+1,20))+1,20))),"")))</f>
        <v/>
      </c>
      <c r="AI1378">
        <f>IF($AE1378="","",IF(OR($AF1378="",$AG1378="",$AH1378="",$AF1378&lt;1300,$AF1378&gt;1500,$AG1378&lt;1,$AG1378&gt;12,$AH1378&lt;1,$AH1378&gt;31),"نامعتبر",RIGHT("0000"&amp;$AF1378,4)&amp;"/"&amp;RIGHT("00"&amp;$AG1378,2)&amp;"/"&amp;RIGHT("00"&amp;$AH1378,2)))</f>
        <v/>
      </c>
      <c r="AJ1378">
        <f>IF($AE1378="","",IF(Sync!$Q1378="","0000",IF(AND(ISNUMBER(Sync!$Q1378),Sync!$Q1378&gt;=0,Sync!$Q1378&lt;1),RIGHT("00"&amp;HOUR(Sync!$Q1378),2)&amp;RIGHT("00"&amp;MINUTE(Sync!$Q1378),2),IFERROR(RIGHT("00"&amp;VALUE(LEFT(Sync!$Q1378,FIND(":",Sync!$Q1378)-1)),2)&amp;RIGHT("00"&amp;VALUE(MID(Sync!$Q1378,FIND(":",Sync!$Q1378)+1,2)),2),"0000"))))</f>
        <v/>
      </c>
      <c r="AK1378">
        <f>IF(OR($AE1378="",$AI1378="",$AI1378="نامعتبر"),"",LEFT($AI1378,4)&amp;MID($AI1378,6,2)&amp;RIGHT($AI1378,2)&amp;$AJ1378&amp;"|"&amp;"3"&amp;RIGHT("00000"&amp;1373,5))</f>
        <v/>
      </c>
      <c r="AL1378">
        <f>IF($AK1378="","",COUNTIFS(LdAParty,$AE1378,LdAType,1,LdAKey,"&lt;"&amp;$AK1378)+COUNTIFS(LdBMember,$AE1378,LdBKey,"&lt;"&amp;$AK1378)+COUNTIFS(LdCParty,$AE1378,LdCKey,"&lt;"&amp;$AK1378)+1)</f>
        <v/>
      </c>
      <c r="AM1378">
        <f>IF($AL1378="","",$AE1378&amp;"|"&amp;RIGHT("000000"&amp;$AL1378,6))</f>
        <v/>
      </c>
      <c r="AN1378">
        <f>IF($AE1378="","",IF(Sync!$W1378="",0,Sync!$W1378))</f>
        <v/>
      </c>
      <c r="AO1378">
        <f>IF($AE1378="","",IF(Sync!$X1378="",0,Sync!$X1378))</f>
        <v/>
      </c>
      <c r="AP1378">
        <f>IF($AE1378="","",Sync!$R1378)</f>
        <v/>
      </c>
      <c r="AQ1378">
        <f>IF($AE1378="","",Sync!$Y1378)</f>
        <v/>
      </c>
    </row>
    <row r="1379">
      <c r="A1379">
        <f>IF(OR(Wages!$B1382="",Wages!$E1382=""),"",Wages!$E1382)</f>
        <v/>
      </c>
      <c r="B1379">
        <f>IF($A1379="","",IF(Wages!$C1382="دستمزد گروهی",2,1))</f>
        <v/>
      </c>
      <c r="C1379">
        <f>IF($A1379="","",IF(ISNUMBER(Wages!$B1382),IF(AND(Wages!$B1382&gt;=10000101,Wages!$B1382&lt;=99991231),INT(Wages!$B1382/10000),""),IFERROR(VALUE(TRIM(LEFT(Wages!$B1382,FIND("/",Wages!$B1382)-1))),"")))</f>
        <v/>
      </c>
      <c r="D1379">
        <f>IF(OR($A1379="",$C1379=""),"",IF(ISNUMBER(Wages!$B1382),INT(MOD(Wages!$B1382,10000)/100),IFERROR(VALUE(TRIM(LEFT(MID(Wages!$B1382,FIND("/",Wages!$B1382)+1,20),FIND("/",MID(Wages!$B1382,FIND("/",Wages!$B1382)+1,20))-1))),"")))</f>
        <v/>
      </c>
      <c r="E1379">
        <f>IF(OR($A1379="",$C1379=""),"",IF(ISNUMBER(Wages!$B1382),MOD(Wages!$B1382,100),IFERROR(VALUE(TRIM(MID(MID(Wages!$B1382,FIND("/",Wages!$B1382)+1,20),FIND("/",MID(Wages!$B1382,FIND("/",Wages!$B1382)+1,20))+1,20))),"")))</f>
        <v/>
      </c>
      <c r="F1379">
        <f>IF($A1379="","",IF(OR($C1379="",$D1379="",$E1379="",$C1379&lt;1300,$C1379&gt;1500,$D1379&lt;1,$D1379&gt;12,$E1379&lt;1,$E1379&gt;31),"نامعتبر",RIGHT("0000"&amp;$C1379,4)&amp;"/"&amp;RIGHT("00"&amp;$D1379,2)&amp;"/"&amp;RIGHT("00"&amp;$E1379,2)))</f>
        <v/>
      </c>
      <c r="G1379">
        <f>IF(OR($A1379="",$F1379="",$F1379="نامعتبر"),"",LEFT($F1379,4)&amp;MID($F1379,6,2)&amp;RIGHT($F1379,2)&amp;"0000"&amp;"|"&amp;"1"&amp;RIGHT("00000"&amp;1374,5))</f>
        <v/>
      </c>
      <c r="H1379">
        <f>IF(OR($B1379&lt;&gt;1,$G1379=""),"",COUNTIFS(LdAParty,$A1379,LdAType,1,LdAKey,"&lt;"&amp;$G1379)+COUNTIFS(LdBMember,$A1379,LdBKey,"&lt;"&amp;$G1379)+COUNTIFS(LdCParty,$A1379,LdCKey,"&lt;"&amp;$G1379)+1)</f>
        <v/>
      </c>
      <c r="I1379">
        <f>IF($H1379="","",$A1379&amp;"|"&amp;RIGHT("000000"&amp;$H1379,6))</f>
        <v/>
      </c>
      <c r="J1379">
        <f>IF(OR($B1379&lt;&gt;2,$G1379=""),"",COUNTIFS(LdAParty,$A1379,LdAType,2,LdAKey,"&lt;"&amp;$G1379)+1)</f>
        <v/>
      </c>
      <c r="K1379">
        <f>IF($J1379="","",$A1379&amp;"|"&amp;RIGHT("000000"&amp;$J1379,6))</f>
        <v/>
      </c>
      <c r="L1379">
        <f>IF($A1379="","",IF(Wages!$G1382="",0,Wages!$G1382))</f>
        <v/>
      </c>
      <c r="M1379">
        <f>IF($A1379="","",Wages!$J1382)</f>
        <v/>
      </c>
      <c r="N1379">
        <f>IF($A1379="","",Wages!$D1382)</f>
        <v/>
      </c>
      <c r="P1379">
        <f>IF(OR(Shares!$B1382="",Shares!$C1382=""),"",Shares!$C1382)</f>
        <v/>
      </c>
      <c r="Q1379">
        <f>IF($P1379="","",Shares!$B1382)</f>
        <v/>
      </c>
      <c r="R1379">
        <f>IF($P1379="","",IFERROR(INDEX(WageParty,MATCH($Q1379,WageIds,0)),""))</f>
        <v/>
      </c>
      <c r="S1379">
        <f>IF($P1379="","",IFERROR(INDEX($F$6:$F$2005,MATCH($Q1379,WageIds,0)),""))</f>
        <v/>
      </c>
      <c r="T1379">
        <f>IF(OR($P1379="",$S1379="",$S1379="نامعتبر"),"",LEFT($S1379,4)&amp;MID($S1379,6,2)&amp;RIGHT($S1379,2)&amp;"0000"&amp;"|"&amp;"2"&amp;RIGHT("00000"&amp;1374,5))</f>
        <v/>
      </c>
      <c r="U1379">
        <f>IF($T1379="","",COUNTIFS(LdAParty,$P1379,LdAType,1,LdAKey,"&lt;"&amp;$T1379)+COUNTIFS(LdBMember,$P1379,LdBKey,"&lt;"&amp;$T1379)+COUNTIFS(LdCParty,$P1379,LdCKey,"&lt;"&amp;$T1379)+1)</f>
        <v/>
      </c>
      <c r="V1379">
        <f>IF($U1379="","",$P1379&amp;"|"&amp;RIGHT("000000"&amp;$U1379,6))</f>
        <v/>
      </c>
      <c r="W1379">
        <f>IF($T1379="","",COUNTIFS(LdBGroup,$R1379,LdBKey,"&lt;"&amp;$T1379)+1)</f>
        <v/>
      </c>
      <c r="X1379">
        <f>IF($W1379="","",$R1379&amp;"|"&amp;RIGHT("000000"&amp;$W1379,6))</f>
        <v/>
      </c>
      <c r="Y1379">
        <f>IF($P1379="","",IF(Shares!$E1382="",0,Shares!$E1382))</f>
        <v/>
      </c>
      <c r="Z1379">
        <f>IF($P1379="","",Shares!$H1382)</f>
        <v/>
      </c>
      <c r="AE1379">
        <f>IF(OR(Sync!$S1379="",Sync!$P1379=""),"",Sync!$S1379)</f>
        <v/>
      </c>
      <c r="AF1379">
        <f>IF($AE1379="","",IF(ISNUMBER(Sync!$P1379),IF(AND(Sync!$P1379&gt;=10000101,Sync!$P1379&lt;=99991231),INT(Sync!$P1379/10000),""),IFERROR(VALUE(TRIM(LEFT(Sync!$P1379,FIND("/",Sync!$P1379)-1))),"")))</f>
        <v/>
      </c>
      <c r="AG1379">
        <f>IF(OR($AE1379="",$AF1379=""),"",IF(ISNUMBER(Sync!$P1379),INT(MOD(Sync!$P1379,10000)/100),IFERROR(VALUE(TRIM(LEFT(MID(Sync!$P1379,FIND("/",Sync!$P1379)+1,20),FIND("/",MID(Sync!$P1379,FIND("/",Sync!$P1379)+1,20))-1))),"")))</f>
        <v/>
      </c>
      <c r="AH1379">
        <f>IF(OR($AE1379="",$AF1379=""),"",IF(ISNUMBER(Sync!$P1379),MOD(Sync!$P1379,100),IFERROR(VALUE(TRIM(MID(MID(Sync!$P1379,FIND("/",Sync!$P1379)+1,20),FIND("/",MID(Sync!$P1379,FIND("/",Sync!$P1379)+1,20))+1,20))),"")))</f>
        <v/>
      </c>
      <c r="AI1379">
        <f>IF($AE1379="","",IF(OR($AF1379="",$AG1379="",$AH1379="",$AF1379&lt;1300,$AF1379&gt;1500,$AG1379&lt;1,$AG1379&gt;12,$AH1379&lt;1,$AH1379&gt;31),"نامعتبر",RIGHT("0000"&amp;$AF1379,4)&amp;"/"&amp;RIGHT("00"&amp;$AG1379,2)&amp;"/"&amp;RIGHT("00"&amp;$AH1379,2)))</f>
        <v/>
      </c>
      <c r="AJ1379">
        <f>IF($AE1379="","",IF(Sync!$Q1379="","0000",IF(AND(ISNUMBER(Sync!$Q1379),Sync!$Q1379&gt;=0,Sync!$Q1379&lt;1),RIGHT("00"&amp;HOUR(Sync!$Q1379),2)&amp;RIGHT("00"&amp;MINUTE(Sync!$Q1379),2),IFERROR(RIGHT("00"&amp;VALUE(LEFT(Sync!$Q1379,FIND(":",Sync!$Q1379)-1)),2)&amp;RIGHT("00"&amp;VALUE(MID(Sync!$Q1379,FIND(":",Sync!$Q1379)+1,2)),2),"0000"))))</f>
        <v/>
      </c>
      <c r="AK1379">
        <f>IF(OR($AE1379="",$AI1379="",$AI1379="نامعتبر"),"",LEFT($AI1379,4)&amp;MID($AI1379,6,2)&amp;RIGHT($AI1379,2)&amp;$AJ1379&amp;"|"&amp;"3"&amp;RIGHT("00000"&amp;1374,5))</f>
        <v/>
      </c>
      <c r="AL1379">
        <f>IF($AK1379="","",COUNTIFS(LdAParty,$AE1379,LdAType,1,LdAKey,"&lt;"&amp;$AK1379)+COUNTIFS(LdBMember,$AE1379,LdBKey,"&lt;"&amp;$AK1379)+COUNTIFS(LdCParty,$AE1379,LdCKey,"&lt;"&amp;$AK1379)+1)</f>
        <v/>
      </c>
      <c r="AM1379">
        <f>IF($AL1379="","",$AE1379&amp;"|"&amp;RIGHT("000000"&amp;$AL1379,6))</f>
        <v/>
      </c>
      <c r="AN1379">
        <f>IF($AE1379="","",IF(Sync!$W1379="",0,Sync!$W1379))</f>
        <v/>
      </c>
      <c r="AO1379">
        <f>IF($AE1379="","",IF(Sync!$X1379="",0,Sync!$X1379))</f>
        <v/>
      </c>
      <c r="AP1379">
        <f>IF($AE1379="","",Sync!$R1379)</f>
        <v/>
      </c>
      <c r="AQ1379">
        <f>IF($AE1379="","",Sync!$Y1379)</f>
        <v/>
      </c>
    </row>
    <row r="1380">
      <c r="A1380">
        <f>IF(OR(Wages!$B1383="",Wages!$E1383=""),"",Wages!$E1383)</f>
        <v/>
      </c>
      <c r="B1380">
        <f>IF($A1380="","",IF(Wages!$C1383="دستمزد گروهی",2,1))</f>
        <v/>
      </c>
      <c r="C1380">
        <f>IF($A1380="","",IF(ISNUMBER(Wages!$B1383),IF(AND(Wages!$B1383&gt;=10000101,Wages!$B1383&lt;=99991231),INT(Wages!$B1383/10000),""),IFERROR(VALUE(TRIM(LEFT(Wages!$B1383,FIND("/",Wages!$B1383)-1))),"")))</f>
        <v/>
      </c>
      <c r="D1380">
        <f>IF(OR($A1380="",$C1380=""),"",IF(ISNUMBER(Wages!$B1383),INT(MOD(Wages!$B1383,10000)/100),IFERROR(VALUE(TRIM(LEFT(MID(Wages!$B1383,FIND("/",Wages!$B1383)+1,20),FIND("/",MID(Wages!$B1383,FIND("/",Wages!$B1383)+1,20))-1))),"")))</f>
        <v/>
      </c>
      <c r="E1380">
        <f>IF(OR($A1380="",$C1380=""),"",IF(ISNUMBER(Wages!$B1383),MOD(Wages!$B1383,100),IFERROR(VALUE(TRIM(MID(MID(Wages!$B1383,FIND("/",Wages!$B1383)+1,20),FIND("/",MID(Wages!$B1383,FIND("/",Wages!$B1383)+1,20))+1,20))),"")))</f>
        <v/>
      </c>
      <c r="F1380">
        <f>IF($A1380="","",IF(OR($C1380="",$D1380="",$E1380="",$C1380&lt;1300,$C1380&gt;1500,$D1380&lt;1,$D1380&gt;12,$E1380&lt;1,$E1380&gt;31),"نامعتبر",RIGHT("0000"&amp;$C1380,4)&amp;"/"&amp;RIGHT("00"&amp;$D1380,2)&amp;"/"&amp;RIGHT("00"&amp;$E1380,2)))</f>
        <v/>
      </c>
      <c r="G1380">
        <f>IF(OR($A1380="",$F1380="",$F1380="نامعتبر"),"",LEFT($F1380,4)&amp;MID($F1380,6,2)&amp;RIGHT($F1380,2)&amp;"0000"&amp;"|"&amp;"1"&amp;RIGHT("00000"&amp;1375,5))</f>
        <v/>
      </c>
      <c r="H1380">
        <f>IF(OR($B1380&lt;&gt;1,$G1380=""),"",COUNTIFS(LdAParty,$A1380,LdAType,1,LdAKey,"&lt;"&amp;$G1380)+COUNTIFS(LdBMember,$A1380,LdBKey,"&lt;"&amp;$G1380)+COUNTIFS(LdCParty,$A1380,LdCKey,"&lt;"&amp;$G1380)+1)</f>
        <v/>
      </c>
      <c r="I1380">
        <f>IF($H1380="","",$A1380&amp;"|"&amp;RIGHT("000000"&amp;$H1380,6))</f>
        <v/>
      </c>
      <c r="J1380">
        <f>IF(OR($B1380&lt;&gt;2,$G1380=""),"",COUNTIFS(LdAParty,$A1380,LdAType,2,LdAKey,"&lt;"&amp;$G1380)+1)</f>
        <v/>
      </c>
      <c r="K1380">
        <f>IF($J1380="","",$A1380&amp;"|"&amp;RIGHT("000000"&amp;$J1380,6))</f>
        <v/>
      </c>
      <c r="L1380">
        <f>IF($A1380="","",IF(Wages!$G1383="",0,Wages!$G1383))</f>
        <v/>
      </c>
      <c r="M1380">
        <f>IF($A1380="","",Wages!$J1383)</f>
        <v/>
      </c>
      <c r="N1380">
        <f>IF($A1380="","",Wages!$D1383)</f>
        <v/>
      </c>
      <c r="P1380">
        <f>IF(OR(Shares!$B1383="",Shares!$C1383=""),"",Shares!$C1383)</f>
        <v/>
      </c>
      <c r="Q1380">
        <f>IF($P1380="","",Shares!$B1383)</f>
        <v/>
      </c>
      <c r="R1380">
        <f>IF($P1380="","",IFERROR(INDEX(WageParty,MATCH($Q1380,WageIds,0)),""))</f>
        <v/>
      </c>
      <c r="S1380">
        <f>IF($P1380="","",IFERROR(INDEX($F$6:$F$2005,MATCH($Q1380,WageIds,0)),""))</f>
        <v/>
      </c>
      <c r="T1380">
        <f>IF(OR($P1380="",$S1380="",$S1380="نامعتبر"),"",LEFT($S1380,4)&amp;MID($S1380,6,2)&amp;RIGHT($S1380,2)&amp;"0000"&amp;"|"&amp;"2"&amp;RIGHT("00000"&amp;1375,5))</f>
        <v/>
      </c>
      <c r="U1380">
        <f>IF($T1380="","",COUNTIFS(LdAParty,$P1380,LdAType,1,LdAKey,"&lt;"&amp;$T1380)+COUNTIFS(LdBMember,$P1380,LdBKey,"&lt;"&amp;$T1380)+COUNTIFS(LdCParty,$P1380,LdCKey,"&lt;"&amp;$T1380)+1)</f>
        <v/>
      </c>
      <c r="V1380">
        <f>IF($U1380="","",$P1380&amp;"|"&amp;RIGHT("000000"&amp;$U1380,6))</f>
        <v/>
      </c>
      <c r="W1380">
        <f>IF($T1380="","",COUNTIFS(LdBGroup,$R1380,LdBKey,"&lt;"&amp;$T1380)+1)</f>
        <v/>
      </c>
      <c r="X1380">
        <f>IF($W1380="","",$R1380&amp;"|"&amp;RIGHT("000000"&amp;$W1380,6))</f>
        <v/>
      </c>
      <c r="Y1380">
        <f>IF($P1380="","",IF(Shares!$E1383="",0,Shares!$E1383))</f>
        <v/>
      </c>
      <c r="Z1380">
        <f>IF($P1380="","",Shares!$H1383)</f>
        <v/>
      </c>
      <c r="AE1380">
        <f>IF(OR(Sync!$S1380="",Sync!$P1380=""),"",Sync!$S1380)</f>
        <v/>
      </c>
      <c r="AF1380">
        <f>IF($AE1380="","",IF(ISNUMBER(Sync!$P1380),IF(AND(Sync!$P1380&gt;=10000101,Sync!$P1380&lt;=99991231),INT(Sync!$P1380/10000),""),IFERROR(VALUE(TRIM(LEFT(Sync!$P1380,FIND("/",Sync!$P1380)-1))),"")))</f>
        <v/>
      </c>
      <c r="AG1380">
        <f>IF(OR($AE1380="",$AF1380=""),"",IF(ISNUMBER(Sync!$P1380),INT(MOD(Sync!$P1380,10000)/100),IFERROR(VALUE(TRIM(LEFT(MID(Sync!$P1380,FIND("/",Sync!$P1380)+1,20),FIND("/",MID(Sync!$P1380,FIND("/",Sync!$P1380)+1,20))-1))),"")))</f>
        <v/>
      </c>
      <c r="AH1380">
        <f>IF(OR($AE1380="",$AF1380=""),"",IF(ISNUMBER(Sync!$P1380),MOD(Sync!$P1380,100),IFERROR(VALUE(TRIM(MID(MID(Sync!$P1380,FIND("/",Sync!$P1380)+1,20),FIND("/",MID(Sync!$P1380,FIND("/",Sync!$P1380)+1,20))+1,20))),"")))</f>
        <v/>
      </c>
      <c r="AI1380">
        <f>IF($AE1380="","",IF(OR($AF1380="",$AG1380="",$AH1380="",$AF1380&lt;1300,$AF1380&gt;1500,$AG1380&lt;1,$AG1380&gt;12,$AH1380&lt;1,$AH1380&gt;31),"نامعتبر",RIGHT("0000"&amp;$AF1380,4)&amp;"/"&amp;RIGHT("00"&amp;$AG1380,2)&amp;"/"&amp;RIGHT("00"&amp;$AH1380,2)))</f>
        <v/>
      </c>
      <c r="AJ1380">
        <f>IF($AE1380="","",IF(Sync!$Q1380="","0000",IF(AND(ISNUMBER(Sync!$Q1380),Sync!$Q1380&gt;=0,Sync!$Q1380&lt;1),RIGHT("00"&amp;HOUR(Sync!$Q1380),2)&amp;RIGHT("00"&amp;MINUTE(Sync!$Q1380),2),IFERROR(RIGHT("00"&amp;VALUE(LEFT(Sync!$Q1380,FIND(":",Sync!$Q1380)-1)),2)&amp;RIGHT("00"&amp;VALUE(MID(Sync!$Q1380,FIND(":",Sync!$Q1380)+1,2)),2),"0000"))))</f>
        <v/>
      </c>
      <c r="AK1380">
        <f>IF(OR($AE1380="",$AI1380="",$AI1380="نامعتبر"),"",LEFT($AI1380,4)&amp;MID($AI1380,6,2)&amp;RIGHT($AI1380,2)&amp;$AJ1380&amp;"|"&amp;"3"&amp;RIGHT("00000"&amp;1375,5))</f>
        <v/>
      </c>
      <c r="AL1380">
        <f>IF($AK1380="","",COUNTIFS(LdAParty,$AE1380,LdAType,1,LdAKey,"&lt;"&amp;$AK1380)+COUNTIFS(LdBMember,$AE1380,LdBKey,"&lt;"&amp;$AK1380)+COUNTIFS(LdCParty,$AE1380,LdCKey,"&lt;"&amp;$AK1380)+1)</f>
        <v/>
      </c>
      <c r="AM1380">
        <f>IF($AL1380="","",$AE1380&amp;"|"&amp;RIGHT("000000"&amp;$AL1380,6))</f>
        <v/>
      </c>
      <c r="AN1380">
        <f>IF($AE1380="","",IF(Sync!$W1380="",0,Sync!$W1380))</f>
        <v/>
      </c>
      <c r="AO1380">
        <f>IF($AE1380="","",IF(Sync!$X1380="",0,Sync!$X1380))</f>
        <v/>
      </c>
      <c r="AP1380">
        <f>IF($AE1380="","",Sync!$R1380)</f>
        <v/>
      </c>
      <c r="AQ1380">
        <f>IF($AE1380="","",Sync!$Y1380)</f>
        <v/>
      </c>
    </row>
    <row r="1381">
      <c r="A1381">
        <f>IF(OR(Wages!$B1384="",Wages!$E1384=""),"",Wages!$E1384)</f>
        <v/>
      </c>
      <c r="B1381">
        <f>IF($A1381="","",IF(Wages!$C1384="دستمزد گروهی",2,1))</f>
        <v/>
      </c>
      <c r="C1381">
        <f>IF($A1381="","",IF(ISNUMBER(Wages!$B1384),IF(AND(Wages!$B1384&gt;=10000101,Wages!$B1384&lt;=99991231),INT(Wages!$B1384/10000),""),IFERROR(VALUE(TRIM(LEFT(Wages!$B1384,FIND("/",Wages!$B1384)-1))),"")))</f>
        <v/>
      </c>
      <c r="D1381">
        <f>IF(OR($A1381="",$C1381=""),"",IF(ISNUMBER(Wages!$B1384),INT(MOD(Wages!$B1384,10000)/100),IFERROR(VALUE(TRIM(LEFT(MID(Wages!$B1384,FIND("/",Wages!$B1384)+1,20),FIND("/",MID(Wages!$B1384,FIND("/",Wages!$B1384)+1,20))-1))),"")))</f>
        <v/>
      </c>
      <c r="E1381">
        <f>IF(OR($A1381="",$C1381=""),"",IF(ISNUMBER(Wages!$B1384),MOD(Wages!$B1384,100),IFERROR(VALUE(TRIM(MID(MID(Wages!$B1384,FIND("/",Wages!$B1384)+1,20),FIND("/",MID(Wages!$B1384,FIND("/",Wages!$B1384)+1,20))+1,20))),"")))</f>
        <v/>
      </c>
      <c r="F1381">
        <f>IF($A1381="","",IF(OR($C1381="",$D1381="",$E1381="",$C1381&lt;1300,$C1381&gt;1500,$D1381&lt;1,$D1381&gt;12,$E1381&lt;1,$E1381&gt;31),"نامعتبر",RIGHT("0000"&amp;$C1381,4)&amp;"/"&amp;RIGHT("00"&amp;$D1381,2)&amp;"/"&amp;RIGHT("00"&amp;$E1381,2)))</f>
        <v/>
      </c>
      <c r="G1381">
        <f>IF(OR($A1381="",$F1381="",$F1381="نامعتبر"),"",LEFT($F1381,4)&amp;MID($F1381,6,2)&amp;RIGHT($F1381,2)&amp;"0000"&amp;"|"&amp;"1"&amp;RIGHT("00000"&amp;1376,5))</f>
        <v/>
      </c>
      <c r="H1381">
        <f>IF(OR($B1381&lt;&gt;1,$G1381=""),"",COUNTIFS(LdAParty,$A1381,LdAType,1,LdAKey,"&lt;"&amp;$G1381)+COUNTIFS(LdBMember,$A1381,LdBKey,"&lt;"&amp;$G1381)+COUNTIFS(LdCParty,$A1381,LdCKey,"&lt;"&amp;$G1381)+1)</f>
        <v/>
      </c>
      <c r="I1381">
        <f>IF($H1381="","",$A1381&amp;"|"&amp;RIGHT("000000"&amp;$H1381,6))</f>
        <v/>
      </c>
      <c r="J1381">
        <f>IF(OR($B1381&lt;&gt;2,$G1381=""),"",COUNTIFS(LdAParty,$A1381,LdAType,2,LdAKey,"&lt;"&amp;$G1381)+1)</f>
        <v/>
      </c>
      <c r="K1381">
        <f>IF($J1381="","",$A1381&amp;"|"&amp;RIGHT("000000"&amp;$J1381,6))</f>
        <v/>
      </c>
      <c r="L1381">
        <f>IF($A1381="","",IF(Wages!$G1384="",0,Wages!$G1384))</f>
        <v/>
      </c>
      <c r="M1381">
        <f>IF($A1381="","",Wages!$J1384)</f>
        <v/>
      </c>
      <c r="N1381">
        <f>IF($A1381="","",Wages!$D1384)</f>
        <v/>
      </c>
      <c r="P1381">
        <f>IF(OR(Shares!$B1384="",Shares!$C1384=""),"",Shares!$C1384)</f>
        <v/>
      </c>
      <c r="Q1381">
        <f>IF($P1381="","",Shares!$B1384)</f>
        <v/>
      </c>
      <c r="R1381">
        <f>IF($P1381="","",IFERROR(INDEX(WageParty,MATCH($Q1381,WageIds,0)),""))</f>
        <v/>
      </c>
      <c r="S1381">
        <f>IF($P1381="","",IFERROR(INDEX($F$6:$F$2005,MATCH($Q1381,WageIds,0)),""))</f>
        <v/>
      </c>
      <c r="T1381">
        <f>IF(OR($P1381="",$S1381="",$S1381="نامعتبر"),"",LEFT($S1381,4)&amp;MID($S1381,6,2)&amp;RIGHT($S1381,2)&amp;"0000"&amp;"|"&amp;"2"&amp;RIGHT("00000"&amp;1376,5))</f>
        <v/>
      </c>
      <c r="U1381">
        <f>IF($T1381="","",COUNTIFS(LdAParty,$P1381,LdAType,1,LdAKey,"&lt;"&amp;$T1381)+COUNTIFS(LdBMember,$P1381,LdBKey,"&lt;"&amp;$T1381)+COUNTIFS(LdCParty,$P1381,LdCKey,"&lt;"&amp;$T1381)+1)</f>
        <v/>
      </c>
      <c r="V1381">
        <f>IF($U1381="","",$P1381&amp;"|"&amp;RIGHT("000000"&amp;$U1381,6))</f>
        <v/>
      </c>
      <c r="W1381">
        <f>IF($T1381="","",COUNTIFS(LdBGroup,$R1381,LdBKey,"&lt;"&amp;$T1381)+1)</f>
        <v/>
      </c>
      <c r="X1381">
        <f>IF($W1381="","",$R1381&amp;"|"&amp;RIGHT("000000"&amp;$W1381,6))</f>
        <v/>
      </c>
      <c r="Y1381">
        <f>IF($P1381="","",IF(Shares!$E1384="",0,Shares!$E1384))</f>
        <v/>
      </c>
      <c r="Z1381">
        <f>IF($P1381="","",Shares!$H1384)</f>
        <v/>
      </c>
      <c r="AE1381">
        <f>IF(OR(Sync!$S1381="",Sync!$P1381=""),"",Sync!$S1381)</f>
        <v/>
      </c>
      <c r="AF1381">
        <f>IF($AE1381="","",IF(ISNUMBER(Sync!$P1381),IF(AND(Sync!$P1381&gt;=10000101,Sync!$P1381&lt;=99991231),INT(Sync!$P1381/10000),""),IFERROR(VALUE(TRIM(LEFT(Sync!$P1381,FIND("/",Sync!$P1381)-1))),"")))</f>
        <v/>
      </c>
      <c r="AG1381">
        <f>IF(OR($AE1381="",$AF1381=""),"",IF(ISNUMBER(Sync!$P1381),INT(MOD(Sync!$P1381,10000)/100),IFERROR(VALUE(TRIM(LEFT(MID(Sync!$P1381,FIND("/",Sync!$P1381)+1,20),FIND("/",MID(Sync!$P1381,FIND("/",Sync!$P1381)+1,20))-1))),"")))</f>
        <v/>
      </c>
      <c r="AH1381">
        <f>IF(OR($AE1381="",$AF1381=""),"",IF(ISNUMBER(Sync!$P1381),MOD(Sync!$P1381,100),IFERROR(VALUE(TRIM(MID(MID(Sync!$P1381,FIND("/",Sync!$P1381)+1,20),FIND("/",MID(Sync!$P1381,FIND("/",Sync!$P1381)+1,20))+1,20))),"")))</f>
        <v/>
      </c>
      <c r="AI1381">
        <f>IF($AE1381="","",IF(OR($AF1381="",$AG1381="",$AH1381="",$AF1381&lt;1300,$AF1381&gt;1500,$AG1381&lt;1,$AG1381&gt;12,$AH1381&lt;1,$AH1381&gt;31),"نامعتبر",RIGHT("0000"&amp;$AF1381,4)&amp;"/"&amp;RIGHT("00"&amp;$AG1381,2)&amp;"/"&amp;RIGHT("00"&amp;$AH1381,2)))</f>
        <v/>
      </c>
      <c r="AJ1381">
        <f>IF($AE1381="","",IF(Sync!$Q1381="","0000",IF(AND(ISNUMBER(Sync!$Q1381),Sync!$Q1381&gt;=0,Sync!$Q1381&lt;1),RIGHT("00"&amp;HOUR(Sync!$Q1381),2)&amp;RIGHT("00"&amp;MINUTE(Sync!$Q1381),2),IFERROR(RIGHT("00"&amp;VALUE(LEFT(Sync!$Q1381,FIND(":",Sync!$Q1381)-1)),2)&amp;RIGHT("00"&amp;VALUE(MID(Sync!$Q1381,FIND(":",Sync!$Q1381)+1,2)),2),"0000"))))</f>
        <v/>
      </c>
      <c r="AK1381">
        <f>IF(OR($AE1381="",$AI1381="",$AI1381="نامعتبر"),"",LEFT($AI1381,4)&amp;MID($AI1381,6,2)&amp;RIGHT($AI1381,2)&amp;$AJ1381&amp;"|"&amp;"3"&amp;RIGHT("00000"&amp;1376,5))</f>
        <v/>
      </c>
      <c r="AL1381">
        <f>IF($AK1381="","",COUNTIFS(LdAParty,$AE1381,LdAType,1,LdAKey,"&lt;"&amp;$AK1381)+COUNTIFS(LdBMember,$AE1381,LdBKey,"&lt;"&amp;$AK1381)+COUNTIFS(LdCParty,$AE1381,LdCKey,"&lt;"&amp;$AK1381)+1)</f>
        <v/>
      </c>
      <c r="AM1381">
        <f>IF($AL1381="","",$AE1381&amp;"|"&amp;RIGHT("000000"&amp;$AL1381,6))</f>
        <v/>
      </c>
      <c r="AN1381">
        <f>IF($AE1381="","",IF(Sync!$W1381="",0,Sync!$W1381))</f>
        <v/>
      </c>
      <c r="AO1381">
        <f>IF($AE1381="","",IF(Sync!$X1381="",0,Sync!$X1381))</f>
        <v/>
      </c>
      <c r="AP1381">
        <f>IF($AE1381="","",Sync!$R1381)</f>
        <v/>
      </c>
      <c r="AQ1381">
        <f>IF($AE1381="","",Sync!$Y1381)</f>
        <v/>
      </c>
    </row>
    <row r="1382">
      <c r="A1382">
        <f>IF(OR(Wages!$B1385="",Wages!$E1385=""),"",Wages!$E1385)</f>
        <v/>
      </c>
      <c r="B1382">
        <f>IF($A1382="","",IF(Wages!$C1385="دستمزد گروهی",2,1))</f>
        <v/>
      </c>
      <c r="C1382">
        <f>IF($A1382="","",IF(ISNUMBER(Wages!$B1385),IF(AND(Wages!$B1385&gt;=10000101,Wages!$B1385&lt;=99991231),INT(Wages!$B1385/10000),""),IFERROR(VALUE(TRIM(LEFT(Wages!$B1385,FIND("/",Wages!$B1385)-1))),"")))</f>
        <v/>
      </c>
      <c r="D1382">
        <f>IF(OR($A1382="",$C1382=""),"",IF(ISNUMBER(Wages!$B1385),INT(MOD(Wages!$B1385,10000)/100),IFERROR(VALUE(TRIM(LEFT(MID(Wages!$B1385,FIND("/",Wages!$B1385)+1,20),FIND("/",MID(Wages!$B1385,FIND("/",Wages!$B1385)+1,20))-1))),"")))</f>
        <v/>
      </c>
      <c r="E1382">
        <f>IF(OR($A1382="",$C1382=""),"",IF(ISNUMBER(Wages!$B1385),MOD(Wages!$B1385,100),IFERROR(VALUE(TRIM(MID(MID(Wages!$B1385,FIND("/",Wages!$B1385)+1,20),FIND("/",MID(Wages!$B1385,FIND("/",Wages!$B1385)+1,20))+1,20))),"")))</f>
        <v/>
      </c>
      <c r="F1382">
        <f>IF($A1382="","",IF(OR($C1382="",$D1382="",$E1382="",$C1382&lt;1300,$C1382&gt;1500,$D1382&lt;1,$D1382&gt;12,$E1382&lt;1,$E1382&gt;31),"نامعتبر",RIGHT("0000"&amp;$C1382,4)&amp;"/"&amp;RIGHT("00"&amp;$D1382,2)&amp;"/"&amp;RIGHT("00"&amp;$E1382,2)))</f>
        <v/>
      </c>
      <c r="G1382">
        <f>IF(OR($A1382="",$F1382="",$F1382="نامعتبر"),"",LEFT($F1382,4)&amp;MID($F1382,6,2)&amp;RIGHT($F1382,2)&amp;"0000"&amp;"|"&amp;"1"&amp;RIGHT("00000"&amp;1377,5))</f>
        <v/>
      </c>
      <c r="H1382">
        <f>IF(OR($B1382&lt;&gt;1,$G1382=""),"",COUNTIFS(LdAParty,$A1382,LdAType,1,LdAKey,"&lt;"&amp;$G1382)+COUNTIFS(LdBMember,$A1382,LdBKey,"&lt;"&amp;$G1382)+COUNTIFS(LdCParty,$A1382,LdCKey,"&lt;"&amp;$G1382)+1)</f>
        <v/>
      </c>
      <c r="I1382">
        <f>IF($H1382="","",$A1382&amp;"|"&amp;RIGHT("000000"&amp;$H1382,6))</f>
        <v/>
      </c>
      <c r="J1382">
        <f>IF(OR($B1382&lt;&gt;2,$G1382=""),"",COUNTIFS(LdAParty,$A1382,LdAType,2,LdAKey,"&lt;"&amp;$G1382)+1)</f>
        <v/>
      </c>
      <c r="K1382">
        <f>IF($J1382="","",$A1382&amp;"|"&amp;RIGHT("000000"&amp;$J1382,6))</f>
        <v/>
      </c>
      <c r="L1382">
        <f>IF($A1382="","",IF(Wages!$G1385="",0,Wages!$G1385))</f>
        <v/>
      </c>
      <c r="M1382">
        <f>IF($A1382="","",Wages!$J1385)</f>
        <v/>
      </c>
      <c r="N1382">
        <f>IF($A1382="","",Wages!$D1385)</f>
        <v/>
      </c>
      <c r="P1382">
        <f>IF(OR(Shares!$B1385="",Shares!$C1385=""),"",Shares!$C1385)</f>
        <v/>
      </c>
      <c r="Q1382">
        <f>IF($P1382="","",Shares!$B1385)</f>
        <v/>
      </c>
      <c r="R1382">
        <f>IF($P1382="","",IFERROR(INDEX(WageParty,MATCH($Q1382,WageIds,0)),""))</f>
        <v/>
      </c>
      <c r="S1382">
        <f>IF($P1382="","",IFERROR(INDEX($F$6:$F$2005,MATCH($Q1382,WageIds,0)),""))</f>
        <v/>
      </c>
      <c r="T1382">
        <f>IF(OR($P1382="",$S1382="",$S1382="نامعتبر"),"",LEFT($S1382,4)&amp;MID($S1382,6,2)&amp;RIGHT($S1382,2)&amp;"0000"&amp;"|"&amp;"2"&amp;RIGHT("00000"&amp;1377,5))</f>
        <v/>
      </c>
      <c r="U1382">
        <f>IF($T1382="","",COUNTIFS(LdAParty,$P1382,LdAType,1,LdAKey,"&lt;"&amp;$T1382)+COUNTIFS(LdBMember,$P1382,LdBKey,"&lt;"&amp;$T1382)+COUNTIFS(LdCParty,$P1382,LdCKey,"&lt;"&amp;$T1382)+1)</f>
        <v/>
      </c>
      <c r="V1382">
        <f>IF($U1382="","",$P1382&amp;"|"&amp;RIGHT("000000"&amp;$U1382,6))</f>
        <v/>
      </c>
      <c r="W1382">
        <f>IF($T1382="","",COUNTIFS(LdBGroup,$R1382,LdBKey,"&lt;"&amp;$T1382)+1)</f>
        <v/>
      </c>
      <c r="X1382">
        <f>IF($W1382="","",$R1382&amp;"|"&amp;RIGHT("000000"&amp;$W1382,6))</f>
        <v/>
      </c>
      <c r="Y1382">
        <f>IF($P1382="","",IF(Shares!$E1385="",0,Shares!$E1385))</f>
        <v/>
      </c>
      <c r="Z1382">
        <f>IF($P1382="","",Shares!$H1385)</f>
        <v/>
      </c>
      <c r="AE1382">
        <f>IF(OR(Sync!$S1382="",Sync!$P1382=""),"",Sync!$S1382)</f>
        <v/>
      </c>
      <c r="AF1382">
        <f>IF($AE1382="","",IF(ISNUMBER(Sync!$P1382),IF(AND(Sync!$P1382&gt;=10000101,Sync!$P1382&lt;=99991231),INT(Sync!$P1382/10000),""),IFERROR(VALUE(TRIM(LEFT(Sync!$P1382,FIND("/",Sync!$P1382)-1))),"")))</f>
        <v/>
      </c>
      <c r="AG1382">
        <f>IF(OR($AE1382="",$AF1382=""),"",IF(ISNUMBER(Sync!$P1382),INT(MOD(Sync!$P1382,10000)/100),IFERROR(VALUE(TRIM(LEFT(MID(Sync!$P1382,FIND("/",Sync!$P1382)+1,20),FIND("/",MID(Sync!$P1382,FIND("/",Sync!$P1382)+1,20))-1))),"")))</f>
        <v/>
      </c>
      <c r="AH1382">
        <f>IF(OR($AE1382="",$AF1382=""),"",IF(ISNUMBER(Sync!$P1382),MOD(Sync!$P1382,100),IFERROR(VALUE(TRIM(MID(MID(Sync!$P1382,FIND("/",Sync!$P1382)+1,20),FIND("/",MID(Sync!$P1382,FIND("/",Sync!$P1382)+1,20))+1,20))),"")))</f>
        <v/>
      </c>
      <c r="AI1382">
        <f>IF($AE1382="","",IF(OR($AF1382="",$AG1382="",$AH1382="",$AF1382&lt;1300,$AF1382&gt;1500,$AG1382&lt;1,$AG1382&gt;12,$AH1382&lt;1,$AH1382&gt;31),"نامعتبر",RIGHT("0000"&amp;$AF1382,4)&amp;"/"&amp;RIGHT("00"&amp;$AG1382,2)&amp;"/"&amp;RIGHT("00"&amp;$AH1382,2)))</f>
        <v/>
      </c>
      <c r="AJ1382">
        <f>IF($AE1382="","",IF(Sync!$Q1382="","0000",IF(AND(ISNUMBER(Sync!$Q1382),Sync!$Q1382&gt;=0,Sync!$Q1382&lt;1),RIGHT("00"&amp;HOUR(Sync!$Q1382),2)&amp;RIGHT("00"&amp;MINUTE(Sync!$Q1382),2),IFERROR(RIGHT("00"&amp;VALUE(LEFT(Sync!$Q1382,FIND(":",Sync!$Q1382)-1)),2)&amp;RIGHT("00"&amp;VALUE(MID(Sync!$Q1382,FIND(":",Sync!$Q1382)+1,2)),2),"0000"))))</f>
        <v/>
      </c>
      <c r="AK1382">
        <f>IF(OR($AE1382="",$AI1382="",$AI1382="نامعتبر"),"",LEFT($AI1382,4)&amp;MID($AI1382,6,2)&amp;RIGHT($AI1382,2)&amp;$AJ1382&amp;"|"&amp;"3"&amp;RIGHT("00000"&amp;1377,5))</f>
        <v/>
      </c>
      <c r="AL1382">
        <f>IF($AK1382="","",COUNTIFS(LdAParty,$AE1382,LdAType,1,LdAKey,"&lt;"&amp;$AK1382)+COUNTIFS(LdBMember,$AE1382,LdBKey,"&lt;"&amp;$AK1382)+COUNTIFS(LdCParty,$AE1382,LdCKey,"&lt;"&amp;$AK1382)+1)</f>
        <v/>
      </c>
      <c r="AM1382">
        <f>IF($AL1382="","",$AE1382&amp;"|"&amp;RIGHT("000000"&amp;$AL1382,6))</f>
        <v/>
      </c>
      <c r="AN1382">
        <f>IF($AE1382="","",IF(Sync!$W1382="",0,Sync!$W1382))</f>
        <v/>
      </c>
      <c r="AO1382">
        <f>IF($AE1382="","",IF(Sync!$X1382="",0,Sync!$X1382))</f>
        <v/>
      </c>
      <c r="AP1382">
        <f>IF($AE1382="","",Sync!$R1382)</f>
        <v/>
      </c>
      <c r="AQ1382">
        <f>IF($AE1382="","",Sync!$Y1382)</f>
        <v/>
      </c>
    </row>
    <row r="1383">
      <c r="A1383">
        <f>IF(OR(Wages!$B1386="",Wages!$E1386=""),"",Wages!$E1386)</f>
        <v/>
      </c>
      <c r="B1383">
        <f>IF($A1383="","",IF(Wages!$C1386="دستمزد گروهی",2,1))</f>
        <v/>
      </c>
      <c r="C1383">
        <f>IF($A1383="","",IF(ISNUMBER(Wages!$B1386),IF(AND(Wages!$B1386&gt;=10000101,Wages!$B1386&lt;=99991231),INT(Wages!$B1386/10000),""),IFERROR(VALUE(TRIM(LEFT(Wages!$B1386,FIND("/",Wages!$B1386)-1))),"")))</f>
        <v/>
      </c>
      <c r="D1383">
        <f>IF(OR($A1383="",$C1383=""),"",IF(ISNUMBER(Wages!$B1386),INT(MOD(Wages!$B1386,10000)/100),IFERROR(VALUE(TRIM(LEFT(MID(Wages!$B1386,FIND("/",Wages!$B1386)+1,20),FIND("/",MID(Wages!$B1386,FIND("/",Wages!$B1386)+1,20))-1))),"")))</f>
        <v/>
      </c>
      <c r="E1383">
        <f>IF(OR($A1383="",$C1383=""),"",IF(ISNUMBER(Wages!$B1386),MOD(Wages!$B1386,100),IFERROR(VALUE(TRIM(MID(MID(Wages!$B1386,FIND("/",Wages!$B1386)+1,20),FIND("/",MID(Wages!$B1386,FIND("/",Wages!$B1386)+1,20))+1,20))),"")))</f>
        <v/>
      </c>
      <c r="F1383">
        <f>IF($A1383="","",IF(OR($C1383="",$D1383="",$E1383="",$C1383&lt;1300,$C1383&gt;1500,$D1383&lt;1,$D1383&gt;12,$E1383&lt;1,$E1383&gt;31),"نامعتبر",RIGHT("0000"&amp;$C1383,4)&amp;"/"&amp;RIGHT("00"&amp;$D1383,2)&amp;"/"&amp;RIGHT("00"&amp;$E1383,2)))</f>
        <v/>
      </c>
      <c r="G1383">
        <f>IF(OR($A1383="",$F1383="",$F1383="نامعتبر"),"",LEFT($F1383,4)&amp;MID($F1383,6,2)&amp;RIGHT($F1383,2)&amp;"0000"&amp;"|"&amp;"1"&amp;RIGHT("00000"&amp;1378,5))</f>
        <v/>
      </c>
      <c r="H1383">
        <f>IF(OR($B1383&lt;&gt;1,$G1383=""),"",COUNTIFS(LdAParty,$A1383,LdAType,1,LdAKey,"&lt;"&amp;$G1383)+COUNTIFS(LdBMember,$A1383,LdBKey,"&lt;"&amp;$G1383)+COUNTIFS(LdCParty,$A1383,LdCKey,"&lt;"&amp;$G1383)+1)</f>
        <v/>
      </c>
      <c r="I1383">
        <f>IF($H1383="","",$A1383&amp;"|"&amp;RIGHT("000000"&amp;$H1383,6))</f>
        <v/>
      </c>
      <c r="J1383">
        <f>IF(OR($B1383&lt;&gt;2,$G1383=""),"",COUNTIFS(LdAParty,$A1383,LdAType,2,LdAKey,"&lt;"&amp;$G1383)+1)</f>
        <v/>
      </c>
      <c r="K1383">
        <f>IF($J1383="","",$A1383&amp;"|"&amp;RIGHT("000000"&amp;$J1383,6))</f>
        <v/>
      </c>
      <c r="L1383">
        <f>IF($A1383="","",IF(Wages!$G1386="",0,Wages!$G1386))</f>
        <v/>
      </c>
      <c r="M1383">
        <f>IF($A1383="","",Wages!$J1386)</f>
        <v/>
      </c>
      <c r="N1383">
        <f>IF($A1383="","",Wages!$D1386)</f>
        <v/>
      </c>
      <c r="P1383">
        <f>IF(OR(Shares!$B1386="",Shares!$C1386=""),"",Shares!$C1386)</f>
        <v/>
      </c>
      <c r="Q1383">
        <f>IF($P1383="","",Shares!$B1386)</f>
        <v/>
      </c>
      <c r="R1383">
        <f>IF($P1383="","",IFERROR(INDEX(WageParty,MATCH($Q1383,WageIds,0)),""))</f>
        <v/>
      </c>
      <c r="S1383">
        <f>IF($P1383="","",IFERROR(INDEX($F$6:$F$2005,MATCH($Q1383,WageIds,0)),""))</f>
        <v/>
      </c>
      <c r="T1383">
        <f>IF(OR($P1383="",$S1383="",$S1383="نامعتبر"),"",LEFT($S1383,4)&amp;MID($S1383,6,2)&amp;RIGHT($S1383,2)&amp;"0000"&amp;"|"&amp;"2"&amp;RIGHT("00000"&amp;1378,5))</f>
        <v/>
      </c>
      <c r="U1383">
        <f>IF($T1383="","",COUNTIFS(LdAParty,$P1383,LdAType,1,LdAKey,"&lt;"&amp;$T1383)+COUNTIFS(LdBMember,$P1383,LdBKey,"&lt;"&amp;$T1383)+COUNTIFS(LdCParty,$P1383,LdCKey,"&lt;"&amp;$T1383)+1)</f>
        <v/>
      </c>
      <c r="V1383">
        <f>IF($U1383="","",$P1383&amp;"|"&amp;RIGHT("000000"&amp;$U1383,6))</f>
        <v/>
      </c>
      <c r="W1383">
        <f>IF($T1383="","",COUNTIFS(LdBGroup,$R1383,LdBKey,"&lt;"&amp;$T1383)+1)</f>
        <v/>
      </c>
      <c r="X1383">
        <f>IF($W1383="","",$R1383&amp;"|"&amp;RIGHT("000000"&amp;$W1383,6))</f>
        <v/>
      </c>
      <c r="Y1383">
        <f>IF($P1383="","",IF(Shares!$E1386="",0,Shares!$E1386))</f>
        <v/>
      </c>
      <c r="Z1383">
        <f>IF($P1383="","",Shares!$H1386)</f>
        <v/>
      </c>
      <c r="AE1383">
        <f>IF(OR(Sync!$S1383="",Sync!$P1383=""),"",Sync!$S1383)</f>
        <v/>
      </c>
      <c r="AF1383">
        <f>IF($AE1383="","",IF(ISNUMBER(Sync!$P1383),IF(AND(Sync!$P1383&gt;=10000101,Sync!$P1383&lt;=99991231),INT(Sync!$P1383/10000),""),IFERROR(VALUE(TRIM(LEFT(Sync!$P1383,FIND("/",Sync!$P1383)-1))),"")))</f>
        <v/>
      </c>
      <c r="AG1383">
        <f>IF(OR($AE1383="",$AF1383=""),"",IF(ISNUMBER(Sync!$P1383),INT(MOD(Sync!$P1383,10000)/100),IFERROR(VALUE(TRIM(LEFT(MID(Sync!$P1383,FIND("/",Sync!$P1383)+1,20),FIND("/",MID(Sync!$P1383,FIND("/",Sync!$P1383)+1,20))-1))),"")))</f>
        <v/>
      </c>
      <c r="AH1383">
        <f>IF(OR($AE1383="",$AF1383=""),"",IF(ISNUMBER(Sync!$P1383),MOD(Sync!$P1383,100),IFERROR(VALUE(TRIM(MID(MID(Sync!$P1383,FIND("/",Sync!$P1383)+1,20),FIND("/",MID(Sync!$P1383,FIND("/",Sync!$P1383)+1,20))+1,20))),"")))</f>
        <v/>
      </c>
      <c r="AI1383">
        <f>IF($AE1383="","",IF(OR($AF1383="",$AG1383="",$AH1383="",$AF1383&lt;1300,$AF1383&gt;1500,$AG1383&lt;1,$AG1383&gt;12,$AH1383&lt;1,$AH1383&gt;31),"نامعتبر",RIGHT("0000"&amp;$AF1383,4)&amp;"/"&amp;RIGHT("00"&amp;$AG1383,2)&amp;"/"&amp;RIGHT("00"&amp;$AH1383,2)))</f>
        <v/>
      </c>
      <c r="AJ1383">
        <f>IF($AE1383="","",IF(Sync!$Q1383="","0000",IF(AND(ISNUMBER(Sync!$Q1383),Sync!$Q1383&gt;=0,Sync!$Q1383&lt;1),RIGHT("00"&amp;HOUR(Sync!$Q1383),2)&amp;RIGHT("00"&amp;MINUTE(Sync!$Q1383),2),IFERROR(RIGHT("00"&amp;VALUE(LEFT(Sync!$Q1383,FIND(":",Sync!$Q1383)-1)),2)&amp;RIGHT("00"&amp;VALUE(MID(Sync!$Q1383,FIND(":",Sync!$Q1383)+1,2)),2),"0000"))))</f>
        <v/>
      </c>
      <c r="AK1383">
        <f>IF(OR($AE1383="",$AI1383="",$AI1383="نامعتبر"),"",LEFT($AI1383,4)&amp;MID($AI1383,6,2)&amp;RIGHT($AI1383,2)&amp;$AJ1383&amp;"|"&amp;"3"&amp;RIGHT("00000"&amp;1378,5))</f>
        <v/>
      </c>
      <c r="AL1383">
        <f>IF($AK1383="","",COUNTIFS(LdAParty,$AE1383,LdAType,1,LdAKey,"&lt;"&amp;$AK1383)+COUNTIFS(LdBMember,$AE1383,LdBKey,"&lt;"&amp;$AK1383)+COUNTIFS(LdCParty,$AE1383,LdCKey,"&lt;"&amp;$AK1383)+1)</f>
        <v/>
      </c>
      <c r="AM1383">
        <f>IF($AL1383="","",$AE1383&amp;"|"&amp;RIGHT("000000"&amp;$AL1383,6))</f>
        <v/>
      </c>
      <c r="AN1383">
        <f>IF($AE1383="","",IF(Sync!$W1383="",0,Sync!$W1383))</f>
        <v/>
      </c>
      <c r="AO1383">
        <f>IF($AE1383="","",IF(Sync!$X1383="",0,Sync!$X1383))</f>
        <v/>
      </c>
      <c r="AP1383">
        <f>IF($AE1383="","",Sync!$R1383)</f>
        <v/>
      </c>
      <c r="AQ1383">
        <f>IF($AE1383="","",Sync!$Y1383)</f>
        <v/>
      </c>
    </row>
    <row r="1384">
      <c r="A1384">
        <f>IF(OR(Wages!$B1387="",Wages!$E1387=""),"",Wages!$E1387)</f>
        <v/>
      </c>
      <c r="B1384">
        <f>IF($A1384="","",IF(Wages!$C1387="دستمزد گروهی",2,1))</f>
        <v/>
      </c>
      <c r="C1384">
        <f>IF($A1384="","",IF(ISNUMBER(Wages!$B1387),IF(AND(Wages!$B1387&gt;=10000101,Wages!$B1387&lt;=99991231),INT(Wages!$B1387/10000),""),IFERROR(VALUE(TRIM(LEFT(Wages!$B1387,FIND("/",Wages!$B1387)-1))),"")))</f>
        <v/>
      </c>
      <c r="D1384">
        <f>IF(OR($A1384="",$C1384=""),"",IF(ISNUMBER(Wages!$B1387),INT(MOD(Wages!$B1387,10000)/100),IFERROR(VALUE(TRIM(LEFT(MID(Wages!$B1387,FIND("/",Wages!$B1387)+1,20),FIND("/",MID(Wages!$B1387,FIND("/",Wages!$B1387)+1,20))-1))),"")))</f>
        <v/>
      </c>
      <c r="E1384">
        <f>IF(OR($A1384="",$C1384=""),"",IF(ISNUMBER(Wages!$B1387),MOD(Wages!$B1387,100),IFERROR(VALUE(TRIM(MID(MID(Wages!$B1387,FIND("/",Wages!$B1387)+1,20),FIND("/",MID(Wages!$B1387,FIND("/",Wages!$B1387)+1,20))+1,20))),"")))</f>
        <v/>
      </c>
      <c r="F1384">
        <f>IF($A1384="","",IF(OR($C1384="",$D1384="",$E1384="",$C1384&lt;1300,$C1384&gt;1500,$D1384&lt;1,$D1384&gt;12,$E1384&lt;1,$E1384&gt;31),"نامعتبر",RIGHT("0000"&amp;$C1384,4)&amp;"/"&amp;RIGHT("00"&amp;$D1384,2)&amp;"/"&amp;RIGHT("00"&amp;$E1384,2)))</f>
        <v/>
      </c>
      <c r="G1384">
        <f>IF(OR($A1384="",$F1384="",$F1384="نامعتبر"),"",LEFT($F1384,4)&amp;MID($F1384,6,2)&amp;RIGHT($F1384,2)&amp;"0000"&amp;"|"&amp;"1"&amp;RIGHT("00000"&amp;1379,5))</f>
        <v/>
      </c>
      <c r="H1384">
        <f>IF(OR($B1384&lt;&gt;1,$G1384=""),"",COUNTIFS(LdAParty,$A1384,LdAType,1,LdAKey,"&lt;"&amp;$G1384)+COUNTIFS(LdBMember,$A1384,LdBKey,"&lt;"&amp;$G1384)+COUNTIFS(LdCParty,$A1384,LdCKey,"&lt;"&amp;$G1384)+1)</f>
        <v/>
      </c>
      <c r="I1384">
        <f>IF($H1384="","",$A1384&amp;"|"&amp;RIGHT("000000"&amp;$H1384,6))</f>
        <v/>
      </c>
      <c r="J1384">
        <f>IF(OR($B1384&lt;&gt;2,$G1384=""),"",COUNTIFS(LdAParty,$A1384,LdAType,2,LdAKey,"&lt;"&amp;$G1384)+1)</f>
        <v/>
      </c>
      <c r="K1384">
        <f>IF($J1384="","",$A1384&amp;"|"&amp;RIGHT("000000"&amp;$J1384,6))</f>
        <v/>
      </c>
      <c r="L1384">
        <f>IF($A1384="","",IF(Wages!$G1387="",0,Wages!$G1387))</f>
        <v/>
      </c>
      <c r="M1384">
        <f>IF($A1384="","",Wages!$J1387)</f>
        <v/>
      </c>
      <c r="N1384">
        <f>IF($A1384="","",Wages!$D1387)</f>
        <v/>
      </c>
      <c r="P1384">
        <f>IF(OR(Shares!$B1387="",Shares!$C1387=""),"",Shares!$C1387)</f>
        <v/>
      </c>
      <c r="Q1384">
        <f>IF($P1384="","",Shares!$B1387)</f>
        <v/>
      </c>
      <c r="R1384">
        <f>IF($P1384="","",IFERROR(INDEX(WageParty,MATCH($Q1384,WageIds,0)),""))</f>
        <v/>
      </c>
      <c r="S1384">
        <f>IF($P1384="","",IFERROR(INDEX($F$6:$F$2005,MATCH($Q1384,WageIds,0)),""))</f>
        <v/>
      </c>
      <c r="T1384">
        <f>IF(OR($P1384="",$S1384="",$S1384="نامعتبر"),"",LEFT($S1384,4)&amp;MID($S1384,6,2)&amp;RIGHT($S1384,2)&amp;"0000"&amp;"|"&amp;"2"&amp;RIGHT("00000"&amp;1379,5))</f>
        <v/>
      </c>
      <c r="U1384">
        <f>IF($T1384="","",COUNTIFS(LdAParty,$P1384,LdAType,1,LdAKey,"&lt;"&amp;$T1384)+COUNTIFS(LdBMember,$P1384,LdBKey,"&lt;"&amp;$T1384)+COUNTIFS(LdCParty,$P1384,LdCKey,"&lt;"&amp;$T1384)+1)</f>
        <v/>
      </c>
      <c r="V1384">
        <f>IF($U1384="","",$P1384&amp;"|"&amp;RIGHT("000000"&amp;$U1384,6))</f>
        <v/>
      </c>
      <c r="W1384">
        <f>IF($T1384="","",COUNTIFS(LdBGroup,$R1384,LdBKey,"&lt;"&amp;$T1384)+1)</f>
        <v/>
      </c>
      <c r="X1384">
        <f>IF($W1384="","",$R1384&amp;"|"&amp;RIGHT("000000"&amp;$W1384,6))</f>
        <v/>
      </c>
      <c r="Y1384">
        <f>IF($P1384="","",IF(Shares!$E1387="",0,Shares!$E1387))</f>
        <v/>
      </c>
      <c r="Z1384">
        <f>IF($P1384="","",Shares!$H1387)</f>
        <v/>
      </c>
      <c r="AE1384">
        <f>IF(OR(Sync!$S1384="",Sync!$P1384=""),"",Sync!$S1384)</f>
        <v/>
      </c>
      <c r="AF1384">
        <f>IF($AE1384="","",IF(ISNUMBER(Sync!$P1384),IF(AND(Sync!$P1384&gt;=10000101,Sync!$P1384&lt;=99991231),INT(Sync!$P1384/10000),""),IFERROR(VALUE(TRIM(LEFT(Sync!$P1384,FIND("/",Sync!$P1384)-1))),"")))</f>
        <v/>
      </c>
      <c r="AG1384">
        <f>IF(OR($AE1384="",$AF1384=""),"",IF(ISNUMBER(Sync!$P1384),INT(MOD(Sync!$P1384,10000)/100),IFERROR(VALUE(TRIM(LEFT(MID(Sync!$P1384,FIND("/",Sync!$P1384)+1,20),FIND("/",MID(Sync!$P1384,FIND("/",Sync!$P1384)+1,20))-1))),"")))</f>
        <v/>
      </c>
      <c r="AH1384">
        <f>IF(OR($AE1384="",$AF1384=""),"",IF(ISNUMBER(Sync!$P1384),MOD(Sync!$P1384,100),IFERROR(VALUE(TRIM(MID(MID(Sync!$P1384,FIND("/",Sync!$P1384)+1,20),FIND("/",MID(Sync!$P1384,FIND("/",Sync!$P1384)+1,20))+1,20))),"")))</f>
        <v/>
      </c>
      <c r="AI1384">
        <f>IF($AE1384="","",IF(OR($AF1384="",$AG1384="",$AH1384="",$AF1384&lt;1300,$AF1384&gt;1500,$AG1384&lt;1,$AG1384&gt;12,$AH1384&lt;1,$AH1384&gt;31),"نامعتبر",RIGHT("0000"&amp;$AF1384,4)&amp;"/"&amp;RIGHT("00"&amp;$AG1384,2)&amp;"/"&amp;RIGHT("00"&amp;$AH1384,2)))</f>
        <v/>
      </c>
      <c r="AJ1384">
        <f>IF($AE1384="","",IF(Sync!$Q1384="","0000",IF(AND(ISNUMBER(Sync!$Q1384),Sync!$Q1384&gt;=0,Sync!$Q1384&lt;1),RIGHT("00"&amp;HOUR(Sync!$Q1384),2)&amp;RIGHT("00"&amp;MINUTE(Sync!$Q1384),2),IFERROR(RIGHT("00"&amp;VALUE(LEFT(Sync!$Q1384,FIND(":",Sync!$Q1384)-1)),2)&amp;RIGHT("00"&amp;VALUE(MID(Sync!$Q1384,FIND(":",Sync!$Q1384)+1,2)),2),"0000"))))</f>
        <v/>
      </c>
      <c r="AK1384">
        <f>IF(OR($AE1384="",$AI1384="",$AI1384="نامعتبر"),"",LEFT($AI1384,4)&amp;MID($AI1384,6,2)&amp;RIGHT($AI1384,2)&amp;$AJ1384&amp;"|"&amp;"3"&amp;RIGHT("00000"&amp;1379,5))</f>
        <v/>
      </c>
      <c r="AL1384">
        <f>IF($AK1384="","",COUNTIFS(LdAParty,$AE1384,LdAType,1,LdAKey,"&lt;"&amp;$AK1384)+COUNTIFS(LdBMember,$AE1384,LdBKey,"&lt;"&amp;$AK1384)+COUNTIFS(LdCParty,$AE1384,LdCKey,"&lt;"&amp;$AK1384)+1)</f>
        <v/>
      </c>
      <c r="AM1384">
        <f>IF($AL1384="","",$AE1384&amp;"|"&amp;RIGHT("000000"&amp;$AL1384,6))</f>
        <v/>
      </c>
      <c r="AN1384">
        <f>IF($AE1384="","",IF(Sync!$W1384="",0,Sync!$W1384))</f>
        <v/>
      </c>
      <c r="AO1384">
        <f>IF($AE1384="","",IF(Sync!$X1384="",0,Sync!$X1384))</f>
        <v/>
      </c>
      <c r="AP1384">
        <f>IF($AE1384="","",Sync!$R1384)</f>
        <v/>
      </c>
      <c r="AQ1384">
        <f>IF($AE1384="","",Sync!$Y1384)</f>
        <v/>
      </c>
    </row>
    <row r="1385">
      <c r="A1385">
        <f>IF(OR(Wages!$B1388="",Wages!$E1388=""),"",Wages!$E1388)</f>
        <v/>
      </c>
      <c r="B1385">
        <f>IF($A1385="","",IF(Wages!$C1388="دستمزد گروهی",2,1))</f>
        <v/>
      </c>
      <c r="C1385">
        <f>IF($A1385="","",IF(ISNUMBER(Wages!$B1388),IF(AND(Wages!$B1388&gt;=10000101,Wages!$B1388&lt;=99991231),INT(Wages!$B1388/10000),""),IFERROR(VALUE(TRIM(LEFT(Wages!$B1388,FIND("/",Wages!$B1388)-1))),"")))</f>
        <v/>
      </c>
      <c r="D1385">
        <f>IF(OR($A1385="",$C1385=""),"",IF(ISNUMBER(Wages!$B1388),INT(MOD(Wages!$B1388,10000)/100),IFERROR(VALUE(TRIM(LEFT(MID(Wages!$B1388,FIND("/",Wages!$B1388)+1,20),FIND("/",MID(Wages!$B1388,FIND("/",Wages!$B1388)+1,20))-1))),"")))</f>
        <v/>
      </c>
      <c r="E1385">
        <f>IF(OR($A1385="",$C1385=""),"",IF(ISNUMBER(Wages!$B1388),MOD(Wages!$B1388,100),IFERROR(VALUE(TRIM(MID(MID(Wages!$B1388,FIND("/",Wages!$B1388)+1,20),FIND("/",MID(Wages!$B1388,FIND("/",Wages!$B1388)+1,20))+1,20))),"")))</f>
        <v/>
      </c>
      <c r="F1385">
        <f>IF($A1385="","",IF(OR($C1385="",$D1385="",$E1385="",$C1385&lt;1300,$C1385&gt;1500,$D1385&lt;1,$D1385&gt;12,$E1385&lt;1,$E1385&gt;31),"نامعتبر",RIGHT("0000"&amp;$C1385,4)&amp;"/"&amp;RIGHT("00"&amp;$D1385,2)&amp;"/"&amp;RIGHT("00"&amp;$E1385,2)))</f>
        <v/>
      </c>
      <c r="G1385">
        <f>IF(OR($A1385="",$F1385="",$F1385="نامعتبر"),"",LEFT($F1385,4)&amp;MID($F1385,6,2)&amp;RIGHT($F1385,2)&amp;"0000"&amp;"|"&amp;"1"&amp;RIGHT("00000"&amp;1380,5))</f>
        <v/>
      </c>
      <c r="H1385">
        <f>IF(OR($B1385&lt;&gt;1,$G1385=""),"",COUNTIFS(LdAParty,$A1385,LdAType,1,LdAKey,"&lt;"&amp;$G1385)+COUNTIFS(LdBMember,$A1385,LdBKey,"&lt;"&amp;$G1385)+COUNTIFS(LdCParty,$A1385,LdCKey,"&lt;"&amp;$G1385)+1)</f>
        <v/>
      </c>
      <c r="I1385">
        <f>IF($H1385="","",$A1385&amp;"|"&amp;RIGHT("000000"&amp;$H1385,6))</f>
        <v/>
      </c>
      <c r="J1385">
        <f>IF(OR($B1385&lt;&gt;2,$G1385=""),"",COUNTIFS(LdAParty,$A1385,LdAType,2,LdAKey,"&lt;"&amp;$G1385)+1)</f>
        <v/>
      </c>
      <c r="K1385">
        <f>IF($J1385="","",$A1385&amp;"|"&amp;RIGHT("000000"&amp;$J1385,6))</f>
        <v/>
      </c>
      <c r="L1385">
        <f>IF($A1385="","",IF(Wages!$G1388="",0,Wages!$G1388))</f>
        <v/>
      </c>
      <c r="M1385">
        <f>IF($A1385="","",Wages!$J1388)</f>
        <v/>
      </c>
      <c r="N1385">
        <f>IF($A1385="","",Wages!$D1388)</f>
        <v/>
      </c>
      <c r="P1385">
        <f>IF(OR(Shares!$B1388="",Shares!$C1388=""),"",Shares!$C1388)</f>
        <v/>
      </c>
      <c r="Q1385">
        <f>IF($P1385="","",Shares!$B1388)</f>
        <v/>
      </c>
      <c r="R1385">
        <f>IF($P1385="","",IFERROR(INDEX(WageParty,MATCH($Q1385,WageIds,0)),""))</f>
        <v/>
      </c>
      <c r="S1385">
        <f>IF($P1385="","",IFERROR(INDEX($F$6:$F$2005,MATCH($Q1385,WageIds,0)),""))</f>
        <v/>
      </c>
      <c r="T1385">
        <f>IF(OR($P1385="",$S1385="",$S1385="نامعتبر"),"",LEFT($S1385,4)&amp;MID($S1385,6,2)&amp;RIGHT($S1385,2)&amp;"0000"&amp;"|"&amp;"2"&amp;RIGHT("00000"&amp;1380,5))</f>
        <v/>
      </c>
      <c r="U1385">
        <f>IF($T1385="","",COUNTIFS(LdAParty,$P1385,LdAType,1,LdAKey,"&lt;"&amp;$T1385)+COUNTIFS(LdBMember,$P1385,LdBKey,"&lt;"&amp;$T1385)+COUNTIFS(LdCParty,$P1385,LdCKey,"&lt;"&amp;$T1385)+1)</f>
        <v/>
      </c>
      <c r="V1385">
        <f>IF($U1385="","",$P1385&amp;"|"&amp;RIGHT("000000"&amp;$U1385,6))</f>
        <v/>
      </c>
      <c r="W1385">
        <f>IF($T1385="","",COUNTIFS(LdBGroup,$R1385,LdBKey,"&lt;"&amp;$T1385)+1)</f>
        <v/>
      </c>
      <c r="X1385">
        <f>IF($W1385="","",$R1385&amp;"|"&amp;RIGHT("000000"&amp;$W1385,6))</f>
        <v/>
      </c>
      <c r="Y1385">
        <f>IF($P1385="","",IF(Shares!$E1388="",0,Shares!$E1388))</f>
        <v/>
      </c>
      <c r="Z1385">
        <f>IF($P1385="","",Shares!$H1388)</f>
        <v/>
      </c>
      <c r="AE1385">
        <f>IF(OR(Sync!$S1385="",Sync!$P1385=""),"",Sync!$S1385)</f>
        <v/>
      </c>
      <c r="AF1385">
        <f>IF($AE1385="","",IF(ISNUMBER(Sync!$P1385),IF(AND(Sync!$P1385&gt;=10000101,Sync!$P1385&lt;=99991231),INT(Sync!$P1385/10000),""),IFERROR(VALUE(TRIM(LEFT(Sync!$P1385,FIND("/",Sync!$P1385)-1))),"")))</f>
        <v/>
      </c>
      <c r="AG1385">
        <f>IF(OR($AE1385="",$AF1385=""),"",IF(ISNUMBER(Sync!$P1385),INT(MOD(Sync!$P1385,10000)/100),IFERROR(VALUE(TRIM(LEFT(MID(Sync!$P1385,FIND("/",Sync!$P1385)+1,20),FIND("/",MID(Sync!$P1385,FIND("/",Sync!$P1385)+1,20))-1))),"")))</f>
        <v/>
      </c>
      <c r="AH1385">
        <f>IF(OR($AE1385="",$AF1385=""),"",IF(ISNUMBER(Sync!$P1385),MOD(Sync!$P1385,100),IFERROR(VALUE(TRIM(MID(MID(Sync!$P1385,FIND("/",Sync!$P1385)+1,20),FIND("/",MID(Sync!$P1385,FIND("/",Sync!$P1385)+1,20))+1,20))),"")))</f>
        <v/>
      </c>
      <c r="AI1385">
        <f>IF($AE1385="","",IF(OR($AF1385="",$AG1385="",$AH1385="",$AF1385&lt;1300,$AF1385&gt;1500,$AG1385&lt;1,$AG1385&gt;12,$AH1385&lt;1,$AH1385&gt;31),"نامعتبر",RIGHT("0000"&amp;$AF1385,4)&amp;"/"&amp;RIGHT("00"&amp;$AG1385,2)&amp;"/"&amp;RIGHT("00"&amp;$AH1385,2)))</f>
        <v/>
      </c>
      <c r="AJ1385">
        <f>IF($AE1385="","",IF(Sync!$Q1385="","0000",IF(AND(ISNUMBER(Sync!$Q1385),Sync!$Q1385&gt;=0,Sync!$Q1385&lt;1),RIGHT("00"&amp;HOUR(Sync!$Q1385),2)&amp;RIGHT("00"&amp;MINUTE(Sync!$Q1385),2),IFERROR(RIGHT("00"&amp;VALUE(LEFT(Sync!$Q1385,FIND(":",Sync!$Q1385)-1)),2)&amp;RIGHT("00"&amp;VALUE(MID(Sync!$Q1385,FIND(":",Sync!$Q1385)+1,2)),2),"0000"))))</f>
        <v/>
      </c>
      <c r="AK1385">
        <f>IF(OR($AE1385="",$AI1385="",$AI1385="نامعتبر"),"",LEFT($AI1385,4)&amp;MID($AI1385,6,2)&amp;RIGHT($AI1385,2)&amp;$AJ1385&amp;"|"&amp;"3"&amp;RIGHT("00000"&amp;1380,5))</f>
        <v/>
      </c>
      <c r="AL1385">
        <f>IF($AK1385="","",COUNTIFS(LdAParty,$AE1385,LdAType,1,LdAKey,"&lt;"&amp;$AK1385)+COUNTIFS(LdBMember,$AE1385,LdBKey,"&lt;"&amp;$AK1385)+COUNTIFS(LdCParty,$AE1385,LdCKey,"&lt;"&amp;$AK1385)+1)</f>
        <v/>
      </c>
      <c r="AM1385">
        <f>IF($AL1385="","",$AE1385&amp;"|"&amp;RIGHT("000000"&amp;$AL1385,6))</f>
        <v/>
      </c>
      <c r="AN1385">
        <f>IF($AE1385="","",IF(Sync!$W1385="",0,Sync!$W1385))</f>
        <v/>
      </c>
      <c r="AO1385">
        <f>IF($AE1385="","",IF(Sync!$X1385="",0,Sync!$X1385))</f>
        <v/>
      </c>
      <c r="AP1385">
        <f>IF($AE1385="","",Sync!$R1385)</f>
        <v/>
      </c>
      <c r="AQ1385">
        <f>IF($AE1385="","",Sync!$Y1385)</f>
        <v/>
      </c>
    </row>
    <row r="1386">
      <c r="A1386">
        <f>IF(OR(Wages!$B1389="",Wages!$E1389=""),"",Wages!$E1389)</f>
        <v/>
      </c>
      <c r="B1386">
        <f>IF($A1386="","",IF(Wages!$C1389="دستمزد گروهی",2,1))</f>
        <v/>
      </c>
      <c r="C1386">
        <f>IF($A1386="","",IF(ISNUMBER(Wages!$B1389),IF(AND(Wages!$B1389&gt;=10000101,Wages!$B1389&lt;=99991231),INT(Wages!$B1389/10000),""),IFERROR(VALUE(TRIM(LEFT(Wages!$B1389,FIND("/",Wages!$B1389)-1))),"")))</f>
        <v/>
      </c>
      <c r="D1386">
        <f>IF(OR($A1386="",$C1386=""),"",IF(ISNUMBER(Wages!$B1389),INT(MOD(Wages!$B1389,10000)/100),IFERROR(VALUE(TRIM(LEFT(MID(Wages!$B1389,FIND("/",Wages!$B1389)+1,20),FIND("/",MID(Wages!$B1389,FIND("/",Wages!$B1389)+1,20))-1))),"")))</f>
        <v/>
      </c>
      <c r="E1386">
        <f>IF(OR($A1386="",$C1386=""),"",IF(ISNUMBER(Wages!$B1389),MOD(Wages!$B1389,100),IFERROR(VALUE(TRIM(MID(MID(Wages!$B1389,FIND("/",Wages!$B1389)+1,20),FIND("/",MID(Wages!$B1389,FIND("/",Wages!$B1389)+1,20))+1,20))),"")))</f>
        <v/>
      </c>
      <c r="F1386">
        <f>IF($A1386="","",IF(OR($C1386="",$D1386="",$E1386="",$C1386&lt;1300,$C1386&gt;1500,$D1386&lt;1,$D1386&gt;12,$E1386&lt;1,$E1386&gt;31),"نامعتبر",RIGHT("0000"&amp;$C1386,4)&amp;"/"&amp;RIGHT("00"&amp;$D1386,2)&amp;"/"&amp;RIGHT("00"&amp;$E1386,2)))</f>
        <v/>
      </c>
      <c r="G1386">
        <f>IF(OR($A1386="",$F1386="",$F1386="نامعتبر"),"",LEFT($F1386,4)&amp;MID($F1386,6,2)&amp;RIGHT($F1386,2)&amp;"0000"&amp;"|"&amp;"1"&amp;RIGHT("00000"&amp;1381,5))</f>
        <v/>
      </c>
      <c r="H1386">
        <f>IF(OR($B1386&lt;&gt;1,$G1386=""),"",COUNTIFS(LdAParty,$A1386,LdAType,1,LdAKey,"&lt;"&amp;$G1386)+COUNTIFS(LdBMember,$A1386,LdBKey,"&lt;"&amp;$G1386)+COUNTIFS(LdCParty,$A1386,LdCKey,"&lt;"&amp;$G1386)+1)</f>
        <v/>
      </c>
      <c r="I1386">
        <f>IF($H1386="","",$A1386&amp;"|"&amp;RIGHT("000000"&amp;$H1386,6))</f>
        <v/>
      </c>
      <c r="J1386">
        <f>IF(OR($B1386&lt;&gt;2,$G1386=""),"",COUNTIFS(LdAParty,$A1386,LdAType,2,LdAKey,"&lt;"&amp;$G1386)+1)</f>
        <v/>
      </c>
      <c r="K1386">
        <f>IF($J1386="","",$A1386&amp;"|"&amp;RIGHT("000000"&amp;$J1386,6))</f>
        <v/>
      </c>
      <c r="L1386">
        <f>IF($A1386="","",IF(Wages!$G1389="",0,Wages!$G1389))</f>
        <v/>
      </c>
      <c r="M1386">
        <f>IF($A1386="","",Wages!$J1389)</f>
        <v/>
      </c>
      <c r="N1386">
        <f>IF($A1386="","",Wages!$D1389)</f>
        <v/>
      </c>
      <c r="P1386">
        <f>IF(OR(Shares!$B1389="",Shares!$C1389=""),"",Shares!$C1389)</f>
        <v/>
      </c>
      <c r="Q1386">
        <f>IF($P1386="","",Shares!$B1389)</f>
        <v/>
      </c>
      <c r="R1386">
        <f>IF($P1386="","",IFERROR(INDEX(WageParty,MATCH($Q1386,WageIds,0)),""))</f>
        <v/>
      </c>
      <c r="S1386">
        <f>IF($P1386="","",IFERROR(INDEX($F$6:$F$2005,MATCH($Q1386,WageIds,0)),""))</f>
        <v/>
      </c>
      <c r="T1386">
        <f>IF(OR($P1386="",$S1386="",$S1386="نامعتبر"),"",LEFT($S1386,4)&amp;MID($S1386,6,2)&amp;RIGHT($S1386,2)&amp;"0000"&amp;"|"&amp;"2"&amp;RIGHT("00000"&amp;1381,5))</f>
        <v/>
      </c>
      <c r="U1386">
        <f>IF($T1386="","",COUNTIFS(LdAParty,$P1386,LdAType,1,LdAKey,"&lt;"&amp;$T1386)+COUNTIFS(LdBMember,$P1386,LdBKey,"&lt;"&amp;$T1386)+COUNTIFS(LdCParty,$P1386,LdCKey,"&lt;"&amp;$T1386)+1)</f>
        <v/>
      </c>
      <c r="V1386">
        <f>IF($U1386="","",$P1386&amp;"|"&amp;RIGHT("000000"&amp;$U1386,6))</f>
        <v/>
      </c>
      <c r="W1386">
        <f>IF($T1386="","",COUNTIFS(LdBGroup,$R1386,LdBKey,"&lt;"&amp;$T1386)+1)</f>
        <v/>
      </c>
      <c r="X1386">
        <f>IF($W1386="","",$R1386&amp;"|"&amp;RIGHT("000000"&amp;$W1386,6))</f>
        <v/>
      </c>
      <c r="Y1386">
        <f>IF($P1386="","",IF(Shares!$E1389="",0,Shares!$E1389))</f>
        <v/>
      </c>
      <c r="Z1386">
        <f>IF($P1386="","",Shares!$H1389)</f>
        <v/>
      </c>
      <c r="AE1386">
        <f>IF(OR(Sync!$S1386="",Sync!$P1386=""),"",Sync!$S1386)</f>
        <v/>
      </c>
      <c r="AF1386">
        <f>IF($AE1386="","",IF(ISNUMBER(Sync!$P1386),IF(AND(Sync!$P1386&gt;=10000101,Sync!$P1386&lt;=99991231),INT(Sync!$P1386/10000),""),IFERROR(VALUE(TRIM(LEFT(Sync!$P1386,FIND("/",Sync!$P1386)-1))),"")))</f>
        <v/>
      </c>
      <c r="AG1386">
        <f>IF(OR($AE1386="",$AF1386=""),"",IF(ISNUMBER(Sync!$P1386),INT(MOD(Sync!$P1386,10000)/100),IFERROR(VALUE(TRIM(LEFT(MID(Sync!$P1386,FIND("/",Sync!$P1386)+1,20),FIND("/",MID(Sync!$P1386,FIND("/",Sync!$P1386)+1,20))-1))),"")))</f>
        <v/>
      </c>
      <c r="AH1386">
        <f>IF(OR($AE1386="",$AF1386=""),"",IF(ISNUMBER(Sync!$P1386),MOD(Sync!$P1386,100),IFERROR(VALUE(TRIM(MID(MID(Sync!$P1386,FIND("/",Sync!$P1386)+1,20),FIND("/",MID(Sync!$P1386,FIND("/",Sync!$P1386)+1,20))+1,20))),"")))</f>
        <v/>
      </c>
      <c r="AI1386">
        <f>IF($AE1386="","",IF(OR($AF1386="",$AG1386="",$AH1386="",$AF1386&lt;1300,$AF1386&gt;1500,$AG1386&lt;1,$AG1386&gt;12,$AH1386&lt;1,$AH1386&gt;31),"نامعتبر",RIGHT("0000"&amp;$AF1386,4)&amp;"/"&amp;RIGHT("00"&amp;$AG1386,2)&amp;"/"&amp;RIGHT("00"&amp;$AH1386,2)))</f>
        <v/>
      </c>
      <c r="AJ1386">
        <f>IF($AE1386="","",IF(Sync!$Q1386="","0000",IF(AND(ISNUMBER(Sync!$Q1386),Sync!$Q1386&gt;=0,Sync!$Q1386&lt;1),RIGHT("00"&amp;HOUR(Sync!$Q1386),2)&amp;RIGHT("00"&amp;MINUTE(Sync!$Q1386),2),IFERROR(RIGHT("00"&amp;VALUE(LEFT(Sync!$Q1386,FIND(":",Sync!$Q1386)-1)),2)&amp;RIGHT("00"&amp;VALUE(MID(Sync!$Q1386,FIND(":",Sync!$Q1386)+1,2)),2),"0000"))))</f>
        <v/>
      </c>
      <c r="AK1386">
        <f>IF(OR($AE1386="",$AI1386="",$AI1386="نامعتبر"),"",LEFT($AI1386,4)&amp;MID($AI1386,6,2)&amp;RIGHT($AI1386,2)&amp;$AJ1386&amp;"|"&amp;"3"&amp;RIGHT("00000"&amp;1381,5))</f>
        <v/>
      </c>
      <c r="AL1386">
        <f>IF($AK1386="","",COUNTIFS(LdAParty,$AE1386,LdAType,1,LdAKey,"&lt;"&amp;$AK1386)+COUNTIFS(LdBMember,$AE1386,LdBKey,"&lt;"&amp;$AK1386)+COUNTIFS(LdCParty,$AE1386,LdCKey,"&lt;"&amp;$AK1386)+1)</f>
        <v/>
      </c>
      <c r="AM1386">
        <f>IF($AL1386="","",$AE1386&amp;"|"&amp;RIGHT("000000"&amp;$AL1386,6))</f>
        <v/>
      </c>
      <c r="AN1386">
        <f>IF($AE1386="","",IF(Sync!$W1386="",0,Sync!$W1386))</f>
        <v/>
      </c>
      <c r="AO1386">
        <f>IF($AE1386="","",IF(Sync!$X1386="",0,Sync!$X1386))</f>
        <v/>
      </c>
      <c r="AP1386">
        <f>IF($AE1386="","",Sync!$R1386)</f>
        <v/>
      </c>
      <c r="AQ1386">
        <f>IF($AE1386="","",Sync!$Y1386)</f>
        <v/>
      </c>
    </row>
    <row r="1387">
      <c r="A1387">
        <f>IF(OR(Wages!$B1390="",Wages!$E1390=""),"",Wages!$E1390)</f>
        <v/>
      </c>
      <c r="B1387">
        <f>IF($A1387="","",IF(Wages!$C1390="دستمزد گروهی",2,1))</f>
        <v/>
      </c>
      <c r="C1387">
        <f>IF($A1387="","",IF(ISNUMBER(Wages!$B1390),IF(AND(Wages!$B1390&gt;=10000101,Wages!$B1390&lt;=99991231),INT(Wages!$B1390/10000),""),IFERROR(VALUE(TRIM(LEFT(Wages!$B1390,FIND("/",Wages!$B1390)-1))),"")))</f>
        <v/>
      </c>
      <c r="D1387">
        <f>IF(OR($A1387="",$C1387=""),"",IF(ISNUMBER(Wages!$B1390),INT(MOD(Wages!$B1390,10000)/100),IFERROR(VALUE(TRIM(LEFT(MID(Wages!$B1390,FIND("/",Wages!$B1390)+1,20),FIND("/",MID(Wages!$B1390,FIND("/",Wages!$B1390)+1,20))-1))),"")))</f>
        <v/>
      </c>
      <c r="E1387">
        <f>IF(OR($A1387="",$C1387=""),"",IF(ISNUMBER(Wages!$B1390),MOD(Wages!$B1390,100),IFERROR(VALUE(TRIM(MID(MID(Wages!$B1390,FIND("/",Wages!$B1390)+1,20),FIND("/",MID(Wages!$B1390,FIND("/",Wages!$B1390)+1,20))+1,20))),"")))</f>
        <v/>
      </c>
      <c r="F1387">
        <f>IF($A1387="","",IF(OR($C1387="",$D1387="",$E1387="",$C1387&lt;1300,$C1387&gt;1500,$D1387&lt;1,$D1387&gt;12,$E1387&lt;1,$E1387&gt;31),"نامعتبر",RIGHT("0000"&amp;$C1387,4)&amp;"/"&amp;RIGHT("00"&amp;$D1387,2)&amp;"/"&amp;RIGHT("00"&amp;$E1387,2)))</f>
        <v/>
      </c>
      <c r="G1387">
        <f>IF(OR($A1387="",$F1387="",$F1387="نامعتبر"),"",LEFT($F1387,4)&amp;MID($F1387,6,2)&amp;RIGHT($F1387,2)&amp;"0000"&amp;"|"&amp;"1"&amp;RIGHT("00000"&amp;1382,5))</f>
        <v/>
      </c>
      <c r="H1387">
        <f>IF(OR($B1387&lt;&gt;1,$G1387=""),"",COUNTIFS(LdAParty,$A1387,LdAType,1,LdAKey,"&lt;"&amp;$G1387)+COUNTIFS(LdBMember,$A1387,LdBKey,"&lt;"&amp;$G1387)+COUNTIFS(LdCParty,$A1387,LdCKey,"&lt;"&amp;$G1387)+1)</f>
        <v/>
      </c>
      <c r="I1387">
        <f>IF($H1387="","",$A1387&amp;"|"&amp;RIGHT("000000"&amp;$H1387,6))</f>
        <v/>
      </c>
      <c r="J1387">
        <f>IF(OR($B1387&lt;&gt;2,$G1387=""),"",COUNTIFS(LdAParty,$A1387,LdAType,2,LdAKey,"&lt;"&amp;$G1387)+1)</f>
        <v/>
      </c>
      <c r="K1387">
        <f>IF($J1387="","",$A1387&amp;"|"&amp;RIGHT("000000"&amp;$J1387,6))</f>
        <v/>
      </c>
      <c r="L1387">
        <f>IF($A1387="","",IF(Wages!$G1390="",0,Wages!$G1390))</f>
        <v/>
      </c>
      <c r="M1387">
        <f>IF($A1387="","",Wages!$J1390)</f>
        <v/>
      </c>
      <c r="N1387">
        <f>IF($A1387="","",Wages!$D1390)</f>
        <v/>
      </c>
      <c r="P1387">
        <f>IF(OR(Shares!$B1390="",Shares!$C1390=""),"",Shares!$C1390)</f>
        <v/>
      </c>
      <c r="Q1387">
        <f>IF($P1387="","",Shares!$B1390)</f>
        <v/>
      </c>
      <c r="R1387">
        <f>IF($P1387="","",IFERROR(INDEX(WageParty,MATCH($Q1387,WageIds,0)),""))</f>
        <v/>
      </c>
      <c r="S1387">
        <f>IF($P1387="","",IFERROR(INDEX($F$6:$F$2005,MATCH($Q1387,WageIds,0)),""))</f>
        <v/>
      </c>
      <c r="T1387">
        <f>IF(OR($P1387="",$S1387="",$S1387="نامعتبر"),"",LEFT($S1387,4)&amp;MID($S1387,6,2)&amp;RIGHT($S1387,2)&amp;"0000"&amp;"|"&amp;"2"&amp;RIGHT("00000"&amp;1382,5))</f>
        <v/>
      </c>
      <c r="U1387">
        <f>IF($T1387="","",COUNTIFS(LdAParty,$P1387,LdAType,1,LdAKey,"&lt;"&amp;$T1387)+COUNTIFS(LdBMember,$P1387,LdBKey,"&lt;"&amp;$T1387)+COUNTIFS(LdCParty,$P1387,LdCKey,"&lt;"&amp;$T1387)+1)</f>
        <v/>
      </c>
      <c r="V1387">
        <f>IF($U1387="","",$P1387&amp;"|"&amp;RIGHT("000000"&amp;$U1387,6))</f>
        <v/>
      </c>
      <c r="W1387">
        <f>IF($T1387="","",COUNTIFS(LdBGroup,$R1387,LdBKey,"&lt;"&amp;$T1387)+1)</f>
        <v/>
      </c>
      <c r="X1387">
        <f>IF($W1387="","",$R1387&amp;"|"&amp;RIGHT("000000"&amp;$W1387,6))</f>
        <v/>
      </c>
      <c r="Y1387">
        <f>IF($P1387="","",IF(Shares!$E1390="",0,Shares!$E1390))</f>
        <v/>
      </c>
      <c r="Z1387">
        <f>IF($P1387="","",Shares!$H1390)</f>
        <v/>
      </c>
      <c r="AE1387">
        <f>IF(OR(Sync!$S1387="",Sync!$P1387=""),"",Sync!$S1387)</f>
        <v/>
      </c>
      <c r="AF1387">
        <f>IF($AE1387="","",IF(ISNUMBER(Sync!$P1387),IF(AND(Sync!$P1387&gt;=10000101,Sync!$P1387&lt;=99991231),INT(Sync!$P1387/10000),""),IFERROR(VALUE(TRIM(LEFT(Sync!$P1387,FIND("/",Sync!$P1387)-1))),"")))</f>
        <v/>
      </c>
      <c r="AG1387">
        <f>IF(OR($AE1387="",$AF1387=""),"",IF(ISNUMBER(Sync!$P1387),INT(MOD(Sync!$P1387,10000)/100),IFERROR(VALUE(TRIM(LEFT(MID(Sync!$P1387,FIND("/",Sync!$P1387)+1,20),FIND("/",MID(Sync!$P1387,FIND("/",Sync!$P1387)+1,20))-1))),"")))</f>
        <v/>
      </c>
      <c r="AH1387">
        <f>IF(OR($AE1387="",$AF1387=""),"",IF(ISNUMBER(Sync!$P1387),MOD(Sync!$P1387,100),IFERROR(VALUE(TRIM(MID(MID(Sync!$P1387,FIND("/",Sync!$P1387)+1,20),FIND("/",MID(Sync!$P1387,FIND("/",Sync!$P1387)+1,20))+1,20))),"")))</f>
        <v/>
      </c>
      <c r="AI1387">
        <f>IF($AE1387="","",IF(OR($AF1387="",$AG1387="",$AH1387="",$AF1387&lt;1300,$AF1387&gt;1500,$AG1387&lt;1,$AG1387&gt;12,$AH1387&lt;1,$AH1387&gt;31),"نامعتبر",RIGHT("0000"&amp;$AF1387,4)&amp;"/"&amp;RIGHT("00"&amp;$AG1387,2)&amp;"/"&amp;RIGHT("00"&amp;$AH1387,2)))</f>
        <v/>
      </c>
      <c r="AJ1387">
        <f>IF($AE1387="","",IF(Sync!$Q1387="","0000",IF(AND(ISNUMBER(Sync!$Q1387),Sync!$Q1387&gt;=0,Sync!$Q1387&lt;1),RIGHT("00"&amp;HOUR(Sync!$Q1387),2)&amp;RIGHT("00"&amp;MINUTE(Sync!$Q1387),2),IFERROR(RIGHT("00"&amp;VALUE(LEFT(Sync!$Q1387,FIND(":",Sync!$Q1387)-1)),2)&amp;RIGHT("00"&amp;VALUE(MID(Sync!$Q1387,FIND(":",Sync!$Q1387)+1,2)),2),"0000"))))</f>
        <v/>
      </c>
      <c r="AK1387">
        <f>IF(OR($AE1387="",$AI1387="",$AI1387="نامعتبر"),"",LEFT($AI1387,4)&amp;MID($AI1387,6,2)&amp;RIGHT($AI1387,2)&amp;$AJ1387&amp;"|"&amp;"3"&amp;RIGHT("00000"&amp;1382,5))</f>
        <v/>
      </c>
      <c r="AL1387">
        <f>IF($AK1387="","",COUNTIFS(LdAParty,$AE1387,LdAType,1,LdAKey,"&lt;"&amp;$AK1387)+COUNTIFS(LdBMember,$AE1387,LdBKey,"&lt;"&amp;$AK1387)+COUNTIFS(LdCParty,$AE1387,LdCKey,"&lt;"&amp;$AK1387)+1)</f>
        <v/>
      </c>
      <c r="AM1387">
        <f>IF($AL1387="","",$AE1387&amp;"|"&amp;RIGHT("000000"&amp;$AL1387,6))</f>
        <v/>
      </c>
      <c r="AN1387">
        <f>IF($AE1387="","",IF(Sync!$W1387="",0,Sync!$W1387))</f>
        <v/>
      </c>
      <c r="AO1387">
        <f>IF($AE1387="","",IF(Sync!$X1387="",0,Sync!$X1387))</f>
        <v/>
      </c>
      <c r="AP1387">
        <f>IF($AE1387="","",Sync!$R1387)</f>
        <v/>
      </c>
      <c r="AQ1387">
        <f>IF($AE1387="","",Sync!$Y1387)</f>
        <v/>
      </c>
    </row>
    <row r="1388">
      <c r="A1388">
        <f>IF(OR(Wages!$B1391="",Wages!$E1391=""),"",Wages!$E1391)</f>
        <v/>
      </c>
      <c r="B1388">
        <f>IF($A1388="","",IF(Wages!$C1391="دستمزد گروهی",2,1))</f>
        <v/>
      </c>
      <c r="C1388">
        <f>IF($A1388="","",IF(ISNUMBER(Wages!$B1391),IF(AND(Wages!$B1391&gt;=10000101,Wages!$B1391&lt;=99991231),INT(Wages!$B1391/10000),""),IFERROR(VALUE(TRIM(LEFT(Wages!$B1391,FIND("/",Wages!$B1391)-1))),"")))</f>
        <v/>
      </c>
      <c r="D1388">
        <f>IF(OR($A1388="",$C1388=""),"",IF(ISNUMBER(Wages!$B1391),INT(MOD(Wages!$B1391,10000)/100),IFERROR(VALUE(TRIM(LEFT(MID(Wages!$B1391,FIND("/",Wages!$B1391)+1,20),FIND("/",MID(Wages!$B1391,FIND("/",Wages!$B1391)+1,20))-1))),"")))</f>
        <v/>
      </c>
      <c r="E1388">
        <f>IF(OR($A1388="",$C1388=""),"",IF(ISNUMBER(Wages!$B1391),MOD(Wages!$B1391,100),IFERROR(VALUE(TRIM(MID(MID(Wages!$B1391,FIND("/",Wages!$B1391)+1,20),FIND("/",MID(Wages!$B1391,FIND("/",Wages!$B1391)+1,20))+1,20))),"")))</f>
        <v/>
      </c>
      <c r="F1388">
        <f>IF($A1388="","",IF(OR($C1388="",$D1388="",$E1388="",$C1388&lt;1300,$C1388&gt;1500,$D1388&lt;1,$D1388&gt;12,$E1388&lt;1,$E1388&gt;31),"نامعتبر",RIGHT("0000"&amp;$C1388,4)&amp;"/"&amp;RIGHT("00"&amp;$D1388,2)&amp;"/"&amp;RIGHT("00"&amp;$E1388,2)))</f>
        <v/>
      </c>
      <c r="G1388">
        <f>IF(OR($A1388="",$F1388="",$F1388="نامعتبر"),"",LEFT($F1388,4)&amp;MID($F1388,6,2)&amp;RIGHT($F1388,2)&amp;"0000"&amp;"|"&amp;"1"&amp;RIGHT("00000"&amp;1383,5))</f>
        <v/>
      </c>
      <c r="H1388">
        <f>IF(OR($B1388&lt;&gt;1,$G1388=""),"",COUNTIFS(LdAParty,$A1388,LdAType,1,LdAKey,"&lt;"&amp;$G1388)+COUNTIFS(LdBMember,$A1388,LdBKey,"&lt;"&amp;$G1388)+COUNTIFS(LdCParty,$A1388,LdCKey,"&lt;"&amp;$G1388)+1)</f>
        <v/>
      </c>
      <c r="I1388">
        <f>IF($H1388="","",$A1388&amp;"|"&amp;RIGHT("000000"&amp;$H1388,6))</f>
        <v/>
      </c>
      <c r="J1388">
        <f>IF(OR($B1388&lt;&gt;2,$G1388=""),"",COUNTIFS(LdAParty,$A1388,LdAType,2,LdAKey,"&lt;"&amp;$G1388)+1)</f>
        <v/>
      </c>
      <c r="K1388">
        <f>IF($J1388="","",$A1388&amp;"|"&amp;RIGHT("000000"&amp;$J1388,6))</f>
        <v/>
      </c>
      <c r="L1388">
        <f>IF($A1388="","",IF(Wages!$G1391="",0,Wages!$G1391))</f>
        <v/>
      </c>
      <c r="M1388">
        <f>IF($A1388="","",Wages!$J1391)</f>
        <v/>
      </c>
      <c r="N1388">
        <f>IF($A1388="","",Wages!$D1391)</f>
        <v/>
      </c>
      <c r="P1388">
        <f>IF(OR(Shares!$B1391="",Shares!$C1391=""),"",Shares!$C1391)</f>
        <v/>
      </c>
      <c r="Q1388">
        <f>IF($P1388="","",Shares!$B1391)</f>
        <v/>
      </c>
      <c r="R1388">
        <f>IF($P1388="","",IFERROR(INDEX(WageParty,MATCH($Q1388,WageIds,0)),""))</f>
        <v/>
      </c>
      <c r="S1388">
        <f>IF($P1388="","",IFERROR(INDEX($F$6:$F$2005,MATCH($Q1388,WageIds,0)),""))</f>
        <v/>
      </c>
      <c r="T1388">
        <f>IF(OR($P1388="",$S1388="",$S1388="نامعتبر"),"",LEFT($S1388,4)&amp;MID($S1388,6,2)&amp;RIGHT($S1388,2)&amp;"0000"&amp;"|"&amp;"2"&amp;RIGHT("00000"&amp;1383,5))</f>
        <v/>
      </c>
      <c r="U1388">
        <f>IF($T1388="","",COUNTIFS(LdAParty,$P1388,LdAType,1,LdAKey,"&lt;"&amp;$T1388)+COUNTIFS(LdBMember,$P1388,LdBKey,"&lt;"&amp;$T1388)+COUNTIFS(LdCParty,$P1388,LdCKey,"&lt;"&amp;$T1388)+1)</f>
        <v/>
      </c>
      <c r="V1388">
        <f>IF($U1388="","",$P1388&amp;"|"&amp;RIGHT("000000"&amp;$U1388,6))</f>
        <v/>
      </c>
      <c r="W1388">
        <f>IF($T1388="","",COUNTIFS(LdBGroup,$R1388,LdBKey,"&lt;"&amp;$T1388)+1)</f>
        <v/>
      </c>
      <c r="X1388">
        <f>IF($W1388="","",$R1388&amp;"|"&amp;RIGHT("000000"&amp;$W1388,6))</f>
        <v/>
      </c>
      <c r="Y1388">
        <f>IF($P1388="","",IF(Shares!$E1391="",0,Shares!$E1391))</f>
        <v/>
      </c>
      <c r="Z1388">
        <f>IF($P1388="","",Shares!$H1391)</f>
        <v/>
      </c>
      <c r="AE1388">
        <f>IF(OR(Sync!$S1388="",Sync!$P1388=""),"",Sync!$S1388)</f>
        <v/>
      </c>
      <c r="AF1388">
        <f>IF($AE1388="","",IF(ISNUMBER(Sync!$P1388),IF(AND(Sync!$P1388&gt;=10000101,Sync!$P1388&lt;=99991231),INT(Sync!$P1388/10000),""),IFERROR(VALUE(TRIM(LEFT(Sync!$P1388,FIND("/",Sync!$P1388)-1))),"")))</f>
        <v/>
      </c>
      <c r="AG1388">
        <f>IF(OR($AE1388="",$AF1388=""),"",IF(ISNUMBER(Sync!$P1388),INT(MOD(Sync!$P1388,10000)/100),IFERROR(VALUE(TRIM(LEFT(MID(Sync!$P1388,FIND("/",Sync!$P1388)+1,20),FIND("/",MID(Sync!$P1388,FIND("/",Sync!$P1388)+1,20))-1))),"")))</f>
        <v/>
      </c>
      <c r="AH1388">
        <f>IF(OR($AE1388="",$AF1388=""),"",IF(ISNUMBER(Sync!$P1388),MOD(Sync!$P1388,100),IFERROR(VALUE(TRIM(MID(MID(Sync!$P1388,FIND("/",Sync!$P1388)+1,20),FIND("/",MID(Sync!$P1388,FIND("/",Sync!$P1388)+1,20))+1,20))),"")))</f>
        <v/>
      </c>
      <c r="AI1388">
        <f>IF($AE1388="","",IF(OR($AF1388="",$AG1388="",$AH1388="",$AF1388&lt;1300,$AF1388&gt;1500,$AG1388&lt;1,$AG1388&gt;12,$AH1388&lt;1,$AH1388&gt;31),"نامعتبر",RIGHT("0000"&amp;$AF1388,4)&amp;"/"&amp;RIGHT("00"&amp;$AG1388,2)&amp;"/"&amp;RIGHT("00"&amp;$AH1388,2)))</f>
        <v/>
      </c>
      <c r="AJ1388">
        <f>IF($AE1388="","",IF(Sync!$Q1388="","0000",IF(AND(ISNUMBER(Sync!$Q1388),Sync!$Q1388&gt;=0,Sync!$Q1388&lt;1),RIGHT("00"&amp;HOUR(Sync!$Q1388),2)&amp;RIGHT("00"&amp;MINUTE(Sync!$Q1388),2),IFERROR(RIGHT("00"&amp;VALUE(LEFT(Sync!$Q1388,FIND(":",Sync!$Q1388)-1)),2)&amp;RIGHT("00"&amp;VALUE(MID(Sync!$Q1388,FIND(":",Sync!$Q1388)+1,2)),2),"0000"))))</f>
        <v/>
      </c>
      <c r="AK1388">
        <f>IF(OR($AE1388="",$AI1388="",$AI1388="نامعتبر"),"",LEFT($AI1388,4)&amp;MID($AI1388,6,2)&amp;RIGHT($AI1388,2)&amp;$AJ1388&amp;"|"&amp;"3"&amp;RIGHT("00000"&amp;1383,5))</f>
        <v/>
      </c>
      <c r="AL1388">
        <f>IF($AK1388="","",COUNTIFS(LdAParty,$AE1388,LdAType,1,LdAKey,"&lt;"&amp;$AK1388)+COUNTIFS(LdBMember,$AE1388,LdBKey,"&lt;"&amp;$AK1388)+COUNTIFS(LdCParty,$AE1388,LdCKey,"&lt;"&amp;$AK1388)+1)</f>
        <v/>
      </c>
      <c r="AM1388">
        <f>IF($AL1388="","",$AE1388&amp;"|"&amp;RIGHT("000000"&amp;$AL1388,6))</f>
        <v/>
      </c>
      <c r="AN1388">
        <f>IF($AE1388="","",IF(Sync!$W1388="",0,Sync!$W1388))</f>
        <v/>
      </c>
      <c r="AO1388">
        <f>IF($AE1388="","",IF(Sync!$X1388="",0,Sync!$X1388))</f>
        <v/>
      </c>
      <c r="AP1388">
        <f>IF($AE1388="","",Sync!$R1388)</f>
        <v/>
      </c>
      <c r="AQ1388">
        <f>IF($AE1388="","",Sync!$Y1388)</f>
        <v/>
      </c>
    </row>
    <row r="1389">
      <c r="A1389">
        <f>IF(OR(Wages!$B1392="",Wages!$E1392=""),"",Wages!$E1392)</f>
        <v/>
      </c>
      <c r="B1389">
        <f>IF($A1389="","",IF(Wages!$C1392="دستمزد گروهی",2,1))</f>
        <v/>
      </c>
      <c r="C1389">
        <f>IF($A1389="","",IF(ISNUMBER(Wages!$B1392),IF(AND(Wages!$B1392&gt;=10000101,Wages!$B1392&lt;=99991231),INT(Wages!$B1392/10000),""),IFERROR(VALUE(TRIM(LEFT(Wages!$B1392,FIND("/",Wages!$B1392)-1))),"")))</f>
        <v/>
      </c>
      <c r="D1389">
        <f>IF(OR($A1389="",$C1389=""),"",IF(ISNUMBER(Wages!$B1392),INT(MOD(Wages!$B1392,10000)/100),IFERROR(VALUE(TRIM(LEFT(MID(Wages!$B1392,FIND("/",Wages!$B1392)+1,20),FIND("/",MID(Wages!$B1392,FIND("/",Wages!$B1392)+1,20))-1))),"")))</f>
        <v/>
      </c>
      <c r="E1389">
        <f>IF(OR($A1389="",$C1389=""),"",IF(ISNUMBER(Wages!$B1392),MOD(Wages!$B1392,100),IFERROR(VALUE(TRIM(MID(MID(Wages!$B1392,FIND("/",Wages!$B1392)+1,20),FIND("/",MID(Wages!$B1392,FIND("/",Wages!$B1392)+1,20))+1,20))),"")))</f>
        <v/>
      </c>
      <c r="F1389">
        <f>IF($A1389="","",IF(OR($C1389="",$D1389="",$E1389="",$C1389&lt;1300,$C1389&gt;1500,$D1389&lt;1,$D1389&gt;12,$E1389&lt;1,$E1389&gt;31),"نامعتبر",RIGHT("0000"&amp;$C1389,4)&amp;"/"&amp;RIGHT("00"&amp;$D1389,2)&amp;"/"&amp;RIGHT("00"&amp;$E1389,2)))</f>
        <v/>
      </c>
      <c r="G1389">
        <f>IF(OR($A1389="",$F1389="",$F1389="نامعتبر"),"",LEFT($F1389,4)&amp;MID($F1389,6,2)&amp;RIGHT($F1389,2)&amp;"0000"&amp;"|"&amp;"1"&amp;RIGHT("00000"&amp;1384,5))</f>
        <v/>
      </c>
      <c r="H1389">
        <f>IF(OR($B1389&lt;&gt;1,$G1389=""),"",COUNTIFS(LdAParty,$A1389,LdAType,1,LdAKey,"&lt;"&amp;$G1389)+COUNTIFS(LdBMember,$A1389,LdBKey,"&lt;"&amp;$G1389)+COUNTIFS(LdCParty,$A1389,LdCKey,"&lt;"&amp;$G1389)+1)</f>
        <v/>
      </c>
      <c r="I1389">
        <f>IF($H1389="","",$A1389&amp;"|"&amp;RIGHT("000000"&amp;$H1389,6))</f>
        <v/>
      </c>
      <c r="J1389">
        <f>IF(OR($B1389&lt;&gt;2,$G1389=""),"",COUNTIFS(LdAParty,$A1389,LdAType,2,LdAKey,"&lt;"&amp;$G1389)+1)</f>
        <v/>
      </c>
      <c r="K1389">
        <f>IF($J1389="","",$A1389&amp;"|"&amp;RIGHT("000000"&amp;$J1389,6))</f>
        <v/>
      </c>
      <c r="L1389">
        <f>IF($A1389="","",IF(Wages!$G1392="",0,Wages!$G1392))</f>
        <v/>
      </c>
      <c r="M1389">
        <f>IF($A1389="","",Wages!$J1392)</f>
        <v/>
      </c>
      <c r="N1389">
        <f>IF($A1389="","",Wages!$D1392)</f>
        <v/>
      </c>
      <c r="P1389">
        <f>IF(OR(Shares!$B1392="",Shares!$C1392=""),"",Shares!$C1392)</f>
        <v/>
      </c>
      <c r="Q1389">
        <f>IF($P1389="","",Shares!$B1392)</f>
        <v/>
      </c>
      <c r="R1389">
        <f>IF($P1389="","",IFERROR(INDEX(WageParty,MATCH($Q1389,WageIds,0)),""))</f>
        <v/>
      </c>
      <c r="S1389">
        <f>IF($P1389="","",IFERROR(INDEX($F$6:$F$2005,MATCH($Q1389,WageIds,0)),""))</f>
        <v/>
      </c>
      <c r="T1389">
        <f>IF(OR($P1389="",$S1389="",$S1389="نامعتبر"),"",LEFT($S1389,4)&amp;MID($S1389,6,2)&amp;RIGHT($S1389,2)&amp;"0000"&amp;"|"&amp;"2"&amp;RIGHT("00000"&amp;1384,5))</f>
        <v/>
      </c>
      <c r="U1389">
        <f>IF($T1389="","",COUNTIFS(LdAParty,$P1389,LdAType,1,LdAKey,"&lt;"&amp;$T1389)+COUNTIFS(LdBMember,$P1389,LdBKey,"&lt;"&amp;$T1389)+COUNTIFS(LdCParty,$P1389,LdCKey,"&lt;"&amp;$T1389)+1)</f>
        <v/>
      </c>
      <c r="V1389">
        <f>IF($U1389="","",$P1389&amp;"|"&amp;RIGHT("000000"&amp;$U1389,6))</f>
        <v/>
      </c>
      <c r="W1389">
        <f>IF($T1389="","",COUNTIFS(LdBGroup,$R1389,LdBKey,"&lt;"&amp;$T1389)+1)</f>
        <v/>
      </c>
      <c r="X1389">
        <f>IF($W1389="","",$R1389&amp;"|"&amp;RIGHT("000000"&amp;$W1389,6))</f>
        <v/>
      </c>
      <c r="Y1389">
        <f>IF($P1389="","",IF(Shares!$E1392="",0,Shares!$E1392))</f>
        <v/>
      </c>
      <c r="Z1389">
        <f>IF($P1389="","",Shares!$H1392)</f>
        <v/>
      </c>
      <c r="AE1389">
        <f>IF(OR(Sync!$S1389="",Sync!$P1389=""),"",Sync!$S1389)</f>
        <v/>
      </c>
      <c r="AF1389">
        <f>IF($AE1389="","",IF(ISNUMBER(Sync!$P1389),IF(AND(Sync!$P1389&gt;=10000101,Sync!$P1389&lt;=99991231),INT(Sync!$P1389/10000),""),IFERROR(VALUE(TRIM(LEFT(Sync!$P1389,FIND("/",Sync!$P1389)-1))),"")))</f>
        <v/>
      </c>
      <c r="AG1389">
        <f>IF(OR($AE1389="",$AF1389=""),"",IF(ISNUMBER(Sync!$P1389),INT(MOD(Sync!$P1389,10000)/100),IFERROR(VALUE(TRIM(LEFT(MID(Sync!$P1389,FIND("/",Sync!$P1389)+1,20),FIND("/",MID(Sync!$P1389,FIND("/",Sync!$P1389)+1,20))-1))),"")))</f>
        <v/>
      </c>
      <c r="AH1389">
        <f>IF(OR($AE1389="",$AF1389=""),"",IF(ISNUMBER(Sync!$P1389),MOD(Sync!$P1389,100),IFERROR(VALUE(TRIM(MID(MID(Sync!$P1389,FIND("/",Sync!$P1389)+1,20),FIND("/",MID(Sync!$P1389,FIND("/",Sync!$P1389)+1,20))+1,20))),"")))</f>
        <v/>
      </c>
      <c r="AI1389">
        <f>IF($AE1389="","",IF(OR($AF1389="",$AG1389="",$AH1389="",$AF1389&lt;1300,$AF1389&gt;1500,$AG1389&lt;1,$AG1389&gt;12,$AH1389&lt;1,$AH1389&gt;31),"نامعتبر",RIGHT("0000"&amp;$AF1389,4)&amp;"/"&amp;RIGHT("00"&amp;$AG1389,2)&amp;"/"&amp;RIGHT("00"&amp;$AH1389,2)))</f>
        <v/>
      </c>
      <c r="AJ1389">
        <f>IF($AE1389="","",IF(Sync!$Q1389="","0000",IF(AND(ISNUMBER(Sync!$Q1389),Sync!$Q1389&gt;=0,Sync!$Q1389&lt;1),RIGHT("00"&amp;HOUR(Sync!$Q1389),2)&amp;RIGHT("00"&amp;MINUTE(Sync!$Q1389),2),IFERROR(RIGHT("00"&amp;VALUE(LEFT(Sync!$Q1389,FIND(":",Sync!$Q1389)-1)),2)&amp;RIGHT("00"&amp;VALUE(MID(Sync!$Q1389,FIND(":",Sync!$Q1389)+1,2)),2),"0000"))))</f>
        <v/>
      </c>
      <c r="AK1389">
        <f>IF(OR($AE1389="",$AI1389="",$AI1389="نامعتبر"),"",LEFT($AI1389,4)&amp;MID($AI1389,6,2)&amp;RIGHT($AI1389,2)&amp;$AJ1389&amp;"|"&amp;"3"&amp;RIGHT("00000"&amp;1384,5))</f>
        <v/>
      </c>
      <c r="AL1389">
        <f>IF($AK1389="","",COUNTIFS(LdAParty,$AE1389,LdAType,1,LdAKey,"&lt;"&amp;$AK1389)+COUNTIFS(LdBMember,$AE1389,LdBKey,"&lt;"&amp;$AK1389)+COUNTIFS(LdCParty,$AE1389,LdCKey,"&lt;"&amp;$AK1389)+1)</f>
        <v/>
      </c>
      <c r="AM1389">
        <f>IF($AL1389="","",$AE1389&amp;"|"&amp;RIGHT("000000"&amp;$AL1389,6))</f>
        <v/>
      </c>
      <c r="AN1389">
        <f>IF($AE1389="","",IF(Sync!$W1389="",0,Sync!$W1389))</f>
        <v/>
      </c>
      <c r="AO1389">
        <f>IF($AE1389="","",IF(Sync!$X1389="",0,Sync!$X1389))</f>
        <v/>
      </c>
      <c r="AP1389">
        <f>IF($AE1389="","",Sync!$R1389)</f>
        <v/>
      </c>
      <c r="AQ1389">
        <f>IF($AE1389="","",Sync!$Y1389)</f>
        <v/>
      </c>
    </row>
    <row r="1390">
      <c r="A1390">
        <f>IF(OR(Wages!$B1393="",Wages!$E1393=""),"",Wages!$E1393)</f>
        <v/>
      </c>
      <c r="B1390">
        <f>IF($A1390="","",IF(Wages!$C1393="دستمزد گروهی",2,1))</f>
        <v/>
      </c>
      <c r="C1390">
        <f>IF($A1390="","",IF(ISNUMBER(Wages!$B1393),IF(AND(Wages!$B1393&gt;=10000101,Wages!$B1393&lt;=99991231),INT(Wages!$B1393/10000),""),IFERROR(VALUE(TRIM(LEFT(Wages!$B1393,FIND("/",Wages!$B1393)-1))),"")))</f>
        <v/>
      </c>
      <c r="D1390">
        <f>IF(OR($A1390="",$C1390=""),"",IF(ISNUMBER(Wages!$B1393),INT(MOD(Wages!$B1393,10000)/100),IFERROR(VALUE(TRIM(LEFT(MID(Wages!$B1393,FIND("/",Wages!$B1393)+1,20),FIND("/",MID(Wages!$B1393,FIND("/",Wages!$B1393)+1,20))-1))),"")))</f>
        <v/>
      </c>
      <c r="E1390">
        <f>IF(OR($A1390="",$C1390=""),"",IF(ISNUMBER(Wages!$B1393),MOD(Wages!$B1393,100),IFERROR(VALUE(TRIM(MID(MID(Wages!$B1393,FIND("/",Wages!$B1393)+1,20),FIND("/",MID(Wages!$B1393,FIND("/",Wages!$B1393)+1,20))+1,20))),"")))</f>
        <v/>
      </c>
      <c r="F1390">
        <f>IF($A1390="","",IF(OR($C1390="",$D1390="",$E1390="",$C1390&lt;1300,$C1390&gt;1500,$D1390&lt;1,$D1390&gt;12,$E1390&lt;1,$E1390&gt;31),"نامعتبر",RIGHT("0000"&amp;$C1390,4)&amp;"/"&amp;RIGHT("00"&amp;$D1390,2)&amp;"/"&amp;RIGHT("00"&amp;$E1390,2)))</f>
        <v/>
      </c>
      <c r="G1390">
        <f>IF(OR($A1390="",$F1390="",$F1390="نامعتبر"),"",LEFT($F1390,4)&amp;MID($F1390,6,2)&amp;RIGHT($F1390,2)&amp;"0000"&amp;"|"&amp;"1"&amp;RIGHT("00000"&amp;1385,5))</f>
        <v/>
      </c>
      <c r="H1390">
        <f>IF(OR($B1390&lt;&gt;1,$G1390=""),"",COUNTIFS(LdAParty,$A1390,LdAType,1,LdAKey,"&lt;"&amp;$G1390)+COUNTIFS(LdBMember,$A1390,LdBKey,"&lt;"&amp;$G1390)+COUNTIFS(LdCParty,$A1390,LdCKey,"&lt;"&amp;$G1390)+1)</f>
        <v/>
      </c>
      <c r="I1390">
        <f>IF($H1390="","",$A1390&amp;"|"&amp;RIGHT("000000"&amp;$H1390,6))</f>
        <v/>
      </c>
      <c r="J1390">
        <f>IF(OR($B1390&lt;&gt;2,$G1390=""),"",COUNTIFS(LdAParty,$A1390,LdAType,2,LdAKey,"&lt;"&amp;$G1390)+1)</f>
        <v/>
      </c>
      <c r="K1390">
        <f>IF($J1390="","",$A1390&amp;"|"&amp;RIGHT("000000"&amp;$J1390,6))</f>
        <v/>
      </c>
      <c r="L1390">
        <f>IF($A1390="","",IF(Wages!$G1393="",0,Wages!$G1393))</f>
        <v/>
      </c>
      <c r="M1390">
        <f>IF($A1390="","",Wages!$J1393)</f>
        <v/>
      </c>
      <c r="N1390">
        <f>IF($A1390="","",Wages!$D1393)</f>
        <v/>
      </c>
      <c r="P1390">
        <f>IF(OR(Shares!$B1393="",Shares!$C1393=""),"",Shares!$C1393)</f>
        <v/>
      </c>
      <c r="Q1390">
        <f>IF($P1390="","",Shares!$B1393)</f>
        <v/>
      </c>
      <c r="R1390">
        <f>IF($P1390="","",IFERROR(INDEX(WageParty,MATCH($Q1390,WageIds,0)),""))</f>
        <v/>
      </c>
      <c r="S1390">
        <f>IF($P1390="","",IFERROR(INDEX($F$6:$F$2005,MATCH($Q1390,WageIds,0)),""))</f>
        <v/>
      </c>
      <c r="T1390">
        <f>IF(OR($P1390="",$S1390="",$S1390="نامعتبر"),"",LEFT($S1390,4)&amp;MID($S1390,6,2)&amp;RIGHT($S1390,2)&amp;"0000"&amp;"|"&amp;"2"&amp;RIGHT("00000"&amp;1385,5))</f>
        <v/>
      </c>
      <c r="U1390">
        <f>IF($T1390="","",COUNTIFS(LdAParty,$P1390,LdAType,1,LdAKey,"&lt;"&amp;$T1390)+COUNTIFS(LdBMember,$P1390,LdBKey,"&lt;"&amp;$T1390)+COUNTIFS(LdCParty,$P1390,LdCKey,"&lt;"&amp;$T1390)+1)</f>
        <v/>
      </c>
      <c r="V1390">
        <f>IF($U1390="","",$P1390&amp;"|"&amp;RIGHT("000000"&amp;$U1390,6))</f>
        <v/>
      </c>
      <c r="W1390">
        <f>IF($T1390="","",COUNTIFS(LdBGroup,$R1390,LdBKey,"&lt;"&amp;$T1390)+1)</f>
        <v/>
      </c>
      <c r="X1390">
        <f>IF($W1390="","",$R1390&amp;"|"&amp;RIGHT("000000"&amp;$W1390,6))</f>
        <v/>
      </c>
      <c r="Y1390">
        <f>IF($P1390="","",IF(Shares!$E1393="",0,Shares!$E1393))</f>
        <v/>
      </c>
      <c r="Z1390">
        <f>IF($P1390="","",Shares!$H1393)</f>
        <v/>
      </c>
      <c r="AE1390">
        <f>IF(OR(Sync!$S1390="",Sync!$P1390=""),"",Sync!$S1390)</f>
        <v/>
      </c>
      <c r="AF1390">
        <f>IF($AE1390="","",IF(ISNUMBER(Sync!$P1390),IF(AND(Sync!$P1390&gt;=10000101,Sync!$P1390&lt;=99991231),INT(Sync!$P1390/10000),""),IFERROR(VALUE(TRIM(LEFT(Sync!$P1390,FIND("/",Sync!$P1390)-1))),"")))</f>
        <v/>
      </c>
      <c r="AG1390">
        <f>IF(OR($AE1390="",$AF1390=""),"",IF(ISNUMBER(Sync!$P1390),INT(MOD(Sync!$P1390,10000)/100),IFERROR(VALUE(TRIM(LEFT(MID(Sync!$P1390,FIND("/",Sync!$P1390)+1,20),FIND("/",MID(Sync!$P1390,FIND("/",Sync!$P1390)+1,20))-1))),"")))</f>
        <v/>
      </c>
      <c r="AH1390">
        <f>IF(OR($AE1390="",$AF1390=""),"",IF(ISNUMBER(Sync!$P1390),MOD(Sync!$P1390,100),IFERROR(VALUE(TRIM(MID(MID(Sync!$P1390,FIND("/",Sync!$P1390)+1,20),FIND("/",MID(Sync!$P1390,FIND("/",Sync!$P1390)+1,20))+1,20))),"")))</f>
        <v/>
      </c>
      <c r="AI1390">
        <f>IF($AE1390="","",IF(OR($AF1390="",$AG1390="",$AH1390="",$AF1390&lt;1300,$AF1390&gt;1500,$AG1390&lt;1,$AG1390&gt;12,$AH1390&lt;1,$AH1390&gt;31),"نامعتبر",RIGHT("0000"&amp;$AF1390,4)&amp;"/"&amp;RIGHT("00"&amp;$AG1390,2)&amp;"/"&amp;RIGHT("00"&amp;$AH1390,2)))</f>
        <v/>
      </c>
      <c r="AJ1390">
        <f>IF($AE1390="","",IF(Sync!$Q1390="","0000",IF(AND(ISNUMBER(Sync!$Q1390),Sync!$Q1390&gt;=0,Sync!$Q1390&lt;1),RIGHT("00"&amp;HOUR(Sync!$Q1390),2)&amp;RIGHT("00"&amp;MINUTE(Sync!$Q1390),2),IFERROR(RIGHT("00"&amp;VALUE(LEFT(Sync!$Q1390,FIND(":",Sync!$Q1390)-1)),2)&amp;RIGHT("00"&amp;VALUE(MID(Sync!$Q1390,FIND(":",Sync!$Q1390)+1,2)),2),"0000"))))</f>
        <v/>
      </c>
      <c r="AK1390">
        <f>IF(OR($AE1390="",$AI1390="",$AI1390="نامعتبر"),"",LEFT($AI1390,4)&amp;MID($AI1390,6,2)&amp;RIGHT($AI1390,2)&amp;$AJ1390&amp;"|"&amp;"3"&amp;RIGHT("00000"&amp;1385,5))</f>
        <v/>
      </c>
      <c r="AL1390">
        <f>IF($AK1390="","",COUNTIFS(LdAParty,$AE1390,LdAType,1,LdAKey,"&lt;"&amp;$AK1390)+COUNTIFS(LdBMember,$AE1390,LdBKey,"&lt;"&amp;$AK1390)+COUNTIFS(LdCParty,$AE1390,LdCKey,"&lt;"&amp;$AK1390)+1)</f>
        <v/>
      </c>
      <c r="AM1390">
        <f>IF($AL1390="","",$AE1390&amp;"|"&amp;RIGHT("000000"&amp;$AL1390,6))</f>
        <v/>
      </c>
      <c r="AN1390">
        <f>IF($AE1390="","",IF(Sync!$W1390="",0,Sync!$W1390))</f>
        <v/>
      </c>
      <c r="AO1390">
        <f>IF($AE1390="","",IF(Sync!$X1390="",0,Sync!$X1390))</f>
        <v/>
      </c>
      <c r="AP1390">
        <f>IF($AE1390="","",Sync!$R1390)</f>
        <v/>
      </c>
      <c r="AQ1390">
        <f>IF($AE1390="","",Sync!$Y1390)</f>
        <v/>
      </c>
    </row>
    <row r="1391">
      <c r="A1391">
        <f>IF(OR(Wages!$B1394="",Wages!$E1394=""),"",Wages!$E1394)</f>
        <v/>
      </c>
      <c r="B1391">
        <f>IF($A1391="","",IF(Wages!$C1394="دستمزد گروهی",2,1))</f>
        <v/>
      </c>
      <c r="C1391">
        <f>IF($A1391="","",IF(ISNUMBER(Wages!$B1394),IF(AND(Wages!$B1394&gt;=10000101,Wages!$B1394&lt;=99991231),INT(Wages!$B1394/10000),""),IFERROR(VALUE(TRIM(LEFT(Wages!$B1394,FIND("/",Wages!$B1394)-1))),"")))</f>
        <v/>
      </c>
      <c r="D1391">
        <f>IF(OR($A1391="",$C1391=""),"",IF(ISNUMBER(Wages!$B1394),INT(MOD(Wages!$B1394,10000)/100),IFERROR(VALUE(TRIM(LEFT(MID(Wages!$B1394,FIND("/",Wages!$B1394)+1,20),FIND("/",MID(Wages!$B1394,FIND("/",Wages!$B1394)+1,20))-1))),"")))</f>
        <v/>
      </c>
      <c r="E1391">
        <f>IF(OR($A1391="",$C1391=""),"",IF(ISNUMBER(Wages!$B1394),MOD(Wages!$B1394,100),IFERROR(VALUE(TRIM(MID(MID(Wages!$B1394,FIND("/",Wages!$B1394)+1,20),FIND("/",MID(Wages!$B1394,FIND("/",Wages!$B1394)+1,20))+1,20))),"")))</f>
        <v/>
      </c>
      <c r="F1391">
        <f>IF($A1391="","",IF(OR($C1391="",$D1391="",$E1391="",$C1391&lt;1300,$C1391&gt;1500,$D1391&lt;1,$D1391&gt;12,$E1391&lt;1,$E1391&gt;31),"نامعتبر",RIGHT("0000"&amp;$C1391,4)&amp;"/"&amp;RIGHT("00"&amp;$D1391,2)&amp;"/"&amp;RIGHT("00"&amp;$E1391,2)))</f>
        <v/>
      </c>
      <c r="G1391">
        <f>IF(OR($A1391="",$F1391="",$F1391="نامعتبر"),"",LEFT($F1391,4)&amp;MID($F1391,6,2)&amp;RIGHT($F1391,2)&amp;"0000"&amp;"|"&amp;"1"&amp;RIGHT("00000"&amp;1386,5))</f>
        <v/>
      </c>
      <c r="H1391">
        <f>IF(OR($B1391&lt;&gt;1,$G1391=""),"",COUNTIFS(LdAParty,$A1391,LdAType,1,LdAKey,"&lt;"&amp;$G1391)+COUNTIFS(LdBMember,$A1391,LdBKey,"&lt;"&amp;$G1391)+COUNTIFS(LdCParty,$A1391,LdCKey,"&lt;"&amp;$G1391)+1)</f>
        <v/>
      </c>
      <c r="I1391">
        <f>IF($H1391="","",$A1391&amp;"|"&amp;RIGHT("000000"&amp;$H1391,6))</f>
        <v/>
      </c>
      <c r="J1391">
        <f>IF(OR($B1391&lt;&gt;2,$G1391=""),"",COUNTIFS(LdAParty,$A1391,LdAType,2,LdAKey,"&lt;"&amp;$G1391)+1)</f>
        <v/>
      </c>
      <c r="K1391">
        <f>IF($J1391="","",$A1391&amp;"|"&amp;RIGHT("000000"&amp;$J1391,6))</f>
        <v/>
      </c>
      <c r="L1391">
        <f>IF($A1391="","",IF(Wages!$G1394="",0,Wages!$G1394))</f>
        <v/>
      </c>
      <c r="M1391">
        <f>IF($A1391="","",Wages!$J1394)</f>
        <v/>
      </c>
      <c r="N1391">
        <f>IF($A1391="","",Wages!$D1394)</f>
        <v/>
      </c>
      <c r="P1391">
        <f>IF(OR(Shares!$B1394="",Shares!$C1394=""),"",Shares!$C1394)</f>
        <v/>
      </c>
      <c r="Q1391">
        <f>IF($P1391="","",Shares!$B1394)</f>
        <v/>
      </c>
      <c r="R1391">
        <f>IF($P1391="","",IFERROR(INDEX(WageParty,MATCH($Q1391,WageIds,0)),""))</f>
        <v/>
      </c>
      <c r="S1391">
        <f>IF($P1391="","",IFERROR(INDEX($F$6:$F$2005,MATCH($Q1391,WageIds,0)),""))</f>
        <v/>
      </c>
      <c r="T1391">
        <f>IF(OR($P1391="",$S1391="",$S1391="نامعتبر"),"",LEFT($S1391,4)&amp;MID($S1391,6,2)&amp;RIGHT($S1391,2)&amp;"0000"&amp;"|"&amp;"2"&amp;RIGHT("00000"&amp;1386,5))</f>
        <v/>
      </c>
      <c r="U1391">
        <f>IF($T1391="","",COUNTIFS(LdAParty,$P1391,LdAType,1,LdAKey,"&lt;"&amp;$T1391)+COUNTIFS(LdBMember,$P1391,LdBKey,"&lt;"&amp;$T1391)+COUNTIFS(LdCParty,$P1391,LdCKey,"&lt;"&amp;$T1391)+1)</f>
        <v/>
      </c>
      <c r="V1391">
        <f>IF($U1391="","",$P1391&amp;"|"&amp;RIGHT("000000"&amp;$U1391,6))</f>
        <v/>
      </c>
      <c r="W1391">
        <f>IF($T1391="","",COUNTIFS(LdBGroup,$R1391,LdBKey,"&lt;"&amp;$T1391)+1)</f>
        <v/>
      </c>
      <c r="X1391">
        <f>IF($W1391="","",$R1391&amp;"|"&amp;RIGHT("000000"&amp;$W1391,6))</f>
        <v/>
      </c>
      <c r="Y1391">
        <f>IF($P1391="","",IF(Shares!$E1394="",0,Shares!$E1394))</f>
        <v/>
      </c>
      <c r="Z1391">
        <f>IF($P1391="","",Shares!$H1394)</f>
        <v/>
      </c>
      <c r="AE1391">
        <f>IF(OR(Sync!$S1391="",Sync!$P1391=""),"",Sync!$S1391)</f>
        <v/>
      </c>
      <c r="AF1391">
        <f>IF($AE1391="","",IF(ISNUMBER(Sync!$P1391),IF(AND(Sync!$P1391&gt;=10000101,Sync!$P1391&lt;=99991231),INT(Sync!$P1391/10000),""),IFERROR(VALUE(TRIM(LEFT(Sync!$P1391,FIND("/",Sync!$P1391)-1))),"")))</f>
        <v/>
      </c>
      <c r="AG1391">
        <f>IF(OR($AE1391="",$AF1391=""),"",IF(ISNUMBER(Sync!$P1391),INT(MOD(Sync!$P1391,10000)/100),IFERROR(VALUE(TRIM(LEFT(MID(Sync!$P1391,FIND("/",Sync!$P1391)+1,20),FIND("/",MID(Sync!$P1391,FIND("/",Sync!$P1391)+1,20))-1))),"")))</f>
        <v/>
      </c>
      <c r="AH1391">
        <f>IF(OR($AE1391="",$AF1391=""),"",IF(ISNUMBER(Sync!$P1391),MOD(Sync!$P1391,100),IFERROR(VALUE(TRIM(MID(MID(Sync!$P1391,FIND("/",Sync!$P1391)+1,20),FIND("/",MID(Sync!$P1391,FIND("/",Sync!$P1391)+1,20))+1,20))),"")))</f>
        <v/>
      </c>
      <c r="AI1391">
        <f>IF($AE1391="","",IF(OR($AF1391="",$AG1391="",$AH1391="",$AF1391&lt;1300,$AF1391&gt;1500,$AG1391&lt;1,$AG1391&gt;12,$AH1391&lt;1,$AH1391&gt;31),"نامعتبر",RIGHT("0000"&amp;$AF1391,4)&amp;"/"&amp;RIGHT("00"&amp;$AG1391,2)&amp;"/"&amp;RIGHT("00"&amp;$AH1391,2)))</f>
        <v/>
      </c>
      <c r="AJ1391">
        <f>IF($AE1391="","",IF(Sync!$Q1391="","0000",IF(AND(ISNUMBER(Sync!$Q1391),Sync!$Q1391&gt;=0,Sync!$Q1391&lt;1),RIGHT("00"&amp;HOUR(Sync!$Q1391),2)&amp;RIGHT("00"&amp;MINUTE(Sync!$Q1391),2),IFERROR(RIGHT("00"&amp;VALUE(LEFT(Sync!$Q1391,FIND(":",Sync!$Q1391)-1)),2)&amp;RIGHT("00"&amp;VALUE(MID(Sync!$Q1391,FIND(":",Sync!$Q1391)+1,2)),2),"0000"))))</f>
        <v/>
      </c>
      <c r="AK1391">
        <f>IF(OR($AE1391="",$AI1391="",$AI1391="نامعتبر"),"",LEFT($AI1391,4)&amp;MID($AI1391,6,2)&amp;RIGHT($AI1391,2)&amp;$AJ1391&amp;"|"&amp;"3"&amp;RIGHT("00000"&amp;1386,5))</f>
        <v/>
      </c>
      <c r="AL1391">
        <f>IF($AK1391="","",COUNTIFS(LdAParty,$AE1391,LdAType,1,LdAKey,"&lt;"&amp;$AK1391)+COUNTIFS(LdBMember,$AE1391,LdBKey,"&lt;"&amp;$AK1391)+COUNTIFS(LdCParty,$AE1391,LdCKey,"&lt;"&amp;$AK1391)+1)</f>
        <v/>
      </c>
      <c r="AM1391">
        <f>IF($AL1391="","",$AE1391&amp;"|"&amp;RIGHT("000000"&amp;$AL1391,6))</f>
        <v/>
      </c>
      <c r="AN1391">
        <f>IF($AE1391="","",IF(Sync!$W1391="",0,Sync!$W1391))</f>
        <v/>
      </c>
      <c r="AO1391">
        <f>IF($AE1391="","",IF(Sync!$X1391="",0,Sync!$X1391))</f>
        <v/>
      </c>
      <c r="AP1391">
        <f>IF($AE1391="","",Sync!$R1391)</f>
        <v/>
      </c>
      <c r="AQ1391">
        <f>IF($AE1391="","",Sync!$Y1391)</f>
        <v/>
      </c>
    </row>
    <row r="1392">
      <c r="A1392">
        <f>IF(OR(Wages!$B1395="",Wages!$E1395=""),"",Wages!$E1395)</f>
        <v/>
      </c>
      <c r="B1392">
        <f>IF($A1392="","",IF(Wages!$C1395="دستمزد گروهی",2,1))</f>
        <v/>
      </c>
      <c r="C1392">
        <f>IF($A1392="","",IF(ISNUMBER(Wages!$B1395),IF(AND(Wages!$B1395&gt;=10000101,Wages!$B1395&lt;=99991231),INT(Wages!$B1395/10000),""),IFERROR(VALUE(TRIM(LEFT(Wages!$B1395,FIND("/",Wages!$B1395)-1))),"")))</f>
        <v/>
      </c>
      <c r="D1392">
        <f>IF(OR($A1392="",$C1392=""),"",IF(ISNUMBER(Wages!$B1395),INT(MOD(Wages!$B1395,10000)/100),IFERROR(VALUE(TRIM(LEFT(MID(Wages!$B1395,FIND("/",Wages!$B1395)+1,20),FIND("/",MID(Wages!$B1395,FIND("/",Wages!$B1395)+1,20))-1))),"")))</f>
        <v/>
      </c>
      <c r="E1392">
        <f>IF(OR($A1392="",$C1392=""),"",IF(ISNUMBER(Wages!$B1395),MOD(Wages!$B1395,100),IFERROR(VALUE(TRIM(MID(MID(Wages!$B1395,FIND("/",Wages!$B1395)+1,20),FIND("/",MID(Wages!$B1395,FIND("/",Wages!$B1395)+1,20))+1,20))),"")))</f>
        <v/>
      </c>
      <c r="F1392">
        <f>IF($A1392="","",IF(OR($C1392="",$D1392="",$E1392="",$C1392&lt;1300,$C1392&gt;1500,$D1392&lt;1,$D1392&gt;12,$E1392&lt;1,$E1392&gt;31),"نامعتبر",RIGHT("0000"&amp;$C1392,4)&amp;"/"&amp;RIGHT("00"&amp;$D1392,2)&amp;"/"&amp;RIGHT("00"&amp;$E1392,2)))</f>
        <v/>
      </c>
      <c r="G1392">
        <f>IF(OR($A1392="",$F1392="",$F1392="نامعتبر"),"",LEFT($F1392,4)&amp;MID($F1392,6,2)&amp;RIGHT($F1392,2)&amp;"0000"&amp;"|"&amp;"1"&amp;RIGHT("00000"&amp;1387,5))</f>
        <v/>
      </c>
      <c r="H1392">
        <f>IF(OR($B1392&lt;&gt;1,$G1392=""),"",COUNTIFS(LdAParty,$A1392,LdAType,1,LdAKey,"&lt;"&amp;$G1392)+COUNTIFS(LdBMember,$A1392,LdBKey,"&lt;"&amp;$G1392)+COUNTIFS(LdCParty,$A1392,LdCKey,"&lt;"&amp;$G1392)+1)</f>
        <v/>
      </c>
      <c r="I1392">
        <f>IF($H1392="","",$A1392&amp;"|"&amp;RIGHT("000000"&amp;$H1392,6))</f>
        <v/>
      </c>
      <c r="J1392">
        <f>IF(OR($B1392&lt;&gt;2,$G1392=""),"",COUNTIFS(LdAParty,$A1392,LdAType,2,LdAKey,"&lt;"&amp;$G1392)+1)</f>
        <v/>
      </c>
      <c r="K1392">
        <f>IF($J1392="","",$A1392&amp;"|"&amp;RIGHT("000000"&amp;$J1392,6))</f>
        <v/>
      </c>
      <c r="L1392">
        <f>IF($A1392="","",IF(Wages!$G1395="",0,Wages!$G1395))</f>
        <v/>
      </c>
      <c r="M1392">
        <f>IF($A1392="","",Wages!$J1395)</f>
        <v/>
      </c>
      <c r="N1392">
        <f>IF($A1392="","",Wages!$D1395)</f>
        <v/>
      </c>
      <c r="P1392">
        <f>IF(OR(Shares!$B1395="",Shares!$C1395=""),"",Shares!$C1395)</f>
        <v/>
      </c>
      <c r="Q1392">
        <f>IF($P1392="","",Shares!$B1395)</f>
        <v/>
      </c>
      <c r="R1392">
        <f>IF($P1392="","",IFERROR(INDEX(WageParty,MATCH($Q1392,WageIds,0)),""))</f>
        <v/>
      </c>
      <c r="S1392">
        <f>IF($P1392="","",IFERROR(INDEX($F$6:$F$2005,MATCH($Q1392,WageIds,0)),""))</f>
        <v/>
      </c>
      <c r="T1392">
        <f>IF(OR($P1392="",$S1392="",$S1392="نامعتبر"),"",LEFT($S1392,4)&amp;MID($S1392,6,2)&amp;RIGHT($S1392,2)&amp;"0000"&amp;"|"&amp;"2"&amp;RIGHT("00000"&amp;1387,5))</f>
        <v/>
      </c>
      <c r="U1392">
        <f>IF($T1392="","",COUNTIFS(LdAParty,$P1392,LdAType,1,LdAKey,"&lt;"&amp;$T1392)+COUNTIFS(LdBMember,$P1392,LdBKey,"&lt;"&amp;$T1392)+COUNTIFS(LdCParty,$P1392,LdCKey,"&lt;"&amp;$T1392)+1)</f>
        <v/>
      </c>
      <c r="V1392">
        <f>IF($U1392="","",$P1392&amp;"|"&amp;RIGHT("000000"&amp;$U1392,6))</f>
        <v/>
      </c>
      <c r="W1392">
        <f>IF($T1392="","",COUNTIFS(LdBGroup,$R1392,LdBKey,"&lt;"&amp;$T1392)+1)</f>
        <v/>
      </c>
      <c r="X1392">
        <f>IF($W1392="","",$R1392&amp;"|"&amp;RIGHT("000000"&amp;$W1392,6))</f>
        <v/>
      </c>
      <c r="Y1392">
        <f>IF($P1392="","",IF(Shares!$E1395="",0,Shares!$E1395))</f>
        <v/>
      </c>
      <c r="Z1392">
        <f>IF($P1392="","",Shares!$H1395)</f>
        <v/>
      </c>
      <c r="AE1392">
        <f>IF(OR(Sync!$S1392="",Sync!$P1392=""),"",Sync!$S1392)</f>
        <v/>
      </c>
      <c r="AF1392">
        <f>IF($AE1392="","",IF(ISNUMBER(Sync!$P1392),IF(AND(Sync!$P1392&gt;=10000101,Sync!$P1392&lt;=99991231),INT(Sync!$P1392/10000),""),IFERROR(VALUE(TRIM(LEFT(Sync!$P1392,FIND("/",Sync!$P1392)-1))),"")))</f>
        <v/>
      </c>
      <c r="AG1392">
        <f>IF(OR($AE1392="",$AF1392=""),"",IF(ISNUMBER(Sync!$P1392),INT(MOD(Sync!$P1392,10000)/100),IFERROR(VALUE(TRIM(LEFT(MID(Sync!$P1392,FIND("/",Sync!$P1392)+1,20),FIND("/",MID(Sync!$P1392,FIND("/",Sync!$P1392)+1,20))-1))),"")))</f>
        <v/>
      </c>
      <c r="AH1392">
        <f>IF(OR($AE1392="",$AF1392=""),"",IF(ISNUMBER(Sync!$P1392),MOD(Sync!$P1392,100),IFERROR(VALUE(TRIM(MID(MID(Sync!$P1392,FIND("/",Sync!$P1392)+1,20),FIND("/",MID(Sync!$P1392,FIND("/",Sync!$P1392)+1,20))+1,20))),"")))</f>
        <v/>
      </c>
      <c r="AI1392">
        <f>IF($AE1392="","",IF(OR($AF1392="",$AG1392="",$AH1392="",$AF1392&lt;1300,$AF1392&gt;1500,$AG1392&lt;1,$AG1392&gt;12,$AH1392&lt;1,$AH1392&gt;31),"نامعتبر",RIGHT("0000"&amp;$AF1392,4)&amp;"/"&amp;RIGHT("00"&amp;$AG1392,2)&amp;"/"&amp;RIGHT("00"&amp;$AH1392,2)))</f>
        <v/>
      </c>
      <c r="AJ1392">
        <f>IF($AE1392="","",IF(Sync!$Q1392="","0000",IF(AND(ISNUMBER(Sync!$Q1392),Sync!$Q1392&gt;=0,Sync!$Q1392&lt;1),RIGHT("00"&amp;HOUR(Sync!$Q1392),2)&amp;RIGHT("00"&amp;MINUTE(Sync!$Q1392),2),IFERROR(RIGHT("00"&amp;VALUE(LEFT(Sync!$Q1392,FIND(":",Sync!$Q1392)-1)),2)&amp;RIGHT("00"&amp;VALUE(MID(Sync!$Q1392,FIND(":",Sync!$Q1392)+1,2)),2),"0000"))))</f>
        <v/>
      </c>
      <c r="AK1392">
        <f>IF(OR($AE1392="",$AI1392="",$AI1392="نامعتبر"),"",LEFT($AI1392,4)&amp;MID($AI1392,6,2)&amp;RIGHT($AI1392,2)&amp;$AJ1392&amp;"|"&amp;"3"&amp;RIGHT("00000"&amp;1387,5))</f>
        <v/>
      </c>
      <c r="AL1392">
        <f>IF($AK1392="","",COUNTIFS(LdAParty,$AE1392,LdAType,1,LdAKey,"&lt;"&amp;$AK1392)+COUNTIFS(LdBMember,$AE1392,LdBKey,"&lt;"&amp;$AK1392)+COUNTIFS(LdCParty,$AE1392,LdCKey,"&lt;"&amp;$AK1392)+1)</f>
        <v/>
      </c>
      <c r="AM1392">
        <f>IF($AL1392="","",$AE1392&amp;"|"&amp;RIGHT("000000"&amp;$AL1392,6))</f>
        <v/>
      </c>
      <c r="AN1392">
        <f>IF($AE1392="","",IF(Sync!$W1392="",0,Sync!$W1392))</f>
        <v/>
      </c>
      <c r="AO1392">
        <f>IF($AE1392="","",IF(Sync!$X1392="",0,Sync!$X1392))</f>
        <v/>
      </c>
      <c r="AP1392">
        <f>IF($AE1392="","",Sync!$R1392)</f>
        <v/>
      </c>
      <c r="AQ1392">
        <f>IF($AE1392="","",Sync!$Y1392)</f>
        <v/>
      </c>
    </row>
    <row r="1393">
      <c r="A1393">
        <f>IF(OR(Wages!$B1396="",Wages!$E1396=""),"",Wages!$E1396)</f>
        <v/>
      </c>
      <c r="B1393">
        <f>IF($A1393="","",IF(Wages!$C1396="دستمزد گروهی",2,1))</f>
        <v/>
      </c>
      <c r="C1393">
        <f>IF($A1393="","",IF(ISNUMBER(Wages!$B1396),IF(AND(Wages!$B1396&gt;=10000101,Wages!$B1396&lt;=99991231),INT(Wages!$B1396/10000),""),IFERROR(VALUE(TRIM(LEFT(Wages!$B1396,FIND("/",Wages!$B1396)-1))),"")))</f>
        <v/>
      </c>
      <c r="D1393">
        <f>IF(OR($A1393="",$C1393=""),"",IF(ISNUMBER(Wages!$B1396),INT(MOD(Wages!$B1396,10000)/100),IFERROR(VALUE(TRIM(LEFT(MID(Wages!$B1396,FIND("/",Wages!$B1396)+1,20),FIND("/",MID(Wages!$B1396,FIND("/",Wages!$B1396)+1,20))-1))),"")))</f>
        <v/>
      </c>
      <c r="E1393">
        <f>IF(OR($A1393="",$C1393=""),"",IF(ISNUMBER(Wages!$B1396),MOD(Wages!$B1396,100),IFERROR(VALUE(TRIM(MID(MID(Wages!$B1396,FIND("/",Wages!$B1396)+1,20),FIND("/",MID(Wages!$B1396,FIND("/",Wages!$B1396)+1,20))+1,20))),"")))</f>
        <v/>
      </c>
      <c r="F1393">
        <f>IF($A1393="","",IF(OR($C1393="",$D1393="",$E1393="",$C1393&lt;1300,$C1393&gt;1500,$D1393&lt;1,$D1393&gt;12,$E1393&lt;1,$E1393&gt;31),"نامعتبر",RIGHT("0000"&amp;$C1393,4)&amp;"/"&amp;RIGHT("00"&amp;$D1393,2)&amp;"/"&amp;RIGHT("00"&amp;$E1393,2)))</f>
        <v/>
      </c>
      <c r="G1393">
        <f>IF(OR($A1393="",$F1393="",$F1393="نامعتبر"),"",LEFT($F1393,4)&amp;MID($F1393,6,2)&amp;RIGHT($F1393,2)&amp;"0000"&amp;"|"&amp;"1"&amp;RIGHT("00000"&amp;1388,5))</f>
        <v/>
      </c>
      <c r="H1393">
        <f>IF(OR($B1393&lt;&gt;1,$G1393=""),"",COUNTIFS(LdAParty,$A1393,LdAType,1,LdAKey,"&lt;"&amp;$G1393)+COUNTIFS(LdBMember,$A1393,LdBKey,"&lt;"&amp;$G1393)+COUNTIFS(LdCParty,$A1393,LdCKey,"&lt;"&amp;$G1393)+1)</f>
        <v/>
      </c>
      <c r="I1393">
        <f>IF($H1393="","",$A1393&amp;"|"&amp;RIGHT("000000"&amp;$H1393,6))</f>
        <v/>
      </c>
      <c r="J1393">
        <f>IF(OR($B1393&lt;&gt;2,$G1393=""),"",COUNTIFS(LdAParty,$A1393,LdAType,2,LdAKey,"&lt;"&amp;$G1393)+1)</f>
        <v/>
      </c>
      <c r="K1393">
        <f>IF($J1393="","",$A1393&amp;"|"&amp;RIGHT("000000"&amp;$J1393,6))</f>
        <v/>
      </c>
      <c r="L1393">
        <f>IF($A1393="","",IF(Wages!$G1396="",0,Wages!$G1396))</f>
        <v/>
      </c>
      <c r="M1393">
        <f>IF($A1393="","",Wages!$J1396)</f>
        <v/>
      </c>
      <c r="N1393">
        <f>IF($A1393="","",Wages!$D1396)</f>
        <v/>
      </c>
      <c r="P1393">
        <f>IF(OR(Shares!$B1396="",Shares!$C1396=""),"",Shares!$C1396)</f>
        <v/>
      </c>
      <c r="Q1393">
        <f>IF($P1393="","",Shares!$B1396)</f>
        <v/>
      </c>
      <c r="R1393">
        <f>IF($P1393="","",IFERROR(INDEX(WageParty,MATCH($Q1393,WageIds,0)),""))</f>
        <v/>
      </c>
      <c r="S1393">
        <f>IF($P1393="","",IFERROR(INDEX($F$6:$F$2005,MATCH($Q1393,WageIds,0)),""))</f>
        <v/>
      </c>
      <c r="T1393">
        <f>IF(OR($P1393="",$S1393="",$S1393="نامعتبر"),"",LEFT($S1393,4)&amp;MID($S1393,6,2)&amp;RIGHT($S1393,2)&amp;"0000"&amp;"|"&amp;"2"&amp;RIGHT("00000"&amp;1388,5))</f>
        <v/>
      </c>
      <c r="U1393">
        <f>IF($T1393="","",COUNTIFS(LdAParty,$P1393,LdAType,1,LdAKey,"&lt;"&amp;$T1393)+COUNTIFS(LdBMember,$P1393,LdBKey,"&lt;"&amp;$T1393)+COUNTIFS(LdCParty,$P1393,LdCKey,"&lt;"&amp;$T1393)+1)</f>
        <v/>
      </c>
      <c r="V1393">
        <f>IF($U1393="","",$P1393&amp;"|"&amp;RIGHT("000000"&amp;$U1393,6))</f>
        <v/>
      </c>
      <c r="W1393">
        <f>IF($T1393="","",COUNTIFS(LdBGroup,$R1393,LdBKey,"&lt;"&amp;$T1393)+1)</f>
        <v/>
      </c>
      <c r="X1393">
        <f>IF($W1393="","",$R1393&amp;"|"&amp;RIGHT("000000"&amp;$W1393,6))</f>
        <v/>
      </c>
      <c r="Y1393">
        <f>IF($P1393="","",IF(Shares!$E1396="",0,Shares!$E1396))</f>
        <v/>
      </c>
      <c r="Z1393">
        <f>IF($P1393="","",Shares!$H1396)</f>
        <v/>
      </c>
      <c r="AE1393">
        <f>IF(OR(Sync!$S1393="",Sync!$P1393=""),"",Sync!$S1393)</f>
        <v/>
      </c>
      <c r="AF1393">
        <f>IF($AE1393="","",IF(ISNUMBER(Sync!$P1393),IF(AND(Sync!$P1393&gt;=10000101,Sync!$P1393&lt;=99991231),INT(Sync!$P1393/10000),""),IFERROR(VALUE(TRIM(LEFT(Sync!$P1393,FIND("/",Sync!$P1393)-1))),"")))</f>
        <v/>
      </c>
      <c r="AG1393">
        <f>IF(OR($AE1393="",$AF1393=""),"",IF(ISNUMBER(Sync!$P1393),INT(MOD(Sync!$P1393,10000)/100),IFERROR(VALUE(TRIM(LEFT(MID(Sync!$P1393,FIND("/",Sync!$P1393)+1,20),FIND("/",MID(Sync!$P1393,FIND("/",Sync!$P1393)+1,20))-1))),"")))</f>
        <v/>
      </c>
      <c r="AH1393">
        <f>IF(OR($AE1393="",$AF1393=""),"",IF(ISNUMBER(Sync!$P1393),MOD(Sync!$P1393,100),IFERROR(VALUE(TRIM(MID(MID(Sync!$P1393,FIND("/",Sync!$P1393)+1,20),FIND("/",MID(Sync!$P1393,FIND("/",Sync!$P1393)+1,20))+1,20))),"")))</f>
        <v/>
      </c>
      <c r="AI1393">
        <f>IF($AE1393="","",IF(OR($AF1393="",$AG1393="",$AH1393="",$AF1393&lt;1300,$AF1393&gt;1500,$AG1393&lt;1,$AG1393&gt;12,$AH1393&lt;1,$AH1393&gt;31),"نامعتبر",RIGHT("0000"&amp;$AF1393,4)&amp;"/"&amp;RIGHT("00"&amp;$AG1393,2)&amp;"/"&amp;RIGHT("00"&amp;$AH1393,2)))</f>
        <v/>
      </c>
      <c r="AJ1393">
        <f>IF($AE1393="","",IF(Sync!$Q1393="","0000",IF(AND(ISNUMBER(Sync!$Q1393),Sync!$Q1393&gt;=0,Sync!$Q1393&lt;1),RIGHT("00"&amp;HOUR(Sync!$Q1393),2)&amp;RIGHT("00"&amp;MINUTE(Sync!$Q1393),2),IFERROR(RIGHT("00"&amp;VALUE(LEFT(Sync!$Q1393,FIND(":",Sync!$Q1393)-1)),2)&amp;RIGHT("00"&amp;VALUE(MID(Sync!$Q1393,FIND(":",Sync!$Q1393)+1,2)),2),"0000"))))</f>
        <v/>
      </c>
      <c r="AK1393">
        <f>IF(OR($AE1393="",$AI1393="",$AI1393="نامعتبر"),"",LEFT($AI1393,4)&amp;MID($AI1393,6,2)&amp;RIGHT($AI1393,2)&amp;$AJ1393&amp;"|"&amp;"3"&amp;RIGHT("00000"&amp;1388,5))</f>
        <v/>
      </c>
      <c r="AL1393">
        <f>IF($AK1393="","",COUNTIFS(LdAParty,$AE1393,LdAType,1,LdAKey,"&lt;"&amp;$AK1393)+COUNTIFS(LdBMember,$AE1393,LdBKey,"&lt;"&amp;$AK1393)+COUNTIFS(LdCParty,$AE1393,LdCKey,"&lt;"&amp;$AK1393)+1)</f>
        <v/>
      </c>
      <c r="AM1393">
        <f>IF($AL1393="","",$AE1393&amp;"|"&amp;RIGHT("000000"&amp;$AL1393,6))</f>
        <v/>
      </c>
      <c r="AN1393">
        <f>IF($AE1393="","",IF(Sync!$W1393="",0,Sync!$W1393))</f>
        <v/>
      </c>
      <c r="AO1393">
        <f>IF($AE1393="","",IF(Sync!$X1393="",0,Sync!$X1393))</f>
        <v/>
      </c>
      <c r="AP1393">
        <f>IF($AE1393="","",Sync!$R1393)</f>
        <v/>
      </c>
      <c r="AQ1393">
        <f>IF($AE1393="","",Sync!$Y1393)</f>
        <v/>
      </c>
    </row>
    <row r="1394">
      <c r="A1394">
        <f>IF(OR(Wages!$B1397="",Wages!$E1397=""),"",Wages!$E1397)</f>
        <v/>
      </c>
      <c r="B1394">
        <f>IF($A1394="","",IF(Wages!$C1397="دستمزد گروهی",2,1))</f>
        <v/>
      </c>
      <c r="C1394">
        <f>IF($A1394="","",IF(ISNUMBER(Wages!$B1397),IF(AND(Wages!$B1397&gt;=10000101,Wages!$B1397&lt;=99991231),INT(Wages!$B1397/10000),""),IFERROR(VALUE(TRIM(LEFT(Wages!$B1397,FIND("/",Wages!$B1397)-1))),"")))</f>
        <v/>
      </c>
      <c r="D1394">
        <f>IF(OR($A1394="",$C1394=""),"",IF(ISNUMBER(Wages!$B1397),INT(MOD(Wages!$B1397,10000)/100),IFERROR(VALUE(TRIM(LEFT(MID(Wages!$B1397,FIND("/",Wages!$B1397)+1,20),FIND("/",MID(Wages!$B1397,FIND("/",Wages!$B1397)+1,20))-1))),"")))</f>
        <v/>
      </c>
      <c r="E1394">
        <f>IF(OR($A1394="",$C1394=""),"",IF(ISNUMBER(Wages!$B1397),MOD(Wages!$B1397,100),IFERROR(VALUE(TRIM(MID(MID(Wages!$B1397,FIND("/",Wages!$B1397)+1,20),FIND("/",MID(Wages!$B1397,FIND("/",Wages!$B1397)+1,20))+1,20))),"")))</f>
        <v/>
      </c>
      <c r="F1394">
        <f>IF($A1394="","",IF(OR($C1394="",$D1394="",$E1394="",$C1394&lt;1300,$C1394&gt;1500,$D1394&lt;1,$D1394&gt;12,$E1394&lt;1,$E1394&gt;31),"نامعتبر",RIGHT("0000"&amp;$C1394,4)&amp;"/"&amp;RIGHT("00"&amp;$D1394,2)&amp;"/"&amp;RIGHT("00"&amp;$E1394,2)))</f>
        <v/>
      </c>
      <c r="G1394">
        <f>IF(OR($A1394="",$F1394="",$F1394="نامعتبر"),"",LEFT($F1394,4)&amp;MID($F1394,6,2)&amp;RIGHT($F1394,2)&amp;"0000"&amp;"|"&amp;"1"&amp;RIGHT("00000"&amp;1389,5))</f>
        <v/>
      </c>
      <c r="H1394">
        <f>IF(OR($B1394&lt;&gt;1,$G1394=""),"",COUNTIFS(LdAParty,$A1394,LdAType,1,LdAKey,"&lt;"&amp;$G1394)+COUNTIFS(LdBMember,$A1394,LdBKey,"&lt;"&amp;$G1394)+COUNTIFS(LdCParty,$A1394,LdCKey,"&lt;"&amp;$G1394)+1)</f>
        <v/>
      </c>
      <c r="I1394">
        <f>IF($H1394="","",$A1394&amp;"|"&amp;RIGHT("000000"&amp;$H1394,6))</f>
        <v/>
      </c>
      <c r="J1394">
        <f>IF(OR($B1394&lt;&gt;2,$G1394=""),"",COUNTIFS(LdAParty,$A1394,LdAType,2,LdAKey,"&lt;"&amp;$G1394)+1)</f>
        <v/>
      </c>
      <c r="K1394">
        <f>IF($J1394="","",$A1394&amp;"|"&amp;RIGHT("000000"&amp;$J1394,6))</f>
        <v/>
      </c>
      <c r="L1394">
        <f>IF($A1394="","",IF(Wages!$G1397="",0,Wages!$G1397))</f>
        <v/>
      </c>
      <c r="M1394">
        <f>IF($A1394="","",Wages!$J1397)</f>
        <v/>
      </c>
      <c r="N1394">
        <f>IF($A1394="","",Wages!$D1397)</f>
        <v/>
      </c>
      <c r="P1394">
        <f>IF(OR(Shares!$B1397="",Shares!$C1397=""),"",Shares!$C1397)</f>
        <v/>
      </c>
      <c r="Q1394">
        <f>IF($P1394="","",Shares!$B1397)</f>
        <v/>
      </c>
      <c r="R1394">
        <f>IF($P1394="","",IFERROR(INDEX(WageParty,MATCH($Q1394,WageIds,0)),""))</f>
        <v/>
      </c>
      <c r="S1394">
        <f>IF($P1394="","",IFERROR(INDEX($F$6:$F$2005,MATCH($Q1394,WageIds,0)),""))</f>
        <v/>
      </c>
      <c r="T1394">
        <f>IF(OR($P1394="",$S1394="",$S1394="نامعتبر"),"",LEFT($S1394,4)&amp;MID($S1394,6,2)&amp;RIGHT($S1394,2)&amp;"0000"&amp;"|"&amp;"2"&amp;RIGHT("00000"&amp;1389,5))</f>
        <v/>
      </c>
      <c r="U1394">
        <f>IF($T1394="","",COUNTIFS(LdAParty,$P1394,LdAType,1,LdAKey,"&lt;"&amp;$T1394)+COUNTIFS(LdBMember,$P1394,LdBKey,"&lt;"&amp;$T1394)+COUNTIFS(LdCParty,$P1394,LdCKey,"&lt;"&amp;$T1394)+1)</f>
        <v/>
      </c>
      <c r="V1394">
        <f>IF($U1394="","",$P1394&amp;"|"&amp;RIGHT("000000"&amp;$U1394,6))</f>
        <v/>
      </c>
      <c r="W1394">
        <f>IF($T1394="","",COUNTIFS(LdBGroup,$R1394,LdBKey,"&lt;"&amp;$T1394)+1)</f>
        <v/>
      </c>
      <c r="X1394">
        <f>IF($W1394="","",$R1394&amp;"|"&amp;RIGHT("000000"&amp;$W1394,6))</f>
        <v/>
      </c>
      <c r="Y1394">
        <f>IF($P1394="","",IF(Shares!$E1397="",0,Shares!$E1397))</f>
        <v/>
      </c>
      <c r="Z1394">
        <f>IF($P1394="","",Shares!$H1397)</f>
        <v/>
      </c>
      <c r="AE1394">
        <f>IF(OR(Sync!$S1394="",Sync!$P1394=""),"",Sync!$S1394)</f>
        <v/>
      </c>
      <c r="AF1394">
        <f>IF($AE1394="","",IF(ISNUMBER(Sync!$P1394),IF(AND(Sync!$P1394&gt;=10000101,Sync!$P1394&lt;=99991231),INT(Sync!$P1394/10000),""),IFERROR(VALUE(TRIM(LEFT(Sync!$P1394,FIND("/",Sync!$P1394)-1))),"")))</f>
        <v/>
      </c>
      <c r="AG1394">
        <f>IF(OR($AE1394="",$AF1394=""),"",IF(ISNUMBER(Sync!$P1394),INT(MOD(Sync!$P1394,10000)/100),IFERROR(VALUE(TRIM(LEFT(MID(Sync!$P1394,FIND("/",Sync!$P1394)+1,20),FIND("/",MID(Sync!$P1394,FIND("/",Sync!$P1394)+1,20))-1))),"")))</f>
        <v/>
      </c>
      <c r="AH1394">
        <f>IF(OR($AE1394="",$AF1394=""),"",IF(ISNUMBER(Sync!$P1394),MOD(Sync!$P1394,100),IFERROR(VALUE(TRIM(MID(MID(Sync!$P1394,FIND("/",Sync!$P1394)+1,20),FIND("/",MID(Sync!$P1394,FIND("/",Sync!$P1394)+1,20))+1,20))),"")))</f>
        <v/>
      </c>
      <c r="AI1394">
        <f>IF($AE1394="","",IF(OR($AF1394="",$AG1394="",$AH1394="",$AF1394&lt;1300,$AF1394&gt;1500,$AG1394&lt;1,$AG1394&gt;12,$AH1394&lt;1,$AH1394&gt;31),"نامعتبر",RIGHT("0000"&amp;$AF1394,4)&amp;"/"&amp;RIGHT("00"&amp;$AG1394,2)&amp;"/"&amp;RIGHT("00"&amp;$AH1394,2)))</f>
        <v/>
      </c>
      <c r="AJ1394">
        <f>IF($AE1394="","",IF(Sync!$Q1394="","0000",IF(AND(ISNUMBER(Sync!$Q1394),Sync!$Q1394&gt;=0,Sync!$Q1394&lt;1),RIGHT("00"&amp;HOUR(Sync!$Q1394),2)&amp;RIGHT("00"&amp;MINUTE(Sync!$Q1394),2),IFERROR(RIGHT("00"&amp;VALUE(LEFT(Sync!$Q1394,FIND(":",Sync!$Q1394)-1)),2)&amp;RIGHT("00"&amp;VALUE(MID(Sync!$Q1394,FIND(":",Sync!$Q1394)+1,2)),2),"0000"))))</f>
        <v/>
      </c>
      <c r="AK1394">
        <f>IF(OR($AE1394="",$AI1394="",$AI1394="نامعتبر"),"",LEFT($AI1394,4)&amp;MID($AI1394,6,2)&amp;RIGHT($AI1394,2)&amp;$AJ1394&amp;"|"&amp;"3"&amp;RIGHT("00000"&amp;1389,5))</f>
        <v/>
      </c>
      <c r="AL1394">
        <f>IF($AK1394="","",COUNTIFS(LdAParty,$AE1394,LdAType,1,LdAKey,"&lt;"&amp;$AK1394)+COUNTIFS(LdBMember,$AE1394,LdBKey,"&lt;"&amp;$AK1394)+COUNTIFS(LdCParty,$AE1394,LdCKey,"&lt;"&amp;$AK1394)+1)</f>
        <v/>
      </c>
      <c r="AM1394">
        <f>IF($AL1394="","",$AE1394&amp;"|"&amp;RIGHT("000000"&amp;$AL1394,6))</f>
        <v/>
      </c>
      <c r="AN1394">
        <f>IF($AE1394="","",IF(Sync!$W1394="",0,Sync!$W1394))</f>
        <v/>
      </c>
      <c r="AO1394">
        <f>IF($AE1394="","",IF(Sync!$X1394="",0,Sync!$X1394))</f>
        <v/>
      </c>
      <c r="AP1394">
        <f>IF($AE1394="","",Sync!$R1394)</f>
        <v/>
      </c>
      <c r="AQ1394">
        <f>IF($AE1394="","",Sync!$Y1394)</f>
        <v/>
      </c>
    </row>
    <row r="1395">
      <c r="A1395">
        <f>IF(OR(Wages!$B1398="",Wages!$E1398=""),"",Wages!$E1398)</f>
        <v/>
      </c>
      <c r="B1395">
        <f>IF($A1395="","",IF(Wages!$C1398="دستمزد گروهی",2,1))</f>
        <v/>
      </c>
      <c r="C1395">
        <f>IF($A1395="","",IF(ISNUMBER(Wages!$B1398),IF(AND(Wages!$B1398&gt;=10000101,Wages!$B1398&lt;=99991231),INT(Wages!$B1398/10000),""),IFERROR(VALUE(TRIM(LEFT(Wages!$B1398,FIND("/",Wages!$B1398)-1))),"")))</f>
        <v/>
      </c>
      <c r="D1395">
        <f>IF(OR($A1395="",$C1395=""),"",IF(ISNUMBER(Wages!$B1398),INT(MOD(Wages!$B1398,10000)/100),IFERROR(VALUE(TRIM(LEFT(MID(Wages!$B1398,FIND("/",Wages!$B1398)+1,20),FIND("/",MID(Wages!$B1398,FIND("/",Wages!$B1398)+1,20))-1))),"")))</f>
        <v/>
      </c>
      <c r="E1395">
        <f>IF(OR($A1395="",$C1395=""),"",IF(ISNUMBER(Wages!$B1398),MOD(Wages!$B1398,100),IFERROR(VALUE(TRIM(MID(MID(Wages!$B1398,FIND("/",Wages!$B1398)+1,20),FIND("/",MID(Wages!$B1398,FIND("/",Wages!$B1398)+1,20))+1,20))),"")))</f>
        <v/>
      </c>
      <c r="F1395">
        <f>IF($A1395="","",IF(OR($C1395="",$D1395="",$E1395="",$C1395&lt;1300,$C1395&gt;1500,$D1395&lt;1,$D1395&gt;12,$E1395&lt;1,$E1395&gt;31),"نامعتبر",RIGHT("0000"&amp;$C1395,4)&amp;"/"&amp;RIGHT("00"&amp;$D1395,2)&amp;"/"&amp;RIGHT("00"&amp;$E1395,2)))</f>
        <v/>
      </c>
      <c r="G1395">
        <f>IF(OR($A1395="",$F1395="",$F1395="نامعتبر"),"",LEFT($F1395,4)&amp;MID($F1395,6,2)&amp;RIGHT($F1395,2)&amp;"0000"&amp;"|"&amp;"1"&amp;RIGHT("00000"&amp;1390,5))</f>
        <v/>
      </c>
      <c r="H1395">
        <f>IF(OR($B1395&lt;&gt;1,$G1395=""),"",COUNTIFS(LdAParty,$A1395,LdAType,1,LdAKey,"&lt;"&amp;$G1395)+COUNTIFS(LdBMember,$A1395,LdBKey,"&lt;"&amp;$G1395)+COUNTIFS(LdCParty,$A1395,LdCKey,"&lt;"&amp;$G1395)+1)</f>
        <v/>
      </c>
      <c r="I1395">
        <f>IF($H1395="","",$A1395&amp;"|"&amp;RIGHT("000000"&amp;$H1395,6))</f>
        <v/>
      </c>
      <c r="J1395">
        <f>IF(OR($B1395&lt;&gt;2,$G1395=""),"",COUNTIFS(LdAParty,$A1395,LdAType,2,LdAKey,"&lt;"&amp;$G1395)+1)</f>
        <v/>
      </c>
      <c r="K1395">
        <f>IF($J1395="","",$A1395&amp;"|"&amp;RIGHT("000000"&amp;$J1395,6))</f>
        <v/>
      </c>
      <c r="L1395">
        <f>IF($A1395="","",IF(Wages!$G1398="",0,Wages!$G1398))</f>
        <v/>
      </c>
      <c r="M1395">
        <f>IF($A1395="","",Wages!$J1398)</f>
        <v/>
      </c>
      <c r="N1395">
        <f>IF($A1395="","",Wages!$D1398)</f>
        <v/>
      </c>
      <c r="P1395">
        <f>IF(OR(Shares!$B1398="",Shares!$C1398=""),"",Shares!$C1398)</f>
        <v/>
      </c>
      <c r="Q1395">
        <f>IF($P1395="","",Shares!$B1398)</f>
        <v/>
      </c>
      <c r="R1395">
        <f>IF($P1395="","",IFERROR(INDEX(WageParty,MATCH($Q1395,WageIds,0)),""))</f>
        <v/>
      </c>
      <c r="S1395">
        <f>IF($P1395="","",IFERROR(INDEX($F$6:$F$2005,MATCH($Q1395,WageIds,0)),""))</f>
        <v/>
      </c>
      <c r="T1395">
        <f>IF(OR($P1395="",$S1395="",$S1395="نامعتبر"),"",LEFT($S1395,4)&amp;MID($S1395,6,2)&amp;RIGHT($S1395,2)&amp;"0000"&amp;"|"&amp;"2"&amp;RIGHT("00000"&amp;1390,5))</f>
        <v/>
      </c>
      <c r="U1395">
        <f>IF($T1395="","",COUNTIFS(LdAParty,$P1395,LdAType,1,LdAKey,"&lt;"&amp;$T1395)+COUNTIFS(LdBMember,$P1395,LdBKey,"&lt;"&amp;$T1395)+COUNTIFS(LdCParty,$P1395,LdCKey,"&lt;"&amp;$T1395)+1)</f>
        <v/>
      </c>
      <c r="V1395">
        <f>IF($U1395="","",$P1395&amp;"|"&amp;RIGHT("000000"&amp;$U1395,6))</f>
        <v/>
      </c>
      <c r="W1395">
        <f>IF($T1395="","",COUNTIFS(LdBGroup,$R1395,LdBKey,"&lt;"&amp;$T1395)+1)</f>
        <v/>
      </c>
      <c r="X1395">
        <f>IF($W1395="","",$R1395&amp;"|"&amp;RIGHT("000000"&amp;$W1395,6))</f>
        <v/>
      </c>
      <c r="Y1395">
        <f>IF($P1395="","",IF(Shares!$E1398="",0,Shares!$E1398))</f>
        <v/>
      </c>
      <c r="Z1395">
        <f>IF($P1395="","",Shares!$H1398)</f>
        <v/>
      </c>
      <c r="AE1395">
        <f>IF(OR(Sync!$S1395="",Sync!$P1395=""),"",Sync!$S1395)</f>
        <v/>
      </c>
      <c r="AF1395">
        <f>IF($AE1395="","",IF(ISNUMBER(Sync!$P1395),IF(AND(Sync!$P1395&gt;=10000101,Sync!$P1395&lt;=99991231),INT(Sync!$P1395/10000),""),IFERROR(VALUE(TRIM(LEFT(Sync!$P1395,FIND("/",Sync!$P1395)-1))),"")))</f>
        <v/>
      </c>
      <c r="AG1395">
        <f>IF(OR($AE1395="",$AF1395=""),"",IF(ISNUMBER(Sync!$P1395),INT(MOD(Sync!$P1395,10000)/100),IFERROR(VALUE(TRIM(LEFT(MID(Sync!$P1395,FIND("/",Sync!$P1395)+1,20),FIND("/",MID(Sync!$P1395,FIND("/",Sync!$P1395)+1,20))-1))),"")))</f>
        <v/>
      </c>
      <c r="AH1395">
        <f>IF(OR($AE1395="",$AF1395=""),"",IF(ISNUMBER(Sync!$P1395),MOD(Sync!$P1395,100),IFERROR(VALUE(TRIM(MID(MID(Sync!$P1395,FIND("/",Sync!$P1395)+1,20),FIND("/",MID(Sync!$P1395,FIND("/",Sync!$P1395)+1,20))+1,20))),"")))</f>
        <v/>
      </c>
      <c r="AI1395">
        <f>IF($AE1395="","",IF(OR($AF1395="",$AG1395="",$AH1395="",$AF1395&lt;1300,$AF1395&gt;1500,$AG1395&lt;1,$AG1395&gt;12,$AH1395&lt;1,$AH1395&gt;31),"نامعتبر",RIGHT("0000"&amp;$AF1395,4)&amp;"/"&amp;RIGHT("00"&amp;$AG1395,2)&amp;"/"&amp;RIGHT("00"&amp;$AH1395,2)))</f>
        <v/>
      </c>
      <c r="AJ1395">
        <f>IF($AE1395="","",IF(Sync!$Q1395="","0000",IF(AND(ISNUMBER(Sync!$Q1395),Sync!$Q1395&gt;=0,Sync!$Q1395&lt;1),RIGHT("00"&amp;HOUR(Sync!$Q1395),2)&amp;RIGHT("00"&amp;MINUTE(Sync!$Q1395),2),IFERROR(RIGHT("00"&amp;VALUE(LEFT(Sync!$Q1395,FIND(":",Sync!$Q1395)-1)),2)&amp;RIGHT("00"&amp;VALUE(MID(Sync!$Q1395,FIND(":",Sync!$Q1395)+1,2)),2),"0000"))))</f>
        <v/>
      </c>
      <c r="AK1395">
        <f>IF(OR($AE1395="",$AI1395="",$AI1395="نامعتبر"),"",LEFT($AI1395,4)&amp;MID($AI1395,6,2)&amp;RIGHT($AI1395,2)&amp;$AJ1395&amp;"|"&amp;"3"&amp;RIGHT("00000"&amp;1390,5))</f>
        <v/>
      </c>
      <c r="AL1395">
        <f>IF($AK1395="","",COUNTIFS(LdAParty,$AE1395,LdAType,1,LdAKey,"&lt;"&amp;$AK1395)+COUNTIFS(LdBMember,$AE1395,LdBKey,"&lt;"&amp;$AK1395)+COUNTIFS(LdCParty,$AE1395,LdCKey,"&lt;"&amp;$AK1395)+1)</f>
        <v/>
      </c>
      <c r="AM1395">
        <f>IF($AL1395="","",$AE1395&amp;"|"&amp;RIGHT("000000"&amp;$AL1395,6))</f>
        <v/>
      </c>
      <c r="AN1395">
        <f>IF($AE1395="","",IF(Sync!$W1395="",0,Sync!$W1395))</f>
        <v/>
      </c>
      <c r="AO1395">
        <f>IF($AE1395="","",IF(Sync!$X1395="",0,Sync!$X1395))</f>
        <v/>
      </c>
      <c r="AP1395">
        <f>IF($AE1395="","",Sync!$R1395)</f>
        <v/>
      </c>
      <c r="AQ1395">
        <f>IF($AE1395="","",Sync!$Y1395)</f>
        <v/>
      </c>
    </row>
    <row r="1396">
      <c r="A1396">
        <f>IF(OR(Wages!$B1399="",Wages!$E1399=""),"",Wages!$E1399)</f>
        <v/>
      </c>
      <c r="B1396">
        <f>IF($A1396="","",IF(Wages!$C1399="دستمزد گروهی",2,1))</f>
        <v/>
      </c>
      <c r="C1396">
        <f>IF($A1396="","",IF(ISNUMBER(Wages!$B1399),IF(AND(Wages!$B1399&gt;=10000101,Wages!$B1399&lt;=99991231),INT(Wages!$B1399/10000),""),IFERROR(VALUE(TRIM(LEFT(Wages!$B1399,FIND("/",Wages!$B1399)-1))),"")))</f>
        <v/>
      </c>
      <c r="D1396">
        <f>IF(OR($A1396="",$C1396=""),"",IF(ISNUMBER(Wages!$B1399),INT(MOD(Wages!$B1399,10000)/100),IFERROR(VALUE(TRIM(LEFT(MID(Wages!$B1399,FIND("/",Wages!$B1399)+1,20),FIND("/",MID(Wages!$B1399,FIND("/",Wages!$B1399)+1,20))-1))),"")))</f>
        <v/>
      </c>
      <c r="E1396">
        <f>IF(OR($A1396="",$C1396=""),"",IF(ISNUMBER(Wages!$B1399),MOD(Wages!$B1399,100),IFERROR(VALUE(TRIM(MID(MID(Wages!$B1399,FIND("/",Wages!$B1399)+1,20),FIND("/",MID(Wages!$B1399,FIND("/",Wages!$B1399)+1,20))+1,20))),"")))</f>
        <v/>
      </c>
      <c r="F1396">
        <f>IF($A1396="","",IF(OR($C1396="",$D1396="",$E1396="",$C1396&lt;1300,$C1396&gt;1500,$D1396&lt;1,$D1396&gt;12,$E1396&lt;1,$E1396&gt;31),"نامعتبر",RIGHT("0000"&amp;$C1396,4)&amp;"/"&amp;RIGHT("00"&amp;$D1396,2)&amp;"/"&amp;RIGHT("00"&amp;$E1396,2)))</f>
        <v/>
      </c>
      <c r="G1396">
        <f>IF(OR($A1396="",$F1396="",$F1396="نامعتبر"),"",LEFT($F1396,4)&amp;MID($F1396,6,2)&amp;RIGHT($F1396,2)&amp;"0000"&amp;"|"&amp;"1"&amp;RIGHT("00000"&amp;1391,5))</f>
        <v/>
      </c>
      <c r="H1396">
        <f>IF(OR($B1396&lt;&gt;1,$G1396=""),"",COUNTIFS(LdAParty,$A1396,LdAType,1,LdAKey,"&lt;"&amp;$G1396)+COUNTIFS(LdBMember,$A1396,LdBKey,"&lt;"&amp;$G1396)+COUNTIFS(LdCParty,$A1396,LdCKey,"&lt;"&amp;$G1396)+1)</f>
        <v/>
      </c>
      <c r="I1396">
        <f>IF($H1396="","",$A1396&amp;"|"&amp;RIGHT("000000"&amp;$H1396,6))</f>
        <v/>
      </c>
      <c r="J1396">
        <f>IF(OR($B1396&lt;&gt;2,$G1396=""),"",COUNTIFS(LdAParty,$A1396,LdAType,2,LdAKey,"&lt;"&amp;$G1396)+1)</f>
        <v/>
      </c>
      <c r="K1396">
        <f>IF($J1396="","",$A1396&amp;"|"&amp;RIGHT("000000"&amp;$J1396,6))</f>
        <v/>
      </c>
      <c r="L1396">
        <f>IF($A1396="","",IF(Wages!$G1399="",0,Wages!$G1399))</f>
        <v/>
      </c>
      <c r="M1396">
        <f>IF($A1396="","",Wages!$J1399)</f>
        <v/>
      </c>
      <c r="N1396">
        <f>IF($A1396="","",Wages!$D1399)</f>
        <v/>
      </c>
      <c r="P1396">
        <f>IF(OR(Shares!$B1399="",Shares!$C1399=""),"",Shares!$C1399)</f>
        <v/>
      </c>
      <c r="Q1396">
        <f>IF($P1396="","",Shares!$B1399)</f>
        <v/>
      </c>
      <c r="R1396">
        <f>IF($P1396="","",IFERROR(INDEX(WageParty,MATCH($Q1396,WageIds,0)),""))</f>
        <v/>
      </c>
      <c r="S1396">
        <f>IF($P1396="","",IFERROR(INDEX($F$6:$F$2005,MATCH($Q1396,WageIds,0)),""))</f>
        <v/>
      </c>
      <c r="T1396">
        <f>IF(OR($P1396="",$S1396="",$S1396="نامعتبر"),"",LEFT($S1396,4)&amp;MID($S1396,6,2)&amp;RIGHT($S1396,2)&amp;"0000"&amp;"|"&amp;"2"&amp;RIGHT("00000"&amp;1391,5))</f>
        <v/>
      </c>
      <c r="U1396">
        <f>IF($T1396="","",COUNTIFS(LdAParty,$P1396,LdAType,1,LdAKey,"&lt;"&amp;$T1396)+COUNTIFS(LdBMember,$P1396,LdBKey,"&lt;"&amp;$T1396)+COUNTIFS(LdCParty,$P1396,LdCKey,"&lt;"&amp;$T1396)+1)</f>
        <v/>
      </c>
      <c r="V1396">
        <f>IF($U1396="","",$P1396&amp;"|"&amp;RIGHT("000000"&amp;$U1396,6))</f>
        <v/>
      </c>
      <c r="W1396">
        <f>IF($T1396="","",COUNTIFS(LdBGroup,$R1396,LdBKey,"&lt;"&amp;$T1396)+1)</f>
        <v/>
      </c>
      <c r="X1396">
        <f>IF($W1396="","",$R1396&amp;"|"&amp;RIGHT("000000"&amp;$W1396,6))</f>
        <v/>
      </c>
      <c r="Y1396">
        <f>IF($P1396="","",IF(Shares!$E1399="",0,Shares!$E1399))</f>
        <v/>
      </c>
      <c r="Z1396">
        <f>IF($P1396="","",Shares!$H1399)</f>
        <v/>
      </c>
      <c r="AE1396">
        <f>IF(OR(Sync!$S1396="",Sync!$P1396=""),"",Sync!$S1396)</f>
        <v/>
      </c>
      <c r="AF1396">
        <f>IF($AE1396="","",IF(ISNUMBER(Sync!$P1396),IF(AND(Sync!$P1396&gt;=10000101,Sync!$P1396&lt;=99991231),INT(Sync!$P1396/10000),""),IFERROR(VALUE(TRIM(LEFT(Sync!$P1396,FIND("/",Sync!$P1396)-1))),"")))</f>
        <v/>
      </c>
      <c r="AG1396">
        <f>IF(OR($AE1396="",$AF1396=""),"",IF(ISNUMBER(Sync!$P1396),INT(MOD(Sync!$P1396,10000)/100),IFERROR(VALUE(TRIM(LEFT(MID(Sync!$P1396,FIND("/",Sync!$P1396)+1,20),FIND("/",MID(Sync!$P1396,FIND("/",Sync!$P1396)+1,20))-1))),"")))</f>
        <v/>
      </c>
      <c r="AH1396">
        <f>IF(OR($AE1396="",$AF1396=""),"",IF(ISNUMBER(Sync!$P1396),MOD(Sync!$P1396,100),IFERROR(VALUE(TRIM(MID(MID(Sync!$P1396,FIND("/",Sync!$P1396)+1,20),FIND("/",MID(Sync!$P1396,FIND("/",Sync!$P1396)+1,20))+1,20))),"")))</f>
        <v/>
      </c>
      <c r="AI1396">
        <f>IF($AE1396="","",IF(OR($AF1396="",$AG1396="",$AH1396="",$AF1396&lt;1300,$AF1396&gt;1500,$AG1396&lt;1,$AG1396&gt;12,$AH1396&lt;1,$AH1396&gt;31),"نامعتبر",RIGHT("0000"&amp;$AF1396,4)&amp;"/"&amp;RIGHT("00"&amp;$AG1396,2)&amp;"/"&amp;RIGHT("00"&amp;$AH1396,2)))</f>
        <v/>
      </c>
      <c r="AJ1396">
        <f>IF($AE1396="","",IF(Sync!$Q1396="","0000",IF(AND(ISNUMBER(Sync!$Q1396),Sync!$Q1396&gt;=0,Sync!$Q1396&lt;1),RIGHT("00"&amp;HOUR(Sync!$Q1396),2)&amp;RIGHT("00"&amp;MINUTE(Sync!$Q1396),2),IFERROR(RIGHT("00"&amp;VALUE(LEFT(Sync!$Q1396,FIND(":",Sync!$Q1396)-1)),2)&amp;RIGHT("00"&amp;VALUE(MID(Sync!$Q1396,FIND(":",Sync!$Q1396)+1,2)),2),"0000"))))</f>
        <v/>
      </c>
      <c r="AK1396">
        <f>IF(OR($AE1396="",$AI1396="",$AI1396="نامعتبر"),"",LEFT($AI1396,4)&amp;MID($AI1396,6,2)&amp;RIGHT($AI1396,2)&amp;$AJ1396&amp;"|"&amp;"3"&amp;RIGHT("00000"&amp;1391,5))</f>
        <v/>
      </c>
      <c r="AL1396">
        <f>IF($AK1396="","",COUNTIFS(LdAParty,$AE1396,LdAType,1,LdAKey,"&lt;"&amp;$AK1396)+COUNTIFS(LdBMember,$AE1396,LdBKey,"&lt;"&amp;$AK1396)+COUNTIFS(LdCParty,$AE1396,LdCKey,"&lt;"&amp;$AK1396)+1)</f>
        <v/>
      </c>
      <c r="AM1396">
        <f>IF($AL1396="","",$AE1396&amp;"|"&amp;RIGHT("000000"&amp;$AL1396,6))</f>
        <v/>
      </c>
      <c r="AN1396">
        <f>IF($AE1396="","",IF(Sync!$W1396="",0,Sync!$W1396))</f>
        <v/>
      </c>
      <c r="AO1396">
        <f>IF($AE1396="","",IF(Sync!$X1396="",0,Sync!$X1396))</f>
        <v/>
      </c>
      <c r="AP1396">
        <f>IF($AE1396="","",Sync!$R1396)</f>
        <v/>
      </c>
      <c r="AQ1396">
        <f>IF($AE1396="","",Sync!$Y1396)</f>
        <v/>
      </c>
    </row>
    <row r="1397">
      <c r="A1397">
        <f>IF(OR(Wages!$B1400="",Wages!$E1400=""),"",Wages!$E1400)</f>
        <v/>
      </c>
      <c r="B1397">
        <f>IF($A1397="","",IF(Wages!$C1400="دستمزد گروهی",2,1))</f>
        <v/>
      </c>
      <c r="C1397">
        <f>IF($A1397="","",IF(ISNUMBER(Wages!$B1400),IF(AND(Wages!$B1400&gt;=10000101,Wages!$B1400&lt;=99991231),INT(Wages!$B1400/10000),""),IFERROR(VALUE(TRIM(LEFT(Wages!$B1400,FIND("/",Wages!$B1400)-1))),"")))</f>
        <v/>
      </c>
      <c r="D1397">
        <f>IF(OR($A1397="",$C1397=""),"",IF(ISNUMBER(Wages!$B1400),INT(MOD(Wages!$B1400,10000)/100),IFERROR(VALUE(TRIM(LEFT(MID(Wages!$B1400,FIND("/",Wages!$B1400)+1,20),FIND("/",MID(Wages!$B1400,FIND("/",Wages!$B1400)+1,20))-1))),"")))</f>
        <v/>
      </c>
      <c r="E1397">
        <f>IF(OR($A1397="",$C1397=""),"",IF(ISNUMBER(Wages!$B1400),MOD(Wages!$B1400,100),IFERROR(VALUE(TRIM(MID(MID(Wages!$B1400,FIND("/",Wages!$B1400)+1,20),FIND("/",MID(Wages!$B1400,FIND("/",Wages!$B1400)+1,20))+1,20))),"")))</f>
        <v/>
      </c>
      <c r="F1397">
        <f>IF($A1397="","",IF(OR($C1397="",$D1397="",$E1397="",$C1397&lt;1300,$C1397&gt;1500,$D1397&lt;1,$D1397&gt;12,$E1397&lt;1,$E1397&gt;31),"نامعتبر",RIGHT("0000"&amp;$C1397,4)&amp;"/"&amp;RIGHT("00"&amp;$D1397,2)&amp;"/"&amp;RIGHT("00"&amp;$E1397,2)))</f>
        <v/>
      </c>
      <c r="G1397">
        <f>IF(OR($A1397="",$F1397="",$F1397="نامعتبر"),"",LEFT($F1397,4)&amp;MID($F1397,6,2)&amp;RIGHT($F1397,2)&amp;"0000"&amp;"|"&amp;"1"&amp;RIGHT("00000"&amp;1392,5))</f>
        <v/>
      </c>
      <c r="H1397">
        <f>IF(OR($B1397&lt;&gt;1,$G1397=""),"",COUNTIFS(LdAParty,$A1397,LdAType,1,LdAKey,"&lt;"&amp;$G1397)+COUNTIFS(LdBMember,$A1397,LdBKey,"&lt;"&amp;$G1397)+COUNTIFS(LdCParty,$A1397,LdCKey,"&lt;"&amp;$G1397)+1)</f>
        <v/>
      </c>
      <c r="I1397">
        <f>IF($H1397="","",$A1397&amp;"|"&amp;RIGHT("000000"&amp;$H1397,6))</f>
        <v/>
      </c>
      <c r="J1397">
        <f>IF(OR($B1397&lt;&gt;2,$G1397=""),"",COUNTIFS(LdAParty,$A1397,LdAType,2,LdAKey,"&lt;"&amp;$G1397)+1)</f>
        <v/>
      </c>
      <c r="K1397">
        <f>IF($J1397="","",$A1397&amp;"|"&amp;RIGHT("000000"&amp;$J1397,6))</f>
        <v/>
      </c>
      <c r="L1397">
        <f>IF($A1397="","",IF(Wages!$G1400="",0,Wages!$G1400))</f>
        <v/>
      </c>
      <c r="M1397">
        <f>IF($A1397="","",Wages!$J1400)</f>
        <v/>
      </c>
      <c r="N1397">
        <f>IF($A1397="","",Wages!$D1400)</f>
        <v/>
      </c>
      <c r="P1397">
        <f>IF(OR(Shares!$B1400="",Shares!$C1400=""),"",Shares!$C1400)</f>
        <v/>
      </c>
      <c r="Q1397">
        <f>IF($P1397="","",Shares!$B1400)</f>
        <v/>
      </c>
      <c r="R1397">
        <f>IF($P1397="","",IFERROR(INDEX(WageParty,MATCH($Q1397,WageIds,0)),""))</f>
        <v/>
      </c>
      <c r="S1397">
        <f>IF($P1397="","",IFERROR(INDEX($F$6:$F$2005,MATCH($Q1397,WageIds,0)),""))</f>
        <v/>
      </c>
      <c r="T1397">
        <f>IF(OR($P1397="",$S1397="",$S1397="نامعتبر"),"",LEFT($S1397,4)&amp;MID($S1397,6,2)&amp;RIGHT($S1397,2)&amp;"0000"&amp;"|"&amp;"2"&amp;RIGHT("00000"&amp;1392,5))</f>
        <v/>
      </c>
      <c r="U1397">
        <f>IF($T1397="","",COUNTIFS(LdAParty,$P1397,LdAType,1,LdAKey,"&lt;"&amp;$T1397)+COUNTIFS(LdBMember,$P1397,LdBKey,"&lt;"&amp;$T1397)+COUNTIFS(LdCParty,$P1397,LdCKey,"&lt;"&amp;$T1397)+1)</f>
        <v/>
      </c>
      <c r="V1397">
        <f>IF($U1397="","",$P1397&amp;"|"&amp;RIGHT("000000"&amp;$U1397,6))</f>
        <v/>
      </c>
      <c r="W1397">
        <f>IF($T1397="","",COUNTIFS(LdBGroup,$R1397,LdBKey,"&lt;"&amp;$T1397)+1)</f>
        <v/>
      </c>
      <c r="X1397">
        <f>IF($W1397="","",$R1397&amp;"|"&amp;RIGHT("000000"&amp;$W1397,6))</f>
        <v/>
      </c>
      <c r="Y1397">
        <f>IF($P1397="","",IF(Shares!$E1400="",0,Shares!$E1400))</f>
        <v/>
      </c>
      <c r="Z1397">
        <f>IF($P1397="","",Shares!$H1400)</f>
        <v/>
      </c>
      <c r="AE1397">
        <f>IF(OR(Sync!$S1397="",Sync!$P1397=""),"",Sync!$S1397)</f>
        <v/>
      </c>
      <c r="AF1397">
        <f>IF($AE1397="","",IF(ISNUMBER(Sync!$P1397),IF(AND(Sync!$P1397&gt;=10000101,Sync!$P1397&lt;=99991231),INT(Sync!$P1397/10000),""),IFERROR(VALUE(TRIM(LEFT(Sync!$P1397,FIND("/",Sync!$P1397)-1))),"")))</f>
        <v/>
      </c>
      <c r="AG1397">
        <f>IF(OR($AE1397="",$AF1397=""),"",IF(ISNUMBER(Sync!$P1397),INT(MOD(Sync!$P1397,10000)/100),IFERROR(VALUE(TRIM(LEFT(MID(Sync!$P1397,FIND("/",Sync!$P1397)+1,20),FIND("/",MID(Sync!$P1397,FIND("/",Sync!$P1397)+1,20))-1))),"")))</f>
        <v/>
      </c>
      <c r="AH1397">
        <f>IF(OR($AE1397="",$AF1397=""),"",IF(ISNUMBER(Sync!$P1397),MOD(Sync!$P1397,100),IFERROR(VALUE(TRIM(MID(MID(Sync!$P1397,FIND("/",Sync!$P1397)+1,20),FIND("/",MID(Sync!$P1397,FIND("/",Sync!$P1397)+1,20))+1,20))),"")))</f>
        <v/>
      </c>
      <c r="AI1397">
        <f>IF($AE1397="","",IF(OR($AF1397="",$AG1397="",$AH1397="",$AF1397&lt;1300,$AF1397&gt;1500,$AG1397&lt;1,$AG1397&gt;12,$AH1397&lt;1,$AH1397&gt;31),"نامعتبر",RIGHT("0000"&amp;$AF1397,4)&amp;"/"&amp;RIGHT("00"&amp;$AG1397,2)&amp;"/"&amp;RIGHT("00"&amp;$AH1397,2)))</f>
        <v/>
      </c>
      <c r="AJ1397">
        <f>IF($AE1397="","",IF(Sync!$Q1397="","0000",IF(AND(ISNUMBER(Sync!$Q1397),Sync!$Q1397&gt;=0,Sync!$Q1397&lt;1),RIGHT("00"&amp;HOUR(Sync!$Q1397),2)&amp;RIGHT("00"&amp;MINUTE(Sync!$Q1397),2),IFERROR(RIGHT("00"&amp;VALUE(LEFT(Sync!$Q1397,FIND(":",Sync!$Q1397)-1)),2)&amp;RIGHT("00"&amp;VALUE(MID(Sync!$Q1397,FIND(":",Sync!$Q1397)+1,2)),2),"0000"))))</f>
        <v/>
      </c>
      <c r="AK1397">
        <f>IF(OR($AE1397="",$AI1397="",$AI1397="نامعتبر"),"",LEFT($AI1397,4)&amp;MID($AI1397,6,2)&amp;RIGHT($AI1397,2)&amp;$AJ1397&amp;"|"&amp;"3"&amp;RIGHT("00000"&amp;1392,5))</f>
        <v/>
      </c>
      <c r="AL1397">
        <f>IF($AK1397="","",COUNTIFS(LdAParty,$AE1397,LdAType,1,LdAKey,"&lt;"&amp;$AK1397)+COUNTIFS(LdBMember,$AE1397,LdBKey,"&lt;"&amp;$AK1397)+COUNTIFS(LdCParty,$AE1397,LdCKey,"&lt;"&amp;$AK1397)+1)</f>
        <v/>
      </c>
      <c r="AM1397">
        <f>IF($AL1397="","",$AE1397&amp;"|"&amp;RIGHT("000000"&amp;$AL1397,6))</f>
        <v/>
      </c>
      <c r="AN1397">
        <f>IF($AE1397="","",IF(Sync!$W1397="",0,Sync!$W1397))</f>
        <v/>
      </c>
      <c r="AO1397">
        <f>IF($AE1397="","",IF(Sync!$X1397="",0,Sync!$X1397))</f>
        <v/>
      </c>
      <c r="AP1397">
        <f>IF($AE1397="","",Sync!$R1397)</f>
        <v/>
      </c>
      <c r="AQ1397">
        <f>IF($AE1397="","",Sync!$Y1397)</f>
        <v/>
      </c>
    </row>
    <row r="1398">
      <c r="A1398">
        <f>IF(OR(Wages!$B1401="",Wages!$E1401=""),"",Wages!$E1401)</f>
        <v/>
      </c>
      <c r="B1398">
        <f>IF($A1398="","",IF(Wages!$C1401="دستمزد گروهی",2,1))</f>
        <v/>
      </c>
      <c r="C1398">
        <f>IF($A1398="","",IF(ISNUMBER(Wages!$B1401),IF(AND(Wages!$B1401&gt;=10000101,Wages!$B1401&lt;=99991231),INT(Wages!$B1401/10000),""),IFERROR(VALUE(TRIM(LEFT(Wages!$B1401,FIND("/",Wages!$B1401)-1))),"")))</f>
        <v/>
      </c>
      <c r="D1398">
        <f>IF(OR($A1398="",$C1398=""),"",IF(ISNUMBER(Wages!$B1401),INT(MOD(Wages!$B1401,10000)/100),IFERROR(VALUE(TRIM(LEFT(MID(Wages!$B1401,FIND("/",Wages!$B1401)+1,20),FIND("/",MID(Wages!$B1401,FIND("/",Wages!$B1401)+1,20))-1))),"")))</f>
        <v/>
      </c>
      <c r="E1398">
        <f>IF(OR($A1398="",$C1398=""),"",IF(ISNUMBER(Wages!$B1401),MOD(Wages!$B1401,100),IFERROR(VALUE(TRIM(MID(MID(Wages!$B1401,FIND("/",Wages!$B1401)+1,20),FIND("/",MID(Wages!$B1401,FIND("/",Wages!$B1401)+1,20))+1,20))),"")))</f>
        <v/>
      </c>
      <c r="F1398">
        <f>IF($A1398="","",IF(OR($C1398="",$D1398="",$E1398="",$C1398&lt;1300,$C1398&gt;1500,$D1398&lt;1,$D1398&gt;12,$E1398&lt;1,$E1398&gt;31),"نامعتبر",RIGHT("0000"&amp;$C1398,4)&amp;"/"&amp;RIGHT("00"&amp;$D1398,2)&amp;"/"&amp;RIGHT("00"&amp;$E1398,2)))</f>
        <v/>
      </c>
      <c r="G1398">
        <f>IF(OR($A1398="",$F1398="",$F1398="نامعتبر"),"",LEFT($F1398,4)&amp;MID($F1398,6,2)&amp;RIGHT($F1398,2)&amp;"0000"&amp;"|"&amp;"1"&amp;RIGHT("00000"&amp;1393,5))</f>
        <v/>
      </c>
      <c r="H1398">
        <f>IF(OR($B1398&lt;&gt;1,$G1398=""),"",COUNTIFS(LdAParty,$A1398,LdAType,1,LdAKey,"&lt;"&amp;$G1398)+COUNTIFS(LdBMember,$A1398,LdBKey,"&lt;"&amp;$G1398)+COUNTIFS(LdCParty,$A1398,LdCKey,"&lt;"&amp;$G1398)+1)</f>
        <v/>
      </c>
      <c r="I1398">
        <f>IF($H1398="","",$A1398&amp;"|"&amp;RIGHT("000000"&amp;$H1398,6))</f>
        <v/>
      </c>
      <c r="J1398">
        <f>IF(OR($B1398&lt;&gt;2,$G1398=""),"",COUNTIFS(LdAParty,$A1398,LdAType,2,LdAKey,"&lt;"&amp;$G1398)+1)</f>
        <v/>
      </c>
      <c r="K1398">
        <f>IF($J1398="","",$A1398&amp;"|"&amp;RIGHT("000000"&amp;$J1398,6))</f>
        <v/>
      </c>
      <c r="L1398">
        <f>IF($A1398="","",IF(Wages!$G1401="",0,Wages!$G1401))</f>
        <v/>
      </c>
      <c r="M1398">
        <f>IF($A1398="","",Wages!$J1401)</f>
        <v/>
      </c>
      <c r="N1398">
        <f>IF($A1398="","",Wages!$D1401)</f>
        <v/>
      </c>
      <c r="P1398">
        <f>IF(OR(Shares!$B1401="",Shares!$C1401=""),"",Shares!$C1401)</f>
        <v/>
      </c>
      <c r="Q1398">
        <f>IF($P1398="","",Shares!$B1401)</f>
        <v/>
      </c>
      <c r="R1398">
        <f>IF($P1398="","",IFERROR(INDEX(WageParty,MATCH($Q1398,WageIds,0)),""))</f>
        <v/>
      </c>
      <c r="S1398">
        <f>IF($P1398="","",IFERROR(INDEX($F$6:$F$2005,MATCH($Q1398,WageIds,0)),""))</f>
        <v/>
      </c>
      <c r="T1398">
        <f>IF(OR($P1398="",$S1398="",$S1398="نامعتبر"),"",LEFT($S1398,4)&amp;MID($S1398,6,2)&amp;RIGHT($S1398,2)&amp;"0000"&amp;"|"&amp;"2"&amp;RIGHT("00000"&amp;1393,5))</f>
        <v/>
      </c>
      <c r="U1398">
        <f>IF($T1398="","",COUNTIFS(LdAParty,$P1398,LdAType,1,LdAKey,"&lt;"&amp;$T1398)+COUNTIFS(LdBMember,$P1398,LdBKey,"&lt;"&amp;$T1398)+COUNTIFS(LdCParty,$P1398,LdCKey,"&lt;"&amp;$T1398)+1)</f>
        <v/>
      </c>
      <c r="V1398">
        <f>IF($U1398="","",$P1398&amp;"|"&amp;RIGHT("000000"&amp;$U1398,6))</f>
        <v/>
      </c>
      <c r="W1398">
        <f>IF($T1398="","",COUNTIFS(LdBGroup,$R1398,LdBKey,"&lt;"&amp;$T1398)+1)</f>
        <v/>
      </c>
      <c r="X1398">
        <f>IF($W1398="","",$R1398&amp;"|"&amp;RIGHT("000000"&amp;$W1398,6))</f>
        <v/>
      </c>
      <c r="Y1398">
        <f>IF($P1398="","",IF(Shares!$E1401="",0,Shares!$E1401))</f>
        <v/>
      </c>
      <c r="Z1398">
        <f>IF($P1398="","",Shares!$H1401)</f>
        <v/>
      </c>
      <c r="AE1398">
        <f>IF(OR(Sync!$S1398="",Sync!$P1398=""),"",Sync!$S1398)</f>
        <v/>
      </c>
      <c r="AF1398">
        <f>IF($AE1398="","",IF(ISNUMBER(Sync!$P1398),IF(AND(Sync!$P1398&gt;=10000101,Sync!$P1398&lt;=99991231),INT(Sync!$P1398/10000),""),IFERROR(VALUE(TRIM(LEFT(Sync!$P1398,FIND("/",Sync!$P1398)-1))),"")))</f>
        <v/>
      </c>
      <c r="AG1398">
        <f>IF(OR($AE1398="",$AF1398=""),"",IF(ISNUMBER(Sync!$P1398),INT(MOD(Sync!$P1398,10000)/100),IFERROR(VALUE(TRIM(LEFT(MID(Sync!$P1398,FIND("/",Sync!$P1398)+1,20),FIND("/",MID(Sync!$P1398,FIND("/",Sync!$P1398)+1,20))-1))),"")))</f>
        <v/>
      </c>
      <c r="AH1398">
        <f>IF(OR($AE1398="",$AF1398=""),"",IF(ISNUMBER(Sync!$P1398),MOD(Sync!$P1398,100),IFERROR(VALUE(TRIM(MID(MID(Sync!$P1398,FIND("/",Sync!$P1398)+1,20),FIND("/",MID(Sync!$P1398,FIND("/",Sync!$P1398)+1,20))+1,20))),"")))</f>
        <v/>
      </c>
      <c r="AI1398">
        <f>IF($AE1398="","",IF(OR($AF1398="",$AG1398="",$AH1398="",$AF1398&lt;1300,$AF1398&gt;1500,$AG1398&lt;1,$AG1398&gt;12,$AH1398&lt;1,$AH1398&gt;31),"نامعتبر",RIGHT("0000"&amp;$AF1398,4)&amp;"/"&amp;RIGHT("00"&amp;$AG1398,2)&amp;"/"&amp;RIGHT("00"&amp;$AH1398,2)))</f>
        <v/>
      </c>
      <c r="AJ1398">
        <f>IF($AE1398="","",IF(Sync!$Q1398="","0000",IF(AND(ISNUMBER(Sync!$Q1398),Sync!$Q1398&gt;=0,Sync!$Q1398&lt;1),RIGHT("00"&amp;HOUR(Sync!$Q1398),2)&amp;RIGHT("00"&amp;MINUTE(Sync!$Q1398),2),IFERROR(RIGHT("00"&amp;VALUE(LEFT(Sync!$Q1398,FIND(":",Sync!$Q1398)-1)),2)&amp;RIGHT("00"&amp;VALUE(MID(Sync!$Q1398,FIND(":",Sync!$Q1398)+1,2)),2),"0000"))))</f>
        <v/>
      </c>
      <c r="AK1398">
        <f>IF(OR($AE1398="",$AI1398="",$AI1398="نامعتبر"),"",LEFT($AI1398,4)&amp;MID($AI1398,6,2)&amp;RIGHT($AI1398,2)&amp;$AJ1398&amp;"|"&amp;"3"&amp;RIGHT("00000"&amp;1393,5))</f>
        <v/>
      </c>
      <c r="AL1398">
        <f>IF($AK1398="","",COUNTIFS(LdAParty,$AE1398,LdAType,1,LdAKey,"&lt;"&amp;$AK1398)+COUNTIFS(LdBMember,$AE1398,LdBKey,"&lt;"&amp;$AK1398)+COUNTIFS(LdCParty,$AE1398,LdCKey,"&lt;"&amp;$AK1398)+1)</f>
        <v/>
      </c>
      <c r="AM1398">
        <f>IF($AL1398="","",$AE1398&amp;"|"&amp;RIGHT("000000"&amp;$AL1398,6))</f>
        <v/>
      </c>
      <c r="AN1398">
        <f>IF($AE1398="","",IF(Sync!$W1398="",0,Sync!$W1398))</f>
        <v/>
      </c>
      <c r="AO1398">
        <f>IF($AE1398="","",IF(Sync!$X1398="",0,Sync!$X1398))</f>
        <v/>
      </c>
      <c r="AP1398">
        <f>IF($AE1398="","",Sync!$R1398)</f>
        <v/>
      </c>
      <c r="AQ1398">
        <f>IF($AE1398="","",Sync!$Y1398)</f>
        <v/>
      </c>
    </row>
    <row r="1399">
      <c r="A1399">
        <f>IF(OR(Wages!$B1402="",Wages!$E1402=""),"",Wages!$E1402)</f>
        <v/>
      </c>
      <c r="B1399">
        <f>IF($A1399="","",IF(Wages!$C1402="دستمزد گروهی",2,1))</f>
        <v/>
      </c>
      <c r="C1399">
        <f>IF($A1399="","",IF(ISNUMBER(Wages!$B1402),IF(AND(Wages!$B1402&gt;=10000101,Wages!$B1402&lt;=99991231),INT(Wages!$B1402/10000),""),IFERROR(VALUE(TRIM(LEFT(Wages!$B1402,FIND("/",Wages!$B1402)-1))),"")))</f>
        <v/>
      </c>
      <c r="D1399">
        <f>IF(OR($A1399="",$C1399=""),"",IF(ISNUMBER(Wages!$B1402),INT(MOD(Wages!$B1402,10000)/100),IFERROR(VALUE(TRIM(LEFT(MID(Wages!$B1402,FIND("/",Wages!$B1402)+1,20),FIND("/",MID(Wages!$B1402,FIND("/",Wages!$B1402)+1,20))-1))),"")))</f>
        <v/>
      </c>
      <c r="E1399">
        <f>IF(OR($A1399="",$C1399=""),"",IF(ISNUMBER(Wages!$B1402),MOD(Wages!$B1402,100),IFERROR(VALUE(TRIM(MID(MID(Wages!$B1402,FIND("/",Wages!$B1402)+1,20),FIND("/",MID(Wages!$B1402,FIND("/",Wages!$B1402)+1,20))+1,20))),"")))</f>
        <v/>
      </c>
      <c r="F1399">
        <f>IF($A1399="","",IF(OR($C1399="",$D1399="",$E1399="",$C1399&lt;1300,$C1399&gt;1500,$D1399&lt;1,$D1399&gt;12,$E1399&lt;1,$E1399&gt;31),"نامعتبر",RIGHT("0000"&amp;$C1399,4)&amp;"/"&amp;RIGHT("00"&amp;$D1399,2)&amp;"/"&amp;RIGHT("00"&amp;$E1399,2)))</f>
        <v/>
      </c>
      <c r="G1399">
        <f>IF(OR($A1399="",$F1399="",$F1399="نامعتبر"),"",LEFT($F1399,4)&amp;MID($F1399,6,2)&amp;RIGHT($F1399,2)&amp;"0000"&amp;"|"&amp;"1"&amp;RIGHT("00000"&amp;1394,5))</f>
        <v/>
      </c>
      <c r="H1399">
        <f>IF(OR($B1399&lt;&gt;1,$G1399=""),"",COUNTIFS(LdAParty,$A1399,LdAType,1,LdAKey,"&lt;"&amp;$G1399)+COUNTIFS(LdBMember,$A1399,LdBKey,"&lt;"&amp;$G1399)+COUNTIFS(LdCParty,$A1399,LdCKey,"&lt;"&amp;$G1399)+1)</f>
        <v/>
      </c>
      <c r="I1399">
        <f>IF($H1399="","",$A1399&amp;"|"&amp;RIGHT("000000"&amp;$H1399,6))</f>
        <v/>
      </c>
      <c r="J1399">
        <f>IF(OR($B1399&lt;&gt;2,$G1399=""),"",COUNTIFS(LdAParty,$A1399,LdAType,2,LdAKey,"&lt;"&amp;$G1399)+1)</f>
        <v/>
      </c>
      <c r="K1399">
        <f>IF($J1399="","",$A1399&amp;"|"&amp;RIGHT("000000"&amp;$J1399,6))</f>
        <v/>
      </c>
      <c r="L1399">
        <f>IF($A1399="","",IF(Wages!$G1402="",0,Wages!$G1402))</f>
        <v/>
      </c>
      <c r="M1399">
        <f>IF($A1399="","",Wages!$J1402)</f>
        <v/>
      </c>
      <c r="N1399">
        <f>IF($A1399="","",Wages!$D1402)</f>
        <v/>
      </c>
      <c r="P1399">
        <f>IF(OR(Shares!$B1402="",Shares!$C1402=""),"",Shares!$C1402)</f>
        <v/>
      </c>
      <c r="Q1399">
        <f>IF($P1399="","",Shares!$B1402)</f>
        <v/>
      </c>
      <c r="R1399">
        <f>IF($P1399="","",IFERROR(INDEX(WageParty,MATCH($Q1399,WageIds,0)),""))</f>
        <v/>
      </c>
      <c r="S1399">
        <f>IF($P1399="","",IFERROR(INDEX($F$6:$F$2005,MATCH($Q1399,WageIds,0)),""))</f>
        <v/>
      </c>
      <c r="T1399">
        <f>IF(OR($P1399="",$S1399="",$S1399="نامعتبر"),"",LEFT($S1399,4)&amp;MID($S1399,6,2)&amp;RIGHT($S1399,2)&amp;"0000"&amp;"|"&amp;"2"&amp;RIGHT("00000"&amp;1394,5))</f>
        <v/>
      </c>
      <c r="U1399">
        <f>IF($T1399="","",COUNTIFS(LdAParty,$P1399,LdAType,1,LdAKey,"&lt;"&amp;$T1399)+COUNTIFS(LdBMember,$P1399,LdBKey,"&lt;"&amp;$T1399)+COUNTIFS(LdCParty,$P1399,LdCKey,"&lt;"&amp;$T1399)+1)</f>
        <v/>
      </c>
      <c r="V1399">
        <f>IF($U1399="","",$P1399&amp;"|"&amp;RIGHT("000000"&amp;$U1399,6))</f>
        <v/>
      </c>
      <c r="W1399">
        <f>IF($T1399="","",COUNTIFS(LdBGroup,$R1399,LdBKey,"&lt;"&amp;$T1399)+1)</f>
        <v/>
      </c>
      <c r="X1399">
        <f>IF($W1399="","",$R1399&amp;"|"&amp;RIGHT("000000"&amp;$W1399,6))</f>
        <v/>
      </c>
      <c r="Y1399">
        <f>IF($P1399="","",IF(Shares!$E1402="",0,Shares!$E1402))</f>
        <v/>
      </c>
      <c r="Z1399">
        <f>IF($P1399="","",Shares!$H1402)</f>
        <v/>
      </c>
      <c r="AE1399">
        <f>IF(OR(Sync!$S1399="",Sync!$P1399=""),"",Sync!$S1399)</f>
        <v/>
      </c>
      <c r="AF1399">
        <f>IF($AE1399="","",IF(ISNUMBER(Sync!$P1399),IF(AND(Sync!$P1399&gt;=10000101,Sync!$P1399&lt;=99991231),INT(Sync!$P1399/10000),""),IFERROR(VALUE(TRIM(LEFT(Sync!$P1399,FIND("/",Sync!$P1399)-1))),"")))</f>
        <v/>
      </c>
      <c r="AG1399">
        <f>IF(OR($AE1399="",$AF1399=""),"",IF(ISNUMBER(Sync!$P1399),INT(MOD(Sync!$P1399,10000)/100),IFERROR(VALUE(TRIM(LEFT(MID(Sync!$P1399,FIND("/",Sync!$P1399)+1,20),FIND("/",MID(Sync!$P1399,FIND("/",Sync!$P1399)+1,20))-1))),"")))</f>
        <v/>
      </c>
      <c r="AH1399">
        <f>IF(OR($AE1399="",$AF1399=""),"",IF(ISNUMBER(Sync!$P1399),MOD(Sync!$P1399,100),IFERROR(VALUE(TRIM(MID(MID(Sync!$P1399,FIND("/",Sync!$P1399)+1,20),FIND("/",MID(Sync!$P1399,FIND("/",Sync!$P1399)+1,20))+1,20))),"")))</f>
        <v/>
      </c>
      <c r="AI1399">
        <f>IF($AE1399="","",IF(OR($AF1399="",$AG1399="",$AH1399="",$AF1399&lt;1300,$AF1399&gt;1500,$AG1399&lt;1,$AG1399&gt;12,$AH1399&lt;1,$AH1399&gt;31),"نامعتبر",RIGHT("0000"&amp;$AF1399,4)&amp;"/"&amp;RIGHT("00"&amp;$AG1399,2)&amp;"/"&amp;RIGHT("00"&amp;$AH1399,2)))</f>
        <v/>
      </c>
      <c r="AJ1399">
        <f>IF($AE1399="","",IF(Sync!$Q1399="","0000",IF(AND(ISNUMBER(Sync!$Q1399),Sync!$Q1399&gt;=0,Sync!$Q1399&lt;1),RIGHT("00"&amp;HOUR(Sync!$Q1399),2)&amp;RIGHT("00"&amp;MINUTE(Sync!$Q1399),2),IFERROR(RIGHT("00"&amp;VALUE(LEFT(Sync!$Q1399,FIND(":",Sync!$Q1399)-1)),2)&amp;RIGHT("00"&amp;VALUE(MID(Sync!$Q1399,FIND(":",Sync!$Q1399)+1,2)),2),"0000"))))</f>
        <v/>
      </c>
      <c r="AK1399">
        <f>IF(OR($AE1399="",$AI1399="",$AI1399="نامعتبر"),"",LEFT($AI1399,4)&amp;MID($AI1399,6,2)&amp;RIGHT($AI1399,2)&amp;$AJ1399&amp;"|"&amp;"3"&amp;RIGHT("00000"&amp;1394,5))</f>
        <v/>
      </c>
      <c r="AL1399">
        <f>IF($AK1399="","",COUNTIFS(LdAParty,$AE1399,LdAType,1,LdAKey,"&lt;"&amp;$AK1399)+COUNTIFS(LdBMember,$AE1399,LdBKey,"&lt;"&amp;$AK1399)+COUNTIFS(LdCParty,$AE1399,LdCKey,"&lt;"&amp;$AK1399)+1)</f>
        <v/>
      </c>
      <c r="AM1399">
        <f>IF($AL1399="","",$AE1399&amp;"|"&amp;RIGHT("000000"&amp;$AL1399,6))</f>
        <v/>
      </c>
      <c r="AN1399">
        <f>IF($AE1399="","",IF(Sync!$W1399="",0,Sync!$W1399))</f>
        <v/>
      </c>
      <c r="AO1399">
        <f>IF($AE1399="","",IF(Sync!$X1399="",0,Sync!$X1399))</f>
        <v/>
      </c>
      <c r="AP1399">
        <f>IF($AE1399="","",Sync!$R1399)</f>
        <v/>
      </c>
      <c r="AQ1399">
        <f>IF($AE1399="","",Sync!$Y1399)</f>
        <v/>
      </c>
    </row>
    <row r="1400">
      <c r="A1400">
        <f>IF(OR(Wages!$B1403="",Wages!$E1403=""),"",Wages!$E1403)</f>
        <v/>
      </c>
      <c r="B1400">
        <f>IF($A1400="","",IF(Wages!$C1403="دستمزد گروهی",2,1))</f>
        <v/>
      </c>
      <c r="C1400">
        <f>IF($A1400="","",IF(ISNUMBER(Wages!$B1403),IF(AND(Wages!$B1403&gt;=10000101,Wages!$B1403&lt;=99991231),INT(Wages!$B1403/10000),""),IFERROR(VALUE(TRIM(LEFT(Wages!$B1403,FIND("/",Wages!$B1403)-1))),"")))</f>
        <v/>
      </c>
      <c r="D1400">
        <f>IF(OR($A1400="",$C1400=""),"",IF(ISNUMBER(Wages!$B1403),INT(MOD(Wages!$B1403,10000)/100),IFERROR(VALUE(TRIM(LEFT(MID(Wages!$B1403,FIND("/",Wages!$B1403)+1,20),FIND("/",MID(Wages!$B1403,FIND("/",Wages!$B1403)+1,20))-1))),"")))</f>
        <v/>
      </c>
      <c r="E1400">
        <f>IF(OR($A1400="",$C1400=""),"",IF(ISNUMBER(Wages!$B1403),MOD(Wages!$B1403,100),IFERROR(VALUE(TRIM(MID(MID(Wages!$B1403,FIND("/",Wages!$B1403)+1,20),FIND("/",MID(Wages!$B1403,FIND("/",Wages!$B1403)+1,20))+1,20))),"")))</f>
        <v/>
      </c>
      <c r="F1400">
        <f>IF($A1400="","",IF(OR($C1400="",$D1400="",$E1400="",$C1400&lt;1300,$C1400&gt;1500,$D1400&lt;1,$D1400&gt;12,$E1400&lt;1,$E1400&gt;31),"نامعتبر",RIGHT("0000"&amp;$C1400,4)&amp;"/"&amp;RIGHT("00"&amp;$D1400,2)&amp;"/"&amp;RIGHT("00"&amp;$E1400,2)))</f>
        <v/>
      </c>
      <c r="G1400">
        <f>IF(OR($A1400="",$F1400="",$F1400="نامعتبر"),"",LEFT($F1400,4)&amp;MID($F1400,6,2)&amp;RIGHT($F1400,2)&amp;"0000"&amp;"|"&amp;"1"&amp;RIGHT("00000"&amp;1395,5))</f>
        <v/>
      </c>
      <c r="H1400">
        <f>IF(OR($B1400&lt;&gt;1,$G1400=""),"",COUNTIFS(LdAParty,$A1400,LdAType,1,LdAKey,"&lt;"&amp;$G1400)+COUNTIFS(LdBMember,$A1400,LdBKey,"&lt;"&amp;$G1400)+COUNTIFS(LdCParty,$A1400,LdCKey,"&lt;"&amp;$G1400)+1)</f>
        <v/>
      </c>
      <c r="I1400">
        <f>IF($H1400="","",$A1400&amp;"|"&amp;RIGHT("000000"&amp;$H1400,6))</f>
        <v/>
      </c>
      <c r="J1400">
        <f>IF(OR($B1400&lt;&gt;2,$G1400=""),"",COUNTIFS(LdAParty,$A1400,LdAType,2,LdAKey,"&lt;"&amp;$G1400)+1)</f>
        <v/>
      </c>
      <c r="K1400">
        <f>IF($J1400="","",$A1400&amp;"|"&amp;RIGHT("000000"&amp;$J1400,6))</f>
        <v/>
      </c>
      <c r="L1400">
        <f>IF($A1400="","",IF(Wages!$G1403="",0,Wages!$G1403))</f>
        <v/>
      </c>
      <c r="M1400">
        <f>IF($A1400="","",Wages!$J1403)</f>
        <v/>
      </c>
      <c r="N1400">
        <f>IF($A1400="","",Wages!$D1403)</f>
        <v/>
      </c>
      <c r="P1400">
        <f>IF(OR(Shares!$B1403="",Shares!$C1403=""),"",Shares!$C1403)</f>
        <v/>
      </c>
      <c r="Q1400">
        <f>IF($P1400="","",Shares!$B1403)</f>
        <v/>
      </c>
      <c r="R1400">
        <f>IF($P1400="","",IFERROR(INDEX(WageParty,MATCH($Q1400,WageIds,0)),""))</f>
        <v/>
      </c>
      <c r="S1400">
        <f>IF($P1400="","",IFERROR(INDEX($F$6:$F$2005,MATCH($Q1400,WageIds,0)),""))</f>
        <v/>
      </c>
      <c r="T1400">
        <f>IF(OR($P1400="",$S1400="",$S1400="نامعتبر"),"",LEFT($S1400,4)&amp;MID($S1400,6,2)&amp;RIGHT($S1400,2)&amp;"0000"&amp;"|"&amp;"2"&amp;RIGHT("00000"&amp;1395,5))</f>
        <v/>
      </c>
      <c r="U1400">
        <f>IF($T1400="","",COUNTIFS(LdAParty,$P1400,LdAType,1,LdAKey,"&lt;"&amp;$T1400)+COUNTIFS(LdBMember,$P1400,LdBKey,"&lt;"&amp;$T1400)+COUNTIFS(LdCParty,$P1400,LdCKey,"&lt;"&amp;$T1400)+1)</f>
        <v/>
      </c>
      <c r="V1400">
        <f>IF($U1400="","",$P1400&amp;"|"&amp;RIGHT("000000"&amp;$U1400,6))</f>
        <v/>
      </c>
      <c r="W1400">
        <f>IF($T1400="","",COUNTIFS(LdBGroup,$R1400,LdBKey,"&lt;"&amp;$T1400)+1)</f>
        <v/>
      </c>
      <c r="X1400">
        <f>IF($W1400="","",$R1400&amp;"|"&amp;RIGHT("000000"&amp;$W1400,6))</f>
        <v/>
      </c>
      <c r="Y1400">
        <f>IF($P1400="","",IF(Shares!$E1403="",0,Shares!$E1403))</f>
        <v/>
      </c>
      <c r="Z1400">
        <f>IF($P1400="","",Shares!$H1403)</f>
        <v/>
      </c>
      <c r="AE1400">
        <f>IF(OR(Sync!$S1400="",Sync!$P1400=""),"",Sync!$S1400)</f>
        <v/>
      </c>
      <c r="AF1400">
        <f>IF($AE1400="","",IF(ISNUMBER(Sync!$P1400),IF(AND(Sync!$P1400&gt;=10000101,Sync!$P1400&lt;=99991231),INT(Sync!$P1400/10000),""),IFERROR(VALUE(TRIM(LEFT(Sync!$P1400,FIND("/",Sync!$P1400)-1))),"")))</f>
        <v/>
      </c>
      <c r="AG1400">
        <f>IF(OR($AE1400="",$AF1400=""),"",IF(ISNUMBER(Sync!$P1400),INT(MOD(Sync!$P1400,10000)/100),IFERROR(VALUE(TRIM(LEFT(MID(Sync!$P1400,FIND("/",Sync!$P1400)+1,20),FIND("/",MID(Sync!$P1400,FIND("/",Sync!$P1400)+1,20))-1))),"")))</f>
        <v/>
      </c>
      <c r="AH1400">
        <f>IF(OR($AE1400="",$AF1400=""),"",IF(ISNUMBER(Sync!$P1400),MOD(Sync!$P1400,100),IFERROR(VALUE(TRIM(MID(MID(Sync!$P1400,FIND("/",Sync!$P1400)+1,20),FIND("/",MID(Sync!$P1400,FIND("/",Sync!$P1400)+1,20))+1,20))),"")))</f>
        <v/>
      </c>
      <c r="AI1400">
        <f>IF($AE1400="","",IF(OR($AF1400="",$AG1400="",$AH1400="",$AF1400&lt;1300,$AF1400&gt;1500,$AG1400&lt;1,$AG1400&gt;12,$AH1400&lt;1,$AH1400&gt;31),"نامعتبر",RIGHT("0000"&amp;$AF1400,4)&amp;"/"&amp;RIGHT("00"&amp;$AG1400,2)&amp;"/"&amp;RIGHT("00"&amp;$AH1400,2)))</f>
        <v/>
      </c>
      <c r="AJ1400">
        <f>IF($AE1400="","",IF(Sync!$Q1400="","0000",IF(AND(ISNUMBER(Sync!$Q1400),Sync!$Q1400&gt;=0,Sync!$Q1400&lt;1),RIGHT("00"&amp;HOUR(Sync!$Q1400),2)&amp;RIGHT("00"&amp;MINUTE(Sync!$Q1400),2),IFERROR(RIGHT("00"&amp;VALUE(LEFT(Sync!$Q1400,FIND(":",Sync!$Q1400)-1)),2)&amp;RIGHT("00"&amp;VALUE(MID(Sync!$Q1400,FIND(":",Sync!$Q1400)+1,2)),2),"0000"))))</f>
        <v/>
      </c>
      <c r="AK1400">
        <f>IF(OR($AE1400="",$AI1400="",$AI1400="نامعتبر"),"",LEFT($AI1400,4)&amp;MID($AI1400,6,2)&amp;RIGHT($AI1400,2)&amp;$AJ1400&amp;"|"&amp;"3"&amp;RIGHT("00000"&amp;1395,5))</f>
        <v/>
      </c>
      <c r="AL1400">
        <f>IF($AK1400="","",COUNTIFS(LdAParty,$AE1400,LdAType,1,LdAKey,"&lt;"&amp;$AK1400)+COUNTIFS(LdBMember,$AE1400,LdBKey,"&lt;"&amp;$AK1400)+COUNTIFS(LdCParty,$AE1400,LdCKey,"&lt;"&amp;$AK1400)+1)</f>
        <v/>
      </c>
      <c r="AM1400">
        <f>IF($AL1400="","",$AE1400&amp;"|"&amp;RIGHT("000000"&amp;$AL1400,6))</f>
        <v/>
      </c>
      <c r="AN1400">
        <f>IF($AE1400="","",IF(Sync!$W1400="",0,Sync!$W1400))</f>
        <v/>
      </c>
      <c r="AO1400">
        <f>IF($AE1400="","",IF(Sync!$X1400="",0,Sync!$X1400))</f>
        <v/>
      </c>
      <c r="AP1400">
        <f>IF($AE1400="","",Sync!$R1400)</f>
        <v/>
      </c>
      <c r="AQ1400">
        <f>IF($AE1400="","",Sync!$Y1400)</f>
        <v/>
      </c>
    </row>
    <row r="1401">
      <c r="A1401">
        <f>IF(OR(Wages!$B1404="",Wages!$E1404=""),"",Wages!$E1404)</f>
        <v/>
      </c>
      <c r="B1401">
        <f>IF($A1401="","",IF(Wages!$C1404="دستمزد گروهی",2,1))</f>
        <v/>
      </c>
      <c r="C1401">
        <f>IF($A1401="","",IF(ISNUMBER(Wages!$B1404),IF(AND(Wages!$B1404&gt;=10000101,Wages!$B1404&lt;=99991231),INT(Wages!$B1404/10000),""),IFERROR(VALUE(TRIM(LEFT(Wages!$B1404,FIND("/",Wages!$B1404)-1))),"")))</f>
        <v/>
      </c>
      <c r="D1401">
        <f>IF(OR($A1401="",$C1401=""),"",IF(ISNUMBER(Wages!$B1404),INT(MOD(Wages!$B1404,10000)/100),IFERROR(VALUE(TRIM(LEFT(MID(Wages!$B1404,FIND("/",Wages!$B1404)+1,20),FIND("/",MID(Wages!$B1404,FIND("/",Wages!$B1404)+1,20))-1))),"")))</f>
        <v/>
      </c>
      <c r="E1401">
        <f>IF(OR($A1401="",$C1401=""),"",IF(ISNUMBER(Wages!$B1404),MOD(Wages!$B1404,100),IFERROR(VALUE(TRIM(MID(MID(Wages!$B1404,FIND("/",Wages!$B1404)+1,20),FIND("/",MID(Wages!$B1404,FIND("/",Wages!$B1404)+1,20))+1,20))),"")))</f>
        <v/>
      </c>
      <c r="F1401">
        <f>IF($A1401="","",IF(OR($C1401="",$D1401="",$E1401="",$C1401&lt;1300,$C1401&gt;1500,$D1401&lt;1,$D1401&gt;12,$E1401&lt;1,$E1401&gt;31),"نامعتبر",RIGHT("0000"&amp;$C1401,4)&amp;"/"&amp;RIGHT("00"&amp;$D1401,2)&amp;"/"&amp;RIGHT("00"&amp;$E1401,2)))</f>
        <v/>
      </c>
      <c r="G1401">
        <f>IF(OR($A1401="",$F1401="",$F1401="نامعتبر"),"",LEFT($F1401,4)&amp;MID($F1401,6,2)&amp;RIGHT($F1401,2)&amp;"0000"&amp;"|"&amp;"1"&amp;RIGHT("00000"&amp;1396,5))</f>
        <v/>
      </c>
      <c r="H1401">
        <f>IF(OR($B1401&lt;&gt;1,$G1401=""),"",COUNTIFS(LdAParty,$A1401,LdAType,1,LdAKey,"&lt;"&amp;$G1401)+COUNTIFS(LdBMember,$A1401,LdBKey,"&lt;"&amp;$G1401)+COUNTIFS(LdCParty,$A1401,LdCKey,"&lt;"&amp;$G1401)+1)</f>
        <v/>
      </c>
      <c r="I1401">
        <f>IF($H1401="","",$A1401&amp;"|"&amp;RIGHT("000000"&amp;$H1401,6))</f>
        <v/>
      </c>
      <c r="J1401">
        <f>IF(OR($B1401&lt;&gt;2,$G1401=""),"",COUNTIFS(LdAParty,$A1401,LdAType,2,LdAKey,"&lt;"&amp;$G1401)+1)</f>
        <v/>
      </c>
      <c r="K1401">
        <f>IF($J1401="","",$A1401&amp;"|"&amp;RIGHT("000000"&amp;$J1401,6))</f>
        <v/>
      </c>
      <c r="L1401">
        <f>IF($A1401="","",IF(Wages!$G1404="",0,Wages!$G1404))</f>
        <v/>
      </c>
      <c r="M1401">
        <f>IF($A1401="","",Wages!$J1404)</f>
        <v/>
      </c>
      <c r="N1401">
        <f>IF($A1401="","",Wages!$D1404)</f>
        <v/>
      </c>
      <c r="P1401">
        <f>IF(OR(Shares!$B1404="",Shares!$C1404=""),"",Shares!$C1404)</f>
        <v/>
      </c>
      <c r="Q1401">
        <f>IF($P1401="","",Shares!$B1404)</f>
        <v/>
      </c>
      <c r="R1401">
        <f>IF($P1401="","",IFERROR(INDEX(WageParty,MATCH($Q1401,WageIds,0)),""))</f>
        <v/>
      </c>
      <c r="S1401">
        <f>IF($P1401="","",IFERROR(INDEX($F$6:$F$2005,MATCH($Q1401,WageIds,0)),""))</f>
        <v/>
      </c>
      <c r="T1401">
        <f>IF(OR($P1401="",$S1401="",$S1401="نامعتبر"),"",LEFT($S1401,4)&amp;MID($S1401,6,2)&amp;RIGHT($S1401,2)&amp;"0000"&amp;"|"&amp;"2"&amp;RIGHT("00000"&amp;1396,5))</f>
        <v/>
      </c>
      <c r="U1401">
        <f>IF($T1401="","",COUNTIFS(LdAParty,$P1401,LdAType,1,LdAKey,"&lt;"&amp;$T1401)+COUNTIFS(LdBMember,$P1401,LdBKey,"&lt;"&amp;$T1401)+COUNTIFS(LdCParty,$P1401,LdCKey,"&lt;"&amp;$T1401)+1)</f>
        <v/>
      </c>
      <c r="V1401">
        <f>IF($U1401="","",$P1401&amp;"|"&amp;RIGHT("000000"&amp;$U1401,6))</f>
        <v/>
      </c>
      <c r="W1401">
        <f>IF($T1401="","",COUNTIFS(LdBGroup,$R1401,LdBKey,"&lt;"&amp;$T1401)+1)</f>
        <v/>
      </c>
      <c r="X1401">
        <f>IF($W1401="","",$R1401&amp;"|"&amp;RIGHT("000000"&amp;$W1401,6))</f>
        <v/>
      </c>
      <c r="Y1401">
        <f>IF($P1401="","",IF(Shares!$E1404="",0,Shares!$E1404))</f>
        <v/>
      </c>
      <c r="Z1401">
        <f>IF($P1401="","",Shares!$H1404)</f>
        <v/>
      </c>
      <c r="AE1401">
        <f>IF(OR(Sync!$S1401="",Sync!$P1401=""),"",Sync!$S1401)</f>
        <v/>
      </c>
      <c r="AF1401">
        <f>IF($AE1401="","",IF(ISNUMBER(Sync!$P1401),IF(AND(Sync!$P1401&gt;=10000101,Sync!$P1401&lt;=99991231),INT(Sync!$P1401/10000),""),IFERROR(VALUE(TRIM(LEFT(Sync!$P1401,FIND("/",Sync!$P1401)-1))),"")))</f>
        <v/>
      </c>
      <c r="AG1401">
        <f>IF(OR($AE1401="",$AF1401=""),"",IF(ISNUMBER(Sync!$P1401),INT(MOD(Sync!$P1401,10000)/100),IFERROR(VALUE(TRIM(LEFT(MID(Sync!$P1401,FIND("/",Sync!$P1401)+1,20),FIND("/",MID(Sync!$P1401,FIND("/",Sync!$P1401)+1,20))-1))),"")))</f>
        <v/>
      </c>
      <c r="AH1401">
        <f>IF(OR($AE1401="",$AF1401=""),"",IF(ISNUMBER(Sync!$P1401),MOD(Sync!$P1401,100),IFERROR(VALUE(TRIM(MID(MID(Sync!$P1401,FIND("/",Sync!$P1401)+1,20),FIND("/",MID(Sync!$P1401,FIND("/",Sync!$P1401)+1,20))+1,20))),"")))</f>
        <v/>
      </c>
      <c r="AI1401">
        <f>IF($AE1401="","",IF(OR($AF1401="",$AG1401="",$AH1401="",$AF1401&lt;1300,$AF1401&gt;1500,$AG1401&lt;1,$AG1401&gt;12,$AH1401&lt;1,$AH1401&gt;31),"نامعتبر",RIGHT("0000"&amp;$AF1401,4)&amp;"/"&amp;RIGHT("00"&amp;$AG1401,2)&amp;"/"&amp;RIGHT("00"&amp;$AH1401,2)))</f>
        <v/>
      </c>
      <c r="AJ1401">
        <f>IF($AE1401="","",IF(Sync!$Q1401="","0000",IF(AND(ISNUMBER(Sync!$Q1401),Sync!$Q1401&gt;=0,Sync!$Q1401&lt;1),RIGHT("00"&amp;HOUR(Sync!$Q1401),2)&amp;RIGHT("00"&amp;MINUTE(Sync!$Q1401),2),IFERROR(RIGHT("00"&amp;VALUE(LEFT(Sync!$Q1401,FIND(":",Sync!$Q1401)-1)),2)&amp;RIGHT("00"&amp;VALUE(MID(Sync!$Q1401,FIND(":",Sync!$Q1401)+1,2)),2),"0000"))))</f>
        <v/>
      </c>
      <c r="AK1401">
        <f>IF(OR($AE1401="",$AI1401="",$AI1401="نامعتبر"),"",LEFT($AI1401,4)&amp;MID($AI1401,6,2)&amp;RIGHT($AI1401,2)&amp;$AJ1401&amp;"|"&amp;"3"&amp;RIGHT("00000"&amp;1396,5))</f>
        <v/>
      </c>
      <c r="AL1401">
        <f>IF($AK1401="","",COUNTIFS(LdAParty,$AE1401,LdAType,1,LdAKey,"&lt;"&amp;$AK1401)+COUNTIFS(LdBMember,$AE1401,LdBKey,"&lt;"&amp;$AK1401)+COUNTIFS(LdCParty,$AE1401,LdCKey,"&lt;"&amp;$AK1401)+1)</f>
        <v/>
      </c>
      <c r="AM1401">
        <f>IF($AL1401="","",$AE1401&amp;"|"&amp;RIGHT("000000"&amp;$AL1401,6))</f>
        <v/>
      </c>
      <c r="AN1401">
        <f>IF($AE1401="","",IF(Sync!$W1401="",0,Sync!$W1401))</f>
        <v/>
      </c>
      <c r="AO1401">
        <f>IF($AE1401="","",IF(Sync!$X1401="",0,Sync!$X1401))</f>
        <v/>
      </c>
      <c r="AP1401">
        <f>IF($AE1401="","",Sync!$R1401)</f>
        <v/>
      </c>
      <c r="AQ1401">
        <f>IF($AE1401="","",Sync!$Y1401)</f>
        <v/>
      </c>
    </row>
    <row r="1402">
      <c r="A1402">
        <f>IF(OR(Wages!$B1405="",Wages!$E1405=""),"",Wages!$E1405)</f>
        <v/>
      </c>
      <c r="B1402">
        <f>IF($A1402="","",IF(Wages!$C1405="دستمزد گروهی",2,1))</f>
        <v/>
      </c>
      <c r="C1402">
        <f>IF($A1402="","",IF(ISNUMBER(Wages!$B1405),IF(AND(Wages!$B1405&gt;=10000101,Wages!$B1405&lt;=99991231),INT(Wages!$B1405/10000),""),IFERROR(VALUE(TRIM(LEFT(Wages!$B1405,FIND("/",Wages!$B1405)-1))),"")))</f>
        <v/>
      </c>
      <c r="D1402">
        <f>IF(OR($A1402="",$C1402=""),"",IF(ISNUMBER(Wages!$B1405),INT(MOD(Wages!$B1405,10000)/100),IFERROR(VALUE(TRIM(LEFT(MID(Wages!$B1405,FIND("/",Wages!$B1405)+1,20),FIND("/",MID(Wages!$B1405,FIND("/",Wages!$B1405)+1,20))-1))),"")))</f>
        <v/>
      </c>
      <c r="E1402">
        <f>IF(OR($A1402="",$C1402=""),"",IF(ISNUMBER(Wages!$B1405),MOD(Wages!$B1405,100),IFERROR(VALUE(TRIM(MID(MID(Wages!$B1405,FIND("/",Wages!$B1405)+1,20),FIND("/",MID(Wages!$B1405,FIND("/",Wages!$B1405)+1,20))+1,20))),"")))</f>
        <v/>
      </c>
      <c r="F1402">
        <f>IF($A1402="","",IF(OR($C1402="",$D1402="",$E1402="",$C1402&lt;1300,$C1402&gt;1500,$D1402&lt;1,$D1402&gt;12,$E1402&lt;1,$E1402&gt;31),"نامعتبر",RIGHT("0000"&amp;$C1402,4)&amp;"/"&amp;RIGHT("00"&amp;$D1402,2)&amp;"/"&amp;RIGHT("00"&amp;$E1402,2)))</f>
        <v/>
      </c>
      <c r="G1402">
        <f>IF(OR($A1402="",$F1402="",$F1402="نامعتبر"),"",LEFT($F1402,4)&amp;MID($F1402,6,2)&amp;RIGHT($F1402,2)&amp;"0000"&amp;"|"&amp;"1"&amp;RIGHT("00000"&amp;1397,5))</f>
        <v/>
      </c>
      <c r="H1402">
        <f>IF(OR($B1402&lt;&gt;1,$G1402=""),"",COUNTIFS(LdAParty,$A1402,LdAType,1,LdAKey,"&lt;"&amp;$G1402)+COUNTIFS(LdBMember,$A1402,LdBKey,"&lt;"&amp;$G1402)+COUNTIFS(LdCParty,$A1402,LdCKey,"&lt;"&amp;$G1402)+1)</f>
        <v/>
      </c>
      <c r="I1402">
        <f>IF($H1402="","",$A1402&amp;"|"&amp;RIGHT("000000"&amp;$H1402,6))</f>
        <v/>
      </c>
      <c r="J1402">
        <f>IF(OR($B1402&lt;&gt;2,$G1402=""),"",COUNTIFS(LdAParty,$A1402,LdAType,2,LdAKey,"&lt;"&amp;$G1402)+1)</f>
        <v/>
      </c>
      <c r="K1402">
        <f>IF($J1402="","",$A1402&amp;"|"&amp;RIGHT("000000"&amp;$J1402,6))</f>
        <v/>
      </c>
      <c r="L1402">
        <f>IF($A1402="","",IF(Wages!$G1405="",0,Wages!$G1405))</f>
        <v/>
      </c>
      <c r="M1402">
        <f>IF($A1402="","",Wages!$J1405)</f>
        <v/>
      </c>
      <c r="N1402">
        <f>IF($A1402="","",Wages!$D1405)</f>
        <v/>
      </c>
      <c r="P1402">
        <f>IF(OR(Shares!$B1405="",Shares!$C1405=""),"",Shares!$C1405)</f>
        <v/>
      </c>
      <c r="Q1402">
        <f>IF($P1402="","",Shares!$B1405)</f>
        <v/>
      </c>
      <c r="R1402">
        <f>IF($P1402="","",IFERROR(INDEX(WageParty,MATCH($Q1402,WageIds,0)),""))</f>
        <v/>
      </c>
      <c r="S1402">
        <f>IF($P1402="","",IFERROR(INDEX($F$6:$F$2005,MATCH($Q1402,WageIds,0)),""))</f>
        <v/>
      </c>
      <c r="T1402">
        <f>IF(OR($P1402="",$S1402="",$S1402="نامعتبر"),"",LEFT($S1402,4)&amp;MID($S1402,6,2)&amp;RIGHT($S1402,2)&amp;"0000"&amp;"|"&amp;"2"&amp;RIGHT("00000"&amp;1397,5))</f>
        <v/>
      </c>
      <c r="U1402">
        <f>IF($T1402="","",COUNTIFS(LdAParty,$P1402,LdAType,1,LdAKey,"&lt;"&amp;$T1402)+COUNTIFS(LdBMember,$P1402,LdBKey,"&lt;"&amp;$T1402)+COUNTIFS(LdCParty,$P1402,LdCKey,"&lt;"&amp;$T1402)+1)</f>
        <v/>
      </c>
      <c r="V1402">
        <f>IF($U1402="","",$P1402&amp;"|"&amp;RIGHT("000000"&amp;$U1402,6))</f>
        <v/>
      </c>
      <c r="W1402">
        <f>IF($T1402="","",COUNTIFS(LdBGroup,$R1402,LdBKey,"&lt;"&amp;$T1402)+1)</f>
        <v/>
      </c>
      <c r="X1402">
        <f>IF($W1402="","",$R1402&amp;"|"&amp;RIGHT("000000"&amp;$W1402,6))</f>
        <v/>
      </c>
      <c r="Y1402">
        <f>IF($P1402="","",IF(Shares!$E1405="",0,Shares!$E1405))</f>
        <v/>
      </c>
      <c r="Z1402">
        <f>IF($P1402="","",Shares!$H1405)</f>
        <v/>
      </c>
      <c r="AE1402">
        <f>IF(OR(Sync!$S1402="",Sync!$P1402=""),"",Sync!$S1402)</f>
        <v/>
      </c>
      <c r="AF1402">
        <f>IF($AE1402="","",IF(ISNUMBER(Sync!$P1402),IF(AND(Sync!$P1402&gt;=10000101,Sync!$P1402&lt;=99991231),INT(Sync!$P1402/10000),""),IFERROR(VALUE(TRIM(LEFT(Sync!$P1402,FIND("/",Sync!$P1402)-1))),"")))</f>
        <v/>
      </c>
      <c r="AG1402">
        <f>IF(OR($AE1402="",$AF1402=""),"",IF(ISNUMBER(Sync!$P1402),INT(MOD(Sync!$P1402,10000)/100),IFERROR(VALUE(TRIM(LEFT(MID(Sync!$P1402,FIND("/",Sync!$P1402)+1,20),FIND("/",MID(Sync!$P1402,FIND("/",Sync!$P1402)+1,20))-1))),"")))</f>
        <v/>
      </c>
      <c r="AH1402">
        <f>IF(OR($AE1402="",$AF1402=""),"",IF(ISNUMBER(Sync!$P1402),MOD(Sync!$P1402,100),IFERROR(VALUE(TRIM(MID(MID(Sync!$P1402,FIND("/",Sync!$P1402)+1,20),FIND("/",MID(Sync!$P1402,FIND("/",Sync!$P1402)+1,20))+1,20))),"")))</f>
        <v/>
      </c>
      <c r="AI1402">
        <f>IF($AE1402="","",IF(OR($AF1402="",$AG1402="",$AH1402="",$AF1402&lt;1300,$AF1402&gt;1500,$AG1402&lt;1,$AG1402&gt;12,$AH1402&lt;1,$AH1402&gt;31),"نامعتبر",RIGHT("0000"&amp;$AF1402,4)&amp;"/"&amp;RIGHT("00"&amp;$AG1402,2)&amp;"/"&amp;RIGHT("00"&amp;$AH1402,2)))</f>
        <v/>
      </c>
      <c r="AJ1402">
        <f>IF($AE1402="","",IF(Sync!$Q1402="","0000",IF(AND(ISNUMBER(Sync!$Q1402),Sync!$Q1402&gt;=0,Sync!$Q1402&lt;1),RIGHT("00"&amp;HOUR(Sync!$Q1402),2)&amp;RIGHT("00"&amp;MINUTE(Sync!$Q1402),2),IFERROR(RIGHT("00"&amp;VALUE(LEFT(Sync!$Q1402,FIND(":",Sync!$Q1402)-1)),2)&amp;RIGHT("00"&amp;VALUE(MID(Sync!$Q1402,FIND(":",Sync!$Q1402)+1,2)),2),"0000"))))</f>
        <v/>
      </c>
      <c r="AK1402">
        <f>IF(OR($AE1402="",$AI1402="",$AI1402="نامعتبر"),"",LEFT($AI1402,4)&amp;MID($AI1402,6,2)&amp;RIGHT($AI1402,2)&amp;$AJ1402&amp;"|"&amp;"3"&amp;RIGHT("00000"&amp;1397,5))</f>
        <v/>
      </c>
      <c r="AL1402">
        <f>IF($AK1402="","",COUNTIFS(LdAParty,$AE1402,LdAType,1,LdAKey,"&lt;"&amp;$AK1402)+COUNTIFS(LdBMember,$AE1402,LdBKey,"&lt;"&amp;$AK1402)+COUNTIFS(LdCParty,$AE1402,LdCKey,"&lt;"&amp;$AK1402)+1)</f>
        <v/>
      </c>
      <c r="AM1402">
        <f>IF($AL1402="","",$AE1402&amp;"|"&amp;RIGHT("000000"&amp;$AL1402,6))</f>
        <v/>
      </c>
      <c r="AN1402">
        <f>IF($AE1402="","",IF(Sync!$W1402="",0,Sync!$W1402))</f>
        <v/>
      </c>
      <c r="AO1402">
        <f>IF($AE1402="","",IF(Sync!$X1402="",0,Sync!$X1402))</f>
        <v/>
      </c>
      <c r="AP1402">
        <f>IF($AE1402="","",Sync!$R1402)</f>
        <v/>
      </c>
      <c r="AQ1402">
        <f>IF($AE1402="","",Sync!$Y1402)</f>
        <v/>
      </c>
    </row>
    <row r="1403">
      <c r="A1403">
        <f>IF(OR(Wages!$B1406="",Wages!$E1406=""),"",Wages!$E1406)</f>
        <v/>
      </c>
      <c r="B1403">
        <f>IF($A1403="","",IF(Wages!$C1406="دستمزد گروهی",2,1))</f>
        <v/>
      </c>
      <c r="C1403">
        <f>IF($A1403="","",IF(ISNUMBER(Wages!$B1406),IF(AND(Wages!$B1406&gt;=10000101,Wages!$B1406&lt;=99991231),INT(Wages!$B1406/10000),""),IFERROR(VALUE(TRIM(LEFT(Wages!$B1406,FIND("/",Wages!$B1406)-1))),"")))</f>
        <v/>
      </c>
      <c r="D1403">
        <f>IF(OR($A1403="",$C1403=""),"",IF(ISNUMBER(Wages!$B1406),INT(MOD(Wages!$B1406,10000)/100),IFERROR(VALUE(TRIM(LEFT(MID(Wages!$B1406,FIND("/",Wages!$B1406)+1,20),FIND("/",MID(Wages!$B1406,FIND("/",Wages!$B1406)+1,20))-1))),"")))</f>
        <v/>
      </c>
      <c r="E1403">
        <f>IF(OR($A1403="",$C1403=""),"",IF(ISNUMBER(Wages!$B1406),MOD(Wages!$B1406,100),IFERROR(VALUE(TRIM(MID(MID(Wages!$B1406,FIND("/",Wages!$B1406)+1,20),FIND("/",MID(Wages!$B1406,FIND("/",Wages!$B1406)+1,20))+1,20))),"")))</f>
        <v/>
      </c>
      <c r="F1403">
        <f>IF($A1403="","",IF(OR($C1403="",$D1403="",$E1403="",$C1403&lt;1300,$C1403&gt;1500,$D1403&lt;1,$D1403&gt;12,$E1403&lt;1,$E1403&gt;31),"نامعتبر",RIGHT("0000"&amp;$C1403,4)&amp;"/"&amp;RIGHT("00"&amp;$D1403,2)&amp;"/"&amp;RIGHT("00"&amp;$E1403,2)))</f>
        <v/>
      </c>
      <c r="G1403">
        <f>IF(OR($A1403="",$F1403="",$F1403="نامعتبر"),"",LEFT($F1403,4)&amp;MID($F1403,6,2)&amp;RIGHT($F1403,2)&amp;"0000"&amp;"|"&amp;"1"&amp;RIGHT("00000"&amp;1398,5))</f>
        <v/>
      </c>
      <c r="H1403">
        <f>IF(OR($B1403&lt;&gt;1,$G1403=""),"",COUNTIFS(LdAParty,$A1403,LdAType,1,LdAKey,"&lt;"&amp;$G1403)+COUNTIFS(LdBMember,$A1403,LdBKey,"&lt;"&amp;$G1403)+COUNTIFS(LdCParty,$A1403,LdCKey,"&lt;"&amp;$G1403)+1)</f>
        <v/>
      </c>
      <c r="I1403">
        <f>IF($H1403="","",$A1403&amp;"|"&amp;RIGHT("000000"&amp;$H1403,6))</f>
        <v/>
      </c>
      <c r="J1403">
        <f>IF(OR($B1403&lt;&gt;2,$G1403=""),"",COUNTIFS(LdAParty,$A1403,LdAType,2,LdAKey,"&lt;"&amp;$G1403)+1)</f>
        <v/>
      </c>
      <c r="K1403">
        <f>IF($J1403="","",$A1403&amp;"|"&amp;RIGHT("000000"&amp;$J1403,6))</f>
        <v/>
      </c>
      <c r="L1403">
        <f>IF($A1403="","",IF(Wages!$G1406="",0,Wages!$G1406))</f>
        <v/>
      </c>
      <c r="M1403">
        <f>IF($A1403="","",Wages!$J1406)</f>
        <v/>
      </c>
      <c r="N1403">
        <f>IF($A1403="","",Wages!$D1406)</f>
        <v/>
      </c>
      <c r="P1403">
        <f>IF(OR(Shares!$B1406="",Shares!$C1406=""),"",Shares!$C1406)</f>
        <v/>
      </c>
      <c r="Q1403">
        <f>IF($P1403="","",Shares!$B1406)</f>
        <v/>
      </c>
      <c r="R1403">
        <f>IF($P1403="","",IFERROR(INDEX(WageParty,MATCH($Q1403,WageIds,0)),""))</f>
        <v/>
      </c>
      <c r="S1403">
        <f>IF($P1403="","",IFERROR(INDEX($F$6:$F$2005,MATCH($Q1403,WageIds,0)),""))</f>
        <v/>
      </c>
      <c r="T1403">
        <f>IF(OR($P1403="",$S1403="",$S1403="نامعتبر"),"",LEFT($S1403,4)&amp;MID($S1403,6,2)&amp;RIGHT($S1403,2)&amp;"0000"&amp;"|"&amp;"2"&amp;RIGHT("00000"&amp;1398,5))</f>
        <v/>
      </c>
      <c r="U1403">
        <f>IF($T1403="","",COUNTIFS(LdAParty,$P1403,LdAType,1,LdAKey,"&lt;"&amp;$T1403)+COUNTIFS(LdBMember,$P1403,LdBKey,"&lt;"&amp;$T1403)+COUNTIFS(LdCParty,$P1403,LdCKey,"&lt;"&amp;$T1403)+1)</f>
        <v/>
      </c>
      <c r="V1403">
        <f>IF($U1403="","",$P1403&amp;"|"&amp;RIGHT("000000"&amp;$U1403,6))</f>
        <v/>
      </c>
      <c r="W1403">
        <f>IF($T1403="","",COUNTIFS(LdBGroup,$R1403,LdBKey,"&lt;"&amp;$T1403)+1)</f>
        <v/>
      </c>
      <c r="X1403">
        <f>IF($W1403="","",$R1403&amp;"|"&amp;RIGHT("000000"&amp;$W1403,6))</f>
        <v/>
      </c>
      <c r="Y1403">
        <f>IF($P1403="","",IF(Shares!$E1406="",0,Shares!$E1406))</f>
        <v/>
      </c>
      <c r="Z1403">
        <f>IF($P1403="","",Shares!$H1406)</f>
        <v/>
      </c>
      <c r="AE1403">
        <f>IF(OR(Sync!$S1403="",Sync!$P1403=""),"",Sync!$S1403)</f>
        <v/>
      </c>
      <c r="AF1403">
        <f>IF($AE1403="","",IF(ISNUMBER(Sync!$P1403),IF(AND(Sync!$P1403&gt;=10000101,Sync!$P1403&lt;=99991231),INT(Sync!$P1403/10000),""),IFERROR(VALUE(TRIM(LEFT(Sync!$P1403,FIND("/",Sync!$P1403)-1))),"")))</f>
        <v/>
      </c>
      <c r="AG1403">
        <f>IF(OR($AE1403="",$AF1403=""),"",IF(ISNUMBER(Sync!$P1403),INT(MOD(Sync!$P1403,10000)/100),IFERROR(VALUE(TRIM(LEFT(MID(Sync!$P1403,FIND("/",Sync!$P1403)+1,20),FIND("/",MID(Sync!$P1403,FIND("/",Sync!$P1403)+1,20))-1))),"")))</f>
        <v/>
      </c>
      <c r="AH1403">
        <f>IF(OR($AE1403="",$AF1403=""),"",IF(ISNUMBER(Sync!$P1403),MOD(Sync!$P1403,100),IFERROR(VALUE(TRIM(MID(MID(Sync!$P1403,FIND("/",Sync!$P1403)+1,20),FIND("/",MID(Sync!$P1403,FIND("/",Sync!$P1403)+1,20))+1,20))),"")))</f>
        <v/>
      </c>
      <c r="AI1403">
        <f>IF($AE1403="","",IF(OR($AF1403="",$AG1403="",$AH1403="",$AF1403&lt;1300,$AF1403&gt;1500,$AG1403&lt;1,$AG1403&gt;12,$AH1403&lt;1,$AH1403&gt;31),"نامعتبر",RIGHT("0000"&amp;$AF1403,4)&amp;"/"&amp;RIGHT("00"&amp;$AG1403,2)&amp;"/"&amp;RIGHT("00"&amp;$AH1403,2)))</f>
        <v/>
      </c>
      <c r="AJ1403">
        <f>IF($AE1403="","",IF(Sync!$Q1403="","0000",IF(AND(ISNUMBER(Sync!$Q1403),Sync!$Q1403&gt;=0,Sync!$Q1403&lt;1),RIGHT("00"&amp;HOUR(Sync!$Q1403),2)&amp;RIGHT("00"&amp;MINUTE(Sync!$Q1403),2),IFERROR(RIGHT("00"&amp;VALUE(LEFT(Sync!$Q1403,FIND(":",Sync!$Q1403)-1)),2)&amp;RIGHT("00"&amp;VALUE(MID(Sync!$Q1403,FIND(":",Sync!$Q1403)+1,2)),2),"0000"))))</f>
        <v/>
      </c>
      <c r="AK1403">
        <f>IF(OR($AE1403="",$AI1403="",$AI1403="نامعتبر"),"",LEFT($AI1403,4)&amp;MID($AI1403,6,2)&amp;RIGHT($AI1403,2)&amp;$AJ1403&amp;"|"&amp;"3"&amp;RIGHT("00000"&amp;1398,5))</f>
        <v/>
      </c>
      <c r="AL1403">
        <f>IF($AK1403="","",COUNTIFS(LdAParty,$AE1403,LdAType,1,LdAKey,"&lt;"&amp;$AK1403)+COUNTIFS(LdBMember,$AE1403,LdBKey,"&lt;"&amp;$AK1403)+COUNTIFS(LdCParty,$AE1403,LdCKey,"&lt;"&amp;$AK1403)+1)</f>
        <v/>
      </c>
      <c r="AM1403">
        <f>IF($AL1403="","",$AE1403&amp;"|"&amp;RIGHT("000000"&amp;$AL1403,6))</f>
        <v/>
      </c>
      <c r="AN1403">
        <f>IF($AE1403="","",IF(Sync!$W1403="",0,Sync!$W1403))</f>
        <v/>
      </c>
      <c r="AO1403">
        <f>IF($AE1403="","",IF(Sync!$X1403="",0,Sync!$X1403))</f>
        <v/>
      </c>
      <c r="AP1403">
        <f>IF($AE1403="","",Sync!$R1403)</f>
        <v/>
      </c>
      <c r="AQ1403">
        <f>IF($AE1403="","",Sync!$Y1403)</f>
        <v/>
      </c>
    </row>
    <row r="1404">
      <c r="A1404">
        <f>IF(OR(Wages!$B1407="",Wages!$E1407=""),"",Wages!$E1407)</f>
        <v/>
      </c>
      <c r="B1404">
        <f>IF($A1404="","",IF(Wages!$C1407="دستمزد گروهی",2,1))</f>
        <v/>
      </c>
      <c r="C1404">
        <f>IF($A1404="","",IF(ISNUMBER(Wages!$B1407),IF(AND(Wages!$B1407&gt;=10000101,Wages!$B1407&lt;=99991231),INT(Wages!$B1407/10000),""),IFERROR(VALUE(TRIM(LEFT(Wages!$B1407,FIND("/",Wages!$B1407)-1))),"")))</f>
        <v/>
      </c>
      <c r="D1404">
        <f>IF(OR($A1404="",$C1404=""),"",IF(ISNUMBER(Wages!$B1407),INT(MOD(Wages!$B1407,10000)/100),IFERROR(VALUE(TRIM(LEFT(MID(Wages!$B1407,FIND("/",Wages!$B1407)+1,20),FIND("/",MID(Wages!$B1407,FIND("/",Wages!$B1407)+1,20))-1))),"")))</f>
        <v/>
      </c>
      <c r="E1404">
        <f>IF(OR($A1404="",$C1404=""),"",IF(ISNUMBER(Wages!$B1407),MOD(Wages!$B1407,100),IFERROR(VALUE(TRIM(MID(MID(Wages!$B1407,FIND("/",Wages!$B1407)+1,20),FIND("/",MID(Wages!$B1407,FIND("/",Wages!$B1407)+1,20))+1,20))),"")))</f>
        <v/>
      </c>
      <c r="F1404">
        <f>IF($A1404="","",IF(OR($C1404="",$D1404="",$E1404="",$C1404&lt;1300,$C1404&gt;1500,$D1404&lt;1,$D1404&gt;12,$E1404&lt;1,$E1404&gt;31),"نامعتبر",RIGHT("0000"&amp;$C1404,4)&amp;"/"&amp;RIGHT("00"&amp;$D1404,2)&amp;"/"&amp;RIGHT("00"&amp;$E1404,2)))</f>
        <v/>
      </c>
      <c r="G1404">
        <f>IF(OR($A1404="",$F1404="",$F1404="نامعتبر"),"",LEFT($F1404,4)&amp;MID($F1404,6,2)&amp;RIGHT($F1404,2)&amp;"0000"&amp;"|"&amp;"1"&amp;RIGHT("00000"&amp;1399,5))</f>
        <v/>
      </c>
      <c r="H1404">
        <f>IF(OR($B1404&lt;&gt;1,$G1404=""),"",COUNTIFS(LdAParty,$A1404,LdAType,1,LdAKey,"&lt;"&amp;$G1404)+COUNTIFS(LdBMember,$A1404,LdBKey,"&lt;"&amp;$G1404)+COUNTIFS(LdCParty,$A1404,LdCKey,"&lt;"&amp;$G1404)+1)</f>
        <v/>
      </c>
      <c r="I1404">
        <f>IF($H1404="","",$A1404&amp;"|"&amp;RIGHT("000000"&amp;$H1404,6))</f>
        <v/>
      </c>
      <c r="J1404">
        <f>IF(OR($B1404&lt;&gt;2,$G1404=""),"",COUNTIFS(LdAParty,$A1404,LdAType,2,LdAKey,"&lt;"&amp;$G1404)+1)</f>
        <v/>
      </c>
      <c r="K1404">
        <f>IF($J1404="","",$A1404&amp;"|"&amp;RIGHT("000000"&amp;$J1404,6))</f>
        <v/>
      </c>
      <c r="L1404">
        <f>IF($A1404="","",IF(Wages!$G1407="",0,Wages!$G1407))</f>
        <v/>
      </c>
      <c r="M1404">
        <f>IF($A1404="","",Wages!$J1407)</f>
        <v/>
      </c>
      <c r="N1404">
        <f>IF($A1404="","",Wages!$D1407)</f>
        <v/>
      </c>
      <c r="P1404">
        <f>IF(OR(Shares!$B1407="",Shares!$C1407=""),"",Shares!$C1407)</f>
        <v/>
      </c>
      <c r="Q1404">
        <f>IF($P1404="","",Shares!$B1407)</f>
        <v/>
      </c>
      <c r="R1404">
        <f>IF($P1404="","",IFERROR(INDEX(WageParty,MATCH($Q1404,WageIds,0)),""))</f>
        <v/>
      </c>
      <c r="S1404">
        <f>IF($P1404="","",IFERROR(INDEX($F$6:$F$2005,MATCH($Q1404,WageIds,0)),""))</f>
        <v/>
      </c>
      <c r="T1404">
        <f>IF(OR($P1404="",$S1404="",$S1404="نامعتبر"),"",LEFT($S1404,4)&amp;MID($S1404,6,2)&amp;RIGHT($S1404,2)&amp;"0000"&amp;"|"&amp;"2"&amp;RIGHT("00000"&amp;1399,5))</f>
        <v/>
      </c>
      <c r="U1404">
        <f>IF($T1404="","",COUNTIFS(LdAParty,$P1404,LdAType,1,LdAKey,"&lt;"&amp;$T1404)+COUNTIFS(LdBMember,$P1404,LdBKey,"&lt;"&amp;$T1404)+COUNTIFS(LdCParty,$P1404,LdCKey,"&lt;"&amp;$T1404)+1)</f>
        <v/>
      </c>
      <c r="V1404">
        <f>IF($U1404="","",$P1404&amp;"|"&amp;RIGHT("000000"&amp;$U1404,6))</f>
        <v/>
      </c>
      <c r="W1404">
        <f>IF($T1404="","",COUNTIFS(LdBGroup,$R1404,LdBKey,"&lt;"&amp;$T1404)+1)</f>
        <v/>
      </c>
      <c r="X1404">
        <f>IF($W1404="","",$R1404&amp;"|"&amp;RIGHT("000000"&amp;$W1404,6))</f>
        <v/>
      </c>
      <c r="Y1404">
        <f>IF($P1404="","",IF(Shares!$E1407="",0,Shares!$E1407))</f>
        <v/>
      </c>
      <c r="Z1404">
        <f>IF($P1404="","",Shares!$H1407)</f>
        <v/>
      </c>
      <c r="AE1404">
        <f>IF(OR(Sync!$S1404="",Sync!$P1404=""),"",Sync!$S1404)</f>
        <v/>
      </c>
      <c r="AF1404">
        <f>IF($AE1404="","",IF(ISNUMBER(Sync!$P1404),IF(AND(Sync!$P1404&gt;=10000101,Sync!$P1404&lt;=99991231),INT(Sync!$P1404/10000),""),IFERROR(VALUE(TRIM(LEFT(Sync!$P1404,FIND("/",Sync!$P1404)-1))),"")))</f>
        <v/>
      </c>
      <c r="AG1404">
        <f>IF(OR($AE1404="",$AF1404=""),"",IF(ISNUMBER(Sync!$P1404),INT(MOD(Sync!$P1404,10000)/100),IFERROR(VALUE(TRIM(LEFT(MID(Sync!$P1404,FIND("/",Sync!$P1404)+1,20),FIND("/",MID(Sync!$P1404,FIND("/",Sync!$P1404)+1,20))-1))),"")))</f>
        <v/>
      </c>
      <c r="AH1404">
        <f>IF(OR($AE1404="",$AF1404=""),"",IF(ISNUMBER(Sync!$P1404),MOD(Sync!$P1404,100),IFERROR(VALUE(TRIM(MID(MID(Sync!$P1404,FIND("/",Sync!$P1404)+1,20),FIND("/",MID(Sync!$P1404,FIND("/",Sync!$P1404)+1,20))+1,20))),"")))</f>
        <v/>
      </c>
      <c r="AI1404">
        <f>IF($AE1404="","",IF(OR($AF1404="",$AG1404="",$AH1404="",$AF1404&lt;1300,$AF1404&gt;1500,$AG1404&lt;1,$AG1404&gt;12,$AH1404&lt;1,$AH1404&gt;31),"نامعتبر",RIGHT("0000"&amp;$AF1404,4)&amp;"/"&amp;RIGHT("00"&amp;$AG1404,2)&amp;"/"&amp;RIGHT("00"&amp;$AH1404,2)))</f>
        <v/>
      </c>
      <c r="AJ1404">
        <f>IF($AE1404="","",IF(Sync!$Q1404="","0000",IF(AND(ISNUMBER(Sync!$Q1404),Sync!$Q1404&gt;=0,Sync!$Q1404&lt;1),RIGHT("00"&amp;HOUR(Sync!$Q1404),2)&amp;RIGHT("00"&amp;MINUTE(Sync!$Q1404),2),IFERROR(RIGHT("00"&amp;VALUE(LEFT(Sync!$Q1404,FIND(":",Sync!$Q1404)-1)),2)&amp;RIGHT("00"&amp;VALUE(MID(Sync!$Q1404,FIND(":",Sync!$Q1404)+1,2)),2),"0000"))))</f>
        <v/>
      </c>
      <c r="AK1404">
        <f>IF(OR($AE1404="",$AI1404="",$AI1404="نامعتبر"),"",LEFT($AI1404,4)&amp;MID($AI1404,6,2)&amp;RIGHT($AI1404,2)&amp;$AJ1404&amp;"|"&amp;"3"&amp;RIGHT("00000"&amp;1399,5))</f>
        <v/>
      </c>
      <c r="AL1404">
        <f>IF($AK1404="","",COUNTIFS(LdAParty,$AE1404,LdAType,1,LdAKey,"&lt;"&amp;$AK1404)+COUNTIFS(LdBMember,$AE1404,LdBKey,"&lt;"&amp;$AK1404)+COUNTIFS(LdCParty,$AE1404,LdCKey,"&lt;"&amp;$AK1404)+1)</f>
        <v/>
      </c>
      <c r="AM1404">
        <f>IF($AL1404="","",$AE1404&amp;"|"&amp;RIGHT("000000"&amp;$AL1404,6))</f>
        <v/>
      </c>
      <c r="AN1404">
        <f>IF($AE1404="","",IF(Sync!$W1404="",0,Sync!$W1404))</f>
        <v/>
      </c>
      <c r="AO1404">
        <f>IF($AE1404="","",IF(Sync!$X1404="",0,Sync!$X1404))</f>
        <v/>
      </c>
      <c r="AP1404">
        <f>IF($AE1404="","",Sync!$R1404)</f>
        <v/>
      </c>
      <c r="AQ1404">
        <f>IF($AE1404="","",Sync!$Y1404)</f>
        <v/>
      </c>
    </row>
    <row r="1405">
      <c r="A1405">
        <f>IF(OR(Wages!$B1408="",Wages!$E1408=""),"",Wages!$E1408)</f>
        <v/>
      </c>
      <c r="B1405">
        <f>IF($A1405="","",IF(Wages!$C1408="دستمزد گروهی",2,1))</f>
        <v/>
      </c>
      <c r="C1405">
        <f>IF($A1405="","",IF(ISNUMBER(Wages!$B1408),IF(AND(Wages!$B1408&gt;=10000101,Wages!$B1408&lt;=99991231),INT(Wages!$B1408/10000),""),IFERROR(VALUE(TRIM(LEFT(Wages!$B1408,FIND("/",Wages!$B1408)-1))),"")))</f>
        <v/>
      </c>
      <c r="D1405">
        <f>IF(OR($A1405="",$C1405=""),"",IF(ISNUMBER(Wages!$B1408),INT(MOD(Wages!$B1408,10000)/100),IFERROR(VALUE(TRIM(LEFT(MID(Wages!$B1408,FIND("/",Wages!$B1408)+1,20),FIND("/",MID(Wages!$B1408,FIND("/",Wages!$B1408)+1,20))-1))),"")))</f>
        <v/>
      </c>
      <c r="E1405">
        <f>IF(OR($A1405="",$C1405=""),"",IF(ISNUMBER(Wages!$B1408),MOD(Wages!$B1408,100),IFERROR(VALUE(TRIM(MID(MID(Wages!$B1408,FIND("/",Wages!$B1408)+1,20),FIND("/",MID(Wages!$B1408,FIND("/",Wages!$B1408)+1,20))+1,20))),"")))</f>
        <v/>
      </c>
      <c r="F1405">
        <f>IF($A1405="","",IF(OR($C1405="",$D1405="",$E1405="",$C1405&lt;1300,$C1405&gt;1500,$D1405&lt;1,$D1405&gt;12,$E1405&lt;1,$E1405&gt;31),"نامعتبر",RIGHT("0000"&amp;$C1405,4)&amp;"/"&amp;RIGHT("00"&amp;$D1405,2)&amp;"/"&amp;RIGHT("00"&amp;$E1405,2)))</f>
        <v/>
      </c>
      <c r="G1405">
        <f>IF(OR($A1405="",$F1405="",$F1405="نامعتبر"),"",LEFT($F1405,4)&amp;MID($F1405,6,2)&amp;RIGHT($F1405,2)&amp;"0000"&amp;"|"&amp;"1"&amp;RIGHT("00000"&amp;1400,5))</f>
        <v/>
      </c>
      <c r="H1405">
        <f>IF(OR($B1405&lt;&gt;1,$G1405=""),"",COUNTIFS(LdAParty,$A1405,LdAType,1,LdAKey,"&lt;"&amp;$G1405)+COUNTIFS(LdBMember,$A1405,LdBKey,"&lt;"&amp;$G1405)+COUNTIFS(LdCParty,$A1405,LdCKey,"&lt;"&amp;$G1405)+1)</f>
        <v/>
      </c>
      <c r="I1405">
        <f>IF($H1405="","",$A1405&amp;"|"&amp;RIGHT("000000"&amp;$H1405,6))</f>
        <v/>
      </c>
      <c r="J1405">
        <f>IF(OR($B1405&lt;&gt;2,$G1405=""),"",COUNTIFS(LdAParty,$A1405,LdAType,2,LdAKey,"&lt;"&amp;$G1405)+1)</f>
        <v/>
      </c>
      <c r="K1405">
        <f>IF($J1405="","",$A1405&amp;"|"&amp;RIGHT("000000"&amp;$J1405,6))</f>
        <v/>
      </c>
      <c r="L1405">
        <f>IF($A1405="","",IF(Wages!$G1408="",0,Wages!$G1408))</f>
        <v/>
      </c>
      <c r="M1405">
        <f>IF($A1405="","",Wages!$J1408)</f>
        <v/>
      </c>
      <c r="N1405">
        <f>IF($A1405="","",Wages!$D1408)</f>
        <v/>
      </c>
      <c r="P1405">
        <f>IF(OR(Shares!$B1408="",Shares!$C1408=""),"",Shares!$C1408)</f>
        <v/>
      </c>
      <c r="Q1405">
        <f>IF($P1405="","",Shares!$B1408)</f>
        <v/>
      </c>
      <c r="R1405">
        <f>IF($P1405="","",IFERROR(INDEX(WageParty,MATCH($Q1405,WageIds,0)),""))</f>
        <v/>
      </c>
      <c r="S1405">
        <f>IF($P1405="","",IFERROR(INDEX($F$6:$F$2005,MATCH($Q1405,WageIds,0)),""))</f>
        <v/>
      </c>
      <c r="T1405">
        <f>IF(OR($P1405="",$S1405="",$S1405="نامعتبر"),"",LEFT($S1405,4)&amp;MID($S1405,6,2)&amp;RIGHT($S1405,2)&amp;"0000"&amp;"|"&amp;"2"&amp;RIGHT("00000"&amp;1400,5))</f>
        <v/>
      </c>
      <c r="U1405">
        <f>IF($T1405="","",COUNTIFS(LdAParty,$P1405,LdAType,1,LdAKey,"&lt;"&amp;$T1405)+COUNTIFS(LdBMember,$P1405,LdBKey,"&lt;"&amp;$T1405)+COUNTIFS(LdCParty,$P1405,LdCKey,"&lt;"&amp;$T1405)+1)</f>
        <v/>
      </c>
      <c r="V1405">
        <f>IF($U1405="","",$P1405&amp;"|"&amp;RIGHT("000000"&amp;$U1405,6))</f>
        <v/>
      </c>
      <c r="W1405">
        <f>IF($T1405="","",COUNTIFS(LdBGroup,$R1405,LdBKey,"&lt;"&amp;$T1405)+1)</f>
        <v/>
      </c>
      <c r="X1405">
        <f>IF($W1405="","",$R1405&amp;"|"&amp;RIGHT("000000"&amp;$W1405,6))</f>
        <v/>
      </c>
      <c r="Y1405">
        <f>IF($P1405="","",IF(Shares!$E1408="",0,Shares!$E1408))</f>
        <v/>
      </c>
      <c r="Z1405">
        <f>IF($P1405="","",Shares!$H1408)</f>
        <v/>
      </c>
      <c r="AE1405">
        <f>IF(OR(Sync!$S1405="",Sync!$P1405=""),"",Sync!$S1405)</f>
        <v/>
      </c>
      <c r="AF1405">
        <f>IF($AE1405="","",IF(ISNUMBER(Sync!$P1405),IF(AND(Sync!$P1405&gt;=10000101,Sync!$P1405&lt;=99991231),INT(Sync!$P1405/10000),""),IFERROR(VALUE(TRIM(LEFT(Sync!$P1405,FIND("/",Sync!$P1405)-1))),"")))</f>
        <v/>
      </c>
      <c r="AG1405">
        <f>IF(OR($AE1405="",$AF1405=""),"",IF(ISNUMBER(Sync!$P1405),INT(MOD(Sync!$P1405,10000)/100),IFERROR(VALUE(TRIM(LEFT(MID(Sync!$P1405,FIND("/",Sync!$P1405)+1,20),FIND("/",MID(Sync!$P1405,FIND("/",Sync!$P1405)+1,20))-1))),"")))</f>
        <v/>
      </c>
      <c r="AH1405">
        <f>IF(OR($AE1405="",$AF1405=""),"",IF(ISNUMBER(Sync!$P1405),MOD(Sync!$P1405,100),IFERROR(VALUE(TRIM(MID(MID(Sync!$P1405,FIND("/",Sync!$P1405)+1,20),FIND("/",MID(Sync!$P1405,FIND("/",Sync!$P1405)+1,20))+1,20))),"")))</f>
        <v/>
      </c>
      <c r="AI1405">
        <f>IF($AE1405="","",IF(OR($AF1405="",$AG1405="",$AH1405="",$AF1405&lt;1300,$AF1405&gt;1500,$AG1405&lt;1,$AG1405&gt;12,$AH1405&lt;1,$AH1405&gt;31),"نامعتبر",RIGHT("0000"&amp;$AF1405,4)&amp;"/"&amp;RIGHT("00"&amp;$AG1405,2)&amp;"/"&amp;RIGHT("00"&amp;$AH1405,2)))</f>
        <v/>
      </c>
      <c r="AJ1405">
        <f>IF($AE1405="","",IF(Sync!$Q1405="","0000",IF(AND(ISNUMBER(Sync!$Q1405),Sync!$Q1405&gt;=0,Sync!$Q1405&lt;1),RIGHT("00"&amp;HOUR(Sync!$Q1405),2)&amp;RIGHT("00"&amp;MINUTE(Sync!$Q1405),2),IFERROR(RIGHT("00"&amp;VALUE(LEFT(Sync!$Q1405,FIND(":",Sync!$Q1405)-1)),2)&amp;RIGHT("00"&amp;VALUE(MID(Sync!$Q1405,FIND(":",Sync!$Q1405)+1,2)),2),"0000"))))</f>
        <v/>
      </c>
      <c r="AK1405">
        <f>IF(OR($AE1405="",$AI1405="",$AI1405="نامعتبر"),"",LEFT($AI1405,4)&amp;MID($AI1405,6,2)&amp;RIGHT($AI1405,2)&amp;$AJ1405&amp;"|"&amp;"3"&amp;RIGHT("00000"&amp;1400,5))</f>
        <v/>
      </c>
      <c r="AL1405">
        <f>IF($AK1405="","",COUNTIFS(LdAParty,$AE1405,LdAType,1,LdAKey,"&lt;"&amp;$AK1405)+COUNTIFS(LdBMember,$AE1405,LdBKey,"&lt;"&amp;$AK1405)+COUNTIFS(LdCParty,$AE1405,LdCKey,"&lt;"&amp;$AK1405)+1)</f>
        <v/>
      </c>
      <c r="AM1405">
        <f>IF($AL1405="","",$AE1405&amp;"|"&amp;RIGHT("000000"&amp;$AL1405,6))</f>
        <v/>
      </c>
      <c r="AN1405">
        <f>IF($AE1405="","",IF(Sync!$W1405="",0,Sync!$W1405))</f>
        <v/>
      </c>
      <c r="AO1405">
        <f>IF($AE1405="","",IF(Sync!$X1405="",0,Sync!$X1405))</f>
        <v/>
      </c>
      <c r="AP1405">
        <f>IF($AE1405="","",Sync!$R1405)</f>
        <v/>
      </c>
      <c r="AQ1405">
        <f>IF($AE1405="","",Sync!$Y1405)</f>
        <v/>
      </c>
    </row>
    <row r="1406">
      <c r="A1406">
        <f>IF(OR(Wages!$B1409="",Wages!$E1409=""),"",Wages!$E1409)</f>
        <v/>
      </c>
      <c r="B1406">
        <f>IF($A1406="","",IF(Wages!$C1409="دستمزد گروهی",2,1))</f>
        <v/>
      </c>
      <c r="C1406">
        <f>IF($A1406="","",IF(ISNUMBER(Wages!$B1409),IF(AND(Wages!$B1409&gt;=10000101,Wages!$B1409&lt;=99991231),INT(Wages!$B1409/10000),""),IFERROR(VALUE(TRIM(LEFT(Wages!$B1409,FIND("/",Wages!$B1409)-1))),"")))</f>
        <v/>
      </c>
      <c r="D1406">
        <f>IF(OR($A1406="",$C1406=""),"",IF(ISNUMBER(Wages!$B1409),INT(MOD(Wages!$B1409,10000)/100),IFERROR(VALUE(TRIM(LEFT(MID(Wages!$B1409,FIND("/",Wages!$B1409)+1,20),FIND("/",MID(Wages!$B1409,FIND("/",Wages!$B1409)+1,20))-1))),"")))</f>
        <v/>
      </c>
      <c r="E1406">
        <f>IF(OR($A1406="",$C1406=""),"",IF(ISNUMBER(Wages!$B1409),MOD(Wages!$B1409,100),IFERROR(VALUE(TRIM(MID(MID(Wages!$B1409,FIND("/",Wages!$B1409)+1,20),FIND("/",MID(Wages!$B1409,FIND("/",Wages!$B1409)+1,20))+1,20))),"")))</f>
        <v/>
      </c>
      <c r="F1406">
        <f>IF($A1406="","",IF(OR($C1406="",$D1406="",$E1406="",$C1406&lt;1300,$C1406&gt;1500,$D1406&lt;1,$D1406&gt;12,$E1406&lt;1,$E1406&gt;31),"نامعتبر",RIGHT("0000"&amp;$C1406,4)&amp;"/"&amp;RIGHT("00"&amp;$D1406,2)&amp;"/"&amp;RIGHT("00"&amp;$E1406,2)))</f>
        <v/>
      </c>
      <c r="G1406">
        <f>IF(OR($A1406="",$F1406="",$F1406="نامعتبر"),"",LEFT($F1406,4)&amp;MID($F1406,6,2)&amp;RIGHT($F1406,2)&amp;"0000"&amp;"|"&amp;"1"&amp;RIGHT("00000"&amp;1401,5))</f>
        <v/>
      </c>
      <c r="H1406">
        <f>IF(OR($B1406&lt;&gt;1,$G1406=""),"",COUNTIFS(LdAParty,$A1406,LdAType,1,LdAKey,"&lt;"&amp;$G1406)+COUNTIFS(LdBMember,$A1406,LdBKey,"&lt;"&amp;$G1406)+COUNTIFS(LdCParty,$A1406,LdCKey,"&lt;"&amp;$G1406)+1)</f>
        <v/>
      </c>
      <c r="I1406">
        <f>IF($H1406="","",$A1406&amp;"|"&amp;RIGHT("000000"&amp;$H1406,6))</f>
        <v/>
      </c>
      <c r="J1406">
        <f>IF(OR($B1406&lt;&gt;2,$G1406=""),"",COUNTIFS(LdAParty,$A1406,LdAType,2,LdAKey,"&lt;"&amp;$G1406)+1)</f>
        <v/>
      </c>
      <c r="K1406">
        <f>IF($J1406="","",$A1406&amp;"|"&amp;RIGHT("000000"&amp;$J1406,6))</f>
        <v/>
      </c>
      <c r="L1406">
        <f>IF($A1406="","",IF(Wages!$G1409="",0,Wages!$G1409))</f>
        <v/>
      </c>
      <c r="M1406">
        <f>IF($A1406="","",Wages!$J1409)</f>
        <v/>
      </c>
      <c r="N1406">
        <f>IF($A1406="","",Wages!$D1409)</f>
        <v/>
      </c>
      <c r="P1406">
        <f>IF(OR(Shares!$B1409="",Shares!$C1409=""),"",Shares!$C1409)</f>
        <v/>
      </c>
      <c r="Q1406">
        <f>IF($P1406="","",Shares!$B1409)</f>
        <v/>
      </c>
      <c r="R1406">
        <f>IF($P1406="","",IFERROR(INDEX(WageParty,MATCH($Q1406,WageIds,0)),""))</f>
        <v/>
      </c>
      <c r="S1406">
        <f>IF($P1406="","",IFERROR(INDEX($F$6:$F$2005,MATCH($Q1406,WageIds,0)),""))</f>
        <v/>
      </c>
      <c r="T1406">
        <f>IF(OR($P1406="",$S1406="",$S1406="نامعتبر"),"",LEFT($S1406,4)&amp;MID($S1406,6,2)&amp;RIGHT($S1406,2)&amp;"0000"&amp;"|"&amp;"2"&amp;RIGHT("00000"&amp;1401,5))</f>
        <v/>
      </c>
      <c r="U1406">
        <f>IF($T1406="","",COUNTIFS(LdAParty,$P1406,LdAType,1,LdAKey,"&lt;"&amp;$T1406)+COUNTIFS(LdBMember,$P1406,LdBKey,"&lt;"&amp;$T1406)+COUNTIFS(LdCParty,$P1406,LdCKey,"&lt;"&amp;$T1406)+1)</f>
        <v/>
      </c>
      <c r="V1406">
        <f>IF($U1406="","",$P1406&amp;"|"&amp;RIGHT("000000"&amp;$U1406,6))</f>
        <v/>
      </c>
      <c r="W1406">
        <f>IF($T1406="","",COUNTIFS(LdBGroup,$R1406,LdBKey,"&lt;"&amp;$T1406)+1)</f>
        <v/>
      </c>
      <c r="X1406">
        <f>IF($W1406="","",$R1406&amp;"|"&amp;RIGHT("000000"&amp;$W1406,6))</f>
        <v/>
      </c>
      <c r="Y1406">
        <f>IF($P1406="","",IF(Shares!$E1409="",0,Shares!$E1409))</f>
        <v/>
      </c>
      <c r="Z1406">
        <f>IF($P1406="","",Shares!$H1409)</f>
        <v/>
      </c>
      <c r="AE1406">
        <f>IF(OR(Sync!$S1406="",Sync!$P1406=""),"",Sync!$S1406)</f>
        <v/>
      </c>
      <c r="AF1406">
        <f>IF($AE1406="","",IF(ISNUMBER(Sync!$P1406),IF(AND(Sync!$P1406&gt;=10000101,Sync!$P1406&lt;=99991231),INT(Sync!$P1406/10000),""),IFERROR(VALUE(TRIM(LEFT(Sync!$P1406,FIND("/",Sync!$P1406)-1))),"")))</f>
        <v/>
      </c>
      <c r="AG1406">
        <f>IF(OR($AE1406="",$AF1406=""),"",IF(ISNUMBER(Sync!$P1406),INT(MOD(Sync!$P1406,10000)/100),IFERROR(VALUE(TRIM(LEFT(MID(Sync!$P1406,FIND("/",Sync!$P1406)+1,20),FIND("/",MID(Sync!$P1406,FIND("/",Sync!$P1406)+1,20))-1))),"")))</f>
        <v/>
      </c>
      <c r="AH1406">
        <f>IF(OR($AE1406="",$AF1406=""),"",IF(ISNUMBER(Sync!$P1406),MOD(Sync!$P1406,100),IFERROR(VALUE(TRIM(MID(MID(Sync!$P1406,FIND("/",Sync!$P1406)+1,20),FIND("/",MID(Sync!$P1406,FIND("/",Sync!$P1406)+1,20))+1,20))),"")))</f>
        <v/>
      </c>
      <c r="AI1406">
        <f>IF($AE1406="","",IF(OR($AF1406="",$AG1406="",$AH1406="",$AF1406&lt;1300,$AF1406&gt;1500,$AG1406&lt;1,$AG1406&gt;12,$AH1406&lt;1,$AH1406&gt;31),"نامعتبر",RIGHT("0000"&amp;$AF1406,4)&amp;"/"&amp;RIGHT("00"&amp;$AG1406,2)&amp;"/"&amp;RIGHT("00"&amp;$AH1406,2)))</f>
        <v/>
      </c>
      <c r="AJ1406">
        <f>IF($AE1406="","",IF(Sync!$Q1406="","0000",IF(AND(ISNUMBER(Sync!$Q1406),Sync!$Q1406&gt;=0,Sync!$Q1406&lt;1),RIGHT("00"&amp;HOUR(Sync!$Q1406),2)&amp;RIGHT("00"&amp;MINUTE(Sync!$Q1406),2),IFERROR(RIGHT("00"&amp;VALUE(LEFT(Sync!$Q1406,FIND(":",Sync!$Q1406)-1)),2)&amp;RIGHT("00"&amp;VALUE(MID(Sync!$Q1406,FIND(":",Sync!$Q1406)+1,2)),2),"0000"))))</f>
        <v/>
      </c>
      <c r="AK1406">
        <f>IF(OR($AE1406="",$AI1406="",$AI1406="نامعتبر"),"",LEFT($AI1406,4)&amp;MID($AI1406,6,2)&amp;RIGHT($AI1406,2)&amp;$AJ1406&amp;"|"&amp;"3"&amp;RIGHT("00000"&amp;1401,5))</f>
        <v/>
      </c>
      <c r="AL1406">
        <f>IF($AK1406="","",COUNTIFS(LdAParty,$AE1406,LdAType,1,LdAKey,"&lt;"&amp;$AK1406)+COUNTIFS(LdBMember,$AE1406,LdBKey,"&lt;"&amp;$AK1406)+COUNTIFS(LdCParty,$AE1406,LdCKey,"&lt;"&amp;$AK1406)+1)</f>
        <v/>
      </c>
      <c r="AM1406">
        <f>IF($AL1406="","",$AE1406&amp;"|"&amp;RIGHT("000000"&amp;$AL1406,6))</f>
        <v/>
      </c>
      <c r="AN1406">
        <f>IF($AE1406="","",IF(Sync!$W1406="",0,Sync!$W1406))</f>
        <v/>
      </c>
      <c r="AO1406">
        <f>IF($AE1406="","",IF(Sync!$X1406="",0,Sync!$X1406))</f>
        <v/>
      </c>
      <c r="AP1406">
        <f>IF($AE1406="","",Sync!$R1406)</f>
        <v/>
      </c>
      <c r="AQ1406">
        <f>IF($AE1406="","",Sync!$Y1406)</f>
        <v/>
      </c>
    </row>
    <row r="1407">
      <c r="A1407">
        <f>IF(OR(Wages!$B1410="",Wages!$E1410=""),"",Wages!$E1410)</f>
        <v/>
      </c>
      <c r="B1407">
        <f>IF($A1407="","",IF(Wages!$C1410="دستمزد گروهی",2,1))</f>
        <v/>
      </c>
      <c r="C1407">
        <f>IF($A1407="","",IF(ISNUMBER(Wages!$B1410),IF(AND(Wages!$B1410&gt;=10000101,Wages!$B1410&lt;=99991231),INT(Wages!$B1410/10000),""),IFERROR(VALUE(TRIM(LEFT(Wages!$B1410,FIND("/",Wages!$B1410)-1))),"")))</f>
        <v/>
      </c>
      <c r="D1407">
        <f>IF(OR($A1407="",$C1407=""),"",IF(ISNUMBER(Wages!$B1410),INT(MOD(Wages!$B1410,10000)/100),IFERROR(VALUE(TRIM(LEFT(MID(Wages!$B1410,FIND("/",Wages!$B1410)+1,20),FIND("/",MID(Wages!$B1410,FIND("/",Wages!$B1410)+1,20))-1))),"")))</f>
        <v/>
      </c>
      <c r="E1407">
        <f>IF(OR($A1407="",$C1407=""),"",IF(ISNUMBER(Wages!$B1410),MOD(Wages!$B1410,100),IFERROR(VALUE(TRIM(MID(MID(Wages!$B1410,FIND("/",Wages!$B1410)+1,20),FIND("/",MID(Wages!$B1410,FIND("/",Wages!$B1410)+1,20))+1,20))),"")))</f>
        <v/>
      </c>
      <c r="F1407">
        <f>IF($A1407="","",IF(OR($C1407="",$D1407="",$E1407="",$C1407&lt;1300,$C1407&gt;1500,$D1407&lt;1,$D1407&gt;12,$E1407&lt;1,$E1407&gt;31),"نامعتبر",RIGHT("0000"&amp;$C1407,4)&amp;"/"&amp;RIGHT("00"&amp;$D1407,2)&amp;"/"&amp;RIGHT("00"&amp;$E1407,2)))</f>
        <v/>
      </c>
      <c r="G1407">
        <f>IF(OR($A1407="",$F1407="",$F1407="نامعتبر"),"",LEFT($F1407,4)&amp;MID($F1407,6,2)&amp;RIGHT($F1407,2)&amp;"0000"&amp;"|"&amp;"1"&amp;RIGHT("00000"&amp;1402,5))</f>
        <v/>
      </c>
      <c r="H1407">
        <f>IF(OR($B1407&lt;&gt;1,$G1407=""),"",COUNTIFS(LdAParty,$A1407,LdAType,1,LdAKey,"&lt;"&amp;$G1407)+COUNTIFS(LdBMember,$A1407,LdBKey,"&lt;"&amp;$G1407)+COUNTIFS(LdCParty,$A1407,LdCKey,"&lt;"&amp;$G1407)+1)</f>
        <v/>
      </c>
      <c r="I1407">
        <f>IF($H1407="","",$A1407&amp;"|"&amp;RIGHT("000000"&amp;$H1407,6))</f>
        <v/>
      </c>
      <c r="J1407">
        <f>IF(OR($B1407&lt;&gt;2,$G1407=""),"",COUNTIFS(LdAParty,$A1407,LdAType,2,LdAKey,"&lt;"&amp;$G1407)+1)</f>
        <v/>
      </c>
      <c r="K1407">
        <f>IF($J1407="","",$A1407&amp;"|"&amp;RIGHT("000000"&amp;$J1407,6))</f>
        <v/>
      </c>
      <c r="L1407">
        <f>IF($A1407="","",IF(Wages!$G1410="",0,Wages!$G1410))</f>
        <v/>
      </c>
      <c r="M1407">
        <f>IF($A1407="","",Wages!$J1410)</f>
        <v/>
      </c>
      <c r="N1407">
        <f>IF($A1407="","",Wages!$D1410)</f>
        <v/>
      </c>
      <c r="P1407">
        <f>IF(OR(Shares!$B1410="",Shares!$C1410=""),"",Shares!$C1410)</f>
        <v/>
      </c>
      <c r="Q1407">
        <f>IF($P1407="","",Shares!$B1410)</f>
        <v/>
      </c>
      <c r="R1407">
        <f>IF($P1407="","",IFERROR(INDEX(WageParty,MATCH($Q1407,WageIds,0)),""))</f>
        <v/>
      </c>
      <c r="S1407">
        <f>IF($P1407="","",IFERROR(INDEX($F$6:$F$2005,MATCH($Q1407,WageIds,0)),""))</f>
        <v/>
      </c>
      <c r="T1407">
        <f>IF(OR($P1407="",$S1407="",$S1407="نامعتبر"),"",LEFT($S1407,4)&amp;MID($S1407,6,2)&amp;RIGHT($S1407,2)&amp;"0000"&amp;"|"&amp;"2"&amp;RIGHT("00000"&amp;1402,5))</f>
        <v/>
      </c>
      <c r="U1407">
        <f>IF($T1407="","",COUNTIFS(LdAParty,$P1407,LdAType,1,LdAKey,"&lt;"&amp;$T1407)+COUNTIFS(LdBMember,$P1407,LdBKey,"&lt;"&amp;$T1407)+COUNTIFS(LdCParty,$P1407,LdCKey,"&lt;"&amp;$T1407)+1)</f>
        <v/>
      </c>
      <c r="V1407">
        <f>IF($U1407="","",$P1407&amp;"|"&amp;RIGHT("000000"&amp;$U1407,6))</f>
        <v/>
      </c>
      <c r="W1407">
        <f>IF($T1407="","",COUNTIFS(LdBGroup,$R1407,LdBKey,"&lt;"&amp;$T1407)+1)</f>
        <v/>
      </c>
      <c r="X1407">
        <f>IF($W1407="","",$R1407&amp;"|"&amp;RIGHT("000000"&amp;$W1407,6))</f>
        <v/>
      </c>
      <c r="Y1407">
        <f>IF($P1407="","",IF(Shares!$E1410="",0,Shares!$E1410))</f>
        <v/>
      </c>
      <c r="Z1407">
        <f>IF($P1407="","",Shares!$H1410)</f>
        <v/>
      </c>
      <c r="AE1407">
        <f>IF(OR(Sync!$S1407="",Sync!$P1407=""),"",Sync!$S1407)</f>
        <v/>
      </c>
      <c r="AF1407">
        <f>IF($AE1407="","",IF(ISNUMBER(Sync!$P1407),IF(AND(Sync!$P1407&gt;=10000101,Sync!$P1407&lt;=99991231),INT(Sync!$P1407/10000),""),IFERROR(VALUE(TRIM(LEFT(Sync!$P1407,FIND("/",Sync!$P1407)-1))),"")))</f>
        <v/>
      </c>
      <c r="AG1407">
        <f>IF(OR($AE1407="",$AF1407=""),"",IF(ISNUMBER(Sync!$P1407),INT(MOD(Sync!$P1407,10000)/100),IFERROR(VALUE(TRIM(LEFT(MID(Sync!$P1407,FIND("/",Sync!$P1407)+1,20),FIND("/",MID(Sync!$P1407,FIND("/",Sync!$P1407)+1,20))-1))),"")))</f>
        <v/>
      </c>
      <c r="AH1407">
        <f>IF(OR($AE1407="",$AF1407=""),"",IF(ISNUMBER(Sync!$P1407),MOD(Sync!$P1407,100),IFERROR(VALUE(TRIM(MID(MID(Sync!$P1407,FIND("/",Sync!$P1407)+1,20),FIND("/",MID(Sync!$P1407,FIND("/",Sync!$P1407)+1,20))+1,20))),"")))</f>
        <v/>
      </c>
      <c r="AI1407">
        <f>IF($AE1407="","",IF(OR($AF1407="",$AG1407="",$AH1407="",$AF1407&lt;1300,$AF1407&gt;1500,$AG1407&lt;1,$AG1407&gt;12,$AH1407&lt;1,$AH1407&gt;31),"نامعتبر",RIGHT("0000"&amp;$AF1407,4)&amp;"/"&amp;RIGHT("00"&amp;$AG1407,2)&amp;"/"&amp;RIGHT("00"&amp;$AH1407,2)))</f>
        <v/>
      </c>
      <c r="AJ1407">
        <f>IF($AE1407="","",IF(Sync!$Q1407="","0000",IF(AND(ISNUMBER(Sync!$Q1407),Sync!$Q1407&gt;=0,Sync!$Q1407&lt;1),RIGHT("00"&amp;HOUR(Sync!$Q1407),2)&amp;RIGHT("00"&amp;MINUTE(Sync!$Q1407),2),IFERROR(RIGHT("00"&amp;VALUE(LEFT(Sync!$Q1407,FIND(":",Sync!$Q1407)-1)),2)&amp;RIGHT("00"&amp;VALUE(MID(Sync!$Q1407,FIND(":",Sync!$Q1407)+1,2)),2),"0000"))))</f>
        <v/>
      </c>
      <c r="AK1407">
        <f>IF(OR($AE1407="",$AI1407="",$AI1407="نامعتبر"),"",LEFT($AI1407,4)&amp;MID($AI1407,6,2)&amp;RIGHT($AI1407,2)&amp;$AJ1407&amp;"|"&amp;"3"&amp;RIGHT("00000"&amp;1402,5))</f>
        <v/>
      </c>
      <c r="AL1407">
        <f>IF($AK1407="","",COUNTIFS(LdAParty,$AE1407,LdAType,1,LdAKey,"&lt;"&amp;$AK1407)+COUNTIFS(LdBMember,$AE1407,LdBKey,"&lt;"&amp;$AK1407)+COUNTIFS(LdCParty,$AE1407,LdCKey,"&lt;"&amp;$AK1407)+1)</f>
        <v/>
      </c>
      <c r="AM1407">
        <f>IF($AL1407="","",$AE1407&amp;"|"&amp;RIGHT("000000"&amp;$AL1407,6))</f>
        <v/>
      </c>
      <c r="AN1407">
        <f>IF($AE1407="","",IF(Sync!$W1407="",0,Sync!$W1407))</f>
        <v/>
      </c>
      <c r="AO1407">
        <f>IF($AE1407="","",IF(Sync!$X1407="",0,Sync!$X1407))</f>
        <v/>
      </c>
      <c r="AP1407">
        <f>IF($AE1407="","",Sync!$R1407)</f>
        <v/>
      </c>
      <c r="AQ1407">
        <f>IF($AE1407="","",Sync!$Y1407)</f>
        <v/>
      </c>
    </row>
    <row r="1408">
      <c r="A1408">
        <f>IF(OR(Wages!$B1411="",Wages!$E1411=""),"",Wages!$E1411)</f>
        <v/>
      </c>
      <c r="B1408">
        <f>IF($A1408="","",IF(Wages!$C1411="دستمزد گروهی",2,1))</f>
        <v/>
      </c>
      <c r="C1408">
        <f>IF($A1408="","",IF(ISNUMBER(Wages!$B1411),IF(AND(Wages!$B1411&gt;=10000101,Wages!$B1411&lt;=99991231),INT(Wages!$B1411/10000),""),IFERROR(VALUE(TRIM(LEFT(Wages!$B1411,FIND("/",Wages!$B1411)-1))),"")))</f>
        <v/>
      </c>
      <c r="D1408">
        <f>IF(OR($A1408="",$C1408=""),"",IF(ISNUMBER(Wages!$B1411),INT(MOD(Wages!$B1411,10000)/100),IFERROR(VALUE(TRIM(LEFT(MID(Wages!$B1411,FIND("/",Wages!$B1411)+1,20),FIND("/",MID(Wages!$B1411,FIND("/",Wages!$B1411)+1,20))-1))),"")))</f>
        <v/>
      </c>
      <c r="E1408">
        <f>IF(OR($A1408="",$C1408=""),"",IF(ISNUMBER(Wages!$B1411),MOD(Wages!$B1411,100),IFERROR(VALUE(TRIM(MID(MID(Wages!$B1411,FIND("/",Wages!$B1411)+1,20),FIND("/",MID(Wages!$B1411,FIND("/",Wages!$B1411)+1,20))+1,20))),"")))</f>
        <v/>
      </c>
      <c r="F1408">
        <f>IF($A1408="","",IF(OR($C1408="",$D1408="",$E1408="",$C1408&lt;1300,$C1408&gt;1500,$D1408&lt;1,$D1408&gt;12,$E1408&lt;1,$E1408&gt;31),"نامعتبر",RIGHT("0000"&amp;$C1408,4)&amp;"/"&amp;RIGHT("00"&amp;$D1408,2)&amp;"/"&amp;RIGHT("00"&amp;$E1408,2)))</f>
        <v/>
      </c>
      <c r="G1408">
        <f>IF(OR($A1408="",$F1408="",$F1408="نامعتبر"),"",LEFT($F1408,4)&amp;MID($F1408,6,2)&amp;RIGHT($F1408,2)&amp;"0000"&amp;"|"&amp;"1"&amp;RIGHT("00000"&amp;1403,5))</f>
        <v/>
      </c>
      <c r="H1408">
        <f>IF(OR($B1408&lt;&gt;1,$G1408=""),"",COUNTIFS(LdAParty,$A1408,LdAType,1,LdAKey,"&lt;"&amp;$G1408)+COUNTIFS(LdBMember,$A1408,LdBKey,"&lt;"&amp;$G1408)+COUNTIFS(LdCParty,$A1408,LdCKey,"&lt;"&amp;$G1408)+1)</f>
        <v/>
      </c>
      <c r="I1408">
        <f>IF($H1408="","",$A1408&amp;"|"&amp;RIGHT("000000"&amp;$H1408,6))</f>
        <v/>
      </c>
      <c r="J1408">
        <f>IF(OR($B1408&lt;&gt;2,$G1408=""),"",COUNTIFS(LdAParty,$A1408,LdAType,2,LdAKey,"&lt;"&amp;$G1408)+1)</f>
        <v/>
      </c>
      <c r="K1408">
        <f>IF($J1408="","",$A1408&amp;"|"&amp;RIGHT("000000"&amp;$J1408,6))</f>
        <v/>
      </c>
      <c r="L1408">
        <f>IF($A1408="","",IF(Wages!$G1411="",0,Wages!$G1411))</f>
        <v/>
      </c>
      <c r="M1408">
        <f>IF($A1408="","",Wages!$J1411)</f>
        <v/>
      </c>
      <c r="N1408">
        <f>IF($A1408="","",Wages!$D1411)</f>
        <v/>
      </c>
      <c r="P1408">
        <f>IF(OR(Shares!$B1411="",Shares!$C1411=""),"",Shares!$C1411)</f>
        <v/>
      </c>
      <c r="Q1408">
        <f>IF($P1408="","",Shares!$B1411)</f>
        <v/>
      </c>
      <c r="R1408">
        <f>IF($P1408="","",IFERROR(INDEX(WageParty,MATCH($Q1408,WageIds,0)),""))</f>
        <v/>
      </c>
      <c r="S1408">
        <f>IF($P1408="","",IFERROR(INDEX($F$6:$F$2005,MATCH($Q1408,WageIds,0)),""))</f>
        <v/>
      </c>
      <c r="T1408">
        <f>IF(OR($P1408="",$S1408="",$S1408="نامعتبر"),"",LEFT($S1408,4)&amp;MID($S1408,6,2)&amp;RIGHT($S1408,2)&amp;"0000"&amp;"|"&amp;"2"&amp;RIGHT("00000"&amp;1403,5))</f>
        <v/>
      </c>
      <c r="U1408">
        <f>IF($T1408="","",COUNTIFS(LdAParty,$P1408,LdAType,1,LdAKey,"&lt;"&amp;$T1408)+COUNTIFS(LdBMember,$P1408,LdBKey,"&lt;"&amp;$T1408)+COUNTIFS(LdCParty,$P1408,LdCKey,"&lt;"&amp;$T1408)+1)</f>
        <v/>
      </c>
      <c r="V1408">
        <f>IF($U1408="","",$P1408&amp;"|"&amp;RIGHT("000000"&amp;$U1408,6))</f>
        <v/>
      </c>
      <c r="W1408">
        <f>IF($T1408="","",COUNTIFS(LdBGroup,$R1408,LdBKey,"&lt;"&amp;$T1408)+1)</f>
        <v/>
      </c>
      <c r="X1408">
        <f>IF($W1408="","",$R1408&amp;"|"&amp;RIGHT("000000"&amp;$W1408,6))</f>
        <v/>
      </c>
      <c r="Y1408">
        <f>IF($P1408="","",IF(Shares!$E1411="",0,Shares!$E1411))</f>
        <v/>
      </c>
      <c r="Z1408">
        <f>IF($P1408="","",Shares!$H1411)</f>
        <v/>
      </c>
      <c r="AE1408">
        <f>IF(OR(Sync!$S1408="",Sync!$P1408=""),"",Sync!$S1408)</f>
        <v/>
      </c>
      <c r="AF1408">
        <f>IF($AE1408="","",IF(ISNUMBER(Sync!$P1408),IF(AND(Sync!$P1408&gt;=10000101,Sync!$P1408&lt;=99991231),INT(Sync!$P1408/10000),""),IFERROR(VALUE(TRIM(LEFT(Sync!$P1408,FIND("/",Sync!$P1408)-1))),"")))</f>
        <v/>
      </c>
      <c r="AG1408">
        <f>IF(OR($AE1408="",$AF1408=""),"",IF(ISNUMBER(Sync!$P1408),INT(MOD(Sync!$P1408,10000)/100),IFERROR(VALUE(TRIM(LEFT(MID(Sync!$P1408,FIND("/",Sync!$P1408)+1,20),FIND("/",MID(Sync!$P1408,FIND("/",Sync!$P1408)+1,20))-1))),"")))</f>
        <v/>
      </c>
      <c r="AH1408">
        <f>IF(OR($AE1408="",$AF1408=""),"",IF(ISNUMBER(Sync!$P1408),MOD(Sync!$P1408,100),IFERROR(VALUE(TRIM(MID(MID(Sync!$P1408,FIND("/",Sync!$P1408)+1,20),FIND("/",MID(Sync!$P1408,FIND("/",Sync!$P1408)+1,20))+1,20))),"")))</f>
        <v/>
      </c>
      <c r="AI1408">
        <f>IF($AE1408="","",IF(OR($AF1408="",$AG1408="",$AH1408="",$AF1408&lt;1300,$AF1408&gt;1500,$AG1408&lt;1,$AG1408&gt;12,$AH1408&lt;1,$AH1408&gt;31),"نامعتبر",RIGHT("0000"&amp;$AF1408,4)&amp;"/"&amp;RIGHT("00"&amp;$AG1408,2)&amp;"/"&amp;RIGHT("00"&amp;$AH1408,2)))</f>
        <v/>
      </c>
      <c r="AJ1408">
        <f>IF($AE1408="","",IF(Sync!$Q1408="","0000",IF(AND(ISNUMBER(Sync!$Q1408),Sync!$Q1408&gt;=0,Sync!$Q1408&lt;1),RIGHT("00"&amp;HOUR(Sync!$Q1408),2)&amp;RIGHT("00"&amp;MINUTE(Sync!$Q1408),2),IFERROR(RIGHT("00"&amp;VALUE(LEFT(Sync!$Q1408,FIND(":",Sync!$Q1408)-1)),2)&amp;RIGHT("00"&amp;VALUE(MID(Sync!$Q1408,FIND(":",Sync!$Q1408)+1,2)),2),"0000"))))</f>
        <v/>
      </c>
      <c r="AK1408">
        <f>IF(OR($AE1408="",$AI1408="",$AI1408="نامعتبر"),"",LEFT($AI1408,4)&amp;MID($AI1408,6,2)&amp;RIGHT($AI1408,2)&amp;$AJ1408&amp;"|"&amp;"3"&amp;RIGHT("00000"&amp;1403,5))</f>
        <v/>
      </c>
      <c r="AL1408">
        <f>IF($AK1408="","",COUNTIFS(LdAParty,$AE1408,LdAType,1,LdAKey,"&lt;"&amp;$AK1408)+COUNTIFS(LdBMember,$AE1408,LdBKey,"&lt;"&amp;$AK1408)+COUNTIFS(LdCParty,$AE1408,LdCKey,"&lt;"&amp;$AK1408)+1)</f>
        <v/>
      </c>
      <c r="AM1408">
        <f>IF($AL1408="","",$AE1408&amp;"|"&amp;RIGHT("000000"&amp;$AL1408,6))</f>
        <v/>
      </c>
      <c r="AN1408">
        <f>IF($AE1408="","",IF(Sync!$W1408="",0,Sync!$W1408))</f>
        <v/>
      </c>
      <c r="AO1408">
        <f>IF($AE1408="","",IF(Sync!$X1408="",0,Sync!$X1408))</f>
        <v/>
      </c>
      <c r="AP1408">
        <f>IF($AE1408="","",Sync!$R1408)</f>
        <v/>
      </c>
      <c r="AQ1408">
        <f>IF($AE1408="","",Sync!$Y1408)</f>
        <v/>
      </c>
    </row>
    <row r="1409">
      <c r="A1409">
        <f>IF(OR(Wages!$B1412="",Wages!$E1412=""),"",Wages!$E1412)</f>
        <v/>
      </c>
      <c r="B1409">
        <f>IF($A1409="","",IF(Wages!$C1412="دستمزد گروهی",2,1))</f>
        <v/>
      </c>
      <c r="C1409">
        <f>IF($A1409="","",IF(ISNUMBER(Wages!$B1412),IF(AND(Wages!$B1412&gt;=10000101,Wages!$B1412&lt;=99991231),INT(Wages!$B1412/10000),""),IFERROR(VALUE(TRIM(LEFT(Wages!$B1412,FIND("/",Wages!$B1412)-1))),"")))</f>
        <v/>
      </c>
      <c r="D1409">
        <f>IF(OR($A1409="",$C1409=""),"",IF(ISNUMBER(Wages!$B1412),INT(MOD(Wages!$B1412,10000)/100),IFERROR(VALUE(TRIM(LEFT(MID(Wages!$B1412,FIND("/",Wages!$B1412)+1,20),FIND("/",MID(Wages!$B1412,FIND("/",Wages!$B1412)+1,20))-1))),"")))</f>
        <v/>
      </c>
      <c r="E1409">
        <f>IF(OR($A1409="",$C1409=""),"",IF(ISNUMBER(Wages!$B1412),MOD(Wages!$B1412,100),IFERROR(VALUE(TRIM(MID(MID(Wages!$B1412,FIND("/",Wages!$B1412)+1,20),FIND("/",MID(Wages!$B1412,FIND("/",Wages!$B1412)+1,20))+1,20))),"")))</f>
        <v/>
      </c>
      <c r="F1409">
        <f>IF($A1409="","",IF(OR($C1409="",$D1409="",$E1409="",$C1409&lt;1300,$C1409&gt;1500,$D1409&lt;1,$D1409&gt;12,$E1409&lt;1,$E1409&gt;31),"نامعتبر",RIGHT("0000"&amp;$C1409,4)&amp;"/"&amp;RIGHT("00"&amp;$D1409,2)&amp;"/"&amp;RIGHT("00"&amp;$E1409,2)))</f>
        <v/>
      </c>
      <c r="G1409">
        <f>IF(OR($A1409="",$F1409="",$F1409="نامعتبر"),"",LEFT($F1409,4)&amp;MID($F1409,6,2)&amp;RIGHT($F1409,2)&amp;"0000"&amp;"|"&amp;"1"&amp;RIGHT("00000"&amp;1404,5))</f>
        <v/>
      </c>
      <c r="H1409">
        <f>IF(OR($B1409&lt;&gt;1,$G1409=""),"",COUNTIFS(LdAParty,$A1409,LdAType,1,LdAKey,"&lt;"&amp;$G1409)+COUNTIFS(LdBMember,$A1409,LdBKey,"&lt;"&amp;$G1409)+COUNTIFS(LdCParty,$A1409,LdCKey,"&lt;"&amp;$G1409)+1)</f>
        <v/>
      </c>
      <c r="I1409">
        <f>IF($H1409="","",$A1409&amp;"|"&amp;RIGHT("000000"&amp;$H1409,6))</f>
        <v/>
      </c>
      <c r="J1409">
        <f>IF(OR($B1409&lt;&gt;2,$G1409=""),"",COUNTIFS(LdAParty,$A1409,LdAType,2,LdAKey,"&lt;"&amp;$G1409)+1)</f>
        <v/>
      </c>
      <c r="K1409">
        <f>IF($J1409="","",$A1409&amp;"|"&amp;RIGHT("000000"&amp;$J1409,6))</f>
        <v/>
      </c>
      <c r="L1409">
        <f>IF($A1409="","",IF(Wages!$G1412="",0,Wages!$G1412))</f>
        <v/>
      </c>
      <c r="M1409">
        <f>IF($A1409="","",Wages!$J1412)</f>
        <v/>
      </c>
      <c r="N1409">
        <f>IF($A1409="","",Wages!$D1412)</f>
        <v/>
      </c>
      <c r="P1409">
        <f>IF(OR(Shares!$B1412="",Shares!$C1412=""),"",Shares!$C1412)</f>
        <v/>
      </c>
      <c r="Q1409">
        <f>IF($P1409="","",Shares!$B1412)</f>
        <v/>
      </c>
      <c r="R1409">
        <f>IF($P1409="","",IFERROR(INDEX(WageParty,MATCH($Q1409,WageIds,0)),""))</f>
        <v/>
      </c>
      <c r="S1409">
        <f>IF($P1409="","",IFERROR(INDEX($F$6:$F$2005,MATCH($Q1409,WageIds,0)),""))</f>
        <v/>
      </c>
      <c r="T1409">
        <f>IF(OR($P1409="",$S1409="",$S1409="نامعتبر"),"",LEFT($S1409,4)&amp;MID($S1409,6,2)&amp;RIGHT($S1409,2)&amp;"0000"&amp;"|"&amp;"2"&amp;RIGHT("00000"&amp;1404,5))</f>
        <v/>
      </c>
      <c r="U1409">
        <f>IF($T1409="","",COUNTIFS(LdAParty,$P1409,LdAType,1,LdAKey,"&lt;"&amp;$T1409)+COUNTIFS(LdBMember,$P1409,LdBKey,"&lt;"&amp;$T1409)+COUNTIFS(LdCParty,$P1409,LdCKey,"&lt;"&amp;$T1409)+1)</f>
        <v/>
      </c>
      <c r="V1409">
        <f>IF($U1409="","",$P1409&amp;"|"&amp;RIGHT("000000"&amp;$U1409,6))</f>
        <v/>
      </c>
      <c r="W1409">
        <f>IF($T1409="","",COUNTIFS(LdBGroup,$R1409,LdBKey,"&lt;"&amp;$T1409)+1)</f>
        <v/>
      </c>
      <c r="X1409">
        <f>IF($W1409="","",$R1409&amp;"|"&amp;RIGHT("000000"&amp;$W1409,6))</f>
        <v/>
      </c>
      <c r="Y1409">
        <f>IF($P1409="","",IF(Shares!$E1412="",0,Shares!$E1412))</f>
        <v/>
      </c>
      <c r="Z1409">
        <f>IF($P1409="","",Shares!$H1412)</f>
        <v/>
      </c>
      <c r="AE1409">
        <f>IF(OR(Sync!$S1409="",Sync!$P1409=""),"",Sync!$S1409)</f>
        <v/>
      </c>
      <c r="AF1409">
        <f>IF($AE1409="","",IF(ISNUMBER(Sync!$P1409),IF(AND(Sync!$P1409&gt;=10000101,Sync!$P1409&lt;=99991231),INT(Sync!$P1409/10000),""),IFERROR(VALUE(TRIM(LEFT(Sync!$P1409,FIND("/",Sync!$P1409)-1))),"")))</f>
        <v/>
      </c>
      <c r="AG1409">
        <f>IF(OR($AE1409="",$AF1409=""),"",IF(ISNUMBER(Sync!$P1409),INT(MOD(Sync!$P1409,10000)/100),IFERROR(VALUE(TRIM(LEFT(MID(Sync!$P1409,FIND("/",Sync!$P1409)+1,20),FIND("/",MID(Sync!$P1409,FIND("/",Sync!$P1409)+1,20))-1))),"")))</f>
        <v/>
      </c>
      <c r="AH1409">
        <f>IF(OR($AE1409="",$AF1409=""),"",IF(ISNUMBER(Sync!$P1409),MOD(Sync!$P1409,100),IFERROR(VALUE(TRIM(MID(MID(Sync!$P1409,FIND("/",Sync!$P1409)+1,20),FIND("/",MID(Sync!$P1409,FIND("/",Sync!$P1409)+1,20))+1,20))),"")))</f>
        <v/>
      </c>
      <c r="AI1409">
        <f>IF($AE1409="","",IF(OR($AF1409="",$AG1409="",$AH1409="",$AF1409&lt;1300,$AF1409&gt;1500,$AG1409&lt;1,$AG1409&gt;12,$AH1409&lt;1,$AH1409&gt;31),"نامعتبر",RIGHT("0000"&amp;$AF1409,4)&amp;"/"&amp;RIGHT("00"&amp;$AG1409,2)&amp;"/"&amp;RIGHT("00"&amp;$AH1409,2)))</f>
        <v/>
      </c>
      <c r="AJ1409">
        <f>IF($AE1409="","",IF(Sync!$Q1409="","0000",IF(AND(ISNUMBER(Sync!$Q1409),Sync!$Q1409&gt;=0,Sync!$Q1409&lt;1),RIGHT("00"&amp;HOUR(Sync!$Q1409),2)&amp;RIGHT("00"&amp;MINUTE(Sync!$Q1409),2),IFERROR(RIGHT("00"&amp;VALUE(LEFT(Sync!$Q1409,FIND(":",Sync!$Q1409)-1)),2)&amp;RIGHT("00"&amp;VALUE(MID(Sync!$Q1409,FIND(":",Sync!$Q1409)+1,2)),2),"0000"))))</f>
        <v/>
      </c>
      <c r="AK1409">
        <f>IF(OR($AE1409="",$AI1409="",$AI1409="نامعتبر"),"",LEFT($AI1409,4)&amp;MID($AI1409,6,2)&amp;RIGHT($AI1409,2)&amp;$AJ1409&amp;"|"&amp;"3"&amp;RIGHT("00000"&amp;1404,5))</f>
        <v/>
      </c>
      <c r="AL1409">
        <f>IF($AK1409="","",COUNTIFS(LdAParty,$AE1409,LdAType,1,LdAKey,"&lt;"&amp;$AK1409)+COUNTIFS(LdBMember,$AE1409,LdBKey,"&lt;"&amp;$AK1409)+COUNTIFS(LdCParty,$AE1409,LdCKey,"&lt;"&amp;$AK1409)+1)</f>
        <v/>
      </c>
      <c r="AM1409">
        <f>IF($AL1409="","",$AE1409&amp;"|"&amp;RIGHT("000000"&amp;$AL1409,6))</f>
        <v/>
      </c>
      <c r="AN1409">
        <f>IF($AE1409="","",IF(Sync!$W1409="",0,Sync!$W1409))</f>
        <v/>
      </c>
      <c r="AO1409">
        <f>IF($AE1409="","",IF(Sync!$X1409="",0,Sync!$X1409))</f>
        <v/>
      </c>
      <c r="AP1409">
        <f>IF($AE1409="","",Sync!$R1409)</f>
        <v/>
      </c>
      <c r="AQ1409">
        <f>IF($AE1409="","",Sync!$Y1409)</f>
        <v/>
      </c>
    </row>
    <row r="1410">
      <c r="A1410">
        <f>IF(OR(Wages!$B1413="",Wages!$E1413=""),"",Wages!$E1413)</f>
        <v/>
      </c>
      <c r="B1410">
        <f>IF($A1410="","",IF(Wages!$C1413="دستمزد گروهی",2,1))</f>
        <v/>
      </c>
      <c r="C1410">
        <f>IF($A1410="","",IF(ISNUMBER(Wages!$B1413),IF(AND(Wages!$B1413&gt;=10000101,Wages!$B1413&lt;=99991231),INT(Wages!$B1413/10000),""),IFERROR(VALUE(TRIM(LEFT(Wages!$B1413,FIND("/",Wages!$B1413)-1))),"")))</f>
        <v/>
      </c>
      <c r="D1410">
        <f>IF(OR($A1410="",$C1410=""),"",IF(ISNUMBER(Wages!$B1413),INT(MOD(Wages!$B1413,10000)/100),IFERROR(VALUE(TRIM(LEFT(MID(Wages!$B1413,FIND("/",Wages!$B1413)+1,20),FIND("/",MID(Wages!$B1413,FIND("/",Wages!$B1413)+1,20))-1))),"")))</f>
        <v/>
      </c>
      <c r="E1410">
        <f>IF(OR($A1410="",$C1410=""),"",IF(ISNUMBER(Wages!$B1413),MOD(Wages!$B1413,100),IFERROR(VALUE(TRIM(MID(MID(Wages!$B1413,FIND("/",Wages!$B1413)+1,20),FIND("/",MID(Wages!$B1413,FIND("/",Wages!$B1413)+1,20))+1,20))),"")))</f>
        <v/>
      </c>
      <c r="F1410">
        <f>IF($A1410="","",IF(OR($C1410="",$D1410="",$E1410="",$C1410&lt;1300,$C1410&gt;1500,$D1410&lt;1,$D1410&gt;12,$E1410&lt;1,$E1410&gt;31),"نامعتبر",RIGHT("0000"&amp;$C1410,4)&amp;"/"&amp;RIGHT("00"&amp;$D1410,2)&amp;"/"&amp;RIGHT("00"&amp;$E1410,2)))</f>
        <v/>
      </c>
      <c r="G1410">
        <f>IF(OR($A1410="",$F1410="",$F1410="نامعتبر"),"",LEFT($F1410,4)&amp;MID($F1410,6,2)&amp;RIGHT($F1410,2)&amp;"0000"&amp;"|"&amp;"1"&amp;RIGHT("00000"&amp;1405,5))</f>
        <v/>
      </c>
      <c r="H1410">
        <f>IF(OR($B1410&lt;&gt;1,$G1410=""),"",COUNTIFS(LdAParty,$A1410,LdAType,1,LdAKey,"&lt;"&amp;$G1410)+COUNTIFS(LdBMember,$A1410,LdBKey,"&lt;"&amp;$G1410)+COUNTIFS(LdCParty,$A1410,LdCKey,"&lt;"&amp;$G1410)+1)</f>
        <v/>
      </c>
      <c r="I1410">
        <f>IF($H1410="","",$A1410&amp;"|"&amp;RIGHT("000000"&amp;$H1410,6))</f>
        <v/>
      </c>
      <c r="J1410">
        <f>IF(OR($B1410&lt;&gt;2,$G1410=""),"",COUNTIFS(LdAParty,$A1410,LdAType,2,LdAKey,"&lt;"&amp;$G1410)+1)</f>
        <v/>
      </c>
      <c r="K1410">
        <f>IF($J1410="","",$A1410&amp;"|"&amp;RIGHT("000000"&amp;$J1410,6))</f>
        <v/>
      </c>
      <c r="L1410">
        <f>IF($A1410="","",IF(Wages!$G1413="",0,Wages!$G1413))</f>
        <v/>
      </c>
      <c r="M1410">
        <f>IF($A1410="","",Wages!$J1413)</f>
        <v/>
      </c>
      <c r="N1410">
        <f>IF($A1410="","",Wages!$D1413)</f>
        <v/>
      </c>
      <c r="P1410">
        <f>IF(OR(Shares!$B1413="",Shares!$C1413=""),"",Shares!$C1413)</f>
        <v/>
      </c>
      <c r="Q1410">
        <f>IF($P1410="","",Shares!$B1413)</f>
        <v/>
      </c>
      <c r="R1410">
        <f>IF($P1410="","",IFERROR(INDEX(WageParty,MATCH($Q1410,WageIds,0)),""))</f>
        <v/>
      </c>
      <c r="S1410">
        <f>IF($P1410="","",IFERROR(INDEX($F$6:$F$2005,MATCH($Q1410,WageIds,0)),""))</f>
        <v/>
      </c>
      <c r="T1410">
        <f>IF(OR($P1410="",$S1410="",$S1410="نامعتبر"),"",LEFT($S1410,4)&amp;MID($S1410,6,2)&amp;RIGHT($S1410,2)&amp;"0000"&amp;"|"&amp;"2"&amp;RIGHT("00000"&amp;1405,5))</f>
        <v/>
      </c>
      <c r="U1410">
        <f>IF($T1410="","",COUNTIFS(LdAParty,$P1410,LdAType,1,LdAKey,"&lt;"&amp;$T1410)+COUNTIFS(LdBMember,$P1410,LdBKey,"&lt;"&amp;$T1410)+COUNTIFS(LdCParty,$P1410,LdCKey,"&lt;"&amp;$T1410)+1)</f>
        <v/>
      </c>
      <c r="V1410">
        <f>IF($U1410="","",$P1410&amp;"|"&amp;RIGHT("000000"&amp;$U1410,6))</f>
        <v/>
      </c>
      <c r="W1410">
        <f>IF($T1410="","",COUNTIFS(LdBGroup,$R1410,LdBKey,"&lt;"&amp;$T1410)+1)</f>
        <v/>
      </c>
      <c r="X1410">
        <f>IF($W1410="","",$R1410&amp;"|"&amp;RIGHT("000000"&amp;$W1410,6))</f>
        <v/>
      </c>
      <c r="Y1410">
        <f>IF($P1410="","",IF(Shares!$E1413="",0,Shares!$E1413))</f>
        <v/>
      </c>
      <c r="Z1410">
        <f>IF($P1410="","",Shares!$H1413)</f>
        <v/>
      </c>
      <c r="AE1410">
        <f>IF(OR(Sync!$S1410="",Sync!$P1410=""),"",Sync!$S1410)</f>
        <v/>
      </c>
      <c r="AF1410">
        <f>IF($AE1410="","",IF(ISNUMBER(Sync!$P1410),IF(AND(Sync!$P1410&gt;=10000101,Sync!$P1410&lt;=99991231),INT(Sync!$P1410/10000),""),IFERROR(VALUE(TRIM(LEFT(Sync!$P1410,FIND("/",Sync!$P1410)-1))),"")))</f>
        <v/>
      </c>
      <c r="AG1410">
        <f>IF(OR($AE1410="",$AF1410=""),"",IF(ISNUMBER(Sync!$P1410),INT(MOD(Sync!$P1410,10000)/100),IFERROR(VALUE(TRIM(LEFT(MID(Sync!$P1410,FIND("/",Sync!$P1410)+1,20),FIND("/",MID(Sync!$P1410,FIND("/",Sync!$P1410)+1,20))-1))),"")))</f>
        <v/>
      </c>
      <c r="AH1410">
        <f>IF(OR($AE1410="",$AF1410=""),"",IF(ISNUMBER(Sync!$P1410),MOD(Sync!$P1410,100),IFERROR(VALUE(TRIM(MID(MID(Sync!$P1410,FIND("/",Sync!$P1410)+1,20),FIND("/",MID(Sync!$P1410,FIND("/",Sync!$P1410)+1,20))+1,20))),"")))</f>
        <v/>
      </c>
      <c r="AI1410">
        <f>IF($AE1410="","",IF(OR($AF1410="",$AG1410="",$AH1410="",$AF1410&lt;1300,$AF1410&gt;1500,$AG1410&lt;1,$AG1410&gt;12,$AH1410&lt;1,$AH1410&gt;31),"نامعتبر",RIGHT("0000"&amp;$AF1410,4)&amp;"/"&amp;RIGHT("00"&amp;$AG1410,2)&amp;"/"&amp;RIGHT("00"&amp;$AH1410,2)))</f>
        <v/>
      </c>
      <c r="AJ1410">
        <f>IF($AE1410="","",IF(Sync!$Q1410="","0000",IF(AND(ISNUMBER(Sync!$Q1410),Sync!$Q1410&gt;=0,Sync!$Q1410&lt;1),RIGHT("00"&amp;HOUR(Sync!$Q1410),2)&amp;RIGHT("00"&amp;MINUTE(Sync!$Q1410),2),IFERROR(RIGHT("00"&amp;VALUE(LEFT(Sync!$Q1410,FIND(":",Sync!$Q1410)-1)),2)&amp;RIGHT("00"&amp;VALUE(MID(Sync!$Q1410,FIND(":",Sync!$Q1410)+1,2)),2),"0000"))))</f>
        <v/>
      </c>
      <c r="AK1410">
        <f>IF(OR($AE1410="",$AI1410="",$AI1410="نامعتبر"),"",LEFT($AI1410,4)&amp;MID($AI1410,6,2)&amp;RIGHT($AI1410,2)&amp;$AJ1410&amp;"|"&amp;"3"&amp;RIGHT("00000"&amp;1405,5))</f>
        <v/>
      </c>
      <c r="AL1410">
        <f>IF($AK1410="","",COUNTIFS(LdAParty,$AE1410,LdAType,1,LdAKey,"&lt;"&amp;$AK1410)+COUNTIFS(LdBMember,$AE1410,LdBKey,"&lt;"&amp;$AK1410)+COUNTIFS(LdCParty,$AE1410,LdCKey,"&lt;"&amp;$AK1410)+1)</f>
        <v/>
      </c>
      <c r="AM1410">
        <f>IF($AL1410="","",$AE1410&amp;"|"&amp;RIGHT("000000"&amp;$AL1410,6))</f>
        <v/>
      </c>
      <c r="AN1410">
        <f>IF($AE1410="","",IF(Sync!$W1410="",0,Sync!$W1410))</f>
        <v/>
      </c>
      <c r="AO1410">
        <f>IF($AE1410="","",IF(Sync!$X1410="",0,Sync!$X1410))</f>
        <v/>
      </c>
      <c r="AP1410">
        <f>IF($AE1410="","",Sync!$R1410)</f>
        <v/>
      </c>
      <c r="AQ1410">
        <f>IF($AE1410="","",Sync!$Y1410)</f>
        <v/>
      </c>
    </row>
    <row r="1411">
      <c r="A1411">
        <f>IF(OR(Wages!$B1414="",Wages!$E1414=""),"",Wages!$E1414)</f>
        <v/>
      </c>
      <c r="B1411">
        <f>IF($A1411="","",IF(Wages!$C1414="دستمزد گروهی",2,1))</f>
        <v/>
      </c>
      <c r="C1411">
        <f>IF($A1411="","",IF(ISNUMBER(Wages!$B1414),IF(AND(Wages!$B1414&gt;=10000101,Wages!$B1414&lt;=99991231),INT(Wages!$B1414/10000),""),IFERROR(VALUE(TRIM(LEFT(Wages!$B1414,FIND("/",Wages!$B1414)-1))),"")))</f>
        <v/>
      </c>
      <c r="D1411">
        <f>IF(OR($A1411="",$C1411=""),"",IF(ISNUMBER(Wages!$B1414),INT(MOD(Wages!$B1414,10000)/100),IFERROR(VALUE(TRIM(LEFT(MID(Wages!$B1414,FIND("/",Wages!$B1414)+1,20),FIND("/",MID(Wages!$B1414,FIND("/",Wages!$B1414)+1,20))-1))),"")))</f>
        <v/>
      </c>
      <c r="E1411">
        <f>IF(OR($A1411="",$C1411=""),"",IF(ISNUMBER(Wages!$B1414),MOD(Wages!$B1414,100),IFERROR(VALUE(TRIM(MID(MID(Wages!$B1414,FIND("/",Wages!$B1414)+1,20),FIND("/",MID(Wages!$B1414,FIND("/",Wages!$B1414)+1,20))+1,20))),"")))</f>
        <v/>
      </c>
      <c r="F1411">
        <f>IF($A1411="","",IF(OR($C1411="",$D1411="",$E1411="",$C1411&lt;1300,$C1411&gt;1500,$D1411&lt;1,$D1411&gt;12,$E1411&lt;1,$E1411&gt;31),"نامعتبر",RIGHT("0000"&amp;$C1411,4)&amp;"/"&amp;RIGHT("00"&amp;$D1411,2)&amp;"/"&amp;RIGHT("00"&amp;$E1411,2)))</f>
        <v/>
      </c>
      <c r="G1411">
        <f>IF(OR($A1411="",$F1411="",$F1411="نامعتبر"),"",LEFT($F1411,4)&amp;MID($F1411,6,2)&amp;RIGHT($F1411,2)&amp;"0000"&amp;"|"&amp;"1"&amp;RIGHT("00000"&amp;1406,5))</f>
        <v/>
      </c>
      <c r="H1411">
        <f>IF(OR($B1411&lt;&gt;1,$G1411=""),"",COUNTIFS(LdAParty,$A1411,LdAType,1,LdAKey,"&lt;"&amp;$G1411)+COUNTIFS(LdBMember,$A1411,LdBKey,"&lt;"&amp;$G1411)+COUNTIFS(LdCParty,$A1411,LdCKey,"&lt;"&amp;$G1411)+1)</f>
        <v/>
      </c>
      <c r="I1411">
        <f>IF($H1411="","",$A1411&amp;"|"&amp;RIGHT("000000"&amp;$H1411,6))</f>
        <v/>
      </c>
      <c r="J1411">
        <f>IF(OR($B1411&lt;&gt;2,$G1411=""),"",COUNTIFS(LdAParty,$A1411,LdAType,2,LdAKey,"&lt;"&amp;$G1411)+1)</f>
        <v/>
      </c>
      <c r="K1411">
        <f>IF($J1411="","",$A1411&amp;"|"&amp;RIGHT("000000"&amp;$J1411,6))</f>
        <v/>
      </c>
      <c r="L1411">
        <f>IF($A1411="","",IF(Wages!$G1414="",0,Wages!$G1414))</f>
        <v/>
      </c>
      <c r="M1411">
        <f>IF($A1411="","",Wages!$J1414)</f>
        <v/>
      </c>
      <c r="N1411">
        <f>IF($A1411="","",Wages!$D1414)</f>
        <v/>
      </c>
      <c r="P1411">
        <f>IF(OR(Shares!$B1414="",Shares!$C1414=""),"",Shares!$C1414)</f>
        <v/>
      </c>
      <c r="Q1411">
        <f>IF($P1411="","",Shares!$B1414)</f>
        <v/>
      </c>
      <c r="R1411">
        <f>IF($P1411="","",IFERROR(INDEX(WageParty,MATCH($Q1411,WageIds,0)),""))</f>
        <v/>
      </c>
      <c r="S1411">
        <f>IF($P1411="","",IFERROR(INDEX($F$6:$F$2005,MATCH($Q1411,WageIds,0)),""))</f>
        <v/>
      </c>
      <c r="T1411">
        <f>IF(OR($P1411="",$S1411="",$S1411="نامعتبر"),"",LEFT($S1411,4)&amp;MID($S1411,6,2)&amp;RIGHT($S1411,2)&amp;"0000"&amp;"|"&amp;"2"&amp;RIGHT("00000"&amp;1406,5))</f>
        <v/>
      </c>
      <c r="U1411">
        <f>IF($T1411="","",COUNTIFS(LdAParty,$P1411,LdAType,1,LdAKey,"&lt;"&amp;$T1411)+COUNTIFS(LdBMember,$P1411,LdBKey,"&lt;"&amp;$T1411)+COUNTIFS(LdCParty,$P1411,LdCKey,"&lt;"&amp;$T1411)+1)</f>
        <v/>
      </c>
      <c r="V1411">
        <f>IF($U1411="","",$P1411&amp;"|"&amp;RIGHT("000000"&amp;$U1411,6))</f>
        <v/>
      </c>
      <c r="W1411">
        <f>IF($T1411="","",COUNTIFS(LdBGroup,$R1411,LdBKey,"&lt;"&amp;$T1411)+1)</f>
        <v/>
      </c>
      <c r="X1411">
        <f>IF($W1411="","",$R1411&amp;"|"&amp;RIGHT("000000"&amp;$W1411,6))</f>
        <v/>
      </c>
      <c r="Y1411">
        <f>IF($P1411="","",IF(Shares!$E1414="",0,Shares!$E1414))</f>
        <v/>
      </c>
      <c r="Z1411">
        <f>IF($P1411="","",Shares!$H1414)</f>
        <v/>
      </c>
      <c r="AE1411">
        <f>IF(OR(Sync!$S1411="",Sync!$P1411=""),"",Sync!$S1411)</f>
        <v/>
      </c>
      <c r="AF1411">
        <f>IF($AE1411="","",IF(ISNUMBER(Sync!$P1411),IF(AND(Sync!$P1411&gt;=10000101,Sync!$P1411&lt;=99991231),INT(Sync!$P1411/10000),""),IFERROR(VALUE(TRIM(LEFT(Sync!$P1411,FIND("/",Sync!$P1411)-1))),"")))</f>
        <v/>
      </c>
      <c r="AG1411">
        <f>IF(OR($AE1411="",$AF1411=""),"",IF(ISNUMBER(Sync!$P1411),INT(MOD(Sync!$P1411,10000)/100),IFERROR(VALUE(TRIM(LEFT(MID(Sync!$P1411,FIND("/",Sync!$P1411)+1,20),FIND("/",MID(Sync!$P1411,FIND("/",Sync!$P1411)+1,20))-1))),"")))</f>
        <v/>
      </c>
      <c r="AH1411">
        <f>IF(OR($AE1411="",$AF1411=""),"",IF(ISNUMBER(Sync!$P1411),MOD(Sync!$P1411,100),IFERROR(VALUE(TRIM(MID(MID(Sync!$P1411,FIND("/",Sync!$P1411)+1,20),FIND("/",MID(Sync!$P1411,FIND("/",Sync!$P1411)+1,20))+1,20))),"")))</f>
        <v/>
      </c>
      <c r="AI1411">
        <f>IF($AE1411="","",IF(OR($AF1411="",$AG1411="",$AH1411="",$AF1411&lt;1300,$AF1411&gt;1500,$AG1411&lt;1,$AG1411&gt;12,$AH1411&lt;1,$AH1411&gt;31),"نامعتبر",RIGHT("0000"&amp;$AF1411,4)&amp;"/"&amp;RIGHT("00"&amp;$AG1411,2)&amp;"/"&amp;RIGHT("00"&amp;$AH1411,2)))</f>
        <v/>
      </c>
      <c r="AJ1411">
        <f>IF($AE1411="","",IF(Sync!$Q1411="","0000",IF(AND(ISNUMBER(Sync!$Q1411),Sync!$Q1411&gt;=0,Sync!$Q1411&lt;1),RIGHT("00"&amp;HOUR(Sync!$Q1411),2)&amp;RIGHT("00"&amp;MINUTE(Sync!$Q1411),2),IFERROR(RIGHT("00"&amp;VALUE(LEFT(Sync!$Q1411,FIND(":",Sync!$Q1411)-1)),2)&amp;RIGHT("00"&amp;VALUE(MID(Sync!$Q1411,FIND(":",Sync!$Q1411)+1,2)),2),"0000"))))</f>
        <v/>
      </c>
      <c r="AK1411">
        <f>IF(OR($AE1411="",$AI1411="",$AI1411="نامعتبر"),"",LEFT($AI1411,4)&amp;MID($AI1411,6,2)&amp;RIGHT($AI1411,2)&amp;$AJ1411&amp;"|"&amp;"3"&amp;RIGHT("00000"&amp;1406,5))</f>
        <v/>
      </c>
      <c r="AL1411">
        <f>IF($AK1411="","",COUNTIFS(LdAParty,$AE1411,LdAType,1,LdAKey,"&lt;"&amp;$AK1411)+COUNTIFS(LdBMember,$AE1411,LdBKey,"&lt;"&amp;$AK1411)+COUNTIFS(LdCParty,$AE1411,LdCKey,"&lt;"&amp;$AK1411)+1)</f>
        <v/>
      </c>
      <c r="AM1411">
        <f>IF($AL1411="","",$AE1411&amp;"|"&amp;RIGHT("000000"&amp;$AL1411,6))</f>
        <v/>
      </c>
      <c r="AN1411">
        <f>IF($AE1411="","",IF(Sync!$W1411="",0,Sync!$W1411))</f>
        <v/>
      </c>
      <c r="AO1411">
        <f>IF($AE1411="","",IF(Sync!$X1411="",0,Sync!$X1411))</f>
        <v/>
      </c>
      <c r="AP1411">
        <f>IF($AE1411="","",Sync!$R1411)</f>
        <v/>
      </c>
      <c r="AQ1411">
        <f>IF($AE1411="","",Sync!$Y1411)</f>
        <v/>
      </c>
    </row>
    <row r="1412">
      <c r="A1412">
        <f>IF(OR(Wages!$B1415="",Wages!$E1415=""),"",Wages!$E1415)</f>
        <v/>
      </c>
      <c r="B1412">
        <f>IF($A1412="","",IF(Wages!$C1415="دستمزد گروهی",2,1))</f>
        <v/>
      </c>
      <c r="C1412">
        <f>IF($A1412="","",IF(ISNUMBER(Wages!$B1415),IF(AND(Wages!$B1415&gt;=10000101,Wages!$B1415&lt;=99991231),INT(Wages!$B1415/10000),""),IFERROR(VALUE(TRIM(LEFT(Wages!$B1415,FIND("/",Wages!$B1415)-1))),"")))</f>
        <v/>
      </c>
      <c r="D1412">
        <f>IF(OR($A1412="",$C1412=""),"",IF(ISNUMBER(Wages!$B1415),INT(MOD(Wages!$B1415,10000)/100),IFERROR(VALUE(TRIM(LEFT(MID(Wages!$B1415,FIND("/",Wages!$B1415)+1,20),FIND("/",MID(Wages!$B1415,FIND("/",Wages!$B1415)+1,20))-1))),"")))</f>
        <v/>
      </c>
      <c r="E1412">
        <f>IF(OR($A1412="",$C1412=""),"",IF(ISNUMBER(Wages!$B1415),MOD(Wages!$B1415,100),IFERROR(VALUE(TRIM(MID(MID(Wages!$B1415,FIND("/",Wages!$B1415)+1,20),FIND("/",MID(Wages!$B1415,FIND("/",Wages!$B1415)+1,20))+1,20))),"")))</f>
        <v/>
      </c>
      <c r="F1412">
        <f>IF($A1412="","",IF(OR($C1412="",$D1412="",$E1412="",$C1412&lt;1300,$C1412&gt;1500,$D1412&lt;1,$D1412&gt;12,$E1412&lt;1,$E1412&gt;31),"نامعتبر",RIGHT("0000"&amp;$C1412,4)&amp;"/"&amp;RIGHT("00"&amp;$D1412,2)&amp;"/"&amp;RIGHT("00"&amp;$E1412,2)))</f>
        <v/>
      </c>
      <c r="G1412">
        <f>IF(OR($A1412="",$F1412="",$F1412="نامعتبر"),"",LEFT($F1412,4)&amp;MID($F1412,6,2)&amp;RIGHT($F1412,2)&amp;"0000"&amp;"|"&amp;"1"&amp;RIGHT("00000"&amp;1407,5))</f>
        <v/>
      </c>
      <c r="H1412">
        <f>IF(OR($B1412&lt;&gt;1,$G1412=""),"",COUNTIFS(LdAParty,$A1412,LdAType,1,LdAKey,"&lt;"&amp;$G1412)+COUNTIFS(LdBMember,$A1412,LdBKey,"&lt;"&amp;$G1412)+COUNTIFS(LdCParty,$A1412,LdCKey,"&lt;"&amp;$G1412)+1)</f>
        <v/>
      </c>
      <c r="I1412">
        <f>IF($H1412="","",$A1412&amp;"|"&amp;RIGHT("000000"&amp;$H1412,6))</f>
        <v/>
      </c>
      <c r="J1412">
        <f>IF(OR($B1412&lt;&gt;2,$G1412=""),"",COUNTIFS(LdAParty,$A1412,LdAType,2,LdAKey,"&lt;"&amp;$G1412)+1)</f>
        <v/>
      </c>
      <c r="K1412">
        <f>IF($J1412="","",$A1412&amp;"|"&amp;RIGHT("000000"&amp;$J1412,6))</f>
        <v/>
      </c>
      <c r="L1412">
        <f>IF($A1412="","",IF(Wages!$G1415="",0,Wages!$G1415))</f>
        <v/>
      </c>
      <c r="M1412">
        <f>IF($A1412="","",Wages!$J1415)</f>
        <v/>
      </c>
      <c r="N1412">
        <f>IF($A1412="","",Wages!$D1415)</f>
        <v/>
      </c>
      <c r="P1412">
        <f>IF(OR(Shares!$B1415="",Shares!$C1415=""),"",Shares!$C1415)</f>
        <v/>
      </c>
      <c r="Q1412">
        <f>IF($P1412="","",Shares!$B1415)</f>
        <v/>
      </c>
      <c r="R1412">
        <f>IF($P1412="","",IFERROR(INDEX(WageParty,MATCH($Q1412,WageIds,0)),""))</f>
        <v/>
      </c>
      <c r="S1412">
        <f>IF($P1412="","",IFERROR(INDEX($F$6:$F$2005,MATCH($Q1412,WageIds,0)),""))</f>
        <v/>
      </c>
      <c r="T1412">
        <f>IF(OR($P1412="",$S1412="",$S1412="نامعتبر"),"",LEFT($S1412,4)&amp;MID($S1412,6,2)&amp;RIGHT($S1412,2)&amp;"0000"&amp;"|"&amp;"2"&amp;RIGHT("00000"&amp;1407,5))</f>
        <v/>
      </c>
      <c r="U1412">
        <f>IF($T1412="","",COUNTIFS(LdAParty,$P1412,LdAType,1,LdAKey,"&lt;"&amp;$T1412)+COUNTIFS(LdBMember,$P1412,LdBKey,"&lt;"&amp;$T1412)+COUNTIFS(LdCParty,$P1412,LdCKey,"&lt;"&amp;$T1412)+1)</f>
        <v/>
      </c>
      <c r="V1412">
        <f>IF($U1412="","",$P1412&amp;"|"&amp;RIGHT("000000"&amp;$U1412,6))</f>
        <v/>
      </c>
      <c r="W1412">
        <f>IF($T1412="","",COUNTIFS(LdBGroup,$R1412,LdBKey,"&lt;"&amp;$T1412)+1)</f>
        <v/>
      </c>
      <c r="X1412">
        <f>IF($W1412="","",$R1412&amp;"|"&amp;RIGHT("000000"&amp;$W1412,6))</f>
        <v/>
      </c>
      <c r="Y1412">
        <f>IF($P1412="","",IF(Shares!$E1415="",0,Shares!$E1415))</f>
        <v/>
      </c>
      <c r="Z1412">
        <f>IF($P1412="","",Shares!$H1415)</f>
        <v/>
      </c>
      <c r="AE1412">
        <f>IF(OR(Sync!$S1412="",Sync!$P1412=""),"",Sync!$S1412)</f>
        <v/>
      </c>
      <c r="AF1412">
        <f>IF($AE1412="","",IF(ISNUMBER(Sync!$P1412),IF(AND(Sync!$P1412&gt;=10000101,Sync!$P1412&lt;=99991231),INT(Sync!$P1412/10000),""),IFERROR(VALUE(TRIM(LEFT(Sync!$P1412,FIND("/",Sync!$P1412)-1))),"")))</f>
        <v/>
      </c>
      <c r="AG1412">
        <f>IF(OR($AE1412="",$AF1412=""),"",IF(ISNUMBER(Sync!$P1412),INT(MOD(Sync!$P1412,10000)/100),IFERROR(VALUE(TRIM(LEFT(MID(Sync!$P1412,FIND("/",Sync!$P1412)+1,20),FIND("/",MID(Sync!$P1412,FIND("/",Sync!$P1412)+1,20))-1))),"")))</f>
        <v/>
      </c>
      <c r="AH1412">
        <f>IF(OR($AE1412="",$AF1412=""),"",IF(ISNUMBER(Sync!$P1412),MOD(Sync!$P1412,100),IFERROR(VALUE(TRIM(MID(MID(Sync!$P1412,FIND("/",Sync!$P1412)+1,20),FIND("/",MID(Sync!$P1412,FIND("/",Sync!$P1412)+1,20))+1,20))),"")))</f>
        <v/>
      </c>
      <c r="AI1412">
        <f>IF($AE1412="","",IF(OR($AF1412="",$AG1412="",$AH1412="",$AF1412&lt;1300,$AF1412&gt;1500,$AG1412&lt;1,$AG1412&gt;12,$AH1412&lt;1,$AH1412&gt;31),"نامعتبر",RIGHT("0000"&amp;$AF1412,4)&amp;"/"&amp;RIGHT("00"&amp;$AG1412,2)&amp;"/"&amp;RIGHT("00"&amp;$AH1412,2)))</f>
        <v/>
      </c>
      <c r="AJ1412">
        <f>IF($AE1412="","",IF(Sync!$Q1412="","0000",IF(AND(ISNUMBER(Sync!$Q1412),Sync!$Q1412&gt;=0,Sync!$Q1412&lt;1),RIGHT("00"&amp;HOUR(Sync!$Q1412),2)&amp;RIGHT("00"&amp;MINUTE(Sync!$Q1412),2),IFERROR(RIGHT("00"&amp;VALUE(LEFT(Sync!$Q1412,FIND(":",Sync!$Q1412)-1)),2)&amp;RIGHT("00"&amp;VALUE(MID(Sync!$Q1412,FIND(":",Sync!$Q1412)+1,2)),2),"0000"))))</f>
        <v/>
      </c>
      <c r="AK1412">
        <f>IF(OR($AE1412="",$AI1412="",$AI1412="نامعتبر"),"",LEFT($AI1412,4)&amp;MID($AI1412,6,2)&amp;RIGHT($AI1412,2)&amp;$AJ1412&amp;"|"&amp;"3"&amp;RIGHT("00000"&amp;1407,5))</f>
        <v/>
      </c>
      <c r="AL1412">
        <f>IF($AK1412="","",COUNTIFS(LdAParty,$AE1412,LdAType,1,LdAKey,"&lt;"&amp;$AK1412)+COUNTIFS(LdBMember,$AE1412,LdBKey,"&lt;"&amp;$AK1412)+COUNTIFS(LdCParty,$AE1412,LdCKey,"&lt;"&amp;$AK1412)+1)</f>
        <v/>
      </c>
      <c r="AM1412">
        <f>IF($AL1412="","",$AE1412&amp;"|"&amp;RIGHT("000000"&amp;$AL1412,6))</f>
        <v/>
      </c>
      <c r="AN1412">
        <f>IF($AE1412="","",IF(Sync!$W1412="",0,Sync!$W1412))</f>
        <v/>
      </c>
      <c r="AO1412">
        <f>IF($AE1412="","",IF(Sync!$X1412="",0,Sync!$X1412))</f>
        <v/>
      </c>
      <c r="AP1412">
        <f>IF($AE1412="","",Sync!$R1412)</f>
        <v/>
      </c>
      <c r="AQ1412">
        <f>IF($AE1412="","",Sync!$Y1412)</f>
        <v/>
      </c>
    </row>
    <row r="1413">
      <c r="A1413">
        <f>IF(OR(Wages!$B1416="",Wages!$E1416=""),"",Wages!$E1416)</f>
        <v/>
      </c>
      <c r="B1413">
        <f>IF($A1413="","",IF(Wages!$C1416="دستمزد گروهی",2,1))</f>
        <v/>
      </c>
      <c r="C1413">
        <f>IF($A1413="","",IF(ISNUMBER(Wages!$B1416),IF(AND(Wages!$B1416&gt;=10000101,Wages!$B1416&lt;=99991231),INT(Wages!$B1416/10000),""),IFERROR(VALUE(TRIM(LEFT(Wages!$B1416,FIND("/",Wages!$B1416)-1))),"")))</f>
        <v/>
      </c>
      <c r="D1413">
        <f>IF(OR($A1413="",$C1413=""),"",IF(ISNUMBER(Wages!$B1416),INT(MOD(Wages!$B1416,10000)/100),IFERROR(VALUE(TRIM(LEFT(MID(Wages!$B1416,FIND("/",Wages!$B1416)+1,20),FIND("/",MID(Wages!$B1416,FIND("/",Wages!$B1416)+1,20))-1))),"")))</f>
        <v/>
      </c>
      <c r="E1413">
        <f>IF(OR($A1413="",$C1413=""),"",IF(ISNUMBER(Wages!$B1416),MOD(Wages!$B1416,100),IFERROR(VALUE(TRIM(MID(MID(Wages!$B1416,FIND("/",Wages!$B1416)+1,20),FIND("/",MID(Wages!$B1416,FIND("/",Wages!$B1416)+1,20))+1,20))),"")))</f>
        <v/>
      </c>
      <c r="F1413">
        <f>IF($A1413="","",IF(OR($C1413="",$D1413="",$E1413="",$C1413&lt;1300,$C1413&gt;1500,$D1413&lt;1,$D1413&gt;12,$E1413&lt;1,$E1413&gt;31),"نامعتبر",RIGHT("0000"&amp;$C1413,4)&amp;"/"&amp;RIGHT("00"&amp;$D1413,2)&amp;"/"&amp;RIGHT("00"&amp;$E1413,2)))</f>
        <v/>
      </c>
      <c r="G1413">
        <f>IF(OR($A1413="",$F1413="",$F1413="نامعتبر"),"",LEFT($F1413,4)&amp;MID($F1413,6,2)&amp;RIGHT($F1413,2)&amp;"0000"&amp;"|"&amp;"1"&amp;RIGHT("00000"&amp;1408,5))</f>
        <v/>
      </c>
      <c r="H1413">
        <f>IF(OR($B1413&lt;&gt;1,$G1413=""),"",COUNTIFS(LdAParty,$A1413,LdAType,1,LdAKey,"&lt;"&amp;$G1413)+COUNTIFS(LdBMember,$A1413,LdBKey,"&lt;"&amp;$G1413)+COUNTIFS(LdCParty,$A1413,LdCKey,"&lt;"&amp;$G1413)+1)</f>
        <v/>
      </c>
      <c r="I1413">
        <f>IF($H1413="","",$A1413&amp;"|"&amp;RIGHT("000000"&amp;$H1413,6))</f>
        <v/>
      </c>
      <c r="J1413">
        <f>IF(OR($B1413&lt;&gt;2,$G1413=""),"",COUNTIFS(LdAParty,$A1413,LdAType,2,LdAKey,"&lt;"&amp;$G1413)+1)</f>
        <v/>
      </c>
      <c r="K1413">
        <f>IF($J1413="","",$A1413&amp;"|"&amp;RIGHT("000000"&amp;$J1413,6))</f>
        <v/>
      </c>
      <c r="L1413">
        <f>IF($A1413="","",IF(Wages!$G1416="",0,Wages!$G1416))</f>
        <v/>
      </c>
      <c r="M1413">
        <f>IF($A1413="","",Wages!$J1416)</f>
        <v/>
      </c>
      <c r="N1413">
        <f>IF($A1413="","",Wages!$D1416)</f>
        <v/>
      </c>
      <c r="P1413">
        <f>IF(OR(Shares!$B1416="",Shares!$C1416=""),"",Shares!$C1416)</f>
        <v/>
      </c>
      <c r="Q1413">
        <f>IF($P1413="","",Shares!$B1416)</f>
        <v/>
      </c>
      <c r="R1413">
        <f>IF($P1413="","",IFERROR(INDEX(WageParty,MATCH($Q1413,WageIds,0)),""))</f>
        <v/>
      </c>
      <c r="S1413">
        <f>IF($P1413="","",IFERROR(INDEX($F$6:$F$2005,MATCH($Q1413,WageIds,0)),""))</f>
        <v/>
      </c>
      <c r="T1413">
        <f>IF(OR($P1413="",$S1413="",$S1413="نامعتبر"),"",LEFT($S1413,4)&amp;MID($S1413,6,2)&amp;RIGHT($S1413,2)&amp;"0000"&amp;"|"&amp;"2"&amp;RIGHT("00000"&amp;1408,5))</f>
        <v/>
      </c>
      <c r="U1413">
        <f>IF($T1413="","",COUNTIFS(LdAParty,$P1413,LdAType,1,LdAKey,"&lt;"&amp;$T1413)+COUNTIFS(LdBMember,$P1413,LdBKey,"&lt;"&amp;$T1413)+COUNTIFS(LdCParty,$P1413,LdCKey,"&lt;"&amp;$T1413)+1)</f>
        <v/>
      </c>
      <c r="V1413">
        <f>IF($U1413="","",$P1413&amp;"|"&amp;RIGHT("000000"&amp;$U1413,6))</f>
        <v/>
      </c>
      <c r="W1413">
        <f>IF($T1413="","",COUNTIFS(LdBGroup,$R1413,LdBKey,"&lt;"&amp;$T1413)+1)</f>
        <v/>
      </c>
      <c r="X1413">
        <f>IF($W1413="","",$R1413&amp;"|"&amp;RIGHT("000000"&amp;$W1413,6))</f>
        <v/>
      </c>
      <c r="Y1413">
        <f>IF($P1413="","",IF(Shares!$E1416="",0,Shares!$E1416))</f>
        <v/>
      </c>
      <c r="Z1413">
        <f>IF($P1413="","",Shares!$H1416)</f>
        <v/>
      </c>
      <c r="AE1413">
        <f>IF(OR(Sync!$S1413="",Sync!$P1413=""),"",Sync!$S1413)</f>
        <v/>
      </c>
      <c r="AF1413">
        <f>IF($AE1413="","",IF(ISNUMBER(Sync!$P1413),IF(AND(Sync!$P1413&gt;=10000101,Sync!$P1413&lt;=99991231),INT(Sync!$P1413/10000),""),IFERROR(VALUE(TRIM(LEFT(Sync!$P1413,FIND("/",Sync!$P1413)-1))),"")))</f>
        <v/>
      </c>
      <c r="AG1413">
        <f>IF(OR($AE1413="",$AF1413=""),"",IF(ISNUMBER(Sync!$P1413),INT(MOD(Sync!$P1413,10000)/100),IFERROR(VALUE(TRIM(LEFT(MID(Sync!$P1413,FIND("/",Sync!$P1413)+1,20),FIND("/",MID(Sync!$P1413,FIND("/",Sync!$P1413)+1,20))-1))),"")))</f>
        <v/>
      </c>
      <c r="AH1413">
        <f>IF(OR($AE1413="",$AF1413=""),"",IF(ISNUMBER(Sync!$P1413),MOD(Sync!$P1413,100),IFERROR(VALUE(TRIM(MID(MID(Sync!$P1413,FIND("/",Sync!$P1413)+1,20),FIND("/",MID(Sync!$P1413,FIND("/",Sync!$P1413)+1,20))+1,20))),"")))</f>
        <v/>
      </c>
      <c r="AI1413">
        <f>IF($AE1413="","",IF(OR($AF1413="",$AG1413="",$AH1413="",$AF1413&lt;1300,$AF1413&gt;1500,$AG1413&lt;1,$AG1413&gt;12,$AH1413&lt;1,$AH1413&gt;31),"نامعتبر",RIGHT("0000"&amp;$AF1413,4)&amp;"/"&amp;RIGHT("00"&amp;$AG1413,2)&amp;"/"&amp;RIGHT("00"&amp;$AH1413,2)))</f>
        <v/>
      </c>
      <c r="AJ1413">
        <f>IF($AE1413="","",IF(Sync!$Q1413="","0000",IF(AND(ISNUMBER(Sync!$Q1413),Sync!$Q1413&gt;=0,Sync!$Q1413&lt;1),RIGHT("00"&amp;HOUR(Sync!$Q1413),2)&amp;RIGHT("00"&amp;MINUTE(Sync!$Q1413),2),IFERROR(RIGHT("00"&amp;VALUE(LEFT(Sync!$Q1413,FIND(":",Sync!$Q1413)-1)),2)&amp;RIGHT("00"&amp;VALUE(MID(Sync!$Q1413,FIND(":",Sync!$Q1413)+1,2)),2),"0000"))))</f>
        <v/>
      </c>
      <c r="AK1413">
        <f>IF(OR($AE1413="",$AI1413="",$AI1413="نامعتبر"),"",LEFT($AI1413,4)&amp;MID($AI1413,6,2)&amp;RIGHT($AI1413,2)&amp;$AJ1413&amp;"|"&amp;"3"&amp;RIGHT("00000"&amp;1408,5))</f>
        <v/>
      </c>
      <c r="AL1413">
        <f>IF($AK1413="","",COUNTIFS(LdAParty,$AE1413,LdAType,1,LdAKey,"&lt;"&amp;$AK1413)+COUNTIFS(LdBMember,$AE1413,LdBKey,"&lt;"&amp;$AK1413)+COUNTIFS(LdCParty,$AE1413,LdCKey,"&lt;"&amp;$AK1413)+1)</f>
        <v/>
      </c>
      <c r="AM1413">
        <f>IF($AL1413="","",$AE1413&amp;"|"&amp;RIGHT("000000"&amp;$AL1413,6))</f>
        <v/>
      </c>
      <c r="AN1413">
        <f>IF($AE1413="","",IF(Sync!$W1413="",0,Sync!$W1413))</f>
        <v/>
      </c>
      <c r="AO1413">
        <f>IF($AE1413="","",IF(Sync!$X1413="",0,Sync!$X1413))</f>
        <v/>
      </c>
      <c r="AP1413">
        <f>IF($AE1413="","",Sync!$R1413)</f>
        <v/>
      </c>
      <c r="AQ1413">
        <f>IF($AE1413="","",Sync!$Y1413)</f>
        <v/>
      </c>
    </row>
    <row r="1414">
      <c r="A1414">
        <f>IF(OR(Wages!$B1417="",Wages!$E1417=""),"",Wages!$E1417)</f>
        <v/>
      </c>
      <c r="B1414">
        <f>IF($A1414="","",IF(Wages!$C1417="دستمزد گروهی",2,1))</f>
        <v/>
      </c>
      <c r="C1414">
        <f>IF($A1414="","",IF(ISNUMBER(Wages!$B1417),IF(AND(Wages!$B1417&gt;=10000101,Wages!$B1417&lt;=99991231),INT(Wages!$B1417/10000),""),IFERROR(VALUE(TRIM(LEFT(Wages!$B1417,FIND("/",Wages!$B1417)-1))),"")))</f>
        <v/>
      </c>
      <c r="D1414">
        <f>IF(OR($A1414="",$C1414=""),"",IF(ISNUMBER(Wages!$B1417),INT(MOD(Wages!$B1417,10000)/100),IFERROR(VALUE(TRIM(LEFT(MID(Wages!$B1417,FIND("/",Wages!$B1417)+1,20),FIND("/",MID(Wages!$B1417,FIND("/",Wages!$B1417)+1,20))-1))),"")))</f>
        <v/>
      </c>
      <c r="E1414">
        <f>IF(OR($A1414="",$C1414=""),"",IF(ISNUMBER(Wages!$B1417),MOD(Wages!$B1417,100),IFERROR(VALUE(TRIM(MID(MID(Wages!$B1417,FIND("/",Wages!$B1417)+1,20),FIND("/",MID(Wages!$B1417,FIND("/",Wages!$B1417)+1,20))+1,20))),"")))</f>
        <v/>
      </c>
      <c r="F1414">
        <f>IF($A1414="","",IF(OR($C1414="",$D1414="",$E1414="",$C1414&lt;1300,$C1414&gt;1500,$D1414&lt;1,$D1414&gt;12,$E1414&lt;1,$E1414&gt;31),"نامعتبر",RIGHT("0000"&amp;$C1414,4)&amp;"/"&amp;RIGHT("00"&amp;$D1414,2)&amp;"/"&amp;RIGHT("00"&amp;$E1414,2)))</f>
        <v/>
      </c>
      <c r="G1414">
        <f>IF(OR($A1414="",$F1414="",$F1414="نامعتبر"),"",LEFT($F1414,4)&amp;MID($F1414,6,2)&amp;RIGHT($F1414,2)&amp;"0000"&amp;"|"&amp;"1"&amp;RIGHT("00000"&amp;1409,5))</f>
        <v/>
      </c>
      <c r="H1414">
        <f>IF(OR($B1414&lt;&gt;1,$G1414=""),"",COUNTIFS(LdAParty,$A1414,LdAType,1,LdAKey,"&lt;"&amp;$G1414)+COUNTIFS(LdBMember,$A1414,LdBKey,"&lt;"&amp;$G1414)+COUNTIFS(LdCParty,$A1414,LdCKey,"&lt;"&amp;$G1414)+1)</f>
        <v/>
      </c>
      <c r="I1414">
        <f>IF($H1414="","",$A1414&amp;"|"&amp;RIGHT("000000"&amp;$H1414,6))</f>
        <v/>
      </c>
      <c r="J1414">
        <f>IF(OR($B1414&lt;&gt;2,$G1414=""),"",COUNTIFS(LdAParty,$A1414,LdAType,2,LdAKey,"&lt;"&amp;$G1414)+1)</f>
        <v/>
      </c>
      <c r="K1414">
        <f>IF($J1414="","",$A1414&amp;"|"&amp;RIGHT("000000"&amp;$J1414,6))</f>
        <v/>
      </c>
      <c r="L1414">
        <f>IF($A1414="","",IF(Wages!$G1417="",0,Wages!$G1417))</f>
        <v/>
      </c>
      <c r="M1414">
        <f>IF($A1414="","",Wages!$J1417)</f>
        <v/>
      </c>
      <c r="N1414">
        <f>IF($A1414="","",Wages!$D1417)</f>
        <v/>
      </c>
      <c r="P1414">
        <f>IF(OR(Shares!$B1417="",Shares!$C1417=""),"",Shares!$C1417)</f>
        <v/>
      </c>
      <c r="Q1414">
        <f>IF($P1414="","",Shares!$B1417)</f>
        <v/>
      </c>
      <c r="R1414">
        <f>IF($P1414="","",IFERROR(INDEX(WageParty,MATCH($Q1414,WageIds,0)),""))</f>
        <v/>
      </c>
      <c r="S1414">
        <f>IF($P1414="","",IFERROR(INDEX($F$6:$F$2005,MATCH($Q1414,WageIds,0)),""))</f>
        <v/>
      </c>
      <c r="T1414">
        <f>IF(OR($P1414="",$S1414="",$S1414="نامعتبر"),"",LEFT($S1414,4)&amp;MID($S1414,6,2)&amp;RIGHT($S1414,2)&amp;"0000"&amp;"|"&amp;"2"&amp;RIGHT("00000"&amp;1409,5))</f>
        <v/>
      </c>
      <c r="U1414">
        <f>IF($T1414="","",COUNTIFS(LdAParty,$P1414,LdAType,1,LdAKey,"&lt;"&amp;$T1414)+COUNTIFS(LdBMember,$P1414,LdBKey,"&lt;"&amp;$T1414)+COUNTIFS(LdCParty,$P1414,LdCKey,"&lt;"&amp;$T1414)+1)</f>
        <v/>
      </c>
      <c r="V1414">
        <f>IF($U1414="","",$P1414&amp;"|"&amp;RIGHT("000000"&amp;$U1414,6))</f>
        <v/>
      </c>
      <c r="W1414">
        <f>IF($T1414="","",COUNTIFS(LdBGroup,$R1414,LdBKey,"&lt;"&amp;$T1414)+1)</f>
        <v/>
      </c>
      <c r="X1414">
        <f>IF($W1414="","",$R1414&amp;"|"&amp;RIGHT("000000"&amp;$W1414,6))</f>
        <v/>
      </c>
      <c r="Y1414">
        <f>IF($P1414="","",IF(Shares!$E1417="",0,Shares!$E1417))</f>
        <v/>
      </c>
      <c r="Z1414">
        <f>IF($P1414="","",Shares!$H1417)</f>
        <v/>
      </c>
      <c r="AE1414">
        <f>IF(OR(Sync!$S1414="",Sync!$P1414=""),"",Sync!$S1414)</f>
        <v/>
      </c>
      <c r="AF1414">
        <f>IF($AE1414="","",IF(ISNUMBER(Sync!$P1414),IF(AND(Sync!$P1414&gt;=10000101,Sync!$P1414&lt;=99991231),INT(Sync!$P1414/10000),""),IFERROR(VALUE(TRIM(LEFT(Sync!$P1414,FIND("/",Sync!$P1414)-1))),"")))</f>
        <v/>
      </c>
      <c r="AG1414">
        <f>IF(OR($AE1414="",$AF1414=""),"",IF(ISNUMBER(Sync!$P1414),INT(MOD(Sync!$P1414,10000)/100),IFERROR(VALUE(TRIM(LEFT(MID(Sync!$P1414,FIND("/",Sync!$P1414)+1,20),FIND("/",MID(Sync!$P1414,FIND("/",Sync!$P1414)+1,20))-1))),"")))</f>
        <v/>
      </c>
      <c r="AH1414">
        <f>IF(OR($AE1414="",$AF1414=""),"",IF(ISNUMBER(Sync!$P1414),MOD(Sync!$P1414,100),IFERROR(VALUE(TRIM(MID(MID(Sync!$P1414,FIND("/",Sync!$P1414)+1,20),FIND("/",MID(Sync!$P1414,FIND("/",Sync!$P1414)+1,20))+1,20))),"")))</f>
        <v/>
      </c>
      <c r="AI1414">
        <f>IF($AE1414="","",IF(OR($AF1414="",$AG1414="",$AH1414="",$AF1414&lt;1300,$AF1414&gt;1500,$AG1414&lt;1,$AG1414&gt;12,$AH1414&lt;1,$AH1414&gt;31),"نامعتبر",RIGHT("0000"&amp;$AF1414,4)&amp;"/"&amp;RIGHT("00"&amp;$AG1414,2)&amp;"/"&amp;RIGHT("00"&amp;$AH1414,2)))</f>
        <v/>
      </c>
      <c r="AJ1414">
        <f>IF($AE1414="","",IF(Sync!$Q1414="","0000",IF(AND(ISNUMBER(Sync!$Q1414),Sync!$Q1414&gt;=0,Sync!$Q1414&lt;1),RIGHT("00"&amp;HOUR(Sync!$Q1414),2)&amp;RIGHT("00"&amp;MINUTE(Sync!$Q1414),2),IFERROR(RIGHT("00"&amp;VALUE(LEFT(Sync!$Q1414,FIND(":",Sync!$Q1414)-1)),2)&amp;RIGHT("00"&amp;VALUE(MID(Sync!$Q1414,FIND(":",Sync!$Q1414)+1,2)),2),"0000"))))</f>
        <v/>
      </c>
      <c r="AK1414">
        <f>IF(OR($AE1414="",$AI1414="",$AI1414="نامعتبر"),"",LEFT($AI1414,4)&amp;MID($AI1414,6,2)&amp;RIGHT($AI1414,2)&amp;$AJ1414&amp;"|"&amp;"3"&amp;RIGHT("00000"&amp;1409,5))</f>
        <v/>
      </c>
      <c r="AL1414">
        <f>IF($AK1414="","",COUNTIFS(LdAParty,$AE1414,LdAType,1,LdAKey,"&lt;"&amp;$AK1414)+COUNTIFS(LdBMember,$AE1414,LdBKey,"&lt;"&amp;$AK1414)+COUNTIFS(LdCParty,$AE1414,LdCKey,"&lt;"&amp;$AK1414)+1)</f>
        <v/>
      </c>
      <c r="AM1414">
        <f>IF($AL1414="","",$AE1414&amp;"|"&amp;RIGHT("000000"&amp;$AL1414,6))</f>
        <v/>
      </c>
      <c r="AN1414">
        <f>IF($AE1414="","",IF(Sync!$W1414="",0,Sync!$W1414))</f>
        <v/>
      </c>
      <c r="AO1414">
        <f>IF($AE1414="","",IF(Sync!$X1414="",0,Sync!$X1414))</f>
        <v/>
      </c>
      <c r="AP1414">
        <f>IF($AE1414="","",Sync!$R1414)</f>
        <v/>
      </c>
      <c r="AQ1414">
        <f>IF($AE1414="","",Sync!$Y1414)</f>
        <v/>
      </c>
    </row>
    <row r="1415">
      <c r="A1415">
        <f>IF(OR(Wages!$B1418="",Wages!$E1418=""),"",Wages!$E1418)</f>
        <v/>
      </c>
      <c r="B1415">
        <f>IF($A1415="","",IF(Wages!$C1418="دستمزد گروهی",2,1))</f>
        <v/>
      </c>
      <c r="C1415">
        <f>IF($A1415="","",IF(ISNUMBER(Wages!$B1418),IF(AND(Wages!$B1418&gt;=10000101,Wages!$B1418&lt;=99991231),INT(Wages!$B1418/10000),""),IFERROR(VALUE(TRIM(LEFT(Wages!$B1418,FIND("/",Wages!$B1418)-1))),"")))</f>
        <v/>
      </c>
      <c r="D1415">
        <f>IF(OR($A1415="",$C1415=""),"",IF(ISNUMBER(Wages!$B1418),INT(MOD(Wages!$B1418,10000)/100),IFERROR(VALUE(TRIM(LEFT(MID(Wages!$B1418,FIND("/",Wages!$B1418)+1,20),FIND("/",MID(Wages!$B1418,FIND("/",Wages!$B1418)+1,20))-1))),"")))</f>
        <v/>
      </c>
      <c r="E1415">
        <f>IF(OR($A1415="",$C1415=""),"",IF(ISNUMBER(Wages!$B1418),MOD(Wages!$B1418,100),IFERROR(VALUE(TRIM(MID(MID(Wages!$B1418,FIND("/",Wages!$B1418)+1,20),FIND("/",MID(Wages!$B1418,FIND("/",Wages!$B1418)+1,20))+1,20))),"")))</f>
        <v/>
      </c>
      <c r="F1415">
        <f>IF($A1415="","",IF(OR($C1415="",$D1415="",$E1415="",$C1415&lt;1300,$C1415&gt;1500,$D1415&lt;1,$D1415&gt;12,$E1415&lt;1,$E1415&gt;31),"نامعتبر",RIGHT("0000"&amp;$C1415,4)&amp;"/"&amp;RIGHT("00"&amp;$D1415,2)&amp;"/"&amp;RIGHT("00"&amp;$E1415,2)))</f>
        <v/>
      </c>
      <c r="G1415">
        <f>IF(OR($A1415="",$F1415="",$F1415="نامعتبر"),"",LEFT($F1415,4)&amp;MID($F1415,6,2)&amp;RIGHT($F1415,2)&amp;"0000"&amp;"|"&amp;"1"&amp;RIGHT("00000"&amp;1410,5))</f>
        <v/>
      </c>
      <c r="H1415">
        <f>IF(OR($B1415&lt;&gt;1,$G1415=""),"",COUNTIFS(LdAParty,$A1415,LdAType,1,LdAKey,"&lt;"&amp;$G1415)+COUNTIFS(LdBMember,$A1415,LdBKey,"&lt;"&amp;$G1415)+COUNTIFS(LdCParty,$A1415,LdCKey,"&lt;"&amp;$G1415)+1)</f>
        <v/>
      </c>
      <c r="I1415">
        <f>IF($H1415="","",$A1415&amp;"|"&amp;RIGHT("000000"&amp;$H1415,6))</f>
        <v/>
      </c>
      <c r="J1415">
        <f>IF(OR($B1415&lt;&gt;2,$G1415=""),"",COUNTIFS(LdAParty,$A1415,LdAType,2,LdAKey,"&lt;"&amp;$G1415)+1)</f>
        <v/>
      </c>
      <c r="K1415">
        <f>IF($J1415="","",$A1415&amp;"|"&amp;RIGHT("000000"&amp;$J1415,6))</f>
        <v/>
      </c>
      <c r="L1415">
        <f>IF($A1415="","",IF(Wages!$G1418="",0,Wages!$G1418))</f>
        <v/>
      </c>
      <c r="M1415">
        <f>IF($A1415="","",Wages!$J1418)</f>
        <v/>
      </c>
      <c r="N1415">
        <f>IF($A1415="","",Wages!$D1418)</f>
        <v/>
      </c>
      <c r="P1415">
        <f>IF(OR(Shares!$B1418="",Shares!$C1418=""),"",Shares!$C1418)</f>
        <v/>
      </c>
      <c r="Q1415">
        <f>IF($P1415="","",Shares!$B1418)</f>
        <v/>
      </c>
      <c r="R1415">
        <f>IF($P1415="","",IFERROR(INDEX(WageParty,MATCH($Q1415,WageIds,0)),""))</f>
        <v/>
      </c>
      <c r="S1415">
        <f>IF($P1415="","",IFERROR(INDEX($F$6:$F$2005,MATCH($Q1415,WageIds,0)),""))</f>
        <v/>
      </c>
      <c r="T1415">
        <f>IF(OR($P1415="",$S1415="",$S1415="نامعتبر"),"",LEFT($S1415,4)&amp;MID($S1415,6,2)&amp;RIGHT($S1415,2)&amp;"0000"&amp;"|"&amp;"2"&amp;RIGHT("00000"&amp;1410,5))</f>
        <v/>
      </c>
      <c r="U1415">
        <f>IF($T1415="","",COUNTIFS(LdAParty,$P1415,LdAType,1,LdAKey,"&lt;"&amp;$T1415)+COUNTIFS(LdBMember,$P1415,LdBKey,"&lt;"&amp;$T1415)+COUNTIFS(LdCParty,$P1415,LdCKey,"&lt;"&amp;$T1415)+1)</f>
        <v/>
      </c>
      <c r="V1415">
        <f>IF($U1415="","",$P1415&amp;"|"&amp;RIGHT("000000"&amp;$U1415,6))</f>
        <v/>
      </c>
      <c r="W1415">
        <f>IF($T1415="","",COUNTIFS(LdBGroup,$R1415,LdBKey,"&lt;"&amp;$T1415)+1)</f>
        <v/>
      </c>
      <c r="X1415">
        <f>IF($W1415="","",$R1415&amp;"|"&amp;RIGHT("000000"&amp;$W1415,6))</f>
        <v/>
      </c>
      <c r="Y1415">
        <f>IF($P1415="","",IF(Shares!$E1418="",0,Shares!$E1418))</f>
        <v/>
      </c>
      <c r="Z1415">
        <f>IF($P1415="","",Shares!$H1418)</f>
        <v/>
      </c>
      <c r="AE1415">
        <f>IF(OR(Sync!$S1415="",Sync!$P1415=""),"",Sync!$S1415)</f>
        <v/>
      </c>
      <c r="AF1415">
        <f>IF($AE1415="","",IF(ISNUMBER(Sync!$P1415),IF(AND(Sync!$P1415&gt;=10000101,Sync!$P1415&lt;=99991231),INT(Sync!$P1415/10000),""),IFERROR(VALUE(TRIM(LEFT(Sync!$P1415,FIND("/",Sync!$P1415)-1))),"")))</f>
        <v/>
      </c>
      <c r="AG1415">
        <f>IF(OR($AE1415="",$AF1415=""),"",IF(ISNUMBER(Sync!$P1415),INT(MOD(Sync!$P1415,10000)/100),IFERROR(VALUE(TRIM(LEFT(MID(Sync!$P1415,FIND("/",Sync!$P1415)+1,20),FIND("/",MID(Sync!$P1415,FIND("/",Sync!$P1415)+1,20))-1))),"")))</f>
        <v/>
      </c>
      <c r="AH1415">
        <f>IF(OR($AE1415="",$AF1415=""),"",IF(ISNUMBER(Sync!$P1415),MOD(Sync!$P1415,100),IFERROR(VALUE(TRIM(MID(MID(Sync!$P1415,FIND("/",Sync!$P1415)+1,20),FIND("/",MID(Sync!$P1415,FIND("/",Sync!$P1415)+1,20))+1,20))),"")))</f>
        <v/>
      </c>
      <c r="AI1415">
        <f>IF($AE1415="","",IF(OR($AF1415="",$AG1415="",$AH1415="",$AF1415&lt;1300,$AF1415&gt;1500,$AG1415&lt;1,$AG1415&gt;12,$AH1415&lt;1,$AH1415&gt;31),"نامعتبر",RIGHT("0000"&amp;$AF1415,4)&amp;"/"&amp;RIGHT("00"&amp;$AG1415,2)&amp;"/"&amp;RIGHT("00"&amp;$AH1415,2)))</f>
        <v/>
      </c>
      <c r="AJ1415">
        <f>IF($AE1415="","",IF(Sync!$Q1415="","0000",IF(AND(ISNUMBER(Sync!$Q1415),Sync!$Q1415&gt;=0,Sync!$Q1415&lt;1),RIGHT("00"&amp;HOUR(Sync!$Q1415),2)&amp;RIGHT("00"&amp;MINUTE(Sync!$Q1415),2),IFERROR(RIGHT("00"&amp;VALUE(LEFT(Sync!$Q1415,FIND(":",Sync!$Q1415)-1)),2)&amp;RIGHT("00"&amp;VALUE(MID(Sync!$Q1415,FIND(":",Sync!$Q1415)+1,2)),2),"0000"))))</f>
        <v/>
      </c>
      <c r="AK1415">
        <f>IF(OR($AE1415="",$AI1415="",$AI1415="نامعتبر"),"",LEFT($AI1415,4)&amp;MID($AI1415,6,2)&amp;RIGHT($AI1415,2)&amp;$AJ1415&amp;"|"&amp;"3"&amp;RIGHT("00000"&amp;1410,5))</f>
        <v/>
      </c>
      <c r="AL1415">
        <f>IF($AK1415="","",COUNTIFS(LdAParty,$AE1415,LdAType,1,LdAKey,"&lt;"&amp;$AK1415)+COUNTIFS(LdBMember,$AE1415,LdBKey,"&lt;"&amp;$AK1415)+COUNTIFS(LdCParty,$AE1415,LdCKey,"&lt;"&amp;$AK1415)+1)</f>
        <v/>
      </c>
      <c r="AM1415">
        <f>IF($AL1415="","",$AE1415&amp;"|"&amp;RIGHT("000000"&amp;$AL1415,6))</f>
        <v/>
      </c>
      <c r="AN1415">
        <f>IF($AE1415="","",IF(Sync!$W1415="",0,Sync!$W1415))</f>
        <v/>
      </c>
      <c r="AO1415">
        <f>IF($AE1415="","",IF(Sync!$X1415="",0,Sync!$X1415))</f>
        <v/>
      </c>
      <c r="AP1415">
        <f>IF($AE1415="","",Sync!$R1415)</f>
        <v/>
      </c>
      <c r="AQ1415">
        <f>IF($AE1415="","",Sync!$Y1415)</f>
        <v/>
      </c>
    </row>
    <row r="1416">
      <c r="A1416">
        <f>IF(OR(Wages!$B1419="",Wages!$E1419=""),"",Wages!$E1419)</f>
        <v/>
      </c>
      <c r="B1416">
        <f>IF($A1416="","",IF(Wages!$C1419="دستمزد گروهی",2,1))</f>
        <v/>
      </c>
      <c r="C1416">
        <f>IF($A1416="","",IF(ISNUMBER(Wages!$B1419),IF(AND(Wages!$B1419&gt;=10000101,Wages!$B1419&lt;=99991231),INT(Wages!$B1419/10000),""),IFERROR(VALUE(TRIM(LEFT(Wages!$B1419,FIND("/",Wages!$B1419)-1))),"")))</f>
        <v/>
      </c>
      <c r="D1416">
        <f>IF(OR($A1416="",$C1416=""),"",IF(ISNUMBER(Wages!$B1419),INT(MOD(Wages!$B1419,10000)/100),IFERROR(VALUE(TRIM(LEFT(MID(Wages!$B1419,FIND("/",Wages!$B1419)+1,20),FIND("/",MID(Wages!$B1419,FIND("/",Wages!$B1419)+1,20))-1))),"")))</f>
        <v/>
      </c>
      <c r="E1416">
        <f>IF(OR($A1416="",$C1416=""),"",IF(ISNUMBER(Wages!$B1419),MOD(Wages!$B1419,100),IFERROR(VALUE(TRIM(MID(MID(Wages!$B1419,FIND("/",Wages!$B1419)+1,20),FIND("/",MID(Wages!$B1419,FIND("/",Wages!$B1419)+1,20))+1,20))),"")))</f>
        <v/>
      </c>
      <c r="F1416">
        <f>IF($A1416="","",IF(OR($C1416="",$D1416="",$E1416="",$C1416&lt;1300,$C1416&gt;1500,$D1416&lt;1,$D1416&gt;12,$E1416&lt;1,$E1416&gt;31),"نامعتبر",RIGHT("0000"&amp;$C1416,4)&amp;"/"&amp;RIGHT("00"&amp;$D1416,2)&amp;"/"&amp;RIGHT("00"&amp;$E1416,2)))</f>
        <v/>
      </c>
      <c r="G1416">
        <f>IF(OR($A1416="",$F1416="",$F1416="نامعتبر"),"",LEFT($F1416,4)&amp;MID($F1416,6,2)&amp;RIGHT($F1416,2)&amp;"0000"&amp;"|"&amp;"1"&amp;RIGHT("00000"&amp;1411,5))</f>
        <v/>
      </c>
      <c r="H1416">
        <f>IF(OR($B1416&lt;&gt;1,$G1416=""),"",COUNTIFS(LdAParty,$A1416,LdAType,1,LdAKey,"&lt;"&amp;$G1416)+COUNTIFS(LdBMember,$A1416,LdBKey,"&lt;"&amp;$G1416)+COUNTIFS(LdCParty,$A1416,LdCKey,"&lt;"&amp;$G1416)+1)</f>
        <v/>
      </c>
      <c r="I1416">
        <f>IF($H1416="","",$A1416&amp;"|"&amp;RIGHT("000000"&amp;$H1416,6))</f>
        <v/>
      </c>
      <c r="J1416">
        <f>IF(OR($B1416&lt;&gt;2,$G1416=""),"",COUNTIFS(LdAParty,$A1416,LdAType,2,LdAKey,"&lt;"&amp;$G1416)+1)</f>
        <v/>
      </c>
      <c r="K1416">
        <f>IF($J1416="","",$A1416&amp;"|"&amp;RIGHT("000000"&amp;$J1416,6))</f>
        <v/>
      </c>
      <c r="L1416">
        <f>IF($A1416="","",IF(Wages!$G1419="",0,Wages!$G1419))</f>
        <v/>
      </c>
      <c r="M1416">
        <f>IF($A1416="","",Wages!$J1419)</f>
        <v/>
      </c>
      <c r="N1416">
        <f>IF($A1416="","",Wages!$D1419)</f>
        <v/>
      </c>
      <c r="P1416">
        <f>IF(OR(Shares!$B1419="",Shares!$C1419=""),"",Shares!$C1419)</f>
        <v/>
      </c>
      <c r="Q1416">
        <f>IF($P1416="","",Shares!$B1419)</f>
        <v/>
      </c>
      <c r="R1416">
        <f>IF($P1416="","",IFERROR(INDEX(WageParty,MATCH($Q1416,WageIds,0)),""))</f>
        <v/>
      </c>
      <c r="S1416">
        <f>IF($P1416="","",IFERROR(INDEX($F$6:$F$2005,MATCH($Q1416,WageIds,0)),""))</f>
        <v/>
      </c>
      <c r="T1416">
        <f>IF(OR($P1416="",$S1416="",$S1416="نامعتبر"),"",LEFT($S1416,4)&amp;MID($S1416,6,2)&amp;RIGHT($S1416,2)&amp;"0000"&amp;"|"&amp;"2"&amp;RIGHT("00000"&amp;1411,5))</f>
        <v/>
      </c>
      <c r="U1416">
        <f>IF($T1416="","",COUNTIFS(LdAParty,$P1416,LdAType,1,LdAKey,"&lt;"&amp;$T1416)+COUNTIFS(LdBMember,$P1416,LdBKey,"&lt;"&amp;$T1416)+COUNTIFS(LdCParty,$P1416,LdCKey,"&lt;"&amp;$T1416)+1)</f>
        <v/>
      </c>
      <c r="V1416">
        <f>IF($U1416="","",$P1416&amp;"|"&amp;RIGHT("000000"&amp;$U1416,6))</f>
        <v/>
      </c>
      <c r="W1416">
        <f>IF($T1416="","",COUNTIFS(LdBGroup,$R1416,LdBKey,"&lt;"&amp;$T1416)+1)</f>
        <v/>
      </c>
      <c r="X1416">
        <f>IF($W1416="","",$R1416&amp;"|"&amp;RIGHT("000000"&amp;$W1416,6))</f>
        <v/>
      </c>
      <c r="Y1416">
        <f>IF($P1416="","",IF(Shares!$E1419="",0,Shares!$E1419))</f>
        <v/>
      </c>
      <c r="Z1416">
        <f>IF($P1416="","",Shares!$H1419)</f>
        <v/>
      </c>
      <c r="AE1416">
        <f>IF(OR(Sync!$S1416="",Sync!$P1416=""),"",Sync!$S1416)</f>
        <v/>
      </c>
      <c r="AF1416">
        <f>IF($AE1416="","",IF(ISNUMBER(Sync!$P1416),IF(AND(Sync!$P1416&gt;=10000101,Sync!$P1416&lt;=99991231),INT(Sync!$P1416/10000),""),IFERROR(VALUE(TRIM(LEFT(Sync!$P1416,FIND("/",Sync!$P1416)-1))),"")))</f>
        <v/>
      </c>
      <c r="AG1416">
        <f>IF(OR($AE1416="",$AF1416=""),"",IF(ISNUMBER(Sync!$P1416),INT(MOD(Sync!$P1416,10000)/100),IFERROR(VALUE(TRIM(LEFT(MID(Sync!$P1416,FIND("/",Sync!$P1416)+1,20),FIND("/",MID(Sync!$P1416,FIND("/",Sync!$P1416)+1,20))-1))),"")))</f>
        <v/>
      </c>
      <c r="AH1416">
        <f>IF(OR($AE1416="",$AF1416=""),"",IF(ISNUMBER(Sync!$P1416),MOD(Sync!$P1416,100),IFERROR(VALUE(TRIM(MID(MID(Sync!$P1416,FIND("/",Sync!$P1416)+1,20),FIND("/",MID(Sync!$P1416,FIND("/",Sync!$P1416)+1,20))+1,20))),"")))</f>
        <v/>
      </c>
      <c r="AI1416">
        <f>IF($AE1416="","",IF(OR($AF1416="",$AG1416="",$AH1416="",$AF1416&lt;1300,$AF1416&gt;1500,$AG1416&lt;1,$AG1416&gt;12,$AH1416&lt;1,$AH1416&gt;31),"نامعتبر",RIGHT("0000"&amp;$AF1416,4)&amp;"/"&amp;RIGHT("00"&amp;$AG1416,2)&amp;"/"&amp;RIGHT("00"&amp;$AH1416,2)))</f>
        <v/>
      </c>
      <c r="AJ1416">
        <f>IF($AE1416="","",IF(Sync!$Q1416="","0000",IF(AND(ISNUMBER(Sync!$Q1416),Sync!$Q1416&gt;=0,Sync!$Q1416&lt;1),RIGHT("00"&amp;HOUR(Sync!$Q1416),2)&amp;RIGHT("00"&amp;MINUTE(Sync!$Q1416),2),IFERROR(RIGHT("00"&amp;VALUE(LEFT(Sync!$Q1416,FIND(":",Sync!$Q1416)-1)),2)&amp;RIGHT("00"&amp;VALUE(MID(Sync!$Q1416,FIND(":",Sync!$Q1416)+1,2)),2),"0000"))))</f>
        <v/>
      </c>
      <c r="AK1416">
        <f>IF(OR($AE1416="",$AI1416="",$AI1416="نامعتبر"),"",LEFT($AI1416,4)&amp;MID($AI1416,6,2)&amp;RIGHT($AI1416,2)&amp;$AJ1416&amp;"|"&amp;"3"&amp;RIGHT("00000"&amp;1411,5))</f>
        <v/>
      </c>
      <c r="AL1416">
        <f>IF($AK1416="","",COUNTIFS(LdAParty,$AE1416,LdAType,1,LdAKey,"&lt;"&amp;$AK1416)+COUNTIFS(LdBMember,$AE1416,LdBKey,"&lt;"&amp;$AK1416)+COUNTIFS(LdCParty,$AE1416,LdCKey,"&lt;"&amp;$AK1416)+1)</f>
        <v/>
      </c>
      <c r="AM1416">
        <f>IF($AL1416="","",$AE1416&amp;"|"&amp;RIGHT("000000"&amp;$AL1416,6))</f>
        <v/>
      </c>
      <c r="AN1416">
        <f>IF($AE1416="","",IF(Sync!$W1416="",0,Sync!$W1416))</f>
        <v/>
      </c>
      <c r="AO1416">
        <f>IF($AE1416="","",IF(Sync!$X1416="",0,Sync!$X1416))</f>
        <v/>
      </c>
      <c r="AP1416">
        <f>IF($AE1416="","",Sync!$R1416)</f>
        <v/>
      </c>
      <c r="AQ1416">
        <f>IF($AE1416="","",Sync!$Y1416)</f>
        <v/>
      </c>
    </row>
    <row r="1417">
      <c r="A1417">
        <f>IF(OR(Wages!$B1420="",Wages!$E1420=""),"",Wages!$E1420)</f>
        <v/>
      </c>
      <c r="B1417">
        <f>IF($A1417="","",IF(Wages!$C1420="دستمزد گروهی",2,1))</f>
        <v/>
      </c>
      <c r="C1417">
        <f>IF($A1417="","",IF(ISNUMBER(Wages!$B1420),IF(AND(Wages!$B1420&gt;=10000101,Wages!$B1420&lt;=99991231),INT(Wages!$B1420/10000),""),IFERROR(VALUE(TRIM(LEFT(Wages!$B1420,FIND("/",Wages!$B1420)-1))),"")))</f>
        <v/>
      </c>
      <c r="D1417">
        <f>IF(OR($A1417="",$C1417=""),"",IF(ISNUMBER(Wages!$B1420),INT(MOD(Wages!$B1420,10000)/100),IFERROR(VALUE(TRIM(LEFT(MID(Wages!$B1420,FIND("/",Wages!$B1420)+1,20),FIND("/",MID(Wages!$B1420,FIND("/",Wages!$B1420)+1,20))-1))),"")))</f>
        <v/>
      </c>
      <c r="E1417">
        <f>IF(OR($A1417="",$C1417=""),"",IF(ISNUMBER(Wages!$B1420),MOD(Wages!$B1420,100),IFERROR(VALUE(TRIM(MID(MID(Wages!$B1420,FIND("/",Wages!$B1420)+1,20),FIND("/",MID(Wages!$B1420,FIND("/",Wages!$B1420)+1,20))+1,20))),"")))</f>
        <v/>
      </c>
      <c r="F1417">
        <f>IF($A1417="","",IF(OR($C1417="",$D1417="",$E1417="",$C1417&lt;1300,$C1417&gt;1500,$D1417&lt;1,$D1417&gt;12,$E1417&lt;1,$E1417&gt;31),"نامعتبر",RIGHT("0000"&amp;$C1417,4)&amp;"/"&amp;RIGHT("00"&amp;$D1417,2)&amp;"/"&amp;RIGHT("00"&amp;$E1417,2)))</f>
        <v/>
      </c>
      <c r="G1417">
        <f>IF(OR($A1417="",$F1417="",$F1417="نامعتبر"),"",LEFT($F1417,4)&amp;MID($F1417,6,2)&amp;RIGHT($F1417,2)&amp;"0000"&amp;"|"&amp;"1"&amp;RIGHT("00000"&amp;1412,5))</f>
        <v/>
      </c>
      <c r="H1417">
        <f>IF(OR($B1417&lt;&gt;1,$G1417=""),"",COUNTIFS(LdAParty,$A1417,LdAType,1,LdAKey,"&lt;"&amp;$G1417)+COUNTIFS(LdBMember,$A1417,LdBKey,"&lt;"&amp;$G1417)+COUNTIFS(LdCParty,$A1417,LdCKey,"&lt;"&amp;$G1417)+1)</f>
        <v/>
      </c>
      <c r="I1417">
        <f>IF($H1417="","",$A1417&amp;"|"&amp;RIGHT("000000"&amp;$H1417,6))</f>
        <v/>
      </c>
      <c r="J1417">
        <f>IF(OR($B1417&lt;&gt;2,$G1417=""),"",COUNTIFS(LdAParty,$A1417,LdAType,2,LdAKey,"&lt;"&amp;$G1417)+1)</f>
        <v/>
      </c>
      <c r="K1417">
        <f>IF($J1417="","",$A1417&amp;"|"&amp;RIGHT("000000"&amp;$J1417,6))</f>
        <v/>
      </c>
      <c r="L1417">
        <f>IF($A1417="","",IF(Wages!$G1420="",0,Wages!$G1420))</f>
        <v/>
      </c>
      <c r="M1417">
        <f>IF($A1417="","",Wages!$J1420)</f>
        <v/>
      </c>
      <c r="N1417">
        <f>IF($A1417="","",Wages!$D1420)</f>
        <v/>
      </c>
      <c r="P1417">
        <f>IF(OR(Shares!$B1420="",Shares!$C1420=""),"",Shares!$C1420)</f>
        <v/>
      </c>
      <c r="Q1417">
        <f>IF($P1417="","",Shares!$B1420)</f>
        <v/>
      </c>
      <c r="R1417">
        <f>IF($P1417="","",IFERROR(INDEX(WageParty,MATCH($Q1417,WageIds,0)),""))</f>
        <v/>
      </c>
      <c r="S1417">
        <f>IF($P1417="","",IFERROR(INDEX($F$6:$F$2005,MATCH($Q1417,WageIds,0)),""))</f>
        <v/>
      </c>
      <c r="T1417">
        <f>IF(OR($P1417="",$S1417="",$S1417="نامعتبر"),"",LEFT($S1417,4)&amp;MID($S1417,6,2)&amp;RIGHT($S1417,2)&amp;"0000"&amp;"|"&amp;"2"&amp;RIGHT("00000"&amp;1412,5))</f>
        <v/>
      </c>
      <c r="U1417">
        <f>IF($T1417="","",COUNTIFS(LdAParty,$P1417,LdAType,1,LdAKey,"&lt;"&amp;$T1417)+COUNTIFS(LdBMember,$P1417,LdBKey,"&lt;"&amp;$T1417)+COUNTIFS(LdCParty,$P1417,LdCKey,"&lt;"&amp;$T1417)+1)</f>
        <v/>
      </c>
      <c r="V1417">
        <f>IF($U1417="","",$P1417&amp;"|"&amp;RIGHT("000000"&amp;$U1417,6))</f>
        <v/>
      </c>
      <c r="W1417">
        <f>IF($T1417="","",COUNTIFS(LdBGroup,$R1417,LdBKey,"&lt;"&amp;$T1417)+1)</f>
        <v/>
      </c>
      <c r="X1417">
        <f>IF($W1417="","",$R1417&amp;"|"&amp;RIGHT("000000"&amp;$W1417,6))</f>
        <v/>
      </c>
      <c r="Y1417">
        <f>IF($P1417="","",IF(Shares!$E1420="",0,Shares!$E1420))</f>
        <v/>
      </c>
      <c r="Z1417">
        <f>IF($P1417="","",Shares!$H1420)</f>
        <v/>
      </c>
      <c r="AE1417">
        <f>IF(OR(Sync!$S1417="",Sync!$P1417=""),"",Sync!$S1417)</f>
        <v/>
      </c>
      <c r="AF1417">
        <f>IF($AE1417="","",IF(ISNUMBER(Sync!$P1417),IF(AND(Sync!$P1417&gt;=10000101,Sync!$P1417&lt;=99991231),INT(Sync!$P1417/10000),""),IFERROR(VALUE(TRIM(LEFT(Sync!$P1417,FIND("/",Sync!$P1417)-1))),"")))</f>
        <v/>
      </c>
      <c r="AG1417">
        <f>IF(OR($AE1417="",$AF1417=""),"",IF(ISNUMBER(Sync!$P1417),INT(MOD(Sync!$P1417,10000)/100),IFERROR(VALUE(TRIM(LEFT(MID(Sync!$P1417,FIND("/",Sync!$P1417)+1,20),FIND("/",MID(Sync!$P1417,FIND("/",Sync!$P1417)+1,20))-1))),"")))</f>
        <v/>
      </c>
      <c r="AH1417">
        <f>IF(OR($AE1417="",$AF1417=""),"",IF(ISNUMBER(Sync!$P1417),MOD(Sync!$P1417,100),IFERROR(VALUE(TRIM(MID(MID(Sync!$P1417,FIND("/",Sync!$P1417)+1,20),FIND("/",MID(Sync!$P1417,FIND("/",Sync!$P1417)+1,20))+1,20))),"")))</f>
        <v/>
      </c>
      <c r="AI1417">
        <f>IF($AE1417="","",IF(OR($AF1417="",$AG1417="",$AH1417="",$AF1417&lt;1300,$AF1417&gt;1500,$AG1417&lt;1,$AG1417&gt;12,$AH1417&lt;1,$AH1417&gt;31),"نامعتبر",RIGHT("0000"&amp;$AF1417,4)&amp;"/"&amp;RIGHT("00"&amp;$AG1417,2)&amp;"/"&amp;RIGHT("00"&amp;$AH1417,2)))</f>
        <v/>
      </c>
      <c r="AJ1417">
        <f>IF($AE1417="","",IF(Sync!$Q1417="","0000",IF(AND(ISNUMBER(Sync!$Q1417),Sync!$Q1417&gt;=0,Sync!$Q1417&lt;1),RIGHT("00"&amp;HOUR(Sync!$Q1417),2)&amp;RIGHT("00"&amp;MINUTE(Sync!$Q1417),2),IFERROR(RIGHT("00"&amp;VALUE(LEFT(Sync!$Q1417,FIND(":",Sync!$Q1417)-1)),2)&amp;RIGHT("00"&amp;VALUE(MID(Sync!$Q1417,FIND(":",Sync!$Q1417)+1,2)),2),"0000"))))</f>
        <v/>
      </c>
      <c r="AK1417">
        <f>IF(OR($AE1417="",$AI1417="",$AI1417="نامعتبر"),"",LEFT($AI1417,4)&amp;MID($AI1417,6,2)&amp;RIGHT($AI1417,2)&amp;$AJ1417&amp;"|"&amp;"3"&amp;RIGHT("00000"&amp;1412,5))</f>
        <v/>
      </c>
      <c r="AL1417">
        <f>IF($AK1417="","",COUNTIFS(LdAParty,$AE1417,LdAType,1,LdAKey,"&lt;"&amp;$AK1417)+COUNTIFS(LdBMember,$AE1417,LdBKey,"&lt;"&amp;$AK1417)+COUNTIFS(LdCParty,$AE1417,LdCKey,"&lt;"&amp;$AK1417)+1)</f>
        <v/>
      </c>
      <c r="AM1417">
        <f>IF($AL1417="","",$AE1417&amp;"|"&amp;RIGHT("000000"&amp;$AL1417,6))</f>
        <v/>
      </c>
      <c r="AN1417">
        <f>IF($AE1417="","",IF(Sync!$W1417="",0,Sync!$W1417))</f>
        <v/>
      </c>
      <c r="AO1417">
        <f>IF($AE1417="","",IF(Sync!$X1417="",0,Sync!$X1417))</f>
        <v/>
      </c>
      <c r="AP1417">
        <f>IF($AE1417="","",Sync!$R1417)</f>
        <v/>
      </c>
      <c r="AQ1417">
        <f>IF($AE1417="","",Sync!$Y1417)</f>
        <v/>
      </c>
    </row>
    <row r="1418">
      <c r="A1418">
        <f>IF(OR(Wages!$B1421="",Wages!$E1421=""),"",Wages!$E1421)</f>
        <v/>
      </c>
      <c r="B1418">
        <f>IF($A1418="","",IF(Wages!$C1421="دستمزد گروهی",2,1))</f>
        <v/>
      </c>
      <c r="C1418">
        <f>IF($A1418="","",IF(ISNUMBER(Wages!$B1421),IF(AND(Wages!$B1421&gt;=10000101,Wages!$B1421&lt;=99991231),INT(Wages!$B1421/10000),""),IFERROR(VALUE(TRIM(LEFT(Wages!$B1421,FIND("/",Wages!$B1421)-1))),"")))</f>
        <v/>
      </c>
      <c r="D1418">
        <f>IF(OR($A1418="",$C1418=""),"",IF(ISNUMBER(Wages!$B1421),INT(MOD(Wages!$B1421,10000)/100),IFERROR(VALUE(TRIM(LEFT(MID(Wages!$B1421,FIND("/",Wages!$B1421)+1,20),FIND("/",MID(Wages!$B1421,FIND("/",Wages!$B1421)+1,20))-1))),"")))</f>
        <v/>
      </c>
      <c r="E1418">
        <f>IF(OR($A1418="",$C1418=""),"",IF(ISNUMBER(Wages!$B1421),MOD(Wages!$B1421,100),IFERROR(VALUE(TRIM(MID(MID(Wages!$B1421,FIND("/",Wages!$B1421)+1,20),FIND("/",MID(Wages!$B1421,FIND("/",Wages!$B1421)+1,20))+1,20))),"")))</f>
        <v/>
      </c>
      <c r="F1418">
        <f>IF($A1418="","",IF(OR($C1418="",$D1418="",$E1418="",$C1418&lt;1300,$C1418&gt;1500,$D1418&lt;1,$D1418&gt;12,$E1418&lt;1,$E1418&gt;31),"نامعتبر",RIGHT("0000"&amp;$C1418,4)&amp;"/"&amp;RIGHT("00"&amp;$D1418,2)&amp;"/"&amp;RIGHT("00"&amp;$E1418,2)))</f>
        <v/>
      </c>
      <c r="G1418">
        <f>IF(OR($A1418="",$F1418="",$F1418="نامعتبر"),"",LEFT($F1418,4)&amp;MID($F1418,6,2)&amp;RIGHT($F1418,2)&amp;"0000"&amp;"|"&amp;"1"&amp;RIGHT("00000"&amp;1413,5))</f>
        <v/>
      </c>
      <c r="H1418">
        <f>IF(OR($B1418&lt;&gt;1,$G1418=""),"",COUNTIFS(LdAParty,$A1418,LdAType,1,LdAKey,"&lt;"&amp;$G1418)+COUNTIFS(LdBMember,$A1418,LdBKey,"&lt;"&amp;$G1418)+COUNTIFS(LdCParty,$A1418,LdCKey,"&lt;"&amp;$G1418)+1)</f>
        <v/>
      </c>
      <c r="I1418">
        <f>IF($H1418="","",$A1418&amp;"|"&amp;RIGHT("000000"&amp;$H1418,6))</f>
        <v/>
      </c>
      <c r="J1418">
        <f>IF(OR($B1418&lt;&gt;2,$G1418=""),"",COUNTIFS(LdAParty,$A1418,LdAType,2,LdAKey,"&lt;"&amp;$G1418)+1)</f>
        <v/>
      </c>
      <c r="K1418">
        <f>IF($J1418="","",$A1418&amp;"|"&amp;RIGHT("000000"&amp;$J1418,6))</f>
        <v/>
      </c>
      <c r="L1418">
        <f>IF($A1418="","",IF(Wages!$G1421="",0,Wages!$G1421))</f>
        <v/>
      </c>
      <c r="M1418">
        <f>IF($A1418="","",Wages!$J1421)</f>
        <v/>
      </c>
      <c r="N1418">
        <f>IF($A1418="","",Wages!$D1421)</f>
        <v/>
      </c>
      <c r="P1418">
        <f>IF(OR(Shares!$B1421="",Shares!$C1421=""),"",Shares!$C1421)</f>
        <v/>
      </c>
      <c r="Q1418">
        <f>IF($P1418="","",Shares!$B1421)</f>
        <v/>
      </c>
      <c r="R1418">
        <f>IF($P1418="","",IFERROR(INDEX(WageParty,MATCH($Q1418,WageIds,0)),""))</f>
        <v/>
      </c>
      <c r="S1418">
        <f>IF($P1418="","",IFERROR(INDEX($F$6:$F$2005,MATCH($Q1418,WageIds,0)),""))</f>
        <v/>
      </c>
      <c r="T1418">
        <f>IF(OR($P1418="",$S1418="",$S1418="نامعتبر"),"",LEFT($S1418,4)&amp;MID($S1418,6,2)&amp;RIGHT($S1418,2)&amp;"0000"&amp;"|"&amp;"2"&amp;RIGHT("00000"&amp;1413,5))</f>
        <v/>
      </c>
      <c r="U1418">
        <f>IF($T1418="","",COUNTIFS(LdAParty,$P1418,LdAType,1,LdAKey,"&lt;"&amp;$T1418)+COUNTIFS(LdBMember,$P1418,LdBKey,"&lt;"&amp;$T1418)+COUNTIFS(LdCParty,$P1418,LdCKey,"&lt;"&amp;$T1418)+1)</f>
        <v/>
      </c>
      <c r="V1418">
        <f>IF($U1418="","",$P1418&amp;"|"&amp;RIGHT("000000"&amp;$U1418,6))</f>
        <v/>
      </c>
      <c r="W1418">
        <f>IF($T1418="","",COUNTIFS(LdBGroup,$R1418,LdBKey,"&lt;"&amp;$T1418)+1)</f>
        <v/>
      </c>
      <c r="X1418">
        <f>IF($W1418="","",$R1418&amp;"|"&amp;RIGHT("000000"&amp;$W1418,6))</f>
        <v/>
      </c>
      <c r="Y1418">
        <f>IF($P1418="","",IF(Shares!$E1421="",0,Shares!$E1421))</f>
        <v/>
      </c>
      <c r="Z1418">
        <f>IF($P1418="","",Shares!$H1421)</f>
        <v/>
      </c>
      <c r="AE1418">
        <f>IF(OR(Sync!$S1418="",Sync!$P1418=""),"",Sync!$S1418)</f>
        <v/>
      </c>
      <c r="AF1418">
        <f>IF($AE1418="","",IF(ISNUMBER(Sync!$P1418),IF(AND(Sync!$P1418&gt;=10000101,Sync!$P1418&lt;=99991231),INT(Sync!$P1418/10000),""),IFERROR(VALUE(TRIM(LEFT(Sync!$P1418,FIND("/",Sync!$P1418)-1))),"")))</f>
        <v/>
      </c>
      <c r="AG1418">
        <f>IF(OR($AE1418="",$AF1418=""),"",IF(ISNUMBER(Sync!$P1418),INT(MOD(Sync!$P1418,10000)/100),IFERROR(VALUE(TRIM(LEFT(MID(Sync!$P1418,FIND("/",Sync!$P1418)+1,20),FIND("/",MID(Sync!$P1418,FIND("/",Sync!$P1418)+1,20))-1))),"")))</f>
        <v/>
      </c>
      <c r="AH1418">
        <f>IF(OR($AE1418="",$AF1418=""),"",IF(ISNUMBER(Sync!$P1418),MOD(Sync!$P1418,100),IFERROR(VALUE(TRIM(MID(MID(Sync!$P1418,FIND("/",Sync!$P1418)+1,20),FIND("/",MID(Sync!$P1418,FIND("/",Sync!$P1418)+1,20))+1,20))),"")))</f>
        <v/>
      </c>
      <c r="AI1418">
        <f>IF($AE1418="","",IF(OR($AF1418="",$AG1418="",$AH1418="",$AF1418&lt;1300,$AF1418&gt;1500,$AG1418&lt;1,$AG1418&gt;12,$AH1418&lt;1,$AH1418&gt;31),"نامعتبر",RIGHT("0000"&amp;$AF1418,4)&amp;"/"&amp;RIGHT("00"&amp;$AG1418,2)&amp;"/"&amp;RIGHT("00"&amp;$AH1418,2)))</f>
        <v/>
      </c>
      <c r="AJ1418">
        <f>IF($AE1418="","",IF(Sync!$Q1418="","0000",IF(AND(ISNUMBER(Sync!$Q1418),Sync!$Q1418&gt;=0,Sync!$Q1418&lt;1),RIGHT("00"&amp;HOUR(Sync!$Q1418),2)&amp;RIGHT("00"&amp;MINUTE(Sync!$Q1418),2),IFERROR(RIGHT("00"&amp;VALUE(LEFT(Sync!$Q1418,FIND(":",Sync!$Q1418)-1)),2)&amp;RIGHT("00"&amp;VALUE(MID(Sync!$Q1418,FIND(":",Sync!$Q1418)+1,2)),2),"0000"))))</f>
        <v/>
      </c>
      <c r="AK1418">
        <f>IF(OR($AE1418="",$AI1418="",$AI1418="نامعتبر"),"",LEFT($AI1418,4)&amp;MID($AI1418,6,2)&amp;RIGHT($AI1418,2)&amp;$AJ1418&amp;"|"&amp;"3"&amp;RIGHT("00000"&amp;1413,5))</f>
        <v/>
      </c>
      <c r="AL1418">
        <f>IF($AK1418="","",COUNTIFS(LdAParty,$AE1418,LdAType,1,LdAKey,"&lt;"&amp;$AK1418)+COUNTIFS(LdBMember,$AE1418,LdBKey,"&lt;"&amp;$AK1418)+COUNTIFS(LdCParty,$AE1418,LdCKey,"&lt;"&amp;$AK1418)+1)</f>
        <v/>
      </c>
      <c r="AM1418">
        <f>IF($AL1418="","",$AE1418&amp;"|"&amp;RIGHT("000000"&amp;$AL1418,6))</f>
        <v/>
      </c>
      <c r="AN1418">
        <f>IF($AE1418="","",IF(Sync!$W1418="",0,Sync!$W1418))</f>
        <v/>
      </c>
      <c r="AO1418">
        <f>IF($AE1418="","",IF(Sync!$X1418="",0,Sync!$X1418))</f>
        <v/>
      </c>
      <c r="AP1418">
        <f>IF($AE1418="","",Sync!$R1418)</f>
        <v/>
      </c>
      <c r="AQ1418">
        <f>IF($AE1418="","",Sync!$Y1418)</f>
        <v/>
      </c>
    </row>
    <row r="1419">
      <c r="A1419">
        <f>IF(OR(Wages!$B1422="",Wages!$E1422=""),"",Wages!$E1422)</f>
        <v/>
      </c>
      <c r="B1419">
        <f>IF($A1419="","",IF(Wages!$C1422="دستمزد گروهی",2,1))</f>
        <v/>
      </c>
      <c r="C1419">
        <f>IF($A1419="","",IF(ISNUMBER(Wages!$B1422),IF(AND(Wages!$B1422&gt;=10000101,Wages!$B1422&lt;=99991231),INT(Wages!$B1422/10000),""),IFERROR(VALUE(TRIM(LEFT(Wages!$B1422,FIND("/",Wages!$B1422)-1))),"")))</f>
        <v/>
      </c>
      <c r="D1419">
        <f>IF(OR($A1419="",$C1419=""),"",IF(ISNUMBER(Wages!$B1422),INT(MOD(Wages!$B1422,10000)/100),IFERROR(VALUE(TRIM(LEFT(MID(Wages!$B1422,FIND("/",Wages!$B1422)+1,20),FIND("/",MID(Wages!$B1422,FIND("/",Wages!$B1422)+1,20))-1))),"")))</f>
        <v/>
      </c>
      <c r="E1419">
        <f>IF(OR($A1419="",$C1419=""),"",IF(ISNUMBER(Wages!$B1422),MOD(Wages!$B1422,100),IFERROR(VALUE(TRIM(MID(MID(Wages!$B1422,FIND("/",Wages!$B1422)+1,20),FIND("/",MID(Wages!$B1422,FIND("/",Wages!$B1422)+1,20))+1,20))),"")))</f>
        <v/>
      </c>
      <c r="F1419">
        <f>IF($A1419="","",IF(OR($C1419="",$D1419="",$E1419="",$C1419&lt;1300,$C1419&gt;1500,$D1419&lt;1,$D1419&gt;12,$E1419&lt;1,$E1419&gt;31),"نامعتبر",RIGHT("0000"&amp;$C1419,4)&amp;"/"&amp;RIGHT("00"&amp;$D1419,2)&amp;"/"&amp;RIGHT("00"&amp;$E1419,2)))</f>
        <v/>
      </c>
      <c r="G1419">
        <f>IF(OR($A1419="",$F1419="",$F1419="نامعتبر"),"",LEFT($F1419,4)&amp;MID($F1419,6,2)&amp;RIGHT($F1419,2)&amp;"0000"&amp;"|"&amp;"1"&amp;RIGHT("00000"&amp;1414,5))</f>
        <v/>
      </c>
      <c r="H1419">
        <f>IF(OR($B1419&lt;&gt;1,$G1419=""),"",COUNTIFS(LdAParty,$A1419,LdAType,1,LdAKey,"&lt;"&amp;$G1419)+COUNTIFS(LdBMember,$A1419,LdBKey,"&lt;"&amp;$G1419)+COUNTIFS(LdCParty,$A1419,LdCKey,"&lt;"&amp;$G1419)+1)</f>
        <v/>
      </c>
      <c r="I1419">
        <f>IF($H1419="","",$A1419&amp;"|"&amp;RIGHT("000000"&amp;$H1419,6))</f>
        <v/>
      </c>
      <c r="J1419">
        <f>IF(OR($B1419&lt;&gt;2,$G1419=""),"",COUNTIFS(LdAParty,$A1419,LdAType,2,LdAKey,"&lt;"&amp;$G1419)+1)</f>
        <v/>
      </c>
      <c r="K1419">
        <f>IF($J1419="","",$A1419&amp;"|"&amp;RIGHT("000000"&amp;$J1419,6))</f>
        <v/>
      </c>
      <c r="L1419">
        <f>IF($A1419="","",IF(Wages!$G1422="",0,Wages!$G1422))</f>
        <v/>
      </c>
      <c r="M1419">
        <f>IF($A1419="","",Wages!$J1422)</f>
        <v/>
      </c>
      <c r="N1419">
        <f>IF($A1419="","",Wages!$D1422)</f>
        <v/>
      </c>
      <c r="P1419">
        <f>IF(OR(Shares!$B1422="",Shares!$C1422=""),"",Shares!$C1422)</f>
        <v/>
      </c>
      <c r="Q1419">
        <f>IF($P1419="","",Shares!$B1422)</f>
        <v/>
      </c>
      <c r="R1419">
        <f>IF($P1419="","",IFERROR(INDEX(WageParty,MATCH($Q1419,WageIds,0)),""))</f>
        <v/>
      </c>
      <c r="S1419">
        <f>IF($P1419="","",IFERROR(INDEX($F$6:$F$2005,MATCH($Q1419,WageIds,0)),""))</f>
        <v/>
      </c>
      <c r="T1419">
        <f>IF(OR($P1419="",$S1419="",$S1419="نامعتبر"),"",LEFT($S1419,4)&amp;MID($S1419,6,2)&amp;RIGHT($S1419,2)&amp;"0000"&amp;"|"&amp;"2"&amp;RIGHT("00000"&amp;1414,5))</f>
        <v/>
      </c>
      <c r="U1419">
        <f>IF($T1419="","",COUNTIFS(LdAParty,$P1419,LdAType,1,LdAKey,"&lt;"&amp;$T1419)+COUNTIFS(LdBMember,$P1419,LdBKey,"&lt;"&amp;$T1419)+COUNTIFS(LdCParty,$P1419,LdCKey,"&lt;"&amp;$T1419)+1)</f>
        <v/>
      </c>
      <c r="V1419">
        <f>IF($U1419="","",$P1419&amp;"|"&amp;RIGHT("000000"&amp;$U1419,6))</f>
        <v/>
      </c>
      <c r="W1419">
        <f>IF($T1419="","",COUNTIFS(LdBGroup,$R1419,LdBKey,"&lt;"&amp;$T1419)+1)</f>
        <v/>
      </c>
      <c r="X1419">
        <f>IF($W1419="","",$R1419&amp;"|"&amp;RIGHT("000000"&amp;$W1419,6))</f>
        <v/>
      </c>
      <c r="Y1419">
        <f>IF($P1419="","",IF(Shares!$E1422="",0,Shares!$E1422))</f>
        <v/>
      </c>
      <c r="Z1419">
        <f>IF($P1419="","",Shares!$H1422)</f>
        <v/>
      </c>
      <c r="AE1419">
        <f>IF(OR(Sync!$S1419="",Sync!$P1419=""),"",Sync!$S1419)</f>
        <v/>
      </c>
      <c r="AF1419">
        <f>IF($AE1419="","",IF(ISNUMBER(Sync!$P1419),IF(AND(Sync!$P1419&gt;=10000101,Sync!$P1419&lt;=99991231),INT(Sync!$P1419/10000),""),IFERROR(VALUE(TRIM(LEFT(Sync!$P1419,FIND("/",Sync!$P1419)-1))),"")))</f>
        <v/>
      </c>
      <c r="AG1419">
        <f>IF(OR($AE1419="",$AF1419=""),"",IF(ISNUMBER(Sync!$P1419),INT(MOD(Sync!$P1419,10000)/100),IFERROR(VALUE(TRIM(LEFT(MID(Sync!$P1419,FIND("/",Sync!$P1419)+1,20),FIND("/",MID(Sync!$P1419,FIND("/",Sync!$P1419)+1,20))-1))),"")))</f>
        <v/>
      </c>
      <c r="AH1419">
        <f>IF(OR($AE1419="",$AF1419=""),"",IF(ISNUMBER(Sync!$P1419),MOD(Sync!$P1419,100),IFERROR(VALUE(TRIM(MID(MID(Sync!$P1419,FIND("/",Sync!$P1419)+1,20),FIND("/",MID(Sync!$P1419,FIND("/",Sync!$P1419)+1,20))+1,20))),"")))</f>
        <v/>
      </c>
      <c r="AI1419">
        <f>IF($AE1419="","",IF(OR($AF1419="",$AG1419="",$AH1419="",$AF1419&lt;1300,$AF1419&gt;1500,$AG1419&lt;1,$AG1419&gt;12,$AH1419&lt;1,$AH1419&gt;31),"نامعتبر",RIGHT("0000"&amp;$AF1419,4)&amp;"/"&amp;RIGHT("00"&amp;$AG1419,2)&amp;"/"&amp;RIGHT("00"&amp;$AH1419,2)))</f>
        <v/>
      </c>
      <c r="AJ1419">
        <f>IF($AE1419="","",IF(Sync!$Q1419="","0000",IF(AND(ISNUMBER(Sync!$Q1419),Sync!$Q1419&gt;=0,Sync!$Q1419&lt;1),RIGHT("00"&amp;HOUR(Sync!$Q1419),2)&amp;RIGHT("00"&amp;MINUTE(Sync!$Q1419),2),IFERROR(RIGHT("00"&amp;VALUE(LEFT(Sync!$Q1419,FIND(":",Sync!$Q1419)-1)),2)&amp;RIGHT("00"&amp;VALUE(MID(Sync!$Q1419,FIND(":",Sync!$Q1419)+1,2)),2),"0000"))))</f>
        <v/>
      </c>
      <c r="AK1419">
        <f>IF(OR($AE1419="",$AI1419="",$AI1419="نامعتبر"),"",LEFT($AI1419,4)&amp;MID($AI1419,6,2)&amp;RIGHT($AI1419,2)&amp;$AJ1419&amp;"|"&amp;"3"&amp;RIGHT("00000"&amp;1414,5))</f>
        <v/>
      </c>
      <c r="AL1419">
        <f>IF($AK1419="","",COUNTIFS(LdAParty,$AE1419,LdAType,1,LdAKey,"&lt;"&amp;$AK1419)+COUNTIFS(LdBMember,$AE1419,LdBKey,"&lt;"&amp;$AK1419)+COUNTIFS(LdCParty,$AE1419,LdCKey,"&lt;"&amp;$AK1419)+1)</f>
        <v/>
      </c>
      <c r="AM1419">
        <f>IF($AL1419="","",$AE1419&amp;"|"&amp;RIGHT("000000"&amp;$AL1419,6))</f>
        <v/>
      </c>
      <c r="AN1419">
        <f>IF($AE1419="","",IF(Sync!$W1419="",0,Sync!$W1419))</f>
        <v/>
      </c>
      <c r="AO1419">
        <f>IF($AE1419="","",IF(Sync!$X1419="",0,Sync!$X1419))</f>
        <v/>
      </c>
      <c r="AP1419">
        <f>IF($AE1419="","",Sync!$R1419)</f>
        <v/>
      </c>
      <c r="AQ1419">
        <f>IF($AE1419="","",Sync!$Y1419)</f>
        <v/>
      </c>
    </row>
    <row r="1420">
      <c r="A1420">
        <f>IF(OR(Wages!$B1423="",Wages!$E1423=""),"",Wages!$E1423)</f>
        <v/>
      </c>
      <c r="B1420">
        <f>IF($A1420="","",IF(Wages!$C1423="دستمزد گروهی",2,1))</f>
        <v/>
      </c>
      <c r="C1420">
        <f>IF($A1420="","",IF(ISNUMBER(Wages!$B1423),IF(AND(Wages!$B1423&gt;=10000101,Wages!$B1423&lt;=99991231),INT(Wages!$B1423/10000),""),IFERROR(VALUE(TRIM(LEFT(Wages!$B1423,FIND("/",Wages!$B1423)-1))),"")))</f>
        <v/>
      </c>
      <c r="D1420">
        <f>IF(OR($A1420="",$C1420=""),"",IF(ISNUMBER(Wages!$B1423),INT(MOD(Wages!$B1423,10000)/100),IFERROR(VALUE(TRIM(LEFT(MID(Wages!$B1423,FIND("/",Wages!$B1423)+1,20),FIND("/",MID(Wages!$B1423,FIND("/",Wages!$B1423)+1,20))-1))),"")))</f>
        <v/>
      </c>
      <c r="E1420">
        <f>IF(OR($A1420="",$C1420=""),"",IF(ISNUMBER(Wages!$B1423),MOD(Wages!$B1423,100),IFERROR(VALUE(TRIM(MID(MID(Wages!$B1423,FIND("/",Wages!$B1423)+1,20),FIND("/",MID(Wages!$B1423,FIND("/",Wages!$B1423)+1,20))+1,20))),"")))</f>
        <v/>
      </c>
      <c r="F1420">
        <f>IF($A1420="","",IF(OR($C1420="",$D1420="",$E1420="",$C1420&lt;1300,$C1420&gt;1500,$D1420&lt;1,$D1420&gt;12,$E1420&lt;1,$E1420&gt;31),"نامعتبر",RIGHT("0000"&amp;$C1420,4)&amp;"/"&amp;RIGHT("00"&amp;$D1420,2)&amp;"/"&amp;RIGHT("00"&amp;$E1420,2)))</f>
        <v/>
      </c>
      <c r="G1420">
        <f>IF(OR($A1420="",$F1420="",$F1420="نامعتبر"),"",LEFT($F1420,4)&amp;MID($F1420,6,2)&amp;RIGHT($F1420,2)&amp;"0000"&amp;"|"&amp;"1"&amp;RIGHT("00000"&amp;1415,5))</f>
        <v/>
      </c>
      <c r="H1420">
        <f>IF(OR($B1420&lt;&gt;1,$G1420=""),"",COUNTIFS(LdAParty,$A1420,LdAType,1,LdAKey,"&lt;"&amp;$G1420)+COUNTIFS(LdBMember,$A1420,LdBKey,"&lt;"&amp;$G1420)+COUNTIFS(LdCParty,$A1420,LdCKey,"&lt;"&amp;$G1420)+1)</f>
        <v/>
      </c>
      <c r="I1420">
        <f>IF($H1420="","",$A1420&amp;"|"&amp;RIGHT("000000"&amp;$H1420,6))</f>
        <v/>
      </c>
      <c r="J1420">
        <f>IF(OR($B1420&lt;&gt;2,$G1420=""),"",COUNTIFS(LdAParty,$A1420,LdAType,2,LdAKey,"&lt;"&amp;$G1420)+1)</f>
        <v/>
      </c>
      <c r="K1420">
        <f>IF($J1420="","",$A1420&amp;"|"&amp;RIGHT("000000"&amp;$J1420,6))</f>
        <v/>
      </c>
      <c r="L1420">
        <f>IF($A1420="","",IF(Wages!$G1423="",0,Wages!$G1423))</f>
        <v/>
      </c>
      <c r="M1420">
        <f>IF($A1420="","",Wages!$J1423)</f>
        <v/>
      </c>
      <c r="N1420">
        <f>IF($A1420="","",Wages!$D1423)</f>
        <v/>
      </c>
      <c r="P1420">
        <f>IF(OR(Shares!$B1423="",Shares!$C1423=""),"",Shares!$C1423)</f>
        <v/>
      </c>
      <c r="Q1420">
        <f>IF($P1420="","",Shares!$B1423)</f>
        <v/>
      </c>
      <c r="R1420">
        <f>IF($P1420="","",IFERROR(INDEX(WageParty,MATCH($Q1420,WageIds,0)),""))</f>
        <v/>
      </c>
      <c r="S1420">
        <f>IF($P1420="","",IFERROR(INDEX($F$6:$F$2005,MATCH($Q1420,WageIds,0)),""))</f>
        <v/>
      </c>
      <c r="T1420">
        <f>IF(OR($P1420="",$S1420="",$S1420="نامعتبر"),"",LEFT($S1420,4)&amp;MID($S1420,6,2)&amp;RIGHT($S1420,2)&amp;"0000"&amp;"|"&amp;"2"&amp;RIGHT("00000"&amp;1415,5))</f>
        <v/>
      </c>
      <c r="U1420">
        <f>IF($T1420="","",COUNTIFS(LdAParty,$P1420,LdAType,1,LdAKey,"&lt;"&amp;$T1420)+COUNTIFS(LdBMember,$P1420,LdBKey,"&lt;"&amp;$T1420)+COUNTIFS(LdCParty,$P1420,LdCKey,"&lt;"&amp;$T1420)+1)</f>
        <v/>
      </c>
      <c r="V1420">
        <f>IF($U1420="","",$P1420&amp;"|"&amp;RIGHT("000000"&amp;$U1420,6))</f>
        <v/>
      </c>
      <c r="W1420">
        <f>IF($T1420="","",COUNTIFS(LdBGroup,$R1420,LdBKey,"&lt;"&amp;$T1420)+1)</f>
        <v/>
      </c>
      <c r="X1420">
        <f>IF($W1420="","",$R1420&amp;"|"&amp;RIGHT("000000"&amp;$W1420,6))</f>
        <v/>
      </c>
      <c r="Y1420">
        <f>IF($P1420="","",IF(Shares!$E1423="",0,Shares!$E1423))</f>
        <v/>
      </c>
      <c r="Z1420">
        <f>IF($P1420="","",Shares!$H1423)</f>
        <v/>
      </c>
      <c r="AE1420">
        <f>IF(OR(Sync!$S1420="",Sync!$P1420=""),"",Sync!$S1420)</f>
        <v/>
      </c>
      <c r="AF1420">
        <f>IF($AE1420="","",IF(ISNUMBER(Sync!$P1420),IF(AND(Sync!$P1420&gt;=10000101,Sync!$P1420&lt;=99991231),INT(Sync!$P1420/10000),""),IFERROR(VALUE(TRIM(LEFT(Sync!$P1420,FIND("/",Sync!$P1420)-1))),"")))</f>
        <v/>
      </c>
      <c r="AG1420">
        <f>IF(OR($AE1420="",$AF1420=""),"",IF(ISNUMBER(Sync!$P1420),INT(MOD(Sync!$P1420,10000)/100),IFERROR(VALUE(TRIM(LEFT(MID(Sync!$P1420,FIND("/",Sync!$P1420)+1,20),FIND("/",MID(Sync!$P1420,FIND("/",Sync!$P1420)+1,20))-1))),"")))</f>
        <v/>
      </c>
      <c r="AH1420">
        <f>IF(OR($AE1420="",$AF1420=""),"",IF(ISNUMBER(Sync!$P1420),MOD(Sync!$P1420,100),IFERROR(VALUE(TRIM(MID(MID(Sync!$P1420,FIND("/",Sync!$P1420)+1,20),FIND("/",MID(Sync!$P1420,FIND("/",Sync!$P1420)+1,20))+1,20))),"")))</f>
        <v/>
      </c>
      <c r="AI1420">
        <f>IF($AE1420="","",IF(OR($AF1420="",$AG1420="",$AH1420="",$AF1420&lt;1300,$AF1420&gt;1500,$AG1420&lt;1,$AG1420&gt;12,$AH1420&lt;1,$AH1420&gt;31),"نامعتبر",RIGHT("0000"&amp;$AF1420,4)&amp;"/"&amp;RIGHT("00"&amp;$AG1420,2)&amp;"/"&amp;RIGHT("00"&amp;$AH1420,2)))</f>
        <v/>
      </c>
      <c r="AJ1420">
        <f>IF($AE1420="","",IF(Sync!$Q1420="","0000",IF(AND(ISNUMBER(Sync!$Q1420),Sync!$Q1420&gt;=0,Sync!$Q1420&lt;1),RIGHT("00"&amp;HOUR(Sync!$Q1420),2)&amp;RIGHT("00"&amp;MINUTE(Sync!$Q1420),2),IFERROR(RIGHT("00"&amp;VALUE(LEFT(Sync!$Q1420,FIND(":",Sync!$Q1420)-1)),2)&amp;RIGHT("00"&amp;VALUE(MID(Sync!$Q1420,FIND(":",Sync!$Q1420)+1,2)),2),"0000"))))</f>
        <v/>
      </c>
      <c r="AK1420">
        <f>IF(OR($AE1420="",$AI1420="",$AI1420="نامعتبر"),"",LEFT($AI1420,4)&amp;MID($AI1420,6,2)&amp;RIGHT($AI1420,2)&amp;$AJ1420&amp;"|"&amp;"3"&amp;RIGHT("00000"&amp;1415,5))</f>
        <v/>
      </c>
      <c r="AL1420">
        <f>IF($AK1420="","",COUNTIFS(LdAParty,$AE1420,LdAType,1,LdAKey,"&lt;"&amp;$AK1420)+COUNTIFS(LdBMember,$AE1420,LdBKey,"&lt;"&amp;$AK1420)+COUNTIFS(LdCParty,$AE1420,LdCKey,"&lt;"&amp;$AK1420)+1)</f>
        <v/>
      </c>
      <c r="AM1420">
        <f>IF($AL1420="","",$AE1420&amp;"|"&amp;RIGHT("000000"&amp;$AL1420,6))</f>
        <v/>
      </c>
      <c r="AN1420">
        <f>IF($AE1420="","",IF(Sync!$W1420="",0,Sync!$W1420))</f>
        <v/>
      </c>
      <c r="AO1420">
        <f>IF($AE1420="","",IF(Sync!$X1420="",0,Sync!$X1420))</f>
        <v/>
      </c>
      <c r="AP1420">
        <f>IF($AE1420="","",Sync!$R1420)</f>
        <v/>
      </c>
      <c r="AQ1420">
        <f>IF($AE1420="","",Sync!$Y1420)</f>
        <v/>
      </c>
    </row>
    <row r="1421">
      <c r="A1421">
        <f>IF(OR(Wages!$B1424="",Wages!$E1424=""),"",Wages!$E1424)</f>
        <v/>
      </c>
      <c r="B1421">
        <f>IF($A1421="","",IF(Wages!$C1424="دستمزد گروهی",2,1))</f>
        <v/>
      </c>
      <c r="C1421">
        <f>IF($A1421="","",IF(ISNUMBER(Wages!$B1424),IF(AND(Wages!$B1424&gt;=10000101,Wages!$B1424&lt;=99991231),INT(Wages!$B1424/10000),""),IFERROR(VALUE(TRIM(LEFT(Wages!$B1424,FIND("/",Wages!$B1424)-1))),"")))</f>
        <v/>
      </c>
      <c r="D1421">
        <f>IF(OR($A1421="",$C1421=""),"",IF(ISNUMBER(Wages!$B1424),INT(MOD(Wages!$B1424,10000)/100),IFERROR(VALUE(TRIM(LEFT(MID(Wages!$B1424,FIND("/",Wages!$B1424)+1,20),FIND("/",MID(Wages!$B1424,FIND("/",Wages!$B1424)+1,20))-1))),"")))</f>
        <v/>
      </c>
      <c r="E1421">
        <f>IF(OR($A1421="",$C1421=""),"",IF(ISNUMBER(Wages!$B1424),MOD(Wages!$B1424,100),IFERROR(VALUE(TRIM(MID(MID(Wages!$B1424,FIND("/",Wages!$B1424)+1,20),FIND("/",MID(Wages!$B1424,FIND("/",Wages!$B1424)+1,20))+1,20))),"")))</f>
        <v/>
      </c>
      <c r="F1421">
        <f>IF($A1421="","",IF(OR($C1421="",$D1421="",$E1421="",$C1421&lt;1300,$C1421&gt;1500,$D1421&lt;1,$D1421&gt;12,$E1421&lt;1,$E1421&gt;31),"نامعتبر",RIGHT("0000"&amp;$C1421,4)&amp;"/"&amp;RIGHT("00"&amp;$D1421,2)&amp;"/"&amp;RIGHT("00"&amp;$E1421,2)))</f>
        <v/>
      </c>
      <c r="G1421">
        <f>IF(OR($A1421="",$F1421="",$F1421="نامعتبر"),"",LEFT($F1421,4)&amp;MID($F1421,6,2)&amp;RIGHT($F1421,2)&amp;"0000"&amp;"|"&amp;"1"&amp;RIGHT("00000"&amp;1416,5))</f>
        <v/>
      </c>
      <c r="H1421">
        <f>IF(OR($B1421&lt;&gt;1,$G1421=""),"",COUNTIFS(LdAParty,$A1421,LdAType,1,LdAKey,"&lt;"&amp;$G1421)+COUNTIFS(LdBMember,$A1421,LdBKey,"&lt;"&amp;$G1421)+COUNTIFS(LdCParty,$A1421,LdCKey,"&lt;"&amp;$G1421)+1)</f>
        <v/>
      </c>
      <c r="I1421">
        <f>IF($H1421="","",$A1421&amp;"|"&amp;RIGHT("000000"&amp;$H1421,6))</f>
        <v/>
      </c>
      <c r="J1421">
        <f>IF(OR($B1421&lt;&gt;2,$G1421=""),"",COUNTIFS(LdAParty,$A1421,LdAType,2,LdAKey,"&lt;"&amp;$G1421)+1)</f>
        <v/>
      </c>
      <c r="K1421">
        <f>IF($J1421="","",$A1421&amp;"|"&amp;RIGHT("000000"&amp;$J1421,6))</f>
        <v/>
      </c>
      <c r="L1421">
        <f>IF($A1421="","",IF(Wages!$G1424="",0,Wages!$G1424))</f>
        <v/>
      </c>
      <c r="M1421">
        <f>IF($A1421="","",Wages!$J1424)</f>
        <v/>
      </c>
      <c r="N1421">
        <f>IF($A1421="","",Wages!$D1424)</f>
        <v/>
      </c>
      <c r="P1421">
        <f>IF(OR(Shares!$B1424="",Shares!$C1424=""),"",Shares!$C1424)</f>
        <v/>
      </c>
      <c r="Q1421">
        <f>IF($P1421="","",Shares!$B1424)</f>
        <v/>
      </c>
      <c r="R1421">
        <f>IF($P1421="","",IFERROR(INDEX(WageParty,MATCH($Q1421,WageIds,0)),""))</f>
        <v/>
      </c>
      <c r="S1421">
        <f>IF($P1421="","",IFERROR(INDEX($F$6:$F$2005,MATCH($Q1421,WageIds,0)),""))</f>
        <v/>
      </c>
      <c r="T1421">
        <f>IF(OR($P1421="",$S1421="",$S1421="نامعتبر"),"",LEFT($S1421,4)&amp;MID($S1421,6,2)&amp;RIGHT($S1421,2)&amp;"0000"&amp;"|"&amp;"2"&amp;RIGHT("00000"&amp;1416,5))</f>
        <v/>
      </c>
      <c r="U1421">
        <f>IF($T1421="","",COUNTIFS(LdAParty,$P1421,LdAType,1,LdAKey,"&lt;"&amp;$T1421)+COUNTIFS(LdBMember,$P1421,LdBKey,"&lt;"&amp;$T1421)+COUNTIFS(LdCParty,$P1421,LdCKey,"&lt;"&amp;$T1421)+1)</f>
        <v/>
      </c>
      <c r="V1421">
        <f>IF($U1421="","",$P1421&amp;"|"&amp;RIGHT("000000"&amp;$U1421,6))</f>
        <v/>
      </c>
      <c r="W1421">
        <f>IF($T1421="","",COUNTIFS(LdBGroup,$R1421,LdBKey,"&lt;"&amp;$T1421)+1)</f>
        <v/>
      </c>
      <c r="X1421">
        <f>IF($W1421="","",$R1421&amp;"|"&amp;RIGHT("000000"&amp;$W1421,6))</f>
        <v/>
      </c>
      <c r="Y1421">
        <f>IF($P1421="","",IF(Shares!$E1424="",0,Shares!$E1424))</f>
        <v/>
      </c>
      <c r="Z1421">
        <f>IF($P1421="","",Shares!$H1424)</f>
        <v/>
      </c>
      <c r="AE1421">
        <f>IF(OR(Sync!$S1421="",Sync!$P1421=""),"",Sync!$S1421)</f>
        <v/>
      </c>
      <c r="AF1421">
        <f>IF($AE1421="","",IF(ISNUMBER(Sync!$P1421),IF(AND(Sync!$P1421&gt;=10000101,Sync!$P1421&lt;=99991231),INT(Sync!$P1421/10000),""),IFERROR(VALUE(TRIM(LEFT(Sync!$P1421,FIND("/",Sync!$P1421)-1))),"")))</f>
        <v/>
      </c>
      <c r="AG1421">
        <f>IF(OR($AE1421="",$AF1421=""),"",IF(ISNUMBER(Sync!$P1421),INT(MOD(Sync!$P1421,10000)/100),IFERROR(VALUE(TRIM(LEFT(MID(Sync!$P1421,FIND("/",Sync!$P1421)+1,20),FIND("/",MID(Sync!$P1421,FIND("/",Sync!$P1421)+1,20))-1))),"")))</f>
        <v/>
      </c>
      <c r="AH1421">
        <f>IF(OR($AE1421="",$AF1421=""),"",IF(ISNUMBER(Sync!$P1421),MOD(Sync!$P1421,100),IFERROR(VALUE(TRIM(MID(MID(Sync!$P1421,FIND("/",Sync!$P1421)+1,20),FIND("/",MID(Sync!$P1421,FIND("/",Sync!$P1421)+1,20))+1,20))),"")))</f>
        <v/>
      </c>
      <c r="AI1421">
        <f>IF($AE1421="","",IF(OR($AF1421="",$AG1421="",$AH1421="",$AF1421&lt;1300,$AF1421&gt;1500,$AG1421&lt;1,$AG1421&gt;12,$AH1421&lt;1,$AH1421&gt;31),"نامعتبر",RIGHT("0000"&amp;$AF1421,4)&amp;"/"&amp;RIGHT("00"&amp;$AG1421,2)&amp;"/"&amp;RIGHT("00"&amp;$AH1421,2)))</f>
        <v/>
      </c>
      <c r="AJ1421">
        <f>IF($AE1421="","",IF(Sync!$Q1421="","0000",IF(AND(ISNUMBER(Sync!$Q1421),Sync!$Q1421&gt;=0,Sync!$Q1421&lt;1),RIGHT("00"&amp;HOUR(Sync!$Q1421),2)&amp;RIGHT("00"&amp;MINUTE(Sync!$Q1421),2),IFERROR(RIGHT("00"&amp;VALUE(LEFT(Sync!$Q1421,FIND(":",Sync!$Q1421)-1)),2)&amp;RIGHT("00"&amp;VALUE(MID(Sync!$Q1421,FIND(":",Sync!$Q1421)+1,2)),2),"0000"))))</f>
        <v/>
      </c>
      <c r="AK1421">
        <f>IF(OR($AE1421="",$AI1421="",$AI1421="نامعتبر"),"",LEFT($AI1421,4)&amp;MID($AI1421,6,2)&amp;RIGHT($AI1421,2)&amp;$AJ1421&amp;"|"&amp;"3"&amp;RIGHT("00000"&amp;1416,5))</f>
        <v/>
      </c>
      <c r="AL1421">
        <f>IF($AK1421="","",COUNTIFS(LdAParty,$AE1421,LdAType,1,LdAKey,"&lt;"&amp;$AK1421)+COUNTIFS(LdBMember,$AE1421,LdBKey,"&lt;"&amp;$AK1421)+COUNTIFS(LdCParty,$AE1421,LdCKey,"&lt;"&amp;$AK1421)+1)</f>
        <v/>
      </c>
      <c r="AM1421">
        <f>IF($AL1421="","",$AE1421&amp;"|"&amp;RIGHT("000000"&amp;$AL1421,6))</f>
        <v/>
      </c>
      <c r="AN1421">
        <f>IF($AE1421="","",IF(Sync!$W1421="",0,Sync!$W1421))</f>
        <v/>
      </c>
      <c r="AO1421">
        <f>IF($AE1421="","",IF(Sync!$X1421="",0,Sync!$X1421))</f>
        <v/>
      </c>
      <c r="AP1421">
        <f>IF($AE1421="","",Sync!$R1421)</f>
        <v/>
      </c>
      <c r="AQ1421">
        <f>IF($AE1421="","",Sync!$Y1421)</f>
        <v/>
      </c>
    </row>
    <row r="1422">
      <c r="A1422">
        <f>IF(OR(Wages!$B1425="",Wages!$E1425=""),"",Wages!$E1425)</f>
        <v/>
      </c>
      <c r="B1422">
        <f>IF($A1422="","",IF(Wages!$C1425="دستمزد گروهی",2,1))</f>
        <v/>
      </c>
      <c r="C1422">
        <f>IF($A1422="","",IF(ISNUMBER(Wages!$B1425),IF(AND(Wages!$B1425&gt;=10000101,Wages!$B1425&lt;=99991231),INT(Wages!$B1425/10000),""),IFERROR(VALUE(TRIM(LEFT(Wages!$B1425,FIND("/",Wages!$B1425)-1))),"")))</f>
        <v/>
      </c>
      <c r="D1422">
        <f>IF(OR($A1422="",$C1422=""),"",IF(ISNUMBER(Wages!$B1425),INT(MOD(Wages!$B1425,10000)/100),IFERROR(VALUE(TRIM(LEFT(MID(Wages!$B1425,FIND("/",Wages!$B1425)+1,20),FIND("/",MID(Wages!$B1425,FIND("/",Wages!$B1425)+1,20))-1))),"")))</f>
        <v/>
      </c>
      <c r="E1422">
        <f>IF(OR($A1422="",$C1422=""),"",IF(ISNUMBER(Wages!$B1425),MOD(Wages!$B1425,100),IFERROR(VALUE(TRIM(MID(MID(Wages!$B1425,FIND("/",Wages!$B1425)+1,20),FIND("/",MID(Wages!$B1425,FIND("/",Wages!$B1425)+1,20))+1,20))),"")))</f>
        <v/>
      </c>
      <c r="F1422">
        <f>IF($A1422="","",IF(OR($C1422="",$D1422="",$E1422="",$C1422&lt;1300,$C1422&gt;1500,$D1422&lt;1,$D1422&gt;12,$E1422&lt;1,$E1422&gt;31),"نامعتبر",RIGHT("0000"&amp;$C1422,4)&amp;"/"&amp;RIGHT("00"&amp;$D1422,2)&amp;"/"&amp;RIGHT("00"&amp;$E1422,2)))</f>
        <v/>
      </c>
      <c r="G1422">
        <f>IF(OR($A1422="",$F1422="",$F1422="نامعتبر"),"",LEFT($F1422,4)&amp;MID($F1422,6,2)&amp;RIGHT($F1422,2)&amp;"0000"&amp;"|"&amp;"1"&amp;RIGHT("00000"&amp;1417,5))</f>
        <v/>
      </c>
      <c r="H1422">
        <f>IF(OR($B1422&lt;&gt;1,$G1422=""),"",COUNTIFS(LdAParty,$A1422,LdAType,1,LdAKey,"&lt;"&amp;$G1422)+COUNTIFS(LdBMember,$A1422,LdBKey,"&lt;"&amp;$G1422)+COUNTIFS(LdCParty,$A1422,LdCKey,"&lt;"&amp;$G1422)+1)</f>
        <v/>
      </c>
      <c r="I1422">
        <f>IF($H1422="","",$A1422&amp;"|"&amp;RIGHT("000000"&amp;$H1422,6))</f>
        <v/>
      </c>
      <c r="J1422">
        <f>IF(OR($B1422&lt;&gt;2,$G1422=""),"",COUNTIFS(LdAParty,$A1422,LdAType,2,LdAKey,"&lt;"&amp;$G1422)+1)</f>
        <v/>
      </c>
      <c r="K1422">
        <f>IF($J1422="","",$A1422&amp;"|"&amp;RIGHT("000000"&amp;$J1422,6))</f>
        <v/>
      </c>
      <c r="L1422">
        <f>IF($A1422="","",IF(Wages!$G1425="",0,Wages!$G1425))</f>
        <v/>
      </c>
      <c r="M1422">
        <f>IF($A1422="","",Wages!$J1425)</f>
        <v/>
      </c>
      <c r="N1422">
        <f>IF($A1422="","",Wages!$D1425)</f>
        <v/>
      </c>
      <c r="P1422">
        <f>IF(OR(Shares!$B1425="",Shares!$C1425=""),"",Shares!$C1425)</f>
        <v/>
      </c>
      <c r="Q1422">
        <f>IF($P1422="","",Shares!$B1425)</f>
        <v/>
      </c>
      <c r="R1422">
        <f>IF($P1422="","",IFERROR(INDEX(WageParty,MATCH($Q1422,WageIds,0)),""))</f>
        <v/>
      </c>
      <c r="S1422">
        <f>IF($P1422="","",IFERROR(INDEX($F$6:$F$2005,MATCH($Q1422,WageIds,0)),""))</f>
        <v/>
      </c>
      <c r="T1422">
        <f>IF(OR($P1422="",$S1422="",$S1422="نامعتبر"),"",LEFT($S1422,4)&amp;MID($S1422,6,2)&amp;RIGHT($S1422,2)&amp;"0000"&amp;"|"&amp;"2"&amp;RIGHT("00000"&amp;1417,5))</f>
        <v/>
      </c>
      <c r="U1422">
        <f>IF($T1422="","",COUNTIFS(LdAParty,$P1422,LdAType,1,LdAKey,"&lt;"&amp;$T1422)+COUNTIFS(LdBMember,$P1422,LdBKey,"&lt;"&amp;$T1422)+COUNTIFS(LdCParty,$P1422,LdCKey,"&lt;"&amp;$T1422)+1)</f>
        <v/>
      </c>
      <c r="V1422">
        <f>IF($U1422="","",$P1422&amp;"|"&amp;RIGHT("000000"&amp;$U1422,6))</f>
        <v/>
      </c>
      <c r="W1422">
        <f>IF($T1422="","",COUNTIFS(LdBGroup,$R1422,LdBKey,"&lt;"&amp;$T1422)+1)</f>
        <v/>
      </c>
      <c r="X1422">
        <f>IF($W1422="","",$R1422&amp;"|"&amp;RIGHT("000000"&amp;$W1422,6))</f>
        <v/>
      </c>
      <c r="Y1422">
        <f>IF($P1422="","",IF(Shares!$E1425="",0,Shares!$E1425))</f>
        <v/>
      </c>
      <c r="Z1422">
        <f>IF($P1422="","",Shares!$H1425)</f>
        <v/>
      </c>
      <c r="AE1422">
        <f>IF(OR(Sync!$S1422="",Sync!$P1422=""),"",Sync!$S1422)</f>
        <v/>
      </c>
      <c r="AF1422">
        <f>IF($AE1422="","",IF(ISNUMBER(Sync!$P1422),IF(AND(Sync!$P1422&gt;=10000101,Sync!$P1422&lt;=99991231),INT(Sync!$P1422/10000),""),IFERROR(VALUE(TRIM(LEFT(Sync!$P1422,FIND("/",Sync!$P1422)-1))),"")))</f>
        <v/>
      </c>
      <c r="AG1422">
        <f>IF(OR($AE1422="",$AF1422=""),"",IF(ISNUMBER(Sync!$P1422),INT(MOD(Sync!$P1422,10000)/100),IFERROR(VALUE(TRIM(LEFT(MID(Sync!$P1422,FIND("/",Sync!$P1422)+1,20),FIND("/",MID(Sync!$P1422,FIND("/",Sync!$P1422)+1,20))-1))),"")))</f>
        <v/>
      </c>
      <c r="AH1422">
        <f>IF(OR($AE1422="",$AF1422=""),"",IF(ISNUMBER(Sync!$P1422),MOD(Sync!$P1422,100),IFERROR(VALUE(TRIM(MID(MID(Sync!$P1422,FIND("/",Sync!$P1422)+1,20),FIND("/",MID(Sync!$P1422,FIND("/",Sync!$P1422)+1,20))+1,20))),"")))</f>
        <v/>
      </c>
      <c r="AI1422">
        <f>IF($AE1422="","",IF(OR($AF1422="",$AG1422="",$AH1422="",$AF1422&lt;1300,$AF1422&gt;1500,$AG1422&lt;1,$AG1422&gt;12,$AH1422&lt;1,$AH1422&gt;31),"نامعتبر",RIGHT("0000"&amp;$AF1422,4)&amp;"/"&amp;RIGHT("00"&amp;$AG1422,2)&amp;"/"&amp;RIGHT("00"&amp;$AH1422,2)))</f>
        <v/>
      </c>
      <c r="AJ1422">
        <f>IF($AE1422="","",IF(Sync!$Q1422="","0000",IF(AND(ISNUMBER(Sync!$Q1422),Sync!$Q1422&gt;=0,Sync!$Q1422&lt;1),RIGHT("00"&amp;HOUR(Sync!$Q1422),2)&amp;RIGHT("00"&amp;MINUTE(Sync!$Q1422),2),IFERROR(RIGHT("00"&amp;VALUE(LEFT(Sync!$Q1422,FIND(":",Sync!$Q1422)-1)),2)&amp;RIGHT("00"&amp;VALUE(MID(Sync!$Q1422,FIND(":",Sync!$Q1422)+1,2)),2),"0000"))))</f>
        <v/>
      </c>
      <c r="AK1422">
        <f>IF(OR($AE1422="",$AI1422="",$AI1422="نامعتبر"),"",LEFT($AI1422,4)&amp;MID($AI1422,6,2)&amp;RIGHT($AI1422,2)&amp;$AJ1422&amp;"|"&amp;"3"&amp;RIGHT("00000"&amp;1417,5))</f>
        <v/>
      </c>
      <c r="AL1422">
        <f>IF($AK1422="","",COUNTIFS(LdAParty,$AE1422,LdAType,1,LdAKey,"&lt;"&amp;$AK1422)+COUNTIFS(LdBMember,$AE1422,LdBKey,"&lt;"&amp;$AK1422)+COUNTIFS(LdCParty,$AE1422,LdCKey,"&lt;"&amp;$AK1422)+1)</f>
        <v/>
      </c>
      <c r="AM1422">
        <f>IF($AL1422="","",$AE1422&amp;"|"&amp;RIGHT("000000"&amp;$AL1422,6))</f>
        <v/>
      </c>
      <c r="AN1422">
        <f>IF($AE1422="","",IF(Sync!$W1422="",0,Sync!$W1422))</f>
        <v/>
      </c>
      <c r="AO1422">
        <f>IF($AE1422="","",IF(Sync!$X1422="",0,Sync!$X1422))</f>
        <v/>
      </c>
      <c r="AP1422">
        <f>IF($AE1422="","",Sync!$R1422)</f>
        <v/>
      </c>
      <c r="AQ1422">
        <f>IF($AE1422="","",Sync!$Y1422)</f>
        <v/>
      </c>
    </row>
    <row r="1423">
      <c r="A1423">
        <f>IF(OR(Wages!$B1426="",Wages!$E1426=""),"",Wages!$E1426)</f>
        <v/>
      </c>
      <c r="B1423">
        <f>IF($A1423="","",IF(Wages!$C1426="دستمزد گروهی",2,1))</f>
        <v/>
      </c>
      <c r="C1423">
        <f>IF($A1423="","",IF(ISNUMBER(Wages!$B1426),IF(AND(Wages!$B1426&gt;=10000101,Wages!$B1426&lt;=99991231),INT(Wages!$B1426/10000),""),IFERROR(VALUE(TRIM(LEFT(Wages!$B1426,FIND("/",Wages!$B1426)-1))),"")))</f>
        <v/>
      </c>
      <c r="D1423">
        <f>IF(OR($A1423="",$C1423=""),"",IF(ISNUMBER(Wages!$B1426),INT(MOD(Wages!$B1426,10000)/100),IFERROR(VALUE(TRIM(LEFT(MID(Wages!$B1426,FIND("/",Wages!$B1426)+1,20),FIND("/",MID(Wages!$B1426,FIND("/",Wages!$B1426)+1,20))-1))),"")))</f>
        <v/>
      </c>
      <c r="E1423">
        <f>IF(OR($A1423="",$C1423=""),"",IF(ISNUMBER(Wages!$B1426),MOD(Wages!$B1426,100),IFERROR(VALUE(TRIM(MID(MID(Wages!$B1426,FIND("/",Wages!$B1426)+1,20),FIND("/",MID(Wages!$B1426,FIND("/",Wages!$B1426)+1,20))+1,20))),"")))</f>
        <v/>
      </c>
      <c r="F1423">
        <f>IF($A1423="","",IF(OR($C1423="",$D1423="",$E1423="",$C1423&lt;1300,$C1423&gt;1500,$D1423&lt;1,$D1423&gt;12,$E1423&lt;1,$E1423&gt;31),"نامعتبر",RIGHT("0000"&amp;$C1423,4)&amp;"/"&amp;RIGHT("00"&amp;$D1423,2)&amp;"/"&amp;RIGHT("00"&amp;$E1423,2)))</f>
        <v/>
      </c>
      <c r="G1423">
        <f>IF(OR($A1423="",$F1423="",$F1423="نامعتبر"),"",LEFT($F1423,4)&amp;MID($F1423,6,2)&amp;RIGHT($F1423,2)&amp;"0000"&amp;"|"&amp;"1"&amp;RIGHT("00000"&amp;1418,5))</f>
        <v/>
      </c>
      <c r="H1423">
        <f>IF(OR($B1423&lt;&gt;1,$G1423=""),"",COUNTIFS(LdAParty,$A1423,LdAType,1,LdAKey,"&lt;"&amp;$G1423)+COUNTIFS(LdBMember,$A1423,LdBKey,"&lt;"&amp;$G1423)+COUNTIFS(LdCParty,$A1423,LdCKey,"&lt;"&amp;$G1423)+1)</f>
        <v/>
      </c>
      <c r="I1423">
        <f>IF($H1423="","",$A1423&amp;"|"&amp;RIGHT("000000"&amp;$H1423,6))</f>
        <v/>
      </c>
      <c r="J1423">
        <f>IF(OR($B1423&lt;&gt;2,$G1423=""),"",COUNTIFS(LdAParty,$A1423,LdAType,2,LdAKey,"&lt;"&amp;$G1423)+1)</f>
        <v/>
      </c>
      <c r="K1423">
        <f>IF($J1423="","",$A1423&amp;"|"&amp;RIGHT("000000"&amp;$J1423,6))</f>
        <v/>
      </c>
      <c r="L1423">
        <f>IF($A1423="","",IF(Wages!$G1426="",0,Wages!$G1426))</f>
        <v/>
      </c>
      <c r="M1423">
        <f>IF($A1423="","",Wages!$J1426)</f>
        <v/>
      </c>
      <c r="N1423">
        <f>IF($A1423="","",Wages!$D1426)</f>
        <v/>
      </c>
      <c r="P1423">
        <f>IF(OR(Shares!$B1426="",Shares!$C1426=""),"",Shares!$C1426)</f>
        <v/>
      </c>
      <c r="Q1423">
        <f>IF($P1423="","",Shares!$B1426)</f>
        <v/>
      </c>
      <c r="R1423">
        <f>IF($P1423="","",IFERROR(INDEX(WageParty,MATCH($Q1423,WageIds,0)),""))</f>
        <v/>
      </c>
      <c r="S1423">
        <f>IF($P1423="","",IFERROR(INDEX($F$6:$F$2005,MATCH($Q1423,WageIds,0)),""))</f>
        <v/>
      </c>
      <c r="T1423">
        <f>IF(OR($P1423="",$S1423="",$S1423="نامعتبر"),"",LEFT($S1423,4)&amp;MID($S1423,6,2)&amp;RIGHT($S1423,2)&amp;"0000"&amp;"|"&amp;"2"&amp;RIGHT("00000"&amp;1418,5))</f>
        <v/>
      </c>
      <c r="U1423">
        <f>IF($T1423="","",COUNTIFS(LdAParty,$P1423,LdAType,1,LdAKey,"&lt;"&amp;$T1423)+COUNTIFS(LdBMember,$P1423,LdBKey,"&lt;"&amp;$T1423)+COUNTIFS(LdCParty,$P1423,LdCKey,"&lt;"&amp;$T1423)+1)</f>
        <v/>
      </c>
      <c r="V1423">
        <f>IF($U1423="","",$P1423&amp;"|"&amp;RIGHT("000000"&amp;$U1423,6))</f>
        <v/>
      </c>
      <c r="W1423">
        <f>IF($T1423="","",COUNTIFS(LdBGroup,$R1423,LdBKey,"&lt;"&amp;$T1423)+1)</f>
        <v/>
      </c>
      <c r="X1423">
        <f>IF($W1423="","",$R1423&amp;"|"&amp;RIGHT("000000"&amp;$W1423,6))</f>
        <v/>
      </c>
      <c r="Y1423">
        <f>IF($P1423="","",IF(Shares!$E1426="",0,Shares!$E1426))</f>
        <v/>
      </c>
      <c r="Z1423">
        <f>IF($P1423="","",Shares!$H1426)</f>
        <v/>
      </c>
      <c r="AE1423">
        <f>IF(OR(Sync!$S1423="",Sync!$P1423=""),"",Sync!$S1423)</f>
        <v/>
      </c>
      <c r="AF1423">
        <f>IF($AE1423="","",IF(ISNUMBER(Sync!$P1423),IF(AND(Sync!$P1423&gt;=10000101,Sync!$P1423&lt;=99991231),INT(Sync!$P1423/10000),""),IFERROR(VALUE(TRIM(LEFT(Sync!$P1423,FIND("/",Sync!$P1423)-1))),"")))</f>
        <v/>
      </c>
      <c r="AG1423">
        <f>IF(OR($AE1423="",$AF1423=""),"",IF(ISNUMBER(Sync!$P1423),INT(MOD(Sync!$P1423,10000)/100),IFERROR(VALUE(TRIM(LEFT(MID(Sync!$P1423,FIND("/",Sync!$P1423)+1,20),FIND("/",MID(Sync!$P1423,FIND("/",Sync!$P1423)+1,20))-1))),"")))</f>
        <v/>
      </c>
      <c r="AH1423">
        <f>IF(OR($AE1423="",$AF1423=""),"",IF(ISNUMBER(Sync!$P1423),MOD(Sync!$P1423,100),IFERROR(VALUE(TRIM(MID(MID(Sync!$P1423,FIND("/",Sync!$P1423)+1,20),FIND("/",MID(Sync!$P1423,FIND("/",Sync!$P1423)+1,20))+1,20))),"")))</f>
        <v/>
      </c>
      <c r="AI1423">
        <f>IF($AE1423="","",IF(OR($AF1423="",$AG1423="",$AH1423="",$AF1423&lt;1300,$AF1423&gt;1500,$AG1423&lt;1,$AG1423&gt;12,$AH1423&lt;1,$AH1423&gt;31),"نامعتبر",RIGHT("0000"&amp;$AF1423,4)&amp;"/"&amp;RIGHT("00"&amp;$AG1423,2)&amp;"/"&amp;RIGHT("00"&amp;$AH1423,2)))</f>
        <v/>
      </c>
      <c r="AJ1423">
        <f>IF($AE1423="","",IF(Sync!$Q1423="","0000",IF(AND(ISNUMBER(Sync!$Q1423),Sync!$Q1423&gt;=0,Sync!$Q1423&lt;1),RIGHT("00"&amp;HOUR(Sync!$Q1423),2)&amp;RIGHT("00"&amp;MINUTE(Sync!$Q1423),2),IFERROR(RIGHT("00"&amp;VALUE(LEFT(Sync!$Q1423,FIND(":",Sync!$Q1423)-1)),2)&amp;RIGHT("00"&amp;VALUE(MID(Sync!$Q1423,FIND(":",Sync!$Q1423)+1,2)),2),"0000"))))</f>
        <v/>
      </c>
      <c r="AK1423">
        <f>IF(OR($AE1423="",$AI1423="",$AI1423="نامعتبر"),"",LEFT($AI1423,4)&amp;MID($AI1423,6,2)&amp;RIGHT($AI1423,2)&amp;$AJ1423&amp;"|"&amp;"3"&amp;RIGHT("00000"&amp;1418,5))</f>
        <v/>
      </c>
      <c r="AL1423">
        <f>IF($AK1423="","",COUNTIFS(LdAParty,$AE1423,LdAType,1,LdAKey,"&lt;"&amp;$AK1423)+COUNTIFS(LdBMember,$AE1423,LdBKey,"&lt;"&amp;$AK1423)+COUNTIFS(LdCParty,$AE1423,LdCKey,"&lt;"&amp;$AK1423)+1)</f>
        <v/>
      </c>
      <c r="AM1423">
        <f>IF($AL1423="","",$AE1423&amp;"|"&amp;RIGHT("000000"&amp;$AL1423,6))</f>
        <v/>
      </c>
      <c r="AN1423">
        <f>IF($AE1423="","",IF(Sync!$W1423="",0,Sync!$W1423))</f>
        <v/>
      </c>
      <c r="AO1423">
        <f>IF($AE1423="","",IF(Sync!$X1423="",0,Sync!$X1423))</f>
        <v/>
      </c>
      <c r="AP1423">
        <f>IF($AE1423="","",Sync!$R1423)</f>
        <v/>
      </c>
      <c r="AQ1423">
        <f>IF($AE1423="","",Sync!$Y1423)</f>
        <v/>
      </c>
    </row>
    <row r="1424">
      <c r="A1424">
        <f>IF(OR(Wages!$B1427="",Wages!$E1427=""),"",Wages!$E1427)</f>
        <v/>
      </c>
      <c r="B1424">
        <f>IF($A1424="","",IF(Wages!$C1427="دستمزد گروهی",2,1))</f>
        <v/>
      </c>
      <c r="C1424">
        <f>IF($A1424="","",IF(ISNUMBER(Wages!$B1427),IF(AND(Wages!$B1427&gt;=10000101,Wages!$B1427&lt;=99991231),INT(Wages!$B1427/10000),""),IFERROR(VALUE(TRIM(LEFT(Wages!$B1427,FIND("/",Wages!$B1427)-1))),"")))</f>
        <v/>
      </c>
      <c r="D1424">
        <f>IF(OR($A1424="",$C1424=""),"",IF(ISNUMBER(Wages!$B1427),INT(MOD(Wages!$B1427,10000)/100),IFERROR(VALUE(TRIM(LEFT(MID(Wages!$B1427,FIND("/",Wages!$B1427)+1,20),FIND("/",MID(Wages!$B1427,FIND("/",Wages!$B1427)+1,20))-1))),"")))</f>
        <v/>
      </c>
      <c r="E1424">
        <f>IF(OR($A1424="",$C1424=""),"",IF(ISNUMBER(Wages!$B1427),MOD(Wages!$B1427,100),IFERROR(VALUE(TRIM(MID(MID(Wages!$B1427,FIND("/",Wages!$B1427)+1,20),FIND("/",MID(Wages!$B1427,FIND("/",Wages!$B1427)+1,20))+1,20))),"")))</f>
        <v/>
      </c>
      <c r="F1424">
        <f>IF($A1424="","",IF(OR($C1424="",$D1424="",$E1424="",$C1424&lt;1300,$C1424&gt;1500,$D1424&lt;1,$D1424&gt;12,$E1424&lt;1,$E1424&gt;31),"نامعتبر",RIGHT("0000"&amp;$C1424,4)&amp;"/"&amp;RIGHT("00"&amp;$D1424,2)&amp;"/"&amp;RIGHT("00"&amp;$E1424,2)))</f>
        <v/>
      </c>
      <c r="G1424">
        <f>IF(OR($A1424="",$F1424="",$F1424="نامعتبر"),"",LEFT($F1424,4)&amp;MID($F1424,6,2)&amp;RIGHT($F1424,2)&amp;"0000"&amp;"|"&amp;"1"&amp;RIGHT("00000"&amp;1419,5))</f>
        <v/>
      </c>
      <c r="H1424">
        <f>IF(OR($B1424&lt;&gt;1,$G1424=""),"",COUNTIFS(LdAParty,$A1424,LdAType,1,LdAKey,"&lt;"&amp;$G1424)+COUNTIFS(LdBMember,$A1424,LdBKey,"&lt;"&amp;$G1424)+COUNTIFS(LdCParty,$A1424,LdCKey,"&lt;"&amp;$G1424)+1)</f>
        <v/>
      </c>
      <c r="I1424">
        <f>IF($H1424="","",$A1424&amp;"|"&amp;RIGHT("000000"&amp;$H1424,6))</f>
        <v/>
      </c>
      <c r="J1424">
        <f>IF(OR($B1424&lt;&gt;2,$G1424=""),"",COUNTIFS(LdAParty,$A1424,LdAType,2,LdAKey,"&lt;"&amp;$G1424)+1)</f>
        <v/>
      </c>
      <c r="K1424">
        <f>IF($J1424="","",$A1424&amp;"|"&amp;RIGHT("000000"&amp;$J1424,6))</f>
        <v/>
      </c>
      <c r="L1424">
        <f>IF($A1424="","",IF(Wages!$G1427="",0,Wages!$G1427))</f>
        <v/>
      </c>
      <c r="M1424">
        <f>IF($A1424="","",Wages!$J1427)</f>
        <v/>
      </c>
      <c r="N1424">
        <f>IF($A1424="","",Wages!$D1427)</f>
        <v/>
      </c>
      <c r="P1424">
        <f>IF(OR(Shares!$B1427="",Shares!$C1427=""),"",Shares!$C1427)</f>
        <v/>
      </c>
      <c r="Q1424">
        <f>IF($P1424="","",Shares!$B1427)</f>
        <v/>
      </c>
      <c r="R1424">
        <f>IF($P1424="","",IFERROR(INDEX(WageParty,MATCH($Q1424,WageIds,0)),""))</f>
        <v/>
      </c>
      <c r="S1424">
        <f>IF($P1424="","",IFERROR(INDEX($F$6:$F$2005,MATCH($Q1424,WageIds,0)),""))</f>
        <v/>
      </c>
      <c r="T1424">
        <f>IF(OR($P1424="",$S1424="",$S1424="نامعتبر"),"",LEFT($S1424,4)&amp;MID($S1424,6,2)&amp;RIGHT($S1424,2)&amp;"0000"&amp;"|"&amp;"2"&amp;RIGHT("00000"&amp;1419,5))</f>
        <v/>
      </c>
      <c r="U1424">
        <f>IF($T1424="","",COUNTIFS(LdAParty,$P1424,LdAType,1,LdAKey,"&lt;"&amp;$T1424)+COUNTIFS(LdBMember,$P1424,LdBKey,"&lt;"&amp;$T1424)+COUNTIFS(LdCParty,$P1424,LdCKey,"&lt;"&amp;$T1424)+1)</f>
        <v/>
      </c>
      <c r="V1424">
        <f>IF($U1424="","",$P1424&amp;"|"&amp;RIGHT("000000"&amp;$U1424,6))</f>
        <v/>
      </c>
      <c r="W1424">
        <f>IF($T1424="","",COUNTIFS(LdBGroup,$R1424,LdBKey,"&lt;"&amp;$T1424)+1)</f>
        <v/>
      </c>
      <c r="X1424">
        <f>IF($W1424="","",$R1424&amp;"|"&amp;RIGHT("000000"&amp;$W1424,6))</f>
        <v/>
      </c>
      <c r="Y1424">
        <f>IF($P1424="","",IF(Shares!$E1427="",0,Shares!$E1427))</f>
        <v/>
      </c>
      <c r="Z1424">
        <f>IF($P1424="","",Shares!$H1427)</f>
        <v/>
      </c>
      <c r="AE1424">
        <f>IF(OR(Sync!$S1424="",Sync!$P1424=""),"",Sync!$S1424)</f>
        <v/>
      </c>
      <c r="AF1424">
        <f>IF($AE1424="","",IF(ISNUMBER(Sync!$P1424),IF(AND(Sync!$P1424&gt;=10000101,Sync!$P1424&lt;=99991231),INT(Sync!$P1424/10000),""),IFERROR(VALUE(TRIM(LEFT(Sync!$P1424,FIND("/",Sync!$P1424)-1))),"")))</f>
        <v/>
      </c>
      <c r="AG1424">
        <f>IF(OR($AE1424="",$AF1424=""),"",IF(ISNUMBER(Sync!$P1424),INT(MOD(Sync!$P1424,10000)/100),IFERROR(VALUE(TRIM(LEFT(MID(Sync!$P1424,FIND("/",Sync!$P1424)+1,20),FIND("/",MID(Sync!$P1424,FIND("/",Sync!$P1424)+1,20))-1))),"")))</f>
        <v/>
      </c>
      <c r="AH1424">
        <f>IF(OR($AE1424="",$AF1424=""),"",IF(ISNUMBER(Sync!$P1424),MOD(Sync!$P1424,100),IFERROR(VALUE(TRIM(MID(MID(Sync!$P1424,FIND("/",Sync!$P1424)+1,20),FIND("/",MID(Sync!$P1424,FIND("/",Sync!$P1424)+1,20))+1,20))),"")))</f>
        <v/>
      </c>
      <c r="AI1424">
        <f>IF($AE1424="","",IF(OR($AF1424="",$AG1424="",$AH1424="",$AF1424&lt;1300,$AF1424&gt;1500,$AG1424&lt;1,$AG1424&gt;12,$AH1424&lt;1,$AH1424&gt;31),"نامعتبر",RIGHT("0000"&amp;$AF1424,4)&amp;"/"&amp;RIGHT("00"&amp;$AG1424,2)&amp;"/"&amp;RIGHT("00"&amp;$AH1424,2)))</f>
        <v/>
      </c>
      <c r="AJ1424">
        <f>IF($AE1424="","",IF(Sync!$Q1424="","0000",IF(AND(ISNUMBER(Sync!$Q1424),Sync!$Q1424&gt;=0,Sync!$Q1424&lt;1),RIGHT("00"&amp;HOUR(Sync!$Q1424),2)&amp;RIGHT("00"&amp;MINUTE(Sync!$Q1424),2),IFERROR(RIGHT("00"&amp;VALUE(LEFT(Sync!$Q1424,FIND(":",Sync!$Q1424)-1)),2)&amp;RIGHT("00"&amp;VALUE(MID(Sync!$Q1424,FIND(":",Sync!$Q1424)+1,2)),2),"0000"))))</f>
        <v/>
      </c>
      <c r="AK1424">
        <f>IF(OR($AE1424="",$AI1424="",$AI1424="نامعتبر"),"",LEFT($AI1424,4)&amp;MID($AI1424,6,2)&amp;RIGHT($AI1424,2)&amp;$AJ1424&amp;"|"&amp;"3"&amp;RIGHT("00000"&amp;1419,5))</f>
        <v/>
      </c>
      <c r="AL1424">
        <f>IF($AK1424="","",COUNTIFS(LdAParty,$AE1424,LdAType,1,LdAKey,"&lt;"&amp;$AK1424)+COUNTIFS(LdBMember,$AE1424,LdBKey,"&lt;"&amp;$AK1424)+COUNTIFS(LdCParty,$AE1424,LdCKey,"&lt;"&amp;$AK1424)+1)</f>
        <v/>
      </c>
      <c r="AM1424">
        <f>IF($AL1424="","",$AE1424&amp;"|"&amp;RIGHT("000000"&amp;$AL1424,6))</f>
        <v/>
      </c>
      <c r="AN1424">
        <f>IF($AE1424="","",IF(Sync!$W1424="",0,Sync!$W1424))</f>
        <v/>
      </c>
      <c r="AO1424">
        <f>IF($AE1424="","",IF(Sync!$X1424="",0,Sync!$X1424))</f>
        <v/>
      </c>
      <c r="AP1424">
        <f>IF($AE1424="","",Sync!$R1424)</f>
        <v/>
      </c>
      <c r="AQ1424">
        <f>IF($AE1424="","",Sync!$Y1424)</f>
        <v/>
      </c>
    </row>
    <row r="1425">
      <c r="A1425">
        <f>IF(OR(Wages!$B1428="",Wages!$E1428=""),"",Wages!$E1428)</f>
        <v/>
      </c>
      <c r="B1425">
        <f>IF($A1425="","",IF(Wages!$C1428="دستمزد گروهی",2,1))</f>
        <v/>
      </c>
      <c r="C1425">
        <f>IF($A1425="","",IF(ISNUMBER(Wages!$B1428),IF(AND(Wages!$B1428&gt;=10000101,Wages!$B1428&lt;=99991231),INT(Wages!$B1428/10000),""),IFERROR(VALUE(TRIM(LEFT(Wages!$B1428,FIND("/",Wages!$B1428)-1))),"")))</f>
        <v/>
      </c>
      <c r="D1425">
        <f>IF(OR($A1425="",$C1425=""),"",IF(ISNUMBER(Wages!$B1428),INT(MOD(Wages!$B1428,10000)/100),IFERROR(VALUE(TRIM(LEFT(MID(Wages!$B1428,FIND("/",Wages!$B1428)+1,20),FIND("/",MID(Wages!$B1428,FIND("/",Wages!$B1428)+1,20))-1))),"")))</f>
        <v/>
      </c>
      <c r="E1425">
        <f>IF(OR($A1425="",$C1425=""),"",IF(ISNUMBER(Wages!$B1428),MOD(Wages!$B1428,100),IFERROR(VALUE(TRIM(MID(MID(Wages!$B1428,FIND("/",Wages!$B1428)+1,20),FIND("/",MID(Wages!$B1428,FIND("/",Wages!$B1428)+1,20))+1,20))),"")))</f>
        <v/>
      </c>
      <c r="F1425">
        <f>IF($A1425="","",IF(OR($C1425="",$D1425="",$E1425="",$C1425&lt;1300,$C1425&gt;1500,$D1425&lt;1,$D1425&gt;12,$E1425&lt;1,$E1425&gt;31),"نامعتبر",RIGHT("0000"&amp;$C1425,4)&amp;"/"&amp;RIGHT("00"&amp;$D1425,2)&amp;"/"&amp;RIGHT("00"&amp;$E1425,2)))</f>
        <v/>
      </c>
      <c r="G1425">
        <f>IF(OR($A1425="",$F1425="",$F1425="نامعتبر"),"",LEFT($F1425,4)&amp;MID($F1425,6,2)&amp;RIGHT($F1425,2)&amp;"0000"&amp;"|"&amp;"1"&amp;RIGHT("00000"&amp;1420,5))</f>
        <v/>
      </c>
      <c r="H1425">
        <f>IF(OR($B1425&lt;&gt;1,$G1425=""),"",COUNTIFS(LdAParty,$A1425,LdAType,1,LdAKey,"&lt;"&amp;$G1425)+COUNTIFS(LdBMember,$A1425,LdBKey,"&lt;"&amp;$G1425)+COUNTIFS(LdCParty,$A1425,LdCKey,"&lt;"&amp;$G1425)+1)</f>
        <v/>
      </c>
      <c r="I1425">
        <f>IF($H1425="","",$A1425&amp;"|"&amp;RIGHT("000000"&amp;$H1425,6))</f>
        <v/>
      </c>
      <c r="J1425">
        <f>IF(OR($B1425&lt;&gt;2,$G1425=""),"",COUNTIFS(LdAParty,$A1425,LdAType,2,LdAKey,"&lt;"&amp;$G1425)+1)</f>
        <v/>
      </c>
      <c r="K1425">
        <f>IF($J1425="","",$A1425&amp;"|"&amp;RIGHT("000000"&amp;$J1425,6))</f>
        <v/>
      </c>
      <c r="L1425">
        <f>IF($A1425="","",IF(Wages!$G1428="",0,Wages!$G1428))</f>
        <v/>
      </c>
      <c r="M1425">
        <f>IF($A1425="","",Wages!$J1428)</f>
        <v/>
      </c>
      <c r="N1425">
        <f>IF($A1425="","",Wages!$D1428)</f>
        <v/>
      </c>
      <c r="P1425">
        <f>IF(OR(Shares!$B1428="",Shares!$C1428=""),"",Shares!$C1428)</f>
        <v/>
      </c>
      <c r="Q1425">
        <f>IF($P1425="","",Shares!$B1428)</f>
        <v/>
      </c>
      <c r="R1425">
        <f>IF($P1425="","",IFERROR(INDEX(WageParty,MATCH($Q1425,WageIds,0)),""))</f>
        <v/>
      </c>
      <c r="S1425">
        <f>IF($P1425="","",IFERROR(INDEX($F$6:$F$2005,MATCH($Q1425,WageIds,0)),""))</f>
        <v/>
      </c>
      <c r="T1425">
        <f>IF(OR($P1425="",$S1425="",$S1425="نامعتبر"),"",LEFT($S1425,4)&amp;MID($S1425,6,2)&amp;RIGHT($S1425,2)&amp;"0000"&amp;"|"&amp;"2"&amp;RIGHT("00000"&amp;1420,5))</f>
        <v/>
      </c>
      <c r="U1425">
        <f>IF($T1425="","",COUNTIFS(LdAParty,$P1425,LdAType,1,LdAKey,"&lt;"&amp;$T1425)+COUNTIFS(LdBMember,$P1425,LdBKey,"&lt;"&amp;$T1425)+COUNTIFS(LdCParty,$P1425,LdCKey,"&lt;"&amp;$T1425)+1)</f>
        <v/>
      </c>
      <c r="V1425">
        <f>IF($U1425="","",$P1425&amp;"|"&amp;RIGHT("000000"&amp;$U1425,6))</f>
        <v/>
      </c>
      <c r="W1425">
        <f>IF($T1425="","",COUNTIFS(LdBGroup,$R1425,LdBKey,"&lt;"&amp;$T1425)+1)</f>
        <v/>
      </c>
      <c r="X1425">
        <f>IF($W1425="","",$R1425&amp;"|"&amp;RIGHT("000000"&amp;$W1425,6))</f>
        <v/>
      </c>
      <c r="Y1425">
        <f>IF($P1425="","",IF(Shares!$E1428="",0,Shares!$E1428))</f>
        <v/>
      </c>
      <c r="Z1425">
        <f>IF($P1425="","",Shares!$H1428)</f>
        <v/>
      </c>
      <c r="AE1425">
        <f>IF(OR(Sync!$S1425="",Sync!$P1425=""),"",Sync!$S1425)</f>
        <v/>
      </c>
      <c r="AF1425">
        <f>IF($AE1425="","",IF(ISNUMBER(Sync!$P1425),IF(AND(Sync!$P1425&gt;=10000101,Sync!$P1425&lt;=99991231),INT(Sync!$P1425/10000),""),IFERROR(VALUE(TRIM(LEFT(Sync!$P1425,FIND("/",Sync!$P1425)-1))),"")))</f>
        <v/>
      </c>
      <c r="AG1425">
        <f>IF(OR($AE1425="",$AF1425=""),"",IF(ISNUMBER(Sync!$P1425),INT(MOD(Sync!$P1425,10000)/100),IFERROR(VALUE(TRIM(LEFT(MID(Sync!$P1425,FIND("/",Sync!$P1425)+1,20),FIND("/",MID(Sync!$P1425,FIND("/",Sync!$P1425)+1,20))-1))),"")))</f>
        <v/>
      </c>
      <c r="AH1425">
        <f>IF(OR($AE1425="",$AF1425=""),"",IF(ISNUMBER(Sync!$P1425),MOD(Sync!$P1425,100),IFERROR(VALUE(TRIM(MID(MID(Sync!$P1425,FIND("/",Sync!$P1425)+1,20),FIND("/",MID(Sync!$P1425,FIND("/",Sync!$P1425)+1,20))+1,20))),"")))</f>
        <v/>
      </c>
      <c r="AI1425">
        <f>IF($AE1425="","",IF(OR($AF1425="",$AG1425="",$AH1425="",$AF1425&lt;1300,$AF1425&gt;1500,$AG1425&lt;1,$AG1425&gt;12,$AH1425&lt;1,$AH1425&gt;31),"نامعتبر",RIGHT("0000"&amp;$AF1425,4)&amp;"/"&amp;RIGHT("00"&amp;$AG1425,2)&amp;"/"&amp;RIGHT("00"&amp;$AH1425,2)))</f>
        <v/>
      </c>
      <c r="AJ1425">
        <f>IF($AE1425="","",IF(Sync!$Q1425="","0000",IF(AND(ISNUMBER(Sync!$Q1425),Sync!$Q1425&gt;=0,Sync!$Q1425&lt;1),RIGHT("00"&amp;HOUR(Sync!$Q1425),2)&amp;RIGHT("00"&amp;MINUTE(Sync!$Q1425),2),IFERROR(RIGHT("00"&amp;VALUE(LEFT(Sync!$Q1425,FIND(":",Sync!$Q1425)-1)),2)&amp;RIGHT("00"&amp;VALUE(MID(Sync!$Q1425,FIND(":",Sync!$Q1425)+1,2)),2),"0000"))))</f>
        <v/>
      </c>
      <c r="AK1425">
        <f>IF(OR($AE1425="",$AI1425="",$AI1425="نامعتبر"),"",LEFT($AI1425,4)&amp;MID($AI1425,6,2)&amp;RIGHT($AI1425,2)&amp;$AJ1425&amp;"|"&amp;"3"&amp;RIGHT("00000"&amp;1420,5))</f>
        <v/>
      </c>
      <c r="AL1425">
        <f>IF($AK1425="","",COUNTIFS(LdAParty,$AE1425,LdAType,1,LdAKey,"&lt;"&amp;$AK1425)+COUNTIFS(LdBMember,$AE1425,LdBKey,"&lt;"&amp;$AK1425)+COUNTIFS(LdCParty,$AE1425,LdCKey,"&lt;"&amp;$AK1425)+1)</f>
        <v/>
      </c>
      <c r="AM1425">
        <f>IF($AL1425="","",$AE1425&amp;"|"&amp;RIGHT("000000"&amp;$AL1425,6))</f>
        <v/>
      </c>
      <c r="AN1425">
        <f>IF($AE1425="","",IF(Sync!$W1425="",0,Sync!$W1425))</f>
        <v/>
      </c>
      <c r="AO1425">
        <f>IF($AE1425="","",IF(Sync!$X1425="",0,Sync!$X1425))</f>
        <v/>
      </c>
      <c r="AP1425">
        <f>IF($AE1425="","",Sync!$R1425)</f>
        <v/>
      </c>
      <c r="AQ1425">
        <f>IF($AE1425="","",Sync!$Y1425)</f>
        <v/>
      </c>
    </row>
    <row r="1426">
      <c r="A1426">
        <f>IF(OR(Wages!$B1429="",Wages!$E1429=""),"",Wages!$E1429)</f>
        <v/>
      </c>
      <c r="B1426">
        <f>IF($A1426="","",IF(Wages!$C1429="دستمزد گروهی",2,1))</f>
        <v/>
      </c>
      <c r="C1426">
        <f>IF($A1426="","",IF(ISNUMBER(Wages!$B1429),IF(AND(Wages!$B1429&gt;=10000101,Wages!$B1429&lt;=99991231),INT(Wages!$B1429/10000),""),IFERROR(VALUE(TRIM(LEFT(Wages!$B1429,FIND("/",Wages!$B1429)-1))),"")))</f>
        <v/>
      </c>
      <c r="D1426">
        <f>IF(OR($A1426="",$C1426=""),"",IF(ISNUMBER(Wages!$B1429),INT(MOD(Wages!$B1429,10000)/100),IFERROR(VALUE(TRIM(LEFT(MID(Wages!$B1429,FIND("/",Wages!$B1429)+1,20),FIND("/",MID(Wages!$B1429,FIND("/",Wages!$B1429)+1,20))-1))),"")))</f>
        <v/>
      </c>
      <c r="E1426">
        <f>IF(OR($A1426="",$C1426=""),"",IF(ISNUMBER(Wages!$B1429),MOD(Wages!$B1429,100),IFERROR(VALUE(TRIM(MID(MID(Wages!$B1429,FIND("/",Wages!$B1429)+1,20),FIND("/",MID(Wages!$B1429,FIND("/",Wages!$B1429)+1,20))+1,20))),"")))</f>
        <v/>
      </c>
      <c r="F1426">
        <f>IF($A1426="","",IF(OR($C1426="",$D1426="",$E1426="",$C1426&lt;1300,$C1426&gt;1500,$D1426&lt;1,$D1426&gt;12,$E1426&lt;1,$E1426&gt;31),"نامعتبر",RIGHT("0000"&amp;$C1426,4)&amp;"/"&amp;RIGHT("00"&amp;$D1426,2)&amp;"/"&amp;RIGHT("00"&amp;$E1426,2)))</f>
        <v/>
      </c>
      <c r="G1426">
        <f>IF(OR($A1426="",$F1426="",$F1426="نامعتبر"),"",LEFT($F1426,4)&amp;MID($F1426,6,2)&amp;RIGHT($F1426,2)&amp;"0000"&amp;"|"&amp;"1"&amp;RIGHT("00000"&amp;1421,5))</f>
        <v/>
      </c>
      <c r="H1426">
        <f>IF(OR($B1426&lt;&gt;1,$G1426=""),"",COUNTIFS(LdAParty,$A1426,LdAType,1,LdAKey,"&lt;"&amp;$G1426)+COUNTIFS(LdBMember,$A1426,LdBKey,"&lt;"&amp;$G1426)+COUNTIFS(LdCParty,$A1426,LdCKey,"&lt;"&amp;$G1426)+1)</f>
        <v/>
      </c>
      <c r="I1426">
        <f>IF($H1426="","",$A1426&amp;"|"&amp;RIGHT("000000"&amp;$H1426,6))</f>
        <v/>
      </c>
      <c r="J1426">
        <f>IF(OR($B1426&lt;&gt;2,$G1426=""),"",COUNTIFS(LdAParty,$A1426,LdAType,2,LdAKey,"&lt;"&amp;$G1426)+1)</f>
        <v/>
      </c>
      <c r="K1426">
        <f>IF($J1426="","",$A1426&amp;"|"&amp;RIGHT("000000"&amp;$J1426,6))</f>
        <v/>
      </c>
      <c r="L1426">
        <f>IF($A1426="","",IF(Wages!$G1429="",0,Wages!$G1429))</f>
        <v/>
      </c>
      <c r="M1426">
        <f>IF($A1426="","",Wages!$J1429)</f>
        <v/>
      </c>
      <c r="N1426">
        <f>IF($A1426="","",Wages!$D1429)</f>
        <v/>
      </c>
      <c r="P1426">
        <f>IF(OR(Shares!$B1429="",Shares!$C1429=""),"",Shares!$C1429)</f>
        <v/>
      </c>
      <c r="Q1426">
        <f>IF($P1426="","",Shares!$B1429)</f>
        <v/>
      </c>
      <c r="R1426">
        <f>IF($P1426="","",IFERROR(INDEX(WageParty,MATCH($Q1426,WageIds,0)),""))</f>
        <v/>
      </c>
      <c r="S1426">
        <f>IF($P1426="","",IFERROR(INDEX($F$6:$F$2005,MATCH($Q1426,WageIds,0)),""))</f>
        <v/>
      </c>
      <c r="T1426">
        <f>IF(OR($P1426="",$S1426="",$S1426="نامعتبر"),"",LEFT($S1426,4)&amp;MID($S1426,6,2)&amp;RIGHT($S1426,2)&amp;"0000"&amp;"|"&amp;"2"&amp;RIGHT("00000"&amp;1421,5))</f>
        <v/>
      </c>
      <c r="U1426">
        <f>IF($T1426="","",COUNTIFS(LdAParty,$P1426,LdAType,1,LdAKey,"&lt;"&amp;$T1426)+COUNTIFS(LdBMember,$P1426,LdBKey,"&lt;"&amp;$T1426)+COUNTIFS(LdCParty,$P1426,LdCKey,"&lt;"&amp;$T1426)+1)</f>
        <v/>
      </c>
      <c r="V1426">
        <f>IF($U1426="","",$P1426&amp;"|"&amp;RIGHT("000000"&amp;$U1426,6))</f>
        <v/>
      </c>
      <c r="W1426">
        <f>IF($T1426="","",COUNTIFS(LdBGroup,$R1426,LdBKey,"&lt;"&amp;$T1426)+1)</f>
        <v/>
      </c>
      <c r="X1426">
        <f>IF($W1426="","",$R1426&amp;"|"&amp;RIGHT("000000"&amp;$W1426,6))</f>
        <v/>
      </c>
      <c r="Y1426">
        <f>IF($P1426="","",IF(Shares!$E1429="",0,Shares!$E1429))</f>
        <v/>
      </c>
      <c r="Z1426">
        <f>IF($P1426="","",Shares!$H1429)</f>
        <v/>
      </c>
      <c r="AE1426">
        <f>IF(OR(Sync!$S1426="",Sync!$P1426=""),"",Sync!$S1426)</f>
        <v/>
      </c>
      <c r="AF1426">
        <f>IF($AE1426="","",IF(ISNUMBER(Sync!$P1426),IF(AND(Sync!$P1426&gt;=10000101,Sync!$P1426&lt;=99991231),INT(Sync!$P1426/10000),""),IFERROR(VALUE(TRIM(LEFT(Sync!$P1426,FIND("/",Sync!$P1426)-1))),"")))</f>
        <v/>
      </c>
      <c r="AG1426">
        <f>IF(OR($AE1426="",$AF1426=""),"",IF(ISNUMBER(Sync!$P1426),INT(MOD(Sync!$P1426,10000)/100),IFERROR(VALUE(TRIM(LEFT(MID(Sync!$P1426,FIND("/",Sync!$P1426)+1,20),FIND("/",MID(Sync!$P1426,FIND("/",Sync!$P1426)+1,20))-1))),"")))</f>
        <v/>
      </c>
      <c r="AH1426">
        <f>IF(OR($AE1426="",$AF1426=""),"",IF(ISNUMBER(Sync!$P1426),MOD(Sync!$P1426,100),IFERROR(VALUE(TRIM(MID(MID(Sync!$P1426,FIND("/",Sync!$P1426)+1,20),FIND("/",MID(Sync!$P1426,FIND("/",Sync!$P1426)+1,20))+1,20))),"")))</f>
        <v/>
      </c>
      <c r="AI1426">
        <f>IF($AE1426="","",IF(OR($AF1426="",$AG1426="",$AH1426="",$AF1426&lt;1300,$AF1426&gt;1500,$AG1426&lt;1,$AG1426&gt;12,$AH1426&lt;1,$AH1426&gt;31),"نامعتبر",RIGHT("0000"&amp;$AF1426,4)&amp;"/"&amp;RIGHT("00"&amp;$AG1426,2)&amp;"/"&amp;RIGHT("00"&amp;$AH1426,2)))</f>
        <v/>
      </c>
      <c r="AJ1426">
        <f>IF($AE1426="","",IF(Sync!$Q1426="","0000",IF(AND(ISNUMBER(Sync!$Q1426),Sync!$Q1426&gt;=0,Sync!$Q1426&lt;1),RIGHT("00"&amp;HOUR(Sync!$Q1426),2)&amp;RIGHT("00"&amp;MINUTE(Sync!$Q1426),2),IFERROR(RIGHT("00"&amp;VALUE(LEFT(Sync!$Q1426,FIND(":",Sync!$Q1426)-1)),2)&amp;RIGHT("00"&amp;VALUE(MID(Sync!$Q1426,FIND(":",Sync!$Q1426)+1,2)),2),"0000"))))</f>
        <v/>
      </c>
      <c r="AK1426">
        <f>IF(OR($AE1426="",$AI1426="",$AI1426="نامعتبر"),"",LEFT($AI1426,4)&amp;MID($AI1426,6,2)&amp;RIGHT($AI1426,2)&amp;$AJ1426&amp;"|"&amp;"3"&amp;RIGHT("00000"&amp;1421,5))</f>
        <v/>
      </c>
      <c r="AL1426">
        <f>IF($AK1426="","",COUNTIFS(LdAParty,$AE1426,LdAType,1,LdAKey,"&lt;"&amp;$AK1426)+COUNTIFS(LdBMember,$AE1426,LdBKey,"&lt;"&amp;$AK1426)+COUNTIFS(LdCParty,$AE1426,LdCKey,"&lt;"&amp;$AK1426)+1)</f>
        <v/>
      </c>
      <c r="AM1426">
        <f>IF($AL1426="","",$AE1426&amp;"|"&amp;RIGHT("000000"&amp;$AL1426,6))</f>
        <v/>
      </c>
      <c r="AN1426">
        <f>IF($AE1426="","",IF(Sync!$W1426="",0,Sync!$W1426))</f>
        <v/>
      </c>
      <c r="AO1426">
        <f>IF($AE1426="","",IF(Sync!$X1426="",0,Sync!$X1426))</f>
        <v/>
      </c>
      <c r="AP1426">
        <f>IF($AE1426="","",Sync!$R1426)</f>
        <v/>
      </c>
      <c r="AQ1426">
        <f>IF($AE1426="","",Sync!$Y1426)</f>
        <v/>
      </c>
    </row>
    <row r="1427">
      <c r="A1427">
        <f>IF(OR(Wages!$B1430="",Wages!$E1430=""),"",Wages!$E1430)</f>
        <v/>
      </c>
      <c r="B1427">
        <f>IF($A1427="","",IF(Wages!$C1430="دستمزد گروهی",2,1))</f>
        <v/>
      </c>
      <c r="C1427">
        <f>IF($A1427="","",IF(ISNUMBER(Wages!$B1430),IF(AND(Wages!$B1430&gt;=10000101,Wages!$B1430&lt;=99991231),INT(Wages!$B1430/10000),""),IFERROR(VALUE(TRIM(LEFT(Wages!$B1430,FIND("/",Wages!$B1430)-1))),"")))</f>
        <v/>
      </c>
      <c r="D1427">
        <f>IF(OR($A1427="",$C1427=""),"",IF(ISNUMBER(Wages!$B1430),INT(MOD(Wages!$B1430,10000)/100),IFERROR(VALUE(TRIM(LEFT(MID(Wages!$B1430,FIND("/",Wages!$B1430)+1,20),FIND("/",MID(Wages!$B1430,FIND("/",Wages!$B1430)+1,20))-1))),"")))</f>
        <v/>
      </c>
      <c r="E1427">
        <f>IF(OR($A1427="",$C1427=""),"",IF(ISNUMBER(Wages!$B1430),MOD(Wages!$B1430,100),IFERROR(VALUE(TRIM(MID(MID(Wages!$B1430,FIND("/",Wages!$B1430)+1,20),FIND("/",MID(Wages!$B1430,FIND("/",Wages!$B1430)+1,20))+1,20))),"")))</f>
        <v/>
      </c>
      <c r="F1427">
        <f>IF($A1427="","",IF(OR($C1427="",$D1427="",$E1427="",$C1427&lt;1300,$C1427&gt;1500,$D1427&lt;1,$D1427&gt;12,$E1427&lt;1,$E1427&gt;31),"نامعتبر",RIGHT("0000"&amp;$C1427,4)&amp;"/"&amp;RIGHT("00"&amp;$D1427,2)&amp;"/"&amp;RIGHT("00"&amp;$E1427,2)))</f>
        <v/>
      </c>
      <c r="G1427">
        <f>IF(OR($A1427="",$F1427="",$F1427="نامعتبر"),"",LEFT($F1427,4)&amp;MID($F1427,6,2)&amp;RIGHT($F1427,2)&amp;"0000"&amp;"|"&amp;"1"&amp;RIGHT("00000"&amp;1422,5))</f>
        <v/>
      </c>
      <c r="H1427">
        <f>IF(OR($B1427&lt;&gt;1,$G1427=""),"",COUNTIFS(LdAParty,$A1427,LdAType,1,LdAKey,"&lt;"&amp;$G1427)+COUNTIFS(LdBMember,$A1427,LdBKey,"&lt;"&amp;$G1427)+COUNTIFS(LdCParty,$A1427,LdCKey,"&lt;"&amp;$G1427)+1)</f>
        <v/>
      </c>
      <c r="I1427">
        <f>IF($H1427="","",$A1427&amp;"|"&amp;RIGHT("000000"&amp;$H1427,6))</f>
        <v/>
      </c>
      <c r="J1427">
        <f>IF(OR($B1427&lt;&gt;2,$G1427=""),"",COUNTIFS(LdAParty,$A1427,LdAType,2,LdAKey,"&lt;"&amp;$G1427)+1)</f>
        <v/>
      </c>
      <c r="K1427">
        <f>IF($J1427="","",$A1427&amp;"|"&amp;RIGHT("000000"&amp;$J1427,6))</f>
        <v/>
      </c>
      <c r="L1427">
        <f>IF($A1427="","",IF(Wages!$G1430="",0,Wages!$G1430))</f>
        <v/>
      </c>
      <c r="M1427">
        <f>IF($A1427="","",Wages!$J1430)</f>
        <v/>
      </c>
      <c r="N1427">
        <f>IF($A1427="","",Wages!$D1430)</f>
        <v/>
      </c>
      <c r="P1427">
        <f>IF(OR(Shares!$B1430="",Shares!$C1430=""),"",Shares!$C1430)</f>
        <v/>
      </c>
      <c r="Q1427">
        <f>IF($P1427="","",Shares!$B1430)</f>
        <v/>
      </c>
      <c r="R1427">
        <f>IF($P1427="","",IFERROR(INDEX(WageParty,MATCH($Q1427,WageIds,0)),""))</f>
        <v/>
      </c>
      <c r="S1427">
        <f>IF($P1427="","",IFERROR(INDEX($F$6:$F$2005,MATCH($Q1427,WageIds,0)),""))</f>
        <v/>
      </c>
      <c r="T1427">
        <f>IF(OR($P1427="",$S1427="",$S1427="نامعتبر"),"",LEFT($S1427,4)&amp;MID($S1427,6,2)&amp;RIGHT($S1427,2)&amp;"0000"&amp;"|"&amp;"2"&amp;RIGHT("00000"&amp;1422,5))</f>
        <v/>
      </c>
      <c r="U1427">
        <f>IF($T1427="","",COUNTIFS(LdAParty,$P1427,LdAType,1,LdAKey,"&lt;"&amp;$T1427)+COUNTIFS(LdBMember,$P1427,LdBKey,"&lt;"&amp;$T1427)+COUNTIFS(LdCParty,$P1427,LdCKey,"&lt;"&amp;$T1427)+1)</f>
        <v/>
      </c>
      <c r="V1427">
        <f>IF($U1427="","",$P1427&amp;"|"&amp;RIGHT("000000"&amp;$U1427,6))</f>
        <v/>
      </c>
      <c r="W1427">
        <f>IF($T1427="","",COUNTIFS(LdBGroup,$R1427,LdBKey,"&lt;"&amp;$T1427)+1)</f>
        <v/>
      </c>
      <c r="X1427">
        <f>IF($W1427="","",$R1427&amp;"|"&amp;RIGHT("000000"&amp;$W1427,6))</f>
        <v/>
      </c>
      <c r="Y1427">
        <f>IF($P1427="","",IF(Shares!$E1430="",0,Shares!$E1430))</f>
        <v/>
      </c>
      <c r="Z1427">
        <f>IF($P1427="","",Shares!$H1430)</f>
        <v/>
      </c>
      <c r="AE1427">
        <f>IF(OR(Sync!$S1427="",Sync!$P1427=""),"",Sync!$S1427)</f>
        <v/>
      </c>
      <c r="AF1427">
        <f>IF($AE1427="","",IF(ISNUMBER(Sync!$P1427),IF(AND(Sync!$P1427&gt;=10000101,Sync!$P1427&lt;=99991231),INT(Sync!$P1427/10000),""),IFERROR(VALUE(TRIM(LEFT(Sync!$P1427,FIND("/",Sync!$P1427)-1))),"")))</f>
        <v/>
      </c>
      <c r="AG1427">
        <f>IF(OR($AE1427="",$AF1427=""),"",IF(ISNUMBER(Sync!$P1427),INT(MOD(Sync!$P1427,10000)/100),IFERROR(VALUE(TRIM(LEFT(MID(Sync!$P1427,FIND("/",Sync!$P1427)+1,20),FIND("/",MID(Sync!$P1427,FIND("/",Sync!$P1427)+1,20))-1))),"")))</f>
        <v/>
      </c>
      <c r="AH1427">
        <f>IF(OR($AE1427="",$AF1427=""),"",IF(ISNUMBER(Sync!$P1427),MOD(Sync!$P1427,100),IFERROR(VALUE(TRIM(MID(MID(Sync!$P1427,FIND("/",Sync!$P1427)+1,20),FIND("/",MID(Sync!$P1427,FIND("/",Sync!$P1427)+1,20))+1,20))),"")))</f>
        <v/>
      </c>
      <c r="AI1427">
        <f>IF($AE1427="","",IF(OR($AF1427="",$AG1427="",$AH1427="",$AF1427&lt;1300,$AF1427&gt;1500,$AG1427&lt;1,$AG1427&gt;12,$AH1427&lt;1,$AH1427&gt;31),"نامعتبر",RIGHT("0000"&amp;$AF1427,4)&amp;"/"&amp;RIGHT("00"&amp;$AG1427,2)&amp;"/"&amp;RIGHT("00"&amp;$AH1427,2)))</f>
        <v/>
      </c>
      <c r="AJ1427">
        <f>IF($AE1427="","",IF(Sync!$Q1427="","0000",IF(AND(ISNUMBER(Sync!$Q1427),Sync!$Q1427&gt;=0,Sync!$Q1427&lt;1),RIGHT("00"&amp;HOUR(Sync!$Q1427),2)&amp;RIGHT("00"&amp;MINUTE(Sync!$Q1427),2),IFERROR(RIGHT("00"&amp;VALUE(LEFT(Sync!$Q1427,FIND(":",Sync!$Q1427)-1)),2)&amp;RIGHT("00"&amp;VALUE(MID(Sync!$Q1427,FIND(":",Sync!$Q1427)+1,2)),2),"0000"))))</f>
        <v/>
      </c>
      <c r="AK1427">
        <f>IF(OR($AE1427="",$AI1427="",$AI1427="نامعتبر"),"",LEFT($AI1427,4)&amp;MID($AI1427,6,2)&amp;RIGHT($AI1427,2)&amp;$AJ1427&amp;"|"&amp;"3"&amp;RIGHT("00000"&amp;1422,5))</f>
        <v/>
      </c>
      <c r="AL1427">
        <f>IF($AK1427="","",COUNTIFS(LdAParty,$AE1427,LdAType,1,LdAKey,"&lt;"&amp;$AK1427)+COUNTIFS(LdBMember,$AE1427,LdBKey,"&lt;"&amp;$AK1427)+COUNTIFS(LdCParty,$AE1427,LdCKey,"&lt;"&amp;$AK1427)+1)</f>
        <v/>
      </c>
      <c r="AM1427">
        <f>IF($AL1427="","",$AE1427&amp;"|"&amp;RIGHT("000000"&amp;$AL1427,6))</f>
        <v/>
      </c>
      <c r="AN1427">
        <f>IF($AE1427="","",IF(Sync!$W1427="",0,Sync!$W1427))</f>
        <v/>
      </c>
      <c r="AO1427">
        <f>IF($AE1427="","",IF(Sync!$X1427="",0,Sync!$X1427))</f>
        <v/>
      </c>
      <c r="AP1427">
        <f>IF($AE1427="","",Sync!$R1427)</f>
        <v/>
      </c>
      <c r="AQ1427">
        <f>IF($AE1427="","",Sync!$Y1427)</f>
        <v/>
      </c>
    </row>
    <row r="1428">
      <c r="A1428">
        <f>IF(OR(Wages!$B1431="",Wages!$E1431=""),"",Wages!$E1431)</f>
        <v/>
      </c>
      <c r="B1428">
        <f>IF($A1428="","",IF(Wages!$C1431="دستمزد گروهی",2,1))</f>
        <v/>
      </c>
      <c r="C1428">
        <f>IF($A1428="","",IF(ISNUMBER(Wages!$B1431),IF(AND(Wages!$B1431&gt;=10000101,Wages!$B1431&lt;=99991231),INT(Wages!$B1431/10000),""),IFERROR(VALUE(TRIM(LEFT(Wages!$B1431,FIND("/",Wages!$B1431)-1))),"")))</f>
        <v/>
      </c>
      <c r="D1428">
        <f>IF(OR($A1428="",$C1428=""),"",IF(ISNUMBER(Wages!$B1431),INT(MOD(Wages!$B1431,10000)/100),IFERROR(VALUE(TRIM(LEFT(MID(Wages!$B1431,FIND("/",Wages!$B1431)+1,20),FIND("/",MID(Wages!$B1431,FIND("/",Wages!$B1431)+1,20))-1))),"")))</f>
        <v/>
      </c>
      <c r="E1428">
        <f>IF(OR($A1428="",$C1428=""),"",IF(ISNUMBER(Wages!$B1431),MOD(Wages!$B1431,100),IFERROR(VALUE(TRIM(MID(MID(Wages!$B1431,FIND("/",Wages!$B1431)+1,20),FIND("/",MID(Wages!$B1431,FIND("/",Wages!$B1431)+1,20))+1,20))),"")))</f>
        <v/>
      </c>
      <c r="F1428">
        <f>IF($A1428="","",IF(OR($C1428="",$D1428="",$E1428="",$C1428&lt;1300,$C1428&gt;1500,$D1428&lt;1,$D1428&gt;12,$E1428&lt;1,$E1428&gt;31),"نامعتبر",RIGHT("0000"&amp;$C1428,4)&amp;"/"&amp;RIGHT("00"&amp;$D1428,2)&amp;"/"&amp;RIGHT("00"&amp;$E1428,2)))</f>
        <v/>
      </c>
      <c r="G1428">
        <f>IF(OR($A1428="",$F1428="",$F1428="نامعتبر"),"",LEFT($F1428,4)&amp;MID($F1428,6,2)&amp;RIGHT($F1428,2)&amp;"0000"&amp;"|"&amp;"1"&amp;RIGHT("00000"&amp;1423,5))</f>
        <v/>
      </c>
      <c r="H1428">
        <f>IF(OR($B1428&lt;&gt;1,$G1428=""),"",COUNTIFS(LdAParty,$A1428,LdAType,1,LdAKey,"&lt;"&amp;$G1428)+COUNTIFS(LdBMember,$A1428,LdBKey,"&lt;"&amp;$G1428)+COUNTIFS(LdCParty,$A1428,LdCKey,"&lt;"&amp;$G1428)+1)</f>
        <v/>
      </c>
      <c r="I1428">
        <f>IF($H1428="","",$A1428&amp;"|"&amp;RIGHT("000000"&amp;$H1428,6))</f>
        <v/>
      </c>
      <c r="J1428">
        <f>IF(OR($B1428&lt;&gt;2,$G1428=""),"",COUNTIFS(LdAParty,$A1428,LdAType,2,LdAKey,"&lt;"&amp;$G1428)+1)</f>
        <v/>
      </c>
      <c r="K1428">
        <f>IF($J1428="","",$A1428&amp;"|"&amp;RIGHT("000000"&amp;$J1428,6))</f>
        <v/>
      </c>
      <c r="L1428">
        <f>IF($A1428="","",IF(Wages!$G1431="",0,Wages!$G1431))</f>
        <v/>
      </c>
      <c r="M1428">
        <f>IF($A1428="","",Wages!$J1431)</f>
        <v/>
      </c>
      <c r="N1428">
        <f>IF($A1428="","",Wages!$D1431)</f>
        <v/>
      </c>
      <c r="P1428">
        <f>IF(OR(Shares!$B1431="",Shares!$C1431=""),"",Shares!$C1431)</f>
        <v/>
      </c>
      <c r="Q1428">
        <f>IF($P1428="","",Shares!$B1431)</f>
        <v/>
      </c>
      <c r="R1428">
        <f>IF($P1428="","",IFERROR(INDEX(WageParty,MATCH($Q1428,WageIds,0)),""))</f>
        <v/>
      </c>
      <c r="S1428">
        <f>IF($P1428="","",IFERROR(INDEX($F$6:$F$2005,MATCH($Q1428,WageIds,0)),""))</f>
        <v/>
      </c>
      <c r="T1428">
        <f>IF(OR($P1428="",$S1428="",$S1428="نامعتبر"),"",LEFT($S1428,4)&amp;MID($S1428,6,2)&amp;RIGHT($S1428,2)&amp;"0000"&amp;"|"&amp;"2"&amp;RIGHT("00000"&amp;1423,5))</f>
        <v/>
      </c>
      <c r="U1428">
        <f>IF($T1428="","",COUNTIFS(LdAParty,$P1428,LdAType,1,LdAKey,"&lt;"&amp;$T1428)+COUNTIFS(LdBMember,$P1428,LdBKey,"&lt;"&amp;$T1428)+COUNTIFS(LdCParty,$P1428,LdCKey,"&lt;"&amp;$T1428)+1)</f>
        <v/>
      </c>
      <c r="V1428">
        <f>IF($U1428="","",$P1428&amp;"|"&amp;RIGHT("000000"&amp;$U1428,6))</f>
        <v/>
      </c>
      <c r="W1428">
        <f>IF($T1428="","",COUNTIFS(LdBGroup,$R1428,LdBKey,"&lt;"&amp;$T1428)+1)</f>
        <v/>
      </c>
      <c r="X1428">
        <f>IF($W1428="","",$R1428&amp;"|"&amp;RIGHT("000000"&amp;$W1428,6))</f>
        <v/>
      </c>
      <c r="Y1428">
        <f>IF($P1428="","",IF(Shares!$E1431="",0,Shares!$E1431))</f>
        <v/>
      </c>
      <c r="Z1428">
        <f>IF($P1428="","",Shares!$H1431)</f>
        <v/>
      </c>
      <c r="AE1428">
        <f>IF(OR(Sync!$S1428="",Sync!$P1428=""),"",Sync!$S1428)</f>
        <v/>
      </c>
      <c r="AF1428">
        <f>IF($AE1428="","",IF(ISNUMBER(Sync!$P1428),IF(AND(Sync!$P1428&gt;=10000101,Sync!$P1428&lt;=99991231),INT(Sync!$P1428/10000),""),IFERROR(VALUE(TRIM(LEFT(Sync!$P1428,FIND("/",Sync!$P1428)-1))),"")))</f>
        <v/>
      </c>
      <c r="AG1428">
        <f>IF(OR($AE1428="",$AF1428=""),"",IF(ISNUMBER(Sync!$P1428),INT(MOD(Sync!$P1428,10000)/100),IFERROR(VALUE(TRIM(LEFT(MID(Sync!$P1428,FIND("/",Sync!$P1428)+1,20),FIND("/",MID(Sync!$P1428,FIND("/",Sync!$P1428)+1,20))-1))),"")))</f>
        <v/>
      </c>
      <c r="AH1428">
        <f>IF(OR($AE1428="",$AF1428=""),"",IF(ISNUMBER(Sync!$P1428),MOD(Sync!$P1428,100),IFERROR(VALUE(TRIM(MID(MID(Sync!$P1428,FIND("/",Sync!$P1428)+1,20),FIND("/",MID(Sync!$P1428,FIND("/",Sync!$P1428)+1,20))+1,20))),"")))</f>
        <v/>
      </c>
      <c r="AI1428">
        <f>IF($AE1428="","",IF(OR($AF1428="",$AG1428="",$AH1428="",$AF1428&lt;1300,$AF1428&gt;1500,$AG1428&lt;1,$AG1428&gt;12,$AH1428&lt;1,$AH1428&gt;31),"نامعتبر",RIGHT("0000"&amp;$AF1428,4)&amp;"/"&amp;RIGHT("00"&amp;$AG1428,2)&amp;"/"&amp;RIGHT("00"&amp;$AH1428,2)))</f>
        <v/>
      </c>
      <c r="AJ1428">
        <f>IF($AE1428="","",IF(Sync!$Q1428="","0000",IF(AND(ISNUMBER(Sync!$Q1428),Sync!$Q1428&gt;=0,Sync!$Q1428&lt;1),RIGHT("00"&amp;HOUR(Sync!$Q1428),2)&amp;RIGHT("00"&amp;MINUTE(Sync!$Q1428),2),IFERROR(RIGHT("00"&amp;VALUE(LEFT(Sync!$Q1428,FIND(":",Sync!$Q1428)-1)),2)&amp;RIGHT("00"&amp;VALUE(MID(Sync!$Q1428,FIND(":",Sync!$Q1428)+1,2)),2),"0000"))))</f>
        <v/>
      </c>
      <c r="AK1428">
        <f>IF(OR($AE1428="",$AI1428="",$AI1428="نامعتبر"),"",LEFT($AI1428,4)&amp;MID($AI1428,6,2)&amp;RIGHT($AI1428,2)&amp;$AJ1428&amp;"|"&amp;"3"&amp;RIGHT("00000"&amp;1423,5))</f>
        <v/>
      </c>
      <c r="AL1428">
        <f>IF($AK1428="","",COUNTIFS(LdAParty,$AE1428,LdAType,1,LdAKey,"&lt;"&amp;$AK1428)+COUNTIFS(LdBMember,$AE1428,LdBKey,"&lt;"&amp;$AK1428)+COUNTIFS(LdCParty,$AE1428,LdCKey,"&lt;"&amp;$AK1428)+1)</f>
        <v/>
      </c>
      <c r="AM1428">
        <f>IF($AL1428="","",$AE1428&amp;"|"&amp;RIGHT("000000"&amp;$AL1428,6))</f>
        <v/>
      </c>
      <c r="AN1428">
        <f>IF($AE1428="","",IF(Sync!$W1428="",0,Sync!$W1428))</f>
        <v/>
      </c>
      <c r="AO1428">
        <f>IF($AE1428="","",IF(Sync!$X1428="",0,Sync!$X1428))</f>
        <v/>
      </c>
      <c r="AP1428">
        <f>IF($AE1428="","",Sync!$R1428)</f>
        <v/>
      </c>
      <c r="AQ1428">
        <f>IF($AE1428="","",Sync!$Y1428)</f>
        <v/>
      </c>
    </row>
    <row r="1429">
      <c r="A1429">
        <f>IF(OR(Wages!$B1432="",Wages!$E1432=""),"",Wages!$E1432)</f>
        <v/>
      </c>
      <c r="B1429">
        <f>IF($A1429="","",IF(Wages!$C1432="دستمزد گروهی",2,1))</f>
        <v/>
      </c>
      <c r="C1429">
        <f>IF($A1429="","",IF(ISNUMBER(Wages!$B1432),IF(AND(Wages!$B1432&gt;=10000101,Wages!$B1432&lt;=99991231),INT(Wages!$B1432/10000),""),IFERROR(VALUE(TRIM(LEFT(Wages!$B1432,FIND("/",Wages!$B1432)-1))),"")))</f>
        <v/>
      </c>
      <c r="D1429">
        <f>IF(OR($A1429="",$C1429=""),"",IF(ISNUMBER(Wages!$B1432),INT(MOD(Wages!$B1432,10000)/100),IFERROR(VALUE(TRIM(LEFT(MID(Wages!$B1432,FIND("/",Wages!$B1432)+1,20),FIND("/",MID(Wages!$B1432,FIND("/",Wages!$B1432)+1,20))-1))),"")))</f>
        <v/>
      </c>
      <c r="E1429">
        <f>IF(OR($A1429="",$C1429=""),"",IF(ISNUMBER(Wages!$B1432),MOD(Wages!$B1432,100),IFERROR(VALUE(TRIM(MID(MID(Wages!$B1432,FIND("/",Wages!$B1432)+1,20),FIND("/",MID(Wages!$B1432,FIND("/",Wages!$B1432)+1,20))+1,20))),"")))</f>
        <v/>
      </c>
      <c r="F1429">
        <f>IF($A1429="","",IF(OR($C1429="",$D1429="",$E1429="",$C1429&lt;1300,$C1429&gt;1500,$D1429&lt;1,$D1429&gt;12,$E1429&lt;1,$E1429&gt;31),"نامعتبر",RIGHT("0000"&amp;$C1429,4)&amp;"/"&amp;RIGHT("00"&amp;$D1429,2)&amp;"/"&amp;RIGHT("00"&amp;$E1429,2)))</f>
        <v/>
      </c>
      <c r="G1429">
        <f>IF(OR($A1429="",$F1429="",$F1429="نامعتبر"),"",LEFT($F1429,4)&amp;MID($F1429,6,2)&amp;RIGHT($F1429,2)&amp;"0000"&amp;"|"&amp;"1"&amp;RIGHT("00000"&amp;1424,5))</f>
        <v/>
      </c>
      <c r="H1429">
        <f>IF(OR($B1429&lt;&gt;1,$G1429=""),"",COUNTIFS(LdAParty,$A1429,LdAType,1,LdAKey,"&lt;"&amp;$G1429)+COUNTIFS(LdBMember,$A1429,LdBKey,"&lt;"&amp;$G1429)+COUNTIFS(LdCParty,$A1429,LdCKey,"&lt;"&amp;$G1429)+1)</f>
        <v/>
      </c>
      <c r="I1429">
        <f>IF($H1429="","",$A1429&amp;"|"&amp;RIGHT("000000"&amp;$H1429,6))</f>
        <v/>
      </c>
      <c r="J1429">
        <f>IF(OR($B1429&lt;&gt;2,$G1429=""),"",COUNTIFS(LdAParty,$A1429,LdAType,2,LdAKey,"&lt;"&amp;$G1429)+1)</f>
        <v/>
      </c>
      <c r="K1429">
        <f>IF($J1429="","",$A1429&amp;"|"&amp;RIGHT("000000"&amp;$J1429,6))</f>
        <v/>
      </c>
      <c r="L1429">
        <f>IF($A1429="","",IF(Wages!$G1432="",0,Wages!$G1432))</f>
        <v/>
      </c>
      <c r="M1429">
        <f>IF($A1429="","",Wages!$J1432)</f>
        <v/>
      </c>
      <c r="N1429">
        <f>IF($A1429="","",Wages!$D1432)</f>
        <v/>
      </c>
      <c r="P1429">
        <f>IF(OR(Shares!$B1432="",Shares!$C1432=""),"",Shares!$C1432)</f>
        <v/>
      </c>
      <c r="Q1429">
        <f>IF($P1429="","",Shares!$B1432)</f>
        <v/>
      </c>
      <c r="R1429">
        <f>IF($P1429="","",IFERROR(INDEX(WageParty,MATCH($Q1429,WageIds,0)),""))</f>
        <v/>
      </c>
      <c r="S1429">
        <f>IF($P1429="","",IFERROR(INDEX($F$6:$F$2005,MATCH($Q1429,WageIds,0)),""))</f>
        <v/>
      </c>
      <c r="T1429">
        <f>IF(OR($P1429="",$S1429="",$S1429="نامعتبر"),"",LEFT($S1429,4)&amp;MID($S1429,6,2)&amp;RIGHT($S1429,2)&amp;"0000"&amp;"|"&amp;"2"&amp;RIGHT("00000"&amp;1424,5))</f>
        <v/>
      </c>
      <c r="U1429">
        <f>IF($T1429="","",COUNTIFS(LdAParty,$P1429,LdAType,1,LdAKey,"&lt;"&amp;$T1429)+COUNTIFS(LdBMember,$P1429,LdBKey,"&lt;"&amp;$T1429)+COUNTIFS(LdCParty,$P1429,LdCKey,"&lt;"&amp;$T1429)+1)</f>
        <v/>
      </c>
      <c r="V1429">
        <f>IF($U1429="","",$P1429&amp;"|"&amp;RIGHT("000000"&amp;$U1429,6))</f>
        <v/>
      </c>
      <c r="W1429">
        <f>IF($T1429="","",COUNTIFS(LdBGroup,$R1429,LdBKey,"&lt;"&amp;$T1429)+1)</f>
        <v/>
      </c>
      <c r="X1429">
        <f>IF($W1429="","",$R1429&amp;"|"&amp;RIGHT("000000"&amp;$W1429,6))</f>
        <v/>
      </c>
      <c r="Y1429">
        <f>IF($P1429="","",IF(Shares!$E1432="",0,Shares!$E1432))</f>
        <v/>
      </c>
      <c r="Z1429">
        <f>IF($P1429="","",Shares!$H1432)</f>
        <v/>
      </c>
      <c r="AE1429">
        <f>IF(OR(Sync!$S1429="",Sync!$P1429=""),"",Sync!$S1429)</f>
        <v/>
      </c>
      <c r="AF1429">
        <f>IF($AE1429="","",IF(ISNUMBER(Sync!$P1429),IF(AND(Sync!$P1429&gt;=10000101,Sync!$P1429&lt;=99991231),INT(Sync!$P1429/10000),""),IFERROR(VALUE(TRIM(LEFT(Sync!$P1429,FIND("/",Sync!$P1429)-1))),"")))</f>
        <v/>
      </c>
      <c r="AG1429">
        <f>IF(OR($AE1429="",$AF1429=""),"",IF(ISNUMBER(Sync!$P1429),INT(MOD(Sync!$P1429,10000)/100),IFERROR(VALUE(TRIM(LEFT(MID(Sync!$P1429,FIND("/",Sync!$P1429)+1,20),FIND("/",MID(Sync!$P1429,FIND("/",Sync!$P1429)+1,20))-1))),"")))</f>
        <v/>
      </c>
      <c r="AH1429">
        <f>IF(OR($AE1429="",$AF1429=""),"",IF(ISNUMBER(Sync!$P1429),MOD(Sync!$P1429,100),IFERROR(VALUE(TRIM(MID(MID(Sync!$P1429,FIND("/",Sync!$P1429)+1,20),FIND("/",MID(Sync!$P1429,FIND("/",Sync!$P1429)+1,20))+1,20))),"")))</f>
        <v/>
      </c>
      <c r="AI1429">
        <f>IF($AE1429="","",IF(OR($AF1429="",$AG1429="",$AH1429="",$AF1429&lt;1300,$AF1429&gt;1500,$AG1429&lt;1,$AG1429&gt;12,$AH1429&lt;1,$AH1429&gt;31),"نامعتبر",RIGHT("0000"&amp;$AF1429,4)&amp;"/"&amp;RIGHT("00"&amp;$AG1429,2)&amp;"/"&amp;RIGHT("00"&amp;$AH1429,2)))</f>
        <v/>
      </c>
      <c r="AJ1429">
        <f>IF($AE1429="","",IF(Sync!$Q1429="","0000",IF(AND(ISNUMBER(Sync!$Q1429),Sync!$Q1429&gt;=0,Sync!$Q1429&lt;1),RIGHT("00"&amp;HOUR(Sync!$Q1429),2)&amp;RIGHT("00"&amp;MINUTE(Sync!$Q1429),2),IFERROR(RIGHT("00"&amp;VALUE(LEFT(Sync!$Q1429,FIND(":",Sync!$Q1429)-1)),2)&amp;RIGHT("00"&amp;VALUE(MID(Sync!$Q1429,FIND(":",Sync!$Q1429)+1,2)),2),"0000"))))</f>
        <v/>
      </c>
      <c r="AK1429">
        <f>IF(OR($AE1429="",$AI1429="",$AI1429="نامعتبر"),"",LEFT($AI1429,4)&amp;MID($AI1429,6,2)&amp;RIGHT($AI1429,2)&amp;$AJ1429&amp;"|"&amp;"3"&amp;RIGHT("00000"&amp;1424,5))</f>
        <v/>
      </c>
      <c r="AL1429">
        <f>IF($AK1429="","",COUNTIFS(LdAParty,$AE1429,LdAType,1,LdAKey,"&lt;"&amp;$AK1429)+COUNTIFS(LdBMember,$AE1429,LdBKey,"&lt;"&amp;$AK1429)+COUNTIFS(LdCParty,$AE1429,LdCKey,"&lt;"&amp;$AK1429)+1)</f>
        <v/>
      </c>
      <c r="AM1429">
        <f>IF($AL1429="","",$AE1429&amp;"|"&amp;RIGHT("000000"&amp;$AL1429,6))</f>
        <v/>
      </c>
      <c r="AN1429">
        <f>IF($AE1429="","",IF(Sync!$W1429="",0,Sync!$W1429))</f>
        <v/>
      </c>
      <c r="AO1429">
        <f>IF($AE1429="","",IF(Sync!$X1429="",0,Sync!$X1429))</f>
        <v/>
      </c>
      <c r="AP1429">
        <f>IF($AE1429="","",Sync!$R1429)</f>
        <v/>
      </c>
      <c r="AQ1429">
        <f>IF($AE1429="","",Sync!$Y1429)</f>
        <v/>
      </c>
    </row>
    <row r="1430">
      <c r="A1430">
        <f>IF(OR(Wages!$B1433="",Wages!$E1433=""),"",Wages!$E1433)</f>
        <v/>
      </c>
      <c r="B1430">
        <f>IF($A1430="","",IF(Wages!$C1433="دستمزد گروهی",2,1))</f>
        <v/>
      </c>
      <c r="C1430">
        <f>IF($A1430="","",IF(ISNUMBER(Wages!$B1433),IF(AND(Wages!$B1433&gt;=10000101,Wages!$B1433&lt;=99991231),INT(Wages!$B1433/10000),""),IFERROR(VALUE(TRIM(LEFT(Wages!$B1433,FIND("/",Wages!$B1433)-1))),"")))</f>
        <v/>
      </c>
      <c r="D1430">
        <f>IF(OR($A1430="",$C1430=""),"",IF(ISNUMBER(Wages!$B1433),INT(MOD(Wages!$B1433,10000)/100),IFERROR(VALUE(TRIM(LEFT(MID(Wages!$B1433,FIND("/",Wages!$B1433)+1,20),FIND("/",MID(Wages!$B1433,FIND("/",Wages!$B1433)+1,20))-1))),"")))</f>
        <v/>
      </c>
      <c r="E1430">
        <f>IF(OR($A1430="",$C1430=""),"",IF(ISNUMBER(Wages!$B1433),MOD(Wages!$B1433,100),IFERROR(VALUE(TRIM(MID(MID(Wages!$B1433,FIND("/",Wages!$B1433)+1,20),FIND("/",MID(Wages!$B1433,FIND("/",Wages!$B1433)+1,20))+1,20))),"")))</f>
        <v/>
      </c>
      <c r="F1430">
        <f>IF($A1430="","",IF(OR($C1430="",$D1430="",$E1430="",$C1430&lt;1300,$C1430&gt;1500,$D1430&lt;1,$D1430&gt;12,$E1430&lt;1,$E1430&gt;31),"نامعتبر",RIGHT("0000"&amp;$C1430,4)&amp;"/"&amp;RIGHT("00"&amp;$D1430,2)&amp;"/"&amp;RIGHT("00"&amp;$E1430,2)))</f>
        <v/>
      </c>
      <c r="G1430">
        <f>IF(OR($A1430="",$F1430="",$F1430="نامعتبر"),"",LEFT($F1430,4)&amp;MID($F1430,6,2)&amp;RIGHT($F1430,2)&amp;"0000"&amp;"|"&amp;"1"&amp;RIGHT("00000"&amp;1425,5))</f>
        <v/>
      </c>
      <c r="H1430">
        <f>IF(OR($B1430&lt;&gt;1,$G1430=""),"",COUNTIFS(LdAParty,$A1430,LdAType,1,LdAKey,"&lt;"&amp;$G1430)+COUNTIFS(LdBMember,$A1430,LdBKey,"&lt;"&amp;$G1430)+COUNTIFS(LdCParty,$A1430,LdCKey,"&lt;"&amp;$G1430)+1)</f>
        <v/>
      </c>
      <c r="I1430">
        <f>IF($H1430="","",$A1430&amp;"|"&amp;RIGHT("000000"&amp;$H1430,6))</f>
        <v/>
      </c>
      <c r="J1430">
        <f>IF(OR($B1430&lt;&gt;2,$G1430=""),"",COUNTIFS(LdAParty,$A1430,LdAType,2,LdAKey,"&lt;"&amp;$G1430)+1)</f>
        <v/>
      </c>
      <c r="K1430">
        <f>IF($J1430="","",$A1430&amp;"|"&amp;RIGHT("000000"&amp;$J1430,6))</f>
        <v/>
      </c>
      <c r="L1430">
        <f>IF($A1430="","",IF(Wages!$G1433="",0,Wages!$G1433))</f>
        <v/>
      </c>
      <c r="M1430">
        <f>IF($A1430="","",Wages!$J1433)</f>
        <v/>
      </c>
      <c r="N1430">
        <f>IF($A1430="","",Wages!$D1433)</f>
        <v/>
      </c>
      <c r="P1430">
        <f>IF(OR(Shares!$B1433="",Shares!$C1433=""),"",Shares!$C1433)</f>
        <v/>
      </c>
      <c r="Q1430">
        <f>IF($P1430="","",Shares!$B1433)</f>
        <v/>
      </c>
      <c r="R1430">
        <f>IF($P1430="","",IFERROR(INDEX(WageParty,MATCH($Q1430,WageIds,0)),""))</f>
        <v/>
      </c>
      <c r="S1430">
        <f>IF($P1430="","",IFERROR(INDEX($F$6:$F$2005,MATCH($Q1430,WageIds,0)),""))</f>
        <v/>
      </c>
      <c r="T1430">
        <f>IF(OR($P1430="",$S1430="",$S1430="نامعتبر"),"",LEFT($S1430,4)&amp;MID($S1430,6,2)&amp;RIGHT($S1430,2)&amp;"0000"&amp;"|"&amp;"2"&amp;RIGHT("00000"&amp;1425,5))</f>
        <v/>
      </c>
      <c r="U1430">
        <f>IF($T1430="","",COUNTIFS(LdAParty,$P1430,LdAType,1,LdAKey,"&lt;"&amp;$T1430)+COUNTIFS(LdBMember,$P1430,LdBKey,"&lt;"&amp;$T1430)+COUNTIFS(LdCParty,$P1430,LdCKey,"&lt;"&amp;$T1430)+1)</f>
        <v/>
      </c>
      <c r="V1430">
        <f>IF($U1430="","",$P1430&amp;"|"&amp;RIGHT("000000"&amp;$U1430,6))</f>
        <v/>
      </c>
      <c r="W1430">
        <f>IF($T1430="","",COUNTIFS(LdBGroup,$R1430,LdBKey,"&lt;"&amp;$T1430)+1)</f>
        <v/>
      </c>
      <c r="X1430">
        <f>IF($W1430="","",$R1430&amp;"|"&amp;RIGHT("000000"&amp;$W1430,6))</f>
        <v/>
      </c>
      <c r="Y1430">
        <f>IF($P1430="","",IF(Shares!$E1433="",0,Shares!$E1433))</f>
        <v/>
      </c>
      <c r="Z1430">
        <f>IF($P1430="","",Shares!$H1433)</f>
        <v/>
      </c>
      <c r="AE1430">
        <f>IF(OR(Sync!$S1430="",Sync!$P1430=""),"",Sync!$S1430)</f>
        <v/>
      </c>
      <c r="AF1430">
        <f>IF($AE1430="","",IF(ISNUMBER(Sync!$P1430),IF(AND(Sync!$P1430&gt;=10000101,Sync!$P1430&lt;=99991231),INT(Sync!$P1430/10000),""),IFERROR(VALUE(TRIM(LEFT(Sync!$P1430,FIND("/",Sync!$P1430)-1))),"")))</f>
        <v/>
      </c>
      <c r="AG1430">
        <f>IF(OR($AE1430="",$AF1430=""),"",IF(ISNUMBER(Sync!$P1430),INT(MOD(Sync!$P1430,10000)/100),IFERROR(VALUE(TRIM(LEFT(MID(Sync!$P1430,FIND("/",Sync!$P1430)+1,20),FIND("/",MID(Sync!$P1430,FIND("/",Sync!$P1430)+1,20))-1))),"")))</f>
        <v/>
      </c>
      <c r="AH1430">
        <f>IF(OR($AE1430="",$AF1430=""),"",IF(ISNUMBER(Sync!$P1430),MOD(Sync!$P1430,100),IFERROR(VALUE(TRIM(MID(MID(Sync!$P1430,FIND("/",Sync!$P1430)+1,20),FIND("/",MID(Sync!$P1430,FIND("/",Sync!$P1430)+1,20))+1,20))),"")))</f>
        <v/>
      </c>
      <c r="AI1430">
        <f>IF($AE1430="","",IF(OR($AF1430="",$AG1430="",$AH1430="",$AF1430&lt;1300,$AF1430&gt;1500,$AG1430&lt;1,$AG1430&gt;12,$AH1430&lt;1,$AH1430&gt;31),"نامعتبر",RIGHT("0000"&amp;$AF1430,4)&amp;"/"&amp;RIGHT("00"&amp;$AG1430,2)&amp;"/"&amp;RIGHT("00"&amp;$AH1430,2)))</f>
        <v/>
      </c>
      <c r="AJ1430">
        <f>IF($AE1430="","",IF(Sync!$Q1430="","0000",IF(AND(ISNUMBER(Sync!$Q1430),Sync!$Q1430&gt;=0,Sync!$Q1430&lt;1),RIGHT("00"&amp;HOUR(Sync!$Q1430),2)&amp;RIGHT("00"&amp;MINUTE(Sync!$Q1430),2),IFERROR(RIGHT("00"&amp;VALUE(LEFT(Sync!$Q1430,FIND(":",Sync!$Q1430)-1)),2)&amp;RIGHT("00"&amp;VALUE(MID(Sync!$Q1430,FIND(":",Sync!$Q1430)+1,2)),2),"0000"))))</f>
        <v/>
      </c>
      <c r="AK1430">
        <f>IF(OR($AE1430="",$AI1430="",$AI1430="نامعتبر"),"",LEFT($AI1430,4)&amp;MID($AI1430,6,2)&amp;RIGHT($AI1430,2)&amp;$AJ1430&amp;"|"&amp;"3"&amp;RIGHT("00000"&amp;1425,5))</f>
        <v/>
      </c>
      <c r="AL1430">
        <f>IF($AK1430="","",COUNTIFS(LdAParty,$AE1430,LdAType,1,LdAKey,"&lt;"&amp;$AK1430)+COUNTIFS(LdBMember,$AE1430,LdBKey,"&lt;"&amp;$AK1430)+COUNTIFS(LdCParty,$AE1430,LdCKey,"&lt;"&amp;$AK1430)+1)</f>
        <v/>
      </c>
      <c r="AM1430">
        <f>IF($AL1430="","",$AE1430&amp;"|"&amp;RIGHT("000000"&amp;$AL1430,6))</f>
        <v/>
      </c>
      <c r="AN1430">
        <f>IF($AE1430="","",IF(Sync!$W1430="",0,Sync!$W1430))</f>
        <v/>
      </c>
      <c r="AO1430">
        <f>IF($AE1430="","",IF(Sync!$X1430="",0,Sync!$X1430))</f>
        <v/>
      </c>
      <c r="AP1430">
        <f>IF($AE1430="","",Sync!$R1430)</f>
        <v/>
      </c>
      <c r="AQ1430">
        <f>IF($AE1430="","",Sync!$Y1430)</f>
        <v/>
      </c>
    </row>
    <row r="1431">
      <c r="A1431">
        <f>IF(OR(Wages!$B1434="",Wages!$E1434=""),"",Wages!$E1434)</f>
        <v/>
      </c>
      <c r="B1431">
        <f>IF($A1431="","",IF(Wages!$C1434="دستمزد گروهی",2,1))</f>
        <v/>
      </c>
      <c r="C1431">
        <f>IF($A1431="","",IF(ISNUMBER(Wages!$B1434),IF(AND(Wages!$B1434&gt;=10000101,Wages!$B1434&lt;=99991231),INT(Wages!$B1434/10000),""),IFERROR(VALUE(TRIM(LEFT(Wages!$B1434,FIND("/",Wages!$B1434)-1))),"")))</f>
        <v/>
      </c>
      <c r="D1431">
        <f>IF(OR($A1431="",$C1431=""),"",IF(ISNUMBER(Wages!$B1434),INT(MOD(Wages!$B1434,10000)/100),IFERROR(VALUE(TRIM(LEFT(MID(Wages!$B1434,FIND("/",Wages!$B1434)+1,20),FIND("/",MID(Wages!$B1434,FIND("/",Wages!$B1434)+1,20))-1))),"")))</f>
        <v/>
      </c>
      <c r="E1431">
        <f>IF(OR($A1431="",$C1431=""),"",IF(ISNUMBER(Wages!$B1434),MOD(Wages!$B1434,100),IFERROR(VALUE(TRIM(MID(MID(Wages!$B1434,FIND("/",Wages!$B1434)+1,20),FIND("/",MID(Wages!$B1434,FIND("/",Wages!$B1434)+1,20))+1,20))),"")))</f>
        <v/>
      </c>
      <c r="F1431">
        <f>IF($A1431="","",IF(OR($C1431="",$D1431="",$E1431="",$C1431&lt;1300,$C1431&gt;1500,$D1431&lt;1,$D1431&gt;12,$E1431&lt;1,$E1431&gt;31),"نامعتبر",RIGHT("0000"&amp;$C1431,4)&amp;"/"&amp;RIGHT("00"&amp;$D1431,2)&amp;"/"&amp;RIGHT("00"&amp;$E1431,2)))</f>
        <v/>
      </c>
      <c r="G1431">
        <f>IF(OR($A1431="",$F1431="",$F1431="نامعتبر"),"",LEFT($F1431,4)&amp;MID($F1431,6,2)&amp;RIGHT($F1431,2)&amp;"0000"&amp;"|"&amp;"1"&amp;RIGHT("00000"&amp;1426,5))</f>
        <v/>
      </c>
      <c r="H1431">
        <f>IF(OR($B1431&lt;&gt;1,$G1431=""),"",COUNTIFS(LdAParty,$A1431,LdAType,1,LdAKey,"&lt;"&amp;$G1431)+COUNTIFS(LdBMember,$A1431,LdBKey,"&lt;"&amp;$G1431)+COUNTIFS(LdCParty,$A1431,LdCKey,"&lt;"&amp;$G1431)+1)</f>
        <v/>
      </c>
      <c r="I1431">
        <f>IF($H1431="","",$A1431&amp;"|"&amp;RIGHT("000000"&amp;$H1431,6))</f>
        <v/>
      </c>
      <c r="J1431">
        <f>IF(OR($B1431&lt;&gt;2,$G1431=""),"",COUNTIFS(LdAParty,$A1431,LdAType,2,LdAKey,"&lt;"&amp;$G1431)+1)</f>
        <v/>
      </c>
      <c r="K1431">
        <f>IF($J1431="","",$A1431&amp;"|"&amp;RIGHT("000000"&amp;$J1431,6))</f>
        <v/>
      </c>
      <c r="L1431">
        <f>IF($A1431="","",IF(Wages!$G1434="",0,Wages!$G1434))</f>
        <v/>
      </c>
      <c r="M1431">
        <f>IF($A1431="","",Wages!$J1434)</f>
        <v/>
      </c>
      <c r="N1431">
        <f>IF($A1431="","",Wages!$D1434)</f>
        <v/>
      </c>
      <c r="P1431">
        <f>IF(OR(Shares!$B1434="",Shares!$C1434=""),"",Shares!$C1434)</f>
        <v/>
      </c>
      <c r="Q1431">
        <f>IF($P1431="","",Shares!$B1434)</f>
        <v/>
      </c>
      <c r="R1431">
        <f>IF($P1431="","",IFERROR(INDEX(WageParty,MATCH($Q1431,WageIds,0)),""))</f>
        <v/>
      </c>
      <c r="S1431">
        <f>IF($P1431="","",IFERROR(INDEX($F$6:$F$2005,MATCH($Q1431,WageIds,0)),""))</f>
        <v/>
      </c>
      <c r="T1431">
        <f>IF(OR($P1431="",$S1431="",$S1431="نامعتبر"),"",LEFT($S1431,4)&amp;MID($S1431,6,2)&amp;RIGHT($S1431,2)&amp;"0000"&amp;"|"&amp;"2"&amp;RIGHT("00000"&amp;1426,5))</f>
        <v/>
      </c>
      <c r="U1431">
        <f>IF($T1431="","",COUNTIFS(LdAParty,$P1431,LdAType,1,LdAKey,"&lt;"&amp;$T1431)+COUNTIFS(LdBMember,$P1431,LdBKey,"&lt;"&amp;$T1431)+COUNTIFS(LdCParty,$P1431,LdCKey,"&lt;"&amp;$T1431)+1)</f>
        <v/>
      </c>
      <c r="V1431">
        <f>IF($U1431="","",$P1431&amp;"|"&amp;RIGHT("000000"&amp;$U1431,6))</f>
        <v/>
      </c>
      <c r="W1431">
        <f>IF($T1431="","",COUNTIFS(LdBGroup,$R1431,LdBKey,"&lt;"&amp;$T1431)+1)</f>
        <v/>
      </c>
      <c r="X1431">
        <f>IF($W1431="","",$R1431&amp;"|"&amp;RIGHT("000000"&amp;$W1431,6))</f>
        <v/>
      </c>
      <c r="Y1431">
        <f>IF($P1431="","",IF(Shares!$E1434="",0,Shares!$E1434))</f>
        <v/>
      </c>
      <c r="Z1431">
        <f>IF($P1431="","",Shares!$H1434)</f>
        <v/>
      </c>
      <c r="AE1431">
        <f>IF(OR(Sync!$S1431="",Sync!$P1431=""),"",Sync!$S1431)</f>
        <v/>
      </c>
      <c r="AF1431">
        <f>IF($AE1431="","",IF(ISNUMBER(Sync!$P1431),IF(AND(Sync!$P1431&gt;=10000101,Sync!$P1431&lt;=99991231),INT(Sync!$P1431/10000),""),IFERROR(VALUE(TRIM(LEFT(Sync!$P1431,FIND("/",Sync!$P1431)-1))),"")))</f>
        <v/>
      </c>
      <c r="AG1431">
        <f>IF(OR($AE1431="",$AF1431=""),"",IF(ISNUMBER(Sync!$P1431),INT(MOD(Sync!$P1431,10000)/100),IFERROR(VALUE(TRIM(LEFT(MID(Sync!$P1431,FIND("/",Sync!$P1431)+1,20),FIND("/",MID(Sync!$P1431,FIND("/",Sync!$P1431)+1,20))-1))),"")))</f>
        <v/>
      </c>
      <c r="AH1431">
        <f>IF(OR($AE1431="",$AF1431=""),"",IF(ISNUMBER(Sync!$P1431),MOD(Sync!$P1431,100),IFERROR(VALUE(TRIM(MID(MID(Sync!$P1431,FIND("/",Sync!$P1431)+1,20),FIND("/",MID(Sync!$P1431,FIND("/",Sync!$P1431)+1,20))+1,20))),"")))</f>
        <v/>
      </c>
      <c r="AI1431">
        <f>IF($AE1431="","",IF(OR($AF1431="",$AG1431="",$AH1431="",$AF1431&lt;1300,$AF1431&gt;1500,$AG1431&lt;1,$AG1431&gt;12,$AH1431&lt;1,$AH1431&gt;31),"نامعتبر",RIGHT("0000"&amp;$AF1431,4)&amp;"/"&amp;RIGHT("00"&amp;$AG1431,2)&amp;"/"&amp;RIGHT("00"&amp;$AH1431,2)))</f>
        <v/>
      </c>
      <c r="AJ1431">
        <f>IF($AE1431="","",IF(Sync!$Q1431="","0000",IF(AND(ISNUMBER(Sync!$Q1431),Sync!$Q1431&gt;=0,Sync!$Q1431&lt;1),RIGHT("00"&amp;HOUR(Sync!$Q1431),2)&amp;RIGHT("00"&amp;MINUTE(Sync!$Q1431),2),IFERROR(RIGHT("00"&amp;VALUE(LEFT(Sync!$Q1431,FIND(":",Sync!$Q1431)-1)),2)&amp;RIGHT("00"&amp;VALUE(MID(Sync!$Q1431,FIND(":",Sync!$Q1431)+1,2)),2),"0000"))))</f>
        <v/>
      </c>
      <c r="AK1431">
        <f>IF(OR($AE1431="",$AI1431="",$AI1431="نامعتبر"),"",LEFT($AI1431,4)&amp;MID($AI1431,6,2)&amp;RIGHT($AI1431,2)&amp;$AJ1431&amp;"|"&amp;"3"&amp;RIGHT("00000"&amp;1426,5))</f>
        <v/>
      </c>
      <c r="AL1431">
        <f>IF($AK1431="","",COUNTIFS(LdAParty,$AE1431,LdAType,1,LdAKey,"&lt;"&amp;$AK1431)+COUNTIFS(LdBMember,$AE1431,LdBKey,"&lt;"&amp;$AK1431)+COUNTIFS(LdCParty,$AE1431,LdCKey,"&lt;"&amp;$AK1431)+1)</f>
        <v/>
      </c>
      <c r="AM1431">
        <f>IF($AL1431="","",$AE1431&amp;"|"&amp;RIGHT("000000"&amp;$AL1431,6))</f>
        <v/>
      </c>
      <c r="AN1431">
        <f>IF($AE1431="","",IF(Sync!$W1431="",0,Sync!$W1431))</f>
        <v/>
      </c>
      <c r="AO1431">
        <f>IF($AE1431="","",IF(Sync!$X1431="",0,Sync!$X1431))</f>
        <v/>
      </c>
      <c r="AP1431">
        <f>IF($AE1431="","",Sync!$R1431)</f>
        <v/>
      </c>
      <c r="AQ1431">
        <f>IF($AE1431="","",Sync!$Y1431)</f>
        <v/>
      </c>
    </row>
    <row r="1432">
      <c r="A1432">
        <f>IF(OR(Wages!$B1435="",Wages!$E1435=""),"",Wages!$E1435)</f>
        <v/>
      </c>
      <c r="B1432">
        <f>IF($A1432="","",IF(Wages!$C1435="دستمزد گروهی",2,1))</f>
        <v/>
      </c>
      <c r="C1432">
        <f>IF($A1432="","",IF(ISNUMBER(Wages!$B1435),IF(AND(Wages!$B1435&gt;=10000101,Wages!$B1435&lt;=99991231),INT(Wages!$B1435/10000),""),IFERROR(VALUE(TRIM(LEFT(Wages!$B1435,FIND("/",Wages!$B1435)-1))),"")))</f>
        <v/>
      </c>
      <c r="D1432">
        <f>IF(OR($A1432="",$C1432=""),"",IF(ISNUMBER(Wages!$B1435),INT(MOD(Wages!$B1435,10000)/100),IFERROR(VALUE(TRIM(LEFT(MID(Wages!$B1435,FIND("/",Wages!$B1435)+1,20),FIND("/",MID(Wages!$B1435,FIND("/",Wages!$B1435)+1,20))-1))),"")))</f>
        <v/>
      </c>
      <c r="E1432">
        <f>IF(OR($A1432="",$C1432=""),"",IF(ISNUMBER(Wages!$B1435),MOD(Wages!$B1435,100),IFERROR(VALUE(TRIM(MID(MID(Wages!$B1435,FIND("/",Wages!$B1435)+1,20),FIND("/",MID(Wages!$B1435,FIND("/",Wages!$B1435)+1,20))+1,20))),"")))</f>
        <v/>
      </c>
      <c r="F1432">
        <f>IF($A1432="","",IF(OR($C1432="",$D1432="",$E1432="",$C1432&lt;1300,$C1432&gt;1500,$D1432&lt;1,$D1432&gt;12,$E1432&lt;1,$E1432&gt;31),"نامعتبر",RIGHT("0000"&amp;$C1432,4)&amp;"/"&amp;RIGHT("00"&amp;$D1432,2)&amp;"/"&amp;RIGHT("00"&amp;$E1432,2)))</f>
        <v/>
      </c>
      <c r="G1432">
        <f>IF(OR($A1432="",$F1432="",$F1432="نامعتبر"),"",LEFT($F1432,4)&amp;MID($F1432,6,2)&amp;RIGHT($F1432,2)&amp;"0000"&amp;"|"&amp;"1"&amp;RIGHT("00000"&amp;1427,5))</f>
        <v/>
      </c>
      <c r="H1432">
        <f>IF(OR($B1432&lt;&gt;1,$G1432=""),"",COUNTIFS(LdAParty,$A1432,LdAType,1,LdAKey,"&lt;"&amp;$G1432)+COUNTIFS(LdBMember,$A1432,LdBKey,"&lt;"&amp;$G1432)+COUNTIFS(LdCParty,$A1432,LdCKey,"&lt;"&amp;$G1432)+1)</f>
        <v/>
      </c>
      <c r="I1432">
        <f>IF($H1432="","",$A1432&amp;"|"&amp;RIGHT("000000"&amp;$H1432,6))</f>
        <v/>
      </c>
      <c r="J1432">
        <f>IF(OR($B1432&lt;&gt;2,$G1432=""),"",COUNTIFS(LdAParty,$A1432,LdAType,2,LdAKey,"&lt;"&amp;$G1432)+1)</f>
        <v/>
      </c>
      <c r="K1432">
        <f>IF($J1432="","",$A1432&amp;"|"&amp;RIGHT("000000"&amp;$J1432,6))</f>
        <v/>
      </c>
      <c r="L1432">
        <f>IF($A1432="","",IF(Wages!$G1435="",0,Wages!$G1435))</f>
        <v/>
      </c>
      <c r="M1432">
        <f>IF($A1432="","",Wages!$J1435)</f>
        <v/>
      </c>
      <c r="N1432">
        <f>IF($A1432="","",Wages!$D1435)</f>
        <v/>
      </c>
      <c r="P1432">
        <f>IF(OR(Shares!$B1435="",Shares!$C1435=""),"",Shares!$C1435)</f>
        <v/>
      </c>
      <c r="Q1432">
        <f>IF($P1432="","",Shares!$B1435)</f>
        <v/>
      </c>
      <c r="R1432">
        <f>IF($P1432="","",IFERROR(INDEX(WageParty,MATCH($Q1432,WageIds,0)),""))</f>
        <v/>
      </c>
      <c r="S1432">
        <f>IF($P1432="","",IFERROR(INDEX($F$6:$F$2005,MATCH($Q1432,WageIds,0)),""))</f>
        <v/>
      </c>
      <c r="T1432">
        <f>IF(OR($P1432="",$S1432="",$S1432="نامعتبر"),"",LEFT($S1432,4)&amp;MID($S1432,6,2)&amp;RIGHT($S1432,2)&amp;"0000"&amp;"|"&amp;"2"&amp;RIGHT("00000"&amp;1427,5))</f>
        <v/>
      </c>
      <c r="U1432">
        <f>IF($T1432="","",COUNTIFS(LdAParty,$P1432,LdAType,1,LdAKey,"&lt;"&amp;$T1432)+COUNTIFS(LdBMember,$P1432,LdBKey,"&lt;"&amp;$T1432)+COUNTIFS(LdCParty,$P1432,LdCKey,"&lt;"&amp;$T1432)+1)</f>
        <v/>
      </c>
      <c r="V1432">
        <f>IF($U1432="","",$P1432&amp;"|"&amp;RIGHT("000000"&amp;$U1432,6))</f>
        <v/>
      </c>
      <c r="W1432">
        <f>IF($T1432="","",COUNTIFS(LdBGroup,$R1432,LdBKey,"&lt;"&amp;$T1432)+1)</f>
        <v/>
      </c>
      <c r="X1432">
        <f>IF($W1432="","",$R1432&amp;"|"&amp;RIGHT("000000"&amp;$W1432,6))</f>
        <v/>
      </c>
      <c r="Y1432">
        <f>IF($P1432="","",IF(Shares!$E1435="",0,Shares!$E1435))</f>
        <v/>
      </c>
      <c r="Z1432">
        <f>IF($P1432="","",Shares!$H1435)</f>
        <v/>
      </c>
      <c r="AE1432">
        <f>IF(OR(Sync!$S1432="",Sync!$P1432=""),"",Sync!$S1432)</f>
        <v/>
      </c>
      <c r="AF1432">
        <f>IF($AE1432="","",IF(ISNUMBER(Sync!$P1432),IF(AND(Sync!$P1432&gt;=10000101,Sync!$P1432&lt;=99991231),INT(Sync!$P1432/10000),""),IFERROR(VALUE(TRIM(LEFT(Sync!$P1432,FIND("/",Sync!$P1432)-1))),"")))</f>
        <v/>
      </c>
      <c r="AG1432">
        <f>IF(OR($AE1432="",$AF1432=""),"",IF(ISNUMBER(Sync!$P1432),INT(MOD(Sync!$P1432,10000)/100),IFERROR(VALUE(TRIM(LEFT(MID(Sync!$P1432,FIND("/",Sync!$P1432)+1,20),FIND("/",MID(Sync!$P1432,FIND("/",Sync!$P1432)+1,20))-1))),"")))</f>
        <v/>
      </c>
      <c r="AH1432">
        <f>IF(OR($AE1432="",$AF1432=""),"",IF(ISNUMBER(Sync!$P1432),MOD(Sync!$P1432,100),IFERROR(VALUE(TRIM(MID(MID(Sync!$P1432,FIND("/",Sync!$P1432)+1,20),FIND("/",MID(Sync!$P1432,FIND("/",Sync!$P1432)+1,20))+1,20))),"")))</f>
        <v/>
      </c>
      <c r="AI1432">
        <f>IF($AE1432="","",IF(OR($AF1432="",$AG1432="",$AH1432="",$AF1432&lt;1300,$AF1432&gt;1500,$AG1432&lt;1,$AG1432&gt;12,$AH1432&lt;1,$AH1432&gt;31),"نامعتبر",RIGHT("0000"&amp;$AF1432,4)&amp;"/"&amp;RIGHT("00"&amp;$AG1432,2)&amp;"/"&amp;RIGHT("00"&amp;$AH1432,2)))</f>
        <v/>
      </c>
      <c r="AJ1432">
        <f>IF($AE1432="","",IF(Sync!$Q1432="","0000",IF(AND(ISNUMBER(Sync!$Q1432),Sync!$Q1432&gt;=0,Sync!$Q1432&lt;1),RIGHT("00"&amp;HOUR(Sync!$Q1432),2)&amp;RIGHT("00"&amp;MINUTE(Sync!$Q1432),2),IFERROR(RIGHT("00"&amp;VALUE(LEFT(Sync!$Q1432,FIND(":",Sync!$Q1432)-1)),2)&amp;RIGHT("00"&amp;VALUE(MID(Sync!$Q1432,FIND(":",Sync!$Q1432)+1,2)),2),"0000"))))</f>
        <v/>
      </c>
      <c r="AK1432">
        <f>IF(OR($AE1432="",$AI1432="",$AI1432="نامعتبر"),"",LEFT($AI1432,4)&amp;MID($AI1432,6,2)&amp;RIGHT($AI1432,2)&amp;$AJ1432&amp;"|"&amp;"3"&amp;RIGHT("00000"&amp;1427,5))</f>
        <v/>
      </c>
      <c r="AL1432">
        <f>IF($AK1432="","",COUNTIFS(LdAParty,$AE1432,LdAType,1,LdAKey,"&lt;"&amp;$AK1432)+COUNTIFS(LdBMember,$AE1432,LdBKey,"&lt;"&amp;$AK1432)+COUNTIFS(LdCParty,$AE1432,LdCKey,"&lt;"&amp;$AK1432)+1)</f>
        <v/>
      </c>
      <c r="AM1432">
        <f>IF($AL1432="","",$AE1432&amp;"|"&amp;RIGHT("000000"&amp;$AL1432,6))</f>
        <v/>
      </c>
      <c r="AN1432">
        <f>IF($AE1432="","",IF(Sync!$W1432="",0,Sync!$W1432))</f>
        <v/>
      </c>
      <c r="AO1432">
        <f>IF($AE1432="","",IF(Sync!$X1432="",0,Sync!$X1432))</f>
        <v/>
      </c>
      <c r="AP1432">
        <f>IF($AE1432="","",Sync!$R1432)</f>
        <v/>
      </c>
      <c r="AQ1432">
        <f>IF($AE1432="","",Sync!$Y1432)</f>
        <v/>
      </c>
    </row>
    <row r="1433">
      <c r="A1433">
        <f>IF(OR(Wages!$B1436="",Wages!$E1436=""),"",Wages!$E1436)</f>
        <v/>
      </c>
      <c r="B1433">
        <f>IF($A1433="","",IF(Wages!$C1436="دستمزد گروهی",2,1))</f>
        <v/>
      </c>
      <c r="C1433">
        <f>IF($A1433="","",IF(ISNUMBER(Wages!$B1436),IF(AND(Wages!$B1436&gt;=10000101,Wages!$B1436&lt;=99991231),INT(Wages!$B1436/10000),""),IFERROR(VALUE(TRIM(LEFT(Wages!$B1436,FIND("/",Wages!$B1436)-1))),"")))</f>
        <v/>
      </c>
      <c r="D1433">
        <f>IF(OR($A1433="",$C1433=""),"",IF(ISNUMBER(Wages!$B1436),INT(MOD(Wages!$B1436,10000)/100),IFERROR(VALUE(TRIM(LEFT(MID(Wages!$B1436,FIND("/",Wages!$B1436)+1,20),FIND("/",MID(Wages!$B1436,FIND("/",Wages!$B1436)+1,20))-1))),"")))</f>
        <v/>
      </c>
      <c r="E1433">
        <f>IF(OR($A1433="",$C1433=""),"",IF(ISNUMBER(Wages!$B1436),MOD(Wages!$B1436,100),IFERROR(VALUE(TRIM(MID(MID(Wages!$B1436,FIND("/",Wages!$B1436)+1,20),FIND("/",MID(Wages!$B1436,FIND("/",Wages!$B1436)+1,20))+1,20))),"")))</f>
        <v/>
      </c>
      <c r="F1433">
        <f>IF($A1433="","",IF(OR($C1433="",$D1433="",$E1433="",$C1433&lt;1300,$C1433&gt;1500,$D1433&lt;1,$D1433&gt;12,$E1433&lt;1,$E1433&gt;31),"نامعتبر",RIGHT("0000"&amp;$C1433,4)&amp;"/"&amp;RIGHT("00"&amp;$D1433,2)&amp;"/"&amp;RIGHT("00"&amp;$E1433,2)))</f>
        <v/>
      </c>
      <c r="G1433">
        <f>IF(OR($A1433="",$F1433="",$F1433="نامعتبر"),"",LEFT($F1433,4)&amp;MID($F1433,6,2)&amp;RIGHT($F1433,2)&amp;"0000"&amp;"|"&amp;"1"&amp;RIGHT("00000"&amp;1428,5))</f>
        <v/>
      </c>
      <c r="H1433">
        <f>IF(OR($B1433&lt;&gt;1,$G1433=""),"",COUNTIFS(LdAParty,$A1433,LdAType,1,LdAKey,"&lt;"&amp;$G1433)+COUNTIFS(LdBMember,$A1433,LdBKey,"&lt;"&amp;$G1433)+COUNTIFS(LdCParty,$A1433,LdCKey,"&lt;"&amp;$G1433)+1)</f>
        <v/>
      </c>
      <c r="I1433">
        <f>IF($H1433="","",$A1433&amp;"|"&amp;RIGHT("000000"&amp;$H1433,6))</f>
        <v/>
      </c>
      <c r="J1433">
        <f>IF(OR($B1433&lt;&gt;2,$G1433=""),"",COUNTIFS(LdAParty,$A1433,LdAType,2,LdAKey,"&lt;"&amp;$G1433)+1)</f>
        <v/>
      </c>
      <c r="K1433">
        <f>IF($J1433="","",$A1433&amp;"|"&amp;RIGHT("000000"&amp;$J1433,6))</f>
        <v/>
      </c>
      <c r="L1433">
        <f>IF($A1433="","",IF(Wages!$G1436="",0,Wages!$G1436))</f>
        <v/>
      </c>
      <c r="M1433">
        <f>IF($A1433="","",Wages!$J1436)</f>
        <v/>
      </c>
      <c r="N1433">
        <f>IF($A1433="","",Wages!$D1436)</f>
        <v/>
      </c>
      <c r="P1433">
        <f>IF(OR(Shares!$B1436="",Shares!$C1436=""),"",Shares!$C1436)</f>
        <v/>
      </c>
      <c r="Q1433">
        <f>IF($P1433="","",Shares!$B1436)</f>
        <v/>
      </c>
      <c r="R1433">
        <f>IF($P1433="","",IFERROR(INDEX(WageParty,MATCH($Q1433,WageIds,0)),""))</f>
        <v/>
      </c>
      <c r="S1433">
        <f>IF($P1433="","",IFERROR(INDEX($F$6:$F$2005,MATCH($Q1433,WageIds,0)),""))</f>
        <v/>
      </c>
      <c r="T1433">
        <f>IF(OR($P1433="",$S1433="",$S1433="نامعتبر"),"",LEFT($S1433,4)&amp;MID($S1433,6,2)&amp;RIGHT($S1433,2)&amp;"0000"&amp;"|"&amp;"2"&amp;RIGHT("00000"&amp;1428,5))</f>
        <v/>
      </c>
      <c r="U1433">
        <f>IF($T1433="","",COUNTIFS(LdAParty,$P1433,LdAType,1,LdAKey,"&lt;"&amp;$T1433)+COUNTIFS(LdBMember,$P1433,LdBKey,"&lt;"&amp;$T1433)+COUNTIFS(LdCParty,$P1433,LdCKey,"&lt;"&amp;$T1433)+1)</f>
        <v/>
      </c>
      <c r="V1433">
        <f>IF($U1433="","",$P1433&amp;"|"&amp;RIGHT("000000"&amp;$U1433,6))</f>
        <v/>
      </c>
      <c r="W1433">
        <f>IF($T1433="","",COUNTIFS(LdBGroup,$R1433,LdBKey,"&lt;"&amp;$T1433)+1)</f>
        <v/>
      </c>
      <c r="X1433">
        <f>IF($W1433="","",$R1433&amp;"|"&amp;RIGHT("000000"&amp;$W1433,6))</f>
        <v/>
      </c>
      <c r="Y1433">
        <f>IF($P1433="","",IF(Shares!$E1436="",0,Shares!$E1436))</f>
        <v/>
      </c>
      <c r="Z1433">
        <f>IF($P1433="","",Shares!$H1436)</f>
        <v/>
      </c>
      <c r="AE1433">
        <f>IF(OR(Sync!$S1433="",Sync!$P1433=""),"",Sync!$S1433)</f>
        <v/>
      </c>
      <c r="AF1433">
        <f>IF($AE1433="","",IF(ISNUMBER(Sync!$P1433),IF(AND(Sync!$P1433&gt;=10000101,Sync!$P1433&lt;=99991231),INT(Sync!$P1433/10000),""),IFERROR(VALUE(TRIM(LEFT(Sync!$P1433,FIND("/",Sync!$P1433)-1))),"")))</f>
        <v/>
      </c>
      <c r="AG1433">
        <f>IF(OR($AE1433="",$AF1433=""),"",IF(ISNUMBER(Sync!$P1433),INT(MOD(Sync!$P1433,10000)/100),IFERROR(VALUE(TRIM(LEFT(MID(Sync!$P1433,FIND("/",Sync!$P1433)+1,20),FIND("/",MID(Sync!$P1433,FIND("/",Sync!$P1433)+1,20))-1))),"")))</f>
        <v/>
      </c>
      <c r="AH1433">
        <f>IF(OR($AE1433="",$AF1433=""),"",IF(ISNUMBER(Sync!$P1433),MOD(Sync!$P1433,100),IFERROR(VALUE(TRIM(MID(MID(Sync!$P1433,FIND("/",Sync!$P1433)+1,20),FIND("/",MID(Sync!$P1433,FIND("/",Sync!$P1433)+1,20))+1,20))),"")))</f>
        <v/>
      </c>
      <c r="AI1433">
        <f>IF($AE1433="","",IF(OR($AF1433="",$AG1433="",$AH1433="",$AF1433&lt;1300,$AF1433&gt;1500,$AG1433&lt;1,$AG1433&gt;12,$AH1433&lt;1,$AH1433&gt;31),"نامعتبر",RIGHT("0000"&amp;$AF1433,4)&amp;"/"&amp;RIGHT("00"&amp;$AG1433,2)&amp;"/"&amp;RIGHT("00"&amp;$AH1433,2)))</f>
        <v/>
      </c>
      <c r="AJ1433">
        <f>IF($AE1433="","",IF(Sync!$Q1433="","0000",IF(AND(ISNUMBER(Sync!$Q1433),Sync!$Q1433&gt;=0,Sync!$Q1433&lt;1),RIGHT("00"&amp;HOUR(Sync!$Q1433),2)&amp;RIGHT("00"&amp;MINUTE(Sync!$Q1433),2),IFERROR(RIGHT("00"&amp;VALUE(LEFT(Sync!$Q1433,FIND(":",Sync!$Q1433)-1)),2)&amp;RIGHT("00"&amp;VALUE(MID(Sync!$Q1433,FIND(":",Sync!$Q1433)+1,2)),2),"0000"))))</f>
        <v/>
      </c>
      <c r="AK1433">
        <f>IF(OR($AE1433="",$AI1433="",$AI1433="نامعتبر"),"",LEFT($AI1433,4)&amp;MID($AI1433,6,2)&amp;RIGHT($AI1433,2)&amp;$AJ1433&amp;"|"&amp;"3"&amp;RIGHT("00000"&amp;1428,5))</f>
        <v/>
      </c>
      <c r="AL1433">
        <f>IF($AK1433="","",COUNTIFS(LdAParty,$AE1433,LdAType,1,LdAKey,"&lt;"&amp;$AK1433)+COUNTIFS(LdBMember,$AE1433,LdBKey,"&lt;"&amp;$AK1433)+COUNTIFS(LdCParty,$AE1433,LdCKey,"&lt;"&amp;$AK1433)+1)</f>
        <v/>
      </c>
      <c r="AM1433">
        <f>IF($AL1433="","",$AE1433&amp;"|"&amp;RIGHT("000000"&amp;$AL1433,6))</f>
        <v/>
      </c>
      <c r="AN1433">
        <f>IF($AE1433="","",IF(Sync!$W1433="",0,Sync!$W1433))</f>
        <v/>
      </c>
      <c r="AO1433">
        <f>IF($AE1433="","",IF(Sync!$X1433="",0,Sync!$X1433))</f>
        <v/>
      </c>
      <c r="AP1433">
        <f>IF($AE1433="","",Sync!$R1433)</f>
        <v/>
      </c>
      <c r="AQ1433">
        <f>IF($AE1433="","",Sync!$Y1433)</f>
        <v/>
      </c>
    </row>
    <row r="1434">
      <c r="A1434">
        <f>IF(OR(Wages!$B1437="",Wages!$E1437=""),"",Wages!$E1437)</f>
        <v/>
      </c>
      <c r="B1434">
        <f>IF($A1434="","",IF(Wages!$C1437="دستمزد گروهی",2,1))</f>
        <v/>
      </c>
      <c r="C1434">
        <f>IF($A1434="","",IF(ISNUMBER(Wages!$B1437),IF(AND(Wages!$B1437&gt;=10000101,Wages!$B1437&lt;=99991231),INT(Wages!$B1437/10000),""),IFERROR(VALUE(TRIM(LEFT(Wages!$B1437,FIND("/",Wages!$B1437)-1))),"")))</f>
        <v/>
      </c>
      <c r="D1434">
        <f>IF(OR($A1434="",$C1434=""),"",IF(ISNUMBER(Wages!$B1437),INT(MOD(Wages!$B1437,10000)/100),IFERROR(VALUE(TRIM(LEFT(MID(Wages!$B1437,FIND("/",Wages!$B1437)+1,20),FIND("/",MID(Wages!$B1437,FIND("/",Wages!$B1437)+1,20))-1))),"")))</f>
        <v/>
      </c>
      <c r="E1434">
        <f>IF(OR($A1434="",$C1434=""),"",IF(ISNUMBER(Wages!$B1437),MOD(Wages!$B1437,100),IFERROR(VALUE(TRIM(MID(MID(Wages!$B1437,FIND("/",Wages!$B1437)+1,20),FIND("/",MID(Wages!$B1437,FIND("/",Wages!$B1437)+1,20))+1,20))),"")))</f>
        <v/>
      </c>
      <c r="F1434">
        <f>IF($A1434="","",IF(OR($C1434="",$D1434="",$E1434="",$C1434&lt;1300,$C1434&gt;1500,$D1434&lt;1,$D1434&gt;12,$E1434&lt;1,$E1434&gt;31),"نامعتبر",RIGHT("0000"&amp;$C1434,4)&amp;"/"&amp;RIGHT("00"&amp;$D1434,2)&amp;"/"&amp;RIGHT("00"&amp;$E1434,2)))</f>
        <v/>
      </c>
      <c r="G1434">
        <f>IF(OR($A1434="",$F1434="",$F1434="نامعتبر"),"",LEFT($F1434,4)&amp;MID($F1434,6,2)&amp;RIGHT($F1434,2)&amp;"0000"&amp;"|"&amp;"1"&amp;RIGHT("00000"&amp;1429,5))</f>
        <v/>
      </c>
      <c r="H1434">
        <f>IF(OR($B1434&lt;&gt;1,$G1434=""),"",COUNTIFS(LdAParty,$A1434,LdAType,1,LdAKey,"&lt;"&amp;$G1434)+COUNTIFS(LdBMember,$A1434,LdBKey,"&lt;"&amp;$G1434)+COUNTIFS(LdCParty,$A1434,LdCKey,"&lt;"&amp;$G1434)+1)</f>
        <v/>
      </c>
      <c r="I1434">
        <f>IF($H1434="","",$A1434&amp;"|"&amp;RIGHT("000000"&amp;$H1434,6))</f>
        <v/>
      </c>
      <c r="J1434">
        <f>IF(OR($B1434&lt;&gt;2,$G1434=""),"",COUNTIFS(LdAParty,$A1434,LdAType,2,LdAKey,"&lt;"&amp;$G1434)+1)</f>
        <v/>
      </c>
      <c r="K1434">
        <f>IF($J1434="","",$A1434&amp;"|"&amp;RIGHT("000000"&amp;$J1434,6))</f>
        <v/>
      </c>
      <c r="L1434">
        <f>IF($A1434="","",IF(Wages!$G1437="",0,Wages!$G1437))</f>
        <v/>
      </c>
      <c r="M1434">
        <f>IF($A1434="","",Wages!$J1437)</f>
        <v/>
      </c>
      <c r="N1434">
        <f>IF($A1434="","",Wages!$D1437)</f>
        <v/>
      </c>
      <c r="P1434">
        <f>IF(OR(Shares!$B1437="",Shares!$C1437=""),"",Shares!$C1437)</f>
        <v/>
      </c>
      <c r="Q1434">
        <f>IF($P1434="","",Shares!$B1437)</f>
        <v/>
      </c>
      <c r="R1434">
        <f>IF($P1434="","",IFERROR(INDEX(WageParty,MATCH($Q1434,WageIds,0)),""))</f>
        <v/>
      </c>
      <c r="S1434">
        <f>IF($P1434="","",IFERROR(INDEX($F$6:$F$2005,MATCH($Q1434,WageIds,0)),""))</f>
        <v/>
      </c>
      <c r="T1434">
        <f>IF(OR($P1434="",$S1434="",$S1434="نامعتبر"),"",LEFT($S1434,4)&amp;MID($S1434,6,2)&amp;RIGHT($S1434,2)&amp;"0000"&amp;"|"&amp;"2"&amp;RIGHT("00000"&amp;1429,5))</f>
        <v/>
      </c>
      <c r="U1434">
        <f>IF($T1434="","",COUNTIFS(LdAParty,$P1434,LdAType,1,LdAKey,"&lt;"&amp;$T1434)+COUNTIFS(LdBMember,$P1434,LdBKey,"&lt;"&amp;$T1434)+COUNTIFS(LdCParty,$P1434,LdCKey,"&lt;"&amp;$T1434)+1)</f>
        <v/>
      </c>
      <c r="V1434">
        <f>IF($U1434="","",$P1434&amp;"|"&amp;RIGHT("000000"&amp;$U1434,6))</f>
        <v/>
      </c>
      <c r="W1434">
        <f>IF($T1434="","",COUNTIFS(LdBGroup,$R1434,LdBKey,"&lt;"&amp;$T1434)+1)</f>
        <v/>
      </c>
      <c r="X1434">
        <f>IF($W1434="","",$R1434&amp;"|"&amp;RIGHT("000000"&amp;$W1434,6))</f>
        <v/>
      </c>
      <c r="Y1434">
        <f>IF($P1434="","",IF(Shares!$E1437="",0,Shares!$E1437))</f>
        <v/>
      </c>
      <c r="Z1434">
        <f>IF($P1434="","",Shares!$H1437)</f>
        <v/>
      </c>
      <c r="AE1434">
        <f>IF(OR(Sync!$S1434="",Sync!$P1434=""),"",Sync!$S1434)</f>
        <v/>
      </c>
      <c r="AF1434">
        <f>IF($AE1434="","",IF(ISNUMBER(Sync!$P1434),IF(AND(Sync!$P1434&gt;=10000101,Sync!$P1434&lt;=99991231),INT(Sync!$P1434/10000),""),IFERROR(VALUE(TRIM(LEFT(Sync!$P1434,FIND("/",Sync!$P1434)-1))),"")))</f>
        <v/>
      </c>
      <c r="AG1434">
        <f>IF(OR($AE1434="",$AF1434=""),"",IF(ISNUMBER(Sync!$P1434),INT(MOD(Sync!$P1434,10000)/100),IFERROR(VALUE(TRIM(LEFT(MID(Sync!$P1434,FIND("/",Sync!$P1434)+1,20),FIND("/",MID(Sync!$P1434,FIND("/",Sync!$P1434)+1,20))-1))),"")))</f>
        <v/>
      </c>
      <c r="AH1434">
        <f>IF(OR($AE1434="",$AF1434=""),"",IF(ISNUMBER(Sync!$P1434),MOD(Sync!$P1434,100),IFERROR(VALUE(TRIM(MID(MID(Sync!$P1434,FIND("/",Sync!$P1434)+1,20),FIND("/",MID(Sync!$P1434,FIND("/",Sync!$P1434)+1,20))+1,20))),"")))</f>
        <v/>
      </c>
      <c r="AI1434">
        <f>IF($AE1434="","",IF(OR($AF1434="",$AG1434="",$AH1434="",$AF1434&lt;1300,$AF1434&gt;1500,$AG1434&lt;1,$AG1434&gt;12,$AH1434&lt;1,$AH1434&gt;31),"نامعتبر",RIGHT("0000"&amp;$AF1434,4)&amp;"/"&amp;RIGHT("00"&amp;$AG1434,2)&amp;"/"&amp;RIGHT("00"&amp;$AH1434,2)))</f>
        <v/>
      </c>
      <c r="AJ1434">
        <f>IF($AE1434="","",IF(Sync!$Q1434="","0000",IF(AND(ISNUMBER(Sync!$Q1434),Sync!$Q1434&gt;=0,Sync!$Q1434&lt;1),RIGHT("00"&amp;HOUR(Sync!$Q1434),2)&amp;RIGHT("00"&amp;MINUTE(Sync!$Q1434),2),IFERROR(RIGHT("00"&amp;VALUE(LEFT(Sync!$Q1434,FIND(":",Sync!$Q1434)-1)),2)&amp;RIGHT("00"&amp;VALUE(MID(Sync!$Q1434,FIND(":",Sync!$Q1434)+1,2)),2),"0000"))))</f>
        <v/>
      </c>
      <c r="AK1434">
        <f>IF(OR($AE1434="",$AI1434="",$AI1434="نامعتبر"),"",LEFT($AI1434,4)&amp;MID($AI1434,6,2)&amp;RIGHT($AI1434,2)&amp;$AJ1434&amp;"|"&amp;"3"&amp;RIGHT("00000"&amp;1429,5))</f>
        <v/>
      </c>
      <c r="AL1434">
        <f>IF($AK1434="","",COUNTIFS(LdAParty,$AE1434,LdAType,1,LdAKey,"&lt;"&amp;$AK1434)+COUNTIFS(LdBMember,$AE1434,LdBKey,"&lt;"&amp;$AK1434)+COUNTIFS(LdCParty,$AE1434,LdCKey,"&lt;"&amp;$AK1434)+1)</f>
        <v/>
      </c>
      <c r="AM1434">
        <f>IF($AL1434="","",$AE1434&amp;"|"&amp;RIGHT("000000"&amp;$AL1434,6))</f>
        <v/>
      </c>
      <c r="AN1434">
        <f>IF($AE1434="","",IF(Sync!$W1434="",0,Sync!$W1434))</f>
        <v/>
      </c>
      <c r="AO1434">
        <f>IF($AE1434="","",IF(Sync!$X1434="",0,Sync!$X1434))</f>
        <v/>
      </c>
      <c r="AP1434">
        <f>IF($AE1434="","",Sync!$R1434)</f>
        <v/>
      </c>
      <c r="AQ1434">
        <f>IF($AE1434="","",Sync!$Y1434)</f>
        <v/>
      </c>
    </row>
    <row r="1435">
      <c r="A1435">
        <f>IF(OR(Wages!$B1438="",Wages!$E1438=""),"",Wages!$E1438)</f>
        <v/>
      </c>
      <c r="B1435">
        <f>IF($A1435="","",IF(Wages!$C1438="دستمزد گروهی",2,1))</f>
        <v/>
      </c>
      <c r="C1435">
        <f>IF($A1435="","",IF(ISNUMBER(Wages!$B1438),IF(AND(Wages!$B1438&gt;=10000101,Wages!$B1438&lt;=99991231),INT(Wages!$B1438/10000),""),IFERROR(VALUE(TRIM(LEFT(Wages!$B1438,FIND("/",Wages!$B1438)-1))),"")))</f>
        <v/>
      </c>
      <c r="D1435">
        <f>IF(OR($A1435="",$C1435=""),"",IF(ISNUMBER(Wages!$B1438),INT(MOD(Wages!$B1438,10000)/100),IFERROR(VALUE(TRIM(LEFT(MID(Wages!$B1438,FIND("/",Wages!$B1438)+1,20),FIND("/",MID(Wages!$B1438,FIND("/",Wages!$B1438)+1,20))-1))),"")))</f>
        <v/>
      </c>
      <c r="E1435">
        <f>IF(OR($A1435="",$C1435=""),"",IF(ISNUMBER(Wages!$B1438),MOD(Wages!$B1438,100),IFERROR(VALUE(TRIM(MID(MID(Wages!$B1438,FIND("/",Wages!$B1438)+1,20),FIND("/",MID(Wages!$B1438,FIND("/",Wages!$B1438)+1,20))+1,20))),"")))</f>
        <v/>
      </c>
      <c r="F1435">
        <f>IF($A1435="","",IF(OR($C1435="",$D1435="",$E1435="",$C1435&lt;1300,$C1435&gt;1500,$D1435&lt;1,$D1435&gt;12,$E1435&lt;1,$E1435&gt;31),"نامعتبر",RIGHT("0000"&amp;$C1435,4)&amp;"/"&amp;RIGHT("00"&amp;$D1435,2)&amp;"/"&amp;RIGHT("00"&amp;$E1435,2)))</f>
        <v/>
      </c>
      <c r="G1435">
        <f>IF(OR($A1435="",$F1435="",$F1435="نامعتبر"),"",LEFT($F1435,4)&amp;MID($F1435,6,2)&amp;RIGHT($F1435,2)&amp;"0000"&amp;"|"&amp;"1"&amp;RIGHT("00000"&amp;1430,5))</f>
        <v/>
      </c>
      <c r="H1435">
        <f>IF(OR($B1435&lt;&gt;1,$G1435=""),"",COUNTIFS(LdAParty,$A1435,LdAType,1,LdAKey,"&lt;"&amp;$G1435)+COUNTIFS(LdBMember,$A1435,LdBKey,"&lt;"&amp;$G1435)+COUNTIFS(LdCParty,$A1435,LdCKey,"&lt;"&amp;$G1435)+1)</f>
        <v/>
      </c>
      <c r="I1435">
        <f>IF($H1435="","",$A1435&amp;"|"&amp;RIGHT("000000"&amp;$H1435,6))</f>
        <v/>
      </c>
      <c r="J1435">
        <f>IF(OR($B1435&lt;&gt;2,$G1435=""),"",COUNTIFS(LdAParty,$A1435,LdAType,2,LdAKey,"&lt;"&amp;$G1435)+1)</f>
        <v/>
      </c>
      <c r="K1435">
        <f>IF($J1435="","",$A1435&amp;"|"&amp;RIGHT("000000"&amp;$J1435,6))</f>
        <v/>
      </c>
      <c r="L1435">
        <f>IF($A1435="","",IF(Wages!$G1438="",0,Wages!$G1438))</f>
        <v/>
      </c>
      <c r="M1435">
        <f>IF($A1435="","",Wages!$J1438)</f>
        <v/>
      </c>
      <c r="N1435">
        <f>IF($A1435="","",Wages!$D1438)</f>
        <v/>
      </c>
      <c r="P1435">
        <f>IF(OR(Shares!$B1438="",Shares!$C1438=""),"",Shares!$C1438)</f>
        <v/>
      </c>
      <c r="Q1435">
        <f>IF($P1435="","",Shares!$B1438)</f>
        <v/>
      </c>
      <c r="R1435">
        <f>IF($P1435="","",IFERROR(INDEX(WageParty,MATCH($Q1435,WageIds,0)),""))</f>
        <v/>
      </c>
      <c r="S1435">
        <f>IF($P1435="","",IFERROR(INDEX($F$6:$F$2005,MATCH($Q1435,WageIds,0)),""))</f>
        <v/>
      </c>
      <c r="T1435">
        <f>IF(OR($P1435="",$S1435="",$S1435="نامعتبر"),"",LEFT($S1435,4)&amp;MID($S1435,6,2)&amp;RIGHT($S1435,2)&amp;"0000"&amp;"|"&amp;"2"&amp;RIGHT("00000"&amp;1430,5))</f>
        <v/>
      </c>
      <c r="U1435">
        <f>IF($T1435="","",COUNTIFS(LdAParty,$P1435,LdAType,1,LdAKey,"&lt;"&amp;$T1435)+COUNTIFS(LdBMember,$P1435,LdBKey,"&lt;"&amp;$T1435)+COUNTIFS(LdCParty,$P1435,LdCKey,"&lt;"&amp;$T1435)+1)</f>
        <v/>
      </c>
      <c r="V1435">
        <f>IF($U1435="","",$P1435&amp;"|"&amp;RIGHT("000000"&amp;$U1435,6))</f>
        <v/>
      </c>
      <c r="W1435">
        <f>IF($T1435="","",COUNTIFS(LdBGroup,$R1435,LdBKey,"&lt;"&amp;$T1435)+1)</f>
        <v/>
      </c>
      <c r="X1435">
        <f>IF($W1435="","",$R1435&amp;"|"&amp;RIGHT("000000"&amp;$W1435,6))</f>
        <v/>
      </c>
      <c r="Y1435">
        <f>IF($P1435="","",IF(Shares!$E1438="",0,Shares!$E1438))</f>
        <v/>
      </c>
      <c r="Z1435">
        <f>IF($P1435="","",Shares!$H1438)</f>
        <v/>
      </c>
      <c r="AE1435">
        <f>IF(OR(Sync!$S1435="",Sync!$P1435=""),"",Sync!$S1435)</f>
        <v/>
      </c>
      <c r="AF1435">
        <f>IF($AE1435="","",IF(ISNUMBER(Sync!$P1435),IF(AND(Sync!$P1435&gt;=10000101,Sync!$P1435&lt;=99991231),INT(Sync!$P1435/10000),""),IFERROR(VALUE(TRIM(LEFT(Sync!$P1435,FIND("/",Sync!$P1435)-1))),"")))</f>
        <v/>
      </c>
      <c r="AG1435">
        <f>IF(OR($AE1435="",$AF1435=""),"",IF(ISNUMBER(Sync!$P1435),INT(MOD(Sync!$P1435,10000)/100),IFERROR(VALUE(TRIM(LEFT(MID(Sync!$P1435,FIND("/",Sync!$P1435)+1,20),FIND("/",MID(Sync!$P1435,FIND("/",Sync!$P1435)+1,20))-1))),"")))</f>
        <v/>
      </c>
      <c r="AH1435">
        <f>IF(OR($AE1435="",$AF1435=""),"",IF(ISNUMBER(Sync!$P1435),MOD(Sync!$P1435,100),IFERROR(VALUE(TRIM(MID(MID(Sync!$P1435,FIND("/",Sync!$P1435)+1,20),FIND("/",MID(Sync!$P1435,FIND("/",Sync!$P1435)+1,20))+1,20))),"")))</f>
        <v/>
      </c>
      <c r="AI1435">
        <f>IF($AE1435="","",IF(OR($AF1435="",$AG1435="",$AH1435="",$AF1435&lt;1300,$AF1435&gt;1500,$AG1435&lt;1,$AG1435&gt;12,$AH1435&lt;1,$AH1435&gt;31),"نامعتبر",RIGHT("0000"&amp;$AF1435,4)&amp;"/"&amp;RIGHT("00"&amp;$AG1435,2)&amp;"/"&amp;RIGHT("00"&amp;$AH1435,2)))</f>
        <v/>
      </c>
      <c r="AJ1435">
        <f>IF($AE1435="","",IF(Sync!$Q1435="","0000",IF(AND(ISNUMBER(Sync!$Q1435),Sync!$Q1435&gt;=0,Sync!$Q1435&lt;1),RIGHT("00"&amp;HOUR(Sync!$Q1435),2)&amp;RIGHT("00"&amp;MINUTE(Sync!$Q1435),2),IFERROR(RIGHT("00"&amp;VALUE(LEFT(Sync!$Q1435,FIND(":",Sync!$Q1435)-1)),2)&amp;RIGHT("00"&amp;VALUE(MID(Sync!$Q1435,FIND(":",Sync!$Q1435)+1,2)),2),"0000"))))</f>
        <v/>
      </c>
      <c r="AK1435">
        <f>IF(OR($AE1435="",$AI1435="",$AI1435="نامعتبر"),"",LEFT($AI1435,4)&amp;MID($AI1435,6,2)&amp;RIGHT($AI1435,2)&amp;$AJ1435&amp;"|"&amp;"3"&amp;RIGHT("00000"&amp;1430,5))</f>
        <v/>
      </c>
      <c r="AL1435">
        <f>IF($AK1435="","",COUNTIFS(LdAParty,$AE1435,LdAType,1,LdAKey,"&lt;"&amp;$AK1435)+COUNTIFS(LdBMember,$AE1435,LdBKey,"&lt;"&amp;$AK1435)+COUNTIFS(LdCParty,$AE1435,LdCKey,"&lt;"&amp;$AK1435)+1)</f>
        <v/>
      </c>
      <c r="AM1435">
        <f>IF($AL1435="","",$AE1435&amp;"|"&amp;RIGHT("000000"&amp;$AL1435,6))</f>
        <v/>
      </c>
      <c r="AN1435">
        <f>IF($AE1435="","",IF(Sync!$W1435="",0,Sync!$W1435))</f>
        <v/>
      </c>
      <c r="AO1435">
        <f>IF($AE1435="","",IF(Sync!$X1435="",0,Sync!$X1435))</f>
        <v/>
      </c>
      <c r="AP1435">
        <f>IF($AE1435="","",Sync!$R1435)</f>
        <v/>
      </c>
      <c r="AQ1435">
        <f>IF($AE1435="","",Sync!$Y1435)</f>
        <v/>
      </c>
    </row>
    <row r="1436">
      <c r="A1436">
        <f>IF(OR(Wages!$B1439="",Wages!$E1439=""),"",Wages!$E1439)</f>
        <v/>
      </c>
      <c r="B1436">
        <f>IF($A1436="","",IF(Wages!$C1439="دستمزد گروهی",2,1))</f>
        <v/>
      </c>
      <c r="C1436">
        <f>IF($A1436="","",IF(ISNUMBER(Wages!$B1439),IF(AND(Wages!$B1439&gt;=10000101,Wages!$B1439&lt;=99991231),INT(Wages!$B1439/10000),""),IFERROR(VALUE(TRIM(LEFT(Wages!$B1439,FIND("/",Wages!$B1439)-1))),"")))</f>
        <v/>
      </c>
      <c r="D1436">
        <f>IF(OR($A1436="",$C1436=""),"",IF(ISNUMBER(Wages!$B1439),INT(MOD(Wages!$B1439,10000)/100),IFERROR(VALUE(TRIM(LEFT(MID(Wages!$B1439,FIND("/",Wages!$B1439)+1,20),FIND("/",MID(Wages!$B1439,FIND("/",Wages!$B1439)+1,20))-1))),"")))</f>
        <v/>
      </c>
      <c r="E1436">
        <f>IF(OR($A1436="",$C1436=""),"",IF(ISNUMBER(Wages!$B1439),MOD(Wages!$B1439,100),IFERROR(VALUE(TRIM(MID(MID(Wages!$B1439,FIND("/",Wages!$B1439)+1,20),FIND("/",MID(Wages!$B1439,FIND("/",Wages!$B1439)+1,20))+1,20))),"")))</f>
        <v/>
      </c>
      <c r="F1436">
        <f>IF($A1436="","",IF(OR($C1436="",$D1436="",$E1436="",$C1436&lt;1300,$C1436&gt;1500,$D1436&lt;1,$D1436&gt;12,$E1436&lt;1,$E1436&gt;31),"نامعتبر",RIGHT("0000"&amp;$C1436,4)&amp;"/"&amp;RIGHT("00"&amp;$D1436,2)&amp;"/"&amp;RIGHT("00"&amp;$E1436,2)))</f>
        <v/>
      </c>
      <c r="G1436">
        <f>IF(OR($A1436="",$F1436="",$F1436="نامعتبر"),"",LEFT($F1436,4)&amp;MID($F1436,6,2)&amp;RIGHT($F1436,2)&amp;"0000"&amp;"|"&amp;"1"&amp;RIGHT("00000"&amp;1431,5))</f>
        <v/>
      </c>
      <c r="H1436">
        <f>IF(OR($B1436&lt;&gt;1,$G1436=""),"",COUNTIFS(LdAParty,$A1436,LdAType,1,LdAKey,"&lt;"&amp;$G1436)+COUNTIFS(LdBMember,$A1436,LdBKey,"&lt;"&amp;$G1436)+COUNTIFS(LdCParty,$A1436,LdCKey,"&lt;"&amp;$G1436)+1)</f>
        <v/>
      </c>
      <c r="I1436">
        <f>IF($H1436="","",$A1436&amp;"|"&amp;RIGHT("000000"&amp;$H1436,6))</f>
        <v/>
      </c>
      <c r="J1436">
        <f>IF(OR($B1436&lt;&gt;2,$G1436=""),"",COUNTIFS(LdAParty,$A1436,LdAType,2,LdAKey,"&lt;"&amp;$G1436)+1)</f>
        <v/>
      </c>
      <c r="K1436">
        <f>IF($J1436="","",$A1436&amp;"|"&amp;RIGHT("000000"&amp;$J1436,6))</f>
        <v/>
      </c>
      <c r="L1436">
        <f>IF($A1436="","",IF(Wages!$G1439="",0,Wages!$G1439))</f>
        <v/>
      </c>
      <c r="M1436">
        <f>IF($A1436="","",Wages!$J1439)</f>
        <v/>
      </c>
      <c r="N1436">
        <f>IF($A1436="","",Wages!$D1439)</f>
        <v/>
      </c>
      <c r="P1436">
        <f>IF(OR(Shares!$B1439="",Shares!$C1439=""),"",Shares!$C1439)</f>
        <v/>
      </c>
      <c r="Q1436">
        <f>IF($P1436="","",Shares!$B1439)</f>
        <v/>
      </c>
      <c r="R1436">
        <f>IF($P1436="","",IFERROR(INDEX(WageParty,MATCH($Q1436,WageIds,0)),""))</f>
        <v/>
      </c>
      <c r="S1436">
        <f>IF($P1436="","",IFERROR(INDEX($F$6:$F$2005,MATCH($Q1436,WageIds,0)),""))</f>
        <v/>
      </c>
      <c r="T1436">
        <f>IF(OR($P1436="",$S1436="",$S1436="نامعتبر"),"",LEFT($S1436,4)&amp;MID($S1436,6,2)&amp;RIGHT($S1436,2)&amp;"0000"&amp;"|"&amp;"2"&amp;RIGHT("00000"&amp;1431,5))</f>
        <v/>
      </c>
      <c r="U1436">
        <f>IF($T1436="","",COUNTIFS(LdAParty,$P1436,LdAType,1,LdAKey,"&lt;"&amp;$T1436)+COUNTIFS(LdBMember,$P1436,LdBKey,"&lt;"&amp;$T1436)+COUNTIFS(LdCParty,$P1436,LdCKey,"&lt;"&amp;$T1436)+1)</f>
        <v/>
      </c>
      <c r="V1436">
        <f>IF($U1436="","",$P1436&amp;"|"&amp;RIGHT("000000"&amp;$U1436,6))</f>
        <v/>
      </c>
      <c r="W1436">
        <f>IF($T1436="","",COUNTIFS(LdBGroup,$R1436,LdBKey,"&lt;"&amp;$T1436)+1)</f>
        <v/>
      </c>
      <c r="X1436">
        <f>IF($W1436="","",$R1436&amp;"|"&amp;RIGHT("000000"&amp;$W1436,6))</f>
        <v/>
      </c>
      <c r="Y1436">
        <f>IF($P1436="","",IF(Shares!$E1439="",0,Shares!$E1439))</f>
        <v/>
      </c>
      <c r="Z1436">
        <f>IF($P1436="","",Shares!$H1439)</f>
        <v/>
      </c>
      <c r="AE1436">
        <f>IF(OR(Sync!$S1436="",Sync!$P1436=""),"",Sync!$S1436)</f>
        <v/>
      </c>
      <c r="AF1436">
        <f>IF($AE1436="","",IF(ISNUMBER(Sync!$P1436),IF(AND(Sync!$P1436&gt;=10000101,Sync!$P1436&lt;=99991231),INT(Sync!$P1436/10000),""),IFERROR(VALUE(TRIM(LEFT(Sync!$P1436,FIND("/",Sync!$P1436)-1))),"")))</f>
        <v/>
      </c>
      <c r="AG1436">
        <f>IF(OR($AE1436="",$AF1436=""),"",IF(ISNUMBER(Sync!$P1436),INT(MOD(Sync!$P1436,10000)/100),IFERROR(VALUE(TRIM(LEFT(MID(Sync!$P1436,FIND("/",Sync!$P1436)+1,20),FIND("/",MID(Sync!$P1436,FIND("/",Sync!$P1436)+1,20))-1))),"")))</f>
        <v/>
      </c>
      <c r="AH1436">
        <f>IF(OR($AE1436="",$AF1436=""),"",IF(ISNUMBER(Sync!$P1436),MOD(Sync!$P1436,100),IFERROR(VALUE(TRIM(MID(MID(Sync!$P1436,FIND("/",Sync!$P1436)+1,20),FIND("/",MID(Sync!$P1436,FIND("/",Sync!$P1436)+1,20))+1,20))),"")))</f>
        <v/>
      </c>
      <c r="AI1436">
        <f>IF($AE1436="","",IF(OR($AF1436="",$AG1436="",$AH1436="",$AF1436&lt;1300,$AF1436&gt;1500,$AG1436&lt;1,$AG1436&gt;12,$AH1436&lt;1,$AH1436&gt;31),"نامعتبر",RIGHT("0000"&amp;$AF1436,4)&amp;"/"&amp;RIGHT("00"&amp;$AG1436,2)&amp;"/"&amp;RIGHT("00"&amp;$AH1436,2)))</f>
        <v/>
      </c>
      <c r="AJ1436">
        <f>IF($AE1436="","",IF(Sync!$Q1436="","0000",IF(AND(ISNUMBER(Sync!$Q1436),Sync!$Q1436&gt;=0,Sync!$Q1436&lt;1),RIGHT("00"&amp;HOUR(Sync!$Q1436),2)&amp;RIGHT("00"&amp;MINUTE(Sync!$Q1436),2),IFERROR(RIGHT("00"&amp;VALUE(LEFT(Sync!$Q1436,FIND(":",Sync!$Q1436)-1)),2)&amp;RIGHT("00"&amp;VALUE(MID(Sync!$Q1436,FIND(":",Sync!$Q1436)+1,2)),2),"0000"))))</f>
        <v/>
      </c>
      <c r="AK1436">
        <f>IF(OR($AE1436="",$AI1436="",$AI1436="نامعتبر"),"",LEFT($AI1436,4)&amp;MID($AI1436,6,2)&amp;RIGHT($AI1436,2)&amp;$AJ1436&amp;"|"&amp;"3"&amp;RIGHT("00000"&amp;1431,5))</f>
        <v/>
      </c>
      <c r="AL1436">
        <f>IF($AK1436="","",COUNTIFS(LdAParty,$AE1436,LdAType,1,LdAKey,"&lt;"&amp;$AK1436)+COUNTIFS(LdBMember,$AE1436,LdBKey,"&lt;"&amp;$AK1436)+COUNTIFS(LdCParty,$AE1436,LdCKey,"&lt;"&amp;$AK1436)+1)</f>
        <v/>
      </c>
      <c r="AM1436">
        <f>IF($AL1436="","",$AE1436&amp;"|"&amp;RIGHT("000000"&amp;$AL1436,6))</f>
        <v/>
      </c>
      <c r="AN1436">
        <f>IF($AE1436="","",IF(Sync!$W1436="",0,Sync!$W1436))</f>
        <v/>
      </c>
      <c r="AO1436">
        <f>IF($AE1436="","",IF(Sync!$X1436="",0,Sync!$X1436))</f>
        <v/>
      </c>
      <c r="AP1436">
        <f>IF($AE1436="","",Sync!$R1436)</f>
        <v/>
      </c>
      <c r="AQ1436">
        <f>IF($AE1436="","",Sync!$Y1436)</f>
        <v/>
      </c>
    </row>
    <row r="1437">
      <c r="A1437">
        <f>IF(OR(Wages!$B1440="",Wages!$E1440=""),"",Wages!$E1440)</f>
        <v/>
      </c>
      <c r="B1437">
        <f>IF($A1437="","",IF(Wages!$C1440="دستمزد گروهی",2,1))</f>
        <v/>
      </c>
      <c r="C1437">
        <f>IF($A1437="","",IF(ISNUMBER(Wages!$B1440),IF(AND(Wages!$B1440&gt;=10000101,Wages!$B1440&lt;=99991231),INT(Wages!$B1440/10000),""),IFERROR(VALUE(TRIM(LEFT(Wages!$B1440,FIND("/",Wages!$B1440)-1))),"")))</f>
        <v/>
      </c>
      <c r="D1437">
        <f>IF(OR($A1437="",$C1437=""),"",IF(ISNUMBER(Wages!$B1440),INT(MOD(Wages!$B1440,10000)/100),IFERROR(VALUE(TRIM(LEFT(MID(Wages!$B1440,FIND("/",Wages!$B1440)+1,20),FIND("/",MID(Wages!$B1440,FIND("/",Wages!$B1440)+1,20))-1))),"")))</f>
        <v/>
      </c>
      <c r="E1437">
        <f>IF(OR($A1437="",$C1437=""),"",IF(ISNUMBER(Wages!$B1440),MOD(Wages!$B1440,100),IFERROR(VALUE(TRIM(MID(MID(Wages!$B1440,FIND("/",Wages!$B1440)+1,20),FIND("/",MID(Wages!$B1440,FIND("/",Wages!$B1440)+1,20))+1,20))),"")))</f>
        <v/>
      </c>
      <c r="F1437">
        <f>IF($A1437="","",IF(OR($C1437="",$D1437="",$E1437="",$C1437&lt;1300,$C1437&gt;1500,$D1437&lt;1,$D1437&gt;12,$E1437&lt;1,$E1437&gt;31),"نامعتبر",RIGHT("0000"&amp;$C1437,4)&amp;"/"&amp;RIGHT("00"&amp;$D1437,2)&amp;"/"&amp;RIGHT("00"&amp;$E1437,2)))</f>
        <v/>
      </c>
      <c r="G1437">
        <f>IF(OR($A1437="",$F1437="",$F1437="نامعتبر"),"",LEFT($F1437,4)&amp;MID($F1437,6,2)&amp;RIGHT($F1437,2)&amp;"0000"&amp;"|"&amp;"1"&amp;RIGHT("00000"&amp;1432,5))</f>
        <v/>
      </c>
      <c r="H1437">
        <f>IF(OR($B1437&lt;&gt;1,$G1437=""),"",COUNTIFS(LdAParty,$A1437,LdAType,1,LdAKey,"&lt;"&amp;$G1437)+COUNTIFS(LdBMember,$A1437,LdBKey,"&lt;"&amp;$G1437)+COUNTIFS(LdCParty,$A1437,LdCKey,"&lt;"&amp;$G1437)+1)</f>
        <v/>
      </c>
      <c r="I1437">
        <f>IF($H1437="","",$A1437&amp;"|"&amp;RIGHT("000000"&amp;$H1437,6))</f>
        <v/>
      </c>
      <c r="J1437">
        <f>IF(OR($B1437&lt;&gt;2,$G1437=""),"",COUNTIFS(LdAParty,$A1437,LdAType,2,LdAKey,"&lt;"&amp;$G1437)+1)</f>
        <v/>
      </c>
      <c r="K1437">
        <f>IF($J1437="","",$A1437&amp;"|"&amp;RIGHT("000000"&amp;$J1437,6))</f>
        <v/>
      </c>
      <c r="L1437">
        <f>IF($A1437="","",IF(Wages!$G1440="",0,Wages!$G1440))</f>
        <v/>
      </c>
      <c r="M1437">
        <f>IF($A1437="","",Wages!$J1440)</f>
        <v/>
      </c>
      <c r="N1437">
        <f>IF($A1437="","",Wages!$D1440)</f>
        <v/>
      </c>
      <c r="P1437">
        <f>IF(OR(Shares!$B1440="",Shares!$C1440=""),"",Shares!$C1440)</f>
        <v/>
      </c>
      <c r="Q1437">
        <f>IF($P1437="","",Shares!$B1440)</f>
        <v/>
      </c>
      <c r="R1437">
        <f>IF($P1437="","",IFERROR(INDEX(WageParty,MATCH($Q1437,WageIds,0)),""))</f>
        <v/>
      </c>
      <c r="S1437">
        <f>IF($P1437="","",IFERROR(INDEX($F$6:$F$2005,MATCH($Q1437,WageIds,0)),""))</f>
        <v/>
      </c>
      <c r="T1437">
        <f>IF(OR($P1437="",$S1437="",$S1437="نامعتبر"),"",LEFT($S1437,4)&amp;MID($S1437,6,2)&amp;RIGHT($S1437,2)&amp;"0000"&amp;"|"&amp;"2"&amp;RIGHT("00000"&amp;1432,5))</f>
        <v/>
      </c>
      <c r="U1437">
        <f>IF($T1437="","",COUNTIFS(LdAParty,$P1437,LdAType,1,LdAKey,"&lt;"&amp;$T1437)+COUNTIFS(LdBMember,$P1437,LdBKey,"&lt;"&amp;$T1437)+COUNTIFS(LdCParty,$P1437,LdCKey,"&lt;"&amp;$T1437)+1)</f>
        <v/>
      </c>
      <c r="V1437">
        <f>IF($U1437="","",$P1437&amp;"|"&amp;RIGHT("000000"&amp;$U1437,6))</f>
        <v/>
      </c>
      <c r="W1437">
        <f>IF($T1437="","",COUNTIFS(LdBGroup,$R1437,LdBKey,"&lt;"&amp;$T1437)+1)</f>
        <v/>
      </c>
      <c r="X1437">
        <f>IF($W1437="","",$R1437&amp;"|"&amp;RIGHT("000000"&amp;$W1437,6))</f>
        <v/>
      </c>
      <c r="Y1437">
        <f>IF($P1437="","",IF(Shares!$E1440="",0,Shares!$E1440))</f>
        <v/>
      </c>
      <c r="Z1437">
        <f>IF($P1437="","",Shares!$H1440)</f>
        <v/>
      </c>
      <c r="AE1437">
        <f>IF(OR(Sync!$S1437="",Sync!$P1437=""),"",Sync!$S1437)</f>
        <v/>
      </c>
      <c r="AF1437">
        <f>IF($AE1437="","",IF(ISNUMBER(Sync!$P1437),IF(AND(Sync!$P1437&gt;=10000101,Sync!$P1437&lt;=99991231),INT(Sync!$P1437/10000),""),IFERROR(VALUE(TRIM(LEFT(Sync!$P1437,FIND("/",Sync!$P1437)-1))),"")))</f>
        <v/>
      </c>
      <c r="AG1437">
        <f>IF(OR($AE1437="",$AF1437=""),"",IF(ISNUMBER(Sync!$P1437),INT(MOD(Sync!$P1437,10000)/100),IFERROR(VALUE(TRIM(LEFT(MID(Sync!$P1437,FIND("/",Sync!$P1437)+1,20),FIND("/",MID(Sync!$P1437,FIND("/",Sync!$P1437)+1,20))-1))),"")))</f>
        <v/>
      </c>
      <c r="AH1437">
        <f>IF(OR($AE1437="",$AF1437=""),"",IF(ISNUMBER(Sync!$P1437),MOD(Sync!$P1437,100),IFERROR(VALUE(TRIM(MID(MID(Sync!$P1437,FIND("/",Sync!$P1437)+1,20),FIND("/",MID(Sync!$P1437,FIND("/",Sync!$P1437)+1,20))+1,20))),"")))</f>
        <v/>
      </c>
      <c r="AI1437">
        <f>IF($AE1437="","",IF(OR($AF1437="",$AG1437="",$AH1437="",$AF1437&lt;1300,$AF1437&gt;1500,$AG1437&lt;1,$AG1437&gt;12,$AH1437&lt;1,$AH1437&gt;31),"نامعتبر",RIGHT("0000"&amp;$AF1437,4)&amp;"/"&amp;RIGHT("00"&amp;$AG1437,2)&amp;"/"&amp;RIGHT("00"&amp;$AH1437,2)))</f>
        <v/>
      </c>
      <c r="AJ1437">
        <f>IF($AE1437="","",IF(Sync!$Q1437="","0000",IF(AND(ISNUMBER(Sync!$Q1437),Sync!$Q1437&gt;=0,Sync!$Q1437&lt;1),RIGHT("00"&amp;HOUR(Sync!$Q1437),2)&amp;RIGHT("00"&amp;MINUTE(Sync!$Q1437),2),IFERROR(RIGHT("00"&amp;VALUE(LEFT(Sync!$Q1437,FIND(":",Sync!$Q1437)-1)),2)&amp;RIGHT("00"&amp;VALUE(MID(Sync!$Q1437,FIND(":",Sync!$Q1437)+1,2)),2),"0000"))))</f>
        <v/>
      </c>
      <c r="AK1437">
        <f>IF(OR($AE1437="",$AI1437="",$AI1437="نامعتبر"),"",LEFT($AI1437,4)&amp;MID($AI1437,6,2)&amp;RIGHT($AI1437,2)&amp;$AJ1437&amp;"|"&amp;"3"&amp;RIGHT("00000"&amp;1432,5))</f>
        <v/>
      </c>
      <c r="AL1437">
        <f>IF($AK1437="","",COUNTIFS(LdAParty,$AE1437,LdAType,1,LdAKey,"&lt;"&amp;$AK1437)+COUNTIFS(LdBMember,$AE1437,LdBKey,"&lt;"&amp;$AK1437)+COUNTIFS(LdCParty,$AE1437,LdCKey,"&lt;"&amp;$AK1437)+1)</f>
        <v/>
      </c>
      <c r="AM1437">
        <f>IF($AL1437="","",$AE1437&amp;"|"&amp;RIGHT("000000"&amp;$AL1437,6))</f>
        <v/>
      </c>
      <c r="AN1437">
        <f>IF($AE1437="","",IF(Sync!$W1437="",0,Sync!$W1437))</f>
        <v/>
      </c>
      <c r="AO1437">
        <f>IF($AE1437="","",IF(Sync!$X1437="",0,Sync!$X1437))</f>
        <v/>
      </c>
      <c r="AP1437">
        <f>IF($AE1437="","",Sync!$R1437)</f>
        <v/>
      </c>
      <c r="AQ1437">
        <f>IF($AE1437="","",Sync!$Y1437)</f>
        <v/>
      </c>
    </row>
    <row r="1438">
      <c r="A1438">
        <f>IF(OR(Wages!$B1441="",Wages!$E1441=""),"",Wages!$E1441)</f>
        <v/>
      </c>
      <c r="B1438">
        <f>IF($A1438="","",IF(Wages!$C1441="دستمزد گروهی",2,1))</f>
        <v/>
      </c>
      <c r="C1438">
        <f>IF($A1438="","",IF(ISNUMBER(Wages!$B1441),IF(AND(Wages!$B1441&gt;=10000101,Wages!$B1441&lt;=99991231),INT(Wages!$B1441/10000),""),IFERROR(VALUE(TRIM(LEFT(Wages!$B1441,FIND("/",Wages!$B1441)-1))),"")))</f>
        <v/>
      </c>
      <c r="D1438">
        <f>IF(OR($A1438="",$C1438=""),"",IF(ISNUMBER(Wages!$B1441),INT(MOD(Wages!$B1441,10000)/100),IFERROR(VALUE(TRIM(LEFT(MID(Wages!$B1441,FIND("/",Wages!$B1441)+1,20),FIND("/",MID(Wages!$B1441,FIND("/",Wages!$B1441)+1,20))-1))),"")))</f>
        <v/>
      </c>
      <c r="E1438">
        <f>IF(OR($A1438="",$C1438=""),"",IF(ISNUMBER(Wages!$B1441),MOD(Wages!$B1441,100),IFERROR(VALUE(TRIM(MID(MID(Wages!$B1441,FIND("/",Wages!$B1441)+1,20),FIND("/",MID(Wages!$B1441,FIND("/",Wages!$B1441)+1,20))+1,20))),"")))</f>
        <v/>
      </c>
      <c r="F1438">
        <f>IF($A1438="","",IF(OR($C1438="",$D1438="",$E1438="",$C1438&lt;1300,$C1438&gt;1500,$D1438&lt;1,$D1438&gt;12,$E1438&lt;1,$E1438&gt;31),"نامعتبر",RIGHT("0000"&amp;$C1438,4)&amp;"/"&amp;RIGHT("00"&amp;$D1438,2)&amp;"/"&amp;RIGHT("00"&amp;$E1438,2)))</f>
        <v/>
      </c>
      <c r="G1438">
        <f>IF(OR($A1438="",$F1438="",$F1438="نامعتبر"),"",LEFT($F1438,4)&amp;MID($F1438,6,2)&amp;RIGHT($F1438,2)&amp;"0000"&amp;"|"&amp;"1"&amp;RIGHT("00000"&amp;1433,5))</f>
        <v/>
      </c>
      <c r="H1438">
        <f>IF(OR($B1438&lt;&gt;1,$G1438=""),"",COUNTIFS(LdAParty,$A1438,LdAType,1,LdAKey,"&lt;"&amp;$G1438)+COUNTIFS(LdBMember,$A1438,LdBKey,"&lt;"&amp;$G1438)+COUNTIFS(LdCParty,$A1438,LdCKey,"&lt;"&amp;$G1438)+1)</f>
        <v/>
      </c>
      <c r="I1438">
        <f>IF($H1438="","",$A1438&amp;"|"&amp;RIGHT("000000"&amp;$H1438,6))</f>
        <v/>
      </c>
      <c r="J1438">
        <f>IF(OR($B1438&lt;&gt;2,$G1438=""),"",COUNTIFS(LdAParty,$A1438,LdAType,2,LdAKey,"&lt;"&amp;$G1438)+1)</f>
        <v/>
      </c>
      <c r="K1438">
        <f>IF($J1438="","",$A1438&amp;"|"&amp;RIGHT("000000"&amp;$J1438,6))</f>
        <v/>
      </c>
      <c r="L1438">
        <f>IF($A1438="","",IF(Wages!$G1441="",0,Wages!$G1441))</f>
        <v/>
      </c>
      <c r="M1438">
        <f>IF($A1438="","",Wages!$J1441)</f>
        <v/>
      </c>
      <c r="N1438">
        <f>IF($A1438="","",Wages!$D1441)</f>
        <v/>
      </c>
      <c r="P1438">
        <f>IF(OR(Shares!$B1441="",Shares!$C1441=""),"",Shares!$C1441)</f>
        <v/>
      </c>
      <c r="Q1438">
        <f>IF($P1438="","",Shares!$B1441)</f>
        <v/>
      </c>
      <c r="R1438">
        <f>IF($P1438="","",IFERROR(INDEX(WageParty,MATCH($Q1438,WageIds,0)),""))</f>
        <v/>
      </c>
      <c r="S1438">
        <f>IF($P1438="","",IFERROR(INDEX($F$6:$F$2005,MATCH($Q1438,WageIds,0)),""))</f>
        <v/>
      </c>
      <c r="T1438">
        <f>IF(OR($P1438="",$S1438="",$S1438="نامعتبر"),"",LEFT($S1438,4)&amp;MID($S1438,6,2)&amp;RIGHT($S1438,2)&amp;"0000"&amp;"|"&amp;"2"&amp;RIGHT("00000"&amp;1433,5))</f>
        <v/>
      </c>
      <c r="U1438">
        <f>IF($T1438="","",COUNTIFS(LdAParty,$P1438,LdAType,1,LdAKey,"&lt;"&amp;$T1438)+COUNTIFS(LdBMember,$P1438,LdBKey,"&lt;"&amp;$T1438)+COUNTIFS(LdCParty,$P1438,LdCKey,"&lt;"&amp;$T1438)+1)</f>
        <v/>
      </c>
      <c r="V1438">
        <f>IF($U1438="","",$P1438&amp;"|"&amp;RIGHT("000000"&amp;$U1438,6))</f>
        <v/>
      </c>
      <c r="W1438">
        <f>IF($T1438="","",COUNTIFS(LdBGroup,$R1438,LdBKey,"&lt;"&amp;$T1438)+1)</f>
        <v/>
      </c>
      <c r="X1438">
        <f>IF($W1438="","",$R1438&amp;"|"&amp;RIGHT("000000"&amp;$W1438,6))</f>
        <v/>
      </c>
      <c r="Y1438">
        <f>IF($P1438="","",IF(Shares!$E1441="",0,Shares!$E1441))</f>
        <v/>
      </c>
      <c r="Z1438">
        <f>IF($P1438="","",Shares!$H1441)</f>
        <v/>
      </c>
      <c r="AE1438">
        <f>IF(OR(Sync!$S1438="",Sync!$P1438=""),"",Sync!$S1438)</f>
        <v/>
      </c>
      <c r="AF1438">
        <f>IF($AE1438="","",IF(ISNUMBER(Sync!$P1438),IF(AND(Sync!$P1438&gt;=10000101,Sync!$P1438&lt;=99991231),INT(Sync!$P1438/10000),""),IFERROR(VALUE(TRIM(LEFT(Sync!$P1438,FIND("/",Sync!$P1438)-1))),"")))</f>
        <v/>
      </c>
      <c r="AG1438">
        <f>IF(OR($AE1438="",$AF1438=""),"",IF(ISNUMBER(Sync!$P1438),INT(MOD(Sync!$P1438,10000)/100),IFERROR(VALUE(TRIM(LEFT(MID(Sync!$P1438,FIND("/",Sync!$P1438)+1,20),FIND("/",MID(Sync!$P1438,FIND("/",Sync!$P1438)+1,20))-1))),"")))</f>
        <v/>
      </c>
      <c r="AH1438">
        <f>IF(OR($AE1438="",$AF1438=""),"",IF(ISNUMBER(Sync!$P1438),MOD(Sync!$P1438,100),IFERROR(VALUE(TRIM(MID(MID(Sync!$P1438,FIND("/",Sync!$P1438)+1,20),FIND("/",MID(Sync!$P1438,FIND("/",Sync!$P1438)+1,20))+1,20))),"")))</f>
        <v/>
      </c>
      <c r="AI1438">
        <f>IF($AE1438="","",IF(OR($AF1438="",$AG1438="",$AH1438="",$AF1438&lt;1300,$AF1438&gt;1500,$AG1438&lt;1,$AG1438&gt;12,$AH1438&lt;1,$AH1438&gt;31),"نامعتبر",RIGHT("0000"&amp;$AF1438,4)&amp;"/"&amp;RIGHT("00"&amp;$AG1438,2)&amp;"/"&amp;RIGHT("00"&amp;$AH1438,2)))</f>
        <v/>
      </c>
      <c r="AJ1438">
        <f>IF($AE1438="","",IF(Sync!$Q1438="","0000",IF(AND(ISNUMBER(Sync!$Q1438),Sync!$Q1438&gt;=0,Sync!$Q1438&lt;1),RIGHT("00"&amp;HOUR(Sync!$Q1438),2)&amp;RIGHT("00"&amp;MINUTE(Sync!$Q1438),2),IFERROR(RIGHT("00"&amp;VALUE(LEFT(Sync!$Q1438,FIND(":",Sync!$Q1438)-1)),2)&amp;RIGHT("00"&amp;VALUE(MID(Sync!$Q1438,FIND(":",Sync!$Q1438)+1,2)),2),"0000"))))</f>
        <v/>
      </c>
      <c r="AK1438">
        <f>IF(OR($AE1438="",$AI1438="",$AI1438="نامعتبر"),"",LEFT($AI1438,4)&amp;MID($AI1438,6,2)&amp;RIGHT($AI1438,2)&amp;$AJ1438&amp;"|"&amp;"3"&amp;RIGHT("00000"&amp;1433,5))</f>
        <v/>
      </c>
      <c r="AL1438">
        <f>IF($AK1438="","",COUNTIFS(LdAParty,$AE1438,LdAType,1,LdAKey,"&lt;"&amp;$AK1438)+COUNTIFS(LdBMember,$AE1438,LdBKey,"&lt;"&amp;$AK1438)+COUNTIFS(LdCParty,$AE1438,LdCKey,"&lt;"&amp;$AK1438)+1)</f>
        <v/>
      </c>
      <c r="AM1438">
        <f>IF($AL1438="","",$AE1438&amp;"|"&amp;RIGHT("000000"&amp;$AL1438,6))</f>
        <v/>
      </c>
      <c r="AN1438">
        <f>IF($AE1438="","",IF(Sync!$W1438="",0,Sync!$W1438))</f>
        <v/>
      </c>
      <c r="AO1438">
        <f>IF($AE1438="","",IF(Sync!$X1438="",0,Sync!$X1438))</f>
        <v/>
      </c>
      <c r="AP1438">
        <f>IF($AE1438="","",Sync!$R1438)</f>
        <v/>
      </c>
      <c r="AQ1438">
        <f>IF($AE1438="","",Sync!$Y1438)</f>
        <v/>
      </c>
    </row>
    <row r="1439">
      <c r="A1439">
        <f>IF(OR(Wages!$B1442="",Wages!$E1442=""),"",Wages!$E1442)</f>
        <v/>
      </c>
      <c r="B1439">
        <f>IF($A1439="","",IF(Wages!$C1442="دستمزد گروهی",2,1))</f>
        <v/>
      </c>
      <c r="C1439">
        <f>IF($A1439="","",IF(ISNUMBER(Wages!$B1442),IF(AND(Wages!$B1442&gt;=10000101,Wages!$B1442&lt;=99991231),INT(Wages!$B1442/10000),""),IFERROR(VALUE(TRIM(LEFT(Wages!$B1442,FIND("/",Wages!$B1442)-1))),"")))</f>
        <v/>
      </c>
      <c r="D1439">
        <f>IF(OR($A1439="",$C1439=""),"",IF(ISNUMBER(Wages!$B1442),INT(MOD(Wages!$B1442,10000)/100),IFERROR(VALUE(TRIM(LEFT(MID(Wages!$B1442,FIND("/",Wages!$B1442)+1,20),FIND("/",MID(Wages!$B1442,FIND("/",Wages!$B1442)+1,20))-1))),"")))</f>
        <v/>
      </c>
      <c r="E1439">
        <f>IF(OR($A1439="",$C1439=""),"",IF(ISNUMBER(Wages!$B1442),MOD(Wages!$B1442,100),IFERROR(VALUE(TRIM(MID(MID(Wages!$B1442,FIND("/",Wages!$B1442)+1,20),FIND("/",MID(Wages!$B1442,FIND("/",Wages!$B1442)+1,20))+1,20))),"")))</f>
        <v/>
      </c>
      <c r="F1439">
        <f>IF($A1439="","",IF(OR($C1439="",$D1439="",$E1439="",$C1439&lt;1300,$C1439&gt;1500,$D1439&lt;1,$D1439&gt;12,$E1439&lt;1,$E1439&gt;31),"نامعتبر",RIGHT("0000"&amp;$C1439,4)&amp;"/"&amp;RIGHT("00"&amp;$D1439,2)&amp;"/"&amp;RIGHT("00"&amp;$E1439,2)))</f>
        <v/>
      </c>
      <c r="G1439">
        <f>IF(OR($A1439="",$F1439="",$F1439="نامعتبر"),"",LEFT($F1439,4)&amp;MID($F1439,6,2)&amp;RIGHT($F1439,2)&amp;"0000"&amp;"|"&amp;"1"&amp;RIGHT("00000"&amp;1434,5))</f>
        <v/>
      </c>
      <c r="H1439">
        <f>IF(OR($B1439&lt;&gt;1,$G1439=""),"",COUNTIFS(LdAParty,$A1439,LdAType,1,LdAKey,"&lt;"&amp;$G1439)+COUNTIFS(LdBMember,$A1439,LdBKey,"&lt;"&amp;$G1439)+COUNTIFS(LdCParty,$A1439,LdCKey,"&lt;"&amp;$G1439)+1)</f>
        <v/>
      </c>
      <c r="I1439">
        <f>IF($H1439="","",$A1439&amp;"|"&amp;RIGHT("000000"&amp;$H1439,6))</f>
        <v/>
      </c>
      <c r="J1439">
        <f>IF(OR($B1439&lt;&gt;2,$G1439=""),"",COUNTIFS(LdAParty,$A1439,LdAType,2,LdAKey,"&lt;"&amp;$G1439)+1)</f>
        <v/>
      </c>
      <c r="K1439">
        <f>IF($J1439="","",$A1439&amp;"|"&amp;RIGHT("000000"&amp;$J1439,6))</f>
        <v/>
      </c>
      <c r="L1439">
        <f>IF($A1439="","",IF(Wages!$G1442="",0,Wages!$G1442))</f>
        <v/>
      </c>
      <c r="M1439">
        <f>IF($A1439="","",Wages!$J1442)</f>
        <v/>
      </c>
      <c r="N1439">
        <f>IF($A1439="","",Wages!$D1442)</f>
        <v/>
      </c>
      <c r="P1439">
        <f>IF(OR(Shares!$B1442="",Shares!$C1442=""),"",Shares!$C1442)</f>
        <v/>
      </c>
      <c r="Q1439">
        <f>IF($P1439="","",Shares!$B1442)</f>
        <v/>
      </c>
      <c r="R1439">
        <f>IF($P1439="","",IFERROR(INDEX(WageParty,MATCH($Q1439,WageIds,0)),""))</f>
        <v/>
      </c>
      <c r="S1439">
        <f>IF($P1439="","",IFERROR(INDEX($F$6:$F$2005,MATCH($Q1439,WageIds,0)),""))</f>
        <v/>
      </c>
      <c r="T1439">
        <f>IF(OR($P1439="",$S1439="",$S1439="نامعتبر"),"",LEFT($S1439,4)&amp;MID($S1439,6,2)&amp;RIGHT($S1439,2)&amp;"0000"&amp;"|"&amp;"2"&amp;RIGHT("00000"&amp;1434,5))</f>
        <v/>
      </c>
      <c r="U1439">
        <f>IF($T1439="","",COUNTIFS(LdAParty,$P1439,LdAType,1,LdAKey,"&lt;"&amp;$T1439)+COUNTIFS(LdBMember,$P1439,LdBKey,"&lt;"&amp;$T1439)+COUNTIFS(LdCParty,$P1439,LdCKey,"&lt;"&amp;$T1439)+1)</f>
        <v/>
      </c>
      <c r="V1439">
        <f>IF($U1439="","",$P1439&amp;"|"&amp;RIGHT("000000"&amp;$U1439,6))</f>
        <v/>
      </c>
      <c r="W1439">
        <f>IF($T1439="","",COUNTIFS(LdBGroup,$R1439,LdBKey,"&lt;"&amp;$T1439)+1)</f>
        <v/>
      </c>
      <c r="X1439">
        <f>IF($W1439="","",$R1439&amp;"|"&amp;RIGHT("000000"&amp;$W1439,6))</f>
        <v/>
      </c>
      <c r="Y1439">
        <f>IF($P1439="","",IF(Shares!$E1442="",0,Shares!$E1442))</f>
        <v/>
      </c>
      <c r="Z1439">
        <f>IF($P1439="","",Shares!$H1442)</f>
        <v/>
      </c>
      <c r="AE1439">
        <f>IF(OR(Sync!$S1439="",Sync!$P1439=""),"",Sync!$S1439)</f>
        <v/>
      </c>
      <c r="AF1439">
        <f>IF($AE1439="","",IF(ISNUMBER(Sync!$P1439),IF(AND(Sync!$P1439&gt;=10000101,Sync!$P1439&lt;=99991231),INT(Sync!$P1439/10000),""),IFERROR(VALUE(TRIM(LEFT(Sync!$P1439,FIND("/",Sync!$P1439)-1))),"")))</f>
        <v/>
      </c>
      <c r="AG1439">
        <f>IF(OR($AE1439="",$AF1439=""),"",IF(ISNUMBER(Sync!$P1439),INT(MOD(Sync!$P1439,10000)/100),IFERROR(VALUE(TRIM(LEFT(MID(Sync!$P1439,FIND("/",Sync!$P1439)+1,20),FIND("/",MID(Sync!$P1439,FIND("/",Sync!$P1439)+1,20))-1))),"")))</f>
        <v/>
      </c>
      <c r="AH1439">
        <f>IF(OR($AE1439="",$AF1439=""),"",IF(ISNUMBER(Sync!$P1439),MOD(Sync!$P1439,100),IFERROR(VALUE(TRIM(MID(MID(Sync!$P1439,FIND("/",Sync!$P1439)+1,20),FIND("/",MID(Sync!$P1439,FIND("/",Sync!$P1439)+1,20))+1,20))),"")))</f>
        <v/>
      </c>
      <c r="AI1439">
        <f>IF($AE1439="","",IF(OR($AF1439="",$AG1439="",$AH1439="",$AF1439&lt;1300,$AF1439&gt;1500,$AG1439&lt;1,$AG1439&gt;12,$AH1439&lt;1,$AH1439&gt;31),"نامعتبر",RIGHT("0000"&amp;$AF1439,4)&amp;"/"&amp;RIGHT("00"&amp;$AG1439,2)&amp;"/"&amp;RIGHT("00"&amp;$AH1439,2)))</f>
        <v/>
      </c>
      <c r="AJ1439">
        <f>IF($AE1439="","",IF(Sync!$Q1439="","0000",IF(AND(ISNUMBER(Sync!$Q1439),Sync!$Q1439&gt;=0,Sync!$Q1439&lt;1),RIGHT("00"&amp;HOUR(Sync!$Q1439),2)&amp;RIGHT("00"&amp;MINUTE(Sync!$Q1439),2),IFERROR(RIGHT("00"&amp;VALUE(LEFT(Sync!$Q1439,FIND(":",Sync!$Q1439)-1)),2)&amp;RIGHT("00"&amp;VALUE(MID(Sync!$Q1439,FIND(":",Sync!$Q1439)+1,2)),2),"0000"))))</f>
        <v/>
      </c>
      <c r="AK1439">
        <f>IF(OR($AE1439="",$AI1439="",$AI1439="نامعتبر"),"",LEFT($AI1439,4)&amp;MID($AI1439,6,2)&amp;RIGHT($AI1439,2)&amp;$AJ1439&amp;"|"&amp;"3"&amp;RIGHT("00000"&amp;1434,5))</f>
        <v/>
      </c>
      <c r="AL1439">
        <f>IF($AK1439="","",COUNTIFS(LdAParty,$AE1439,LdAType,1,LdAKey,"&lt;"&amp;$AK1439)+COUNTIFS(LdBMember,$AE1439,LdBKey,"&lt;"&amp;$AK1439)+COUNTIFS(LdCParty,$AE1439,LdCKey,"&lt;"&amp;$AK1439)+1)</f>
        <v/>
      </c>
      <c r="AM1439">
        <f>IF($AL1439="","",$AE1439&amp;"|"&amp;RIGHT("000000"&amp;$AL1439,6))</f>
        <v/>
      </c>
      <c r="AN1439">
        <f>IF($AE1439="","",IF(Sync!$W1439="",0,Sync!$W1439))</f>
        <v/>
      </c>
      <c r="AO1439">
        <f>IF($AE1439="","",IF(Sync!$X1439="",0,Sync!$X1439))</f>
        <v/>
      </c>
      <c r="AP1439">
        <f>IF($AE1439="","",Sync!$R1439)</f>
        <v/>
      </c>
      <c r="AQ1439">
        <f>IF($AE1439="","",Sync!$Y1439)</f>
        <v/>
      </c>
    </row>
    <row r="1440">
      <c r="A1440">
        <f>IF(OR(Wages!$B1443="",Wages!$E1443=""),"",Wages!$E1443)</f>
        <v/>
      </c>
      <c r="B1440">
        <f>IF($A1440="","",IF(Wages!$C1443="دستمزد گروهی",2,1))</f>
        <v/>
      </c>
      <c r="C1440">
        <f>IF($A1440="","",IF(ISNUMBER(Wages!$B1443),IF(AND(Wages!$B1443&gt;=10000101,Wages!$B1443&lt;=99991231),INT(Wages!$B1443/10000),""),IFERROR(VALUE(TRIM(LEFT(Wages!$B1443,FIND("/",Wages!$B1443)-1))),"")))</f>
        <v/>
      </c>
      <c r="D1440">
        <f>IF(OR($A1440="",$C1440=""),"",IF(ISNUMBER(Wages!$B1443),INT(MOD(Wages!$B1443,10000)/100),IFERROR(VALUE(TRIM(LEFT(MID(Wages!$B1443,FIND("/",Wages!$B1443)+1,20),FIND("/",MID(Wages!$B1443,FIND("/",Wages!$B1443)+1,20))-1))),"")))</f>
        <v/>
      </c>
      <c r="E1440">
        <f>IF(OR($A1440="",$C1440=""),"",IF(ISNUMBER(Wages!$B1443),MOD(Wages!$B1443,100),IFERROR(VALUE(TRIM(MID(MID(Wages!$B1443,FIND("/",Wages!$B1443)+1,20),FIND("/",MID(Wages!$B1443,FIND("/",Wages!$B1443)+1,20))+1,20))),"")))</f>
        <v/>
      </c>
      <c r="F1440">
        <f>IF($A1440="","",IF(OR($C1440="",$D1440="",$E1440="",$C1440&lt;1300,$C1440&gt;1500,$D1440&lt;1,$D1440&gt;12,$E1440&lt;1,$E1440&gt;31),"نامعتبر",RIGHT("0000"&amp;$C1440,4)&amp;"/"&amp;RIGHT("00"&amp;$D1440,2)&amp;"/"&amp;RIGHT("00"&amp;$E1440,2)))</f>
        <v/>
      </c>
      <c r="G1440">
        <f>IF(OR($A1440="",$F1440="",$F1440="نامعتبر"),"",LEFT($F1440,4)&amp;MID($F1440,6,2)&amp;RIGHT($F1440,2)&amp;"0000"&amp;"|"&amp;"1"&amp;RIGHT("00000"&amp;1435,5))</f>
        <v/>
      </c>
      <c r="H1440">
        <f>IF(OR($B1440&lt;&gt;1,$G1440=""),"",COUNTIFS(LdAParty,$A1440,LdAType,1,LdAKey,"&lt;"&amp;$G1440)+COUNTIFS(LdBMember,$A1440,LdBKey,"&lt;"&amp;$G1440)+COUNTIFS(LdCParty,$A1440,LdCKey,"&lt;"&amp;$G1440)+1)</f>
        <v/>
      </c>
      <c r="I1440">
        <f>IF($H1440="","",$A1440&amp;"|"&amp;RIGHT("000000"&amp;$H1440,6))</f>
        <v/>
      </c>
      <c r="J1440">
        <f>IF(OR($B1440&lt;&gt;2,$G1440=""),"",COUNTIFS(LdAParty,$A1440,LdAType,2,LdAKey,"&lt;"&amp;$G1440)+1)</f>
        <v/>
      </c>
      <c r="K1440">
        <f>IF($J1440="","",$A1440&amp;"|"&amp;RIGHT("000000"&amp;$J1440,6))</f>
        <v/>
      </c>
      <c r="L1440">
        <f>IF($A1440="","",IF(Wages!$G1443="",0,Wages!$G1443))</f>
        <v/>
      </c>
      <c r="M1440">
        <f>IF($A1440="","",Wages!$J1443)</f>
        <v/>
      </c>
      <c r="N1440">
        <f>IF($A1440="","",Wages!$D1443)</f>
        <v/>
      </c>
      <c r="P1440">
        <f>IF(OR(Shares!$B1443="",Shares!$C1443=""),"",Shares!$C1443)</f>
        <v/>
      </c>
      <c r="Q1440">
        <f>IF($P1440="","",Shares!$B1443)</f>
        <v/>
      </c>
      <c r="R1440">
        <f>IF($P1440="","",IFERROR(INDEX(WageParty,MATCH($Q1440,WageIds,0)),""))</f>
        <v/>
      </c>
      <c r="S1440">
        <f>IF($P1440="","",IFERROR(INDEX($F$6:$F$2005,MATCH($Q1440,WageIds,0)),""))</f>
        <v/>
      </c>
      <c r="T1440">
        <f>IF(OR($P1440="",$S1440="",$S1440="نامعتبر"),"",LEFT($S1440,4)&amp;MID($S1440,6,2)&amp;RIGHT($S1440,2)&amp;"0000"&amp;"|"&amp;"2"&amp;RIGHT("00000"&amp;1435,5))</f>
        <v/>
      </c>
      <c r="U1440">
        <f>IF($T1440="","",COUNTIFS(LdAParty,$P1440,LdAType,1,LdAKey,"&lt;"&amp;$T1440)+COUNTIFS(LdBMember,$P1440,LdBKey,"&lt;"&amp;$T1440)+COUNTIFS(LdCParty,$P1440,LdCKey,"&lt;"&amp;$T1440)+1)</f>
        <v/>
      </c>
      <c r="V1440">
        <f>IF($U1440="","",$P1440&amp;"|"&amp;RIGHT("000000"&amp;$U1440,6))</f>
        <v/>
      </c>
      <c r="W1440">
        <f>IF($T1440="","",COUNTIFS(LdBGroup,$R1440,LdBKey,"&lt;"&amp;$T1440)+1)</f>
        <v/>
      </c>
      <c r="X1440">
        <f>IF($W1440="","",$R1440&amp;"|"&amp;RIGHT("000000"&amp;$W1440,6))</f>
        <v/>
      </c>
      <c r="Y1440">
        <f>IF($P1440="","",IF(Shares!$E1443="",0,Shares!$E1443))</f>
        <v/>
      </c>
      <c r="Z1440">
        <f>IF($P1440="","",Shares!$H1443)</f>
        <v/>
      </c>
      <c r="AE1440">
        <f>IF(OR(Sync!$S1440="",Sync!$P1440=""),"",Sync!$S1440)</f>
        <v/>
      </c>
      <c r="AF1440">
        <f>IF($AE1440="","",IF(ISNUMBER(Sync!$P1440),IF(AND(Sync!$P1440&gt;=10000101,Sync!$P1440&lt;=99991231),INT(Sync!$P1440/10000),""),IFERROR(VALUE(TRIM(LEFT(Sync!$P1440,FIND("/",Sync!$P1440)-1))),"")))</f>
        <v/>
      </c>
      <c r="AG1440">
        <f>IF(OR($AE1440="",$AF1440=""),"",IF(ISNUMBER(Sync!$P1440),INT(MOD(Sync!$P1440,10000)/100),IFERROR(VALUE(TRIM(LEFT(MID(Sync!$P1440,FIND("/",Sync!$P1440)+1,20),FIND("/",MID(Sync!$P1440,FIND("/",Sync!$P1440)+1,20))-1))),"")))</f>
        <v/>
      </c>
      <c r="AH1440">
        <f>IF(OR($AE1440="",$AF1440=""),"",IF(ISNUMBER(Sync!$P1440),MOD(Sync!$P1440,100),IFERROR(VALUE(TRIM(MID(MID(Sync!$P1440,FIND("/",Sync!$P1440)+1,20),FIND("/",MID(Sync!$P1440,FIND("/",Sync!$P1440)+1,20))+1,20))),"")))</f>
        <v/>
      </c>
      <c r="AI1440">
        <f>IF($AE1440="","",IF(OR($AF1440="",$AG1440="",$AH1440="",$AF1440&lt;1300,$AF1440&gt;1500,$AG1440&lt;1,$AG1440&gt;12,$AH1440&lt;1,$AH1440&gt;31),"نامعتبر",RIGHT("0000"&amp;$AF1440,4)&amp;"/"&amp;RIGHT("00"&amp;$AG1440,2)&amp;"/"&amp;RIGHT("00"&amp;$AH1440,2)))</f>
        <v/>
      </c>
      <c r="AJ1440">
        <f>IF($AE1440="","",IF(Sync!$Q1440="","0000",IF(AND(ISNUMBER(Sync!$Q1440),Sync!$Q1440&gt;=0,Sync!$Q1440&lt;1),RIGHT("00"&amp;HOUR(Sync!$Q1440),2)&amp;RIGHT("00"&amp;MINUTE(Sync!$Q1440),2),IFERROR(RIGHT("00"&amp;VALUE(LEFT(Sync!$Q1440,FIND(":",Sync!$Q1440)-1)),2)&amp;RIGHT("00"&amp;VALUE(MID(Sync!$Q1440,FIND(":",Sync!$Q1440)+1,2)),2),"0000"))))</f>
        <v/>
      </c>
      <c r="AK1440">
        <f>IF(OR($AE1440="",$AI1440="",$AI1440="نامعتبر"),"",LEFT($AI1440,4)&amp;MID($AI1440,6,2)&amp;RIGHT($AI1440,2)&amp;$AJ1440&amp;"|"&amp;"3"&amp;RIGHT("00000"&amp;1435,5))</f>
        <v/>
      </c>
      <c r="AL1440">
        <f>IF($AK1440="","",COUNTIFS(LdAParty,$AE1440,LdAType,1,LdAKey,"&lt;"&amp;$AK1440)+COUNTIFS(LdBMember,$AE1440,LdBKey,"&lt;"&amp;$AK1440)+COUNTIFS(LdCParty,$AE1440,LdCKey,"&lt;"&amp;$AK1440)+1)</f>
        <v/>
      </c>
      <c r="AM1440">
        <f>IF($AL1440="","",$AE1440&amp;"|"&amp;RIGHT("000000"&amp;$AL1440,6))</f>
        <v/>
      </c>
      <c r="AN1440">
        <f>IF($AE1440="","",IF(Sync!$W1440="",0,Sync!$W1440))</f>
        <v/>
      </c>
      <c r="AO1440">
        <f>IF($AE1440="","",IF(Sync!$X1440="",0,Sync!$X1440))</f>
        <v/>
      </c>
      <c r="AP1440">
        <f>IF($AE1440="","",Sync!$R1440)</f>
        <v/>
      </c>
      <c r="AQ1440">
        <f>IF($AE1440="","",Sync!$Y1440)</f>
        <v/>
      </c>
    </row>
    <row r="1441">
      <c r="A1441">
        <f>IF(OR(Wages!$B1444="",Wages!$E1444=""),"",Wages!$E1444)</f>
        <v/>
      </c>
      <c r="B1441">
        <f>IF($A1441="","",IF(Wages!$C1444="دستمزد گروهی",2,1))</f>
        <v/>
      </c>
      <c r="C1441">
        <f>IF($A1441="","",IF(ISNUMBER(Wages!$B1444),IF(AND(Wages!$B1444&gt;=10000101,Wages!$B1444&lt;=99991231),INT(Wages!$B1444/10000),""),IFERROR(VALUE(TRIM(LEFT(Wages!$B1444,FIND("/",Wages!$B1444)-1))),"")))</f>
        <v/>
      </c>
      <c r="D1441">
        <f>IF(OR($A1441="",$C1441=""),"",IF(ISNUMBER(Wages!$B1444),INT(MOD(Wages!$B1444,10000)/100),IFERROR(VALUE(TRIM(LEFT(MID(Wages!$B1444,FIND("/",Wages!$B1444)+1,20),FIND("/",MID(Wages!$B1444,FIND("/",Wages!$B1444)+1,20))-1))),"")))</f>
        <v/>
      </c>
      <c r="E1441">
        <f>IF(OR($A1441="",$C1441=""),"",IF(ISNUMBER(Wages!$B1444),MOD(Wages!$B1444,100),IFERROR(VALUE(TRIM(MID(MID(Wages!$B1444,FIND("/",Wages!$B1444)+1,20),FIND("/",MID(Wages!$B1444,FIND("/",Wages!$B1444)+1,20))+1,20))),"")))</f>
        <v/>
      </c>
      <c r="F1441">
        <f>IF($A1441="","",IF(OR($C1441="",$D1441="",$E1441="",$C1441&lt;1300,$C1441&gt;1500,$D1441&lt;1,$D1441&gt;12,$E1441&lt;1,$E1441&gt;31),"نامعتبر",RIGHT("0000"&amp;$C1441,4)&amp;"/"&amp;RIGHT("00"&amp;$D1441,2)&amp;"/"&amp;RIGHT("00"&amp;$E1441,2)))</f>
        <v/>
      </c>
      <c r="G1441">
        <f>IF(OR($A1441="",$F1441="",$F1441="نامعتبر"),"",LEFT($F1441,4)&amp;MID($F1441,6,2)&amp;RIGHT($F1441,2)&amp;"0000"&amp;"|"&amp;"1"&amp;RIGHT("00000"&amp;1436,5))</f>
        <v/>
      </c>
      <c r="H1441">
        <f>IF(OR($B1441&lt;&gt;1,$G1441=""),"",COUNTIFS(LdAParty,$A1441,LdAType,1,LdAKey,"&lt;"&amp;$G1441)+COUNTIFS(LdBMember,$A1441,LdBKey,"&lt;"&amp;$G1441)+COUNTIFS(LdCParty,$A1441,LdCKey,"&lt;"&amp;$G1441)+1)</f>
        <v/>
      </c>
      <c r="I1441">
        <f>IF($H1441="","",$A1441&amp;"|"&amp;RIGHT("000000"&amp;$H1441,6))</f>
        <v/>
      </c>
      <c r="J1441">
        <f>IF(OR($B1441&lt;&gt;2,$G1441=""),"",COUNTIFS(LdAParty,$A1441,LdAType,2,LdAKey,"&lt;"&amp;$G1441)+1)</f>
        <v/>
      </c>
      <c r="K1441">
        <f>IF($J1441="","",$A1441&amp;"|"&amp;RIGHT("000000"&amp;$J1441,6))</f>
        <v/>
      </c>
      <c r="L1441">
        <f>IF($A1441="","",IF(Wages!$G1444="",0,Wages!$G1444))</f>
        <v/>
      </c>
      <c r="M1441">
        <f>IF($A1441="","",Wages!$J1444)</f>
        <v/>
      </c>
      <c r="N1441">
        <f>IF($A1441="","",Wages!$D1444)</f>
        <v/>
      </c>
      <c r="P1441">
        <f>IF(OR(Shares!$B1444="",Shares!$C1444=""),"",Shares!$C1444)</f>
        <v/>
      </c>
      <c r="Q1441">
        <f>IF($P1441="","",Shares!$B1444)</f>
        <v/>
      </c>
      <c r="R1441">
        <f>IF($P1441="","",IFERROR(INDEX(WageParty,MATCH($Q1441,WageIds,0)),""))</f>
        <v/>
      </c>
      <c r="S1441">
        <f>IF($P1441="","",IFERROR(INDEX($F$6:$F$2005,MATCH($Q1441,WageIds,0)),""))</f>
        <v/>
      </c>
      <c r="T1441">
        <f>IF(OR($P1441="",$S1441="",$S1441="نامعتبر"),"",LEFT($S1441,4)&amp;MID($S1441,6,2)&amp;RIGHT($S1441,2)&amp;"0000"&amp;"|"&amp;"2"&amp;RIGHT("00000"&amp;1436,5))</f>
        <v/>
      </c>
      <c r="U1441">
        <f>IF($T1441="","",COUNTIFS(LdAParty,$P1441,LdAType,1,LdAKey,"&lt;"&amp;$T1441)+COUNTIFS(LdBMember,$P1441,LdBKey,"&lt;"&amp;$T1441)+COUNTIFS(LdCParty,$P1441,LdCKey,"&lt;"&amp;$T1441)+1)</f>
        <v/>
      </c>
      <c r="V1441">
        <f>IF($U1441="","",$P1441&amp;"|"&amp;RIGHT("000000"&amp;$U1441,6))</f>
        <v/>
      </c>
      <c r="W1441">
        <f>IF($T1441="","",COUNTIFS(LdBGroup,$R1441,LdBKey,"&lt;"&amp;$T1441)+1)</f>
        <v/>
      </c>
      <c r="X1441">
        <f>IF($W1441="","",$R1441&amp;"|"&amp;RIGHT("000000"&amp;$W1441,6))</f>
        <v/>
      </c>
      <c r="Y1441">
        <f>IF($P1441="","",IF(Shares!$E1444="",0,Shares!$E1444))</f>
        <v/>
      </c>
      <c r="Z1441">
        <f>IF($P1441="","",Shares!$H1444)</f>
        <v/>
      </c>
      <c r="AE1441">
        <f>IF(OR(Sync!$S1441="",Sync!$P1441=""),"",Sync!$S1441)</f>
        <v/>
      </c>
      <c r="AF1441">
        <f>IF($AE1441="","",IF(ISNUMBER(Sync!$P1441),IF(AND(Sync!$P1441&gt;=10000101,Sync!$P1441&lt;=99991231),INT(Sync!$P1441/10000),""),IFERROR(VALUE(TRIM(LEFT(Sync!$P1441,FIND("/",Sync!$P1441)-1))),"")))</f>
        <v/>
      </c>
      <c r="AG1441">
        <f>IF(OR($AE1441="",$AF1441=""),"",IF(ISNUMBER(Sync!$P1441),INT(MOD(Sync!$P1441,10000)/100),IFERROR(VALUE(TRIM(LEFT(MID(Sync!$P1441,FIND("/",Sync!$P1441)+1,20),FIND("/",MID(Sync!$P1441,FIND("/",Sync!$P1441)+1,20))-1))),"")))</f>
        <v/>
      </c>
      <c r="AH1441">
        <f>IF(OR($AE1441="",$AF1441=""),"",IF(ISNUMBER(Sync!$P1441),MOD(Sync!$P1441,100),IFERROR(VALUE(TRIM(MID(MID(Sync!$P1441,FIND("/",Sync!$P1441)+1,20),FIND("/",MID(Sync!$P1441,FIND("/",Sync!$P1441)+1,20))+1,20))),"")))</f>
        <v/>
      </c>
      <c r="AI1441">
        <f>IF($AE1441="","",IF(OR($AF1441="",$AG1441="",$AH1441="",$AF1441&lt;1300,$AF1441&gt;1500,$AG1441&lt;1,$AG1441&gt;12,$AH1441&lt;1,$AH1441&gt;31),"نامعتبر",RIGHT("0000"&amp;$AF1441,4)&amp;"/"&amp;RIGHT("00"&amp;$AG1441,2)&amp;"/"&amp;RIGHT("00"&amp;$AH1441,2)))</f>
        <v/>
      </c>
      <c r="AJ1441">
        <f>IF($AE1441="","",IF(Sync!$Q1441="","0000",IF(AND(ISNUMBER(Sync!$Q1441),Sync!$Q1441&gt;=0,Sync!$Q1441&lt;1),RIGHT("00"&amp;HOUR(Sync!$Q1441),2)&amp;RIGHT("00"&amp;MINUTE(Sync!$Q1441),2),IFERROR(RIGHT("00"&amp;VALUE(LEFT(Sync!$Q1441,FIND(":",Sync!$Q1441)-1)),2)&amp;RIGHT("00"&amp;VALUE(MID(Sync!$Q1441,FIND(":",Sync!$Q1441)+1,2)),2),"0000"))))</f>
        <v/>
      </c>
      <c r="AK1441">
        <f>IF(OR($AE1441="",$AI1441="",$AI1441="نامعتبر"),"",LEFT($AI1441,4)&amp;MID($AI1441,6,2)&amp;RIGHT($AI1441,2)&amp;$AJ1441&amp;"|"&amp;"3"&amp;RIGHT("00000"&amp;1436,5))</f>
        <v/>
      </c>
      <c r="AL1441">
        <f>IF($AK1441="","",COUNTIFS(LdAParty,$AE1441,LdAType,1,LdAKey,"&lt;"&amp;$AK1441)+COUNTIFS(LdBMember,$AE1441,LdBKey,"&lt;"&amp;$AK1441)+COUNTIFS(LdCParty,$AE1441,LdCKey,"&lt;"&amp;$AK1441)+1)</f>
        <v/>
      </c>
      <c r="AM1441">
        <f>IF($AL1441="","",$AE1441&amp;"|"&amp;RIGHT("000000"&amp;$AL1441,6))</f>
        <v/>
      </c>
      <c r="AN1441">
        <f>IF($AE1441="","",IF(Sync!$W1441="",0,Sync!$W1441))</f>
        <v/>
      </c>
      <c r="AO1441">
        <f>IF($AE1441="","",IF(Sync!$X1441="",0,Sync!$X1441))</f>
        <v/>
      </c>
      <c r="AP1441">
        <f>IF($AE1441="","",Sync!$R1441)</f>
        <v/>
      </c>
      <c r="AQ1441">
        <f>IF($AE1441="","",Sync!$Y1441)</f>
        <v/>
      </c>
    </row>
    <row r="1442">
      <c r="A1442">
        <f>IF(OR(Wages!$B1445="",Wages!$E1445=""),"",Wages!$E1445)</f>
        <v/>
      </c>
      <c r="B1442">
        <f>IF($A1442="","",IF(Wages!$C1445="دستمزد گروهی",2,1))</f>
        <v/>
      </c>
      <c r="C1442">
        <f>IF($A1442="","",IF(ISNUMBER(Wages!$B1445),IF(AND(Wages!$B1445&gt;=10000101,Wages!$B1445&lt;=99991231),INT(Wages!$B1445/10000),""),IFERROR(VALUE(TRIM(LEFT(Wages!$B1445,FIND("/",Wages!$B1445)-1))),"")))</f>
        <v/>
      </c>
      <c r="D1442">
        <f>IF(OR($A1442="",$C1442=""),"",IF(ISNUMBER(Wages!$B1445),INT(MOD(Wages!$B1445,10000)/100),IFERROR(VALUE(TRIM(LEFT(MID(Wages!$B1445,FIND("/",Wages!$B1445)+1,20),FIND("/",MID(Wages!$B1445,FIND("/",Wages!$B1445)+1,20))-1))),"")))</f>
        <v/>
      </c>
      <c r="E1442">
        <f>IF(OR($A1442="",$C1442=""),"",IF(ISNUMBER(Wages!$B1445),MOD(Wages!$B1445,100),IFERROR(VALUE(TRIM(MID(MID(Wages!$B1445,FIND("/",Wages!$B1445)+1,20),FIND("/",MID(Wages!$B1445,FIND("/",Wages!$B1445)+1,20))+1,20))),"")))</f>
        <v/>
      </c>
      <c r="F1442">
        <f>IF($A1442="","",IF(OR($C1442="",$D1442="",$E1442="",$C1442&lt;1300,$C1442&gt;1500,$D1442&lt;1,$D1442&gt;12,$E1442&lt;1,$E1442&gt;31),"نامعتبر",RIGHT("0000"&amp;$C1442,4)&amp;"/"&amp;RIGHT("00"&amp;$D1442,2)&amp;"/"&amp;RIGHT("00"&amp;$E1442,2)))</f>
        <v/>
      </c>
      <c r="G1442">
        <f>IF(OR($A1442="",$F1442="",$F1442="نامعتبر"),"",LEFT($F1442,4)&amp;MID($F1442,6,2)&amp;RIGHT($F1442,2)&amp;"0000"&amp;"|"&amp;"1"&amp;RIGHT("00000"&amp;1437,5))</f>
        <v/>
      </c>
      <c r="H1442">
        <f>IF(OR($B1442&lt;&gt;1,$G1442=""),"",COUNTIFS(LdAParty,$A1442,LdAType,1,LdAKey,"&lt;"&amp;$G1442)+COUNTIFS(LdBMember,$A1442,LdBKey,"&lt;"&amp;$G1442)+COUNTIFS(LdCParty,$A1442,LdCKey,"&lt;"&amp;$G1442)+1)</f>
        <v/>
      </c>
      <c r="I1442">
        <f>IF($H1442="","",$A1442&amp;"|"&amp;RIGHT("000000"&amp;$H1442,6))</f>
        <v/>
      </c>
      <c r="J1442">
        <f>IF(OR($B1442&lt;&gt;2,$G1442=""),"",COUNTIFS(LdAParty,$A1442,LdAType,2,LdAKey,"&lt;"&amp;$G1442)+1)</f>
        <v/>
      </c>
      <c r="K1442">
        <f>IF($J1442="","",$A1442&amp;"|"&amp;RIGHT("000000"&amp;$J1442,6))</f>
        <v/>
      </c>
      <c r="L1442">
        <f>IF($A1442="","",IF(Wages!$G1445="",0,Wages!$G1445))</f>
        <v/>
      </c>
      <c r="M1442">
        <f>IF($A1442="","",Wages!$J1445)</f>
        <v/>
      </c>
      <c r="N1442">
        <f>IF($A1442="","",Wages!$D1445)</f>
        <v/>
      </c>
      <c r="P1442">
        <f>IF(OR(Shares!$B1445="",Shares!$C1445=""),"",Shares!$C1445)</f>
        <v/>
      </c>
      <c r="Q1442">
        <f>IF($P1442="","",Shares!$B1445)</f>
        <v/>
      </c>
      <c r="R1442">
        <f>IF($P1442="","",IFERROR(INDEX(WageParty,MATCH($Q1442,WageIds,0)),""))</f>
        <v/>
      </c>
      <c r="S1442">
        <f>IF($P1442="","",IFERROR(INDEX($F$6:$F$2005,MATCH($Q1442,WageIds,0)),""))</f>
        <v/>
      </c>
      <c r="T1442">
        <f>IF(OR($P1442="",$S1442="",$S1442="نامعتبر"),"",LEFT($S1442,4)&amp;MID($S1442,6,2)&amp;RIGHT($S1442,2)&amp;"0000"&amp;"|"&amp;"2"&amp;RIGHT("00000"&amp;1437,5))</f>
        <v/>
      </c>
      <c r="U1442">
        <f>IF($T1442="","",COUNTIFS(LdAParty,$P1442,LdAType,1,LdAKey,"&lt;"&amp;$T1442)+COUNTIFS(LdBMember,$P1442,LdBKey,"&lt;"&amp;$T1442)+COUNTIFS(LdCParty,$P1442,LdCKey,"&lt;"&amp;$T1442)+1)</f>
        <v/>
      </c>
      <c r="V1442">
        <f>IF($U1442="","",$P1442&amp;"|"&amp;RIGHT("000000"&amp;$U1442,6))</f>
        <v/>
      </c>
      <c r="W1442">
        <f>IF($T1442="","",COUNTIFS(LdBGroup,$R1442,LdBKey,"&lt;"&amp;$T1442)+1)</f>
        <v/>
      </c>
      <c r="X1442">
        <f>IF($W1442="","",$R1442&amp;"|"&amp;RIGHT("000000"&amp;$W1442,6))</f>
        <v/>
      </c>
      <c r="Y1442">
        <f>IF($P1442="","",IF(Shares!$E1445="",0,Shares!$E1445))</f>
        <v/>
      </c>
      <c r="Z1442">
        <f>IF($P1442="","",Shares!$H1445)</f>
        <v/>
      </c>
      <c r="AE1442">
        <f>IF(OR(Sync!$S1442="",Sync!$P1442=""),"",Sync!$S1442)</f>
        <v/>
      </c>
      <c r="AF1442">
        <f>IF($AE1442="","",IF(ISNUMBER(Sync!$P1442),IF(AND(Sync!$P1442&gt;=10000101,Sync!$P1442&lt;=99991231),INT(Sync!$P1442/10000),""),IFERROR(VALUE(TRIM(LEFT(Sync!$P1442,FIND("/",Sync!$P1442)-1))),"")))</f>
        <v/>
      </c>
      <c r="AG1442">
        <f>IF(OR($AE1442="",$AF1442=""),"",IF(ISNUMBER(Sync!$P1442),INT(MOD(Sync!$P1442,10000)/100),IFERROR(VALUE(TRIM(LEFT(MID(Sync!$P1442,FIND("/",Sync!$P1442)+1,20),FIND("/",MID(Sync!$P1442,FIND("/",Sync!$P1442)+1,20))-1))),"")))</f>
        <v/>
      </c>
      <c r="AH1442">
        <f>IF(OR($AE1442="",$AF1442=""),"",IF(ISNUMBER(Sync!$P1442),MOD(Sync!$P1442,100),IFERROR(VALUE(TRIM(MID(MID(Sync!$P1442,FIND("/",Sync!$P1442)+1,20),FIND("/",MID(Sync!$P1442,FIND("/",Sync!$P1442)+1,20))+1,20))),"")))</f>
        <v/>
      </c>
      <c r="AI1442">
        <f>IF($AE1442="","",IF(OR($AF1442="",$AG1442="",$AH1442="",$AF1442&lt;1300,$AF1442&gt;1500,$AG1442&lt;1,$AG1442&gt;12,$AH1442&lt;1,$AH1442&gt;31),"نامعتبر",RIGHT("0000"&amp;$AF1442,4)&amp;"/"&amp;RIGHT("00"&amp;$AG1442,2)&amp;"/"&amp;RIGHT("00"&amp;$AH1442,2)))</f>
        <v/>
      </c>
      <c r="AJ1442">
        <f>IF($AE1442="","",IF(Sync!$Q1442="","0000",IF(AND(ISNUMBER(Sync!$Q1442),Sync!$Q1442&gt;=0,Sync!$Q1442&lt;1),RIGHT("00"&amp;HOUR(Sync!$Q1442),2)&amp;RIGHT("00"&amp;MINUTE(Sync!$Q1442),2),IFERROR(RIGHT("00"&amp;VALUE(LEFT(Sync!$Q1442,FIND(":",Sync!$Q1442)-1)),2)&amp;RIGHT("00"&amp;VALUE(MID(Sync!$Q1442,FIND(":",Sync!$Q1442)+1,2)),2),"0000"))))</f>
        <v/>
      </c>
      <c r="AK1442">
        <f>IF(OR($AE1442="",$AI1442="",$AI1442="نامعتبر"),"",LEFT($AI1442,4)&amp;MID($AI1442,6,2)&amp;RIGHT($AI1442,2)&amp;$AJ1442&amp;"|"&amp;"3"&amp;RIGHT("00000"&amp;1437,5))</f>
        <v/>
      </c>
      <c r="AL1442">
        <f>IF($AK1442="","",COUNTIFS(LdAParty,$AE1442,LdAType,1,LdAKey,"&lt;"&amp;$AK1442)+COUNTIFS(LdBMember,$AE1442,LdBKey,"&lt;"&amp;$AK1442)+COUNTIFS(LdCParty,$AE1442,LdCKey,"&lt;"&amp;$AK1442)+1)</f>
        <v/>
      </c>
      <c r="AM1442">
        <f>IF($AL1442="","",$AE1442&amp;"|"&amp;RIGHT("000000"&amp;$AL1442,6))</f>
        <v/>
      </c>
      <c r="AN1442">
        <f>IF($AE1442="","",IF(Sync!$W1442="",0,Sync!$W1442))</f>
        <v/>
      </c>
      <c r="AO1442">
        <f>IF($AE1442="","",IF(Sync!$X1442="",0,Sync!$X1442))</f>
        <v/>
      </c>
      <c r="AP1442">
        <f>IF($AE1442="","",Sync!$R1442)</f>
        <v/>
      </c>
      <c r="AQ1442">
        <f>IF($AE1442="","",Sync!$Y1442)</f>
        <v/>
      </c>
    </row>
    <row r="1443">
      <c r="A1443">
        <f>IF(OR(Wages!$B1446="",Wages!$E1446=""),"",Wages!$E1446)</f>
        <v/>
      </c>
      <c r="B1443">
        <f>IF($A1443="","",IF(Wages!$C1446="دستمزد گروهی",2,1))</f>
        <v/>
      </c>
      <c r="C1443">
        <f>IF($A1443="","",IF(ISNUMBER(Wages!$B1446),IF(AND(Wages!$B1446&gt;=10000101,Wages!$B1446&lt;=99991231),INT(Wages!$B1446/10000),""),IFERROR(VALUE(TRIM(LEFT(Wages!$B1446,FIND("/",Wages!$B1446)-1))),"")))</f>
        <v/>
      </c>
      <c r="D1443">
        <f>IF(OR($A1443="",$C1443=""),"",IF(ISNUMBER(Wages!$B1446),INT(MOD(Wages!$B1446,10000)/100),IFERROR(VALUE(TRIM(LEFT(MID(Wages!$B1446,FIND("/",Wages!$B1446)+1,20),FIND("/",MID(Wages!$B1446,FIND("/",Wages!$B1446)+1,20))-1))),"")))</f>
        <v/>
      </c>
      <c r="E1443">
        <f>IF(OR($A1443="",$C1443=""),"",IF(ISNUMBER(Wages!$B1446),MOD(Wages!$B1446,100),IFERROR(VALUE(TRIM(MID(MID(Wages!$B1446,FIND("/",Wages!$B1446)+1,20),FIND("/",MID(Wages!$B1446,FIND("/",Wages!$B1446)+1,20))+1,20))),"")))</f>
        <v/>
      </c>
      <c r="F1443">
        <f>IF($A1443="","",IF(OR($C1443="",$D1443="",$E1443="",$C1443&lt;1300,$C1443&gt;1500,$D1443&lt;1,$D1443&gt;12,$E1443&lt;1,$E1443&gt;31),"نامعتبر",RIGHT("0000"&amp;$C1443,4)&amp;"/"&amp;RIGHT("00"&amp;$D1443,2)&amp;"/"&amp;RIGHT("00"&amp;$E1443,2)))</f>
        <v/>
      </c>
      <c r="G1443">
        <f>IF(OR($A1443="",$F1443="",$F1443="نامعتبر"),"",LEFT($F1443,4)&amp;MID($F1443,6,2)&amp;RIGHT($F1443,2)&amp;"0000"&amp;"|"&amp;"1"&amp;RIGHT("00000"&amp;1438,5))</f>
        <v/>
      </c>
      <c r="H1443">
        <f>IF(OR($B1443&lt;&gt;1,$G1443=""),"",COUNTIFS(LdAParty,$A1443,LdAType,1,LdAKey,"&lt;"&amp;$G1443)+COUNTIFS(LdBMember,$A1443,LdBKey,"&lt;"&amp;$G1443)+COUNTIFS(LdCParty,$A1443,LdCKey,"&lt;"&amp;$G1443)+1)</f>
        <v/>
      </c>
      <c r="I1443">
        <f>IF($H1443="","",$A1443&amp;"|"&amp;RIGHT("000000"&amp;$H1443,6))</f>
        <v/>
      </c>
      <c r="J1443">
        <f>IF(OR($B1443&lt;&gt;2,$G1443=""),"",COUNTIFS(LdAParty,$A1443,LdAType,2,LdAKey,"&lt;"&amp;$G1443)+1)</f>
        <v/>
      </c>
      <c r="K1443">
        <f>IF($J1443="","",$A1443&amp;"|"&amp;RIGHT("000000"&amp;$J1443,6))</f>
        <v/>
      </c>
      <c r="L1443">
        <f>IF($A1443="","",IF(Wages!$G1446="",0,Wages!$G1446))</f>
        <v/>
      </c>
      <c r="M1443">
        <f>IF($A1443="","",Wages!$J1446)</f>
        <v/>
      </c>
      <c r="N1443">
        <f>IF($A1443="","",Wages!$D1446)</f>
        <v/>
      </c>
      <c r="P1443">
        <f>IF(OR(Shares!$B1446="",Shares!$C1446=""),"",Shares!$C1446)</f>
        <v/>
      </c>
      <c r="Q1443">
        <f>IF($P1443="","",Shares!$B1446)</f>
        <v/>
      </c>
      <c r="R1443">
        <f>IF($P1443="","",IFERROR(INDEX(WageParty,MATCH($Q1443,WageIds,0)),""))</f>
        <v/>
      </c>
      <c r="S1443">
        <f>IF($P1443="","",IFERROR(INDEX($F$6:$F$2005,MATCH($Q1443,WageIds,0)),""))</f>
        <v/>
      </c>
      <c r="T1443">
        <f>IF(OR($P1443="",$S1443="",$S1443="نامعتبر"),"",LEFT($S1443,4)&amp;MID($S1443,6,2)&amp;RIGHT($S1443,2)&amp;"0000"&amp;"|"&amp;"2"&amp;RIGHT("00000"&amp;1438,5))</f>
        <v/>
      </c>
      <c r="U1443">
        <f>IF($T1443="","",COUNTIFS(LdAParty,$P1443,LdAType,1,LdAKey,"&lt;"&amp;$T1443)+COUNTIFS(LdBMember,$P1443,LdBKey,"&lt;"&amp;$T1443)+COUNTIFS(LdCParty,$P1443,LdCKey,"&lt;"&amp;$T1443)+1)</f>
        <v/>
      </c>
      <c r="V1443">
        <f>IF($U1443="","",$P1443&amp;"|"&amp;RIGHT("000000"&amp;$U1443,6))</f>
        <v/>
      </c>
      <c r="W1443">
        <f>IF($T1443="","",COUNTIFS(LdBGroup,$R1443,LdBKey,"&lt;"&amp;$T1443)+1)</f>
        <v/>
      </c>
      <c r="X1443">
        <f>IF($W1443="","",$R1443&amp;"|"&amp;RIGHT("000000"&amp;$W1443,6))</f>
        <v/>
      </c>
      <c r="Y1443">
        <f>IF($P1443="","",IF(Shares!$E1446="",0,Shares!$E1446))</f>
        <v/>
      </c>
      <c r="Z1443">
        <f>IF($P1443="","",Shares!$H1446)</f>
        <v/>
      </c>
      <c r="AE1443">
        <f>IF(OR(Sync!$S1443="",Sync!$P1443=""),"",Sync!$S1443)</f>
        <v/>
      </c>
      <c r="AF1443">
        <f>IF($AE1443="","",IF(ISNUMBER(Sync!$P1443),IF(AND(Sync!$P1443&gt;=10000101,Sync!$P1443&lt;=99991231),INT(Sync!$P1443/10000),""),IFERROR(VALUE(TRIM(LEFT(Sync!$P1443,FIND("/",Sync!$P1443)-1))),"")))</f>
        <v/>
      </c>
      <c r="AG1443">
        <f>IF(OR($AE1443="",$AF1443=""),"",IF(ISNUMBER(Sync!$P1443),INT(MOD(Sync!$P1443,10000)/100),IFERROR(VALUE(TRIM(LEFT(MID(Sync!$P1443,FIND("/",Sync!$P1443)+1,20),FIND("/",MID(Sync!$P1443,FIND("/",Sync!$P1443)+1,20))-1))),"")))</f>
        <v/>
      </c>
      <c r="AH1443">
        <f>IF(OR($AE1443="",$AF1443=""),"",IF(ISNUMBER(Sync!$P1443),MOD(Sync!$P1443,100),IFERROR(VALUE(TRIM(MID(MID(Sync!$P1443,FIND("/",Sync!$P1443)+1,20),FIND("/",MID(Sync!$P1443,FIND("/",Sync!$P1443)+1,20))+1,20))),"")))</f>
        <v/>
      </c>
      <c r="AI1443">
        <f>IF($AE1443="","",IF(OR($AF1443="",$AG1443="",$AH1443="",$AF1443&lt;1300,$AF1443&gt;1500,$AG1443&lt;1,$AG1443&gt;12,$AH1443&lt;1,$AH1443&gt;31),"نامعتبر",RIGHT("0000"&amp;$AF1443,4)&amp;"/"&amp;RIGHT("00"&amp;$AG1443,2)&amp;"/"&amp;RIGHT("00"&amp;$AH1443,2)))</f>
        <v/>
      </c>
      <c r="AJ1443">
        <f>IF($AE1443="","",IF(Sync!$Q1443="","0000",IF(AND(ISNUMBER(Sync!$Q1443),Sync!$Q1443&gt;=0,Sync!$Q1443&lt;1),RIGHT("00"&amp;HOUR(Sync!$Q1443),2)&amp;RIGHT("00"&amp;MINUTE(Sync!$Q1443),2),IFERROR(RIGHT("00"&amp;VALUE(LEFT(Sync!$Q1443,FIND(":",Sync!$Q1443)-1)),2)&amp;RIGHT("00"&amp;VALUE(MID(Sync!$Q1443,FIND(":",Sync!$Q1443)+1,2)),2),"0000"))))</f>
        <v/>
      </c>
      <c r="AK1443">
        <f>IF(OR($AE1443="",$AI1443="",$AI1443="نامعتبر"),"",LEFT($AI1443,4)&amp;MID($AI1443,6,2)&amp;RIGHT($AI1443,2)&amp;$AJ1443&amp;"|"&amp;"3"&amp;RIGHT("00000"&amp;1438,5))</f>
        <v/>
      </c>
      <c r="AL1443">
        <f>IF($AK1443="","",COUNTIFS(LdAParty,$AE1443,LdAType,1,LdAKey,"&lt;"&amp;$AK1443)+COUNTIFS(LdBMember,$AE1443,LdBKey,"&lt;"&amp;$AK1443)+COUNTIFS(LdCParty,$AE1443,LdCKey,"&lt;"&amp;$AK1443)+1)</f>
        <v/>
      </c>
      <c r="AM1443">
        <f>IF($AL1443="","",$AE1443&amp;"|"&amp;RIGHT("000000"&amp;$AL1443,6))</f>
        <v/>
      </c>
      <c r="AN1443">
        <f>IF($AE1443="","",IF(Sync!$W1443="",0,Sync!$W1443))</f>
        <v/>
      </c>
      <c r="AO1443">
        <f>IF($AE1443="","",IF(Sync!$X1443="",0,Sync!$X1443))</f>
        <v/>
      </c>
      <c r="AP1443">
        <f>IF($AE1443="","",Sync!$R1443)</f>
        <v/>
      </c>
      <c r="AQ1443">
        <f>IF($AE1443="","",Sync!$Y1443)</f>
        <v/>
      </c>
    </row>
    <row r="1444">
      <c r="A1444">
        <f>IF(OR(Wages!$B1447="",Wages!$E1447=""),"",Wages!$E1447)</f>
        <v/>
      </c>
      <c r="B1444">
        <f>IF($A1444="","",IF(Wages!$C1447="دستمزد گروهی",2,1))</f>
        <v/>
      </c>
      <c r="C1444">
        <f>IF($A1444="","",IF(ISNUMBER(Wages!$B1447),IF(AND(Wages!$B1447&gt;=10000101,Wages!$B1447&lt;=99991231),INT(Wages!$B1447/10000),""),IFERROR(VALUE(TRIM(LEFT(Wages!$B1447,FIND("/",Wages!$B1447)-1))),"")))</f>
        <v/>
      </c>
      <c r="D1444">
        <f>IF(OR($A1444="",$C1444=""),"",IF(ISNUMBER(Wages!$B1447),INT(MOD(Wages!$B1447,10000)/100),IFERROR(VALUE(TRIM(LEFT(MID(Wages!$B1447,FIND("/",Wages!$B1447)+1,20),FIND("/",MID(Wages!$B1447,FIND("/",Wages!$B1447)+1,20))-1))),"")))</f>
        <v/>
      </c>
      <c r="E1444">
        <f>IF(OR($A1444="",$C1444=""),"",IF(ISNUMBER(Wages!$B1447),MOD(Wages!$B1447,100),IFERROR(VALUE(TRIM(MID(MID(Wages!$B1447,FIND("/",Wages!$B1447)+1,20),FIND("/",MID(Wages!$B1447,FIND("/",Wages!$B1447)+1,20))+1,20))),"")))</f>
        <v/>
      </c>
      <c r="F1444">
        <f>IF($A1444="","",IF(OR($C1444="",$D1444="",$E1444="",$C1444&lt;1300,$C1444&gt;1500,$D1444&lt;1,$D1444&gt;12,$E1444&lt;1,$E1444&gt;31),"نامعتبر",RIGHT("0000"&amp;$C1444,4)&amp;"/"&amp;RIGHT("00"&amp;$D1444,2)&amp;"/"&amp;RIGHT("00"&amp;$E1444,2)))</f>
        <v/>
      </c>
      <c r="G1444">
        <f>IF(OR($A1444="",$F1444="",$F1444="نامعتبر"),"",LEFT($F1444,4)&amp;MID($F1444,6,2)&amp;RIGHT($F1444,2)&amp;"0000"&amp;"|"&amp;"1"&amp;RIGHT("00000"&amp;1439,5))</f>
        <v/>
      </c>
      <c r="H1444">
        <f>IF(OR($B1444&lt;&gt;1,$G1444=""),"",COUNTIFS(LdAParty,$A1444,LdAType,1,LdAKey,"&lt;"&amp;$G1444)+COUNTIFS(LdBMember,$A1444,LdBKey,"&lt;"&amp;$G1444)+COUNTIFS(LdCParty,$A1444,LdCKey,"&lt;"&amp;$G1444)+1)</f>
        <v/>
      </c>
      <c r="I1444">
        <f>IF($H1444="","",$A1444&amp;"|"&amp;RIGHT("000000"&amp;$H1444,6))</f>
        <v/>
      </c>
      <c r="J1444">
        <f>IF(OR($B1444&lt;&gt;2,$G1444=""),"",COUNTIFS(LdAParty,$A1444,LdAType,2,LdAKey,"&lt;"&amp;$G1444)+1)</f>
        <v/>
      </c>
      <c r="K1444">
        <f>IF($J1444="","",$A1444&amp;"|"&amp;RIGHT("000000"&amp;$J1444,6))</f>
        <v/>
      </c>
      <c r="L1444">
        <f>IF($A1444="","",IF(Wages!$G1447="",0,Wages!$G1447))</f>
        <v/>
      </c>
      <c r="M1444">
        <f>IF($A1444="","",Wages!$J1447)</f>
        <v/>
      </c>
      <c r="N1444">
        <f>IF($A1444="","",Wages!$D1447)</f>
        <v/>
      </c>
      <c r="P1444">
        <f>IF(OR(Shares!$B1447="",Shares!$C1447=""),"",Shares!$C1447)</f>
        <v/>
      </c>
      <c r="Q1444">
        <f>IF($P1444="","",Shares!$B1447)</f>
        <v/>
      </c>
      <c r="R1444">
        <f>IF($P1444="","",IFERROR(INDEX(WageParty,MATCH($Q1444,WageIds,0)),""))</f>
        <v/>
      </c>
      <c r="S1444">
        <f>IF($P1444="","",IFERROR(INDEX($F$6:$F$2005,MATCH($Q1444,WageIds,0)),""))</f>
        <v/>
      </c>
      <c r="T1444">
        <f>IF(OR($P1444="",$S1444="",$S1444="نامعتبر"),"",LEFT($S1444,4)&amp;MID($S1444,6,2)&amp;RIGHT($S1444,2)&amp;"0000"&amp;"|"&amp;"2"&amp;RIGHT("00000"&amp;1439,5))</f>
        <v/>
      </c>
      <c r="U1444">
        <f>IF($T1444="","",COUNTIFS(LdAParty,$P1444,LdAType,1,LdAKey,"&lt;"&amp;$T1444)+COUNTIFS(LdBMember,$P1444,LdBKey,"&lt;"&amp;$T1444)+COUNTIFS(LdCParty,$P1444,LdCKey,"&lt;"&amp;$T1444)+1)</f>
        <v/>
      </c>
      <c r="V1444">
        <f>IF($U1444="","",$P1444&amp;"|"&amp;RIGHT("000000"&amp;$U1444,6))</f>
        <v/>
      </c>
      <c r="W1444">
        <f>IF($T1444="","",COUNTIFS(LdBGroup,$R1444,LdBKey,"&lt;"&amp;$T1444)+1)</f>
        <v/>
      </c>
      <c r="X1444">
        <f>IF($W1444="","",$R1444&amp;"|"&amp;RIGHT("000000"&amp;$W1444,6))</f>
        <v/>
      </c>
      <c r="Y1444">
        <f>IF($P1444="","",IF(Shares!$E1447="",0,Shares!$E1447))</f>
        <v/>
      </c>
      <c r="Z1444">
        <f>IF($P1444="","",Shares!$H1447)</f>
        <v/>
      </c>
      <c r="AE1444">
        <f>IF(OR(Sync!$S1444="",Sync!$P1444=""),"",Sync!$S1444)</f>
        <v/>
      </c>
      <c r="AF1444">
        <f>IF($AE1444="","",IF(ISNUMBER(Sync!$P1444),IF(AND(Sync!$P1444&gt;=10000101,Sync!$P1444&lt;=99991231),INT(Sync!$P1444/10000),""),IFERROR(VALUE(TRIM(LEFT(Sync!$P1444,FIND("/",Sync!$P1444)-1))),"")))</f>
        <v/>
      </c>
      <c r="AG1444">
        <f>IF(OR($AE1444="",$AF1444=""),"",IF(ISNUMBER(Sync!$P1444),INT(MOD(Sync!$P1444,10000)/100),IFERROR(VALUE(TRIM(LEFT(MID(Sync!$P1444,FIND("/",Sync!$P1444)+1,20),FIND("/",MID(Sync!$P1444,FIND("/",Sync!$P1444)+1,20))-1))),"")))</f>
        <v/>
      </c>
      <c r="AH1444">
        <f>IF(OR($AE1444="",$AF1444=""),"",IF(ISNUMBER(Sync!$P1444),MOD(Sync!$P1444,100),IFERROR(VALUE(TRIM(MID(MID(Sync!$P1444,FIND("/",Sync!$P1444)+1,20),FIND("/",MID(Sync!$P1444,FIND("/",Sync!$P1444)+1,20))+1,20))),"")))</f>
        <v/>
      </c>
      <c r="AI1444">
        <f>IF($AE1444="","",IF(OR($AF1444="",$AG1444="",$AH1444="",$AF1444&lt;1300,$AF1444&gt;1500,$AG1444&lt;1,$AG1444&gt;12,$AH1444&lt;1,$AH1444&gt;31),"نامعتبر",RIGHT("0000"&amp;$AF1444,4)&amp;"/"&amp;RIGHT("00"&amp;$AG1444,2)&amp;"/"&amp;RIGHT("00"&amp;$AH1444,2)))</f>
        <v/>
      </c>
      <c r="AJ1444">
        <f>IF($AE1444="","",IF(Sync!$Q1444="","0000",IF(AND(ISNUMBER(Sync!$Q1444),Sync!$Q1444&gt;=0,Sync!$Q1444&lt;1),RIGHT("00"&amp;HOUR(Sync!$Q1444),2)&amp;RIGHT("00"&amp;MINUTE(Sync!$Q1444),2),IFERROR(RIGHT("00"&amp;VALUE(LEFT(Sync!$Q1444,FIND(":",Sync!$Q1444)-1)),2)&amp;RIGHT("00"&amp;VALUE(MID(Sync!$Q1444,FIND(":",Sync!$Q1444)+1,2)),2),"0000"))))</f>
        <v/>
      </c>
      <c r="AK1444">
        <f>IF(OR($AE1444="",$AI1444="",$AI1444="نامعتبر"),"",LEFT($AI1444,4)&amp;MID($AI1444,6,2)&amp;RIGHT($AI1444,2)&amp;$AJ1444&amp;"|"&amp;"3"&amp;RIGHT("00000"&amp;1439,5))</f>
        <v/>
      </c>
      <c r="AL1444">
        <f>IF($AK1444="","",COUNTIFS(LdAParty,$AE1444,LdAType,1,LdAKey,"&lt;"&amp;$AK1444)+COUNTIFS(LdBMember,$AE1444,LdBKey,"&lt;"&amp;$AK1444)+COUNTIFS(LdCParty,$AE1444,LdCKey,"&lt;"&amp;$AK1444)+1)</f>
        <v/>
      </c>
      <c r="AM1444">
        <f>IF($AL1444="","",$AE1444&amp;"|"&amp;RIGHT("000000"&amp;$AL1444,6))</f>
        <v/>
      </c>
      <c r="AN1444">
        <f>IF($AE1444="","",IF(Sync!$W1444="",0,Sync!$W1444))</f>
        <v/>
      </c>
      <c r="AO1444">
        <f>IF($AE1444="","",IF(Sync!$X1444="",0,Sync!$X1444))</f>
        <v/>
      </c>
      <c r="AP1444">
        <f>IF($AE1444="","",Sync!$R1444)</f>
        <v/>
      </c>
      <c r="AQ1444">
        <f>IF($AE1444="","",Sync!$Y1444)</f>
        <v/>
      </c>
    </row>
    <row r="1445">
      <c r="A1445">
        <f>IF(OR(Wages!$B1448="",Wages!$E1448=""),"",Wages!$E1448)</f>
        <v/>
      </c>
      <c r="B1445">
        <f>IF($A1445="","",IF(Wages!$C1448="دستمزد گروهی",2,1))</f>
        <v/>
      </c>
      <c r="C1445">
        <f>IF($A1445="","",IF(ISNUMBER(Wages!$B1448),IF(AND(Wages!$B1448&gt;=10000101,Wages!$B1448&lt;=99991231),INT(Wages!$B1448/10000),""),IFERROR(VALUE(TRIM(LEFT(Wages!$B1448,FIND("/",Wages!$B1448)-1))),"")))</f>
        <v/>
      </c>
      <c r="D1445">
        <f>IF(OR($A1445="",$C1445=""),"",IF(ISNUMBER(Wages!$B1448),INT(MOD(Wages!$B1448,10000)/100),IFERROR(VALUE(TRIM(LEFT(MID(Wages!$B1448,FIND("/",Wages!$B1448)+1,20),FIND("/",MID(Wages!$B1448,FIND("/",Wages!$B1448)+1,20))-1))),"")))</f>
        <v/>
      </c>
      <c r="E1445">
        <f>IF(OR($A1445="",$C1445=""),"",IF(ISNUMBER(Wages!$B1448),MOD(Wages!$B1448,100),IFERROR(VALUE(TRIM(MID(MID(Wages!$B1448,FIND("/",Wages!$B1448)+1,20),FIND("/",MID(Wages!$B1448,FIND("/",Wages!$B1448)+1,20))+1,20))),"")))</f>
        <v/>
      </c>
      <c r="F1445">
        <f>IF($A1445="","",IF(OR($C1445="",$D1445="",$E1445="",$C1445&lt;1300,$C1445&gt;1500,$D1445&lt;1,$D1445&gt;12,$E1445&lt;1,$E1445&gt;31),"نامعتبر",RIGHT("0000"&amp;$C1445,4)&amp;"/"&amp;RIGHT("00"&amp;$D1445,2)&amp;"/"&amp;RIGHT("00"&amp;$E1445,2)))</f>
        <v/>
      </c>
      <c r="G1445">
        <f>IF(OR($A1445="",$F1445="",$F1445="نامعتبر"),"",LEFT($F1445,4)&amp;MID($F1445,6,2)&amp;RIGHT($F1445,2)&amp;"0000"&amp;"|"&amp;"1"&amp;RIGHT("00000"&amp;1440,5))</f>
        <v/>
      </c>
      <c r="H1445">
        <f>IF(OR($B1445&lt;&gt;1,$G1445=""),"",COUNTIFS(LdAParty,$A1445,LdAType,1,LdAKey,"&lt;"&amp;$G1445)+COUNTIFS(LdBMember,$A1445,LdBKey,"&lt;"&amp;$G1445)+COUNTIFS(LdCParty,$A1445,LdCKey,"&lt;"&amp;$G1445)+1)</f>
        <v/>
      </c>
      <c r="I1445">
        <f>IF($H1445="","",$A1445&amp;"|"&amp;RIGHT("000000"&amp;$H1445,6))</f>
        <v/>
      </c>
      <c r="J1445">
        <f>IF(OR($B1445&lt;&gt;2,$G1445=""),"",COUNTIFS(LdAParty,$A1445,LdAType,2,LdAKey,"&lt;"&amp;$G1445)+1)</f>
        <v/>
      </c>
      <c r="K1445">
        <f>IF($J1445="","",$A1445&amp;"|"&amp;RIGHT("000000"&amp;$J1445,6))</f>
        <v/>
      </c>
      <c r="L1445">
        <f>IF($A1445="","",IF(Wages!$G1448="",0,Wages!$G1448))</f>
        <v/>
      </c>
      <c r="M1445">
        <f>IF($A1445="","",Wages!$J1448)</f>
        <v/>
      </c>
      <c r="N1445">
        <f>IF($A1445="","",Wages!$D1448)</f>
        <v/>
      </c>
      <c r="P1445">
        <f>IF(OR(Shares!$B1448="",Shares!$C1448=""),"",Shares!$C1448)</f>
        <v/>
      </c>
      <c r="Q1445">
        <f>IF($P1445="","",Shares!$B1448)</f>
        <v/>
      </c>
      <c r="R1445">
        <f>IF($P1445="","",IFERROR(INDEX(WageParty,MATCH($Q1445,WageIds,0)),""))</f>
        <v/>
      </c>
      <c r="S1445">
        <f>IF($P1445="","",IFERROR(INDEX($F$6:$F$2005,MATCH($Q1445,WageIds,0)),""))</f>
        <v/>
      </c>
      <c r="T1445">
        <f>IF(OR($P1445="",$S1445="",$S1445="نامعتبر"),"",LEFT($S1445,4)&amp;MID($S1445,6,2)&amp;RIGHT($S1445,2)&amp;"0000"&amp;"|"&amp;"2"&amp;RIGHT("00000"&amp;1440,5))</f>
        <v/>
      </c>
      <c r="U1445">
        <f>IF($T1445="","",COUNTIFS(LdAParty,$P1445,LdAType,1,LdAKey,"&lt;"&amp;$T1445)+COUNTIFS(LdBMember,$P1445,LdBKey,"&lt;"&amp;$T1445)+COUNTIFS(LdCParty,$P1445,LdCKey,"&lt;"&amp;$T1445)+1)</f>
        <v/>
      </c>
      <c r="V1445">
        <f>IF($U1445="","",$P1445&amp;"|"&amp;RIGHT("000000"&amp;$U1445,6))</f>
        <v/>
      </c>
      <c r="W1445">
        <f>IF($T1445="","",COUNTIFS(LdBGroup,$R1445,LdBKey,"&lt;"&amp;$T1445)+1)</f>
        <v/>
      </c>
      <c r="X1445">
        <f>IF($W1445="","",$R1445&amp;"|"&amp;RIGHT("000000"&amp;$W1445,6))</f>
        <v/>
      </c>
      <c r="Y1445">
        <f>IF($P1445="","",IF(Shares!$E1448="",0,Shares!$E1448))</f>
        <v/>
      </c>
      <c r="Z1445">
        <f>IF($P1445="","",Shares!$H1448)</f>
        <v/>
      </c>
      <c r="AE1445">
        <f>IF(OR(Sync!$S1445="",Sync!$P1445=""),"",Sync!$S1445)</f>
        <v/>
      </c>
      <c r="AF1445">
        <f>IF($AE1445="","",IF(ISNUMBER(Sync!$P1445),IF(AND(Sync!$P1445&gt;=10000101,Sync!$P1445&lt;=99991231),INT(Sync!$P1445/10000),""),IFERROR(VALUE(TRIM(LEFT(Sync!$P1445,FIND("/",Sync!$P1445)-1))),"")))</f>
        <v/>
      </c>
      <c r="AG1445">
        <f>IF(OR($AE1445="",$AF1445=""),"",IF(ISNUMBER(Sync!$P1445),INT(MOD(Sync!$P1445,10000)/100),IFERROR(VALUE(TRIM(LEFT(MID(Sync!$P1445,FIND("/",Sync!$P1445)+1,20),FIND("/",MID(Sync!$P1445,FIND("/",Sync!$P1445)+1,20))-1))),"")))</f>
        <v/>
      </c>
      <c r="AH1445">
        <f>IF(OR($AE1445="",$AF1445=""),"",IF(ISNUMBER(Sync!$P1445),MOD(Sync!$P1445,100),IFERROR(VALUE(TRIM(MID(MID(Sync!$P1445,FIND("/",Sync!$P1445)+1,20),FIND("/",MID(Sync!$P1445,FIND("/",Sync!$P1445)+1,20))+1,20))),"")))</f>
        <v/>
      </c>
      <c r="AI1445">
        <f>IF($AE1445="","",IF(OR($AF1445="",$AG1445="",$AH1445="",$AF1445&lt;1300,$AF1445&gt;1500,$AG1445&lt;1,$AG1445&gt;12,$AH1445&lt;1,$AH1445&gt;31),"نامعتبر",RIGHT("0000"&amp;$AF1445,4)&amp;"/"&amp;RIGHT("00"&amp;$AG1445,2)&amp;"/"&amp;RIGHT("00"&amp;$AH1445,2)))</f>
        <v/>
      </c>
      <c r="AJ1445">
        <f>IF($AE1445="","",IF(Sync!$Q1445="","0000",IF(AND(ISNUMBER(Sync!$Q1445),Sync!$Q1445&gt;=0,Sync!$Q1445&lt;1),RIGHT("00"&amp;HOUR(Sync!$Q1445),2)&amp;RIGHT("00"&amp;MINUTE(Sync!$Q1445),2),IFERROR(RIGHT("00"&amp;VALUE(LEFT(Sync!$Q1445,FIND(":",Sync!$Q1445)-1)),2)&amp;RIGHT("00"&amp;VALUE(MID(Sync!$Q1445,FIND(":",Sync!$Q1445)+1,2)),2),"0000"))))</f>
        <v/>
      </c>
      <c r="AK1445">
        <f>IF(OR($AE1445="",$AI1445="",$AI1445="نامعتبر"),"",LEFT($AI1445,4)&amp;MID($AI1445,6,2)&amp;RIGHT($AI1445,2)&amp;$AJ1445&amp;"|"&amp;"3"&amp;RIGHT("00000"&amp;1440,5))</f>
        <v/>
      </c>
      <c r="AL1445">
        <f>IF($AK1445="","",COUNTIFS(LdAParty,$AE1445,LdAType,1,LdAKey,"&lt;"&amp;$AK1445)+COUNTIFS(LdBMember,$AE1445,LdBKey,"&lt;"&amp;$AK1445)+COUNTIFS(LdCParty,$AE1445,LdCKey,"&lt;"&amp;$AK1445)+1)</f>
        <v/>
      </c>
      <c r="AM1445">
        <f>IF($AL1445="","",$AE1445&amp;"|"&amp;RIGHT("000000"&amp;$AL1445,6))</f>
        <v/>
      </c>
      <c r="AN1445">
        <f>IF($AE1445="","",IF(Sync!$W1445="",0,Sync!$W1445))</f>
        <v/>
      </c>
      <c r="AO1445">
        <f>IF($AE1445="","",IF(Sync!$X1445="",0,Sync!$X1445))</f>
        <v/>
      </c>
      <c r="AP1445">
        <f>IF($AE1445="","",Sync!$R1445)</f>
        <v/>
      </c>
      <c r="AQ1445">
        <f>IF($AE1445="","",Sync!$Y1445)</f>
        <v/>
      </c>
    </row>
    <row r="1446">
      <c r="A1446">
        <f>IF(OR(Wages!$B1449="",Wages!$E1449=""),"",Wages!$E1449)</f>
        <v/>
      </c>
      <c r="B1446">
        <f>IF($A1446="","",IF(Wages!$C1449="دستمزد گروهی",2,1))</f>
        <v/>
      </c>
      <c r="C1446">
        <f>IF($A1446="","",IF(ISNUMBER(Wages!$B1449),IF(AND(Wages!$B1449&gt;=10000101,Wages!$B1449&lt;=99991231),INT(Wages!$B1449/10000),""),IFERROR(VALUE(TRIM(LEFT(Wages!$B1449,FIND("/",Wages!$B1449)-1))),"")))</f>
        <v/>
      </c>
      <c r="D1446">
        <f>IF(OR($A1446="",$C1446=""),"",IF(ISNUMBER(Wages!$B1449),INT(MOD(Wages!$B1449,10000)/100),IFERROR(VALUE(TRIM(LEFT(MID(Wages!$B1449,FIND("/",Wages!$B1449)+1,20),FIND("/",MID(Wages!$B1449,FIND("/",Wages!$B1449)+1,20))-1))),"")))</f>
        <v/>
      </c>
      <c r="E1446">
        <f>IF(OR($A1446="",$C1446=""),"",IF(ISNUMBER(Wages!$B1449),MOD(Wages!$B1449,100),IFERROR(VALUE(TRIM(MID(MID(Wages!$B1449,FIND("/",Wages!$B1449)+1,20),FIND("/",MID(Wages!$B1449,FIND("/",Wages!$B1449)+1,20))+1,20))),"")))</f>
        <v/>
      </c>
      <c r="F1446">
        <f>IF($A1446="","",IF(OR($C1446="",$D1446="",$E1446="",$C1446&lt;1300,$C1446&gt;1500,$D1446&lt;1,$D1446&gt;12,$E1446&lt;1,$E1446&gt;31),"نامعتبر",RIGHT("0000"&amp;$C1446,4)&amp;"/"&amp;RIGHT("00"&amp;$D1446,2)&amp;"/"&amp;RIGHT("00"&amp;$E1446,2)))</f>
        <v/>
      </c>
      <c r="G1446">
        <f>IF(OR($A1446="",$F1446="",$F1446="نامعتبر"),"",LEFT($F1446,4)&amp;MID($F1446,6,2)&amp;RIGHT($F1446,2)&amp;"0000"&amp;"|"&amp;"1"&amp;RIGHT("00000"&amp;1441,5))</f>
        <v/>
      </c>
      <c r="H1446">
        <f>IF(OR($B1446&lt;&gt;1,$G1446=""),"",COUNTIFS(LdAParty,$A1446,LdAType,1,LdAKey,"&lt;"&amp;$G1446)+COUNTIFS(LdBMember,$A1446,LdBKey,"&lt;"&amp;$G1446)+COUNTIFS(LdCParty,$A1446,LdCKey,"&lt;"&amp;$G1446)+1)</f>
        <v/>
      </c>
      <c r="I1446">
        <f>IF($H1446="","",$A1446&amp;"|"&amp;RIGHT("000000"&amp;$H1446,6))</f>
        <v/>
      </c>
      <c r="J1446">
        <f>IF(OR($B1446&lt;&gt;2,$G1446=""),"",COUNTIFS(LdAParty,$A1446,LdAType,2,LdAKey,"&lt;"&amp;$G1446)+1)</f>
        <v/>
      </c>
      <c r="K1446">
        <f>IF($J1446="","",$A1446&amp;"|"&amp;RIGHT("000000"&amp;$J1446,6))</f>
        <v/>
      </c>
      <c r="L1446">
        <f>IF($A1446="","",IF(Wages!$G1449="",0,Wages!$G1449))</f>
        <v/>
      </c>
      <c r="M1446">
        <f>IF($A1446="","",Wages!$J1449)</f>
        <v/>
      </c>
      <c r="N1446">
        <f>IF($A1446="","",Wages!$D1449)</f>
        <v/>
      </c>
      <c r="P1446">
        <f>IF(OR(Shares!$B1449="",Shares!$C1449=""),"",Shares!$C1449)</f>
        <v/>
      </c>
      <c r="Q1446">
        <f>IF($P1446="","",Shares!$B1449)</f>
        <v/>
      </c>
      <c r="R1446">
        <f>IF($P1446="","",IFERROR(INDEX(WageParty,MATCH($Q1446,WageIds,0)),""))</f>
        <v/>
      </c>
      <c r="S1446">
        <f>IF($P1446="","",IFERROR(INDEX($F$6:$F$2005,MATCH($Q1446,WageIds,0)),""))</f>
        <v/>
      </c>
      <c r="T1446">
        <f>IF(OR($P1446="",$S1446="",$S1446="نامعتبر"),"",LEFT($S1446,4)&amp;MID($S1446,6,2)&amp;RIGHT($S1446,2)&amp;"0000"&amp;"|"&amp;"2"&amp;RIGHT("00000"&amp;1441,5))</f>
        <v/>
      </c>
      <c r="U1446">
        <f>IF($T1446="","",COUNTIFS(LdAParty,$P1446,LdAType,1,LdAKey,"&lt;"&amp;$T1446)+COUNTIFS(LdBMember,$P1446,LdBKey,"&lt;"&amp;$T1446)+COUNTIFS(LdCParty,$P1446,LdCKey,"&lt;"&amp;$T1446)+1)</f>
        <v/>
      </c>
      <c r="V1446">
        <f>IF($U1446="","",$P1446&amp;"|"&amp;RIGHT("000000"&amp;$U1446,6))</f>
        <v/>
      </c>
      <c r="W1446">
        <f>IF($T1446="","",COUNTIFS(LdBGroup,$R1446,LdBKey,"&lt;"&amp;$T1446)+1)</f>
        <v/>
      </c>
      <c r="X1446">
        <f>IF($W1446="","",$R1446&amp;"|"&amp;RIGHT("000000"&amp;$W1446,6))</f>
        <v/>
      </c>
      <c r="Y1446">
        <f>IF($P1446="","",IF(Shares!$E1449="",0,Shares!$E1449))</f>
        <v/>
      </c>
      <c r="Z1446">
        <f>IF($P1446="","",Shares!$H1449)</f>
        <v/>
      </c>
      <c r="AE1446">
        <f>IF(OR(Sync!$S1446="",Sync!$P1446=""),"",Sync!$S1446)</f>
        <v/>
      </c>
      <c r="AF1446">
        <f>IF($AE1446="","",IF(ISNUMBER(Sync!$P1446),IF(AND(Sync!$P1446&gt;=10000101,Sync!$P1446&lt;=99991231),INT(Sync!$P1446/10000),""),IFERROR(VALUE(TRIM(LEFT(Sync!$P1446,FIND("/",Sync!$P1446)-1))),"")))</f>
        <v/>
      </c>
      <c r="AG1446">
        <f>IF(OR($AE1446="",$AF1446=""),"",IF(ISNUMBER(Sync!$P1446),INT(MOD(Sync!$P1446,10000)/100),IFERROR(VALUE(TRIM(LEFT(MID(Sync!$P1446,FIND("/",Sync!$P1446)+1,20),FIND("/",MID(Sync!$P1446,FIND("/",Sync!$P1446)+1,20))-1))),"")))</f>
        <v/>
      </c>
      <c r="AH1446">
        <f>IF(OR($AE1446="",$AF1446=""),"",IF(ISNUMBER(Sync!$P1446),MOD(Sync!$P1446,100),IFERROR(VALUE(TRIM(MID(MID(Sync!$P1446,FIND("/",Sync!$P1446)+1,20),FIND("/",MID(Sync!$P1446,FIND("/",Sync!$P1446)+1,20))+1,20))),"")))</f>
        <v/>
      </c>
      <c r="AI1446">
        <f>IF($AE1446="","",IF(OR($AF1446="",$AG1446="",$AH1446="",$AF1446&lt;1300,$AF1446&gt;1500,$AG1446&lt;1,$AG1446&gt;12,$AH1446&lt;1,$AH1446&gt;31),"نامعتبر",RIGHT("0000"&amp;$AF1446,4)&amp;"/"&amp;RIGHT("00"&amp;$AG1446,2)&amp;"/"&amp;RIGHT("00"&amp;$AH1446,2)))</f>
        <v/>
      </c>
      <c r="AJ1446">
        <f>IF($AE1446="","",IF(Sync!$Q1446="","0000",IF(AND(ISNUMBER(Sync!$Q1446),Sync!$Q1446&gt;=0,Sync!$Q1446&lt;1),RIGHT("00"&amp;HOUR(Sync!$Q1446),2)&amp;RIGHT("00"&amp;MINUTE(Sync!$Q1446),2),IFERROR(RIGHT("00"&amp;VALUE(LEFT(Sync!$Q1446,FIND(":",Sync!$Q1446)-1)),2)&amp;RIGHT("00"&amp;VALUE(MID(Sync!$Q1446,FIND(":",Sync!$Q1446)+1,2)),2),"0000"))))</f>
        <v/>
      </c>
      <c r="AK1446">
        <f>IF(OR($AE1446="",$AI1446="",$AI1446="نامعتبر"),"",LEFT($AI1446,4)&amp;MID($AI1446,6,2)&amp;RIGHT($AI1446,2)&amp;$AJ1446&amp;"|"&amp;"3"&amp;RIGHT("00000"&amp;1441,5))</f>
        <v/>
      </c>
      <c r="AL1446">
        <f>IF($AK1446="","",COUNTIFS(LdAParty,$AE1446,LdAType,1,LdAKey,"&lt;"&amp;$AK1446)+COUNTIFS(LdBMember,$AE1446,LdBKey,"&lt;"&amp;$AK1446)+COUNTIFS(LdCParty,$AE1446,LdCKey,"&lt;"&amp;$AK1446)+1)</f>
        <v/>
      </c>
      <c r="AM1446">
        <f>IF($AL1446="","",$AE1446&amp;"|"&amp;RIGHT("000000"&amp;$AL1446,6))</f>
        <v/>
      </c>
      <c r="AN1446">
        <f>IF($AE1446="","",IF(Sync!$W1446="",0,Sync!$W1446))</f>
        <v/>
      </c>
      <c r="AO1446">
        <f>IF($AE1446="","",IF(Sync!$X1446="",0,Sync!$X1446))</f>
        <v/>
      </c>
      <c r="AP1446">
        <f>IF($AE1446="","",Sync!$R1446)</f>
        <v/>
      </c>
      <c r="AQ1446">
        <f>IF($AE1446="","",Sync!$Y1446)</f>
        <v/>
      </c>
    </row>
    <row r="1447">
      <c r="A1447">
        <f>IF(OR(Wages!$B1450="",Wages!$E1450=""),"",Wages!$E1450)</f>
        <v/>
      </c>
      <c r="B1447">
        <f>IF($A1447="","",IF(Wages!$C1450="دستمزد گروهی",2,1))</f>
        <v/>
      </c>
      <c r="C1447">
        <f>IF($A1447="","",IF(ISNUMBER(Wages!$B1450),IF(AND(Wages!$B1450&gt;=10000101,Wages!$B1450&lt;=99991231),INT(Wages!$B1450/10000),""),IFERROR(VALUE(TRIM(LEFT(Wages!$B1450,FIND("/",Wages!$B1450)-1))),"")))</f>
        <v/>
      </c>
      <c r="D1447">
        <f>IF(OR($A1447="",$C1447=""),"",IF(ISNUMBER(Wages!$B1450),INT(MOD(Wages!$B1450,10000)/100),IFERROR(VALUE(TRIM(LEFT(MID(Wages!$B1450,FIND("/",Wages!$B1450)+1,20),FIND("/",MID(Wages!$B1450,FIND("/",Wages!$B1450)+1,20))-1))),"")))</f>
        <v/>
      </c>
      <c r="E1447">
        <f>IF(OR($A1447="",$C1447=""),"",IF(ISNUMBER(Wages!$B1450),MOD(Wages!$B1450,100),IFERROR(VALUE(TRIM(MID(MID(Wages!$B1450,FIND("/",Wages!$B1450)+1,20),FIND("/",MID(Wages!$B1450,FIND("/",Wages!$B1450)+1,20))+1,20))),"")))</f>
        <v/>
      </c>
      <c r="F1447">
        <f>IF($A1447="","",IF(OR($C1447="",$D1447="",$E1447="",$C1447&lt;1300,$C1447&gt;1500,$D1447&lt;1,$D1447&gt;12,$E1447&lt;1,$E1447&gt;31),"نامعتبر",RIGHT("0000"&amp;$C1447,4)&amp;"/"&amp;RIGHT("00"&amp;$D1447,2)&amp;"/"&amp;RIGHT("00"&amp;$E1447,2)))</f>
        <v/>
      </c>
      <c r="G1447">
        <f>IF(OR($A1447="",$F1447="",$F1447="نامعتبر"),"",LEFT($F1447,4)&amp;MID($F1447,6,2)&amp;RIGHT($F1447,2)&amp;"0000"&amp;"|"&amp;"1"&amp;RIGHT("00000"&amp;1442,5))</f>
        <v/>
      </c>
      <c r="H1447">
        <f>IF(OR($B1447&lt;&gt;1,$G1447=""),"",COUNTIFS(LdAParty,$A1447,LdAType,1,LdAKey,"&lt;"&amp;$G1447)+COUNTIFS(LdBMember,$A1447,LdBKey,"&lt;"&amp;$G1447)+COUNTIFS(LdCParty,$A1447,LdCKey,"&lt;"&amp;$G1447)+1)</f>
        <v/>
      </c>
      <c r="I1447">
        <f>IF($H1447="","",$A1447&amp;"|"&amp;RIGHT("000000"&amp;$H1447,6))</f>
        <v/>
      </c>
      <c r="J1447">
        <f>IF(OR($B1447&lt;&gt;2,$G1447=""),"",COUNTIFS(LdAParty,$A1447,LdAType,2,LdAKey,"&lt;"&amp;$G1447)+1)</f>
        <v/>
      </c>
      <c r="K1447">
        <f>IF($J1447="","",$A1447&amp;"|"&amp;RIGHT("000000"&amp;$J1447,6))</f>
        <v/>
      </c>
      <c r="L1447">
        <f>IF($A1447="","",IF(Wages!$G1450="",0,Wages!$G1450))</f>
        <v/>
      </c>
      <c r="M1447">
        <f>IF($A1447="","",Wages!$J1450)</f>
        <v/>
      </c>
      <c r="N1447">
        <f>IF($A1447="","",Wages!$D1450)</f>
        <v/>
      </c>
      <c r="P1447">
        <f>IF(OR(Shares!$B1450="",Shares!$C1450=""),"",Shares!$C1450)</f>
        <v/>
      </c>
      <c r="Q1447">
        <f>IF($P1447="","",Shares!$B1450)</f>
        <v/>
      </c>
      <c r="R1447">
        <f>IF($P1447="","",IFERROR(INDEX(WageParty,MATCH($Q1447,WageIds,0)),""))</f>
        <v/>
      </c>
      <c r="S1447">
        <f>IF($P1447="","",IFERROR(INDEX($F$6:$F$2005,MATCH($Q1447,WageIds,0)),""))</f>
        <v/>
      </c>
      <c r="T1447">
        <f>IF(OR($P1447="",$S1447="",$S1447="نامعتبر"),"",LEFT($S1447,4)&amp;MID($S1447,6,2)&amp;RIGHT($S1447,2)&amp;"0000"&amp;"|"&amp;"2"&amp;RIGHT("00000"&amp;1442,5))</f>
        <v/>
      </c>
      <c r="U1447">
        <f>IF($T1447="","",COUNTIFS(LdAParty,$P1447,LdAType,1,LdAKey,"&lt;"&amp;$T1447)+COUNTIFS(LdBMember,$P1447,LdBKey,"&lt;"&amp;$T1447)+COUNTIFS(LdCParty,$P1447,LdCKey,"&lt;"&amp;$T1447)+1)</f>
        <v/>
      </c>
      <c r="V1447">
        <f>IF($U1447="","",$P1447&amp;"|"&amp;RIGHT("000000"&amp;$U1447,6))</f>
        <v/>
      </c>
      <c r="W1447">
        <f>IF($T1447="","",COUNTIFS(LdBGroup,$R1447,LdBKey,"&lt;"&amp;$T1447)+1)</f>
        <v/>
      </c>
      <c r="X1447">
        <f>IF($W1447="","",$R1447&amp;"|"&amp;RIGHT("000000"&amp;$W1447,6))</f>
        <v/>
      </c>
      <c r="Y1447">
        <f>IF($P1447="","",IF(Shares!$E1450="",0,Shares!$E1450))</f>
        <v/>
      </c>
      <c r="Z1447">
        <f>IF($P1447="","",Shares!$H1450)</f>
        <v/>
      </c>
      <c r="AE1447">
        <f>IF(OR(Sync!$S1447="",Sync!$P1447=""),"",Sync!$S1447)</f>
        <v/>
      </c>
      <c r="AF1447">
        <f>IF($AE1447="","",IF(ISNUMBER(Sync!$P1447),IF(AND(Sync!$P1447&gt;=10000101,Sync!$P1447&lt;=99991231),INT(Sync!$P1447/10000),""),IFERROR(VALUE(TRIM(LEFT(Sync!$P1447,FIND("/",Sync!$P1447)-1))),"")))</f>
        <v/>
      </c>
      <c r="AG1447">
        <f>IF(OR($AE1447="",$AF1447=""),"",IF(ISNUMBER(Sync!$P1447),INT(MOD(Sync!$P1447,10000)/100),IFERROR(VALUE(TRIM(LEFT(MID(Sync!$P1447,FIND("/",Sync!$P1447)+1,20),FIND("/",MID(Sync!$P1447,FIND("/",Sync!$P1447)+1,20))-1))),"")))</f>
        <v/>
      </c>
      <c r="AH1447">
        <f>IF(OR($AE1447="",$AF1447=""),"",IF(ISNUMBER(Sync!$P1447),MOD(Sync!$P1447,100),IFERROR(VALUE(TRIM(MID(MID(Sync!$P1447,FIND("/",Sync!$P1447)+1,20),FIND("/",MID(Sync!$P1447,FIND("/",Sync!$P1447)+1,20))+1,20))),"")))</f>
        <v/>
      </c>
      <c r="AI1447">
        <f>IF($AE1447="","",IF(OR($AF1447="",$AG1447="",$AH1447="",$AF1447&lt;1300,$AF1447&gt;1500,$AG1447&lt;1,$AG1447&gt;12,$AH1447&lt;1,$AH1447&gt;31),"نامعتبر",RIGHT("0000"&amp;$AF1447,4)&amp;"/"&amp;RIGHT("00"&amp;$AG1447,2)&amp;"/"&amp;RIGHT("00"&amp;$AH1447,2)))</f>
        <v/>
      </c>
      <c r="AJ1447">
        <f>IF($AE1447="","",IF(Sync!$Q1447="","0000",IF(AND(ISNUMBER(Sync!$Q1447),Sync!$Q1447&gt;=0,Sync!$Q1447&lt;1),RIGHT("00"&amp;HOUR(Sync!$Q1447),2)&amp;RIGHT("00"&amp;MINUTE(Sync!$Q1447),2),IFERROR(RIGHT("00"&amp;VALUE(LEFT(Sync!$Q1447,FIND(":",Sync!$Q1447)-1)),2)&amp;RIGHT("00"&amp;VALUE(MID(Sync!$Q1447,FIND(":",Sync!$Q1447)+1,2)),2),"0000"))))</f>
        <v/>
      </c>
      <c r="AK1447">
        <f>IF(OR($AE1447="",$AI1447="",$AI1447="نامعتبر"),"",LEFT($AI1447,4)&amp;MID($AI1447,6,2)&amp;RIGHT($AI1447,2)&amp;$AJ1447&amp;"|"&amp;"3"&amp;RIGHT("00000"&amp;1442,5))</f>
        <v/>
      </c>
      <c r="AL1447">
        <f>IF($AK1447="","",COUNTIFS(LdAParty,$AE1447,LdAType,1,LdAKey,"&lt;"&amp;$AK1447)+COUNTIFS(LdBMember,$AE1447,LdBKey,"&lt;"&amp;$AK1447)+COUNTIFS(LdCParty,$AE1447,LdCKey,"&lt;"&amp;$AK1447)+1)</f>
        <v/>
      </c>
      <c r="AM1447">
        <f>IF($AL1447="","",$AE1447&amp;"|"&amp;RIGHT("000000"&amp;$AL1447,6))</f>
        <v/>
      </c>
      <c r="AN1447">
        <f>IF($AE1447="","",IF(Sync!$W1447="",0,Sync!$W1447))</f>
        <v/>
      </c>
      <c r="AO1447">
        <f>IF($AE1447="","",IF(Sync!$X1447="",0,Sync!$X1447))</f>
        <v/>
      </c>
      <c r="AP1447">
        <f>IF($AE1447="","",Sync!$R1447)</f>
        <v/>
      </c>
      <c r="AQ1447">
        <f>IF($AE1447="","",Sync!$Y1447)</f>
        <v/>
      </c>
    </row>
    <row r="1448">
      <c r="A1448">
        <f>IF(OR(Wages!$B1451="",Wages!$E1451=""),"",Wages!$E1451)</f>
        <v/>
      </c>
      <c r="B1448">
        <f>IF($A1448="","",IF(Wages!$C1451="دستمزد گروهی",2,1))</f>
        <v/>
      </c>
      <c r="C1448">
        <f>IF($A1448="","",IF(ISNUMBER(Wages!$B1451),IF(AND(Wages!$B1451&gt;=10000101,Wages!$B1451&lt;=99991231),INT(Wages!$B1451/10000),""),IFERROR(VALUE(TRIM(LEFT(Wages!$B1451,FIND("/",Wages!$B1451)-1))),"")))</f>
        <v/>
      </c>
      <c r="D1448">
        <f>IF(OR($A1448="",$C1448=""),"",IF(ISNUMBER(Wages!$B1451),INT(MOD(Wages!$B1451,10000)/100),IFERROR(VALUE(TRIM(LEFT(MID(Wages!$B1451,FIND("/",Wages!$B1451)+1,20),FIND("/",MID(Wages!$B1451,FIND("/",Wages!$B1451)+1,20))-1))),"")))</f>
        <v/>
      </c>
      <c r="E1448">
        <f>IF(OR($A1448="",$C1448=""),"",IF(ISNUMBER(Wages!$B1451),MOD(Wages!$B1451,100),IFERROR(VALUE(TRIM(MID(MID(Wages!$B1451,FIND("/",Wages!$B1451)+1,20),FIND("/",MID(Wages!$B1451,FIND("/",Wages!$B1451)+1,20))+1,20))),"")))</f>
        <v/>
      </c>
      <c r="F1448">
        <f>IF($A1448="","",IF(OR($C1448="",$D1448="",$E1448="",$C1448&lt;1300,$C1448&gt;1500,$D1448&lt;1,$D1448&gt;12,$E1448&lt;1,$E1448&gt;31),"نامعتبر",RIGHT("0000"&amp;$C1448,4)&amp;"/"&amp;RIGHT("00"&amp;$D1448,2)&amp;"/"&amp;RIGHT("00"&amp;$E1448,2)))</f>
        <v/>
      </c>
      <c r="G1448">
        <f>IF(OR($A1448="",$F1448="",$F1448="نامعتبر"),"",LEFT($F1448,4)&amp;MID($F1448,6,2)&amp;RIGHT($F1448,2)&amp;"0000"&amp;"|"&amp;"1"&amp;RIGHT("00000"&amp;1443,5))</f>
        <v/>
      </c>
      <c r="H1448">
        <f>IF(OR($B1448&lt;&gt;1,$G1448=""),"",COUNTIFS(LdAParty,$A1448,LdAType,1,LdAKey,"&lt;"&amp;$G1448)+COUNTIFS(LdBMember,$A1448,LdBKey,"&lt;"&amp;$G1448)+COUNTIFS(LdCParty,$A1448,LdCKey,"&lt;"&amp;$G1448)+1)</f>
        <v/>
      </c>
      <c r="I1448">
        <f>IF($H1448="","",$A1448&amp;"|"&amp;RIGHT("000000"&amp;$H1448,6))</f>
        <v/>
      </c>
      <c r="J1448">
        <f>IF(OR($B1448&lt;&gt;2,$G1448=""),"",COUNTIFS(LdAParty,$A1448,LdAType,2,LdAKey,"&lt;"&amp;$G1448)+1)</f>
        <v/>
      </c>
      <c r="K1448">
        <f>IF($J1448="","",$A1448&amp;"|"&amp;RIGHT("000000"&amp;$J1448,6))</f>
        <v/>
      </c>
      <c r="L1448">
        <f>IF($A1448="","",IF(Wages!$G1451="",0,Wages!$G1451))</f>
        <v/>
      </c>
      <c r="M1448">
        <f>IF($A1448="","",Wages!$J1451)</f>
        <v/>
      </c>
      <c r="N1448">
        <f>IF($A1448="","",Wages!$D1451)</f>
        <v/>
      </c>
      <c r="P1448">
        <f>IF(OR(Shares!$B1451="",Shares!$C1451=""),"",Shares!$C1451)</f>
        <v/>
      </c>
      <c r="Q1448">
        <f>IF($P1448="","",Shares!$B1451)</f>
        <v/>
      </c>
      <c r="R1448">
        <f>IF($P1448="","",IFERROR(INDEX(WageParty,MATCH($Q1448,WageIds,0)),""))</f>
        <v/>
      </c>
      <c r="S1448">
        <f>IF($P1448="","",IFERROR(INDEX($F$6:$F$2005,MATCH($Q1448,WageIds,0)),""))</f>
        <v/>
      </c>
      <c r="T1448">
        <f>IF(OR($P1448="",$S1448="",$S1448="نامعتبر"),"",LEFT($S1448,4)&amp;MID($S1448,6,2)&amp;RIGHT($S1448,2)&amp;"0000"&amp;"|"&amp;"2"&amp;RIGHT("00000"&amp;1443,5))</f>
        <v/>
      </c>
      <c r="U1448">
        <f>IF($T1448="","",COUNTIFS(LdAParty,$P1448,LdAType,1,LdAKey,"&lt;"&amp;$T1448)+COUNTIFS(LdBMember,$P1448,LdBKey,"&lt;"&amp;$T1448)+COUNTIFS(LdCParty,$P1448,LdCKey,"&lt;"&amp;$T1448)+1)</f>
        <v/>
      </c>
      <c r="V1448">
        <f>IF($U1448="","",$P1448&amp;"|"&amp;RIGHT("000000"&amp;$U1448,6))</f>
        <v/>
      </c>
      <c r="W1448">
        <f>IF($T1448="","",COUNTIFS(LdBGroup,$R1448,LdBKey,"&lt;"&amp;$T1448)+1)</f>
        <v/>
      </c>
      <c r="X1448">
        <f>IF($W1448="","",$R1448&amp;"|"&amp;RIGHT("000000"&amp;$W1448,6))</f>
        <v/>
      </c>
      <c r="Y1448">
        <f>IF($P1448="","",IF(Shares!$E1451="",0,Shares!$E1451))</f>
        <v/>
      </c>
      <c r="Z1448">
        <f>IF($P1448="","",Shares!$H1451)</f>
        <v/>
      </c>
      <c r="AE1448">
        <f>IF(OR(Sync!$S1448="",Sync!$P1448=""),"",Sync!$S1448)</f>
        <v/>
      </c>
      <c r="AF1448">
        <f>IF($AE1448="","",IF(ISNUMBER(Sync!$P1448),IF(AND(Sync!$P1448&gt;=10000101,Sync!$P1448&lt;=99991231),INT(Sync!$P1448/10000),""),IFERROR(VALUE(TRIM(LEFT(Sync!$P1448,FIND("/",Sync!$P1448)-1))),"")))</f>
        <v/>
      </c>
      <c r="AG1448">
        <f>IF(OR($AE1448="",$AF1448=""),"",IF(ISNUMBER(Sync!$P1448),INT(MOD(Sync!$P1448,10000)/100),IFERROR(VALUE(TRIM(LEFT(MID(Sync!$P1448,FIND("/",Sync!$P1448)+1,20),FIND("/",MID(Sync!$P1448,FIND("/",Sync!$P1448)+1,20))-1))),"")))</f>
        <v/>
      </c>
      <c r="AH1448">
        <f>IF(OR($AE1448="",$AF1448=""),"",IF(ISNUMBER(Sync!$P1448),MOD(Sync!$P1448,100),IFERROR(VALUE(TRIM(MID(MID(Sync!$P1448,FIND("/",Sync!$P1448)+1,20),FIND("/",MID(Sync!$P1448,FIND("/",Sync!$P1448)+1,20))+1,20))),"")))</f>
        <v/>
      </c>
      <c r="AI1448">
        <f>IF($AE1448="","",IF(OR($AF1448="",$AG1448="",$AH1448="",$AF1448&lt;1300,$AF1448&gt;1500,$AG1448&lt;1,$AG1448&gt;12,$AH1448&lt;1,$AH1448&gt;31),"نامعتبر",RIGHT("0000"&amp;$AF1448,4)&amp;"/"&amp;RIGHT("00"&amp;$AG1448,2)&amp;"/"&amp;RIGHT("00"&amp;$AH1448,2)))</f>
        <v/>
      </c>
      <c r="AJ1448">
        <f>IF($AE1448="","",IF(Sync!$Q1448="","0000",IF(AND(ISNUMBER(Sync!$Q1448),Sync!$Q1448&gt;=0,Sync!$Q1448&lt;1),RIGHT("00"&amp;HOUR(Sync!$Q1448),2)&amp;RIGHT("00"&amp;MINUTE(Sync!$Q1448),2),IFERROR(RIGHT("00"&amp;VALUE(LEFT(Sync!$Q1448,FIND(":",Sync!$Q1448)-1)),2)&amp;RIGHT("00"&amp;VALUE(MID(Sync!$Q1448,FIND(":",Sync!$Q1448)+1,2)),2),"0000"))))</f>
        <v/>
      </c>
      <c r="AK1448">
        <f>IF(OR($AE1448="",$AI1448="",$AI1448="نامعتبر"),"",LEFT($AI1448,4)&amp;MID($AI1448,6,2)&amp;RIGHT($AI1448,2)&amp;$AJ1448&amp;"|"&amp;"3"&amp;RIGHT("00000"&amp;1443,5))</f>
        <v/>
      </c>
      <c r="AL1448">
        <f>IF($AK1448="","",COUNTIFS(LdAParty,$AE1448,LdAType,1,LdAKey,"&lt;"&amp;$AK1448)+COUNTIFS(LdBMember,$AE1448,LdBKey,"&lt;"&amp;$AK1448)+COUNTIFS(LdCParty,$AE1448,LdCKey,"&lt;"&amp;$AK1448)+1)</f>
        <v/>
      </c>
      <c r="AM1448">
        <f>IF($AL1448="","",$AE1448&amp;"|"&amp;RIGHT("000000"&amp;$AL1448,6))</f>
        <v/>
      </c>
      <c r="AN1448">
        <f>IF($AE1448="","",IF(Sync!$W1448="",0,Sync!$W1448))</f>
        <v/>
      </c>
      <c r="AO1448">
        <f>IF($AE1448="","",IF(Sync!$X1448="",0,Sync!$X1448))</f>
        <v/>
      </c>
      <c r="AP1448">
        <f>IF($AE1448="","",Sync!$R1448)</f>
        <v/>
      </c>
      <c r="AQ1448">
        <f>IF($AE1448="","",Sync!$Y1448)</f>
        <v/>
      </c>
    </row>
    <row r="1449">
      <c r="A1449">
        <f>IF(OR(Wages!$B1452="",Wages!$E1452=""),"",Wages!$E1452)</f>
        <v/>
      </c>
      <c r="B1449">
        <f>IF($A1449="","",IF(Wages!$C1452="دستمزد گروهی",2,1))</f>
        <v/>
      </c>
      <c r="C1449">
        <f>IF($A1449="","",IF(ISNUMBER(Wages!$B1452),IF(AND(Wages!$B1452&gt;=10000101,Wages!$B1452&lt;=99991231),INT(Wages!$B1452/10000),""),IFERROR(VALUE(TRIM(LEFT(Wages!$B1452,FIND("/",Wages!$B1452)-1))),"")))</f>
        <v/>
      </c>
      <c r="D1449">
        <f>IF(OR($A1449="",$C1449=""),"",IF(ISNUMBER(Wages!$B1452),INT(MOD(Wages!$B1452,10000)/100),IFERROR(VALUE(TRIM(LEFT(MID(Wages!$B1452,FIND("/",Wages!$B1452)+1,20),FIND("/",MID(Wages!$B1452,FIND("/",Wages!$B1452)+1,20))-1))),"")))</f>
        <v/>
      </c>
      <c r="E1449">
        <f>IF(OR($A1449="",$C1449=""),"",IF(ISNUMBER(Wages!$B1452),MOD(Wages!$B1452,100),IFERROR(VALUE(TRIM(MID(MID(Wages!$B1452,FIND("/",Wages!$B1452)+1,20),FIND("/",MID(Wages!$B1452,FIND("/",Wages!$B1452)+1,20))+1,20))),"")))</f>
        <v/>
      </c>
      <c r="F1449">
        <f>IF($A1449="","",IF(OR($C1449="",$D1449="",$E1449="",$C1449&lt;1300,$C1449&gt;1500,$D1449&lt;1,$D1449&gt;12,$E1449&lt;1,$E1449&gt;31),"نامعتبر",RIGHT("0000"&amp;$C1449,4)&amp;"/"&amp;RIGHT("00"&amp;$D1449,2)&amp;"/"&amp;RIGHT("00"&amp;$E1449,2)))</f>
        <v/>
      </c>
      <c r="G1449">
        <f>IF(OR($A1449="",$F1449="",$F1449="نامعتبر"),"",LEFT($F1449,4)&amp;MID($F1449,6,2)&amp;RIGHT($F1449,2)&amp;"0000"&amp;"|"&amp;"1"&amp;RIGHT("00000"&amp;1444,5))</f>
        <v/>
      </c>
      <c r="H1449">
        <f>IF(OR($B1449&lt;&gt;1,$G1449=""),"",COUNTIFS(LdAParty,$A1449,LdAType,1,LdAKey,"&lt;"&amp;$G1449)+COUNTIFS(LdBMember,$A1449,LdBKey,"&lt;"&amp;$G1449)+COUNTIFS(LdCParty,$A1449,LdCKey,"&lt;"&amp;$G1449)+1)</f>
        <v/>
      </c>
      <c r="I1449">
        <f>IF($H1449="","",$A1449&amp;"|"&amp;RIGHT("000000"&amp;$H1449,6))</f>
        <v/>
      </c>
      <c r="J1449">
        <f>IF(OR($B1449&lt;&gt;2,$G1449=""),"",COUNTIFS(LdAParty,$A1449,LdAType,2,LdAKey,"&lt;"&amp;$G1449)+1)</f>
        <v/>
      </c>
      <c r="K1449">
        <f>IF($J1449="","",$A1449&amp;"|"&amp;RIGHT("000000"&amp;$J1449,6))</f>
        <v/>
      </c>
      <c r="L1449">
        <f>IF($A1449="","",IF(Wages!$G1452="",0,Wages!$G1452))</f>
        <v/>
      </c>
      <c r="M1449">
        <f>IF($A1449="","",Wages!$J1452)</f>
        <v/>
      </c>
      <c r="N1449">
        <f>IF($A1449="","",Wages!$D1452)</f>
        <v/>
      </c>
      <c r="P1449">
        <f>IF(OR(Shares!$B1452="",Shares!$C1452=""),"",Shares!$C1452)</f>
        <v/>
      </c>
      <c r="Q1449">
        <f>IF($P1449="","",Shares!$B1452)</f>
        <v/>
      </c>
      <c r="R1449">
        <f>IF($P1449="","",IFERROR(INDEX(WageParty,MATCH($Q1449,WageIds,0)),""))</f>
        <v/>
      </c>
      <c r="S1449">
        <f>IF($P1449="","",IFERROR(INDEX($F$6:$F$2005,MATCH($Q1449,WageIds,0)),""))</f>
        <v/>
      </c>
      <c r="T1449">
        <f>IF(OR($P1449="",$S1449="",$S1449="نامعتبر"),"",LEFT($S1449,4)&amp;MID($S1449,6,2)&amp;RIGHT($S1449,2)&amp;"0000"&amp;"|"&amp;"2"&amp;RIGHT("00000"&amp;1444,5))</f>
        <v/>
      </c>
      <c r="U1449">
        <f>IF($T1449="","",COUNTIFS(LdAParty,$P1449,LdAType,1,LdAKey,"&lt;"&amp;$T1449)+COUNTIFS(LdBMember,$P1449,LdBKey,"&lt;"&amp;$T1449)+COUNTIFS(LdCParty,$P1449,LdCKey,"&lt;"&amp;$T1449)+1)</f>
        <v/>
      </c>
      <c r="V1449">
        <f>IF($U1449="","",$P1449&amp;"|"&amp;RIGHT("000000"&amp;$U1449,6))</f>
        <v/>
      </c>
      <c r="W1449">
        <f>IF($T1449="","",COUNTIFS(LdBGroup,$R1449,LdBKey,"&lt;"&amp;$T1449)+1)</f>
        <v/>
      </c>
      <c r="X1449">
        <f>IF($W1449="","",$R1449&amp;"|"&amp;RIGHT("000000"&amp;$W1449,6))</f>
        <v/>
      </c>
      <c r="Y1449">
        <f>IF($P1449="","",IF(Shares!$E1452="",0,Shares!$E1452))</f>
        <v/>
      </c>
      <c r="Z1449">
        <f>IF($P1449="","",Shares!$H1452)</f>
        <v/>
      </c>
      <c r="AE1449">
        <f>IF(OR(Sync!$S1449="",Sync!$P1449=""),"",Sync!$S1449)</f>
        <v/>
      </c>
      <c r="AF1449">
        <f>IF($AE1449="","",IF(ISNUMBER(Sync!$P1449),IF(AND(Sync!$P1449&gt;=10000101,Sync!$P1449&lt;=99991231),INT(Sync!$P1449/10000),""),IFERROR(VALUE(TRIM(LEFT(Sync!$P1449,FIND("/",Sync!$P1449)-1))),"")))</f>
        <v/>
      </c>
      <c r="AG1449">
        <f>IF(OR($AE1449="",$AF1449=""),"",IF(ISNUMBER(Sync!$P1449),INT(MOD(Sync!$P1449,10000)/100),IFERROR(VALUE(TRIM(LEFT(MID(Sync!$P1449,FIND("/",Sync!$P1449)+1,20),FIND("/",MID(Sync!$P1449,FIND("/",Sync!$P1449)+1,20))-1))),"")))</f>
        <v/>
      </c>
      <c r="AH1449">
        <f>IF(OR($AE1449="",$AF1449=""),"",IF(ISNUMBER(Sync!$P1449),MOD(Sync!$P1449,100),IFERROR(VALUE(TRIM(MID(MID(Sync!$P1449,FIND("/",Sync!$P1449)+1,20),FIND("/",MID(Sync!$P1449,FIND("/",Sync!$P1449)+1,20))+1,20))),"")))</f>
        <v/>
      </c>
      <c r="AI1449">
        <f>IF($AE1449="","",IF(OR($AF1449="",$AG1449="",$AH1449="",$AF1449&lt;1300,$AF1449&gt;1500,$AG1449&lt;1,$AG1449&gt;12,$AH1449&lt;1,$AH1449&gt;31),"نامعتبر",RIGHT("0000"&amp;$AF1449,4)&amp;"/"&amp;RIGHT("00"&amp;$AG1449,2)&amp;"/"&amp;RIGHT("00"&amp;$AH1449,2)))</f>
        <v/>
      </c>
      <c r="AJ1449">
        <f>IF($AE1449="","",IF(Sync!$Q1449="","0000",IF(AND(ISNUMBER(Sync!$Q1449),Sync!$Q1449&gt;=0,Sync!$Q1449&lt;1),RIGHT("00"&amp;HOUR(Sync!$Q1449),2)&amp;RIGHT("00"&amp;MINUTE(Sync!$Q1449),2),IFERROR(RIGHT("00"&amp;VALUE(LEFT(Sync!$Q1449,FIND(":",Sync!$Q1449)-1)),2)&amp;RIGHT("00"&amp;VALUE(MID(Sync!$Q1449,FIND(":",Sync!$Q1449)+1,2)),2),"0000"))))</f>
        <v/>
      </c>
      <c r="AK1449">
        <f>IF(OR($AE1449="",$AI1449="",$AI1449="نامعتبر"),"",LEFT($AI1449,4)&amp;MID($AI1449,6,2)&amp;RIGHT($AI1449,2)&amp;$AJ1449&amp;"|"&amp;"3"&amp;RIGHT("00000"&amp;1444,5))</f>
        <v/>
      </c>
      <c r="AL1449">
        <f>IF($AK1449="","",COUNTIFS(LdAParty,$AE1449,LdAType,1,LdAKey,"&lt;"&amp;$AK1449)+COUNTIFS(LdBMember,$AE1449,LdBKey,"&lt;"&amp;$AK1449)+COUNTIFS(LdCParty,$AE1449,LdCKey,"&lt;"&amp;$AK1449)+1)</f>
        <v/>
      </c>
      <c r="AM1449">
        <f>IF($AL1449="","",$AE1449&amp;"|"&amp;RIGHT("000000"&amp;$AL1449,6))</f>
        <v/>
      </c>
      <c r="AN1449">
        <f>IF($AE1449="","",IF(Sync!$W1449="",0,Sync!$W1449))</f>
        <v/>
      </c>
      <c r="AO1449">
        <f>IF($AE1449="","",IF(Sync!$X1449="",0,Sync!$X1449))</f>
        <v/>
      </c>
      <c r="AP1449">
        <f>IF($AE1449="","",Sync!$R1449)</f>
        <v/>
      </c>
      <c r="AQ1449">
        <f>IF($AE1449="","",Sync!$Y1449)</f>
        <v/>
      </c>
    </row>
    <row r="1450">
      <c r="A1450">
        <f>IF(OR(Wages!$B1453="",Wages!$E1453=""),"",Wages!$E1453)</f>
        <v/>
      </c>
      <c r="B1450">
        <f>IF($A1450="","",IF(Wages!$C1453="دستمزد گروهی",2,1))</f>
        <v/>
      </c>
      <c r="C1450">
        <f>IF($A1450="","",IF(ISNUMBER(Wages!$B1453),IF(AND(Wages!$B1453&gt;=10000101,Wages!$B1453&lt;=99991231),INT(Wages!$B1453/10000),""),IFERROR(VALUE(TRIM(LEFT(Wages!$B1453,FIND("/",Wages!$B1453)-1))),"")))</f>
        <v/>
      </c>
      <c r="D1450">
        <f>IF(OR($A1450="",$C1450=""),"",IF(ISNUMBER(Wages!$B1453),INT(MOD(Wages!$B1453,10000)/100),IFERROR(VALUE(TRIM(LEFT(MID(Wages!$B1453,FIND("/",Wages!$B1453)+1,20),FIND("/",MID(Wages!$B1453,FIND("/",Wages!$B1453)+1,20))-1))),"")))</f>
        <v/>
      </c>
      <c r="E1450">
        <f>IF(OR($A1450="",$C1450=""),"",IF(ISNUMBER(Wages!$B1453),MOD(Wages!$B1453,100),IFERROR(VALUE(TRIM(MID(MID(Wages!$B1453,FIND("/",Wages!$B1453)+1,20),FIND("/",MID(Wages!$B1453,FIND("/",Wages!$B1453)+1,20))+1,20))),"")))</f>
        <v/>
      </c>
      <c r="F1450">
        <f>IF($A1450="","",IF(OR($C1450="",$D1450="",$E1450="",$C1450&lt;1300,$C1450&gt;1500,$D1450&lt;1,$D1450&gt;12,$E1450&lt;1,$E1450&gt;31),"نامعتبر",RIGHT("0000"&amp;$C1450,4)&amp;"/"&amp;RIGHT("00"&amp;$D1450,2)&amp;"/"&amp;RIGHT("00"&amp;$E1450,2)))</f>
        <v/>
      </c>
      <c r="G1450">
        <f>IF(OR($A1450="",$F1450="",$F1450="نامعتبر"),"",LEFT($F1450,4)&amp;MID($F1450,6,2)&amp;RIGHT($F1450,2)&amp;"0000"&amp;"|"&amp;"1"&amp;RIGHT("00000"&amp;1445,5))</f>
        <v/>
      </c>
      <c r="H1450">
        <f>IF(OR($B1450&lt;&gt;1,$G1450=""),"",COUNTIFS(LdAParty,$A1450,LdAType,1,LdAKey,"&lt;"&amp;$G1450)+COUNTIFS(LdBMember,$A1450,LdBKey,"&lt;"&amp;$G1450)+COUNTIFS(LdCParty,$A1450,LdCKey,"&lt;"&amp;$G1450)+1)</f>
        <v/>
      </c>
      <c r="I1450">
        <f>IF($H1450="","",$A1450&amp;"|"&amp;RIGHT("000000"&amp;$H1450,6))</f>
        <v/>
      </c>
      <c r="J1450">
        <f>IF(OR($B1450&lt;&gt;2,$G1450=""),"",COUNTIFS(LdAParty,$A1450,LdAType,2,LdAKey,"&lt;"&amp;$G1450)+1)</f>
        <v/>
      </c>
      <c r="K1450">
        <f>IF($J1450="","",$A1450&amp;"|"&amp;RIGHT("000000"&amp;$J1450,6))</f>
        <v/>
      </c>
      <c r="L1450">
        <f>IF($A1450="","",IF(Wages!$G1453="",0,Wages!$G1453))</f>
        <v/>
      </c>
      <c r="M1450">
        <f>IF($A1450="","",Wages!$J1453)</f>
        <v/>
      </c>
      <c r="N1450">
        <f>IF($A1450="","",Wages!$D1453)</f>
        <v/>
      </c>
      <c r="P1450">
        <f>IF(OR(Shares!$B1453="",Shares!$C1453=""),"",Shares!$C1453)</f>
        <v/>
      </c>
      <c r="Q1450">
        <f>IF($P1450="","",Shares!$B1453)</f>
        <v/>
      </c>
      <c r="R1450">
        <f>IF($P1450="","",IFERROR(INDEX(WageParty,MATCH($Q1450,WageIds,0)),""))</f>
        <v/>
      </c>
      <c r="S1450">
        <f>IF($P1450="","",IFERROR(INDEX($F$6:$F$2005,MATCH($Q1450,WageIds,0)),""))</f>
        <v/>
      </c>
      <c r="T1450">
        <f>IF(OR($P1450="",$S1450="",$S1450="نامعتبر"),"",LEFT($S1450,4)&amp;MID($S1450,6,2)&amp;RIGHT($S1450,2)&amp;"0000"&amp;"|"&amp;"2"&amp;RIGHT("00000"&amp;1445,5))</f>
        <v/>
      </c>
      <c r="U1450">
        <f>IF($T1450="","",COUNTIFS(LdAParty,$P1450,LdAType,1,LdAKey,"&lt;"&amp;$T1450)+COUNTIFS(LdBMember,$P1450,LdBKey,"&lt;"&amp;$T1450)+COUNTIFS(LdCParty,$P1450,LdCKey,"&lt;"&amp;$T1450)+1)</f>
        <v/>
      </c>
      <c r="V1450">
        <f>IF($U1450="","",$P1450&amp;"|"&amp;RIGHT("000000"&amp;$U1450,6))</f>
        <v/>
      </c>
      <c r="W1450">
        <f>IF($T1450="","",COUNTIFS(LdBGroup,$R1450,LdBKey,"&lt;"&amp;$T1450)+1)</f>
        <v/>
      </c>
      <c r="X1450">
        <f>IF($W1450="","",$R1450&amp;"|"&amp;RIGHT("000000"&amp;$W1450,6))</f>
        <v/>
      </c>
      <c r="Y1450">
        <f>IF($P1450="","",IF(Shares!$E1453="",0,Shares!$E1453))</f>
        <v/>
      </c>
      <c r="Z1450">
        <f>IF($P1450="","",Shares!$H1453)</f>
        <v/>
      </c>
      <c r="AE1450">
        <f>IF(OR(Sync!$S1450="",Sync!$P1450=""),"",Sync!$S1450)</f>
        <v/>
      </c>
      <c r="AF1450">
        <f>IF($AE1450="","",IF(ISNUMBER(Sync!$P1450),IF(AND(Sync!$P1450&gt;=10000101,Sync!$P1450&lt;=99991231),INT(Sync!$P1450/10000),""),IFERROR(VALUE(TRIM(LEFT(Sync!$P1450,FIND("/",Sync!$P1450)-1))),"")))</f>
        <v/>
      </c>
      <c r="AG1450">
        <f>IF(OR($AE1450="",$AF1450=""),"",IF(ISNUMBER(Sync!$P1450),INT(MOD(Sync!$P1450,10000)/100),IFERROR(VALUE(TRIM(LEFT(MID(Sync!$P1450,FIND("/",Sync!$P1450)+1,20),FIND("/",MID(Sync!$P1450,FIND("/",Sync!$P1450)+1,20))-1))),"")))</f>
        <v/>
      </c>
      <c r="AH1450">
        <f>IF(OR($AE1450="",$AF1450=""),"",IF(ISNUMBER(Sync!$P1450),MOD(Sync!$P1450,100),IFERROR(VALUE(TRIM(MID(MID(Sync!$P1450,FIND("/",Sync!$P1450)+1,20),FIND("/",MID(Sync!$P1450,FIND("/",Sync!$P1450)+1,20))+1,20))),"")))</f>
        <v/>
      </c>
      <c r="AI1450">
        <f>IF($AE1450="","",IF(OR($AF1450="",$AG1450="",$AH1450="",$AF1450&lt;1300,$AF1450&gt;1500,$AG1450&lt;1,$AG1450&gt;12,$AH1450&lt;1,$AH1450&gt;31),"نامعتبر",RIGHT("0000"&amp;$AF1450,4)&amp;"/"&amp;RIGHT("00"&amp;$AG1450,2)&amp;"/"&amp;RIGHT("00"&amp;$AH1450,2)))</f>
        <v/>
      </c>
      <c r="AJ1450">
        <f>IF($AE1450="","",IF(Sync!$Q1450="","0000",IF(AND(ISNUMBER(Sync!$Q1450),Sync!$Q1450&gt;=0,Sync!$Q1450&lt;1),RIGHT("00"&amp;HOUR(Sync!$Q1450),2)&amp;RIGHT("00"&amp;MINUTE(Sync!$Q1450),2),IFERROR(RIGHT("00"&amp;VALUE(LEFT(Sync!$Q1450,FIND(":",Sync!$Q1450)-1)),2)&amp;RIGHT("00"&amp;VALUE(MID(Sync!$Q1450,FIND(":",Sync!$Q1450)+1,2)),2),"0000"))))</f>
        <v/>
      </c>
      <c r="AK1450">
        <f>IF(OR($AE1450="",$AI1450="",$AI1450="نامعتبر"),"",LEFT($AI1450,4)&amp;MID($AI1450,6,2)&amp;RIGHT($AI1450,2)&amp;$AJ1450&amp;"|"&amp;"3"&amp;RIGHT("00000"&amp;1445,5))</f>
        <v/>
      </c>
      <c r="AL1450">
        <f>IF($AK1450="","",COUNTIFS(LdAParty,$AE1450,LdAType,1,LdAKey,"&lt;"&amp;$AK1450)+COUNTIFS(LdBMember,$AE1450,LdBKey,"&lt;"&amp;$AK1450)+COUNTIFS(LdCParty,$AE1450,LdCKey,"&lt;"&amp;$AK1450)+1)</f>
        <v/>
      </c>
      <c r="AM1450">
        <f>IF($AL1450="","",$AE1450&amp;"|"&amp;RIGHT("000000"&amp;$AL1450,6))</f>
        <v/>
      </c>
      <c r="AN1450">
        <f>IF($AE1450="","",IF(Sync!$W1450="",0,Sync!$W1450))</f>
        <v/>
      </c>
      <c r="AO1450">
        <f>IF($AE1450="","",IF(Sync!$X1450="",0,Sync!$X1450))</f>
        <v/>
      </c>
      <c r="AP1450">
        <f>IF($AE1450="","",Sync!$R1450)</f>
        <v/>
      </c>
      <c r="AQ1450">
        <f>IF($AE1450="","",Sync!$Y1450)</f>
        <v/>
      </c>
    </row>
    <row r="1451">
      <c r="A1451">
        <f>IF(OR(Wages!$B1454="",Wages!$E1454=""),"",Wages!$E1454)</f>
        <v/>
      </c>
      <c r="B1451">
        <f>IF($A1451="","",IF(Wages!$C1454="دستمزد گروهی",2,1))</f>
        <v/>
      </c>
      <c r="C1451">
        <f>IF($A1451="","",IF(ISNUMBER(Wages!$B1454),IF(AND(Wages!$B1454&gt;=10000101,Wages!$B1454&lt;=99991231),INT(Wages!$B1454/10000),""),IFERROR(VALUE(TRIM(LEFT(Wages!$B1454,FIND("/",Wages!$B1454)-1))),"")))</f>
        <v/>
      </c>
      <c r="D1451">
        <f>IF(OR($A1451="",$C1451=""),"",IF(ISNUMBER(Wages!$B1454),INT(MOD(Wages!$B1454,10000)/100),IFERROR(VALUE(TRIM(LEFT(MID(Wages!$B1454,FIND("/",Wages!$B1454)+1,20),FIND("/",MID(Wages!$B1454,FIND("/",Wages!$B1454)+1,20))-1))),"")))</f>
        <v/>
      </c>
      <c r="E1451">
        <f>IF(OR($A1451="",$C1451=""),"",IF(ISNUMBER(Wages!$B1454),MOD(Wages!$B1454,100),IFERROR(VALUE(TRIM(MID(MID(Wages!$B1454,FIND("/",Wages!$B1454)+1,20),FIND("/",MID(Wages!$B1454,FIND("/",Wages!$B1454)+1,20))+1,20))),"")))</f>
        <v/>
      </c>
      <c r="F1451">
        <f>IF($A1451="","",IF(OR($C1451="",$D1451="",$E1451="",$C1451&lt;1300,$C1451&gt;1500,$D1451&lt;1,$D1451&gt;12,$E1451&lt;1,$E1451&gt;31),"نامعتبر",RIGHT("0000"&amp;$C1451,4)&amp;"/"&amp;RIGHT("00"&amp;$D1451,2)&amp;"/"&amp;RIGHT("00"&amp;$E1451,2)))</f>
        <v/>
      </c>
      <c r="G1451">
        <f>IF(OR($A1451="",$F1451="",$F1451="نامعتبر"),"",LEFT($F1451,4)&amp;MID($F1451,6,2)&amp;RIGHT($F1451,2)&amp;"0000"&amp;"|"&amp;"1"&amp;RIGHT("00000"&amp;1446,5))</f>
        <v/>
      </c>
      <c r="H1451">
        <f>IF(OR($B1451&lt;&gt;1,$G1451=""),"",COUNTIFS(LdAParty,$A1451,LdAType,1,LdAKey,"&lt;"&amp;$G1451)+COUNTIFS(LdBMember,$A1451,LdBKey,"&lt;"&amp;$G1451)+COUNTIFS(LdCParty,$A1451,LdCKey,"&lt;"&amp;$G1451)+1)</f>
        <v/>
      </c>
      <c r="I1451">
        <f>IF($H1451="","",$A1451&amp;"|"&amp;RIGHT("000000"&amp;$H1451,6))</f>
        <v/>
      </c>
      <c r="J1451">
        <f>IF(OR($B1451&lt;&gt;2,$G1451=""),"",COUNTIFS(LdAParty,$A1451,LdAType,2,LdAKey,"&lt;"&amp;$G1451)+1)</f>
        <v/>
      </c>
      <c r="K1451">
        <f>IF($J1451="","",$A1451&amp;"|"&amp;RIGHT("000000"&amp;$J1451,6))</f>
        <v/>
      </c>
      <c r="L1451">
        <f>IF($A1451="","",IF(Wages!$G1454="",0,Wages!$G1454))</f>
        <v/>
      </c>
      <c r="M1451">
        <f>IF($A1451="","",Wages!$J1454)</f>
        <v/>
      </c>
      <c r="N1451">
        <f>IF($A1451="","",Wages!$D1454)</f>
        <v/>
      </c>
      <c r="P1451">
        <f>IF(OR(Shares!$B1454="",Shares!$C1454=""),"",Shares!$C1454)</f>
        <v/>
      </c>
      <c r="Q1451">
        <f>IF($P1451="","",Shares!$B1454)</f>
        <v/>
      </c>
      <c r="R1451">
        <f>IF($P1451="","",IFERROR(INDEX(WageParty,MATCH($Q1451,WageIds,0)),""))</f>
        <v/>
      </c>
      <c r="S1451">
        <f>IF($P1451="","",IFERROR(INDEX($F$6:$F$2005,MATCH($Q1451,WageIds,0)),""))</f>
        <v/>
      </c>
      <c r="T1451">
        <f>IF(OR($P1451="",$S1451="",$S1451="نامعتبر"),"",LEFT($S1451,4)&amp;MID($S1451,6,2)&amp;RIGHT($S1451,2)&amp;"0000"&amp;"|"&amp;"2"&amp;RIGHT("00000"&amp;1446,5))</f>
        <v/>
      </c>
      <c r="U1451">
        <f>IF($T1451="","",COUNTIFS(LdAParty,$P1451,LdAType,1,LdAKey,"&lt;"&amp;$T1451)+COUNTIFS(LdBMember,$P1451,LdBKey,"&lt;"&amp;$T1451)+COUNTIFS(LdCParty,$P1451,LdCKey,"&lt;"&amp;$T1451)+1)</f>
        <v/>
      </c>
      <c r="V1451">
        <f>IF($U1451="","",$P1451&amp;"|"&amp;RIGHT("000000"&amp;$U1451,6))</f>
        <v/>
      </c>
      <c r="W1451">
        <f>IF($T1451="","",COUNTIFS(LdBGroup,$R1451,LdBKey,"&lt;"&amp;$T1451)+1)</f>
        <v/>
      </c>
      <c r="X1451">
        <f>IF($W1451="","",$R1451&amp;"|"&amp;RIGHT("000000"&amp;$W1451,6))</f>
        <v/>
      </c>
      <c r="Y1451">
        <f>IF($P1451="","",IF(Shares!$E1454="",0,Shares!$E1454))</f>
        <v/>
      </c>
      <c r="Z1451">
        <f>IF($P1451="","",Shares!$H1454)</f>
        <v/>
      </c>
      <c r="AE1451">
        <f>IF(OR(Sync!$S1451="",Sync!$P1451=""),"",Sync!$S1451)</f>
        <v/>
      </c>
      <c r="AF1451">
        <f>IF($AE1451="","",IF(ISNUMBER(Sync!$P1451),IF(AND(Sync!$P1451&gt;=10000101,Sync!$P1451&lt;=99991231),INT(Sync!$P1451/10000),""),IFERROR(VALUE(TRIM(LEFT(Sync!$P1451,FIND("/",Sync!$P1451)-1))),"")))</f>
        <v/>
      </c>
      <c r="AG1451">
        <f>IF(OR($AE1451="",$AF1451=""),"",IF(ISNUMBER(Sync!$P1451),INT(MOD(Sync!$P1451,10000)/100),IFERROR(VALUE(TRIM(LEFT(MID(Sync!$P1451,FIND("/",Sync!$P1451)+1,20),FIND("/",MID(Sync!$P1451,FIND("/",Sync!$P1451)+1,20))-1))),"")))</f>
        <v/>
      </c>
      <c r="AH1451">
        <f>IF(OR($AE1451="",$AF1451=""),"",IF(ISNUMBER(Sync!$P1451),MOD(Sync!$P1451,100),IFERROR(VALUE(TRIM(MID(MID(Sync!$P1451,FIND("/",Sync!$P1451)+1,20),FIND("/",MID(Sync!$P1451,FIND("/",Sync!$P1451)+1,20))+1,20))),"")))</f>
        <v/>
      </c>
      <c r="AI1451">
        <f>IF($AE1451="","",IF(OR($AF1451="",$AG1451="",$AH1451="",$AF1451&lt;1300,$AF1451&gt;1500,$AG1451&lt;1,$AG1451&gt;12,$AH1451&lt;1,$AH1451&gt;31),"نامعتبر",RIGHT("0000"&amp;$AF1451,4)&amp;"/"&amp;RIGHT("00"&amp;$AG1451,2)&amp;"/"&amp;RIGHT("00"&amp;$AH1451,2)))</f>
        <v/>
      </c>
      <c r="AJ1451">
        <f>IF($AE1451="","",IF(Sync!$Q1451="","0000",IF(AND(ISNUMBER(Sync!$Q1451),Sync!$Q1451&gt;=0,Sync!$Q1451&lt;1),RIGHT("00"&amp;HOUR(Sync!$Q1451),2)&amp;RIGHT("00"&amp;MINUTE(Sync!$Q1451),2),IFERROR(RIGHT("00"&amp;VALUE(LEFT(Sync!$Q1451,FIND(":",Sync!$Q1451)-1)),2)&amp;RIGHT("00"&amp;VALUE(MID(Sync!$Q1451,FIND(":",Sync!$Q1451)+1,2)),2),"0000"))))</f>
        <v/>
      </c>
      <c r="AK1451">
        <f>IF(OR($AE1451="",$AI1451="",$AI1451="نامعتبر"),"",LEFT($AI1451,4)&amp;MID($AI1451,6,2)&amp;RIGHT($AI1451,2)&amp;$AJ1451&amp;"|"&amp;"3"&amp;RIGHT("00000"&amp;1446,5))</f>
        <v/>
      </c>
      <c r="AL1451">
        <f>IF($AK1451="","",COUNTIFS(LdAParty,$AE1451,LdAType,1,LdAKey,"&lt;"&amp;$AK1451)+COUNTIFS(LdBMember,$AE1451,LdBKey,"&lt;"&amp;$AK1451)+COUNTIFS(LdCParty,$AE1451,LdCKey,"&lt;"&amp;$AK1451)+1)</f>
        <v/>
      </c>
      <c r="AM1451">
        <f>IF($AL1451="","",$AE1451&amp;"|"&amp;RIGHT("000000"&amp;$AL1451,6))</f>
        <v/>
      </c>
      <c r="AN1451">
        <f>IF($AE1451="","",IF(Sync!$W1451="",0,Sync!$W1451))</f>
        <v/>
      </c>
      <c r="AO1451">
        <f>IF($AE1451="","",IF(Sync!$X1451="",0,Sync!$X1451))</f>
        <v/>
      </c>
      <c r="AP1451">
        <f>IF($AE1451="","",Sync!$R1451)</f>
        <v/>
      </c>
      <c r="AQ1451">
        <f>IF($AE1451="","",Sync!$Y1451)</f>
        <v/>
      </c>
    </row>
    <row r="1452">
      <c r="A1452">
        <f>IF(OR(Wages!$B1455="",Wages!$E1455=""),"",Wages!$E1455)</f>
        <v/>
      </c>
      <c r="B1452">
        <f>IF($A1452="","",IF(Wages!$C1455="دستمزد گروهی",2,1))</f>
        <v/>
      </c>
      <c r="C1452">
        <f>IF($A1452="","",IF(ISNUMBER(Wages!$B1455),IF(AND(Wages!$B1455&gt;=10000101,Wages!$B1455&lt;=99991231),INT(Wages!$B1455/10000),""),IFERROR(VALUE(TRIM(LEFT(Wages!$B1455,FIND("/",Wages!$B1455)-1))),"")))</f>
        <v/>
      </c>
      <c r="D1452">
        <f>IF(OR($A1452="",$C1452=""),"",IF(ISNUMBER(Wages!$B1455),INT(MOD(Wages!$B1455,10000)/100),IFERROR(VALUE(TRIM(LEFT(MID(Wages!$B1455,FIND("/",Wages!$B1455)+1,20),FIND("/",MID(Wages!$B1455,FIND("/",Wages!$B1455)+1,20))-1))),"")))</f>
        <v/>
      </c>
      <c r="E1452">
        <f>IF(OR($A1452="",$C1452=""),"",IF(ISNUMBER(Wages!$B1455),MOD(Wages!$B1455,100),IFERROR(VALUE(TRIM(MID(MID(Wages!$B1455,FIND("/",Wages!$B1455)+1,20),FIND("/",MID(Wages!$B1455,FIND("/",Wages!$B1455)+1,20))+1,20))),"")))</f>
        <v/>
      </c>
      <c r="F1452">
        <f>IF($A1452="","",IF(OR($C1452="",$D1452="",$E1452="",$C1452&lt;1300,$C1452&gt;1500,$D1452&lt;1,$D1452&gt;12,$E1452&lt;1,$E1452&gt;31),"نامعتبر",RIGHT("0000"&amp;$C1452,4)&amp;"/"&amp;RIGHT("00"&amp;$D1452,2)&amp;"/"&amp;RIGHT("00"&amp;$E1452,2)))</f>
        <v/>
      </c>
      <c r="G1452">
        <f>IF(OR($A1452="",$F1452="",$F1452="نامعتبر"),"",LEFT($F1452,4)&amp;MID($F1452,6,2)&amp;RIGHT($F1452,2)&amp;"0000"&amp;"|"&amp;"1"&amp;RIGHT("00000"&amp;1447,5))</f>
        <v/>
      </c>
      <c r="H1452">
        <f>IF(OR($B1452&lt;&gt;1,$G1452=""),"",COUNTIFS(LdAParty,$A1452,LdAType,1,LdAKey,"&lt;"&amp;$G1452)+COUNTIFS(LdBMember,$A1452,LdBKey,"&lt;"&amp;$G1452)+COUNTIFS(LdCParty,$A1452,LdCKey,"&lt;"&amp;$G1452)+1)</f>
        <v/>
      </c>
      <c r="I1452">
        <f>IF($H1452="","",$A1452&amp;"|"&amp;RIGHT("000000"&amp;$H1452,6))</f>
        <v/>
      </c>
      <c r="J1452">
        <f>IF(OR($B1452&lt;&gt;2,$G1452=""),"",COUNTIFS(LdAParty,$A1452,LdAType,2,LdAKey,"&lt;"&amp;$G1452)+1)</f>
        <v/>
      </c>
      <c r="K1452">
        <f>IF($J1452="","",$A1452&amp;"|"&amp;RIGHT("000000"&amp;$J1452,6))</f>
        <v/>
      </c>
      <c r="L1452">
        <f>IF($A1452="","",IF(Wages!$G1455="",0,Wages!$G1455))</f>
        <v/>
      </c>
      <c r="M1452">
        <f>IF($A1452="","",Wages!$J1455)</f>
        <v/>
      </c>
      <c r="N1452">
        <f>IF($A1452="","",Wages!$D1455)</f>
        <v/>
      </c>
      <c r="P1452">
        <f>IF(OR(Shares!$B1455="",Shares!$C1455=""),"",Shares!$C1455)</f>
        <v/>
      </c>
      <c r="Q1452">
        <f>IF($P1452="","",Shares!$B1455)</f>
        <v/>
      </c>
      <c r="R1452">
        <f>IF($P1452="","",IFERROR(INDEX(WageParty,MATCH($Q1452,WageIds,0)),""))</f>
        <v/>
      </c>
      <c r="S1452">
        <f>IF($P1452="","",IFERROR(INDEX($F$6:$F$2005,MATCH($Q1452,WageIds,0)),""))</f>
        <v/>
      </c>
      <c r="T1452">
        <f>IF(OR($P1452="",$S1452="",$S1452="نامعتبر"),"",LEFT($S1452,4)&amp;MID($S1452,6,2)&amp;RIGHT($S1452,2)&amp;"0000"&amp;"|"&amp;"2"&amp;RIGHT("00000"&amp;1447,5))</f>
        <v/>
      </c>
      <c r="U1452">
        <f>IF($T1452="","",COUNTIFS(LdAParty,$P1452,LdAType,1,LdAKey,"&lt;"&amp;$T1452)+COUNTIFS(LdBMember,$P1452,LdBKey,"&lt;"&amp;$T1452)+COUNTIFS(LdCParty,$P1452,LdCKey,"&lt;"&amp;$T1452)+1)</f>
        <v/>
      </c>
      <c r="V1452">
        <f>IF($U1452="","",$P1452&amp;"|"&amp;RIGHT("000000"&amp;$U1452,6))</f>
        <v/>
      </c>
      <c r="W1452">
        <f>IF($T1452="","",COUNTIFS(LdBGroup,$R1452,LdBKey,"&lt;"&amp;$T1452)+1)</f>
        <v/>
      </c>
      <c r="X1452">
        <f>IF($W1452="","",$R1452&amp;"|"&amp;RIGHT("000000"&amp;$W1452,6))</f>
        <v/>
      </c>
      <c r="Y1452">
        <f>IF($P1452="","",IF(Shares!$E1455="",0,Shares!$E1455))</f>
        <v/>
      </c>
      <c r="Z1452">
        <f>IF($P1452="","",Shares!$H1455)</f>
        <v/>
      </c>
      <c r="AE1452">
        <f>IF(OR(Sync!$S1452="",Sync!$P1452=""),"",Sync!$S1452)</f>
        <v/>
      </c>
      <c r="AF1452">
        <f>IF($AE1452="","",IF(ISNUMBER(Sync!$P1452),IF(AND(Sync!$P1452&gt;=10000101,Sync!$P1452&lt;=99991231),INT(Sync!$P1452/10000),""),IFERROR(VALUE(TRIM(LEFT(Sync!$P1452,FIND("/",Sync!$P1452)-1))),"")))</f>
        <v/>
      </c>
      <c r="AG1452">
        <f>IF(OR($AE1452="",$AF1452=""),"",IF(ISNUMBER(Sync!$P1452),INT(MOD(Sync!$P1452,10000)/100),IFERROR(VALUE(TRIM(LEFT(MID(Sync!$P1452,FIND("/",Sync!$P1452)+1,20),FIND("/",MID(Sync!$P1452,FIND("/",Sync!$P1452)+1,20))-1))),"")))</f>
        <v/>
      </c>
      <c r="AH1452">
        <f>IF(OR($AE1452="",$AF1452=""),"",IF(ISNUMBER(Sync!$P1452),MOD(Sync!$P1452,100),IFERROR(VALUE(TRIM(MID(MID(Sync!$P1452,FIND("/",Sync!$P1452)+1,20),FIND("/",MID(Sync!$P1452,FIND("/",Sync!$P1452)+1,20))+1,20))),"")))</f>
        <v/>
      </c>
      <c r="AI1452">
        <f>IF($AE1452="","",IF(OR($AF1452="",$AG1452="",$AH1452="",$AF1452&lt;1300,$AF1452&gt;1500,$AG1452&lt;1,$AG1452&gt;12,$AH1452&lt;1,$AH1452&gt;31),"نامعتبر",RIGHT("0000"&amp;$AF1452,4)&amp;"/"&amp;RIGHT("00"&amp;$AG1452,2)&amp;"/"&amp;RIGHT("00"&amp;$AH1452,2)))</f>
        <v/>
      </c>
      <c r="AJ1452">
        <f>IF($AE1452="","",IF(Sync!$Q1452="","0000",IF(AND(ISNUMBER(Sync!$Q1452),Sync!$Q1452&gt;=0,Sync!$Q1452&lt;1),RIGHT("00"&amp;HOUR(Sync!$Q1452),2)&amp;RIGHT("00"&amp;MINUTE(Sync!$Q1452),2),IFERROR(RIGHT("00"&amp;VALUE(LEFT(Sync!$Q1452,FIND(":",Sync!$Q1452)-1)),2)&amp;RIGHT("00"&amp;VALUE(MID(Sync!$Q1452,FIND(":",Sync!$Q1452)+1,2)),2),"0000"))))</f>
        <v/>
      </c>
      <c r="AK1452">
        <f>IF(OR($AE1452="",$AI1452="",$AI1452="نامعتبر"),"",LEFT($AI1452,4)&amp;MID($AI1452,6,2)&amp;RIGHT($AI1452,2)&amp;$AJ1452&amp;"|"&amp;"3"&amp;RIGHT("00000"&amp;1447,5))</f>
        <v/>
      </c>
      <c r="AL1452">
        <f>IF($AK1452="","",COUNTIFS(LdAParty,$AE1452,LdAType,1,LdAKey,"&lt;"&amp;$AK1452)+COUNTIFS(LdBMember,$AE1452,LdBKey,"&lt;"&amp;$AK1452)+COUNTIFS(LdCParty,$AE1452,LdCKey,"&lt;"&amp;$AK1452)+1)</f>
        <v/>
      </c>
      <c r="AM1452">
        <f>IF($AL1452="","",$AE1452&amp;"|"&amp;RIGHT("000000"&amp;$AL1452,6))</f>
        <v/>
      </c>
      <c r="AN1452">
        <f>IF($AE1452="","",IF(Sync!$W1452="",0,Sync!$W1452))</f>
        <v/>
      </c>
      <c r="AO1452">
        <f>IF($AE1452="","",IF(Sync!$X1452="",0,Sync!$X1452))</f>
        <v/>
      </c>
      <c r="AP1452">
        <f>IF($AE1452="","",Sync!$R1452)</f>
        <v/>
      </c>
      <c r="AQ1452">
        <f>IF($AE1452="","",Sync!$Y1452)</f>
        <v/>
      </c>
    </row>
    <row r="1453">
      <c r="A1453">
        <f>IF(OR(Wages!$B1456="",Wages!$E1456=""),"",Wages!$E1456)</f>
        <v/>
      </c>
      <c r="B1453">
        <f>IF($A1453="","",IF(Wages!$C1456="دستمزد گروهی",2,1))</f>
        <v/>
      </c>
      <c r="C1453">
        <f>IF($A1453="","",IF(ISNUMBER(Wages!$B1456),IF(AND(Wages!$B1456&gt;=10000101,Wages!$B1456&lt;=99991231),INT(Wages!$B1456/10000),""),IFERROR(VALUE(TRIM(LEFT(Wages!$B1456,FIND("/",Wages!$B1456)-1))),"")))</f>
        <v/>
      </c>
      <c r="D1453">
        <f>IF(OR($A1453="",$C1453=""),"",IF(ISNUMBER(Wages!$B1456),INT(MOD(Wages!$B1456,10000)/100),IFERROR(VALUE(TRIM(LEFT(MID(Wages!$B1456,FIND("/",Wages!$B1456)+1,20),FIND("/",MID(Wages!$B1456,FIND("/",Wages!$B1456)+1,20))-1))),"")))</f>
        <v/>
      </c>
      <c r="E1453">
        <f>IF(OR($A1453="",$C1453=""),"",IF(ISNUMBER(Wages!$B1456),MOD(Wages!$B1456,100),IFERROR(VALUE(TRIM(MID(MID(Wages!$B1456,FIND("/",Wages!$B1456)+1,20),FIND("/",MID(Wages!$B1456,FIND("/",Wages!$B1456)+1,20))+1,20))),"")))</f>
        <v/>
      </c>
      <c r="F1453">
        <f>IF($A1453="","",IF(OR($C1453="",$D1453="",$E1453="",$C1453&lt;1300,$C1453&gt;1500,$D1453&lt;1,$D1453&gt;12,$E1453&lt;1,$E1453&gt;31),"نامعتبر",RIGHT("0000"&amp;$C1453,4)&amp;"/"&amp;RIGHT("00"&amp;$D1453,2)&amp;"/"&amp;RIGHT("00"&amp;$E1453,2)))</f>
        <v/>
      </c>
      <c r="G1453">
        <f>IF(OR($A1453="",$F1453="",$F1453="نامعتبر"),"",LEFT($F1453,4)&amp;MID($F1453,6,2)&amp;RIGHT($F1453,2)&amp;"0000"&amp;"|"&amp;"1"&amp;RIGHT("00000"&amp;1448,5))</f>
        <v/>
      </c>
      <c r="H1453">
        <f>IF(OR($B1453&lt;&gt;1,$G1453=""),"",COUNTIFS(LdAParty,$A1453,LdAType,1,LdAKey,"&lt;"&amp;$G1453)+COUNTIFS(LdBMember,$A1453,LdBKey,"&lt;"&amp;$G1453)+COUNTIFS(LdCParty,$A1453,LdCKey,"&lt;"&amp;$G1453)+1)</f>
        <v/>
      </c>
      <c r="I1453">
        <f>IF($H1453="","",$A1453&amp;"|"&amp;RIGHT("000000"&amp;$H1453,6))</f>
        <v/>
      </c>
      <c r="J1453">
        <f>IF(OR($B1453&lt;&gt;2,$G1453=""),"",COUNTIFS(LdAParty,$A1453,LdAType,2,LdAKey,"&lt;"&amp;$G1453)+1)</f>
        <v/>
      </c>
      <c r="K1453">
        <f>IF($J1453="","",$A1453&amp;"|"&amp;RIGHT("000000"&amp;$J1453,6))</f>
        <v/>
      </c>
      <c r="L1453">
        <f>IF($A1453="","",IF(Wages!$G1456="",0,Wages!$G1456))</f>
        <v/>
      </c>
      <c r="M1453">
        <f>IF($A1453="","",Wages!$J1456)</f>
        <v/>
      </c>
      <c r="N1453">
        <f>IF($A1453="","",Wages!$D1456)</f>
        <v/>
      </c>
      <c r="P1453">
        <f>IF(OR(Shares!$B1456="",Shares!$C1456=""),"",Shares!$C1456)</f>
        <v/>
      </c>
      <c r="Q1453">
        <f>IF($P1453="","",Shares!$B1456)</f>
        <v/>
      </c>
      <c r="R1453">
        <f>IF($P1453="","",IFERROR(INDEX(WageParty,MATCH($Q1453,WageIds,0)),""))</f>
        <v/>
      </c>
      <c r="S1453">
        <f>IF($P1453="","",IFERROR(INDEX($F$6:$F$2005,MATCH($Q1453,WageIds,0)),""))</f>
        <v/>
      </c>
      <c r="T1453">
        <f>IF(OR($P1453="",$S1453="",$S1453="نامعتبر"),"",LEFT($S1453,4)&amp;MID($S1453,6,2)&amp;RIGHT($S1453,2)&amp;"0000"&amp;"|"&amp;"2"&amp;RIGHT("00000"&amp;1448,5))</f>
        <v/>
      </c>
      <c r="U1453">
        <f>IF($T1453="","",COUNTIFS(LdAParty,$P1453,LdAType,1,LdAKey,"&lt;"&amp;$T1453)+COUNTIFS(LdBMember,$P1453,LdBKey,"&lt;"&amp;$T1453)+COUNTIFS(LdCParty,$P1453,LdCKey,"&lt;"&amp;$T1453)+1)</f>
        <v/>
      </c>
      <c r="V1453">
        <f>IF($U1453="","",$P1453&amp;"|"&amp;RIGHT("000000"&amp;$U1453,6))</f>
        <v/>
      </c>
      <c r="W1453">
        <f>IF($T1453="","",COUNTIFS(LdBGroup,$R1453,LdBKey,"&lt;"&amp;$T1453)+1)</f>
        <v/>
      </c>
      <c r="X1453">
        <f>IF($W1453="","",$R1453&amp;"|"&amp;RIGHT("000000"&amp;$W1453,6))</f>
        <v/>
      </c>
      <c r="Y1453">
        <f>IF($P1453="","",IF(Shares!$E1456="",0,Shares!$E1456))</f>
        <v/>
      </c>
      <c r="Z1453">
        <f>IF($P1453="","",Shares!$H1456)</f>
        <v/>
      </c>
      <c r="AE1453">
        <f>IF(OR(Sync!$S1453="",Sync!$P1453=""),"",Sync!$S1453)</f>
        <v/>
      </c>
      <c r="AF1453">
        <f>IF($AE1453="","",IF(ISNUMBER(Sync!$P1453),IF(AND(Sync!$P1453&gt;=10000101,Sync!$P1453&lt;=99991231),INT(Sync!$P1453/10000),""),IFERROR(VALUE(TRIM(LEFT(Sync!$P1453,FIND("/",Sync!$P1453)-1))),"")))</f>
        <v/>
      </c>
      <c r="AG1453">
        <f>IF(OR($AE1453="",$AF1453=""),"",IF(ISNUMBER(Sync!$P1453),INT(MOD(Sync!$P1453,10000)/100),IFERROR(VALUE(TRIM(LEFT(MID(Sync!$P1453,FIND("/",Sync!$P1453)+1,20),FIND("/",MID(Sync!$P1453,FIND("/",Sync!$P1453)+1,20))-1))),"")))</f>
        <v/>
      </c>
      <c r="AH1453">
        <f>IF(OR($AE1453="",$AF1453=""),"",IF(ISNUMBER(Sync!$P1453),MOD(Sync!$P1453,100),IFERROR(VALUE(TRIM(MID(MID(Sync!$P1453,FIND("/",Sync!$P1453)+1,20),FIND("/",MID(Sync!$P1453,FIND("/",Sync!$P1453)+1,20))+1,20))),"")))</f>
        <v/>
      </c>
      <c r="AI1453">
        <f>IF($AE1453="","",IF(OR($AF1453="",$AG1453="",$AH1453="",$AF1453&lt;1300,$AF1453&gt;1500,$AG1453&lt;1,$AG1453&gt;12,$AH1453&lt;1,$AH1453&gt;31),"نامعتبر",RIGHT("0000"&amp;$AF1453,4)&amp;"/"&amp;RIGHT("00"&amp;$AG1453,2)&amp;"/"&amp;RIGHT("00"&amp;$AH1453,2)))</f>
        <v/>
      </c>
      <c r="AJ1453">
        <f>IF($AE1453="","",IF(Sync!$Q1453="","0000",IF(AND(ISNUMBER(Sync!$Q1453),Sync!$Q1453&gt;=0,Sync!$Q1453&lt;1),RIGHT("00"&amp;HOUR(Sync!$Q1453),2)&amp;RIGHT("00"&amp;MINUTE(Sync!$Q1453),2),IFERROR(RIGHT("00"&amp;VALUE(LEFT(Sync!$Q1453,FIND(":",Sync!$Q1453)-1)),2)&amp;RIGHT("00"&amp;VALUE(MID(Sync!$Q1453,FIND(":",Sync!$Q1453)+1,2)),2),"0000"))))</f>
        <v/>
      </c>
      <c r="AK1453">
        <f>IF(OR($AE1453="",$AI1453="",$AI1453="نامعتبر"),"",LEFT($AI1453,4)&amp;MID($AI1453,6,2)&amp;RIGHT($AI1453,2)&amp;$AJ1453&amp;"|"&amp;"3"&amp;RIGHT("00000"&amp;1448,5))</f>
        <v/>
      </c>
      <c r="AL1453">
        <f>IF($AK1453="","",COUNTIFS(LdAParty,$AE1453,LdAType,1,LdAKey,"&lt;"&amp;$AK1453)+COUNTIFS(LdBMember,$AE1453,LdBKey,"&lt;"&amp;$AK1453)+COUNTIFS(LdCParty,$AE1453,LdCKey,"&lt;"&amp;$AK1453)+1)</f>
        <v/>
      </c>
      <c r="AM1453">
        <f>IF($AL1453="","",$AE1453&amp;"|"&amp;RIGHT("000000"&amp;$AL1453,6))</f>
        <v/>
      </c>
      <c r="AN1453">
        <f>IF($AE1453="","",IF(Sync!$W1453="",0,Sync!$W1453))</f>
        <v/>
      </c>
      <c r="AO1453">
        <f>IF($AE1453="","",IF(Sync!$X1453="",0,Sync!$X1453))</f>
        <v/>
      </c>
      <c r="AP1453">
        <f>IF($AE1453="","",Sync!$R1453)</f>
        <v/>
      </c>
      <c r="AQ1453">
        <f>IF($AE1453="","",Sync!$Y1453)</f>
        <v/>
      </c>
    </row>
    <row r="1454">
      <c r="A1454">
        <f>IF(OR(Wages!$B1457="",Wages!$E1457=""),"",Wages!$E1457)</f>
        <v/>
      </c>
      <c r="B1454">
        <f>IF($A1454="","",IF(Wages!$C1457="دستمزد گروهی",2,1))</f>
        <v/>
      </c>
      <c r="C1454">
        <f>IF($A1454="","",IF(ISNUMBER(Wages!$B1457),IF(AND(Wages!$B1457&gt;=10000101,Wages!$B1457&lt;=99991231),INT(Wages!$B1457/10000),""),IFERROR(VALUE(TRIM(LEFT(Wages!$B1457,FIND("/",Wages!$B1457)-1))),"")))</f>
        <v/>
      </c>
      <c r="D1454">
        <f>IF(OR($A1454="",$C1454=""),"",IF(ISNUMBER(Wages!$B1457),INT(MOD(Wages!$B1457,10000)/100),IFERROR(VALUE(TRIM(LEFT(MID(Wages!$B1457,FIND("/",Wages!$B1457)+1,20),FIND("/",MID(Wages!$B1457,FIND("/",Wages!$B1457)+1,20))-1))),"")))</f>
        <v/>
      </c>
      <c r="E1454">
        <f>IF(OR($A1454="",$C1454=""),"",IF(ISNUMBER(Wages!$B1457),MOD(Wages!$B1457,100),IFERROR(VALUE(TRIM(MID(MID(Wages!$B1457,FIND("/",Wages!$B1457)+1,20),FIND("/",MID(Wages!$B1457,FIND("/",Wages!$B1457)+1,20))+1,20))),"")))</f>
        <v/>
      </c>
      <c r="F1454">
        <f>IF($A1454="","",IF(OR($C1454="",$D1454="",$E1454="",$C1454&lt;1300,$C1454&gt;1500,$D1454&lt;1,$D1454&gt;12,$E1454&lt;1,$E1454&gt;31),"نامعتبر",RIGHT("0000"&amp;$C1454,4)&amp;"/"&amp;RIGHT("00"&amp;$D1454,2)&amp;"/"&amp;RIGHT("00"&amp;$E1454,2)))</f>
        <v/>
      </c>
      <c r="G1454">
        <f>IF(OR($A1454="",$F1454="",$F1454="نامعتبر"),"",LEFT($F1454,4)&amp;MID($F1454,6,2)&amp;RIGHT($F1454,2)&amp;"0000"&amp;"|"&amp;"1"&amp;RIGHT("00000"&amp;1449,5))</f>
        <v/>
      </c>
      <c r="H1454">
        <f>IF(OR($B1454&lt;&gt;1,$G1454=""),"",COUNTIFS(LdAParty,$A1454,LdAType,1,LdAKey,"&lt;"&amp;$G1454)+COUNTIFS(LdBMember,$A1454,LdBKey,"&lt;"&amp;$G1454)+COUNTIFS(LdCParty,$A1454,LdCKey,"&lt;"&amp;$G1454)+1)</f>
        <v/>
      </c>
      <c r="I1454">
        <f>IF($H1454="","",$A1454&amp;"|"&amp;RIGHT("000000"&amp;$H1454,6))</f>
        <v/>
      </c>
      <c r="J1454">
        <f>IF(OR($B1454&lt;&gt;2,$G1454=""),"",COUNTIFS(LdAParty,$A1454,LdAType,2,LdAKey,"&lt;"&amp;$G1454)+1)</f>
        <v/>
      </c>
      <c r="K1454">
        <f>IF($J1454="","",$A1454&amp;"|"&amp;RIGHT("000000"&amp;$J1454,6))</f>
        <v/>
      </c>
      <c r="L1454">
        <f>IF($A1454="","",IF(Wages!$G1457="",0,Wages!$G1457))</f>
        <v/>
      </c>
      <c r="M1454">
        <f>IF($A1454="","",Wages!$J1457)</f>
        <v/>
      </c>
      <c r="N1454">
        <f>IF($A1454="","",Wages!$D1457)</f>
        <v/>
      </c>
      <c r="P1454">
        <f>IF(OR(Shares!$B1457="",Shares!$C1457=""),"",Shares!$C1457)</f>
        <v/>
      </c>
      <c r="Q1454">
        <f>IF($P1454="","",Shares!$B1457)</f>
        <v/>
      </c>
      <c r="R1454">
        <f>IF($P1454="","",IFERROR(INDEX(WageParty,MATCH($Q1454,WageIds,0)),""))</f>
        <v/>
      </c>
      <c r="S1454">
        <f>IF($P1454="","",IFERROR(INDEX($F$6:$F$2005,MATCH($Q1454,WageIds,0)),""))</f>
        <v/>
      </c>
      <c r="T1454">
        <f>IF(OR($P1454="",$S1454="",$S1454="نامعتبر"),"",LEFT($S1454,4)&amp;MID($S1454,6,2)&amp;RIGHT($S1454,2)&amp;"0000"&amp;"|"&amp;"2"&amp;RIGHT("00000"&amp;1449,5))</f>
        <v/>
      </c>
      <c r="U1454">
        <f>IF($T1454="","",COUNTIFS(LdAParty,$P1454,LdAType,1,LdAKey,"&lt;"&amp;$T1454)+COUNTIFS(LdBMember,$P1454,LdBKey,"&lt;"&amp;$T1454)+COUNTIFS(LdCParty,$P1454,LdCKey,"&lt;"&amp;$T1454)+1)</f>
        <v/>
      </c>
      <c r="V1454">
        <f>IF($U1454="","",$P1454&amp;"|"&amp;RIGHT("000000"&amp;$U1454,6))</f>
        <v/>
      </c>
      <c r="W1454">
        <f>IF($T1454="","",COUNTIFS(LdBGroup,$R1454,LdBKey,"&lt;"&amp;$T1454)+1)</f>
        <v/>
      </c>
      <c r="X1454">
        <f>IF($W1454="","",$R1454&amp;"|"&amp;RIGHT("000000"&amp;$W1454,6))</f>
        <v/>
      </c>
      <c r="Y1454">
        <f>IF($P1454="","",IF(Shares!$E1457="",0,Shares!$E1457))</f>
        <v/>
      </c>
      <c r="Z1454">
        <f>IF($P1454="","",Shares!$H1457)</f>
        <v/>
      </c>
      <c r="AE1454">
        <f>IF(OR(Sync!$S1454="",Sync!$P1454=""),"",Sync!$S1454)</f>
        <v/>
      </c>
      <c r="AF1454">
        <f>IF($AE1454="","",IF(ISNUMBER(Sync!$P1454),IF(AND(Sync!$P1454&gt;=10000101,Sync!$P1454&lt;=99991231),INT(Sync!$P1454/10000),""),IFERROR(VALUE(TRIM(LEFT(Sync!$P1454,FIND("/",Sync!$P1454)-1))),"")))</f>
        <v/>
      </c>
      <c r="AG1454">
        <f>IF(OR($AE1454="",$AF1454=""),"",IF(ISNUMBER(Sync!$P1454),INT(MOD(Sync!$P1454,10000)/100),IFERROR(VALUE(TRIM(LEFT(MID(Sync!$P1454,FIND("/",Sync!$P1454)+1,20),FIND("/",MID(Sync!$P1454,FIND("/",Sync!$P1454)+1,20))-1))),"")))</f>
        <v/>
      </c>
      <c r="AH1454">
        <f>IF(OR($AE1454="",$AF1454=""),"",IF(ISNUMBER(Sync!$P1454),MOD(Sync!$P1454,100),IFERROR(VALUE(TRIM(MID(MID(Sync!$P1454,FIND("/",Sync!$P1454)+1,20),FIND("/",MID(Sync!$P1454,FIND("/",Sync!$P1454)+1,20))+1,20))),"")))</f>
        <v/>
      </c>
      <c r="AI1454">
        <f>IF($AE1454="","",IF(OR($AF1454="",$AG1454="",$AH1454="",$AF1454&lt;1300,$AF1454&gt;1500,$AG1454&lt;1,$AG1454&gt;12,$AH1454&lt;1,$AH1454&gt;31),"نامعتبر",RIGHT("0000"&amp;$AF1454,4)&amp;"/"&amp;RIGHT("00"&amp;$AG1454,2)&amp;"/"&amp;RIGHT("00"&amp;$AH1454,2)))</f>
        <v/>
      </c>
      <c r="AJ1454">
        <f>IF($AE1454="","",IF(Sync!$Q1454="","0000",IF(AND(ISNUMBER(Sync!$Q1454),Sync!$Q1454&gt;=0,Sync!$Q1454&lt;1),RIGHT("00"&amp;HOUR(Sync!$Q1454),2)&amp;RIGHT("00"&amp;MINUTE(Sync!$Q1454),2),IFERROR(RIGHT("00"&amp;VALUE(LEFT(Sync!$Q1454,FIND(":",Sync!$Q1454)-1)),2)&amp;RIGHT("00"&amp;VALUE(MID(Sync!$Q1454,FIND(":",Sync!$Q1454)+1,2)),2),"0000"))))</f>
        <v/>
      </c>
      <c r="AK1454">
        <f>IF(OR($AE1454="",$AI1454="",$AI1454="نامعتبر"),"",LEFT($AI1454,4)&amp;MID($AI1454,6,2)&amp;RIGHT($AI1454,2)&amp;$AJ1454&amp;"|"&amp;"3"&amp;RIGHT("00000"&amp;1449,5))</f>
        <v/>
      </c>
      <c r="AL1454">
        <f>IF($AK1454="","",COUNTIFS(LdAParty,$AE1454,LdAType,1,LdAKey,"&lt;"&amp;$AK1454)+COUNTIFS(LdBMember,$AE1454,LdBKey,"&lt;"&amp;$AK1454)+COUNTIFS(LdCParty,$AE1454,LdCKey,"&lt;"&amp;$AK1454)+1)</f>
        <v/>
      </c>
      <c r="AM1454">
        <f>IF($AL1454="","",$AE1454&amp;"|"&amp;RIGHT("000000"&amp;$AL1454,6))</f>
        <v/>
      </c>
      <c r="AN1454">
        <f>IF($AE1454="","",IF(Sync!$W1454="",0,Sync!$W1454))</f>
        <v/>
      </c>
      <c r="AO1454">
        <f>IF($AE1454="","",IF(Sync!$X1454="",0,Sync!$X1454))</f>
        <v/>
      </c>
      <c r="AP1454">
        <f>IF($AE1454="","",Sync!$R1454)</f>
        <v/>
      </c>
      <c r="AQ1454">
        <f>IF($AE1454="","",Sync!$Y1454)</f>
        <v/>
      </c>
    </row>
    <row r="1455">
      <c r="A1455">
        <f>IF(OR(Wages!$B1458="",Wages!$E1458=""),"",Wages!$E1458)</f>
        <v/>
      </c>
      <c r="B1455">
        <f>IF($A1455="","",IF(Wages!$C1458="دستمزد گروهی",2,1))</f>
        <v/>
      </c>
      <c r="C1455">
        <f>IF($A1455="","",IF(ISNUMBER(Wages!$B1458),IF(AND(Wages!$B1458&gt;=10000101,Wages!$B1458&lt;=99991231),INT(Wages!$B1458/10000),""),IFERROR(VALUE(TRIM(LEFT(Wages!$B1458,FIND("/",Wages!$B1458)-1))),"")))</f>
        <v/>
      </c>
      <c r="D1455">
        <f>IF(OR($A1455="",$C1455=""),"",IF(ISNUMBER(Wages!$B1458),INT(MOD(Wages!$B1458,10000)/100),IFERROR(VALUE(TRIM(LEFT(MID(Wages!$B1458,FIND("/",Wages!$B1458)+1,20),FIND("/",MID(Wages!$B1458,FIND("/",Wages!$B1458)+1,20))-1))),"")))</f>
        <v/>
      </c>
      <c r="E1455">
        <f>IF(OR($A1455="",$C1455=""),"",IF(ISNUMBER(Wages!$B1458),MOD(Wages!$B1458,100),IFERROR(VALUE(TRIM(MID(MID(Wages!$B1458,FIND("/",Wages!$B1458)+1,20),FIND("/",MID(Wages!$B1458,FIND("/",Wages!$B1458)+1,20))+1,20))),"")))</f>
        <v/>
      </c>
      <c r="F1455">
        <f>IF($A1455="","",IF(OR($C1455="",$D1455="",$E1455="",$C1455&lt;1300,$C1455&gt;1500,$D1455&lt;1,$D1455&gt;12,$E1455&lt;1,$E1455&gt;31),"نامعتبر",RIGHT("0000"&amp;$C1455,4)&amp;"/"&amp;RIGHT("00"&amp;$D1455,2)&amp;"/"&amp;RIGHT("00"&amp;$E1455,2)))</f>
        <v/>
      </c>
      <c r="G1455">
        <f>IF(OR($A1455="",$F1455="",$F1455="نامعتبر"),"",LEFT($F1455,4)&amp;MID($F1455,6,2)&amp;RIGHT($F1455,2)&amp;"0000"&amp;"|"&amp;"1"&amp;RIGHT("00000"&amp;1450,5))</f>
        <v/>
      </c>
      <c r="H1455">
        <f>IF(OR($B1455&lt;&gt;1,$G1455=""),"",COUNTIFS(LdAParty,$A1455,LdAType,1,LdAKey,"&lt;"&amp;$G1455)+COUNTIFS(LdBMember,$A1455,LdBKey,"&lt;"&amp;$G1455)+COUNTIFS(LdCParty,$A1455,LdCKey,"&lt;"&amp;$G1455)+1)</f>
        <v/>
      </c>
      <c r="I1455">
        <f>IF($H1455="","",$A1455&amp;"|"&amp;RIGHT("000000"&amp;$H1455,6))</f>
        <v/>
      </c>
      <c r="J1455">
        <f>IF(OR($B1455&lt;&gt;2,$G1455=""),"",COUNTIFS(LdAParty,$A1455,LdAType,2,LdAKey,"&lt;"&amp;$G1455)+1)</f>
        <v/>
      </c>
      <c r="K1455">
        <f>IF($J1455="","",$A1455&amp;"|"&amp;RIGHT("000000"&amp;$J1455,6))</f>
        <v/>
      </c>
      <c r="L1455">
        <f>IF($A1455="","",IF(Wages!$G1458="",0,Wages!$G1458))</f>
        <v/>
      </c>
      <c r="M1455">
        <f>IF($A1455="","",Wages!$J1458)</f>
        <v/>
      </c>
      <c r="N1455">
        <f>IF($A1455="","",Wages!$D1458)</f>
        <v/>
      </c>
      <c r="P1455">
        <f>IF(OR(Shares!$B1458="",Shares!$C1458=""),"",Shares!$C1458)</f>
        <v/>
      </c>
      <c r="Q1455">
        <f>IF($P1455="","",Shares!$B1458)</f>
        <v/>
      </c>
      <c r="R1455">
        <f>IF($P1455="","",IFERROR(INDEX(WageParty,MATCH($Q1455,WageIds,0)),""))</f>
        <v/>
      </c>
      <c r="S1455">
        <f>IF($P1455="","",IFERROR(INDEX($F$6:$F$2005,MATCH($Q1455,WageIds,0)),""))</f>
        <v/>
      </c>
      <c r="T1455">
        <f>IF(OR($P1455="",$S1455="",$S1455="نامعتبر"),"",LEFT($S1455,4)&amp;MID($S1455,6,2)&amp;RIGHT($S1455,2)&amp;"0000"&amp;"|"&amp;"2"&amp;RIGHT("00000"&amp;1450,5))</f>
        <v/>
      </c>
      <c r="U1455">
        <f>IF($T1455="","",COUNTIFS(LdAParty,$P1455,LdAType,1,LdAKey,"&lt;"&amp;$T1455)+COUNTIFS(LdBMember,$P1455,LdBKey,"&lt;"&amp;$T1455)+COUNTIFS(LdCParty,$P1455,LdCKey,"&lt;"&amp;$T1455)+1)</f>
        <v/>
      </c>
      <c r="V1455">
        <f>IF($U1455="","",$P1455&amp;"|"&amp;RIGHT("000000"&amp;$U1455,6))</f>
        <v/>
      </c>
      <c r="W1455">
        <f>IF($T1455="","",COUNTIFS(LdBGroup,$R1455,LdBKey,"&lt;"&amp;$T1455)+1)</f>
        <v/>
      </c>
      <c r="X1455">
        <f>IF($W1455="","",$R1455&amp;"|"&amp;RIGHT("000000"&amp;$W1455,6))</f>
        <v/>
      </c>
      <c r="Y1455">
        <f>IF($P1455="","",IF(Shares!$E1458="",0,Shares!$E1458))</f>
        <v/>
      </c>
      <c r="Z1455">
        <f>IF($P1455="","",Shares!$H1458)</f>
        <v/>
      </c>
      <c r="AE1455">
        <f>IF(OR(Sync!$S1455="",Sync!$P1455=""),"",Sync!$S1455)</f>
        <v/>
      </c>
      <c r="AF1455">
        <f>IF($AE1455="","",IF(ISNUMBER(Sync!$P1455),IF(AND(Sync!$P1455&gt;=10000101,Sync!$P1455&lt;=99991231),INT(Sync!$P1455/10000),""),IFERROR(VALUE(TRIM(LEFT(Sync!$P1455,FIND("/",Sync!$P1455)-1))),"")))</f>
        <v/>
      </c>
      <c r="AG1455">
        <f>IF(OR($AE1455="",$AF1455=""),"",IF(ISNUMBER(Sync!$P1455),INT(MOD(Sync!$P1455,10000)/100),IFERROR(VALUE(TRIM(LEFT(MID(Sync!$P1455,FIND("/",Sync!$P1455)+1,20),FIND("/",MID(Sync!$P1455,FIND("/",Sync!$P1455)+1,20))-1))),"")))</f>
        <v/>
      </c>
      <c r="AH1455">
        <f>IF(OR($AE1455="",$AF1455=""),"",IF(ISNUMBER(Sync!$P1455),MOD(Sync!$P1455,100),IFERROR(VALUE(TRIM(MID(MID(Sync!$P1455,FIND("/",Sync!$P1455)+1,20),FIND("/",MID(Sync!$P1455,FIND("/",Sync!$P1455)+1,20))+1,20))),"")))</f>
        <v/>
      </c>
      <c r="AI1455">
        <f>IF($AE1455="","",IF(OR($AF1455="",$AG1455="",$AH1455="",$AF1455&lt;1300,$AF1455&gt;1500,$AG1455&lt;1,$AG1455&gt;12,$AH1455&lt;1,$AH1455&gt;31),"نامعتبر",RIGHT("0000"&amp;$AF1455,4)&amp;"/"&amp;RIGHT("00"&amp;$AG1455,2)&amp;"/"&amp;RIGHT("00"&amp;$AH1455,2)))</f>
        <v/>
      </c>
      <c r="AJ1455">
        <f>IF($AE1455="","",IF(Sync!$Q1455="","0000",IF(AND(ISNUMBER(Sync!$Q1455),Sync!$Q1455&gt;=0,Sync!$Q1455&lt;1),RIGHT("00"&amp;HOUR(Sync!$Q1455),2)&amp;RIGHT("00"&amp;MINUTE(Sync!$Q1455),2),IFERROR(RIGHT("00"&amp;VALUE(LEFT(Sync!$Q1455,FIND(":",Sync!$Q1455)-1)),2)&amp;RIGHT("00"&amp;VALUE(MID(Sync!$Q1455,FIND(":",Sync!$Q1455)+1,2)),2),"0000"))))</f>
        <v/>
      </c>
      <c r="AK1455">
        <f>IF(OR($AE1455="",$AI1455="",$AI1455="نامعتبر"),"",LEFT($AI1455,4)&amp;MID($AI1455,6,2)&amp;RIGHT($AI1455,2)&amp;$AJ1455&amp;"|"&amp;"3"&amp;RIGHT("00000"&amp;1450,5))</f>
        <v/>
      </c>
      <c r="AL1455">
        <f>IF($AK1455="","",COUNTIFS(LdAParty,$AE1455,LdAType,1,LdAKey,"&lt;"&amp;$AK1455)+COUNTIFS(LdBMember,$AE1455,LdBKey,"&lt;"&amp;$AK1455)+COUNTIFS(LdCParty,$AE1455,LdCKey,"&lt;"&amp;$AK1455)+1)</f>
        <v/>
      </c>
      <c r="AM1455">
        <f>IF($AL1455="","",$AE1455&amp;"|"&amp;RIGHT("000000"&amp;$AL1455,6))</f>
        <v/>
      </c>
      <c r="AN1455">
        <f>IF($AE1455="","",IF(Sync!$W1455="",0,Sync!$W1455))</f>
        <v/>
      </c>
      <c r="AO1455">
        <f>IF($AE1455="","",IF(Sync!$X1455="",0,Sync!$X1455))</f>
        <v/>
      </c>
      <c r="AP1455">
        <f>IF($AE1455="","",Sync!$R1455)</f>
        <v/>
      </c>
      <c r="AQ1455">
        <f>IF($AE1455="","",Sync!$Y1455)</f>
        <v/>
      </c>
    </row>
    <row r="1456">
      <c r="A1456">
        <f>IF(OR(Wages!$B1459="",Wages!$E1459=""),"",Wages!$E1459)</f>
        <v/>
      </c>
      <c r="B1456">
        <f>IF($A1456="","",IF(Wages!$C1459="دستمزد گروهی",2,1))</f>
        <v/>
      </c>
      <c r="C1456">
        <f>IF($A1456="","",IF(ISNUMBER(Wages!$B1459),IF(AND(Wages!$B1459&gt;=10000101,Wages!$B1459&lt;=99991231),INT(Wages!$B1459/10000),""),IFERROR(VALUE(TRIM(LEFT(Wages!$B1459,FIND("/",Wages!$B1459)-1))),"")))</f>
        <v/>
      </c>
      <c r="D1456">
        <f>IF(OR($A1456="",$C1456=""),"",IF(ISNUMBER(Wages!$B1459),INT(MOD(Wages!$B1459,10000)/100),IFERROR(VALUE(TRIM(LEFT(MID(Wages!$B1459,FIND("/",Wages!$B1459)+1,20),FIND("/",MID(Wages!$B1459,FIND("/",Wages!$B1459)+1,20))-1))),"")))</f>
        <v/>
      </c>
      <c r="E1456">
        <f>IF(OR($A1456="",$C1456=""),"",IF(ISNUMBER(Wages!$B1459),MOD(Wages!$B1459,100),IFERROR(VALUE(TRIM(MID(MID(Wages!$B1459,FIND("/",Wages!$B1459)+1,20),FIND("/",MID(Wages!$B1459,FIND("/",Wages!$B1459)+1,20))+1,20))),"")))</f>
        <v/>
      </c>
      <c r="F1456">
        <f>IF($A1456="","",IF(OR($C1456="",$D1456="",$E1456="",$C1456&lt;1300,$C1456&gt;1500,$D1456&lt;1,$D1456&gt;12,$E1456&lt;1,$E1456&gt;31),"نامعتبر",RIGHT("0000"&amp;$C1456,4)&amp;"/"&amp;RIGHT("00"&amp;$D1456,2)&amp;"/"&amp;RIGHT("00"&amp;$E1456,2)))</f>
        <v/>
      </c>
      <c r="G1456">
        <f>IF(OR($A1456="",$F1456="",$F1456="نامعتبر"),"",LEFT($F1456,4)&amp;MID($F1456,6,2)&amp;RIGHT($F1456,2)&amp;"0000"&amp;"|"&amp;"1"&amp;RIGHT("00000"&amp;1451,5))</f>
        <v/>
      </c>
      <c r="H1456">
        <f>IF(OR($B1456&lt;&gt;1,$G1456=""),"",COUNTIFS(LdAParty,$A1456,LdAType,1,LdAKey,"&lt;"&amp;$G1456)+COUNTIFS(LdBMember,$A1456,LdBKey,"&lt;"&amp;$G1456)+COUNTIFS(LdCParty,$A1456,LdCKey,"&lt;"&amp;$G1456)+1)</f>
        <v/>
      </c>
      <c r="I1456">
        <f>IF($H1456="","",$A1456&amp;"|"&amp;RIGHT("000000"&amp;$H1456,6))</f>
        <v/>
      </c>
      <c r="J1456">
        <f>IF(OR($B1456&lt;&gt;2,$G1456=""),"",COUNTIFS(LdAParty,$A1456,LdAType,2,LdAKey,"&lt;"&amp;$G1456)+1)</f>
        <v/>
      </c>
      <c r="K1456">
        <f>IF($J1456="","",$A1456&amp;"|"&amp;RIGHT("000000"&amp;$J1456,6))</f>
        <v/>
      </c>
      <c r="L1456">
        <f>IF($A1456="","",IF(Wages!$G1459="",0,Wages!$G1459))</f>
        <v/>
      </c>
      <c r="M1456">
        <f>IF($A1456="","",Wages!$J1459)</f>
        <v/>
      </c>
      <c r="N1456">
        <f>IF($A1456="","",Wages!$D1459)</f>
        <v/>
      </c>
      <c r="P1456">
        <f>IF(OR(Shares!$B1459="",Shares!$C1459=""),"",Shares!$C1459)</f>
        <v/>
      </c>
      <c r="Q1456">
        <f>IF($P1456="","",Shares!$B1459)</f>
        <v/>
      </c>
      <c r="R1456">
        <f>IF($P1456="","",IFERROR(INDEX(WageParty,MATCH($Q1456,WageIds,0)),""))</f>
        <v/>
      </c>
      <c r="S1456">
        <f>IF($P1456="","",IFERROR(INDEX($F$6:$F$2005,MATCH($Q1456,WageIds,0)),""))</f>
        <v/>
      </c>
      <c r="T1456">
        <f>IF(OR($P1456="",$S1456="",$S1456="نامعتبر"),"",LEFT($S1456,4)&amp;MID($S1456,6,2)&amp;RIGHT($S1456,2)&amp;"0000"&amp;"|"&amp;"2"&amp;RIGHT("00000"&amp;1451,5))</f>
        <v/>
      </c>
      <c r="U1456">
        <f>IF($T1456="","",COUNTIFS(LdAParty,$P1456,LdAType,1,LdAKey,"&lt;"&amp;$T1456)+COUNTIFS(LdBMember,$P1456,LdBKey,"&lt;"&amp;$T1456)+COUNTIFS(LdCParty,$P1456,LdCKey,"&lt;"&amp;$T1456)+1)</f>
        <v/>
      </c>
      <c r="V1456">
        <f>IF($U1456="","",$P1456&amp;"|"&amp;RIGHT("000000"&amp;$U1456,6))</f>
        <v/>
      </c>
      <c r="W1456">
        <f>IF($T1456="","",COUNTIFS(LdBGroup,$R1456,LdBKey,"&lt;"&amp;$T1456)+1)</f>
        <v/>
      </c>
      <c r="X1456">
        <f>IF($W1456="","",$R1456&amp;"|"&amp;RIGHT("000000"&amp;$W1456,6))</f>
        <v/>
      </c>
      <c r="Y1456">
        <f>IF($P1456="","",IF(Shares!$E1459="",0,Shares!$E1459))</f>
        <v/>
      </c>
      <c r="Z1456">
        <f>IF($P1456="","",Shares!$H1459)</f>
        <v/>
      </c>
      <c r="AE1456">
        <f>IF(OR(Sync!$S1456="",Sync!$P1456=""),"",Sync!$S1456)</f>
        <v/>
      </c>
      <c r="AF1456">
        <f>IF($AE1456="","",IF(ISNUMBER(Sync!$P1456),IF(AND(Sync!$P1456&gt;=10000101,Sync!$P1456&lt;=99991231),INT(Sync!$P1456/10000),""),IFERROR(VALUE(TRIM(LEFT(Sync!$P1456,FIND("/",Sync!$P1456)-1))),"")))</f>
        <v/>
      </c>
      <c r="AG1456">
        <f>IF(OR($AE1456="",$AF1456=""),"",IF(ISNUMBER(Sync!$P1456),INT(MOD(Sync!$P1456,10000)/100),IFERROR(VALUE(TRIM(LEFT(MID(Sync!$P1456,FIND("/",Sync!$P1456)+1,20),FIND("/",MID(Sync!$P1456,FIND("/",Sync!$P1456)+1,20))-1))),"")))</f>
        <v/>
      </c>
      <c r="AH1456">
        <f>IF(OR($AE1456="",$AF1456=""),"",IF(ISNUMBER(Sync!$P1456),MOD(Sync!$P1456,100),IFERROR(VALUE(TRIM(MID(MID(Sync!$P1456,FIND("/",Sync!$P1456)+1,20),FIND("/",MID(Sync!$P1456,FIND("/",Sync!$P1456)+1,20))+1,20))),"")))</f>
        <v/>
      </c>
      <c r="AI1456">
        <f>IF($AE1456="","",IF(OR($AF1456="",$AG1456="",$AH1456="",$AF1456&lt;1300,$AF1456&gt;1500,$AG1456&lt;1,$AG1456&gt;12,$AH1456&lt;1,$AH1456&gt;31),"نامعتبر",RIGHT("0000"&amp;$AF1456,4)&amp;"/"&amp;RIGHT("00"&amp;$AG1456,2)&amp;"/"&amp;RIGHT("00"&amp;$AH1456,2)))</f>
        <v/>
      </c>
      <c r="AJ1456">
        <f>IF($AE1456="","",IF(Sync!$Q1456="","0000",IF(AND(ISNUMBER(Sync!$Q1456),Sync!$Q1456&gt;=0,Sync!$Q1456&lt;1),RIGHT("00"&amp;HOUR(Sync!$Q1456),2)&amp;RIGHT("00"&amp;MINUTE(Sync!$Q1456),2),IFERROR(RIGHT("00"&amp;VALUE(LEFT(Sync!$Q1456,FIND(":",Sync!$Q1456)-1)),2)&amp;RIGHT("00"&amp;VALUE(MID(Sync!$Q1456,FIND(":",Sync!$Q1456)+1,2)),2),"0000"))))</f>
        <v/>
      </c>
      <c r="AK1456">
        <f>IF(OR($AE1456="",$AI1456="",$AI1456="نامعتبر"),"",LEFT($AI1456,4)&amp;MID($AI1456,6,2)&amp;RIGHT($AI1456,2)&amp;$AJ1456&amp;"|"&amp;"3"&amp;RIGHT("00000"&amp;1451,5))</f>
        <v/>
      </c>
      <c r="AL1456">
        <f>IF($AK1456="","",COUNTIFS(LdAParty,$AE1456,LdAType,1,LdAKey,"&lt;"&amp;$AK1456)+COUNTIFS(LdBMember,$AE1456,LdBKey,"&lt;"&amp;$AK1456)+COUNTIFS(LdCParty,$AE1456,LdCKey,"&lt;"&amp;$AK1456)+1)</f>
        <v/>
      </c>
      <c r="AM1456">
        <f>IF($AL1456="","",$AE1456&amp;"|"&amp;RIGHT("000000"&amp;$AL1456,6))</f>
        <v/>
      </c>
      <c r="AN1456">
        <f>IF($AE1456="","",IF(Sync!$W1456="",0,Sync!$W1456))</f>
        <v/>
      </c>
      <c r="AO1456">
        <f>IF($AE1456="","",IF(Sync!$X1456="",0,Sync!$X1456))</f>
        <v/>
      </c>
      <c r="AP1456">
        <f>IF($AE1456="","",Sync!$R1456)</f>
        <v/>
      </c>
      <c r="AQ1456">
        <f>IF($AE1456="","",Sync!$Y1456)</f>
        <v/>
      </c>
    </row>
    <row r="1457">
      <c r="A1457">
        <f>IF(OR(Wages!$B1460="",Wages!$E1460=""),"",Wages!$E1460)</f>
        <v/>
      </c>
      <c r="B1457">
        <f>IF($A1457="","",IF(Wages!$C1460="دستمزد گروهی",2,1))</f>
        <v/>
      </c>
      <c r="C1457">
        <f>IF($A1457="","",IF(ISNUMBER(Wages!$B1460),IF(AND(Wages!$B1460&gt;=10000101,Wages!$B1460&lt;=99991231),INT(Wages!$B1460/10000),""),IFERROR(VALUE(TRIM(LEFT(Wages!$B1460,FIND("/",Wages!$B1460)-1))),"")))</f>
        <v/>
      </c>
      <c r="D1457">
        <f>IF(OR($A1457="",$C1457=""),"",IF(ISNUMBER(Wages!$B1460),INT(MOD(Wages!$B1460,10000)/100),IFERROR(VALUE(TRIM(LEFT(MID(Wages!$B1460,FIND("/",Wages!$B1460)+1,20),FIND("/",MID(Wages!$B1460,FIND("/",Wages!$B1460)+1,20))-1))),"")))</f>
        <v/>
      </c>
      <c r="E1457">
        <f>IF(OR($A1457="",$C1457=""),"",IF(ISNUMBER(Wages!$B1460),MOD(Wages!$B1460,100),IFERROR(VALUE(TRIM(MID(MID(Wages!$B1460,FIND("/",Wages!$B1460)+1,20),FIND("/",MID(Wages!$B1460,FIND("/",Wages!$B1460)+1,20))+1,20))),"")))</f>
        <v/>
      </c>
      <c r="F1457">
        <f>IF($A1457="","",IF(OR($C1457="",$D1457="",$E1457="",$C1457&lt;1300,$C1457&gt;1500,$D1457&lt;1,$D1457&gt;12,$E1457&lt;1,$E1457&gt;31),"نامعتبر",RIGHT("0000"&amp;$C1457,4)&amp;"/"&amp;RIGHT("00"&amp;$D1457,2)&amp;"/"&amp;RIGHT("00"&amp;$E1457,2)))</f>
        <v/>
      </c>
      <c r="G1457">
        <f>IF(OR($A1457="",$F1457="",$F1457="نامعتبر"),"",LEFT($F1457,4)&amp;MID($F1457,6,2)&amp;RIGHT($F1457,2)&amp;"0000"&amp;"|"&amp;"1"&amp;RIGHT("00000"&amp;1452,5))</f>
        <v/>
      </c>
      <c r="H1457">
        <f>IF(OR($B1457&lt;&gt;1,$G1457=""),"",COUNTIFS(LdAParty,$A1457,LdAType,1,LdAKey,"&lt;"&amp;$G1457)+COUNTIFS(LdBMember,$A1457,LdBKey,"&lt;"&amp;$G1457)+COUNTIFS(LdCParty,$A1457,LdCKey,"&lt;"&amp;$G1457)+1)</f>
        <v/>
      </c>
      <c r="I1457">
        <f>IF($H1457="","",$A1457&amp;"|"&amp;RIGHT("000000"&amp;$H1457,6))</f>
        <v/>
      </c>
      <c r="J1457">
        <f>IF(OR($B1457&lt;&gt;2,$G1457=""),"",COUNTIFS(LdAParty,$A1457,LdAType,2,LdAKey,"&lt;"&amp;$G1457)+1)</f>
        <v/>
      </c>
      <c r="K1457">
        <f>IF($J1457="","",$A1457&amp;"|"&amp;RIGHT("000000"&amp;$J1457,6))</f>
        <v/>
      </c>
      <c r="L1457">
        <f>IF($A1457="","",IF(Wages!$G1460="",0,Wages!$G1460))</f>
        <v/>
      </c>
      <c r="M1457">
        <f>IF($A1457="","",Wages!$J1460)</f>
        <v/>
      </c>
      <c r="N1457">
        <f>IF($A1457="","",Wages!$D1460)</f>
        <v/>
      </c>
      <c r="P1457">
        <f>IF(OR(Shares!$B1460="",Shares!$C1460=""),"",Shares!$C1460)</f>
        <v/>
      </c>
      <c r="Q1457">
        <f>IF($P1457="","",Shares!$B1460)</f>
        <v/>
      </c>
      <c r="R1457">
        <f>IF($P1457="","",IFERROR(INDEX(WageParty,MATCH($Q1457,WageIds,0)),""))</f>
        <v/>
      </c>
      <c r="S1457">
        <f>IF($P1457="","",IFERROR(INDEX($F$6:$F$2005,MATCH($Q1457,WageIds,0)),""))</f>
        <v/>
      </c>
      <c r="T1457">
        <f>IF(OR($P1457="",$S1457="",$S1457="نامعتبر"),"",LEFT($S1457,4)&amp;MID($S1457,6,2)&amp;RIGHT($S1457,2)&amp;"0000"&amp;"|"&amp;"2"&amp;RIGHT("00000"&amp;1452,5))</f>
        <v/>
      </c>
      <c r="U1457">
        <f>IF($T1457="","",COUNTIFS(LdAParty,$P1457,LdAType,1,LdAKey,"&lt;"&amp;$T1457)+COUNTIFS(LdBMember,$P1457,LdBKey,"&lt;"&amp;$T1457)+COUNTIFS(LdCParty,$P1457,LdCKey,"&lt;"&amp;$T1457)+1)</f>
        <v/>
      </c>
      <c r="V1457">
        <f>IF($U1457="","",$P1457&amp;"|"&amp;RIGHT("000000"&amp;$U1457,6))</f>
        <v/>
      </c>
      <c r="W1457">
        <f>IF($T1457="","",COUNTIFS(LdBGroup,$R1457,LdBKey,"&lt;"&amp;$T1457)+1)</f>
        <v/>
      </c>
      <c r="X1457">
        <f>IF($W1457="","",$R1457&amp;"|"&amp;RIGHT("000000"&amp;$W1457,6))</f>
        <v/>
      </c>
      <c r="Y1457">
        <f>IF($P1457="","",IF(Shares!$E1460="",0,Shares!$E1460))</f>
        <v/>
      </c>
      <c r="Z1457">
        <f>IF($P1457="","",Shares!$H1460)</f>
        <v/>
      </c>
      <c r="AE1457">
        <f>IF(OR(Sync!$S1457="",Sync!$P1457=""),"",Sync!$S1457)</f>
        <v/>
      </c>
      <c r="AF1457">
        <f>IF($AE1457="","",IF(ISNUMBER(Sync!$P1457),IF(AND(Sync!$P1457&gt;=10000101,Sync!$P1457&lt;=99991231),INT(Sync!$P1457/10000),""),IFERROR(VALUE(TRIM(LEFT(Sync!$P1457,FIND("/",Sync!$P1457)-1))),"")))</f>
        <v/>
      </c>
      <c r="AG1457">
        <f>IF(OR($AE1457="",$AF1457=""),"",IF(ISNUMBER(Sync!$P1457),INT(MOD(Sync!$P1457,10000)/100),IFERROR(VALUE(TRIM(LEFT(MID(Sync!$P1457,FIND("/",Sync!$P1457)+1,20),FIND("/",MID(Sync!$P1457,FIND("/",Sync!$P1457)+1,20))-1))),"")))</f>
        <v/>
      </c>
      <c r="AH1457">
        <f>IF(OR($AE1457="",$AF1457=""),"",IF(ISNUMBER(Sync!$P1457),MOD(Sync!$P1457,100),IFERROR(VALUE(TRIM(MID(MID(Sync!$P1457,FIND("/",Sync!$P1457)+1,20),FIND("/",MID(Sync!$P1457,FIND("/",Sync!$P1457)+1,20))+1,20))),"")))</f>
        <v/>
      </c>
      <c r="AI1457">
        <f>IF($AE1457="","",IF(OR($AF1457="",$AG1457="",$AH1457="",$AF1457&lt;1300,$AF1457&gt;1500,$AG1457&lt;1,$AG1457&gt;12,$AH1457&lt;1,$AH1457&gt;31),"نامعتبر",RIGHT("0000"&amp;$AF1457,4)&amp;"/"&amp;RIGHT("00"&amp;$AG1457,2)&amp;"/"&amp;RIGHT("00"&amp;$AH1457,2)))</f>
        <v/>
      </c>
      <c r="AJ1457">
        <f>IF($AE1457="","",IF(Sync!$Q1457="","0000",IF(AND(ISNUMBER(Sync!$Q1457),Sync!$Q1457&gt;=0,Sync!$Q1457&lt;1),RIGHT("00"&amp;HOUR(Sync!$Q1457),2)&amp;RIGHT("00"&amp;MINUTE(Sync!$Q1457),2),IFERROR(RIGHT("00"&amp;VALUE(LEFT(Sync!$Q1457,FIND(":",Sync!$Q1457)-1)),2)&amp;RIGHT("00"&amp;VALUE(MID(Sync!$Q1457,FIND(":",Sync!$Q1457)+1,2)),2),"0000"))))</f>
        <v/>
      </c>
      <c r="AK1457">
        <f>IF(OR($AE1457="",$AI1457="",$AI1457="نامعتبر"),"",LEFT($AI1457,4)&amp;MID($AI1457,6,2)&amp;RIGHT($AI1457,2)&amp;$AJ1457&amp;"|"&amp;"3"&amp;RIGHT("00000"&amp;1452,5))</f>
        <v/>
      </c>
      <c r="AL1457">
        <f>IF($AK1457="","",COUNTIFS(LdAParty,$AE1457,LdAType,1,LdAKey,"&lt;"&amp;$AK1457)+COUNTIFS(LdBMember,$AE1457,LdBKey,"&lt;"&amp;$AK1457)+COUNTIFS(LdCParty,$AE1457,LdCKey,"&lt;"&amp;$AK1457)+1)</f>
        <v/>
      </c>
      <c r="AM1457">
        <f>IF($AL1457="","",$AE1457&amp;"|"&amp;RIGHT("000000"&amp;$AL1457,6))</f>
        <v/>
      </c>
      <c r="AN1457">
        <f>IF($AE1457="","",IF(Sync!$W1457="",0,Sync!$W1457))</f>
        <v/>
      </c>
      <c r="AO1457">
        <f>IF($AE1457="","",IF(Sync!$X1457="",0,Sync!$X1457))</f>
        <v/>
      </c>
      <c r="AP1457">
        <f>IF($AE1457="","",Sync!$R1457)</f>
        <v/>
      </c>
      <c r="AQ1457">
        <f>IF($AE1457="","",Sync!$Y1457)</f>
        <v/>
      </c>
    </row>
    <row r="1458">
      <c r="A1458">
        <f>IF(OR(Wages!$B1461="",Wages!$E1461=""),"",Wages!$E1461)</f>
        <v/>
      </c>
      <c r="B1458">
        <f>IF($A1458="","",IF(Wages!$C1461="دستمزد گروهی",2,1))</f>
        <v/>
      </c>
      <c r="C1458">
        <f>IF($A1458="","",IF(ISNUMBER(Wages!$B1461),IF(AND(Wages!$B1461&gt;=10000101,Wages!$B1461&lt;=99991231),INT(Wages!$B1461/10000),""),IFERROR(VALUE(TRIM(LEFT(Wages!$B1461,FIND("/",Wages!$B1461)-1))),"")))</f>
        <v/>
      </c>
      <c r="D1458">
        <f>IF(OR($A1458="",$C1458=""),"",IF(ISNUMBER(Wages!$B1461),INT(MOD(Wages!$B1461,10000)/100),IFERROR(VALUE(TRIM(LEFT(MID(Wages!$B1461,FIND("/",Wages!$B1461)+1,20),FIND("/",MID(Wages!$B1461,FIND("/",Wages!$B1461)+1,20))-1))),"")))</f>
        <v/>
      </c>
      <c r="E1458">
        <f>IF(OR($A1458="",$C1458=""),"",IF(ISNUMBER(Wages!$B1461),MOD(Wages!$B1461,100),IFERROR(VALUE(TRIM(MID(MID(Wages!$B1461,FIND("/",Wages!$B1461)+1,20),FIND("/",MID(Wages!$B1461,FIND("/",Wages!$B1461)+1,20))+1,20))),"")))</f>
        <v/>
      </c>
      <c r="F1458">
        <f>IF($A1458="","",IF(OR($C1458="",$D1458="",$E1458="",$C1458&lt;1300,$C1458&gt;1500,$D1458&lt;1,$D1458&gt;12,$E1458&lt;1,$E1458&gt;31),"نامعتبر",RIGHT("0000"&amp;$C1458,4)&amp;"/"&amp;RIGHT("00"&amp;$D1458,2)&amp;"/"&amp;RIGHT("00"&amp;$E1458,2)))</f>
        <v/>
      </c>
      <c r="G1458">
        <f>IF(OR($A1458="",$F1458="",$F1458="نامعتبر"),"",LEFT($F1458,4)&amp;MID($F1458,6,2)&amp;RIGHT($F1458,2)&amp;"0000"&amp;"|"&amp;"1"&amp;RIGHT("00000"&amp;1453,5))</f>
        <v/>
      </c>
      <c r="H1458">
        <f>IF(OR($B1458&lt;&gt;1,$G1458=""),"",COUNTIFS(LdAParty,$A1458,LdAType,1,LdAKey,"&lt;"&amp;$G1458)+COUNTIFS(LdBMember,$A1458,LdBKey,"&lt;"&amp;$G1458)+COUNTIFS(LdCParty,$A1458,LdCKey,"&lt;"&amp;$G1458)+1)</f>
        <v/>
      </c>
      <c r="I1458">
        <f>IF($H1458="","",$A1458&amp;"|"&amp;RIGHT("000000"&amp;$H1458,6))</f>
        <v/>
      </c>
      <c r="J1458">
        <f>IF(OR($B1458&lt;&gt;2,$G1458=""),"",COUNTIFS(LdAParty,$A1458,LdAType,2,LdAKey,"&lt;"&amp;$G1458)+1)</f>
        <v/>
      </c>
      <c r="K1458">
        <f>IF($J1458="","",$A1458&amp;"|"&amp;RIGHT("000000"&amp;$J1458,6))</f>
        <v/>
      </c>
      <c r="L1458">
        <f>IF($A1458="","",IF(Wages!$G1461="",0,Wages!$G1461))</f>
        <v/>
      </c>
      <c r="M1458">
        <f>IF($A1458="","",Wages!$J1461)</f>
        <v/>
      </c>
      <c r="N1458">
        <f>IF($A1458="","",Wages!$D1461)</f>
        <v/>
      </c>
      <c r="P1458">
        <f>IF(OR(Shares!$B1461="",Shares!$C1461=""),"",Shares!$C1461)</f>
        <v/>
      </c>
      <c r="Q1458">
        <f>IF($P1458="","",Shares!$B1461)</f>
        <v/>
      </c>
      <c r="R1458">
        <f>IF($P1458="","",IFERROR(INDEX(WageParty,MATCH($Q1458,WageIds,0)),""))</f>
        <v/>
      </c>
      <c r="S1458">
        <f>IF($P1458="","",IFERROR(INDEX($F$6:$F$2005,MATCH($Q1458,WageIds,0)),""))</f>
        <v/>
      </c>
      <c r="T1458">
        <f>IF(OR($P1458="",$S1458="",$S1458="نامعتبر"),"",LEFT($S1458,4)&amp;MID($S1458,6,2)&amp;RIGHT($S1458,2)&amp;"0000"&amp;"|"&amp;"2"&amp;RIGHT("00000"&amp;1453,5))</f>
        <v/>
      </c>
      <c r="U1458">
        <f>IF($T1458="","",COUNTIFS(LdAParty,$P1458,LdAType,1,LdAKey,"&lt;"&amp;$T1458)+COUNTIFS(LdBMember,$P1458,LdBKey,"&lt;"&amp;$T1458)+COUNTIFS(LdCParty,$P1458,LdCKey,"&lt;"&amp;$T1458)+1)</f>
        <v/>
      </c>
      <c r="V1458">
        <f>IF($U1458="","",$P1458&amp;"|"&amp;RIGHT("000000"&amp;$U1458,6))</f>
        <v/>
      </c>
      <c r="W1458">
        <f>IF($T1458="","",COUNTIFS(LdBGroup,$R1458,LdBKey,"&lt;"&amp;$T1458)+1)</f>
        <v/>
      </c>
      <c r="X1458">
        <f>IF($W1458="","",$R1458&amp;"|"&amp;RIGHT("000000"&amp;$W1458,6))</f>
        <v/>
      </c>
      <c r="Y1458">
        <f>IF($P1458="","",IF(Shares!$E1461="",0,Shares!$E1461))</f>
        <v/>
      </c>
      <c r="Z1458">
        <f>IF($P1458="","",Shares!$H1461)</f>
        <v/>
      </c>
      <c r="AE1458">
        <f>IF(OR(Sync!$S1458="",Sync!$P1458=""),"",Sync!$S1458)</f>
        <v/>
      </c>
      <c r="AF1458">
        <f>IF($AE1458="","",IF(ISNUMBER(Sync!$P1458),IF(AND(Sync!$P1458&gt;=10000101,Sync!$P1458&lt;=99991231),INT(Sync!$P1458/10000),""),IFERROR(VALUE(TRIM(LEFT(Sync!$P1458,FIND("/",Sync!$P1458)-1))),"")))</f>
        <v/>
      </c>
      <c r="AG1458">
        <f>IF(OR($AE1458="",$AF1458=""),"",IF(ISNUMBER(Sync!$P1458),INT(MOD(Sync!$P1458,10000)/100),IFERROR(VALUE(TRIM(LEFT(MID(Sync!$P1458,FIND("/",Sync!$P1458)+1,20),FIND("/",MID(Sync!$P1458,FIND("/",Sync!$P1458)+1,20))-1))),"")))</f>
        <v/>
      </c>
      <c r="AH1458">
        <f>IF(OR($AE1458="",$AF1458=""),"",IF(ISNUMBER(Sync!$P1458),MOD(Sync!$P1458,100),IFERROR(VALUE(TRIM(MID(MID(Sync!$P1458,FIND("/",Sync!$P1458)+1,20),FIND("/",MID(Sync!$P1458,FIND("/",Sync!$P1458)+1,20))+1,20))),"")))</f>
        <v/>
      </c>
      <c r="AI1458">
        <f>IF($AE1458="","",IF(OR($AF1458="",$AG1458="",$AH1458="",$AF1458&lt;1300,$AF1458&gt;1500,$AG1458&lt;1,$AG1458&gt;12,$AH1458&lt;1,$AH1458&gt;31),"نامعتبر",RIGHT("0000"&amp;$AF1458,4)&amp;"/"&amp;RIGHT("00"&amp;$AG1458,2)&amp;"/"&amp;RIGHT("00"&amp;$AH1458,2)))</f>
        <v/>
      </c>
      <c r="AJ1458">
        <f>IF($AE1458="","",IF(Sync!$Q1458="","0000",IF(AND(ISNUMBER(Sync!$Q1458),Sync!$Q1458&gt;=0,Sync!$Q1458&lt;1),RIGHT("00"&amp;HOUR(Sync!$Q1458),2)&amp;RIGHT("00"&amp;MINUTE(Sync!$Q1458),2),IFERROR(RIGHT("00"&amp;VALUE(LEFT(Sync!$Q1458,FIND(":",Sync!$Q1458)-1)),2)&amp;RIGHT("00"&amp;VALUE(MID(Sync!$Q1458,FIND(":",Sync!$Q1458)+1,2)),2),"0000"))))</f>
        <v/>
      </c>
      <c r="AK1458">
        <f>IF(OR($AE1458="",$AI1458="",$AI1458="نامعتبر"),"",LEFT($AI1458,4)&amp;MID($AI1458,6,2)&amp;RIGHT($AI1458,2)&amp;$AJ1458&amp;"|"&amp;"3"&amp;RIGHT("00000"&amp;1453,5))</f>
        <v/>
      </c>
      <c r="AL1458">
        <f>IF($AK1458="","",COUNTIFS(LdAParty,$AE1458,LdAType,1,LdAKey,"&lt;"&amp;$AK1458)+COUNTIFS(LdBMember,$AE1458,LdBKey,"&lt;"&amp;$AK1458)+COUNTIFS(LdCParty,$AE1458,LdCKey,"&lt;"&amp;$AK1458)+1)</f>
        <v/>
      </c>
      <c r="AM1458">
        <f>IF($AL1458="","",$AE1458&amp;"|"&amp;RIGHT("000000"&amp;$AL1458,6))</f>
        <v/>
      </c>
      <c r="AN1458">
        <f>IF($AE1458="","",IF(Sync!$W1458="",0,Sync!$W1458))</f>
        <v/>
      </c>
      <c r="AO1458">
        <f>IF($AE1458="","",IF(Sync!$X1458="",0,Sync!$X1458))</f>
        <v/>
      </c>
      <c r="AP1458">
        <f>IF($AE1458="","",Sync!$R1458)</f>
        <v/>
      </c>
      <c r="AQ1458">
        <f>IF($AE1458="","",Sync!$Y1458)</f>
        <v/>
      </c>
    </row>
    <row r="1459">
      <c r="A1459">
        <f>IF(OR(Wages!$B1462="",Wages!$E1462=""),"",Wages!$E1462)</f>
        <v/>
      </c>
      <c r="B1459">
        <f>IF($A1459="","",IF(Wages!$C1462="دستمزد گروهی",2,1))</f>
        <v/>
      </c>
      <c r="C1459">
        <f>IF($A1459="","",IF(ISNUMBER(Wages!$B1462),IF(AND(Wages!$B1462&gt;=10000101,Wages!$B1462&lt;=99991231),INT(Wages!$B1462/10000),""),IFERROR(VALUE(TRIM(LEFT(Wages!$B1462,FIND("/",Wages!$B1462)-1))),"")))</f>
        <v/>
      </c>
      <c r="D1459">
        <f>IF(OR($A1459="",$C1459=""),"",IF(ISNUMBER(Wages!$B1462),INT(MOD(Wages!$B1462,10000)/100),IFERROR(VALUE(TRIM(LEFT(MID(Wages!$B1462,FIND("/",Wages!$B1462)+1,20),FIND("/",MID(Wages!$B1462,FIND("/",Wages!$B1462)+1,20))-1))),"")))</f>
        <v/>
      </c>
      <c r="E1459">
        <f>IF(OR($A1459="",$C1459=""),"",IF(ISNUMBER(Wages!$B1462),MOD(Wages!$B1462,100),IFERROR(VALUE(TRIM(MID(MID(Wages!$B1462,FIND("/",Wages!$B1462)+1,20),FIND("/",MID(Wages!$B1462,FIND("/",Wages!$B1462)+1,20))+1,20))),"")))</f>
        <v/>
      </c>
      <c r="F1459">
        <f>IF($A1459="","",IF(OR($C1459="",$D1459="",$E1459="",$C1459&lt;1300,$C1459&gt;1500,$D1459&lt;1,$D1459&gt;12,$E1459&lt;1,$E1459&gt;31),"نامعتبر",RIGHT("0000"&amp;$C1459,4)&amp;"/"&amp;RIGHT("00"&amp;$D1459,2)&amp;"/"&amp;RIGHT("00"&amp;$E1459,2)))</f>
        <v/>
      </c>
      <c r="G1459">
        <f>IF(OR($A1459="",$F1459="",$F1459="نامعتبر"),"",LEFT($F1459,4)&amp;MID($F1459,6,2)&amp;RIGHT($F1459,2)&amp;"0000"&amp;"|"&amp;"1"&amp;RIGHT("00000"&amp;1454,5))</f>
        <v/>
      </c>
      <c r="H1459">
        <f>IF(OR($B1459&lt;&gt;1,$G1459=""),"",COUNTIFS(LdAParty,$A1459,LdAType,1,LdAKey,"&lt;"&amp;$G1459)+COUNTIFS(LdBMember,$A1459,LdBKey,"&lt;"&amp;$G1459)+COUNTIFS(LdCParty,$A1459,LdCKey,"&lt;"&amp;$G1459)+1)</f>
        <v/>
      </c>
      <c r="I1459">
        <f>IF($H1459="","",$A1459&amp;"|"&amp;RIGHT("000000"&amp;$H1459,6))</f>
        <v/>
      </c>
      <c r="J1459">
        <f>IF(OR($B1459&lt;&gt;2,$G1459=""),"",COUNTIFS(LdAParty,$A1459,LdAType,2,LdAKey,"&lt;"&amp;$G1459)+1)</f>
        <v/>
      </c>
      <c r="K1459">
        <f>IF($J1459="","",$A1459&amp;"|"&amp;RIGHT("000000"&amp;$J1459,6))</f>
        <v/>
      </c>
      <c r="L1459">
        <f>IF($A1459="","",IF(Wages!$G1462="",0,Wages!$G1462))</f>
        <v/>
      </c>
      <c r="M1459">
        <f>IF($A1459="","",Wages!$J1462)</f>
        <v/>
      </c>
      <c r="N1459">
        <f>IF($A1459="","",Wages!$D1462)</f>
        <v/>
      </c>
      <c r="P1459">
        <f>IF(OR(Shares!$B1462="",Shares!$C1462=""),"",Shares!$C1462)</f>
        <v/>
      </c>
      <c r="Q1459">
        <f>IF($P1459="","",Shares!$B1462)</f>
        <v/>
      </c>
      <c r="R1459">
        <f>IF($P1459="","",IFERROR(INDEX(WageParty,MATCH($Q1459,WageIds,0)),""))</f>
        <v/>
      </c>
      <c r="S1459">
        <f>IF($P1459="","",IFERROR(INDEX($F$6:$F$2005,MATCH($Q1459,WageIds,0)),""))</f>
        <v/>
      </c>
      <c r="T1459">
        <f>IF(OR($P1459="",$S1459="",$S1459="نامعتبر"),"",LEFT($S1459,4)&amp;MID($S1459,6,2)&amp;RIGHT($S1459,2)&amp;"0000"&amp;"|"&amp;"2"&amp;RIGHT("00000"&amp;1454,5))</f>
        <v/>
      </c>
      <c r="U1459">
        <f>IF($T1459="","",COUNTIFS(LdAParty,$P1459,LdAType,1,LdAKey,"&lt;"&amp;$T1459)+COUNTIFS(LdBMember,$P1459,LdBKey,"&lt;"&amp;$T1459)+COUNTIFS(LdCParty,$P1459,LdCKey,"&lt;"&amp;$T1459)+1)</f>
        <v/>
      </c>
      <c r="V1459">
        <f>IF($U1459="","",$P1459&amp;"|"&amp;RIGHT("000000"&amp;$U1459,6))</f>
        <v/>
      </c>
      <c r="W1459">
        <f>IF($T1459="","",COUNTIFS(LdBGroup,$R1459,LdBKey,"&lt;"&amp;$T1459)+1)</f>
        <v/>
      </c>
      <c r="X1459">
        <f>IF($W1459="","",$R1459&amp;"|"&amp;RIGHT("000000"&amp;$W1459,6))</f>
        <v/>
      </c>
      <c r="Y1459">
        <f>IF($P1459="","",IF(Shares!$E1462="",0,Shares!$E1462))</f>
        <v/>
      </c>
      <c r="Z1459">
        <f>IF($P1459="","",Shares!$H1462)</f>
        <v/>
      </c>
      <c r="AE1459">
        <f>IF(OR(Sync!$S1459="",Sync!$P1459=""),"",Sync!$S1459)</f>
        <v/>
      </c>
      <c r="AF1459">
        <f>IF($AE1459="","",IF(ISNUMBER(Sync!$P1459),IF(AND(Sync!$P1459&gt;=10000101,Sync!$P1459&lt;=99991231),INT(Sync!$P1459/10000),""),IFERROR(VALUE(TRIM(LEFT(Sync!$P1459,FIND("/",Sync!$P1459)-1))),"")))</f>
        <v/>
      </c>
      <c r="AG1459">
        <f>IF(OR($AE1459="",$AF1459=""),"",IF(ISNUMBER(Sync!$P1459),INT(MOD(Sync!$P1459,10000)/100),IFERROR(VALUE(TRIM(LEFT(MID(Sync!$P1459,FIND("/",Sync!$P1459)+1,20),FIND("/",MID(Sync!$P1459,FIND("/",Sync!$P1459)+1,20))-1))),"")))</f>
        <v/>
      </c>
      <c r="AH1459">
        <f>IF(OR($AE1459="",$AF1459=""),"",IF(ISNUMBER(Sync!$P1459),MOD(Sync!$P1459,100),IFERROR(VALUE(TRIM(MID(MID(Sync!$P1459,FIND("/",Sync!$P1459)+1,20),FIND("/",MID(Sync!$P1459,FIND("/",Sync!$P1459)+1,20))+1,20))),"")))</f>
        <v/>
      </c>
      <c r="AI1459">
        <f>IF($AE1459="","",IF(OR($AF1459="",$AG1459="",$AH1459="",$AF1459&lt;1300,$AF1459&gt;1500,$AG1459&lt;1,$AG1459&gt;12,$AH1459&lt;1,$AH1459&gt;31),"نامعتبر",RIGHT("0000"&amp;$AF1459,4)&amp;"/"&amp;RIGHT("00"&amp;$AG1459,2)&amp;"/"&amp;RIGHT("00"&amp;$AH1459,2)))</f>
        <v/>
      </c>
      <c r="AJ1459">
        <f>IF($AE1459="","",IF(Sync!$Q1459="","0000",IF(AND(ISNUMBER(Sync!$Q1459),Sync!$Q1459&gt;=0,Sync!$Q1459&lt;1),RIGHT("00"&amp;HOUR(Sync!$Q1459),2)&amp;RIGHT("00"&amp;MINUTE(Sync!$Q1459),2),IFERROR(RIGHT("00"&amp;VALUE(LEFT(Sync!$Q1459,FIND(":",Sync!$Q1459)-1)),2)&amp;RIGHT("00"&amp;VALUE(MID(Sync!$Q1459,FIND(":",Sync!$Q1459)+1,2)),2),"0000"))))</f>
        <v/>
      </c>
      <c r="AK1459">
        <f>IF(OR($AE1459="",$AI1459="",$AI1459="نامعتبر"),"",LEFT($AI1459,4)&amp;MID($AI1459,6,2)&amp;RIGHT($AI1459,2)&amp;$AJ1459&amp;"|"&amp;"3"&amp;RIGHT("00000"&amp;1454,5))</f>
        <v/>
      </c>
      <c r="AL1459">
        <f>IF($AK1459="","",COUNTIFS(LdAParty,$AE1459,LdAType,1,LdAKey,"&lt;"&amp;$AK1459)+COUNTIFS(LdBMember,$AE1459,LdBKey,"&lt;"&amp;$AK1459)+COUNTIFS(LdCParty,$AE1459,LdCKey,"&lt;"&amp;$AK1459)+1)</f>
        <v/>
      </c>
      <c r="AM1459">
        <f>IF($AL1459="","",$AE1459&amp;"|"&amp;RIGHT("000000"&amp;$AL1459,6))</f>
        <v/>
      </c>
      <c r="AN1459">
        <f>IF($AE1459="","",IF(Sync!$W1459="",0,Sync!$W1459))</f>
        <v/>
      </c>
      <c r="AO1459">
        <f>IF($AE1459="","",IF(Sync!$X1459="",0,Sync!$X1459))</f>
        <v/>
      </c>
      <c r="AP1459">
        <f>IF($AE1459="","",Sync!$R1459)</f>
        <v/>
      </c>
      <c r="AQ1459">
        <f>IF($AE1459="","",Sync!$Y1459)</f>
        <v/>
      </c>
    </row>
    <row r="1460">
      <c r="A1460">
        <f>IF(OR(Wages!$B1463="",Wages!$E1463=""),"",Wages!$E1463)</f>
        <v/>
      </c>
      <c r="B1460">
        <f>IF($A1460="","",IF(Wages!$C1463="دستمزد گروهی",2,1))</f>
        <v/>
      </c>
      <c r="C1460">
        <f>IF($A1460="","",IF(ISNUMBER(Wages!$B1463),IF(AND(Wages!$B1463&gt;=10000101,Wages!$B1463&lt;=99991231),INT(Wages!$B1463/10000),""),IFERROR(VALUE(TRIM(LEFT(Wages!$B1463,FIND("/",Wages!$B1463)-1))),"")))</f>
        <v/>
      </c>
      <c r="D1460">
        <f>IF(OR($A1460="",$C1460=""),"",IF(ISNUMBER(Wages!$B1463),INT(MOD(Wages!$B1463,10000)/100),IFERROR(VALUE(TRIM(LEFT(MID(Wages!$B1463,FIND("/",Wages!$B1463)+1,20),FIND("/",MID(Wages!$B1463,FIND("/",Wages!$B1463)+1,20))-1))),"")))</f>
        <v/>
      </c>
      <c r="E1460">
        <f>IF(OR($A1460="",$C1460=""),"",IF(ISNUMBER(Wages!$B1463),MOD(Wages!$B1463,100),IFERROR(VALUE(TRIM(MID(MID(Wages!$B1463,FIND("/",Wages!$B1463)+1,20),FIND("/",MID(Wages!$B1463,FIND("/",Wages!$B1463)+1,20))+1,20))),"")))</f>
        <v/>
      </c>
      <c r="F1460">
        <f>IF($A1460="","",IF(OR($C1460="",$D1460="",$E1460="",$C1460&lt;1300,$C1460&gt;1500,$D1460&lt;1,$D1460&gt;12,$E1460&lt;1,$E1460&gt;31),"نامعتبر",RIGHT("0000"&amp;$C1460,4)&amp;"/"&amp;RIGHT("00"&amp;$D1460,2)&amp;"/"&amp;RIGHT("00"&amp;$E1460,2)))</f>
        <v/>
      </c>
      <c r="G1460">
        <f>IF(OR($A1460="",$F1460="",$F1460="نامعتبر"),"",LEFT($F1460,4)&amp;MID($F1460,6,2)&amp;RIGHT($F1460,2)&amp;"0000"&amp;"|"&amp;"1"&amp;RIGHT("00000"&amp;1455,5))</f>
        <v/>
      </c>
      <c r="H1460">
        <f>IF(OR($B1460&lt;&gt;1,$G1460=""),"",COUNTIFS(LdAParty,$A1460,LdAType,1,LdAKey,"&lt;"&amp;$G1460)+COUNTIFS(LdBMember,$A1460,LdBKey,"&lt;"&amp;$G1460)+COUNTIFS(LdCParty,$A1460,LdCKey,"&lt;"&amp;$G1460)+1)</f>
        <v/>
      </c>
      <c r="I1460">
        <f>IF($H1460="","",$A1460&amp;"|"&amp;RIGHT("000000"&amp;$H1460,6))</f>
        <v/>
      </c>
      <c r="J1460">
        <f>IF(OR($B1460&lt;&gt;2,$G1460=""),"",COUNTIFS(LdAParty,$A1460,LdAType,2,LdAKey,"&lt;"&amp;$G1460)+1)</f>
        <v/>
      </c>
      <c r="K1460">
        <f>IF($J1460="","",$A1460&amp;"|"&amp;RIGHT("000000"&amp;$J1460,6))</f>
        <v/>
      </c>
      <c r="L1460">
        <f>IF($A1460="","",IF(Wages!$G1463="",0,Wages!$G1463))</f>
        <v/>
      </c>
      <c r="M1460">
        <f>IF($A1460="","",Wages!$J1463)</f>
        <v/>
      </c>
      <c r="N1460">
        <f>IF($A1460="","",Wages!$D1463)</f>
        <v/>
      </c>
      <c r="P1460">
        <f>IF(OR(Shares!$B1463="",Shares!$C1463=""),"",Shares!$C1463)</f>
        <v/>
      </c>
      <c r="Q1460">
        <f>IF($P1460="","",Shares!$B1463)</f>
        <v/>
      </c>
      <c r="R1460">
        <f>IF($P1460="","",IFERROR(INDEX(WageParty,MATCH($Q1460,WageIds,0)),""))</f>
        <v/>
      </c>
      <c r="S1460">
        <f>IF($P1460="","",IFERROR(INDEX($F$6:$F$2005,MATCH($Q1460,WageIds,0)),""))</f>
        <v/>
      </c>
      <c r="T1460">
        <f>IF(OR($P1460="",$S1460="",$S1460="نامعتبر"),"",LEFT($S1460,4)&amp;MID($S1460,6,2)&amp;RIGHT($S1460,2)&amp;"0000"&amp;"|"&amp;"2"&amp;RIGHT("00000"&amp;1455,5))</f>
        <v/>
      </c>
      <c r="U1460">
        <f>IF($T1460="","",COUNTIFS(LdAParty,$P1460,LdAType,1,LdAKey,"&lt;"&amp;$T1460)+COUNTIFS(LdBMember,$P1460,LdBKey,"&lt;"&amp;$T1460)+COUNTIFS(LdCParty,$P1460,LdCKey,"&lt;"&amp;$T1460)+1)</f>
        <v/>
      </c>
      <c r="V1460">
        <f>IF($U1460="","",$P1460&amp;"|"&amp;RIGHT("000000"&amp;$U1460,6))</f>
        <v/>
      </c>
      <c r="W1460">
        <f>IF($T1460="","",COUNTIFS(LdBGroup,$R1460,LdBKey,"&lt;"&amp;$T1460)+1)</f>
        <v/>
      </c>
      <c r="X1460">
        <f>IF($W1460="","",$R1460&amp;"|"&amp;RIGHT("000000"&amp;$W1460,6))</f>
        <v/>
      </c>
      <c r="Y1460">
        <f>IF($P1460="","",IF(Shares!$E1463="",0,Shares!$E1463))</f>
        <v/>
      </c>
      <c r="Z1460">
        <f>IF($P1460="","",Shares!$H1463)</f>
        <v/>
      </c>
      <c r="AE1460">
        <f>IF(OR(Sync!$S1460="",Sync!$P1460=""),"",Sync!$S1460)</f>
        <v/>
      </c>
      <c r="AF1460">
        <f>IF($AE1460="","",IF(ISNUMBER(Sync!$P1460),IF(AND(Sync!$P1460&gt;=10000101,Sync!$P1460&lt;=99991231),INT(Sync!$P1460/10000),""),IFERROR(VALUE(TRIM(LEFT(Sync!$P1460,FIND("/",Sync!$P1460)-1))),"")))</f>
        <v/>
      </c>
      <c r="AG1460">
        <f>IF(OR($AE1460="",$AF1460=""),"",IF(ISNUMBER(Sync!$P1460),INT(MOD(Sync!$P1460,10000)/100),IFERROR(VALUE(TRIM(LEFT(MID(Sync!$P1460,FIND("/",Sync!$P1460)+1,20),FIND("/",MID(Sync!$P1460,FIND("/",Sync!$P1460)+1,20))-1))),"")))</f>
        <v/>
      </c>
      <c r="AH1460">
        <f>IF(OR($AE1460="",$AF1460=""),"",IF(ISNUMBER(Sync!$P1460),MOD(Sync!$P1460,100),IFERROR(VALUE(TRIM(MID(MID(Sync!$P1460,FIND("/",Sync!$P1460)+1,20),FIND("/",MID(Sync!$P1460,FIND("/",Sync!$P1460)+1,20))+1,20))),"")))</f>
        <v/>
      </c>
      <c r="AI1460">
        <f>IF($AE1460="","",IF(OR($AF1460="",$AG1460="",$AH1460="",$AF1460&lt;1300,$AF1460&gt;1500,$AG1460&lt;1,$AG1460&gt;12,$AH1460&lt;1,$AH1460&gt;31),"نامعتبر",RIGHT("0000"&amp;$AF1460,4)&amp;"/"&amp;RIGHT("00"&amp;$AG1460,2)&amp;"/"&amp;RIGHT("00"&amp;$AH1460,2)))</f>
        <v/>
      </c>
      <c r="AJ1460">
        <f>IF($AE1460="","",IF(Sync!$Q1460="","0000",IF(AND(ISNUMBER(Sync!$Q1460),Sync!$Q1460&gt;=0,Sync!$Q1460&lt;1),RIGHT("00"&amp;HOUR(Sync!$Q1460),2)&amp;RIGHT("00"&amp;MINUTE(Sync!$Q1460),2),IFERROR(RIGHT("00"&amp;VALUE(LEFT(Sync!$Q1460,FIND(":",Sync!$Q1460)-1)),2)&amp;RIGHT("00"&amp;VALUE(MID(Sync!$Q1460,FIND(":",Sync!$Q1460)+1,2)),2),"0000"))))</f>
        <v/>
      </c>
      <c r="AK1460">
        <f>IF(OR($AE1460="",$AI1460="",$AI1460="نامعتبر"),"",LEFT($AI1460,4)&amp;MID($AI1460,6,2)&amp;RIGHT($AI1460,2)&amp;$AJ1460&amp;"|"&amp;"3"&amp;RIGHT("00000"&amp;1455,5))</f>
        <v/>
      </c>
      <c r="AL1460">
        <f>IF($AK1460="","",COUNTIFS(LdAParty,$AE1460,LdAType,1,LdAKey,"&lt;"&amp;$AK1460)+COUNTIFS(LdBMember,$AE1460,LdBKey,"&lt;"&amp;$AK1460)+COUNTIFS(LdCParty,$AE1460,LdCKey,"&lt;"&amp;$AK1460)+1)</f>
        <v/>
      </c>
      <c r="AM1460">
        <f>IF($AL1460="","",$AE1460&amp;"|"&amp;RIGHT("000000"&amp;$AL1460,6))</f>
        <v/>
      </c>
      <c r="AN1460">
        <f>IF($AE1460="","",IF(Sync!$W1460="",0,Sync!$W1460))</f>
        <v/>
      </c>
      <c r="AO1460">
        <f>IF($AE1460="","",IF(Sync!$X1460="",0,Sync!$X1460))</f>
        <v/>
      </c>
      <c r="AP1460">
        <f>IF($AE1460="","",Sync!$R1460)</f>
        <v/>
      </c>
      <c r="AQ1460">
        <f>IF($AE1460="","",Sync!$Y1460)</f>
        <v/>
      </c>
    </row>
    <row r="1461">
      <c r="A1461">
        <f>IF(OR(Wages!$B1464="",Wages!$E1464=""),"",Wages!$E1464)</f>
        <v/>
      </c>
      <c r="B1461">
        <f>IF($A1461="","",IF(Wages!$C1464="دستمزد گروهی",2,1))</f>
        <v/>
      </c>
      <c r="C1461">
        <f>IF($A1461="","",IF(ISNUMBER(Wages!$B1464),IF(AND(Wages!$B1464&gt;=10000101,Wages!$B1464&lt;=99991231),INT(Wages!$B1464/10000),""),IFERROR(VALUE(TRIM(LEFT(Wages!$B1464,FIND("/",Wages!$B1464)-1))),"")))</f>
        <v/>
      </c>
      <c r="D1461">
        <f>IF(OR($A1461="",$C1461=""),"",IF(ISNUMBER(Wages!$B1464),INT(MOD(Wages!$B1464,10000)/100),IFERROR(VALUE(TRIM(LEFT(MID(Wages!$B1464,FIND("/",Wages!$B1464)+1,20),FIND("/",MID(Wages!$B1464,FIND("/",Wages!$B1464)+1,20))-1))),"")))</f>
        <v/>
      </c>
      <c r="E1461">
        <f>IF(OR($A1461="",$C1461=""),"",IF(ISNUMBER(Wages!$B1464),MOD(Wages!$B1464,100),IFERROR(VALUE(TRIM(MID(MID(Wages!$B1464,FIND("/",Wages!$B1464)+1,20),FIND("/",MID(Wages!$B1464,FIND("/",Wages!$B1464)+1,20))+1,20))),"")))</f>
        <v/>
      </c>
      <c r="F1461">
        <f>IF($A1461="","",IF(OR($C1461="",$D1461="",$E1461="",$C1461&lt;1300,$C1461&gt;1500,$D1461&lt;1,$D1461&gt;12,$E1461&lt;1,$E1461&gt;31),"نامعتبر",RIGHT("0000"&amp;$C1461,4)&amp;"/"&amp;RIGHT("00"&amp;$D1461,2)&amp;"/"&amp;RIGHT("00"&amp;$E1461,2)))</f>
        <v/>
      </c>
      <c r="G1461">
        <f>IF(OR($A1461="",$F1461="",$F1461="نامعتبر"),"",LEFT($F1461,4)&amp;MID($F1461,6,2)&amp;RIGHT($F1461,2)&amp;"0000"&amp;"|"&amp;"1"&amp;RIGHT("00000"&amp;1456,5))</f>
        <v/>
      </c>
      <c r="H1461">
        <f>IF(OR($B1461&lt;&gt;1,$G1461=""),"",COUNTIFS(LdAParty,$A1461,LdAType,1,LdAKey,"&lt;"&amp;$G1461)+COUNTIFS(LdBMember,$A1461,LdBKey,"&lt;"&amp;$G1461)+COUNTIFS(LdCParty,$A1461,LdCKey,"&lt;"&amp;$G1461)+1)</f>
        <v/>
      </c>
      <c r="I1461">
        <f>IF($H1461="","",$A1461&amp;"|"&amp;RIGHT("000000"&amp;$H1461,6))</f>
        <v/>
      </c>
      <c r="J1461">
        <f>IF(OR($B1461&lt;&gt;2,$G1461=""),"",COUNTIFS(LdAParty,$A1461,LdAType,2,LdAKey,"&lt;"&amp;$G1461)+1)</f>
        <v/>
      </c>
      <c r="K1461">
        <f>IF($J1461="","",$A1461&amp;"|"&amp;RIGHT("000000"&amp;$J1461,6))</f>
        <v/>
      </c>
      <c r="L1461">
        <f>IF($A1461="","",IF(Wages!$G1464="",0,Wages!$G1464))</f>
        <v/>
      </c>
      <c r="M1461">
        <f>IF($A1461="","",Wages!$J1464)</f>
        <v/>
      </c>
      <c r="N1461">
        <f>IF($A1461="","",Wages!$D1464)</f>
        <v/>
      </c>
      <c r="P1461">
        <f>IF(OR(Shares!$B1464="",Shares!$C1464=""),"",Shares!$C1464)</f>
        <v/>
      </c>
      <c r="Q1461">
        <f>IF($P1461="","",Shares!$B1464)</f>
        <v/>
      </c>
      <c r="R1461">
        <f>IF($P1461="","",IFERROR(INDEX(WageParty,MATCH($Q1461,WageIds,0)),""))</f>
        <v/>
      </c>
      <c r="S1461">
        <f>IF($P1461="","",IFERROR(INDEX($F$6:$F$2005,MATCH($Q1461,WageIds,0)),""))</f>
        <v/>
      </c>
      <c r="T1461">
        <f>IF(OR($P1461="",$S1461="",$S1461="نامعتبر"),"",LEFT($S1461,4)&amp;MID($S1461,6,2)&amp;RIGHT($S1461,2)&amp;"0000"&amp;"|"&amp;"2"&amp;RIGHT("00000"&amp;1456,5))</f>
        <v/>
      </c>
      <c r="U1461">
        <f>IF($T1461="","",COUNTIFS(LdAParty,$P1461,LdAType,1,LdAKey,"&lt;"&amp;$T1461)+COUNTIFS(LdBMember,$P1461,LdBKey,"&lt;"&amp;$T1461)+COUNTIFS(LdCParty,$P1461,LdCKey,"&lt;"&amp;$T1461)+1)</f>
        <v/>
      </c>
      <c r="V1461">
        <f>IF($U1461="","",$P1461&amp;"|"&amp;RIGHT("000000"&amp;$U1461,6))</f>
        <v/>
      </c>
      <c r="W1461">
        <f>IF($T1461="","",COUNTIFS(LdBGroup,$R1461,LdBKey,"&lt;"&amp;$T1461)+1)</f>
        <v/>
      </c>
      <c r="X1461">
        <f>IF($W1461="","",$R1461&amp;"|"&amp;RIGHT("000000"&amp;$W1461,6))</f>
        <v/>
      </c>
      <c r="Y1461">
        <f>IF($P1461="","",IF(Shares!$E1464="",0,Shares!$E1464))</f>
        <v/>
      </c>
      <c r="Z1461">
        <f>IF($P1461="","",Shares!$H1464)</f>
        <v/>
      </c>
      <c r="AE1461">
        <f>IF(OR(Sync!$S1461="",Sync!$P1461=""),"",Sync!$S1461)</f>
        <v/>
      </c>
      <c r="AF1461">
        <f>IF($AE1461="","",IF(ISNUMBER(Sync!$P1461),IF(AND(Sync!$P1461&gt;=10000101,Sync!$P1461&lt;=99991231),INT(Sync!$P1461/10000),""),IFERROR(VALUE(TRIM(LEFT(Sync!$P1461,FIND("/",Sync!$P1461)-1))),"")))</f>
        <v/>
      </c>
      <c r="AG1461">
        <f>IF(OR($AE1461="",$AF1461=""),"",IF(ISNUMBER(Sync!$P1461),INT(MOD(Sync!$P1461,10000)/100),IFERROR(VALUE(TRIM(LEFT(MID(Sync!$P1461,FIND("/",Sync!$P1461)+1,20),FIND("/",MID(Sync!$P1461,FIND("/",Sync!$P1461)+1,20))-1))),"")))</f>
        <v/>
      </c>
      <c r="AH1461">
        <f>IF(OR($AE1461="",$AF1461=""),"",IF(ISNUMBER(Sync!$P1461),MOD(Sync!$P1461,100),IFERROR(VALUE(TRIM(MID(MID(Sync!$P1461,FIND("/",Sync!$P1461)+1,20),FIND("/",MID(Sync!$P1461,FIND("/",Sync!$P1461)+1,20))+1,20))),"")))</f>
        <v/>
      </c>
      <c r="AI1461">
        <f>IF($AE1461="","",IF(OR($AF1461="",$AG1461="",$AH1461="",$AF1461&lt;1300,$AF1461&gt;1500,$AG1461&lt;1,$AG1461&gt;12,$AH1461&lt;1,$AH1461&gt;31),"نامعتبر",RIGHT("0000"&amp;$AF1461,4)&amp;"/"&amp;RIGHT("00"&amp;$AG1461,2)&amp;"/"&amp;RIGHT("00"&amp;$AH1461,2)))</f>
        <v/>
      </c>
      <c r="AJ1461">
        <f>IF($AE1461="","",IF(Sync!$Q1461="","0000",IF(AND(ISNUMBER(Sync!$Q1461),Sync!$Q1461&gt;=0,Sync!$Q1461&lt;1),RIGHT("00"&amp;HOUR(Sync!$Q1461),2)&amp;RIGHT("00"&amp;MINUTE(Sync!$Q1461),2),IFERROR(RIGHT("00"&amp;VALUE(LEFT(Sync!$Q1461,FIND(":",Sync!$Q1461)-1)),2)&amp;RIGHT("00"&amp;VALUE(MID(Sync!$Q1461,FIND(":",Sync!$Q1461)+1,2)),2),"0000"))))</f>
        <v/>
      </c>
      <c r="AK1461">
        <f>IF(OR($AE1461="",$AI1461="",$AI1461="نامعتبر"),"",LEFT($AI1461,4)&amp;MID($AI1461,6,2)&amp;RIGHT($AI1461,2)&amp;$AJ1461&amp;"|"&amp;"3"&amp;RIGHT("00000"&amp;1456,5))</f>
        <v/>
      </c>
      <c r="AL1461">
        <f>IF($AK1461="","",COUNTIFS(LdAParty,$AE1461,LdAType,1,LdAKey,"&lt;"&amp;$AK1461)+COUNTIFS(LdBMember,$AE1461,LdBKey,"&lt;"&amp;$AK1461)+COUNTIFS(LdCParty,$AE1461,LdCKey,"&lt;"&amp;$AK1461)+1)</f>
        <v/>
      </c>
      <c r="AM1461">
        <f>IF($AL1461="","",$AE1461&amp;"|"&amp;RIGHT("000000"&amp;$AL1461,6))</f>
        <v/>
      </c>
      <c r="AN1461">
        <f>IF($AE1461="","",IF(Sync!$W1461="",0,Sync!$W1461))</f>
        <v/>
      </c>
      <c r="AO1461">
        <f>IF($AE1461="","",IF(Sync!$X1461="",0,Sync!$X1461))</f>
        <v/>
      </c>
      <c r="AP1461">
        <f>IF($AE1461="","",Sync!$R1461)</f>
        <v/>
      </c>
      <c r="AQ1461">
        <f>IF($AE1461="","",Sync!$Y1461)</f>
        <v/>
      </c>
    </row>
    <row r="1462">
      <c r="A1462">
        <f>IF(OR(Wages!$B1465="",Wages!$E1465=""),"",Wages!$E1465)</f>
        <v/>
      </c>
      <c r="B1462">
        <f>IF($A1462="","",IF(Wages!$C1465="دستمزد گروهی",2,1))</f>
        <v/>
      </c>
      <c r="C1462">
        <f>IF($A1462="","",IF(ISNUMBER(Wages!$B1465),IF(AND(Wages!$B1465&gt;=10000101,Wages!$B1465&lt;=99991231),INT(Wages!$B1465/10000),""),IFERROR(VALUE(TRIM(LEFT(Wages!$B1465,FIND("/",Wages!$B1465)-1))),"")))</f>
        <v/>
      </c>
      <c r="D1462">
        <f>IF(OR($A1462="",$C1462=""),"",IF(ISNUMBER(Wages!$B1465),INT(MOD(Wages!$B1465,10000)/100),IFERROR(VALUE(TRIM(LEFT(MID(Wages!$B1465,FIND("/",Wages!$B1465)+1,20),FIND("/",MID(Wages!$B1465,FIND("/",Wages!$B1465)+1,20))-1))),"")))</f>
        <v/>
      </c>
      <c r="E1462">
        <f>IF(OR($A1462="",$C1462=""),"",IF(ISNUMBER(Wages!$B1465),MOD(Wages!$B1465,100),IFERROR(VALUE(TRIM(MID(MID(Wages!$B1465,FIND("/",Wages!$B1465)+1,20),FIND("/",MID(Wages!$B1465,FIND("/",Wages!$B1465)+1,20))+1,20))),"")))</f>
        <v/>
      </c>
      <c r="F1462">
        <f>IF($A1462="","",IF(OR($C1462="",$D1462="",$E1462="",$C1462&lt;1300,$C1462&gt;1500,$D1462&lt;1,$D1462&gt;12,$E1462&lt;1,$E1462&gt;31),"نامعتبر",RIGHT("0000"&amp;$C1462,4)&amp;"/"&amp;RIGHT("00"&amp;$D1462,2)&amp;"/"&amp;RIGHT("00"&amp;$E1462,2)))</f>
        <v/>
      </c>
      <c r="G1462">
        <f>IF(OR($A1462="",$F1462="",$F1462="نامعتبر"),"",LEFT($F1462,4)&amp;MID($F1462,6,2)&amp;RIGHT($F1462,2)&amp;"0000"&amp;"|"&amp;"1"&amp;RIGHT("00000"&amp;1457,5))</f>
        <v/>
      </c>
      <c r="H1462">
        <f>IF(OR($B1462&lt;&gt;1,$G1462=""),"",COUNTIFS(LdAParty,$A1462,LdAType,1,LdAKey,"&lt;"&amp;$G1462)+COUNTIFS(LdBMember,$A1462,LdBKey,"&lt;"&amp;$G1462)+COUNTIFS(LdCParty,$A1462,LdCKey,"&lt;"&amp;$G1462)+1)</f>
        <v/>
      </c>
      <c r="I1462">
        <f>IF($H1462="","",$A1462&amp;"|"&amp;RIGHT("000000"&amp;$H1462,6))</f>
        <v/>
      </c>
      <c r="J1462">
        <f>IF(OR($B1462&lt;&gt;2,$G1462=""),"",COUNTIFS(LdAParty,$A1462,LdAType,2,LdAKey,"&lt;"&amp;$G1462)+1)</f>
        <v/>
      </c>
      <c r="K1462">
        <f>IF($J1462="","",$A1462&amp;"|"&amp;RIGHT("000000"&amp;$J1462,6))</f>
        <v/>
      </c>
      <c r="L1462">
        <f>IF($A1462="","",IF(Wages!$G1465="",0,Wages!$G1465))</f>
        <v/>
      </c>
      <c r="M1462">
        <f>IF($A1462="","",Wages!$J1465)</f>
        <v/>
      </c>
      <c r="N1462">
        <f>IF($A1462="","",Wages!$D1465)</f>
        <v/>
      </c>
      <c r="P1462">
        <f>IF(OR(Shares!$B1465="",Shares!$C1465=""),"",Shares!$C1465)</f>
        <v/>
      </c>
      <c r="Q1462">
        <f>IF($P1462="","",Shares!$B1465)</f>
        <v/>
      </c>
      <c r="R1462">
        <f>IF($P1462="","",IFERROR(INDEX(WageParty,MATCH($Q1462,WageIds,0)),""))</f>
        <v/>
      </c>
      <c r="S1462">
        <f>IF($P1462="","",IFERROR(INDEX($F$6:$F$2005,MATCH($Q1462,WageIds,0)),""))</f>
        <v/>
      </c>
      <c r="T1462">
        <f>IF(OR($P1462="",$S1462="",$S1462="نامعتبر"),"",LEFT($S1462,4)&amp;MID($S1462,6,2)&amp;RIGHT($S1462,2)&amp;"0000"&amp;"|"&amp;"2"&amp;RIGHT("00000"&amp;1457,5))</f>
        <v/>
      </c>
      <c r="U1462">
        <f>IF($T1462="","",COUNTIFS(LdAParty,$P1462,LdAType,1,LdAKey,"&lt;"&amp;$T1462)+COUNTIFS(LdBMember,$P1462,LdBKey,"&lt;"&amp;$T1462)+COUNTIFS(LdCParty,$P1462,LdCKey,"&lt;"&amp;$T1462)+1)</f>
        <v/>
      </c>
      <c r="V1462">
        <f>IF($U1462="","",$P1462&amp;"|"&amp;RIGHT("000000"&amp;$U1462,6))</f>
        <v/>
      </c>
      <c r="W1462">
        <f>IF($T1462="","",COUNTIFS(LdBGroup,$R1462,LdBKey,"&lt;"&amp;$T1462)+1)</f>
        <v/>
      </c>
      <c r="X1462">
        <f>IF($W1462="","",$R1462&amp;"|"&amp;RIGHT("000000"&amp;$W1462,6))</f>
        <v/>
      </c>
      <c r="Y1462">
        <f>IF($P1462="","",IF(Shares!$E1465="",0,Shares!$E1465))</f>
        <v/>
      </c>
      <c r="Z1462">
        <f>IF($P1462="","",Shares!$H1465)</f>
        <v/>
      </c>
      <c r="AE1462">
        <f>IF(OR(Sync!$S1462="",Sync!$P1462=""),"",Sync!$S1462)</f>
        <v/>
      </c>
      <c r="AF1462">
        <f>IF($AE1462="","",IF(ISNUMBER(Sync!$P1462),IF(AND(Sync!$P1462&gt;=10000101,Sync!$P1462&lt;=99991231),INT(Sync!$P1462/10000),""),IFERROR(VALUE(TRIM(LEFT(Sync!$P1462,FIND("/",Sync!$P1462)-1))),"")))</f>
        <v/>
      </c>
      <c r="AG1462">
        <f>IF(OR($AE1462="",$AF1462=""),"",IF(ISNUMBER(Sync!$P1462),INT(MOD(Sync!$P1462,10000)/100),IFERROR(VALUE(TRIM(LEFT(MID(Sync!$P1462,FIND("/",Sync!$P1462)+1,20),FIND("/",MID(Sync!$P1462,FIND("/",Sync!$P1462)+1,20))-1))),"")))</f>
        <v/>
      </c>
      <c r="AH1462">
        <f>IF(OR($AE1462="",$AF1462=""),"",IF(ISNUMBER(Sync!$P1462),MOD(Sync!$P1462,100),IFERROR(VALUE(TRIM(MID(MID(Sync!$P1462,FIND("/",Sync!$P1462)+1,20),FIND("/",MID(Sync!$P1462,FIND("/",Sync!$P1462)+1,20))+1,20))),"")))</f>
        <v/>
      </c>
      <c r="AI1462">
        <f>IF($AE1462="","",IF(OR($AF1462="",$AG1462="",$AH1462="",$AF1462&lt;1300,$AF1462&gt;1500,$AG1462&lt;1,$AG1462&gt;12,$AH1462&lt;1,$AH1462&gt;31),"نامعتبر",RIGHT("0000"&amp;$AF1462,4)&amp;"/"&amp;RIGHT("00"&amp;$AG1462,2)&amp;"/"&amp;RIGHT("00"&amp;$AH1462,2)))</f>
        <v/>
      </c>
      <c r="AJ1462">
        <f>IF($AE1462="","",IF(Sync!$Q1462="","0000",IF(AND(ISNUMBER(Sync!$Q1462),Sync!$Q1462&gt;=0,Sync!$Q1462&lt;1),RIGHT("00"&amp;HOUR(Sync!$Q1462),2)&amp;RIGHT("00"&amp;MINUTE(Sync!$Q1462),2),IFERROR(RIGHT("00"&amp;VALUE(LEFT(Sync!$Q1462,FIND(":",Sync!$Q1462)-1)),2)&amp;RIGHT("00"&amp;VALUE(MID(Sync!$Q1462,FIND(":",Sync!$Q1462)+1,2)),2),"0000"))))</f>
        <v/>
      </c>
      <c r="AK1462">
        <f>IF(OR($AE1462="",$AI1462="",$AI1462="نامعتبر"),"",LEFT($AI1462,4)&amp;MID($AI1462,6,2)&amp;RIGHT($AI1462,2)&amp;$AJ1462&amp;"|"&amp;"3"&amp;RIGHT("00000"&amp;1457,5))</f>
        <v/>
      </c>
      <c r="AL1462">
        <f>IF($AK1462="","",COUNTIFS(LdAParty,$AE1462,LdAType,1,LdAKey,"&lt;"&amp;$AK1462)+COUNTIFS(LdBMember,$AE1462,LdBKey,"&lt;"&amp;$AK1462)+COUNTIFS(LdCParty,$AE1462,LdCKey,"&lt;"&amp;$AK1462)+1)</f>
        <v/>
      </c>
      <c r="AM1462">
        <f>IF($AL1462="","",$AE1462&amp;"|"&amp;RIGHT("000000"&amp;$AL1462,6))</f>
        <v/>
      </c>
      <c r="AN1462">
        <f>IF($AE1462="","",IF(Sync!$W1462="",0,Sync!$W1462))</f>
        <v/>
      </c>
      <c r="AO1462">
        <f>IF($AE1462="","",IF(Sync!$X1462="",0,Sync!$X1462))</f>
        <v/>
      </c>
      <c r="AP1462">
        <f>IF($AE1462="","",Sync!$R1462)</f>
        <v/>
      </c>
      <c r="AQ1462">
        <f>IF($AE1462="","",Sync!$Y1462)</f>
        <v/>
      </c>
    </row>
    <row r="1463">
      <c r="A1463">
        <f>IF(OR(Wages!$B1466="",Wages!$E1466=""),"",Wages!$E1466)</f>
        <v/>
      </c>
      <c r="B1463">
        <f>IF($A1463="","",IF(Wages!$C1466="دستمزد گروهی",2,1))</f>
        <v/>
      </c>
      <c r="C1463">
        <f>IF($A1463="","",IF(ISNUMBER(Wages!$B1466),IF(AND(Wages!$B1466&gt;=10000101,Wages!$B1466&lt;=99991231),INT(Wages!$B1466/10000),""),IFERROR(VALUE(TRIM(LEFT(Wages!$B1466,FIND("/",Wages!$B1466)-1))),"")))</f>
        <v/>
      </c>
      <c r="D1463">
        <f>IF(OR($A1463="",$C1463=""),"",IF(ISNUMBER(Wages!$B1466),INT(MOD(Wages!$B1466,10000)/100),IFERROR(VALUE(TRIM(LEFT(MID(Wages!$B1466,FIND("/",Wages!$B1466)+1,20),FIND("/",MID(Wages!$B1466,FIND("/",Wages!$B1466)+1,20))-1))),"")))</f>
        <v/>
      </c>
      <c r="E1463">
        <f>IF(OR($A1463="",$C1463=""),"",IF(ISNUMBER(Wages!$B1466),MOD(Wages!$B1466,100),IFERROR(VALUE(TRIM(MID(MID(Wages!$B1466,FIND("/",Wages!$B1466)+1,20),FIND("/",MID(Wages!$B1466,FIND("/",Wages!$B1466)+1,20))+1,20))),"")))</f>
        <v/>
      </c>
      <c r="F1463">
        <f>IF($A1463="","",IF(OR($C1463="",$D1463="",$E1463="",$C1463&lt;1300,$C1463&gt;1500,$D1463&lt;1,$D1463&gt;12,$E1463&lt;1,$E1463&gt;31),"نامعتبر",RIGHT("0000"&amp;$C1463,4)&amp;"/"&amp;RIGHT("00"&amp;$D1463,2)&amp;"/"&amp;RIGHT("00"&amp;$E1463,2)))</f>
        <v/>
      </c>
      <c r="G1463">
        <f>IF(OR($A1463="",$F1463="",$F1463="نامعتبر"),"",LEFT($F1463,4)&amp;MID($F1463,6,2)&amp;RIGHT($F1463,2)&amp;"0000"&amp;"|"&amp;"1"&amp;RIGHT("00000"&amp;1458,5))</f>
        <v/>
      </c>
      <c r="H1463">
        <f>IF(OR($B1463&lt;&gt;1,$G1463=""),"",COUNTIFS(LdAParty,$A1463,LdAType,1,LdAKey,"&lt;"&amp;$G1463)+COUNTIFS(LdBMember,$A1463,LdBKey,"&lt;"&amp;$G1463)+COUNTIFS(LdCParty,$A1463,LdCKey,"&lt;"&amp;$G1463)+1)</f>
        <v/>
      </c>
      <c r="I1463">
        <f>IF($H1463="","",$A1463&amp;"|"&amp;RIGHT("000000"&amp;$H1463,6))</f>
        <v/>
      </c>
      <c r="J1463">
        <f>IF(OR($B1463&lt;&gt;2,$G1463=""),"",COUNTIFS(LdAParty,$A1463,LdAType,2,LdAKey,"&lt;"&amp;$G1463)+1)</f>
        <v/>
      </c>
      <c r="K1463">
        <f>IF($J1463="","",$A1463&amp;"|"&amp;RIGHT("000000"&amp;$J1463,6))</f>
        <v/>
      </c>
      <c r="L1463">
        <f>IF($A1463="","",IF(Wages!$G1466="",0,Wages!$G1466))</f>
        <v/>
      </c>
      <c r="M1463">
        <f>IF($A1463="","",Wages!$J1466)</f>
        <v/>
      </c>
      <c r="N1463">
        <f>IF($A1463="","",Wages!$D1466)</f>
        <v/>
      </c>
      <c r="P1463">
        <f>IF(OR(Shares!$B1466="",Shares!$C1466=""),"",Shares!$C1466)</f>
        <v/>
      </c>
      <c r="Q1463">
        <f>IF($P1463="","",Shares!$B1466)</f>
        <v/>
      </c>
      <c r="R1463">
        <f>IF($P1463="","",IFERROR(INDEX(WageParty,MATCH($Q1463,WageIds,0)),""))</f>
        <v/>
      </c>
      <c r="S1463">
        <f>IF($P1463="","",IFERROR(INDEX($F$6:$F$2005,MATCH($Q1463,WageIds,0)),""))</f>
        <v/>
      </c>
      <c r="T1463">
        <f>IF(OR($P1463="",$S1463="",$S1463="نامعتبر"),"",LEFT($S1463,4)&amp;MID($S1463,6,2)&amp;RIGHT($S1463,2)&amp;"0000"&amp;"|"&amp;"2"&amp;RIGHT("00000"&amp;1458,5))</f>
        <v/>
      </c>
      <c r="U1463">
        <f>IF($T1463="","",COUNTIFS(LdAParty,$P1463,LdAType,1,LdAKey,"&lt;"&amp;$T1463)+COUNTIFS(LdBMember,$P1463,LdBKey,"&lt;"&amp;$T1463)+COUNTIFS(LdCParty,$P1463,LdCKey,"&lt;"&amp;$T1463)+1)</f>
        <v/>
      </c>
      <c r="V1463">
        <f>IF($U1463="","",$P1463&amp;"|"&amp;RIGHT("000000"&amp;$U1463,6))</f>
        <v/>
      </c>
      <c r="W1463">
        <f>IF($T1463="","",COUNTIFS(LdBGroup,$R1463,LdBKey,"&lt;"&amp;$T1463)+1)</f>
        <v/>
      </c>
      <c r="X1463">
        <f>IF($W1463="","",$R1463&amp;"|"&amp;RIGHT("000000"&amp;$W1463,6))</f>
        <v/>
      </c>
      <c r="Y1463">
        <f>IF($P1463="","",IF(Shares!$E1466="",0,Shares!$E1466))</f>
        <v/>
      </c>
      <c r="Z1463">
        <f>IF($P1463="","",Shares!$H1466)</f>
        <v/>
      </c>
      <c r="AE1463">
        <f>IF(OR(Sync!$S1463="",Sync!$P1463=""),"",Sync!$S1463)</f>
        <v/>
      </c>
      <c r="AF1463">
        <f>IF($AE1463="","",IF(ISNUMBER(Sync!$P1463),IF(AND(Sync!$P1463&gt;=10000101,Sync!$P1463&lt;=99991231),INT(Sync!$P1463/10000),""),IFERROR(VALUE(TRIM(LEFT(Sync!$P1463,FIND("/",Sync!$P1463)-1))),"")))</f>
        <v/>
      </c>
      <c r="AG1463">
        <f>IF(OR($AE1463="",$AF1463=""),"",IF(ISNUMBER(Sync!$P1463),INT(MOD(Sync!$P1463,10000)/100),IFERROR(VALUE(TRIM(LEFT(MID(Sync!$P1463,FIND("/",Sync!$P1463)+1,20),FIND("/",MID(Sync!$P1463,FIND("/",Sync!$P1463)+1,20))-1))),"")))</f>
        <v/>
      </c>
      <c r="AH1463">
        <f>IF(OR($AE1463="",$AF1463=""),"",IF(ISNUMBER(Sync!$P1463),MOD(Sync!$P1463,100),IFERROR(VALUE(TRIM(MID(MID(Sync!$P1463,FIND("/",Sync!$P1463)+1,20),FIND("/",MID(Sync!$P1463,FIND("/",Sync!$P1463)+1,20))+1,20))),"")))</f>
        <v/>
      </c>
      <c r="AI1463">
        <f>IF($AE1463="","",IF(OR($AF1463="",$AG1463="",$AH1463="",$AF1463&lt;1300,$AF1463&gt;1500,$AG1463&lt;1,$AG1463&gt;12,$AH1463&lt;1,$AH1463&gt;31),"نامعتبر",RIGHT("0000"&amp;$AF1463,4)&amp;"/"&amp;RIGHT("00"&amp;$AG1463,2)&amp;"/"&amp;RIGHT("00"&amp;$AH1463,2)))</f>
        <v/>
      </c>
      <c r="AJ1463">
        <f>IF($AE1463="","",IF(Sync!$Q1463="","0000",IF(AND(ISNUMBER(Sync!$Q1463),Sync!$Q1463&gt;=0,Sync!$Q1463&lt;1),RIGHT("00"&amp;HOUR(Sync!$Q1463),2)&amp;RIGHT("00"&amp;MINUTE(Sync!$Q1463),2),IFERROR(RIGHT("00"&amp;VALUE(LEFT(Sync!$Q1463,FIND(":",Sync!$Q1463)-1)),2)&amp;RIGHT("00"&amp;VALUE(MID(Sync!$Q1463,FIND(":",Sync!$Q1463)+1,2)),2),"0000"))))</f>
        <v/>
      </c>
      <c r="AK1463">
        <f>IF(OR($AE1463="",$AI1463="",$AI1463="نامعتبر"),"",LEFT($AI1463,4)&amp;MID($AI1463,6,2)&amp;RIGHT($AI1463,2)&amp;$AJ1463&amp;"|"&amp;"3"&amp;RIGHT("00000"&amp;1458,5))</f>
        <v/>
      </c>
      <c r="AL1463">
        <f>IF($AK1463="","",COUNTIFS(LdAParty,$AE1463,LdAType,1,LdAKey,"&lt;"&amp;$AK1463)+COUNTIFS(LdBMember,$AE1463,LdBKey,"&lt;"&amp;$AK1463)+COUNTIFS(LdCParty,$AE1463,LdCKey,"&lt;"&amp;$AK1463)+1)</f>
        <v/>
      </c>
      <c r="AM1463">
        <f>IF($AL1463="","",$AE1463&amp;"|"&amp;RIGHT("000000"&amp;$AL1463,6))</f>
        <v/>
      </c>
      <c r="AN1463">
        <f>IF($AE1463="","",IF(Sync!$W1463="",0,Sync!$W1463))</f>
        <v/>
      </c>
      <c r="AO1463">
        <f>IF($AE1463="","",IF(Sync!$X1463="",0,Sync!$X1463))</f>
        <v/>
      </c>
      <c r="AP1463">
        <f>IF($AE1463="","",Sync!$R1463)</f>
        <v/>
      </c>
      <c r="AQ1463">
        <f>IF($AE1463="","",Sync!$Y1463)</f>
        <v/>
      </c>
    </row>
    <row r="1464">
      <c r="A1464">
        <f>IF(OR(Wages!$B1467="",Wages!$E1467=""),"",Wages!$E1467)</f>
        <v/>
      </c>
      <c r="B1464">
        <f>IF($A1464="","",IF(Wages!$C1467="دستمزد گروهی",2,1))</f>
        <v/>
      </c>
      <c r="C1464">
        <f>IF($A1464="","",IF(ISNUMBER(Wages!$B1467),IF(AND(Wages!$B1467&gt;=10000101,Wages!$B1467&lt;=99991231),INT(Wages!$B1467/10000),""),IFERROR(VALUE(TRIM(LEFT(Wages!$B1467,FIND("/",Wages!$B1467)-1))),"")))</f>
        <v/>
      </c>
      <c r="D1464">
        <f>IF(OR($A1464="",$C1464=""),"",IF(ISNUMBER(Wages!$B1467),INT(MOD(Wages!$B1467,10000)/100),IFERROR(VALUE(TRIM(LEFT(MID(Wages!$B1467,FIND("/",Wages!$B1467)+1,20),FIND("/",MID(Wages!$B1467,FIND("/",Wages!$B1467)+1,20))-1))),"")))</f>
        <v/>
      </c>
      <c r="E1464">
        <f>IF(OR($A1464="",$C1464=""),"",IF(ISNUMBER(Wages!$B1467),MOD(Wages!$B1467,100),IFERROR(VALUE(TRIM(MID(MID(Wages!$B1467,FIND("/",Wages!$B1467)+1,20),FIND("/",MID(Wages!$B1467,FIND("/",Wages!$B1467)+1,20))+1,20))),"")))</f>
        <v/>
      </c>
      <c r="F1464">
        <f>IF($A1464="","",IF(OR($C1464="",$D1464="",$E1464="",$C1464&lt;1300,$C1464&gt;1500,$D1464&lt;1,$D1464&gt;12,$E1464&lt;1,$E1464&gt;31),"نامعتبر",RIGHT("0000"&amp;$C1464,4)&amp;"/"&amp;RIGHT("00"&amp;$D1464,2)&amp;"/"&amp;RIGHT("00"&amp;$E1464,2)))</f>
        <v/>
      </c>
      <c r="G1464">
        <f>IF(OR($A1464="",$F1464="",$F1464="نامعتبر"),"",LEFT($F1464,4)&amp;MID($F1464,6,2)&amp;RIGHT($F1464,2)&amp;"0000"&amp;"|"&amp;"1"&amp;RIGHT("00000"&amp;1459,5))</f>
        <v/>
      </c>
      <c r="H1464">
        <f>IF(OR($B1464&lt;&gt;1,$G1464=""),"",COUNTIFS(LdAParty,$A1464,LdAType,1,LdAKey,"&lt;"&amp;$G1464)+COUNTIFS(LdBMember,$A1464,LdBKey,"&lt;"&amp;$G1464)+COUNTIFS(LdCParty,$A1464,LdCKey,"&lt;"&amp;$G1464)+1)</f>
        <v/>
      </c>
      <c r="I1464">
        <f>IF($H1464="","",$A1464&amp;"|"&amp;RIGHT("000000"&amp;$H1464,6))</f>
        <v/>
      </c>
      <c r="J1464">
        <f>IF(OR($B1464&lt;&gt;2,$G1464=""),"",COUNTIFS(LdAParty,$A1464,LdAType,2,LdAKey,"&lt;"&amp;$G1464)+1)</f>
        <v/>
      </c>
      <c r="K1464">
        <f>IF($J1464="","",$A1464&amp;"|"&amp;RIGHT("000000"&amp;$J1464,6))</f>
        <v/>
      </c>
      <c r="L1464">
        <f>IF($A1464="","",IF(Wages!$G1467="",0,Wages!$G1467))</f>
        <v/>
      </c>
      <c r="M1464">
        <f>IF($A1464="","",Wages!$J1467)</f>
        <v/>
      </c>
      <c r="N1464">
        <f>IF($A1464="","",Wages!$D1467)</f>
        <v/>
      </c>
      <c r="P1464">
        <f>IF(OR(Shares!$B1467="",Shares!$C1467=""),"",Shares!$C1467)</f>
        <v/>
      </c>
      <c r="Q1464">
        <f>IF($P1464="","",Shares!$B1467)</f>
        <v/>
      </c>
      <c r="R1464">
        <f>IF($P1464="","",IFERROR(INDEX(WageParty,MATCH($Q1464,WageIds,0)),""))</f>
        <v/>
      </c>
      <c r="S1464">
        <f>IF($P1464="","",IFERROR(INDEX($F$6:$F$2005,MATCH($Q1464,WageIds,0)),""))</f>
        <v/>
      </c>
      <c r="T1464">
        <f>IF(OR($P1464="",$S1464="",$S1464="نامعتبر"),"",LEFT($S1464,4)&amp;MID($S1464,6,2)&amp;RIGHT($S1464,2)&amp;"0000"&amp;"|"&amp;"2"&amp;RIGHT("00000"&amp;1459,5))</f>
        <v/>
      </c>
      <c r="U1464">
        <f>IF($T1464="","",COUNTIFS(LdAParty,$P1464,LdAType,1,LdAKey,"&lt;"&amp;$T1464)+COUNTIFS(LdBMember,$P1464,LdBKey,"&lt;"&amp;$T1464)+COUNTIFS(LdCParty,$P1464,LdCKey,"&lt;"&amp;$T1464)+1)</f>
        <v/>
      </c>
      <c r="V1464">
        <f>IF($U1464="","",$P1464&amp;"|"&amp;RIGHT("000000"&amp;$U1464,6))</f>
        <v/>
      </c>
      <c r="W1464">
        <f>IF($T1464="","",COUNTIFS(LdBGroup,$R1464,LdBKey,"&lt;"&amp;$T1464)+1)</f>
        <v/>
      </c>
      <c r="X1464">
        <f>IF($W1464="","",$R1464&amp;"|"&amp;RIGHT("000000"&amp;$W1464,6))</f>
        <v/>
      </c>
      <c r="Y1464">
        <f>IF($P1464="","",IF(Shares!$E1467="",0,Shares!$E1467))</f>
        <v/>
      </c>
      <c r="Z1464">
        <f>IF($P1464="","",Shares!$H1467)</f>
        <v/>
      </c>
      <c r="AE1464">
        <f>IF(OR(Sync!$S1464="",Sync!$P1464=""),"",Sync!$S1464)</f>
        <v/>
      </c>
      <c r="AF1464">
        <f>IF($AE1464="","",IF(ISNUMBER(Sync!$P1464),IF(AND(Sync!$P1464&gt;=10000101,Sync!$P1464&lt;=99991231),INT(Sync!$P1464/10000),""),IFERROR(VALUE(TRIM(LEFT(Sync!$P1464,FIND("/",Sync!$P1464)-1))),"")))</f>
        <v/>
      </c>
      <c r="AG1464">
        <f>IF(OR($AE1464="",$AF1464=""),"",IF(ISNUMBER(Sync!$P1464),INT(MOD(Sync!$P1464,10000)/100),IFERROR(VALUE(TRIM(LEFT(MID(Sync!$P1464,FIND("/",Sync!$P1464)+1,20),FIND("/",MID(Sync!$P1464,FIND("/",Sync!$P1464)+1,20))-1))),"")))</f>
        <v/>
      </c>
      <c r="AH1464">
        <f>IF(OR($AE1464="",$AF1464=""),"",IF(ISNUMBER(Sync!$P1464),MOD(Sync!$P1464,100),IFERROR(VALUE(TRIM(MID(MID(Sync!$P1464,FIND("/",Sync!$P1464)+1,20),FIND("/",MID(Sync!$P1464,FIND("/",Sync!$P1464)+1,20))+1,20))),"")))</f>
        <v/>
      </c>
      <c r="AI1464">
        <f>IF($AE1464="","",IF(OR($AF1464="",$AG1464="",$AH1464="",$AF1464&lt;1300,$AF1464&gt;1500,$AG1464&lt;1,$AG1464&gt;12,$AH1464&lt;1,$AH1464&gt;31),"نامعتبر",RIGHT("0000"&amp;$AF1464,4)&amp;"/"&amp;RIGHT("00"&amp;$AG1464,2)&amp;"/"&amp;RIGHT("00"&amp;$AH1464,2)))</f>
        <v/>
      </c>
      <c r="AJ1464">
        <f>IF($AE1464="","",IF(Sync!$Q1464="","0000",IF(AND(ISNUMBER(Sync!$Q1464),Sync!$Q1464&gt;=0,Sync!$Q1464&lt;1),RIGHT("00"&amp;HOUR(Sync!$Q1464),2)&amp;RIGHT("00"&amp;MINUTE(Sync!$Q1464),2),IFERROR(RIGHT("00"&amp;VALUE(LEFT(Sync!$Q1464,FIND(":",Sync!$Q1464)-1)),2)&amp;RIGHT("00"&amp;VALUE(MID(Sync!$Q1464,FIND(":",Sync!$Q1464)+1,2)),2),"0000"))))</f>
        <v/>
      </c>
      <c r="AK1464">
        <f>IF(OR($AE1464="",$AI1464="",$AI1464="نامعتبر"),"",LEFT($AI1464,4)&amp;MID($AI1464,6,2)&amp;RIGHT($AI1464,2)&amp;$AJ1464&amp;"|"&amp;"3"&amp;RIGHT("00000"&amp;1459,5))</f>
        <v/>
      </c>
      <c r="AL1464">
        <f>IF($AK1464="","",COUNTIFS(LdAParty,$AE1464,LdAType,1,LdAKey,"&lt;"&amp;$AK1464)+COUNTIFS(LdBMember,$AE1464,LdBKey,"&lt;"&amp;$AK1464)+COUNTIFS(LdCParty,$AE1464,LdCKey,"&lt;"&amp;$AK1464)+1)</f>
        <v/>
      </c>
      <c r="AM1464">
        <f>IF($AL1464="","",$AE1464&amp;"|"&amp;RIGHT("000000"&amp;$AL1464,6))</f>
        <v/>
      </c>
      <c r="AN1464">
        <f>IF($AE1464="","",IF(Sync!$W1464="",0,Sync!$W1464))</f>
        <v/>
      </c>
      <c r="AO1464">
        <f>IF($AE1464="","",IF(Sync!$X1464="",0,Sync!$X1464))</f>
        <v/>
      </c>
      <c r="AP1464">
        <f>IF($AE1464="","",Sync!$R1464)</f>
        <v/>
      </c>
      <c r="AQ1464">
        <f>IF($AE1464="","",Sync!$Y1464)</f>
        <v/>
      </c>
    </row>
    <row r="1465">
      <c r="A1465">
        <f>IF(OR(Wages!$B1468="",Wages!$E1468=""),"",Wages!$E1468)</f>
        <v/>
      </c>
      <c r="B1465">
        <f>IF($A1465="","",IF(Wages!$C1468="دستمزد گروهی",2,1))</f>
        <v/>
      </c>
      <c r="C1465">
        <f>IF($A1465="","",IF(ISNUMBER(Wages!$B1468),IF(AND(Wages!$B1468&gt;=10000101,Wages!$B1468&lt;=99991231),INT(Wages!$B1468/10000),""),IFERROR(VALUE(TRIM(LEFT(Wages!$B1468,FIND("/",Wages!$B1468)-1))),"")))</f>
        <v/>
      </c>
      <c r="D1465">
        <f>IF(OR($A1465="",$C1465=""),"",IF(ISNUMBER(Wages!$B1468),INT(MOD(Wages!$B1468,10000)/100),IFERROR(VALUE(TRIM(LEFT(MID(Wages!$B1468,FIND("/",Wages!$B1468)+1,20),FIND("/",MID(Wages!$B1468,FIND("/",Wages!$B1468)+1,20))-1))),"")))</f>
        <v/>
      </c>
      <c r="E1465">
        <f>IF(OR($A1465="",$C1465=""),"",IF(ISNUMBER(Wages!$B1468),MOD(Wages!$B1468,100),IFERROR(VALUE(TRIM(MID(MID(Wages!$B1468,FIND("/",Wages!$B1468)+1,20),FIND("/",MID(Wages!$B1468,FIND("/",Wages!$B1468)+1,20))+1,20))),"")))</f>
        <v/>
      </c>
      <c r="F1465">
        <f>IF($A1465="","",IF(OR($C1465="",$D1465="",$E1465="",$C1465&lt;1300,$C1465&gt;1500,$D1465&lt;1,$D1465&gt;12,$E1465&lt;1,$E1465&gt;31),"نامعتبر",RIGHT("0000"&amp;$C1465,4)&amp;"/"&amp;RIGHT("00"&amp;$D1465,2)&amp;"/"&amp;RIGHT("00"&amp;$E1465,2)))</f>
        <v/>
      </c>
      <c r="G1465">
        <f>IF(OR($A1465="",$F1465="",$F1465="نامعتبر"),"",LEFT($F1465,4)&amp;MID($F1465,6,2)&amp;RIGHT($F1465,2)&amp;"0000"&amp;"|"&amp;"1"&amp;RIGHT("00000"&amp;1460,5))</f>
        <v/>
      </c>
      <c r="H1465">
        <f>IF(OR($B1465&lt;&gt;1,$G1465=""),"",COUNTIFS(LdAParty,$A1465,LdAType,1,LdAKey,"&lt;"&amp;$G1465)+COUNTIFS(LdBMember,$A1465,LdBKey,"&lt;"&amp;$G1465)+COUNTIFS(LdCParty,$A1465,LdCKey,"&lt;"&amp;$G1465)+1)</f>
        <v/>
      </c>
      <c r="I1465">
        <f>IF($H1465="","",$A1465&amp;"|"&amp;RIGHT("000000"&amp;$H1465,6))</f>
        <v/>
      </c>
      <c r="J1465">
        <f>IF(OR($B1465&lt;&gt;2,$G1465=""),"",COUNTIFS(LdAParty,$A1465,LdAType,2,LdAKey,"&lt;"&amp;$G1465)+1)</f>
        <v/>
      </c>
      <c r="K1465">
        <f>IF($J1465="","",$A1465&amp;"|"&amp;RIGHT("000000"&amp;$J1465,6))</f>
        <v/>
      </c>
      <c r="L1465">
        <f>IF($A1465="","",IF(Wages!$G1468="",0,Wages!$G1468))</f>
        <v/>
      </c>
      <c r="M1465">
        <f>IF($A1465="","",Wages!$J1468)</f>
        <v/>
      </c>
      <c r="N1465">
        <f>IF($A1465="","",Wages!$D1468)</f>
        <v/>
      </c>
      <c r="P1465">
        <f>IF(OR(Shares!$B1468="",Shares!$C1468=""),"",Shares!$C1468)</f>
        <v/>
      </c>
      <c r="Q1465">
        <f>IF($P1465="","",Shares!$B1468)</f>
        <v/>
      </c>
      <c r="R1465">
        <f>IF($P1465="","",IFERROR(INDEX(WageParty,MATCH($Q1465,WageIds,0)),""))</f>
        <v/>
      </c>
      <c r="S1465">
        <f>IF($P1465="","",IFERROR(INDEX($F$6:$F$2005,MATCH($Q1465,WageIds,0)),""))</f>
        <v/>
      </c>
      <c r="T1465">
        <f>IF(OR($P1465="",$S1465="",$S1465="نامعتبر"),"",LEFT($S1465,4)&amp;MID($S1465,6,2)&amp;RIGHT($S1465,2)&amp;"0000"&amp;"|"&amp;"2"&amp;RIGHT("00000"&amp;1460,5))</f>
        <v/>
      </c>
      <c r="U1465">
        <f>IF($T1465="","",COUNTIFS(LdAParty,$P1465,LdAType,1,LdAKey,"&lt;"&amp;$T1465)+COUNTIFS(LdBMember,$P1465,LdBKey,"&lt;"&amp;$T1465)+COUNTIFS(LdCParty,$P1465,LdCKey,"&lt;"&amp;$T1465)+1)</f>
        <v/>
      </c>
      <c r="V1465">
        <f>IF($U1465="","",$P1465&amp;"|"&amp;RIGHT("000000"&amp;$U1465,6))</f>
        <v/>
      </c>
      <c r="W1465">
        <f>IF($T1465="","",COUNTIFS(LdBGroup,$R1465,LdBKey,"&lt;"&amp;$T1465)+1)</f>
        <v/>
      </c>
      <c r="X1465">
        <f>IF($W1465="","",$R1465&amp;"|"&amp;RIGHT("000000"&amp;$W1465,6))</f>
        <v/>
      </c>
      <c r="Y1465">
        <f>IF($P1465="","",IF(Shares!$E1468="",0,Shares!$E1468))</f>
        <v/>
      </c>
      <c r="Z1465">
        <f>IF($P1465="","",Shares!$H1468)</f>
        <v/>
      </c>
      <c r="AE1465">
        <f>IF(OR(Sync!$S1465="",Sync!$P1465=""),"",Sync!$S1465)</f>
        <v/>
      </c>
      <c r="AF1465">
        <f>IF($AE1465="","",IF(ISNUMBER(Sync!$P1465),IF(AND(Sync!$P1465&gt;=10000101,Sync!$P1465&lt;=99991231),INT(Sync!$P1465/10000),""),IFERROR(VALUE(TRIM(LEFT(Sync!$P1465,FIND("/",Sync!$P1465)-1))),"")))</f>
        <v/>
      </c>
      <c r="AG1465">
        <f>IF(OR($AE1465="",$AF1465=""),"",IF(ISNUMBER(Sync!$P1465),INT(MOD(Sync!$P1465,10000)/100),IFERROR(VALUE(TRIM(LEFT(MID(Sync!$P1465,FIND("/",Sync!$P1465)+1,20),FIND("/",MID(Sync!$P1465,FIND("/",Sync!$P1465)+1,20))-1))),"")))</f>
        <v/>
      </c>
      <c r="AH1465">
        <f>IF(OR($AE1465="",$AF1465=""),"",IF(ISNUMBER(Sync!$P1465),MOD(Sync!$P1465,100),IFERROR(VALUE(TRIM(MID(MID(Sync!$P1465,FIND("/",Sync!$P1465)+1,20),FIND("/",MID(Sync!$P1465,FIND("/",Sync!$P1465)+1,20))+1,20))),"")))</f>
        <v/>
      </c>
      <c r="AI1465">
        <f>IF($AE1465="","",IF(OR($AF1465="",$AG1465="",$AH1465="",$AF1465&lt;1300,$AF1465&gt;1500,$AG1465&lt;1,$AG1465&gt;12,$AH1465&lt;1,$AH1465&gt;31),"نامعتبر",RIGHT("0000"&amp;$AF1465,4)&amp;"/"&amp;RIGHT("00"&amp;$AG1465,2)&amp;"/"&amp;RIGHT("00"&amp;$AH1465,2)))</f>
        <v/>
      </c>
      <c r="AJ1465">
        <f>IF($AE1465="","",IF(Sync!$Q1465="","0000",IF(AND(ISNUMBER(Sync!$Q1465),Sync!$Q1465&gt;=0,Sync!$Q1465&lt;1),RIGHT("00"&amp;HOUR(Sync!$Q1465),2)&amp;RIGHT("00"&amp;MINUTE(Sync!$Q1465),2),IFERROR(RIGHT("00"&amp;VALUE(LEFT(Sync!$Q1465,FIND(":",Sync!$Q1465)-1)),2)&amp;RIGHT("00"&amp;VALUE(MID(Sync!$Q1465,FIND(":",Sync!$Q1465)+1,2)),2),"0000"))))</f>
        <v/>
      </c>
      <c r="AK1465">
        <f>IF(OR($AE1465="",$AI1465="",$AI1465="نامعتبر"),"",LEFT($AI1465,4)&amp;MID($AI1465,6,2)&amp;RIGHT($AI1465,2)&amp;$AJ1465&amp;"|"&amp;"3"&amp;RIGHT("00000"&amp;1460,5))</f>
        <v/>
      </c>
      <c r="AL1465">
        <f>IF($AK1465="","",COUNTIFS(LdAParty,$AE1465,LdAType,1,LdAKey,"&lt;"&amp;$AK1465)+COUNTIFS(LdBMember,$AE1465,LdBKey,"&lt;"&amp;$AK1465)+COUNTIFS(LdCParty,$AE1465,LdCKey,"&lt;"&amp;$AK1465)+1)</f>
        <v/>
      </c>
      <c r="AM1465">
        <f>IF($AL1465="","",$AE1465&amp;"|"&amp;RIGHT("000000"&amp;$AL1465,6))</f>
        <v/>
      </c>
      <c r="AN1465">
        <f>IF($AE1465="","",IF(Sync!$W1465="",0,Sync!$W1465))</f>
        <v/>
      </c>
      <c r="AO1465">
        <f>IF($AE1465="","",IF(Sync!$X1465="",0,Sync!$X1465))</f>
        <v/>
      </c>
      <c r="AP1465">
        <f>IF($AE1465="","",Sync!$R1465)</f>
        <v/>
      </c>
      <c r="AQ1465">
        <f>IF($AE1465="","",Sync!$Y1465)</f>
        <v/>
      </c>
    </row>
    <row r="1466">
      <c r="A1466">
        <f>IF(OR(Wages!$B1469="",Wages!$E1469=""),"",Wages!$E1469)</f>
        <v/>
      </c>
      <c r="B1466">
        <f>IF($A1466="","",IF(Wages!$C1469="دستمزد گروهی",2,1))</f>
        <v/>
      </c>
      <c r="C1466">
        <f>IF($A1466="","",IF(ISNUMBER(Wages!$B1469),IF(AND(Wages!$B1469&gt;=10000101,Wages!$B1469&lt;=99991231),INT(Wages!$B1469/10000),""),IFERROR(VALUE(TRIM(LEFT(Wages!$B1469,FIND("/",Wages!$B1469)-1))),"")))</f>
        <v/>
      </c>
      <c r="D1466">
        <f>IF(OR($A1466="",$C1466=""),"",IF(ISNUMBER(Wages!$B1469),INT(MOD(Wages!$B1469,10000)/100),IFERROR(VALUE(TRIM(LEFT(MID(Wages!$B1469,FIND("/",Wages!$B1469)+1,20),FIND("/",MID(Wages!$B1469,FIND("/",Wages!$B1469)+1,20))-1))),"")))</f>
        <v/>
      </c>
      <c r="E1466">
        <f>IF(OR($A1466="",$C1466=""),"",IF(ISNUMBER(Wages!$B1469),MOD(Wages!$B1469,100),IFERROR(VALUE(TRIM(MID(MID(Wages!$B1469,FIND("/",Wages!$B1469)+1,20),FIND("/",MID(Wages!$B1469,FIND("/",Wages!$B1469)+1,20))+1,20))),"")))</f>
        <v/>
      </c>
      <c r="F1466">
        <f>IF($A1466="","",IF(OR($C1466="",$D1466="",$E1466="",$C1466&lt;1300,$C1466&gt;1500,$D1466&lt;1,$D1466&gt;12,$E1466&lt;1,$E1466&gt;31),"نامعتبر",RIGHT("0000"&amp;$C1466,4)&amp;"/"&amp;RIGHT("00"&amp;$D1466,2)&amp;"/"&amp;RIGHT("00"&amp;$E1466,2)))</f>
        <v/>
      </c>
      <c r="G1466">
        <f>IF(OR($A1466="",$F1466="",$F1466="نامعتبر"),"",LEFT($F1466,4)&amp;MID($F1466,6,2)&amp;RIGHT($F1466,2)&amp;"0000"&amp;"|"&amp;"1"&amp;RIGHT("00000"&amp;1461,5))</f>
        <v/>
      </c>
      <c r="H1466">
        <f>IF(OR($B1466&lt;&gt;1,$G1466=""),"",COUNTIFS(LdAParty,$A1466,LdAType,1,LdAKey,"&lt;"&amp;$G1466)+COUNTIFS(LdBMember,$A1466,LdBKey,"&lt;"&amp;$G1466)+COUNTIFS(LdCParty,$A1466,LdCKey,"&lt;"&amp;$G1466)+1)</f>
        <v/>
      </c>
      <c r="I1466">
        <f>IF($H1466="","",$A1466&amp;"|"&amp;RIGHT("000000"&amp;$H1466,6))</f>
        <v/>
      </c>
      <c r="J1466">
        <f>IF(OR($B1466&lt;&gt;2,$G1466=""),"",COUNTIFS(LdAParty,$A1466,LdAType,2,LdAKey,"&lt;"&amp;$G1466)+1)</f>
        <v/>
      </c>
      <c r="K1466">
        <f>IF($J1466="","",$A1466&amp;"|"&amp;RIGHT("000000"&amp;$J1466,6))</f>
        <v/>
      </c>
      <c r="L1466">
        <f>IF($A1466="","",IF(Wages!$G1469="",0,Wages!$G1469))</f>
        <v/>
      </c>
      <c r="M1466">
        <f>IF($A1466="","",Wages!$J1469)</f>
        <v/>
      </c>
      <c r="N1466">
        <f>IF($A1466="","",Wages!$D1469)</f>
        <v/>
      </c>
      <c r="P1466">
        <f>IF(OR(Shares!$B1469="",Shares!$C1469=""),"",Shares!$C1469)</f>
        <v/>
      </c>
      <c r="Q1466">
        <f>IF($P1466="","",Shares!$B1469)</f>
        <v/>
      </c>
      <c r="R1466">
        <f>IF($P1466="","",IFERROR(INDEX(WageParty,MATCH($Q1466,WageIds,0)),""))</f>
        <v/>
      </c>
      <c r="S1466">
        <f>IF($P1466="","",IFERROR(INDEX($F$6:$F$2005,MATCH($Q1466,WageIds,0)),""))</f>
        <v/>
      </c>
      <c r="T1466">
        <f>IF(OR($P1466="",$S1466="",$S1466="نامعتبر"),"",LEFT($S1466,4)&amp;MID($S1466,6,2)&amp;RIGHT($S1466,2)&amp;"0000"&amp;"|"&amp;"2"&amp;RIGHT("00000"&amp;1461,5))</f>
        <v/>
      </c>
      <c r="U1466">
        <f>IF($T1466="","",COUNTIFS(LdAParty,$P1466,LdAType,1,LdAKey,"&lt;"&amp;$T1466)+COUNTIFS(LdBMember,$P1466,LdBKey,"&lt;"&amp;$T1466)+COUNTIFS(LdCParty,$P1466,LdCKey,"&lt;"&amp;$T1466)+1)</f>
        <v/>
      </c>
      <c r="V1466">
        <f>IF($U1466="","",$P1466&amp;"|"&amp;RIGHT("000000"&amp;$U1466,6))</f>
        <v/>
      </c>
      <c r="W1466">
        <f>IF($T1466="","",COUNTIFS(LdBGroup,$R1466,LdBKey,"&lt;"&amp;$T1466)+1)</f>
        <v/>
      </c>
      <c r="X1466">
        <f>IF($W1466="","",$R1466&amp;"|"&amp;RIGHT("000000"&amp;$W1466,6))</f>
        <v/>
      </c>
      <c r="Y1466">
        <f>IF($P1466="","",IF(Shares!$E1469="",0,Shares!$E1469))</f>
        <v/>
      </c>
      <c r="Z1466">
        <f>IF($P1466="","",Shares!$H1469)</f>
        <v/>
      </c>
      <c r="AE1466">
        <f>IF(OR(Sync!$S1466="",Sync!$P1466=""),"",Sync!$S1466)</f>
        <v/>
      </c>
      <c r="AF1466">
        <f>IF($AE1466="","",IF(ISNUMBER(Sync!$P1466),IF(AND(Sync!$P1466&gt;=10000101,Sync!$P1466&lt;=99991231),INT(Sync!$P1466/10000),""),IFERROR(VALUE(TRIM(LEFT(Sync!$P1466,FIND("/",Sync!$P1466)-1))),"")))</f>
        <v/>
      </c>
      <c r="AG1466">
        <f>IF(OR($AE1466="",$AF1466=""),"",IF(ISNUMBER(Sync!$P1466),INT(MOD(Sync!$P1466,10000)/100),IFERROR(VALUE(TRIM(LEFT(MID(Sync!$P1466,FIND("/",Sync!$P1466)+1,20),FIND("/",MID(Sync!$P1466,FIND("/",Sync!$P1466)+1,20))-1))),"")))</f>
        <v/>
      </c>
      <c r="AH1466">
        <f>IF(OR($AE1466="",$AF1466=""),"",IF(ISNUMBER(Sync!$P1466),MOD(Sync!$P1466,100),IFERROR(VALUE(TRIM(MID(MID(Sync!$P1466,FIND("/",Sync!$P1466)+1,20),FIND("/",MID(Sync!$P1466,FIND("/",Sync!$P1466)+1,20))+1,20))),"")))</f>
        <v/>
      </c>
      <c r="AI1466">
        <f>IF($AE1466="","",IF(OR($AF1466="",$AG1466="",$AH1466="",$AF1466&lt;1300,$AF1466&gt;1500,$AG1466&lt;1,$AG1466&gt;12,$AH1466&lt;1,$AH1466&gt;31),"نامعتبر",RIGHT("0000"&amp;$AF1466,4)&amp;"/"&amp;RIGHT("00"&amp;$AG1466,2)&amp;"/"&amp;RIGHT("00"&amp;$AH1466,2)))</f>
        <v/>
      </c>
      <c r="AJ1466">
        <f>IF($AE1466="","",IF(Sync!$Q1466="","0000",IF(AND(ISNUMBER(Sync!$Q1466),Sync!$Q1466&gt;=0,Sync!$Q1466&lt;1),RIGHT("00"&amp;HOUR(Sync!$Q1466),2)&amp;RIGHT("00"&amp;MINUTE(Sync!$Q1466),2),IFERROR(RIGHT("00"&amp;VALUE(LEFT(Sync!$Q1466,FIND(":",Sync!$Q1466)-1)),2)&amp;RIGHT("00"&amp;VALUE(MID(Sync!$Q1466,FIND(":",Sync!$Q1466)+1,2)),2),"0000"))))</f>
        <v/>
      </c>
      <c r="AK1466">
        <f>IF(OR($AE1466="",$AI1466="",$AI1466="نامعتبر"),"",LEFT($AI1466,4)&amp;MID($AI1466,6,2)&amp;RIGHT($AI1466,2)&amp;$AJ1466&amp;"|"&amp;"3"&amp;RIGHT("00000"&amp;1461,5))</f>
        <v/>
      </c>
      <c r="AL1466">
        <f>IF($AK1466="","",COUNTIFS(LdAParty,$AE1466,LdAType,1,LdAKey,"&lt;"&amp;$AK1466)+COUNTIFS(LdBMember,$AE1466,LdBKey,"&lt;"&amp;$AK1466)+COUNTIFS(LdCParty,$AE1466,LdCKey,"&lt;"&amp;$AK1466)+1)</f>
        <v/>
      </c>
      <c r="AM1466">
        <f>IF($AL1466="","",$AE1466&amp;"|"&amp;RIGHT("000000"&amp;$AL1466,6))</f>
        <v/>
      </c>
      <c r="AN1466">
        <f>IF($AE1466="","",IF(Sync!$W1466="",0,Sync!$W1466))</f>
        <v/>
      </c>
      <c r="AO1466">
        <f>IF($AE1466="","",IF(Sync!$X1466="",0,Sync!$X1466))</f>
        <v/>
      </c>
      <c r="AP1466">
        <f>IF($AE1466="","",Sync!$R1466)</f>
        <v/>
      </c>
      <c r="AQ1466">
        <f>IF($AE1466="","",Sync!$Y1466)</f>
        <v/>
      </c>
    </row>
    <row r="1467">
      <c r="A1467">
        <f>IF(OR(Wages!$B1470="",Wages!$E1470=""),"",Wages!$E1470)</f>
        <v/>
      </c>
      <c r="B1467">
        <f>IF($A1467="","",IF(Wages!$C1470="دستمزد گروهی",2,1))</f>
        <v/>
      </c>
      <c r="C1467">
        <f>IF($A1467="","",IF(ISNUMBER(Wages!$B1470),IF(AND(Wages!$B1470&gt;=10000101,Wages!$B1470&lt;=99991231),INT(Wages!$B1470/10000),""),IFERROR(VALUE(TRIM(LEFT(Wages!$B1470,FIND("/",Wages!$B1470)-1))),"")))</f>
        <v/>
      </c>
      <c r="D1467">
        <f>IF(OR($A1467="",$C1467=""),"",IF(ISNUMBER(Wages!$B1470),INT(MOD(Wages!$B1470,10000)/100),IFERROR(VALUE(TRIM(LEFT(MID(Wages!$B1470,FIND("/",Wages!$B1470)+1,20),FIND("/",MID(Wages!$B1470,FIND("/",Wages!$B1470)+1,20))-1))),"")))</f>
        <v/>
      </c>
      <c r="E1467">
        <f>IF(OR($A1467="",$C1467=""),"",IF(ISNUMBER(Wages!$B1470),MOD(Wages!$B1470,100),IFERROR(VALUE(TRIM(MID(MID(Wages!$B1470,FIND("/",Wages!$B1470)+1,20),FIND("/",MID(Wages!$B1470,FIND("/",Wages!$B1470)+1,20))+1,20))),"")))</f>
        <v/>
      </c>
      <c r="F1467">
        <f>IF($A1467="","",IF(OR($C1467="",$D1467="",$E1467="",$C1467&lt;1300,$C1467&gt;1500,$D1467&lt;1,$D1467&gt;12,$E1467&lt;1,$E1467&gt;31),"نامعتبر",RIGHT("0000"&amp;$C1467,4)&amp;"/"&amp;RIGHT("00"&amp;$D1467,2)&amp;"/"&amp;RIGHT("00"&amp;$E1467,2)))</f>
        <v/>
      </c>
      <c r="G1467">
        <f>IF(OR($A1467="",$F1467="",$F1467="نامعتبر"),"",LEFT($F1467,4)&amp;MID($F1467,6,2)&amp;RIGHT($F1467,2)&amp;"0000"&amp;"|"&amp;"1"&amp;RIGHT("00000"&amp;1462,5))</f>
        <v/>
      </c>
      <c r="H1467">
        <f>IF(OR($B1467&lt;&gt;1,$G1467=""),"",COUNTIFS(LdAParty,$A1467,LdAType,1,LdAKey,"&lt;"&amp;$G1467)+COUNTIFS(LdBMember,$A1467,LdBKey,"&lt;"&amp;$G1467)+COUNTIFS(LdCParty,$A1467,LdCKey,"&lt;"&amp;$G1467)+1)</f>
        <v/>
      </c>
      <c r="I1467">
        <f>IF($H1467="","",$A1467&amp;"|"&amp;RIGHT("000000"&amp;$H1467,6))</f>
        <v/>
      </c>
      <c r="J1467">
        <f>IF(OR($B1467&lt;&gt;2,$G1467=""),"",COUNTIFS(LdAParty,$A1467,LdAType,2,LdAKey,"&lt;"&amp;$G1467)+1)</f>
        <v/>
      </c>
      <c r="K1467">
        <f>IF($J1467="","",$A1467&amp;"|"&amp;RIGHT("000000"&amp;$J1467,6))</f>
        <v/>
      </c>
      <c r="L1467">
        <f>IF($A1467="","",IF(Wages!$G1470="",0,Wages!$G1470))</f>
        <v/>
      </c>
      <c r="M1467">
        <f>IF($A1467="","",Wages!$J1470)</f>
        <v/>
      </c>
      <c r="N1467">
        <f>IF($A1467="","",Wages!$D1470)</f>
        <v/>
      </c>
      <c r="P1467">
        <f>IF(OR(Shares!$B1470="",Shares!$C1470=""),"",Shares!$C1470)</f>
        <v/>
      </c>
      <c r="Q1467">
        <f>IF($P1467="","",Shares!$B1470)</f>
        <v/>
      </c>
      <c r="R1467">
        <f>IF($P1467="","",IFERROR(INDEX(WageParty,MATCH($Q1467,WageIds,0)),""))</f>
        <v/>
      </c>
      <c r="S1467">
        <f>IF($P1467="","",IFERROR(INDEX($F$6:$F$2005,MATCH($Q1467,WageIds,0)),""))</f>
        <v/>
      </c>
      <c r="T1467">
        <f>IF(OR($P1467="",$S1467="",$S1467="نامعتبر"),"",LEFT($S1467,4)&amp;MID($S1467,6,2)&amp;RIGHT($S1467,2)&amp;"0000"&amp;"|"&amp;"2"&amp;RIGHT("00000"&amp;1462,5))</f>
        <v/>
      </c>
      <c r="U1467">
        <f>IF($T1467="","",COUNTIFS(LdAParty,$P1467,LdAType,1,LdAKey,"&lt;"&amp;$T1467)+COUNTIFS(LdBMember,$P1467,LdBKey,"&lt;"&amp;$T1467)+COUNTIFS(LdCParty,$P1467,LdCKey,"&lt;"&amp;$T1467)+1)</f>
        <v/>
      </c>
      <c r="V1467">
        <f>IF($U1467="","",$P1467&amp;"|"&amp;RIGHT("000000"&amp;$U1467,6))</f>
        <v/>
      </c>
      <c r="W1467">
        <f>IF($T1467="","",COUNTIFS(LdBGroup,$R1467,LdBKey,"&lt;"&amp;$T1467)+1)</f>
        <v/>
      </c>
      <c r="X1467">
        <f>IF($W1467="","",$R1467&amp;"|"&amp;RIGHT("000000"&amp;$W1467,6))</f>
        <v/>
      </c>
      <c r="Y1467">
        <f>IF($P1467="","",IF(Shares!$E1470="",0,Shares!$E1470))</f>
        <v/>
      </c>
      <c r="Z1467">
        <f>IF($P1467="","",Shares!$H1470)</f>
        <v/>
      </c>
      <c r="AE1467">
        <f>IF(OR(Sync!$S1467="",Sync!$P1467=""),"",Sync!$S1467)</f>
        <v/>
      </c>
      <c r="AF1467">
        <f>IF($AE1467="","",IF(ISNUMBER(Sync!$P1467),IF(AND(Sync!$P1467&gt;=10000101,Sync!$P1467&lt;=99991231),INT(Sync!$P1467/10000),""),IFERROR(VALUE(TRIM(LEFT(Sync!$P1467,FIND("/",Sync!$P1467)-1))),"")))</f>
        <v/>
      </c>
      <c r="AG1467">
        <f>IF(OR($AE1467="",$AF1467=""),"",IF(ISNUMBER(Sync!$P1467),INT(MOD(Sync!$P1467,10000)/100),IFERROR(VALUE(TRIM(LEFT(MID(Sync!$P1467,FIND("/",Sync!$P1467)+1,20),FIND("/",MID(Sync!$P1467,FIND("/",Sync!$P1467)+1,20))-1))),"")))</f>
        <v/>
      </c>
      <c r="AH1467">
        <f>IF(OR($AE1467="",$AF1467=""),"",IF(ISNUMBER(Sync!$P1467),MOD(Sync!$P1467,100),IFERROR(VALUE(TRIM(MID(MID(Sync!$P1467,FIND("/",Sync!$P1467)+1,20),FIND("/",MID(Sync!$P1467,FIND("/",Sync!$P1467)+1,20))+1,20))),"")))</f>
        <v/>
      </c>
      <c r="AI1467">
        <f>IF($AE1467="","",IF(OR($AF1467="",$AG1467="",$AH1467="",$AF1467&lt;1300,$AF1467&gt;1500,$AG1467&lt;1,$AG1467&gt;12,$AH1467&lt;1,$AH1467&gt;31),"نامعتبر",RIGHT("0000"&amp;$AF1467,4)&amp;"/"&amp;RIGHT("00"&amp;$AG1467,2)&amp;"/"&amp;RIGHT("00"&amp;$AH1467,2)))</f>
        <v/>
      </c>
      <c r="AJ1467">
        <f>IF($AE1467="","",IF(Sync!$Q1467="","0000",IF(AND(ISNUMBER(Sync!$Q1467),Sync!$Q1467&gt;=0,Sync!$Q1467&lt;1),RIGHT("00"&amp;HOUR(Sync!$Q1467),2)&amp;RIGHT("00"&amp;MINUTE(Sync!$Q1467),2),IFERROR(RIGHT("00"&amp;VALUE(LEFT(Sync!$Q1467,FIND(":",Sync!$Q1467)-1)),2)&amp;RIGHT("00"&amp;VALUE(MID(Sync!$Q1467,FIND(":",Sync!$Q1467)+1,2)),2),"0000"))))</f>
        <v/>
      </c>
      <c r="AK1467">
        <f>IF(OR($AE1467="",$AI1467="",$AI1467="نامعتبر"),"",LEFT($AI1467,4)&amp;MID($AI1467,6,2)&amp;RIGHT($AI1467,2)&amp;$AJ1467&amp;"|"&amp;"3"&amp;RIGHT("00000"&amp;1462,5))</f>
        <v/>
      </c>
      <c r="AL1467">
        <f>IF($AK1467="","",COUNTIFS(LdAParty,$AE1467,LdAType,1,LdAKey,"&lt;"&amp;$AK1467)+COUNTIFS(LdBMember,$AE1467,LdBKey,"&lt;"&amp;$AK1467)+COUNTIFS(LdCParty,$AE1467,LdCKey,"&lt;"&amp;$AK1467)+1)</f>
        <v/>
      </c>
      <c r="AM1467">
        <f>IF($AL1467="","",$AE1467&amp;"|"&amp;RIGHT("000000"&amp;$AL1467,6))</f>
        <v/>
      </c>
      <c r="AN1467">
        <f>IF($AE1467="","",IF(Sync!$W1467="",0,Sync!$W1467))</f>
        <v/>
      </c>
      <c r="AO1467">
        <f>IF($AE1467="","",IF(Sync!$X1467="",0,Sync!$X1467))</f>
        <v/>
      </c>
      <c r="AP1467">
        <f>IF($AE1467="","",Sync!$R1467)</f>
        <v/>
      </c>
      <c r="AQ1467">
        <f>IF($AE1467="","",Sync!$Y1467)</f>
        <v/>
      </c>
    </row>
    <row r="1468">
      <c r="A1468">
        <f>IF(OR(Wages!$B1471="",Wages!$E1471=""),"",Wages!$E1471)</f>
        <v/>
      </c>
      <c r="B1468">
        <f>IF($A1468="","",IF(Wages!$C1471="دستمزد گروهی",2,1))</f>
        <v/>
      </c>
      <c r="C1468">
        <f>IF($A1468="","",IF(ISNUMBER(Wages!$B1471),IF(AND(Wages!$B1471&gt;=10000101,Wages!$B1471&lt;=99991231),INT(Wages!$B1471/10000),""),IFERROR(VALUE(TRIM(LEFT(Wages!$B1471,FIND("/",Wages!$B1471)-1))),"")))</f>
        <v/>
      </c>
      <c r="D1468">
        <f>IF(OR($A1468="",$C1468=""),"",IF(ISNUMBER(Wages!$B1471),INT(MOD(Wages!$B1471,10000)/100),IFERROR(VALUE(TRIM(LEFT(MID(Wages!$B1471,FIND("/",Wages!$B1471)+1,20),FIND("/",MID(Wages!$B1471,FIND("/",Wages!$B1471)+1,20))-1))),"")))</f>
        <v/>
      </c>
      <c r="E1468">
        <f>IF(OR($A1468="",$C1468=""),"",IF(ISNUMBER(Wages!$B1471),MOD(Wages!$B1471,100),IFERROR(VALUE(TRIM(MID(MID(Wages!$B1471,FIND("/",Wages!$B1471)+1,20),FIND("/",MID(Wages!$B1471,FIND("/",Wages!$B1471)+1,20))+1,20))),"")))</f>
        <v/>
      </c>
      <c r="F1468">
        <f>IF($A1468="","",IF(OR($C1468="",$D1468="",$E1468="",$C1468&lt;1300,$C1468&gt;1500,$D1468&lt;1,$D1468&gt;12,$E1468&lt;1,$E1468&gt;31),"نامعتبر",RIGHT("0000"&amp;$C1468,4)&amp;"/"&amp;RIGHT("00"&amp;$D1468,2)&amp;"/"&amp;RIGHT("00"&amp;$E1468,2)))</f>
        <v/>
      </c>
      <c r="G1468">
        <f>IF(OR($A1468="",$F1468="",$F1468="نامعتبر"),"",LEFT($F1468,4)&amp;MID($F1468,6,2)&amp;RIGHT($F1468,2)&amp;"0000"&amp;"|"&amp;"1"&amp;RIGHT("00000"&amp;1463,5))</f>
        <v/>
      </c>
      <c r="H1468">
        <f>IF(OR($B1468&lt;&gt;1,$G1468=""),"",COUNTIFS(LdAParty,$A1468,LdAType,1,LdAKey,"&lt;"&amp;$G1468)+COUNTIFS(LdBMember,$A1468,LdBKey,"&lt;"&amp;$G1468)+COUNTIFS(LdCParty,$A1468,LdCKey,"&lt;"&amp;$G1468)+1)</f>
        <v/>
      </c>
      <c r="I1468">
        <f>IF($H1468="","",$A1468&amp;"|"&amp;RIGHT("000000"&amp;$H1468,6))</f>
        <v/>
      </c>
      <c r="J1468">
        <f>IF(OR($B1468&lt;&gt;2,$G1468=""),"",COUNTIFS(LdAParty,$A1468,LdAType,2,LdAKey,"&lt;"&amp;$G1468)+1)</f>
        <v/>
      </c>
      <c r="K1468">
        <f>IF($J1468="","",$A1468&amp;"|"&amp;RIGHT("000000"&amp;$J1468,6))</f>
        <v/>
      </c>
      <c r="L1468">
        <f>IF($A1468="","",IF(Wages!$G1471="",0,Wages!$G1471))</f>
        <v/>
      </c>
      <c r="M1468">
        <f>IF($A1468="","",Wages!$J1471)</f>
        <v/>
      </c>
      <c r="N1468">
        <f>IF($A1468="","",Wages!$D1471)</f>
        <v/>
      </c>
      <c r="P1468">
        <f>IF(OR(Shares!$B1471="",Shares!$C1471=""),"",Shares!$C1471)</f>
        <v/>
      </c>
      <c r="Q1468">
        <f>IF($P1468="","",Shares!$B1471)</f>
        <v/>
      </c>
      <c r="R1468">
        <f>IF($P1468="","",IFERROR(INDEX(WageParty,MATCH($Q1468,WageIds,0)),""))</f>
        <v/>
      </c>
      <c r="S1468">
        <f>IF($P1468="","",IFERROR(INDEX($F$6:$F$2005,MATCH($Q1468,WageIds,0)),""))</f>
        <v/>
      </c>
      <c r="T1468">
        <f>IF(OR($P1468="",$S1468="",$S1468="نامعتبر"),"",LEFT($S1468,4)&amp;MID($S1468,6,2)&amp;RIGHT($S1468,2)&amp;"0000"&amp;"|"&amp;"2"&amp;RIGHT("00000"&amp;1463,5))</f>
        <v/>
      </c>
      <c r="U1468">
        <f>IF($T1468="","",COUNTIFS(LdAParty,$P1468,LdAType,1,LdAKey,"&lt;"&amp;$T1468)+COUNTIFS(LdBMember,$P1468,LdBKey,"&lt;"&amp;$T1468)+COUNTIFS(LdCParty,$P1468,LdCKey,"&lt;"&amp;$T1468)+1)</f>
        <v/>
      </c>
      <c r="V1468">
        <f>IF($U1468="","",$P1468&amp;"|"&amp;RIGHT("000000"&amp;$U1468,6))</f>
        <v/>
      </c>
      <c r="W1468">
        <f>IF($T1468="","",COUNTIFS(LdBGroup,$R1468,LdBKey,"&lt;"&amp;$T1468)+1)</f>
        <v/>
      </c>
      <c r="X1468">
        <f>IF($W1468="","",$R1468&amp;"|"&amp;RIGHT("000000"&amp;$W1468,6))</f>
        <v/>
      </c>
      <c r="Y1468">
        <f>IF($P1468="","",IF(Shares!$E1471="",0,Shares!$E1471))</f>
        <v/>
      </c>
      <c r="Z1468">
        <f>IF($P1468="","",Shares!$H1471)</f>
        <v/>
      </c>
      <c r="AE1468">
        <f>IF(OR(Sync!$S1468="",Sync!$P1468=""),"",Sync!$S1468)</f>
        <v/>
      </c>
      <c r="AF1468">
        <f>IF($AE1468="","",IF(ISNUMBER(Sync!$P1468),IF(AND(Sync!$P1468&gt;=10000101,Sync!$P1468&lt;=99991231),INT(Sync!$P1468/10000),""),IFERROR(VALUE(TRIM(LEFT(Sync!$P1468,FIND("/",Sync!$P1468)-1))),"")))</f>
        <v/>
      </c>
      <c r="AG1468">
        <f>IF(OR($AE1468="",$AF1468=""),"",IF(ISNUMBER(Sync!$P1468),INT(MOD(Sync!$P1468,10000)/100),IFERROR(VALUE(TRIM(LEFT(MID(Sync!$P1468,FIND("/",Sync!$P1468)+1,20),FIND("/",MID(Sync!$P1468,FIND("/",Sync!$P1468)+1,20))-1))),"")))</f>
        <v/>
      </c>
      <c r="AH1468">
        <f>IF(OR($AE1468="",$AF1468=""),"",IF(ISNUMBER(Sync!$P1468),MOD(Sync!$P1468,100),IFERROR(VALUE(TRIM(MID(MID(Sync!$P1468,FIND("/",Sync!$P1468)+1,20),FIND("/",MID(Sync!$P1468,FIND("/",Sync!$P1468)+1,20))+1,20))),"")))</f>
        <v/>
      </c>
      <c r="AI1468">
        <f>IF($AE1468="","",IF(OR($AF1468="",$AG1468="",$AH1468="",$AF1468&lt;1300,$AF1468&gt;1500,$AG1468&lt;1,$AG1468&gt;12,$AH1468&lt;1,$AH1468&gt;31),"نامعتبر",RIGHT("0000"&amp;$AF1468,4)&amp;"/"&amp;RIGHT("00"&amp;$AG1468,2)&amp;"/"&amp;RIGHT("00"&amp;$AH1468,2)))</f>
        <v/>
      </c>
      <c r="AJ1468">
        <f>IF($AE1468="","",IF(Sync!$Q1468="","0000",IF(AND(ISNUMBER(Sync!$Q1468),Sync!$Q1468&gt;=0,Sync!$Q1468&lt;1),RIGHT("00"&amp;HOUR(Sync!$Q1468),2)&amp;RIGHT("00"&amp;MINUTE(Sync!$Q1468),2),IFERROR(RIGHT("00"&amp;VALUE(LEFT(Sync!$Q1468,FIND(":",Sync!$Q1468)-1)),2)&amp;RIGHT("00"&amp;VALUE(MID(Sync!$Q1468,FIND(":",Sync!$Q1468)+1,2)),2),"0000"))))</f>
        <v/>
      </c>
      <c r="AK1468">
        <f>IF(OR($AE1468="",$AI1468="",$AI1468="نامعتبر"),"",LEFT($AI1468,4)&amp;MID($AI1468,6,2)&amp;RIGHT($AI1468,2)&amp;$AJ1468&amp;"|"&amp;"3"&amp;RIGHT("00000"&amp;1463,5))</f>
        <v/>
      </c>
      <c r="AL1468">
        <f>IF($AK1468="","",COUNTIFS(LdAParty,$AE1468,LdAType,1,LdAKey,"&lt;"&amp;$AK1468)+COUNTIFS(LdBMember,$AE1468,LdBKey,"&lt;"&amp;$AK1468)+COUNTIFS(LdCParty,$AE1468,LdCKey,"&lt;"&amp;$AK1468)+1)</f>
        <v/>
      </c>
      <c r="AM1468">
        <f>IF($AL1468="","",$AE1468&amp;"|"&amp;RIGHT("000000"&amp;$AL1468,6))</f>
        <v/>
      </c>
      <c r="AN1468">
        <f>IF($AE1468="","",IF(Sync!$W1468="",0,Sync!$W1468))</f>
        <v/>
      </c>
      <c r="AO1468">
        <f>IF($AE1468="","",IF(Sync!$X1468="",0,Sync!$X1468))</f>
        <v/>
      </c>
      <c r="AP1468">
        <f>IF($AE1468="","",Sync!$R1468)</f>
        <v/>
      </c>
      <c r="AQ1468">
        <f>IF($AE1468="","",Sync!$Y1468)</f>
        <v/>
      </c>
    </row>
    <row r="1469">
      <c r="A1469">
        <f>IF(OR(Wages!$B1472="",Wages!$E1472=""),"",Wages!$E1472)</f>
        <v/>
      </c>
      <c r="B1469">
        <f>IF($A1469="","",IF(Wages!$C1472="دستمزد گروهی",2,1))</f>
        <v/>
      </c>
      <c r="C1469">
        <f>IF($A1469="","",IF(ISNUMBER(Wages!$B1472),IF(AND(Wages!$B1472&gt;=10000101,Wages!$B1472&lt;=99991231),INT(Wages!$B1472/10000),""),IFERROR(VALUE(TRIM(LEFT(Wages!$B1472,FIND("/",Wages!$B1472)-1))),"")))</f>
        <v/>
      </c>
      <c r="D1469">
        <f>IF(OR($A1469="",$C1469=""),"",IF(ISNUMBER(Wages!$B1472),INT(MOD(Wages!$B1472,10000)/100),IFERROR(VALUE(TRIM(LEFT(MID(Wages!$B1472,FIND("/",Wages!$B1472)+1,20),FIND("/",MID(Wages!$B1472,FIND("/",Wages!$B1472)+1,20))-1))),"")))</f>
        <v/>
      </c>
      <c r="E1469">
        <f>IF(OR($A1469="",$C1469=""),"",IF(ISNUMBER(Wages!$B1472),MOD(Wages!$B1472,100),IFERROR(VALUE(TRIM(MID(MID(Wages!$B1472,FIND("/",Wages!$B1472)+1,20),FIND("/",MID(Wages!$B1472,FIND("/",Wages!$B1472)+1,20))+1,20))),"")))</f>
        <v/>
      </c>
      <c r="F1469">
        <f>IF($A1469="","",IF(OR($C1469="",$D1469="",$E1469="",$C1469&lt;1300,$C1469&gt;1500,$D1469&lt;1,$D1469&gt;12,$E1469&lt;1,$E1469&gt;31),"نامعتبر",RIGHT("0000"&amp;$C1469,4)&amp;"/"&amp;RIGHT("00"&amp;$D1469,2)&amp;"/"&amp;RIGHT("00"&amp;$E1469,2)))</f>
        <v/>
      </c>
      <c r="G1469">
        <f>IF(OR($A1469="",$F1469="",$F1469="نامعتبر"),"",LEFT($F1469,4)&amp;MID($F1469,6,2)&amp;RIGHT($F1469,2)&amp;"0000"&amp;"|"&amp;"1"&amp;RIGHT("00000"&amp;1464,5))</f>
        <v/>
      </c>
      <c r="H1469">
        <f>IF(OR($B1469&lt;&gt;1,$G1469=""),"",COUNTIFS(LdAParty,$A1469,LdAType,1,LdAKey,"&lt;"&amp;$G1469)+COUNTIFS(LdBMember,$A1469,LdBKey,"&lt;"&amp;$G1469)+COUNTIFS(LdCParty,$A1469,LdCKey,"&lt;"&amp;$G1469)+1)</f>
        <v/>
      </c>
      <c r="I1469">
        <f>IF($H1469="","",$A1469&amp;"|"&amp;RIGHT("000000"&amp;$H1469,6))</f>
        <v/>
      </c>
      <c r="J1469">
        <f>IF(OR($B1469&lt;&gt;2,$G1469=""),"",COUNTIFS(LdAParty,$A1469,LdAType,2,LdAKey,"&lt;"&amp;$G1469)+1)</f>
        <v/>
      </c>
      <c r="K1469">
        <f>IF($J1469="","",$A1469&amp;"|"&amp;RIGHT("000000"&amp;$J1469,6))</f>
        <v/>
      </c>
      <c r="L1469">
        <f>IF($A1469="","",IF(Wages!$G1472="",0,Wages!$G1472))</f>
        <v/>
      </c>
      <c r="M1469">
        <f>IF($A1469="","",Wages!$J1472)</f>
        <v/>
      </c>
      <c r="N1469">
        <f>IF($A1469="","",Wages!$D1472)</f>
        <v/>
      </c>
      <c r="P1469">
        <f>IF(OR(Shares!$B1472="",Shares!$C1472=""),"",Shares!$C1472)</f>
        <v/>
      </c>
      <c r="Q1469">
        <f>IF($P1469="","",Shares!$B1472)</f>
        <v/>
      </c>
      <c r="R1469">
        <f>IF($P1469="","",IFERROR(INDEX(WageParty,MATCH($Q1469,WageIds,0)),""))</f>
        <v/>
      </c>
      <c r="S1469">
        <f>IF($P1469="","",IFERROR(INDEX($F$6:$F$2005,MATCH($Q1469,WageIds,0)),""))</f>
        <v/>
      </c>
      <c r="T1469">
        <f>IF(OR($P1469="",$S1469="",$S1469="نامعتبر"),"",LEFT($S1469,4)&amp;MID($S1469,6,2)&amp;RIGHT($S1469,2)&amp;"0000"&amp;"|"&amp;"2"&amp;RIGHT("00000"&amp;1464,5))</f>
        <v/>
      </c>
      <c r="U1469">
        <f>IF($T1469="","",COUNTIFS(LdAParty,$P1469,LdAType,1,LdAKey,"&lt;"&amp;$T1469)+COUNTIFS(LdBMember,$P1469,LdBKey,"&lt;"&amp;$T1469)+COUNTIFS(LdCParty,$P1469,LdCKey,"&lt;"&amp;$T1469)+1)</f>
        <v/>
      </c>
      <c r="V1469">
        <f>IF($U1469="","",$P1469&amp;"|"&amp;RIGHT("000000"&amp;$U1469,6))</f>
        <v/>
      </c>
      <c r="W1469">
        <f>IF($T1469="","",COUNTIFS(LdBGroup,$R1469,LdBKey,"&lt;"&amp;$T1469)+1)</f>
        <v/>
      </c>
      <c r="X1469">
        <f>IF($W1469="","",$R1469&amp;"|"&amp;RIGHT("000000"&amp;$W1469,6))</f>
        <v/>
      </c>
      <c r="Y1469">
        <f>IF($P1469="","",IF(Shares!$E1472="",0,Shares!$E1472))</f>
        <v/>
      </c>
      <c r="Z1469">
        <f>IF($P1469="","",Shares!$H1472)</f>
        <v/>
      </c>
      <c r="AE1469">
        <f>IF(OR(Sync!$S1469="",Sync!$P1469=""),"",Sync!$S1469)</f>
        <v/>
      </c>
      <c r="AF1469">
        <f>IF($AE1469="","",IF(ISNUMBER(Sync!$P1469),IF(AND(Sync!$P1469&gt;=10000101,Sync!$P1469&lt;=99991231),INT(Sync!$P1469/10000),""),IFERROR(VALUE(TRIM(LEFT(Sync!$P1469,FIND("/",Sync!$P1469)-1))),"")))</f>
        <v/>
      </c>
      <c r="AG1469">
        <f>IF(OR($AE1469="",$AF1469=""),"",IF(ISNUMBER(Sync!$P1469),INT(MOD(Sync!$P1469,10000)/100),IFERROR(VALUE(TRIM(LEFT(MID(Sync!$P1469,FIND("/",Sync!$P1469)+1,20),FIND("/",MID(Sync!$P1469,FIND("/",Sync!$P1469)+1,20))-1))),"")))</f>
        <v/>
      </c>
      <c r="AH1469">
        <f>IF(OR($AE1469="",$AF1469=""),"",IF(ISNUMBER(Sync!$P1469),MOD(Sync!$P1469,100),IFERROR(VALUE(TRIM(MID(MID(Sync!$P1469,FIND("/",Sync!$P1469)+1,20),FIND("/",MID(Sync!$P1469,FIND("/",Sync!$P1469)+1,20))+1,20))),"")))</f>
        <v/>
      </c>
      <c r="AI1469">
        <f>IF($AE1469="","",IF(OR($AF1469="",$AG1469="",$AH1469="",$AF1469&lt;1300,$AF1469&gt;1500,$AG1469&lt;1,$AG1469&gt;12,$AH1469&lt;1,$AH1469&gt;31),"نامعتبر",RIGHT("0000"&amp;$AF1469,4)&amp;"/"&amp;RIGHT("00"&amp;$AG1469,2)&amp;"/"&amp;RIGHT("00"&amp;$AH1469,2)))</f>
        <v/>
      </c>
      <c r="AJ1469">
        <f>IF($AE1469="","",IF(Sync!$Q1469="","0000",IF(AND(ISNUMBER(Sync!$Q1469),Sync!$Q1469&gt;=0,Sync!$Q1469&lt;1),RIGHT("00"&amp;HOUR(Sync!$Q1469),2)&amp;RIGHT("00"&amp;MINUTE(Sync!$Q1469),2),IFERROR(RIGHT("00"&amp;VALUE(LEFT(Sync!$Q1469,FIND(":",Sync!$Q1469)-1)),2)&amp;RIGHT("00"&amp;VALUE(MID(Sync!$Q1469,FIND(":",Sync!$Q1469)+1,2)),2),"0000"))))</f>
        <v/>
      </c>
      <c r="AK1469">
        <f>IF(OR($AE1469="",$AI1469="",$AI1469="نامعتبر"),"",LEFT($AI1469,4)&amp;MID($AI1469,6,2)&amp;RIGHT($AI1469,2)&amp;$AJ1469&amp;"|"&amp;"3"&amp;RIGHT("00000"&amp;1464,5))</f>
        <v/>
      </c>
      <c r="AL1469">
        <f>IF($AK1469="","",COUNTIFS(LdAParty,$AE1469,LdAType,1,LdAKey,"&lt;"&amp;$AK1469)+COUNTIFS(LdBMember,$AE1469,LdBKey,"&lt;"&amp;$AK1469)+COUNTIFS(LdCParty,$AE1469,LdCKey,"&lt;"&amp;$AK1469)+1)</f>
        <v/>
      </c>
      <c r="AM1469">
        <f>IF($AL1469="","",$AE1469&amp;"|"&amp;RIGHT("000000"&amp;$AL1469,6))</f>
        <v/>
      </c>
      <c r="AN1469">
        <f>IF($AE1469="","",IF(Sync!$W1469="",0,Sync!$W1469))</f>
        <v/>
      </c>
      <c r="AO1469">
        <f>IF($AE1469="","",IF(Sync!$X1469="",0,Sync!$X1469))</f>
        <v/>
      </c>
      <c r="AP1469">
        <f>IF($AE1469="","",Sync!$R1469)</f>
        <v/>
      </c>
      <c r="AQ1469">
        <f>IF($AE1469="","",Sync!$Y1469)</f>
        <v/>
      </c>
    </row>
    <row r="1470">
      <c r="A1470">
        <f>IF(OR(Wages!$B1473="",Wages!$E1473=""),"",Wages!$E1473)</f>
        <v/>
      </c>
      <c r="B1470">
        <f>IF($A1470="","",IF(Wages!$C1473="دستمزد گروهی",2,1))</f>
        <v/>
      </c>
      <c r="C1470">
        <f>IF($A1470="","",IF(ISNUMBER(Wages!$B1473),IF(AND(Wages!$B1473&gt;=10000101,Wages!$B1473&lt;=99991231),INT(Wages!$B1473/10000),""),IFERROR(VALUE(TRIM(LEFT(Wages!$B1473,FIND("/",Wages!$B1473)-1))),"")))</f>
        <v/>
      </c>
      <c r="D1470">
        <f>IF(OR($A1470="",$C1470=""),"",IF(ISNUMBER(Wages!$B1473),INT(MOD(Wages!$B1473,10000)/100),IFERROR(VALUE(TRIM(LEFT(MID(Wages!$B1473,FIND("/",Wages!$B1473)+1,20),FIND("/",MID(Wages!$B1473,FIND("/",Wages!$B1473)+1,20))-1))),"")))</f>
        <v/>
      </c>
      <c r="E1470">
        <f>IF(OR($A1470="",$C1470=""),"",IF(ISNUMBER(Wages!$B1473),MOD(Wages!$B1473,100),IFERROR(VALUE(TRIM(MID(MID(Wages!$B1473,FIND("/",Wages!$B1473)+1,20),FIND("/",MID(Wages!$B1473,FIND("/",Wages!$B1473)+1,20))+1,20))),"")))</f>
        <v/>
      </c>
      <c r="F1470">
        <f>IF($A1470="","",IF(OR($C1470="",$D1470="",$E1470="",$C1470&lt;1300,$C1470&gt;1500,$D1470&lt;1,$D1470&gt;12,$E1470&lt;1,$E1470&gt;31),"نامعتبر",RIGHT("0000"&amp;$C1470,4)&amp;"/"&amp;RIGHT("00"&amp;$D1470,2)&amp;"/"&amp;RIGHT("00"&amp;$E1470,2)))</f>
        <v/>
      </c>
      <c r="G1470">
        <f>IF(OR($A1470="",$F1470="",$F1470="نامعتبر"),"",LEFT($F1470,4)&amp;MID($F1470,6,2)&amp;RIGHT($F1470,2)&amp;"0000"&amp;"|"&amp;"1"&amp;RIGHT("00000"&amp;1465,5))</f>
        <v/>
      </c>
      <c r="H1470">
        <f>IF(OR($B1470&lt;&gt;1,$G1470=""),"",COUNTIFS(LdAParty,$A1470,LdAType,1,LdAKey,"&lt;"&amp;$G1470)+COUNTIFS(LdBMember,$A1470,LdBKey,"&lt;"&amp;$G1470)+COUNTIFS(LdCParty,$A1470,LdCKey,"&lt;"&amp;$G1470)+1)</f>
        <v/>
      </c>
      <c r="I1470">
        <f>IF($H1470="","",$A1470&amp;"|"&amp;RIGHT("000000"&amp;$H1470,6))</f>
        <v/>
      </c>
      <c r="J1470">
        <f>IF(OR($B1470&lt;&gt;2,$G1470=""),"",COUNTIFS(LdAParty,$A1470,LdAType,2,LdAKey,"&lt;"&amp;$G1470)+1)</f>
        <v/>
      </c>
      <c r="K1470">
        <f>IF($J1470="","",$A1470&amp;"|"&amp;RIGHT("000000"&amp;$J1470,6))</f>
        <v/>
      </c>
      <c r="L1470">
        <f>IF($A1470="","",IF(Wages!$G1473="",0,Wages!$G1473))</f>
        <v/>
      </c>
      <c r="M1470">
        <f>IF($A1470="","",Wages!$J1473)</f>
        <v/>
      </c>
      <c r="N1470">
        <f>IF($A1470="","",Wages!$D1473)</f>
        <v/>
      </c>
      <c r="P1470">
        <f>IF(OR(Shares!$B1473="",Shares!$C1473=""),"",Shares!$C1473)</f>
        <v/>
      </c>
      <c r="Q1470">
        <f>IF($P1470="","",Shares!$B1473)</f>
        <v/>
      </c>
      <c r="R1470">
        <f>IF($P1470="","",IFERROR(INDEX(WageParty,MATCH($Q1470,WageIds,0)),""))</f>
        <v/>
      </c>
      <c r="S1470">
        <f>IF($P1470="","",IFERROR(INDEX($F$6:$F$2005,MATCH($Q1470,WageIds,0)),""))</f>
        <v/>
      </c>
      <c r="T1470">
        <f>IF(OR($P1470="",$S1470="",$S1470="نامعتبر"),"",LEFT($S1470,4)&amp;MID($S1470,6,2)&amp;RIGHT($S1470,2)&amp;"0000"&amp;"|"&amp;"2"&amp;RIGHT("00000"&amp;1465,5))</f>
        <v/>
      </c>
      <c r="U1470">
        <f>IF($T1470="","",COUNTIFS(LdAParty,$P1470,LdAType,1,LdAKey,"&lt;"&amp;$T1470)+COUNTIFS(LdBMember,$P1470,LdBKey,"&lt;"&amp;$T1470)+COUNTIFS(LdCParty,$P1470,LdCKey,"&lt;"&amp;$T1470)+1)</f>
        <v/>
      </c>
      <c r="V1470">
        <f>IF($U1470="","",$P1470&amp;"|"&amp;RIGHT("000000"&amp;$U1470,6))</f>
        <v/>
      </c>
      <c r="W1470">
        <f>IF($T1470="","",COUNTIFS(LdBGroup,$R1470,LdBKey,"&lt;"&amp;$T1470)+1)</f>
        <v/>
      </c>
      <c r="X1470">
        <f>IF($W1470="","",$R1470&amp;"|"&amp;RIGHT("000000"&amp;$W1470,6))</f>
        <v/>
      </c>
      <c r="Y1470">
        <f>IF($P1470="","",IF(Shares!$E1473="",0,Shares!$E1473))</f>
        <v/>
      </c>
      <c r="Z1470">
        <f>IF($P1470="","",Shares!$H1473)</f>
        <v/>
      </c>
      <c r="AE1470">
        <f>IF(OR(Sync!$S1470="",Sync!$P1470=""),"",Sync!$S1470)</f>
        <v/>
      </c>
      <c r="AF1470">
        <f>IF($AE1470="","",IF(ISNUMBER(Sync!$P1470),IF(AND(Sync!$P1470&gt;=10000101,Sync!$P1470&lt;=99991231),INT(Sync!$P1470/10000),""),IFERROR(VALUE(TRIM(LEFT(Sync!$P1470,FIND("/",Sync!$P1470)-1))),"")))</f>
        <v/>
      </c>
      <c r="AG1470">
        <f>IF(OR($AE1470="",$AF1470=""),"",IF(ISNUMBER(Sync!$P1470),INT(MOD(Sync!$P1470,10000)/100),IFERROR(VALUE(TRIM(LEFT(MID(Sync!$P1470,FIND("/",Sync!$P1470)+1,20),FIND("/",MID(Sync!$P1470,FIND("/",Sync!$P1470)+1,20))-1))),"")))</f>
        <v/>
      </c>
      <c r="AH1470">
        <f>IF(OR($AE1470="",$AF1470=""),"",IF(ISNUMBER(Sync!$P1470),MOD(Sync!$P1470,100),IFERROR(VALUE(TRIM(MID(MID(Sync!$P1470,FIND("/",Sync!$P1470)+1,20),FIND("/",MID(Sync!$P1470,FIND("/",Sync!$P1470)+1,20))+1,20))),"")))</f>
        <v/>
      </c>
      <c r="AI1470">
        <f>IF($AE1470="","",IF(OR($AF1470="",$AG1470="",$AH1470="",$AF1470&lt;1300,$AF1470&gt;1500,$AG1470&lt;1,$AG1470&gt;12,$AH1470&lt;1,$AH1470&gt;31),"نامعتبر",RIGHT("0000"&amp;$AF1470,4)&amp;"/"&amp;RIGHT("00"&amp;$AG1470,2)&amp;"/"&amp;RIGHT("00"&amp;$AH1470,2)))</f>
        <v/>
      </c>
      <c r="AJ1470">
        <f>IF($AE1470="","",IF(Sync!$Q1470="","0000",IF(AND(ISNUMBER(Sync!$Q1470),Sync!$Q1470&gt;=0,Sync!$Q1470&lt;1),RIGHT("00"&amp;HOUR(Sync!$Q1470),2)&amp;RIGHT("00"&amp;MINUTE(Sync!$Q1470),2),IFERROR(RIGHT("00"&amp;VALUE(LEFT(Sync!$Q1470,FIND(":",Sync!$Q1470)-1)),2)&amp;RIGHT("00"&amp;VALUE(MID(Sync!$Q1470,FIND(":",Sync!$Q1470)+1,2)),2),"0000"))))</f>
        <v/>
      </c>
      <c r="AK1470">
        <f>IF(OR($AE1470="",$AI1470="",$AI1470="نامعتبر"),"",LEFT($AI1470,4)&amp;MID($AI1470,6,2)&amp;RIGHT($AI1470,2)&amp;$AJ1470&amp;"|"&amp;"3"&amp;RIGHT("00000"&amp;1465,5))</f>
        <v/>
      </c>
      <c r="AL1470">
        <f>IF($AK1470="","",COUNTIFS(LdAParty,$AE1470,LdAType,1,LdAKey,"&lt;"&amp;$AK1470)+COUNTIFS(LdBMember,$AE1470,LdBKey,"&lt;"&amp;$AK1470)+COUNTIFS(LdCParty,$AE1470,LdCKey,"&lt;"&amp;$AK1470)+1)</f>
        <v/>
      </c>
      <c r="AM1470">
        <f>IF($AL1470="","",$AE1470&amp;"|"&amp;RIGHT("000000"&amp;$AL1470,6))</f>
        <v/>
      </c>
      <c r="AN1470">
        <f>IF($AE1470="","",IF(Sync!$W1470="",0,Sync!$W1470))</f>
        <v/>
      </c>
      <c r="AO1470">
        <f>IF($AE1470="","",IF(Sync!$X1470="",0,Sync!$X1470))</f>
        <v/>
      </c>
      <c r="AP1470">
        <f>IF($AE1470="","",Sync!$R1470)</f>
        <v/>
      </c>
      <c r="AQ1470">
        <f>IF($AE1470="","",Sync!$Y1470)</f>
        <v/>
      </c>
    </row>
    <row r="1471">
      <c r="A1471">
        <f>IF(OR(Wages!$B1474="",Wages!$E1474=""),"",Wages!$E1474)</f>
        <v/>
      </c>
      <c r="B1471">
        <f>IF($A1471="","",IF(Wages!$C1474="دستمزد گروهی",2,1))</f>
        <v/>
      </c>
      <c r="C1471">
        <f>IF($A1471="","",IF(ISNUMBER(Wages!$B1474),IF(AND(Wages!$B1474&gt;=10000101,Wages!$B1474&lt;=99991231),INT(Wages!$B1474/10000),""),IFERROR(VALUE(TRIM(LEFT(Wages!$B1474,FIND("/",Wages!$B1474)-1))),"")))</f>
        <v/>
      </c>
      <c r="D1471">
        <f>IF(OR($A1471="",$C1471=""),"",IF(ISNUMBER(Wages!$B1474),INT(MOD(Wages!$B1474,10000)/100),IFERROR(VALUE(TRIM(LEFT(MID(Wages!$B1474,FIND("/",Wages!$B1474)+1,20),FIND("/",MID(Wages!$B1474,FIND("/",Wages!$B1474)+1,20))-1))),"")))</f>
        <v/>
      </c>
      <c r="E1471">
        <f>IF(OR($A1471="",$C1471=""),"",IF(ISNUMBER(Wages!$B1474),MOD(Wages!$B1474,100),IFERROR(VALUE(TRIM(MID(MID(Wages!$B1474,FIND("/",Wages!$B1474)+1,20),FIND("/",MID(Wages!$B1474,FIND("/",Wages!$B1474)+1,20))+1,20))),"")))</f>
        <v/>
      </c>
      <c r="F1471">
        <f>IF($A1471="","",IF(OR($C1471="",$D1471="",$E1471="",$C1471&lt;1300,$C1471&gt;1500,$D1471&lt;1,$D1471&gt;12,$E1471&lt;1,$E1471&gt;31),"نامعتبر",RIGHT("0000"&amp;$C1471,4)&amp;"/"&amp;RIGHT("00"&amp;$D1471,2)&amp;"/"&amp;RIGHT("00"&amp;$E1471,2)))</f>
        <v/>
      </c>
      <c r="G1471">
        <f>IF(OR($A1471="",$F1471="",$F1471="نامعتبر"),"",LEFT($F1471,4)&amp;MID($F1471,6,2)&amp;RIGHT($F1471,2)&amp;"0000"&amp;"|"&amp;"1"&amp;RIGHT("00000"&amp;1466,5))</f>
        <v/>
      </c>
      <c r="H1471">
        <f>IF(OR($B1471&lt;&gt;1,$G1471=""),"",COUNTIFS(LdAParty,$A1471,LdAType,1,LdAKey,"&lt;"&amp;$G1471)+COUNTIFS(LdBMember,$A1471,LdBKey,"&lt;"&amp;$G1471)+COUNTIFS(LdCParty,$A1471,LdCKey,"&lt;"&amp;$G1471)+1)</f>
        <v/>
      </c>
      <c r="I1471">
        <f>IF($H1471="","",$A1471&amp;"|"&amp;RIGHT("000000"&amp;$H1471,6))</f>
        <v/>
      </c>
      <c r="J1471">
        <f>IF(OR($B1471&lt;&gt;2,$G1471=""),"",COUNTIFS(LdAParty,$A1471,LdAType,2,LdAKey,"&lt;"&amp;$G1471)+1)</f>
        <v/>
      </c>
      <c r="K1471">
        <f>IF($J1471="","",$A1471&amp;"|"&amp;RIGHT("000000"&amp;$J1471,6))</f>
        <v/>
      </c>
      <c r="L1471">
        <f>IF($A1471="","",IF(Wages!$G1474="",0,Wages!$G1474))</f>
        <v/>
      </c>
      <c r="M1471">
        <f>IF($A1471="","",Wages!$J1474)</f>
        <v/>
      </c>
      <c r="N1471">
        <f>IF($A1471="","",Wages!$D1474)</f>
        <v/>
      </c>
      <c r="P1471">
        <f>IF(OR(Shares!$B1474="",Shares!$C1474=""),"",Shares!$C1474)</f>
        <v/>
      </c>
      <c r="Q1471">
        <f>IF($P1471="","",Shares!$B1474)</f>
        <v/>
      </c>
      <c r="R1471">
        <f>IF($P1471="","",IFERROR(INDEX(WageParty,MATCH($Q1471,WageIds,0)),""))</f>
        <v/>
      </c>
      <c r="S1471">
        <f>IF($P1471="","",IFERROR(INDEX($F$6:$F$2005,MATCH($Q1471,WageIds,0)),""))</f>
        <v/>
      </c>
      <c r="T1471">
        <f>IF(OR($P1471="",$S1471="",$S1471="نامعتبر"),"",LEFT($S1471,4)&amp;MID($S1471,6,2)&amp;RIGHT($S1471,2)&amp;"0000"&amp;"|"&amp;"2"&amp;RIGHT("00000"&amp;1466,5))</f>
        <v/>
      </c>
      <c r="U1471">
        <f>IF($T1471="","",COUNTIFS(LdAParty,$P1471,LdAType,1,LdAKey,"&lt;"&amp;$T1471)+COUNTIFS(LdBMember,$P1471,LdBKey,"&lt;"&amp;$T1471)+COUNTIFS(LdCParty,$P1471,LdCKey,"&lt;"&amp;$T1471)+1)</f>
        <v/>
      </c>
      <c r="V1471">
        <f>IF($U1471="","",$P1471&amp;"|"&amp;RIGHT("000000"&amp;$U1471,6))</f>
        <v/>
      </c>
      <c r="W1471">
        <f>IF($T1471="","",COUNTIFS(LdBGroup,$R1471,LdBKey,"&lt;"&amp;$T1471)+1)</f>
        <v/>
      </c>
      <c r="X1471">
        <f>IF($W1471="","",$R1471&amp;"|"&amp;RIGHT("000000"&amp;$W1471,6))</f>
        <v/>
      </c>
      <c r="Y1471">
        <f>IF($P1471="","",IF(Shares!$E1474="",0,Shares!$E1474))</f>
        <v/>
      </c>
      <c r="Z1471">
        <f>IF($P1471="","",Shares!$H1474)</f>
        <v/>
      </c>
      <c r="AE1471">
        <f>IF(OR(Sync!$S1471="",Sync!$P1471=""),"",Sync!$S1471)</f>
        <v/>
      </c>
      <c r="AF1471">
        <f>IF($AE1471="","",IF(ISNUMBER(Sync!$P1471),IF(AND(Sync!$P1471&gt;=10000101,Sync!$P1471&lt;=99991231),INT(Sync!$P1471/10000),""),IFERROR(VALUE(TRIM(LEFT(Sync!$P1471,FIND("/",Sync!$P1471)-1))),"")))</f>
        <v/>
      </c>
      <c r="AG1471">
        <f>IF(OR($AE1471="",$AF1471=""),"",IF(ISNUMBER(Sync!$P1471),INT(MOD(Sync!$P1471,10000)/100),IFERROR(VALUE(TRIM(LEFT(MID(Sync!$P1471,FIND("/",Sync!$P1471)+1,20),FIND("/",MID(Sync!$P1471,FIND("/",Sync!$P1471)+1,20))-1))),"")))</f>
        <v/>
      </c>
      <c r="AH1471">
        <f>IF(OR($AE1471="",$AF1471=""),"",IF(ISNUMBER(Sync!$P1471),MOD(Sync!$P1471,100),IFERROR(VALUE(TRIM(MID(MID(Sync!$P1471,FIND("/",Sync!$P1471)+1,20),FIND("/",MID(Sync!$P1471,FIND("/",Sync!$P1471)+1,20))+1,20))),"")))</f>
        <v/>
      </c>
      <c r="AI1471">
        <f>IF($AE1471="","",IF(OR($AF1471="",$AG1471="",$AH1471="",$AF1471&lt;1300,$AF1471&gt;1500,$AG1471&lt;1,$AG1471&gt;12,$AH1471&lt;1,$AH1471&gt;31),"نامعتبر",RIGHT("0000"&amp;$AF1471,4)&amp;"/"&amp;RIGHT("00"&amp;$AG1471,2)&amp;"/"&amp;RIGHT("00"&amp;$AH1471,2)))</f>
        <v/>
      </c>
      <c r="AJ1471">
        <f>IF($AE1471="","",IF(Sync!$Q1471="","0000",IF(AND(ISNUMBER(Sync!$Q1471),Sync!$Q1471&gt;=0,Sync!$Q1471&lt;1),RIGHT("00"&amp;HOUR(Sync!$Q1471),2)&amp;RIGHT("00"&amp;MINUTE(Sync!$Q1471),2),IFERROR(RIGHT("00"&amp;VALUE(LEFT(Sync!$Q1471,FIND(":",Sync!$Q1471)-1)),2)&amp;RIGHT("00"&amp;VALUE(MID(Sync!$Q1471,FIND(":",Sync!$Q1471)+1,2)),2),"0000"))))</f>
        <v/>
      </c>
      <c r="AK1471">
        <f>IF(OR($AE1471="",$AI1471="",$AI1471="نامعتبر"),"",LEFT($AI1471,4)&amp;MID($AI1471,6,2)&amp;RIGHT($AI1471,2)&amp;$AJ1471&amp;"|"&amp;"3"&amp;RIGHT("00000"&amp;1466,5))</f>
        <v/>
      </c>
      <c r="AL1471">
        <f>IF($AK1471="","",COUNTIFS(LdAParty,$AE1471,LdAType,1,LdAKey,"&lt;"&amp;$AK1471)+COUNTIFS(LdBMember,$AE1471,LdBKey,"&lt;"&amp;$AK1471)+COUNTIFS(LdCParty,$AE1471,LdCKey,"&lt;"&amp;$AK1471)+1)</f>
        <v/>
      </c>
      <c r="AM1471">
        <f>IF($AL1471="","",$AE1471&amp;"|"&amp;RIGHT("000000"&amp;$AL1471,6))</f>
        <v/>
      </c>
      <c r="AN1471">
        <f>IF($AE1471="","",IF(Sync!$W1471="",0,Sync!$W1471))</f>
        <v/>
      </c>
      <c r="AO1471">
        <f>IF($AE1471="","",IF(Sync!$X1471="",0,Sync!$X1471))</f>
        <v/>
      </c>
      <c r="AP1471">
        <f>IF($AE1471="","",Sync!$R1471)</f>
        <v/>
      </c>
      <c r="AQ1471">
        <f>IF($AE1471="","",Sync!$Y1471)</f>
        <v/>
      </c>
    </row>
    <row r="1472">
      <c r="A1472">
        <f>IF(OR(Wages!$B1475="",Wages!$E1475=""),"",Wages!$E1475)</f>
        <v/>
      </c>
      <c r="B1472">
        <f>IF($A1472="","",IF(Wages!$C1475="دستمزد گروهی",2,1))</f>
        <v/>
      </c>
      <c r="C1472">
        <f>IF($A1472="","",IF(ISNUMBER(Wages!$B1475),IF(AND(Wages!$B1475&gt;=10000101,Wages!$B1475&lt;=99991231),INT(Wages!$B1475/10000),""),IFERROR(VALUE(TRIM(LEFT(Wages!$B1475,FIND("/",Wages!$B1475)-1))),"")))</f>
        <v/>
      </c>
      <c r="D1472">
        <f>IF(OR($A1472="",$C1472=""),"",IF(ISNUMBER(Wages!$B1475),INT(MOD(Wages!$B1475,10000)/100),IFERROR(VALUE(TRIM(LEFT(MID(Wages!$B1475,FIND("/",Wages!$B1475)+1,20),FIND("/",MID(Wages!$B1475,FIND("/",Wages!$B1475)+1,20))-1))),"")))</f>
        <v/>
      </c>
      <c r="E1472">
        <f>IF(OR($A1472="",$C1472=""),"",IF(ISNUMBER(Wages!$B1475),MOD(Wages!$B1475,100),IFERROR(VALUE(TRIM(MID(MID(Wages!$B1475,FIND("/",Wages!$B1475)+1,20),FIND("/",MID(Wages!$B1475,FIND("/",Wages!$B1475)+1,20))+1,20))),"")))</f>
        <v/>
      </c>
      <c r="F1472">
        <f>IF($A1472="","",IF(OR($C1472="",$D1472="",$E1472="",$C1472&lt;1300,$C1472&gt;1500,$D1472&lt;1,$D1472&gt;12,$E1472&lt;1,$E1472&gt;31),"نامعتبر",RIGHT("0000"&amp;$C1472,4)&amp;"/"&amp;RIGHT("00"&amp;$D1472,2)&amp;"/"&amp;RIGHT("00"&amp;$E1472,2)))</f>
        <v/>
      </c>
      <c r="G1472">
        <f>IF(OR($A1472="",$F1472="",$F1472="نامعتبر"),"",LEFT($F1472,4)&amp;MID($F1472,6,2)&amp;RIGHT($F1472,2)&amp;"0000"&amp;"|"&amp;"1"&amp;RIGHT("00000"&amp;1467,5))</f>
        <v/>
      </c>
      <c r="H1472">
        <f>IF(OR($B1472&lt;&gt;1,$G1472=""),"",COUNTIFS(LdAParty,$A1472,LdAType,1,LdAKey,"&lt;"&amp;$G1472)+COUNTIFS(LdBMember,$A1472,LdBKey,"&lt;"&amp;$G1472)+COUNTIFS(LdCParty,$A1472,LdCKey,"&lt;"&amp;$G1472)+1)</f>
        <v/>
      </c>
      <c r="I1472">
        <f>IF($H1472="","",$A1472&amp;"|"&amp;RIGHT("000000"&amp;$H1472,6))</f>
        <v/>
      </c>
      <c r="J1472">
        <f>IF(OR($B1472&lt;&gt;2,$G1472=""),"",COUNTIFS(LdAParty,$A1472,LdAType,2,LdAKey,"&lt;"&amp;$G1472)+1)</f>
        <v/>
      </c>
      <c r="K1472">
        <f>IF($J1472="","",$A1472&amp;"|"&amp;RIGHT("000000"&amp;$J1472,6))</f>
        <v/>
      </c>
      <c r="L1472">
        <f>IF($A1472="","",IF(Wages!$G1475="",0,Wages!$G1475))</f>
        <v/>
      </c>
      <c r="M1472">
        <f>IF($A1472="","",Wages!$J1475)</f>
        <v/>
      </c>
      <c r="N1472">
        <f>IF($A1472="","",Wages!$D1475)</f>
        <v/>
      </c>
      <c r="P1472">
        <f>IF(OR(Shares!$B1475="",Shares!$C1475=""),"",Shares!$C1475)</f>
        <v/>
      </c>
      <c r="Q1472">
        <f>IF($P1472="","",Shares!$B1475)</f>
        <v/>
      </c>
      <c r="R1472">
        <f>IF($P1472="","",IFERROR(INDEX(WageParty,MATCH($Q1472,WageIds,0)),""))</f>
        <v/>
      </c>
      <c r="S1472">
        <f>IF($P1472="","",IFERROR(INDEX($F$6:$F$2005,MATCH($Q1472,WageIds,0)),""))</f>
        <v/>
      </c>
      <c r="T1472">
        <f>IF(OR($P1472="",$S1472="",$S1472="نامعتبر"),"",LEFT($S1472,4)&amp;MID($S1472,6,2)&amp;RIGHT($S1472,2)&amp;"0000"&amp;"|"&amp;"2"&amp;RIGHT("00000"&amp;1467,5))</f>
        <v/>
      </c>
      <c r="U1472">
        <f>IF($T1472="","",COUNTIFS(LdAParty,$P1472,LdAType,1,LdAKey,"&lt;"&amp;$T1472)+COUNTIFS(LdBMember,$P1472,LdBKey,"&lt;"&amp;$T1472)+COUNTIFS(LdCParty,$P1472,LdCKey,"&lt;"&amp;$T1472)+1)</f>
        <v/>
      </c>
      <c r="V1472">
        <f>IF($U1472="","",$P1472&amp;"|"&amp;RIGHT("000000"&amp;$U1472,6))</f>
        <v/>
      </c>
      <c r="W1472">
        <f>IF($T1472="","",COUNTIFS(LdBGroup,$R1472,LdBKey,"&lt;"&amp;$T1472)+1)</f>
        <v/>
      </c>
      <c r="X1472">
        <f>IF($W1472="","",$R1472&amp;"|"&amp;RIGHT("000000"&amp;$W1472,6))</f>
        <v/>
      </c>
      <c r="Y1472">
        <f>IF($P1472="","",IF(Shares!$E1475="",0,Shares!$E1475))</f>
        <v/>
      </c>
      <c r="Z1472">
        <f>IF($P1472="","",Shares!$H1475)</f>
        <v/>
      </c>
      <c r="AE1472">
        <f>IF(OR(Sync!$S1472="",Sync!$P1472=""),"",Sync!$S1472)</f>
        <v/>
      </c>
      <c r="AF1472">
        <f>IF($AE1472="","",IF(ISNUMBER(Sync!$P1472),IF(AND(Sync!$P1472&gt;=10000101,Sync!$P1472&lt;=99991231),INT(Sync!$P1472/10000),""),IFERROR(VALUE(TRIM(LEFT(Sync!$P1472,FIND("/",Sync!$P1472)-1))),"")))</f>
        <v/>
      </c>
      <c r="AG1472">
        <f>IF(OR($AE1472="",$AF1472=""),"",IF(ISNUMBER(Sync!$P1472),INT(MOD(Sync!$P1472,10000)/100),IFERROR(VALUE(TRIM(LEFT(MID(Sync!$P1472,FIND("/",Sync!$P1472)+1,20),FIND("/",MID(Sync!$P1472,FIND("/",Sync!$P1472)+1,20))-1))),"")))</f>
        <v/>
      </c>
      <c r="AH1472">
        <f>IF(OR($AE1472="",$AF1472=""),"",IF(ISNUMBER(Sync!$P1472),MOD(Sync!$P1472,100),IFERROR(VALUE(TRIM(MID(MID(Sync!$P1472,FIND("/",Sync!$P1472)+1,20),FIND("/",MID(Sync!$P1472,FIND("/",Sync!$P1472)+1,20))+1,20))),"")))</f>
        <v/>
      </c>
      <c r="AI1472">
        <f>IF($AE1472="","",IF(OR($AF1472="",$AG1472="",$AH1472="",$AF1472&lt;1300,$AF1472&gt;1500,$AG1472&lt;1,$AG1472&gt;12,$AH1472&lt;1,$AH1472&gt;31),"نامعتبر",RIGHT("0000"&amp;$AF1472,4)&amp;"/"&amp;RIGHT("00"&amp;$AG1472,2)&amp;"/"&amp;RIGHT("00"&amp;$AH1472,2)))</f>
        <v/>
      </c>
      <c r="AJ1472">
        <f>IF($AE1472="","",IF(Sync!$Q1472="","0000",IF(AND(ISNUMBER(Sync!$Q1472),Sync!$Q1472&gt;=0,Sync!$Q1472&lt;1),RIGHT("00"&amp;HOUR(Sync!$Q1472),2)&amp;RIGHT("00"&amp;MINUTE(Sync!$Q1472),2),IFERROR(RIGHT("00"&amp;VALUE(LEFT(Sync!$Q1472,FIND(":",Sync!$Q1472)-1)),2)&amp;RIGHT("00"&amp;VALUE(MID(Sync!$Q1472,FIND(":",Sync!$Q1472)+1,2)),2),"0000"))))</f>
        <v/>
      </c>
      <c r="AK1472">
        <f>IF(OR($AE1472="",$AI1472="",$AI1472="نامعتبر"),"",LEFT($AI1472,4)&amp;MID($AI1472,6,2)&amp;RIGHT($AI1472,2)&amp;$AJ1472&amp;"|"&amp;"3"&amp;RIGHT("00000"&amp;1467,5))</f>
        <v/>
      </c>
      <c r="AL1472">
        <f>IF($AK1472="","",COUNTIFS(LdAParty,$AE1472,LdAType,1,LdAKey,"&lt;"&amp;$AK1472)+COUNTIFS(LdBMember,$AE1472,LdBKey,"&lt;"&amp;$AK1472)+COUNTIFS(LdCParty,$AE1472,LdCKey,"&lt;"&amp;$AK1472)+1)</f>
        <v/>
      </c>
      <c r="AM1472">
        <f>IF($AL1472="","",$AE1472&amp;"|"&amp;RIGHT("000000"&amp;$AL1472,6))</f>
        <v/>
      </c>
      <c r="AN1472">
        <f>IF($AE1472="","",IF(Sync!$W1472="",0,Sync!$W1472))</f>
        <v/>
      </c>
      <c r="AO1472">
        <f>IF($AE1472="","",IF(Sync!$X1472="",0,Sync!$X1472))</f>
        <v/>
      </c>
      <c r="AP1472">
        <f>IF($AE1472="","",Sync!$R1472)</f>
        <v/>
      </c>
      <c r="AQ1472">
        <f>IF($AE1472="","",Sync!$Y1472)</f>
        <v/>
      </c>
    </row>
    <row r="1473">
      <c r="A1473">
        <f>IF(OR(Wages!$B1476="",Wages!$E1476=""),"",Wages!$E1476)</f>
        <v/>
      </c>
      <c r="B1473">
        <f>IF($A1473="","",IF(Wages!$C1476="دستمزد گروهی",2,1))</f>
        <v/>
      </c>
      <c r="C1473">
        <f>IF($A1473="","",IF(ISNUMBER(Wages!$B1476),IF(AND(Wages!$B1476&gt;=10000101,Wages!$B1476&lt;=99991231),INT(Wages!$B1476/10000),""),IFERROR(VALUE(TRIM(LEFT(Wages!$B1476,FIND("/",Wages!$B1476)-1))),"")))</f>
        <v/>
      </c>
      <c r="D1473">
        <f>IF(OR($A1473="",$C1473=""),"",IF(ISNUMBER(Wages!$B1476),INT(MOD(Wages!$B1476,10000)/100),IFERROR(VALUE(TRIM(LEFT(MID(Wages!$B1476,FIND("/",Wages!$B1476)+1,20),FIND("/",MID(Wages!$B1476,FIND("/",Wages!$B1476)+1,20))-1))),"")))</f>
        <v/>
      </c>
      <c r="E1473">
        <f>IF(OR($A1473="",$C1473=""),"",IF(ISNUMBER(Wages!$B1476),MOD(Wages!$B1476,100),IFERROR(VALUE(TRIM(MID(MID(Wages!$B1476,FIND("/",Wages!$B1476)+1,20),FIND("/",MID(Wages!$B1476,FIND("/",Wages!$B1476)+1,20))+1,20))),"")))</f>
        <v/>
      </c>
      <c r="F1473">
        <f>IF($A1473="","",IF(OR($C1473="",$D1473="",$E1473="",$C1473&lt;1300,$C1473&gt;1500,$D1473&lt;1,$D1473&gt;12,$E1473&lt;1,$E1473&gt;31),"نامعتبر",RIGHT("0000"&amp;$C1473,4)&amp;"/"&amp;RIGHT("00"&amp;$D1473,2)&amp;"/"&amp;RIGHT("00"&amp;$E1473,2)))</f>
        <v/>
      </c>
      <c r="G1473">
        <f>IF(OR($A1473="",$F1473="",$F1473="نامعتبر"),"",LEFT($F1473,4)&amp;MID($F1473,6,2)&amp;RIGHT($F1473,2)&amp;"0000"&amp;"|"&amp;"1"&amp;RIGHT("00000"&amp;1468,5))</f>
        <v/>
      </c>
      <c r="H1473">
        <f>IF(OR($B1473&lt;&gt;1,$G1473=""),"",COUNTIFS(LdAParty,$A1473,LdAType,1,LdAKey,"&lt;"&amp;$G1473)+COUNTIFS(LdBMember,$A1473,LdBKey,"&lt;"&amp;$G1473)+COUNTIFS(LdCParty,$A1473,LdCKey,"&lt;"&amp;$G1473)+1)</f>
        <v/>
      </c>
      <c r="I1473">
        <f>IF($H1473="","",$A1473&amp;"|"&amp;RIGHT("000000"&amp;$H1473,6))</f>
        <v/>
      </c>
      <c r="J1473">
        <f>IF(OR($B1473&lt;&gt;2,$G1473=""),"",COUNTIFS(LdAParty,$A1473,LdAType,2,LdAKey,"&lt;"&amp;$G1473)+1)</f>
        <v/>
      </c>
      <c r="K1473">
        <f>IF($J1473="","",$A1473&amp;"|"&amp;RIGHT("000000"&amp;$J1473,6))</f>
        <v/>
      </c>
      <c r="L1473">
        <f>IF($A1473="","",IF(Wages!$G1476="",0,Wages!$G1476))</f>
        <v/>
      </c>
      <c r="M1473">
        <f>IF($A1473="","",Wages!$J1476)</f>
        <v/>
      </c>
      <c r="N1473">
        <f>IF($A1473="","",Wages!$D1476)</f>
        <v/>
      </c>
      <c r="P1473">
        <f>IF(OR(Shares!$B1476="",Shares!$C1476=""),"",Shares!$C1476)</f>
        <v/>
      </c>
      <c r="Q1473">
        <f>IF($P1473="","",Shares!$B1476)</f>
        <v/>
      </c>
      <c r="R1473">
        <f>IF($P1473="","",IFERROR(INDEX(WageParty,MATCH($Q1473,WageIds,0)),""))</f>
        <v/>
      </c>
      <c r="S1473">
        <f>IF($P1473="","",IFERROR(INDEX($F$6:$F$2005,MATCH($Q1473,WageIds,0)),""))</f>
        <v/>
      </c>
      <c r="T1473">
        <f>IF(OR($P1473="",$S1473="",$S1473="نامعتبر"),"",LEFT($S1473,4)&amp;MID($S1473,6,2)&amp;RIGHT($S1473,2)&amp;"0000"&amp;"|"&amp;"2"&amp;RIGHT("00000"&amp;1468,5))</f>
        <v/>
      </c>
      <c r="U1473">
        <f>IF($T1473="","",COUNTIFS(LdAParty,$P1473,LdAType,1,LdAKey,"&lt;"&amp;$T1473)+COUNTIFS(LdBMember,$P1473,LdBKey,"&lt;"&amp;$T1473)+COUNTIFS(LdCParty,$P1473,LdCKey,"&lt;"&amp;$T1473)+1)</f>
        <v/>
      </c>
      <c r="V1473">
        <f>IF($U1473="","",$P1473&amp;"|"&amp;RIGHT("000000"&amp;$U1473,6))</f>
        <v/>
      </c>
      <c r="W1473">
        <f>IF($T1473="","",COUNTIFS(LdBGroup,$R1473,LdBKey,"&lt;"&amp;$T1473)+1)</f>
        <v/>
      </c>
      <c r="X1473">
        <f>IF($W1473="","",$R1473&amp;"|"&amp;RIGHT("000000"&amp;$W1473,6))</f>
        <v/>
      </c>
      <c r="Y1473">
        <f>IF($P1473="","",IF(Shares!$E1476="",0,Shares!$E1476))</f>
        <v/>
      </c>
      <c r="Z1473">
        <f>IF($P1473="","",Shares!$H1476)</f>
        <v/>
      </c>
      <c r="AE1473">
        <f>IF(OR(Sync!$S1473="",Sync!$P1473=""),"",Sync!$S1473)</f>
        <v/>
      </c>
      <c r="AF1473">
        <f>IF($AE1473="","",IF(ISNUMBER(Sync!$P1473),IF(AND(Sync!$P1473&gt;=10000101,Sync!$P1473&lt;=99991231),INT(Sync!$P1473/10000),""),IFERROR(VALUE(TRIM(LEFT(Sync!$P1473,FIND("/",Sync!$P1473)-1))),"")))</f>
        <v/>
      </c>
      <c r="AG1473">
        <f>IF(OR($AE1473="",$AF1473=""),"",IF(ISNUMBER(Sync!$P1473),INT(MOD(Sync!$P1473,10000)/100),IFERROR(VALUE(TRIM(LEFT(MID(Sync!$P1473,FIND("/",Sync!$P1473)+1,20),FIND("/",MID(Sync!$P1473,FIND("/",Sync!$P1473)+1,20))-1))),"")))</f>
        <v/>
      </c>
      <c r="AH1473">
        <f>IF(OR($AE1473="",$AF1473=""),"",IF(ISNUMBER(Sync!$P1473),MOD(Sync!$P1473,100),IFERROR(VALUE(TRIM(MID(MID(Sync!$P1473,FIND("/",Sync!$P1473)+1,20),FIND("/",MID(Sync!$P1473,FIND("/",Sync!$P1473)+1,20))+1,20))),"")))</f>
        <v/>
      </c>
      <c r="AI1473">
        <f>IF($AE1473="","",IF(OR($AF1473="",$AG1473="",$AH1473="",$AF1473&lt;1300,$AF1473&gt;1500,$AG1473&lt;1,$AG1473&gt;12,$AH1473&lt;1,$AH1473&gt;31),"نامعتبر",RIGHT("0000"&amp;$AF1473,4)&amp;"/"&amp;RIGHT("00"&amp;$AG1473,2)&amp;"/"&amp;RIGHT("00"&amp;$AH1473,2)))</f>
        <v/>
      </c>
      <c r="AJ1473">
        <f>IF($AE1473="","",IF(Sync!$Q1473="","0000",IF(AND(ISNUMBER(Sync!$Q1473),Sync!$Q1473&gt;=0,Sync!$Q1473&lt;1),RIGHT("00"&amp;HOUR(Sync!$Q1473),2)&amp;RIGHT("00"&amp;MINUTE(Sync!$Q1473),2),IFERROR(RIGHT("00"&amp;VALUE(LEFT(Sync!$Q1473,FIND(":",Sync!$Q1473)-1)),2)&amp;RIGHT("00"&amp;VALUE(MID(Sync!$Q1473,FIND(":",Sync!$Q1473)+1,2)),2),"0000"))))</f>
        <v/>
      </c>
      <c r="AK1473">
        <f>IF(OR($AE1473="",$AI1473="",$AI1473="نامعتبر"),"",LEFT($AI1473,4)&amp;MID($AI1473,6,2)&amp;RIGHT($AI1473,2)&amp;$AJ1473&amp;"|"&amp;"3"&amp;RIGHT("00000"&amp;1468,5))</f>
        <v/>
      </c>
      <c r="AL1473">
        <f>IF($AK1473="","",COUNTIFS(LdAParty,$AE1473,LdAType,1,LdAKey,"&lt;"&amp;$AK1473)+COUNTIFS(LdBMember,$AE1473,LdBKey,"&lt;"&amp;$AK1473)+COUNTIFS(LdCParty,$AE1473,LdCKey,"&lt;"&amp;$AK1473)+1)</f>
        <v/>
      </c>
      <c r="AM1473">
        <f>IF($AL1473="","",$AE1473&amp;"|"&amp;RIGHT("000000"&amp;$AL1473,6))</f>
        <v/>
      </c>
      <c r="AN1473">
        <f>IF($AE1473="","",IF(Sync!$W1473="",0,Sync!$W1473))</f>
        <v/>
      </c>
      <c r="AO1473">
        <f>IF($AE1473="","",IF(Sync!$X1473="",0,Sync!$X1473))</f>
        <v/>
      </c>
      <c r="AP1473">
        <f>IF($AE1473="","",Sync!$R1473)</f>
        <v/>
      </c>
      <c r="AQ1473">
        <f>IF($AE1473="","",Sync!$Y1473)</f>
        <v/>
      </c>
    </row>
    <row r="1474">
      <c r="A1474">
        <f>IF(OR(Wages!$B1477="",Wages!$E1477=""),"",Wages!$E1477)</f>
        <v/>
      </c>
      <c r="B1474">
        <f>IF($A1474="","",IF(Wages!$C1477="دستمزد گروهی",2,1))</f>
        <v/>
      </c>
      <c r="C1474">
        <f>IF($A1474="","",IF(ISNUMBER(Wages!$B1477),IF(AND(Wages!$B1477&gt;=10000101,Wages!$B1477&lt;=99991231),INT(Wages!$B1477/10000),""),IFERROR(VALUE(TRIM(LEFT(Wages!$B1477,FIND("/",Wages!$B1477)-1))),"")))</f>
        <v/>
      </c>
      <c r="D1474">
        <f>IF(OR($A1474="",$C1474=""),"",IF(ISNUMBER(Wages!$B1477),INT(MOD(Wages!$B1477,10000)/100),IFERROR(VALUE(TRIM(LEFT(MID(Wages!$B1477,FIND("/",Wages!$B1477)+1,20),FIND("/",MID(Wages!$B1477,FIND("/",Wages!$B1477)+1,20))-1))),"")))</f>
        <v/>
      </c>
      <c r="E1474">
        <f>IF(OR($A1474="",$C1474=""),"",IF(ISNUMBER(Wages!$B1477),MOD(Wages!$B1477,100),IFERROR(VALUE(TRIM(MID(MID(Wages!$B1477,FIND("/",Wages!$B1477)+1,20),FIND("/",MID(Wages!$B1477,FIND("/",Wages!$B1477)+1,20))+1,20))),"")))</f>
        <v/>
      </c>
      <c r="F1474">
        <f>IF($A1474="","",IF(OR($C1474="",$D1474="",$E1474="",$C1474&lt;1300,$C1474&gt;1500,$D1474&lt;1,$D1474&gt;12,$E1474&lt;1,$E1474&gt;31),"نامعتبر",RIGHT("0000"&amp;$C1474,4)&amp;"/"&amp;RIGHT("00"&amp;$D1474,2)&amp;"/"&amp;RIGHT("00"&amp;$E1474,2)))</f>
        <v/>
      </c>
      <c r="G1474">
        <f>IF(OR($A1474="",$F1474="",$F1474="نامعتبر"),"",LEFT($F1474,4)&amp;MID($F1474,6,2)&amp;RIGHT($F1474,2)&amp;"0000"&amp;"|"&amp;"1"&amp;RIGHT("00000"&amp;1469,5))</f>
        <v/>
      </c>
      <c r="H1474">
        <f>IF(OR($B1474&lt;&gt;1,$G1474=""),"",COUNTIFS(LdAParty,$A1474,LdAType,1,LdAKey,"&lt;"&amp;$G1474)+COUNTIFS(LdBMember,$A1474,LdBKey,"&lt;"&amp;$G1474)+COUNTIFS(LdCParty,$A1474,LdCKey,"&lt;"&amp;$G1474)+1)</f>
        <v/>
      </c>
      <c r="I1474">
        <f>IF($H1474="","",$A1474&amp;"|"&amp;RIGHT("000000"&amp;$H1474,6))</f>
        <v/>
      </c>
      <c r="J1474">
        <f>IF(OR($B1474&lt;&gt;2,$G1474=""),"",COUNTIFS(LdAParty,$A1474,LdAType,2,LdAKey,"&lt;"&amp;$G1474)+1)</f>
        <v/>
      </c>
      <c r="K1474">
        <f>IF($J1474="","",$A1474&amp;"|"&amp;RIGHT("000000"&amp;$J1474,6))</f>
        <v/>
      </c>
      <c r="L1474">
        <f>IF($A1474="","",IF(Wages!$G1477="",0,Wages!$G1477))</f>
        <v/>
      </c>
      <c r="M1474">
        <f>IF($A1474="","",Wages!$J1477)</f>
        <v/>
      </c>
      <c r="N1474">
        <f>IF($A1474="","",Wages!$D1477)</f>
        <v/>
      </c>
      <c r="P1474">
        <f>IF(OR(Shares!$B1477="",Shares!$C1477=""),"",Shares!$C1477)</f>
        <v/>
      </c>
      <c r="Q1474">
        <f>IF($P1474="","",Shares!$B1477)</f>
        <v/>
      </c>
      <c r="R1474">
        <f>IF($P1474="","",IFERROR(INDEX(WageParty,MATCH($Q1474,WageIds,0)),""))</f>
        <v/>
      </c>
      <c r="S1474">
        <f>IF($P1474="","",IFERROR(INDEX($F$6:$F$2005,MATCH($Q1474,WageIds,0)),""))</f>
        <v/>
      </c>
      <c r="T1474">
        <f>IF(OR($P1474="",$S1474="",$S1474="نامعتبر"),"",LEFT($S1474,4)&amp;MID($S1474,6,2)&amp;RIGHT($S1474,2)&amp;"0000"&amp;"|"&amp;"2"&amp;RIGHT("00000"&amp;1469,5))</f>
        <v/>
      </c>
      <c r="U1474">
        <f>IF($T1474="","",COUNTIFS(LdAParty,$P1474,LdAType,1,LdAKey,"&lt;"&amp;$T1474)+COUNTIFS(LdBMember,$P1474,LdBKey,"&lt;"&amp;$T1474)+COUNTIFS(LdCParty,$P1474,LdCKey,"&lt;"&amp;$T1474)+1)</f>
        <v/>
      </c>
      <c r="V1474">
        <f>IF($U1474="","",$P1474&amp;"|"&amp;RIGHT("000000"&amp;$U1474,6))</f>
        <v/>
      </c>
      <c r="W1474">
        <f>IF($T1474="","",COUNTIFS(LdBGroup,$R1474,LdBKey,"&lt;"&amp;$T1474)+1)</f>
        <v/>
      </c>
      <c r="X1474">
        <f>IF($W1474="","",$R1474&amp;"|"&amp;RIGHT("000000"&amp;$W1474,6))</f>
        <v/>
      </c>
      <c r="Y1474">
        <f>IF($P1474="","",IF(Shares!$E1477="",0,Shares!$E1477))</f>
        <v/>
      </c>
      <c r="Z1474">
        <f>IF($P1474="","",Shares!$H1477)</f>
        <v/>
      </c>
      <c r="AE1474">
        <f>IF(OR(Sync!$S1474="",Sync!$P1474=""),"",Sync!$S1474)</f>
        <v/>
      </c>
      <c r="AF1474">
        <f>IF($AE1474="","",IF(ISNUMBER(Sync!$P1474),IF(AND(Sync!$P1474&gt;=10000101,Sync!$P1474&lt;=99991231),INT(Sync!$P1474/10000),""),IFERROR(VALUE(TRIM(LEFT(Sync!$P1474,FIND("/",Sync!$P1474)-1))),"")))</f>
        <v/>
      </c>
      <c r="AG1474">
        <f>IF(OR($AE1474="",$AF1474=""),"",IF(ISNUMBER(Sync!$P1474),INT(MOD(Sync!$P1474,10000)/100),IFERROR(VALUE(TRIM(LEFT(MID(Sync!$P1474,FIND("/",Sync!$P1474)+1,20),FIND("/",MID(Sync!$P1474,FIND("/",Sync!$P1474)+1,20))-1))),"")))</f>
        <v/>
      </c>
      <c r="AH1474">
        <f>IF(OR($AE1474="",$AF1474=""),"",IF(ISNUMBER(Sync!$P1474),MOD(Sync!$P1474,100),IFERROR(VALUE(TRIM(MID(MID(Sync!$P1474,FIND("/",Sync!$P1474)+1,20),FIND("/",MID(Sync!$P1474,FIND("/",Sync!$P1474)+1,20))+1,20))),"")))</f>
        <v/>
      </c>
      <c r="AI1474">
        <f>IF($AE1474="","",IF(OR($AF1474="",$AG1474="",$AH1474="",$AF1474&lt;1300,$AF1474&gt;1500,$AG1474&lt;1,$AG1474&gt;12,$AH1474&lt;1,$AH1474&gt;31),"نامعتبر",RIGHT("0000"&amp;$AF1474,4)&amp;"/"&amp;RIGHT("00"&amp;$AG1474,2)&amp;"/"&amp;RIGHT("00"&amp;$AH1474,2)))</f>
        <v/>
      </c>
      <c r="AJ1474">
        <f>IF($AE1474="","",IF(Sync!$Q1474="","0000",IF(AND(ISNUMBER(Sync!$Q1474),Sync!$Q1474&gt;=0,Sync!$Q1474&lt;1),RIGHT("00"&amp;HOUR(Sync!$Q1474),2)&amp;RIGHT("00"&amp;MINUTE(Sync!$Q1474),2),IFERROR(RIGHT("00"&amp;VALUE(LEFT(Sync!$Q1474,FIND(":",Sync!$Q1474)-1)),2)&amp;RIGHT("00"&amp;VALUE(MID(Sync!$Q1474,FIND(":",Sync!$Q1474)+1,2)),2),"0000"))))</f>
        <v/>
      </c>
      <c r="AK1474">
        <f>IF(OR($AE1474="",$AI1474="",$AI1474="نامعتبر"),"",LEFT($AI1474,4)&amp;MID($AI1474,6,2)&amp;RIGHT($AI1474,2)&amp;$AJ1474&amp;"|"&amp;"3"&amp;RIGHT("00000"&amp;1469,5))</f>
        <v/>
      </c>
      <c r="AL1474">
        <f>IF($AK1474="","",COUNTIFS(LdAParty,$AE1474,LdAType,1,LdAKey,"&lt;"&amp;$AK1474)+COUNTIFS(LdBMember,$AE1474,LdBKey,"&lt;"&amp;$AK1474)+COUNTIFS(LdCParty,$AE1474,LdCKey,"&lt;"&amp;$AK1474)+1)</f>
        <v/>
      </c>
      <c r="AM1474">
        <f>IF($AL1474="","",$AE1474&amp;"|"&amp;RIGHT("000000"&amp;$AL1474,6))</f>
        <v/>
      </c>
      <c r="AN1474">
        <f>IF($AE1474="","",IF(Sync!$W1474="",0,Sync!$W1474))</f>
        <v/>
      </c>
      <c r="AO1474">
        <f>IF($AE1474="","",IF(Sync!$X1474="",0,Sync!$X1474))</f>
        <v/>
      </c>
      <c r="AP1474">
        <f>IF($AE1474="","",Sync!$R1474)</f>
        <v/>
      </c>
      <c r="AQ1474">
        <f>IF($AE1474="","",Sync!$Y1474)</f>
        <v/>
      </c>
    </row>
    <row r="1475">
      <c r="A1475">
        <f>IF(OR(Wages!$B1478="",Wages!$E1478=""),"",Wages!$E1478)</f>
        <v/>
      </c>
      <c r="B1475">
        <f>IF($A1475="","",IF(Wages!$C1478="دستمزد گروهی",2,1))</f>
        <v/>
      </c>
      <c r="C1475">
        <f>IF($A1475="","",IF(ISNUMBER(Wages!$B1478),IF(AND(Wages!$B1478&gt;=10000101,Wages!$B1478&lt;=99991231),INT(Wages!$B1478/10000),""),IFERROR(VALUE(TRIM(LEFT(Wages!$B1478,FIND("/",Wages!$B1478)-1))),"")))</f>
        <v/>
      </c>
      <c r="D1475">
        <f>IF(OR($A1475="",$C1475=""),"",IF(ISNUMBER(Wages!$B1478),INT(MOD(Wages!$B1478,10000)/100),IFERROR(VALUE(TRIM(LEFT(MID(Wages!$B1478,FIND("/",Wages!$B1478)+1,20),FIND("/",MID(Wages!$B1478,FIND("/",Wages!$B1478)+1,20))-1))),"")))</f>
        <v/>
      </c>
      <c r="E1475">
        <f>IF(OR($A1475="",$C1475=""),"",IF(ISNUMBER(Wages!$B1478),MOD(Wages!$B1478,100),IFERROR(VALUE(TRIM(MID(MID(Wages!$B1478,FIND("/",Wages!$B1478)+1,20),FIND("/",MID(Wages!$B1478,FIND("/",Wages!$B1478)+1,20))+1,20))),"")))</f>
        <v/>
      </c>
      <c r="F1475">
        <f>IF($A1475="","",IF(OR($C1475="",$D1475="",$E1475="",$C1475&lt;1300,$C1475&gt;1500,$D1475&lt;1,$D1475&gt;12,$E1475&lt;1,$E1475&gt;31),"نامعتبر",RIGHT("0000"&amp;$C1475,4)&amp;"/"&amp;RIGHT("00"&amp;$D1475,2)&amp;"/"&amp;RIGHT("00"&amp;$E1475,2)))</f>
        <v/>
      </c>
      <c r="G1475">
        <f>IF(OR($A1475="",$F1475="",$F1475="نامعتبر"),"",LEFT($F1475,4)&amp;MID($F1475,6,2)&amp;RIGHT($F1475,2)&amp;"0000"&amp;"|"&amp;"1"&amp;RIGHT("00000"&amp;1470,5))</f>
        <v/>
      </c>
      <c r="H1475">
        <f>IF(OR($B1475&lt;&gt;1,$G1475=""),"",COUNTIFS(LdAParty,$A1475,LdAType,1,LdAKey,"&lt;"&amp;$G1475)+COUNTIFS(LdBMember,$A1475,LdBKey,"&lt;"&amp;$G1475)+COUNTIFS(LdCParty,$A1475,LdCKey,"&lt;"&amp;$G1475)+1)</f>
        <v/>
      </c>
      <c r="I1475">
        <f>IF($H1475="","",$A1475&amp;"|"&amp;RIGHT("000000"&amp;$H1475,6))</f>
        <v/>
      </c>
      <c r="J1475">
        <f>IF(OR($B1475&lt;&gt;2,$G1475=""),"",COUNTIFS(LdAParty,$A1475,LdAType,2,LdAKey,"&lt;"&amp;$G1475)+1)</f>
        <v/>
      </c>
      <c r="K1475">
        <f>IF($J1475="","",$A1475&amp;"|"&amp;RIGHT("000000"&amp;$J1475,6))</f>
        <v/>
      </c>
      <c r="L1475">
        <f>IF($A1475="","",IF(Wages!$G1478="",0,Wages!$G1478))</f>
        <v/>
      </c>
      <c r="M1475">
        <f>IF($A1475="","",Wages!$J1478)</f>
        <v/>
      </c>
      <c r="N1475">
        <f>IF($A1475="","",Wages!$D1478)</f>
        <v/>
      </c>
      <c r="P1475">
        <f>IF(OR(Shares!$B1478="",Shares!$C1478=""),"",Shares!$C1478)</f>
        <v/>
      </c>
      <c r="Q1475">
        <f>IF($P1475="","",Shares!$B1478)</f>
        <v/>
      </c>
      <c r="R1475">
        <f>IF($P1475="","",IFERROR(INDEX(WageParty,MATCH($Q1475,WageIds,0)),""))</f>
        <v/>
      </c>
      <c r="S1475">
        <f>IF($P1475="","",IFERROR(INDEX($F$6:$F$2005,MATCH($Q1475,WageIds,0)),""))</f>
        <v/>
      </c>
      <c r="T1475">
        <f>IF(OR($P1475="",$S1475="",$S1475="نامعتبر"),"",LEFT($S1475,4)&amp;MID($S1475,6,2)&amp;RIGHT($S1475,2)&amp;"0000"&amp;"|"&amp;"2"&amp;RIGHT("00000"&amp;1470,5))</f>
        <v/>
      </c>
      <c r="U1475">
        <f>IF($T1475="","",COUNTIFS(LdAParty,$P1475,LdAType,1,LdAKey,"&lt;"&amp;$T1475)+COUNTIFS(LdBMember,$P1475,LdBKey,"&lt;"&amp;$T1475)+COUNTIFS(LdCParty,$P1475,LdCKey,"&lt;"&amp;$T1475)+1)</f>
        <v/>
      </c>
      <c r="V1475">
        <f>IF($U1475="","",$P1475&amp;"|"&amp;RIGHT("000000"&amp;$U1475,6))</f>
        <v/>
      </c>
      <c r="W1475">
        <f>IF($T1475="","",COUNTIFS(LdBGroup,$R1475,LdBKey,"&lt;"&amp;$T1475)+1)</f>
        <v/>
      </c>
      <c r="X1475">
        <f>IF($W1475="","",$R1475&amp;"|"&amp;RIGHT("000000"&amp;$W1475,6))</f>
        <v/>
      </c>
      <c r="Y1475">
        <f>IF($P1475="","",IF(Shares!$E1478="",0,Shares!$E1478))</f>
        <v/>
      </c>
      <c r="Z1475">
        <f>IF($P1475="","",Shares!$H1478)</f>
        <v/>
      </c>
      <c r="AE1475">
        <f>IF(OR(Sync!$S1475="",Sync!$P1475=""),"",Sync!$S1475)</f>
        <v/>
      </c>
      <c r="AF1475">
        <f>IF($AE1475="","",IF(ISNUMBER(Sync!$P1475),IF(AND(Sync!$P1475&gt;=10000101,Sync!$P1475&lt;=99991231),INT(Sync!$P1475/10000),""),IFERROR(VALUE(TRIM(LEFT(Sync!$P1475,FIND("/",Sync!$P1475)-1))),"")))</f>
        <v/>
      </c>
      <c r="AG1475">
        <f>IF(OR($AE1475="",$AF1475=""),"",IF(ISNUMBER(Sync!$P1475),INT(MOD(Sync!$P1475,10000)/100),IFERROR(VALUE(TRIM(LEFT(MID(Sync!$P1475,FIND("/",Sync!$P1475)+1,20),FIND("/",MID(Sync!$P1475,FIND("/",Sync!$P1475)+1,20))-1))),"")))</f>
        <v/>
      </c>
      <c r="AH1475">
        <f>IF(OR($AE1475="",$AF1475=""),"",IF(ISNUMBER(Sync!$P1475),MOD(Sync!$P1475,100),IFERROR(VALUE(TRIM(MID(MID(Sync!$P1475,FIND("/",Sync!$P1475)+1,20),FIND("/",MID(Sync!$P1475,FIND("/",Sync!$P1475)+1,20))+1,20))),"")))</f>
        <v/>
      </c>
      <c r="AI1475">
        <f>IF($AE1475="","",IF(OR($AF1475="",$AG1475="",$AH1475="",$AF1475&lt;1300,$AF1475&gt;1500,$AG1475&lt;1,$AG1475&gt;12,$AH1475&lt;1,$AH1475&gt;31),"نامعتبر",RIGHT("0000"&amp;$AF1475,4)&amp;"/"&amp;RIGHT("00"&amp;$AG1475,2)&amp;"/"&amp;RIGHT("00"&amp;$AH1475,2)))</f>
        <v/>
      </c>
      <c r="AJ1475">
        <f>IF($AE1475="","",IF(Sync!$Q1475="","0000",IF(AND(ISNUMBER(Sync!$Q1475),Sync!$Q1475&gt;=0,Sync!$Q1475&lt;1),RIGHT("00"&amp;HOUR(Sync!$Q1475),2)&amp;RIGHT("00"&amp;MINUTE(Sync!$Q1475),2),IFERROR(RIGHT("00"&amp;VALUE(LEFT(Sync!$Q1475,FIND(":",Sync!$Q1475)-1)),2)&amp;RIGHT("00"&amp;VALUE(MID(Sync!$Q1475,FIND(":",Sync!$Q1475)+1,2)),2),"0000"))))</f>
        <v/>
      </c>
      <c r="AK1475">
        <f>IF(OR($AE1475="",$AI1475="",$AI1475="نامعتبر"),"",LEFT($AI1475,4)&amp;MID($AI1475,6,2)&amp;RIGHT($AI1475,2)&amp;$AJ1475&amp;"|"&amp;"3"&amp;RIGHT("00000"&amp;1470,5))</f>
        <v/>
      </c>
      <c r="AL1475">
        <f>IF($AK1475="","",COUNTIFS(LdAParty,$AE1475,LdAType,1,LdAKey,"&lt;"&amp;$AK1475)+COUNTIFS(LdBMember,$AE1475,LdBKey,"&lt;"&amp;$AK1475)+COUNTIFS(LdCParty,$AE1475,LdCKey,"&lt;"&amp;$AK1475)+1)</f>
        <v/>
      </c>
      <c r="AM1475">
        <f>IF($AL1475="","",$AE1475&amp;"|"&amp;RIGHT("000000"&amp;$AL1475,6))</f>
        <v/>
      </c>
      <c r="AN1475">
        <f>IF($AE1475="","",IF(Sync!$W1475="",0,Sync!$W1475))</f>
        <v/>
      </c>
      <c r="AO1475">
        <f>IF($AE1475="","",IF(Sync!$X1475="",0,Sync!$X1475))</f>
        <v/>
      </c>
      <c r="AP1475">
        <f>IF($AE1475="","",Sync!$R1475)</f>
        <v/>
      </c>
      <c r="AQ1475">
        <f>IF($AE1475="","",Sync!$Y1475)</f>
        <v/>
      </c>
    </row>
    <row r="1476">
      <c r="A1476">
        <f>IF(OR(Wages!$B1479="",Wages!$E1479=""),"",Wages!$E1479)</f>
        <v/>
      </c>
      <c r="B1476">
        <f>IF($A1476="","",IF(Wages!$C1479="دستمزد گروهی",2,1))</f>
        <v/>
      </c>
      <c r="C1476">
        <f>IF($A1476="","",IF(ISNUMBER(Wages!$B1479),IF(AND(Wages!$B1479&gt;=10000101,Wages!$B1479&lt;=99991231),INT(Wages!$B1479/10000),""),IFERROR(VALUE(TRIM(LEFT(Wages!$B1479,FIND("/",Wages!$B1479)-1))),"")))</f>
        <v/>
      </c>
      <c r="D1476">
        <f>IF(OR($A1476="",$C1476=""),"",IF(ISNUMBER(Wages!$B1479),INT(MOD(Wages!$B1479,10000)/100),IFERROR(VALUE(TRIM(LEFT(MID(Wages!$B1479,FIND("/",Wages!$B1479)+1,20),FIND("/",MID(Wages!$B1479,FIND("/",Wages!$B1479)+1,20))-1))),"")))</f>
        <v/>
      </c>
      <c r="E1476">
        <f>IF(OR($A1476="",$C1476=""),"",IF(ISNUMBER(Wages!$B1479),MOD(Wages!$B1479,100),IFERROR(VALUE(TRIM(MID(MID(Wages!$B1479,FIND("/",Wages!$B1479)+1,20),FIND("/",MID(Wages!$B1479,FIND("/",Wages!$B1479)+1,20))+1,20))),"")))</f>
        <v/>
      </c>
      <c r="F1476">
        <f>IF($A1476="","",IF(OR($C1476="",$D1476="",$E1476="",$C1476&lt;1300,$C1476&gt;1500,$D1476&lt;1,$D1476&gt;12,$E1476&lt;1,$E1476&gt;31),"نامعتبر",RIGHT("0000"&amp;$C1476,4)&amp;"/"&amp;RIGHT("00"&amp;$D1476,2)&amp;"/"&amp;RIGHT("00"&amp;$E1476,2)))</f>
        <v/>
      </c>
      <c r="G1476">
        <f>IF(OR($A1476="",$F1476="",$F1476="نامعتبر"),"",LEFT($F1476,4)&amp;MID($F1476,6,2)&amp;RIGHT($F1476,2)&amp;"0000"&amp;"|"&amp;"1"&amp;RIGHT("00000"&amp;1471,5))</f>
        <v/>
      </c>
      <c r="H1476">
        <f>IF(OR($B1476&lt;&gt;1,$G1476=""),"",COUNTIFS(LdAParty,$A1476,LdAType,1,LdAKey,"&lt;"&amp;$G1476)+COUNTIFS(LdBMember,$A1476,LdBKey,"&lt;"&amp;$G1476)+COUNTIFS(LdCParty,$A1476,LdCKey,"&lt;"&amp;$G1476)+1)</f>
        <v/>
      </c>
      <c r="I1476">
        <f>IF($H1476="","",$A1476&amp;"|"&amp;RIGHT("000000"&amp;$H1476,6))</f>
        <v/>
      </c>
      <c r="J1476">
        <f>IF(OR($B1476&lt;&gt;2,$G1476=""),"",COUNTIFS(LdAParty,$A1476,LdAType,2,LdAKey,"&lt;"&amp;$G1476)+1)</f>
        <v/>
      </c>
      <c r="K1476">
        <f>IF($J1476="","",$A1476&amp;"|"&amp;RIGHT("000000"&amp;$J1476,6))</f>
        <v/>
      </c>
      <c r="L1476">
        <f>IF($A1476="","",IF(Wages!$G1479="",0,Wages!$G1479))</f>
        <v/>
      </c>
      <c r="M1476">
        <f>IF($A1476="","",Wages!$J1479)</f>
        <v/>
      </c>
      <c r="N1476">
        <f>IF($A1476="","",Wages!$D1479)</f>
        <v/>
      </c>
      <c r="P1476">
        <f>IF(OR(Shares!$B1479="",Shares!$C1479=""),"",Shares!$C1479)</f>
        <v/>
      </c>
      <c r="Q1476">
        <f>IF($P1476="","",Shares!$B1479)</f>
        <v/>
      </c>
      <c r="R1476">
        <f>IF($P1476="","",IFERROR(INDEX(WageParty,MATCH($Q1476,WageIds,0)),""))</f>
        <v/>
      </c>
      <c r="S1476">
        <f>IF($P1476="","",IFERROR(INDEX($F$6:$F$2005,MATCH($Q1476,WageIds,0)),""))</f>
        <v/>
      </c>
      <c r="T1476">
        <f>IF(OR($P1476="",$S1476="",$S1476="نامعتبر"),"",LEFT($S1476,4)&amp;MID($S1476,6,2)&amp;RIGHT($S1476,2)&amp;"0000"&amp;"|"&amp;"2"&amp;RIGHT("00000"&amp;1471,5))</f>
        <v/>
      </c>
      <c r="U1476">
        <f>IF($T1476="","",COUNTIFS(LdAParty,$P1476,LdAType,1,LdAKey,"&lt;"&amp;$T1476)+COUNTIFS(LdBMember,$P1476,LdBKey,"&lt;"&amp;$T1476)+COUNTIFS(LdCParty,$P1476,LdCKey,"&lt;"&amp;$T1476)+1)</f>
        <v/>
      </c>
      <c r="V1476">
        <f>IF($U1476="","",$P1476&amp;"|"&amp;RIGHT("000000"&amp;$U1476,6))</f>
        <v/>
      </c>
      <c r="W1476">
        <f>IF($T1476="","",COUNTIFS(LdBGroup,$R1476,LdBKey,"&lt;"&amp;$T1476)+1)</f>
        <v/>
      </c>
      <c r="X1476">
        <f>IF($W1476="","",$R1476&amp;"|"&amp;RIGHT("000000"&amp;$W1476,6))</f>
        <v/>
      </c>
      <c r="Y1476">
        <f>IF($P1476="","",IF(Shares!$E1479="",0,Shares!$E1479))</f>
        <v/>
      </c>
      <c r="Z1476">
        <f>IF($P1476="","",Shares!$H1479)</f>
        <v/>
      </c>
      <c r="AE1476">
        <f>IF(OR(Sync!$S1476="",Sync!$P1476=""),"",Sync!$S1476)</f>
        <v/>
      </c>
      <c r="AF1476">
        <f>IF($AE1476="","",IF(ISNUMBER(Sync!$P1476),IF(AND(Sync!$P1476&gt;=10000101,Sync!$P1476&lt;=99991231),INT(Sync!$P1476/10000),""),IFERROR(VALUE(TRIM(LEFT(Sync!$P1476,FIND("/",Sync!$P1476)-1))),"")))</f>
        <v/>
      </c>
      <c r="AG1476">
        <f>IF(OR($AE1476="",$AF1476=""),"",IF(ISNUMBER(Sync!$P1476),INT(MOD(Sync!$P1476,10000)/100),IFERROR(VALUE(TRIM(LEFT(MID(Sync!$P1476,FIND("/",Sync!$P1476)+1,20),FIND("/",MID(Sync!$P1476,FIND("/",Sync!$P1476)+1,20))-1))),"")))</f>
        <v/>
      </c>
      <c r="AH1476">
        <f>IF(OR($AE1476="",$AF1476=""),"",IF(ISNUMBER(Sync!$P1476),MOD(Sync!$P1476,100),IFERROR(VALUE(TRIM(MID(MID(Sync!$P1476,FIND("/",Sync!$P1476)+1,20),FIND("/",MID(Sync!$P1476,FIND("/",Sync!$P1476)+1,20))+1,20))),"")))</f>
        <v/>
      </c>
      <c r="AI1476">
        <f>IF($AE1476="","",IF(OR($AF1476="",$AG1476="",$AH1476="",$AF1476&lt;1300,$AF1476&gt;1500,$AG1476&lt;1,$AG1476&gt;12,$AH1476&lt;1,$AH1476&gt;31),"نامعتبر",RIGHT("0000"&amp;$AF1476,4)&amp;"/"&amp;RIGHT("00"&amp;$AG1476,2)&amp;"/"&amp;RIGHT("00"&amp;$AH1476,2)))</f>
        <v/>
      </c>
      <c r="AJ1476">
        <f>IF($AE1476="","",IF(Sync!$Q1476="","0000",IF(AND(ISNUMBER(Sync!$Q1476),Sync!$Q1476&gt;=0,Sync!$Q1476&lt;1),RIGHT("00"&amp;HOUR(Sync!$Q1476),2)&amp;RIGHT("00"&amp;MINUTE(Sync!$Q1476),2),IFERROR(RIGHT("00"&amp;VALUE(LEFT(Sync!$Q1476,FIND(":",Sync!$Q1476)-1)),2)&amp;RIGHT("00"&amp;VALUE(MID(Sync!$Q1476,FIND(":",Sync!$Q1476)+1,2)),2),"0000"))))</f>
        <v/>
      </c>
      <c r="AK1476">
        <f>IF(OR($AE1476="",$AI1476="",$AI1476="نامعتبر"),"",LEFT($AI1476,4)&amp;MID($AI1476,6,2)&amp;RIGHT($AI1476,2)&amp;$AJ1476&amp;"|"&amp;"3"&amp;RIGHT("00000"&amp;1471,5))</f>
        <v/>
      </c>
      <c r="AL1476">
        <f>IF($AK1476="","",COUNTIFS(LdAParty,$AE1476,LdAType,1,LdAKey,"&lt;"&amp;$AK1476)+COUNTIFS(LdBMember,$AE1476,LdBKey,"&lt;"&amp;$AK1476)+COUNTIFS(LdCParty,$AE1476,LdCKey,"&lt;"&amp;$AK1476)+1)</f>
        <v/>
      </c>
      <c r="AM1476">
        <f>IF($AL1476="","",$AE1476&amp;"|"&amp;RIGHT("000000"&amp;$AL1476,6))</f>
        <v/>
      </c>
      <c r="AN1476">
        <f>IF($AE1476="","",IF(Sync!$W1476="",0,Sync!$W1476))</f>
        <v/>
      </c>
      <c r="AO1476">
        <f>IF($AE1476="","",IF(Sync!$X1476="",0,Sync!$X1476))</f>
        <v/>
      </c>
      <c r="AP1476">
        <f>IF($AE1476="","",Sync!$R1476)</f>
        <v/>
      </c>
      <c r="AQ1476">
        <f>IF($AE1476="","",Sync!$Y1476)</f>
        <v/>
      </c>
    </row>
    <row r="1477">
      <c r="A1477">
        <f>IF(OR(Wages!$B1480="",Wages!$E1480=""),"",Wages!$E1480)</f>
        <v/>
      </c>
      <c r="B1477">
        <f>IF($A1477="","",IF(Wages!$C1480="دستمزد گروهی",2,1))</f>
        <v/>
      </c>
      <c r="C1477">
        <f>IF($A1477="","",IF(ISNUMBER(Wages!$B1480),IF(AND(Wages!$B1480&gt;=10000101,Wages!$B1480&lt;=99991231),INT(Wages!$B1480/10000),""),IFERROR(VALUE(TRIM(LEFT(Wages!$B1480,FIND("/",Wages!$B1480)-1))),"")))</f>
        <v/>
      </c>
      <c r="D1477">
        <f>IF(OR($A1477="",$C1477=""),"",IF(ISNUMBER(Wages!$B1480),INT(MOD(Wages!$B1480,10000)/100),IFERROR(VALUE(TRIM(LEFT(MID(Wages!$B1480,FIND("/",Wages!$B1480)+1,20),FIND("/",MID(Wages!$B1480,FIND("/",Wages!$B1480)+1,20))-1))),"")))</f>
        <v/>
      </c>
      <c r="E1477">
        <f>IF(OR($A1477="",$C1477=""),"",IF(ISNUMBER(Wages!$B1480),MOD(Wages!$B1480,100),IFERROR(VALUE(TRIM(MID(MID(Wages!$B1480,FIND("/",Wages!$B1480)+1,20),FIND("/",MID(Wages!$B1480,FIND("/",Wages!$B1480)+1,20))+1,20))),"")))</f>
        <v/>
      </c>
      <c r="F1477">
        <f>IF($A1477="","",IF(OR($C1477="",$D1477="",$E1477="",$C1477&lt;1300,$C1477&gt;1500,$D1477&lt;1,$D1477&gt;12,$E1477&lt;1,$E1477&gt;31),"نامعتبر",RIGHT("0000"&amp;$C1477,4)&amp;"/"&amp;RIGHT("00"&amp;$D1477,2)&amp;"/"&amp;RIGHT("00"&amp;$E1477,2)))</f>
        <v/>
      </c>
      <c r="G1477">
        <f>IF(OR($A1477="",$F1477="",$F1477="نامعتبر"),"",LEFT($F1477,4)&amp;MID($F1477,6,2)&amp;RIGHT($F1477,2)&amp;"0000"&amp;"|"&amp;"1"&amp;RIGHT("00000"&amp;1472,5))</f>
        <v/>
      </c>
      <c r="H1477">
        <f>IF(OR($B1477&lt;&gt;1,$G1477=""),"",COUNTIFS(LdAParty,$A1477,LdAType,1,LdAKey,"&lt;"&amp;$G1477)+COUNTIFS(LdBMember,$A1477,LdBKey,"&lt;"&amp;$G1477)+COUNTIFS(LdCParty,$A1477,LdCKey,"&lt;"&amp;$G1477)+1)</f>
        <v/>
      </c>
      <c r="I1477">
        <f>IF($H1477="","",$A1477&amp;"|"&amp;RIGHT("000000"&amp;$H1477,6))</f>
        <v/>
      </c>
      <c r="J1477">
        <f>IF(OR($B1477&lt;&gt;2,$G1477=""),"",COUNTIFS(LdAParty,$A1477,LdAType,2,LdAKey,"&lt;"&amp;$G1477)+1)</f>
        <v/>
      </c>
      <c r="K1477">
        <f>IF($J1477="","",$A1477&amp;"|"&amp;RIGHT("000000"&amp;$J1477,6))</f>
        <v/>
      </c>
      <c r="L1477">
        <f>IF($A1477="","",IF(Wages!$G1480="",0,Wages!$G1480))</f>
        <v/>
      </c>
      <c r="M1477">
        <f>IF($A1477="","",Wages!$J1480)</f>
        <v/>
      </c>
      <c r="N1477">
        <f>IF($A1477="","",Wages!$D1480)</f>
        <v/>
      </c>
      <c r="P1477">
        <f>IF(OR(Shares!$B1480="",Shares!$C1480=""),"",Shares!$C1480)</f>
        <v/>
      </c>
      <c r="Q1477">
        <f>IF($P1477="","",Shares!$B1480)</f>
        <v/>
      </c>
      <c r="R1477">
        <f>IF($P1477="","",IFERROR(INDEX(WageParty,MATCH($Q1477,WageIds,0)),""))</f>
        <v/>
      </c>
      <c r="S1477">
        <f>IF($P1477="","",IFERROR(INDEX($F$6:$F$2005,MATCH($Q1477,WageIds,0)),""))</f>
        <v/>
      </c>
      <c r="T1477">
        <f>IF(OR($P1477="",$S1477="",$S1477="نامعتبر"),"",LEFT($S1477,4)&amp;MID($S1477,6,2)&amp;RIGHT($S1477,2)&amp;"0000"&amp;"|"&amp;"2"&amp;RIGHT("00000"&amp;1472,5))</f>
        <v/>
      </c>
      <c r="U1477">
        <f>IF($T1477="","",COUNTIFS(LdAParty,$P1477,LdAType,1,LdAKey,"&lt;"&amp;$T1477)+COUNTIFS(LdBMember,$P1477,LdBKey,"&lt;"&amp;$T1477)+COUNTIFS(LdCParty,$P1477,LdCKey,"&lt;"&amp;$T1477)+1)</f>
        <v/>
      </c>
      <c r="V1477">
        <f>IF($U1477="","",$P1477&amp;"|"&amp;RIGHT("000000"&amp;$U1477,6))</f>
        <v/>
      </c>
      <c r="W1477">
        <f>IF($T1477="","",COUNTIFS(LdBGroup,$R1477,LdBKey,"&lt;"&amp;$T1477)+1)</f>
        <v/>
      </c>
      <c r="X1477">
        <f>IF($W1477="","",$R1477&amp;"|"&amp;RIGHT("000000"&amp;$W1477,6))</f>
        <v/>
      </c>
      <c r="Y1477">
        <f>IF($P1477="","",IF(Shares!$E1480="",0,Shares!$E1480))</f>
        <v/>
      </c>
      <c r="Z1477">
        <f>IF($P1477="","",Shares!$H1480)</f>
        <v/>
      </c>
      <c r="AE1477">
        <f>IF(OR(Sync!$S1477="",Sync!$P1477=""),"",Sync!$S1477)</f>
        <v/>
      </c>
      <c r="AF1477">
        <f>IF($AE1477="","",IF(ISNUMBER(Sync!$P1477),IF(AND(Sync!$P1477&gt;=10000101,Sync!$P1477&lt;=99991231),INT(Sync!$P1477/10000),""),IFERROR(VALUE(TRIM(LEFT(Sync!$P1477,FIND("/",Sync!$P1477)-1))),"")))</f>
        <v/>
      </c>
      <c r="AG1477">
        <f>IF(OR($AE1477="",$AF1477=""),"",IF(ISNUMBER(Sync!$P1477),INT(MOD(Sync!$P1477,10000)/100),IFERROR(VALUE(TRIM(LEFT(MID(Sync!$P1477,FIND("/",Sync!$P1477)+1,20),FIND("/",MID(Sync!$P1477,FIND("/",Sync!$P1477)+1,20))-1))),"")))</f>
        <v/>
      </c>
      <c r="AH1477">
        <f>IF(OR($AE1477="",$AF1477=""),"",IF(ISNUMBER(Sync!$P1477),MOD(Sync!$P1477,100),IFERROR(VALUE(TRIM(MID(MID(Sync!$P1477,FIND("/",Sync!$P1477)+1,20),FIND("/",MID(Sync!$P1477,FIND("/",Sync!$P1477)+1,20))+1,20))),"")))</f>
        <v/>
      </c>
      <c r="AI1477">
        <f>IF($AE1477="","",IF(OR($AF1477="",$AG1477="",$AH1477="",$AF1477&lt;1300,$AF1477&gt;1500,$AG1477&lt;1,$AG1477&gt;12,$AH1477&lt;1,$AH1477&gt;31),"نامعتبر",RIGHT("0000"&amp;$AF1477,4)&amp;"/"&amp;RIGHT("00"&amp;$AG1477,2)&amp;"/"&amp;RIGHT("00"&amp;$AH1477,2)))</f>
        <v/>
      </c>
      <c r="AJ1477">
        <f>IF($AE1477="","",IF(Sync!$Q1477="","0000",IF(AND(ISNUMBER(Sync!$Q1477),Sync!$Q1477&gt;=0,Sync!$Q1477&lt;1),RIGHT("00"&amp;HOUR(Sync!$Q1477),2)&amp;RIGHT("00"&amp;MINUTE(Sync!$Q1477),2),IFERROR(RIGHT("00"&amp;VALUE(LEFT(Sync!$Q1477,FIND(":",Sync!$Q1477)-1)),2)&amp;RIGHT("00"&amp;VALUE(MID(Sync!$Q1477,FIND(":",Sync!$Q1477)+1,2)),2),"0000"))))</f>
        <v/>
      </c>
      <c r="AK1477">
        <f>IF(OR($AE1477="",$AI1477="",$AI1477="نامعتبر"),"",LEFT($AI1477,4)&amp;MID($AI1477,6,2)&amp;RIGHT($AI1477,2)&amp;$AJ1477&amp;"|"&amp;"3"&amp;RIGHT("00000"&amp;1472,5))</f>
        <v/>
      </c>
      <c r="AL1477">
        <f>IF($AK1477="","",COUNTIFS(LdAParty,$AE1477,LdAType,1,LdAKey,"&lt;"&amp;$AK1477)+COUNTIFS(LdBMember,$AE1477,LdBKey,"&lt;"&amp;$AK1477)+COUNTIFS(LdCParty,$AE1477,LdCKey,"&lt;"&amp;$AK1477)+1)</f>
        <v/>
      </c>
      <c r="AM1477">
        <f>IF($AL1477="","",$AE1477&amp;"|"&amp;RIGHT("000000"&amp;$AL1477,6))</f>
        <v/>
      </c>
      <c r="AN1477">
        <f>IF($AE1477="","",IF(Sync!$W1477="",0,Sync!$W1477))</f>
        <v/>
      </c>
      <c r="AO1477">
        <f>IF($AE1477="","",IF(Sync!$X1477="",0,Sync!$X1477))</f>
        <v/>
      </c>
      <c r="AP1477">
        <f>IF($AE1477="","",Sync!$R1477)</f>
        <v/>
      </c>
      <c r="AQ1477">
        <f>IF($AE1477="","",Sync!$Y1477)</f>
        <v/>
      </c>
    </row>
    <row r="1478">
      <c r="A1478">
        <f>IF(OR(Wages!$B1481="",Wages!$E1481=""),"",Wages!$E1481)</f>
        <v/>
      </c>
      <c r="B1478">
        <f>IF($A1478="","",IF(Wages!$C1481="دستمزد گروهی",2,1))</f>
        <v/>
      </c>
      <c r="C1478">
        <f>IF($A1478="","",IF(ISNUMBER(Wages!$B1481),IF(AND(Wages!$B1481&gt;=10000101,Wages!$B1481&lt;=99991231),INT(Wages!$B1481/10000),""),IFERROR(VALUE(TRIM(LEFT(Wages!$B1481,FIND("/",Wages!$B1481)-1))),"")))</f>
        <v/>
      </c>
      <c r="D1478">
        <f>IF(OR($A1478="",$C1478=""),"",IF(ISNUMBER(Wages!$B1481),INT(MOD(Wages!$B1481,10000)/100),IFERROR(VALUE(TRIM(LEFT(MID(Wages!$B1481,FIND("/",Wages!$B1481)+1,20),FIND("/",MID(Wages!$B1481,FIND("/",Wages!$B1481)+1,20))-1))),"")))</f>
        <v/>
      </c>
      <c r="E1478">
        <f>IF(OR($A1478="",$C1478=""),"",IF(ISNUMBER(Wages!$B1481),MOD(Wages!$B1481,100),IFERROR(VALUE(TRIM(MID(MID(Wages!$B1481,FIND("/",Wages!$B1481)+1,20),FIND("/",MID(Wages!$B1481,FIND("/",Wages!$B1481)+1,20))+1,20))),"")))</f>
        <v/>
      </c>
      <c r="F1478">
        <f>IF($A1478="","",IF(OR($C1478="",$D1478="",$E1478="",$C1478&lt;1300,$C1478&gt;1500,$D1478&lt;1,$D1478&gt;12,$E1478&lt;1,$E1478&gt;31),"نامعتبر",RIGHT("0000"&amp;$C1478,4)&amp;"/"&amp;RIGHT("00"&amp;$D1478,2)&amp;"/"&amp;RIGHT("00"&amp;$E1478,2)))</f>
        <v/>
      </c>
      <c r="G1478">
        <f>IF(OR($A1478="",$F1478="",$F1478="نامعتبر"),"",LEFT($F1478,4)&amp;MID($F1478,6,2)&amp;RIGHT($F1478,2)&amp;"0000"&amp;"|"&amp;"1"&amp;RIGHT("00000"&amp;1473,5))</f>
        <v/>
      </c>
      <c r="H1478">
        <f>IF(OR($B1478&lt;&gt;1,$G1478=""),"",COUNTIFS(LdAParty,$A1478,LdAType,1,LdAKey,"&lt;"&amp;$G1478)+COUNTIFS(LdBMember,$A1478,LdBKey,"&lt;"&amp;$G1478)+COUNTIFS(LdCParty,$A1478,LdCKey,"&lt;"&amp;$G1478)+1)</f>
        <v/>
      </c>
      <c r="I1478">
        <f>IF($H1478="","",$A1478&amp;"|"&amp;RIGHT("000000"&amp;$H1478,6))</f>
        <v/>
      </c>
      <c r="J1478">
        <f>IF(OR($B1478&lt;&gt;2,$G1478=""),"",COUNTIFS(LdAParty,$A1478,LdAType,2,LdAKey,"&lt;"&amp;$G1478)+1)</f>
        <v/>
      </c>
      <c r="K1478">
        <f>IF($J1478="","",$A1478&amp;"|"&amp;RIGHT("000000"&amp;$J1478,6))</f>
        <v/>
      </c>
      <c r="L1478">
        <f>IF($A1478="","",IF(Wages!$G1481="",0,Wages!$G1481))</f>
        <v/>
      </c>
      <c r="M1478">
        <f>IF($A1478="","",Wages!$J1481)</f>
        <v/>
      </c>
      <c r="N1478">
        <f>IF($A1478="","",Wages!$D1481)</f>
        <v/>
      </c>
      <c r="P1478">
        <f>IF(OR(Shares!$B1481="",Shares!$C1481=""),"",Shares!$C1481)</f>
        <v/>
      </c>
      <c r="Q1478">
        <f>IF($P1478="","",Shares!$B1481)</f>
        <v/>
      </c>
      <c r="R1478">
        <f>IF($P1478="","",IFERROR(INDEX(WageParty,MATCH($Q1478,WageIds,0)),""))</f>
        <v/>
      </c>
      <c r="S1478">
        <f>IF($P1478="","",IFERROR(INDEX($F$6:$F$2005,MATCH($Q1478,WageIds,0)),""))</f>
        <v/>
      </c>
      <c r="T1478">
        <f>IF(OR($P1478="",$S1478="",$S1478="نامعتبر"),"",LEFT($S1478,4)&amp;MID($S1478,6,2)&amp;RIGHT($S1478,2)&amp;"0000"&amp;"|"&amp;"2"&amp;RIGHT("00000"&amp;1473,5))</f>
        <v/>
      </c>
      <c r="U1478">
        <f>IF($T1478="","",COUNTIFS(LdAParty,$P1478,LdAType,1,LdAKey,"&lt;"&amp;$T1478)+COUNTIFS(LdBMember,$P1478,LdBKey,"&lt;"&amp;$T1478)+COUNTIFS(LdCParty,$P1478,LdCKey,"&lt;"&amp;$T1478)+1)</f>
        <v/>
      </c>
      <c r="V1478">
        <f>IF($U1478="","",$P1478&amp;"|"&amp;RIGHT("000000"&amp;$U1478,6))</f>
        <v/>
      </c>
      <c r="W1478">
        <f>IF($T1478="","",COUNTIFS(LdBGroup,$R1478,LdBKey,"&lt;"&amp;$T1478)+1)</f>
        <v/>
      </c>
      <c r="X1478">
        <f>IF($W1478="","",$R1478&amp;"|"&amp;RIGHT("000000"&amp;$W1478,6))</f>
        <v/>
      </c>
      <c r="Y1478">
        <f>IF($P1478="","",IF(Shares!$E1481="",0,Shares!$E1481))</f>
        <v/>
      </c>
      <c r="Z1478">
        <f>IF($P1478="","",Shares!$H1481)</f>
        <v/>
      </c>
      <c r="AE1478">
        <f>IF(OR(Sync!$S1478="",Sync!$P1478=""),"",Sync!$S1478)</f>
        <v/>
      </c>
      <c r="AF1478">
        <f>IF($AE1478="","",IF(ISNUMBER(Sync!$P1478),IF(AND(Sync!$P1478&gt;=10000101,Sync!$P1478&lt;=99991231),INT(Sync!$P1478/10000),""),IFERROR(VALUE(TRIM(LEFT(Sync!$P1478,FIND("/",Sync!$P1478)-1))),"")))</f>
        <v/>
      </c>
      <c r="AG1478">
        <f>IF(OR($AE1478="",$AF1478=""),"",IF(ISNUMBER(Sync!$P1478),INT(MOD(Sync!$P1478,10000)/100),IFERROR(VALUE(TRIM(LEFT(MID(Sync!$P1478,FIND("/",Sync!$P1478)+1,20),FIND("/",MID(Sync!$P1478,FIND("/",Sync!$P1478)+1,20))-1))),"")))</f>
        <v/>
      </c>
      <c r="AH1478">
        <f>IF(OR($AE1478="",$AF1478=""),"",IF(ISNUMBER(Sync!$P1478),MOD(Sync!$P1478,100),IFERROR(VALUE(TRIM(MID(MID(Sync!$P1478,FIND("/",Sync!$P1478)+1,20),FIND("/",MID(Sync!$P1478,FIND("/",Sync!$P1478)+1,20))+1,20))),"")))</f>
        <v/>
      </c>
      <c r="AI1478">
        <f>IF($AE1478="","",IF(OR($AF1478="",$AG1478="",$AH1478="",$AF1478&lt;1300,$AF1478&gt;1500,$AG1478&lt;1,$AG1478&gt;12,$AH1478&lt;1,$AH1478&gt;31),"نامعتبر",RIGHT("0000"&amp;$AF1478,4)&amp;"/"&amp;RIGHT("00"&amp;$AG1478,2)&amp;"/"&amp;RIGHT("00"&amp;$AH1478,2)))</f>
        <v/>
      </c>
      <c r="AJ1478">
        <f>IF($AE1478="","",IF(Sync!$Q1478="","0000",IF(AND(ISNUMBER(Sync!$Q1478),Sync!$Q1478&gt;=0,Sync!$Q1478&lt;1),RIGHT("00"&amp;HOUR(Sync!$Q1478),2)&amp;RIGHT("00"&amp;MINUTE(Sync!$Q1478),2),IFERROR(RIGHT("00"&amp;VALUE(LEFT(Sync!$Q1478,FIND(":",Sync!$Q1478)-1)),2)&amp;RIGHT("00"&amp;VALUE(MID(Sync!$Q1478,FIND(":",Sync!$Q1478)+1,2)),2),"0000"))))</f>
        <v/>
      </c>
      <c r="AK1478">
        <f>IF(OR($AE1478="",$AI1478="",$AI1478="نامعتبر"),"",LEFT($AI1478,4)&amp;MID($AI1478,6,2)&amp;RIGHT($AI1478,2)&amp;$AJ1478&amp;"|"&amp;"3"&amp;RIGHT("00000"&amp;1473,5))</f>
        <v/>
      </c>
      <c r="AL1478">
        <f>IF($AK1478="","",COUNTIFS(LdAParty,$AE1478,LdAType,1,LdAKey,"&lt;"&amp;$AK1478)+COUNTIFS(LdBMember,$AE1478,LdBKey,"&lt;"&amp;$AK1478)+COUNTIFS(LdCParty,$AE1478,LdCKey,"&lt;"&amp;$AK1478)+1)</f>
        <v/>
      </c>
      <c r="AM1478">
        <f>IF($AL1478="","",$AE1478&amp;"|"&amp;RIGHT("000000"&amp;$AL1478,6))</f>
        <v/>
      </c>
      <c r="AN1478">
        <f>IF($AE1478="","",IF(Sync!$W1478="",0,Sync!$W1478))</f>
        <v/>
      </c>
      <c r="AO1478">
        <f>IF($AE1478="","",IF(Sync!$X1478="",0,Sync!$X1478))</f>
        <v/>
      </c>
      <c r="AP1478">
        <f>IF($AE1478="","",Sync!$R1478)</f>
        <v/>
      </c>
      <c r="AQ1478">
        <f>IF($AE1478="","",Sync!$Y1478)</f>
        <v/>
      </c>
    </row>
    <row r="1479">
      <c r="A1479">
        <f>IF(OR(Wages!$B1482="",Wages!$E1482=""),"",Wages!$E1482)</f>
        <v/>
      </c>
      <c r="B1479">
        <f>IF($A1479="","",IF(Wages!$C1482="دستمزد گروهی",2,1))</f>
        <v/>
      </c>
      <c r="C1479">
        <f>IF($A1479="","",IF(ISNUMBER(Wages!$B1482),IF(AND(Wages!$B1482&gt;=10000101,Wages!$B1482&lt;=99991231),INT(Wages!$B1482/10000),""),IFERROR(VALUE(TRIM(LEFT(Wages!$B1482,FIND("/",Wages!$B1482)-1))),"")))</f>
        <v/>
      </c>
      <c r="D1479">
        <f>IF(OR($A1479="",$C1479=""),"",IF(ISNUMBER(Wages!$B1482),INT(MOD(Wages!$B1482,10000)/100),IFERROR(VALUE(TRIM(LEFT(MID(Wages!$B1482,FIND("/",Wages!$B1482)+1,20),FIND("/",MID(Wages!$B1482,FIND("/",Wages!$B1482)+1,20))-1))),"")))</f>
        <v/>
      </c>
      <c r="E1479">
        <f>IF(OR($A1479="",$C1479=""),"",IF(ISNUMBER(Wages!$B1482),MOD(Wages!$B1482,100),IFERROR(VALUE(TRIM(MID(MID(Wages!$B1482,FIND("/",Wages!$B1482)+1,20),FIND("/",MID(Wages!$B1482,FIND("/",Wages!$B1482)+1,20))+1,20))),"")))</f>
        <v/>
      </c>
      <c r="F1479">
        <f>IF($A1479="","",IF(OR($C1479="",$D1479="",$E1479="",$C1479&lt;1300,$C1479&gt;1500,$D1479&lt;1,$D1479&gt;12,$E1479&lt;1,$E1479&gt;31),"نامعتبر",RIGHT("0000"&amp;$C1479,4)&amp;"/"&amp;RIGHT("00"&amp;$D1479,2)&amp;"/"&amp;RIGHT("00"&amp;$E1479,2)))</f>
        <v/>
      </c>
      <c r="G1479">
        <f>IF(OR($A1479="",$F1479="",$F1479="نامعتبر"),"",LEFT($F1479,4)&amp;MID($F1479,6,2)&amp;RIGHT($F1479,2)&amp;"0000"&amp;"|"&amp;"1"&amp;RIGHT("00000"&amp;1474,5))</f>
        <v/>
      </c>
      <c r="H1479">
        <f>IF(OR($B1479&lt;&gt;1,$G1479=""),"",COUNTIFS(LdAParty,$A1479,LdAType,1,LdAKey,"&lt;"&amp;$G1479)+COUNTIFS(LdBMember,$A1479,LdBKey,"&lt;"&amp;$G1479)+COUNTIFS(LdCParty,$A1479,LdCKey,"&lt;"&amp;$G1479)+1)</f>
        <v/>
      </c>
      <c r="I1479">
        <f>IF($H1479="","",$A1479&amp;"|"&amp;RIGHT("000000"&amp;$H1479,6))</f>
        <v/>
      </c>
      <c r="J1479">
        <f>IF(OR($B1479&lt;&gt;2,$G1479=""),"",COUNTIFS(LdAParty,$A1479,LdAType,2,LdAKey,"&lt;"&amp;$G1479)+1)</f>
        <v/>
      </c>
      <c r="K1479">
        <f>IF($J1479="","",$A1479&amp;"|"&amp;RIGHT("000000"&amp;$J1479,6))</f>
        <v/>
      </c>
      <c r="L1479">
        <f>IF($A1479="","",IF(Wages!$G1482="",0,Wages!$G1482))</f>
        <v/>
      </c>
      <c r="M1479">
        <f>IF($A1479="","",Wages!$J1482)</f>
        <v/>
      </c>
      <c r="N1479">
        <f>IF($A1479="","",Wages!$D1482)</f>
        <v/>
      </c>
      <c r="P1479">
        <f>IF(OR(Shares!$B1482="",Shares!$C1482=""),"",Shares!$C1482)</f>
        <v/>
      </c>
      <c r="Q1479">
        <f>IF($P1479="","",Shares!$B1482)</f>
        <v/>
      </c>
      <c r="R1479">
        <f>IF($P1479="","",IFERROR(INDEX(WageParty,MATCH($Q1479,WageIds,0)),""))</f>
        <v/>
      </c>
      <c r="S1479">
        <f>IF($P1479="","",IFERROR(INDEX($F$6:$F$2005,MATCH($Q1479,WageIds,0)),""))</f>
        <v/>
      </c>
      <c r="T1479">
        <f>IF(OR($P1479="",$S1479="",$S1479="نامعتبر"),"",LEFT($S1479,4)&amp;MID($S1479,6,2)&amp;RIGHT($S1479,2)&amp;"0000"&amp;"|"&amp;"2"&amp;RIGHT("00000"&amp;1474,5))</f>
        <v/>
      </c>
      <c r="U1479">
        <f>IF($T1479="","",COUNTIFS(LdAParty,$P1479,LdAType,1,LdAKey,"&lt;"&amp;$T1479)+COUNTIFS(LdBMember,$P1479,LdBKey,"&lt;"&amp;$T1479)+COUNTIFS(LdCParty,$P1479,LdCKey,"&lt;"&amp;$T1479)+1)</f>
        <v/>
      </c>
      <c r="V1479">
        <f>IF($U1479="","",$P1479&amp;"|"&amp;RIGHT("000000"&amp;$U1479,6))</f>
        <v/>
      </c>
      <c r="W1479">
        <f>IF($T1479="","",COUNTIFS(LdBGroup,$R1479,LdBKey,"&lt;"&amp;$T1479)+1)</f>
        <v/>
      </c>
      <c r="X1479">
        <f>IF($W1479="","",$R1479&amp;"|"&amp;RIGHT("000000"&amp;$W1479,6))</f>
        <v/>
      </c>
      <c r="Y1479">
        <f>IF($P1479="","",IF(Shares!$E1482="",0,Shares!$E1482))</f>
        <v/>
      </c>
      <c r="Z1479">
        <f>IF($P1479="","",Shares!$H1482)</f>
        <v/>
      </c>
      <c r="AE1479">
        <f>IF(OR(Sync!$S1479="",Sync!$P1479=""),"",Sync!$S1479)</f>
        <v/>
      </c>
      <c r="AF1479">
        <f>IF($AE1479="","",IF(ISNUMBER(Sync!$P1479),IF(AND(Sync!$P1479&gt;=10000101,Sync!$P1479&lt;=99991231),INT(Sync!$P1479/10000),""),IFERROR(VALUE(TRIM(LEFT(Sync!$P1479,FIND("/",Sync!$P1479)-1))),"")))</f>
        <v/>
      </c>
      <c r="AG1479">
        <f>IF(OR($AE1479="",$AF1479=""),"",IF(ISNUMBER(Sync!$P1479),INT(MOD(Sync!$P1479,10000)/100),IFERROR(VALUE(TRIM(LEFT(MID(Sync!$P1479,FIND("/",Sync!$P1479)+1,20),FIND("/",MID(Sync!$P1479,FIND("/",Sync!$P1479)+1,20))-1))),"")))</f>
        <v/>
      </c>
      <c r="AH1479">
        <f>IF(OR($AE1479="",$AF1479=""),"",IF(ISNUMBER(Sync!$P1479),MOD(Sync!$P1479,100),IFERROR(VALUE(TRIM(MID(MID(Sync!$P1479,FIND("/",Sync!$P1479)+1,20),FIND("/",MID(Sync!$P1479,FIND("/",Sync!$P1479)+1,20))+1,20))),"")))</f>
        <v/>
      </c>
      <c r="AI1479">
        <f>IF($AE1479="","",IF(OR($AF1479="",$AG1479="",$AH1479="",$AF1479&lt;1300,$AF1479&gt;1500,$AG1479&lt;1,$AG1479&gt;12,$AH1479&lt;1,$AH1479&gt;31),"نامعتبر",RIGHT("0000"&amp;$AF1479,4)&amp;"/"&amp;RIGHT("00"&amp;$AG1479,2)&amp;"/"&amp;RIGHT("00"&amp;$AH1479,2)))</f>
        <v/>
      </c>
      <c r="AJ1479">
        <f>IF($AE1479="","",IF(Sync!$Q1479="","0000",IF(AND(ISNUMBER(Sync!$Q1479),Sync!$Q1479&gt;=0,Sync!$Q1479&lt;1),RIGHT("00"&amp;HOUR(Sync!$Q1479),2)&amp;RIGHT("00"&amp;MINUTE(Sync!$Q1479),2),IFERROR(RIGHT("00"&amp;VALUE(LEFT(Sync!$Q1479,FIND(":",Sync!$Q1479)-1)),2)&amp;RIGHT("00"&amp;VALUE(MID(Sync!$Q1479,FIND(":",Sync!$Q1479)+1,2)),2),"0000"))))</f>
        <v/>
      </c>
      <c r="AK1479">
        <f>IF(OR($AE1479="",$AI1479="",$AI1479="نامعتبر"),"",LEFT($AI1479,4)&amp;MID($AI1479,6,2)&amp;RIGHT($AI1479,2)&amp;$AJ1479&amp;"|"&amp;"3"&amp;RIGHT("00000"&amp;1474,5))</f>
        <v/>
      </c>
      <c r="AL1479">
        <f>IF($AK1479="","",COUNTIFS(LdAParty,$AE1479,LdAType,1,LdAKey,"&lt;"&amp;$AK1479)+COUNTIFS(LdBMember,$AE1479,LdBKey,"&lt;"&amp;$AK1479)+COUNTIFS(LdCParty,$AE1479,LdCKey,"&lt;"&amp;$AK1479)+1)</f>
        <v/>
      </c>
      <c r="AM1479">
        <f>IF($AL1479="","",$AE1479&amp;"|"&amp;RIGHT("000000"&amp;$AL1479,6))</f>
        <v/>
      </c>
      <c r="AN1479">
        <f>IF($AE1479="","",IF(Sync!$W1479="",0,Sync!$W1479))</f>
        <v/>
      </c>
      <c r="AO1479">
        <f>IF($AE1479="","",IF(Sync!$X1479="",0,Sync!$X1479))</f>
        <v/>
      </c>
      <c r="AP1479">
        <f>IF($AE1479="","",Sync!$R1479)</f>
        <v/>
      </c>
      <c r="AQ1479">
        <f>IF($AE1479="","",Sync!$Y1479)</f>
        <v/>
      </c>
    </row>
    <row r="1480">
      <c r="A1480">
        <f>IF(OR(Wages!$B1483="",Wages!$E1483=""),"",Wages!$E1483)</f>
        <v/>
      </c>
      <c r="B1480">
        <f>IF($A1480="","",IF(Wages!$C1483="دستمزد گروهی",2,1))</f>
        <v/>
      </c>
      <c r="C1480">
        <f>IF($A1480="","",IF(ISNUMBER(Wages!$B1483),IF(AND(Wages!$B1483&gt;=10000101,Wages!$B1483&lt;=99991231),INT(Wages!$B1483/10000),""),IFERROR(VALUE(TRIM(LEFT(Wages!$B1483,FIND("/",Wages!$B1483)-1))),"")))</f>
        <v/>
      </c>
      <c r="D1480">
        <f>IF(OR($A1480="",$C1480=""),"",IF(ISNUMBER(Wages!$B1483),INT(MOD(Wages!$B1483,10000)/100),IFERROR(VALUE(TRIM(LEFT(MID(Wages!$B1483,FIND("/",Wages!$B1483)+1,20),FIND("/",MID(Wages!$B1483,FIND("/",Wages!$B1483)+1,20))-1))),"")))</f>
        <v/>
      </c>
      <c r="E1480">
        <f>IF(OR($A1480="",$C1480=""),"",IF(ISNUMBER(Wages!$B1483),MOD(Wages!$B1483,100),IFERROR(VALUE(TRIM(MID(MID(Wages!$B1483,FIND("/",Wages!$B1483)+1,20),FIND("/",MID(Wages!$B1483,FIND("/",Wages!$B1483)+1,20))+1,20))),"")))</f>
        <v/>
      </c>
      <c r="F1480">
        <f>IF($A1480="","",IF(OR($C1480="",$D1480="",$E1480="",$C1480&lt;1300,$C1480&gt;1500,$D1480&lt;1,$D1480&gt;12,$E1480&lt;1,$E1480&gt;31),"نامعتبر",RIGHT("0000"&amp;$C1480,4)&amp;"/"&amp;RIGHT("00"&amp;$D1480,2)&amp;"/"&amp;RIGHT("00"&amp;$E1480,2)))</f>
        <v/>
      </c>
      <c r="G1480">
        <f>IF(OR($A1480="",$F1480="",$F1480="نامعتبر"),"",LEFT($F1480,4)&amp;MID($F1480,6,2)&amp;RIGHT($F1480,2)&amp;"0000"&amp;"|"&amp;"1"&amp;RIGHT("00000"&amp;1475,5))</f>
        <v/>
      </c>
      <c r="H1480">
        <f>IF(OR($B1480&lt;&gt;1,$G1480=""),"",COUNTIFS(LdAParty,$A1480,LdAType,1,LdAKey,"&lt;"&amp;$G1480)+COUNTIFS(LdBMember,$A1480,LdBKey,"&lt;"&amp;$G1480)+COUNTIFS(LdCParty,$A1480,LdCKey,"&lt;"&amp;$G1480)+1)</f>
        <v/>
      </c>
      <c r="I1480">
        <f>IF($H1480="","",$A1480&amp;"|"&amp;RIGHT("000000"&amp;$H1480,6))</f>
        <v/>
      </c>
      <c r="J1480">
        <f>IF(OR($B1480&lt;&gt;2,$G1480=""),"",COUNTIFS(LdAParty,$A1480,LdAType,2,LdAKey,"&lt;"&amp;$G1480)+1)</f>
        <v/>
      </c>
      <c r="K1480">
        <f>IF($J1480="","",$A1480&amp;"|"&amp;RIGHT("000000"&amp;$J1480,6))</f>
        <v/>
      </c>
      <c r="L1480">
        <f>IF($A1480="","",IF(Wages!$G1483="",0,Wages!$G1483))</f>
        <v/>
      </c>
      <c r="M1480">
        <f>IF($A1480="","",Wages!$J1483)</f>
        <v/>
      </c>
      <c r="N1480">
        <f>IF($A1480="","",Wages!$D1483)</f>
        <v/>
      </c>
      <c r="P1480">
        <f>IF(OR(Shares!$B1483="",Shares!$C1483=""),"",Shares!$C1483)</f>
        <v/>
      </c>
      <c r="Q1480">
        <f>IF($P1480="","",Shares!$B1483)</f>
        <v/>
      </c>
      <c r="R1480">
        <f>IF($P1480="","",IFERROR(INDEX(WageParty,MATCH($Q1480,WageIds,0)),""))</f>
        <v/>
      </c>
      <c r="S1480">
        <f>IF($P1480="","",IFERROR(INDEX($F$6:$F$2005,MATCH($Q1480,WageIds,0)),""))</f>
        <v/>
      </c>
      <c r="T1480">
        <f>IF(OR($P1480="",$S1480="",$S1480="نامعتبر"),"",LEFT($S1480,4)&amp;MID($S1480,6,2)&amp;RIGHT($S1480,2)&amp;"0000"&amp;"|"&amp;"2"&amp;RIGHT("00000"&amp;1475,5))</f>
        <v/>
      </c>
      <c r="U1480">
        <f>IF($T1480="","",COUNTIFS(LdAParty,$P1480,LdAType,1,LdAKey,"&lt;"&amp;$T1480)+COUNTIFS(LdBMember,$P1480,LdBKey,"&lt;"&amp;$T1480)+COUNTIFS(LdCParty,$P1480,LdCKey,"&lt;"&amp;$T1480)+1)</f>
        <v/>
      </c>
      <c r="V1480">
        <f>IF($U1480="","",$P1480&amp;"|"&amp;RIGHT("000000"&amp;$U1480,6))</f>
        <v/>
      </c>
      <c r="W1480">
        <f>IF($T1480="","",COUNTIFS(LdBGroup,$R1480,LdBKey,"&lt;"&amp;$T1480)+1)</f>
        <v/>
      </c>
      <c r="X1480">
        <f>IF($W1480="","",$R1480&amp;"|"&amp;RIGHT("000000"&amp;$W1480,6))</f>
        <v/>
      </c>
      <c r="Y1480">
        <f>IF($P1480="","",IF(Shares!$E1483="",0,Shares!$E1483))</f>
        <v/>
      </c>
      <c r="Z1480">
        <f>IF($P1480="","",Shares!$H1483)</f>
        <v/>
      </c>
      <c r="AE1480">
        <f>IF(OR(Sync!$S1480="",Sync!$P1480=""),"",Sync!$S1480)</f>
        <v/>
      </c>
      <c r="AF1480">
        <f>IF($AE1480="","",IF(ISNUMBER(Sync!$P1480),IF(AND(Sync!$P1480&gt;=10000101,Sync!$P1480&lt;=99991231),INT(Sync!$P1480/10000),""),IFERROR(VALUE(TRIM(LEFT(Sync!$P1480,FIND("/",Sync!$P1480)-1))),"")))</f>
        <v/>
      </c>
      <c r="AG1480">
        <f>IF(OR($AE1480="",$AF1480=""),"",IF(ISNUMBER(Sync!$P1480),INT(MOD(Sync!$P1480,10000)/100),IFERROR(VALUE(TRIM(LEFT(MID(Sync!$P1480,FIND("/",Sync!$P1480)+1,20),FIND("/",MID(Sync!$P1480,FIND("/",Sync!$P1480)+1,20))-1))),"")))</f>
        <v/>
      </c>
      <c r="AH1480">
        <f>IF(OR($AE1480="",$AF1480=""),"",IF(ISNUMBER(Sync!$P1480),MOD(Sync!$P1480,100),IFERROR(VALUE(TRIM(MID(MID(Sync!$P1480,FIND("/",Sync!$P1480)+1,20),FIND("/",MID(Sync!$P1480,FIND("/",Sync!$P1480)+1,20))+1,20))),"")))</f>
        <v/>
      </c>
      <c r="AI1480">
        <f>IF($AE1480="","",IF(OR($AF1480="",$AG1480="",$AH1480="",$AF1480&lt;1300,$AF1480&gt;1500,$AG1480&lt;1,$AG1480&gt;12,$AH1480&lt;1,$AH1480&gt;31),"نامعتبر",RIGHT("0000"&amp;$AF1480,4)&amp;"/"&amp;RIGHT("00"&amp;$AG1480,2)&amp;"/"&amp;RIGHT("00"&amp;$AH1480,2)))</f>
        <v/>
      </c>
      <c r="AJ1480">
        <f>IF($AE1480="","",IF(Sync!$Q1480="","0000",IF(AND(ISNUMBER(Sync!$Q1480),Sync!$Q1480&gt;=0,Sync!$Q1480&lt;1),RIGHT("00"&amp;HOUR(Sync!$Q1480),2)&amp;RIGHT("00"&amp;MINUTE(Sync!$Q1480),2),IFERROR(RIGHT("00"&amp;VALUE(LEFT(Sync!$Q1480,FIND(":",Sync!$Q1480)-1)),2)&amp;RIGHT("00"&amp;VALUE(MID(Sync!$Q1480,FIND(":",Sync!$Q1480)+1,2)),2),"0000"))))</f>
        <v/>
      </c>
      <c r="AK1480">
        <f>IF(OR($AE1480="",$AI1480="",$AI1480="نامعتبر"),"",LEFT($AI1480,4)&amp;MID($AI1480,6,2)&amp;RIGHT($AI1480,2)&amp;$AJ1480&amp;"|"&amp;"3"&amp;RIGHT("00000"&amp;1475,5))</f>
        <v/>
      </c>
      <c r="AL1480">
        <f>IF($AK1480="","",COUNTIFS(LdAParty,$AE1480,LdAType,1,LdAKey,"&lt;"&amp;$AK1480)+COUNTIFS(LdBMember,$AE1480,LdBKey,"&lt;"&amp;$AK1480)+COUNTIFS(LdCParty,$AE1480,LdCKey,"&lt;"&amp;$AK1480)+1)</f>
        <v/>
      </c>
      <c r="AM1480">
        <f>IF($AL1480="","",$AE1480&amp;"|"&amp;RIGHT("000000"&amp;$AL1480,6))</f>
        <v/>
      </c>
      <c r="AN1480">
        <f>IF($AE1480="","",IF(Sync!$W1480="",0,Sync!$W1480))</f>
        <v/>
      </c>
      <c r="AO1480">
        <f>IF($AE1480="","",IF(Sync!$X1480="",0,Sync!$X1480))</f>
        <v/>
      </c>
      <c r="AP1480">
        <f>IF($AE1480="","",Sync!$R1480)</f>
        <v/>
      </c>
      <c r="AQ1480">
        <f>IF($AE1480="","",Sync!$Y1480)</f>
        <v/>
      </c>
    </row>
    <row r="1481">
      <c r="A1481">
        <f>IF(OR(Wages!$B1484="",Wages!$E1484=""),"",Wages!$E1484)</f>
        <v/>
      </c>
      <c r="B1481">
        <f>IF($A1481="","",IF(Wages!$C1484="دستمزد گروهی",2,1))</f>
        <v/>
      </c>
      <c r="C1481">
        <f>IF($A1481="","",IF(ISNUMBER(Wages!$B1484),IF(AND(Wages!$B1484&gt;=10000101,Wages!$B1484&lt;=99991231),INT(Wages!$B1484/10000),""),IFERROR(VALUE(TRIM(LEFT(Wages!$B1484,FIND("/",Wages!$B1484)-1))),"")))</f>
        <v/>
      </c>
      <c r="D1481">
        <f>IF(OR($A1481="",$C1481=""),"",IF(ISNUMBER(Wages!$B1484),INT(MOD(Wages!$B1484,10000)/100),IFERROR(VALUE(TRIM(LEFT(MID(Wages!$B1484,FIND("/",Wages!$B1484)+1,20),FIND("/",MID(Wages!$B1484,FIND("/",Wages!$B1484)+1,20))-1))),"")))</f>
        <v/>
      </c>
      <c r="E1481">
        <f>IF(OR($A1481="",$C1481=""),"",IF(ISNUMBER(Wages!$B1484),MOD(Wages!$B1484,100),IFERROR(VALUE(TRIM(MID(MID(Wages!$B1484,FIND("/",Wages!$B1484)+1,20),FIND("/",MID(Wages!$B1484,FIND("/",Wages!$B1484)+1,20))+1,20))),"")))</f>
        <v/>
      </c>
      <c r="F1481">
        <f>IF($A1481="","",IF(OR($C1481="",$D1481="",$E1481="",$C1481&lt;1300,$C1481&gt;1500,$D1481&lt;1,$D1481&gt;12,$E1481&lt;1,$E1481&gt;31),"نامعتبر",RIGHT("0000"&amp;$C1481,4)&amp;"/"&amp;RIGHT("00"&amp;$D1481,2)&amp;"/"&amp;RIGHT("00"&amp;$E1481,2)))</f>
        <v/>
      </c>
      <c r="G1481">
        <f>IF(OR($A1481="",$F1481="",$F1481="نامعتبر"),"",LEFT($F1481,4)&amp;MID($F1481,6,2)&amp;RIGHT($F1481,2)&amp;"0000"&amp;"|"&amp;"1"&amp;RIGHT("00000"&amp;1476,5))</f>
        <v/>
      </c>
      <c r="H1481">
        <f>IF(OR($B1481&lt;&gt;1,$G1481=""),"",COUNTIFS(LdAParty,$A1481,LdAType,1,LdAKey,"&lt;"&amp;$G1481)+COUNTIFS(LdBMember,$A1481,LdBKey,"&lt;"&amp;$G1481)+COUNTIFS(LdCParty,$A1481,LdCKey,"&lt;"&amp;$G1481)+1)</f>
        <v/>
      </c>
      <c r="I1481">
        <f>IF($H1481="","",$A1481&amp;"|"&amp;RIGHT("000000"&amp;$H1481,6))</f>
        <v/>
      </c>
      <c r="J1481">
        <f>IF(OR($B1481&lt;&gt;2,$G1481=""),"",COUNTIFS(LdAParty,$A1481,LdAType,2,LdAKey,"&lt;"&amp;$G1481)+1)</f>
        <v/>
      </c>
      <c r="K1481">
        <f>IF($J1481="","",$A1481&amp;"|"&amp;RIGHT("000000"&amp;$J1481,6))</f>
        <v/>
      </c>
      <c r="L1481">
        <f>IF($A1481="","",IF(Wages!$G1484="",0,Wages!$G1484))</f>
        <v/>
      </c>
      <c r="M1481">
        <f>IF($A1481="","",Wages!$J1484)</f>
        <v/>
      </c>
      <c r="N1481">
        <f>IF($A1481="","",Wages!$D1484)</f>
        <v/>
      </c>
      <c r="P1481">
        <f>IF(OR(Shares!$B1484="",Shares!$C1484=""),"",Shares!$C1484)</f>
        <v/>
      </c>
      <c r="Q1481">
        <f>IF($P1481="","",Shares!$B1484)</f>
        <v/>
      </c>
      <c r="R1481">
        <f>IF($P1481="","",IFERROR(INDEX(WageParty,MATCH($Q1481,WageIds,0)),""))</f>
        <v/>
      </c>
      <c r="S1481">
        <f>IF($P1481="","",IFERROR(INDEX($F$6:$F$2005,MATCH($Q1481,WageIds,0)),""))</f>
        <v/>
      </c>
      <c r="T1481">
        <f>IF(OR($P1481="",$S1481="",$S1481="نامعتبر"),"",LEFT($S1481,4)&amp;MID($S1481,6,2)&amp;RIGHT($S1481,2)&amp;"0000"&amp;"|"&amp;"2"&amp;RIGHT("00000"&amp;1476,5))</f>
        <v/>
      </c>
      <c r="U1481">
        <f>IF($T1481="","",COUNTIFS(LdAParty,$P1481,LdAType,1,LdAKey,"&lt;"&amp;$T1481)+COUNTIFS(LdBMember,$P1481,LdBKey,"&lt;"&amp;$T1481)+COUNTIFS(LdCParty,$P1481,LdCKey,"&lt;"&amp;$T1481)+1)</f>
        <v/>
      </c>
      <c r="V1481">
        <f>IF($U1481="","",$P1481&amp;"|"&amp;RIGHT("000000"&amp;$U1481,6))</f>
        <v/>
      </c>
      <c r="W1481">
        <f>IF($T1481="","",COUNTIFS(LdBGroup,$R1481,LdBKey,"&lt;"&amp;$T1481)+1)</f>
        <v/>
      </c>
      <c r="X1481">
        <f>IF($W1481="","",$R1481&amp;"|"&amp;RIGHT("000000"&amp;$W1481,6))</f>
        <v/>
      </c>
      <c r="Y1481">
        <f>IF($P1481="","",IF(Shares!$E1484="",0,Shares!$E1484))</f>
        <v/>
      </c>
      <c r="Z1481">
        <f>IF($P1481="","",Shares!$H1484)</f>
        <v/>
      </c>
      <c r="AE1481">
        <f>IF(OR(Sync!$S1481="",Sync!$P1481=""),"",Sync!$S1481)</f>
        <v/>
      </c>
      <c r="AF1481">
        <f>IF($AE1481="","",IF(ISNUMBER(Sync!$P1481),IF(AND(Sync!$P1481&gt;=10000101,Sync!$P1481&lt;=99991231),INT(Sync!$P1481/10000),""),IFERROR(VALUE(TRIM(LEFT(Sync!$P1481,FIND("/",Sync!$P1481)-1))),"")))</f>
        <v/>
      </c>
      <c r="AG1481">
        <f>IF(OR($AE1481="",$AF1481=""),"",IF(ISNUMBER(Sync!$P1481),INT(MOD(Sync!$P1481,10000)/100),IFERROR(VALUE(TRIM(LEFT(MID(Sync!$P1481,FIND("/",Sync!$P1481)+1,20),FIND("/",MID(Sync!$P1481,FIND("/",Sync!$P1481)+1,20))-1))),"")))</f>
        <v/>
      </c>
      <c r="AH1481">
        <f>IF(OR($AE1481="",$AF1481=""),"",IF(ISNUMBER(Sync!$P1481),MOD(Sync!$P1481,100),IFERROR(VALUE(TRIM(MID(MID(Sync!$P1481,FIND("/",Sync!$P1481)+1,20),FIND("/",MID(Sync!$P1481,FIND("/",Sync!$P1481)+1,20))+1,20))),"")))</f>
        <v/>
      </c>
      <c r="AI1481">
        <f>IF($AE1481="","",IF(OR($AF1481="",$AG1481="",$AH1481="",$AF1481&lt;1300,$AF1481&gt;1500,$AG1481&lt;1,$AG1481&gt;12,$AH1481&lt;1,$AH1481&gt;31),"نامعتبر",RIGHT("0000"&amp;$AF1481,4)&amp;"/"&amp;RIGHT("00"&amp;$AG1481,2)&amp;"/"&amp;RIGHT("00"&amp;$AH1481,2)))</f>
        <v/>
      </c>
      <c r="AJ1481">
        <f>IF($AE1481="","",IF(Sync!$Q1481="","0000",IF(AND(ISNUMBER(Sync!$Q1481),Sync!$Q1481&gt;=0,Sync!$Q1481&lt;1),RIGHT("00"&amp;HOUR(Sync!$Q1481),2)&amp;RIGHT("00"&amp;MINUTE(Sync!$Q1481),2),IFERROR(RIGHT("00"&amp;VALUE(LEFT(Sync!$Q1481,FIND(":",Sync!$Q1481)-1)),2)&amp;RIGHT("00"&amp;VALUE(MID(Sync!$Q1481,FIND(":",Sync!$Q1481)+1,2)),2),"0000"))))</f>
        <v/>
      </c>
      <c r="AK1481">
        <f>IF(OR($AE1481="",$AI1481="",$AI1481="نامعتبر"),"",LEFT($AI1481,4)&amp;MID($AI1481,6,2)&amp;RIGHT($AI1481,2)&amp;$AJ1481&amp;"|"&amp;"3"&amp;RIGHT("00000"&amp;1476,5))</f>
        <v/>
      </c>
      <c r="AL1481">
        <f>IF($AK1481="","",COUNTIFS(LdAParty,$AE1481,LdAType,1,LdAKey,"&lt;"&amp;$AK1481)+COUNTIFS(LdBMember,$AE1481,LdBKey,"&lt;"&amp;$AK1481)+COUNTIFS(LdCParty,$AE1481,LdCKey,"&lt;"&amp;$AK1481)+1)</f>
        <v/>
      </c>
      <c r="AM1481">
        <f>IF($AL1481="","",$AE1481&amp;"|"&amp;RIGHT("000000"&amp;$AL1481,6))</f>
        <v/>
      </c>
      <c r="AN1481">
        <f>IF($AE1481="","",IF(Sync!$W1481="",0,Sync!$W1481))</f>
        <v/>
      </c>
      <c r="AO1481">
        <f>IF($AE1481="","",IF(Sync!$X1481="",0,Sync!$X1481))</f>
        <v/>
      </c>
      <c r="AP1481">
        <f>IF($AE1481="","",Sync!$R1481)</f>
        <v/>
      </c>
      <c r="AQ1481">
        <f>IF($AE1481="","",Sync!$Y1481)</f>
        <v/>
      </c>
    </row>
    <row r="1482">
      <c r="A1482">
        <f>IF(OR(Wages!$B1485="",Wages!$E1485=""),"",Wages!$E1485)</f>
        <v/>
      </c>
      <c r="B1482">
        <f>IF($A1482="","",IF(Wages!$C1485="دستمزد گروهی",2,1))</f>
        <v/>
      </c>
      <c r="C1482">
        <f>IF($A1482="","",IF(ISNUMBER(Wages!$B1485),IF(AND(Wages!$B1485&gt;=10000101,Wages!$B1485&lt;=99991231),INT(Wages!$B1485/10000),""),IFERROR(VALUE(TRIM(LEFT(Wages!$B1485,FIND("/",Wages!$B1485)-1))),"")))</f>
        <v/>
      </c>
      <c r="D1482">
        <f>IF(OR($A1482="",$C1482=""),"",IF(ISNUMBER(Wages!$B1485),INT(MOD(Wages!$B1485,10000)/100),IFERROR(VALUE(TRIM(LEFT(MID(Wages!$B1485,FIND("/",Wages!$B1485)+1,20),FIND("/",MID(Wages!$B1485,FIND("/",Wages!$B1485)+1,20))-1))),"")))</f>
        <v/>
      </c>
      <c r="E1482">
        <f>IF(OR($A1482="",$C1482=""),"",IF(ISNUMBER(Wages!$B1485),MOD(Wages!$B1485,100),IFERROR(VALUE(TRIM(MID(MID(Wages!$B1485,FIND("/",Wages!$B1485)+1,20),FIND("/",MID(Wages!$B1485,FIND("/",Wages!$B1485)+1,20))+1,20))),"")))</f>
        <v/>
      </c>
      <c r="F1482">
        <f>IF($A1482="","",IF(OR($C1482="",$D1482="",$E1482="",$C1482&lt;1300,$C1482&gt;1500,$D1482&lt;1,$D1482&gt;12,$E1482&lt;1,$E1482&gt;31),"نامعتبر",RIGHT("0000"&amp;$C1482,4)&amp;"/"&amp;RIGHT("00"&amp;$D1482,2)&amp;"/"&amp;RIGHT("00"&amp;$E1482,2)))</f>
        <v/>
      </c>
      <c r="G1482">
        <f>IF(OR($A1482="",$F1482="",$F1482="نامعتبر"),"",LEFT($F1482,4)&amp;MID($F1482,6,2)&amp;RIGHT($F1482,2)&amp;"0000"&amp;"|"&amp;"1"&amp;RIGHT("00000"&amp;1477,5))</f>
        <v/>
      </c>
      <c r="H1482">
        <f>IF(OR($B1482&lt;&gt;1,$G1482=""),"",COUNTIFS(LdAParty,$A1482,LdAType,1,LdAKey,"&lt;"&amp;$G1482)+COUNTIFS(LdBMember,$A1482,LdBKey,"&lt;"&amp;$G1482)+COUNTIFS(LdCParty,$A1482,LdCKey,"&lt;"&amp;$G1482)+1)</f>
        <v/>
      </c>
      <c r="I1482">
        <f>IF($H1482="","",$A1482&amp;"|"&amp;RIGHT("000000"&amp;$H1482,6))</f>
        <v/>
      </c>
      <c r="J1482">
        <f>IF(OR($B1482&lt;&gt;2,$G1482=""),"",COUNTIFS(LdAParty,$A1482,LdAType,2,LdAKey,"&lt;"&amp;$G1482)+1)</f>
        <v/>
      </c>
      <c r="K1482">
        <f>IF($J1482="","",$A1482&amp;"|"&amp;RIGHT("000000"&amp;$J1482,6))</f>
        <v/>
      </c>
      <c r="L1482">
        <f>IF($A1482="","",IF(Wages!$G1485="",0,Wages!$G1485))</f>
        <v/>
      </c>
      <c r="M1482">
        <f>IF($A1482="","",Wages!$J1485)</f>
        <v/>
      </c>
      <c r="N1482">
        <f>IF($A1482="","",Wages!$D1485)</f>
        <v/>
      </c>
      <c r="P1482">
        <f>IF(OR(Shares!$B1485="",Shares!$C1485=""),"",Shares!$C1485)</f>
        <v/>
      </c>
      <c r="Q1482">
        <f>IF($P1482="","",Shares!$B1485)</f>
        <v/>
      </c>
      <c r="R1482">
        <f>IF($P1482="","",IFERROR(INDEX(WageParty,MATCH($Q1482,WageIds,0)),""))</f>
        <v/>
      </c>
      <c r="S1482">
        <f>IF($P1482="","",IFERROR(INDEX($F$6:$F$2005,MATCH($Q1482,WageIds,0)),""))</f>
        <v/>
      </c>
      <c r="T1482">
        <f>IF(OR($P1482="",$S1482="",$S1482="نامعتبر"),"",LEFT($S1482,4)&amp;MID($S1482,6,2)&amp;RIGHT($S1482,2)&amp;"0000"&amp;"|"&amp;"2"&amp;RIGHT("00000"&amp;1477,5))</f>
        <v/>
      </c>
      <c r="U1482">
        <f>IF($T1482="","",COUNTIFS(LdAParty,$P1482,LdAType,1,LdAKey,"&lt;"&amp;$T1482)+COUNTIFS(LdBMember,$P1482,LdBKey,"&lt;"&amp;$T1482)+COUNTIFS(LdCParty,$P1482,LdCKey,"&lt;"&amp;$T1482)+1)</f>
        <v/>
      </c>
      <c r="V1482">
        <f>IF($U1482="","",$P1482&amp;"|"&amp;RIGHT("000000"&amp;$U1482,6))</f>
        <v/>
      </c>
      <c r="W1482">
        <f>IF($T1482="","",COUNTIFS(LdBGroup,$R1482,LdBKey,"&lt;"&amp;$T1482)+1)</f>
        <v/>
      </c>
      <c r="X1482">
        <f>IF($W1482="","",$R1482&amp;"|"&amp;RIGHT("000000"&amp;$W1482,6))</f>
        <v/>
      </c>
      <c r="Y1482">
        <f>IF($P1482="","",IF(Shares!$E1485="",0,Shares!$E1485))</f>
        <v/>
      </c>
      <c r="Z1482">
        <f>IF($P1482="","",Shares!$H1485)</f>
        <v/>
      </c>
      <c r="AE1482">
        <f>IF(OR(Sync!$S1482="",Sync!$P1482=""),"",Sync!$S1482)</f>
        <v/>
      </c>
      <c r="AF1482">
        <f>IF($AE1482="","",IF(ISNUMBER(Sync!$P1482),IF(AND(Sync!$P1482&gt;=10000101,Sync!$P1482&lt;=99991231),INT(Sync!$P1482/10000),""),IFERROR(VALUE(TRIM(LEFT(Sync!$P1482,FIND("/",Sync!$P1482)-1))),"")))</f>
        <v/>
      </c>
      <c r="AG1482">
        <f>IF(OR($AE1482="",$AF1482=""),"",IF(ISNUMBER(Sync!$P1482),INT(MOD(Sync!$P1482,10000)/100),IFERROR(VALUE(TRIM(LEFT(MID(Sync!$P1482,FIND("/",Sync!$P1482)+1,20),FIND("/",MID(Sync!$P1482,FIND("/",Sync!$P1482)+1,20))-1))),"")))</f>
        <v/>
      </c>
      <c r="AH1482">
        <f>IF(OR($AE1482="",$AF1482=""),"",IF(ISNUMBER(Sync!$P1482),MOD(Sync!$P1482,100),IFERROR(VALUE(TRIM(MID(MID(Sync!$P1482,FIND("/",Sync!$P1482)+1,20),FIND("/",MID(Sync!$P1482,FIND("/",Sync!$P1482)+1,20))+1,20))),"")))</f>
        <v/>
      </c>
      <c r="AI1482">
        <f>IF($AE1482="","",IF(OR($AF1482="",$AG1482="",$AH1482="",$AF1482&lt;1300,$AF1482&gt;1500,$AG1482&lt;1,$AG1482&gt;12,$AH1482&lt;1,$AH1482&gt;31),"نامعتبر",RIGHT("0000"&amp;$AF1482,4)&amp;"/"&amp;RIGHT("00"&amp;$AG1482,2)&amp;"/"&amp;RIGHT("00"&amp;$AH1482,2)))</f>
        <v/>
      </c>
      <c r="AJ1482">
        <f>IF($AE1482="","",IF(Sync!$Q1482="","0000",IF(AND(ISNUMBER(Sync!$Q1482),Sync!$Q1482&gt;=0,Sync!$Q1482&lt;1),RIGHT("00"&amp;HOUR(Sync!$Q1482),2)&amp;RIGHT("00"&amp;MINUTE(Sync!$Q1482),2),IFERROR(RIGHT("00"&amp;VALUE(LEFT(Sync!$Q1482,FIND(":",Sync!$Q1482)-1)),2)&amp;RIGHT("00"&amp;VALUE(MID(Sync!$Q1482,FIND(":",Sync!$Q1482)+1,2)),2),"0000"))))</f>
        <v/>
      </c>
      <c r="AK1482">
        <f>IF(OR($AE1482="",$AI1482="",$AI1482="نامعتبر"),"",LEFT($AI1482,4)&amp;MID($AI1482,6,2)&amp;RIGHT($AI1482,2)&amp;$AJ1482&amp;"|"&amp;"3"&amp;RIGHT("00000"&amp;1477,5))</f>
        <v/>
      </c>
      <c r="AL1482">
        <f>IF($AK1482="","",COUNTIFS(LdAParty,$AE1482,LdAType,1,LdAKey,"&lt;"&amp;$AK1482)+COUNTIFS(LdBMember,$AE1482,LdBKey,"&lt;"&amp;$AK1482)+COUNTIFS(LdCParty,$AE1482,LdCKey,"&lt;"&amp;$AK1482)+1)</f>
        <v/>
      </c>
      <c r="AM1482">
        <f>IF($AL1482="","",$AE1482&amp;"|"&amp;RIGHT("000000"&amp;$AL1482,6))</f>
        <v/>
      </c>
      <c r="AN1482">
        <f>IF($AE1482="","",IF(Sync!$W1482="",0,Sync!$W1482))</f>
        <v/>
      </c>
      <c r="AO1482">
        <f>IF($AE1482="","",IF(Sync!$X1482="",0,Sync!$X1482))</f>
        <v/>
      </c>
      <c r="AP1482">
        <f>IF($AE1482="","",Sync!$R1482)</f>
        <v/>
      </c>
      <c r="AQ1482">
        <f>IF($AE1482="","",Sync!$Y1482)</f>
        <v/>
      </c>
    </row>
    <row r="1483">
      <c r="A1483">
        <f>IF(OR(Wages!$B1486="",Wages!$E1486=""),"",Wages!$E1486)</f>
        <v/>
      </c>
      <c r="B1483">
        <f>IF($A1483="","",IF(Wages!$C1486="دستمزد گروهی",2,1))</f>
        <v/>
      </c>
      <c r="C1483">
        <f>IF($A1483="","",IF(ISNUMBER(Wages!$B1486),IF(AND(Wages!$B1486&gt;=10000101,Wages!$B1486&lt;=99991231),INT(Wages!$B1486/10000),""),IFERROR(VALUE(TRIM(LEFT(Wages!$B1486,FIND("/",Wages!$B1486)-1))),"")))</f>
        <v/>
      </c>
      <c r="D1483">
        <f>IF(OR($A1483="",$C1483=""),"",IF(ISNUMBER(Wages!$B1486),INT(MOD(Wages!$B1486,10000)/100),IFERROR(VALUE(TRIM(LEFT(MID(Wages!$B1486,FIND("/",Wages!$B1486)+1,20),FIND("/",MID(Wages!$B1486,FIND("/",Wages!$B1486)+1,20))-1))),"")))</f>
        <v/>
      </c>
      <c r="E1483">
        <f>IF(OR($A1483="",$C1483=""),"",IF(ISNUMBER(Wages!$B1486),MOD(Wages!$B1486,100),IFERROR(VALUE(TRIM(MID(MID(Wages!$B1486,FIND("/",Wages!$B1486)+1,20),FIND("/",MID(Wages!$B1486,FIND("/",Wages!$B1486)+1,20))+1,20))),"")))</f>
        <v/>
      </c>
      <c r="F1483">
        <f>IF($A1483="","",IF(OR($C1483="",$D1483="",$E1483="",$C1483&lt;1300,$C1483&gt;1500,$D1483&lt;1,$D1483&gt;12,$E1483&lt;1,$E1483&gt;31),"نامعتبر",RIGHT("0000"&amp;$C1483,4)&amp;"/"&amp;RIGHT("00"&amp;$D1483,2)&amp;"/"&amp;RIGHT("00"&amp;$E1483,2)))</f>
        <v/>
      </c>
      <c r="G1483">
        <f>IF(OR($A1483="",$F1483="",$F1483="نامعتبر"),"",LEFT($F1483,4)&amp;MID($F1483,6,2)&amp;RIGHT($F1483,2)&amp;"0000"&amp;"|"&amp;"1"&amp;RIGHT("00000"&amp;1478,5))</f>
        <v/>
      </c>
      <c r="H1483">
        <f>IF(OR($B1483&lt;&gt;1,$G1483=""),"",COUNTIFS(LdAParty,$A1483,LdAType,1,LdAKey,"&lt;"&amp;$G1483)+COUNTIFS(LdBMember,$A1483,LdBKey,"&lt;"&amp;$G1483)+COUNTIFS(LdCParty,$A1483,LdCKey,"&lt;"&amp;$G1483)+1)</f>
        <v/>
      </c>
      <c r="I1483">
        <f>IF($H1483="","",$A1483&amp;"|"&amp;RIGHT("000000"&amp;$H1483,6))</f>
        <v/>
      </c>
      <c r="J1483">
        <f>IF(OR($B1483&lt;&gt;2,$G1483=""),"",COUNTIFS(LdAParty,$A1483,LdAType,2,LdAKey,"&lt;"&amp;$G1483)+1)</f>
        <v/>
      </c>
      <c r="K1483">
        <f>IF($J1483="","",$A1483&amp;"|"&amp;RIGHT("000000"&amp;$J1483,6))</f>
        <v/>
      </c>
      <c r="L1483">
        <f>IF($A1483="","",IF(Wages!$G1486="",0,Wages!$G1486))</f>
        <v/>
      </c>
      <c r="M1483">
        <f>IF($A1483="","",Wages!$J1486)</f>
        <v/>
      </c>
      <c r="N1483">
        <f>IF($A1483="","",Wages!$D1486)</f>
        <v/>
      </c>
      <c r="P1483">
        <f>IF(OR(Shares!$B1486="",Shares!$C1486=""),"",Shares!$C1486)</f>
        <v/>
      </c>
      <c r="Q1483">
        <f>IF($P1483="","",Shares!$B1486)</f>
        <v/>
      </c>
      <c r="R1483">
        <f>IF($P1483="","",IFERROR(INDEX(WageParty,MATCH($Q1483,WageIds,0)),""))</f>
        <v/>
      </c>
      <c r="S1483">
        <f>IF($P1483="","",IFERROR(INDEX($F$6:$F$2005,MATCH($Q1483,WageIds,0)),""))</f>
        <v/>
      </c>
      <c r="T1483">
        <f>IF(OR($P1483="",$S1483="",$S1483="نامعتبر"),"",LEFT($S1483,4)&amp;MID($S1483,6,2)&amp;RIGHT($S1483,2)&amp;"0000"&amp;"|"&amp;"2"&amp;RIGHT("00000"&amp;1478,5))</f>
        <v/>
      </c>
      <c r="U1483">
        <f>IF($T1483="","",COUNTIFS(LdAParty,$P1483,LdAType,1,LdAKey,"&lt;"&amp;$T1483)+COUNTIFS(LdBMember,$P1483,LdBKey,"&lt;"&amp;$T1483)+COUNTIFS(LdCParty,$P1483,LdCKey,"&lt;"&amp;$T1483)+1)</f>
        <v/>
      </c>
      <c r="V1483">
        <f>IF($U1483="","",$P1483&amp;"|"&amp;RIGHT("000000"&amp;$U1483,6))</f>
        <v/>
      </c>
      <c r="W1483">
        <f>IF($T1483="","",COUNTIFS(LdBGroup,$R1483,LdBKey,"&lt;"&amp;$T1483)+1)</f>
        <v/>
      </c>
      <c r="X1483">
        <f>IF($W1483="","",$R1483&amp;"|"&amp;RIGHT("000000"&amp;$W1483,6))</f>
        <v/>
      </c>
      <c r="Y1483">
        <f>IF($P1483="","",IF(Shares!$E1486="",0,Shares!$E1486))</f>
        <v/>
      </c>
      <c r="Z1483">
        <f>IF($P1483="","",Shares!$H1486)</f>
        <v/>
      </c>
      <c r="AE1483">
        <f>IF(OR(Sync!$S1483="",Sync!$P1483=""),"",Sync!$S1483)</f>
        <v/>
      </c>
      <c r="AF1483">
        <f>IF($AE1483="","",IF(ISNUMBER(Sync!$P1483),IF(AND(Sync!$P1483&gt;=10000101,Sync!$P1483&lt;=99991231),INT(Sync!$P1483/10000),""),IFERROR(VALUE(TRIM(LEFT(Sync!$P1483,FIND("/",Sync!$P1483)-1))),"")))</f>
        <v/>
      </c>
      <c r="AG1483">
        <f>IF(OR($AE1483="",$AF1483=""),"",IF(ISNUMBER(Sync!$P1483),INT(MOD(Sync!$P1483,10000)/100),IFERROR(VALUE(TRIM(LEFT(MID(Sync!$P1483,FIND("/",Sync!$P1483)+1,20),FIND("/",MID(Sync!$P1483,FIND("/",Sync!$P1483)+1,20))-1))),"")))</f>
        <v/>
      </c>
      <c r="AH1483">
        <f>IF(OR($AE1483="",$AF1483=""),"",IF(ISNUMBER(Sync!$P1483),MOD(Sync!$P1483,100),IFERROR(VALUE(TRIM(MID(MID(Sync!$P1483,FIND("/",Sync!$P1483)+1,20),FIND("/",MID(Sync!$P1483,FIND("/",Sync!$P1483)+1,20))+1,20))),"")))</f>
        <v/>
      </c>
      <c r="AI1483">
        <f>IF($AE1483="","",IF(OR($AF1483="",$AG1483="",$AH1483="",$AF1483&lt;1300,$AF1483&gt;1500,$AG1483&lt;1,$AG1483&gt;12,$AH1483&lt;1,$AH1483&gt;31),"نامعتبر",RIGHT("0000"&amp;$AF1483,4)&amp;"/"&amp;RIGHT("00"&amp;$AG1483,2)&amp;"/"&amp;RIGHT("00"&amp;$AH1483,2)))</f>
        <v/>
      </c>
      <c r="AJ1483">
        <f>IF($AE1483="","",IF(Sync!$Q1483="","0000",IF(AND(ISNUMBER(Sync!$Q1483),Sync!$Q1483&gt;=0,Sync!$Q1483&lt;1),RIGHT("00"&amp;HOUR(Sync!$Q1483),2)&amp;RIGHT("00"&amp;MINUTE(Sync!$Q1483),2),IFERROR(RIGHT("00"&amp;VALUE(LEFT(Sync!$Q1483,FIND(":",Sync!$Q1483)-1)),2)&amp;RIGHT("00"&amp;VALUE(MID(Sync!$Q1483,FIND(":",Sync!$Q1483)+1,2)),2),"0000"))))</f>
        <v/>
      </c>
      <c r="AK1483">
        <f>IF(OR($AE1483="",$AI1483="",$AI1483="نامعتبر"),"",LEFT($AI1483,4)&amp;MID($AI1483,6,2)&amp;RIGHT($AI1483,2)&amp;$AJ1483&amp;"|"&amp;"3"&amp;RIGHT("00000"&amp;1478,5))</f>
        <v/>
      </c>
      <c r="AL1483">
        <f>IF($AK1483="","",COUNTIFS(LdAParty,$AE1483,LdAType,1,LdAKey,"&lt;"&amp;$AK1483)+COUNTIFS(LdBMember,$AE1483,LdBKey,"&lt;"&amp;$AK1483)+COUNTIFS(LdCParty,$AE1483,LdCKey,"&lt;"&amp;$AK1483)+1)</f>
        <v/>
      </c>
      <c r="AM1483">
        <f>IF($AL1483="","",$AE1483&amp;"|"&amp;RIGHT("000000"&amp;$AL1483,6))</f>
        <v/>
      </c>
      <c r="AN1483">
        <f>IF($AE1483="","",IF(Sync!$W1483="",0,Sync!$W1483))</f>
        <v/>
      </c>
      <c r="AO1483">
        <f>IF($AE1483="","",IF(Sync!$X1483="",0,Sync!$X1483))</f>
        <v/>
      </c>
      <c r="AP1483">
        <f>IF($AE1483="","",Sync!$R1483)</f>
        <v/>
      </c>
      <c r="AQ1483">
        <f>IF($AE1483="","",Sync!$Y1483)</f>
        <v/>
      </c>
    </row>
    <row r="1484">
      <c r="A1484">
        <f>IF(OR(Wages!$B1487="",Wages!$E1487=""),"",Wages!$E1487)</f>
        <v/>
      </c>
      <c r="B1484">
        <f>IF($A1484="","",IF(Wages!$C1487="دستمزد گروهی",2,1))</f>
        <v/>
      </c>
      <c r="C1484">
        <f>IF($A1484="","",IF(ISNUMBER(Wages!$B1487),IF(AND(Wages!$B1487&gt;=10000101,Wages!$B1487&lt;=99991231),INT(Wages!$B1487/10000),""),IFERROR(VALUE(TRIM(LEFT(Wages!$B1487,FIND("/",Wages!$B1487)-1))),"")))</f>
        <v/>
      </c>
      <c r="D1484">
        <f>IF(OR($A1484="",$C1484=""),"",IF(ISNUMBER(Wages!$B1487),INT(MOD(Wages!$B1487,10000)/100),IFERROR(VALUE(TRIM(LEFT(MID(Wages!$B1487,FIND("/",Wages!$B1487)+1,20),FIND("/",MID(Wages!$B1487,FIND("/",Wages!$B1487)+1,20))-1))),"")))</f>
        <v/>
      </c>
      <c r="E1484">
        <f>IF(OR($A1484="",$C1484=""),"",IF(ISNUMBER(Wages!$B1487),MOD(Wages!$B1487,100),IFERROR(VALUE(TRIM(MID(MID(Wages!$B1487,FIND("/",Wages!$B1487)+1,20),FIND("/",MID(Wages!$B1487,FIND("/",Wages!$B1487)+1,20))+1,20))),"")))</f>
        <v/>
      </c>
      <c r="F1484">
        <f>IF($A1484="","",IF(OR($C1484="",$D1484="",$E1484="",$C1484&lt;1300,$C1484&gt;1500,$D1484&lt;1,$D1484&gt;12,$E1484&lt;1,$E1484&gt;31),"نامعتبر",RIGHT("0000"&amp;$C1484,4)&amp;"/"&amp;RIGHT("00"&amp;$D1484,2)&amp;"/"&amp;RIGHT("00"&amp;$E1484,2)))</f>
        <v/>
      </c>
      <c r="G1484">
        <f>IF(OR($A1484="",$F1484="",$F1484="نامعتبر"),"",LEFT($F1484,4)&amp;MID($F1484,6,2)&amp;RIGHT($F1484,2)&amp;"0000"&amp;"|"&amp;"1"&amp;RIGHT("00000"&amp;1479,5))</f>
        <v/>
      </c>
      <c r="H1484">
        <f>IF(OR($B1484&lt;&gt;1,$G1484=""),"",COUNTIFS(LdAParty,$A1484,LdAType,1,LdAKey,"&lt;"&amp;$G1484)+COUNTIFS(LdBMember,$A1484,LdBKey,"&lt;"&amp;$G1484)+COUNTIFS(LdCParty,$A1484,LdCKey,"&lt;"&amp;$G1484)+1)</f>
        <v/>
      </c>
      <c r="I1484">
        <f>IF($H1484="","",$A1484&amp;"|"&amp;RIGHT("000000"&amp;$H1484,6))</f>
        <v/>
      </c>
      <c r="J1484">
        <f>IF(OR($B1484&lt;&gt;2,$G1484=""),"",COUNTIFS(LdAParty,$A1484,LdAType,2,LdAKey,"&lt;"&amp;$G1484)+1)</f>
        <v/>
      </c>
      <c r="K1484">
        <f>IF($J1484="","",$A1484&amp;"|"&amp;RIGHT("000000"&amp;$J1484,6))</f>
        <v/>
      </c>
      <c r="L1484">
        <f>IF($A1484="","",IF(Wages!$G1487="",0,Wages!$G1487))</f>
        <v/>
      </c>
      <c r="M1484">
        <f>IF($A1484="","",Wages!$J1487)</f>
        <v/>
      </c>
      <c r="N1484">
        <f>IF($A1484="","",Wages!$D1487)</f>
        <v/>
      </c>
      <c r="P1484">
        <f>IF(OR(Shares!$B1487="",Shares!$C1487=""),"",Shares!$C1487)</f>
        <v/>
      </c>
      <c r="Q1484">
        <f>IF($P1484="","",Shares!$B1487)</f>
        <v/>
      </c>
      <c r="R1484">
        <f>IF($P1484="","",IFERROR(INDEX(WageParty,MATCH($Q1484,WageIds,0)),""))</f>
        <v/>
      </c>
      <c r="S1484">
        <f>IF($P1484="","",IFERROR(INDEX($F$6:$F$2005,MATCH($Q1484,WageIds,0)),""))</f>
        <v/>
      </c>
      <c r="T1484">
        <f>IF(OR($P1484="",$S1484="",$S1484="نامعتبر"),"",LEFT($S1484,4)&amp;MID($S1484,6,2)&amp;RIGHT($S1484,2)&amp;"0000"&amp;"|"&amp;"2"&amp;RIGHT("00000"&amp;1479,5))</f>
        <v/>
      </c>
      <c r="U1484">
        <f>IF($T1484="","",COUNTIFS(LdAParty,$P1484,LdAType,1,LdAKey,"&lt;"&amp;$T1484)+COUNTIFS(LdBMember,$P1484,LdBKey,"&lt;"&amp;$T1484)+COUNTIFS(LdCParty,$P1484,LdCKey,"&lt;"&amp;$T1484)+1)</f>
        <v/>
      </c>
      <c r="V1484">
        <f>IF($U1484="","",$P1484&amp;"|"&amp;RIGHT("000000"&amp;$U1484,6))</f>
        <v/>
      </c>
      <c r="W1484">
        <f>IF($T1484="","",COUNTIFS(LdBGroup,$R1484,LdBKey,"&lt;"&amp;$T1484)+1)</f>
        <v/>
      </c>
      <c r="X1484">
        <f>IF($W1484="","",$R1484&amp;"|"&amp;RIGHT("000000"&amp;$W1484,6))</f>
        <v/>
      </c>
      <c r="Y1484">
        <f>IF($P1484="","",IF(Shares!$E1487="",0,Shares!$E1487))</f>
        <v/>
      </c>
      <c r="Z1484">
        <f>IF($P1484="","",Shares!$H1487)</f>
        <v/>
      </c>
      <c r="AE1484">
        <f>IF(OR(Sync!$S1484="",Sync!$P1484=""),"",Sync!$S1484)</f>
        <v/>
      </c>
      <c r="AF1484">
        <f>IF($AE1484="","",IF(ISNUMBER(Sync!$P1484),IF(AND(Sync!$P1484&gt;=10000101,Sync!$P1484&lt;=99991231),INT(Sync!$P1484/10000),""),IFERROR(VALUE(TRIM(LEFT(Sync!$P1484,FIND("/",Sync!$P1484)-1))),"")))</f>
        <v/>
      </c>
      <c r="AG1484">
        <f>IF(OR($AE1484="",$AF1484=""),"",IF(ISNUMBER(Sync!$P1484),INT(MOD(Sync!$P1484,10000)/100),IFERROR(VALUE(TRIM(LEFT(MID(Sync!$P1484,FIND("/",Sync!$P1484)+1,20),FIND("/",MID(Sync!$P1484,FIND("/",Sync!$P1484)+1,20))-1))),"")))</f>
        <v/>
      </c>
      <c r="AH1484">
        <f>IF(OR($AE1484="",$AF1484=""),"",IF(ISNUMBER(Sync!$P1484),MOD(Sync!$P1484,100),IFERROR(VALUE(TRIM(MID(MID(Sync!$P1484,FIND("/",Sync!$P1484)+1,20),FIND("/",MID(Sync!$P1484,FIND("/",Sync!$P1484)+1,20))+1,20))),"")))</f>
        <v/>
      </c>
      <c r="AI1484">
        <f>IF($AE1484="","",IF(OR($AF1484="",$AG1484="",$AH1484="",$AF1484&lt;1300,$AF1484&gt;1500,$AG1484&lt;1,$AG1484&gt;12,$AH1484&lt;1,$AH1484&gt;31),"نامعتبر",RIGHT("0000"&amp;$AF1484,4)&amp;"/"&amp;RIGHT("00"&amp;$AG1484,2)&amp;"/"&amp;RIGHT("00"&amp;$AH1484,2)))</f>
        <v/>
      </c>
      <c r="AJ1484">
        <f>IF($AE1484="","",IF(Sync!$Q1484="","0000",IF(AND(ISNUMBER(Sync!$Q1484),Sync!$Q1484&gt;=0,Sync!$Q1484&lt;1),RIGHT("00"&amp;HOUR(Sync!$Q1484),2)&amp;RIGHT("00"&amp;MINUTE(Sync!$Q1484),2),IFERROR(RIGHT("00"&amp;VALUE(LEFT(Sync!$Q1484,FIND(":",Sync!$Q1484)-1)),2)&amp;RIGHT("00"&amp;VALUE(MID(Sync!$Q1484,FIND(":",Sync!$Q1484)+1,2)),2),"0000"))))</f>
        <v/>
      </c>
      <c r="AK1484">
        <f>IF(OR($AE1484="",$AI1484="",$AI1484="نامعتبر"),"",LEFT($AI1484,4)&amp;MID($AI1484,6,2)&amp;RIGHT($AI1484,2)&amp;$AJ1484&amp;"|"&amp;"3"&amp;RIGHT("00000"&amp;1479,5))</f>
        <v/>
      </c>
      <c r="AL1484">
        <f>IF($AK1484="","",COUNTIFS(LdAParty,$AE1484,LdAType,1,LdAKey,"&lt;"&amp;$AK1484)+COUNTIFS(LdBMember,$AE1484,LdBKey,"&lt;"&amp;$AK1484)+COUNTIFS(LdCParty,$AE1484,LdCKey,"&lt;"&amp;$AK1484)+1)</f>
        <v/>
      </c>
      <c r="AM1484">
        <f>IF($AL1484="","",$AE1484&amp;"|"&amp;RIGHT("000000"&amp;$AL1484,6))</f>
        <v/>
      </c>
      <c r="AN1484">
        <f>IF($AE1484="","",IF(Sync!$W1484="",0,Sync!$W1484))</f>
        <v/>
      </c>
      <c r="AO1484">
        <f>IF($AE1484="","",IF(Sync!$X1484="",0,Sync!$X1484))</f>
        <v/>
      </c>
      <c r="AP1484">
        <f>IF($AE1484="","",Sync!$R1484)</f>
        <v/>
      </c>
      <c r="AQ1484">
        <f>IF($AE1484="","",Sync!$Y1484)</f>
        <v/>
      </c>
    </row>
    <row r="1485">
      <c r="A1485">
        <f>IF(OR(Wages!$B1488="",Wages!$E1488=""),"",Wages!$E1488)</f>
        <v/>
      </c>
      <c r="B1485">
        <f>IF($A1485="","",IF(Wages!$C1488="دستمزد گروهی",2,1))</f>
        <v/>
      </c>
      <c r="C1485">
        <f>IF($A1485="","",IF(ISNUMBER(Wages!$B1488),IF(AND(Wages!$B1488&gt;=10000101,Wages!$B1488&lt;=99991231),INT(Wages!$B1488/10000),""),IFERROR(VALUE(TRIM(LEFT(Wages!$B1488,FIND("/",Wages!$B1488)-1))),"")))</f>
        <v/>
      </c>
      <c r="D1485">
        <f>IF(OR($A1485="",$C1485=""),"",IF(ISNUMBER(Wages!$B1488),INT(MOD(Wages!$B1488,10000)/100),IFERROR(VALUE(TRIM(LEFT(MID(Wages!$B1488,FIND("/",Wages!$B1488)+1,20),FIND("/",MID(Wages!$B1488,FIND("/",Wages!$B1488)+1,20))-1))),"")))</f>
        <v/>
      </c>
      <c r="E1485">
        <f>IF(OR($A1485="",$C1485=""),"",IF(ISNUMBER(Wages!$B1488),MOD(Wages!$B1488,100),IFERROR(VALUE(TRIM(MID(MID(Wages!$B1488,FIND("/",Wages!$B1488)+1,20),FIND("/",MID(Wages!$B1488,FIND("/",Wages!$B1488)+1,20))+1,20))),"")))</f>
        <v/>
      </c>
      <c r="F1485">
        <f>IF($A1485="","",IF(OR($C1485="",$D1485="",$E1485="",$C1485&lt;1300,$C1485&gt;1500,$D1485&lt;1,$D1485&gt;12,$E1485&lt;1,$E1485&gt;31),"نامعتبر",RIGHT("0000"&amp;$C1485,4)&amp;"/"&amp;RIGHT("00"&amp;$D1485,2)&amp;"/"&amp;RIGHT("00"&amp;$E1485,2)))</f>
        <v/>
      </c>
      <c r="G1485">
        <f>IF(OR($A1485="",$F1485="",$F1485="نامعتبر"),"",LEFT($F1485,4)&amp;MID($F1485,6,2)&amp;RIGHT($F1485,2)&amp;"0000"&amp;"|"&amp;"1"&amp;RIGHT("00000"&amp;1480,5))</f>
        <v/>
      </c>
      <c r="H1485">
        <f>IF(OR($B1485&lt;&gt;1,$G1485=""),"",COUNTIFS(LdAParty,$A1485,LdAType,1,LdAKey,"&lt;"&amp;$G1485)+COUNTIFS(LdBMember,$A1485,LdBKey,"&lt;"&amp;$G1485)+COUNTIFS(LdCParty,$A1485,LdCKey,"&lt;"&amp;$G1485)+1)</f>
        <v/>
      </c>
      <c r="I1485">
        <f>IF($H1485="","",$A1485&amp;"|"&amp;RIGHT("000000"&amp;$H1485,6))</f>
        <v/>
      </c>
      <c r="J1485">
        <f>IF(OR($B1485&lt;&gt;2,$G1485=""),"",COUNTIFS(LdAParty,$A1485,LdAType,2,LdAKey,"&lt;"&amp;$G1485)+1)</f>
        <v/>
      </c>
      <c r="K1485">
        <f>IF($J1485="","",$A1485&amp;"|"&amp;RIGHT("000000"&amp;$J1485,6))</f>
        <v/>
      </c>
      <c r="L1485">
        <f>IF($A1485="","",IF(Wages!$G1488="",0,Wages!$G1488))</f>
        <v/>
      </c>
      <c r="M1485">
        <f>IF($A1485="","",Wages!$J1488)</f>
        <v/>
      </c>
      <c r="N1485">
        <f>IF($A1485="","",Wages!$D1488)</f>
        <v/>
      </c>
      <c r="P1485">
        <f>IF(OR(Shares!$B1488="",Shares!$C1488=""),"",Shares!$C1488)</f>
        <v/>
      </c>
      <c r="Q1485">
        <f>IF($P1485="","",Shares!$B1488)</f>
        <v/>
      </c>
      <c r="R1485">
        <f>IF($P1485="","",IFERROR(INDEX(WageParty,MATCH($Q1485,WageIds,0)),""))</f>
        <v/>
      </c>
      <c r="S1485">
        <f>IF($P1485="","",IFERROR(INDEX($F$6:$F$2005,MATCH($Q1485,WageIds,0)),""))</f>
        <v/>
      </c>
      <c r="T1485">
        <f>IF(OR($P1485="",$S1485="",$S1485="نامعتبر"),"",LEFT($S1485,4)&amp;MID($S1485,6,2)&amp;RIGHT($S1485,2)&amp;"0000"&amp;"|"&amp;"2"&amp;RIGHT("00000"&amp;1480,5))</f>
        <v/>
      </c>
      <c r="U1485">
        <f>IF($T1485="","",COUNTIFS(LdAParty,$P1485,LdAType,1,LdAKey,"&lt;"&amp;$T1485)+COUNTIFS(LdBMember,$P1485,LdBKey,"&lt;"&amp;$T1485)+COUNTIFS(LdCParty,$P1485,LdCKey,"&lt;"&amp;$T1485)+1)</f>
        <v/>
      </c>
      <c r="V1485">
        <f>IF($U1485="","",$P1485&amp;"|"&amp;RIGHT("000000"&amp;$U1485,6))</f>
        <v/>
      </c>
      <c r="W1485">
        <f>IF($T1485="","",COUNTIFS(LdBGroup,$R1485,LdBKey,"&lt;"&amp;$T1485)+1)</f>
        <v/>
      </c>
      <c r="X1485">
        <f>IF($W1485="","",$R1485&amp;"|"&amp;RIGHT("000000"&amp;$W1485,6))</f>
        <v/>
      </c>
      <c r="Y1485">
        <f>IF($P1485="","",IF(Shares!$E1488="",0,Shares!$E1488))</f>
        <v/>
      </c>
      <c r="Z1485">
        <f>IF($P1485="","",Shares!$H1488)</f>
        <v/>
      </c>
      <c r="AE1485">
        <f>IF(OR(Sync!$S1485="",Sync!$P1485=""),"",Sync!$S1485)</f>
        <v/>
      </c>
      <c r="AF1485">
        <f>IF($AE1485="","",IF(ISNUMBER(Sync!$P1485),IF(AND(Sync!$P1485&gt;=10000101,Sync!$P1485&lt;=99991231),INT(Sync!$P1485/10000),""),IFERROR(VALUE(TRIM(LEFT(Sync!$P1485,FIND("/",Sync!$P1485)-1))),"")))</f>
        <v/>
      </c>
      <c r="AG1485">
        <f>IF(OR($AE1485="",$AF1485=""),"",IF(ISNUMBER(Sync!$P1485),INT(MOD(Sync!$P1485,10000)/100),IFERROR(VALUE(TRIM(LEFT(MID(Sync!$P1485,FIND("/",Sync!$P1485)+1,20),FIND("/",MID(Sync!$P1485,FIND("/",Sync!$P1485)+1,20))-1))),"")))</f>
        <v/>
      </c>
      <c r="AH1485">
        <f>IF(OR($AE1485="",$AF1485=""),"",IF(ISNUMBER(Sync!$P1485),MOD(Sync!$P1485,100),IFERROR(VALUE(TRIM(MID(MID(Sync!$P1485,FIND("/",Sync!$P1485)+1,20),FIND("/",MID(Sync!$P1485,FIND("/",Sync!$P1485)+1,20))+1,20))),"")))</f>
        <v/>
      </c>
      <c r="AI1485">
        <f>IF($AE1485="","",IF(OR($AF1485="",$AG1485="",$AH1485="",$AF1485&lt;1300,$AF1485&gt;1500,$AG1485&lt;1,$AG1485&gt;12,$AH1485&lt;1,$AH1485&gt;31),"نامعتبر",RIGHT("0000"&amp;$AF1485,4)&amp;"/"&amp;RIGHT("00"&amp;$AG1485,2)&amp;"/"&amp;RIGHT("00"&amp;$AH1485,2)))</f>
        <v/>
      </c>
      <c r="AJ1485">
        <f>IF($AE1485="","",IF(Sync!$Q1485="","0000",IF(AND(ISNUMBER(Sync!$Q1485),Sync!$Q1485&gt;=0,Sync!$Q1485&lt;1),RIGHT("00"&amp;HOUR(Sync!$Q1485),2)&amp;RIGHT("00"&amp;MINUTE(Sync!$Q1485),2),IFERROR(RIGHT("00"&amp;VALUE(LEFT(Sync!$Q1485,FIND(":",Sync!$Q1485)-1)),2)&amp;RIGHT("00"&amp;VALUE(MID(Sync!$Q1485,FIND(":",Sync!$Q1485)+1,2)),2),"0000"))))</f>
        <v/>
      </c>
      <c r="AK1485">
        <f>IF(OR($AE1485="",$AI1485="",$AI1485="نامعتبر"),"",LEFT($AI1485,4)&amp;MID($AI1485,6,2)&amp;RIGHT($AI1485,2)&amp;$AJ1485&amp;"|"&amp;"3"&amp;RIGHT("00000"&amp;1480,5))</f>
        <v/>
      </c>
      <c r="AL1485">
        <f>IF($AK1485="","",COUNTIFS(LdAParty,$AE1485,LdAType,1,LdAKey,"&lt;"&amp;$AK1485)+COUNTIFS(LdBMember,$AE1485,LdBKey,"&lt;"&amp;$AK1485)+COUNTIFS(LdCParty,$AE1485,LdCKey,"&lt;"&amp;$AK1485)+1)</f>
        <v/>
      </c>
      <c r="AM1485">
        <f>IF($AL1485="","",$AE1485&amp;"|"&amp;RIGHT("000000"&amp;$AL1485,6))</f>
        <v/>
      </c>
      <c r="AN1485">
        <f>IF($AE1485="","",IF(Sync!$W1485="",0,Sync!$W1485))</f>
        <v/>
      </c>
      <c r="AO1485">
        <f>IF($AE1485="","",IF(Sync!$X1485="",0,Sync!$X1485))</f>
        <v/>
      </c>
      <c r="AP1485">
        <f>IF($AE1485="","",Sync!$R1485)</f>
        <v/>
      </c>
      <c r="AQ1485">
        <f>IF($AE1485="","",Sync!$Y1485)</f>
        <v/>
      </c>
    </row>
    <row r="1486">
      <c r="A1486">
        <f>IF(OR(Wages!$B1489="",Wages!$E1489=""),"",Wages!$E1489)</f>
        <v/>
      </c>
      <c r="B1486">
        <f>IF($A1486="","",IF(Wages!$C1489="دستمزد گروهی",2,1))</f>
        <v/>
      </c>
      <c r="C1486">
        <f>IF($A1486="","",IF(ISNUMBER(Wages!$B1489),IF(AND(Wages!$B1489&gt;=10000101,Wages!$B1489&lt;=99991231),INT(Wages!$B1489/10000),""),IFERROR(VALUE(TRIM(LEFT(Wages!$B1489,FIND("/",Wages!$B1489)-1))),"")))</f>
        <v/>
      </c>
      <c r="D1486">
        <f>IF(OR($A1486="",$C1486=""),"",IF(ISNUMBER(Wages!$B1489),INT(MOD(Wages!$B1489,10000)/100),IFERROR(VALUE(TRIM(LEFT(MID(Wages!$B1489,FIND("/",Wages!$B1489)+1,20),FIND("/",MID(Wages!$B1489,FIND("/",Wages!$B1489)+1,20))-1))),"")))</f>
        <v/>
      </c>
      <c r="E1486">
        <f>IF(OR($A1486="",$C1486=""),"",IF(ISNUMBER(Wages!$B1489),MOD(Wages!$B1489,100),IFERROR(VALUE(TRIM(MID(MID(Wages!$B1489,FIND("/",Wages!$B1489)+1,20),FIND("/",MID(Wages!$B1489,FIND("/",Wages!$B1489)+1,20))+1,20))),"")))</f>
        <v/>
      </c>
      <c r="F1486">
        <f>IF($A1486="","",IF(OR($C1486="",$D1486="",$E1486="",$C1486&lt;1300,$C1486&gt;1500,$D1486&lt;1,$D1486&gt;12,$E1486&lt;1,$E1486&gt;31),"نامعتبر",RIGHT("0000"&amp;$C1486,4)&amp;"/"&amp;RIGHT("00"&amp;$D1486,2)&amp;"/"&amp;RIGHT("00"&amp;$E1486,2)))</f>
        <v/>
      </c>
      <c r="G1486">
        <f>IF(OR($A1486="",$F1486="",$F1486="نامعتبر"),"",LEFT($F1486,4)&amp;MID($F1486,6,2)&amp;RIGHT($F1486,2)&amp;"0000"&amp;"|"&amp;"1"&amp;RIGHT("00000"&amp;1481,5))</f>
        <v/>
      </c>
      <c r="H1486">
        <f>IF(OR($B1486&lt;&gt;1,$G1486=""),"",COUNTIFS(LdAParty,$A1486,LdAType,1,LdAKey,"&lt;"&amp;$G1486)+COUNTIFS(LdBMember,$A1486,LdBKey,"&lt;"&amp;$G1486)+COUNTIFS(LdCParty,$A1486,LdCKey,"&lt;"&amp;$G1486)+1)</f>
        <v/>
      </c>
      <c r="I1486">
        <f>IF($H1486="","",$A1486&amp;"|"&amp;RIGHT("000000"&amp;$H1486,6))</f>
        <v/>
      </c>
      <c r="J1486">
        <f>IF(OR($B1486&lt;&gt;2,$G1486=""),"",COUNTIFS(LdAParty,$A1486,LdAType,2,LdAKey,"&lt;"&amp;$G1486)+1)</f>
        <v/>
      </c>
      <c r="K1486">
        <f>IF($J1486="","",$A1486&amp;"|"&amp;RIGHT("000000"&amp;$J1486,6))</f>
        <v/>
      </c>
      <c r="L1486">
        <f>IF($A1486="","",IF(Wages!$G1489="",0,Wages!$G1489))</f>
        <v/>
      </c>
      <c r="M1486">
        <f>IF($A1486="","",Wages!$J1489)</f>
        <v/>
      </c>
      <c r="N1486">
        <f>IF($A1486="","",Wages!$D1489)</f>
        <v/>
      </c>
      <c r="P1486">
        <f>IF(OR(Shares!$B1489="",Shares!$C1489=""),"",Shares!$C1489)</f>
        <v/>
      </c>
      <c r="Q1486">
        <f>IF($P1486="","",Shares!$B1489)</f>
        <v/>
      </c>
      <c r="R1486">
        <f>IF($P1486="","",IFERROR(INDEX(WageParty,MATCH($Q1486,WageIds,0)),""))</f>
        <v/>
      </c>
      <c r="S1486">
        <f>IF($P1486="","",IFERROR(INDEX($F$6:$F$2005,MATCH($Q1486,WageIds,0)),""))</f>
        <v/>
      </c>
      <c r="T1486">
        <f>IF(OR($P1486="",$S1486="",$S1486="نامعتبر"),"",LEFT($S1486,4)&amp;MID($S1486,6,2)&amp;RIGHT($S1486,2)&amp;"0000"&amp;"|"&amp;"2"&amp;RIGHT("00000"&amp;1481,5))</f>
        <v/>
      </c>
      <c r="U1486">
        <f>IF($T1486="","",COUNTIFS(LdAParty,$P1486,LdAType,1,LdAKey,"&lt;"&amp;$T1486)+COUNTIFS(LdBMember,$P1486,LdBKey,"&lt;"&amp;$T1486)+COUNTIFS(LdCParty,$P1486,LdCKey,"&lt;"&amp;$T1486)+1)</f>
        <v/>
      </c>
      <c r="V1486">
        <f>IF($U1486="","",$P1486&amp;"|"&amp;RIGHT("000000"&amp;$U1486,6))</f>
        <v/>
      </c>
      <c r="W1486">
        <f>IF($T1486="","",COUNTIFS(LdBGroup,$R1486,LdBKey,"&lt;"&amp;$T1486)+1)</f>
        <v/>
      </c>
      <c r="X1486">
        <f>IF($W1486="","",$R1486&amp;"|"&amp;RIGHT("000000"&amp;$W1486,6))</f>
        <v/>
      </c>
      <c r="Y1486">
        <f>IF($P1486="","",IF(Shares!$E1489="",0,Shares!$E1489))</f>
        <v/>
      </c>
      <c r="Z1486">
        <f>IF($P1486="","",Shares!$H1489)</f>
        <v/>
      </c>
      <c r="AE1486">
        <f>IF(OR(Sync!$S1486="",Sync!$P1486=""),"",Sync!$S1486)</f>
        <v/>
      </c>
      <c r="AF1486">
        <f>IF($AE1486="","",IF(ISNUMBER(Sync!$P1486),IF(AND(Sync!$P1486&gt;=10000101,Sync!$P1486&lt;=99991231),INT(Sync!$P1486/10000),""),IFERROR(VALUE(TRIM(LEFT(Sync!$P1486,FIND("/",Sync!$P1486)-1))),"")))</f>
        <v/>
      </c>
      <c r="AG1486">
        <f>IF(OR($AE1486="",$AF1486=""),"",IF(ISNUMBER(Sync!$P1486),INT(MOD(Sync!$P1486,10000)/100),IFERROR(VALUE(TRIM(LEFT(MID(Sync!$P1486,FIND("/",Sync!$P1486)+1,20),FIND("/",MID(Sync!$P1486,FIND("/",Sync!$P1486)+1,20))-1))),"")))</f>
        <v/>
      </c>
      <c r="AH1486">
        <f>IF(OR($AE1486="",$AF1486=""),"",IF(ISNUMBER(Sync!$P1486),MOD(Sync!$P1486,100),IFERROR(VALUE(TRIM(MID(MID(Sync!$P1486,FIND("/",Sync!$P1486)+1,20),FIND("/",MID(Sync!$P1486,FIND("/",Sync!$P1486)+1,20))+1,20))),"")))</f>
        <v/>
      </c>
      <c r="AI1486">
        <f>IF($AE1486="","",IF(OR($AF1486="",$AG1486="",$AH1486="",$AF1486&lt;1300,$AF1486&gt;1500,$AG1486&lt;1,$AG1486&gt;12,$AH1486&lt;1,$AH1486&gt;31),"نامعتبر",RIGHT("0000"&amp;$AF1486,4)&amp;"/"&amp;RIGHT("00"&amp;$AG1486,2)&amp;"/"&amp;RIGHT("00"&amp;$AH1486,2)))</f>
        <v/>
      </c>
      <c r="AJ1486">
        <f>IF($AE1486="","",IF(Sync!$Q1486="","0000",IF(AND(ISNUMBER(Sync!$Q1486),Sync!$Q1486&gt;=0,Sync!$Q1486&lt;1),RIGHT("00"&amp;HOUR(Sync!$Q1486),2)&amp;RIGHT("00"&amp;MINUTE(Sync!$Q1486),2),IFERROR(RIGHT("00"&amp;VALUE(LEFT(Sync!$Q1486,FIND(":",Sync!$Q1486)-1)),2)&amp;RIGHT("00"&amp;VALUE(MID(Sync!$Q1486,FIND(":",Sync!$Q1486)+1,2)),2),"0000"))))</f>
        <v/>
      </c>
      <c r="AK1486">
        <f>IF(OR($AE1486="",$AI1486="",$AI1486="نامعتبر"),"",LEFT($AI1486,4)&amp;MID($AI1486,6,2)&amp;RIGHT($AI1486,2)&amp;$AJ1486&amp;"|"&amp;"3"&amp;RIGHT("00000"&amp;1481,5))</f>
        <v/>
      </c>
      <c r="AL1486">
        <f>IF($AK1486="","",COUNTIFS(LdAParty,$AE1486,LdAType,1,LdAKey,"&lt;"&amp;$AK1486)+COUNTIFS(LdBMember,$AE1486,LdBKey,"&lt;"&amp;$AK1486)+COUNTIFS(LdCParty,$AE1486,LdCKey,"&lt;"&amp;$AK1486)+1)</f>
        <v/>
      </c>
      <c r="AM1486">
        <f>IF($AL1486="","",$AE1486&amp;"|"&amp;RIGHT("000000"&amp;$AL1486,6))</f>
        <v/>
      </c>
      <c r="AN1486">
        <f>IF($AE1486="","",IF(Sync!$W1486="",0,Sync!$W1486))</f>
        <v/>
      </c>
      <c r="AO1486">
        <f>IF($AE1486="","",IF(Sync!$X1486="",0,Sync!$X1486))</f>
        <v/>
      </c>
      <c r="AP1486">
        <f>IF($AE1486="","",Sync!$R1486)</f>
        <v/>
      </c>
      <c r="AQ1486">
        <f>IF($AE1486="","",Sync!$Y1486)</f>
        <v/>
      </c>
    </row>
    <row r="1487">
      <c r="A1487">
        <f>IF(OR(Wages!$B1490="",Wages!$E1490=""),"",Wages!$E1490)</f>
        <v/>
      </c>
      <c r="B1487">
        <f>IF($A1487="","",IF(Wages!$C1490="دستمزد گروهی",2,1))</f>
        <v/>
      </c>
      <c r="C1487">
        <f>IF($A1487="","",IF(ISNUMBER(Wages!$B1490),IF(AND(Wages!$B1490&gt;=10000101,Wages!$B1490&lt;=99991231),INT(Wages!$B1490/10000),""),IFERROR(VALUE(TRIM(LEFT(Wages!$B1490,FIND("/",Wages!$B1490)-1))),"")))</f>
        <v/>
      </c>
      <c r="D1487">
        <f>IF(OR($A1487="",$C1487=""),"",IF(ISNUMBER(Wages!$B1490),INT(MOD(Wages!$B1490,10000)/100),IFERROR(VALUE(TRIM(LEFT(MID(Wages!$B1490,FIND("/",Wages!$B1490)+1,20),FIND("/",MID(Wages!$B1490,FIND("/",Wages!$B1490)+1,20))-1))),"")))</f>
        <v/>
      </c>
      <c r="E1487">
        <f>IF(OR($A1487="",$C1487=""),"",IF(ISNUMBER(Wages!$B1490),MOD(Wages!$B1490,100),IFERROR(VALUE(TRIM(MID(MID(Wages!$B1490,FIND("/",Wages!$B1490)+1,20),FIND("/",MID(Wages!$B1490,FIND("/",Wages!$B1490)+1,20))+1,20))),"")))</f>
        <v/>
      </c>
      <c r="F1487">
        <f>IF($A1487="","",IF(OR($C1487="",$D1487="",$E1487="",$C1487&lt;1300,$C1487&gt;1500,$D1487&lt;1,$D1487&gt;12,$E1487&lt;1,$E1487&gt;31),"نامعتبر",RIGHT("0000"&amp;$C1487,4)&amp;"/"&amp;RIGHT("00"&amp;$D1487,2)&amp;"/"&amp;RIGHT("00"&amp;$E1487,2)))</f>
        <v/>
      </c>
      <c r="G1487">
        <f>IF(OR($A1487="",$F1487="",$F1487="نامعتبر"),"",LEFT($F1487,4)&amp;MID($F1487,6,2)&amp;RIGHT($F1487,2)&amp;"0000"&amp;"|"&amp;"1"&amp;RIGHT("00000"&amp;1482,5))</f>
        <v/>
      </c>
      <c r="H1487">
        <f>IF(OR($B1487&lt;&gt;1,$G1487=""),"",COUNTIFS(LdAParty,$A1487,LdAType,1,LdAKey,"&lt;"&amp;$G1487)+COUNTIFS(LdBMember,$A1487,LdBKey,"&lt;"&amp;$G1487)+COUNTIFS(LdCParty,$A1487,LdCKey,"&lt;"&amp;$G1487)+1)</f>
        <v/>
      </c>
      <c r="I1487">
        <f>IF($H1487="","",$A1487&amp;"|"&amp;RIGHT("000000"&amp;$H1487,6))</f>
        <v/>
      </c>
      <c r="J1487">
        <f>IF(OR($B1487&lt;&gt;2,$G1487=""),"",COUNTIFS(LdAParty,$A1487,LdAType,2,LdAKey,"&lt;"&amp;$G1487)+1)</f>
        <v/>
      </c>
      <c r="K1487">
        <f>IF($J1487="","",$A1487&amp;"|"&amp;RIGHT("000000"&amp;$J1487,6))</f>
        <v/>
      </c>
      <c r="L1487">
        <f>IF($A1487="","",IF(Wages!$G1490="",0,Wages!$G1490))</f>
        <v/>
      </c>
      <c r="M1487">
        <f>IF($A1487="","",Wages!$J1490)</f>
        <v/>
      </c>
      <c r="N1487">
        <f>IF($A1487="","",Wages!$D1490)</f>
        <v/>
      </c>
      <c r="P1487">
        <f>IF(OR(Shares!$B1490="",Shares!$C1490=""),"",Shares!$C1490)</f>
        <v/>
      </c>
      <c r="Q1487">
        <f>IF($P1487="","",Shares!$B1490)</f>
        <v/>
      </c>
      <c r="R1487">
        <f>IF($P1487="","",IFERROR(INDEX(WageParty,MATCH($Q1487,WageIds,0)),""))</f>
        <v/>
      </c>
      <c r="S1487">
        <f>IF($P1487="","",IFERROR(INDEX($F$6:$F$2005,MATCH($Q1487,WageIds,0)),""))</f>
        <v/>
      </c>
      <c r="T1487">
        <f>IF(OR($P1487="",$S1487="",$S1487="نامعتبر"),"",LEFT($S1487,4)&amp;MID($S1487,6,2)&amp;RIGHT($S1487,2)&amp;"0000"&amp;"|"&amp;"2"&amp;RIGHT("00000"&amp;1482,5))</f>
        <v/>
      </c>
      <c r="U1487">
        <f>IF($T1487="","",COUNTIFS(LdAParty,$P1487,LdAType,1,LdAKey,"&lt;"&amp;$T1487)+COUNTIFS(LdBMember,$P1487,LdBKey,"&lt;"&amp;$T1487)+COUNTIFS(LdCParty,$P1487,LdCKey,"&lt;"&amp;$T1487)+1)</f>
        <v/>
      </c>
      <c r="V1487">
        <f>IF($U1487="","",$P1487&amp;"|"&amp;RIGHT("000000"&amp;$U1487,6))</f>
        <v/>
      </c>
      <c r="W1487">
        <f>IF($T1487="","",COUNTIFS(LdBGroup,$R1487,LdBKey,"&lt;"&amp;$T1487)+1)</f>
        <v/>
      </c>
      <c r="X1487">
        <f>IF($W1487="","",$R1487&amp;"|"&amp;RIGHT("000000"&amp;$W1487,6))</f>
        <v/>
      </c>
      <c r="Y1487">
        <f>IF($P1487="","",IF(Shares!$E1490="",0,Shares!$E1490))</f>
        <v/>
      </c>
      <c r="Z1487">
        <f>IF($P1487="","",Shares!$H1490)</f>
        <v/>
      </c>
      <c r="AE1487">
        <f>IF(OR(Sync!$S1487="",Sync!$P1487=""),"",Sync!$S1487)</f>
        <v/>
      </c>
      <c r="AF1487">
        <f>IF($AE1487="","",IF(ISNUMBER(Sync!$P1487),IF(AND(Sync!$P1487&gt;=10000101,Sync!$P1487&lt;=99991231),INT(Sync!$P1487/10000),""),IFERROR(VALUE(TRIM(LEFT(Sync!$P1487,FIND("/",Sync!$P1487)-1))),"")))</f>
        <v/>
      </c>
      <c r="AG1487">
        <f>IF(OR($AE1487="",$AF1487=""),"",IF(ISNUMBER(Sync!$P1487),INT(MOD(Sync!$P1487,10000)/100),IFERROR(VALUE(TRIM(LEFT(MID(Sync!$P1487,FIND("/",Sync!$P1487)+1,20),FIND("/",MID(Sync!$P1487,FIND("/",Sync!$P1487)+1,20))-1))),"")))</f>
        <v/>
      </c>
      <c r="AH1487">
        <f>IF(OR($AE1487="",$AF1487=""),"",IF(ISNUMBER(Sync!$P1487),MOD(Sync!$P1487,100),IFERROR(VALUE(TRIM(MID(MID(Sync!$P1487,FIND("/",Sync!$P1487)+1,20),FIND("/",MID(Sync!$P1487,FIND("/",Sync!$P1487)+1,20))+1,20))),"")))</f>
        <v/>
      </c>
      <c r="AI1487">
        <f>IF($AE1487="","",IF(OR($AF1487="",$AG1487="",$AH1487="",$AF1487&lt;1300,$AF1487&gt;1500,$AG1487&lt;1,$AG1487&gt;12,$AH1487&lt;1,$AH1487&gt;31),"نامعتبر",RIGHT("0000"&amp;$AF1487,4)&amp;"/"&amp;RIGHT("00"&amp;$AG1487,2)&amp;"/"&amp;RIGHT("00"&amp;$AH1487,2)))</f>
        <v/>
      </c>
      <c r="AJ1487">
        <f>IF($AE1487="","",IF(Sync!$Q1487="","0000",IF(AND(ISNUMBER(Sync!$Q1487),Sync!$Q1487&gt;=0,Sync!$Q1487&lt;1),RIGHT("00"&amp;HOUR(Sync!$Q1487),2)&amp;RIGHT("00"&amp;MINUTE(Sync!$Q1487),2),IFERROR(RIGHT("00"&amp;VALUE(LEFT(Sync!$Q1487,FIND(":",Sync!$Q1487)-1)),2)&amp;RIGHT("00"&amp;VALUE(MID(Sync!$Q1487,FIND(":",Sync!$Q1487)+1,2)),2),"0000"))))</f>
        <v/>
      </c>
      <c r="AK1487">
        <f>IF(OR($AE1487="",$AI1487="",$AI1487="نامعتبر"),"",LEFT($AI1487,4)&amp;MID($AI1487,6,2)&amp;RIGHT($AI1487,2)&amp;$AJ1487&amp;"|"&amp;"3"&amp;RIGHT("00000"&amp;1482,5))</f>
        <v/>
      </c>
      <c r="AL1487">
        <f>IF($AK1487="","",COUNTIFS(LdAParty,$AE1487,LdAType,1,LdAKey,"&lt;"&amp;$AK1487)+COUNTIFS(LdBMember,$AE1487,LdBKey,"&lt;"&amp;$AK1487)+COUNTIFS(LdCParty,$AE1487,LdCKey,"&lt;"&amp;$AK1487)+1)</f>
        <v/>
      </c>
      <c r="AM1487">
        <f>IF($AL1487="","",$AE1487&amp;"|"&amp;RIGHT("000000"&amp;$AL1487,6))</f>
        <v/>
      </c>
      <c r="AN1487">
        <f>IF($AE1487="","",IF(Sync!$W1487="",0,Sync!$W1487))</f>
        <v/>
      </c>
      <c r="AO1487">
        <f>IF($AE1487="","",IF(Sync!$X1487="",0,Sync!$X1487))</f>
        <v/>
      </c>
      <c r="AP1487">
        <f>IF($AE1487="","",Sync!$R1487)</f>
        <v/>
      </c>
      <c r="AQ1487">
        <f>IF($AE1487="","",Sync!$Y1487)</f>
        <v/>
      </c>
    </row>
    <row r="1488">
      <c r="A1488">
        <f>IF(OR(Wages!$B1491="",Wages!$E1491=""),"",Wages!$E1491)</f>
        <v/>
      </c>
      <c r="B1488">
        <f>IF($A1488="","",IF(Wages!$C1491="دستمزد گروهی",2,1))</f>
        <v/>
      </c>
      <c r="C1488">
        <f>IF($A1488="","",IF(ISNUMBER(Wages!$B1491),IF(AND(Wages!$B1491&gt;=10000101,Wages!$B1491&lt;=99991231),INT(Wages!$B1491/10000),""),IFERROR(VALUE(TRIM(LEFT(Wages!$B1491,FIND("/",Wages!$B1491)-1))),"")))</f>
        <v/>
      </c>
      <c r="D1488">
        <f>IF(OR($A1488="",$C1488=""),"",IF(ISNUMBER(Wages!$B1491),INT(MOD(Wages!$B1491,10000)/100),IFERROR(VALUE(TRIM(LEFT(MID(Wages!$B1491,FIND("/",Wages!$B1491)+1,20),FIND("/",MID(Wages!$B1491,FIND("/",Wages!$B1491)+1,20))-1))),"")))</f>
        <v/>
      </c>
      <c r="E1488">
        <f>IF(OR($A1488="",$C1488=""),"",IF(ISNUMBER(Wages!$B1491),MOD(Wages!$B1491,100),IFERROR(VALUE(TRIM(MID(MID(Wages!$B1491,FIND("/",Wages!$B1491)+1,20),FIND("/",MID(Wages!$B1491,FIND("/",Wages!$B1491)+1,20))+1,20))),"")))</f>
        <v/>
      </c>
      <c r="F1488">
        <f>IF($A1488="","",IF(OR($C1488="",$D1488="",$E1488="",$C1488&lt;1300,$C1488&gt;1500,$D1488&lt;1,$D1488&gt;12,$E1488&lt;1,$E1488&gt;31),"نامعتبر",RIGHT("0000"&amp;$C1488,4)&amp;"/"&amp;RIGHT("00"&amp;$D1488,2)&amp;"/"&amp;RIGHT("00"&amp;$E1488,2)))</f>
        <v/>
      </c>
      <c r="G1488">
        <f>IF(OR($A1488="",$F1488="",$F1488="نامعتبر"),"",LEFT($F1488,4)&amp;MID($F1488,6,2)&amp;RIGHT($F1488,2)&amp;"0000"&amp;"|"&amp;"1"&amp;RIGHT("00000"&amp;1483,5))</f>
        <v/>
      </c>
      <c r="H1488">
        <f>IF(OR($B1488&lt;&gt;1,$G1488=""),"",COUNTIFS(LdAParty,$A1488,LdAType,1,LdAKey,"&lt;"&amp;$G1488)+COUNTIFS(LdBMember,$A1488,LdBKey,"&lt;"&amp;$G1488)+COUNTIFS(LdCParty,$A1488,LdCKey,"&lt;"&amp;$G1488)+1)</f>
        <v/>
      </c>
      <c r="I1488">
        <f>IF($H1488="","",$A1488&amp;"|"&amp;RIGHT("000000"&amp;$H1488,6))</f>
        <v/>
      </c>
      <c r="J1488">
        <f>IF(OR($B1488&lt;&gt;2,$G1488=""),"",COUNTIFS(LdAParty,$A1488,LdAType,2,LdAKey,"&lt;"&amp;$G1488)+1)</f>
        <v/>
      </c>
      <c r="K1488">
        <f>IF($J1488="","",$A1488&amp;"|"&amp;RIGHT("000000"&amp;$J1488,6))</f>
        <v/>
      </c>
      <c r="L1488">
        <f>IF($A1488="","",IF(Wages!$G1491="",0,Wages!$G1491))</f>
        <v/>
      </c>
      <c r="M1488">
        <f>IF($A1488="","",Wages!$J1491)</f>
        <v/>
      </c>
      <c r="N1488">
        <f>IF($A1488="","",Wages!$D1491)</f>
        <v/>
      </c>
      <c r="P1488">
        <f>IF(OR(Shares!$B1491="",Shares!$C1491=""),"",Shares!$C1491)</f>
        <v/>
      </c>
      <c r="Q1488">
        <f>IF($P1488="","",Shares!$B1491)</f>
        <v/>
      </c>
      <c r="R1488">
        <f>IF($P1488="","",IFERROR(INDEX(WageParty,MATCH($Q1488,WageIds,0)),""))</f>
        <v/>
      </c>
      <c r="S1488">
        <f>IF($P1488="","",IFERROR(INDEX($F$6:$F$2005,MATCH($Q1488,WageIds,0)),""))</f>
        <v/>
      </c>
      <c r="T1488">
        <f>IF(OR($P1488="",$S1488="",$S1488="نامعتبر"),"",LEFT($S1488,4)&amp;MID($S1488,6,2)&amp;RIGHT($S1488,2)&amp;"0000"&amp;"|"&amp;"2"&amp;RIGHT("00000"&amp;1483,5))</f>
        <v/>
      </c>
      <c r="U1488">
        <f>IF($T1488="","",COUNTIFS(LdAParty,$P1488,LdAType,1,LdAKey,"&lt;"&amp;$T1488)+COUNTIFS(LdBMember,$P1488,LdBKey,"&lt;"&amp;$T1488)+COUNTIFS(LdCParty,$P1488,LdCKey,"&lt;"&amp;$T1488)+1)</f>
        <v/>
      </c>
      <c r="V1488">
        <f>IF($U1488="","",$P1488&amp;"|"&amp;RIGHT("000000"&amp;$U1488,6))</f>
        <v/>
      </c>
      <c r="W1488">
        <f>IF($T1488="","",COUNTIFS(LdBGroup,$R1488,LdBKey,"&lt;"&amp;$T1488)+1)</f>
        <v/>
      </c>
      <c r="X1488">
        <f>IF($W1488="","",$R1488&amp;"|"&amp;RIGHT("000000"&amp;$W1488,6))</f>
        <v/>
      </c>
      <c r="Y1488">
        <f>IF($P1488="","",IF(Shares!$E1491="",0,Shares!$E1491))</f>
        <v/>
      </c>
      <c r="Z1488">
        <f>IF($P1488="","",Shares!$H1491)</f>
        <v/>
      </c>
      <c r="AE1488">
        <f>IF(OR(Sync!$S1488="",Sync!$P1488=""),"",Sync!$S1488)</f>
        <v/>
      </c>
      <c r="AF1488">
        <f>IF($AE1488="","",IF(ISNUMBER(Sync!$P1488),IF(AND(Sync!$P1488&gt;=10000101,Sync!$P1488&lt;=99991231),INT(Sync!$P1488/10000),""),IFERROR(VALUE(TRIM(LEFT(Sync!$P1488,FIND("/",Sync!$P1488)-1))),"")))</f>
        <v/>
      </c>
      <c r="AG1488">
        <f>IF(OR($AE1488="",$AF1488=""),"",IF(ISNUMBER(Sync!$P1488),INT(MOD(Sync!$P1488,10000)/100),IFERROR(VALUE(TRIM(LEFT(MID(Sync!$P1488,FIND("/",Sync!$P1488)+1,20),FIND("/",MID(Sync!$P1488,FIND("/",Sync!$P1488)+1,20))-1))),"")))</f>
        <v/>
      </c>
      <c r="AH1488">
        <f>IF(OR($AE1488="",$AF1488=""),"",IF(ISNUMBER(Sync!$P1488),MOD(Sync!$P1488,100),IFERROR(VALUE(TRIM(MID(MID(Sync!$P1488,FIND("/",Sync!$P1488)+1,20),FIND("/",MID(Sync!$P1488,FIND("/",Sync!$P1488)+1,20))+1,20))),"")))</f>
        <v/>
      </c>
      <c r="AI1488">
        <f>IF($AE1488="","",IF(OR($AF1488="",$AG1488="",$AH1488="",$AF1488&lt;1300,$AF1488&gt;1500,$AG1488&lt;1,$AG1488&gt;12,$AH1488&lt;1,$AH1488&gt;31),"نامعتبر",RIGHT("0000"&amp;$AF1488,4)&amp;"/"&amp;RIGHT("00"&amp;$AG1488,2)&amp;"/"&amp;RIGHT("00"&amp;$AH1488,2)))</f>
        <v/>
      </c>
      <c r="AJ1488">
        <f>IF($AE1488="","",IF(Sync!$Q1488="","0000",IF(AND(ISNUMBER(Sync!$Q1488),Sync!$Q1488&gt;=0,Sync!$Q1488&lt;1),RIGHT("00"&amp;HOUR(Sync!$Q1488),2)&amp;RIGHT("00"&amp;MINUTE(Sync!$Q1488),2),IFERROR(RIGHT("00"&amp;VALUE(LEFT(Sync!$Q1488,FIND(":",Sync!$Q1488)-1)),2)&amp;RIGHT("00"&amp;VALUE(MID(Sync!$Q1488,FIND(":",Sync!$Q1488)+1,2)),2),"0000"))))</f>
        <v/>
      </c>
      <c r="AK1488">
        <f>IF(OR($AE1488="",$AI1488="",$AI1488="نامعتبر"),"",LEFT($AI1488,4)&amp;MID($AI1488,6,2)&amp;RIGHT($AI1488,2)&amp;$AJ1488&amp;"|"&amp;"3"&amp;RIGHT("00000"&amp;1483,5))</f>
        <v/>
      </c>
      <c r="AL1488">
        <f>IF($AK1488="","",COUNTIFS(LdAParty,$AE1488,LdAType,1,LdAKey,"&lt;"&amp;$AK1488)+COUNTIFS(LdBMember,$AE1488,LdBKey,"&lt;"&amp;$AK1488)+COUNTIFS(LdCParty,$AE1488,LdCKey,"&lt;"&amp;$AK1488)+1)</f>
        <v/>
      </c>
      <c r="AM1488">
        <f>IF($AL1488="","",$AE1488&amp;"|"&amp;RIGHT("000000"&amp;$AL1488,6))</f>
        <v/>
      </c>
      <c r="AN1488">
        <f>IF($AE1488="","",IF(Sync!$W1488="",0,Sync!$W1488))</f>
        <v/>
      </c>
      <c r="AO1488">
        <f>IF($AE1488="","",IF(Sync!$X1488="",0,Sync!$X1488))</f>
        <v/>
      </c>
      <c r="AP1488">
        <f>IF($AE1488="","",Sync!$R1488)</f>
        <v/>
      </c>
      <c r="AQ1488">
        <f>IF($AE1488="","",Sync!$Y1488)</f>
        <v/>
      </c>
    </row>
    <row r="1489">
      <c r="A1489">
        <f>IF(OR(Wages!$B1492="",Wages!$E1492=""),"",Wages!$E1492)</f>
        <v/>
      </c>
      <c r="B1489">
        <f>IF($A1489="","",IF(Wages!$C1492="دستمزد گروهی",2,1))</f>
        <v/>
      </c>
      <c r="C1489">
        <f>IF($A1489="","",IF(ISNUMBER(Wages!$B1492),IF(AND(Wages!$B1492&gt;=10000101,Wages!$B1492&lt;=99991231),INT(Wages!$B1492/10000),""),IFERROR(VALUE(TRIM(LEFT(Wages!$B1492,FIND("/",Wages!$B1492)-1))),"")))</f>
        <v/>
      </c>
      <c r="D1489">
        <f>IF(OR($A1489="",$C1489=""),"",IF(ISNUMBER(Wages!$B1492),INT(MOD(Wages!$B1492,10000)/100),IFERROR(VALUE(TRIM(LEFT(MID(Wages!$B1492,FIND("/",Wages!$B1492)+1,20),FIND("/",MID(Wages!$B1492,FIND("/",Wages!$B1492)+1,20))-1))),"")))</f>
        <v/>
      </c>
      <c r="E1489">
        <f>IF(OR($A1489="",$C1489=""),"",IF(ISNUMBER(Wages!$B1492),MOD(Wages!$B1492,100),IFERROR(VALUE(TRIM(MID(MID(Wages!$B1492,FIND("/",Wages!$B1492)+1,20),FIND("/",MID(Wages!$B1492,FIND("/",Wages!$B1492)+1,20))+1,20))),"")))</f>
        <v/>
      </c>
      <c r="F1489">
        <f>IF($A1489="","",IF(OR($C1489="",$D1489="",$E1489="",$C1489&lt;1300,$C1489&gt;1500,$D1489&lt;1,$D1489&gt;12,$E1489&lt;1,$E1489&gt;31),"نامعتبر",RIGHT("0000"&amp;$C1489,4)&amp;"/"&amp;RIGHT("00"&amp;$D1489,2)&amp;"/"&amp;RIGHT("00"&amp;$E1489,2)))</f>
        <v/>
      </c>
      <c r="G1489">
        <f>IF(OR($A1489="",$F1489="",$F1489="نامعتبر"),"",LEFT($F1489,4)&amp;MID($F1489,6,2)&amp;RIGHT($F1489,2)&amp;"0000"&amp;"|"&amp;"1"&amp;RIGHT("00000"&amp;1484,5))</f>
        <v/>
      </c>
      <c r="H1489">
        <f>IF(OR($B1489&lt;&gt;1,$G1489=""),"",COUNTIFS(LdAParty,$A1489,LdAType,1,LdAKey,"&lt;"&amp;$G1489)+COUNTIFS(LdBMember,$A1489,LdBKey,"&lt;"&amp;$G1489)+COUNTIFS(LdCParty,$A1489,LdCKey,"&lt;"&amp;$G1489)+1)</f>
        <v/>
      </c>
      <c r="I1489">
        <f>IF($H1489="","",$A1489&amp;"|"&amp;RIGHT("000000"&amp;$H1489,6))</f>
        <v/>
      </c>
      <c r="J1489">
        <f>IF(OR($B1489&lt;&gt;2,$G1489=""),"",COUNTIFS(LdAParty,$A1489,LdAType,2,LdAKey,"&lt;"&amp;$G1489)+1)</f>
        <v/>
      </c>
      <c r="K1489">
        <f>IF($J1489="","",$A1489&amp;"|"&amp;RIGHT("000000"&amp;$J1489,6))</f>
        <v/>
      </c>
      <c r="L1489">
        <f>IF($A1489="","",IF(Wages!$G1492="",0,Wages!$G1492))</f>
        <v/>
      </c>
      <c r="M1489">
        <f>IF($A1489="","",Wages!$J1492)</f>
        <v/>
      </c>
      <c r="N1489">
        <f>IF($A1489="","",Wages!$D1492)</f>
        <v/>
      </c>
      <c r="P1489">
        <f>IF(OR(Shares!$B1492="",Shares!$C1492=""),"",Shares!$C1492)</f>
        <v/>
      </c>
      <c r="Q1489">
        <f>IF($P1489="","",Shares!$B1492)</f>
        <v/>
      </c>
      <c r="R1489">
        <f>IF($P1489="","",IFERROR(INDEX(WageParty,MATCH($Q1489,WageIds,0)),""))</f>
        <v/>
      </c>
      <c r="S1489">
        <f>IF($P1489="","",IFERROR(INDEX($F$6:$F$2005,MATCH($Q1489,WageIds,0)),""))</f>
        <v/>
      </c>
      <c r="T1489">
        <f>IF(OR($P1489="",$S1489="",$S1489="نامعتبر"),"",LEFT($S1489,4)&amp;MID($S1489,6,2)&amp;RIGHT($S1489,2)&amp;"0000"&amp;"|"&amp;"2"&amp;RIGHT("00000"&amp;1484,5))</f>
        <v/>
      </c>
      <c r="U1489">
        <f>IF($T1489="","",COUNTIFS(LdAParty,$P1489,LdAType,1,LdAKey,"&lt;"&amp;$T1489)+COUNTIFS(LdBMember,$P1489,LdBKey,"&lt;"&amp;$T1489)+COUNTIFS(LdCParty,$P1489,LdCKey,"&lt;"&amp;$T1489)+1)</f>
        <v/>
      </c>
      <c r="V1489">
        <f>IF($U1489="","",$P1489&amp;"|"&amp;RIGHT("000000"&amp;$U1489,6))</f>
        <v/>
      </c>
      <c r="W1489">
        <f>IF($T1489="","",COUNTIFS(LdBGroup,$R1489,LdBKey,"&lt;"&amp;$T1489)+1)</f>
        <v/>
      </c>
      <c r="X1489">
        <f>IF($W1489="","",$R1489&amp;"|"&amp;RIGHT("000000"&amp;$W1489,6))</f>
        <v/>
      </c>
      <c r="Y1489">
        <f>IF($P1489="","",IF(Shares!$E1492="",0,Shares!$E1492))</f>
        <v/>
      </c>
      <c r="Z1489">
        <f>IF($P1489="","",Shares!$H1492)</f>
        <v/>
      </c>
      <c r="AE1489">
        <f>IF(OR(Sync!$S1489="",Sync!$P1489=""),"",Sync!$S1489)</f>
        <v/>
      </c>
      <c r="AF1489">
        <f>IF($AE1489="","",IF(ISNUMBER(Sync!$P1489),IF(AND(Sync!$P1489&gt;=10000101,Sync!$P1489&lt;=99991231),INT(Sync!$P1489/10000),""),IFERROR(VALUE(TRIM(LEFT(Sync!$P1489,FIND("/",Sync!$P1489)-1))),"")))</f>
        <v/>
      </c>
      <c r="AG1489">
        <f>IF(OR($AE1489="",$AF1489=""),"",IF(ISNUMBER(Sync!$P1489),INT(MOD(Sync!$P1489,10000)/100),IFERROR(VALUE(TRIM(LEFT(MID(Sync!$P1489,FIND("/",Sync!$P1489)+1,20),FIND("/",MID(Sync!$P1489,FIND("/",Sync!$P1489)+1,20))-1))),"")))</f>
        <v/>
      </c>
      <c r="AH1489">
        <f>IF(OR($AE1489="",$AF1489=""),"",IF(ISNUMBER(Sync!$P1489),MOD(Sync!$P1489,100),IFERROR(VALUE(TRIM(MID(MID(Sync!$P1489,FIND("/",Sync!$P1489)+1,20),FIND("/",MID(Sync!$P1489,FIND("/",Sync!$P1489)+1,20))+1,20))),"")))</f>
        <v/>
      </c>
      <c r="AI1489">
        <f>IF($AE1489="","",IF(OR($AF1489="",$AG1489="",$AH1489="",$AF1489&lt;1300,$AF1489&gt;1500,$AG1489&lt;1,$AG1489&gt;12,$AH1489&lt;1,$AH1489&gt;31),"نامعتبر",RIGHT("0000"&amp;$AF1489,4)&amp;"/"&amp;RIGHT("00"&amp;$AG1489,2)&amp;"/"&amp;RIGHT("00"&amp;$AH1489,2)))</f>
        <v/>
      </c>
      <c r="AJ1489">
        <f>IF($AE1489="","",IF(Sync!$Q1489="","0000",IF(AND(ISNUMBER(Sync!$Q1489),Sync!$Q1489&gt;=0,Sync!$Q1489&lt;1),RIGHT("00"&amp;HOUR(Sync!$Q1489),2)&amp;RIGHT("00"&amp;MINUTE(Sync!$Q1489),2),IFERROR(RIGHT("00"&amp;VALUE(LEFT(Sync!$Q1489,FIND(":",Sync!$Q1489)-1)),2)&amp;RIGHT("00"&amp;VALUE(MID(Sync!$Q1489,FIND(":",Sync!$Q1489)+1,2)),2),"0000"))))</f>
        <v/>
      </c>
      <c r="AK1489">
        <f>IF(OR($AE1489="",$AI1489="",$AI1489="نامعتبر"),"",LEFT($AI1489,4)&amp;MID($AI1489,6,2)&amp;RIGHT($AI1489,2)&amp;$AJ1489&amp;"|"&amp;"3"&amp;RIGHT("00000"&amp;1484,5))</f>
        <v/>
      </c>
      <c r="AL1489">
        <f>IF($AK1489="","",COUNTIFS(LdAParty,$AE1489,LdAType,1,LdAKey,"&lt;"&amp;$AK1489)+COUNTIFS(LdBMember,$AE1489,LdBKey,"&lt;"&amp;$AK1489)+COUNTIFS(LdCParty,$AE1489,LdCKey,"&lt;"&amp;$AK1489)+1)</f>
        <v/>
      </c>
      <c r="AM1489">
        <f>IF($AL1489="","",$AE1489&amp;"|"&amp;RIGHT("000000"&amp;$AL1489,6))</f>
        <v/>
      </c>
      <c r="AN1489">
        <f>IF($AE1489="","",IF(Sync!$W1489="",0,Sync!$W1489))</f>
        <v/>
      </c>
      <c r="AO1489">
        <f>IF($AE1489="","",IF(Sync!$X1489="",0,Sync!$X1489))</f>
        <v/>
      </c>
      <c r="AP1489">
        <f>IF($AE1489="","",Sync!$R1489)</f>
        <v/>
      </c>
      <c r="AQ1489">
        <f>IF($AE1489="","",Sync!$Y1489)</f>
        <v/>
      </c>
    </row>
    <row r="1490">
      <c r="A1490">
        <f>IF(OR(Wages!$B1493="",Wages!$E1493=""),"",Wages!$E1493)</f>
        <v/>
      </c>
      <c r="B1490">
        <f>IF($A1490="","",IF(Wages!$C1493="دستمزد گروهی",2,1))</f>
        <v/>
      </c>
      <c r="C1490">
        <f>IF($A1490="","",IF(ISNUMBER(Wages!$B1493),IF(AND(Wages!$B1493&gt;=10000101,Wages!$B1493&lt;=99991231),INT(Wages!$B1493/10000),""),IFERROR(VALUE(TRIM(LEFT(Wages!$B1493,FIND("/",Wages!$B1493)-1))),"")))</f>
        <v/>
      </c>
      <c r="D1490">
        <f>IF(OR($A1490="",$C1490=""),"",IF(ISNUMBER(Wages!$B1493),INT(MOD(Wages!$B1493,10000)/100),IFERROR(VALUE(TRIM(LEFT(MID(Wages!$B1493,FIND("/",Wages!$B1493)+1,20),FIND("/",MID(Wages!$B1493,FIND("/",Wages!$B1493)+1,20))-1))),"")))</f>
        <v/>
      </c>
      <c r="E1490">
        <f>IF(OR($A1490="",$C1490=""),"",IF(ISNUMBER(Wages!$B1493),MOD(Wages!$B1493,100),IFERROR(VALUE(TRIM(MID(MID(Wages!$B1493,FIND("/",Wages!$B1493)+1,20),FIND("/",MID(Wages!$B1493,FIND("/",Wages!$B1493)+1,20))+1,20))),"")))</f>
        <v/>
      </c>
      <c r="F1490">
        <f>IF($A1490="","",IF(OR($C1490="",$D1490="",$E1490="",$C1490&lt;1300,$C1490&gt;1500,$D1490&lt;1,$D1490&gt;12,$E1490&lt;1,$E1490&gt;31),"نامعتبر",RIGHT("0000"&amp;$C1490,4)&amp;"/"&amp;RIGHT("00"&amp;$D1490,2)&amp;"/"&amp;RIGHT("00"&amp;$E1490,2)))</f>
        <v/>
      </c>
      <c r="G1490">
        <f>IF(OR($A1490="",$F1490="",$F1490="نامعتبر"),"",LEFT($F1490,4)&amp;MID($F1490,6,2)&amp;RIGHT($F1490,2)&amp;"0000"&amp;"|"&amp;"1"&amp;RIGHT("00000"&amp;1485,5))</f>
        <v/>
      </c>
      <c r="H1490">
        <f>IF(OR($B1490&lt;&gt;1,$G1490=""),"",COUNTIFS(LdAParty,$A1490,LdAType,1,LdAKey,"&lt;"&amp;$G1490)+COUNTIFS(LdBMember,$A1490,LdBKey,"&lt;"&amp;$G1490)+COUNTIFS(LdCParty,$A1490,LdCKey,"&lt;"&amp;$G1490)+1)</f>
        <v/>
      </c>
      <c r="I1490">
        <f>IF($H1490="","",$A1490&amp;"|"&amp;RIGHT("000000"&amp;$H1490,6))</f>
        <v/>
      </c>
      <c r="J1490">
        <f>IF(OR($B1490&lt;&gt;2,$G1490=""),"",COUNTIFS(LdAParty,$A1490,LdAType,2,LdAKey,"&lt;"&amp;$G1490)+1)</f>
        <v/>
      </c>
      <c r="K1490">
        <f>IF($J1490="","",$A1490&amp;"|"&amp;RIGHT("000000"&amp;$J1490,6))</f>
        <v/>
      </c>
      <c r="L1490">
        <f>IF($A1490="","",IF(Wages!$G1493="",0,Wages!$G1493))</f>
        <v/>
      </c>
      <c r="M1490">
        <f>IF($A1490="","",Wages!$J1493)</f>
        <v/>
      </c>
      <c r="N1490">
        <f>IF($A1490="","",Wages!$D1493)</f>
        <v/>
      </c>
      <c r="P1490">
        <f>IF(OR(Shares!$B1493="",Shares!$C1493=""),"",Shares!$C1493)</f>
        <v/>
      </c>
      <c r="Q1490">
        <f>IF($P1490="","",Shares!$B1493)</f>
        <v/>
      </c>
      <c r="R1490">
        <f>IF($P1490="","",IFERROR(INDEX(WageParty,MATCH($Q1490,WageIds,0)),""))</f>
        <v/>
      </c>
      <c r="S1490">
        <f>IF($P1490="","",IFERROR(INDEX($F$6:$F$2005,MATCH($Q1490,WageIds,0)),""))</f>
        <v/>
      </c>
      <c r="T1490">
        <f>IF(OR($P1490="",$S1490="",$S1490="نامعتبر"),"",LEFT($S1490,4)&amp;MID($S1490,6,2)&amp;RIGHT($S1490,2)&amp;"0000"&amp;"|"&amp;"2"&amp;RIGHT("00000"&amp;1485,5))</f>
        <v/>
      </c>
      <c r="U1490">
        <f>IF($T1490="","",COUNTIFS(LdAParty,$P1490,LdAType,1,LdAKey,"&lt;"&amp;$T1490)+COUNTIFS(LdBMember,$P1490,LdBKey,"&lt;"&amp;$T1490)+COUNTIFS(LdCParty,$P1490,LdCKey,"&lt;"&amp;$T1490)+1)</f>
        <v/>
      </c>
      <c r="V1490">
        <f>IF($U1490="","",$P1490&amp;"|"&amp;RIGHT("000000"&amp;$U1490,6))</f>
        <v/>
      </c>
      <c r="W1490">
        <f>IF($T1490="","",COUNTIFS(LdBGroup,$R1490,LdBKey,"&lt;"&amp;$T1490)+1)</f>
        <v/>
      </c>
      <c r="X1490">
        <f>IF($W1490="","",$R1490&amp;"|"&amp;RIGHT("000000"&amp;$W1490,6))</f>
        <v/>
      </c>
      <c r="Y1490">
        <f>IF($P1490="","",IF(Shares!$E1493="",0,Shares!$E1493))</f>
        <v/>
      </c>
      <c r="Z1490">
        <f>IF($P1490="","",Shares!$H1493)</f>
        <v/>
      </c>
      <c r="AE1490">
        <f>IF(OR(Sync!$S1490="",Sync!$P1490=""),"",Sync!$S1490)</f>
        <v/>
      </c>
      <c r="AF1490">
        <f>IF($AE1490="","",IF(ISNUMBER(Sync!$P1490),IF(AND(Sync!$P1490&gt;=10000101,Sync!$P1490&lt;=99991231),INT(Sync!$P1490/10000),""),IFERROR(VALUE(TRIM(LEFT(Sync!$P1490,FIND("/",Sync!$P1490)-1))),"")))</f>
        <v/>
      </c>
      <c r="AG1490">
        <f>IF(OR($AE1490="",$AF1490=""),"",IF(ISNUMBER(Sync!$P1490),INT(MOD(Sync!$P1490,10000)/100),IFERROR(VALUE(TRIM(LEFT(MID(Sync!$P1490,FIND("/",Sync!$P1490)+1,20),FIND("/",MID(Sync!$P1490,FIND("/",Sync!$P1490)+1,20))-1))),"")))</f>
        <v/>
      </c>
      <c r="AH1490">
        <f>IF(OR($AE1490="",$AF1490=""),"",IF(ISNUMBER(Sync!$P1490),MOD(Sync!$P1490,100),IFERROR(VALUE(TRIM(MID(MID(Sync!$P1490,FIND("/",Sync!$P1490)+1,20),FIND("/",MID(Sync!$P1490,FIND("/",Sync!$P1490)+1,20))+1,20))),"")))</f>
        <v/>
      </c>
      <c r="AI1490">
        <f>IF($AE1490="","",IF(OR($AF1490="",$AG1490="",$AH1490="",$AF1490&lt;1300,$AF1490&gt;1500,$AG1490&lt;1,$AG1490&gt;12,$AH1490&lt;1,$AH1490&gt;31),"نامعتبر",RIGHT("0000"&amp;$AF1490,4)&amp;"/"&amp;RIGHT("00"&amp;$AG1490,2)&amp;"/"&amp;RIGHT("00"&amp;$AH1490,2)))</f>
        <v/>
      </c>
      <c r="AJ1490">
        <f>IF($AE1490="","",IF(Sync!$Q1490="","0000",IF(AND(ISNUMBER(Sync!$Q1490),Sync!$Q1490&gt;=0,Sync!$Q1490&lt;1),RIGHT("00"&amp;HOUR(Sync!$Q1490),2)&amp;RIGHT("00"&amp;MINUTE(Sync!$Q1490),2),IFERROR(RIGHT("00"&amp;VALUE(LEFT(Sync!$Q1490,FIND(":",Sync!$Q1490)-1)),2)&amp;RIGHT("00"&amp;VALUE(MID(Sync!$Q1490,FIND(":",Sync!$Q1490)+1,2)),2),"0000"))))</f>
        <v/>
      </c>
      <c r="AK1490">
        <f>IF(OR($AE1490="",$AI1490="",$AI1490="نامعتبر"),"",LEFT($AI1490,4)&amp;MID($AI1490,6,2)&amp;RIGHT($AI1490,2)&amp;$AJ1490&amp;"|"&amp;"3"&amp;RIGHT("00000"&amp;1485,5))</f>
        <v/>
      </c>
      <c r="AL1490">
        <f>IF($AK1490="","",COUNTIFS(LdAParty,$AE1490,LdAType,1,LdAKey,"&lt;"&amp;$AK1490)+COUNTIFS(LdBMember,$AE1490,LdBKey,"&lt;"&amp;$AK1490)+COUNTIFS(LdCParty,$AE1490,LdCKey,"&lt;"&amp;$AK1490)+1)</f>
        <v/>
      </c>
      <c r="AM1490">
        <f>IF($AL1490="","",$AE1490&amp;"|"&amp;RIGHT("000000"&amp;$AL1490,6))</f>
        <v/>
      </c>
      <c r="AN1490">
        <f>IF($AE1490="","",IF(Sync!$W1490="",0,Sync!$W1490))</f>
        <v/>
      </c>
      <c r="AO1490">
        <f>IF($AE1490="","",IF(Sync!$X1490="",0,Sync!$X1490))</f>
        <v/>
      </c>
      <c r="AP1490">
        <f>IF($AE1490="","",Sync!$R1490)</f>
        <v/>
      </c>
      <c r="AQ1490">
        <f>IF($AE1490="","",Sync!$Y1490)</f>
        <v/>
      </c>
    </row>
    <row r="1491">
      <c r="A1491">
        <f>IF(OR(Wages!$B1494="",Wages!$E1494=""),"",Wages!$E1494)</f>
        <v/>
      </c>
      <c r="B1491">
        <f>IF($A1491="","",IF(Wages!$C1494="دستمزد گروهی",2,1))</f>
        <v/>
      </c>
      <c r="C1491">
        <f>IF($A1491="","",IF(ISNUMBER(Wages!$B1494),IF(AND(Wages!$B1494&gt;=10000101,Wages!$B1494&lt;=99991231),INT(Wages!$B1494/10000),""),IFERROR(VALUE(TRIM(LEFT(Wages!$B1494,FIND("/",Wages!$B1494)-1))),"")))</f>
        <v/>
      </c>
      <c r="D1491">
        <f>IF(OR($A1491="",$C1491=""),"",IF(ISNUMBER(Wages!$B1494),INT(MOD(Wages!$B1494,10000)/100),IFERROR(VALUE(TRIM(LEFT(MID(Wages!$B1494,FIND("/",Wages!$B1494)+1,20),FIND("/",MID(Wages!$B1494,FIND("/",Wages!$B1494)+1,20))-1))),"")))</f>
        <v/>
      </c>
      <c r="E1491">
        <f>IF(OR($A1491="",$C1491=""),"",IF(ISNUMBER(Wages!$B1494),MOD(Wages!$B1494,100),IFERROR(VALUE(TRIM(MID(MID(Wages!$B1494,FIND("/",Wages!$B1494)+1,20),FIND("/",MID(Wages!$B1494,FIND("/",Wages!$B1494)+1,20))+1,20))),"")))</f>
        <v/>
      </c>
      <c r="F1491">
        <f>IF($A1491="","",IF(OR($C1491="",$D1491="",$E1491="",$C1491&lt;1300,$C1491&gt;1500,$D1491&lt;1,$D1491&gt;12,$E1491&lt;1,$E1491&gt;31),"نامعتبر",RIGHT("0000"&amp;$C1491,4)&amp;"/"&amp;RIGHT("00"&amp;$D1491,2)&amp;"/"&amp;RIGHT("00"&amp;$E1491,2)))</f>
        <v/>
      </c>
      <c r="G1491">
        <f>IF(OR($A1491="",$F1491="",$F1491="نامعتبر"),"",LEFT($F1491,4)&amp;MID($F1491,6,2)&amp;RIGHT($F1491,2)&amp;"0000"&amp;"|"&amp;"1"&amp;RIGHT("00000"&amp;1486,5))</f>
        <v/>
      </c>
      <c r="H1491">
        <f>IF(OR($B1491&lt;&gt;1,$G1491=""),"",COUNTIFS(LdAParty,$A1491,LdAType,1,LdAKey,"&lt;"&amp;$G1491)+COUNTIFS(LdBMember,$A1491,LdBKey,"&lt;"&amp;$G1491)+COUNTIFS(LdCParty,$A1491,LdCKey,"&lt;"&amp;$G1491)+1)</f>
        <v/>
      </c>
      <c r="I1491">
        <f>IF($H1491="","",$A1491&amp;"|"&amp;RIGHT("000000"&amp;$H1491,6))</f>
        <v/>
      </c>
      <c r="J1491">
        <f>IF(OR($B1491&lt;&gt;2,$G1491=""),"",COUNTIFS(LdAParty,$A1491,LdAType,2,LdAKey,"&lt;"&amp;$G1491)+1)</f>
        <v/>
      </c>
      <c r="K1491">
        <f>IF($J1491="","",$A1491&amp;"|"&amp;RIGHT("000000"&amp;$J1491,6))</f>
        <v/>
      </c>
      <c r="L1491">
        <f>IF($A1491="","",IF(Wages!$G1494="",0,Wages!$G1494))</f>
        <v/>
      </c>
      <c r="M1491">
        <f>IF($A1491="","",Wages!$J1494)</f>
        <v/>
      </c>
      <c r="N1491">
        <f>IF($A1491="","",Wages!$D1494)</f>
        <v/>
      </c>
      <c r="P1491">
        <f>IF(OR(Shares!$B1494="",Shares!$C1494=""),"",Shares!$C1494)</f>
        <v/>
      </c>
      <c r="Q1491">
        <f>IF($P1491="","",Shares!$B1494)</f>
        <v/>
      </c>
      <c r="R1491">
        <f>IF($P1491="","",IFERROR(INDEX(WageParty,MATCH($Q1491,WageIds,0)),""))</f>
        <v/>
      </c>
      <c r="S1491">
        <f>IF($P1491="","",IFERROR(INDEX($F$6:$F$2005,MATCH($Q1491,WageIds,0)),""))</f>
        <v/>
      </c>
      <c r="T1491">
        <f>IF(OR($P1491="",$S1491="",$S1491="نامعتبر"),"",LEFT($S1491,4)&amp;MID($S1491,6,2)&amp;RIGHT($S1491,2)&amp;"0000"&amp;"|"&amp;"2"&amp;RIGHT("00000"&amp;1486,5))</f>
        <v/>
      </c>
      <c r="U1491">
        <f>IF($T1491="","",COUNTIFS(LdAParty,$P1491,LdAType,1,LdAKey,"&lt;"&amp;$T1491)+COUNTIFS(LdBMember,$P1491,LdBKey,"&lt;"&amp;$T1491)+COUNTIFS(LdCParty,$P1491,LdCKey,"&lt;"&amp;$T1491)+1)</f>
        <v/>
      </c>
      <c r="V1491">
        <f>IF($U1491="","",$P1491&amp;"|"&amp;RIGHT("000000"&amp;$U1491,6))</f>
        <v/>
      </c>
      <c r="W1491">
        <f>IF($T1491="","",COUNTIFS(LdBGroup,$R1491,LdBKey,"&lt;"&amp;$T1491)+1)</f>
        <v/>
      </c>
      <c r="X1491">
        <f>IF($W1491="","",$R1491&amp;"|"&amp;RIGHT("000000"&amp;$W1491,6))</f>
        <v/>
      </c>
      <c r="Y1491">
        <f>IF($P1491="","",IF(Shares!$E1494="",0,Shares!$E1494))</f>
        <v/>
      </c>
      <c r="Z1491">
        <f>IF($P1491="","",Shares!$H1494)</f>
        <v/>
      </c>
      <c r="AE1491">
        <f>IF(OR(Sync!$S1491="",Sync!$P1491=""),"",Sync!$S1491)</f>
        <v/>
      </c>
      <c r="AF1491">
        <f>IF($AE1491="","",IF(ISNUMBER(Sync!$P1491),IF(AND(Sync!$P1491&gt;=10000101,Sync!$P1491&lt;=99991231),INT(Sync!$P1491/10000),""),IFERROR(VALUE(TRIM(LEFT(Sync!$P1491,FIND("/",Sync!$P1491)-1))),"")))</f>
        <v/>
      </c>
      <c r="AG1491">
        <f>IF(OR($AE1491="",$AF1491=""),"",IF(ISNUMBER(Sync!$P1491),INT(MOD(Sync!$P1491,10000)/100),IFERROR(VALUE(TRIM(LEFT(MID(Sync!$P1491,FIND("/",Sync!$P1491)+1,20),FIND("/",MID(Sync!$P1491,FIND("/",Sync!$P1491)+1,20))-1))),"")))</f>
        <v/>
      </c>
      <c r="AH1491">
        <f>IF(OR($AE1491="",$AF1491=""),"",IF(ISNUMBER(Sync!$P1491),MOD(Sync!$P1491,100),IFERROR(VALUE(TRIM(MID(MID(Sync!$P1491,FIND("/",Sync!$P1491)+1,20),FIND("/",MID(Sync!$P1491,FIND("/",Sync!$P1491)+1,20))+1,20))),"")))</f>
        <v/>
      </c>
      <c r="AI1491">
        <f>IF($AE1491="","",IF(OR($AF1491="",$AG1491="",$AH1491="",$AF1491&lt;1300,$AF1491&gt;1500,$AG1491&lt;1,$AG1491&gt;12,$AH1491&lt;1,$AH1491&gt;31),"نامعتبر",RIGHT("0000"&amp;$AF1491,4)&amp;"/"&amp;RIGHT("00"&amp;$AG1491,2)&amp;"/"&amp;RIGHT("00"&amp;$AH1491,2)))</f>
        <v/>
      </c>
      <c r="AJ1491">
        <f>IF($AE1491="","",IF(Sync!$Q1491="","0000",IF(AND(ISNUMBER(Sync!$Q1491),Sync!$Q1491&gt;=0,Sync!$Q1491&lt;1),RIGHT("00"&amp;HOUR(Sync!$Q1491),2)&amp;RIGHT("00"&amp;MINUTE(Sync!$Q1491),2),IFERROR(RIGHT("00"&amp;VALUE(LEFT(Sync!$Q1491,FIND(":",Sync!$Q1491)-1)),2)&amp;RIGHT("00"&amp;VALUE(MID(Sync!$Q1491,FIND(":",Sync!$Q1491)+1,2)),2),"0000"))))</f>
        <v/>
      </c>
      <c r="AK1491">
        <f>IF(OR($AE1491="",$AI1491="",$AI1491="نامعتبر"),"",LEFT($AI1491,4)&amp;MID($AI1491,6,2)&amp;RIGHT($AI1491,2)&amp;$AJ1491&amp;"|"&amp;"3"&amp;RIGHT("00000"&amp;1486,5))</f>
        <v/>
      </c>
      <c r="AL1491">
        <f>IF($AK1491="","",COUNTIFS(LdAParty,$AE1491,LdAType,1,LdAKey,"&lt;"&amp;$AK1491)+COUNTIFS(LdBMember,$AE1491,LdBKey,"&lt;"&amp;$AK1491)+COUNTIFS(LdCParty,$AE1491,LdCKey,"&lt;"&amp;$AK1491)+1)</f>
        <v/>
      </c>
      <c r="AM1491">
        <f>IF($AL1491="","",$AE1491&amp;"|"&amp;RIGHT("000000"&amp;$AL1491,6))</f>
        <v/>
      </c>
      <c r="AN1491">
        <f>IF($AE1491="","",IF(Sync!$W1491="",0,Sync!$W1491))</f>
        <v/>
      </c>
      <c r="AO1491">
        <f>IF($AE1491="","",IF(Sync!$X1491="",0,Sync!$X1491))</f>
        <v/>
      </c>
      <c r="AP1491">
        <f>IF($AE1491="","",Sync!$R1491)</f>
        <v/>
      </c>
      <c r="AQ1491">
        <f>IF($AE1491="","",Sync!$Y1491)</f>
        <v/>
      </c>
    </row>
    <row r="1492">
      <c r="A1492">
        <f>IF(OR(Wages!$B1495="",Wages!$E1495=""),"",Wages!$E1495)</f>
        <v/>
      </c>
      <c r="B1492">
        <f>IF($A1492="","",IF(Wages!$C1495="دستمزد گروهی",2,1))</f>
        <v/>
      </c>
      <c r="C1492">
        <f>IF($A1492="","",IF(ISNUMBER(Wages!$B1495),IF(AND(Wages!$B1495&gt;=10000101,Wages!$B1495&lt;=99991231),INT(Wages!$B1495/10000),""),IFERROR(VALUE(TRIM(LEFT(Wages!$B1495,FIND("/",Wages!$B1495)-1))),"")))</f>
        <v/>
      </c>
      <c r="D1492">
        <f>IF(OR($A1492="",$C1492=""),"",IF(ISNUMBER(Wages!$B1495),INT(MOD(Wages!$B1495,10000)/100),IFERROR(VALUE(TRIM(LEFT(MID(Wages!$B1495,FIND("/",Wages!$B1495)+1,20),FIND("/",MID(Wages!$B1495,FIND("/",Wages!$B1495)+1,20))-1))),"")))</f>
        <v/>
      </c>
      <c r="E1492">
        <f>IF(OR($A1492="",$C1492=""),"",IF(ISNUMBER(Wages!$B1495),MOD(Wages!$B1495,100),IFERROR(VALUE(TRIM(MID(MID(Wages!$B1495,FIND("/",Wages!$B1495)+1,20),FIND("/",MID(Wages!$B1495,FIND("/",Wages!$B1495)+1,20))+1,20))),"")))</f>
        <v/>
      </c>
      <c r="F1492">
        <f>IF($A1492="","",IF(OR($C1492="",$D1492="",$E1492="",$C1492&lt;1300,$C1492&gt;1500,$D1492&lt;1,$D1492&gt;12,$E1492&lt;1,$E1492&gt;31),"نامعتبر",RIGHT("0000"&amp;$C1492,4)&amp;"/"&amp;RIGHT("00"&amp;$D1492,2)&amp;"/"&amp;RIGHT("00"&amp;$E1492,2)))</f>
        <v/>
      </c>
      <c r="G1492">
        <f>IF(OR($A1492="",$F1492="",$F1492="نامعتبر"),"",LEFT($F1492,4)&amp;MID($F1492,6,2)&amp;RIGHT($F1492,2)&amp;"0000"&amp;"|"&amp;"1"&amp;RIGHT("00000"&amp;1487,5))</f>
        <v/>
      </c>
      <c r="H1492">
        <f>IF(OR($B1492&lt;&gt;1,$G1492=""),"",COUNTIFS(LdAParty,$A1492,LdAType,1,LdAKey,"&lt;"&amp;$G1492)+COUNTIFS(LdBMember,$A1492,LdBKey,"&lt;"&amp;$G1492)+COUNTIFS(LdCParty,$A1492,LdCKey,"&lt;"&amp;$G1492)+1)</f>
        <v/>
      </c>
      <c r="I1492">
        <f>IF($H1492="","",$A1492&amp;"|"&amp;RIGHT("000000"&amp;$H1492,6))</f>
        <v/>
      </c>
      <c r="J1492">
        <f>IF(OR($B1492&lt;&gt;2,$G1492=""),"",COUNTIFS(LdAParty,$A1492,LdAType,2,LdAKey,"&lt;"&amp;$G1492)+1)</f>
        <v/>
      </c>
      <c r="K1492">
        <f>IF($J1492="","",$A1492&amp;"|"&amp;RIGHT("000000"&amp;$J1492,6))</f>
        <v/>
      </c>
      <c r="L1492">
        <f>IF($A1492="","",IF(Wages!$G1495="",0,Wages!$G1495))</f>
        <v/>
      </c>
      <c r="M1492">
        <f>IF($A1492="","",Wages!$J1495)</f>
        <v/>
      </c>
      <c r="N1492">
        <f>IF($A1492="","",Wages!$D1495)</f>
        <v/>
      </c>
      <c r="P1492">
        <f>IF(OR(Shares!$B1495="",Shares!$C1495=""),"",Shares!$C1495)</f>
        <v/>
      </c>
      <c r="Q1492">
        <f>IF($P1492="","",Shares!$B1495)</f>
        <v/>
      </c>
      <c r="R1492">
        <f>IF($P1492="","",IFERROR(INDEX(WageParty,MATCH($Q1492,WageIds,0)),""))</f>
        <v/>
      </c>
      <c r="S1492">
        <f>IF($P1492="","",IFERROR(INDEX($F$6:$F$2005,MATCH($Q1492,WageIds,0)),""))</f>
        <v/>
      </c>
      <c r="T1492">
        <f>IF(OR($P1492="",$S1492="",$S1492="نامعتبر"),"",LEFT($S1492,4)&amp;MID($S1492,6,2)&amp;RIGHT($S1492,2)&amp;"0000"&amp;"|"&amp;"2"&amp;RIGHT("00000"&amp;1487,5))</f>
        <v/>
      </c>
      <c r="U1492">
        <f>IF($T1492="","",COUNTIFS(LdAParty,$P1492,LdAType,1,LdAKey,"&lt;"&amp;$T1492)+COUNTIFS(LdBMember,$P1492,LdBKey,"&lt;"&amp;$T1492)+COUNTIFS(LdCParty,$P1492,LdCKey,"&lt;"&amp;$T1492)+1)</f>
        <v/>
      </c>
      <c r="V1492">
        <f>IF($U1492="","",$P1492&amp;"|"&amp;RIGHT("000000"&amp;$U1492,6))</f>
        <v/>
      </c>
      <c r="W1492">
        <f>IF($T1492="","",COUNTIFS(LdBGroup,$R1492,LdBKey,"&lt;"&amp;$T1492)+1)</f>
        <v/>
      </c>
      <c r="X1492">
        <f>IF($W1492="","",$R1492&amp;"|"&amp;RIGHT("000000"&amp;$W1492,6))</f>
        <v/>
      </c>
      <c r="Y1492">
        <f>IF($P1492="","",IF(Shares!$E1495="",0,Shares!$E1495))</f>
        <v/>
      </c>
      <c r="Z1492">
        <f>IF($P1492="","",Shares!$H1495)</f>
        <v/>
      </c>
      <c r="AE1492">
        <f>IF(OR(Sync!$S1492="",Sync!$P1492=""),"",Sync!$S1492)</f>
        <v/>
      </c>
      <c r="AF1492">
        <f>IF($AE1492="","",IF(ISNUMBER(Sync!$P1492),IF(AND(Sync!$P1492&gt;=10000101,Sync!$P1492&lt;=99991231),INT(Sync!$P1492/10000),""),IFERROR(VALUE(TRIM(LEFT(Sync!$P1492,FIND("/",Sync!$P1492)-1))),"")))</f>
        <v/>
      </c>
      <c r="AG1492">
        <f>IF(OR($AE1492="",$AF1492=""),"",IF(ISNUMBER(Sync!$P1492),INT(MOD(Sync!$P1492,10000)/100),IFERROR(VALUE(TRIM(LEFT(MID(Sync!$P1492,FIND("/",Sync!$P1492)+1,20),FIND("/",MID(Sync!$P1492,FIND("/",Sync!$P1492)+1,20))-1))),"")))</f>
        <v/>
      </c>
      <c r="AH1492">
        <f>IF(OR($AE1492="",$AF1492=""),"",IF(ISNUMBER(Sync!$P1492),MOD(Sync!$P1492,100),IFERROR(VALUE(TRIM(MID(MID(Sync!$P1492,FIND("/",Sync!$P1492)+1,20),FIND("/",MID(Sync!$P1492,FIND("/",Sync!$P1492)+1,20))+1,20))),"")))</f>
        <v/>
      </c>
      <c r="AI1492">
        <f>IF($AE1492="","",IF(OR($AF1492="",$AG1492="",$AH1492="",$AF1492&lt;1300,$AF1492&gt;1500,$AG1492&lt;1,$AG1492&gt;12,$AH1492&lt;1,$AH1492&gt;31),"نامعتبر",RIGHT("0000"&amp;$AF1492,4)&amp;"/"&amp;RIGHT("00"&amp;$AG1492,2)&amp;"/"&amp;RIGHT("00"&amp;$AH1492,2)))</f>
        <v/>
      </c>
      <c r="AJ1492">
        <f>IF($AE1492="","",IF(Sync!$Q1492="","0000",IF(AND(ISNUMBER(Sync!$Q1492),Sync!$Q1492&gt;=0,Sync!$Q1492&lt;1),RIGHT("00"&amp;HOUR(Sync!$Q1492),2)&amp;RIGHT("00"&amp;MINUTE(Sync!$Q1492),2),IFERROR(RIGHT("00"&amp;VALUE(LEFT(Sync!$Q1492,FIND(":",Sync!$Q1492)-1)),2)&amp;RIGHT("00"&amp;VALUE(MID(Sync!$Q1492,FIND(":",Sync!$Q1492)+1,2)),2),"0000"))))</f>
        <v/>
      </c>
      <c r="AK1492">
        <f>IF(OR($AE1492="",$AI1492="",$AI1492="نامعتبر"),"",LEFT($AI1492,4)&amp;MID($AI1492,6,2)&amp;RIGHT($AI1492,2)&amp;$AJ1492&amp;"|"&amp;"3"&amp;RIGHT("00000"&amp;1487,5))</f>
        <v/>
      </c>
      <c r="AL1492">
        <f>IF($AK1492="","",COUNTIFS(LdAParty,$AE1492,LdAType,1,LdAKey,"&lt;"&amp;$AK1492)+COUNTIFS(LdBMember,$AE1492,LdBKey,"&lt;"&amp;$AK1492)+COUNTIFS(LdCParty,$AE1492,LdCKey,"&lt;"&amp;$AK1492)+1)</f>
        <v/>
      </c>
      <c r="AM1492">
        <f>IF($AL1492="","",$AE1492&amp;"|"&amp;RIGHT("000000"&amp;$AL1492,6))</f>
        <v/>
      </c>
      <c r="AN1492">
        <f>IF($AE1492="","",IF(Sync!$W1492="",0,Sync!$W1492))</f>
        <v/>
      </c>
      <c r="AO1492">
        <f>IF($AE1492="","",IF(Sync!$X1492="",0,Sync!$X1492))</f>
        <v/>
      </c>
      <c r="AP1492">
        <f>IF($AE1492="","",Sync!$R1492)</f>
        <v/>
      </c>
      <c r="AQ1492">
        <f>IF($AE1492="","",Sync!$Y1492)</f>
        <v/>
      </c>
    </row>
    <row r="1493">
      <c r="A1493">
        <f>IF(OR(Wages!$B1496="",Wages!$E1496=""),"",Wages!$E1496)</f>
        <v/>
      </c>
      <c r="B1493">
        <f>IF($A1493="","",IF(Wages!$C1496="دستمزد گروهی",2,1))</f>
        <v/>
      </c>
      <c r="C1493">
        <f>IF($A1493="","",IF(ISNUMBER(Wages!$B1496),IF(AND(Wages!$B1496&gt;=10000101,Wages!$B1496&lt;=99991231),INT(Wages!$B1496/10000),""),IFERROR(VALUE(TRIM(LEFT(Wages!$B1496,FIND("/",Wages!$B1496)-1))),"")))</f>
        <v/>
      </c>
      <c r="D1493">
        <f>IF(OR($A1493="",$C1493=""),"",IF(ISNUMBER(Wages!$B1496),INT(MOD(Wages!$B1496,10000)/100),IFERROR(VALUE(TRIM(LEFT(MID(Wages!$B1496,FIND("/",Wages!$B1496)+1,20),FIND("/",MID(Wages!$B1496,FIND("/",Wages!$B1496)+1,20))-1))),"")))</f>
        <v/>
      </c>
      <c r="E1493">
        <f>IF(OR($A1493="",$C1493=""),"",IF(ISNUMBER(Wages!$B1496),MOD(Wages!$B1496,100),IFERROR(VALUE(TRIM(MID(MID(Wages!$B1496,FIND("/",Wages!$B1496)+1,20),FIND("/",MID(Wages!$B1496,FIND("/",Wages!$B1496)+1,20))+1,20))),"")))</f>
        <v/>
      </c>
      <c r="F1493">
        <f>IF($A1493="","",IF(OR($C1493="",$D1493="",$E1493="",$C1493&lt;1300,$C1493&gt;1500,$D1493&lt;1,$D1493&gt;12,$E1493&lt;1,$E1493&gt;31),"نامعتبر",RIGHT("0000"&amp;$C1493,4)&amp;"/"&amp;RIGHT("00"&amp;$D1493,2)&amp;"/"&amp;RIGHT("00"&amp;$E1493,2)))</f>
        <v/>
      </c>
      <c r="G1493">
        <f>IF(OR($A1493="",$F1493="",$F1493="نامعتبر"),"",LEFT($F1493,4)&amp;MID($F1493,6,2)&amp;RIGHT($F1493,2)&amp;"0000"&amp;"|"&amp;"1"&amp;RIGHT("00000"&amp;1488,5))</f>
        <v/>
      </c>
      <c r="H1493">
        <f>IF(OR($B1493&lt;&gt;1,$G1493=""),"",COUNTIFS(LdAParty,$A1493,LdAType,1,LdAKey,"&lt;"&amp;$G1493)+COUNTIFS(LdBMember,$A1493,LdBKey,"&lt;"&amp;$G1493)+COUNTIFS(LdCParty,$A1493,LdCKey,"&lt;"&amp;$G1493)+1)</f>
        <v/>
      </c>
      <c r="I1493">
        <f>IF($H1493="","",$A1493&amp;"|"&amp;RIGHT("000000"&amp;$H1493,6))</f>
        <v/>
      </c>
      <c r="J1493">
        <f>IF(OR($B1493&lt;&gt;2,$G1493=""),"",COUNTIFS(LdAParty,$A1493,LdAType,2,LdAKey,"&lt;"&amp;$G1493)+1)</f>
        <v/>
      </c>
      <c r="K1493">
        <f>IF($J1493="","",$A1493&amp;"|"&amp;RIGHT("000000"&amp;$J1493,6))</f>
        <v/>
      </c>
      <c r="L1493">
        <f>IF($A1493="","",IF(Wages!$G1496="",0,Wages!$G1496))</f>
        <v/>
      </c>
      <c r="M1493">
        <f>IF($A1493="","",Wages!$J1496)</f>
        <v/>
      </c>
      <c r="N1493">
        <f>IF($A1493="","",Wages!$D1496)</f>
        <v/>
      </c>
      <c r="P1493">
        <f>IF(OR(Shares!$B1496="",Shares!$C1496=""),"",Shares!$C1496)</f>
        <v/>
      </c>
      <c r="Q1493">
        <f>IF($P1493="","",Shares!$B1496)</f>
        <v/>
      </c>
      <c r="R1493">
        <f>IF($P1493="","",IFERROR(INDEX(WageParty,MATCH($Q1493,WageIds,0)),""))</f>
        <v/>
      </c>
      <c r="S1493">
        <f>IF($P1493="","",IFERROR(INDEX($F$6:$F$2005,MATCH($Q1493,WageIds,0)),""))</f>
        <v/>
      </c>
      <c r="T1493">
        <f>IF(OR($P1493="",$S1493="",$S1493="نامعتبر"),"",LEFT($S1493,4)&amp;MID($S1493,6,2)&amp;RIGHT($S1493,2)&amp;"0000"&amp;"|"&amp;"2"&amp;RIGHT("00000"&amp;1488,5))</f>
        <v/>
      </c>
      <c r="U1493">
        <f>IF($T1493="","",COUNTIFS(LdAParty,$P1493,LdAType,1,LdAKey,"&lt;"&amp;$T1493)+COUNTIFS(LdBMember,$P1493,LdBKey,"&lt;"&amp;$T1493)+COUNTIFS(LdCParty,$P1493,LdCKey,"&lt;"&amp;$T1493)+1)</f>
        <v/>
      </c>
      <c r="V1493">
        <f>IF($U1493="","",$P1493&amp;"|"&amp;RIGHT("000000"&amp;$U1493,6))</f>
        <v/>
      </c>
      <c r="W1493">
        <f>IF($T1493="","",COUNTIFS(LdBGroup,$R1493,LdBKey,"&lt;"&amp;$T1493)+1)</f>
        <v/>
      </c>
      <c r="X1493">
        <f>IF($W1493="","",$R1493&amp;"|"&amp;RIGHT("000000"&amp;$W1493,6))</f>
        <v/>
      </c>
      <c r="Y1493">
        <f>IF($P1493="","",IF(Shares!$E1496="",0,Shares!$E1496))</f>
        <v/>
      </c>
      <c r="Z1493">
        <f>IF($P1493="","",Shares!$H1496)</f>
        <v/>
      </c>
      <c r="AE1493">
        <f>IF(OR(Sync!$S1493="",Sync!$P1493=""),"",Sync!$S1493)</f>
        <v/>
      </c>
      <c r="AF1493">
        <f>IF($AE1493="","",IF(ISNUMBER(Sync!$P1493),IF(AND(Sync!$P1493&gt;=10000101,Sync!$P1493&lt;=99991231),INT(Sync!$P1493/10000),""),IFERROR(VALUE(TRIM(LEFT(Sync!$P1493,FIND("/",Sync!$P1493)-1))),"")))</f>
        <v/>
      </c>
      <c r="AG1493">
        <f>IF(OR($AE1493="",$AF1493=""),"",IF(ISNUMBER(Sync!$P1493),INT(MOD(Sync!$P1493,10000)/100),IFERROR(VALUE(TRIM(LEFT(MID(Sync!$P1493,FIND("/",Sync!$P1493)+1,20),FIND("/",MID(Sync!$P1493,FIND("/",Sync!$P1493)+1,20))-1))),"")))</f>
        <v/>
      </c>
      <c r="AH1493">
        <f>IF(OR($AE1493="",$AF1493=""),"",IF(ISNUMBER(Sync!$P1493),MOD(Sync!$P1493,100),IFERROR(VALUE(TRIM(MID(MID(Sync!$P1493,FIND("/",Sync!$P1493)+1,20),FIND("/",MID(Sync!$P1493,FIND("/",Sync!$P1493)+1,20))+1,20))),"")))</f>
        <v/>
      </c>
      <c r="AI1493">
        <f>IF($AE1493="","",IF(OR($AF1493="",$AG1493="",$AH1493="",$AF1493&lt;1300,$AF1493&gt;1500,$AG1493&lt;1,$AG1493&gt;12,$AH1493&lt;1,$AH1493&gt;31),"نامعتبر",RIGHT("0000"&amp;$AF1493,4)&amp;"/"&amp;RIGHT("00"&amp;$AG1493,2)&amp;"/"&amp;RIGHT("00"&amp;$AH1493,2)))</f>
        <v/>
      </c>
      <c r="AJ1493">
        <f>IF($AE1493="","",IF(Sync!$Q1493="","0000",IF(AND(ISNUMBER(Sync!$Q1493),Sync!$Q1493&gt;=0,Sync!$Q1493&lt;1),RIGHT("00"&amp;HOUR(Sync!$Q1493),2)&amp;RIGHT("00"&amp;MINUTE(Sync!$Q1493),2),IFERROR(RIGHT("00"&amp;VALUE(LEFT(Sync!$Q1493,FIND(":",Sync!$Q1493)-1)),2)&amp;RIGHT("00"&amp;VALUE(MID(Sync!$Q1493,FIND(":",Sync!$Q1493)+1,2)),2),"0000"))))</f>
        <v/>
      </c>
      <c r="AK1493">
        <f>IF(OR($AE1493="",$AI1493="",$AI1493="نامعتبر"),"",LEFT($AI1493,4)&amp;MID($AI1493,6,2)&amp;RIGHT($AI1493,2)&amp;$AJ1493&amp;"|"&amp;"3"&amp;RIGHT("00000"&amp;1488,5))</f>
        <v/>
      </c>
      <c r="AL1493">
        <f>IF($AK1493="","",COUNTIFS(LdAParty,$AE1493,LdAType,1,LdAKey,"&lt;"&amp;$AK1493)+COUNTIFS(LdBMember,$AE1493,LdBKey,"&lt;"&amp;$AK1493)+COUNTIFS(LdCParty,$AE1493,LdCKey,"&lt;"&amp;$AK1493)+1)</f>
        <v/>
      </c>
      <c r="AM1493">
        <f>IF($AL1493="","",$AE1493&amp;"|"&amp;RIGHT("000000"&amp;$AL1493,6))</f>
        <v/>
      </c>
      <c r="AN1493">
        <f>IF($AE1493="","",IF(Sync!$W1493="",0,Sync!$W1493))</f>
        <v/>
      </c>
      <c r="AO1493">
        <f>IF($AE1493="","",IF(Sync!$X1493="",0,Sync!$X1493))</f>
        <v/>
      </c>
      <c r="AP1493">
        <f>IF($AE1493="","",Sync!$R1493)</f>
        <v/>
      </c>
      <c r="AQ1493">
        <f>IF($AE1493="","",Sync!$Y1493)</f>
        <v/>
      </c>
    </row>
    <row r="1494">
      <c r="A1494">
        <f>IF(OR(Wages!$B1497="",Wages!$E1497=""),"",Wages!$E1497)</f>
        <v/>
      </c>
      <c r="B1494">
        <f>IF($A1494="","",IF(Wages!$C1497="دستمزد گروهی",2,1))</f>
        <v/>
      </c>
      <c r="C1494">
        <f>IF($A1494="","",IF(ISNUMBER(Wages!$B1497),IF(AND(Wages!$B1497&gt;=10000101,Wages!$B1497&lt;=99991231),INT(Wages!$B1497/10000),""),IFERROR(VALUE(TRIM(LEFT(Wages!$B1497,FIND("/",Wages!$B1497)-1))),"")))</f>
        <v/>
      </c>
      <c r="D1494">
        <f>IF(OR($A1494="",$C1494=""),"",IF(ISNUMBER(Wages!$B1497),INT(MOD(Wages!$B1497,10000)/100),IFERROR(VALUE(TRIM(LEFT(MID(Wages!$B1497,FIND("/",Wages!$B1497)+1,20),FIND("/",MID(Wages!$B1497,FIND("/",Wages!$B1497)+1,20))-1))),"")))</f>
        <v/>
      </c>
      <c r="E1494">
        <f>IF(OR($A1494="",$C1494=""),"",IF(ISNUMBER(Wages!$B1497),MOD(Wages!$B1497,100),IFERROR(VALUE(TRIM(MID(MID(Wages!$B1497,FIND("/",Wages!$B1497)+1,20),FIND("/",MID(Wages!$B1497,FIND("/",Wages!$B1497)+1,20))+1,20))),"")))</f>
        <v/>
      </c>
      <c r="F1494">
        <f>IF($A1494="","",IF(OR($C1494="",$D1494="",$E1494="",$C1494&lt;1300,$C1494&gt;1500,$D1494&lt;1,$D1494&gt;12,$E1494&lt;1,$E1494&gt;31),"نامعتبر",RIGHT("0000"&amp;$C1494,4)&amp;"/"&amp;RIGHT("00"&amp;$D1494,2)&amp;"/"&amp;RIGHT("00"&amp;$E1494,2)))</f>
        <v/>
      </c>
      <c r="G1494">
        <f>IF(OR($A1494="",$F1494="",$F1494="نامعتبر"),"",LEFT($F1494,4)&amp;MID($F1494,6,2)&amp;RIGHT($F1494,2)&amp;"0000"&amp;"|"&amp;"1"&amp;RIGHT("00000"&amp;1489,5))</f>
        <v/>
      </c>
      <c r="H1494">
        <f>IF(OR($B1494&lt;&gt;1,$G1494=""),"",COUNTIFS(LdAParty,$A1494,LdAType,1,LdAKey,"&lt;"&amp;$G1494)+COUNTIFS(LdBMember,$A1494,LdBKey,"&lt;"&amp;$G1494)+COUNTIFS(LdCParty,$A1494,LdCKey,"&lt;"&amp;$G1494)+1)</f>
        <v/>
      </c>
      <c r="I1494">
        <f>IF($H1494="","",$A1494&amp;"|"&amp;RIGHT("000000"&amp;$H1494,6))</f>
        <v/>
      </c>
      <c r="J1494">
        <f>IF(OR($B1494&lt;&gt;2,$G1494=""),"",COUNTIFS(LdAParty,$A1494,LdAType,2,LdAKey,"&lt;"&amp;$G1494)+1)</f>
        <v/>
      </c>
      <c r="K1494">
        <f>IF($J1494="","",$A1494&amp;"|"&amp;RIGHT("000000"&amp;$J1494,6))</f>
        <v/>
      </c>
      <c r="L1494">
        <f>IF($A1494="","",IF(Wages!$G1497="",0,Wages!$G1497))</f>
        <v/>
      </c>
      <c r="M1494">
        <f>IF($A1494="","",Wages!$J1497)</f>
        <v/>
      </c>
      <c r="N1494">
        <f>IF($A1494="","",Wages!$D1497)</f>
        <v/>
      </c>
      <c r="P1494">
        <f>IF(OR(Shares!$B1497="",Shares!$C1497=""),"",Shares!$C1497)</f>
        <v/>
      </c>
      <c r="Q1494">
        <f>IF($P1494="","",Shares!$B1497)</f>
        <v/>
      </c>
      <c r="R1494">
        <f>IF($P1494="","",IFERROR(INDEX(WageParty,MATCH($Q1494,WageIds,0)),""))</f>
        <v/>
      </c>
      <c r="S1494">
        <f>IF($P1494="","",IFERROR(INDEX($F$6:$F$2005,MATCH($Q1494,WageIds,0)),""))</f>
        <v/>
      </c>
      <c r="T1494">
        <f>IF(OR($P1494="",$S1494="",$S1494="نامعتبر"),"",LEFT($S1494,4)&amp;MID($S1494,6,2)&amp;RIGHT($S1494,2)&amp;"0000"&amp;"|"&amp;"2"&amp;RIGHT("00000"&amp;1489,5))</f>
        <v/>
      </c>
      <c r="U1494">
        <f>IF($T1494="","",COUNTIFS(LdAParty,$P1494,LdAType,1,LdAKey,"&lt;"&amp;$T1494)+COUNTIFS(LdBMember,$P1494,LdBKey,"&lt;"&amp;$T1494)+COUNTIFS(LdCParty,$P1494,LdCKey,"&lt;"&amp;$T1494)+1)</f>
        <v/>
      </c>
      <c r="V1494">
        <f>IF($U1494="","",$P1494&amp;"|"&amp;RIGHT("000000"&amp;$U1494,6))</f>
        <v/>
      </c>
      <c r="W1494">
        <f>IF($T1494="","",COUNTIFS(LdBGroup,$R1494,LdBKey,"&lt;"&amp;$T1494)+1)</f>
        <v/>
      </c>
      <c r="X1494">
        <f>IF($W1494="","",$R1494&amp;"|"&amp;RIGHT("000000"&amp;$W1494,6))</f>
        <v/>
      </c>
      <c r="Y1494">
        <f>IF($P1494="","",IF(Shares!$E1497="",0,Shares!$E1497))</f>
        <v/>
      </c>
      <c r="Z1494">
        <f>IF($P1494="","",Shares!$H1497)</f>
        <v/>
      </c>
      <c r="AE1494">
        <f>IF(OR(Sync!$S1494="",Sync!$P1494=""),"",Sync!$S1494)</f>
        <v/>
      </c>
      <c r="AF1494">
        <f>IF($AE1494="","",IF(ISNUMBER(Sync!$P1494),IF(AND(Sync!$P1494&gt;=10000101,Sync!$P1494&lt;=99991231),INT(Sync!$P1494/10000),""),IFERROR(VALUE(TRIM(LEFT(Sync!$P1494,FIND("/",Sync!$P1494)-1))),"")))</f>
        <v/>
      </c>
      <c r="AG1494">
        <f>IF(OR($AE1494="",$AF1494=""),"",IF(ISNUMBER(Sync!$P1494),INT(MOD(Sync!$P1494,10000)/100),IFERROR(VALUE(TRIM(LEFT(MID(Sync!$P1494,FIND("/",Sync!$P1494)+1,20),FIND("/",MID(Sync!$P1494,FIND("/",Sync!$P1494)+1,20))-1))),"")))</f>
        <v/>
      </c>
      <c r="AH1494">
        <f>IF(OR($AE1494="",$AF1494=""),"",IF(ISNUMBER(Sync!$P1494),MOD(Sync!$P1494,100),IFERROR(VALUE(TRIM(MID(MID(Sync!$P1494,FIND("/",Sync!$P1494)+1,20),FIND("/",MID(Sync!$P1494,FIND("/",Sync!$P1494)+1,20))+1,20))),"")))</f>
        <v/>
      </c>
      <c r="AI1494">
        <f>IF($AE1494="","",IF(OR($AF1494="",$AG1494="",$AH1494="",$AF1494&lt;1300,$AF1494&gt;1500,$AG1494&lt;1,$AG1494&gt;12,$AH1494&lt;1,$AH1494&gt;31),"نامعتبر",RIGHT("0000"&amp;$AF1494,4)&amp;"/"&amp;RIGHT("00"&amp;$AG1494,2)&amp;"/"&amp;RIGHT("00"&amp;$AH1494,2)))</f>
        <v/>
      </c>
      <c r="AJ1494">
        <f>IF($AE1494="","",IF(Sync!$Q1494="","0000",IF(AND(ISNUMBER(Sync!$Q1494),Sync!$Q1494&gt;=0,Sync!$Q1494&lt;1),RIGHT("00"&amp;HOUR(Sync!$Q1494),2)&amp;RIGHT("00"&amp;MINUTE(Sync!$Q1494),2),IFERROR(RIGHT("00"&amp;VALUE(LEFT(Sync!$Q1494,FIND(":",Sync!$Q1494)-1)),2)&amp;RIGHT("00"&amp;VALUE(MID(Sync!$Q1494,FIND(":",Sync!$Q1494)+1,2)),2),"0000"))))</f>
        <v/>
      </c>
      <c r="AK1494">
        <f>IF(OR($AE1494="",$AI1494="",$AI1494="نامعتبر"),"",LEFT($AI1494,4)&amp;MID($AI1494,6,2)&amp;RIGHT($AI1494,2)&amp;$AJ1494&amp;"|"&amp;"3"&amp;RIGHT("00000"&amp;1489,5))</f>
        <v/>
      </c>
      <c r="AL1494">
        <f>IF($AK1494="","",COUNTIFS(LdAParty,$AE1494,LdAType,1,LdAKey,"&lt;"&amp;$AK1494)+COUNTIFS(LdBMember,$AE1494,LdBKey,"&lt;"&amp;$AK1494)+COUNTIFS(LdCParty,$AE1494,LdCKey,"&lt;"&amp;$AK1494)+1)</f>
        <v/>
      </c>
      <c r="AM1494">
        <f>IF($AL1494="","",$AE1494&amp;"|"&amp;RIGHT("000000"&amp;$AL1494,6))</f>
        <v/>
      </c>
      <c r="AN1494">
        <f>IF($AE1494="","",IF(Sync!$W1494="",0,Sync!$W1494))</f>
        <v/>
      </c>
      <c r="AO1494">
        <f>IF($AE1494="","",IF(Sync!$X1494="",0,Sync!$X1494))</f>
        <v/>
      </c>
      <c r="AP1494">
        <f>IF($AE1494="","",Sync!$R1494)</f>
        <v/>
      </c>
      <c r="AQ1494">
        <f>IF($AE1494="","",Sync!$Y1494)</f>
        <v/>
      </c>
    </row>
    <row r="1495">
      <c r="A1495">
        <f>IF(OR(Wages!$B1498="",Wages!$E1498=""),"",Wages!$E1498)</f>
        <v/>
      </c>
      <c r="B1495">
        <f>IF($A1495="","",IF(Wages!$C1498="دستمزد گروهی",2,1))</f>
        <v/>
      </c>
      <c r="C1495">
        <f>IF($A1495="","",IF(ISNUMBER(Wages!$B1498),IF(AND(Wages!$B1498&gt;=10000101,Wages!$B1498&lt;=99991231),INT(Wages!$B1498/10000),""),IFERROR(VALUE(TRIM(LEFT(Wages!$B1498,FIND("/",Wages!$B1498)-1))),"")))</f>
        <v/>
      </c>
      <c r="D1495">
        <f>IF(OR($A1495="",$C1495=""),"",IF(ISNUMBER(Wages!$B1498),INT(MOD(Wages!$B1498,10000)/100),IFERROR(VALUE(TRIM(LEFT(MID(Wages!$B1498,FIND("/",Wages!$B1498)+1,20),FIND("/",MID(Wages!$B1498,FIND("/",Wages!$B1498)+1,20))-1))),"")))</f>
        <v/>
      </c>
      <c r="E1495">
        <f>IF(OR($A1495="",$C1495=""),"",IF(ISNUMBER(Wages!$B1498),MOD(Wages!$B1498,100),IFERROR(VALUE(TRIM(MID(MID(Wages!$B1498,FIND("/",Wages!$B1498)+1,20),FIND("/",MID(Wages!$B1498,FIND("/",Wages!$B1498)+1,20))+1,20))),"")))</f>
        <v/>
      </c>
      <c r="F1495">
        <f>IF($A1495="","",IF(OR($C1495="",$D1495="",$E1495="",$C1495&lt;1300,$C1495&gt;1500,$D1495&lt;1,$D1495&gt;12,$E1495&lt;1,$E1495&gt;31),"نامعتبر",RIGHT("0000"&amp;$C1495,4)&amp;"/"&amp;RIGHT("00"&amp;$D1495,2)&amp;"/"&amp;RIGHT("00"&amp;$E1495,2)))</f>
        <v/>
      </c>
      <c r="G1495">
        <f>IF(OR($A1495="",$F1495="",$F1495="نامعتبر"),"",LEFT($F1495,4)&amp;MID($F1495,6,2)&amp;RIGHT($F1495,2)&amp;"0000"&amp;"|"&amp;"1"&amp;RIGHT("00000"&amp;1490,5))</f>
        <v/>
      </c>
      <c r="H1495">
        <f>IF(OR($B1495&lt;&gt;1,$G1495=""),"",COUNTIFS(LdAParty,$A1495,LdAType,1,LdAKey,"&lt;"&amp;$G1495)+COUNTIFS(LdBMember,$A1495,LdBKey,"&lt;"&amp;$G1495)+COUNTIFS(LdCParty,$A1495,LdCKey,"&lt;"&amp;$G1495)+1)</f>
        <v/>
      </c>
      <c r="I1495">
        <f>IF($H1495="","",$A1495&amp;"|"&amp;RIGHT("000000"&amp;$H1495,6))</f>
        <v/>
      </c>
      <c r="J1495">
        <f>IF(OR($B1495&lt;&gt;2,$G1495=""),"",COUNTIFS(LdAParty,$A1495,LdAType,2,LdAKey,"&lt;"&amp;$G1495)+1)</f>
        <v/>
      </c>
      <c r="K1495">
        <f>IF($J1495="","",$A1495&amp;"|"&amp;RIGHT("000000"&amp;$J1495,6))</f>
        <v/>
      </c>
      <c r="L1495">
        <f>IF($A1495="","",IF(Wages!$G1498="",0,Wages!$G1498))</f>
        <v/>
      </c>
      <c r="M1495">
        <f>IF($A1495="","",Wages!$J1498)</f>
        <v/>
      </c>
      <c r="N1495">
        <f>IF($A1495="","",Wages!$D1498)</f>
        <v/>
      </c>
      <c r="P1495">
        <f>IF(OR(Shares!$B1498="",Shares!$C1498=""),"",Shares!$C1498)</f>
        <v/>
      </c>
      <c r="Q1495">
        <f>IF($P1495="","",Shares!$B1498)</f>
        <v/>
      </c>
      <c r="R1495">
        <f>IF($P1495="","",IFERROR(INDEX(WageParty,MATCH($Q1495,WageIds,0)),""))</f>
        <v/>
      </c>
      <c r="S1495">
        <f>IF($P1495="","",IFERROR(INDEX($F$6:$F$2005,MATCH($Q1495,WageIds,0)),""))</f>
        <v/>
      </c>
      <c r="T1495">
        <f>IF(OR($P1495="",$S1495="",$S1495="نامعتبر"),"",LEFT($S1495,4)&amp;MID($S1495,6,2)&amp;RIGHT($S1495,2)&amp;"0000"&amp;"|"&amp;"2"&amp;RIGHT("00000"&amp;1490,5))</f>
        <v/>
      </c>
      <c r="U1495">
        <f>IF($T1495="","",COUNTIFS(LdAParty,$P1495,LdAType,1,LdAKey,"&lt;"&amp;$T1495)+COUNTIFS(LdBMember,$P1495,LdBKey,"&lt;"&amp;$T1495)+COUNTIFS(LdCParty,$P1495,LdCKey,"&lt;"&amp;$T1495)+1)</f>
        <v/>
      </c>
      <c r="V1495">
        <f>IF($U1495="","",$P1495&amp;"|"&amp;RIGHT("000000"&amp;$U1495,6))</f>
        <v/>
      </c>
      <c r="W1495">
        <f>IF($T1495="","",COUNTIFS(LdBGroup,$R1495,LdBKey,"&lt;"&amp;$T1495)+1)</f>
        <v/>
      </c>
      <c r="X1495">
        <f>IF($W1495="","",$R1495&amp;"|"&amp;RIGHT("000000"&amp;$W1495,6))</f>
        <v/>
      </c>
      <c r="Y1495">
        <f>IF($P1495="","",IF(Shares!$E1498="",0,Shares!$E1498))</f>
        <v/>
      </c>
      <c r="Z1495">
        <f>IF($P1495="","",Shares!$H1498)</f>
        <v/>
      </c>
      <c r="AE1495">
        <f>IF(OR(Sync!$S1495="",Sync!$P1495=""),"",Sync!$S1495)</f>
        <v/>
      </c>
      <c r="AF1495">
        <f>IF($AE1495="","",IF(ISNUMBER(Sync!$P1495),IF(AND(Sync!$P1495&gt;=10000101,Sync!$P1495&lt;=99991231),INT(Sync!$P1495/10000),""),IFERROR(VALUE(TRIM(LEFT(Sync!$P1495,FIND("/",Sync!$P1495)-1))),"")))</f>
        <v/>
      </c>
      <c r="AG1495">
        <f>IF(OR($AE1495="",$AF1495=""),"",IF(ISNUMBER(Sync!$P1495),INT(MOD(Sync!$P1495,10000)/100),IFERROR(VALUE(TRIM(LEFT(MID(Sync!$P1495,FIND("/",Sync!$P1495)+1,20),FIND("/",MID(Sync!$P1495,FIND("/",Sync!$P1495)+1,20))-1))),"")))</f>
        <v/>
      </c>
      <c r="AH1495">
        <f>IF(OR($AE1495="",$AF1495=""),"",IF(ISNUMBER(Sync!$P1495),MOD(Sync!$P1495,100),IFERROR(VALUE(TRIM(MID(MID(Sync!$P1495,FIND("/",Sync!$P1495)+1,20),FIND("/",MID(Sync!$P1495,FIND("/",Sync!$P1495)+1,20))+1,20))),"")))</f>
        <v/>
      </c>
      <c r="AI1495">
        <f>IF($AE1495="","",IF(OR($AF1495="",$AG1495="",$AH1495="",$AF1495&lt;1300,$AF1495&gt;1500,$AG1495&lt;1,$AG1495&gt;12,$AH1495&lt;1,$AH1495&gt;31),"نامعتبر",RIGHT("0000"&amp;$AF1495,4)&amp;"/"&amp;RIGHT("00"&amp;$AG1495,2)&amp;"/"&amp;RIGHT("00"&amp;$AH1495,2)))</f>
        <v/>
      </c>
      <c r="AJ1495">
        <f>IF($AE1495="","",IF(Sync!$Q1495="","0000",IF(AND(ISNUMBER(Sync!$Q1495),Sync!$Q1495&gt;=0,Sync!$Q1495&lt;1),RIGHT("00"&amp;HOUR(Sync!$Q1495),2)&amp;RIGHT("00"&amp;MINUTE(Sync!$Q1495),2),IFERROR(RIGHT("00"&amp;VALUE(LEFT(Sync!$Q1495,FIND(":",Sync!$Q1495)-1)),2)&amp;RIGHT("00"&amp;VALUE(MID(Sync!$Q1495,FIND(":",Sync!$Q1495)+1,2)),2),"0000"))))</f>
        <v/>
      </c>
      <c r="AK1495">
        <f>IF(OR($AE1495="",$AI1495="",$AI1495="نامعتبر"),"",LEFT($AI1495,4)&amp;MID($AI1495,6,2)&amp;RIGHT($AI1495,2)&amp;$AJ1495&amp;"|"&amp;"3"&amp;RIGHT("00000"&amp;1490,5))</f>
        <v/>
      </c>
      <c r="AL1495">
        <f>IF($AK1495="","",COUNTIFS(LdAParty,$AE1495,LdAType,1,LdAKey,"&lt;"&amp;$AK1495)+COUNTIFS(LdBMember,$AE1495,LdBKey,"&lt;"&amp;$AK1495)+COUNTIFS(LdCParty,$AE1495,LdCKey,"&lt;"&amp;$AK1495)+1)</f>
        <v/>
      </c>
      <c r="AM1495">
        <f>IF($AL1495="","",$AE1495&amp;"|"&amp;RIGHT("000000"&amp;$AL1495,6))</f>
        <v/>
      </c>
      <c r="AN1495">
        <f>IF($AE1495="","",IF(Sync!$W1495="",0,Sync!$W1495))</f>
        <v/>
      </c>
      <c r="AO1495">
        <f>IF($AE1495="","",IF(Sync!$X1495="",0,Sync!$X1495))</f>
        <v/>
      </c>
      <c r="AP1495">
        <f>IF($AE1495="","",Sync!$R1495)</f>
        <v/>
      </c>
      <c r="AQ1495">
        <f>IF($AE1495="","",Sync!$Y1495)</f>
        <v/>
      </c>
    </row>
    <row r="1496">
      <c r="A1496">
        <f>IF(OR(Wages!$B1499="",Wages!$E1499=""),"",Wages!$E1499)</f>
        <v/>
      </c>
      <c r="B1496">
        <f>IF($A1496="","",IF(Wages!$C1499="دستمزد گروهی",2,1))</f>
        <v/>
      </c>
      <c r="C1496">
        <f>IF($A1496="","",IF(ISNUMBER(Wages!$B1499),IF(AND(Wages!$B1499&gt;=10000101,Wages!$B1499&lt;=99991231),INT(Wages!$B1499/10000),""),IFERROR(VALUE(TRIM(LEFT(Wages!$B1499,FIND("/",Wages!$B1499)-1))),"")))</f>
        <v/>
      </c>
      <c r="D1496">
        <f>IF(OR($A1496="",$C1496=""),"",IF(ISNUMBER(Wages!$B1499),INT(MOD(Wages!$B1499,10000)/100),IFERROR(VALUE(TRIM(LEFT(MID(Wages!$B1499,FIND("/",Wages!$B1499)+1,20),FIND("/",MID(Wages!$B1499,FIND("/",Wages!$B1499)+1,20))-1))),"")))</f>
        <v/>
      </c>
      <c r="E1496">
        <f>IF(OR($A1496="",$C1496=""),"",IF(ISNUMBER(Wages!$B1499),MOD(Wages!$B1499,100),IFERROR(VALUE(TRIM(MID(MID(Wages!$B1499,FIND("/",Wages!$B1499)+1,20),FIND("/",MID(Wages!$B1499,FIND("/",Wages!$B1499)+1,20))+1,20))),"")))</f>
        <v/>
      </c>
      <c r="F1496">
        <f>IF($A1496="","",IF(OR($C1496="",$D1496="",$E1496="",$C1496&lt;1300,$C1496&gt;1500,$D1496&lt;1,$D1496&gt;12,$E1496&lt;1,$E1496&gt;31),"نامعتبر",RIGHT("0000"&amp;$C1496,4)&amp;"/"&amp;RIGHT("00"&amp;$D1496,2)&amp;"/"&amp;RIGHT("00"&amp;$E1496,2)))</f>
        <v/>
      </c>
      <c r="G1496">
        <f>IF(OR($A1496="",$F1496="",$F1496="نامعتبر"),"",LEFT($F1496,4)&amp;MID($F1496,6,2)&amp;RIGHT($F1496,2)&amp;"0000"&amp;"|"&amp;"1"&amp;RIGHT("00000"&amp;1491,5))</f>
        <v/>
      </c>
      <c r="H1496">
        <f>IF(OR($B1496&lt;&gt;1,$G1496=""),"",COUNTIFS(LdAParty,$A1496,LdAType,1,LdAKey,"&lt;"&amp;$G1496)+COUNTIFS(LdBMember,$A1496,LdBKey,"&lt;"&amp;$G1496)+COUNTIFS(LdCParty,$A1496,LdCKey,"&lt;"&amp;$G1496)+1)</f>
        <v/>
      </c>
      <c r="I1496">
        <f>IF($H1496="","",$A1496&amp;"|"&amp;RIGHT("000000"&amp;$H1496,6))</f>
        <v/>
      </c>
      <c r="J1496">
        <f>IF(OR($B1496&lt;&gt;2,$G1496=""),"",COUNTIFS(LdAParty,$A1496,LdAType,2,LdAKey,"&lt;"&amp;$G1496)+1)</f>
        <v/>
      </c>
      <c r="K1496">
        <f>IF($J1496="","",$A1496&amp;"|"&amp;RIGHT("000000"&amp;$J1496,6))</f>
        <v/>
      </c>
      <c r="L1496">
        <f>IF($A1496="","",IF(Wages!$G1499="",0,Wages!$G1499))</f>
        <v/>
      </c>
      <c r="M1496">
        <f>IF($A1496="","",Wages!$J1499)</f>
        <v/>
      </c>
      <c r="N1496">
        <f>IF($A1496="","",Wages!$D1499)</f>
        <v/>
      </c>
      <c r="P1496">
        <f>IF(OR(Shares!$B1499="",Shares!$C1499=""),"",Shares!$C1499)</f>
        <v/>
      </c>
      <c r="Q1496">
        <f>IF($P1496="","",Shares!$B1499)</f>
        <v/>
      </c>
      <c r="R1496">
        <f>IF($P1496="","",IFERROR(INDEX(WageParty,MATCH($Q1496,WageIds,0)),""))</f>
        <v/>
      </c>
      <c r="S1496">
        <f>IF($P1496="","",IFERROR(INDEX($F$6:$F$2005,MATCH($Q1496,WageIds,0)),""))</f>
        <v/>
      </c>
      <c r="T1496">
        <f>IF(OR($P1496="",$S1496="",$S1496="نامعتبر"),"",LEFT($S1496,4)&amp;MID($S1496,6,2)&amp;RIGHT($S1496,2)&amp;"0000"&amp;"|"&amp;"2"&amp;RIGHT("00000"&amp;1491,5))</f>
        <v/>
      </c>
      <c r="U1496">
        <f>IF($T1496="","",COUNTIFS(LdAParty,$P1496,LdAType,1,LdAKey,"&lt;"&amp;$T1496)+COUNTIFS(LdBMember,$P1496,LdBKey,"&lt;"&amp;$T1496)+COUNTIFS(LdCParty,$P1496,LdCKey,"&lt;"&amp;$T1496)+1)</f>
        <v/>
      </c>
      <c r="V1496">
        <f>IF($U1496="","",$P1496&amp;"|"&amp;RIGHT("000000"&amp;$U1496,6))</f>
        <v/>
      </c>
      <c r="W1496">
        <f>IF($T1496="","",COUNTIFS(LdBGroup,$R1496,LdBKey,"&lt;"&amp;$T1496)+1)</f>
        <v/>
      </c>
      <c r="X1496">
        <f>IF($W1496="","",$R1496&amp;"|"&amp;RIGHT("000000"&amp;$W1496,6))</f>
        <v/>
      </c>
      <c r="Y1496">
        <f>IF($P1496="","",IF(Shares!$E1499="",0,Shares!$E1499))</f>
        <v/>
      </c>
      <c r="Z1496">
        <f>IF($P1496="","",Shares!$H1499)</f>
        <v/>
      </c>
      <c r="AE1496">
        <f>IF(OR(Sync!$S1496="",Sync!$P1496=""),"",Sync!$S1496)</f>
        <v/>
      </c>
      <c r="AF1496">
        <f>IF($AE1496="","",IF(ISNUMBER(Sync!$P1496),IF(AND(Sync!$P1496&gt;=10000101,Sync!$P1496&lt;=99991231),INT(Sync!$P1496/10000),""),IFERROR(VALUE(TRIM(LEFT(Sync!$P1496,FIND("/",Sync!$P1496)-1))),"")))</f>
        <v/>
      </c>
      <c r="AG1496">
        <f>IF(OR($AE1496="",$AF1496=""),"",IF(ISNUMBER(Sync!$P1496),INT(MOD(Sync!$P1496,10000)/100),IFERROR(VALUE(TRIM(LEFT(MID(Sync!$P1496,FIND("/",Sync!$P1496)+1,20),FIND("/",MID(Sync!$P1496,FIND("/",Sync!$P1496)+1,20))-1))),"")))</f>
        <v/>
      </c>
      <c r="AH1496">
        <f>IF(OR($AE1496="",$AF1496=""),"",IF(ISNUMBER(Sync!$P1496),MOD(Sync!$P1496,100),IFERROR(VALUE(TRIM(MID(MID(Sync!$P1496,FIND("/",Sync!$P1496)+1,20),FIND("/",MID(Sync!$P1496,FIND("/",Sync!$P1496)+1,20))+1,20))),"")))</f>
        <v/>
      </c>
      <c r="AI1496">
        <f>IF($AE1496="","",IF(OR($AF1496="",$AG1496="",$AH1496="",$AF1496&lt;1300,$AF1496&gt;1500,$AG1496&lt;1,$AG1496&gt;12,$AH1496&lt;1,$AH1496&gt;31),"نامعتبر",RIGHT("0000"&amp;$AF1496,4)&amp;"/"&amp;RIGHT("00"&amp;$AG1496,2)&amp;"/"&amp;RIGHT("00"&amp;$AH1496,2)))</f>
        <v/>
      </c>
      <c r="AJ1496">
        <f>IF($AE1496="","",IF(Sync!$Q1496="","0000",IF(AND(ISNUMBER(Sync!$Q1496),Sync!$Q1496&gt;=0,Sync!$Q1496&lt;1),RIGHT("00"&amp;HOUR(Sync!$Q1496),2)&amp;RIGHT("00"&amp;MINUTE(Sync!$Q1496),2),IFERROR(RIGHT("00"&amp;VALUE(LEFT(Sync!$Q1496,FIND(":",Sync!$Q1496)-1)),2)&amp;RIGHT("00"&amp;VALUE(MID(Sync!$Q1496,FIND(":",Sync!$Q1496)+1,2)),2),"0000"))))</f>
        <v/>
      </c>
      <c r="AK1496">
        <f>IF(OR($AE1496="",$AI1496="",$AI1496="نامعتبر"),"",LEFT($AI1496,4)&amp;MID($AI1496,6,2)&amp;RIGHT($AI1496,2)&amp;$AJ1496&amp;"|"&amp;"3"&amp;RIGHT("00000"&amp;1491,5))</f>
        <v/>
      </c>
      <c r="AL1496">
        <f>IF($AK1496="","",COUNTIFS(LdAParty,$AE1496,LdAType,1,LdAKey,"&lt;"&amp;$AK1496)+COUNTIFS(LdBMember,$AE1496,LdBKey,"&lt;"&amp;$AK1496)+COUNTIFS(LdCParty,$AE1496,LdCKey,"&lt;"&amp;$AK1496)+1)</f>
        <v/>
      </c>
      <c r="AM1496">
        <f>IF($AL1496="","",$AE1496&amp;"|"&amp;RIGHT("000000"&amp;$AL1496,6))</f>
        <v/>
      </c>
      <c r="AN1496">
        <f>IF($AE1496="","",IF(Sync!$W1496="",0,Sync!$W1496))</f>
        <v/>
      </c>
      <c r="AO1496">
        <f>IF($AE1496="","",IF(Sync!$X1496="",0,Sync!$X1496))</f>
        <v/>
      </c>
      <c r="AP1496">
        <f>IF($AE1496="","",Sync!$R1496)</f>
        <v/>
      </c>
      <c r="AQ1496">
        <f>IF($AE1496="","",Sync!$Y1496)</f>
        <v/>
      </c>
    </row>
    <row r="1497">
      <c r="A1497">
        <f>IF(OR(Wages!$B1500="",Wages!$E1500=""),"",Wages!$E1500)</f>
        <v/>
      </c>
      <c r="B1497">
        <f>IF($A1497="","",IF(Wages!$C1500="دستمزد گروهی",2,1))</f>
        <v/>
      </c>
      <c r="C1497">
        <f>IF($A1497="","",IF(ISNUMBER(Wages!$B1500),IF(AND(Wages!$B1500&gt;=10000101,Wages!$B1500&lt;=99991231),INT(Wages!$B1500/10000),""),IFERROR(VALUE(TRIM(LEFT(Wages!$B1500,FIND("/",Wages!$B1500)-1))),"")))</f>
        <v/>
      </c>
      <c r="D1497">
        <f>IF(OR($A1497="",$C1497=""),"",IF(ISNUMBER(Wages!$B1500),INT(MOD(Wages!$B1500,10000)/100),IFERROR(VALUE(TRIM(LEFT(MID(Wages!$B1500,FIND("/",Wages!$B1500)+1,20),FIND("/",MID(Wages!$B1500,FIND("/",Wages!$B1500)+1,20))-1))),"")))</f>
        <v/>
      </c>
      <c r="E1497">
        <f>IF(OR($A1497="",$C1497=""),"",IF(ISNUMBER(Wages!$B1500),MOD(Wages!$B1500,100),IFERROR(VALUE(TRIM(MID(MID(Wages!$B1500,FIND("/",Wages!$B1500)+1,20),FIND("/",MID(Wages!$B1500,FIND("/",Wages!$B1500)+1,20))+1,20))),"")))</f>
        <v/>
      </c>
      <c r="F1497">
        <f>IF($A1497="","",IF(OR($C1497="",$D1497="",$E1497="",$C1497&lt;1300,$C1497&gt;1500,$D1497&lt;1,$D1497&gt;12,$E1497&lt;1,$E1497&gt;31),"نامعتبر",RIGHT("0000"&amp;$C1497,4)&amp;"/"&amp;RIGHT("00"&amp;$D1497,2)&amp;"/"&amp;RIGHT("00"&amp;$E1497,2)))</f>
        <v/>
      </c>
      <c r="G1497">
        <f>IF(OR($A1497="",$F1497="",$F1497="نامعتبر"),"",LEFT($F1497,4)&amp;MID($F1497,6,2)&amp;RIGHT($F1497,2)&amp;"0000"&amp;"|"&amp;"1"&amp;RIGHT("00000"&amp;1492,5))</f>
        <v/>
      </c>
      <c r="H1497">
        <f>IF(OR($B1497&lt;&gt;1,$G1497=""),"",COUNTIFS(LdAParty,$A1497,LdAType,1,LdAKey,"&lt;"&amp;$G1497)+COUNTIFS(LdBMember,$A1497,LdBKey,"&lt;"&amp;$G1497)+COUNTIFS(LdCParty,$A1497,LdCKey,"&lt;"&amp;$G1497)+1)</f>
        <v/>
      </c>
      <c r="I1497">
        <f>IF($H1497="","",$A1497&amp;"|"&amp;RIGHT("000000"&amp;$H1497,6))</f>
        <v/>
      </c>
      <c r="J1497">
        <f>IF(OR($B1497&lt;&gt;2,$G1497=""),"",COUNTIFS(LdAParty,$A1497,LdAType,2,LdAKey,"&lt;"&amp;$G1497)+1)</f>
        <v/>
      </c>
      <c r="K1497">
        <f>IF($J1497="","",$A1497&amp;"|"&amp;RIGHT("000000"&amp;$J1497,6))</f>
        <v/>
      </c>
      <c r="L1497">
        <f>IF($A1497="","",IF(Wages!$G1500="",0,Wages!$G1500))</f>
        <v/>
      </c>
      <c r="M1497">
        <f>IF($A1497="","",Wages!$J1500)</f>
        <v/>
      </c>
      <c r="N1497">
        <f>IF($A1497="","",Wages!$D1500)</f>
        <v/>
      </c>
      <c r="P1497">
        <f>IF(OR(Shares!$B1500="",Shares!$C1500=""),"",Shares!$C1500)</f>
        <v/>
      </c>
      <c r="Q1497">
        <f>IF($P1497="","",Shares!$B1500)</f>
        <v/>
      </c>
      <c r="R1497">
        <f>IF($P1497="","",IFERROR(INDEX(WageParty,MATCH($Q1497,WageIds,0)),""))</f>
        <v/>
      </c>
      <c r="S1497">
        <f>IF($P1497="","",IFERROR(INDEX($F$6:$F$2005,MATCH($Q1497,WageIds,0)),""))</f>
        <v/>
      </c>
      <c r="T1497">
        <f>IF(OR($P1497="",$S1497="",$S1497="نامعتبر"),"",LEFT($S1497,4)&amp;MID($S1497,6,2)&amp;RIGHT($S1497,2)&amp;"0000"&amp;"|"&amp;"2"&amp;RIGHT("00000"&amp;1492,5))</f>
        <v/>
      </c>
      <c r="U1497">
        <f>IF($T1497="","",COUNTIFS(LdAParty,$P1497,LdAType,1,LdAKey,"&lt;"&amp;$T1497)+COUNTIFS(LdBMember,$P1497,LdBKey,"&lt;"&amp;$T1497)+COUNTIFS(LdCParty,$P1497,LdCKey,"&lt;"&amp;$T1497)+1)</f>
        <v/>
      </c>
      <c r="V1497">
        <f>IF($U1497="","",$P1497&amp;"|"&amp;RIGHT("000000"&amp;$U1497,6))</f>
        <v/>
      </c>
      <c r="W1497">
        <f>IF($T1497="","",COUNTIFS(LdBGroup,$R1497,LdBKey,"&lt;"&amp;$T1497)+1)</f>
        <v/>
      </c>
      <c r="X1497">
        <f>IF($W1497="","",$R1497&amp;"|"&amp;RIGHT("000000"&amp;$W1497,6))</f>
        <v/>
      </c>
      <c r="Y1497">
        <f>IF($P1497="","",IF(Shares!$E1500="",0,Shares!$E1500))</f>
        <v/>
      </c>
      <c r="Z1497">
        <f>IF($P1497="","",Shares!$H1500)</f>
        <v/>
      </c>
      <c r="AE1497">
        <f>IF(OR(Sync!$S1497="",Sync!$P1497=""),"",Sync!$S1497)</f>
        <v/>
      </c>
      <c r="AF1497">
        <f>IF($AE1497="","",IF(ISNUMBER(Sync!$P1497),IF(AND(Sync!$P1497&gt;=10000101,Sync!$P1497&lt;=99991231),INT(Sync!$P1497/10000),""),IFERROR(VALUE(TRIM(LEFT(Sync!$P1497,FIND("/",Sync!$P1497)-1))),"")))</f>
        <v/>
      </c>
      <c r="AG1497">
        <f>IF(OR($AE1497="",$AF1497=""),"",IF(ISNUMBER(Sync!$P1497),INT(MOD(Sync!$P1497,10000)/100),IFERROR(VALUE(TRIM(LEFT(MID(Sync!$P1497,FIND("/",Sync!$P1497)+1,20),FIND("/",MID(Sync!$P1497,FIND("/",Sync!$P1497)+1,20))-1))),"")))</f>
        <v/>
      </c>
      <c r="AH1497">
        <f>IF(OR($AE1497="",$AF1497=""),"",IF(ISNUMBER(Sync!$P1497),MOD(Sync!$P1497,100),IFERROR(VALUE(TRIM(MID(MID(Sync!$P1497,FIND("/",Sync!$P1497)+1,20),FIND("/",MID(Sync!$P1497,FIND("/",Sync!$P1497)+1,20))+1,20))),"")))</f>
        <v/>
      </c>
      <c r="AI1497">
        <f>IF($AE1497="","",IF(OR($AF1497="",$AG1497="",$AH1497="",$AF1497&lt;1300,$AF1497&gt;1500,$AG1497&lt;1,$AG1497&gt;12,$AH1497&lt;1,$AH1497&gt;31),"نامعتبر",RIGHT("0000"&amp;$AF1497,4)&amp;"/"&amp;RIGHT("00"&amp;$AG1497,2)&amp;"/"&amp;RIGHT("00"&amp;$AH1497,2)))</f>
        <v/>
      </c>
      <c r="AJ1497">
        <f>IF($AE1497="","",IF(Sync!$Q1497="","0000",IF(AND(ISNUMBER(Sync!$Q1497),Sync!$Q1497&gt;=0,Sync!$Q1497&lt;1),RIGHT("00"&amp;HOUR(Sync!$Q1497),2)&amp;RIGHT("00"&amp;MINUTE(Sync!$Q1497),2),IFERROR(RIGHT("00"&amp;VALUE(LEFT(Sync!$Q1497,FIND(":",Sync!$Q1497)-1)),2)&amp;RIGHT("00"&amp;VALUE(MID(Sync!$Q1497,FIND(":",Sync!$Q1497)+1,2)),2),"0000"))))</f>
        <v/>
      </c>
      <c r="AK1497">
        <f>IF(OR($AE1497="",$AI1497="",$AI1497="نامعتبر"),"",LEFT($AI1497,4)&amp;MID($AI1497,6,2)&amp;RIGHT($AI1497,2)&amp;$AJ1497&amp;"|"&amp;"3"&amp;RIGHT("00000"&amp;1492,5))</f>
        <v/>
      </c>
      <c r="AL1497">
        <f>IF($AK1497="","",COUNTIFS(LdAParty,$AE1497,LdAType,1,LdAKey,"&lt;"&amp;$AK1497)+COUNTIFS(LdBMember,$AE1497,LdBKey,"&lt;"&amp;$AK1497)+COUNTIFS(LdCParty,$AE1497,LdCKey,"&lt;"&amp;$AK1497)+1)</f>
        <v/>
      </c>
      <c r="AM1497">
        <f>IF($AL1497="","",$AE1497&amp;"|"&amp;RIGHT("000000"&amp;$AL1497,6))</f>
        <v/>
      </c>
      <c r="AN1497">
        <f>IF($AE1497="","",IF(Sync!$W1497="",0,Sync!$W1497))</f>
        <v/>
      </c>
      <c r="AO1497">
        <f>IF($AE1497="","",IF(Sync!$X1497="",0,Sync!$X1497))</f>
        <v/>
      </c>
      <c r="AP1497">
        <f>IF($AE1497="","",Sync!$R1497)</f>
        <v/>
      </c>
      <c r="AQ1497">
        <f>IF($AE1497="","",Sync!$Y1497)</f>
        <v/>
      </c>
    </row>
    <row r="1498">
      <c r="A1498">
        <f>IF(OR(Wages!$B1501="",Wages!$E1501=""),"",Wages!$E1501)</f>
        <v/>
      </c>
      <c r="B1498">
        <f>IF($A1498="","",IF(Wages!$C1501="دستمزد گروهی",2,1))</f>
        <v/>
      </c>
      <c r="C1498">
        <f>IF($A1498="","",IF(ISNUMBER(Wages!$B1501),IF(AND(Wages!$B1501&gt;=10000101,Wages!$B1501&lt;=99991231),INT(Wages!$B1501/10000),""),IFERROR(VALUE(TRIM(LEFT(Wages!$B1501,FIND("/",Wages!$B1501)-1))),"")))</f>
        <v/>
      </c>
      <c r="D1498">
        <f>IF(OR($A1498="",$C1498=""),"",IF(ISNUMBER(Wages!$B1501),INT(MOD(Wages!$B1501,10000)/100),IFERROR(VALUE(TRIM(LEFT(MID(Wages!$B1501,FIND("/",Wages!$B1501)+1,20),FIND("/",MID(Wages!$B1501,FIND("/",Wages!$B1501)+1,20))-1))),"")))</f>
        <v/>
      </c>
      <c r="E1498">
        <f>IF(OR($A1498="",$C1498=""),"",IF(ISNUMBER(Wages!$B1501),MOD(Wages!$B1501,100),IFERROR(VALUE(TRIM(MID(MID(Wages!$B1501,FIND("/",Wages!$B1501)+1,20),FIND("/",MID(Wages!$B1501,FIND("/",Wages!$B1501)+1,20))+1,20))),"")))</f>
        <v/>
      </c>
      <c r="F1498">
        <f>IF($A1498="","",IF(OR($C1498="",$D1498="",$E1498="",$C1498&lt;1300,$C1498&gt;1500,$D1498&lt;1,$D1498&gt;12,$E1498&lt;1,$E1498&gt;31),"نامعتبر",RIGHT("0000"&amp;$C1498,4)&amp;"/"&amp;RIGHT("00"&amp;$D1498,2)&amp;"/"&amp;RIGHT("00"&amp;$E1498,2)))</f>
        <v/>
      </c>
      <c r="G1498">
        <f>IF(OR($A1498="",$F1498="",$F1498="نامعتبر"),"",LEFT($F1498,4)&amp;MID($F1498,6,2)&amp;RIGHT($F1498,2)&amp;"0000"&amp;"|"&amp;"1"&amp;RIGHT("00000"&amp;1493,5))</f>
        <v/>
      </c>
      <c r="H1498">
        <f>IF(OR($B1498&lt;&gt;1,$G1498=""),"",COUNTIFS(LdAParty,$A1498,LdAType,1,LdAKey,"&lt;"&amp;$G1498)+COUNTIFS(LdBMember,$A1498,LdBKey,"&lt;"&amp;$G1498)+COUNTIFS(LdCParty,$A1498,LdCKey,"&lt;"&amp;$G1498)+1)</f>
        <v/>
      </c>
      <c r="I1498">
        <f>IF($H1498="","",$A1498&amp;"|"&amp;RIGHT("000000"&amp;$H1498,6))</f>
        <v/>
      </c>
      <c r="J1498">
        <f>IF(OR($B1498&lt;&gt;2,$G1498=""),"",COUNTIFS(LdAParty,$A1498,LdAType,2,LdAKey,"&lt;"&amp;$G1498)+1)</f>
        <v/>
      </c>
      <c r="K1498">
        <f>IF($J1498="","",$A1498&amp;"|"&amp;RIGHT("000000"&amp;$J1498,6))</f>
        <v/>
      </c>
      <c r="L1498">
        <f>IF($A1498="","",IF(Wages!$G1501="",0,Wages!$G1501))</f>
        <v/>
      </c>
      <c r="M1498">
        <f>IF($A1498="","",Wages!$J1501)</f>
        <v/>
      </c>
      <c r="N1498">
        <f>IF($A1498="","",Wages!$D1501)</f>
        <v/>
      </c>
      <c r="P1498">
        <f>IF(OR(Shares!$B1501="",Shares!$C1501=""),"",Shares!$C1501)</f>
        <v/>
      </c>
      <c r="Q1498">
        <f>IF($P1498="","",Shares!$B1501)</f>
        <v/>
      </c>
      <c r="R1498">
        <f>IF($P1498="","",IFERROR(INDEX(WageParty,MATCH($Q1498,WageIds,0)),""))</f>
        <v/>
      </c>
      <c r="S1498">
        <f>IF($P1498="","",IFERROR(INDEX($F$6:$F$2005,MATCH($Q1498,WageIds,0)),""))</f>
        <v/>
      </c>
      <c r="T1498">
        <f>IF(OR($P1498="",$S1498="",$S1498="نامعتبر"),"",LEFT($S1498,4)&amp;MID($S1498,6,2)&amp;RIGHT($S1498,2)&amp;"0000"&amp;"|"&amp;"2"&amp;RIGHT("00000"&amp;1493,5))</f>
        <v/>
      </c>
      <c r="U1498">
        <f>IF($T1498="","",COUNTIFS(LdAParty,$P1498,LdAType,1,LdAKey,"&lt;"&amp;$T1498)+COUNTIFS(LdBMember,$P1498,LdBKey,"&lt;"&amp;$T1498)+COUNTIFS(LdCParty,$P1498,LdCKey,"&lt;"&amp;$T1498)+1)</f>
        <v/>
      </c>
      <c r="V1498">
        <f>IF($U1498="","",$P1498&amp;"|"&amp;RIGHT("000000"&amp;$U1498,6))</f>
        <v/>
      </c>
      <c r="W1498">
        <f>IF($T1498="","",COUNTIFS(LdBGroup,$R1498,LdBKey,"&lt;"&amp;$T1498)+1)</f>
        <v/>
      </c>
      <c r="X1498">
        <f>IF($W1498="","",$R1498&amp;"|"&amp;RIGHT("000000"&amp;$W1498,6))</f>
        <v/>
      </c>
      <c r="Y1498">
        <f>IF($P1498="","",IF(Shares!$E1501="",0,Shares!$E1501))</f>
        <v/>
      </c>
      <c r="Z1498">
        <f>IF($P1498="","",Shares!$H1501)</f>
        <v/>
      </c>
      <c r="AE1498">
        <f>IF(OR(Sync!$S1498="",Sync!$P1498=""),"",Sync!$S1498)</f>
        <v/>
      </c>
      <c r="AF1498">
        <f>IF($AE1498="","",IF(ISNUMBER(Sync!$P1498),IF(AND(Sync!$P1498&gt;=10000101,Sync!$P1498&lt;=99991231),INT(Sync!$P1498/10000),""),IFERROR(VALUE(TRIM(LEFT(Sync!$P1498,FIND("/",Sync!$P1498)-1))),"")))</f>
        <v/>
      </c>
      <c r="AG1498">
        <f>IF(OR($AE1498="",$AF1498=""),"",IF(ISNUMBER(Sync!$P1498),INT(MOD(Sync!$P1498,10000)/100),IFERROR(VALUE(TRIM(LEFT(MID(Sync!$P1498,FIND("/",Sync!$P1498)+1,20),FIND("/",MID(Sync!$P1498,FIND("/",Sync!$P1498)+1,20))-1))),"")))</f>
        <v/>
      </c>
      <c r="AH1498">
        <f>IF(OR($AE1498="",$AF1498=""),"",IF(ISNUMBER(Sync!$P1498),MOD(Sync!$P1498,100),IFERROR(VALUE(TRIM(MID(MID(Sync!$P1498,FIND("/",Sync!$P1498)+1,20),FIND("/",MID(Sync!$P1498,FIND("/",Sync!$P1498)+1,20))+1,20))),"")))</f>
        <v/>
      </c>
      <c r="AI1498">
        <f>IF($AE1498="","",IF(OR($AF1498="",$AG1498="",$AH1498="",$AF1498&lt;1300,$AF1498&gt;1500,$AG1498&lt;1,$AG1498&gt;12,$AH1498&lt;1,$AH1498&gt;31),"نامعتبر",RIGHT("0000"&amp;$AF1498,4)&amp;"/"&amp;RIGHT("00"&amp;$AG1498,2)&amp;"/"&amp;RIGHT("00"&amp;$AH1498,2)))</f>
        <v/>
      </c>
      <c r="AJ1498">
        <f>IF($AE1498="","",IF(Sync!$Q1498="","0000",IF(AND(ISNUMBER(Sync!$Q1498),Sync!$Q1498&gt;=0,Sync!$Q1498&lt;1),RIGHT("00"&amp;HOUR(Sync!$Q1498),2)&amp;RIGHT("00"&amp;MINUTE(Sync!$Q1498),2),IFERROR(RIGHT("00"&amp;VALUE(LEFT(Sync!$Q1498,FIND(":",Sync!$Q1498)-1)),2)&amp;RIGHT("00"&amp;VALUE(MID(Sync!$Q1498,FIND(":",Sync!$Q1498)+1,2)),2),"0000"))))</f>
        <v/>
      </c>
      <c r="AK1498">
        <f>IF(OR($AE1498="",$AI1498="",$AI1498="نامعتبر"),"",LEFT($AI1498,4)&amp;MID($AI1498,6,2)&amp;RIGHT($AI1498,2)&amp;$AJ1498&amp;"|"&amp;"3"&amp;RIGHT("00000"&amp;1493,5))</f>
        <v/>
      </c>
      <c r="AL1498">
        <f>IF($AK1498="","",COUNTIFS(LdAParty,$AE1498,LdAType,1,LdAKey,"&lt;"&amp;$AK1498)+COUNTIFS(LdBMember,$AE1498,LdBKey,"&lt;"&amp;$AK1498)+COUNTIFS(LdCParty,$AE1498,LdCKey,"&lt;"&amp;$AK1498)+1)</f>
        <v/>
      </c>
      <c r="AM1498">
        <f>IF($AL1498="","",$AE1498&amp;"|"&amp;RIGHT("000000"&amp;$AL1498,6))</f>
        <v/>
      </c>
      <c r="AN1498">
        <f>IF($AE1498="","",IF(Sync!$W1498="",0,Sync!$W1498))</f>
        <v/>
      </c>
      <c r="AO1498">
        <f>IF($AE1498="","",IF(Sync!$X1498="",0,Sync!$X1498))</f>
        <v/>
      </c>
      <c r="AP1498">
        <f>IF($AE1498="","",Sync!$R1498)</f>
        <v/>
      </c>
      <c r="AQ1498">
        <f>IF($AE1498="","",Sync!$Y1498)</f>
        <v/>
      </c>
    </row>
    <row r="1499">
      <c r="A1499">
        <f>IF(OR(Wages!$B1502="",Wages!$E1502=""),"",Wages!$E1502)</f>
        <v/>
      </c>
      <c r="B1499">
        <f>IF($A1499="","",IF(Wages!$C1502="دستمزد گروهی",2,1))</f>
        <v/>
      </c>
      <c r="C1499">
        <f>IF($A1499="","",IF(ISNUMBER(Wages!$B1502),IF(AND(Wages!$B1502&gt;=10000101,Wages!$B1502&lt;=99991231),INT(Wages!$B1502/10000),""),IFERROR(VALUE(TRIM(LEFT(Wages!$B1502,FIND("/",Wages!$B1502)-1))),"")))</f>
        <v/>
      </c>
      <c r="D1499">
        <f>IF(OR($A1499="",$C1499=""),"",IF(ISNUMBER(Wages!$B1502),INT(MOD(Wages!$B1502,10000)/100),IFERROR(VALUE(TRIM(LEFT(MID(Wages!$B1502,FIND("/",Wages!$B1502)+1,20),FIND("/",MID(Wages!$B1502,FIND("/",Wages!$B1502)+1,20))-1))),"")))</f>
        <v/>
      </c>
      <c r="E1499">
        <f>IF(OR($A1499="",$C1499=""),"",IF(ISNUMBER(Wages!$B1502),MOD(Wages!$B1502,100),IFERROR(VALUE(TRIM(MID(MID(Wages!$B1502,FIND("/",Wages!$B1502)+1,20),FIND("/",MID(Wages!$B1502,FIND("/",Wages!$B1502)+1,20))+1,20))),"")))</f>
        <v/>
      </c>
      <c r="F1499">
        <f>IF($A1499="","",IF(OR($C1499="",$D1499="",$E1499="",$C1499&lt;1300,$C1499&gt;1500,$D1499&lt;1,$D1499&gt;12,$E1499&lt;1,$E1499&gt;31),"نامعتبر",RIGHT("0000"&amp;$C1499,4)&amp;"/"&amp;RIGHT("00"&amp;$D1499,2)&amp;"/"&amp;RIGHT("00"&amp;$E1499,2)))</f>
        <v/>
      </c>
      <c r="G1499">
        <f>IF(OR($A1499="",$F1499="",$F1499="نامعتبر"),"",LEFT($F1499,4)&amp;MID($F1499,6,2)&amp;RIGHT($F1499,2)&amp;"0000"&amp;"|"&amp;"1"&amp;RIGHT("00000"&amp;1494,5))</f>
        <v/>
      </c>
      <c r="H1499">
        <f>IF(OR($B1499&lt;&gt;1,$G1499=""),"",COUNTIFS(LdAParty,$A1499,LdAType,1,LdAKey,"&lt;"&amp;$G1499)+COUNTIFS(LdBMember,$A1499,LdBKey,"&lt;"&amp;$G1499)+COUNTIFS(LdCParty,$A1499,LdCKey,"&lt;"&amp;$G1499)+1)</f>
        <v/>
      </c>
      <c r="I1499">
        <f>IF($H1499="","",$A1499&amp;"|"&amp;RIGHT("000000"&amp;$H1499,6))</f>
        <v/>
      </c>
      <c r="J1499">
        <f>IF(OR($B1499&lt;&gt;2,$G1499=""),"",COUNTIFS(LdAParty,$A1499,LdAType,2,LdAKey,"&lt;"&amp;$G1499)+1)</f>
        <v/>
      </c>
      <c r="K1499">
        <f>IF($J1499="","",$A1499&amp;"|"&amp;RIGHT("000000"&amp;$J1499,6))</f>
        <v/>
      </c>
      <c r="L1499">
        <f>IF($A1499="","",IF(Wages!$G1502="",0,Wages!$G1502))</f>
        <v/>
      </c>
      <c r="M1499">
        <f>IF($A1499="","",Wages!$J1502)</f>
        <v/>
      </c>
      <c r="N1499">
        <f>IF($A1499="","",Wages!$D1502)</f>
        <v/>
      </c>
      <c r="P1499">
        <f>IF(OR(Shares!$B1502="",Shares!$C1502=""),"",Shares!$C1502)</f>
        <v/>
      </c>
      <c r="Q1499">
        <f>IF($P1499="","",Shares!$B1502)</f>
        <v/>
      </c>
      <c r="R1499">
        <f>IF($P1499="","",IFERROR(INDEX(WageParty,MATCH($Q1499,WageIds,0)),""))</f>
        <v/>
      </c>
      <c r="S1499">
        <f>IF($P1499="","",IFERROR(INDEX($F$6:$F$2005,MATCH($Q1499,WageIds,0)),""))</f>
        <v/>
      </c>
      <c r="T1499">
        <f>IF(OR($P1499="",$S1499="",$S1499="نامعتبر"),"",LEFT($S1499,4)&amp;MID($S1499,6,2)&amp;RIGHT($S1499,2)&amp;"0000"&amp;"|"&amp;"2"&amp;RIGHT("00000"&amp;1494,5))</f>
        <v/>
      </c>
      <c r="U1499">
        <f>IF($T1499="","",COUNTIFS(LdAParty,$P1499,LdAType,1,LdAKey,"&lt;"&amp;$T1499)+COUNTIFS(LdBMember,$P1499,LdBKey,"&lt;"&amp;$T1499)+COUNTIFS(LdCParty,$P1499,LdCKey,"&lt;"&amp;$T1499)+1)</f>
        <v/>
      </c>
      <c r="V1499">
        <f>IF($U1499="","",$P1499&amp;"|"&amp;RIGHT("000000"&amp;$U1499,6))</f>
        <v/>
      </c>
      <c r="W1499">
        <f>IF($T1499="","",COUNTIFS(LdBGroup,$R1499,LdBKey,"&lt;"&amp;$T1499)+1)</f>
        <v/>
      </c>
      <c r="X1499">
        <f>IF($W1499="","",$R1499&amp;"|"&amp;RIGHT("000000"&amp;$W1499,6))</f>
        <v/>
      </c>
      <c r="Y1499">
        <f>IF($P1499="","",IF(Shares!$E1502="",0,Shares!$E1502))</f>
        <v/>
      </c>
      <c r="Z1499">
        <f>IF($P1499="","",Shares!$H1502)</f>
        <v/>
      </c>
      <c r="AE1499">
        <f>IF(OR(Sync!$S1499="",Sync!$P1499=""),"",Sync!$S1499)</f>
        <v/>
      </c>
      <c r="AF1499">
        <f>IF($AE1499="","",IF(ISNUMBER(Sync!$P1499),IF(AND(Sync!$P1499&gt;=10000101,Sync!$P1499&lt;=99991231),INT(Sync!$P1499/10000),""),IFERROR(VALUE(TRIM(LEFT(Sync!$P1499,FIND("/",Sync!$P1499)-1))),"")))</f>
        <v/>
      </c>
      <c r="AG1499">
        <f>IF(OR($AE1499="",$AF1499=""),"",IF(ISNUMBER(Sync!$P1499),INT(MOD(Sync!$P1499,10000)/100),IFERROR(VALUE(TRIM(LEFT(MID(Sync!$P1499,FIND("/",Sync!$P1499)+1,20),FIND("/",MID(Sync!$P1499,FIND("/",Sync!$P1499)+1,20))-1))),"")))</f>
        <v/>
      </c>
      <c r="AH1499">
        <f>IF(OR($AE1499="",$AF1499=""),"",IF(ISNUMBER(Sync!$P1499),MOD(Sync!$P1499,100),IFERROR(VALUE(TRIM(MID(MID(Sync!$P1499,FIND("/",Sync!$P1499)+1,20),FIND("/",MID(Sync!$P1499,FIND("/",Sync!$P1499)+1,20))+1,20))),"")))</f>
        <v/>
      </c>
      <c r="AI1499">
        <f>IF($AE1499="","",IF(OR($AF1499="",$AG1499="",$AH1499="",$AF1499&lt;1300,$AF1499&gt;1500,$AG1499&lt;1,$AG1499&gt;12,$AH1499&lt;1,$AH1499&gt;31),"نامعتبر",RIGHT("0000"&amp;$AF1499,4)&amp;"/"&amp;RIGHT("00"&amp;$AG1499,2)&amp;"/"&amp;RIGHT("00"&amp;$AH1499,2)))</f>
        <v/>
      </c>
      <c r="AJ1499">
        <f>IF($AE1499="","",IF(Sync!$Q1499="","0000",IF(AND(ISNUMBER(Sync!$Q1499),Sync!$Q1499&gt;=0,Sync!$Q1499&lt;1),RIGHT("00"&amp;HOUR(Sync!$Q1499),2)&amp;RIGHT("00"&amp;MINUTE(Sync!$Q1499),2),IFERROR(RIGHT("00"&amp;VALUE(LEFT(Sync!$Q1499,FIND(":",Sync!$Q1499)-1)),2)&amp;RIGHT("00"&amp;VALUE(MID(Sync!$Q1499,FIND(":",Sync!$Q1499)+1,2)),2),"0000"))))</f>
        <v/>
      </c>
      <c r="AK1499">
        <f>IF(OR($AE1499="",$AI1499="",$AI1499="نامعتبر"),"",LEFT($AI1499,4)&amp;MID($AI1499,6,2)&amp;RIGHT($AI1499,2)&amp;$AJ1499&amp;"|"&amp;"3"&amp;RIGHT("00000"&amp;1494,5))</f>
        <v/>
      </c>
      <c r="AL1499">
        <f>IF($AK1499="","",COUNTIFS(LdAParty,$AE1499,LdAType,1,LdAKey,"&lt;"&amp;$AK1499)+COUNTIFS(LdBMember,$AE1499,LdBKey,"&lt;"&amp;$AK1499)+COUNTIFS(LdCParty,$AE1499,LdCKey,"&lt;"&amp;$AK1499)+1)</f>
        <v/>
      </c>
      <c r="AM1499">
        <f>IF($AL1499="","",$AE1499&amp;"|"&amp;RIGHT("000000"&amp;$AL1499,6))</f>
        <v/>
      </c>
      <c r="AN1499">
        <f>IF($AE1499="","",IF(Sync!$W1499="",0,Sync!$W1499))</f>
        <v/>
      </c>
      <c r="AO1499">
        <f>IF($AE1499="","",IF(Sync!$X1499="",0,Sync!$X1499))</f>
        <v/>
      </c>
      <c r="AP1499">
        <f>IF($AE1499="","",Sync!$R1499)</f>
        <v/>
      </c>
      <c r="AQ1499">
        <f>IF($AE1499="","",Sync!$Y1499)</f>
        <v/>
      </c>
    </row>
    <row r="1500">
      <c r="A1500">
        <f>IF(OR(Wages!$B1503="",Wages!$E1503=""),"",Wages!$E1503)</f>
        <v/>
      </c>
      <c r="B1500">
        <f>IF($A1500="","",IF(Wages!$C1503="دستمزد گروهی",2,1))</f>
        <v/>
      </c>
      <c r="C1500">
        <f>IF($A1500="","",IF(ISNUMBER(Wages!$B1503),IF(AND(Wages!$B1503&gt;=10000101,Wages!$B1503&lt;=99991231),INT(Wages!$B1503/10000),""),IFERROR(VALUE(TRIM(LEFT(Wages!$B1503,FIND("/",Wages!$B1503)-1))),"")))</f>
        <v/>
      </c>
      <c r="D1500">
        <f>IF(OR($A1500="",$C1500=""),"",IF(ISNUMBER(Wages!$B1503),INT(MOD(Wages!$B1503,10000)/100),IFERROR(VALUE(TRIM(LEFT(MID(Wages!$B1503,FIND("/",Wages!$B1503)+1,20),FIND("/",MID(Wages!$B1503,FIND("/",Wages!$B1503)+1,20))-1))),"")))</f>
        <v/>
      </c>
      <c r="E1500">
        <f>IF(OR($A1500="",$C1500=""),"",IF(ISNUMBER(Wages!$B1503),MOD(Wages!$B1503,100),IFERROR(VALUE(TRIM(MID(MID(Wages!$B1503,FIND("/",Wages!$B1503)+1,20),FIND("/",MID(Wages!$B1503,FIND("/",Wages!$B1503)+1,20))+1,20))),"")))</f>
        <v/>
      </c>
      <c r="F1500">
        <f>IF($A1500="","",IF(OR($C1500="",$D1500="",$E1500="",$C1500&lt;1300,$C1500&gt;1500,$D1500&lt;1,$D1500&gt;12,$E1500&lt;1,$E1500&gt;31),"نامعتبر",RIGHT("0000"&amp;$C1500,4)&amp;"/"&amp;RIGHT("00"&amp;$D1500,2)&amp;"/"&amp;RIGHT("00"&amp;$E1500,2)))</f>
        <v/>
      </c>
      <c r="G1500">
        <f>IF(OR($A1500="",$F1500="",$F1500="نامعتبر"),"",LEFT($F1500,4)&amp;MID($F1500,6,2)&amp;RIGHT($F1500,2)&amp;"0000"&amp;"|"&amp;"1"&amp;RIGHT("00000"&amp;1495,5))</f>
        <v/>
      </c>
      <c r="H1500">
        <f>IF(OR($B1500&lt;&gt;1,$G1500=""),"",COUNTIFS(LdAParty,$A1500,LdAType,1,LdAKey,"&lt;"&amp;$G1500)+COUNTIFS(LdBMember,$A1500,LdBKey,"&lt;"&amp;$G1500)+COUNTIFS(LdCParty,$A1500,LdCKey,"&lt;"&amp;$G1500)+1)</f>
        <v/>
      </c>
      <c r="I1500">
        <f>IF($H1500="","",$A1500&amp;"|"&amp;RIGHT("000000"&amp;$H1500,6))</f>
        <v/>
      </c>
      <c r="J1500">
        <f>IF(OR($B1500&lt;&gt;2,$G1500=""),"",COUNTIFS(LdAParty,$A1500,LdAType,2,LdAKey,"&lt;"&amp;$G1500)+1)</f>
        <v/>
      </c>
      <c r="K1500">
        <f>IF($J1500="","",$A1500&amp;"|"&amp;RIGHT("000000"&amp;$J1500,6))</f>
        <v/>
      </c>
      <c r="L1500">
        <f>IF($A1500="","",IF(Wages!$G1503="",0,Wages!$G1503))</f>
        <v/>
      </c>
      <c r="M1500">
        <f>IF($A1500="","",Wages!$J1503)</f>
        <v/>
      </c>
      <c r="N1500">
        <f>IF($A1500="","",Wages!$D1503)</f>
        <v/>
      </c>
      <c r="P1500">
        <f>IF(OR(Shares!$B1503="",Shares!$C1503=""),"",Shares!$C1503)</f>
        <v/>
      </c>
      <c r="Q1500">
        <f>IF($P1500="","",Shares!$B1503)</f>
        <v/>
      </c>
      <c r="R1500">
        <f>IF($P1500="","",IFERROR(INDEX(WageParty,MATCH($Q1500,WageIds,0)),""))</f>
        <v/>
      </c>
      <c r="S1500">
        <f>IF($P1500="","",IFERROR(INDEX($F$6:$F$2005,MATCH($Q1500,WageIds,0)),""))</f>
        <v/>
      </c>
      <c r="T1500">
        <f>IF(OR($P1500="",$S1500="",$S1500="نامعتبر"),"",LEFT($S1500,4)&amp;MID($S1500,6,2)&amp;RIGHT($S1500,2)&amp;"0000"&amp;"|"&amp;"2"&amp;RIGHT("00000"&amp;1495,5))</f>
        <v/>
      </c>
      <c r="U1500">
        <f>IF($T1500="","",COUNTIFS(LdAParty,$P1500,LdAType,1,LdAKey,"&lt;"&amp;$T1500)+COUNTIFS(LdBMember,$P1500,LdBKey,"&lt;"&amp;$T1500)+COUNTIFS(LdCParty,$P1500,LdCKey,"&lt;"&amp;$T1500)+1)</f>
        <v/>
      </c>
      <c r="V1500">
        <f>IF($U1500="","",$P1500&amp;"|"&amp;RIGHT("000000"&amp;$U1500,6))</f>
        <v/>
      </c>
      <c r="W1500">
        <f>IF($T1500="","",COUNTIFS(LdBGroup,$R1500,LdBKey,"&lt;"&amp;$T1500)+1)</f>
        <v/>
      </c>
      <c r="X1500">
        <f>IF($W1500="","",$R1500&amp;"|"&amp;RIGHT("000000"&amp;$W1500,6))</f>
        <v/>
      </c>
      <c r="Y1500">
        <f>IF($P1500="","",IF(Shares!$E1503="",0,Shares!$E1503))</f>
        <v/>
      </c>
      <c r="Z1500">
        <f>IF($P1500="","",Shares!$H1503)</f>
        <v/>
      </c>
      <c r="AE1500">
        <f>IF(OR(Sync!$S1500="",Sync!$P1500=""),"",Sync!$S1500)</f>
        <v/>
      </c>
      <c r="AF1500">
        <f>IF($AE1500="","",IF(ISNUMBER(Sync!$P1500),IF(AND(Sync!$P1500&gt;=10000101,Sync!$P1500&lt;=99991231),INT(Sync!$P1500/10000),""),IFERROR(VALUE(TRIM(LEFT(Sync!$P1500,FIND("/",Sync!$P1500)-1))),"")))</f>
        <v/>
      </c>
      <c r="AG1500">
        <f>IF(OR($AE1500="",$AF1500=""),"",IF(ISNUMBER(Sync!$P1500),INT(MOD(Sync!$P1500,10000)/100),IFERROR(VALUE(TRIM(LEFT(MID(Sync!$P1500,FIND("/",Sync!$P1500)+1,20),FIND("/",MID(Sync!$P1500,FIND("/",Sync!$P1500)+1,20))-1))),"")))</f>
        <v/>
      </c>
      <c r="AH1500">
        <f>IF(OR($AE1500="",$AF1500=""),"",IF(ISNUMBER(Sync!$P1500),MOD(Sync!$P1500,100),IFERROR(VALUE(TRIM(MID(MID(Sync!$P1500,FIND("/",Sync!$P1500)+1,20),FIND("/",MID(Sync!$P1500,FIND("/",Sync!$P1500)+1,20))+1,20))),"")))</f>
        <v/>
      </c>
      <c r="AI1500">
        <f>IF($AE1500="","",IF(OR($AF1500="",$AG1500="",$AH1500="",$AF1500&lt;1300,$AF1500&gt;1500,$AG1500&lt;1,$AG1500&gt;12,$AH1500&lt;1,$AH1500&gt;31),"نامعتبر",RIGHT("0000"&amp;$AF1500,4)&amp;"/"&amp;RIGHT("00"&amp;$AG1500,2)&amp;"/"&amp;RIGHT("00"&amp;$AH1500,2)))</f>
        <v/>
      </c>
      <c r="AJ1500">
        <f>IF($AE1500="","",IF(Sync!$Q1500="","0000",IF(AND(ISNUMBER(Sync!$Q1500),Sync!$Q1500&gt;=0,Sync!$Q1500&lt;1),RIGHT("00"&amp;HOUR(Sync!$Q1500),2)&amp;RIGHT("00"&amp;MINUTE(Sync!$Q1500),2),IFERROR(RIGHT("00"&amp;VALUE(LEFT(Sync!$Q1500,FIND(":",Sync!$Q1500)-1)),2)&amp;RIGHT("00"&amp;VALUE(MID(Sync!$Q1500,FIND(":",Sync!$Q1500)+1,2)),2),"0000"))))</f>
        <v/>
      </c>
      <c r="AK1500">
        <f>IF(OR($AE1500="",$AI1500="",$AI1500="نامعتبر"),"",LEFT($AI1500,4)&amp;MID($AI1500,6,2)&amp;RIGHT($AI1500,2)&amp;$AJ1500&amp;"|"&amp;"3"&amp;RIGHT("00000"&amp;1495,5))</f>
        <v/>
      </c>
      <c r="AL1500">
        <f>IF($AK1500="","",COUNTIFS(LdAParty,$AE1500,LdAType,1,LdAKey,"&lt;"&amp;$AK1500)+COUNTIFS(LdBMember,$AE1500,LdBKey,"&lt;"&amp;$AK1500)+COUNTIFS(LdCParty,$AE1500,LdCKey,"&lt;"&amp;$AK1500)+1)</f>
        <v/>
      </c>
      <c r="AM1500">
        <f>IF($AL1500="","",$AE1500&amp;"|"&amp;RIGHT("000000"&amp;$AL1500,6))</f>
        <v/>
      </c>
      <c r="AN1500">
        <f>IF($AE1500="","",IF(Sync!$W1500="",0,Sync!$W1500))</f>
        <v/>
      </c>
      <c r="AO1500">
        <f>IF($AE1500="","",IF(Sync!$X1500="",0,Sync!$X1500))</f>
        <v/>
      </c>
      <c r="AP1500">
        <f>IF($AE1500="","",Sync!$R1500)</f>
        <v/>
      </c>
      <c r="AQ1500">
        <f>IF($AE1500="","",Sync!$Y1500)</f>
        <v/>
      </c>
    </row>
    <row r="1501">
      <c r="A1501">
        <f>IF(OR(Wages!$B1504="",Wages!$E1504=""),"",Wages!$E1504)</f>
        <v/>
      </c>
      <c r="B1501">
        <f>IF($A1501="","",IF(Wages!$C1504="دستمزد گروهی",2,1))</f>
        <v/>
      </c>
      <c r="C1501">
        <f>IF($A1501="","",IF(ISNUMBER(Wages!$B1504),IF(AND(Wages!$B1504&gt;=10000101,Wages!$B1504&lt;=99991231),INT(Wages!$B1504/10000),""),IFERROR(VALUE(TRIM(LEFT(Wages!$B1504,FIND("/",Wages!$B1504)-1))),"")))</f>
        <v/>
      </c>
      <c r="D1501">
        <f>IF(OR($A1501="",$C1501=""),"",IF(ISNUMBER(Wages!$B1504),INT(MOD(Wages!$B1504,10000)/100),IFERROR(VALUE(TRIM(LEFT(MID(Wages!$B1504,FIND("/",Wages!$B1504)+1,20),FIND("/",MID(Wages!$B1504,FIND("/",Wages!$B1504)+1,20))-1))),"")))</f>
        <v/>
      </c>
      <c r="E1501">
        <f>IF(OR($A1501="",$C1501=""),"",IF(ISNUMBER(Wages!$B1504),MOD(Wages!$B1504,100),IFERROR(VALUE(TRIM(MID(MID(Wages!$B1504,FIND("/",Wages!$B1504)+1,20),FIND("/",MID(Wages!$B1504,FIND("/",Wages!$B1504)+1,20))+1,20))),"")))</f>
        <v/>
      </c>
      <c r="F1501">
        <f>IF($A1501="","",IF(OR($C1501="",$D1501="",$E1501="",$C1501&lt;1300,$C1501&gt;1500,$D1501&lt;1,$D1501&gt;12,$E1501&lt;1,$E1501&gt;31),"نامعتبر",RIGHT("0000"&amp;$C1501,4)&amp;"/"&amp;RIGHT("00"&amp;$D1501,2)&amp;"/"&amp;RIGHT("00"&amp;$E1501,2)))</f>
        <v/>
      </c>
      <c r="G1501">
        <f>IF(OR($A1501="",$F1501="",$F1501="نامعتبر"),"",LEFT($F1501,4)&amp;MID($F1501,6,2)&amp;RIGHT($F1501,2)&amp;"0000"&amp;"|"&amp;"1"&amp;RIGHT("00000"&amp;1496,5))</f>
        <v/>
      </c>
      <c r="H1501">
        <f>IF(OR($B1501&lt;&gt;1,$G1501=""),"",COUNTIFS(LdAParty,$A1501,LdAType,1,LdAKey,"&lt;"&amp;$G1501)+COUNTIFS(LdBMember,$A1501,LdBKey,"&lt;"&amp;$G1501)+COUNTIFS(LdCParty,$A1501,LdCKey,"&lt;"&amp;$G1501)+1)</f>
        <v/>
      </c>
      <c r="I1501">
        <f>IF($H1501="","",$A1501&amp;"|"&amp;RIGHT("000000"&amp;$H1501,6))</f>
        <v/>
      </c>
      <c r="J1501">
        <f>IF(OR($B1501&lt;&gt;2,$G1501=""),"",COUNTIFS(LdAParty,$A1501,LdAType,2,LdAKey,"&lt;"&amp;$G1501)+1)</f>
        <v/>
      </c>
      <c r="K1501">
        <f>IF($J1501="","",$A1501&amp;"|"&amp;RIGHT("000000"&amp;$J1501,6))</f>
        <v/>
      </c>
      <c r="L1501">
        <f>IF($A1501="","",IF(Wages!$G1504="",0,Wages!$G1504))</f>
        <v/>
      </c>
      <c r="M1501">
        <f>IF($A1501="","",Wages!$J1504)</f>
        <v/>
      </c>
      <c r="N1501">
        <f>IF($A1501="","",Wages!$D1504)</f>
        <v/>
      </c>
      <c r="P1501">
        <f>IF(OR(Shares!$B1504="",Shares!$C1504=""),"",Shares!$C1504)</f>
        <v/>
      </c>
      <c r="Q1501">
        <f>IF($P1501="","",Shares!$B1504)</f>
        <v/>
      </c>
      <c r="R1501">
        <f>IF($P1501="","",IFERROR(INDEX(WageParty,MATCH($Q1501,WageIds,0)),""))</f>
        <v/>
      </c>
      <c r="S1501">
        <f>IF($P1501="","",IFERROR(INDEX($F$6:$F$2005,MATCH($Q1501,WageIds,0)),""))</f>
        <v/>
      </c>
      <c r="T1501">
        <f>IF(OR($P1501="",$S1501="",$S1501="نامعتبر"),"",LEFT($S1501,4)&amp;MID($S1501,6,2)&amp;RIGHT($S1501,2)&amp;"0000"&amp;"|"&amp;"2"&amp;RIGHT("00000"&amp;1496,5))</f>
        <v/>
      </c>
      <c r="U1501">
        <f>IF($T1501="","",COUNTIFS(LdAParty,$P1501,LdAType,1,LdAKey,"&lt;"&amp;$T1501)+COUNTIFS(LdBMember,$P1501,LdBKey,"&lt;"&amp;$T1501)+COUNTIFS(LdCParty,$P1501,LdCKey,"&lt;"&amp;$T1501)+1)</f>
        <v/>
      </c>
      <c r="V1501">
        <f>IF($U1501="","",$P1501&amp;"|"&amp;RIGHT("000000"&amp;$U1501,6))</f>
        <v/>
      </c>
      <c r="W1501">
        <f>IF($T1501="","",COUNTIFS(LdBGroup,$R1501,LdBKey,"&lt;"&amp;$T1501)+1)</f>
        <v/>
      </c>
      <c r="X1501">
        <f>IF($W1501="","",$R1501&amp;"|"&amp;RIGHT("000000"&amp;$W1501,6))</f>
        <v/>
      </c>
      <c r="Y1501">
        <f>IF($P1501="","",IF(Shares!$E1504="",0,Shares!$E1504))</f>
        <v/>
      </c>
      <c r="Z1501">
        <f>IF($P1501="","",Shares!$H1504)</f>
        <v/>
      </c>
      <c r="AE1501">
        <f>IF(OR(Sync!$S1501="",Sync!$P1501=""),"",Sync!$S1501)</f>
        <v/>
      </c>
      <c r="AF1501">
        <f>IF($AE1501="","",IF(ISNUMBER(Sync!$P1501),IF(AND(Sync!$P1501&gt;=10000101,Sync!$P1501&lt;=99991231),INT(Sync!$P1501/10000),""),IFERROR(VALUE(TRIM(LEFT(Sync!$P1501,FIND("/",Sync!$P1501)-1))),"")))</f>
        <v/>
      </c>
      <c r="AG1501">
        <f>IF(OR($AE1501="",$AF1501=""),"",IF(ISNUMBER(Sync!$P1501),INT(MOD(Sync!$P1501,10000)/100),IFERROR(VALUE(TRIM(LEFT(MID(Sync!$P1501,FIND("/",Sync!$P1501)+1,20),FIND("/",MID(Sync!$P1501,FIND("/",Sync!$P1501)+1,20))-1))),"")))</f>
        <v/>
      </c>
      <c r="AH1501">
        <f>IF(OR($AE1501="",$AF1501=""),"",IF(ISNUMBER(Sync!$P1501),MOD(Sync!$P1501,100),IFERROR(VALUE(TRIM(MID(MID(Sync!$P1501,FIND("/",Sync!$P1501)+1,20),FIND("/",MID(Sync!$P1501,FIND("/",Sync!$P1501)+1,20))+1,20))),"")))</f>
        <v/>
      </c>
      <c r="AI1501">
        <f>IF($AE1501="","",IF(OR($AF1501="",$AG1501="",$AH1501="",$AF1501&lt;1300,$AF1501&gt;1500,$AG1501&lt;1,$AG1501&gt;12,$AH1501&lt;1,$AH1501&gt;31),"نامعتبر",RIGHT("0000"&amp;$AF1501,4)&amp;"/"&amp;RIGHT("00"&amp;$AG1501,2)&amp;"/"&amp;RIGHT("00"&amp;$AH1501,2)))</f>
        <v/>
      </c>
      <c r="AJ1501">
        <f>IF($AE1501="","",IF(Sync!$Q1501="","0000",IF(AND(ISNUMBER(Sync!$Q1501),Sync!$Q1501&gt;=0,Sync!$Q1501&lt;1),RIGHT("00"&amp;HOUR(Sync!$Q1501),2)&amp;RIGHT("00"&amp;MINUTE(Sync!$Q1501),2),IFERROR(RIGHT("00"&amp;VALUE(LEFT(Sync!$Q1501,FIND(":",Sync!$Q1501)-1)),2)&amp;RIGHT("00"&amp;VALUE(MID(Sync!$Q1501,FIND(":",Sync!$Q1501)+1,2)),2),"0000"))))</f>
        <v/>
      </c>
      <c r="AK1501">
        <f>IF(OR($AE1501="",$AI1501="",$AI1501="نامعتبر"),"",LEFT($AI1501,4)&amp;MID($AI1501,6,2)&amp;RIGHT($AI1501,2)&amp;$AJ1501&amp;"|"&amp;"3"&amp;RIGHT("00000"&amp;1496,5))</f>
        <v/>
      </c>
      <c r="AL1501">
        <f>IF($AK1501="","",COUNTIFS(LdAParty,$AE1501,LdAType,1,LdAKey,"&lt;"&amp;$AK1501)+COUNTIFS(LdBMember,$AE1501,LdBKey,"&lt;"&amp;$AK1501)+COUNTIFS(LdCParty,$AE1501,LdCKey,"&lt;"&amp;$AK1501)+1)</f>
        <v/>
      </c>
      <c r="AM1501">
        <f>IF($AL1501="","",$AE1501&amp;"|"&amp;RIGHT("000000"&amp;$AL1501,6))</f>
        <v/>
      </c>
      <c r="AN1501">
        <f>IF($AE1501="","",IF(Sync!$W1501="",0,Sync!$W1501))</f>
        <v/>
      </c>
      <c r="AO1501">
        <f>IF($AE1501="","",IF(Sync!$X1501="",0,Sync!$X1501))</f>
        <v/>
      </c>
      <c r="AP1501">
        <f>IF($AE1501="","",Sync!$R1501)</f>
        <v/>
      </c>
      <c r="AQ1501">
        <f>IF($AE1501="","",Sync!$Y1501)</f>
        <v/>
      </c>
    </row>
    <row r="1502">
      <c r="A1502">
        <f>IF(OR(Wages!$B1505="",Wages!$E1505=""),"",Wages!$E1505)</f>
        <v/>
      </c>
      <c r="B1502">
        <f>IF($A1502="","",IF(Wages!$C1505="دستمزد گروهی",2,1))</f>
        <v/>
      </c>
      <c r="C1502">
        <f>IF($A1502="","",IF(ISNUMBER(Wages!$B1505),IF(AND(Wages!$B1505&gt;=10000101,Wages!$B1505&lt;=99991231),INT(Wages!$B1505/10000),""),IFERROR(VALUE(TRIM(LEFT(Wages!$B1505,FIND("/",Wages!$B1505)-1))),"")))</f>
        <v/>
      </c>
      <c r="D1502">
        <f>IF(OR($A1502="",$C1502=""),"",IF(ISNUMBER(Wages!$B1505),INT(MOD(Wages!$B1505,10000)/100),IFERROR(VALUE(TRIM(LEFT(MID(Wages!$B1505,FIND("/",Wages!$B1505)+1,20),FIND("/",MID(Wages!$B1505,FIND("/",Wages!$B1505)+1,20))-1))),"")))</f>
        <v/>
      </c>
      <c r="E1502">
        <f>IF(OR($A1502="",$C1502=""),"",IF(ISNUMBER(Wages!$B1505),MOD(Wages!$B1505,100),IFERROR(VALUE(TRIM(MID(MID(Wages!$B1505,FIND("/",Wages!$B1505)+1,20),FIND("/",MID(Wages!$B1505,FIND("/",Wages!$B1505)+1,20))+1,20))),"")))</f>
        <v/>
      </c>
      <c r="F1502">
        <f>IF($A1502="","",IF(OR($C1502="",$D1502="",$E1502="",$C1502&lt;1300,$C1502&gt;1500,$D1502&lt;1,$D1502&gt;12,$E1502&lt;1,$E1502&gt;31),"نامعتبر",RIGHT("0000"&amp;$C1502,4)&amp;"/"&amp;RIGHT("00"&amp;$D1502,2)&amp;"/"&amp;RIGHT("00"&amp;$E1502,2)))</f>
        <v/>
      </c>
      <c r="G1502">
        <f>IF(OR($A1502="",$F1502="",$F1502="نامعتبر"),"",LEFT($F1502,4)&amp;MID($F1502,6,2)&amp;RIGHT($F1502,2)&amp;"0000"&amp;"|"&amp;"1"&amp;RIGHT("00000"&amp;1497,5))</f>
        <v/>
      </c>
      <c r="H1502">
        <f>IF(OR($B1502&lt;&gt;1,$G1502=""),"",COUNTIFS(LdAParty,$A1502,LdAType,1,LdAKey,"&lt;"&amp;$G1502)+COUNTIFS(LdBMember,$A1502,LdBKey,"&lt;"&amp;$G1502)+COUNTIFS(LdCParty,$A1502,LdCKey,"&lt;"&amp;$G1502)+1)</f>
        <v/>
      </c>
      <c r="I1502">
        <f>IF($H1502="","",$A1502&amp;"|"&amp;RIGHT("000000"&amp;$H1502,6))</f>
        <v/>
      </c>
      <c r="J1502">
        <f>IF(OR($B1502&lt;&gt;2,$G1502=""),"",COUNTIFS(LdAParty,$A1502,LdAType,2,LdAKey,"&lt;"&amp;$G1502)+1)</f>
        <v/>
      </c>
      <c r="K1502">
        <f>IF($J1502="","",$A1502&amp;"|"&amp;RIGHT("000000"&amp;$J1502,6))</f>
        <v/>
      </c>
      <c r="L1502">
        <f>IF($A1502="","",IF(Wages!$G1505="",0,Wages!$G1505))</f>
        <v/>
      </c>
      <c r="M1502">
        <f>IF($A1502="","",Wages!$J1505)</f>
        <v/>
      </c>
      <c r="N1502">
        <f>IF($A1502="","",Wages!$D1505)</f>
        <v/>
      </c>
      <c r="P1502">
        <f>IF(OR(Shares!$B1505="",Shares!$C1505=""),"",Shares!$C1505)</f>
        <v/>
      </c>
      <c r="Q1502">
        <f>IF($P1502="","",Shares!$B1505)</f>
        <v/>
      </c>
      <c r="R1502">
        <f>IF($P1502="","",IFERROR(INDEX(WageParty,MATCH($Q1502,WageIds,0)),""))</f>
        <v/>
      </c>
      <c r="S1502">
        <f>IF($P1502="","",IFERROR(INDEX($F$6:$F$2005,MATCH($Q1502,WageIds,0)),""))</f>
        <v/>
      </c>
      <c r="T1502">
        <f>IF(OR($P1502="",$S1502="",$S1502="نامعتبر"),"",LEFT($S1502,4)&amp;MID($S1502,6,2)&amp;RIGHT($S1502,2)&amp;"0000"&amp;"|"&amp;"2"&amp;RIGHT("00000"&amp;1497,5))</f>
        <v/>
      </c>
      <c r="U1502">
        <f>IF($T1502="","",COUNTIFS(LdAParty,$P1502,LdAType,1,LdAKey,"&lt;"&amp;$T1502)+COUNTIFS(LdBMember,$P1502,LdBKey,"&lt;"&amp;$T1502)+COUNTIFS(LdCParty,$P1502,LdCKey,"&lt;"&amp;$T1502)+1)</f>
        <v/>
      </c>
      <c r="V1502">
        <f>IF($U1502="","",$P1502&amp;"|"&amp;RIGHT("000000"&amp;$U1502,6))</f>
        <v/>
      </c>
      <c r="W1502">
        <f>IF($T1502="","",COUNTIFS(LdBGroup,$R1502,LdBKey,"&lt;"&amp;$T1502)+1)</f>
        <v/>
      </c>
      <c r="X1502">
        <f>IF($W1502="","",$R1502&amp;"|"&amp;RIGHT("000000"&amp;$W1502,6))</f>
        <v/>
      </c>
      <c r="Y1502">
        <f>IF($P1502="","",IF(Shares!$E1505="",0,Shares!$E1505))</f>
        <v/>
      </c>
      <c r="Z1502">
        <f>IF($P1502="","",Shares!$H1505)</f>
        <v/>
      </c>
      <c r="AE1502">
        <f>IF(OR(Sync!$S1502="",Sync!$P1502=""),"",Sync!$S1502)</f>
        <v/>
      </c>
      <c r="AF1502">
        <f>IF($AE1502="","",IF(ISNUMBER(Sync!$P1502),IF(AND(Sync!$P1502&gt;=10000101,Sync!$P1502&lt;=99991231),INT(Sync!$P1502/10000),""),IFERROR(VALUE(TRIM(LEFT(Sync!$P1502,FIND("/",Sync!$P1502)-1))),"")))</f>
        <v/>
      </c>
      <c r="AG1502">
        <f>IF(OR($AE1502="",$AF1502=""),"",IF(ISNUMBER(Sync!$P1502),INT(MOD(Sync!$P1502,10000)/100),IFERROR(VALUE(TRIM(LEFT(MID(Sync!$P1502,FIND("/",Sync!$P1502)+1,20),FIND("/",MID(Sync!$P1502,FIND("/",Sync!$P1502)+1,20))-1))),"")))</f>
        <v/>
      </c>
      <c r="AH1502">
        <f>IF(OR($AE1502="",$AF1502=""),"",IF(ISNUMBER(Sync!$P1502),MOD(Sync!$P1502,100),IFERROR(VALUE(TRIM(MID(MID(Sync!$P1502,FIND("/",Sync!$P1502)+1,20),FIND("/",MID(Sync!$P1502,FIND("/",Sync!$P1502)+1,20))+1,20))),"")))</f>
        <v/>
      </c>
      <c r="AI1502">
        <f>IF($AE1502="","",IF(OR($AF1502="",$AG1502="",$AH1502="",$AF1502&lt;1300,$AF1502&gt;1500,$AG1502&lt;1,$AG1502&gt;12,$AH1502&lt;1,$AH1502&gt;31),"نامعتبر",RIGHT("0000"&amp;$AF1502,4)&amp;"/"&amp;RIGHT("00"&amp;$AG1502,2)&amp;"/"&amp;RIGHT("00"&amp;$AH1502,2)))</f>
        <v/>
      </c>
      <c r="AJ1502">
        <f>IF($AE1502="","",IF(Sync!$Q1502="","0000",IF(AND(ISNUMBER(Sync!$Q1502),Sync!$Q1502&gt;=0,Sync!$Q1502&lt;1),RIGHT("00"&amp;HOUR(Sync!$Q1502),2)&amp;RIGHT("00"&amp;MINUTE(Sync!$Q1502),2),IFERROR(RIGHT("00"&amp;VALUE(LEFT(Sync!$Q1502,FIND(":",Sync!$Q1502)-1)),2)&amp;RIGHT("00"&amp;VALUE(MID(Sync!$Q1502,FIND(":",Sync!$Q1502)+1,2)),2),"0000"))))</f>
        <v/>
      </c>
      <c r="AK1502">
        <f>IF(OR($AE1502="",$AI1502="",$AI1502="نامعتبر"),"",LEFT($AI1502,4)&amp;MID($AI1502,6,2)&amp;RIGHT($AI1502,2)&amp;$AJ1502&amp;"|"&amp;"3"&amp;RIGHT("00000"&amp;1497,5))</f>
        <v/>
      </c>
      <c r="AL1502">
        <f>IF($AK1502="","",COUNTIFS(LdAParty,$AE1502,LdAType,1,LdAKey,"&lt;"&amp;$AK1502)+COUNTIFS(LdBMember,$AE1502,LdBKey,"&lt;"&amp;$AK1502)+COUNTIFS(LdCParty,$AE1502,LdCKey,"&lt;"&amp;$AK1502)+1)</f>
        <v/>
      </c>
      <c r="AM1502">
        <f>IF($AL1502="","",$AE1502&amp;"|"&amp;RIGHT("000000"&amp;$AL1502,6))</f>
        <v/>
      </c>
      <c r="AN1502">
        <f>IF($AE1502="","",IF(Sync!$W1502="",0,Sync!$W1502))</f>
        <v/>
      </c>
      <c r="AO1502">
        <f>IF($AE1502="","",IF(Sync!$X1502="",0,Sync!$X1502))</f>
        <v/>
      </c>
      <c r="AP1502">
        <f>IF($AE1502="","",Sync!$R1502)</f>
        <v/>
      </c>
      <c r="AQ1502">
        <f>IF($AE1502="","",Sync!$Y1502)</f>
        <v/>
      </c>
    </row>
    <row r="1503">
      <c r="A1503">
        <f>IF(OR(Wages!$B1506="",Wages!$E1506=""),"",Wages!$E1506)</f>
        <v/>
      </c>
      <c r="B1503">
        <f>IF($A1503="","",IF(Wages!$C1506="دستمزد گروهی",2,1))</f>
        <v/>
      </c>
      <c r="C1503">
        <f>IF($A1503="","",IF(ISNUMBER(Wages!$B1506),IF(AND(Wages!$B1506&gt;=10000101,Wages!$B1506&lt;=99991231),INT(Wages!$B1506/10000),""),IFERROR(VALUE(TRIM(LEFT(Wages!$B1506,FIND("/",Wages!$B1506)-1))),"")))</f>
        <v/>
      </c>
      <c r="D1503">
        <f>IF(OR($A1503="",$C1503=""),"",IF(ISNUMBER(Wages!$B1506),INT(MOD(Wages!$B1506,10000)/100),IFERROR(VALUE(TRIM(LEFT(MID(Wages!$B1506,FIND("/",Wages!$B1506)+1,20),FIND("/",MID(Wages!$B1506,FIND("/",Wages!$B1506)+1,20))-1))),"")))</f>
        <v/>
      </c>
      <c r="E1503">
        <f>IF(OR($A1503="",$C1503=""),"",IF(ISNUMBER(Wages!$B1506),MOD(Wages!$B1506,100),IFERROR(VALUE(TRIM(MID(MID(Wages!$B1506,FIND("/",Wages!$B1506)+1,20),FIND("/",MID(Wages!$B1506,FIND("/",Wages!$B1506)+1,20))+1,20))),"")))</f>
        <v/>
      </c>
      <c r="F1503">
        <f>IF($A1503="","",IF(OR($C1503="",$D1503="",$E1503="",$C1503&lt;1300,$C1503&gt;1500,$D1503&lt;1,$D1503&gt;12,$E1503&lt;1,$E1503&gt;31),"نامعتبر",RIGHT("0000"&amp;$C1503,4)&amp;"/"&amp;RIGHT("00"&amp;$D1503,2)&amp;"/"&amp;RIGHT("00"&amp;$E1503,2)))</f>
        <v/>
      </c>
      <c r="G1503">
        <f>IF(OR($A1503="",$F1503="",$F1503="نامعتبر"),"",LEFT($F1503,4)&amp;MID($F1503,6,2)&amp;RIGHT($F1503,2)&amp;"0000"&amp;"|"&amp;"1"&amp;RIGHT("00000"&amp;1498,5))</f>
        <v/>
      </c>
      <c r="H1503">
        <f>IF(OR($B1503&lt;&gt;1,$G1503=""),"",COUNTIFS(LdAParty,$A1503,LdAType,1,LdAKey,"&lt;"&amp;$G1503)+COUNTIFS(LdBMember,$A1503,LdBKey,"&lt;"&amp;$G1503)+COUNTIFS(LdCParty,$A1503,LdCKey,"&lt;"&amp;$G1503)+1)</f>
        <v/>
      </c>
      <c r="I1503">
        <f>IF($H1503="","",$A1503&amp;"|"&amp;RIGHT("000000"&amp;$H1503,6))</f>
        <v/>
      </c>
      <c r="J1503">
        <f>IF(OR($B1503&lt;&gt;2,$G1503=""),"",COUNTIFS(LdAParty,$A1503,LdAType,2,LdAKey,"&lt;"&amp;$G1503)+1)</f>
        <v/>
      </c>
      <c r="K1503">
        <f>IF($J1503="","",$A1503&amp;"|"&amp;RIGHT("000000"&amp;$J1503,6))</f>
        <v/>
      </c>
      <c r="L1503">
        <f>IF($A1503="","",IF(Wages!$G1506="",0,Wages!$G1506))</f>
        <v/>
      </c>
      <c r="M1503">
        <f>IF($A1503="","",Wages!$J1506)</f>
        <v/>
      </c>
      <c r="N1503">
        <f>IF($A1503="","",Wages!$D1506)</f>
        <v/>
      </c>
      <c r="P1503">
        <f>IF(OR(Shares!$B1506="",Shares!$C1506=""),"",Shares!$C1506)</f>
        <v/>
      </c>
      <c r="Q1503">
        <f>IF($P1503="","",Shares!$B1506)</f>
        <v/>
      </c>
      <c r="R1503">
        <f>IF($P1503="","",IFERROR(INDEX(WageParty,MATCH($Q1503,WageIds,0)),""))</f>
        <v/>
      </c>
      <c r="S1503">
        <f>IF($P1503="","",IFERROR(INDEX($F$6:$F$2005,MATCH($Q1503,WageIds,0)),""))</f>
        <v/>
      </c>
      <c r="T1503">
        <f>IF(OR($P1503="",$S1503="",$S1503="نامعتبر"),"",LEFT($S1503,4)&amp;MID($S1503,6,2)&amp;RIGHT($S1503,2)&amp;"0000"&amp;"|"&amp;"2"&amp;RIGHT("00000"&amp;1498,5))</f>
        <v/>
      </c>
      <c r="U1503">
        <f>IF($T1503="","",COUNTIFS(LdAParty,$P1503,LdAType,1,LdAKey,"&lt;"&amp;$T1503)+COUNTIFS(LdBMember,$P1503,LdBKey,"&lt;"&amp;$T1503)+COUNTIFS(LdCParty,$P1503,LdCKey,"&lt;"&amp;$T1503)+1)</f>
        <v/>
      </c>
      <c r="V1503">
        <f>IF($U1503="","",$P1503&amp;"|"&amp;RIGHT("000000"&amp;$U1503,6))</f>
        <v/>
      </c>
      <c r="W1503">
        <f>IF($T1503="","",COUNTIFS(LdBGroup,$R1503,LdBKey,"&lt;"&amp;$T1503)+1)</f>
        <v/>
      </c>
      <c r="X1503">
        <f>IF($W1503="","",$R1503&amp;"|"&amp;RIGHT("000000"&amp;$W1503,6))</f>
        <v/>
      </c>
      <c r="Y1503">
        <f>IF($P1503="","",IF(Shares!$E1506="",0,Shares!$E1506))</f>
        <v/>
      </c>
      <c r="Z1503">
        <f>IF($P1503="","",Shares!$H1506)</f>
        <v/>
      </c>
      <c r="AE1503">
        <f>IF(OR(Sync!$S1503="",Sync!$P1503=""),"",Sync!$S1503)</f>
        <v/>
      </c>
      <c r="AF1503">
        <f>IF($AE1503="","",IF(ISNUMBER(Sync!$P1503),IF(AND(Sync!$P1503&gt;=10000101,Sync!$P1503&lt;=99991231),INT(Sync!$P1503/10000),""),IFERROR(VALUE(TRIM(LEFT(Sync!$P1503,FIND("/",Sync!$P1503)-1))),"")))</f>
        <v/>
      </c>
      <c r="AG1503">
        <f>IF(OR($AE1503="",$AF1503=""),"",IF(ISNUMBER(Sync!$P1503),INT(MOD(Sync!$P1503,10000)/100),IFERROR(VALUE(TRIM(LEFT(MID(Sync!$P1503,FIND("/",Sync!$P1503)+1,20),FIND("/",MID(Sync!$P1503,FIND("/",Sync!$P1503)+1,20))-1))),"")))</f>
        <v/>
      </c>
      <c r="AH1503">
        <f>IF(OR($AE1503="",$AF1503=""),"",IF(ISNUMBER(Sync!$P1503),MOD(Sync!$P1503,100),IFERROR(VALUE(TRIM(MID(MID(Sync!$P1503,FIND("/",Sync!$P1503)+1,20),FIND("/",MID(Sync!$P1503,FIND("/",Sync!$P1503)+1,20))+1,20))),"")))</f>
        <v/>
      </c>
      <c r="AI1503">
        <f>IF($AE1503="","",IF(OR($AF1503="",$AG1503="",$AH1503="",$AF1503&lt;1300,$AF1503&gt;1500,$AG1503&lt;1,$AG1503&gt;12,$AH1503&lt;1,$AH1503&gt;31),"نامعتبر",RIGHT("0000"&amp;$AF1503,4)&amp;"/"&amp;RIGHT("00"&amp;$AG1503,2)&amp;"/"&amp;RIGHT("00"&amp;$AH1503,2)))</f>
        <v/>
      </c>
      <c r="AJ1503">
        <f>IF($AE1503="","",IF(Sync!$Q1503="","0000",IF(AND(ISNUMBER(Sync!$Q1503),Sync!$Q1503&gt;=0,Sync!$Q1503&lt;1),RIGHT("00"&amp;HOUR(Sync!$Q1503),2)&amp;RIGHT("00"&amp;MINUTE(Sync!$Q1503),2),IFERROR(RIGHT("00"&amp;VALUE(LEFT(Sync!$Q1503,FIND(":",Sync!$Q1503)-1)),2)&amp;RIGHT("00"&amp;VALUE(MID(Sync!$Q1503,FIND(":",Sync!$Q1503)+1,2)),2),"0000"))))</f>
        <v/>
      </c>
      <c r="AK1503">
        <f>IF(OR($AE1503="",$AI1503="",$AI1503="نامعتبر"),"",LEFT($AI1503,4)&amp;MID($AI1503,6,2)&amp;RIGHT($AI1503,2)&amp;$AJ1503&amp;"|"&amp;"3"&amp;RIGHT("00000"&amp;1498,5))</f>
        <v/>
      </c>
      <c r="AL1503">
        <f>IF($AK1503="","",COUNTIFS(LdAParty,$AE1503,LdAType,1,LdAKey,"&lt;"&amp;$AK1503)+COUNTIFS(LdBMember,$AE1503,LdBKey,"&lt;"&amp;$AK1503)+COUNTIFS(LdCParty,$AE1503,LdCKey,"&lt;"&amp;$AK1503)+1)</f>
        <v/>
      </c>
      <c r="AM1503">
        <f>IF($AL1503="","",$AE1503&amp;"|"&amp;RIGHT("000000"&amp;$AL1503,6))</f>
        <v/>
      </c>
      <c r="AN1503">
        <f>IF($AE1503="","",IF(Sync!$W1503="",0,Sync!$W1503))</f>
        <v/>
      </c>
      <c r="AO1503">
        <f>IF($AE1503="","",IF(Sync!$X1503="",0,Sync!$X1503))</f>
        <v/>
      </c>
      <c r="AP1503">
        <f>IF($AE1503="","",Sync!$R1503)</f>
        <v/>
      </c>
      <c r="AQ1503">
        <f>IF($AE1503="","",Sync!$Y1503)</f>
        <v/>
      </c>
    </row>
    <row r="1504">
      <c r="A1504">
        <f>IF(OR(Wages!$B1507="",Wages!$E1507=""),"",Wages!$E1507)</f>
        <v/>
      </c>
      <c r="B1504">
        <f>IF($A1504="","",IF(Wages!$C1507="دستمزد گروهی",2,1))</f>
        <v/>
      </c>
      <c r="C1504">
        <f>IF($A1504="","",IF(ISNUMBER(Wages!$B1507),IF(AND(Wages!$B1507&gt;=10000101,Wages!$B1507&lt;=99991231),INT(Wages!$B1507/10000),""),IFERROR(VALUE(TRIM(LEFT(Wages!$B1507,FIND("/",Wages!$B1507)-1))),"")))</f>
        <v/>
      </c>
      <c r="D1504">
        <f>IF(OR($A1504="",$C1504=""),"",IF(ISNUMBER(Wages!$B1507),INT(MOD(Wages!$B1507,10000)/100),IFERROR(VALUE(TRIM(LEFT(MID(Wages!$B1507,FIND("/",Wages!$B1507)+1,20),FIND("/",MID(Wages!$B1507,FIND("/",Wages!$B1507)+1,20))-1))),"")))</f>
        <v/>
      </c>
      <c r="E1504">
        <f>IF(OR($A1504="",$C1504=""),"",IF(ISNUMBER(Wages!$B1507),MOD(Wages!$B1507,100),IFERROR(VALUE(TRIM(MID(MID(Wages!$B1507,FIND("/",Wages!$B1507)+1,20),FIND("/",MID(Wages!$B1507,FIND("/",Wages!$B1507)+1,20))+1,20))),"")))</f>
        <v/>
      </c>
      <c r="F1504">
        <f>IF($A1504="","",IF(OR($C1504="",$D1504="",$E1504="",$C1504&lt;1300,$C1504&gt;1500,$D1504&lt;1,$D1504&gt;12,$E1504&lt;1,$E1504&gt;31),"نامعتبر",RIGHT("0000"&amp;$C1504,4)&amp;"/"&amp;RIGHT("00"&amp;$D1504,2)&amp;"/"&amp;RIGHT("00"&amp;$E1504,2)))</f>
        <v/>
      </c>
      <c r="G1504">
        <f>IF(OR($A1504="",$F1504="",$F1504="نامعتبر"),"",LEFT($F1504,4)&amp;MID($F1504,6,2)&amp;RIGHT($F1504,2)&amp;"0000"&amp;"|"&amp;"1"&amp;RIGHT("00000"&amp;1499,5))</f>
        <v/>
      </c>
      <c r="H1504">
        <f>IF(OR($B1504&lt;&gt;1,$G1504=""),"",COUNTIFS(LdAParty,$A1504,LdAType,1,LdAKey,"&lt;"&amp;$G1504)+COUNTIFS(LdBMember,$A1504,LdBKey,"&lt;"&amp;$G1504)+COUNTIFS(LdCParty,$A1504,LdCKey,"&lt;"&amp;$G1504)+1)</f>
        <v/>
      </c>
      <c r="I1504">
        <f>IF($H1504="","",$A1504&amp;"|"&amp;RIGHT("000000"&amp;$H1504,6))</f>
        <v/>
      </c>
      <c r="J1504">
        <f>IF(OR($B1504&lt;&gt;2,$G1504=""),"",COUNTIFS(LdAParty,$A1504,LdAType,2,LdAKey,"&lt;"&amp;$G1504)+1)</f>
        <v/>
      </c>
      <c r="K1504">
        <f>IF($J1504="","",$A1504&amp;"|"&amp;RIGHT("000000"&amp;$J1504,6))</f>
        <v/>
      </c>
      <c r="L1504">
        <f>IF($A1504="","",IF(Wages!$G1507="",0,Wages!$G1507))</f>
        <v/>
      </c>
      <c r="M1504">
        <f>IF($A1504="","",Wages!$J1507)</f>
        <v/>
      </c>
      <c r="N1504">
        <f>IF($A1504="","",Wages!$D1507)</f>
        <v/>
      </c>
      <c r="P1504">
        <f>IF(OR(Shares!$B1507="",Shares!$C1507=""),"",Shares!$C1507)</f>
        <v/>
      </c>
      <c r="Q1504">
        <f>IF($P1504="","",Shares!$B1507)</f>
        <v/>
      </c>
      <c r="R1504">
        <f>IF($P1504="","",IFERROR(INDEX(WageParty,MATCH($Q1504,WageIds,0)),""))</f>
        <v/>
      </c>
      <c r="S1504">
        <f>IF($P1504="","",IFERROR(INDEX($F$6:$F$2005,MATCH($Q1504,WageIds,0)),""))</f>
        <v/>
      </c>
      <c r="T1504">
        <f>IF(OR($P1504="",$S1504="",$S1504="نامعتبر"),"",LEFT($S1504,4)&amp;MID($S1504,6,2)&amp;RIGHT($S1504,2)&amp;"0000"&amp;"|"&amp;"2"&amp;RIGHT("00000"&amp;1499,5))</f>
        <v/>
      </c>
      <c r="U1504">
        <f>IF($T1504="","",COUNTIFS(LdAParty,$P1504,LdAType,1,LdAKey,"&lt;"&amp;$T1504)+COUNTIFS(LdBMember,$P1504,LdBKey,"&lt;"&amp;$T1504)+COUNTIFS(LdCParty,$P1504,LdCKey,"&lt;"&amp;$T1504)+1)</f>
        <v/>
      </c>
      <c r="V1504">
        <f>IF($U1504="","",$P1504&amp;"|"&amp;RIGHT("000000"&amp;$U1504,6))</f>
        <v/>
      </c>
      <c r="W1504">
        <f>IF($T1504="","",COUNTIFS(LdBGroup,$R1504,LdBKey,"&lt;"&amp;$T1504)+1)</f>
        <v/>
      </c>
      <c r="X1504">
        <f>IF($W1504="","",$R1504&amp;"|"&amp;RIGHT("000000"&amp;$W1504,6))</f>
        <v/>
      </c>
      <c r="Y1504">
        <f>IF($P1504="","",IF(Shares!$E1507="",0,Shares!$E1507))</f>
        <v/>
      </c>
      <c r="Z1504">
        <f>IF($P1504="","",Shares!$H1507)</f>
        <v/>
      </c>
      <c r="AE1504">
        <f>IF(OR(Sync!$S1504="",Sync!$P1504=""),"",Sync!$S1504)</f>
        <v/>
      </c>
      <c r="AF1504">
        <f>IF($AE1504="","",IF(ISNUMBER(Sync!$P1504),IF(AND(Sync!$P1504&gt;=10000101,Sync!$P1504&lt;=99991231),INT(Sync!$P1504/10000),""),IFERROR(VALUE(TRIM(LEFT(Sync!$P1504,FIND("/",Sync!$P1504)-1))),"")))</f>
        <v/>
      </c>
      <c r="AG1504">
        <f>IF(OR($AE1504="",$AF1504=""),"",IF(ISNUMBER(Sync!$P1504),INT(MOD(Sync!$P1504,10000)/100),IFERROR(VALUE(TRIM(LEFT(MID(Sync!$P1504,FIND("/",Sync!$P1504)+1,20),FIND("/",MID(Sync!$P1504,FIND("/",Sync!$P1504)+1,20))-1))),"")))</f>
        <v/>
      </c>
      <c r="AH1504">
        <f>IF(OR($AE1504="",$AF1504=""),"",IF(ISNUMBER(Sync!$P1504),MOD(Sync!$P1504,100),IFERROR(VALUE(TRIM(MID(MID(Sync!$P1504,FIND("/",Sync!$P1504)+1,20),FIND("/",MID(Sync!$P1504,FIND("/",Sync!$P1504)+1,20))+1,20))),"")))</f>
        <v/>
      </c>
      <c r="AI1504">
        <f>IF($AE1504="","",IF(OR($AF1504="",$AG1504="",$AH1504="",$AF1504&lt;1300,$AF1504&gt;1500,$AG1504&lt;1,$AG1504&gt;12,$AH1504&lt;1,$AH1504&gt;31),"نامعتبر",RIGHT("0000"&amp;$AF1504,4)&amp;"/"&amp;RIGHT("00"&amp;$AG1504,2)&amp;"/"&amp;RIGHT("00"&amp;$AH1504,2)))</f>
        <v/>
      </c>
      <c r="AJ1504">
        <f>IF($AE1504="","",IF(Sync!$Q1504="","0000",IF(AND(ISNUMBER(Sync!$Q1504),Sync!$Q1504&gt;=0,Sync!$Q1504&lt;1),RIGHT("00"&amp;HOUR(Sync!$Q1504),2)&amp;RIGHT("00"&amp;MINUTE(Sync!$Q1504),2),IFERROR(RIGHT("00"&amp;VALUE(LEFT(Sync!$Q1504,FIND(":",Sync!$Q1504)-1)),2)&amp;RIGHT("00"&amp;VALUE(MID(Sync!$Q1504,FIND(":",Sync!$Q1504)+1,2)),2),"0000"))))</f>
        <v/>
      </c>
      <c r="AK1504">
        <f>IF(OR($AE1504="",$AI1504="",$AI1504="نامعتبر"),"",LEFT($AI1504,4)&amp;MID($AI1504,6,2)&amp;RIGHT($AI1504,2)&amp;$AJ1504&amp;"|"&amp;"3"&amp;RIGHT("00000"&amp;1499,5))</f>
        <v/>
      </c>
      <c r="AL1504">
        <f>IF($AK1504="","",COUNTIFS(LdAParty,$AE1504,LdAType,1,LdAKey,"&lt;"&amp;$AK1504)+COUNTIFS(LdBMember,$AE1504,LdBKey,"&lt;"&amp;$AK1504)+COUNTIFS(LdCParty,$AE1504,LdCKey,"&lt;"&amp;$AK1504)+1)</f>
        <v/>
      </c>
      <c r="AM1504">
        <f>IF($AL1504="","",$AE1504&amp;"|"&amp;RIGHT("000000"&amp;$AL1504,6))</f>
        <v/>
      </c>
      <c r="AN1504">
        <f>IF($AE1504="","",IF(Sync!$W1504="",0,Sync!$W1504))</f>
        <v/>
      </c>
      <c r="AO1504">
        <f>IF($AE1504="","",IF(Sync!$X1504="",0,Sync!$X1504))</f>
        <v/>
      </c>
      <c r="AP1504">
        <f>IF($AE1504="","",Sync!$R1504)</f>
        <v/>
      </c>
      <c r="AQ1504">
        <f>IF($AE1504="","",Sync!$Y1504)</f>
        <v/>
      </c>
    </row>
    <row r="1505">
      <c r="A1505">
        <f>IF(OR(Wages!$B1508="",Wages!$E1508=""),"",Wages!$E1508)</f>
        <v/>
      </c>
      <c r="B1505">
        <f>IF($A1505="","",IF(Wages!$C1508="دستمزد گروهی",2,1))</f>
        <v/>
      </c>
      <c r="C1505">
        <f>IF($A1505="","",IF(ISNUMBER(Wages!$B1508),IF(AND(Wages!$B1508&gt;=10000101,Wages!$B1508&lt;=99991231),INT(Wages!$B1508/10000),""),IFERROR(VALUE(TRIM(LEFT(Wages!$B1508,FIND("/",Wages!$B1508)-1))),"")))</f>
        <v/>
      </c>
      <c r="D1505">
        <f>IF(OR($A1505="",$C1505=""),"",IF(ISNUMBER(Wages!$B1508),INT(MOD(Wages!$B1508,10000)/100),IFERROR(VALUE(TRIM(LEFT(MID(Wages!$B1508,FIND("/",Wages!$B1508)+1,20),FIND("/",MID(Wages!$B1508,FIND("/",Wages!$B1508)+1,20))-1))),"")))</f>
        <v/>
      </c>
      <c r="E1505">
        <f>IF(OR($A1505="",$C1505=""),"",IF(ISNUMBER(Wages!$B1508),MOD(Wages!$B1508,100),IFERROR(VALUE(TRIM(MID(MID(Wages!$B1508,FIND("/",Wages!$B1508)+1,20),FIND("/",MID(Wages!$B1508,FIND("/",Wages!$B1508)+1,20))+1,20))),"")))</f>
        <v/>
      </c>
      <c r="F1505">
        <f>IF($A1505="","",IF(OR($C1505="",$D1505="",$E1505="",$C1505&lt;1300,$C1505&gt;1500,$D1505&lt;1,$D1505&gt;12,$E1505&lt;1,$E1505&gt;31),"نامعتبر",RIGHT("0000"&amp;$C1505,4)&amp;"/"&amp;RIGHT("00"&amp;$D1505,2)&amp;"/"&amp;RIGHT("00"&amp;$E1505,2)))</f>
        <v/>
      </c>
      <c r="G1505">
        <f>IF(OR($A1505="",$F1505="",$F1505="نامعتبر"),"",LEFT($F1505,4)&amp;MID($F1505,6,2)&amp;RIGHT($F1505,2)&amp;"0000"&amp;"|"&amp;"1"&amp;RIGHT("00000"&amp;1500,5))</f>
        <v/>
      </c>
      <c r="H1505">
        <f>IF(OR($B1505&lt;&gt;1,$G1505=""),"",COUNTIFS(LdAParty,$A1505,LdAType,1,LdAKey,"&lt;"&amp;$G1505)+COUNTIFS(LdBMember,$A1505,LdBKey,"&lt;"&amp;$G1505)+COUNTIFS(LdCParty,$A1505,LdCKey,"&lt;"&amp;$G1505)+1)</f>
        <v/>
      </c>
      <c r="I1505">
        <f>IF($H1505="","",$A1505&amp;"|"&amp;RIGHT("000000"&amp;$H1505,6))</f>
        <v/>
      </c>
      <c r="J1505">
        <f>IF(OR($B1505&lt;&gt;2,$G1505=""),"",COUNTIFS(LdAParty,$A1505,LdAType,2,LdAKey,"&lt;"&amp;$G1505)+1)</f>
        <v/>
      </c>
      <c r="K1505">
        <f>IF($J1505="","",$A1505&amp;"|"&amp;RIGHT("000000"&amp;$J1505,6))</f>
        <v/>
      </c>
      <c r="L1505">
        <f>IF($A1505="","",IF(Wages!$G1508="",0,Wages!$G1508))</f>
        <v/>
      </c>
      <c r="M1505">
        <f>IF($A1505="","",Wages!$J1508)</f>
        <v/>
      </c>
      <c r="N1505">
        <f>IF($A1505="","",Wages!$D1508)</f>
        <v/>
      </c>
      <c r="P1505">
        <f>IF(OR(Shares!$B1508="",Shares!$C1508=""),"",Shares!$C1508)</f>
        <v/>
      </c>
      <c r="Q1505">
        <f>IF($P1505="","",Shares!$B1508)</f>
        <v/>
      </c>
      <c r="R1505">
        <f>IF($P1505="","",IFERROR(INDEX(WageParty,MATCH($Q1505,WageIds,0)),""))</f>
        <v/>
      </c>
      <c r="S1505">
        <f>IF($P1505="","",IFERROR(INDEX($F$6:$F$2005,MATCH($Q1505,WageIds,0)),""))</f>
        <v/>
      </c>
      <c r="T1505">
        <f>IF(OR($P1505="",$S1505="",$S1505="نامعتبر"),"",LEFT($S1505,4)&amp;MID($S1505,6,2)&amp;RIGHT($S1505,2)&amp;"0000"&amp;"|"&amp;"2"&amp;RIGHT("00000"&amp;1500,5))</f>
        <v/>
      </c>
      <c r="U1505">
        <f>IF($T1505="","",COUNTIFS(LdAParty,$P1505,LdAType,1,LdAKey,"&lt;"&amp;$T1505)+COUNTIFS(LdBMember,$P1505,LdBKey,"&lt;"&amp;$T1505)+COUNTIFS(LdCParty,$P1505,LdCKey,"&lt;"&amp;$T1505)+1)</f>
        <v/>
      </c>
      <c r="V1505">
        <f>IF($U1505="","",$P1505&amp;"|"&amp;RIGHT("000000"&amp;$U1505,6))</f>
        <v/>
      </c>
      <c r="W1505">
        <f>IF($T1505="","",COUNTIFS(LdBGroup,$R1505,LdBKey,"&lt;"&amp;$T1505)+1)</f>
        <v/>
      </c>
      <c r="X1505">
        <f>IF($W1505="","",$R1505&amp;"|"&amp;RIGHT("000000"&amp;$W1505,6))</f>
        <v/>
      </c>
      <c r="Y1505">
        <f>IF($P1505="","",IF(Shares!$E1508="",0,Shares!$E1508))</f>
        <v/>
      </c>
      <c r="Z1505">
        <f>IF($P1505="","",Shares!$H1508)</f>
        <v/>
      </c>
      <c r="AE1505">
        <f>IF(OR(Sync!$S1505="",Sync!$P1505=""),"",Sync!$S1505)</f>
        <v/>
      </c>
      <c r="AF1505">
        <f>IF($AE1505="","",IF(ISNUMBER(Sync!$P1505),IF(AND(Sync!$P1505&gt;=10000101,Sync!$P1505&lt;=99991231),INT(Sync!$P1505/10000),""),IFERROR(VALUE(TRIM(LEFT(Sync!$P1505,FIND("/",Sync!$P1505)-1))),"")))</f>
        <v/>
      </c>
      <c r="AG1505">
        <f>IF(OR($AE1505="",$AF1505=""),"",IF(ISNUMBER(Sync!$P1505),INT(MOD(Sync!$P1505,10000)/100),IFERROR(VALUE(TRIM(LEFT(MID(Sync!$P1505,FIND("/",Sync!$P1505)+1,20),FIND("/",MID(Sync!$P1505,FIND("/",Sync!$P1505)+1,20))-1))),"")))</f>
        <v/>
      </c>
      <c r="AH1505">
        <f>IF(OR($AE1505="",$AF1505=""),"",IF(ISNUMBER(Sync!$P1505),MOD(Sync!$P1505,100),IFERROR(VALUE(TRIM(MID(MID(Sync!$P1505,FIND("/",Sync!$P1505)+1,20),FIND("/",MID(Sync!$P1505,FIND("/",Sync!$P1505)+1,20))+1,20))),"")))</f>
        <v/>
      </c>
      <c r="AI1505">
        <f>IF($AE1505="","",IF(OR($AF1505="",$AG1505="",$AH1505="",$AF1505&lt;1300,$AF1505&gt;1500,$AG1505&lt;1,$AG1505&gt;12,$AH1505&lt;1,$AH1505&gt;31),"نامعتبر",RIGHT("0000"&amp;$AF1505,4)&amp;"/"&amp;RIGHT("00"&amp;$AG1505,2)&amp;"/"&amp;RIGHT("00"&amp;$AH1505,2)))</f>
        <v/>
      </c>
      <c r="AJ1505">
        <f>IF($AE1505="","",IF(Sync!$Q1505="","0000",IF(AND(ISNUMBER(Sync!$Q1505),Sync!$Q1505&gt;=0,Sync!$Q1505&lt;1),RIGHT("00"&amp;HOUR(Sync!$Q1505),2)&amp;RIGHT("00"&amp;MINUTE(Sync!$Q1505),2),IFERROR(RIGHT("00"&amp;VALUE(LEFT(Sync!$Q1505,FIND(":",Sync!$Q1505)-1)),2)&amp;RIGHT("00"&amp;VALUE(MID(Sync!$Q1505,FIND(":",Sync!$Q1505)+1,2)),2),"0000"))))</f>
        <v/>
      </c>
      <c r="AK1505">
        <f>IF(OR($AE1505="",$AI1505="",$AI1505="نامعتبر"),"",LEFT($AI1505,4)&amp;MID($AI1505,6,2)&amp;RIGHT($AI1505,2)&amp;$AJ1505&amp;"|"&amp;"3"&amp;RIGHT("00000"&amp;1500,5))</f>
        <v/>
      </c>
      <c r="AL1505">
        <f>IF($AK1505="","",COUNTIFS(LdAParty,$AE1505,LdAType,1,LdAKey,"&lt;"&amp;$AK1505)+COUNTIFS(LdBMember,$AE1505,LdBKey,"&lt;"&amp;$AK1505)+COUNTIFS(LdCParty,$AE1505,LdCKey,"&lt;"&amp;$AK1505)+1)</f>
        <v/>
      </c>
      <c r="AM1505">
        <f>IF($AL1505="","",$AE1505&amp;"|"&amp;RIGHT("000000"&amp;$AL1505,6))</f>
        <v/>
      </c>
      <c r="AN1505">
        <f>IF($AE1505="","",IF(Sync!$W1505="",0,Sync!$W1505))</f>
        <v/>
      </c>
      <c r="AO1505">
        <f>IF($AE1505="","",IF(Sync!$X1505="",0,Sync!$X1505))</f>
        <v/>
      </c>
      <c r="AP1505">
        <f>IF($AE1505="","",Sync!$R1505)</f>
        <v/>
      </c>
      <c r="AQ1505">
        <f>IF($AE1505="","",Sync!$Y1505)</f>
        <v/>
      </c>
    </row>
    <row r="1506">
      <c r="A1506">
        <f>IF(OR(Wages!$B1509="",Wages!$E1509=""),"",Wages!$E1509)</f>
        <v/>
      </c>
      <c r="B1506">
        <f>IF($A1506="","",IF(Wages!$C1509="دستمزد گروهی",2,1))</f>
        <v/>
      </c>
      <c r="C1506">
        <f>IF($A1506="","",IF(ISNUMBER(Wages!$B1509),IF(AND(Wages!$B1509&gt;=10000101,Wages!$B1509&lt;=99991231),INT(Wages!$B1509/10000),""),IFERROR(VALUE(TRIM(LEFT(Wages!$B1509,FIND("/",Wages!$B1509)-1))),"")))</f>
        <v/>
      </c>
      <c r="D1506">
        <f>IF(OR($A1506="",$C1506=""),"",IF(ISNUMBER(Wages!$B1509),INT(MOD(Wages!$B1509,10000)/100),IFERROR(VALUE(TRIM(LEFT(MID(Wages!$B1509,FIND("/",Wages!$B1509)+1,20),FIND("/",MID(Wages!$B1509,FIND("/",Wages!$B1509)+1,20))-1))),"")))</f>
        <v/>
      </c>
      <c r="E1506">
        <f>IF(OR($A1506="",$C1506=""),"",IF(ISNUMBER(Wages!$B1509),MOD(Wages!$B1509,100),IFERROR(VALUE(TRIM(MID(MID(Wages!$B1509,FIND("/",Wages!$B1509)+1,20),FIND("/",MID(Wages!$B1509,FIND("/",Wages!$B1509)+1,20))+1,20))),"")))</f>
        <v/>
      </c>
      <c r="F1506">
        <f>IF($A1506="","",IF(OR($C1506="",$D1506="",$E1506="",$C1506&lt;1300,$C1506&gt;1500,$D1506&lt;1,$D1506&gt;12,$E1506&lt;1,$E1506&gt;31),"نامعتبر",RIGHT("0000"&amp;$C1506,4)&amp;"/"&amp;RIGHT("00"&amp;$D1506,2)&amp;"/"&amp;RIGHT("00"&amp;$E1506,2)))</f>
        <v/>
      </c>
      <c r="G1506">
        <f>IF(OR($A1506="",$F1506="",$F1506="نامعتبر"),"",LEFT($F1506,4)&amp;MID($F1506,6,2)&amp;RIGHT($F1506,2)&amp;"0000"&amp;"|"&amp;"1"&amp;RIGHT("00000"&amp;1501,5))</f>
        <v/>
      </c>
      <c r="H1506">
        <f>IF(OR($B1506&lt;&gt;1,$G1506=""),"",COUNTIFS(LdAParty,$A1506,LdAType,1,LdAKey,"&lt;"&amp;$G1506)+COUNTIFS(LdBMember,$A1506,LdBKey,"&lt;"&amp;$G1506)+COUNTIFS(LdCParty,$A1506,LdCKey,"&lt;"&amp;$G1506)+1)</f>
        <v/>
      </c>
      <c r="I1506">
        <f>IF($H1506="","",$A1506&amp;"|"&amp;RIGHT("000000"&amp;$H1506,6))</f>
        <v/>
      </c>
      <c r="J1506">
        <f>IF(OR($B1506&lt;&gt;2,$G1506=""),"",COUNTIFS(LdAParty,$A1506,LdAType,2,LdAKey,"&lt;"&amp;$G1506)+1)</f>
        <v/>
      </c>
      <c r="K1506">
        <f>IF($J1506="","",$A1506&amp;"|"&amp;RIGHT("000000"&amp;$J1506,6))</f>
        <v/>
      </c>
      <c r="L1506">
        <f>IF($A1506="","",IF(Wages!$G1509="",0,Wages!$G1509))</f>
        <v/>
      </c>
      <c r="M1506">
        <f>IF($A1506="","",Wages!$J1509)</f>
        <v/>
      </c>
      <c r="N1506">
        <f>IF($A1506="","",Wages!$D1509)</f>
        <v/>
      </c>
      <c r="P1506">
        <f>IF(OR(Shares!$B1509="",Shares!$C1509=""),"",Shares!$C1509)</f>
        <v/>
      </c>
      <c r="Q1506">
        <f>IF($P1506="","",Shares!$B1509)</f>
        <v/>
      </c>
      <c r="R1506">
        <f>IF($P1506="","",IFERROR(INDEX(WageParty,MATCH($Q1506,WageIds,0)),""))</f>
        <v/>
      </c>
      <c r="S1506">
        <f>IF($P1506="","",IFERROR(INDEX($F$6:$F$2005,MATCH($Q1506,WageIds,0)),""))</f>
        <v/>
      </c>
      <c r="T1506">
        <f>IF(OR($P1506="",$S1506="",$S1506="نامعتبر"),"",LEFT($S1506,4)&amp;MID($S1506,6,2)&amp;RIGHT($S1506,2)&amp;"0000"&amp;"|"&amp;"2"&amp;RIGHT("00000"&amp;1501,5))</f>
        <v/>
      </c>
      <c r="U1506">
        <f>IF($T1506="","",COUNTIFS(LdAParty,$P1506,LdAType,1,LdAKey,"&lt;"&amp;$T1506)+COUNTIFS(LdBMember,$P1506,LdBKey,"&lt;"&amp;$T1506)+COUNTIFS(LdCParty,$P1506,LdCKey,"&lt;"&amp;$T1506)+1)</f>
        <v/>
      </c>
      <c r="V1506">
        <f>IF($U1506="","",$P1506&amp;"|"&amp;RIGHT("000000"&amp;$U1506,6))</f>
        <v/>
      </c>
      <c r="W1506">
        <f>IF($T1506="","",COUNTIFS(LdBGroup,$R1506,LdBKey,"&lt;"&amp;$T1506)+1)</f>
        <v/>
      </c>
      <c r="X1506">
        <f>IF($W1506="","",$R1506&amp;"|"&amp;RIGHT("000000"&amp;$W1506,6))</f>
        <v/>
      </c>
      <c r="Y1506">
        <f>IF($P1506="","",IF(Shares!$E1509="",0,Shares!$E1509))</f>
        <v/>
      </c>
      <c r="Z1506">
        <f>IF($P1506="","",Shares!$H1509)</f>
        <v/>
      </c>
      <c r="AE1506">
        <f>IF(OR(Sync!$S1506="",Sync!$P1506=""),"",Sync!$S1506)</f>
        <v/>
      </c>
      <c r="AF1506">
        <f>IF($AE1506="","",IF(ISNUMBER(Sync!$P1506),IF(AND(Sync!$P1506&gt;=10000101,Sync!$P1506&lt;=99991231),INT(Sync!$P1506/10000),""),IFERROR(VALUE(TRIM(LEFT(Sync!$P1506,FIND("/",Sync!$P1506)-1))),"")))</f>
        <v/>
      </c>
      <c r="AG1506">
        <f>IF(OR($AE1506="",$AF1506=""),"",IF(ISNUMBER(Sync!$P1506),INT(MOD(Sync!$P1506,10000)/100),IFERROR(VALUE(TRIM(LEFT(MID(Sync!$P1506,FIND("/",Sync!$P1506)+1,20),FIND("/",MID(Sync!$P1506,FIND("/",Sync!$P1506)+1,20))-1))),"")))</f>
        <v/>
      </c>
      <c r="AH1506">
        <f>IF(OR($AE1506="",$AF1506=""),"",IF(ISNUMBER(Sync!$P1506),MOD(Sync!$P1506,100),IFERROR(VALUE(TRIM(MID(MID(Sync!$P1506,FIND("/",Sync!$P1506)+1,20),FIND("/",MID(Sync!$P1506,FIND("/",Sync!$P1506)+1,20))+1,20))),"")))</f>
        <v/>
      </c>
      <c r="AI1506">
        <f>IF($AE1506="","",IF(OR($AF1506="",$AG1506="",$AH1506="",$AF1506&lt;1300,$AF1506&gt;1500,$AG1506&lt;1,$AG1506&gt;12,$AH1506&lt;1,$AH1506&gt;31),"نامعتبر",RIGHT("0000"&amp;$AF1506,4)&amp;"/"&amp;RIGHT("00"&amp;$AG1506,2)&amp;"/"&amp;RIGHT("00"&amp;$AH1506,2)))</f>
        <v/>
      </c>
      <c r="AJ1506">
        <f>IF($AE1506="","",IF(Sync!$Q1506="","0000",IF(AND(ISNUMBER(Sync!$Q1506),Sync!$Q1506&gt;=0,Sync!$Q1506&lt;1),RIGHT("00"&amp;HOUR(Sync!$Q1506),2)&amp;RIGHT("00"&amp;MINUTE(Sync!$Q1506),2),IFERROR(RIGHT("00"&amp;VALUE(LEFT(Sync!$Q1506,FIND(":",Sync!$Q1506)-1)),2)&amp;RIGHT("00"&amp;VALUE(MID(Sync!$Q1506,FIND(":",Sync!$Q1506)+1,2)),2),"0000"))))</f>
        <v/>
      </c>
      <c r="AK1506">
        <f>IF(OR($AE1506="",$AI1506="",$AI1506="نامعتبر"),"",LEFT($AI1506,4)&amp;MID($AI1506,6,2)&amp;RIGHT($AI1506,2)&amp;$AJ1506&amp;"|"&amp;"3"&amp;RIGHT("00000"&amp;1501,5))</f>
        <v/>
      </c>
      <c r="AL1506">
        <f>IF($AK1506="","",COUNTIFS(LdAParty,$AE1506,LdAType,1,LdAKey,"&lt;"&amp;$AK1506)+COUNTIFS(LdBMember,$AE1506,LdBKey,"&lt;"&amp;$AK1506)+COUNTIFS(LdCParty,$AE1506,LdCKey,"&lt;"&amp;$AK1506)+1)</f>
        <v/>
      </c>
      <c r="AM1506">
        <f>IF($AL1506="","",$AE1506&amp;"|"&amp;RIGHT("000000"&amp;$AL1506,6))</f>
        <v/>
      </c>
      <c r="AN1506">
        <f>IF($AE1506="","",IF(Sync!$W1506="",0,Sync!$W1506))</f>
        <v/>
      </c>
      <c r="AO1506">
        <f>IF($AE1506="","",IF(Sync!$X1506="",0,Sync!$X1506))</f>
        <v/>
      </c>
      <c r="AP1506">
        <f>IF($AE1506="","",Sync!$R1506)</f>
        <v/>
      </c>
      <c r="AQ1506">
        <f>IF($AE1506="","",Sync!$Y1506)</f>
        <v/>
      </c>
    </row>
    <row r="1507">
      <c r="A1507">
        <f>IF(OR(Wages!$B1510="",Wages!$E1510=""),"",Wages!$E1510)</f>
        <v/>
      </c>
      <c r="B1507">
        <f>IF($A1507="","",IF(Wages!$C1510="دستمزد گروهی",2,1))</f>
        <v/>
      </c>
      <c r="C1507">
        <f>IF($A1507="","",IF(ISNUMBER(Wages!$B1510),IF(AND(Wages!$B1510&gt;=10000101,Wages!$B1510&lt;=99991231),INT(Wages!$B1510/10000),""),IFERROR(VALUE(TRIM(LEFT(Wages!$B1510,FIND("/",Wages!$B1510)-1))),"")))</f>
        <v/>
      </c>
      <c r="D1507">
        <f>IF(OR($A1507="",$C1507=""),"",IF(ISNUMBER(Wages!$B1510),INT(MOD(Wages!$B1510,10000)/100),IFERROR(VALUE(TRIM(LEFT(MID(Wages!$B1510,FIND("/",Wages!$B1510)+1,20),FIND("/",MID(Wages!$B1510,FIND("/",Wages!$B1510)+1,20))-1))),"")))</f>
        <v/>
      </c>
      <c r="E1507">
        <f>IF(OR($A1507="",$C1507=""),"",IF(ISNUMBER(Wages!$B1510),MOD(Wages!$B1510,100),IFERROR(VALUE(TRIM(MID(MID(Wages!$B1510,FIND("/",Wages!$B1510)+1,20),FIND("/",MID(Wages!$B1510,FIND("/",Wages!$B1510)+1,20))+1,20))),"")))</f>
        <v/>
      </c>
      <c r="F1507">
        <f>IF($A1507="","",IF(OR($C1507="",$D1507="",$E1507="",$C1507&lt;1300,$C1507&gt;1500,$D1507&lt;1,$D1507&gt;12,$E1507&lt;1,$E1507&gt;31),"نامعتبر",RIGHT("0000"&amp;$C1507,4)&amp;"/"&amp;RIGHT("00"&amp;$D1507,2)&amp;"/"&amp;RIGHT("00"&amp;$E1507,2)))</f>
        <v/>
      </c>
      <c r="G1507">
        <f>IF(OR($A1507="",$F1507="",$F1507="نامعتبر"),"",LEFT($F1507,4)&amp;MID($F1507,6,2)&amp;RIGHT($F1507,2)&amp;"0000"&amp;"|"&amp;"1"&amp;RIGHT("00000"&amp;1502,5))</f>
        <v/>
      </c>
      <c r="H1507">
        <f>IF(OR($B1507&lt;&gt;1,$G1507=""),"",COUNTIFS(LdAParty,$A1507,LdAType,1,LdAKey,"&lt;"&amp;$G1507)+COUNTIFS(LdBMember,$A1507,LdBKey,"&lt;"&amp;$G1507)+COUNTIFS(LdCParty,$A1507,LdCKey,"&lt;"&amp;$G1507)+1)</f>
        <v/>
      </c>
      <c r="I1507">
        <f>IF($H1507="","",$A1507&amp;"|"&amp;RIGHT("000000"&amp;$H1507,6))</f>
        <v/>
      </c>
      <c r="J1507">
        <f>IF(OR($B1507&lt;&gt;2,$G1507=""),"",COUNTIFS(LdAParty,$A1507,LdAType,2,LdAKey,"&lt;"&amp;$G1507)+1)</f>
        <v/>
      </c>
      <c r="K1507">
        <f>IF($J1507="","",$A1507&amp;"|"&amp;RIGHT("000000"&amp;$J1507,6))</f>
        <v/>
      </c>
      <c r="L1507">
        <f>IF($A1507="","",IF(Wages!$G1510="",0,Wages!$G1510))</f>
        <v/>
      </c>
      <c r="M1507">
        <f>IF($A1507="","",Wages!$J1510)</f>
        <v/>
      </c>
      <c r="N1507">
        <f>IF($A1507="","",Wages!$D1510)</f>
        <v/>
      </c>
      <c r="P1507">
        <f>IF(OR(Shares!$B1510="",Shares!$C1510=""),"",Shares!$C1510)</f>
        <v/>
      </c>
      <c r="Q1507">
        <f>IF($P1507="","",Shares!$B1510)</f>
        <v/>
      </c>
      <c r="R1507">
        <f>IF($P1507="","",IFERROR(INDEX(WageParty,MATCH($Q1507,WageIds,0)),""))</f>
        <v/>
      </c>
      <c r="S1507">
        <f>IF($P1507="","",IFERROR(INDEX($F$6:$F$2005,MATCH($Q1507,WageIds,0)),""))</f>
        <v/>
      </c>
      <c r="T1507">
        <f>IF(OR($P1507="",$S1507="",$S1507="نامعتبر"),"",LEFT($S1507,4)&amp;MID($S1507,6,2)&amp;RIGHT($S1507,2)&amp;"0000"&amp;"|"&amp;"2"&amp;RIGHT("00000"&amp;1502,5))</f>
        <v/>
      </c>
      <c r="U1507">
        <f>IF($T1507="","",COUNTIFS(LdAParty,$P1507,LdAType,1,LdAKey,"&lt;"&amp;$T1507)+COUNTIFS(LdBMember,$P1507,LdBKey,"&lt;"&amp;$T1507)+COUNTIFS(LdCParty,$P1507,LdCKey,"&lt;"&amp;$T1507)+1)</f>
        <v/>
      </c>
      <c r="V1507">
        <f>IF($U1507="","",$P1507&amp;"|"&amp;RIGHT("000000"&amp;$U1507,6))</f>
        <v/>
      </c>
      <c r="W1507">
        <f>IF($T1507="","",COUNTIFS(LdBGroup,$R1507,LdBKey,"&lt;"&amp;$T1507)+1)</f>
        <v/>
      </c>
      <c r="X1507">
        <f>IF($W1507="","",$R1507&amp;"|"&amp;RIGHT("000000"&amp;$W1507,6))</f>
        <v/>
      </c>
      <c r="Y1507">
        <f>IF($P1507="","",IF(Shares!$E1510="",0,Shares!$E1510))</f>
        <v/>
      </c>
      <c r="Z1507">
        <f>IF($P1507="","",Shares!$H1510)</f>
        <v/>
      </c>
      <c r="AE1507">
        <f>IF(OR(Sync!$S1507="",Sync!$P1507=""),"",Sync!$S1507)</f>
        <v/>
      </c>
      <c r="AF1507">
        <f>IF($AE1507="","",IF(ISNUMBER(Sync!$P1507),IF(AND(Sync!$P1507&gt;=10000101,Sync!$P1507&lt;=99991231),INT(Sync!$P1507/10000),""),IFERROR(VALUE(TRIM(LEFT(Sync!$P1507,FIND("/",Sync!$P1507)-1))),"")))</f>
        <v/>
      </c>
      <c r="AG1507">
        <f>IF(OR($AE1507="",$AF1507=""),"",IF(ISNUMBER(Sync!$P1507),INT(MOD(Sync!$P1507,10000)/100),IFERROR(VALUE(TRIM(LEFT(MID(Sync!$P1507,FIND("/",Sync!$P1507)+1,20),FIND("/",MID(Sync!$P1507,FIND("/",Sync!$P1507)+1,20))-1))),"")))</f>
        <v/>
      </c>
      <c r="AH1507">
        <f>IF(OR($AE1507="",$AF1507=""),"",IF(ISNUMBER(Sync!$P1507),MOD(Sync!$P1507,100),IFERROR(VALUE(TRIM(MID(MID(Sync!$P1507,FIND("/",Sync!$P1507)+1,20),FIND("/",MID(Sync!$P1507,FIND("/",Sync!$P1507)+1,20))+1,20))),"")))</f>
        <v/>
      </c>
      <c r="AI1507">
        <f>IF($AE1507="","",IF(OR($AF1507="",$AG1507="",$AH1507="",$AF1507&lt;1300,$AF1507&gt;1500,$AG1507&lt;1,$AG1507&gt;12,$AH1507&lt;1,$AH1507&gt;31),"نامعتبر",RIGHT("0000"&amp;$AF1507,4)&amp;"/"&amp;RIGHT("00"&amp;$AG1507,2)&amp;"/"&amp;RIGHT("00"&amp;$AH1507,2)))</f>
        <v/>
      </c>
      <c r="AJ1507">
        <f>IF($AE1507="","",IF(Sync!$Q1507="","0000",IF(AND(ISNUMBER(Sync!$Q1507),Sync!$Q1507&gt;=0,Sync!$Q1507&lt;1),RIGHT("00"&amp;HOUR(Sync!$Q1507),2)&amp;RIGHT("00"&amp;MINUTE(Sync!$Q1507),2),IFERROR(RIGHT("00"&amp;VALUE(LEFT(Sync!$Q1507,FIND(":",Sync!$Q1507)-1)),2)&amp;RIGHT("00"&amp;VALUE(MID(Sync!$Q1507,FIND(":",Sync!$Q1507)+1,2)),2),"0000"))))</f>
        <v/>
      </c>
      <c r="AK1507">
        <f>IF(OR($AE1507="",$AI1507="",$AI1507="نامعتبر"),"",LEFT($AI1507,4)&amp;MID($AI1507,6,2)&amp;RIGHT($AI1507,2)&amp;$AJ1507&amp;"|"&amp;"3"&amp;RIGHT("00000"&amp;1502,5))</f>
        <v/>
      </c>
      <c r="AL1507">
        <f>IF($AK1507="","",COUNTIFS(LdAParty,$AE1507,LdAType,1,LdAKey,"&lt;"&amp;$AK1507)+COUNTIFS(LdBMember,$AE1507,LdBKey,"&lt;"&amp;$AK1507)+COUNTIFS(LdCParty,$AE1507,LdCKey,"&lt;"&amp;$AK1507)+1)</f>
        <v/>
      </c>
      <c r="AM1507">
        <f>IF($AL1507="","",$AE1507&amp;"|"&amp;RIGHT("000000"&amp;$AL1507,6))</f>
        <v/>
      </c>
      <c r="AN1507">
        <f>IF($AE1507="","",IF(Sync!$W1507="",0,Sync!$W1507))</f>
        <v/>
      </c>
      <c r="AO1507">
        <f>IF($AE1507="","",IF(Sync!$X1507="",0,Sync!$X1507))</f>
        <v/>
      </c>
      <c r="AP1507">
        <f>IF($AE1507="","",Sync!$R1507)</f>
        <v/>
      </c>
      <c r="AQ1507">
        <f>IF($AE1507="","",Sync!$Y1507)</f>
        <v/>
      </c>
    </row>
    <row r="1508">
      <c r="A1508">
        <f>IF(OR(Wages!$B1511="",Wages!$E1511=""),"",Wages!$E1511)</f>
        <v/>
      </c>
      <c r="B1508">
        <f>IF($A1508="","",IF(Wages!$C1511="دستمزد گروهی",2,1))</f>
        <v/>
      </c>
      <c r="C1508">
        <f>IF($A1508="","",IF(ISNUMBER(Wages!$B1511),IF(AND(Wages!$B1511&gt;=10000101,Wages!$B1511&lt;=99991231),INT(Wages!$B1511/10000),""),IFERROR(VALUE(TRIM(LEFT(Wages!$B1511,FIND("/",Wages!$B1511)-1))),"")))</f>
        <v/>
      </c>
      <c r="D1508">
        <f>IF(OR($A1508="",$C1508=""),"",IF(ISNUMBER(Wages!$B1511),INT(MOD(Wages!$B1511,10000)/100),IFERROR(VALUE(TRIM(LEFT(MID(Wages!$B1511,FIND("/",Wages!$B1511)+1,20),FIND("/",MID(Wages!$B1511,FIND("/",Wages!$B1511)+1,20))-1))),"")))</f>
        <v/>
      </c>
      <c r="E1508">
        <f>IF(OR($A1508="",$C1508=""),"",IF(ISNUMBER(Wages!$B1511),MOD(Wages!$B1511,100),IFERROR(VALUE(TRIM(MID(MID(Wages!$B1511,FIND("/",Wages!$B1511)+1,20),FIND("/",MID(Wages!$B1511,FIND("/",Wages!$B1511)+1,20))+1,20))),"")))</f>
        <v/>
      </c>
      <c r="F1508">
        <f>IF($A1508="","",IF(OR($C1508="",$D1508="",$E1508="",$C1508&lt;1300,$C1508&gt;1500,$D1508&lt;1,$D1508&gt;12,$E1508&lt;1,$E1508&gt;31),"نامعتبر",RIGHT("0000"&amp;$C1508,4)&amp;"/"&amp;RIGHT("00"&amp;$D1508,2)&amp;"/"&amp;RIGHT("00"&amp;$E1508,2)))</f>
        <v/>
      </c>
      <c r="G1508">
        <f>IF(OR($A1508="",$F1508="",$F1508="نامعتبر"),"",LEFT($F1508,4)&amp;MID($F1508,6,2)&amp;RIGHT($F1508,2)&amp;"0000"&amp;"|"&amp;"1"&amp;RIGHT("00000"&amp;1503,5))</f>
        <v/>
      </c>
      <c r="H1508">
        <f>IF(OR($B1508&lt;&gt;1,$G1508=""),"",COUNTIFS(LdAParty,$A1508,LdAType,1,LdAKey,"&lt;"&amp;$G1508)+COUNTIFS(LdBMember,$A1508,LdBKey,"&lt;"&amp;$G1508)+COUNTIFS(LdCParty,$A1508,LdCKey,"&lt;"&amp;$G1508)+1)</f>
        <v/>
      </c>
      <c r="I1508">
        <f>IF($H1508="","",$A1508&amp;"|"&amp;RIGHT("000000"&amp;$H1508,6))</f>
        <v/>
      </c>
      <c r="J1508">
        <f>IF(OR($B1508&lt;&gt;2,$G1508=""),"",COUNTIFS(LdAParty,$A1508,LdAType,2,LdAKey,"&lt;"&amp;$G1508)+1)</f>
        <v/>
      </c>
      <c r="K1508">
        <f>IF($J1508="","",$A1508&amp;"|"&amp;RIGHT("000000"&amp;$J1508,6))</f>
        <v/>
      </c>
      <c r="L1508">
        <f>IF($A1508="","",IF(Wages!$G1511="",0,Wages!$G1511))</f>
        <v/>
      </c>
      <c r="M1508">
        <f>IF($A1508="","",Wages!$J1511)</f>
        <v/>
      </c>
      <c r="N1508">
        <f>IF($A1508="","",Wages!$D1511)</f>
        <v/>
      </c>
      <c r="P1508">
        <f>IF(OR(Shares!$B1511="",Shares!$C1511=""),"",Shares!$C1511)</f>
        <v/>
      </c>
      <c r="Q1508">
        <f>IF($P1508="","",Shares!$B1511)</f>
        <v/>
      </c>
      <c r="R1508">
        <f>IF($P1508="","",IFERROR(INDEX(WageParty,MATCH($Q1508,WageIds,0)),""))</f>
        <v/>
      </c>
      <c r="S1508">
        <f>IF($P1508="","",IFERROR(INDEX($F$6:$F$2005,MATCH($Q1508,WageIds,0)),""))</f>
        <v/>
      </c>
      <c r="T1508">
        <f>IF(OR($P1508="",$S1508="",$S1508="نامعتبر"),"",LEFT($S1508,4)&amp;MID($S1508,6,2)&amp;RIGHT($S1508,2)&amp;"0000"&amp;"|"&amp;"2"&amp;RIGHT("00000"&amp;1503,5))</f>
        <v/>
      </c>
      <c r="U1508">
        <f>IF($T1508="","",COUNTIFS(LdAParty,$P1508,LdAType,1,LdAKey,"&lt;"&amp;$T1508)+COUNTIFS(LdBMember,$P1508,LdBKey,"&lt;"&amp;$T1508)+COUNTIFS(LdCParty,$P1508,LdCKey,"&lt;"&amp;$T1508)+1)</f>
        <v/>
      </c>
      <c r="V1508">
        <f>IF($U1508="","",$P1508&amp;"|"&amp;RIGHT("000000"&amp;$U1508,6))</f>
        <v/>
      </c>
      <c r="W1508">
        <f>IF($T1508="","",COUNTIFS(LdBGroup,$R1508,LdBKey,"&lt;"&amp;$T1508)+1)</f>
        <v/>
      </c>
      <c r="X1508">
        <f>IF($W1508="","",$R1508&amp;"|"&amp;RIGHT("000000"&amp;$W1508,6))</f>
        <v/>
      </c>
      <c r="Y1508">
        <f>IF($P1508="","",IF(Shares!$E1511="",0,Shares!$E1511))</f>
        <v/>
      </c>
      <c r="Z1508">
        <f>IF($P1508="","",Shares!$H1511)</f>
        <v/>
      </c>
      <c r="AE1508">
        <f>IF(OR(Sync!$S1508="",Sync!$P1508=""),"",Sync!$S1508)</f>
        <v/>
      </c>
      <c r="AF1508">
        <f>IF($AE1508="","",IF(ISNUMBER(Sync!$P1508),IF(AND(Sync!$P1508&gt;=10000101,Sync!$P1508&lt;=99991231),INT(Sync!$P1508/10000),""),IFERROR(VALUE(TRIM(LEFT(Sync!$P1508,FIND("/",Sync!$P1508)-1))),"")))</f>
        <v/>
      </c>
      <c r="AG1508">
        <f>IF(OR($AE1508="",$AF1508=""),"",IF(ISNUMBER(Sync!$P1508),INT(MOD(Sync!$P1508,10000)/100),IFERROR(VALUE(TRIM(LEFT(MID(Sync!$P1508,FIND("/",Sync!$P1508)+1,20),FIND("/",MID(Sync!$P1508,FIND("/",Sync!$P1508)+1,20))-1))),"")))</f>
        <v/>
      </c>
      <c r="AH1508">
        <f>IF(OR($AE1508="",$AF1508=""),"",IF(ISNUMBER(Sync!$P1508),MOD(Sync!$P1508,100),IFERROR(VALUE(TRIM(MID(MID(Sync!$P1508,FIND("/",Sync!$P1508)+1,20),FIND("/",MID(Sync!$P1508,FIND("/",Sync!$P1508)+1,20))+1,20))),"")))</f>
        <v/>
      </c>
      <c r="AI1508">
        <f>IF($AE1508="","",IF(OR($AF1508="",$AG1508="",$AH1508="",$AF1508&lt;1300,$AF1508&gt;1500,$AG1508&lt;1,$AG1508&gt;12,$AH1508&lt;1,$AH1508&gt;31),"نامعتبر",RIGHT("0000"&amp;$AF1508,4)&amp;"/"&amp;RIGHT("00"&amp;$AG1508,2)&amp;"/"&amp;RIGHT("00"&amp;$AH1508,2)))</f>
        <v/>
      </c>
      <c r="AJ1508">
        <f>IF($AE1508="","",IF(Sync!$Q1508="","0000",IF(AND(ISNUMBER(Sync!$Q1508),Sync!$Q1508&gt;=0,Sync!$Q1508&lt;1),RIGHT("00"&amp;HOUR(Sync!$Q1508),2)&amp;RIGHT("00"&amp;MINUTE(Sync!$Q1508),2),IFERROR(RIGHT("00"&amp;VALUE(LEFT(Sync!$Q1508,FIND(":",Sync!$Q1508)-1)),2)&amp;RIGHT("00"&amp;VALUE(MID(Sync!$Q1508,FIND(":",Sync!$Q1508)+1,2)),2),"0000"))))</f>
        <v/>
      </c>
      <c r="AK1508">
        <f>IF(OR($AE1508="",$AI1508="",$AI1508="نامعتبر"),"",LEFT($AI1508,4)&amp;MID($AI1508,6,2)&amp;RIGHT($AI1508,2)&amp;$AJ1508&amp;"|"&amp;"3"&amp;RIGHT("00000"&amp;1503,5))</f>
        <v/>
      </c>
      <c r="AL1508">
        <f>IF($AK1508="","",COUNTIFS(LdAParty,$AE1508,LdAType,1,LdAKey,"&lt;"&amp;$AK1508)+COUNTIFS(LdBMember,$AE1508,LdBKey,"&lt;"&amp;$AK1508)+COUNTIFS(LdCParty,$AE1508,LdCKey,"&lt;"&amp;$AK1508)+1)</f>
        <v/>
      </c>
      <c r="AM1508">
        <f>IF($AL1508="","",$AE1508&amp;"|"&amp;RIGHT("000000"&amp;$AL1508,6))</f>
        <v/>
      </c>
      <c r="AN1508">
        <f>IF($AE1508="","",IF(Sync!$W1508="",0,Sync!$W1508))</f>
        <v/>
      </c>
      <c r="AO1508">
        <f>IF($AE1508="","",IF(Sync!$X1508="",0,Sync!$X1508))</f>
        <v/>
      </c>
      <c r="AP1508">
        <f>IF($AE1508="","",Sync!$R1508)</f>
        <v/>
      </c>
      <c r="AQ1508">
        <f>IF($AE1508="","",Sync!$Y1508)</f>
        <v/>
      </c>
    </row>
    <row r="1509">
      <c r="A1509">
        <f>IF(OR(Wages!$B1512="",Wages!$E1512=""),"",Wages!$E1512)</f>
        <v/>
      </c>
      <c r="B1509">
        <f>IF($A1509="","",IF(Wages!$C1512="دستمزد گروهی",2,1))</f>
        <v/>
      </c>
      <c r="C1509">
        <f>IF($A1509="","",IF(ISNUMBER(Wages!$B1512),IF(AND(Wages!$B1512&gt;=10000101,Wages!$B1512&lt;=99991231),INT(Wages!$B1512/10000),""),IFERROR(VALUE(TRIM(LEFT(Wages!$B1512,FIND("/",Wages!$B1512)-1))),"")))</f>
        <v/>
      </c>
      <c r="D1509">
        <f>IF(OR($A1509="",$C1509=""),"",IF(ISNUMBER(Wages!$B1512),INT(MOD(Wages!$B1512,10000)/100),IFERROR(VALUE(TRIM(LEFT(MID(Wages!$B1512,FIND("/",Wages!$B1512)+1,20),FIND("/",MID(Wages!$B1512,FIND("/",Wages!$B1512)+1,20))-1))),"")))</f>
        <v/>
      </c>
      <c r="E1509">
        <f>IF(OR($A1509="",$C1509=""),"",IF(ISNUMBER(Wages!$B1512),MOD(Wages!$B1512,100),IFERROR(VALUE(TRIM(MID(MID(Wages!$B1512,FIND("/",Wages!$B1512)+1,20),FIND("/",MID(Wages!$B1512,FIND("/",Wages!$B1512)+1,20))+1,20))),"")))</f>
        <v/>
      </c>
      <c r="F1509">
        <f>IF($A1509="","",IF(OR($C1509="",$D1509="",$E1509="",$C1509&lt;1300,$C1509&gt;1500,$D1509&lt;1,$D1509&gt;12,$E1509&lt;1,$E1509&gt;31),"نامعتبر",RIGHT("0000"&amp;$C1509,4)&amp;"/"&amp;RIGHT("00"&amp;$D1509,2)&amp;"/"&amp;RIGHT("00"&amp;$E1509,2)))</f>
        <v/>
      </c>
      <c r="G1509">
        <f>IF(OR($A1509="",$F1509="",$F1509="نامعتبر"),"",LEFT($F1509,4)&amp;MID($F1509,6,2)&amp;RIGHT($F1509,2)&amp;"0000"&amp;"|"&amp;"1"&amp;RIGHT("00000"&amp;1504,5))</f>
        <v/>
      </c>
      <c r="H1509">
        <f>IF(OR($B1509&lt;&gt;1,$G1509=""),"",COUNTIFS(LdAParty,$A1509,LdAType,1,LdAKey,"&lt;"&amp;$G1509)+COUNTIFS(LdBMember,$A1509,LdBKey,"&lt;"&amp;$G1509)+COUNTIFS(LdCParty,$A1509,LdCKey,"&lt;"&amp;$G1509)+1)</f>
        <v/>
      </c>
      <c r="I1509">
        <f>IF($H1509="","",$A1509&amp;"|"&amp;RIGHT("000000"&amp;$H1509,6))</f>
        <v/>
      </c>
      <c r="J1509">
        <f>IF(OR($B1509&lt;&gt;2,$G1509=""),"",COUNTIFS(LdAParty,$A1509,LdAType,2,LdAKey,"&lt;"&amp;$G1509)+1)</f>
        <v/>
      </c>
      <c r="K1509">
        <f>IF($J1509="","",$A1509&amp;"|"&amp;RIGHT("000000"&amp;$J1509,6))</f>
        <v/>
      </c>
      <c r="L1509">
        <f>IF($A1509="","",IF(Wages!$G1512="",0,Wages!$G1512))</f>
        <v/>
      </c>
      <c r="M1509">
        <f>IF($A1509="","",Wages!$J1512)</f>
        <v/>
      </c>
      <c r="N1509">
        <f>IF($A1509="","",Wages!$D1512)</f>
        <v/>
      </c>
      <c r="P1509">
        <f>IF(OR(Shares!$B1512="",Shares!$C1512=""),"",Shares!$C1512)</f>
        <v/>
      </c>
      <c r="Q1509">
        <f>IF($P1509="","",Shares!$B1512)</f>
        <v/>
      </c>
      <c r="R1509">
        <f>IF($P1509="","",IFERROR(INDEX(WageParty,MATCH($Q1509,WageIds,0)),""))</f>
        <v/>
      </c>
      <c r="S1509">
        <f>IF($P1509="","",IFERROR(INDEX($F$6:$F$2005,MATCH($Q1509,WageIds,0)),""))</f>
        <v/>
      </c>
      <c r="T1509">
        <f>IF(OR($P1509="",$S1509="",$S1509="نامعتبر"),"",LEFT($S1509,4)&amp;MID($S1509,6,2)&amp;RIGHT($S1509,2)&amp;"0000"&amp;"|"&amp;"2"&amp;RIGHT("00000"&amp;1504,5))</f>
        <v/>
      </c>
      <c r="U1509">
        <f>IF($T1509="","",COUNTIFS(LdAParty,$P1509,LdAType,1,LdAKey,"&lt;"&amp;$T1509)+COUNTIFS(LdBMember,$P1509,LdBKey,"&lt;"&amp;$T1509)+COUNTIFS(LdCParty,$P1509,LdCKey,"&lt;"&amp;$T1509)+1)</f>
        <v/>
      </c>
      <c r="V1509">
        <f>IF($U1509="","",$P1509&amp;"|"&amp;RIGHT("000000"&amp;$U1509,6))</f>
        <v/>
      </c>
      <c r="W1509">
        <f>IF($T1509="","",COUNTIFS(LdBGroup,$R1509,LdBKey,"&lt;"&amp;$T1509)+1)</f>
        <v/>
      </c>
      <c r="X1509">
        <f>IF($W1509="","",$R1509&amp;"|"&amp;RIGHT("000000"&amp;$W1509,6))</f>
        <v/>
      </c>
      <c r="Y1509">
        <f>IF($P1509="","",IF(Shares!$E1512="",0,Shares!$E1512))</f>
        <v/>
      </c>
      <c r="Z1509">
        <f>IF($P1509="","",Shares!$H1512)</f>
        <v/>
      </c>
      <c r="AE1509">
        <f>IF(OR(Sync!$S1509="",Sync!$P1509=""),"",Sync!$S1509)</f>
        <v/>
      </c>
      <c r="AF1509">
        <f>IF($AE1509="","",IF(ISNUMBER(Sync!$P1509),IF(AND(Sync!$P1509&gt;=10000101,Sync!$P1509&lt;=99991231),INT(Sync!$P1509/10000),""),IFERROR(VALUE(TRIM(LEFT(Sync!$P1509,FIND("/",Sync!$P1509)-1))),"")))</f>
        <v/>
      </c>
      <c r="AG1509">
        <f>IF(OR($AE1509="",$AF1509=""),"",IF(ISNUMBER(Sync!$P1509),INT(MOD(Sync!$P1509,10000)/100),IFERROR(VALUE(TRIM(LEFT(MID(Sync!$P1509,FIND("/",Sync!$P1509)+1,20),FIND("/",MID(Sync!$P1509,FIND("/",Sync!$P1509)+1,20))-1))),"")))</f>
        <v/>
      </c>
      <c r="AH1509">
        <f>IF(OR($AE1509="",$AF1509=""),"",IF(ISNUMBER(Sync!$P1509),MOD(Sync!$P1509,100),IFERROR(VALUE(TRIM(MID(MID(Sync!$P1509,FIND("/",Sync!$P1509)+1,20),FIND("/",MID(Sync!$P1509,FIND("/",Sync!$P1509)+1,20))+1,20))),"")))</f>
        <v/>
      </c>
      <c r="AI1509">
        <f>IF($AE1509="","",IF(OR($AF1509="",$AG1509="",$AH1509="",$AF1509&lt;1300,$AF1509&gt;1500,$AG1509&lt;1,$AG1509&gt;12,$AH1509&lt;1,$AH1509&gt;31),"نامعتبر",RIGHT("0000"&amp;$AF1509,4)&amp;"/"&amp;RIGHT("00"&amp;$AG1509,2)&amp;"/"&amp;RIGHT("00"&amp;$AH1509,2)))</f>
        <v/>
      </c>
      <c r="AJ1509">
        <f>IF($AE1509="","",IF(Sync!$Q1509="","0000",IF(AND(ISNUMBER(Sync!$Q1509),Sync!$Q1509&gt;=0,Sync!$Q1509&lt;1),RIGHT("00"&amp;HOUR(Sync!$Q1509),2)&amp;RIGHT("00"&amp;MINUTE(Sync!$Q1509),2),IFERROR(RIGHT("00"&amp;VALUE(LEFT(Sync!$Q1509,FIND(":",Sync!$Q1509)-1)),2)&amp;RIGHT("00"&amp;VALUE(MID(Sync!$Q1509,FIND(":",Sync!$Q1509)+1,2)),2),"0000"))))</f>
        <v/>
      </c>
      <c r="AK1509">
        <f>IF(OR($AE1509="",$AI1509="",$AI1509="نامعتبر"),"",LEFT($AI1509,4)&amp;MID($AI1509,6,2)&amp;RIGHT($AI1509,2)&amp;$AJ1509&amp;"|"&amp;"3"&amp;RIGHT("00000"&amp;1504,5))</f>
        <v/>
      </c>
      <c r="AL1509">
        <f>IF($AK1509="","",COUNTIFS(LdAParty,$AE1509,LdAType,1,LdAKey,"&lt;"&amp;$AK1509)+COUNTIFS(LdBMember,$AE1509,LdBKey,"&lt;"&amp;$AK1509)+COUNTIFS(LdCParty,$AE1509,LdCKey,"&lt;"&amp;$AK1509)+1)</f>
        <v/>
      </c>
      <c r="AM1509">
        <f>IF($AL1509="","",$AE1509&amp;"|"&amp;RIGHT("000000"&amp;$AL1509,6))</f>
        <v/>
      </c>
      <c r="AN1509">
        <f>IF($AE1509="","",IF(Sync!$W1509="",0,Sync!$W1509))</f>
        <v/>
      </c>
      <c r="AO1509">
        <f>IF($AE1509="","",IF(Sync!$X1509="",0,Sync!$X1509))</f>
        <v/>
      </c>
      <c r="AP1509">
        <f>IF($AE1509="","",Sync!$R1509)</f>
        <v/>
      </c>
      <c r="AQ1509">
        <f>IF($AE1509="","",Sync!$Y1509)</f>
        <v/>
      </c>
    </row>
    <row r="1510">
      <c r="A1510">
        <f>IF(OR(Wages!$B1513="",Wages!$E1513=""),"",Wages!$E1513)</f>
        <v/>
      </c>
      <c r="B1510">
        <f>IF($A1510="","",IF(Wages!$C1513="دستمزد گروهی",2,1))</f>
        <v/>
      </c>
      <c r="C1510">
        <f>IF($A1510="","",IF(ISNUMBER(Wages!$B1513),IF(AND(Wages!$B1513&gt;=10000101,Wages!$B1513&lt;=99991231),INT(Wages!$B1513/10000),""),IFERROR(VALUE(TRIM(LEFT(Wages!$B1513,FIND("/",Wages!$B1513)-1))),"")))</f>
        <v/>
      </c>
      <c r="D1510">
        <f>IF(OR($A1510="",$C1510=""),"",IF(ISNUMBER(Wages!$B1513),INT(MOD(Wages!$B1513,10000)/100),IFERROR(VALUE(TRIM(LEFT(MID(Wages!$B1513,FIND("/",Wages!$B1513)+1,20),FIND("/",MID(Wages!$B1513,FIND("/",Wages!$B1513)+1,20))-1))),"")))</f>
        <v/>
      </c>
      <c r="E1510">
        <f>IF(OR($A1510="",$C1510=""),"",IF(ISNUMBER(Wages!$B1513),MOD(Wages!$B1513,100),IFERROR(VALUE(TRIM(MID(MID(Wages!$B1513,FIND("/",Wages!$B1513)+1,20),FIND("/",MID(Wages!$B1513,FIND("/",Wages!$B1513)+1,20))+1,20))),"")))</f>
        <v/>
      </c>
      <c r="F1510">
        <f>IF($A1510="","",IF(OR($C1510="",$D1510="",$E1510="",$C1510&lt;1300,$C1510&gt;1500,$D1510&lt;1,$D1510&gt;12,$E1510&lt;1,$E1510&gt;31),"نامعتبر",RIGHT("0000"&amp;$C1510,4)&amp;"/"&amp;RIGHT("00"&amp;$D1510,2)&amp;"/"&amp;RIGHT("00"&amp;$E1510,2)))</f>
        <v/>
      </c>
      <c r="G1510">
        <f>IF(OR($A1510="",$F1510="",$F1510="نامعتبر"),"",LEFT($F1510,4)&amp;MID($F1510,6,2)&amp;RIGHT($F1510,2)&amp;"0000"&amp;"|"&amp;"1"&amp;RIGHT("00000"&amp;1505,5))</f>
        <v/>
      </c>
      <c r="H1510">
        <f>IF(OR($B1510&lt;&gt;1,$G1510=""),"",COUNTIFS(LdAParty,$A1510,LdAType,1,LdAKey,"&lt;"&amp;$G1510)+COUNTIFS(LdBMember,$A1510,LdBKey,"&lt;"&amp;$G1510)+COUNTIFS(LdCParty,$A1510,LdCKey,"&lt;"&amp;$G1510)+1)</f>
        <v/>
      </c>
      <c r="I1510">
        <f>IF($H1510="","",$A1510&amp;"|"&amp;RIGHT("000000"&amp;$H1510,6))</f>
        <v/>
      </c>
      <c r="J1510">
        <f>IF(OR($B1510&lt;&gt;2,$G1510=""),"",COUNTIFS(LdAParty,$A1510,LdAType,2,LdAKey,"&lt;"&amp;$G1510)+1)</f>
        <v/>
      </c>
      <c r="K1510">
        <f>IF($J1510="","",$A1510&amp;"|"&amp;RIGHT("000000"&amp;$J1510,6))</f>
        <v/>
      </c>
      <c r="L1510">
        <f>IF($A1510="","",IF(Wages!$G1513="",0,Wages!$G1513))</f>
        <v/>
      </c>
      <c r="M1510">
        <f>IF($A1510="","",Wages!$J1513)</f>
        <v/>
      </c>
      <c r="N1510">
        <f>IF($A1510="","",Wages!$D1513)</f>
        <v/>
      </c>
      <c r="P1510">
        <f>IF(OR(Shares!$B1513="",Shares!$C1513=""),"",Shares!$C1513)</f>
        <v/>
      </c>
      <c r="Q1510">
        <f>IF($P1510="","",Shares!$B1513)</f>
        <v/>
      </c>
      <c r="R1510">
        <f>IF($P1510="","",IFERROR(INDEX(WageParty,MATCH($Q1510,WageIds,0)),""))</f>
        <v/>
      </c>
      <c r="S1510">
        <f>IF($P1510="","",IFERROR(INDEX($F$6:$F$2005,MATCH($Q1510,WageIds,0)),""))</f>
        <v/>
      </c>
      <c r="T1510">
        <f>IF(OR($P1510="",$S1510="",$S1510="نامعتبر"),"",LEFT($S1510,4)&amp;MID($S1510,6,2)&amp;RIGHT($S1510,2)&amp;"0000"&amp;"|"&amp;"2"&amp;RIGHT("00000"&amp;1505,5))</f>
        <v/>
      </c>
      <c r="U1510">
        <f>IF($T1510="","",COUNTIFS(LdAParty,$P1510,LdAType,1,LdAKey,"&lt;"&amp;$T1510)+COUNTIFS(LdBMember,$P1510,LdBKey,"&lt;"&amp;$T1510)+COUNTIFS(LdCParty,$P1510,LdCKey,"&lt;"&amp;$T1510)+1)</f>
        <v/>
      </c>
      <c r="V1510">
        <f>IF($U1510="","",$P1510&amp;"|"&amp;RIGHT("000000"&amp;$U1510,6))</f>
        <v/>
      </c>
      <c r="W1510">
        <f>IF($T1510="","",COUNTIFS(LdBGroup,$R1510,LdBKey,"&lt;"&amp;$T1510)+1)</f>
        <v/>
      </c>
      <c r="X1510">
        <f>IF($W1510="","",$R1510&amp;"|"&amp;RIGHT("000000"&amp;$W1510,6))</f>
        <v/>
      </c>
      <c r="Y1510">
        <f>IF($P1510="","",IF(Shares!$E1513="",0,Shares!$E1513))</f>
        <v/>
      </c>
      <c r="Z1510">
        <f>IF($P1510="","",Shares!$H1513)</f>
        <v/>
      </c>
      <c r="AE1510">
        <f>IF(OR(Sync!$S1510="",Sync!$P1510=""),"",Sync!$S1510)</f>
        <v/>
      </c>
      <c r="AF1510">
        <f>IF($AE1510="","",IF(ISNUMBER(Sync!$P1510),IF(AND(Sync!$P1510&gt;=10000101,Sync!$P1510&lt;=99991231),INT(Sync!$P1510/10000),""),IFERROR(VALUE(TRIM(LEFT(Sync!$P1510,FIND("/",Sync!$P1510)-1))),"")))</f>
        <v/>
      </c>
      <c r="AG1510">
        <f>IF(OR($AE1510="",$AF1510=""),"",IF(ISNUMBER(Sync!$P1510),INT(MOD(Sync!$P1510,10000)/100),IFERROR(VALUE(TRIM(LEFT(MID(Sync!$P1510,FIND("/",Sync!$P1510)+1,20),FIND("/",MID(Sync!$P1510,FIND("/",Sync!$P1510)+1,20))-1))),"")))</f>
        <v/>
      </c>
      <c r="AH1510">
        <f>IF(OR($AE1510="",$AF1510=""),"",IF(ISNUMBER(Sync!$P1510),MOD(Sync!$P1510,100),IFERROR(VALUE(TRIM(MID(MID(Sync!$P1510,FIND("/",Sync!$P1510)+1,20),FIND("/",MID(Sync!$P1510,FIND("/",Sync!$P1510)+1,20))+1,20))),"")))</f>
        <v/>
      </c>
      <c r="AI1510">
        <f>IF($AE1510="","",IF(OR($AF1510="",$AG1510="",$AH1510="",$AF1510&lt;1300,$AF1510&gt;1500,$AG1510&lt;1,$AG1510&gt;12,$AH1510&lt;1,$AH1510&gt;31),"نامعتبر",RIGHT("0000"&amp;$AF1510,4)&amp;"/"&amp;RIGHT("00"&amp;$AG1510,2)&amp;"/"&amp;RIGHT("00"&amp;$AH1510,2)))</f>
        <v/>
      </c>
      <c r="AJ1510">
        <f>IF($AE1510="","",IF(Sync!$Q1510="","0000",IF(AND(ISNUMBER(Sync!$Q1510),Sync!$Q1510&gt;=0,Sync!$Q1510&lt;1),RIGHT("00"&amp;HOUR(Sync!$Q1510),2)&amp;RIGHT("00"&amp;MINUTE(Sync!$Q1510),2),IFERROR(RIGHT("00"&amp;VALUE(LEFT(Sync!$Q1510,FIND(":",Sync!$Q1510)-1)),2)&amp;RIGHT("00"&amp;VALUE(MID(Sync!$Q1510,FIND(":",Sync!$Q1510)+1,2)),2),"0000"))))</f>
        <v/>
      </c>
      <c r="AK1510">
        <f>IF(OR($AE1510="",$AI1510="",$AI1510="نامعتبر"),"",LEFT($AI1510,4)&amp;MID($AI1510,6,2)&amp;RIGHT($AI1510,2)&amp;$AJ1510&amp;"|"&amp;"3"&amp;RIGHT("00000"&amp;1505,5))</f>
        <v/>
      </c>
      <c r="AL1510">
        <f>IF($AK1510="","",COUNTIFS(LdAParty,$AE1510,LdAType,1,LdAKey,"&lt;"&amp;$AK1510)+COUNTIFS(LdBMember,$AE1510,LdBKey,"&lt;"&amp;$AK1510)+COUNTIFS(LdCParty,$AE1510,LdCKey,"&lt;"&amp;$AK1510)+1)</f>
        <v/>
      </c>
      <c r="AM1510">
        <f>IF($AL1510="","",$AE1510&amp;"|"&amp;RIGHT("000000"&amp;$AL1510,6))</f>
        <v/>
      </c>
      <c r="AN1510">
        <f>IF($AE1510="","",IF(Sync!$W1510="",0,Sync!$W1510))</f>
        <v/>
      </c>
      <c r="AO1510">
        <f>IF($AE1510="","",IF(Sync!$X1510="",0,Sync!$X1510))</f>
        <v/>
      </c>
      <c r="AP1510">
        <f>IF($AE1510="","",Sync!$R1510)</f>
        <v/>
      </c>
      <c r="AQ1510">
        <f>IF($AE1510="","",Sync!$Y1510)</f>
        <v/>
      </c>
    </row>
    <row r="1511">
      <c r="A1511">
        <f>IF(OR(Wages!$B1514="",Wages!$E1514=""),"",Wages!$E1514)</f>
        <v/>
      </c>
      <c r="B1511">
        <f>IF($A1511="","",IF(Wages!$C1514="دستمزد گروهی",2,1))</f>
        <v/>
      </c>
      <c r="C1511">
        <f>IF($A1511="","",IF(ISNUMBER(Wages!$B1514),IF(AND(Wages!$B1514&gt;=10000101,Wages!$B1514&lt;=99991231),INT(Wages!$B1514/10000),""),IFERROR(VALUE(TRIM(LEFT(Wages!$B1514,FIND("/",Wages!$B1514)-1))),"")))</f>
        <v/>
      </c>
      <c r="D1511">
        <f>IF(OR($A1511="",$C1511=""),"",IF(ISNUMBER(Wages!$B1514),INT(MOD(Wages!$B1514,10000)/100),IFERROR(VALUE(TRIM(LEFT(MID(Wages!$B1514,FIND("/",Wages!$B1514)+1,20),FIND("/",MID(Wages!$B1514,FIND("/",Wages!$B1514)+1,20))-1))),"")))</f>
        <v/>
      </c>
      <c r="E1511">
        <f>IF(OR($A1511="",$C1511=""),"",IF(ISNUMBER(Wages!$B1514),MOD(Wages!$B1514,100),IFERROR(VALUE(TRIM(MID(MID(Wages!$B1514,FIND("/",Wages!$B1514)+1,20),FIND("/",MID(Wages!$B1514,FIND("/",Wages!$B1514)+1,20))+1,20))),"")))</f>
        <v/>
      </c>
      <c r="F1511">
        <f>IF($A1511="","",IF(OR($C1511="",$D1511="",$E1511="",$C1511&lt;1300,$C1511&gt;1500,$D1511&lt;1,$D1511&gt;12,$E1511&lt;1,$E1511&gt;31),"نامعتبر",RIGHT("0000"&amp;$C1511,4)&amp;"/"&amp;RIGHT("00"&amp;$D1511,2)&amp;"/"&amp;RIGHT("00"&amp;$E1511,2)))</f>
        <v/>
      </c>
      <c r="G1511">
        <f>IF(OR($A1511="",$F1511="",$F1511="نامعتبر"),"",LEFT($F1511,4)&amp;MID($F1511,6,2)&amp;RIGHT($F1511,2)&amp;"0000"&amp;"|"&amp;"1"&amp;RIGHT("00000"&amp;1506,5))</f>
        <v/>
      </c>
      <c r="H1511">
        <f>IF(OR($B1511&lt;&gt;1,$G1511=""),"",COUNTIFS(LdAParty,$A1511,LdAType,1,LdAKey,"&lt;"&amp;$G1511)+COUNTIFS(LdBMember,$A1511,LdBKey,"&lt;"&amp;$G1511)+COUNTIFS(LdCParty,$A1511,LdCKey,"&lt;"&amp;$G1511)+1)</f>
        <v/>
      </c>
      <c r="I1511">
        <f>IF($H1511="","",$A1511&amp;"|"&amp;RIGHT("000000"&amp;$H1511,6))</f>
        <v/>
      </c>
      <c r="J1511">
        <f>IF(OR($B1511&lt;&gt;2,$G1511=""),"",COUNTIFS(LdAParty,$A1511,LdAType,2,LdAKey,"&lt;"&amp;$G1511)+1)</f>
        <v/>
      </c>
      <c r="K1511">
        <f>IF($J1511="","",$A1511&amp;"|"&amp;RIGHT("000000"&amp;$J1511,6))</f>
        <v/>
      </c>
      <c r="L1511">
        <f>IF($A1511="","",IF(Wages!$G1514="",0,Wages!$G1514))</f>
        <v/>
      </c>
      <c r="M1511">
        <f>IF($A1511="","",Wages!$J1514)</f>
        <v/>
      </c>
      <c r="N1511">
        <f>IF($A1511="","",Wages!$D1514)</f>
        <v/>
      </c>
      <c r="P1511">
        <f>IF(OR(Shares!$B1514="",Shares!$C1514=""),"",Shares!$C1514)</f>
        <v/>
      </c>
      <c r="Q1511">
        <f>IF($P1511="","",Shares!$B1514)</f>
        <v/>
      </c>
      <c r="R1511">
        <f>IF($P1511="","",IFERROR(INDEX(WageParty,MATCH($Q1511,WageIds,0)),""))</f>
        <v/>
      </c>
      <c r="S1511">
        <f>IF($P1511="","",IFERROR(INDEX($F$6:$F$2005,MATCH($Q1511,WageIds,0)),""))</f>
        <v/>
      </c>
      <c r="T1511">
        <f>IF(OR($P1511="",$S1511="",$S1511="نامعتبر"),"",LEFT($S1511,4)&amp;MID($S1511,6,2)&amp;RIGHT($S1511,2)&amp;"0000"&amp;"|"&amp;"2"&amp;RIGHT("00000"&amp;1506,5))</f>
        <v/>
      </c>
      <c r="U1511">
        <f>IF($T1511="","",COUNTIFS(LdAParty,$P1511,LdAType,1,LdAKey,"&lt;"&amp;$T1511)+COUNTIFS(LdBMember,$P1511,LdBKey,"&lt;"&amp;$T1511)+COUNTIFS(LdCParty,$P1511,LdCKey,"&lt;"&amp;$T1511)+1)</f>
        <v/>
      </c>
      <c r="V1511">
        <f>IF($U1511="","",$P1511&amp;"|"&amp;RIGHT("000000"&amp;$U1511,6))</f>
        <v/>
      </c>
      <c r="W1511">
        <f>IF($T1511="","",COUNTIFS(LdBGroup,$R1511,LdBKey,"&lt;"&amp;$T1511)+1)</f>
        <v/>
      </c>
      <c r="X1511">
        <f>IF($W1511="","",$R1511&amp;"|"&amp;RIGHT("000000"&amp;$W1511,6))</f>
        <v/>
      </c>
      <c r="Y1511">
        <f>IF($P1511="","",IF(Shares!$E1514="",0,Shares!$E1514))</f>
        <v/>
      </c>
      <c r="Z1511">
        <f>IF($P1511="","",Shares!$H1514)</f>
        <v/>
      </c>
      <c r="AE1511">
        <f>IF(OR(Sync!$S1511="",Sync!$P1511=""),"",Sync!$S1511)</f>
        <v/>
      </c>
      <c r="AF1511">
        <f>IF($AE1511="","",IF(ISNUMBER(Sync!$P1511),IF(AND(Sync!$P1511&gt;=10000101,Sync!$P1511&lt;=99991231),INT(Sync!$P1511/10000),""),IFERROR(VALUE(TRIM(LEFT(Sync!$P1511,FIND("/",Sync!$P1511)-1))),"")))</f>
        <v/>
      </c>
      <c r="AG1511">
        <f>IF(OR($AE1511="",$AF1511=""),"",IF(ISNUMBER(Sync!$P1511),INT(MOD(Sync!$P1511,10000)/100),IFERROR(VALUE(TRIM(LEFT(MID(Sync!$P1511,FIND("/",Sync!$P1511)+1,20),FIND("/",MID(Sync!$P1511,FIND("/",Sync!$P1511)+1,20))-1))),"")))</f>
        <v/>
      </c>
      <c r="AH1511">
        <f>IF(OR($AE1511="",$AF1511=""),"",IF(ISNUMBER(Sync!$P1511),MOD(Sync!$P1511,100),IFERROR(VALUE(TRIM(MID(MID(Sync!$P1511,FIND("/",Sync!$P1511)+1,20),FIND("/",MID(Sync!$P1511,FIND("/",Sync!$P1511)+1,20))+1,20))),"")))</f>
        <v/>
      </c>
      <c r="AI1511">
        <f>IF($AE1511="","",IF(OR($AF1511="",$AG1511="",$AH1511="",$AF1511&lt;1300,$AF1511&gt;1500,$AG1511&lt;1,$AG1511&gt;12,$AH1511&lt;1,$AH1511&gt;31),"نامعتبر",RIGHT("0000"&amp;$AF1511,4)&amp;"/"&amp;RIGHT("00"&amp;$AG1511,2)&amp;"/"&amp;RIGHT("00"&amp;$AH1511,2)))</f>
        <v/>
      </c>
      <c r="AJ1511">
        <f>IF($AE1511="","",IF(Sync!$Q1511="","0000",IF(AND(ISNUMBER(Sync!$Q1511),Sync!$Q1511&gt;=0,Sync!$Q1511&lt;1),RIGHT("00"&amp;HOUR(Sync!$Q1511),2)&amp;RIGHT("00"&amp;MINUTE(Sync!$Q1511),2),IFERROR(RIGHT("00"&amp;VALUE(LEFT(Sync!$Q1511,FIND(":",Sync!$Q1511)-1)),2)&amp;RIGHT("00"&amp;VALUE(MID(Sync!$Q1511,FIND(":",Sync!$Q1511)+1,2)),2),"0000"))))</f>
        <v/>
      </c>
      <c r="AK1511">
        <f>IF(OR($AE1511="",$AI1511="",$AI1511="نامعتبر"),"",LEFT($AI1511,4)&amp;MID($AI1511,6,2)&amp;RIGHT($AI1511,2)&amp;$AJ1511&amp;"|"&amp;"3"&amp;RIGHT("00000"&amp;1506,5))</f>
        <v/>
      </c>
      <c r="AL1511">
        <f>IF($AK1511="","",COUNTIFS(LdAParty,$AE1511,LdAType,1,LdAKey,"&lt;"&amp;$AK1511)+COUNTIFS(LdBMember,$AE1511,LdBKey,"&lt;"&amp;$AK1511)+COUNTIFS(LdCParty,$AE1511,LdCKey,"&lt;"&amp;$AK1511)+1)</f>
        <v/>
      </c>
      <c r="AM1511">
        <f>IF($AL1511="","",$AE1511&amp;"|"&amp;RIGHT("000000"&amp;$AL1511,6))</f>
        <v/>
      </c>
      <c r="AN1511">
        <f>IF($AE1511="","",IF(Sync!$W1511="",0,Sync!$W1511))</f>
        <v/>
      </c>
      <c r="AO1511">
        <f>IF($AE1511="","",IF(Sync!$X1511="",0,Sync!$X1511))</f>
        <v/>
      </c>
      <c r="AP1511">
        <f>IF($AE1511="","",Sync!$R1511)</f>
        <v/>
      </c>
      <c r="AQ1511">
        <f>IF($AE1511="","",Sync!$Y1511)</f>
        <v/>
      </c>
    </row>
    <row r="1512">
      <c r="A1512">
        <f>IF(OR(Wages!$B1515="",Wages!$E1515=""),"",Wages!$E1515)</f>
        <v/>
      </c>
      <c r="B1512">
        <f>IF($A1512="","",IF(Wages!$C1515="دستمزد گروهی",2,1))</f>
        <v/>
      </c>
      <c r="C1512">
        <f>IF($A1512="","",IF(ISNUMBER(Wages!$B1515),IF(AND(Wages!$B1515&gt;=10000101,Wages!$B1515&lt;=99991231),INT(Wages!$B1515/10000),""),IFERROR(VALUE(TRIM(LEFT(Wages!$B1515,FIND("/",Wages!$B1515)-1))),"")))</f>
        <v/>
      </c>
      <c r="D1512">
        <f>IF(OR($A1512="",$C1512=""),"",IF(ISNUMBER(Wages!$B1515),INT(MOD(Wages!$B1515,10000)/100),IFERROR(VALUE(TRIM(LEFT(MID(Wages!$B1515,FIND("/",Wages!$B1515)+1,20),FIND("/",MID(Wages!$B1515,FIND("/",Wages!$B1515)+1,20))-1))),"")))</f>
        <v/>
      </c>
      <c r="E1512">
        <f>IF(OR($A1512="",$C1512=""),"",IF(ISNUMBER(Wages!$B1515),MOD(Wages!$B1515,100),IFERROR(VALUE(TRIM(MID(MID(Wages!$B1515,FIND("/",Wages!$B1515)+1,20),FIND("/",MID(Wages!$B1515,FIND("/",Wages!$B1515)+1,20))+1,20))),"")))</f>
        <v/>
      </c>
      <c r="F1512">
        <f>IF($A1512="","",IF(OR($C1512="",$D1512="",$E1512="",$C1512&lt;1300,$C1512&gt;1500,$D1512&lt;1,$D1512&gt;12,$E1512&lt;1,$E1512&gt;31),"نامعتبر",RIGHT("0000"&amp;$C1512,4)&amp;"/"&amp;RIGHT("00"&amp;$D1512,2)&amp;"/"&amp;RIGHT("00"&amp;$E1512,2)))</f>
        <v/>
      </c>
      <c r="G1512">
        <f>IF(OR($A1512="",$F1512="",$F1512="نامعتبر"),"",LEFT($F1512,4)&amp;MID($F1512,6,2)&amp;RIGHT($F1512,2)&amp;"0000"&amp;"|"&amp;"1"&amp;RIGHT("00000"&amp;1507,5))</f>
        <v/>
      </c>
      <c r="H1512">
        <f>IF(OR($B1512&lt;&gt;1,$G1512=""),"",COUNTIFS(LdAParty,$A1512,LdAType,1,LdAKey,"&lt;"&amp;$G1512)+COUNTIFS(LdBMember,$A1512,LdBKey,"&lt;"&amp;$G1512)+COUNTIFS(LdCParty,$A1512,LdCKey,"&lt;"&amp;$G1512)+1)</f>
        <v/>
      </c>
      <c r="I1512">
        <f>IF($H1512="","",$A1512&amp;"|"&amp;RIGHT("000000"&amp;$H1512,6))</f>
        <v/>
      </c>
      <c r="J1512">
        <f>IF(OR($B1512&lt;&gt;2,$G1512=""),"",COUNTIFS(LdAParty,$A1512,LdAType,2,LdAKey,"&lt;"&amp;$G1512)+1)</f>
        <v/>
      </c>
      <c r="K1512">
        <f>IF($J1512="","",$A1512&amp;"|"&amp;RIGHT("000000"&amp;$J1512,6))</f>
        <v/>
      </c>
      <c r="L1512">
        <f>IF($A1512="","",IF(Wages!$G1515="",0,Wages!$G1515))</f>
        <v/>
      </c>
      <c r="M1512">
        <f>IF($A1512="","",Wages!$J1515)</f>
        <v/>
      </c>
      <c r="N1512">
        <f>IF($A1512="","",Wages!$D1515)</f>
        <v/>
      </c>
      <c r="P1512">
        <f>IF(OR(Shares!$B1515="",Shares!$C1515=""),"",Shares!$C1515)</f>
        <v/>
      </c>
      <c r="Q1512">
        <f>IF($P1512="","",Shares!$B1515)</f>
        <v/>
      </c>
      <c r="R1512">
        <f>IF($P1512="","",IFERROR(INDEX(WageParty,MATCH($Q1512,WageIds,0)),""))</f>
        <v/>
      </c>
      <c r="S1512">
        <f>IF($P1512="","",IFERROR(INDEX($F$6:$F$2005,MATCH($Q1512,WageIds,0)),""))</f>
        <v/>
      </c>
      <c r="T1512">
        <f>IF(OR($P1512="",$S1512="",$S1512="نامعتبر"),"",LEFT($S1512,4)&amp;MID($S1512,6,2)&amp;RIGHT($S1512,2)&amp;"0000"&amp;"|"&amp;"2"&amp;RIGHT("00000"&amp;1507,5))</f>
        <v/>
      </c>
      <c r="U1512">
        <f>IF($T1512="","",COUNTIFS(LdAParty,$P1512,LdAType,1,LdAKey,"&lt;"&amp;$T1512)+COUNTIFS(LdBMember,$P1512,LdBKey,"&lt;"&amp;$T1512)+COUNTIFS(LdCParty,$P1512,LdCKey,"&lt;"&amp;$T1512)+1)</f>
        <v/>
      </c>
      <c r="V1512">
        <f>IF($U1512="","",$P1512&amp;"|"&amp;RIGHT("000000"&amp;$U1512,6))</f>
        <v/>
      </c>
      <c r="W1512">
        <f>IF($T1512="","",COUNTIFS(LdBGroup,$R1512,LdBKey,"&lt;"&amp;$T1512)+1)</f>
        <v/>
      </c>
      <c r="X1512">
        <f>IF($W1512="","",$R1512&amp;"|"&amp;RIGHT("000000"&amp;$W1512,6))</f>
        <v/>
      </c>
      <c r="Y1512">
        <f>IF($P1512="","",IF(Shares!$E1515="",0,Shares!$E1515))</f>
        <v/>
      </c>
      <c r="Z1512">
        <f>IF($P1512="","",Shares!$H1515)</f>
        <v/>
      </c>
      <c r="AE1512">
        <f>IF(OR(Sync!$S1512="",Sync!$P1512=""),"",Sync!$S1512)</f>
        <v/>
      </c>
      <c r="AF1512">
        <f>IF($AE1512="","",IF(ISNUMBER(Sync!$P1512),IF(AND(Sync!$P1512&gt;=10000101,Sync!$P1512&lt;=99991231),INT(Sync!$P1512/10000),""),IFERROR(VALUE(TRIM(LEFT(Sync!$P1512,FIND("/",Sync!$P1512)-1))),"")))</f>
        <v/>
      </c>
      <c r="AG1512">
        <f>IF(OR($AE1512="",$AF1512=""),"",IF(ISNUMBER(Sync!$P1512),INT(MOD(Sync!$P1512,10000)/100),IFERROR(VALUE(TRIM(LEFT(MID(Sync!$P1512,FIND("/",Sync!$P1512)+1,20),FIND("/",MID(Sync!$P1512,FIND("/",Sync!$P1512)+1,20))-1))),"")))</f>
        <v/>
      </c>
      <c r="AH1512">
        <f>IF(OR($AE1512="",$AF1512=""),"",IF(ISNUMBER(Sync!$P1512),MOD(Sync!$P1512,100),IFERROR(VALUE(TRIM(MID(MID(Sync!$P1512,FIND("/",Sync!$P1512)+1,20),FIND("/",MID(Sync!$P1512,FIND("/",Sync!$P1512)+1,20))+1,20))),"")))</f>
        <v/>
      </c>
      <c r="AI1512">
        <f>IF($AE1512="","",IF(OR($AF1512="",$AG1512="",$AH1512="",$AF1512&lt;1300,$AF1512&gt;1500,$AG1512&lt;1,$AG1512&gt;12,$AH1512&lt;1,$AH1512&gt;31),"نامعتبر",RIGHT("0000"&amp;$AF1512,4)&amp;"/"&amp;RIGHT("00"&amp;$AG1512,2)&amp;"/"&amp;RIGHT("00"&amp;$AH1512,2)))</f>
        <v/>
      </c>
      <c r="AJ1512">
        <f>IF($AE1512="","",IF(Sync!$Q1512="","0000",IF(AND(ISNUMBER(Sync!$Q1512),Sync!$Q1512&gt;=0,Sync!$Q1512&lt;1),RIGHT("00"&amp;HOUR(Sync!$Q1512),2)&amp;RIGHT("00"&amp;MINUTE(Sync!$Q1512),2),IFERROR(RIGHT("00"&amp;VALUE(LEFT(Sync!$Q1512,FIND(":",Sync!$Q1512)-1)),2)&amp;RIGHT("00"&amp;VALUE(MID(Sync!$Q1512,FIND(":",Sync!$Q1512)+1,2)),2),"0000"))))</f>
        <v/>
      </c>
      <c r="AK1512">
        <f>IF(OR($AE1512="",$AI1512="",$AI1512="نامعتبر"),"",LEFT($AI1512,4)&amp;MID($AI1512,6,2)&amp;RIGHT($AI1512,2)&amp;$AJ1512&amp;"|"&amp;"3"&amp;RIGHT("00000"&amp;1507,5))</f>
        <v/>
      </c>
      <c r="AL1512">
        <f>IF($AK1512="","",COUNTIFS(LdAParty,$AE1512,LdAType,1,LdAKey,"&lt;"&amp;$AK1512)+COUNTIFS(LdBMember,$AE1512,LdBKey,"&lt;"&amp;$AK1512)+COUNTIFS(LdCParty,$AE1512,LdCKey,"&lt;"&amp;$AK1512)+1)</f>
        <v/>
      </c>
      <c r="AM1512">
        <f>IF($AL1512="","",$AE1512&amp;"|"&amp;RIGHT("000000"&amp;$AL1512,6))</f>
        <v/>
      </c>
      <c r="AN1512">
        <f>IF($AE1512="","",IF(Sync!$W1512="",0,Sync!$W1512))</f>
        <v/>
      </c>
      <c r="AO1512">
        <f>IF($AE1512="","",IF(Sync!$X1512="",0,Sync!$X1512))</f>
        <v/>
      </c>
      <c r="AP1512">
        <f>IF($AE1512="","",Sync!$R1512)</f>
        <v/>
      </c>
      <c r="AQ1512">
        <f>IF($AE1512="","",Sync!$Y1512)</f>
        <v/>
      </c>
    </row>
    <row r="1513">
      <c r="A1513">
        <f>IF(OR(Wages!$B1516="",Wages!$E1516=""),"",Wages!$E1516)</f>
        <v/>
      </c>
      <c r="B1513">
        <f>IF($A1513="","",IF(Wages!$C1516="دستمزد گروهی",2,1))</f>
        <v/>
      </c>
      <c r="C1513">
        <f>IF($A1513="","",IF(ISNUMBER(Wages!$B1516),IF(AND(Wages!$B1516&gt;=10000101,Wages!$B1516&lt;=99991231),INT(Wages!$B1516/10000),""),IFERROR(VALUE(TRIM(LEFT(Wages!$B1516,FIND("/",Wages!$B1516)-1))),"")))</f>
        <v/>
      </c>
      <c r="D1513">
        <f>IF(OR($A1513="",$C1513=""),"",IF(ISNUMBER(Wages!$B1516),INT(MOD(Wages!$B1516,10000)/100),IFERROR(VALUE(TRIM(LEFT(MID(Wages!$B1516,FIND("/",Wages!$B1516)+1,20),FIND("/",MID(Wages!$B1516,FIND("/",Wages!$B1516)+1,20))-1))),"")))</f>
        <v/>
      </c>
      <c r="E1513">
        <f>IF(OR($A1513="",$C1513=""),"",IF(ISNUMBER(Wages!$B1516),MOD(Wages!$B1516,100),IFERROR(VALUE(TRIM(MID(MID(Wages!$B1516,FIND("/",Wages!$B1516)+1,20),FIND("/",MID(Wages!$B1516,FIND("/",Wages!$B1516)+1,20))+1,20))),"")))</f>
        <v/>
      </c>
      <c r="F1513">
        <f>IF($A1513="","",IF(OR($C1513="",$D1513="",$E1513="",$C1513&lt;1300,$C1513&gt;1500,$D1513&lt;1,$D1513&gt;12,$E1513&lt;1,$E1513&gt;31),"نامعتبر",RIGHT("0000"&amp;$C1513,4)&amp;"/"&amp;RIGHT("00"&amp;$D1513,2)&amp;"/"&amp;RIGHT("00"&amp;$E1513,2)))</f>
        <v/>
      </c>
      <c r="G1513">
        <f>IF(OR($A1513="",$F1513="",$F1513="نامعتبر"),"",LEFT($F1513,4)&amp;MID($F1513,6,2)&amp;RIGHT($F1513,2)&amp;"0000"&amp;"|"&amp;"1"&amp;RIGHT("00000"&amp;1508,5))</f>
        <v/>
      </c>
      <c r="H1513">
        <f>IF(OR($B1513&lt;&gt;1,$G1513=""),"",COUNTIFS(LdAParty,$A1513,LdAType,1,LdAKey,"&lt;"&amp;$G1513)+COUNTIFS(LdBMember,$A1513,LdBKey,"&lt;"&amp;$G1513)+COUNTIFS(LdCParty,$A1513,LdCKey,"&lt;"&amp;$G1513)+1)</f>
        <v/>
      </c>
      <c r="I1513">
        <f>IF($H1513="","",$A1513&amp;"|"&amp;RIGHT("000000"&amp;$H1513,6))</f>
        <v/>
      </c>
      <c r="J1513">
        <f>IF(OR($B1513&lt;&gt;2,$G1513=""),"",COUNTIFS(LdAParty,$A1513,LdAType,2,LdAKey,"&lt;"&amp;$G1513)+1)</f>
        <v/>
      </c>
      <c r="K1513">
        <f>IF($J1513="","",$A1513&amp;"|"&amp;RIGHT("000000"&amp;$J1513,6))</f>
        <v/>
      </c>
      <c r="L1513">
        <f>IF($A1513="","",IF(Wages!$G1516="",0,Wages!$G1516))</f>
        <v/>
      </c>
      <c r="M1513">
        <f>IF($A1513="","",Wages!$J1516)</f>
        <v/>
      </c>
      <c r="N1513">
        <f>IF($A1513="","",Wages!$D1516)</f>
        <v/>
      </c>
      <c r="P1513">
        <f>IF(OR(Shares!$B1516="",Shares!$C1516=""),"",Shares!$C1516)</f>
        <v/>
      </c>
      <c r="Q1513">
        <f>IF($P1513="","",Shares!$B1516)</f>
        <v/>
      </c>
      <c r="R1513">
        <f>IF($P1513="","",IFERROR(INDEX(WageParty,MATCH($Q1513,WageIds,0)),""))</f>
        <v/>
      </c>
      <c r="S1513">
        <f>IF($P1513="","",IFERROR(INDEX($F$6:$F$2005,MATCH($Q1513,WageIds,0)),""))</f>
        <v/>
      </c>
      <c r="T1513">
        <f>IF(OR($P1513="",$S1513="",$S1513="نامعتبر"),"",LEFT($S1513,4)&amp;MID($S1513,6,2)&amp;RIGHT($S1513,2)&amp;"0000"&amp;"|"&amp;"2"&amp;RIGHT("00000"&amp;1508,5))</f>
        <v/>
      </c>
      <c r="U1513">
        <f>IF($T1513="","",COUNTIFS(LdAParty,$P1513,LdAType,1,LdAKey,"&lt;"&amp;$T1513)+COUNTIFS(LdBMember,$P1513,LdBKey,"&lt;"&amp;$T1513)+COUNTIFS(LdCParty,$P1513,LdCKey,"&lt;"&amp;$T1513)+1)</f>
        <v/>
      </c>
      <c r="V1513">
        <f>IF($U1513="","",$P1513&amp;"|"&amp;RIGHT("000000"&amp;$U1513,6))</f>
        <v/>
      </c>
      <c r="W1513">
        <f>IF($T1513="","",COUNTIFS(LdBGroup,$R1513,LdBKey,"&lt;"&amp;$T1513)+1)</f>
        <v/>
      </c>
      <c r="X1513">
        <f>IF($W1513="","",$R1513&amp;"|"&amp;RIGHT("000000"&amp;$W1513,6))</f>
        <v/>
      </c>
      <c r="Y1513">
        <f>IF($P1513="","",IF(Shares!$E1516="",0,Shares!$E1516))</f>
        <v/>
      </c>
      <c r="Z1513">
        <f>IF($P1513="","",Shares!$H1516)</f>
        <v/>
      </c>
      <c r="AE1513">
        <f>IF(OR(Sync!$S1513="",Sync!$P1513=""),"",Sync!$S1513)</f>
        <v/>
      </c>
      <c r="AF1513">
        <f>IF($AE1513="","",IF(ISNUMBER(Sync!$P1513),IF(AND(Sync!$P1513&gt;=10000101,Sync!$P1513&lt;=99991231),INT(Sync!$P1513/10000),""),IFERROR(VALUE(TRIM(LEFT(Sync!$P1513,FIND("/",Sync!$P1513)-1))),"")))</f>
        <v/>
      </c>
      <c r="AG1513">
        <f>IF(OR($AE1513="",$AF1513=""),"",IF(ISNUMBER(Sync!$P1513),INT(MOD(Sync!$P1513,10000)/100),IFERROR(VALUE(TRIM(LEFT(MID(Sync!$P1513,FIND("/",Sync!$P1513)+1,20),FIND("/",MID(Sync!$P1513,FIND("/",Sync!$P1513)+1,20))-1))),"")))</f>
        <v/>
      </c>
      <c r="AH1513">
        <f>IF(OR($AE1513="",$AF1513=""),"",IF(ISNUMBER(Sync!$P1513),MOD(Sync!$P1513,100),IFERROR(VALUE(TRIM(MID(MID(Sync!$P1513,FIND("/",Sync!$P1513)+1,20),FIND("/",MID(Sync!$P1513,FIND("/",Sync!$P1513)+1,20))+1,20))),"")))</f>
        <v/>
      </c>
      <c r="AI1513">
        <f>IF($AE1513="","",IF(OR($AF1513="",$AG1513="",$AH1513="",$AF1513&lt;1300,$AF1513&gt;1500,$AG1513&lt;1,$AG1513&gt;12,$AH1513&lt;1,$AH1513&gt;31),"نامعتبر",RIGHT("0000"&amp;$AF1513,4)&amp;"/"&amp;RIGHT("00"&amp;$AG1513,2)&amp;"/"&amp;RIGHT("00"&amp;$AH1513,2)))</f>
        <v/>
      </c>
      <c r="AJ1513">
        <f>IF($AE1513="","",IF(Sync!$Q1513="","0000",IF(AND(ISNUMBER(Sync!$Q1513),Sync!$Q1513&gt;=0,Sync!$Q1513&lt;1),RIGHT("00"&amp;HOUR(Sync!$Q1513),2)&amp;RIGHT("00"&amp;MINUTE(Sync!$Q1513),2),IFERROR(RIGHT("00"&amp;VALUE(LEFT(Sync!$Q1513,FIND(":",Sync!$Q1513)-1)),2)&amp;RIGHT("00"&amp;VALUE(MID(Sync!$Q1513,FIND(":",Sync!$Q1513)+1,2)),2),"0000"))))</f>
        <v/>
      </c>
      <c r="AK1513">
        <f>IF(OR($AE1513="",$AI1513="",$AI1513="نامعتبر"),"",LEFT($AI1513,4)&amp;MID($AI1513,6,2)&amp;RIGHT($AI1513,2)&amp;$AJ1513&amp;"|"&amp;"3"&amp;RIGHT("00000"&amp;1508,5))</f>
        <v/>
      </c>
      <c r="AL1513">
        <f>IF($AK1513="","",COUNTIFS(LdAParty,$AE1513,LdAType,1,LdAKey,"&lt;"&amp;$AK1513)+COUNTIFS(LdBMember,$AE1513,LdBKey,"&lt;"&amp;$AK1513)+COUNTIFS(LdCParty,$AE1513,LdCKey,"&lt;"&amp;$AK1513)+1)</f>
        <v/>
      </c>
      <c r="AM1513">
        <f>IF($AL1513="","",$AE1513&amp;"|"&amp;RIGHT("000000"&amp;$AL1513,6))</f>
        <v/>
      </c>
      <c r="AN1513">
        <f>IF($AE1513="","",IF(Sync!$W1513="",0,Sync!$W1513))</f>
        <v/>
      </c>
      <c r="AO1513">
        <f>IF($AE1513="","",IF(Sync!$X1513="",0,Sync!$X1513))</f>
        <v/>
      </c>
      <c r="AP1513">
        <f>IF($AE1513="","",Sync!$R1513)</f>
        <v/>
      </c>
      <c r="AQ1513">
        <f>IF($AE1513="","",Sync!$Y1513)</f>
        <v/>
      </c>
    </row>
    <row r="1514">
      <c r="A1514">
        <f>IF(OR(Wages!$B1517="",Wages!$E1517=""),"",Wages!$E1517)</f>
        <v/>
      </c>
      <c r="B1514">
        <f>IF($A1514="","",IF(Wages!$C1517="دستمزد گروهی",2,1))</f>
        <v/>
      </c>
      <c r="C1514">
        <f>IF($A1514="","",IF(ISNUMBER(Wages!$B1517),IF(AND(Wages!$B1517&gt;=10000101,Wages!$B1517&lt;=99991231),INT(Wages!$B1517/10000),""),IFERROR(VALUE(TRIM(LEFT(Wages!$B1517,FIND("/",Wages!$B1517)-1))),"")))</f>
        <v/>
      </c>
      <c r="D1514">
        <f>IF(OR($A1514="",$C1514=""),"",IF(ISNUMBER(Wages!$B1517),INT(MOD(Wages!$B1517,10000)/100),IFERROR(VALUE(TRIM(LEFT(MID(Wages!$B1517,FIND("/",Wages!$B1517)+1,20),FIND("/",MID(Wages!$B1517,FIND("/",Wages!$B1517)+1,20))-1))),"")))</f>
        <v/>
      </c>
      <c r="E1514">
        <f>IF(OR($A1514="",$C1514=""),"",IF(ISNUMBER(Wages!$B1517),MOD(Wages!$B1517,100),IFERROR(VALUE(TRIM(MID(MID(Wages!$B1517,FIND("/",Wages!$B1517)+1,20),FIND("/",MID(Wages!$B1517,FIND("/",Wages!$B1517)+1,20))+1,20))),"")))</f>
        <v/>
      </c>
      <c r="F1514">
        <f>IF($A1514="","",IF(OR($C1514="",$D1514="",$E1514="",$C1514&lt;1300,$C1514&gt;1500,$D1514&lt;1,$D1514&gt;12,$E1514&lt;1,$E1514&gt;31),"نامعتبر",RIGHT("0000"&amp;$C1514,4)&amp;"/"&amp;RIGHT("00"&amp;$D1514,2)&amp;"/"&amp;RIGHT("00"&amp;$E1514,2)))</f>
        <v/>
      </c>
      <c r="G1514">
        <f>IF(OR($A1514="",$F1514="",$F1514="نامعتبر"),"",LEFT($F1514,4)&amp;MID($F1514,6,2)&amp;RIGHT($F1514,2)&amp;"0000"&amp;"|"&amp;"1"&amp;RIGHT("00000"&amp;1509,5))</f>
        <v/>
      </c>
      <c r="H1514">
        <f>IF(OR($B1514&lt;&gt;1,$G1514=""),"",COUNTIFS(LdAParty,$A1514,LdAType,1,LdAKey,"&lt;"&amp;$G1514)+COUNTIFS(LdBMember,$A1514,LdBKey,"&lt;"&amp;$G1514)+COUNTIFS(LdCParty,$A1514,LdCKey,"&lt;"&amp;$G1514)+1)</f>
        <v/>
      </c>
      <c r="I1514">
        <f>IF($H1514="","",$A1514&amp;"|"&amp;RIGHT("000000"&amp;$H1514,6))</f>
        <v/>
      </c>
      <c r="J1514">
        <f>IF(OR($B1514&lt;&gt;2,$G1514=""),"",COUNTIFS(LdAParty,$A1514,LdAType,2,LdAKey,"&lt;"&amp;$G1514)+1)</f>
        <v/>
      </c>
      <c r="K1514">
        <f>IF($J1514="","",$A1514&amp;"|"&amp;RIGHT("000000"&amp;$J1514,6))</f>
        <v/>
      </c>
      <c r="L1514">
        <f>IF($A1514="","",IF(Wages!$G1517="",0,Wages!$G1517))</f>
        <v/>
      </c>
      <c r="M1514">
        <f>IF($A1514="","",Wages!$J1517)</f>
        <v/>
      </c>
      <c r="N1514">
        <f>IF($A1514="","",Wages!$D1517)</f>
        <v/>
      </c>
      <c r="P1514">
        <f>IF(OR(Shares!$B1517="",Shares!$C1517=""),"",Shares!$C1517)</f>
        <v/>
      </c>
      <c r="Q1514">
        <f>IF($P1514="","",Shares!$B1517)</f>
        <v/>
      </c>
      <c r="R1514">
        <f>IF($P1514="","",IFERROR(INDEX(WageParty,MATCH($Q1514,WageIds,0)),""))</f>
        <v/>
      </c>
      <c r="S1514">
        <f>IF($P1514="","",IFERROR(INDEX($F$6:$F$2005,MATCH($Q1514,WageIds,0)),""))</f>
        <v/>
      </c>
      <c r="T1514">
        <f>IF(OR($P1514="",$S1514="",$S1514="نامعتبر"),"",LEFT($S1514,4)&amp;MID($S1514,6,2)&amp;RIGHT($S1514,2)&amp;"0000"&amp;"|"&amp;"2"&amp;RIGHT("00000"&amp;1509,5))</f>
        <v/>
      </c>
      <c r="U1514">
        <f>IF($T1514="","",COUNTIFS(LdAParty,$P1514,LdAType,1,LdAKey,"&lt;"&amp;$T1514)+COUNTIFS(LdBMember,$P1514,LdBKey,"&lt;"&amp;$T1514)+COUNTIFS(LdCParty,$P1514,LdCKey,"&lt;"&amp;$T1514)+1)</f>
        <v/>
      </c>
      <c r="V1514">
        <f>IF($U1514="","",$P1514&amp;"|"&amp;RIGHT("000000"&amp;$U1514,6))</f>
        <v/>
      </c>
      <c r="W1514">
        <f>IF($T1514="","",COUNTIFS(LdBGroup,$R1514,LdBKey,"&lt;"&amp;$T1514)+1)</f>
        <v/>
      </c>
      <c r="X1514">
        <f>IF($W1514="","",$R1514&amp;"|"&amp;RIGHT("000000"&amp;$W1514,6))</f>
        <v/>
      </c>
      <c r="Y1514">
        <f>IF($P1514="","",IF(Shares!$E1517="",0,Shares!$E1517))</f>
        <v/>
      </c>
      <c r="Z1514">
        <f>IF($P1514="","",Shares!$H1517)</f>
        <v/>
      </c>
      <c r="AE1514">
        <f>IF(OR(Sync!$S1514="",Sync!$P1514=""),"",Sync!$S1514)</f>
        <v/>
      </c>
      <c r="AF1514">
        <f>IF($AE1514="","",IF(ISNUMBER(Sync!$P1514),IF(AND(Sync!$P1514&gt;=10000101,Sync!$P1514&lt;=99991231),INT(Sync!$P1514/10000),""),IFERROR(VALUE(TRIM(LEFT(Sync!$P1514,FIND("/",Sync!$P1514)-1))),"")))</f>
        <v/>
      </c>
      <c r="AG1514">
        <f>IF(OR($AE1514="",$AF1514=""),"",IF(ISNUMBER(Sync!$P1514),INT(MOD(Sync!$P1514,10000)/100),IFERROR(VALUE(TRIM(LEFT(MID(Sync!$P1514,FIND("/",Sync!$P1514)+1,20),FIND("/",MID(Sync!$P1514,FIND("/",Sync!$P1514)+1,20))-1))),"")))</f>
        <v/>
      </c>
      <c r="AH1514">
        <f>IF(OR($AE1514="",$AF1514=""),"",IF(ISNUMBER(Sync!$P1514),MOD(Sync!$P1514,100),IFERROR(VALUE(TRIM(MID(MID(Sync!$P1514,FIND("/",Sync!$P1514)+1,20),FIND("/",MID(Sync!$P1514,FIND("/",Sync!$P1514)+1,20))+1,20))),"")))</f>
        <v/>
      </c>
      <c r="AI1514">
        <f>IF($AE1514="","",IF(OR($AF1514="",$AG1514="",$AH1514="",$AF1514&lt;1300,$AF1514&gt;1500,$AG1514&lt;1,$AG1514&gt;12,$AH1514&lt;1,$AH1514&gt;31),"نامعتبر",RIGHT("0000"&amp;$AF1514,4)&amp;"/"&amp;RIGHT("00"&amp;$AG1514,2)&amp;"/"&amp;RIGHT("00"&amp;$AH1514,2)))</f>
        <v/>
      </c>
      <c r="AJ1514">
        <f>IF($AE1514="","",IF(Sync!$Q1514="","0000",IF(AND(ISNUMBER(Sync!$Q1514),Sync!$Q1514&gt;=0,Sync!$Q1514&lt;1),RIGHT("00"&amp;HOUR(Sync!$Q1514),2)&amp;RIGHT("00"&amp;MINUTE(Sync!$Q1514),2),IFERROR(RIGHT("00"&amp;VALUE(LEFT(Sync!$Q1514,FIND(":",Sync!$Q1514)-1)),2)&amp;RIGHT("00"&amp;VALUE(MID(Sync!$Q1514,FIND(":",Sync!$Q1514)+1,2)),2),"0000"))))</f>
        <v/>
      </c>
      <c r="AK1514">
        <f>IF(OR($AE1514="",$AI1514="",$AI1514="نامعتبر"),"",LEFT($AI1514,4)&amp;MID($AI1514,6,2)&amp;RIGHT($AI1514,2)&amp;$AJ1514&amp;"|"&amp;"3"&amp;RIGHT("00000"&amp;1509,5))</f>
        <v/>
      </c>
      <c r="AL1514">
        <f>IF($AK1514="","",COUNTIFS(LdAParty,$AE1514,LdAType,1,LdAKey,"&lt;"&amp;$AK1514)+COUNTIFS(LdBMember,$AE1514,LdBKey,"&lt;"&amp;$AK1514)+COUNTIFS(LdCParty,$AE1514,LdCKey,"&lt;"&amp;$AK1514)+1)</f>
        <v/>
      </c>
      <c r="AM1514">
        <f>IF($AL1514="","",$AE1514&amp;"|"&amp;RIGHT("000000"&amp;$AL1514,6))</f>
        <v/>
      </c>
      <c r="AN1514">
        <f>IF($AE1514="","",IF(Sync!$W1514="",0,Sync!$W1514))</f>
        <v/>
      </c>
      <c r="AO1514">
        <f>IF($AE1514="","",IF(Sync!$X1514="",0,Sync!$X1514))</f>
        <v/>
      </c>
      <c r="AP1514">
        <f>IF($AE1514="","",Sync!$R1514)</f>
        <v/>
      </c>
      <c r="AQ1514">
        <f>IF($AE1514="","",Sync!$Y1514)</f>
        <v/>
      </c>
    </row>
    <row r="1515">
      <c r="A1515">
        <f>IF(OR(Wages!$B1518="",Wages!$E1518=""),"",Wages!$E1518)</f>
        <v/>
      </c>
      <c r="B1515">
        <f>IF($A1515="","",IF(Wages!$C1518="دستمزد گروهی",2,1))</f>
        <v/>
      </c>
      <c r="C1515">
        <f>IF($A1515="","",IF(ISNUMBER(Wages!$B1518),IF(AND(Wages!$B1518&gt;=10000101,Wages!$B1518&lt;=99991231),INT(Wages!$B1518/10000),""),IFERROR(VALUE(TRIM(LEFT(Wages!$B1518,FIND("/",Wages!$B1518)-1))),"")))</f>
        <v/>
      </c>
      <c r="D1515">
        <f>IF(OR($A1515="",$C1515=""),"",IF(ISNUMBER(Wages!$B1518),INT(MOD(Wages!$B1518,10000)/100),IFERROR(VALUE(TRIM(LEFT(MID(Wages!$B1518,FIND("/",Wages!$B1518)+1,20),FIND("/",MID(Wages!$B1518,FIND("/",Wages!$B1518)+1,20))-1))),"")))</f>
        <v/>
      </c>
      <c r="E1515">
        <f>IF(OR($A1515="",$C1515=""),"",IF(ISNUMBER(Wages!$B1518),MOD(Wages!$B1518,100),IFERROR(VALUE(TRIM(MID(MID(Wages!$B1518,FIND("/",Wages!$B1518)+1,20),FIND("/",MID(Wages!$B1518,FIND("/",Wages!$B1518)+1,20))+1,20))),"")))</f>
        <v/>
      </c>
      <c r="F1515">
        <f>IF($A1515="","",IF(OR($C1515="",$D1515="",$E1515="",$C1515&lt;1300,$C1515&gt;1500,$D1515&lt;1,$D1515&gt;12,$E1515&lt;1,$E1515&gt;31),"نامعتبر",RIGHT("0000"&amp;$C1515,4)&amp;"/"&amp;RIGHT("00"&amp;$D1515,2)&amp;"/"&amp;RIGHT("00"&amp;$E1515,2)))</f>
        <v/>
      </c>
      <c r="G1515">
        <f>IF(OR($A1515="",$F1515="",$F1515="نامعتبر"),"",LEFT($F1515,4)&amp;MID($F1515,6,2)&amp;RIGHT($F1515,2)&amp;"0000"&amp;"|"&amp;"1"&amp;RIGHT("00000"&amp;1510,5))</f>
        <v/>
      </c>
      <c r="H1515">
        <f>IF(OR($B1515&lt;&gt;1,$G1515=""),"",COUNTIFS(LdAParty,$A1515,LdAType,1,LdAKey,"&lt;"&amp;$G1515)+COUNTIFS(LdBMember,$A1515,LdBKey,"&lt;"&amp;$G1515)+COUNTIFS(LdCParty,$A1515,LdCKey,"&lt;"&amp;$G1515)+1)</f>
        <v/>
      </c>
      <c r="I1515">
        <f>IF($H1515="","",$A1515&amp;"|"&amp;RIGHT("000000"&amp;$H1515,6))</f>
        <v/>
      </c>
      <c r="J1515">
        <f>IF(OR($B1515&lt;&gt;2,$G1515=""),"",COUNTIFS(LdAParty,$A1515,LdAType,2,LdAKey,"&lt;"&amp;$G1515)+1)</f>
        <v/>
      </c>
      <c r="K1515">
        <f>IF($J1515="","",$A1515&amp;"|"&amp;RIGHT("000000"&amp;$J1515,6))</f>
        <v/>
      </c>
      <c r="L1515">
        <f>IF($A1515="","",IF(Wages!$G1518="",0,Wages!$G1518))</f>
        <v/>
      </c>
      <c r="M1515">
        <f>IF($A1515="","",Wages!$J1518)</f>
        <v/>
      </c>
      <c r="N1515">
        <f>IF($A1515="","",Wages!$D1518)</f>
        <v/>
      </c>
      <c r="P1515">
        <f>IF(OR(Shares!$B1518="",Shares!$C1518=""),"",Shares!$C1518)</f>
        <v/>
      </c>
      <c r="Q1515">
        <f>IF($P1515="","",Shares!$B1518)</f>
        <v/>
      </c>
      <c r="R1515">
        <f>IF($P1515="","",IFERROR(INDEX(WageParty,MATCH($Q1515,WageIds,0)),""))</f>
        <v/>
      </c>
      <c r="S1515">
        <f>IF($P1515="","",IFERROR(INDEX($F$6:$F$2005,MATCH($Q1515,WageIds,0)),""))</f>
        <v/>
      </c>
      <c r="T1515">
        <f>IF(OR($P1515="",$S1515="",$S1515="نامعتبر"),"",LEFT($S1515,4)&amp;MID($S1515,6,2)&amp;RIGHT($S1515,2)&amp;"0000"&amp;"|"&amp;"2"&amp;RIGHT("00000"&amp;1510,5))</f>
        <v/>
      </c>
      <c r="U1515">
        <f>IF($T1515="","",COUNTIFS(LdAParty,$P1515,LdAType,1,LdAKey,"&lt;"&amp;$T1515)+COUNTIFS(LdBMember,$P1515,LdBKey,"&lt;"&amp;$T1515)+COUNTIFS(LdCParty,$P1515,LdCKey,"&lt;"&amp;$T1515)+1)</f>
        <v/>
      </c>
      <c r="V1515">
        <f>IF($U1515="","",$P1515&amp;"|"&amp;RIGHT("000000"&amp;$U1515,6))</f>
        <v/>
      </c>
      <c r="W1515">
        <f>IF($T1515="","",COUNTIFS(LdBGroup,$R1515,LdBKey,"&lt;"&amp;$T1515)+1)</f>
        <v/>
      </c>
      <c r="X1515">
        <f>IF($W1515="","",$R1515&amp;"|"&amp;RIGHT("000000"&amp;$W1515,6))</f>
        <v/>
      </c>
      <c r="Y1515">
        <f>IF($P1515="","",IF(Shares!$E1518="",0,Shares!$E1518))</f>
        <v/>
      </c>
      <c r="Z1515">
        <f>IF($P1515="","",Shares!$H1518)</f>
        <v/>
      </c>
      <c r="AE1515">
        <f>IF(OR(Sync!$S1515="",Sync!$P1515=""),"",Sync!$S1515)</f>
        <v/>
      </c>
      <c r="AF1515">
        <f>IF($AE1515="","",IF(ISNUMBER(Sync!$P1515),IF(AND(Sync!$P1515&gt;=10000101,Sync!$P1515&lt;=99991231),INT(Sync!$P1515/10000),""),IFERROR(VALUE(TRIM(LEFT(Sync!$P1515,FIND("/",Sync!$P1515)-1))),"")))</f>
        <v/>
      </c>
      <c r="AG1515">
        <f>IF(OR($AE1515="",$AF1515=""),"",IF(ISNUMBER(Sync!$P1515),INT(MOD(Sync!$P1515,10000)/100),IFERROR(VALUE(TRIM(LEFT(MID(Sync!$P1515,FIND("/",Sync!$P1515)+1,20),FIND("/",MID(Sync!$P1515,FIND("/",Sync!$P1515)+1,20))-1))),"")))</f>
        <v/>
      </c>
      <c r="AH1515">
        <f>IF(OR($AE1515="",$AF1515=""),"",IF(ISNUMBER(Sync!$P1515),MOD(Sync!$P1515,100),IFERROR(VALUE(TRIM(MID(MID(Sync!$P1515,FIND("/",Sync!$P1515)+1,20),FIND("/",MID(Sync!$P1515,FIND("/",Sync!$P1515)+1,20))+1,20))),"")))</f>
        <v/>
      </c>
      <c r="AI1515">
        <f>IF($AE1515="","",IF(OR($AF1515="",$AG1515="",$AH1515="",$AF1515&lt;1300,$AF1515&gt;1500,$AG1515&lt;1,$AG1515&gt;12,$AH1515&lt;1,$AH1515&gt;31),"نامعتبر",RIGHT("0000"&amp;$AF1515,4)&amp;"/"&amp;RIGHT("00"&amp;$AG1515,2)&amp;"/"&amp;RIGHT("00"&amp;$AH1515,2)))</f>
        <v/>
      </c>
      <c r="AJ1515">
        <f>IF($AE1515="","",IF(Sync!$Q1515="","0000",IF(AND(ISNUMBER(Sync!$Q1515),Sync!$Q1515&gt;=0,Sync!$Q1515&lt;1),RIGHT("00"&amp;HOUR(Sync!$Q1515),2)&amp;RIGHT("00"&amp;MINUTE(Sync!$Q1515),2),IFERROR(RIGHT("00"&amp;VALUE(LEFT(Sync!$Q1515,FIND(":",Sync!$Q1515)-1)),2)&amp;RIGHT("00"&amp;VALUE(MID(Sync!$Q1515,FIND(":",Sync!$Q1515)+1,2)),2),"0000"))))</f>
        <v/>
      </c>
      <c r="AK1515">
        <f>IF(OR($AE1515="",$AI1515="",$AI1515="نامعتبر"),"",LEFT($AI1515,4)&amp;MID($AI1515,6,2)&amp;RIGHT($AI1515,2)&amp;$AJ1515&amp;"|"&amp;"3"&amp;RIGHT("00000"&amp;1510,5))</f>
        <v/>
      </c>
      <c r="AL1515">
        <f>IF($AK1515="","",COUNTIFS(LdAParty,$AE1515,LdAType,1,LdAKey,"&lt;"&amp;$AK1515)+COUNTIFS(LdBMember,$AE1515,LdBKey,"&lt;"&amp;$AK1515)+COUNTIFS(LdCParty,$AE1515,LdCKey,"&lt;"&amp;$AK1515)+1)</f>
        <v/>
      </c>
      <c r="AM1515">
        <f>IF($AL1515="","",$AE1515&amp;"|"&amp;RIGHT("000000"&amp;$AL1515,6))</f>
        <v/>
      </c>
      <c r="AN1515">
        <f>IF($AE1515="","",IF(Sync!$W1515="",0,Sync!$W1515))</f>
        <v/>
      </c>
      <c r="AO1515">
        <f>IF($AE1515="","",IF(Sync!$X1515="",0,Sync!$X1515))</f>
        <v/>
      </c>
      <c r="AP1515">
        <f>IF($AE1515="","",Sync!$R1515)</f>
        <v/>
      </c>
      <c r="AQ1515">
        <f>IF($AE1515="","",Sync!$Y1515)</f>
        <v/>
      </c>
    </row>
    <row r="1516">
      <c r="A1516">
        <f>IF(OR(Wages!$B1519="",Wages!$E1519=""),"",Wages!$E1519)</f>
        <v/>
      </c>
      <c r="B1516">
        <f>IF($A1516="","",IF(Wages!$C1519="دستمزد گروهی",2,1))</f>
        <v/>
      </c>
      <c r="C1516">
        <f>IF($A1516="","",IF(ISNUMBER(Wages!$B1519),IF(AND(Wages!$B1519&gt;=10000101,Wages!$B1519&lt;=99991231),INT(Wages!$B1519/10000),""),IFERROR(VALUE(TRIM(LEFT(Wages!$B1519,FIND("/",Wages!$B1519)-1))),"")))</f>
        <v/>
      </c>
      <c r="D1516">
        <f>IF(OR($A1516="",$C1516=""),"",IF(ISNUMBER(Wages!$B1519),INT(MOD(Wages!$B1519,10000)/100),IFERROR(VALUE(TRIM(LEFT(MID(Wages!$B1519,FIND("/",Wages!$B1519)+1,20),FIND("/",MID(Wages!$B1519,FIND("/",Wages!$B1519)+1,20))-1))),"")))</f>
        <v/>
      </c>
      <c r="E1516">
        <f>IF(OR($A1516="",$C1516=""),"",IF(ISNUMBER(Wages!$B1519),MOD(Wages!$B1519,100),IFERROR(VALUE(TRIM(MID(MID(Wages!$B1519,FIND("/",Wages!$B1519)+1,20),FIND("/",MID(Wages!$B1519,FIND("/",Wages!$B1519)+1,20))+1,20))),"")))</f>
        <v/>
      </c>
      <c r="F1516">
        <f>IF($A1516="","",IF(OR($C1516="",$D1516="",$E1516="",$C1516&lt;1300,$C1516&gt;1500,$D1516&lt;1,$D1516&gt;12,$E1516&lt;1,$E1516&gt;31),"نامعتبر",RIGHT("0000"&amp;$C1516,4)&amp;"/"&amp;RIGHT("00"&amp;$D1516,2)&amp;"/"&amp;RIGHT("00"&amp;$E1516,2)))</f>
        <v/>
      </c>
      <c r="G1516">
        <f>IF(OR($A1516="",$F1516="",$F1516="نامعتبر"),"",LEFT($F1516,4)&amp;MID($F1516,6,2)&amp;RIGHT($F1516,2)&amp;"0000"&amp;"|"&amp;"1"&amp;RIGHT("00000"&amp;1511,5))</f>
        <v/>
      </c>
      <c r="H1516">
        <f>IF(OR($B1516&lt;&gt;1,$G1516=""),"",COUNTIFS(LdAParty,$A1516,LdAType,1,LdAKey,"&lt;"&amp;$G1516)+COUNTIFS(LdBMember,$A1516,LdBKey,"&lt;"&amp;$G1516)+COUNTIFS(LdCParty,$A1516,LdCKey,"&lt;"&amp;$G1516)+1)</f>
        <v/>
      </c>
      <c r="I1516">
        <f>IF($H1516="","",$A1516&amp;"|"&amp;RIGHT("000000"&amp;$H1516,6))</f>
        <v/>
      </c>
      <c r="J1516">
        <f>IF(OR($B1516&lt;&gt;2,$G1516=""),"",COUNTIFS(LdAParty,$A1516,LdAType,2,LdAKey,"&lt;"&amp;$G1516)+1)</f>
        <v/>
      </c>
      <c r="K1516">
        <f>IF($J1516="","",$A1516&amp;"|"&amp;RIGHT("000000"&amp;$J1516,6))</f>
        <v/>
      </c>
      <c r="L1516">
        <f>IF($A1516="","",IF(Wages!$G1519="",0,Wages!$G1519))</f>
        <v/>
      </c>
      <c r="M1516">
        <f>IF($A1516="","",Wages!$J1519)</f>
        <v/>
      </c>
      <c r="N1516">
        <f>IF($A1516="","",Wages!$D1519)</f>
        <v/>
      </c>
      <c r="P1516">
        <f>IF(OR(Shares!$B1519="",Shares!$C1519=""),"",Shares!$C1519)</f>
        <v/>
      </c>
      <c r="Q1516">
        <f>IF($P1516="","",Shares!$B1519)</f>
        <v/>
      </c>
      <c r="R1516">
        <f>IF($P1516="","",IFERROR(INDEX(WageParty,MATCH($Q1516,WageIds,0)),""))</f>
        <v/>
      </c>
      <c r="S1516">
        <f>IF($P1516="","",IFERROR(INDEX($F$6:$F$2005,MATCH($Q1516,WageIds,0)),""))</f>
        <v/>
      </c>
      <c r="T1516">
        <f>IF(OR($P1516="",$S1516="",$S1516="نامعتبر"),"",LEFT($S1516,4)&amp;MID($S1516,6,2)&amp;RIGHT($S1516,2)&amp;"0000"&amp;"|"&amp;"2"&amp;RIGHT("00000"&amp;1511,5))</f>
        <v/>
      </c>
      <c r="U1516">
        <f>IF($T1516="","",COUNTIFS(LdAParty,$P1516,LdAType,1,LdAKey,"&lt;"&amp;$T1516)+COUNTIFS(LdBMember,$P1516,LdBKey,"&lt;"&amp;$T1516)+COUNTIFS(LdCParty,$P1516,LdCKey,"&lt;"&amp;$T1516)+1)</f>
        <v/>
      </c>
      <c r="V1516">
        <f>IF($U1516="","",$P1516&amp;"|"&amp;RIGHT("000000"&amp;$U1516,6))</f>
        <v/>
      </c>
      <c r="W1516">
        <f>IF($T1516="","",COUNTIFS(LdBGroup,$R1516,LdBKey,"&lt;"&amp;$T1516)+1)</f>
        <v/>
      </c>
      <c r="X1516">
        <f>IF($W1516="","",$R1516&amp;"|"&amp;RIGHT("000000"&amp;$W1516,6))</f>
        <v/>
      </c>
      <c r="Y1516">
        <f>IF($P1516="","",IF(Shares!$E1519="",0,Shares!$E1519))</f>
        <v/>
      </c>
      <c r="Z1516">
        <f>IF($P1516="","",Shares!$H1519)</f>
        <v/>
      </c>
      <c r="AE1516">
        <f>IF(OR(Sync!$S1516="",Sync!$P1516=""),"",Sync!$S1516)</f>
        <v/>
      </c>
      <c r="AF1516">
        <f>IF($AE1516="","",IF(ISNUMBER(Sync!$P1516),IF(AND(Sync!$P1516&gt;=10000101,Sync!$P1516&lt;=99991231),INT(Sync!$P1516/10000),""),IFERROR(VALUE(TRIM(LEFT(Sync!$P1516,FIND("/",Sync!$P1516)-1))),"")))</f>
        <v/>
      </c>
      <c r="AG1516">
        <f>IF(OR($AE1516="",$AF1516=""),"",IF(ISNUMBER(Sync!$P1516),INT(MOD(Sync!$P1516,10000)/100),IFERROR(VALUE(TRIM(LEFT(MID(Sync!$P1516,FIND("/",Sync!$P1516)+1,20),FIND("/",MID(Sync!$P1516,FIND("/",Sync!$P1516)+1,20))-1))),"")))</f>
        <v/>
      </c>
      <c r="AH1516">
        <f>IF(OR($AE1516="",$AF1516=""),"",IF(ISNUMBER(Sync!$P1516),MOD(Sync!$P1516,100),IFERROR(VALUE(TRIM(MID(MID(Sync!$P1516,FIND("/",Sync!$P1516)+1,20),FIND("/",MID(Sync!$P1516,FIND("/",Sync!$P1516)+1,20))+1,20))),"")))</f>
        <v/>
      </c>
      <c r="AI1516">
        <f>IF($AE1516="","",IF(OR($AF1516="",$AG1516="",$AH1516="",$AF1516&lt;1300,$AF1516&gt;1500,$AG1516&lt;1,$AG1516&gt;12,$AH1516&lt;1,$AH1516&gt;31),"نامعتبر",RIGHT("0000"&amp;$AF1516,4)&amp;"/"&amp;RIGHT("00"&amp;$AG1516,2)&amp;"/"&amp;RIGHT("00"&amp;$AH1516,2)))</f>
        <v/>
      </c>
      <c r="AJ1516">
        <f>IF($AE1516="","",IF(Sync!$Q1516="","0000",IF(AND(ISNUMBER(Sync!$Q1516),Sync!$Q1516&gt;=0,Sync!$Q1516&lt;1),RIGHT("00"&amp;HOUR(Sync!$Q1516),2)&amp;RIGHT("00"&amp;MINUTE(Sync!$Q1516),2),IFERROR(RIGHT("00"&amp;VALUE(LEFT(Sync!$Q1516,FIND(":",Sync!$Q1516)-1)),2)&amp;RIGHT("00"&amp;VALUE(MID(Sync!$Q1516,FIND(":",Sync!$Q1516)+1,2)),2),"0000"))))</f>
        <v/>
      </c>
      <c r="AK1516">
        <f>IF(OR($AE1516="",$AI1516="",$AI1516="نامعتبر"),"",LEFT($AI1516,4)&amp;MID($AI1516,6,2)&amp;RIGHT($AI1516,2)&amp;$AJ1516&amp;"|"&amp;"3"&amp;RIGHT("00000"&amp;1511,5))</f>
        <v/>
      </c>
      <c r="AL1516">
        <f>IF($AK1516="","",COUNTIFS(LdAParty,$AE1516,LdAType,1,LdAKey,"&lt;"&amp;$AK1516)+COUNTIFS(LdBMember,$AE1516,LdBKey,"&lt;"&amp;$AK1516)+COUNTIFS(LdCParty,$AE1516,LdCKey,"&lt;"&amp;$AK1516)+1)</f>
        <v/>
      </c>
      <c r="AM1516">
        <f>IF($AL1516="","",$AE1516&amp;"|"&amp;RIGHT("000000"&amp;$AL1516,6))</f>
        <v/>
      </c>
      <c r="AN1516">
        <f>IF($AE1516="","",IF(Sync!$W1516="",0,Sync!$W1516))</f>
        <v/>
      </c>
      <c r="AO1516">
        <f>IF($AE1516="","",IF(Sync!$X1516="",0,Sync!$X1516))</f>
        <v/>
      </c>
      <c r="AP1516">
        <f>IF($AE1516="","",Sync!$R1516)</f>
        <v/>
      </c>
      <c r="AQ1516">
        <f>IF($AE1516="","",Sync!$Y1516)</f>
        <v/>
      </c>
    </row>
    <row r="1517">
      <c r="A1517">
        <f>IF(OR(Wages!$B1520="",Wages!$E1520=""),"",Wages!$E1520)</f>
        <v/>
      </c>
      <c r="B1517">
        <f>IF($A1517="","",IF(Wages!$C1520="دستمزد گروهی",2,1))</f>
        <v/>
      </c>
      <c r="C1517">
        <f>IF($A1517="","",IF(ISNUMBER(Wages!$B1520),IF(AND(Wages!$B1520&gt;=10000101,Wages!$B1520&lt;=99991231),INT(Wages!$B1520/10000),""),IFERROR(VALUE(TRIM(LEFT(Wages!$B1520,FIND("/",Wages!$B1520)-1))),"")))</f>
        <v/>
      </c>
      <c r="D1517">
        <f>IF(OR($A1517="",$C1517=""),"",IF(ISNUMBER(Wages!$B1520),INT(MOD(Wages!$B1520,10000)/100),IFERROR(VALUE(TRIM(LEFT(MID(Wages!$B1520,FIND("/",Wages!$B1520)+1,20),FIND("/",MID(Wages!$B1520,FIND("/",Wages!$B1520)+1,20))-1))),"")))</f>
        <v/>
      </c>
      <c r="E1517">
        <f>IF(OR($A1517="",$C1517=""),"",IF(ISNUMBER(Wages!$B1520),MOD(Wages!$B1520,100),IFERROR(VALUE(TRIM(MID(MID(Wages!$B1520,FIND("/",Wages!$B1520)+1,20),FIND("/",MID(Wages!$B1520,FIND("/",Wages!$B1520)+1,20))+1,20))),"")))</f>
        <v/>
      </c>
      <c r="F1517">
        <f>IF($A1517="","",IF(OR($C1517="",$D1517="",$E1517="",$C1517&lt;1300,$C1517&gt;1500,$D1517&lt;1,$D1517&gt;12,$E1517&lt;1,$E1517&gt;31),"نامعتبر",RIGHT("0000"&amp;$C1517,4)&amp;"/"&amp;RIGHT("00"&amp;$D1517,2)&amp;"/"&amp;RIGHT("00"&amp;$E1517,2)))</f>
        <v/>
      </c>
      <c r="G1517">
        <f>IF(OR($A1517="",$F1517="",$F1517="نامعتبر"),"",LEFT($F1517,4)&amp;MID($F1517,6,2)&amp;RIGHT($F1517,2)&amp;"0000"&amp;"|"&amp;"1"&amp;RIGHT("00000"&amp;1512,5))</f>
        <v/>
      </c>
      <c r="H1517">
        <f>IF(OR($B1517&lt;&gt;1,$G1517=""),"",COUNTIFS(LdAParty,$A1517,LdAType,1,LdAKey,"&lt;"&amp;$G1517)+COUNTIFS(LdBMember,$A1517,LdBKey,"&lt;"&amp;$G1517)+COUNTIFS(LdCParty,$A1517,LdCKey,"&lt;"&amp;$G1517)+1)</f>
        <v/>
      </c>
      <c r="I1517">
        <f>IF($H1517="","",$A1517&amp;"|"&amp;RIGHT("000000"&amp;$H1517,6))</f>
        <v/>
      </c>
      <c r="J1517">
        <f>IF(OR($B1517&lt;&gt;2,$G1517=""),"",COUNTIFS(LdAParty,$A1517,LdAType,2,LdAKey,"&lt;"&amp;$G1517)+1)</f>
        <v/>
      </c>
      <c r="K1517">
        <f>IF($J1517="","",$A1517&amp;"|"&amp;RIGHT("000000"&amp;$J1517,6))</f>
        <v/>
      </c>
      <c r="L1517">
        <f>IF($A1517="","",IF(Wages!$G1520="",0,Wages!$G1520))</f>
        <v/>
      </c>
      <c r="M1517">
        <f>IF($A1517="","",Wages!$J1520)</f>
        <v/>
      </c>
      <c r="N1517">
        <f>IF($A1517="","",Wages!$D1520)</f>
        <v/>
      </c>
      <c r="P1517">
        <f>IF(OR(Shares!$B1520="",Shares!$C1520=""),"",Shares!$C1520)</f>
        <v/>
      </c>
      <c r="Q1517">
        <f>IF($P1517="","",Shares!$B1520)</f>
        <v/>
      </c>
      <c r="R1517">
        <f>IF($P1517="","",IFERROR(INDEX(WageParty,MATCH($Q1517,WageIds,0)),""))</f>
        <v/>
      </c>
      <c r="S1517">
        <f>IF($P1517="","",IFERROR(INDEX($F$6:$F$2005,MATCH($Q1517,WageIds,0)),""))</f>
        <v/>
      </c>
      <c r="T1517">
        <f>IF(OR($P1517="",$S1517="",$S1517="نامعتبر"),"",LEFT($S1517,4)&amp;MID($S1517,6,2)&amp;RIGHT($S1517,2)&amp;"0000"&amp;"|"&amp;"2"&amp;RIGHT("00000"&amp;1512,5))</f>
        <v/>
      </c>
      <c r="U1517">
        <f>IF($T1517="","",COUNTIFS(LdAParty,$P1517,LdAType,1,LdAKey,"&lt;"&amp;$T1517)+COUNTIFS(LdBMember,$P1517,LdBKey,"&lt;"&amp;$T1517)+COUNTIFS(LdCParty,$P1517,LdCKey,"&lt;"&amp;$T1517)+1)</f>
        <v/>
      </c>
      <c r="V1517">
        <f>IF($U1517="","",$P1517&amp;"|"&amp;RIGHT("000000"&amp;$U1517,6))</f>
        <v/>
      </c>
      <c r="W1517">
        <f>IF($T1517="","",COUNTIFS(LdBGroup,$R1517,LdBKey,"&lt;"&amp;$T1517)+1)</f>
        <v/>
      </c>
      <c r="X1517">
        <f>IF($W1517="","",$R1517&amp;"|"&amp;RIGHT("000000"&amp;$W1517,6))</f>
        <v/>
      </c>
      <c r="Y1517">
        <f>IF($P1517="","",IF(Shares!$E1520="",0,Shares!$E1520))</f>
        <v/>
      </c>
      <c r="Z1517">
        <f>IF($P1517="","",Shares!$H1520)</f>
        <v/>
      </c>
      <c r="AE1517">
        <f>IF(OR(Sync!$S1517="",Sync!$P1517=""),"",Sync!$S1517)</f>
        <v/>
      </c>
      <c r="AF1517">
        <f>IF($AE1517="","",IF(ISNUMBER(Sync!$P1517),IF(AND(Sync!$P1517&gt;=10000101,Sync!$P1517&lt;=99991231),INT(Sync!$P1517/10000),""),IFERROR(VALUE(TRIM(LEFT(Sync!$P1517,FIND("/",Sync!$P1517)-1))),"")))</f>
        <v/>
      </c>
      <c r="AG1517">
        <f>IF(OR($AE1517="",$AF1517=""),"",IF(ISNUMBER(Sync!$P1517),INT(MOD(Sync!$P1517,10000)/100),IFERROR(VALUE(TRIM(LEFT(MID(Sync!$P1517,FIND("/",Sync!$P1517)+1,20),FIND("/",MID(Sync!$P1517,FIND("/",Sync!$P1517)+1,20))-1))),"")))</f>
        <v/>
      </c>
      <c r="AH1517">
        <f>IF(OR($AE1517="",$AF1517=""),"",IF(ISNUMBER(Sync!$P1517),MOD(Sync!$P1517,100),IFERROR(VALUE(TRIM(MID(MID(Sync!$P1517,FIND("/",Sync!$P1517)+1,20),FIND("/",MID(Sync!$P1517,FIND("/",Sync!$P1517)+1,20))+1,20))),"")))</f>
        <v/>
      </c>
      <c r="AI1517">
        <f>IF($AE1517="","",IF(OR($AF1517="",$AG1517="",$AH1517="",$AF1517&lt;1300,$AF1517&gt;1500,$AG1517&lt;1,$AG1517&gt;12,$AH1517&lt;1,$AH1517&gt;31),"نامعتبر",RIGHT("0000"&amp;$AF1517,4)&amp;"/"&amp;RIGHT("00"&amp;$AG1517,2)&amp;"/"&amp;RIGHT("00"&amp;$AH1517,2)))</f>
        <v/>
      </c>
      <c r="AJ1517">
        <f>IF($AE1517="","",IF(Sync!$Q1517="","0000",IF(AND(ISNUMBER(Sync!$Q1517),Sync!$Q1517&gt;=0,Sync!$Q1517&lt;1),RIGHT("00"&amp;HOUR(Sync!$Q1517),2)&amp;RIGHT("00"&amp;MINUTE(Sync!$Q1517),2),IFERROR(RIGHT("00"&amp;VALUE(LEFT(Sync!$Q1517,FIND(":",Sync!$Q1517)-1)),2)&amp;RIGHT("00"&amp;VALUE(MID(Sync!$Q1517,FIND(":",Sync!$Q1517)+1,2)),2),"0000"))))</f>
        <v/>
      </c>
      <c r="AK1517">
        <f>IF(OR($AE1517="",$AI1517="",$AI1517="نامعتبر"),"",LEFT($AI1517,4)&amp;MID($AI1517,6,2)&amp;RIGHT($AI1517,2)&amp;$AJ1517&amp;"|"&amp;"3"&amp;RIGHT("00000"&amp;1512,5))</f>
        <v/>
      </c>
      <c r="AL1517">
        <f>IF($AK1517="","",COUNTIFS(LdAParty,$AE1517,LdAType,1,LdAKey,"&lt;"&amp;$AK1517)+COUNTIFS(LdBMember,$AE1517,LdBKey,"&lt;"&amp;$AK1517)+COUNTIFS(LdCParty,$AE1517,LdCKey,"&lt;"&amp;$AK1517)+1)</f>
        <v/>
      </c>
      <c r="AM1517">
        <f>IF($AL1517="","",$AE1517&amp;"|"&amp;RIGHT("000000"&amp;$AL1517,6))</f>
        <v/>
      </c>
      <c r="AN1517">
        <f>IF($AE1517="","",IF(Sync!$W1517="",0,Sync!$W1517))</f>
        <v/>
      </c>
      <c r="AO1517">
        <f>IF($AE1517="","",IF(Sync!$X1517="",0,Sync!$X1517))</f>
        <v/>
      </c>
      <c r="AP1517">
        <f>IF($AE1517="","",Sync!$R1517)</f>
        <v/>
      </c>
      <c r="AQ1517">
        <f>IF($AE1517="","",Sync!$Y1517)</f>
        <v/>
      </c>
    </row>
    <row r="1518">
      <c r="A1518">
        <f>IF(OR(Wages!$B1521="",Wages!$E1521=""),"",Wages!$E1521)</f>
        <v/>
      </c>
      <c r="B1518">
        <f>IF($A1518="","",IF(Wages!$C1521="دستمزد گروهی",2,1))</f>
        <v/>
      </c>
      <c r="C1518">
        <f>IF($A1518="","",IF(ISNUMBER(Wages!$B1521),IF(AND(Wages!$B1521&gt;=10000101,Wages!$B1521&lt;=99991231),INT(Wages!$B1521/10000),""),IFERROR(VALUE(TRIM(LEFT(Wages!$B1521,FIND("/",Wages!$B1521)-1))),"")))</f>
        <v/>
      </c>
      <c r="D1518">
        <f>IF(OR($A1518="",$C1518=""),"",IF(ISNUMBER(Wages!$B1521),INT(MOD(Wages!$B1521,10000)/100),IFERROR(VALUE(TRIM(LEFT(MID(Wages!$B1521,FIND("/",Wages!$B1521)+1,20),FIND("/",MID(Wages!$B1521,FIND("/",Wages!$B1521)+1,20))-1))),"")))</f>
        <v/>
      </c>
      <c r="E1518">
        <f>IF(OR($A1518="",$C1518=""),"",IF(ISNUMBER(Wages!$B1521),MOD(Wages!$B1521,100),IFERROR(VALUE(TRIM(MID(MID(Wages!$B1521,FIND("/",Wages!$B1521)+1,20),FIND("/",MID(Wages!$B1521,FIND("/",Wages!$B1521)+1,20))+1,20))),"")))</f>
        <v/>
      </c>
      <c r="F1518">
        <f>IF($A1518="","",IF(OR($C1518="",$D1518="",$E1518="",$C1518&lt;1300,$C1518&gt;1500,$D1518&lt;1,$D1518&gt;12,$E1518&lt;1,$E1518&gt;31),"نامعتبر",RIGHT("0000"&amp;$C1518,4)&amp;"/"&amp;RIGHT("00"&amp;$D1518,2)&amp;"/"&amp;RIGHT("00"&amp;$E1518,2)))</f>
        <v/>
      </c>
      <c r="G1518">
        <f>IF(OR($A1518="",$F1518="",$F1518="نامعتبر"),"",LEFT($F1518,4)&amp;MID($F1518,6,2)&amp;RIGHT($F1518,2)&amp;"0000"&amp;"|"&amp;"1"&amp;RIGHT("00000"&amp;1513,5))</f>
        <v/>
      </c>
      <c r="H1518">
        <f>IF(OR($B1518&lt;&gt;1,$G1518=""),"",COUNTIFS(LdAParty,$A1518,LdAType,1,LdAKey,"&lt;"&amp;$G1518)+COUNTIFS(LdBMember,$A1518,LdBKey,"&lt;"&amp;$G1518)+COUNTIFS(LdCParty,$A1518,LdCKey,"&lt;"&amp;$G1518)+1)</f>
        <v/>
      </c>
      <c r="I1518">
        <f>IF($H1518="","",$A1518&amp;"|"&amp;RIGHT("000000"&amp;$H1518,6))</f>
        <v/>
      </c>
      <c r="J1518">
        <f>IF(OR($B1518&lt;&gt;2,$G1518=""),"",COUNTIFS(LdAParty,$A1518,LdAType,2,LdAKey,"&lt;"&amp;$G1518)+1)</f>
        <v/>
      </c>
      <c r="K1518">
        <f>IF($J1518="","",$A1518&amp;"|"&amp;RIGHT("000000"&amp;$J1518,6))</f>
        <v/>
      </c>
      <c r="L1518">
        <f>IF($A1518="","",IF(Wages!$G1521="",0,Wages!$G1521))</f>
        <v/>
      </c>
      <c r="M1518">
        <f>IF($A1518="","",Wages!$J1521)</f>
        <v/>
      </c>
      <c r="N1518">
        <f>IF($A1518="","",Wages!$D1521)</f>
        <v/>
      </c>
      <c r="P1518">
        <f>IF(OR(Shares!$B1521="",Shares!$C1521=""),"",Shares!$C1521)</f>
        <v/>
      </c>
      <c r="Q1518">
        <f>IF($P1518="","",Shares!$B1521)</f>
        <v/>
      </c>
      <c r="R1518">
        <f>IF($P1518="","",IFERROR(INDEX(WageParty,MATCH($Q1518,WageIds,0)),""))</f>
        <v/>
      </c>
      <c r="S1518">
        <f>IF($P1518="","",IFERROR(INDEX($F$6:$F$2005,MATCH($Q1518,WageIds,0)),""))</f>
        <v/>
      </c>
      <c r="T1518">
        <f>IF(OR($P1518="",$S1518="",$S1518="نامعتبر"),"",LEFT($S1518,4)&amp;MID($S1518,6,2)&amp;RIGHT($S1518,2)&amp;"0000"&amp;"|"&amp;"2"&amp;RIGHT("00000"&amp;1513,5))</f>
        <v/>
      </c>
      <c r="U1518">
        <f>IF($T1518="","",COUNTIFS(LdAParty,$P1518,LdAType,1,LdAKey,"&lt;"&amp;$T1518)+COUNTIFS(LdBMember,$P1518,LdBKey,"&lt;"&amp;$T1518)+COUNTIFS(LdCParty,$P1518,LdCKey,"&lt;"&amp;$T1518)+1)</f>
        <v/>
      </c>
      <c r="V1518">
        <f>IF($U1518="","",$P1518&amp;"|"&amp;RIGHT("000000"&amp;$U1518,6))</f>
        <v/>
      </c>
      <c r="W1518">
        <f>IF($T1518="","",COUNTIFS(LdBGroup,$R1518,LdBKey,"&lt;"&amp;$T1518)+1)</f>
        <v/>
      </c>
      <c r="X1518">
        <f>IF($W1518="","",$R1518&amp;"|"&amp;RIGHT("000000"&amp;$W1518,6))</f>
        <v/>
      </c>
      <c r="Y1518">
        <f>IF($P1518="","",IF(Shares!$E1521="",0,Shares!$E1521))</f>
        <v/>
      </c>
      <c r="Z1518">
        <f>IF($P1518="","",Shares!$H1521)</f>
        <v/>
      </c>
      <c r="AE1518">
        <f>IF(OR(Sync!$S1518="",Sync!$P1518=""),"",Sync!$S1518)</f>
        <v/>
      </c>
      <c r="AF1518">
        <f>IF($AE1518="","",IF(ISNUMBER(Sync!$P1518),IF(AND(Sync!$P1518&gt;=10000101,Sync!$P1518&lt;=99991231),INT(Sync!$P1518/10000),""),IFERROR(VALUE(TRIM(LEFT(Sync!$P1518,FIND("/",Sync!$P1518)-1))),"")))</f>
        <v/>
      </c>
      <c r="AG1518">
        <f>IF(OR($AE1518="",$AF1518=""),"",IF(ISNUMBER(Sync!$P1518),INT(MOD(Sync!$P1518,10000)/100),IFERROR(VALUE(TRIM(LEFT(MID(Sync!$P1518,FIND("/",Sync!$P1518)+1,20),FIND("/",MID(Sync!$P1518,FIND("/",Sync!$P1518)+1,20))-1))),"")))</f>
        <v/>
      </c>
      <c r="AH1518">
        <f>IF(OR($AE1518="",$AF1518=""),"",IF(ISNUMBER(Sync!$P1518),MOD(Sync!$P1518,100),IFERROR(VALUE(TRIM(MID(MID(Sync!$P1518,FIND("/",Sync!$P1518)+1,20),FIND("/",MID(Sync!$P1518,FIND("/",Sync!$P1518)+1,20))+1,20))),"")))</f>
        <v/>
      </c>
      <c r="AI1518">
        <f>IF($AE1518="","",IF(OR($AF1518="",$AG1518="",$AH1518="",$AF1518&lt;1300,$AF1518&gt;1500,$AG1518&lt;1,$AG1518&gt;12,$AH1518&lt;1,$AH1518&gt;31),"نامعتبر",RIGHT("0000"&amp;$AF1518,4)&amp;"/"&amp;RIGHT("00"&amp;$AG1518,2)&amp;"/"&amp;RIGHT("00"&amp;$AH1518,2)))</f>
        <v/>
      </c>
      <c r="AJ1518">
        <f>IF($AE1518="","",IF(Sync!$Q1518="","0000",IF(AND(ISNUMBER(Sync!$Q1518),Sync!$Q1518&gt;=0,Sync!$Q1518&lt;1),RIGHT("00"&amp;HOUR(Sync!$Q1518),2)&amp;RIGHT("00"&amp;MINUTE(Sync!$Q1518),2),IFERROR(RIGHT("00"&amp;VALUE(LEFT(Sync!$Q1518,FIND(":",Sync!$Q1518)-1)),2)&amp;RIGHT("00"&amp;VALUE(MID(Sync!$Q1518,FIND(":",Sync!$Q1518)+1,2)),2),"0000"))))</f>
        <v/>
      </c>
      <c r="AK1518">
        <f>IF(OR($AE1518="",$AI1518="",$AI1518="نامعتبر"),"",LEFT($AI1518,4)&amp;MID($AI1518,6,2)&amp;RIGHT($AI1518,2)&amp;$AJ1518&amp;"|"&amp;"3"&amp;RIGHT("00000"&amp;1513,5))</f>
        <v/>
      </c>
      <c r="AL1518">
        <f>IF($AK1518="","",COUNTIFS(LdAParty,$AE1518,LdAType,1,LdAKey,"&lt;"&amp;$AK1518)+COUNTIFS(LdBMember,$AE1518,LdBKey,"&lt;"&amp;$AK1518)+COUNTIFS(LdCParty,$AE1518,LdCKey,"&lt;"&amp;$AK1518)+1)</f>
        <v/>
      </c>
      <c r="AM1518">
        <f>IF($AL1518="","",$AE1518&amp;"|"&amp;RIGHT("000000"&amp;$AL1518,6))</f>
        <v/>
      </c>
      <c r="AN1518">
        <f>IF($AE1518="","",IF(Sync!$W1518="",0,Sync!$W1518))</f>
        <v/>
      </c>
      <c r="AO1518">
        <f>IF($AE1518="","",IF(Sync!$X1518="",0,Sync!$X1518))</f>
        <v/>
      </c>
      <c r="AP1518">
        <f>IF($AE1518="","",Sync!$R1518)</f>
        <v/>
      </c>
      <c r="AQ1518">
        <f>IF($AE1518="","",Sync!$Y1518)</f>
        <v/>
      </c>
    </row>
    <row r="1519">
      <c r="A1519">
        <f>IF(OR(Wages!$B1522="",Wages!$E1522=""),"",Wages!$E1522)</f>
        <v/>
      </c>
      <c r="B1519">
        <f>IF($A1519="","",IF(Wages!$C1522="دستمزد گروهی",2,1))</f>
        <v/>
      </c>
      <c r="C1519">
        <f>IF($A1519="","",IF(ISNUMBER(Wages!$B1522),IF(AND(Wages!$B1522&gt;=10000101,Wages!$B1522&lt;=99991231),INT(Wages!$B1522/10000),""),IFERROR(VALUE(TRIM(LEFT(Wages!$B1522,FIND("/",Wages!$B1522)-1))),"")))</f>
        <v/>
      </c>
      <c r="D1519">
        <f>IF(OR($A1519="",$C1519=""),"",IF(ISNUMBER(Wages!$B1522),INT(MOD(Wages!$B1522,10000)/100),IFERROR(VALUE(TRIM(LEFT(MID(Wages!$B1522,FIND("/",Wages!$B1522)+1,20),FIND("/",MID(Wages!$B1522,FIND("/",Wages!$B1522)+1,20))-1))),"")))</f>
        <v/>
      </c>
      <c r="E1519">
        <f>IF(OR($A1519="",$C1519=""),"",IF(ISNUMBER(Wages!$B1522),MOD(Wages!$B1522,100),IFERROR(VALUE(TRIM(MID(MID(Wages!$B1522,FIND("/",Wages!$B1522)+1,20),FIND("/",MID(Wages!$B1522,FIND("/",Wages!$B1522)+1,20))+1,20))),"")))</f>
        <v/>
      </c>
      <c r="F1519">
        <f>IF($A1519="","",IF(OR($C1519="",$D1519="",$E1519="",$C1519&lt;1300,$C1519&gt;1500,$D1519&lt;1,$D1519&gt;12,$E1519&lt;1,$E1519&gt;31),"نامعتبر",RIGHT("0000"&amp;$C1519,4)&amp;"/"&amp;RIGHT("00"&amp;$D1519,2)&amp;"/"&amp;RIGHT("00"&amp;$E1519,2)))</f>
        <v/>
      </c>
      <c r="G1519">
        <f>IF(OR($A1519="",$F1519="",$F1519="نامعتبر"),"",LEFT($F1519,4)&amp;MID($F1519,6,2)&amp;RIGHT($F1519,2)&amp;"0000"&amp;"|"&amp;"1"&amp;RIGHT("00000"&amp;1514,5))</f>
        <v/>
      </c>
      <c r="H1519">
        <f>IF(OR($B1519&lt;&gt;1,$G1519=""),"",COUNTIFS(LdAParty,$A1519,LdAType,1,LdAKey,"&lt;"&amp;$G1519)+COUNTIFS(LdBMember,$A1519,LdBKey,"&lt;"&amp;$G1519)+COUNTIFS(LdCParty,$A1519,LdCKey,"&lt;"&amp;$G1519)+1)</f>
        <v/>
      </c>
      <c r="I1519">
        <f>IF($H1519="","",$A1519&amp;"|"&amp;RIGHT("000000"&amp;$H1519,6))</f>
        <v/>
      </c>
      <c r="J1519">
        <f>IF(OR($B1519&lt;&gt;2,$G1519=""),"",COUNTIFS(LdAParty,$A1519,LdAType,2,LdAKey,"&lt;"&amp;$G1519)+1)</f>
        <v/>
      </c>
      <c r="K1519">
        <f>IF($J1519="","",$A1519&amp;"|"&amp;RIGHT("000000"&amp;$J1519,6))</f>
        <v/>
      </c>
      <c r="L1519">
        <f>IF($A1519="","",IF(Wages!$G1522="",0,Wages!$G1522))</f>
        <v/>
      </c>
      <c r="M1519">
        <f>IF($A1519="","",Wages!$J1522)</f>
        <v/>
      </c>
      <c r="N1519">
        <f>IF($A1519="","",Wages!$D1522)</f>
        <v/>
      </c>
      <c r="P1519">
        <f>IF(OR(Shares!$B1522="",Shares!$C1522=""),"",Shares!$C1522)</f>
        <v/>
      </c>
      <c r="Q1519">
        <f>IF($P1519="","",Shares!$B1522)</f>
        <v/>
      </c>
      <c r="R1519">
        <f>IF($P1519="","",IFERROR(INDEX(WageParty,MATCH($Q1519,WageIds,0)),""))</f>
        <v/>
      </c>
      <c r="S1519">
        <f>IF($P1519="","",IFERROR(INDEX($F$6:$F$2005,MATCH($Q1519,WageIds,0)),""))</f>
        <v/>
      </c>
      <c r="T1519">
        <f>IF(OR($P1519="",$S1519="",$S1519="نامعتبر"),"",LEFT($S1519,4)&amp;MID($S1519,6,2)&amp;RIGHT($S1519,2)&amp;"0000"&amp;"|"&amp;"2"&amp;RIGHT("00000"&amp;1514,5))</f>
        <v/>
      </c>
      <c r="U1519">
        <f>IF($T1519="","",COUNTIFS(LdAParty,$P1519,LdAType,1,LdAKey,"&lt;"&amp;$T1519)+COUNTIFS(LdBMember,$P1519,LdBKey,"&lt;"&amp;$T1519)+COUNTIFS(LdCParty,$P1519,LdCKey,"&lt;"&amp;$T1519)+1)</f>
        <v/>
      </c>
      <c r="V1519">
        <f>IF($U1519="","",$P1519&amp;"|"&amp;RIGHT("000000"&amp;$U1519,6))</f>
        <v/>
      </c>
      <c r="W1519">
        <f>IF($T1519="","",COUNTIFS(LdBGroup,$R1519,LdBKey,"&lt;"&amp;$T1519)+1)</f>
        <v/>
      </c>
      <c r="X1519">
        <f>IF($W1519="","",$R1519&amp;"|"&amp;RIGHT("000000"&amp;$W1519,6))</f>
        <v/>
      </c>
      <c r="Y1519">
        <f>IF($P1519="","",IF(Shares!$E1522="",0,Shares!$E1522))</f>
        <v/>
      </c>
      <c r="Z1519">
        <f>IF($P1519="","",Shares!$H1522)</f>
        <v/>
      </c>
      <c r="AE1519">
        <f>IF(OR(Sync!$S1519="",Sync!$P1519=""),"",Sync!$S1519)</f>
        <v/>
      </c>
      <c r="AF1519">
        <f>IF($AE1519="","",IF(ISNUMBER(Sync!$P1519),IF(AND(Sync!$P1519&gt;=10000101,Sync!$P1519&lt;=99991231),INT(Sync!$P1519/10000),""),IFERROR(VALUE(TRIM(LEFT(Sync!$P1519,FIND("/",Sync!$P1519)-1))),"")))</f>
        <v/>
      </c>
      <c r="AG1519">
        <f>IF(OR($AE1519="",$AF1519=""),"",IF(ISNUMBER(Sync!$P1519),INT(MOD(Sync!$P1519,10000)/100),IFERROR(VALUE(TRIM(LEFT(MID(Sync!$P1519,FIND("/",Sync!$P1519)+1,20),FIND("/",MID(Sync!$P1519,FIND("/",Sync!$P1519)+1,20))-1))),"")))</f>
        <v/>
      </c>
      <c r="AH1519">
        <f>IF(OR($AE1519="",$AF1519=""),"",IF(ISNUMBER(Sync!$P1519),MOD(Sync!$P1519,100),IFERROR(VALUE(TRIM(MID(MID(Sync!$P1519,FIND("/",Sync!$P1519)+1,20),FIND("/",MID(Sync!$P1519,FIND("/",Sync!$P1519)+1,20))+1,20))),"")))</f>
        <v/>
      </c>
      <c r="AI1519">
        <f>IF($AE1519="","",IF(OR($AF1519="",$AG1519="",$AH1519="",$AF1519&lt;1300,$AF1519&gt;1500,$AG1519&lt;1,$AG1519&gt;12,$AH1519&lt;1,$AH1519&gt;31),"نامعتبر",RIGHT("0000"&amp;$AF1519,4)&amp;"/"&amp;RIGHT("00"&amp;$AG1519,2)&amp;"/"&amp;RIGHT("00"&amp;$AH1519,2)))</f>
        <v/>
      </c>
      <c r="AJ1519">
        <f>IF($AE1519="","",IF(Sync!$Q1519="","0000",IF(AND(ISNUMBER(Sync!$Q1519),Sync!$Q1519&gt;=0,Sync!$Q1519&lt;1),RIGHT("00"&amp;HOUR(Sync!$Q1519),2)&amp;RIGHT("00"&amp;MINUTE(Sync!$Q1519),2),IFERROR(RIGHT("00"&amp;VALUE(LEFT(Sync!$Q1519,FIND(":",Sync!$Q1519)-1)),2)&amp;RIGHT("00"&amp;VALUE(MID(Sync!$Q1519,FIND(":",Sync!$Q1519)+1,2)),2),"0000"))))</f>
        <v/>
      </c>
      <c r="AK1519">
        <f>IF(OR($AE1519="",$AI1519="",$AI1519="نامعتبر"),"",LEFT($AI1519,4)&amp;MID($AI1519,6,2)&amp;RIGHT($AI1519,2)&amp;$AJ1519&amp;"|"&amp;"3"&amp;RIGHT("00000"&amp;1514,5))</f>
        <v/>
      </c>
      <c r="AL1519">
        <f>IF($AK1519="","",COUNTIFS(LdAParty,$AE1519,LdAType,1,LdAKey,"&lt;"&amp;$AK1519)+COUNTIFS(LdBMember,$AE1519,LdBKey,"&lt;"&amp;$AK1519)+COUNTIFS(LdCParty,$AE1519,LdCKey,"&lt;"&amp;$AK1519)+1)</f>
        <v/>
      </c>
      <c r="AM1519">
        <f>IF($AL1519="","",$AE1519&amp;"|"&amp;RIGHT("000000"&amp;$AL1519,6))</f>
        <v/>
      </c>
      <c r="AN1519">
        <f>IF($AE1519="","",IF(Sync!$W1519="",0,Sync!$W1519))</f>
        <v/>
      </c>
      <c r="AO1519">
        <f>IF($AE1519="","",IF(Sync!$X1519="",0,Sync!$X1519))</f>
        <v/>
      </c>
      <c r="AP1519">
        <f>IF($AE1519="","",Sync!$R1519)</f>
        <v/>
      </c>
      <c r="AQ1519">
        <f>IF($AE1519="","",Sync!$Y1519)</f>
        <v/>
      </c>
    </row>
    <row r="1520">
      <c r="A1520">
        <f>IF(OR(Wages!$B1523="",Wages!$E1523=""),"",Wages!$E1523)</f>
        <v/>
      </c>
      <c r="B1520">
        <f>IF($A1520="","",IF(Wages!$C1523="دستمزد گروهی",2,1))</f>
        <v/>
      </c>
      <c r="C1520">
        <f>IF($A1520="","",IF(ISNUMBER(Wages!$B1523),IF(AND(Wages!$B1523&gt;=10000101,Wages!$B1523&lt;=99991231),INT(Wages!$B1523/10000),""),IFERROR(VALUE(TRIM(LEFT(Wages!$B1523,FIND("/",Wages!$B1523)-1))),"")))</f>
        <v/>
      </c>
      <c r="D1520">
        <f>IF(OR($A1520="",$C1520=""),"",IF(ISNUMBER(Wages!$B1523),INT(MOD(Wages!$B1523,10000)/100),IFERROR(VALUE(TRIM(LEFT(MID(Wages!$B1523,FIND("/",Wages!$B1523)+1,20),FIND("/",MID(Wages!$B1523,FIND("/",Wages!$B1523)+1,20))-1))),"")))</f>
        <v/>
      </c>
      <c r="E1520">
        <f>IF(OR($A1520="",$C1520=""),"",IF(ISNUMBER(Wages!$B1523),MOD(Wages!$B1523,100),IFERROR(VALUE(TRIM(MID(MID(Wages!$B1523,FIND("/",Wages!$B1523)+1,20),FIND("/",MID(Wages!$B1523,FIND("/",Wages!$B1523)+1,20))+1,20))),"")))</f>
        <v/>
      </c>
      <c r="F1520">
        <f>IF($A1520="","",IF(OR($C1520="",$D1520="",$E1520="",$C1520&lt;1300,$C1520&gt;1500,$D1520&lt;1,$D1520&gt;12,$E1520&lt;1,$E1520&gt;31),"نامعتبر",RIGHT("0000"&amp;$C1520,4)&amp;"/"&amp;RIGHT("00"&amp;$D1520,2)&amp;"/"&amp;RIGHT("00"&amp;$E1520,2)))</f>
        <v/>
      </c>
      <c r="G1520">
        <f>IF(OR($A1520="",$F1520="",$F1520="نامعتبر"),"",LEFT($F1520,4)&amp;MID($F1520,6,2)&amp;RIGHT($F1520,2)&amp;"0000"&amp;"|"&amp;"1"&amp;RIGHT("00000"&amp;1515,5))</f>
        <v/>
      </c>
      <c r="H1520">
        <f>IF(OR($B1520&lt;&gt;1,$G1520=""),"",COUNTIFS(LdAParty,$A1520,LdAType,1,LdAKey,"&lt;"&amp;$G1520)+COUNTIFS(LdBMember,$A1520,LdBKey,"&lt;"&amp;$G1520)+COUNTIFS(LdCParty,$A1520,LdCKey,"&lt;"&amp;$G1520)+1)</f>
        <v/>
      </c>
      <c r="I1520">
        <f>IF($H1520="","",$A1520&amp;"|"&amp;RIGHT("000000"&amp;$H1520,6))</f>
        <v/>
      </c>
      <c r="J1520">
        <f>IF(OR($B1520&lt;&gt;2,$G1520=""),"",COUNTIFS(LdAParty,$A1520,LdAType,2,LdAKey,"&lt;"&amp;$G1520)+1)</f>
        <v/>
      </c>
      <c r="K1520">
        <f>IF($J1520="","",$A1520&amp;"|"&amp;RIGHT("000000"&amp;$J1520,6))</f>
        <v/>
      </c>
      <c r="L1520">
        <f>IF($A1520="","",IF(Wages!$G1523="",0,Wages!$G1523))</f>
        <v/>
      </c>
      <c r="M1520">
        <f>IF($A1520="","",Wages!$J1523)</f>
        <v/>
      </c>
      <c r="N1520">
        <f>IF($A1520="","",Wages!$D1523)</f>
        <v/>
      </c>
      <c r="P1520">
        <f>IF(OR(Shares!$B1523="",Shares!$C1523=""),"",Shares!$C1523)</f>
        <v/>
      </c>
      <c r="Q1520">
        <f>IF($P1520="","",Shares!$B1523)</f>
        <v/>
      </c>
      <c r="R1520">
        <f>IF($P1520="","",IFERROR(INDEX(WageParty,MATCH($Q1520,WageIds,0)),""))</f>
        <v/>
      </c>
      <c r="S1520">
        <f>IF($P1520="","",IFERROR(INDEX($F$6:$F$2005,MATCH($Q1520,WageIds,0)),""))</f>
        <v/>
      </c>
      <c r="T1520">
        <f>IF(OR($P1520="",$S1520="",$S1520="نامعتبر"),"",LEFT($S1520,4)&amp;MID($S1520,6,2)&amp;RIGHT($S1520,2)&amp;"0000"&amp;"|"&amp;"2"&amp;RIGHT("00000"&amp;1515,5))</f>
        <v/>
      </c>
      <c r="U1520">
        <f>IF($T1520="","",COUNTIFS(LdAParty,$P1520,LdAType,1,LdAKey,"&lt;"&amp;$T1520)+COUNTIFS(LdBMember,$P1520,LdBKey,"&lt;"&amp;$T1520)+COUNTIFS(LdCParty,$P1520,LdCKey,"&lt;"&amp;$T1520)+1)</f>
        <v/>
      </c>
      <c r="V1520">
        <f>IF($U1520="","",$P1520&amp;"|"&amp;RIGHT("000000"&amp;$U1520,6))</f>
        <v/>
      </c>
      <c r="W1520">
        <f>IF($T1520="","",COUNTIFS(LdBGroup,$R1520,LdBKey,"&lt;"&amp;$T1520)+1)</f>
        <v/>
      </c>
      <c r="X1520">
        <f>IF($W1520="","",$R1520&amp;"|"&amp;RIGHT("000000"&amp;$W1520,6))</f>
        <v/>
      </c>
      <c r="Y1520">
        <f>IF($P1520="","",IF(Shares!$E1523="",0,Shares!$E1523))</f>
        <v/>
      </c>
      <c r="Z1520">
        <f>IF($P1520="","",Shares!$H1523)</f>
        <v/>
      </c>
      <c r="AE1520">
        <f>IF(OR(Sync!$S1520="",Sync!$P1520=""),"",Sync!$S1520)</f>
        <v/>
      </c>
      <c r="AF1520">
        <f>IF($AE1520="","",IF(ISNUMBER(Sync!$P1520),IF(AND(Sync!$P1520&gt;=10000101,Sync!$P1520&lt;=99991231),INT(Sync!$P1520/10000),""),IFERROR(VALUE(TRIM(LEFT(Sync!$P1520,FIND("/",Sync!$P1520)-1))),"")))</f>
        <v/>
      </c>
      <c r="AG1520">
        <f>IF(OR($AE1520="",$AF1520=""),"",IF(ISNUMBER(Sync!$P1520),INT(MOD(Sync!$P1520,10000)/100),IFERROR(VALUE(TRIM(LEFT(MID(Sync!$P1520,FIND("/",Sync!$P1520)+1,20),FIND("/",MID(Sync!$P1520,FIND("/",Sync!$P1520)+1,20))-1))),"")))</f>
        <v/>
      </c>
      <c r="AH1520">
        <f>IF(OR($AE1520="",$AF1520=""),"",IF(ISNUMBER(Sync!$P1520),MOD(Sync!$P1520,100),IFERROR(VALUE(TRIM(MID(MID(Sync!$P1520,FIND("/",Sync!$P1520)+1,20),FIND("/",MID(Sync!$P1520,FIND("/",Sync!$P1520)+1,20))+1,20))),"")))</f>
        <v/>
      </c>
      <c r="AI1520">
        <f>IF($AE1520="","",IF(OR($AF1520="",$AG1520="",$AH1520="",$AF1520&lt;1300,$AF1520&gt;1500,$AG1520&lt;1,$AG1520&gt;12,$AH1520&lt;1,$AH1520&gt;31),"نامعتبر",RIGHT("0000"&amp;$AF1520,4)&amp;"/"&amp;RIGHT("00"&amp;$AG1520,2)&amp;"/"&amp;RIGHT("00"&amp;$AH1520,2)))</f>
        <v/>
      </c>
      <c r="AJ1520">
        <f>IF($AE1520="","",IF(Sync!$Q1520="","0000",IF(AND(ISNUMBER(Sync!$Q1520),Sync!$Q1520&gt;=0,Sync!$Q1520&lt;1),RIGHT("00"&amp;HOUR(Sync!$Q1520),2)&amp;RIGHT("00"&amp;MINUTE(Sync!$Q1520),2),IFERROR(RIGHT("00"&amp;VALUE(LEFT(Sync!$Q1520,FIND(":",Sync!$Q1520)-1)),2)&amp;RIGHT("00"&amp;VALUE(MID(Sync!$Q1520,FIND(":",Sync!$Q1520)+1,2)),2),"0000"))))</f>
        <v/>
      </c>
      <c r="AK1520">
        <f>IF(OR($AE1520="",$AI1520="",$AI1520="نامعتبر"),"",LEFT($AI1520,4)&amp;MID($AI1520,6,2)&amp;RIGHT($AI1520,2)&amp;$AJ1520&amp;"|"&amp;"3"&amp;RIGHT("00000"&amp;1515,5))</f>
        <v/>
      </c>
      <c r="AL1520">
        <f>IF($AK1520="","",COUNTIFS(LdAParty,$AE1520,LdAType,1,LdAKey,"&lt;"&amp;$AK1520)+COUNTIFS(LdBMember,$AE1520,LdBKey,"&lt;"&amp;$AK1520)+COUNTIFS(LdCParty,$AE1520,LdCKey,"&lt;"&amp;$AK1520)+1)</f>
        <v/>
      </c>
      <c r="AM1520">
        <f>IF($AL1520="","",$AE1520&amp;"|"&amp;RIGHT("000000"&amp;$AL1520,6))</f>
        <v/>
      </c>
      <c r="AN1520">
        <f>IF($AE1520="","",IF(Sync!$W1520="",0,Sync!$W1520))</f>
        <v/>
      </c>
      <c r="AO1520">
        <f>IF($AE1520="","",IF(Sync!$X1520="",0,Sync!$X1520))</f>
        <v/>
      </c>
      <c r="AP1520">
        <f>IF($AE1520="","",Sync!$R1520)</f>
        <v/>
      </c>
      <c r="AQ1520">
        <f>IF($AE1520="","",Sync!$Y1520)</f>
        <v/>
      </c>
    </row>
    <row r="1521">
      <c r="A1521">
        <f>IF(OR(Wages!$B1524="",Wages!$E1524=""),"",Wages!$E1524)</f>
        <v/>
      </c>
      <c r="B1521">
        <f>IF($A1521="","",IF(Wages!$C1524="دستمزد گروهی",2,1))</f>
        <v/>
      </c>
      <c r="C1521">
        <f>IF($A1521="","",IF(ISNUMBER(Wages!$B1524),IF(AND(Wages!$B1524&gt;=10000101,Wages!$B1524&lt;=99991231),INT(Wages!$B1524/10000),""),IFERROR(VALUE(TRIM(LEFT(Wages!$B1524,FIND("/",Wages!$B1524)-1))),"")))</f>
        <v/>
      </c>
      <c r="D1521">
        <f>IF(OR($A1521="",$C1521=""),"",IF(ISNUMBER(Wages!$B1524),INT(MOD(Wages!$B1524,10000)/100),IFERROR(VALUE(TRIM(LEFT(MID(Wages!$B1524,FIND("/",Wages!$B1524)+1,20),FIND("/",MID(Wages!$B1524,FIND("/",Wages!$B1524)+1,20))-1))),"")))</f>
        <v/>
      </c>
      <c r="E1521">
        <f>IF(OR($A1521="",$C1521=""),"",IF(ISNUMBER(Wages!$B1524),MOD(Wages!$B1524,100),IFERROR(VALUE(TRIM(MID(MID(Wages!$B1524,FIND("/",Wages!$B1524)+1,20),FIND("/",MID(Wages!$B1524,FIND("/",Wages!$B1524)+1,20))+1,20))),"")))</f>
        <v/>
      </c>
      <c r="F1521">
        <f>IF($A1521="","",IF(OR($C1521="",$D1521="",$E1521="",$C1521&lt;1300,$C1521&gt;1500,$D1521&lt;1,$D1521&gt;12,$E1521&lt;1,$E1521&gt;31),"نامعتبر",RIGHT("0000"&amp;$C1521,4)&amp;"/"&amp;RIGHT("00"&amp;$D1521,2)&amp;"/"&amp;RIGHT("00"&amp;$E1521,2)))</f>
        <v/>
      </c>
      <c r="G1521">
        <f>IF(OR($A1521="",$F1521="",$F1521="نامعتبر"),"",LEFT($F1521,4)&amp;MID($F1521,6,2)&amp;RIGHT($F1521,2)&amp;"0000"&amp;"|"&amp;"1"&amp;RIGHT("00000"&amp;1516,5))</f>
        <v/>
      </c>
      <c r="H1521">
        <f>IF(OR($B1521&lt;&gt;1,$G1521=""),"",COUNTIFS(LdAParty,$A1521,LdAType,1,LdAKey,"&lt;"&amp;$G1521)+COUNTIFS(LdBMember,$A1521,LdBKey,"&lt;"&amp;$G1521)+COUNTIFS(LdCParty,$A1521,LdCKey,"&lt;"&amp;$G1521)+1)</f>
        <v/>
      </c>
      <c r="I1521">
        <f>IF($H1521="","",$A1521&amp;"|"&amp;RIGHT("000000"&amp;$H1521,6))</f>
        <v/>
      </c>
      <c r="J1521">
        <f>IF(OR($B1521&lt;&gt;2,$G1521=""),"",COUNTIFS(LdAParty,$A1521,LdAType,2,LdAKey,"&lt;"&amp;$G1521)+1)</f>
        <v/>
      </c>
      <c r="K1521">
        <f>IF($J1521="","",$A1521&amp;"|"&amp;RIGHT("000000"&amp;$J1521,6))</f>
        <v/>
      </c>
      <c r="L1521">
        <f>IF($A1521="","",IF(Wages!$G1524="",0,Wages!$G1524))</f>
        <v/>
      </c>
      <c r="M1521">
        <f>IF($A1521="","",Wages!$J1524)</f>
        <v/>
      </c>
      <c r="N1521">
        <f>IF($A1521="","",Wages!$D1524)</f>
        <v/>
      </c>
      <c r="P1521">
        <f>IF(OR(Shares!$B1524="",Shares!$C1524=""),"",Shares!$C1524)</f>
        <v/>
      </c>
      <c r="Q1521">
        <f>IF($P1521="","",Shares!$B1524)</f>
        <v/>
      </c>
      <c r="R1521">
        <f>IF($P1521="","",IFERROR(INDEX(WageParty,MATCH($Q1521,WageIds,0)),""))</f>
        <v/>
      </c>
      <c r="S1521">
        <f>IF($P1521="","",IFERROR(INDEX($F$6:$F$2005,MATCH($Q1521,WageIds,0)),""))</f>
        <v/>
      </c>
      <c r="T1521">
        <f>IF(OR($P1521="",$S1521="",$S1521="نامعتبر"),"",LEFT($S1521,4)&amp;MID($S1521,6,2)&amp;RIGHT($S1521,2)&amp;"0000"&amp;"|"&amp;"2"&amp;RIGHT("00000"&amp;1516,5))</f>
        <v/>
      </c>
      <c r="U1521">
        <f>IF($T1521="","",COUNTIFS(LdAParty,$P1521,LdAType,1,LdAKey,"&lt;"&amp;$T1521)+COUNTIFS(LdBMember,$P1521,LdBKey,"&lt;"&amp;$T1521)+COUNTIFS(LdCParty,$P1521,LdCKey,"&lt;"&amp;$T1521)+1)</f>
        <v/>
      </c>
      <c r="V1521">
        <f>IF($U1521="","",$P1521&amp;"|"&amp;RIGHT("000000"&amp;$U1521,6))</f>
        <v/>
      </c>
      <c r="W1521">
        <f>IF($T1521="","",COUNTIFS(LdBGroup,$R1521,LdBKey,"&lt;"&amp;$T1521)+1)</f>
        <v/>
      </c>
      <c r="X1521">
        <f>IF($W1521="","",$R1521&amp;"|"&amp;RIGHT("000000"&amp;$W1521,6))</f>
        <v/>
      </c>
      <c r="Y1521">
        <f>IF($P1521="","",IF(Shares!$E1524="",0,Shares!$E1524))</f>
        <v/>
      </c>
      <c r="Z1521">
        <f>IF($P1521="","",Shares!$H1524)</f>
        <v/>
      </c>
      <c r="AE1521">
        <f>IF(OR(Sync!$S1521="",Sync!$P1521=""),"",Sync!$S1521)</f>
        <v/>
      </c>
      <c r="AF1521">
        <f>IF($AE1521="","",IF(ISNUMBER(Sync!$P1521),IF(AND(Sync!$P1521&gt;=10000101,Sync!$P1521&lt;=99991231),INT(Sync!$P1521/10000),""),IFERROR(VALUE(TRIM(LEFT(Sync!$P1521,FIND("/",Sync!$P1521)-1))),"")))</f>
        <v/>
      </c>
      <c r="AG1521">
        <f>IF(OR($AE1521="",$AF1521=""),"",IF(ISNUMBER(Sync!$P1521),INT(MOD(Sync!$P1521,10000)/100),IFERROR(VALUE(TRIM(LEFT(MID(Sync!$P1521,FIND("/",Sync!$P1521)+1,20),FIND("/",MID(Sync!$P1521,FIND("/",Sync!$P1521)+1,20))-1))),"")))</f>
        <v/>
      </c>
      <c r="AH1521">
        <f>IF(OR($AE1521="",$AF1521=""),"",IF(ISNUMBER(Sync!$P1521),MOD(Sync!$P1521,100),IFERROR(VALUE(TRIM(MID(MID(Sync!$P1521,FIND("/",Sync!$P1521)+1,20),FIND("/",MID(Sync!$P1521,FIND("/",Sync!$P1521)+1,20))+1,20))),"")))</f>
        <v/>
      </c>
      <c r="AI1521">
        <f>IF($AE1521="","",IF(OR($AF1521="",$AG1521="",$AH1521="",$AF1521&lt;1300,$AF1521&gt;1500,$AG1521&lt;1,$AG1521&gt;12,$AH1521&lt;1,$AH1521&gt;31),"نامعتبر",RIGHT("0000"&amp;$AF1521,4)&amp;"/"&amp;RIGHT("00"&amp;$AG1521,2)&amp;"/"&amp;RIGHT("00"&amp;$AH1521,2)))</f>
        <v/>
      </c>
      <c r="AJ1521">
        <f>IF($AE1521="","",IF(Sync!$Q1521="","0000",IF(AND(ISNUMBER(Sync!$Q1521),Sync!$Q1521&gt;=0,Sync!$Q1521&lt;1),RIGHT("00"&amp;HOUR(Sync!$Q1521),2)&amp;RIGHT("00"&amp;MINUTE(Sync!$Q1521),2),IFERROR(RIGHT("00"&amp;VALUE(LEFT(Sync!$Q1521,FIND(":",Sync!$Q1521)-1)),2)&amp;RIGHT("00"&amp;VALUE(MID(Sync!$Q1521,FIND(":",Sync!$Q1521)+1,2)),2),"0000"))))</f>
        <v/>
      </c>
      <c r="AK1521">
        <f>IF(OR($AE1521="",$AI1521="",$AI1521="نامعتبر"),"",LEFT($AI1521,4)&amp;MID($AI1521,6,2)&amp;RIGHT($AI1521,2)&amp;$AJ1521&amp;"|"&amp;"3"&amp;RIGHT("00000"&amp;1516,5))</f>
        <v/>
      </c>
      <c r="AL1521">
        <f>IF($AK1521="","",COUNTIFS(LdAParty,$AE1521,LdAType,1,LdAKey,"&lt;"&amp;$AK1521)+COUNTIFS(LdBMember,$AE1521,LdBKey,"&lt;"&amp;$AK1521)+COUNTIFS(LdCParty,$AE1521,LdCKey,"&lt;"&amp;$AK1521)+1)</f>
        <v/>
      </c>
      <c r="AM1521">
        <f>IF($AL1521="","",$AE1521&amp;"|"&amp;RIGHT("000000"&amp;$AL1521,6))</f>
        <v/>
      </c>
      <c r="AN1521">
        <f>IF($AE1521="","",IF(Sync!$W1521="",0,Sync!$W1521))</f>
        <v/>
      </c>
      <c r="AO1521">
        <f>IF($AE1521="","",IF(Sync!$X1521="",0,Sync!$X1521))</f>
        <v/>
      </c>
      <c r="AP1521">
        <f>IF($AE1521="","",Sync!$R1521)</f>
        <v/>
      </c>
      <c r="AQ1521">
        <f>IF($AE1521="","",Sync!$Y1521)</f>
        <v/>
      </c>
    </row>
    <row r="1522">
      <c r="A1522">
        <f>IF(OR(Wages!$B1525="",Wages!$E1525=""),"",Wages!$E1525)</f>
        <v/>
      </c>
      <c r="B1522">
        <f>IF($A1522="","",IF(Wages!$C1525="دستمزد گروهی",2,1))</f>
        <v/>
      </c>
      <c r="C1522">
        <f>IF($A1522="","",IF(ISNUMBER(Wages!$B1525),IF(AND(Wages!$B1525&gt;=10000101,Wages!$B1525&lt;=99991231),INT(Wages!$B1525/10000),""),IFERROR(VALUE(TRIM(LEFT(Wages!$B1525,FIND("/",Wages!$B1525)-1))),"")))</f>
        <v/>
      </c>
      <c r="D1522">
        <f>IF(OR($A1522="",$C1522=""),"",IF(ISNUMBER(Wages!$B1525),INT(MOD(Wages!$B1525,10000)/100),IFERROR(VALUE(TRIM(LEFT(MID(Wages!$B1525,FIND("/",Wages!$B1525)+1,20),FIND("/",MID(Wages!$B1525,FIND("/",Wages!$B1525)+1,20))-1))),"")))</f>
        <v/>
      </c>
      <c r="E1522">
        <f>IF(OR($A1522="",$C1522=""),"",IF(ISNUMBER(Wages!$B1525),MOD(Wages!$B1525,100),IFERROR(VALUE(TRIM(MID(MID(Wages!$B1525,FIND("/",Wages!$B1525)+1,20),FIND("/",MID(Wages!$B1525,FIND("/",Wages!$B1525)+1,20))+1,20))),"")))</f>
        <v/>
      </c>
      <c r="F1522">
        <f>IF($A1522="","",IF(OR($C1522="",$D1522="",$E1522="",$C1522&lt;1300,$C1522&gt;1500,$D1522&lt;1,$D1522&gt;12,$E1522&lt;1,$E1522&gt;31),"نامعتبر",RIGHT("0000"&amp;$C1522,4)&amp;"/"&amp;RIGHT("00"&amp;$D1522,2)&amp;"/"&amp;RIGHT("00"&amp;$E1522,2)))</f>
        <v/>
      </c>
      <c r="G1522">
        <f>IF(OR($A1522="",$F1522="",$F1522="نامعتبر"),"",LEFT($F1522,4)&amp;MID($F1522,6,2)&amp;RIGHT($F1522,2)&amp;"0000"&amp;"|"&amp;"1"&amp;RIGHT("00000"&amp;1517,5))</f>
        <v/>
      </c>
      <c r="H1522">
        <f>IF(OR($B1522&lt;&gt;1,$G1522=""),"",COUNTIFS(LdAParty,$A1522,LdAType,1,LdAKey,"&lt;"&amp;$G1522)+COUNTIFS(LdBMember,$A1522,LdBKey,"&lt;"&amp;$G1522)+COUNTIFS(LdCParty,$A1522,LdCKey,"&lt;"&amp;$G1522)+1)</f>
        <v/>
      </c>
      <c r="I1522">
        <f>IF($H1522="","",$A1522&amp;"|"&amp;RIGHT("000000"&amp;$H1522,6))</f>
        <v/>
      </c>
      <c r="J1522">
        <f>IF(OR($B1522&lt;&gt;2,$G1522=""),"",COUNTIFS(LdAParty,$A1522,LdAType,2,LdAKey,"&lt;"&amp;$G1522)+1)</f>
        <v/>
      </c>
      <c r="K1522">
        <f>IF($J1522="","",$A1522&amp;"|"&amp;RIGHT("000000"&amp;$J1522,6))</f>
        <v/>
      </c>
      <c r="L1522">
        <f>IF($A1522="","",IF(Wages!$G1525="",0,Wages!$G1525))</f>
        <v/>
      </c>
      <c r="M1522">
        <f>IF($A1522="","",Wages!$J1525)</f>
        <v/>
      </c>
      <c r="N1522">
        <f>IF($A1522="","",Wages!$D1525)</f>
        <v/>
      </c>
      <c r="P1522">
        <f>IF(OR(Shares!$B1525="",Shares!$C1525=""),"",Shares!$C1525)</f>
        <v/>
      </c>
      <c r="Q1522">
        <f>IF($P1522="","",Shares!$B1525)</f>
        <v/>
      </c>
      <c r="R1522">
        <f>IF($P1522="","",IFERROR(INDEX(WageParty,MATCH($Q1522,WageIds,0)),""))</f>
        <v/>
      </c>
      <c r="S1522">
        <f>IF($P1522="","",IFERROR(INDEX($F$6:$F$2005,MATCH($Q1522,WageIds,0)),""))</f>
        <v/>
      </c>
      <c r="T1522">
        <f>IF(OR($P1522="",$S1522="",$S1522="نامعتبر"),"",LEFT($S1522,4)&amp;MID($S1522,6,2)&amp;RIGHT($S1522,2)&amp;"0000"&amp;"|"&amp;"2"&amp;RIGHT("00000"&amp;1517,5))</f>
        <v/>
      </c>
      <c r="U1522">
        <f>IF($T1522="","",COUNTIFS(LdAParty,$P1522,LdAType,1,LdAKey,"&lt;"&amp;$T1522)+COUNTIFS(LdBMember,$P1522,LdBKey,"&lt;"&amp;$T1522)+COUNTIFS(LdCParty,$P1522,LdCKey,"&lt;"&amp;$T1522)+1)</f>
        <v/>
      </c>
      <c r="V1522">
        <f>IF($U1522="","",$P1522&amp;"|"&amp;RIGHT("000000"&amp;$U1522,6))</f>
        <v/>
      </c>
      <c r="W1522">
        <f>IF($T1522="","",COUNTIFS(LdBGroup,$R1522,LdBKey,"&lt;"&amp;$T1522)+1)</f>
        <v/>
      </c>
      <c r="X1522">
        <f>IF($W1522="","",$R1522&amp;"|"&amp;RIGHT("000000"&amp;$W1522,6))</f>
        <v/>
      </c>
      <c r="Y1522">
        <f>IF($P1522="","",IF(Shares!$E1525="",0,Shares!$E1525))</f>
        <v/>
      </c>
      <c r="Z1522">
        <f>IF($P1522="","",Shares!$H1525)</f>
        <v/>
      </c>
      <c r="AE1522">
        <f>IF(OR(Sync!$S1522="",Sync!$P1522=""),"",Sync!$S1522)</f>
        <v/>
      </c>
      <c r="AF1522">
        <f>IF($AE1522="","",IF(ISNUMBER(Sync!$P1522),IF(AND(Sync!$P1522&gt;=10000101,Sync!$P1522&lt;=99991231),INT(Sync!$P1522/10000),""),IFERROR(VALUE(TRIM(LEFT(Sync!$P1522,FIND("/",Sync!$P1522)-1))),"")))</f>
        <v/>
      </c>
      <c r="AG1522">
        <f>IF(OR($AE1522="",$AF1522=""),"",IF(ISNUMBER(Sync!$P1522),INT(MOD(Sync!$P1522,10000)/100),IFERROR(VALUE(TRIM(LEFT(MID(Sync!$P1522,FIND("/",Sync!$P1522)+1,20),FIND("/",MID(Sync!$P1522,FIND("/",Sync!$P1522)+1,20))-1))),"")))</f>
        <v/>
      </c>
      <c r="AH1522">
        <f>IF(OR($AE1522="",$AF1522=""),"",IF(ISNUMBER(Sync!$P1522),MOD(Sync!$P1522,100),IFERROR(VALUE(TRIM(MID(MID(Sync!$P1522,FIND("/",Sync!$P1522)+1,20),FIND("/",MID(Sync!$P1522,FIND("/",Sync!$P1522)+1,20))+1,20))),"")))</f>
        <v/>
      </c>
      <c r="AI1522">
        <f>IF($AE1522="","",IF(OR($AF1522="",$AG1522="",$AH1522="",$AF1522&lt;1300,$AF1522&gt;1500,$AG1522&lt;1,$AG1522&gt;12,$AH1522&lt;1,$AH1522&gt;31),"نامعتبر",RIGHT("0000"&amp;$AF1522,4)&amp;"/"&amp;RIGHT("00"&amp;$AG1522,2)&amp;"/"&amp;RIGHT("00"&amp;$AH1522,2)))</f>
        <v/>
      </c>
      <c r="AJ1522">
        <f>IF($AE1522="","",IF(Sync!$Q1522="","0000",IF(AND(ISNUMBER(Sync!$Q1522),Sync!$Q1522&gt;=0,Sync!$Q1522&lt;1),RIGHT("00"&amp;HOUR(Sync!$Q1522),2)&amp;RIGHT("00"&amp;MINUTE(Sync!$Q1522),2),IFERROR(RIGHT("00"&amp;VALUE(LEFT(Sync!$Q1522,FIND(":",Sync!$Q1522)-1)),2)&amp;RIGHT("00"&amp;VALUE(MID(Sync!$Q1522,FIND(":",Sync!$Q1522)+1,2)),2),"0000"))))</f>
        <v/>
      </c>
      <c r="AK1522">
        <f>IF(OR($AE1522="",$AI1522="",$AI1522="نامعتبر"),"",LEFT($AI1522,4)&amp;MID($AI1522,6,2)&amp;RIGHT($AI1522,2)&amp;$AJ1522&amp;"|"&amp;"3"&amp;RIGHT("00000"&amp;1517,5))</f>
        <v/>
      </c>
      <c r="AL1522">
        <f>IF($AK1522="","",COUNTIFS(LdAParty,$AE1522,LdAType,1,LdAKey,"&lt;"&amp;$AK1522)+COUNTIFS(LdBMember,$AE1522,LdBKey,"&lt;"&amp;$AK1522)+COUNTIFS(LdCParty,$AE1522,LdCKey,"&lt;"&amp;$AK1522)+1)</f>
        <v/>
      </c>
      <c r="AM1522">
        <f>IF($AL1522="","",$AE1522&amp;"|"&amp;RIGHT("000000"&amp;$AL1522,6))</f>
        <v/>
      </c>
      <c r="AN1522">
        <f>IF($AE1522="","",IF(Sync!$W1522="",0,Sync!$W1522))</f>
        <v/>
      </c>
      <c r="AO1522">
        <f>IF($AE1522="","",IF(Sync!$X1522="",0,Sync!$X1522))</f>
        <v/>
      </c>
      <c r="AP1522">
        <f>IF($AE1522="","",Sync!$R1522)</f>
        <v/>
      </c>
      <c r="AQ1522">
        <f>IF($AE1522="","",Sync!$Y1522)</f>
        <v/>
      </c>
    </row>
    <row r="1523">
      <c r="A1523">
        <f>IF(OR(Wages!$B1526="",Wages!$E1526=""),"",Wages!$E1526)</f>
        <v/>
      </c>
      <c r="B1523">
        <f>IF($A1523="","",IF(Wages!$C1526="دستمزد گروهی",2,1))</f>
        <v/>
      </c>
      <c r="C1523">
        <f>IF($A1523="","",IF(ISNUMBER(Wages!$B1526),IF(AND(Wages!$B1526&gt;=10000101,Wages!$B1526&lt;=99991231),INT(Wages!$B1526/10000),""),IFERROR(VALUE(TRIM(LEFT(Wages!$B1526,FIND("/",Wages!$B1526)-1))),"")))</f>
        <v/>
      </c>
      <c r="D1523">
        <f>IF(OR($A1523="",$C1523=""),"",IF(ISNUMBER(Wages!$B1526),INT(MOD(Wages!$B1526,10000)/100),IFERROR(VALUE(TRIM(LEFT(MID(Wages!$B1526,FIND("/",Wages!$B1526)+1,20),FIND("/",MID(Wages!$B1526,FIND("/",Wages!$B1526)+1,20))-1))),"")))</f>
        <v/>
      </c>
      <c r="E1523">
        <f>IF(OR($A1523="",$C1523=""),"",IF(ISNUMBER(Wages!$B1526),MOD(Wages!$B1526,100),IFERROR(VALUE(TRIM(MID(MID(Wages!$B1526,FIND("/",Wages!$B1526)+1,20),FIND("/",MID(Wages!$B1526,FIND("/",Wages!$B1526)+1,20))+1,20))),"")))</f>
        <v/>
      </c>
      <c r="F1523">
        <f>IF($A1523="","",IF(OR($C1523="",$D1523="",$E1523="",$C1523&lt;1300,$C1523&gt;1500,$D1523&lt;1,$D1523&gt;12,$E1523&lt;1,$E1523&gt;31),"نامعتبر",RIGHT("0000"&amp;$C1523,4)&amp;"/"&amp;RIGHT("00"&amp;$D1523,2)&amp;"/"&amp;RIGHT("00"&amp;$E1523,2)))</f>
        <v/>
      </c>
      <c r="G1523">
        <f>IF(OR($A1523="",$F1523="",$F1523="نامعتبر"),"",LEFT($F1523,4)&amp;MID($F1523,6,2)&amp;RIGHT($F1523,2)&amp;"0000"&amp;"|"&amp;"1"&amp;RIGHT("00000"&amp;1518,5))</f>
        <v/>
      </c>
      <c r="H1523">
        <f>IF(OR($B1523&lt;&gt;1,$G1523=""),"",COUNTIFS(LdAParty,$A1523,LdAType,1,LdAKey,"&lt;"&amp;$G1523)+COUNTIFS(LdBMember,$A1523,LdBKey,"&lt;"&amp;$G1523)+COUNTIFS(LdCParty,$A1523,LdCKey,"&lt;"&amp;$G1523)+1)</f>
        <v/>
      </c>
      <c r="I1523">
        <f>IF($H1523="","",$A1523&amp;"|"&amp;RIGHT("000000"&amp;$H1523,6))</f>
        <v/>
      </c>
      <c r="J1523">
        <f>IF(OR($B1523&lt;&gt;2,$G1523=""),"",COUNTIFS(LdAParty,$A1523,LdAType,2,LdAKey,"&lt;"&amp;$G1523)+1)</f>
        <v/>
      </c>
      <c r="K1523">
        <f>IF($J1523="","",$A1523&amp;"|"&amp;RIGHT("000000"&amp;$J1523,6))</f>
        <v/>
      </c>
      <c r="L1523">
        <f>IF($A1523="","",IF(Wages!$G1526="",0,Wages!$G1526))</f>
        <v/>
      </c>
      <c r="M1523">
        <f>IF($A1523="","",Wages!$J1526)</f>
        <v/>
      </c>
      <c r="N1523">
        <f>IF($A1523="","",Wages!$D1526)</f>
        <v/>
      </c>
      <c r="P1523">
        <f>IF(OR(Shares!$B1526="",Shares!$C1526=""),"",Shares!$C1526)</f>
        <v/>
      </c>
      <c r="Q1523">
        <f>IF($P1523="","",Shares!$B1526)</f>
        <v/>
      </c>
      <c r="R1523">
        <f>IF($P1523="","",IFERROR(INDEX(WageParty,MATCH($Q1523,WageIds,0)),""))</f>
        <v/>
      </c>
      <c r="S1523">
        <f>IF($P1523="","",IFERROR(INDEX($F$6:$F$2005,MATCH($Q1523,WageIds,0)),""))</f>
        <v/>
      </c>
      <c r="T1523">
        <f>IF(OR($P1523="",$S1523="",$S1523="نامعتبر"),"",LEFT($S1523,4)&amp;MID($S1523,6,2)&amp;RIGHT($S1523,2)&amp;"0000"&amp;"|"&amp;"2"&amp;RIGHT("00000"&amp;1518,5))</f>
        <v/>
      </c>
      <c r="U1523">
        <f>IF($T1523="","",COUNTIFS(LdAParty,$P1523,LdAType,1,LdAKey,"&lt;"&amp;$T1523)+COUNTIFS(LdBMember,$P1523,LdBKey,"&lt;"&amp;$T1523)+COUNTIFS(LdCParty,$P1523,LdCKey,"&lt;"&amp;$T1523)+1)</f>
        <v/>
      </c>
      <c r="V1523">
        <f>IF($U1523="","",$P1523&amp;"|"&amp;RIGHT("000000"&amp;$U1523,6))</f>
        <v/>
      </c>
      <c r="W1523">
        <f>IF($T1523="","",COUNTIFS(LdBGroup,$R1523,LdBKey,"&lt;"&amp;$T1523)+1)</f>
        <v/>
      </c>
      <c r="X1523">
        <f>IF($W1523="","",$R1523&amp;"|"&amp;RIGHT("000000"&amp;$W1523,6))</f>
        <v/>
      </c>
      <c r="Y1523">
        <f>IF($P1523="","",IF(Shares!$E1526="",0,Shares!$E1526))</f>
        <v/>
      </c>
      <c r="Z1523">
        <f>IF($P1523="","",Shares!$H1526)</f>
        <v/>
      </c>
      <c r="AE1523">
        <f>IF(OR(Sync!$S1523="",Sync!$P1523=""),"",Sync!$S1523)</f>
        <v/>
      </c>
      <c r="AF1523">
        <f>IF($AE1523="","",IF(ISNUMBER(Sync!$P1523),IF(AND(Sync!$P1523&gt;=10000101,Sync!$P1523&lt;=99991231),INT(Sync!$P1523/10000),""),IFERROR(VALUE(TRIM(LEFT(Sync!$P1523,FIND("/",Sync!$P1523)-1))),"")))</f>
        <v/>
      </c>
      <c r="AG1523">
        <f>IF(OR($AE1523="",$AF1523=""),"",IF(ISNUMBER(Sync!$P1523),INT(MOD(Sync!$P1523,10000)/100),IFERROR(VALUE(TRIM(LEFT(MID(Sync!$P1523,FIND("/",Sync!$P1523)+1,20),FIND("/",MID(Sync!$P1523,FIND("/",Sync!$P1523)+1,20))-1))),"")))</f>
        <v/>
      </c>
      <c r="AH1523">
        <f>IF(OR($AE1523="",$AF1523=""),"",IF(ISNUMBER(Sync!$P1523),MOD(Sync!$P1523,100),IFERROR(VALUE(TRIM(MID(MID(Sync!$P1523,FIND("/",Sync!$P1523)+1,20),FIND("/",MID(Sync!$P1523,FIND("/",Sync!$P1523)+1,20))+1,20))),"")))</f>
        <v/>
      </c>
      <c r="AI1523">
        <f>IF($AE1523="","",IF(OR($AF1523="",$AG1523="",$AH1523="",$AF1523&lt;1300,$AF1523&gt;1500,$AG1523&lt;1,$AG1523&gt;12,$AH1523&lt;1,$AH1523&gt;31),"نامعتبر",RIGHT("0000"&amp;$AF1523,4)&amp;"/"&amp;RIGHT("00"&amp;$AG1523,2)&amp;"/"&amp;RIGHT("00"&amp;$AH1523,2)))</f>
        <v/>
      </c>
      <c r="AJ1523">
        <f>IF($AE1523="","",IF(Sync!$Q1523="","0000",IF(AND(ISNUMBER(Sync!$Q1523),Sync!$Q1523&gt;=0,Sync!$Q1523&lt;1),RIGHT("00"&amp;HOUR(Sync!$Q1523),2)&amp;RIGHT("00"&amp;MINUTE(Sync!$Q1523),2),IFERROR(RIGHT("00"&amp;VALUE(LEFT(Sync!$Q1523,FIND(":",Sync!$Q1523)-1)),2)&amp;RIGHT("00"&amp;VALUE(MID(Sync!$Q1523,FIND(":",Sync!$Q1523)+1,2)),2),"0000"))))</f>
        <v/>
      </c>
      <c r="AK1523">
        <f>IF(OR($AE1523="",$AI1523="",$AI1523="نامعتبر"),"",LEFT($AI1523,4)&amp;MID($AI1523,6,2)&amp;RIGHT($AI1523,2)&amp;$AJ1523&amp;"|"&amp;"3"&amp;RIGHT("00000"&amp;1518,5))</f>
        <v/>
      </c>
      <c r="AL1523">
        <f>IF($AK1523="","",COUNTIFS(LdAParty,$AE1523,LdAType,1,LdAKey,"&lt;"&amp;$AK1523)+COUNTIFS(LdBMember,$AE1523,LdBKey,"&lt;"&amp;$AK1523)+COUNTIFS(LdCParty,$AE1523,LdCKey,"&lt;"&amp;$AK1523)+1)</f>
        <v/>
      </c>
      <c r="AM1523">
        <f>IF($AL1523="","",$AE1523&amp;"|"&amp;RIGHT("000000"&amp;$AL1523,6))</f>
        <v/>
      </c>
      <c r="AN1523">
        <f>IF($AE1523="","",IF(Sync!$W1523="",0,Sync!$W1523))</f>
        <v/>
      </c>
      <c r="AO1523">
        <f>IF($AE1523="","",IF(Sync!$X1523="",0,Sync!$X1523))</f>
        <v/>
      </c>
      <c r="AP1523">
        <f>IF($AE1523="","",Sync!$R1523)</f>
        <v/>
      </c>
      <c r="AQ1523">
        <f>IF($AE1523="","",Sync!$Y1523)</f>
        <v/>
      </c>
    </row>
    <row r="1524">
      <c r="A1524">
        <f>IF(OR(Wages!$B1527="",Wages!$E1527=""),"",Wages!$E1527)</f>
        <v/>
      </c>
      <c r="B1524">
        <f>IF($A1524="","",IF(Wages!$C1527="دستمزد گروهی",2,1))</f>
        <v/>
      </c>
      <c r="C1524">
        <f>IF($A1524="","",IF(ISNUMBER(Wages!$B1527),IF(AND(Wages!$B1527&gt;=10000101,Wages!$B1527&lt;=99991231),INT(Wages!$B1527/10000),""),IFERROR(VALUE(TRIM(LEFT(Wages!$B1527,FIND("/",Wages!$B1527)-1))),"")))</f>
        <v/>
      </c>
      <c r="D1524">
        <f>IF(OR($A1524="",$C1524=""),"",IF(ISNUMBER(Wages!$B1527),INT(MOD(Wages!$B1527,10000)/100),IFERROR(VALUE(TRIM(LEFT(MID(Wages!$B1527,FIND("/",Wages!$B1527)+1,20),FIND("/",MID(Wages!$B1527,FIND("/",Wages!$B1527)+1,20))-1))),"")))</f>
        <v/>
      </c>
      <c r="E1524">
        <f>IF(OR($A1524="",$C1524=""),"",IF(ISNUMBER(Wages!$B1527),MOD(Wages!$B1527,100),IFERROR(VALUE(TRIM(MID(MID(Wages!$B1527,FIND("/",Wages!$B1527)+1,20),FIND("/",MID(Wages!$B1527,FIND("/",Wages!$B1527)+1,20))+1,20))),"")))</f>
        <v/>
      </c>
      <c r="F1524">
        <f>IF($A1524="","",IF(OR($C1524="",$D1524="",$E1524="",$C1524&lt;1300,$C1524&gt;1500,$D1524&lt;1,$D1524&gt;12,$E1524&lt;1,$E1524&gt;31),"نامعتبر",RIGHT("0000"&amp;$C1524,4)&amp;"/"&amp;RIGHT("00"&amp;$D1524,2)&amp;"/"&amp;RIGHT("00"&amp;$E1524,2)))</f>
        <v/>
      </c>
      <c r="G1524">
        <f>IF(OR($A1524="",$F1524="",$F1524="نامعتبر"),"",LEFT($F1524,4)&amp;MID($F1524,6,2)&amp;RIGHT($F1524,2)&amp;"0000"&amp;"|"&amp;"1"&amp;RIGHT("00000"&amp;1519,5))</f>
        <v/>
      </c>
      <c r="H1524">
        <f>IF(OR($B1524&lt;&gt;1,$G1524=""),"",COUNTIFS(LdAParty,$A1524,LdAType,1,LdAKey,"&lt;"&amp;$G1524)+COUNTIFS(LdBMember,$A1524,LdBKey,"&lt;"&amp;$G1524)+COUNTIFS(LdCParty,$A1524,LdCKey,"&lt;"&amp;$G1524)+1)</f>
        <v/>
      </c>
      <c r="I1524">
        <f>IF($H1524="","",$A1524&amp;"|"&amp;RIGHT("000000"&amp;$H1524,6))</f>
        <v/>
      </c>
      <c r="J1524">
        <f>IF(OR($B1524&lt;&gt;2,$G1524=""),"",COUNTIFS(LdAParty,$A1524,LdAType,2,LdAKey,"&lt;"&amp;$G1524)+1)</f>
        <v/>
      </c>
      <c r="K1524">
        <f>IF($J1524="","",$A1524&amp;"|"&amp;RIGHT("000000"&amp;$J1524,6))</f>
        <v/>
      </c>
      <c r="L1524">
        <f>IF($A1524="","",IF(Wages!$G1527="",0,Wages!$G1527))</f>
        <v/>
      </c>
      <c r="M1524">
        <f>IF($A1524="","",Wages!$J1527)</f>
        <v/>
      </c>
      <c r="N1524">
        <f>IF($A1524="","",Wages!$D1527)</f>
        <v/>
      </c>
      <c r="P1524">
        <f>IF(OR(Shares!$B1527="",Shares!$C1527=""),"",Shares!$C1527)</f>
        <v/>
      </c>
      <c r="Q1524">
        <f>IF($P1524="","",Shares!$B1527)</f>
        <v/>
      </c>
      <c r="R1524">
        <f>IF($P1524="","",IFERROR(INDEX(WageParty,MATCH($Q1524,WageIds,0)),""))</f>
        <v/>
      </c>
      <c r="S1524">
        <f>IF($P1524="","",IFERROR(INDEX($F$6:$F$2005,MATCH($Q1524,WageIds,0)),""))</f>
        <v/>
      </c>
      <c r="T1524">
        <f>IF(OR($P1524="",$S1524="",$S1524="نامعتبر"),"",LEFT($S1524,4)&amp;MID($S1524,6,2)&amp;RIGHT($S1524,2)&amp;"0000"&amp;"|"&amp;"2"&amp;RIGHT("00000"&amp;1519,5))</f>
        <v/>
      </c>
      <c r="U1524">
        <f>IF($T1524="","",COUNTIFS(LdAParty,$P1524,LdAType,1,LdAKey,"&lt;"&amp;$T1524)+COUNTIFS(LdBMember,$P1524,LdBKey,"&lt;"&amp;$T1524)+COUNTIFS(LdCParty,$P1524,LdCKey,"&lt;"&amp;$T1524)+1)</f>
        <v/>
      </c>
      <c r="V1524">
        <f>IF($U1524="","",$P1524&amp;"|"&amp;RIGHT("000000"&amp;$U1524,6))</f>
        <v/>
      </c>
      <c r="W1524">
        <f>IF($T1524="","",COUNTIFS(LdBGroup,$R1524,LdBKey,"&lt;"&amp;$T1524)+1)</f>
        <v/>
      </c>
      <c r="X1524">
        <f>IF($W1524="","",$R1524&amp;"|"&amp;RIGHT("000000"&amp;$W1524,6))</f>
        <v/>
      </c>
      <c r="Y1524">
        <f>IF($P1524="","",IF(Shares!$E1527="",0,Shares!$E1527))</f>
        <v/>
      </c>
      <c r="Z1524">
        <f>IF($P1524="","",Shares!$H1527)</f>
        <v/>
      </c>
      <c r="AE1524">
        <f>IF(OR(Sync!$S1524="",Sync!$P1524=""),"",Sync!$S1524)</f>
        <v/>
      </c>
      <c r="AF1524">
        <f>IF($AE1524="","",IF(ISNUMBER(Sync!$P1524),IF(AND(Sync!$P1524&gt;=10000101,Sync!$P1524&lt;=99991231),INT(Sync!$P1524/10000),""),IFERROR(VALUE(TRIM(LEFT(Sync!$P1524,FIND("/",Sync!$P1524)-1))),"")))</f>
        <v/>
      </c>
      <c r="AG1524">
        <f>IF(OR($AE1524="",$AF1524=""),"",IF(ISNUMBER(Sync!$P1524),INT(MOD(Sync!$P1524,10000)/100),IFERROR(VALUE(TRIM(LEFT(MID(Sync!$P1524,FIND("/",Sync!$P1524)+1,20),FIND("/",MID(Sync!$P1524,FIND("/",Sync!$P1524)+1,20))-1))),"")))</f>
        <v/>
      </c>
      <c r="AH1524">
        <f>IF(OR($AE1524="",$AF1524=""),"",IF(ISNUMBER(Sync!$P1524),MOD(Sync!$P1524,100),IFERROR(VALUE(TRIM(MID(MID(Sync!$P1524,FIND("/",Sync!$P1524)+1,20),FIND("/",MID(Sync!$P1524,FIND("/",Sync!$P1524)+1,20))+1,20))),"")))</f>
        <v/>
      </c>
      <c r="AI1524">
        <f>IF($AE1524="","",IF(OR($AF1524="",$AG1524="",$AH1524="",$AF1524&lt;1300,$AF1524&gt;1500,$AG1524&lt;1,$AG1524&gt;12,$AH1524&lt;1,$AH1524&gt;31),"نامعتبر",RIGHT("0000"&amp;$AF1524,4)&amp;"/"&amp;RIGHT("00"&amp;$AG1524,2)&amp;"/"&amp;RIGHT("00"&amp;$AH1524,2)))</f>
        <v/>
      </c>
      <c r="AJ1524">
        <f>IF($AE1524="","",IF(Sync!$Q1524="","0000",IF(AND(ISNUMBER(Sync!$Q1524),Sync!$Q1524&gt;=0,Sync!$Q1524&lt;1),RIGHT("00"&amp;HOUR(Sync!$Q1524),2)&amp;RIGHT("00"&amp;MINUTE(Sync!$Q1524),2),IFERROR(RIGHT("00"&amp;VALUE(LEFT(Sync!$Q1524,FIND(":",Sync!$Q1524)-1)),2)&amp;RIGHT("00"&amp;VALUE(MID(Sync!$Q1524,FIND(":",Sync!$Q1524)+1,2)),2),"0000"))))</f>
        <v/>
      </c>
      <c r="AK1524">
        <f>IF(OR($AE1524="",$AI1524="",$AI1524="نامعتبر"),"",LEFT($AI1524,4)&amp;MID($AI1524,6,2)&amp;RIGHT($AI1524,2)&amp;$AJ1524&amp;"|"&amp;"3"&amp;RIGHT("00000"&amp;1519,5))</f>
        <v/>
      </c>
      <c r="AL1524">
        <f>IF($AK1524="","",COUNTIFS(LdAParty,$AE1524,LdAType,1,LdAKey,"&lt;"&amp;$AK1524)+COUNTIFS(LdBMember,$AE1524,LdBKey,"&lt;"&amp;$AK1524)+COUNTIFS(LdCParty,$AE1524,LdCKey,"&lt;"&amp;$AK1524)+1)</f>
        <v/>
      </c>
      <c r="AM1524">
        <f>IF($AL1524="","",$AE1524&amp;"|"&amp;RIGHT("000000"&amp;$AL1524,6))</f>
        <v/>
      </c>
      <c r="AN1524">
        <f>IF($AE1524="","",IF(Sync!$W1524="",0,Sync!$W1524))</f>
        <v/>
      </c>
      <c r="AO1524">
        <f>IF($AE1524="","",IF(Sync!$X1524="",0,Sync!$X1524))</f>
        <v/>
      </c>
      <c r="AP1524">
        <f>IF($AE1524="","",Sync!$R1524)</f>
        <v/>
      </c>
      <c r="AQ1524">
        <f>IF($AE1524="","",Sync!$Y1524)</f>
        <v/>
      </c>
    </row>
    <row r="1525">
      <c r="A1525">
        <f>IF(OR(Wages!$B1528="",Wages!$E1528=""),"",Wages!$E1528)</f>
        <v/>
      </c>
      <c r="B1525">
        <f>IF($A1525="","",IF(Wages!$C1528="دستمزد گروهی",2,1))</f>
        <v/>
      </c>
      <c r="C1525">
        <f>IF($A1525="","",IF(ISNUMBER(Wages!$B1528),IF(AND(Wages!$B1528&gt;=10000101,Wages!$B1528&lt;=99991231),INT(Wages!$B1528/10000),""),IFERROR(VALUE(TRIM(LEFT(Wages!$B1528,FIND("/",Wages!$B1528)-1))),"")))</f>
        <v/>
      </c>
      <c r="D1525">
        <f>IF(OR($A1525="",$C1525=""),"",IF(ISNUMBER(Wages!$B1528),INT(MOD(Wages!$B1528,10000)/100),IFERROR(VALUE(TRIM(LEFT(MID(Wages!$B1528,FIND("/",Wages!$B1528)+1,20),FIND("/",MID(Wages!$B1528,FIND("/",Wages!$B1528)+1,20))-1))),"")))</f>
        <v/>
      </c>
      <c r="E1525">
        <f>IF(OR($A1525="",$C1525=""),"",IF(ISNUMBER(Wages!$B1528),MOD(Wages!$B1528,100),IFERROR(VALUE(TRIM(MID(MID(Wages!$B1528,FIND("/",Wages!$B1528)+1,20),FIND("/",MID(Wages!$B1528,FIND("/",Wages!$B1528)+1,20))+1,20))),"")))</f>
        <v/>
      </c>
      <c r="F1525">
        <f>IF($A1525="","",IF(OR($C1525="",$D1525="",$E1525="",$C1525&lt;1300,$C1525&gt;1500,$D1525&lt;1,$D1525&gt;12,$E1525&lt;1,$E1525&gt;31),"نامعتبر",RIGHT("0000"&amp;$C1525,4)&amp;"/"&amp;RIGHT("00"&amp;$D1525,2)&amp;"/"&amp;RIGHT("00"&amp;$E1525,2)))</f>
        <v/>
      </c>
      <c r="G1525">
        <f>IF(OR($A1525="",$F1525="",$F1525="نامعتبر"),"",LEFT($F1525,4)&amp;MID($F1525,6,2)&amp;RIGHT($F1525,2)&amp;"0000"&amp;"|"&amp;"1"&amp;RIGHT("00000"&amp;1520,5))</f>
        <v/>
      </c>
      <c r="H1525">
        <f>IF(OR($B1525&lt;&gt;1,$G1525=""),"",COUNTIFS(LdAParty,$A1525,LdAType,1,LdAKey,"&lt;"&amp;$G1525)+COUNTIFS(LdBMember,$A1525,LdBKey,"&lt;"&amp;$G1525)+COUNTIFS(LdCParty,$A1525,LdCKey,"&lt;"&amp;$G1525)+1)</f>
        <v/>
      </c>
      <c r="I1525">
        <f>IF($H1525="","",$A1525&amp;"|"&amp;RIGHT("000000"&amp;$H1525,6))</f>
        <v/>
      </c>
      <c r="J1525">
        <f>IF(OR($B1525&lt;&gt;2,$G1525=""),"",COUNTIFS(LdAParty,$A1525,LdAType,2,LdAKey,"&lt;"&amp;$G1525)+1)</f>
        <v/>
      </c>
      <c r="K1525">
        <f>IF($J1525="","",$A1525&amp;"|"&amp;RIGHT("000000"&amp;$J1525,6))</f>
        <v/>
      </c>
      <c r="L1525">
        <f>IF($A1525="","",IF(Wages!$G1528="",0,Wages!$G1528))</f>
        <v/>
      </c>
      <c r="M1525">
        <f>IF($A1525="","",Wages!$J1528)</f>
        <v/>
      </c>
      <c r="N1525">
        <f>IF($A1525="","",Wages!$D1528)</f>
        <v/>
      </c>
      <c r="P1525">
        <f>IF(OR(Shares!$B1528="",Shares!$C1528=""),"",Shares!$C1528)</f>
        <v/>
      </c>
      <c r="Q1525">
        <f>IF($P1525="","",Shares!$B1528)</f>
        <v/>
      </c>
      <c r="R1525">
        <f>IF($P1525="","",IFERROR(INDEX(WageParty,MATCH($Q1525,WageIds,0)),""))</f>
        <v/>
      </c>
      <c r="S1525">
        <f>IF($P1525="","",IFERROR(INDEX($F$6:$F$2005,MATCH($Q1525,WageIds,0)),""))</f>
        <v/>
      </c>
      <c r="T1525">
        <f>IF(OR($P1525="",$S1525="",$S1525="نامعتبر"),"",LEFT($S1525,4)&amp;MID($S1525,6,2)&amp;RIGHT($S1525,2)&amp;"0000"&amp;"|"&amp;"2"&amp;RIGHT("00000"&amp;1520,5))</f>
        <v/>
      </c>
      <c r="U1525">
        <f>IF($T1525="","",COUNTIFS(LdAParty,$P1525,LdAType,1,LdAKey,"&lt;"&amp;$T1525)+COUNTIFS(LdBMember,$P1525,LdBKey,"&lt;"&amp;$T1525)+COUNTIFS(LdCParty,$P1525,LdCKey,"&lt;"&amp;$T1525)+1)</f>
        <v/>
      </c>
      <c r="V1525">
        <f>IF($U1525="","",$P1525&amp;"|"&amp;RIGHT("000000"&amp;$U1525,6))</f>
        <v/>
      </c>
      <c r="W1525">
        <f>IF($T1525="","",COUNTIFS(LdBGroup,$R1525,LdBKey,"&lt;"&amp;$T1525)+1)</f>
        <v/>
      </c>
      <c r="X1525">
        <f>IF($W1525="","",$R1525&amp;"|"&amp;RIGHT("000000"&amp;$W1525,6))</f>
        <v/>
      </c>
      <c r="Y1525">
        <f>IF($P1525="","",IF(Shares!$E1528="",0,Shares!$E1528))</f>
        <v/>
      </c>
      <c r="Z1525">
        <f>IF($P1525="","",Shares!$H1528)</f>
        <v/>
      </c>
      <c r="AE1525">
        <f>IF(OR(Sync!$S1525="",Sync!$P1525=""),"",Sync!$S1525)</f>
        <v/>
      </c>
      <c r="AF1525">
        <f>IF($AE1525="","",IF(ISNUMBER(Sync!$P1525),IF(AND(Sync!$P1525&gt;=10000101,Sync!$P1525&lt;=99991231),INT(Sync!$P1525/10000),""),IFERROR(VALUE(TRIM(LEFT(Sync!$P1525,FIND("/",Sync!$P1525)-1))),"")))</f>
        <v/>
      </c>
      <c r="AG1525">
        <f>IF(OR($AE1525="",$AF1525=""),"",IF(ISNUMBER(Sync!$P1525),INT(MOD(Sync!$P1525,10000)/100),IFERROR(VALUE(TRIM(LEFT(MID(Sync!$P1525,FIND("/",Sync!$P1525)+1,20),FIND("/",MID(Sync!$P1525,FIND("/",Sync!$P1525)+1,20))-1))),"")))</f>
        <v/>
      </c>
      <c r="AH1525">
        <f>IF(OR($AE1525="",$AF1525=""),"",IF(ISNUMBER(Sync!$P1525),MOD(Sync!$P1525,100),IFERROR(VALUE(TRIM(MID(MID(Sync!$P1525,FIND("/",Sync!$P1525)+1,20),FIND("/",MID(Sync!$P1525,FIND("/",Sync!$P1525)+1,20))+1,20))),"")))</f>
        <v/>
      </c>
      <c r="AI1525">
        <f>IF($AE1525="","",IF(OR($AF1525="",$AG1525="",$AH1525="",$AF1525&lt;1300,$AF1525&gt;1500,$AG1525&lt;1,$AG1525&gt;12,$AH1525&lt;1,$AH1525&gt;31),"نامعتبر",RIGHT("0000"&amp;$AF1525,4)&amp;"/"&amp;RIGHT("00"&amp;$AG1525,2)&amp;"/"&amp;RIGHT("00"&amp;$AH1525,2)))</f>
        <v/>
      </c>
      <c r="AJ1525">
        <f>IF($AE1525="","",IF(Sync!$Q1525="","0000",IF(AND(ISNUMBER(Sync!$Q1525),Sync!$Q1525&gt;=0,Sync!$Q1525&lt;1),RIGHT("00"&amp;HOUR(Sync!$Q1525),2)&amp;RIGHT("00"&amp;MINUTE(Sync!$Q1525),2),IFERROR(RIGHT("00"&amp;VALUE(LEFT(Sync!$Q1525,FIND(":",Sync!$Q1525)-1)),2)&amp;RIGHT("00"&amp;VALUE(MID(Sync!$Q1525,FIND(":",Sync!$Q1525)+1,2)),2),"0000"))))</f>
        <v/>
      </c>
      <c r="AK1525">
        <f>IF(OR($AE1525="",$AI1525="",$AI1525="نامعتبر"),"",LEFT($AI1525,4)&amp;MID($AI1525,6,2)&amp;RIGHT($AI1525,2)&amp;$AJ1525&amp;"|"&amp;"3"&amp;RIGHT("00000"&amp;1520,5))</f>
        <v/>
      </c>
      <c r="AL1525">
        <f>IF($AK1525="","",COUNTIFS(LdAParty,$AE1525,LdAType,1,LdAKey,"&lt;"&amp;$AK1525)+COUNTIFS(LdBMember,$AE1525,LdBKey,"&lt;"&amp;$AK1525)+COUNTIFS(LdCParty,$AE1525,LdCKey,"&lt;"&amp;$AK1525)+1)</f>
        <v/>
      </c>
      <c r="AM1525">
        <f>IF($AL1525="","",$AE1525&amp;"|"&amp;RIGHT("000000"&amp;$AL1525,6))</f>
        <v/>
      </c>
      <c r="AN1525">
        <f>IF($AE1525="","",IF(Sync!$W1525="",0,Sync!$W1525))</f>
        <v/>
      </c>
      <c r="AO1525">
        <f>IF($AE1525="","",IF(Sync!$X1525="",0,Sync!$X1525))</f>
        <v/>
      </c>
      <c r="AP1525">
        <f>IF($AE1525="","",Sync!$R1525)</f>
        <v/>
      </c>
      <c r="AQ1525">
        <f>IF($AE1525="","",Sync!$Y1525)</f>
        <v/>
      </c>
    </row>
    <row r="1526">
      <c r="A1526">
        <f>IF(OR(Wages!$B1529="",Wages!$E1529=""),"",Wages!$E1529)</f>
        <v/>
      </c>
      <c r="B1526">
        <f>IF($A1526="","",IF(Wages!$C1529="دستمزد گروهی",2,1))</f>
        <v/>
      </c>
      <c r="C1526">
        <f>IF($A1526="","",IF(ISNUMBER(Wages!$B1529),IF(AND(Wages!$B1529&gt;=10000101,Wages!$B1529&lt;=99991231),INT(Wages!$B1529/10000),""),IFERROR(VALUE(TRIM(LEFT(Wages!$B1529,FIND("/",Wages!$B1529)-1))),"")))</f>
        <v/>
      </c>
      <c r="D1526">
        <f>IF(OR($A1526="",$C1526=""),"",IF(ISNUMBER(Wages!$B1529),INT(MOD(Wages!$B1529,10000)/100),IFERROR(VALUE(TRIM(LEFT(MID(Wages!$B1529,FIND("/",Wages!$B1529)+1,20),FIND("/",MID(Wages!$B1529,FIND("/",Wages!$B1529)+1,20))-1))),"")))</f>
        <v/>
      </c>
      <c r="E1526">
        <f>IF(OR($A1526="",$C1526=""),"",IF(ISNUMBER(Wages!$B1529),MOD(Wages!$B1529,100),IFERROR(VALUE(TRIM(MID(MID(Wages!$B1529,FIND("/",Wages!$B1529)+1,20),FIND("/",MID(Wages!$B1529,FIND("/",Wages!$B1529)+1,20))+1,20))),"")))</f>
        <v/>
      </c>
      <c r="F1526">
        <f>IF($A1526="","",IF(OR($C1526="",$D1526="",$E1526="",$C1526&lt;1300,$C1526&gt;1500,$D1526&lt;1,$D1526&gt;12,$E1526&lt;1,$E1526&gt;31),"نامعتبر",RIGHT("0000"&amp;$C1526,4)&amp;"/"&amp;RIGHT("00"&amp;$D1526,2)&amp;"/"&amp;RIGHT("00"&amp;$E1526,2)))</f>
        <v/>
      </c>
      <c r="G1526">
        <f>IF(OR($A1526="",$F1526="",$F1526="نامعتبر"),"",LEFT($F1526,4)&amp;MID($F1526,6,2)&amp;RIGHT($F1526,2)&amp;"0000"&amp;"|"&amp;"1"&amp;RIGHT("00000"&amp;1521,5))</f>
        <v/>
      </c>
      <c r="H1526">
        <f>IF(OR($B1526&lt;&gt;1,$G1526=""),"",COUNTIFS(LdAParty,$A1526,LdAType,1,LdAKey,"&lt;"&amp;$G1526)+COUNTIFS(LdBMember,$A1526,LdBKey,"&lt;"&amp;$G1526)+COUNTIFS(LdCParty,$A1526,LdCKey,"&lt;"&amp;$G1526)+1)</f>
        <v/>
      </c>
      <c r="I1526">
        <f>IF($H1526="","",$A1526&amp;"|"&amp;RIGHT("000000"&amp;$H1526,6))</f>
        <v/>
      </c>
      <c r="J1526">
        <f>IF(OR($B1526&lt;&gt;2,$G1526=""),"",COUNTIFS(LdAParty,$A1526,LdAType,2,LdAKey,"&lt;"&amp;$G1526)+1)</f>
        <v/>
      </c>
      <c r="K1526">
        <f>IF($J1526="","",$A1526&amp;"|"&amp;RIGHT("000000"&amp;$J1526,6))</f>
        <v/>
      </c>
      <c r="L1526">
        <f>IF($A1526="","",IF(Wages!$G1529="",0,Wages!$G1529))</f>
        <v/>
      </c>
      <c r="M1526">
        <f>IF($A1526="","",Wages!$J1529)</f>
        <v/>
      </c>
      <c r="N1526">
        <f>IF($A1526="","",Wages!$D1529)</f>
        <v/>
      </c>
      <c r="P1526">
        <f>IF(OR(Shares!$B1529="",Shares!$C1529=""),"",Shares!$C1529)</f>
        <v/>
      </c>
      <c r="Q1526">
        <f>IF($P1526="","",Shares!$B1529)</f>
        <v/>
      </c>
      <c r="R1526">
        <f>IF($P1526="","",IFERROR(INDEX(WageParty,MATCH($Q1526,WageIds,0)),""))</f>
        <v/>
      </c>
      <c r="S1526">
        <f>IF($P1526="","",IFERROR(INDEX($F$6:$F$2005,MATCH($Q1526,WageIds,0)),""))</f>
        <v/>
      </c>
      <c r="T1526">
        <f>IF(OR($P1526="",$S1526="",$S1526="نامعتبر"),"",LEFT($S1526,4)&amp;MID($S1526,6,2)&amp;RIGHT($S1526,2)&amp;"0000"&amp;"|"&amp;"2"&amp;RIGHT("00000"&amp;1521,5))</f>
        <v/>
      </c>
      <c r="U1526">
        <f>IF($T1526="","",COUNTIFS(LdAParty,$P1526,LdAType,1,LdAKey,"&lt;"&amp;$T1526)+COUNTIFS(LdBMember,$P1526,LdBKey,"&lt;"&amp;$T1526)+COUNTIFS(LdCParty,$P1526,LdCKey,"&lt;"&amp;$T1526)+1)</f>
        <v/>
      </c>
      <c r="V1526">
        <f>IF($U1526="","",$P1526&amp;"|"&amp;RIGHT("000000"&amp;$U1526,6))</f>
        <v/>
      </c>
      <c r="W1526">
        <f>IF($T1526="","",COUNTIFS(LdBGroup,$R1526,LdBKey,"&lt;"&amp;$T1526)+1)</f>
        <v/>
      </c>
      <c r="X1526">
        <f>IF($W1526="","",$R1526&amp;"|"&amp;RIGHT("000000"&amp;$W1526,6))</f>
        <v/>
      </c>
      <c r="Y1526">
        <f>IF($P1526="","",IF(Shares!$E1529="",0,Shares!$E1529))</f>
        <v/>
      </c>
      <c r="Z1526">
        <f>IF($P1526="","",Shares!$H1529)</f>
        <v/>
      </c>
      <c r="AE1526">
        <f>IF(OR(Sync!$S1526="",Sync!$P1526=""),"",Sync!$S1526)</f>
        <v/>
      </c>
      <c r="AF1526">
        <f>IF($AE1526="","",IF(ISNUMBER(Sync!$P1526),IF(AND(Sync!$P1526&gt;=10000101,Sync!$P1526&lt;=99991231),INT(Sync!$P1526/10000),""),IFERROR(VALUE(TRIM(LEFT(Sync!$P1526,FIND("/",Sync!$P1526)-1))),"")))</f>
        <v/>
      </c>
      <c r="AG1526">
        <f>IF(OR($AE1526="",$AF1526=""),"",IF(ISNUMBER(Sync!$P1526),INT(MOD(Sync!$P1526,10000)/100),IFERROR(VALUE(TRIM(LEFT(MID(Sync!$P1526,FIND("/",Sync!$P1526)+1,20),FIND("/",MID(Sync!$P1526,FIND("/",Sync!$P1526)+1,20))-1))),"")))</f>
        <v/>
      </c>
      <c r="AH1526">
        <f>IF(OR($AE1526="",$AF1526=""),"",IF(ISNUMBER(Sync!$P1526),MOD(Sync!$P1526,100),IFERROR(VALUE(TRIM(MID(MID(Sync!$P1526,FIND("/",Sync!$P1526)+1,20),FIND("/",MID(Sync!$P1526,FIND("/",Sync!$P1526)+1,20))+1,20))),"")))</f>
        <v/>
      </c>
      <c r="AI1526">
        <f>IF($AE1526="","",IF(OR($AF1526="",$AG1526="",$AH1526="",$AF1526&lt;1300,$AF1526&gt;1500,$AG1526&lt;1,$AG1526&gt;12,$AH1526&lt;1,$AH1526&gt;31),"نامعتبر",RIGHT("0000"&amp;$AF1526,4)&amp;"/"&amp;RIGHT("00"&amp;$AG1526,2)&amp;"/"&amp;RIGHT("00"&amp;$AH1526,2)))</f>
        <v/>
      </c>
      <c r="AJ1526">
        <f>IF($AE1526="","",IF(Sync!$Q1526="","0000",IF(AND(ISNUMBER(Sync!$Q1526),Sync!$Q1526&gt;=0,Sync!$Q1526&lt;1),RIGHT("00"&amp;HOUR(Sync!$Q1526),2)&amp;RIGHT("00"&amp;MINUTE(Sync!$Q1526),2),IFERROR(RIGHT("00"&amp;VALUE(LEFT(Sync!$Q1526,FIND(":",Sync!$Q1526)-1)),2)&amp;RIGHT("00"&amp;VALUE(MID(Sync!$Q1526,FIND(":",Sync!$Q1526)+1,2)),2),"0000"))))</f>
        <v/>
      </c>
      <c r="AK1526">
        <f>IF(OR($AE1526="",$AI1526="",$AI1526="نامعتبر"),"",LEFT($AI1526,4)&amp;MID($AI1526,6,2)&amp;RIGHT($AI1526,2)&amp;$AJ1526&amp;"|"&amp;"3"&amp;RIGHT("00000"&amp;1521,5))</f>
        <v/>
      </c>
      <c r="AL1526">
        <f>IF($AK1526="","",COUNTIFS(LdAParty,$AE1526,LdAType,1,LdAKey,"&lt;"&amp;$AK1526)+COUNTIFS(LdBMember,$AE1526,LdBKey,"&lt;"&amp;$AK1526)+COUNTIFS(LdCParty,$AE1526,LdCKey,"&lt;"&amp;$AK1526)+1)</f>
        <v/>
      </c>
      <c r="AM1526">
        <f>IF($AL1526="","",$AE1526&amp;"|"&amp;RIGHT("000000"&amp;$AL1526,6))</f>
        <v/>
      </c>
      <c r="AN1526">
        <f>IF($AE1526="","",IF(Sync!$W1526="",0,Sync!$W1526))</f>
        <v/>
      </c>
      <c r="AO1526">
        <f>IF($AE1526="","",IF(Sync!$X1526="",0,Sync!$X1526))</f>
        <v/>
      </c>
      <c r="AP1526">
        <f>IF($AE1526="","",Sync!$R1526)</f>
        <v/>
      </c>
      <c r="AQ1526">
        <f>IF($AE1526="","",Sync!$Y1526)</f>
        <v/>
      </c>
    </row>
    <row r="1527">
      <c r="A1527">
        <f>IF(OR(Wages!$B1530="",Wages!$E1530=""),"",Wages!$E1530)</f>
        <v/>
      </c>
      <c r="B1527">
        <f>IF($A1527="","",IF(Wages!$C1530="دستمزد گروهی",2,1))</f>
        <v/>
      </c>
      <c r="C1527">
        <f>IF($A1527="","",IF(ISNUMBER(Wages!$B1530),IF(AND(Wages!$B1530&gt;=10000101,Wages!$B1530&lt;=99991231),INT(Wages!$B1530/10000),""),IFERROR(VALUE(TRIM(LEFT(Wages!$B1530,FIND("/",Wages!$B1530)-1))),"")))</f>
        <v/>
      </c>
      <c r="D1527">
        <f>IF(OR($A1527="",$C1527=""),"",IF(ISNUMBER(Wages!$B1530),INT(MOD(Wages!$B1530,10000)/100),IFERROR(VALUE(TRIM(LEFT(MID(Wages!$B1530,FIND("/",Wages!$B1530)+1,20),FIND("/",MID(Wages!$B1530,FIND("/",Wages!$B1530)+1,20))-1))),"")))</f>
        <v/>
      </c>
      <c r="E1527">
        <f>IF(OR($A1527="",$C1527=""),"",IF(ISNUMBER(Wages!$B1530),MOD(Wages!$B1530,100),IFERROR(VALUE(TRIM(MID(MID(Wages!$B1530,FIND("/",Wages!$B1530)+1,20),FIND("/",MID(Wages!$B1530,FIND("/",Wages!$B1530)+1,20))+1,20))),"")))</f>
        <v/>
      </c>
      <c r="F1527">
        <f>IF($A1527="","",IF(OR($C1527="",$D1527="",$E1527="",$C1527&lt;1300,$C1527&gt;1500,$D1527&lt;1,$D1527&gt;12,$E1527&lt;1,$E1527&gt;31),"نامعتبر",RIGHT("0000"&amp;$C1527,4)&amp;"/"&amp;RIGHT("00"&amp;$D1527,2)&amp;"/"&amp;RIGHT("00"&amp;$E1527,2)))</f>
        <v/>
      </c>
      <c r="G1527">
        <f>IF(OR($A1527="",$F1527="",$F1527="نامعتبر"),"",LEFT($F1527,4)&amp;MID($F1527,6,2)&amp;RIGHT($F1527,2)&amp;"0000"&amp;"|"&amp;"1"&amp;RIGHT("00000"&amp;1522,5))</f>
        <v/>
      </c>
      <c r="H1527">
        <f>IF(OR($B1527&lt;&gt;1,$G1527=""),"",COUNTIFS(LdAParty,$A1527,LdAType,1,LdAKey,"&lt;"&amp;$G1527)+COUNTIFS(LdBMember,$A1527,LdBKey,"&lt;"&amp;$G1527)+COUNTIFS(LdCParty,$A1527,LdCKey,"&lt;"&amp;$G1527)+1)</f>
        <v/>
      </c>
      <c r="I1527">
        <f>IF($H1527="","",$A1527&amp;"|"&amp;RIGHT("000000"&amp;$H1527,6))</f>
        <v/>
      </c>
      <c r="J1527">
        <f>IF(OR($B1527&lt;&gt;2,$G1527=""),"",COUNTIFS(LdAParty,$A1527,LdAType,2,LdAKey,"&lt;"&amp;$G1527)+1)</f>
        <v/>
      </c>
      <c r="K1527">
        <f>IF($J1527="","",$A1527&amp;"|"&amp;RIGHT("000000"&amp;$J1527,6))</f>
        <v/>
      </c>
      <c r="L1527">
        <f>IF($A1527="","",IF(Wages!$G1530="",0,Wages!$G1530))</f>
        <v/>
      </c>
      <c r="M1527">
        <f>IF($A1527="","",Wages!$J1530)</f>
        <v/>
      </c>
      <c r="N1527">
        <f>IF($A1527="","",Wages!$D1530)</f>
        <v/>
      </c>
      <c r="P1527">
        <f>IF(OR(Shares!$B1530="",Shares!$C1530=""),"",Shares!$C1530)</f>
        <v/>
      </c>
      <c r="Q1527">
        <f>IF($P1527="","",Shares!$B1530)</f>
        <v/>
      </c>
      <c r="R1527">
        <f>IF($P1527="","",IFERROR(INDEX(WageParty,MATCH($Q1527,WageIds,0)),""))</f>
        <v/>
      </c>
      <c r="S1527">
        <f>IF($P1527="","",IFERROR(INDEX($F$6:$F$2005,MATCH($Q1527,WageIds,0)),""))</f>
        <v/>
      </c>
      <c r="T1527">
        <f>IF(OR($P1527="",$S1527="",$S1527="نامعتبر"),"",LEFT($S1527,4)&amp;MID($S1527,6,2)&amp;RIGHT($S1527,2)&amp;"0000"&amp;"|"&amp;"2"&amp;RIGHT("00000"&amp;1522,5))</f>
        <v/>
      </c>
      <c r="U1527">
        <f>IF($T1527="","",COUNTIFS(LdAParty,$P1527,LdAType,1,LdAKey,"&lt;"&amp;$T1527)+COUNTIFS(LdBMember,$P1527,LdBKey,"&lt;"&amp;$T1527)+COUNTIFS(LdCParty,$P1527,LdCKey,"&lt;"&amp;$T1527)+1)</f>
        <v/>
      </c>
      <c r="V1527">
        <f>IF($U1527="","",$P1527&amp;"|"&amp;RIGHT("000000"&amp;$U1527,6))</f>
        <v/>
      </c>
      <c r="W1527">
        <f>IF($T1527="","",COUNTIFS(LdBGroup,$R1527,LdBKey,"&lt;"&amp;$T1527)+1)</f>
        <v/>
      </c>
      <c r="X1527">
        <f>IF($W1527="","",$R1527&amp;"|"&amp;RIGHT("000000"&amp;$W1527,6))</f>
        <v/>
      </c>
      <c r="Y1527">
        <f>IF($P1527="","",IF(Shares!$E1530="",0,Shares!$E1530))</f>
        <v/>
      </c>
      <c r="Z1527">
        <f>IF($P1527="","",Shares!$H1530)</f>
        <v/>
      </c>
      <c r="AE1527">
        <f>IF(OR(Sync!$S1527="",Sync!$P1527=""),"",Sync!$S1527)</f>
        <v/>
      </c>
      <c r="AF1527">
        <f>IF($AE1527="","",IF(ISNUMBER(Sync!$P1527),IF(AND(Sync!$P1527&gt;=10000101,Sync!$P1527&lt;=99991231),INT(Sync!$P1527/10000),""),IFERROR(VALUE(TRIM(LEFT(Sync!$P1527,FIND("/",Sync!$P1527)-1))),"")))</f>
        <v/>
      </c>
      <c r="AG1527">
        <f>IF(OR($AE1527="",$AF1527=""),"",IF(ISNUMBER(Sync!$P1527),INT(MOD(Sync!$P1527,10000)/100),IFERROR(VALUE(TRIM(LEFT(MID(Sync!$P1527,FIND("/",Sync!$P1527)+1,20),FIND("/",MID(Sync!$P1527,FIND("/",Sync!$P1527)+1,20))-1))),"")))</f>
        <v/>
      </c>
      <c r="AH1527">
        <f>IF(OR($AE1527="",$AF1527=""),"",IF(ISNUMBER(Sync!$P1527),MOD(Sync!$P1527,100),IFERROR(VALUE(TRIM(MID(MID(Sync!$P1527,FIND("/",Sync!$P1527)+1,20),FIND("/",MID(Sync!$P1527,FIND("/",Sync!$P1527)+1,20))+1,20))),"")))</f>
        <v/>
      </c>
      <c r="AI1527">
        <f>IF($AE1527="","",IF(OR($AF1527="",$AG1527="",$AH1527="",$AF1527&lt;1300,$AF1527&gt;1500,$AG1527&lt;1,$AG1527&gt;12,$AH1527&lt;1,$AH1527&gt;31),"نامعتبر",RIGHT("0000"&amp;$AF1527,4)&amp;"/"&amp;RIGHT("00"&amp;$AG1527,2)&amp;"/"&amp;RIGHT("00"&amp;$AH1527,2)))</f>
        <v/>
      </c>
      <c r="AJ1527">
        <f>IF($AE1527="","",IF(Sync!$Q1527="","0000",IF(AND(ISNUMBER(Sync!$Q1527),Sync!$Q1527&gt;=0,Sync!$Q1527&lt;1),RIGHT("00"&amp;HOUR(Sync!$Q1527),2)&amp;RIGHT("00"&amp;MINUTE(Sync!$Q1527),2),IFERROR(RIGHT("00"&amp;VALUE(LEFT(Sync!$Q1527,FIND(":",Sync!$Q1527)-1)),2)&amp;RIGHT("00"&amp;VALUE(MID(Sync!$Q1527,FIND(":",Sync!$Q1527)+1,2)),2),"0000"))))</f>
        <v/>
      </c>
      <c r="AK1527">
        <f>IF(OR($AE1527="",$AI1527="",$AI1527="نامعتبر"),"",LEFT($AI1527,4)&amp;MID($AI1527,6,2)&amp;RIGHT($AI1527,2)&amp;$AJ1527&amp;"|"&amp;"3"&amp;RIGHT("00000"&amp;1522,5))</f>
        <v/>
      </c>
      <c r="AL1527">
        <f>IF($AK1527="","",COUNTIFS(LdAParty,$AE1527,LdAType,1,LdAKey,"&lt;"&amp;$AK1527)+COUNTIFS(LdBMember,$AE1527,LdBKey,"&lt;"&amp;$AK1527)+COUNTIFS(LdCParty,$AE1527,LdCKey,"&lt;"&amp;$AK1527)+1)</f>
        <v/>
      </c>
      <c r="AM1527">
        <f>IF($AL1527="","",$AE1527&amp;"|"&amp;RIGHT("000000"&amp;$AL1527,6))</f>
        <v/>
      </c>
      <c r="AN1527">
        <f>IF($AE1527="","",IF(Sync!$W1527="",0,Sync!$W1527))</f>
        <v/>
      </c>
      <c r="AO1527">
        <f>IF($AE1527="","",IF(Sync!$X1527="",0,Sync!$X1527))</f>
        <v/>
      </c>
      <c r="AP1527">
        <f>IF($AE1527="","",Sync!$R1527)</f>
        <v/>
      </c>
      <c r="AQ1527">
        <f>IF($AE1527="","",Sync!$Y1527)</f>
        <v/>
      </c>
    </row>
    <row r="1528">
      <c r="A1528">
        <f>IF(OR(Wages!$B1531="",Wages!$E1531=""),"",Wages!$E1531)</f>
        <v/>
      </c>
      <c r="B1528">
        <f>IF($A1528="","",IF(Wages!$C1531="دستمزد گروهی",2,1))</f>
        <v/>
      </c>
      <c r="C1528">
        <f>IF($A1528="","",IF(ISNUMBER(Wages!$B1531),IF(AND(Wages!$B1531&gt;=10000101,Wages!$B1531&lt;=99991231),INT(Wages!$B1531/10000),""),IFERROR(VALUE(TRIM(LEFT(Wages!$B1531,FIND("/",Wages!$B1531)-1))),"")))</f>
        <v/>
      </c>
      <c r="D1528">
        <f>IF(OR($A1528="",$C1528=""),"",IF(ISNUMBER(Wages!$B1531),INT(MOD(Wages!$B1531,10000)/100),IFERROR(VALUE(TRIM(LEFT(MID(Wages!$B1531,FIND("/",Wages!$B1531)+1,20),FIND("/",MID(Wages!$B1531,FIND("/",Wages!$B1531)+1,20))-1))),"")))</f>
        <v/>
      </c>
      <c r="E1528">
        <f>IF(OR($A1528="",$C1528=""),"",IF(ISNUMBER(Wages!$B1531),MOD(Wages!$B1531,100),IFERROR(VALUE(TRIM(MID(MID(Wages!$B1531,FIND("/",Wages!$B1531)+1,20),FIND("/",MID(Wages!$B1531,FIND("/",Wages!$B1531)+1,20))+1,20))),"")))</f>
        <v/>
      </c>
      <c r="F1528">
        <f>IF($A1528="","",IF(OR($C1528="",$D1528="",$E1528="",$C1528&lt;1300,$C1528&gt;1500,$D1528&lt;1,$D1528&gt;12,$E1528&lt;1,$E1528&gt;31),"نامعتبر",RIGHT("0000"&amp;$C1528,4)&amp;"/"&amp;RIGHT("00"&amp;$D1528,2)&amp;"/"&amp;RIGHT("00"&amp;$E1528,2)))</f>
        <v/>
      </c>
      <c r="G1528">
        <f>IF(OR($A1528="",$F1528="",$F1528="نامعتبر"),"",LEFT($F1528,4)&amp;MID($F1528,6,2)&amp;RIGHT($F1528,2)&amp;"0000"&amp;"|"&amp;"1"&amp;RIGHT("00000"&amp;1523,5))</f>
        <v/>
      </c>
      <c r="H1528">
        <f>IF(OR($B1528&lt;&gt;1,$G1528=""),"",COUNTIFS(LdAParty,$A1528,LdAType,1,LdAKey,"&lt;"&amp;$G1528)+COUNTIFS(LdBMember,$A1528,LdBKey,"&lt;"&amp;$G1528)+COUNTIFS(LdCParty,$A1528,LdCKey,"&lt;"&amp;$G1528)+1)</f>
        <v/>
      </c>
      <c r="I1528">
        <f>IF($H1528="","",$A1528&amp;"|"&amp;RIGHT("000000"&amp;$H1528,6))</f>
        <v/>
      </c>
      <c r="J1528">
        <f>IF(OR($B1528&lt;&gt;2,$G1528=""),"",COUNTIFS(LdAParty,$A1528,LdAType,2,LdAKey,"&lt;"&amp;$G1528)+1)</f>
        <v/>
      </c>
      <c r="K1528">
        <f>IF($J1528="","",$A1528&amp;"|"&amp;RIGHT("000000"&amp;$J1528,6))</f>
        <v/>
      </c>
      <c r="L1528">
        <f>IF($A1528="","",IF(Wages!$G1531="",0,Wages!$G1531))</f>
        <v/>
      </c>
      <c r="M1528">
        <f>IF($A1528="","",Wages!$J1531)</f>
        <v/>
      </c>
      <c r="N1528">
        <f>IF($A1528="","",Wages!$D1531)</f>
        <v/>
      </c>
      <c r="P1528">
        <f>IF(OR(Shares!$B1531="",Shares!$C1531=""),"",Shares!$C1531)</f>
        <v/>
      </c>
      <c r="Q1528">
        <f>IF($P1528="","",Shares!$B1531)</f>
        <v/>
      </c>
      <c r="R1528">
        <f>IF($P1528="","",IFERROR(INDEX(WageParty,MATCH($Q1528,WageIds,0)),""))</f>
        <v/>
      </c>
      <c r="S1528">
        <f>IF($P1528="","",IFERROR(INDEX($F$6:$F$2005,MATCH($Q1528,WageIds,0)),""))</f>
        <v/>
      </c>
      <c r="T1528">
        <f>IF(OR($P1528="",$S1528="",$S1528="نامعتبر"),"",LEFT($S1528,4)&amp;MID($S1528,6,2)&amp;RIGHT($S1528,2)&amp;"0000"&amp;"|"&amp;"2"&amp;RIGHT("00000"&amp;1523,5))</f>
        <v/>
      </c>
      <c r="U1528">
        <f>IF($T1528="","",COUNTIFS(LdAParty,$P1528,LdAType,1,LdAKey,"&lt;"&amp;$T1528)+COUNTIFS(LdBMember,$P1528,LdBKey,"&lt;"&amp;$T1528)+COUNTIFS(LdCParty,$P1528,LdCKey,"&lt;"&amp;$T1528)+1)</f>
        <v/>
      </c>
      <c r="V1528">
        <f>IF($U1528="","",$P1528&amp;"|"&amp;RIGHT("000000"&amp;$U1528,6))</f>
        <v/>
      </c>
      <c r="W1528">
        <f>IF($T1528="","",COUNTIFS(LdBGroup,$R1528,LdBKey,"&lt;"&amp;$T1528)+1)</f>
        <v/>
      </c>
      <c r="X1528">
        <f>IF($W1528="","",$R1528&amp;"|"&amp;RIGHT("000000"&amp;$W1528,6))</f>
        <v/>
      </c>
      <c r="Y1528">
        <f>IF($P1528="","",IF(Shares!$E1531="",0,Shares!$E1531))</f>
        <v/>
      </c>
      <c r="Z1528">
        <f>IF($P1528="","",Shares!$H1531)</f>
        <v/>
      </c>
      <c r="AE1528">
        <f>IF(OR(Sync!$S1528="",Sync!$P1528=""),"",Sync!$S1528)</f>
        <v/>
      </c>
      <c r="AF1528">
        <f>IF($AE1528="","",IF(ISNUMBER(Sync!$P1528),IF(AND(Sync!$P1528&gt;=10000101,Sync!$P1528&lt;=99991231),INT(Sync!$P1528/10000),""),IFERROR(VALUE(TRIM(LEFT(Sync!$P1528,FIND("/",Sync!$P1528)-1))),"")))</f>
        <v/>
      </c>
      <c r="AG1528">
        <f>IF(OR($AE1528="",$AF1528=""),"",IF(ISNUMBER(Sync!$P1528),INT(MOD(Sync!$P1528,10000)/100),IFERROR(VALUE(TRIM(LEFT(MID(Sync!$P1528,FIND("/",Sync!$P1528)+1,20),FIND("/",MID(Sync!$P1528,FIND("/",Sync!$P1528)+1,20))-1))),"")))</f>
        <v/>
      </c>
      <c r="AH1528">
        <f>IF(OR($AE1528="",$AF1528=""),"",IF(ISNUMBER(Sync!$P1528),MOD(Sync!$P1528,100),IFERROR(VALUE(TRIM(MID(MID(Sync!$P1528,FIND("/",Sync!$P1528)+1,20),FIND("/",MID(Sync!$P1528,FIND("/",Sync!$P1528)+1,20))+1,20))),"")))</f>
        <v/>
      </c>
      <c r="AI1528">
        <f>IF($AE1528="","",IF(OR($AF1528="",$AG1528="",$AH1528="",$AF1528&lt;1300,$AF1528&gt;1500,$AG1528&lt;1,$AG1528&gt;12,$AH1528&lt;1,$AH1528&gt;31),"نامعتبر",RIGHT("0000"&amp;$AF1528,4)&amp;"/"&amp;RIGHT("00"&amp;$AG1528,2)&amp;"/"&amp;RIGHT("00"&amp;$AH1528,2)))</f>
        <v/>
      </c>
      <c r="AJ1528">
        <f>IF($AE1528="","",IF(Sync!$Q1528="","0000",IF(AND(ISNUMBER(Sync!$Q1528),Sync!$Q1528&gt;=0,Sync!$Q1528&lt;1),RIGHT("00"&amp;HOUR(Sync!$Q1528),2)&amp;RIGHT("00"&amp;MINUTE(Sync!$Q1528),2),IFERROR(RIGHT("00"&amp;VALUE(LEFT(Sync!$Q1528,FIND(":",Sync!$Q1528)-1)),2)&amp;RIGHT("00"&amp;VALUE(MID(Sync!$Q1528,FIND(":",Sync!$Q1528)+1,2)),2),"0000"))))</f>
        <v/>
      </c>
      <c r="AK1528">
        <f>IF(OR($AE1528="",$AI1528="",$AI1528="نامعتبر"),"",LEFT($AI1528,4)&amp;MID($AI1528,6,2)&amp;RIGHT($AI1528,2)&amp;$AJ1528&amp;"|"&amp;"3"&amp;RIGHT("00000"&amp;1523,5))</f>
        <v/>
      </c>
      <c r="AL1528">
        <f>IF($AK1528="","",COUNTIFS(LdAParty,$AE1528,LdAType,1,LdAKey,"&lt;"&amp;$AK1528)+COUNTIFS(LdBMember,$AE1528,LdBKey,"&lt;"&amp;$AK1528)+COUNTIFS(LdCParty,$AE1528,LdCKey,"&lt;"&amp;$AK1528)+1)</f>
        <v/>
      </c>
      <c r="AM1528">
        <f>IF($AL1528="","",$AE1528&amp;"|"&amp;RIGHT("000000"&amp;$AL1528,6))</f>
        <v/>
      </c>
      <c r="AN1528">
        <f>IF($AE1528="","",IF(Sync!$W1528="",0,Sync!$W1528))</f>
        <v/>
      </c>
      <c r="AO1528">
        <f>IF($AE1528="","",IF(Sync!$X1528="",0,Sync!$X1528))</f>
        <v/>
      </c>
      <c r="AP1528">
        <f>IF($AE1528="","",Sync!$R1528)</f>
        <v/>
      </c>
      <c r="AQ1528">
        <f>IF($AE1528="","",Sync!$Y1528)</f>
        <v/>
      </c>
    </row>
    <row r="1529">
      <c r="A1529">
        <f>IF(OR(Wages!$B1532="",Wages!$E1532=""),"",Wages!$E1532)</f>
        <v/>
      </c>
      <c r="B1529">
        <f>IF($A1529="","",IF(Wages!$C1532="دستمزد گروهی",2,1))</f>
        <v/>
      </c>
      <c r="C1529">
        <f>IF($A1529="","",IF(ISNUMBER(Wages!$B1532),IF(AND(Wages!$B1532&gt;=10000101,Wages!$B1532&lt;=99991231),INT(Wages!$B1532/10000),""),IFERROR(VALUE(TRIM(LEFT(Wages!$B1532,FIND("/",Wages!$B1532)-1))),"")))</f>
        <v/>
      </c>
      <c r="D1529">
        <f>IF(OR($A1529="",$C1529=""),"",IF(ISNUMBER(Wages!$B1532),INT(MOD(Wages!$B1532,10000)/100),IFERROR(VALUE(TRIM(LEFT(MID(Wages!$B1532,FIND("/",Wages!$B1532)+1,20),FIND("/",MID(Wages!$B1532,FIND("/",Wages!$B1532)+1,20))-1))),"")))</f>
        <v/>
      </c>
      <c r="E1529">
        <f>IF(OR($A1529="",$C1529=""),"",IF(ISNUMBER(Wages!$B1532),MOD(Wages!$B1532,100),IFERROR(VALUE(TRIM(MID(MID(Wages!$B1532,FIND("/",Wages!$B1532)+1,20),FIND("/",MID(Wages!$B1532,FIND("/",Wages!$B1532)+1,20))+1,20))),"")))</f>
        <v/>
      </c>
      <c r="F1529">
        <f>IF($A1529="","",IF(OR($C1529="",$D1529="",$E1529="",$C1529&lt;1300,$C1529&gt;1500,$D1529&lt;1,$D1529&gt;12,$E1529&lt;1,$E1529&gt;31),"نامعتبر",RIGHT("0000"&amp;$C1529,4)&amp;"/"&amp;RIGHT("00"&amp;$D1529,2)&amp;"/"&amp;RIGHT("00"&amp;$E1529,2)))</f>
        <v/>
      </c>
      <c r="G1529">
        <f>IF(OR($A1529="",$F1529="",$F1529="نامعتبر"),"",LEFT($F1529,4)&amp;MID($F1529,6,2)&amp;RIGHT($F1529,2)&amp;"0000"&amp;"|"&amp;"1"&amp;RIGHT("00000"&amp;1524,5))</f>
        <v/>
      </c>
      <c r="H1529">
        <f>IF(OR($B1529&lt;&gt;1,$G1529=""),"",COUNTIFS(LdAParty,$A1529,LdAType,1,LdAKey,"&lt;"&amp;$G1529)+COUNTIFS(LdBMember,$A1529,LdBKey,"&lt;"&amp;$G1529)+COUNTIFS(LdCParty,$A1529,LdCKey,"&lt;"&amp;$G1529)+1)</f>
        <v/>
      </c>
      <c r="I1529">
        <f>IF($H1529="","",$A1529&amp;"|"&amp;RIGHT("000000"&amp;$H1529,6))</f>
        <v/>
      </c>
      <c r="J1529">
        <f>IF(OR($B1529&lt;&gt;2,$G1529=""),"",COUNTIFS(LdAParty,$A1529,LdAType,2,LdAKey,"&lt;"&amp;$G1529)+1)</f>
        <v/>
      </c>
      <c r="K1529">
        <f>IF($J1529="","",$A1529&amp;"|"&amp;RIGHT("000000"&amp;$J1529,6))</f>
        <v/>
      </c>
      <c r="L1529">
        <f>IF($A1529="","",IF(Wages!$G1532="",0,Wages!$G1532))</f>
        <v/>
      </c>
      <c r="M1529">
        <f>IF($A1529="","",Wages!$J1532)</f>
        <v/>
      </c>
      <c r="N1529">
        <f>IF($A1529="","",Wages!$D1532)</f>
        <v/>
      </c>
      <c r="P1529">
        <f>IF(OR(Shares!$B1532="",Shares!$C1532=""),"",Shares!$C1532)</f>
        <v/>
      </c>
      <c r="Q1529">
        <f>IF($P1529="","",Shares!$B1532)</f>
        <v/>
      </c>
      <c r="R1529">
        <f>IF($P1529="","",IFERROR(INDEX(WageParty,MATCH($Q1529,WageIds,0)),""))</f>
        <v/>
      </c>
      <c r="S1529">
        <f>IF($P1529="","",IFERROR(INDEX($F$6:$F$2005,MATCH($Q1529,WageIds,0)),""))</f>
        <v/>
      </c>
      <c r="T1529">
        <f>IF(OR($P1529="",$S1529="",$S1529="نامعتبر"),"",LEFT($S1529,4)&amp;MID($S1529,6,2)&amp;RIGHT($S1529,2)&amp;"0000"&amp;"|"&amp;"2"&amp;RIGHT("00000"&amp;1524,5))</f>
        <v/>
      </c>
      <c r="U1529">
        <f>IF($T1529="","",COUNTIFS(LdAParty,$P1529,LdAType,1,LdAKey,"&lt;"&amp;$T1529)+COUNTIFS(LdBMember,$P1529,LdBKey,"&lt;"&amp;$T1529)+COUNTIFS(LdCParty,$P1529,LdCKey,"&lt;"&amp;$T1529)+1)</f>
        <v/>
      </c>
      <c r="V1529">
        <f>IF($U1529="","",$P1529&amp;"|"&amp;RIGHT("000000"&amp;$U1529,6))</f>
        <v/>
      </c>
      <c r="W1529">
        <f>IF($T1529="","",COUNTIFS(LdBGroup,$R1529,LdBKey,"&lt;"&amp;$T1529)+1)</f>
        <v/>
      </c>
      <c r="X1529">
        <f>IF($W1529="","",$R1529&amp;"|"&amp;RIGHT("000000"&amp;$W1529,6))</f>
        <v/>
      </c>
      <c r="Y1529">
        <f>IF($P1529="","",IF(Shares!$E1532="",0,Shares!$E1532))</f>
        <v/>
      </c>
      <c r="Z1529">
        <f>IF($P1529="","",Shares!$H1532)</f>
        <v/>
      </c>
      <c r="AE1529">
        <f>IF(OR(Sync!$S1529="",Sync!$P1529=""),"",Sync!$S1529)</f>
        <v/>
      </c>
      <c r="AF1529">
        <f>IF($AE1529="","",IF(ISNUMBER(Sync!$P1529),IF(AND(Sync!$P1529&gt;=10000101,Sync!$P1529&lt;=99991231),INT(Sync!$P1529/10000),""),IFERROR(VALUE(TRIM(LEFT(Sync!$P1529,FIND("/",Sync!$P1529)-1))),"")))</f>
        <v/>
      </c>
      <c r="AG1529">
        <f>IF(OR($AE1529="",$AF1529=""),"",IF(ISNUMBER(Sync!$P1529),INT(MOD(Sync!$P1529,10000)/100),IFERROR(VALUE(TRIM(LEFT(MID(Sync!$P1529,FIND("/",Sync!$P1529)+1,20),FIND("/",MID(Sync!$P1529,FIND("/",Sync!$P1529)+1,20))-1))),"")))</f>
        <v/>
      </c>
      <c r="AH1529">
        <f>IF(OR($AE1529="",$AF1529=""),"",IF(ISNUMBER(Sync!$P1529),MOD(Sync!$P1529,100),IFERROR(VALUE(TRIM(MID(MID(Sync!$P1529,FIND("/",Sync!$P1529)+1,20),FIND("/",MID(Sync!$P1529,FIND("/",Sync!$P1529)+1,20))+1,20))),"")))</f>
        <v/>
      </c>
      <c r="AI1529">
        <f>IF($AE1529="","",IF(OR($AF1529="",$AG1529="",$AH1529="",$AF1529&lt;1300,$AF1529&gt;1500,$AG1529&lt;1,$AG1529&gt;12,$AH1529&lt;1,$AH1529&gt;31),"نامعتبر",RIGHT("0000"&amp;$AF1529,4)&amp;"/"&amp;RIGHT("00"&amp;$AG1529,2)&amp;"/"&amp;RIGHT("00"&amp;$AH1529,2)))</f>
        <v/>
      </c>
      <c r="AJ1529">
        <f>IF($AE1529="","",IF(Sync!$Q1529="","0000",IF(AND(ISNUMBER(Sync!$Q1529),Sync!$Q1529&gt;=0,Sync!$Q1529&lt;1),RIGHT("00"&amp;HOUR(Sync!$Q1529),2)&amp;RIGHT("00"&amp;MINUTE(Sync!$Q1529),2),IFERROR(RIGHT("00"&amp;VALUE(LEFT(Sync!$Q1529,FIND(":",Sync!$Q1529)-1)),2)&amp;RIGHT("00"&amp;VALUE(MID(Sync!$Q1529,FIND(":",Sync!$Q1529)+1,2)),2),"0000"))))</f>
        <v/>
      </c>
      <c r="AK1529">
        <f>IF(OR($AE1529="",$AI1529="",$AI1529="نامعتبر"),"",LEFT($AI1529,4)&amp;MID($AI1529,6,2)&amp;RIGHT($AI1529,2)&amp;$AJ1529&amp;"|"&amp;"3"&amp;RIGHT("00000"&amp;1524,5))</f>
        <v/>
      </c>
      <c r="AL1529">
        <f>IF($AK1529="","",COUNTIFS(LdAParty,$AE1529,LdAType,1,LdAKey,"&lt;"&amp;$AK1529)+COUNTIFS(LdBMember,$AE1529,LdBKey,"&lt;"&amp;$AK1529)+COUNTIFS(LdCParty,$AE1529,LdCKey,"&lt;"&amp;$AK1529)+1)</f>
        <v/>
      </c>
      <c r="AM1529">
        <f>IF($AL1529="","",$AE1529&amp;"|"&amp;RIGHT("000000"&amp;$AL1529,6))</f>
        <v/>
      </c>
      <c r="AN1529">
        <f>IF($AE1529="","",IF(Sync!$W1529="",0,Sync!$W1529))</f>
        <v/>
      </c>
      <c r="AO1529">
        <f>IF($AE1529="","",IF(Sync!$X1529="",0,Sync!$X1529))</f>
        <v/>
      </c>
      <c r="AP1529">
        <f>IF($AE1529="","",Sync!$R1529)</f>
        <v/>
      </c>
      <c r="AQ1529">
        <f>IF($AE1529="","",Sync!$Y1529)</f>
        <v/>
      </c>
    </row>
    <row r="1530">
      <c r="A1530">
        <f>IF(OR(Wages!$B1533="",Wages!$E1533=""),"",Wages!$E1533)</f>
        <v/>
      </c>
      <c r="B1530">
        <f>IF($A1530="","",IF(Wages!$C1533="دستمزد گروهی",2,1))</f>
        <v/>
      </c>
      <c r="C1530">
        <f>IF($A1530="","",IF(ISNUMBER(Wages!$B1533),IF(AND(Wages!$B1533&gt;=10000101,Wages!$B1533&lt;=99991231),INT(Wages!$B1533/10000),""),IFERROR(VALUE(TRIM(LEFT(Wages!$B1533,FIND("/",Wages!$B1533)-1))),"")))</f>
        <v/>
      </c>
      <c r="D1530">
        <f>IF(OR($A1530="",$C1530=""),"",IF(ISNUMBER(Wages!$B1533),INT(MOD(Wages!$B1533,10000)/100),IFERROR(VALUE(TRIM(LEFT(MID(Wages!$B1533,FIND("/",Wages!$B1533)+1,20),FIND("/",MID(Wages!$B1533,FIND("/",Wages!$B1533)+1,20))-1))),"")))</f>
        <v/>
      </c>
      <c r="E1530">
        <f>IF(OR($A1530="",$C1530=""),"",IF(ISNUMBER(Wages!$B1533),MOD(Wages!$B1533,100),IFERROR(VALUE(TRIM(MID(MID(Wages!$B1533,FIND("/",Wages!$B1533)+1,20),FIND("/",MID(Wages!$B1533,FIND("/",Wages!$B1533)+1,20))+1,20))),"")))</f>
        <v/>
      </c>
      <c r="F1530">
        <f>IF($A1530="","",IF(OR($C1530="",$D1530="",$E1530="",$C1530&lt;1300,$C1530&gt;1500,$D1530&lt;1,$D1530&gt;12,$E1530&lt;1,$E1530&gt;31),"نامعتبر",RIGHT("0000"&amp;$C1530,4)&amp;"/"&amp;RIGHT("00"&amp;$D1530,2)&amp;"/"&amp;RIGHT("00"&amp;$E1530,2)))</f>
        <v/>
      </c>
      <c r="G1530">
        <f>IF(OR($A1530="",$F1530="",$F1530="نامعتبر"),"",LEFT($F1530,4)&amp;MID($F1530,6,2)&amp;RIGHT($F1530,2)&amp;"0000"&amp;"|"&amp;"1"&amp;RIGHT("00000"&amp;1525,5))</f>
        <v/>
      </c>
      <c r="H1530">
        <f>IF(OR($B1530&lt;&gt;1,$G1530=""),"",COUNTIFS(LdAParty,$A1530,LdAType,1,LdAKey,"&lt;"&amp;$G1530)+COUNTIFS(LdBMember,$A1530,LdBKey,"&lt;"&amp;$G1530)+COUNTIFS(LdCParty,$A1530,LdCKey,"&lt;"&amp;$G1530)+1)</f>
        <v/>
      </c>
      <c r="I1530">
        <f>IF($H1530="","",$A1530&amp;"|"&amp;RIGHT("000000"&amp;$H1530,6))</f>
        <v/>
      </c>
      <c r="J1530">
        <f>IF(OR($B1530&lt;&gt;2,$G1530=""),"",COUNTIFS(LdAParty,$A1530,LdAType,2,LdAKey,"&lt;"&amp;$G1530)+1)</f>
        <v/>
      </c>
      <c r="K1530">
        <f>IF($J1530="","",$A1530&amp;"|"&amp;RIGHT("000000"&amp;$J1530,6))</f>
        <v/>
      </c>
      <c r="L1530">
        <f>IF($A1530="","",IF(Wages!$G1533="",0,Wages!$G1533))</f>
        <v/>
      </c>
      <c r="M1530">
        <f>IF($A1530="","",Wages!$J1533)</f>
        <v/>
      </c>
      <c r="N1530">
        <f>IF($A1530="","",Wages!$D1533)</f>
        <v/>
      </c>
      <c r="P1530">
        <f>IF(OR(Shares!$B1533="",Shares!$C1533=""),"",Shares!$C1533)</f>
        <v/>
      </c>
      <c r="Q1530">
        <f>IF($P1530="","",Shares!$B1533)</f>
        <v/>
      </c>
      <c r="R1530">
        <f>IF($P1530="","",IFERROR(INDEX(WageParty,MATCH($Q1530,WageIds,0)),""))</f>
        <v/>
      </c>
      <c r="S1530">
        <f>IF($P1530="","",IFERROR(INDEX($F$6:$F$2005,MATCH($Q1530,WageIds,0)),""))</f>
        <v/>
      </c>
      <c r="T1530">
        <f>IF(OR($P1530="",$S1530="",$S1530="نامعتبر"),"",LEFT($S1530,4)&amp;MID($S1530,6,2)&amp;RIGHT($S1530,2)&amp;"0000"&amp;"|"&amp;"2"&amp;RIGHT("00000"&amp;1525,5))</f>
        <v/>
      </c>
      <c r="U1530">
        <f>IF($T1530="","",COUNTIFS(LdAParty,$P1530,LdAType,1,LdAKey,"&lt;"&amp;$T1530)+COUNTIFS(LdBMember,$P1530,LdBKey,"&lt;"&amp;$T1530)+COUNTIFS(LdCParty,$P1530,LdCKey,"&lt;"&amp;$T1530)+1)</f>
        <v/>
      </c>
      <c r="V1530">
        <f>IF($U1530="","",$P1530&amp;"|"&amp;RIGHT("000000"&amp;$U1530,6))</f>
        <v/>
      </c>
      <c r="W1530">
        <f>IF($T1530="","",COUNTIFS(LdBGroup,$R1530,LdBKey,"&lt;"&amp;$T1530)+1)</f>
        <v/>
      </c>
      <c r="X1530">
        <f>IF($W1530="","",$R1530&amp;"|"&amp;RIGHT("000000"&amp;$W1530,6))</f>
        <v/>
      </c>
      <c r="Y1530">
        <f>IF($P1530="","",IF(Shares!$E1533="",0,Shares!$E1533))</f>
        <v/>
      </c>
      <c r="Z1530">
        <f>IF($P1530="","",Shares!$H1533)</f>
        <v/>
      </c>
      <c r="AE1530">
        <f>IF(OR(Sync!$S1530="",Sync!$P1530=""),"",Sync!$S1530)</f>
        <v/>
      </c>
      <c r="AF1530">
        <f>IF($AE1530="","",IF(ISNUMBER(Sync!$P1530),IF(AND(Sync!$P1530&gt;=10000101,Sync!$P1530&lt;=99991231),INT(Sync!$P1530/10000),""),IFERROR(VALUE(TRIM(LEFT(Sync!$P1530,FIND("/",Sync!$P1530)-1))),"")))</f>
        <v/>
      </c>
      <c r="AG1530">
        <f>IF(OR($AE1530="",$AF1530=""),"",IF(ISNUMBER(Sync!$P1530),INT(MOD(Sync!$P1530,10000)/100),IFERROR(VALUE(TRIM(LEFT(MID(Sync!$P1530,FIND("/",Sync!$P1530)+1,20),FIND("/",MID(Sync!$P1530,FIND("/",Sync!$P1530)+1,20))-1))),"")))</f>
        <v/>
      </c>
      <c r="AH1530">
        <f>IF(OR($AE1530="",$AF1530=""),"",IF(ISNUMBER(Sync!$P1530),MOD(Sync!$P1530,100),IFERROR(VALUE(TRIM(MID(MID(Sync!$P1530,FIND("/",Sync!$P1530)+1,20),FIND("/",MID(Sync!$P1530,FIND("/",Sync!$P1530)+1,20))+1,20))),"")))</f>
        <v/>
      </c>
      <c r="AI1530">
        <f>IF($AE1530="","",IF(OR($AF1530="",$AG1530="",$AH1530="",$AF1530&lt;1300,$AF1530&gt;1500,$AG1530&lt;1,$AG1530&gt;12,$AH1530&lt;1,$AH1530&gt;31),"نامعتبر",RIGHT("0000"&amp;$AF1530,4)&amp;"/"&amp;RIGHT("00"&amp;$AG1530,2)&amp;"/"&amp;RIGHT("00"&amp;$AH1530,2)))</f>
        <v/>
      </c>
      <c r="AJ1530">
        <f>IF($AE1530="","",IF(Sync!$Q1530="","0000",IF(AND(ISNUMBER(Sync!$Q1530),Sync!$Q1530&gt;=0,Sync!$Q1530&lt;1),RIGHT("00"&amp;HOUR(Sync!$Q1530),2)&amp;RIGHT("00"&amp;MINUTE(Sync!$Q1530),2),IFERROR(RIGHT("00"&amp;VALUE(LEFT(Sync!$Q1530,FIND(":",Sync!$Q1530)-1)),2)&amp;RIGHT("00"&amp;VALUE(MID(Sync!$Q1530,FIND(":",Sync!$Q1530)+1,2)),2),"0000"))))</f>
        <v/>
      </c>
      <c r="AK1530">
        <f>IF(OR($AE1530="",$AI1530="",$AI1530="نامعتبر"),"",LEFT($AI1530,4)&amp;MID($AI1530,6,2)&amp;RIGHT($AI1530,2)&amp;$AJ1530&amp;"|"&amp;"3"&amp;RIGHT("00000"&amp;1525,5))</f>
        <v/>
      </c>
      <c r="AL1530">
        <f>IF($AK1530="","",COUNTIFS(LdAParty,$AE1530,LdAType,1,LdAKey,"&lt;"&amp;$AK1530)+COUNTIFS(LdBMember,$AE1530,LdBKey,"&lt;"&amp;$AK1530)+COUNTIFS(LdCParty,$AE1530,LdCKey,"&lt;"&amp;$AK1530)+1)</f>
        <v/>
      </c>
      <c r="AM1530">
        <f>IF($AL1530="","",$AE1530&amp;"|"&amp;RIGHT("000000"&amp;$AL1530,6))</f>
        <v/>
      </c>
      <c r="AN1530">
        <f>IF($AE1530="","",IF(Sync!$W1530="",0,Sync!$W1530))</f>
        <v/>
      </c>
      <c r="AO1530">
        <f>IF($AE1530="","",IF(Sync!$X1530="",0,Sync!$X1530))</f>
        <v/>
      </c>
      <c r="AP1530">
        <f>IF($AE1530="","",Sync!$R1530)</f>
        <v/>
      </c>
      <c r="AQ1530">
        <f>IF($AE1530="","",Sync!$Y1530)</f>
        <v/>
      </c>
    </row>
    <row r="1531">
      <c r="A1531">
        <f>IF(OR(Wages!$B1534="",Wages!$E1534=""),"",Wages!$E1534)</f>
        <v/>
      </c>
      <c r="B1531">
        <f>IF($A1531="","",IF(Wages!$C1534="دستمزد گروهی",2,1))</f>
        <v/>
      </c>
      <c r="C1531">
        <f>IF($A1531="","",IF(ISNUMBER(Wages!$B1534),IF(AND(Wages!$B1534&gt;=10000101,Wages!$B1534&lt;=99991231),INT(Wages!$B1534/10000),""),IFERROR(VALUE(TRIM(LEFT(Wages!$B1534,FIND("/",Wages!$B1534)-1))),"")))</f>
        <v/>
      </c>
      <c r="D1531">
        <f>IF(OR($A1531="",$C1531=""),"",IF(ISNUMBER(Wages!$B1534),INT(MOD(Wages!$B1534,10000)/100),IFERROR(VALUE(TRIM(LEFT(MID(Wages!$B1534,FIND("/",Wages!$B1534)+1,20),FIND("/",MID(Wages!$B1534,FIND("/",Wages!$B1534)+1,20))-1))),"")))</f>
        <v/>
      </c>
      <c r="E1531">
        <f>IF(OR($A1531="",$C1531=""),"",IF(ISNUMBER(Wages!$B1534),MOD(Wages!$B1534,100),IFERROR(VALUE(TRIM(MID(MID(Wages!$B1534,FIND("/",Wages!$B1534)+1,20),FIND("/",MID(Wages!$B1534,FIND("/",Wages!$B1534)+1,20))+1,20))),"")))</f>
        <v/>
      </c>
      <c r="F1531">
        <f>IF($A1531="","",IF(OR($C1531="",$D1531="",$E1531="",$C1531&lt;1300,$C1531&gt;1500,$D1531&lt;1,$D1531&gt;12,$E1531&lt;1,$E1531&gt;31),"نامعتبر",RIGHT("0000"&amp;$C1531,4)&amp;"/"&amp;RIGHT("00"&amp;$D1531,2)&amp;"/"&amp;RIGHT("00"&amp;$E1531,2)))</f>
        <v/>
      </c>
      <c r="G1531">
        <f>IF(OR($A1531="",$F1531="",$F1531="نامعتبر"),"",LEFT($F1531,4)&amp;MID($F1531,6,2)&amp;RIGHT($F1531,2)&amp;"0000"&amp;"|"&amp;"1"&amp;RIGHT("00000"&amp;1526,5))</f>
        <v/>
      </c>
      <c r="H1531">
        <f>IF(OR($B1531&lt;&gt;1,$G1531=""),"",COUNTIFS(LdAParty,$A1531,LdAType,1,LdAKey,"&lt;"&amp;$G1531)+COUNTIFS(LdBMember,$A1531,LdBKey,"&lt;"&amp;$G1531)+COUNTIFS(LdCParty,$A1531,LdCKey,"&lt;"&amp;$G1531)+1)</f>
        <v/>
      </c>
      <c r="I1531">
        <f>IF($H1531="","",$A1531&amp;"|"&amp;RIGHT("000000"&amp;$H1531,6))</f>
        <v/>
      </c>
      <c r="J1531">
        <f>IF(OR($B1531&lt;&gt;2,$G1531=""),"",COUNTIFS(LdAParty,$A1531,LdAType,2,LdAKey,"&lt;"&amp;$G1531)+1)</f>
        <v/>
      </c>
      <c r="K1531">
        <f>IF($J1531="","",$A1531&amp;"|"&amp;RIGHT("000000"&amp;$J1531,6))</f>
        <v/>
      </c>
      <c r="L1531">
        <f>IF($A1531="","",IF(Wages!$G1534="",0,Wages!$G1534))</f>
        <v/>
      </c>
      <c r="M1531">
        <f>IF($A1531="","",Wages!$J1534)</f>
        <v/>
      </c>
      <c r="N1531">
        <f>IF($A1531="","",Wages!$D1534)</f>
        <v/>
      </c>
      <c r="P1531">
        <f>IF(OR(Shares!$B1534="",Shares!$C1534=""),"",Shares!$C1534)</f>
        <v/>
      </c>
      <c r="Q1531">
        <f>IF($P1531="","",Shares!$B1534)</f>
        <v/>
      </c>
      <c r="R1531">
        <f>IF($P1531="","",IFERROR(INDEX(WageParty,MATCH($Q1531,WageIds,0)),""))</f>
        <v/>
      </c>
      <c r="S1531">
        <f>IF($P1531="","",IFERROR(INDEX($F$6:$F$2005,MATCH($Q1531,WageIds,0)),""))</f>
        <v/>
      </c>
      <c r="T1531">
        <f>IF(OR($P1531="",$S1531="",$S1531="نامعتبر"),"",LEFT($S1531,4)&amp;MID($S1531,6,2)&amp;RIGHT($S1531,2)&amp;"0000"&amp;"|"&amp;"2"&amp;RIGHT("00000"&amp;1526,5))</f>
        <v/>
      </c>
      <c r="U1531">
        <f>IF($T1531="","",COUNTIFS(LdAParty,$P1531,LdAType,1,LdAKey,"&lt;"&amp;$T1531)+COUNTIFS(LdBMember,$P1531,LdBKey,"&lt;"&amp;$T1531)+COUNTIFS(LdCParty,$P1531,LdCKey,"&lt;"&amp;$T1531)+1)</f>
        <v/>
      </c>
      <c r="V1531">
        <f>IF($U1531="","",$P1531&amp;"|"&amp;RIGHT("000000"&amp;$U1531,6))</f>
        <v/>
      </c>
      <c r="W1531">
        <f>IF($T1531="","",COUNTIFS(LdBGroup,$R1531,LdBKey,"&lt;"&amp;$T1531)+1)</f>
        <v/>
      </c>
      <c r="X1531">
        <f>IF($W1531="","",$R1531&amp;"|"&amp;RIGHT("000000"&amp;$W1531,6))</f>
        <v/>
      </c>
      <c r="Y1531">
        <f>IF($P1531="","",IF(Shares!$E1534="",0,Shares!$E1534))</f>
        <v/>
      </c>
      <c r="Z1531">
        <f>IF($P1531="","",Shares!$H1534)</f>
        <v/>
      </c>
      <c r="AE1531">
        <f>IF(OR(Sync!$S1531="",Sync!$P1531=""),"",Sync!$S1531)</f>
        <v/>
      </c>
      <c r="AF1531">
        <f>IF($AE1531="","",IF(ISNUMBER(Sync!$P1531),IF(AND(Sync!$P1531&gt;=10000101,Sync!$P1531&lt;=99991231),INT(Sync!$P1531/10000),""),IFERROR(VALUE(TRIM(LEFT(Sync!$P1531,FIND("/",Sync!$P1531)-1))),"")))</f>
        <v/>
      </c>
      <c r="AG1531">
        <f>IF(OR($AE1531="",$AF1531=""),"",IF(ISNUMBER(Sync!$P1531),INT(MOD(Sync!$P1531,10000)/100),IFERROR(VALUE(TRIM(LEFT(MID(Sync!$P1531,FIND("/",Sync!$P1531)+1,20),FIND("/",MID(Sync!$P1531,FIND("/",Sync!$P1531)+1,20))-1))),"")))</f>
        <v/>
      </c>
      <c r="AH1531">
        <f>IF(OR($AE1531="",$AF1531=""),"",IF(ISNUMBER(Sync!$P1531),MOD(Sync!$P1531,100),IFERROR(VALUE(TRIM(MID(MID(Sync!$P1531,FIND("/",Sync!$P1531)+1,20),FIND("/",MID(Sync!$P1531,FIND("/",Sync!$P1531)+1,20))+1,20))),"")))</f>
        <v/>
      </c>
      <c r="AI1531">
        <f>IF($AE1531="","",IF(OR($AF1531="",$AG1531="",$AH1531="",$AF1531&lt;1300,$AF1531&gt;1500,$AG1531&lt;1,$AG1531&gt;12,$AH1531&lt;1,$AH1531&gt;31),"نامعتبر",RIGHT("0000"&amp;$AF1531,4)&amp;"/"&amp;RIGHT("00"&amp;$AG1531,2)&amp;"/"&amp;RIGHT("00"&amp;$AH1531,2)))</f>
        <v/>
      </c>
      <c r="AJ1531">
        <f>IF($AE1531="","",IF(Sync!$Q1531="","0000",IF(AND(ISNUMBER(Sync!$Q1531),Sync!$Q1531&gt;=0,Sync!$Q1531&lt;1),RIGHT("00"&amp;HOUR(Sync!$Q1531),2)&amp;RIGHT("00"&amp;MINUTE(Sync!$Q1531),2),IFERROR(RIGHT("00"&amp;VALUE(LEFT(Sync!$Q1531,FIND(":",Sync!$Q1531)-1)),2)&amp;RIGHT("00"&amp;VALUE(MID(Sync!$Q1531,FIND(":",Sync!$Q1531)+1,2)),2),"0000"))))</f>
        <v/>
      </c>
      <c r="AK1531">
        <f>IF(OR($AE1531="",$AI1531="",$AI1531="نامعتبر"),"",LEFT($AI1531,4)&amp;MID($AI1531,6,2)&amp;RIGHT($AI1531,2)&amp;$AJ1531&amp;"|"&amp;"3"&amp;RIGHT("00000"&amp;1526,5))</f>
        <v/>
      </c>
      <c r="AL1531">
        <f>IF($AK1531="","",COUNTIFS(LdAParty,$AE1531,LdAType,1,LdAKey,"&lt;"&amp;$AK1531)+COUNTIFS(LdBMember,$AE1531,LdBKey,"&lt;"&amp;$AK1531)+COUNTIFS(LdCParty,$AE1531,LdCKey,"&lt;"&amp;$AK1531)+1)</f>
        <v/>
      </c>
      <c r="AM1531">
        <f>IF($AL1531="","",$AE1531&amp;"|"&amp;RIGHT("000000"&amp;$AL1531,6))</f>
        <v/>
      </c>
      <c r="AN1531">
        <f>IF($AE1531="","",IF(Sync!$W1531="",0,Sync!$W1531))</f>
        <v/>
      </c>
      <c r="AO1531">
        <f>IF($AE1531="","",IF(Sync!$X1531="",0,Sync!$X1531))</f>
        <v/>
      </c>
      <c r="AP1531">
        <f>IF($AE1531="","",Sync!$R1531)</f>
        <v/>
      </c>
      <c r="AQ1531">
        <f>IF($AE1531="","",Sync!$Y1531)</f>
        <v/>
      </c>
    </row>
    <row r="1532">
      <c r="A1532">
        <f>IF(OR(Wages!$B1535="",Wages!$E1535=""),"",Wages!$E1535)</f>
        <v/>
      </c>
      <c r="B1532">
        <f>IF($A1532="","",IF(Wages!$C1535="دستمزد گروهی",2,1))</f>
        <v/>
      </c>
      <c r="C1532">
        <f>IF($A1532="","",IF(ISNUMBER(Wages!$B1535),IF(AND(Wages!$B1535&gt;=10000101,Wages!$B1535&lt;=99991231),INT(Wages!$B1535/10000),""),IFERROR(VALUE(TRIM(LEFT(Wages!$B1535,FIND("/",Wages!$B1535)-1))),"")))</f>
        <v/>
      </c>
      <c r="D1532">
        <f>IF(OR($A1532="",$C1532=""),"",IF(ISNUMBER(Wages!$B1535),INT(MOD(Wages!$B1535,10000)/100),IFERROR(VALUE(TRIM(LEFT(MID(Wages!$B1535,FIND("/",Wages!$B1535)+1,20),FIND("/",MID(Wages!$B1535,FIND("/",Wages!$B1535)+1,20))-1))),"")))</f>
        <v/>
      </c>
      <c r="E1532">
        <f>IF(OR($A1532="",$C1532=""),"",IF(ISNUMBER(Wages!$B1535),MOD(Wages!$B1535,100),IFERROR(VALUE(TRIM(MID(MID(Wages!$B1535,FIND("/",Wages!$B1535)+1,20),FIND("/",MID(Wages!$B1535,FIND("/",Wages!$B1535)+1,20))+1,20))),"")))</f>
        <v/>
      </c>
      <c r="F1532">
        <f>IF($A1532="","",IF(OR($C1532="",$D1532="",$E1532="",$C1532&lt;1300,$C1532&gt;1500,$D1532&lt;1,$D1532&gt;12,$E1532&lt;1,$E1532&gt;31),"نامعتبر",RIGHT("0000"&amp;$C1532,4)&amp;"/"&amp;RIGHT("00"&amp;$D1532,2)&amp;"/"&amp;RIGHT("00"&amp;$E1532,2)))</f>
        <v/>
      </c>
      <c r="G1532">
        <f>IF(OR($A1532="",$F1532="",$F1532="نامعتبر"),"",LEFT($F1532,4)&amp;MID($F1532,6,2)&amp;RIGHT($F1532,2)&amp;"0000"&amp;"|"&amp;"1"&amp;RIGHT("00000"&amp;1527,5))</f>
        <v/>
      </c>
      <c r="H1532">
        <f>IF(OR($B1532&lt;&gt;1,$G1532=""),"",COUNTIFS(LdAParty,$A1532,LdAType,1,LdAKey,"&lt;"&amp;$G1532)+COUNTIFS(LdBMember,$A1532,LdBKey,"&lt;"&amp;$G1532)+COUNTIFS(LdCParty,$A1532,LdCKey,"&lt;"&amp;$G1532)+1)</f>
        <v/>
      </c>
      <c r="I1532">
        <f>IF($H1532="","",$A1532&amp;"|"&amp;RIGHT("000000"&amp;$H1532,6))</f>
        <v/>
      </c>
      <c r="J1532">
        <f>IF(OR($B1532&lt;&gt;2,$G1532=""),"",COUNTIFS(LdAParty,$A1532,LdAType,2,LdAKey,"&lt;"&amp;$G1532)+1)</f>
        <v/>
      </c>
      <c r="K1532">
        <f>IF($J1532="","",$A1532&amp;"|"&amp;RIGHT("000000"&amp;$J1532,6))</f>
        <v/>
      </c>
      <c r="L1532">
        <f>IF($A1532="","",IF(Wages!$G1535="",0,Wages!$G1535))</f>
        <v/>
      </c>
      <c r="M1532">
        <f>IF($A1532="","",Wages!$J1535)</f>
        <v/>
      </c>
      <c r="N1532">
        <f>IF($A1532="","",Wages!$D1535)</f>
        <v/>
      </c>
      <c r="P1532">
        <f>IF(OR(Shares!$B1535="",Shares!$C1535=""),"",Shares!$C1535)</f>
        <v/>
      </c>
      <c r="Q1532">
        <f>IF($P1532="","",Shares!$B1535)</f>
        <v/>
      </c>
      <c r="R1532">
        <f>IF($P1532="","",IFERROR(INDEX(WageParty,MATCH($Q1532,WageIds,0)),""))</f>
        <v/>
      </c>
      <c r="S1532">
        <f>IF($P1532="","",IFERROR(INDEX($F$6:$F$2005,MATCH($Q1532,WageIds,0)),""))</f>
        <v/>
      </c>
      <c r="T1532">
        <f>IF(OR($P1532="",$S1532="",$S1532="نامعتبر"),"",LEFT($S1532,4)&amp;MID($S1532,6,2)&amp;RIGHT($S1532,2)&amp;"0000"&amp;"|"&amp;"2"&amp;RIGHT("00000"&amp;1527,5))</f>
        <v/>
      </c>
      <c r="U1532">
        <f>IF($T1532="","",COUNTIFS(LdAParty,$P1532,LdAType,1,LdAKey,"&lt;"&amp;$T1532)+COUNTIFS(LdBMember,$P1532,LdBKey,"&lt;"&amp;$T1532)+COUNTIFS(LdCParty,$P1532,LdCKey,"&lt;"&amp;$T1532)+1)</f>
        <v/>
      </c>
      <c r="V1532">
        <f>IF($U1532="","",$P1532&amp;"|"&amp;RIGHT("000000"&amp;$U1532,6))</f>
        <v/>
      </c>
      <c r="W1532">
        <f>IF($T1532="","",COUNTIFS(LdBGroup,$R1532,LdBKey,"&lt;"&amp;$T1532)+1)</f>
        <v/>
      </c>
      <c r="X1532">
        <f>IF($W1532="","",$R1532&amp;"|"&amp;RIGHT("000000"&amp;$W1532,6))</f>
        <v/>
      </c>
      <c r="Y1532">
        <f>IF($P1532="","",IF(Shares!$E1535="",0,Shares!$E1535))</f>
        <v/>
      </c>
      <c r="Z1532">
        <f>IF($P1532="","",Shares!$H1535)</f>
        <v/>
      </c>
      <c r="AE1532">
        <f>IF(OR(Sync!$S1532="",Sync!$P1532=""),"",Sync!$S1532)</f>
        <v/>
      </c>
      <c r="AF1532">
        <f>IF($AE1532="","",IF(ISNUMBER(Sync!$P1532),IF(AND(Sync!$P1532&gt;=10000101,Sync!$P1532&lt;=99991231),INT(Sync!$P1532/10000),""),IFERROR(VALUE(TRIM(LEFT(Sync!$P1532,FIND("/",Sync!$P1532)-1))),"")))</f>
        <v/>
      </c>
      <c r="AG1532">
        <f>IF(OR($AE1532="",$AF1532=""),"",IF(ISNUMBER(Sync!$P1532),INT(MOD(Sync!$P1532,10000)/100),IFERROR(VALUE(TRIM(LEFT(MID(Sync!$P1532,FIND("/",Sync!$P1532)+1,20),FIND("/",MID(Sync!$P1532,FIND("/",Sync!$P1532)+1,20))-1))),"")))</f>
        <v/>
      </c>
      <c r="AH1532">
        <f>IF(OR($AE1532="",$AF1532=""),"",IF(ISNUMBER(Sync!$P1532),MOD(Sync!$P1532,100),IFERROR(VALUE(TRIM(MID(MID(Sync!$P1532,FIND("/",Sync!$P1532)+1,20),FIND("/",MID(Sync!$P1532,FIND("/",Sync!$P1532)+1,20))+1,20))),"")))</f>
        <v/>
      </c>
      <c r="AI1532">
        <f>IF($AE1532="","",IF(OR($AF1532="",$AG1532="",$AH1532="",$AF1532&lt;1300,$AF1532&gt;1500,$AG1532&lt;1,$AG1532&gt;12,$AH1532&lt;1,$AH1532&gt;31),"نامعتبر",RIGHT("0000"&amp;$AF1532,4)&amp;"/"&amp;RIGHT("00"&amp;$AG1532,2)&amp;"/"&amp;RIGHT("00"&amp;$AH1532,2)))</f>
        <v/>
      </c>
      <c r="AJ1532">
        <f>IF($AE1532="","",IF(Sync!$Q1532="","0000",IF(AND(ISNUMBER(Sync!$Q1532),Sync!$Q1532&gt;=0,Sync!$Q1532&lt;1),RIGHT("00"&amp;HOUR(Sync!$Q1532),2)&amp;RIGHT("00"&amp;MINUTE(Sync!$Q1532),2),IFERROR(RIGHT("00"&amp;VALUE(LEFT(Sync!$Q1532,FIND(":",Sync!$Q1532)-1)),2)&amp;RIGHT("00"&amp;VALUE(MID(Sync!$Q1532,FIND(":",Sync!$Q1532)+1,2)),2),"0000"))))</f>
        <v/>
      </c>
      <c r="AK1532">
        <f>IF(OR($AE1532="",$AI1532="",$AI1532="نامعتبر"),"",LEFT($AI1532,4)&amp;MID($AI1532,6,2)&amp;RIGHT($AI1532,2)&amp;$AJ1532&amp;"|"&amp;"3"&amp;RIGHT("00000"&amp;1527,5))</f>
        <v/>
      </c>
      <c r="AL1532">
        <f>IF($AK1532="","",COUNTIFS(LdAParty,$AE1532,LdAType,1,LdAKey,"&lt;"&amp;$AK1532)+COUNTIFS(LdBMember,$AE1532,LdBKey,"&lt;"&amp;$AK1532)+COUNTIFS(LdCParty,$AE1532,LdCKey,"&lt;"&amp;$AK1532)+1)</f>
        <v/>
      </c>
      <c r="AM1532">
        <f>IF($AL1532="","",$AE1532&amp;"|"&amp;RIGHT("000000"&amp;$AL1532,6))</f>
        <v/>
      </c>
      <c r="AN1532">
        <f>IF($AE1532="","",IF(Sync!$W1532="",0,Sync!$W1532))</f>
        <v/>
      </c>
      <c r="AO1532">
        <f>IF($AE1532="","",IF(Sync!$X1532="",0,Sync!$X1532))</f>
        <v/>
      </c>
      <c r="AP1532">
        <f>IF($AE1532="","",Sync!$R1532)</f>
        <v/>
      </c>
      <c r="AQ1532">
        <f>IF($AE1532="","",Sync!$Y1532)</f>
        <v/>
      </c>
    </row>
    <row r="1533">
      <c r="A1533">
        <f>IF(OR(Wages!$B1536="",Wages!$E1536=""),"",Wages!$E1536)</f>
        <v/>
      </c>
      <c r="B1533">
        <f>IF($A1533="","",IF(Wages!$C1536="دستمزد گروهی",2,1))</f>
        <v/>
      </c>
      <c r="C1533">
        <f>IF($A1533="","",IF(ISNUMBER(Wages!$B1536),IF(AND(Wages!$B1536&gt;=10000101,Wages!$B1536&lt;=99991231),INT(Wages!$B1536/10000),""),IFERROR(VALUE(TRIM(LEFT(Wages!$B1536,FIND("/",Wages!$B1536)-1))),"")))</f>
        <v/>
      </c>
      <c r="D1533">
        <f>IF(OR($A1533="",$C1533=""),"",IF(ISNUMBER(Wages!$B1536),INT(MOD(Wages!$B1536,10000)/100),IFERROR(VALUE(TRIM(LEFT(MID(Wages!$B1536,FIND("/",Wages!$B1536)+1,20),FIND("/",MID(Wages!$B1536,FIND("/",Wages!$B1536)+1,20))-1))),"")))</f>
        <v/>
      </c>
      <c r="E1533">
        <f>IF(OR($A1533="",$C1533=""),"",IF(ISNUMBER(Wages!$B1536),MOD(Wages!$B1536,100),IFERROR(VALUE(TRIM(MID(MID(Wages!$B1536,FIND("/",Wages!$B1536)+1,20),FIND("/",MID(Wages!$B1536,FIND("/",Wages!$B1536)+1,20))+1,20))),"")))</f>
        <v/>
      </c>
      <c r="F1533">
        <f>IF($A1533="","",IF(OR($C1533="",$D1533="",$E1533="",$C1533&lt;1300,$C1533&gt;1500,$D1533&lt;1,$D1533&gt;12,$E1533&lt;1,$E1533&gt;31),"نامعتبر",RIGHT("0000"&amp;$C1533,4)&amp;"/"&amp;RIGHT("00"&amp;$D1533,2)&amp;"/"&amp;RIGHT("00"&amp;$E1533,2)))</f>
        <v/>
      </c>
      <c r="G1533">
        <f>IF(OR($A1533="",$F1533="",$F1533="نامعتبر"),"",LEFT($F1533,4)&amp;MID($F1533,6,2)&amp;RIGHT($F1533,2)&amp;"0000"&amp;"|"&amp;"1"&amp;RIGHT("00000"&amp;1528,5))</f>
        <v/>
      </c>
      <c r="H1533">
        <f>IF(OR($B1533&lt;&gt;1,$G1533=""),"",COUNTIFS(LdAParty,$A1533,LdAType,1,LdAKey,"&lt;"&amp;$G1533)+COUNTIFS(LdBMember,$A1533,LdBKey,"&lt;"&amp;$G1533)+COUNTIFS(LdCParty,$A1533,LdCKey,"&lt;"&amp;$G1533)+1)</f>
        <v/>
      </c>
      <c r="I1533">
        <f>IF($H1533="","",$A1533&amp;"|"&amp;RIGHT("000000"&amp;$H1533,6))</f>
        <v/>
      </c>
      <c r="J1533">
        <f>IF(OR($B1533&lt;&gt;2,$G1533=""),"",COUNTIFS(LdAParty,$A1533,LdAType,2,LdAKey,"&lt;"&amp;$G1533)+1)</f>
        <v/>
      </c>
      <c r="K1533">
        <f>IF($J1533="","",$A1533&amp;"|"&amp;RIGHT("000000"&amp;$J1533,6))</f>
        <v/>
      </c>
      <c r="L1533">
        <f>IF($A1533="","",IF(Wages!$G1536="",0,Wages!$G1536))</f>
        <v/>
      </c>
      <c r="M1533">
        <f>IF($A1533="","",Wages!$J1536)</f>
        <v/>
      </c>
      <c r="N1533">
        <f>IF($A1533="","",Wages!$D1536)</f>
        <v/>
      </c>
      <c r="P1533">
        <f>IF(OR(Shares!$B1536="",Shares!$C1536=""),"",Shares!$C1536)</f>
        <v/>
      </c>
      <c r="Q1533">
        <f>IF($P1533="","",Shares!$B1536)</f>
        <v/>
      </c>
      <c r="R1533">
        <f>IF($P1533="","",IFERROR(INDEX(WageParty,MATCH($Q1533,WageIds,0)),""))</f>
        <v/>
      </c>
      <c r="S1533">
        <f>IF($P1533="","",IFERROR(INDEX($F$6:$F$2005,MATCH($Q1533,WageIds,0)),""))</f>
        <v/>
      </c>
      <c r="T1533">
        <f>IF(OR($P1533="",$S1533="",$S1533="نامعتبر"),"",LEFT($S1533,4)&amp;MID($S1533,6,2)&amp;RIGHT($S1533,2)&amp;"0000"&amp;"|"&amp;"2"&amp;RIGHT("00000"&amp;1528,5))</f>
        <v/>
      </c>
      <c r="U1533">
        <f>IF($T1533="","",COUNTIFS(LdAParty,$P1533,LdAType,1,LdAKey,"&lt;"&amp;$T1533)+COUNTIFS(LdBMember,$P1533,LdBKey,"&lt;"&amp;$T1533)+COUNTIFS(LdCParty,$P1533,LdCKey,"&lt;"&amp;$T1533)+1)</f>
        <v/>
      </c>
      <c r="V1533">
        <f>IF($U1533="","",$P1533&amp;"|"&amp;RIGHT("000000"&amp;$U1533,6))</f>
        <v/>
      </c>
      <c r="W1533">
        <f>IF($T1533="","",COUNTIFS(LdBGroup,$R1533,LdBKey,"&lt;"&amp;$T1533)+1)</f>
        <v/>
      </c>
      <c r="X1533">
        <f>IF($W1533="","",$R1533&amp;"|"&amp;RIGHT("000000"&amp;$W1533,6))</f>
        <v/>
      </c>
      <c r="Y1533">
        <f>IF($P1533="","",IF(Shares!$E1536="",0,Shares!$E1536))</f>
        <v/>
      </c>
      <c r="Z1533">
        <f>IF($P1533="","",Shares!$H1536)</f>
        <v/>
      </c>
      <c r="AE1533">
        <f>IF(OR(Sync!$S1533="",Sync!$P1533=""),"",Sync!$S1533)</f>
        <v/>
      </c>
      <c r="AF1533">
        <f>IF($AE1533="","",IF(ISNUMBER(Sync!$P1533),IF(AND(Sync!$P1533&gt;=10000101,Sync!$P1533&lt;=99991231),INT(Sync!$P1533/10000),""),IFERROR(VALUE(TRIM(LEFT(Sync!$P1533,FIND("/",Sync!$P1533)-1))),"")))</f>
        <v/>
      </c>
      <c r="AG1533">
        <f>IF(OR($AE1533="",$AF1533=""),"",IF(ISNUMBER(Sync!$P1533),INT(MOD(Sync!$P1533,10000)/100),IFERROR(VALUE(TRIM(LEFT(MID(Sync!$P1533,FIND("/",Sync!$P1533)+1,20),FIND("/",MID(Sync!$P1533,FIND("/",Sync!$P1533)+1,20))-1))),"")))</f>
        <v/>
      </c>
      <c r="AH1533">
        <f>IF(OR($AE1533="",$AF1533=""),"",IF(ISNUMBER(Sync!$P1533),MOD(Sync!$P1533,100),IFERROR(VALUE(TRIM(MID(MID(Sync!$P1533,FIND("/",Sync!$P1533)+1,20),FIND("/",MID(Sync!$P1533,FIND("/",Sync!$P1533)+1,20))+1,20))),"")))</f>
        <v/>
      </c>
      <c r="AI1533">
        <f>IF($AE1533="","",IF(OR($AF1533="",$AG1533="",$AH1533="",$AF1533&lt;1300,$AF1533&gt;1500,$AG1533&lt;1,$AG1533&gt;12,$AH1533&lt;1,$AH1533&gt;31),"نامعتبر",RIGHT("0000"&amp;$AF1533,4)&amp;"/"&amp;RIGHT("00"&amp;$AG1533,2)&amp;"/"&amp;RIGHT("00"&amp;$AH1533,2)))</f>
        <v/>
      </c>
      <c r="AJ1533">
        <f>IF($AE1533="","",IF(Sync!$Q1533="","0000",IF(AND(ISNUMBER(Sync!$Q1533),Sync!$Q1533&gt;=0,Sync!$Q1533&lt;1),RIGHT("00"&amp;HOUR(Sync!$Q1533),2)&amp;RIGHT("00"&amp;MINUTE(Sync!$Q1533),2),IFERROR(RIGHT("00"&amp;VALUE(LEFT(Sync!$Q1533,FIND(":",Sync!$Q1533)-1)),2)&amp;RIGHT("00"&amp;VALUE(MID(Sync!$Q1533,FIND(":",Sync!$Q1533)+1,2)),2),"0000"))))</f>
        <v/>
      </c>
      <c r="AK1533">
        <f>IF(OR($AE1533="",$AI1533="",$AI1533="نامعتبر"),"",LEFT($AI1533,4)&amp;MID($AI1533,6,2)&amp;RIGHT($AI1533,2)&amp;$AJ1533&amp;"|"&amp;"3"&amp;RIGHT("00000"&amp;1528,5))</f>
        <v/>
      </c>
      <c r="AL1533">
        <f>IF($AK1533="","",COUNTIFS(LdAParty,$AE1533,LdAType,1,LdAKey,"&lt;"&amp;$AK1533)+COUNTIFS(LdBMember,$AE1533,LdBKey,"&lt;"&amp;$AK1533)+COUNTIFS(LdCParty,$AE1533,LdCKey,"&lt;"&amp;$AK1533)+1)</f>
        <v/>
      </c>
      <c r="AM1533">
        <f>IF($AL1533="","",$AE1533&amp;"|"&amp;RIGHT("000000"&amp;$AL1533,6))</f>
        <v/>
      </c>
      <c r="AN1533">
        <f>IF($AE1533="","",IF(Sync!$W1533="",0,Sync!$W1533))</f>
        <v/>
      </c>
      <c r="AO1533">
        <f>IF($AE1533="","",IF(Sync!$X1533="",0,Sync!$X1533))</f>
        <v/>
      </c>
      <c r="AP1533">
        <f>IF($AE1533="","",Sync!$R1533)</f>
        <v/>
      </c>
      <c r="AQ1533">
        <f>IF($AE1533="","",Sync!$Y1533)</f>
        <v/>
      </c>
    </row>
    <row r="1534">
      <c r="A1534">
        <f>IF(OR(Wages!$B1537="",Wages!$E1537=""),"",Wages!$E1537)</f>
        <v/>
      </c>
      <c r="B1534">
        <f>IF($A1534="","",IF(Wages!$C1537="دستمزد گروهی",2,1))</f>
        <v/>
      </c>
      <c r="C1534">
        <f>IF($A1534="","",IF(ISNUMBER(Wages!$B1537),IF(AND(Wages!$B1537&gt;=10000101,Wages!$B1537&lt;=99991231),INT(Wages!$B1537/10000),""),IFERROR(VALUE(TRIM(LEFT(Wages!$B1537,FIND("/",Wages!$B1537)-1))),"")))</f>
        <v/>
      </c>
      <c r="D1534">
        <f>IF(OR($A1534="",$C1534=""),"",IF(ISNUMBER(Wages!$B1537),INT(MOD(Wages!$B1537,10000)/100),IFERROR(VALUE(TRIM(LEFT(MID(Wages!$B1537,FIND("/",Wages!$B1537)+1,20),FIND("/",MID(Wages!$B1537,FIND("/",Wages!$B1537)+1,20))-1))),"")))</f>
        <v/>
      </c>
      <c r="E1534">
        <f>IF(OR($A1534="",$C1534=""),"",IF(ISNUMBER(Wages!$B1537),MOD(Wages!$B1537,100),IFERROR(VALUE(TRIM(MID(MID(Wages!$B1537,FIND("/",Wages!$B1537)+1,20),FIND("/",MID(Wages!$B1537,FIND("/",Wages!$B1537)+1,20))+1,20))),"")))</f>
        <v/>
      </c>
      <c r="F1534">
        <f>IF($A1534="","",IF(OR($C1534="",$D1534="",$E1534="",$C1534&lt;1300,$C1534&gt;1500,$D1534&lt;1,$D1534&gt;12,$E1534&lt;1,$E1534&gt;31),"نامعتبر",RIGHT("0000"&amp;$C1534,4)&amp;"/"&amp;RIGHT("00"&amp;$D1534,2)&amp;"/"&amp;RIGHT("00"&amp;$E1534,2)))</f>
        <v/>
      </c>
      <c r="G1534">
        <f>IF(OR($A1534="",$F1534="",$F1534="نامعتبر"),"",LEFT($F1534,4)&amp;MID($F1534,6,2)&amp;RIGHT($F1534,2)&amp;"0000"&amp;"|"&amp;"1"&amp;RIGHT("00000"&amp;1529,5))</f>
        <v/>
      </c>
      <c r="H1534">
        <f>IF(OR($B1534&lt;&gt;1,$G1534=""),"",COUNTIFS(LdAParty,$A1534,LdAType,1,LdAKey,"&lt;"&amp;$G1534)+COUNTIFS(LdBMember,$A1534,LdBKey,"&lt;"&amp;$G1534)+COUNTIFS(LdCParty,$A1534,LdCKey,"&lt;"&amp;$G1534)+1)</f>
        <v/>
      </c>
      <c r="I1534">
        <f>IF($H1534="","",$A1534&amp;"|"&amp;RIGHT("000000"&amp;$H1534,6))</f>
        <v/>
      </c>
      <c r="J1534">
        <f>IF(OR($B1534&lt;&gt;2,$G1534=""),"",COUNTIFS(LdAParty,$A1534,LdAType,2,LdAKey,"&lt;"&amp;$G1534)+1)</f>
        <v/>
      </c>
      <c r="K1534">
        <f>IF($J1534="","",$A1534&amp;"|"&amp;RIGHT("000000"&amp;$J1534,6))</f>
        <v/>
      </c>
      <c r="L1534">
        <f>IF($A1534="","",IF(Wages!$G1537="",0,Wages!$G1537))</f>
        <v/>
      </c>
      <c r="M1534">
        <f>IF($A1534="","",Wages!$J1537)</f>
        <v/>
      </c>
      <c r="N1534">
        <f>IF($A1534="","",Wages!$D1537)</f>
        <v/>
      </c>
      <c r="P1534">
        <f>IF(OR(Shares!$B1537="",Shares!$C1537=""),"",Shares!$C1537)</f>
        <v/>
      </c>
      <c r="Q1534">
        <f>IF($P1534="","",Shares!$B1537)</f>
        <v/>
      </c>
      <c r="R1534">
        <f>IF($P1534="","",IFERROR(INDEX(WageParty,MATCH($Q1534,WageIds,0)),""))</f>
        <v/>
      </c>
      <c r="S1534">
        <f>IF($P1534="","",IFERROR(INDEX($F$6:$F$2005,MATCH($Q1534,WageIds,0)),""))</f>
        <v/>
      </c>
      <c r="T1534">
        <f>IF(OR($P1534="",$S1534="",$S1534="نامعتبر"),"",LEFT($S1534,4)&amp;MID($S1534,6,2)&amp;RIGHT($S1534,2)&amp;"0000"&amp;"|"&amp;"2"&amp;RIGHT("00000"&amp;1529,5))</f>
        <v/>
      </c>
      <c r="U1534">
        <f>IF($T1534="","",COUNTIFS(LdAParty,$P1534,LdAType,1,LdAKey,"&lt;"&amp;$T1534)+COUNTIFS(LdBMember,$P1534,LdBKey,"&lt;"&amp;$T1534)+COUNTIFS(LdCParty,$P1534,LdCKey,"&lt;"&amp;$T1534)+1)</f>
        <v/>
      </c>
      <c r="V1534">
        <f>IF($U1534="","",$P1534&amp;"|"&amp;RIGHT("000000"&amp;$U1534,6))</f>
        <v/>
      </c>
      <c r="W1534">
        <f>IF($T1534="","",COUNTIFS(LdBGroup,$R1534,LdBKey,"&lt;"&amp;$T1534)+1)</f>
        <v/>
      </c>
      <c r="X1534">
        <f>IF($W1534="","",$R1534&amp;"|"&amp;RIGHT("000000"&amp;$W1534,6))</f>
        <v/>
      </c>
      <c r="Y1534">
        <f>IF($P1534="","",IF(Shares!$E1537="",0,Shares!$E1537))</f>
        <v/>
      </c>
      <c r="Z1534">
        <f>IF($P1534="","",Shares!$H1537)</f>
        <v/>
      </c>
      <c r="AE1534">
        <f>IF(OR(Sync!$S1534="",Sync!$P1534=""),"",Sync!$S1534)</f>
        <v/>
      </c>
      <c r="AF1534">
        <f>IF($AE1534="","",IF(ISNUMBER(Sync!$P1534),IF(AND(Sync!$P1534&gt;=10000101,Sync!$P1534&lt;=99991231),INT(Sync!$P1534/10000),""),IFERROR(VALUE(TRIM(LEFT(Sync!$P1534,FIND("/",Sync!$P1534)-1))),"")))</f>
        <v/>
      </c>
      <c r="AG1534">
        <f>IF(OR($AE1534="",$AF1534=""),"",IF(ISNUMBER(Sync!$P1534),INT(MOD(Sync!$P1534,10000)/100),IFERROR(VALUE(TRIM(LEFT(MID(Sync!$P1534,FIND("/",Sync!$P1534)+1,20),FIND("/",MID(Sync!$P1534,FIND("/",Sync!$P1534)+1,20))-1))),"")))</f>
        <v/>
      </c>
      <c r="AH1534">
        <f>IF(OR($AE1534="",$AF1534=""),"",IF(ISNUMBER(Sync!$P1534),MOD(Sync!$P1534,100),IFERROR(VALUE(TRIM(MID(MID(Sync!$P1534,FIND("/",Sync!$P1534)+1,20),FIND("/",MID(Sync!$P1534,FIND("/",Sync!$P1534)+1,20))+1,20))),"")))</f>
        <v/>
      </c>
      <c r="AI1534">
        <f>IF($AE1534="","",IF(OR($AF1534="",$AG1534="",$AH1534="",$AF1534&lt;1300,$AF1534&gt;1500,$AG1534&lt;1,$AG1534&gt;12,$AH1534&lt;1,$AH1534&gt;31),"نامعتبر",RIGHT("0000"&amp;$AF1534,4)&amp;"/"&amp;RIGHT("00"&amp;$AG1534,2)&amp;"/"&amp;RIGHT("00"&amp;$AH1534,2)))</f>
        <v/>
      </c>
      <c r="AJ1534">
        <f>IF($AE1534="","",IF(Sync!$Q1534="","0000",IF(AND(ISNUMBER(Sync!$Q1534),Sync!$Q1534&gt;=0,Sync!$Q1534&lt;1),RIGHT("00"&amp;HOUR(Sync!$Q1534),2)&amp;RIGHT("00"&amp;MINUTE(Sync!$Q1534),2),IFERROR(RIGHT("00"&amp;VALUE(LEFT(Sync!$Q1534,FIND(":",Sync!$Q1534)-1)),2)&amp;RIGHT("00"&amp;VALUE(MID(Sync!$Q1534,FIND(":",Sync!$Q1534)+1,2)),2),"0000"))))</f>
        <v/>
      </c>
      <c r="AK1534">
        <f>IF(OR($AE1534="",$AI1534="",$AI1534="نامعتبر"),"",LEFT($AI1534,4)&amp;MID($AI1534,6,2)&amp;RIGHT($AI1534,2)&amp;$AJ1534&amp;"|"&amp;"3"&amp;RIGHT("00000"&amp;1529,5))</f>
        <v/>
      </c>
      <c r="AL1534">
        <f>IF($AK1534="","",COUNTIFS(LdAParty,$AE1534,LdAType,1,LdAKey,"&lt;"&amp;$AK1534)+COUNTIFS(LdBMember,$AE1534,LdBKey,"&lt;"&amp;$AK1534)+COUNTIFS(LdCParty,$AE1534,LdCKey,"&lt;"&amp;$AK1534)+1)</f>
        <v/>
      </c>
      <c r="AM1534">
        <f>IF($AL1534="","",$AE1534&amp;"|"&amp;RIGHT("000000"&amp;$AL1534,6))</f>
        <v/>
      </c>
      <c r="AN1534">
        <f>IF($AE1534="","",IF(Sync!$W1534="",0,Sync!$W1534))</f>
        <v/>
      </c>
      <c r="AO1534">
        <f>IF($AE1534="","",IF(Sync!$X1534="",0,Sync!$X1534))</f>
        <v/>
      </c>
      <c r="AP1534">
        <f>IF($AE1534="","",Sync!$R1534)</f>
        <v/>
      </c>
      <c r="AQ1534">
        <f>IF($AE1534="","",Sync!$Y1534)</f>
        <v/>
      </c>
    </row>
    <row r="1535">
      <c r="A1535">
        <f>IF(OR(Wages!$B1538="",Wages!$E1538=""),"",Wages!$E1538)</f>
        <v/>
      </c>
      <c r="B1535">
        <f>IF($A1535="","",IF(Wages!$C1538="دستمزد گروهی",2,1))</f>
        <v/>
      </c>
      <c r="C1535">
        <f>IF($A1535="","",IF(ISNUMBER(Wages!$B1538),IF(AND(Wages!$B1538&gt;=10000101,Wages!$B1538&lt;=99991231),INT(Wages!$B1538/10000),""),IFERROR(VALUE(TRIM(LEFT(Wages!$B1538,FIND("/",Wages!$B1538)-1))),"")))</f>
        <v/>
      </c>
      <c r="D1535">
        <f>IF(OR($A1535="",$C1535=""),"",IF(ISNUMBER(Wages!$B1538),INT(MOD(Wages!$B1538,10000)/100),IFERROR(VALUE(TRIM(LEFT(MID(Wages!$B1538,FIND("/",Wages!$B1538)+1,20),FIND("/",MID(Wages!$B1538,FIND("/",Wages!$B1538)+1,20))-1))),"")))</f>
        <v/>
      </c>
      <c r="E1535">
        <f>IF(OR($A1535="",$C1535=""),"",IF(ISNUMBER(Wages!$B1538),MOD(Wages!$B1538,100),IFERROR(VALUE(TRIM(MID(MID(Wages!$B1538,FIND("/",Wages!$B1538)+1,20),FIND("/",MID(Wages!$B1538,FIND("/",Wages!$B1538)+1,20))+1,20))),"")))</f>
        <v/>
      </c>
      <c r="F1535">
        <f>IF($A1535="","",IF(OR($C1535="",$D1535="",$E1535="",$C1535&lt;1300,$C1535&gt;1500,$D1535&lt;1,$D1535&gt;12,$E1535&lt;1,$E1535&gt;31),"نامعتبر",RIGHT("0000"&amp;$C1535,4)&amp;"/"&amp;RIGHT("00"&amp;$D1535,2)&amp;"/"&amp;RIGHT("00"&amp;$E1535,2)))</f>
        <v/>
      </c>
      <c r="G1535">
        <f>IF(OR($A1535="",$F1535="",$F1535="نامعتبر"),"",LEFT($F1535,4)&amp;MID($F1535,6,2)&amp;RIGHT($F1535,2)&amp;"0000"&amp;"|"&amp;"1"&amp;RIGHT("00000"&amp;1530,5))</f>
        <v/>
      </c>
      <c r="H1535">
        <f>IF(OR($B1535&lt;&gt;1,$G1535=""),"",COUNTIFS(LdAParty,$A1535,LdAType,1,LdAKey,"&lt;"&amp;$G1535)+COUNTIFS(LdBMember,$A1535,LdBKey,"&lt;"&amp;$G1535)+COUNTIFS(LdCParty,$A1535,LdCKey,"&lt;"&amp;$G1535)+1)</f>
        <v/>
      </c>
      <c r="I1535">
        <f>IF($H1535="","",$A1535&amp;"|"&amp;RIGHT("000000"&amp;$H1535,6))</f>
        <v/>
      </c>
      <c r="J1535">
        <f>IF(OR($B1535&lt;&gt;2,$G1535=""),"",COUNTIFS(LdAParty,$A1535,LdAType,2,LdAKey,"&lt;"&amp;$G1535)+1)</f>
        <v/>
      </c>
      <c r="K1535">
        <f>IF($J1535="","",$A1535&amp;"|"&amp;RIGHT("000000"&amp;$J1535,6))</f>
        <v/>
      </c>
      <c r="L1535">
        <f>IF($A1535="","",IF(Wages!$G1538="",0,Wages!$G1538))</f>
        <v/>
      </c>
      <c r="M1535">
        <f>IF($A1535="","",Wages!$J1538)</f>
        <v/>
      </c>
      <c r="N1535">
        <f>IF($A1535="","",Wages!$D1538)</f>
        <v/>
      </c>
      <c r="P1535">
        <f>IF(OR(Shares!$B1538="",Shares!$C1538=""),"",Shares!$C1538)</f>
        <v/>
      </c>
      <c r="Q1535">
        <f>IF($P1535="","",Shares!$B1538)</f>
        <v/>
      </c>
      <c r="R1535">
        <f>IF($P1535="","",IFERROR(INDEX(WageParty,MATCH($Q1535,WageIds,0)),""))</f>
        <v/>
      </c>
      <c r="S1535">
        <f>IF($P1535="","",IFERROR(INDEX($F$6:$F$2005,MATCH($Q1535,WageIds,0)),""))</f>
        <v/>
      </c>
      <c r="T1535">
        <f>IF(OR($P1535="",$S1535="",$S1535="نامعتبر"),"",LEFT($S1535,4)&amp;MID($S1535,6,2)&amp;RIGHT($S1535,2)&amp;"0000"&amp;"|"&amp;"2"&amp;RIGHT("00000"&amp;1530,5))</f>
        <v/>
      </c>
      <c r="U1535">
        <f>IF($T1535="","",COUNTIFS(LdAParty,$P1535,LdAType,1,LdAKey,"&lt;"&amp;$T1535)+COUNTIFS(LdBMember,$P1535,LdBKey,"&lt;"&amp;$T1535)+COUNTIFS(LdCParty,$P1535,LdCKey,"&lt;"&amp;$T1535)+1)</f>
        <v/>
      </c>
      <c r="V1535">
        <f>IF($U1535="","",$P1535&amp;"|"&amp;RIGHT("000000"&amp;$U1535,6))</f>
        <v/>
      </c>
      <c r="W1535">
        <f>IF($T1535="","",COUNTIFS(LdBGroup,$R1535,LdBKey,"&lt;"&amp;$T1535)+1)</f>
        <v/>
      </c>
      <c r="X1535">
        <f>IF($W1535="","",$R1535&amp;"|"&amp;RIGHT("000000"&amp;$W1535,6))</f>
        <v/>
      </c>
      <c r="Y1535">
        <f>IF($P1535="","",IF(Shares!$E1538="",0,Shares!$E1538))</f>
        <v/>
      </c>
      <c r="Z1535">
        <f>IF($P1535="","",Shares!$H1538)</f>
        <v/>
      </c>
      <c r="AE1535">
        <f>IF(OR(Sync!$S1535="",Sync!$P1535=""),"",Sync!$S1535)</f>
        <v/>
      </c>
      <c r="AF1535">
        <f>IF($AE1535="","",IF(ISNUMBER(Sync!$P1535),IF(AND(Sync!$P1535&gt;=10000101,Sync!$P1535&lt;=99991231),INT(Sync!$P1535/10000),""),IFERROR(VALUE(TRIM(LEFT(Sync!$P1535,FIND("/",Sync!$P1535)-1))),"")))</f>
        <v/>
      </c>
      <c r="AG1535">
        <f>IF(OR($AE1535="",$AF1535=""),"",IF(ISNUMBER(Sync!$P1535),INT(MOD(Sync!$P1535,10000)/100),IFERROR(VALUE(TRIM(LEFT(MID(Sync!$P1535,FIND("/",Sync!$P1535)+1,20),FIND("/",MID(Sync!$P1535,FIND("/",Sync!$P1535)+1,20))-1))),"")))</f>
        <v/>
      </c>
      <c r="AH1535">
        <f>IF(OR($AE1535="",$AF1535=""),"",IF(ISNUMBER(Sync!$P1535),MOD(Sync!$P1535,100),IFERROR(VALUE(TRIM(MID(MID(Sync!$P1535,FIND("/",Sync!$P1535)+1,20),FIND("/",MID(Sync!$P1535,FIND("/",Sync!$P1535)+1,20))+1,20))),"")))</f>
        <v/>
      </c>
      <c r="AI1535">
        <f>IF($AE1535="","",IF(OR($AF1535="",$AG1535="",$AH1535="",$AF1535&lt;1300,$AF1535&gt;1500,$AG1535&lt;1,$AG1535&gt;12,$AH1535&lt;1,$AH1535&gt;31),"نامعتبر",RIGHT("0000"&amp;$AF1535,4)&amp;"/"&amp;RIGHT("00"&amp;$AG1535,2)&amp;"/"&amp;RIGHT("00"&amp;$AH1535,2)))</f>
        <v/>
      </c>
      <c r="AJ1535">
        <f>IF($AE1535="","",IF(Sync!$Q1535="","0000",IF(AND(ISNUMBER(Sync!$Q1535),Sync!$Q1535&gt;=0,Sync!$Q1535&lt;1),RIGHT("00"&amp;HOUR(Sync!$Q1535),2)&amp;RIGHT("00"&amp;MINUTE(Sync!$Q1535),2),IFERROR(RIGHT("00"&amp;VALUE(LEFT(Sync!$Q1535,FIND(":",Sync!$Q1535)-1)),2)&amp;RIGHT("00"&amp;VALUE(MID(Sync!$Q1535,FIND(":",Sync!$Q1535)+1,2)),2),"0000"))))</f>
        <v/>
      </c>
      <c r="AK1535">
        <f>IF(OR($AE1535="",$AI1535="",$AI1535="نامعتبر"),"",LEFT($AI1535,4)&amp;MID($AI1535,6,2)&amp;RIGHT($AI1535,2)&amp;$AJ1535&amp;"|"&amp;"3"&amp;RIGHT("00000"&amp;1530,5))</f>
        <v/>
      </c>
      <c r="AL1535">
        <f>IF($AK1535="","",COUNTIFS(LdAParty,$AE1535,LdAType,1,LdAKey,"&lt;"&amp;$AK1535)+COUNTIFS(LdBMember,$AE1535,LdBKey,"&lt;"&amp;$AK1535)+COUNTIFS(LdCParty,$AE1535,LdCKey,"&lt;"&amp;$AK1535)+1)</f>
        <v/>
      </c>
      <c r="AM1535">
        <f>IF($AL1535="","",$AE1535&amp;"|"&amp;RIGHT("000000"&amp;$AL1535,6))</f>
        <v/>
      </c>
      <c r="AN1535">
        <f>IF($AE1535="","",IF(Sync!$W1535="",0,Sync!$W1535))</f>
        <v/>
      </c>
      <c r="AO1535">
        <f>IF($AE1535="","",IF(Sync!$X1535="",0,Sync!$X1535))</f>
        <v/>
      </c>
      <c r="AP1535">
        <f>IF($AE1535="","",Sync!$R1535)</f>
        <v/>
      </c>
      <c r="AQ1535">
        <f>IF($AE1535="","",Sync!$Y1535)</f>
        <v/>
      </c>
    </row>
    <row r="1536">
      <c r="A1536">
        <f>IF(OR(Wages!$B1539="",Wages!$E1539=""),"",Wages!$E1539)</f>
        <v/>
      </c>
      <c r="B1536">
        <f>IF($A1536="","",IF(Wages!$C1539="دستمزد گروهی",2,1))</f>
        <v/>
      </c>
      <c r="C1536">
        <f>IF($A1536="","",IF(ISNUMBER(Wages!$B1539),IF(AND(Wages!$B1539&gt;=10000101,Wages!$B1539&lt;=99991231),INT(Wages!$B1539/10000),""),IFERROR(VALUE(TRIM(LEFT(Wages!$B1539,FIND("/",Wages!$B1539)-1))),"")))</f>
        <v/>
      </c>
      <c r="D1536">
        <f>IF(OR($A1536="",$C1536=""),"",IF(ISNUMBER(Wages!$B1539),INT(MOD(Wages!$B1539,10000)/100),IFERROR(VALUE(TRIM(LEFT(MID(Wages!$B1539,FIND("/",Wages!$B1539)+1,20),FIND("/",MID(Wages!$B1539,FIND("/",Wages!$B1539)+1,20))-1))),"")))</f>
        <v/>
      </c>
      <c r="E1536">
        <f>IF(OR($A1536="",$C1536=""),"",IF(ISNUMBER(Wages!$B1539),MOD(Wages!$B1539,100),IFERROR(VALUE(TRIM(MID(MID(Wages!$B1539,FIND("/",Wages!$B1539)+1,20),FIND("/",MID(Wages!$B1539,FIND("/",Wages!$B1539)+1,20))+1,20))),"")))</f>
        <v/>
      </c>
      <c r="F1536">
        <f>IF($A1536="","",IF(OR($C1536="",$D1536="",$E1536="",$C1536&lt;1300,$C1536&gt;1500,$D1536&lt;1,$D1536&gt;12,$E1536&lt;1,$E1536&gt;31),"نامعتبر",RIGHT("0000"&amp;$C1536,4)&amp;"/"&amp;RIGHT("00"&amp;$D1536,2)&amp;"/"&amp;RIGHT("00"&amp;$E1536,2)))</f>
        <v/>
      </c>
      <c r="G1536">
        <f>IF(OR($A1536="",$F1536="",$F1536="نامعتبر"),"",LEFT($F1536,4)&amp;MID($F1536,6,2)&amp;RIGHT($F1536,2)&amp;"0000"&amp;"|"&amp;"1"&amp;RIGHT("00000"&amp;1531,5))</f>
        <v/>
      </c>
      <c r="H1536">
        <f>IF(OR($B1536&lt;&gt;1,$G1536=""),"",COUNTIFS(LdAParty,$A1536,LdAType,1,LdAKey,"&lt;"&amp;$G1536)+COUNTIFS(LdBMember,$A1536,LdBKey,"&lt;"&amp;$G1536)+COUNTIFS(LdCParty,$A1536,LdCKey,"&lt;"&amp;$G1536)+1)</f>
        <v/>
      </c>
      <c r="I1536">
        <f>IF($H1536="","",$A1536&amp;"|"&amp;RIGHT("000000"&amp;$H1536,6))</f>
        <v/>
      </c>
      <c r="J1536">
        <f>IF(OR($B1536&lt;&gt;2,$G1536=""),"",COUNTIFS(LdAParty,$A1536,LdAType,2,LdAKey,"&lt;"&amp;$G1536)+1)</f>
        <v/>
      </c>
      <c r="K1536">
        <f>IF($J1536="","",$A1536&amp;"|"&amp;RIGHT("000000"&amp;$J1536,6))</f>
        <v/>
      </c>
      <c r="L1536">
        <f>IF($A1536="","",IF(Wages!$G1539="",0,Wages!$G1539))</f>
        <v/>
      </c>
      <c r="M1536">
        <f>IF($A1536="","",Wages!$J1539)</f>
        <v/>
      </c>
      <c r="N1536">
        <f>IF($A1536="","",Wages!$D1539)</f>
        <v/>
      </c>
      <c r="P1536">
        <f>IF(OR(Shares!$B1539="",Shares!$C1539=""),"",Shares!$C1539)</f>
        <v/>
      </c>
      <c r="Q1536">
        <f>IF($P1536="","",Shares!$B1539)</f>
        <v/>
      </c>
      <c r="R1536">
        <f>IF($P1536="","",IFERROR(INDEX(WageParty,MATCH($Q1536,WageIds,0)),""))</f>
        <v/>
      </c>
      <c r="S1536">
        <f>IF($P1536="","",IFERROR(INDEX($F$6:$F$2005,MATCH($Q1536,WageIds,0)),""))</f>
        <v/>
      </c>
      <c r="T1536">
        <f>IF(OR($P1536="",$S1536="",$S1536="نامعتبر"),"",LEFT($S1536,4)&amp;MID($S1536,6,2)&amp;RIGHT($S1536,2)&amp;"0000"&amp;"|"&amp;"2"&amp;RIGHT("00000"&amp;1531,5))</f>
        <v/>
      </c>
      <c r="U1536">
        <f>IF($T1536="","",COUNTIFS(LdAParty,$P1536,LdAType,1,LdAKey,"&lt;"&amp;$T1536)+COUNTIFS(LdBMember,$P1536,LdBKey,"&lt;"&amp;$T1536)+COUNTIFS(LdCParty,$P1536,LdCKey,"&lt;"&amp;$T1536)+1)</f>
        <v/>
      </c>
      <c r="V1536">
        <f>IF($U1536="","",$P1536&amp;"|"&amp;RIGHT("000000"&amp;$U1536,6))</f>
        <v/>
      </c>
      <c r="W1536">
        <f>IF($T1536="","",COUNTIFS(LdBGroup,$R1536,LdBKey,"&lt;"&amp;$T1536)+1)</f>
        <v/>
      </c>
      <c r="X1536">
        <f>IF($W1536="","",$R1536&amp;"|"&amp;RIGHT("000000"&amp;$W1536,6))</f>
        <v/>
      </c>
      <c r="Y1536">
        <f>IF($P1536="","",IF(Shares!$E1539="",0,Shares!$E1539))</f>
        <v/>
      </c>
      <c r="Z1536">
        <f>IF($P1536="","",Shares!$H1539)</f>
        <v/>
      </c>
      <c r="AE1536">
        <f>IF(OR(Sync!$S1536="",Sync!$P1536=""),"",Sync!$S1536)</f>
        <v/>
      </c>
      <c r="AF1536">
        <f>IF($AE1536="","",IF(ISNUMBER(Sync!$P1536),IF(AND(Sync!$P1536&gt;=10000101,Sync!$P1536&lt;=99991231),INT(Sync!$P1536/10000),""),IFERROR(VALUE(TRIM(LEFT(Sync!$P1536,FIND("/",Sync!$P1536)-1))),"")))</f>
        <v/>
      </c>
      <c r="AG1536">
        <f>IF(OR($AE1536="",$AF1536=""),"",IF(ISNUMBER(Sync!$P1536),INT(MOD(Sync!$P1536,10000)/100),IFERROR(VALUE(TRIM(LEFT(MID(Sync!$P1536,FIND("/",Sync!$P1536)+1,20),FIND("/",MID(Sync!$P1536,FIND("/",Sync!$P1536)+1,20))-1))),"")))</f>
        <v/>
      </c>
      <c r="AH1536">
        <f>IF(OR($AE1536="",$AF1536=""),"",IF(ISNUMBER(Sync!$P1536),MOD(Sync!$P1536,100),IFERROR(VALUE(TRIM(MID(MID(Sync!$P1536,FIND("/",Sync!$P1536)+1,20),FIND("/",MID(Sync!$P1536,FIND("/",Sync!$P1536)+1,20))+1,20))),"")))</f>
        <v/>
      </c>
      <c r="AI1536">
        <f>IF($AE1536="","",IF(OR($AF1536="",$AG1536="",$AH1536="",$AF1536&lt;1300,$AF1536&gt;1500,$AG1536&lt;1,$AG1536&gt;12,$AH1536&lt;1,$AH1536&gt;31),"نامعتبر",RIGHT("0000"&amp;$AF1536,4)&amp;"/"&amp;RIGHT("00"&amp;$AG1536,2)&amp;"/"&amp;RIGHT("00"&amp;$AH1536,2)))</f>
        <v/>
      </c>
      <c r="AJ1536">
        <f>IF($AE1536="","",IF(Sync!$Q1536="","0000",IF(AND(ISNUMBER(Sync!$Q1536),Sync!$Q1536&gt;=0,Sync!$Q1536&lt;1),RIGHT("00"&amp;HOUR(Sync!$Q1536),2)&amp;RIGHT("00"&amp;MINUTE(Sync!$Q1536),2),IFERROR(RIGHT("00"&amp;VALUE(LEFT(Sync!$Q1536,FIND(":",Sync!$Q1536)-1)),2)&amp;RIGHT("00"&amp;VALUE(MID(Sync!$Q1536,FIND(":",Sync!$Q1536)+1,2)),2),"0000"))))</f>
        <v/>
      </c>
      <c r="AK1536">
        <f>IF(OR($AE1536="",$AI1536="",$AI1536="نامعتبر"),"",LEFT($AI1536,4)&amp;MID($AI1536,6,2)&amp;RIGHT($AI1536,2)&amp;$AJ1536&amp;"|"&amp;"3"&amp;RIGHT("00000"&amp;1531,5))</f>
        <v/>
      </c>
      <c r="AL1536">
        <f>IF($AK1536="","",COUNTIFS(LdAParty,$AE1536,LdAType,1,LdAKey,"&lt;"&amp;$AK1536)+COUNTIFS(LdBMember,$AE1536,LdBKey,"&lt;"&amp;$AK1536)+COUNTIFS(LdCParty,$AE1536,LdCKey,"&lt;"&amp;$AK1536)+1)</f>
        <v/>
      </c>
      <c r="AM1536">
        <f>IF($AL1536="","",$AE1536&amp;"|"&amp;RIGHT("000000"&amp;$AL1536,6))</f>
        <v/>
      </c>
      <c r="AN1536">
        <f>IF($AE1536="","",IF(Sync!$W1536="",0,Sync!$W1536))</f>
        <v/>
      </c>
      <c r="AO1536">
        <f>IF($AE1536="","",IF(Sync!$X1536="",0,Sync!$X1536))</f>
        <v/>
      </c>
      <c r="AP1536">
        <f>IF($AE1536="","",Sync!$R1536)</f>
        <v/>
      </c>
      <c r="AQ1536">
        <f>IF($AE1536="","",Sync!$Y1536)</f>
        <v/>
      </c>
    </row>
    <row r="1537">
      <c r="A1537">
        <f>IF(OR(Wages!$B1540="",Wages!$E1540=""),"",Wages!$E1540)</f>
        <v/>
      </c>
      <c r="B1537">
        <f>IF($A1537="","",IF(Wages!$C1540="دستمزد گروهی",2,1))</f>
        <v/>
      </c>
      <c r="C1537">
        <f>IF($A1537="","",IF(ISNUMBER(Wages!$B1540),IF(AND(Wages!$B1540&gt;=10000101,Wages!$B1540&lt;=99991231),INT(Wages!$B1540/10000),""),IFERROR(VALUE(TRIM(LEFT(Wages!$B1540,FIND("/",Wages!$B1540)-1))),"")))</f>
        <v/>
      </c>
      <c r="D1537">
        <f>IF(OR($A1537="",$C1537=""),"",IF(ISNUMBER(Wages!$B1540),INT(MOD(Wages!$B1540,10000)/100),IFERROR(VALUE(TRIM(LEFT(MID(Wages!$B1540,FIND("/",Wages!$B1540)+1,20),FIND("/",MID(Wages!$B1540,FIND("/",Wages!$B1540)+1,20))-1))),"")))</f>
        <v/>
      </c>
      <c r="E1537">
        <f>IF(OR($A1537="",$C1537=""),"",IF(ISNUMBER(Wages!$B1540),MOD(Wages!$B1540,100),IFERROR(VALUE(TRIM(MID(MID(Wages!$B1540,FIND("/",Wages!$B1540)+1,20),FIND("/",MID(Wages!$B1540,FIND("/",Wages!$B1540)+1,20))+1,20))),"")))</f>
        <v/>
      </c>
      <c r="F1537">
        <f>IF($A1537="","",IF(OR($C1537="",$D1537="",$E1537="",$C1537&lt;1300,$C1537&gt;1500,$D1537&lt;1,$D1537&gt;12,$E1537&lt;1,$E1537&gt;31),"نامعتبر",RIGHT("0000"&amp;$C1537,4)&amp;"/"&amp;RIGHT("00"&amp;$D1537,2)&amp;"/"&amp;RIGHT("00"&amp;$E1537,2)))</f>
        <v/>
      </c>
      <c r="G1537">
        <f>IF(OR($A1537="",$F1537="",$F1537="نامعتبر"),"",LEFT($F1537,4)&amp;MID($F1537,6,2)&amp;RIGHT($F1537,2)&amp;"0000"&amp;"|"&amp;"1"&amp;RIGHT("00000"&amp;1532,5))</f>
        <v/>
      </c>
      <c r="H1537">
        <f>IF(OR($B1537&lt;&gt;1,$G1537=""),"",COUNTIFS(LdAParty,$A1537,LdAType,1,LdAKey,"&lt;"&amp;$G1537)+COUNTIFS(LdBMember,$A1537,LdBKey,"&lt;"&amp;$G1537)+COUNTIFS(LdCParty,$A1537,LdCKey,"&lt;"&amp;$G1537)+1)</f>
        <v/>
      </c>
      <c r="I1537">
        <f>IF($H1537="","",$A1537&amp;"|"&amp;RIGHT("000000"&amp;$H1537,6))</f>
        <v/>
      </c>
      <c r="J1537">
        <f>IF(OR($B1537&lt;&gt;2,$G1537=""),"",COUNTIFS(LdAParty,$A1537,LdAType,2,LdAKey,"&lt;"&amp;$G1537)+1)</f>
        <v/>
      </c>
      <c r="K1537">
        <f>IF($J1537="","",$A1537&amp;"|"&amp;RIGHT("000000"&amp;$J1537,6))</f>
        <v/>
      </c>
      <c r="L1537">
        <f>IF($A1537="","",IF(Wages!$G1540="",0,Wages!$G1540))</f>
        <v/>
      </c>
      <c r="M1537">
        <f>IF($A1537="","",Wages!$J1540)</f>
        <v/>
      </c>
      <c r="N1537">
        <f>IF($A1537="","",Wages!$D1540)</f>
        <v/>
      </c>
      <c r="P1537">
        <f>IF(OR(Shares!$B1540="",Shares!$C1540=""),"",Shares!$C1540)</f>
        <v/>
      </c>
      <c r="Q1537">
        <f>IF($P1537="","",Shares!$B1540)</f>
        <v/>
      </c>
      <c r="R1537">
        <f>IF($P1537="","",IFERROR(INDEX(WageParty,MATCH($Q1537,WageIds,0)),""))</f>
        <v/>
      </c>
      <c r="S1537">
        <f>IF($P1537="","",IFERROR(INDEX($F$6:$F$2005,MATCH($Q1537,WageIds,0)),""))</f>
        <v/>
      </c>
      <c r="T1537">
        <f>IF(OR($P1537="",$S1537="",$S1537="نامعتبر"),"",LEFT($S1537,4)&amp;MID($S1537,6,2)&amp;RIGHT($S1537,2)&amp;"0000"&amp;"|"&amp;"2"&amp;RIGHT("00000"&amp;1532,5))</f>
        <v/>
      </c>
      <c r="U1537">
        <f>IF($T1537="","",COUNTIFS(LdAParty,$P1537,LdAType,1,LdAKey,"&lt;"&amp;$T1537)+COUNTIFS(LdBMember,$P1537,LdBKey,"&lt;"&amp;$T1537)+COUNTIFS(LdCParty,$P1537,LdCKey,"&lt;"&amp;$T1537)+1)</f>
        <v/>
      </c>
      <c r="V1537">
        <f>IF($U1537="","",$P1537&amp;"|"&amp;RIGHT("000000"&amp;$U1537,6))</f>
        <v/>
      </c>
      <c r="W1537">
        <f>IF($T1537="","",COUNTIFS(LdBGroup,$R1537,LdBKey,"&lt;"&amp;$T1537)+1)</f>
        <v/>
      </c>
      <c r="X1537">
        <f>IF($W1537="","",$R1537&amp;"|"&amp;RIGHT("000000"&amp;$W1537,6))</f>
        <v/>
      </c>
      <c r="Y1537">
        <f>IF($P1537="","",IF(Shares!$E1540="",0,Shares!$E1540))</f>
        <v/>
      </c>
      <c r="Z1537">
        <f>IF($P1537="","",Shares!$H1540)</f>
        <v/>
      </c>
      <c r="AE1537">
        <f>IF(OR(Sync!$S1537="",Sync!$P1537=""),"",Sync!$S1537)</f>
        <v/>
      </c>
      <c r="AF1537">
        <f>IF($AE1537="","",IF(ISNUMBER(Sync!$P1537),IF(AND(Sync!$P1537&gt;=10000101,Sync!$P1537&lt;=99991231),INT(Sync!$P1537/10000),""),IFERROR(VALUE(TRIM(LEFT(Sync!$P1537,FIND("/",Sync!$P1537)-1))),"")))</f>
        <v/>
      </c>
      <c r="AG1537">
        <f>IF(OR($AE1537="",$AF1537=""),"",IF(ISNUMBER(Sync!$P1537),INT(MOD(Sync!$P1537,10000)/100),IFERROR(VALUE(TRIM(LEFT(MID(Sync!$P1537,FIND("/",Sync!$P1537)+1,20),FIND("/",MID(Sync!$P1537,FIND("/",Sync!$P1537)+1,20))-1))),"")))</f>
        <v/>
      </c>
      <c r="AH1537">
        <f>IF(OR($AE1537="",$AF1537=""),"",IF(ISNUMBER(Sync!$P1537),MOD(Sync!$P1537,100),IFERROR(VALUE(TRIM(MID(MID(Sync!$P1537,FIND("/",Sync!$P1537)+1,20),FIND("/",MID(Sync!$P1537,FIND("/",Sync!$P1537)+1,20))+1,20))),"")))</f>
        <v/>
      </c>
      <c r="AI1537">
        <f>IF($AE1537="","",IF(OR($AF1537="",$AG1537="",$AH1537="",$AF1537&lt;1300,$AF1537&gt;1500,$AG1537&lt;1,$AG1537&gt;12,$AH1537&lt;1,$AH1537&gt;31),"نامعتبر",RIGHT("0000"&amp;$AF1537,4)&amp;"/"&amp;RIGHT("00"&amp;$AG1537,2)&amp;"/"&amp;RIGHT("00"&amp;$AH1537,2)))</f>
        <v/>
      </c>
      <c r="AJ1537">
        <f>IF($AE1537="","",IF(Sync!$Q1537="","0000",IF(AND(ISNUMBER(Sync!$Q1537),Sync!$Q1537&gt;=0,Sync!$Q1537&lt;1),RIGHT("00"&amp;HOUR(Sync!$Q1537),2)&amp;RIGHT("00"&amp;MINUTE(Sync!$Q1537),2),IFERROR(RIGHT("00"&amp;VALUE(LEFT(Sync!$Q1537,FIND(":",Sync!$Q1537)-1)),2)&amp;RIGHT("00"&amp;VALUE(MID(Sync!$Q1537,FIND(":",Sync!$Q1537)+1,2)),2),"0000"))))</f>
        <v/>
      </c>
      <c r="AK1537">
        <f>IF(OR($AE1537="",$AI1537="",$AI1537="نامعتبر"),"",LEFT($AI1537,4)&amp;MID($AI1537,6,2)&amp;RIGHT($AI1537,2)&amp;$AJ1537&amp;"|"&amp;"3"&amp;RIGHT("00000"&amp;1532,5))</f>
        <v/>
      </c>
      <c r="AL1537">
        <f>IF($AK1537="","",COUNTIFS(LdAParty,$AE1537,LdAType,1,LdAKey,"&lt;"&amp;$AK1537)+COUNTIFS(LdBMember,$AE1537,LdBKey,"&lt;"&amp;$AK1537)+COUNTIFS(LdCParty,$AE1537,LdCKey,"&lt;"&amp;$AK1537)+1)</f>
        <v/>
      </c>
      <c r="AM1537">
        <f>IF($AL1537="","",$AE1537&amp;"|"&amp;RIGHT("000000"&amp;$AL1537,6))</f>
        <v/>
      </c>
      <c r="AN1537">
        <f>IF($AE1537="","",IF(Sync!$W1537="",0,Sync!$W1537))</f>
        <v/>
      </c>
      <c r="AO1537">
        <f>IF($AE1537="","",IF(Sync!$X1537="",0,Sync!$X1537))</f>
        <v/>
      </c>
      <c r="AP1537">
        <f>IF($AE1537="","",Sync!$R1537)</f>
        <v/>
      </c>
      <c r="AQ1537">
        <f>IF($AE1537="","",Sync!$Y1537)</f>
        <v/>
      </c>
    </row>
    <row r="1538">
      <c r="A1538">
        <f>IF(OR(Wages!$B1541="",Wages!$E1541=""),"",Wages!$E1541)</f>
        <v/>
      </c>
      <c r="B1538">
        <f>IF($A1538="","",IF(Wages!$C1541="دستمزد گروهی",2,1))</f>
        <v/>
      </c>
      <c r="C1538">
        <f>IF($A1538="","",IF(ISNUMBER(Wages!$B1541),IF(AND(Wages!$B1541&gt;=10000101,Wages!$B1541&lt;=99991231),INT(Wages!$B1541/10000),""),IFERROR(VALUE(TRIM(LEFT(Wages!$B1541,FIND("/",Wages!$B1541)-1))),"")))</f>
        <v/>
      </c>
      <c r="D1538">
        <f>IF(OR($A1538="",$C1538=""),"",IF(ISNUMBER(Wages!$B1541),INT(MOD(Wages!$B1541,10000)/100),IFERROR(VALUE(TRIM(LEFT(MID(Wages!$B1541,FIND("/",Wages!$B1541)+1,20),FIND("/",MID(Wages!$B1541,FIND("/",Wages!$B1541)+1,20))-1))),"")))</f>
        <v/>
      </c>
      <c r="E1538">
        <f>IF(OR($A1538="",$C1538=""),"",IF(ISNUMBER(Wages!$B1541),MOD(Wages!$B1541,100),IFERROR(VALUE(TRIM(MID(MID(Wages!$B1541,FIND("/",Wages!$B1541)+1,20),FIND("/",MID(Wages!$B1541,FIND("/",Wages!$B1541)+1,20))+1,20))),"")))</f>
        <v/>
      </c>
      <c r="F1538">
        <f>IF($A1538="","",IF(OR($C1538="",$D1538="",$E1538="",$C1538&lt;1300,$C1538&gt;1500,$D1538&lt;1,$D1538&gt;12,$E1538&lt;1,$E1538&gt;31),"نامعتبر",RIGHT("0000"&amp;$C1538,4)&amp;"/"&amp;RIGHT("00"&amp;$D1538,2)&amp;"/"&amp;RIGHT("00"&amp;$E1538,2)))</f>
        <v/>
      </c>
      <c r="G1538">
        <f>IF(OR($A1538="",$F1538="",$F1538="نامعتبر"),"",LEFT($F1538,4)&amp;MID($F1538,6,2)&amp;RIGHT($F1538,2)&amp;"0000"&amp;"|"&amp;"1"&amp;RIGHT("00000"&amp;1533,5))</f>
        <v/>
      </c>
      <c r="H1538">
        <f>IF(OR($B1538&lt;&gt;1,$G1538=""),"",COUNTIFS(LdAParty,$A1538,LdAType,1,LdAKey,"&lt;"&amp;$G1538)+COUNTIFS(LdBMember,$A1538,LdBKey,"&lt;"&amp;$G1538)+COUNTIFS(LdCParty,$A1538,LdCKey,"&lt;"&amp;$G1538)+1)</f>
        <v/>
      </c>
      <c r="I1538">
        <f>IF($H1538="","",$A1538&amp;"|"&amp;RIGHT("000000"&amp;$H1538,6))</f>
        <v/>
      </c>
      <c r="J1538">
        <f>IF(OR($B1538&lt;&gt;2,$G1538=""),"",COUNTIFS(LdAParty,$A1538,LdAType,2,LdAKey,"&lt;"&amp;$G1538)+1)</f>
        <v/>
      </c>
      <c r="K1538">
        <f>IF($J1538="","",$A1538&amp;"|"&amp;RIGHT("000000"&amp;$J1538,6))</f>
        <v/>
      </c>
      <c r="L1538">
        <f>IF($A1538="","",IF(Wages!$G1541="",0,Wages!$G1541))</f>
        <v/>
      </c>
      <c r="M1538">
        <f>IF($A1538="","",Wages!$J1541)</f>
        <v/>
      </c>
      <c r="N1538">
        <f>IF($A1538="","",Wages!$D1541)</f>
        <v/>
      </c>
      <c r="P1538">
        <f>IF(OR(Shares!$B1541="",Shares!$C1541=""),"",Shares!$C1541)</f>
        <v/>
      </c>
      <c r="Q1538">
        <f>IF($P1538="","",Shares!$B1541)</f>
        <v/>
      </c>
      <c r="R1538">
        <f>IF($P1538="","",IFERROR(INDEX(WageParty,MATCH($Q1538,WageIds,0)),""))</f>
        <v/>
      </c>
      <c r="S1538">
        <f>IF($P1538="","",IFERROR(INDEX($F$6:$F$2005,MATCH($Q1538,WageIds,0)),""))</f>
        <v/>
      </c>
      <c r="T1538">
        <f>IF(OR($P1538="",$S1538="",$S1538="نامعتبر"),"",LEFT($S1538,4)&amp;MID($S1538,6,2)&amp;RIGHT($S1538,2)&amp;"0000"&amp;"|"&amp;"2"&amp;RIGHT("00000"&amp;1533,5))</f>
        <v/>
      </c>
      <c r="U1538">
        <f>IF($T1538="","",COUNTIFS(LdAParty,$P1538,LdAType,1,LdAKey,"&lt;"&amp;$T1538)+COUNTIFS(LdBMember,$P1538,LdBKey,"&lt;"&amp;$T1538)+COUNTIFS(LdCParty,$P1538,LdCKey,"&lt;"&amp;$T1538)+1)</f>
        <v/>
      </c>
      <c r="V1538">
        <f>IF($U1538="","",$P1538&amp;"|"&amp;RIGHT("000000"&amp;$U1538,6))</f>
        <v/>
      </c>
      <c r="W1538">
        <f>IF($T1538="","",COUNTIFS(LdBGroup,$R1538,LdBKey,"&lt;"&amp;$T1538)+1)</f>
        <v/>
      </c>
      <c r="X1538">
        <f>IF($W1538="","",$R1538&amp;"|"&amp;RIGHT("000000"&amp;$W1538,6))</f>
        <v/>
      </c>
      <c r="Y1538">
        <f>IF($P1538="","",IF(Shares!$E1541="",0,Shares!$E1541))</f>
        <v/>
      </c>
      <c r="Z1538">
        <f>IF($P1538="","",Shares!$H1541)</f>
        <v/>
      </c>
      <c r="AE1538">
        <f>IF(OR(Sync!$S1538="",Sync!$P1538=""),"",Sync!$S1538)</f>
        <v/>
      </c>
      <c r="AF1538">
        <f>IF($AE1538="","",IF(ISNUMBER(Sync!$P1538),IF(AND(Sync!$P1538&gt;=10000101,Sync!$P1538&lt;=99991231),INT(Sync!$P1538/10000),""),IFERROR(VALUE(TRIM(LEFT(Sync!$P1538,FIND("/",Sync!$P1538)-1))),"")))</f>
        <v/>
      </c>
      <c r="AG1538">
        <f>IF(OR($AE1538="",$AF1538=""),"",IF(ISNUMBER(Sync!$P1538),INT(MOD(Sync!$P1538,10000)/100),IFERROR(VALUE(TRIM(LEFT(MID(Sync!$P1538,FIND("/",Sync!$P1538)+1,20),FIND("/",MID(Sync!$P1538,FIND("/",Sync!$P1538)+1,20))-1))),"")))</f>
        <v/>
      </c>
      <c r="AH1538">
        <f>IF(OR($AE1538="",$AF1538=""),"",IF(ISNUMBER(Sync!$P1538),MOD(Sync!$P1538,100),IFERROR(VALUE(TRIM(MID(MID(Sync!$P1538,FIND("/",Sync!$P1538)+1,20),FIND("/",MID(Sync!$P1538,FIND("/",Sync!$P1538)+1,20))+1,20))),"")))</f>
        <v/>
      </c>
      <c r="AI1538">
        <f>IF($AE1538="","",IF(OR($AF1538="",$AG1538="",$AH1538="",$AF1538&lt;1300,$AF1538&gt;1500,$AG1538&lt;1,$AG1538&gt;12,$AH1538&lt;1,$AH1538&gt;31),"نامعتبر",RIGHT("0000"&amp;$AF1538,4)&amp;"/"&amp;RIGHT("00"&amp;$AG1538,2)&amp;"/"&amp;RIGHT("00"&amp;$AH1538,2)))</f>
        <v/>
      </c>
      <c r="AJ1538">
        <f>IF($AE1538="","",IF(Sync!$Q1538="","0000",IF(AND(ISNUMBER(Sync!$Q1538),Sync!$Q1538&gt;=0,Sync!$Q1538&lt;1),RIGHT("00"&amp;HOUR(Sync!$Q1538),2)&amp;RIGHT("00"&amp;MINUTE(Sync!$Q1538),2),IFERROR(RIGHT("00"&amp;VALUE(LEFT(Sync!$Q1538,FIND(":",Sync!$Q1538)-1)),2)&amp;RIGHT("00"&amp;VALUE(MID(Sync!$Q1538,FIND(":",Sync!$Q1538)+1,2)),2),"0000"))))</f>
        <v/>
      </c>
      <c r="AK1538">
        <f>IF(OR($AE1538="",$AI1538="",$AI1538="نامعتبر"),"",LEFT($AI1538,4)&amp;MID($AI1538,6,2)&amp;RIGHT($AI1538,2)&amp;$AJ1538&amp;"|"&amp;"3"&amp;RIGHT("00000"&amp;1533,5))</f>
        <v/>
      </c>
      <c r="AL1538">
        <f>IF($AK1538="","",COUNTIFS(LdAParty,$AE1538,LdAType,1,LdAKey,"&lt;"&amp;$AK1538)+COUNTIFS(LdBMember,$AE1538,LdBKey,"&lt;"&amp;$AK1538)+COUNTIFS(LdCParty,$AE1538,LdCKey,"&lt;"&amp;$AK1538)+1)</f>
        <v/>
      </c>
      <c r="AM1538">
        <f>IF($AL1538="","",$AE1538&amp;"|"&amp;RIGHT("000000"&amp;$AL1538,6))</f>
        <v/>
      </c>
      <c r="AN1538">
        <f>IF($AE1538="","",IF(Sync!$W1538="",0,Sync!$W1538))</f>
        <v/>
      </c>
      <c r="AO1538">
        <f>IF($AE1538="","",IF(Sync!$X1538="",0,Sync!$X1538))</f>
        <v/>
      </c>
      <c r="AP1538">
        <f>IF($AE1538="","",Sync!$R1538)</f>
        <v/>
      </c>
      <c r="AQ1538">
        <f>IF($AE1538="","",Sync!$Y1538)</f>
        <v/>
      </c>
    </row>
    <row r="1539">
      <c r="A1539">
        <f>IF(OR(Wages!$B1542="",Wages!$E1542=""),"",Wages!$E1542)</f>
        <v/>
      </c>
      <c r="B1539">
        <f>IF($A1539="","",IF(Wages!$C1542="دستمزد گروهی",2,1))</f>
        <v/>
      </c>
      <c r="C1539">
        <f>IF($A1539="","",IF(ISNUMBER(Wages!$B1542),IF(AND(Wages!$B1542&gt;=10000101,Wages!$B1542&lt;=99991231),INT(Wages!$B1542/10000),""),IFERROR(VALUE(TRIM(LEFT(Wages!$B1542,FIND("/",Wages!$B1542)-1))),"")))</f>
        <v/>
      </c>
      <c r="D1539">
        <f>IF(OR($A1539="",$C1539=""),"",IF(ISNUMBER(Wages!$B1542),INT(MOD(Wages!$B1542,10000)/100),IFERROR(VALUE(TRIM(LEFT(MID(Wages!$B1542,FIND("/",Wages!$B1542)+1,20),FIND("/",MID(Wages!$B1542,FIND("/",Wages!$B1542)+1,20))-1))),"")))</f>
        <v/>
      </c>
      <c r="E1539">
        <f>IF(OR($A1539="",$C1539=""),"",IF(ISNUMBER(Wages!$B1542),MOD(Wages!$B1542,100),IFERROR(VALUE(TRIM(MID(MID(Wages!$B1542,FIND("/",Wages!$B1542)+1,20),FIND("/",MID(Wages!$B1542,FIND("/",Wages!$B1542)+1,20))+1,20))),"")))</f>
        <v/>
      </c>
      <c r="F1539">
        <f>IF($A1539="","",IF(OR($C1539="",$D1539="",$E1539="",$C1539&lt;1300,$C1539&gt;1500,$D1539&lt;1,$D1539&gt;12,$E1539&lt;1,$E1539&gt;31),"نامعتبر",RIGHT("0000"&amp;$C1539,4)&amp;"/"&amp;RIGHT("00"&amp;$D1539,2)&amp;"/"&amp;RIGHT("00"&amp;$E1539,2)))</f>
        <v/>
      </c>
      <c r="G1539">
        <f>IF(OR($A1539="",$F1539="",$F1539="نامعتبر"),"",LEFT($F1539,4)&amp;MID($F1539,6,2)&amp;RIGHT($F1539,2)&amp;"0000"&amp;"|"&amp;"1"&amp;RIGHT("00000"&amp;1534,5))</f>
        <v/>
      </c>
      <c r="H1539">
        <f>IF(OR($B1539&lt;&gt;1,$G1539=""),"",COUNTIFS(LdAParty,$A1539,LdAType,1,LdAKey,"&lt;"&amp;$G1539)+COUNTIFS(LdBMember,$A1539,LdBKey,"&lt;"&amp;$G1539)+COUNTIFS(LdCParty,$A1539,LdCKey,"&lt;"&amp;$G1539)+1)</f>
        <v/>
      </c>
      <c r="I1539">
        <f>IF($H1539="","",$A1539&amp;"|"&amp;RIGHT("000000"&amp;$H1539,6))</f>
        <v/>
      </c>
      <c r="J1539">
        <f>IF(OR($B1539&lt;&gt;2,$G1539=""),"",COUNTIFS(LdAParty,$A1539,LdAType,2,LdAKey,"&lt;"&amp;$G1539)+1)</f>
        <v/>
      </c>
      <c r="K1539">
        <f>IF($J1539="","",$A1539&amp;"|"&amp;RIGHT("000000"&amp;$J1539,6))</f>
        <v/>
      </c>
      <c r="L1539">
        <f>IF($A1539="","",IF(Wages!$G1542="",0,Wages!$G1542))</f>
        <v/>
      </c>
      <c r="M1539">
        <f>IF($A1539="","",Wages!$J1542)</f>
        <v/>
      </c>
      <c r="N1539">
        <f>IF($A1539="","",Wages!$D1542)</f>
        <v/>
      </c>
      <c r="P1539">
        <f>IF(OR(Shares!$B1542="",Shares!$C1542=""),"",Shares!$C1542)</f>
        <v/>
      </c>
      <c r="Q1539">
        <f>IF($P1539="","",Shares!$B1542)</f>
        <v/>
      </c>
      <c r="R1539">
        <f>IF($P1539="","",IFERROR(INDEX(WageParty,MATCH($Q1539,WageIds,0)),""))</f>
        <v/>
      </c>
      <c r="S1539">
        <f>IF($P1539="","",IFERROR(INDEX($F$6:$F$2005,MATCH($Q1539,WageIds,0)),""))</f>
        <v/>
      </c>
      <c r="T1539">
        <f>IF(OR($P1539="",$S1539="",$S1539="نامعتبر"),"",LEFT($S1539,4)&amp;MID($S1539,6,2)&amp;RIGHT($S1539,2)&amp;"0000"&amp;"|"&amp;"2"&amp;RIGHT("00000"&amp;1534,5))</f>
        <v/>
      </c>
      <c r="U1539">
        <f>IF($T1539="","",COUNTIFS(LdAParty,$P1539,LdAType,1,LdAKey,"&lt;"&amp;$T1539)+COUNTIFS(LdBMember,$P1539,LdBKey,"&lt;"&amp;$T1539)+COUNTIFS(LdCParty,$P1539,LdCKey,"&lt;"&amp;$T1539)+1)</f>
        <v/>
      </c>
      <c r="V1539">
        <f>IF($U1539="","",$P1539&amp;"|"&amp;RIGHT("000000"&amp;$U1539,6))</f>
        <v/>
      </c>
      <c r="W1539">
        <f>IF($T1539="","",COUNTIFS(LdBGroup,$R1539,LdBKey,"&lt;"&amp;$T1539)+1)</f>
        <v/>
      </c>
      <c r="X1539">
        <f>IF($W1539="","",$R1539&amp;"|"&amp;RIGHT("000000"&amp;$W1539,6))</f>
        <v/>
      </c>
      <c r="Y1539">
        <f>IF($P1539="","",IF(Shares!$E1542="",0,Shares!$E1542))</f>
        <v/>
      </c>
      <c r="Z1539">
        <f>IF($P1539="","",Shares!$H1542)</f>
        <v/>
      </c>
      <c r="AE1539">
        <f>IF(OR(Sync!$S1539="",Sync!$P1539=""),"",Sync!$S1539)</f>
        <v/>
      </c>
      <c r="AF1539">
        <f>IF($AE1539="","",IF(ISNUMBER(Sync!$P1539),IF(AND(Sync!$P1539&gt;=10000101,Sync!$P1539&lt;=99991231),INT(Sync!$P1539/10000),""),IFERROR(VALUE(TRIM(LEFT(Sync!$P1539,FIND("/",Sync!$P1539)-1))),"")))</f>
        <v/>
      </c>
      <c r="AG1539">
        <f>IF(OR($AE1539="",$AF1539=""),"",IF(ISNUMBER(Sync!$P1539),INT(MOD(Sync!$P1539,10000)/100),IFERROR(VALUE(TRIM(LEFT(MID(Sync!$P1539,FIND("/",Sync!$P1539)+1,20),FIND("/",MID(Sync!$P1539,FIND("/",Sync!$P1539)+1,20))-1))),"")))</f>
        <v/>
      </c>
      <c r="AH1539">
        <f>IF(OR($AE1539="",$AF1539=""),"",IF(ISNUMBER(Sync!$P1539),MOD(Sync!$P1539,100),IFERROR(VALUE(TRIM(MID(MID(Sync!$P1539,FIND("/",Sync!$P1539)+1,20),FIND("/",MID(Sync!$P1539,FIND("/",Sync!$P1539)+1,20))+1,20))),"")))</f>
        <v/>
      </c>
      <c r="AI1539">
        <f>IF($AE1539="","",IF(OR($AF1539="",$AG1539="",$AH1539="",$AF1539&lt;1300,$AF1539&gt;1500,$AG1539&lt;1,$AG1539&gt;12,$AH1539&lt;1,$AH1539&gt;31),"نامعتبر",RIGHT("0000"&amp;$AF1539,4)&amp;"/"&amp;RIGHT("00"&amp;$AG1539,2)&amp;"/"&amp;RIGHT("00"&amp;$AH1539,2)))</f>
        <v/>
      </c>
      <c r="AJ1539">
        <f>IF($AE1539="","",IF(Sync!$Q1539="","0000",IF(AND(ISNUMBER(Sync!$Q1539),Sync!$Q1539&gt;=0,Sync!$Q1539&lt;1),RIGHT("00"&amp;HOUR(Sync!$Q1539),2)&amp;RIGHT("00"&amp;MINUTE(Sync!$Q1539),2),IFERROR(RIGHT("00"&amp;VALUE(LEFT(Sync!$Q1539,FIND(":",Sync!$Q1539)-1)),2)&amp;RIGHT("00"&amp;VALUE(MID(Sync!$Q1539,FIND(":",Sync!$Q1539)+1,2)),2),"0000"))))</f>
        <v/>
      </c>
      <c r="AK1539">
        <f>IF(OR($AE1539="",$AI1539="",$AI1539="نامعتبر"),"",LEFT($AI1539,4)&amp;MID($AI1539,6,2)&amp;RIGHT($AI1539,2)&amp;$AJ1539&amp;"|"&amp;"3"&amp;RIGHT("00000"&amp;1534,5))</f>
        <v/>
      </c>
      <c r="AL1539">
        <f>IF($AK1539="","",COUNTIFS(LdAParty,$AE1539,LdAType,1,LdAKey,"&lt;"&amp;$AK1539)+COUNTIFS(LdBMember,$AE1539,LdBKey,"&lt;"&amp;$AK1539)+COUNTIFS(LdCParty,$AE1539,LdCKey,"&lt;"&amp;$AK1539)+1)</f>
        <v/>
      </c>
      <c r="AM1539">
        <f>IF($AL1539="","",$AE1539&amp;"|"&amp;RIGHT("000000"&amp;$AL1539,6))</f>
        <v/>
      </c>
      <c r="AN1539">
        <f>IF($AE1539="","",IF(Sync!$W1539="",0,Sync!$W1539))</f>
        <v/>
      </c>
      <c r="AO1539">
        <f>IF($AE1539="","",IF(Sync!$X1539="",0,Sync!$X1539))</f>
        <v/>
      </c>
      <c r="AP1539">
        <f>IF($AE1539="","",Sync!$R1539)</f>
        <v/>
      </c>
      <c r="AQ1539">
        <f>IF($AE1539="","",Sync!$Y1539)</f>
        <v/>
      </c>
    </row>
    <row r="1540">
      <c r="A1540">
        <f>IF(OR(Wages!$B1543="",Wages!$E1543=""),"",Wages!$E1543)</f>
        <v/>
      </c>
      <c r="B1540">
        <f>IF($A1540="","",IF(Wages!$C1543="دستمزد گروهی",2,1))</f>
        <v/>
      </c>
      <c r="C1540">
        <f>IF($A1540="","",IF(ISNUMBER(Wages!$B1543),IF(AND(Wages!$B1543&gt;=10000101,Wages!$B1543&lt;=99991231),INT(Wages!$B1543/10000),""),IFERROR(VALUE(TRIM(LEFT(Wages!$B1543,FIND("/",Wages!$B1543)-1))),"")))</f>
        <v/>
      </c>
      <c r="D1540">
        <f>IF(OR($A1540="",$C1540=""),"",IF(ISNUMBER(Wages!$B1543),INT(MOD(Wages!$B1543,10000)/100),IFERROR(VALUE(TRIM(LEFT(MID(Wages!$B1543,FIND("/",Wages!$B1543)+1,20),FIND("/",MID(Wages!$B1543,FIND("/",Wages!$B1543)+1,20))-1))),"")))</f>
        <v/>
      </c>
      <c r="E1540">
        <f>IF(OR($A1540="",$C1540=""),"",IF(ISNUMBER(Wages!$B1543),MOD(Wages!$B1543,100),IFERROR(VALUE(TRIM(MID(MID(Wages!$B1543,FIND("/",Wages!$B1543)+1,20),FIND("/",MID(Wages!$B1543,FIND("/",Wages!$B1543)+1,20))+1,20))),"")))</f>
        <v/>
      </c>
      <c r="F1540">
        <f>IF($A1540="","",IF(OR($C1540="",$D1540="",$E1540="",$C1540&lt;1300,$C1540&gt;1500,$D1540&lt;1,$D1540&gt;12,$E1540&lt;1,$E1540&gt;31),"نامعتبر",RIGHT("0000"&amp;$C1540,4)&amp;"/"&amp;RIGHT("00"&amp;$D1540,2)&amp;"/"&amp;RIGHT("00"&amp;$E1540,2)))</f>
        <v/>
      </c>
      <c r="G1540">
        <f>IF(OR($A1540="",$F1540="",$F1540="نامعتبر"),"",LEFT($F1540,4)&amp;MID($F1540,6,2)&amp;RIGHT($F1540,2)&amp;"0000"&amp;"|"&amp;"1"&amp;RIGHT("00000"&amp;1535,5))</f>
        <v/>
      </c>
      <c r="H1540">
        <f>IF(OR($B1540&lt;&gt;1,$G1540=""),"",COUNTIFS(LdAParty,$A1540,LdAType,1,LdAKey,"&lt;"&amp;$G1540)+COUNTIFS(LdBMember,$A1540,LdBKey,"&lt;"&amp;$G1540)+COUNTIFS(LdCParty,$A1540,LdCKey,"&lt;"&amp;$G1540)+1)</f>
        <v/>
      </c>
      <c r="I1540">
        <f>IF($H1540="","",$A1540&amp;"|"&amp;RIGHT("000000"&amp;$H1540,6))</f>
        <v/>
      </c>
      <c r="J1540">
        <f>IF(OR($B1540&lt;&gt;2,$G1540=""),"",COUNTIFS(LdAParty,$A1540,LdAType,2,LdAKey,"&lt;"&amp;$G1540)+1)</f>
        <v/>
      </c>
      <c r="K1540">
        <f>IF($J1540="","",$A1540&amp;"|"&amp;RIGHT("000000"&amp;$J1540,6))</f>
        <v/>
      </c>
      <c r="L1540">
        <f>IF($A1540="","",IF(Wages!$G1543="",0,Wages!$G1543))</f>
        <v/>
      </c>
      <c r="M1540">
        <f>IF($A1540="","",Wages!$J1543)</f>
        <v/>
      </c>
      <c r="N1540">
        <f>IF($A1540="","",Wages!$D1543)</f>
        <v/>
      </c>
      <c r="P1540">
        <f>IF(OR(Shares!$B1543="",Shares!$C1543=""),"",Shares!$C1543)</f>
        <v/>
      </c>
      <c r="Q1540">
        <f>IF($P1540="","",Shares!$B1543)</f>
        <v/>
      </c>
      <c r="R1540">
        <f>IF($P1540="","",IFERROR(INDEX(WageParty,MATCH($Q1540,WageIds,0)),""))</f>
        <v/>
      </c>
      <c r="S1540">
        <f>IF($P1540="","",IFERROR(INDEX($F$6:$F$2005,MATCH($Q1540,WageIds,0)),""))</f>
        <v/>
      </c>
      <c r="T1540">
        <f>IF(OR($P1540="",$S1540="",$S1540="نامعتبر"),"",LEFT($S1540,4)&amp;MID($S1540,6,2)&amp;RIGHT($S1540,2)&amp;"0000"&amp;"|"&amp;"2"&amp;RIGHT("00000"&amp;1535,5))</f>
        <v/>
      </c>
      <c r="U1540">
        <f>IF($T1540="","",COUNTIFS(LdAParty,$P1540,LdAType,1,LdAKey,"&lt;"&amp;$T1540)+COUNTIFS(LdBMember,$P1540,LdBKey,"&lt;"&amp;$T1540)+COUNTIFS(LdCParty,$P1540,LdCKey,"&lt;"&amp;$T1540)+1)</f>
        <v/>
      </c>
      <c r="V1540">
        <f>IF($U1540="","",$P1540&amp;"|"&amp;RIGHT("000000"&amp;$U1540,6))</f>
        <v/>
      </c>
      <c r="W1540">
        <f>IF($T1540="","",COUNTIFS(LdBGroup,$R1540,LdBKey,"&lt;"&amp;$T1540)+1)</f>
        <v/>
      </c>
      <c r="X1540">
        <f>IF($W1540="","",$R1540&amp;"|"&amp;RIGHT("000000"&amp;$W1540,6))</f>
        <v/>
      </c>
      <c r="Y1540">
        <f>IF($P1540="","",IF(Shares!$E1543="",0,Shares!$E1543))</f>
        <v/>
      </c>
      <c r="Z1540">
        <f>IF($P1540="","",Shares!$H1543)</f>
        <v/>
      </c>
      <c r="AE1540">
        <f>IF(OR(Sync!$S1540="",Sync!$P1540=""),"",Sync!$S1540)</f>
        <v/>
      </c>
      <c r="AF1540">
        <f>IF($AE1540="","",IF(ISNUMBER(Sync!$P1540),IF(AND(Sync!$P1540&gt;=10000101,Sync!$P1540&lt;=99991231),INT(Sync!$P1540/10000),""),IFERROR(VALUE(TRIM(LEFT(Sync!$P1540,FIND("/",Sync!$P1540)-1))),"")))</f>
        <v/>
      </c>
      <c r="AG1540">
        <f>IF(OR($AE1540="",$AF1540=""),"",IF(ISNUMBER(Sync!$P1540),INT(MOD(Sync!$P1540,10000)/100),IFERROR(VALUE(TRIM(LEFT(MID(Sync!$P1540,FIND("/",Sync!$P1540)+1,20),FIND("/",MID(Sync!$P1540,FIND("/",Sync!$P1540)+1,20))-1))),"")))</f>
        <v/>
      </c>
      <c r="AH1540">
        <f>IF(OR($AE1540="",$AF1540=""),"",IF(ISNUMBER(Sync!$P1540),MOD(Sync!$P1540,100),IFERROR(VALUE(TRIM(MID(MID(Sync!$P1540,FIND("/",Sync!$P1540)+1,20),FIND("/",MID(Sync!$P1540,FIND("/",Sync!$P1540)+1,20))+1,20))),"")))</f>
        <v/>
      </c>
      <c r="AI1540">
        <f>IF($AE1540="","",IF(OR($AF1540="",$AG1540="",$AH1540="",$AF1540&lt;1300,$AF1540&gt;1500,$AG1540&lt;1,$AG1540&gt;12,$AH1540&lt;1,$AH1540&gt;31),"نامعتبر",RIGHT("0000"&amp;$AF1540,4)&amp;"/"&amp;RIGHT("00"&amp;$AG1540,2)&amp;"/"&amp;RIGHT("00"&amp;$AH1540,2)))</f>
        <v/>
      </c>
      <c r="AJ1540">
        <f>IF($AE1540="","",IF(Sync!$Q1540="","0000",IF(AND(ISNUMBER(Sync!$Q1540),Sync!$Q1540&gt;=0,Sync!$Q1540&lt;1),RIGHT("00"&amp;HOUR(Sync!$Q1540),2)&amp;RIGHT("00"&amp;MINUTE(Sync!$Q1540),2),IFERROR(RIGHT("00"&amp;VALUE(LEFT(Sync!$Q1540,FIND(":",Sync!$Q1540)-1)),2)&amp;RIGHT("00"&amp;VALUE(MID(Sync!$Q1540,FIND(":",Sync!$Q1540)+1,2)),2),"0000"))))</f>
        <v/>
      </c>
      <c r="AK1540">
        <f>IF(OR($AE1540="",$AI1540="",$AI1540="نامعتبر"),"",LEFT($AI1540,4)&amp;MID($AI1540,6,2)&amp;RIGHT($AI1540,2)&amp;$AJ1540&amp;"|"&amp;"3"&amp;RIGHT("00000"&amp;1535,5))</f>
        <v/>
      </c>
      <c r="AL1540">
        <f>IF($AK1540="","",COUNTIFS(LdAParty,$AE1540,LdAType,1,LdAKey,"&lt;"&amp;$AK1540)+COUNTIFS(LdBMember,$AE1540,LdBKey,"&lt;"&amp;$AK1540)+COUNTIFS(LdCParty,$AE1540,LdCKey,"&lt;"&amp;$AK1540)+1)</f>
        <v/>
      </c>
      <c r="AM1540">
        <f>IF($AL1540="","",$AE1540&amp;"|"&amp;RIGHT("000000"&amp;$AL1540,6))</f>
        <v/>
      </c>
      <c r="AN1540">
        <f>IF($AE1540="","",IF(Sync!$W1540="",0,Sync!$W1540))</f>
        <v/>
      </c>
      <c r="AO1540">
        <f>IF($AE1540="","",IF(Sync!$X1540="",0,Sync!$X1540))</f>
        <v/>
      </c>
      <c r="AP1540">
        <f>IF($AE1540="","",Sync!$R1540)</f>
        <v/>
      </c>
      <c r="AQ1540">
        <f>IF($AE1540="","",Sync!$Y1540)</f>
        <v/>
      </c>
    </row>
    <row r="1541">
      <c r="A1541">
        <f>IF(OR(Wages!$B1544="",Wages!$E1544=""),"",Wages!$E1544)</f>
        <v/>
      </c>
      <c r="B1541">
        <f>IF($A1541="","",IF(Wages!$C1544="دستمزد گروهی",2,1))</f>
        <v/>
      </c>
      <c r="C1541">
        <f>IF($A1541="","",IF(ISNUMBER(Wages!$B1544),IF(AND(Wages!$B1544&gt;=10000101,Wages!$B1544&lt;=99991231),INT(Wages!$B1544/10000),""),IFERROR(VALUE(TRIM(LEFT(Wages!$B1544,FIND("/",Wages!$B1544)-1))),"")))</f>
        <v/>
      </c>
      <c r="D1541">
        <f>IF(OR($A1541="",$C1541=""),"",IF(ISNUMBER(Wages!$B1544),INT(MOD(Wages!$B1544,10000)/100),IFERROR(VALUE(TRIM(LEFT(MID(Wages!$B1544,FIND("/",Wages!$B1544)+1,20),FIND("/",MID(Wages!$B1544,FIND("/",Wages!$B1544)+1,20))-1))),"")))</f>
        <v/>
      </c>
      <c r="E1541">
        <f>IF(OR($A1541="",$C1541=""),"",IF(ISNUMBER(Wages!$B1544),MOD(Wages!$B1544,100),IFERROR(VALUE(TRIM(MID(MID(Wages!$B1544,FIND("/",Wages!$B1544)+1,20),FIND("/",MID(Wages!$B1544,FIND("/",Wages!$B1544)+1,20))+1,20))),"")))</f>
        <v/>
      </c>
      <c r="F1541">
        <f>IF($A1541="","",IF(OR($C1541="",$D1541="",$E1541="",$C1541&lt;1300,$C1541&gt;1500,$D1541&lt;1,$D1541&gt;12,$E1541&lt;1,$E1541&gt;31),"نامعتبر",RIGHT("0000"&amp;$C1541,4)&amp;"/"&amp;RIGHT("00"&amp;$D1541,2)&amp;"/"&amp;RIGHT("00"&amp;$E1541,2)))</f>
        <v/>
      </c>
      <c r="G1541">
        <f>IF(OR($A1541="",$F1541="",$F1541="نامعتبر"),"",LEFT($F1541,4)&amp;MID($F1541,6,2)&amp;RIGHT($F1541,2)&amp;"0000"&amp;"|"&amp;"1"&amp;RIGHT("00000"&amp;1536,5))</f>
        <v/>
      </c>
      <c r="H1541">
        <f>IF(OR($B1541&lt;&gt;1,$G1541=""),"",COUNTIFS(LdAParty,$A1541,LdAType,1,LdAKey,"&lt;"&amp;$G1541)+COUNTIFS(LdBMember,$A1541,LdBKey,"&lt;"&amp;$G1541)+COUNTIFS(LdCParty,$A1541,LdCKey,"&lt;"&amp;$G1541)+1)</f>
        <v/>
      </c>
      <c r="I1541">
        <f>IF($H1541="","",$A1541&amp;"|"&amp;RIGHT("000000"&amp;$H1541,6))</f>
        <v/>
      </c>
      <c r="J1541">
        <f>IF(OR($B1541&lt;&gt;2,$G1541=""),"",COUNTIFS(LdAParty,$A1541,LdAType,2,LdAKey,"&lt;"&amp;$G1541)+1)</f>
        <v/>
      </c>
      <c r="K1541">
        <f>IF($J1541="","",$A1541&amp;"|"&amp;RIGHT("000000"&amp;$J1541,6))</f>
        <v/>
      </c>
      <c r="L1541">
        <f>IF($A1541="","",IF(Wages!$G1544="",0,Wages!$G1544))</f>
        <v/>
      </c>
      <c r="M1541">
        <f>IF($A1541="","",Wages!$J1544)</f>
        <v/>
      </c>
      <c r="N1541">
        <f>IF($A1541="","",Wages!$D1544)</f>
        <v/>
      </c>
      <c r="P1541">
        <f>IF(OR(Shares!$B1544="",Shares!$C1544=""),"",Shares!$C1544)</f>
        <v/>
      </c>
      <c r="Q1541">
        <f>IF($P1541="","",Shares!$B1544)</f>
        <v/>
      </c>
      <c r="R1541">
        <f>IF($P1541="","",IFERROR(INDEX(WageParty,MATCH($Q1541,WageIds,0)),""))</f>
        <v/>
      </c>
      <c r="S1541">
        <f>IF($P1541="","",IFERROR(INDEX($F$6:$F$2005,MATCH($Q1541,WageIds,0)),""))</f>
        <v/>
      </c>
      <c r="T1541">
        <f>IF(OR($P1541="",$S1541="",$S1541="نامعتبر"),"",LEFT($S1541,4)&amp;MID($S1541,6,2)&amp;RIGHT($S1541,2)&amp;"0000"&amp;"|"&amp;"2"&amp;RIGHT("00000"&amp;1536,5))</f>
        <v/>
      </c>
      <c r="U1541">
        <f>IF($T1541="","",COUNTIFS(LdAParty,$P1541,LdAType,1,LdAKey,"&lt;"&amp;$T1541)+COUNTIFS(LdBMember,$P1541,LdBKey,"&lt;"&amp;$T1541)+COUNTIFS(LdCParty,$P1541,LdCKey,"&lt;"&amp;$T1541)+1)</f>
        <v/>
      </c>
      <c r="V1541">
        <f>IF($U1541="","",$P1541&amp;"|"&amp;RIGHT("000000"&amp;$U1541,6))</f>
        <v/>
      </c>
      <c r="W1541">
        <f>IF($T1541="","",COUNTIFS(LdBGroup,$R1541,LdBKey,"&lt;"&amp;$T1541)+1)</f>
        <v/>
      </c>
      <c r="X1541">
        <f>IF($W1541="","",$R1541&amp;"|"&amp;RIGHT("000000"&amp;$W1541,6))</f>
        <v/>
      </c>
      <c r="Y1541">
        <f>IF($P1541="","",IF(Shares!$E1544="",0,Shares!$E1544))</f>
        <v/>
      </c>
      <c r="Z1541">
        <f>IF($P1541="","",Shares!$H1544)</f>
        <v/>
      </c>
      <c r="AE1541">
        <f>IF(OR(Sync!$S1541="",Sync!$P1541=""),"",Sync!$S1541)</f>
        <v/>
      </c>
      <c r="AF1541">
        <f>IF($AE1541="","",IF(ISNUMBER(Sync!$P1541),IF(AND(Sync!$P1541&gt;=10000101,Sync!$P1541&lt;=99991231),INT(Sync!$P1541/10000),""),IFERROR(VALUE(TRIM(LEFT(Sync!$P1541,FIND("/",Sync!$P1541)-1))),"")))</f>
        <v/>
      </c>
      <c r="AG1541">
        <f>IF(OR($AE1541="",$AF1541=""),"",IF(ISNUMBER(Sync!$P1541),INT(MOD(Sync!$P1541,10000)/100),IFERROR(VALUE(TRIM(LEFT(MID(Sync!$P1541,FIND("/",Sync!$P1541)+1,20),FIND("/",MID(Sync!$P1541,FIND("/",Sync!$P1541)+1,20))-1))),"")))</f>
        <v/>
      </c>
      <c r="AH1541">
        <f>IF(OR($AE1541="",$AF1541=""),"",IF(ISNUMBER(Sync!$P1541),MOD(Sync!$P1541,100),IFERROR(VALUE(TRIM(MID(MID(Sync!$P1541,FIND("/",Sync!$P1541)+1,20),FIND("/",MID(Sync!$P1541,FIND("/",Sync!$P1541)+1,20))+1,20))),"")))</f>
        <v/>
      </c>
      <c r="AI1541">
        <f>IF($AE1541="","",IF(OR($AF1541="",$AG1541="",$AH1541="",$AF1541&lt;1300,$AF1541&gt;1500,$AG1541&lt;1,$AG1541&gt;12,$AH1541&lt;1,$AH1541&gt;31),"نامعتبر",RIGHT("0000"&amp;$AF1541,4)&amp;"/"&amp;RIGHT("00"&amp;$AG1541,2)&amp;"/"&amp;RIGHT("00"&amp;$AH1541,2)))</f>
        <v/>
      </c>
      <c r="AJ1541">
        <f>IF($AE1541="","",IF(Sync!$Q1541="","0000",IF(AND(ISNUMBER(Sync!$Q1541),Sync!$Q1541&gt;=0,Sync!$Q1541&lt;1),RIGHT("00"&amp;HOUR(Sync!$Q1541),2)&amp;RIGHT("00"&amp;MINUTE(Sync!$Q1541),2),IFERROR(RIGHT("00"&amp;VALUE(LEFT(Sync!$Q1541,FIND(":",Sync!$Q1541)-1)),2)&amp;RIGHT("00"&amp;VALUE(MID(Sync!$Q1541,FIND(":",Sync!$Q1541)+1,2)),2),"0000"))))</f>
        <v/>
      </c>
      <c r="AK1541">
        <f>IF(OR($AE1541="",$AI1541="",$AI1541="نامعتبر"),"",LEFT($AI1541,4)&amp;MID($AI1541,6,2)&amp;RIGHT($AI1541,2)&amp;$AJ1541&amp;"|"&amp;"3"&amp;RIGHT("00000"&amp;1536,5))</f>
        <v/>
      </c>
      <c r="AL1541">
        <f>IF($AK1541="","",COUNTIFS(LdAParty,$AE1541,LdAType,1,LdAKey,"&lt;"&amp;$AK1541)+COUNTIFS(LdBMember,$AE1541,LdBKey,"&lt;"&amp;$AK1541)+COUNTIFS(LdCParty,$AE1541,LdCKey,"&lt;"&amp;$AK1541)+1)</f>
        <v/>
      </c>
      <c r="AM1541">
        <f>IF($AL1541="","",$AE1541&amp;"|"&amp;RIGHT("000000"&amp;$AL1541,6))</f>
        <v/>
      </c>
      <c r="AN1541">
        <f>IF($AE1541="","",IF(Sync!$W1541="",0,Sync!$W1541))</f>
        <v/>
      </c>
      <c r="AO1541">
        <f>IF($AE1541="","",IF(Sync!$X1541="",0,Sync!$X1541))</f>
        <v/>
      </c>
      <c r="AP1541">
        <f>IF($AE1541="","",Sync!$R1541)</f>
        <v/>
      </c>
      <c r="AQ1541">
        <f>IF($AE1541="","",Sync!$Y1541)</f>
        <v/>
      </c>
    </row>
    <row r="1542">
      <c r="A1542">
        <f>IF(OR(Wages!$B1545="",Wages!$E1545=""),"",Wages!$E1545)</f>
        <v/>
      </c>
      <c r="B1542">
        <f>IF($A1542="","",IF(Wages!$C1545="دستمزد گروهی",2,1))</f>
        <v/>
      </c>
      <c r="C1542">
        <f>IF($A1542="","",IF(ISNUMBER(Wages!$B1545),IF(AND(Wages!$B1545&gt;=10000101,Wages!$B1545&lt;=99991231),INT(Wages!$B1545/10000),""),IFERROR(VALUE(TRIM(LEFT(Wages!$B1545,FIND("/",Wages!$B1545)-1))),"")))</f>
        <v/>
      </c>
      <c r="D1542">
        <f>IF(OR($A1542="",$C1542=""),"",IF(ISNUMBER(Wages!$B1545),INT(MOD(Wages!$B1545,10000)/100),IFERROR(VALUE(TRIM(LEFT(MID(Wages!$B1545,FIND("/",Wages!$B1545)+1,20),FIND("/",MID(Wages!$B1545,FIND("/",Wages!$B1545)+1,20))-1))),"")))</f>
        <v/>
      </c>
      <c r="E1542">
        <f>IF(OR($A1542="",$C1542=""),"",IF(ISNUMBER(Wages!$B1545),MOD(Wages!$B1545,100),IFERROR(VALUE(TRIM(MID(MID(Wages!$B1545,FIND("/",Wages!$B1545)+1,20),FIND("/",MID(Wages!$B1545,FIND("/",Wages!$B1545)+1,20))+1,20))),"")))</f>
        <v/>
      </c>
      <c r="F1542">
        <f>IF($A1542="","",IF(OR($C1542="",$D1542="",$E1542="",$C1542&lt;1300,$C1542&gt;1500,$D1542&lt;1,$D1542&gt;12,$E1542&lt;1,$E1542&gt;31),"نامعتبر",RIGHT("0000"&amp;$C1542,4)&amp;"/"&amp;RIGHT("00"&amp;$D1542,2)&amp;"/"&amp;RIGHT("00"&amp;$E1542,2)))</f>
        <v/>
      </c>
      <c r="G1542">
        <f>IF(OR($A1542="",$F1542="",$F1542="نامعتبر"),"",LEFT($F1542,4)&amp;MID($F1542,6,2)&amp;RIGHT($F1542,2)&amp;"0000"&amp;"|"&amp;"1"&amp;RIGHT("00000"&amp;1537,5))</f>
        <v/>
      </c>
      <c r="H1542">
        <f>IF(OR($B1542&lt;&gt;1,$G1542=""),"",COUNTIFS(LdAParty,$A1542,LdAType,1,LdAKey,"&lt;"&amp;$G1542)+COUNTIFS(LdBMember,$A1542,LdBKey,"&lt;"&amp;$G1542)+COUNTIFS(LdCParty,$A1542,LdCKey,"&lt;"&amp;$G1542)+1)</f>
        <v/>
      </c>
      <c r="I1542">
        <f>IF($H1542="","",$A1542&amp;"|"&amp;RIGHT("000000"&amp;$H1542,6))</f>
        <v/>
      </c>
      <c r="J1542">
        <f>IF(OR($B1542&lt;&gt;2,$G1542=""),"",COUNTIFS(LdAParty,$A1542,LdAType,2,LdAKey,"&lt;"&amp;$G1542)+1)</f>
        <v/>
      </c>
      <c r="K1542">
        <f>IF($J1542="","",$A1542&amp;"|"&amp;RIGHT("000000"&amp;$J1542,6))</f>
        <v/>
      </c>
      <c r="L1542">
        <f>IF($A1542="","",IF(Wages!$G1545="",0,Wages!$G1545))</f>
        <v/>
      </c>
      <c r="M1542">
        <f>IF($A1542="","",Wages!$J1545)</f>
        <v/>
      </c>
      <c r="N1542">
        <f>IF($A1542="","",Wages!$D1545)</f>
        <v/>
      </c>
      <c r="P1542">
        <f>IF(OR(Shares!$B1545="",Shares!$C1545=""),"",Shares!$C1545)</f>
        <v/>
      </c>
      <c r="Q1542">
        <f>IF($P1542="","",Shares!$B1545)</f>
        <v/>
      </c>
      <c r="R1542">
        <f>IF($P1542="","",IFERROR(INDEX(WageParty,MATCH($Q1542,WageIds,0)),""))</f>
        <v/>
      </c>
      <c r="S1542">
        <f>IF($P1542="","",IFERROR(INDEX($F$6:$F$2005,MATCH($Q1542,WageIds,0)),""))</f>
        <v/>
      </c>
      <c r="T1542">
        <f>IF(OR($P1542="",$S1542="",$S1542="نامعتبر"),"",LEFT($S1542,4)&amp;MID($S1542,6,2)&amp;RIGHT($S1542,2)&amp;"0000"&amp;"|"&amp;"2"&amp;RIGHT("00000"&amp;1537,5))</f>
        <v/>
      </c>
      <c r="U1542">
        <f>IF($T1542="","",COUNTIFS(LdAParty,$P1542,LdAType,1,LdAKey,"&lt;"&amp;$T1542)+COUNTIFS(LdBMember,$P1542,LdBKey,"&lt;"&amp;$T1542)+COUNTIFS(LdCParty,$P1542,LdCKey,"&lt;"&amp;$T1542)+1)</f>
        <v/>
      </c>
      <c r="V1542">
        <f>IF($U1542="","",$P1542&amp;"|"&amp;RIGHT("000000"&amp;$U1542,6))</f>
        <v/>
      </c>
      <c r="W1542">
        <f>IF($T1542="","",COUNTIFS(LdBGroup,$R1542,LdBKey,"&lt;"&amp;$T1542)+1)</f>
        <v/>
      </c>
      <c r="X1542">
        <f>IF($W1542="","",$R1542&amp;"|"&amp;RIGHT("000000"&amp;$W1542,6))</f>
        <v/>
      </c>
      <c r="Y1542">
        <f>IF($P1542="","",IF(Shares!$E1545="",0,Shares!$E1545))</f>
        <v/>
      </c>
      <c r="Z1542">
        <f>IF($P1542="","",Shares!$H1545)</f>
        <v/>
      </c>
      <c r="AE1542">
        <f>IF(OR(Sync!$S1542="",Sync!$P1542=""),"",Sync!$S1542)</f>
        <v/>
      </c>
      <c r="AF1542">
        <f>IF($AE1542="","",IF(ISNUMBER(Sync!$P1542),IF(AND(Sync!$P1542&gt;=10000101,Sync!$P1542&lt;=99991231),INT(Sync!$P1542/10000),""),IFERROR(VALUE(TRIM(LEFT(Sync!$P1542,FIND("/",Sync!$P1542)-1))),"")))</f>
        <v/>
      </c>
      <c r="AG1542">
        <f>IF(OR($AE1542="",$AF1542=""),"",IF(ISNUMBER(Sync!$P1542),INT(MOD(Sync!$P1542,10000)/100),IFERROR(VALUE(TRIM(LEFT(MID(Sync!$P1542,FIND("/",Sync!$P1542)+1,20),FIND("/",MID(Sync!$P1542,FIND("/",Sync!$P1542)+1,20))-1))),"")))</f>
        <v/>
      </c>
      <c r="AH1542">
        <f>IF(OR($AE1542="",$AF1542=""),"",IF(ISNUMBER(Sync!$P1542),MOD(Sync!$P1542,100),IFERROR(VALUE(TRIM(MID(MID(Sync!$P1542,FIND("/",Sync!$P1542)+1,20),FIND("/",MID(Sync!$P1542,FIND("/",Sync!$P1542)+1,20))+1,20))),"")))</f>
        <v/>
      </c>
      <c r="AI1542">
        <f>IF($AE1542="","",IF(OR($AF1542="",$AG1542="",$AH1542="",$AF1542&lt;1300,$AF1542&gt;1500,$AG1542&lt;1,$AG1542&gt;12,$AH1542&lt;1,$AH1542&gt;31),"نامعتبر",RIGHT("0000"&amp;$AF1542,4)&amp;"/"&amp;RIGHT("00"&amp;$AG1542,2)&amp;"/"&amp;RIGHT("00"&amp;$AH1542,2)))</f>
        <v/>
      </c>
      <c r="AJ1542">
        <f>IF($AE1542="","",IF(Sync!$Q1542="","0000",IF(AND(ISNUMBER(Sync!$Q1542),Sync!$Q1542&gt;=0,Sync!$Q1542&lt;1),RIGHT("00"&amp;HOUR(Sync!$Q1542),2)&amp;RIGHT("00"&amp;MINUTE(Sync!$Q1542),2),IFERROR(RIGHT("00"&amp;VALUE(LEFT(Sync!$Q1542,FIND(":",Sync!$Q1542)-1)),2)&amp;RIGHT("00"&amp;VALUE(MID(Sync!$Q1542,FIND(":",Sync!$Q1542)+1,2)),2),"0000"))))</f>
        <v/>
      </c>
      <c r="AK1542">
        <f>IF(OR($AE1542="",$AI1542="",$AI1542="نامعتبر"),"",LEFT($AI1542,4)&amp;MID($AI1542,6,2)&amp;RIGHT($AI1542,2)&amp;$AJ1542&amp;"|"&amp;"3"&amp;RIGHT("00000"&amp;1537,5))</f>
        <v/>
      </c>
      <c r="AL1542">
        <f>IF($AK1542="","",COUNTIFS(LdAParty,$AE1542,LdAType,1,LdAKey,"&lt;"&amp;$AK1542)+COUNTIFS(LdBMember,$AE1542,LdBKey,"&lt;"&amp;$AK1542)+COUNTIFS(LdCParty,$AE1542,LdCKey,"&lt;"&amp;$AK1542)+1)</f>
        <v/>
      </c>
      <c r="AM1542">
        <f>IF($AL1542="","",$AE1542&amp;"|"&amp;RIGHT("000000"&amp;$AL1542,6))</f>
        <v/>
      </c>
      <c r="AN1542">
        <f>IF($AE1542="","",IF(Sync!$W1542="",0,Sync!$W1542))</f>
        <v/>
      </c>
      <c r="AO1542">
        <f>IF($AE1542="","",IF(Sync!$X1542="",0,Sync!$X1542))</f>
        <v/>
      </c>
      <c r="AP1542">
        <f>IF($AE1542="","",Sync!$R1542)</f>
        <v/>
      </c>
      <c r="AQ1542">
        <f>IF($AE1542="","",Sync!$Y1542)</f>
        <v/>
      </c>
    </row>
    <row r="1543">
      <c r="A1543">
        <f>IF(OR(Wages!$B1546="",Wages!$E1546=""),"",Wages!$E1546)</f>
        <v/>
      </c>
      <c r="B1543">
        <f>IF($A1543="","",IF(Wages!$C1546="دستمزد گروهی",2,1))</f>
        <v/>
      </c>
      <c r="C1543">
        <f>IF($A1543="","",IF(ISNUMBER(Wages!$B1546),IF(AND(Wages!$B1546&gt;=10000101,Wages!$B1546&lt;=99991231),INT(Wages!$B1546/10000),""),IFERROR(VALUE(TRIM(LEFT(Wages!$B1546,FIND("/",Wages!$B1546)-1))),"")))</f>
        <v/>
      </c>
      <c r="D1543">
        <f>IF(OR($A1543="",$C1543=""),"",IF(ISNUMBER(Wages!$B1546),INT(MOD(Wages!$B1546,10000)/100),IFERROR(VALUE(TRIM(LEFT(MID(Wages!$B1546,FIND("/",Wages!$B1546)+1,20),FIND("/",MID(Wages!$B1546,FIND("/",Wages!$B1546)+1,20))-1))),"")))</f>
        <v/>
      </c>
      <c r="E1543">
        <f>IF(OR($A1543="",$C1543=""),"",IF(ISNUMBER(Wages!$B1546),MOD(Wages!$B1546,100),IFERROR(VALUE(TRIM(MID(MID(Wages!$B1546,FIND("/",Wages!$B1546)+1,20),FIND("/",MID(Wages!$B1546,FIND("/",Wages!$B1546)+1,20))+1,20))),"")))</f>
        <v/>
      </c>
      <c r="F1543">
        <f>IF($A1543="","",IF(OR($C1543="",$D1543="",$E1543="",$C1543&lt;1300,$C1543&gt;1500,$D1543&lt;1,$D1543&gt;12,$E1543&lt;1,$E1543&gt;31),"نامعتبر",RIGHT("0000"&amp;$C1543,4)&amp;"/"&amp;RIGHT("00"&amp;$D1543,2)&amp;"/"&amp;RIGHT("00"&amp;$E1543,2)))</f>
        <v/>
      </c>
      <c r="G1543">
        <f>IF(OR($A1543="",$F1543="",$F1543="نامعتبر"),"",LEFT($F1543,4)&amp;MID($F1543,6,2)&amp;RIGHT($F1543,2)&amp;"0000"&amp;"|"&amp;"1"&amp;RIGHT("00000"&amp;1538,5))</f>
        <v/>
      </c>
      <c r="H1543">
        <f>IF(OR($B1543&lt;&gt;1,$G1543=""),"",COUNTIFS(LdAParty,$A1543,LdAType,1,LdAKey,"&lt;"&amp;$G1543)+COUNTIFS(LdBMember,$A1543,LdBKey,"&lt;"&amp;$G1543)+COUNTIFS(LdCParty,$A1543,LdCKey,"&lt;"&amp;$G1543)+1)</f>
        <v/>
      </c>
      <c r="I1543">
        <f>IF($H1543="","",$A1543&amp;"|"&amp;RIGHT("000000"&amp;$H1543,6))</f>
        <v/>
      </c>
      <c r="J1543">
        <f>IF(OR($B1543&lt;&gt;2,$G1543=""),"",COUNTIFS(LdAParty,$A1543,LdAType,2,LdAKey,"&lt;"&amp;$G1543)+1)</f>
        <v/>
      </c>
      <c r="K1543">
        <f>IF($J1543="","",$A1543&amp;"|"&amp;RIGHT("000000"&amp;$J1543,6))</f>
        <v/>
      </c>
      <c r="L1543">
        <f>IF($A1543="","",IF(Wages!$G1546="",0,Wages!$G1546))</f>
        <v/>
      </c>
      <c r="M1543">
        <f>IF($A1543="","",Wages!$J1546)</f>
        <v/>
      </c>
      <c r="N1543">
        <f>IF($A1543="","",Wages!$D1546)</f>
        <v/>
      </c>
      <c r="P1543">
        <f>IF(OR(Shares!$B1546="",Shares!$C1546=""),"",Shares!$C1546)</f>
        <v/>
      </c>
      <c r="Q1543">
        <f>IF($P1543="","",Shares!$B1546)</f>
        <v/>
      </c>
      <c r="R1543">
        <f>IF($P1543="","",IFERROR(INDEX(WageParty,MATCH($Q1543,WageIds,0)),""))</f>
        <v/>
      </c>
      <c r="S1543">
        <f>IF($P1543="","",IFERROR(INDEX($F$6:$F$2005,MATCH($Q1543,WageIds,0)),""))</f>
        <v/>
      </c>
      <c r="T1543">
        <f>IF(OR($P1543="",$S1543="",$S1543="نامعتبر"),"",LEFT($S1543,4)&amp;MID($S1543,6,2)&amp;RIGHT($S1543,2)&amp;"0000"&amp;"|"&amp;"2"&amp;RIGHT("00000"&amp;1538,5))</f>
        <v/>
      </c>
      <c r="U1543">
        <f>IF($T1543="","",COUNTIFS(LdAParty,$P1543,LdAType,1,LdAKey,"&lt;"&amp;$T1543)+COUNTIFS(LdBMember,$P1543,LdBKey,"&lt;"&amp;$T1543)+COUNTIFS(LdCParty,$P1543,LdCKey,"&lt;"&amp;$T1543)+1)</f>
        <v/>
      </c>
      <c r="V1543">
        <f>IF($U1543="","",$P1543&amp;"|"&amp;RIGHT("000000"&amp;$U1543,6))</f>
        <v/>
      </c>
      <c r="W1543">
        <f>IF($T1543="","",COUNTIFS(LdBGroup,$R1543,LdBKey,"&lt;"&amp;$T1543)+1)</f>
        <v/>
      </c>
      <c r="X1543">
        <f>IF($W1543="","",$R1543&amp;"|"&amp;RIGHT("000000"&amp;$W1543,6))</f>
        <v/>
      </c>
      <c r="Y1543">
        <f>IF($P1543="","",IF(Shares!$E1546="",0,Shares!$E1546))</f>
        <v/>
      </c>
      <c r="Z1543">
        <f>IF($P1543="","",Shares!$H1546)</f>
        <v/>
      </c>
      <c r="AE1543">
        <f>IF(OR(Sync!$S1543="",Sync!$P1543=""),"",Sync!$S1543)</f>
        <v/>
      </c>
      <c r="AF1543">
        <f>IF($AE1543="","",IF(ISNUMBER(Sync!$P1543),IF(AND(Sync!$P1543&gt;=10000101,Sync!$P1543&lt;=99991231),INT(Sync!$P1543/10000),""),IFERROR(VALUE(TRIM(LEFT(Sync!$P1543,FIND("/",Sync!$P1543)-1))),"")))</f>
        <v/>
      </c>
      <c r="AG1543">
        <f>IF(OR($AE1543="",$AF1543=""),"",IF(ISNUMBER(Sync!$P1543),INT(MOD(Sync!$P1543,10000)/100),IFERROR(VALUE(TRIM(LEFT(MID(Sync!$P1543,FIND("/",Sync!$P1543)+1,20),FIND("/",MID(Sync!$P1543,FIND("/",Sync!$P1543)+1,20))-1))),"")))</f>
        <v/>
      </c>
      <c r="AH1543">
        <f>IF(OR($AE1543="",$AF1543=""),"",IF(ISNUMBER(Sync!$P1543),MOD(Sync!$P1543,100),IFERROR(VALUE(TRIM(MID(MID(Sync!$P1543,FIND("/",Sync!$P1543)+1,20),FIND("/",MID(Sync!$P1543,FIND("/",Sync!$P1543)+1,20))+1,20))),"")))</f>
        <v/>
      </c>
      <c r="AI1543">
        <f>IF($AE1543="","",IF(OR($AF1543="",$AG1543="",$AH1543="",$AF1543&lt;1300,$AF1543&gt;1500,$AG1543&lt;1,$AG1543&gt;12,$AH1543&lt;1,$AH1543&gt;31),"نامعتبر",RIGHT("0000"&amp;$AF1543,4)&amp;"/"&amp;RIGHT("00"&amp;$AG1543,2)&amp;"/"&amp;RIGHT("00"&amp;$AH1543,2)))</f>
        <v/>
      </c>
      <c r="AJ1543">
        <f>IF($AE1543="","",IF(Sync!$Q1543="","0000",IF(AND(ISNUMBER(Sync!$Q1543),Sync!$Q1543&gt;=0,Sync!$Q1543&lt;1),RIGHT("00"&amp;HOUR(Sync!$Q1543),2)&amp;RIGHT("00"&amp;MINUTE(Sync!$Q1543),2),IFERROR(RIGHT("00"&amp;VALUE(LEFT(Sync!$Q1543,FIND(":",Sync!$Q1543)-1)),2)&amp;RIGHT("00"&amp;VALUE(MID(Sync!$Q1543,FIND(":",Sync!$Q1543)+1,2)),2),"0000"))))</f>
        <v/>
      </c>
      <c r="AK1543">
        <f>IF(OR($AE1543="",$AI1543="",$AI1543="نامعتبر"),"",LEFT($AI1543,4)&amp;MID($AI1543,6,2)&amp;RIGHT($AI1543,2)&amp;$AJ1543&amp;"|"&amp;"3"&amp;RIGHT("00000"&amp;1538,5))</f>
        <v/>
      </c>
      <c r="AL1543">
        <f>IF($AK1543="","",COUNTIFS(LdAParty,$AE1543,LdAType,1,LdAKey,"&lt;"&amp;$AK1543)+COUNTIFS(LdBMember,$AE1543,LdBKey,"&lt;"&amp;$AK1543)+COUNTIFS(LdCParty,$AE1543,LdCKey,"&lt;"&amp;$AK1543)+1)</f>
        <v/>
      </c>
      <c r="AM1543">
        <f>IF($AL1543="","",$AE1543&amp;"|"&amp;RIGHT("000000"&amp;$AL1543,6))</f>
        <v/>
      </c>
      <c r="AN1543">
        <f>IF($AE1543="","",IF(Sync!$W1543="",0,Sync!$W1543))</f>
        <v/>
      </c>
      <c r="AO1543">
        <f>IF($AE1543="","",IF(Sync!$X1543="",0,Sync!$X1543))</f>
        <v/>
      </c>
      <c r="AP1543">
        <f>IF($AE1543="","",Sync!$R1543)</f>
        <v/>
      </c>
      <c r="AQ1543">
        <f>IF($AE1543="","",Sync!$Y1543)</f>
        <v/>
      </c>
    </row>
    <row r="1544">
      <c r="A1544">
        <f>IF(OR(Wages!$B1547="",Wages!$E1547=""),"",Wages!$E1547)</f>
        <v/>
      </c>
      <c r="B1544">
        <f>IF($A1544="","",IF(Wages!$C1547="دستمزد گروهی",2,1))</f>
        <v/>
      </c>
      <c r="C1544">
        <f>IF($A1544="","",IF(ISNUMBER(Wages!$B1547),IF(AND(Wages!$B1547&gt;=10000101,Wages!$B1547&lt;=99991231),INT(Wages!$B1547/10000),""),IFERROR(VALUE(TRIM(LEFT(Wages!$B1547,FIND("/",Wages!$B1547)-1))),"")))</f>
        <v/>
      </c>
      <c r="D1544">
        <f>IF(OR($A1544="",$C1544=""),"",IF(ISNUMBER(Wages!$B1547),INT(MOD(Wages!$B1547,10000)/100),IFERROR(VALUE(TRIM(LEFT(MID(Wages!$B1547,FIND("/",Wages!$B1547)+1,20),FIND("/",MID(Wages!$B1547,FIND("/",Wages!$B1547)+1,20))-1))),"")))</f>
        <v/>
      </c>
      <c r="E1544">
        <f>IF(OR($A1544="",$C1544=""),"",IF(ISNUMBER(Wages!$B1547),MOD(Wages!$B1547,100),IFERROR(VALUE(TRIM(MID(MID(Wages!$B1547,FIND("/",Wages!$B1547)+1,20),FIND("/",MID(Wages!$B1547,FIND("/",Wages!$B1547)+1,20))+1,20))),"")))</f>
        <v/>
      </c>
      <c r="F1544">
        <f>IF($A1544="","",IF(OR($C1544="",$D1544="",$E1544="",$C1544&lt;1300,$C1544&gt;1500,$D1544&lt;1,$D1544&gt;12,$E1544&lt;1,$E1544&gt;31),"نامعتبر",RIGHT("0000"&amp;$C1544,4)&amp;"/"&amp;RIGHT("00"&amp;$D1544,2)&amp;"/"&amp;RIGHT("00"&amp;$E1544,2)))</f>
        <v/>
      </c>
      <c r="G1544">
        <f>IF(OR($A1544="",$F1544="",$F1544="نامعتبر"),"",LEFT($F1544,4)&amp;MID($F1544,6,2)&amp;RIGHT($F1544,2)&amp;"0000"&amp;"|"&amp;"1"&amp;RIGHT("00000"&amp;1539,5))</f>
        <v/>
      </c>
      <c r="H1544">
        <f>IF(OR($B1544&lt;&gt;1,$G1544=""),"",COUNTIFS(LdAParty,$A1544,LdAType,1,LdAKey,"&lt;"&amp;$G1544)+COUNTIFS(LdBMember,$A1544,LdBKey,"&lt;"&amp;$G1544)+COUNTIFS(LdCParty,$A1544,LdCKey,"&lt;"&amp;$G1544)+1)</f>
        <v/>
      </c>
      <c r="I1544">
        <f>IF($H1544="","",$A1544&amp;"|"&amp;RIGHT("000000"&amp;$H1544,6))</f>
        <v/>
      </c>
      <c r="J1544">
        <f>IF(OR($B1544&lt;&gt;2,$G1544=""),"",COUNTIFS(LdAParty,$A1544,LdAType,2,LdAKey,"&lt;"&amp;$G1544)+1)</f>
        <v/>
      </c>
      <c r="K1544">
        <f>IF($J1544="","",$A1544&amp;"|"&amp;RIGHT("000000"&amp;$J1544,6))</f>
        <v/>
      </c>
      <c r="L1544">
        <f>IF($A1544="","",IF(Wages!$G1547="",0,Wages!$G1547))</f>
        <v/>
      </c>
      <c r="M1544">
        <f>IF($A1544="","",Wages!$J1547)</f>
        <v/>
      </c>
      <c r="N1544">
        <f>IF($A1544="","",Wages!$D1547)</f>
        <v/>
      </c>
      <c r="P1544">
        <f>IF(OR(Shares!$B1547="",Shares!$C1547=""),"",Shares!$C1547)</f>
        <v/>
      </c>
      <c r="Q1544">
        <f>IF($P1544="","",Shares!$B1547)</f>
        <v/>
      </c>
      <c r="R1544">
        <f>IF($P1544="","",IFERROR(INDEX(WageParty,MATCH($Q1544,WageIds,0)),""))</f>
        <v/>
      </c>
      <c r="S1544">
        <f>IF($P1544="","",IFERROR(INDEX($F$6:$F$2005,MATCH($Q1544,WageIds,0)),""))</f>
        <v/>
      </c>
      <c r="T1544">
        <f>IF(OR($P1544="",$S1544="",$S1544="نامعتبر"),"",LEFT($S1544,4)&amp;MID($S1544,6,2)&amp;RIGHT($S1544,2)&amp;"0000"&amp;"|"&amp;"2"&amp;RIGHT("00000"&amp;1539,5))</f>
        <v/>
      </c>
      <c r="U1544">
        <f>IF($T1544="","",COUNTIFS(LdAParty,$P1544,LdAType,1,LdAKey,"&lt;"&amp;$T1544)+COUNTIFS(LdBMember,$P1544,LdBKey,"&lt;"&amp;$T1544)+COUNTIFS(LdCParty,$P1544,LdCKey,"&lt;"&amp;$T1544)+1)</f>
        <v/>
      </c>
      <c r="V1544">
        <f>IF($U1544="","",$P1544&amp;"|"&amp;RIGHT("000000"&amp;$U1544,6))</f>
        <v/>
      </c>
      <c r="W1544">
        <f>IF($T1544="","",COUNTIFS(LdBGroup,$R1544,LdBKey,"&lt;"&amp;$T1544)+1)</f>
        <v/>
      </c>
      <c r="X1544">
        <f>IF($W1544="","",$R1544&amp;"|"&amp;RIGHT("000000"&amp;$W1544,6))</f>
        <v/>
      </c>
      <c r="Y1544">
        <f>IF($P1544="","",IF(Shares!$E1547="",0,Shares!$E1547))</f>
        <v/>
      </c>
      <c r="Z1544">
        <f>IF($P1544="","",Shares!$H1547)</f>
        <v/>
      </c>
      <c r="AE1544">
        <f>IF(OR(Sync!$S1544="",Sync!$P1544=""),"",Sync!$S1544)</f>
        <v/>
      </c>
      <c r="AF1544">
        <f>IF($AE1544="","",IF(ISNUMBER(Sync!$P1544),IF(AND(Sync!$P1544&gt;=10000101,Sync!$P1544&lt;=99991231),INT(Sync!$P1544/10000),""),IFERROR(VALUE(TRIM(LEFT(Sync!$P1544,FIND("/",Sync!$P1544)-1))),"")))</f>
        <v/>
      </c>
      <c r="AG1544">
        <f>IF(OR($AE1544="",$AF1544=""),"",IF(ISNUMBER(Sync!$P1544),INT(MOD(Sync!$P1544,10000)/100),IFERROR(VALUE(TRIM(LEFT(MID(Sync!$P1544,FIND("/",Sync!$P1544)+1,20),FIND("/",MID(Sync!$P1544,FIND("/",Sync!$P1544)+1,20))-1))),"")))</f>
        <v/>
      </c>
      <c r="AH1544">
        <f>IF(OR($AE1544="",$AF1544=""),"",IF(ISNUMBER(Sync!$P1544),MOD(Sync!$P1544,100),IFERROR(VALUE(TRIM(MID(MID(Sync!$P1544,FIND("/",Sync!$P1544)+1,20),FIND("/",MID(Sync!$P1544,FIND("/",Sync!$P1544)+1,20))+1,20))),"")))</f>
        <v/>
      </c>
      <c r="AI1544">
        <f>IF($AE1544="","",IF(OR($AF1544="",$AG1544="",$AH1544="",$AF1544&lt;1300,$AF1544&gt;1500,$AG1544&lt;1,$AG1544&gt;12,$AH1544&lt;1,$AH1544&gt;31),"نامعتبر",RIGHT("0000"&amp;$AF1544,4)&amp;"/"&amp;RIGHT("00"&amp;$AG1544,2)&amp;"/"&amp;RIGHT("00"&amp;$AH1544,2)))</f>
        <v/>
      </c>
      <c r="AJ1544">
        <f>IF($AE1544="","",IF(Sync!$Q1544="","0000",IF(AND(ISNUMBER(Sync!$Q1544),Sync!$Q1544&gt;=0,Sync!$Q1544&lt;1),RIGHT("00"&amp;HOUR(Sync!$Q1544),2)&amp;RIGHT("00"&amp;MINUTE(Sync!$Q1544),2),IFERROR(RIGHT("00"&amp;VALUE(LEFT(Sync!$Q1544,FIND(":",Sync!$Q1544)-1)),2)&amp;RIGHT("00"&amp;VALUE(MID(Sync!$Q1544,FIND(":",Sync!$Q1544)+1,2)),2),"0000"))))</f>
        <v/>
      </c>
      <c r="AK1544">
        <f>IF(OR($AE1544="",$AI1544="",$AI1544="نامعتبر"),"",LEFT($AI1544,4)&amp;MID($AI1544,6,2)&amp;RIGHT($AI1544,2)&amp;$AJ1544&amp;"|"&amp;"3"&amp;RIGHT("00000"&amp;1539,5))</f>
        <v/>
      </c>
      <c r="AL1544">
        <f>IF($AK1544="","",COUNTIFS(LdAParty,$AE1544,LdAType,1,LdAKey,"&lt;"&amp;$AK1544)+COUNTIFS(LdBMember,$AE1544,LdBKey,"&lt;"&amp;$AK1544)+COUNTIFS(LdCParty,$AE1544,LdCKey,"&lt;"&amp;$AK1544)+1)</f>
        <v/>
      </c>
      <c r="AM1544">
        <f>IF($AL1544="","",$AE1544&amp;"|"&amp;RIGHT("000000"&amp;$AL1544,6))</f>
        <v/>
      </c>
      <c r="AN1544">
        <f>IF($AE1544="","",IF(Sync!$W1544="",0,Sync!$W1544))</f>
        <v/>
      </c>
      <c r="AO1544">
        <f>IF($AE1544="","",IF(Sync!$X1544="",0,Sync!$X1544))</f>
        <v/>
      </c>
      <c r="AP1544">
        <f>IF($AE1544="","",Sync!$R1544)</f>
        <v/>
      </c>
      <c r="AQ1544">
        <f>IF($AE1544="","",Sync!$Y1544)</f>
        <v/>
      </c>
    </row>
    <row r="1545">
      <c r="A1545">
        <f>IF(OR(Wages!$B1548="",Wages!$E1548=""),"",Wages!$E1548)</f>
        <v/>
      </c>
      <c r="B1545">
        <f>IF($A1545="","",IF(Wages!$C1548="دستمزد گروهی",2,1))</f>
        <v/>
      </c>
      <c r="C1545">
        <f>IF($A1545="","",IF(ISNUMBER(Wages!$B1548),IF(AND(Wages!$B1548&gt;=10000101,Wages!$B1548&lt;=99991231),INT(Wages!$B1548/10000),""),IFERROR(VALUE(TRIM(LEFT(Wages!$B1548,FIND("/",Wages!$B1548)-1))),"")))</f>
        <v/>
      </c>
      <c r="D1545">
        <f>IF(OR($A1545="",$C1545=""),"",IF(ISNUMBER(Wages!$B1548),INT(MOD(Wages!$B1548,10000)/100),IFERROR(VALUE(TRIM(LEFT(MID(Wages!$B1548,FIND("/",Wages!$B1548)+1,20),FIND("/",MID(Wages!$B1548,FIND("/",Wages!$B1548)+1,20))-1))),"")))</f>
        <v/>
      </c>
      <c r="E1545">
        <f>IF(OR($A1545="",$C1545=""),"",IF(ISNUMBER(Wages!$B1548),MOD(Wages!$B1548,100),IFERROR(VALUE(TRIM(MID(MID(Wages!$B1548,FIND("/",Wages!$B1548)+1,20),FIND("/",MID(Wages!$B1548,FIND("/",Wages!$B1548)+1,20))+1,20))),"")))</f>
        <v/>
      </c>
      <c r="F1545">
        <f>IF($A1545="","",IF(OR($C1545="",$D1545="",$E1545="",$C1545&lt;1300,$C1545&gt;1500,$D1545&lt;1,$D1545&gt;12,$E1545&lt;1,$E1545&gt;31),"نامعتبر",RIGHT("0000"&amp;$C1545,4)&amp;"/"&amp;RIGHT("00"&amp;$D1545,2)&amp;"/"&amp;RIGHT("00"&amp;$E1545,2)))</f>
        <v/>
      </c>
      <c r="G1545">
        <f>IF(OR($A1545="",$F1545="",$F1545="نامعتبر"),"",LEFT($F1545,4)&amp;MID($F1545,6,2)&amp;RIGHT($F1545,2)&amp;"0000"&amp;"|"&amp;"1"&amp;RIGHT("00000"&amp;1540,5))</f>
        <v/>
      </c>
      <c r="H1545">
        <f>IF(OR($B1545&lt;&gt;1,$G1545=""),"",COUNTIFS(LdAParty,$A1545,LdAType,1,LdAKey,"&lt;"&amp;$G1545)+COUNTIFS(LdBMember,$A1545,LdBKey,"&lt;"&amp;$G1545)+COUNTIFS(LdCParty,$A1545,LdCKey,"&lt;"&amp;$G1545)+1)</f>
        <v/>
      </c>
      <c r="I1545">
        <f>IF($H1545="","",$A1545&amp;"|"&amp;RIGHT("000000"&amp;$H1545,6))</f>
        <v/>
      </c>
      <c r="J1545">
        <f>IF(OR($B1545&lt;&gt;2,$G1545=""),"",COUNTIFS(LdAParty,$A1545,LdAType,2,LdAKey,"&lt;"&amp;$G1545)+1)</f>
        <v/>
      </c>
      <c r="K1545">
        <f>IF($J1545="","",$A1545&amp;"|"&amp;RIGHT("000000"&amp;$J1545,6))</f>
        <v/>
      </c>
      <c r="L1545">
        <f>IF($A1545="","",IF(Wages!$G1548="",0,Wages!$G1548))</f>
        <v/>
      </c>
      <c r="M1545">
        <f>IF($A1545="","",Wages!$J1548)</f>
        <v/>
      </c>
      <c r="N1545">
        <f>IF($A1545="","",Wages!$D1548)</f>
        <v/>
      </c>
      <c r="P1545">
        <f>IF(OR(Shares!$B1548="",Shares!$C1548=""),"",Shares!$C1548)</f>
        <v/>
      </c>
      <c r="Q1545">
        <f>IF($P1545="","",Shares!$B1548)</f>
        <v/>
      </c>
      <c r="R1545">
        <f>IF($P1545="","",IFERROR(INDEX(WageParty,MATCH($Q1545,WageIds,0)),""))</f>
        <v/>
      </c>
      <c r="S1545">
        <f>IF($P1545="","",IFERROR(INDEX($F$6:$F$2005,MATCH($Q1545,WageIds,0)),""))</f>
        <v/>
      </c>
      <c r="T1545">
        <f>IF(OR($P1545="",$S1545="",$S1545="نامعتبر"),"",LEFT($S1545,4)&amp;MID($S1545,6,2)&amp;RIGHT($S1545,2)&amp;"0000"&amp;"|"&amp;"2"&amp;RIGHT("00000"&amp;1540,5))</f>
        <v/>
      </c>
      <c r="U1545">
        <f>IF($T1545="","",COUNTIFS(LdAParty,$P1545,LdAType,1,LdAKey,"&lt;"&amp;$T1545)+COUNTIFS(LdBMember,$P1545,LdBKey,"&lt;"&amp;$T1545)+COUNTIFS(LdCParty,$P1545,LdCKey,"&lt;"&amp;$T1545)+1)</f>
        <v/>
      </c>
      <c r="V1545">
        <f>IF($U1545="","",$P1545&amp;"|"&amp;RIGHT("000000"&amp;$U1545,6))</f>
        <v/>
      </c>
      <c r="W1545">
        <f>IF($T1545="","",COUNTIFS(LdBGroup,$R1545,LdBKey,"&lt;"&amp;$T1545)+1)</f>
        <v/>
      </c>
      <c r="X1545">
        <f>IF($W1545="","",$R1545&amp;"|"&amp;RIGHT("000000"&amp;$W1545,6))</f>
        <v/>
      </c>
      <c r="Y1545">
        <f>IF($P1545="","",IF(Shares!$E1548="",0,Shares!$E1548))</f>
        <v/>
      </c>
      <c r="Z1545">
        <f>IF($P1545="","",Shares!$H1548)</f>
        <v/>
      </c>
      <c r="AE1545">
        <f>IF(OR(Sync!$S1545="",Sync!$P1545=""),"",Sync!$S1545)</f>
        <v/>
      </c>
      <c r="AF1545">
        <f>IF($AE1545="","",IF(ISNUMBER(Sync!$P1545),IF(AND(Sync!$P1545&gt;=10000101,Sync!$P1545&lt;=99991231),INT(Sync!$P1545/10000),""),IFERROR(VALUE(TRIM(LEFT(Sync!$P1545,FIND("/",Sync!$P1545)-1))),"")))</f>
        <v/>
      </c>
      <c r="AG1545">
        <f>IF(OR($AE1545="",$AF1545=""),"",IF(ISNUMBER(Sync!$P1545),INT(MOD(Sync!$P1545,10000)/100),IFERROR(VALUE(TRIM(LEFT(MID(Sync!$P1545,FIND("/",Sync!$P1545)+1,20),FIND("/",MID(Sync!$P1545,FIND("/",Sync!$P1545)+1,20))-1))),"")))</f>
        <v/>
      </c>
      <c r="AH1545">
        <f>IF(OR($AE1545="",$AF1545=""),"",IF(ISNUMBER(Sync!$P1545),MOD(Sync!$P1545,100),IFERROR(VALUE(TRIM(MID(MID(Sync!$P1545,FIND("/",Sync!$P1545)+1,20),FIND("/",MID(Sync!$P1545,FIND("/",Sync!$P1545)+1,20))+1,20))),"")))</f>
        <v/>
      </c>
      <c r="AI1545">
        <f>IF($AE1545="","",IF(OR($AF1545="",$AG1545="",$AH1545="",$AF1545&lt;1300,$AF1545&gt;1500,$AG1545&lt;1,$AG1545&gt;12,$AH1545&lt;1,$AH1545&gt;31),"نامعتبر",RIGHT("0000"&amp;$AF1545,4)&amp;"/"&amp;RIGHT("00"&amp;$AG1545,2)&amp;"/"&amp;RIGHT("00"&amp;$AH1545,2)))</f>
        <v/>
      </c>
      <c r="AJ1545">
        <f>IF($AE1545="","",IF(Sync!$Q1545="","0000",IF(AND(ISNUMBER(Sync!$Q1545),Sync!$Q1545&gt;=0,Sync!$Q1545&lt;1),RIGHT("00"&amp;HOUR(Sync!$Q1545),2)&amp;RIGHT("00"&amp;MINUTE(Sync!$Q1545),2),IFERROR(RIGHT("00"&amp;VALUE(LEFT(Sync!$Q1545,FIND(":",Sync!$Q1545)-1)),2)&amp;RIGHT("00"&amp;VALUE(MID(Sync!$Q1545,FIND(":",Sync!$Q1545)+1,2)),2),"0000"))))</f>
        <v/>
      </c>
      <c r="AK1545">
        <f>IF(OR($AE1545="",$AI1545="",$AI1545="نامعتبر"),"",LEFT($AI1545,4)&amp;MID($AI1545,6,2)&amp;RIGHT($AI1545,2)&amp;$AJ1545&amp;"|"&amp;"3"&amp;RIGHT("00000"&amp;1540,5))</f>
        <v/>
      </c>
      <c r="AL1545">
        <f>IF($AK1545="","",COUNTIFS(LdAParty,$AE1545,LdAType,1,LdAKey,"&lt;"&amp;$AK1545)+COUNTIFS(LdBMember,$AE1545,LdBKey,"&lt;"&amp;$AK1545)+COUNTIFS(LdCParty,$AE1545,LdCKey,"&lt;"&amp;$AK1545)+1)</f>
        <v/>
      </c>
      <c r="AM1545">
        <f>IF($AL1545="","",$AE1545&amp;"|"&amp;RIGHT("000000"&amp;$AL1545,6))</f>
        <v/>
      </c>
      <c r="AN1545">
        <f>IF($AE1545="","",IF(Sync!$W1545="",0,Sync!$W1545))</f>
        <v/>
      </c>
      <c r="AO1545">
        <f>IF($AE1545="","",IF(Sync!$X1545="",0,Sync!$X1545))</f>
        <v/>
      </c>
      <c r="AP1545">
        <f>IF($AE1545="","",Sync!$R1545)</f>
        <v/>
      </c>
      <c r="AQ1545">
        <f>IF($AE1545="","",Sync!$Y1545)</f>
        <v/>
      </c>
    </row>
    <row r="1546">
      <c r="A1546">
        <f>IF(OR(Wages!$B1549="",Wages!$E1549=""),"",Wages!$E1549)</f>
        <v/>
      </c>
      <c r="B1546">
        <f>IF($A1546="","",IF(Wages!$C1549="دستمزد گروهی",2,1))</f>
        <v/>
      </c>
      <c r="C1546">
        <f>IF($A1546="","",IF(ISNUMBER(Wages!$B1549),IF(AND(Wages!$B1549&gt;=10000101,Wages!$B1549&lt;=99991231),INT(Wages!$B1549/10000),""),IFERROR(VALUE(TRIM(LEFT(Wages!$B1549,FIND("/",Wages!$B1549)-1))),"")))</f>
        <v/>
      </c>
      <c r="D1546">
        <f>IF(OR($A1546="",$C1546=""),"",IF(ISNUMBER(Wages!$B1549),INT(MOD(Wages!$B1549,10000)/100),IFERROR(VALUE(TRIM(LEFT(MID(Wages!$B1549,FIND("/",Wages!$B1549)+1,20),FIND("/",MID(Wages!$B1549,FIND("/",Wages!$B1549)+1,20))-1))),"")))</f>
        <v/>
      </c>
      <c r="E1546">
        <f>IF(OR($A1546="",$C1546=""),"",IF(ISNUMBER(Wages!$B1549),MOD(Wages!$B1549,100),IFERROR(VALUE(TRIM(MID(MID(Wages!$B1549,FIND("/",Wages!$B1549)+1,20),FIND("/",MID(Wages!$B1549,FIND("/",Wages!$B1549)+1,20))+1,20))),"")))</f>
        <v/>
      </c>
      <c r="F1546">
        <f>IF($A1546="","",IF(OR($C1546="",$D1546="",$E1546="",$C1546&lt;1300,$C1546&gt;1500,$D1546&lt;1,$D1546&gt;12,$E1546&lt;1,$E1546&gt;31),"نامعتبر",RIGHT("0000"&amp;$C1546,4)&amp;"/"&amp;RIGHT("00"&amp;$D1546,2)&amp;"/"&amp;RIGHT("00"&amp;$E1546,2)))</f>
        <v/>
      </c>
      <c r="G1546">
        <f>IF(OR($A1546="",$F1546="",$F1546="نامعتبر"),"",LEFT($F1546,4)&amp;MID($F1546,6,2)&amp;RIGHT($F1546,2)&amp;"0000"&amp;"|"&amp;"1"&amp;RIGHT("00000"&amp;1541,5))</f>
        <v/>
      </c>
      <c r="H1546">
        <f>IF(OR($B1546&lt;&gt;1,$G1546=""),"",COUNTIFS(LdAParty,$A1546,LdAType,1,LdAKey,"&lt;"&amp;$G1546)+COUNTIFS(LdBMember,$A1546,LdBKey,"&lt;"&amp;$G1546)+COUNTIFS(LdCParty,$A1546,LdCKey,"&lt;"&amp;$G1546)+1)</f>
        <v/>
      </c>
      <c r="I1546">
        <f>IF($H1546="","",$A1546&amp;"|"&amp;RIGHT("000000"&amp;$H1546,6))</f>
        <v/>
      </c>
      <c r="J1546">
        <f>IF(OR($B1546&lt;&gt;2,$G1546=""),"",COUNTIFS(LdAParty,$A1546,LdAType,2,LdAKey,"&lt;"&amp;$G1546)+1)</f>
        <v/>
      </c>
      <c r="K1546">
        <f>IF($J1546="","",$A1546&amp;"|"&amp;RIGHT("000000"&amp;$J1546,6))</f>
        <v/>
      </c>
      <c r="L1546">
        <f>IF($A1546="","",IF(Wages!$G1549="",0,Wages!$G1549))</f>
        <v/>
      </c>
      <c r="M1546">
        <f>IF($A1546="","",Wages!$J1549)</f>
        <v/>
      </c>
      <c r="N1546">
        <f>IF($A1546="","",Wages!$D1549)</f>
        <v/>
      </c>
      <c r="P1546">
        <f>IF(OR(Shares!$B1549="",Shares!$C1549=""),"",Shares!$C1549)</f>
        <v/>
      </c>
      <c r="Q1546">
        <f>IF($P1546="","",Shares!$B1549)</f>
        <v/>
      </c>
      <c r="R1546">
        <f>IF($P1546="","",IFERROR(INDEX(WageParty,MATCH($Q1546,WageIds,0)),""))</f>
        <v/>
      </c>
      <c r="S1546">
        <f>IF($P1546="","",IFERROR(INDEX($F$6:$F$2005,MATCH($Q1546,WageIds,0)),""))</f>
        <v/>
      </c>
      <c r="T1546">
        <f>IF(OR($P1546="",$S1546="",$S1546="نامعتبر"),"",LEFT($S1546,4)&amp;MID($S1546,6,2)&amp;RIGHT($S1546,2)&amp;"0000"&amp;"|"&amp;"2"&amp;RIGHT("00000"&amp;1541,5))</f>
        <v/>
      </c>
      <c r="U1546">
        <f>IF($T1546="","",COUNTIFS(LdAParty,$P1546,LdAType,1,LdAKey,"&lt;"&amp;$T1546)+COUNTIFS(LdBMember,$P1546,LdBKey,"&lt;"&amp;$T1546)+COUNTIFS(LdCParty,$P1546,LdCKey,"&lt;"&amp;$T1546)+1)</f>
        <v/>
      </c>
      <c r="V1546">
        <f>IF($U1546="","",$P1546&amp;"|"&amp;RIGHT("000000"&amp;$U1546,6))</f>
        <v/>
      </c>
      <c r="W1546">
        <f>IF($T1546="","",COUNTIFS(LdBGroup,$R1546,LdBKey,"&lt;"&amp;$T1546)+1)</f>
        <v/>
      </c>
      <c r="X1546">
        <f>IF($W1546="","",$R1546&amp;"|"&amp;RIGHT("000000"&amp;$W1546,6))</f>
        <v/>
      </c>
      <c r="Y1546">
        <f>IF($P1546="","",IF(Shares!$E1549="",0,Shares!$E1549))</f>
        <v/>
      </c>
      <c r="Z1546">
        <f>IF($P1546="","",Shares!$H1549)</f>
        <v/>
      </c>
      <c r="AE1546">
        <f>IF(OR(Sync!$S1546="",Sync!$P1546=""),"",Sync!$S1546)</f>
        <v/>
      </c>
      <c r="AF1546">
        <f>IF($AE1546="","",IF(ISNUMBER(Sync!$P1546),IF(AND(Sync!$P1546&gt;=10000101,Sync!$P1546&lt;=99991231),INT(Sync!$P1546/10000),""),IFERROR(VALUE(TRIM(LEFT(Sync!$P1546,FIND("/",Sync!$P1546)-1))),"")))</f>
        <v/>
      </c>
      <c r="AG1546">
        <f>IF(OR($AE1546="",$AF1546=""),"",IF(ISNUMBER(Sync!$P1546),INT(MOD(Sync!$P1546,10000)/100),IFERROR(VALUE(TRIM(LEFT(MID(Sync!$P1546,FIND("/",Sync!$P1546)+1,20),FIND("/",MID(Sync!$P1546,FIND("/",Sync!$P1546)+1,20))-1))),"")))</f>
        <v/>
      </c>
      <c r="AH1546">
        <f>IF(OR($AE1546="",$AF1546=""),"",IF(ISNUMBER(Sync!$P1546),MOD(Sync!$P1546,100),IFERROR(VALUE(TRIM(MID(MID(Sync!$P1546,FIND("/",Sync!$P1546)+1,20),FIND("/",MID(Sync!$P1546,FIND("/",Sync!$P1546)+1,20))+1,20))),"")))</f>
        <v/>
      </c>
      <c r="AI1546">
        <f>IF($AE1546="","",IF(OR($AF1546="",$AG1546="",$AH1546="",$AF1546&lt;1300,$AF1546&gt;1500,$AG1546&lt;1,$AG1546&gt;12,$AH1546&lt;1,$AH1546&gt;31),"نامعتبر",RIGHT("0000"&amp;$AF1546,4)&amp;"/"&amp;RIGHT("00"&amp;$AG1546,2)&amp;"/"&amp;RIGHT("00"&amp;$AH1546,2)))</f>
        <v/>
      </c>
      <c r="AJ1546">
        <f>IF($AE1546="","",IF(Sync!$Q1546="","0000",IF(AND(ISNUMBER(Sync!$Q1546),Sync!$Q1546&gt;=0,Sync!$Q1546&lt;1),RIGHT("00"&amp;HOUR(Sync!$Q1546),2)&amp;RIGHT("00"&amp;MINUTE(Sync!$Q1546),2),IFERROR(RIGHT("00"&amp;VALUE(LEFT(Sync!$Q1546,FIND(":",Sync!$Q1546)-1)),2)&amp;RIGHT("00"&amp;VALUE(MID(Sync!$Q1546,FIND(":",Sync!$Q1546)+1,2)),2),"0000"))))</f>
        <v/>
      </c>
      <c r="AK1546">
        <f>IF(OR($AE1546="",$AI1546="",$AI1546="نامعتبر"),"",LEFT($AI1546,4)&amp;MID($AI1546,6,2)&amp;RIGHT($AI1546,2)&amp;$AJ1546&amp;"|"&amp;"3"&amp;RIGHT("00000"&amp;1541,5))</f>
        <v/>
      </c>
      <c r="AL1546">
        <f>IF($AK1546="","",COUNTIFS(LdAParty,$AE1546,LdAType,1,LdAKey,"&lt;"&amp;$AK1546)+COUNTIFS(LdBMember,$AE1546,LdBKey,"&lt;"&amp;$AK1546)+COUNTIFS(LdCParty,$AE1546,LdCKey,"&lt;"&amp;$AK1546)+1)</f>
        <v/>
      </c>
      <c r="AM1546">
        <f>IF($AL1546="","",$AE1546&amp;"|"&amp;RIGHT("000000"&amp;$AL1546,6))</f>
        <v/>
      </c>
      <c r="AN1546">
        <f>IF($AE1546="","",IF(Sync!$W1546="",0,Sync!$W1546))</f>
        <v/>
      </c>
      <c r="AO1546">
        <f>IF($AE1546="","",IF(Sync!$X1546="",0,Sync!$X1546))</f>
        <v/>
      </c>
      <c r="AP1546">
        <f>IF($AE1546="","",Sync!$R1546)</f>
        <v/>
      </c>
      <c r="AQ1546">
        <f>IF($AE1546="","",Sync!$Y1546)</f>
        <v/>
      </c>
    </row>
    <row r="1547">
      <c r="A1547">
        <f>IF(OR(Wages!$B1550="",Wages!$E1550=""),"",Wages!$E1550)</f>
        <v/>
      </c>
      <c r="B1547">
        <f>IF($A1547="","",IF(Wages!$C1550="دستمزد گروهی",2,1))</f>
        <v/>
      </c>
      <c r="C1547">
        <f>IF($A1547="","",IF(ISNUMBER(Wages!$B1550),IF(AND(Wages!$B1550&gt;=10000101,Wages!$B1550&lt;=99991231),INT(Wages!$B1550/10000),""),IFERROR(VALUE(TRIM(LEFT(Wages!$B1550,FIND("/",Wages!$B1550)-1))),"")))</f>
        <v/>
      </c>
      <c r="D1547">
        <f>IF(OR($A1547="",$C1547=""),"",IF(ISNUMBER(Wages!$B1550),INT(MOD(Wages!$B1550,10000)/100),IFERROR(VALUE(TRIM(LEFT(MID(Wages!$B1550,FIND("/",Wages!$B1550)+1,20),FIND("/",MID(Wages!$B1550,FIND("/",Wages!$B1550)+1,20))-1))),"")))</f>
        <v/>
      </c>
      <c r="E1547">
        <f>IF(OR($A1547="",$C1547=""),"",IF(ISNUMBER(Wages!$B1550),MOD(Wages!$B1550,100),IFERROR(VALUE(TRIM(MID(MID(Wages!$B1550,FIND("/",Wages!$B1550)+1,20),FIND("/",MID(Wages!$B1550,FIND("/",Wages!$B1550)+1,20))+1,20))),"")))</f>
        <v/>
      </c>
      <c r="F1547">
        <f>IF($A1547="","",IF(OR($C1547="",$D1547="",$E1547="",$C1547&lt;1300,$C1547&gt;1500,$D1547&lt;1,$D1547&gt;12,$E1547&lt;1,$E1547&gt;31),"نامعتبر",RIGHT("0000"&amp;$C1547,4)&amp;"/"&amp;RIGHT("00"&amp;$D1547,2)&amp;"/"&amp;RIGHT("00"&amp;$E1547,2)))</f>
        <v/>
      </c>
      <c r="G1547">
        <f>IF(OR($A1547="",$F1547="",$F1547="نامعتبر"),"",LEFT($F1547,4)&amp;MID($F1547,6,2)&amp;RIGHT($F1547,2)&amp;"0000"&amp;"|"&amp;"1"&amp;RIGHT("00000"&amp;1542,5))</f>
        <v/>
      </c>
      <c r="H1547">
        <f>IF(OR($B1547&lt;&gt;1,$G1547=""),"",COUNTIFS(LdAParty,$A1547,LdAType,1,LdAKey,"&lt;"&amp;$G1547)+COUNTIFS(LdBMember,$A1547,LdBKey,"&lt;"&amp;$G1547)+COUNTIFS(LdCParty,$A1547,LdCKey,"&lt;"&amp;$G1547)+1)</f>
        <v/>
      </c>
      <c r="I1547">
        <f>IF($H1547="","",$A1547&amp;"|"&amp;RIGHT("000000"&amp;$H1547,6))</f>
        <v/>
      </c>
      <c r="J1547">
        <f>IF(OR($B1547&lt;&gt;2,$G1547=""),"",COUNTIFS(LdAParty,$A1547,LdAType,2,LdAKey,"&lt;"&amp;$G1547)+1)</f>
        <v/>
      </c>
      <c r="K1547">
        <f>IF($J1547="","",$A1547&amp;"|"&amp;RIGHT("000000"&amp;$J1547,6))</f>
        <v/>
      </c>
      <c r="L1547">
        <f>IF($A1547="","",IF(Wages!$G1550="",0,Wages!$G1550))</f>
        <v/>
      </c>
      <c r="M1547">
        <f>IF($A1547="","",Wages!$J1550)</f>
        <v/>
      </c>
      <c r="N1547">
        <f>IF($A1547="","",Wages!$D1550)</f>
        <v/>
      </c>
      <c r="P1547">
        <f>IF(OR(Shares!$B1550="",Shares!$C1550=""),"",Shares!$C1550)</f>
        <v/>
      </c>
      <c r="Q1547">
        <f>IF($P1547="","",Shares!$B1550)</f>
        <v/>
      </c>
      <c r="R1547">
        <f>IF($P1547="","",IFERROR(INDEX(WageParty,MATCH($Q1547,WageIds,0)),""))</f>
        <v/>
      </c>
      <c r="S1547">
        <f>IF($P1547="","",IFERROR(INDEX($F$6:$F$2005,MATCH($Q1547,WageIds,0)),""))</f>
        <v/>
      </c>
      <c r="T1547">
        <f>IF(OR($P1547="",$S1547="",$S1547="نامعتبر"),"",LEFT($S1547,4)&amp;MID($S1547,6,2)&amp;RIGHT($S1547,2)&amp;"0000"&amp;"|"&amp;"2"&amp;RIGHT("00000"&amp;1542,5))</f>
        <v/>
      </c>
      <c r="U1547">
        <f>IF($T1547="","",COUNTIFS(LdAParty,$P1547,LdAType,1,LdAKey,"&lt;"&amp;$T1547)+COUNTIFS(LdBMember,$P1547,LdBKey,"&lt;"&amp;$T1547)+COUNTIFS(LdCParty,$P1547,LdCKey,"&lt;"&amp;$T1547)+1)</f>
        <v/>
      </c>
      <c r="V1547">
        <f>IF($U1547="","",$P1547&amp;"|"&amp;RIGHT("000000"&amp;$U1547,6))</f>
        <v/>
      </c>
      <c r="W1547">
        <f>IF($T1547="","",COUNTIFS(LdBGroup,$R1547,LdBKey,"&lt;"&amp;$T1547)+1)</f>
        <v/>
      </c>
      <c r="X1547">
        <f>IF($W1547="","",$R1547&amp;"|"&amp;RIGHT("000000"&amp;$W1547,6))</f>
        <v/>
      </c>
      <c r="Y1547">
        <f>IF($P1547="","",IF(Shares!$E1550="",0,Shares!$E1550))</f>
        <v/>
      </c>
      <c r="Z1547">
        <f>IF($P1547="","",Shares!$H1550)</f>
        <v/>
      </c>
      <c r="AE1547">
        <f>IF(OR(Sync!$S1547="",Sync!$P1547=""),"",Sync!$S1547)</f>
        <v/>
      </c>
      <c r="AF1547">
        <f>IF($AE1547="","",IF(ISNUMBER(Sync!$P1547),IF(AND(Sync!$P1547&gt;=10000101,Sync!$P1547&lt;=99991231),INT(Sync!$P1547/10000),""),IFERROR(VALUE(TRIM(LEFT(Sync!$P1547,FIND("/",Sync!$P1547)-1))),"")))</f>
        <v/>
      </c>
      <c r="AG1547">
        <f>IF(OR($AE1547="",$AF1547=""),"",IF(ISNUMBER(Sync!$P1547),INT(MOD(Sync!$P1547,10000)/100),IFERROR(VALUE(TRIM(LEFT(MID(Sync!$P1547,FIND("/",Sync!$P1547)+1,20),FIND("/",MID(Sync!$P1547,FIND("/",Sync!$P1547)+1,20))-1))),"")))</f>
        <v/>
      </c>
      <c r="AH1547">
        <f>IF(OR($AE1547="",$AF1547=""),"",IF(ISNUMBER(Sync!$P1547),MOD(Sync!$P1547,100),IFERROR(VALUE(TRIM(MID(MID(Sync!$P1547,FIND("/",Sync!$P1547)+1,20),FIND("/",MID(Sync!$P1547,FIND("/",Sync!$P1547)+1,20))+1,20))),"")))</f>
        <v/>
      </c>
      <c r="AI1547">
        <f>IF($AE1547="","",IF(OR($AF1547="",$AG1547="",$AH1547="",$AF1547&lt;1300,$AF1547&gt;1500,$AG1547&lt;1,$AG1547&gt;12,$AH1547&lt;1,$AH1547&gt;31),"نامعتبر",RIGHT("0000"&amp;$AF1547,4)&amp;"/"&amp;RIGHT("00"&amp;$AG1547,2)&amp;"/"&amp;RIGHT("00"&amp;$AH1547,2)))</f>
        <v/>
      </c>
      <c r="AJ1547">
        <f>IF($AE1547="","",IF(Sync!$Q1547="","0000",IF(AND(ISNUMBER(Sync!$Q1547),Sync!$Q1547&gt;=0,Sync!$Q1547&lt;1),RIGHT("00"&amp;HOUR(Sync!$Q1547),2)&amp;RIGHT("00"&amp;MINUTE(Sync!$Q1547),2),IFERROR(RIGHT("00"&amp;VALUE(LEFT(Sync!$Q1547,FIND(":",Sync!$Q1547)-1)),2)&amp;RIGHT("00"&amp;VALUE(MID(Sync!$Q1547,FIND(":",Sync!$Q1547)+1,2)),2),"0000"))))</f>
        <v/>
      </c>
      <c r="AK1547">
        <f>IF(OR($AE1547="",$AI1547="",$AI1547="نامعتبر"),"",LEFT($AI1547,4)&amp;MID($AI1547,6,2)&amp;RIGHT($AI1547,2)&amp;$AJ1547&amp;"|"&amp;"3"&amp;RIGHT("00000"&amp;1542,5))</f>
        <v/>
      </c>
      <c r="AL1547">
        <f>IF($AK1547="","",COUNTIFS(LdAParty,$AE1547,LdAType,1,LdAKey,"&lt;"&amp;$AK1547)+COUNTIFS(LdBMember,$AE1547,LdBKey,"&lt;"&amp;$AK1547)+COUNTIFS(LdCParty,$AE1547,LdCKey,"&lt;"&amp;$AK1547)+1)</f>
        <v/>
      </c>
      <c r="AM1547">
        <f>IF($AL1547="","",$AE1547&amp;"|"&amp;RIGHT("000000"&amp;$AL1547,6))</f>
        <v/>
      </c>
      <c r="AN1547">
        <f>IF($AE1547="","",IF(Sync!$W1547="",0,Sync!$W1547))</f>
        <v/>
      </c>
      <c r="AO1547">
        <f>IF($AE1547="","",IF(Sync!$X1547="",0,Sync!$X1547))</f>
        <v/>
      </c>
      <c r="AP1547">
        <f>IF($AE1547="","",Sync!$R1547)</f>
        <v/>
      </c>
      <c r="AQ1547">
        <f>IF($AE1547="","",Sync!$Y1547)</f>
        <v/>
      </c>
    </row>
    <row r="1548">
      <c r="A1548">
        <f>IF(OR(Wages!$B1551="",Wages!$E1551=""),"",Wages!$E1551)</f>
        <v/>
      </c>
      <c r="B1548">
        <f>IF($A1548="","",IF(Wages!$C1551="دستمزد گروهی",2,1))</f>
        <v/>
      </c>
      <c r="C1548">
        <f>IF($A1548="","",IF(ISNUMBER(Wages!$B1551),IF(AND(Wages!$B1551&gt;=10000101,Wages!$B1551&lt;=99991231),INT(Wages!$B1551/10000),""),IFERROR(VALUE(TRIM(LEFT(Wages!$B1551,FIND("/",Wages!$B1551)-1))),"")))</f>
        <v/>
      </c>
      <c r="D1548">
        <f>IF(OR($A1548="",$C1548=""),"",IF(ISNUMBER(Wages!$B1551),INT(MOD(Wages!$B1551,10000)/100),IFERROR(VALUE(TRIM(LEFT(MID(Wages!$B1551,FIND("/",Wages!$B1551)+1,20),FIND("/",MID(Wages!$B1551,FIND("/",Wages!$B1551)+1,20))-1))),"")))</f>
        <v/>
      </c>
      <c r="E1548">
        <f>IF(OR($A1548="",$C1548=""),"",IF(ISNUMBER(Wages!$B1551),MOD(Wages!$B1551,100),IFERROR(VALUE(TRIM(MID(MID(Wages!$B1551,FIND("/",Wages!$B1551)+1,20),FIND("/",MID(Wages!$B1551,FIND("/",Wages!$B1551)+1,20))+1,20))),"")))</f>
        <v/>
      </c>
      <c r="F1548">
        <f>IF($A1548="","",IF(OR($C1548="",$D1548="",$E1548="",$C1548&lt;1300,$C1548&gt;1500,$D1548&lt;1,$D1548&gt;12,$E1548&lt;1,$E1548&gt;31),"نامعتبر",RIGHT("0000"&amp;$C1548,4)&amp;"/"&amp;RIGHT("00"&amp;$D1548,2)&amp;"/"&amp;RIGHT("00"&amp;$E1548,2)))</f>
        <v/>
      </c>
      <c r="G1548">
        <f>IF(OR($A1548="",$F1548="",$F1548="نامعتبر"),"",LEFT($F1548,4)&amp;MID($F1548,6,2)&amp;RIGHT($F1548,2)&amp;"0000"&amp;"|"&amp;"1"&amp;RIGHT("00000"&amp;1543,5))</f>
        <v/>
      </c>
      <c r="H1548">
        <f>IF(OR($B1548&lt;&gt;1,$G1548=""),"",COUNTIFS(LdAParty,$A1548,LdAType,1,LdAKey,"&lt;"&amp;$G1548)+COUNTIFS(LdBMember,$A1548,LdBKey,"&lt;"&amp;$G1548)+COUNTIFS(LdCParty,$A1548,LdCKey,"&lt;"&amp;$G1548)+1)</f>
        <v/>
      </c>
      <c r="I1548">
        <f>IF($H1548="","",$A1548&amp;"|"&amp;RIGHT("000000"&amp;$H1548,6))</f>
        <v/>
      </c>
      <c r="J1548">
        <f>IF(OR($B1548&lt;&gt;2,$G1548=""),"",COUNTIFS(LdAParty,$A1548,LdAType,2,LdAKey,"&lt;"&amp;$G1548)+1)</f>
        <v/>
      </c>
      <c r="K1548">
        <f>IF($J1548="","",$A1548&amp;"|"&amp;RIGHT("000000"&amp;$J1548,6))</f>
        <v/>
      </c>
      <c r="L1548">
        <f>IF($A1548="","",IF(Wages!$G1551="",0,Wages!$G1551))</f>
        <v/>
      </c>
      <c r="M1548">
        <f>IF($A1548="","",Wages!$J1551)</f>
        <v/>
      </c>
      <c r="N1548">
        <f>IF($A1548="","",Wages!$D1551)</f>
        <v/>
      </c>
      <c r="P1548">
        <f>IF(OR(Shares!$B1551="",Shares!$C1551=""),"",Shares!$C1551)</f>
        <v/>
      </c>
      <c r="Q1548">
        <f>IF($P1548="","",Shares!$B1551)</f>
        <v/>
      </c>
      <c r="R1548">
        <f>IF($P1548="","",IFERROR(INDEX(WageParty,MATCH($Q1548,WageIds,0)),""))</f>
        <v/>
      </c>
      <c r="S1548">
        <f>IF($P1548="","",IFERROR(INDEX($F$6:$F$2005,MATCH($Q1548,WageIds,0)),""))</f>
        <v/>
      </c>
      <c r="T1548">
        <f>IF(OR($P1548="",$S1548="",$S1548="نامعتبر"),"",LEFT($S1548,4)&amp;MID($S1548,6,2)&amp;RIGHT($S1548,2)&amp;"0000"&amp;"|"&amp;"2"&amp;RIGHT("00000"&amp;1543,5))</f>
        <v/>
      </c>
      <c r="U1548">
        <f>IF($T1548="","",COUNTIFS(LdAParty,$P1548,LdAType,1,LdAKey,"&lt;"&amp;$T1548)+COUNTIFS(LdBMember,$P1548,LdBKey,"&lt;"&amp;$T1548)+COUNTIFS(LdCParty,$P1548,LdCKey,"&lt;"&amp;$T1548)+1)</f>
        <v/>
      </c>
      <c r="V1548">
        <f>IF($U1548="","",$P1548&amp;"|"&amp;RIGHT("000000"&amp;$U1548,6))</f>
        <v/>
      </c>
      <c r="W1548">
        <f>IF($T1548="","",COUNTIFS(LdBGroup,$R1548,LdBKey,"&lt;"&amp;$T1548)+1)</f>
        <v/>
      </c>
      <c r="X1548">
        <f>IF($W1548="","",$R1548&amp;"|"&amp;RIGHT("000000"&amp;$W1548,6))</f>
        <v/>
      </c>
      <c r="Y1548">
        <f>IF($P1548="","",IF(Shares!$E1551="",0,Shares!$E1551))</f>
        <v/>
      </c>
      <c r="Z1548">
        <f>IF($P1548="","",Shares!$H1551)</f>
        <v/>
      </c>
      <c r="AE1548">
        <f>IF(OR(Sync!$S1548="",Sync!$P1548=""),"",Sync!$S1548)</f>
        <v/>
      </c>
      <c r="AF1548">
        <f>IF($AE1548="","",IF(ISNUMBER(Sync!$P1548),IF(AND(Sync!$P1548&gt;=10000101,Sync!$P1548&lt;=99991231),INT(Sync!$P1548/10000),""),IFERROR(VALUE(TRIM(LEFT(Sync!$P1548,FIND("/",Sync!$P1548)-1))),"")))</f>
        <v/>
      </c>
      <c r="AG1548">
        <f>IF(OR($AE1548="",$AF1548=""),"",IF(ISNUMBER(Sync!$P1548),INT(MOD(Sync!$P1548,10000)/100),IFERROR(VALUE(TRIM(LEFT(MID(Sync!$P1548,FIND("/",Sync!$P1548)+1,20),FIND("/",MID(Sync!$P1548,FIND("/",Sync!$P1548)+1,20))-1))),"")))</f>
        <v/>
      </c>
      <c r="AH1548">
        <f>IF(OR($AE1548="",$AF1548=""),"",IF(ISNUMBER(Sync!$P1548),MOD(Sync!$P1548,100),IFERROR(VALUE(TRIM(MID(MID(Sync!$P1548,FIND("/",Sync!$P1548)+1,20),FIND("/",MID(Sync!$P1548,FIND("/",Sync!$P1548)+1,20))+1,20))),"")))</f>
        <v/>
      </c>
      <c r="AI1548">
        <f>IF($AE1548="","",IF(OR($AF1548="",$AG1548="",$AH1548="",$AF1548&lt;1300,$AF1548&gt;1500,$AG1548&lt;1,$AG1548&gt;12,$AH1548&lt;1,$AH1548&gt;31),"نامعتبر",RIGHT("0000"&amp;$AF1548,4)&amp;"/"&amp;RIGHT("00"&amp;$AG1548,2)&amp;"/"&amp;RIGHT("00"&amp;$AH1548,2)))</f>
        <v/>
      </c>
      <c r="AJ1548">
        <f>IF($AE1548="","",IF(Sync!$Q1548="","0000",IF(AND(ISNUMBER(Sync!$Q1548),Sync!$Q1548&gt;=0,Sync!$Q1548&lt;1),RIGHT("00"&amp;HOUR(Sync!$Q1548),2)&amp;RIGHT("00"&amp;MINUTE(Sync!$Q1548),2),IFERROR(RIGHT("00"&amp;VALUE(LEFT(Sync!$Q1548,FIND(":",Sync!$Q1548)-1)),2)&amp;RIGHT("00"&amp;VALUE(MID(Sync!$Q1548,FIND(":",Sync!$Q1548)+1,2)),2),"0000"))))</f>
        <v/>
      </c>
      <c r="AK1548">
        <f>IF(OR($AE1548="",$AI1548="",$AI1548="نامعتبر"),"",LEFT($AI1548,4)&amp;MID($AI1548,6,2)&amp;RIGHT($AI1548,2)&amp;$AJ1548&amp;"|"&amp;"3"&amp;RIGHT("00000"&amp;1543,5))</f>
        <v/>
      </c>
      <c r="AL1548">
        <f>IF($AK1548="","",COUNTIFS(LdAParty,$AE1548,LdAType,1,LdAKey,"&lt;"&amp;$AK1548)+COUNTIFS(LdBMember,$AE1548,LdBKey,"&lt;"&amp;$AK1548)+COUNTIFS(LdCParty,$AE1548,LdCKey,"&lt;"&amp;$AK1548)+1)</f>
        <v/>
      </c>
      <c r="AM1548">
        <f>IF($AL1548="","",$AE1548&amp;"|"&amp;RIGHT("000000"&amp;$AL1548,6))</f>
        <v/>
      </c>
      <c r="AN1548">
        <f>IF($AE1548="","",IF(Sync!$W1548="",0,Sync!$W1548))</f>
        <v/>
      </c>
      <c r="AO1548">
        <f>IF($AE1548="","",IF(Sync!$X1548="",0,Sync!$X1548))</f>
        <v/>
      </c>
      <c r="AP1548">
        <f>IF($AE1548="","",Sync!$R1548)</f>
        <v/>
      </c>
      <c r="AQ1548">
        <f>IF($AE1548="","",Sync!$Y1548)</f>
        <v/>
      </c>
    </row>
    <row r="1549">
      <c r="A1549">
        <f>IF(OR(Wages!$B1552="",Wages!$E1552=""),"",Wages!$E1552)</f>
        <v/>
      </c>
      <c r="B1549">
        <f>IF($A1549="","",IF(Wages!$C1552="دستمزد گروهی",2,1))</f>
        <v/>
      </c>
      <c r="C1549">
        <f>IF($A1549="","",IF(ISNUMBER(Wages!$B1552),IF(AND(Wages!$B1552&gt;=10000101,Wages!$B1552&lt;=99991231),INT(Wages!$B1552/10000),""),IFERROR(VALUE(TRIM(LEFT(Wages!$B1552,FIND("/",Wages!$B1552)-1))),"")))</f>
        <v/>
      </c>
      <c r="D1549">
        <f>IF(OR($A1549="",$C1549=""),"",IF(ISNUMBER(Wages!$B1552),INT(MOD(Wages!$B1552,10000)/100),IFERROR(VALUE(TRIM(LEFT(MID(Wages!$B1552,FIND("/",Wages!$B1552)+1,20),FIND("/",MID(Wages!$B1552,FIND("/",Wages!$B1552)+1,20))-1))),"")))</f>
        <v/>
      </c>
      <c r="E1549">
        <f>IF(OR($A1549="",$C1549=""),"",IF(ISNUMBER(Wages!$B1552),MOD(Wages!$B1552,100),IFERROR(VALUE(TRIM(MID(MID(Wages!$B1552,FIND("/",Wages!$B1552)+1,20),FIND("/",MID(Wages!$B1552,FIND("/",Wages!$B1552)+1,20))+1,20))),"")))</f>
        <v/>
      </c>
      <c r="F1549">
        <f>IF($A1549="","",IF(OR($C1549="",$D1549="",$E1549="",$C1549&lt;1300,$C1549&gt;1500,$D1549&lt;1,$D1549&gt;12,$E1549&lt;1,$E1549&gt;31),"نامعتبر",RIGHT("0000"&amp;$C1549,4)&amp;"/"&amp;RIGHT("00"&amp;$D1549,2)&amp;"/"&amp;RIGHT("00"&amp;$E1549,2)))</f>
        <v/>
      </c>
      <c r="G1549">
        <f>IF(OR($A1549="",$F1549="",$F1549="نامعتبر"),"",LEFT($F1549,4)&amp;MID($F1549,6,2)&amp;RIGHT($F1549,2)&amp;"0000"&amp;"|"&amp;"1"&amp;RIGHT("00000"&amp;1544,5))</f>
        <v/>
      </c>
      <c r="H1549">
        <f>IF(OR($B1549&lt;&gt;1,$G1549=""),"",COUNTIFS(LdAParty,$A1549,LdAType,1,LdAKey,"&lt;"&amp;$G1549)+COUNTIFS(LdBMember,$A1549,LdBKey,"&lt;"&amp;$G1549)+COUNTIFS(LdCParty,$A1549,LdCKey,"&lt;"&amp;$G1549)+1)</f>
        <v/>
      </c>
      <c r="I1549">
        <f>IF($H1549="","",$A1549&amp;"|"&amp;RIGHT("000000"&amp;$H1549,6))</f>
        <v/>
      </c>
      <c r="J1549">
        <f>IF(OR($B1549&lt;&gt;2,$G1549=""),"",COUNTIFS(LdAParty,$A1549,LdAType,2,LdAKey,"&lt;"&amp;$G1549)+1)</f>
        <v/>
      </c>
      <c r="K1549">
        <f>IF($J1549="","",$A1549&amp;"|"&amp;RIGHT("000000"&amp;$J1549,6))</f>
        <v/>
      </c>
      <c r="L1549">
        <f>IF($A1549="","",IF(Wages!$G1552="",0,Wages!$G1552))</f>
        <v/>
      </c>
      <c r="M1549">
        <f>IF($A1549="","",Wages!$J1552)</f>
        <v/>
      </c>
      <c r="N1549">
        <f>IF($A1549="","",Wages!$D1552)</f>
        <v/>
      </c>
      <c r="P1549">
        <f>IF(OR(Shares!$B1552="",Shares!$C1552=""),"",Shares!$C1552)</f>
        <v/>
      </c>
      <c r="Q1549">
        <f>IF($P1549="","",Shares!$B1552)</f>
        <v/>
      </c>
      <c r="R1549">
        <f>IF($P1549="","",IFERROR(INDEX(WageParty,MATCH($Q1549,WageIds,0)),""))</f>
        <v/>
      </c>
      <c r="S1549">
        <f>IF($P1549="","",IFERROR(INDEX($F$6:$F$2005,MATCH($Q1549,WageIds,0)),""))</f>
        <v/>
      </c>
      <c r="T1549">
        <f>IF(OR($P1549="",$S1549="",$S1549="نامعتبر"),"",LEFT($S1549,4)&amp;MID($S1549,6,2)&amp;RIGHT($S1549,2)&amp;"0000"&amp;"|"&amp;"2"&amp;RIGHT("00000"&amp;1544,5))</f>
        <v/>
      </c>
      <c r="U1549">
        <f>IF($T1549="","",COUNTIFS(LdAParty,$P1549,LdAType,1,LdAKey,"&lt;"&amp;$T1549)+COUNTIFS(LdBMember,$P1549,LdBKey,"&lt;"&amp;$T1549)+COUNTIFS(LdCParty,$P1549,LdCKey,"&lt;"&amp;$T1549)+1)</f>
        <v/>
      </c>
      <c r="V1549">
        <f>IF($U1549="","",$P1549&amp;"|"&amp;RIGHT("000000"&amp;$U1549,6))</f>
        <v/>
      </c>
      <c r="W1549">
        <f>IF($T1549="","",COUNTIFS(LdBGroup,$R1549,LdBKey,"&lt;"&amp;$T1549)+1)</f>
        <v/>
      </c>
      <c r="X1549">
        <f>IF($W1549="","",$R1549&amp;"|"&amp;RIGHT("000000"&amp;$W1549,6))</f>
        <v/>
      </c>
      <c r="Y1549">
        <f>IF($P1549="","",IF(Shares!$E1552="",0,Shares!$E1552))</f>
        <v/>
      </c>
      <c r="Z1549">
        <f>IF($P1549="","",Shares!$H1552)</f>
        <v/>
      </c>
      <c r="AE1549">
        <f>IF(OR(Sync!$S1549="",Sync!$P1549=""),"",Sync!$S1549)</f>
        <v/>
      </c>
      <c r="AF1549">
        <f>IF($AE1549="","",IF(ISNUMBER(Sync!$P1549),IF(AND(Sync!$P1549&gt;=10000101,Sync!$P1549&lt;=99991231),INT(Sync!$P1549/10000),""),IFERROR(VALUE(TRIM(LEFT(Sync!$P1549,FIND("/",Sync!$P1549)-1))),"")))</f>
        <v/>
      </c>
      <c r="AG1549">
        <f>IF(OR($AE1549="",$AF1549=""),"",IF(ISNUMBER(Sync!$P1549),INT(MOD(Sync!$P1549,10000)/100),IFERROR(VALUE(TRIM(LEFT(MID(Sync!$P1549,FIND("/",Sync!$P1549)+1,20),FIND("/",MID(Sync!$P1549,FIND("/",Sync!$P1549)+1,20))-1))),"")))</f>
        <v/>
      </c>
      <c r="AH1549">
        <f>IF(OR($AE1549="",$AF1549=""),"",IF(ISNUMBER(Sync!$P1549),MOD(Sync!$P1549,100),IFERROR(VALUE(TRIM(MID(MID(Sync!$P1549,FIND("/",Sync!$P1549)+1,20),FIND("/",MID(Sync!$P1549,FIND("/",Sync!$P1549)+1,20))+1,20))),"")))</f>
        <v/>
      </c>
      <c r="AI1549">
        <f>IF($AE1549="","",IF(OR($AF1549="",$AG1549="",$AH1549="",$AF1549&lt;1300,$AF1549&gt;1500,$AG1549&lt;1,$AG1549&gt;12,$AH1549&lt;1,$AH1549&gt;31),"نامعتبر",RIGHT("0000"&amp;$AF1549,4)&amp;"/"&amp;RIGHT("00"&amp;$AG1549,2)&amp;"/"&amp;RIGHT("00"&amp;$AH1549,2)))</f>
        <v/>
      </c>
      <c r="AJ1549">
        <f>IF($AE1549="","",IF(Sync!$Q1549="","0000",IF(AND(ISNUMBER(Sync!$Q1549),Sync!$Q1549&gt;=0,Sync!$Q1549&lt;1),RIGHT("00"&amp;HOUR(Sync!$Q1549),2)&amp;RIGHT("00"&amp;MINUTE(Sync!$Q1549),2),IFERROR(RIGHT("00"&amp;VALUE(LEFT(Sync!$Q1549,FIND(":",Sync!$Q1549)-1)),2)&amp;RIGHT("00"&amp;VALUE(MID(Sync!$Q1549,FIND(":",Sync!$Q1549)+1,2)),2),"0000"))))</f>
        <v/>
      </c>
      <c r="AK1549">
        <f>IF(OR($AE1549="",$AI1549="",$AI1549="نامعتبر"),"",LEFT($AI1549,4)&amp;MID($AI1549,6,2)&amp;RIGHT($AI1549,2)&amp;$AJ1549&amp;"|"&amp;"3"&amp;RIGHT("00000"&amp;1544,5))</f>
        <v/>
      </c>
      <c r="AL1549">
        <f>IF($AK1549="","",COUNTIFS(LdAParty,$AE1549,LdAType,1,LdAKey,"&lt;"&amp;$AK1549)+COUNTIFS(LdBMember,$AE1549,LdBKey,"&lt;"&amp;$AK1549)+COUNTIFS(LdCParty,$AE1549,LdCKey,"&lt;"&amp;$AK1549)+1)</f>
        <v/>
      </c>
      <c r="AM1549">
        <f>IF($AL1549="","",$AE1549&amp;"|"&amp;RIGHT("000000"&amp;$AL1549,6))</f>
        <v/>
      </c>
      <c r="AN1549">
        <f>IF($AE1549="","",IF(Sync!$W1549="",0,Sync!$W1549))</f>
        <v/>
      </c>
      <c r="AO1549">
        <f>IF($AE1549="","",IF(Sync!$X1549="",0,Sync!$X1549))</f>
        <v/>
      </c>
      <c r="AP1549">
        <f>IF($AE1549="","",Sync!$R1549)</f>
        <v/>
      </c>
      <c r="AQ1549">
        <f>IF($AE1549="","",Sync!$Y1549)</f>
        <v/>
      </c>
    </row>
    <row r="1550">
      <c r="A1550">
        <f>IF(OR(Wages!$B1553="",Wages!$E1553=""),"",Wages!$E1553)</f>
        <v/>
      </c>
      <c r="B1550">
        <f>IF($A1550="","",IF(Wages!$C1553="دستمزد گروهی",2,1))</f>
        <v/>
      </c>
      <c r="C1550">
        <f>IF($A1550="","",IF(ISNUMBER(Wages!$B1553),IF(AND(Wages!$B1553&gt;=10000101,Wages!$B1553&lt;=99991231),INT(Wages!$B1553/10000),""),IFERROR(VALUE(TRIM(LEFT(Wages!$B1553,FIND("/",Wages!$B1553)-1))),"")))</f>
        <v/>
      </c>
      <c r="D1550">
        <f>IF(OR($A1550="",$C1550=""),"",IF(ISNUMBER(Wages!$B1553),INT(MOD(Wages!$B1553,10000)/100),IFERROR(VALUE(TRIM(LEFT(MID(Wages!$B1553,FIND("/",Wages!$B1553)+1,20),FIND("/",MID(Wages!$B1553,FIND("/",Wages!$B1553)+1,20))-1))),"")))</f>
        <v/>
      </c>
      <c r="E1550">
        <f>IF(OR($A1550="",$C1550=""),"",IF(ISNUMBER(Wages!$B1553),MOD(Wages!$B1553,100),IFERROR(VALUE(TRIM(MID(MID(Wages!$B1553,FIND("/",Wages!$B1553)+1,20),FIND("/",MID(Wages!$B1553,FIND("/",Wages!$B1553)+1,20))+1,20))),"")))</f>
        <v/>
      </c>
      <c r="F1550">
        <f>IF($A1550="","",IF(OR($C1550="",$D1550="",$E1550="",$C1550&lt;1300,$C1550&gt;1500,$D1550&lt;1,$D1550&gt;12,$E1550&lt;1,$E1550&gt;31),"نامعتبر",RIGHT("0000"&amp;$C1550,4)&amp;"/"&amp;RIGHT("00"&amp;$D1550,2)&amp;"/"&amp;RIGHT("00"&amp;$E1550,2)))</f>
        <v/>
      </c>
      <c r="G1550">
        <f>IF(OR($A1550="",$F1550="",$F1550="نامعتبر"),"",LEFT($F1550,4)&amp;MID($F1550,6,2)&amp;RIGHT($F1550,2)&amp;"0000"&amp;"|"&amp;"1"&amp;RIGHT("00000"&amp;1545,5))</f>
        <v/>
      </c>
      <c r="H1550">
        <f>IF(OR($B1550&lt;&gt;1,$G1550=""),"",COUNTIFS(LdAParty,$A1550,LdAType,1,LdAKey,"&lt;"&amp;$G1550)+COUNTIFS(LdBMember,$A1550,LdBKey,"&lt;"&amp;$G1550)+COUNTIFS(LdCParty,$A1550,LdCKey,"&lt;"&amp;$G1550)+1)</f>
        <v/>
      </c>
      <c r="I1550">
        <f>IF($H1550="","",$A1550&amp;"|"&amp;RIGHT("000000"&amp;$H1550,6))</f>
        <v/>
      </c>
      <c r="J1550">
        <f>IF(OR($B1550&lt;&gt;2,$G1550=""),"",COUNTIFS(LdAParty,$A1550,LdAType,2,LdAKey,"&lt;"&amp;$G1550)+1)</f>
        <v/>
      </c>
      <c r="K1550">
        <f>IF($J1550="","",$A1550&amp;"|"&amp;RIGHT("000000"&amp;$J1550,6))</f>
        <v/>
      </c>
      <c r="L1550">
        <f>IF($A1550="","",IF(Wages!$G1553="",0,Wages!$G1553))</f>
        <v/>
      </c>
      <c r="M1550">
        <f>IF($A1550="","",Wages!$J1553)</f>
        <v/>
      </c>
      <c r="N1550">
        <f>IF($A1550="","",Wages!$D1553)</f>
        <v/>
      </c>
      <c r="P1550">
        <f>IF(OR(Shares!$B1553="",Shares!$C1553=""),"",Shares!$C1553)</f>
        <v/>
      </c>
      <c r="Q1550">
        <f>IF($P1550="","",Shares!$B1553)</f>
        <v/>
      </c>
      <c r="R1550">
        <f>IF($P1550="","",IFERROR(INDEX(WageParty,MATCH($Q1550,WageIds,0)),""))</f>
        <v/>
      </c>
      <c r="S1550">
        <f>IF($P1550="","",IFERROR(INDEX($F$6:$F$2005,MATCH($Q1550,WageIds,0)),""))</f>
        <v/>
      </c>
      <c r="T1550">
        <f>IF(OR($P1550="",$S1550="",$S1550="نامعتبر"),"",LEFT($S1550,4)&amp;MID($S1550,6,2)&amp;RIGHT($S1550,2)&amp;"0000"&amp;"|"&amp;"2"&amp;RIGHT("00000"&amp;1545,5))</f>
        <v/>
      </c>
      <c r="U1550">
        <f>IF($T1550="","",COUNTIFS(LdAParty,$P1550,LdAType,1,LdAKey,"&lt;"&amp;$T1550)+COUNTIFS(LdBMember,$P1550,LdBKey,"&lt;"&amp;$T1550)+COUNTIFS(LdCParty,$P1550,LdCKey,"&lt;"&amp;$T1550)+1)</f>
        <v/>
      </c>
      <c r="V1550">
        <f>IF($U1550="","",$P1550&amp;"|"&amp;RIGHT("000000"&amp;$U1550,6))</f>
        <v/>
      </c>
      <c r="W1550">
        <f>IF($T1550="","",COUNTIFS(LdBGroup,$R1550,LdBKey,"&lt;"&amp;$T1550)+1)</f>
        <v/>
      </c>
      <c r="X1550">
        <f>IF($W1550="","",$R1550&amp;"|"&amp;RIGHT("000000"&amp;$W1550,6))</f>
        <v/>
      </c>
      <c r="Y1550">
        <f>IF($P1550="","",IF(Shares!$E1553="",0,Shares!$E1553))</f>
        <v/>
      </c>
      <c r="Z1550">
        <f>IF($P1550="","",Shares!$H1553)</f>
        <v/>
      </c>
      <c r="AE1550">
        <f>IF(OR(Sync!$S1550="",Sync!$P1550=""),"",Sync!$S1550)</f>
        <v/>
      </c>
      <c r="AF1550">
        <f>IF($AE1550="","",IF(ISNUMBER(Sync!$P1550),IF(AND(Sync!$P1550&gt;=10000101,Sync!$P1550&lt;=99991231),INT(Sync!$P1550/10000),""),IFERROR(VALUE(TRIM(LEFT(Sync!$P1550,FIND("/",Sync!$P1550)-1))),"")))</f>
        <v/>
      </c>
      <c r="AG1550">
        <f>IF(OR($AE1550="",$AF1550=""),"",IF(ISNUMBER(Sync!$P1550),INT(MOD(Sync!$P1550,10000)/100),IFERROR(VALUE(TRIM(LEFT(MID(Sync!$P1550,FIND("/",Sync!$P1550)+1,20),FIND("/",MID(Sync!$P1550,FIND("/",Sync!$P1550)+1,20))-1))),"")))</f>
        <v/>
      </c>
      <c r="AH1550">
        <f>IF(OR($AE1550="",$AF1550=""),"",IF(ISNUMBER(Sync!$P1550),MOD(Sync!$P1550,100),IFERROR(VALUE(TRIM(MID(MID(Sync!$P1550,FIND("/",Sync!$P1550)+1,20),FIND("/",MID(Sync!$P1550,FIND("/",Sync!$P1550)+1,20))+1,20))),"")))</f>
        <v/>
      </c>
      <c r="AI1550">
        <f>IF($AE1550="","",IF(OR($AF1550="",$AG1550="",$AH1550="",$AF1550&lt;1300,$AF1550&gt;1500,$AG1550&lt;1,$AG1550&gt;12,$AH1550&lt;1,$AH1550&gt;31),"نامعتبر",RIGHT("0000"&amp;$AF1550,4)&amp;"/"&amp;RIGHT("00"&amp;$AG1550,2)&amp;"/"&amp;RIGHT("00"&amp;$AH1550,2)))</f>
        <v/>
      </c>
      <c r="AJ1550">
        <f>IF($AE1550="","",IF(Sync!$Q1550="","0000",IF(AND(ISNUMBER(Sync!$Q1550),Sync!$Q1550&gt;=0,Sync!$Q1550&lt;1),RIGHT("00"&amp;HOUR(Sync!$Q1550),2)&amp;RIGHT("00"&amp;MINUTE(Sync!$Q1550),2),IFERROR(RIGHT("00"&amp;VALUE(LEFT(Sync!$Q1550,FIND(":",Sync!$Q1550)-1)),2)&amp;RIGHT("00"&amp;VALUE(MID(Sync!$Q1550,FIND(":",Sync!$Q1550)+1,2)),2),"0000"))))</f>
        <v/>
      </c>
      <c r="AK1550">
        <f>IF(OR($AE1550="",$AI1550="",$AI1550="نامعتبر"),"",LEFT($AI1550,4)&amp;MID($AI1550,6,2)&amp;RIGHT($AI1550,2)&amp;$AJ1550&amp;"|"&amp;"3"&amp;RIGHT("00000"&amp;1545,5))</f>
        <v/>
      </c>
      <c r="AL1550">
        <f>IF($AK1550="","",COUNTIFS(LdAParty,$AE1550,LdAType,1,LdAKey,"&lt;"&amp;$AK1550)+COUNTIFS(LdBMember,$AE1550,LdBKey,"&lt;"&amp;$AK1550)+COUNTIFS(LdCParty,$AE1550,LdCKey,"&lt;"&amp;$AK1550)+1)</f>
        <v/>
      </c>
      <c r="AM1550">
        <f>IF($AL1550="","",$AE1550&amp;"|"&amp;RIGHT("000000"&amp;$AL1550,6))</f>
        <v/>
      </c>
      <c r="AN1550">
        <f>IF($AE1550="","",IF(Sync!$W1550="",0,Sync!$W1550))</f>
        <v/>
      </c>
      <c r="AO1550">
        <f>IF($AE1550="","",IF(Sync!$X1550="",0,Sync!$X1550))</f>
        <v/>
      </c>
      <c r="AP1550">
        <f>IF($AE1550="","",Sync!$R1550)</f>
        <v/>
      </c>
      <c r="AQ1550">
        <f>IF($AE1550="","",Sync!$Y1550)</f>
        <v/>
      </c>
    </row>
    <row r="1551">
      <c r="A1551">
        <f>IF(OR(Wages!$B1554="",Wages!$E1554=""),"",Wages!$E1554)</f>
        <v/>
      </c>
      <c r="B1551">
        <f>IF($A1551="","",IF(Wages!$C1554="دستمزد گروهی",2,1))</f>
        <v/>
      </c>
      <c r="C1551">
        <f>IF($A1551="","",IF(ISNUMBER(Wages!$B1554),IF(AND(Wages!$B1554&gt;=10000101,Wages!$B1554&lt;=99991231),INT(Wages!$B1554/10000),""),IFERROR(VALUE(TRIM(LEFT(Wages!$B1554,FIND("/",Wages!$B1554)-1))),"")))</f>
        <v/>
      </c>
      <c r="D1551">
        <f>IF(OR($A1551="",$C1551=""),"",IF(ISNUMBER(Wages!$B1554),INT(MOD(Wages!$B1554,10000)/100),IFERROR(VALUE(TRIM(LEFT(MID(Wages!$B1554,FIND("/",Wages!$B1554)+1,20),FIND("/",MID(Wages!$B1554,FIND("/",Wages!$B1554)+1,20))-1))),"")))</f>
        <v/>
      </c>
      <c r="E1551">
        <f>IF(OR($A1551="",$C1551=""),"",IF(ISNUMBER(Wages!$B1554),MOD(Wages!$B1554,100),IFERROR(VALUE(TRIM(MID(MID(Wages!$B1554,FIND("/",Wages!$B1554)+1,20),FIND("/",MID(Wages!$B1554,FIND("/",Wages!$B1554)+1,20))+1,20))),"")))</f>
        <v/>
      </c>
      <c r="F1551">
        <f>IF($A1551="","",IF(OR($C1551="",$D1551="",$E1551="",$C1551&lt;1300,$C1551&gt;1500,$D1551&lt;1,$D1551&gt;12,$E1551&lt;1,$E1551&gt;31),"نامعتبر",RIGHT("0000"&amp;$C1551,4)&amp;"/"&amp;RIGHT("00"&amp;$D1551,2)&amp;"/"&amp;RIGHT("00"&amp;$E1551,2)))</f>
        <v/>
      </c>
      <c r="G1551">
        <f>IF(OR($A1551="",$F1551="",$F1551="نامعتبر"),"",LEFT($F1551,4)&amp;MID($F1551,6,2)&amp;RIGHT($F1551,2)&amp;"0000"&amp;"|"&amp;"1"&amp;RIGHT("00000"&amp;1546,5))</f>
        <v/>
      </c>
      <c r="H1551">
        <f>IF(OR($B1551&lt;&gt;1,$G1551=""),"",COUNTIFS(LdAParty,$A1551,LdAType,1,LdAKey,"&lt;"&amp;$G1551)+COUNTIFS(LdBMember,$A1551,LdBKey,"&lt;"&amp;$G1551)+COUNTIFS(LdCParty,$A1551,LdCKey,"&lt;"&amp;$G1551)+1)</f>
        <v/>
      </c>
      <c r="I1551">
        <f>IF($H1551="","",$A1551&amp;"|"&amp;RIGHT("000000"&amp;$H1551,6))</f>
        <v/>
      </c>
      <c r="J1551">
        <f>IF(OR($B1551&lt;&gt;2,$G1551=""),"",COUNTIFS(LdAParty,$A1551,LdAType,2,LdAKey,"&lt;"&amp;$G1551)+1)</f>
        <v/>
      </c>
      <c r="K1551">
        <f>IF($J1551="","",$A1551&amp;"|"&amp;RIGHT("000000"&amp;$J1551,6))</f>
        <v/>
      </c>
      <c r="L1551">
        <f>IF($A1551="","",IF(Wages!$G1554="",0,Wages!$G1554))</f>
        <v/>
      </c>
      <c r="M1551">
        <f>IF($A1551="","",Wages!$J1554)</f>
        <v/>
      </c>
      <c r="N1551">
        <f>IF($A1551="","",Wages!$D1554)</f>
        <v/>
      </c>
      <c r="P1551">
        <f>IF(OR(Shares!$B1554="",Shares!$C1554=""),"",Shares!$C1554)</f>
        <v/>
      </c>
      <c r="Q1551">
        <f>IF($P1551="","",Shares!$B1554)</f>
        <v/>
      </c>
      <c r="R1551">
        <f>IF($P1551="","",IFERROR(INDEX(WageParty,MATCH($Q1551,WageIds,0)),""))</f>
        <v/>
      </c>
      <c r="S1551">
        <f>IF($P1551="","",IFERROR(INDEX($F$6:$F$2005,MATCH($Q1551,WageIds,0)),""))</f>
        <v/>
      </c>
      <c r="T1551">
        <f>IF(OR($P1551="",$S1551="",$S1551="نامعتبر"),"",LEFT($S1551,4)&amp;MID($S1551,6,2)&amp;RIGHT($S1551,2)&amp;"0000"&amp;"|"&amp;"2"&amp;RIGHT("00000"&amp;1546,5))</f>
        <v/>
      </c>
      <c r="U1551">
        <f>IF($T1551="","",COUNTIFS(LdAParty,$P1551,LdAType,1,LdAKey,"&lt;"&amp;$T1551)+COUNTIFS(LdBMember,$P1551,LdBKey,"&lt;"&amp;$T1551)+COUNTIFS(LdCParty,$P1551,LdCKey,"&lt;"&amp;$T1551)+1)</f>
        <v/>
      </c>
      <c r="V1551">
        <f>IF($U1551="","",$P1551&amp;"|"&amp;RIGHT("000000"&amp;$U1551,6))</f>
        <v/>
      </c>
      <c r="W1551">
        <f>IF($T1551="","",COUNTIFS(LdBGroup,$R1551,LdBKey,"&lt;"&amp;$T1551)+1)</f>
        <v/>
      </c>
      <c r="X1551">
        <f>IF($W1551="","",$R1551&amp;"|"&amp;RIGHT("000000"&amp;$W1551,6))</f>
        <v/>
      </c>
      <c r="Y1551">
        <f>IF($P1551="","",IF(Shares!$E1554="",0,Shares!$E1554))</f>
        <v/>
      </c>
      <c r="Z1551">
        <f>IF($P1551="","",Shares!$H1554)</f>
        <v/>
      </c>
      <c r="AE1551">
        <f>IF(OR(Sync!$S1551="",Sync!$P1551=""),"",Sync!$S1551)</f>
        <v/>
      </c>
      <c r="AF1551">
        <f>IF($AE1551="","",IF(ISNUMBER(Sync!$P1551),IF(AND(Sync!$P1551&gt;=10000101,Sync!$P1551&lt;=99991231),INT(Sync!$P1551/10000),""),IFERROR(VALUE(TRIM(LEFT(Sync!$P1551,FIND("/",Sync!$P1551)-1))),"")))</f>
        <v/>
      </c>
      <c r="AG1551">
        <f>IF(OR($AE1551="",$AF1551=""),"",IF(ISNUMBER(Sync!$P1551),INT(MOD(Sync!$P1551,10000)/100),IFERROR(VALUE(TRIM(LEFT(MID(Sync!$P1551,FIND("/",Sync!$P1551)+1,20),FIND("/",MID(Sync!$P1551,FIND("/",Sync!$P1551)+1,20))-1))),"")))</f>
        <v/>
      </c>
      <c r="AH1551">
        <f>IF(OR($AE1551="",$AF1551=""),"",IF(ISNUMBER(Sync!$P1551),MOD(Sync!$P1551,100),IFERROR(VALUE(TRIM(MID(MID(Sync!$P1551,FIND("/",Sync!$P1551)+1,20),FIND("/",MID(Sync!$P1551,FIND("/",Sync!$P1551)+1,20))+1,20))),"")))</f>
        <v/>
      </c>
      <c r="AI1551">
        <f>IF($AE1551="","",IF(OR($AF1551="",$AG1551="",$AH1551="",$AF1551&lt;1300,$AF1551&gt;1500,$AG1551&lt;1,$AG1551&gt;12,$AH1551&lt;1,$AH1551&gt;31),"نامعتبر",RIGHT("0000"&amp;$AF1551,4)&amp;"/"&amp;RIGHT("00"&amp;$AG1551,2)&amp;"/"&amp;RIGHT("00"&amp;$AH1551,2)))</f>
        <v/>
      </c>
      <c r="AJ1551">
        <f>IF($AE1551="","",IF(Sync!$Q1551="","0000",IF(AND(ISNUMBER(Sync!$Q1551),Sync!$Q1551&gt;=0,Sync!$Q1551&lt;1),RIGHT("00"&amp;HOUR(Sync!$Q1551),2)&amp;RIGHT("00"&amp;MINUTE(Sync!$Q1551),2),IFERROR(RIGHT("00"&amp;VALUE(LEFT(Sync!$Q1551,FIND(":",Sync!$Q1551)-1)),2)&amp;RIGHT("00"&amp;VALUE(MID(Sync!$Q1551,FIND(":",Sync!$Q1551)+1,2)),2),"0000"))))</f>
        <v/>
      </c>
      <c r="AK1551">
        <f>IF(OR($AE1551="",$AI1551="",$AI1551="نامعتبر"),"",LEFT($AI1551,4)&amp;MID($AI1551,6,2)&amp;RIGHT($AI1551,2)&amp;$AJ1551&amp;"|"&amp;"3"&amp;RIGHT("00000"&amp;1546,5))</f>
        <v/>
      </c>
      <c r="AL1551">
        <f>IF($AK1551="","",COUNTIFS(LdAParty,$AE1551,LdAType,1,LdAKey,"&lt;"&amp;$AK1551)+COUNTIFS(LdBMember,$AE1551,LdBKey,"&lt;"&amp;$AK1551)+COUNTIFS(LdCParty,$AE1551,LdCKey,"&lt;"&amp;$AK1551)+1)</f>
        <v/>
      </c>
      <c r="AM1551">
        <f>IF($AL1551="","",$AE1551&amp;"|"&amp;RIGHT("000000"&amp;$AL1551,6))</f>
        <v/>
      </c>
      <c r="AN1551">
        <f>IF($AE1551="","",IF(Sync!$W1551="",0,Sync!$W1551))</f>
        <v/>
      </c>
      <c r="AO1551">
        <f>IF($AE1551="","",IF(Sync!$X1551="",0,Sync!$X1551))</f>
        <v/>
      </c>
      <c r="AP1551">
        <f>IF($AE1551="","",Sync!$R1551)</f>
        <v/>
      </c>
      <c r="AQ1551">
        <f>IF($AE1551="","",Sync!$Y1551)</f>
        <v/>
      </c>
    </row>
    <row r="1552">
      <c r="A1552">
        <f>IF(OR(Wages!$B1555="",Wages!$E1555=""),"",Wages!$E1555)</f>
        <v/>
      </c>
      <c r="B1552">
        <f>IF($A1552="","",IF(Wages!$C1555="دستمزد گروهی",2,1))</f>
        <v/>
      </c>
      <c r="C1552">
        <f>IF($A1552="","",IF(ISNUMBER(Wages!$B1555),IF(AND(Wages!$B1555&gt;=10000101,Wages!$B1555&lt;=99991231),INT(Wages!$B1555/10000),""),IFERROR(VALUE(TRIM(LEFT(Wages!$B1555,FIND("/",Wages!$B1555)-1))),"")))</f>
        <v/>
      </c>
      <c r="D1552">
        <f>IF(OR($A1552="",$C1552=""),"",IF(ISNUMBER(Wages!$B1555),INT(MOD(Wages!$B1555,10000)/100),IFERROR(VALUE(TRIM(LEFT(MID(Wages!$B1555,FIND("/",Wages!$B1555)+1,20),FIND("/",MID(Wages!$B1555,FIND("/",Wages!$B1555)+1,20))-1))),"")))</f>
        <v/>
      </c>
      <c r="E1552">
        <f>IF(OR($A1552="",$C1552=""),"",IF(ISNUMBER(Wages!$B1555),MOD(Wages!$B1555,100),IFERROR(VALUE(TRIM(MID(MID(Wages!$B1555,FIND("/",Wages!$B1555)+1,20),FIND("/",MID(Wages!$B1555,FIND("/",Wages!$B1555)+1,20))+1,20))),"")))</f>
        <v/>
      </c>
      <c r="F1552">
        <f>IF($A1552="","",IF(OR($C1552="",$D1552="",$E1552="",$C1552&lt;1300,$C1552&gt;1500,$D1552&lt;1,$D1552&gt;12,$E1552&lt;1,$E1552&gt;31),"نامعتبر",RIGHT("0000"&amp;$C1552,4)&amp;"/"&amp;RIGHT("00"&amp;$D1552,2)&amp;"/"&amp;RIGHT("00"&amp;$E1552,2)))</f>
        <v/>
      </c>
      <c r="G1552">
        <f>IF(OR($A1552="",$F1552="",$F1552="نامعتبر"),"",LEFT($F1552,4)&amp;MID($F1552,6,2)&amp;RIGHT($F1552,2)&amp;"0000"&amp;"|"&amp;"1"&amp;RIGHT("00000"&amp;1547,5))</f>
        <v/>
      </c>
      <c r="H1552">
        <f>IF(OR($B1552&lt;&gt;1,$G1552=""),"",COUNTIFS(LdAParty,$A1552,LdAType,1,LdAKey,"&lt;"&amp;$G1552)+COUNTIFS(LdBMember,$A1552,LdBKey,"&lt;"&amp;$G1552)+COUNTIFS(LdCParty,$A1552,LdCKey,"&lt;"&amp;$G1552)+1)</f>
        <v/>
      </c>
      <c r="I1552">
        <f>IF($H1552="","",$A1552&amp;"|"&amp;RIGHT("000000"&amp;$H1552,6))</f>
        <v/>
      </c>
      <c r="J1552">
        <f>IF(OR($B1552&lt;&gt;2,$G1552=""),"",COUNTIFS(LdAParty,$A1552,LdAType,2,LdAKey,"&lt;"&amp;$G1552)+1)</f>
        <v/>
      </c>
      <c r="K1552">
        <f>IF($J1552="","",$A1552&amp;"|"&amp;RIGHT("000000"&amp;$J1552,6))</f>
        <v/>
      </c>
      <c r="L1552">
        <f>IF($A1552="","",IF(Wages!$G1555="",0,Wages!$G1555))</f>
        <v/>
      </c>
      <c r="M1552">
        <f>IF($A1552="","",Wages!$J1555)</f>
        <v/>
      </c>
      <c r="N1552">
        <f>IF($A1552="","",Wages!$D1555)</f>
        <v/>
      </c>
      <c r="P1552">
        <f>IF(OR(Shares!$B1555="",Shares!$C1555=""),"",Shares!$C1555)</f>
        <v/>
      </c>
      <c r="Q1552">
        <f>IF($P1552="","",Shares!$B1555)</f>
        <v/>
      </c>
      <c r="R1552">
        <f>IF($P1552="","",IFERROR(INDEX(WageParty,MATCH($Q1552,WageIds,0)),""))</f>
        <v/>
      </c>
      <c r="S1552">
        <f>IF($P1552="","",IFERROR(INDEX($F$6:$F$2005,MATCH($Q1552,WageIds,0)),""))</f>
        <v/>
      </c>
      <c r="T1552">
        <f>IF(OR($P1552="",$S1552="",$S1552="نامعتبر"),"",LEFT($S1552,4)&amp;MID($S1552,6,2)&amp;RIGHT($S1552,2)&amp;"0000"&amp;"|"&amp;"2"&amp;RIGHT("00000"&amp;1547,5))</f>
        <v/>
      </c>
      <c r="U1552">
        <f>IF($T1552="","",COUNTIFS(LdAParty,$P1552,LdAType,1,LdAKey,"&lt;"&amp;$T1552)+COUNTIFS(LdBMember,$P1552,LdBKey,"&lt;"&amp;$T1552)+COUNTIFS(LdCParty,$P1552,LdCKey,"&lt;"&amp;$T1552)+1)</f>
        <v/>
      </c>
      <c r="V1552">
        <f>IF($U1552="","",$P1552&amp;"|"&amp;RIGHT("000000"&amp;$U1552,6))</f>
        <v/>
      </c>
      <c r="W1552">
        <f>IF($T1552="","",COUNTIFS(LdBGroup,$R1552,LdBKey,"&lt;"&amp;$T1552)+1)</f>
        <v/>
      </c>
      <c r="X1552">
        <f>IF($W1552="","",$R1552&amp;"|"&amp;RIGHT("000000"&amp;$W1552,6))</f>
        <v/>
      </c>
      <c r="Y1552">
        <f>IF($P1552="","",IF(Shares!$E1555="",0,Shares!$E1555))</f>
        <v/>
      </c>
      <c r="Z1552">
        <f>IF($P1552="","",Shares!$H1555)</f>
        <v/>
      </c>
      <c r="AE1552">
        <f>IF(OR(Sync!$S1552="",Sync!$P1552=""),"",Sync!$S1552)</f>
        <v/>
      </c>
      <c r="AF1552">
        <f>IF($AE1552="","",IF(ISNUMBER(Sync!$P1552),IF(AND(Sync!$P1552&gt;=10000101,Sync!$P1552&lt;=99991231),INT(Sync!$P1552/10000),""),IFERROR(VALUE(TRIM(LEFT(Sync!$P1552,FIND("/",Sync!$P1552)-1))),"")))</f>
        <v/>
      </c>
      <c r="AG1552">
        <f>IF(OR($AE1552="",$AF1552=""),"",IF(ISNUMBER(Sync!$P1552),INT(MOD(Sync!$P1552,10000)/100),IFERROR(VALUE(TRIM(LEFT(MID(Sync!$P1552,FIND("/",Sync!$P1552)+1,20),FIND("/",MID(Sync!$P1552,FIND("/",Sync!$P1552)+1,20))-1))),"")))</f>
        <v/>
      </c>
      <c r="AH1552">
        <f>IF(OR($AE1552="",$AF1552=""),"",IF(ISNUMBER(Sync!$P1552),MOD(Sync!$P1552,100),IFERROR(VALUE(TRIM(MID(MID(Sync!$P1552,FIND("/",Sync!$P1552)+1,20),FIND("/",MID(Sync!$P1552,FIND("/",Sync!$P1552)+1,20))+1,20))),"")))</f>
        <v/>
      </c>
      <c r="AI1552">
        <f>IF($AE1552="","",IF(OR($AF1552="",$AG1552="",$AH1552="",$AF1552&lt;1300,$AF1552&gt;1500,$AG1552&lt;1,$AG1552&gt;12,$AH1552&lt;1,$AH1552&gt;31),"نامعتبر",RIGHT("0000"&amp;$AF1552,4)&amp;"/"&amp;RIGHT("00"&amp;$AG1552,2)&amp;"/"&amp;RIGHT("00"&amp;$AH1552,2)))</f>
        <v/>
      </c>
      <c r="AJ1552">
        <f>IF($AE1552="","",IF(Sync!$Q1552="","0000",IF(AND(ISNUMBER(Sync!$Q1552),Sync!$Q1552&gt;=0,Sync!$Q1552&lt;1),RIGHT("00"&amp;HOUR(Sync!$Q1552),2)&amp;RIGHT("00"&amp;MINUTE(Sync!$Q1552),2),IFERROR(RIGHT("00"&amp;VALUE(LEFT(Sync!$Q1552,FIND(":",Sync!$Q1552)-1)),2)&amp;RIGHT("00"&amp;VALUE(MID(Sync!$Q1552,FIND(":",Sync!$Q1552)+1,2)),2),"0000"))))</f>
        <v/>
      </c>
      <c r="AK1552">
        <f>IF(OR($AE1552="",$AI1552="",$AI1552="نامعتبر"),"",LEFT($AI1552,4)&amp;MID($AI1552,6,2)&amp;RIGHT($AI1552,2)&amp;$AJ1552&amp;"|"&amp;"3"&amp;RIGHT("00000"&amp;1547,5))</f>
        <v/>
      </c>
      <c r="AL1552">
        <f>IF($AK1552="","",COUNTIFS(LdAParty,$AE1552,LdAType,1,LdAKey,"&lt;"&amp;$AK1552)+COUNTIFS(LdBMember,$AE1552,LdBKey,"&lt;"&amp;$AK1552)+COUNTIFS(LdCParty,$AE1552,LdCKey,"&lt;"&amp;$AK1552)+1)</f>
        <v/>
      </c>
      <c r="AM1552">
        <f>IF($AL1552="","",$AE1552&amp;"|"&amp;RIGHT("000000"&amp;$AL1552,6))</f>
        <v/>
      </c>
      <c r="AN1552">
        <f>IF($AE1552="","",IF(Sync!$W1552="",0,Sync!$W1552))</f>
        <v/>
      </c>
      <c r="AO1552">
        <f>IF($AE1552="","",IF(Sync!$X1552="",0,Sync!$X1552))</f>
        <v/>
      </c>
      <c r="AP1552">
        <f>IF($AE1552="","",Sync!$R1552)</f>
        <v/>
      </c>
      <c r="AQ1552">
        <f>IF($AE1552="","",Sync!$Y1552)</f>
        <v/>
      </c>
    </row>
    <row r="1553">
      <c r="A1553">
        <f>IF(OR(Wages!$B1556="",Wages!$E1556=""),"",Wages!$E1556)</f>
        <v/>
      </c>
      <c r="B1553">
        <f>IF($A1553="","",IF(Wages!$C1556="دستمزد گروهی",2,1))</f>
        <v/>
      </c>
      <c r="C1553">
        <f>IF($A1553="","",IF(ISNUMBER(Wages!$B1556),IF(AND(Wages!$B1556&gt;=10000101,Wages!$B1556&lt;=99991231),INT(Wages!$B1556/10000),""),IFERROR(VALUE(TRIM(LEFT(Wages!$B1556,FIND("/",Wages!$B1556)-1))),"")))</f>
        <v/>
      </c>
      <c r="D1553">
        <f>IF(OR($A1553="",$C1553=""),"",IF(ISNUMBER(Wages!$B1556),INT(MOD(Wages!$B1556,10000)/100),IFERROR(VALUE(TRIM(LEFT(MID(Wages!$B1556,FIND("/",Wages!$B1556)+1,20),FIND("/",MID(Wages!$B1556,FIND("/",Wages!$B1556)+1,20))-1))),"")))</f>
        <v/>
      </c>
      <c r="E1553">
        <f>IF(OR($A1553="",$C1553=""),"",IF(ISNUMBER(Wages!$B1556),MOD(Wages!$B1556,100),IFERROR(VALUE(TRIM(MID(MID(Wages!$B1556,FIND("/",Wages!$B1556)+1,20),FIND("/",MID(Wages!$B1556,FIND("/",Wages!$B1556)+1,20))+1,20))),"")))</f>
        <v/>
      </c>
      <c r="F1553">
        <f>IF($A1553="","",IF(OR($C1553="",$D1553="",$E1553="",$C1553&lt;1300,$C1553&gt;1500,$D1553&lt;1,$D1553&gt;12,$E1553&lt;1,$E1553&gt;31),"نامعتبر",RIGHT("0000"&amp;$C1553,4)&amp;"/"&amp;RIGHT("00"&amp;$D1553,2)&amp;"/"&amp;RIGHT("00"&amp;$E1553,2)))</f>
        <v/>
      </c>
      <c r="G1553">
        <f>IF(OR($A1553="",$F1553="",$F1553="نامعتبر"),"",LEFT($F1553,4)&amp;MID($F1553,6,2)&amp;RIGHT($F1553,2)&amp;"0000"&amp;"|"&amp;"1"&amp;RIGHT("00000"&amp;1548,5))</f>
        <v/>
      </c>
      <c r="H1553">
        <f>IF(OR($B1553&lt;&gt;1,$G1553=""),"",COUNTIFS(LdAParty,$A1553,LdAType,1,LdAKey,"&lt;"&amp;$G1553)+COUNTIFS(LdBMember,$A1553,LdBKey,"&lt;"&amp;$G1553)+COUNTIFS(LdCParty,$A1553,LdCKey,"&lt;"&amp;$G1553)+1)</f>
        <v/>
      </c>
      <c r="I1553">
        <f>IF($H1553="","",$A1553&amp;"|"&amp;RIGHT("000000"&amp;$H1553,6))</f>
        <v/>
      </c>
      <c r="J1553">
        <f>IF(OR($B1553&lt;&gt;2,$G1553=""),"",COUNTIFS(LdAParty,$A1553,LdAType,2,LdAKey,"&lt;"&amp;$G1553)+1)</f>
        <v/>
      </c>
      <c r="K1553">
        <f>IF($J1553="","",$A1553&amp;"|"&amp;RIGHT("000000"&amp;$J1553,6))</f>
        <v/>
      </c>
      <c r="L1553">
        <f>IF($A1553="","",IF(Wages!$G1556="",0,Wages!$G1556))</f>
        <v/>
      </c>
      <c r="M1553">
        <f>IF($A1553="","",Wages!$J1556)</f>
        <v/>
      </c>
      <c r="N1553">
        <f>IF($A1553="","",Wages!$D1556)</f>
        <v/>
      </c>
      <c r="P1553">
        <f>IF(OR(Shares!$B1556="",Shares!$C1556=""),"",Shares!$C1556)</f>
        <v/>
      </c>
      <c r="Q1553">
        <f>IF($P1553="","",Shares!$B1556)</f>
        <v/>
      </c>
      <c r="R1553">
        <f>IF($P1553="","",IFERROR(INDEX(WageParty,MATCH($Q1553,WageIds,0)),""))</f>
        <v/>
      </c>
      <c r="S1553">
        <f>IF($P1553="","",IFERROR(INDEX($F$6:$F$2005,MATCH($Q1553,WageIds,0)),""))</f>
        <v/>
      </c>
      <c r="T1553">
        <f>IF(OR($P1553="",$S1553="",$S1553="نامعتبر"),"",LEFT($S1553,4)&amp;MID($S1553,6,2)&amp;RIGHT($S1553,2)&amp;"0000"&amp;"|"&amp;"2"&amp;RIGHT("00000"&amp;1548,5))</f>
        <v/>
      </c>
      <c r="U1553">
        <f>IF($T1553="","",COUNTIFS(LdAParty,$P1553,LdAType,1,LdAKey,"&lt;"&amp;$T1553)+COUNTIFS(LdBMember,$P1553,LdBKey,"&lt;"&amp;$T1553)+COUNTIFS(LdCParty,$P1553,LdCKey,"&lt;"&amp;$T1553)+1)</f>
        <v/>
      </c>
      <c r="V1553">
        <f>IF($U1553="","",$P1553&amp;"|"&amp;RIGHT("000000"&amp;$U1553,6))</f>
        <v/>
      </c>
      <c r="W1553">
        <f>IF($T1553="","",COUNTIFS(LdBGroup,$R1553,LdBKey,"&lt;"&amp;$T1553)+1)</f>
        <v/>
      </c>
      <c r="X1553">
        <f>IF($W1553="","",$R1553&amp;"|"&amp;RIGHT("000000"&amp;$W1553,6))</f>
        <v/>
      </c>
      <c r="Y1553">
        <f>IF($P1553="","",IF(Shares!$E1556="",0,Shares!$E1556))</f>
        <v/>
      </c>
      <c r="Z1553">
        <f>IF($P1553="","",Shares!$H1556)</f>
        <v/>
      </c>
      <c r="AE1553">
        <f>IF(OR(Sync!$S1553="",Sync!$P1553=""),"",Sync!$S1553)</f>
        <v/>
      </c>
      <c r="AF1553">
        <f>IF($AE1553="","",IF(ISNUMBER(Sync!$P1553),IF(AND(Sync!$P1553&gt;=10000101,Sync!$P1553&lt;=99991231),INT(Sync!$P1553/10000),""),IFERROR(VALUE(TRIM(LEFT(Sync!$P1553,FIND("/",Sync!$P1553)-1))),"")))</f>
        <v/>
      </c>
      <c r="AG1553">
        <f>IF(OR($AE1553="",$AF1553=""),"",IF(ISNUMBER(Sync!$P1553),INT(MOD(Sync!$P1553,10000)/100),IFERROR(VALUE(TRIM(LEFT(MID(Sync!$P1553,FIND("/",Sync!$P1553)+1,20),FIND("/",MID(Sync!$P1553,FIND("/",Sync!$P1553)+1,20))-1))),"")))</f>
        <v/>
      </c>
      <c r="AH1553">
        <f>IF(OR($AE1553="",$AF1553=""),"",IF(ISNUMBER(Sync!$P1553),MOD(Sync!$P1553,100),IFERROR(VALUE(TRIM(MID(MID(Sync!$P1553,FIND("/",Sync!$P1553)+1,20),FIND("/",MID(Sync!$P1553,FIND("/",Sync!$P1553)+1,20))+1,20))),"")))</f>
        <v/>
      </c>
      <c r="AI1553">
        <f>IF($AE1553="","",IF(OR($AF1553="",$AG1553="",$AH1553="",$AF1553&lt;1300,$AF1553&gt;1500,$AG1553&lt;1,$AG1553&gt;12,$AH1553&lt;1,$AH1553&gt;31),"نامعتبر",RIGHT("0000"&amp;$AF1553,4)&amp;"/"&amp;RIGHT("00"&amp;$AG1553,2)&amp;"/"&amp;RIGHT("00"&amp;$AH1553,2)))</f>
        <v/>
      </c>
      <c r="AJ1553">
        <f>IF($AE1553="","",IF(Sync!$Q1553="","0000",IF(AND(ISNUMBER(Sync!$Q1553),Sync!$Q1553&gt;=0,Sync!$Q1553&lt;1),RIGHT("00"&amp;HOUR(Sync!$Q1553),2)&amp;RIGHT("00"&amp;MINUTE(Sync!$Q1553),2),IFERROR(RIGHT("00"&amp;VALUE(LEFT(Sync!$Q1553,FIND(":",Sync!$Q1553)-1)),2)&amp;RIGHT("00"&amp;VALUE(MID(Sync!$Q1553,FIND(":",Sync!$Q1553)+1,2)),2),"0000"))))</f>
        <v/>
      </c>
      <c r="AK1553">
        <f>IF(OR($AE1553="",$AI1553="",$AI1553="نامعتبر"),"",LEFT($AI1553,4)&amp;MID($AI1553,6,2)&amp;RIGHT($AI1553,2)&amp;$AJ1553&amp;"|"&amp;"3"&amp;RIGHT("00000"&amp;1548,5))</f>
        <v/>
      </c>
      <c r="AL1553">
        <f>IF($AK1553="","",COUNTIFS(LdAParty,$AE1553,LdAType,1,LdAKey,"&lt;"&amp;$AK1553)+COUNTIFS(LdBMember,$AE1553,LdBKey,"&lt;"&amp;$AK1553)+COUNTIFS(LdCParty,$AE1553,LdCKey,"&lt;"&amp;$AK1553)+1)</f>
        <v/>
      </c>
      <c r="AM1553">
        <f>IF($AL1553="","",$AE1553&amp;"|"&amp;RIGHT("000000"&amp;$AL1553,6))</f>
        <v/>
      </c>
      <c r="AN1553">
        <f>IF($AE1553="","",IF(Sync!$W1553="",0,Sync!$W1553))</f>
        <v/>
      </c>
      <c r="AO1553">
        <f>IF($AE1553="","",IF(Sync!$X1553="",0,Sync!$X1553))</f>
        <v/>
      </c>
      <c r="AP1553">
        <f>IF($AE1553="","",Sync!$R1553)</f>
        <v/>
      </c>
      <c r="AQ1553">
        <f>IF($AE1553="","",Sync!$Y1553)</f>
        <v/>
      </c>
    </row>
    <row r="1554">
      <c r="A1554">
        <f>IF(OR(Wages!$B1557="",Wages!$E1557=""),"",Wages!$E1557)</f>
        <v/>
      </c>
      <c r="B1554">
        <f>IF($A1554="","",IF(Wages!$C1557="دستمزد گروهی",2,1))</f>
        <v/>
      </c>
      <c r="C1554">
        <f>IF($A1554="","",IF(ISNUMBER(Wages!$B1557),IF(AND(Wages!$B1557&gt;=10000101,Wages!$B1557&lt;=99991231),INT(Wages!$B1557/10000),""),IFERROR(VALUE(TRIM(LEFT(Wages!$B1557,FIND("/",Wages!$B1557)-1))),"")))</f>
        <v/>
      </c>
      <c r="D1554">
        <f>IF(OR($A1554="",$C1554=""),"",IF(ISNUMBER(Wages!$B1557),INT(MOD(Wages!$B1557,10000)/100),IFERROR(VALUE(TRIM(LEFT(MID(Wages!$B1557,FIND("/",Wages!$B1557)+1,20),FIND("/",MID(Wages!$B1557,FIND("/",Wages!$B1557)+1,20))-1))),"")))</f>
        <v/>
      </c>
      <c r="E1554">
        <f>IF(OR($A1554="",$C1554=""),"",IF(ISNUMBER(Wages!$B1557),MOD(Wages!$B1557,100),IFERROR(VALUE(TRIM(MID(MID(Wages!$B1557,FIND("/",Wages!$B1557)+1,20),FIND("/",MID(Wages!$B1557,FIND("/",Wages!$B1557)+1,20))+1,20))),"")))</f>
        <v/>
      </c>
      <c r="F1554">
        <f>IF($A1554="","",IF(OR($C1554="",$D1554="",$E1554="",$C1554&lt;1300,$C1554&gt;1500,$D1554&lt;1,$D1554&gt;12,$E1554&lt;1,$E1554&gt;31),"نامعتبر",RIGHT("0000"&amp;$C1554,4)&amp;"/"&amp;RIGHT("00"&amp;$D1554,2)&amp;"/"&amp;RIGHT("00"&amp;$E1554,2)))</f>
        <v/>
      </c>
      <c r="G1554">
        <f>IF(OR($A1554="",$F1554="",$F1554="نامعتبر"),"",LEFT($F1554,4)&amp;MID($F1554,6,2)&amp;RIGHT($F1554,2)&amp;"0000"&amp;"|"&amp;"1"&amp;RIGHT("00000"&amp;1549,5))</f>
        <v/>
      </c>
      <c r="H1554">
        <f>IF(OR($B1554&lt;&gt;1,$G1554=""),"",COUNTIFS(LdAParty,$A1554,LdAType,1,LdAKey,"&lt;"&amp;$G1554)+COUNTIFS(LdBMember,$A1554,LdBKey,"&lt;"&amp;$G1554)+COUNTIFS(LdCParty,$A1554,LdCKey,"&lt;"&amp;$G1554)+1)</f>
        <v/>
      </c>
      <c r="I1554">
        <f>IF($H1554="","",$A1554&amp;"|"&amp;RIGHT("000000"&amp;$H1554,6))</f>
        <v/>
      </c>
      <c r="J1554">
        <f>IF(OR($B1554&lt;&gt;2,$G1554=""),"",COUNTIFS(LdAParty,$A1554,LdAType,2,LdAKey,"&lt;"&amp;$G1554)+1)</f>
        <v/>
      </c>
      <c r="K1554">
        <f>IF($J1554="","",$A1554&amp;"|"&amp;RIGHT("000000"&amp;$J1554,6))</f>
        <v/>
      </c>
      <c r="L1554">
        <f>IF($A1554="","",IF(Wages!$G1557="",0,Wages!$G1557))</f>
        <v/>
      </c>
      <c r="M1554">
        <f>IF($A1554="","",Wages!$J1557)</f>
        <v/>
      </c>
      <c r="N1554">
        <f>IF($A1554="","",Wages!$D1557)</f>
        <v/>
      </c>
      <c r="P1554">
        <f>IF(OR(Shares!$B1557="",Shares!$C1557=""),"",Shares!$C1557)</f>
        <v/>
      </c>
      <c r="Q1554">
        <f>IF($P1554="","",Shares!$B1557)</f>
        <v/>
      </c>
      <c r="R1554">
        <f>IF($P1554="","",IFERROR(INDEX(WageParty,MATCH($Q1554,WageIds,0)),""))</f>
        <v/>
      </c>
      <c r="S1554">
        <f>IF($P1554="","",IFERROR(INDEX($F$6:$F$2005,MATCH($Q1554,WageIds,0)),""))</f>
        <v/>
      </c>
      <c r="T1554">
        <f>IF(OR($P1554="",$S1554="",$S1554="نامعتبر"),"",LEFT($S1554,4)&amp;MID($S1554,6,2)&amp;RIGHT($S1554,2)&amp;"0000"&amp;"|"&amp;"2"&amp;RIGHT("00000"&amp;1549,5))</f>
        <v/>
      </c>
      <c r="U1554">
        <f>IF($T1554="","",COUNTIFS(LdAParty,$P1554,LdAType,1,LdAKey,"&lt;"&amp;$T1554)+COUNTIFS(LdBMember,$P1554,LdBKey,"&lt;"&amp;$T1554)+COUNTIFS(LdCParty,$P1554,LdCKey,"&lt;"&amp;$T1554)+1)</f>
        <v/>
      </c>
      <c r="V1554">
        <f>IF($U1554="","",$P1554&amp;"|"&amp;RIGHT("000000"&amp;$U1554,6))</f>
        <v/>
      </c>
      <c r="W1554">
        <f>IF($T1554="","",COUNTIFS(LdBGroup,$R1554,LdBKey,"&lt;"&amp;$T1554)+1)</f>
        <v/>
      </c>
      <c r="X1554">
        <f>IF($W1554="","",$R1554&amp;"|"&amp;RIGHT("000000"&amp;$W1554,6))</f>
        <v/>
      </c>
      <c r="Y1554">
        <f>IF($P1554="","",IF(Shares!$E1557="",0,Shares!$E1557))</f>
        <v/>
      </c>
      <c r="Z1554">
        <f>IF($P1554="","",Shares!$H1557)</f>
        <v/>
      </c>
      <c r="AE1554">
        <f>IF(OR(Sync!$S1554="",Sync!$P1554=""),"",Sync!$S1554)</f>
        <v/>
      </c>
      <c r="AF1554">
        <f>IF($AE1554="","",IF(ISNUMBER(Sync!$P1554),IF(AND(Sync!$P1554&gt;=10000101,Sync!$P1554&lt;=99991231),INT(Sync!$P1554/10000),""),IFERROR(VALUE(TRIM(LEFT(Sync!$P1554,FIND("/",Sync!$P1554)-1))),"")))</f>
        <v/>
      </c>
      <c r="AG1554">
        <f>IF(OR($AE1554="",$AF1554=""),"",IF(ISNUMBER(Sync!$P1554),INT(MOD(Sync!$P1554,10000)/100),IFERROR(VALUE(TRIM(LEFT(MID(Sync!$P1554,FIND("/",Sync!$P1554)+1,20),FIND("/",MID(Sync!$P1554,FIND("/",Sync!$P1554)+1,20))-1))),"")))</f>
        <v/>
      </c>
      <c r="AH1554">
        <f>IF(OR($AE1554="",$AF1554=""),"",IF(ISNUMBER(Sync!$P1554),MOD(Sync!$P1554,100),IFERROR(VALUE(TRIM(MID(MID(Sync!$P1554,FIND("/",Sync!$P1554)+1,20),FIND("/",MID(Sync!$P1554,FIND("/",Sync!$P1554)+1,20))+1,20))),"")))</f>
        <v/>
      </c>
      <c r="AI1554">
        <f>IF($AE1554="","",IF(OR($AF1554="",$AG1554="",$AH1554="",$AF1554&lt;1300,$AF1554&gt;1500,$AG1554&lt;1,$AG1554&gt;12,$AH1554&lt;1,$AH1554&gt;31),"نامعتبر",RIGHT("0000"&amp;$AF1554,4)&amp;"/"&amp;RIGHT("00"&amp;$AG1554,2)&amp;"/"&amp;RIGHT("00"&amp;$AH1554,2)))</f>
        <v/>
      </c>
      <c r="AJ1554">
        <f>IF($AE1554="","",IF(Sync!$Q1554="","0000",IF(AND(ISNUMBER(Sync!$Q1554),Sync!$Q1554&gt;=0,Sync!$Q1554&lt;1),RIGHT("00"&amp;HOUR(Sync!$Q1554),2)&amp;RIGHT("00"&amp;MINUTE(Sync!$Q1554),2),IFERROR(RIGHT("00"&amp;VALUE(LEFT(Sync!$Q1554,FIND(":",Sync!$Q1554)-1)),2)&amp;RIGHT("00"&amp;VALUE(MID(Sync!$Q1554,FIND(":",Sync!$Q1554)+1,2)),2),"0000"))))</f>
        <v/>
      </c>
      <c r="AK1554">
        <f>IF(OR($AE1554="",$AI1554="",$AI1554="نامعتبر"),"",LEFT($AI1554,4)&amp;MID($AI1554,6,2)&amp;RIGHT($AI1554,2)&amp;$AJ1554&amp;"|"&amp;"3"&amp;RIGHT("00000"&amp;1549,5))</f>
        <v/>
      </c>
      <c r="AL1554">
        <f>IF($AK1554="","",COUNTIFS(LdAParty,$AE1554,LdAType,1,LdAKey,"&lt;"&amp;$AK1554)+COUNTIFS(LdBMember,$AE1554,LdBKey,"&lt;"&amp;$AK1554)+COUNTIFS(LdCParty,$AE1554,LdCKey,"&lt;"&amp;$AK1554)+1)</f>
        <v/>
      </c>
      <c r="AM1554">
        <f>IF($AL1554="","",$AE1554&amp;"|"&amp;RIGHT("000000"&amp;$AL1554,6))</f>
        <v/>
      </c>
      <c r="AN1554">
        <f>IF($AE1554="","",IF(Sync!$W1554="",0,Sync!$W1554))</f>
        <v/>
      </c>
      <c r="AO1554">
        <f>IF($AE1554="","",IF(Sync!$X1554="",0,Sync!$X1554))</f>
        <v/>
      </c>
      <c r="AP1554">
        <f>IF($AE1554="","",Sync!$R1554)</f>
        <v/>
      </c>
      <c r="AQ1554">
        <f>IF($AE1554="","",Sync!$Y1554)</f>
        <v/>
      </c>
    </row>
    <row r="1555">
      <c r="A1555">
        <f>IF(OR(Wages!$B1558="",Wages!$E1558=""),"",Wages!$E1558)</f>
        <v/>
      </c>
      <c r="B1555">
        <f>IF($A1555="","",IF(Wages!$C1558="دستمزد گروهی",2,1))</f>
        <v/>
      </c>
      <c r="C1555">
        <f>IF($A1555="","",IF(ISNUMBER(Wages!$B1558),IF(AND(Wages!$B1558&gt;=10000101,Wages!$B1558&lt;=99991231),INT(Wages!$B1558/10000),""),IFERROR(VALUE(TRIM(LEFT(Wages!$B1558,FIND("/",Wages!$B1558)-1))),"")))</f>
        <v/>
      </c>
      <c r="D1555">
        <f>IF(OR($A1555="",$C1555=""),"",IF(ISNUMBER(Wages!$B1558),INT(MOD(Wages!$B1558,10000)/100),IFERROR(VALUE(TRIM(LEFT(MID(Wages!$B1558,FIND("/",Wages!$B1558)+1,20),FIND("/",MID(Wages!$B1558,FIND("/",Wages!$B1558)+1,20))-1))),"")))</f>
        <v/>
      </c>
      <c r="E1555">
        <f>IF(OR($A1555="",$C1555=""),"",IF(ISNUMBER(Wages!$B1558),MOD(Wages!$B1558,100),IFERROR(VALUE(TRIM(MID(MID(Wages!$B1558,FIND("/",Wages!$B1558)+1,20),FIND("/",MID(Wages!$B1558,FIND("/",Wages!$B1558)+1,20))+1,20))),"")))</f>
        <v/>
      </c>
      <c r="F1555">
        <f>IF($A1555="","",IF(OR($C1555="",$D1555="",$E1555="",$C1555&lt;1300,$C1555&gt;1500,$D1555&lt;1,$D1555&gt;12,$E1555&lt;1,$E1555&gt;31),"نامعتبر",RIGHT("0000"&amp;$C1555,4)&amp;"/"&amp;RIGHT("00"&amp;$D1555,2)&amp;"/"&amp;RIGHT("00"&amp;$E1555,2)))</f>
        <v/>
      </c>
      <c r="G1555">
        <f>IF(OR($A1555="",$F1555="",$F1555="نامعتبر"),"",LEFT($F1555,4)&amp;MID($F1555,6,2)&amp;RIGHT($F1555,2)&amp;"0000"&amp;"|"&amp;"1"&amp;RIGHT("00000"&amp;1550,5))</f>
        <v/>
      </c>
      <c r="H1555">
        <f>IF(OR($B1555&lt;&gt;1,$G1555=""),"",COUNTIFS(LdAParty,$A1555,LdAType,1,LdAKey,"&lt;"&amp;$G1555)+COUNTIFS(LdBMember,$A1555,LdBKey,"&lt;"&amp;$G1555)+COUNTIFS(LdCParty,$A1555,LdCKey,"&lt;"&amp;$G1555)+1)</f>
        <v/>
      </c>
      <c r="I1555">
        <f>IF($H1555="","",$A1555&amp;"|"&amp;RIGHT("000000"&amp;$H1555,6))</f>
        <v/>
      </c>
      <c r="J1555">
        <f>IF(OR($B1555&lt;&gt;2,$G1555=""),"",COUNTIFS(LdAParty,$A1555,LdAType,2,LdAKey,"&lt;"&amp;$G1555)+1)</f>
        <v/>
      </c>
      <c r="K1555">
        <f>IF($J1555="","",$A1555&amp;"|"&amp;RIGHT("000000"&amp;$J1555,6))</f>
        <v/>
      </c>
      <c r="L1555">
        <f>IF($A1555="","",IF(Wages!$G1558="",0,Wages!$G1558))</f>
        <v/>
      </c>
      <c r="M1555">
        <f>IF($A1555="","",Wages!$J1558)</f>
        <v/>
      </c>
      <c r="N1555">
        <f>IF($A1555="","",Wages!$D1558)</f>
        <v/>
      </c>
      <c r="P1555">
        <f>IF(OR(Shares!$B1558="",Shares!$C1558=""),"",Shares!$C1558)</f>
        <v/>
      </c>
      <c r="Q1555">
        <f>IF($P1555="","",Shares!$B1558)</f>
        <v/>
      </c>
      <c r="R1555">
        <f>IF($P1555="","",IFERROR(INDEX(WageParty,MATCH($Q1555,WageIds,0)),""))</f>
        <v/>
      </c>
      <c r="S1555">
        <f>IF($P1555="","",IFERROR(INDEX($F$6:$F$2005,MATCH($Q1555,WageIds,0)),""))</f>
        <v/>
      </c>
      <c r="T1555">
        <f>IF(OR($P1555="",$S1555="",$S1555="نامعتبر"),"",LEFT($S1555,4)&amp;MID($S1555,6,2)&amp;RIGHT($S1555,2)&amp;"0000"&amp;"|"&amp;"2"&amp;RIGHT("00000"&amp;1550,5))</f>
        <v/>
      </c>
      <c r="U1555">
        <f>IF($T1555="","",COUNTIFS(LdAParty,$P1555,LdAType,1,LdAKey,"&lt;"&amp;$T1555)+COUNTIFS(LdBMember,$P1555,LdBKey,"&lt;"&amp;$T1555)+COUNTIFS(LdCParty,$P1555,LdCKey,"&lt;"&amp;$T1555)+1)</f>
        <v/>
      </c>
      <c r="V1555">
        <f>IF($U1555="","",$P1555&amp;"|"&amp;RIGHT("000000"&amp;$U1555,6))</f>
        <v/>
      </c>
      <c r="W1555">
        <f>IF($T1555="","",COUNTIFS(LdBGroup,$R1555,LdBKey,"&lt;"&amp;$T1555)+1)</f>
        <v/>
      </c>
      <c r="X1555">
        <f>IF($W1555="","",$R1555&amp;"|"&amp;RIGHT("000000"&amp;$W1555,6))</f>
        <v/>
      </c>
      <c r="Y1555">
        <f>IF($P1555="","",IF(Shares!$E1558="",0,Shares!$E1558))</f>
        <v/>
      </c>
      <c r="Z1555">
        <f>IF($P1555="","",Shares!$H1558)</f>
        <v/>
      </c>
      <c r="AE1555">
        <f>IF(OR(Sync!$S1555="",Sync!$P1555=""),"",Sync!$S1555)</f>
        <v/>
      </c>
      <c r="AF1555">
        <f>IF($AE1555="","",IF(ISNUMBER(Sync!$P1555),IF(AND(Sync!$P1555&gt;=10000101,Sync!$P1555&lt;=99991231),INT(Sync!$P1555/10000),""),IFERROR(VALUE(TRIM(LEFT(Sync!$P1555,FIND("/",Sync!$P1555)-1))),"")))</f>
        <v/>
      </c>
      <c r="AG1555">
        <f>IF(OR($AE1555="",$AF1555=""),"",IF(ISNUMBER(Sync!$P1555),INT(MOD(Sync!$P1555,10000)/100),IFERROR(VALUE(TRIM(LEFT(MID(Sync!$P1555,FIND("/",Sync!$P1555)+1,20),FIND("/",MID(Sync!$P1555,FIND("/",Sync!$P1555)+1,20))-1))),"")))</f>
        <v/>
      </c>
      <c r="AH1555">
        <f>IF(OR($AE1555="",$AF1555=""),"",IF(ISNUMBER(Sync!$P1555),MOD(Sync!$P1555,100),IFERROR(VALUE(TRIM(MID(MID(Sync!$P1555,FIND("/",Sync!$P1555)+1,20),FIND("/",MID(Sync!$P1555,FIND("/",Sync!$P1555)+1,20))+1,20))),"")))</f>
        <v/>
      </c>
      <c r="AI1555">
        <f>IF($AE1555="","",IF(OR($AF1555="",$AG1555="",$AH1555="",$AF1555&lt;1300,$AF1555&gt;1500,$AG1555&lt;1,$AG1555&gt;12,$AH1555&lt;1,$AH1555&gt;31),"نامعتبر",RIGHT("0000"&amp;$AF1555,4)&amp;"/"&amp;RIGHT("00"&amp;$AG1555,2)&amp;"/"&amp;RIGHT("00"&amp;$AH1555,2)))</f>
        <v/>
      </c>
      <c r="AJ1555">
        <f>IF($AE1555="","",IF(Sync!$Q1555="","0000",IF(AND(ISNUMBER(Sync!$Q1555),Sync!$Q1555&gt;=0,Sync!$Q1555&lt;1),RIGHT("00"&amp;HOUR(Sync!$Q1555),2)&amp;RIGHT("00"&amp;MINUTE(Sync!$Q1555),2),IFERROR(RIGHT("00"&amp;VALUE(LEFT(Sync!$Q1555,FIND(":",Sync!$Q1555)-1)),2)&amp;RIGHT("00"&amp;VALUE(MID(Sync!$Q1555,FIND(":",Sync!$Q1555)+1,2)),2),"0000"))))</f>
        <v/>
      </c>
      <c r="AK1555">
        <f>IF(OR($AE1555="",$AI1555="",$AI1555="نامعتبر"),"",LEFT($AI1555,4)&amp;MID($AI1555,6,2)&amp;RIGHT($AI1555,2)&amp;$AJ1555&amp;"|"&amp;"3"&amp;RIGHT("00000"&amp;1550,5))</f>
        <v/>
      </c>
      <c r="AL1555">
        <f>IF($AK1555="","",COUNTIFS(LdAParty,$AE1555,LdAType,1,LdAKey,"&lt;"&amp;$AK1555)+COUNTIFS(LdBMember,$AE1555,LdBKey,"&lt;"&amp;$AK1555)+COUNTIFS(LdCParty,$AE1555,LdCKey,"&lt;"&amp;$AK1555)+1)</f>
        <v/>
      </c>
      <c r="AM1555">
        <f>IF($AL1555="","",$AE1555&amp;"|"&amp;RIGHT("000000"&amp;$AL1555,6))</f>
        <v/>
      </c>
      <c r="AN1555">
        <f>IF($AE1555="","",IF(Sync!$W1555="",0,Sync!$W1555))</f>
        <v/>
      </c>
      <c r="AO1555">
        <f>IF($AE1555="","",IF(Sync!$X1555="",0,Sync!$X1555))</f>
        <v/>
      </c>
      <c r="AP1555">
        <f>IF($AE1555="","",Sync!$R1555)</f>
        <v/>
      </c>
      <c r="AQ1555">
        <f>IF($AE1555="","",Sync!$Y1555)</f>
        <v/>
      </c>
    </row>
    <row r="1556">
      <c r="A1556">
        <f>IF(OR(Wages!$B1559="",Wages!$E1559=""),"",Wages!$E1559)</f>
        <v/>
      </c>
      <c r="B1556">
        <f>IF($A1556="","",IF(Wages!$C1559="دستمزد گروهی",2,1))</f>
        <v/>
      </c>
      <c r="C1556">
        <f>IF($A1556="","",IF(ISNUMBER(Wages!$B1559),IF(AND(Wages!$B1559&gt;=10000101,Wages!$B1559&lt;=99991231),INT(Wages!$B1559/10000),""),IFERROR(VALUE(TRIM(LEFT(Wages!$B1559,FIND("/",Wages!$B1559)-1))),"")))</f>
        <v/>
      </c>
      <c r="D1556">
        <f>IF(OR($A1556="",$C1556=""),"",IF(ISNUMBER(Wages!$B1559),INT(MOD(Wages!$B1559,10000)/100),IFERROR(VALUE(TRIM(LEFT(MID(Wages!$B1559,FIND("/",Wages!$B1559)+1,20),FIND("/",MID(Wages!$B1559,FIND("/",Wages!$B1559)+1,20))-1))),"")))</f>
        <v/>
      </c>
      <c r="E1556">
        <f>IF(OR($A1556="",$C1556=""),"",IF(ISNUMBER(Wages!$B1559),MOD(Wages!$B1559,100),IFERROR(VALUE(TRIM(MID(MID(Wages!$B1559,FIND("/",Wages!$B1559)+1,20),FIND("/",MID(Wages!$B1559,FIND("/",Wages!$B1559)+1,20))+1,20))),"")))</f>
        <v/>
      </c>
      <c r="F1556">
        <f>IF($A1556="","",IF(OR($C1556="",$D1556="",$E1556="",$C1556&lt;1300,$C1556&gt;1500,$D1556&lt;1,$D1556&gt;12,$E1556&lt;1,$E1556&gt;31),"نامعتبر",RIGHT("0000"&amp;$C1556,4)&amp;"/"&amp;RIGHT("00"&amp;$D1556,2)&amp;"/"&amp;RIGHT("00"&amp;$E1556,2)))</f>
        <v/>
      </c>
      <c r="G1556">
        <f>IF(OR($A1556="",$F1556="",$F1556="نامعتبر"),"",LEFT($F1556,4)&amp;MID($F1556,6,2)&amp;RIGHT($F1556,2)&amp;"0000"&amp;"|"&amp;"1"&amp;RIGHT("00000"&amp;1551,5))</f>
        <v/>
      </c>
      <c r="H1556">
        <f>IF(OR($B1556&lt;&gt;1,$G1556=""),"",COUNTIFS(LdAParty,$A1556,LdAType,1,LdAKey,"&lt;"&amp;$G1556)+COUNTIFS(LdBMember,$A1556,LdBKey,"&lt;"&amp;$G1556)+COUNTIFS(LdCParty,$A1556,LdCKey,"&lt;"&amp;$G1556)+1)</f>
        <v/>
      </c>
      <c r="I1556">
        <f>IF($H1556="","",$A1556&amp;"|"&amp;RIGHT("000000"&amp;$H1556,6))</f>
        <v/>
      </c>
      <c r="J1556">
        <f>IF(OR($B1556&lt;&gt;2,$G1556=""),"",COUNTIFS(LdAParty,$A1556,LdAType,2,LdAKey,"&lt;"&amp;$G1556)+1)</f>
        <v/>
      </c>
      <c r="K1556">
        <f>IF($J1556="","",$A1556&amp;"|"&amp;RIGHT("000000"&amp;$J1556,6))</f>
        <v/>
      </c>
      <c r="L1556">
        <f>IF($A1556="","",IF(Wages!$G1559="",0,Wages!$G1559))</f>
        <v/>
      </c>
      <c r="M1556">
        <f>IF($A1556="","",Wages!$J1559)</f>
        <v/>
      </c>
      <c r="N1556">
        <f>IF($A1556="","",Wages!$D1559)</f>
        <v/>
      </c>
      <c r="P1556">
        <f>IF(OR(Shares!$B1559="",Shares!$C1559=""),"",Shares!$C1559)</f>
        <v/>
      </c>
      <c r="Q1556">
        <f>IF($P1556="","",Shares!$B1559)</f>
        <v/>
      </c>
      <c r="R1556">
        <f>IF($P1556="","",IFERROR(INDEX(WageParty,MATCH($Q1556,WageIds,0)),""))</f>
        <v/>
      </c>
      <c r="S1556">
        <f>IF($P1556="","",IFERROR(INDEX($F$6:$F$2005,MATCH($Q1556,WageIds,0)),""))</f>
        <v/>
      </c>
      <c r="T1556">
        <f>IF(OR($P1556="",$S1556="",$S1556="نامعتبر"),"",LEFT($S1556,4)&amp;MID($S1556,6,2)&amp;RIGHT($S1556,2)&amp;"0000"&amp;"|"&amp;"2"&amp;RIGHT("00000"&amp;1551,5))</f>
        <v/>
      </c>
      <c r="U1556">
        <f>IF($T1556="","",COUNTIFS(LdAParty,$P1556,LdAType,1,LdAKey,"&lt;"&amp;$T1556)+COUNTIFS(LdBMember,$P1556,LdBKey,"&lt;"&amp;$T1556)+COUNTIFS(LdCParty,$P1556,LdCKey,"&lt;"&amp;$T1556)+1)</f>
        <v/>
      </c>
      <c r="V1556">
        <f>IF($U1556="","",$P1556&amp;"|"&amp;RIGHT("000000"&amp;$U1556,6))</f>
        <v/>
      </c>
      <c r="W1556">
        <f>IF($T1556="","",COUNTIFS(LdBGroup,$R1556,LdBKey,"&lt;"&amp;$T1556)+1)</f>
        <v/>
      </c>
      <c r="X1556">
        <f>IF($W1556="","",$R1556&amp;"|"&amp;RIGHT("000000"&amp;$W1556,6))</f>
        <v/>
      </c>
      <c r="Y1556">
        <f>IF($P1556="","",IF(Shares!$E1559="",0,Shares!$E1559))</f>
        <v/>
      </c>
      <c r="Z1556">
        <f>IF($P1556="","",Shares!$H1559)</f>
        <v/>
      </c>
      <c r="AE1556">
        <f>IF(OR(Sync!$S1556="",Sync!$P1556=""),"",Sync!$S1556)</f>
        <v/>
      </c>
      <c r="AF1556">
        <f>IF($AE1556="","",IF(ISNUMBER(Sync!$P1556),IF(AND(Sync!$P1556&gt;=10000101,Sync!$P1556&lt;=99991231),INT(Sync!$P1556/10000),""),IFERROR(VALUE(TRIM(LEFT(Sync!$P1556,FIND("/",Sync!$P1556)-1))),"")))</f>
        <v/>
      </c>
      <c r="AG1556">
        <f>IF(OR($AE1556="",$AF1556=""),"",IF(ISNUMBER(Sync!$P1556),INT(MOD(Sync!$P1556,10000)/100),IFERROR(VALUE(TRIM(LEFT(MID(Sync!$P1556,FIND("/",Sync!$P1556)+1,20),FIND("/",MID(Sync!$P1556,FIND("/",Sync!$P1556)+1,20))-1))),"")))</f>
        <v/>
      </c>
      <c r="AH1556">
        <f>IF(OR($AE1556="",$AF1556=""),"",IF(ISNUMBER(Sync!$P1556),MOD(Sync!$P1556,100),IFERROR(VALUE(TRIM(MID(MID(Sync!$P1556,FIND("/",Sync!$P1556)+1,20),FIND("/",MID(Sync!$P1556,FIND("/",Sync!$P1556)+1,20))+1,20))),"")))</f>
        <v/>
      </c>
      <c r="AI1556">
        <f>IF($AE1556="","",IF(OR($AF1556="",$AG1556="",$AH1556="",$AF1556&lt;1300,$AF1556&gt;1500,$AG1556&lt;1,$AG1556&gt;12,$AH1556&lt;1,$AH1556&gt;31),"نامعتبر",RIGHT("0000"&amp;$AF1556,4)&amp;"/"&amp;RIGHT("00"&amp;$AG1556,2)&amp;"/"&amp;RIGHT("00"&amp;$AH1556,2)))</f>
        <v/>
      </c>
      <c r="AJ1556">
        <f>IF($AE1556="","",IF(Sync!$Q1556="","0000",IF(AND(ISNUMBER(Sync!$Q1556),Sync!$Q1556&gt;=0,Sync!$Q1556&lt;1),RIGHT("00"&amp;HOUR(Sync!$Q1556),2)&amp;RIGHT("00"&amp;MINUTE(Sync!$Q1556),2),IFERROR(RIGHT("00"&amp;VALUE(LEFT(Sync!$Q1556,FIND(":",Sync!$Q1556)-1)),2)&amp;RIGHT("00"&amp;VALUE(MID(Sync!$Q1556,FIND(":",Sync!$Q1556)+1,2)),2),"0000"))))</f>
        <v/>
      </c>
      <c r="AK1556">
        <f>IF(OR($AE1556="",$AI1556="",$AI1556="نامعتبر"),"",LEFT($AI1556,4)&amp;MID($AI1556,6,2)&amp;RIGHT($AI1556,2)&amp;$AJ1556&amp;"|"&amp;"3"&amp;RIGHT("00000"&amp;1551,5))</f>
        <v/>
      </c>
      <c r="AL1556">
        <f>IF($AK1556="","",COUNTIFS(LdAParty,$AE1556,LdAType,1,LdAKey,"&lt;"&amp;$AK1556)+COUNTIFS(LdBMember,$AE1556,LdBKey,"&lt;"&amp;$AK1556)+COUNTIFS(LdCParty,$AE1556,LdCKey,"&lt;"&amp;$AK1556)+1)</f>
        <v/>
      </c>
      <c r="AM1556">
        <f>IF($AL1556="","",$AE1556&amp;"|"&amp;RIGHT("000000"&amp;$AL1556,6))</f>
        <v/>
      </c>
      <c r="AN1556">
        <f>IF($AE1556="","",IF(Sync!$W1556="",0,Sync!$W1556))</f>
        <v/>
      </c>
      <c r="AO1556">
        <f>IF($AE1556="","",IF(Sync!$X1556="",0,Sync!$X1556))</f>
        <v/>
      </c>
      <c r="AP1556">
        <f>IF($AE1556="","",Sync!$R1556)</f>
        <v/>
      </c>
      <c r="AQ1556">
        <f>IF($AE1556="","",Sync!$Y1556)</f>
        <v/>
      </c>
    </row>
    <row r="1557">
      <c r="A1557">
        <f>IF(OR(Wages!$B1560="",Wages!$E1560=""),"",Wages!$E1560)</f>
        <v/>
      </c>
      <c r="B1557">
        <f>IF($A1557="","",IF(Wages!$C1560="دستمزد گروهی",2,1))</f>
        <v/>
      </c>
      <c r="C1557">
        <f>IF($A1557="","",IF(ISNUMBER(Wages!$B1560),IF(AND(Wages!$B1560&gt;=10000101,Wages!$B1560&lt;=99991231),INT(Wages!$B1560/10000),""),IFERROR(VALUE(TRIM(LEFT(Wages!$B1560,FIND("/",Wages!$B1560)-1))),"")))</f>
        <v/>
      </c>
      <c r="D1557">
        <f>IF(OR($A1557="",$C1557=""),"",IF(ISNUMBER(Wages!$B1560),INT(MOD(Wages!$B1560,10000)/100),IFERROR(VALUE(TRIM(LEFT(MID(Wages!$B1560,FIND("/",Wages!$B1560)+1,20),FIND("/",MID(Wages!$B1560,FIND("/",Wages!$B1560)+1,20))-1))),"")))</f>
        <v/>
      </c>
      <c r="E1557">
        <f>IF(OR($A1557="",$C1557=""),"",IF(ISNUMBER(Wages!$B1560),MOD(Wages!$B1560,100),IFERROR(VALUE(TRIM(MID(MID(Wages!$B1560,FIND("/",Wages!$B1560)+1,20),FIND("/",MID(Wages!$B1560,FIND("/",Wages!$B1560)+1,20))+1,20))),"")))</f>
        <v/>
      </c>
      <c r="F1557">
        <f>IF($A1557="","",IF(OR($C1557="",$D1557="",$E1557="",$C1557&lt;1300,$C1557&gt;1500,$D1557&lt;1,$D1557&gt;12,$E1557&lt;1,$E1557&gt;31),"نامعتبر",RIGHT("0000"&amp;$C1557,4)&amp;"/"&amp;RIGHT("00"&amp;$D1557,2)&amp;"/"&amp;RIGHT("00"&amp;$E1557,2)))</f>
        <v/>
      </c>
      <c r="G1557">
        <f>IF(OR($A1557="",$F1557="",$F1557="نامعتبر"),"",LEFT($F1557,4)&amp;MID($F1557,6,2)&amp;RIGHT($F1557,2)&amp;"0000"&amp;"|"&amp;"1"&amp;RIGHT("00000"&amp;1552,5))</f>
        <v/>
      </c>
      <c r="H1557">
        <f>IF(OR($B1557&lt;&gt;1,$G1557=""),"",COUNTIFS(LdAParty,$A1557,LdAType,1,LdAKey,"&lt;"&amp;$G1557)+COUNTIFS(LdBMember,$A1557,LdBKey,"&lt;"&amp;$G1557)+COUNTIFS(LdCParty,$A1557,LdCKey,"&lt;"&amp;$G1557)+1)</f>
        <v/>
      </c>
      <c r="I1557">
        <f>IF($H1557="","",$A1557&amp;"|"&amp;RIGHT("000000"&amp;$H1557,6))</f>
        <v/>
      </c>
      <c r="J1557">
        <f>IF(OR($B1557&lt;&gt;2,$G1557=""),"",COUNTIFS(LdAParty,$A1557,LdAType,2,LdAKey,"&lt;"&amp;$G1557)+1)</f>
        <v/>
      </c>
      <c r="K1557">
        <f>IF($J1557="","",$A1557&amp;"|"&amp;RIGHT("000000"&amp;$J1557,6))</f>
        <v/>
      </c>
      <c r="L1557">
        <f>IF($A1557="","",IF(Wages!$G1560="",0,Wages!$G1560))</f>
        <v/>
      </c>
      <c r="M1557">
        <f>IF($A1557="","",Wages!$J1560)</f>
        <v/>
      </c>
      <c r="N1557">
        <f>IF($A1557="","",Wages!$D1560)</f>
        <v/>
      </c>
      <c r="P1557">
        <f>IF(OR(Shares!$B1560="",Shares!$C1560=""),"",Shares!$C1560)</f>
        <v/>
      </c>
      <c r="Q1557">
        <f>IF($P1557="","",Shares!$B1560)</f>
        <v/>
      </c>
      <c r="R1557">
        <f>IF($P1557="","",IFERROR(INDEX(WageParty,MATCH($Q1557,WageIds,0)),""))</f>
        <v/>
      </c>
      <c r="S1557">
        <f>IF($P1557="","",IFERROR(INDEX($F$6:$F$2005,MATCH($Q1557,WageIds,0)),""))</f>
        <v/>
      </c>
      <c r="T1557">
        <f>IF(OR($P1557="",$S1557="",$S1557="نامعتبر"),"",LEFT($S1557,4)&amp;MID($S1557,6,2)&amp;RIGHT($S1557,2)&amp;"0000"&amp;"|"&amp;"2"&amp;RIGHT("00000"&amp;1552,5))</f>
        <v/>
      </c>
      <c r="U1557">
        <f>IF($T1557="","",COUNTIFS(LdAParty,$P1557,LdAType,1,LdAKey,"&lt;"&amp;$T1557)+COUNTIFS(LdBMember,$P1557,LdBKey,"&lt;"&amp;$T1557)+COUNTIFS(LdCParty,$P1557,LdCKey,"&lt;"&amp;$T1557)+1)</f>
        <v/>
      </c>
      <c r="V1557">
        <f>IF($U1557="","",$P1557&amp;"|"&amp;RIGHT("000000"&amp;$U1557,6))</f>
        <v/>
      </c>
      <c r="W1557">
        <f>IF($T1557="","",COUNTIFS(LdBGroup,$R1557,LdBKey,"&lt;"&amp;$T1557)+1)</f>
        <v/>
      </c>
      <c r="X1557">
        <f>IF($W1557="","",$R1557&amp;"|"&amp;RIGHT("000000"&amp;$W1557,6))</f>
        <v/>
      </c>
      <c r="Y1557">
        <f>IF($P1557="","",IF(Shares!$E1560="",0,Shares!$E1560))</f>
        <v/>
      </c>
      <c r="Z1557">
        <f>IF($P1557="","",Shares!$H1560)</f>
        <v/>
      </c>
      <c r="AE1557">
        <f>IF(OR(Sync!$S1557="",Sync!$P1557=""),"",Sync!$S1557)</f>
        <v/>
      </c>
      <c r="AF1557">
        <f>IF($AE1557="","",IF(ISNUMBER(Sync!$P1557),IF(AND(Sync!$P1557&gt;=10000101,Sync!$P1557&lt;=99991231),INT(Sync!$P1557/10000),""),IFERROR(VALUE(TRIM(LEFT(Sync!$P1557,FIND("/",Sync!$P1557)-1))),"")))</f>
        <v/>
      </c>
      <c r="AG1557">
        <f>IF(OR($AE1557="",$AF1557=""),"",IF(ISNUMBER(Sync!$P1557),INT(MOD(Sync!$P1557,10000)/100),IFERROR(VALUE(TRIM(LEFT(MID(Sync!$P1557,FIND("/",Sync!$P1557)+1,20),FIND("/",MID(Sync!$P1557,FIND("/",Sync!$P1557)+1,20))-1))),"")))</f>
        <v/>
      </c>
      <c r="AH1557">
        <f>IF(OR($AE1557="",$AF1557=""),"",IF(ISNUMBER(Sync!$P1557),MOD(Sync!$P1557,100),IFERROR(VALUE(TRIM(MID(MID(Sync!$P1557,FIND("/",Sync!$P1557)+1,20),FIND("/",MID(Sync!$P1557,FIND("/",Sync!$P1557)+1,20))+1,20))),"")))</f>
        <v/>
      </c>
      <c r="AI1557">
        <f>IF($AE1557="","",IF(OR($AF1557="",$AG1557="",$AH1557="",$AF1557&lt;1300,$AF1557&gt;1500,$AG1557&lt;1,$AG1557&gt;12,$AH1557&lt;1,$AH1557&gt;31),"نامعتبر",RIGHT("0000"&amp;$AF1557,4)&amp;"/"&amp;RIGHT("00"&amp;$AG1557,2)&amp;"/"&amp;RIGHT("00"&amp;$AH1557,2)))</f>
        <v/>
      </c>
      <c r="AJ1557">
        <f>IF($AE1557="","",IF(Sync!$Q1557="","0000",IF(AND(ISNUMBER(Sync!$Q1557),Sync!$Q1557&gt;=0,Sync!$Q1557&lt;1),RIGHT("00"&amp;HOUR(Sync!$Q1557),2)&amp;RIGHT("00"&amp;MINUTE(Sync!$Q1557),2),IFERROR(RIGHT("00"&amp;VALUE(LEFT(Sync!$Q1557,FIND(":",Sync!$Q1557)-1)),2)&amp;RIGHT("00"&amp;VALUE(MID(Sync!$Q1557,FIND(":",Sync!$Q1557)+1,2)),2),"0000"))))</f>
        <v/>
      </c>
      <c r="AK1557">
        <f>IF(OR($AE1557="",$AI1557="",$AI1557="نامعتبر"),"",LEFT($AI1557,4)&amp;MID($AI1557,6,2)&amp;RIGHT($AI1557,2)&amp;$AJ1557&amp;"|"&amp;"3"&amp;RIGHT("00000"&amp;1552,5))</f>
        <v/>
      </c>
      <c r="AL1557">
        <f>IF($AK1557="","",COUNTIFS(LdAParty,$AE1557,LdAType,1,LdAKey,"&lt;"&amp;$AK1557)+COUNTIFS(LdBMember,$AE1557,LdBKey,"&lt;"&amp;$AK1557)+COUNTIFS(LdCParty,$AE1557,LdCKey,"&lt;"&amp;$AK1557)+1)</f>
        <v/>
      </c>
      <c r="AM1557">
        <f>IF($AL1557="","",$AE1557&amp;"|"&amp;RIGHT("000000"&amp;$AL1557,6))</f>
        <v/>
      </c>
      <c r="AN1557">
        <f>IF($AE1557="","",IF(Sync!$W1557="",0,Sync!$W1557))</f>
        <v/>
      </c>
      <c r="AO1557">
        <f>IF($AE1557="","",IF(Sync!$X1557="",0,Sync!$X1557))</f>
        <v/>
      </c>
      <c r="AP1557">
        <f>IF($AE1557="","",Sync!$R1557)</f>
        <v/>
      </c>
      <c r="AQ1557">
        <f>IF($AE1557="","",Sync!$Y1557)</f>
        <v/>
      </c>
    </row>
    <row r="1558">
      <c r="A1558">
        <f>IF(OR(Wages!$B1561="",Wages!$E1561=""),"",Wages!$E1561)</f>
        <v/>
      </c>
      <c r="B1558">
        <f>IF($A1558="","",IF(Wages!$C1561="دستمزد گروهی",2,1))</f>
        <v/>
      </c>
      <c r="C1558">
        <f>IF($A1558="","",IF(ISNUMBER(Wages!$B1561),IF(AND(Wages!$B1561&gt;=10000101,Wages!$B1561&lt;=99991231),INT(Wages!$B1561/10000),""),IFERROR(VALUE(TRIM(LEFT(Wages!$B1561,FIND("/",Wages!$B1561)-1))),"")))</f>
        <v/>
      </c>
      <c r="D1558">
        <f>IF(OR($A1558="",$C1558=""),"",IF(ISNUMBER(Wages!$B1561),INT(MOD(Wages!$B1561,10000)/100),IFERROR(VALUE(TRIM(LEFT(MID(Wages!$B1561,FIND("/",Wages!$B1561)+1,20),FIND("/",MID(Wages!$B1561,FIND("/",Wages!$B1561)+1,20))-1))),"")))</f>
        <v/>
      </c>
      <c r="E1558">
        <f>IF(OR($A1558="",$C1558=""),"",IF(ISNUMBER(Wages!$B1561),MOD(Wages!$B1561,100),IFERROR(VALUE(TRIM(MID(MID(Wages!$B1561,FIND("/",Wages!$B1561)+1,20),FIND("/",MID(Wages!$B1561,FIND("/",Wages!$B1561)+1,20))+1,20))),"")))</f>
        <v/>
      </c>
      <c r="F1558">
        <f>IF($A1558="","",IF(OR($C1558="",$D1558="",$E1558="",$C1558&lt;1300,$C1558&gt;1500,$D1558&lt;1,$D1558&gt;12,$E1558&lt;1,$E1558&gt;31),"نامعتبر",RIGHT("0000"&amp;$C1558,4)&amp;"/"&amp;RIGHT("00"&amp;$D1558,2)&amp;"/"&amp;RIGHT("00"&amp;$E1558,2)))</f>
        <v/>
      </c>
      <c r="G1558">
        <f>IF(OR($A1558="",$F1558="",$F1558="نامعتبر"),"",LEFT($F1558,4)&amp;MID($F1558,6,2)&amp;RIGHT($F1558,2)&amp;"0000"&amp;"|"&amp;"1"&amp;RIGHT("00000"&amp;1553,5))</f>
        <v/>
      </c>
      <c r="H1558">
        <f>IF(OR($B1558&lt;&gt;1,$G1558=""),"",COUNTIFS(LdAParty,$A1558,LdAType,1,LdAKey,"&lt;"&amp;$G1558)+COUNTIFS(LdBMember,$A1558,LdBKey,"&lt;"&amp;$G1558)+COUNTIFS(LdCParty,$A1558,LdCKey,"&lt;"&amp;$G1558)+1)</f>
        <v/>
      </c>
      <c r="I1558">
        <f>IF($H1558="","",$A1558&amp;"|"&amp;RIGHT("000000"&amp;$H1558,6))</f>
        <v/>
      </c>
      <c r="J1558">
        <f>IF(OR($B1558&lt;&gt;2,$G1558=""),"",COUNTIFS(LdAParty,$A1558,LdAType,2,LdAKey,"&lt;"&amp;$G1558)+1)</f>
        <v/>
      </c>
      <c r="K1558">
        <f>IF($J1558="","",$A1558&amp;"|"&amp;RIGHT("000000"&amp;$J1558,6))</f>
        <v/>
      </c>
      <c r="L1558">
        <f>IF($A1558="","",IF(Wages!$G1561="",0,Wages!$G1561))</f>
        <v/>
      </c>
      <c r="M1558">
        <f>IF($A1558="","",Wages!$J1561)</f>
        <v/>
      </c>
      <c r="N1558">
        <f>IF($A1558="","",Wages!$D1561)</f>
        <v/>
      </c>
      <c r="P1558">
        <f>IF(OR(Shares!$B1561="",Shares!$C1561=""),"",Shares!$C1561)</f>
        <v/>
      </c>
      <c r="Q1558">
        <f>IF($P1558="","",Shares!$B1561)</f>
        <v/>
      </c>
      <c r="R1558">
        <f>IF($P1558="","",IFERROR(INDEX(WageParty,MATCH($Q1558,WageIds,0)),""))</f>
        <v/>
      </c>
      <c r="S1558">
        <f>IF($P1558="","",IFERROR(INDEX($F$6:$F$2005,MATCH($Q1558,WageIds,0)),""))</f>
        <v/>
      </c>
      <c r="T1558">
        <f>IF(OR($P1558="",$S1558="",$S1558="نامعتبر"),"",LEFT($S1558,4)&amp;MID($S1558,6,2)&amp;RIGHT($S1558,2)&amp;"0000"&amp;"|"&amp;"2"&amp;RIGHT("00000"&amp;1553,5))</f>
        <v/>
      </c>
      <c r="U1558">
        <f>IF($T1558="","",COUNTIFS(LdAParty,$P1558,LdAType,1,LdAKey,"&lt;"&amp;$T1558)+COUNTIFS(LdBMember,$P1558,LdBKey,"&lt;"&amp;$T1558)+COUNTIFS(LdCParty,$P1558,LdCKey,"&lt;"&amp;$T1558)+1)</f>
        <v/>
      </c>
      <c r="V1558">
        <f>IF($U1558="","",$P1558&amp;"|"&amp;RIGHT("000000"&amp;$U1558,6))</f>
        <v/>
      </c>
      <c r="W1558">
        <f>IF($T1558="","",COUNTIFS(LdBGroup,$R1558,LdBKey,"&lt;"&amp;$T1558)+1)</f>
        <v/>
      </c>
      <c r="X1558">
        <f>IF($W1558="","",$R1558&amp;"|"&amp;RIGHT("000000"&amp;$W1558,6))</f>
        <v/>
      </c>
      <c r="Y1558">
        <f>IF($P1558="","",IF(Shares!$E1561="",0,Shares!$E1561))</f>
        <v/>
      </c>
      <c r="Z1558">
        <f>IF($P1558="","",Shares!$H1561)</f>
        <v/>
      </c>
      <c r="AE1558">
        <f>IF(OR(Sync!$S1558="",Sync!$P1558=""),"",Sync!$S1558)</f>
        <v/>
      </c>
      <c r="AF1558">
        <f>IF($AE1558="","",IF(ISNUMBER(Sync!$P1558),IF(AND(Sync!$P1558&gt;=10000101,Sync!$P1558&lt;=99991231),INT(Sync!$P1558/10000),""),IFERROR(VALUE(TRIM(LEFT(Sync!$P1558,FIND("/",Sync!$P1558)-1))),"")))</f>
        <v/>
      </c>
      <c r="AG1558">
        <f>IF(OR($AE1558="",$AF1558=""),"",IF(ISNUMBER(Sync!$P1558),INT(MOD(Sync!$P1558,10000)/100),IFERROR(VALUE(TRIM(LEFT(MID(Sync!$P1558,FIND("/",Sync!$P1558)+1,20),FIND("/",MID(Sync!$P1558,FIND("/",Sync!$P1558)+1,20))-1))),"")))</f>
        <v/>
      </c>
      <c r="AH1558">
        <f>IF(OR($AE1558="",$AF1558=""),"",IF(ISNUMBER(Sync!$P1558),MOD(Sync!$P1558,100),IFERROR(VALUE(TRIM(MID(MID(Sync!$P1558,FIND("/",Sync!$P1558)+1,20),FIND("/",MID(Sync!$P1558,FIND("/",Sync!$P1558)+1,20))+1,20))),"")))</f>
        <v/>
      </c>
      <c r="AI1558">
        <f>IF($AE1558="","",IF(OR($AF1558="",$AG1558="",$AH1558="",$AF1558&lt;1300,$AF1558&gt;1500,$AG1558&lt;1,$AG1558&gt;12,$AH1558&lt;1,$AH1558&gt;31),"نامعتبر",RIGHT("0000"&amp;$AF1558,4)&amp;"/"&amp;RIGHT("00"&amp;$AG1558,2)&amp;"/"&amp;RIGHT("00"&amp;$AH1558,2)))</f>
        <v/>
      </c>
      <c r="AJ1558">
        <f>IF($AE1558="","",IF(Sync!$Q1558="","0000",IF(AND(ISNUMBER(Sync!$Q1558),Sync!$Q1558&gt;=0,Sync!$Q1558&lt;1),RIGHT("00"&amp;HOUR(Sync!$Q1558),2)&amp;RIGHT("00"&amp;MINUTE(Sync!$Q1558),2),IFERROR(RIGHT("00"&amp;VALUE(LEFT(Sync!$Q1558,FIND(":",Sync!$Q1558)-1)),2)&amp;RIGHT("00"&amp;VALUE(MID(Sync!$Q1558,FIND(":",Sync!$Q1558)+1,2)),2),"0000"))))</f>
        <v/>
      </c>
      <c r="AK1558">
        <f>IF(OR($AE1558="",$AI1558="",$AI1558="نامعتبر"),"",LEFT($AI1558,4)&amp;MID($AI1558,6,2)&amp;RIGHT($AI1558,2)&amp;$AJ1558&amp;"|"&amp;"3"&amp;RIGHT("00000"&amp;1553,5))</f>
        <v/>
      </c>
      <c r="AL1558">
        <f>IF($AK1558="","",COUNTIFS(LdAParty,$AE1558,LdAType,1,LdAKey,"&lt;"&amp;$AK1558)+COUNTIFS(LdBMember,$AE1558,LdBKey,"&lt;"&amp;$AK1558)+COUNTIFS(LdCParty,$AE1558,LdCKey,"&lt;"&amp;$AK1558)+1)</f>
        <v/>
      </c>
      <c r="AM1558">
        <f>IF($AL1558="","",$AE1558&amp;"|"&amp;RIGHT("000000"&amp;$AL1558,6))</f>
        <v/>
      </c>
      <c r="AN1558">
        <f>IF($AE1558="","",IF(Sync!$W1558="",0,Sync!$W1558))</f>
        <v/>
      </c>
      <c r="AO1558">
        <f>IF($AE1558="","",IF(Sync!$X1558="",0,Sync!$X1558))</f>
        <v/>
      </c>
      <c r="AP1558">
        <f>IF($AE1558="","",Sync!$R1558)</f>
        <v/>
      </c>
      <c r="AQ1558">
        <f>IF($AE1558="","",Sync!$Y1558)</f>
        <v/>
      </c>
    </row>
    <row r="1559">
      <c r="A1559">
        <f>IF(OR(Wages!$B1562="",Wages!$E1562=""),"",Wages!$E1562)</f>
        <v/>
      </c>
      <c r="B1559">
        <f>IF($A1559="","",IF(Wages!$C1562="دستمزد گروهی",2,1))</f>
        <v/>
      </c>
      <c r="C1559">
        <f>IF($A1559="","",IF(ISNUMBER(Wages!$B1562),IF(AND(Wages!$B1562&gt;=10000101,Wages!$B1562&lt;=99991231),INT(Wages!$B1562/10000),""),IFERROR(VALUE(TRIM(LEFT(Wages!$B1562,FIND("/",Wages!$B1562)-1))),"")))</f>
        <v/>
      </c>
      <c r="D1559">
        <f>IF(OR($A1559="",$C1559=""),"",IF(ISNUMBER(Wages!$B1562),INT(MOD(Wages!$B1562,10000)/100),IFERROR(VALUE(TRIM(LEFT(MID(Wages!$B1562,FIND("/",Wages!$B1562)+1,20),FIND("/",MID(Wages!$B1562,FIND("/",Wages!$B1562)+1,20))-1))),"")))</f>
        <v/>
      </c>
      <c r="E1559">
        <f>IF(OR($A1559="",$C1559=""),"",IF(ISNUMBER(Wages!$B1562),MOD(Wages!$B1562,100),IFERROR(VALUE(TRIM(MID(MID(Wages!$B1562,FIND("/",Wages!$B1562)+1,20),FIND("/",MID(Wages!$B1562,FIND("/",Wages!$B1562)+1,20))+1,20))),"")))</f>
        <v/>
      </c>
      <c r="F1559">
        <f>IF($A1559="","",IF(OR($C1559="",$D1559="",$E1559="",$C1559&lt;1300,$C1559&gt;1500,$D1559&lt;1,$D1559&gt;12,$E1559&lt;1,$E1559&gt;31),"نامعتبر",RIGHT("0000"&amp;$C1559,4)&amp;"/"&amp;RIGHT("00"&amp;$D1559,2)&amp;"/"&amp;RIGHT("00"&amp;$E1559,2)))</f>
        <v/>
      </c>
      <c r="G1559">
        <f>IF(OR($A1559="",$F1559="",$F1559="نامعتبر"),"",LEFT($F1559,4)&amp;MID($F1559,6,2)&amp;RIGHT($F1559,2)&amp;"0000"&amp;"|"&amp;"1"&amp;RIGHT("00000"&amp;1554,5))</f>
        <v/>
      </c>
      <c r="H1559">
        <f>IF(OR($B1559&lt;&gt;1,$G1559=""),"",COUNTIFS(LdAParty,$A1559,LdAType,1,LdAKey,"&lt;"&amp;$G1559)+COUNTIFS(LdBMember,$A1559,LdBKey,"&lt;"&amp;$G1559)+COUNTIFS(LdCParty,$A1559,LdCKey,"&lt;"&amp;$G1559)+1)</f>
        <v/>
      </c>
      <c r="I1559">
        <f>IF($H1559="","",$A1559&amp;"|"&amp;RIGHT("000000"&amp;$H1559,6))</f>
        <v/>
      </c>
      <c r="J1559">
        <f>IF(OR($B1559&lt;&gt;2,$G1559=""),"",COUNTIFS(LdAParty,$A1559,LdAType,2,LdAKey,"&lt;"&amp;$G1559)+1)</f>
        <v/>
      </c>
      <c r="K1559">
        <f>IF($J1559="","",$A1559&amp;"|"&amp;RIGHT("000000"&amp;$J1559,6))</f>
        <v/>
      </c>
      <c r="L1559">
        <f>IF($A1559="","",IF(Wages!$G1562="",0,Wages!$G1562))</f>
        <v/>
      </c>
      <c r="M1559">
        <f>IF($A1559="","",Wages!$J1562)</f>
        <v/>
      </c>
      <c r="N1559">
        <f>IF($A1559="","",Wages!$D1562)</f>
        <v/>
      </c>
      <c r="P1559">
        <f>IF(OR(Shares!$B1562="",Shares!$C1562=""),"",Shares!$C1562)</f>
        <v/>
      </c>
      <c r="Q1559">
        <f>IF($P1559="","",Shares!$B1562)</f>
        <v/>
      </c>
      <c r="R1559">
        <f>IF($P1559="","",IFERROR(INDEX(WageParty,MATCH($Q1559,WageIds,0)),""))</f>
        <v/>
      </c>
      <c r="S1559">
        <f>IF($P1559="","",IFERROR(INDEX($F$6:$F$2005,MATCH($Q1559,WageIds,0)),""))</f>
        <v/>
      </c>
      <c r="T1559">
        <f>IF(OR($P1559="",$S1559="",$S1559="نامعتبر"),"",LEFT($S1559,4)&amp;MID($S1559,6,2)&amp;RIGHT($S1559,2)&amp;"0000"&amp;"|"&amp;"2"&amp;RIGHT("00000"&amp;1554,5))</f>
        <v/>
      </c>
      <c r="U1559">
        <f>IF($T1559="","",COUNTIFS(LdAParty,$P1559,LdAType,1,LdAKey,"&lt;"&amp;$T1559)+COUNTIFS(LdBMember,$P1559,LdBKey,"&lt;"&amp;$T1559)+COUNTIFS(LdCParty,$P1559,LdCKey,"&lt;"&amp;$T1559)+1)</f>
        <v/>
      </c>
      <c r="V1559">
        <f>IF($U1559="","",$P1559&amp;"|"&amp;RIGHT("000000"&amp;$U1559,6))</f>
        <v/>
      </c>
      <c r="W1559">
        <f>IF($T1559="","",COUNTIFS(LdBGroup,$R1559,LdBKey,"&lt;"&amp;$T1559)+1)</f>
        <v/>
      </c>
      <c r="X1559">
        <f>IF($W1559="","",$R1559&amp;"|"&amp;RIGHT("000000"&amp;$W1559,6))</f>
        <v/>
      </c>
      <c r="Y1559">
        <f>IF($P1559="","",IF(Shares!$E1562="",0,Shares!$E1562))</f>
        <v/>
      </c>
      <c r="Z1559">
        <f>IF($P1559="","",Shares!$H1562)</f>
        <v/>
      </c>
      <c r="AE1559">
        <f>IF(OR(Sync!$S1559="",Sync!$P1559=""),"",Sync!$S1559)</f>
        <v/>
      </c>
      <c r="AF1559">
        <f>IF($AE1559="","",IF(ISNUMBER(Sync!$P1559),IF(AND(Sync!$P1559&gt;=10000101,Sync!$P1559&lt;=99991231),INT(Sync!$P1559/10000),""),IFERROR(VALUE(TRIM(LEFT(Sync!$P1559,FIND("/",Sync!$P1559)-1))),"")))</f>
        <v/>
      </c>
      <c r="AG1559">
        <f>IF(OR($AE1559="",$AF1559=""),"",IF(ISNUMBER(Sync!$P1559),INT(MOD(Sync!$P1559,10000)/100),IFERROR(VALUE(TRIM(LEFT(MID(Sync!$P1559,FIND("/",Sync!$P1559)+1,20),FIND("/",MID(Sync!$P1559,FIND("/",Sync!$P1559)+1,20))-1))),"")))</f>
        <v/>
      </c>
      <c r="AH1559">
        <f>IF(OR($AE1559="",$AF1559=""),"",IF(ISNUMBER(Sync!$P1559),MOD(Sync!$P1559,100),IFERROR(VALUE(TRIM(MID(MID(Sync!$P1559,FIND("/",Sync!$P1559)+1,20),FIND("/",MID(Sync!$P1559,FIND("/",Sync!$P1559)+1,20))+1,20))),"")))</f>
        <v/>
      </c>
      <c r="AI1559">
        <f>IF($AE1559="","",IF(OR($AF1559="",$AG1559="",$AH1559="",$AF1559&lt;1300,$AF1559&gt;1500,$AG1559&lt;1,$AG1559&gt;12,$AH1559&lt;1,$AH1559&gt;31),"نامعتبر",RIGHT("0000"&amp;$AF1559,4)&amp;"/"&amp;RIGHT("00"&amp;$AG1559,2)&amp;"/"&amp;RIGHT("00"&amp;$AH1559,2)))</f>
        <v/>
      </c>
      <c r="AJ1559">
        <f>IF($AE1559="","",IF(Sync!$Q1559="","0000",IF(AND(ISNUMBER(Sync!$Q1559),Sync!$Q1559&gt;=0,Sync!$Q1559&lt;1),RIGHT("00"&amp;HOUR(Sync!$Q1559),2)&amp;RIGHT("00"&amp;MINUTE(Sync!$Q1559),2),IFERROR(RIGHT("00"&amp;VALUE(LEFT(Sync!$Q1559,FIND(":",Sync!$Q1559)-1)),2)&amp;RIGHT("00"&amp;VALUE(MID(Sync!$Q1559,FIND(":",Sync!$Q1559)+1,2)),2),"0000"))))</f>
        <v/>
      </c>
      <c r="AK1559">
        <f>IF(OR($AE1559="",$AI1559="",$AI1559="نامعتبر"),"",LEFT($AI1559,4)&amp;MID($AI1559,6,2)&amp;RIGHT($AI1559,2)&amp;$AJ1559&amp;"|"&amp;"3"&amp;RIGHT("00000"&amp;1554,5))</f>
        <v/>
      </c>
      <c r="AL1559">
        <f>IF($AK1559="","",COUNTIFS(LdAParty,$AE1559,LdAType,1,LdAKey,"&lt;"&amp;$AK1559)+COUNTIFS(LdBMember,$AE1559,LdBKey,"&lt;"&amp;$AK1559)+COUNTIFS(LdCParty,$AE1559,LdCKey,"&lt;"&amp;$AK1559)+1)</f>
        <v/>
      </c>
      <c r="AM1559">
        <f>IF($AL1559="","",$AE1559&amp;"|"&amp;RIGHT("000000"&amp;$AL1559,6))</f>
        <v/>
      </c>
      <c r="AN1559">
        <f>IF($AE1559="","",IF(Sync!$W1559="",0,Sync!$W1559))</f>
        <v/>
      </c>
      <c r="AO1559">
        <f>IF($AE1559="","",IF(Sync!$X1559="",0,Sync!$X1559))</f>
        <v/>
      </c>
      <c r="AP1559">
        <f>IF($AE1559="","",Sync!$R1559)</f>
        <v/>
      </c>
      <c r="AQ1559">
        <f>IF($AE1559="","",Sync!$Y1559)</f>
        <v/>
      </c>
    </row>
    <row r="1560">
      <c r="A1560">
        <f>IF(OR(Wages!$B1563="",Wages!$E1563=""),"",Wages!$E1563)</f>
        <v/>
      </c>
      <c r="B1560">
        <f>IF($A1560="","",IF(Wages!$C1563="دستمزد گروهی",2,1))</f>
        <v/>
      </c>
      <c r="C1560">
        <f>IF($A1560="","",IF(ISNUMBER(Wages!$B1563),IF(AND(Wages!$B1563&gt;=10000101,Wages!$B1563&lt;=99991231),INT(Wages!$B1563/10000),""),IFERROR(VALUE(TRIM(LEFT(Wages!$B1563,FIND("/",Wages!$B1563)-1))),"")))</f>
        <v/>
      </c>
      <c r="D1560">
        <f>IF(OR($A1560="",$C1560=""),"",IF(ISNUMBER(Wages!$B1563),INT(MOD(Wages!$B1563,10000)/100),IFERROR(VALUE(TRIM(LEFT(MID(Wages!$B1563,FIND("/",Wages!$B1563)+1,20),FIND("/",MID(Wages!$B1563,FIND("/",Wages!$B1563)+1,20))-1))),"")))</f>
        <v/>
      </c>
      <c r="E1560">
        <f>IF(OR($A1560="",$C1560=""),"",IF(ISNUMBER(Wages!$B1563),MOD(Wages!$B1563,100),IFERROR(VALUE(TRIM(MID(MID(Wages!$B1563,FIND("/",Wages!$B1563)+1,20),FIND("/",MID(Wages!$B1563,FIND("/",Wages!$B1563)+1,20))+1,20))),"")))</f>
        <v/>
      </c>
      <c r="F1560">
        <f>IF($A1560="","",IF(OR($C1560="",$D1560="",$E1560="",$C1560&lt;1300,$C1560&gt;1500,$D1560&lt;1,$D1560&gt;12,$E1560&lt;1,$E1560&gt;31),"نامعتبر",RIGHT("0000"&amp;$C1560,4)&amp;"/"&amp;RIGHT("00"&amp;$D1560,2)&amp;"/"&amp;RIGHT("00"&amp;$E1560,2)))</f>
        <v/>
      </c>
      <c r="G1560">
        <f>IF(OR($A1560="",$F1560="",$F1560="نامعتبر"),"",LEFT($F1560,4)&amp;MID($F1560,6,2)&amp;RIGHT($F1560,2)&amp;"0000"&amp;"|"&amp;"1"&amp;RIGHT("00000"&amp;1555,5))</f>
        <v/>
      </c>
      <c r="H1560">
        <f>IF(OR($B1560&lt;&gt;1,$G1560=""),"",COUNTIFS(LdAParty,$A1560,LdAType,1,LdAKey,"&lt;"&amp;$G1560)+COUNTIFS(LdBMember,$A1560,LdBKey,"&lt;"&amp;$G1560)+COUNTIFS(LdCParty,$A1560,LdCKey,"&lt;"&amp;$G1560)+1)</f>
        <v/>
      </c>
      <c r="I1560">
        <f>IF($H1560="","",$A1560&amp;"|"&amp;RIGHT("000000"&amp;$H1560,6))</f>
        <v/>
      </c>
      <c r="J1560">
        <f>IF(OR($B1560&lt;&gt;2,$G1560=""),"",COUNTIFS(LdAParty,$A1560,LdAType,2,LdAKey,"&lt;"&amp;$G1560)+1)</f>
        <v/>
      </c>
      <c r="K1560">
        <f>IF($J1560="","",$A1560&amp;"|"&amp;RIGHT("000000"&amp;$J1560,6))</f>
        <v/>
      </c>
      <c r="L1560">
        <f>IF($A1560="","",IF(Wages!$G1563="",0,Wages!$G1563))</f>
        <v/>
      </c>
      <c r="M1560">
        <f>IF($A1560="","",Wages!$J1563)</f>
        <v/>
      </c>
      <c r="N1560">
        <f>IF($A1560="","",Wages!$D1563)</f>
        <v/>
      </c>
      <c r="P1560">
        <f>IF(OR(Shares!$B1563="",Shares!$C1563=""),"",Shares!$C1563)</f>
        <v/>
      </c>
      <c r="Q1560">
        <f>IF($P1560="","",Shares!$B1563)</f>
        <v/>
      </c>
      <c r="R1560">
        <f>IF($P1560="","",IFERROR(INDEX(WageParty,MATCH($Q1560,WageIds,0)),""))</f>
        <v/>
      </c>
      <c r="S1560">
        <f>IF($P1560="","",IFERROR(INDEX($F$6:$F$2005,MATCH($Q1560,WageIds,0)),""))</f>
        <v/>
      </c>
      <c r="T1560">
        <f>IF(OR($P1560="",$S1560="",$S1560="نامعتبر"),"",LEFT($S1560,4)&amp;MID($S1560,6,2)&amp;RIGHT($S1560,2)&amp;"0000"&amp;"|"&amp;"2"&amp;RIGHT("00000"&amp;1555,5))</f>
        <v/>
      </c>
      <c r="U1560">
        <f>IF($T1560="","",COUNTIFS(LdAParty,$P1560,LdAType,1,LdAKey,"&lt;"&amp;$T1560)+COUNTIFS(LdBMember,$P1560,LdBKey,"&lt;"&amp;$T1560)+COUNTIFS(LdCParty,$P1560,LdCKey,"&lt;"&amp;$T1560)+1)</f>
        <v/>
      </c>
      <c r="V1560">
        <f>IF($U1560="","",$P1560&amp;"|"&amp;RIGHT("000000"&amp;$U1560,6))</f>
        <v/>
      </c>
      <c r="W1560">
        <f>IF($T1560="","",COUNTIFS(LdBGroup,$R1560,LdBKey,"&lt;"&amp;$T1560)+1)</f>
        <v/>
      </c>
      <c r="X1560">
        <f>IF($W1560="","",$R1560&amp;"|"&amp;RIGHT("000000"&amp;$W1560,6))</f>
        <v/>
      </c>
      <c r="Y1560">
        <f>IF($P1560="","",IF(Shares!$E1563="",0,Shares!$E1563))</f>
        <v/>
      </c>
      <c r="Z1560">
        <f>IF($P1560="","",Shares!$H1563)</f>
        <v/>
      </c>
      <c r="AE1560">
        <f>IF(OR(Sync!$S1560="",Sync!$P1560=""),"",Sync!$S1560)</f>
        <v/>
      </c>
      <c r="AF1560">
        <f>IF($AE1560="","",IF(ISNUMBER(Sync!$P1560),IF(AND(Sync!$P1560&gt;=10000101,Sync!$P1560&lt;=99991231),INT(Sync!$P1560/10000),""),IFERROR(VALUE(TRIM(LEFT(Sync!$P1560,FIND("/",Sync!$P1560)-1))),"")))</f>
        <v/>
      </c>
      <c r="AG1560">
        <f>IF(OR($AE1560="",$AF1560=""),"",IF(ISNUMBER(Sync!$P1560),INT(MOD(Sync!$P1560,10000)/100),IFERROR(VALUE(TRIM(LEFT(MID(Sync!$P1560,FIND("/",Sync!$P1560)+1,20),FIND("/",MID(Sync!$P1560,FIND("/",Sync!$P1560)+1,20))-1))),"")))</f>
        <v/>
      </c>
      <c r="AH1560">
        <f>IF(OR($AE1560="",$AF1560=""),"",IF(ISNUMBER(Sync!$P1560),MOD(Sync!$P1560,100),IFERROR(VALUE(TRIM(MID(MID(Sync!$P1560,FIND("/",Sync!$P1560)+1,20),FIND("/",MID(Sync!$P1560,FIND("/",Sync!$P1560)+1,20))+1,20))),"")))</f>
        <v/>
      </c>
      <c r="AI1560">
        <f>IF($AE1560="","",IF(OR($AF1560="",$AG1560="",$AH1560="",$AF1560&lt;1300,$AF1560&gt;1500,$AG1560&lt;1,$AG1560&gt;12,$AH1560&lt;1,$AH1560&gt;31),"نامعتبر",RIGHT("0000"&amp;$AF1560,4)&amp;"/"&amp;RIGHT("00"&amp;$AG1560,2)&amp;"/"&amp;RIGHT("00"&amp;$AH1560,2)))</f>
        <v/>
      </c>
      <c r="AJ1560">
        <f>IF($AE1560="","",IF(Sync!$Q1560="","0000",IF(AND(ISNUMBER(Sync!$Q1560),Sync!$Q1560&gt;=0,Sync!$Q1560&lt;1),RIGHT("00"&amp;HOUR(Sync!$Q1560),2)&amp;RIGHT("00"&amp;MINUTE(Sync!$Q1560),2),IFERROR(RIGHT("00"&amp;VALUE(LEFT(Sync!$Q1560,FIND(":",Sync!$Q1560)-1)),2)&amp;RIGHT("00"&amp;VALUE(MID(Sync!$Q1560,FIND(":",Sync!$Q1560)+1,2)),2),"0000"))))</f>
        <v/>
      </c>
      <c r="AK1560">
        <f>IF(OR($AE1560="",$AI1560="",$AI1560="نامعتبر"),"",LEFT($AI1560,4)&amp;MID($AI1560,6,2)&amp;RIGHT($AI1560,2)&amp;$AJ1560&amp;"|"&amp;"3"&amp;RIGHT("00000"&amp;1555,5))</f>
        <v/>
      </c>
      <c r="AL1560">
        <f>IF($AK1560="","",COUNTIFS(LdAParty,$AE1560,LdAType,1,LdAKey,"&lt;"&amp;$AK1560)+COUNTIFS(LdBMember,$AE1560,LdBKey,"&lt;"&amp;$AK1560)+COUNTIFS(LdCParty,$AE1560,LdCKey,"&lt;"&amp;$AK1560)+1)</f>
        <v/>
      </c>
      <c r="AM1560">
        <f>IF($AL1560="","",$AE1560&amp;"|"&amp;RIGHT("000000"&amp;$AL1560,6))</f>
        <v/>
      </c>
      <c r="AN1560">
        <f>IF($AE1560="","",IF(Sync!$W1560="",0,Sync!$W1560))</f>
        <v/>
      </c>
      <c r="AO1560">
        <f>IF($AE1560="","",IF(Sync!$X1560="",0,Sync!$X1560))</f>
        <v/>
      </c>
      <c r="AP1560">
        <f>IF($AE1560="","",Sync!$R1560)</f>
        <v/>
      </c>
      <c r="AQ1560">
        <f>IF($AE1560="","",Sync!$Y1560)</f>
        <v/>
      </c>
    </row>
    <row r="1561">
      <c r="A1561">
        <f>IF(OR(Wages!$B1564="",Wages!$E1564=""),"",Wages!$E1564)</f>
        <v/>
      </c>
      <c r="B1561">
        <f>IF($A1561="","",IF(Wages!$C1564="دستمزد گروهی",2,1))</f>
        <v/>
      </c>
      <c r="C1561">
        <f>IF($A1561="","",IF(ISNUMBER(Wages!$B1564),IF(AND(Wages!$B1564&gt;=10000101,Wages!$B1564&lt;=99991231),INT(Wages!$B1564/10000),""),IFERROR(VALUE(TRIM(LEFT(Wages!$B1564,FIND("/",Wages!$B1564)-1))),"")))</f>
        <v/>
      </c>
      <c r="D1561">
        <f>IF(OR($A1561="",$C1561=""),"",IF(ISNUMBER(Wages!$B1564),INT(MOD(Wages!$B1564,10000)/100),IFERROR(VALUE(TRIM(LEFT(MID(Wages!$B1564,FIND("/",Wages!$B1564)+1,20),FIND("/",MID(Wages!$B1564,FIND("/",Wages!$B1564)+1,20))-1))),"")))</f>
        <v/>
      </c>
      <c r="E1561">
        <f>IF(OR($A1561="",$C1561=""),"",IF(ISNUMBER(Wages!$B1564),MOD(Wages!$B1564,100),IFERROR(VALUE(TRIM(MID(MID(Wages!$B1564,FIND("/",Wages!$B1564)+1,20),FIND("/",MID(Wages!$B1564,FIND("/",Wages!$B1564)+1,20))+1,20))),"")))</f>
        <v/>
      </c>
      <c r="F1561">
        <f>IF($A1561="","",IF(OR($C1561="",$D1561="",$E1561="",$C1561&lt;1300,$C1561&gt;1500,$D1561&lt;1,$D1561&gt;12,$E1561&lt;1,$E1561&gt;31),"نامعتبر",RIGHT("0000"&amp;$C1561,4)&amp;"/"&amp;RIGHT("00"&amp;$D1561,2)&amp;"/"&amp;RIGHT("00"&amp;$E1561,2)))</f>
        <v/>
      </c>
      <c r="G1561">
        <f>IF(OR($A1561="",$F1561="",$F1561="نامعتبر"),"",LEFT($F1561,4)&amp;MID($F1561,6,2)&amp;RIGHT($F1561,2)&amp;"0000"&amp;"|"&amp;"1"&amp;RIGHT("00000"&amp;1556,5))</f>
        <v/>
      </c>
      <c r="H1561">
        <f>IF(OR($B1561&lt;&gt;1,$G1561=""),"",COUNTIFS(LdAParty,$A1561,LdAType,1,LdAKey,"&lt;"&amp;$G1561)+COUNTIFS(LdBMember,$A1561,LdBKey,"&lt;"&amp;$G1561)+COUNTIFS(LdCParty,$A1561,LdCKey,"&lt;"&amp;$G1561)+1)</f>
        <v/>
      </c>
      <c r="I1561">
        <f>IF($H1561="","",$A1561&amp;"|"&amp;RIGHT("000000"&amp;$H1561,6))</f>
        <v/>
      </c>
      <c r="J1561">
        <f>IF(OR($B1561&lt;&gt;2,$G1561=""),"",COUNTIFS(LdAParty,$A1561,LdAType,2,LdAKey,"&lt;"&amp;$G1561)+1)</f>
        <v/>
      </c>
      <c r="K1561">
        <f>IF($J1561="","",$A1561&amp;"|"&amp;RIGHT("000000"&amp;$J1561,6))</f>
        <v/>
      </c>
      <c r="L1561">
        <f>IF($A1561="","",IF(Wages!$G1564="",0,Wages!$G1564))</f>
        <v/>
      </c>
      <c r="M1561">
        <f>IF($A1561="","",Wages!$J1564)</f>
        <v/>
      </c>
      <c r="N1561">
        <f>IF($A1561="","",Wages!$D1564)</f>
        <v/>
      </c>
      <c r="P1561">
        <f>IF(OR(Shares!$B1564="",Shares!$C1564=""),"",Shares!$C1564)</f>
        <v/>
      </c>
      <c r="Q1561">
        <f>IF($P1561="","",Shares!$B1564)</f>
        <v/>
      </c>
      <c r="R1561">
        <f>IF($P1561="","",IFERROR(INDEX(WageParty,MATCH($Q1561,WageIds,0)),""))</f>
        <v/>
      </c>
      <c r="S1561">
        <f>IF($P1561="","",IFERROR(INDEX($F$6:$F$2005,MATCH($Q1561,WageIds,0)),""))</f>
        <v/>
      </c>
      <c r="T1561">
        <f>IF(OR($P1561="",$S1561="",$S1561="نامعتبر"),"",LEFT($S1561,4)&amp;MID($S1561,6,2)&amp;RIGHT($S1561,2)&amp;"0000"&amp;"|"&amp;"2"&amp;RIGHT("00000"&amp;1556,5))</f>
        <v/>
      </c>
      <c r="U1561">
        <f>IF($T1561="","",COUNTIFS(LdAParty,$P1561,LdAType,1,LdAKey,"&lt;"&amp;$T1561)+COUNTIFS(LdBMember,$P1561,LdBKey,"&lt;"&amp;$T1561)+COUNTIFS(LdCParty,$P1561,LdCKey,"&lt;"&amp;$T1561)+1)</f>
        <v/>
      </c>
      <c r="V1561">
        <f>IF($U1561="","",$P1561&amp;"|"&amp;RIGHT("000000"&amp;$U1561,6))</f>
        <v/>
      </c>
      <c r="W1561">
        <f>IF($T1561="","",COUNTIFS(LdBGroup,$R1561,LdBKey,"&lt;"&amp;$T1561)+1)</f>
        <v/>
      </c>
      <c r="X1561">
        <f>IF($W1561="","",$R1561&amp;"|"&amp;RIGHT("000000"&amp;$W1561,6))</f>
        <v/>
      </c>
      <c r="Y1561">
        <f>IF($P1561="","",IF(Shares!$E1564="",0,Shares!$E1564))</f>
        <v/>
      </c>
      <c r="Z1561">
        <f>IF($P1561="","",Shares!$H1564)</f>
        <v/>
      </c>
      <c r="AE1561">
        <f>IF(OR(Sync!$S1561="",Sync!$P1561=""),"",Sync!$S1561)</f>
        <v/>
      </c>
      <c r="AF1561">
        <f>IF($AE1561="","",IF(ISNUMBER(Sync!$P1561),IF(AND(Sync!$P1561&gt;=10000101,Sync!$P1561&lt;=99991231),INT(Sync!$P1561/10000),""),IFERROR(VALUE(TRIM(LEFT(Sync!$P1561,FIND("/",Sync!$P1561)-1))),"")))</f>
        <v/>
      </c>
      <c r="AG1561">
        <f>IF(OR($AE1561="",$AF1561=""),"",IF(ISNUMBER(Sync!$P1561),INT(MOD(Sync!$P1561,10000)/100),IFERROR(VALUE(TRIM(LEFT(MID(Sync!$P1561,FIND("/",Sync!$P1561)+1,20),FIND("/",MID(Sync!$P1561,FIND("/",Sync!$P1561)+1,20))-1))),"")))</f>
        <v/>
      </c>
      <c r="AH1561">
        <f>IF(OR($AE1561="",$AF1561=""),"",IF(ISNUMBER(Sync!$P1561),MOD(Sync!$P1561,100),IFERROR(VALUE(TRIM(MID(MID(Sync!$P1561,FIND("/",Sync!$P1561)+1,20),FIND("/",MID(Sync!$P1561,FIND("/",Sync!$P1561)+1,20))+1,20))),"")))</f>
        <v/>
      </c>
      <c r="AI1561">
        <f>IF($AE1561="","",IF(OR($AF1561="",$AG1561="",$AH1561="",$AF1561&lt;1300,$AF1561&gt;1500,$AG1561&lt;1,$AG1561&gt;12,$AH1561&lt;1,$AH1561&gt;31),"نامعتبر",RIGHT("0000"&amp;$AF1561,4)&amp;"/"&amp;RIGHT("00"&amp;$AG1561,2)&amp;"/"&amp;RIGHT("00"&amp;$AH1561,2)))</f>
        <v/>
      </c>
      <c r="AJ1561">
        <f>IF($AE1561="","",IF(Sync!$Q1561="","0000",IF(AND(ISNUMBER(Sync!$Q1561),Sync!$Q1561&gt;=0,Sync!$Q1561&lt;1),RIGHT("00"&amp;HOUR(Sync!$Q1561),2)&amp;RIGHT("00"&amp;MINUTE(Sync!$Q1561),2),IFERROR(RIGHT("00"&amp;VALUE(LEFT(Sync!$Q1561,FIND(":",Sync!$Q1561)-1)),2)&amp;RIGHT("00"&amp;VALUE(MID(Sync!$Q1561,FIND(":",Sync!$Q1561)+1,2)),2),"0000"))))</f>
        <v/>
      </c>
      <c r="AK1561">
        <f>IF(OR($AE1561="",$AI1561="",$AI1561="نامعتبر"),"",LEFT($AI1561,4)&amp;MID($AI1561,6,2)&amp;RIGHT($AI1561,2)&amp;$AJ1561&amp;"|"&amp;"3"&amp;RIGHT("00000"&amp;1556,5))</f>
        <v/>
      </c>
      <c r="AL1561">
        <f>IF($AK1561="","",COUNTIFS(LdAParty,$AE1561,LdAType,1,LdAKey,"&lt;"&amp;$AK1561)+COUNTIFS(LdBMember,$AE1561,LdBKey,"&lt;"&amp;$AK1561)+COUNTIFS(LdCParty,$AE1561,LdCKey,"&lt;"&amp;$AK1561)+1)</f>
        <v/>
      </c>
      <c r="AM1561">
        <f>IF($AL1561="","",$AE1561&amp;"|"&amp;RIGHT("000000"&amp;$AL1561,6))</f>
        <v/>
      </c>
      <c r="AN1561">
        <f>IF($AE1561="","",IF(Sync!$W1561="",0,Sync!$W1561))</f>
        <v/>
      </c>
      <c r="AO1561">
        <f>IF($AE1561="","",IF(Sync!$X1561="",0,Sync!$X1561))</f>
        <v/>
      </c>
      <c r="AP1561">
        <f>IF($AE1561="","",Sync!$R1561)</f>
        <v/>
      </c>
      <c r="AQ1561">
        <f>IF($AE1561="","",Sync!$Y1561)</f>
        <v/>
      </c>
    </row>
    <row r="1562">
      <c r="A1562">
        <f>IF(OR(Wages!$B1565="",Wages!$E1565=""),"",Wages!$E1565)</f>
        <v/>
      </c>
      <c r="B1562">
        <f>IF($A1562="","",IF(Wages!$C1565="دستمزد گروهی",2,1))</f>
        <v/>
      </c>
      <c r="C1562">
        <f>IF($A1562="","",IF(ISNUMBER(Wages!$B1565),IF(AND(Wages!$B1565&gt;=10000101,Wages!$B1565&lt;=99991231),INT(Wages!$B1565/10000),""),IFERROR(VALUE(TRIM(LEFT(Wages!$B1565,FIND("/",Wages!$B1565)-1))),"")))</f>
        <v/>
      </c>
      <c r="D1562">
        <f>IF(OR($A1562="",$C1562=""),"",IF(ISNUMBER(Wages!$B1565),INT(MOD(Wages!$B1565,10000)/100),IFERROR(VALUE(TRIM(LEFT(MID(Wages!$B1565,FIND("/",Wages!$B1565)+1,20),FIND("/",MID(Wages!$B1565,FIND("/",Wages!$B1565)+1,20))-1))),"")))</f>
        <v/>
      </c>
      <c r="E1562">
        <f>IF(OR($A1562="",$C1562=""),"",IF(ISNUMBER(Wages!$B1565),MOD(Wages!$B1565,100),IFERROR(VALUE(TRIM(MID(MID(Wages!$B1565,FIND("/",Wages!$B1565)+1,20),FIND("/",MID(Wages!$B1565,FIND("/",Wages!$B1565)+1,20))+1,20))),"")))</f>
        <v/>
      </c>
      <c r="F1562">
        <f>IF($A1562="","",IF(OR($C1562="",$D1562="",$E1562="",$C1562&lt;1300,$C1562&gt;1500,$D1562&lt;1,$D1562&gt;12,$E1562&lt;1,$E1562&gt;31),"نامعتبر",RIGHT("0000"&amp;$C1562,4)&amp;"/"&amp;RIGHT("00"&amp;$D1562,2)&amp;"/"&amp;RIGHT("00"&amp;$E1562,2)))</f>
        <v/>
      </c>
      <c r="G1562">
        <f>IF(OR($A1562="",$F1562="",$F1562="نامعتبر"),"",LEFT($F1562,4)&amp;MID($F1562,6,2)&amp;RIGHT($F1562,2)&amp;"0000"&amp;"|"&amp;"1"&amp;RIGHT("00000"&amp;1557,5))</f>
        <v/>
      </c>
      <c r="H1562">
        <f>IF(OR($B1562&lt;&gt;1,$G1562=""),"",COUNTIFS(LdAParty,$A1562,LdAType,1,LdAKey,"&lt;"&amp;$G1562)+COUNTIFS(LdBMember,$A1562,LdBKey,"&lt;"&amp;$G1562)+COUNTIFS(LdCParty,$A1562,LdCKey,"&lt;"&amp;$G1562)+1)</f>
        <v/>
      </c>
      <c r="I1562">
        <f>IF($H1562="","",$A1562&amp;"|"&amp;RIGHT("000000"&amp;$H1562,6))</f>
        <v/>
      </c>
      <c r="J1562">
        <f>IF(OR($B1562&lt;&gt;2,$G1562=""),"",COUNTIFS(LdAParty,$A1562,LdAType,2,LdAKey,"&lt;"&amp;$G1562)+1)</f>
        <v/>
      </c>
      <c r="K1562">
        <f>IF($J1562="","",$A1562&amp;"|"&amp;RIGHT("000000"&amp;$J1562,6))</f>
        <v/>
      </c>
      <c r="L1562">
        <f>IF($A1562="","",IF(Wages!$G1565="",0,Wages!$G1565))</f>
        <v/>
      </c>
      <c r="M1562">
        <f>IF($A1562="","",Wages!$J1565)</f>
        <v/>
      </c>
      <c r="N1562">
        <f>IF($A1562="","",Wages!$D1565)</f>
        <v/>
      </c>
      <c r="P1562">
        <f>IF(OR(Shares!$B1565="",Shares!$C1565=""),"",Shares!$C1565)</f>
        <v/>
      </c>
      <c r="Q1562">
        <f>IF($P1562="","",Shares!$B1565)</f>
        <v/>
      </c>
      <c r="R1562">
        <f>IF($P1562="","",IFERROR(INDEX(WageParty,MATCH($Q1562,WageIds,0)),""))</f>
        <v/>
      </c>
      <c r="S1562">
        <f>IF($P1562="","",IFERROR(INDEX($F$6:$F$2005,MATCH($Q1562,WageIds,0)),""))</f>
        <v/>
      </c>
      <c r="T1562">
        <f>IF(OR($P1562="",$S1562="",$S1562="نامعتبر"),"",LEFT($S1562,4)&amp;MID($S1562,6,2)&amp;RIGHT($S1562,2)&amp;"0000"&amp;"|"&amp;"2"&amp;RIGHT("00000"&amp;1557,5))</f>
        <v/>
      </c>
      <c r="U1562">
        <f>IF($T1562="","",COUNTIFS(LdAParty,$P1562,LdAType,1,LdAKey,"&lt;"&amp;$T1562)+COUNTIFS(LdBMember,$P1562,LdBKey,"&lt;"&amp;$T1562)+COUNTIFS(LdCParty,$P1562,LdCKey,"&lt;"&amp;$T1562)+1)</f>
        <v/>
      </c>
      <c r="V1562">
        <f>IF($U1562="","",$P1562&amp;"|"&amp;RIGHT("000000"&amp;$U1562,6))</f>
        <v/>
      </c>
      <c r="W1562">
        <f>IF($T1562="","",COUNTIFS(LdBGroup,$R1562,LdBKey,"&lt;"&amp;$T1562)+1)</f>
        <v/>
      </c>
      <c r="X1562">
        <f>IF($W1562="","",$R1562&amp;"|"&amp;RIGHT("000000"&amp;$W1562,6))</f>
        <v/>
      </c>
      <c r="Y1562">
        <f>IF($P1562="","",IF(Shares!$E1565="",0,Shares!$E1565))</f>
        <v/>
      </c>
      <c r="Z1562">
        <f>IF($P1562="","",Shares!$H1565)</f>
        <v/>
      </c>
      <c r="AE1562">
        <f>IF(OR(Sync!$S1562="",Sync!$P1562=""),"",Sync!$S1562)</f>
        <v/>
      </c>
      <c r="AF1562">
        <f>IF($AE1562="","",IF(ISNUMBER(Sync!$P1562),IF(AND(Sync!$P1562&gt;=10000101,Sync!$P1562&lt;=99991231),INT(Sync!$P1562/10000),""),IFERROR(VALUE(TRIM(LEFT(Sync!$P1562,FIND("/",Sync!$P1562)-1))),"")))</f>
        <v/>
      </c>
      <c r="AG1562">
        <f>IF(OR($AE1562="",$AF1562=""),"",IF(ISNUMBER(Sync!$P1562),INT(MOD(Sync!$P1562,10000)/100),IFERROR(VALUE(TRIM(LEFT(MID(Sync!$P1562,FIND("/",Sync!$P1562)+1,20),FIND("/",MID(Sync!$P1562,FIND("/",Sync!$P1562)+1,20))-1))),"")))</f>
        <v/>
      </c>
      <c r="AH1562">
        <f>IF(OR($AE1562="",$AF1562=""),"",IF(ISNUMBER(Sync!$P1562),MOD(Sync!$P1562,100),IFERROR(VALUE(TRIM(MID(MID(Sync!$P1562,FIND("/",Sync!$P1562)+1,20),FIND("/",MID(Sync!$P1562,FIND("/",Sync!$P1562)+1,20))+1,20))),"")))</f>
        <v/>
      </c>
      <c r="AI1562">
        <f>IF($AE1562="","",IF(OR($AF1562="",$AG1562="",$AH1562="",$AF1562&lt;1300,$AF1562&gt;1500,$AG1562&lt;1,$AG1562&gt;12,$AH1562&lt;1,$AH1562&gt;31),"نامعتبر",RIGHT("0000"&amp;$AF1562,4)&amp;"/"&amp;RIGHT("00"&amp;$AG1562,2)&amp;"/"&amp;RIGHT("00"&amp;$AH1562,2)))</f>
        <v/>
      </c>
      <c r="AJ1562">
        <f>IF($AE1562="","",IF(Sync!$Q1562="","0000",IF(AND(ISNUMBER(Sync!$Q1562),Sync!$Q1562&gt;=0,Sync!$Q1562&lt;1),RIGHT("00"&amp;HOUR(Sync!$Q1562),2)&amp;RIGHT("00"&amp;MINUTE(Sync!$Q1562),2),IFERROR(RIGHT("00"&amp;VALUE(LEFT(Sync!$Q1562,FIND(":",Sync!$Q1562)-1)),2)&amp;RIGHT("00"&amp;VALUE(MID(Sync!$Q1562,FIND(":",Sync!$Q1562)+1,2)),2),"0000"))))</f>
        <v/>
      </c>
      <c r="AK1562">
        <f>IF(OR($AE1562="",$AI1562="",$AI1562="نامعتبر"),"",LEFT($AI1562,4)&amp;MID($AI1562,6,2)&amp;RIGHT($AI1562,2)&amp;$AJ1562&amp;"|"&amp;"3"&amp;RIGHT("00000"&amp;1557,5))</f>
        <v/>
      </c>
      <c r="AL1562">
        <f>IF($AK1562="","",COUNTIFS(LdAParty,$AE1562,LdAType,1,LdAKey,"&lt;"&amp;$AK1562)+COUNTIFS(LdBMember,$AE1562,LdBKey,"&lt;"&amp;$AK1562)+COUNTIFS(LdCParty,$AE1562,LdCKey,"&lt;"&amp;$AK1562)+1)</f>
        <v/>
      </c>
      <c r="AM1562">
        <f>IF($AL1562="","",$AE1562&amp;"|"&amp;RIGHT("000000"&amp;$AL1562,6))</f>
        <v/>
      </c>
      <c r="AN1562">
        <f>IF($AE1562="","",IF(Sync!$W1562="",0,Sync!$W1562))</f>
        <v/>
      </c>
      <c r="AO1562">
        <f>IF($AE1562="","",IF(Sync!$X1562="",0,Sync!$X1562))</f>
        <v/>
      </c>
      <c r="AP1562">
        <f>IF($AE1562="","",Sync!$R1562)</f>
        <v/>
      </c>
      <c r="AQ1562">
        <f>IF($AE1562="","",Sync!$Y1562)</f>
        <v/>
      </c>
    </row>
    <row r="1563">
      <c r="A1563">
        <f>IF(OR(Wages!$B1566="",Wages!$E1566=""),"",Wages!$E1566)</f>
        <v/>
      </c>
      <c r="B1563">
        <f>IF($A1563="","",IF(Wages!$C1566="دستمزد گروهی",2,1))</f>
        <v/>
      </c>
      <c r="C1563">
        <f>IF($A1563="","",IF(ISNUMBER(Wages!$B1566),IF(AND(Wages!$B1566&gt;=10000101,Wages!$B1566&lt;=99991231),INT(Wages!$B1566/10000),""),IFERROR(VALUE(TRIM(LEFT(Wages!$B1566,FIND("/",Wages!$B1566)-1))),"")))</f>
        <v/>
      </c>
      <c r="D1563">
        <f>IF(OR($A1563="",$C1563=""),"",IF(ISNUMBER(Wages!$B1566),INT(MOD(Wages!$B1566,10000)/100),IFERROR(VALUE(TRIM(LEFT(MID(Wages!$B1566,FIND("/",Wages!$B1566)+1,20),FIND("/",MID(Wages!$B1566,FIND("/",Wages!$B1566)+1,20))-1))),"")))</f>
        <v/>
      </c>
      <c r="E1563">
        <f>IF(OR($A1563="",$C1563=""),"",IF(ISNUMBER(Wages!$B1566),MOD(Wages!$B1566,100),IFERROR(VALUE(TRIM(MID(MID(Wages!$B1566,FIND("/",Wages!$B1566)+1,20),FIND("/",MID(Wages!$B1566,FIND("/",Wages!$B1566)+1,20))+1,20))),"")))</f>
        <v/>
      </c>
      <c r="F1563">
        <f>IF($A1563="","",IF(OR($C1563="",$D1563="",$E1563="",$C1563&lt;1300,$C1563&gt;1500,$D1563&lt;1,$D1563&gt;12,$E1563&lt;1,$E1563&gt;31),"نامعتبر",RIGHT("0000"&amp;$C1563,4)&amp;"/"&amp;RIGHT("00"&amp;$D1563,2)&amp;"/"&amp;RIGHT("00"&amp;$E1563,2)))</f>
        <v/>
      </c>
      <c r="G1563">
        <f>IF(OR($A1563="",$F1563="",$F1563="نامعتبر"),"",LEFT($F1563,4)&amp;MID($F1563,6,2)&amp;RIGHT($F1563,2)&amp;"0000"&amp;"|"&amp;"1"&amp;RIGHT("00000"&amp;1558,5))</f>
        <v/>
      </c>
      <c r="H1563">
        <f>IF(OR($B1563&lt;&gt;1,$G1563=""),"",COUNTIFS(LdAParty,$A1563,LdAType,1,LdAKey,"&lt;"&amp;$G1563)+COUNTIFS(LdBMember,$A1563,LdBKey,"&lt;"&amp;$G1563)+COUNTIFS(LdCParty,$A1563,LdCKey,"&lt;"&amp;$G1563)+1)</f>
        <v/>
      </c>
      <c r="I1563">
        <f>IF($H1563="","",$A1563&amp;"|"&amp;RIGHT("000000"&amp;$H1563,6))</f>
        <v/>
      </c>
      <c r="J1563">
        <f>IF(OR($B1563&lt;&gt;2,$G1563=""),"",COUNTIFS(LdAParty,$A1563,LdAType,2,LdAKey,"&lt;"&amp;$G1563)+1)</f>
        <v/>
      </c>
      <c r="K1563">
        <f>IF($J1563="","",$A1563&amp;"|"&amp;RIGHT("000000"&amp;$J1563,6))</f>
        <v/>
      </c>
      <c r="L1563">
        <f>IF($A1563="","",IF(Wages!$G1566="",0,Wages!$G1566))</f>
        <v/>
      </c>
      <c r="M1563">
        <f>IF($A1563="","",Wages!$J1566)</f>
        <v/>
      </c>
      <c r="N1563">
        <f>IF($A1563="","",Wages!$D1566)</f>
        <v/>
      </c>
      <c r="P1563">
        <f>IF(OR(Shares!$B1566="",Shares!$C1566=""),"",Shares!$C1566)</f>
        <v/>
      </c>
      <c r="Q1563">
        <f>IF($P1563="","",Shares!$B1566)</f>
        <v/>
      </c>
      <c r="R1563">
        <f>IF($P1563="","",IFERROR(INDEX(WageParty,MATCH($Q1563,WageIds,0)),""))</f>
        <v/>
      </c>
      <c r="S1563">
        <f>IF($P1563="","",IFERROR(INDEX($F$6:$F$2005,MATCH($Q1563,WageIds,0)),""))</f>
        <v/>
      </c>
      <c r="T1563">
        <f>IF(OR($P1563="",$S1563="",$S1563="نامعتبر"),"",LEFT($S1563,4)&amp;MID($S1563,6,2)&amp;RIGHT($S1563,2)&amp;"0000"&amp;"|"&amp;"2"&amp;RIGHT("00000"&amp;1558,5))</f>
        <v/>
      </c>
      <c r="U1563">
        <f>IF($T1563="","",COUNTIFS(LdAParty,$P1563,LdAType,1,LdAKey,"&lt;"&amp;$T1563)+COUNTIFS(LdBMember,$P1563,LdBKey,"&lt;"&amp;$T1563)+COUNTIFS(LdCParty,$P1563,LdCKey,"&lt;"&amp;$T1563)+1)</f>
        <v/>
      </c>
      <c r="V1563">
        <f>IF($U1563="","",$P1563&amp;"|"&amp;RIGHT("000000"&amp;$U1563,6))</f>
        <v/>
      </c>
      <c r="W1563">
        <f>IF($T1563="","",COUNTIFS(LdBGroup,$R1563,LdBKey,"&lt;"&amp;$T1563)+1)</f>
        <v/>
      </c>
      <c r="X1563">
        <f>IF($W1563="","",$R1563&amp;"|"&amp;RIGHT("000000"&amp;$W1563,6))</f>
        <v/>
      </c>
      <c r="Y1563">
        <f>IF($P1563="","",IF(Shares!$E1566="",0,Shares!$E1566))</f>
        <v/>
      </c>
      <c r="Z1563">
        <f>IF($P1563="","",Shares!$H1566)</f>
        <v/>
      </c>
      <c r="AE1563">
        <f>IF(OR(Sync!$S1563="",Sync!$P1563=""),"",Sync!$S1563)</f>
        <v/>
      </c>
      <c r="AF1563">
        <f>IF($AE1563="","",IF(ISNUMBER(Sync!$P1563),IF(AND(Sync!$P1563&gt;=10000101,Sync!$P1563&lt;=99991231),INT(Sync!$P1563/10000),""),IFERROR(VALUE(TRIM(LEFT(Sync!$P1563,FIND("/",Sync!$P1563)-1))),"")))</f>
        <v/>
      </c>
      <c r="AG1563">
        <f>IF(OR($AE1563="",$AF1563=""),"",IF(ISNUMBER(Sync!$P1563),INT(MOD(Sync!$P1563,10000)/100),IFERROR(VALUE(TRIM(LEFT(MID(Sync!$P1563,FIND("/",Sync!$P1563)+1,20),FIND("/",MID(Sync!$P1563,FIND("/",Sync!$P1563)+1,20))-1))),"")))</f>
        <v/>
      </c>
      <c r="AH1563">
        <f>IF(OR($AE1563="",$AF1563=""),"",IF(ISNUMBER(Sync!$P1563),MOD(Sync!$P1563,100),IFERROR(VALUE(TRIM(MID(MID(Sync!$P1563,FIND("/",Sync!$P1563)+1,20),FIND("/",MID(Sync!$P1563,FIND("/",Sync!$P1563)+1,20))+1,20))),"")))</f>
        <v/>
      </c>
      <c r="AI1563">
        <f>IF($AE1563="","",IF(OR($AF1563="",$AG1563="",$AH1563="",$AF1563&lt;1300,$AF1563&gt;1500,$AG1563&lt;1,$AG1563&gt;12,$AH1563&lt;1,$AH1563&gt;31),"نامعتبر",RIGHT("0000"&amp;$AF1563,4)&amp;"/"&amp;RIGHT("00"&amp;$AG1563,2)&amp;"/"&amp;RIGHT("00"&amp;$AH1563,2)))</f>
        <v/>
      </c>
      <c r="AJ1563">
        <f>IF($AE1563="","",IF(Sync!$Q1563="","0000",IF(AND(ISNUMBER(Sync!$Q1563),Sync!$Q1563&gt;=0,Sync!$Q1563&lt;1),RIGHT("00"&amp;HOUR(Sync!$Q1563),2)&amp;RIGHT("00"&amp;MINUTE(Sync!$Q1563),2),IFERROR(RIGHT("00"&amp;VALUE(LEFT(Sync!$Q1563,FIND(":",Sync!$Q1563)-1)),2)&amp;RIGHT("00"&amp;VALUE(MID(Sync!$Q1563,FIND(":",Sync!$Q1563)+1,2)),2),"0000"))))</f>
        <v/>
      </c>
      <c r="AK1563">
        <f>IF(OR($AE1563="",$AI1563="",$AI1563="نامعتبر"),"",LEFT($AI1563,4)&amp;MID($AI1563,6,2)&amp;RIGHT($AI1563,2)&amp;$AJ1563&amp;"|"&amp;"3"&amp;RIGHT("00000"&amp;1558,5))</f>
        <v/>
      </c>
      <c r="AL1563">
        <f>IF($AK1563="","",COUNTIFS(LdAParty,$AE1563,LdAType,1,LdAKey,"&lt;"&amp;$AK1563)+COUNTIFS(LdBMember,$AE1563,LdBKey,"&lt;"&amp;$AK1563)+COUNTIFS(LdCParty,$AE1563,LdCKey,"&lt;"&amp;$AK1563)+1)</f>
        <v/>
      </c>
      <c r="AM1563">
        <f>IF($AL1563="","",$AE1563&amp;"|"&amp;RIGHT("000000"&amp;$AL1563,6))</f>
        <v/>
      </c>
      <c r="AN1563">
        <f>IF($AE1563="","",IF(Sync!$W1563="",0,Sync!$W1563))</f>
        <v/>
      </c>
      <c r="AO1563">
        <f>IF($AE1563="","",IF(Sync!$X1563="",0,Sync!$X1563))</f>
        <v/>
      </c>
      <c r="AP1563">
        <f>IF($AE1563="","",Sync!$R1563)</f>
        <v/>
      </c>
      <c r="AQ1563">
        <f>IF($AE1563="","",Sync!$Y1563)</f>
        <v/>
      </c>
    </row>
    <row r="1564">
      <c r="A1564">
        <f>IF(OR(Wages!$B1567="",Wages!$E1567=""),"",Wages!$E1567)</f>
        <v/>
      </c>
      <c r="B1564">
        <f>IF($A1564="","",IF(Wages!$C1567="دستمزد گروهی",2,1))</f>
        <v/>
      </c>
      <c r="C1564">
        <f>IF($A1564="","",IF(ISNUMBER(Wages!$B1567),IF(AND(Wages!$B1567&gt;=10000101,Wages!$B1567&lt;=99991231),INT(Wages!$B1567/10000),""),IFERROR(VALUE(TRIM(LEFT(Wages!$B1567,FIND("/",Wages!$B1567)-1))),"")))</f>
        <v/>
      </c>
      <c r="D1564">
        <f>IF(OR($A1564="",$C1564=""),"",IF(ISNUMBER(Wages!$B1567),INT(MOD(Wages!$B1567,10000)/100),IFERROR(VALUE(TRIM(LEFT(MID(Wages!$B1567,FIND("/",Wages!$B1567)+1,20),FIND("/",MID(Wages!$B1567,FIND("/",Wages!$B1567)+1,20))-1))),"")))</f>
        <v/>
      </c>
      <c r="E1564">
        <f>IF(OR($A1564="",$C1564=""),"",IF(ISNUMBER(Wages!$B1567),MOD(Wages!$B1567,100),IFERROR(VALUE(TRIM(MID(MID(Wages!$B1567,FIND("/",Wages!$B1567)+1,20),FIND("/",MID(Wages!$B1567,FIND("/",Wages!$B1567)+1,20))+1,20))),"")))</f>
        <v/>
      </c>
      <c r="F1564">
        <f>IF($A1564="","",IF(OR($C1564="",$D1564="",$E1564="",$C1564&lt;1300,$C1564&gt;1500,$D1564&lt;1,$D1564&gt;12,$E1564&lt;1,$E1564&gt;31),"نامعتبر",RIGHT("0000"&amp;$C1564,4)&amp;"/"&amp;RIGHT("00"&amp;$D1564,2)&amp;"/"&amp;RIGHT("00"&amp;$E1564,2)))</f>
        <v/>
      </c>
      <c r="G1564">
        <f>IF(OR($A1564="",$F1564="",$F1564="نامعتبر"),"",LEFT($F1564,4)&amp;MID($F1564,6,2)&amp;RIGHT($F1564,2)&amp;"0000"&amp;"|"&amp;"1"&amp;RIGHT("00000"&amp;1559,5))</f>
        <v/>
      </c>
      <c r="H1564">
        <f>IF(OR($B1564&lt;&gt;1,$G1564=""),"",COUNTIFS(LdAParty,$A1564,LdAType,1,LdAKey,"&lt;"&amp;$G1564)+COUNTIFS(LdBMember,$A1564,LdBKey,"&lt;"&amp;$G1564)+COUNTIFS(LdCParty,$A1564,LdCKey,"&lt;"&amp;$G1564)+1)</f>
        <v/>
      </c>
      <c r="I1564">
        <f>IF($H1564="","",$A1564&amp;"|"&amp;RIGHT("000000"&amp;$H1564,6))</f>
        <v/>
      </c>
      <c r="J1564">
        <f>IF(OR($B1564&lt;&gt;2,$G1564=""),"",COUNTIFS(LdAParty,$A1564,LdAType,2,LdAKey,"&lt;"&amp;$G1564)+1)</f>
        <v/>
      </c>
      <c r="K1564">
        <f>IF($J1564="","",$A1564&amp;"|"&amp;RIGHT("000000"&amp;$J1564,6))</f>
        <v/>
      </c>
      <c r="L1564">
        <f>IF($A1564="","",IF(Wages!$G1567="",0,Wages!$G1567))</f>
        <v/>
      </c>
      <c r="M1564">
        <f>IF($A1564="","",Wages!$J1567)</f>
        <v/>
      </c>
      <c r="N1564">
        <f>IF($A1564="","",Wages!$D1567)</f>
        <v/>
      </c>
      <c r="P1564">
        <f>IF(OR(Shares!$B1567="",Shares!$C1567=""),"",Shares!$C1567)</f>
        <v/>
      </c>
      <c r="Q1564">
        <f>IF($P1564="","",Shares!$B1567)</f>
        <v/>
      </c>
      <c r="R1564">
        <f>IF($P1564="","",IFERROR(INDEX(WageParty,MATCH($Q1564,WageIds,0)),""))</f>
        <v/>
      </c>
      <c r="S1564">
        <f>IF($P1564="","",IFERROR(INDEX($F$6:$F$2005,MATCH($Q1564,WageIds,0)),""))</f>
        <v/>
      </c>
      <c r="T1564">
        <f>IF(OR($P1564="",$S1564="",$S1564="نامعتبر"),"",LEFT($S1564,4)&amp;MID($S1564,6,2)&amp;RIGHT($S1564,2)&amp;"0000"&amp;"|"&amp;"2"&amp;RIGHT("00000"&amp;1559,5))</f>
        <v/>
      </c>
      <c r="U1564">
        <f>IF($T1564="","",COUNTIFS(LdAParty,$P1564,LdAType,1,LdAKey,"&lt;"&amp;$T1564)+COUNTIFS(LdBMember,$P1564,LdBKey,"&lt;"&amp;$T1564)+COUNTIFS(LdCParty,$P1564,LdCKey,"&lt;"&amp;$T1564)+1)</f>
        <v/>
      </c>
      <c r="V1564">
        <f>IF($U1564="","",$P1564&amp;"|"&amp;RIGHT("000000"&amp;$U1564,6))</f>
        <v/>
      </c>
      <c r="W1564">
        <f>IF($T1564="","",COUNTIFS(LdBGroup,$R1564,LdBKey,"&lt;"&amp;$T1564)+1)</f>
        <v/>
      </c>
      <c r="X1564">
        <f>IF($W1564="","",$R1564&amp;"|"&amp;RIGHT("000000"&amp;$W1564,6))</f>
        <v/>
      </c>
      <c r="Y1564">
        <f>IF($P1564="","",IF(Shares!$E1567="",0,Shares!$E1567))</f>
        <v/>
      </c>
      <c r="Z1564">
        <f>IF($P1564="","",Shares!$H1567)</f>
        <v/>
      </c>
      <c r="AE1564">
        <f>IF(OR(Sync!$S1564="",Sync!$P1564=""),"",Sync!$S1564)</f>
        <v/>
      </c>
      <c r="AF1564">
        <f>IF($AE1564="","",IF(ISNUMBER(Sync!$P1564),IF(AND(Sync!$P1564&gt;=10000101,Sync!$P1564&lt;=99991231),INT(Sync!$P1564/10000),""),IFERROR(VALUE(TRIM(LEFT(Sync!$P1564,FIND("/",Sync!$P1564)-1))),"")))</f>
        <v/>
      </c>
      <c r="AG1564">
        <f>IF(OR($AE1564="",$AF1564=""),"",IF(ISNUMBER(Sync!$P1564),INT(MOD(Sync!$P1564,10000)/100),IFERROR(VALUE(TRIM(LEFT(MID(Sync!$P1564,FIND("/",Sync!$P1564)+1,20),FIND("/",MID(Sync!$P1564,FIND("/",Sync!$P1564)+1,20))-1))),"")))</f>
        <v/>
      </c>
      <c r="AH1564">
        <f>IF(OR($AE1564="",$AF1564=""),"",IF(ISNUMBER(Sync!$P1564),MOD(Sync!$P1564,100),IFERROR(VALUE(TRIM(MID(MID(Sync!$P1564,FIND("/",Sync!$P1564)+1,20),FIND("/",MID(Sync!$P1564,FIND("/",Sync!$P1564)+1,20))+1,20))),"")))</f>
        <v/>
      </c>
      <c r="AI1564">
        <f>IF($AE1564="","",IF(OR($AF1564="",$AG1564="",$AH1564="",$AF1564&lt;1300,$AF1564&gt;1500,$AG1564&lt;1,$AG1564&gt;12,$AH1564&lt;1,$AH1564&gt;31),"نامعتبر",RIGHT("0000"&amp;$AF1564,4)&amp;"/"&amp;RIGHT("00"&amp;$AG1564,2)&amp;"/"&amp;RIGHT("00"&amp;$AH1564,2)))</f>
        <v/>
      </c>
      <c r="AJ1564">
        <f>IF($AE1564="","",IF(Sync!$Q1564="","0000",IF(AND(ISNUMBER(Sync!$Q1564),Sync!$Q1564&gt;=0,Sync!$Q1564&lt;1),RIGHT("00"&amp;HOUR(Sync!$Q1564),2)&amp;RIGHT("00"&amp;MINUTE(Sync!$Q1564),2),IFERROR(RIGHT("00"&amp;VALUE(LEFT(Sync!$Q1564,FIND(":",Sync!$Q1564)-1)),2)&amp;RIGHT("00"&amp;VALUE(MID(Sync!$Q1564,FIND(":",Sync!$Q1564)+1,2)),2),"0000"))))</f>
        <v/>
      </c>
      <c r="AK1564">
        <f>IF(OR($AE1564="",$AI1564="",$AI1564="نامعتبر"),"",LEFT($AI1564,4)&amp;MID($AI1564,6,2)&amp;RIGHT($AI1564,2)&amp;$AJ1564&amp;"|"&amp;"3"&amp;RIGHT("00000"&amp;1559,5))</f>
        <v/>
      </c>
      <c r="AL1564">
        <f>IF($AK1564="","",COUNTIFS(LdAParty,$AE1564,LdAType,1,LdAKey,"&lt;"&amp;$AK1564)+COUNTIFS(LdBMember,$AE1564,LdBKey,"&lt;"&amp;$AK1564)+COUNTIFS(LdCParty,$AE1564,LdCKey,"&lt;"&amp;$AK1564)+1)</f>
        <v/>
      </c>
      <c r="AM1564">
        <f>IF($AL1564="","",$AE1564&amp;"|"&amp;RIGHT("000000"&amp;$AL1564,6))</f>
        <v/>
      </c>
      <c r="AN1564">
        <f>IF($AE1564="","",IF(Sync!$W1564="",0,Sync!$W1564))</f>
        <v/>
      </c>
      <c r="AO1564">
        <f>IF($AE1564="","",IF(Sync!$X1564="",0,Sync!$X1564))</f>
        <v/>
      </c>
      <c r="AP1564">
        <f>IF($AE1564="","",Sync!$R1564)</f>
        <v/>
      </c>
      <c r="AQ1564">
        <f>IF($AE1564="","",Sync!$Y1564)</f>
        <v/>
      </c>
    </row>
    <row r="1565">
      <c r="A1565">
        <f>IF(OR(Wages!$B1568="",Wages!$E1568=""),"",Wages!$E1568)</f>
        <v/>
      </c>
      <c r="B1565">
        <f>IF($A1565="","",IF(Wages!$C1568="دستمزد گروهی",2,1))</f>
        <v/>
      </c>
      <c r="C1565">
        <f>IF($A1565="","",IF(ISNUMBER(Wages!$B1568),IF(AND(Wages!$B1568&gt;=10000101,Wages!$B1568&lt;=99991231),INT(Wages!$B1568/10000),""),IFERROR(VALUE(TRIM(LEFT(Wages!$B1568,FIND("/",Wages!$B1568)-1))),"")))</f>
        <v/>
      </c>
      <c r="D1565">
        <f>IF(OR($A1565="",$C1565=""),"",IF(ISNUMBER(Wages!$B1568),INT(MOD(Wages!$B1568,10000)/100),IFERROR(VALUE(TRIM(LEFT(MID(Wages!$B1568,FIND("/",Wages!$B1568)+1,20),FIND("/",MID(Wages!$B1568,FIND("/",Wages!$B1568)+1,20))-1))),"")))</f>
        <v/>
      </c>
      <c r="E1565">
        <f>IF(OR($A1565="",$C1565=""),"",IF(ISNUMBER(Wages!$B1568),MOD(Wages!$B1568,100),IFERROR(VALUE(TRIM(MID(MID(Wages!$B1568,FIND("/",Wages!$B1568)+1,20),FIND("/",MID(Wages!$B1568,FIND("/",Wages!$B1568)+1,20))+1,20))),"")))</f>
        <v/>
      </c>
      <c r="F1565">
        <f>IF($A1565="","",IF(OR($C1565="",$D1565="",$E1565="",$C1565&lt;1300,$C1565&gt;1500,$D1565&lt;1,$D1565&gt;12,$E1565&lt;1,$E1565&gt;31),"نامعتبر",RIGHT("0000"&amp;$C1565,4)&amp;"/"&amp;RIGHT("00"&amp;$D1565,2)&amp;"/"&amp;RIGHT("00"&amp;$E1565,2)))</f>
        <v/>
      </c>
      <c r="G1565">
        <f>IF(OR($A1565="",$F1565="",$F1565="نامعتبر"),"",LEFT($F1565,4)&amp;MID($F1565,6,2)&amp;RIGHT($F1565,2)&amp;"0000"&amp;"|"&amp;"1"&amp;RIGHT("00000"&amp;1560,5))</f>
        <v/>
      </c>
      <c r="H1565">
        <f>IF(OR($B1565&lt;&gt;1,$G1565=""),"",COUNTIFS(LdAParty,$A1565,LdAType,1,LdAKey,"&lt;"&amp;$G1565)+COUNTIFS(LdBMember,$A1565,LdBKey,"&lt;"&amp;$G1565)+COUNTIFS(LdCParty,$A1565,LdCKey,"&lt;"&amp;$G1565)+1)</f>
        <v/>
      </c>
      <c r="I1565">
        <f>IF($H1565="","",$A1565&amp;"|"&amp;RIGHT("000000"&amp;$H1565,6))</f>
        <v/>
      </c>
      <c r="J1565">
        <f>IF(OR($B1565&lt;&gt;2,$G1565=""),"",COUNTIFS(LdAParty,$A1565,LdAType,2,LdAKey,"&lt;"&amp;$G1565)+1)</f>
        <v/>
      </c>
      <c r="K1565">
        <f>IF($J1565="","",$A1565&amp;"|"&amp;RIGHT("000000"&amp;$J1565,6))</f>
        <v/>
      </c>
      <c r="L1565">
        <f>IF($A1565="","",IF(Wages!$G1568="",0,Wages!$G1568))</f>
        <v/>
      </c>
      <c r="M1565">
        <f>IF($A1565="","",Wages!$J1568)</f>
        <v/>
      </c>
      <c r="N1565">
        <f>IF($A1565="","",Wages!$D1568)</f>
        <v/>
      </c>
      <c r="P1565">
        <f>IF(OR(Shares!$B1568="",Shares!$C1568=""),"",Shares!$C1568)</f>
        <v/>
      </c>
      <c r="Q1565">
        <f>IF($P1565="","",Shares!$B1568)</f>
        <v/>
      </c>
      <c r="R1565">
        <f>IF($P1565="","",IFERROR(INDEX(WageParty,MATCH($Q1565,WageIds,0)),""))</f>
        <v/>
      </c>
      <c r="S1565">
        <f>IF($P1565="","",IFERROR(INDEX($F$6:$F$2005,MATCH($Q1565,WageIds,0)),""))</f>
        <v/>
      </c>
      <c r="T1565">
        <f>IF(OR($P1565="",$S1565="",$S1565="نامعتبر"),"",LEFT($S1565,4)&amp;MID($S1565,6,2)&amp;RIGHT($S1565,2)&amp;"0000"&amp;"|"&amp;"2"&amp;RIGHT("00000"&amp;1560,5))</f>
        <v/>
      </c>
      <c r="U1565">
        <f>IF($T1565="","",COUNTIFS(LdAParty,$P1565,LdAType,1,LdAKey,"&lt;"&amp;$T1565)+COUNTIFS(LdBMember,$P1565,LdBKey,"&lt;"&amp;$T1565)+COUNTIFS(LdCParty,$P1565,LdCKey,"&lt;"&amp;$T1565)+1)</f>
        <v/>
      </c>
      <c r="V1565">
        <f>IF($U1565="","",$P1565&amp;"|"&amp;RIGHT("000000"&amp;$U1565,6))</f>
        <v/>
      </c>
      <c r="W1565">
        <f>IF($T1565="","",COUNTIFS(LdBGroup,$R1565,LdBKey,"&lt;"&amp;$T1565)+1)</f>
        <v/>
      </c>
      <c r="X1565">
        <f>IF($W1565="","",$R1565&amp;"|"&amp;RIGHT("000000"&amp;$W1565,6))</f>
        <v/>
      </c>
      <c r="Y1565">
        <f>IF($P1565="","",IF(Shares!$E1568="",0,Shares!$E1568))</f>
        <v/>
      </c>
      <c r="Z1565">
        <f>IF($P1565="","",Shares!$H1568)</f>
        <v/>
      </c>
      <c r="AE1565">
        <f>IF(OR(Sync!$S1565="",Sync!$P1565=""),"",Sync!$S1565)</f>
        <v/>
      </c>
      <c r="AF1565">
        <f>IF($AE1565="","",IF(ISNUMBER(Sync!$P1565),IF(AND(Sync!$P1565&gt;=10000101,Sync!$P1565&lt;=99991231),INT(Sync!$P1565/10000),""),IFERROR(VALUE(TRIM(LEFT(Sync!$P1565,FIND("/",Sync!$P1565)-1))),"")))</f>
        <v/>
      </c>
      <c r="AG1565">
        <f>IF(OR($AE1565="",$AF1565=""),"",IF(ISNUMBER(Sync!$P1565),INT(MOD(Sync!$P1565,10000)/100),IFERROR(VALUE(TRIM(LEFT(MID(Sync!$P1565,FIND("/",Sync!$P1565)+1,20),FIND("/",MID(Sync!$P1565,FIND("/",Sync!$P1565)+1,20))-1))),"")))</f>
        <v/>
      </c>
      <c r="AH1565">
        <f>IF(OR($AE1565="",$AF1565=""),"",IF(ISNUMBER(Sync!$P1565),MOD(Sync!$P1565,100),IFERROR(VALUE(TRIM(MID(MID(Sync!$P1565,FIND("/",Sync!$P1565)+1,20),FIND("/",MID(Sync!$P1565,FIND("/",Sync!$P1565)+1,20))+1,20))),"")))</f>
        <v/>
      </c>
      <c r="AI1565">
        <f>IF($AE1565="","",IF(OR($AF1565="",$AG1565="",$AH1565="",$AF1565&lt;1300,$AF1565&gt;1500,$AG1565&lt;1,$AG1565&gt;12,$AH1565&lt;1,$AH1565&gt;31),"نامعتبر",RIGHT("0000"&amp;$AF1565,4)&amp;"/"&amp;RIGHT("00"&amp;$AG1565,2)&amp;"/"&amp;RIGHT("00"&amp;$AH1565,2)))</f>
        <v/>
      </c>
      <c r="AJ1565">
        <f>IF($AE1565="","",IF(Sync!$Q1565="","0000",IF(AND(ISNUMBER(Sync!$Q1565),Sync!$Q1565&gt;=0,Sync!$Q1565&lt;1),RIGHT("00"&amp;HOUR(Sync!$Q1565),2)&amp;RIGHT("00"&amp;MINUTE(Sync!$Q1565),2),IFERROR(RIGHT("00"&amp;VALUE(LEFT(Sync!$Q1565,FIND(":",Sync!$Q1565)-1)),2)&amp;RIGHT("00"&amp;VALUE(MID(Sync!$Q1565,FIND(":",Sync!$Q1565)+1,2)),2),"0000"))))</f>
        <v/>
      </c>
      <c r="AK1565">
        <f>IF(OR($AE1565="",$AI1565="",$AI1565="نامعتبر"),"",LEFT($AI1565,4)&amp;MID($AI1565,6,2)&amp;RIGHT($AI1565,2)&amp;$AJ1565&amp;"|"&amp;"3"&amp;RIGHT("00000"&amp;1560,5))</f>
        <v/>
      </c>
      <c r="AL1565">
        <f>IF($AK1565="","",COUNTIFS(LdAParty,$AE1565,LdAType,1,LdAKey,"&lt;"&amp;$AK1565)+COUNTIFS(LdBMember,$AE1565,LdBKey,"&lt;"&amp;$AK1565)+COUNTIFS(LdCParty,$AE1565,LdCKey,"&lt;"&amp;$AK1565)+1)</f>
        <v/>
      </c>
      <c r="AM1565">
        <f>IF($AL1565="","",$AE1565&amp;"|"&amp;RIGHT("000000"&amp;$AL1565,6))</f>
        <v/>
      </c>
      <c r="AN1565">
        <f>IF($AE1565="","",IF(Sync!$W1565="",0,Sync!$W1565))</f>
        <v/>
      </c>
      <c r="AO1565">
        <f>IF($AE1565="","",IF(Sync!$X1565="",0,Sync!$X1565))</f>
        <v/>
      </c>
      <c r="AP1565">
        <f>IF($AE1565="","",Sync!$R1565)</f>
        <v/>
      </c>
      <c r="AQ1565">
        <f>IF($AE1565="","",Sync!$Y1565)</f>
        <v/>
      </c>
    </row>
    <row r="1566">
      <c r="A1566">
        <f>IF(OR(Wages!$B1569="",Wages!$E1569=""),"",Wages!$E1569)</f>
        <v/>
      </c>
      <c r="B1566">
        <f>IF($A1566="","",IF(Wages!$C1569="دستمزد گروهی",2,1))</f>
        <v/>
      </c>
      <c r="C1566">
        <f>IF($A1566="","",IF(ISNUMBER(Wages!$B1569),IF(AND(Wages!$B1569&gt;=10000101,Wages!$B1569&lt;=99991231),INT(Wages!$B1569/10000),""),IFERROR(VALUE(TRIM(LEFT(Wages!$B1569,FIND("/",Wages!$B1569)-1))),"")))</f>
        <v/>
      </c>
      <c r="D1566">
        <f>IF(OR($A1566="",$C1566=""),"",IF(ISNUMBER(Wages!$B1569),INT(MOD(Wages!$B1569,10000)/100),IFERROR(VALUE(TRIM(LEFT(MID(Wages!$B1569,FIND("/",Wages!$B1569)+1,20),FIND("/",MID(Wages!$B1569,FIND("/",Wages!$B1569)+1,20))-1))),"")))</f>
        <v/>
      </c>
      <c r="E1566">
        <f>IF(OR($A1566="",$C1566=""),"",IF(ISNUMBER(Wages!$B1569),MOD(Wages!$B1569,100),IFERROR(VALUE(TRIM(MID(MID(Wages!$B1569,FIND("/",Wages!$B1569)+1,20),FIND("/",MID(Wages!$B1569,FIND("/",Wages!$B1569)+1,20))+1,20))),"")))</f>
        <v/>
      </c>
      <c r="F1566">
        <f>IF($A1566="","",IF(OR($C1566="",$D1566="",$E1566="",$C1566&lt;1300,$C1566&gt;1500,$D1566&lt;1,$D1566&gt;12,$E1566&lt;1,$E1566&gt;31),"نامعتبر",RIGHT("0000"&amp;$C1566,4)&amp;"/"&amp;RIGHT("00"&amp;$D1566,2)&amp;"/"&amp;RIGHT("00"&amp;$E1566,2)))</f>
        <v/>
      </c>
      <c r="G1566">
        <f>IF(OR($A1566="",$F1566="",$F1566="نامعتبر"),"",LEFT($F1566,4)&amp;MID($F1566,6,2)&amp;RIGHT($F1566,2)&amp;"0000"&amp;"|"&amp;"1"&amp;RIGHT("00000"&amp;1561,5))</f>
        <v/>
      </c>
      <c r="H1566">
        <f>IF(OR($B1566&lt;&gt;1,$G1566=""),"",COUNTIFS(LdAParty,$A1566,LdAType,1,LdAKey,"&lt;"&amp;$G1566)+COUNTIFS(LdBMember,$A1566,LdBKey,"&lt;"&amp;$G1566)+COUNTIFS(LdCParty,$A1566,LdCKey,"&lt;"&amp;$G1566)+1)</f>
        <v/>
      </c>
      <c r="I1566">
        <f>IF($H1566="","",$A1566&amp;"|"&amp;RIGHT("000000"&amp;$H1566,6))</f>
        <v/>
      </c>
      <c r="J1566">
        <f>IF(OR($B1566&lt;&gt;2,$G1566=""),"",COUNTIFS(LdAParty,$A1566,LdAType,2,LdAKey,"&lt;"&amp;$G1566)+1)</f>
        <v/>
      </c>
      <c r="K1566">
        <f>IF($J1566="","",$A1566&amp;"|"&amp;RIGHT("000000"&amp;$J1566,6))</f>
        <v/>
      </c>
      <c r="L1566">
        <f>IF($A1566="","",IF(Wages!$G1569="",0,Wages!$G1569))</f>
        <v/>
      </c>
      <c r="M1566">
        <f>IF($A1566="","",Wages!$J1569)</f>
        <v/>
      </c>
      <c r="N1566">
        <f>IF($A1566="","",Wages!$D1569)</f>
        <v/>
      </c>
      <c r="P1566">
        <f>IF(OR(Shares!$B1569="",Shares!$C1569=""),"",Shares!$C1569)</f>
        <v/>
      </c>
      <c r="Q1566">
        <f>IF($P1566="","",Shares!$B1569)</f>
        <v/>
      </c>
      <c r="R1566">
        <f>IF($P1566="","",IFERROR(INDEX(WageParty,MATCH($Q1566,WageIds,0)),""))</f>
        <v/>
      </c>
      <c r="S1566">
        <f>IF($P1566="","",IFERROR(INDEX($F$6:$F$2005,MATCH($Q1566,WageIds,0)),""))</f>
        <v/>
      </c>
      <c r="T1566">
        <f>IF(OR($P1566="",$S1566="",$S1566="نامعتبر"),"",LEFT($S1566,4)&amp;MID($S1566,6,2)&amp;RIGHT($S1566,2)&amp;"0000"&amp;"|"&amp;"2"&amp;RIGHT("00000"&amp;1561,5))</f>
        <v/>
      </c>
      <c r="U1566">
        <f>IF($T1566="","",COUNTIFS(LdAParty,$P1566,LdAType,1,LdAKey,"&lt;"&amp;$T1566)+COUNTIFS(LdBMember,$P1566,LdBKey,"&lt;"&amp;$T1566)+COUNTIFS(LdCParty,$P1566,LdCKey,"&lt;"&amp;$T1566)+1)</f>
        <v/>
      </c>
      <c r="V1566">
        <f>IF($U1566="","",$P1566&amp;"|"&amp;RIGHT("000000"&amp;$U1566,6))</f>
        <v/>
      </c>
      <c r="W1566">
        <f>IF($T1566="","",COUNTIFS(LdBGroup,$R1566,LdBKey,"&lt;"&amp;$T1566)+1)</f>
        <v/>
      </c>
      <c r="X1566">
        <f>IF($W1566="","",$R1566&amp;"|"&amp;RIGHT("000000"&amp;$W1566,6))</f>
        <v/>
      </c>
      <c r="Y1566">
        <f>IF($P1566="","",IF(Shares!$E1569="",0,Shares!$E1569))</f>
        <v/>
      </c>
      <c r="Z1566">
        <f>IF($P1566="","",Shares!$H1569)</f>
        <v/>
      </c>
      <c r="AE1566">
        <f>IF(OR(Sync!$S1566="",Sync!$P1566=""),"",Sync!$S1566)</f>
        <v/>
      </c>
      <c r="AF1566">
        <f>IF($AE1566="","",IF(ISNUMBER(Sync!$P1566),IF(AND(Sync!$P1566&gt;=10000101,Sync!$P1566&lt;=99991231),INT(Sync!$P1566/10000),""),IFERROR(VALUE(TRIM(LEFT(Sync!$P1566,FIND("/",Sync!$P1566)-1))),"")))</f>
        <v/>
      </c>
      <c r="AG1566">
        <f>IF(OR($AE1566="",$AF1566=""),"",IF(ISNUMBER(Sync!$P1566),INT(MOD(Sync!$P1566,10000)/100),IFERROR(VALUE(TRIM(LEFT(MID(Sync!$P1566,FIND("/",Sync!$P1566)+1,20),FIND("/",MID(Sync!$P1566,FIND("/",Sync!$P1566)+1,20))-1))),"")))</f>
        <v/>
      </c>
      <c r="AH1566">
        <f>IF(OR($AE1566="",$AF1566=""),"",IF(ISNUMBER(Sync!$P1566),MOD(Sync!$P1566,100),IFERROR(VALUE(TRIM(MID(MID(Sync!$P1566,FIND("/",Sync!$P1566)+1,20),FIND("/",MID(Sync!$P1566,FIND("/",Sync!$P1566)+1,20))+1,20))),"")))</f>
        <v/>
      </c>
      <c r="AI1566">
        <f>IF($AE1566="","",IF(OR($AF1566="",$AG1566="",$AH1566="",$AF1566&lt;1300,$AF1566&gt;1500,$AG1566&lt;1,$AG1566&gt;12,$AH1566&lt;1,$AH1566&gt;31),"نامعتبر",RIGHT("0000"&amp;$AF1566,4)&amp;"/"&amp;RIGHT("00"&amp;$AG1566,2)&amp;"/"&amp;RIGHT("00"&amp;$AH1566,2)))</f>
        <v/>
      </c>
      <c r="AJ1566">
        <f>IF($AE1566="","",IF(Sync!$Q1566="","0000",IF(AND(ISNUMBER(Sync!$Q1566),Sync!$Q1566&gt;=0,Sync!$Q1566&lt;1),RIGHT("00"&amp;HOUR(Sync!$Q1566),2)&amp;RIGHT("00"&amp;MINUTE(Sync!$Q1566),2),IFERROR(RIGHT("00"&amp;VALUE(LEFT(Sync!$Q1566,FIND(":",Sync!$Q1566)-1)),2)&amp;RIGHT("00"&amp;VALUE(MID(Sync!$Q1566,FIND(":",Sync!$Q1566)+1,2)),2),"0000"))))</f>
        <v/>
      </c>
      <c r="AK1566">
        <f>IF(OR($AE1566="",$AI1566="",$AI1566="نامعتبر"),"",LEFT($AI1566,4)&amp;MID($AI1566,6,2)&amp;RIGHT($AI1566,2)&amp;$AJ1566&amp;"|"&amp;"3"&amp;RIGHT("00000"&amp;1561,5))</f>
        <v/>
      </c>
      <c r="AL1566">
        <f>IF($AK1566="","",COUNTIFS(LdAParty,$AE1566,LdAType,1,LdAKey,"&lt;"&amp;$AK1566)+COUNTIFS(LdBMember,$AE1566,LdBKey,"&lt;"&amp;$AK1566)+COUNTIFS(LdCParty,$AE1566,LdCKey,"&lt;"&amp;$AK1566)+1)</f>
        <v/>
      </c>
      <c r="AM1566">
        <f>IF($AL1566="","",$AE1566&amp;"|"&amp;RIGHT("000000"&amp;$AL1566,6))</f>
        <v/>
      </c>
      <c r="AN1566">
        <f>IF($AE1566="","",IF(Sync!$W1566="",0,Sync!$W1566))</f>
        <v/>
      </c>
      <c r="AO1566">
        <f>IF($AE1566="","",IF(Sync!$X1566="",0,Sync!$X1566))</f>
        <v/>
      </c>
      <c r="AP1566">
        <f>IF($AE1566="","",Sync!$R1566)</f>
        <v/>
      </c>
      <c r="AQ1566">
        <f>IF($AE1566="","",Sync!$Y1566)</f>
        <v/>
      </c>
    </row>
    <row r="1567">
      <c r="A1567">
        <f>IF(OR(Wages!$B1570="",Wages!$E1570=""),"",Wages!$E1570)</f>
        <v/>
      </c>
      <c r="B1567">
        <f>IF($A1567="","",IF(Wages!$C1570="دستمزد گروهی",2,1))</f>
        <v/>
      </c>
      <c r="C1567">
        <f>IF($A1567="","",IF(ISNUMBER(Wages!$B1570),IF(AND(Wages!$B1570&gt;=10000101,Wages!$B1570&lt;=99991231),INT(Wages!$B1570/10000),""),IFERROR(VALUE(TRIM(LEFT(Wages!$B1570,FIND("/",Wages!$B1570)-1))),"")))</f>
        <v/>
      </c>
      <c r="D1567">
        <f>IF(OR($A1567="",$C1567=""),"",IF(ISNUMBER(Wages!$B1570),INT(MOD(Wages!$B1570,10000)/100),IFERROR(VALUE(TRIM(LEFT(MID(Wages!$B1570,FIND("/",Wages!$B1570)+1,20),FIND("/",MID(Wages!$B1570,FIND("/",Wages!$B1570)+1,20))-1))),"")))</f>
        <v/>
      </c>
      <c r="E1567">
        <f>IF(OR($A1567="",$C1567=""),"",IF(ISNUMBER(Wages!$B1570),MOD(Wages!$B1570,100),IFERROR(VALUE(TRIM(MID(MID(Wages!$B1570,FIND("/",Wages!$B1570)+1,20),FIND("/",MID(Wages!$B1570,FIND("/",Wages!$B1570)+1,20))+1,20))),"")))</f>
        <v/>
      </c>
      <c r="F1567">
        <f>IF($A1567="","",IF(OR($C1567="",$D1567="",$E1567="",$C1567&lt;1300,$C1567&gt;1500,$D1567&lt;1,$D1567&gt;12,$E1567&lt;1,$E1567&gt;31),"نامعتبر",RIGHT("0000"&amp;$C1567,4)&amp;"/"&amp;RIGHT("00"&amp;$D1567,2)&amp;"/"&amp;RIGHT("00"&amp;$E1567,2)))</f>
        <v/>
      </c>
      <c r="G1567">
        <f>IF(OR($A1567="",$F1567="",$F1567="نامعتبر"),"",LEFT($F1567,4)&amp;MID($F1567,6,2)&amp;RIGHT($F1567,2)&amp;"0000"&amp;"|"&amp;"1"&amp;RIGHT("00000"&amp;1562,5))</f>
        <v/>
      </c>
      <c r="H1567">
        <f>IF(OR($B1567&lt;&gt;1,$G1567=""),"",COUNTIFS(LdAParty,$A1567,LdAType,1,LdAKey,"&lt;"&amp;$G1567)+COUNTIFS(LdBMember,$A1567,LdBKey,"&lt;"&amp;$G1567)+COUNTIFS(LdCParty,$A1567,LdCKey,"&lt;"&amp;$G1567)+1)</f>
        <v/>
      </c>
      <c r="I1567">
        <f>IF($H1567="","",$A1567&amp;"|"&amp;RIGHT("000000"&amp;$H1567,6))</f>
        <v/>
      </c>
      <c r="J1567">
        <f>IF(OR($B1567&lt;&gt;2,$G1567=""),"",COUNTIFS(LdAParty,$A1567,LdAType,2,LdAKey,"&lt;"&amp;$G1567)+1)</f>
        <v/>
      </c>
      <c r="K1567">
        <f>IF($J1567="","",$A1567&amp;"|"&amp;RIGHT("000000"&amp;$J1567,6))</f>
        <v/>
      </c>
      <c r="L1567">
        <f>IF($A1567="","",IF(Wages!$G1570="",0,Wages!$G1570))</f>
        <v/>
      </c>
      <c r="M1567">
        <f>IF($A1567="","",Wages!$J1570)</f>
        <v/>
      </c>
      <c r="N1567">
        <f>IF($A1567="","",Wages!$D1570)</f>
        <v/>
      </c>
      <c r="P1567">
        <f>IF(OR(Shares!$B1570="",Shares!$C1570=""),"",Shares!$C1570)</f>
        <v/>
      </c>
      <c r="Q1567">
        <f>IF($P1567="","",Shares!$B1570)</f>
        <v/>
      </c>
      <c r="R1567">
        <f>IF($P1567="","",IFERROR(INDEX(WageParty,MATCH($Q1567,WageIds,0)),""))</f>
        <v/>
      </c>
      <c r="S1567">
        <f>IF($P1567="","",IFERROR(INDEX($F$6:$F$2005,MATCH($Q1567,WageIds,0)),""))</f>
        <v/>
      </c>
      <c r="T1567">
        <f>IF(OR($P1567="",$S1567="",$S1567="نامعتبر"),"",LEFT($S1567,4)&amp;MID($S1567,6,2)&amp;RIGHT($S1567,2)&amp;"0000"&amp;"|"&amp;"2"&amp;RIGHT("00000"&amp;1562,5))</f>
        <v/>
      </c>
      <c r="U1567">
        <f>IF($T1567="","",COUNTIFS(LdAParty,$P1567,LdAType,1,LdAKey,"&lt;"&amp;$T1567)+COUNTIFS(LdBMember,$P1567,LdBKey,"&lt;"&amp;$T1567)+COUNTIFS(LdCParty,$P1567,LdCKey,"&lt;"&amp;$T1567)+1)</f>
        <v/>
      </c>
      <c r="V1567">
        <f>IF($U1567="","",$P1567&amp;"|"&amp;RIGHT("000000"&amp;$U1567,6))</f>
        <v/>
      </c>
      <c r="W1567">
        <f>IF($T1567="","",COUNTIFS(LdBGroup,$R1567,LdBKey,"&lt;"&amp;$T1567)+1)</f>
        <v/>
      </c>
      <c r="X1567">
        <f>IF($W1567="","",$R1567&amp;"|"&amp;RIGHT("000000"&amp;$W1567,6))</f>
        <v/>
      </c>
      <c r="Y1567">
        <f>IF($P1567="","",IF(Shares!$E1570="",0,Shares!$E1570))</f>
        <v/>
      </c>
      <c r="Z1567">
        <f>IF($P1567="","",Shares!$H1570)</f>
        <v/>
      </c>
      <c r="AE1567">
        <f>IF(OR(Sync!$S1567="",Sync!$P1567=""),"",Sync!$S1567)</f>
        <v/>
      </c>
      <c r="AF1567">
        <f>IF($AE1567="","",IF(ISNUMBER(Sync!$P1567),IF(AND(Sync!$P1567&gt;=10000101,Sync!$P1567&lt;=99991231),INT(Sync!$P1567/10000),""),IFERROR(VALUE(TRIM(LEFT(Sync!$P1567,FIND("/",Sync!$P1567)-1))),"")))</f>
        <v/>
      </c>
      <c r="AG1567">
        <f>IF(OR($AE1567="",$AF1567=""),"",IF(ISNUMBER(Sync!$P1567),INT(MOD(Sync!$P1567,10000)/100),IFERROR(VALUE(TRIM(LEFT(MID(Sync!$P1567,FIND("/",Sync!$P1567)+1,20),FIND("/",MID(Sync!$P1567,FIND("/",Sync!$P1567)+1,20))-1))),"")))</f>
        <v/>
      </c>
      <c r="AH1567">
        <f>IF(OR($AE1567="",$AF1567=""),"",IF(ISNUMBER(Sync!$P1567),MOD(Sync!$P1567,100),IFERROR(VALUE(TRIM(MID(MID(Sync!$P1567,FIND("/",Sync!$P1567)+1,20),FIND("/",MID(Sync!$P1567,FIND("/",Sync!$P1567)+1,20))+1,20))),"")))</f>
        <v/>
      </c>
      <c r="AI1567">
        <f>IF($AE1567="","",IF(OR($AF1567="",$AG1567="",$AH1567="",$AF1567&lt;1300,$AF1567&gt;1500,$AG1567&lt;1,$AG1567&gt;12,$AH1567&lt;1,$AH1567&gt;31),"نامعتبر",RIGHT("0000"&amp;$AF1567,4)&amp;"/"&amp;RIGHT("00"&amp;$AG1567,2)&amp;"/"&amp;RIGHT("00"&amp;$AH1567,2)))</f>
        <v/>
      </c>
      <c r="AJ1567">
        <f>IF($AE1567="","",IF(Sync!$Q1567="","0000",IF(AND(ISNUMBER(Sync!$Q1567),Sync!$Q1567&gt;=0,Sync!$Q1567&lt;1),RIGHT("00"&amp;HOUR(Sync!$Q1567),2)&amp;RIGHT("00"&amp;MINUTE(Sync!$Q1567),2),IFERROR(RIGHT("00"&amp;VALUE(LEFT(Sync!$Q1567,FIND(":",Sync!$Q1567)-1)),2)&amp;RIGHT("00"&amp;VALUE(MID(Sync!$Q1567,FIND(":",Sync!$Q1567)+1,2)),2),"0000"))))</f>
        <v/>
      </c>
      <c r="AK1567">
        <f>IF(OR($AE1567="",$AI1567="",$AI1567="نامعتبر"),"",LEFT($AI1567,4)&amp;MID($AI1567,6,2)&amp;RIGHT($AI1567,2)&amp;$AJ1567&amp;"|"&amp;"3"&amp;RIGHT("00000"&amp;1562,5))</f>
        <v/>
      </c>
      <c r="AL1567">
        <f>IF($AK1567="","",COUNTIFS(LdAParty,$AE1567,LdAType,1,LdAKey,"&lt;"&amp;$AK1567)+COUNTIFS(LdBMember,$AE1567,LdBKey,"&lt;"&amp;$AK1567)+COUNTIFS(LdCParty,$AE1567,LdCKey,"&lt;"&amp;$AK1567)+1)</f>
        <v/>
      </c>
      <c r="AM1567">
        <f>IF($AL1567="","",$AE1567&amp;"|"&amp;RIGHT("000000"&amp;$AL1567,6))</f>
        <v/>
      </c>
      <c r="AN1567">
        <f>IF($AE1567="","",IF(Sync!$W1567="",0,Sync!$W1567))</f>
        <v/>
      </c>
      <c r="AO1567">
        <f>IF($AE1567="","",IF(Sync!$X1567="",0,Sync!$X1567))</f>
        <v/>
      </c>
      <c r="AP1567">
        <f>IF($AE1567="","",Sync!$R1567)</f>
        <v/>
      </c>
      <c r="AQ1567">
        <f>IF($AE1567="","",Sync!$Y1567)</f>
        <v/>
      </c>
    </row>
    <row r="1568">
      <c r="A1568">
        <f>IF(OR(Wages!$B1571="",Wages!$E1571=""),"",Wages!$E1571)</f>
        <v/>
      </c>
      <c r="B1568">
        <f>IF($A1568="","",IF(Wages!$C1571="دستمزد گروهی",2,1))</f>
        <v/>
      </c>
      <c r="C1568">
        <f>IF($A1568="","",IF(ISNUMBER(Wages!$B1571),IF(AND(Wages!$B1571&gt;=10000101,Wages!$B1571&lt;=99991231),INT(Wages!$B1571/10000),""),IFERROR(VALUE(TRIM(LEFT(Wages!$B1571,FIND("/",Wages!$B1571)-1))),"")))</f>
        <v/>
      </c>
      <c r="D1568">
        <f>IF(OR($A1568="",$C1568=""),"",IF(ISNUMBER(Wages!$B1571),INT(MOD(Wages!$B1571,10000)/100),IFERROR(VALUE(TRIM(LEFT(MID(Wages!$B1571,FIND("/",Wages!$B1571)+1,20),FIND("/",MID(Wages!$B1571,FIND("/",Wages!$B1571)+1,20))-1))),"")))</f>
        <v/>
      </c>
      <c r="E1568">
        <f>IF(OR($A1568="",$C1568=""),"",IF(ISNUMBER(Wages!$B1571),MOD(Wages!$B1571,100),IFERROR(VALUE(TRIM(MID(MID(Wages!$B1571,FIND("/",Wages!$B1571)+1,20),FIND("/",MID(Wages!$B1571,FIND("/",Wages!$B1571)+1,20))+1,20))),"")))</f>
        <v/>
      </c>
      <c r="F1568">
        <f>IF($A1568="","",IF(OR($C1568="",$D1568="",$E1568="",$C1568&lt;1300,$C1568&gt;1500,$D1568&lt;1,$D1568&gt;12,$E1568&lt;1,$E1568&gt;31),"نامعتبر",RIGHT("0000"&amp;$C1568,4)&amp;"/"&amp;RIGHT("00"&amp;$D1568,2)&amp;"/"&amp;RIGHT("00"&amp;$E1568,2)))</f>
        <v/>
      </c>
      <c r="G1568">
        <f>IF(OR($A1568="",$F1568="",$F1568="نامعتبر"),"",LEFT($F1568,4)&amp;MID($F1568,6,2)&amp;RIGHT($F1568,2)&amp;"0000"&amp;"|"&amp;"1"&amp;RIGHT("00000"&amp;1563,5))</f>
        <v/>
      </c>
      <c r="H1568">
        <f>IF(OR($B1568&lt;&gt;1,$G1568=""),"",COUNTIFS(LdAParty,$A1568,LdAType,1,LdAKey,"&lt;"&amp;$G1568)+COUNTIFS(LdBMember,$A1568,LdBKey,"&lt;"&amp;$G1568)+COUNTIFS(LdCParty,$A1568,LdCKey,"&lt;"&amp;$G1568)+1)</f>
        <v/>
      </c>
      <c r="I1568">
        <f>IF($H1568="","",$A1568&amp;"|"&amp;RIGHT("000000"&amp;$H1568,6))</f>
        <v/>
      </c>
      <c r="J1568">
        <f>IF(OR($B1568&lt;&gt;2,$G1568=""),"",COUNTIFS(LdAParty,$A1568,LdAType,2,LdAKey,"&lt;"&amp;$G1568)+1)</f>
        <v/>
      </c>
      <c r="K1568">
        <f>IF($J1568="","",$A1568&amp;"|"&amp;RIGHT("000000"&amp;$J1568,6))</f>
        <v/>
      </c>
      <c r="L1568">
        <f>IF($A1568="","",IF(Wages!$G1571="",0,Wages!$G1571))</f>
        <v/>
      </c>
      <c r="M1568">
        <f>IF($A1568="","",Wages!$J1571)</f>
        <v/>
      </c>
      <c r="N1568">
        <f>IF($A1568="","",Wages!$D1571)</f>
        <v/>
      </c>
      <c r="P1568">
        <f>IF(OR(Shares!$B1571="",Shares!$C1571=""),"",Shares!$C1571)</f>
        <v/>
      </c>
      <c r="Q1568">
        <f>IF($P1568="","",Shares!$B1571)</f>
        <v/>
      </c>
      <c r="R1568">
        <f>IF($P1568="","",IFERROR(INDEX(WageParty,MATCH($Q1568,WageIds,0)),""))</f>
        <v/>
      </c>
      <c r="S1568">
        <f>IF($P1568="","",IFERROR(INDEX($F$6:$F$2005,MATCH($Q1568,WageIds,0)),""))</f>
        <v/>
      </c>
      <c r="T1568">
        <f>IF(OR($P1568="",$S1568="",$S1568="نامعتبر"),"",LEFT($S1568,4)&amp;MID($S1568,6,2)&amp;RIGHT($S1568,2)&amp;"0000"&amp;"|"&amp;"2"&amp;RIGHT("00000"&amp;1563,5))</f>
        <v/>
      </c>
      <c r="U1568">
        <f>IF($T1568="","",COUNTIFS(LdAParty,$P1568,LdAType,1,LdAKey,"&lt;"&amp;$T1568)+COUNTIFS(LdBMember,$P1568,LdBKey,"&lt;"&amp;$T1568)+COUNTIFS(LdCParty,$P1568,LdCKey,"&lt;"&amp;$T1568)+1)</f>
        <v/>
      </c>
      <c r="V1568">
        <f>IF($U1568="","",$P1568&amp;"|"&amp;RIGHT("000000"&amp;$U1568,6))</f>
        <v/>
      </c>
      <c r="W1568">
        <f>IF($T1568="","",COUNTIFS(LdBGroup,$R1568,LdBKey,"&lt;"&amp;$T1568)+1)</f>
        <v/>
      </c>
      <c r="X1568">
        <f>IF($W1568="","",$R1568&amp;"|"&amp;RIGHT("000000"&amp;$W1568,6))</f>
        <v/>
      </c>
      <c r="Y1568">
        <f>IF($P1568="","",IF(Shares!$E1571="",0,Shares!$E1571))</f>
        <v/>
      </c>
      <c r="Z1568">
        <f>IF($P1568="","",Shares!$H1571)</f>
        <v/>
      </c>
      <c r="AE1568">
        <f>IF(OR(Sync!$S1568="",Sync!$P1568=""),"",Sync!$S1568)</f>
        <v/>
      </c>
      <c r="AF1568">
        <f>IF($AE1568="","",IF(ISNUMBER(Sync!$P1568),IF(AND(Sync!$P1568&gt;=10000101,Sync!$P1568&lt;=99991231),INT(Sync!$P1568/10000),""),IFERROR(VALUE(TRIM(LEFT(Sync!$P1568,FIND("/",Sync!$P1568)-1))),"")))</f>
        <v/>
      </c>
      <c r="AG1568">
        <f>IF(OR($AE1568="",$AF1568=""),"",IF(ISNUMBER(Sync!$P1568),INT(MOD(Sync!$P1568,10000)/100),IFERROR(VALUE(TRIM(LEFT(MID(Sync!$P1568,FIND("/",Sync!$P1568)+1,20),FIND("/",MID(Sync!$P1568,FIND("/",Sync!$P1568)+1,20))-1))),"")))</f>
        <v/>
      </c>
      <c r="AH1568">
        <f>IF(OR($AE1568="",$AF1568=""),"",IF(ISNUMBER(Sync!$P1568),MOD(Sync!$P1568,100),IFERROR(VALUE(TRIM(MID(MID(Sync!$P1568,FIND("/",Sync!$P1568)+1,20),FIND("/",MID(Sync!$P1568,FIND("/",Sync!$P1568)+1,20))+1,20))),"")))</f>
        <v/>
      </c>
      <c r="AI1568">
        <f>IF($AE1568="","",IF(OR($AF1568="",$AG1568="",$AH1568="",$AF1568&lt;1300,$AF1568&gt;1500,$AG1568&lt;1,$AG1568&gt;12,$AH1568&lt;1,$AH1568&gt;31),"نامعتبر",RIGHT("0000"&amp;$AF1568,4)&amp;"/"&amp;RIGHT("00"&amp;$AG1568,2)&amp;"/"&amp;RIGHT("00"&amp;$AH1568,2)))</f>
        <v/>
      </c>
      <c r="AJ1568">
        <f>IF($AE1568="","",IF(Sync!$Q1568="","0000",IF(AND(ISNUMBER(Sync!$Q1568),Sync!$Q1568&gt;=0,Sync!$Q1568&lt;1),RIGHT("00"&amp;HOUR(Sync!$Q1568),2)&amp;RIGHT("00"&amp;MINUTE(Sync!$Q1568),2),IFERROR(RIGHT("00"&amp;VALUE(LEFT(Sync!$Q1568,FIND(":",Sync!$Q1568)-1)),2)&amp;RIGHT("00"&amp;VALUE(MID(Sync!$Q1568,FIND(":",Sync!$Q1568)+1,2)),2),"0000"))))</f>
        <v/>
      </c>
      <c r="AK1568">
        <f>IF(OR($AE1568="",$AI1568="",$AI1568="نامعتبر"),"",LEFT($AI1568,4)&amp;MID($AI1568,6,2)&amp;RIGHT($AI1568,2)&amp;$AJ1568&amp;"|"&amp;"3"&amp;RIGHT("00000"&amp;1563,5))</f>
        <v/>
      </c>
      <c r="AL1568">
        <f>IF($AK1568="","",COUNTIFS(LdAParty,$AE1568,LdAType,1,LdAKey,"&lt;"&amp;$AK1568)+COUNTIFS(LdBMember,$AE1568,LdBKey,"&lt;"&amp;$AK1568)+COUNTIFS(LdCParty,$AE1568,LdCKey,"&lt;"&amp;$AK1568)+1)</f>
        <v/>
      </c>
      <c r="AM1568">
        <f>IF($AL1568="","",$AE1568&amp;"|"&amp;RIGHT("000000"&amp;$AL1568,6))</f>
        <v/>
      </c>
      <c r="AN1568">
        <f>IF($AE1568="","",IF(Sync!$W1568="",0,Sync!$W1568))</f>
        <v/>
      </c>
      <c r="AO1568">
        <f>IF($AE1568="","",IF(Sync!$X1568="",0,Sync!$X1568))</f>
        <v/>
      </c>
      <c r="AP1568">
        <f>IF($AE1568="","",Sync!$R1568)</f>
        <v/>
      </c>
      <c r="AQ1568">
        <f>IF($AE1568="","",Sync!$Y1568)</f>
        <v/>
      </c>
    </row>
    <row r="1569">
      <c r="A1569">
        <f>IF(OR(Wages!$B1572="",Wages!$E1572=""),"",Wages!$E1572)</f>
        <v/>
      </c>
      <c r="B1569">
        <f>IF($A1569="","",IF(Wages!$C1572="دستمزد گروهی",2,1))</f>
        <v/>
      </c>
      <c r="C1569">
        <f>IF($A1569="","",IF(ISNUMBER(Wages!$B1572),IF(AND(Wages!$B1572&gt;=10000101,Wages!$B1572&lt;=99991231),INT(Wages!$B1572/10000),""),IFERROR(VALUE(TRIM(LEFT(Wages!$B1572,FIND("/",Wages!$B1572)-1))),"")))</f>
        <v/>
      </c>
      <c r="D1569">
        <f>IF(OR($A1569="",$C1569=""),"",IF(ISNUMBER(Wages!$B1572),INT(MOD(Wages!$B1572,10000)/100),IFERROR(VALUE(TRIM(LEFT(MID(Wages!$B1572,FIND("/",Wages!$B1572)+1,20),FIND("/",MID(Wages!$B1572,FIND("/",Wages!$B1572)+1,20))-1))),"")))</f>
        <v/>
      </c>
      <c r="E1569">
        <f>IF(OR($A1569="",$C1569=""),"",IF(ISNUMBER(Wages!$B1572),MOD(Wages!$B1572,100),IFERROR(VALUE(TRIM(MID(MID(Wages!$B1572,FIND("/",Wages!$B1572)+1,20),FIND("/",MID(Wages!$B1572,FIND("/",Wages!$B1572)+1,20))+1,20))),"")))</f>
        <v/>
      </c>
      <c r="F1569">
        <f>IF($A1569="","",IF(OR($C1569="",$D1569="",$E1569="",$C1569&lt;1300,$C1569&gt;1500,$D1569&lt;1,$D1569&gt;12,$E1569&lt;1,$E1569&gt;31),"نامعتبر",RIGHT("0000"&amp;$C1569,4)&amp;"/"&amp;RIGHT("00"&amp;$D1569,2)&amp;"/"&amp;RIGHT("00"&amp;$E1569,2)))</f>
        <v/>
      </c>
      <c r="G1569">
        <f>IF(OR($A1569="",$F1569="",$F1569="نامعتبر"),"",LEFT($F1569,4)&amp;MID($F1569,6,2)&amp;RIGHT($F1569,2)&amp;"0000"&amp;"|"&amp;"1"&amp;RIGHT("00000"&amp;1564,5))</f>
        <v/>
      </c>
      <c r="H1569">
        <f>IF(OR($B1569&lt;&gt;1,$G1569=""),"",COUNTIFS(LdAParty,$A1569,LdAType,1,LdAKey,"&lt;"&amp;$G1569)+COUNTIFS(LdBMember,$A1569,LdBKey,"&lt;"&amp;$G1569)+COUNTIFS(LdCParty,$A1569,LdCKey,"&lt;"&amp;$G1569)+1)</f>
        <v/>
      </c>
      <c r="I1569">
        <f>IF($H1569="","",$A1569&amp;"|"&amp;RIGHT("000000"&amp;$H1569,6))</f>
        <v/>
      </c>
      <c r="J1569">
        <f>IF(OR($B1569&lt;&gt;2,$G1569=""),"",COUNTIFS(LdAParty,$A1569,LdAType,2,LdAKey,"&lt;"&amp;$G1569)+1)</f>
        <v/>
      </c>
      <c r="K1569">
        <f>IF($J1569="","",$A1569&amp;"|"&amp;RIGHT("000000"&amp;$J1569,6))</f>
        <v/>
      </c>
      <c r="L1569">
        <f>IF($A1569="","",IF(Wages!$G1572="",0,Wages!$G1572))</f>
        <v/>
      </c>
      <c r="M1569">
        <f>IF($A1569="","",Wages!$J1572)</f>
        <v/>
      </c>
      <c r="N1569">
        <f>IF($A1569="","",Wages!$D1572)</f>
        <v/>
      </c>
      <c r="P1569">
        <f>IF(OR(Shares!$B1572="",Shares!$C1572=""),"",Shares!$C1572)</f>
        <v/>
      </c>
      <c r="Q1569">
        <f>IF($P1569="","",Shares!$B1572)</f>
        <v/>
      </c>
      <c r="R1569">
        <f>IF($P1569="","",IFERROR(INDEX(WageParty,MATCH($Q1569,WageIds,0)),""))</f>
        <v/>
      </c>
      <c r="S1569">
        <f>IF($P1569="","",IFERROR(INDEX($F$6:$F$2005,MATCH($Q1569,WageIds,0)),""))</f>
        <v/>
      </c>
      <c r="T1569">
        <f>IF(OR($P1569="",$S1569="",$S1569="نامعتبر"),"",LEFT($S1569,4)&amp;MID($S1569,6,2)&amp;RIGHT($S1569,2)&amp;"0000"&amp;"|"&amp;"2"&amp;RIGHT("00000"&amp;1564,5))</f>
        <v/>
      </c>
      <c r="U1569">
        <f>IF($T1569="","",COUNTIFS(LdAParty,$P1569,LdAType,1,LdAKey,"&lt;"&amp;$T1569)+COUNTIFS(LdBMember,$P1569,LdBKey,"&lt;"&amp;$T1569)+COUNTIFS(LdCParty,$P1569,LdCKey,"&lt;"&amp;$T1569)+1)</f>
        <v/>
      </c>
      <c r="V1569">
        <f>IF($U1569="","",$P1569&amp;"|"&amp;RIGHT("000000"&amp;$U1569,6))</f>
        <v/>
      </c>
      <c r="W1569">
        <f>IF($T1569="","",COUNTIFS(LdBGroup,$R1569,LdBKey,"&lt;"&amp;$T1569)+1)</f>
        <v/>
      </c>
      <c r="X1569">
        <f>IF($W1569="","",$R1569&amp;"|"&amp;RIGHT("000000"&amp;$W1569,6))</f>
        <v/>
      </c>
      <c r="Y1569">
        <f>IF($P1569="","",IF(Shares!$E1572="",0,Shares!$E1572))</f>
        <v/>
      </c>
      <c r="Z1569">
        <f>IF($P1569="","",Shares!$H1572)</f>
        <v/>
      </c>
      <c r="AE1569">
        <f>IF(OR(Sync!$S1569="",Sync!$P1569=""),"",Sync!$S1569)</f>
        <v/>
      </c>
      <c r="AF1569">
        <f>IF($AE1569="","",IF(ISNUMBER(Sync!$P1569),IF(AND(Sync!$P1569&gt;=10000101,Sync!$P1569&lt;=99991231),INT(Sync!$P1569/10000),""),IFERROR(VALUE(TRIM(LEFT(Sync!$P1569,FIND("/",Sync!$P1569)-1))),"")))</f>
        <v/>
      </c>
      <c r="AG1569">
        <f>IF(OR($AE1569="",$AF1569=""),"",IF(ISNUMBER(Sync!$P1569),INT(MOD(Sync!$P1569,10000)/100),IFERROR(VALUE(TRIM(LEFT(MID(Sync!$P1569,FIND("/",Sync!$P1569)+1,20),FIND("/",MID(Sync!$P1569,FIND("/",Sync!$P1569)+1,20))-1))),"")))</f>
        <v/>
      </c>
      <c r="AH1569">
        <f>IF(OR($AE1569="",$AF1569=""),"",IF(ISNUMBER(Sync!$P1569),MOD(Sync!$P1569,100),IFERROR(VALUE(TRIM(MID(MID(Sync!$P1569,FIND("/",Sync!$P1569)+1,20),FIND("/",MID(Sync!$P1569,FIND("/",Sync!$P1569)+1,20))+1,20))),"")))</f>
        <v/>
      </c>
      <c r="AI1569">
        <f>IF($AE1569="","",IF(OR($AF1569="",$AG1569="",$AH1569="",$AF1569&lt;1300,$AF1569&gt;1500,$AG1569&lt;1,$AG1569&gt;12,$AH1569&lt;1,$AH1569&gt;31),"نامعتبر",RIGHT("0000"&amp;$AF1569,4)&amp;"/"&amp;RIGHT("00"&amp;$AG1569,2)&amp;"/"&amp;RIGHT("00"&amp;$AH1569,2)))</f>
        <v/>
      </c>
      <c r="AJ1569">
        <f>IF($AE1569="","",IF(Sync!$Q1569="","0000",IF(AND(ISNUMBER(Sync!$Q1569),Sync!$Q1569&gt;=0,Sync!$Q1569&lt;1),RIGHT("00"&amp;HOUR(Sync!$Q1569),2)&amp;RIGHT("00"&amp;MINUTE(Sync!$Q1569),2),IFERROR(RIGHT("00"&amp;VALUE(LEFT(Sync!$Q1569,FIND(":",Sync!$Q1569)-1)),2)&amp;RIGHT("00"&amp;VALUE(MID(Sync!$Q1569,FIND(":",Sync!$Q1569)+1,2)),2),"0000"))))</f>
        <v/>
      </c>
      <c r="AK1569">
        <f>IF(OR($AE1569="",$AI1569="",$AI1569="نامعتبر"),"",LEFT($AI1569,4)&amp;MID($AI1569,6,2)&amp;RIGHT($AI1569,2)&amp;$AJ1569&amp;"|"&amp;"3"&amp;RIGHT("00000"&amp;1564,5))</f>
        <v/>
      </c>
      <c r="AL1569">
        <f>IF($AK1569="","",COUNTIFS(LdAParty,$AE1569,LdAType,1,LdAKey,"&lt;"&amp;$AK1569)+COUNTIFS(LdBMember,$AE1569,LdBKey,"&lt;"&amp;$AK1569)+COUNTIFS(LdCParty,$AE1569,LdCKey,"&lt;"&amp;$AK1569)+1)</f>
        <v/>
      </c>
      <c r="AM1569">
        <f>IF($AL1569="","",$AE1569&amp;"|"&amp;RIGHT("000000"&amp;$AL1569,6))</f>
        <v/>
      </c>
      <c r="AN1569">
        <f>IF($AE1569="","",IF(Sync!$W1569="",0,Sync!$W1569))</f>
        <v/>
      </c>
      <c r="AO1569">
        <f>IF($AE1569="","",IF(Sync!$X1569="",0,Sync!$X1569))</f>
        <v/>
      </c>
      <c r="AP1569">
        <f>IF($AE1569="","",Sync!$R1569)</f>
        <v/>
      </c>
      <c r="AQ1569">
        <f>IF($AE1569="","",Sync!$Y1569)</f>
        <v/>
      </c>
    </row>
    <row r="1570">
      <c r="A1570">
        <f>IF(OR(Wages!$B1573="",Wages!$E1573=""),"",Wages!$E1573)</f>
        <v/>
      </c>
      <c r="B1570">
        <f>IF($A1570="","",IF(Wages!$C1573="دستمزد گروهی",2,1))</f>
        <v/>
      </c>
      <c r="C1570">
        <f>IF($A1570="","",IF(ISNUMBER(Wages!$B1573),IF(AND(Wages!$B1573&gt;=10000101,Wages!$B1573&lt;=99991231),INT(Wages!$B1573/10000),""),IFERROR(VALUE(TRIM(LEFT(Wages!$B1573,FIND("/",Wages!$B1573)-1))),"")))</f>
        <v/>
      </c>
      <c r="D1570">
        <f>IF(OR($A1570="",$C1570=""),"",IF(ISNUMBER(Wages!$B1573),INT(MOD(Wages!$B1573,10000)/100),IFERROR(VALUE(TRIM(LEFT(MID(Wages!$B1573,FIND("/",Wages!$B1573)+1,20),FIND("/",MID(Wages!$B1573,FIND("/",Wages!$B1573)+1,20))-1))),"")))</f>
        <v/>
      </c>
      <c r="E1570">
        <f>IF(OR($A1570="",$C1570=""),"",IF(ISNUMBER(Wages!$B1573),MOD(Wages!$B1573,100),IFERROR(VALUE(TRIM(MID(MID(Wages!$B1573,FIND("/",Wages!$B1573)+1,20),FIND("/",MID(Wages!$B1573,FIND("/",Wages!$B1573)+1,20))+1,20))),"")))</f>
        <v/>
      </c>
      <c r="F1570">
        <f>IF($A1570="","",IF(OR($C1570="",$D1570="",$E1570="",$C1570&lt;1300,$C1570&gt;1500,$D1570&lt;1,$D1570&gt;12,$E1570&lt;1,$E1570&gt;31),"نامعتبر",RIGHT("0000"&amp;$C1570,4)&amp;"/"&amp;RIGHT("00"&amp;$D1570,2)&amp;"/"&amp;RIGHT("00"&amp;$E1570,2)))</f>
        <v/>
      </c>
      <c r="G1570">
        <f>IF(OR($A1570="",$F1570="",$F1570="نامعتبر"),"",LEFT($F1570,4)&amp;MID($F1570,6,2)&amp;RIGHT($F1570,2)&amp;"0000"&amp;"|"&amp;"1"&amp;RIGHT("00000"&amp;1565,5))</f>
        <v/>
      </c>
      <c r="H1570">
        <f>IF(OR($B1570&lt;&gt;1,$G1570=""),"",COUNTIFS(LdAParty,$A1570,LdAType,1,LdAKey,"&lt;"&amp;$G1570)+COUNTIFS(LdBMember,$A1570,LdBKey,"&lt;"&amp;$G1570)+COUNTIFS(LdCParty,$A1570,LdCKey,"&lt;"&amp;$G1570)+1)</f>
        <v/>
      </c>
      <c r="I1570">
        <f>IF($H1570="","",$A1570&amp;"|"&amp;RIGHT("000000"&amp;$H1570,6))</f>
        <v/>
      </c>
      <c r="J1570">
        <f>IF(OR($B1570&lt;&gt;2,$G1570=""),"",COUNTIFS(LdAParty,$A1570,LdAType,2,LdAKey,"&lt;"&amp;$G1570)+1)</f>
        <v/>
      </c>
      <c r="K1570">
        <f>IF($J1570="","",$A1570&amp;"|"&amp;RIGHT("000000"&amp;$J1570,6))</f>
        <v/>
      </c>
      <c r="L1570">
        <f>IF($A1570="","",IF(Wages!$G1573="",0,Wages!$G1573))</f>
        <v/>
      </c>
      <c r="M1570">
        <f>IF($A1570="","",Wages!$J1573)</f>
        <v/>
      </c>
      <c r="N1570">
        <f>IF($A1570="","",Wages!$D1573)</f>
        <v/>
      </c>
      <c r="P1570">
        <f>IF(OR(Shares!$B1573="",Shares!$C1573=""),"",Shares!$C1573)</f>
        <v/>
      </c>
      <c r="Q1570">
        <f>IF($P1570="","",Shares!$B1573)</f>
        <v/>
      </c>
      <c r="R1570">
        <f>IF($P1570="","",IFERROR(INDEX(WageParty,MATCH($Q1570,WageIds,0)),""))</f>
        <v/>
      </c>
      <c r="S1570">
        <f>IF($P1570="","",IFERROR(INDEX($F$6:$F$2005,MATCH($Q1570,WageIds,0)),""))</f>
        <v/>
      </c>
      <c r="T1570">
        <f>IF(OR($P1570="",$S1570="",$S1570="نامعتبر"),"",LEFT($S1570,4)&amp;MID($S1570,6,2)&amp;RIGHT($S1570,2)&amp;"0000"&amp;"|"&amp;"2"&amp;RIGHT("00000"&amp;1565,5))</f>
        <v/>
      </c>
      <c r="U1570">
        <f>IF($T1570="","",COUNTIFS(LdAParty,$P1570,LdAType,1,LdAKey,"&lt;"&amp;$T1570)+COUNTIFS(LdBMember,$P1570,LdBKey,"&lt;"&amp;$T1570)+COUNTIFS(LdCParty,$P1570,LdCKey,"&lt;"&amp;$T1570)+1)</f>
        <v/>
      </c>
      <c r="V1570">
        <f>IF($U1570="","",$P1570&amp;"|"&amp;RIGHT("000000"&amp;$U1570,6))</f>
        <v/>
      </c>
      <c r="W1570">
        <f>IF($T1570="","",COUNTIFS(LdBGroup,$R1570,LdBKey,"&lt;"&amp;$T1570)+1)</f>
        <v/>
      </c>
      <c r="X1570">
        <f>IF($W1570="","",$R1570&amp;"|"&amp;RIGHT("000000"&amp;$W1570,6))</f>
        <v/>
      </c>
      <c r="Y1570">
        <f>IF($P1570="","",IF(Shares!$E1573="",0,Shares!$E1573))</f>
        <v/>
      </c>
      <c r="Z1570">
        <f>IF($P1570="","",Shares!$H1573)</f>
        <v/>
      </c>
      <c r="AE1570">
        <f>IF(OR(Sync!$S1570="",Sync!$P1570=""),"",Sync!$S1570)</f>
        <v/>
      </c>
      <c r="AF1570">
        <f>IF($AE1570="","",IF(ISNUMBER(Sync!$P1570),IF(AND(Sync!$P1570&gt;=10000101,Sync!$P1570&lt;=99991231),INT(Sync!$P1570/10000),""),IFERROR(VALUE(TRIM(LEFT(Sync!$P1570,FIND("/",Sync!$P1570)-1))),"")))</f>
        <v/>
      </c>
      <c r="AG1570">
        <f>IF(OR($AE1570="",$AF1570=""),"",IF(ISNUMBER(Sync!$P1570),INT(MOD(Sync!$P1570,10000)/100),IFERROR(VALUE(TRIM(LEFT(MID(Sync!$P1570,FIND("/",Sync!$P1570)+1,20),FIND("/",MID(Sync!$P1570,FIND("/",Sync!$P1570)+1,20))-1))),"")))</f>
        <v/>
      </c>
      <c r="AH1570">
        <f>IF(OR($AE1570="",$AF1570=""),"",IF(ISNUMBER(Sync!$P1570),MOD(Sync!$P1570,100),IFERROR(VALUE(TRIM(MID(MID(Sync!$P1570,FIND("/",Sync!$P1570)+1,20),FIND("/",MID(Sync!$P1570,FIND("/",Sync!$P1570)+1,20))+1,20))),"")))</f>
        <v/>
      </c>
      <c r="AI1570">
        <f>IF($AE1570="","",IF(OR($AF1570="",$AG1570="",$AH1570="",$AF1570&lt;1300,$AF1570&gt;1500,$AG1570&lt;1,$AG1570&gt;12,$AH1570&lt;1,$AH1570&gt;31),"نامعتبر",RIGHT("0000"&amp;$AF1570,4)&amp;"/"&amp;RIGHT("00"&amp;$AG1570,2)&amp;"/"&amp;RIGHT("00"&amp;$AH1570,2)))</f>
        <v/>
      </c>
      <c r="AJ1570">
        <f>IF($AE1570="","",IF(Sync!$Q1570="","0000",IF(AND(ISNUMBER(Sync!$Q1570),Sync!$Q1570&gt;=0,Sync!$Q1570&lt;1),RIGHT("00"&amp;HOUR(Sync!$Q1570),2)&amp;RIGHT("00"&amp;MINUTE(Sync!$Q1570),2),IFERROR(RIGHT("00"&amp;VALUE(LEFT(Sync!$Q1570,FIND(":",Sync!$Q1570)-1)),2)&amp;RIGHT("00"&amp;VALUE(MID(Sync!$Q1570,FIND(":",Sync!$Q1570)+1,2)),2),"0000"))))</f>
        <v/>
      </c>
      <c r="AK1570">
        <f>IF(OR($AE1570="",$AI1570="",$AI1570="نامعتبر"),"",LEFT($AI1570,4)&amp;MID($AI1570,6,2)&amp;RIGHT($AI1570,2)&amp;$AJ1570&amp;"|"&amp;"3"&amp;RIGHT("00000"&amp;1565,5))</f>
        <v/>
      </c>
      <c r="AL1570">
        <f>IF($AK1570="","",COUNTIFS(LdAParty,$AE1570,LdAType,1,LdAKey,"&lt;"&amp;$AK1570)+COUNTIFS(LdBMember,$AE1570,LdBKey,"&lt;"&amp;$AK1570)+COUNTIFS(LdCParty,$AE1570,LdCKey,"&lt;"&amp;$AK1570)+1)</f>
        <v/>
      </c>
      <c r="AM1570">
        <f>IF($AL1570="","",$AE1570&amp;"|"&amp;RIGHT("000000"&amp;$AL1570,6))</f>
        <v/>
      </c>
      <c r="AN1570">
        <f>IF($AE1570="","",IF(Sync!$W1570="",0,Sync!$W1570))</f>
        <v/>
      </c>
      <c r="AO1570">
        <f>IF($AE1570="","",IF(Sync!$X1570="",0,Sync!$X1570))</f>
        <v/>
      </c>
      <c r="AP1570">
        <f>IF($AE1570="","",Sync!$R1570)</f>
        <v/>
      </c>
      <c r="AQ1570">
        <f>IF($AE1570="","",Sync!$Y1570)</f>
        <v/>
      </c>
    </row>
    <row r="1571">
      <c r="A1571">
        <f>IF(OR(Wages!$B1574="",Wages!$E1574=""),"",Wages!$E1574)</f>
        <v/>
      </c>
      <c r="B1571">
        <f>IF($A1571="","",IF(Wages!$C1574="دستمزد گروهی",2,1))</f>
        <v/>
      </c>
      <c r="C1571">
        <f>IF($A1571="","",IF(ISNUMBER(Wages!$B1574),IF(AND(Wages!$B1574&gt;=10000101,Wages!$B1574&lt;=99991231),INT(Wages!$B1574/10000),""),IFERROR(VALUE(TRIM(LEFT(Wages!$B1574,FIND("/",Wages!$B1574)-1))),"")))</f>
        <v/>
      </c>
      <c r="D1571">
        <f>IF(OR($A1571="",$C1571=""),"",IF(ISNUMBER(Wages!$B1574),INT(MOD(Wages!$B1574,10000)/100),IFERROR(VALUE(TRIM(LEFT(MID(Wages!$B1574,FIND("/",Wages!$B1574)+1,20),FIND("/",MID(Wages!$B1574,FIND("/",Wages!$B1574)+1,20))-1))),"")))</f>
        <v/>
      </c>
      <c r="E1571">
        <f>IF(OR($A1571="",$C1571=""),"",IF(ISNUMBER(Wages!$B1574),MOD(Wages!$B1574,100),IFERROR(VALUE(TRIM(MID(MID(Wages!$B1574,FIND("/",Wages!$B1574)+1,20),FIND("/",MID(Wages!$B1574,FIND("/",Wages!$B1574)+1,20))+1,20))),"")))</f>
        <v/>
      </c>
      <c r="F1571">
        <f>IF($A1571="","",IF(OR($C1571="",$D1571="",$E1571="",$C1571&lt;1300,$C1571&gt;1500,$D1571&lt;1,$D1571&gt;12,$E1571&lt;1,$E1571&gt;31),"نامعتبر",RIGHT("0000"&amp;$C1571,4)&amp;"/"&amp;RIGHT("00"&amp;$D1571,2)&amp;"/"&amp;RIGHT("00"&amp;$E1571,2)))</f>
        <v/>
      </c>
      <c r="G1571">
        <f>IF(OR($A1571="",$F1571="",$F1571="نامعتبر"),"",LEFT($F1571,4)&amp;MID($F1571,6,2)&amp;RIGHT($F1571,2)&amp;"0000"&amp;"|"&amp;"1"&amp;RIGHT("00000"&amp;1566,5))</f>
        <v/>
      </c>
      <c r="H1571">
        <f>IF(OR($B1571&lt;&gt;1,$G1571=""),"",COUNTIFS(LdAParty,$A1571,LdAType,1,LdAKey,"&lt;"&amp;$G1571)+COUNTIFS(LdBMember,$A1571,LdBKey,"&lt;"&amp;$G1571)+COUNTIFS(LdCParty,$A1571,LdCKey,"&lt;"&amp;$G1571)+1)</f>
        <v/>
      </c>
      <c r="I1571">
        <f>IF($H1571="","",$A1571&amp;"|"&amp;RIGHT("000000"&amp;$H1571,6))</f>
        <v/>
      </c>
      <c r="J1571">
        <f>IF(OR($B1571&lt;&gt;2,$G1571=""),"",COUNTIFS(LdAParty,$A1571,LdAType,2,LdAKey,"&lt;"&amp;$G1571)+1)</f>
        <v/>
      </c>
      <c r="K1571">
        <f>IF($J1571="","",$A1571&amp;"|"&amp;RIGHT("000000"&amp;$J1571,6))</f>
        <v/>
      </c>
      <c r="L1571">
        <f>IF($A1571="","",IF(Wages!$G1574="",0,Wages!$G1574))</f>
        <v/>
      </c>
      <c r="M1571">
        <f>IF($A1571="","",Wages!$J1574)</f>
        <v/>
      </c>
      <c r="N1571">
        <f>IF($A1571="","",Wages!$D1574)</f>
        <v/>
      </c>
      <c r="P1571">
        <f>IF(OR(Shares!$B1574="",Shares!$C1574=""),"",Shares!$C1574)</f>
        <v/>
      </c>
      <c r="Q1571">
        <f>IF($P1571="","",Shares!$B1574)</f>
        <v/>
      </c>
      <c r="R1571">
        <f>IF($P1571="","",IFERROR(INDEX(WageParty,MATCH($Q1571,WageIds,0)),""))</f>
        <v/>
      </c>
      <c r="S1571">
        <f>IF($P1571="","",IFERROR(INDEX($F$6:$F$2005,MATCH($Q1571,WageIds,0)),""))</f>
        <v/>
      </c>
      <c r="T1571">
        <f>IF(OR($P1571="",$S1571="",$S1571="نامعتبر"),"",LEFT($S1571,4)&amp;MID($S1571,6,2)&amp;RIGHT($S1571,2)&amp;"0000"&amp;"|"&amp;"2"&amp;RIGHT("00000"&amp;1566,5))</f>
        <v/>
      </c>
      <c r="U1571">
        <f>IF($T1571="","",COUNTIFS(LdAParty,$P1571,LdAType,1,LdAKey,"&lt;"&amp;$T1571)+COUNTIFS(LdBMember,$P1571,LdBKey,"&lt;"&amp;$T1571)+COUNTIFS(LdCParty,$P1571,LdCKey,"&lt;"&amp;$T1571)+1)</f>
        <v/>
      </c>
      <c r="V1571">
        <f>IF($U1571="","",$P1571&amp;"|"&amp;RIGHT("000000"&amp;$U1571,6))</f>
        <v/>
      </c>
      <c r="W1571">
        <f>IF($T1571="","",COUNTIFS(LdBGroup,$R1571,LdBKey,"&lt;"&amp;$T1571)+1)</f>
        <v/>
      </c>
      <c r="X1571">
        <f>IF($W1571="","",$R1571&amp;"|"&amp;RIGHT("000000"&amp;$W1571,6))</f>
        <v/>
      </c>
      <c r="Y1571">
        <f>IF($P1571="","",IF(Shares!$E1574="",0,Shares!$E1574))</f>
        <v/>
      </c>
      <c r="Z1571">
        <f>IF($P1571="","",Shares!$H1574)</f>
        <v/>
      </c>
      <c r="AE1571">
        <f>IF(OR(Sync!$S1571="",Sync!$P1571=""),"",Sync!$S1571)</f>
        <v/>
      </c>
      <c r="AF1571">
        <f>IF($AE1571="","",IF(ISNUMBER(Sync!$P1571),IF(AND(Sync!$P1571&gt;=10000101,Sync!$P1571&lt;=99991231),INT(Sync!$P1571/10000),""),IFERROR(VALUE(TRIM(LEFT(Sync!$P1571,FIND("/",Sync!$P1571)-1))),"")))</f>
        <v/>
      </c>
      <c r="AG1571">
        <f>IF(OR($AE1571="",$AF1571=""),"",IF(ISNUMBER(Sync!$P1571),INT(MOD(Sync!$P1571,10000)/100),IFERROR(VALUE(TRIM(LEFT(MID(Sync!$P1571,FIND("/",Sync!$P1571)+1,20),FIND("/",MID(Sync!$P1571,FIND("/",Sync!$P1571)+1,20))-1))),"")))</f>
        <v/>
      </c>
      <c r="AH1571">
        <f>IF(OR($AE1571="",$AF1571=""),"",IF(ISNUMBER(Sync!$P1571),MOD(Sync!$P1571,100),IFERROR(VALUE(TRIM(MID(MID(Sync!$P1571,FIND("/",Sync!$P1571)+1,20),FIND("/",MID(Sync!$P1571,FIND("/",Sync!$P1571)+1,20))+1,20))),"")))</f>
        <v/>
      </c>
      <c r="AI1571">
        <f>IF($AE1571="","",IF(OR($AF1571="",$AG1571="",$AH1571="",$AF1571&lt;1300,$AF1571&gt;1500,$AG1571&lt;1,$AG1571&gt;12,$AH1571&lt;1,$AH1571&gt;31),"نامعتبر",RIGHT("0000"&amp;$AF1571,4)&amp;"/"&amp;RIGHT("00"&amp;$AG1571,2)&amp;"/"&amp;RIGHT("00"&amp;$AH1571,2)))</f>
        <v/>
      </c>
      <c r="AJ1571">
        <f>IF($AE1571="","",IF(Sync!$Q1571="","0000",IF(AND(ISNUMBER(Sync!$Q1571),Sync!$Q1571&gt;=0,Sync!$Q1571&lt;1),RIGHT("00"&amp;HOUR(Sync!$Q1571),2)&amp;RIGHT("00"&amp;MINUTE(Sync!$Q1571),2),IFERROR(RIGHT("00"&amp;VALUE(LEFT(Sync!$Q1571,FIND(":",Sync!$Q1571)-1)),2)&amp;RIGHT("00"&amp;VALUE(MID(Sync!$Q1571,FIND(":",Sync!$Q1571)+1,2)),2),"0000"))))</f>
        <v/>
      </c>
      <c r="AK1571">
        <f>IF(OR($AE1571="",$AI1571="",$AI1571="نامعتبر"),"",LEFT($AI1571,4)&amp;MID($AI1571,6,2)&amp;RIGHT($AI1571,2)&amp;$AJ1571&amp;"|"&amp;"3"&amp;RIGHT("00000"&amp;1566,5))</f>
        <v/>
      </c>
      <c r="AL1571">
        <f>IF($AK1571="","",COUNTIFS(LdAParty,$AE1571,LdAType,1,LdAKey,"&lt;"&amp;$AK1571)+COUNTIFS(LdBMember,$AE1571,LdBKey,"&lt;"&amp;$AK1571)+COUNTIFS(LdCParty,$AE1571,LdCKey,"&lt;"&amp;$AK1571)+1)</f>
        <v/>
      </c>
      <c r="AM1571">
        <f>IF($AL1571="","",$AE1571&amp;"|"&amp;RIGHT("000000"&amp;$AL1571,6))</f>
        <v/>
      </c>
      <c r="AN1571">
        <f>IF($AE1571="","",IF(Sync!$W1571="",0,Sync!$W1571))</f>
        <v/>
      </c>
      <c r="AO1571">
        <f>IF($AE1571="","",IF(Sync!$X1571="",0,Sync!$X1571))</f>
        <v/>
      </c>
      <c r="AP1571">
        <f>IF($AE1571="","",Sync!$R1571)</f>
        <v/>
      </c>
      <c r="AQ1571">
        <f>IF($AE1571="","",Sync!$Y1571)</f>
        <v/>
      </c>
    </row>
    <row r="1572">
      <c r="A1572">
        <f>IF(OR(Wages!$B1575="",Wages!$E1575=""),"",Wages!$E1575)</f>
        <v/>
      </c>
      <c r="B1572">
        <f>IF($A1572="","",IF(Wages!$C1575="دستمزد گروهی",2,1))</f>
        <v/>
      </c>
      <c r="C1572">
        <f>IF($A1572="","",IF(ISNUMBER(Wages!$B1575),IF(AND(Wages!$B1575&gt;=10000101,Wages!$B1575&lt;=99991231),INT(Wages!$B1575/10000),""),IFERROR(VALUE(TRIM(LEFT(Wages!$B1575,FIND("/",Wages!$B1575)-1))),"")))</f>
        <v/>
      </c>
      <c r="D1572">
        <f>IF(OR($A1572="",$C1572=""),"",IF(ISNUMBER(Wages!$B1575),INT(MOD(Wages!$B1575,10000)/100),IFERROR(VALUE(TRIM(LEFT(MID(Wages!$B1575,FIND("/",Wages!$B1575)+1,20),FIND("/",MID(Wages!$B1575,FIND("/",Wages!$B1575)+1,20))-1))),"")))</f>
        <v/>
      </c>
      <c r="E1572">
        <f>IF(OR($A1572="",$C1572=""),"",IF(ISNUMBER(Wages!$B1575),MOD(Wages!$B1575,100),IFERROR(VALUE(TRIM(MID(MID(Wages!$B1575,FIND("/",Wages!$B1575)+1,20),FIND("/",MID(Wages!$B1575,FIND("/",Wages!$B1575)+1,20))+1,20))),"")))</f>
        <v/>
      </c>
      <c r="F1572">
        <f>IF($A1572="","",IF(OR($C1572="",$D1572="",$E1572="",$C1572&lt;1300,$C1572&gt;1500,$D1572&lt;1,$D1572&gt;12,$E1572&lt;1,$E1572&gt;31),"نامعتبر",RIGHT("0000"&amp;$C1572,4)&amp;"/"&amp;RIGHT("00"&amp;$D1572,2)&amp;"/"&amp;RIGHT("00"&amp;$E1572,2)))</f>
        <v/>
      </c>
      <c r="G1572">
        <f>IF(OR($A1572="",$F1572="",$F1572="نامعتبر"),"",LEFT($F1572,4)&amp;MID($F1572,6,2)&amp;RIGHT($F1572,2)&amp;"0000"&amp;"|"&amp;"1"&amp;RIGHT("00000"&amp;1567,5))</f>
        <v/>
      </c>
      <c r="H1572">
        <f>IF(OR($B1572&lt;&gt;1,$G1572=""),"",COUNTIFS(LdAParty,$A1572,LdAType,1,LdAKey,"&lt;"&amp;$G1572)+COUNTIFS(LdBMember,$A1572,LdBKey,"&lt;"&amp;$G1572)+COUNTIFS(LdCParty,$A1572,LdCKey,"&lt;"&amp;$G1572)+1)</f>
        <v/>
      </c>
      <c r="I1572">
        <f>IF($H1572="","",$A1572&amp;"|"&amp;RIGHT("000000"&amp;$H1572,6))</f>
        <v/>
      </c>
      <c r="J1572">
        <f>IF(OR($B1572&lt;&gt;2,$G1572=""),"",COUNTIFS(LdAParty,$A1572,LdAType,2,LdAKey,"&lt;"&amp;$G1572)+1)</f>
        <v/>
      </c>
      <c r="K1572">
        <f>IF($J1572="","",$A1572&amp;"|"&amp;RIGHT("000000"&amp;$J1572,6))</f>
        <v/>
      </c>
      <c r="L1572">
        <f>IF($A1572="","",IF(Wages!$G1575="",0,Wages!$G1575))</f>
        <v/>
      </c>
      <c r="M1572">
        <f>IF($A1572="","",Wages!$J1575)</f>
        <v/>
      </c>
      <c r="N1572">
        <f>IF($A1572="","",Wages!$D1575)</f>
        <v/>
      </c>
      <c r="P1572">
        <f>IF(OR(Shares!$B1575="",Shares!$C1575=""),"",Shares!$C1575)</f>
        <v/>
      </c>
      <c r="Q1572">
        <f>IF($P1572="","",Shares!$B1575)</f>
        <v/>
      </c>
      <c r="R1572">
        <f>IF($P1572="","",IFERROR(INDEX(WageParty,MATCH($Q1572,WageIds,0)),""))</f>
        <v/>
      </c>
      <c r="S1572">
        <f>IF($P1572="","",IFERROR(INDEX($F$6:$F$2005,MATCH($Q1572,WageIds,0)),""))</f>
        <v/>
      </c>
      <c r="T1572">
        <f>IF(OR($P1572="",$S1572="",$S1572="نامعتبر"),"",LEFT($S1572,4)&amp;MID($S1572,6,2)&amp;RIGHT($S1572,2)&amp;"0000"&amp;"|"&amp;"2"&amp;RIGHT("00000"&amp;1567,5))</f>
        <v/>
      </c>
      <c r="U1572">
        <f>IF($T1572="","",COUNTIFS(LdAParty,$P1572,LdAType,1,LdAKey,"&lt;"&amp;$T1572)+COUNTIFS(LdBMember,$P1572,LdBKey,"&lt;"&amp;$T1572)+COUNTIFS(LdCParty,$P1572,LdCKey,"&lt;"&amp;$T1572)+1)</f>
        <v/>
      </c>
      <c r="V1572">
        <f>IF($U1572="","",$P1572&amp;"|"&amp;RIGHT("000000"&amp;$U1572,6))</f>
        <v/>
      </c>
      <c r="W1572">
        <f>IF($T1572="","",COUNTIFS(LdBGroup,$R1572,LdBKey,"&lt;"&amp;$T1572)+1)</f>
        <v/>
      </c>
      <c r="X1572">
        <f>IF($W1572="","",$R1572&amp;"|"&amp;RIGHT("000000"&amp;$W1572,6))</f>
        <v/>
      </c>
      <c r="Y1572">
        <f>IF($P1572="","",IF(Shares!$E1575="",0,Shares!$E1575))</f>
        <v/>
      </c>
      <c r="Z1572">
        <f>IF($P1572="","",Shares!$H1575)</f>
        <v/>
      </c>
      <c r="AE1572">
        <f>IF(OR(Sync!$S1572="",Sync!$P1572=""),"",Sync!$S1572)</f>
        <v/>
      </c>
      <c r="AF1572">
        <f>IF($AE1572="","",IF(ISNUMBER(Sync!$P1572),IF(AND(Sync!$P1572&gt;=10000101,Sync!$P1572&lt;=99991231),INT(Sync!$P1572/10000),""),IFERROR(VALUE(TRIM(LEFT(Sync!$P1572,FIND("/",Sync!$P1572)-1))),"")))</f>
        <v/>
      </c>
      <c r="AG1572">
        <f>IF(OR($AE1572="",$AF1572=""),"",IF(ISNUMBER(Sync!$P1572),INT(MOD(Sync!$P1572,10000)/100),IFERROR(VALUE(TRIM(LEFT(MID(Sync!$P1572,FIND("/",Sync!$P1572)+1,20),FIND("/",MID(Sync!$P1572,FIND("/",Sync!$P1572)+1,20))-1))),"")))</f>
        <v/>
      </c>
      <c r="AH1572">
        <f>IF(OR($AE1572="",$AF1572=""),"",IF(ISNUMBER(Sync!$P1572),MOD(Sync!$P1572,100),IFERROR(VALUE(TRIM(MID(MID(Sync!$P1572,FIND("/",Sync!$P1572)+1,20),FIND("/",MID(Sync!$P1572,FIND("/",Sync!$P1572)+1,20))+1,20))),"")))</f>
        <v/>
      </c>
      <c r="AI1572">
        <f>IF($AE1572="","",IF(OR($AF1572="",$AG1572="",$AH1572="",$AF1572&lt;1300,$AF1572&gt;1500,$AG1572&lt;1,$AG1572&gt;12,$AH1572&lt;1,$AH1572&gt;31),"نامعتبر",RIGHT("0000"&amp;$AF1572,4)&amp;"/"&amp;RIGHT("00"&amp;$AG1572,2)&amp;"/"&amp;RIGHT("00"&amp;$AH1572,2)))</f>
        <v/>
      </c>
      <c r="AJ1572">
        <f>IF($AE1572="","",IF(Sync!$Q1572="","0000",IF(AND(ISNUMBER(Sync!$Q1572),Sync!$Q1572&gt;=0,Sync!$Q1572&lt;1),RIGHT("00"&amp;HOUR(Sync!$Q1572),2)&amp;RIGHT("00"&amp;MINUTE(Sync!$Q1572),2),IFERROR(RIGHT("00"&amp;VALUE(LEFT(Sync!$Q1572,FIND(":",Sync!$Q1572)-1)),2)&amp;RIGHT("00"&amp;VALUE(MID(Sync!$Q1572,FIND(":",Sync!$Q1572)+1,2)),2),"0000"))))</f>
        <v/>
      </c>
      <c r="AK1572">
        <f>IF(OR($AE1572="",$AI1572="",$AI1572="نامعتبر"),"",LEFT($AI1572,4)&amp;MID($AI1572,6,2)&amp;RIGHT($AI1572,2)&amp;$AJ1572&amp;"|"&amp;"3"&amp;RIGHT("00000"&amp;1567,5))</f>
        <v/>
      </c>
      <c r="AL1572">
        <f>IF($AK1572="","",COUNTIFS(LdAParty,$AE1572,LdAType,1,LdAKey,"&lt;"&amp;$AK1572)+COUNTIFS(LdBMember,$AE1572,LdBKey,"&lt;"&amp;$AK1572)+COUNTIFS(LdCParty,$AE1572,LdCKey,"&lt;"&amp;$AK1572)+1)</f>
        <v/>
      </c>
      <c r="AM1572">
        <f>IF($AL1572="","",$AE1572&amp;"|"&amp;RIGHT("000000"&amp;$AL1572,6))</f>
        <v/>
      </c>
      <c r="AN1572">
        <f>IF($AE1572="","",IF(Sync!$W1572="",0,Sync!$W1572))</f>
        <v/>
      </c>
      <c r="AO1572">
        <f>IF($AE1572="","",IF(Sync!$X1572="",0,Sync!$X1572))</f>
        <v/>
      </c>
      <c r="AP1572">
        <f>IF($AE1572="","",Sync!$R1572)</f>
        <v/>
      </c>
      <c r="AQ1572">
        <f>IF($AE1572="","",Sync!$Y1572)</f>
        <v/>
      </c>
    </row>
    <row r="1573">
      <c r="A1573">
        <f>IF(OR(Wages!$B1576="",Wages!$E1576=""),"",Wages!$E1576)</f>
        <v/>
      </c>
      <c r="B1573">
        <f>IF($A1573="","",IF(Wages!$C1576="دستمزد گروهی",2,1))</f>
        <v/>
      </c>
      <c r="C1573">
        <f>IF($A1573="","",IF(ISNUMBER(Wages!$B1576),IF(AND(Wages!$B1576&gt;=10000101,Wages!$B1576&lt;=99991231),INT(Wages!$B1576/10000),""),IFERROR(VALUE(TRIM(LEFT(Wages!$B1576,FIND("/",Wages!$B1576)-1))),"")))</f>
        <v/>
      </c>
      <c r="D1573">
        <f>IF(OR($A1573="",$C1573=""),"",IF(ISNUMBER(Wages!$B1576),INT(MOD(Wages!$B1576,10000)/100),IFERROR(VALUE(TRIM(LEFT(MID(Wages!$B1576,FIND("/",Wages!$B1576)+1,20),FIND("/",MID(Wages!$B1576,FIND("/",Wages!$B1576)+1,20))-1))),"")))</f>
        <v/>
      </c>
      <c r="E1573">
        <f>IF(OR($A1573="",$C1573=""),"",IF(ISNUMBER(Wages!$B1576),MOD(Wages!$B1576,100),IFERROR(VALUE(TRIM(MID(MID(Wages!$B1576,FIND("/",Wages!$B1576)+1,20),FIND("/",MID(Wages!$B1576,FIND("/",Wages!$B1576)+1,20))+1,20))),"")))</f>
        <v/>
      </c>
      <c r="F1573">
        <f>IF($A1573="","",IF(OR($C1573="",$D1573="",$E1573="",$C1573&lt;1300,$C1573&gt;1500,$D1573&lt;1,$D1573&gt;12,$E1573&lt;1,$E1573&gt;31),"نامعتبر",RIGHT("0000"&amp;$C1573,4)&amp;"/"&amp;RIGHT("00"&amp;$D1573,2)&amp;"/"&amp;RIGHT("00"&amp;$E1573,2)))</f>
        <v/>
      </c>
      <c r="G1573">
        <f>IF(OR($A1573="",$F1573="",$F1573="نامعتبر"),"",LEFT($F1573,4)&amp;MID($F1573,6,2)&amp;RIGHT($F1573,2)&amp;"0000"&amp;"|"&amp;"1"&amp;RIGHT("00000"&amp;1568,5))</f>
        <v/>
      </c>
      <c r="H1573">
        <f>IF(OR($B1573&lt;&gt;1,$G1573=""),"",COUNTIFS(LdAParty,$A1573,LdAType,1,LdAKey,"&lt;"&amp;$G1573)+COUNTIFS(LdBMember,$A1573,LdBKey,"&lt;"&amp;$G1573)+COUNTIFS(LdCParty,$A1573,LdCKey,"&lt;"&amp;$G1573)+1)</f>
        <v/>
      </c>
      <c r="I1573">
        <f>IF($H1573="","",$A1573&amp;"|"&amp;RIGHT("000000"&amp;$H1573,6))</f>
        <v/>
      </c>
      <c r="J1573">
        <f>IF(OR($B1573&lt;&gt;2,$G1573=""),"",COUNTIFS(LdAParty,$A1573,LdAType,2,LdAKey,"&lt;"&amp;$G1573)+1)</f>
        <v/>
      </c>
      <c r="K1573">
        <f>IF($J1573="","",$A1573&amp;"|"&amp;RIGHT("000000"&amp;$J1573,6))</f>
        <v/>
      </c>
      <c r="L1573">
        <f>IF($A1573="","",IF(Wages!$G1576="",0,Wages!$G1576))</f>
        <v/>
      </c>
      <c r="M1573">
        <f>IF($A1573="","",Wages!$J1576)</f>
        <v/>
      </c>
      <c r="N1573">
        <f>IF($A1573="","",Wages!$D1576)</f>
        <v/>
      </c>
      <c r="P1573">
        <f>IF(OR(Shares!$B1576="",Shares!$C1576=""),"",Shares!$C1576)</f>
        <v/>
      </c>
      <c r="Q1573">
        <f>IF($P1573="","",Shares!$B1576)</f>
        <v/>
      </c>
      <c r="R1573">
        <f>IF($P1573="","",IFERROR(INDEX(WageParty,MATCH($Q1573,WageIds,0)),""))</f>
        <v/>
      </c>
      <c r="S1573">
        <f>IF($P1573="","",IFERROR(INDEX($F$6:$F$2005,MATCH($Q1573,WageIds,0)),""))</f>
        <v/>
      </c>
      <c r="T1573">
        <f>IF(OR($P1573="",$S1573="",$S1573="نامعتبر"),"",LEFT($S1573,4)&amp;MID($S1573,6,2)&amp;RIGHT($S1573,2)&amp;"0000"&amp;"|"&amp;"2"&amp;RIGHT("00000"&amp;1568,5))</f>
        <v/>
      </c>
      <c r="U1573">
        <f>IF($T1573="","",COUNTIFS(LdAParty,$P1573,LdAType,1,LdAKey,"&lt;"&amp;$T1573)+COUNTIFS(LdBMember,$P1573,LdBKey,"&lt;"&amp;$T1573)+COUNTIFS(LdCParty,$P1573,LdCKey,"&lt;"&amp;$T1573)+1)</f>
        <v/>
      </c>
      <c r="V1573">
        <f>IF($U1573="","",$P1573&amp;"|"&amp;RIGHT("000000"&amp;$U1573,6))</f>
        <v/>
      </c>
      <c r="W1573">
        <f>IF($T1573="","",COUNTIFS(LdBGroup,$R1573,LdBKey,"&lt;"&amp;$T1573)+1)</f>
        <v/>
      </c>
      <c r="X1573">
        <f>IF($W1573="","",$R1573&amp;"|"&amp;RIGHT("000000"&amp;$W1573,6))</f>
        <v/>
      </c>
      <c r="Y1573">
        <f>IF($P1573="","",IF(Shares!$E1576="",0,Shares!$E1576))</f>
        <v/>
      </c>
      <c r="Z1573">
        <f>IF($P1573="","",Shares!$H1576)</f>
        <v/>
      </c>
      <c r="AE1573">
        <f>IF(OR(Sync!$S1573="",Sync!$P1573=""),"",Sync!$S1573)</f>
        <v/>
      </c>
      <c r="AF1573">
        <f>IF($AE1573="","",IF(ISNUMBER(Sync!$P1573),IF(AND(Sync!$P1573&gt;=10000101,Sync!$P1573&lt;=99991231),INT(Sync!$P1573/10000),""),IFERROR(VALUE(TRIM(LEFT(Sync!$P1573,FIND("/",Sync!$P1573)-1))),"")))</f>
        <v/>
      </c>
      <c r="AG1573">
        <f>IF(OR($AE1573="",$AF1573=""),"",IF(ISNUMBER(Sync!$P1573),INT(MOD(Sync!$P1573,10000)/100),IFERROR(VALUE(TRIM(LEFT(MID(Sync!$P1573,FIND("/",Sync!$P1573)+1,20),FIND("/",MID(Sync!$P1573,FIND("/",Sync!$P1573)+1,20))-1))),"")))</f>
        <v/>
      </c>
      <c r="AH1573">
        <f>IF(OR($AE1573="",$AF1573=""),"",IF(ISNUMBER(Sync!$P1573),MOD(Sync!$P1573,100),IFERROR(VALUE(TRIM(MID(MID(Sync!$P1573,FIND("/",Sync!$P1573)+1,20),FIND("/",MID(Sync!$P1573,FIND("/",Sync!$P1573)+1,20))+1,20))),"")))</f>
        <v/>
      </c>
      <c r="AI1573">
        <f>IF($AE1573="","",IF(OR($AF1573="",$AG1573="",$AH1573="",$AF1573&lt;1300,$AF1573&gt;1500,$AG1573&lt;1,$AG1573&gt;12,$AH1573&lt;1,$AH1573&gt;31),"نامعتبر",RIGHT("0000"&amp;$AF1573,4)&amp;"/"&amp;RIGHT("00"&amp;$AG1573,2)&amp;"/"&amp;RIGHT("00"&amp;$AH1573,2)))</f>
        <v/>
      </c>
      <c r="AJ1573">
        <f>IF($AE1573="","",IF(Sync!$Q1573="","0000",IF(AND(ISNUMBER(Sync!$Q1573),Sync!$Q1573&gt;=0,Sync!$Q1573&lt;1),RIGHT("00"&amp;HOUR(Sync!$Q1573),2)&amp;RIGHT("00"&amp;MINUTE(Sync!$Q1573),2),IFERROR(RIGHT("00"&amp;VALUE(LEFT(Sync!$Q1573,FIND(":",Sync!$Q1573)-1)),2)&amp;RIGHT("00"&amp;VALUE(MID(Sync!$Q1573,FIND(":",Sync!$Q1573)+1,2)),2),"0000"))))</f>
        <v/>
      </c>
      <c r="AK1573">
        <f>IF(OR($AE1573="",$AI1573="",$AI1573="نامعتبر"),"",LEFT($AI1573,4)&amp;MID($AI1573,6,2)&amp;RIGHT($AI1573,2)&amp;$AJ1573&amp;"|"&amp;"3"&amp;RIGHT("00000"&amp;1568,5))</f>
        <v/>
      </c>
      <c r="AL1573">
        <f>IF($AK1573="","",COUNTIFS(LdAParty,$AE1573,LdAType,1,LdAKey,"&lt;"&amp;$AK1573)+COUNTIFS(LdBMember,$AE1573,LdBKey,"&lt;"&amp;$AK1573)+COUNTIFS(LdCParty,$AE1573,LdCKey,"&lt;"&amp;$AK1573)+1)</f>
        <v/>
      </c>
      <c r="AM1573">
        <f>IF($AL1573="","",$AE1573&amp;"|"&amp;RIGHT("000000"&amp;$AL1573,6))</f>
        <v/>
      </c>
      <c r="AN1573">
        <f>IF($AE1573="","",IF(Sync!$W1573="",0,Sync!$W1573))</f>
        <v/>
      </c>
      <c r="AO1573">
        <f>IF($AE1573="","",IF(Sync!$X1573="",0,Sync!$X1573))</f>
        <v/>
      </c>
      <c r="AP1573">
        <f>IF($AE1573="","",Sync!$R1573)</f>
        <v/>
      </c>
      <c r="AQ1573">
        <f>IF($AE1573="","",Sync!$Y1573)</f>
        <v/>
      </c>
    </row>
    <row r="1574">
      <c r="A1574">
        <f>IF(OR(Wages!$B1577="",Wages!$E1577=""),"",Wages!$E1577)</f>
        <v/>
      </c>
      <c r="B1574">
        <f>IF($A1574="","",IF(Wages!$C1577="دستمزد گروهی",2,1))</f>
        <v/>
      </c>
      <c r="C1574">
        <f>IF($A1574="","",IF(ISNUMBER(Wages!$B1577),IF(AND(Wages!$B1577&gt;=10000101,Wages!$B1577&lt;=99991231),INT(Wages!$B1577/10000),""),IFERROR(VALUE(TRIM(LEFT(Wages!$B1577,FIND("/",Wages!$B1577)-1))),"")))</f>
        <v/>
      </c>
      <c r="D1574">
        <f>IF(OR($A1574="",$C1574=""),"",IF(ISNUMBER(Wages!$B1577),INT(MOD(Wages!$B1577,10000)/100),IFERROR(VALUE(TRIM(LEFT(MID(Wages!$B1577,FIND("/",Wages!$B1577)+1,20),FIND("/",MID(Wages!$B1577,FIND("/",Wages!$B1577)+1,20))-1))),"")))</f>
        <v/>
      </c>
      <c r="E1574">
        <f>IF(OR($A1574="",$C1574=""),"",IF(ISNUMBER(Wages!$B1577),MOD(Wages!$B1577,100),IFERROR(VALUE(TRIM(MID(MID(Wages!$B1577,FIND("/",Wages!$B1577)+1,20),FIND("/",MID(Wages!$B1577,FIND("/",Wages!$B1577)+1,20))+1,20))),"")))</f>
        <v/>
      </c>
      <c r="F1574">
        <f>IF($A1574="","",IF(OR($C1574="",$D1574="",$E1574="",$C1574&lt;1300,$C1574&gt;1500,$D1574&lt;1,$D1574&gt;12,$E1574&lt;1,$E1574&gt;31),"نامعتبر",RIGHT("0000"&amp;$C1574,4)&amp;"/"&amp;RIGHT("00"&amp;$D1574,2)&amp;"/"&amp;RIGHT("00"&amp;$E1574,2)))</f>
        <v/>
      </c>
      <c r="G1574">
        <f>IF(OR($A1574="",$F1574="",$F1574="نامعتبر"),"",LEFT($F1574,4)&amp;MID($F1574,6,2)&amp;RIGHT($F1574,2)&amp;"0000"&amp;"|"&amp;"1"&amp;RIGHT("00000"&amp;1569,5))</f>
        <v/>
      </c>
      <c r="H1574">
        <f>IF(OR($B1574&lt;&gt;1,$G1574=""),"",COUNTIFS(LdAParty,$A1574,LdAType,1,LdAKey,"&lt;"&amp;$G1574)+COUNTIFS(LdBMember,$A1574,LdBKey,"&lt;"&amp;$G1574)+COUNTIFS(LdCParty,$A1574,LdCKey,"&lt;"&amp;$G1574)+1)</f>
        <v/>
      </c>
      <c r="I1574">
        <f>IF($H1574="","",$A1574&amp;"|"&amp;RIGHT("000000"&amp;$H1574,6))</f>
        <v/>
      </c>
      <c r="J1574">
        <f>IF(OR($B1574&lt;&gt;2,$G1574=""),"",COUNTIFS(LdAParty,$A1574,LdAType,2,LdAKey,"&lt;"&amp;$G1574)+1)</f>
        <v/>
      </c>
      <c r="K1574">
        <f>IF($J1574="","",$A1574&amp;"|"&amp;RIGHT("000000"&amp;$J1574,6))</f>
        <v/>
      </c>
      <c r="L1574">
        <f>IF($A1574="","",IF(Wages!$G1577="",0,Wages!$G1577))</f>
        <v/>
      </c>
      <c r="M1574">
        <f>IF($A1574="","",Wages!$J1577)</f>
        <v/>
      </c>
      <c r="N1574">
        <f>IF($A1574="","",Wages!$D1577)</f>
        <v/>
      </c>
      <c r="P1574">
        <f>IF(OR(Shares!$B1577="",Shares!$C1577=""),"",Shares!$C1577)</f>
        <v/>
      </c>
      <c r="Q1574">
        <f>IF($P1574="","",Shares!$B1577)</f>
        <v/>
      </c>
      <c r="R1574">
        <f>IF($P1574="","",IFERROR(INDEX(WageParty,MATCH($Q1574,WageIds,0)),""))</f>
        <v/>
      </c>
      <c r="S1574">
        <f>IF($P1574="","",IFERROR(INDEX($F$6:$F$2005,MATCH($Q1574,WageIds,0)),""))</f>
        <v/>
      </c>
      <c r="T1574">
        <f>IF(OR($P1574="",$S1574="",$S1574="نامعتبر"),"",LEFT($S1574,4)&amp;MID($S1574,6,2)&amp;RIGHT($S1574,2)&amp;"0000"&amp;"|"&amp;"2"&amp;RIGHT("00000"&amp;1569,5))</f>
        <v/>
      </c>
      <c r="U1574">
        <f>IF($T1574="","",COUNTIFS(LdAParty,$P1574,LdAType,1,LdAKey,"&lt;"&amp;$T1574)+COUNTIFS(LdBMember,$P1574,LdBKey,"&lt;"&amp;$T1574)+COUNTIFS(LdCParty,$P1574,LdCKey,"&lt;"&amp;$T1574)+1)</f>
        <v/>
      </c>
      <c r="V1574">
        <f>IF($U1574="","",$P1574&amp;"|"&amp;RIGHT("000000"&amp;$U1574,6))</f>
        <v/>
      </c>
      <c r="W1574">
        <f>IF($T1574="","",COUNTIFS(LdBGroup,$R1574,LdBKey,"&lt;"&amp;$T1574)+1)</f>
        <v/>
      </c>
      <c r="X1574">
        <f>IF($W1574="","",$R1574&amp;"|"&amp;RIGHT("000000"&amp;$W1574,6))</f>
        <v/>
      </c>
      <c r="Y1574">
        <f>IF($P1574="","",IF(Shares!$E1577="",0,Shares!$E1577))</f>
        <v/>
      </c>
      <c r="Z1574">
        <f>IF($P1574="","",Shares!$H1577)</f>
        <v/>
      </c>
      <c r="AE1574">
        <f>IF(OR(Sync!$S1574="",Sync!$P1574=""),"",Sync!$S1574)</f>
        <v/>
      </c>
      <c r="AF1574">
        <f>IF($AE1574="","",IF(ISNUMBER(Sync!$P1574),IF(AND(Sync!$P1574&gt;=10000101,Sync!$P1574&lt;=99991231),INT(Sync!$P1574/10000),""),IFERROR(VALUE(TRIM(LEFT(Sync!$P1574,FIND("/",Sync!$P1574)-1))),"")))</f>
        <v/>
      </c>
      <c r="AG1574">
        <f>IF(OR($AE1574="",$AF1574=""),"",IF(ISNUMBER(Sync!$P1574),INT(MOD(Sync!$P1574,10000)/100),IFERROR(VALUE(TRIM(LEFT(MID(Sync!$P1574,FIND("/",Sync!$P1574)+1,20),FIND("/",MID(Sync!$P1574,FIND("/",Sync!$P1574)+1,20))-1))),"")))</f>
        <v/>
      </c>
      <c r="AH1574">
        <f>IF(OR($AE1574="",$AF1574=""),"",IF(ISNUMBER(Sync!$P1574),MOD(Sync!$P1574,100),IFERROR(VALUE(TRIM(MID(MID(Sync!$P1574,FIND("/",Sync!$P1574)+1,20),FIND("/",MID(Sync!$P1574,FIND("/",Sync!$P1574)+1,20))+1,20))),"")))</f>
        <v/>
      </c>
      <c r="AI1574">
        <f>IF($AE1574="","",IF(OR($AF1574="",$AG1574="",$AH1574="",$AF1574&lt;1300,$AF1574&gt;1500,$AG1574&lt;1,$AG1574&gt;12,$AH1574&lt;1,$AH1574&gt;31),"نامعتبر",RIGHT("0000"&amp;$AF1574,4)&amp;"/"&amp;RIGHT("00"&amp;$AG1574,2)&amp;"/"&amp;RIGHT("00"&amp;$AH1574,2)))</f>
        <v/>
      </c>
      <c r="AJ1574">
        <f>IF($AE1574="","",IF(Sync!$Q1574="","0000",IF(AND(ISNUMBER(Sync!$Q1574),Sync!$Q1574&gt;=0,Sync!$Q1574&lt;1),RIGHT("00"&amp;HOUR(Sync!$Q1574),2)&amp;RIGHT("00"&amp;MINUTE(Sync!$Q1574),2),IFERROR(RIGHT("00"&amp;VALUE(LEFT(Sync!$Q1574,FIND(":",Sync!$Q1574)-1)),2)&amp;RIGHT("00"&amp;VALUE(MID(Sync!$Q1574,FIND(":",Sync!$Q1574)+1,2)),2),"0000"))))</f>
        <v/>
      </c>
      <c r="AK1574">
        <f>IF(OR($AE1574="",$AI1574="",$AI1574="نامعتبر"),"",LEFT($AI1574,4)&amp;MID($AI1574,6,2)&amp;RIGHT($AI1574,2)&amp;$AJ1574&amp;"|"&amp;"3"&amp;RIGHT("00000"&amp;1569,5))</f>
        <v/>
      </c>
      <c r="AL1574">
        <f>IF($AK1574="","",COUNTIFS(LdAParty,$AE1574,LdAType,1,LdAKey,"&lt;"&amp;$AK1574)+COUNTIFS(LdBMember,$AE1574,LdBKey,"&lt;"&amp;$AK1574)+COUNTIFS(LdCParty,$AE1574,LdCKey,"&lt;"&amp;$AK1574)+1)</f>
        <v/>
      </c>
      <c r="AM1574">
        <f>IF($AL1574="","",$AE1574&amp;"|"&amp;RIGHT("000000"&amp;$AL1574,6))</f>
        <v/>
      </c>
      <c r="AN1574">
        <f>IF($AE1574="","",IF(Sync!$W1574="",0,Sync!$W1574))</f>
        <v/>
      </c>
      <c r="AO1574">
        <f>IF($AE1574="","",IF(Sync!$X1574="",0,Sync!$X1574))</f>
        <v/>
      </c>
      <c r="AP1574">
        <f>IF($AE1574="","",Sync!$R1574)</f>
        <v/>
      </c>
      <c r="AQ1574">
        <f>IF($AE1574="","",Sync!$Y1574)</f>
        <v/>
      </c>
    </row>
    <row r="1575">
      <c r="A1575">
        <f>IF(OR(Wages!$B1578="",Wages!$E1578=""),"",Wages!$E1578)</f>
        <v/>
      </c>
      <c r="B1575">
        <f>IF($A1575="","",IF(Wages!$C1578="دستمزد گروهی",2,1))</f>
        <v/>
      </c>
      <c r="C1575">
        <f>IF($A1575="","",IF(ISNUMBER(Wages!$B1578),IF(AND(Wages!$B1578&gt;=10000101,Wages!$B1578&lt;=99991231),INT(Wages!$B1578/10000),""),IFERROR(VALUE(TRIM(LEFT(Wages!$B1578,FIND("/",Wages!$B1578)-1))),"")))</f>
        <v/>
      </c>
      <c r="D1575">
        <f>IF(OR($A1575="",$C1575=""),"",IF(ISNUMBER(Wages!$B1578),INT(MOD(Wages!$B1578,10000)/100),IFERROR(VALUE(TRIM(LEFT(MID(Wages!$B1578,FIND("/",Wages!$B1578)+1,20),FIND("/",MID(Wages!$B1578,FIND("/",Wages!$B1578)+1,20))-1))),"")))</f>
        <v/>
      </c>
      <c r="E1575">
        <f>IF(OR($A1575="",$C1575=""),"",IF(ISNUMBER(Wages!$B1578),MOD(Wages!$B1578,100),IFERROR(VALUE(TRIM(MID(MID(Wages!$B1578,FIND("/",Wages!$B1578)+1,20),FIND("/",MID(Wages!$B1578,FIND("/",Wages!$B1578)+1,20))+1,20))),"")))</f>
        <v/>
      </c>
      <c r="F1575">
        <f>IF($A1575="","",IF(OR($C1575="",$D1575="",$E1575="",$C1575&lt;1300,$C1575&gt;1500,$D1575&lt;1,$D1575&gt;12,$E1575&lt;1,$E1575&gt;31),"نامعتبر",RIGHT("0000"&amp;$C1575,4)&amp;"/"&amp;RIGHT("00"&amp;$D1575,2)&amp;"/"&amp;RIGHT("00"&amp;$E1575,2)))</f>
        <v/>
      </c>
      <c r="G1575">
        <f>IF(OR($A1575="",$F1575="",$F1575="نامعتبر"),"",LEFT($F1575,4)&amp;MID($F1575,6,2)&amp;RIGHT($F1575,2)&amp;"0000"&amp;"|"&amp;"1"&amp;RIGHT("00000"&amp;1570,5))</f>
        <v/>
      </c>
      <c r="H1575">
        <f>IF(OR($B1575&lt;&gt;1,$G1575=""),"",COUNTIFS(LdAParty,$A1575,LdAType,1,LdAKey,"&lt;"&amp;$G1575)+COUNTIFS(LdBMember,$A1575,LdBKey,"&lt;"&amp;$G1575)+COUNTIFS(LdCParty,$A1575,LdCKey,"&lt;"&amp;$G1575)+1)</f>
        <v/>
      </c>
      <c r="I1575">
        <f>IF($H1575="","",$A1575&amp;"|"&amp;RIGHT("000000"&amp;$H1575,6))</f>
        <v/>
      </c>
      <c r="J1575">
        <f>IF(OR($B1575&lt;&gt;2,$G1575=""),"",COUNTIFS(LdAParty,$A1575,LdAType,2,LdAKey,"&lt;"&amp;$G1575)+1)</f>
        <v/>
      </c>
      <c r="K1575">
        <f>IF($J1575="","",$A1575&amp;"|"&amp;RIGHT("000000"&amp;$J1575,6))</f>
        <v/>
      </c>
      <c r="L1575">
        <f>IF($A1575="","",IF(Wages!$G1578="",0,Wages!$G1578))</f>
        <v/>
      </c>
      <c r="M1575">
        <f>IF($A1575="","",Wages!$J1578)</f>
        <v/>
      </c>
      <c r="N1575">
        <f>IF($A1575="","",Wages!$D1578)</f>
        <v/>
      </c>
      <c r="P1575">
        <f>IF(OR(Shares!$B1578="",Shares!$C1578=""),"",Shares!$C1578)</f>
        <v/>
      </c>
      <c r="Q1575">
        <f>IF($P1575="","",Shares!$B1578)</f>
        <v/>
      </c>
      <c r="R1575">
        <f>IF($P1575="","",IFERROR(INDEX(WageParty,MATCH($Q1575,WageIds,0)),""))</f>
        <v/>
      </c>
      <c r="S1575">
        <f>IF($P1575="","",IFERROR(INDEX($F$6:$F$2005,MATCH($Q1575,WageIds,0)),""))</f>
        <v/>
      </c>
      <c r="T1575">
        <f>IF(OR($P1575="",$S1575="",$S1575="نامعتبر"),"",LEFT($S1575,4)&amp;MID($S1575,6,2)&amp;RIGHT($S1575,2)&amp;"0000"&amp;"|"&amp;"2"&amp;RIGHT("00000"&amp;1570,5))</f>
        <v/>
      </c>
      <c r="U1575">
        <f>IF($T1575="","",COUNTIFS(LdAParty,$P1575,LdAType,1,LdAKey,"&lt;"&amp;$T1575)+COUNTIFS(LdBMember,$P1575,LdBKey,"&lt;"&amp;$T1575)+COUNTIFS(LdCParty,$P1575,LdCKey,"&lt;"&amp;$T1575)+1)</f>
        <v/>
      </c>
      <c r="V1575">
        <f>IF($U1575="","",$P1575&amp;"|"&amp;RIGHT("000000"&amp;$U1575,6))</f>
        <v/>
      </c>
      <c r="W1575">
        <f>IF($T1575="","",COUNTIFS(LdBGroup,$R1575,LdBKey,"&lt;"&amp;$T1575)+1)</f>
        <v/>
      </c>
      <c r="X1575">
        <f>IF($W1575="","",$R1575&amp;"|"&amp;RIGHT("000000"&amp;$W1575,6))</f>
        <v/>
      </c>
      <c r="Y1575">
        <f>IF($P1575="","",IF(Shares!$E1578="",0,Shares!$E1578))</f>
        <v/>
      </c>
      <c r="Z1575">
        <f>IF($P1575="","",Shares!$H1578)</f>
        <v/>
      </c>
      <c r="AE1575">
        <f>IF(OR(Sync!$S1575="",Sync!$P1575=""),"",Sync!$S1575)</f>
        <v/>
      </c>
      <c r="AF1575">
        <f>IF($AE1575="","",IF(ISNUMBER(Sync!$P1575),IF(AND(Sync!$P1575&gt;=10000101,Sync!$P1575&lt;=99991231),INT(Sync!$P1575/10000),""),IFERROR(VALUE(TRIM(LEFT(Sync!$P1575,FIND("/",Sync!$P1575)-1))),"")))</f>
        <v/>
      </c>
      <c r="AG1575">
        <f>IF(OR($AE1575="",$AF1575=""),"",IF(ISNUMBER(Sync!$P1575),INT(MOD(Sync!$P1575,10000)/100),IFERROR(VALUE(TRIM(LEFT(MID(Sync!$P1575,FIND("/",Sync!$P1575)+1,20),FIND("/",MID(Sync!$P1575,FIND("/",Sync!$P1575)+1,20))-1))),"")))</f>
        <v/>
      </c>
      <c r="AH1575">
        <f>IF(OR($AE1575="",$AF1575=""),"",IF(ISNUMBER(Sync!$P1575),MOD(Sync!$P1575,100),IFERROR(VALUE(TRIM(MID(MID(Sync!$P1575,FIND("/",Sync!$P1575)+1,20),FIND("/",MID(Sync!$P1575,FIND("/",Sync!$P1575)+1,20))+1,20))),"")))</f>
        <v/>
      </c>
      <c r="AI1575">
        <f>IF($AE1575="","",IF(OR($AF1575="",$AG1575="",$AH1575="",$AF1575&lt;1300,$AF1575&gt;1500,$AG1575&lt;1,$AG1575&gt;12,$AH1575&lt;1,$AH1575&gt;31),"نامعتبر",RIGHT("0000"&amp;$AF1575,4)&amp;"/"&amp;RIGHT("00"&amp;$AG1575,2)&amp;"/"&amp;RIGHT("00"&amp;$AH1575,2)))</f>
        <v/>
      </c>
      <c r="AJ1575">
        <f>IF($AE1575="","",IF(Sync!$Q1575="","0000",IF(AND(ISNUMBER(Sync!$Q1575),Sync!$Q1575&gt;=0,Sync!$Q1575&lt;1),RIGHT("00"&amp;HOUR(Sync!$Q1575),2)&amp;RIGHT("00"&amp;MINUTE(Sync!$Q1575),2),IFERROR(RIGHT("00"&amp;VALUE(LEFT(Sync!$Q1575,FIND(":",Sync!$Q1575)-1)),2)&amp;RIGHT("00"&amp;VALUE(MID(Sync!$Q1575,FIND(":",Sync!$Q1575)+1,2)),2),"0000"))))</f>
        <v/>
      </c>
      <c r="AK1575">
        <f>IF(OR($AE1575="",$AI1575="",$AI1575="نامعتبر"),"",LEFT($AI1575,4)&amp;MID($AI1575,6,2)&amp;RIGHT($AI1575,2)&amp;$AJ1575&amp;"|"&amp;"3"&amp;RIGHT("00000"&amp;1570,5))</f>
        <v/>
      </c>
      <c r="AL1575">
        <f>IF($AK1575="","",COUNTIFS(LdAParty,$AE1575,LdAType,1,LdAKey,"&lt;"&amp;$AK1575)+COUNTIFS(LdBMember,$AE1575,LdBKey,"&lt;"&amp;$AK1575)+COUNTIFS(LdCParty,$AE1575,LdCKey,"&lt;"&amp;$AK1575)+1)</f>
        <v/>
      </c>
      <c r="AM1575">
        <f>IF($AL1575="","",$AE1575&amp;"|"&amp;RIGHT("000000"&amp;$AL1575,6))</f>
        <v/>
      </c>
      <c r="AN1575">
        <f>IF($AE1575="","",IF(Sync!$W1575="",0,Sync!$W1575))</f>
        <v/>
      </c>
      <c r="AO1575">
        <f>IF($AE1575="","",IF(Sync!$X1575="",0,Sync!$X1575))</f>
        <v/>
      </c>
      <c r="AP1575">
        <f>IF($AE1575="","",Sync!$R1575)</f>
        <v/>
      </c>
      <c r="AQ1575">
        <f>IF($AE1575="","",Sync!$Y1575)</f>
        <v/>
      </c>
    </row>
    <row r="1576">
      <c r="A1576">
        <f>IF(OR(Wages!$B1579="",Wages!$E1579=""),"",Wages!$E1579)</f>
        <v/>
      </c>
      <c r="B1576">
        <f>IF($A1576="","",IF(Wages!$C1579="دستمزد گروهی",2,1))</f>
        <v/>
      </c>
      <c r="C1576">
        <f>IF($A1576="","",IF(ISNUMBER(Wages!$B1579),IF(AND(Wages!$B1579&gt;=10000101,Wages!$B1579&lt;=99991231),INT(Wages!$B1579/10000),""),IFERROR(VALUE(TRIM(LEFT(Wages!$B1579,FIND("/",Wages!$B1579)-1))),"")))</f>
        <v/>
      </c>
      <c r="D1576">
        <f>IF(OR($A1576="",$C1576=""),"",IF(ISNUMBER(Wages!$B1579),INT(MOD(Wages!$B1579,10000)/100),IFERROR(VALUE(TRIM(LEFT(MID(Wages!$B1579,FIND("/",Wages!$B1579)+1,20),FIND("/",MID(Wages!$B1579,FIND("/",Wages!$B1579)+1,20))-1))),"")))</f>
        <v/>
      </c>
      <c r="E1576">
        <f>IF(OR($A1576="",$C1576=""),"",IF(ISNUMBER(Wages!$B1579),MOD(Wages!$B1579,100),IFERROR(VALUE(TRIM(MID(MID(Wages!$B1579,FIND("/",Wages!$B1579)+1,20),FIND("/",MID(Wages!$B1579,FIND("/",Wages!$B1579)+1,20))+1,20))),"")))</f>
        <v/>
      </c>
      <c r="F1576">
        <f>IF($A1576="","",IF(OR($C1576="",$D1576="",$E1576="",$C1576&lt;1300,$C1576&gt;1500,$D1576&lt;1,$D1576&gt;12,$E1576&lt;1,$E1576&gt;31),"نامعتبر",RIGHT("0000"&amp;$C1576,4)&amp;"/"&amp;RIGHT("00"&amp;$D1576,2)&amp;"/"&amp;RIGHT("00"&amp;$E1576,2)))</f>
        <v/>
      </c>
      <c r="G1576">
        <f>IF(OR($A1576="",$F1576="",$F1576="نامعتبر"),"",LEFT($F1576,4)&amp;MID($F1576,6,2)&amp;RIGHT($F1576,2)&amp;"0000"&amp;"|"&amp;"1"&amp;RIGHT("00000"&amp;1571,5))</f>
        <v/>
      </c>
      <c r="H1576">
        <f>IF(OR($B1576&lt;&gt;1,$G1576=""),"",COUNTIFS(LdAParty,$A1576,LdAType,1,LdAKey,"&lt;"&amp;$G1576)+COUNTIFS(LdBMember,$A1576,LdBKey,"&lt;"&amp;$G1576)+COUNTIFS(LdCParty,$A1576,LdCKey,"&lt;"&amp;$G1576)+1)</f>
        <v/>
      </c>
      <c r="I1576">
        <f>IF($H1576="","",$A1576&amp;"|"&amp;RIGHT("000000"&amp;$H1576,6))</f>
        <v/>
      </c>
      <c r="J1576">
        <f>IF(OR($B1576&lt;&gt;2,$G1576=""),"",COUNTIFS(LdAParty,$A1576,LdAType,2,LdAKey,"&lt;"&amp;$G1576)+1)</f>
        <v/>
      </c>
      <c r="K1576">
        <f>IF($J1576="","",$A1576&amp;"|"&amp;RIGHT("000000"&amp;$J1576,6))</f>
        <v/>
      </c>
      <c r="L1576">
        <f>IF($A1576="","",IF(Wages!$G1579="",0,Wages!$G1579))</f>
        <v/>
      </c>
      <c r="M1576">
        <f>IF($A1576="","",Wages!$J1579)</f>
        <v/>
      </c>
      <c r="N1576">
        <f>IF($A1576="","",Wages!$D1579)</f>
        <v/>
      </c>
      <c r="P1576">
        <f>IF(OR(Shares!$B1579="",Shares!$C1579=""),"",Shares!$C1579)</f>
        <v/>
      </c>
      <c r="Q1576">
        <f>IF($P1576="","",Shares!$B1579)</f>
        <v/>
      </c>
      <c r="R1576">
        <f>IF($P1576="","",IFERROR(INDEX(WageParty,MATCH($Q1576,WageIds,0)),""))</f>
        <v/>
      </c>
      <c r="S1576">
        <f>IF($P1576="","",IFERROR(INDEX($F$6:$F$2005,MATCH($Q1576,WageIds,0)),""))</f>
        <v/>
      </c>
      <c r="T1576">
        <f>IF(OR($P1576="",$S1576="",$S1576="نامعتبر"),"",LEFT($S1576,4)&amp;MID($S1576,6,2)&amp;RIGHT($S1576,2)&amp;"0000"&amp;"|"&amp;"2"&amp;RIGHT("00000"&amp;1571,5))</f>
        <v/>
      </c>
      <c r="U1576">
        <f>IF($T1576="","",COUNTIFS(LdAParty,$P1576,LdAType,1,LdAKey,"&lt;"&amp;$T1576)+COUNTIFS(LdBMember,$P1576,LdBKey,"&lt;"&amp;$T1576)+COUNTIFS(LdCParty,$P1576,LdCKey,"&lt;"&amp;$T1576)+1)</f>
        <v/>
      </c>
      <c r="V1576">
        <f>IF($U1576="","",$P1576&amp;"|"&amp;RIGHT("000000"&amp;$U1576,6))</f>
        <v/>
      </c>
      <c r="W1576">
        <f>IF($T1576="","",COUNTIFS(LdBGroup,$R1576,LdBKey,"&lt;"&amp;$T1576)+1)</f>
        <v/>
      </c>
      <c r="X1576">
        <f>IF($W1576="","",$R1576&amp;"|"&amp;RIGHT("000000"&amp;$W1576,6))</f>
        <v/>
      </c>
      <c r="Y1576">
        <f>IF($P1576="","",IF(Shares!$E1579="",0,Shares!$E1579))</f>
        <v/>
      </c>
      <c r="Z1576">
        <f>IF($P1576="","",Shares!$H1579)</f>
        <v/>
      </c>
      <c r="AE1576">
        <f>IF(OR(Sync!$S1576="",Sync!$P1576=""),"",Sync!$S1576)</f>
        <v/>
      </c>
      <c r="AF1576">
        <f>IF($AE1576="","",IF(ISNUMBER(Sync!$P1576),IF(AND(Sync!$P1576&gt;=10000101,Sync!$P1576&lt;=99991231),INT(Sync!$P1576/10000),""),IFERROR(VALUE(TRIM(LEFT(Sync!$P1576,FIND("/",Sync!$P1576)-1))),"")))</f>
        <v/>
      </c>
      <c r="AG1576">
        <f>IF(OR($AE1576="",$AF1576=""),"",IF(ISNUMBER(Sync!$P1576),INT(MOD(Sync!$P1576,10000)/100),IFERROR(VALUE(TRIM(LEFT(MID(Sync!$P1576,FIND("/",Sync!$P1576)+1,20),FIND("/",MID(Sync!$P1576,FIND("/",Sync!$P1576)+1,20))-1))),"")))</f>
        <v/>
      </c>
      <c r="AH1576">
        <f>IF(OR($AE1576="",$AF1576=""),"",IF(ISNUMBER(Sync!$P1576),MOD(Sync!$P1576,100),IFERROR(VALUE(TRIM(MID(MID(Sync!$P1576,FIND("/",Sync!$P1576)+1,20),FIND("/",MID(Sync!$P1576,FIND("/",Sync!$P1576)+1,20))+1,20))),"")))</f>
        <v/>
      </c>
      <c r="AI1576">
        <f>IF($AE1576="","",IF(OR($AF1576="",$AG1576="",$AH1576="",$AF1576&lt;1300,$AF1576&gt;1500,$AG1576&lt;1,$AG1576&gt;12,$AH1576&lt;1,$AH1576&gt;31),"نامعتبر",RIGHT("0000"&amp;$AF1576,4)&amp;"/"&amp;RIGHT("00"&amp;$AG1576,2)&amp;"/"&amp;RIGHT("00"&amp;$AH1576,2)))</f>
        <v/>
      </c>
      <c r="AJ1576">
        <f>IF($AE1576="","",IF(Sync!$Q1576="","0000",IF(AND(ISNUMBER(Sync!$Q1576),Sync!$Q1576&gt;=0,Sync!$Q1576&lt;1),RIGHT("00"&amp;HOUR(Sync!$Q1576),2)&amp;RIGHT("00"&amp;MINUTE(Sync!$Q1576),2),IFERROR(RIGHT("00"&amp;VALUE(LEFT(Sync!$Q1576,FIND(":",Sync!$Q1576)-1)),2)&amp;RIGHT("00"&amp;VALUE(MID(Sync!$Q1576,FIND(":",Sync!$Q1576)+1,2)),2),"0000"))))</f>
        <v/>
      </c>
      <c r="AK1576">
        <f>IF(OR($AE1576="",$AI1576="",$AI1576="نامعتبر"),"",LEFT($AI1576,4)&amp;MID($AI1576,6,2)&amp;RIGHT($AI1576,2)&amp;$AJ1576&amp;"|"&amp;"3"&amp;RIGHT("00000"&amp;1571,5))</f>
        <v/>
      </c>
      <c r="AL1576">
        <f>IF($AK1576="","",COUNTIFS(LdAParty,$AE1576,LdAType,1,LdAKey,"&lt;"&amp;$AK1576)+COUNTIFS(LdBMember,$AE1576,LdBKey,"&lt;"&amp;$AK1576)+COUNTIFS(LdCParty,$AE1576,LdCKey,"&lt;"&amp;$AK1576)+1)</f>
        <v/>
      </c>
      <c r="AM1576">
        <f>IF($AL1576="","",$AE1576&amp;"|"&amp;RIGHT("000000"&amp;$AL1576,6))</f>
        <v/>
      </c>
      <c r="AN1576">
        <f>IF($AE1576="","",IF(Sync!$W1576="",0,Sync!$W1576))</f>
        <v/>
      </c>
      <c r="AO1576">
        <f>IF($AE1576="","",IF(Sync!$X1576="",0,Sync!$X1576))</f>
        <v/>
      </c>
      <c r="AP1576">
        <f>IF($AE1576="","",Sync!$R1576)</f>
        <v/>
      </c>
      <c r="AQ1576">
        <f>IF($AE1576="","",Sync!$Y1576)</f>
        <v/>
      </c>
    </row>
    <row r="1577">
      <c r="A1577">
        <f>IF(OR(Wages!$B1580="",Wages!$E1580=""),"",Wages!$E1580)</f>
        <v/>
      </c>
      <c r="B1577">
        <f>IF($A1577="","",IF(Wages!$C1580="دستمزد گروهی",2,1))</f>
        <v/>
      </c>
      <c r="C1577">
        <f>IF($A1577="","",IF(ISNUMBER(Wages!$B1580),IF(AND(Wages!$B1580&gt;=10000101,Wages!$B1580&lt;=99991231),INT(Wages!$B1580/10000),""),IFERROR(VALUE(TRIM(LEFT(Wages!$B1580,FIND("/",Wages!$B1580)-1))),"")))</f>
        <v/>
      </c>
      <c r="D1577">
        <f>IF(OR($A1577="",$C1577=""),"",IF(ISNUMBER(Wages!$B1580),INT(MOD(Wages!$B1580,10000)/100),IFERROR(VALUE(TRIM(LEFT(MID(Wages!$B1580,FIND("/",Wages!$B1580)+1,20),FIND("/",MID(Wages!$B1580,FIND("/",Wages!$B1580)+1,20))-1))),"")))</f>
        <v/>
      </c>
      <c r="E1577">
        <f>IF(OR($A1577="",$C1577=""),"",IF(ISNUMBER(Wages!$B1580),MOD(Wages!$B1580,100),IFERROR(VALUE(TRIM(MID(MID(Wages!$B1580,FIND("/",Wages!$B1580)+1,20),FIND("/",MID(Wages!$B1580,FIND("/",Wages!$B1580)+1,20))+1,20))),"")))</f>
        <v/>
      </c>
      <c r="F1577">
        <f>IF($A1577="","",IF(OR($C1577="",$D1577="",$E1577="",$C1577&lt;1300,$C1577&gt;1500,$D1577&lt;1,$D1577&gt;12,$E1577&lt;1,$E1577&gt;31),"نامعتبر",RIGHT("0000"&amp;$C1577,4)&amp;"/"&amp;RIGHT("00"&amp;$D1577,2)&amp;"/"&amp;RIGHT("00"&amp;$E1577,2)))</f>
        <v/>
      </c>
      <c r="G1577">
        <f>IF(OR($A1577="",$F1577="",$F1577="نامعتبر"),"",LEFT($F1577,4)&amp;MID($F1577,6,2)&amp;RIGHT($F1577,2)&amp;"0000"&amp;"|"&amp;"1"&amp;RIGHT("00000"&amp;1572,5))</f>
        <v/>
      </c>
      <c r="H1577">
        <f>IF(OR($B1577&lt;&gt;1,$G1577=""),"",COUNTIFS(LdAParty,$A1577,LdAType,1,LdAKey,"&lt;"&amp;$G1577)+COUNTIFS(LdBMember,$A1577,LdBKey,"&lt;"&amp;$G1577)+COUNTIFS(LdCParty,$A1577,LdCKey,"&lt;"&amp;$G1577)+1)</f>
        <v/>
      </c>
      <c r="I1577">
        <f>IF($H1577="","",$A1577&amp;"|"&amp;RIGHT("000000"&amp;$H1577,6))</f>
        <v/>
      </c>
      <c r="J1577">
        <f>IF(OR($B1577&lt;&gt;2,$G1577=""),"",COUNTIFS(LdAParty,$A1577,LdAType,2,LdAKey,"&lt;"&amp;$G1577)+1)</f>
        <v/>
      </c>
      <c r="K1577">
        <f>IF($J1577="","",$A1577&amp;"|"&amp;RIGHT("000000"&amp;$J1577,6))</f>
        <v/>
      </c>
      <c r="L1577">
        <f>IF($A1577="","",IF(Wages!$G1580="",0,Wages!$G1580))</f>
        <v/>
      </c>
      <c r="M1577">
        <f>IF($A1577="","",Wages!$J1580)</f>
        <v/>
      </c>
      <c r="N1577">
        <f>IF($A1577="","",Wages!$D1580)</f>
        <v/>
      </c>
      <c r="P1577">
        <f>IF(OR(Shares!$B1580="",Shares!$C1580=""),"",Shares!$C1580)</f>
        <v/>
      </c>
      <c r="Q1577">
        <f>IF($P1577="","",Shares!$B1580)</f>
        <v/>
      </c>
      <c r="R1577">
        <f>IF($P1577="","",IFERROR(INDEX(WageParty,MATCH($Q1577,WageIds,0)),""))</f>
        <v/>
      </c>
      <c r="S1577">
        <f>IF($P1577="","",IFERROR(INDEX($F$6:$F$2005,MATCH($Q1577,WageIds,0)),""))</f>
        <v/>
      </c>
      <c r="T1577">
        <f>IF(OR($P1577="",$S1577="",$S1577="نامعتبر"),"",LEFT($S1577,4)&amp;MID($S1577,6,2)&amp;RIGHT($S1577,2)&amp;"0000"&amp;"|"&amp;"2"&amp;RIGHT("00000"&amp;1572,5))</f>
        <v/>
      </c>
      <c r="U1577">
        <f>IF($T1577="","",COUNTIFS(LdAParty,$P1577,LdAType,1,LdAKey,"&lt;"&amp;$T1577)+COUNTIFS(LdBMember,$P1577,LdBKey,"&lt;"&amp;$T1577)+COUNTIFS(LdCParty,$P1577,LdCKey,"&lt;"&amp;$T1577)+1)</f>
        <v/>
      </c>
      <c r="V1577">
        <f>IF($U1577="","",$P1577&amp;"|"&amp;RIGHT("000000"&amp;$U1577,6))</f>
        <v/>
      </c>
      <c r="W1577">
        <f>IF($T1577="","",COUNTIFS(LdBGroup,$R1577,LdBKey,"&lt;"&amp;$T1577)+1)</f>
        <v/>
      </c>
      <c r="X1577">
        <f>IF($W1577="","",$R1577&amp;"|"&amp;RIGHT("000000"&amp;$W1577,6))</f>
        <v/>
      </c>
      <c r="Y1577">
        <f>IF($P1577="","",IF(Shares!$E1580="",0,Shares!$E1580))</f>
        <v/>
      </c>
      <c r="Z1577">
        <f>IF($P1577="","",Shares!$H1580)</f>
        <v/>
      </c>
      <c r="AE1577">
        <f>IF(OR(Sync!$S1577="",Sync!$P1577=""),"",Sync!$S1577)</f>
        <v/>
      </c>
      <c r="AF1577">
        <f>IF($AE1577="","",IF(ISNUMBER(Sync!$P1577),IF(AND(Sync!$P1577&gt;=10000101,Sync!$P1577&lt;=99991231),INT(Sync!$P1577/10000),""),IFERROR(VALUE(TRIM(LEFT(Sync!$P1577,FIND("/",Sync!$P1577)-1))),"")))</f>
        <v/>
      </c>
      <c r="AG1577">
        <f>IF(OR($AE1577="",$AF1577=""),"",IF(ISNUMBER(Sync!$P1577),INT(MOD(Sync!$P1577,10000)/100),IFERROR(VALUE(TRIM(LEFT(MID(Sync!$P1577,FIND("/",Sync!$P1577)+1,20),FIND("/",MID(Sync!$P1577,FIND("/",Sync!$P1577)+1,20))-1))),"")))</f>
        <v/>
      </c>
      <c r="AH1577">
        <f>IF(OR($AE1577="",$AF1577=""),"",IF(ISNUMBER(Sync!$P1577),MOD(Sync!$P1577,100),IFERROR(VALUE(TRIM(MID(MID(Sync!$P1577,FIND("/",Sync!$P1577)+1,20),FIND("/",MID(Sync!$P1577,FIND("/",Sync!$P1577)+1,20))+1,20))),"")))</f>
        <v/>
      </c>
      <c r="AI1577">
        <f>IF($AE1577="","",IF(OR($AF1577="",$AG1577="",$AH1577="",$AF1577&lt;1300,$AF1577&gt;1500,$AG1577&lt;1,$AG1577&gt;12,$AH1577&lt;1,$AH1577&gt;31),"نامعتبر",RIGHT("0000"&amp;$AF1577,4)&amp;"/"&amp;RIGHT("00"&amp;$AG1577,2)&amp;"/"&amp;RIGHT("00"&amp;$AH1577,2)))</f>
        <v/>
      </c>
      <c r="AJ1577">
        <f>IF($AE1577="","",IF(Sync!$Q1577="","0000",IF(AND(ISNUMBER(Sync!$Q1577),Sync!$Q1577&gt;=0,Sync!$Q1577&lt;1),RIGHT("00"&amp;HOUR(Sync!$Q1577),2)&amp;RIGHT("00"&amp;MINUTE(Sync!$Q1577),2),IFERROR(RIGHT("00"&amp;VALUE(LEFT(Sync!$Q1577,FIND(":",Sync!$Q1577)-1)),2)&amp;RIGHT("00"&amp;VALUE(MID(Sync!$Q1577,FIND(":",Sync!$Q1577)+1,2)),2),"0000"))))</f>
        <v/>
      </c>
      <c r="AK1577">
        <f>IF(OR($AE1577="",$AI1577="",$AI1577="نامعتبر"),"",LEFT($AI1577,4)&amp;MID($AI1577,6,2)&amp;RIGHT($AI1577,2)&amp;$AJ1577&amp;"|"&amp;"3"&amp;RIGHT("00000"&amp;1572,5))</f>
        <v/>
      </c>
      <c r="AL1577">
        <f>IF($AK1577="","",COUNTIFS(LdAParty,$AE1577,LdAType,1,LdAKey,"&lt;"&amp;$AK1577)+COUNTIFS(LdBMember,$AE1577,LdBKey,"&lt;"&amp;$AK1577)+COUNTIFS(LdCParty,$AE1577,LdCKey,"&lt;"&amp;$AK1577)+1)</f>
        <v/>
      </c>
      <c r="AM1577">
        <f>IF($AL1577="","",$AE1577&amp;"|"&amp;RIGHT("000000"&amp;$AL1577,6))</f>
        <v/>
      </c>
      <c r="AN1577">
        <f>IF($AE1577="","",IF(Sync!$W1577="",0,Sync!$W1577))</f>
        <v/>
      </c>
      <c r="AO1577">
        <f>IF($AE1577="","",IF(Sync!$X1577="",0,Sync!$X1577))</f>
        <v/>
      </c>
      <c r="AP1577">
        <f>IF($AE1577="","",Sync!$R1577)</f>
        <v/>
      </c>
      <c r="AQ1577">
        <f>IF($AE1577="","",Sync!$Y1577)</f>
        <v/>
      </c>
    </row>
    <row r="1578">
      <c r="A1578">
        <f>IF(OR(Wages!$B1581="",Wages!$E1581=""),"",Wages!$E1581)</f>
        <v/>
      </c>
      <c r="B1578">
        <f>IF($A1578="","",IF(Wages!$C1581="دستمزد گروهی",2,1))</f>
        <v/>
      </c>
      <c r="C1578">
        <f>IF($A1578="","",IF(ISNUMBER(Wages!$B1581),IF(AND(Wages!$B1581&gt;=10000101,Wages!$B1581&lt;=99991231),INT(Wages!$B1581/10000),""),IFERROR(VALUE(TRIM(LEFT(Wages!$B1581,FIND("/",Wages!$B1581)-1))),"")))</f>
        <v/>
      </c>
      <c r="D1578">
        <f>IF(OR($A1578="",$C1578=""),"",IF(ISNUMBER(Wages!$B1581),INT(MOD(Wages!$B1581,10000)/100),IFERROR(VALUE(TRIM(LEFT(MID(Wages!$B1581,FIND("/",Wages!$B1581)+1,20),FIND("/",MID(Wages!$B1581,FIND("/",Wages!$B1581)+1,20))-1))),"")))</f>
        <v/>
      </c>
      <c r="E1578">
        <f>IF(OR($A1578="",$C1578=""),"",IF(ISNUMBER(Wages!$B1581),MOD(Wages!$B1581,100),IFERROR(VALUE(TRIM(MID(MID(Wages!$B1581,FIND("/",Wages!$B1581)+1,20),FIND("/",MID(Wages!$B1581,FIND("/",Wages!$B1581)+1,20))+1,20))),"")))</f>
        <v/>
      </c>
      <c r="F1578">
        <f>IF($A1578="","",IF(OR($C1578="",$D1578="",$E1578="",$C1578&lt;1300,$C1578&gt;1500,$D1578&lt;1,$D1578&gt;12,$E1578&lt;1,$E1578&gt;31),"نامعتبر",RIGHT("0000"&amp;$C1578,4)&amp;"/"&amp;RIGHT("00"&amp;$D1578,2)&amp;"/"&amp;RIGHT("00"&amp;$E1578,2)))</f>
        <v/>
      </c>
      <c r="G1578">
        <f>IF(OR($A1578="",$F1578="",$F1578="نامعتبر"),"",LEFT($F1578,4)&amp;MID($F1578,6,2)&amp;RIGHT($F1578,2)&amp;"0000"&amp;"|"&amp;"1"&amp;RIGHT("00000"&amp;1573,5))</f>
        <v/>
      </c>
      <c r="H1578">
        <f>IF(OR($B1578&lt;&gt;1,$G1578=""),"",COUNTIFS(LdAParty,$A1578,LdAType,1,LdAKey,"&lt;"&amp;$G1578)+COUNTIFS(LdBMember,$A1578,LdBKey,"&lt;"&amp;$G1578)+COUNTIFS(LdCParty,$A1578,LdCKey,"&lt;"&amp;$G1578)+1)</f>
        <v/>
      </c>
      <c r="I1578">
        <f>IF($H1578="","",$A1578&amp;"|"&amp;RIGHT("000000"&amp;$H1578,6))</f>
        <v/>
      </c>
      <c r="J1578">
        <f>IF(OR($B1578&lt;&gt;2,$G1578=""),"",COUNTIFS(LdAParty,$A1578,LdAType,2,LdAKey,"&lt;"&amp;$G1578)+1)</f>
        <v/>
      </c>
      <c r="K1578">
        <f>IF($J1578="","",$A1578&amp;"|"&amp;RIGHT("000000"&amp;$J1578,6))</f>
        <v/>
      </c>
      <c r="L1578">
        <f>IF($A1578="","",IF(Wages!$G1581="",0,Wages!$G1581))</f>
        <v/>
      </c>
      <c r="M1578">
        <f>IF($A1578="","",Wages!$J1581)</f>
        <v/>
      </c>
      <c r="N1578">
        <f>IF($A1578="","",Wages!$D1581)</f>
        <v/>
      </c>
      <c r="P1578">
        <f>IF(OR(Shares!$B1581="",Shares!$C1581=""),"",Shares!$C1581)</f>
        <v/>
      </c>
      <c r="Q1578">
        <f>IF($P1578="","",Shares!$B1581)</f>
        <v/>
      </c>
      <c r="R1578">
        <f>IF($P1578="","",IFERROR(INDEX(WageParty,MATCH($Q1578,WageIds,0)),""))</f>
        <v/>
      </c>
      <c r="S1578">
        <f>IF($P1578="","",IFERROR(INDEX($F$6:$F$2005,MATCH($Q1578,WageIds,0)),""))</f>
        <v/>
      </c>
      <c r="T1578">
        <f>IF(OR($P1578="",$S1578="",$S1578="نامعتبر"),"",LEFT($S1578,4)&amp;MID($S1578,6,2)&amp;RIGHT($S1578,2)&amp;"0000"&amp;"|"&amp;"2"&amp;RIGHT("00000"&amp;1573,5))</f>
        <v/>
      </c>
      <c r="U1578">
        <f>IF($T1578="","",COUNTIFS(LdAParty,$P1578,LdAType,1,LdAKey,"&lt;"&amp;$T1578)+COUNTIFS(LdBMember,$P1578,LdBKey,"&lt;"&amp;$T1578)+COUNTIFS(LdCParty,$P1578,LdCKey,"&lt;"&amp;$T1578)+1)</f>
        <v/>
      </c>
      <c r="V1578">
        <f>IF($U1578="","",$P1578&amp;"|"&amp;RIGHT("000000"&amp;$U1578,6))</f>
        <v/>
      </c>
      <c r="W1578">
        <f>IF($T1578="","",COUNTIFS(LdBGroup,$R1578,LdBKey,"&lt;"&amp;$T1578)+1)</f>
        <v/>
      </c>
      <c r="X1578">
        <f>IF($W1578="","",$R1578&amp;"|"&amp;RIGHT("000000"&amp;$W1578,6))</f>
        <v/>
      </c>
      <c r="Y1578">
        <f>IF($P1578="","",IF(Shares!$E1581="",0,Shares!$E1581))</f>
        <v/>
      </c>
      <c r="Z1578">
        <f>IF($P1578="","",Shares!$H1581)</f>
        <v/>
      </c>
      <c r="AE1578">
        <f>IF(OR(Sync!$S1578="",Sync!$P1578=""),"",Sync!$S1578)</f>
        <v/>
      </c>
      <c r="AF1578">
        <f>IF($AE1578="","",IF(ISNUMBER(Sync!$P1578),IF(AND(Sync!$P1578&gt;=10000101,Sync!$P1578&lt;=99991231),INT(Sync!$P1578/10000),""),IFERROR(VALUE(TRIM(LEFT(Sync!$P1578,FIND("/",Sync!$P1578)-1))),"")))</f>
        <v/>
      </c>
      <c r="AG1578">
        <f>IF(OR($AE1578="",$AF1578=""),"",IF(ISNUMBER(Sync!$P1578),INT(MOD(Sync!$P1578,10000)/100),IFERROR(VALUE(TRIM(LEFT(MID(Sync!$P1578,FIND("/",Sync!$P1578)+1,20),FIND("/",MID(Sync!$P1578,FIND("/",Sync!$P1578)+1,20))-1))),"")))</f>
        <v/>
      </c>
      <c r="AH1578">
        <f>IF(OR($AE1578="",$AF1578=""),"",IF(ISNUMBER(Sync!$P1578),MOD(Sync!$P1578,100),IFERROR(VALUE(TRIM(MID(MID(Sync!$P1578,FIND("/",Sync!$P1578)+1,20),FIND("/",MID(Sync!$P1578,FIND("/",Sync!$P1578)+1,20))+1,20))),"")))</f>
        <v/>
      </c>
      <c r="AI1578">
        <f>IF($AE1578="","",IF(OR($AF1578="",$AG1578="",$AH1578="",$AF1578&lt;1300,$AF1578&gt;1500,$AG1578&lt;1,$AG1578&gt;12,$AH1578&lt;1,$AH1578&gt;31),"نامعتبر",RIGHT("0000"&amp;$AF1578,4)&amp;"/"&amp;RIGHT("00"&amp;$AG1578,2)&amp;"/"&amp;RIGHT("00"&amp;$AH1578,2)))</f>
        <v/>
      </c>
      <c r="AJ1578">
        <f>IF($AE1578="","",IF(Sync!$Q1578="","0000",IF(AND(ISNUMBER(Sync!$Q1578),Sync!$Q1578&gt;=0,Sync!$Q1578&lt;1),RIGHT("00"&amp;HOUR(Sync!$Q1578),2)&amp;RIGHT("00"&amp;MINUTE(Sync!$Q1578),2),IFERROR(RIGHT("00"&amp;VALUE(LEFT(Sync!$Q1578,FIND(":",Sync!$Q1578)-1)),2)&amp;RIGHT("00"&amp;VALUE(MID(Sync!$Q1578,FIND(":",Sync!$Q1578)+1,2)),2),"0000"))))</f>
        <v/>
      </c>
      <c r="AK1578">
        <f>IF(OR($AE1578="",$AI1578="",$AI1578="نامعتبر"),"",LEFT($AI1578,4)&amp;MID($AI1578,6,2)&amp;RIGHT($AI1578,2)&amp;$AJ1578&amp;"|"&amp;"3"&amp;RIGHT("00000"&amp;1573,5))</f>
        <v/>
      </c>
      <c r="AL1578">
        <f>IF($AK1578="","",COUNTIFS(LdAParty,$AE1578,LdAType,1,LdAKey,"&lt;"&amp;$AK1578)+COUNTIFS(LdBMember,$AE1578,LdBKey,"&lt;"&amp;$AK1578)+COUNTIFS(LdCParty,$AE1578,LdCKey,"&lt;"&amp;$AK1578)+1)</f>
        <v/>
      </c>
      <c r="AM1578">
        <f>IF($AL1578="","",$AE1578&amp;"|"&amp;RIGHT("000000"&amp;$AL1578,6))</f>
        <v/>
      </c>
      <c r="AN1578">
        <f>IF($AE1578="","",IF(Sync!$W1578="",0,Sync!$W1578))</f>
        <v/>
      </c>
      <c r="AO1578">
        <f>IF($AE1578="","",IF(Sync!$X1578="",0,Sync!$X1578))</f>
        <v/>
      </c>
      <c r="AP1578">
        <f>IF($AE1578="","",Sync!$R1578)</f>
        <v/>
      </c>
      <c r="AQ1578">
        <f>IF($AE1578="","",Sync!$Y1578)</f>
        <v/>
      </c>
    </row>
    <row r="1579">
      <c r="A1579">
        <f>IF(OR(Wages!$B1582="",Wages!$E1582=""),"",Wages!$E1582)</f>
        <v/>
      </c>
      <c r="B1579">
        <f>IF($A1579="","",IF(Wages!$C1582="دستمزد گروهی",2,1))</f>
        <v/>
      </c>
      <c r="C1579">
        <f>IF($A1579="","",IF(ISNUMBER(Wages!$B1582),IF(AND(Wages!$B1582&gt;=10000101,Wages!$B1582&lt;=99991231),INT(Wages!$B1582/10000),""),IFERROR(VALUE(TRIM(LEFT(Wages!$B1582,FIND("/",Wages!$B1582)-1))),"")))</f>
        <v/>
      </c>
      <c r="D1579">
        <f>IF(OR($A1579="",$C1579=""),"",IF(ISNUMBER(Wages!$B1582),INT(MOD(Wages!$B1582,10000)/100),IFERROR(VALUE(TRIM(LEFT(MID(Wages!$B1582,FIND("/",Wages!$B1582)+1,20),FIND("/",MID(Wages!$B1582,FIND("/",Wages!$B1582)+1,20))-1))),"")))</f>
        <v/>
      </c>
      <c r="E1579">
        <f>IF(OR($A1579="",$C1579=""),"",IF(ISNUMBER(Wages!$B1582),MOD(Wages!$B1582,100),IFERROR(VALUE(TRIM(MID(MID(Wages!$B1582,FIND("/",Wages!$B1582)+1,20),FIND("/",MID(Wages!$B1582,FIND("/",Wages!$B1582)+1,20))+1,20))),"")))</f>
        <v/>
      </c>
      <c r="F1579">
        <f>IF($A1579="","",IF(OR($C1579="",$D1579="",$E1579="",$C1579&lt;1300,$C1579&gt;1500,$D1579&lt;1,$D1579&gt;12,$E1579&lt;1,$E1579&gt;31),"نامعتبر",RIGHT("0000"&amp;$C1579,4)&amp;"/"&amp;RIGHT("00"&amp;$D1579,2)&amp;"/"&amp;RIGHT("00"&amp;$E1579,2)))</f>
        <v/>
      </c>
      <c r="G1579">
        <f>IF(OR($A1579="",$F1579="",$F1579="نامعتبر"),"",LEFT($F1579,4)&amp;MID($F1579,6,2)&amp;RIGHT($F1579,2)&amp;"0000"&amp;"|"&amp;"1"&amp;RIGHT("00000"&amp;1574,5))</f>
        <v/>
      </c>
      <c r="H1579">
        <f>IF(OR($B1579&lt;&gt;1,$G1579=""),"",COUNTIFS(LdAParty,$A1579,LdAType,1,LdAKey,"&lt;"&amp;$G1579)+COUNTIFS(LdBMember,$A1579,LdBKey,"&lt;"&amp;$G1579)+COUNTIFS(LdCParty,$A1579,LdCKey,"&lt;"&amp;$G1579)+1)</f>
        <v/>
      </c>
      <c r="I1579">
        <f>IF($H1579="","",$A1579&amp;"|"&amp;RIGHT("000000"&amp;$H1579,6))</f>
        <v/>
      </c>
      <c r="J1579">
        <f>IF(OR($B1579&lt;&gt;2,$G1579=""),"",COUNTIFS(LdAParty,$A1579,LdAType,2,LdAKey,"&lt;"&amp;$G1579)+1)</f>
        <v/>
      </c>
      <c r="K1579">
        <f>IF($J1579="","",$A1579&amp;"|"&amp;RIGHT("000000"&amp;$J1579,6))</f>
        <v/>
      </c>
      <c r="L1579">
        <f>IF($A1579="","",IF(Wages!$G1582="",0,Wages!$G1582))</f>
        <v/>
      </c>
      <c r="M1579">
        <f>IF($A1579="","",Wages!$J1582)</f>
        <v/>
      </c>
      <c r="N1579">
        <f>IF($A1579="","",Wages!$D1582)</f>
        <v/>
      </c>
      <c r="P1579">
        <f>IF(OR(Shares!$B1582="",Shares!$C1582=""),"",Shares!$C1582)</f>
        <v/>
      </c>
      <c r="Q1579">
        <f>IF($P1579="","",Shares!$B1582)</f>
        <v/>
      </c>
      <c r="R1579">
        <f>IF($P1579="","",IFERROR(INDEX(WageParty,MATCH($Q1579,WageIds,0)),""))</f>
        <v/>
      </c>
      <c r="S1579">
        <f>IF($P1579="","",IFERROR(INDEX($F$6:$F$2005,MATCH($Q1579,WageIds,0)),""))</f>
        <v/>
      </c>
      <c r="T1579">
        <f>IF(OR($P1579="",$S1579="",$S1579="نامعتبر"),"",LEFT($S1579,4)&amp;MID($S1579,6,2)&amp;RIGHT($S1579,2)&amp;"0000"&amp;"|"&amp;"2"&amp;RIGHT("00000"&amp;1574,5))</f>
        <v/>
      </c>
      <c r="U1579">
        <f>IF($T1579="","",COUNTIFS(LdAParty,$P1579,LdAType,1,LdAKey,"&lt;"&amp;$T1579)+COUNTIFS(LdBMember,$P1579,LdBKey,"&lt;"&amp;$T1579)+COUNTIFS(LdCParty,$P1579,LdCKey,"&lt;"&amp;$T1579)+1)</f>
        <v/>
      </c>
      <c r="V1579">
        <f>IF($U1579="","",$P1579&amp;"|"&amp;RIGHT("000000"&amp;$U1579,6))</f>
        <v/>
      </c>
      <c r="W1579">
        <f>IF($T1579="","",COUNTIFS(LdBGroup,$R1579,LdBKey,"&lt;"&amp;$T1579)+1)</f>
        <v/>
      </c>
      <c r="X1579">
        <f>IF($W1579="","",$R1579&amp;"|"&amp;RIGHT("000000"&amp;$W1579,6))</f>
        <v/>
      </c>
      <c r="Y1579">
        <f>IF($P1579="","",IF(Shares!$E1582="",0,Shares!$E1582))</f>
        <v/>
      </c>
      <c r="Z1579">
        <f>IF($P1579="","",Shares!$H1582)</f>
        <v/>
      </c>
      <c r="AE1579">
        <f>IF(OR(Sync!$S1579="",Sync!$P1579=""),"",Sync!$S1579)</f>
        <v/>
      </c>
      <c r="AF1579">
        <f>IF($AE1579="","",IF(ISNUMBER(Sync!$P1579),IF(AND(Sync!$P1579&gt;=10000101,Sync!$P1579&lt;=99991231),INT(Sync!$P1579/10000),""),IFERROR(VALUE(TRIM(LEFT(Sync!$P1579,FIND("/",Sync!$P1579)-1))),"")))</f>
        <v/>
      </c>
      <c r="AG1579">
        <f>IF(OR($AE1579="",$AF1579=""),"",IF(ISNUMBER(Sync!$P1579),INT(MOD(Sync!$P1579,10000)/100),IFERROR(VALUE(TRIM(LEFT(MID(Sync!$P1579,FIND("/",Sync!$P1579)+1,20),FIND("/",MID(Sync!$P1579,FIND("/",Sync!$P1579)+1,20))-1))),"")))</f>
        <v/>
      </c>
      <c r="AH1579">
        <f>IF(OR($AE1579="",$AF1579=""),"",IF(ISNUMBER(Sync!$P1579),MOD(Sync!$P1579,100),IFERROR(VALUE(TRIM(MID(MID(Sync!$P1579,FIND("/",Sync!$P1579)+1,20),FIND("/",MID(Sync!$P1579,FIND("/",Sync!$P1579)+1,20))+1,20))),"")))</f>
        <v/>
      </c>
      <c r="AI1579">
        <f>IF($AE1579="","",IF(OR($AF1579="",$AG1579="",$AH1579="",$AF1579&lt;1300,$AF1579&gt;1500,$AG1579&lt;1,$AG1579&gt;12,$AH1579&lt;1,$AH1579&gt;31),"نامعتبر",RIGHT("0000"&amp;$AF1579,4)&amp;"/"&amp;RIGHT("00"&amp;$AG1579,2)&amp;"/"&amp;RIGHT("00"&amp;$AH1579,2)))</f>
        <v/>
      </c>
      <c r="AJ1579">
        <f>IF($AE1579="","",IF(Sync!$Q1579="","0000",IF(AND(ISNUMBER(Sync!$Q1579),Sync!$Q1579&gt;=0,Sync!$Q1579&lt;1),RIGHT("00"&amp;HOUR(Sync!$Q1579),2)&amp;RIGHT("00"&amp;MINUTE(Sync!$Q1579),2),IFERROR(RIGHT("00"&amp;VALUE(LEFT(Sync!$Q1579,FIND(":",Sync!$Q1579)-1)),2)&amp;RIGHT("00"&amp;VALUE(MID(Sync!$Q1579,FIND(":",Sync!$Q1579)+1,2)),2),"0000"))))</f>
        <v/>
      </c>
      <c r="AK1579">
        <f>IF(OR($AE1579="",$AI1579="",$AI1579="نامعتبر"),"",LEFT($AI1579,4)&amp;MID($AI1579,6,2)&amp;RIGHT($AI1579,2)&amp;$AJ1579&amp;"|"&amp;"3"&amp;RIGHT("00000"&amp;1574,5))</f>
        <v/>
      </c>
      <c r="AL1579">
        <f>IF($AK1579="","",COUNTIFS(LdAParty,$AE1579,LdAType,1,LdAKey,"&lt;"&amp;$AK1579)+COUNTIFS(LdBMember,$AE1579,LdBKey,"&lt;"&amp;$AK1579)+COUNTIFS(LdCParty,$AE1579,LdCKey,"&lt;"&amp;$AK1579)+1)</f>
        <v/>
      </c>
      <c r="AM1579">
        <f>IF($AL1579="","",$AE1579&amp;"|"&amp;RIGHT("000000"&amp;$AL1579,6))</f>
        <v/>
      </c>
      <c r="AN1579">
        <f>IF($AE1579="","",IF(Sync!$W1579="",0,Sync!$W1579))</f>
        <v/>
      </c>
      <c r="AO1579">
        <f>IF($AE1579="","",IF(Sync!$X1579="",0,Sync!$X1579))</f>
        <v/>
      </c>
      <c r="AP1579">
        <f>IF($AE1579="","",Sync!$R1579)</f>
        <v/>
      </c>
      <c r="AQ1579">
        <f>IF($AE1579="","",Sync!$Y1579)</f>
        <v/>
      </c>
    </row>
    <row r="1580">
      <c r="A1580">
        <f>IF(OR(Wages!$B1583="",Wages!$E1583=""),"",Wages!$E1583)</f>
        <v/>
      </c>
      <c r="B1580">
        <f>IF($A1580="","",IF(Wages!$C1583="دستمزد گروهی",2,1))</f>
        <v/>
      </c>
      <c r="C1580">
        <f>IF($A1580="","",IF(ISNUMBER(Wages!$B1583),IF(AND(Wages!$B1583&gt;=10000101,Wages!$B1583&lt;=99991231),INT(Wages!$B1583/10000),""),IFERROR(VALUE(TRIM(LEFT(Wages!$B1583,FIND("/",Wages!$B1583)-1))),"")))</f>
        <v/>
      </c>
      <c r="D1580">
        <f>IF(OR($A1580="",$C1580=""),"",IF(ISNUMBER(Wages!$B1583),INT(MOD(Wages!$B1583,10000)/100),IFERROR(VALUE(TRIM(LEFT(MID(Wages!$B1583,FIND("/",Wages!$B1583)+1,20),FIND("/",MID(Wages!$B1583,FIND("/",Wages!$B1583)+1,20))-1))),"")))</f>
        <v/>
      </c>
      <c r="E1580">
        <f>IF(OR($A1580="",$C1580=""),"",IF(ISNUMBER(Wages!$B1583),MOD(Wages!$B1583,100),IFERROR(VALUE(TRIM(MID(MID(Wages!$B1583,FIND("/",Wages!$B1583)+1,20),FIND("/",MID(Wages!$B1583,FIND("/",Wages!$B1583)+1,20))+1,20))),"")))</f>
        <v/>
      </c>
      <c r="F1580">
        <f>IF($A1580="","",IF(OR($C1580="",$D1580="",$E1580="",$C1580&lt;1300,$C1580&gt;1500,$D1580&lt;1,$D1580&gt;12,$E1580&lt;1,$E1580&gt;31),"نامعتبر",RIGHT("0000"&amp;$C1580,4)&amp;"/"&amp;RIGHT("00"&amp;$D1580,2)&amp;"/"&amp;RIGHT("00"&amp;$E1580,2)))</f>
        <v/>
      </c>
      <c r="G1580">
        <f>IF(OR($A1580="",$F1580="",$F1580="نامعتبر"),"",LEFT($F1580,4)&amp;MID($F1580,6,2)&amp;RIGHT($F1580,2)&amp;"0000"&amp;"|"&amp;"1"&amp;RIGHT("00000"&amp;1575,5))</f>
        <v/>
      </c>
      <c r="H1580">
        <f>IF(OR($B1580&lt;&gt;1,$G1580=""),"",COUNTIFS(LdAParty,$A1580,LdAType,1,LdAKey,"&lt;"&amp;$G1580)+COUNTIFS(LdBMember,$A1580,LdBKey,"&lt;"&amp;$G1580)+COUNTIFS(LdCParty,$A1580,LdCKey,"&lt;"&amp;$G1580)+1)</f>
        <v/>
      </c>
      <c r="I1580">
        <f>IF($H1580="","",$A1580&amp;"|"&amp;RIGHT("000000"&amp;$H1580,6))</f>
        <v/>
      </c>
      <c r="J1580">
        <f>IF(OR($B1580&lt;&gt;2,$G1580=""),"",COUNTIFS(LdAParty,$A1580,LdAType,2,LdAKey,"&lt;"&amp;$G1580)+1)</f>
        <v/>
      </c>
      <c r="K1580">
        <f>IF($J1580="","",$A1580&amp;"|"&amp;RIGHT("000000"&amp;$J1580,6))</f>
        <v/>
      </c>
      <c r="L1580">
        <f>IF($A1580="","",IF(Wages!$G1583="",0,Wages!$G1583))</f>
        <v/>
      </c>
      <c r="M1580">
        <f>IF($A1580="","",Wages!$J1583)</f>
        <v/>
      </c>
      <c r="N1580">
        <f>IF($A1580="","",Wages!$D1583)</f>
        <v/>
      </c>
      <c r="P1580">
        <f>IF(OR(Shares!$B1583="",Shares!$C1583=""),"",Shares!$C1583)</f>
        <v/>
      </c>
      <c r="Q1580">
        <f>IF($P1580="","",Shares!$B1583)</f>
        <v/>
      </c>
      <c r="R1580">
        <f>IF($P1580="","",IFERROR(INDEX(WageParty,MATCH($Q1580,WageIds,0)),""))</f>
        <v/>
      </c>
      <c r="S1580">
        <f>IF($P1580="","",IFERROR(INDEX($F$6:$F$2005,MATCH($Q1580,WageIds,0)),""))</f>
        <v/>
      </c>
      <c r="T1580">
        <f>IF(OR($P1580="",$S1580="",$S1580="نامعتبر"),"",LEFT($S1580,4)&amp;MID($S1580,6,2)&amp;RIGHT($S1580,2)&amp;"0000"&amp;"|"&amp;"2"&amp;RIGHT("00000"&amp;1575,5))</f>
        <v/>
      </c>
      <c r="U1580">
        <f>IF($T1580="","",COUNTIFS(LdAParty,$P1580,LdAType,1,LdAKey,"&lt;"&amp;$T1580)+COUNTIFS(LdBMember,$P1580,LdBKey,"&lt;"&amp;$T1580)+COUNTIFS(LdCParty,$P1580,LdCKey,"&lt;"&amp;$T1580)+1)</f>
        <v/>
      </c>
      <c r="V1580">
        <f>IF($U1580="","",$P1580&amp;"|"&amp;RIGHT("000000"&amp;$U1580,6))</f>
        <v/>
      </c>
      <c r="W1580">
        <f>IF($T1580="","",COUNTIFS(LdBGroup,$R1580,LdBKey,"&lt;"&amp;$T1580)+1)</f>
        <v/>
      </c>
      <c r="X1580">
        <f>IF($W1580="","",$R1580&amp;"|"&amp;RIGHT("000000"&amp;$W1580,6))</f>
        <v/>
      </c>
      <c r="Y1580">
        <f>IF($P1580="","",IF(Shares!$E1583="",0,Shares!$E1583))</f>
        <v/>
      </c>
      <c r="Z1580">
        <f>IF($P1580="","",Shares!$H1583)</f>
        <v/>
      </c>
      <c r="AE1580">
        <f>IF(OR(Sync!$S1580="",Sync!$P1580=""),"",Sync!$S1580)</f>
        <v/>
      </c>
      <c r="AF1580">
        <f>IF($AE1580="","",IF(ISNUMBER(Sync!$P1580),IF(AND(Sync!$P1580&gt;=10000101,Sync!$P1580&lt;=99991231),INT(Sync!$P1580/10000),""),IFERROR(VALUE(TRIM(LEFT(Sync!$P1580,FIND("/",Sync!$P1580)-1))),"")))</f>
        <v/>
      </c>
      <c r="AG1580">
        <f>IF(OR($AE1580="",$AF1580=""),"",IF(ISNUMBER(Sync!$P1580),INT(MOD(Sync!$P1580,10000)/100),IFERROR(VALUE(TRIM(LEFT(MID(Sync!$P1580,FIND("/",Sync!$P1580)+1,20),FIND("/",MID(Sync!$P1580,FIND("/",Sync!$P1580)+1,20))-1))),"")))</f>
        <v/>
      </c>
      <c r="AH1580">
        <f>IF(OR($AE1580="",$AF1580=""),"",IF(ISNUMBER(Sync!$P1580),MOD(Sync!$P1580,100),IFERROR(VALUE(TRIM(MID(MID(Sync!$P1580,FIND("/",Sync!$P1580)+1,20),FIND("/",MID(Sync!$P1580,FIND("/",Sync!$P1580)+1,20))+1,20))),"")))</f>
        <v/>
      </c>
      <c r="AI1580">
        <f>IF($AE1580="","",IF(OR($AF1580="",$AG1580="",$AH1580="",$AF1580&lt;1300,$AF1580&gt;1500,$AG1580&lt;1,$AG1580&gt;12,$AH1580&lt;1,$AH1580&gt;31),"نامعتبر",RIGHT("0000"&amp;$AF1580,4)&amp;"/"&amp;RIGHT("00"&amp;$AG1580,2)&amp;"/"&amp;RIGHT("00"&amp;$AH1580,2)))</f>
        <v/>
      </c>
      <c r="AJ1580">
        <f>IF($AE1580="","",IF(Sync!$Q1580="","0000",IF(AND(ISNUMBER(Sync!$Q1580),Sync!$Q1580&gt;=0,Sync!$Q1580&lt;1),RIGHT("00"&amp;HOUR(Sync!$Q1580),2)&amp;RIGHT("00"&amp;MINUTE(Sync!$Q1580),2),IFERROR(RIGHT("00"&amp;VALUE(LEFT(Sync!$Q1580,FIND(":",Sync!$Q1580)-1)),2)&amp;RIGHT("00"&amp;VALUE(MID(Sync!$Q1580,FIND(":",Sync!$Q1580)+1,2)),2),"0000"))))</f>
        <v/>
      </c>
      <c r="AK1580">
        <f>IF(OR($AE1580="",$AI1580="",$AI1580="نامعتبر"),"",LEFT($AI1580,4)&amp;MID($AI1580,6,2)&amp;RIGHT($AI1580,2)&amp;$AJ1580&amp;"|"&amp;"3"&amp;RIGHT("00000"&amp;1575,5))</f>
        <v/>
      </c>
      <c r="AL1580">
        <f>IF($AK1580="","",COUNTIFS(LdAParty,$AE1580,LdAType,1,LdAKey,"&lt;"&amp;$AK1580)+COUNTIFS(LdBMember,$AE1580,LdBKey,"&lt;"&amp;$AK1580)+COUNTIFS(LdCParty,$AE1580,LdCKey,"&lt;"&amp;$AK1580)+1)</f>
        <v/>
      </c>
      <c r="AM1580">
        <f>IF($AL1580="","",$AE1580&amp;"|"&amp;RIGHT("000000"&amp;$AL1580,6))</f>
        <v/>
      </c>
      <c r="AN1580">
        <f>IF($AE1580="","",IF(Sync!$W1580="",0,Sync!$W1580))</f>
        <v/>
      </c>
      <c r="AO1580">
        <f>IF($AE1580="","",IF(Sync!$X1580="",0,Sync!$X1580))</f>
        <v/>
      </c>
      <c r="AP1580">
        <f>IF($AE1580="","",Sync!$R1580)</f>
        <v/>
      </c>
      <c r="AQ1580">
        <f>IF($AE1580="","",Sync!$Y1580)</f>
        <v/>
      </c>
    </row>
    <row r="1581">
      <c r="A1581">
        <f>IF(OR(Wages!$B1584="",Wages!$E1584=""),"",Wages!$E1584)</f>
        <v/>
      </c>
      <c r="B1581">
        <f>IF($A1581="","",IF(Wages!$C1584="دستمزد گروهی",2,1))</f>
        <v/>
      </c>
      <c r="C1581">
        <f>IF($A1581="","",IF(ISNUMBER(Wages!$B1584),IF(AND(Wages!$B1584&gt;=10000101,Wages!$B1584&lt;=99991231),INT(Wages!$B1584/10000),""),IFERROR(VALUE(TRIM(LEFT(Wages!$B1584,FIND("/",Wages!$B1584)-1))),"")))</f>
        <v/>
      </c>
      <c r="D1581">
        <f>IF(OR($A1581="",$C1581=""),"",IF(ISNUMBER(Wages!$B1584),INT(MOD(Wages!$B1584,10000)/100),IFERROR(VALUE(TRIM(LEFT(MID(Wages!$B1584,FIND("/",Wages!$B1584)+1,20),FIND("/",MID(Wages!$B1584,FIND("/",Wages!$B1584)+1,20))-1))),"")))</f>
        <v/>
      </c>
      <c r="E1581">
        <f>IF(OR($A1581="",$C1581=""),"",IF(ISNUMBER(Wages!$B1584),MOD(Wages!$B1584,100),IFERROR(VALUE(TRIM(MID(MID(Wages!$B1584,FIND("/",Wages!$B1584)+1,20),FIND("/",MID(Wages!$B1584,FIND("/",Wages!$B1584)+1,20))+1,20))),"")))</f>
        <v/>
      </c>
      <c r="F1581">
        <f>IF($A1581="","",IF(OR($C1581="",$D1581="",$E1581="",$C1581&lt;1300,$C1581&gt;1500,$D1581&lt;1,$D1581&gt;12,$E1581&lt;1,$E1581&gt;31),"نامعتبر",RIGHT("0000"&amp;$C1581,4)&amp;"/"&amp;RIGHT("00"&amp;$D1581,2)&amp;"/"&amp;RIGHT("00"&amp;$E1581,2)))</f>
        <v/>
      </c>
      <c r="G1581">
        <f>IF(OR($A1581="",$F1581="",$F1581="نامعتبر"),"",LEFT($F1581,4)&amp;MID($F1581,6,2)&amp;RIGHT($F1581,2)&amp;"0000"&amp;"|"&amp;"1"&amp;RIGHT("00000"&amp;1576,5))</f>
        <v/>
      </c>
      <c r="H1581">
        <f>IF(OR($B1581&lt;&gt;1,$G1581=""),"",COUNTIFS(LdAParty,$A1581,LdAType,1,LdAKey,"&lt;"&amp;$G1581)+COUNTIFS(LdBMember,$A1581,LdBKey,"&lt;"&amp;$G1581)+COUNTIFS(LdCParty,$A1581,LdCKey,"&lt;"&amp;$G1581)+1)</f>
        <v/>
      </c>
      <c r="I1581">
        <f>IF($H1581="","",$A1581&amp;"|"&amp;RIGHT("000000"&amp;$H1581,6))</f>
        <v/>
      </c>
      <c r="J1581">
        <f>IF(OR($B1581&lt;&gt;2,$G1581=""),"",COUNTIFS(LdAParty,$A1581,LdAType,2,LdAKey,"&lt;"&amp;$G1581)+1)</f>
        <v/>
      </c>
      <c r="K1581">
        <f>IF($J1581="","",$A1581&amp;"|"&amp;RIGHT("000000"&amp;$J1581,6))</f>
        <v/>
      </c>
      <c r="L1581">
        <f>IF($A1581="","",IF(Wages!$G1584="",0,Wages!$G1584))</f>
        <v/>
      </c>
      <c r="M1581">
        <f>IF($A1581="","",Wages!$J1584)</f>
        <v/>
      </c>
      <c r="N1581">
        <f>IF($A1581="","",Wages!$D1584)</f>
        <v/>
      </c>
      <c r="P1581">
        <f>IF(OR(Shares!$B1584="",Shares!$C1584=""),"",Shares!$C1584)</f>
        <v/>
      </c>
      <c r="Q1581">
        <f>IF($P1581="","",Shares!$B1584)</f>
        <v/>
      </c>
      <c r="R1581">
        <f>IF($P1581="","",IFERROR(INDEX(WageParty,MATCH($Q1581,WageIds,0)),""))</f>
        <v/>
      </c>
      <c r="S1581">
        <f>IF($P1581="","",IFERROR(INDEX($F$6:$F$2005,MATCH($Q1581,WageIds,0)),""))</f>
        <v/>
      </c>
      <c r="T1581">
        <f>IF(OR($P1581="",$S1581="",$S1581="نامعتبر"),"",LEFT($S1581,4)&amp;MID($S1581,6,2)&amp;RIGHT($S1581,2)&amp;"0000"&amp;"|"&amp;"2"&amp;RIGHT("00000"&amp;1576,5))</f>
        <v/>
      </c>
      <c r="U1581">
        <f>IF($T1581="","",COUNTIFS(LdAParty,$P1581,LdAType,1,LdAKey,"&lt;"&amp;$T1581)+COUNTIFS(LdBMember,$P1581,LdBKey,"&lt;"&amp;$T1581)+COUNTIFS(LdCParty,$P1581,LdCKey,"&lt;"&amp;$T1581)+1)</f>
        <v/>
      </c>
      <c r="V1581">
        <f>IF($U1581="","",$P1581&amp;"|"&amp;RIGHT("000000"&amp;$U1581,6))</f>
        <v/>
      </c>
      <c r="W1581">
        <f>IF($T1581="","",COUNTIFS(LdBGroup,$R1581,LdBKey,"&lt;"&amp;$T1581)+1)</f>
        <v/>
      </c>
      <c r="X1581">
        <f>IF($W1581="","",$R1581&amp;"|"&amp;RIGHT("000000"&amp;$W1581,6))</f>
        <v/>
      </c>
      <c r="Y1581">
        <f>IF($P1581="","",IF(Shares!$E1584="",0,Shares!$E1584))</f>
        <v/>
      </c>
      <c r="Z1581">
        <f>IF($P1581="","",Shares!$H1584)</f>
        <v/>
      </c>
      <c r="AE1581">
        <f>IF(OR(Sync!$S1581="",Sync!$P1581=""),"",Sync!$S1581)</f>
        <v/>
      </c>
      <c r="AF1581">
        <f>IF($AE1581="","",IF(ISNUMBER(Sync!$P1581),IF(AND(Sync!$P1581&gt;=10000101,Sync!$P1581&lt;=99991231),INT(Sync!$P1581/10000),""),IFERROR(VALUE(TRIM(LEFT(Sync!$P1581,FIND("/",Sync!$P1581)-1))),"")))</f>
        <v/>
      </c>
      <c r="AG1581">
        <f>IF(OR($AE1581="",$AF1581=""),"",IF(ISNUMBER(Sync!$P1581),INT(MOD(Sync!$P1581,10000)/100),IFERROR(VALUE(TRIM(LEFT(MID(Sync!$P1581,FIND("/",Sync!$P1581)+1,20),FIND("/",MID(Sync!$P1581,FIND("/",Sync!$P1581)+1,20))-1))),"")))</f>
        <v/>
      </c>
      <c r="AH1581">
        <f>IF(OR($AE1581="",$AF1581=""),"",IF(ISNUMBER(Sync!$P1581),MOD(Sync!$P1581,100),IFERROR(VALUE(TRIM(MID(MID(Sync!$P1581,FIND("/",Sync!$P1581)+1,20),FIND("/",MID(Sync!$P1581,FIND("/",Sync!$P1581)+1,20))+1,20))),"")))</f>
        <v/>
      </c>
      <c r="AI1581">
        <f>IF($AE1581="","",IF(OR($AF1581="",$AG1581="",$AH1581="",$AF1581&lt;1300,$AF1581&gt;1500,$AG1581&lt;1,$AG1581&gt;12,$AH1581&lt;1,$AH1581&gt;31),"نامعتبر",RIGHT("0000"&amp;$AF1581,4)&amp;"/"&amp;RIGHT("00"&amp;$AG1581,2)&amp;"/"&amp;RIGHT("00"&amp;$AH1581,2)))</f>
        <v/>
      </c>
      <c r="AJ1581">
        <f>IF($AE1581="","",IF(Sync!$Q1581="","0000",IF(AND(ISNUMBER(Sync!$Q1581),Sync!$Q1581&gt;=0,Sync!$Q1581&lt;1),RIGHT("00"&amp;HOUR(Sync!$Q1581),2)&amp;RIGHT("00"&amp;MINUTE(Sync!$Q1581),2),IFERROR(RIGHT("00"&amp;VALUE(LEFT(Sync!$Q1581,FIND(":",Sync!$Q1581)-1)),2)&amp;RIGHT("00"&amp;VALUE(MID(Sync!$Q1581,FIND(":",Sync!$Q1581)+1,2)),2),"0000"))))</f>
        <v/>
      </c>
      <c r="AK1581">
        <f>IF(OR($AE1581="",$AI1581="",$AI1581="نامعتبر"),"",LEFT($AI1581,4)&amp;MID($AI1581,6,2)&amp;RIGHT($AI1581,2)&amp;$AJ1581&amp;"|"&amp;"3"&amp;RIGHT("00000"&amp;1576,5))</f>
        <v/>
      </c>
      <c r="AL1581">
        <f>IF($AK1581="","",COUNTIFS(LdAParty,$AE1581,LdAType,1,LdAKey,"&lt;"&amp;$AK1581)+COUNTIFS(LdBMember,$AE1581,LdBKey,"&lt;"&amp;$AK1581)+COUNTIFS(LdCParty,$AE1581,LdCKey,"&lt;"&amp;$AK1581)+1)</f>
        <v/>
      </c>
      <c r="AM1581">
        <f>IF($AL1581="","",$AE1581&amp;"|"&amp;RIGHT("000000"&amp;$AL1581,6))</f>
        <v/>
      </c>
      <c r="AN1581">
        <f>IF($AE1581="","",IF(Sync!$W1581="",0,Sync!$W1581))</f>
        <v/>
      </c>
      <c r="AO1581">
        <f>IF($AE1581="","",IF(Sync!$X1581="",0,Sync!$X1581))</f>
        <v/>
      </c>
      <c r="AP1581">
        <f>IF($AE1581="","",Sync!$R1581)</f>
        <v/>
      </c>
      <c r="AQ1581">
        <f>IF($AE1581="","",Sync!$Y1581)</f>
        <v/>
      </c>
    </row>
    <row r="1582">
      <c r="A1582">
        <f>IF(OR(Wages!$B1585="",Wages!$E1585=""),"",Wages!$E1585)</f>
        <v/>
      </c>
      <c r="B1582">
        <f>IF($A1582="","",IF(Wages!$C1585="دستمزد گروهی",2,1))</f>
        <v/>
      </c>
      <c r="C1582">
        <f>IF($A1582="","",IF(ISNUMBER(Wages!$B1585),IF(AND(Wages!$B1585&gt;=10000101,Wages!$B1585&lt;=99991231),INT(Wages!$B1585/10000),""),IFERROR(VALUE(TRIM(LEFT(Wages!$B1585,FIND("/",Wages!$B1585)-1))),"")))</f>
        <v/>
      </c>
      <c r="D1582">
        <f>IF(OR($A1582="",$C1582=""),"",IF(ISNUMBER(Wages!$B1585),INT(MOD(Wages!$B1585,10000)/100),IFERROR(VALUE(TRIM(LEFT(MID(Wages!$B1585,FIND("/",Wages!$B1585)+1,20),FIND("/",MID(Wages!$B1585,FIND("/",Wages!$B1585)+1,20))-1))),"")))</f>
        <v/>
      </c>
      <c r="E1582">
        <f>IF(OR($A1582="",$C1582=""),"",IF(ISNUMBER(Wages!$B1585),MOD(Wages!$B1585,100),IFERROR(VALUE(TRIM(MID(MID(Wages!$B1585,FIND("/",Wages!$B1585)+1,20),FIND("/",MID(Wages!$B1585,FIND("/",Wages!$B1585)+1,20))+1,20))),"")))</f>
        <v/>
      </c>
      <c r="F1582">
        <f>IF($A1582="","",IF(OR($C1582="",$D1582="",$E1582="",$C1582&lt;1300,$C1582&gt;1500,$D1582&lt;1,$D1582&gt;12,$E1582&lt;1,$E1582&gt;31),"نامعتبر",RIGHT("0000"&amp;$C1582,4)&amp;"/"&amp;RIGHT("00"&amp;$D1582,2)&amp;"/"&amp;RIGHT("00"&amp;$E1582,2)))</f>
        <v/>
      </c>
      <c r="G1582">
        <f>IF(OR($A1582="",$F1582="",$F1582="نامعتبر"),"",LEFT($F1582,4)&amp;MID($F1582,6,2)&amp;RIGHT($F1582,2)&amp;"0000"&amp;"|"&amp;"1"&amp;RIGHT("00000"&amp;1577,5))</f>
        <v/>
      </c>
      <c r="H1582">
        <f>IF(OR($B1582&lt;&gt;1,$G1582=""),"",COUNTIFS(LdAParty,$A1582,LdAType,1,LdAKey,"&lt;"&amp;$G1582)+COUNTIFS(LdBMember,$A1582,LdBKey,"&lt;"&amp;$G1582)+COUNTIFS(LdCParty,$A1582,LdCKey,"&lt;"&amp;$G1582)+1)</f>
        <v/>
      </c>
      <c r="I1582">
        <f>IF($H1582="","",$A1582&amp;"|"&amp;RIGHT("000000"&amp;$H1582,6))</f>
        <v/>
      </c>
      <c r="J1582">
        <f>IF(OR($B1582&lt;&gt;2,$G1582=""),"",COUNTIFS(LdAParty,$A1582,LdAType,2,LdAKey,"&lt;"&amp;$G1582)+1)</f>
        <v/>
      </c>
      <c r="K1582">
        <f>IF($J1582="","",$A1582&amp;"|"&amp;RIGHT("000000"&amp;$J1582,6))</f>
        <v/>
      </c>
      <c r="L1582">
        <f>IF($A1582="","",IF(Wages!$G1585="",0,Wages!$G1585))</f>
        <v/>
      </c>
      <c r="M1582">
        <f>IF($A1582="","",Wages!$J1585)</f>
        <v/>
      </c>
      <c r="N1582">
        <f>IF($A1582="","",Wages!$D1585)</f>
        <v/>
      </c>
      <c r="P1582">
        <f>IF(OR(Shares!$B1585="",Shares!$C1585=""),"",Shares!$C1585)</f>
        <v/>
      </c>
      <c r="Q1582">
        <f>IF($P1582="","",Shares!$B1585)</f>
        <v/>
      </c>
      <c r="R1582">
        <f>IF($P1582="","",IFERROR(INDEX(WageParty,MATCH($Q1582,WageIds,0)),""))</f>
        <v/>
      </c>
      <c r="S1582">
        <f>IF($P1582="","",IFERROR(INDEX($F$6:$F$2005,MATCH($Q1582,WageIds,0)),""))</f>
        <v/>
      </c>
      <c r="T1582">
        <f>IF(OR($P1582="",$S1582="",$S1582="نامعتبر"),"",LEFT($S1582,4)&amp;MID($S1582,6,2)&amp;RIGHT($S1582,2)&amp;"0000"&amp;"|"&amp;"2"&amp;RIGHT("00000"&amp;1577,5))</f>
        <v/>
      </c>
      <c r="U1582">
        <f>IF($T1582="","",COUNTIFS(LdAParty,$P1582,LdAType,1,LdAKey,"&lt;"&amp;$T1582)+COUNTIFS(LdBMember,$P1582,LdBKey,"&lt;"&amp;$T1582)+COUNTIFS(LdCParty,$P1582,LdCKey,"&lt;"&amp;$T1582)+1)</f>
        <v/>
      </c>
      <c r="V1582">
        <f>IF($U1582="","",$P1582&amp;"|"&amp;RIGHT("000000"&amp;$U1582,6))</f>
        <v/>
      </c>
      <c r="W1582">
        <f>IF($T1582="","",COUNTIFS(LdBGroup,$R1582,LdBKey,"&lt;"&amp;$T1582)+1)</f>
        <v/>
      </c>
      <c r="X1582">
        <f>IF($W1582="","",$R1582&amp;"|"&amp;RIGHT("000000"&amp;$W1582,6))</f>
        <v/>
      </c>
      <c r="Y1582">
        <f>IF($P1582="","",IF(Shares!$E1585="",0,Shares!$E1585))</f>
        <v/>
      </c>
      <c r="Z1582">
        <f>IF($P1582="","",Shares!$H1585)</f>
        <v/>
      </c>
      <c r="AE1582">
        <f>IF(OR(Sync!$S1582="",Sync!$P1582=""),"",Sync!$S1582)</f>
        <v/>
      </c>
      <c r="AF1582">
        <f>IF($AE1582="","",IF(ISNUMBER(Sync!$P1582),IF(AND(Sync!$P1582&gt;=10000101,Sync!$P1582&lt;=99991231),INT(Sync!$P1582/10000),""),IFERROR(VALUE(TRIM(LEFT(Sync!$P1582,FIND("/",Sync!$P1582)-1))),"")))</f>
        <v/>
      </c>
      <c r="AG1582">
        <f>IF(OR($AE1582="",$AF1582=""),"",IF(ISNUMBER(Sync!$P1582),INT(MOD(Sync!$P1582,10000)/100),IFERROR(VALUE(TRIM(LEFT(MID(Sync!$P1582,FIND("/",Sync!$P1582)+1,20),FIND("/",MID(Sync!$P1582,FIND("/",Sync!$P1582)+1,20))-1))),"")))</f>
        <v/>
      </c>
      <c r="AH1582">
        <f>IF(OR($AE1582="",$AF1582=""),"",IF(ISNUMBER(Sync!$P1582),MOD(Sync!$P1582,100),IFERROR(VALUE(TRIM(MID(MID(Sync!$P1582,FIND("/",Sync!$P1582)+1,20),FIND("/",MID(Sync!$P1582,FIND("/",Sync!$P1582)+1,20))+1,20))),"")))</f>
        <v/>
      </c>
      <c r="AI1582">
        <f>IF($AE1582="","",IF(OR($AF1582="",$AG1582="",$AH1582="",$AF1582&lt;1300,$AF1582&gt;1500,$AG1582&lt;1,$AG1582&gt;12,$AH1582&lt;1,$AH1582&gt;31),"نامعتبر",RIGHT("0000"&amp;$AF1582,4)&amp;"/"&amp;RIGHT("00"&amp;$AG1582,2)&amp;"/"&amp;RIGHT("00"&amp;$AH1582,2)))</f>
        <v/>
      </c>
      <c r="AJ1582">
        <f>IF($AE1582="","",IF(Sync!$Q1582="","0000",IF(AND(ISNUMBER(Sync!$Q1582),Sync!$Q1582&gt;=0,Sync!$Q1582&lt;1),RIGHT("00"&amp;HOUR(Sync!$Q1582),2)&amp;RIGHT("00"&amp;MINUTE(Sync!$Q1582),2),IFERROR(RIGHT("00"&amp;VALUE(LEFT(Sync!$Q1582,FIND(":",Sync!$Q1582)-1)),2)&amp;RIGHT("00"&amp;VALUE(MID(Sync!$Q1582,FIND(":",Sync!$Q1582)+1,2)),2),"0000"))))</f>
        <v/>
      </c>
      <c r="AK1582">
        <f>IF(OR($AE1582="",$AI1582="",$AI1582="نامعتبر"),"",LEFT($AI1582,4)&amp;MID($AI1582,6,2)&amp;RIGHT($AI1582,2)&amp;$AJ1582&amp;"|"&amp;"3"&amp;RIGHT("00000"&amp;1577,5))</f>
        <v/>
      </c>
      <c r="AL1582">
        <f>IF($AK1582="","",COUNTIFS(LdAParty,$AE1582,LdAType,1,LdAKey,"&lt;"&amp;$AK1582)+COUNTIFS(LdBMember,$AE1582,LdBKey,"&lt;"&amp;$AK1582)+COUNTIFS(LdCParty,$AE1582,LdCKey,"&lt;"&amp;$AK1582)+1)</f>
        <v/>
      </c>
      <c r="AM1582">
        <f>IF($AL1582="","",$AE1582&amp;"|"&amp;RIGHT("000000"&amp;$AL1582,6))</f>
        <v/>
      </c>
      <c r="AN1582">
        <f>IF($AE1582="","",IF(Sync!$W1582="",0,Sync!$W1582))</f>
        <v/>
      </c>
      <c r="AO1582">
        <f>IF($AE1582="","",IF(Sync!$X1582="",0,Sync!$X1582))</f>
        <v/>
      </c>
      <c r="AP1582">
        <f>IF($AE1582="","",Sync!$R1582)</f>
        <v/>
      </c>
      <c r="AQ1582">
        <f>IF($AE1582="","",Sync!$Y1582)</f>
        <v/>
      </c>
    </row>
    <row r="1583">
      <c r="A1583">
        <f>IF(OR(Wages!$B1586="",Wages!$E1586=""),"",Wages!$E1586)</f>
        <v/>
      </c>
      <c r="B1583">
        <f>IF($A1583="","",IF(Wages!$C1586="دستمزد گروهی",2,1))</f>
        <v/>
      </c>
      <c r="C1583">
        <f>IF($A1583="","",IF(ISNUMBER(Wages!$B1586),IF(AND(Wages!$B1586&gt;=10000101,Wages!$B1586&lt;=99991231),INT(Wages!$B1586/10000),""),IFERROR(VALUE(TRIM(LEFT(Wages!$B1586,FIND("/",Wages!$B1586)-1))),"")))</f>
        <v/>
      </c>
      <c r="D1583">
        <f>IF(OR($A1583="",$C1583=""),"",IF(ISNUMBER(Wages!$B1586),INT(MOD(Wages!$B1586,10000)/100),IFERROR(VALUE(TRIM(LEFT(MID(Wages!$B1586,FIND("/",Wages!$B1586)+1,20),FIND("/",MID(Wages!$B1586,FIND("/",Wages!$B1586)+1,20))-1))),"")))</f>
        <v/>
      </c>
      <c r="E1583">
        <f>IF(OR($A1583="",$C1583=""),"",IF(ISNUMBER(Wages!$B1586),MOD(Wages!$B1586,100),IFERROR(VALUE(TRIM(MID(MID(Wages!$B1586,FIND("/",Wages!$B1586)+1,20),FIND("/",MID(Wages!$B1586,FIND("/",Wages!$B1586)+1,20))+1,20))),"")))</f>
        <v/>
      </c>
      <c r="F1583">
        <f>IF($A1583="","",IF(OR($C1583="",$D1583="",$E1583="",$C1583&lt;1300,$C1583&gt;1500,$D1583&lt;1,$D1583&gt;12,$E1583&lt;1,$E1583&gt;31),"نامعتبر",RIGHT("0000"&amp;$C1583,4)&amp;"/"&amp;RIGHT("00"&amp;$D1583,2)&amp;"/"&amp;RIGHT("00"&amp;$E1583,2)))</f>
        <v/>
      </c>
      <c r="G1583">
        <f>IF(OR($A1583="",$F1583="",$F1583="نامعتبر"),"",LEFT($F1583,4)&amp;MID($F1583,6,2)&amp;RIGHT($F1583,2)&amp;"0000"&amp;"|"&amp;"1"&amp;RIGHT("00000"&amp;1578,5))</f>
        <v/>
      </c>
      <c r="H1583">
        <f>IF(OR($B1583&lt;&gt;1,$G1583=""),"",COUNTIFS(LdAParty,$A1583,LdAType,1,LdAKey,"&lt;"&amp;$G1583)+COUNTIFS(LdBMember,$A1583,LdBKey,"&lt;"&amp;$G1583)+COUNTIFS(LdCParty,$A1583,LdCKey,"&lt;"&amp;$G1583)+1)</f>
        <v/>
      </c>
      <c r="I1583">
        <f>IF($H1583="","",$A1583&amp;"|"&amp;RIGHT("000000"&amp;$H1583,6))</f>
        <v/>
      </c>
      <c r="J1583">
        <f>IF(OR($B1583&lt;&gt;2,$G1583=""),"",COUNTIFS(LdAParty,$A1583,LdAType,2,LdAKey,"&lt;"&amp;$G1583)+1)</f>
        <v/>
      </c>
      <c r="K1583">
        <f>IF($J1583="","",$A1583&amp;"|"&amp;RIGHT("000000"&amp;$J1583,6))</f>
        <v/>
      </c>
      <c r="L1583">
        <f>IF($A1583="","",IF(Wages!$G1586="",0,Wages!$G1586))</f>
        <v/>
      </c>
      <c r="M1583">
        <f>IF($A1583="","",Wages!$J1586)</f>
        <v/>
      </c>
      <c r="N1583">
        <f>IF($A1583="","",Wages!$D1586)</f>
        <v/>
      </c>
      <c r="P1583">
        <f>IF(OR(Shares!$B1586="",Shares!$C1586=""),"",Shares!$C1586)</f>
        <v/>
      </c>
      <c r="Q1583">
        <f>IF($P1583="","",Shares!$B1586)</f>
        <v/>
      </c>
      <c r="R1583">
        <f>IF($P1583="","",IFERROR(INDEX(WageParty,MATCH($Q1583,WageIds,0)),""))</f>
        <v/>
      </c>
      <c r="S1583">
        <f>IF($P1583="","",IFERROR(INDEX($F$6:$F$2005,MATCH($Q1583,WageIds,0)),""))</f>
        <v/>
      </c>
      <c r="T1583">
        <f>IF(OR($P1583="",$S1583="",$S1583="نامعتبر"),"",LEFT($S1583,4)&amp;MID($S1583,6,2)&amp;RIGHT($S1583,2)&amp;"0000"&amp;"|"&amp;"2"&amp;RIGHT("00000"&amp;1578,5))</f>
        <v/>
      </c>
      <c r="U1583">
        <f>IF($T1583="","",COUNTIFS(LdAParty,$P1583,LdAType,1,LdAKey,"&lt;"&amp;$T1583)+COUNTIFS(LdBMember,$P1583,LdBKey,"&lt;"&amp;$T1583)+COUNTIFS(LdCParty,$P1583,LdCKey,"&lt;"&amp;$T1583)+1)</f>
        <v/>
      </c>
      <c r="V1583">
        <f>IF($U1583="","",$P1583&amp;"|"&amp;RIGHT("000000"&amp;$U1583,6))</f>
        <v/>
      </c>
      <c r="W1583">
        <f>IF($T1583="","",COUNTIFS(LdBGroup,$R1583,LdBKey,"&lt;"&amp;$T1583)+1)</f>
        <v/>
      </c>
      <c r="X1583">
        <f>IF($W1583="","",$R1583&amp;"|"&amp;RIGHT("000000"&amp;$W1583,6))</f>
        <v/>
      </c>
      <c r="Y1583">
        <f>IF($P1583="","",IF(Shares!$E1586="",0,Shares!$E1586))</f>
        <v/>
      </c>
      <c r="Z1583">
        <f>IF($P1583="","",Shares!$H1586)</f>
        <v/>
      </c>
      <c r="AE1583">
        <f>IF(OR(Sync!$S1583="",Sync!$P1583=""),"",Sync!$S1583)</f>
        <v/>
      </c>
      <c r="AF1583">
        <f>IF($AE1583="","",IF(ISNUMBER(Sync!$P1583),IF(AND(Sync!$P1583&gt;=10000101,Sync!$P1583&lt;=99991231),INT(Sync!$P1583/10000),""),IFERROR(VALUE(TRIM(LEFT(Sync!$P1583,FIND("/",Sync!$P1583)-1))),"")))</f>
        <v/>
      </c>
      <c r="AG1583">
        <f>IF(OR($AE1583="",$AF1583=""),"",IF(ISNUMBER(Sync!$P1583),INT(MOD(Sync!$P1583,10000)/100),IFERROR(VALUE(TRIM(LEFT(MID(Sync!$P1583,FIND("/",Sync!$P1583)+1,20),FIND("/",MID(Sync!$P1583,FIND("/",Sync!$P1583)+1,20))-1))),"")))</f>
        <v/>
      </c>
      <c r="AH1583">
        <f>IF(OR($AE1583="",$AF1583=""),"",IF(ISNUMBER(Sync!$P1583),MOD(Sync!$P1583,100),IFERROR(VALUE(TRIM(MID(MID(Sync!$P1583,FIND("/",Sync!$P1583)+1,20),FIND("/",MID(Sync!$P1583,FIND("/",Sync!$P1583)+1,20))+1,20))),"")))</f>
        <v/>
      </c>
      <c r="AI1583">
        <f>IF($AE1583="","",IF(OR($AF1583="",$AG1583="",$AH1583="",$AF1583&lt;1300,$AF1583&gt;1500,$AG1583&lt;1,$AG1583&gt;12,$AH1583&lt;1,$AH1583&gt;31),"نامعتبر",RIGHT("0000"&amp;$AF1583,4)&amp;"/"&amp;RIGHT("00"&amp;$AG1583,2)&amp;"/"&amp;RIGHT("00"&amp;$AH1583,2)))</f>
        <v/>
      </c>
      <c r="AJ1583">
        <f>IF($AE1583="","",IF(Sync!$Q1583="","0000",IF(AND(ISNUMBER(Sync!$Q1583),Sync!$Q1583&gt;=0,Sync!$Q1583&lt;1),RIGHT("00"&amp;HOUR(Sync!$Q1583),2)&amp;RIGHT("00"&amp;MINUTE(Sync!$Q1583),2),IFERROR(RIGHT("00"&amp;VALUE(LEFT(Sync!$Q1583,FIND(":",Sync!$Q1583)-1)),2)&amp;RIGHT("00"&amp;VALUE(MID(Sync!$Q1583,FIND(":",Sync!$Q1583)+1,2)),2),"0000"))))</f>
        <v/>
      </c>
      <c r="AK1583">
        <f>IF(OR($AE1583="",$AI1583="",$AI1583="نامعتبر"),"",LEFT($AI1583,4)&amp;MID($AI1583,6,2)&amp;RIGHT($AI1583,2)&amp;$AJ1583&amp;"|"&amp;"3"&amp;RIGHT("00000"&amp;1578,5))</f>
        <v/>
      </c>
      <c r="AL1583">
        <f>IF($AK1583="","",COUNTIFS(LdAParty,$AE1583,LdAType,1,LdAKey,"&lt;"&amp;$AK1583)+COUNTIFS(LdBMember,$AE1583,LdBKey,"&lt;"&amp;$AK1583)+COUNTIFS(LdCParty,$AE1583,LdCKey,"&lt;"&amp;$AK1583)+1)</f>
        <v/>
      </c>
      <c r="AM1583">
        <f>IF($AL1583="","",$AE1583&amp;"|"&amp;RIGHT("000000"&amp;$AL1583,6))</f>
        <v/>
      </c>
      <c r="AN1583">
        <f>IF($AE1583="","",IF(Sync!$W1583="",0,Sync!$W1583))</f>
        <v/>
      </c>
      <c r="AO1583">
        <f>IF($AE1583="","",IF(Sync!$X1583="",0,Sync!$X1583))</f>
        <v/>
      </c>
      <c r="AP1583">
        <f>IF($AE1583="","",Sync!$R1583)</f>
        <v/>
      </c>
      <c r="AQ1583">
        <f>IF($AE1583="","",Sync!$Y1583)</f>
        <v/>
      </c>
    </row>
    <row r="1584">
      <c r="A1584">
        <f>IF(OR(Wages!$B1587="",Wages!$E1587=""),"",Wages!$E1587)</f>
        <v/>
      </c>
      <c r="B1584">
        <f>IF($A1584="","",IF(Wages!$C1587="دستمزد گروهی",2,1))</f>
        <v/>
      </c>
      <c r="C1584">
        <f>IF($A1584="","",IF(ISNUMBER(Wages!$B1587),IF(AND(Wages!$B1587&gt;=10000101,Wages!$B1587&lt;=99991231),INT(Wages!$B1587/10000),""),IFERROR(VALUE(TRIM(LEFT(Wages!$B1587,FIND("/",Wages!$B1587)-1))),"")))</f>
        <v/>
      </c>
      <c r="D1584">
        <f>IF(OR($A1584="",$C1584=""),"",IF(ISNUMBER(Wages!$B1587),INT(MOD(Wages!$B1587,10000)/100),IFERROR(VALUE(TRIM(LEFT(MID(Wages!$B1587,FIND("/",Wages!$B1587)+1,20),FIND("/",MID(Wages!$B1587,FIND("/",Wages!$B1587)+1,20))-1))),"")))</f>
        <v/>
      </c>
      <c r="E1584">
        <f>IF(OR($A1584="",$C1584=""),"",IF(ISNUMBER(Wages!$B1587),MOD(Wages!$B1587,100),IFERROR(VALUE(TRIM(MID(MID(Wages!$B1587,FIND("/",Wages!$B1587)+1,20),FIND("/",MID(Wages!$B1587,FIND("/",Wages!$B1587)+1,20))+1,20))),"")))</f>
        <v/>
      </c>
      <c r="F1584">
        <f>IF($A1584="","",IF(OR($C1584="",$D1584="",$E1584="",$C1584&lt;1300,$C1584&gt;1500,$D1584&lt;1,$D1584&gt;12,$E1584&lt;1,$E1584&gt;31),"نامعتبر",RIGHT("0000"&amp;$C1584,4)&amp;"/"&amp;RIGHT("00"&amp;$D1584,2)&amp;"/"&amp;RIGHT("00"&amp;$E1584,2)))</f>
        <v/>
      </c>
      <c r="G1584">
        <f>IF(OR($A1584="",$F1584="",$F1584="نامعتبر"),"",LEFT($F1584,4)&amp;MID($F1584,6,2)&amp;RIGHT($F1584,2)&amp;"0000"&amp;"|"&amp;"1"&amp;RIGHT("00000"&amp;1579,5))</f>
        <v/>
      </c>
      <c r="H1584">
        <f>IF(OR($B1584&lt;&gt;1,$G1584=""),"",COUNTIFS(LdAParty,$A1584,LdAType,1,LdAKey,"&lt;"&amp;$G1584)+COUNTIFS(LdBMember,$A1584,LdBKey,"&lt;"&amp;$G1584)+COUNTIFS(LdCParty,$A1584,LdCKey,"&lt;"&amp;$G1584)+1)</f>
        <v/>
      </c>
      <c r="I1584">
        <f>IF($H1584="","",$A1584&amp;"|"&amp;RIGHT("000000"&amp;$H1584,6))</f>
        <v/>
      </c>
      <c r="J1584">
        <f>IF(OR($B1584&lt;&gt;2,$G1584=""),"",COUNTIFS(LdAParty,$A1584,LdAType,2,LdAKey,"&lt;"&amp;$G1584)+1)</f>
        <v/>
      </c>
      <c r="K1584">
        <f>IF($J1584="","",$A1584&amp;"|"&amp;RIGHT("000000"&amp;$J1584,6))</f>
        <v/>
      </c>
      <c r="L1584">
        <f>IF($A1584="","",IF(Wages!$G1587="",0,Wages!$G1587))</f>
        <v/>
      </c>
      <c r="M1584">
        <f>IF($A1584="","",Wages!$J1587)</f>
        <v/>
      </c>
      <c r="N1584">
        <f>IF($A1584="","",Wages!$D1587)</f>
        <v/>
      </c>
      <c r="P1584">
        <f>IF(OR(Shares!$B1587="",Shares!$C1587=""),"",Shares!$C1587)</f>
        <v/>
      </c>
      <c r="Q1584">
        <f>IF($P1584="","",Shares!$B1587)</f>
        <v/>
      </c>
      <c r="R1584">
        <f>IF($P1584="","",IFERROR(INDEX(WageParty,MATCH($Q1584,WageIds,0)),""))</f>
        <v/>
      </c>
      <c r="S1584">
        <f>IF($P1584="","",IFERROR(INDEX($F$6:$F$2005,MATCH($Q1584,WageIds,0)),""))</f>
        <v/>
      </c>
      <c r="T1584">
        <f>IF(OR($P1584="",$S1584="",$S1584="نامعتبر"),"",LEFT($S1584,4)&amp;MID($S1584,6,2)&amp;RIGHT($S1584,2)&amp;"0000"&amp;"|"&amp;"2"&amp;RIGHT("00000"&amp;1579,5))</f>
        <v/>
      </c>
      <c r="U1584">
        <f>IF($T1584="","",COUNTIFS(LdAParty,$P1584,LdAType,1,LdAKey,"&lt;"&amp;$T1584)+COUNTIFS(LdBMember,$P1584,LdBKey,"&lt;"&amp;$T1584)+COUNTIFS(LdCParty,$P1584,LdCKey,"&lt;"&amp;$T1584)+1)</f>
        <v/>
      </c>
      <c r="V1584">
        <f>IF($U1584="","",$P1584&amp;"|"&amp;RIGHT("000000"&amp;$U1584,6))</f>
        <v/>
      </c>
      <c r="W1584">
        <f>IF($T1584="","",COUNTIFS(LdBGroup,$R1584,LdBKey,"&lt;"&amp;$T1584)+1)</f>
        <v/>
      </c>
      <c r="X1584">
        <f>IF($W1584="","",$R1584&amp;"|"&amp;RIGHT("000000"&amp;$W1584,6))</f>
        <v/>
      </c>
      <c r="Y1584">
        <f>IF($P1584="","",IF(Shares!$E1587="",0,Shares!$E1587))</f>
        <v/>
      </c>
      <c r="Z1584">
        <f>IF($P1584="","",Shares!$H1587)</f>
        <v/>
      </c>
      <c r="AE1584">
        <f>IF(OR(Sync!$S1584="",Sync!$P1584=""),"",Sync!$S1584)</f>
        <v/>
      </c>
      <c r="AF1584">
        <f>IF($AE1584="","",IF(ISNUMBER(Sync!$P1584),IF(AND(Sync!$P1584&gt;=10000101,Sync!$P1584&lt;=99991231),INT(Sync!$P1584/10000),""),IFERROR(VALUE(TRIM(LEFT(Sync!$P1584,FIND("/",Sync!$P1584)-1))),"")))</f>
        <v/>
      </c>
      <c r="AG1584">
        <f>IF(OR($AE1584="",$AF1584=""),"",IF(ISNUMBER(Sync!$P1584),INT(MOD(Sync!$P1584,10000)/100),IFERROR(VALUE(TRIM(LEFT(MID(Sync!$P1584,FIND("/",Sync!$P1584)+1,20),FIND("/",MID(Sync!$P1584,FIND("/",Sync!$P1584)+1,20))-1))),"")))</f>
        <v/>
      </c>
      <c r="AH1584">
        <f>IF(OR($AE1584="",$AF1584=""),"",IF(ISNUMBER(Sync!$P1584),MOD(Sync!$P1584,100),IFERROR(VALUE(TRIM(MID(MID(Sync!$P1584,FIND("/",Sync!$P1584)+1,20),FIND("/",MID(Sync!$P1584,FIND("/",Sync!$P1584)+1,20))+1,20))),"")))</f>
        <v/>
      </c>
      <c r="AI1584">
        <f>IF($AE1584="","",IF(OR($AF1584="",$AG1584="",$AH1584="",$AF1584&lt;1300,$AF1584&gt;1500,$AG1584&lt;1,$AG1584&gt;12,$AH1584&lt;1,$AH1584&gt;31),"نامعتبر",RIGHT("0000"&amp;$AF1584,4)&amp;"/"&amp;RIGHT("00"&amp;$AG1584,2)&amp;"/"&amp;RIGHT("00"&amp;$AH1584,2)))</f>
        <v/>
      </c>
      <c r="AJ1584">
        <f>IF($AE1584="","",IF(Sync!$Q1584="","0000",IF(AND(ISNUMBER(Sync!$Q1584),Sync!$Q1584&gt;=0,Sync!$Q1584&lt;1),RIGHT("00"&amp;HOUR(Sync!$Q1584),2)&amp;RIGHT("00"&amp;MINUTE(Sync!$Q1584),2),IFERROR(RIGHT("00"&amp;VALUE(LEFT(Sync!$Q1584,FIND(":",Sync!$Q1584)-1)),2)&amp;RIGHT("00"&amp;VALUE(MID(Sync!$Q1584,FIND(":",Sync!$Q1584)+1,2)),2),"0000"))))</f>
        <v/>
      </c>
      <c r="AK1584">
        <f>IF(OR($AE1584="",$AI1584="",$AI1584="نامعتبر"),"",LEFT($AI1584,4)&amp;MID($AI1584,6,2)&amp;RIGHT($AI1584,2)&amp;$AJ1584&amp;"|"&amp;"3"&amp;RIGHT("00000"&amp;1579,5))</f>
        <v/>
      </c>
      <c r="AL1584">
        <f>IF($AK1584="","",COUNTIFS(LdAParty,$AE1584,LdAType,1,LdAKey,"&lt;"&amp;$AK1584)+COUNTIFS(LdBMember,$AE1584,LdBKey,"&lt;"&amp;$AK1584)+COUNTIFS(LdCParty,$AE1584,LdCKey,"&lt;"&amp;$AK1584)+1)</f>
        <v/>
      </c>
      <c r="AM1584">
        <f>IF($AL1584="","",$AE1584&amp;"|"&amp;RIGHT("000000"&amp;$AL1584,6))</f>
        <v/>
      </c>
      <c r="AN1584">
        <f>IF($AE1584="","",IF(Sync!$W1584="",0,Sync!$W1584))</f>
        <v/>
      </c>
      <c r="AO1584">
        <f>IF($AE1584="","",IF(Sync!$X1584="",0,Sync!$X1584))</f>
        <v/>
      </c>
      <c r="AP1584">
        <f>IF($AE1584="","",Sync!$R1584)</f>
        <v/>
      </c>
      <c r="AQ1584">
        <f>IF($AE1584="","",Sync!$Y1584)</f>
        <v/>
      </c>
    </row>
    <row r="1585">
      <c r="A1585">
        <f>IF(OR(Wages!$B1588="",Wages!$E1588=""),"",Wages!$E1588)</f>
        <v/>
      </c>
      <c r="B1585">
        <f>IF($A1585="","",IF(Wages!$C1588="دستمزد گروهی",2,1))</f>
        <v/>
      </c>
      <c r="C1585">
        <f>IF($A1585="","",IF(ISNUMBER(Wages!$B1588),IF(AND(Wages!$B1588&gt;=10000101,Wages!$B1588&lt;=99991231),INT(Wages!$B1588/10000),""),IFERROR(VALUE(TRIM(LEFT(Wages!$B1588,FIND("/",Wages!$B1588)-1))),"")))</f>
        <v/>
      </c>
      <c r="D1585">
        <f>IF(OR($A1585="",$C1585=""),"",IF(ISNUMBER(Wages!$B1588),INT(MOD(Wages!$B1588,10000)/100),IFERROR(VALUE(TRIM(LEFT(MID(Wages!$B1588,FIND("/",Wages!$B1588)+1,20),FIND("/",MID(Wages!$B1588,FIND("/",Wages!$B1588)+1,20))-1))),"")))</f>
        <v/>
      </c>
      <c r="E1585">
        <f>IF(OR($A1585="",$C1585=""),"",IF(ISNUMBER(Wages!$B1588),MOD(Wages!$B1588,100),IFERROR(VALUE(TRIM(MID(MID(Wages!$B1588,FIND("/",Wages!$B1588)+1,20),FIND("/",MID(Wages!$B1588,FIND("/",Wages!$B1588)+1,20))+1,20))),"")))</f>
        <v/>
      </c>
      <c r="F1585">
        <f>IF($A1585="","",IF(OR($C1585="",$D1585="",$E1585="",$C1585&lt;1300,$C1585&gt;1500,$D1585&lt;1,$D1585&gt;12,$E1585&lt;1,$E1585&gt;31),"نامعتبر",RIGHT("0000"&amp;$C1585,4)&amp;"/"&amp;RIGHT("00"&amp;$D1585,2)&amp;"/"&amp;RIGHT("00"&amp;$E1585,2)))</f>
        <v/>
      </c>
      <c r="G1585">
        <f>IF(OR($A1585="",$F1585="",$F1585="نامعتبر"),"",LEFT($F1585,4)&amp;MID($F1585,6,2)&amp;RIGHT($F1585,2)&amp;"0000"&amp;"|"&amp;"1"&amp;RIGHT("00000"&amp;1580,5))</f>
        <v/>
      </c>
      <c r="H1585">
        <f>IF(OR($B1585&lt;&gt;1,$G1585=""),"",COUNTIFS(LdAParty,$A1585,LdAType,1,LdAKey,"&lt;"&amp;$G1585)+COUNTIFS(LdBMember,$A1585,LdBKey,"&lt;"&amp;$G1585)+COUNTIFS(LdCParty,$A1585,LdCKey,"&lt;"&amp;$G1585)+1)</f>
        <v/>
      </c>
      <c r="I1585">
        <f>IF($H1585="","",$A1585&amp;"|"&amp;RIGHT("000000"&amp;$H1585,6))</f>
        <v/>
      </c>
      <c r="J1585">
        <f>IF(OR($B1585&lt;&gt;2,$G1585=""),"",COUNTIFS(LdAParty,$A1585,LdAType,2,LdAKey,"&lt;"&amp;$G1585)+1)</f>
        <v/>
      </c>
      <c r="K1585">
        <f>IF($J1585="","",$A1585&amp;"|"&amp;RIGHT("000000"&amp;$J1585,6))</f>
        <v/>
      </c>
      <c r="L1585">
        <f>IF($A1585="","",IF(Wages!$G1588="",0,Wages!$G1588))</f>
        <v/>
      </c>
      <c r="M1585">
        <f>IF($A1585="","",Wages!$J1588)</f>
        <v/>
      </c>
      <c r="N1585">
        <f>IF($A1585="","",Wages!$D1588)</f>
        <v/>
      </c>
      <c r="P1585">
        <f>IF(OR(Shares!$B1588="",Shares!$C1588=""),"",Shares!$C1588)</f>
        <v/>
      </c>
      <c r="Q1585">
        <f>IF($P1585="","",Shares!$B1588)</f>
        <v/>
      </c>
      <c r="R1585">
        <f>IF($P1585="","",IFERROR(INDEX(WageParty,MATCH($Q1585,WageIds,0)),""))</f>
        <v/>
      </c>
      <c r="S1585">
        <f>IF($P1585="","",IFERROR(INDEX($F$6:$F$2005,MATCH($Q1585,WageIds,0)),""))</f>
        <v/>
      </c>
      <c r="T1585">
        <f>IF(OR($P1585="",$S1585="",$S1585="نامعتبر"),"",LEFT($S1585,4)&amp;MID($S1585,6,2)&amp;RIGHT($S1585,2)&amp;"0000"&amp;"|"&amp;"2"&amp;RIGHT("00000"&amp;1580,5))</f>
        <v/>
      </c>
      <c r="U1585">
        <f>IF($T1585="","",COUNTIFS(LdAParty,$P1585,LdAType,1,LdAKey,"&lt;"&amp;$T1585)+COUNTIFS(LdBMember,$P1585,LdBKey,"&lt;"&amp;$T1585)+COUNTIFS(LdCParty,$P1585,LdCKey,"&lt;"&amp;$T1585)+1)</f>
        <v/>
      </c>
      <c r="V1585">
        <f>IF($U1585="","",$P1585&amp;"|"&amp;RIGHT("000000"&amp;$U1585,6))</f>
        <v/>
      </c>
      <c r="W1585">
        <f>IF($T1585="","",COUNTIFS(LdBGroup,$R1585,LdBKey,"&lt;"&amp;$T1585)+1)</f>
        <v/>
      </c>
      <c r="X1585">
        <f>IF($W1585="","",$R1585&amp;"|"&amp;RIGHT("000000"&amp;$W1585,6))</f>
        <v/>
      </c>
      <c r="Y1585">
        <f>IF($P1585="","",IF(Shares!$E1588="",0,Shares!$E1588))</f>
        <v/>
      </c>
      <c r="Z1585">
        <f>IF($P1585="","",Shares!$H1588)</f>
        <v/>
      </c>
      <c r="AE1585">
        <f>IF(OR(Sync!$S1585="",Sync!$P1585=""),"",Sync!$S1585)</f>
        <v/>
      </c>
      <c r="AF1585">
        <f>IF($AE1585="","",IF(ISNUMBER(Sync!$P1585),IF(AND(Sync!$P1585&gt;=10000101,Sync!$P1585&lt;=99991231),INT(Sync!$P1585/10000),""),IFERROR(VALUE(TRIM(LEFT(Sync!$P1585,FIND("/",Sync!$P1585)-1))),"")))</f>
        <v/>
      </c>
      <c r="AG1585">
        <f>IF(OR($AE1585="",$AF1585=""),"",IF(ISNUMBER(Sync!$P1585),INT(MOD(Sync!$P1585,10000)/100),IFERROR(VALUE(TRIM(LEFT(MID(Sync!$P1585,FIND("/",Sync!$P1585)+1,20),FIND("/",MID(Sync!$P1585,FIND("/",Sync!$P1585)+1,20))-1))),"")))</f>
        <v/>
      </c>
      <c r="AH1585">
        <f>IF(OR($AE1585="",$AF1585=""),"",IF(ISNUMBER(Sync!$P1585),MOD(Sync!$P1585,100),IFERROR(VALUE(TRIM(MID(MID(Sync!$P1585,FIND("/",Sync!$P1585)+1,20),FIND("/",MID(Sync!$P1585,FIND("/",Sync!$P1585)+1,20))+1,20))),"")))</f>
        <v/>
      </c>
      <c r="AI1585">
        <f>IF($AE1585="","",IF(OR($AF1585="",$AG1585="",$AH1585="",$AF1585&lt;1300,$AF1585&gt;1500,$AG1585&lt;1,$AG1585&gt;12,$AH1585&lt;1,$AH1585&gt;31),"نامعتبر",RIGHT("0000"&amp;$AF1585,4)&amp;"/"&amp;RIGHT("00"&amp;$AG1585,2)&amp;"/"&amp;RIGHT("00"&amp;$AH1585,2)))</f>
        <v/>
      </c>
      <c r="AJ1585">
        <f>IF($AE1585="","",IF(Sync!$Q1585="","0000",IF(AND(ISNUMBER(Sync!$Q1585),Sync!$Q1585&gt;=0,Sync!$Q1585&lt;1),RIGHT("00"&amp;HOUR(Sync!$Q1585),2)&amp;RIGHT("00"&amp;MINUTE(Sync!$Q1585),2),IFERROR(RIGHT("00"&amp;VALUE(LEFT(Sync!$Q1585,FIND(":",Sync!$Q1585)-1)),2)&amp;RIGHT("00"&amp;VALUE(MID(Sync!$Q1585,FIND(":",Sync!$Q1585)+1,2)),2),"0000"))))</f>
        <v/>
      </c>
      <c r="AK1585">
        <f>IF(OR($AE1585="",$AI1585="",$AI1585="نامعتبر"),"",LEFT($AI1585,4)&amp;MID($AI1585,6,2)&amp;RIGHT($AI1585,2)&amp;$AJ1585&amp;"|"&amp;"3"&amp;RIGHT("00000"&amp;1580,5))</f>
        <v/>
      </c>
      <c r="AL1585">
        <f>IF($AK1585="","",COUNTIFS(LdAParty,$AE1585,LdAType,1,LdAKey,"&lt;"&amp;$AK1585)+COUNTIFS(LdBMember,$AE1585,LdBKey,"&lt;"&amp;$AK1585)+COUNTIFS(LdCParty,$AE1585,LdCKey,"&lt;"&amp;$AK1585)+1)</f>
        <v/>
      </c>
      <c r="AM1585">
        <f>IF($AL1585="","",$AE1585&amp;"|"&amp;RIGHT("000000"&amp;$AL1585,6))</f>
        <v/>
      </c>
      <c r="AN1585">
        <f>IF($AE1585="","",IF(Sync!$W1585="",0,Sync!$W1585))</f>
        <v/>
      </c>
      <c r="AO1585">
        <f>IF($AE1585="","",IF(Sync!$X1585="",0,Sync!$X1585))</f>
        <v/>
      </c>
      <c r="AP1585">
        <f>IF($AE1585="","",Sync!$R1585)</f>
        <v/>
      </c>
      <c r="AQ1585">
        <f>IF($AE1585="","",Sync!$Y1585)</f>
        <v/>
      </c>
    </row>
    <row r="1586">
      <c r="A1586">
        <f>IF(OR(Wages!$B1589="",Wages!$E1589=""),"",Wages!$E1589)</f>
        <v/>
      </c>
      <c r="B1586">
        <f>IF($A1586="","",IF(Wages!$C1589="دستمزد گروهی",2,1))</f>
        <v/>
      </c>
      <c r="C1586">
        <f>IF($A1586="","",IF(ISNUMBER(Wages!$B1589),IF(AND(Wages!$B1589&gt;=10000101,Wages!$B1589&lt;=99991231),INT(Wages!$B1589/10000),""),IFERROR(VALUE(TRIM(LEFT(Wages!$B1589,FIND("/",Wages!$B1589)-1))),"")))</f>
        <v/>
      </c>
      <c r="D1586">
        <f>IF(OR($A1586="",$C1586=""),"",IF(ISNUMBER(Wages!$B1589),INT(MOD(Wages!$B1589,10000)/100),IFERROR(VALUE(TRIM(LEFT(MID(Wages!$B1589,FIND("/",Wages!$B1589)+1,20),FIND("/",MID(Wages!$B1589,FIND("/",Wages!$B1589)+1,20))-1))),"")))</f>
        <v/>
      </c>
      <c r="E1586">
        <f>IF(OR($A1586="",$C1586=""),"",IF(ISNUMBER(Wages!$B1589),MOD(Wages!$B1589,100),IFERROR(VALUE(TRIM(MID(MID(Wages!$B1589,FIND("/",Wages!$B1589)+1,20),FIND("/",MID(Wages!$B1589,FIND("/",Wages!$B1589)+1,20))+1,20))),"")))</f>
        <v/>
      </c>
      <c r="F1586">
        <f>IF($A1586="","",IF(OR($C1586="",$D1586="",$E1586="",$C1586&lt;1300,$C1586&gt;1500,$D1586&lt;1,$D1586&gt;12,$E1586&lt;1,$E1586&gt;31),"نامعتبر",RIGHT("0000"&amp;$C1586,4)&amp;"/"&amp;RIGHT("00"&amp;$D1586,2)&amp;"/"&amp;RIGHT("00"&amp;$E1586,2)))</f>
        <v/>
      </c>
      <c r="G1586">
        <f>IF(OR($A1586="",$F1586="",$F1586="نامعتبر"),"",LEFT($F1586,4)&amp;MID($F1586,6,2)&amp;RIGHT($F1586,2)&amp;"0000"&amp;"|"&amp;"1"&amp;RIGHT("00000"&amp;1581,5))</f>
        <v/>
      </c>
      <c r="H1586">
        <f>IF(OR($B1586&lt;&gt;1,$G1586=""),"",COUNTIFS(LdAParty,$A1586,LdAType,1,LdAKey,"&lt;"&amp;$G1586)+COUNTIFS(LdBMember,$A1586,LdBKey,"&lt;"&amp;$G1586)+COUNTIFS(LdCParty,$A1586,LdCKey,"&lt;"&amp;$G1586)+1)</f>
        <v/>
      </c>
      <c r="I1586">
        <f>IF($H1586="","",$A1586&amp;"|"&amp;RIGHT("000000"&amp;$H1586,6))</f>
        <v/>
      </c>
      <c r="J1586">
        <f>IF(OR($B1586&lt;&gt;2,$G1586=""),"",COUNTIFS(LdAParty,$A1586,LdAType,2,LdAKey,"&lt;"&amp;$G1586)+1)</f>
        <v/>
      </c>
      <c r="K1586">
        <f>IF($J1586="","",$A1586&amp;"|"&amp;RIGHT("000000"&amp;$J1586,6))</f>
        <v/>
      </c>
      <c r="L1586">
        <f>IF($A1586="","",IF(Wages!$G1589="",0,Wages!$G1589))</f>
        <v/>
      </c>
      <c r="M1586">
        <f>IF($A1586="","",Wages!$J1589)</f>
        <v/>
      </c>
      <c r="N1586">
        <f>IF($A1586="","",Wages!$D1589)</f>
        <v/>
      </c>
      <c r="P1586">
        <f>IF(OR(Shares!$B1589="",Shares!$C1589=""),"",Shares!$C1589)</f>
        <v/>
      </c>
      <c r="Q1586">
        <f>IF($P1586="","",Shares!$B1589)</f>
        <v/>
      </c>
      <c r="R1586">
        <f>IF($P1586="","",IFERROR(INDEX(WageParty,MATCH($Q1586,WageIds,0)),""))</f>
        <v/>
      </c>
      <c r="S1586">
        <f>IF($P1586="","",IFERROR(INDEX($F$6:$F$2005,MATCH($Q1586,WageIds,0)),""))</f>
        <v/>
      </c>
      <c r="T1586">
        <f>IF(OR($P1586="",$S1586="",$S1586="نامعتبر"),"",LEFT($S1586,4)&amp;MID($S1586,6,2)&amp;RIGHT($S1586,2)&amp;"0000"&amp;"|"&amp;"2"&amp;RIGHT("00000"&amp;1581,5))</f>
        <v/>
      </c>
      <c r="U1586">
        <f>IF($T1586="","",COUNTIFS(LdAParty,$P1586,LdAType,1,LdAKey,"&lt;"&amp;$T1586)+COUNTIFS(LdBMember,$P1586,LdBKey,"&lt;"&amp;$T1586)+COUNTIFS(LdCParty,$P1586,LdCKey,"&lt;"&amp;$T1586)+1)</f>
        <v/>
      </c>
      <c r="V1586">
        <f>IF($U1586="","",$P1586&amp;"|"&amp;RIGHT("000000"&amp;$U1586,6))</f>
        <v/>
      </c>
      <c r="W1586">
        <f>IF($T1586="","",COUNTIFS(LdBGroup,$R1586,LdBKey,"&lt;"&amp;$T1586)+1)</f>
        <v/>
      </c>
      <c r="X1586">
        <f>IF($W1586="","",$R1586&amp;"|"&amp;RIGHT("000000"&amp;$W1586,6))</f>
        <v/>
      </c>
      <c r="Y1586">
        <f>IF($P1586="","",IF(Shares!$E1589="",0,Shares!$E1589))</f>
        <v/>
      </c>
      <c r="Z1586">
        <f>IF($P1586="","",Shares!$H1589)</f>
        <v/>
      </c>
      <c r="AE1586">
        <f>IF(OR(Sync!$S1586="",Sync!$P1586=""),"",Sync!$S1586)</f>
        <v/>
      </c>
      <c r="AF1586">
        <f>IF($AE1586="","",IF(ISNUMBER(Sync!$P1586),IF(AND(Sync!$P1586&gt;=10000101,Sync!$P1586&lt;=99991231),INT(Sync!$P1586/10000),""),IFERROR(VALUE(TRIM(LEFT(Sync!$P1586,FIND("/",Sync!$P1586)-1))),"")))</f>
        <v/>
      </c>
      <c r="AG1586">
        <f>IF(OR($AE1586="",$AF1586=""),"",IF(ISNUMBER(Sync!$P1586),INT(MOD(Sync!$P1586,10000)/100),IFERROR(VALUE(TRIM(LEFT(MID(Sync!$P1586,FIND("/",Sync!$P1586)+1,20),FIND("/",MID(Sync!$P1586,FIND("/",Sync!$P1586)+1,20))-1))),"")))</f>
        <v/>
      </c>
      <c r="AH1586">
        <f>IF(OR($AE1586="",$AF1586=""),"",IF(ISNUMBER(Sync!$P1586),MOD(Sync!$P1586,100),IFERROR(VALUE(TRIM(MID(MID(Sync!$P1586,FIND("/",Sync!$P1586)+1,20),FIND("/",MID(Sync!$P1586,FIND("/",Sync!$P1586)+1,20))+1,20))),"")))</f>
        <v/>
      </c>
      <c r="AI1586">
        <f>IF($AE1586="","",IF(OR($AF1586="",$AG1586="",$AH1586="",$AF1586&lt;1300,$AF1586&gt;1500,$AG1586&lt;1,$AG1586&gt;12,$AH1586&lt;1,$AH1586&gt;31),"نامعتبر",RIGHT("0000"&amp;$AF1586,4)&amp;"/"&amp;RIGHT("00"&amp;$AG1586,2)&amp;"/"&amp;RIGHT("00"&amp;$AH1586,2)))</f>
        <v/>
      </c>
      <c r="AJ1586">
        <f>IF($AE1586="","",IF(Sync!$Q1586="","0000",IF(AND(ISNUMBER(Sync!$Q1586),Sync!$Q1586&gt;=0,Sync!$Q1586&lt;1),RIGHT("00"&amp;HOUR(Sync!$Q1586),2)&amp;RIGHT("00"&amp;MINUTE(Sync!$Q1586),2),IFERROR(RIGHT("00"&amp;VALUE(LEFT(Sync!$Q1586,FIND(":",Sync!$Q1586)-1)),2)&amp;RIGHT("00"&amp;VALUE(MID(Sync!$Q1586,FIND(":",Sync!$Q1586)+1,2)),2),"0000"))))</f>
        <v/>
      </c>
      <c r="AK1586">
        <f>IF(OR($AE1586="",$AI1586="",$AI1586="نامعتبر"),"",LEFT($AI1586,4)&amp;MID($AI1586,6,2)&amp;RIGHT($AI1586,2)&amp;$AJ1586&amp;"|"&amp;"3"&amp;RIGHT("00000"&amp;1581,5))</f>
        <v/>
      </c>
      <c r="AL1586">
        <f>IF($AK1586="","",COUNTIFS(LdAParty,$AE1586,LdAType,1,LdAKey,"&lt;"&amp;$AK1586)+COUNTIFS(LdBMember,$AE1586,LdBKey,"&lt;"&amp;$AK1586)+COUNTIFS(LdCParty,$AE1586,LdCKey,"&lt;"&amp;$AK1586)+1)</f>
        <v/>
      </c>
      <c r="AM1586">
        <f>IF($AL1586="","",$AE1586&amp;"|"&amp;RIGHT("000000"&amp;$AL1586,6))</f>
        <v/>
      </c>
      <c r="AN1586">
        <f>IF($AE1586="","",IF(Sync!$W1586="",0,Sync!$W1586))</f>
        <v/>
      </c>
      <c r="AO1586">
        <f>IF($AE1586="","",IF(Sync!$X1586="",0,Sync!$X1586))</f>
        <v/>
      </c>
      <c r="AP1586">
        <f>IF($AE1586="","",Sync!$R1586)</f>
        <v/>
      </c>
      <c r="AQ1586">
        <f>IF($AE1586="","",Sync!$Y1586)</f>
        <v/>
      </c>
    </row>
    <row r="1587">
      <c r="A1587">
        <f>IF(OR(Wages!$B1590="",Wages!$E1590=""),"",Wages!$E1590)</f>
        <v/>
      </c>
      <c r="B1587">
        <f>IF($A1587="","",IF(Wages!$C1590="دستمزد گروهی",2,1))</f>
        <v/>
      </c>
      <c r="C1587">
        <f>IF($A1587="","",IF(ISNUMBER(Wages!$B1590),IF(AND(Wages!$B1590&gt;=10000101,Wages!$B1590&lt;=99991231),INT(Wages!$B1590/10000),""),IFERROR(VALUE(TRIM(LEFT(Wages!$B1590,FIND("/",Wages!$B1590)-1))),"")))</f>
        <v/>
      </c>
      <c r="D1587">
        <f>IF(OR($A1587="",$C1587=""),"",IF(ISNUMBER(Wages!$B1590),INT(MOD(Wages!$B1590,10000)/100),IFERROR(VALUE(TRIM(LEFT(MID(Wages!$B1590,FIND("/",Wages!$B1590)+1,20),FIND("/",MID(Wages!$B1590,FIND("/",Wages!$B1590)+1,20))-1))),"")))</f>
        <v/>
      </c>
      <c r="E1587">
        <f>IF(OR($A1587="",$C1587=""),"",IF(ISNUMBER(Wages!$B1590),MOD(Wages!$B1590,100),IFERROR(VALUE(TRIM(MID(MID(Wages!$B1590,FIND("/",Wages!$B1590)+1,20),FIND("/",MID(Wages!$B1590,FIND("/",Wages!$B1590)+1,20))+1,20))),"")))</f>
        <v/>
      </c>
      <c r="F1587">
        <f>IF($A1587="","",IF(OR($C1587="",$D1587="",$E1587="",$C1587&lt;1300,$C1587&gt;1500,$D1587&lt;1,$D1587&gt;12,$E1587&lt;1,$E1587&gt;31),"نامعتبر",RIGHT("0000"&amp;$C1587,4)&amp;"/"&amp;RIGHT("00"&amp;$D1587,2)&amp;"/"&amp;RIGHT("00"&amp;$E1587,2)))</f>
        <v/>
      </c>
      <c r="G1587">
        <f>IF(OR($A1587="",$F1587="",$F1587="نامعتبر"),"",LEFT($F1587,4)&amp;MID($F1587,6,2)&amp;RIGHT($F1587,2)&amp;"0000"&amp;"|"&amp;"1"&amp;RIGHT("00000"&amp;1582,5))</f>
        <v/>
      </c>
      <c r="H1587">
        <f>IF(OR($B1587&lt;&gt;1,$G1587=""),"",COUNTIFS(LdAParty,$A1587,LdAType,1,LdAKey,"&lt;"&amp;$G1587)+COUNTIFS(LdBMember,$A1587,LdBKey,"&lt;"&amp;$G1587)+COUNTIFS(LdCParty,$A1587,LdCKey,"&lt;"&amp;$G1587)+1)</f>
        <v/>
      </c>
      <c r="I1587">
        <f>IF($H1587="","",$A1587&amp;"|"&amp;RIGHT("000000"&amp;$H1587,6))</f>
        <v/>
      </c>
      <c r="J1587">
        <f>IF(OR($B1587&lt;&gt;2,$G1587=""),"",COUNTIFS(LdAParty,$A1587,LdAType,2,LdAKey,"&lt;"&amp;$G1587)+1)</f>
        <v/>
      </c>
      <c r="K1587">
        <f>IF($J1587="","",$A1587&amp;"|"&amp;RIGHT("000000"&amp;$J1587,6))</f>
        <v/>
      </c>
      <c r="L1587">
        <f>IF($A1587="","",IF(Wages!$G1590="",0,Wages!$G1590))</f>
        <v/>
      </c>
      <c r="M1587">
        <f>IF($A1587="","",Wages!$J1590)</f>
        <v/>
      </c>
      <c r="N1587">
        <f>IF($A1587="","",Wages!$D1590)</f>
        <v/>
      </c>
      <c r="P1587">
        <f>IF(OR(Shares!$B1590="",Shares!$C1590=""),"",Shares!$C1590)</f>
        <v/>
      </c>
      <c r="Q1587">
        <f>IF($P1587="","",Shares!$B1590)</f>
        <v/>
      </c>
      <c r="R1587">
        <f>IF($P1587="","",IFERROR(INDEX(WageParty,MATCH($Q1587,WageIds,0)),""))</f>
        <v/>
      </c>
      <c r="S1587">
        <f>IF($P1587="","",IFERROR(INDEX($F$6:$F$2005,MATCH($Q1587,WageIds,0)),""))</f>
        <v/>
      </c>
      <c r="T1587">
        <f>IF(OR($P1587="",$S1587="",$S1587="نامعتبر"),"",LEFT($S1587,4)&amp;MID($S1587,6,2)&amp;RIGHT($S1587,2)&amp;"0000"&amp;"|"&amp;"2"&amp;RIGHT("00000"&amp;1582,5))</f>
        <v/>
      </c>
      <c r="U1587">
        <f>IF($T1587="","",COUNTIFS(LdAParty,$P1587,LdAType,1,LdAKey,"&lt;"&amp;$T1587)+COUNTIFS(LdBMember,$P1587,LdBKey,"&lt;"&amp;$T1587)+COUNTIFS(LdCParty,$P1587,LdCKey,"&lt;"&amp;$T1587)+1)</f>
        <v/>
      </c>
      <c r="V1587">
        <f>IF($U1587="","",$P1587&amp;"|"&amp;RIGHT("000000"&amp;$U1587,6))</f>
        <v/>
      </c>
      <c r="W1587">
        <f>IF($T1587="","",COUNTIFS(LdBGroup,$R1587,LdBKey,"&lt;"&amp;$T1587)+1)</f>
        <v/>
      </c>
      <c r="X1587">
        <f>IF($W1587="","",$R1587&amp;"|"&amp;RIGHT("000000"&amp;$W1587,6))</f>
        <v/>
      </c>
      <c r="Y1587">
        <f>IF($P1587="","",IF(Shares!$E1590="",0,Shares!$E1590))</f>
        <v/>
      </c>
      <c r="Z1587">
        <f>IF($P1587="","",Shares!$H1590)</f>
        <v/>
      </c>
      <c r="AE1587">
        <f>IF(OR(Sync!$S1587="",Sync!$P1587=""),"",Sync!$S1587)</f>
        <v/>
      </c>
      <c r="AF1587">
        <f>IF($AE1587="","",IF(ISNUMBER(Sync!$P1587),IF(AND(Sync!$P1587&gt;=10000101,Sync!$P1587&lt;=99991231),INT(Sync!$P1587/10000),""),IFERROR(VALUE(TRIM(LEFT(Sync!$P1587,FIND("/",Sync!$P1587)-1))),"")))</f>
        <v/>
      </c>
      <c r="AG1587">
        <f>IF(OR($AE1587="",$AF1587=""),"",IF(ISNUMBER(Sync!$P1587),INT(MOD(Sync!$P1587,10000)/100),IFERROR(VALUE(TRIM(LEFT(MID(Sync!$P1587,FIND("/",Sync!$P1587)+1,20),FIND("/",MID(Sync!$P1587,FIND("/",Sync!$P1587)+1,20))-1))),"")))</f>
        <v/>
      </c>
      <c r="AH1587">
        <f>IF(OR($AE1587="",$AF1587=""),"",IF(ISNUMBER(Sync!$P1587),MOD(Sync!$P1587,100),IFERROR(VALUE(TRIM(MID(MID(Sync!$P1587,FIND("/",Sync!$P1587)+1,20),FIND("/",MID(Sync!$P1587,FIND("/",Sync!$P1587)+1,20))+1,20))),"")))</f>
        <v/>
      </c>
      <c r="AI1587">
        <f>IF($AE1587="","",IF(OR($AF1587="",$AG1587="",$AH1587="",$AF1587&lt;1300,$AF1587&gt;1500,$AG1587&lt;1,$AG1587&gt;12,$AH1587&lt;1,$AH1587&gt;31),"نامعتبر",RIGHT("0000"&amp;$AF1587,4)&amp;"/"&amp;RIGHT("00"&amp;$AG1587,2)&amp;"/"&amp;RIGHT("00"&amp;$AH1587,2)))</f>
        <v/>
      </c>
      <c r="AJ1587">
        <f>IF($AE1587="","",IF(Sync!$Q1587="","0000",IF(AND(ISNUMBER(Sync!$Q1587),Sync!$Q1587&gt;=0,Sync!$Q1587&lt;1),RIGHT("00"&amp;HOUR(Sync!$Q1587),2)&amp;RIGHT("00"&amp;MINUTE(Sync!$Q1587),2),IFERROR(RIGHT("00"&amp;VALUE(LEFT(Sync!$Q1587,FIND(":",Sync!$Q1587)-1)),2)&amp;RIGHT("00"&amp;VALUE(MID(Sync!$Q1587,FIND(":",Sync!$Q1587)+1,2)),2),"0000"))))</f>
        <v/>
      </c>
      <c r="AK1587">
        <f>IF(OR($AE1587="",$AI1587="",$AI1587="نامعتبر"),"",LEFT($AI1587,4)&amp;MID($AI1587,6,2)&amp;RIGHT($AI1587,2)&amp;$AJ1587&amp;"|"&amp;"3"&amp;RIGHT("00000"&amp;1582,5))</f>
        <v/>
      </c>
      <c r="AL1587">
        <f>IF($AK1587="","",COUNTIFS(LdAParty,$AE1587,LdAType,1,LdAKey,"&lt;"&amp;$AK1587)+COUNTIFS(LdBMember,$AE1587,LdBKey,"&lt;"&amp;$AK1587)+COUNTIFS(LdCParty,$AE1587,LdCKey,"&lt;"&amp;$AK1587)+1)</f>
        <v/>
      </c>
      <c r="AM1587">
        <f>IF($AL1587="","",$AE1587&amp;"|"&amp;RIGHT("000000"&amp;$AL1587,6))</f>
        <v/>
      </c>
      <c r="AN1587">
        <f>IF($AE1587="","",IF(Sync!$W1587="",0,Sync!$W1587))</f>
        <v/>
      </c>
      <c r="AO1587">
        <f>IF($AE1587="","",IF(Sync!$X1587="",0,Sync!$X1587))</f>
        <v/>
      </c>
      <c r="AP1587">
        <f>IF($AE1587="","",Sync!$R1587)</f>
        <v/>
      </c>
      <c r="AQ1587">
        <f>IF($AE1587="","",Sync!$Y1587)</f>
        <v/>
      </c>
    </row>
    <row r="1588">
      <c r="A1588">
        <f>IF(OR(Wages!$B1591="",Wages!$E1591=""),"",Wages!$E1591)</f>
        <v/>
      </c>
      <c r="B1588">
        <f>IF($A1588="","",IF(Wages!$C1591="دستمزد گروهی",2,1))</f>
        <v/>
      </c>
      <c r="C1588">
        <f>IF($A1588="","",IF(ISNUMBER(Wages!$B1591),IF(AND(Wages!$B1591&gt;=10000101,Wages!$B1591&lt;=99991231),INT(Wages!$B1591/10000),""),IFERROR(VALUE(TRIM(LEFT(Wages!$B1591,FIND("/",Wages!$B1591)-1))),"")))</f>
        <v/>
      </c>
      <c r="D1588">
        <f>IF(OR($A1588="",$C1588=""),"",IF(ISNUMBER(Wages!$B1591),INT(MOD(Wages!$B1591,10000)/100),IFERROR(VALUE(TRIM(LEFT(MID(Wages!$B1591,FIND("/",Wages!$B1591)+1,20),FIND("/",MID(Wages!$B1591,FIND("/",Wages!$B1591)+1,20))-1))),"")))</f>
        <v/>
      </c>
      <c r="E1588">
        <f>IF(OR($A1588="",$C1588=""),"",IF(ISNUMBER(Wages!$B1591),MOD(Wages!$B1591,100),IFERROR(VALUE(TRIM(MID(MID(Wages!$B1591,FIND("/",Wages!$B1591)+1,20),FIND("/",MID(Wages!$B1591,FIND("/",Wages!$B1591)+1,20))+1,20))),"")))</f>
        <v/>
      </c>
      <c r="F1588">
        <f>IF($A1588="","",IF(OR($C1588="",$D1588="",$E1588="",$C1588&lt;1300,$C1588&gt;1500,$D1588&lt;1,$D1588&gt;12,$E1588&lt;1,$E1588&gt;31),"نامعتبر",RIGHT("0000"&amp;$C1588,4)&amp;"/"&amp;RIGHT("00"&amp;$D1588,2)&amp;"/"&amp;RIGHT("00"&amp;$E1588,2)))</f>
        <v/>
      </c>
      <c r="G1588">
        <f>IF(OR($A1588="",$F1588="",$F1588="نامعتبر"),"",LEFT($F1588,4)&amp;MID($F1588,6,2)&amp;RIGHT($F1588,2)&amp;"0000"&amp;"|"&amp;"1"&amp;RIGHT("00000"&amp;1583,5))</f>
        <v/>
      </c>
      <c r="H1588">
        <f>IF(OR($B1588&lt;&gt;1,$G1588=""),"",COUNTIFS(LdAParty,$A1588,LdAType,1,LdAKey,"&lt;"&amp;$G1588)+COUNTIFS(LdBMember,$A1588,LdBKey,"&lt;"&amp;$G1588)+COUNTIFS(LdCParty,$A1588,LdCKey,"&lt;"&amp;$G1588)+1)</f>
        <v/>
      </c>
      <c r="I1588">
        <f>IF($H1588="","",$A1588&amp;"|"&amp;RIGHT("000000"&amp;$H1588,6))</f>
        <v/>
      </c>
      <c r="J1588">
        <f>IF(OR($B1588&lt;&gt;2,$G1588=""),"",COUNTIFS(LdAParty,$A1588,LdAType,2,LdAKey,"&lt;"&amp;$G1588)+1)</f>
        <v/>
      </c>
      <c r="K1588">
        <f>IF($J1588="","",$A1588&amp;"|"&amp;RIGHT("000000"&amp;$J1588,6))</f>
        <v/>
      </c>
      <c r="L1588">
        <f>IF($A1588="","",IF(Wages!$G1591="",0,Wages!$G1591))</f>
        <v/>
      </c>
      <c r="M1588">
        <f>IF($A1588="","",Wages!$J1591)</f>
        <v/>
      </c>
      <c r="N1588">
        <f>IF($A1588="","",Wages!$D1591)</f>
        <v/>
      </c>
      <c r="P1588">
        <f>IF(OR(Shares!$B1591="",Shares!$C1591=""),"",Shares!$C1591)</f>
        <v/>
      </c>
      <c r="Q1588">
        <f>IF($P1588="","",Shares!$B1591)</f>
        <v/>
      </c>
      <c r="R1588">
        <f>IF($P1588="","",IFERROR(INDEX(WageParty,MATCH($Q1588,WageIds,0)),""))</f>
        <v/>
      </c>
      <c r="S1588">
        <f>IF($P1588="","",IFERROR(INDEX($F$6:$F$2005,MATCH($Q1588,WageIds,0)),""))</f>
        <v/>
      </c>
      <c r="T1588">
        <f>IF(OR($P1588="",$S1588="",$S1588="نامعتبر"),"",LEFT($S1588,4)&amp;MID($S1588,6,2)&amp;RIGHT($S1588,2)&amp;"0000"&amp;"|"&amp;"2"&amp;RIGHT("00000"&amp;1583,5))</f>
        <v/>
      </c>
      <c r="U1588">
        <f>IF($T1588="","",COUNTIFS(LdAParty,$P1588,LdAType,1,LdAKey,"&lt;"&amp;$T1588)+COUNTIFS(LdBMember,$P1588,LdBKey,"&lt;"&amp;$T1588)+COUNTIFS(LdCParty,$P1588,LdCKey,"&lt;"&amp;$T1588)+1)</f>
        <v/>
      </c>
      <c r="V1588">
        <f>IF($U1588="","",$P1588&amp;"|"&amp;RIGHT("000000"&amp;$U1588,6))</f>
        <v/>
      </c>
      <c r="W1588">
        <f>IF($T1588="","",COUNTIFS(LdBGroup,$R1588,LdBKey,"&lt;"&amp;$T1588)+1)</f>
        <v/>
      </c>
      <c r="X1588">
        <f>IF($W1588="","",$R1588&amp;"|"&amp;RIGHT("000000"&amp;$W1588,6))</f>
        <v/>
      </c>
      <c r="Y1588">
        <f>IF($P1588="","",IF(Shares!$E1591="",0,Shares!$E1591))</f>
        <v/>
      </c>
      <c r="Z1588">
        <f>IF($P1588="","",Shares!$H1591)</f>
        <v/>
      </c>
      <c r="AE1588">
        <f>IF(OR(Sync!$S1588="",Sync!$P1588=""),"",Sync!$S1588)</f>
        <v/>
      </c>
      <c r="AF1588">
        <f>IF($AE1588="","",IF(ISNUMBER(Sync!$P1588),IF(AND(Sync!$P1588&gt;=10000101,Sync!$P1588&lt;=99991231),INT(Sync!$P1588/10000),""),IFERROR(VALUE(TRIM(LEFT(Sync!$P1588,FIND("/",Sync!$P1588)-1))),"")))</f>
        <v/>
      </c>
      <c r="AG1588">
        <f>IF(OR($AE1588="",$AF1588=""),"",IF(ISNUMBER(Sync!$P1588),INT(MOD(Sync!$P1588,10000)/100),IFERROR(VALUE(TRIM(LEFT(MID(Sync!$P1588,FIND("/",Sync!$P1588)+1,20),FIND("/",MID(Sync!$P1588,FIND("/",Sync!$P1588)+1,20))-1))),"")))</f>
        <v/>
      </c>
      <c r="AH1588">
        <f>IF(OR($AE1588="",$AF1588=""),"",IF(ISNUMBER(Sync!$P1588),MOD(Sync!$P1588,100),IFERROR(VALUE(TRIM(MID(MID(Sync!$P1588,FIND("/",Sync!$P1588)+1,20),FIND("/",MID(Sync!$P1588,FIND("/",Sync!$P1588)+1,20))+1,20))),"")))</f>
        <v/>
      </c>
      <c r="AI1588">
        <f>IF($AE1588="","",IF(OR($AF1588="",$AG1588="",$AH1588="",$AF1588&lt;1300,$AF1588&gt;1500,$AG1588&lt;1,$AG1588&gt;12,$AH1588&lt;1,$AH1588&gt;31),"نامعتبر",RIGHT("0000"&amp;$AF1588,4)&amp;"/"&amp;RIGHT("00"&amp;$AG1588,2)&amp;"/"&amp;RIGHT("00"&amp;$AH1588,2)))</f>
        <v/>
      </c>
      <c r="AJ1588">
        <f>IF($AE1588="","",IF(Sync!$Q1588="","0000",IF(AND(ISNUMBER(Sync!$Q1588),Sync!$Q1588&gt;=0,Sync!$Q1588&lt;1),RIGHT("00"&amp;HOUR(Sync!$Q1588),2)&amp;RIGHT("00"&amp;MINUTE(Sync!$Q1588),2),IFERROR(RIGHT("00"&amp;VALUE(LEFT(Sync!$Q1588,FIND(":",Sync!$Q1588)-1)),2)&amp;RIGHT("00"&amp;VALUE(MID(Sync!$Q1588,FIND(":",Sync!$Q1588)+1,2)),2),"0000"))))</f>
        <v/>
      </c>
      <c r="AK1588">
        <f>IF(OR($AE1588="",$AI1588="",$AI1588="نامعتبر"),"",LEFT($AI1588,4)&amp;MID($AI1588,6,2)&amp;RIGHT($AI1588,2)&amp;$AJ1588&amp;"|"&amp;"3"&amp;RIGHT("00000"&amp;1583,5))</f>
        <v/>
      </c>
      <c r="AL1588">
        <f>IF($AK1588="","",COUNTIFS(LdAParty,$AE1588,LdAType,1,LdAKey,"&lt;"&amp;$AK1588)+COUNTIFS(LdBMember,$AE1588,LdBKey,"&lt;"&amp;$AK1588)+COUNTIFS(LdCParty,$AE1588,LdCKey,"&lt;"&amp;$AK1588)+1)</f>
        <v/>
      </c>
      <c r="AM1588">
        <f>IF($AL1588="","",$AE1588&amp;"|"&amp;RIGHT("000000"&amp;$AL1588,6))</f>
        <v/>
      </c>
      <c r="AN1588">
        <f>IF($AE1588="","",IF(Sync!$W1588="",0,Sync!$W1588))</f>
        <v/>
      </c>
      <c r="AO1588">
        <f>IF($AE1588="","",IF(Sync!$X1588="",0,Sync!$X1588))</f>
        <v/>
      </c>
      <c r="AP1588">
        <f>IF($AE1588="","",Sync!$R1588)</f>
        <v/>
      </c>
      <c r="AQ1588">
        <f>IF($AE1588="","",Sync!$Y1588)</f>
        <v/>
      </c>
    </row>
    <row r="1589">
      <c r="A1589">
        <f>IF(OR(Wages!$B1592="",Wages!$E1592=""),"",Wages!$E1592)</f>
        <v/>
      </c>
      <c r="B1589">
        <f>IF($A1589="","",IF(Wages!$C1592="دستمزد گروهی",2,1))</f>
        <v/>
      </c>
      <c r="C1589">
        <f>IF($A1589="","",IF(ISNUMBER(Wages!$B1592),IF(AND(Wages!$B1592&gt;=10000101,Wages!$B1592&lt;=99991231),INT(Wages!$B1592/10000),""),IFERROR(VALUE(TRIM(LEFT(Wages!$B1592,FIND("/",Wages!$B1592)-1))),"")))</f>
        <v/>
      </c>
      <c r="D1589">
        <f>IF(OR($A1589="",$C1589=""),"",IF(ISNUMBER(Wages!$B1592),INT(MOD(Wages!$B1592,10000)/100),IFERROR(VALUE(TRIM(LEFT(MID(Wages!$B1592,FIND("/",Wages!$B1592)+1,20),FIND("/",MID(Wages!$B1592,FIND("/",Wages!$B1592)+1,20))-1))),"")))</f>
        <v/>
      </c>
      <c r="E1589">
        <f>IF(OR($A1589="",$C1589=""),"",IF(ISNUMBER(Wages!$B1592),MOD(Wages!$B1592,100),IFERROR(VALUE(TRIM(MID(MID(Wages!$B1592,FIND("/",Wages!$B1592)+1,20),FIND("/",MID(Wages!$B1592,FIND("/",Wages!$B1592)+1,20))+1,20))),"")))</f>
        <v/>
      </c>
      <c r="F1589">
        <f>IF($A1589="","",IF(OR($C1589="",$D1589="",$E1589="",$C1589&lt;1300,$C1589&gt;1500,$D1589&lt;1,$D1589&gt;12,$E1589&lt;1,$E1589&gt;31),"نامعتبر",RIGHT("0000"&amp;$C1589,4)&amp;"/"&amp;RIGHT("00"&amp;$D1589,2)&amp;"/"&amp;RIGHT("00"&amp;$E1589,2)))</f>
        <v/>
      </c>
      <c r="G1589">
        <f>IF(OR($A1589="",$F1589="",$F1589="نامعتبر"),"",LEFT($F1589,4)&amp;MID($F1589,6,2)&amp;RIGHT($F1589,2)&amp;"0000"&amp;"|"&amp;"1"&amp;RIGHT("00000"&amp;1584,5))</f>
        <v/>
      </c>
      <c r="H1589">
        <f>IF(OR($B1589&lt;&gt;1,$G1589=""),"",COUNTIFS(LdAParty,$A1589,LdAType,1,LdAKey,"&lt;"&amp;$G1589)+COUNTIFS(LdBMember,$A1589,LdBKey,"&lt;"&amp;$G1589)+COUNTIFS(LdCParty,$A1589,LdCKey,"&lt;"&amp;$G1589)+1)</f>
        <v/>
      </c>
      <c r="I1589">
        <f>IF($H1589="","",$A1589&amp;"|"&amp;RIGHT("000000"&amp;$H1589,6))</f>
        <v/>
      </c>
      <c r="J1589">
        <f>IF(OR($B1589&lt;&gt;2,$G1589=""),"",COUNTIFS(LdAParty,$A1589,LdAType,2,LdAKey,"&lt;"&amp;$G1589)+1)</f>
        <v/>
      </c>
      <c r="K1589">
        <f>IF($J1589="","",$A1589&amp;"|"&amp;RIGHT("000000"&amp;$J1589,6))</f>
        <v/>
      </c>
      <c r="L1589">
        <f>IF($A1589="","",IF(Wages!$G1592="",0,Wages!$G1592))</f>
        <v/>
      </c>
      <c r="M1589">
        <f>IF($A1589="","",Wages!$J1592)</f>
        <v/>
      </c>
      <c r="N1589">
        <f>IF($A1589="","",Wages!$D1592)</f>
        <v/>
      </c>
      <c r="P1589">
        <f>IF(OR(Shares!$B1592="",Shares!$C1592=""),"",Shares!$C1592)</f>
        <v/>
      </c>
      <c r="Q1589">
        <f>IF($P1589="","",Shares!$B1592)</f>
        <v/>
      </c>
      <c r="R1589">
        <f>IF($P1589="","",IFERROR(INDEX(WageParty,MATCH($Q1589,WageIds,0)),""))</f>
        <v/>
      </c>
      <c r="S1589">
        <f>IF($P1589="","",IFERROR(INDEX($F$6:$F$2005,MATCH($Q1589,WageIds,0)),""))</f>
        <v/>
      </c>
      <c r="T1589">
        <f>IF(OR($P1589="",$S1589="",$S1589="نامعتبر"),"",LEFT($S1589,4)&amp;MID($S1589,6,2)&amp;RIGHT($S1589,2)&amp;"0000"&amp;"|"&amp;"2"&amp;RIGHT("00000"&amp;1584,5))</f>
        <v/>
      </c>
      <c r="U1589">
        <f>IF($T1589="","",COUNTIFS(LdAParty,$P1589,LdAType,1,LdAKey,"&lt;"&amp;$T1589)+COUNTIFS(LdBMember,$P1589,LdBKey,"&lt;"&amp;$T1589)+COUNTIFS(LdCParty,$P1589,LdCKey,"&lt;"&amp;$T1589)+1)</f>
        <v/>
      </c>
      <c r="V1589">
        <f>IF($U1589="","",$P1589&amp;"|"&amp;RIGHT("000000"&amp;$U1589,6))</f>
        <v/>
      </c>
      <c r="W1589">
        <f>IF($T1589="","",COUNTIFS(LdBGroup,$R1589,LdBKey,"&lt;"&amp;$T1589)+1)</f>
        <v/>
      </c>
      <c r="X1589">
        <f>IF($W1589="","",$R1589&amp;"|"&amp;RIGHT("000000"&amp;$W1589,6))</f>
        <v/>
      </c>
      <c r="Y1589">
        <f>IF($P1589="","",IF(Shares!$E1592="",0,Shares!$E1592))</f>
        <v/>
      </c>
      <c r="Z1589">
        <f>IF($P1589="","",Shares!$H1592)</f>
        <v/>
      </c>
      <c r="AE1589">
        <f>IF(OR(Sync!$S1589="",Sync!$P1589=""),"",Sync!$S1589)</f>
        <v/>
      </c>
      <c r="AF1589">
        <f>IF($AE1589="","",IF(ISNUMBER(Sync!$P1589),IF(AND(Sync!$P1589&gt;=10000101,Sync!$P1589&lt;=99991231),INT(Sync!$P1589/10000),""),IFERROR(VALUE(TRIM(LEFT(Sync!$P1589,FIND("/",Sync!$P1589)-1))),"")))</f>
        <v/>
      </c>
      <c r="AG1589">
        <f>IF(OR($AE1589="",$AF1589=""),"",IF(ISNUMBER(Sync!$P1589),INT(MOD(Sync!$P1589,10000)/100),IFERROR(VALUE(TRIM(LEFT(MID(Sync!$P1589,FIND("/",Sync!$P1589)+1,20),FIND("/",MID(Sync!$P1589,FIND("/",Sync!$P1589)+1,20))-1))),"")))</f>
        <v/>
      </c>
      <c r="AH1589">
        <f>IF(OR($AE1589="",$AF1589=""),"",IF(ISNUMBER(Sync!$P1589),MOD(Sync!$P1589,100),IFERROR(VALUE(TRIM(MID(MID(Sync!$P1589,FIND("/",Sync!$P1589)+1,20),FIND("/",MID(Sync!$P1589,FIND("/",Sync!$P1589)+1,20))+1,20))),"")))</f>
        <v/>
      </c>
      <c r="AI1589">
        <f>IF($AE1589="","",IF(OR($AF1589="",$AG1589="",$AH1589="",$AF1589&lt;1300,$AF1589&gt;1500,$AG1589&lt;1,$AG1589&gt;12,$AH1589&lt;1,$AH1589&gt;31),"نامعتبر",RIGHT("0000"&amp;$AF1589,4)&amp;"/"&amp;RIGHT("00"&amp;$AG1589,2)&amp;"/"&amp;RIGHT("00"&amp;$AH1589,2)))</f>
        <v/>
      </c>
      <c r="AJ1589">
        <f>IF($AE1589="","",IF(Sync!$Q1589="","0000",IF(AND(ISNUMBER(Sync!$Q1589),Sync!$Q1589&gt;=0,Sync!$Q1589&lt;1),RIGHT("00"&amp;HOUR(Sync!$Q1589),2)&amp;RIGHT("00"&amp;MINUTE(Sync!$Q1589),2),IFERROR(RIGHT("00"&amp;VALUE(LEFT(Sync!$Q1589,FIND(":",Sync!$Q1589)-1)),2)&amp;RIGHT("00"&amp;VALUE(MID(Sync!$Q1589,FIND(":",Sync!$Q1589)+1,2)),2),"0000"))))</f>
        <v/>
      </c>
      <c r="AK1589">
        <f>IF(OR($AE1589="",$AI1589="",$AI1589="نامعتبر"),"",LEFT($AI1589,4)&amp;MID($AI1589,6,2)&amp;RIGHT($AI1589,2)&amp;$AJ1589&amp;"|"&amp;"3"&amp;RIGHT("00000"&amp;1584,5))</f>
        <v/>
      </c>
      <c r="AL1589">
        <f>IF($AK1589="","",COUNTIFS(LdAParty,$AE1589,LdAType,1,LdAKey,"&lt;"&amp;$AK1589)+COUNTIFS(LdBMember,$AE1589,LdBKey,"&lt;"&amp;$AK1589)+COUNTIFS(LdCParty,$AE1589,LdCKey,"&lt;"&amp;$AK1589)+1)</f>
        <v/>
      </c>
      <c r="AM1589">
        <f>IF($AL1589="","",$AE1589&amp;"|"&amp;RIGHT("000000"&amp;$AL1589,6))</f>
        <v/>
      </c>
      <c r="AN1589">
        <f>IF($AE1589="","",IF(Sync!$W1589="",0,Sync!$W1589))</f>
        <v/>
      </c>
      <c r="AO1589">
        <f>IF($AE1589="","",IF(Sync!$X1589="",0,Sync!$X1589))</f>
        <v/>
      </c>
      <c r="AP1589">
        <f>IF($AE1589="","",Sync!$R1589)</f>
        <v/>
      </c>
      <c r="AQ1589">
        <f>IF($AE1589="","",Sync!$Y1589)</f>
        <v/>
      </c>
    </row>
    <row r="1590">
      <c r="A1590">
        <f>IF(OR(Wages!$B1593="",Wages!$E1593=""),"",Wages!$E1593)</f>
        <v/>
      </c>
      <c r="B1590">
        <f>IF($A1590="","",IF(Wages!$C1593="دستمزد گروهی",2,1))</f>
        <v/>
      </c>
      <c r="C1590">
        <f>IF($A1590="","",IF(ISNUMBER(Wages!$B1593),IF(AND(Wages!$B1593&gt;=10000101,Wages!$B1593&lt;=99991231),INT(Wages!$B1593/10000),""),IFERROR(VALUE(TRIM(LEFT(Wages!$B1593,FIND("/",Wages!$B1593)-1))),"")))</f>
        <v/>
      </c>
      <c r="D1590">
        <f>IF(OR($A1590="",$C1590=""),"",IF(ISNUMBER(Wages!$B1593),INT(MOD(Wages!$B1593,10000)/100),IFERROR(VALUE(TRIM(LEFT(MID(Wages!$B1593,FIND("/",Wages!$B1593)+1,20),FIND("/",MID(Wages!$B1593,FIND("/",Wages!$B1593)+1,20))-1))),"")))</f>
        <v/>
      </c>
      <c r="E1590">
        <f>IF(OR($A1590="",$C1590=""),"",IF(ISNUMBER(Wages!$B1593),MOD(Wages!$B1593,100),IFERROR(VALUE(TRIM(MID(MID(Wages!$B1593,FIND("/",Wages!$B1593)+1,20),FIND("/",MID(Wages!$B1593,FIND("/",Wages!$B1593)+1,20))+1,20))),"")))</f>
        <v/>
      </c>
      <c r="F1590">
        <f>IF($A1590="","",IF(OR($C1590="",$D1590="",$E1590="",$C1590&lt;1300,$C1590&gt;1500,$D1590&lt;1,$D1590&gt;12,$E1590&lt;1,$E1590&gt;31),"نامعتبر",RIGHT("0000"&amp;$C1590,4)&amp;"/"&amp;RIGHT("00"&amp;$D1590,2)&amp;"/"&amp;RIGHT("00"&amp;$E1590,2)))</f>
        <v/>
      </c>
      <c r="G1590">
        <f>IF(OR($A1590="",$F1590="",$F1590="نامعتبر"),"",LEFT($F1590,4)&amp;MID($F1590,6,2)&amp;RIGHT($F1590,2)&amp;"0000"&amp;"|"&amp;"1"&amp;RIGHT("00000"&amp;1585,5))</f>
        <v/>
      </c>
      <c r="H1590">
        <f>IF(OR($B1590&lt;&gt;1,$G1590=""),"",COUNTIFS(LdAParty,$A1590,LdAType,1,LdAKey,"&lt;"&amp;$G1590)+COUNTIFS(LdBMember,$A1590,LdBKey,"&lt;"&amp;$G1590)+COUNTIFS(LdCParty,$A1590,LdCKey,"&lt;"&amp;$G1590)+1)</f>
        <v/>
      </c>
      <c r="I1590">
        <f>IF($H1590="","",$A1590&amp;"|"&amp;RIGHT("000000"&amp;$H1590,6))</f>
        <v/>
      </c>
      <c r="J1590">
        <f>IF(OR($B1590&lt;&gt;2,$G1590=""),"",COUNTIFS(LdAParty,$A1590,LdAType,2,LdAKey,"&lt;"&amp;$G1590)+1)</f>
        <v/>
      </c>
      <c r="K1590">
        <f>IF($J1590="","",$A1590&amp;"|"&amp;RIGHT("000000"&amp;$J1590,6))</f>
        <v/>
      </c>
      <c r="L1590">
        <f>IF($A1590="","",IF(Wages!$G1593="",0,Wages!$G1593))</f>
        <v/>
      </c>
      <c r="M1590">
        <f>IF($A1590="","",Wages!$J1593)</f>
        <v/>
      </c>
      <c r="N1590">
        <f>IF($A1590="","",Wages!$D1593)</f>
        <v/>
      </c>
      <c r="P1590">
        <f>IF(OR(Shares!$B1593="",Shares!$C1593=""),"",Shares!$C1593)</f>
        <v/>
      </c>
      <c r="Q1590">
        <f>IF($P1590="","",Shares!$B1593)</f>
        <v/>
      </c>
      <c r="R1590">
        <f>IF($P1590="","",IFERROR(INDEX(WageParty,MATCH($Q1590,WageIds,0)),""))</f>
        <v/>
      </c>
      <c r="S1590">
        <f>IF($P1590="","",IFERROR(INDEX($F$6:$F$2005,MATCH($Q1590,WageIds,0)),""))</f>
        <v/>
      </c>
      <c r="T1590">
        <f>IF(OR($P1590="",$S1590="",$S1590="نامعتبر"),"",LEFT($S1590,4)&amp;MID($S1590,6,2)&amp;RIGHT($S1590,2)&amp;"0000"&amp;"|"&amp;"2"&amp;RIGHT("00000"&amp;1585,5))</f>
        <v/>
      </c>
      <c r="U1590">
        <f>IF($T1590="","",COUNTIFS(LdAParty,$P1590,LdAType,1,LdAKey,"&lt;"&amp;$T1590)+COUNTIFS(LdBMember,$P1590,LdBKey,"&lt;"&amp;$T1590)+COUNTIFS(LdCParty,$P1590,LdCKey,"&lt;"&amp;$T1590)+1)</f>
        <v/>
      </c>
      <c r="V1590">
        <f>IF($U1590="","",$P1590&amp;"|"&amp;RIGHT("000000"&amp;$U1590,6))</f>
        <v/>
      </c>
      <c r="W1590">
        <f>IF($T1590="","",COUNTIFS(LdBGroup,$R1590,LdBKey,"&lt;"&amp;$T1590)+1)</f>
        <v/>
      </c>
      <c r="X1590">
        <f>IF($W1590="","",$R1590&amp;"|"&amp;RIGHT("000000"&amp;$W1590,6))</f>
        <v/>
      </c>
      <c r="Y1590">
        <f>IF($P1590="","",IF(Shares!$E1593="",0,Shares!$E1593))</f>
        <v/>
      </c>
      <c r="Z1590">
        <f>IF($P1590="","",Shares!$H1593)</f>
        <v/>
      </c>
      <c r="AE1590">
        <f>IF(OR(Sync!$S1590="",Sync!$P1590=""),"",Sync!$S1590)</f>
        <v/>
      </c>
      <c r="AF1590">
        <f>IF($AE1590="","",IF(ISNUMBER(Sync!$P1590),IF(AND(Sync!$P1590&gt;=10000101,Sync!$P1590&lt;=99991231),INT(Sync!$P1590/10000),""),IFERROR(VALUE(TRIM(LEFT(Sync!$P1590,FIND("/",Sync!$P1590)-1))),"")))</f>
        <v/>
      </c>
      <c r="AG1590">
        <f>IF(OR($AE1590="",$AF1590=""),"",IF(ISNUMBER(Sync!$P1590),INT(MOD(Sync!$P1590,10000)/100),IFERROR(VALUE(TRIM(LEFT(MID(Sync!$P1590,FIND("/",Sync!$P1590)+1,20),FIND("/",MID(Sync!$P1590,FIND("/",Sync!$P1590)+1,20))-1))),"")))</f>
        <v/>
      </c>
      <c r="AH1590">
        <f>IF(OR($AE1590="",$AF1590=""),"",IF(ISNUMBER(Sync!$P1590),MOD(Sync!$P1590,100),IFERROR(VALUE(TRIM(MID(MID(Sync!$P1590,FIND("/",Sync!$P1590)+1,20),FIND("/",MID(Sync!$P1590,FIND("/",Sync!$P1590)+1,20))+1,20))),"")))</f>
        <v/>
      </c>
      <c r="AI1590">
        <f>IF($AE1590="","",IF(OR($AF1590="",$AG1590="",$AH1590="",$AF1590&lt;1300,$AF1590&gt;1500,$AG1590&lt;1,$AG1590&gt;12,$AH1590&lt;1,$AH1590&gt;31),"نامعتبر",RIGHT("0000"&amp;$AF1590,4)&amp;"/"&amp;RIGHT("00"&amp;$AG1590,2)&amp;"/"&amp;RIGHT("00"&amp;$AH1590,2)))</f>
        <v/>
      </c>
      <c r="AJ1590">
        <f>IF($AE1590="","",IF(Sync!$Q1590="","0000",IF(AND(ISNUMBER(Sync!$Q1590),Sync!$Q1590&gt;=0,Sync!$Q1590&lt;1),RIGHT("00"&amp;HOUR(Sync!$Q1590),2)&amp;RIGHT("00"&amp;MINUTE(Sync!$Q1590),2),IFERROR(RIGHT("00"&amp;VALUE(LEFT(Sync!$Q1590,FIND(":",Sync!$Q1590)-1)),2)&amp;RIGHT("00"&amp;VALUE(MID(Sync!$Q1590,FIND(":",Sync!$Q1590)+1,2)),2),"0000"))))</f>
        <v/>
      </c>
      <c r="AK1590">
        <f>IF(OR($AE1590="",$AI1590="",$AI1590="نامعتبر"),"",LEFT($AI1590,4)&amp;MID($AI1590,6,2)&amp;RIGHT($AI1590,2)&amp;$AJ1590&amp;"|"&amp;"3"&amp;RIGHT("00000"&amp;1585,5))</f>
        <v/>
      </c>
      <c r="AL1590">
        <f>IF($AK1590="","",COUNTIFS(LdAParty,$AE1590,LdAType,1,LdAKey,"&lt;"&amp;$AK1590)+COUNTIFS(LdBMember,$AE1590,LdBKey,"&lt;"&amp;$AK1590)+COUNTIFS(LdCParty,$AE1590,LdCKey,"&lt;"&amp;$AK1590)+1)</f>
        <v/>
      </c>
      <c r="AM1590">
        <f>IF($AL1590="","",$AE1590&amp;"|"&amp;RIGHT("000000"&amp;$AL1590,6))</f>
        <v/>
      </c>
      <c r="AN1590">
        <f>IF($AE1590="","",IF(Sync!$W1590="",0,Sync!$W1590))</f>
        <v/>
      </c>
      <c r="AO1590">
        <f>IF($AE1590="","",IF(Sync!$X1590="",0,Sync!$X1590))</f>
        <v/>
      </c>
      <c r="AP1590">
        <f>IF($AE1590="","",Sync!$R1590)</f>
        <v/>
      </c>
      <c r="AQ1590">
        <f>IF($AE1590="","",Sync!$Y1590)</f>
        <v/>
      </c>
    </row>
    <row r="1591">
      <c r="A1591">
        <f>IF(OR(Wages!$B1594="",Wages!$E1594=""),"",Wages!$E1594)</f>
        <v/>
      </c>
      <c r="B1591">
        <f>IF($A1591="","",IF(Wages!$C1594="دستمزد گروهی",2,1))</f>
        <v/>
      </c>
      <c r="C1591">
        <f>IF($A1591="","",IF(ISNUMBER(Wages!$B1594),IF(AND(Wages!$B1594&gt;=10000101,Wages!$B1594&lt;=99991231),INT(Wages!$B1594/10000),""),IFERROR(VALUE(TRIM(LEFT(Wages!$B1594,FIND("/",Wages!$B1594)-1))),"")))</f>
        <v/>
      </c>
      <c r="D1591">
        <f>IF(OR($A1591="",$C1591=""),"",IF(ISNUMBER(Wages!$B1594),INT(MOD(Wages!$B1594,10000)/100),IFERROR(VALUE(TRIM(LEFT(MID(Wages!$B1594,FIND("/",Wages!$B1594)+1,20),FIND("/",MID(Wages!$B1594,FIND("/",Wages!$B1594)+1,20))-1))),"")))</f>
        <v/>
      </c>
      <c r="E1591">
        <f>IF(OR($A1591="",$C1591=""),"",IF(ISNUMBER(Wages!$B1594),MOD(Wages!$B1594,100),IFERROR(VALUE(TRIM(MID(MID(Wages!$B1594,FIND("/",Wages!$B1594)+1,20),FIND("/",MID(Wages!$B1594,FIND("/",Wages!$B1594)+1,20))+1,20))),"")))</f>
        <v/>
      </c>
      <c r="F1591">
        <f>IF($A1591="","",IF(OR($C1591="",$D1591="",$E1591="",$C1591&lt;1300,$C1591&gt;1500,$D1591&lt;1,$D1591&gt;12,$E1591&lt;1,$E1591&gt;31),"نامعتبر",RIGHT("0000"&amp;$C1591,4)&amp;"/"&amp;RIGHT("00"&amp;$D1591,2)&amp;"/"&amp;RIGHT("00"&amp;$E1591,2)))</f>
        <v/>
      </c>
      <c r="G1591">
        <f>IF(OR($A1591="",$F1591="",$F1591="نامعتبر"),"",LEFT($F1591,4)&amp;MID($F1591,6,2)&amp;RIGHT($F1591,2)&amp;"0000"&amp;"|"&amp;"1"&amp;RIGHT("00000"&amp;1586,5))</f>
        <v/>
      </c>
      <c r="H1591">
        <f>IF(OR($B1591&lt;&gt;1,$G1591=""),"",COUNTIFS(LdAParty,$A1591,LdAType,1,LdAKey,"&lt;"&amp;$G1591)+COUNTIFS(LdBMember,$A1591,LdBKey,"&lt;"&amp;$G1591)+COUNTIFS(LdCParty,$A1591,LdCKey,"&lt;"&amp;$G1591)+1)</f>
        <v/>
      </c>
      <c r="I1591">
        <f>IF($H1591="","",$A1591&amp;"|"&amp;RIGHT("000000"&amp;$H1591,6))</f>
        <v/>
      </c>
      <c r="J1591">
        <f>IF(OR($B1591&lt;&gt;2,$G1591=""),"",COUNTIFS(LdAParty,$A1591,LdAType,2,LdAKey,"&lt;"&amp;$G1591)+1)</f>
        <v/>
      </c>
      <c r="K1591">
        <f>IF($J1591="","",$A1591&amp;"|"&amp;RIGHT("000000"&amp;$J1591,6))</f>
        <v/>
      </c>
      <c r="L1591">
        <f>IF($A1591="","",IF(Wages!$G1594="",0,Wages!$G1594))</f>
        <v/>
      </c>
      <c r="M1591">
        <f>IF($A1591="","",Wages!$J1594)</f>
        <v/>
      </c>
      <c r="N1591">
        <f>IF($A1591="","",Wages!$D1594)</f>
        <v/>
      </c>
      <c r="P1591">
        <f>IF(OR(Shares!$B1594="",Shares!$C1594=""),"",Shares!$C1594)</f>
        <v/>
      </c>
      <c r="Q1591">
        <f>IF($P1591="","",Shares!$B1594)</f>
        <v/>
      </c>
      <c r="R1591">
        <f>IF($P1591="","",IFERROR(INDEX(WageParty,MATCH($Q1591,WageIds,0)),""))</f>
        <v/>
      </c>
      <c r="S1591">
        <f>IF($P1591="","",IFERROR(INDEX($F$6:$F$2005,MATCH($Q1591,WageIds,0)),""))</f>
        <v/>
      </c>
      <c r="T1591">
        <f>IF(OR($P1591="",$S1591="",$S1591="نامعتبر"),"",LEFT($S1591,4)&amp;MID($S1591,6,2)&amp;RIGHT($S1591,2)&amp;"0000"&amp;"|"&amp;"2"&amp;RIGHT("00000"&amp;1586,5))</f>
        <v/>
      </c>
      <c r="U1591">
        <f>IF($T1591="","",COUNTIFS(LdAParty,$P1591,LdAType,1,LdAKey,"&lt;"&amp;$T1591)+COUNTIFS(LdBMember,$P1591,LdBKey,"&lt;"&amp;$T1591)+COUNTIFS(LdCParty,$P1591,LdCKey,"&lt;"&amp;$T1591)+1)</f>
        <v/>
      </c>
      <c r="V1591">
        <f>IF($U1591="","",$P1591&amp;"|"&amp;RIGHT("000000"&amp;$U1591,6))</f>
        <v/>
      </c>
      <c r="W1591">
        <f>IF($T1591="","",COUNTIFS(LdBGroup,$R1591,LdBKey,"&lt;"&amp;$T1591)+1)</f>
        <v/>
      </c>
      <c r="X1591">
        <f>IF($W1591="","",$R1591&amp;"|"&amp;RIGHT("000000"&amp;$W1591,6))</f>
        <v/>
      </c>
      <c r="Y1591">
        <f>IF($P1591="","",IF(Shares!$E1594="",0,Shares!$E1594))</f>
        <v/>
      </c>
      <c r="Z1591">
        <f>IF($P1591="","",Shares!$H1594)</f>
        <v/>
      </c>
      <c r="AE1591">
        <f>IF(OR(Sync!$S1591="",Sync!$P1591=""),"",Sync!$S1591)</f>
        <v/>
      </c>
      <c r="AF1591">
        <f>IF($AE1591="","",IF(ISNUMBER(Sync!$P1591),IF(AND(Sync!$P1591&gt;=10000101,Sync!$P1591&lt;=99991231),INT(Sync!$P1591/10000),""),IFERROR(VALUE(TRIM(LEFT(Sync!$P1591,FIND("/",Sync!$P1591)-1))),"")))</f>
        <v/>
      </c>
      <c r="AG1591">
        <f>IF(OR($AE1591="",$AF1591=""),"",IF(ISNUMBER(Sync!$P1591),INT(MOD(Sync!$P1591,10000)/100),IFERROR(VALUE(TRIM(LEFT(MID(Sync!$P1591,FIND("/",Sync!$P1591)+1,20),FIND("/",MID(Sync!$P1591,FIND("/",Sync!$P1591)+1,20))-1))),"")))</f>
        <v/>
      </c>
      <c r="AH1591">
        <f>IF(OR($AE1591="",$AF1591=""),"",IF(ISNUMBER(Sync!$P1591),MOD(Sync!$P1591,100),IFERROR(VALUE(TRIM(MID(MID(Sync!$P1591,FIND("/",Sync!$P1591)+1,20),FIND("/",MID(Sync!$P1591,FIND("/",Sync!$P1591)+1,20))+1,20))),"")))</f>
        <v/>
      </c>
      <c r="AI1591">
        <f>IF($AE1591="","",IF(OR($AF1591="",$AG1591="",$AH1591="",$AF1591&lt;1300,$AF1591&gt;1500,$AG1591&lt;1,$AG1591&gt;12,$AH1591&lt;1,$AH1591&gt;31),"نامعتبر",RIGHT("0000"&amp;$AF1591,4)&amp;"/"&amp;RIGHT("00"&amp;$AG1591,2)&amp;"/"&amp;RIGHT("00"&amp;$AH1591,2)))</f>
        <v/>
      </c>
      <c r="AJ1591">
        <f>IF($AE1591="","",IF(Sync!$Q1591="","0000",IF(AND(ISNUMBER(Sync!$Q1591),Sync!$Q1591&gt;=0,Sync!$Q1591&lt;1),RIGHT("00"&amp;HOUR(Sync!$Q1591),2)&amp;RIGHT("00"&amp;MINUTE(Sync!$Q1591),2),IFERROR(RIGHT("00"&amp;VALUE(LEFT(Sync!$Q1591,FIND(":",Sync!$Q1591)-1)),2)&amp;RIGHT("00"&amp;VALUE(MID(Sync!$Q1591,FIND(":",Sync!$Q1591)+1,2)),2),"0000"))))</f>
        <v/>
      </c>
      <c r="AK1591">
        <f>IF(OR($AE1591="",$AI1591="",$AI1591="نامعتبر"),"",LEFT($AI1591,4)&amp;MID($AI1591,6,2)&amp;RIGHT($AI1591,2)&amp;$AJ1591&amp;"|"&amp;"3"&amp;RIGHT("00000"&amp;1586,5))</f>
        <v/>
      </c>
      <c r="AL1591">
        <f>IF($AK1591="","",COUNTIFS(LdAParty,$AE1591,LdAType,1,LdAKey,"&lt;"&amp;$AK1591)+COUNTIFS(LdBMember,$AE1591,LdBKey,"&lt;"&amp;$AK1591)+COUNTIFS(LdCParty,$AE1591,LdCKey,"&lt;"&amp;$AK1591)+1)</f>
        <v/>
      </c>
      <c r="AM1591">
        <f>IF($AL1591="","",$AE1591&amp;"|"&amp;RIGHT("000000"&amp;$AL1591,6))</f>
        <v/>
      </c>
      <c r="AN1591">
        <f>IF($AE1591="","",IF(Sync!$W1591="",0,Sync!$W1591))</f>
        <v/>
      </c>
      <c r="AO1591">
        <f>IF($AE1591="","",IF(Sync!$X1591="",0,Sync!$X1591))</f>
        <v/>
      </c>
      <c r="AP1591">
        <f>IF($AE1591="","",Sync!$R1591)</f>
        <v/>
      </c>
      <c r="AQ1591">
        <f>IF($AE1591="","",Sync!$Y1591)</f>
        <v/>
      </c>
    </row>
    <row r="1592">
      <c r="A1592">
        <f>IF(OR(Wages!$B1595="",Wages!$E1595=""),"",Wages!$E1595)</f>
        <v/>
      </c>
      <c r="B1592">
        <f>IF($A1592="","",IF(Wages!$C1595="دستمزد گروهی",2,1))</f>
        <v/>
      </c>
      <c r="C1592">
        <f>IF($A1592="","",IF(ISNUMBER(Wages!$B1595),IF(AND(Wages!$B1595&gt;=10000101,Wages!$B1595&lt;=99991231),INT(Wages!$B1595/10000),""),IFERROR(VALUE(TRIM(LEFT(Wages!$B1595,FIND("/",Wages!$B1595)-1))),"")))</f>
        <v/>
      </c>
      <c r="D1592">
        <f>IF(OR($A1592="",$C1592=""),"",IF(ISNUMBER(Wages!$B1595),INT(MOD(Wages!$B1595,10000)/100),IFERROR(VALUE(TRIM(LEFT(MID(Wages!$B1595,FIND("/",Wages!$B1595)+1,20),FIND("/",MID(Wages!$B1595,FIND("/",Wages!$B1595)+1,20))-1))),"")))</f>
        <v/>
      </c>
      <c r="E1592">
        <f>IF(OR($A1592="",$C1592=""),"",IF(ISNUMBER(Wages!$B1595),MOD(Wages!$B1595,100),IFERROR(VALUE(TRIM(MID(MID(Wages!$B1595,FIND("/",Wages!$B1595)+1,20),FIND("/",MID(Wages!$B1595,FIND("/",Wages!$B1595)+1,20))+1,20))),"")))</f>
        <v/>
      </c>
      <c r="F1592">
        <f>IF($A1592="","",IF(OR($C1592="",$D1592="",$E1592="",$C1592&lt;1300,$C1592&gt;1500,$D1592&lt;1,$D1592&gt;12,$E1592&lt;1,$E1592&gt;31),"نامعتبر",RIGHT("0000"&amp;$C1592,4)&amp;"/"&amp;RIGHT("00"&amp;$D1592,2)&amp;"/"&amp;RIGHT("00"&amp;$E1592,2)))</f>
        <v/>
      </c>
      <c r="G1592">
        <f>IF(OR($A1592="",$F1592="",$F1592="نامعتبر"),"",LEFT($F1592,4)&amp;MID($F1592,6,2)&amp;RIGHT($F1592,2)&amp;"0000"&amp;"|"&amp;"1"&amp;RIGHT("00000"&amp;1587,5))</f>
        <v/>
      </c>
      <c r="H1592">
        <f>IF(OR($B1592&lt;&gt;1,$G1592=""),"",COUNTIFS(LdAParty,$A1592,LdAType,1,LdAKey,"&lt;"&amp;$G1592)+COUNTIFS(LdBMember,$A1592,LdBKey,"&lt;"&amp;$G1592)+COUNTIFS(LdCParty,$A1592,LdCKey,"&lt;"&amp;$G1592)+1)</f>
        <v/>
      </c>
      <c r="I1592">
        <f>IF($H1592="","",$A1592&amp;"|"&amp;RIGHT("000000"&amp;$H1592,6))</f>
        <v/>
      </c>
      <c r="J1592">
        <f>IF(OR($B1592&lt;&gt;2,$G1592=""),"",COUNTIFS(LdAParty,$A1592,LdAType,2,LdAKey,"&lt;"&amp;$G1592)+1)</f>
        <v/>
      </c>
      <c r="K1592">
        <f>IF($J1592="","",$A1592&amp;"|"&amp;RIGHT("000000"&amp;$J1592,6))</f>
        <v/>
      </c>
      <c r="L1592">
        <f>IF($A1592="","",IF(Wages!$G1595="",0,Wages!$G1595))</f>
        <v/>
      </c>
      <c r="M1592">
        <f>IF($A1592="","",Wages!$J1595)</f>
        <v/>
      </c>
      <c r="N1592">
        <f>IF($A1592="","",Wages!$D1595)</f>
        <v/>
      </c>
      <c r="P1592">
        <f>IF(OR(Shares!$B1595="",Shares!$C1595=""),"",Shares!$C1595)</f>
        <v/>
      </c>
      <c r="Q1592">
        <f>IF($P1592="","",Shares!$B1595)</f>
        <v/>
      </c>
      <c r="R1592">
        <f>IF($P1592="","",IFERROR(INDEX(WageParty,MATCH($Q1592,WageIds,0)),""))</f>
        <v/>
      </c>
      <c r="S1592">
        <f>IF($P1592="","",IFERROR(INDEX($F$6:$F$2005,MATCH($Q1592,WageIds,0)),""))</f>
        <v/>
      </c>
      <c r="T1592">
        <f>IF(OR($P1592="",$S1592="",$S1592="نامعتبر"),"",LEFT($S1592,4)&amp;MID($S1592,6,2)&amp;RIGHT($S1592,2)&amp;"0000"&amp;"|"&amp;"2"&amp;RIGHT("00000"&amp;1587,5))</f>
        <v/>
      </c>
      <c r="U1592">
        <f>IF($T1592="","",COUNTIFS(LdAParty,$P1592,LdAType,1,LdAKey,"&lt;"&amp;$T1592)+COUNTIFS(LdBMember,$P1592,LdBKey,"&lt;"&amp;$T1592)+COUNTIFS(LdCParty,$P1592,LdCKey,"&lt;"&amp;$T1592)+1)</f>
        <v/>
      </c>
      <c r="V1592">
        <f>IF($U1592="","",$P1592&amp;"|"&amp;RIGHT("000000"&amp;$U1592,6))</f>
        <v/>
      </c>
      <c r="W1592">
        <f>IF($T1592="","",COUNTIFS(LdBGroup,$R1592,LdBKey,"&lt;"&amp;$T1592)+1)</f>
        <v/>
      </c>
      <c r="X1592">
        <f>IF($W1592="","",$R1592&amp;"|"&amp;RIGHT("000000"&amp;$W1592,6))</f>
        <v/>
      </c>
      <c r="Y1592">
        <f>IF($P1592="","",IF(Shares!$E1595="",0,Shares!$E1595))</f>
        <v/>
      </c>
      <c r="Z1592">
        <f>IF($P1592="","",Shares!$H1595)</f>
        <v/>
      </c>
      <c r="AE1592">
        <f>IF(OR(Sync!$S1592="",Sync!$P1592=""),"",Sync!$S1592)</f>
        <v/>
      </c>
      <c r="AF1592">
        <f>IF($AE1592="","",IF(ISNUMBER(Sync!$P1592),IF(AND(Sync!$P1592&gt;=10000101,Sync!$P1592&lt;=99991231),INT(Sync!$P1592/10000),""),IFERROR(VALUE(TRIM(LEFT(Sync!$P1592,FIND("/",Sync!$P1592)-1))),"")))</f>
        <v/>
      </c>
      <c r="AG1592">
        <f>IF(OR($AE1592="",$AF1592=""),"",IF(ISNUMBER(Sync!$P1592),INT(MOD(Sync!$P1592,10000)/100),IFERROR(VALUE(TRIM(LEFT(MID(Sync!$P1592,FIND("/",Sync!$P1592)+1,20),FIND("/",MID(Sync!$P1592,FIND("/",Sync!$P1592)+1,20))-1))),"")))</f>
        <v/>
      </c>
      <c r="AH1592">
        <f>IF(OR($AE1592="",$AF1592=""),"",IF(ISNUMBER(Sync!$P1592),MOD(Sync!$P1592,100),IFERROR(VALUE(TRIM(MID(MID(Sync!$P1592,FIND("/",Sync!$P1592)+1,20),FIND("/",MID(Sync!$P1592,FIND("/",Sync!$P1592)+1,20))+1,20))),"")))</f>
        <v/>
      </c>
      <c r="AI1592">
        <f>IF($AE1592="","",IF(OR($AF1592="",$AG1592="",$AH1592="",$AF1592&lt;1300,$AF1592&gt;1500,$AG1592&lt;1,$AG1592&gt;12,$AH1592&lt;1,$AH1592&gt;31),"نامعتبر",RIGHT("0000"&amp;$AF1592,4)&amp;"/"&amp;RIGHT("00"&amp;$AG1592,2)&amp;"/"&amp;RIGHT("00"&amp;$AH1592,2)))</f>
        <v/>
      </c>
      <c r="AJ1592">
        <f>IF($AE1592="","",IF(Sync!$Q1592="","0000",IF(AND(ISNUMBER(Sync!$Q1592),Sync!$Q1592&gt;=0,Sync!$Q1592&lt;1),RIGHT("00"&amp;HOUR(Sync!$Q1592),2)&amp;RIGHT("00"&amp;MINUTE(Sync!$Q1592),2),IFERROR(RIGHT("00"&amp;VALUE(LEFT(Sync!$Q1592,FIND(":",Sync!$Q1592)-1)),2)&amp;RIGHT("00"&amp;VALUE(MID(Sync!$Q1592,FIND(":",Sync!$Q1592)+1,2)),2),"0000"))))</f>
        <v/>
      </c>
      <c r="AK1592">
        <f>IF(OR($AE1592="",$AI1592="",$AI1592="نامعتبر"),"",LEFT($AI1592,4)&amp;MID($AI1592,6,2)&amp;RIGHT($AI1592,2)&amp;$AJ1592&amp;"|"&amp;"3"&amp;RIGHT("00000"&amp;1587,5))</f>
        <v/>
      </c>
      <c r="AL1592">
        <f>IF($AK1592="","",COUNTIFS(LdAParty,$AE1592,LdAType,1,LdAKey,"&lt;"&amp;$AK1592)+COUNTIFS(LdBMember,$AE1592,LdBKey,"&lt;"&amp;$AK1592)+COUNTIFS(LdCParty,$AE1592,LdCKey,"&lt;"&amp;$AK1592)+1)</f>
        <v/>
      </c>
      <c r="AM1592">
        <f>IF($AL1592="","",$AE1592&amp;"|"&amp;RIGHT("000000"&amp;$AL1592,6))</f>
        <v/>
      </c>
      <c r="AN1592">
        <f>IF($AE1592="","",IF(Sync!$W1592="",0,Sync!$W1592))</f>
        <v/>
      </c>
      <c r="AO1592">
        <f>IF($AE1592="","",IF(Sync!$X1592="",0,Sync!$X1592))</f>
        <v/>
      </c>
      <c r="AP1592">
        <f>IF($AE1592="","",Sync!$R1592)</f>
        <v/>
      </c>
      <c r="AQ1592">
        <f>IF($AE1592="","",Sync!$Y1592)</f>
        <v/>
      </c>
    </row>
    <row r="1593">
      <c r="A1593">
        <f>IF(OR(Wages!$B1596="",Wages!$E1596=""),"",Wages!$E1596)</f>
        <v/>
      </c>
      <c r="B1593">
        <f>IF($A1593="","",IF(Wages!$C1596="دستمزد گروهی",2,1))</f>
        <v/>
      </c>
      <c r="C1593">
        <f>IF($A1593="","",IF(ISNUMBER(Wages!$B1596),IF(AND(Wages!$B1596&gt;=10000101,Wages!$B1596&lt;=99991231),INT(Wages!$B1596/10000),""),IFERROR(VALUE(TRIM(LEFT(Wages!$B1596,FIND("/",Wages!$B1596)-1))),"")))</f>
        <v/>
      </c>
      <c r="D1593">
        <f>IF(OR($A1593="",$C1593=""),"",IF(ISNUMBER(Wages!$B1596),INT(MOD(Wages!$B1596,10000)/100),IFERROR(VALUE(TRIM(LEFT(MID(Wages!$B1596,FIND("/",Wages!$B1596)+1,20),FIND("/",MID(Wages!$B1596,FIND("/",Wages!$B1596)+1,20))-1))),"")))</f>
        <v/>
      </c>
      <c r="E1593">
        <f>IF(OR($A1593="",$C1593=""),"",IF(ISNUMBER(Wages!$B1596),MOD(Wages!$B1596,100),IFERROR(VALUE(TRIM(MID(MID(Wages!$B1596,FIND("/",Wages!$B1596)+1,20),FIND("/",MID(Wages!$B1596,FIND("/",Wages!$B1596)+1,20))+1,20))),"")))</f>
        <v/>
      </c>
      <c r="F1593">
        <f>IF($A1593="","",IF(OR($C1593="",$D1593="",$E1593="",$C1593&lt;1300,$C1593&gt;1500,$D1593&lt;1,$D1593&gt;12,$E1593&lt;1,$E1593&gt;31),"نامعتبر",RIGHT("0000"&amp;$C1593,4)&amp;"/"&amp;RIGHT("00"&amp;$D1593,2)&amp;"/"&amp;RIGHT("00"&amp;$E1593,2)))</f>
        <v/>
      </c>
      <c r="G1593">
        <f>IF(OR($A1593="",$F1593="",$F1593="نامعتبر"),"",LEFT($F1593,4)&amp;MID($F1593,6,2)&amp;RIGHT($F1593,2)&amp;"0000"&amp;"|"&amp;"1"&amp;RIGHT("00000"&amp;1588,5))</f>
        <v/>
      </c>
      <c r="H1593">
        <f>IF(OR($B1593&lt;&gt;1,$G1593=""),"",COUNTIFS(LdAParty,$A1593,LdAType,1,LdAKey,"&lt;"&amp;$G1593)+COUNTIFS(LdBMember,$A1593,LdBKey,"&lt;"&amp;$G1593)+COUNTIFS(LdCParty,$A1593,LdCKey,"&lt;"&amp;$G1593)+1)</f>
        <v/>
      </c>
      <c r="I1593">
        <f>IF($H1593="","",$A1593&amp;"|"&amp;RIGHT("000000"&amp;$H1593,6))</f>
        <v/>
      </c>
      <c r="J1593">
        <f>IF(OR($B1593&lt;&gt;2,$G1593=""),"",COUNTIFS(LdAParty,$A1593,LdAType,2,LdAKey,"&lt;"&amp;$G1593)+1)</f>
        <v/>
      </c>
      <c r="K1593">
        <f>IF($J1593="","",$A1593&amp;"|"&amp;RIGHT("000000"&amp;$J1593,6))</f>
        <v/>
      </c>
      <c r="L1593">
        <f>IF($A1593="","",IF(Wages!$G1596="",0,Wages!$G1596))</f>
        <v/>
      </c>
      <c r="M1593">
        <f>IF($A1593="","",Wages!$J1596)</f>
        <v/>
      </c>
      <c r="N1593">
        <f>IF($A1593="","",Wages!$D1596)</f>
        <v/>
      </c>
      <c r="P1593">
        <f>IF(OR(Shares!$B1596="",Shares!$C1596=""),"",Shares!$C1596)</f>
        <v/>
      </c>
      <c r="Q1593">
        <f>IF($P1593="","",Shares!$B1596)</f>
        <v/>
      </c>
      <c r="R1593">
        <f>IF($P1593="","",IFERROR(INDEX(WageParty,MATCH($Q1593,WageIds,0)),""))</f>
        <v/>
      </c>
      <c r="S1593">
        <f>IF($P1593="","",IFERROR(INDEX($F$6:$F$2005,MATCH($Q1593,WageIds,0)),""))</f>
        <v/>
      </c>
      <c r="T1593">
        <f>IF(OR($P1593="",$S1593="",$S1593="نامعتبر"),"",LEFT($S1593,4)&amp;MID($S1593,6,2)&amp;RIGHT($S1593,2)&amp;"0000"&amp;"|"&amp;"2"&amp;RIGHT("00000"&amp;1588,5))</f>
        <v/>
      </c>
      <c r="U1593">
        <f>IF($T1593="","",COUNTIFS(LdAParty,$P1593,LdAType,1,LdAKey,"&lt;"&amp;$T1593)+COUNTIFS(LdBMember,$P1593,LdBKey,"&lt;"&amp;$T1593)+COUNTIFS(LdCParty,$P1593,LdCKey,"&lt;"&amp;$T1593)+1)</f>
        <v/>
      </c>
      <c r="V1593">
        <f>IF($U1593="","",$P1593&amp;"|"&amp;RIGHT("000000"&amp;$U1593,6))</f>
        <v/>
      </c>
      <c r="W1593">
        <f>IF($T1593="","",COUNTIFS(LdBGroup,$R1593,LdBKey,"&lt;"&amp;$T1593)+1)</f>
        <v/>
      </c>
      <c r="X1593">
        <f>IF($W1593="","",$R1593&amp;"|"&amp;RIGHT("000000"&amp;$W1593,6))</f>
        <v/>
      </c>
      <c r="Y1593">
        <f>IF($P1593="","",IF(Shares!$E1596="",0,Shares!$E1596))</f>
        <v/>
      </c>
      <c r="Z1593">
        <f>IF($P1593="","",Shares!$H1596)</f>
        <v/>
      </c>
      <c r="AE1593">
        <f>IF(OR(Sync!$S1593="",Sync!$P1593=""),"",Sync!$S1593)</f>
        <v/>
      </c>
      <c r="AF1593">
        <f>IF($AE1593="","",IF(ISNUMBER(Sync!$P1593),IF(AND(Sync!$P1593&gt;=10000101,Sync!$P1593&lt;=99991231),INT(Sync!$P1593/10000),""),IFERROR(VALUE(TRIM(LEFT(Sync!$P1593,FIND("/",Sync!$P1593)-1))),"")))</f>
        <v/>
      </c>
      <c r="AG1593">
        <f>IF(OR($AE1593="",$AF1593=""),"",IF(ISNUMBER(Sync!$P1593),INT(MOD(Sync!$P1593,10000)/100),IFERROR(VALUE(TRIM(LEFT(MID(Sync!$P1593,FIND("/",Sync!$P1593)+1,20),FIND("/",MID(Sync!$P1593,FIND("/",Sync!$P1593)+1,20))-1))),"")))</f>
        <v/>
      </c>
      <c r="AH1593">
        <f>IF(OR($AE1593="",$AF1593=""),"",IF(ISNUMBER(Sync!$P1593),MOD(Sync!$P1593,100),IFERROR(VALUE(TRIM(MID(MID(Sync!$P1593,FIND("/",Sync!$P1593)+1,20),FIND("/",MID(Sync!$P1593,FIND("/",Sync!$P1593)+1,20))+1,20))),"")))</f>
        <v/>
      </c>
      <c r="AI1593">
        <f>IF($AE1593="","",IF(OR($AF1593="",$AG1593="",$AH1593="",$AF1593&lt;1300,$AF1593&gt;1500,$AG1593&lt;1,$AG1593&gt;12,$AH1593&lt;1,$AH1593&gt;31),"نامعتبر",RIGHT("0000"&amp;$AF1593,4)&amp;"/"&amp;RIGHT("00"&amp;$AG1593,2)&amp;"/"&amp;RIGHT("00"&amp;$AH1593,2)))</f>
        <v/>
      </c>
      <c r="AJ1593">
        <f>IF($AE1593="","",IF(Sync!$Q1593="","0000",IF(AND(ISNUMBER(Sync!$Q1593),Sync!$Q1593&gt;=0,Sync!$Q1593&lt;1),RIGHT("00"&amp;HOUR(Sync!$Q1593),2)&amp;RIGHT("00"&amp;MINUTE(Sync!$Q1593),2),IFERROR(RIGHT("00"&amp;VALUE(LEFT(Sync!$Q1593,FIND(":",Sync!$Q1593)-1)),2)&amp;RIGHT("00"&amp;VALUE(MID(Sync!$Q1593,FIND(":",Sync!$Q1593)+1,2)),2),"0000"))))</f>
        <v/>
      </c>
      <c r="AK1593">
        <f>IF(OR($AE1593="",$AI1593="",$AI1593="نامعتبر"),"",LEFT($AI1593,4)&amp;MID($AI1593,6,2)&amp;RIGHT($AI1593,2)&amp;$AJ1593&amp;"|"&amp;"3"&amp;RIGHT("00000"&amp;1588,5))</f>
        <v/>
      </c>
      <c r="AL1593">
        <f>IF($AK1593="","",COUNTIFS(LdAParty,$AE1593,LdAType,1,LdAKey,"&lt;"&amp;$AK1593)+COUNTIFS(LdBMember,$AE1593,LdBKey,"&lt;"&amp;$AK1593)+COUNTIFS(LdCParty,$AE1593,LdCKey,"&lt;"&amp;$AK1593)+1)</f>
        <v/>
      </c>
      <c r="AM1593">
        <f>IF($AL1593="","",$AE1593&amp;"|"&amp;RIGHT("000000"&amp;$AL1593,6))</f>
        <v/>
      </c>
      <c r="AN1593">
        <f>IF($AE1593="","",IF(Sync!$W1593="",0,Sync!$W1593))</f>
        <v/>
      </c>
      <c r="AO1593">
        <f>IF($AE1593="","",IF(Sync!$X1593="",0,Sync!$X1593))</f>
        <v/>
      </c>
      <c r="AP1593">
        <f>IF($AE1593="","",Sync!$R1593)</f>
        <v/>
      </c>
      <c r="AQ1593">
        <f>IF($AE1593="","",Sync!$Y1593)</f>
        <v/>
      </c>
    </row>
    <row r="1594">
      <c r="A1594">
        <f>IF(OR(Wages!$B1597="",Wages!$E1597=""),"",Wages!$E1597)</f>
        <v/>
      </c>
      <c r="B1594">
        <f>IF($A1594="","",IF(Wages!$C1597="دستمزد گروهی",2,1))</f>
        <v/>
      </c>
      <c r="C1594">
        <f>IF($A1594="","",IF(ISNUMBER(Wages!$B1597),IF(AND(Wages!$B1597&gt;=10000101,Wages!$B1597&lt;=99991231),INT(Wages!$B1597/10000),""),IFERROR(VALUE(TRIM(LEFT(Wages!$B1597,FIND("/",Wages!$B1597)-1))),"")))</f>
        <v/>
      </c>
      <c r="D1594">
        <f>IF(OR($A1594="",$C1594=""),"",IF(ISNUMBER(Wages!$B1597),INT(MOD(Wages!$B1597,10000)/100),IFERROR(VALUE(TRIM(LEFT(MID(Wages!$B1597,FIND("/",Wages!$B1597)+1,20),FIND("/",MID(Wages!$B1597,FIND("/",Wages!$B1597)+1,20))-1))),"")))</f>
        <v/>
      </c>
      <c r="E1594">
        <f>IF(OR($A1594="",$C1594=""),"",IF(ISNUMBER(Wages!$B1597),MOD(Wages!$B1597,100),IFERROR(VALUE(TRIM(MID(MID(Wages!$B1597,FIND("/",Wages!$B1597)+1,20),FIND("/",MID(Wages!$B1597,FIND("/",Wages!$B1597)+1,20))+1,20))),"")))</f>
        <v/>
      </c>
      <c r="F1594">
        <f>IF($A1594="","",IF(OR($C1594="",$D1594="",$E1594="",$C1594&lt;1300,$C1594&gt;1500,$D1594&lt;1,$D1594&gt;12,$E1594&lt;1,$E1594&gt;31),"نامعتبر",RIGHT("0000"&amp;$C1594,4)&amp;"/"&amp;RIGHT("00"&amp;$D1594,2)&amp;"/"&amp;RIGHT("00"&amp;$E1594,2)))</f>
        <v/>
      </c>
      <c r="G1594">
        <f>IF(OR($A1594="",$F1594="",$F1594="نامعتبر"),"",LEFT($F1594,4)&amp;MID($F1594,6,2)&amp;RIGHT($F1594,2)&amp;"0000"&amp;"|"&amp;"1"&amp;RIGHT("00000"&amp;1589,5))</f>
        <v/>
      </c>
      <c r="H1594">
        <f>IF(OR($B1594&lt;&gt;1,$G1594=""),"",COUNTIFS(LdAParty,$A1594,LdAType,1,LdAKey,"&lt;"&amp;$G1594)+COUNTIFS(LdBMember,$A1594,LdBKey,"&lt;"&amp;$G1594)+COUNTIFS(LdCParty,$A1594,LdCKey,"&lt;"&amp;$G1594)+1)</f>
        <v/>
      </c>
      <c r="I1594">
        <f>IF($H1594="","",$A1594&amp;"|"&amp;RIGHT("000000"&amp;$H1594,6))</f>
        <v/>
      </c>
      <c r="J1594">
        <f>IF(OR($B1594&lt;&gt;2,$G1594=""),"",COUNTIFS(LdAParty,$A1594,LdAType,2,LdAKey,"&lt;"&amp;$G1594)+1)</f>
        <v/>
      </c>
      <c r="K1594">
        <f>IF($J1594="","",$A1594&amp;"|"&amp;RIGHT("000000"&amp;$J1594,6))</f>
        <v/>
      </c>
      <c r="L1594">
        <f>IF($A1594="","",IF(Wages!$G1597="",0,Wages!$G1597))</f>
        <v/>
      </c>
      <c r="M1594">
        <f>IF($A1594="","",Wages!$J1597)</f>
        <v/>
      </c>
      <c r="N1594">
        <f>IF($A1594="","",Wages!$D1597)</f>
        <v/>
      </c>
      <c r="P1594">
        <f>IF(OR(Shares!$B1597="",Shares!$C1597=""),"",Shares!$C1597)</f>
        <v/>
      </c>
      <c r="Q1594">
        <f>IF($P1594="","",Shares!$B1597)</f>
        <v/>
      </c>
      <c r="R1594">
        <f>IF($P1594="","",IFERROR(INDEX(WageParty,MATCH($Q1594,WageIds,0)),""))</f>
        <v/>
      </c>
      <c r="S1594">
        <f>IF($P1594="","",IFERROR(INDEX($F$6:$F$2005,MATCH($Q1594,WageIds,0)),""))</f>
        <v/>
      </c>
      <c r="T1594">
        <f>IF(OR($P1594="",$S1594="",$S1594="نامعتبر"),"",LEFT($S1594,4)&amp;MID($S1594,6,2)&amp;RIGHT($S1594,2)&amp;"0000"&amp;"|"&amp;"2"&amp;RIGHT("00000"&amp;1589,5))</f>
        <v/>
      </c>
      <c r="U1594">
        <f>IF($T1594="","",COUNTIFS(LdAParty,$P1594,LdAType,1,LdAKey,"&lt;"&amp;$T1594)+COUNTIFS(LdBMember,$P1594,LdBKey,"&lt;"&amp;$T1594)+COUNTIFS(LdCParty,$P1594,LdCKey,"&lt;"&amp;$T1594)+1)</f>
        <v/>
      </c>
      <c r="V1594">
        <f>IF($U1594="","",$P1594&amp;"|"&amp;RIGHT("000000"&amp;$U1594,6))</f>
        <v/>
      </c>
      <c r="W1594">
        <f>IF($T1594="","",COUNTIFS(LdBGroup,$R1594,LdBKey,"&lt;"&amp;$T1594)+1)</f>
        <v/>
      </c>
      <c r="X1594">
        <f>IF($W1594="","",$R1594&amp;"|"&amp;RIGHT("000000"&amp;$W1594,6))</f>
        <v/>
      </c>
      <c r="Y1594">
        <f>IF($P1594="","",IF(Shares!$E1597="",0,Shares!$E1597))</f>
        <v/>
      </c>
      <c r="Z1594">
        <f>IF($P1594="","",Shares!$H1597)</f>
        <v/>
      </c>
      <c r="AE1594">
        <f>IF(OR(Sync!$S1594="",Sync!$P1594=""),"",Sync!$S1594)</f>
        <v/>
      </c>
      <c r="AF1594">
        <f>IF($AE1594="","",IF(ISNUMBER(Sync!$P1594),IF(AND(Sync!$P1594&gt;=10000101,Sync!$P1594&lt;=99991231),INT(Sync!$P1594/10000),""),IFERROR(VALUE(TRIM(LEFT(Sync!$P1594,FIND("/",Sync!$P1594)-1))),"")))</f>
        <v/>
      </c>
      <c r="AG1594">
        <f>IF(OR($AE1594="",$AF1594=""),"",IF(ISNUMBER(Sync!$P1594),INT(MOD(Sync!$P1594,10000)/100),IFERROR(VALUE(TRIM(LEFT(MID(Sync!$P1594,FIND("/",Sync!$P1594)+1,20),FIND("/",MID(Sync!$P1594,FIND("/",Sync!$P1594)+1,20))-1))),"")))</f>
        <v/>
      </c>
      <c r="AH1594">
        <f>IF(OR($AE1594="",$AF1594=""),"",IF(ISNUMBER(Sync!$P1594),MOD(Sync!$P1594,100),IFERROR(VALUE(TRIM(MID(MID(Sync!$P1594,FIND("/",Sync!$P1594)+1,20),FIND("/",MID(Sync!$P1594,FIND("/",Sync!$P1594)+1,20))+1,20))),"")))</f>
        <v/>
      </c>
      <c r="AI1594">
        <f>IF($AE1594="","",IF(OR($AF1594="",$AG1594="",$AH1594="",$AF1594&lt;1300,$AF1594&gt;1500,$AG1594&lt;1,$AG1594&gt;12,$AH1594&lt;1,$AH1594&gt;31),"نامعتبر",RIGHT("0000"&amp;$AF1594,4)&amp;"/"&amp;RIGHT("00"&amp;$AG1594,2)&amp;"/"&amp;RIGHT("00"&amp;$AH1594,2)))</f>
        <v/>
      </c>
      <c r="AJ1594">
        <f>IF($AE1594="","",IF(Sync!$Q1594="","0000",IF(AND(ISNUMBER(Sync!$Q1594),Sync!$Q1594&gt;=0,Sync!$Q1594&lt;1),RIGHT("00"&amp;HOUR(Sync!$Q1594),2)&amp;RIGHT("00"&amp;MINUTE(Sync!$Q1594),2),IFERROR(RIGHT("00"&amp;VALUE(LEFT(Sync!$Q1594,FIND(":",Sync!$Q1594)-1)),2)&amp;RIGHT("00"&amp;VALUE(MID(Sync!$Q1594,FIND(":",Sync!$Q1594)+1,2)),2),"0000"))))</f>
        <v/>
      </c>
      <c r="AK1594">
        <f>IF(OR($AE1594="",$AI1594="",$AI1594="نامعتبر"),"",LEFT($AI1594,4)&amp;MID($AI1594,6,2)&amp;RIGHT($AI1594,2)&amp;$AJ1594&amp;"|"&amp;"3"&amp;RIGHT("00000"&amp;1589,5))</f>
        <v/>
      </c>
      <c r="AL1594">
        <f>IF($AK1594="","",COUNTIFS(LdAParty,$AE1594,LdAType,1,LdAKey,"&lt;"&amp;$AK1594)+COUNTIFS(LdBMember,$AE1594,LdBKey,"&lt;"&amp;$AK1594)+COUNTIFS(LdCParty,$AE1594,LdCKey,"&lt;"&amp;$AK1594)+1)</f>
        <v/>
      </c>
      <c r="AM1594">
        <f>IF($AL1594="","",$AE1594&amp;"|"&amp;RIGHT("000000"&amp;$AL1594,6))</f>
        <v/>
      </c>
      <c r="AN1594">
        <f>IF($AE1594="","",IF(Sync!$W1594="",0,Sync!$W1594))</f>
        <v/>
      </c>
      <c r="AO1594">
        <f>IF($AE1594="","",IF(Sync!$X1594="",0,Sync!$X1594))</f>
        <v/>
      </c>
      <c r="AP1594">
        <f>IF($AE1594="","",Sync!$R1594)</f>
        <v/>
      </c>
      <c r="AQ1594">
        <f>IF($AE1594="","",Sync!$Y1594)</f>
        <v/>
      </c>
    </row>
    <row r="1595">
      <c r="A1595">
        <f>IF(OR(Wages!$B1598="",Wages!$E1598=""),"",Wages!$E1598)</f>
        <v/>
      </c>
      <c r="B1595">
        <f>IF($A1595="","",IF(Wages!$C1598="دستمزد گروهی",2,1))</f>
        <v/>
      </c>
      <c r="C1595">
        <f>IF($A1595="","",IF(ISNUMBER(Wages!$B1598),IF(AND(Wages!$B1598&gt;=10000101,Wages!$B1598&lt;=99991231),INT(Wages!$B1598/10000),""),IFERROR(VALUE(TRIM(LEFT(Wages!$B1598,FIND("/",Wages!$B1598)-1))),"")))</f>
        <v/>
      </c>
      <c r="D1595">
        <f>IF(OR($A1595="",$C1595=""),"",IF(ISNUMBER(Wages!$B1598),INT(MOD(Wages!$B1598,10000)/100),IFERROR(VALUE(TRIM(LEFT(MID(Wages!$B1598,FIND("/",Wages!$B1598)+1,20),FIND("/",MID(Wages!$B1598,FIND("/",Wages!$B1598)+1,20))-1))),"")))</f>
        <v/>
      </c>
      <c r="E1595">
        <f>IF(OR($A1595="",$C1595=""),"",IF(ISNUMBER(Wages!$B1598),MOD(Wages!$B1598,100),IFERROR(VALUE(TRIM(MID(MID(Wages!$B1598,FIND("/",Wages!$B1598)+1,20),FIND("/",MID(Wages!$B1598,FIND("/",Wages!$B1598)+1,20))+1,20))),"")))</f>
        <v/>
      </c>
      <c r="F1595">
        <f>IF($A1595="","",IF(OR($C1595="",$D1595="",$E1595="",$C1595&lt;1300,$C1595&gt;1500,$D1595&lt;1,$D1595&gt;12,$E1595&lt;1,$E1595&gt;31),"نامعتبر",RIGHT("0000"&amp;$C1595,4)&amp;"/"&amp;RIGHT("00"&amp;$D1595,2)&amp;"/"&amp;RIGHT("00"&amp;$E1595,2)))</f>
        <v/>
      </c>
      <c r="G1595">
        <f>IF(OR($A1595="",$F1595="",$F1595="نامعتبر"),"",LEFT($F1595,4)&amp;MID($F1595,6,2)&amp;RIGHT($F1595,2)&amp;"0000"&amp;"|"&amp;"1"&amp;RIGHT("00000"&amp;1590,5))</f>
        <v/>
      </c>
      <c r="H1595">
        <f>IF(OR($B1595&lt;&gt;1,$G1595=""),"",COUNTIFS(LdAParty,$A1595,LdAType,1,LdAKey,"&lt;"&amp;$G1595)+COUNTIFS(LdBMember,$A1595,LdBKey,"&lt;"&amp;$G1595)+COUNTIFS(LdCParty,$A1595,LdCKey,"&lt;"&amp;$G1595)+1)</f>
        <v/>
      </c>
      <c r="I1595">
        <f>IF($H1595="","",$A1595&amp;"|"&amp;RIGHT("000000"&amp;$H1595,6))</f>
        <v/>
      </c>
      <c r="J1595">
        <f>IF(OR($B1595&lt;&gt;2,$G1595=""),"",COUNTIFS(LdAParty,$A1595,LdAType,2,LdAKey,"&lt;"&amp;$G1595)+1)</f>
        <v/>
      </c>
      <c r="K1595">
        <f>IF($J1595="","",$A1595&amp;"|"&amp;RIGHT("000000"&amp;$J1595,6))</f>
        <v/>
      </c>
      <c r="L1595">
        <f>IF($A1595="","",IF(Wages!$G1598="",0,Wages!$G1598))</f>
        <v/>
      </c>
      <c r="M1595">
        <f>IF($A1595="","",Wages!$J1598)</f>
        <v/>
      </c>
      <c r="N1595">
        <f>IF($A1595="","",Wages!$D1598)</f>
        <v/>
      </c>
      <c r="P1595">
        <f>IF(OR(Shares!$B1598="",Shares!$C1598=""),"",Shares!$C1598)</f>
        <v/>
      </c>
      <c r="Q1595">
        <f>IF($P1595="","",Shares!$B1598)</f>
        <v/>
      </c>
      <c r="R1595">
        <f>IF($P1595="","",IFERROR(INDEX(WageParty,MATCH($Q1595,WageIds,0)),""))</f>
        <v/>
      </c>
      <c r="S1595">
        <f>IF($P1595="","",IFERROR(INDEX($F$6:$F$2005,MATCH($Q1595,WageIds,0)),""))</f>
        <v/>
      </c>
      <c r="T1595">
        <f>IF(OR($P1595="",$S1595="",$S1595="نامعتبر"),"",LEFT($S1595,4)&amp;MID($S1595,6,2)&amp;RIGHT($S1595,2)&amp;"0000"&amp;"|"&amp;"2"&amp;RIGHT("00000"&amp;1590,5))</f>
        <v/>
      </c>
      <c r="U1595">
        <f>IF($T1595="","",COUNTIFS(LdAParty,$P1595,LdAType,1,LdAKey,"&lt;"&amp;$T1595)+COUNTIFS(LdBMember,$P1595,LdBKey,"&lt;"&amp;$T1595)+COUNTIFS(LdCParty,$P1595,LdCKey,"&lt;"&amp;$T1595)+1)</f>
        <v/>
      </c>
      <c r="V1595">
        <f>IF($U1595="","",$P1595&amp;"|"&amp;RIGHT("000000"&amp;$U1595,6))</f>
        <v/>
      </c>
      <c r="W1595">
        <f>IF($T1595="","",COUNTIFS(LdBGroup,$R1595,LdBKey,"&lt;"&amp;$T1595)+1)</f>
        <v/>
      </c>
      <c r="X1595">
        <f>IF($W1595="","",$R1595&amp;"|"&amp;RIGHT("000000"&amp;$W1595,6))</f>
        <v/>
      </c>
      <c r="Y1595">
        <f>IF($P1595="","",IF(Shares!$E1598="",0,Shares!$E1598))</f>
        <v/>
      </c>
      <c r="Z1595">
        <f>IF($P1595="","",Shares!$H1598)</f>
        <v/>
      </c>
      <c r="AE1595">
        <f>IF(OR(Sync!$S1595="",Sync!$P1595=""),"",Sync!$S1595)</f>
        <v/>
      </c>
      <c r="AF1595">
        <f>IF($AE1595="","",IF(ISNUMBER(Sync!$P1595),IF(AND(Sync!$P1595&gt;=10000101,Sync!$P1595&lt;=99991231),INT(Sync!$P1595/10000),""),IFERROR(VALUE(TRIM(LEFT(Sync!$P1595,FIND("/",Sync!$P1595)-1))),"")))</f>
        <v/>
      </c>
      <c r="AG1595">
        <f>IF(OR($AE1595="",$AF1595=""),"",IF(ISNUMBER(Sync!$P1595),INT(MOD(Sync!$P1595,10000)/100),IFERROR(VALUE(TRIM(LEFT(MID(Sync!$P1595,FIND("/",Sync!$P1595)+1,20),FIND("/",MID(Sync!$P1595,FIND("/",Sync!$P1595)+1,20))-1))),"")))</f>
        <v/>
      </c>
      <c r="AH1595">
        <f>IF(OR($AE1595="",$AF1595=""),"",IF(ISNUMBER(Sync!$P1595),MOD(Sync!$P1595,100),IFERROR(VALUE(TRIM(MID(MID(Sync!$P1595,FIND("/",Sync!$P1595)+1,20),FIND("/",MID(Sync!$P1595,FIND("/",Sync!$P1595)+1,20))+1,20))),"")))</f>
        <v/>
      </c>
      <c r="AI1595">
        <f>IF($AE1595="","",IF(OR($AF1595="",$AG1595="",$AH1595="",$AF1595&lt;1300,$AF1595&gt;1500,$AG1595&lt;1,$AG1595&gt;12,$AH1595&lt;1,$AH1595&gt;31),"نامعتبر",RIGHT("0000"&amp;$AF1595,4)&amp;"/"&amp;RIGHT("00"&amp;$AG1595,2)&amp;"/"&amp;RIGHT("00"&amp;$AH1595,2)))</f>
        <v/>
      </c>
      <c r="AJ1595">
        <f>IF($AE1595="","",IF(Sync!$Q1595="","0000",IF(AND(ISNUMBER(Sync!$Q1595),Sync!$Q1595&gt;=0,Sync!$Q1595&lt;1),RIGHT("00"&amp;HOUR(Sync!$Q1595),2)&amp;RIGHT("00"&amp;MINUTE(Sync!$Q1595),2),IFERROR(RIGHT("00"&amp;VALUE(LEFT(Sync!$Q1595,FIND(":",Sync!$Q1595)-1)),2)&amp;RIGHT("00"&amp;VALUE(MID(Sync!$Q1595,FIND(":",Sync!$Q1595)+1,2)),2),"0000"))))</f>
        <v/>
      </c>
      <c r="AK1595">
        <f>IF(OR($AE1595="",$AI1595="",$AI1595="نامعتبر"),"",LEFT($AI1595,4)&amp;MID($AI1595,6,2)&amp;RIGHT($AI1595,2)&amp;$AJ1595&amp;"|"&amp;"3"&amp;RIGHT("00000"&amp;1590,5))</f>
        <v/>
      </c>
      <c r="AL1595">
        <f>IF($AK1595="","",COUNTIFS(LdAParty,$AE1595,LdAType,1,LdAKey,"&lt;"&amp;$AK1595)+COUNTIFS(LdBMember,$AE1595,LdBKey,"&lt;"&amp;$AK1595)+COUNTIFS(LdCParty,$AE1595,LdCKey,"&lt;"&amp;$AK1595)+1)</f>
        <v/>
      </c>
      <c r="AM1595">
        <f>IF($AL1595="","",$AE1595&amp;"|"&amp;RIGHT("000000"&amp;$AL1595,6))</f>
        <v/>
      </c>
      <c r="AN1595">
        <f>IF($AE1595="","",IF(Sync!$W1595="",0,Sync!$W1595))</f>
        <v/>
      </c>
      <c r="AO1595">
        <f>IF($AE1595="","",IF(Sync!$X1595="",0,Sync!$X1595))</f>
        <v/>
      </c>
      <c r="AP1595">
        <f>IF($AE1595="","",Sync!$R1595)</f>
        <v/>
      </c>
      <c r="AQ1595">
        <f>IF($AE1595="","",Sync!$Y1595)</f>
        <v/>
      </c>
    </row>
    <row r="1596">
      <c r="A1596">
        <f>IF(OR(Wages!$B1599="",Wages!$E1599=""),"",Wages!$E1599)</f>
        <v/>
      </c>
      <c r="B1596">
        <f>IF($A1596="","",IF(Wages!$C1599="دستمزد گروهی",2,1))</f>
        <v/>
      </c>
      <c r="C1596">
        <f>IF($A1596="","",IF(ISNUMBER(Wages!$B1599),IF(AND(Wages!$B1599&gt;=10000101,Wages!$B1599&lt;=99991231),INT(Wages!$B1599/10000),""),IFERROR(VALUE(TRIM(LEFT(Wages!$B1599,FIND("/",Wages!$B1599)-1))),"")))</f>
        <v/>
      </c>
      <c r="D1596">
        <f>IF(OR($A1596="",$C1596=""),"",IF(ISNUMBER(Wages!$B1599),INT(MOD(Wages!$B1599,10000)/100),IFERROR(VALUE(TRIM(LEFT(MID(Wages!$B1599,FIND("/",Wages!$B1599)+1,20),FIND("/",MID(Wages!$B1599,FIND("/",Wages!$B1599)+1,20))-1))),"")))</f>
        <v/>
      </c>
      <c r="E1596">
        <f>IF(OR($A1596="",$C1596=""),"",IF(ISNUMBER(Wages!$B1599),MOD(Wages!$B1599,100),IFERROR(VALUE(TRIM(MID(MID(Wages!$B1599,FIND("/",Wages!$B1599)+1,20),FIND("/",MID(Wages!$B1599,FIND("/",Wages!$B1599)+1,20))+1,20))),"")))</f>
        <v/>
      </c>
      <c r="F1596">
        <f>IF($A1596="","",IF(OR($C1596="",$D1596="",$E1596="",$C1596&lt;1300,$C1596&gt;1500,$D1596&lt;1,$D1596&gt;12,$E1596&lt;1,$E1596&gt;31),"نامعتبر",RIGHT("0000"&amp;$C1596,4)&amp;"/"&amp;RIGHT("00"&amp;$D1596,2)&amp;"/"&amp;RIGHT("00"&amp;$E1596,2)))</f>
        <v/>
      </c>
      <c r="G1596">
        <f>IF(OR($A1596="",$F1596="",$F1596="نامعتبر"),"",LEFT($F1596,4)&amp;MID($F1596,6,2)&amp;RIGHT($F1596,2)&amp;"0000"&amp;"|"&amp;"1"&amp;RIGHT("00000"&amp;1591,5))</f>
        <v/>
      </c>
      <c r="H1596">
        <f>IF(OR($B1596&lt;&gt;1,$G1596=""),"",COUNTIFS(LdAParty,$A1596,LdAType,1,LdAKey,"&lt;"&amp;$G1596)+COUNTIFS(LdBMember,$A1596,LdBKey,"&lt;"&amp;$G1596)+COUNTIFS(LdCParty,$A1596,LdCKey,"&lt;"&amp;$G1596)+1)</f>
        <v/>
      </c>
      <c r="I1596">
        <f>IF($H1596="","",$A1596&amp;"|"&amp;RIGHT("000000"&amp;$H1596,6))</f>
        <v/>
      </c>
      <c r="J1596">
        <f>IF(OR($B1596&lt;&gt;2,$G1596=""),"",COUNTIFS(LdAParty,$A1596,LdAType,2,LdAKey,"&lt;"&amp;$G1596)+1)</f>
        <v/>
      </c>
      <c r="K1596">
        <f>IF($J1596="","",$A1596&amp;"|"&amp;RIGHT("000000"&amp;$J1596,6))</f>
        <v/>
      </c>
      <c r="L1596">
        <f>IF($A1596="","",IF(Wages!$G1599="",0,Wages!$G1599))</f>
        <v/>
      </c>
      <c r="M1596">
        <f>IF($A1596="","",Wages!$J1599)</f>
        <v/>
      </c>
      <c r="N1596">
        <f>IF($A1596="","",Wages!$D1599)</f>
        <v/>
      </c>
      <c r="P1596">
        <f>IF(OR(Shares!$B1599="",Shares!$C1599=""),"",Shares!$C1599)</f>
        <v/>
      </c>
      <c r="Q1596">
        <f>IF($P1596="","",Shares!$B1599)</f>
        <v/>
      </c>
      <c r="R1596">
        <f>IF($P1596="","",IFERROR(INDEX(WageParty,MATCH($Q1596,WageIds,0)),""))</f>
        <v/>
      </c>
      <c r="S1596">
        <f>IF($P1596="","",IFERROR(INDEX($F$6:$F$2005,MATCH($Q1596,WageIds,0)),""))</f>
        <v/>
      </c>
      <c r="T1596">
        <f>IF(OR($P1596="",$S1596="",$S1596="نامعتبر"),"",LEFT($S1596,4)&amp;MID($S1596,6,2)&amp;RIGHT($S1596,2)&amp;"0000"&amp;"|"&amp;"2"&amp;RIGHT("00000"&amp;1591,5))</f>
        <v/>
      </c>
      <c r="U1596">
        <f>IF($T1596="","",COUNTIFS(LdAParty,$P1596,LdAType,1,LdAKey,"&lt;"&amp;$T1596)+COUNTIFS(LdBMember,$P1596,LdBKey,"&lt;"&amp;$T1596)+COUNTIFS(LdCParty,$P1596,LdCKey,"&lt;"&amp;$T1596)+1)</f>
        <v/>
      </c>
      <c r="V1596">
        <f>IF($U1596="","",$P1596&amp;"|"&amp;RIGHT("000000"&amp;$U1596,6))</f>
        <v/>
      </c>
      <c r="W1596">
        <f>IF($T1596="","",COUNTIFS(LdBGroup,$R1596,LdBKey,"&lt;"&amp;$T1596)+1)</f>
        <v/>
      </c>
      <c r="X1596">
        <f>IF($W1596="","",$R1596&amp;"|"&amp;RIGHT("000000"&amp;$W1596,6))</f>
        <v/>
      </c>
      <c r="Y1596">
        <f>IF($P1596="","",IF(Shares!$E1599="",0,Shares!$E1599))</f>
        <v/>
      </c>
      <c r="Z1596">
        <f>IF($P1596="","",Shares!$H1599)</f>
        <v/>
      </c>
      <c r="AE1596">
        <f>IF(OR(Sync!$S1596="",Sync!$P1596=""),"",Sync!$S1596)</f>
        <v/>
      </c>
      <c r="AF1596">
        <f>IF($AE1596="","",IF(ISNUMBER(Sync!$P1596),IF(AND(Sync!$P1596&gt;=10000101,Sync!$P1596&lt;=99991231),INT(Sync!$P1596/10000),""),IFERROR(VALUE(TRIM(LEFT(Sync!$P1596,FIND("/",Sync!$P1596)-1))),"")))</f>
        <v/>
      </c>
      <c r="AG1596">
        <f>IF(OR($AE1596="",$AF1596=""),"",IF(ISNUMBER(Sync!$P1596),INT(MOD(Sync!$P1596,10000)/100),IFERROR(VALUE(TRIM(LEFT(MID(Sync!$P1596,FIND("/",Sync!$P1596)+1,20),FIND("/",MID(Sync!$P1596,FIND("/",Sync!$P1596)+1,20))-1))),"")))</f>
        <v/>
      </c>
      <c r="AH1596">
        <f>IF(OR($AE1596="",$AF1596=""),"",IF(ISNUMBER(Sync!$P1596),MOD(Sync!$P1596,100),IFERROR(VALUE(TRIM(MID(MID(Sync!$P1596,FIND("/",Sync!$P1596)+1,20),FIND("/",MID(Sync!$P1596,FIND("/",Sync!$P1596)+1,20))+1,20))),"")))</f>
        <v/>
      </c>
      <c r="AI1596">
        <f>IF($AE1596="","",IF(OR($AF1596="",$AG1596="",$AH1596="",$AF1596&lt;1300,$AF1596&gt;1500,$AG1596&lt;1,$AG1596&gt;12,$AH1596&lt;1,$AH1596&gt;31),"نامعتبر",RIGHT("0000"&amp;$AF1596,4)&amp;"/"&amp;RIGHT("00"&amp;$AG1596,2)&amp;"/"&amp;RIGHT("00"&amp;$AH1596,2)))</f>
        <v/>
      </c>
      <c r="AJ1596">
        <f>IF($AE1596="","",IF(Sync!$Q1596="","0000",IF(AND(ISNUMBER(Sync!$Q1596),Sync!$Q1596&gt;=0,Sync!$Q1596&lt;1),RIGHT("00"&amp;HOUR(Sync!$Q1596),2)&amp;RIGHT("00"&amp;MINUTE(Sync!$Q1596),2),IFERROR(RIGHT("00"&amp;VALUE(LEFT(Sync!$Q1596,FIND(":",Sync!$Q1596)-1)),2)&amp;RIGHT("00"&amp;VALUE(MID(Sync!$Q1596,FIND(":",Sync!$Q1596)+1,2)),2),"0000"))))</f>
        <v/>
      </c>
      <c r="AK1596">
        <f>IF(OR($AE1596="",$AI1596="",$AI1596="نامعتبر"),"",LEFT($AI1596,4)&amp;MID($AI1596,6,2)&amp;RIGHT($AI1596,2)&amp;$AJ1596&amp;"|"&amp;"3"&amp;RIGHT("00000"&amp;1591,5))</f>
        <v/>
      </c>
      <c r="AL1596">
        <f>IF($AK1596="","",COUNTIFS(LdAParty,$AE1596,LdAType,1,LdAKey,"&lt;"&amp;$AK1596)+COUNTIFS(LdBMember,$AE1596,LdBKey,"&lt;"&amp;$AK1596)+COUNTIFS(LdCParty,$AE1596,LdCKey,"&lt;"&amp;$AK1596)+1)</f>
        <v/>
      </c>
      <c r="AM1596">
        <f>IF($AL1596="","",$AE1596&amp;"|"&amp;RIGHT("000000"&amp;$AL1596,6))</f>
        <v/>
      </c>
      <c r="AN1596">
        <f>IF($AE1596="","",IF(Sync!$W1596="",0,Sync!$W1596))</f>
        <v/>
      </c>
      <c r="AO1596">
        <f>IF($AE1596="","",IF(Sync!$X1596="",0,Sync!$X1596))</f>
        <v/>
      </c>
      <c r="AP1596">
        <f>IF($AE1596="","",Sync!$R1596)</f>
        <v/>
      </c>
      <c r="AQ1596">
        <f>IF($AE1596="","",Sync!$Y1596)</f>
        <v/>
      </c>
    </row>
    <row r="1597">
      <c r="A1597">
        <f>IF(OR(Wages!$B1600="",Wages!$E1600=""),"",Wages!$E1600)</f>
        <v/>
      </c>
      <c r="B1597">
        <f>IF($A1597="","",IF(Wages!$C1600="دستمزد گروهی",2,1))</f>
        <v/>
      </c>
      <c r="C1597">
        <f>IF($A1597="","",IF(ISNUMBER(Wages!$B1600),IF(AND(Wages!$B1600&gt;=10000101,Wages!$B1600&lt;=99991231),INT(Wages!$B1600/10000),""),IFERROR(VALUE(TRIM(LEFT(Wages!$B1600,FIND("/",Wages!$B1600)-1))),"")))</f>
        <v/>
      </c>
      <c r="D1597">
        <f>IF(OR($A1597="",$C1597=""),"",IF(ISNUMBER(Wages!$B1600),INT(MOD(Wages!$B1600,10000)/100),IFERROR(VALUE(TRIM(LEFT(MID(Wages!$B1600,FIND("/",Wages!$B1600)+1,20),FIND("/",MID(Wages!$B1600,FIND("/",Wages!$B1600)+1,20))-1))),"")))</f>
        <v/>
      </c>
      <c r="E1597">
        <f>IF(OR($A1597="",$C1597=""),"",IF(ISNUMBER(Wages!$B1600),MOD(Wages!$B1600,100),IFERROR(VALUE(TRIM(MID(MID(Wages!$B1600,FIND("/",Wages!$B1600)+1,20),FIND("/",MID(Wages!$B1600,FIND("/",Wages!$B1600)+1,20))+1,20))),"")))</f>
        <v/>
      </c>
      <c r="F1597">
        <f>IF($A1597="","",IF(OR($C1597="",$D1597="",$E1597="",$C1597&lt;1300,$C1597&gt;1500,$D1597&lt;1,$D1597&gt;12,$E1597&lt;1,$E1597&gt;31),"نامعتبر",RIGHT("0000"&amp;$C1597,4)&amp;"/"&amp;RIGHT("00"&amp;$D1597,2)&amp;"/"&amp;RIGHT("00"&amp;$E1597,2)))</f>
        <v/>
      </c>
      <c r="G1597">
        <f>IF(OR($A1597="",$F1597="",$F1597="نامعتبر"),"",LEFT($F1597,4)&amp;MID($F1597,6,2)&amp;RIGHT($F1597,2)&amp;"0000"&amp;"|"&amp;"1"&amp;RIGHT("00000"&amp;1592,5))</f>
        <v/>
      </c>
      <c r="H1597">
        <f>IF(OR($B1597&lt;&gt;1,$G1597=""),"",COUNTIFS(LdAParty,$A1597,LdAType,1,LdAKey,"&lt;"&amp;$G1597)+COUNTIFS(LdBMember,$A1597,LdBKey,"&lt;"&amp;$G1597)+COUNTIFS(LdCParty,$A1597,LdCKey,"&lt;"&amp;$G1597)+1)</f>
        <v/>
      </c>
      <c r="I1597">
        <f>IF($H1597="","",$A1597&amp;"|"&amp;RIGHT("000000"&amp;$H1597,6))</f>
        <v/>
      </c>
      <c r="J1597">
        <f>IF(OR($B1597&lt;&gt;2,$G1597=""),"",COUNTIFS(LdAParty,$A1597,LdAType,2,LdAKey,"&lt;"&amp;$G1597)+1)</f>
        <v/>
      </c>
      <c r="K1597">
        <f>IF($J1597="","",$A1597&amp;"|"&amp;RIGHT("000000"&amp;$J1597,6))</f>
        <v/>
      </c>
      <c r="L1597">
        <f>IF($A1597="","",IF(Wages!$G1600="",0,Wages!$G1600))</f>
        <v/>
      </c>
      <c r="M1597">
        <f>IF($A1597="","",Wages!$J1600)</f>
        <v/>
      </c>
      <c r="N1597">
        <f>IF($A1597="","",Wages!$D1600)</f>
        <v/>
      </c>
      <c r="P1597">
        <f>IF(OR(Shares!$B1600="",Shares!$C1600=""),"",Shares!$C1600)</f>
        <v/>
      </c>
      <c r="Q1597">
        <f>IF($P1597="","",Shares!$B1600)</f>
        <v/>
      </c>
      <c r="R1597">
        <f>IF($P1597="","",IFERROR(INDEX(WageParty,MATCH($Q1597,WageIds,0)),""))</f>
        <v/>
      </c>
      <c r="S1597">
        <f>IF($P1597="","",IFERROR(INDEX($F$6:$F$2005,MATCH($Q1597,WageIds,0)),""))</f>
        <v/>
      </c>
      <c r="T1597">
        <f>IF(OR($P1597="",$S1597="",$S1597="نامعتبر"),"",LEFT($S1597,4)&amp;MID($S1597,6,2)&amp;RIGHT($S1597,2)&amp;"0000"&amp;"|"&amp;"2"&amp;RIGHT("00000"&amp;1592,5))</f>
        <v/>
      </c>
      <c r="U1597">
        <f>IF($T1597="","",COUNTIFS(LdAParty,$P1597,LdAType,1,LdAKey,"&lt;"&amp;$T1597)+COUNTIFS(LdBMember,$P1597,LdBKey,"&lt;"&amp;$T1597)+COUNTIFS(LdCParty,$P1597,LdCKey,"&lt;"&amp;$T1597)+1)</f>
        <v/>
      </c>
      <c r="V1597">
        <f>IF($U1597="","",$P1597&amp;"|"&amp;RIGHT("000000"&amp;$U1597,6))</f>
        <v/>
      </c>
      <c r="W1597">
        <f>IF($T1597="","",COUNTIFS(LdBGroup,$R1597,LdBKey,"&lt;"&amp;$T1597)+1)</f>
        <v/>
      </c>
      <c r="X1597">
        <f>IF($W1597="","",$R1597&amp;"|"&amp;RIGHT("000000"&amp;$W1597,6))</f>
        <v/>
      </c>
      <c r="Y1597">
        <f>IF($P1597="","",IF(Shares!$E1600="",0,Shares!$E1600))</f>
        <v/>
      </c>
      <c r="Z1597">
        <f>IF($P1597="","",Shares!$H1600)</f>
        <v/>
      </c>
      <c r="AE1597">
        <f>IF(OR(Sync!$S1597="",Sync!$P1597=""),"",Sync!$S1597)</f>
        <v/>
      </c>
      <c r="AF1597">
        <f>IF($AE1597="","",IF(ISNUMBER(Sync!$P1597),IF(AND(Sync!$P1597&gt;=10000101,Sync!$P1597&lt;=99991231),INT(Sync!$P1597/10000),""),IFERROR(VALUE(TRIM(LEFT(Sync!$P1597,FIND("/",Sync!$P1597)-1))),"")))</f>
        <v/>
      </c>
      <c r="AG1597">
        <f>IF(OR($AE1597="",$AF1597=""),"",IF(ISNUMBER(Sync!$P1597),INT(MOD(Sync!$P1597,10000)/100),IFERROR(VALUE(TRIM(LEFT(MID(Sync!$P1597,FIND("/",Sync!$P1597)+1,20),FIND("/",MID(Sync!$P1597,FIND("/",Sync!$P1597)+1,20))-1))),"")))</f>
        <v/>
      </c>
      <c r="AH1597">
        <f>IF(OR($AE1597="",$AF1597=""),"",IF(ISNUMBER(Sync!$P1597),MOD(Sync!$P1597,100),IFERROR(VALUE(TRIM(MID(MID(Sync!$P1597,FIND("/",Sync!$P1597)+1,20),FIND("/",MID(Sync!$P1597,FIND("/",Sync!$P1597)+1,20))+1,20))),"")))</f>
        <v/>
      </c>
      <c r="AI1597">
        <f>IF($AE1597="","",IF(OR($AF1597="",$AG1597="",$AH1597="",$AF1597&lt;1300,$AF1597&gt;1500,$AG1597&lt;1,$AG1597&gt;12,$AH1597&lt;1,$AH1597&gt;31),"نامعتبر",RIGHT("0000"&amp;$AF1597,4)&amp;"/"&amp;RIGHT("00"&amp;$AG1597,2)&amp;"/"&amp;RIGHT("00"&amp;$AH1597,2)))</f>
        <v/>
      </c>
      <c r="AJ1597">
        <f>IF($AE1597="","",IF(Sync!$Q1597="","0000",IF(AND(ISNUMBER(Sync!$Q1597),Sync!$Q1597&gt;=0,Sync!$Q1597&lt;1),RIGHT("00"&amp;HOUR(Sync!$Q1597),2)&amp;RIGHT("00"&amp;MINUTE(Sync!$Q1597),2),IFERROR(RIGHT("00"&amp;VALUE(LEFT(Sync!$Q1597,FIND(":",Sync!$Q1597)-1)),2)&amp;RIGHT("00"&amp;VALUE(MID(Sync!$Q1597,FIND(":",Sync!$Q1597)+1,2)),2),"0000"))))</f>
        <v/>
      </c>
      <c r="AK1597">
        <f>IF(OR($AE1597="",$AI1597="",$AI1597="نامعتبر"),"",LEFT($AI1597,4)&amp;MID($AI1597,6,2)&amp;RIGHT($AI1597,2)&amp;$AJ1597&amp;"|"&amp;"3"&amp;RIGHT("00000"&amp;1592,5))</f>
        <v/>
      </c>
      <c r="AL1597">
        <f>IF($AK1597="","",COUNTIFS(LdAParty,$AE1597,LdAType,1,LdAKey,"&lt;"&amp;$AK1597)+COUNTIFS(LdBMember,$AE1597,LdBKey,"&lt;"&amp;$AK1597)+COUNTIFS(LdCParty,$AE1597,LdCKey,"&lt;"&amp;$AK1597)+1)</f>
        <v/>
      </c>
      <c r="AM1597">
        <f>IF($AL1597="","",$AE1597&amp;"|"&amp;RIGHT("000000"&amp;$AL1597,6))</f>
        <v/>
      </c>
      <c r="AN1597">
        <f>IF($AE1597="","",IF(Sync!$W1597="",0,Sync!$W1597))</f>
        <v/>
      </c>
      <c r="AO1597">
        <f>IF($AE1597="","",IF(Sync!$X1597="",0,Sync!$X1597))</f>
        <v/>
      </c>
      <c r="AP1597">
        <f>IF($AE1597="","",Sync!$R1597)</f>
        <v/>
      </c>
      <c r="AQ1597">
        <f>IF($AE1597="","",Sync!$Y1597)</f>
        <v/>
      </c>
    </row>
    <row r="1598">
      <c r="A1598">
        <f>IF(OR(Wages!$B1601="",Wages!$E1601=""),"",Wages!$E1601)</f>
        <v/>
      </c>
      <c r="B1598">
        <f>IF($A1598="","",IF(Wages!$C1601="دستمزد گروهی",2,1))</f>
        <v/>
      </c>
      <c r="C1598">
        <f>IF($A1598="","",IF(ISNUMBER(Wages!$B1601),IF(AND(Wages!$B1601&gt;=10000101,Wages!$B1601&lt;=99991231),INT(Wages!$B1601/10000),""),IFERROR(VALUE(TRIM(LEFT(Wages!$B1601,FIND("/",Wages!$B1601)-1))),"")))</f>
        <v/>
      </c>
      <c r="D1598">
        <f>IF(OR($A1598="",$C1598=""),"",IF(ISNUMBER(Wages!$B1601),INT(MOD(Wages!$B1601,10000)/100),IFERROR(VALUE(TRIM(LEFT(MID(Wages!$B1601,FIND("/",Wages!$B1601)+1,20),FIND("/",MID(Wages!$B1601,FIND("/",Wages!$B1601)+1,20))-1))),"")))</f>
        <v/>
      </c>
      <c r="E1598">
        <f>IF(OR($A1598="",$C1598=""),"",IF(ISNUMBER(Wages!$B1601),MOD(Wages!$B1601,100),IFERROR(VALUE(TRIM(MID(MID(Wages!$B1601,FIND("/",Wages!$B1601)+1,20),FIND("/",MID(Wages!$B1601,FIND("/",Wages!$B1601)+1,20))+1,20))),"")))</f>
        <v/>
      </c>
      <c r="F1598">
        <f>IF($A1598="","",IF(OR($C1598="",$D1598="",$E1598="",$C1598&lt;1300,$C1598&gt;1500,$D1598&lt;1,$D1598&gt;12,$E1598&lt;1,$E1598&gt;31),"نامعتبر",RIGHT("0000"&amp;$C1598,4)&amp;"/"&amp;RIGHT("00"&amp;$D1598,2)&amp;"/"&amp;RIGHT("00"&amp;$E1598,2)))</f>
        <v/>
      </c>
      <c r="G1598">
        <f>IF(OR($A1598="",$F1598="",$F1598="نامعتبر"),"",LEFT($F1598,4)&amp;MID($F1598,6,2)&amp;RIGHT($F1598,2)&amp;"0000"&amp;"|"&amp;"1"&amp;RIGHT("00000"&amp;1593,5))</f>
        <v/>
      </c>
      <c r="H1598">
        <f>IF(OR($B1598&lt;&gt;1,$G1598=""),"",COUNTIFS(LdAParty,$A1598,LdAType,1,LdAKey,"&lt;"&amp;$G1598)+COUNTIFS(LdBMember,$A1598,LdBKey,"&lt;"&amp;$G1598)+COUNTIFS(LdCParty,$A1598,LdCKey,"&lt;"&amp;$G1598)+1)</f>
        <v/>
      </c>
      <c r="I1598">
        <f>IF($H1598="","",$A1598&amp;"|"&amp;RIGHT("000000"&amp;$H1598,6))</f>
        <v/>
      </c>
      <c r="J1598">
        <f>IF(OR($B1598&lt;&gt;2,$G1598=""),"",COUNTIFS(LdAParty,$A1598,LdAType,2,LdAKey,"&lt;"&amp;$G1598)+1)</f>
        <v/>
      </c>
      <c r="K1598">
        <f>IF($J1598="","",$A1598&amp;"|"&amp;RIGHT("000000"&amp;$J1598,6))</f>
        <v/>
      </c>
      <c r="L1598">
        <f>IF($A1598="","",IF(Wages!$G1601="",0,Wages!$G1601))</f>
        <v/>
      </c>
      <c r="M1598">
        <f>IF($A1598="","",Wages!$J1601)</f>
        <v/>
      </c>
      <c r="N1598">
        <f>IF($A1598="","",Wages!$D1601)</f>
        <v/>
      </c>
      <c r="P1598">
        <f>IF(OR(Shares!$B1601="",Shares!$C1601=""),"",Shares!$C1601)</f>
        <v/>
      </c>
      <c r="Q1598">
        <f>IF($P1598="","",Shares!$B1601)</f>
        <v/>
      </c>
      <c r="R1598">
        <f>IF($P1598="","",IFERROR(INDEX(WageParty,MATCH($Q1598,WageIds,0)),""))</f>
        <v/>
      </c>
      <c r="S1598">
        <f>IF($P1598="","",IFERROR(INDEX($F$6:$F$2005,MATCH($Q1598,WageIds,0)),""))</f>
        <v/>
      </c>
      <c r="T1598">
        <f>IF(OR($P1598="",$S1598="",$S1598="نامعتبر"),"",LEFT($S1598,4)&amp;MID($S1598,6,2)&amp;RIGHT($S1598,2)&amp;"0000"&amp;"|"&amp;"2"&amp;RIGHT("00000"&amp;1593,5))</f>
        <v/>
      </c>
      <c r="U1598">
        <f>IF($T1598="","",COUNTIFS(LdAParty,$P1598,LdAType,1,LdAKey,"&lt;"&amp;$T1598)+COUNTIFS(LdBMember,$P1598,LdBKey,"&lt;"&amp;$T1598)+COUNTIFS(LdCParty,$P1598,LdCKey,"&lt;"&amp;$T1598)+1)</f>
        <v/>
      </c>
      <c r="V1598">
        <f>IF($U1598="","",$P1598&amp;"|"&amp;RIGHT("000000"&amp;$U1598,6))</f>
        <v/>
      </c>
      <c r="W1598">
        <f>IF($T1598="","",COUNTIFS(LdBGroup,$R1598,LdBKey,"&lt;"&amp;$T1598)+1)</f>
        <v/>
      </c>
      <c r="X1598">
        <f>IF($W1598="","",$R1598&amp;"|"&amp;RIGHT("000000"&amp;$W1598,6))</f>
        <v/>
      </c>
      <c r="Y1598">
        <f>IF($P1598="","",IF(Shares!$E1601="",0,Shares!$E1601))</f>
        <v/>
      </c>
      <c r="Z1598">
        <f>IF($P1598="","",Shares!$H1601)</f>
        <v/>
      </c>
      <c r="AE1598">
        <f>IF(OR(Sync!$S1598="",Sync!$P1598=""),"",Sync!$S1598)</f>
        <v/>
      </c>
      <c r="AF1598">
        <f>IF($AE1598="","",IF(ISNUMBER(Sync!$P1598),IF(AND(Sync!$P1598&gt;=10000101,Sync!$P1598&lt;=99991231),INT(Sync!$P1598/10000),""),IFERROR(VALUE(TRIM(LEFT(Sync!$P1598,FIND("/",Sync!$P1598)-1))),"")))</f>
        <v/>
      </c>
      <c r="AG1598">
        <f>IF(OR($AE1598="",$AF1598=""),"",IF(ISNUMBER(Sync!$P1598),INT(MOD(Sync!$P1598,10000)/100),IFERROR(VALUE(TRIM(LEFT(MID(Sync!$P1598,FIND("/",Sync!$P1598)+1,20),FIND("/",MID(Sync!$P1598,FIND("/",Sync!$P1598)+1,20))-1))),"")))</f>
        <v/>
      </c>
      <c r="AH1598">
        <f>IF(OR($AE1598="",$AF1598=""),"",IF(ISNUMBER(Sync!$P1598),MOD(Sync!$P1598,100),IFERROR(VALUE(TRIM(MID(MID(Sync!$P1598,FIND("/",Sync!$P1598)+1,20),FIND("/",MID(Sync!$P1598,FIND("/",Sync!$P1598)+1,20))+1,20))),"")))</f>
        <v/>
      </c>
      <c r="AI1598">
        <f>IF($AE1598="","",IF(OR($AF1598="",$AG1598="",$AH1598="",$AF1598&lt;1300,$AF1598&gt;1500,$AG1598&lt;1,$AG1598&gt;12,$AH1598&lt;1,$AH1598&gt;31),"نامعتبر",RIGHT("0000"&amp;$AF1598,4)&amp;"/"&amp;RIGHT("00"&amp;$AG1598,2)&amp;"/"&amp;RIGHT("00"&amp;$AH1598,2)))</f>
        <v/>
      </c>
      <c r="AJ1598">
        <f>IF($AE1598="","",IF(Sync!$Q1598="","0000",IF(AND(ISNUMBER(Sync!$Q1598),Sync!$Q1598&gt;=0,Sync!$Q1598&lt;1),RIGHT("00"&amp;HOUR(Sync!$Q1598),2)&amp;RIGHT("00"&amp;MINUTE(Sync!$Q1598),2),IFERROR(RIGHT("00"&amp;VALUE(LEFT(Sync!$Q1598,FIND(":",Sync!$Q1598)-1)),2)&amp;RIGHT("00"&amp;VALUE(MID(Sync!$Q1598,FIND(":",Sync!$Q1598)+1,2)),2),"0000"))))</f>
        <v/>
      </c>
      <c r="AK1598">
        <f>IF(OR($AE1598="",$AI1598="",$AI1598="نامعتبر"),"",LEFT($AI1598,4)&amp;MID($AI1598,6,2)&amp;RIGHT($AI1598,2)&amp;$AJ1598&amp;"|"&amp;"3"&amp;RIGHT("00000"&amp;1593,5))</f>
        <v/>
      </c>
      <c r="AL1598">
        <f>IF($AK1598="","",COUNTIFS(LdAParty,$AE1598,LdAType,1,LdAKey,"&lt;"&amp;$AK1598)+COUNTIFS(LdBMember,$AE1598,LdBKey,"&lt;"&amp;$AK1598)+COUNTIFS(LdCParty,$AE1598,LdCKey,"&lt;"&amp;$AK1598)+1)</f>
        <v/>
      </c>
      <c r="AM1598">
        <f>IF($AL1598="","",$AE1598&amp;"|"&amp;RIGHT("000000"&amp;$AL1598,6))</f>
        <v/>
      </c>
      <c r="AN1598">
        <f>IF($AE1598="","",IF(Sync!$W1598="",0,Sync!$W1598))</f>
        <v/>
      </c>
      <c r="AO1598">
        <f>IF($AE1598="","",IF(Sync!$X1598="",0,Sync!$X1598))</f>
        <v/>
      </c>
      <c r="AP1598">
        <f>IF($AE1598="","",Sync!$R1598)</f>
        <v/>
      </c>
      <c r="AQ1598">
        <f>IF($AE1598="","",Sync!$Y1598)</f>
        <v/>
      </c>
    </row>
    <row r="1599">
      <c r="A1599">
        <f>IF(OR(Wages!$B1602="",Wages!$E1602=""),"",Wages!$E1602)</f>
        <v/>
      </c>
      <c r="B1599">
        <f>IF($A1599="","",IF(Wages!$C1602="دستمزد گروهی",2,1))</f>
        <v/>
      </c>
      <c r="C1599">
        <f>IF($A1599="","",IF(ISNUMBER(Wages!$B1602),IF(AND(Wages!$B1602&gt;=10000101,Wages!$B1602&lt;=99991231),INT(Wages!$B1602/10000),""),IFERROR(VALUE(TRIM(LEFT(Wages!$B1602,FIND("/",Wages!$B1602)-1))),"")))</f>
        <v/>
      </c>
      <c r="D1599">
        <f>IF(OR($A1599="",$C1599=""),"",IF(ISNUMBER(Wages!$B1602),INT(MOD(Wages!$B1602,10000)/100),IFERROR(VALUE(TRIM(LEFT(MID(Wages!$B1602,FIND("/",Wages!$B1602)+1,20),FIND("/",MID(Wages!$B1602,FIND("/",Wages!$B1602)+1,20))-1))),"")))</f>
        <v/>
      </c>
      <c r="E1599">
        <f>IF(OR($A1599="",$C1599=""),"",IF(ISNUMBER(Wages!$B1602),MOD(Wages!$B1602,100),IFERROR(VALUE(TRIM(MID(MID(Wages!$B1602,FIND("/",Wages!$B1602)+1,20),FIND("/",MID(Wages!$B1602,FIND("/",Wages!$B1602)+1,20))+1,20))),"")))</f>
        <v/>
      </c>
      <c r="F1599">
        <f>IF($A1599="","",IF(OR($C1599="",$D1599="",$E1599="",$C1599&lt;1300,$C1599&gt;1500,$D1599&lt;1,$D1599&gt;12,$E1599&lt;1,$E1599&gt;31),"نامعتبر",RIGHT("0000"&amp;$C1599,4)&amp;"/"&amp;RIGHT("00"&amp;$D1599,2)&amp;"/"&amp;RIGHT("00"&amp;$E1599,2)))</f>
        <v/>
      </c>
      <c r="G1599">
        <f>IF(OR($A1599="",$F1599="",$F1599="نامعتبر"),"",LEFT($F1599,4)&amp;MID($F1599,6,2)&amp;RIGHT($F1599,2)&amp;"0000"&amp;"|"&amp;"1"&amp;RIGHT("00000"&amp;1594,5))</f>
        <v/>
      </c>
      <c r="H1599">
        <f>IF(OR($B1599&lt;&gt;1,$G1599=""),"",COUNTIFS(LdAParty,$A1599,LdAType,1,LdAKey,"&lt;"&amp;$G1599)+COUNTIFS(LdBMember,$A1599,LdBKey,"&lt;"&amp;$G1599)+COUNTIFS(LdCParty,$A1599,LdCKey,"&lt;"&amp;$G1599)+1)</f>
        <v/>
      </c>
      <c r="I1599">
        <f>IF($H1599="","",$A1599&amp;"|"&amp;RIGHT("000000"&amp;$H1599,6))</f>
        <v/>
      </c>
      <c r="J1599">
        <f>IF(OR($B1599&lt;&gt;2,$G1599=""),"",COUNTIFS(LdAParty,$A1599,LdAType,2,LdAKey,"&lt;"&amp;$G1599)+1)</f>
        <v/>
      </c>
      <c r="K1599">
        <f>IF($J1599="","",$A1599&amp;"|"&amp;RIGHT("000000"&amp;$J1599,6))</f>
        <v/>
      </c>
      <c r="L1599">
        <f>IF($A1599="","",IF(Wages!$G1602="",0,Wages!$G1602))</f>
        <v/>
      </c>
      <c r="M1599">
        <f>IF($A1599="","",Wages!$J1602)</f>
        <v/>
      </c>
      <c r="N1599">
        <f>IF($A1599="","",Wages!$D1602)</f>
        <v/>
      </c>
      <c r="P1599">
        <f>IF(OR(Shares!$B1602="",Shares!$C1602=""),"",Shares!$C1602)</f>
        <v/>
      </c>
      <c r="Q1599">
        <f>IF($P1599="","",Shares!$B1602)</f>
        <v/>
      </c>
      <c r="R1599">
        <f>IF($P1599="","",IFERROR(INDEX(WageParty,MATCH($Q1599,WageIds,0)),""))</f>
        <v/>
      </c>
      <c r="S1599">
        <f>IF($P1599="","",IFERROR(INDEX($F$6:$F$2005,MATCH($Q1599,WageIds,0)),""))</f>
        <v/>
      </c>
      <c r="T1599">
        <f>IF(OR($P1599="",$S1599="",$S1599="نامعتبر"),"",LEFT($S1599,4)&amp;MID($S1599,6,2)&amp;RIGHT($S1599,2)&amp;"0000"&amp;"|"&amp;"2"&amp;RIGHT("00000"&amp;1594,5))</f>
        <v/>
      </c>
      <c r="U1599">
        <f>IF($T1599="","",COUNTIFS(LdAParty,$P1599,LdAType,1,LdAKey,"&lt;"&amp;$T1599)+COUNTIFS(LdBMember,$P1599,LdBKey,"&lt;"&amp;$T1599)+COUNTIFS(LdCParty,$P1599,LdCKey,"&lt;"&amp;$T1599)+1)</f>
        <v/>
      </c>
      <c r="V1599">
        <f>IF($U1599="","",$P1599&amp;"|"&amp;RIGHT("000000"&amp;$U1599,6))</f>
        <v/>
      </c>
      <c r="W1599">
        <f>IF($T1599="","",COUNTIFS(LdBGroup,$R1599,LdBKey,"&lt;"&amp;$T1599)+1)</f>
        <v/>
      </c>
      <c r="X1599">
        <f>IF($W1599="","",$R1599&amp;"|"&amp;RIGHT("000000"&amp;$W1599,6))</f>
        <v/>
      </c>
      <c r="Y1599">
        <f>IF($P1599="","",IF(Shares!$E1602="",0,Shares!$E1602))</f>
        <v/>
      </c>
      <c r="Z1599">
        <f>IF($P1599="","",Shares!$H1602)</f>
        <v/>
      </c>
      <c r="AE1599">
        <f>IF(OR(Sync!$S1599="",Sync!$P1599=""),"",Sync!$S1599)</f>
        <v/>
      </c>
      <c r="AF1599">
        <f>IF($AE1599="","",IF(ISNUMBER(Sync!$P1599),IF(AND(Sync!$P1599&gt;=10000101,Sync!$P1599&lt;=99991231),INT(Sync!$P1599/10000),""),IFERROR(VALUE(TRIM(LEFT(Sync!$P1599,FIND("/",Sync!$P1599)-1))),"")))</f>
        <v/>
      </c>
      <c r="AG1599">
        <f>IF(OR($AE1599="",$AF1599=""),"",IF(ISNUMBER(Sync!$P1599),INT(MOD(Sync!$P1599,10000)/100),IFERROR(VALUE(TRIM(LEFT(MID(Sync!$P1599,FIND("/",Sync!$P1599)+1,20),FIND("/",MID(Sync!$P1599,FIND("/",Sync!$P1599)+1,20))-1))),"")))</f>
        <v/>
      </c>
      <c r="AH1599">
        <f>IF(OR($AE1599="",$AF1599=""),"",IF(ISNUMBER(Sync!$P1599),MOD(Sync!$P1599,100),IFERROR(VALUE(TRIM(MID(MID(Sync!$P1599,FIND("/",Sync!$P1599)+1,20),FIND("/",MID(Sync!$P1599,FIND("/",Sync!$P1599)+1,20))+1,20))),"")))</f>
        <v/>
      </c>
      <c r="AI1599">
        <f>IF($AE1599="","",IF(OR($AF1599="",$AG1599="",$AH1599="",$AF1599&lt;1300,$AF1599&gt;1500,$AG1599&lt;1,$AG1599&gt;12,$AH1599&lt;1,$AH1599&gt;31),"نامعتبر",RIGHT("0000"&amp;$AF1599,4)&amp;"/"&amp;RIGHT("00"&amp;$AG1599,2)&amp;"/"&amp;RIGHT("00"&amp;$AH1599,2)))</f>
        <v/>
      </c>
      <c r="AJ1599">
        <f>IF($AE1599="","",IF(Sync!$Q1599="","0000",IF(AND(ISNUMBER(Sync!$Q1599),Sync!$Q1599&gt;=0,Sync!$Q1599&lt;1),RIGHT("00"&amp;HOUR(Sync!$Q1599),2)&amp;RIGHT("00"&amp;MINUTE(Sync!$Q1599),2),IFERROR(RIGHT("00"&amp;VALUE(LEFT(Sync!$Q1599,FIND(":",Sync!$Q1599)-1)),2)&amp;RIGHT("00"&amp;VALUE(MID(Sync!$Q1599,FIND(":",Sync!$Q1599)+1,2)),2),"0000"))))</f>
        <v/>
      </c>
      <c r="AK1599">
        <f>IF(OR($AE1599="",$AI1599="",$AI1599="نامعتبر"),"",LEFT($AI1599,4)&amp;MID($AI1599,6,2)&amp;RIGHT($AI1599,2)&amp;$AJ1599&amp;"|"&amp;"3"&amp;RIGHT("00000"&amp;1594,5))</f>
        <v/>
      </c>
      <c r="AL1599">
        <f>IF($AK1599="","",COUNTIFS(LdAParty,$AE1599,LdAType,1,LdAKey,"&lt;"&amp;$AK1599)+COUNTIFS(LdBMember,$AE1599,LdBKey,"&lt;"&amp;$AK1599)+COUNTIFS(LdCParty,$AE1599,LdCKey,"&lt;"&amp;$AK1599)+1)</f>
        <v/>
      </c>
      <c r="AM1599">
        <f>IF($AL1599="","",$AE1599&amp;"|"&amp;RIGHT("000000"&amp;$AL1599,6))</f>
        <v/>
      </c>
      <c r="AN1599">
        <f>IF($AE1599="","",IF(Sync!$W1599="",0,Sync!$W1599))</f>
        <v/>
      </c>
      <c r="AO1599">
        <f>IF($AE1599="","",IF(Sync!$X1599="",0,Sync!$X1599))</f>
        <v/>
      </c>
      <c r="AP1599">
        <f>IF($AE1599="","",Sync!$R1599)</f>
        <v/>
      </c>
      <c r="AQ1599">
        <f>IF($AE1599="","",Sync!$Y1599)</f>
        <v/>
      </c>
    </row>
    <row r="1600">
      <c r="A1600">
        <f>IF(OR(Wages!$B1603="",Wages!$E1603=""),"",Wages!$E1603)</f>
        <v/>
      </c>
      <c r="B1600">
        <f>IF($A1600="","",IF(Wages!$C1603="دستمزد گروهی",2,1))</f>
        <v/>
      </c>
      <c r="C1600">
        <f>IF($A1600="","",IF(ISNUMBER(Wages!$B1603),IF(AND(Wages!$B1603&gt;=10000101,Wages!$B1603&lt;=99991231),INT(Wages!$B1603/10000),""),IFERROR(VALUE(TRIM(LEFT(Wages!$B1603,FIND("/",Wages!$B1603)-1))),"")))</f>
        <v/>
      </c>
      <c r="D1600">
        <f>IF(OR($A1600="",$C1600=""),"",IF(ISNUMBER(Wages!$B1603),INT(MOD(Wages!$B1603,10000)/100),IFERROR(VALUE(TRIM(LEFT(MID(Wages!$B1603,FIND("/",Wages!$B1603)+1,20),FIND("/",MID(Wages!$B1603,FIND("/",Wages!$B1603)+1,20))-1))),"")))</f>
        <v/>
      </c>
      <c r="E1600">
        <f>IF(OR($A1600="",$C1600=""),"",IF(ISNUMBER(Wages!$B1603),MOD(Wages!$B1603,100),IFERROR(VALUE(TRIM(MID(MID(Wages!$B1603,FIND("/",Wages!$B1603)+1,20),FIND("/",MID(Wages!$B1603,FIND("/",Wages!$B1603)+1,20))+1,20))),"")))</f>
        <v/>
      </c>
      <c r="F1600">
        <f>IF($A1600="","",IF(OR($C1600="",$D1600="",$E1600="",$C1600&lt;1300,$C1600&gt;1500,$D1600&lt;1,$D1600&gt;12,$E1600&lt;1,$E1600&gt;31),"نامعتبر",RIGHT("0000"&amp;$C1600,4)&amp;"/"&amp;RIGHT("00"&amp;$D1600,2)&amp;"/"&amp;RIGHT("00"&amp;$E1600,2)))</f>
        <v/>
      </c>
      <c r="G1600">
        <f>IF(OR($A1600="",$F1600="",$F1600="نامعتبر"),"",LEFT($F1600,4)&amp;MID($F1600,6,2)&amp;RIGHT($F1600,2)&amp;"0000"&amp;"|"&amp;"1"&amp;RIGHT("00000"&amp;1595,5))</f>
        <v/>
      </c>
      <c r="H1600">
        <f>IF(OR($B1600&lt;&gt;1,$G1600=""),"",COUNTIFS(LdAParty,$A1600,LdAType,1,LdAKey,"&lt;"&amp;$G1600)+COUNTIFS(LdBMember,$A1600,LdBKey,"&lt;"&amp;$G1600)+COUNTIFS(LdCParty,$A1600,LdCKey,"&lt;"&amp;$G1600)+1)</f>
        <v/>
      </c>
      <c r="I1600">
        <f>IF($H1600="","",$A1600&amp;"|"&amp;RIGHT("000000"&amp;$H1600,6))</f>
        <v/>
      </c>
      <c r="J1600">
        <f>IF(OR($B1600&lt;&gt;2,$G1600=""),"",COUNTIFS(LdAParty,$A1600,LdAType,2,LdAKey,"&lt;"&amp;$G1600)+1)</f>
        <v/>
      </c>
      <c r="K1600">
        <f>IF($J1600="","",$A1600&amp;"|"&amp;RIGHT("000000"&amp;$J1600,6))</f>
        <v/>
      </c>
      <c r="L1600">
        <f>IF($A1600="","",IF(Wages!$G1603="",0,Wages!$G1603))</f>
        <v/>
      </c>
      <c r="M1600">
        <f>IF($A1600="","",Wages!$J1603)</f>
        <v/>
      </c>
      <c r="N1600">
        <f>IF($A1600="","",Wages!$D1603)</f>
        <v/>
      </c>
      <c r="P1600">
        <f>IF(OR(Shares!$B1603="",Shares!$C1603=""),"",Shares!$C1603)</f>
        <v/>
      </c>
      <c r="Q1600">
        <f>IF($P1600="","",Shares!$B1603)</f>
        <v/>
      </c>
      <c r="R1600">
        <f>IF($P1600="","",IFERROR(INDEX(WageParty,MATCH($Q1600,WageIds,0)),""))</f>
        <v/>
      </c>
      <c r="S1600">
        <f>IF($P1600="","",IFERROR(INDEX($F$6:$F$2005,MATCH($Q1600,WageIds,0)),""))</f>
        <v/>
      </c>
      <c r="T1600">
        <f>IF(OR($P1600="",$S1600="",$S1600="نامعتبر"),"",LEFT($S1600,4)&amp;MID($S1600,6,2)&amp;RIGHT($S1600,2)&amp;"0000"&amp;"|"&amp;"2"&amp;RIGHT("00000"&amp;1595,5))</f>
        <v/>
      </c>
      <c r="U1600">
        <f>IF($T1600="","",COUNTIFS(LdAParty,$P1600,LdAType,1,LdAKey,"&lt;"&amp;$T1600)+COUNTIFS(LdBMember,$P1600,LdBKey,"&lt;"&amp;$T1600)+COUNTIFS(LdCParty,$P1600,LdCKey,"&lt;"&amp;$T1600)+1)</f>
        <v/>
      </c>
      <c r="V1600">
        <f>IF($U1600="","",$P1600&amp;"|"&amp;RIGHT("000000"&amp;$U1600,6))</f>
        <v/>
      </c>
      <c r="W1600">
        <f>IF($T1600="","",COUNTIFS(LdBGroup,$R1600,LdBKey,"&lt;"&amp;$T1600)+1)</f>
        <v/>
      </c>
      <c r="X1600">
        <f>IF($W1600="","",$R1600&amp;"|"&amp;RIGHT("000000"&amp;$W1600,6))</f>
        <v/>
      </c>
      <c r="Y1600">
        <f>IF($P1600="","",IF(Shares!$E1603="",0,Shares!$E1603))</f>
        <v/>
      </c>
      <c r="Z1600">
        <f>IF($P1600="","",Shares!$H1603)</f>
        <v/>
      </c>
      <c r="AE1600">
        <f>IF(OR(Sync!$S1600="",Sync!$P1600=""),"",Sync!$S1600)</f>
        <v/>
      </c>
      <c r="AF1600">
        <f>IF($AE1600="","",IF(ISNUMBER(Sync!$P1600),IF(AND(Sync!$P1600&gt;=10000101,Sync!$P1600&lt;=99991231),INT(Sync!$P1600/10000),""),IFERROR(VALUE(TRIM(LEFT(Sync!$P1600,FIND("/",Sync!$P1600)-1))),"")))</f>
        <v/>
      </c>
      <c r="AG1600">
        <f>IF(OR($AE1600="",$AF1600=""),"",IF(ISNUMBER(Sync!$P1600),INT(MOD(Sync!$P1600,10000)/100),IFERROR(VALUE(TRIM(LEFT(MID(Sync!$P1600,FIND("/",Sync!$P1600)+1,20),FIND("/",MID(Sync!$P1600,FIND("/",Sync!$P1600)+1,20))-1))),"")))</f>
        <v/>
      </c>
      <c r="AH1600">
        <f>IF(OR($AE1600="",$AF1600=""),"",IF(ISNUMBER(Sync!$P1600),MOD(Sync!$P1600,100),IFERROR(VALUE(TRIM(MID(MID(Sync!$P1600,FIND("/",Sync!$P1600)+1,20),FIND("/",MID(Sync!$P1600,FIND("/",Sync!$P1600)+1,20))+1,20))),"")))</f>
        <v/>
      </c>
      <c r="AI1600">
        <f>IF($AE1600="","",IF(OR($AF1600="",$AG1600="",$AH1600="",$AF1600&lt;1300,$AF1600&gt;1500,$AG1600&lt;1,$AG1600&gt;12,$AH1600&lt;1,$AH1600&gt;31),"نامعتبر",RIGHT("0000"&amp;$AF1600,4)&amp;"/"&amp;RIGHT("00"&amp;$AG1600,2)&amp;"/"&amp;RIGHT("00"&amp;$AH1600,2)))</f>
        <v/>
      </c>
      <c r="AJ1600">
        <f>IF($AE1600="","",IF(Sync!$Q1600="","0000",IF(AND(ISNUMBER(Sync!$Q1600),Sync!$Q1600&gt;=0,Sync!$Q1600&lt;1),RIGHT("00"&amp;HOUR(Sync!$Q1600),2)&amp;RIGHT("00"&amp;MINUTE(Sync!$Q1600),2),IFERROR(RIGHT("00"&amp;VALUE(LEFT(Sync!$Q1600,FIND(":",Sync!$Q1600)-1)),2)&amp;RIGHT("00"&amp;VALUE(MID(Sync!$Q1600,FIND(":",Sync!$Q1600)+1,2)),2),"0000"))))</f>
        <v/>
      </c>
      <c r="AK1600">
        <f>IF(OR($AE1600="",$AI1600="",$AI1600="نامعتبر"),"",LEFT($AI1600,4)&amp;MID($AI1600,6,2)&amp;RIGHT($AI1600,2)&amp;$AJ1600&amp;"|"&amp;"3"&amp;RIGHT("00000"&amp;1595,5))</f>
        <v/>
      </c>
      <c r="AL1600">
        <f>IF($AK1600="","",COUNTIFS(LdAParty,$AE1600,LdAType,1,LdAKey,"&lt;"&amp;$AK1600)+COUNTIFS(LdBMember,$AE1600,LdBKey,"&lt;"&amp;$AK1600)+COUNTIFS(LdCParty,$AE1600,LdCKey,"&lt;"&amp;$AK1600)+1)</f>
        <v/>
      </c>
      <c r="AM1600">
        <f>IF($AL1600="","",$AE1600&amp;"|"&amp;RIGHT("000000"&amp;$AL1600,6))</f>
        <v/>
      </c>
      <c r="AN1600">
        <f>IF($AE1600="","",IF(Sync!$W1600="",0,Sync!$W1600))</f>
        <v/>
      </c>
      <c r="AO1600">
        <f>IF($AE1600="","",IF(Sync!$X1600="",0,Sync!$X1600))</f>
        <v/>
      </c>
      <c r="AP1600">
        <f>IF($AE1600="","",Sync!$R1600)</f>
        <v/>
      </c>
      <c r="AQ1600">
        <f>IF($AE1600="","",Sync!$Y1600)</f>
        <v/>
      </c>
    </row>
    <row r="1601">
      <c r="A1601">
        <f>IF(OR(Wages!$B1604="",Wages!$E1604=""),"",Wages!$E1604)</f>
        <v/>
      </c>
      <c r="B1601">
        <f>IF($A1601="","",IF(Wages!$C1604="دستمزد گروهی",2,1))</f>
        <v/>
      </c>
      <c r="C1601">
        <f>IF($A1601="","",IF(ISNUMBER(Wages!$B1604),IF(AND(Wages!$B1604&gt;=10000101,Wages!$B1604&lt;=99991231),INT(Wages!$B1604/10000),""),IFERROR(VALUE(TRIM(LEFT(Wages!$B1604,FIND("/",Wages!$B1604)-1))),"")))</f>
        <v/>
      </c>
      <c r="D1601">
        <f>IF(OR($A1601="",$C1601=""),"",IF(ISNUMBER(Wages!$B1604),INT(MOD(Wages!$B1604,10000)/100),IFERROR(VALUE(TRIM(LEFT(MID(Wages!$B1604,FIND("/",Wages!$B1604)+1,20),FIND("/",MID(Wages!$B1604,FIND("/",Wages!$B1604)+1,20))-1))),"")))</f>
        <v/>
      </c>
      <c r="E1601">
        <f>IF(OR($A1601="",$C1601=""),"",IF(ISNUMBER(Wages!$B1604),MOD(Wages!$B1604,100),IFERROR(VALUE(TRIM(MID(MID(Wages!$B1604,FIND("/",Wages!$B1604)+1,20),FIND("/",MID(Wages!$B1604,FIND("/",Wages!$B1604)+1,20))+1,20))),"")))</f>
        <v/>
      </c>
      <c r="F1601">
        <f>IF($A1601="","",IF(OR($C1601="",$D1601="",$E1601="",$C1601&lt;1300,$C1601&gt;1500,$D1601&lt;1,$D1601&gt;12,$E1601&lt;1,$E1601&gt;31),"نامعتبر",RIGHT("0000"&amp;$C1601,4)&amp;"/"&amp;RIGHT("00"&amp;$D1601,2)&amp;"/"&amp;RIGHT("00"&amp;$E1601,2)))</f>
        <v/>
      </c>
      <c r="G1601">
        <f>IF(OR($A1601="",$F1601="",$F1601="نامعتبر"),"",LEFT($F1601,4)&amp;MID($F1601,6,2)&amp;RIGHT($F1601,2)&amp;"0000"&amp;"|"&amp;"1"&amp;RIGHT("00000"&amp;1596,5))</f>
        <v/>
      </c>
      <c r="H1601">
        <f>IF(OR($B1601&lt;&gt;1,$G1601=""),"",COUNTIFS(LdAParty,$A1601,LdAType,1,LdAKey,"&lt;"&amp;$G1601)+COUNTIFS(LdBMember,$A1601,LdBKey,"&lt;"&amp;$G1601)+COUNTIFS(LdCParty,$A1601,LdCKey,"&lt;"&amp;$G1601)+1)</f>
        <v/>
      </c>
      <c r="I1601">
        <f>IF($H1601="","",$A1601&amp;"|"&amp;RIGHT("000000"&amp;$H1601,6))</f>
        <v/>
      </c>
      <c r="J1601">
        <f>IF(OR($B1601&lt;&gt;2,$G1601=""),"",COUNTIFS(LdAParty,$A1601,LdAType,2,LdAKey,"&lt;"&amp;$G1601)+1)</f>
        <v/>
      </c>
      <c r="K1601">
        <f>IF($J1601="","",$A1601&amp;"|"&amp;RIGHT("000000"&amp;$J1601,6))</f>
        <v/>
      </c>
      <c r="L1601">
        <f>IF($A1601="","",IF(Wages!$G1604="",0,Wages!$G1604))</f>
        <v/>
      </c>
      <c r="M1601">
        <f>IF($A1601="","",Wages!$J1604)</f>
        <v/>
      </c>
      <c r="N1601">
        <f>IF($A1601="","",Wages!$D1604)</f>
        <v/>
      </c>
      <c r="P1601">
        <f>IF(OR(Shares!$B1604="",Shares!$C1604=""),"",Shares!$C1604)</f>
        <v/>
      </c>
      <c r="Q1601">
        <f>IF($P1601="","",Shares!$B1604)</f>
        <v/>
      </c>
      <c r="R1601">
        <f>IF($P1601="","",IFERROR(INDEX(WageParty,MATCH($Q1601,WageIds,0)),""))</f>
        <v/>
      </c>
      <c r="S1601">
        <f>IF($P1601="","",IFERROR(INDEX($F$6:$F$2005,MATCH($Q1601,WageIds,0)),""))</f>
        <v/>
      </c>
      <c r="T1601">
        <f>IF(OR($P1601="",$S1601="",$S1601="نامعتبر"),"",LEFT($S1601,4)&amp;MID($S1601,6,2)&amp;RIGHT($S1601,2)&amp;"0000"&amp;"|"&amp;"2"&amp;RIGHT("00000"&amp;1596,5))</f>
        <v/>
      </c>
      <c r="U1601">
        <f>IF($T1601="","",COUNTIFS(LdAParty,$P1601,LdAType,1,LdAKey,"&lt;"&amp;$T1601)+COUNTIFS(LdBMember,$P1601,LdBKey,"&lt;"&amp;$T1601)+COUNTIFS(LdCParty,$P1601,LdCKey,"&lt;"&amp;$T1601)+1)</f>
        <v/>
      </c>
      <c r="V1601">
        <f>IF($U1601="","",$P1601&amp;"|"&amp;RIGHT("000000"&amp;$U1601,6))</f>
        <v/>
      </c>
      <c r="W1601">
        <f>IF($T1601="","",COUNTIFS(LdBGroup,$R1601,LdBKey,"&lt;"&amp;$T1601)+1)</f>
        <v/>
      </c>
      <c r="X1601">
        <f>IF($W1601="","",$R1601&amp;"|"&amp;RIGHT("000000"&amp;$W1601,6))</f>
        <v/>
      </c>
      <c r="Y1601">
        <f>IF($P1601="","",IF(Shares!$E1604="",0,Shares!$E1604))</f>
        <v/>
      </c>
      <c r="Z1601">
        <f>IF($P1601="","",Shares!$H1604)</f>
        <v/>
      </c>
      <c r="AE1601">
        <f>IF(OR(Sync!$S1601="",Sync!$P1601=""),"",Sync!$S1601)</f>
        <v/>
      </c>
      <c r="AF1601">
        <f>IF($AE1601="","",IF(ISNUMBER(Sync!$P1601),IF(AND(Sync!$P1601&gt;=10000101,Sync!$P1601&lt;=99991231),INT(Sync!$P1601/10000),""),IFERROR(VALUE(TRIM(LEFT(Sync!$P1601,FIND("/",Sync!$P1601)-1))),"")))</f>
        <v/>
      </c>
      <c r="AG1601">
        <f>IF(OR($AE1601="",$AF1601=""),"",IF(ISNUMBER(Sync!$P1601),INT(MOD(Sync!$P1601,10000)/100),IFERROR(VALUE(TRIM(LEFT(MID(Sync!$P1601,FIND("/",Sync!$P1601)+1,20),FIND("/",MID(Sync!$P1601,FIND("/",Sync!$P1601)+1,20))-1))),"")))</f>
        <v/>
      </c>
      <c r="AH1601">
        <f>IF(OR($AE1601="",$AF1601=""),"",IF(ISNUMBER(Sync!$P1601),MOD(Sync!$P1601,100),IFERROR(VALUE(TRIM(MID(MID(Sync!$P1601,FIND("/",Sync!$P1601)+1,20),FIND("/",MID(Sync!$P1601,FIND("/",Sync!$P1601)+1,20))+1,20))),"")))</f>
        <v/>
      </c>
      <c r="AI1601">
        <f>IF($AE1601="","",IF(OR($AF1601="",$AG1601="",$AH1601="",$AF1601&lt;1300,$AF1601&gt;1500,$AG1601&lt;1,$AG1601&gt;12,$AH1601&lt;1,$AH1601&gt;31),"نامعتبر",RIGHT("0000"&amp;$AF1601,4)&amp;"/"&amp;RIGHT("00"&amp;$AG1601,2)&amp;"/"&amp;RIGHT("00"&amp;$AH1601,2)))</f>
        <v/>
      </c>
      <c r="AJ1601">
        <f>IF($AE1601="","",IF(Sync!$Q1601="","0000",IF(AND(ISNUMBER(Sync!$Q1601),Sync!$Q1601&gt;=0,Sync!$Q1601&lt;1),RIGHT("00"&amp;HOUR(Sync!$Q1601),2)&amp;RIGHT("00"&amp;MINUTE(Sync!$Q1601),2),IFERROR(RIGHT("00"&amp;VALUE(LEFT(Sync!$Q1601,FIND(":",Sync!$Q1601)-1)),2)&amp;RIGHT("00"&amp;VALUE(MID(Sync!$Q1601,FIND(":",Sync!$Q1601)+1,2)),2),"0000"))))</f>
        <v/>
      </c>
      <c r="AK1601">
        <f>IF(OR($AE1601="",$AI1601="",$AI1601="نامعتبر"),"",LEFT($AI1601,4)&amp;MID($AI1601,6,2)&amp;RIGHT($AI1601,2)&amp;$AJ1601&amp;"|"&amp;"3"&amp;RIGHT("00000"&amp;1596,5))</f>
        <v/>
      </c>
      <c r="AL1601">
        <f>IF($AK1601="","",COUNTIFS(LdAParty,$AE1601,LdAType,1,LdAKey,"&lt;"&amp;$AK1601)+COUNTIFS(LdBMember,$AE1601,LdBKey,"&lt;"&amp;$AK1601)+COUNTIFS(LdCParty,$AE1601,LdCKey,"&lt;"&amp;$AK1601)+1)</f>
        <v/>
      </c>
      <c r="AM1601">
        <f>IF($AL1601="","",$AE1601&amp;"|"&amp;RIGHT("000000"&amp;$AL1601,6))</f>
        <v/>
      </c>
      <c r="AN1601">
        <f>IF($AE1601="","",IF(Sync!$W1601="",0,Sync!$W1601))</f>
        <v/>
      </c>
      <c r="AO1601">
        <f>IF($AE1601="","",IF(Sync!$X1601="",0,Sync!$X1601))</f>
        <v/>
      </c>
      <c r="AP1601">
        <f>IF($AE1601="","",Sync!$R1601)</f>
        <v/>
      </c>
      <c r="AQ1601">
        <f>IF($AE1601="","",Sync!$Y1601)</f>
        <v/>
      </c>
    </row>
    <row r="1602">
      <c r="A1602">
        <f>IF(OR(Wages!$B1605="",Wages!$E1605=""),"",Wages!$E1605)</f>
        <v/>
      </c>
      <c r="B1602">
        <f>IF($A1602="","",IF(Wages!$C1605="دستمزد گروهی",2,1))</f>
        <v/>
      </c>
      <c r="C1602">
        <f>IF($A1602="","",IF(ISNUMBER(Wages!$B1605),IF(AND(Wages!$B1605&gt;=10000101,Wages!$B1605&lt;=99991231),INT(Wages!$B1605/10000),""),IFERROR(VALUE(TRIM(LEFT(Wages!$B1605,FIND("/",Wages!$B1605)-1))),"")))</f>
        <v/>
      </c>
      <c r="D1602">
        <f>IF(OR($A1602="",$C1602=""),"",IF(ISNUMBER(Wages!$B1605),INT(MOD(Wages!$B1605,10000)/100),IFERROR(VALUE(TRIM(LEFT(MID(Wages!$B1605,FIND("/",Wages!$B1605)+1,20),FIND("/",MID(Wages!$B1605,FIND("/",Wages!$B1605)+1,20))-1))),"")))</f>
        <v/>
      </c>
      <c r="E1602">
        <f>IF(OR($A1602="",$C1602=""),"",IF(ISNUMBER(Wages!$B1605),MOD(Wages!$B1605,100),IFERROR(VALUE(TRIM(MID(MID(Wages!$B1605,FIND("/",Wages!$B1605)+1,20),FIND("/",MID(Wages!$B1605,FIND("/",Wages!$B1605)+1,20))+1,20))),"")))</f>
        <v/>
      </c>
      <c r="F1602">
        <f>IF($A1602="","",IF(OR($C1602="",$D1602="",$E1602="",$C1602&lt;1300,$C1602&gt;1500,$D1602&lt;1,$D1602&gt;12,$E1602&lt;1,$E1602&gt;31),"نامعتبر",RIGHT("0000"&amp;$C1602,4)&amp;"/"&amp;RIGHT("00"&amp;$D1602,2)&amp;"/"&amp;RIGHT("00"&amp;$E1602,2)))</f>
        <v/>
      </c>
      <c r="G1602">
        <f>IF(OR($A1602="",$F1602="",$F1602="نامعتبر"),"",LEFT($F1602,4)&amp;MID($F1602,6,2)&amp;RIGHT($F1602,2)&amp;"0000"&amp;"|"&amp;"1"&amp;RIGHT("00000"&amp;1597,5))</f>
        <v/>
      </c>
      <c r="H1602">
        <f>IF(OR($B1602&lt;&gt;1,$G1602=""),"",COUNTIFS(LdAParty,$A1602,LdAType,1,LdAKey,"&lt;"&amp;$G1602)+COUNTIFS(LdBMember,$A1602,LdBKey,"&lt;"&amp;$G1602)+COUNTIFS(LdCParty,$A1602,LdCKey,"&lt;"&amp;$G1602)+1)</f>
        <v/>
      </c>
      <c r="I1602">
        <f>IF($H1602="","",$A1602&amp;"|"&amp;RIGHT("000000"&amp;$H1602,6))</f>
        <v/>
      </c>
      <c r="J1602">
        <f>IF(OR($B1602&lt;&gt;2,$G1602=""),"",COUNTIFS(LdAParty,$A1602,LdAType,2,LdAKey,"&lt;"&amp;$G1602)+1)</f>
        <v/>
      </c>
      <c r="K1602">
        <f>IF($J1602="","",$A1602&amp;"|"&amp;RIGHT("000000"&amp;$J1602,6))</f>
        <v/>
      </c>
      <c r="L1602">
        <f>IF($A1602="","",IF(Wages!$G1605="",0,Wages!$G1605))</f>
        <v/>
      </c>
      <c r="M1602">
        <f>IF($A1602="","",Wages!$J1605)</f>
        <v/>
      </c>
      <c r="N1602">
        <f>IF($A1602="","",Wages!$D1605)</f>
        <v/>
      </c>
      <c r="P1602">
        <f>IF(OR(Shares!$B1605="",Shares!$C1605=""),"",Shares!$C1605)</f>
        <v/>
      </c>
      <c r="Q1602">
        <f>IF($P1602="","",Shares!$B1605)</f>
        <v/>
      </c>
      <c r="R1602">
        <f>IF($P1602="","",IFERROR(INDEX(WageParty,MATCH($Q1602,WageIds,0)),""))</f>
        <v/>
      </c>
      <c r="S1602">
        <f>IF($P1602="","",IFERROR(INDEX($F$6:$F$2005,MATCH($Q1602,WageIds,0)),""))</f>
        <v/>
      </c>
      <c r="T1602">
        <f>IF(OR($P1602="",$S1602="",$S1602="نامعتبر"),"",LEFT($S1602,4)&amp;MID($S1602,6,2)&amp;RIGHT($S1602,2)&amp;"0000"&amp;"|"&amp;"2"&amp;RIGHT("00000"&amp;1597,5))</f>
        <v/>
      </c>
      <c r="U1602">
        <f>IF($T1602="","",COUNTIFS(LdAParty,$P1602,LdAType,1,LdAKey,"&lt;"&amp;$T1602)+COUNTIFS(LdBMember,$P1602,LdBKey,"&lt;"&amp;$T1602)+COUNTIFS(LdCParty,$P1602,LdCKey,"&lt;"&amp;$T1602)+1)</f>
        <v/>
      </c>
      <c r="V1602">
        <f>IF($U1602="","",$P1602&amp;"|"&amp;RIGHT("000000"&amp;$U1602,6))</f>
        <v/>
      </c>
      <c r="W1602">
        <f>IF($T1602="","",COUNTIFS(LdBGroup,$R1602,LdBKey,"&lt;"&amp;$T1602)+1)</f>
        <v/>
      </c>
      <c r="X1602">
        <f>IF($W1602="","",$R1602&amp;"|"&amp;RIGHT("000000"&amp;$W1602,6))</f>
        <v/>
      </c>
      <c r="Y1602">
        <f>IF($P1602="","",IF(Shares!$E1605="",0,Shares!$E1605))</f>
        <v/>
      </c>
      <c r="Z1602">
        <f>IF($P1602="","",Shares!$H1605)</f>
        <v/>
      </c>
      <c r="AE1602">
        <f>IF(OR(Sync!$S1602="",Sync!$P1602=""),"",Sync!$S1602)</f>
        <v/>
      </c>
      <c r="AF1602">
        <f>IF($AE1602="","",IF(ISNUMBER(Sync!$P1602),IF(AND(Sync!$P1602&gt;=10000101,Sync!$P1602&lt;=99991231),INT(Sync!$P1602/10000),""),IFERROR(VALUE(TRIM(LEFT(Sync!$P1602,FIND("/",Sync!$P1602)-1))),"")))</f>
        <v/>
      </c>
      <c r="AG1602">
        <f>IF(OR($AE1602="",$AF1602=""),"",IF(ISNUMBER(Sync!$P1602),INT(MOD(Sync!$P1602,10000)/100),IFERROR(VALUE(TRIM(LEFT(MID(Sync!$P1602,FIND("/",Sync!$P1602)+1,20),FIND("/",MID(Sync!$P1602,FIND("/",Sync!$P1602)+1,20))-1))),"")))</f>
        <v/>
      </c>
      <c r="AH1602">
        <f>IF(OR($AE1602="",$AF1602=""),"",IF(ISNUMBER(Sync!$P1602),MOD(Sync!$P1602,100),IFERROR(VALUE(TRIM(MID(MID(Sync!$P1602,FIND("/",Sync!$P1602)+1,20),FIND("/",MID(Sync!$P1602,FIND("/",Sync!$P1602)+1,20))+1,20))),"")))</f>
        <v/>
      </c>
      <c r="AI1602">
        <f>IF($AE1602="","",IF(OR($AF1602="",$AG1602="",$AH1602="",$AF1602&lt;1300,$AF1602&gt;1500,$AG1602&lt;1,$AG1602&gt;12,$AH1602&lt;1,$AH1602&gt;31),"نامعتبر",RIGHT("0000"&amp;$AF1602,4)&amp;"/"&amp;RIGHT("00"&amp;$AG1602,2)&amp;"/"&amp;RIGHT("00"&amp;$AH1602,2)))</f>
        <v/>
      </c>
      <c r="AJ1602">
        <f>IF($AE1602="","",IF(Sync!$Q1602="","0000",IF(AND(ISNUMBER(Sync!$Q1602),Sync!$Q1602&gt;=0,Sync!$Q1602&lt;1),RIGHT("00"&amp;HOUR(Sync!$Q1602),2)&amp;RIGHT("00"&amp;MINUTE(Sync!$Q1602),2),IFERROR(RIGHT("00"&amp;VALUE(LEFT(Sync!$Q1602,FIND(":",Sync!$Q1602)-1)),2)&amp;RIGHT("00"&amp;VALUE(MID(Sync!$Q1602,FIND(":",Sync!$Q1602)+1,2)),2),"0000"))))</f>
        <v/>
      </c>
      <c r="AK1602">
        <f>IF(OR($AE1602="",$AI1602="",$AI1602="نامعتبر"),"",LEFT($AI1602,4)&amp;MID($AI1602,6,2)&amp;RIGHT($AI1602,2)&amp;$AJ1602&amp;"|"&amp;"3"&amp;RIGHT("00000"&amp;1597,5))</f>
        <v/>
      </c>
      <c r="AL1602">
        <f>IF($AK1602="","",COUNTIFS(LdAParty,$AE1602,LdAType,1,LdAKey,"&lt;"&amp;$AK1602)+COUNTIFS(LdBMember,$AE1602,LdBKey,"&lt;"&amp;$AK1602)+COUNTIFS(LdCParty,$AE1602,LdCKey,"&lt;"&amp;$AK1602)+1)</f>
        <v/>
      </c>
      <c r="AM1602">
        <f>IF($AL1602="","",$AE1602&amp;"|"&amp;RIGHT("000000"&amp;$AL1602,6))</f>
        <v/>
      </c>
      <c r="AN1602">
        <f>IF($AE1602="","",IF(Sync!$W1602="",0,Sync!$W1602))</f>
        <v/>
      </c>
      <c r="AO1602">
        <f>IF($AE1602="","",IF(Sync!$X1602="",0,Sync!$X1602))</f>
        <v/>
      </c>
      <c r="AP1602">
        <f>IF($AE1602="","",Sync!$R1602)</f>
        <v/>
      </c>
      <c r="AQ1602">
        <f>IF($AE1602="","",Sync!$Y1602)</f>
        <v/>
      </c>
    </row>
    <row r="1603">
      <c r="A1603">
        <f>IF(OR(Wages!$B1606="",Wages!$E1606=""),"",Wages!$E1606)</f>
        <v/>
      </c>
      <c r="B1603">
        <f>IF($A1603="","",IF(Wages!$C1606="دستمزد گروهی",2,1))</f>
        <v/>
      </c>
      <c r="C1603">
        <f>IF($A1603="","",IF(ISNUMBER(Wages!$B1606),IF(AND(Wages!$B1606&gt;=10000101,Wages!$B1606&lt;=99991231),INT(Wages!$B1606/10000),""),IFERROR(VALUE(TRIM(LEFT(Wages!$B1606,FIND("/",Wages!$B1606)-1))),"")))</f>
        <v/>
      </c>
      <c r="D1603">
        <f>IF(OR($A1603="",$C1603=""),"",IF(ISNUMBER(Wages!$B1606),INT(MOD(Wages!$B1606,10000)/100),IFERROR(VALUE(TRIM(LEFT(MID(Wages!$B1606,FIND("/",Wages!$B1606)+1,20),FIND("/",MID(Wages!$B1606,FIND("/",Wages!$B1606)+1,20))-1))),"")))</f>
        <v/>
      </c>
      <c r="E1603">
        <f>IF(OR($A1603="",$C1603=""),"",IF(ISNUMBER(Wages!$B1606),MOD(Wages!$B1606,100),IFERROR(VALUE(TRIM(MID(MID(Wages!$B1606,FIND("/",Wages!$B1606)+1,20),FIND("/",MID(Wages!$B1606,FIND("/",Wages!$B1606)+1,20))+1,20))),"")))</f>
        <v/>
      </c>
      <c r="F1603">
        <f>IF($A1603="","",IF(OR($C1603="",$D1603="",$E1603="",$C1603&lt;1300,$C1603&gt;1500,$D1603&lt;1,$D1603&gt;12,$E1603&lt;1,$E1603&gt;31),"نامعتبر",RIGHT("0000"&amp;$C1603,4)&amp;"/"&amp;RIGHT("00"&amp;$D1603,2)&amp;"/"&amp;RIGHT("00"&amp;$E1603,2)))</f>
        <v/>
      </c>
      <c r="G1603">
        <f>IF(OR($A1603="",$F1603="",$F1603="نامعتبر"),"",LEFT($F1603,4)&amp;MID($F1603,6,2)&amp;RIGHT($F1603,2)&amp;"0000"&amp;"|"&amp;"1"&amp;RIGHT("00000"&amp;1598,5))</f>
        <v/>
      </c>
      <c r="H1603">
        <f>IF(OR($B1603&lt;&gt;1,$G1603=""),"",COUNTIFS(LdAParty,$A1603,LdAType,1,LdAKey,"&lt;"&amp;$G1603)+COUNTIFS(LdBMember,$A1603,LdBKey,"&lt;"&amp;$G1603)+COUNTIFS(LdCParty,$A1603,LdCKey,"&lt;"&amp;$G1603)+1)</f>
        <v/>
      </c>
      <c r="I1603">
        <f>IF($H1603="","",$A1603&amp;"|"&amp;RIGHT("000000"&amp;$H1603,6))</f>
        <v/>
      </c>
      <c r="J1603">
        <f>IF(OR($B1603&lt;&gt;2,$G1603=""),"",COUNTIFS(LdAParty,$A1603,LdAType,2,LdAKey,"&lt;"&amp;$G1603)+1)</f>
        <v/>
      </c>
      <c r="K1603">
        <f>IF($J1603="","",$A1603&amp;"|"&amp;RIGHT("000000"&amp;$J1603,6))</f>
        <v/>
      </c>
      <c r="L1603">
        <f>IF($A1603="","",IF(Wages!$G1606="",0,Wages!$G1606))</f>
        <v/>
      </c>
      <c r="M1603">
        <f>IF($A1603="","",Wages!$J1606)</f>
        <v/>
      </c>
      <c r="N1603">
        <f>IF($A1603="","",Wages!$D1606)</f>
        <v/>
      </c>
      <c r="P1603">
        <f>IF(OR(Shares!$B1606="",Shares!$C1606=""),"",Shares!$C1606)</f>
        <v/>
      </c>
      <c r="Q1603">
        <f>IF($P1603="","",Shares!$B1606)</f>
        <v/>
      </c>
      <c r="R1603">
        <f>IF($P1603="","",IFERROR(INDEX(WageParty,MATCH($Q1603,WageIds,0)),""))</f>
        <v/>
      </c>
      <c r="S1603">
        <f>IF($P1603="","",IFERROR(INDEX($F$6:$F$2005,MATCH($Q1603,WageIds,0)),""))</f>
        <v/>
      </c>
      <c r="T1603">
        <f>IF(OR($P1603="",$S1603="",$S1603="نامعتبر"),"",LEFT($S1603,4)&amp;MID($S1603,6,2)&amp;RIGHT($S1603,2)&amp;"0000"&amp;"|"&amp;"2"&amp;RIGHT("00000"&amp;1598,5))</f>
        <v/>
      </c>
      <c r="U1603">
        <f>IF($T1603="","",COUNTIFS(LdAParty,$P1603,LdAType,1,LdAKey,"&lt;"&amp;$T1603)+COUNTIFS(LdBMember,$P1603,LdBKey,"&lt;"&amp;$T1603)+COUNTIFS(LdCParty,$P1603,LdCKey,"&lt;"&amp;$T1603)+1)</f>
        <v/>
      </c>
      <c r="V1603">
        <f>IF($U1603="","",$P1603&amp;"|"&amp;RIGHT("000000"&amp;$U1603,6))</f>
        <v/>
      </c>
      <c r="W1603">
        <f>IF($T1603="","",COUNTIFS(LdBGroup,$R1603,LdBKey,"&lt;"&amp;$T1603)+1)</f>
        <v/>
      </c>
      <c r="X1603">
        <f>IF($W1603="","",$R1603&amp;"|"&amp;RIGHT("000000"&amp;$W1603,6))</f>
        <v/>
      </c>
      <c r="Y1603">
        <f>IF($P1603="","",IF(Shares!$E1606="",0,Shares!$E1606))</f>
        <v/>
      </c>
      <c r="Z1603">
        <f>IF($P1603="","",Shares!$H1606)</f>
        <v/>
      </c>
      <c r="AE1603">
        <f>IF(OR(Sync!$S1603="",Sync!$P1603=""),"",Sync!$S1603)</f>
        <v/>
      </c>
      <c r="AF1603">
        <f>IF($AE1603="","",IF(ISNUMBER(Sync!$P1603),IF(AND(Sync!$P1603&gt;=10000101,Sync!$P1603&lt;=99991231),INT(Sync!$P1603/10000),""),IFERROR(VALUE(TRIM(LEFT(Sync!$P1603,FIND("/",Sync!$P1603)-1))),"")))</f>
        <v/>
      </c>
      <c r="AG1603">
        <f>IF(OR($AE1603="",$AF1603=""),"",IF(ISNUMBER(Sync!$P1603),INT(MOD(Sync!$P1603,10000)/100),IFERROR(VALUE(TRIM(LEFT(MID(Sync!$P1603,FIND("/",Sync!$P1603)+1,20),FIND("/",MID(Sync!$P1603,FIND("/",Sync!$P1603)+1,20))-1))),"")))</f>
        <v/>
      </c>
      <c r="AH1603">
        <f>IF(OR($AE1603="",$AF1603=""),"",IF(ISNUMBER(Sync!$P1603),MOD(Sync!$P1603,100),IFERROR(VALUE(TRIM(MID(MID(Sync!$P1603,FIND("/",Sync!$P1603)+1,20),FIND("/",MID(Sync!$P1603,FIND("/",Sync!$P1603)+1,20))+1,20))),"")))</f>
        <v/>
      </c>
      <c r="AI1603">
        <f>IF($AE1603="","",IF(OR($AF1603="",$AG1603="",$AH1603="",$AF1603&lt;1300,$AF1603&gt;1500,$AG1603&lt;1,$AG1603&gt;12,$AH1603&lt;1,$AH1603&gt;31),"نامعتبر",RIGHT("0000"&amp;$AF1603,4)&amp;"/"&amp;RIGHT("00"&amp;$AG1603,2)&amp;"/"&amp;RIGHT("00"&amp;$AH1603,2)))</f>
        <v/>
      </c>
      <c r="AJ1603">
        <f>IF($AE1603="","",IF(Sync!$Q1603="","0000",IF(AND(ISNUMBER(Sync!$Q1603),Sync!$Q1603&gt;=0,Sync!$Q1603&lt;1),RIGHT("00"&amp;HOUR(Sync!$Q1603),2)&amp;RIGHT("00"&amp;MINUTE(Sync!$Q1603),2),IFERROR(RIGHT("00"&amp;VALUE(LEFT(Sync!$Q1603,FIND(":",Sync!$Q1603)-1)),2)&amp;RIGHT("00"&amp;VALUE(MID(Sync!$Q1603,FIND(":",Sync!$Q1603)+1,2)),2),"0000"))))</f>
        <v/>
      </c>
      <c r="AK1603">
        <f>IF(OR($AE1603="",$AI1603="",$AI1603="نامعتبر"),"",LEFT($AI1603,4)&amp;MID($AI1603,6,2)&amp;RIGHT($AI1603,2)&amp;$AJ1603&amp;"|"&amp;"3"&amp;RIGHT("00000"&amp;1598,5))</f>
        <v/>
      </c>
      <c r="AL1603">
        <f>IF($AK1603="","",COUNTIFS(LdAParty,$AE1603,LdAType,1,LdAKey,"&lt;"&amp;$AK1603)+COUNTIFS(LdBMember,$AE1603,LdBKey,"&lt;"&amp;$AK1603)+COUNTIFS(LdCParty,$AE1603,LdCKey,"&lt;"&amp;$AK1603)+1)</f>
        <v/>
      </c>
      <c r="AM1603">
        <f>IF($AL1603="","",$AE1603&amp;"|"&amp;RIGHT("000000"&amp;$AL1603,6))</f>
        <v/>
      </c>
      <c r="AN1603">
        <f>IF($AE1603="","",IF(Sync!$W1603="",0,Sync!$W1603))</f>
        <v/>
      </c>
      <c r="AO1603">
        <f>IF($AE1603="","",IF(Sync!$X1603="",0,Sync!$X1603))</f>
        <v/>
      </c>
      <c r="AP1603">
        <f>IF($AE1603="","",Sync!$R1603)</f>
        <v/>
      </c>
      <c r="AQ1603">
        <f>IF($AE1603="","",Sync!$Y1603)</f>
        <v/>
      </c>
    </row>
    <row r="1604">
      <c r="A1604">
        <f>IF(OR(Wages!$B1607="",Wages!$E1607=""),"",Wages!$E1607)</f>
        <v/>
      </c>
      <c r="B1604">
        <f>IF($A1604="","",IF(Wages!$C1607="دستمزد گروهی",2,1))</f>
        <v/>
      </c>
      <c r="C1604">
        <f>IF($A1604="","",IF(ISNUMBER(Wages!$B1607),IF(AND(Wages!$B1607&gt;=10000101,Wages!$B1607&lt;=99991231),INT(Wages!$B1607/10000),""),IFERROR(VALUE(TRIM(LEFT(Wages!$B1607,FIND("/",Wages!$B1607)-1))),"")))</f>
        <v/>
      </c>
      <c r="D1604">
        <f>IF(OR($A1604="",$C1604=""),"",IF(ISNUMBER(Wages!$B1607),INT(MOD(Wages!$B1607,10000)/100),IFERROR(VALUE(TRIM(LEFT(MID(Wages!$B1607,FIND("/",Wages!$B1607)+1,20),FIND("/",MID(Wages!$B1607,FIND("/",Wages!$B1607)+1,20))-1))),"")))</f>
        <v/>
      </c>
      <c r="E1604">
        <f>IF(OR($A1604="",$C1604=""),"",IF(ISNUMBER(Wages!$B1607),MOD(Wages!$B1607,100),IFERROR(VALUE(TRIM(MID(MID(Wages!$B1607,FIND("/",Wages!$B1607)+1,20),FIND("/",MID(Wages!$B1607,FIND("/",Wages!$B1607)+1,20))+1,20))),"")))</f>
        <v/>
      </c>
      <c r="F1604">
        <f>IF($A1604="","",IF(OR($C1604="",$D1604="",$E1604="",$C1604&lt;1300,$C1604&gt;1500,$D1604&lt;1,$D1604&gt;12,$E1604&lt;1,$E1604&gt;31),"نامعتبر",RIGHT("0000"&amp;$C1604,4)&amp;"/"&amp;RIGHT("00"&amp;$D1604,2)&amp;"/"&amp;RIGHT("00"&amp;$E1604,2)))</f>
        <v/>
      </c>
      <c r="G1604">
        <f>IF(OR($A1604="",$F1604="",$F1604="نامعتبر"),"",LEFT($F1604,4)&amp;MID($F1604,6,2)&amp;RIGHT($F1604,2)&amp;"0000"&amp;"|"&amp;"1"&amp;RIGHT("00000"&amp;1599,5))</f>
        <v/>
      </c>
      <c r="H1604">
        <f>IF(OR($B1604&lt;&gt;1,$G1604=""),"",COUNTIFS(LdAParty,$A1604,LdAType,1,LdAKey,"&lt;"&amp;$G1604)+COUNTIFS(LdBMember,$A1604,LdBKey,"&lt;"&amp;$G1604)+COUNTIFS(LdCParty,$A1604,LdCKey,"&lt;"&amp;$G1604)+1)</f>
        <v/>
      </c>
      <c r="I1604">
        <f>IF($H1604="","",$A1604&amp;"|"&amp;RIGHT("000000"&amp;$H1604,6))</f>
        <v/>
      </c>
      <c r="J1604">
        <f>IF(OR($B1604&lt;&gt;2,$G1604=""),"",COUNTIFS(LdAParty,$A1604,LdAType,2,LdAKey,"&lt;"&amp;$G1604)+1)</f>
        <v/>
      </c>
      <c r="K1604">
        <f>IF($J1604="","",$A1604&amp;"|"&amp;RIGHT("000000"&amp;$J1604,6))</f>
        <v/>
      </c>
      <c r="L1604">
        <f>IF($A1604="","",IF(Wages!$G1607="",0,Wages!$G1607))</f>
        <v/>
      </c>
      <c r="M1604">
        <f>IF($A1604="","",Wages!$J1607)</f>
        <v/>
      </c>
      <c r="N1604">
        <f>IF($A1604="","",Wages!$D1607)</f>
        <v/>
      </c>
      <c r="P1604">
        <f>IF(OR(Shares!$B1607="",Shares!$C1607=""),"",Shares!$C1607)</f>
        <v/>
      </c>
      <c r="Q1604">
        <f>IF($P1604="","",Shares!$B1607)</f>
        <v/>
      </c>
      <c r="R1604">
        <f>IF($P1604="","",IFERROR(INDEX(WageParty,MATCH($Q1604,WageIds,0)),""))</f>
        <v/>
      </c>
      <c r="S1604">
        <f>IF($P1604="","",IFERROR(INDEX($F$6:$F$2005,MATCH($Q1604,WageIds,0)),""))</f>
        <v/>
      </c>
      <c r="T1604">
        <f>IF(OR($P1604="",$S1604="",$S1604="نامعتبر"),"",LEFT($S1604,4)&amp;MID($S1604,6,2)&amp;RIGHT($S1604,2)&amp;"0000"&amp;"|"&amp;"2"&amp;RIGHT("00000"&amp;1599,5))</f>
        <v/>
      </c>
      <c r="U1604">
        <f>IF($T1604="","",COUNTIFS(LdAParty,$P1604,LdAType,1,LdAKey,"&lt;"&amp;$T1604)+COUNTIFS(LdBMember,$P1604,LdBKey,"&lt;"&amp;$T1604)+COUNTIFS(LdCParty,$P1604,LdCKey,"&lt;"&amp;$T1604)+1)</f>
        <v/>
      </c>
      <c r="V1604">
        <f>IF($U1604="","",$P1604&amp;"|"&amp;RIGHT("000000"&amp;$U1604,6))</f>
        <v/>
      </c>
      <c r="W1604">
        <f>IF($T1604="","",COUNTIFS(LdBGroup,$R1604,LdBKey,"&lt;"&amp;$T1604)+1)</f>
        <v/>
      </c>
      <c r="X1604">
        <f>IF($W1604="","",$R1604&amp;"|"&amp;RIGHT("000000"&amp;$W1604,6))</f>
        <v/>
      </c>
      <c r="Y1604">
        <f>IF($P1604="","",IF(Shares!$E1607="",0,Shares!$E1607))</f>
        <v/>
      </c>
      <c r="Z1604">
        <f>IF($P1604="","",Shares!$H1607)</f>
        <v/>
      </c>
      <c r="AE1604">
        <f>IF(OR(Sync!$S1604="",Sync!$P1604=""),"",Sync!$S1604)</f>
        <v/>
      </c>
      <c r="AF1604">
        <f>IF($AE1604="","",IF(ISNUMBER(Sync!$P1604),IF(AND(Sync!$P1604&gt;=10000101,Sync!$P1604&lt;=99991231),INT(Sync!$P1604/10000),""),IFERROR(VALUE(TRIM(LEFT(Sync!$P1604,FIND("/",Sync!$P1604)-1))),"")))</f>
        <v/>
      </c>
      <c r="AG1604">
        <f>IF(OR($AE1604="",$AF1604=""),"",IF(ISNUMBER(Sync!$P1604),INT(MOD(Sync!$P1604,10000)/100),IFERROR(VALUE(TRIM(LEFT(MID(Sync!$P1604,FIND("/",Sync!$P1604)+1,20),FIND("/",MID(Sync!$P1604,FIND("/",Sync!$P1604)+1,20))-1))),"")))</f>
        <v/>
      </c>
      <c r="AH1604">
        <f>IF(OR($AE1604="",$AF1604=""),"",IF(ISNUMBER(Sync!$P1604),MOD(Sync!$P1604,100),IFERROR(VALUE(TRIM(MID(MID(Sync!$P1604,FIND("/",Sync!$P1604)+1,20),FIND("/",MID(Sync!$P1604,FIND("/",Sync!$P1604)+1,20))+1,20))),"")))</f>
        <v/>
      </c>
      <c r="AI1604">
        <f>IF($AE1604="","",IF(OR($AF1604="",$AG1604="",$AH1604="",$AF1604&lt;1300,$AF1604&gt;1500,$AG1604&lt;1,$AG1604&gt;12,$AH1604&lt;1,$AH1604&gt;31),"نامعتبر",RIGHT("0000"&amp;$AF1604,4)&amp;"/"&amp;RIGHT("00"&amp;$AG1604,2)&amp;"/"&amp;RIGHT("00"&amp;$AH1604,2)))</f>
        <v/>
      </c>
      <c r="AJ1604">
        <f>IF($AE1604="","",IF(Sync!$Q1604="","0000",IF(AND(ISNUMBER(Sync!$Q1604),Sync!$Q1604&gt;=0,Sync!$Q1604&lt;1),RIGHT("00"&amp;HOUR(Sync!$Q1604),2)&amp;RIGHT("00"&amp;MINUTE(Sync!$Q1604),2),IFERROR(RIGHT("00"&amp;VALUE(LEFT(Sync!$Q1604,FIND(":",Sync!$Q1604)-1)),2)&amp;RIGHT("00"&amp;VALUE(MID(Sync!$Q1604,FIND(":",Sync!$Q1604)+1,2)),2),"0000"))))</f>
        <v/>
      </c>
      <c r="AK1604">
        <f>IF(OR($AE1604="",$AI1604="",$AI1604="نامعتبر"),"",LEFT($AI1604,4)&amp;MID($AI1604,6,2)&amp;RIGHT($AI1604,2)&amp;$AJ1604&amp;"|"&amp;"3"&amp;RIGHT("00000"&amp;1599,5))</f>
        <v/>
      </c>
      <c r="AL1604">
        <f>IF($AK1604="","",COUNTIFS(LdAParty,$AE1604,LdAType,1,LdAKey,"&lt;"&amp;$AK1604)+COUNTIFS(LdBMember,$AE1604,LdBKey,"&lt;"&amp;$AK1604)+COUNTIFS(LdCParty,$AE1604,LdCKey,"&lt;"&amp;$AK1604)+1)</f>
        <v/>
      </c>
      <c r="AM1604">
        <f>IF($AL1604="","",$AE1604&amp;"|"&amp;RIGHT("000000"&amp;$AL1604,6))</f>
        <v/>
      </c>
      <c r="AN1604">
        <f>IF($AE1604="","",IF(Sync!$W1604="",0,Sync!$W1604))</f>
        <v/>
      </c>
      <c r="AO1604">
        <f>IF($AE1604="","",IF(Sync!$X1604="",0,Sync!$X1604))</f>
        <v/>
      </c>
      <c r="AP1604">
        <f>IF($AE1604="","",Sync!$R1604)</f>
        <v/>
      </c>
      <c r="AQ1604">
        <f>IF($AE1604="","",Sync!$Y1604)</f>
        <v/>
      </c>
    </row>
    <row r="1605">
      <c r="A1605">
        <f>IF(OR(Wages!$B1608="",Wages!$E1608=""),"",Wages!$E1608)</f>
        <v/>
      </c>
      <c r="B1605">
        <f>IF($A1605="","",IF(Wages!$C1608="دستمزد گروهی",2,1))</f>
        <v/>
      </c>
      <c r="C1605">
        <f>IF($A1605="","",IF(ISNUMBER(Wages!$B1608),IF(AND(Wages!$B1608&gt;=10000101,Wages!$B1608&lt;=99991231),INT(Wages!$B1608/10000),""),IFERROR(VALUE(TRIM(LEFT(Wages!$B1608,FIND("/",Wages!$B1608)-1))),"")))</f>
        <v/>
      </c>
      <c r="D1605">
        <f>IF(OR($A1605="",$C1605=""),"",IF(ISNUMBER(Wages!$B1608),INT(MOD(Wages!$B1608,10000)/100),IFERROR(VALUE(TRIM(LEFT(MID(Wages!$B1608,FIND("/",Wages!$B1608)+1,20),FIND("/",MID(Wages!$B1608,FIND("/",Wages!$B1608)+1,20))-1))),"")))</f>
        <v/>
      </c>
      <c r="E1605">
        <f>IF(OR($A1605="",$C1605=""),"",IF(ISNUMBER(Wages!$B1608),MOD(Wages!$B1608,100),IFERROR(VALUE(TRIM(MID(MID(Wages!$B1608,FIND("/",Wages!$B1608)+1,20),FIND("/",MID(Wages!$B1608,FIND("/",Wages!$B1608)+1,20))+1,20))),"")))</f>
        <v/>
      </c>
      <c r="F1605">
        <f>IF($A1605="","",IF(OR($C1605="",$D1605="",$E1605="",$C1605&lt;1300,$C1605&gt;1500,$D1605&lt;1,$D1605&gt;12,$E1605&lt;1,$E1605&gt;31),"نامعتبر",RIGHT("0000"&amp;$C1605,4)&amp;"/"&amp;RIGHT("00"&amp;$D1605,2)&amp;"/"&amp;RIGHT("00"&amp;$E1605,2)))</f>
        <v/>
      </c>
      <c r="G1605">
        <f>IF(OR($A1605="",$F1605="",$F1605="نامعتبر"),"",LEFT($F1605,4)&amp;MID($F1605,6,2)&amp;RIGHT($F1605,2)&amp;"0000"&amp;"|"&amp;"1"&amp;RIGHT("00000"&amp;1600,5))</f>
        <v/>
      </c>
      <c r="H1605">
        <f>IF(OR($B1605&lt;&gt;1,$G1605=""),"",COUNTIFS(LdAParty,$A1605,LdAType,1,LdAKey,"&lt;"&amp;$G1605)+COUNTIFS(LdBMember,$A1605,LdBKey,"&lt;"&amp;$G1605)+COUNTIFS(LdCParty,$A1605,LdCKey,"&lt;"&amp;$G1605)+1)</f>
        <v/>
      </c>
      <c r="I1605">
        <f>IF($H1605="","",$A1605&amp;"|"&amp;RIGHT("000000"&amp;$H1605,6))</f>
        <v/>
      </c>
      <c r="J1605">
        <f>IF(OR($B1605&lt;&gt;2,$G1605=""),"",COUNTIFS(LdAParty,$A1605,LdAType,2,LdAKey,"&lt;"&amp;$G1605)+1)</f>
        <v/>
      </c>
      <c r="K1605">
        <f>IF($J1605="","",$A1605&amp;"|"&amp;RIGHT("000000"&amp;$J1605,6))</f>
        <v/>
      </c>
      <c r="L1605">
        <f>IF($A1605="","",IF(Wages!$G1608="",0,Wages!$G1608))</f>
        <v/>
      </c>
      <c r="M1605">
        <f>IF($A1605="","",Wages!$J1608)</f>
        <v/>
      </c>
      <c r="N1605">
        <f>IF($A1605="","",Wages!$D1608)</f>
        <v/>
      </c>
      <c r="P1605">
        <f>IF(OR(Shares!$B1608="",Shares!$C1608=""),"",Shares!$C1608)</f>
        <v/>
      </c>
      <c r="Q1605">
        <f>IF($P1605="","",Shares!$B1608)</f>
        <v/>
      </c>
      <c r="R1605">
        <f>IF($P1605="","",IFERROR(INDEX(WageParty,MATCH($Q1605,WageIds,0)),""))</f>
        <v/>
      </c>
      <c r="S1605">
        <f>IF($P1605="","",IFERROR(INDEX($F$6:$F$2005,MATCH($Q1605,WageIds,0)),""))</f>
        <v/>
      </c>
      <c r="T1605">
        <f>IF(OR($P1605="",$S1605="",$S1605="نامعتبر"),"",LEFT($S1605,4)&amp;MID($S1605,6,2)&amp;RIGHT($S1605,2)&amp;"0000"&amp;"|"&amp;"2"&amp;RIGHT("00000"&amp;1600,5))</f>
        <v/>
      </c>
      <c r="U1605">
        <f>IF($T1605="","",COUNTIFS(LdAParty,$P1605,LdAType,1,LdAKey,"&lt;"&amp;$T1605)+COUNTIFS(LdBMember,$P1605,LdBKey,"&lt;"&amp;$T1605)+COUNTIFS(LdCParty,$P1605,LdCKey,"&lt;"&amp;$T1605)+1)</f>
        <v/>
      </c>
      <c r="V1605">
        <f>IF($U1605="","",$P1605&amp;"|"&amp;RIGHT("000000"&amp;$U1605,6))</f>
        <v/>
      </c>
      <c r="W1605">
        <f>IF($T1605="","",COUNTIFS(LdBGroup,$R1605,LdBKey,"&lt;"&amp;$T1605)+1)</f>
        <v/>
      </c>
      <c r="X1605">
        <f>IF($W1605="","",$R1605&amp;"|"&amp;RIGHT("000000"&amp;$W1605,6))</f>
        <v/>
      </c>
      <c r="Y1605">
        <f>IF($P1605="","",IF(Shares!$E1608="",0,Shares!$E1608))</f>
        <v/>
      </c>
      <c r="Z1605">
        <f>IF($P1605="","",Shares!$H1608)</f>
        <v/>
      </c>
      <c r="AE1605">
        <f>IF(OR(Sync!$S1605="",Sync!$P1605=""),"",Sync!$S1605)</f>
        <v/>
      </c>
      <c r="AF1605">
        <f>IF($AE1605="","",IF(ISNUMBER(Sync!$P1605),IF(AND(Sync!$P1605&gt;=10000101,Sync!$P1605&lt;=99991231),INT(Sync!$P1605/10000),""),IFERROR(VALUE(TRIM(LEFT(Sync!$P1605,FIND("/",Sync!$P1605)-1))),"")))</f>
        <v/>
      </c>
      <c r="AG1605">
        <f>IF(OR($AE1605="",$AF1605=""),"",IF(ISNUMBER(Sync!$P1605),INT(MOD(Sync!$P1605,10000)/100),IFERROR(VALUE(TRIM(LEFT(MID(Sync!$P1605,FIND("/",Sync!$P1605)+1,20),FIND("/",MID(Sync!$P1605,FIND("/",Sync!$P1605)+1,20))-1))),"")))</f>
        <v/>
      </c>
      <c r="AH1605">
        <f>IF(OR($AE1605="",$AF1605=""),"",IF(ISNUMBER(Sync!$P1605),MOD(Sync!$P1605,100),IFERROR(VALUE(TRIM(MID(MID(Sync!$P1605,FIND("/",Sync!$P1605)+1,20),FIND("/",MID(Sync!$P1605,FIND("/",Sync!$P1605)+1,20))+1,20))),"")))</f>
        <v/>
      </c>
      <c r="AI1605">
        <f>IF($AE1605="","",IF(OR($AF1605="",$AG1605="",$AH1605="",$AF1605&lt;1300,$AF1605&gt;1500,$AG1605&lt;1,$AG1605&gt;12,$AH1605&lt;1,$AH1605&gt;31),"نامعتبر",RIGHT("0000"&amp;$AF1605,4)&amp;"/"&amp;RIGHT("00"&amp;$AG1605,2)&amp;"/"&amp;RIGHT("00"&amp;$AH1605,2)))</f>
        <v/>
      </c>
      <c r="AJ1605">
        <f>IF($AE1605="","",IF(Sync!$Q1605="","0000",IF(AND(ISNUMBER(Sync!$Q1605),Sync!$Q1605&gt;=0,Sync!$Q1605&lt;1),RIGHT("00"&amp;HOUR(Sync!$Q1605),2)&amp;RIGHT("00"&amp;MINUTE(Sync!$Q1605),2),IFERROR(RIGHT("00"&amp;VALUE(LEFT(Sync!$Q1605,FIND(":",Sync!$Q1605)-1)),2)&amp;RIGHT("00"&amp;VALUE(MID(Sync!$Q1605,FIND(":",Sync!$Q1605)+1,2)),2),"0000"))))</f>
        <v/>
      </c>
      <c r="AK1605">
        <f>IF(OR($AE1605="",$AI1605="",$AI1605="نامعتبر"),"",LEFT($AI1605,4)&amp;MID($AI1605,6,2)&amp;RIGHT($AI1605,2)&amp;$AJ1605&amp;"|"&amp;"3"&amp;RIGHT("00000"&amp;1600,5))</f>
        <v/>
      </c>
      <c r="AL1605">
        <f>IF($AK1605="","",COUNTIFS(LdAParty,$AE1605,LdAType,1,LdAKey,"&lt;"&amp;$AK1605)+COUNTIFS(LdBMember,$AE1605,LdBKey,"&lt;"&amp;$AK1605)+COUNTIFS(LdCParty,$AE1605,LdCKey,"&lt;"&amp;$AK1605)+1)</f>
        <v/>
      </c>
      <c r="AM1605">
        <f>IF($AL1605="","",$AE1605&amp;"|"&amp;RIGHT("000000"&amp;$AL1605,6))</f>
        <v/>
      </c>
      <c r="AN1605">
        <f>IF($AE1605="","",IF(Sync!$W1605="",0,Sync!$W1605))</f>
        <v/>
      </c>
      <c r="AO1605">
        <f>IF($AE1605="","",IF(Sync!$X1605="",0,Sync!$X1605))</f>
        <v/>
      </c>
      <c r="AP1605">
        <f>IF($AE1605="","",Sync!$R1605)</f>
        <v/>
      </c>
      <c r="AQ1605">
        <f>IF($AE1605="","",Sync!$Y1605)</f>
        <v/>
      </c>
    </row>
    <row r="1606">
      <c r="A1606">
        <f>IF(OR(Wages!$B1609="",Wages!$E1609=""),"",Wages!$E1609)</f>
        <v/>
      </c>
      <c r="B1606">
        <f>IF($A1606="","",IF(Wages!$C1609="دستمزد گروهی",2,1))</f>
        <v/>
      </c>
      <c r="C1606">
        <f>IF($A1606="","",IF(ISNUMBER(Wages!$B1609),IF(AND(Wages!$B1609&gt;=10000101,Wages!$B1609&lt;=99991231),INT(Wages!$B1609/10000),""),IFERROR(VALUE(TRIM(LEFT(Wages!$B1609,FIND("/",Wages!$B1609)-1))),"")))</f>
        <v/>
      </c>
      <c r="D1606">
        <f>IF(OR($A1606="",$C1606=""),"",IF(ISNUMBER(Wages!$B1609),INT(MOD(Wages!$B1609,10000)/100),IFERROR(VALUE(TRIM(LEFT(MID(Wages!$B1609,FIND("/",Wages!$B1609)+1,20),FIND("/",MID(Wages!$B1609,FIND("/",Wages!$B1609)+1,20))-1))),"")))</f>
        <v/>
      </c>
      <c r="E1606">
        <f>IF(OR($A1606="",$C1606=""),"",IF(ISNUMBER(Wages!$B1609),MOD(Wages!$B1609,100),IFERROR(VALUE(TRIM(MID(MID(Wages!$B1609,FIND("/",Wages!$B1609)+1,20),FIND("/",MID(Wages!$B1609,FIND("/",Wages!$B1609)+1,20))+1,20))),"")))</f>
        <v/>
      </c>
      <c r="F1606">
        <f>IF($A1606="","",IF(OR($C1606="",$D1606="",$E1606="",$C1606&lt;1300,$C1606&gt;1500,$D1606&lt;1,$D1606&gt;12,$E1606&lt;1,$E1606&gt;31),"نامعتبر",RIGHT("0000"&amp;$C1606,4)&amp;"/"&amp;RIGHT("00"&amp;$D1606,2)&amp;"/"&amp;RIGHT("00"&amp;$E1606,2)))</f>
        <v/>
      </c>
      <c r="G1606">
        <f>IF(OR($A1606="",$F1606="",$F1606="نامعتبر"),"",LEFT($F1606,4)&amp;MID($F1606,6,2)&amp;RIGHT($F1606,2)&amp;"0000"&amp;"|"&amp;"1"&amp;RIGHT("00000"&amp;1601,5))</f>
        <v/>
      </c>
      <c r="H1606">
        <f>IF(OR($B1606&lt;&gt;1,$G1606=""),"",COUNTIFS(LdAParty,$A1606,LdAType,1,LdAKey,"&lt;"&amp;$G1606)+COUNTIFS(LdBMember,$A1606,LdBKey,"&lt;"&amp;$G1606)+COUNTIFS(LdCParty,$A1606,LdCKey,"&lt;"&amp;$G1606)+1)</f>
        <v/>
      </c>
      <c r="I1606">
        <f>IF($H1606="","",$A1606&amp;"|"&amp;RIGHT("000000"&amp;$H1606,6))</f>
        <v/>
      </c>
      <c r="J1606">
        <f>IF(OR($B1606&lt;&gt;2,$G1606=""),"",COUNTIFS(LdAParty,$A1606,LdAType,2,LdAKey,"&lt;"&amp;$G1606)+1)</f>
        <v/>
      </c>
      <c r="K1606">
        <f>IF($J1606="","",$A1606&amp;"|"&amp;RIGHT("000000"&amp;$J1606,6))</f>
        <v/>
      </c>
      <c r="L1606">
        <f>IF($A1606="","",IF(Wages!$G1609="",0,Wages!$G1609))</f>
        <v/>
      </c>
      <c r="M1606">
        <f>IF($A1606="","",Wages!$J1609)</f>
        <v/>
      </c>
      <c r="N1606">
        <f>IF($A1606="","",Wages!$D1609)</f>
        <v/>
      </c>
      <c r="P1606">
        <f>IF(OR(Shares!$B1609="",Shares!$C1609=""),"",Shares!$C1609)</f>
        <v/>
      </c>
      <c r="Q1606">
        <f>IF($P1606="","",Shares!$B1609)</f>
        <v/>
      </c>
      <c r="R1606">
        <f>IF($P1606="","",IFERROR(INDEX(WageParty,MATCH($Q1606,WageIds,0)),""))</f>
        <v/>
      </c>
      <c r="S1606">
        <f>IF($P1606="","",IFERROR(INDEX($F$6:$F$2005,MATCH($Q1606,WageIds,0)),""))</f>
        <v/>
      </c>
      <c r="T1606">
        <f>IF(OR($P1606="",$S1606="",$S1606="نامعتبر"),"",LEFT($S1606,4)&amp;MID($S1606,6,2)&amp;RIGHT($S1606,2)&amp;"0000"&amp;"|"&amp;"2"&amp;RIGHT("00000"&amp;1601,5))</f>
        <v/>
      </c>
      <c r="U1606">
        <f>IF($T1606="","",COUNTIFS(LdAParty,$P1606,LdAType,1,LdAKey,"&lt;"&amp;$T1606)+COUNTIFS(LdBMember,$P1606,LdBKey,"&lt;"&amp;$T1606)+COUNTIFS(LdCParty,$P1606,LdCKey,"&lt;"&amp;$T1606)+1)</f>
        <v/>
      </c>
      <c r="V1606">
        <f>IF($U1606="","",$P1606&amp;"|"&amp;RIGHT("000000"&amp;$U1606,6))</f>
        <v/>
      </c>
      <c r="W1606">
        <f>IF($T1606="","",COUNTIFS(LdBGroup,$R1606,LdBKey,"&lt;"&amp;$T1606)+1)</f>
        <v/>
      </c>
      <c r="X1606">
        <f>IF($W1606="","",$R1606&amp;"|"&amp;RIGHT("000000"&amp;$W1606,6))</f>
        <v/>
      </c>
      <c r="Y1606">
        <f>IF($P1606="","",IF(Shares!$E1609="",0,Shares!$E1609))</f>
        <v/>
      </c>
      <c r="Z1606">
        <f>IF($P1606="","",Shares!$H1609)</f>
        <v/>
      </c>
      <c r="AE1606">
        <f>IF(OR(Sync!$S1606="",Sync!$P1606=""),"",Sync!$S1606)</f>
        <v/>
      </c>
      <c r="AF1606">
        <f>IF($AE1606="","",IF(ISNUMBER(Sync!$P1606),IF(AND(Sync!$P1606&gt;=10000101,Sync!$P1606&lt;=99991231),INT(Sync!$P1606/10000),""),IFERROR(VALUE(TRIM(LEFT(Sync!$P1606,FIND("/",Sync!$P1606)-1))),"")))</f>
        <v/>
      </c>
      <c r="AG1606">
        <f>IF(OR($AE1606="",$AF1606=""),"",IF(ISNUMBER(Sync!$P1606),INT(MOD(Sync!$P1606,10000)/100),IFERROR(VALUE(TRIM(LEFT(MID(Sync!$P1606,FIND("/",Sync!$P1606)+1,20),FIND("/",MID(Sync!$P1606,FIND("/",Sync!$P1606)+1,20))-1))),"")))</f>
        <v/>
      </c>
      <c r="AH1606">
        <f>IF(OR($AE1606="",$AF1606=""),"",IF(ISNUMBER(Sync!$P1606),MOD(Sync!$P1606,100),IFERROR(VALUE(TRIM(MID(MID(Sync!$P1606,FIND("/",Sync!$P1606)+1,20),FIND("/",MID(Sync!$P1606,FIND("/",Sync!$P1606)+1,20))+1,20))),"")))</f>
        <v/>
      </c>
      <c r="AI1606">
        <f>IF($AE1606="","",IF(OR($AF1606="",$AG1606="",$AH1606="",$AF1606&lt;1300,$AF1606&gt;1500,$AG1606&lt;1,$AG1606&gt;12,$AH1606&lt;1,$AH1606&gt;31),"نامعتبر",RIGHT("0000"&amp;$AF1606,4)&amp;"/"&amp;RIGHT("00"&amp;$AG1606,2)&amp;"/"&amp;RIGHT("00"&amp;$AH1606,2)))</f>
        <v/>
      </c>
      <c r="AJ1606">
        <f>IF($AE1606="","",IF(Sync!$Q1606="","0000",IF(AND(ISNUMBER(Sync!$Q1606),Sync!$Q1606&gt;=0,Sync!$Q1606&lt;1),RIGHT("00"&amp;HOUR(Sync!$Q1606),2)&amp;RIGHT("00"&amp;MINUTE(Sync!$Q1606),2),IFERROR(RIGHT("00"&amp;VALUE(LEFT(Sync!$Q1606,FIND(":",Sync!$Q1606)-1)),2)&amp;RIGHT("00"&amp;VALUE(MID(Sync!$Q1606,FIND(":",Sync!$Q1606)+1,2)),2),"0000"))))</f>
        <v/>
      </c>
      <c r="AK1606">
        <f>IF(OR($AE1606="",$AI1606="",$AI1606="نامعتبر"),"",LEFT($AI1606,4)&amp;MID($AI1606,6,2)&amp;RIGHT($AI1606,2)&amp;$AJ1606&amp;"|"&amp;"3"&amp;RIGHT("00000"&amp;1601,5))</f>
        <v/>
      </c>
      <c r="AL1606">
        <f>IF($AK1606="","",COUNTIFS(LdAParty,$AE1606,LdAType,1,LdAKey,"&lt;"&amp;$AK1606)+COUNTIFS(LdBMember,$AE1606,LdBKey,"&lt;"&amp;$AK1606)+COUNTIFS(LdCParty,$AE1606,LdCKey,"&lt;"&amp;$AK1606)+1)</f>
        <v/>
      </c>
      <c r="AM1606">
        <f>IF($AL1606="","",$AE1606&amp;"|"&amp;RIGHT("000000"&amp;$AL1606,6))</f>
        <v/>
      </c>
      <c r="AN1606">
        <f>IF($AE1606="","",IF(Sync!$W1606="",0,Sync!$W1606))</f>
        <v/>
      </c>
      <c r="AO1606">
        <f>IF($AE1606="","",IF(Sync!$X1606="",0,Sync!$X1606))</f>
        <v/>
      </c>
      <c r="AP1606">
        <f>IF($AE1606="","",Sync!$R1606)</f>
        <v/>
      </c>
      <c r="AQ1606">
        <f>IF($AE1606="","",Sync!$Y1606)</f>
        <v/>
      </c>
    </row>
    <row r="1607">
      <c r="A1607">
        <f>IF(OR(Wages!$B1610="",Wages!$E1610=""),"",Wages!$E1610)</f>
        <v/>
      </c>
      <c r="B1607">
        <f>IF($A1607="","",IF(Wages!$C1610="دستمزد گروهی",2,1))</f>
        <v/>
      </c>
      <c r="C1607">
        <f>IF($A1607="","",IF(ISNUMBER(Wages!$B1610),IF(AND(Wages!$B1610&gt;=10000101,Wages!$B1610&lt;=99991231),INT(Wages!$B1610/10000),""),IFERROR(VALUE(TRIM(LEFT(Wages!$B1610,FIND("/",Wages!$B1610)-1))),"")))</f>
        <v/>
      </c>
      <c r="D1607">
        <f>IF(OR($A1607="",$C1607=""),"",IF(ISNUMBER(Wages!$B1610),INT(MOD(Wages!$B1610,10000)/100),IFERROR(VALUE(TRIM(LEFT(MID(Wages!$B1610,FIND("/",Wages!$B1610)+1,20),FIND("/",MID(Wages!$B1610,FIND("/",Wages!$B1610)+1,20))-1))),"")))</f>
        <v/>
      </c>
      <c r="E1607">
        <f>IF(OR($A1607="",$C1607=""),"",IF(ISNUMBER(Wages!$B1610),MOD(Wages!$B1610,100),IFERROR(VALUE(TRIM(MID(MID(Wages!$B1610,FIND("/",Wages!$B1610)+1,20),FIND("/",MID(Wages!$B1610,FIND("/",Wages!$B1610)+1,20))+1,20))),"")))</f>
        <v/>
      </c>
      <c r="F1607">
        <f>IF($A1607="","",IF(OR($C1607="",$D1607="",$E1607="",$C1607&lt;1300,$C1607&gt;1500,$D1607&lt;1,$D1607&gt;12,$E1607&lt;1,$E1607&gt;31),"نامعتبر",RIGHT("0000"&amp;$C1607,4)&amp;"/"&amp;RIGHT("00"&amp;$D1607,2)&amp;"/"&amp;RIGHT("00"&amp;$E1607,2)))</f>
        <v/>
      </c>
      <c r="G1607">
        <f>IF(OR($A1607="",$F1607="",$F1607="نامعتبر"),"",LEFT($F1607,4)&amp;MID($F1607,6,2)&amp;RIGHT($F1607,2)&amp;"0000"&amp;"|"&amp;"1"&amp;RIGHT("00000"&amp;1602,5))</f>
        <v/>
      </c>
      <c r="H1607">
        <f>IF(OR($B1607&lt;&gt;1,$G1607=""),"",COUNTIFS(LdAParty,$A1607,LdAType,1,LdAKey,"&lt;"&amp;$G1607)+COUNTIFS(LdBMember,$A1607,LdBKey,"&lt;"&amp;$G1607)+COUNTIFS(LdCParty,$A1607,LdCKey,"&lt;"&amp;$G1607)+1)</f>
        <v/>
      </c>
      <c r="I1607">
        <f>IF($H1607="","",$A1607&amp;"|"&amp;RIGHT("000000"&amp;$H1607,6))</f>
        <v/>
      </c>
      <c r="J1607">
        <f>IF(OR($B1607&lt;&gt;2,$G1607=""),"",COUNTIFS(LdAParty,$A1607,LdAType,2,LdAKey,"&lt;"&amp;$G1607)+1)</f>
        <v/>
      </c>
      <c r="K1607">
        <f>IF($J1607="","",$A1607&amp;"|"&amp;RIGHT("000000"&amp;$J1607,6))</f>
        <v/>
      </c>
      <c r="L1607">
        <f>IF($A1607="","",IF(Wages!$G1610="",0,Wages!$G1610))</f>
        <v/>
      </c>
      <c r="M1607">
        <f>IF($A1607="","",Wages!$J1610)</f>
        <v/>
      </c>
      <c r="N1607">
        <f>IF($A1607="","",Wages!$D1610)</f>
        <v/>
      </c>
      <c r="P1607">
        <f>IF(OR(Shares!$B1610="",Shares!$C1610=""),"",Shares!$C1610)</f>
        <v/>
      </c>
      <c r="Q1607">
        <f>IF($P1607="","",Shares!$B1610)</f>
        <v/>
      </c>
      <c r="R1607">
        <f>IF($P1607="","",IFERROR(INDEX(WageParty,MATCH($Q1607,WageIds,0)),""))</f>
        <v/>
      </c>
      <c r="S1607">
        <f>IF($P1607="","",IFERROR(INDEX($F$6:$F$2005,MATCH($Q1607,WageIds,0)),""))</f>
        <v/>
      </c>
      <c r="T1607">
        <f>IF(OR($P1607="",$S1607="",$S1607="نامعتبر"),"",LEFT($S1607,4)&amp;MID($S1607,6,2)&amp;RIGHT($S1607,2)&amp;"0000"&amp;"|"&amp;"2"&amp;RIGHT("00000"&amp;1602,5))</f>
        <v/>
      </c>
      <c r="U1607">
        <f>IF($T1607="","",COUNTIFS(LdAParty,$P1607,LdAType,1,LdAKey,"&lt;"&amp;$T1607)+COUNTIFS(LdBMember,$P1607,LdBKey,"&lt;"&amp;$T1607)+COUNTIFS(LdCParty,$P1607,LdCKey,"&lt;"&amp;$T1607)+1)</f>
        <v/>
      </c>
      <c r="V1607">
        <f>IF($U1607="","",$P1607&amp;"|"&amp;RIGHT("000000"&amp;$U1607,6))</f>
        <v/>
      </c>
      <c r="W1607">
        <f>IF($T1607="","",COUNTIFS(LdBGroup,$R1607,LdBKey,"&lt;"&amp;$T1607)+1)</f>
        <v/>
      </c>
      <c r="X1607">
        <f>IF($W1607="","",$R1607&amp;"|"&amp;RIGHT("000000"&amp;$W1607,6))</f>
        <v/>
      </c>
      <c r="Y1607">
        <f>IF($P1607="","",IF(Shares!$E1610="",0,Shares!$E1610))</f>
        <v/>
      </c>
      <c r="Z1607">
        <f>IF($P1607="","",Shares!$H1610)</f>
        <v/>
      </c>
      <c r="AE1607">
        <f>IF(OR(Sync!$S1607="",Sync!$P1607=""),"",Sync!$S1607)</f>
        <v/>
      </c>
      <c r="AF1607">
        <f>IF($AE1607="","",IF(ISNUMBER(Sync!$P1607),IF(AND(Sync!$P1607&gt;=10000101,Sync!$P1607&lt;=99991231),INT(Sync!$P1607/10000),""),IFERROR(VALUE(TRIM(LEFT(Sync!$P1607,FIND("/",Sync!$P1607)-1))),"")))</f>
        <v/>
      </c>
      <c r="AG1607">
        <f>IF(OR($AE1607="",$AF1607=""),"",IF(ISNUMBER(Sync!$P1607),INT(MOD(Sync!$P1607,10000)/100),IFERROR(VALUE(TRIM(LEFT(MID(Sync!$P1607,FIND("/",Sync!$P1607)+1,20),FIND("/",MID(Sync!$P1607,FIND("/",Sync!$P1607)+1,20))-1))),"")))</f>
        <v/>
      </c>
      <c r="AH1607">
        <f>IF(OR($AE1607="",$AF1607=""),"",IF(ISNUMBER(Sync!$P1607),MOD(Sync!$P1607,100),IFERROR(VALUE(TRIM(MID(MID(Sync!$P1607,FIND("/",Sync!$P1607)+1,20),FIND("/",MID(Sync!$P1607,FIND("/",Sync!$P1607)+1,20))+1,20))),"")))</f>
        <v/>
      </c>
      <c r="AI1607">
        <f>IF($AE1607="","",IF(OR($AF1607="",$AG1607="",$AH1607="",$AF1607&lt;1300,$AF1607&gt;1500,$AG1607&lt;1,$AG1607&gt;12,$AH1607&lt;1,$AH1607&gt;31),"نامعتبر",RIGHT("0000"&amp;$AF1607,4)&amp;"/"&amp;RIGHT("00"&amp;$AG1607,2)&amp;"/"&amp;RIGHT("00"&amp;$AH1607,2)))</f>
        <v/>
      </c>
      <c r="AJ1607">
        <f>IF($AE1607="","",IF(Sync!$Q1607="","0000",IF(AND(ISNUMBER(Sync!$Q1607),Sync!$Q1607&gt;=0,Sync!$Q1607&lt;1),RIGHT("00"&amp;HOUR(Sync!$Q1607),2)&amp;RIGHT("00"&amp;MINUTE(Sync!$Q1607),2),IFERROR(RIGHT("00"&amp;VALUE(LEFT(Sync!$Q1607,FIND(":",Sync!$Q1607)-1)),2)&amp;RIGHT("00"&amp;VALUE(MID(Sync!$Q1607,FIND(":",Sync!$Q1607)+1,2)),2),"0000"))))</f>
        <v/>
      </c>
      <c r="AK1607">
        <f>IF(OR($AE1607="",$AI1607="",$AI1607="نامعتبر"),"",LEFT($AI1607,4)&amp;MID($AI1607,6,2)&amp;RIGHT($AI1607,2)&amp;$AJ1607&amp;"|"&amp;"3"&amp;RIGHT("00000"&amp;1602,5))</f>
        <v/>
      </c>
      <c r="AL1607">
        <f>IF($AK1607="","",COUNTIFS(LdAParty,$AE1607,LdAType,1,LdAKey,"&lt;"&amp;$AK1607)+COUNTIFS(LdBMember,$AE1607,LdBKey,"&lt;"&amp;$AK1607)+COUNTIFS(LdCParty,$AE1607,LdCKey,"&lt;"&amp;$AK1607)+1)</f>
        <v/>
      </c>
      <c r="AM1607">
        <f>IF($AL1607="","",$AE1607&amp;"|"&amp;RIGHT("000000"&amp;$AL1607,6))</f>
        <v/>
      </c>
      <c r="AN1607">
        <f>IF($AE1607="","",IF(Sync!$W1607="",0,Sync!$W1607))</f>
        <v/>
      </c>
      <c r="AO1607">
        <f>IF($AE1607="","",IF(Sync!$X1607="",0,Sync!$X1607))</f>
        <v/>
      </c>
      <c r="AP1607">
        <f>IF($AE1607="","",Sync!$R1607)</f>
        <v/>
      </c>
      <c r="AQ1607">
        <f>IF($AE1607="","",Sync!$Y1607)</f>
        <v/>
      </c>
    </row>
    <row r="1608">
      <c r="A1608">
        <f>IF(OR(Wages!$B1611="",Wages!$E1611=""),"",Wages!$E1611)</f>
        <v/>
      </c>
      <c r="B1608">
        <f>IF($A1608="","",IF(Wages!$C1611="دستمزد گروهی",2,1))</f>
        <v/>
      </c>
      <c r="C1608">
        <f>IF($A1608="","",IF(ISNUMBER(Wages!$B1611),IF(AND(Wages!$B1611&gt;=10000101,Wages!$B1611&lt;=99991231),INT(Wages!$B1611/10000),""),IFERROR(VALUE(TRIM(LEFT(Wages!$B1611,FIND("/",Wages!$B1611)-1))),"")))</f>
        <v/>
      </c>
      <c r="D1608">
        <f>IF(OR($A1608="",$C1608=""),"",IF(ISNUMBER(Wages!$B1611),INT(MOD(Wages!$B1611,10000)/100),IFERROR(VALUE(TRIM(LEFT(MID(Wages!$B1611,FIND("/",Wages!$B1611)+1,20),FIND("/",MID(Wages!$B1611,FIND("/",Wages!$B1611)+1,20))-1))),"")))</f>
        <v/>
      </c>
      <c r="E1608">
        <f>IF(OR($A1608="",$C1608=""),"",IF(ISNUMBER(Wages!$B1611),MOD(Wages!$B1611,100),IFERROR(VALUE(TRIM(MID(MID(Wages!$B1611,FIND("/",Wages!$B1611)+1,20),FIND("/",MID(Wages!$B1611,FIND("/",Wages!$B1611)+1,20))+1,20))),"")))</f>
        <v/>
      </c>
      <c r="F1608">
        <f>IF($A1608="","",IF(OR($C1608="",$D1608="",$E1608="",$C1608&lt;1300,$C1608&gt;1500,$D1608&lt;1,$D1608&gt;12,$E1608&lt;1,$E1608&gt;31),"نامعتبر",RIGHT("0000"&amp;$C1608,4)&amp;"/"&amp;RIGHT("00"&amp;$D1608,2)&amp;"/"&amp;RIGHT("00"&amp;$E1608,2)))</f>
        <v/>
      </c>
      <c r="G1608">
        <f>IF(OR($A1608="",$F1608="",$F1608="نامعتبر"),"",LEFT($F1608,4)&amp;MID($F1608,6,2)&amp;RIGHT($F1608,2)&amp;"0000"&amp;"|"&amp;"1"&amp;RIGHT("00000"&amp;1603,5))</f>
        <v/>
      </c>
      <c r="H1608">
        <f>IF(OR($B1608&lt;&gt;1,$G1608=""),"",COUNTIFS(LdAParty,$A1608,LdAType,1,LdAKey,"&lt;"&amp;$G1608)+COUNTIFS(LdBMember,$A1608,LdBKey,"&lt;"&amp;$G1608)+COUNTIFS(LdCParty,$A1608,LdCKey,"&lt;"&amp;$G1608)+1)</f>
        <v/>
      </c>
      <c r="I1608">
        <f>IF($H1608="","",$A1608&amp;"|"&amp;RIGHT("000000"&amp;$H1608,6))</f>
        <v/>
      </c>
      <c r="J1608">
        <f>IF(OR($B1608&lt;&gt;2,$G1608=""),"",COUNTIFS(LdAParty,$A1608,LdAType,2,LdAKey,"&lt;"&amp;$G1608)+1)</f>
        <v/>
      </c>
      <c r="K1608">
        <f>IF($J1608="","",$A1608&amp;"|"&amp;RIGHT("000000"&amp;$J1608,6))</f>
        <v/>
      </c>
      <c r="L1608">
        <f>IF($A1608="","",IF(Wages!$G1611="",0,Wages!$G1611))</f>
        <v/>
      </c>
      <c r="M1608">
        <f>IF($A1608="","",Wages!$J1611)</f>
        <v/>
      </c>
      <c r="N1608">
        <f>IF($A1608="","",Wages!$D1611)</f>
        <v/>
      </c>
      <c r="P1608">
        <f>IF(OR(Shares!$B1611="",Shares!$C1611=""),"",Shares!$C1611)</f>
        <v/>
      </c>
      <c r="Q1608">
        <f>IF($P1608="","",Shares!$B1611)</f>
        <v/>
      </c>
      <c r="R1608">
        <f>IF($P1608="","",IFERROR(INDEX(WageParty,MATCH($Q1608,WageIds,0)),""))</f>
        <v/>
      </c>
      <c r="S1608">
        <f>IF($P1608="","",IFERROR(INDEX($F$6:$F$2005,MATCH($Q1608,WageIds,0)),""))</f>
        <v/>
      </c>
      <c r="T1608">
        <f>IF(OR($P1608="",$S1608="",$S1608="نامعتبر"),"",LEFT($S1608,4)&amp;MID($S1608,6,2)&amp;RIGHT($S1608,2)&amp;"0000"&amp;"|"&amp;"2"&amp;RIGHT("00000"&amp;1603,5))</f>
        <v/>
      </c>
      <c r="U1608">
        <f>IF($T1608="","",COUNTIFS(LdAParty,$P1608,LdAType,1,LdAKey,"&lt;"&amp;$T1608)+COUNTIFS(LdBMember,$P1608,LdBKey,"&lt;"&amp;$T1608)+COUNTIFS(LdCParty,$P1608,LdCKey,"&lt;"&amp;$T1608)+1)</f>
        <v/>
      </c>
      <c r="V1608">
        <f>IF($U1608="","",$P1608&amp;"|"&amp;RIGHT("000000"&amp;$U1608,6))</f>
        <v/>
      </c>
      <c r="W1608">
        <f>IF($T1608="","",COUNTIFS(LdBGroup,$R1608,LdBKey,"&lt;"&amp;$T1608)+1)</f>
        <v/>
      </c>
      <c r="X1608">
        <f>IF($W1608="","",$R1608&amp;"|"&amp;RIGHT("000000"&amp;$W1608,6))</f>
        <v/>
      </c>
      <c r="Y1608">
        <f>IF($P1608="","",IF(Shares!$E1611="",0,Shares!$E1611))</f>
        <v/>
      </c>
      <c r="Z1608">
        <f>IF($P1608="","",Shares!$H1611)</f>
        <v/>
      </c>
      <c r="AE1608">
        <f>IF(OR(Sync!$S1608="",Sync!$P1608=""),"",Sync!$S1608)</f>
        <v/>
      </c>
      <c r="AF1608">
        <f>IF($AE1608="","",IF(ISNUMBER(Sync!$P1608),IF(AND(Sync!$P1608&gt;=10000101,Sync!$P1608&lt;=99991231),INT(Sync!$P1608/10000),""),IFERROR(VALUE(TRIM(LEFT(Sync!$P1608,FIND("/",Sync!$P1608)-1))),"")))</f>
        <v/>
      </c>
      <c r="AG1608">
        <f>IF(OR($AE1608="",$AF1608=""),"",IF(ISNUMBER(Sync!$P1608),INT(MOD(Sync!$P1608,10000)/100),IFERROR(VALUE(TRIM(LEFT(MID(Sync!$P1608,FIND("/",Sync!$P1608)+1,20),FIND("/",MID(Sync!$P1608,FIND("/",Sync!$P1608)+1,20))-1))),"")))</f>
        <v/>
      </c>
      <c r="AH1608">
        <f>IF(OR($AE1608="",$AF1608=""),"",IF(ISNUMBER(Sync!$P1608),MOD(Sync!$P1608,100),IFERROR(VALUE(TRIM(MID(MID(Sync!$P1608,FIND("/",Sync!$P1608)+1,20),FIND("/",MID(Sync!$P1608,FIND("/",Sync!$P1608)+1,20))+1,20))),"")))</f>
        <v/>
      </c>
      <c r="AI1608">
        <f>IF($AE1608="","",IF(OR($AF1608="",$AG1608="",$AH1608="",$AF1608&lt;1300,$AF1608&gt;1500,$AG1608&lt;1,$AG1608&gt;12,$AH1608&lt;1,$AH1608&gt;31),"نامعتبر",RIGHT("0000"&amp;$AF1608,4)&amp;"/"&amp;RIGHT("00"&amp;$AG1608,2)&amp;"/"&amp;RIGHT("00"&amp;$AH1608,2)))</f>
        <v/>
      </c>
      <c r="AJ1608">
        <f>IF($AE1608="","",IF(Sync!$Q1608="","0000",IF(AND(ISNUMBER(Sync!$Q1608),Sync!$Q1608&gt;=0,Sync!$Q1608&lt;1),RIGHT("00"&amp;HOUR(Sync!$Q1608),2)&amp;RIGHT("00"&amp;MINUTE(Sync!$Q1608),2),IFERROR(RIGHT("00"&amp;VALUE(LEFT(Sync!$Q1608,FIND(":",Sync!$Q1608)-1)),2)&amp;RIGHT("00"&amp;VALUE(MID(Sync!$Q1608,FIND(":",Sync!$Q1608)+1,2)),2),"0000"))))</f>
        <v/>
      </c>
      <c r="AK1608">
        <f>IF(OR($AE1608="",$AI1608="",$AI1608="نامعتبر"),"",LEFT($AI1608,4)&amp;MID($AI1608,6,2)&amp;RIGHT($AI1608,2)&amp;$AJ1608&amp;"|"&amp;"3"&amp;RIGHT("00000"&amp;1603,5))</f>
        <v/>
      </c>
      <c r="AL1608">
        <f>IF($AK1608="","",COUNTIFS(LdAParty,$AE1608,LdAType,1,LdAKey,"&lt;"&amp;$AK1608)+COUNTIFS(LdBMember,$AE1608,LdBKey,"&lt;"&amp;$AK1608)+COUNTIFS(LdCParty,$AE1608,LdCKey,"&lt;"&amp;$AK1608)+1)</f>
        <v/>
      </c>
      <c r="AM1608">
        <f>IF($AL1608="","",$AE1608&amp;"|"&amp;RIGHT("000000"&amp;$AL1608,6))</f>
        <v/>
      </c>
      <c r="AN1608">
        <f>IF($AE1608="","",IF(Sync!$W1608="",0,Sync!$W1608))</f>
        <v/>
      </c>
      <c r="AO1608">
        <f>IF($AE1608="","",IF(Sync!$X1608="",0,Sync!$X1608))</f>
        <v/>
      </c>
      <c r="AP1608">
        <f>IF($AE1608="","",Sync!$R1608)</f>
        <v/>
      </c>
      <c r="AQ1608">
        <f>IF($AE1608="","",Sync!$Y1608)</f>
        <v/>
      </c>
    </row>
    <row r="1609">
      <c r="A1609">
        <f>IF(OR(Wages!$B1612="",Wages!$E1612=""),"",Wages!$E1612)</f>
        <v/>
      </c>
      <c r="B1609">
        <f>IF($A1609="","",IF(Wages!$C1612="دستمزد گروهی",2,1))</f>
        <v/>
      </c>
      <c r="C1609">
        <f>IF($A1609="","",IF(ISNUMBER(Wages!$B1612),IF(AND(Wages!$B1612&gt;=10000101,Wages!$B1612&lt;=99991231),INT(Wages!$B1612/10000),""),IFERROR(VALUE(TRIM(LEFT(Wages!$B1612,FIND("/",Wages!$B1612)-1))),"")))</f>
        <v/>
      </c>
      <c r="D1609">
        <f>IF(OR($A1609="",$C1609=""),"",IF(ISNUMBER(Wages!$B1612),INT(MOD(Wages!$B1612,10000)/100),IFERROR(VALUE(TRIM(LEFT(MID(Wages!$B1612,FIND("/",Wages!$B1612)+1,20),FIND("/",MID(Wages!$B1612,FIND("/",Wages!$B1612)+1,20))-1))),"")))</f>
        <v/>
      </c>
      <c r="E1609">
        <f>IF(OR($A1609="",$C1609=""),"",IF(ISNUMBER(Wages!$B1612),MOD(Wages!$B1612,100),IFERROR(VALUE(TRIM(MID(MID(Wages!$B1612,FIND("/",Wages!$B1612)+1,20),FIND("/",MID(Wages!$B1612,FIND("/",Wages!$B1612)+1,20))+1,20))),"")))</f>
        <v/>
      </c>
      <c r="F1609">
        <f>IF($A1609="","",IF(OR($C1609="",$D1609="",$E1609="",$C1609&lt;1300,$C1609&gt;1500,$D1609&lt;1,$D1609&gt;12,$E1609&lt;1,$E1609&gt;31),"نامعتبر",RIGHT("0000"&amp;$C1609,4)&amp;"/"&amp;RIGHT("00"&amp;$D1609,2)&amp;"/"&amp;RIGHT("00"&amp;$E1609,2)))</f>
        <v/>
      </c>
      <c r="G1609">
        <f>IF(OR($A1609="",$F1609="",$F1609="نامعتبر"),"",LEFT($F1609,4)&amp;MID($F1609,6,2)&amp;RIGHT($F1609,2)&amp;"0000"&amp;"|"&amp;"1"&amp;RIGHT("00000"&amp;1604,5))</f>
        <v/>
      </c>
      <c r="H1609">
        <f>IF(OR($B1609&lt;&gt;1,$G1609=""),"",COUNTIFS(LdAParty,$A1609,LdAType,1,LdAKey,"&lt;"&amp;$G1609)+COUNTIFS(LdBMember,$A1609,LdBKey,"&lt;"&amp;$G1609)+COUNTIFS(LdCParty,$A1609,LdCKey,"&lt;"&amp;$G1609)+1)</f>
        <v/>
      </c>
      <c r="I1609">
        <f>IF($H1609="","",$A1609&amp;"|"&amp;RIGHT("000000"&amp;$H1609,6))</f>
        <v/>
      </c>
      <c r="J1609">
        <f>IF(OR($B1609&lt;&gt;2,$G1609=""),"",COUNTIFS(LdAParty,$A1609,LdAType,2,LdAKey,"&lt;"&amp;$G1609)+1)</f>
        <v/>
      </c>
      <c r="K1609">
        <f>IF($J1609="","",$A1609&amp;"|"&amp;RIGHT("000000"&amp;$J1609,6))</f>
        <v/>
      </c>
      <c r="L1609">
        <f>IF($A1609="","",IF(Wages!$G1612="",0,Wages!$G1612))</f>
        <v/>
      </c>
      <c r="M1609">
        <f>IF($A1609="","",Wages!$J1612)</f>
        <v/>
      </c>
      <c r="N1609">
        <f>IF($A1609="","",Wages!$D1612)</f>
        <v/>
      </c>
      <c r="P1609">
        <f>IF(OR(Shares!$B1612="",Shares!$C1612=""),"",Shares!$C1612)</f>
        <v/>
      </c>
      <c r="Q1609">
        <f>IF($P1609="","",Shares!$B1612)</f>
        <v/>
      </c>
      <c r="R1609">
        <f>IF($P1609="","",IFERROR(INDEX(WageParty,MATCH($Q1609,WageIds,0)),""))</f>
        <v/>
      </c>
      <c r="S1609">
        <f>IF($P1609="","",IFERROR(INDEX($F$6:$F$2005,MATCH($Q1609,WageIds,0)),""))</f>
        <v/>
      </c>
      <c r="T1609">
        <f>IF(OR($P1609="",$S1609="",$S1609="نامعتبر"),"",LEFT($S1609,4)&amp;MID($S1609,6,2)&amp;RIGHT($S1609,2)&amp;"0000"&amp;"|"&amp;"2"&amp;RIGHT("00000"&amp;1604,5))</f>
        <v/>
      </c>
      <c r="U1609">
        <f>IF($T1609="","",COUNTIFS(LdAParty,$P1609,LdAType,1,LdAKey,"&lt;"&amp;$T1609)+COUNTIFS(LdBMember,$P1609,LdBKey,"&lt;"&amp;$T1609)+COUNTIFS(LdCParty,$P1609,LdCKey,"&lt;"&amp;$T1609)+1)</f>
        <v/>
      </c>
      <c r="V1609">
        <f>IF($U1609="","",$P1609&amp;"|"&amp;RIGHT("000000"&amp;$U1609,6))</f>
        <v/>
      </c>
      <c r="W1609">
        <f>IF($T1609="","",COUNTIFS(LdBGroup,$R1609,LdBKey,"&lt;"&amp;$T1609)+1)</f>
        <v/>
      </c>
      <c r="X1609">
        <f>IF($W1609="","",$R1609&amp;"|"&amp;RIGHT("000000"&amp;$W1609,6))</f>
        <v/>
      </c>
      <c r="Y1609">
        <f>IF($P1609="","",IF(Shares!$E1612="",0,Shares!$E1612))</f>
        <v/>
      </c>
      <c r="Z1609">
        <f>IF($P1609="","",Shares!$H1612)</f>
        <v/>
      </c>
      <c r="AE1609">
        <f>IF(OR(Sync!$S1609="",Sync!$P1609=""),"",Sync!$S1609)</f>
        <v/>
      </c>
      <c r="AF1609">
        <f>IF($AE1609="","",IF(ISNUMBER(Sync!$P1609),IF(AND(Sync!$P1609&gt;=10000101,Sync!$P1609&lt;=99991231),INT(Sync!$P1609/10000),""),IFERROR(VALUE(TRIM(LEFT(Sync!$P1609,FIND("/",Sync!$P1609)-1))),"")))</f>
        <v/>
      </c>
      <c r="AG1609">
        <f>IF(OR($AE1609="",$AF1609=""),"",IF(ISNUMBER(Sync!$P1609),INT(MOD(Sync!$P1609,10000)/100),IFERROR(VALUE(TRIM(LEFT(MID(Sync!$P1609,FIND("/",Sync!$P1609)+1,20),FIND("/",MID(Sync!$P1609,FIND("/",Sync!$P1609)+1,20))-1))),"")))</f>
        <v/>
      </c>
      <c r="AH1609">
        <f>IF(OR($AE1609="",$AF1609=""),"",IF(ISNUMBER(Sync!$P1609),MOD(Sync!$P1609,100),IFERROR(VALUE(TRIM(MID(MID(Sync!$P1609,FIND("/",Sync!$P1609)+1,20),FIND("/",MID(Sync!$P1609,FIND("/",Sync!$P1609)+1,20))+1,20))),"")))</f>
        <v/>
      </c>
      <c r="AI1609">
        <f>IF($AE1609="","",IF(OR($AF1609="",$AG1609="",$AH1609="",$AF1609&lt;1300,$AF1609&gt;1500,$AG1609&lt;1,$AG1609&gt;12,$AH1609&lt;1,$AH1609&gt;31),"نامعتبر",RIGHT("0000"&amp;$AF1609,4)&amp;"/"&amp;RIGHT("00"&amp;$AG1609,2)&amp;"/"&amp;RIGHT("00"&amp;$AH1609,2)))</f>
        <v/>
      </c>
      <c r="AJ1609">
        <f>IF($AE1609="","",IF(Sync!$Q1609="","0000",IF(AND(ISNUMBER(Sync!$Q1609),Sync!$Q1609&gt;=0,Sync!$Q1609&lt;1),RIGHT("00"&amp;HOUR(Sync!$Q1609),2)&amp;RIGHT("00"&amp;MINUTE(Sync!$Q1609),2),IFERROR(RIGHT("00"&amp;VALUE(LEFT(Sync!$Q1609,FIND(":",Sync!$Q1609)-1)),2)&amp;RIGHT("00"&amp;VALUE(MID(Sync!$Q1609,FIND(":",Sync!$Q1609)+1,2)),2),"0000"))))</f>
        <v/>
      </c>
      <c r="AK1609">
        <f>IF(OR($AE1609="",$AI1609="",$AI1609="نامعتبر"),"",LEFT($AI1609,4)&amp;MID($AI1609,6,2)&amp;RIGHT($AI1609,2)&amp;$AJ1609&amp;"|"&amp;"3"&amp;RIGHT("00000"&amp;1604,5))</f>
        <v/>
      </c>
      <c r="AL1609">
        <f>IF($AK1609="","",COUNTIFS(LdAParty,$AE1609,LdAType,1,LdAKey,"&lt;"&amp;$AK1609)+COUNTIFS(LdBMember,$AE1609,LdBKey,"&lt;"&amp;$AK1609)+COUNTIFS(LdCParty,$AE1609,LdCKey,"&lt;"&amp;$AK1609)+1)</f>
        <v/>
      </c>
      <c r="AM1609">
        <f>IF($AL1609="","",$AE1609&amp;"|"&amp;RIGHT("000000"&amp;$AL1609,6))</f>
        <v/>
      </c>
      <c r="AN1609">
        <f>IF($AE1609="","",IF(Sync!$W1609="",0,Sync!$W1609))</f>
        <v/>
      </c>
      <c r="AO1609">
        <f>IF($AE1609="","",IF(Sync!$X1609="",0,Sync!$X1609))</f>
        <v/>
      </c>
      <c r="AP1609">
        <f>IF($AE1609="","",Sync!$R1609)</f>
        <v/>
      </c>
      <c r="AQ1609">
        <f>IF($AE1609="","",Sync!$Y1609)</f>
        <v/>
      </c>
    </row>
    <row r="1610">
      <c r="A1610">
        <f>IF(OR(Wages!$B1613="",Wages!$E1613=""),"",Wages!$E1613)</f>
        <v/>
      </c>
      <c r="B1610">
        <f>IF($A1610="","",IF(Wages!$C1613="دستمزد گروهی",2,1))</f>
        <v/>
      </c>
      <c r="C1610">
        <f>IF($A1610="","",IF(ISNUMBER(Wages!$B1613),IF(AND(Wages!$B1613&gt;=10000101,Wages!$B1613&lt;=99991231),INT(Wages!$B1613/10000),""),IFERROR(VALUE(TRIM(LEFT(Wages!$B1613,FIND("/",Wages!$B1613)-1))),"")))</f>
        <v/>
      </c>
      <c r="D1610">
        <f>IF(OR($A1610="",$C1610=""),"",IF(ISNUMBER(Wages!$B1613),INT(MOD(Wages!$B1613,10000)/100),IFERROR(VALUE(TRIM(LEFT(MID(Wages!$B1613,FIND("/",Wages!$B1613)+1,20),FIND("/",MID(Wages!$B1613,FIND("/",Wages!$B1613)+1,20))-1))),"")))</f>
        <v/>
      </c>
      <c r="E1610">
        <f>IF(OR($A1610="",$C1610=""),"",IF(ISNUMBER(Wages!$B1613),MOD(Wages!$B1613,100),IFERROR(VALUE(TRIM(MID(MID(Wages!$B1613,FIND("/",Wages!$B1613)+1,20),FIND("/",MID(Wages!$B1613,FIND("/",Wages!$B1613)+1,20))+1,20))),"")))</f>
        <v/>
      </c>
      <c r="F1610">
        <f>IF($A1610="","",IF(OR($C1610="",$D1610="",$E1610="",$C1610&lt;1300,$C1610&gt;1500,$D1610&lt;1,$D1610&gt;12,$E1610&lt;1,$E1610&gt;31),"نامعتبر",RIGHT("0000"&amp;$C1610,4)&amp;"/"&amp;RIGHT("00"&amp;$D1610,2)&amp;"/"&amp;RIGHT("00"&amp;$E1610,2)))</f>
        <v/>
      </c>
      <c r="G1610">
        <f>IF(OR($A1610="",$F1610="",$F1610="نامعتبر"),"",LEFT($F1610,4)&amp;MID($F1610,6,2)&amp;RIGHT($F1610,2)&amp;"0000"&amp;"|"&amp;"1"&amp;RIGHT("00000"&amp;1605,5))</f>
        <v/>
      </c>
      <c r="H1610">
        <f>IF(OR($B1610&lt;&gt;1,$G1610=""),"",COUNTIFS(LdAParty,$A1610,LdAType,1,LdAKey,"&lt;"&amp;$G1610)+COUNTIFS(LdBMember,$A1610,LdBKey,"&lt;"&amp;$G1610)+COUNTIFS(LdCParty,$A1610,LdCKey,"&lt;"&amp;$G1610)+1)</f>
        <v/>
      </c>
      <c r="I1610">
        <f>IF($H1610="","",$A1610&amp;"|"&amp;RIGHT("000000"&amp;$H1610,6))</f>
        <v/>
      </c>
      <c r="J1610">
        <f>IF(OR($B1610&lt;&gt;2,$G1610=""),"",COUNTIFS(LdAParty,$A1610,LdAType,2,LdAKey,"&lt;"&amp;$G1610)+1)</f>
        <v/>
      </c>
      <c r="K1610">
        <f>IF($J1610="","",$A1610&amp;"|"&amp;RIGHT("000000"&amp;$J1610,6))</f>
        <v/>
      </c>
      <c r="L1610">
        <f>IF($A1610="","",IF(Wages!$G1613="",0,Wages!$G1613))</f>
        <v/>
      </c>
      <c r="M1610">
        <f>IF($A1610="","",Wages!$J1613)</f>
        <v/>
      </c>
      <c r="N1610">
        <f>IF($A1610="","",Wages!$D1613)</f>
        <v/>
      </c>
      <c r="P1610">
        <f>IF(OR(Shares!$B1613="",Shares!$C1613=""),"",Shares!$C1613)</f>
        <v/>
      </c>
      <c r="Q1610">
        <f>IF($P1610="","",Shares!$B1613)</f>
        <v/>
      </c>
      <c r="R1610">
        <f>IF($P1610="","",IFERROR(INDEX(WageParty,MATCH($Q1610,WageIds,0)),""))</f>
        <v/>
      </c>
      <c r="S1610">
        <f>IF($P1610="","",IFERROR(INDEX($F$6:$F$2005,MATCH($Q1610,WageIds,0)),""))</f>
        <v/>
      </c>
      <c r="T1610">
        <f>IF(OR($P1610="",$S1610="",$S1610="نامعتبر"),"",LEFT($S1610,4)&amp;MID($S1610,6,2)&amp;RIGHT($S1610,2)&amp;"0000"&amp;"|"&amp;"2"&amp;RIGHT("00000"&amp;1605,5))</f>
        <v/>
      </c>
      <c r="U1610">
        <f>IF($T1610="","",COUNTIFS(LdAParty,$P1610,LdAType,1,LdAKey,"&lt;"&amp;$T1610)+COUNTIFS(LdBMember,$P1610,LdBKey,"&lt;"&amp;$T1610)+COUNTIFS(LdCParty,$P1610,LdCKey,"&lt;"&amp;$T1610)+1)</f>
        <v/>
      </c>
      <c r="V1610">
        <f>IF($U1610="","",$P1610&amp;"|"&amp;RIGHT("000000"&amp;$U1610,6))</f>
        <v/>
      </c>
      <c r="W1610">
        <f>IF($T1610="","",COUNTIFS(LdBGroup,$R1610,LdBKey,"&lt;"&amp;$T1610)+1)</f>
        <v/>
      </c>
      <c r="X1610">
        <f>IF($W1610="","",$R1610&amp;"|"&amp;RIGHT("000000"&amp;$W1610,6))</f>
        <v/>
      </c>
      <c r="Y1610">
        <f>IF($P1610="","",IF(Shares!$E1613="",0,Shares!$E1613))</f>
        <v/>
      </c>
      <c r="Z1610">
        <f>IF($P1610="","",Shares!$H1613)</f>
        <v/>
      </c>
      <c r="AE1610">
        <f>IF(OR(Sync!$S1610="",Sync!$P1610=""),"",Sync!$S1610)</f>
        <v/>
      </c>
      <c r="AF1610">
        <f>IF($AE1610="","",IF(ISNUMBER(Sync!$P1610),IF(AND(Sync!$P1610&gt;=10000101,Sync!$P1610&lt;=99991231),INT(Sync!$P1610/10000),""),IFERROR(VALUE(TRIM(LEFT(Sync!$P1610,FIND("/",Sync!$P1610)-1))),"")))</f>
        <v/>
      </c>
      <c r="AG1610">
        <f>IF(OR($AE1610="",$AF1610=""),"",IF(ISNUMBER(Sync!$P1610),INT(MOD(Sync!$P1610,10000)/100),IFERROR(VALUE(TRIM(LEFT(MID(Sync!$P1610,FIND("/",Sync!$P1610)+1,20),FIND("/",MID(Sync!$P1610,FIND("/",Sync!$P1610)+1,20))-1))),"")))</f>
        <v/>
      </c>
      <c r="AH1610">
        <f>IF(OR($AE1610="",$AF1610=""),"",IF(ISNUMBER(Sync!$P1610),MOD(Sync!$P1610,100),IFERROR(VALUE(TRIM(MID(MID(Sync!$P1610,FIND("/",Sync!$P1610)+1,20),FIND("/",MID(Sync!$P1610,FIND("/",Sync!$P1610)+1,20))+1,20))),"")))</f>
        <v/>
      </c>
      <c r="AI1610">
        <f>IF($AE1610="","",IF(OR($AF1610="",$AG1610="",$AH1610="",$AF1610&lt;1300,$AF1610&gt;1500,$AG1610&lt;1,$AG1610&gt;12,$AH1610&lt;1,$AH1610&gt;31),"نامعتبر",RIGHT("0000"&amp;$AF1610,4)&amp;"/"&amp;RIGHT("00"&amp;$AG1610,2)&amp;"/"&amp;RIGHT("00"&amp;$AH1610,2)))</f>
        <v/>
      </c>
      <c r="AJ1610">
        <f>IF($AE1610="","",IF(Sync!$Q1610="","0000",IF(AND(ISNUMBER(Sync!$Q1610),Sync!$Q1610&gt;=0,Sync!$Q1610&lt;1),RIGHT("00"&amp;HOUR(Sync!$Q1610),2)&amp;RIGHT("00"&amp;MINUTE(Sync!$Q1610),2),IFERROR(RIGHT("00"&amp;VALUE(LEFT(Sync!$Q1610,FIND(":",Sync!$Q1610)-1)),2)&amp;RIGHT("00"&amp;VALUE(MID(Sync!$Q1610,FIND(":",Sync!$Q1610)+1,2)),2),"0000"))))</f>
        <v/>
      </c>
      <c r="AK1610">
        <f>IF(OR($AE1610="",$AI1610="",$AI1610="نامعتبر"),"",LEFT($AI1610,4)&amp;MID($AI1610,6,2)&amp;RIGHT($AI1610,2)&amp;$AJ1610&amp;"|"&amp;"3"&amp;RIGHT("00000"&amp;1605,5))</f>
        <v/>
      </c>
      <c r="AL1610">
        <f>IF($AK1610="","",COUNTIFS(LdAParty,$AE1610,LdAType,1,LdAKey,"&lt;"&amp;$AK1610)+COUNTIFS(LdBMember,$AE1610,LdBKey,"&lt;"&amp;$AK1610)+COUNTIFS(LdCParty,$AE1610,LdCKey,"&lt;"&amp;$AK1610)+1)</f>
        <v/>
      </c>
      <c r="AM1610">
        <f>IF($AL1610="","",$AE1610&amp;"|"&amp;RIGHT("000000"&amp;$AL1610,6))</f>
        <v/>
      </c>
      <c r="AN1610">
        <f>IF($AE1610="","",IF(Sync!$W1610="",0,Sync!$W1610))</f>
        <v/>
      </c>
      <c r="AO1610">
        <f>IF($AE1610="","",IF(Sync!$X1610="",0,Sync!$X1610))</f>
        <v/>
      </c>
      <c r="AP1610">
        <f>IF($AE1610="","",Sync!$R1610)</f>
        <v/>
      </c>
      <c r="AQ1610">
        <f>IF($AE1610="","",Sync!$Y1610)</f>
        <v/>
      </c>
    </row>
    <row r="1611">
      <c r="A1611">
        <f>IF(OR(Wages!$B1614="",Wages!$E1614=""),"",Wages!$E1614)</f>
        <v/>
      </c>
      <c r="B1611">
        <f>IF($A1611="","",IF(Wages!$C1614="دستمزد گروهی",2,1))</f>
        <v/>
      </c>
      <c r="C1611">
        <f>IF($A1611="","",IF(ISNUMBER(Wages!$B1614),IF(AND(Wages!$B1614&gt;=10000101,Wages!$B1614&lt;=99991231),INT(Wages!$B1614/10000),""),IFERROR(VALUE(TRIM(LEFT(Wages!$B1614,FIND("/",Wages!$B1614)-1))),"")))</f>
        <v/>
      </c>
      <c r="D1611">
        <f>IF(OR($A1611="",$C1611=""),"",IF(ISNUMBER(Wages!$B1614),INT(MOD(Wages!$B1614,10000)/100),IFERROR(VALUE(TRIM(LEFT(MID(Wages!$B1614,FIND("/",Wages!$B1614)+1,20),FIND("/",MID(Wages!$B1614,FIND("/",Wages!$B1614)+1,20))-1))),"")))</f>
        <v/>
      </c>
      <c r="E1611">
        <f>IF(OR($A1611="",$C1611=""),"",IF(ISNUMBER(Wages!$B1614),MOD(Wages!$B1614,100),IFERROR(VALUE(TRIM(MID(MID(Wages!$B1614,FIND("/",Wages!$B1614)+1,20),FIND("/",MID(Wages!$B1614,FIND("/",Wages!$B1614)+1,20))+1,20))),"")))</f>
        <v/>
      </c>
      <c r="F1611">
        <f>IF($A1611="","",IF(OR($C1611="",$D1611="",$E1611="",$C1611&lt;1300,$C1611&gt;1500,$D1611&lt;1,$D1611&gt;12,$E1611&lt;1,$E1611&gt;31),"نامعتبر",RIGHT("0000"&amp;$C1611,4)&amp;"/"&amp;RIGHT("00"&amp;$D1611,2)&amp;"/"&amp;RIGHT("00"&amp;$E1611,2)))</f>
        <v/>
      </c>
      <c r="G1611">
        <f>IF(OR($A1611="",$F1611="",$F1611="نامعتبر"),"",LEFT($F1611,4)&amp;MID($F1611,6,2)&amp;RIGHT($F1611,2)&amp;"0000"&amp;"|"&amp;"1"&amp;RIGHT("00000"&amp;1606,5))</f>
        <v/>
      </c>
      <c r="H1611">
        <f>IF(OR($B1611&lt;&gt;1,$G1611=""),"",COUNTIFS(LdAParty,$A1611,LdAType,1,LdAKey,"&lt;"&amp;$G1611)+COUNTIFS(LdBMember,$A1611,LdBKey,"&lt;"&amp;$G1611)+COUNTIFS(LdCParty,$A1611,LdCKey,"&lt;"&amp;$G1611)+1)</f>
        <v/>
      </c>
      <c r="I1611">
        <f>IF($H1611="","",$A1611&amp;"|"&amp;RIGHT("000000"&amp;$H1611,6))</f>
        <v/>
      </c>
      <c r="J1611">
        <f>IF(OR($B1611&lt;&gt;2,$G1611=""),"",COUNTIFS(LdAParty,$A1611,LdAType,2,LdAKey,"&lt;"&amp;$G1611)+1)</f>
        <v/>
      </c>
      <c r="K1611">
        <f>IF($J1611="","",$A1611&amp;"|"&amp;RIGHT("000000"&amp;$J1611,6))</f>
        <v/>
      </c>
      <c r="L1611">
        <f>IF($A1611="","",IF(Wages!$G1614="",0,Wages!$G1614))</f>
        <v/>
      </c>
      <c r="M1611">
        <f>IF($A1611="","",Wages!$J1614)</f>
        <v/>
      </c>
      <c r="N1611">
        <f>IF($A1611="","",Wages!$D1614)</f>
        <v/>
      </c>
      <c r="P1611">
        <f>IF(OR(Shares!$B1614="",Shares!$C1614=""),"",Shares!$C1614)</f>
        <v/>
      </c>
      <c r="Q1611">
        <f>IF($P1611="","",Shares!$B1614)</f>
        <v/>
      </c>
      <c r="R1611">
        <f>IF($P1611="","",IFERROR(INDEX(WageParty,MATCH($Q1611,WageIds,0)),""))</f>
        <v/>
      </c>
      <c r="S1611">
        <f>IF($P1611="","",IFERROR(INDEX($F$6:$F$2005,MATCH($Q1611,WageIds,0)),""))</f>
        <v/>
      </c>
      <c r="T1611">
        <f>IF(OR($P1611="",$S1611="",$S1611="نامعتبر"),"",LEFT($S1611,4)&amp;MID($S1611,6,2)&amp;RIGHT($S1611,2)&amp;"0000"&amp;"|"&amp;"2"&amp;RIGHT("00000"&amp;1606,5))</f>
        <v/>
      </c>
      <c r="U1611">
        <f>IF($T1611="","",COUNTIFS(LdAParty,$P1611,LdAType,1,LdAKey,"&lt;"&amp;$T1611)+COUNTIFS(LdBMember,$P1611,LdBKey,"&lt;"&amp;$T1611)+COUNTIFS(LdCParty,$P1611,LdCKey,"&lt;"&amp;$T1611)+1)</f>
        <v/>
      </c>
      <c r="V1611">
        <f>IF($U1611="","",$P1611&amp;"|"&amp;RIGHT("000000"&amp;$U1611,6))</f>
        <v/>
      </c>
      <c r="W1611">
        <f>IF($T1611="","",COUNTIFS(LdBGroup,$R1611,LdBKey,"&lt;"&amp;$T1611)+1)</f>
        <v/>
      </c>
      <c r="X1611">
        <f>IF($W1611="","",$R1611&amp;"|"&amp;RIGHT("000000"&amp;$W1611,6))</f>
        <v/>
      </c>
      <c r="Y1611">
        <f>IF($P1611="","",IF(Shares!$E1614="",0,Shares!$E1614))</f>
        <v/>
      </c>
      <c r="Z1611">
        <f>IF($P1611="","",Shares!$H1614)</f>
        <v/>
      </c>
      <c r="AE1611">
        <f>IF(OR(Sync!$S1611="",Sync!$P1611=""),"",Sync!$S1611)</f>
        <v/>
      </c>
      <c r="AF1611">
        <f>IF($AE1611="","",IF(ISNUMBER(Sync!$P1611),IF(AND(Sync!$P1611&gt;=10000101,Sync!$P1611&lt;=99991231),INT(Sync!$P1611/10000),""),IFERROR(VALUE(TRIM(LEFT(Sync!$P1611,FIND("/",Sync!$P1611)-1))),"")))</f>
        <v/>
      </c>
      <c r="AG1611">
        <f>IF(OR($AE1611="",$AF1611=""),"",IF(ISNUMBER(Sync!$P1611),INT(MOD(Sync!$P1611,10000)/100),IFERROR(VALUE(TRIM(LEFT(MID(Sync!$P1611,FIND("/",Sync!$P1611)+1,20),FIND("/",MID(Sync!$P1611,FIND("/",Sync!$P1611)+1,20))-1))),"")))</f>
        <v/>
      </c>
      <c r="AH1611">
        <f>IF(OR($AE1611="",$AF1611=""),"",IF(ISNUMBER(Sync!$P1611),MOD(Sync!$P1611,100),IFERROR(VALUE(TRIM(MID(MID(Sync!$P1611,FIND("/",Sync!$P1611)+1,20),FIND("/",MID(Sync!$P1611,FIND("/",Sync!$P1611)+1,20))+1,20))),"")))</f>
        <v/>
      </c>
      <c r="AI1611">
        <f>IF($AE1611="","",IF(OR($AF1611="",$AG1611="",$AH1611="",$AF1611&lt;1300,$AF1611&gt;1500,$AG1611&lt;1,$AG1611&gt;12,$AH1611&lt;1,$AH1611&gt;31),"نامعتبر",RIGHT("0000"&amp;$AF1611,4)&amp;"/"&amp;RIGHT("00"&amp;$AG1611,2)&amp;"/"&amp;RIGHT("00"&amp;$AH1611,2)))</f>
        <v/>
      </c>
      <c r="AJ1611">
        <f>IF($AE1611="","",IF(Sync!$Q1611="","0000",IF(AND(ISNUMBER(Sync!$Q1611),Sync!$Q1611&gt;=0,Sync!$Q1611&lt;1),RIGHT("00"&amp;HOUR(Sync!$Q1611),2)&amp;RIGHT("00"&amp;MINUTE(Sync!$Q1611),2),IFERROR(RIGHT("00"&amp;VALUE(LEFT(Sync!$Q1611,FIND(":",Sync!$Q1611)-1)),2)&amp;RIGHT("00"&amp;VALUE(MID(Sync!$Q1611,FIND(":",Sync!$Q1611)+1,2)),2),"0000"))))</f>
        <v/>
      </c>
      <c r="AK1611">
        <f>IF(OR($AE1611="",$AI1611="",$AI1611="نامعتبر"),"",LEFT($AI1611,4)&amp;MID($AI1611,6,2)&amp;RIGHT($AI1611,2)&amp;$AJ1611&amp;"|"&amp;"3"&amp;RIGHT("00000"&amp;1606,5))</f>
        <v/>
      </c>
      <c r="AL1611">
        <f>IF($AK1611="","",COUNTIFS(LdAParty,$AE1611,LdAType,1,LdAKey,"&lt;"&amp;$AK1611)+COUNTIFS(LdBMember,$AE1611,LdBKey,"&lt;"&amp;$AK1611)+COUNTIFS(LdCParty,$AE1611,LdCKey,"&lt;"&amp;$AK1611)+1)</f>
        <v/>
      </c>
      <c r="AM1611">
        <f>IF($AL1611="","",$AE1611&amp;"|"&amp;RIGHT("000000"&amp;$AL1611,6))</f>
        <v/>
      </c>
      <c r="AN1611">
        <f>IF($AE1611="","",IF(Sync!$W1611="",0,Sync!$W1611))</f>
        <v/>
      </c>
      <c r="AO1611">
        <f>IF($AE1611="","",IF(Sync!$X1611="",0,Sync!$X1611))</f>
        <v/>
      </c>
      <c r="AP1611">
        <f>IF($AE1611="","",Sync!$R1611)</f>
        <v/>
      </c>
      <c r="AQ1611">
        <f>IF($AE1611="","",Sync!$Y1611)</f>
        <v/>
      </c>
    </row>
    <row r="1612">
      <c r="A1612">
        <f>IF(OR(Wages!$B1615="",Wages!$E1615=""),"",Wages!$E1615)</f>
        <v/>
      </c>
      <c r="B1612">
        <f>IF($A1612="","",IF(Wages!$C1615="دستمزد گروهی",2,1))</f>
        <v/>
      </c>
      <c r="C1612">
        <f>IF($A1612="","",IF(ISNUMBER(Wages!$B1615),IF(AND(Wages!$B1615&gt;=10000101,Wages!$B1615&lt;=99991231),INT(Wages!$B1615/10000),""),IFERROR(VALUE(TRIM(LEFT(Wages!$B1615,FIND("/",Wages!$B1615)-1))),"")))</f>
        <v/>
      </c>
      <c r="D1612">
        <f>IF(OR($A1612="",$C1612=""),"",IF(ISNUMBER(Wages!$B1615),INT(MOD(Wages!$B1615,10000)/100),IFERROR(VALUE(TRIM(LEFT(MID(Wages!$B1615,FIND("/",Wages!$B1615)+1,20),FIND("/",MID(Wages!$B1615,FIND("/",Wages!$B1615)+1,20))-1))),"")))</f>
        <v/>
      </c>
      <c r="E1612">
        <f>IF(OR($A1612="",$C1612=""),"",IF(ISNUMBER(Wages!$B1615),MOD(Wages!$B1615,100),IFERROR(VALUE(TRIM(MID(MID(Wages!$B1615,FIND("/",Wages!$B1615)+1,20),FIND("/",MID(Wages!$B1615,FIND("/",Wages!$B1615)+1,20))+1,20))),"")))</f>
        <v/>
      </c>
      <c r="F1612">
        <f>IF($A1612="","",IF(OR($C1612="",$D1612="",$E1612="",$C1612&lt;1300,$C1612&gt;1500,$D1612&lt;1,$D1612&gt;12,$E1612&lt;1,$E1612&gt;31),"نامعتبر",RIGHT("0000"&amp;$C1612,4)&amp;"/"&amp;RIGHT("00"&amp;$D1612,2)&amp;"/"&amp;RIGHT("00"&amp;$E1612,2)))</f>
        <v/>
      </c>
      <c r="G1612">
        <f>IF(OR($A1612="",$F1612="",$F1612="نامعتبر"),"",LEFT($F1612,4)&amp;MID($F1612,6,2)&amp;RIGHT($F1612,2)&amp;"0000"&amp;"|"&amp;"1"&amp;RIGHT("00000"&amp;1607,5))</f>
        <v/>
      </c>
      <c r="H1612">
        <f>IF(OR($B1612&lt;&gt;1,$G1612=""),"",COUNTIFS(LdAParty,$A1612,LdAType,1,LdAKey,"&lt;"&amp;$G1612)+COUNTIFS(LdBMember,$A1612,LdBKey,"&lt;"&amp;$G1612)+COUNTIFS(LdCParty,$A1612,LdCKey,"&lt;"&amp;$G1612)+1)</f>
        <v/>
      </c>
      <c r="I1612">
        <f>IF($H1612="","",$A1612&amp;"|"&amp;RIGHT("000000"&amp;$H1612,6))</f>
        <v/>
      </c>
      <c r="J1612">
        <f>IF(OR($B1612&lt;&gt;2,$G1612=""),"",COUNTIFS(LdAParty,$A1612,LdAType,2,LdAKey,"&lt;"&amp;$G1612)+1)</f>
        <v/>
      </c>
      <c r="K1612">
        <f>IF($J1612="","",$A1612&amp;"|"&amp;RIGHT("000000"&amp;$J1612,6))</f>
        <v/>
      </c>
      <c r="L1612">
        <f>IF($A1612="","",IF(Wages!$G1615="",0,Wages!$G1615))</f>
        <v/>
      </c>
      <c r="M1612">
        <f>IF($A1612="","",Wages!$J1615)</f>
        <v/>
      </c>
      <c r="N1612">
        <f>IF($A1612="","",Wages!$D1615)</f>
        <v/>
      </c>
      <c r="P1612">
        <f>IF(OR(Shares!$B1615="",Shares!$C1615=""),"",Shares!$C1615)</f>
        <v/>
      </c>
      <c r="Q1612">
        <f>IF($P1612="","",Shares!$B1615)</f>
        <v/>
      </c>
      <c r="R1612">
        <f>IF($P1612="","",IFERROR(INDEX(WageParty,MATCH($Q1612,WageIds,0)),""))</f>
        <v/>
      </c>
      <c r="S1612">
        <f>IF($P1612="","",IFERROR(INDEX($F$6:$F$2005,MATCH($Q1612,WageIds,0)),""))</f>
        <v/>
      </c>
      <c r="T1612">
        <f>IF(OR($P1612="",$S1612="",$S1612="نامعتبر"),"",LEFT($S1612,4)&amp;MID($S1612,6,2)&amp;RIGHT($S1612,2)&amp;"0000"&amp;"|"&amp;"2"&amp;RIGHT("00000"&amp;1607,5))</f>
        <v/>
      </c>
      <c r="U1612">
        <f>IF($T1612="","",COUNTIFS(LdAParty,$P1612,LdAType,1,LdAKey,"&lt;"&amp;$T1612)+COUNTIFS(LdBMember,$P1612,LdBKey,"&lt;"&amp;$T1612)+COUNTIFS(LdCParty,$P1612,LdCKey,"&lt;"&amp;$T1612)+1)</f>
        <v/>
      </c>
      <c r="V1612">
        <f>IF($U1612="","",$P1612&amp;"|"&amp;RIGHT("000000"&amp;$U1612,6))</f>
        <v/>
      </c>
      <c r="W1612">
        <f>IF($T1612="","",COUNTIFS(LdBGroup,$R1612,LdBKey,"&lt;"&amp;$T1612)+1)</f>
        <v/>
      </c>
      <c r="X1612">
        <f>IF($W1612="","",$R1612&amp;"|"&amp;RIGHT("000000"&amp;$W1612,6))</f>
        <v/>
      </c>
      <c r="Y1612">
        <f>IF($P1612="","",IF(Shares!$E1615="",0,Shares!$E1615))</f>
        <v/>
      </c>
      <c r="Z1612">
        <f>IF($P1612="","",Shares!$H1615)</f>
        <v/>
      </c>
      <c r="AE1612">
        <f>IF(OR(Sync!$S1612="",Sync!$P1612=""),"",Sync!$S1612)</f>
        <v/>
      </c>
      <c r="AF1612">
        <f>IF($AE1612="","",IF(ISNUMBER(Sync!$P1612),IF(AND(Sync!$P1612&gt;=10000101,Sync!$P1612&lt;=99991231),INT(Sync!$P1612/10000),""),IFERROR(VALUE(TRIM(LEFT(Sync!$P1612,FIND("/",Sync!$P1612)-1))),"")))</f>
        <v/>
      </c>
      <c r="AG1612">
        <f>IF(OR($AE1612="",$AF1612=""),"",IF(ISNUMBER(Sync!$P1612),INT(MOD(Sync!$P1612,10000)/100),IFERROR(VALUE(TRIM(LEFT(MID(Sync!$P1612,FIND("/",Sync!$P1612)+1,20),FIND("/",MID(Sync!$P1612,FIND("/",Sync!$P1612)+1,20))-1))),"")))</f>
        <v/>
      </c>
      <c r="AH1612">
        <f>IF(OR($AE1612="",$AF1612=""),"",IF(ISNUMBER(Sync!$P1612),MOD(Sync!$P1612,100),IFERROR(VALUE(TRIM(MID(MID(Sync!$P1612,FIND("/",Sync!$P1612)+1,20),FIND("/",MID(Sync!$P1612,FIND("/",Sync!$P1612)+1,20))+1,20))),"")))</f>
        <v/>
      </c>
      <c r="AI1612">
        <f>IF($AE1612="","",IF(OR($AF1612="",$AG1612="",$AH1612="",$AF1612&lt;1300,$AF1612&gt;1500,$AG1612&lt;1,$AG1612&gt;12,$AH1612&lt;1,$AH1612&gt;31),"نامعتبر",RIGHT("0000"&amp;$AF1612,4)&amp;"/"&amp;RIGHT("00"&amp;$AG1612,2)&amp;"/"&amp;RIGHT("00"&amp;$AH1612,2)))</f>
        <v/>
      </c>
      <c r="AJ1612">
        <f>IF($AE1612="","",IF(Sync!$Q1612="","0000",IF(AND(ISNUMBER(Sync!$Q1612),Sync!$Q1612&gt;=0,Sync!$Q1612&lt;1),RIGHT("00"&amp;HOUR(Sync!$Q1612),2)&amp;RIGHT("00"&amp;MINUTE(Sync!$Q1612),2),IFERROR(RIGHT("00"&amp;VALUE(LEFT(Sync!$Q1612,FIND(":",Sync!$Q1612)-1)),2)&amp;RIGHT("00"&amp;VALUE(MID(Sync!$Q1612,FIND(":",Sync!$Q1612)+1,2)),2),"0000"))))</f>
        <v/>
      </c>
      <c r="AK1612">
        <f>IF(OR($AE1612="",$AI1612="",$AI1612="نامعتبر"),"",LEFT($AI1612,4)&amp;MID($AI1612,6,2)&amp;RIGHT($AI1612,2)&amp;$AJ1612&amp;"|"&amp;"3"&amp;RIGHT("00000"&amp;1607,5))</f>
        <v/>
      </c>
      <c r="AL1612">
        <f>IF($AK1612="","",COUNTIFS(LdAParty,$AE1612,LdAType,1,LdAKey,"&lt;"&amp;$AK1612)+COUNTIFS(LdBMember,$AE1612,LdBKey,"&lt;"&amp;$AK1612)+COUNTIFS(LdCParty,$AE1612,LdCKey,"&lt;"&amp;$AK1612)+1)</f>
        <v/>
      </c>
      <c r="AM1612">
        <f>IF($AL1612="","",$AE1612&amp;"|"&amp;RIGHT("000000"&amp;$AL1612,6))</f>
        <v/>
      </c>
      <c r="AN1612">
        <f>IF($AE1612="","",IF(Sync!$W1612="",0,Sync!$W1612))</f>
        <v/>
      </c>
      <c r="AO1612">
        <f>IF($AE1612="","",IF(Sync!$X1612="",0,Sync!$X1612))</f>
        <v/>
      </c>
      <c r="AP1612">
        <f>IF($AE1612="","",Sync!$R1612)</f>
        <v/>
      </c>
      <c r="AQ1612">
        <f>IF($AE1612="","",Sync!$Y1612)</f>
        <v/>
      </c>
    </row>
    <row r="1613">
      <c r="A1613">
        <f>IF(OR(Wages!$B1616="",Wages!$E1616=""),"",Wages!$E1616)</f>
        <v/>
      </c>
      <c r="B1613">
        <f>IF($A1613="","",IF(Wages!$C1616="دستمزد گروهی",2,1))</f>
        <v/>
      </c>
      <c r="C1613">
        <f>IF($A1613="","",IF(ISNUMBER(Wages!$B1616),IF(AND(Wages!$B1616&gt;=10000101,Wages!$B1616&lt;=99991231),INT(Wages!$B1616/10000),""),IFERROR(VALUE(TRIM(LEFT(Wages!$B1616,FIND("/",Wages!$B1616)-1))),"")))</f>
        <v/>
      </c>
      <c r="D1613">
        <f>IF(OR($A1613="",$C1613=""),"",IF(ISNUMBER(Wages!$B1616),INT(MOD(Wages!$B1616,10000)/100),IFERROR(VALUE(TRIM(LEFT(MID(Wages!$B1616,FIND("/",Wages!$B1616)+1,20),FIND("/",MID(Wages!$B1616,FIND("/",Wages!$B1616)+1,20))-1))),"")))</f>
        <v/>
      </c>
      <c r="E1613">
        <f>IF(OR($A1613="",$C1613=""),"",IF(ISNUMBER(Wages!$B1616),MOD(Wages!$B1616,100),IFERROR(VALUE(TRIM(MID(MID(Wages!$B1616,FIND("/",Wages!$B1616)+1,20),FIND("/",MID(Wages!$B1616,FIND("/",Wages!$B1616)+1,20))+1,20))),"")))</f>
        <v/>
      </c>
      <c r="F1613">
        <f>IF($A1613="","",IF(OR($C1613="",$D1613="",$E1613="",$C1613&lt;1300,$C1613&gt;1500,$D1613&lt;1,$D1613&gt;12,$E1613&lt;1,$E1613&gt;31),"نامعتبر",RIGHT("0000"&amp;$C1613,4)&amp;"/"&amp;RIGHT("00"&amp;$D1613,2)&amp;"/"&amp;RIGHT("00"&amp;$E1613,2)))</f>
        <v/>
      </c>
      <c r="G1613">
        <f>IF(OR($A1613="",$F1613="",$F1613="نامعتبر"),"",LEFT($F1613,4)&amp;MID($F1613,6,2)&amp;RIGHT($F1613,2)&amp;"0000"&amp;"|"&amp;"1"&amp;RIGHT("00000"&amp;1608,5))</f>
        <v/>
      </c>
      <c r="H1613">
        <f>IF(OR($B1613&lt;&gt;1,$G1613=""),"",COUNTIFS(LdAParty,$A1613,LdAType,1,LdAKey,"&lt;"&amp;$G1613)+COUNTIFS(LdBMember,$A1613,LdBKey,"&lt;"&amp;$G1613)+COUNTIFS(LdCParty,$A1613,LdCKey,"&lt;"&amp;$G1613)+1)</f>
        <v/>
      </c>
      <c r="I1613">
        <f>IF($H1613="","",$A1613&amp;"|"&amp;RIGHT("000000"&amp;$H1613,6))</f>
        <v/>
      </c>
      <c r="J1613">
        <f>IF(OR($B1613&lt;&gt;2,$G1613=""),"",COUNTIFS(LdAParty,$A1613,LdAType,2,LdAKey,"&lt;"&amp;$G1613)+1)</f>
        <v/>
      </c>
      <c r="K1613">
        <f>IF($J1613="","",$A1613&amp;"|"&amp;RIGHT("000000"&amp;$J1613,6))</f>
        <v/>
      </c>
      <c r="L1613">
        <f>IF($A1613="","",IF(Wages!$G1616="",0,Wages!$G1616))</f>
        <v/>
      </c>
      <c r="M1613">
        <f>IF($A1613="","",Wages!$J1616)</f>
        <v/>
      </c>
      <c r="N1613">
        <f>IF($A1613="","",Wages!$D1616)</f>
        <v/>
      </c>
      <c r="P1613">
        <f>IF(OR(Shares!$B1616="",Shares!$C1616=""),"",Shares!$C1616)</f>
        <v/>
      </c>
      <c r="Q1613">
        <f>IF($P1613="","",Shares!$B1616)</f>
        <v/>
      </c>
      <c r="R1613">
        <f>IF($P1613="","",IFERROR(INDEX(WageParty,MATCH($Q1613,WageIds,0)),""))</f>
        <v/>
      </c>
      <c r="S1613">
        <f>IF($P1613="","",IFERROR(INDEX($F$6:$F$2005,MATCH($Q1613,WageIds,0)),""))</f>
        <v/>
      </c>
      <c r="T1613">
        <f>IF(OR($P1613="",$S1613="",$S1613="نامعتبر"),"",LEFT($S1613,4)&amp;MID($S1613,6,2)&amp;RIGHT($S1613,2)&amp;"0000"&amp;"|"&amp;"2"&amp;RIGHT("00000"&amp;1608,5))</f>
        <v/>
      </c>
      <c r="U1613">
        <f>IF($T1613="","",COUNTIFS(LdAParty,$P1613,LdAType,1,LdAKey,"&lt;"&amp;$T1613)+COUNTIFS(LdBMember,$P1613,LdBKey,"&lt;"&amp;$T1613)+COUNTIFS(LdCParty,$P1613,LdCKey,"&lt;"&amp;$T1613)+1)</f>
        <v/>
      </c>
      <c r="V1613">
        <f>IF($U1613="","",$P1613&amp;"|"&amp;RIGHT("000000"&amp;$U1613,6))</f>
        <v/>
      </c>
      <c r="W1613">
        <f>IF($T1613="","",COUNTIFS(LdBGroup,$R1613,LdBKey,"&lt;"&amp;$T1613)+1)</f>
        <v/>
      </c>
      <c r="X1613">
        <f>IF($W1613="","",$R1613&amp;"|"&amp;RIGHT("000000"&amp;$W1613,6))</f>
        <v/>
      </c>
      <c r="Y1613">
        <f>IF($P1613="","",IF(Shares!$E1616="",0,Shares!$E1616))</f>
        <v/>
      </c>
      <c r="Z1613">
        <f>IF($P1613="","",Shares!$H1616)</f>
        <v/>
      </c>
      <c r="AE1613">
        <f>IF(OR(Sync!$S1613="",Sync!$P1613=""),"",Sync!$S1613)</f>
        <v/>
      </c>
      <c r="AF1613">
        <f>IF($AE1613="","",IF(ISNUMBER(Sync!$P1613),IF(AND(Sync!$P1613&gt;=10000101,Sync!$P1613&lt;=99991231),INT(Sync!$P1613/10000),""),IFERROR(VALUE(TRIM(LEFT(Sync!$P1613,FIND("/",Sync!$P1613)-1))),"")))</f>
        <v/>
      </c>
      <c r="AG1613">
        <f>IF(OR($AE1613="",$AF1613=""),"",IF(ISNUMBER(Sync!$P1613),INT(MOD(Sync!$P1613,10000)/100),IFERROR(VALUE(TRIM(LEFT(MID(Sync!$P1613,FIND("/",Sync!$P1613)+1,20),FIND("/",MID(Sync!$P1613,FIND("/",Sync!$P1613)+1,20))-1))),"")))</f>
        <v/>
      </c>
      <c r="AH1613">
        <f>IF(OR($AE1613="",$AF1613=""),"",IF(ISNUMBER(Sync!$P1613),MOD(Sync!$P1613,100),IFERROR(VALUE(TRIM(MID(MID(Sync!$P1613,FIND("/",Sync!$P1613)+1,20),FIND("/",MID(Sync!$P1613,FIND("/",Sync!$P1613)+1,20))+1,20))),"")))</f>
        <v/>
      </c>
      <c r="AI1613">
        <f>IF($AE1613="","",IF(OR($AF1613="",$AG1613="",$AH1613="",$AF1613&lt;1300,$AF1613&gt;1500,$AG1613&lt;1,$AG1613&gt;12,$AH1613&lt;1,$AH1613&gt;31),"نامعتبر",RIGHT("0000"&amp;$AF1613,4)&amp;"/"&amp;RIGHT("00"&amp;$AG1613,2)&amp;"/"&amp;RIGHT("00"&amp;$AH1613,2)))</f>
        <v/>
      </c>
      <c r="AJ1613">
        <f>IF($AE1613="","",IF(Sync!$Q1613="","0000",IF(AND(ISNUMBER(Sync!$Q1613),Sync!$Q1613&gt;=0,Sync!$Q1613&lt;1),RIGHT("00"&amp;HOUR(Sync!$Q1613),2)&amp;RIGHT("00"&amp;MINUTE(Sync!$Q1613),2),IFERROR(RIGHT("00"&amp;VALUE(LEFT(Sync!$Q1613,FIND(":",Sync!$Q1613)-1)),2)&amp;RIGHT("00"&amp;VALUE(MID(Sync!$Q1613,FIND(":",Sync!$Q1613)+1,2)),2),"0000"))))</f>
        <v/>
      </c>
      <c r="AK1613">
        <f>IF(OR($AE1613="",$AI1613="",$AI1613="نامعتبر"),"",LEFT($AI1613,4)&amp;MID($AI1613,6,2)&amp;RIGHT($AI1613,2)&amp;$AJ1613&amp;"|"&amp;"3"&amp;RIGHT("00000"&amp;1608,5))</f>
        <v/>
      </c>
      <c r="AL1613">
        <f>IF($AK1613="","",COUNTIFS(LdAParty,$AE1613,LdAType,1,LdAKey,"&lt;"&amp;$AK1613)+COUNTIFS(LdBMember,$AE1613,LdBKey,"&lt;"&amp;$AK1613)+COUNTIFS(LdCParty,$AE1613,LdCKey,"&lt;"&amp;$AK1613)+1)</f>
        <v/>
      </c>
      <c r="AM1613">
        <f>IF($AL1613="","",$AE1613&amp;"|"&amp;RIGHT("000000"&amp;$AL1613,6))</f>
        <v/>
      </c>
      <c r="AN1613">
        <f>IF($AE1613="","",IF(Sync!$W1613="",0,Sync!$W1613))</f>
        <v/>
      </c>
      <c r="AO1613">
        <f>IF($AE1613="","",IF(Sync!$X1613="",0,Sync!$X1613))</f>
        <v/>
      </c>
      <c r="AP1613">
        <f>IF($AE1613="","",Sync!$R1613)</f>
        <v/>
      </c>
      <c r="AQ1613">
        <f>IF($AE1613="","",Sync!$Y1613)</f>
        <v/>
      </c>
    </row>
    <row r="1614">
      <c r="A1614">
        <f>IF(OR(Wages!$B1617="",Wages!$E1617=""),"",Wages!$E1617)</f>
        <v/>
      </c>
      <c r="B1614">
        <f>IF($A1614="","",IF(Wages!$C1617="دستمزد گروهی",2,1))</f>
        <v/>
      </c>
      <c r="C1614">
        <f>IF($A1614="","",IF(ISNUMBER(Wages!$B1617),IF(AND(Wages!$B1617&gt;=10000101,Wages!$B1617&lt;=99991231),INT(Wages!$B1617/10000),""),IFERROR(VALUE(TRIM(LEFT(Wages!$B1617,FIND("/",Wages!$B1617)-1))),"")))</f>
        <v/>
      </c>
      <c r="D1614">
        <f>IF(OR($A1614="",$C1614=""),"",IF(ISNUMBER(Wages!$B1617),INT(MOD(Wages!$B1617,10000)/100),IFERROR(VALUE(TRIM(LEFT(MID(Wages!$B1617,FIND("/",Wages!$B1617)+1,20),FIND("/",MID(Wages!$B1617,FIND("/",Wages!$B1617)+1,20))-1))),"")))</f>
        <v/>
      </c>
      <c r="E1614">
        <f>IF(OR($A1614="",$C1614=""),"",IF(ISNUMBER(Wages!$B1617),MOD(Wages!$B1617,100),IFERROR(VALUE(TRIM(MID(MID(Wages!$B1617,FIND("/",Wages!$B1617)+1,20),FIND("/",MID(Wages!$B1617,FIND("/",Wages!$B1617)+1,20))+1,20))),"")))</f>
        <v/>
      </c>
      <c r="F1614">
        <f>IF($A1614="","",IF(OR($C1614="",$D1614="",$E1614="",$C1614&lt;1300,$C1614&gt;1500,$D1614&lt;1,$D1614&gt;12,$E1614&lt;1,$E1614&gt;31),"نامعتبر",RIGHT("0000"&amp;$C1614,4)&amp;"/"&amp;RIGHT("00"&amp;$D1614,2)&amp;"/"&amp;RIGHT("00"&amp;$E1614,2)))</f>
        <v/>
      </c>
      <c r="G1614">
        <f>IF(OR($A1614="",$F1614="",$F1614="نامعتبر"),"",LEFT($F1614,4)&amp;MID($F1614,6,2)&amp;RIGHT($F1614,2)&amp;"0000"&amp;"|"&amp;"1"&amp;RIGHT("00000"&amp;1609,5))</f>
        <v/>
      </c>
      <c r="H1614">
        <f>IF(OR($B1614&lt;&gt;1,$G1614=""),"",COUNTIFS(LdAParty,$A1614,LdAType,1,LdAKey,"&lt;"&amp;$G1614)+COUNTIFS(LdBMember,$A1614,LdBKey,"&lt;"&amp;$G1614)+COUNTIFS(LdCParty,$A1614,LdCKey,"&lt;"&amp;$G1614)+1)</f>
        <v/>
      </c>
      <c r="I1614">
        <f>IF($H1614="","",$A1614&amp;"|"&amp;RIGHT("000000"&amp;$H1614,6))</f>
        <v/>
      </c>
      <c r="J1614">
        <f>IF(OR($B1614&lt;&gt;2,$G1614=""),"",COUNTIFS(LdAParty,$A1614,LdAType,2,LdAKey,"&lt;"&amp;$G1614)+1)</f>
        <v/>
      </c>
      <c r="K1614">
        <f>IF($J1614="","",$A1614&amp;"|"&amp;RIGHT("000000"&amp;$J1614,6))</f>
        <v/>
      </c>
      <c r="L1614">
        <f>IF($A1614="","",IF(Wages!$G1617="",0,Wages!$G1617))</f>
        <v/>
      </c>
      <c r="M1614">
        <f>IF($A1614="","",Wages!$J1617)</f>
        <v/>
      </c>
      <c r="N1614">
        <f>IF($A1614="","",Wages!$D1617)</f>
        <v/>
      </c>
      <c r="P1614">
        <f>IF(OR(Shares!$B1617="",Shares!$C1617=""),"",Shares!$C1617)</f>
        <v/>
      </c>
      <c r="Q1614">
        <f>IF($P1614="","",Shares!$B1617)</f>
        <v/>
      </c>
      <c r="R1614">
        <f>IF($P1614="","",IFERROR(INDEX(WageParty,MATCH($Q1614,WageIds,0)),""))</f>
        <v/>
      </c>
      <c r="S1614">
        <f>IF($P1614="","",IFERROR(INDEX($F$6:$F$2005,MATCH($Q1614,WageIds,0)),""))</f>
        <v/>
      </c>
      <c r="T1614">
        <f>IF(OR($P1614="",$S1614="",$S1614="نامعتبر"),"",LEFT($S1614,4)&amp;MID($S1614,6,2)&amp;RIGHT($S1614,2)&amp;"0000"&amp;"|"&amp;"2"&amp;RIGHT("00000"&amp;1609,5))</f>
        <v/>
      </c>
      <c r="U1614">
        <f>IF($T1614="","",COUNTIFS(LdAParty,$P1614,LdAType,1,LdAKey,"&lt;"&amp;$T1614)+COUNTIFS(LdBMember,$P1614,LdBKey,"&lt;"&amp;$T1614)+COUNTIFS(LdCParty,$P1614,LdCKey,"&lt;"&amp;$T1614)+1)</f>
        <v/>
      </c>
      <c r="V1614">
        <f>IF($U1614="","",$P1614&amp;"|"&amp;RIGHT("000000"&amp;$U1614,6))</f>
        <v/>
      </c>
      <c r="W1614">
        <f>IF($T1614="","",COUNTIFS(LdBGroup,$R1614,LdBKey,"&lt;"&amp;$T1614)+1)</f>
        <v/>
      </c>
      <c r="X1614">
        <f>IF($W1614="","",$R1614&amp;"|"&amp;RIGHT("000000"&amp;$W1614,6))</f>
        <v/>
      </c>
      <c r="Y1614">
        <f>IF($P1614="","",IF(Shares!$E1617="",0,Shares!$E1617))</f>
        <v/>
      </c>
      <c r="Z1614">
        <f>IF($P1614="","",Shares!$H1617)</f>
        <v/>
      </c>
      <c r="AE1614">
        <f>IF(OR(Sync!$S1614="",Sync!$P1614=""),"",Sync!$S1614)</f>
        <v/>
      </c>
      <c r="AF1614">
        <f>IF($AE1614="","",IF(ISNUMBER(Sync!$P1614),IF(AND(Sync!$P1614&gt;=10000101,Sync!$P1614&lt;=99991231),INT(Sync!$P1614/10000),""),IFERROR(VALUE(TRIM(LEFT(Sync!$P1614,FIND("/",Sync!$P1614)-1))),"")))</f>
        <v/>
      </c>
      <c r="AG1614">
        <f>IF(OR($AE1614="",$AF1614=""),"",IF(ISNUMBER(Sync!$P1614),INT(MOD(Sync!$P1614,10000)/100),IFERROR(VALUE(TRIM(LEFT(MID(Sync!$P1614,FIND("/",Sync!$P1614)+1,20),FIND("/",MID(Sync!$P1614,FIND("/",Sync!$P1614)+1,20))-1))),"")))</f>
        <v/>
      </c>
      <c r="AH1614">
        <f>IF(OR($AE1614="",$AF1614=""),"",IF(ISNUMBER(Sync!$P1614),MOD(Sync!$P1614,100),IFERROR(VALUE(TRIM(MID(MID(Sync!$P1614,FIND("/",Sync!$P1614)+1,20),FIND("/",MID(Sync!$P1614,FIND("/",Sync!$P1614)+1,20))+1,20))),"")))</f>
        <v/>
      </c>
      <c r="AI1614">
        <f>IF($AE1614="","",IF(OR($AF1614="",$AG1614="",$AH1614="",$AF1614&lt;1300,$AF1614&gt;1500,$AG1614&lt;1,$AG1614&gt;12,$AH1614&lt;1,$AH1614&gt;31),"نامعتبر",RIGHT("0000"&amp;$AF1614,4)&amp;"/"&amp;RIGHT("00"&amp;$AG1614,2)&amp;"/"&amp;RIGHT("00"&amp;$AH1614,2)))</f>
        <v/>
      </c>
      <c r="AJ1614">
        <f>IF($AE1614="","",IF(Sync!$Q1614="","0000",IF(AND(ISNUMBER(Sync!$Q1614),Sync!$Q1614&gt;=0,Sync!$Q1614&lt;1),RIGHT("00"&amp;HOUR(Sync!$Q1614),2)&amp;RIGHT("00"&amp;MINUTE(Sync!$Q1614),2),IFERROR(RIGHT("00"&amp;VALUE(LEFT(Sync!$Q1614,FIND(":",Sync!$Q1614)-1)),2)&amp;RIGHT("00"&amp;VALUE(MID(Sync!$Q1614,FIND(":",Sync!$Q1614)+1,2)),2),"0000"))))</f>
        <v/>
      </c>
      <c r="AK1614">
        <f>IF(OR($AE1614="",$AI1614="",$AI1614="نامعتبر"),"",LEFT($AI1614,4)&amp;MID($AI1614,6,2)&amp;RIGHT($AI1614,2)&amp;$AJ1614&amp;"|"&amp;"3"&amp;RIGHT("00000"&amp;1609,5))</f>
        <v/>
      </c>
      <c r="AL1614">
        <f>IF($AK1614="","",COUNTIFS(LdAParty,$AE1614,LdAType,1,LdAKey,"&lt;"&amp;$AK1614)+COUNTIFS(LdBMember,$AE1614,LdBKey,"&lt;"&amp;$AK1614)+COUNTIFS(LdCParty,$AE1614,LdCKey,"&lt;"&amp;$AK1614)+1)</f>
        <v/>
      </c>
      <c r="AM1614">
        <f>IF($AL1614="","",$AE1614&amp;"|"&amp;RIGHT("000000"&amp;$AL1614,6))</f>
        <v/>
      </c>
      <c r="AN1614">
        <f>IF($AE1614="","",IF(Sync!$W1614="",0,Sync!$W1614))</f>
        <v/>
      </c>
      <c r="AO1614">
        <f>IF($AE1614="","",IF(Sync!$X1614="",0,Sync!$X1614))</f>
        <v/>
      </c>
      <c r="AP1614">
        <f>IF($AE1614="","",Sync!$R1614)</f>
        <v/>
      </c>
      <c r="AQ1614">
        <f>IF($AE1614="","",Sync!$Y1614)</f>
        <v/>
      </c>
    </row>
    <row r="1615">
      <c r="A1615">
        <f>IF(OR(Wages!$B1618="",Wages!$E1618=""),"",Wages!$E1618)</f>
        <v/>
      </c>
      <c r="B1615">
        <f>IF($A1615="","",IF(Wages!$C1618="دستمزد گروهی",2,1))</f>
        <v/>
      </c>
      <c r="C1615">
        <f>IF($A1615="","",IF(ISNUMBER(Wages!$B1618),IF(AND(Wages!$B1618&gt;=10000101,Wages!$B1618&lt;=99991231),INT(Wages!$B1618/10000),""),IFERROR(VALUE(TRIM(LEFT(Wages!$B1618,FIND("/",Wages!$B1618)-1))),"")))</f>
        <v/>
      </c>
      <c r="D1615">
        <f>IF(OR($A1615="",$C1615=""),"",IF(ISNUMBER(Wages!$B1618),INT(MOD(Wages!$B1618,10000)/100),IFERROR(VALUE(TRIM(LEFT(MID(Wages!$B1618,FIND("/",Wages!$B1618)+1,20),FIND("/",MID(Wages!$B1618,FIND("/",Wages!$B1618)+1,20))-1))),"")))</f>
        <v/>
      </c>
      <c r="E1615">
        <f>IF(OR($A1615="",$C1615=""),"",IF(ISNUMBER(Wages!$B1618),MOD(Wages!$B1618,100),IFERROR(VALUE(TRIM(MID(MID(Wages!$B1618,FIND("/",Wages!$B1618)+1,20),FIND("/",MID(Wages!$B1618,FIND("/",Wages!$B1618)+1,20))+1,20))),"")))</f>
        <v/>
      </c>
      <c r="F1615">
        <f>IF($A1615="","",IF(OR($C1615="",$D1615="",$E1615="",$C1615&lt;1300,$C1615&gt;1500,$D1615&lt;1,$D1615&gt;12,$E1615&lt;1,$E1615&gt;31),"نامعتبر",RIGHT("0000"&amp;$C1615,4)&amp;"/"&amp;RIGHT("00"&amp;$D1615,2)&amp;"/"&amp;RIGHT("00"&amp;$E1615,2)))</f>
        <v/>
      </c>
      <c r="G1615">
        <f>IF(OR($A1615="",$F1615="",$F1615="نامعتبر"),"",LEFT($F1615,4)&amp;MID($F1615,6,2)&amp;RIGHT($F1615,2)&amp;"0000"&amp;"|"&amp;"1"&amp;RIGHT("00000"&amp;1610,5))</f>
        <v/>
      </c>
      <c r="H1615">
        <f>IF(OR($B1615&lt;&gt;1,$G1615=""),"",COUNTIFS(LdAParty,$A1615,LdAType,1,LdAKey,"&lt;"&amp;$G1615)+COUNTIFS(LdBMember,$A1615,LdBKey,"&lt;"&amp;$G1615)+COUNTIFS(LdCParty,$A1615,LdCKey,"&lt;"&amp;$G1615)+1)</f>
        <v/>
      </c>
      <c r="I1615">
        <f>IF($H1615="","",$A1615&amp;"|"&amp;RIGHT("000000"&amp;$H1615,6))</f>
        <v/>
      </c>
      <c r="J1615">
        <f>IF(OR($B1615&lt;&gt;2,$G1615=""),"",COUNTIFS(LdAParty,$A1615,LdAType,2,LdAKey,"&lt;"&amp;$G1615)+1)</f>
        <v/>
      </c>
      <c r="K1615">
        <f>IF($J1615="","",$A1615&amp;"|"&amp;RIGHT("000000"&amp;$J1615,6))</f>
        <v/>
      </c>
      <c r="L1615">
        <f>IF($A1615="","",IF(Wages!$G1618="",0,Wages!$G1618))</f>
        <v/>
      </c>
      <c r="M1615">
        <f>IF($A1615="","",Wages!$J1618)</f>
        <v/>
      </c>
      <c r="N1615">
        <f>IF($A1615="","",Wages!$D1618)</f>
        <v/>
      </c>
      <c r="P1615">
        <f>IF(OR(Shares!$B1618="",Shares!$C1618=""),"",Shares!$C1618)</f>
        <v/>
      </c>
      <c r="Q1615">
        <f>IF($P1615="","",Shares!$B1618)</f>
        <v/>
      </c>
      <c r="R1615">
        <f>IF($P1615="","",IFERROR(INDEX(WageParty,MATCH($Q1615,WageIds,0)),""))</f>
        <v/>
      </c>
      <c r="S1615">
        <f>IF($P1615="","",IFERROR(INDEX($F$6:$F$2005,MATCH($Q1615,WageIds,0)),""))</f>
        <v/>
      </c>
      <c r="T1615">
        <f>IF(OR($P1615="",$S1615="",$S1615="نامعتبر"),"",LEFT($S1615,4)&amp;MID($S1615,6,2)&amp;RIGHT($S1615,2)&amp;"0000"&amp;"|"&amp;"2"&amp;RIGHT("00000"&amp;1610,5))</f>
        <v/>
      </c>
      <c r="U1615">
        <f>IF($T1615="","",COUNTIFS(LdAParty,$P1615,LdAType,1,LdAKey,"&lt;"&amp;$T1615)+COUNTIFS(LdBMember,$P1615,LdBKey,"&lt;"&amp;$T1615)+COUNTIFS(LdCParty,$P1615,LdCKey,"&lt;"&amp;$T1615)+1)</f>
        <v/>
      </c>
      <c r="V1615">
        <f>IF($U1615="","",$P1615&amp;"|"&amp;RIGHT("000000"&amp;$U1615,6))</f>
        <v/>
      </c>
      <c r="W1615">
        <f>IF($T1615="","",COUNTIFS(LdBGroup,$R1615,LdBKey,"&lt;"&amp;$T1615)+1)</f>
        <v/>
      </c>
      <c r="X1615">
        <f>IF($W1615="","",$R1615&amp;"|"&amp;RIGHT("000000"&amp;$W1615,6))</f>
        <v/>
      </c>
      <c r="Y1615">
        <f>IF($P1615="","",IF(Shares!$E1618="",0,Shares!$E1618))</f>
        <v/>
      </c>
      <c r="Z1615">
        <f>IF($P1615="","",Shares!$H1618)</f>
        <v/>
      </c>
      <c r="AE1615">
        <f>IF(OR(Sync!$S1615="",Sync!$P1615=""),"",Sync!$S1615)</f>
        <v/>
      </c>
      <c r="AF1615">
        <f>IF($AE1615="","",IF(ISNUMBER(Sync!$P1615),IF(AND(Sync!$P1615&gt;=10000101,Sync!$P1615&lt;=99991231),INT(Sync!$P1615/10000),""),IFERROR(VALUE(TRIM(LEFT(Sync!$P1615,FIND("/",Sync!$P1615)-1))),"")))</f>
        <v/>
      </c>
      <c r="AG1615">
        <f>IF(OR($AE1615="",$AF1615=""),"",IF(ISNUMBER(Sync!$P1615),INT(MOD(Sync!$P1615,10000)/100),IFERROR(VALUE(TRIM(LEFT(MID(Sync!$P1615,FIND("/",Sync!$P1615)+1,20),FIND("/",MID(Sync!$P1615,FIND("/",Sync!$P1615)+1,20))-1))),"")))</f>
        <v/>
      </c>
      <c r="AH1615">
        <f>IF(OR($AE1615="",$AF1615=""),"",IF(ISNUMBER(Sync!$P1615),MOD(Sync!$P1615,100),IFERROR(VALUE(TRIM(MID(MID(Sync!$P1615,FIND("/",Sync!$P1615)+1,20),FIND("/",MID(Sync!$P1615,FIND("/",Sync!$P1615)+1,20))+1,20))),"")))</f>
        <v/>
      </c>
      <c r="AI1615">
        <f>IF($AE1615="","",IF(OR($AF1615="",$AG1615="",$AH1615="",$AF1615&lt;1300,$AF1615&gt;1500,$AG1615&lt;1,$AG1615&gt;12,$AH1615&lt;1,$AH1615&gt;31),"نامعتبر",RIGHT("0000"&amp;$AF1615,4)&amp;"/"&amp;RIGHT("00"&amp;$AG1615,2)&amp;"/"&amp;RIGHT("00"&amp;$AH1615,2)))</f>
        <v/>
      </c>
      <c r="AJ1615">
        <f>IF($AE1615="","",IF(Sync!$Q1615="","0000",IF(AND(ISNUMBER(Sync!$Q1615),Sync!$Q1615&gt;=0,Sync!$Q1615&lt;1),RIGHT("00"&amp;HOUR(Sync!$Q1615),2)&amp;RIGHT("00"&amp;MINUTE(Sync!$Q1615),2),IFERROR(RIGHT("00"&amp;VALUE(LEFT(Sync!$Q1615,FIND(":",Sync!$Q1615)-1)),2)&amp;RIGHT("00"&amp;VALUE(MID(Sync!$Q1615,FIND(":",Sync!$Q1615)+1,2)),2),"0000"))))</f>
        <v/>
      </c>
      <c r="AK1615">
        <f>IF(OR($AE1615="",$AI1615="",$AI1615="نامعتبر"),"",LEFT($AI1615,4)&amp;MID($AI1615,6,2)&amp;RIGHT($AI1615,2)&amp;$AJ1615&amp;"|"&amp;"3"&amp;RIGHT("00000"&amp;1610,5))</f>
        <v/>
      </c>
      <c r="AL1615">
        <f>IF($AK1615="","",COUNTIFS(LdAParty,$AE1615,LdAType,1,LdAKey,"&lt;"&amp;$AK1615)+COUNTIFS(LdBMember,$AE1615,LdBKey,"&lt;"&amp;$AK1615)+COUNTIFS(LdCParty,$AE1615,LdCKey,"&lt;"&amp;$AK1615)+1)</f>
        <v/>
      </c>
      <c r="AM1615">
        <f>IF($AL1615="","",$AE1615&amp;"|"&amp;RIGHT("000000"&amp;$AL1615,6))</f>
        <v/>
      </c>
      <c r="AN1615">
        <f>IF($AE1615="","",IF(Sync!$W1615="",0,Sync!$W1615))</f>
        <v/>
      </c>
      <c r="AO1615">
        <f>IF($AE1615="","",IF(Sync!$X1615="",0,Sync!$X1615))</f>
        <v/>
      </c>
      <c r="AP1615">
        <f>IF($AE1615="","",Sync!$R1615)</f>
        <v/>
      </c>
      <c r="AQ1615">
        <f>IF($AE1615="","",Sync!$Y1615)</f>
        <v/>
      </c>
    </row>
    <row r="1616">
      <c r="A1616">
        <f>IF(OR(Wages!$B1619="",Wages!$E1619=""),"",Wages!$E1619)</f>
        <v/>
      </c>
      <c r="B1616">
        <f>IF($A1616="","",IF(Wages!$C1619="دستمزد گروهی",2,1))</f>
        <v/>
      </c>
      <c r="C1616">
        <f>IF($A1616="","",IF(ISNUMBER(Wages!$B1619),IF(AND(Wages!$B1619&gt;=10000101,Wages!$B1619&lt;=99991231),INT(Wages!$B1619/10000),""),IFERROR(VALUE(TRIM(LEFT(Wages!$B1619,FIND("/",Wages!$B1619)-1))),"")))</f>
        <v/>
      </c>
      <c r="D1616">
        <f>IF(OR($A1616="",$C1616=""),"",IF(ISNUMBER(Wages!$B1619),INT(MOD(Wages!$B1619,10000)/100),IFERROR(VALUE(TRIM(LEFT(MID(Wages!$B1619,FIND("/",Wages!$B1619)+1,20),FIND("/",MID(Wages!$B1619,FIND("/",Wages!$B1619)+1,20))-1))),"")))</f>
        <v/>
      </c>
      <c r="E1616">
        <f>IF(OR($A1616="",$C1616=""),"",IF(ISNUMBER(Wages!$B1619),MOD(Wages!$B1619,100),IFERROR(VALUE(TRIM(MID(MID(Wages!$B1619,FIND("/",Wages!$B1619)+1,20),FIND("/",MID(Wages!$B1619,FIND("/",Wages!$B1619)+1,20))+1,20))),"")))</f>
        <v/>
      </c>
      <c r="F1616">
        <f>IF($A1616="","",IF(OR($C1616="",$D1616="",$E1616="",$C1616&lt;1300,$C1616&gt;1500,$D1616&lt;1,$D1616&gt;12,$E1616&lt;1,$E1616&gt;31),"نامعتبر",RIGHT("0000"&amp;$C1616,4)&amp;"/"&amp;RIGHT("00"&amp;$D1616,2)&amp;"/"&amp;RIGHT("00"&amp;$E1616,2)))</f>
        <v/>
      </c>
      <c r="G1616">
        <f>IF(OR($A1616="",$F1616="",$F1616="نامعتبر"),"",LEFT($F1616,4)&amp;MID($F1616,6,2)&amp;RIGHT($F1616,2)&amp;"0000"&amp;"|"&amp;"1"&amp;RIGHT("00000"&amp;1611,5))</f>
        <v/>
      </c>
      <c r="H1616">
        <f>IF(OR($B1616&lt;&gt;1,$G1616=""),"",COUNTIFS(LdAParty,$A1616,LdAType,1,LdAKey,"&lt;"&amp;$G1616)+COUNTIFS(LdBMember,$A1616,LdBKey,"&lt;"&amp;$G1616)+COUNTIFS(LdCParty,$A1616,LdCKey,"&lt;"&amp;$G1616)+1)</f>
        <v/>
      </c>
      <c r="I1616">
        <f>IF($H1616="","",$A1616&amp;"|"&amp;RIGHT("000000"&amp;$H1616,6))</f>
        <v/>
      </c>
      <c r="J1616">
        <f>IF(OR($B1616&lt;&gt;2,$G1616=""),"",COUNTIFS(LdAParty,$A1616,LdAType,2,LdAKey,"&lt;"&amp;$G1616)+1)</f>
        <v/>
      </c>
      <c r="K1616">
        <f>IF($J1616="","",$A1616&amp;"|"&amp;RIGHT("000000"&amp;$J1616,6))</f>
        <v/>
      </c>
      <c r="L1616">
        <f>IF($A1616="","",IF(Wages!$G1619="",0,Wages!$G1619))</f>
        <v/>
      </c>
      <c r="M1616">
        <f>IF($A1616="","",Wages!$J1619)</f>
        <v/>
      </c>
      <c r="N1616">
        <f>IF($A1616="","",Wages!$D1619)</f>
        <v/>
      </c>
      <c r="P1616">
        <f>IF(OR(Shares!$B1619="",Shares!$C1619=""),"",Shares!$C1619)</f>
        <v/>
      </c>
      <c r="Q1616">
        <f>IF($P1616="","",Shares!$B1619)</f>
        <v/>
      </c>
      <c r="R1616">
        <f>IF($P1616="","",IFERROR(INDEX(WageParty,MATCH($Q1616,WageIds,0)),""))</f>
        <v/>
      </c>
      <c r="S1616">
        <f>IF($P1616="","",IFERROR(INDEX($F$6:$F$2005,MATCH($Q1616,WageIds,0)),""))</f>
        <v/>
      </c>
      <c r="T1616">
        <f>IF(OR($P1616="",$S1616="",$S1616="نامعتبر"),"",LEFT($S1616,4)&amp;MID($S1616,6,2)&amp;RIGHT($S1616,2)&amp;"0000"&amp;"|"&amp;"2"&amp;RIGHT("00000"&amp;1611,5))</f>
        <v/>
      </c>
      <c r="U1616">
        <f>IF($T1616="","",COUNTIFS(LdAParty,$P1616,LdAType,1,LdAKey,"&lt;"&amp;$T1616)+COUNTIFS(LdBMember,$P1616,LdBKey,"&lt;"&amp;$T1616)+COUNTIFS(LdCParty,$P1616,LdCKey,"&lt;"&amp;$T1616)+1)</f>
        <v/>
      </c>
      <c r="V1616">
        <f>IF($U1616="","",$P1616&amp;"|"&amp;RIGHT("000000"&amp;$U1616,6))</f>
        <v/>
      </c>
      <c r="W1616">
        <f>IF($T1616="","",COUNTIFS(LdBGroup,$R1616,LdBKey,"&lt;"&amp;$T1616)+1)</f>
        <v/>
      </c>
      <c r="X1616">
        <f>IF($W1616="","",$R1616&amp;"|"&amp;RIGHT("000000"&amp;$W1616,6))</f>
        <v/>
      </c>
      <c r="Y1616">
        <f>IF($P1616="","",IF(Shares!$E1619="",0,Shares!$E1619))</f>
        <v/>
      </c>
      <c r="Z1616">
        <f>IF($P1616="","",Shares!$H1619)</f>
        <v/>
      </c>
      <c r="AE1616">
        <f>IF(OR(Sync!$S1616="",Sync!$P1616=""),"",Sync!$S1616)</f>
        <v/>
      </c>
      <c r="AF1616">
        <f>IF($AE1616="","",IF(ISNUMBER(Sync!$P1616),IF(AND(Sync!$P1616&gt;=10000101,Sync!$P1616&lt;=99991231),INT(Sync!$P1616/10000),""),IFERROR(VALUE(TRIM(LEFT(Sync!$P1616,FIND("/",Sync!$P1616)-1))),"")))</f>
        <v/>
      </c>
      <c r="AG1616">
        <f>IF(OR($AE1616="",$AF1616=""),"",IF(ISNUMBER(Sync!$P1616),INT(MOD(Sync!$P1616,10000)/100),IFERROR(VALUE(TRIM(LEFT(MID(Sync!$P1616,FIND("/",Sync!$P1616)+1,20),FIND("/",MID(Sync!$P1616,FIND("/",Sync!$P1616)+1,20))-1))),"")))</f>
        <v/>
      </c>
      <c r="AH1616">
        <f>IF(OR($AE1616="",$AF1616=""),"",IF(ISNUMBER(Sync!$P1616),MOD(Sync!$P1616,100),IFERROR(VALUE(TRIM(MID(MID(Sync!$P1616,FIND("/",Sync!$P1616)+1,20),FIND("/",MID(Sync!$P1616,FIND("/",Sync!$P1616)+1,20))+1,20))),"")))</f>
        <v/>
      </c>
      <c r="AI1616">
        <f>IF($AE1616="","",IF(OR($AF1616="",$AG1616="",$AH1616="",$AF1616&lt;1300,$AF1616&gt;1500,$AG1616&lt;1,$AG1616&gt;12,$AH1616&lt;1,$AH1616&gt;31),"نامعتبر",RIGHT("0000"&amp;$AF1616,4)&amp;"/"&amp;RIGHT("00"&amp;$AG1616,2)&amp;"/"&amp;RIGHT("00"&amp;$AH1616,2)))</f>
        <v/>
      </c>
      <c r="AJ1616">
        <f>IF($AE1616="","",IF(Sync!$Q1616="","0000",IF(AND(ISNUMBER(Sync!$Q1616),Sync!$Q1616&gt;=0,Sync!$Q1616&lt;1),RIGHT("00"&amp;HOUR(Sync!$Q1616),2)&amp;RIGHT("00"&amp;MINUTE(Sync!$Q1616),2),IFERROR(RIGHT("00"&amp;VALUE(LEFT(Sync!$Q1616,FIND(":",Sync!$Q1616)-1)),2)&amp;RIGHT("00"&amp;VALUE(MID(Sync!$Q1616,FIND(":",Sync!$Q1616)+1,2)),2),"0000"))))</f>
        <v/>
      </c>
      <c r="AK1616">
        <f>IF(OR($AE1616="",$AI1616="",$AI1616="نامعتبر"),"",LEFT($AI1616,4)&amp;MID($AI1616,6,2)&amp;RIGHT($AI1616,2)&amp;$AJ1616&amp;"|"&amp;"3"&amp;RIGHT("00000"&amp;1611,5))</f>
        <v/>
      </c>
      <c r="AL1616">
        <f>IF($AK1616="","",COUNTIFS(LdAParty,$AE1616,LdAType,1,LdAKey,"&lt;"&amp;$AK1616)+COUNTIFS(LdBMember,$AE1616,LdBKey,"&lt;"&amp;$AK1616)+COUNTIFS(LdCParty,$AE1616,LdCKey,"&lt;"&amp;$AK1616)+1)</f>
        <v/>
      </c>
      <c r="AM1616">
        <f>IF($AL1616="","",$AE1616&amp;"|"&amp;RIGHT("000000"&amp;$AL1616,6))</f>
        <v/>
      </c>
      <c r="AN1616">
        <f>IF($AE1616="","",IF(Sync!$W1616="",0,Sync!$W1616))</f>
        <v/>
      </c>
      <c r="AO1616">
        <f>IF($AE1616="","",IF(Sync!$X1616="",0,Sync!$X1616))</f>
        <v/>
      </c>
      <c r="AP1616">
        <f>IF($AE1616="","",Sync!$R1616)</f>
        <v/>
      </c>
      <c r="AQ1616">
        <f>IF($AE1616="","",Sync!$Y1616)</f>
        <v/>
      </c>
    </row>
    <row r="1617">
      <c r="A1617">
        <f>IF(OR(Wages!$B1620="",Wages!$E1620=""),"",Wages!$E1620)</f>
        <v/>
      </c>
      <c r="B1617">
        <f>IF($A1617="","",IF(Wages!$C1620="دستمزد گروهی",2,1))</f>
        <v/>
      </c>
      <c r="C1617">
        <f>IF($A1617="","",IF(ISNUMBER(Wages!$B1620),IF(AND(Wages!$B1620&gt;=10000101,Wages!$B1620&lt;=99991231),INT(Wages!$B1620/10000),""),IFERROR(VALUE(TRIM(LEFT(Wages!$B1620,FIND("/",Wages!$B1620)-1))),"")))</f>
        <v/>
      </c>
      <c r="D1617">
        <f>IF(OR($A1617="",$C1617=""),"",IF(ISNUMBER(Wages!$B1620),INT(MOD(Wages!$B1620,10000)/100),IFERROR(VALUE(TRIM(LEFT(MID(Wages!$B1620,FIND("/",Wages!$B1620)+1,20),FIND("/",MID(Wages!$B1620,FIND("/",Wages!$B1620)+1,20))-1))),"")))</f>
        <v/>
      </c>
      <c r="E1617">
        <f>IF(OR($A1617="",$C1617=""),"",IF(ISNUMBER(Wages!$B1620),MOD(Wages!$B1620,100),IFERROR(VALUE(TRIM(MID(MID(Wages!$B1620,FIND("/",Wages!$B1620)+1,20),FIND("/",MID(Wages!$B1620,FIND("/",Wages!$B1620)+1,20))+1,20))),"")))</f>
        <v/>
      </c>
      <c r="F1617">
        <f>IF($A1617="","",IF(OR($C1617="",$D1617="",$E1617="",$C1617&lt;1300,$C1617&gt;1500,$D1617&lt;1,$D1617&gt;12,$E1617&lt;1,$E1617&gt;31),"نامعتبر",RIGHT("0000"&amp;$C1617,4)&amp;"/"&amp;RIGHT("00"&amp;$D1617,2)&amp;"/"&amp;RIGHT("00"&amp;$E1617,2)))</f>
        <v/>
      </c>
      <c r="G1617">
        <f>IF(OR($A1617="",$F1617="",$F1617="نامعتبر"),"",LEFT($F1617,4)&amp;MID($F1617,6,2)&amp;RIGHT($F1617,2)&amp;"0000"&amp;"|"&amp;"1"&amp;RIGHT("00000"&amp;1612,5))</f>
        <v/>
      </c>
      <c r="H1617">
        <f>IF(OR($B1617&lt;&gt;1,$G1617=""),"",COUNTIFS(LdAParty,$A1617,LdAType,1,LdAKey,"&lt;"&amp;$G1617)+COUNTIFS(LdBMember,$A1617,LdBKey,"&lt;"&amp;$G1617)+COUNTIFS(LdCParty,$A1617,LdCKey,"&lt;"&amp;$G1617)+1)</f>
        <v/>
      </c>
      <c r="I1617">
        <f>IF($H1617="","",$A1617&amp;"|"&amp;RIGHT("000000"&amp;$H1617,6))</f>
        <v/>
      </c>
      <c r="J1617">
        <f>IF(OR($B1617&lt;&gt;2,$G1617=""),"",COUNTIFS(LdAParty,$A1617,LdAType,2,LdAKey,"&lt;"&amp;$G1617)+1)</f>
        <v/>
      </c>
      <c r="K1617">
        <f>IF($J1617="","",$A1617&amp;"|"&amp;RIGHT("000000"&amp;$J1617,6))</f>
        <v/>
      </c>
      <c r="L1617">
        <f>IF($A1617="","",IF(Wages!$G1620="",0,Wages!$G1620))</f>
        <v/>
      </c>
      <c r="M1617">
        <f>IF($A1617="","",Wages!$J1620)</f>
        <v/>
      </c>
      <c r="N1617">
        <f>IF($A1617="","",Wages!$D1620)</f>
        <v/>
      </c>
      <c r="P1617">
        <f>IF(OR(Shares!$B1620="",Shares!$C1620=""),"",Shares!$C1620)</f>
        <v/>
      </c>
      <c r="Q1617">
        <f>IF($P1617="","",Shares!$B1620)</f>
        <v/>
      </c>
      <c r="R1617">
        <f>IF($P1617="","",IFERROR(INDEX(WageParty,MATCH($Q1617,WageIds,0)),""))</f>
        <v/>
      </c>
      <c r="S1617">
        <f>IF($P1617="","",IFERROR(INDEX($F$6:$F$2005,MATCH($Q1617,WageIds,0)),""))</f>
        <v/>
      </c>
      <c r="T1617">
        <f>IF(OR($P1617="",$S1617="",$S1617="نامعتبر"),"",LEFT($S1617,4)&amp;MID($S1617,6,2)&amp;RIGHT($S1617,2)&amp;"0000"&amp;"|"&amp;"2"&amp;RIGHT("00000"&amp;1612,5))</f>
        <v/>
      </c>
      <c r="U1617">
        <f>IF($T1617="","",COUNTIFS(LdAParty,$P1617,LdAType,1,LdAKey,"&lt;"&amp;$T1617)+COUNTIFS(LdBMember,$P1617,LdBKey,"&lt;"&amp;$T1617)+COUNTIFS(LdCParty,$P1617,LdCKey,"&lt;"&amp;$T1617)+1)</f>
        <v/>
      </c>
      <c r="V1617">
        <f>IF($U1617="","",$P1617&amp;"|"&amp;RIGHT("000000"&amp;$U1617,6))</f>
        <v/>
      </c>
      <c r="W1617">
        <f>IF($T1617="","",COUNTIFS(LdBGroup,$R1617,LdBKey,"&lt;"&amp;$T1617)+1)</f>
        <v/>
      </c>
      <c r="X1617">
        <f>IF($W1617="","",$R1617&amp;"|"&amp;RIGHT("000000"&amp;$W1617,6))</f>
        <v/>
      </c>
      <c r="Y1617">
        <f>IF($P1617="","",IF(Shares!$E1620="",0,Shares!$E1620))</f>
        <v/>
      </c>
      <c r="Z1617">
        <f>IF($P1617="","",Shares!$H1620)</f>
        <v/>
      </c>
      <c r="AE1617">
        <f>IF(OR(Sync!$S1617="",Sync!$P1617=""),"",Sync!$S1617)</f>
        <v/>
      </c>
      <c r="AF1617">
        <f>IF($AE1617="","",IF(ISNUMBER(Sync!$P1617),IF(AND(Sync!$P1617&gt;=10000101,Sync!$P1617&lt;=99991231),INT(Sync!$P1617/10000),""),IFERROR(VALUE(TRIM(LEFT(Sync!$P1617,FIND("/",Sync!$P1617)-1))),"")))</f>
        <v/>
      </c>
      <c r="AG1617">
        <f>IF(OR($AE1617="",$AF1617=""),"",IF(ISNUMBER(Sync!$P1617),INT(MOD(Sync!$P1617,10000)/100),IFERROR(VALUE(TRIM(LEFT(MID(Sync!$P1617,FIND("/",Sync!$P1617)+1,20),FIND("/",MID(Sync!$P1617,FIND("/",Sync!$P1617)+1,20))-1))),"")))</f>
        <v/>
      </c>
      <c r="AH1617">
        <f>IF(OR($AE1617="",$AF1617=""),"",IF(ISNUMBER(Sync!$P1617),MOD(Sync!$P1617,100),IFERROR(VALUE(TRIM(MID(MID(Sync!$P1617,FIND("/",Sync!$P1617)+1,20),FIND("/",MID(Sync!$P1617,FIND("/",Sync!$P1617)+1,20))+1,20))),"")))</f>
        <v/>
      </c>
      <c r="AI1617">
        <f>IF($AE1617="","",IF(OR($AF1617="",$AG1617="",$AH1617="",$AF1617&lt;1300,$AF1617&gt;1500,$AG1617&lt;1,$AG1617&gt;12,$AH1617&lt;1,$AH1617&gt;31),"نامعتبر",RIGHT("0000"&amp;$AF1617,4)&amp;"/"&amp;RIGHT("00"&amp;$AG1617,2)&amp;"/"&amp;RIGHT("00"&amp;$AH1617,2)))</f>
        <v/>
      </c>
      <c r="AJ1617">
        <f>IF($AE1617="","",IF(Sync!$Q1617="","0000",IF(AND(ISNUMBER(Sync!$Q1617),Sync!$Q1617&gt;=0,Sync!$Q1617&lt;1),RIGHT("00"&amp;HOUR(Sync!$Q1617),2)&amp;RIGHT("00"&amp;MINUTE(Sync!$Q1617),2),IFERROR(RIGHT("00"&amp;VALUE(LEFT(Sync!$Q1617,FIND(":",Sync!$Q1617)-1)),2)&amp;RIGHT("00"&amp;VALUE(MID(Sync!$Q1617,FIND(":",Sync!$Q1617)+1,2)),2),"0000"))))</f>
        <v/>
      </c>
      <c r="AK1617">
        <f>IF(OR($AE1617="",$AI1617="",$AI1617="نامعتبر"),"",LEFT($AI1617,4)&amp;MID($AI1617,6,2)&amp;RIGHT($AI1617,2)&amp;$AJ1617&amp;"|"&amp;"3"&amp;RIGHT("00000"&amp;1612,5))</f>
        <v/>
      </c>
      <c r="AL1617">
        <f>IF($AK1617="","",COUNTIFS(LdAParty,$AE1617,LdAType,1,LdAKey,"&lt;"&amp;$AK1617)+COUNTIFS(LdBMember,$AE1617,LdBKey,"&lt;"&amp;$AK1617)+COUNTIFS(LdCParty,$AE1617,LdCKey,"&lt;"&amp;$AK1617)+1)</f>
        <v/>
      </c>
      <c r="AM1617">
        <f>IF($AL1617="","",$AE1617&amp;"|"&amp;RIGHT("000000"&amp;$AL1617,6))</f>
        <v/>
      </c>
      <c r="AN1617">
        <f>IF($AE1617="","",IF(Sync!$W1617="",0,Sync!$W1617))</f>
        <v/>
      </c>
      <c r="AO1617">
        <f>IF($AE1617="","",IF(Sync!$X1617="",0,Sync!$X1617))</f>
        <v/>
      </c>
      <c r="AP1617">
        <f>IF($AE1617="","",Sync!$R1617)</f>
        <v/>
      </c>
      <c r="AQ1617">
        <f>IF($AE1617="","",Sync!$Y1617)</f>
        <v/>
      </c>
    </row>
    <row r="1618">
      <c r="A1618">
        <f>IF(OR(Wages!$B1621="",Wages!$E1621=""),"",Wages!$E1621)</f>
        <v/>
      </c>
      <c r="B1618">
        <f>IF($A1618="","",IF(Wages!$C1621="دستمزد گروهی",2,1))</f>
        <v/>
      </c>
      <c r="C1618">
        <f>IF($A1618="","",IF(ISNUMBER(Wages!$B1621),IF(AND(Wages!$B1621&gt;=10000101,Wages!$B1621&lt;=99991231),INT(Wages!$B1621/10000),""),IFERROR(VALUE(TRIM(LEFT(Wages!$B1621,FIND("/",Wages!$B1621)-1))),"")))</f>
        <v/>
      </c>
      <c r="D1618">
        <f>IF(OR($A1618="",$C1618=""),"",IF(ISNUMBER(Wages!$B1621),INT(MOD(Wages!$B1621,10000)/100),IFERROR(VALUE(TRIM(LEFT(MID(Wages!$B1621,FIND("/",Wages!$B1621)+1,20),FIND("/",MID(Wages!$B1621,FIND("/",Wages!$B1621)+1,20))-1))),"")))</f>
        <v/>
      </c>
      <c r="E1618">
        <f>IF(OR($A1618="",$C1618=""),"",IF(ISNUMBER(Wages!$B1621),MOD(Wages!$B1621,100),IFERROR(VALUE(TRIM(MID(MID(Wages!$B1621,FIND("/",Wages!$B1621)+1,20),FIND("/",MID(Wages!$B1621,FIND("/",Wages!$B1621)+1,20))+1,20))),"")))</f>
        <v/>
      </c>
      <c r="F1618">
        <f>IF($A1618="","",IF(OR($C1618="",$D1618="",$E1618="",$C1618&lt;1300,$C1618&gt;1500,$D1618&lt;1,$D1618&gt;12,$E1618&lt;1,$E1618&gt;31),"نامعتبر",RIGHT("0000"&amp;$C1618,4)&amp;"/"&amp;RIGHT("00"&amp;$D1618,2)&amp;"/"&amp;RIGHT("00"&amp;$E1618,2)))</f>
        <v/>
      </c>
      <c r="G1618">
        <f>IF(OR($A1618="",$F1618="",$F1618="نامعتبر"),"",LEFT($F1618,4)&amp;MID($F1618,6,2)&amp;RIGHT($F1618,2)&amp;"0000"&amp;"|"&amp;"1"&amp;RIGHT("00000"&amp;1613,5))</f>
        <v/>
      </c>
      <c r="H1618">
        <f>IF(OR($B1618&lt;&gt;1,$G1618=""),"",COUNTIFS(LdAParty,$A1618,LdAType,1,LdAKey,"&lt;"&amp;$G1618)+COUNTIFS(LdBMember,$A1618,LdBKey,"&lt;"&amp;$G1618)+COUNTIFS(LdCParty,$A1618,LdCKey,"&lt;"&amp;$G1618)+1)</f>
        <v/>
      </c>
      <c r="I1618">
        <f>IF($H1618="","",$A1618&amp;"|"&amp;RIGHT("000000"&amp;$H1618,6))</f>
        <v/>
      </c>
      <c r="J1618">
        <f>IF(OR($B1618&lt;&gt;2,$G1618=""),"",COUNTIFS(LdAParty,$A1618,LdAType,2,LdAKey,"&lt;"&amp;$G1618)+1)</f>
        <v/>
      </c>
      <c r="K1618">
        <f>IF($J1618="","",$A1618&amp;"|"&amp;RIGHT("000000"&amp;$J1618,6))</f>
        <v/>
      </c>
      <c r="L1618">
        <f>IF($A1618="","",IF(Wages!$G1621="",0,Wages!$G1621))</f>
        <v/>
      </c>
      <c r="M1618">
        <f>IF($A1618="","",Wages!$J1621)</f>
        <v/>
      </c>
      <c r="N1618">
        <f>IF($A1618="","",Wages!$D1621)</f>
        <v/>
      </c>
      <c r="P1618">
        <f>IF(OR(Shares!$B1621="",Shares!$C1621=""),"",Shares!$C1621)</f>
        <v/>
      </c>
      <c r="Q1618">
        <f>IF($P1618="","",Shares!$B1621)</f>
        <v/>
      </c>
      <c r="R1618">
        <f>IF($P1618="","",IFERROR(INDEX(WageParty,MATCH($Q1618,WageIds,0)),""))</f>
        <v/>
      </c>
      <c r="S1618">
        <f>IF($P1618="","",IFERROR(INDEX($F$6:$F$2005,MATCH($Q1618,WageIds,0)),""))</f>
        <v/>
      </c>
      <c r="T1618">
        <f>IF(OR($P1618="",$S1618="",$S1618="نامعتبر"),"",LEFT($S1618,4)&amp;MID($S1618,6,2)&amp;RIGHT($S1618,2)&amp;"0000"&amp;"|"&amp;"2"&amp;RIGHT("00000"&amp;1613,5))</f>
        <v/>
      </c>
      <c r="U1618">
        <f>IF($T1618="","",COUNTIFS(LdAParty,$P1618,LdAType,1,LdAKey,"&lt;"&amp;$T1618)+COUNTIFS(LdBMember,$P1618,LdBKey,"&lt;"&amp;$T1618)+COUNTIFS(LdCParty,$P1618,LdCKey,"&lt;"&amp;$T1618)+1)</f>
        <v/>
      </c>
      <c r="V1618">
        <f>IF($U1618="","",$P1618&amp;"|"&amp;RIGHT("000000"&amp;$U1618,6))</f>
        <v/>
      </c>
      <c r="W1618">
        <f>IF($T1618="","",COUNTIFS(LdBGroup,$R1618,LdBKey,"&lt;"&amp;$T1618)+1)</f>
        <v/>
      </c>
      <c r="X1618">
        <f>IF($W1618="","",$R1618&amp;"|"&amp;RIGHT("000000"&amp;$W1618,6))</f>
        <v/>
      </c>
      <c r="Y1618">
        <f>IF($P1618="","",IF(Shares!$E1621="",0,Shares!$E1621))</f>
        <v/>
      </c>
      <c r="Z1618">
        <f>IF($P1618="","",Shares!$H1621)</f>
        <v/>
      </c>
      <c r="AE1618">
        <f>IF(OR(Sync!$S1618="",Sync!$P1618=""),"",Sync!$S1618)</f>
        <v/>
      </c>
      <c r="AF1618">
        <f>IF($AE1618="","",IF(ISNUMBER(Sync!$P1618),IF(AND(Sync!$P1618&gt;=10000101,Sync!$P1618&lt;=99991231),INT(Sync!$P1618/10000),""),IFERROR(VALUE(TRIM(LEFT(Sync!$P1618,FIND("/",Sync!$P1618)-1))),"")))</f>
        <v/>
      </c>
      <c r="AG1618">
        <f>IF(OR($AE1618="",$AF1618=""),"",IF(ISNUMBER(Sync!$P1618),INT(MOD(Sync!$P1618,10000)/100),IFERROR(VALUE(TRIM(LEFT(MID(Sync!$P1618,FIND("/",Sync!$P1618)+1,20),FIND("/",MID(Sync!$P1618,FIND("/",Sync!$P1618)+1,20))-1))),"")))</f>
        <v/>
      </c>
      <c r="AH1618">
        <f>IF(OR($AE1618="",$AF1618=""),"",IF(ISNUMBER(Sync!$P1618),MOD(Sync!$P1618,100),IFERROR(VALUE(TRIM(MID(MID(Sync!$P1618,FIND("/",Sync!$P1618)+1,20),FIND("/",MID(Sync!$P1618,FIND("/",Sync!$P1618)+1,20))+1,20))),"")))</f>
        <v/>
      </c>
      <c r="AI1618">
        <f>IF($AE1618="","",IF(OR($AF1618="",$AG1618="",$AH1618="",$AF1618&lt;1300,$AF1618&gt;1500,$AG1618&lt;1,$AG1618&gt;12,$AH1618&lt;1,$AH1618&gt;31),"نامعتبر",RIGHT("0000"&amp;$AF1618,4)&amp;"/"&amp;RIGHT("00"&amp;$AG1618,2)&amp;"/"&amp;RIGHT("00"&amp;$AH1618,2)))</f>
        <v/>
      </c>
      <c r="AJ1618">
        <f>IF($AE1618="","",IF(Sync!$Q1618="","0000",IF(AND(ISNUMBER(Sync!$Q1618),Sync!$Q1618&gt;=0,Sync!$Q1618&lt;1),RIGHT("00"&amp;HOUR(Sync!$Q1618),2)&amp;RIGHT("00"&amp;MINUTE(Sync!$Q1618),2),IFERROR(RIGHT("00"&amp;VALUE(LEFT(Sync!$Q1618,FIND(":",Sync!$Q1618)-1)),2)&amp;RIGHT("00"&amp;VALUE(MID(Sync!$Q1618,FIND(":",Sync!$Q1618)+1,2)),2),"0000"))))</f>
        <v/>
      </c>
      <c r="AK1618">
        <f>IF(OR($AE1618="",$AI1618="",$AI1618="نامعتبر"),"",LEFT($AI1618,4)&amp;MID($AI1618,6,2)&amp;RIGHT($AI1618,2)&amp;$AJ1618&amp;"|"&amp;"3"&amp;RIGHT("00000"&amp;1613,5))</f>
        <v/>
      </c>
      <c r="AL1618">
        <f>IF($AK1618="","",COUNTIFS(LdAParty,$AE1618,LdAType,1,LdAKey,"&lt;"&amp;$AK1618)+COUNTIFS(LdBMember,$AE1618,LdBKey,"&lt;"&amp;$AK1618)+COUNTIFS(LdCParty,$AE1618,LdCKey,"&lt;"&amp;$AK1618)+1)</f>
        <v/>
      </c>
      <c r="AM1618">
        <f>IF($AL1618="","",$AE1618&amp;"|"&amp;RIGHT("000000"&amp;$AL1618,6))</f>
        <v/>
      </c>
      <c r="AN1618">
        <f>IF($AE1618="","",IF(Sync!$W1618="",0,Sync!$W1618))</f>
        <v/>
      </c>
      <c r="AO1618">
        <f>IF($AE1618="","",IF(Sync!$X1618="",0,Sync!$X1618))</f>
        <v/>
      </c>
      <c r="AP1618">
        <f>IF($AE1618="","",Sync!$R1618)</f>
        <v/>
      </c>
      <c r="AQ1618">
        <f>IF($AE1618="","",Sync!$Y1618)</f>
        <v/>
      </c>
    </row>
    <row r="1619">
      <c r="A1619">
        <f>IF(OR(Wages!$B1622="",Wages!$E1622=""),"",Wages!$E1622)</f>
        <v/>
      </c>
      <c r="B1619">
        <f>IF($A1619="","",IF(Wages!$C1622="دستمزد گروهی",2,1))</f>
        <v/>
      </c>
      <c r="C1619">
        <f>IF($A1619="","",IF(ISNUMBER(Wages!$B1622),IF(AND(Wages!$B1622&gt;=10000101,Wages!$B1622&lt;=99991231),INT(Wages!$B1622/10000),""),IFERROR(VALUE(TRIM(LEFT(Wages!$B1622,FIND("/",Wages!$B1622)-1))),"")))</f>
        <v/>
      </c>
      <c r="D1619">
        <f>IF(OR($A1619="",$C1619=""),"",IF(ISNUMBER(Wages!$B1622),INT(MOD(Wages!$B1622,10000)/100),IFERROR(VALUE(TRIM(LEFT(MID(Wages!$B1622,FIND("/",Wages!$B1622)+1,20),FIND("/",MID(Wages!$B1622,FIND("/",Wages!$B1622)+1,20))-1))),"")))</f>
        <v/>
      </c>
      <c r="E1619">
        <f>IF(OR($A1619="",$C1619=""),"",IF(ISNUMBER(Wages!$B1622),MOD(Wages!$B1622,100),IFERROR(VALUE(TRIM(MID(MID(Wages!$B1622,FIND("/",Wages!$B1622)+1,20),FIND("/",MID(Wages!$B1622,FIND("/",Wages!$B1622)+1,20))+1,20))),"")))</f>
        <v/>
      </c>
      <c r="F1619">
        <f>IF($A1619="","",IF(OR($C1619="",$D1619="",$E1619="",$C1619&lt;1300,$C1619&gt;1500,$D1619&lt;1,$D1619&gt;12,$E1619&lt;1,$E1619&gt;31),"نامعتبر",RIGHT("0000"&amp;$C1619,4)&amp;"/"&amp;RIGHT("00"&amp;$D1619,2)&amp;"/"&amp;RIGHT("00"&amp;$E1619,2)))</f>
        <v/>
      </c>
      <c r="G1619">
        <f>IF(OR($A1619="",$F1619="",$F1619="نامعتبر"),"",LEFT($F1619,4)&amp;MID($F1619,6,2)&amp;RIGHT($F1619,2)&amp;"0000"&amp;"|"&amp;"1"&amp;RIGHT("00000"&amp;1614,5))</f>
        <v/>
      </c>
      <c r="H1619">
        <f>IF(OR($B1619&lt;&gt;1,$G1619=""),"",COUNTIFS(LdAParty,$A1619,LdAType,1,LdAKey,"&lt;"&amp;$G1619)+COUNTIFS(LdBMember,$A1619,LdBKey,"&lt;"&amp;$G1619)+COUNTIFS(LdCParty,$A1619,LdCKey,"&lt;"&amp;$G1619)+1)</f>
        <v/>
      </c>
      <c r="I1619">
        <f>IF($H1619="","",$A1619&amp;"|"&amp;RIGHT("000000"&amp;$H1619,6))</f>
        <v/>
      </c>
      <c r="J1619">
        <f>IF(OR($B1619&lt;&gt;2,$G1619=""),"",COUNTIFS(LdAParty,$A1619,LdAType,2,LdAKey,"&lt;"&amp;$G1619)+1)</f>
        <v/>
      </c>
      <c r="K1619">
        <f>IF($J1619="","",$A1619&amp;"|"&amp;RIGHT("000000"&amp;$J1619,6))</f>
        <v/>
      </c>
      <c r="L1619">
        <f>IF($A1619="","",IF(Wages!$G1622="",0,Wages!$G1622))</f>
        <v/>
      </c>
      <c r="M1619">
        <f>IF($A1619="","",Wages!$J1622)</f>
        <v/>
      </c>
      <c r="N1619">
        <f>IF($A1619="","",Wages!$D1622)</f>
        <v/>
      </c>
      <c r="P1619">
        <f>IF(OR(Shares!$B1622="",Shares!$C1622=""),"",Shares!$C1622)</f>
        <v/>
      </c>
      <c r="Q1619">
        <f>IF($P1619="","",Shares!$B1622)</f>
        <v/>
      </c>
      <c r="R1619">
        <f>IF($P1619="","",IFERROR(INDEX(WageParty,MATCH($Q1619,WageIds,0)),""))</f>
        <v/>
      </c>
      <c r="S1619">
        <f>IF($P1619="","",IFERROR(INDEX($F$6:$F$2005,MATCH($Q1619,WageIds,0)),""))</f>
        <v/>
      </c>
      <c r="T1619">
        <f>IF(OR($P1619="",$S1619="",$S1619="نامعتبر"),"",LEFT($S1619,4)&amp;MID($S1619,6,2)&amp;RIGHT($S1619,2)&amp;"0000"&amp;"|"&amp;"2"&amp;RIGHT("00000"&amp;1614,5))</f>
        <v/>
      </c>
      <c r="U1619">
        <f>IF($T1619="","",COUNTIFS(LdAParty,$P1619,LdAType,1,LdAKey,"&lt;"&amp;$T1619)+COUNTIFS(LdBMember,$P1619,LdBKey,"&lt;"&amp;$T1619)+COUNTIFS(LdCParty,$P1619,LdCKey,"&lt;"&amp;$T1619)+1)</f>
        <v/>
      </c>
      <c r="V1619">
        <f>IF($U1619="","",$P1619&amp;"|"&amp;RIGHT("000000"&amp;$U1619,6))</f>
        <v/>
      </c>
      <c r="W1619">
        <f>IF($T1619="","",COUNTIFS(LdBGroup,$R1619,LdBKey,"&lt;"&amp;$T1619)+1)</f>
        <v/>
      </c>
      <c r="X1619">
        <f>IF($W1619="","",$R1619&amp;"|"&amp;RIGHT("000000"&amp;$W1619,6))</f>
        <v/>
      </c>
      <c r="Y1619">
        <f>IF($P1619="","",IF(Shares!$E1622="",0,Shares!$E1622))</f>
        <v/>
      </c>
      <c r="Z1619">
        <f>IF($P1619="","",Shares!$H1622)</f>
        <v/>
      </c>
      <c r="AE1619">
        <f>IF(OR(Sync!$S1619="",Sync!$P1619=""),"",Sync!$S1619)</f>
        <v/>
      </c>
      <c r="AF1619">
        <f>IF($AE1619="","",IF(ISNUMBER(Sync!$P1619),IF(AND(Sync!$P1619&gt;=10000101,Sync!$P1619&lt;=99991231),INT(Sync!$P1619/10000),""),IFERROR(VALUE(TRIM(LEFT(Sync!$P1619,FIND("/",Sync!$P1619)-1))),"")))</f>
        <v/>
      </c>
      <c r="AG1619">
        <f>IF(OR($AE1619="",$AF1619=""),"",IF(ISNUMBER(Sync!$P1619),INT(MOD(Sync!$P1619,10000)/100),IFERROR(VALUE(TRIM(LEFT(MID(Sync!$P1619,FIND("/",Sync!$P1619)+1,20),FIND("/",MID(Sync!$P1619,FIND("/",Sync!$P1619)+1,20))-1))),"")))</f>
        <v/>
      </c>
      <c r="AH1619">
        <f>IF(OR($AE1619="",$AF1619=""),"",IF(ISNUMBER(Sync!$P1619),MOD(Sync!$P1619,100),IFERROR(VALUE(TRIM(MID(MID(Sync!$P1619,FIND("/",Sync!$P1619)+1,20),FIND("/",MID(Sync!$P1619,FIND("/",Sync!$P1619)+1,20))+1,20))),"")))</f>
        <v/>
      </c>
      <c r="AI1619">
        <f>IF($AE1619="","",IF(OR($AF1619="",$AG1619="",$AH1619="",$AF1619&lt;1300,$AF1619&gt;1500,$AG1619&lt;1,$AG1619&gt;12,$AH1619&lt;1,$AH1619&gt;31),"نامعتبر",RIGHT("0000"&amp;$AF1619,4)&amp;"/"&amp;RIGHT("00"&amp;$AG1619,2)&amp;"/"&amp;RIGHT("00"&amp;$AH1619,2)))</f>
        <v/>
      </c>
      <c r="AJ1619">
        <f>IF($AE1619="","",IF(Sync!$Q1619="","0000",IF(AND(ISNUMBER(Sync!$Q1619),Sync!$Q1619&gt;=0,Sync!$Q1619&lt;1),RIGHT("00"&amp;HOUR(Sync!$Q1619),2)&amp;RIGHT("00"&amp;MINUTE(Sync!$Q1619),2),IFERROR(RIGHT("00"&amp;VALUE(LEFT(Sync!$Q1619,FIND(":",Sync!$Q1619)-1)),2)&amp;RIGHT("00"&amp;VALUE(MID(Sync!$Q1619,FIND(":",Sync!$Q1619)+1,2)),2),"0000"))))</f>
        <v/>
      </c>
      <c r="AK1619">
        <f>IF(OR($AE1619="",$AI1619="",$AI1619="نامعتبر"),"",LEFT($AI1619,4)&amp;MID($AI1619,6,2)&amp;RIGHT($AI1619,2)&amp;$AJ1619&amp;"|"&amp;"3"&amp;RIGHT("00000"&amp;1614,5))</f>
        <v/>
      </c>
      <c r="AL1619">
        <f>IF($AK1619="","",COUNTIFS(LdAParty,$AE1619,LdAType,1,LdAKey,"&lt;"&amp;$AK1619)+COUNTIFS(LdBMember,$AE1619,LdBKey,"&lt;"&amp;$AK1619)+COUNTIFS(LdCParty,$AE1619,LdCKey,"&lt;"&amp;$AK1619)+1)</f>
        <v/>
      </c>
      <c r="AM1619">
        <f>IF($AL1619="","",$AE1619&amp;"|"&amp;RIGHT("000000"&amp;$AL1619,6))</f>
        <v/>
      </c>
      <c r="AN1619">
        <f>IF($AE1619="","",IF(Sync!$W1619="",0,Sync!$W1619))</f>
        <v/>
      </c>
      <c r="AO1619">
        <f>IF($AE1619="","",IF(Sync!$X1619="",0,Sync!$X1619))</f>
        <v/>
      </c>
      <c r="AP1619">
        <f>IF($AE1619="","",Sync!$R1619)</f>
        <v/>
      </c>
      <c r="AQ1619">
        <f>IF($AE1619="","",Sync!$Y1619)</f>
        <v/>
      </c>
    </row>
    <row r="1620">
      <c r="A1620">
        <f>IF(OR(Wages!$B1623="",Wages!$E1623=""),"",Wages!$E1623)</f>
        <v/>
      </c>
      <c r="B1620">
        <f>IF($A1620="","",IF(Wages!$C1623="دستمزد گروهی",2,1))</f>
        <v/>
      </c>
      <c r="C1620">
        <f>IF($A1620="","",IF(ISNUMBER(Wages!$B1623),IF(AND(Wages!$B1623&gt;=10000101,Wages!$B1623&lt;=99991231),INT(Wages!$B1623/10000),""),IFERROR(VALUE(TRIM(LEFT(Wages!$B1623,FIND("/",Wages!$B1623)-1))),"")))</f>
        <v/>
      </c>
      <c r="D1620">
        <f>IF(OR($A1620="",$C1620=""),"",IF(ISNUMBER(Wages!$B1623),INT(MOD(Wages!$B1623,10000)/100),IFERROR(VALUE(TRIM(LEFT(MID(Wages!$B1623,FIND("/",Wages!$B1623)+1,20),FIND("/",MID(Wages!$B1623,FIND("/",Wages!$B1623)+1,20))-1))),"")))</f>
        <v/>
      </c>
      <c r="E1620">
        <f>IF(OR($A1620="",$C1620=""),"",IF(ISNUMBER(Wages!$B1623),MOD(Wages!$B1623,100),IFERROR(VALUE(TRIM(MID(MID(Wages!$B1623,FIND("/",Wages!$B1623)+1,20),FIND("/",MID(Wages!$B1623,FIND("/",Wages!$B1623)+1,20))+1,20))),"")))</f>
        <v/>
      </c>
      <c r="F1620">
        <f>IF($A1620="","",IF(OR($C1620="",$D1620="",$E1620="",$C1620&lt;1300,$C1620&gt;1500,$D1620&lt;1,$D1620&gt;12,$E1620&lt;1,$E1620&gt;31),"نامعتبر",RIGHT("0000"&amp;$C1620,4)&amp;"/"&amp;RIGHT("00"&amp;$D1620,2)&amp;"/"&amp;RIGHT("00"&amp;$E1620,2)))</f>
        <v/>
      </c>
      <c r="G1620">
        <f>IF(OR($A1620="",$F1620="",$F1620="نامعتبر"),"",LEFT($F1620,4)&amp;MID($F1620,6,2)&amp;RIGHT($F1620,2)&amp;"0000"&amp;"|"&amp;"1"&amp;RIGHT("00000"&amp;1615,5))</f>
        <v/>
      </c>
      <c r="H1620">
        <f>IF(OR($B1620&lt;&gt;1,$G1620=""),"",COUNTIFS(LdAParty,$A1620,LdAType,1,LdAKey,"&lt;"&amp;$G1620)+COUNTIFS(LdBMember,$A1620,LdBKey,"&lt;"&amp;$G1620)+COUNTIFS(LdCParty,$A1620,LdCKey,"&lt;"&amp;$G1620)+1)</f>
        <v/>
      </c>
      <c r="I1620">
        <f>IF($H1620="","",$A1620&amp;"|"&amp;RIGHT("000000"&amp;$H1620,6))</f>
        <v/>
      </c>
      <c r="J1620">
        <f>IF(OR($B1620&lt;&gt;2,$G1620=""),"",COUNTIFS(LdAParty,$A1620,LdAType,2,LdAKey,"&lt;"&amp;$G1620)+1)</f>
        <v/>
      </c>
      <c r="K1620">
        <f>IF($J1620="","",$A1620&amp;"|"&amp;RIGHT("000000"&amp;$J1620,6))</f>
        <v/>
      </c>
      <c r="L1620">
        <f>IF($A1620="","",IF(Wages!$G1623="",0,Wages!$G1623))</f>
        <v/>
      </c>
      <c r="M1620">
        <f>IF($A1620="","",Wages!$J1623)</f>
        <v/>
      </c>
      <c r="N1620">
        <f>IF($A1620="","",Wages!$D1623)</f>
        <v/>
      </c>
      <c r="P1620">
        <f>IF(OR(Shares!$B1623="",Shares!$C1623=""),"",Shares!$C1623)</f>
        <v/>
      </c>
      <c r="Q1620">
        <f>IF($P1620="","",Shares!$B1623)</f>
        <v/>
      </c>
      <c r="R1620">
        <f>IF($P1620="","",IFERROR(INDEX(WageParty,MATCH($Q1620,WageIds,0)),""))</f>
        <v/>
      </c>
      <c r="S1620">
        <f>IF($P1620="","",IFERROR(INDEX($F$6:$F$2005,MATCH($Q1620,WageIds,0)),""))</f>
        <v/>
      </c>
      <c r="T1620">
        <f>IF(OR($P1620="",$S1620="",$S1620="نامعتبر"),"",LEFT($S1620,4)&amp;MID($S1620,6,2)&amp;RIGHT($S1620,2)&amp;"0000"&amp;"|"&amp;"2"&amp;RIGHT("00000"&amp;1615,5))</f>
        <v/>
      </c>
      <c r="U1620">
        <f>IF($T1620="","",COUNTIFS(LdAParty,$P1620,LdAType,1,LdAKey,"&lt;"&amp;$T1620)+COUNTIFS(LdBMember,$P1620,LdBKey,"&lt;"&amp;$T1620)+COUNTIFS(LdCParty,$P1620,LdCKey,"&lt;"&amp;$T1620)+1)</f>
        <v/>
      </c>
      <c r="V1620">
        <f>IF($U1620="","",$P1620&amp;"|"&amp;RIGHT("000000"&amp;$U1620,6))</f>
        <v/>
      </c>
      <c r="W1620">
        <f>IF($T1620="","",COUNTIFS(LdBGroup,$R1620,LdBKey,"&lt;"&amp;$T1620)+1)</f>
        <v/>
      </c>
      <c r="X1620">
        <f>IF($W1620="","",$R1620&amp;"|"&amp;RIGHT("000000"&amp;$W1620,6))</f>
        <v/>
      </c>
      <c r="Y1620">
        <f>IF($P1620="","",IF(Shares!$E1623="",0,Shares!$E1623))</f>
        <v/>
      </c>
      <c r="Z1620">
        <f>IF($P1620="","",Shares!$H1623)</f>
        <v/>
      </c>
      <c r="AE1620">
        <f>IF(OR(Sync!$S1620="",Sync!$P1620=""),"",Sync!$S1620)</f>
        <v/>
      </c>
      <c r="AF1620">
        <f>IF($AE1620="","",IF(ISNUMBER(Sync!$P1620),IF(AND(Sync!$P1620&gt;=10000101,Sync!$P1620&lt;=99991231),INT(Sync!$P1620/10000),""),IFERROR(VALUE(TRIM(LEFT(Sync!$P1620,FIND("/",Sync!$P1620)-1))),"")))</f>
        <v/>
      </c>
      <c r="AG1620">
        <f>IF(OR($AE1620="",$AF1620=""),"",IF(ISNUMBER(Sync!$P1620),INT(MOD(Sync!$P1620,10000)/100),IFERROR(VALUE(TRIM(LEFT(MID(Sync!$P1620,FIND("/",Sync!$P1620)+1,20),FIND("/",MID(Sync!$P1620,FIND("/",Sync!$P1620)+1,20))-1))),"")))</f>
        <v/>
      </c>
      <c r="AH1620">
        <f>IF(OR($AE1620="",$AF1620=""),"",IF(ISNUMBER(Sync!$P1620),MOD(Sync!$P1620,100),IFERROR(VALUE(TRIM(MID(MID(Sync!$P1620,FIND("/",Sync!$P1620)+1,20),FIND("/",MID(Sync!$P1620,FIND("/",Sync!$P1620)+1,20))+1,20))),"")))</f>
        <v/>
      </c>
      <c r="AI1620">
        <f>IF($AE1620="","",IF(OR($AF1620="",$AG1620="",$AH1620="",$AF1620&lt;1300,$AF1620&gt;1500,$AG1620&lt;1,$AG1620&gt;12,$AH1620&lt;1,$AH1620&gt;31),"نامعتبر",RIGHT("0000"&amp;$AF1620,4)&amp;"/"&amp;RIGHT("00"&amp;$AG1620,2)&amp;"/"&amp;RIGHT("00"&amp;$AH1620,2)))</f>
        <v/>
      </c>
      <c r="AJ1620">
        <f>IF($AE1620="","",IF(Sync!$Q1620="","0000",IF(AND(ISNUMBER(Sync!$Q1620),Sync!$Q1620&gt;=0,Sync!$Q1620&lt;1),RIGHT("00"&amp;HOUR(Sync!$Q1620),2)&amp;RIGHT("00"&amp;MINUTE(Sync!$Q1620),2),IFERROR(RIGHT("00"&amp;VALUE(LEFT(Sync!$Q1620,FIND(":",Sync!$Q1620)-1)),2)&amp;RIGHT("00"&amp;VALUE(MID(Sync!$Q1620,FIND(":",Sync!$Q1620)+1,2)),2),"0000"))))</f>
        <v/>
      </c>
      <c r="AK1620">
        <f>IF(OR($AE1620="",$AI1620="",$AI1620="نامعتبر"),"",LEFT($AI1620,4)&amp;MID($AI1620,6,2)&amp;RIGHT($AI1620,2)&amp;$AJ1620&amp;"|"&amp;"3"&amp;RIGHT("00000"&amp;1615,5))</f>
        <v/>
      </c>
      <c r="AL1620">
        <f>IF($AK1620="","",COUNTIFS(LdAParty,$AE1620,LdAType,1,LdAKey,"&lt;"&amp;$AK1620)+COUNTIFS(LdBMember,$AE1620,LdBKey,"&lt;"&amp;$AK1620)+COUNTIFS(LdCParty,$AE1620,LdCKey,"&lt;"&amp;$AK1620)+1)</f>
        <v/>
      </c>
      <c r="AM1620">
        <f>IF($AL1620="","",$AE1620&amp;"|"&amp;RIGHT("000000"&amp;$AL1620,6))</f>
        <v/>
      </c>
      <c r="AN1620">
        <f>IF($AE1620="","",IF(Sync!$W1620="",0,Sync!$W1620))</f>
        <v/>
      </c>
      <c r="AO1620">
        <f>IF($AE1620="","",IF(Sync!$X1620="",0,Sync!$X1620))</f>
        <v/>
      </c>
      <c r="AP1620">
        <f>IF($AE1620="","",Sync!$R1620)</f>
        <v/>
      </c>
      <c r="AQ1620">
        <f>IF($AE1620="","",Sync!$Y1620)</f>
        <v/>
      </c>
    </row>
    <row r="1621">
      <c r="A1621">
        <f>IF(OR(Wages!$B1624="",Wages!$E1624=""),"",Wages!$E1624)</f>
        <v/>
      </c>
      <c r="B1621">
        <f>IF($A1621="","",IF(Wages!$C1624="دستمزد گروهی",2,1))</f>
        <v/>
      </c>
      <c r="C1621">
        <f>IF($A1621="","",IF(ISNUMBER(Wages!$B1624),IF(AND(Wages!$B1624&gt;=10000101,Wages!$B1624&lt;=99991231),INT(Wages!$B1624/10000),""),IFERROR(VALUE(TRIM(LEFT(Wages!$B1624,FIND("/",Wages!$B1624)-1))),"")))</f>
        <v/>
      </c>
      <c r="D1621">
        <f>IF(OR($A1621="",$C1621=""),"",IF(ISNUMBER(Wages!$B1624),INT(MOD(Wages!$B1624,10000)/100),IFERROR(VALUE(TRIM(LEFT(MID(Wages!$B1624,FIND("/",Wages!$B1624)+1,20),FIND("/",MID(Wages!$B1624,FIND("/",Wages!$B1624)+1,20))-1))),"")))</f>
        <v/>
      </c>
      <c r="E1621">
        <f>IF(OR($A1621="",$C1621=""),"",IF(ISNUMBER(Wages!$B1624),MOD(Wages!$B1624,100),IFERROR(VALUE(TRIM(MID(MID(Wages!$B1624,FIND("/",Wages!$B1624)+1,20),FIND("/",MID(Wages!$B1624,FIND("/",Wages!$B1624)+1,20))+1,20))),"")))</f>
        <v/>
      </c>
      <c r="F1621">
        <f>IF($A1621="","",IF(OR($C1621="",$D1621="",$E1621="",$C1621&lt;1300,$C1621&gt;1500,$D1621&lt;1,$D1621&gt;12,$E1621&lt;1,$E1621&gt;31),"نامعتبر",RIGHT("0000"&amp;$C1621,4)&amp;"/"&amp;RIGHT("00"&amp;$D1621,2)&amp;"/"&amp;RIGHT("00"&amp;$E1621,2)))</f>
        <v/>
      </c>
      <c r="G1621">
        <f>IF(OR($A1621="",$F1621="",$F1621="نامعتبر"),"",LEFT($F1621,4)&amp;MID($F1621,6,2)&amp;RIGHT($F1621,2)&amp;"0000"&amp;"|"&amp;"1"&amp;RIGHT("00000"&amp;1616,5))</f>
        <v/>
      </c>
      <c r="H1621">
        <f>IF(OR($B1621&lt;&gt;1,$G1621=""),"",COUNTIFS(LdAParty,$A1621,LdAType,1,LdAKey,"&lt;"&amp;$G1621)+COUNTIFS(LdBMember,$A1621,LdBKey,"&lt;"&amp;$G1621)+COUNTIFS(LdCParty,$A1621,LdCKey,"&lt;"&amp;$G1621)+1)</f>
        <v/>
      </c>
      <c r="I1621">
        <f>IF($H1621="","",$A1621&amp;"|"&amp;RIGHT("000000"&amp;$H1621,6))</f>
        <v/>
      </c>
      <c r="J1621">
        <f>IF(OR($B1621&lt;&gt;2,$G1621=""),"",COUNTIFS(LdAParty,$A1621,LdAType,2,LdAKey,"&lt;"&amp;$G1621)+1)</f>
        <v/>
      </c>
      <c r="K1621">
        <f>IF($J1621="","",$A1621&amp;"|"&amp;RIGHT("000000"&amp;$J1621,6))</f>
        <v/>
      </c>
      <c r="L1621">
        <f>IF($A1621="","",IF(Wages!$G1624="",0,Wages!$G1624))</f>
        <v/>
      </c>
      <c r="M1621">
        <f>IF($A1621="","",Wages!$J1624)</f>
        <v/>
      </c>
      <c r="N1621">
        <f>IF($A1621="","",Wages!$D1624)</f>
        <v/>
      </c>
      <c r="P1621">
        <f>IF(OR(Shares!$B1624="",Shares!$C1624=""),"",Shares!$C1624)</f>
        <v/>
      </c>
      <c r="Q1621">
        <f>IF($P1621="","",Shares!$B1624)</f>
        <v/>
      </c>
      <c r="R1621">
        <f>IF($P1621="","",IFERROR(INDEX(WageParty,MATCH($Q1621,WageIds,0)),""))</f>
        <v/>
      </c>
      <c r="S1621">
        <f>IF($P1621="","",IFERROR(INDEX($F$6:$F$2005,MATCH($Q1621,WageIds,0)),""))</f>
        <v/>
      </c>
      <c r="T1621">
        <f>IF(OR($P1621="",$S1621="",$S1621="نامعتبر"),"",LEFT($S1621,4)&amp;MID($S1621,6,2)&amp;RIGHT($S1621,2)&amp;"0000"&amp;"|"&amp;"2"&amp;RIGHT("00000"&amp;1616,5))</f>
        <v/>
      </c>
      <c r="U1621">
        <f>IF($T1621="","",COUNTIFS(LdAParty,$P1621,LdAType,1,LdAKey,"&lt;"&amp;$T1621)+COUNTIFS(LdBMember,$P1621,LdBKey,"&lt;"&amp;$T1621)+COUNTIFS(LdCParty,$P1621,LdCKey,"&lt;"&amp;$T1621)+1)</f>
        <v/>
      </c>
      <c r="V1621">
        <f>IF($U1621="","",$P1621&amp;"|"&amp;RIGHT("000000"&amp;$U1621,6))</f>
        <v/>
      </c>
      <c r="W1621">
        <f>IF($T1621="","",COUNTIFS(LdBGroup,$R1621,LdBKey,"&lt;"&amp;$T1621)+1)</f>
        <v/>
      </c>
      <c r="X1621">
        <f>IF($W1621="","",$R1621&amp;"|"&amp;RIGHT("000000"&amp;$W1621,6))</f>
        <v/>
      </c>
      <c r="Y1621">
        <f>IF($P1621="","",IF(Shares!$E1624="",0,Shares!$E1624))</f>
        <v/>
      </c>
      <c r="Z1621">
        <f>IF($P1621="","",Shares!$H1624)</f>
        <v/>
      </c>
      <c r="AE1621">
        <f>IF(OR(Sync!$S1621="",Sync!$P1621=""),"",Sync!$S1621)</f>
        <v/>
      </c>
      <c r="AF1621">
        <f>IF($AE1621="","",IF(ISNUMBER(Sync!$P1621),IF(AND(Sync!$P1621&gt;=10000101,Sync!$P1621&lt;=99991231),INT(Sync!$P1621/10000),""),IFERROR(VALUE(TRIM(LEFT(Sync!$P1621,FIND("/",Sync!$P1621)-1))),"")))</f>
        <v/>
      </c>
      <c r="AG1621">
        <f>IF(OR($AE1621="",$AF1621=""),"",IF(ISNUMBER(Sync!$P1621),INT(MOD(Sync!$P1621,10000)/100),IFERROR(VALUE(TRIM(LEFT(MID(Sync!$P1621,FIND("/",Sync!$P1621)+1,20),FIND("/",MID(Sync!$P1621,FIND("/",Sync!$P1621)+1,20))-1))),"")))</f>
        <v/>
      </c>
      <c r="AH1621">
        <f>IF(OR($AE1621="",$AF1621=""),"",IF(ISNUMBER(Sync!$P1621),MOD(Sync!$P1621,100),IFERROR(VALUE(TRIM(MID(MID(Sync!$P1621,FIND("/",Sync!$P1621)+1,20),FIND("/",MID(Sync!$P1621,FIND("/",Sync!$P1621)+1,20))+1,20))),"")))</f>
        <v/>
      </c>
      <c r="AI1621">
        <f>IF($AE1621="","",IF(OR($AF1621="",$AG1621="",$AH1621="",$AF1621&lt;1300,$AF1621&gt;1500,$AG1621&lt;1,$AG1621&gt;12,$AH1621&lt;1,$AH1621&gt;31),"نامعتبر",RIGHT("0000"&amp;$AF1621,4)&amp;"/"&amp;RIGHT("00"&amp;$AG1621,2)&amp;"/"&amp;RIGHT("00"&amp;$AH1621,2)))</f>
        <v/>
      </c>
      <c r="AJ1621">
        <f>IF($AE1621="","",IF(Sync!$Q1621="","0000",IF(AND(ISNUMBER(Sync!$Q1621),Sync!$Q1621&gt;=0,Sync!$Q1621&lt;1),RIGHT("00"&amp;HOUR(Sync!$Q1621),2)&amp;RIGHT("00"&amp;MINUTE(Sync!$Q1621),2),IFERROR(RIGHT("00"&amp;VALUE(LEFT(Sync!$Q1621,FIND(":",Sync!$Q1621)-1)),2)&amp;RIGHT("00"&amp;VALUE(MID(Sync!$Q1621,FIND(":",Sync!$Q1621)+1,2)),2),"0000"))))</f>
        <v/>
      </c>
      <c r="AK1621">
        <f>IF(OR($AE1621="",$AI1621="",$AI1621="نامعتبر"),"",LEFT($AI1621,4)&amp;MID($AI1621,6,2)&amp;RIGHT($AI1621,2)&amp;$AJ1621&amp;"|"&amp;"3"&amp;RIGHT("00000"&amp;1616,5))</f>
        <v/>
      </c>
      <c r="AL1621">
        <f>IF($AK1621="","",COUNTIFS(LdAParty,$AE1621,LdAType,1,LdAKey,"&lt;"&amp;$AK1621)+COUNTIFS(LdBMember,$AE1621,LdBKey,"&lt;"&amp;$AK1621)+COUNTIFS(LdCParty,$AE1621,LdCKey,"&lt;"&amp;$AK1621)+1)</f>
        <v/>
      </c>
      <c r="AM1621">
        <f>IF($AL1621="","",$AE1621&amp;"|"&amp;RIGHT("000000"&amp;$AL1621,6))</f>
        <v/>
      </c>
      <c r="AN1621">
        <f>IF($AE1621="","",IF(Sync!$W1621="",0,Sync!$W1621))</f>
        <v/>
      </c>
      <c r="AO1621">
        <f>IF($AE1621="","",IF(Sync!$X1621="",0,Sync!$X1621))</f>
        <v/>
      </c>
      <c r="AP1621">
        <f>IF($AE1621="","",Sync!$R1621)</f>
        <v/>
      </c>
      <c r="AQ1621">
        <f>IF($AE1621="","",Sync!$Y1621)</f>
        <v/>
      </c>
    </row>
    <row r="1622">
      <c r="A1622">
        <f>IF(OR(Wages!$B1625="",Wages!$E1625=""),"",Wages!$E1625)</f>
        <v/>
      </c>
      <c r="B1622">
        <f>IF($A1622="","",IF(Wages!$C1625="دستمزد گروهی",2,1))</f>
        <v/>
      </c>
      <c r="C1622">
        <f>IF($A1622="","",IF(ISNUMBER(Wages!$B1625),IF(AND(Wages!$B1625&gt;=10000101,Wages!$B1625&lt;=99991231),INT(Wages!$B1625/10000),""),IFERROR(VALUE(TRIM(LEFT(Wages!$B1625,FIND("/",Wages!$B1625)-1))),"")))</f>
        <v/>
      </c>
      <c r="D1622">
        <f>IF(OR($A1622="",$C1622=""),"",IF(ISNUMBER(Wages!$B1625),INT(MOD(Wages!$B1625,10000)/100),IFERROR(VALUE(TRIM(LEFT(MID(Wages!$B1625,FIND("/",Wages!$B1625)+1,20),FIND("/",MID(Wages!$B1625,FIND("/",Wages!$B1625)+1,20))-1))),"")))</f>
        <v/>
      </c>
      <c r="E1622">
        <f>IF(OR($A1622="",$C1622=""),"",IF(ISNUMBER(Wages!$B1625),MOD(Wages!$B1625,100),IFERROR(VALUE(TRIM(MID(MID(Wages!$B1625,FIND("/",Wages!$B1625)+1,20),FIND("/",MID(Wages!$B1625,FIND("/",Wages!$B1625)+1,20))+1,20))),"")))</f>
        <v/>
      </c>
      <c r="F1622">
        <f>IF($A1622="","",IF(OR($C1622="",$D1622="",$E1622="",$C1622&lt;1300,$C1622&gt;1500,$D1622&lt;1,$D1622&gt;12,$E1622&lt;1,$E1622&gt;31),"نامعتبر",RIGHT("0000"&amp;$C1622,4)&amp;"/"&amp;RIGHT("00"&amp;$D1622,2)&amp;"/"&amp;RIGHT("00"&amp;$E1622,2)))</f>
        <v/>
      </c>
      <c r="G1622">
        <f>IF(OR($A1622="",$F1622="",$F1622="نامعتبر"),"",LEFT($F1622,4)&amp;MID($F1622,6,2)&amp;RIGHT($F1622,2)&amp;"0000"&amp;"|"&amp;"1"&amp;RIGHT("00000"&amp;1617,5))</f>
        <v/>
      </c>
      <c r="H1622">
        <f>IF(OR($B1622&lt;&gt;1,$G1622=""),"",COUNTIFS(LdAParty,$A1622,LdAType,1,LdAKey,"&lt;"&amp;$G1622)+COUNTIFS(LdBMember,$A1622,LdBKey,"&lt;"&amp;$G1622)+COUNTIFS(LdCParty,$A1622,LdCKey,"&lt;"&amp;$G1622)+1)</f>
        <v/>
      </c>
      <c r="I1622">
        <f>IF($H1622="","",$A1622&amp;"|"&amp;RIGHT("000000"&amp;$H1622,6))</f>
        <v/>
      </c>
      <c r="J1622">
        <f>IF(OR($B1622&lt;&gt;2,$G1622=""),"",COUNTIFS(LdAParty,$A1622,LdAType,2,LdAKey,"&lt;"&amp;$G1622)+1)</f>
        <v/>
      </c>
      <c r="K1622">
        <f>IF($J1622="","",$A1622&amp;"|"&amp;RIGHT("000000"&amp;$J1622,6))</f>
        <v/>
      </c>
      <c r="L1622">
        <f>IF($A1622="","",IF(Wages!$G1625="",0,Wages!$G1625))</f>
        <v/>
      </c>
      <c r="M1622">
        <f>IF($A1622="","",Wages!$J1625)</f>
        <v/>
      </c>
      <c r="N1622">
        <f>IF($A1622="","",Wages!$D1625)</f>
        <v/>
      </c>
      <c r="P1622">
        <f>IF(OR(Shares!$B1625="",Shares!$C1625=""),"",Shares!$C1625)</f>
        <v/>
      </c>
      <c r="Q1622">
        <f>IF($P1622="","",Shares!$B1625)</f>
        <v/>
      </c>
      <c r="R1622">
        <f>IF($P1622="","",IFERROR(INDEX(WageParty,MATCH($Q1622,WageIds,0)),""))</f>
        <v/>
      </c>
      <c r="S1622">
        <f>IF($P1622="","",IFERROR(INDEX($F$6:$F$2005,MATCH($Q1622,WageIds,0)),""))</f>
        <v/>
      </c>
      <c r="T1622">
        <f>IF(OR($P1622="",$S1622="",$S1622="نامعتبر"),"",LEFT($S1622,4)&amp;MID($S1622,6,2)&amp;RIGHT($S1622,2)&amp;"0000"&amp;"|"&amp;"2"&amp;RIGHT("00000"&amp;1617,5))</f>
        <v/>
      </c>
      <c r="U1622">
        <f>IF($T1622="","",COUNTIFS(LdAParty,$P1622,LdAType,1,LdAKey,"&lt;"&amp;$T1622)+COUNTIFS(LdBMember,$P1622,LdBKey,"&lt;"&amp;$T1622)+COUNTIFS(LdCParty,$P1622,LdCKey,"&lt;"&amp;$T1622)+1)</f>
        <v/>
      </c>
      <c r="V1622">
        <f>IF($U1622="","",$P1622&amp;"|"&amp;RIGHT("000000"&amp;$U1622,6))</f>
        <v/>
      </c>
      <c r="W1622">
        <f>IF($T1622="","",COUNTIFS(LdBGroup,$R1622,LdBKey,"&lt;"&amp;$T1622)+1)</f>
        <v/>
      </c>
      <c r="X1622">
        <f>IF($W1622="","",$R1622&amp;"|"&amp;RIGHT("000000"&amp;$W1622,6))</f>
        <v/>
      </c>
      <c r="Y1622">
        <f>IF($P1622="","",IF(Shares!$E1625="",0,Shares!$E1625))</f>
        <v/>
      </c>
      <c r="Z1622">
        <f>IF($P1622="","",Shares!$H1625)</f>
        <v/>
      </c>
      <c r="AE1622">
        <f>IF(OR(Sync!$S1622="",Sync!$P1622=""),"",Sync!$S1622)</f>
        <v/>
      </c>
      <c r="AF1622">
        <f>IF($AE1622="","",IF(ISNUMBER(Sync!$P1622),IF(AND(Sync!$P1622&gt;=10000101,Sync!$P1622&lt;=99991231),INT(Sync!$P1622/10000),""),IFERROR(VALUE(TRIM(LEFT(Sync!$P1622,FIND("/",Sync!$P1622)-1))),"")))</f>
        <v/>
      </c>
      <c r="AG1622">
        <f>IF(OR($AE1622="",$AF1622=""),"",IF(ISNUMBER(Sync!$P1622),INT(MOD(Sync!$P1622,10000)/100),IFERROR(VALUE(TRIM(LEFT(MID(Sync!$P1622,FIND("/",Sync!$P1622)+1,20),FIND("/",MID(Sync!$P1622,FIND("/",Sync!$P1622)+1,20))-1))),"")))</f>
        <v/>
      </c>
      <c r="AH1622">
        <f>IF(OR($AE1622="",$AF1622=""),"",IF(ISNUMBER(Sync!$P1622),MOD(Sync!$P1622,100),IFERROR(VALUE(TRIM(MID(MID(Sync!$P1622,FIND("/",Sync!$P1622)+1,20),FIND("/",MID(Sync!$P1622,FIND("/",Sync!$P1622)+1,20))+1,20))),"")))</f>
        <v/>
      </c>
      <c r="AI1622">
        <f>IF($AE1622="","",IF(OR($AF1622="",$AG1622="",$AH1622="",$AF1622&lt;1300,$AF1622&gt;1500,$AG1622&lt;1,$AG1622&gt;12,$AH1622&lt;1,$AH1622&gt;31),"نامعتبر",RIGHT("0000"&amp;$AF1622,4)&amp;"/"&amp;RIGHT("00"&amp;$AG1622,2)&amp;"/"&amp;RIGHT("00"&amp;$AH1622,2)))</f>
        <v/>
      </c>
      <c r="AJ1622">
        <f>IF($AE1622="","",IF(Sync!$Q1622="","0000",IF(AND(ISNUMBER(Sync!$Q1622),Sync!$Q1622&gt;=0,Sync!$Q1622&lt;1),RIGHT("00"&amp;HOUR(Sync!$Q1622),2)&amp;RIGHT("00"&amp;MINUTE(Sync!$Q1622),2),IFERROR(RIGHT("00"&amp;VALUE(LEFT(Sync!$Q1622,FIND(":",Sync!$Q1622)-1)),2)&amp;RIGHT("00"&amp;VALUE(MID(Sync!$Q1622,FIND(":",Sync!$Q1622)+1,2)),2),"0000"))))</f>
        <v/>
      </c>
      <c r="AK1622">
        <f>IF(OR($AE1622="",$AI1622="",$AI1622="نامعتبر"),"",LEFT($AI1622,4)&amp;MID($AI1622,6,2)&amp;RIGHT($AI1622,2)&amp;$AJ1622&amp;"|"&amp;"3"&amp;RIGHT("00000"&amp;1617,5))</f>
        <v/>
      </c>
      <c r="AL1622">
        <f>IF($AK1622="","",COUNTIFS(LdAParty,$AE1622,LdAType,1,LdAKey,"&lt;"&amp;$AK1622)+COUNTIFS(LdBMember,$AE1622,LdBKey,"&lt;"&amp;$AK1622)+COUNTIFS(LdCParty,$AE1622,LdCKey,"&lt;"&amp;$AK1622)+1)</f>
        <v/>
      </c>
      <c r="AM1622">
        <f>IF($AL1622="","",$AE1622&amp;"|"&amp;RIGHT("000000"&amp;$AL1622,6))</f>
        <v/>
      </c>
      <c r="AN1622">
        <f>IF($AE1622="","",IF(Sync!$W1622="",0,Sync!$W1622))</f>
        <v/>
      </c>
      <c r="AO1622">
        <f>IF($AE1622="","",IF(Sync!$X1622="",0,Sync!$X1622))</f>
        <v/>
      </c>
      <c r="AP1622">
        <f>IF($AE1622="","",Sync!$R1622)</f>
        <v/>
      </c>
      <c r="AQ1622">
        <f>IF($AE1622="","",Sync!$Y1622)</f>
        <v/>
      </c>
    </row>
    <row r="1623">
      <c r="A1623">
        <f>IF(OR(Wages!$B1626="",Wages!$E1626=""),"",Wages!$E1626)</f>
        <v/>
      </c>
      <c r="B1623">
        <f>IF($A1623="","",IF(Wages!$C1626="دستمزد گروهی",2,1))</f>
        <v/>
      </c>
      <c r="C1623">
        <f>IF($A1623="","",IF(ISNUMBER(Wages!$B1626),IF(AND(Wages!$B1626&gt;=10000101,Wages!$B1626&lt;=99991231),INT(Wages!$B1626/10000),""),IFERROR(VALUE(TRIM(LEFT(Wages!$B1626,FIND("/",Wages!$B1626)-1))),"")))</f>
        <v/>
      </c>
      <c r="D1623">
        <f>IF(OR($A1623="",$C1623=""),"",IF(ISNUMBER(Wages!$B1626),INT(MOD(Wages!$B1626,10000)/100),IFERROR(VALUE(TRIM(LEFT(MID(Wages!$B1626,FIND("/",Wages!$B1626)+1,20),FIND("/",MID(Wages!$B1626,FIND("/",Wages!$B1626)+1,20))-1))),"")))</f>
        <v/>
      </c>
      <c r="E1623">
        <f>IF(OR($A1623="",$C1623=""),"",IF(ISNUMBER(Wages!$B1626),MOD(Wages!$B1626,100),IFERROR(VALUE(TRIM(MID(MID(Wages!$B1626,FIND("/",Wages!$B1626)+1,20),FIND("/",MID(Wages!$B1626,FIND("/",Wages!$B1626)+1,20))+1,20))),"")))</f>
        <v/>
      </c>
      <c r="F1623">
        <f>IF($A1623="","",IF(OR($C1623="",$D1623="",$E1623="",$C1623&lt;1300,$C1623&gt;1500,$D1623&lt;1,$D1623&gt;12,$E1623&lt;1,$E1623&gt;31),"نامعتبر",RIGHT("0000"&amp;$C1623,4)&amp;"/"&amp;RIGHT("00"&amp;$D1623,2)&amp;"/"&amp;RIGHT("00"&amp;$E1623,2)))</f>
        <v/>
      </c>
      <c r="G1623">
        <f>IF(OR($A1623="",$F1623="",$F1623="نامعتبر"),"",LEFT($F1623,4)&amp;MID($F1623,6,2)&amp;RIGHT($F1623,2)&amp;"0000"&amp;"|"&amp;"1"&amp;RIGHT("00000"&amp;1618,5))</f>
        <v/>
      </c>
      <c r="H1623">
        <f>IF(OR($B1623&lt;&gt;1,$G1623=""),"",COUNTIFS(LdAParty,$A1623,LdAType,1,LdAKey,"&lt;"&amp;$G1623)+COUNTIFS(LdBMember,$A1623,LdBKey,"&lt;"&amp;$G1623)+COUNTIFS(LdCParty,$A1623,LdCKey,"&lt;"&amp;$G1623)+1)</f>
        <v/>
      </c>
      <c r="I1623">
        <f>IF($H1623="","",$A1623&amp;"|"&amp;RIGHT("000000"&amp;$H1623,6))</f>
        <v/>
      </c>
      <c r="J1623">
        <f>IF(OR($B1623&lt;&gt;2,$G1623=""),"",COUNTIFS(LdAParty,$A1623,LdAType,2,LdAKey,"&lt;"&amp;$G1623)+1)</f>
        <v/>
      </c>
      <c r="K1623">
        <f>IF($J1623="","",$A1623&amp;"|"&amp;RIGHT("000000"&amp;$J1623,6))</f>
        <v/>
      </c>
      <c r="L1623">
        <f>IF($A1623="","",IF(Wages!$G1626="",0,Wages!$G1626))</f>
        <v/>
      </c>
      <c r="M1623">
        <f>IF($A1623="","",Wages!$J1626)</f>
        <v/>
      </c>
      <c r="N1623">
        <f>IF($A1623="","",Wages!$D1626)</f>
        <v/>
      </c>
      <c r="P1623">
        <f>IF(OR(Shares!$B1626="",Shares!$C1626=""),"",Shares!$C1626)</f>
        <v/>
      </c>
      <c r="Q1623">
        <f>IF($P1623="","",Shares!$B1626)</f>
        <v/>
      </c>
      <c r="R1623">
        <f>IF($P1623="","",IFERROR(INDEX(WageParty,MATCH($Q1623,WageIds,0)),""))</f>
        <v/>
      </c>
      <c r="S1623">
        <f>IF($P1623="","",IFERROR(INDEX($F$6:$F$2005,MATCH($Q1623,WageIds,0)),""))</f>
        <v/>
      </c>
      <c r="T1623">
        <f>IF(OR($P1623="",$S1623="",$S1623="نامعتبر"),"",LEFT($S1623,4)&amp;MID($S1623,6,2)&amp;RIGHT($S1623,2)&amp;"0000"&amp;"|"&amp;"2"&amp;RIGHT("00000"&amp;1618,5))</f>
        <v/>
      </c>
      <c r="U1623">
        <f>IF($T1623="","",COUNTIFS(LdAParty,$P1623,LdAType,1,LdAKey,"&lt;"&amp;$T1623)+COUNTIFS(LdBMember,$P1623,LdBKey,"&lt;"&amp;$T1623)+COUNTIFS(LdCParty,$P1623,LdCKey,"&lt;"&amp;$T1623)+1)</f>
        <v/>
      </c>
      <c r="V1623">
        <f>IF($U1623="","",$P1623&amp;"|"&amp;RIGHT("000000"&amp;$U1623,6))</f>
        <v/>
      </c>
      <c r="W1623">
        <f>IF($T1623="","",COUNTIFS(LdBGroup,$R1623,LdBKey,"&lt;"&amp;$T1623)+1)</f>
        <v/>
      </c>
      <c r="X1623">
        <f>IF($W1623="","",$R1623&amp;"|"&amp;RIGHT("000000"&amp;$W1623,6))</f>
        <v/>
      </c>
      <c r="Y1623">
        <f>IF($P1623="","",IF(Shares!$E1626="",0,Shares!$E1626))</f>
        <v/>
      </c>
      <c r="Z1623">
        <f>IF($P1623="","",Shares!$H1626)</f>
        <v/>
      </c>
      <c r="AE1623">
        <f>IF(OR(Sync!$S1623="",Sync!$P1623=""),"",Sync!$S1623)</f>
        <v/>
      </c>
      <c r="AF1623">
        <f>IF($AE1623="","",IF(ISNUMBER(Sync!$P1623),IF(AND(Sync!$P1623&gt;=10000101,Sync!$P1623&lt;=99991231),INT(Sync!$P1623/10000),""),IFERROR(VALUE(TRIM(LEFT(Sync!$P1623,FIND("/",Sync!$P1623)-1))),"")))</f>
        <v/>
      </c>
      <c r="AG1623">
        <f>IF(OR($AE1623="",$AF1623=""),"",IF(ISNUMBER(Sync!$P1623),INT(MOD(Sync!$P1623,10000)/100),IFERROR(VALUE(TRIM(LEFT(MID(Sync!$P1623,FIND("/",Sync!$P1623)+1,20),FIND("/",MID(Sync!$P1623,FIND("/",Sync!$P1623)+1,20))-1))),"")))</f>
        <v/>
      </c>
      <c r="AH1623">
        <f>IF(OR($AE1623="",$AF1623=""),"",IF(ISNUMBER(Sync!$P1623),MOD(Sync!$P1623,100),IFERROR(VALUE(TRIM(MID(MID(Sync!$P1623,FIND("/",Sync!$P1623)+1,20),FIND("/",MID(Sync!$P1623,FIND("/",Sync!$P1623)+1,20))+1,20))),"")))</f>
        <v/>
      </c>
      <c r="AI1623">
        <f>IF($AE1623="","",IF(OR($AF1623="",$AG1623="",$AH1623="",$AF1623&lt;1300,$AF1623&gt;1500,$AG1623&lt;1,$AG1623&gt;12,$AH1623&lt;1,$AH1623&gt;31),"نامعتبر",RIGHT("0000"&amp;$AF1623,4)&amp;"/"&amp;RIGHT("00"&amp;$AG1623,2)&amp;"/"&amp;RIGHT("00"&amp;$AH1623,2)))</f>
        <v/>
      </c>
      <c r="AJ1623">
        <f>IF($AE1623="","",IF(Sync!$Q1623="","0000",IF(AND(ISNUMBER(Sync!$Q1623),Sync!$Q1623&gt;=0,Sync!$Q1623&lt;1),RIGHT("00"&amp;HOUR(Sync!$Q1623),2)&amp;RIGHT("00"&amp;MINUTE(Sync!$Q1623),2),IFERROR(RIGHT("00"&amp;VALUE(LEFT(Sync!$Q1623,FIND(":",Sync!$Q1623)-1)),2)&amp;RIGHT("00"&amp;VALUE(MID(Sync!$Q1623,FIND(":",Sync!$Q1623)+1,2)),2),"0000"))))</f>
        <v/>
      </c>
      <c r="AK1623">
        <f>IF(OR($AE1623="",$AI1623="",$AI1623="نامعتبر"),"",LEFT($AI1623,4)&amp;MID($AI1623,6,2)&amp;RIGHT($AI1623,2)&amp;$AJ1623&amp;"|"&amp;"3"&amp;RIGHT("00000"&amp;1618,5))</f>
        <v/>
      </c>
      <c r="AL1623">
        <f>IF($AK1623="","",COUNTIFS(LdAParty,$AE1623,LdAType,1,LdAKey,"&lt;"&amp;$AK1623)+COUNTIFS(LdBMember,$AE1623,LdBKey,"&lt;"&amp;$AK1623)+COUNTIFS(LdCParty,$AE1623,LdCKey,"&lt;"&amp;$AK1623)+1)</f>
        <v/>
      </c>
      <c r="AM1623">
        <f>IF($AL1623="","",$AE1623&amp;"|"&amp;RIGHT("000000"&amp;$AL1623,6))</f>
        <v/>
      </c>
      <c r="AN1623">
        <f>IF($AE1623="","",IF(Sync!$W1623="",0,Sync!$W1623))</f>
        <v/>
      </c>
      <c r="AO1623">
        <f>IF($AE1623="","",IF(Sync!$X1623="",0,Sync!$X1623))</f>
        <v/>
      </c>
      <c r="AP1623">
        <f>IF($AE1623="","",Sync!$R1623)</f>
        <v/>
      </c>
      <c r="AQ1623">
        <f>IF($AE1623="","",Sync!$Y1623)</f>
        <v/>
      </c>
    </row>
    <row r="1624">
      <c r="A1624">
        <f>IF(OR(Wages!$B1627="",Wages!$E1627=""),"",Wages!$E1627)</f>
        <v/>
      </c>
      <c r="B1624">
        <f>IF($A1624="","",IF(Wages!$C1627="دستمزد گروهی",2,1))</f>
        <v/>
      </c>
      <c r="C1624">
        <f>IF($A1624="","",IF(ISNUMBER(Wages!$B1627),IF(AND(Wages!$B1627&gt;=10000101,Wages!$B1627&lt;=99991231),INT(Wages!$B1627/10000),""),IFERROR(VALUE(TRIM(LEFT(Wages!$B1627,FIND("/",Wages!$B1627)-1))),"")))</f>
        <v/>
      </c>
      <c r="D1624">
        <f>IF(OR($A1624="",$C1624=""),"",IF(ISNUMBER(Wages!$B1627),INT(MOD(Wages!$B1627,10000)/100),IFERROR(VALUE(TRIM(LEFT(MID(Wages!$B1627,FIND("/",Wages!$B1627)+1,20),FIND("/",MID(Wages!$B1627,FIND("/",Wages!$B1627)+1,20))-1))),"")))</f>
        <v/>
      </c>
      <c r="E1624">
        <f>IF(OR($A1624="",$C1624=""),"",IF(ISNUMBER(Wages!$B1627),MOD(Wages!$B1627,100),IFERROR(VALUE(TRIM(MID(MID(Wages!$B1627,FIND("/",Wages!$B1627)+1,20),FIND("/",MID(Wages!$B1627,FIND("/",Wages!$B1627)+1,20))+1,20))),"")))</f>
        <v/>
      </c>
      <c r="F1624">
        <f>IF($A1624="","",IF(OR($C1624="",$D1624="",$E1624="",$C1624&lt;1300,$C1624&gt;1500,$D1624&lt;1,$D1624&gt;12,$E1624&lt;1,$E1624&gt;31),"نامعتبر",RIGHT("0000"&amp;$C1624,4)&amp;"/"&amp;RIGHT("00"&amp;$D1624,2)&amp;"/"&amp;RIGHT("00"&amp;$E1624,2)))</f>
        <v/>
      </c>
      <c r="G1624">
        <f>IF(OR($A1624="",$F1624="",$F1624="نامعتبر"),"",LEFT($F1624,4)&amp;MID($F1624,6,2)&amp;RIGHT($F1624,2)&amp;"0000"&amp;"|"&amp;"1"&amp;RIGHT("00000"&amp;1619,5))</f>
        <v/>
      </c>
      <c r="H1624">
        <f>IF(OR($B1624&lt;&gt;1,$G1624=""),"",COUNTIFS(LdAParty,$A1624,LdAType,1,LdAKey,"&lt;"&amp;$G1624)+COUNTIFS(LdBMember,$A1624,LdBKey,"&lt;"&amp;$G1624)+COUNTIFS(LdCParty,$A1624,LdCKey,"&lt;"&amp;$G1624)+1)</f>
        <v/>
      </c>
      <c r="I1624">
        <f>IF($H1624="","",$A1624&amp;"|"&amp;RIGHT("000000"&amp;$H1624,6))</f>
        <v/>
      </c>
      <c r="J1624">
        <f>IF(OR($B1624&lt;&gt;2,$G1624=""),"",COUNTIFS(LdAParty,$A1624,LdAType,2,LdAKey,"&lt;"&amp;$G1624)+1)</f>
        <v/>
      </c>
      <c r="K1624">
        <f>IF($J1624="","",$A1624&amp;"|"&amp;RIGHT("000000"&amp;$J1624,6))</f>
        <v/>
      </c>
      <c r="L1624">
        <f>IF($A1624="","",IF(Wages!$G1627="",0,Wages!$G1627))</f>
        <v/>
      </c>
      <c r="M1624">
        <f>IF($A1624="","",Wages!$J1627)</f>
        <v/>
      </c>
      <c r="N1624">
        <f>IF($A1624="","",Wages!$D1627)</f>
        <v/>
      </c>
      <c r="P1624">
        <f>IF(OR(Shares!$B1627="",Shares!$C1627=""),"",Shares!$C1627)</f>
        <v/>
      </c>
      <c r="Q1624">
        <f>IF($P1624="","",Shares!$B1627)</f>
        <v/>
      </c>
      <c r="R1624">
        <f>IF($P1624="","",IFERROR(INDEX(WageParty,MATCH($Q1624,WageIds,0)),""))</f>
        <v/>
      </c>
      <c r="S1624">
        <f>IF($P1624="","",IFERROR(INDEX($F$6:$F$2005,MATCH($Q1624,WageIds,0)),""))</f>
        <v/>
      </c>
      <c r="T1624">
        <f>IF(OR($P1624="",$S1624="",$S1624="نامعتبر"),"",LEFT($S1624,4)&amp;MID($S1624,6,2)&amp;RIGHT($S1624,2)&amp;"0000"&amp;"|"&amp;"2"&amp;RIGHT("00000"&amp;1619,5))</f>
        <v/>
      </c>
      <c r="U1624">
        <f>IF($T1624="","",COUNTIFS(LdAParty,$P1624,LdAType,1,LdAKey,"&lt;"&amp;$T1624)+COUNTIFS(LdBMember,$P1624,LdBKey,"&lt;"&amp;$T1624)+COUNTIFS(LdCParty,$P1624,LdCKey,"&lt;"&amp;$T1624)+1)</f>
        <v/>
      </c>
      <c r="V1624">
        <f>IF($U1624="","",$P1624&amp;"|"&amp;RIGHT("000000"&amp;$U1624,6))</f>
        <v/>
      </c>
      <c r="W1624">
        <f>IF($T1624="","",COUNTIFS(LdBGroup,$R1624,LdBKey,"&lt;"&amp;$T1624)+1)</f>
        <v/>
      </c>
      <c r="X1624">
        <f>IF($W1624="","",$R1624&amp;"|"&amp;RIGHT("000000"&amp;$W1624,6))</f>
        <v/>
      </c>
      <c r="Y1624">
        <f>IF($P1624="","",IF(Shares!$E1627="",0,Shares!$E1627))</f>
        <v/>
      </c>
      <c r="Z1624">
        <f>IF($P1624="","",Shares!$H1627)</f>
        <v/>
      </c>
      <c r="AE1624">
        <f>IF(OR(Sync!$S1624="",Sync!$P1624=""),"",Sync!$S1624)</f>
        <v/>
      </c>
      <c r="AF1624">
        <f>IF($AE1624="","",IF(ISNUMBER(Sync!$P1624),IF(AND(Sync!$P1624&gt;=10000101,Sync!$P1624&lt;=99991231),INT(Sync!$P1624/10000),""),IFERROR(VALUE(TRIM(LEFT(Sync!$P1624,FIND("/",Sync!$P1624)-1))),"")))</f>
        <v/>
      </c>
      <c r="AG1624">
        <f>IF(OR($AE1624="",$AF1624=""),"",IF(ISNUMBER(Sync!$P1624),INT(MOD(Sync!$P1624,10000)/100),IFERROR(VALUE(TRIM(LEFT(MID(Sync!$P1624,FIND("/",Sync!$P1624)+1,20),FIND("/",MID(Sync!$P1624,FIND("/",Sync!$P1624)+1,20))-1))),"")))</f>
        <v/>
      </c>
      <c r="AH1624">
        <f>IF(OR($AE1624="",$AF1624=""),"",IF(ISNUMBER(Sync!$P1624),MOD(Sync!$P1624,100),IFERROR(VALUE(TRIM(MID(MID(Sync!$P1624,FIND("/",Sync!$P1624)+1,20),FIND("/",MID(Sync!$P1624,FIND("/",Sync!$P1624)+1,20))+1,20))),"")))</f>
        <v/>
      </c>
      <c r="AI1624">
        <f>IF($AE1624="","",IF(OR($AF1624="",$AG1624="",$AH1624="",$AF1624&lt;1300,$AF1624&gt;1500,$AG1624&lt;1,$AG1624&gt;12,$AH1624&lt;1,$AH1624&gt;31),"نامعتبر",RIGHT("0000"&amp;$AF1624,4)&amp;"/"&amp;RIGHT("00"&amp;$AG1624,2)&amp;"/"&amp;RIGHT("00"&amp;$AH1624,2)))</f>
        <v/>
      </c>
      <c r="AJ1624">
        <f>IF($AE1624="","",IF(Sync!$Q1624="","0000",IF(AND(ISNUMBER(Sync!$Q1624),Sync!$Q1624&gt;=0,Sync!$Q1624&lt;1),RIGHT("00"&amp;HOUR(Sync!$Q1624),2)&amp;RIGHT("00"&amp;MINUTE(Sync!$Q1624),2),IFERROR(RIGHT("00"&amp;VALUE(LEFT(Sync!$Q1624,FIND(":",Sync!$Q1624)-1)),2)&amp;RIGHT("00"&amp;VALUE(MID(Sync!$Q1624,FIND(":",Sync!$Q1624)+1,2)),2),"0000"))))</f>
        <v/>
      </c>
      <c r="AK1624">
        <f>IF(OR($AE1624="",$AI1624="",$AI1624="نامعتبر"),"",LEFT($AI1624,4)&amp;MID($AI1624,6,2)&amp;RIGHT($AI1624,2)&amp;$AJ1624&amp;"|"&amp;"3"&amp;RIGHT("00000"&amp;1619,5))</f>
        <v/>
      </c>
      <c r="AL1624">
        <f>IF($AK1624="","",COUNTIFS(LdAParty,$AE1624,LdAType,1,LdAKey,"&lt;"&amp;$AK1624)+COUNTIFS(LdBMember,$AE1624,LdBKey,"&lt;"&amp;$AK1624)+COUNTIFS(LdCParty,$AE1624,LdCKey,"&lt;"&amp;$AK1624)+1)</f>
        <v/>
      </c>
      <c r="AM1624">
        <f>IF($AL1624="","",$AE1624&amp;"|"&amp;RIGHT("000000"&amp;$AL1624,6))</f>
        <v/>
      </c>
      <c r="AN1624">
        <f>IF($AE1624="","",IF(Sync!$W1624="",0,Sync!$W1624))</f>
        <v/>
      </c>
      <c r="AO1624">
        <f>IF($AE1624="","",IF(Sync!$X1624="",0,Sync!$X1624))</f>
        <v/>
      </c>
      <c r="AP1624">
        <f>IF($AE1624="","",Sync!$R1624)</f>
        <v/>
      </c>
      <c r="AQ1624">
        <f>IF($AE1624="","",Sync!$Y1624)</f>
        <v/>
      </c>
    </row>
    <row r="1625">
      <c r="A1625">
        <f>IF(OR(Wages!$B1628="",Wages!$E1628=""),"",Wages!$E1628)</f>
        <v/>
      </c>
      <c r="B1625">
        <f>IF($A1625="","",IF(Wages!$C1628="دستمزد گروهی",2,1))</f>
        <v/>
      </c>
      <c r="C1625">
        <f>IF($A1625="","",IF(ISNUMBER(Wages!$B1628),IF(AND(Wages!$B1628&gt;=10000101,Wages!$B1628&lt;=99991231),INT(Wages!$B1628/10000),""),IFERROR(VALUE(TRIM(LEFT(Wages!$B1628,FIND("/",Wages!$B1628)-1))),"")))</f>
        <v/>
      </c>
      <c r="D1625">
        <f>IF(OR($A1625="",$C1625=""),"",IF(ISNUMBER(Wages!$B1628),INT(MOD(Wages!$B1628,10000)/100),IFERROR(VALUE(TRIM(LEFT(MID(Wages!$B1628,FIND("/",Wages!$B1628)+1,20),FIND("/",MID(Wages!$B1628,FIND("/",Wages!$B1628)+1,20))-1))),"")))</f>
        <v/>
      </c>
      <c r="E1625">
        <f>IF(OR($A1625="",$C1625=""),"",IF(ISNUMBER(Wages!$B1628),MOD(Wages!$B1628,100),IFERROR(VALUE(TRIM(MID(MID(Wages!$B1628,FIND("/",Wages!$B1628)+1,20),FIND("/",MID(Wages!$B1628,FIND("/",Wages!$B1628)+1,20))+1,20))),"")))</f>
        <v/>
      </c>
      <c r="F1625">
        <f>IF($A1625="","",IF(OR($C1625="",$D1625="",$E1625="",$C1625&lt;1300,$C1625&gt;1500,$D1625&lt;1,$D1625&gt;12,$E1625&lt;1,$E1625&gt;31),"نامعتبر",RIGHT("0000"&amp;$C1625,4)&amp;"/"&amp;RIGHT("00"&amp;$D1625,2)&amp;"/"&amp;RIGHT("00"&amp;$E1625,2)))</f>
        <v/>
      </c>
      <c r="G1625">
        <f>IF(OR($A1625="",$F1625="",$F1625="نامعتبر"),"",LEFT($F1625,4)&amp;MID($F1625,6,2)&amp;RIGHT($F1625,2)&amp;"0000"&amp;"|"&amp;"1"&amp;RIGHT("00000"&amp;1620,5))</f>
        <v/>
      </c>
      <c r="H1625">
        <f>IF(OR($B1625&lt;&gt;1,$G1625=""),"",COUNTIFS(LdAParty,$A1625,LdAType,1,LdAKey,"&lt;"&amp;$G1625)+COUNTIFS(LdBMember,$A1625,LdBKey,"&lt;"&amp;$G1625)+COUNTIFS(LdCParty,$A1625,LdCKey,"&lt;"&amp;$G1625)+1)</f>
        <v/>
      </c>
      <c r="I1625">
        <f>IF($H1625="","",$A1625&amp;"|"&amp;RIGHT("000000"&amp;$H1625,6))</f>
        <v/>
      </c>
      <c r="J1625">
        <f>IF(OR($B1625&lt;&gt;2,$G1625=""),"",COUNTIFS(LdAParty,$A1625,LdAType,2,LdAKey,"&lt;"&amp;$G1625)+1)</f>
        <v/>
      </c>
      <c r="K1625">
        <f>IF($J1625="","",$A1625&amp;"|"&amp;RIGHT("000000"&amp;$J1625,6))</f>
        <v/>
      </c>
      <c r="L1625">
        <f>IF($A1625="","",IF(Wages!$G1628="",0,Wages!$G1628))</f>
        <v/>
      </c>
      <c r="M1625">
        <f>IF($A1625="","",Wages!$J1628)</f>
        <v/>
      </c>
      <c r="N1625">
        <f>IF($A1625="","",Wages!$D1628)</f>
        <v/>
      </c>
      <c r="P1625">
        <f>IF(OR(Shares!$B1628="",Shares!$C1628=""),"",Shares!$C1628)</f>
        <v/>
      </c>
      <c r="Q1625">
        <f>IF($P1625="","",Shares!$B1628)</f>
        <v/>
      </c>
      <c r="R1625">
        <f>IF($P1625="","",IFERROR(INDEX(WageParty,MATCH($Q1625,WageIds,0)),""))</f>
        <v/>
      </c>
      <c r="S1625">
        <f>IF($P1625="","",IFERROR(INDEX($F$6:$F$2005,MATCH($Q1625,WageIds,0)),""))</f>
        <v/>
      </c>
      <c r="T1625">
        <f>IF(OR($P1625="",$S1625="",$S1625="نامعتبر"),"",LEFT($S1625,4)&amp;MID($S1625,6,2)&amp;RIGHT($S1625,2)&amp;"0000"&amp;"|"&amp;"2"&amp;RIGHT("00000"&amp;1620,5))</f>
        <v/>
      </c>
      <c r="U1625">
        <f>IF($T1625="","",COUNTIFS(LdAParty,$P1625,LdAType,1,LdAKey,"&lt;"&amp;$T1625)+COUNTIFS(LdBMember,$P1625,LdBKey,"&lt;"&amp;$T1625)+COUNTIFS(LdCParty,$P1625,LdCKey,"&lt;"&amp;$T1625)+1)</f>
        <v/>
      </c>
      <c r="V1625">
        <f>IF($U1625="","",$P1625&amp;"|"&amp;RIGHT("000000"&amp;$U1625,6))</f>
        <v/>
      </c>
      <c r="W1625">
        <f>IF($T1625="","",COUNTIFS(LdBGroup,$R1625,LdBKey,"&lt;"&amp;$T1625)+1)</f>
        <v/>
      </c>
      <c r="X1625">
        <f>IF($W1625="","",$R1625&amp;"|"&amp;RIGHT("000000"&amp;$W1625,6))</f>
        <v/>
      </c>
      <c r="Y1625">
        <f>IF($P1625="","",IF(Shares!$E1628="",0,Shares!$E1628))</f>
        <v/>
      </c>
      <c r="Z1625">
        <f>IF($P1625="","",Shares!$H1628)</f>
        <v/>
      </c>
      <c r="AE1625">
        <f>IF(OR(Sync!$S1625="",Sync!$P1625=""),"",Sync!$S1625)</f>
        <v/>
      </c>
      <c r="AF1625">
        <f>IF($AE1625="","",IF(ISNUMBER(Sync!$P1625),IF(AND(Sync!$P1625&gt;=10000101,Sync!$P1625&lt;=99991231),INT(Sync!$P1625/10000),""),IFERROR(VALUE(TRIM(LEFT(Sync!$P1625,FIND("/",Sync!$P1625)-1))),"")))</f>
        <v/>
      </c>
      <c r="AG1625">
        <f>IF(OR($AE1625="",$AF1625=""),"",IF(ISNUMBER(Sync!$P1625),INT(MOD(Sync!$P1625,10000)/100),IFERROR(VALUE(TRIM(LEFT(MID(Sync!$P1625,FIND("/",Sync!$P1625)+1,20),FIND("/",MID(Sync!$P1625,FIND("/",Sync!$P1625)+1,20))-1))),"")))</f>
        <v/>
      </c>
      <c r="AH1625">
        <f>IF(OR($AE1625="",$AF1625=""),"",IF(ISNUMBER(Sync!$P1625),MOD(Sync!$P1625,100),IFERROR(VALUE(TRIM(MID(MID(Sync!$P1625,FIND("/",Sync!$P1625)+1,20),FIND("/",MID(Sync!$P1625,FIND("/",Sync!$P1625)+1,20))+1,20))),"")))</f>
        <v/>
      </c>
      <c r="AI1625">
        <f>IF($AE1625="","",IF(OR($AF1625="",$AG1625="",$AH1625="",$AF1625&lt;1300,$AF1625&gt;1500,$AG1625&lt;1,$AG1625&gt;12,$AH1625&lt;1,$AH1625&gt;31),"نامعتبر",RIGHT("0000"&amp;$AF1625,4)&amp;"/"&amp;RIGHT("00"&amp;$AG1625,2)&amp;"/"&amp;RIGHT("00"&amp;$AH1625,2)))</f>
        <v/>
      </c>
      <c r="AJ1625">
        <f>IF($AE1625="","",IF(Sync!$Q1625="","0000",IF(AND(ISNUMBER(Sync!$Q1625),Sync!$Q1625&gt;=0,Sync!$Q1625&lt;1),RIGHT("00"&amp;HOUR(Sync!$Q1625),2)&amp;RIGHT("00"&amp;MINUTE(Sync!$Q1625),2),IFERROR(RIGHT("00"&amp;VALUE(LEFT(Sync!$Q1625,FIND(":",Sync!$Q1625)-1)),2)&amp;RIGHT("00"&amp;VALUE(MID(Sync!$Q1625,FIND(":",Sync!$Q1625)+1,2)),2),"0000"))))</f>
        <v/>
      </c>
      <c r="AK1625">
        <f>IF(OR($AE1625="",$AI1625="",$AI1625="نامعتبر"),"",LEFT($AI1625,4)&amp;MID($AI1625,6,2)&amp;RIGHT($AI1625,2)&amp;$AJ1625&amp;"|"&amp;"3"&amp;RIGHT("00000"&amp;1620,5))</f>
        <v/>
      </c>
      <c r="AL1625">
        <f>IF($AK1625="","",COUNTIFS(LdAParty,$AE1625,LdAType,1,LdAKey,"&lt;"&amp;$AK1625)+COUNTIFS(LdBMember,$AE1625,LdBKey,"&lt;"&amp;$AK1625)+COUNTIFS(LdCParty,$AE1625,LdCKey,"&lt;"&amp;$AK1625)+1)</f>
        <v/>
      </c>
      <c r="AM1625">
        <f>IF($AL1625="","",$AE1625&amp;"|"&amp;RIGHT("000000"&amp;$AL1625,6))</f>
        <v/>
      </c>
      <c r="AN1625">
        <f>IF($AE1625="","",IF(Sync!$W1625="",0,Sync!$W1625))</f>
        <v/>
      </c>
      <c r="AO1625">
        <f>IF($AE1625="","",IF(Sync!$X1625="",0,Sync!$X1625))</f>
        <v/>
      </c>
      <c r="AP1625">
        <f>IF($AE1625="","",Sync!$R1625)</f>
        <v/>
      </c>
      <c r="AQ1625">
        <f>IF($AE1625="","",Sync!$Y1625)</f>
        <v/>
      </c>
    </row>
    <row r="1626">
      <c r="A1626">
        <f>IF(OR(Wages!$B1629="",Wages!$E1629=""),"",Wages!$E1629)</f>
        <v/>
      </c>
      <c r="B1626">
        <f>IF($A1626="","",IF(Wages!$C1629="دستمزد گروهی",2,1))</f>
        <v/>
      </c>
      <c r="C1626">
        <f>IF($A1626="","",IF(ISNUMBER(Wages!$B1629),IF(AND(Wages!$B1629&gt;=10000101,Wages!$B1629&lt;=99991231),INT(Wages!$B1629/10000),""),IFERROR(VALUE(TRIM(LEFT(Wages!$B1629,FIND("/",Wages!$B1629)-1))),"")))</f>
        <v/>
      </c>
      <c r="D1626">
        <f>IF(OR($A1626="",$C1626=""),"",IF(ISNUMBER(Wages!$B1629),INT(MOD(Wages!$B1629,10000)/100),IFERROR(VALUE(TRIM(LEFT(MID(Wages!$B1629,FIND("/",Wages!$B1629)+1,20),FIND("/",MID(Wages!$B1629,FIND("/",Wages!$B1629)+1,20))-1))),"")))</f>
        <v/>
      </c>
      <c r="E1626">
        <f>IF(OR($A1626="",$C1626=""),"",IF(ISNUMBER(Wages!$B1629),MOD(Wages!$B1629,100),IFERROR(VALUE(TRIM(MID(MID(Wages!$B1629,FIND("/",Wages!$B1629)+1,20),FIND("/",MID(Wages!$B1629,FIND("/",Wages!$B1629)+1,20))+1,20))),"")))</f>
        <v/>
      </c>
      <c r="F1626">
        <f>IF($A1626="","",IF(OR($C1626="",$D1626="",$E1626="",$C1626&lt;1300,$C1626&gt;1500,$D1626&lt;1,$D1626&gt;12,$E1626&lt;1,$E1626&gt;31),"نامعتبر",RIGHT("0000"&amp;$C1626,4)&amp;"/"&amp;RIGHT("00"&amp;$D1626,2)&amp;"/"&amp;RIGHT("00"&amp;$E1626,2)))</f>
        <v/>
      </c>
      <c r="G1626">
        <f>IF(OR($A1626="",$F1626="",$F1626="نامعتبر"),"",LEFT($F1626,4)&amp;MID($F1626,6,2)&amp;RIGHT($F1626,2)&amp;"0000"&amp;"|"&amp;"1"&amp;RIGHT("00000"&amp;1621,5))</f>
        <v/>
      </c>
      <c r="H1626">
        <f>IF(OR($B1626&lt;&gt;1,$G1626=""),"",COUNTIFS(LdAParty,$A1626,LdAType,1,LdAKey,"&lt;"&amp;$G1626)+COUNTIFS(LdBMember,$A1626,LdBKey,"&lt;"&amp;$G1626)+COUNTIFS(LdCParty,$A1626,LdCKey,"&lt;"&amp;$G1626)+1)</f>
        <v/>
      </c>
      <c r="I1626">
        <f>IF($H1626="","",$A1626&amp;"|"&amp;RIGHT("000000"&amp;$H1626,6))</f>
        <v/>
      </c>
      <c r="J1626">
        <f>IF(OR($B1626&lt;&gt;2,$G1626=""),"",COUNTIFS(LdAParty,$A1626,LdAType,2,LdAKey,"&lt;"&amp;$G1626)+1)</f>
        <v/>
      </c>
      <c r="K1626">
        <f>IF($J1626="","",$A1626&amp;"|"&amp;RIGHT("000000"&amp;$J1626,6))</f>
        <v/>
      </c>
      <c r="L1626">
        <f>IF($A1626="","",IF(Wages!$G1629="",0,Wages!$G1629))</f>
        <v/>
      </c>
      <c r="M1626">
        <f>IF($A1626="","",Wages!$J1629)</f>
        <v/>
      </c>
      <c r="N1626">
        <f>IF($A1626="","",Wages!$D1629)</f>
        <v/>
      </c>
      <c r="P1626">
        <f>IF(OR(Shares!$B1629="",Shares!$C1629=""),"",Shares!$C1629)</f>
        <v/>
      </c>
      <c r="Q1626">
        <f>IF($P1626="","",Shares!$B1629)</f>
        <v/>
      </c>
      <c r="R1626">
        <f>IF($P1626="","",IFERROR(INDEX(WageParty,MATCH($Q1626,WageIds,0)),""))</f>
        <v/>
      </c>
      <c r="S1626">
        <f>IF($P1626="","",IFERROR(INDEX($F$6:$F$2005,MATCH($Q1626,WageIds,0)),""))</f>
        <v/>
      </c>
      <c r="T1626">
        <f>IF(OR($P1626="",$S1626="",$S1626="نامعتبر"),"",LEFT($S1626,4)&amp;MID($S1626,6,2)&amp;RIGHT($S1626,2)&amp;"0000"&amp;"|"&amp;"2"&amp;RIGHT("00000"&amp;1621,5))</f>
        <v/>
      </c>
      <c r="U1626">
        <f>IF($T1626="","",COUNTIFS(LdAParty,$P1626,LdAType,1,LdAKey,"&lt;"&amp;$T1626)+COUNTIFS(LdBMember,$P1626,LdBKey,"&lt;"&amp;$T1626)+COUNTIFS(LdCParty,$P1626,LdCKey,"&lt;"&amp;$T1626)+1)</f>
        <v/>
      </c>
      <c r="V1626">
        <f>IF($U1626="","",$P1626&amp;"|"&amp;RIGHT("000000"&amp;$U1626,6))</f>
        <v/>
      </c>
      <c r="W1626">
        <f>IF($T1626="","",COUNTIFS(LdBGroup,$R1626,LdBKey,"&lt;"&amp;$T1626)+1)</f>
        <v/>
      </c>
      <c r="X1626">
        <f>IF($W1626="","",$R1626&amp;"|"&amp;RIGHT("000000"&amp;$W1626,6))</f>
        <v/>
      </c>
      <c r="Y1626">
        <f>IF($P1626="","",IF(Shares!$E1629="",0,Shares!$E1629))</f>
        <v/>
      </c>
      <c r="Z1626">
        <f>IF($P1626="","",Shares!$H1629)</f>
        <v/>
      </c>
      <c r="AE1626">
        <f>IF(OR(Sync!$S1626="",Sync!$P1626=""),"",Sync!$S1626)</f>
        <v/>
      </c>
      <c r="AF1626">
        <f>IF($AE1626="","",IF(ISNUMBER(Sync!$P1626),IF(AND(Sync!$P1626&gt;=10000101,Sync!$P1626&lt;=99991231),INT(Sync!$P1626/10000),""),IFERROR(VALUE(TRIM(LEFT(Sync!$P1626,FIND("/",Sync!$P1626)-1))),"")))</f>
        <v/>
      </c>
      <c r="AG1626">
        <f>IF(OR($AE1626="",$AF1626=""),"",IF(ISNUMBER(Sync!$P1626),INT(MOD(Sync!$P1626,10000)/100),IFERROR(VALUE(TRIM(LEFT(MID(Sync!$P1626,FIND("/",Sync!$P1626)+1,20),FIND("/",MID(Sync!$P1626,FIND("/",Sync!$P1626)+1,20))-1))),"")))</f>
        <v/>
      </c>
      <c r="AH1626">
        <f>IF(OR($AE1626="",$AF1626=""),"",IF(ISNUMBER(Sync!$P1626),MOD(Sync!$P1626,100),IFERROR(VALUE(TRIM(MID(MID(Sync!$P1626,FIND("/",Sync!$P1626)+1,20),FIND("/",MID(Sync!$P1626,FIND("/",Sync!$P1626)+1,20))+1,20))),"")))</f>
        <v/>
      </c>
      <c r="AI1626">
        <f>IF($AE1626="","",IF(OR($AF1626="",$AG1626="",$AH1626="",$AF1626&lt;1300,$AF1626&gt;1500,$AG1626&lt;1,$AG1626&gt;12,$AH1626&lt;1,$AH1626&gt;31),"نامعتبر",RIGHT("0000"&amp;$AF1626,4)&amp;"/"&amp;RIGHT("00"&amp;$AG1626,2)&amp;"/"&amp;RIGHT("00"&amp;$AH1626,2)))</f>
        <v/>
      </c>
      <c r="AJ1626">
        <f>IF($AE1626="","",IF(Sync!$Q1626="","0000",IF(AND(ISNUMBER(Sync!$Q1626),Sync!$Q1626&gt;=0,Sync!$Q1626&lt;1),RIGHT("00"&amp;HOUR(Sync!$Q1626),2)&amp;RIGHT("00"&amp;MINUTE(Sync!$Q1626),2),IFERROR(RIGHT("00"&amp;VALUE(LEFT(Sync!$Q1626,FIND(":",Sync!$Q1626)-1)),2)&amp;RIGHT("00"&amp;VALUE(MID(Sync!$Q1626,FIND(":",Sync!$Q1626)+1,2)),2),"0000"))))</f>
        <v/>
      </c>
      <c r="AK1626">
        <f>IF(OR($AE1626="",$AI1626="",$AI1626="نامعتبر"),"",LEFT($AI1626,4)&amp;MID($AI1626,6,2)&amp;RIGHT($AI1626,2)&amp;$AJ1626&amp;"|"&amp;"3"&amp;RIGHT("00000"&amp;1621,5))</f>
        <v/>
      </c>
      <c r="AL1626">
        <f>IF($AK1626="","",COUNTIFS(LdAParty,$AE1626,LdAType,1,LdAKey,"&lt;"&amp;$AK1626)+COUNTIFS(LdBMember,$AE1626,LdBKey,"&lt;"&amp;$AK1626)+COUNTIFS(LdCParty,$AE1626,LdCKey,"&lt;"&amp;$AK1626)+1)</f>
        <v/>
      </c>
      <c r="AM1626">
        <f>IF($AL1626="","",$AE1626&amp;"|"&amp;RIGHT("000000"&amp;$AL1626,6))</f>
        <v/>
      </c>
      <c r="AN1626">
        <f>IF($AE1626="","",IF(Sync!$W1626="",0,Sync!$W1626))</f>
        <v/>
      </c>
      <c r="AO1626">
        <f>IF($AE1626="","",IF(Sync!$X1626="",0,Sync!$X1626))</f>
        <v/>
      </c>
      <c r="AP1626">
        <f>IF($AE1626="","",Sync!$R1626)</f>
        <v/>
      </c>
      <c r="AQ1626">
        <f>IF($AE1626="","",Sync!$Y1626)</f>
        <v/>
      </c>
    </row>
    <row r="1627">
      <c r="A1627">
        <f>IF(OR(Wages!$B1630="",Wages!$E1630=""),"",Wages!$E1630)</f>
        <v/>
      </c>
      <c r="B1627">
        <f>IF($A1627="","",IF(Wages!$C1630="دستمزد گروهی",2,1))</f>
        <v/>
      </c>
      <c r="C1627">
        <f>IF($A1627="","",IF(ISNUMBER(Wages!$B1630),IF(AND(Wages!$B1630&gt;=10000101,Wages!$B1630&lt;=99991231),INT(Wages!$B1630/10000),""),IFERROR(VALUE(TRIM(LEFT(Wages!$B1630,FIND("/",Wages!$B1630)-1))),"")))</f>
        <v/>
      </c>
      <c r="D1627">
        <f>IF(OR($A1627="",$C1627=""),"",IF(ISNUMBER(Wages!$B1630),INT(MOD(Wages!$B1630,10000)/100),IFERROR(VALUE(TRIM(LEFT(MID(Wages!$B1630,FIND("/",Wages!$B1630)+1,20),FIND("/",MID(Wages!$B1630,FIND("/",Wages!$B1630)+1,20))-1))),"")))</f>
        <v/>
      </c>
      <c r="E1627">
        <f>IF(OR($A1627="",$C1627=""),"",IF(ISNUMBER(Wages!$B1630),MOD(Wages!$B1630,100),IFERROR(VALUE(TRIM(MID(MID(Wages!$B1630,FIND("/",Wages!$B1630)+1,20),FIND("/",MID(Wages!$B1630,FIND("/",Wages!$B1630)+1,20))+1,20))),"")))</f>
        <v/>
      </c>
      <c r="F1627">
        <f>IF($A1627="","",IF(OR($C1627="",$D1627="",$E1627="",$C1627&lt;1300,$C1627&gt;1500,$D1627&lt;1,$D1627&gt;12,$E1627&lt;1,$E1627&gt;31),"نامعتبر",RIGHT("0000"&amp;$C1627,4)&amp;"/"&amp;RIGHT("00"&amp;$D1627,2)&amp;"/"&amp;RIGHT("00"&amp;$E1627,2)))</f>
        <v/>
      </c>
      <c r="G1627">
        <f>IF(OR($A1627="",$F1627="",$F1627="نامعتبر"),"",LEFT($F1627,4)&amp;MID($F1627,6,2)&amp;RIGHT($F1627,2)&amp;"0000"&amp;"|"&amp;"1"&amp;RIGHT("00000"&amp;1622,5))</f>
        <v/>
      </c>
      <c r="H1627">
        <f>IF(OR($B1627&lt;&gt;1,$G1627=""),"",COUNTIFS(LdAParty,$A1627,LdAType,1,LdAKey,"&lt;"&amp;$G1627)+COUNTIFS(LdBMember,$A1627,LdBKey,"&lt;"&amp;$G1627)+COUNTIFS(LdCParty,$A1627,LdCKey,"&lt;"&amp;$G1627)+1)</f>
        <v/>
      </c>
      <c r="I1627">
        <f>IF($H1627="","",$A1627&amp;"|"&amp;RIGHT("000000"&amp;$H1627,6))</f>
        <v/>
      </c>
      <c r="J1627">
        <f>IF(OR($B1627&lt;&gt;2,$G1627=""),"",COUNTIFS(LdAParty,$A1627,LdAType,2,LdAKey,"&lt;"&amp;$G1627)+1)</f>
        <v/>
      </c>
      <c r="K1627">
        <f>IF($J1627="","",$A1627&amp;"|"&amp;RIGHT("000000"&amp;$J1627,6))</f>
        <v/>
      </c>
      <c r="L1627">
        <f>IF($A1627="","",IF(Wages!$G1630="",0,Wages!$G1630))</f>
        <v/>
      </c>
      <c r="M1627">
        <f>IF($A1627="","",Wages!$J1630)</f>
        <v/>
      </c>
      <c r="N1627">
        <f>IF($A1627="","",Wages!$D1630)</f>
        <v/>
      </c>
      <c r="P1627">
        <f>IF(OR(Shares!$B1630="",Shares!$C1630=""),"",Shares!$C1630)</f>
        <v/>
      </c>
      <c r="Q1627">
        <f>IF($P1627="","",Shares!$B1630)</f>
        <v/>
      </c>
      <c r="R1627">
        <f>IF($P1627="","",IFERROR(INDEX(WageParty,MATCH($Q1627,WageIds,0)),""))</f>
        <v/>
      </c>
      <c r="S1627">
        <f>IF($P1627="","",IFERROR(INDEX($F$6:$F$2005,MATCH($Q1627,WageIds,0)),""))</f>
        <v/>
      </c>
      <c r="T1627">
        <f>IF(OR($P1627="",$S1627="",$S1627="نامعتبر"),"",LEFT($S1627,4)&amp;MID($S1627,6,2)&amp;RIGHT($S1627,2)&amp;"0000"&amp;"|"&amp;"2"&amp;RIGHT("00000"&amp;1622,5))</f>
        <v/>
      </c>
      <c r="U1627">
        <f>IF($T1627="","",COUNTIFS(LdAParty,$P1627,LdAType,1,LdAKey,"&lt;"&amp;$T1627)+COUNTIFS(LdBMember,$P1627,LdBKey,"&lt;"&amp;$T1627)+COUNTIFS(LdCParty,$P1627,LdCKey,"&lt;"&amp;$T1627)+1)</f>
        <v/>
      </c>
      <c r="V1627">
        <f>IF($U1627="","",$P1627&amp;"|"&amp;RIGHT("000000"&amp;$U1627,6))</f>
        <v/>
      </c>
      <c r="W1627">
        <f>IF($T1627="","",COUNTIFS(LdBGroup,$R1627,LdBKey,"&lt;"&amp;$T1627)+1)</f>
        <v/>
      </c>
      <c r="X1627">
        <f>IF($W1627="","",$R1627&amp;"|"&amp;RIGHT("000000"&amp;$W1627,6))</f>
        <v/>
      </c>
      <c r="Y1627">
        <f>IF($P1627="","",IF(Shares!$E1630="",0,Shares!$E1630))</f>
        <v/>
      </c>
      <c r="Z1627">
        <f>IF($P1627="","",Shares!$H1630)</f>
        <v/>
      </c>
      <c r="AE1627">
        <f>IF(OR(Sync!$S1627="",Sync!$P1627=""),"",Sync!$S1627)</f>
        <v/>
      </c>
      <c r="AF1627">
        <f>IF($AE1627="","",IF(ISNUMBER(Sync!$P1627),IF(AND(Sync!$P1627&gt;=10000101,Sync!$P1627&lt;=99991231),INT(Sync!$P1627/10000),""),IFERROR(VALUE(TRIM(LEFT(Sync!$P1627,FIND("/",Sync!$P1627)-1))),"")))</f>
        <v/>
      </c>
      <c r="AG1627">
        <f>IF(OR($AE1627="",$AF1627=""),"",IF(ISNUMBER(Sync!$P1627),INT(MOD(Sync!$P1627,10000)/100),IFERROR(VALUE(TRIM(LEFT(MID(Sync!$P1627,FIND("/",Sync!$P1627)+1,20),FIND("/",MID(Sync!$P1627,FIND("/",Sync!$P1627)+1,20))-1))),"")))</f>
        <v/>
      </c>
      <c r="AH1627">
        <f>IF(OR($AE1627="",$AF1627=""),"",IF(ISNUMBER(Sync!$P1627),MOD(Sync!$P1627,100),IFERROR(VALUE(TRIM(MID(MID(Sync!$P1627,FIND("/",Sync!$P1627)+1,20),FIND("/",MID(Sync!$P1627,FIND("/",Sync!$P1627)+1,20))+1,20))),"")))</f>
        <v/>
      </c>
      <c r="AI1627">
        <f>IF($AE1627="","",IF(OR($AF1627="",$AG1627="",$AH1627="",$AF1627&lt;1300,$AF1627&gt;1500,$AG1627&lt;1,$AG1627&gt;12,$AH1627&lt;1,$AH1627&gt;31),"نامعتبر",RIGHT("0000"&amp;$AF1627,4)&amp;"/"&amp;RIGHT("00"&amp;$AG1627,2)&amp;"/"&amp;RIGHT("00"&amp;$AH1627,2)))</f>
        <v/>
      </c>
      <c r="AJ1627">
        <f>IF($AE1627="","",IF(Sync!$Q1627="","0000",IF(AND(ISNUMBER(Sync!$Q1627),Sync!$Q1627&gt;=0,Sync!$Q1627&lt;1),RIGHT("00"&amp;HOUR(Sync!$Q1627),2)&amp;RIGHT("00"&amp;MINUTE(Sync!$Q1627),2),IFERROR(RIGHT("00"&amp;VALUE(LEFT(Sync!$Q1627,FIND(":",Sync!$Q1627)-1)),2)&amp;RIGHT("00"&amp;VALUE(MID(Sync!$Q1627,FIND(":",Sync!$Q1627)+1,2)),2),"0000"))))</f>
        <v/>
      </c>
      <c r="AK1627">
        <f>IF(OR($AE1627="",$AI1627="",$AI1627="نامعتبر"),"",LEFT($AI1627,4)&amp;MID($AI1627,6,2)&amp;RIGHT($AI1627,2)&amp;$AJ1627&amp;"|"&amp;"3"&amp;RIGHT("00000"&amp;1622,5))</f>
        <v/>
      </c>
      <c r="AL1627">
        <f>IF($AK1627="","",COUNTIFS(LdAParty,$AE1627,LdAType,1,LdAKey,"&lt;"&amp;$AK1627)+COUNTIFS(LdBMember,$AE1627,LdBKey,"&lt;"&amp;$AK1627)+COUNTIFS(LdCParty,$AE1627,LdCKey,"&lt;"&amp;$AK1627)+1)</f>
        <v/>
      </c>
      <c r="AM1627">
        <f>IF($AL1627="","",$AE1627&amp;"|"&amp;RIGHT("000000"&amp;$AL1627,6))</f>
        <v/>
      </c>
      <c r="AN1627">
        <f>IF($AE1627="","",IF(Sync!$W1627="",0,Sync!$W1627))</f>
        <v/>
      </c>
      <c r="AO1627">
        <f>IF($AE1627="","",IF(Sync!$X1627="",0,Sync!$X1627))</f>
        <v/>
      </c>
      <c r="AP1627">
        <f>IF($AE1627="","",Sync!$R1627)</f>
        <v/>
      </c>
      <c r="AQ1627">
        <f>IF($AE1627="","",Sync!$Y1627)</f>
        <v/>
      </c>
    </row>
    <row r="1628">
      <c r="A1628">
        <f>IF(OR(Wages!$B1631="",Wages!$E1631=""),"",Wages!$E1631)</f>
        <v/>
      </c>
      <c r="B1628">
        <f>IF($A1628="","",IF(Wages!$C1631="دستمزد گروهی",2,1))</f>
        <v/>
      </c>
      <c r="C1628">
        <f>IF($A1628="","",IF(ISNUMBER(Wages!$B1631),IF(AND(Wages!$B1631&gt;=10000101,Wages!$B1631&lt;=99991231),INT(Wages!$B1631/10000),""),IFERROR(VALUE(TRIM(LEFT(Wages!$B1631,FIND("/",Wages!$B1631)-1))),"")))</f>
        <v/>
      </c>
      <c r="D1628">
        <f>IF(OR($A1628="",$C1628=""),"",IF(ISNUMBER(Wages!$B1631),INT(MOD(Wages!$B1631,10000)/100),IFERROR(VALUE(TRIM(LEFT(MID(Wages!$B1631,FIND("/",Wages!$B1631)+1,20),FIND("/",MID(Wages!$B1631,FIND("/",Wages!$B1631)+1,20))-1))),"")))</f>
        <v/>
      </c>
      <c r="E1628">
        <f>IF(OR($A1628="",$C1628=""),"",IF(ISNUMBER(Wages!$B1631),MOD(Wages!$B1631,100),IFERROR(VALUE(TRIM(MID(MID(Wages!$B1631,FIND("/",Wages!$B1631)+1,20),FIND("/",MID(Wages!$B1631,FIND("/",Wages!$B1631)+1,20))+1,20))),"")))</f>
        <v/>
      </c>
      <c r="F1628">
        <f>IF($A1628="","",IF(OR($C1628="",$D1628="",$E1628="",$C1628&lt;1300,$C1628&gt;1500,$D1628&lt;1,$D1628&gt;12,$E1628&lt;1,$E1628&gt;31),"نامعتبر",RIGHT("0000"&amp;$C1628,4)&amp;"/"&amp;RIGHT("00"&amp;$D1628,2)&amp;"/"&amp;RIGHT("00"&amp;$E1628,2)))</f>
        <v/>
      </c>
      <c r="G1628">
        <f>IF(OR($A1628="",$F1628="",$F1628="نامعتبر"),"",LEFT($F1628,4)&amp;MID($F1628,6,2)&amp;RIGHT($F1628,2)&amp;"0000"&amp;"|"&amp;"1"&amp;RIGHT("00000"&amp;1623,5))</f>
        <v/>
      </c>
      <c r="H1628">
        <f>IF(OR($B1628&lt;&gt;1,$G1628=""),"",COUNTIFS(LdAParty,$A1628,LdAType,1,LdAKey,"&lt;"&amp;$G1628)+COUNTIFS(LdBMember,$A1628,LdBKey,"&lt;"&amp;$G1628)+COUNTIFS(LdCParty,$A1628,LdCKey,"&lt;"&amp;$G1628)+1)</f>
        <v/>
      </c>
      <c r="I1628">
        <f>IF($H1628="","",$A1628&amp;"|"&amp;RIGHT("000000"&amp;$H1628,6))</f>
        <v/>
      </c>
      <c r="J1628">
        <f>IF(OR($B1628&lt;&gt;2,$G1628=""),"",COUNTIFS(LdAParty,$A1628,LdAType,2,LdAKey,"&lt;"&amp;$G1628)+1)</f>
        <v/>
      </c>
      <c r="K1628">
        <f>IF($J1628="","",$A1628&amp;"|"&amp;RIGHT("000000"&amp;$J1628,6))</f>
        <v/>
      </c>
      <c r="L1628">
        <f>IF($A1628="","",IF(Wages!$G1631="",0,Wages!$G1631))</f>
        <v/>
      </c>
      <c r="M1628">
        <f>IF($A1628="","",Wages!$J1631)</f>
        <v/>
      </c>
      <c r="N1628">
        <f>IF($A1628="","",Wages!$D1631)</f>
        <v/>
      </c>
      <c r="P1628">
        <f>IF(OR(Shares!$B1631="",Shares!$C1631=""),"",Shares!$C1631)</f>
        <v/>
      </c>
      <c r="Q1628">
        <f>IF($P1628="","",Shares!$B1631)</f>
        <v/>
      </c>
      <c r="R1628">
        <f>IF($P1628="","",IFERROR(INDEX(WageParty,MATCH($Q1628,WageIds,0)),""))</f>
        <v/>
      </c>
      <c r="S1628">
        <f>IF($P1628="","",IFERROR(INDEX($F$6:$F$2005,MATCH($Q1628,WageIds,0)),""))</f>
        <v/>
      </c>
      <c r="T1628">
        <f>IF(OR($P1628="",$S1628="",$S1628="نامعتبر"),"",LEFT($S1628,4)&amp;MID($S1628,6,2)&amp;RIGHT($S1628,2)&amp;"0000"&amp;"|"&amp;"2"&amp;RIGHT("00000"&amp;1623,5))</f>
        <v/>
      </c>
      <c r="U1628">
        <f>IF($T1628="","",COUNTIFS(LdAParty,$P1628,LdAType,1,LdAKey,"&lt;"&amp;$T1628)+COUNTIFS(LdBMember,$P1628,LdBKey,"&lt;"&amp;$T1628)+COUNTIFS(LdCParty,$P1628,LdCKey,"&lt;"&amp;$T1628)+1)</f>
        <v/>
      </c>
      <c r="V1628">
        <f>IF($U1628="","",$P1628&amp;"|"&amp;RIGHT("000000"&amp;$U1628,6))</f>
        <v/>
      </c>
      <c r="W1628">
        <f>IF($T1628="","",COUNTIFS(LdBGroup,$R1628,LdBKey,"&lt;"&amp;$T1628)+1)</f>
        <v/>
      </c>
      <c r="X1628">
        <f>IF($W1628="","",$R1628&amp;"|"&amp;RIGHT("000000"&amp;$W1628,6))</f>
        <v/>
      </c>
      <c r="Y1628">
        <f>IF($P1628="","",IF(Shares!$E1631="",0,Shares!$E1631))</f>
        <v/>
      </c>
      <c r="Z1628">
        <f>IF($P1628="","",Shares!$H1631)</f>
        <v/>
      </c>
      <c r="AE1628">
        <f>IF(OR(Sync!$S1628="",Sync!$P1628=""),"",Sync!$S1628)</f>
        <v/>
      </c>
      <c r="AF1628">
        <f>IF($AE1628="","",IF(ISNUMBER(Sync!$P1628),IF(AND(Sync!$P1628&gt;=10000101,Sync!$P1628&lt;=99991231),INT(Sync!$P1628/10000),""),IFERROR(VALUE(TRIM(LEFT(Sync!$P1628,FIND("/",Sync!$P1628)-1))),"")))</f>
        <v/>
      </c>
      <c r="AG1628">
        <f>IF(OR($AE1628="",$AF1628=""),"",IF(ISNUMBER(Sync!$P1628),INT(MOD(Sync!$P1628,10000)/100),IFERROR(VALUE(TRIM(LEFT(MID(Sync!$P1628,FIND("/",Sync!$P1628)+1,20),FIND("/",MID(Sync!$P1628,FIND("/",Sync!$P1628)+1,20))-1))),"")))</f>
        <v/>
      </c>
      <c r="AH1628">
        <f>IF(OR($AE1628="",$AF1628=""),"",IF(ISNUMBER(Sync!$P1628),MOD(Sync!$P1628,100),IFERROR(VALUE(TRIM(MID(MID(Sync!$P1628,FIND("/",Sync!$P1628)+1,20),FIND("/",MID(Sync!$P1628,FIND("/",Sync!$P1628)+1,20))+1,20))),"")))</f>
        <v/>
      </c>
      <c r="AI1628">
        <f>IF($AE1628="","",IF(OR($AF1628="",$AG1628="",$AH1628="",$AF1628&lt;1300,$AF1628&gt;1500,$AG1628&lt;1,$AG1628&gt;12,$AH1628&lt;1,$AH1628&gt;31),"نامعتبر",RIGHT("0000"&amp;$AF1628,4)&amp;"/"&amp;RIGHT("00"&amp;$AG1628,2)&amp;"/"&amp;RIGHT("00"&amp;$AH1628,2)))</f>
        <v/>
      </c>
      <c r="AJ1628">
        <f>IF($AE1628="","",IF(Sync!$Q1628="","0000",IF(AND(ISNUMBER(Sync!$Q1628),Sync!$Q1628&gt;=0,Sync!$Q1628&lt;1),RIGHT("00"&amp;HOUR(Sync!$Q1628),2)&amp;RIGHT("00"&amp;MINUTE(Sync!$Q1628),2),IFERROR(RIGHT("00"&amp;VALUE(LEFT(Sync!$Q1628,FIND(":",Sync!$Q1628)-1)),2)&amp;RIGHT("00"&amp;VALUE(MID(Sync!$Q1628,FIND(":",Sync!$Q1628)+1,2)),2),"0000"))))</f>
        <v/>
      </c>
      <c r="AK1628">
        <f>IF(OR($AE1628="",$AI1628="",$AI1628="نامعتبر"),"",LEFT($AI1628,4)&amp;MID($AI1628,6,2)&amp;RIGHT($AI1628,2)&amp;$AJ1628&amp;"|"&amp;"3"&amp;RIGHT("00000"&amp;1623,5))</f>
        <v/>
      </c>
      <c r="AL1628">
        <f>IF($AK1628="","",COUNTIFS(LdAParty,$AE1628,LdAType,1,LdAKey,"&lt;"&amp;$AK1628)+COUNTIFS(LdBMember,$AE1628,LdBKey,"&lt;"&amp;$AK1628)+COUNTIFS(LdCParty,$AE1628,LdCKey,"&lt;"&amp;$AK1628)+1)</f>
        <v/>
      </c>
      <c r="AM1628">
        <f>IF($AL1628="","",$AE1628&amp;"|"&amp;RIGHT("000000"&amp;$AL1628,6))</f>
        <v/>
      </c>
      <c r="AN1628">
        <f>IF($AE1628="","",IF(Sync!$W1628="",0,Sync!$W1628))</f>
        <v/>
      </c>
      <c r="AO1628">
        <f>IF($AE1628="","",IF(Sync!$X1628="",0,Sync!$X1628))</f>
        <v/>
      </c>
      <c r="AP1628">
        <f>IF($AE1628="","",Sync!$R1628)</f>
        <v/>
      </c>
      <c r="AQ1628">
        <f>IF($AE1628="","",Sync!$Y1628)</f>
        <v/>
      </c>
    </row>
    <row r="1629">
      <c r="A1629">
        <f>IF(OR(Wages!$B1632="",Wages!$E1632=""),"",Wages!$E1632)</f>
        <v/>
      </c>
      <c r="B1629">
        <f>IF($A1629="","",IF(Wages!$C1632="دستمزد گروهی",2,1))</f>
        <v/>
      </c>
      <c r="C1629">
        <f>IF($A1629="","",IF(ISNUMBER(Wages!$B1632),IF(AND(Wages!$B1632&gt;=10000101,Wages!$B1632&lt;=99991231),INT(Wages!$B1632/10000),""),IFERROR(VALUE(TRIM(LEFT(Wages!$B1632,FIND("/",Wages!$B1632)-1))),"")))</f>
        <v/>
      </c>
      <c r="D1629">
        <f>IF(OR($A1629="",$C1629=""),"",IF(ISNUMBER(Wages!$B1632),INT(MOD(Wages!$B1632,10000)/100),IFERROR(VALUE(TRIM(LEFT(MID(Wages!$B1632,FIND("/",Wages!$B1632)+1,20),FIND("/",MID(Wages!$B1632,FIND("/",Wages!$B1632)+1,20))-1))),"")))</f>
        <v/>
      </c>
      <c r="E1629">
        <f>IF(OR($A1629="",$C1629=""),"",IF(ISNUMBER(Wages!$B1632),MOD(Wages!$B1632,100),IFERROR(VALUE(TRIM(MID(MID(Wages!$B1632,FIND("/",Wages!$B1632)+1,20),FIND("/",MID(Wages!$B1632,FIND("/",Wages!$B1632)+1,20))+1,20))),"")))</f>
        <v/>
      </c>
      <c r="F1629">
        <f>IF($A1629="","",IF(OR($C1629="",$D1629="",$E1629="",$C1629&lt;1300,$C1629&gt;1500,$D1629&lt;1,$D1629&gt;12,$E1629&lt;1,$E1629&gt;31),"نامعتبر",RIGHT("0000"&amp;$C1629,4)&amp;"/"&amp;RIGHT("00"&amp;$D1629,2)&amp;"/"&amp;RIGHT("00"&amp;$E1629,2)))</f>
        <v/>
      </c>
      <c r="G1629">
        <f>IF(OR($A1629="",$F1629="",$F1629="نامعتبر"),"",LEFT($F1629,4)&amp;MID($F1629,6,2)&amp;RIGHT($F1629,2)&amp;"0000"&amp;"|"&amp;"1"&amp;RIGHT("00000"&amp;1624,5))</f>
        <v/>
      </c>
      <c r="H1629">
        <f>IF(OR($B1629&lt;&gt;1,$G1629=""),"",COUNTIFS(LdAParty,$A1629,LdAType,1,LdAKey,"&lt;"&amp;$G1629)+COUNTIFS(LdBMember,$A1629,LdBKey,"&lt;"&amp;$G1629)+COUNTIFS(LdCParty,$A1629,LdCKey,"&lt;"&amp;$G1629)+1)</f>
        <v/>
      </c>
      <c r="I1629">
        <f>IF($H1629="","",$A1629&amp;"|"&amp;RIGHT("000000"&amp;$H1629,6))</f>
        <v/>
      </c>
      <c r="J1629">
        <f>IF(OR($B1629&lt;&gt;2,$G1629=""),"",COUNTIFS(LdAParty,$A1629,LdAType,2,LdAKey,"&lt;"&amp;$G1629)+1)</f>
        <v/>
      </c>
      <c r="K1629">
        <f>IF($J1629="","",$A1629&amp;"|"&amp;RIGHT("000000"&amp;$J1629,6))</f>
        <v/>
      </c>
      <c r="L1629">
        <f>IF($A1629="","",IF(Wages!$G1632="",0,Wages!$G1632))</f>
        <v/>
      </c>
      <c r="M1629">
        <f>IF($A1629="","",Wages!$J1632)</f>
        <v/>
      </c>
      <c r="N1629">
        <f>IF($A1629="","",Wages!$D1632)</f>
        <v/>
      </c>
      <c r="P1629">
        <f>IF(OR(Shares!$B1632="",Shares!$C1632=""),"",Shares!$C1632)</f>
        <v/>
      </c>
      <c r="Q1629">
        <f>IF($P1629="","",Shares!$B1632)</f>
        <v/>
      </c>
      <c r="R1629">
        <f>IF($P1629="","",IFERROR(INDEX(WageParty,MATCH($Q1629,WageIds,0)),""))</f>
        <v/>
      </c>
      <c r="S1629">
        <f>IF($P1629="","",IFERROR(INDEX($F$6:$F$2005,MATCH($Q1629,WageIds,0)),""))</f>
        <v/>
      </c>
      <c r="T1629">
        <f>IF(OR($P1629="",$S1629="",$S1629="نامعتبر"),"",LEFT($S1629,4)&amp;MID($S1629,6,2)&amp;RIGHT($S1629,2)&amp;"0000"&amp;"|"&amp;"2"&amp;RIGHT("00000"&amp;1624,5))</f>
        <v/>
      </c>
      <c r="U1629">
        <f>IF($T1629="","",COUNTIFS(LdAParty,$P1629,LdAType,1,LdAKey,"&lt;"&amp;$T1629)+COUNTIFS(LdBMember,$P1629,LdBKey,"&lt;"&amp;$T1629)+COUNTIFS(LdCParty,$P1629,LdCKey,"&lt;"&amp;$T1629)+1)</f>
        <v/>
      </c>
      <c r="V1629">
        <f>IF($U1629="","",$P1629&amp;"|"&amp;RIGHT("000000"&amp;$U1629,6))</f>
        <v/>
      </c>
      <c r="W1629">
        <f>IF($T1629="","",COUNTIFS(LdBGroup,$R1629,LdBKey,"&lt;"&amp;$T1629)+1)</f>
        <v/>
      </c>
      <c r="X1629">
        <f>IF($W1629="","",$R1629&amp;"|"&amp;RIGHT("000000"&amp;$W1629,6))</f>
        <v/>
      </c>
      <c r="Y1629">
        <f>IF($P1629="","",IF(Shares!$E1632="",0,Shares!$E1632))</f>
        <v/>
      </c>
      <c r="Z1629">
        <f>IF($P1629="","",Shares!$H1632)</f>
        <v/>
      </c>
      <c r="AE1629">
        <f>IF(OR(Sync!$S1629="",Sync!$P1629=""),"",Sync!$S1629)</f>
        <v/>
      </c>
      <c r="AF1629">
        <f>IF($AE1629="","",IF(ISNUMBER(Sync!$P1629),IF(AND(Sync!$P1629&gt;=10000101,Sync!$P1629&lt;=99991231),INT(Sync!$P1629/10000),""),IFERROR(VALUE(TRIM(LEFT(Sync!$P1629,FIND("/",Sync!$P1629)-1))),"")))</f>
        <v/>
      </c>
      <c r="AG1629">
        <f>IF(OR($AE1629="",$AF1629=""),"",IF(ISNUMBER(Sync!$P1629),INT(MOD(Sync!$P1629,10000)/100),IFERROR(VALUE(TRIM(LEFT(MID(Sync!$P1629,FIND("/",Sync!$P1629)+1,20),FIND("/",MID(Sync!$P1629,FIND("/",Sync!$P1629)+1,20))-1))),"")))</f>
        <v/>
      </c>
      <c r="AH1629">
        <f>IF(OR($AE1629="",$AF1629=""),"",IF(ISNUMBER(Sync!$P1629),MOD(Sync!$P1629,100),IFERROR(VALUE(TRIM(MID(MID(Sync!$P1629,FIND("/",Sync!$P1629)+1,20),FIND("/",MID(Sync!$P1629,FIND("/",Sync!$P1629)+1,20))+1,20))),"")))</f>
        <v/>
      </c>
      <c r="AI1629">
        <f>IF($AE1629="","",IF(OR($AF1629="",$AG1629="",$AH1629="",$AF1629&lt;1300,$AF1629&gt;1500,$AG1629&lt;1,$AG1629&gt;12,$AH1629&lt;1,$AH1629&gt;31),"نامعتبر",RIGHT("0000"&amp;$AF1629,4)&amp;"/"&amp;RIGHT("00"&amp;$AG1629,2)&amp;"/"&amp;RIGHT("00"&amp;$AH1629,2)))</f>
        <v/>
      </c>
      <c r="AJ1629">
        <f>IF($AE1629="","",IF(Sync!$Q1629="","0000",IF(AND(ISNUMBER(Sync!$Q1629),Sync!$Q1629&gt;=0,Sync!$Q1629&lt;1),RIGHT("00"&amp;HOUR(Sync!$Q1629),2)&amp;RIGHT("00"&amp;MINUTE(Sync!$Q1629),2),IFERROR(RIGHT("00"&amp;VALUE(LEFT(Sync!$Q1629,FIND(":",Sync!$Q1629)-1)),2)&amp;RIGHT("00"&amp;VALUE(MID(Sync!$Q1629,FIND(":",Sync!$Q1629)+1,2)),2),"0000"))))</f>
        <v/>
      </c>
      <c r="AK1629">
        <f>IF(OR($AE1629="",$AI1629="",$AI1629="نامعتبر"),"",LEFT($AI1629,4)&amp;MID($AI1629,6,2)&amp;RIGHT($AI1629,2)&amp;$AJ1629&amp;"|"&amp;"3"&amp;RIGHT("00000"&amp;1624,5))</f>
        <v/>
      </c>
      <c r="AL1629">
        <f>IF($AK1629="","",COUNTIFS(LdAParty,$AE1629,LdAType,1,LdAKey,"&lt;"&amp;$AK1629)+COUNTIFS(LdBMember,$AE1629,LdBKey,"&lt;"&amp;$AK1629)+COUNTIFS(LdCParty,$AE1629,LdCKey,"&lt;"&amp;$AK1629)+1)</f>
        <v/>
      </c>
      <c r="AM1629">
        <f>IF($AL1629="","",$AE1629&amp;"|"&amp;RIGHT("000000"&amp;$AL1629,6))</f>
        <v/>
      </c>
      <c r="AN1629">
        <f>IF($AE1629="","",IF(Sync!$W1629="",0,Sync!$W1629))</f>
        <v/>
      </c>
      <c r="AO1629">
        <f>IF($AE1629="","",IF(Sync!$X1629="",0,Sync!$X1629))</f>
        <v/>
      </c>
      <c r="AP1629">
        <f>IF($AE1629="","",Sync!$R1629)</f>
        <v/>
      </c>
      <c r="AQ1629">
        <f>IF($AE1629="","",Sync!$Y1629)</f>
        <v/>
      </c>
    </row>
    <row r="1630">
      <c r="A1630">
        <f>IF(OR(Wages!$B1633="",Wages!$E1633=""),"",Wages!$E1633)</f>
        <v/>
      </c>
      <c r="B1630">
        <f>IF($A1630="","",IF(Wages!$C1633="دستمزد گروهی",2,1))</f>
        <v/>
      </c>
      <c r="C1630">
        <f>IF($A1630="","",IF(ISNUMBER(Wages!$B1633),IF(AND(Wages!$B1633&gt;=10000101,Wages!$B1633&lt;=99991231),INT(Wages!$B1633/10000),""),IFERROR(VALUE(TRIM(LEFT(Wages!$B1633,FIND("/",Wages!$B1633)-1))),"")))</f>
        <v/>
      </c>
      <c r="D1630">
        <f>IF(OR($A1630="",$C1630=""),"",IF(ISNUMBER(Wages!$B1633),INT(MOD(Wages!$B1633,10000)/100),IFERROR(VALUE(TRIM(LEFT(MID(Wages!$B1633,FIND("/",Wages!$B1633)+1,20),FIND("/",MID(Wages!$B1633,FIND("/",Wages!$B1633)+1,20))-1))),"")))</f>
        <v/>
      </c>
      <c r="E1630">
        <f>IF(OR($A1630="",$C1630=""),"",IF(ISNUMBER(Wages!$B1633),MOD(Wages!$B1633,100),IFERROR(VALUE(TRIM(MID(MID(Wages!$B1633,FIND("/",Wages!$B1633)+1,20),FIND("/",MID(Wages!$B1633,FIND("/",Wages!$B1633)+1,20))+1,20))),"")))</f>
        <v/>
      </c>
      <c r="F1630">
        <f>IF($A1630="","",IF(OR($C1630="",$D1630="",$E1630="",$C1630&lt;1300,$C1630&gt;1500,$D1630&lt;1,$D1630&gt;12,$E1630&lt;1,$E1630&gt;31),"نامعتبر",RIGHT("0000"&amp;$C1630,4)&amp;"/"&amp;RIGHT("00"&amp;$D1630,2)&amp;"/"&amp;RIGHT("00"&amp;$E1630,2)))</f>
        <v/>
      </c>
      <c r="G1630">
        <f>IF(OR($A1630="",$F1630="",$F1630="نامعتبر"),"",LEFT($F1630,4)&amp;MID($F1630,6,2)&amp;RIGHT($F1630,2)&amp;"0000"&amp;"|"&amp;"1"&amp;RIGHT("00000"&amp;1625,5))</f>
        <v/>
      </c>
      <c r="H1630">
        <f>IF(OR($B1630&lt;&gt;1,$G1630=""),"",COUNTIFS(LdAParty,$A1630,LdAType,1,LdAKey,"&lt;"&amp;$G1630)+COUNTIFS(LdBMember,$A1630,LdBKey,"&lt;"&amp;$G1630)+COUNTIFS(LdCParty,$A1630,LdCKey,"&lt;"&amp;$G1630)+1)</f>
        <v/>
      </c>
      <c r="I1630">
        <f>IF($H1630="","",$A1630&amp;"|"&amp;RIGHT("000000"&amp;$H1630,6))</f>
        <v/>
      </c>
      <c r="J1630">
        <f>IF(OR($B1630&lt;&gt;2,$G1630=""),"",COUNTIFS(LdAParty,$A1630,LdAType,2,LdAKey,"&lt;"&amp;$G1630)+1)</f>
        <v/>
      </c>
      <c r="K1630">
        <f>IF($J1630="","",$A1630&amp;"|"&amp;RIGHT("000000"&amp;$J1630,6))</f>
        <v/>
      </c>
      <c r="L1630">
        <f>IF($A1630="","",IF(Wages!$G1633="",0,Wages!$G1633))</f>
        <v/>
      </c>
      <c r="M1630">
        <f>IF($A1630="","",Wages!$J1633)</f>
        <v/>
      </c>
      <c r="N1630">
        <f>IF($A1630="","",Wages!$D1633)</f>
        <v/>
      </c>
      <c r="P1630">
        <f>IF(OR(Shares!$B1633="",Shares!$C1633=""),"",Shares!$C1633)</f>
        <v/>
      </c>
      <c r="Q1630">
        <f>IF($P1630="","",Shares!$B1633)</f>
        <v/>
      </c>
      <c r="R1630">
        <f>IF($P1630="","",IFERROR(INDEX(WageParty,MATCH($Q1630,WageIds,0)),""))</f>
        <v/>
      </c>
      <c r="S1630">
        <f>IF($P1630="","",IFERROR(INDEX($F$6:$F$2005,MATCH($Q1630,WageIds,0)),""))</f>
        <v/>
      </c>
      <c r="T1630">
        <f>IF(OR($P1630="",$S1630="",$S1630="نامعتبر"),"",LEFT($S1630,4)&amp;MID($S1630,6,2)&amp;RIGHT($S1630,2)&amp;"0000"&amp;"|"&amp;"2"&amp;RIGHT("00000"&amp;1625,5))</f>
        <v/>
      </c>
      <c r="U1630">
        <f>IF($T1630="","",COUNTIFS(LdAParty,$P1630,LdAType,1,LdAKey,"&lt;"&amp;$T1630)+COUNTIFS(LdBMember,$P1630,LdBKey,"&lt;"&amp;$T1630)+COUNTIFS(LdCParty,$P1630,LdCKey,"&lt;"&amp;$T1630)+1)</f>
        <v/>
      </c>
      <c r="V1630">
        <f>IF($U1630="","",$P1630&amp;"|"&amp;RIGHT("000000"&amp;$U1630,6))</f>
        <v/>
      </c>
      <c r="W1630">
        <f>IF($T1630="","",COUNTIFS(LdBGroup,$R1630,LdBKey,"&lt;"&amp;$T1630)+1)</f>
        <v/>
      </c>
      <c r="X1630">
        <f>IF($W1630="","",$R1630&amp;"|"&amp;RIGHT("000000"&amp;$W1630,6))</f>
        <v/>
      </c>
      <c r="Y1630">
        <f>IF($P1630="","",IF(Shares!$E1633="",0,Shares!$E1633))</f>
        <v/>
      </c>
      <c r="Z1630">
        <f>IF($P1630="","",Shares!$H1633)</f>
        <v/>
      </c>
      <c r="AE1630">
        <f>IF(OR(Sync!$S1630="",Sync!$P1630=""),"",Sync!$S1630)</f>
        <v/>
      </c>
      <c r="AF1630">
        <f>IF($AE1630="","",IF(ISNUMBER(Sync!$P1630),IF(AND(Sync!$P1630&gt;=10000101,Sync!$P1630&lt;=99991231),INT(Sync!$P1630/10000),""),IFERROR(VALUE(TRIM(LEFT(Sync!$P1630,FIND("/",Sync!$P1630)-1))),"")))</f>
        <v/>
      </c>
      <c r="AG1630">
        <f>IF(OR($AE1630="",$AF1630=""),"",IF(ISNUMBER(Sync!$P1630),INT(MOD(Sync!$P1630,10000)/100),IFERROR(VALUE(TRIM(LEFT(MID(Sync!$P1630,FIND("/",Sync!$P1630)+1,20),FIND("/",MID(Sync!$P1630,FIND("/",Sync!$P1630)+1,20))-1))),"")))</f>
        <v/>
      </c>
      <c r="AH1630">
        <f>IF(OR($AE1630="",$AF1630=""),"",IF(ISNUMBER(Sync!$P1630),MOD(Sync!$P1630,100),IFERROR(VALUE(TRIM(MID(MID(Sync!$P1630,FIND("/",Sync!$P1630)+1,20),FIND("/",MID(Sync!$P1630,FIND("/",Sync!$P1630)+1,20))+1,20))),"")))</f>
        <v/>
      </c>
      <c r="AI1630">
        <f>IF($AE1630="","",IF(OR($AF1630="",$AG1630="",$AH1630="",$AF1630&lt;1300,$AF1630&gt;1500,$AG1630&lt;1,$AG1630&gt;12,$AH1630&lt;1,$AH1630&gt;31),"نامعتبر",RIGHT("0000"&amp;$AF1630,4)&amp;"/"&amp;RIGHT("00"&amp;$AG1630,2)&amp;"/"&amp;RIGHT("00"&amp;$AH1630,2)))</f>
        <v/>
      </c>
      <c r="AJ1630">
        <f>IF($AE1630="","",IF(Sync!$Q1630="","0000",IF(AND(ISNUMBER(Sync!$Q1630),Sync!$Q1630&gt;=0,Sync!$Q1630&lt;1),RIGHT("00"&amp;HOUR(Sync!$Q1630),2)&amp;RIGHT("00"&amp;MINUTE(Sync!$Q1630),2),IFERROR(RIGHT("00"&amp;VALUE(LEFT(Sync!$Q1630,FIND(":",Sync!$Q1630)-1)),2)&amp;RIGHT("00"&amp;VALUE(MID(Sync!$Q1630,FIND(":",Sync!$Q1630)+1,2)),2),"0000"))))</f>
        <v/>
      </c>
      <c r="AK1630">
        <f>IF(OR($AE1630="",$AI1630="",$AI1630="نامعتبر"),"",LEFT($AI1630,4)&amp;MID($AI1630,6,2)&amp;RIGHT($AI1630,2)&amp;$AJ1630&amp;"|"&amp;"3"&amp;RIGHT("00000"&amp;1625,5))</f>
        <v/>
      </c>
      <c r="AL1630">
        <f>IF($AK1630="","",COUNTIFS(LdAParty,$AE1630,LdAType,1,LdAKey,"&lt;"&amp;$AK1630)+COUNTIFS(LdBMember,$AE1630,LdBKey,"&lt;"&amp;$AK1630)+COUNTIFS(LdCParty,$AE1630,LdCKey,"&lt;"&amp;$AK1630)+1)</f>
        <v/>
      </c>
      <c r="AM1630">
        <f>IF($AL1630="","",$AE1630&amp;"|"&amp;RIGHT("000000"&amp;$AL1630,6))</f>
        <v/>
      </c>
      <c r="AN1630">
        <f>IF($AE1630="","",IF(Sync!$W1630="",0,Sync!$W1630))</f>
        <v/>
      </c>
      <c r="AO1630">
        <f>IF($AE1630="","",IF(Sync!$X1630="",0,Sync!$X1630))</f>
        <v/>
      </c>
      <c r="AP1630">
        <f>IF($AE1630="","",Sync!$R1630)</f>
        <v/>
      </c>
      <c r="AQ1630">
        <f>IF($AE1630="","",Sync!$Y1630)</f>
        <v/>
      </c>
    </row>
    <row r="1631">
      <c r="A1631">
        <f>IF(OR(Wages!$B1634="",Wages!$E1634=""),"",Wages!$E1634)</f>
        <v/>
      </c>
      <c r="B1631">
        <f>IF($A1631="","",IF(Wages!$C1634="دستمزد گروهی",2,1))</f>
        <v/>
      </c>
      <c r="C1631">
        <f>IF($A1631="","",IF(ISNUMBER(Wages!$B1634),IF(AND(Wages!$B1634&gt;=10000101,Wages!$B1634&lt;=99991231),INT(Wages!$B1634/10000),""),IFERROR(VALUE(TRIM(LEFT(Wages!$B1634,FIND("/",Wages!$B1634)-1))),"")))</f>
        <v/>
      </c>
      <c r="D1631">
        <f>IF(OR($A1631="",$C1631=""),"",IF(ISNUMBER(Wages!$B1634),INT(MOD(Wages!$B1634,10000)/100),IFERROR(VALUE(TRIM(LEFT(MID(Wages!$B1634,FIND("/",Wages!$B1634)+1,20),FIND("/",MID(Wages!$B1634,FIND("/",Wages!$B1634)+1,20))-1))),"")))</f>
        <v/>
      </c>
      <c r="E1631">
        <f>IF(OR($A1631="",$C1631=""),"",IF(ISNUMBER(Wages!$B1634),MOD(Wages!$B1634,100),IFERROR(VALUE(TRIM(MID(MID(Wages!$B1634,FIND("/",Wages!$B1634)+1,20),FIND("/",MID(Wages!$B1634,FIND("/",Wages!$B1634)+1,20))+1,20))),"")))</f>
        <v/>
      </c>
      <c r="F1631">
        <f>IF($A1631="","",IF(OR($C1631="",$D1631="",$E1631="",$C1631&lt;1300,$C1631&gt;1500,$D1631&lt;1,$D1631&gt;12,$E1631&lt;1,$E1631&gt;31),"نامعتبر",RIGHT("0000"&amp;$C1631,4)&amp;"/"&amp;RIGHT("00"&amp;$D1631,2)&amp;"/"&amp;RIGHT("00"&amp;$E1631,2)))</f>
        <v/>
      </c>
      <c r="G1631">
        <f>IF(OR($A1631="",$F1631="",$F1631="نامعتبر"),"",LEFT($F1631,4)&amp;MID($F1631,6,2)&amp;RIGHT($F1631,2)&amp;"0000"&amp;"|"&amp;"1"&amp;RIGHT("00000"&amp;1626,5))</f>
        <v/>
      </c>
      <c r="H1631">
        <f>IF(OR($B1631&lt;&gt;1,$G1631=""),"",COUNTIFS(LdAParty,$A1631,LdAType,1,LdAKey,"&lt;"&amp;$G1631)+COUNTIFS(LdBMember,$A1631,LdBKey,"&lt;"&amp;$G1631)+COUNTIFS(LdCParty,$A1631,LdCKey,"&lt;"&amp;$G1631)+1)</f>
        <v/>
      </c>
      <c r="I1631">
        <f>IF($H1631="","",$A1631&amp;"|"&amp;RIGHT("000000"&amp;$H1631,6))</f>
        <v/>
      </c>
      <c r="J1631">
        <f>IF(OR($B1631&lt;&gt;2,$G1631=""),"",COUNTIFS(LdAParty,$A1631,LdAType,2,LdAKey,"&lt;"&amp;$G1631)+1)</f>
        <v/>
      </c>
      <c r="K1631">
        <f>IF($J1631="","",$A1631&amp;"|"&amp;RIGHT("000000"&amp;$J1631,6))</f>
        <v/>
      </c>
      <c r="L1631">
        <f>IF($A1631="","",IF(Wages!$G1634="",0,Wages!$G1634))</f>
        <v/>
      </c>
      <c r="M1631">
        <f>IF($A1631="","",Wages!$J1634)</f>
        <v/>
      </c>
      <c r="N1631">
        <f>IF($A1631="","",Wages!$D1634)</f>
        <v/>
      </c>
      <c r="P1631">
        <f>IF(OR(Shares!$B1634="",Shares!$C1634=""),"",Shares!$C1634)</f>
        <v/>
      </c>
      <c r="Q1631">
        <f>IF($P1631="","",Shares!$B1634)</f>
        <v/>
      </c>
      <c r="R1631">
        <f>IF($P1631="","",IFERROR(INDEX(WageParty,MATCH($Q1631,WageIds,0)),""))</f>
        <v/>
      </c>
      <c r="S1631">
        <f>IF($P1631="","",IFERROR(INDEX($F$6:$F$2005,MATCH($Q1631,WageIds,0)),""))</f>
        <v/>
      </c>
      <c r="T1631">
        <f>IF(OR($P1631="",$S1631="",$S1631="نامعتبر"),"",LEFT($S1631,4)&amp;MID($S1631,6,2)&amp;RIGHT($S1631,2)&amp;"0000"&amp;"|"&amp;"2"&amp;RIGHT("00000"&amp;1626,5))</f>
        <v/>
      </c>
      <c r="U1631">
        <f>IF($T1631="","",COUNTIFS(LdAParty,$P1631,LdAType,1,LdAKey,"&lt;"&amp;$T1631)+COUNTIFS(LdBMember,$P1631,LdBKey,"&lt;"&amp;$T1631)+COUNTIFS(LdCParty,$P1631,LdCKey,"&lt;"&amp;$T1631)+1)</f>
        <v/>
      </c>
      <c r="V1631">
        <f>IF($U1631="","",$P1631&amp;"|"&amp;RIGHT("000000"&amp;$U1631,6))</f>
        <v/>
      </c>
      <c r="W1631">
        <f>IF($T1631="","",COUNTIFS(LdBGroup,$R1631,LdBKey,"&lt;"&amp;$T1631)+1)</f>
        <v/>
      </c>
      <c r="X1631">
        <f>IF($W1631="","",$R1631&amp;"|"&amp;RIGHT("000000"&amp;$W1631,6))</f>
        <v/>
      </c>
      <c r="Y1631">
        <f>IF($P1631="","",IF(Shares!$E1634="",0,Shares!$E1634))</f>
        <v/>
      </c>
      <c r="Z1631">
        <f>IF($P1631="","",Shares!$H1634)</f>
        <v/>
      </c>
      <c r="AE1631">
        <f>IF(OR(Sync!$S1631="",Sync!$P1631=""),"",Sync!$S1631)</f>
        <v/>
      </c>
      <c r="AF1631">
        <f>IF($AE1631="","",IF(ISNUMBER(Sync!$P1631),IF(AND(Sync!$P1631&gt;=10000101,Sync!$P1631&lt;=99991231),INT(Sync!$P1631/10000),""),IFERROR(VALUE(TRIM(LEFT(Sync!$P1631,FIND("/",Sync!$P1631)-1))),"")))</f>
        <v/>
      </c>
      <c r="AG1631">
        <f>IF(OR($AE1631="",$AF1631=""),"",IF(ISNUMBER(Sync!$P1631),INT(MOD(Sync!$P1631,10000)/100),IFERROR(VALUE(TRIM(LEFT(MID(Sync!$P1631,FIND("/",Sync!$P1631)+1,20),FIND("/",MID(Sync!$P1631,FIND("/",Sync!$P1631)+1,20))-1))),"")))</f>
        <v/>
      </c>
      <c r="AH1631">
        <f>IF(OR($AE1631="",$AF1631=""),"",IF(ISNUMBER(Sync!$P1631),MOD(Sync!$P1631,100),IFERROR(VALUE(TRIM(MID(MID(Sync!$P1631,FIND("/",Sync!$P1631)+1,20),FIND("/",MID(Sync!$P1631,FIND("/",Sync!$P1631)+1,20))+1,20))),"")))</f>
        <v/>
      </c>
      <c r="AI1631">
        <f>IF($AE1631="","",IF(OR($AF1631="",$AG1631="",$AH1631="",$AF1631&lt;1300,$AF1631&gt;1500,$AG1631&lt;1,$AG1631&gt;12,$AH1631&lt;1,$AH1631&gt;31),"نامعتبر",RIGHT("0000"&amp;$AF1631,4)&amp;"/"&amp;RIGHT("00"&amp;$AG1631,2)&amp;"/"&amp;RIGHT("00"&amp;$AH1631,2)))</f>
        <v/>
      </c>
      <c r="AJ1631">
        <f>IF($AE1631="","",IF(Sync!$Q1631="","0000",IF(AND(ISNUMBER(Sync!$Q1631),Sync!$Q1631&gt;=0,Sync!$Q1631&lt;1),RIGHT("00"&amp;HOUR(Sync!$Q1631),2)&amp;RIGHT("00"&amp;MINUTE(Sync!$Q1631),2),IFERROR(RIGHT("00"&amp;VALUE(LEFT(Sync!$Q1631,FIND(":",Sync!$Q1631)-1)),2)&amp;RIGHT("00"&amp;VALUE(MID(Sync!$Q1631,FIND(":",Sync!$Q1631)+1,2)),2),"0000"))))</f>
        <v/>
      </c>
      <c r="AK1631">
        <f>IF(OR($AE1631="",$AI1631="",$AI1631="نامعتبر"),"",LEFT($AI1631,4)&amp;MID($AI1631,6,2)&amp;RIGHT($AI1631,2)&amp;$AJ1631&amp;"|"&amp;"3"&amp;RIGHT("00000"&amp;1626,5))</f>
        <v/>
      </c>
      <c r="AL1631">
        <f>IF($AK1631="","",COUNTIFS(LdAParty,$AE1631,LdAType,1,LdAKey,"&lt;"&amp;$AK1631)+COUNTIFS(LdBMember,$AE1631,LdBKey,"&lt;"&amp;$AK1631)+COUNTIFS(LdCParty,$AE1631,LdCKey,"&lt;"&amp;$AK1631)+1)</f>
        <v/>
      </c>
      <c r="AM1631">
        <f>IF($AL1631="","",$AE1631&amp;"|"&amp;RIGHT("000000"&amp;$AL1631,6))</f>
        <v/>
      </c>
      <c r="AN1631">
        <f>IF($AE1631="","",IF(Sync!$W1631="",0,Sync!$W1631))</f>
        <v/>
      </c>
      <c r="AO1631">
        <f>IF($AE1631="","",IF(Sync!$X1631="",0,Sync!$X1631))</f>
        <v/>
      </c>
      <c r="AP1631">
        <f>IF($AE1631="","",Sync!$R1631)</f>
        <v/>
      </c>
      <c r="AQ1631">
        <f>IF($AE1631="","",Sync!$Y1631)</f>
        <v/>
      </c>
    </row>
    <row r="1632">
      <c r="A1632">
        <f>IF(OR(Wages!$B1635="",Wages!$E1635=""),"",Wages!$E1635)</f>
        <v/>
      </c>
      <c r="B1632">
        <f>IF($A1632="","",IF(Wages!$C1635="دستمزد گروهی",2,1))</f>
        <v/>
      </c>
      <c r="C1632">
        <f>IF($A1632="","",IF(ISNUMBER(Wages!$B1635),IF(AND(Wages!$B1635&gt;=10000101,Wages!$B1635&lt;=99991231),INT(Wages!$B1635/10000),""),IFERROR(VALUE(TRIM(LEFT(Wages!$B1635,FIND("/",Wages!$B1635)-1))),"")))</f>
        <v/>
      </c>
      <c r="D1632">
        <f>IF(OR($A1632="",$C1632=""),"",IF(ISNUMBER(Wages!$B1635),INT(MOD(Wages!$B1635,10000)/100),IFERROR(VALUE(TRIM(LEFT(MID(Wages!$B1635,FIND("/",Wages!$B1635)+1,20),FIND("/",MID(Wages!$B1635,FIND("/",Wages!$B1635)+1,20))-1))),"")))</f>
        <v/>
      </c>
      <c r="E1632">
        <f>IF(OR($A1632="",$C1632=""),"",IF(ISNUMBER(Wages!$B1635),MOD(Wages!$B1635,100),IFERROR(VALUE(TRIM(MID(MID(Wages!$B1635,FIND("/",Wages!$B1635)+1,20),FIND("/",MID(Wages!$B1635,FIND("/",Wages!$B1635)+1,20))+1,20))),"")))</f>
        <v/>
      </c>
      <c r="F1632">
        <f>IF($A1632="","",IF(OR($C1632="",$D1632="",$E1632="",$C1632&lt;1300,$C1632&gt;1500,$D1632&lt;1,$D1632&gt;12,$E1632&lt;1,$E1632&gt;31),"نامعتبر",RIGHT("0000"&amp;$C1632,4)&amp;"/"&amp;RIGHT("00"&amp;$D1632,2)&amp;"/"&amp;RIGHT("00"&amp;$E1632,2)))</f>
        <v/>
      </c>
      <c r="G1632">
        <f>IF(OR($A1632="",$F1632="",$F1632="نامعتبر"),"",LEFT($F1632,4)&amp;MID($F1632,6,2)&amp;RIGHT($F1632,2)&amp;"0000"&amp;"|"&amp;"1"&amp;RIGHT("00000"&amp;1627,5))</f>
        <v/>
      </c>
      <c r="H1632">
        <f>IF(OR($B1632&lt;&gt;1,$G1632=""),"",COUNTIFS(LdAParty,$A1632,LdAType,1,LdAKey,"&lt;"&amp;$G1632)+COUNTIFS(LdBMember,$A1632,LdBKey,"&lt;"&amp;$G1632)+COUNTIFS(LdCParty,$A1632,LdCKey,"&lt;"&amp;$G1632)+1)</f>
        <v/>
      </c>
      <c r="I1632">
        <f>IF($H1632="","",$A1632&amp;"|"&amp;RIGHT("000000"&amp;$H1632,6))</f>
        <v/>
      </c>
      <c r="J1632">
        <f>IF(OR($B1632&lt;&gt;2,$G1632=""),"",COUNTIFS(LdAParty,$A1632,LdAType,2,LdAKey,"&lt;"&amp;$G1632)+1)</f>
        <v/>
      </c>
      <c r="K1632">
        <f>IF($J1632="","",$A1632&amp;"|"&amp;RIGHT("000000"&amp;$J1632,6))</f>
        <v/>
      </c>
      <c r="L1632">
        <f>IF($A1632="","",IF(Wages!$G1635="",0,Wages!$G1635))</f>
        <v/>
      </c>
      <c r="M1632">
        <f>IF($A1632="","",Wages!$J1635)</f>
        <v/>
      </c>
      <c r="N1632">
        <f>IF($A1632="","",Wages!$D1635)</f>
        <v/>
      </c>
      <c r="P1632">
        <f>IF(OR(Shares!$B1635="",Shares!$C1635=""),"",Shares!$C1635)</f>
        <v/>
      </c>
      <c r="Q1632">
        <f>IF($P1632="","",Shares!$B1635)</f>
        <v/>
      </c>
      <c r="R1632">
        <f>IF($P1632="","",IFERROR(INDEX(WageParty,MATCH($Q1632,WageIds,0)),""))</f>
        <v/>
      </c>
      <c r="S1632">
        <f>IF($P1632="","",IFERROR(INDEX($F$6:$F$2005,MATCH($Q1632,WageIds,0)),""))</f>
        <v/>
      </c>
      <c r="T1632">
        <f>IF(OR($P1632="",$S1632="",$S1632="نامعتبر"),"",LEFT($S1632,4)&amp;MID($S1632,6,2)&amp;RIGHT($S1632,2)&amp;"0000"&amp;"|"&amp;"2"&amp;RIGHT("00000"&amp;1627,5))</f>
        <v/>
      </c>
      <c r="U1632">
        <f>IF($T1632="","",COUNTIFS(LdAParty,$P1632,LdAType,1,LdAKey,"&lt;"&amp;$T1632)+COUNTIFS(LdBMember,$P1632,LdBKey,"&lt;"&amp;$T1632)+COUNTIFS(LdCParty,$P1632,LdCKey,"&lt;"&amp;$T1632)+1)</f>
        <v/>
      </c>
      <c r="V1632">
        <f>IF($U1632="","",$P1632&amp;"|"&amp;RIGHT("000000"&amp;$U1632,6))</f>
        <v/>
      </c>
      <c r="W1632">
        <f>IF($T1632="","",COUNTIFS(LdBGroup,$R1632,LdBKey,"&lt;"&amp;$T1632)+1)</f>
        <v/>
      </c>
      <c r="X1632">
        <f>IF($W1632="","",$R1632&amp;"|"&amp;RIGHT("000000"&amp;$W1632,6))</f>
        <v/>
      </c>
      <c r="Y1632">
        <f>IF($P1632="","",IF(Shares!$E1635="",0,Shares!$E1635))</f>
        <v/>
      </c>
      <c r="Z1632">
        <f>IF($P1632="","",Shares!$H1635)</f>
        <v/>
      </c>
      <c r="AE1632">
        <f>IF(OR(Sync!$S1632="",Sync!$P1632=""),"",Sync!$S1632)</f>
        <v/>
      </c>
      <c r="AF1632">
        <f>IF($AE1632="","",IF(ISNUMBER(Sync!$P1632),IF(AND(Sync!$P1632&gt;=10000101,Sync!$P1632&lt;=99991231),INT(Sync!$P1632/10000),""),IFERROR(VALUE(TRIM(LEFT(Sync!$P1632,FIND("/",Sync!$P1632)-1))),"")))</f>
        <v/>
      </c>
      <c r="AG1632">
        <f>IF(OR($AE1632="",$AF1632=""),"",IF(ISNUMBER(Sync!$P1632),INT(MOD(Sync!$P1632,10000)/100),IFERROR(VALUE(TRIM(LEFT(MID(Sync!$P1632,FIND("/",Sync!$P1632)+1,20),FIND("/",MID(Sync!$P1632,FIND("/",Sync!$P1632)+1,20))-1))),"")))</f>
        <v/>
      </c>
      <c r="AH1632">
        <f>IF(OR($AE1632="",$AF1632=""),"",IF(ISNUMBER(Sync!$P1632),MOD(Sync!$P1632,100),IFERROR(VALUE(TRIM(MID(MID(Sync!$P1632,FIND("/",Sync!$P1632)+1,20),FIND("/",MID(Sync!$P1632,FIND("/",Sync!$P1632)+1,20))+1,20))),"")))</f>
        <v/>
      </c>
      <c r="AI1632">
        <f>IF($AE1632="","",IF(OR($AF1632="",$AG1632="",$AH1632="",$AF1632&lt;1300,$AF1632&gt;1500,$AG1632&lt;1,$AG1632&gt;12,$AH1632&lt;1,$AH1632&gt;31),"نامعتبر",RIGHT("0000"&amp;$AF1632,4)&amp;"/"&amp;RIGHT("00"&amp;$AG1632,2)&amp;"/"&amp;RIGHT("00"&amp;$AH1632,2)))</f>
        <v/>
      </c>
      <c r="AJ1632">
        <f>IF($AE1632="","",IF(Sync!$Q1632="","0000",IF(AND(ISNUMBER(Sync!$Q1632),Sync!$Q1632&gt;=0,Sync!$Q1632&lt;1),RIGHT("00"&amp;HOUR(Sync!$Q1632),2)&amp;RIGHT("00"&amp;MINUTE(Sync!$Q1632),2),IFERROR(RIGHT("00"&amp;VALUE(LEFT(Sync!$Q1632,FIND(":",Sync!$Q1632)-1)),2)&amp;RIGHT("00"&amp;VALUE(MID(Sync!$Q1632,FIND(":",Sync!$Q1632)+1,2)),2),"0000"))))</f>
        <v/>
      </c>
      <c r="AK1632">
        <f>IF(OR($AE1632="",$AI1632="",$AI1632="نامعتبر"),"",LEFT($AI1632,4)&amp;MID($AI1632,6,2)&amp;RIGHT($AI1632,2)&amp;$AJ1632&amp;"|"&amp;"3"&amp;RIGHT("00000"&amp;1627,5))</f>
        <v/>
      </c>
      <c r="AL1632">
        <f>IF($AK1632="","",COUNTIFS(LdAParty,$AE1632,LdAType,1,LdAKey,"&lt;"&amp;$AK1632)+COUNTIFS(LdBMember,$AE1632,LdBKey,"&lt;"&amp;$AK1632)+COUNTIFS(LdCParty,$AE1632,LdCKey,"&lt;"&amp;$AK1632)+1)</f>
        <v/>
      </c>
      <c r="AM1632">
        <f>IF($AL1632="","",$AE1632&amp;"|"&amp;RIGHT("000000"&amp;$AL1632,6))</f>
        <v/>
      </c>
      <c r="AN1632">
        <f>IF($AE1632="","",IF(Sync!$W1632="",0,Sync!$W1632))</f>
        <v/>
      </c>
      <c r="AO1632">
        <f>IF($AE1632="","",IF(Sync!$X1632="",0,Sync!$X1632))</f>
        <v/>
      </c>
      <c r="AP1632">
        <f>IF($AE1632="","",Sync!$R1632)</f>
        <v/>
      </c>
      <c r="AQ1632">
        <f>IF($AE1632="","",Sync!$Y1632)</f>
        <v/>
      </c>
    </row>
    <row r="1633">
      <c r="A1633">
        <f>IF(OR(Wages!$B1636="",Wages!$E1636=""),"",Wages!$E1636)</f>
        <v/>
      </c>
      <c r="B1633">
        <f>IF($A1633="","",IF(Wages!$C1636="دستمزد گروهی",2,1))</f>
        <v/>
      </c>
      <c r="C1633">
        <f>IF($A1633="","",IF(ISNUMBER(Wages!$B1636),IF(AND(Wages!$B1636&gt;=10000101,Wages!$B1636&lt;=99991231),INT(Wages!$B1636/10000),""),IFERROR(VALUE(TRIM(LEFT(Wages!$B1636,FIND("/",Wages!$B1636)-1))),"")))</f>
        <v/>
      </c>
      <c r="D1633">
        <f>IF(OR($A1633="",$C1633=""),"",IF(ISNUMBER(Wages!$B1636),INT(MOD(Wages!$B1636,10000)/100),IFERROR(VALUE(TRIM(LEFT(MID(Wages!$B1636,FIND("/",Wages!$B1636)+1,20),FIND("/",MID(Wages!$B1636,FIND("/",Wages!$B1636)+1,20))-1))),"")))</f>
        <v/>
      </c>
      <c r="E1633">
        <f>IF(OR($A1633="",$C1633=""),"",IF(ISNUMBER(Wages!$B1636),MOD(Wages!$B1636,100),IFERROR(VALUE(TRIM(MID(MID(Wages!$B1636,FIND("/",Wages!$B1636)+1,20),FIND("/",MID(Wages!$B1636,FIND("/",Wages!$B1636)+1,20))+1,20))),"")))</f>
        <v/>
      </c>
      <c r="F1633">
        <f>IF($A1633="","",IF(OR($C1633="",$D1633="",$E1633="",$C1633&lt;1300,$C1633&gt;1500,$D1633&lt;1,$D1633&gt;12,$E1633&lt;1,$E1633&gt;31),"نامعتبر",RIGHT("0000"&amp;$C1633,4)&amp;"/"&amp;RIGHT("00"&amp;$D1633,2)&amp;"/"&amp;RIGHT("00"&amp;$E1633,2)))</f>
        <v/>
      </c>
      <c r="G1633">
        <f>IF(OR($A1633="",$F1633="",$F1633="نامعتبر"),"",LEFT($F1633,4)&amp;MID($F1633,6,2)&amp;RIGHT($F1633,2)&amp;"0000"&amp;"|"&amp;"1"&amp;RIGHT("00000"&amp;1628,5))</f>
        <v/>
      </c>
      <c r="H1633">
        <f>IF(OR($B1633&lt;&gt;1,$G1633=""),"",COUNTIFS(LdAParty,$A1633,LdAType,1,LdAKey,"&lt;"&amp;$G1633)+COUNTIFS(LdBMember,$A1633,LdBKey,"&lt;"&amp;$G1633)+COUNTIFS(LdCParty,$A1633,LdCKey,"&lt;"&amp;$G1633)+1)</f>
        <v/>
      </c>
      <c r="I1633">
        <f>IF($H1633="","",$A1633&amp;"|"&amp;RIGHT("000000"&amp;$H1633,6))</f>
        <v/>
      </c>
      <c r="J1633">
        <f>IF(OR($B1633&lt;&gt;2,$G1633=""),"",COUNTIFS(LdAParty,$A1633,LdAType,2,LdAKey,"&lt;"&amp;$G1633)+1)</f>
        <v/>
      </c>
      <c r="K1633">
        <f>IF($J1633="","",$A1633&amp;"|"&amp;RIGHT("000000"&amp;$J1633,6))</f>
        <v/>
      </c>
      <c r="L1633">
        <f>IF($A1633="","",IF(Wages!$G1636="",0,Wages!$G1636))</f>
        <v/>
      </c>
      <c r="M1633">
        <f>IF($A1633="","",Wages!$J1636)</f>
        <v/>
      </c>
      <c r="N1633">
        <f>IF($A1633="","",Wages!$D1636)</f>
        <v/>
      </c>
      <c r="P1633">
        <f>IF(OR(Shares!$B1636="",Shares!$C1636=""),"",Shares!$C1636)</f>
        <v/>
      </c>
      <c r="Q1633">
        <f>IF($P1633="","",Shares!$B1636)</f>
        <v/>
      </c>
      <c r="R1633">
        <f>IF($P1633="","",IFERROR(INDEX(WageParty,MATCH($Q1633,WageIds,0)),""))</f>
        <v/>
      </c>
      <c r="S1633">
        <f>IF($P1633="","",IFERROR(INDEX($F$6:$F$2005,MATCH($Q1633,WageIds,0)),""))</f>
        <v/>
      </c>
      <c r="T1633">
        <f>IF(OR($P1633="",$S1633="",$S1633="نامعتبر"),"",LEFT($S1633,4)&amp;MID($S1633,6,2)&amp;RIGHT($S1633,2)&amp;"0000"&amp;"|"&amp;"2"&amp;RIGHT("00000"&amp;1628,5))</f>
        <v/>
      </c>
      <c r="U1633">
        <f>IF($T1633="","",COUNTIFS(LdAParty,$P1633,LdAType,1,LdAKey,"&lt;"&amp;$T1633)+COUNTIFS(LdBMember,$P1633,LdBKey,"&lt;"&amp;$T1633)+COUNTIFS(LdCParty,$P1633,LdCKey,"&lt;"&amp;$T1633)+1)</f>
        <v/>
      </c>
      <c r="V1633">
        <f>IF($U1633="","",$P1633&amp;"|"&amp;RIGHT("000000"&amp;$U1633,6))</f>
        <v/>
      </c>
      <c r="W1633">
        <f>IF($T1633="","",COUNTIFS(LdBGroup,$R1633,LdBKey,"&lt;"&amp;$T1633)+1)</f>
        <v/>
      </c>
      <c r="X1633">
        <f>IF($W1633="","",$R1633&amp;"|"&amp;RIGHT("000000"&amp;$W1633,6))</f>
        <v/>
      </c>
      <c r="Y1633">
        <f>IF($P1633="","",IF(Shares!$E1636="",0,Shares!$E1636))</f>
        <v/>
      </c>
      <c r="Z1633">
        <f>IF($P1633="","",Shares!$H1636)</f>
        <v/>
      </c>
      <c r="AE1633">
        <f>IF(OR(Sync!$S1633="",Sync!$P1633=""),"",Sync!$S1633)</f>
        <v/>
      </c>
      <c r="AF1633">
        <f>IF($AE1633="","",IF(ISNUMBER(Sync!$P1633),IF(AND(Sync!$P1633&gt;=10000101,Sync!$P1633&lt;=99991231),INT(Sync!$P1633/10000),""),IFERROR(VALUE(TRIM(LEFT(Sync!$P1633,FIND("/",Sync!$P1633)-1))),"")))</f>
        <v/>
      </c>
      <c r="AG1633">
        <f>IF(OR($AE1633="",$AF1633=""),"",IF(ISNUMBER(Sync!$P1633),INT(MOD(Sync!$P1633,10000)/100),IFERROR(VALUE(TRIM(LEFT(MID(Sync!$P1633,FIND("/",Sync!$P1633)+1,20),FIND("/",MID(Sync!$P1633,FIND("/",Sync!$P1633)+1,20))-1))),"")))</f>
        <v/>
      </c>
      <c r="AH1633">
        <f>IF(OR($AE1633="",$AF1633=""),"",IF(ISNUMBER(Sync!$P1633),MOD(Sync!$P1633,100),IFERROR(VALUE(TRIM(MID(MID(Sync!$P1633,FIND("/",Sync!$P1633)+1,20),FIND("/",MID(Sync!$P1633,FIND("/",Sync!$P1633)+1,20))+1,20))),"")))</f>
        <v/>
      </c>
      <c r="AI1633">
        <f>IF($AE1633="","",IF(OR($AF1633="",$AG1633="",$AH1633="",$AF1633&lt;1300,$AF1633&gt;1500,$AG1633&lt;1,$AG1633&gt;12,$AH1633&lt;1,$AH1633&gt;31),"نامعتبر",RIGHT("0000"&amp;$AF1633,4)&amp;"/"&amp;RIGHT("00"&amp;$AG1633,2)&amp;"/"&amp;RIGHT("00"&amp;$AH1633,2)))</f>
        <v/>
      </c>
      <c r="AJ1633">
        <f>IF($AE1633="","",IF(Sync!$Q1633="","0000",IF(AND(ISNUMBER(Sync!$Q1633),Sync!$Q1633&gt;=0,Sync!$Q1633&lt;1),RIGHT("00"&amp;HOUR(Sync!$Q1633),2)&amp;RIGHT("00"&amp;MINUTE(Sync!$Q1633),2),IFERROR(RIGHT("00"&amp;VALUE(LEFT(Sync!$Q1633,FIND(":",Sync!$Q1633)-1)),2)&amp;RIGHT("00"&amp;VALUE(MID(Sync!$Q1633,FIND(":",Sync!$Q1633)+1,2)),2),"0000"))))</f>
        <v/>
      </c>
      <c r="AK1633">
        <f>IF(OR($AE1633="",$AI1633="",$AI1633="نامعتبر"),"",LEFT($AI1633,4)&amp;MID($AI1633,6,2)&amp;RIGHT($AI1633,2)&amp;$AJ1633&amp;"|"&amp;"3"&amp;RIGHT("00000"&amp;1628,5))</f>
        <v/>
      </c>
      <c r="AL1633">
        <f>IF($AK1633="","",COUNTIFS(LdAParty,$AE1633,LdAType,1,LdAKey,"&lt;"&amp;$AK1633)+COUNTIFS(LdBMember,$AE1633,LdBKey,"&lt;"&amp;$AK1633)+COUNTIFS(LdCParty,$AE1633,LdCKey,"&lt;"&amp;$AK1633)+1)</f>
        <v/>
      </c>
      <c r="AM1633">
        <f>IF($AL1633="","",$AE1633&amp;"|"&amp;RIGHT("000000"&amp;$AL1633,6))</f>
        <v/>
      </c>
      <c r="AN1633">
        <f>IF($AE1633="","",IF(Sync!$W1633="",0,Sync!$W1633))</f>
        <v/>
      </c>
      <c r="AO1633">
        <f>IF($AE1633="","",IF(Sync!$X1633="",0,Sync!$X1633))</f>
        <v/>
      </c>
      <c r="AP1633">
        <f>IF($AE1633="","",Sync!$R1633)</f>
        <v/>
      </c>
      <c r="AQ1633">
        <f>IF($AE1633="","",Sync!$Y1633)</f>
        <v/>
      </c>
    </row>
    <row r="1634">
      <c r="A1634">
        <f>IF(OR(Wages!$B1637="",Wages!$E1637=""),"",Wages!$E1637)</f>
        <v/>
      </c>
      <c r="B1634">
        <f>IF($A1634="","",IF(Wages!$C1637="دستمزد گروهی",2,1))</f>
        <v/>
      </c>
      <c r="C1634">
        <f>IF($A1634="","",IF(ISNUMBER(Wages!$B1637),IF(AND(Wages!$B1637&gt;=10000101,Wages!$B1637&lt;=99991231),INT(Wages!$B1637/10000),""),IFERROR(VALUE(TRIM(LEFT(Wages!$B1637,FIND("/",Wages!$B1637)-1))),"")))</f>
        <v/>
      </c>
      <c r="D1634">
        <f>IF(OR($A1634="",$C1634=""),"",IF(ISNUMBER(Wages!$B1637),INT(MOD(Wages!$B1637,10000)/100),IFERROR(VALUE(TRIM(LEFT(MID(Wages!$B1637,FIND("/",Wages!$B1637)+1,20),FIND("/",MID(Wages!$B1637,FIND("/",Wages!$B1637)+1,20))-1))),"")))</f>
        <v/>
      </c>
      <c r="E1634">
        <f>IF(OR($A1634="",$C1634=""),"",IF(ISNUMBER(Wages!$B1637),MOD(Wages!$B1637,100),IFERROR(VALUE(TRIM(MID(MID(Wages!$B1637,FIND("/",Wages!$B1637)+1,20),FIND("/",MID(Wages!$B1637,FIND("/",Wages!$B1637)+1,20))+1,20))),"")))</f>
        <v/>
      </c>
      <c r="F1634">
        <f>IF($A1634="","",IF(OR($C1634="",$D1634="",$E1634="",$C1634&lt;1300,$C1634&gt;1500,$D1634&lt;1,$D1634&gt;12,$E1634&lt;1,$E1634&gt;31),"نامعتبر",RIGHT("0000"&amp;$C1634,4)&amp;"/"&amp;RIGHT("00"&amp;$D1634,2)&amp;"/"&amp;RIGHT("00"&amp;$E1634,2)))</f>
        <v/>
      </c>
      <c r="G1634">
        <f>IF(OR($A1634="",$F1634="",$F1634="نامعتبر"),"",LEFT($F1634,4)&amp;MID($F1634,6,2)&amp;RIGHT($F1634,2)&amp;"0000"&amp;"|"&amp;"1"&amp;RIGHT("00000"&amp;1629,5))</f>
        <v/>
      </c>
      <c r="H1634">
        <f>IF(OR($B1634&lt;&gt;1,$G1634=""),"",COUNTIFS(LdAParty,$A1634,LdAType,1,LdAKey,"&lt;"&amp;$G1634)+COUNTIFS(LdBMember,$A1634,LdBKey,"&lt;"&amp;$G1634)+COUNTIFS(LdCParty,$A1634,LdCKey,"&lt;"&amp;$G1634)+1)</f>
        <v/>
      </c>
      <c r="I1634">
        <f>IF($H1634="","",$A1634&amp;"|"&amp;RIGHT("000000"&amp;$H1634,6))</f>
        <v/>
      </c>
      <c r="J1634">
        <f>IF(OR($B1634&lt;&gt;2,$G1634=""),"",COUNTIFS(LdAParty,$A1634,LdAType,2,LdAKey,"&lt;"&amp;$G1634)+1)</f>
        <v/>
      </c>
      <c r="K1634">
        <f>IF($J1634="","",$A1634&amp;"|"&amp;RIGHT("000000"&amp;$J1634,6))</f>
        <v/>
      </c>
      <c r="L1634">
        <f>IF($A1634="","",IF(Wages!$G1637="",0,Wages!$G1637))</f>
        <v/>
      </c>
      <c r="M1634">
        <f>IF($A1634="","",Wages!$J1637)</f>
        <v/>
      </c>
      <c r="N1634">
        <f>IF($A1634="","",Wages!$D1637)</f>
        <v/>
      </c>
      <c r="P1634">
        <f>IF(OR(Shares!$B1637="",Shares!$C1637=""),"",Shares!$C1637)</f>
        <v/>
      </c>
      <c r="Q1634">
        <f>IF($P1634="","",Shares!$B1637)</f>
        <v/>
      </c>
      <c r="R1634">
        <f>IF($P1634="","",IFERROR(INDEX(WageParty,MATCH($Q1634,WageIds,0)),""))</f>
        <v/>
      </c>
      <c r="S1634">
        <f>IF($P1634="","",IFERROR(INDEX($F$6:$F$2005,MATCH($Q1634,WageIds,0)),""))</f>
        <v/>
      </c>
      <c r="T1634">
        <f>IF(OR($P1634="",$S1634="",$S1634="نامعتبر"),"",LEFT($S1634,4)&amp;MID($S1634,6,2)&amp;RIGHT($S1634,2)&amp;"0000"&amp;"|"&amp;"2"&amp;RIGHT("00000"&amp;1629,5))</f>
        <v/>
      </c>
      <c r="U1634">
        <f>IF($T1634="","",COUNTIFS(LdAParty,$P1634,LdAType,1,LdAKey,"&lt;"&amp;$T1634)+COUNTIFS(LdBMember,$P1634,LdBKey,"&lt;"&amp;$T1634)+COUNTIFS(LdCParty,$P1634,LdCKey,"&lt;"&amp;$T1634)+1)</f>
        <v/>
      </c>
      <c r="V1634">
        <f>IF($U1634="","",$P1634&amp;"|"&amp;RIGHT("000000"&amp;$U1634,6))</f>
        <v/>
      </c>
      <c r="W1634">
        <f>IF($T1634="","",COUNTIFS(LdBGroup,$R1634,LdBKey,"&lt;"&amp;$T1634)+1)</f>
        <v/>
      </c>
      <c r="X1634">
        <f>IF($W1634="","",$R1634&amp;"|"&amp;RIGHT("000000"&amp;$W1634,6))</f>
        <v/>
      </c>
      <c r="Y1634">
        <f>IF($P1634="","",IF(Shares!$E1637="",0,Shares!$E1637))</f>
        <v/>
      </c>
      <c r="Z1634">
        <f>IF($P1634="","",Shares!$H1637)</f>
        <v/>
      </c>
      <c r="AE1634">
        <f>IF(OR(Sync!$S1634="",Sync!$P1634=""),"",Sync!$S1634)</f>
        <v/>
      </c>
      <c r="AF1634">
        <f>IF($AE1634="","",IF(ISNUMBER(Sync!$P1634),IF(AND(Sync!$P1634&gt;=10000101,Sync!$P1634&lt;=99991231),INT(Sync!$P1634/10000),""),IFERROR(VALUE(TRIM(LEFT(Sync!$P1634,FIND("/",Sync!$P1634)-1))),"")))</f>
        <v/>
      </c>
      <c r="AG1634">
        <f>IF(OR($AE1634="",$AF1634=""),"",IF(ISNUMBER(Sync!$P1634),INT(MOD(Sync!$P1634,10000)/100),IFERROR(VALUE(TRIM(LEFT(MID(Sync!$P1634,FIND("/",Sync!$P1634)+1,20),FIND("/",MID(Sync!$P1634,FIND("/",Sync!$P1634)+1,20))-1))),"")))</f>
        <v/>
      </c>
      <c r="AH1634">
        <f>IF(OR($AE1634="",$AF1634=""),"",IF(ISNUMBER(Sync!$P1634),MOD(Sync!$P1634,100),IFERROR(VALUE(TRIM(MID(MID(Sync!$P1634,FIND("/",Sync!$P1634)+1,20),FIND("/",MID(Sync!$P1634,FIND("/",Sync!$P1634)+1,20))+1,20))),"")))</f>
        <v/>
      </c>
      <c r="AI1634">
        <f>IF($AE1634="","",IF(OR($AF1634="",$AG1634="",$AH1634="",$AF1634&lt;1300,$AF1634&gt;1500,$AG1634&lt;1,$AG1634&gt;12,$AH1634&lt;1,$AH1634&gt;31),"نامعتبر",RIGHT("0000"&amp;$AF1634,4)&amp;"/"&amp;RIGHT("00"&amp;$AG1634,2)&amp;"/"&amp;RIGHT("00"&amp;$AH1634,2)))</f>
        <v/>
      </c>
      <c r="AJ1634">
        <f>IF($AE1634="","",IF(Sync!$Q1634="","0000",IF(AND(ISNUMBER(Sync!$Q1634),Sync!$Q1634&gt;=0,Sync!$Q1634&lt;1),RIGHT("00"&amp;HOUR(Sync!$Q1634),2)&amp;RIGHT("00"&amp;MINUTE(Sync!$Q1634),2),IFERROR(RIGHT("00"&amp;VALUE(LEFT(Sync!$Q1634,FIND(":",Sync!$Q1634)-1)),2)&amp;RIGHT("00"&amp;VALUE(MID(Sync!$Q1634,FIND(":",Sync!$Q1634)+1,2)),2),"0000"))))</f>
        <v/>
      </c>
      <c r="AK1634">
        <f>IF(OR($AE1634="",$AI1634="",$AI1634="نامعتبر"),"",LEFT($AI1634,4)&amp;MID($AI1634,6,2)&amp;RIGHT($AI1634,2)&amp;$AJ1634&amp;"|"&amp;"3"&amp;RIGHT("00000"&amp;1629,5))</f>
        <v/>
      </c>
      <c r="AL1634">
        <f>IF($AK1634="","",COUNTIFS(LdAParty,$AE1634,LdAType,1,LdAKey,"&lt;"&amp;$AK1634)+COUNTIFS(LdBMember,$AE1634,LdBKey,"&lt;"&amp;$AK1634)+COUNTIFS(LdCParty,$AE1634,LdCKey,"&lt;"&amp;$AK1634)+1)</f>
        <v/>
      </c>
      <c r="AM1634">
        <f>IF($AL1634="","",$AE1634&amp;"|"&amp;RIGHT("000000"&amp;$AL1634,6))</f>
        <v/>
      </c>
      <c r="AN1634">
        <f>IF($AE1634="","",IF(Sync!$W1634="",0,Sync!$W1634))</f>
        <v/>
      </c>
      <c r="AO1634">
        <f>IF($AE1634="","",IF(Sync!$X1634="",0,Sync!$X1634))</f>
        <v/>
      </c>
      <c r="AP1634">
        <f>IF($AE1634="","",Sync!$R1634)</f>
        <v/>
      </c>
      <c r="AQ1634">
        <f>IF($AE1634="","",Sync!$Y1634)</f>
        <v/>
      </c>
    </row>
    <row r="1635">
      <c r="A1635">
        <f>IF(OR(Wages!$B1638="",Wages!$E1638=""),"",Wages!$E1638)</f>
        <v/>
      </c>
      <c r="B1635">
        <f>IF($A1635="","",IF(Wages!$C1638="دستمزد گروهی",2,1))</f>
        <v/>
      </c>
      <c r="C1635">
        <f>IF($A1635="","",IF(ISNUMBER(Wages!$B1638),IF(AND(Wages!$B1638&gt;=10000101,Wages!$B1638&lt;=99991231),INT(Wages!$B1638/10000),""),IFERROR(VALUE(TRIM(LEFT(Wages!$B1638,FIND("/",Wages!$B1638)-1))),"")))</f>
        <v/>
      </c>
      <c r="D1635">
        <f>IF(OR($A1635="",$C1635=""),"",IF(ISNUMBER(Wages!$B1638),INT(MOD(Wages!$B1638,10000)/100),IFERROR(VALUE(TRIM(LEFT(MID(Wages!$B1638,FIND("/",Wages!$B1638)+1,20),FIND("/",MID(Wages!$B1638,FIND("/",Wages!$B1638)+1,20))-1))),"")))</f>
        <v/>
      </c>
      <c r="E1635">
        <f>IF(OR($A1635="",$C1635=""),"",IF(ISNUMBER(Wages!$B1638),MOD(Wages!$B1638,100),IFERROR(VALUE(TRIM(MID(MID(Wages!$B1638,FIND("/",Wages!$B1638)+1,20),FIND("/",MID(Wages!$B1638,FIND("/",Wages!$B1638)+1,20))+1,20))),"")))</f>
        <v/>
      </c>
      <c r="F1635">
        <f>IF($A1635="","",IF(OR($C1635="",$D1635="",$E1635="",$C1635&lt;1300,$C1635&gt;1500,$D1635&lt;1,$D1635&gt;12,$E1635&lt;1,$E1635&gt;31),"نامعتبر",RIGHT("0000"&amp;$C1635,4)&amp;"/"&amp;RIGHT("00"&amp;$D1635,2)&amp;"/"&amp;RIGHT("00"&amp;$E1635,2)))</f>
        <v/>
      </c>
      <c r="G1635">
        <f>IF(OR($A1635="",$F1635="",$F1635="نامعتبر"),"",LEFT($F1635,4)&amp;MID($F1635,6,2)&amp;RIGHT($F1635,2)&amp;"0000"&amp;"|"&amp;"1"&amp;RIGHT("00000"&amp;1630,5))</f>
        <v/>
      </c>
      <c r="H1635">
        <f>IF(OR($B1635&lt;&gt;1,$G1635=""),"",COUNTIFS(LdAParty,$A1635,LdAType,1,LdAKey,"&lt;"&amp;$G1635)+COUNTIFS(LdBMember,$A1635,LdBKey,"&lt;"&amp;$G1635)+COUNTIFS(LdCParty,$A1635,LdCKey,"&lt;"&amp;$G1635)+1)</f>
        <v/>
      </c>
      <c r="I1635">
        <f>IF($H1635="","",$A1635&amp;"|"&amp;RIGHT("000000"&amp;$H1635,6))</f>
        <v/>
      </c>
      <c r="J1635">
        <f>IF(OR($B1635&lt;&gt;2,$G1635=""),"",COUNTIFS(LdAParty,$A1635,LdAType,2,LdAKey,"&lt;"&amp;$G1635)+1)</f>
        <v/>
      </c>
      <c r="K1635">
        <f>IF($J1635="","",$A1635&amp;"|"&amp;RIGHT("000000"&amp;$J1635,6))</f>
        <v/>
      </c>
      <c r="L1635">
        <f>IF($A1635="","",IF(Wages!$G1638="",0,Wages!$G1638))</f>
        <v/>
      </c>
      <c r="M1635">
        <f>IF($A1635="","",Wages!$J1638)</f>
        <v/>
      </c>
      <c r="N1635">
        <f>IF($A1635="","",Wages!$D1638)</f>
        <v/>
      </c>
      <c r="P1635">
        <f>IF(OR(Shares!$B1638="",Shares!$C1638=""),"",Shares!$C1638)</f>
        <v/>
      </c>
      <c r="Q1635">
        <f>IF($P1635="","",Shares!$B1638)</f>
        <v/>
      </c>
      <c r="R1635">
        <f>IF($P1635="","",IFERROR(INDEX(WageParty,MATCH($Q1635,WageIds,0)),""))</f>
        <v/>
      </c>
      <c r="S1635">
        <f>IF($P1635="","",IFERROR(INDEX($F$6:$F$2005,MATCH($Q1635,WageIds,0)),""))</f>
        <v/>
      </c>
      <c r="T1635">
        <f>IF(OR($P1635="",$S1635="",$S1635="نامعتبر"),"",LEFT($S1635,4)&amp;MID($S1635,6,2)&amp;RIGHT($S1635,2)&amp;"0000"&amp;"|"&amp;"2"&amp;RIGHT("00000"&amp;1630,5))</f>
        <v/>
      </c>
      <c r="U1635">
        <f>IF($T1635="","",COUNTIFS(LdAParty,$P1635,LdAType,1,LdAKey,"&lt;"&amp;$T1635)+COUNTIFS(LdBMember,$P1635,LdBKey,"&lt;"&amp;$T1635)+COUNTIFS(LdCParty,$P1635,LdCKey,"&lt;"&amp;$T1635)+1)</f>
        <v/>
      </c>
      <c r="V1635">
        <f>IF($U1635="","",$P1635&amp;"|"&amp;RIGHT("000000"&amp;$U1635,6))</f>
        <v/>
      </c>
      <c r="W1635">
        <f>IF($T1635="","",COUNTIFS(LdBGroup,$R1635,LdBKey,"&lt;"&amp;$T1635)+1)</f>
        <v/>
      </c>
      <c r="X1635">
        <f>IF($W1635="","",$R1635&amp;"|"&amp;RIGHT("000000"&amp;$W1635,6))</f>
        <v/>
      </c>
      <c r="Y1635">
        <f>IF($P1635="","",IF(Shares!$E1638="",0,Shares!$E1638))</f>
        <v/>
      </c>
      <c r="Z1635">
        <f>IF($P1635="","",Shares!$H1638)</f>
        <v/>
      </c>
      <c r="AE1635">
        <f>IF(OR(Sync!$S1635="",Sync!$P1635=""),"",Sync!$S1635)</f>
        <v/>
      </c>
      <c r="AF1635">
        <f>IF($AE1635="","",IF(ISNUMBER(Sync!$P1635),IF(AND(Sync!$P1635&gt;=10000101,Sync!$P1635&lt;=99991231),INT(Sync!$P1635/10000),""),IFERROR(VALUE(TRIM(LEFT(Sync!$P1635,FIND("/",Sync!$P1635)-1))),"")))</f>
        <v/>
      </c>
      <c r="AG1635">
        <f>IF(OR($AE1635="",$AF1635=""),"",IF(ISNUMBER(Sync!$P1635),INT(MOD(Sync!$P1635,10000)/100),IFERROR(VALUE(TRIM(LEFT(MID(Sync!$P1635,FIND("/",Sync!$P1635)+1,20),FIND("/",MID(Sync!$P1635,FIND("/",Sync!$P1635)+1,20))-1))),"")))</f>
        <v/>
      </c>
      <c r="AH1635">
        <f>IF(OR($AE1635="",$AF1635=""),"",IF(ISNUMBER(Sync!$P1635),MOD(Sync!$P1635,100),IFERROR(VALUE(TRIM(MID(MID(Sync!$P1635,FIND("/",Sync!$P1635)+1,20),FIND("/",MID(Sync!$P1635,FIND("/",Sync!$P1635)+1,20))+1,20))),"")))</f>
        <v/>
      </c>
      <c r="AI1635">
        <f>IF($AE1635="","",IF(OR($AF1635="",$AG1635="",$AH1635="",$AF1635&lt;1300,$AF1635&gt;1500,$AG1635&lt;1,$AG1635&gt;12,$AH1635&lt;1,$AH1635&gt;31),"نامعتبر",RIGHT("0000"&amp;$AF1635,4)&amp;"/"&amp;RIGHT("00"&amp;$AG1635,2)&amp;"/"&amp;RIGHT("00"&amp;$AH1635,2)))</f>
        <v/>
      </c>
      <c r="AJ1635">
        <f>IF($AE1635="","",IF(Sync!$Q1635="","0000",IF(AND(ISNUMBER(Sync!$Q1635),Sync!$Q1635&gt;=0,Sync!$Q1635&lt;1),RIGHT("00"&amp;HOUR(Sync!$Q1635),2)&amp;RIGHT("00"&amp;MINUTE(Sync!$Q1635),2),IFERROR(RIGHT("00"&amp;VALUE(LEFT(Sync!$Q1635,FIND(":",Sync!$Q1635)-1)),2)&amp;RIGHT("00"&amp;VALUE(MID(Sync!$Q1635,FIND(":",Sync!$Q1635)+1,2)),2),"0000"))))</f>
        <v/>
      </c>
      <c r="AK1635">
        <f>IF(OR($AE1635="",$AI1635="",$AI1635="نامعتبر"),"",LEFT($AI1635,4)&amp;MID($AI1635,6,2)&amp;RIGHT($AI1635,2)&amp;$AJ1635&amp;"|"&amp;"3"&amp;RIGHT("00000"&amp;1630,5))</f>
        <v/>
      </c>
      <c r="AL1635">
        <f>IF($AK1635="","",COUNTIFS(LdAParty,$AE1635,LdAType,1,LdAKey,"&lt;"&amp;$AK1635)+COUNTIFS(LdBMember,$AE1635,LdBKey,"&lt;"&amp;$AK1635)+COUNTIFS(LdCParty,$AE1635,LdCKey,"&lt;"&amp;$AK1635)+1)</f>
        <v/>
      </c>
      <c r="AM1635">
        <f>IF($AL1635="","",$AE1635&amp;"|"&amp;RIGHT("000000"&amp;$AL1635,6))</f>
        <v/>
      </c>
      <c r="AN1635">
        <f>IF($AE1635="","",IF(Sync!$W1635="",0,Sync!$W1635))</f>
        <v/>
      </c>
      <c r="AO1635">
        <f>IF($AE1635="","",IF(Sync!$X1635="",0,Sync!$X1635))</f>
        <v/>
      </c>
      <c r="AP1635">
        <f>IF($AE1635="","",Sync!$R1635)</f>
        <v/>
      </c>
      <c r="AQ1635">
        <f>IF($AE1635="","",Sync!$Y1635)</f>
        <v/>
      </c>
    </row>
    <row r="1636">
      <c r="A1636">
        <f>IF(OR(Wages!$B1639="",Wages!$E1639=""),"",Wages!$E1639)</f>
        <v/>
      </c>
      <c r="B1636">
        <f>IF($A1636="","",IF(Wages!$C1639="دستمزد گروهی",2,1))</f>
        <v/>
      </c>
      <c r="C1636">
        <f>IF($A1636="","",IF(ISNUMBER(Wages!$B1639),IF(AND(Wages!$B1639&gt;=10000101,Wages!$B1639&lt;=99991231),INT(Wages!$B1639/10000),""),IFERROR(VALUE(TRIM(LEFT(Wages!$B1639,FIND("/",Wages!$B1639)-1))),"")))</f>
        <v/>
      </c>
      <c r="D1636">
        <f>IF(OR($A1636="",$C1636=""),"",IF(ISNUMBER(Wages!$B1639),INT(MOD(Wages!$B1639,10000)/100),IFERROR(VALUE(TRIM(LEFT(MID(Wages!$B1639,FIND("/",Wages!$B1639)+1,20),FIND("/",MID(Wages!$B1639,FIND("/",Wages!$B1639)+1,20))-1))),"")))</f>
        <v/>
      </c>
      <c r="E1636">
        <f>IF(OR($A1636="",$C1636=""),"",IF(ISNUMBER(Wages!$B1639),MOD(Wages!$B1639,100),IFERROR(VALUE(TRIM(MID(MID(Wages!$B1639,FIND("/",Wages!$B1639)+1,20),FIND("/",MID(Wages!$B1639,FIND("/",Wages!$B1639)+1,20))+1,20))),"")))</f>
        <v/>
      </c>
      <c r="F1636">
        <f>IF($A1636="","",IF(OR($C1636="",$D1636="",$E1636="",$C1636&lt;1300,$C1636&gt;1500,$D1636&lt;1,$D1636&gt;12,$E1636&lt;1,$E1636&gt;31),"نامعتبر",RIGHT("0000"&amp;$C1636,4)&amp;"/"&amp;RIGHT("00"&amp;$D1636,2)&amp;"/"&amp;RIGHT("00"&amp;$E1636,2)))</f>
        <v/>
      </c>
      <c r="G1636">
        <f>IF(OR($A1636="",$F1636="",$F1636="نامعتبر"),"",LEFT($F1636,4)&amp;MID($F1636,6,2)&amp;RIGHT($F1636,2)&amp;"0000"&amp;"|"&amp;"1"&amp;RIGHT("00000"&amp;1631,5))</f>
        <v/>
      </c>
      <c r="H1636">
        <f>IF(OR($B1636&lt;&gt;1,$G1636=""),"",COUNTIFS(LdAParty,$A1636,LdAType,1,LdAKey,"&lt;"&amp;$G1636)+COUNTIFS(LdBMember,$A1636,LdBKey,"&lt;"&amp;$G1636)+COUNTIFS(LdCParty,$A1636,LdCKey,"&lt;"&amp;$G1636)+1)</f>
        <v/>
      </c>
      <c r="I1636">
        <f>IF($H1636="","",$A1636&amp;"|"&amp;RIGHT("000000"&amp;$H1636,6))</f>
        <v/>
      </c>
      <c r="J1636">
        <f>IF(OR($B1636&lt;&gt;2,$G1636=""),"",COUNTIFS(LdAParty,$A1636,LdAType,2,LdAKey,"&lt;"&amp;$G1636)+1)</f>
        <v/>
      </c>
      <c r="K1636">
        <f>IF($J1636="","",$A1636&amp;"|"&amp;RIGHT("000000"&amp;$J1636,6))</f>
        <v/>
      </c>
      <c r="L1636">
        <f>IF($A1636="","",IF(Wages!$G1639="",0,Wages!$G1639))</f>
        <v/>
      </c>
      <c r="M1636">
        <f>IF($A1636="","",Wages!$J1639)</f>
        <v/>
      </c>
      <c r="N1636">
        <f>IF($A1636="","",Wages!$D1639)</f>
        <v/>
      </c>
      <c r="P1636">
        <f>IF(OR(Shares!$B1639="",Shares!$C1639=""),"",Shares!$C1639)</f>
        <v/>
      </c>
      <c r="Q1636">
        <f>IF($P1636="","",Shares!$B1639)</f>
        <v/>
      </c>
      <c r="R1636">
        <f>IF($P1636="","",IFERROR(INDEX(WageParty,MATCH($Q1636,WageIds,0)),""))</f>
        <v/>
      </c>
      <c r="S1636">
        <f>IF($P1636="","",IFERROR(INDEX($F$6:$F$2005,MATCH($Q1636,WageIds,0)),""))</f>
        <v/>
      </c>
      <c r="T1636">
        <f>IF(OR($P1636="",$S1636="",$S1636="نامعتبر"),"",LEFT($S1636,4)&amp;MID($S1636,6,2)&amp;RIGHT($S1636,2)&amp;"0000"&amp;"|"&amp;"2"&amp;RIGHT("00000"&amp;1631,5))</f>
        <v/>
      </c>
      <c r="U1636">
        <f>IF($T1636="","",COUNTIFS(LdAParty,$P1636,LdAType,1,LdAKey,"&lt;"&amp;$T1636)+COUNTIFS(LdBMember,$P1636,LdBKey,"&lt;"&amp;$T1636)+COUNTIFS(LdCParty,$P1636,LdCKey,"&lt;"&amp;$T1636)+1)</f>
        <v/>
      </c>
      <c r="V1636">
        <f>IF($U1636="","",$P1636&amp;"|"&amp;RIGHT("000000"&amp;$U1636,6))</f>
        <v/>
      </c>
      <c r="W1636">
        <f>IF($T1636="","",COUNTIFS(LdBGroup,$R1636,LdBKey,"&lt;"&amp;$T1636)+1)</f>
        <v/>
      </c>
      <c r="X1636">
        <f>IF($W1636="","",$R1636&amp;"|"&amp;RIGHT("000000"&amp;$W1636,6))</f>
        <v/>
      </c>
      <c r="Y1636">
        <f>IF($P1636="","",IF(Shares!$E1639="",0,Shares!$E1639))</f>
        <v/>
      </c>
      <c r="Z1636">
        <f>IF($P1636="","",Shares!$H1639)</f>
        <v/>
      </c>
      <c r="AE1636">
        <f>IF(OR(Sync!$S1636="",Sync!$P1636=""),"",Sync!$S1636)</f>
        <v/>
      </c>
      <c r="AF1636">
        <f>IF($AE1636="","",IF(ISNUMBER(Sync!$P1636),IF(AND(Sync!$P1636&gt;=10000101,Sync!$P1636&lt;=99991231),INT(Sync!$P1636/10000),""),IFERROR(VALUE(TRIM(LEFT(Sync!$P1636,FIND("/",Sync!$P1636)-1))),"")))</f>
        <v/>
      </c>
      <c r="AG1636">
        <f>IF(OR($AE1636="",$AF1636=""),"",IF(ISNUMBER(Sync!$P1636),INT(MOD(Sync!$P1636,10000)/100),IFERROR(VALUE(TRIM(LEFT(MID(Sync!$P1636,FIND("/",Sync!$P1636)+1,20),FIND("/",MID(Sync!$P1636,FIND("/",Sync!$P1636)+1,20))-1))),"")))</f>
        <v/>
      </c>
      <c r="AH1636">
        <f>IF(OR($AE1636="",$AF1636=""),"",IF(ISNUMBER(Sync!$P1636),MOD(Sync!$P1636,100),IFERROR(VALUE(TRIM(MID(MID(Sync!$P1636,FIND("/",Sync!$P1636)+1,20),FIND("/",MID(Sync!$P1636,FIND("/",Sync!$P1636)+1,20))+1,20))),"")))</f>
        <v/>
      </c>
      <c r="AI1636">
        <f>IF($AE1636="","",IF(OR($AF1636="",$AG1636="",$AH1636="",$AF1636&lt;1300,$AF1636&gt;1500,$AG1636&lt;1,$AG1636&gt;12,$AH1636&lt;1,$AH1636&gt;31),"نامعتبر",RIGHT("0000"&amp;$AF1636,4)&amp;"/"&amp;RIGHT("00"&amp;$AG1636,2)&amp;"/"&amp;RIGHT("00"&amp;$AH1636,2)))</f>
        <v/>
      </c>
      <c r="AJ1636">
        <f>IF($AE1636="","",IF(Sync!$Q1636="","0000",IF(AND(ISNUMBER(Sync!$Q1636),Sync!$Q1636&gt;=0,Sync!$Q1636&lt;1),RIGHT("00"&amp;HOUR(Sync!$Q1636),2)&amp;RIGHT("00"&amp;MINUTE(Sync!$Q1636),2),IFERROR(RIGHT("00"&amp;VALUE(LEFT(Sync!$Q1636,FIND(":",Sync!$Q1636)-1)),2)&amp;RIGHT("00"&amp;VALUE(MID(Sync!$Q1636,FIND(":",Sync!$Q1636)+1,2)),2),"0000"))))</f>
        <v/>
      </c>
      <c r="AK1636">
        <f>IF(OR($AE1636="",$AI1636="",$AI1636="نامعتبر"),"",LEFT($AI1636,4)&amp;MID($AI1636,6,2)&amp;RIGHT($AI1636,2)&amp;$AJ1636&amp;"|"&amp;"3"&amp;RIGHT("00000"&amp;1631,5))</f>
        <v/>
      </c>
      <c r="AL1636">
        <f>IF($AK1636="","",COUNTIFS(LdAParty,$AE1636,LdAType,1,LdAKey,"&lt;"&amp;$AK1636)+COUNTIFS(LdBMember,$AE1636,LdBKey,"&lt;"&amp;$AK1636)+COUNTIFS(LdCParty,$AE1636,LdCKey,"&lt;"&amp;$AK1636)+1)</f>
        <v/>
      </c>
      <c r="AM1636">
        <f>IF($AL1636="","",$AE1636&amp;"|"&amp;RIGHT("000000"&amp;$AL1636,6))</f>
        <v/>
      </c>
      <c r="AN1636">
        <f>IF($AE1636="","",IF(Sync!$W1636="",0,Sync!$W1636))</f>
        <v/>
      </c>
      <c r="AO1636">
        <f>IF($AE1636="","",IF(Sync!$X1636="",0,Sync!$X1636))</f>
        <v/>
      </c>
      <c r="AP1636">
        <f>IF($AE1636="","",Sync!$R1636)</f>
        <v/>
      </c>
      <c r="AQ1636">
        <f>IF($AE1636="","",Sync!$Y1636)</f>
        <v/>
      </c>
    </row>
    <row r="1637">
      <c r="A1637">
        <f>IF(OR(Wages!$B1640="",Wages!$E1640=""),"",Wages!$E1640)</f>
        <v/>
      </c>
      <c r="B1637">
        <f>IF($A1637="","",IF(Wages!$C1640="دستمزد گروهی",2,1))</f>
        <v/>
      </c>
      <c r="C1637">
        <f>IF($A1637="","",IF(ISNUMBER(Wages!$B1640),IF(AND(Wages!$B1640&gt;=10000101,Wages!$B1640&lt;=99991231),INT(Wages!$B1640/10000),""),IFERROR(VALUE(TRIM(LEFT(Wages!$B1640,FIND("/",Wages!$B1640)-1))),"")))</f>
        <v/>
      </c>
      <c r="D1637">
        <f>IF(OR($A1637="",$C1637=""),"",IF(ISNUMBER(Wages!$B1640),INT(MOD(Wages!$B1640,10000)/100),IFERROR(VALUE(TRIM(LEFT(MID(Wages!$B1640,FIND("/",Wages!$B1640)+1,20),FIND("/",MID(Wages!$B1640,FIND("/",Wages!$B1640)+1,20))-1))),"")))</f>
        <v/>
      </c>
      <c r="E1637">
        <f>IF(OR($A1637="",$C1637=""),"",IF(ISNUMBER(Wages!$B1640),MOD(Wages!$B1640,100),IFERROR(VALUE(TRIM(MID(MID(Wages!$B1640,FIND("/",Wages!$B1640)+1,20),FIND("/",MID(Wages!$B1640,FIND("/",Wages!$B1640)+1,20))+1,20))),"")))</f>
        <v/>
      </c>
      <c r="F1637">
        <f>IF($A1637="","",IF(OR($C1637="",$D1637="",$E1637="",$C1637&lt;1300,$C1637&gt;1500,$D1637&lt;1,$D1637&gt;12,$E1637&lt;1,$E1637&gt;31),"نامعتبر",RIGHT("0000"&amp;$C1637,4)&amp;"/"&amp;RIGHT("00"&amp;$D1637,2)&amp;"/"&amp;RIGHT("00"&amp;$E1637,2)))</f>
        <v/>
      </c>
      <c r="G1637">
        <f>IF(OR($A1637="",$F1637="",$F1637="نامعتبر"),"",LEFT($F1637,4)&amp;MID($F1637,6,2)&amp;RIGHT($F1637,2)&amp;"0000"&amp;"|"&amp;"1"&amp;RIGHT("00000"&amp;1632,5))</f>
        <v/>
      </c>
      <c r="H1637">
        <f>IF(OR($B1637&lt;&gt;1,$G1637=""),"",COUNTIFS(LdAParty,$A1637,LdAType,1,LdAKey,"&lt;"&amp;$G1637)+COUNTIFS(LdBMember,$A1637,LdBKey,"&lt;"&amp;$G1637)+COUNTIFS(LdCParty,$A1637,LdCKey,"&lt;"&amp;$G1637)+1)</f>
        <v/>
      </c>
      <c r="I1637">
        <f>IF($H1637="","",$A1637&amp;"|"&amp;RIGHT("000000"&amp;$H1637,6))</f>
        <v/>
      </c>
      <c r="J1637">
        <f>IF(OR($B1637&lt;&gt;2,$G1637=""),"",COUNTIFS(LdAParty,$A1637,LdAType,2,LdAKey,"&lt;"&amp;$G1637)+1)</f>
        <v/>
      </c>
      <c r="K1637">
        <f>IF($J1637="","",$A1637&amp;"|"&amp;RIGHT("000000"&amp;$J1637,6))</f>
        <v/>
      </c>
      <c r="L1637">
        <f>IF($A1637="","",IF(Wages!$G1640="",0,Wages!$G1640))</f>
        <v/>
      </c>
      <c r="M1637">
        <f>IF($A1637="","",Wages!$J1640)</f>
        <v/>
      </c>
      <c r="N1637">
        <f>IF($A1637="","",Wages!$D1640)</f>
        <v/>
      </c>
      <c r="P1637">
        <f>IF(OR(Shares!$B1640="",Shares!$C1640=""),"",Shares!$C1640)</f>
        <v/>
      </c>
      <c r="Q1637">
        <f>IF($P1637="","",Shares!$B1640)</f>
        <v/>
      </c>
      <c r="R1637">
        <f>IF($P1637="","",IFERROR(INDEX(WageParty,MATCH($Q1637,WageIds,0)),""))</f>
        <v/>
      </c>
      <c r="S1637">
        <f>IF($P1637="","",IFERROR(INDEX($F$6:$F$2005,MATCH($Q1637,WageIds,0)),""))</f>
        <v/>
      </c>
      <c r="T1637">
        <f>IF(OR($P1637="",$S1637="",$S1637="نامعتبر"),"",LEFT($S1637,4)&amp;MID($S1637,6,2)&amp;RIGHT($S1637,2)&amp;"0000"&amp;"|"&amp;"2"&amp;RIGHT("00000"&amp;1632,5))</f>
        <v/>
      </c>
      <c r="U1637">
        <f>IF($T1637="","",COUNTIFS(LdAParty,$P1637,LdAType,1,LdAKey,"&lt;"&amp;$T1637)+COUNTIFS(LdBMember,$P1637,LdBKey,"&lt;"&amp;$T1637)+COUNTIFS(LdCParty,$P1637,LdCKey,"&lt;"&amp;$T1637)+1)</f>
        <v/>
      </c>
      <c r="V1637">
        <f>IF($U1637="","",$P1637&amp;"|"&amp;RIGHT("000000"&amp;$U1637,6))</f>
        <v/>
      </c>
      <c r="W1637">
        <f>IF($T1637="","",COUNTIFS(LdBGroup,$R1637,LdBKey,"&lt;"&amp;$T1637)+1)</f>
        <v/>
      </c>
      <c r="X1637">
        <f>IF($W1637="","",$R1637&amp;"|"&amp;RIGHT("000000"&amp;$W1637,6))</f>
        <v/>
      </c>
      <c r="Y1637">
        <f>IF($P1637="","",IF(Shares!$E1640="",0,Shares!$E1640))</f>
        <v/>
      </c>
      <c r="Z1637">
        <f>IF($P1637="","",Shares!$H1640)</f>
        <v/>
      </c>
      <c r="AE1637">
        <f>IF(OR(Sync!$S1637="",Sync!$P1637=""),"",Sync!$S1637)</f>
        <v/>
      </c>
      <c r="AF1637">
        <f>IF($AE1637="","",IF(ISNUMBER(Sync!$P1637),IF(AND(Sync!$P1637&gt;=10000101,Sync!$P1637&lt;=99991231),INT(Sync!$P1637/10000),""),IFERROR(VALUE(TRIM(LEFT(Sync!$P1637,FIND("/",Sync!$P1637)-1))),"")))</f>
        <v/>
      </c>
      <c r="AG1637">
        <f>IF(OR($AE1637="",$AF1637=""),"",IF(ISNUMBER(Sync!$P1637),INT(MOD(Sync!$P1637,10000)/100),IFERROR(VALUE(TRIM(LEFT(MID(Sync!$P1637,FIND("/",Sync!$P1637)+1,20),FIND("/",MID(Sync!$P1637,FIND("/",Sync!$P1637)+1,20))-1))),"")))</f>
        <v/>
      </c>
      <c r="AH1637">
        <f>IF(OR($AE1637="",$AF1637=""),"",IF(ISNUMBER(Sync!$P1637),MOD(Sync!$P1637,100),IFERROR(VALUE(TRIM(MID(MID(Sync!$P1637,FIND("/",Sync!$P1637)+1,20),FIND("/",MID(Sync!$P1637,FIND("/",Sync!$P1637)+1,20))+1,20))),"")))</f>
        <v/>
      </c>
      <c r="AI1637">
        <f>IF($AE1637="","",IF(OR($AF1637="",$AG1637="",$AH1637="",$AF1637&lt;1300,$AF1637&gt;1500,$AG1637&lt;1,$AG1637&gt;12,$AH1637&lt;1,$AH1637&gt;31),"نامعتبر",RIGHT("0000"&amp;$AF1637,4)&amp;"/"&amp;RIGHT("00"&amp;$AG1637,2)&amp;"/"&amp;RIGHT("00"&amp;$AH1637,2)))</f>
        <v/>
      </c>
      <c r="AJ1637">
        <f>IF($AE1637="","",IF(Sync!$Q1637="","0000",IF(AND(ISNUMBER(Sync!$Q1637),Sync!$Q1637&gt;=0,Sync!$Q1637&lt;1),RIGHT("00"&amp;HOUR(Sync!$Q1637),2)&amp;RIGHT("00"&amp;MINUTE(Sync!$Q1637),2),IFERROR(RIGHT("00"&amp;VALUE(LEFT(Sync!$Q1637,FIND(":",Sync!$Q1637)-1)),2)&amp;RIGHT("00"&amp;VALUE(MID(Sync!$Q1637,FIND(":",Sync!$Q1637)+1,2)),2),"0000"))))</f>
        <v/>
      </c>
      <c r="AK1637">
        <f>IF(OR($AE1637="",$AI1637="",$AI1637="نامعتبر"),"",LEFT($AI1637,4)&amp;MID($AI1637,6,2)&amp;RIGHT($AI1637,2)&amp;$AJ1637&amp;"|"&amp;"3"&amp;RIGHT("00000"&amp;1632,5))</f>
        <v/>
      </c>
      <c r="AL1637">
        <f>IF($AK1637="","",COUNTIFS(LdAParty,$AE1637,LdAType,1,LdAKey,"&lt;"&amp;$AK1637)+COUNTIFS(LdBMember,$AE1637,LdBKey,"&lt;"&amp;$AK1637)+COUNTIFS(LdCParty,$AE1637,LdCKey,"&lt;"&amp;$AK1637)+1)</f>
        <v/>
      </c>
      <c r="AM1637">
        <f>IF($AL1637="","",$AE1637&amp;"|"&amp;RIGHT("000000"&amp;$AL1637,6))</f>
        <v/>
      </c>
      <c r="AN1637">
        <f>IF($AE1637="","",IF(Sync!$W1637="",0,Sync!$W1637))</f>
        <v/>
      </c>
      <c r="AO1637">
        <f>IF($AE1637="","",IF(Sync!$X1637="",0,Sync!$X1637))</f>
        <v/>
      </c>
      <c r="AP1637">
        <f>IF($AE1637="","",Sync!$R1637)</f>
        <v/>
      </c>
      <c r="AQ1637">
        <f>IF($AE1637="","",Sync!$Y1637)</f>
        <v/>
      </c>
    </row>
    <row r="1638">
      <c r="A1638">
        <f>IF(OR(Wages!$B1641="",Wages!$E1641=""),"",Wages!$E1641)</f>
        <v/>
      </c>
      <c r="B1638">
        <f>IF($A1638="","",IF(Wages!$C1641="دستمزد گروهی",2,1))</f>
        <v/>
      </c>
      <c r="C1638">
        <f>IF($A1638="","",IF(ISNUMBER(Wages!$B1641),IF(AND(Wages!$B1641&gt;=10000101,Wages!$B1641&lt;=99991231),INT(Wages!$B1641/10000),""),IFERROR(VALUE(TRIM(LEFT(Wages!$B1641,FIND("/",Wages!$B1641)-1))),"")))</f>
        <v/>
      </c>
      <c r="D1638">
        <f>IF(OR($A1638="",$C1638=""),"",IF(ISNUMBER(Wages!$B1641),INT(MOD(Wages!$B1641,10000)/100),IFERROR(VALUE(TRIM(LEFT(MID(Wages!$B1641,FIND("/",Wages!$B1641)+1,20),FIND("/",MID(Wages!$B1641,FIND("/",Wages!$B1641)+1,20))-1))),"")))</f>
        <v/>
      </c>
      <c r="E1638">
        <f>IF(OR($A1638="",$C1638=""),"",IF(ISNUMBER(Wages!$B1641),MOD(Wages!$B1641,100),IFERROR(VALUE(TRIM(MID(MID(Wages!$B1641,FIND("/",Wages!$B1641)+1,20),FIND("/",MID(Wages!$B1641,FIND("/",Wages!$B1641)+1,20))+1,20))),"")))</f>
        <v/>
      </c>
      <c r="F1638">
        <f>IF($A1638="","",IF(OR($C1638="",$D1638="",$E1638="",$C1638&lt;1300,$C1638&gt;1500,$D1638&lt;1,$D1638&gt;12,$E1638&lt;1,$E1638&gt;31),"نامعتبر",RIGHT("0000"&amp;$C1638,4)&amp;"/"&amp;RIGHT("00"&amp;$D1638,2)&amp;"/"&amp;RIGHT("00"&amp;$E1638,2)))</f>
        <v/>
      </c>
      <c r="G1638">
        <f>IF(OR($A1638="",$F1638="",$F1638="نامعتبر"),"",LEFT($F1638,4)&amp;MID($F1638,6,2)&amp;RIGHT($F1638,2)&amp;"0000"&amp;"|"&amp;"1"&amp;RIGHT("00000"&amp;1633,5))</f>
        <v/>
      </c>
      <c r="H1638">
        <f>IF(OR($B1638&lt;&gt;1,$G1638=""),"",COUNTIFS(LdAParty,$A1638,LdAType,1,LdAKey,"&lt;"&amp;$G1638)+COUNTIFS(LdBMember,$A1638,LdBKey,"&lt;"&amp;$G1638)+COUNTIFS(LdCParty,$A1638,LdCKey,"&lt;"&amp;$G1638)+1)</f>
        <v/>
      </c>
      <c r="I1638">
        <f>IF($H1638="","",$A1638&amp;"|"&amp;RIGHT("000000"&amp;$H1638,6))</f>
        <v/>
      </c>
      <c r="J1638">
        <f>IF(OR($B1638&lt;&gt;2,$G1638=""),"",COUNTIFS(LdAParty,$A1638,LdAType,2,LdAKey,"&lt;"&amp;$G1638)+1)</f>
        <v/>
      </c>
      <c r="K1638">
        <f>IF($J1638="","",$A1638&amp;"|"&amp;RIGHT("000000"&amp;$J1638,6))</f>
        <v/>
      </c>
      <c r="L1638">
        <f>IF($A1638="","",IF(Wages!$G1641="",0,Wages!$G1641))</f>
        <v/>
      </c>
      <c r="M1638">
        <f>IF($A1638="","",Wages!$J1641)</f>
        <v/>
      </c>
      <c r="N1638">
        <f>IF($A1638="","",Wages!$D1641)</f>
        <v/>
      </c>
      <c r="P1638">
        <f>IF(OR(Shares!$B1641="",Shares!$C1641=""),"",Shares!$C1641)</f>
        <v/>
      </c>
      <c r="Q1638">
        <f>IF($P1638="","",Shares!$B1641)</f>
        <v/>
      </c>
      <c r="R1638">
        <f>IF($P1638="","",IFERROR(INDEX(WageParty,MATCH($Q1638,WageIds,0)),""))</f>
        <v/>
      </c>
      <c r="S1638">
        <f>IF($P1638="","",IFERROR(INDEX($F$6:$F$2005,MATCH($Q1638,WageIds,0)),""))</f>
        <v/>
      </c>
      <c r="T1638">
        <f>IF(OR($P1638="",$S1638="",$S1638="نامعتبر"),"",LEFT($S1638,4)&amp;MID($S1638,6,2)&amp;RIGHT($S1638,2)&amp;"0000"&amp;"|"&amp;"2"&amp;RIGHT("00000"&amp;1633,5))</f>
        <v/>
      </c>
      <c r="U1638">
        <f>IF($T1638="","",COUNTIFS(LdAParty,$P1638,LdAType,1,LdAKey,"&lt;"&amp;$T1638)+COUNTIFS(LdBMember,$P1638,LdBKey,"&lt;"&amp;$T1638)+COUNTIFS(LdCParty,$P1638,LdCKey,"&lt;"&amp;$T1638)+1)</f>
        <v/>
      </c>
      <c r="V1638">
        <f>IF($U1638="","",$P1638&amp;"|"&amp;RIGHT("000000"&amp;$U1638,6))</f>
        <v/>
      </c>
      <c r="W1638">
        <f>IF($T1638="","",COUNTIFS(LdBGroup,$R1638,LdBKey,"&lt;"&amp;$T1638)+1)</f>
        <v/>
      </c>
      <c r="X1638">
        <f>IF($W1638="","",$R1638&amp;"|"&amp;RIGHT("000000"&amp;$W1638,6))</f>
        <v/>
      </c>
      <c r="Y1638">
        <f>IF($P1638="","",IF(Shares!$E1641="",0,Shares!$E1641))</f>
        <v/>
      </c>
      <c r="Z1638">
        <f>IF($P1638="","",Shares!$H1641)</f>
        <v/>
      </c>
      <c r="AE1638">
        <f>IF(OR(Sync!$S1638="",Sync!$P1638=""),"",Sync!$S1638)</f>
        <v/>
      </c>
      <c r="AF1638">
        <f>IF($AE1638="","",IF(ISNUMBER(Sync!$P1638),IF(AND(Sync!$P1638&gt;=10000101,Sync!$P1638&lt;=99991231),INT(Sync!$P1638/10000),""),IFERROR(VALUE(TRIM(LEFT(Sync!$P1638,FIND("/",Sync!$P1638)-1))),"")))</f>
        <v/>
      </c>
      <c r="AG1638">
        <f>IF(OR($AE1638="",$AF1638=""),"",IF(ISNUMBER(Sync!$P1638),INT(MOD(Sync!$P1638,10000)/100),IFERROR(VALUE(TRIM(LEFT(MID(Sync!$P1638,FIND("/",Sync!$P1638)+1,20),FIND("/",MID(Sync!$P1638,FIND("/",Sync!$P1638)+1,20))-1))),"")))</f>
        <v/>
      </c>
      <c r="AH1638">
        <f>IF(OR($AE1638="",$AF1638=""),"",IF(ISNUMBER(Sync!$P1638),MOD(Sync!$P1638,100),IFERROR(VALUE(TRIM(MID(MID(Sync!$P1638,FIND("/",Sync!$P1638)+1,20),FIND("/",MID(Sync!$P1638,FIND("/",Sync!$P1638)+1,20))+1,20))),"")))</f>
        <v/>
      </c>
      <c r="AI1638">
        <f>IF($AE1638="","",IF(OR($AF1638="",$AG1638="",$AH1638="",$AF1638&lt;1300,$AF1638&gt;1500,$AG1638&lt;1,$AG1638&gt;12,$AH1638&lt;1,$AH1638&gt;31),"نامعتبر",RIGHT("0000"&amp;$AF1638,4)&amp;"/"&amp;RIGHT("00"&amp;$AG1638,2)&amp;"/"&amp;RIGHT("00"&amp;$AH1638,2)))</f>
        <v/>
      </c>
      <c r="AJ1638">
        <f>IF($AE1638="","",IF(Sync!$Q1638="","0000",IF(AND(ISNUMBER(Sync!$Q1638),Sync!$Q1638&gt;=0,Sync!$Q1638&lt;1),RIGHT("00"&amp;HOUR(Sync!$Q1638),2)&amp;RIGHT("00"&amp;MINUTE(Sync!$Q1638),2),IFERROR(RIGHT("00"&amp;VALUE(LEFT(Sync!$Q1638,FIND(":",Sync!$Q1638)-1)),2)&amp;RIGHT("00"&amp;VALUE(MID(Sync!$Q1638,FIND(":",Sync!$Q1638)+1,2)),2),"0000"))))</f>
        <v/>
      </c>
      <c r="AK1638">
        <f>IF(OR($AE1638="",$AI1638="",$AI1638="نامعتبر"),"",LEFT($AI1638,4)&amp;MID($AI1638,6,2)&amp;RIGHT($AI1638,2)&amp;$AJ1638&amp;"|"&amp;"3"&amp;RIGHT("00000"&amp;1633,5))</f>
        <v/>
      </c>
      <c r="AL1638">
        <f>IF($AK1638="","",COUNTIFS(LdAParty,$AE1638,LdAType,1,LdAKey,"&lt;"&amp;$AK1638)+COUNTIFS(LdBMember,$AE1638,LdBKey,"&lt;"&amp;$AK1638)+COUNTIFS(LdCParty,$AE1638,LdCKey,"&lt;"&amp;$AK1638)+1)</f>
        <v/>
      </c>
      <c r="AM1638">
        <f>IF($AL1638="","",$AE1638&amp;"|"&amp;RIGHT("000000"&amp;$AL1638,6))</f>
        <v/>
      </c>
      <c r="AN1638">
        <f>IF($AE1638="","",IF(Sync!$W1638="",0,Sync!$W1638))</f>
        <v/>
      </c>
      <c r="AO1638">
        <f>IF($AE1638="","",IF(Sync!$X1638="",0,Sync!$X1638))</f>
        <v/>
      </c>
      <c r="AP1638">
        <f>IF($AE1638="","",Sync!$R1638)</f>
        <v/>
      </c>
      <c r="AQ1638">
        <f>IF($AE1638="","",Sync!$Y1638)</f>
        <v/>
      </c>
    </row>
    <row r="1639">
      <c r="A1639">
        <f>IF(OR(Wages!$B1642="",Wages!$E1642=""),"",Wages!$E1642)</f>
        <v/>
      </c>
      <c r="B1639">
        <f>IF($A1639="","",IF(Wages!$C1642="دستمزد گروهی",2,1))</f>
        <v/>
      </c>
      <c r="C1639">
        <f>IF($A1639="","",IF(ISNUMBER(Wages!$B1642),IF(AND(Wages!$B1642&gt;=10000101,Wages!$B1642&lt;=99991231),INT(Wages!$B1642/10000),""),IFERROR(VALUE(TRIM(LEFT(Wages!$B1642,FIND("/",Wages!$B1642)-1))),"")))</f>
        <v/>
      </c>
      <c r="D1639">
        <f>IF(OR($A1639="",$C1639=""),"",IF(ISNUMBER(Wages!$B1642),INT(MOD(Wages!$B1642,10000)/100),IFERROR(VALUE(TRIM(LEFT(MID(Wages!$B1642,FIND("/",Wages!$B1642)+1,20),FIND("/",MID(Wages!$B1642,FIND("/",Wages!$B1642)+1,20))-1))),"")))</f>
        <v/>
      </c>
      <c r="E1639">
        <f>IF(OR($A1639="",$C1639=""),"",IF(ISNUMBER(Wages!$B1642),MOD(Wages!$B1642,100),IFERROR(VALUE(TRIM(MID(MID(Wages!$B1642,FIND("/",Wages!$B1642)+1,20),FIND("/",MID(Wages!$B1642,FIND("/",Wages!$B1642)+1,20))+1,20))),"")))</f>
        <v/>
      </c>
      <c r="F1639">
        <f>IF($A1639="","",IF(OR($C1639="",$D1639="",$E1639="",$C1639&lt;1300,$C1639&gt;1500,$D1639&lt;1,$D1639&gt;12,$E1639&lt;1,$E1639&gt;31),"نامعتبر",RIGHT("0000"&amp;$C1639,4)&amp;"/"&amp;RIGHT("00"&amp;$D1639,2)&amp;"/"&amp;RIGHT("00"&amp;$E1639,2)))</f>
        <v/>
      </c>
      <c r="G1639">
        <f>IF(OR($A1639="",$F1639="",$F1639="نامعتبر"),"",LEFT($F1639,4)&amp;MID($F1639,6,2)&amp;RIGHT($F1639,2)&amp;"0000"&amp;"|"&amp;"1"&amp;RIGHT("00000"&amp;1634,5))</f>
        <v/>
      </c>
      <c r="H1639">
        <f>IF(OR($B1639&lt;&gt;1,$G1639=""),"",COUNTIFS(LdAParty,$A1639,LdAType,1,LdAKey,"&lt;"&amp;$G1639)+COUNTIFS(LdBMember,$A1639,LdBKey,"&lt;"&amp;$G1639)+COUNTIFS(LdCParty,$A1639,LdCKey,"&lt;"&amp;$G1639)+1)</f>
        <v/>
      </c>
      <c r="I1639">
        <f>IF($H1639="","",$A1639&amp;"|"&amp;RIGHT("000000"&amp;$H1639,6))</f>
        <v/>
      </c>
      <c r="J1639">
        <f>IF(OR($B1639&lt;&gt;2,$G1639=""),"",COUNTIFS(LdAParty,$A1639,LdAType,2,LdAKey,"&lt;"&amp;$G1639)+1)</f>
        <v/>
      </c>
      <c r="K1639">
        <f>IF($J1639="","",$A1639&amp;"|"&amp;RIGHT("000000"&amp;$J1639,6))</f>
        <v/>
      </c>
      <c r="L1639">
        <f>IF($A1639="","",IF(Wages!$G1642="",0,Wages!$G1642))</f>
        <v/>
      </c>
      <c r="M1639">
        <f>IF($A1639="","",Wages!$J1642)</f>
        <v/>
      </c>
      <c r="N1639">
        <f>IF($A1639="","",Wages!$D1642)</f>
        <v/>
      </c>
      <c r="P1639">
        <f>IF(OR(Shares!$B1642="",Shares!$C1642=""),"",Shares!$C1642)</f>
        <v/>
      </c>
      <c r="Q1639">
        <f>IF($P1639="","",Shares!$B1642)</f>
        <v/>
      </c>
      <c r="R1639">
        <f>IF($P1639="","",IFERROR(INDEX(WageParty,MATCH($Q1639,WageIds,0)),""))</f>
        <v/>
      </c>
      <c r="S1639">
        <f>IF($P1639="","",IFERROR(INDEX($F$6:$F$2005,MATCH($Q1639,WageIds,0)),""))</f>
        <v/>
      </c>
      <c r="T1639">
        <f>IF(OR($P1639="",$S1639="",$S1639="نامعتبر"),"",LEFT($S1639,4)&amp;MID($S1639,6,2)&amp;RIGHT($S1639,2)&amp;"0000"&amp;"|"&amp;"2"&amp;RIGHT("00000"&amp;1634,5))</f>
        <v/>
      </c>
      <c r="U1639">
        <f>IF($T1639="","",COUNTIFS(LdAParty,$P1639,LdAType,1,LdAKey,"&lt;"&amp;$T1639)+COUNTIFS(LdBMember,$P1639,LdBKey,"&lt;"&amp;$T1639)+COUNTIFS(LdCParty,$P1639,LdCKey,"&lt;"&amp;$T1639)+1)</f>
        <v/>
      </c>
      <c r="V1639">
        <f>IF($U1639="","",$P1639&amp;"|"&amp;RIGHT("000000"&amp;$U1639,6))</f>
        <v/>
      </c>
      <c r="W1639">
        <f>IF($T1639="","",COUNTIFS(LdBGroup,$R1639,LdBKey,"&lt;"&amp;$T1639)+1)</f>
        <v/>
      </c>
      <c r="X1639">
        <f>IF($W1639="","",$R1639&amp;"|"&amp;RIGHT("000000"&amp;$W1639,6))</f>
        <v/>
      </c>
      <c r="Y1639">
        <f>IF($P1639="","",IF(Shares!$E1642="",0,Shares!$E1642))</f>
        <v/>
      </c>
      <c r="Z1639">
        <f>IF($P1639="","",Shares!$H1642)</f>
        <v/>
      </c>
      <c r="AE1639">
        <f>IF(OR(Sync!$S1639="",Sync!$P1639=""),"",Sync!$S1639)</f>
        <v/>
      </c>
      <c r="AF1639">
        <f>IF($AE1639="","",IF(ISNUMBER(Sync!$P1639),IF(AND(Sync!$P1639&gt;=10000101,Sync!$P1639&lt;=99991231),INT(Sync!$P1639/10000),""),IFERROR(VALUE(TRIM(LEFT(Sync!$P1639,FIND("/",Sync!$P1639)-1))),"")))</f>
        <v/>
      </c>
      <c r="AG1639">
        <f>IF(OR($AE1639="",$AF1639=""),"",IF(ISNUMBER(Sync!$P1639),INT(MOD(Sync!$P1639,10000)/100),IFERROR(VALUE(TRIM(LEFT(MID(Sync!$P1639,FIND("/",Sync!$P1639)+1,20),FIND("/",MID(Sync!$P1639,FIND("/",Sync!$P1639)+1,20))-1))),"")))</f>
        <v/>
      </c>
      <c r="AH1639">
        <f>IF(OR($AE1639="",$AF1639=""),"",IF(ISNUMBER(Sync!$P1639),MOD(Sync!$P1639,100),IFERROR(VALUE(TRIM(MID(MID(Sync!$P1639,FIND("/",Sync!$P1639)+1,20),FIND("/",MID(Sync!$P1639,FIND("/",Sync!$P1639)+1,20))+1,20))),"")))</f>
        <v/>
      </c>
      <c r="AI1639">
        <f>IF($AE1639="","",IF(OR($AF1639="",$AG1639="",$AH1639="",$AF1639&lt;1300,$AF1639&gt;1500,$AG1639&lt;1,$AG1639&gt;12,$AH1639&lt;1,$AH1639&gt;31),"نامعتبر",RIGHT("0000"&amp;$AF1639,4)&amp;"/"&amp;RIGHT("00"&amp;$AG1639,2)&amp;"/"&amp;RIGHT("00"&amp;$AH1639,2)))</f>
        <v/>
      </c>
      <c r="AJ1639">
        <f>IF($AE1639="","",IF(Sync!$Q1639="","0000",IF(AND(ISNUMBER(Sync!$Q1639),Sync!$Q1639&gt;=0,Sync!$Q1639&lt;1),RIGHT("00"&amp;HOUR(Sync!$Q1639),2)&amp;RIGHT("00"&amp;MINUTE(Sync!$Q1639),2),IFERROR(RIGHT("00"&amp;VALUE(LEFT(Sync!$Q1639,FIND(":",Sync!$Q1639)-1)),2)&amp;RIGHT("00"&amp;VALUE(MID(Sync!$Q1639,FIND(":",Sync!$Q1639)+1,2)),2),"0000"))))</f>
        <v/>
      </c>
      <c r="AK1639">
        <f>IF(OR($AE1639="",$AI1639="",$AI1639="نامعتبر"),"",LEFT($AI1639,4)&amp;MID($AI1639,6,2)&amp;RIGHT($AI1639,2)&amp;$AJ1639&amp;"|"&amp;"3"&amp;RIGHT("00000"&amp;1634,5))</f>
        <v/>
      </c>
      <c r="AL1639">
        <f>IF($AK1639="","",COUNTIFS(LdAParty,$AE1639,LdAType,1,LdAKey,"&lt;"&amp;$AK1639)+COUNTIFS(LdBMember,$AE1639,LdBKey,"&lt;"&amp;$AK1639)+COUNTIFS(LdCParty,$AE1639,LdCKey,"&lt;"&amp;$AK1639)+1)</f>
        <v/>
      </c>
      <c r="AM1639">
        <f>IF($AL1639="","",$AE1639&amp;"|"&amp;RIGHT("000000"&amp;$AL1639,6))</f>
        <v/>
      </c>
      <c r="AN1639">
        <f>IF($AE1639="","",IF(Sync!$W1639="",0,Sync!$W1639))</f>
        <v/>
      </c>
      <c r="AO1639">
        <f>IF($AE1639="","",IF(Sync!$X1639="",0,Sync!$X1639))</f>
        <v/>
      </c>
      <c r="AP1639">
        <f>IF($AE1639="","",Sync!$R1639)</f>
        <v/>
      </c>
      <c r="AQ1639">
        <f>IF($AE1639="","",Sync!$Y1639)</f>
        <v/>
      </c>
    </row>
    <row r="1640">
      <c r="A1640">
        <f>IF(OR(Wages!$B1643="",Wages!$E1643=""),"",Wages!$E1643)</f>
        <v/>
      </c>
      <c r="B1640">
        <f>IF($A1640="","",IF(Wages!$C1643="دستمزد گروهی",2,1))</f>
        <v/>
      </c>
      <c r="C1640">
        <f>IF($A1640="","",IF(ISNUMBER(Wages!$B1643),IF(AND(Wages!$B1643&gt;=10000101,Wages!$B1643&lt;=99991231),INT(Wages!$B1643/10000),""),IFERROR(VALUE(TRIM(LEFT(Wages!$B1643,FIND("/",Wages!$B1643)-1))),"")))</f>
        <v/>
      </c>
      <c r="D1640">
        <f>IF(OR($A1640="",$C1640=""),"",IF(ISNUMBER(Wages!$B1643),INT(MOD(Wages!$B1643,10000)/100),IFERROR(VALUE(TRIM(LEFT(MID(Wages!$B1643,FIND("/",Wages!$B1643)+1,20),FIND("/",MID(Wages!$B1643,FIND("/",Wages!$B1643)+1,20))-1))),"")))</f>
        <v/>
      </c>
      <c r="E1640">
        <f>IF(OR($A1640="",$C1640=""),"",IF(ISNUMBER(Wages!$B1643),MOD(Wages!$B1643,100),IFERROR(VALUE(TRIM(MID(MID(Wages!$B1643,FIND("/",Wages!$B1643)+1,20),FIND("/",MID(Wages!$B1643,FIND("/",Wages!$B1643)+1,20))+1,20))),"")))</f>
        <v/>
      </c>
      <c r="F1640">
        <f>IF($A1640="","",IF(OR($C1640="",$D1640="",$E1640="",$C1640&lt;1300,$C1640&gt;1500,$D1640&lt;1,$D1640&gt;12,$E1640&lt;1,$E1640&gt;31),"نامعتبر",RIGHT("0000"&amp;$C1640,4)&amp;"/"&amp;RIGHT("00"&amp;$D1640,2)&amp;"/"&amp;RIGHT("00"&amp;$E1640,2)))</f>
        <v/>
      </c>
      <c r="G1640">
        <f>IF(OR($A1640="",$F1640="",$F1640="نامعتبر"),"",LEFT($F1640,4)&amp;MID($F1640,6,2)&amp;RIGHT($F1640,2)&amp;"0000"&amp;"|"&amp;"1"&amp;RIGHT("00000"&amp;1635,5))</f>
        <v/>
      </c>
      <c r="H1640">
        <f>IF(OR($B1640&lt;&gt;1,$G1640=""),"",COUNTIFS(LdAParty,$A1640,LdAType,1,LdAKey,"&lt;"&amp;$G1640)+COUNTIFS(LdBMember,$A1640,LdBKey,"&lt;"&amp;$G1640)+COUNTIFS(LdCParty,$A1640,LdCKey,"&lt;"&amp;$G1640)+1)</f>
        <v/>
      </c>
      <c r="I1640">
        <f>IF($H1640="","",$A1640&amp;"|"&amp;RIGHT("000000"&amp;$H1640,6))</f>
        <v/>
      </c>
      <c r="J1640">
        <f>IF(OR($B1640&lt;&gt;2,$G1640=""),"",COUNTIFS(LdAParty,$A1640,LdAType,2,LdAKey,"&lt;"&amp;$G1640)+1)</f>
        <v/>
      </c>
      <c r="K1640">
        <f>IF($J1640="","",$A1640&amp;"|"&amp;RIGHT("000000"&amp;$J1640,6))</f>
        <v/>
      </c>
      <c r="L1640">
        <f>IF($A1640="","",IF(Wages!$G1643="",0,Wages!$G1643))</f>
        <v/>
      </c>
      <c r="M1640">
        <f>IF($A1640="","",Wages!$J1643)</f>
        <v/>
      </c>
      <c r="N1640">
        <f>IF($A1640="","",Wages!$D1643)</f>
        <v/>
      </c>
      <c r="P1640">
        <f>IF(OR(Shares!$B1643="",Shares!$C1643=""),"",Shares!$C1643)</f>
        <v/>
      </c>
      <c r="Q1640">
        <f>IF($P1640="","",Shares!$B1643)</f>
        <v/>
      </c>
      <c r="R1640">
        <f>IF($P1640="","",IFERROR(INDEX(WageParty,MATCH($Q1640,WageIds,0)),""))</f>
        <v/>
      </c>
      <c r="S1640">
        <f>IF($P1640="","",IFERROR(INDEX($F$6:$F$2005,MATCH($Q1640,WageIds,0)),""))</f>
        <v/>
      </c>
      <c r="T1640">
        <f>IF(OR($P1640="",$S1640="",$S1640="نامعتبر"),"",LEFT($S1640,4)&amp;MID($S1640,6,2)&amp;RIGHT($S1640,2)&amp;"0000"&amp;"|"&amp;"2"&amp;RIGHT("00000"&amp;1635,5))</f>
        <v/>
      </c>
      <c r="U1640">
        <f>IF($T1640="","",COUNTIFS(LdAParty,$P1640,LdAType,1,LdAKey,"&lt;"&amp;$T1640)+COUNTIFS(LdBMember,$P1640,LdBKey,"&lt;"&amp;$T1640)+COUNTIFS(LdCParty,$P1640,LdCKey,"&lt;"&amp;$T1640)+1)</f>
        <v/>
      </c>
      <c r="V1640">
        <f>IF($U1640="","",$P1640&amp;"|"&amp;RIGHT("000000"&amp;$U1640,6))</f>
        <v/>
      </c>
      <c r="W1640">
        <f>IF($T1640="","",COUNTIFS(LdBGroup,$R1640,LdBKey,"&lt;"&amp;$T1640)+1)</f>
        <v/>
      </c>
      <c r="X1640">
        <f>IF($W1640="","",$R1640&amp;"|"&amp;RIGHT("000000"&amp;$W1640,6))</f>
        <v/>
      </c>
      <c r="Y1640">
        <f>IF($P1640="","",IF(Shares!$E1643="",0,Shares!$E1643))</f>
        <v/>
      </c>
      <c r="Z1640">
        <f>IF($P1640="","",Shares!$H1643)</f>
        <v/>
      </c>
      <c r="AE1640">
        <f>IF(OR(Sync!$S1640="",Sync!$P1640=""),"",Sync!$S1640)</f>
        <v/>
      </c>
      <c r="AF1640">
        <f>IF($AE1640="","",IF(ISNUMBER(Sync!$P1640),IF(AND(Sync!$P1640&gt;=10000101,Sync!$P1640&lt;=99991231),INT(Sync!$P1640/10000),""),IFERROR(VALUE(TRIM(LEFT(Sync!$P1640,FIND("/",Sync!$P1640)-1))),"")))</f>
        <v/>
      </c>
      <c r="AG1640">
        <f>IF(OR($AE1640="",$AF1640=""),"",IF(ISNUMBER(Sync!$P1640),INT(MOD(Sync!$P1640,10000)/100),IFERROR(VALUE(TRIM(LEFT(MID(Sync!$P1640,FIND("/",Sync!$P1640)+1,20),FIND("/",MID(Sync!$P1640,FIND("/",Sync!$P1640)+1,20))-1))),"")))</f>
        <v/>
      </c>
      <c r="AH1640">
        <f>IF(OR($AE1640="",$AF1640=""),"",IF(ISNUMBER(Sync!$P1640),MOD(Sync!$P1640,100),IFERROR(VALUE(TRIM(MID(MID(Sync!$P1640,FIND("/",Sync!$P1640)+1,20),FIND("/",MID(Sync!$P1640,FIND("/",Sync!$P1640)+1,20))+1,20))),"")))</f>
        <v/>
      </c>
      <c r="AI1640">
        <f>IF($AE1640="","",IF(OR($AF1640="",$AG1640="",$AH1640="",$AF1640&lt;1300,$AF1640&gt;1500,$AG1640&lt;1,$AG1640&gt;12,$AH1640&lt;1,$AH1640&gt;31),"نامعتبر",RIGHT("0000"&amp;$AF1640,4)&amp;"/"&amp;RIGHT("00"&amp;$AG1640,2)&amp;"/"&amp;RIGHT("00"&amp;$AH1640,2)))</f>
        <v/>
      </c>
      <c r="AJ1640">
        <f>IF($AE1640="","",IF(Sync!$Q1640="","0000",IF(AND(ISNUMBER(Sync!$Q1640),Sync!$Q1640&gt;=0,Sync!$Q1640&lt;1),RIGHT("00"&amp;HOUR(Sync!$Q1640),2)&amp;RIGHT("00"&amp;MINUTE(Sync!$Q1640),2),IFERROR(RIGHT("00"&amp;VALUE(LEFT(Sync!$Q1640,FIND(":",Sync!$Q1640)-1)),2)&amp;RIGHT("00"&amp;VALUE(MID(Sync!$Q1640,FIND(":",Sync!$Q1640)+1,2)),2),"0000"))))</f>
        <v/>
      </c>
      <c r="AK1640">
        <f>IF(OR($AE1640="",$AI1640="",$AI1640="نامعتبر"),"",LEFT($AI1640,4)&amp;MID($AI1640,6,2)&amp;RIGHT($AI1640,2)&amp;$AJ1640&amp;"|"&amp;"3"&amp;RIGHT("00000"&amp;1635,5))</f>
        <v/>
      </c>
      <c r="AL1640">
        <f>IF($AK1640="","",COUNTIFS(LdAParty,$AE1640,LdAType,1,LdAKey,"&lt;"&amp;$AK1640)+COUNTIFS(LdBMember,$AE1640,LdBKey,"&lt;"&amp;$AK1640)+COUNTIFS(LdCParty,$AE1640,LdCKey,"&lt;"&amp;$AK1640)+1)</f>
        <v/>
      </c>
      <c r="AM1640">
        <f>IF($AL1640="","",$AE1640&amp;"|"&amp;RIGHT("000000"&amp;$AL1640,6))</f>
        <v/>
      </c>
      <c r="AN1640">
        <f>IF($AE1640="","",IF(Sync!$W1640="",0,Sync!$W1640))</f>
        <v/>
      </c>
      <c r="AO1640">
        <f>IF($AE1640="","",IF(Sync!$X1640="",0,Sync!$X1640))</f>
        <v/>
      </c>
      <c r="AP1640">
        <f>IF($AE1640="","",Sync!$R1640)</f>
        <v/>
      </c>
      <c r="AQ1640">
        <f>IF($AE1640="","",Sync!$Y1640)</f>
        <v/>
      </c>
    </row>
    <row r="1641">
      <c r="A1641">
        <f>IF(OR(Wages!$B1644="",Wages!$E1644=""),"",Wages!$E1644)</f>
        <v/>
      </c>
      <c r="B1641">
        <f>IF($A1641="","",IF(Wages!$C1644="دستمزد گروهی",2,1))</f>
        <v/>
      </c>
      <c r="C1641">
        <f>IF($A1641="","",IF(ISNUMBER(Wages!$B1644),IF(AND(Wages!$B1644&gt;=10000101,Wages!$B1644&lt;=99991231),INT(Wages!$B1644/10000),""),IFERROR(VALUE(TRIM(LEFT(Wages!$B1644,FIND("/",Wages!$B1644)-1))),"")))</f>
        <v/>
      </c>
      <c r="D1641">
        <f>IF(OR($A1641="",$C1641=""),"",IF(ISNUMBER(Wages!$B1644),INT(MOD(Wages!$B1644,10000)/100),IFERROR(VALUE(TRIM(LEFT(MID(Wages!$B1644,FIND("/",Wages!$B1644)+1,20),FIND("/",MID(Wages!$B1644,FIND("/",Wages!$B1644)+1,20))-1))),"")))</f>
        <v/>
      </c>
      <c r="E1641">
        <f>IF(OR($A1641="",$C1641=""),"",IF(ISNUMBER(Wages!$B1644),MOD(Wages!$B1644,100),IFERROR(VALUE(TRIM(MID(MID(Wages!$B1644,FIND("/",Wages!$B1644)+1,20),FIND("/",MID(Wages!$B1644,FIND("/",Wages!$B1644)+1,20))+1,20))),"")))</f>
        <v/>
      </c>
      <c r="F1641">
        <f>IF($A1641="","",IF(OR($C1641="",$D1641="",$E1641="",$C1641&lt;1300,$C1641&gt;1500,$D1641&lt;1,$D1641&gt;12,$E1641&lt;1,$E1641&gt;31),"نامعتبر",RIGHT("0000"&amp;$C1641,4)&amp;"/"&amp;RIGHT("00"&amp;$D1641,2)&amp;"/"&amp;RIGHT("00"&amp;$E1641,2)))</f>
        <v/>
      </c>
      <c r="G1641">
        <f>IF(OR($A1641="",$F1641="",$F1641="نامعتبر"),"",LEFT($F1641,4)&amp;MID($F1641,6,2)&amp;RIGHT($F1641,2)&amp;"0000"&amp;"|"&amp;"1"&amp;RIGHT("00000"&amp;1636,5))</f>
        <v/>
      </c>
      <c r="H1641">
        <f>IF(OR($B1641&lt;&gt;1,$G1641=""),"",COUNTIFS(LdAParty,$A1641,LdAType,1,LdAKey,"&lt;"&amp;$G1641)+COUNTIFS(LdBMember,$A1641,LdBKey,"&lt;"&amp;$G1641)+COUNTIFS(LdCParty,$A1641,LdCKey,"&lt;"&amp;$G1641)+1)</f>
        <v/>
      </c>
      <c r="I1641">
        <f>IF($H1641="","",$A1641&amp;"|"&amp;RIGHT("000000"&amp;$H1641,6))</f>
        <v/>
      </c>
      <c r="J1641">
        <f>IF(OR($B1641&lt;&gt;2,$G1641=""),"",COUNTIFS(LdAParty,$A1641,LdAType,2,LdAKey,"&lt;"&amp;$G1641)+1)</f>
        <v/>
      </c>
      <c r="K1641">
        <f>IF($J1641="","",$A1641&amp;"|"&amp;RIGHT("000000"&amp;$J1641,6))</f>
        <v/>
      </c>
      <c r="L1641">
        <f>IF($A1641="","",IF(Wages!$G1644="",0,Wages!$G1644))</f>
        <v/>
      </c>
      <c r="M1641">
        <f>IF($A1641="","",Wages!$J1644)</f>
        <v/>
      </c>
      <c r="N1641">
        <f>IF($A1641="","",Wages!$D1644)</f>
        <v/>
      </c>
      <c r="P1641">
        <f>IF(OR(Shares!$B1644="",Shares!$C1644=""),"",Shares!$C1644)</f>
        <v/>
      </c>
      <c r="Q1641">
        <f>IF($P1641="","",Shares!$B1644)</f>
        <v/>
      </c>
      <c r="R1641">
        <f>IF($P1641="","",IFERROR(INDEX(WageParty,MATCH($Q1641,WageIds,0)),""))</f>
        <v/>
      </c>
      <c r="S1641">
        <f>IF($P1641="","",IFERROR(INDEX($F$6:$F$2005,MATCH($Q1641,WageIds,0)),""))</f>
        <v/>
      </c>
      <c r="T1641">
        <f>IF(OR($P1641="",$S1641="",$S1641="نامعتبر"),"",LEFT($S1641,4)&amp;MID($S1641,6,2)&amp;RIGHT($S1641,2)&amp;"0000"&amp;"|"&amp;"2"&amp;RIGHT("00000"&amp;1636,5))</f>
        <v/>
      </c>
      <c r="U1641">
        <f>IF($T1641="","",COUNTIFS(LdAParty,$P1641,LdAType,1,LdAKey,"&lt;"&amp;$T1641)+COUNTIFS(LdBMember,$P1641,LdBKey,"&lt;"&amp;$T1641)+COUNTIFS(LdCParty,$P1641,LdCKey,"&lt;"&amp;$T1641)+1)</f>
        <v/>
      </c>
      <c r="V1641">
        <f>IF($U1641="","",$P1641&amp;"|"&amp;RIGHT("000000"&amp;$U1641,6))</f>
        <v/>
      </c>
      <c r="W1641">
        <f>IF($T1641="","",COUNTIFS(LdBGroup,$R1641,LdBKey,"&lt;"&amp;$T1641)+1)</f>
        <v/>
      </c>
      <c r="X1641">
        <f>IF($W1641="","",$R1641&amp;"|"&amp;RIGHT("000000"&amp;$W1641,6))</f>
        <v/>
      </c>
      <c r="Y1641">
        <f>IF($P1641="","",IF(Shares!$E1644="",0,Shares!$E1644))</f>
        <v/>
      </c>
      <c r="Z1641">
        <f>IF($P1641="","",Shares!$H1644)</f>
        <v/>
      </c>
      <c r="AE1641">
        <f>IF(OR(Sync!$S1641="",Sync!$P1641=""),"",Sync!$S1641)</f>
        <v/>
      </c>
      <c r="AF1641">
        <f>IF($AE1641="","",IF(ISNUMBER(Sync!$P1641),IF(AND(Sync!$P1641&gt;=10000101,Sync!$P1641&lt;=99991231),INT(Sync!$P1641/10000),""),IFERROR(VALUE(TRIM(LEFT(Sync!$P1641,FIND("/",Sync!$P1641)-1))),"")))</f>
        <v/>
      </c>
      <c r="AG1641">
        <f>IF(OR($AE1641="",$AF1641=""),"",IF(ISNUMBER(Sync!$P1641),INT(MOD(Sync!$P1641,10000)/100),IFERROR(VALUE(TRIM(LEFT(MID(Sync!$P1641,FIND("/",Sync!$P1641)+1,20),FIND("/",MID(Sync!$P1641,FIND("/",Sync!$P1641)+1,20))-1))),"")))</f>
        <v/>
      </c>
      <c r="AH1641">
        <f>IF(OR($AE1641="",$AF1641=""),"",IF(ISNUMBER(Sync!$P1641),MOD(Sync!$P1641,100),IFERROR(VALUE(TRIM(MID(MID(Sync!$P1641,FIND("/",Sync!$P1641)+1,20),FIND("/",MID(Sync!$P1641,FIND("/",Sync!$P1641)+1,20))+1,20))),"")))</f>
        <v/>
      </c>
      <c r="AI1641">
        <f>IF($AE1641="","",IF(OR($AF1641="",$AG1641="",$AH1641="",$AF1641&lt;1300,$AF1641&gt;1500,$AG1641&lt;1,$AG1641&gt;12,$AH1641&lt;1,$AH1641&gt;31),"نامعتبر",RIGHT("0000"&amp;$AF1641,4)&amp;"/"&amp;RIGHT("00"&amp;$AG1641,2)&amp;"/"&amp;RIGHT("00"&amp;$AH1641,2)))</f>
        <v/>
      </c>
      <c r="AJ1641">
        <f>IF($AE1641="","",IF(Sync!$Q1641="","0000",IF(AND(ISNUMBER(Sync!$Q1641),Sync!$Q1641&gt;=0,Sync!$Q1641&lt;1),RIGHT("00"&amp;HOUR(Sync!$Q1641),2)&amp;RIGHT("00"&amp;MINUTE(Sync!$Q1641),2),IFERROR(RIGHT("00"&amp;VALUE(LEFT(Sync!$Q1641,FIND(":",Sync!$Q1641)-1)),2)&amp;RIGHT("00"&amp;VALUE(MID(Sync!$Q1641,FIND(":",Sync!$Q1641)+1,2)),2),"0000"))))</f>
        <v/>
      </c>
      <c r="AK1641">
        <f>IF(OR($AE1641="",$AI1641="",$AI1641="نامعتبر"),"",LEFT($AI1641,4)&amp;MID($AI1641,6,2)&amp;RIGHT($AI1641,2)&amp;$AJ1641&amp;"|"&amp;"3"&amp;RIGHT("00000"&amp;1636,5))</f>
        <v/>
      </c>
      <c r="AL1641">
        <f>IF($AK1641="","",COUNTIFS(LdAParty,$AE1641,LdAType,1,LdAKey,"&lt;"&amp;$AK1641)+COUNTIFS(LdBMember,$AE1641,LdBKey,"&lt;"&amp;$AK1641)+COUNTIFS(LdCParty,$AE1641,LdCKey,"&lt;"&amp;$AK1641)+1)</f>
        <v/>
      </c>
      <c r="AM1641">
        <f>IF($AL1641="","",$AE1641&amp;"|"&amp;RIGHT("000000"&amp;$AL1641,6))</f>
        <v/>
      </c>
      <c r="AN1641">
        <f>IF($AE1641="","",IF(Sync!$W1641="",0,Sync!$W1641))</f>
        <v/>
      </c>
      <c r="AO1641">
        <f>IF($AE1641="","",IF(Sync!$X1641="",0,Sync!$X1641))</f>
        <v/>
      </c>
      <c r="AP1641">
        <f>IF($AE1641="","",Sync!$R1641)</f>
        <v/>
      </c>
      <c r="AQ1641">
        <f>IF($AE1641="","",Sync!$Y1641)</f>
        <v/>
      </c>
    </row>
    <row r="1642">
      <c r="A1642">
        <f>IF(OR(Wages!$B1645="",Wages!$E1645=""),"",Wages!$E1645)</f>
        <v/>
      </c>
      <c r="B1642">
        <f>IF($A1642="","",IF(Wages!$C1645="دستمزد گروهی",2,1))</f>
        <v/>
      </c>
      <c r="C1642">
        <f>IF($A1642="","",IF(ISNUMBER(Wages!$B1645),IF(AND(Wages!$B1645&gt;=10000101,Wages!$B1645&lt;=99991231),INT(Wages!$B1645/10000),""),IFERROR(VALUE(TRIM(LEFT(Wages!$B1645,FIND("/",Wages!$B1645)-1))),"")))</f>
        <v/>
      </c>
      <c r="D1642">
        <f>IF(OR($A1642="",$C1642=""),"",IF(ISNUMBER(Wages!$B1645),INT(MOD(Wages!$B1645,10000)/100),IFERROR(VALUE(TRIM(LEFT(MID(Wages!$B1645,FIND("/",Wages!$B1645)+1,20),FIND("/",MID(Wages!$B1645,FIND("/",Wages!$B1645)+1,20))-1))),"")))</f>
        <v/>
      </c>
      <c r="E1642">
        <f>IF(OR($A1642="",$C1642=""),"",IF(ISNUMBER(Wages!$B1645),MOD(Wages!$B1645,100),IFERROR(VALUE(TRIM(MID(MID(Wages!$B1645,FIND("/",Wages!$B1645)+1,20),FIND("/",MID(Wages!$B1645,FIND("/",Wages!$B1645)+1,20))+1,20))),"")))</f>
        <v/>
      </c>
      <c r="F1642">
        <f>IF($A1642="","",IF(OR($C1642="",$D1642="",$E1642="",$C1642&lt;1300,$C1642&gt;1500,$D1642&lt;1,$D1642&gt;12,$E1642&lt;1,$E1642&gt;31),"نامعتبر",RIGHT("0000"&amp;$C1642,4)&amp;"/"&amp;RIGHT("00"&amp;$D1642,2)&amp;"/"&amp;RIGHT("00"&amp;$E1642,2)))</f>
        <v/>
      </c>
      <c r="G1642">
        <f>IF(OR($A1642="",$F1642="",$F1642="نامعتبر"),"",LEFT($F1642,4)&amp;MID($F1642,6,2)&amp;RIGHT($F1642,2)&amp;"0000"&amp;"|"&amp;"1"&amp;RIGHT("00000"&amp;1637,5))</f>
        <v/>
      </c>
      <c r="H1642">
        <f>IF(OR($B1642&lt;&gt;1,$G1642=""),"",COUNTIFS(LdAParty,$A1642,LdAType,1,LdAKey,"&lt;"&amp;$G1642)+COUNTIFS(LdBMember,$A1642,LdBKey,"&lt;"&amp;$G1642)+COUNTIFS(LdCParty,$A1642,LdCKey,"&lt;"&amp;$G1642)+1)</f>
        <v/>
      </c>
      <c r="I1642">
        <f>IF($H1642="","",$A1642&amp;"|"&amp;RIGHT("000000"&amp;$H1642,6))</f>
        <v/>
      </c>
      <c r="J1642">
        <f>IF(OR($B1642&lt;&gt;2,$G1642=""),"",COUNTIFS(LdAParty,$A1642,LdAType,2,LdAKey,"&lt;"&amp;$G1642)+1)</f>
        <v/>
      </c>
      <c r="K1642">
        <f>IF($J1642="","",$A1642&amp;"|"&amp;RIGHT("000000"&amp;$J1642,6))</f>
        <v/>
      </c>
      <c r="L1642">
        <f>IF($A1642="","",IF(Wages!$G1645="",0,Wages!$G1645))</f>
        <v/>
      </c>
      <c r="M1642">
        <f>IF($A1642="","",Wages!$J1645)</f>
        <v/>
      </c>
      <c r="N1642">
        <f>IF($A1642="","",Wages!$D1645)</f>
        <v/>
      </c>
      <c r="P1642">
        <f>IF(OR(Shares!$B1645="",Shares!$C1645=""),"",Shares!$C1645)</f>
        <v/>
      </c>
      <c r="Q1642">
        <f>IF($P1642="","",Shares!$B1645)</f>
        <v/>
      </c>
      <c r="R1642">
        <f>IF($P1642="","",IFERROR(INDEX(WageParty,MATCH($Q1642,WageIds,0)),""))</f>
        <v/>
      </c>
      <c r="S1642">
        <f>IF($P1642="","",IFERROR(INDEX($F$6:$F$2005,MATCH($Q1642,WageIds,0)),""))</f>
        <v/>
      </c>
      <c r="T1642">
        <f>IF(OR($P1642="",$S1642="",$S1642="نامعتبر"),"",LEFT($S1642,4)&amp;MID($S1642,6,2)&amp;RIGHT($S1642,2)&amp;"0000"&amp;"|"&amp;"2"&amp;RIGHT("00000"&amp;1637,5))</f>
        <v/>
      </c>
      <c r="U1642">
        <f>IF($T1642="","",COUNTIFS(LdAParty,$P1642,LdAType,1,LdAKey,"&lt;"&amp;$T1642)+COUNTIFS(LdBMember,$P1642,LdBKey,"&lt;"&amp;$T1642)+COUNTIFS(LdCParty,$P1642,LdCKey,"&lt;"&amp;$T1642)+1)</f>
        <v/>
      </c>
      <c r="V1642">
        <f>IF($U1642="","",$P1642&amp;"|"&amp;RIGHT("000000"&amp;$U1642,6))</f>
        <v/>
      </c>
      <c r="W1642">
        <f>IF($T1642="","",COUNTIFS(LdBGroup,$R1642,LdBKey,"&lt;"&amp;$T1642)+1)</f>
        <v/>
      </c>
      <c r="X1642">
        <f>IF($W1642="","",$R1642&amp;"|"&amp;RIGHT("000000"&amp;$W1642,6))</f>
        <v/>
      </c>
      <c r="Y1642">
        <f>IF($P1642="","",IF(Shares!$E1645="",0,Shares!$E1645))</f>
        <v/>
      </c>
      <c r="Z1642">
        <f>IF($P1642="","",Shares!$H1645)</f>
        <v/>
      </c>
      <c r="AE1642">
        <f>IF(OR(Sync!$S1642="",Sync!$P1642=""),"",Sync!$S1642)</f>
        <v/>
      </c>
      <c r="AF1642">
        <f>IF($AE1642="","",IF(ISNUMBER(Sync!$P1642),IF(AND(Sync!$P1642&gt;=10000101,Sync!$P1642&lt;=99991231),INT(Sync!$P1642/10000),""),IFERROR(VALUE(TRIM(LEFT(Sync!$P1642,FIND("/",Sync!$P1642)-1))),"")))</f>
        <v/>
      </c>
      <c r="AG1642">
        <f>IF(OR($AE1642="",$AF1642=""),"",IF(ISNUMBER(Sync!$P1642),INT(MOD(Sync!$P1642,10000)/100),IFERROR(VALUE(TRIM(LEFT(MID(Sync!$P1642,FIND("/",Sync!$P1642)+1,20),FIND("/",MID(Sync!$P1642,FIND("/",Sync!$P1642)+1,20))-1))),"")))</f>
        <v/>
      </c>
      <c r="AH1642">
        <f>IF(OR($AE1642="",$AF1642=""),"",IF(ISNUMBER(Sync!$P1642),MOD(Sync!$P1642,100),IFERROR(VALUE(TRIM(MID(MID(Sync!$P1642,FIND("/",Sync!$P1642)+1,20),FIND("/",MID(Sync!$P1642,FIND("/",Sync!$P1642)+1,20))+1,20))),"")))</f>
        <v/>
      </c>
      <c r="AI1642">
        <f>IF($AE1642="","",IF(OR($AF1642="",$AG1642="",$AH1642="",$AF1642&lt;1300,$AF1642&gt;1500,$AG1642&lt;1,$AG1642&gt;12,$AH1642&lt;1,$AH1642&gt;31),"نامعتبر",RIGHT("0000"&amp;$AF1642,4)&amp;"/"&amp;RIGHT("00"&amp;$AG1642,2)&amp;"/"&amp;RIGHT("00"&amp;$AH1642,2)))</f>
        <v/>
      </c>
      <c r="AJ1642">
        <f>IF($AE1642="","",IF(Sync!$Q1642="","0000",IF(AND(ISNUMBER(Sync!$Q1642),Sync!$Q1642&gt;=0,Sync!$Q1642&lt;1),RIGHT("00"&amp;HOUR(Sync!$Q1642),2)&amp;RIGHT("00"&amp;MINUTE(Sync!$Q1642),2),IFERROR(RIGHT("00"&amp;VALUE(LEFT(Sync!$Q1642,FIND(":",Sync!$Q1642)-1)),2)&amp;RIGHT("00"&amp;VALUE(MID(Sync!$Q1642,FIND(":",Sync!$Q1642)+1,2)),2),"0000"))))</f>
        <v/>
      </c>
      <c r="AK1642">
        <f>IF(OR($AE1642="",$AI1642="",$AI1642="نامعتبر"),"",LEFT($AI1642,4)&amp;MID($AI1642,6,2)&amp;RIGHT($AI1642,2)&amp;$AJ1642&amp;"|"&amp;"3"&amp;RIGHT("00000"&amp;1637,5))</f>
        <v/>
      </c>
      <c r="AL1642">
        <f>IF($AK1642="","",COUNTIFS(LdAParty,$AE1642,LdAType,1,LdAKey,"&lt;"&amp;$AK1642)+COUNTIFS(LdBMember,$AE1642,LdBKey,"&lt;"&amp;$AK1642)+COUNTIFS(LdCParty,$AE1642,LdCKey,"&lt;"&amp;$AK1642)+1)</f>
        <v/>
      </c>
      <c r="AM1642">
        <f>IF($AL1642="","",$AE1642&amp;"|"&amp;RIGHT("000000"&amp;$AL1642,6))</f>
        <v/>
      </c>
      <c r="AN1642">
        <f>IF($AE1642="","",IF(Sync!$W1642="",0,Sync!$W1642))</f>
        <v/>
      </c>
      <c r="AO1642">
        <f>IF($AE1642="","",IF(Sync!$X1642="",0,Sync!$X1642))</f>
        <v/>
      </c>
      <c r="AP1642">
        <f>IF($AE1642="","",Sync!$R1642)</f>
        <v/>
      </c>
      <c r="AQ1642">
        <f>IF($AE1642="","",Sync!$Y1642)</f>
        <v/>
      </c>
    </row>
    <row r="1643">
      <c r="A1643">
        <f>IF(OR(Wages!$B1646="",Wages!$E1646=""),"",Wages!$E1646)</f>
        <v/>
      </c>
      <c r="B1643">
        <f>IF($A1643="","",IF(Wages!$C1646="دستمزد گروهی",2,1))</f>
        <v/>
      </c>
      <c r="C1643">
        <f>IF($A1643="","",IF(ISNUMBER(Wages!$B1646),IF(AND(Wages!$B1646&gt;=10000101,Wages!$B1646&lt;=99991231),INT(Wages!$B1646/10000),""),IFERROR(VALUE(TRIM(LEFT(Wages!$B1646,FIND("/",Wages!$B1646)-1))),"")))</f>
        <v/>
      </c>
      <c r="D1643">
        <f>IF(OR($A1643="",$C1643=""),"",IF(ISNUMBER(Wages!$B1646),INT(MOD(Wages!$B1646,10000)/100),IFERROR(VALUE(TRIM(LEFT(MID(Wages!$B1646,FIND("/",Wages!$B1646)+1,20),FIND("/",MID(Wages!$B1646,FIND("/",Wages!$B1646)+1,20))-1))),"")))</f>
        <v/>
      </c>
      <c r="E1643">
        <f>IF(OR($A1643="",$C1643=""),"",IF(ISNUMBER(Wages!$B1646),MOD(Wages!$B1646,100),IFERROR(VALUE(TRIM(MID(MID(Wages!$B1646,FIND("/",Wages!$B1646)+1,20),FIND("/",MID(Wages!$B1646,FIND("/",Wages!$B1646)+1,20))+1,20))),"")))</f>
        <v/>
      </c>
      <c r="F1643">
        <f>IF($A1643="","",IF(OR($C1643="",$D1643="",$E1643="",$C1643&lt;1300,$C1643&gt;1500,$D1643&lt;1,$D1643&gt;12,$E1643&lt;1,$E1643&gt;31),"نامعتبر",RIGHT("0000"&amp;$C1643,4)&amp;"/"&amp;RIGHT("00"&amp;$D1643,2)&amp;"/"&amp;RIGHT("00"&amp;$E1643,2)))</f>
        <v/>
      </c>
      <c r="G1643">
        <f>IF(OR($A1643="",$F1643="",$F1643="نامعتبر"),"",LEFT($F1643,4)&amp;MID($F1643,6,2)&amp;RIGHT($F1643,2)&amp;"0000"&amp;"|"&amp;"1"&amp;RIGHT("00000"&amp;1638,5))</f>
        <v/>
      </c>
      <c r="H1643">
        <f>IF(OR($B1643&lt;&gt;1,$G1643=""),"",COUNTIFS(LdAParty,$A1643,LdAType,1,LdAKey,"&lt;"&amp;$G1643)+COUNTIFS(LdBMember,$A1643,LdBKey,"&lt;"&amp;$G1643)+COUNTIFS(LdCParty,$A1643,LdCKey,"&lt;"&amp;$G1643)+1)</f>
        <v/>
      </c>
      <c r="I1643">
        <f>IF($H1643="","",$A1643&amp;"|"&amp;RIGHT("000000"&amp;$H1643,6))</f>
        <v/>
      </c>
      <c r="J1643">
        <f>IF(OR($B1643&lt;&gt;2,$G1643=""),"",COUNTIFS(LdAParty,$A1643,LdAType,2,LdAKey,"&lt;"&amp;$G1643)+1)</f>
        <v/>
      </c>
      <c r="K1643">
        <f>IF($J1643="","",$A1643&amp;"|"&amp;RIGHT("000000"&amp;$J1643,6))</f>
        <v/>
      </c>
      <c r="L1643">
        <f>IF($A1643="","",IF(Wages!$G1646="",0,Wages!$G1646))</f>
        <v/>
      </c>
      <c r="M1643">
        <f>IF($A1643="","",Wages!$J1646)</f>
        <v/>
      </c>
      <c r="N1643">
        <f>IF($A1643="","",Wages!$D1646)</f>
        <v/>
      </c>
      <c r="P1643">
        <f>IF(OR(Shares!$B1646="",Shares!$C1646=""),"",Shares!$C1646)</f>
        <v/>
      </c>
      <c r="Q1643">
        <f>IF($P1643="","",Shares!$B1646)</f>
        <v/>
      </c>
      <c r="R1643">
        <f>IF($P1643="","",IFERROR(INDEX(WageParty,MATCH($Q1643,WageIds,0)),""))</f>
        <v/>
      </c>
      <c r="S1643">
        <f>IF($P1643="","",IFERROR(INDEX($F$6:$F$2005,MATCH($Q1643,WageIds,0)),""))</f>
        <v/>
      </c>
      <c r="T1643">
        <f>IF(OR($P1643="",$S1643="",$S1643="نامعتبر"),"",LEFT($S1643,4)&amp;MID($S1643,6,2)&amp;RIGHT($S1643,2)&amp;"0000"&amp;"|"&amp;"2"&amp;RIGHT("00000"&amp;1638,5))</f>
        <v/>
      </c>
      <c r="U1643">
        <f>IF($T1643="","",COUNTIFS(LdAParty,$P1643,LdAType,1,LdAKey,"&lt;"&amp;$T1643)+COUNTIFS(LdBMember,$P1643,LdBKey,"&lt;"&amp;$T1643)+COUNTIFS(LdCParty,$P1643,LdCKey,"&lt;"&amp;$T1643)+1)</f>
        <v/>
      </c>
      <c r="V1643">
        <f>IF($U1643="","",$P1643&amp;"|"&amp;RIGHT("000000"&amp;$U1643,6))</f>
        <v/>
      </c>
      <c r="W1643">
        <f>IF($T1643="","",COUNTIFS(LdBGroup,$R1643,LdBKey,"&lt;"&amp;$T1643)+1)</f>
        <v/>
      </c>
      <c r="X1643">
        <f>IF($W1643="","",$R1643&amp;"|"&amp;RIGHT("000000"&amp;$W1643,6))</f>
        <v/>
      </c>
      <c r="Y1643">
        <f>IF($P1643="","",IF(Shares!$E1646="",0,Shares!$E1646))</f>
        <v/>
      </c>
      <c r="Z1643">
        <f>IF($P1643="","",Shares!$H1646)</f>
        <v/>
      </c>
      <c r="AE1643">
        <f>IF(OR(Sync!$S1643="",Sync!$P1643=""),"",Sync!$S1643)</f>
        <v/>
      </c>
      <c r="AF1643">
        <f>IF($AE1643="","",IF(ISNUMBER(Sync!$P1643),IF(AND(Sync!$P1643&gt;=10000101,Sync!$P1643&lt;=99991231),INT(Sync!$P1643/10000),""),IFERROR(VALUE(TRIM(LEFT(Sync!$P1643,FIND("/",Sync!$P1643)-1))),"")))</f>
        <v/>
      </c>
      <c r="AG1643">
        <f>IF(OR($AE1643="",$AF1643=""),"",IF(ISNUMBER(Sync!$P1643),INT(MOD(Sync!$P1643,10000)/100),IFERROR(VALUE(TRIM(LEFT(MID(Sync!$P1643,FIND("/",Sync!$P1643)+1,20),FIND("/",MID(Sync!$P1643,FIND("/",Sync!$P1643)+1,20))-1))),"")))</f>
        <v/>
      </c>
      <c r="AH1643">
        <f>IF(OR($AE1643="",$AF1643=""),"",IF(ISNUMBER(Sync!$P1643),MOD(Sync!$P1643,100),IFERROR(VALUE(TRIM(MID(MID(Sync!$P1643,FIND("/",Sync!$P1643)+1,20),FIND("/",MID(Sync!$P1643,FIND("/",Sync!$P1643)+1,20))+1,20))),"")))</f>
        <v/>
      </c>
      <c r="AI1643">
        <f>IF($AE1643="","",IF(OR($AF1643="",$AG1643="",$AH1643="",$AF1643&lt;1300,$AF1643&gt;1500,$AG1643&lt;1,$AG1643&gt;12,$AH1643&lt;1,$AH1643&gt;31),"نامعتبر",RIGHT("0000"&amp;$AF1643,4)&amp;"/"&amp;RIGHT("00"&amp;$AG1643,2)&amp;"/"&amp;RIGHT("00"&amp;$AH1643,2)))</f>
        <v/>
      </c>
      <c r="AJ1643">
        <f>IF($AE1643="","",IF(Sync!$Q1643="","0000",IF(AND(ISNUMBER(Sync!$Q1643),Sync!$Q1643&gt;=0,Sync!$Q1643&lt;1),RIGHT("00"&amp;HOUR(Sync!$Q1643),2)&amp;RIGHT("00"&amp;MINUTE(Sync!$Q1643),2),IFERROR(RIGHT("00"&amp;VALUE(LEFT(Sync!$Q1643,FIND(":",Sync!$Q1643)-1)),2)&amp;RIGHT("00"&amp;VALUE(MID(Sync!$Q1643,FIND(":",Sync!$Q1643)+1,2)),2),"0000"))))</f>
        <v/>
      </c>
      <c r="AK1643">
        <f>IF(OR($AE1643="",$AI1643="",$AI1643="نامعتبر"),"",LEFT($AI1643,4)&amp;MID($AI1643,6,2)&amp;RIGHT($AI1643,2)&amp;$AJ1643&amp;"|"&amp;"3"&amp;RIGHT("00000"&amp;1638,5))</f>
        <v/>
      </c>
      <c r="AL1643">
        <f>IF($AK1643="","",COUNTIFS(LdAParty,$AE1643,LdAType,1,LdAKey,"&lt;"&amp;$AK1643)+COUNTIFS(LdBMember,$AE1643,LdBKey,"&lt;"&amp;$AK1643)+COUNTIFS(LdCParty,$AE1643,LdCKey,"&lt;"&amp;$AK1643)+1)</f>
        <v/>
      </c>
      <c r="AM1643">
        <f>IF($AL1643="","",$AE1643&amp;"|"&amp;RIGHT("000000"&amp;$AL1643,6))</f>
        <v/>
      </c>
      <c r="AN1643">
        <f>IF($AE1643="","",IF(Sync!$W1643="",0,Sync!$W1643))</f>
        <v/>
      </c>
      <c r="AO1643">
        <f>IF($AE1643="","",IF(Sync!$X1643="",0,Sync!$X1643))</f>
        <v/>
      </c>
      <c r="AP1643">
        <f>IF($AE1643="","",Sync!$R1643)</f>
        <v/>
      </c>
      <c r="AQ1643">
        <f>IF($AE1643="","",Sync!$Y1643)</f>
        <v/>
      </c>
    </row>
    <row r="1644">
      <c r="A1644">
        <f>IF(OR(Wages!$B1647="",Wages!$E1647=""),"",Wages!$E1647)</f>
        <v/>
      </c>
      <c r="B1644">
        <f>IF($A1644="","",IF(Wages!$C1647="دستمزد گروهی",2,1))</f>
        <v/>
      </c>
      <c r="C1644">
        <f>IF($A1644="","",IF(ISNUMBER(Wages!$B1647),IF(AND(Wages!$B1647&gt;=10000101,Wages!$B1647&lt;=99991231),INT(Wages!$B1647/10000),""),IFERROR(VALUE(TRIM(LEFT(Wages!$B1647,FIND("/",Wages!$B1647)-1))),"")))</f>
        <v/>
      </c>
      <c r="D1644">
        <f>IF(OR($A1644="",$C1644=""),"",IF(ISNUMBER(Wages!$B1647),INT(MOD(Wages!$B1647,10000)/100),IFERROR(VALUE(TRIM(LEFT(MID(Wages!$B1647,FIND("/",Wages!$B1647)+1,20),FIND("/",MID(Wages!$B1647,FIND("/",Wages!$B1647)+1,20))-1))),"")))</f>
        <v/>
      </c>
      <c r="E1644">
        <f>IF(OR($A1644="",$C1644=""),"",IF(ISNUMBER(Wages!$B1647),MOD(Wages!$B1647,100),IFERROR(VALUE(TRIM(MID(MID(Wages!$B1647,FIND("/",Wages!$B1647)+1,20),FIND("/",MID(Wages!$B1647,FIND("/",Wages!$B1647)+1,20))+1,20))),"")))</f>
        <v/>
      </c>
      <c r="F1644">
        <f>IF($A1644="","",IF(OR($C1644="",$D1644="",$E1644="",$C1644&lt;1300,$C1644&gt;1500,$D1644&lt;1,$D1644&gt;12,$E1644&lt;1,$E1644&gt;31),"نامعتبر",RIGHT("0000"&amp;$C1644,4)&amp;"/"&amp;RIGHT("00"&amp;$D1644,2)&amp;"/"&amp;RIGHT("00"&amp;$E1644,2)))</f>
        <v/>
      </c>
      <c r="G1644">
        <f>IF(OR($A1644="",$F1644="",$F1644="نامعتبر"),"",LEFT($F1644,4)&amp;MID($F1644,6,2)&amp;RIGHT($F1644,2)&amp;"0000"&amp;"|"&amp;"1"&amp;RIGHT("00000"&amp;1639,5))</f>
        <v/>
      </c>
      <c r="H1644">
        <f>IF(OR($B1644&lt;&gt;1,$G1644=""),"",COUNTIFS(LdAParty,$A1644,LdAType,1,LdAKey,"&lt;"&amp;$G1644)+COUNTIFS(LdBMember,$A1644,LdBKey,"&lt;"&amp;$G1644)+COUNTIFS(LdCParty,$A1644,LdCKey,"&lt;"&amp;$G1644)+1)</f>
        <v/>
      </c>
      <c r="I1644">
        <f>IF($H1644="","",$A1644&amp;"|"&amp;RIGHT("000000"&amp;$H1644,6))</f>
        <v/>
      </c>
      <c r="J1644">
        <f>IF(OR($B1644&lt;&gt;2,$G1644=""),"",COUNTIFS(LdAParty,$A1644,LdAType,2,LdAKey,"&lt;"&amp;$G1644)+1)</f>
        <v/>
      </c>
      <c r="K1644">
        <f>IF($J1644="","",$A1644&amp;"|"&amp;RIGHT("000000"&amp;$J1644,6))</f>
        <v/>
      </c>
      <c r="L1644">
        <f>IF($A1644="","",IF(Wages!$G1647="",0,Wages!$G1647))</f>
        <v/>
      </c>
      <c r="M1644">
        <f>IF($A1644="","",Wages!$J1647)</f>
        <v/>
      </c>
      <c r="N1644">
        <f>IF($A1644="","",Wages!$D1647)</f>
        <v/>
      </c>
      <c r="P1644">
        <f>IF(OR(Shares!$B1647="",Shares!$C1647=""),"",Shares!$C1647)</f>
        <v/>
      </c>
      <c r="Q1644">
        <f>IF($P1644="","",Shares!$B1647)</f>
        <v/>
      </c>
      <c r="R1644">
        <f>IF($P1644="","",IFERROR(INDEX(WageParty,MATCH($Q1644,WageIds,0)),""))</f>
        <v/>
      </c>
      <c r="S1644">
        <f>IF($P1644="","",IFERROR(INDEX($F$6:$F$2005,MATCH($Q1644,WageIds,0)),""))</f>
        <v/>
      </c>
      <c r="T1644">
        <f>IF(OR($P1644="",$S1644="",$S1644="نامعتبر"),"",LEFT($S1644,4)&amp;MID($S1644,6,2)&amp;RIGHT($S1644,2)&amp;"0000"&amp;"|"&amp;"2"&amp;RIGHT("00000"&amp;1639,5))</f>
        <v/>
      </c>
      <c r="U1644">
        <f>IF($T1644="","",COUNTIFS(LdAParty,$P1644,LdAType,1,LdAKey,"&lt;"&amp;$T1644)+COUNTIFS(LdBMember,$P1644,LdBKey,"&lt;"&amp;$T1644)+COUNTIFS(LdCParty,$P1644,LdCKey,"&lt;"&amp;$T1644)+1)</f>
        <v/>
      </c>
      <c r="V1644">
        <f>IF($U1644="","",$P1644&amp;"|"&amp;RIGHT("000000"&amp;$U1644,6))</f>
        <v/>
      </c>
      <c r="W1644">
        <f>IF($T1644="","",COUNTIFS(LdBGroup,$R1644,LdBKey,"&lt;"&amp;$T1644)+1)</f>
        <v/>
      </c>
      <c r="X1644">
        <f>IF($W1644="","",$R1644&amp;"|"&amp;RIGHT("000000"&amp;$W1644,6))</f>
        <v/>
      </c>
      <c r="Y1644">
        <f>IF($P1644="","",IF(Shares!$E1647="",0,Shares!$E1647))</f>
        <v/>
      </c>
      <c r="Z1644">
        <f>IF($P1644="","",Shares!$H1647)</f>
        <v/>
      </c>
      <c r="AE1644">
        <f>IF(OR(Sync!$S1644="",Sync!$P1644=""),"",Sync!$S1644)</f>
        <v/>
      </c>
      <c r="AF1644">
        <f>IF($AE1644="","",IF(ISNUMBER(Sync!$P1644),IF(AND(Sync!$P1644&gt;=10000101,Sync!$P1644&lt;=99991231),INT(Sync!$P1644/10000),""),IFERROR(VALUE(TRIM(LEFT(Sync!$P1644,FIND("/",Sync!$P1644)-1))),"")))</f>
        <v/>
      </c>
      <c r="AG1644">
        <f>IF(OR($AE1644="",$AF1644=""),"",IF(ISNUMBER(Sync!$P1644),INT(MOD(Sync!$P1644,10000)/100),IFERROR(VALUE(TRIM(LEFT(MID(Sync!$P1644,FIND("/",Sync!$P1644)+1,20),FIND("/",MID(Sync!$P1644,FIND("/",Sync!$P1644)+1,20))-1))),"")))</f>
        <v/>
      </c>
      <c r="AH1644">
        <f>IF(OR($AE1644="",$AF1644=""),"",IF(ISNUMBER(Sync!$P1644),MOD(Sync!$P1644,100),IFERROR(VALUE(TRIM(MID(MID(Sync!$P1644,FIND("/",Sync!$P1644)+1,20),FIND("/",MID(Sync!$P1644,FIND("/",Sync!$P1644)+1,20))+1,20))),"")))</f>
        <v/>
      </c>
      <c r="AI1644">
        <f>IF($AE1644="","",IF(OR($AF1644="",$AG1644="",$AH1644="",$AF1644&lt;1300,$AF1644&gt;1500,$AG1644&lt;1,$AG1644&gt;12,$AH1644&lt;1,$AH1644&gt;31),"نامعتبر",RIGHT("0000"&amp;$AF1644,4)&amp;"/"&amp;RIGHT("00"&amp;$AG1644,2)&amp;"/"&amp;RIGHT("00"&amp;$AH1644,2)))</f>
        <v/>
      </c>
      <c r="AJ1644">
        <f>IF($AE1644="","",IF(Sync!$Q1644="","0000",IF(AND(ISNUMBER(Sync!$Q1644),Sync!$Q1644&gt;=0,Sync!$Q1644&lt;1),RIGHT("00"&amp;HOUR(Sync!$Q1644),2)&amp;RIGHT("00"&amp;MINUTE(Sync!$Q1644),2),IFERROR(RIGHT("00"&amp;VALUE(LEFT(Sync!$Q1644,FIND(":",Sync!$Q1644)-1)),2)&amp;RIGHT("00"&amp;VALUE(MID(Sync!$Q1644,FIND(":",Sync!$Q1644)+1,2)),2),"0000"))))</f>
        <v/>
      </c>
      <c r="AK1644">
        <f>IF(OR($AE1644="",$AI1644="",$AI1644="نامعتبر"),"",LEFT($AI1644,4)&amp;MID($AI1644,6,2)&amp;RIGHT($AI1644,2)&amp;$AJ1644&amp;"|"&amp;"3"&amp;RIGHT("00000"&amp;1639,5))</f>
        <v/>
      </c>
      <c r="AL1644">
        <f>IF($AK1644="","",COUNTIFS(LdAParty,$AE1644,LdAType,1,LdAKey,"&lt;"&amp;$AK1644)+COUNTIFS(LdBMember,$AE1644,LdBKey,"&lt;"&amp;$AK1644)+COUNTIFS(LdCParty,$AE1644,LdCKey,"&lt;"&amp;$AK1644)+1)</f>
        <v/>
      </c>
      <c r="AM1644">
        <f>IF($AL1644="","",$AE1644&amp;"|"&amp;RIGHT("000000"&amp;$AL1644,6))</f>
        <v/>
      </c>
      <c r="AN1644">
        <f>IF($AE1644="","",IF(Sync!$W1644="",0,Sync!$W1644))</f>
        <v/>
      </c>
      <c r="AO1644">
        <f>IF($AE1644="","",IF(Sync!$X1644="",0,Sync!$X1644))</f>
        <v/>
      </c>
      <c r="AP1644">
        <f>IF($AE1644="","",Sync!$R1644)</f>
        <v/>
      </c>
      <c r="AQ1644">
        <f>IF($AE1644="","",Sync!$Y1644)</f>
        <v/>
      </c>
    </row>
    <row r="1645">
      <c r="A1645">
        <f>IF(OR(Wages!$B1648="",Wages!$E1648=""),"",Wages!$E1648)</f>
        <v/>
      </c>
      <c r="B1645">
        <f>IF($A1645="","",IF(Wages!$C1648="دستمزد گروهی",2,1))</f>
        <v/>
      </c>
      <c r="C1645">
        <f>IF($A1645="","",IF(ISNUMBER(Wages!$B1648),IF(AND(Wages!$B1648&gt;=10000101,Wages!$B1648&lt;=99991231),INT(Wages!$B1648/10000),""),IFERROR(VALUE(TRIM(LEFT(Wages!$B1648,FIND("/",Wages!$B1648)-1))),"")))</f>
        <v/>
      </c>
      <c r="D1645">
        <f>IF(OR($A1645="",$C1645=""),"",IF(ISNUMBER(Wages!$B1648),INT(MOD(Wages!$B1648,10000)/100),IFERROR(VALUE(TRIM(LEFT(MID(Wages!$B1648,FIND("/",Wages!$B1648)+1,20),FIND("/",MID(Wages!$B1648,FIND("/",Wages!$B1648)+1,20))-1))),"")))</f>
        <v/>
      </c>
      <c r="E1645">
        <f>IF(OR($A1645="",$C1645=""),"",IF(ISNUMBER(Wages!$B1648),MOD(Wages!$B1648,100),IFERROR(VALUE(TRIM(MID(MID(Wages!$B1648,FIND("/",Wages!$B1648)+1,20),FIND("/",MID(Wages!$B1648,FIND("/",Wages!$B1648)+1,20))+1,20))),"")))</f>
        <v/>
      </c>
      <c r="F1645">
        <f>IF($A1645="","",IF(OR($C1645="",$D1645="",$E1645="",$C1645&lt;1300,$C1645&gt;1500,$D1645&lt;1,$D1645&gt;12,$E1645&lt;1,$E1645&gt;31),"نامعتبر",RIGHT("0000"&amp;$C1645,4)&amp;"/"&amp;RIGHT("00"&amp;$D1645,2)&amp;"/"&amp;RIGHT("00"&amp;$E1645,2)))</f>
        <v/>
      </c>
      <c r="G1645">
        <f>IF(OR($A1645="",$F1645="",$F1645="نامعتبر"),"",LEFT($F1645,4)&amp;MID($F1645,6,2)&amp;RIGHT($F1645,2)&amp;"0000"&amp;"|"&amp;"1"&amp;RIGHT("00000"&amp;1640,5))</f>
        <v/>
      </c>
      <c r="H1645">
        <f>IF(OR($B1645&lt;&gt;1,$G1645=""),"",COUNTIFS(LdAParty,$A1645,LdAType,1,LdAKey,"&lt;"&amp;$G1645)+COUNTIFS(LdBMember,$A1645,LdBKey,"&lt;"&amp;$G1645)+COUNTIFS(LdCParty,$A1645,LdCKey,"&lt;"&amp;$G1645)+1)</f>
        <v/>
      </c>
      <c r="I1645">
        <f>IF($H1645="","",$A1645&amp;"|"&amp;RIGHT("000000"&amp;$H1645,6))</f>
        <v/>
      </c>
      <c r="J1645">
        <f>IF(OR($B1645&lt;&gt;2,$G1645=""),"",COUNTIFS(LdAParty,$A1645,LdAType,2,LdAKey,"&lt;"&amp;$G1645)+1)</f>
        <v/>
      </c>
      <c r="K1645">
        <f>IF($J1645="","",$A1645&amp;"|"&amp;RIGHT("000000"&amp;$J1645,6))</f>
        <v/>
      </c>
      <c r="L1645">
        <f>IF($A1645="","",IF(Wages!$G1648="",0,Wages!$G1648))</f>
        <v/>
      </c>
      <c r="M1645">
        <f>IF($A1645="","",Wages!$J1648)</f>
        <v/>
      </c>
      <c r="N1645">
        <f>IF($A1645="","",Wages!$D1648)</f>
        <v/>
      </c>
      <c r="P1645">
        <f>IF(OR(Shares!$B1648="",Shares!$C1648=""),"",Shares!$C1648)</f>
        <v/>
      </c>
      <c r="Q1645">
        <f>IF($P1645="","",Shares!$B1648)</f>
        <v/>
      </c>
      <c r="R1645">
        <f>IF($P1645="","",IFERROR(INDEX(WageParty,MATCH($Q1645,WageIds,0)),""))</f>
        <v/>
      </c>
      <c r="S1645">
        <f>IF($P1645="","",IFERROR(INDEX($F$6:$F$2005,MATCH($Q1645,WageIds,0)),""))</f>
        <v/>
      </c>
      <c r="T1645">
        <f>IF(OR($P1645="",$S1645="",$S1645="نامعتبر"),"",LEFT($S1645,4)&amp;MID($S1645,6,2)&amp;RIGHT($S1645,2)&amp;"0000"&amp;"|"&amp;"2"&amp;RIGHT("00000"&amp;1640,5))</f>
        <v/>
      </c>
      <c r="U1645">
        <f>IF($T1645="","",COUNTIFS(LdAParty,$P1645,LdAType,1,LdAKey,"&lt;"&amp;$T1645)+COUNTIFS(LdBMember,$P1645,LdBKey,"&lt;"&amp;$T1645)+COUNTIFS(LdCParty,$P1645,LdCKey,"&lt;"&amp;$T1645)+1)</f>
        <v/>
      </c>
      <c r="V1645">
        <f>IF($U1645="","",$P1645&amp;"|"&amp;RIGHT("000000"&amp;$U1645,6))</f>
        <v/>
      </c>
      <c r="W1645">
        <f>IF($T1645="","",COUNTIFS(LdBGroup,$R1645,LdBKey,"&lt;"&amp;$T1645)+1)</f>
        <v/>
      </c>
      <c r="X1645">
        <f>IF($W1645="","",$R1645&amp;"|"&amp;RIGHT("000000"&amp;$W1645,6))</f>
        <v/>
      </c>
      <c r="Y1645">
        <f>IF($P1645="","",IF(Shares!$E1648="",0,Shares!$E1648))</f>
        <v/>
      </c>
      <c r="Z1645">
        <f>IF($P1645="","",Shares!$H1648)</f>
        <v/>
      </c>
      <c r="AE1645">
        <f>IF(OR(Sync!$S1645="",Sync!$P1645=""),"",Sync!$S1645)</f>
        <v/>
      </c>
      <c r="AF1645">
        <f>IF($AE1645="","",IF(ISNUMBER(Sync!$P1645),IF(AND(Sync!$P1645&gt;=10000101,Sync!$P1645&lt;=99991231),INT(Sync!$P1645/10000),""),IFERROR(VALUE(TRIM(LEFT(Sync!$P1645,FIND("/",Sync!$P1645)-1))),"")))</f>
        <v/>
      </c>
      <c r="AG1645">
        <f>IF(OR($AE1645="",$AF1645=""),"",IF(ISNUMBER(Sync!$P1645),INT(MOD(Sync!$P1645,10000)/100),IFERROR(VALUE(TRIM(LEFT(MID(Sync!$P1645,FIND("/",Sync!$P1645)+1,20),FIND("/",MID(Sync!$P1645,FIND("/",Sync!$P1645)+1,20))-1))),"")))</f>
        <v/>
      </c>
      <c r="AH1645">
        <f>IF(OR($AE1645="",$AF1645=""),"",IF(ISNUMBER(Sync!$P1645),MOD(Sync!$P1645,100),IFERROR(VALUE(TRIM(MID(MID(Sync!$P1645,FIND("/",Sync!$P1645)+1,20),FIND("/",MID(Sync!$P1645,FIND("/",Sync!$P1645)+1,20))+1,20))),"")))</f>
        <v/>
      </c>
      <c r="AI1645">
        <f>IF($AE1645="","",IF(OR($AF1645="",$AG1645="",$AH1645="",$AF1645&lt;1300,$AF1645&gt;1500,$AG1645&lt;1,$AG1645&gt;12,$AH1645&lt;1,$AH1645&gt;31),"نامعتبر",RIGHT("0000"&amp;$AF1645,4)&amp;"/"&amp;RIGHT("00"&amp;$AG1645,2)&amp;"/"&amp;RIGHT("00"&amp;$AH1645,2)))</f>
        <v/>
      </c>
      <c r="AJ1645">
        <f>IF($AE1645="","",IF(Sync!$Q1645="","0000",IF(AND(ISNUMBER(Sync!$Q1645),Sync!$Q1645&gt;=0,Sync!$Q1645&lt;1),RIGHT("00"&amp;HOUR(Sync!$Q1645),2)&amp;RIGHT("00"&amp;MINUTE(Sync!$Q1645),2),IFERROR(RIGHT("00"&amp;VALUE(LEFT(Sync!$Q1645,FIND(":",Sync!$Q1645)-1)),2)&amp;RIGHT("00"&amp;VALUE(MID(Sync!$Q1645,FIND(":",Sync!$Q1645)+1,2)),2),"0000"))))</f>
        <v/>
      </c>
      <c r="AK1645">
        <f>IF(OR($AE1645="",$AI1645="",$AI1645="نامعتبر"),"",LEFT($AI1645,4)&amp;MID($AI1645,6,2)&amp;RIGHT($AI1645,2)&amp;$AJ1645&amp;"|"&amp;"3"&amp;RIGHT("00000"&amp;1640,5))</f>
        <v/>
      </c>
      <c r="AL1645">
        <f>IF($AK1645="","",COUNTIFS(LdAParty,$AE1645,LdAType,1,LdAKey,"&lt;"&amp;$AK1645)+COUNTIFS(LdBMember,$AE1645,LdBKey,"&lt;"&amp;$AK1645)+COUNTIFS(LdCParty,$AE1645,LdCKey,"&lt;"&amp;$AK1645)+1)</f>
        <v/>
      </c>
      <c r="AM1645">
        <f>IF($AL1645="","",$AE1645&amp;"|"&amp;RIGHT("000000"&amp;$AL1645,6))</f>
        <v/>
      </c>
      <c r="AN1645">
        <f>IF($AE1645="","",IF(Sync!$W1645="",0,Sync!$W1645))</f>
        <v/>
      </c>
      <c r="AO1645">
        <f>IF($AE1645="","",IF(Sync!$X1645="",0,Sync!$X1645))</f>
        <v/>
      </c>
      <c r="AP1645">
        <f>IF($AE1645="","",Sync!$R1645)</f>
        <v/>
      </c>
      <c r="AQ1645">
        <f>IF($AE1645="","",Sync!$Y1645)</f>
        <v/>
      </c>
    </row>
    <row r="1646">
      <c r="A1646">
        <f>IF(OR(Wages!$B1649="",Wages!$E1649=""),"",Wages!$E1649)</f>
        <v/>
      </c>
      <c r="B1646">
        <f>IF($A1646="","",IF(Wages!$C1649="دستمزد گروهی",2,1))</f>
        <v/>
      </c>
      <c r="C1646">
        <f>IF($A1646="","",IF(ISNUMBER(Wages!$B1649),IF(AND(Wages!$B1649&gt;=10000101,Wages!$B1649&lt;=99991231),INT(Wages!$B1649/10000),""),IFERROR(VALUE(TRIM(LEFT(Wages!$B1649,FIND("/",Wages!$B1649)-1))),"")))</f>
        <v/>
      </c>
      <c r="D1646">
        <f>IF(OR($A1646="",$C1646=""),"",IF(ISNUMBER(Wages!$B1649),INT(MOD(Wages!$B1649,10000)/100),IFERROR(VALUE(TRIM(LEFT(MID(Wages!$B1649,FIND("/",Wages!$B1649)+1,20),FIND("/",MID(Wages!$B1649,FIND("/",Wages!$B1649)+1,20))-1))),"")))</f>
        <v/>
      </c>
      <c r="E1646">
        <f>IF(OR($A1646="",$C1646=""),"",IF(ISNUMBER(Wages!$B1649),MOD(Wages!$B1649,100),IFERROR(VALUE(TRIM(MID(MID(Wages!$B1649,FIND("/",Wages!$B1649)+1,20),FIND("/",MID(Wages!$B1649,FIND("/",Wages!$B1649)+1,20))+1,20))),"")))</f>
        <v/>
      </c>
      <c r="F1646">
        <f>IF($A1646="","",IF(OR($C1646="",$D1646="",$E1646="",$C1646&lt;1300,$C1646&gt;1500,$D1646&lt;1,$D1646&gt;12,$E1646&lt;1,$E1646&gt;31),"نامعتبر",RIGHT("0000"&amp;$C1646,4)&amp;"/"&amp;RIGHT("00"&amp;$D1646,2)&amp;"/"&amp;RIGHT("00"&amp;$E1646,2)))</f>
        <v/>
      </c>
      <c r="G1646">
        <f>IF(OR($A1646="",$F1646="",$F1646="نامعتبر"),"",LEFT($F1646,4)&amp;MID($F1646,6,2)&amp;RIGHT($F1646,2)&amp;"0000"&amp;"|"&amp;"1"&amp;RIGHT("00000"&amp;1641,5))</f>
        <v/>
      </c>
      <c r="H1646">
        <f>IF(OR($B1646&lt;&gt;1,$G1646=""),"",COUNTIFS(LdAParty,$A1646,LdAType,1,LdAKey,"&lt;"&amp;$G1646)+COUNTIFS(LdBMember,$A1646,LdBKey,"&lt;"&amp;$G1646)+COUNTIFS(LdCParty,$A1646,LdCKey,"&lt;"&amp;$G1646)+1)</f>
        <v/>
      </c>
      <c r="I1646">
        <f>IF($H1646="","",$A1646&amp;"|"&amp;RIGHT("000000"&amp;$H1646,6))</f>
        <v/>
      </c>
      <c r="J1646">
        <f>IF(OR($B1646&lt;&gt;2,$G1646=""),"",COUNTIFS(LdAParty,$A1646,LdAType,2,LdAKey,"&lt;"&amp;$G1646)+1)</f>
        <v/>
      </c>
      <c r="K1646">
        <f>IF($J1646="","",$A1646&amp;"|"&amp;RIGHT("000000"&amp;$J1646,6))</f>
        <v/>
      </c>
      <c r="L1646">
        <f>IF($A1646="","",IF(Wages!$G1649="",0,Wages!$G1649))</f>
        <v/>
      </c>
      <c r="M1646">
        <f>IF($A1646="","",Wages!$J1649)</f>
        <v/>
      </c>
      <c r="N1646">
        <f>IF($A1646="","",Wages!$D1649)</f>
        <v/>
      </c>
      <c r="P1646">
        <f>IF(OR(Shares!$B1649="",Shares!$C1649=""),"",Shares!$C1649)</f>
        <v/>
      </c>
      <c r="Q1646">
        <f>IF($P1646="","",Shares!$B1649)</f>
        <v/>
      </c>
      <c r="R1646">
        <f>IF($P1646="","",IFERROR(INDEX(WageParty,MATCH($Q1646,WageIds,0)),""))</f>
        <v/>
      </c>
      <c r="S1646">
        <f>IF($P1646="","",IFERROR(INDEX($F$6:$F$2005,MATCH($Q1646,WageIds,0)),""))</f>
        <v/>
      </c>
      <c r="T1646">
        <f>IF(OR($P1646="",$S1646="",$S1646="نامعتبر"),"",LEFT($S1646,4)&amp;MID($S1646,6,2)&amp;RIGHT($S1646,2)&amp;"0000"&amp;"|"&amp;"2"&amp;RIGHT("00000"&amp;1641,5))</f>
        <v/>
      </c>
      <c r="U1646">
        <f>IF($T1646="","",COUNTIFS(LdAParty,$P1646,LdAType,1,LdAKey,"&lt;"&amp;$T1646)+COUNTIFS(LdBMember,$P1646,LdBKey,"&lt;"&amp;$T1646)+COUNTIFS(LdCParty,$P1646,LdCKey,"&lt;"&amp;$T1646)+1)</f>
        <v/>
      </c>
      <c r="V1646">
        <f>IF($U1646="","",$P1646&amp;"|"&amp;RIGHT("000000"&amp;$U1646,6))</f>
        <v/>
      </c>
      <c r="W1646">
        <f>IF($T1646="","",COUNTIFS(LdBGroup,$R1646,LdBKey,"&lt;"&amp;$T1646)+1)</f>
        <v/>
      </c>
      <c r="X1646">
        <f>IF($W1646="","",$R1646&amp;"|"&amp;RIGHT("000000"&amp;$W1646,6))</f>
        <v/>
      </c>
      <c r="Y1646">
        <f>IF($P1646="","",IF(Shares!$E1649="",0,Shares!$E1649))</f>
        <v/>
      </c>
      <c r="Z1646">
        <f>IF($P1646="","",Shares!$H1649)</f>
        <v/>
      </c>
      <c r="AE1646">
        <f>IF(OR(Sync!$S1646="",Sync!$P1646=""),"",Sync!$S1646)</f>
        <v/>
      </c>
      <c r="AF1646">
        <f>IF($AE1646="","",IF(ISNUMBER(Sync!$P1646),IF(AND(Sync!$P1646&gt;=10000101,Sync!$P1646&lt;=99991231),INT(Sync!$P1646/10000),""),IFERROR(VALUE(TRIM(LEFT(Sync!$P1646,FIND("/",Sync!$P1646)-1))),"")))</f>
        <v/>
      </c>
      <c r="AG1646">
        <f>IF(OR($AE1646="",$AF1646=""),"",IF(ISNUMBER(Sync!$P1646),INT(MOD(Sync!$P1646,10000)/100),IFERROR(VALUE(TRIM(LEFT(MID(Sync!$P1646,FIND("/",Sync!$P1646)+1,20),FIND("/",MID(Sync!$P1646,FIND("/",Sync!$P1646)+1,20))-1))),"")))</f>
        <v/>
      </c>
      <c r="AH1646">
        <f>IF(OR($AE1646="",$AF1646=""),"",IF(ISNUMBER(Sync!$P1646),MOD(Sync!$P1646,100),IFERROR(VALUE(TRIM(MID(MID(Sync!$P1646,FIND("/",Sync!$P1646)+1,20),FIND("/",MID(Sync!$P1646,FIND("/",Sync!$P1646)+1,20))+1,20))),"")))</f>
        <v/>
      </c>
      <c r="AI1646">
        <f>IF($AE1646="","",IF(OR($AF1646="",$AG1646="",$AH1646="",$AF1646&lt;1300,$AF1646&gt;1500,$AG1646&lt;1,$AG1646&gt;12,$AH1646&lt;1,$AH1646&gt;31),"نامعتبر",RIGHT("0000"&amp;$AF1646,4)&amp;"/"&amp;RIGHT("00"&amp;$AG1646,2)&amp;"/"&amp;RIGHT("00"&amp;$AH1646,2)))</f>
        <v/>
      </c>
      <c r="AJ1646">
        <f>IF($AE1646="","",IF(Sync!$Q1646="","0000",IF(AND(ISNUMBER(Sync!$Q1646),Sync!$Q1646&gt;=0,Sync!$Q1646&lt;1),RIGHT("00"&amp;HOUR(Sync!$Q1646),2)&amp;RIGHT("00"&amp;MINUTE(Sync!$Q1646),2),IFERROR(RIGHT("00"&amp;VALUE(LEFT(Sync!$Q1646,FIND(":",Sync!$Q1646)-1)),2)&amp;RIGHT("00"&amp;VALUE(MID(Sync!$Q1646,FIND(":",Sync!$Q1646)+1,2)),2),"0000"))))</f>
        <v/>
      </c>
      <c r="AK1646">
        <f>IF(OR($AE1646="",$AI1646="",$AI1646="نامعتبر"),"",LEFT($AI1646,4)&amp;MID($AI1646,6,2)&amp;RIGHT($AI1646,2)&amp;$AJ1646&amp;"|"&amp;"3"&amp;RIGHT("00000"&amp;1641,5))</f>
        <v/>
      </c>
      <c r="AL1646">
        <f>IF($AK1646="","",COUNTIFS(LdAParty,$AE1646,LdAType,1,LdAKey,"&lt;"&amp;$AK1646)+COUNTIFS(LdBMember,$AE1646,LdBKey,"&lt;"&amp;$AK1646)+COUNTIFS(LdCParty,$AE1646,LdCKey,"&lt;"&amp;$AK1646)+1)</f>
        <v/>
      </c>
      <c r="AM1646">
        <f>IF($AL1646="","",$AE1646&amp;"|"&amp;RIGHT("000000"&amp;$AL1646,6))</f>
        <v/>
      </c>
      <c r="AN1646">
        <f>IF($AE1646="","",IF(Sync!$W1646="",0,Sync!$W1646))</f>
        <v/>
      </c>
      <c r="AO1646">
        <f>IF($AE1646="","",IF(Sync!$X1646="",0,Sync!$X1646))</f>
        <v/>
      </c>
      <c r="AP1646">
        <f>IF($AE1646="","",Sync!$R1646)</f>
        <v/>
      </c>
      <c r="AQ1646">
        <f>IF($AE1646="","",Sync!$Y1646)</f>
        <v/>
      </c>
    </row>
    <row r="1647">
      <c r="A1647">
        <f>IF(OR(Wages!$B1650="",Wages!$E1650=""),"",Wages!$E1650)</f>
        <v/>
      </c>
      <c r="B1647">
        <f>IF($A1647="","",IF(Wages!$C1650="دستمزد گروهی",2,1))</f>
        <v/>
      </c>
      <c r="C1647">
        <f>IF($A1647="","",IF(ISNUMBER(Wages!$B1650),IF(AND(Wages!$B1650&gt;=10000101,Wages!$B1650&lt;=99991231),INT(Wages!$B1650/10000),""),IFERROR(VALUE(TRIM(LEFT(Wages!$B1650,FIND("/",Wages!$B1650)-1))),"")))</f>
        <v/>
      </c>
      <c r="D1647">
        <f>IF(OR($A1647="",$C1647=""),"",IF(ISNUMBER(Wages!$B1650),INT(MOD(Wages!$B1650,10000)/100),IFERROR(VALUE(TRIM(LEFT(MID(Wages!$B1650,FIND("/",Wages!$B1650)+1,20),FIND("/",MID(Wages!$B1650,FIND("/",Wages!$B1650)+1,20))-1))),"")))</f>
        <v/>
      </c>
      <c r="E1647">
        <f>IF(OR($A1647="",$C1647=""),"",IF(ISNUMBER(Wages!$B1650),MOD(Wages!$B1650,100),IFERROR(VALUE(TRIM(MID(MID(Wages!$B1650,FIND("/",Wages!$B1650)+1,20),FIND("/",MID(Wages!$B1650,FIND("/",Wages!$B1650)+1,20))+1,20))),"")))</f>
        <v/>
      </c>
      <c r="F1647">
        <f>IF($A1647="","",IF(OR($C1647="",$D1647="",$E1647="",$C1647&lt;1300,$C1647&gt;1500,$D1647&lt;1,$D1647&gt;12,$E1647&lt;1,$E1647&gt;31),"نامعتبر",RIGHT("0000"&amp;$C1647,4)&amp;"/"&amp;RIGHT("00"&amp;$D1647,2)&amp;"/"&amp;RIGHT("00"&amp;$E1647,2)))</f>
        <v/>
      </c>
      <c r="G1647">
        <f>IF(OR($A1647="",$F1647="",$F1647="نامعتبر"),"",LEFT($F1647,4)&amp;MID($F1647,6,2)&amp;RIGHT($F1647,2)&amp;"0000"&amp;"|"&amp;"1"&amp;RIGHT("00000"&amp;1642,5))</f>
        <v/>
      </c>
      <c r="H1647">
        <f>IF(OR($B1647&lt;&gt;1,$G1647=""),"",COUNTIFS(LdAParty,$A1647,LdAType,1,LdAKey,"&lt;"&amp;$G1647)+COUNTIFS(LdBMember,$A1647,LdBKey,"&lt;"&amp;$G1647)+COUNTIFS(LdCParty,$A1647,LdCKey,"&lt;"&amp;$G1647)+1)</f>
        <v/>
      </c>
      <c r="I1647">
        <f>IF($H1647="","",$A1647&amp;"|"&amp;RIGHT("000000"&amp;$H1647,6))</f>
        <v/>
      </c>
      <c r="J1647">
        <f>IF(OR($B1647&lt;&gt;2,$G1647=""),"",COUNTIFS(LdAParty,$A1647,LdAType,2,LdAKey,"&lt;"&amp;$G1647)+1)</f>
        <v/>
      </c>
      <c r="K1647">
        <f>IF($J1647="","",$A1647&amp;"|"&amp;RIGHT("000000"&amp;$J1647,6))</f>
        <v/>
      </c>
      <c r="L1647">
        <f>IF($A1647="","",IF(Wages!$G1650="",0,Wages!$G1650))</f>
        <v/>
      </c>
      <c r="M1647">
        <f>IF($A1647="","",Wages!$J1650)</f>
        <v/>
      </c>
      <c r="N1647">
        <f>IF($A1647="","",Wages!$D1650)</f>
        <v/>
      </c>
      <c r="P1647">
        <f>IF(OR(Shares!$B1650="",Shares!$C1650=""),"",Shares!$C1650)</f>
        <v/>
      </c>
      <c r="Q1647">
        <f>IF($P1647="","",Shares!$B1650)</f>
        <v/>
      </c>
      <c r="R1647">
        <f>IF($P1647="","",IFERROR(INDEX(WageParty,MATCH($Q1647,WageIds,0)),""))</f>
        <v/>
      </c>
      <c r="S1647">
        <f>IF($P1647="","",IFERROR(INDEX($F$6:$F$2005,MATCH($Q1647,WageIds,0)),""))</f>
        <v/>
      </c>
      <c r="T1647">
        <f>IF(OR($P1647="",$S1647="",$S1647="نامعتبر"),"",LEFT($S1647,4)&amp;MID($S1647,6,2)&amp;RIGHT($S1647,2)&amp;"0000"&amp;"|"&amp;"2"&amp;RIGHT("00000"&amp;1642,5))</f>
        <v/>
      </c>
      <c r="U1647">
        <f>IF($T1647="","",COUNTIFS(LdAParty,$P1647,LdAType,1,LdAKey,"&lt;"&amp;$T1647)+COUNTIFS(LdBMember,$P1647,LdBKey,"&lt;"&amp;$T1647)+COUNTIFS(LdCParty,$P1647,LdCKey,"&lt;"&amp;$T1647)+1)</f>
        <v/>
      </c>
      <c r="V1647">
        <f>IF($U1647="","",$P1647&amp;"|"&amp;RIGHT("000000"&amp;$U1647,6))</f>
        <v/>
      </c>
      <c r="W1647">
        <f>IF($T1647="","",COUNTIFS(LdBGroup,$R1647,LdBKey,"&lt;"&amp;$T1647)+1)</f>
        <v/>
      </c>
      <c r="X1647">
        <f>IF($W1647="","",$R1647&amp;"|"&amp;RIGHT("000000"&amp;$W1647,6))</f>
        <v/>
      </c>
      <c r="Y1647">
        <f>IF($P1647="","",IF(Shares!$E1650="",0,Shares!$E1650))</f>
        <v/>
      </c>
      <c r="Z1647">
        <f>IF($P1647="","",Shares!$H1650)</f>
        <v/>
      </c>
      <c r="AE1647">
        <f>IF(OR(Sync!$S1647="",Sync!$P1647=""),"",Sync!$S1647)</f>
        <v/>
      </c>
      <c r="AF1647">
        <f>IF($AE1647="","",IF(ISNUMBER(Sync!$P1647),IF(AND(Sync!$P1647&gt;=10000101,Sync!$P1647&lt;=99991231),INT(Sync!$P1647/10000),""),IFERROR(VALUE(TRIM(LEFT(Sync!$P1647,FIND("/",Sync!$P1647)-1))),"")))</f>
        <v/>
      </c>
      <c r="AG1647">
        <f>IF(OR($AE1647="",$AF1647=""),"",IF(ISNUMBER(Sync!$P1647),INT(MOD(Sync!$P1647,10000)/100),IFERROR(VALUE(TRIM(LEFT(MID(Sync!$P1647,FIND("/",Sync!$P1647)+1,20),FIND("/",MID(Sync!$P1647,FIND("/",Sync!$P1647)+1,20))-1))),"")))</f>
        <v/>
      </c>
      <c r="AH1647">
        <f>IF(OR($AE1647="",$AF1647=""),"",IF(ISNUMBER(Sync!$P1647),MOD(Sync!$P1647,100),IFERROR(VALUE(TRIM(MID(MID(Sync!$P1647,FIND("/",Sync!$P1647)+1,20),FIND("/",MID(Sync!$P1647,FIND("/",Sync!$P1647)+1,20))+1,20))),"")))</f>
        <v/>
      </c>
      <c r="AI1647">
        <f>IF($AE1647="","",IF(OR($AF1647="",$AG1647="",$AH1647="",$AF1647&lt;1300,$AF1647&gt;1500,$AG1647&lt;1,$AG1647&gt;12,$AH1647&lt;1,$AH1647&gt;31),"نامعتبر",RIGHT("0000"&amp;$AF1647,4)&amp;"/"&amp;RIGHT("00"&amp;$AG1647,2)&amp;"/"&amp;RIGHT("00"&amp;$AH1647,2)))</f>
        <v/>
      </c>
      <c r="AJ1647">
        <f>IF($AE1647="","",IF(Sync!$Q1647="","0000",IF(AND(ISNUMBER(Sync!$Q1647),Sync!$Q1647&gt;=0,Sync!$Q1647&lt;1),RIGHT("00"&amp;HOUR(Sync!$Q1647),2)&amp;RIGHT("00"&amp;MINUTE(Sync!$Q1647),2),IFERROR(RIGHT("00"&amp;VALUE(LEFT(Sync!$Q1647,FIND(":",Sync!$Q1647)-1)),2)&amp;RIGHT("00"&amp;VALUE(MID(Sync!$Q1647,FIND(":",Sync!$Q1647)+1,2)),2),"0000"))))</f>
        <v/>
      </c>
      <c r="AK1647">
        <f>IF(OR($AE1647="",$AI1647="",$AI1647="نامعتبر"),"",LEFT($AI1647,4)&amp;MID($AI1647,6,2)&amp;RIGHT($AI1647,2)&amp;$AJ1647&amp;"|"&amp;"3"&amp;RIGHT("00000"&amp;1642,5))</f>
        <v/>
      </c>
      <c r="AL1647">
        <f>IF($AK1647="","",COUNTIFS(LdAParty,$AE1647,LdAType,1,LdAKey,"&lt;"&amp;$AK1647)+COUNTIFS(LdBMember,$AE1647,LdBKey,"&lt;"&amp;$AK1647)+COUNTIFS(LdCParty,$AE1647,LdCKey,"&lt;"&amp;$AK1647)+1)</f>
        <v/>
      </c>
      <c r="AM1647">
        <f>IF($AL1647="","",$AE1647&amp;"|"&amp;RIGHT("000000"&amp;$AL1647,6))</f>
        <v/>
      </c>
      <c r="AN1647">
        <f>IF($AE1647="","",IF(Sync!$W1647="",0,Sync!$W1647))</f>
        <v/>
      </c>
      <c r="AO1647">
        <f>IF($AE1647="","",IF(Sync!$X1647="",0,Sync!$X1647))</f>
        <v/>
      </c>
      <c r="AP1647">
        <f>IF($AE1647="","",Sync!$R1647)</f>
        <v/>
      </c>
      <c r="AQ1647">
        <f>IF($AE1647="","",Sync!$Y1647)</f>
        <v/>
      </c>
    </row>
    <row r="1648">
      <c r="A1648">
        <f>IF(OR(Wages!$B1651="",Wages!$E1651=""),"",Wages!$E1651)</f>
        <v/>
      </c>
      <c r="B1648">
        <f>IF($A1648="","",IF(Wages!$C1651="دستمزد گروهی",2,1))</f>
        <v/>
      </c>
      <c r="C1648">
        <f>IF($A1648="","",IF(ISNUMBER(Wages!$B1651),IF(AND(Wages!$B1651&gt;=10000101,Wages!$B1651&lt;=99991231),INT(Wages!$B1651/10000),""),IFERROR(VALUE(TRIM(LEFT(Wages!$B1651,FIND("/",Wages!$B1651)-1))),"")))</f>
        <v/>
      </c>
      <c r="D1648">
        <f>IF(OR($A1648="",$C1648=""),"",IF(ISNUMBER(Wages!$B1651),INT(MOD(Wages!$B1651,10000)/100),IFERROR(VALUE(TRIM(LEFT(MID(Wages!$B1651,FIND("/",Wages!$B1651)+1,20),FIND("/",MID(Wages!$B1651,FIND("/",Wages!$B1651)+1,20))-1))),"")))</f>
        <v/>
      </c>
      <c r="E1648">
        <f>IF(OR($A1648="",$C1648=""),"",IF(ISNUMBER(Wages!$B1651),MOD(Wages!$B1651,100),IFERROR(VALUE(TRIM(MID(MID(Wages!$B1651,FIND("/",Wages!$B1651)+1,20),FIND("/",MID(Wages!$B1651,FIND("/",Wages!$B1651)+1,20))+1,20))),"")))</f>
        <v/>
      </c>
      <c r="F1648">
        <f>IF($A1648="","",IF(OR($C1648="",$D1648="",$E1648="",$C1648&lt;1300,$C1648&gt;1500,$D1648&lt;1,$D1648&gt;12,$E1648&lt;1,$E1648&gt;31),"نامعتبر",RIGHT("0000"&amp;$C1648,4)&amp;"/"&amp;RIGHT("00"&amp;$D1648,2)&amp;"/"&amp;RIGHT("00"&amp;$E1648,2)))</f>
        <v/>
      </c>
      <c r="G1648">
        <f>IF(OR($A1648="",$F1648="",$F1648="نامعتبر"),"",LEFT($F1648,4)&amp;MID($F1648,6,2)&amp;RIGHT($F1648,2)&amp;"0000"&amp;"|"&amp;"1"&amp;RIGHT("00000"&amp;1643,5))</f>
        <v/>
      </c>
      <c r="H1648">
        <f>IF(OR($B1648&lt;&gt;1,$G1648=""),"",COUNTIFS(LdAParty,$A1648,LdAType,1,LdAKey,"&lt;"&amp;$G1648)+COUNTIFS(LdBMember,$A1648,LdBKey,"&lt;"&amp;$G1648)+COUNTIFS(LdCParty,$A1648,LdCKey,"&lt;"&amp;$G1648)+1)</f>
        <v/>
      </c>
      <c r="I1648">
        <f>IF($H1648="","",$A1648&amp;"|"&amp;RIGHT("000000"&amp;$H1648,6))</f>
        <v/>
      </c>
      <c r="J1648">
        <f>IF(OR($B1648&lt;&gt;2,$G1648=""),"",COUNTIFS(LdAParty,$A1648,LdAType,2,LdAKey,"&lt;"&amp;$G1648)+1)</f>
        <v/>
      </c>
      <c r="K1648">
        <f>IF($J1648="","",$A1648&amp;"|"&amp;RIGHT("000000"&amp;$J1648,6))</f>
        <v/>
      </c>
      <c r="L1648">
        <f>IF($A1648="","",IF(Wages!$G1651="",0,Wages!$G1651))</f>
        <v/>
      </c>
      <c r="M1648">
        <f>IF($A1648="","",Wages!$J1651)</f>
        <v/>
      </c>
      <c r="N1648">
        <f>IF($A1648="","",Wages!$D1651)</f>
        <v/>
      </c>
      <c r="P1648">
        <f>IF(OR(Shares!$B1651="",Shares!$C1651=""),"",Shares!$C1651)</f>
        <v/>
      </c>
      <c r="Q1648">
        <f>IF($P1648="","",Shares!$B1651)</f>
        <v/>
      </c>
      <c r="R1648">
        <f>IF($P1648="","",IFERROR(INDEX(WageParty,MATCH($Q1648,WageIds,0)),""))</f>
        <v/>
      </c>
      <c r="S1648">
        <f>IF($P1648="","",IFERROR(INDEX($F$6:$F$2005,MATCH($Q1648,WageIds,0)),""))</f>
        <v/>
      </c>
      <c r="T1648">
        <f>IF(OR($P1648="",$S1648="",$S1648="نامعتبر"),"",LEFT($S1648,4)&amp;MID($S1648,6,2)&amp;RIGHT($S1648,2)&amp;"0000"&amp;"|"&amp;"2"&amp;RIGHT("00000"&amp;1643,5))</f>
        <v/>
      </c>
      <c r="U1648">
        <f>IF($T1648="","",COUNTIFS(LdAParty,$P1648,LdAType,1,LdAKey,"&lt;"&amp;$T1648)+COUNTIFS(LdBMember,$P1648,LdBKey,"&lt;"&amp;$T1648)+COUNTIFS(LdCParty,$P1648,LdCKey,"&lt;"&amp;$T1648)+1)</f>
        <v/>
      </c>
      <c r="V1648">
        <f>IF($U1648="","",$P1648&amp;"|"&amp;RIGHT("000000"&amp;$U1648,6))</f>
        <v/>
      </c>
      <c r="W1648">
        <f>IF($T1648="","",COUNTIFS(LdBGroup,$R1648,LdBKey,"&lt;"&amp;$T1648)+1)</f>
        <v/>
      </c>
      <c r="X1648">
        <f>IF($W1648="","",$R1648&amp;"|"&amp;RIGHT("000000"&amp;$W1648,6))</f>
        <v/>
      </c>
      <c r="Y1648">
        <f>IF($P1648="","",IF(Shares!$E1651="",0,Shares!$E1651))</f>
        <v/>
      </c>
      <c r="Z1648">
        <f>IF($P1648="","",Shares!$H1651)</f>
        <v/>
      </c>
      <c r="AE1648">
        <f>IF(OR(Sync!$S1648="",Sync!$P1648=""),"",Sync!$S1648)</f>
        <v/>
      </c>
      <c r="AF1648">
        <f>IF($AE1648="","",IF(ISNUMBER(Sync!$P1648),IF(AND(Sync!$P1648&gt;=10000101,Sync!$P1648&lt;=99991231),INT(Sync!$P1648/10000),""),IFERROR(VALUE(TRIM(LEFT(Sync!$P1648,FIND("/",Sync!$P1648)-1))),"")))</f>
        <v/>
      </c>
      <c r="AG1648">
        <f>IF(OR($AE1648="",$AF1648=""),"",IF(ISNUMBER(Sync!$P1648),INT(MOD(Sync!$P1648,10000)/100),IFERROR(VALUE(TRIM(LEFT(MID(Sync!$P1648,FIND("/",Sync!$P1648)+1,20),FIND("/",MID(Sync!$P1648,FIND("/",Sync!$P1648)+1,20))-1))),"")))</f>
        <v/>
      </c>
      <c r="AH1648">
        <f>IF(OR($AE1648="",$AF1648=""),"",IF(ISNUMBER(Sync!$P1648),MOD(Sync!$P1648,100),IFERROR(VALUE(TRIM(MID(MID(Sync!$P1648,FIND("/",Sync!$P1648)+1,20),FIND("/",MID(Sync!$P1648,FIND("/",Sync!$P1648)+1,20))+1,20))),"")))</f>
        <v/>
      </c>
      <c r="AI1648">
        <f>IF($AE1648="","",IF(OR($AF1648="",$AG1648="",$AH1648="",$AF1648&lt;1300,$AF1648&gt;1500,$AG1648&lt;1,$AG1648&gt;12,$AH1648&lt;1,$AH1648&gt;31),"نامعتبر",RIGHT("0000"&amp;$AF1648,4)&amp;"/"&amp;RIGHT("00"&amp;$AG1648,2)&amp;"/"&amp;RIGHT("00"&amp;$AH1648,2)))</f>
        <v/>
      </c>
      <c r="AJ1648">
        <f>IF($AE1648="","",IF(Sync!$Q1648="","0000",IF(AND(ISNUMBER(Sync!$Q1648),Sync!$Q1648&gt;=0,Sync!$Q1648&lt;1),RIGHT("00"&amp;HOUR(Sync!$Q1648),2)&amp;RIGHT("00"&amp;MINUTE(Sync!$Q1648),2),IFERROR(RIGHT("00"&amp;VALUE(LEFT(Sync!$Q1648,FIND(":",Sync!$Q1648)-1)),2)&amp;RIGHT("00"&amp;VALUE(MID(Sync!$Q1648,FIND(":",Sync!$Q1648)+1,2)),2),"0000"))))</f>
        <v/>
      </c>
      <c r="AK1648">
        <f>IF(OR($AE1648="",$AI1648="",$AI1648="نامعتبر"),"",LEFT($AI1648,4)&amp;MID($AI1648,6,2)&amp;RIGHT($AI1648,2)&amp;$AJ1648&amp;"|"&amp;"3"&amp;RIGHT("00000"&amp;1643,5))</f>
        <v/>
      </c>
      <c r="AL1648">
        <f>IF($AK1648="","",COUNTIFS(LdAParty,$AE1648,LdAType,1,LdAKey,"&lt;"&amp;$AK1648)+COUNTIFS(LdBMember,$AE1648,LdBKey,"&lt;"&amp;$AK1648)+COUNTIFS(LdCParty,$AE1648,LdCKey,"&lt;"&amp;$AK1648)+1)</f>
        <v/>
      </c>
      <c r="AM1648">
        <f>IF($AL1648="","",$AE1648&amp;"|"&amp;RIGHT("000000"&amp;$AL1648,6))</f>
        <v/>
      </c>
      <c r="AN1648">
        <f>IF($AE1648="","",IF(Sync!$W1648="",0,Sync!$W1648))</f>
        <v/>
      </c>
      <c r="AO1648">
        <f>IF($AE1648="","",IF(Sync!$X1648="",0,Sync!$X1648))</f>
        <v/>
      </c>
      <c r="AP1648">
        <f>IF($AE1648="","",Sync!$R1648)</f>
        <v/>
      </c>
      <c r="AQ1648">
        <f>IF($AE1648="","",Sync!$Y1648)</f>
        <v/>
      </c>
    </row>
    <row r="1649">
      <c r="A1649">
        <f>IF(OR(Wages!$B1652="",Wages!$E1652=""),"",Wages!$E1652)</f>
        <v/>
      </c>
      <c r="B1649">
        <f>IF($A1649="","",IF(Wages!$C1652="دستمزد گروهی",2,1))</f>
        <v/>
      </c>
      <c r="C1649">
        <f>IF($A1649="","",IF(ISNUMBER(Wages!$B1652),IF(AND(Wages!$B1652&gt;=10000101,Wages!$B1652&lt;=99991231),INT(Wages!$B1652/10000),""),IFERROR(VALUE(TRIM(LEFT(Wages!$B1652,FIND("/",Wages!$B1652)-1))),"")))</f>
        <v/>
      </c>
      <c r="D1649">
        <f>IF(OR($A1649="",$C1649=""),"",IF(ISNUMBER(Wages!$B1652),INT(MOD(Wages!$B1652,10000)/100),IFERROR(VALUE(TRIM(LEFT(MID(Wages!$B1652,FIND("/",Wages!$B1652)+1,20),FIND("/",MID(Wages!$B1652,FIND("/",Wages!$B1652)+1,20))-1))),"")))</f>
        <v/>
      </c>
      <c r="E1649">
        <f>IF(OR($A1649="",$C1649=""),"",IF(ISNUMBER(Wages!$B1652),MOD(Wages!$B1652,100),IFERROR(VALUE(TRIM(MID(MID(Wages!$B1652,FIND("/",Wages!$B1652)+1,20),FIND("/",MID(Wages!$B1652,FIND("/",Wages!$B1652)+1,20))+1,20))),"")))</f>
        <v/>
      </c>
      <c r="F1649">
        <f>IF($A1649="","",IF(OR($C1649="",$D1649="",$E1649="",$C1649&lt;1300,$C1649&gt;1500,$D1649&lt;1,$D1649&gt;12,$E1649&lt;1,$E1649&gt;31),"نامعتبر",RIGHT("0000"&amp;$C1649,4)&amp;"/"&amp;RIGHT("00"&amp;$D1649,2)&amp;"/"&amp;RIGHT("00"&amp;$E1649,2)))</f>
        <v/>
      </c>
      <c r="G1649">
        <f>IF(OR($A1649="",$F1649="",$F1649="نامعتبر"),"",LEFT($F1649,4)&amp;MID($F1649,6,2)&amp;RIGHT($F1649,2)&amp;"0000"&amp;"|"&amp;"1"&amp;RIGHT("00000"&amp;1644,5))</f>
        <v/>
      </c>
      <c r="H1649">
        <f>IF(OR($B1649&lt;&gt;1,$G1649=""),"",COUNTIFS(LdAParty,$A1649,LdAType,1,LdAKey,"&lt;"&amp;$G1649)+COUNTIFS(LdBMember,$A1649,LdBKey,"&lt;"&amp;$G1649)+COUNTIFS(LdCParty,$A1649,LdCKey,"&lt;"&amp;$G1649)+1)</f>
        <v/>
      </c>
      <c r="I1649">
        <f>IF($H1649="","",$A1649&amp;"|"&amp;RIGHT("000000"&amp;$H1649,6))</f>
        <v/>
      </c>
      <c r="J1649">
        <f>IF(OR($B1649&lt;&gt;2,$G1649=""),"",COUNTIFS(LdAParty,$A1649,LdAType,2,LdAKey,"&lt;"&amp;$G1649)+1)</f>
        <v/>
      </c>
      <c r="K1649">
        <f>IF($J1649="","",$A1649&amp;"|"&amp;RIGHT("000000"&amp;$J1649,6))</f>
        <v/>
      </c>
      <c r="L1649">
        <f>IF($A1649="","",IF(Wages!$G1652="",0,Wages!$G1652))</f>
        <v/>
      </c>
      <c r="M1649">
        <f>IF($A1649="","",Wages!$J1652)</f>
        <v/>
      </c>
      <c r="N1649">
        <f>IF($A1649="","",Wages!$D1652)</f>
        <v/>
      </c>
      <c r="P1649">
        <f>IF(OR(Shares!$B1652="",Shares!$C1652=""),"",Shares!$C1652)</f>
        <v/>
      </c>
      <c r="Q1649">
        <f>IF($P1649="","",Shares!$B1652)</f>
        <v/>
      </c>
      <c r="R1649">
        <f>IF($P1649="","",IFERROR(INDEX(WageParty,MATCH($Q1649,WageIds,0)),""))</f>
        <v/>
      </c>
      <c r="S1649">
        <f>IF($P1649="","",IFERROR(INDEX($F$6:$F$2005,MATCH($Q1649,WageIds,0)),""))</f>
        <v/>
      </c>
      <c r="T1649">
        <f>IF(OR($P1649="",$S1649="",$S1649="نامعتبر"),"",LEFT($S1649,4)&amp;MID($S1649,6,2)&amp;RIGHT($S1649,2)&amp;"0000"&amp;"|"&amp;"2"&amp;RIGHT("00000"&amp;1644,5))</f>
        <v/>
      </c>
      <c r="U1649">
        <f>IF($T1649="","",COUNTIFS(LdAParty,$P1649,LdAType,1,LdAKey,"&lt;"&amp;$T1649)+COUNTIFS(LdBMember,$P1649,LdBKey,"&lt;"&amp;$T1649)+COUNTIFS(LdCParty,$P1649,LdCKey,"&lt;"&amp;$T1649)+1)</f>
        <v/>
      </c>
      <c r="V1649">
        <f>IF($U1649="","",$P1649&amp;"|"&amp;RIGHT("000000"&amp;$U1649,6))</f>
        <v/>
      </c>
      <c r="W1649">
        <f>IF($T1649="","",COUNTIFS(LdBGroup,$R1649,LdBKey,"&lt;"&amp;$T1649)+1)</f>
        <v/>
      </c>
      <c r="X1649">
        <f>IF($W1649="","",$R1649&amp;"|"&amp;RIGHT("000000"&amp;$W1649,6))</f>
        <v/>
      </c>
      <c r="Y1649">
        <f>IF($P1649="","",IF(Shares!$E1652="",0,Shares!$E1652))</f>
        <v/>
      </c>
      <c r="Z1649">
        <f>IF($P1649="","",Shares!$H1652)</f>
        <v/>
      </c>
      <c r="AE1649">
        <f>IF(OR(Sync!$S1649="",Sync!$P1649=""),"",Sync!$S1649)</f>
        <v/>
      </c>
      <c r="AF1649">
        <f>IF($AE1649="","",IF(ISNUMBER(Sync!$P1649),IF(AND(Sync!$P1649&gt;=10000101,Sync!$P1649&lt;=99991231),INT(Sync!$P1649/10000),""),IFERROR(VALUE(TRIM(LEFT(Sync!$P1649,FIND("/",Sync!$P1649)-1))),"")))</f>
        <v/>
      </c>
      <c r="AG1649">
        <f>IF(OR($AE1649="",$AF1649=""),"",IF(ISNUMBER(Sync!$P1649),INT(MOD(Sync!$P1649,10000)/100),IFERROR(VALUE(TRIM(LEFT(MID(Sync!$P1649,FIND("/",Sync!$P1649)+1,20),FIND("/",MID(Sync!$P1649,FIND("/",Sync!$P1649)+1,20))-1))),"")))</f>
        <v/>
      </c>
      <c r="AH1649">
        <f>IF(OR($AE1649="",$AF1649=""),"",IF(ISNUMBER(Sync!$P1649),MOD(Sync!$P1649,100),IFERROR(VALUE(TRIM(MID(MID(Sync!$P1649,FIND("/",Sync!$P1649)+1,20),FIND("/",MID(Sync!$P1649,FIND("/",Sync!$P1649)+1,20))+1,20))),"")))</f>
        <v/>
      </c>
      <c r="AI1649">
        <f>IF($AE1649="","",IF(OR($AF1649="",$AG1649="",$AH1649="",$AF1649&lt;1300,$AF1649&gt;1500,$AG1649&lt;1,$AG1649&gt;12,$AH1649&lt;1,$AH1649&gt;31),"نامعتبر",RIGHT("0000"&amp;$AF1649,4)&amp;"/"&amp;RIGHT("00"&amp;$AG1649,2)&amp;"/"&amp;RIGHT("00"&amp;$AH1649,2)))</f>
        <v/>
      </c>
      <c r="AJ1649">
        <f>IF($AE1649="","",IF(Sync!$Q1649="","0000",IF(AND(ISNUMBER(Sync!$Q1649),Sync!$Q1649&gt;=0,Sync!$Q1649&lt;1),RIGHT("00"&amp;HOUR(Sync!$Q1649),2)&amp;RIGHT("00"&amp;MINUTE(Sync!$Q1649),2),IFERROR(RIGHT("00"&amp;VALUE(LEFT(Sync!$Q1649,FIND(":",Sync!$Q1649)-1)),2)&amp;RIGHT("00"&amp;VALUE(MID(Sync!$Q1649,FIND(":",Sync!$Q1649)+1,2)),2),"0000"))))</f>
        <v/>
      </c>
      <c r="AK1649">
        <f>IF(OR($AE1649="",$AI1649="",$AI1649="نامعتبر"),"",LEFT($AI1649,4)&amp;MID($AI1649,6,2)&amp;RIGHT($AI1649,2)&amp;$AJ1649&amp;"|"&amp;"3"&amp;RIGHT("00000"&amp;1644,5))</f>
        <v/>
      </c>
      <c r="AL1649">
        <f>IF($AK1649="","",COUNTIFS(LdAParty,$AE1649,LdAType,1,LdAKey,"&lt;"&amp;$AK1649)+COUNTIFS(LdBMember,$AE1649,LdBKey,"&lt;"&amp;$AK1649)+COUNTIFS(LdCParty,$AE1649,LdCKey,"&lt;"&amp;$AK1649)+1)</f>
        <v/>
      </c>
      <c r="AM1649">
        <f>IF($AL1649="","",$AE1649&amp;"|"&amp;RIGHT("000000"&amp;$AL1649,6))</f>
        <v/>
      </c>
      <c r="AN1649">
        <f>IF($AE1649="","",IF(Sync!$W1649="",0,Sync!$W1649))</f>
        <v/>
      </c>
      <c r="AO1649">
        <f>IF($AE1649="","",IF(Sync!$X1649="",0,Sync!$X1649))</f>
        <v/>
      </c>
      <c r="AP1649">
        <f>IF($AE1649="","",Sync!$R1649)</f>
        <v/>
      </c>
      <c r="AQ1649">
        <f>IF($AE1649="","",Sync!$Y1649)</f>
        <v/>
      </c>
    </row>
    <row r="1650">
      <c r="A1650">
        <f>IF(OR(Wages!$B1653="",Wages!$E1653=""),"",Wages!$E1653)</f>
        <v/>
      </c>
      <c r="B1650">
        <f>IF($A1650="","",IF(Wages!$C1653="دستمزد گروهی",2,1))</f>
        <v/>
      </c>
      <c r="C1650">
        <f>IF($A1650="","",IF(ISNUMBER(Wages!$B1653),IF(AND(Wages!$B1653&gt;=10000101,Wages!$B1653&lt;=99991231),INT(Wages!$B1653/10000),""),IFERROR(VALUE(TRIM(LEFT(Wages!$B1653,FIND("/",Wages!$B1653)-1))),"")))</f>
        <v/>
      </c>
      <c r="D1650">
        <f>IF(OR($A1650="",$C1650=""),"",IF(ISNUMBER(Wages!$B1653),INT(MOD(Wages!$B1653,10000)/100),IFERROR(VALUE(TRIM(LEFT(MID(Wages!$B1653,FIND("/",Wages!$B1653)+1,20),FIND("/",MID(Wages!$B1653,FIND("/",Wages!$B1653)+1,20))-1))),"")))</f>
        <v/>
      </c>
      <c r="E1650">
        <f>IF(OR($A1650="",$C1650=""),"",IF(ISNUMBER(Wages!$B1653),MOD(Wages!$B1653,100),IFERROR(VALUE(TRIM(MID(MID(Wages!$B1653,FIND("/",Wages!$B1653)+1,20),FIND("/",MID(Wages!$B1653,FIND("/",Wages!$B1653)+1,20))+1,20))),"")))</f>
        <v/>
      </c>
      <c r="F1650">
        <f>IF($A1650="","",IF(OR($C1650="",$D1650="",$E1650="",$C1650&lt;1300,$C1650&gt;1500,$D1650&lt;1,$D1650&gt;12,$E1650&lt;1,$E1650&gt;31),"نامعتبر",RIGHT("0000"&amp;$C1650,4)&amp;"/"&amp;RIGHT("00"&amp;$D1650,2)&amp;"/"&amp;RIGHT("00"&amp;$E1650,2)))</f>
        <v/>
      </c>
      <c r="G1650">
        <f>IF(OR($A1650="",$F1650="",$F1650="نامعتبر"),"",LEFT($F1650,4)&amp;MID($F1650,6,2)&amp;RIGHT($F1650,2)&amp;"0000"&amp;"|"&amp;"1"&amp;RIGHT("00000"&amp;1645,5))</f>
        <v/>
      </c>
      <c r="H1650">
        <f>IF(OR($B1650&lt;&gt;1,$G1650=""),"",COUNTIFS(LdAParty,$A1650,LdAType,1,LdAKey,"&lt;"&amp;$G1650)+COUNTIFS(LdBMember,$A1650,LdBKey,"&lt;"&amp;$G1650)+COUNTIFS(LdCParty,$A1650,LdCKey,"&lt;"&amp;$G1650)+1)</f>
        <v/>
      </c>
      <c r="I1650">
        <f>IF($H1650="","",$A1650&amp;"|"&amp;RIGHT("000000"&amp;$H1650,6))</f>
        <v/>
      </c>
      <c r="J1650">
        <f>IF(OR($B1650&lt;&gt;2,$G1650=""),"",COUNTIFS(LdAParty,$A1650,LdAType,2,LdAKey,"&lt;"&amp;$G1650)+1)</f>
        <v/>
      </c>
      <c r="K1650">
        <f>IF($J1650="","",$A1650&amp;"|"&amp;RIGHT("000000"&amp;$J1650,6))</f>
        <v/>
      </c>
      <c r="L1650">
        <f>IF($A1650="","",IF(Wages!$G1653="",0,Wages!$G1653))</f>
        <v/>
      </c>
      <c r="M1650">
        <f>IF($A1650="","",Wages!$J1653)</f>
        <v/>
      </c>
      <c r="N1650">
        <f>IF($A1650="","",Wages!$D1653)</f>
        <v/>
      </c>
      <c r="P1650">
        <f>IF(OR(Shares!$B1653="",Shares!$C1653=""),"",Shares!$C1653)</f>
        <v/>
      </c>
      <c r="Q1650">
        <f>IF($P1650="","",Shares!$B1653)</f>
        <v/>
      </c>
      <c r="R1650">
        <f>IF($P1650="","",IFERROR(INDEX(WageParty,MATCH($Q1650,WageIds,0)),""))</f>
        <v/>
      </c>
      <c r="S1650">
        <f>IF($P1650="","",IFERROR(INDEX($F$6:$F$2005,MATCH($Q1650,WageIds,0)),""))</f>
        <v/>
      </c>
      <c r="T1650">
        <f>IF(OR($P1650="",$S1650="",$S1650="نامعتبر"),"",LEFT($S1650,4)&amp;MID($S1650,6,2)&amp;RIGHT($S1650,2)&amp;"0000"&amp;"|"&amp;"2"&amp;RIGHT("00000"&amp;1645,5))</f>
        <v/>
      </c>
      <c r="U1650">
        <f>IF($T1650="","",COUNTIFS(LdAParty,$P1650,LdAType,1,LdAKey,"&lt;"&amp;$T1650)+COUNTIFS(LdBMember,$P1650,LdBKey,"&lt;"&amp;$T1650)+COUNTIFS(LdCParty,$P1650,LdCKey,"&lt;"&amp;$T1650)+1)</f>
        <v/>
      </c>
      <c r="V1650">
        <f>IF($U1650="","",$P1650&amp;"|"&amp;RIGHT("000000"&amp;$U1650,6))</f>
        <v/>
      </c>
      <c r="W1650">
        <f>IF($T1650="","",COUNTIFS(LdBGroup,$R1650,LdBKey,"&lt;"&amp;$T1650)+1)</f>
        <v/>
      </c>
      <c r="X1650">
        <f>IF($W1650="","",$R1650&amp;"|"&amp;RIGHT("000000"&amp;$W1650,6))</f>
        <v/>
      </c>
      <c r="Y1650">
        <f>IF($P1650="","",IF(Shares!$E1653="",0,Shares!$E1653))</f>
        <v/>
      </c>
      <c r="Z1650">
        <f>IF($P1650="","",Shares!$H1653)</f>
        <v/>
      </c>
      <c r="AE1650">
        <f>IF(OR(Sync!$S1650="",Sync!$P1650=""),"",Sync!$S1650)</f>
        <v/>
      </c>
      <c r="AF1650">
        <f>IF($AE1650="","",IF(ISNUMBER(Sync!$P1650),IF(AND(Sync!$P1650&gt;=10000101,Sync!$P1650&lt;=99991231),INT(Sync!$P1650/10000),""),IFERROR(VALUE(TRIM(LEFT(Sync!$P1650,FIND("/",Sync!$P1650)-1))),"")))</f>
        <v/>
      </c>
      <c r="AG1650">
        <f>IF(OR($AE1650="",$AF1650=""),"",IF(ISNUMBER(Sync!$P1650),INT(MOD(Sync!$P1650,10000)/100),IFERROR(VALUE(TRIM(LEFT(MID(Sync!$P1650,FIND("/",Sync!$P1650)+1,20),FIND("/",MID(Sync!$P1650,FIND("/",Sync!$P1650)+1,20))-1))),"")))</f>
        <v/>
      </c>
      <c r="AH1650">
        <f>IF(OR($AE1650="",$AF1650=""),"",IF(ISNUMBER(Sync!$P1650),MOD(Sync!$P1650,100),IFERROR(VALUE(TRIM(MID(MID(Sync!$P1650,FIND("/",Sync!$P1650)+1,20),FIND("/",MID(Sync!$P1650,FIND("/",Sync!$P1650)+1,20))+1,20))),"")))</f>
        <v/>
      </c>
      <c r="AI1650">
        <f>IF($AE1650="","",IF(OR($AF1650="",$AG1650="",$AH1650="",$AF1650&lt;1300,$AF1650&gt;1500,$AG1650&lt;1,$AG1650&gt;12,$AH1650&lt;1,$AH1650&gt;31),"نامعتبر",RIGHT("0000"&amp;$AF1650,4)&amp;"/"&amp;RIGHT("00"&amp;$AG1650,2)&amp;"/"&amp;RIGHT("00"&amp;$AH1650,2)))</f>
        <v/>
      </c>
      <c r="AJ1650">
        <f>IF($AE1650="","",IF(Sync!$Q1650="","0000",IF(AND(ISNUMBER(Sync!$Q1650),Sync!$Q1650&gt;=0,Sync!$Q1650&lt;1),RIGHT("00"&amp;HOUR(Sync!$Q1650),2)&amp;RIGHT("00"&amp;MINUTE(Sync!$Q1650),2),IFERROR(RIGHT("00"&amp;VALUE(LEFT(Sync!$Q1650,FIND(":",Sync!$Q1650)-1)),2)&amp;RIGHT("00"&amp;VALUE(MID(Sync!$Q1650,FIND(":",Sync!$Q1650)+1,2)),2),"0000"))))</f>
        <v/>
      </c>
      <c r="AK1650">
        <f>IF(OR($AE1650="",$AI1650="",$AI1650="نامعتبر"),"",LEFT($AI1650,4)&amp;MID($AI1650,6,2)&amp;RIGHT($AI1650,2)&amp;$AJ1650&amp;"|"&amp;"3"&amp;RIGHT("00000"&amp;1645,5))</f>
        <v/>
      </c>
      <c r="AL1650">
        <f>IF($AK1650="","",COUNTIFS(LdAParty,$AE1650,LdAType,1,LdAKey,"&lt;"&amp;$AK1650)+COUNTIFS(LdBMember,$AE1650,LdBKey,"&lt;"&amp;$AK1650)+COUNTIFS(LdCParty,$AE1650,LdCKey,"&lt;"&amp;$AK1650)+1)</f>
        <v/>
      </c>
      <c r="AM1650">
        <f>IF($AL1650="","",$AE1650&amp;"|"&amp;RIGHT("000000"&amp;$AL1650,6))</f>
        <v/>
      </c>
      <c r="AN1650">
        <f>IF($AE1650="","",IF(Sync!$W1650="",0,Sync!$W1650))</f>
        <v/>
      </c>
      <c r="AO1650">
        <f>IF($AE1650="","",IF(Sync!$X1650="",0,Sync!$X1650))</f>
        <v/>
      </c>
      <c r="AP1650">
        <f>IF($AE1650="","",Sync!$R1650)</f>
        <v/>
      </c>
      <c r="AQ1650">
        <f>IF($AE1650="","",Sync!$Y1650)</f>
        <v/>
      </c>
    </row>
    <row r="1651">
      <c r="A1651">
        <f>IF(OR(Wages!$B1654="",Wages!$E1654=""),"",Wages!$E1654)</f>
        <v/>
      </c>
      <c r="B1651">
        <f>IF($A1651="","",IF(Wages!$C1654="دستمزد گروهی",2,1))</f>
        <v/>
      </c>
      <c r="C1651">
        <f>IF($A1651="","",IF(ISNUMBER(Wages!$B1654),IF(AND(Wages!$B1654&gt;=10000101,Wages!$B1654&lt;=99991231),INT(Wages!$B1654/10000),""),IFERROR(VALUE(TRIM(LEFT(Wages!$B1654,FIND("/",Wages!$B1654)-1))),"")))</f>
        <v/>
      </c>
      <c r="D1651">
        <f>IF(OR($A1651="",$C1651=""),"",IF(ISNUMBER(Wages!$B1654),INT(MOD(Wages!$B1654,10000)/100),IFERROR(VALUE(TRIM(LEFT(MID(Wages!$B1654,FIND("/",Wages!$B1654)+1,20),FIND("/",MID(Wages!$B1654,FIND("/",Wages!$B1654)+1,20))-1))),"")))</f>
        <v/>
      </c>
      <c r="E1651">
        <f>IF(OR($A1651="",$C1651=""),"",IF(ISNUMBER(Wages!$B1654),MOD(Wages!$B1654,100),IFERROR(VALUE(TRIM(MID(MID(Wages!$B1654,FIND("/",Wages!$B1654)+1,20),FIND("/",MID(Wages!$B1654,FIND("/",Wages!$B1654)+1,20))+1,20))),"")))</f>
        <v/>
      </c>
      <c r="F1651">
        <f>IF($A1651="","",IF(OR($C1651="",$D1651="",$E1651="",$C1651&lt;1300,$C1651&gt;1500,$D1651&lt;1,$D1651&gt;12,$E1651&lt;1,$E1651&gt;31),"نامعتبر",RIGHT("0000"&amp;$C1651,4)&amp;"/"&amp;RIGHT("00"&amp;$D1651,2)&amp;"/"&amp;RIGHT("00"&amp;$E1651,2)))</f>
        <v/>
      </c>
      <c r="G1651">
        <f>IF(OR($A1651="",$F1651="",$F1651="نامعتبر"),"",LEFT($F1651,4)&amp;MID($F1651,6,2)&amp;RIGHT($F1651,2)&amp;"0000"&amp;"|"&amp;"1"&amp;RIGHT("00000"&amp;1646,5))</f>
        <v/>
      </c>
      <c r="H1651">
        <f>IF(OR($B1651&lt;&gt;1,$G1651=""),"",COUNTIFS(LdAParty,$A1651,LdAType,1,LdAKey,"&lt;"&amp;$G1651)+COUNTIFS(LdBMember,$A1651,LdBKey,"&lt;"&amp;$G1651)+COUNTIFS(LdCParty,$A1651,LdCKey,"&lt;"&amp;$G1651)+1)</f>
        <v/>
      </c>
      <c r="I1651">
        <f>IF($H1651="","",$A1651&amp;"|"&amp;RIGHT("000000"&amp;$H1651,6))</f>
        <v/>
      </c>
      <c r="J1651">
        <f>IF(OR($B1651&lt;&gt;2,$G1651=""),"",COUNTIFS(LdAParty,$A1651,LdAType,2,LdAKey,"&lt;"&amp;$G1651)+1)</f>
        <v/>
      </c>
      <c r="K1651">
        <f>IF($J1651="","",$A1651&amp;"|"&amp;RIGHT("000000"&amp;$J1651,6))</f>
        <v/>
      </c>
      <c r="L1651">
        <f>IF($A1651="","",IF(Wages!$G1654="",0,Wages!$G1654))</f>
        <v/>
      </c>
      <c r="M1651">
        <f>IF($A1651="","",Wages!$J1654)</f>
        <v/>
      </c>
      <c r="N1651">
        <f>IF($A1651="","",Wages!$D1654)</f>
        <v/>
      </c>
      <c r="P1651">
        <f>IF(OR(Shares!$B1654="",Shares!$C1654=""),"",Shares!$C1654)</f>
        <v/>
      </c>
      <c r="Q1651">
        <f>IF($P1651="","",Shares!$B1654)</f>
        <v/>
      </c>
      <c r="R1651">
        <f>IF($P1651="","",IFERROR(INDEX(WageParty,MATCH($Q1651,WageIds,0)),""))</f>
        <v/>
      </c>
      <c r="S1651">
        <f>IF($P1651="","",IFERROR(INDEX($F$6:$F$2005,MATCH($Q1651,WageIds,0)),""))</f>
        <v/>
      </c>
      <c r="T1651">
        <f>IF(OR($P1651="",$S1651="",$S1651="نامعتبر"),"",LEFT($S1651,4)&amp;MID($S1651,6,2)&amp;RIGHT($S1651,2)&amp;"0000"&amp;"|"&amp;"2"&amp;RIGHT("00000"&amp;1646,5))</f>
        <v/>
      </c>
      <c r="U1651">
        <f>IF($T1651="","",COUNTIFS(LdAParty,$P1651,LdAType,1,LdAKey,"&lt;"&amp;$T1651)+COUNTIFS(LdBMember,$P1651,LdBKey,"&lt;"&amp;$T1651)+COUNTIFS(LdCParty,$P1651,LdCKey,"&lt;"&amp;$T1651)+1)</f>
        <v/>
      </c>
      <c r="V1651">
        <f>IF($U1651="","",$P1651&amp;"|"&amp;RIGHT("000000"&amp;$U1651,6))</f>
        <v/>
      </c>
      <c r="W1651">
        <f>IF($T1651="","",COUNTIFS(LdBGroup,$R1651,LdBKey,"&lt;"&amp;$T1651)+1)</f>
        <v/>
      </c>
      <c r="X1651">
        <f>IF($W1651="","",$R1651&amp;"|"&amp;RIGHT("000000"&amp;$W1651,6))</f>
        <v/>
      </c>
      <c r="Y1651">
        <f>IF($P1651="","",IF(Shares!$E1654="",0,Shares!$E1654))</f>
        <v/>
      </c>
      <c r="Z1651">
        <f>IF($P1651="","",Shares!$H1654)</f>
        <v/>
      </c>
      <c r="AE1651">
        <f>IF(OR(Sync!$S1651="",Sync!$P1651=""),"",Sync!$S1651)</f>
        <v/>
      </c>
      <c r="AF1651">
        <f>IF($AE1651="","",IF(ISNUMBER(Sync!$P1651),IF(AND(Sync!$P1651&gt;=10000101,Sync!$P1651&lt;=99991231),INT(Sync!$P1651/10000),""),IFERROR(VALUE(TRIM(LEFT(Sync!$P1651,FIND("/",Sync!$P1651)-1))),"")))</f>
        <v/>
      </c>
      <c r="AG1651">
        <f>IF(OR($AE1651="",$AF1651=""),"",IF(ISNUMBER(Sync!$P1651),INT(MOD(Sync!$P1651,10000)/100),IFERROR(VALUE(TRIM(LEFT(MID(Sync!$P1651,FIND("/",Sync!$P1651)+1,20),FIND("/",MID(Sync!$P1651,FIND("/",Sync!$P1651)+1,20))-1))),"")))</f>
        <v/>
      </c>
      <c r="AH1651">
        <f>IF(OR($AE1651="",$AF1651=""),"",IF(ISNUMBER(Sync!$P1651),MOD(Sync!$P1651,100),IFERROR(VALUE(TRIM(MID(MID(Sync!$P1651,FIND("/",Sync!$P1651)+1,20),FIND("/",MID(Sync!$P1651,FIND("/",Sync!$P1651)+1,20))+1,20))),"")))</f>
        <v/>
      </c>
      <c r="AI1651">
        <f>IF($AE1651="","",IF(OR($AF1651="",$AG1651="",$AH1651="",$AF1651&lt;1300,$AF1651&gt;1500,$AG1651&lt;1,$AG1651&gt;12,$AH1651&lt;1,$AH1651&gt;31),"نامعتبر",RIGHT("0000"&amp;$AF1651,4)&amp;"/"&amp;RIGHT("00"&amp;$AG1651,2)&amp;"/"&amp;RIGHT("00"&amp;$AH1651,2)))</f>
        <v/>
      </c>
      <c r="AJ1651">
        <f>IF($AE1651="","",IF(Sync!$Q1651="","0000",IF(AND(ISNUMBER(Sync!$Q1651),Sync!$Q1651&gt;=0,Sync!$Q1651&lt;1),RIGHT("00"&amp;HOUR(Sync!$Q1651),2)&amp;RIGHT("00"&amp;MINUTE(Sync!$Q1651),2),IFERROR(RIGHT("00"&amp;VALUE(LEFT(Sync!$Q1651,FIND(":",Sync!$Q1651)-1)),2)&amp;RIGHT("00"&amp;VALUE(MID(Sync!$Q1651,FIND(":",Sync!$Q1651)+1,2)),2),"0000"))))</f>
        <v/>
      </c>
      <c r="AK1651">
        <f>IF(OR($AE1651="",$AI1651="",$AI1651="نامعتبر"),"",LEFT($AI1651,4)&amp;MID($AI1651,6,2)&amp;RIGHT($AI1651,2)&amp;$AJ1651&amp;"|"&amp;"3"&amp;RIGHT("00000"&amp;1646,5))</f>
        <v/>
      </c>
      <c r="AL1651">
        <f>IF($AK1651="","",COUNTIFS(LdAParty,$AE1651,LdAType,1,LdAKey,"&lt;"&amp;$AK1651)+COUNTIFS(LdBMember,$AE1651,LdBKey,"&lt;"&amp;$AK1651)+COUNTIFS(LdCParty,$AE1651,LdCKey,"&lt;"&amp;$AK1651)+1)</f>
        <v/>
      </c>
      <c r="AM1651">
        <f>IF($AL1651="","",$AE1651&amp;"|"&amp;RIGHT("000000"&amp;$AL1651,6))</f>
        <v/>
      </c>
      <c r="AN1651">
        <f>IF($AE1651="","",IF(Sync!$W1651="",0,Sync!$W1651))</f>
        <v/>
      </c>
      <c r="AO1651">
        <f>IF($AE1651="","",IF(Sync!$X1651="",0,Sync!$X1651))</f>
        <v/>
      </c>
      <c r="AP1651">
        <f>IF($AE1651="","",Sync!$R1651)</f>
        <v/>
      </c>
      <c r="AQ1651">
        <f>IF($AE1651="","",Sync!$Y1651)</f>
        <v/>
      </c>
    </row>
    <row r="1652">
      <c r="A1652">
        <f>IF(OR(Wages!$B1655="",Wages!$E1655=""),"",Wages!$E1655)</f>
        <v/>
      </c>
      <c r="B1652">
        <f>IF($A1652="","",IF(Wages!$C1655="دستمزد گروهی",2,1))</f>
        <v/>
      </c>
      <c r="C1652">
        <f>IF($A1652="","",IF(ISNUMBER(Wages!$B1655),IF(AND(Wages!$B1655&gt;=10000101,Wages!$B1655&lt;=99991231),INT(Wages!$B1655/10000),""),IFERROR(VALUE(TRIM(LEFT(Wages!$B1655,FIND("/",Wages!$B1655)-1))),"")))</f>
        <v/>
      </c>
      <c r="D1652">
        <f>IF(OR($A1652="",$C1652=""),"",IF(ISNUMBER(Wages!$B1655),INT(MOD(Wages!$B1655,10000)/100),IFERROR(VALUE(TRIM(LEFT(MID(Wages!$B1655,FIND("/",Wages!$B1655)+1,20),FIND("/",MID(Wages!$B1655,FIND("/",Wages!$B1655)+1,20))-1))),"")))</f>
        <v/>
      </c>
      <c r="E1652">
        <f>IF(OR($A1652="",$C1652=""),"",IF(ISNUMBER(Wages!$B1655),MOD(Wages!$B1655,100),IFERROR(VALUE(TRIM(MID(MID(Wages!$B1655,FIND("/",Wages!$B1655)+1,20),FIND("/",MID(Wages!$B1655,FIND("/",Wages!$B1655)+1,20))+1,20))),"")))</f>
        <v/>
      </c>
      <c r="F1652">
        <f>IF($A1652="","",IF(OR($C1652="",$D1652="",$E1652="",$C1652&lt;1300,$C1652&gt;1500,$D1652&lt;1,$D1652&gt;12,$E1652&lt;1,$E1652&gt;31),"نامعتبر",RIGHT("0000"&amp;$C1652,4)&amp;"/"&amp;RIGHT("00"&amp;$D1652,2)&amp;"/"&amp;RIGHT("00"&amp;$E1652,2)))</f>
        <v/>
      </c>
      <c r="G1652">
        <f>IF(OR($A1652="",$F1652="",$F1652="نامعتبر"),"",LEFT($F1652,4)&amp;MID($F1652,6,2)&amp;RIGHT($F1652,2)&amp;"0000"&amp;"|"&amp;"1"&amp;RIGHT("00000"&amp;1647,5))</f>
        <v/>
      </c>
      <c r="H1652">
        <f>IF(OR($B1652&lt;&gt;1,$G1652=""),"",COUNTIFS(LdAParty,$A1652,LdAType,1,LdAKey,"&lt;"&amp;$G1652)+COUNTIFS(LdBMember,$A1652,LdBKey,"&lt;"&amp;$G1652)+COUNTIFS(LdCParty,$A1652,LdCKey,"&lt;"&amp;$G1652)+1)</f>
        <v/>
      </c>
      <c r="I1652">
        <f>IF($H1652="","",$A1652&amp;"|"&amp;RIGHT("000000"&amp;$H1652,6))</f>
        <v/>
      </c>
      <c r="J1652">
        <f>IF(OR($B1652&lt;&gt;2,$G1652=""),"",COUNTIFS(LdAParty,$A1652,LdAType,2,LdAKey,"&lt;"&amp;$G1652)+1)</f>
        <v/>
      </c>
      <c r="K1652">
        <f>IF($J1652="","",$A1652&amp;"|"&amp;RIGHT("000000"&amp;$J1652,6))</f>
        <v/>
      </c>
      <c r="L1652">
        <f>IF($A1652="","",IF(Wages!$G1655="",0,Wages!$G1655))</f>
        <v/>
      </c>
      <c r="M1652">
        <f>IF($A1652="","",Wages!$J1655)</f>
        <v/>
      </c>
      <c r="N1652">
        <f>IF($A1652="","",Wages!$D1655)</f>
        <v/>
      </c>
      <c r="P1652">
        <f>IF(OR(Shares!$B1655="",Shares!$C1655=""),"",Shares!$C1655)</f>
        <v/>
      </c>
      <c r="Q1652">
        <f>IF($P1652="","",Shares!$B1655)</f>
        <v/>
      </c>
      <c r="R1652">
        <f>IF($P1652="","",IFERROR(INDEX(WageParty,MATCH($Q1652,WageIds,0)),""))</f>
        <v/>
      </c>
      <c r="S1652">
        <f>IF($P1652="","",IFERROR(INDEX($F$6:$F$2005,MATCH($Q1652,WageIds,0)),""))</f>
        <v/>
      </c>
      <c r="T1652">
        <f>IF(OR($P1652="",$S1652="",$S1652="نامعتبر"),"",LEFT($S1652,4)&amp;MID($S1652,6,2)&amp;RIGHT($S1652,2)&amp;"0000"&amp;"|"&amp;"2"&amp;RIGHT("00000"&amp;1647,5))</f>
        <v/>
      </c>
      <c r="U1652">
        <f>IF($T1652="","",COUNTIFS(LdAParty,$P1652,LdAType,1,LdAKey,"&lt;"&amp;$T1652)+COUNTIFS(LdBMember,$P1652,LdBKey,"&lt;"&amp;$T1652)+COUNTIFS(LdCParty,$P1652,LdCKey,"&lt;"&amp;$T1652)+1)</f>
        <v/>
      </c>
      <c r="V1652">
        <f>IF($U1652="","",$P1652&amp;"|"&amp;RIGHT("000000"&amp;$U1652,6))</f>
        <v/>
      </c>
      <c r="W1652">
        <f>IF($T1652="","",COUNTIFS(LdBGroup,$R1652,LdBKey,"&lt;"&amp;$T1652)+1)</f>
        <v/>
      </c>
      <c r="X1652">
        <f>IF($W1652="","",$R1652&amp;"|"&amp;RIGHT("000000"&amp;$W1652,6))</f>
        <v/>
      </c>
      <c r="Y1652">
        <f>IF($P1652="","",IF(Shares!$E1655="",0,Shares!$E1655))</f>
        <v/>
      </c>
      <c r="Z1652">
        <f>IF($P1652="","",Shares!$H1655)</f>
        <v/>
      </c>
      <c r="AE1652">
        <f>IF(OR(Sync!$S1652="",Sync!$P1652=""),"",Sync!$S1652)</f>
        <v/>
      </c>
      <c r="AF1652">
        <f>IF($AE1652="","",IF(ISNUMBER(Sync!$P1652),IF(AND(Sync!$P1652&gt;=10000101,Sync!$P1652&lt;=99991231),INT(Sync!$P1652/10000),""),IFERROR(VALUE(TRIM(LEFT(Sync!$P1652,FIND("/",Sync!$P1652)-1))),"")))</f>
        <v/>
      </c>
      <c r="AG1652">
        <f>IF(OR($AE1652="",$AF1652=""),"",IF(ISNUMBER(Sync!$P1652),INT(MOD(Sync!$P1652,10000)/100),IFERROR(VALUE(TRIM(LEFT(MID(Sync!$P1652,FIND("/",Sync!$P1652)+1,20),FIND("/",MID(Sync!$P1652,FIND("/",Sync!$P1652)+1,20))-1))),"")))</f>
        <v/>
      </c>
      <c r="AH1652">
        <f>IF(OR($AE1652="",$AF1652=""),"",IF(ISNUMBER(Sync!$P1652),MOD(Sync!$P1652,100),IFERROR(VALUE(TRIM(MID(MID(Sync!$P1652,FIND("/",Sync!$P1652)+1,20),FIND("/",MID(Sync!$P1652,FIND("/",Sync!$P1652)+1,20))+1,20))),"")))</f>
        <v/>
      </c>
      <c r="AI1652">
        <f>IF($AE1652="","",IF(OR($AF1652="",$AG1652="",$AH1652="",$AF1652&lt;1300,$AF1652&gt;1500,$AG1652&lt;1,$AG1652&gt;12,$AH1652&lt;1,$AH1652&gt;31),"نامعتبر",RIGHT("0000"&amp;$AF1652,4)&amp;"/"&amp;RIGHT("00"&amp;$AG1652,2)&amp;"/"&amp;RIGHT("00"&amp;$AH1652,2)))</f>
        <v/>
      </c>
      <c r="AJ1652">
        <f>IF($AE1652="","",IF(Sync!$Q1652="","0000",IF(AND(ISNUMBER(Sync!$Q1652),Sync!$Q1652&gt;=0,Sync!$Q1652&lt;1),RIGHT("00"&amp;HOUR(Sync!$Q1652),2)&amp;RIGHT("00"&amp;MINUTE(Sync!$Q1652),2),IFERROR(RIGHT("00"&amp;VALUE(LEFT(Sync!$Q1652,FIND(":",Sync!$Q1652)-1)),2)&amp;RIGHT("00"&amp;VALUE(MID(Sync!$Q1652,FIND(":",Sync!$Q1652)+1,2)),2),"0000"))))</f>
        <v/>
      </c>
      <c r="AK1652">
        <f>IF(OR($AE1652="",$AI1652="",$AI1652="نامعتبر"),"",LEFT($AI1652,4)&amp;MID($AI1652,6,2)&amp;RIGHT($AI1652,2)&amp;$AJ1652&amp;"|"&amp;"3"&amp;RIGHT("00000"&amp;1647,5))</f>
        <v/>
      </c>
      <c r="AL1652">
        <f>IF($AK1652="","",COUNTIFS(LdAParty,$AE1652,LdAType,1,LdAKey,"&lt;"&amp;$AK1652)+COUNTIFS(LdBMember,$AE1652,LdBKey,"&lt;"&amp;$AK1652)+COUNTIFS(LdCParty,$AE1652,LdCKey,"&lt;"&amp;$AK1652)+1)</f>
        <v/>
      </c>
      <c r="AM1652">
        <f>IF($AL1652="","",$AE1652&amp;"|"&amp;RIGHT("000000"&amp;$AL1652,6))</f>
        <v/>
      </c>
      <c r="AN1652">
        <f>IF($AE1652="","",IF(Sync!$W1652="",0,Sync!$W1652))</f>
        <v/>
      </c>
      <c r="AO1652">
        <f>IF($AE1652="","",IF(Sync!$X1652="",0,Sync!$X1652))</f>
        <v/>
      </c>
      <c r="AP1652">
        <f>IF($AE1652="","",Sync!$R1652)</f>
        <v/>
      </c>
      <c r="AQ1652">
        <f>IF($AE1652="","",Sync!$Y1652)</f>
        <v/>
      </c>
    </row>
    <row r="1653">
      <c r="A1653">
        <f>IF(OR(Wages!$B1656="",Wages!$E1656=""),"",Wages!$E1656)</f>
        <v/>
      </c>
      <c r="B1653">
        <f>IF($A1653="","",IF(Wages!$C1656="دستمزد گروهی",2,1))</f>
        <v/>
      </c>
      <c r="C1653">
        <f>IF($A1653="","",IF(ISNUMBER(Wages!$B1656),IF(AND(Wages!$B1656&gt;=10000101,Wages!$B1656&lt;=99991231),INT(Wages!$B1656/10000),""),IFERROR(VALUE(TRIM(LEFT(Wages!$B1656,FIND("/",Wages!$B1656)-1))),"")))</f>
        <v/>
      </c>
      <c r="D1653">
        <f>IF(OR($A1653="",$C1653=""),"",IF(ISNUMBER(Wages!$B1656),INT(MOD(Wages!$B1656,10000)/100),IFERROR(VALUE(TRIM(LEFT(MID(Wages!$B1656,FIND("/",Wages!$B1656)+1,20),FIND("/",MID(Wages!$B1656,FIND("/",Wages!$B1656)+1,20))-1))),"")))</f>
        <v/>
      </c>
      <c r="E1653">
        <f>IF(OR($A1653="",$C1653=""),"",IF(ISNUMBER(Wages!$B1656),MOD(Wages!$B1656,100),IFERROR(VALUE(TRIM(MID(MID(Wages!$B1656,FIND("/",Wages!$B1656)+1,20),FIND("/",MID(Wages!$B1656,FIND("/",Wages!$B1656)+1,20))+1,20))),"")))</f>
        <v/>
      </c>
      <c r="F1653">
        <f>IF($A1653="","",IF(OR($C1653="",$D1653="",$E1653="",$C1653&lt;1300,$C1653&gt;1500,$D1653&lt;1,$D1653&gt;12,$E1653&lt;1,$E1653&gt;31),"نامعتبر",RIGHT("0000"&amp;$C1653,4)&amp;"/"&amp;RIGHT("00"&amp;$D1653,2)&amp;"/"&amp;RIGHT("00"&amp;$E1653,2)))</f>
        <v/>
      </c>
      <c r="G1653">
        <f>IF(OR($A1653="",$F1653="",$F1653="نامعتبر"),"",LEFT($F1653,4)&amp;MID($F1653,6,2)&amp;RIGHT($F1653,2)&amp;"0000"&amp;"|"&amp;"1"&amp;RIGHT("00000"&amp;1648,5))</f>
        <v/>
      </c>
      <c r="H1653">
        <f>IF(OR($B1653&lt;&gt;1,$G1653=""),"",COUNTIFS(LdAParty,$A1653,LdAType,1,LdAKey,"&lt;"&amp;$G1653)+COUNTIFS(LdBMember,$A1653,LdBKey,"&lt;"&amp;$G1653)+COUNTIFS(LdCParty,$A1653,LdCKey,"&lt;"&amp;$G1653)+1)</f>
        <v/>
      </c>
      <c r="I1653">
        <f>IF($H1653="","",$A1653&amp;"|"&amp;RIGHT("000000"&amp;$H1653,6))</f>
        <v/>
      </c>
      <c r="J1653">
        <f>IF(OR($B1653&lt;&gt;2,$G1653=""),"",COUNTIFS(LdAParty,$A1653,LdAType,2,LdAKey,"&lt;"&amp;$G1653)+1)</f>
        <v/>
      </c>
      <c r="K1653">
        <f>IF($J1653="","",$A1653&amp;"|"&amp;RIGHT("000000"&amp;$J1653,6))</f>
        <v/>
      </c>
      <c r="L1653">
        <f>IF($A1653="","",IF(Wages!$G1656="",0,Wages!$G1656))</f>
        <v/>
      </c>
      <c r="M1653">
        <f>IF($A1653="","",Wages!$J1656)</f>
        <v/>
      </c>
      <c r="N1653">
        <f>IF($A1653="","",Wages!$D1656)</f>
        <v/>
      </c>
      <c r="P1653">
        <f>IF(OR(Shares!$B1656="",Shares!$C1656=""),"",Shares!$C1656)</f>
        <v/>
      </c>
      <c r="Q1653">
        <f>IF($P1653="","",Shares!$B1656)</f>
        <v/>
      </c>
      <c r="R1653">
        <f>IF($P1653="","",IFERROR(INDEX(WageParty,MATCH($Q1653,WageIds,0)),""))</f>
        <v/>
      </c>
      <c r="S1653">
        <f>IF($P1653="","",IFERROR(INDEX($F$6:$F$2005,MATCH($Q1653,WageIds,0)),""))</f>
        <v/>
      </c>
      <c r="T1653">
        <f>IF(OR($P1653="",$S1653="",$S1653="نامعتبر"),"",LEFT($S1653,4)&amp;MID($S1653,6,2)&amp;RIGHT($S1653,2)&amp;"0000"&amp;"|"&amp;"2"&amp;RIGHT("00000"&amp;1648,5))</f>
        <v/>
      </c>
      <c r="U1653">
        <f>IF($T1653="","",COUNTIFS(LdAParty,$P1653,LdAType,1,LdAKey,"&lt;"&amp;$T1653)+COUNTIFS(LdBMember,$P1653,LdBKey,"&lt;"&amp;$T1653)+COUNTIFS(LdCParty,$P1653,LdCKey,"&lt;"&amp;$T1653)+1)</f>
        <v/>
      </c>
      <c r="V1653">
        <f>IF($U1653="","",$P1653&amp;"|"&amp;RIGHT("000000"&amp;$U1653,6))</f>
        <v/>
      </c>
      <c r="W1653">
        <f>IF($T1653="","",COUNTIFS(LdBGroup,$R1653,LdBKey,"&lt;"&amp;$T1653)+1)</f>
        <v/>
      </c>
      <c r="X1653">
        <f>IF($W1653="","",$R1653&amp;"|"&amp;RIGHT("000000"&amp;$W1653,6))</f>
        <v/>
      </c>
      <c r="Y1653">
        <f>IF($P1653="","",IF(Shares!$E1656="",0,Shares!$E1656))</f>
        <v/>
      </c>
      <c r="Z1653">
        <f>IF($P1653="","",Shares!$H1656)</f>
        <v/>
      </c>
      <c r="AE1653">
        <f>IF(OR(Sync!$S1653="",Sync!$P1653=""),"",Sync!$S1653)</f>
        <v/>
      </c>
      <c r="AF1653">
        <f>IF($AE1653="","",IF(ISNUMBER(Sync!$P1653),IF(AND(Sync!$P1653&gt;=10000101,Sync!$P1653&lt;=99991231),INT(Sync!$P1653/10000),""),IFERROR(VALUE(TRIM(LEFT(Sync!$P1653,FIND("/",Sync!$P1653)-1))),"")))</f>
        <v/>
      </c>
      <c r="AG1653">
        <f>IF(OR($AE1653="",$AF1653=""),"",IF(ISNUMBER(Sync!$P1653),INT(MOD(Sync!$P1653,10000)/100),IFERROR(VALUE(TRIM(LEFT(MID(Sync!$P1653,FIND("/",Sync!$P1653)+1,20),FIND("/",MID(Sync!$P1653,FIND("/",Sync!$P1653)+1,20))-1))),"")))</f>
        <v/>
      </c>
      <c r="AH1653">
        <f>IF(OR($AE1653="",$AF1653=""),"",IF(ISNUMBER(Sync!$P1653),MOD(Sync!$P1653,100),IFERROR(VALUE(TRIM(MID(MID(Sync!$P1653,FIND("/",Sync!$P1653)+1,20),FIND("/",MID(Sync!$P1653,FIND("/",Sync!$P1653)+1,20))+1,20))),"")))</f>
        <v/>
      </c>
      <c r="AI1653">
        <f>IF($AE1653="","",IF(OR($AF1653="",$AG1653="",$AH1653="",$AF1653&lt;1300,$AF1653&gt;1500,$AG1653&lt;1,$AG1653&gt;12,$AH1653&lt;1,$AH1653&gt;31),"نامعتبر",RIGHT("0000"&amp;$AF1653,4)&amp;"/"&amp;RIGHT("00"&amp;$AG1653,2)&amp;"/"&amp;RIGHT("00"&amp;$AH1653,2)))</f>
        <v/>
      </c>
      <c r="AJ1653">
        <f>IF($AE1653="","",IF(Sync!$Q1653="","0000",IF(AND(ISNUMBER(Sync!$Q1653),Sync!$Q1653&gt;=0,Sync!$Q1653&lt;1),RIGHT("00"&amp;HOUR(Sync!$Q1653),2)&amp;RIGHT("00"&amp;MINUTE(Sync!$Q1653),2),IFERROR(RIGHT("00"&amp;VALUE(LEFT(Sync!$Q1653,FIND(":",Sync!$Q1653)-1)),2)&amp;RIGHT("00"&amp;VALUE(MID(Sync!$Q1653,FIND(":",Sync!$Q1653)+1,2)),2),"0000"))))</f>
        <v/>
      </c>
      <c r="AK1653">
        <f>IF(OR($AE1653="",$AI1653="",$AI1653="نامعتبر"),"",LEFT($AI1653,4)&amp;MID($AI1653,6,2)&amp;RIGHT($AI1653,2)&amp;$AJ1653&amp;"|"&amp;"3"&amp;RIGHT("00000"&amp;1648,5))</f>
        <v/>
      </c>
      <c r="AL1653">
        <f>IF($AK1653="","",COUNTIFS(LdAParty,$AE1653,LdAType,1,LdAKey,"&lt;"&amp;$AK1653)+COUNTIFS(LdBMember,$AE1653,LdBKey,"&lt;"&amp;$AK1653)+COUNTIFS(LdCParty,$AE1653,LdCKey,"&lt;"&amp;$AK1653)+1)</f>
        <v/>
      </c>
      <c r="AM1653">
        <f>IF($AL1653="","",$AE1653&amp;"|"&amp;RIGHT("000000"&amp;$AL1653,6))</f>
        <v/>
      </c>
      <c r="AN1653">
        <f>IF($AE1653="","",IF(Sync!$W1653="",0,Sync!$W1653))</f>
        <v/>
      </c>
      <c r="AO1653">
        <f>IF($AE1653="","",IF(Sync!$X1653="",0,Sync!$X1653))</f>
        <v/>
      </c>
      <c r="AP1653">
        <f>IF($AE1653="","",Sync!$R1653)</f>
        <v/>
      </c>
      <c r="AQ1653">
        <f>IF($AE1653="","",Sync!$Y1653)</f>
        <v/>
      </c>
    </row>
    <row r="1654">
      <c r="A1654">
        <f>IF(OR(Wages!$B1657="",Wages!$E1657=""),"",Wages!$E1657)</f>
        <v/>
      </c>
      <c r="B1654">
        <f>IF($A1654="","",IF(Wages!$C1657="دستمزد گروهی",2,1))</f>
        <v/>
      </c>
      <c r="C1654">
        <f>IF($A1654="","",IF(ISNUMBER(Wages!$B1657),IF(AND(Wages!$B1657&gt;=10000101,Wages!$B1657&lt;=99991231),INT(Wages!$B1657/10000),""),IFERROR(VALUE(TRIM(LEFT(Wages!$B1657,FIND("/",Wages!$B1657)-1))),"")))</f>
        <v/>
      </c>
      <c r="D1654">
        <f>IF(OR($A1654="",$C1654=""),"",IF(ISNUMBER(Wages!$B1657),INT(MOD(Wages!$B1657,10000)/100),IFERROR(VALUE(TRIM(LEFT(MID(Wages!$B1657,FIND("/",Wages!$B1657)+1,20),FIND("/",MID(Wages!$B1657,FIND("/",Wages!$B1657)+1,20))-1))),"")))</f>
        <v/>
      </c>
      <c r="E1654">
        <f>IF(OR($A1654="",$C1654=""),"",IF(ISNUMBER(Wages!$B1657),MOD(Wages!$B1657,100),IFERROR(VALUE(TRIM(MID(MID(Wages!$B1657,FIND("/",Wages!$B1657)+1,20),FIND("/",MID(Wages!$B1657,FIND("/",Wages!$B1657)+1,20))+1,20))),"")))</f>
        <v/>
      </c>
      <c r="F1654">
        <f>IF($A1654="","",IF(OR($C1654="",$D1654="",$E1654="",$C1654&lt;1300,$C1654&gt;1500,$D1654&lt;1,$D1654&gt;12,$E1654&lt;1,$E1654&gt;31),"نامعتبر",RIGHT("0000"&amp;$C1654,4)&amp;"/"&amp;RIGHT("00"&amp;$D1654,2)&amp;"/"&amp;RIGHT("00"&amp;$E1654,2)))</f>
        <v/>
      </c>
      <c r="G1654">
        <f>IF(OR($A1654="",$F1654="",$F1654="نامعتبر"),"",LEFT($F1654,4)&amp;MID($F1654,6,2)&amp;RIGHT($F1654,2)&amp;"0000"&amp;"|"&amp;"1"&amp;RIGHT("00000"&amp;1649,5))</f>
        <v/>
      </c>
      <c r="H1654">
        <f>IF(OR($B1654&lt;&gt;1,$G1654=""),"",COUNTIFS(LdAParty,$A1654,LdAType,1,LdAKey,"&lt;"&amp;$G1654)+COUNTIFS(LdBMember,$A1654,LdBKey,"&lt;"&amp;$G1654)+COUNTIFS(LdCParty,$A1654,LdCKey,"&lt;"&amp;$G1654)+1)</f>
        <v/>
      </c>
      <c r="I1654">
        <f>IF($H1654="","",$A1654&amp;"|"&amp;RIGHT("000000"&amp;$H1654,6))</f>
        <v/>
      </c>
      <c r="J1654">
        <f>IF(OR($B1654&lt;&gt;2,$G1654=""),"",COUNTIFS(LdAParty,$A1654,LdAType,2,LdAKey,"&lt;"&amp;$G1654)+1)</f>
        <v/>
      </c>
      <c r="K1654">
        <f>IF($J1654="","",$A1654&amp;"|"&amp;RIGHT("000000"&amp;$J1654,6))</f>
        <v/>
      </c>
      <c r="L1654">
        <f>IF($A1654="","",IF(Wages!$G1657="",0,Wages!$G1657))</f>
        <v/>
      </c>
      <c r="M1654">
        <f>IF($A1654="","",Wages!$J1657)</f>
        <v/>
      </c>
      <c r="N1654">
        <f>IF($A1654="","",Wages!$D1657)</f>
        <v/>
      </c>
      <c r="P1654">
        <f>IF(OR(Shares!$B1657="",Shares!$C1657=""),"",Shares!$C1657)</f>
        <v/>
      </c>
      <c r="Q1654">
        <f>IF($P1654="","",Shares!$B1657)</f>
        <v/>
      </c>
      <c r="R1654">
        <f>IF($P1654="","",IFERROR(INDEX(WageParty,MATCH($Q1654,WageIds,0)),""))</f>
        <v/>
      </c>
      <c r="S1654">
        <f>IF($P1654="","",IFERROR(INDEX($F$6:$F$2005,MATCH($Q1654,WageIds,0)),""))</f>
        <v/>
      </c>
      <c r="T1654">
        <f>IF(OR($P1654="",$S1654="",$S1654="نامعتبر"),"",LEFT($S1654,4)&amp;MID($S1654,6,2)&amp;RIGHT($S1654,2)&amp;"0000"&amp;"|"&amp;"2"&amp;RIGHT("00000"&amp;1649,5))</f>
        <v/>
      </c>
      <c r="U1654">
        <f>IF($T1654="","",COUNTIFS(LdAParty,$P1654,LdAType,1,LdAKey,"&lt;"&amp;$T1654)+COUNTIFS(LdBMember,$P1654,LdBKey,"&lt;"&amp;$T1654)+COUNTIFS(LdCParty,$P1654,LdCKey,"&lt;"&amp;$T1654)+1)</f>
        <v/>
      </c>
      <c r="V1654">
        <f>IF($U1654="","",$P1654&amp;"|"&amp;RIGHT("000000"&amp;$U1654,6))</f>
        <v/>
      </c>
      <c r="W1654">
        <f>IF($T1654="","",COUNTIFS(LdBGroup,$R1654,LdBKey,"&lt;"&amp;$T1654)+1)</f>
        <v/>
      </c>
      <c r="X1654">
        <f>IF($W1654="","",$R1654&amp;"|"&amp;RIGHT("000000"&amp;$W1654,6))</f>
        <v/>
      </c>
      <c r="Y1654">
        <f>IF($P1654="","",IF(Shares!$E1657="",0,Shares!$E1657))</f>
        <v/>
      </c>
      <c r="Z1654">
        <f>IF($P1654="","",Shares!$H1657)</f>
        <v/>
      </c>
      <c r="AE1654">
        <f>IF(OR(Sync!$S1654="",Sync!$P1654=""),"",Sync!$S1654)</f>
        <v/>
      </c>
      <c r="AF1654">
        <f>IF($AE1654="","",IF(ISNUMBER(Sync!$P1654),IF(AND(Sync!$P1654&gt;=10000101,Sync!$P1654&lt;=99991231),INT(Sync!$P1654/10000),""),IFERROR(VALUE(TRIM(LEFT(Sync!$P1654,FIND("/",Sync!$P1654)-1))),"")))</f>
        <v/>
      </c>
      <c r="AG1654">
        <f>IF(OR($AE1654="",$AF1654=""),"",IF(ISNUMBER(Sync!$P1654),INT(MOD(Sync!$P1654,10000)/100),IFERROR(VALUE(TRIM(LEFT(MID(Sync!$P1654,FIND("/",Sync!$P1654)+1,20),FIND("/",MID(Sync!$P1654,FIND("/",Sync!$P1654)+1,20))-1))),"")))</f>
        <v/>
      </c>
      <c r="AH1654">
        <f>IF(OR($AE1654="",$AF1654=""),"",IF(ISNUMBER(Sync!$P1654),MOD(Sync!$P1654,100),IFERROR(VALUE(TRIM(MID(MID(Sync!$P1654,FIND("/",Sync!$P1654)+1,20),FIND("/",MID(Sync!$P1654,FIND("/",Sync!$P1654)+1,20))+1,20))),"")))</f>
        <v/>
      </c>
      <c r="AI1654">
        <f>IF($AE1654="","",IF(OR($AF1654="",$AG1654="",$AH1654="",$AF1654&lt;1300,$AF1654&gt;1500,$AG1654&lt;1,$AG1654&gt;12,$AH1654&lt;1,$AH1654&gt;31),"نامعتبر",RIGHT("0000"&amp;$AF1654,4)&amp;"/"&amp;RIGHT("00"&amp;$AG1654,2)&amp;"/"&amp;RIGHT("00"&amp;$AH1654,2)))</f>
        <v/>
      </c>
      <c r="AJ1654">
        <f>IF($AE1654="","",IF(Sync!$Q1654="","0000",IF(AND(ISNUMBER(Sync!$Q1654),Sync!$Q1654&gt;=0,Sync!$Q1654&lt;1),RIGHT("00"&amp;HOUR(Sync!$Q1654),2)&amp;RIGHT("00"&amp;MINUTE(Sync!$Q1654),2),IFERROR(RIGHT("00"&amp;VALUE(LEFT(Sync!$Q1654,FIND(":",Sync!$Q1654)-1)),2)&amp;RIGHT("00"&amp;VALUE(MID(Sync!$Q1654,FIND(":",Sync!$Q1654)+1,2)),2),"0000"))))</f>
        <v/>
      </c>
      <c r="AK1654">
        <f>IF(OR($AE1654="",$AI1654="",$AI1654="نامعتبر"),"",LEFT($AI1654,4)&amp;MID($AI1654,6,2)&amp;RIGHT($AI1654,2)&amp;$AJ1654&amp;"|"&amp;"3"&amp;RIGHT("00000"&amp;1649,5))</f>
        <v/>
      </c>
      <c r="AL1654">
        <f>IF($AK1654="","",COUNTIFS(LdAParty,$AE1654,LdAType,1,LdAKey,"&lt;"&amp;$AK1654)+COUNTIFS(LdBMember,$AE1654,LdBKey,"&lt;"&amp;$AK1654)+COUNTIFS(LdCParty,$AE1654,LdCKey,"&lt;"&amp;$AK1654)+1)</f>
        <v/>
      </c>
      <c r="AM1654">
        <f>IF($AL1654="","",$AE1654&amp;"|"&amp;RIGHT("000000"&amp;$AL1654,6))</f>
        <v/>
      </c>
      <c r="AN1654">
        <f>IF($AE1654="","",IF(Sync!$W1654="",0,Sync!$W1654))</f>
        <v/>
      </c>
      <c r="AO1654">
        <f>IF($AE1654="","",IF(Sync!$X1654="",0,Sync!$X1654))</f>
        <v/>
      </c>
      <c r="AP1654">
        <f>IF($AE1654="","",Sync!$R1654)</f>
        <v/>
      </c>
      <c r="AQ1654">
        <f>IF($AE1654="","",Sync!$Y1654)</f>
        <v/>
      </c>
    </row>
    <row r="1655">
      <c r="A1655">
        <f>IF(OR(Wages!$B1658="",Wages!$E1658=""),"",Wages!$E1658)</f>
        <v/>
      </c>
      <c r="B1655">
        <f>IF($A1655="","",IF(Wages!$C1658="دستمزد گروهی",2,1))</f>
        <v/>
      </c>
      <c r="C1655">
        <f>IF($A1655="","",IF(ISNUMBER(Wages!$B1658),IF(AND(Wages!$B1658&gt;=10000101,Wages!$B1658&lt;=99991231),INT(Wages!$B1658/10000),""),IFERROR(VALUE(TRIM(LEFT(Wages!$B1658,FIND("/",Wages!$B1658)-1))),"")))</f>
        <v/>
      </c>
      <c r="D1655">
        <f>IF(OR($A1655="",$C1655=""),"",IF(ISNUMBER(Wages!$B1658),INT(MOD(Wages!$B1658,10000)/100),IFERROR(VALUE(TRIM(LEFT(MID(Wages!$B1658,FIND("/",Wages!$B1658)+1,20),FIND("/",MID(Wages!$B1658,FIND("/",Wages!$B1658)+1,20))-1))),"")))</f>
        <v/>
      </c>
      <c r="E1655">
        <f>IF(OR($A1655="",$C1655=""),"",IF(ISNUMBER(Wages!$B1658),MOD(Wages!$B1658,100),IFERROR(VALUE(TRIM(MID(MID(Wages!$B1658,FIND("/",Wages!$B1658)+1,20),FIND("/",MID(Wages!$B1658,FIND("/",Wages!$B1658)+1,20))+1,20))),"")))</f>
        <v/>
      </c>
      <c r="F1655">
        <f>IF($A1655="","",IF(OR($C1655="",$D1655="",$E1655="",$C1655&lt;1300,$C1655&gt;1500,$D1655&lt;1,$D1655&gt;12,$E1655&lt;1,$E1655&gt;31),"نامعتبر",RIGHT("0000"&amp;$C1655,4)&amp;"/"&amp;RIGHT("00"&amp;$D1655,2)&amp;"/"&amp;RIGHT("00"&amp;$E1655,2)))</f>
        <v/>
      </c>
      <c r="G1655">
        <f>IF(OR($A1655="",$F1655="",$F1655="نامعتبر"),"",LEFT($F1655,4)&amp;MID($F1655,6,2)&amp;RIGHT($F1655,2)&amp;"0000"&amp;"|"&amp;"1"&amp;RIGHT("00000"&amp;1650,5))</f>
        <v/>
      </c>
      <c r="H1655">
        <f>IF(OR($B1655&lt;&gt;1,$G1655=""),"",COUNTIFS(LdAParty,$A1655,LdAType,1,LdAKey,"&lt;"&amp;$G1655)+COUNTIFS(LdBMember,$A1655,LdBKey,"&lt;"&amp;$G1655)+COUNTIFS(LdCParty,$A1655,LdCKey,"&lt;"&amp;$G1655)+1)</f>
        <v/>
      </c>
      <c r="I1655">
        <f>IF($H1655="","",$A1655&amp;"|"&amp;RIGHT("000000"&amp;$H1655,6))</f>
        <v/>
      </c>
      <c r="J1655">
        <f>IF(OR($B1655&lt;&gt;2,$G1655=""),"",COUNTIFS(LdAParty,$A1655,LdAType,2,LdAKey,"&lt;"&amp;$G1655)+1)</f>
        <v/>
      </c>
      <c r="K1655">
        <f>IF($J1655="","",$A1655&amp;"|"&amp;RIGHT("000000"&amp;$J1655,6))</f>
        <v/>
      </c>
      <c r="L1655">
        <f>IF($A1655="","",IF(Wages!$G1658="",0,Wages!$G1658))</f>
        <v/>
      </c>
      <c r="M1655">
        <f>IF($A1655="","",Wages!$J1658)</f>
        <v/>
      </c>
      <c r="N1655">
        <f>IF($A1655="","",Wages!$D1658)</f>
        <v/>
      </c>
      <c r="P1655">
        <f>IF(OR(Shares!$B1658="",Shares!$C1658=""),"",Shares!$C1658)</f>
        <v/>
      </c>
      <c r="Q1655">
        <f>IF($P1655="","",Shares!$B1658)</f>
        <v/>
      </c>
      <c r="R1655">
        <f>IF($P1655="","",IFERROR(INDEX(WageParty,MATCH($Q1655,WageIds,0)),""))</f>
        <v/>
      </c>
      <c r="S1655">
        <f>IF($P1655="","",IFERROR(INDEX($F$6:$F$2005,MATCH($Q1655,WageIds,0)),""))</f>
        <v/>
      </c>
      <c r="T1655">
        <f>IF(OR($P1655="",$S1655="",$S1655="نامعتبر"),"",LEFT($S1655,4)&amp;MID($S1655,6,2)&amp;RIGHT($S1655,2)&amp;"0000"&amp;"|"&amp;"2"&amp;RIGHT("00000"&amp;1650,5))</f>
        <v/>
      </c>
      <c r="U1655">
        <f>IF($T1655="","",COUNTIFS(LdAParty,$P1655,LdAType,1,LdAKey,"&lt;"&amp;$T1655)+COUNTIFS(LdBMember,$P1655,LdBKey,"&lt;"&amp;$T1655)+COUNTIFS(LdCParty,$P1655,LdCKey,"&lt;"&amp;$T1655)+1)</f>
        <v/>
      </c>
      <c r="V1655">
        <f>IF($U1655="","",$P1655&amp;"|"&amp;RIGHT("000000"&amp;$U1655,6))</f>
        <v/>
      </c>
      <c r="W1655">
        <f>IF($T1655="","",COUNTIFS(LdBGroup,$R1655,LdBKey,"&lt;"&amp;$T1655)+1)</f>
        <v/>
      </c>
      <c r="X1655">
        <f>IF($W1655="","",$R1655&amp;"|"&amp;RIGHT("000000"&amp;$W1655,6))</f>
        <v/>
      </c>
      <c r="Y1655">
        <f>IF($P1655="","",IF(Shares!$E1658="",0,Shares!$E1658))</f>
        <v/>
      </c>
      <c r="Z1655">
        <f>IF($P1655="","",Shares!$H1658)</f>
        <v/>
      </c>
      <c r="AE1655">
        <f>IF(OR(Sync!$S1655="",Sync!$P1655=""),"",Sync!$S1655)</f>
        <v/>
      </c>
      <c r="AF1655">
        <f>IF($AE1655="","",IF(ISNUMBER(Sync!$P1655),IF(AND(Sync!$P1655&gt;=10000101,Sync!$P1655&lt;=99991231),INT(Sync!$P1655/10000),""),IFERROR(VALUE(TRIM(LEFT(Sync!$P1655,FIND("/",Sync!$P1655)-1))),"")))</f>
        <v/>
      </c>
      <c r="AG1655">
        <f>IF(OR($AE1655="",$AF1655=""),"",IF(ISNUMBER(Sync!$P1655),INT(MOD(Sync!$P1655,10000)/100),IFERROR(VALUE(TRIM(LEFT(MID(Sync!$P1655,FIND("/",Sync!$P1655)+1,20),FIND("/",MID(Sync!$P1655,FIND("/",Sync!$P1655)+1,20))-1))),"")))</f>
        <v/>
      </c>
      <c r="AH1655">
        <f>IF(OR($AE1655="",$AF1655=""),"",IF(ISNUMBER(Sync!$P1655),MOD(Sync!$P1655,100),IFERROR(VALUE(TRIM(MID(MID(Sync!$P1655,FIND("/",Sync!$P1655)+1,20),FIND("/",MID(Sync!$P1655,FIND("/",Sync!$P1655)+1,20))+1,20))),"")))</f>
        <v/>
      </c>
      <c r="AI1655">
        <f>IF($AE1655="","",IF(OR($AF1655="",$AG1655="",$AH1655="",$AF1655&lt;1300,$AF1655&gt;1500,$AG1655&lt;1,$AG1655&gt;12,$AH1655&lt;1,$AH1655&gt;31),"نامعتبر",RIGHT("0000"&amp;$AF1655,4)&amp;"/"&amp;RIGHT("00"&amp;$AG1655,2)&amp;"/"&amp;RIGHT("00"&amp;$AH1655,2)))</f>
        <v/>
      </c>
      <c r="AJ1655">
        <f>IF($AE1655="","",IF(Sync!$Q1655="","0000",IF(AND(ISNUMBER(Sync!$Q1655),Sync!$Q1655&gt;=0,Sync!$Q1655&lt;1),RIGHT("00"&amp;HOUR(Sync!$Q1655),2)&amp;RIGHT("00"&amp;MINUTE(Sync!$Q1655),2),IFERROR(RIGHT("00"&amp;VALUE(LEFT(Sync!$Q1655,FIND(":",Sync!$Q1655)-1)),2)&amp;RIGHT("00"&amp;VALUE(MID(Sync!$Q1655,FIND(":",Sync!$Q1655)+1,2)),2),"0000"))))</f>
        <v/>
      </c>
      <c r="AK1655">
        <f>IF(OR($AE1655="",$AI1655="",$AI1655="نامعتبر"),"",LEFT($AI1655,4)&amp;MID($AI1655,6,2)&amp;RIGHT($AI1655,2)&amp;$AJ1655&amp;"|"&amp;"3"&amp;RIGHT("00000"&amp;1650,5))</f>
        <v/>
      </c>
      <c r="AL1655">
        <f>IF($AK1655="","",COUNTIFS(LdAParty,$AE1655,LdAType,1,LdAKey,"&lt;"&amp;$AK1655)+COUNTIFS(LdBMember,$AE1655,LdBKey,"&lt;"&amp;$AK1655)+COUNTIFS(LdCParty,$AE1655,LdCKey,"&lt;"&amp;$AK1655)+1)</f>
        <v/>
      </c>
      <c r="AM1655">
        <f>IF($AL1655="","",$AE1655&amp;"|"&amp;RIGHT("000000"&amp;$AL1655,6))</f>
        <v/>
      </c>
      <c r="AN1655">
        <f>IF($AE1655="","",IF(Sync!$W1655="",0,Sync!$W1655))</f>
        <v/>
      </c>
      <c r="AO1655">
        <f>IF($AE1655="","",IF(Sync!$X1655="",0,Sync!$X1655))</f>
        <v/>
      </c>
      <c r="AP1655">
        <f>IF($AE1655="","",Sync!$R1655)</f>
        <v/>
      </c>
      <c r="AQ1655">
        <f>IF($AE1655="","",Sync!$Y1655)</f>
        <v/>
      </c>
    </row>
    <row r="1656">
      <c r="A1656">
        <f>IF(OR(Wages!$B1659="",Wages!$E1659=""),"",Wages!$E1659)</f>
        <v/>
      </c>
      <c r="B1656">
        <f>IF($A1656="","",IF(Wages!$C1659="دستمزد گروهی",2,1))</f>
        <v/>
      </c>
      <c r="C1656">
        <f>IF($A1656="","",IF(ISNUMBER(Wages!$B1659),IF(AND(Wages!$B1659&gt;=10000101,Wages!$B1659&lt;=99991231),INT(Wages!$B1659/10000),""),IFERROR(VALUE(TRIM(LEFT(Wages!$B1659,FIND("/",Wages!$B1659)-1))),"")))</f>
        <v/>
      </c>
      <c r="D1656">
        <f>IF(OR($A1656="",$C1656=""),"",IF(ISNUMBER(Wages!$B1659),INT(MOD(Wages!$B1659,10000)/100),IFERROR(VALUE(TRIM(LEFT(MID(Wages!$B1659,FIND("/",Wages!$B1659)+1,20),FIND("/",MID(Wages!$B1659,FIND("/",Wages!$B1659)+1,20))-1))),"")))</f>
        <v/>
      </c>
      <c r="E1656">
        <f>IF(OR($A1656="",$C1656=""),"",IF(ISNUMBER(Wages!$B1659),MOD(Wages!$B1659,100),IFERROR(VALUE(TRIM(MID(MID(Wages!$B1659,FIND("/",Wages!$B1659)+1,20),FIND("/",MID(Wages!$B1659,FIND("/",Wages!$B1659)+1,20))+1,20))),"")))</f>
        <v/>
      </c>
      <c r="F1656">
        <f>IF($A1656="","",IF(OR($C1656="",$D1656="",$E1656="",$C1656&lt;1300,$C1656&gt;1500,$D1656&lt;1,$D1656&gt;12,$E1656&lt;1,$E1656&gt;31),"نامعتبر",RIGHT("0000"&amp;$C1656,4)&amp;"/"&amp;RIGHT("00"&amp;$D1656,2)&amp;"/"&amp;RIGHT("00"&amp;$E1656,2)))</f>
        <v/>
      </c>
      <c r="G1656">
        <f>IF(OR($A1656="",$F1656="",$F1656="نامعتبر"),"",LEFT($F1656,4)&amp;MID($F1656,6,2)&amp;RIGHT($F1656,2)&amp;"0000"&amp;"|"&amp;"1"&amp;RIGHT("00000"&amp;1651,5))</f>
        <v/>
      </c>
      <c r="H1656">
        <f>IF(OR($B1656&lt;&gt;1,$G1656=""),"",COUNTIFS(LdAParty,$A1656,LdAType,1,LdAKey,"&lt;"&amp;$G1656)+COUNTIFS(LdBMember,$A1656,LdBKey,"&lt;"&amp;$G1656)+COUNTIFS(LdCParty,$A1656,LdCKey,"&lt;"&amp;$G1656)+1)</f>
        <v/>
      </c>
      <c r="I1656">
        <f>IF($H1656="","",$A1656&amp;"|"&amp;RIGHT("000000"&amp;$H1656,6))</f>
        <v/>
      </c>
      <c r="J1656">
        <f>IF(OR($B1656&lt;&gt;2,$G1656=""),"",COUNTIFS(LdAParty,$A1656,LdAType,2,LdAKey,"&lt;"&amp;$G1656)+1)</f>
        <v/>
      </c>
      <c r="K1656">
        <f>IF($J1656="","",$A1656&amp;"|"&amp;RIGHT("000000"&amp;$J1656,6))</f>
        <v/>
      </c>
      <c r="L1656">
        <f>IF($A1656="","",IF(Wages!$G1659="",0,Wages!$G1659))</f>
        <v/>
      </c>
      <c r="M1656">
        <f>IF($A1656="","",Wages!$J1659)</f>
        <v/>
      </c>
      <c r="N1656">
        <f>IF($A1656="","",Wages!$D1659)</f>
        <v/>
      </c>
      <c r="P1656">
        <f>IF(OR(Shares!$B1659="",Shares!$C1659=""),"",Shares!$C1659)</f>
        <v/>
      </c>
      <c r="Q1656">
        <f>IF($P1656="","",Shares!$B1659)</f>
        <v/>
      </c>
      <c r="R1656">
        <f>IF($P1656="","",IFERROR(INDEX(WageParty,MATCH($Q1656,WageIds,0)),""))</f>
        <v/>
      </c>
      <c r="S1656">
        <f>IF($P1656="","",IFERROR(INDEX($F$6:$F$2005,MATCH($Q1656,WageIds,0)),""))</f>
        <v/>
      </c>
      <c r="T1656">
        <f>IF(OR($P1656="",$S1656="",$S1656="نامعتبر"),"",LEFT($S1656,4)&amp;MID($S1656,6,2)&amp;RIGHT($S1656,2)&amp;"0000"&amp;"|"&amp;"2"&amp;RIGHT("00000"&amp;1651,5))</f>
        <v/>
      </c>
      <c r="U1656">
        <f>IF($T1656="","",COUNTIFS(LdAParty,$P1656,LdAType,1,LdAKey,"&lt;"&amp;$T1656)+COUNTIFS(LdBMember,$P1656,LdBKey,"&lt;"&amp;$T1656)+COUNTIFS(LdCParty,$P1656,LdCKey,"&lt;"&amp;$T1656)+1)</f>
        <v/>
      </c>
      <c r="V1656">
        <f>IF($U1656="","",$P1656&amp;"|"&amp;RIGHT("000000"&amp;$U1656,6))</f>
        <v/>
      </c>
      <c r="W1656">
        <f>IF($T1656="","",COUNTIFS(LdBGroup,$R1656,LdBKey,"&lt;"&amp;$T1656)+1)</f>
        <v/>
      </c>
      <c r="X1656">
        <f>IF($W1656="","",$R1656&amp;"|"&amp;RIGHT("000000"&amp;$W1656,6))</f>
        <v/>
      </c>
      <c r="Y1656">
        <f>IF($P1656="","",IF(Shares!$E1659="",0,Shares!$E1659))</f>
        <v/>
      </c>
      <c r="Z1656">
        <f>IF($P1656="","",Shares!$H1659)</f>
        <v/>
      </c>
      <c r="AE1656">
        <f>IF(OR(Sync!$S1656="",Sync!$P1656=""),"",Sync!$S1656)</f>
        <v/>
      </c>
      <c r="AF1656">
        <f>IF($AE1656="","",IF(ISNUMBER(Sync!$P1656),IF(AND(Sync!$P1656&gt;=10000101,Sync!$P1656&lt;=99991231),INT(Sync!$P1656/10000),""),IFERROR(VALUE(TRIM(LEFT(Sync!$P1656,FIND("/",Sync!$P1656)-1))),"")))</f>
        <v/>
      </c>
      <c r="AG1656">
        <f>IF(OR($AE1656="",$AF1656=""),"",IF(ISNUMBER(Sync!$P1656),INT(MOD(Sync!$P1656,10000)/100),IFERROR(VALUE(TRIM(LEFT(MID(Sync!$P1656,FIND("/",Sync!$P1656)+1,20),FIND("/",MID(Sync!$P1656,FIND("/",Sync!$P1656)+1,20))-1))),"")))</f>
        <v/>
      </c>
      <c r="AH1656">
        <f>IF(OR($AE1656="",$AF1656=""),"",IF(ISNUMBER(Sync!$P1656),MOD(Sync!$P1656,100),IFERROR(VALUE(TRIM(MID(MID(Sync!$P1656,FIND("/",Sync!$P1656)+1,20),FIND("/",MID(Sync!$P1656,FIND("/",Sync!$P1656)+1,20))+1,20))),"")))</f>
        <v/>
      </c>
      <c r="AI1656">
        <f>IF($AE1656="","",IF(OR($AF1656="",$AG1656="",$AH1656="",$AF1656&lt;1300,$AF1656&gt;1500,$AG1656&lt;1,$AG1656&gt;12,$AH1656&lt;1,$AH1656&gt;31),"نامعتبر",RIGHT("0000"&amp;$AF1656,4)&amp;"/"&amp;RIGHT("00"&amp;$AG1656,2)&amp;"/"&amp;RIGHT("00"&amp;$AH1656,2)))</f>
        <v/>
      </c>
      <c r="AJ1656">
        <f>IF($AE1656="","",IF(Sync!$Q1656="","0000",IF(AND(ISNUMBER(Sync!$Q1656),Sync!$Q1656&gt;=0,Sync!$Q1656&lt;1),RIGHT("00"&amp;HOUR(Sync!$Q1656),2)&amp;RIGHT("00"&amp;MINUTE(Sync!$Q1656),2),IFERROR(RIGHT("00"&amp;VALUE(LEFT(Sync!$Q1656,FIND(":",Sync!$Q1656)-1)),2)&amp;RIGHT("00"&amp;VALUE(MID(Sync!$Q1656,FIND(":",Sync!$Q1656)+1,2)),2),"0000"))))</f>
        <v/>
      </c>
      <c r="AK1656">
        <f>IF(OR($AE1656="",$AI1656="",$AI1656="نامعتبر"),"",LEFT($AI1656,4)&amp;MID($AI1656,6,2)&amp;RIGHT($AI1656,2)&amp;$AJ1656&amp;"|"&amp;"3"&amp;RIGHT("00000"&amp;1651,5))</f>
        <v/>
      </c>
      <c r="AL1656">
        <f>IF($AK1656="","",COUNTIFS(LdAParty,$AE1656,LdAType,1,LdAKey,"&lt;"&amp;$AK1656)+COUNTIFS(LdBMember,$AE1656,LdBKey,"&lt;"&amp;$AK1656)+COUNTIFS(LdCParty,$AE1656,LdCKey,"&lt;"&amp;$AK1656)+1)</f>
        <v/>
      </c>
      <c r="AM1656">
        <f>IF($AL1656="","",$AE1656&amp;"|"&amp;RIGHT("000000"&amp;$AL1656,6))</f>
        <v/>
      </c>
      <c r="AN1656">
        <f>IF($AE1656="","",IF(Sync!$W1656="",0,Sync!$W1656))</f>
        <v/>
      </c>
      <c r="AO1656">
        <f>IF($AE1656="","",IF(Sync!$X1656="",0,Sync!$X1656))</f>
        <v/>
      </c>
      <c r="AP1656">
        <f>IF($AE1656="","",Sync!$R1656)</f>
        <v/>
      </c>
      <c r="AQ1656">
        <f>IF($AE1656="","",Sync!$Y1656)</f>
        <v/>
      </c>
    </row>
    <row r="1657">
      <c r="A1657">
        <f>IF(OR(Wages!$B1660="",Wages!$E1660=""),"",Wages!$E1660)</f>
        <v/>
      </c>
      <c r="B1657">
        <f>IF($A1657="","",IF(Wages!$C1660="دستمزد گروهی",2,1))</f>
        <v/>
      </c>
      <c r="C1657">
        <f>IF($A1657="","",IF(ISNUMBER(Wages!$B1660),IF(AND(Wages!$B1660&gt;=10000101,Wages!$B1660&lt;=99991231),INT(Wages!$B1660/10000),""),IFERROR(VALUE(TRIM(LEFT(Wages!$B1660,FIND("/",Wages!$B1660)-1))),"")))</f>
        <v/>
      </c>
      <c r="D1657">
        <f>IF(OR($A1657="",$C1657=""),"",IF(ISNUMBER(Wages!$B1660),INT(MOD(Wages!$B1660,10000)/100),IFERROR(VALUE(TRIM(LEFT(MID(Wages!$B1660,FIND("/",Wages!$B1660)+1,20),FIND("/",MID(Wages!$B1660,FIND("/",Wages!$B1660)+1,20))-1))),"")))</f>
        <v/>
      </c>
      <c r="E1657">
        <f>IF(OR($A1657="",$C1657=""),"",IF(ISNUMBER(Wages!$B1660),MOD(Wages!$B1660,100),IFERROR(VALUE(TRIM(MID(MID(Wages!$B1660,FIND("/",Wages!$B1660)+1,20),FIND("/",MID(Wages!$B1660,FIND("/",Wages!$B1660)+1,20))+1,20))),"")))</f>
        <v/>
      </c>
      <c r="F1657">
        <f>IF($A1657="","",IF(OR($C1657="",$D1657="",$E1657="",$C1657&lt;1300,$C1657&gt;1500,$D1657&lt;1,$D1657&gt;12,$E1657&lt;1,$E1657&gt;31),"نامعتبر",RIGHT("0000"&amp;$C1657,4)&amp;"/"&amp;RIGHT("00"&amp;$D1657,2)&amp;"/"&amp;RIGHT("00"&amp;$E1657,2)))</f>
        <v/>
      </c>
      <c r="G1657">
        <f>IF(OR($A1657="",$F1657="",$F1657="نامعتبر"),"",LEFT($F1657,4)&amp;MID($F1657,6,2)&amp;RIGHT($F1657,2)&amp;"0000"&amp;"|"&amp;"1"&amp;RIGHT("00000"&amp;1652,5))</f>
        <v/>
      </c>
      <c r="H1657">
        <f>IF(OR($B1657&lt;&gt;1,$G1657=""),"",COUNTIFS(LdAParty,$A1657,LdAType,1,LdAKey,"&lt;"&amp;$G1657)+COUNTIFS(LdBMember,$A1657,LdBKey,"&lt;"&amp;$G1657)+COUNTIFS(LdCParty,$A1657,LdCKey,"&lt;"&amp;$G1657)+1)</f>
        <v/>
      </c>
      <c r="I1657">
        <f>IF($H1657="","",$A1657&amp;"|"&amp;RIGHT("000000"&amp;$H1657,6))</f>
        <v/>
      </c>
      <c r="J1657">
        <f>IF(OR($B1657&lt;&gt;2,$G1657=""),"",COUNTIFS(LdAParty,$A1657,LdAType,2,LdAKey,"&lt;"&amp;$G1657)+1)</f>
        <v/>
      </c>
      <c r="K1657">
        <f>IF($J1657="","",$A1657&amp;"|"&amp;RIGHT("000000"&amp;$J1657,6))</f>
        <v/>
      </c>
      <c r="L1657">
        <f>IF($A1657="","",IF(Wages!$G1660="",0,Wages!$G1660))</f>
        <v/>
      </c>
      <c r="M1657">
        <f>IF($A1657="","",Wages!$J1660)</f>
        <v/>
      </c>
      <c r="N1657">
        <f>IF($A1657="","",Wages!$D1660)</f>
        <v/>
      </c>
      <c r="P1657">
        <f>IF(OR(Shares!$B1660="",Shares!$C1660=""),"",Shares!$C1660)</f>
        <v/>
      </c>
      <c r="Q1657">
        <f>IF($P1657="","",Shares!$B1660)</f>
        <v/>
      </c>
      <c r="R1657">
        <f>IF($P1657="","",IFERROR(INDEX(WageParty,MATCH($Q1657,WageIds,0)),""))</f>
        <v/>
      </c>
      <c r="S1657">
        <f>IF($P1657="","",IFERROR(INDEX($F$6:$F$2005,MATCH($Q1657,WageIds,0)),""))</f>
        <v/>
      </c>
      <c r="T1657">
        <f>IF(OR($P1657="",$S1657="",$S1657="نامعتبر"),"",LEFT($S1657,4)&amp;MID($S1657,6,2)&amp;RIGHT($S1657,2)&amp;"0000"&amp;"|"&amp;"2"&amp;RIGHT("00000"&amp;1652,5))</f>
        <v/>
      </c>
      <c r="U1657">
        <f>IF($T1657="","",COUNTIFS(LdAParty,$P1657,LdAType,1,LdAKey,"&lt;"&amp;$T1657)+COUNTIFS(LdBMember,$P1657,LdBKey,"&lt;"&amp;$T1657)+COUNTIFS(LdCParty,$P1657,LdCKey,"&lt;"&amp;$T1657)+1)</f>
        <v/>
      </c>
      <c r="V1657">
        <f>IF($U1657="","",$P1657&amp;"|"&amp;RIGHT("000000"&amp;$U1657,6))</f>
        <v/>
      </c>
      <c r="W1657">
        <f>IF($T1657="","",COUNTIFS(LdBGroup,$R1657,LdBKey,"&lt;"&amp;$T1657)+1)</f>
        <v/>
      </c>
      <c r="X1657">
        <f>IF($W1657="","",$R1657&amp;"|"&amp;RIGHT("000000"&amp;$W1657,6))</f>
        <v/>
      </c>
      <c r="Y1657">
        <f>IF($P1657="","",IF(Shares!$E1660="",0,Shares!$E1660))</f>
        <v/>
      </c>
      <c r="Z1657">
        <f>IF($P1657="","",Shares!$H1660)</f>
        <v/>
      </c>
      <c r="AE1657">
        <f>IF(OR(Sync!$S1657="",Sync!$P1657=""),"",Sync!$S1657)</f>
        <v/>
      </c>
      <c r="AF1657">
        <f>IF($AE1657="","",IF(ISNUMBER(Sync!$P1657),IF(AND(Sync!$P1657&gt;=10000101,Sync!$P1657&lt;=99991231),INT(Sync!$P1657/10000),""),IFERROR(VALUE(TRIM(LEFT(Sync!$P1657,FIND("/",Sync!$P1657)-1))),"")))</f>
        <v/>
      </c>
      <c r="AG1657">
        <f>IF(OR($AE1657="",$AF1657=""),"",IF(ISNUMBER(Sync!$P1657),INT(MOD(Sync!$P1657,10000)/100),IFERROR(VALUE(TRIM(LEFT(MID(Sync!$P1657,FIND("/",Sync!$P1657)+1,20),FIND("/",MID(Sync!$P1657,FIND("/",Sync!$P1657)+1,20))-1))),"")))</f>
        <v/>
      </c>
      <c r="AH1657">
        <f>IF(OR($AE1657="",$AF1657=""),"",IF(ISNUMBER(Sync!$P1657),MOD(Sync!$P1657,100),IFERROR(VALUE(TRIM(MID(MID(Sync!$P1657,FIND("/",Sync!$P1657)+1,20),FIND("/",MID(Sync!$P1657,FIND("/",Sync!$P1657)+1,20))+1,20))),"")))</f>
        <v/>
      </c>
      <c r="AI1657">
        <f>IF($AE1657="","",IF(OR($AF1657="",$AG1657="",$AH1657="",$AF1657&lt;1300,$AF1657&gt;1500,$AG1657&lt;1,$AG1657&gt;12,$AH1657&lt;1,$AH1657&gt;31),"نامعتبر",RIGHT("0000"&amp;$AF1657,4)&amp;"/"&amp;RIGHT("00"&amp;$AG1657,2)&amp;"/"&amp;RIGHT("00"&amp;$AH1657,2)))</f>
        <v/>
      </c>
      <c r="AJ1657">
        <f>IF($AE1657="","",IF(Sync!$Q1657="","0000",IF(AND(ISNUMBER(Sync!$Q1657),Sync!$Q1657&gt;=0,Sync!$Q1657&lt;1),RIGHT("00"&amp;HOUR(Sync!$Q1657),2)&amp;RIGHT("00"&amp;MINUTE(Sync!$Q1657),2),IFERROR(RIGHT("00"&amp;VALUE(LEFT(Sync!$Q1657,FIND(":",Sync!$Q1657)-1)),2)&amp;RIGHT("00"&amp;VALUE(MID(Sync!$Q1657,FIND(":",Sync!$Q1657)+1,2)),2),"0000"))))</f>
        <v/>
      </c>
      <c r="AK1657">
        <f>IF(OR($AE1657="",$AI1657="",$AI1657="نامعتبر"),"",LEFT($AI1657,4)&amp;MID($AI1657,6,2)&amp;RIGHT($AI1657,2)&amp;$AJ1657&amp;"|"&amp;"3"&amp;RIGHT("00000"&amp;1652,5))</f>
        <v/>
      </c>
      <c r="AL1657">
        <f>IF($AK1657="","",COUNTIFS(LdAParty,$AE1657,LdAType,1,LdAKey,"&lt;"&amp;$AK1657)+COUNTIFS(LdBMember,$AE1657,LdBKey,"&lt;"&amp;$AK1657)+COUNTIFS(LdCParty,$AE1657,LdCKey,"&lt;"&amp;$AK1657)+1)</f>
        <v/>
      </c>
      <c r="AM1657">
        <f>IF($AL1657="","",$AE1657&amp;"|"&amp;RIGHT("000000"&amp;$AL1657,6))</f>
        <v/>
      </c>
      <c r="AN1657">
        <f>IF($AE1657="","",IF(Sync!$W1657="",0,Sync!$W1657))</f>
        <v/>
      </c>
      <c r="AO1657">
        <f>IF($AE1657="","",IF(Sync!$X1657="",0,Sync!$X1657))</f>
        <v/>
      </c>
      <c r="AP1657">
        <f>IF($AE1657="","",Sync!$R1657)</f>
        <v/>
      </c>
      <c r="AQ1657">
        <f>IF($AE1657="","",Sync!$Y1657)</f>
        <v/>
      </c>
    </row>
    <row r="1658">
      <c r="A1658">
        <f>IF(OR(Wages!$B1661="",Wages!$E1661=""),"",Wages!$E1661)</f>
        <v/>
      </c>
      <c r="B1658">
        <f>IF($A1658="","",IF(Wages!$C1661="دستمزد گروهی",2,1))</f>
        <v/>
      </c>
      <c r="C1658">
        <f>IF($A1658="","",IF(ISNUMBER(Wages!$B1661),IF(AND(Wages!$B1661&gt;=10000101,Wages!$B1661&lt;=99991231),INT(Wages!$B1661/10000),""),IFERROR(VALUE(TRIM(LEFT(Wages!$B1661,FIND("/",Wages!$B1661)-1))),"")))</f>
        <v/>
      </c>
      <c r="D1658">
        <f>IF(OR($A1658="",$C1658=""),"",IF(ISNUMBER(Wages!$B1661),INT(MOD(Wages!$B1661,10000)/100),IFERROR(VALUE(TRIM(LEFT(MID(Wages!$B1661,FIND("/",Wages!$B1661)+1,20),FIND("/",MID(Wages!$B1661,FIND("/",Wages!$B1661)+1,20))-1))),"")))</f>
        <v/>
      </c>
      <c r="E1658">
        <f>IF(OR($A1658="",$C1658=""),"",IF(ISNUMBER(Wages!$B1661),MOD(Wages!$B1661,100),IFERROR(VALUE(TRIM(MID(MID(Wages!$B1661,FIND("/",Wages!$B1661)+1,20),FIND("/",MID(Wages!$B1661,FIND("/",Wages!$B1661)+1,20))+1,20))),"")))</f>
        <v/>
      </c>
      <c r="F1658">
        <f>IF($A1658="","",IF(OR($C1658="",$D1658="",$E1658="",$C1658&lt;1300,$C1658&gt;1500,$D1658&lt;1,$D1658&gt;12,$E1658&lt;1,$E1658&gt;31),"نامعتبر",RIGHT("0000"&amp;$C1658,4)&amp;"/"&amp;RIGHT("00"&amp;$D1658,2)&amp;"/"&amp;RIGHT("00"&amp;$E1658,2)))</f>
        <v/>
      </c>
      <c r="G1658">
        <f>IF(OR($A1658="",$F1658="",$F1658="نامعتبر"),"",LEFT($F1658,4)&amp;MID($F1658,6,2)&amp;RIGHT($F1658,2)&amp;"0000"&amp;"|"&amp;"1"&amp;RIGHT("00000"&amp;1653,5))</f>
        <v/>
      </c>
      <c r="H1658">
        <f>IF(OR($B1658&lt;&gt;1,$G1658=""),"",COUNTIFS(LdAParty,$A1658,LdAType,1,LdAKey,"&lt;"&amp;$G1658)+COUNTIFS(LdBMember,$A1658,LdBKey,"&lt;"&amp;$G1658)+COUNTIFS(LdCParty,$A1658,LdCKey,"&lt;"&amp;$G1658)+1)</f>
        <v/>
      </c>
      <c r="I1658">
        <f>IF($H1658="","",$A1658&amp;"|"&amp;RIGHT("000000"&amp;$H1658,6))</f>
        <v/>
      </c>
      <c r="J1658">
        <f>IF(OR($B1658&lt;&gt;2,$G1658=""),"",COUNTIFS(LdAParty,$A1658,LdAType,2,LdAKey,"&lt;"&amp;$G1658)+1)</f>
        <v/>
      </c>
      <c r="K1658">
        <f>IF($J1658="","",$A1658&amp;"|"&amp;RIGHT("000000"&amp;$J1658,6))</f>
        <v/>
      </c>
      <c r="L1658">
        <f>IF($A1658="","",IF(Wages!$G1661="",0,Wages!$G1661))</f>
        <v/>
      </c>
      <c r="M1658">
        <f>IF($A1658="","",Wages!$J1661)</f>
        <v/>
      </c>
      <c r="N1658">
        <f>IF($A1658="","",Wages!$D1661)</f>
        <v/>
      </c>
      <c r="P1658">
        <f>IF(OR(Shares!$B1661="",Shares!$C1661=""),"",Shares!$C1661)</f>
        <v/>
      </c>
      <c r="Q1658">
        <f>IF($P1658="","",Shares!$B1661)</f>
        <v/>
      </c>
      <c r="R1658">
        <f>IF($P1658="","",IFERROR(INDEX(WageParty,MATCH($Q1658,WageIds,0)),""))</f>
        <v/>
      </c>
      <c r="S1658">
        <f>IF($P1658="","",IFERROR(INDEX($F$6:$F$2005,MATCH($Q1658,WageIds,0)),""))</f>
        <v/>
      </c>
      <c r="T1658">
        <f>IF(OR($P1658="",$S1658="",$S1658="نامعتبر"),"",LEFT($S1658,4)&amp;MID($S1658,6,2)&amp;RIGHT($S1658,2)&amp;"0000"&amp;"|"&amp;"2"&amp;RIGHT("00000"&amp;1653,5))</f>
        <v/>
      </c>
      <c r="U1658">
        <f>IF($T1658="","",COUNTIFS(LdAParty,$P1658,LdAType,1,LdAKey,"&lt;"&amp;$T1658)+COUNTIFS(LdBMember,$P1658,LdBKey,"&lt;"&amp;$T1658)+COUNTIFS(LdCParty,$P1658,LdCKey,"&lt;"&amp;$T1658)+1)</f>
        <v/>
      </c>
      <c r="V1658">
        <f>IF($U1658="","",$P1658&amp;"|"&amp;RIGHT("000000"&amp;$U1658,6))</f>
        <v/>
      </c>
      <c r="W1658">
        <f>IF($T1658="","",COUNTIFS(LdBGroup,$R1658,LdBKey,"&lt;"&amp;$T1658)+1)</f>
        <v/>
      </c>
      <c r="X1658">
        <f>IF($W1658="","",$R1658&amp;"|"&amp;RIGHT("000000"&amp;$W1658,6))</f>
        <v/>
      </c>
      <c r="Y1658">
        <f>IF($P1658="","",IF(Shares!$E1661="",0,Shares!$E1661))</f>
        <v/>
      </c>
      <c r="Z1658">
        <f>IF($P1658="","",Shares!$H1661)</f>
        <v/>
      </c>
      <c r="AE1658">
        <f>IF(OR(Sync!$S1658="",Sync!$P1658=""),"",Sync!$S1658)</f>
        <v/>
      </c>
      <c r="AF1658">
        <f>IF($AE1658="","",IF(ISNUMBER(Sync!$P1658),IF(AND(Sync!$P1658&gt;=10000101,Sync!$P1658&lt;=99991231),INT(Sync!$P1658/10000),""),IFERROR(VALUE(TRIM(LEFT(Sync!$P1658,FIND("/",Sync!$P1658)-1))),"")))</f>
        <v/>
      </c>
      <c r="AG1658">
        <f>IF(OR($AE1658="",$AF1658=""),"",IF(ISNUMBER(Sync!$P1658),INT(MOD(Sync!$P1658,10000)/100),IFERROR(VALUE(TRIM(LEFT(MID(Sync!$P1658,FIND("/",Sync!$P1658)+1,20),FIND("/",MID(Sync!$P1658,FIND("/",Sync!$P1658)+1,20))-1))),"")))</f>
        <v/>
      </c>
      <c r="AH1658">
        <f>IF(OR($AE1658="",$AF1658=""),"",IF(ISNUMBER(Sync!$P1658),MOD(Sync!$P1658,100),IFERROR(VALUE(TRIM(MID(MID(Sync!$P1658,FIND("/",Sync!$P1658)+1,20),FIND("/",MID(Sync!$P1658,FIND("/",Sync!$P1658)+1,20))+1,20))),"")))</f>
        <v/>
      </c>
      <c r="AI1658">
        <f>IF($AE1658="","",IF(OR($AF1658="",$AG1658="",$AH1658="",$AF1658&lt;1300,$AF1658&gt;1500,$AG1658&lt;1,$AG1658&gt;12,$AH1658&lt;1,$AH1658&gt;31),"نامعتبر",RIGHT("0000"&amp;$AF1658,4)&amp;"/"&amp;RIGHT("00"&amp;$AG1658,2)&amp;"/"&amp;RIGHT("00"&amp;$AH1658,2)))</f>
        <v/>
      </c>
      <c r="AJ1658">
        <f>IF($AE1658="","",IF(Sync!$Q1658="","0000",IF(AND(ISNUMBER(Sync!$Q1658),Sync!$Q1658&gt;=0,Sync!$Q1658&lt;1),RIGHT("00"&amp;HOUR(Sync!$Q1658),2)&amp;RIGHT("00"&amp;MINUTE(Sync!$Q1658),2),IFERROR(RIGHT("00"&amp;VALUE(LEFT(Sync!$Q1658,FIND(":",Sync!$Q1658)-1)),2)&amp;RIGHT("00"&amp;VALUE(MID(Sync!$Q1658,FIND(":",Sync!$Q1658)+1,2)),2),"0000"))))</f>
        <v/>
      </c>
      <c r="AK1658">
        <f>IF(OR($AE1658="",$AI1658="",$AI1658="نامعتبر"),"",LEFT($AI1658,4)&amp;MID($AI1658,6,2)&amp;RIGHT($AI1658,2)&amp;$AJ1658&amp;"|"&amp;"3"&amp;RIGHT("00000"&amp;1653,5))</f>
        <v/>
      </c>
      <c r="AL1658">
        <f>IF($AK1658="","",COUNTIFS(LdAParty,$AE1658,LdAType,1,LdAKey,"&lt;"&amp;$AK1658)+COUNTIFS(LdBMember,$AE1658,LdBKey,"&lt;"&amp;$AK1658)+COUNTIFS(LdCParty,$AE1658,LdCKey,"&lt;"&amp;$AK1658)+1)</f>
        <v/>
      </c>
      <c r="AM1658">
        <f>IF($AL1658="","",$AE1658&amp;"|"&amp;RIGHT("000000"&amp;$AL1658,6))</f>
        <v/>
      </c>
      <c r="AN1658">
        <f>IF($AE1658="","",IF(Sync!$W1658="",0,Sync!$W1658))</f>
        <v/>
      </c>
      <c r="AO1658">
        <f>IF($AE1658="","",IF(Sync!$X1658="",0,Sync!$X1658))</f>
        <v/>
      </c>
      <c r="AP1658">
        <f>IF($AE1658="","",Sync!$R1658)</f>
        <v/>
      </c>
      <c r="AQ1658">
        <f>IF($AE1658="","",Sync!$Y1658)</f>
        <v/>
      </c>
    </row>
    <row r="1659">
      <c r="A1659">
        <f>IF(OR(Wages!$B1662="",Wages!$E1662=""),"",Wages!$E1662)</f>
        <v/>
      </c>
      <c r="B1659">
        <f>IF($A1659="","",IF(Wages!$C1662="دستمزد گروهی",2,1))</f>
        <v/>
      </c>
      <c r="C1659">
        <f>IF($A1659="","",IF(ISNUMBER(Wages!$B1662),IF(AND(Wages!$B1662&gt;=10000101,Wages!$B1662&lt;=99991231),INT(Wages!$B1662/10000),""),IFERROR(VALUE(TRIM(LEFT(Wages!$B1662,FIND("/",Wages!$B1662)-1))),"")))</f>
        <v/>
      </c>
      <c r="D1659">
        <f>IF(OR($A1659="",$C1659=""),"",IF(ISNUMBER(Wages!$B1662),INT(MOD(Wages!$B1662,10000)/100),IFERROR(VALUE(TRIM(LEFT(MID(Wages!$B1662,FIND("/",Wages!$B1662)+1,20),FIND("/",MID(Wages!$B1662,FIND("/",Wages!$B1662)+1,20))-1))),"")))</f>
        <v/>
      </c>
      <c r="E1659">
        <f>IF(OR($A1659="",$C1659=""),"",IF(ISNUMBER(Wages!$B1662),MOD(Wages!$B1662,100),IFERROR(VALUE(TRIM(MID(MID(Wages!$B1662,FIND("/",Wages!$B1662)+1,20),FIND("/",MID(Wages!$B1662,FIND("/",Wages!$B1662)+1,20))+1,20))),"")))</f>
        <v/>
      </c>
      <c r="F1659">
        <f>IF($A1659="","",IF(OR($C1659="",$D1659="",$E1659="",$C1659&lt;1300,$C1659&gt;1500,$D1659&lt;1,$D1659&gt;12,$E1659&lt;1,$E1659&gt;31),"نامعتبر",RIGHT("0000"&amp;$C1659,4)&amp;"/"&amp;RIGHT("00"&amp;$D1659,2)&amp;"/"&amp;RIGHT("00"&amp;$E1659,2)))</f>
        <v/>
      </c>
      <c r="G1659">
        <f>IF(OR($A1659="",$F1659="",$F1659="نامعتبر"),"",LEFT($F1659,4)&amp;MID($F1659,6,2)&amp;RIGHT($F1659,2)&amp;"0000"&amp;"|"&amp;"1"&amp;RIGHT("00000"&amp;1654,5))</f>
        <v/>
      </c>
      <c r="H1659">
        <f>IF(OR($B1659&lt;&gt;1,$G1659=""),"",COUNTIFS(LdAParty,$A1659,LdAType,1,LdAKey,"&lt;"&amp;$G1659)+COUNTIFS(LdBMember,$A1659,LdBKey,"&lt;"&amp;$G1659)+COUNTIFS(LdCParty,$A1659,LdCKey,"&lt;"&amp;$G1659)+1)</f>
        <v/>
      </c>
      <c r="I1659">
        <f>IF($H1659="","",$A1659&amp;"|"&amp;RIGHT("000000"&amp;$H1659,6))</f>
        <v/>
      </c>
      <c r="J1659">
        <f>IF(OR($B1659&lt;&gt;2,$G1659=""),"",COUNTIFS(LdAParty,$A1659,LdAType,2,LdAKey,"&lt;"&amp;$G1659)+1)</f>
        <v/>
      </c>
      <c r="K1659">
        <f>IF($J1659="","",$A1659&amp;"|"&amp;RIGHT("000000"&amp;$J1659,6))</f>
        <v/>
      </c>
      <c r="L1659">
        <f>IF($A1659="","",IF(Wages!$G1662="",0,Wages!$G1662))</f>
        <v/>
      </c>
      <c r="M1659">
        <f>IF($A1659="","",Wages!$J1662)</f>
        <v/>
      </c>
      <c r="N1659">
        <f>IF($A1659="","",Wages!$D1662)</f>
        <v/>
      </c>
      <c r="P1659">
        <f>IF(OR(Shares!$B1662="",Shares!$C1662=""),"",Shares!$C1662)</f>
        <v/>
      </c>
      <c r="Q1659">
        <f>IF($P1659="","",Shares!$B1662)</f>
        <v/>
      </c>
      <c r="R1659">
        <f>IF($P1659="","",IFERROR(INDEX(WageParty,MATCH($Q1659,WageIds,0)),""))</f>
        <v/>
      </c>
      <c r="S1659">
        <f>IF($P1659="","",IFERROR(INDEX($F$6:$F$2005,MATCH($Q1659,WageIds,0)),""))</f>
        <v/>
      </c>
      <c r="T1659">
        <f>IF(OR($P1659="",$S1659="",$S1659="نامعتبر"),"",LEFT($S1659,4)&amp;MID($S1659,6,2)&amp;RIGHT($S1659,2)&amp;"0000"&amp;"|"&amp;"2"&amp;RIGHT("00000"&amp;1654,5))</f>
        <v/>
      </c>
      <c r="U1659">
        <f>IF($T1659="","",COUNTIFS(LdAParty,$P1659,LdAType,1,LdAKey,"&lt;"&amp;$T1659)+COUNTIFS(LdBMember,$P1659,LdBKey,"&lt;"&amp;$T1659)+COUNTIFS(LdCParty,$P1659,LdCKey,"&lt;"&amp;$T1659)+1)</f>
        <v/>
      </c>
      <c r="V1659">
        <f>IF($U1659="","",$P1659&amp;"|"&amp;RIGHT("000000"&amp;$U1659,6))</f>
        <v/>
      </c>
      <c r="W1659">
        <f>IF($T1659="","",COUNTIFS(LdBGroup,$R1659,LdBKey,"&lt;"&amp;$T1659)+1)</f>
        <v/>
      </c>
      <c r="X1659">
        <f>IF($W1659="","",$R1659&amp;"|"&amp;RIGHT("000000"&amp;$W1659,6))</f>
        <v/>
      </c>
      <c r="Y1659">
        <f>IF($P1659="","",IF(Shares!$E1662="",0,Shares!$E1662))</f>
        <v/>
      </c>
      <c r="Z1659">
        <f>IF($P1659="","",Shares!$H1662)</f>
        <v/>
      </c>
      <c r="AE1659">
        <f>IF(OR(Sync!$S1659="",Sync!$P1659=""),"",Sync!$S1659)</f>
        <v/>
      </c>
      <c r="AF1659">
        <f>IF($AE1659="","",IF(ISNUMBER(Sync!$P1659),IF(AND(Sync!$P1659&gt;=10000101,Sync!$P1659&lt;=99991231),INT(Sync!$P1659/10000),""),IFERROR(VALUE(TRIM(LEFT(Sync!$P1659,FIND("/",Sync!$P1659)-1))),"")))</f>
        <v/>
      </c>
      <c r="AG1659">
        <f>IF(OR($AE1659="",$AF1659=""),"",IF(ISNUMBER(Sync!$P1659),INT(MOD(Sync!$P1659,10000)/100),IFERROR(VALUE(TRIM(LEFT(MID(Sync!$P1659,FIND("/",Sync!$P1659)+1,20),FIND("/",MID(Sync!$P1659,FIND("/",Sync!$P1659)+1,20))-1))),"")))</f>
        <v/>
      </c>
      <c r="AH1659">
        <f>IF(OR($AE1659="",$AF1659=""),"",IF(ISNUMBER(Sync!$P1659),MOD(Sync!$P1659,100),IFERROR(VALUE(TRIM(MID(MID(Sync!$P1659,FIND("/",Sync!$P1659)+1,20),FIND("/",MID(Sync!$P1659,FIND("/",Sync!$P1659)+1,20))+1,20))),"")))</f>
        <v/>
      </c>
      <c r="AI1659">
        <f>IF($AE1659="","",IF(OR($AF1659="",$AG1659="",$AH1659="",$AF1659&lt;1300,$AF1659&gt;1500,$AG1659&lt;1,$AG1659&gt;12,$AH1659&lt;1,$AH1659&gt;31),"نامعتبر",RIGHT("0000"&amp;$AF1659,4)&amp;"/"&amp;RIGHT("00"&amp;$AG1659,2)&amp;"/"&amp;RIGHT("00"&amp;$AH1659,2)))</f>
        <v/>
      </c>
      <c r="AJ1659">
        <f>IF($AE1659="","",IF(Sync!$Q1659="","0000",IF(AND(ISNUMBER(Sync!$Q1659),Sync!$Q1659&gt;=0,Sync!$Q1659&lt;1),RIGHT("00"&amp;HOUR(Sync!$Q1659),2)&amp;RIGHT("00"&amp;MINUTE(Sync!$Q1659),2),IFERROR(RIGHT("00"&amp;VALUE(LEFT(Sync!$Q1659,FIND(":",Sync!$Q1659)-1)),2)&amp;RIGHT("00"&amp;VALUE(MID(Sync!$Q1659,FIND(":",Sync!$Q1659)+1,2)),2),"0000"))))</f>
        <v/>
      </c>
      <c r="AK1659">
        <f>IF(OR($AE1659="",$AI1659="",$AI1659="نامعتبر"),"",LEFT($AI1659,4)&amp;MID($AI1659,6,2)&amp;RIGHT($AI1659,2)&amp;$AJ1659&amp;"|"&amp;"3"&amp;RIGHT("00000"&amp;1654,5))</f>
        <v/>
      </c>
      <c r="AL1659">
        <f>IF($AK1659="","",COUNTIFS(LdAParty,$AE1659,LdAType,1,LdAKey,"&lt;"&amp;$AK1659)+COUNTIFS(LdBMember,$AE1659,LdBKey,"&lt;"&amp;$AK1659)+COUNTIFS(LdCParty,$AE1659,LdCKey,"&lt;"&amp;$AK1659)+1)</f>
        <v/>
      </c>
      <c r="AM1659">
        <f>IF($AL1659="","",$AE1659&amp;"|"&amp;RIGHT("000000"&amp;$AL1659,6))</f>
        <v/>
      </c>
      <c r="AN1659">
        <f>IF($AE1659="","",IF(Sync!$W1659="",0,Sync!$W1659))</f>
        <v/>
      </c>
      <c r="AO1659">
        <f>IF($AE1659="","",IF(Sync!$X1659="",0,Sync!$X1659))</f>
        <v/>
      </c>
      <c r="AP1659">
        <f>IF($AE1659="","",Sync!$R1659)</f>
        <v/>
      </c>
      <c r="AQ1659">
        <f>IF($AE1659="","",Sync!$Y1659)</f>
        <v/>
      </c>
    </row>
    <row r="1660">
      <c r="A1660">
        <f>IF(OR(Wages!$B1663="",Wages!$E1663=""),"",Wages!$E1663)</f>
        <v/>
      </c>
      <c r="B1660">
        <f>IF($A1660="","",IF(Wages!$C1663="دستمزد گروهی",2,1))</f>
        <v/>
      </c>
      <c r="C1660">
        <f>IF($A1660="","",IF(ISNUMBER(Wages!$B1663),IF(AND(Wages!$B1663&gt;=10000101,Wages!$B1663&lt;=99991231),INT(Wages!$B1663/10000),""),IFERROR(VALUE(TRIM(LEFT(Wages!$B1663,FIND("/",Wages!$B1663)-1))),"")))</f>
        <v/>
      </c>
      <c r="D1660">
        <f>IF(OR($A1660="",$C1660=""),"",IF(ISNUMBER(Wages!$B1663),INT(MOD(Wages!$B1663,10000)/100),IFERROR(VALUE(TRIM(LEFT(MID(Wages!$B1663,FIND("/",Wages!$B1663)+1,20),FIND("/",MID(Wages!$B1663,FIND("/",Wages!$B1663)+1,20))-1))),"")))</f>
        <v/>
      </c>
      <c r="E1660">
        <f>IF(OR($A1660="",$C1660=""),"",IF(ISNUMBER(Wages!$B1663),MOD(Wages!$B1663,100),IFERROR(VALUE(TRIM(MID(MID(Wages!$B1663,FIND("/",Wages!$B1663)+1,20),FIND("/",MID(Wages!$B1663,FIND("/",Wages!$B1663)+1,20))+1,20))),"")))</f>
        <v/>
      </c>
      <c r="F1660">
        <f>IF($A1660="","",IF(OR($C1660="",$D1660="",$E1660="",$C1660&lt;1300,$C1660&gt;1500,$D1660&lt;1,$D1660&gt;12,$E1660&lt;1,$E1660&gt;31),"نامعتبر",RIGHT("0000"&amp;$C1660,4)&amp;"/"&amp;RIGHT("00"&amp;$D1660,2)&amp;"/"&amp;RIGHT("00"&amp;$E1660,2)))</f>
        <v/>
      </c>
      <c r="G1660">
        <f>IF(OR($A1660="",$F1660="",$F1660="نامعتبر"),"",LEFT($F1660,4)&amp;MID($F1660,6,2)&amp;RIGHT($F1660,2)&amp;"0000"&amp;"|"&amp;"1"&amp;RIGHT("00000"&amp;1655,5))</f>
        <v/>
      </c>
      <c r="H1660">
        <f>IF(OR($B1660&lt;&gt;1,$G1660=""),"",COUNTIFS(LdAParty,$A1660,LdAType,1,LdAKey,"&lt;"&amp;$G1660)+COUNTIFS(LdBMember,$A1660,LdBKey,"&lt;"&amp;$G1660)+COUNTIFS(LdCParty,$A1660,LdCKey,"&lt;"&amp;$G1660)+1)</f>
        <v/>
      </c>
      <c r="I1660">
        <f>IF($H1660="","",$A1660&amp;"|"&amp;RIGHT("000000"&amp;$H1660,6))</f>
        <v/>
      </c>
      <c r="J1660">
        <f>IF(OR($B1660&lt;&gt;2,$G1660=""),"",COUNTIFS(LdAParty,$A1660,LdAType,2,LdAKey,"&lt;"&amp;$G1660)+1)</f>
        <v/>
      </c>
      <c r="K1660">
        <f>IF($J1660="","",$A1660&amp;"|"&amp;RIGHT("000000"&amp;$J1660,6))</f>
        <v/>
      </c>
      <c r="L1660">
        <f>IF($A1660="","",IF(Wages!$G1663="",0,Wages!$G1663))</f>
        <v/>
      </c>
      <c r="M1660">
        <f>IF($A1660="","",Wages!$J1663)</f>
        <v/>
      </c>
      <c r="N1660">
        <f>IF($A1660="","",Wages!$D1663)</f>
        <v/>
      </c>
      <c r="P1660">
        <f>IF(OR(Shares!$B1663="",Shares!$C1663=""),"",Shares!$C1663)</f>
        <v/>
      </c>
      <c r="Q1660">
        <f>IF($P1660="","",Shares!$B1663)</f>
        <v/>
      </c>
      <c r="R1660">
        <f>IF($P1660="","",IFERROR(INDEX(WageParty,MATCH($Q1660,WageIds,0)),""))</f>
        <v/>
      </c>
      <c r="S1660">
        <f>IF($P1660="","",IFERROR(INDEX($F$6:$F$2005,MATCH($Q1660,WageIds,0)),""))</f>
        <v/>
      </c>
      <c r="T1660">
        <f>IF(OR($P1660="",$S1660="",$S1660="نامعتبر"),"",LEFT($S1660,4)&amp;MID($S1660,6,2)&amp;RIGHT($S1660,2)&amp;"0000"&amp;"|"&amp;"2"&amp;RIGHT("00000"&amp;1655,5))</f>
        <v/>
      </c>
      <c r="U1660">
        <f>IF($T1660="","",COUNTIFS(LdAParty,$P1660,LdAType,1,LdAKey,"&lt;"&amp;$T1660)+COUNTIFS(LdBMember,$P1660,LdBKey,"&lt;"&amp;$T1660)+COUNTIFS(LdCParty,$P1660,LdCKey,"&lt;"&amp;$T1660)+1)</f>
        <v/>
      </c>
      <c r="V1660">
        <f>IF($U1660="","",$P1660&amp;"|"&amp;RIGHT("000000"&amp;$U1660,6))</f>
        <v/>
      </c>
      <c r="W1660">
        <f>IF($T1660="","",COUNTIFS(LdBGroup,$R1660,LdBKey,"&lt;"&amp;$T1660)+1)</f>
        <v/>
      </c>
      <c r="X1660">
        <f>IF($W1660="","",$R1660&amp;"|"&amp;RIGHT("000000"&amp;$W1660,6))</f>
        <v/>
      </c>
      <c r="Y1660">
        <f>IF($P1660="","",IF(Shares!$E1663="",0,Shares!$E1663))</f>
        <v/>
      </c>
      <c r="Z1660">
        <f>IF($P1660="","",Shares!$H1663)</f>
        <v/>
      </c>
      <c r="AE1660">
        <f>IF(OR(Sync!$S1660="",Sync!$P1660=""),"",Sync!$S1660)</f>
        <v/>
      </c>
      <c r="AF1660">
        <f>IF($AE1660="","",IF(ISNUMBER(Sync!$P1660),IF(AND(Sync!$P1660&gt;=10000101,Sync!$P1660&lt;=99991231),INT(Sync!$P1660/10000),""),IFERROR(VALUE(TRIM(LEFT(Sync!$P1660,FIND("/",Sync!$P1660)-1))),"")))</f>
        <v/>
      </c>
      <c r="AG1660">
        <f>IF(OR($AE1660="",$AF1660=""),"",IF(ISNUMBER(Sync!$P1660),INT(MOD(Sync!$P1660,10000)/100),IFERROR(VALUE(TRIM(LEFT(MID(Sync!$P1660,FIND("/",Sync!$P1660)+1,20),FIND("/",MID(Sync!$P1660,FIND("/",Sync!$P1660)+1,20))-1))),"")))</f>
        <v/>
      </c>
      <c r="AH1660">
        <f>IF(OR($AE1660="",$AF1660=""),"",IF(ISNUMBER(Sync!$P1660),MOD(Sync!$P1660,100),IFERROR(VALUE(TRIM(MID(MID(Sync!$P1660,FIND("/",Sync!$P1660)+1,20),FIND("/",MID(Sync!$P1660,FIND("/",Sync!$P1660)+1,20))+1,20))),"")))</f>
        <v/>
      </c>
      <c r="AI1660">
        <f>IF($AE1660="","",IF(OR($AF1660="",$AG1660="",$AH1660="",$AF1660&lt;1300,$AF1660&gt;1500,$AG1660&lt;1,$AG1660&gt;12,$AH1660&lt;1,$AH1660&gt;31),"نامعتبر",RIGHT("0000"&amp;$AF1660,4)&amp;"/"&amp;RIGHT("00"&amp;$AG1660,2)&amp;"/"&amp;RIGHT("00"&amp;$AH1660,2)))</f>
        <v/>
      </c>
      <c r="AJ1660">
        <f>IF($AE1660="","",IF(Sync!$Q1660="","0000",IF(AND(ISNUMBER(Sync!$Q1660),Sync!$Q1660&gt;=0,Sync!$Q1660&lt;1),RIGHT("00"&amp;HOUR(Sync!$Q1660),2)&amp;RIGHT("00"&amp;MINUTE(Sync!$Q1660),2),IFERROR(RIGHT("00"&amp;VALUE(LEFT(Sync!$Q1660,FIND(":",Sync!$Q1660)-1)),2)&amp;RIGHT("00"&amp;VALUE(MID(Sync!$Q1660,FIND(":",Sync!$Q1660)+1,2)),2),"0000"))))</f>
        <v/>
      </c>
      <c r="AK1660">
        <f>IF(OR($AE1660="",$AI1660="",$AI1660="نامعتبر"),"",LEFT($AI1660,4)&amp;MID($AI1660,6,2)&amp;RIGHT($AI1660,2)&amp;$AJ1660&amp;"|"&amp;"3"&amp;RIGHT("00000"&amp;1655,5))</f>
        <v/>
      </c>
      <c r="AL1660">
        <f>IF($AK1660="","",COUNTIFS(LdAParty,$AE1660,LdAType,1,LdAKey,"&lt;"&amp;$AK1660)+COUNTIFS(LdBMember,$AE1660,LdBKey,"&lt;"&amp;$AK1660)+COUNTIFS(LdCParty,$AE1660,LdCKey,"&lt;"&amp;$AK1660)+1)</f>
        <v/>
      </c>
      <c r="AM1660">
        <f>IF($AL1660="","",$AE1660&amp;"|"&amp;RIGHT("000000"&amp;$AL1660,6))</f>
        <v/>
      </c>
      <c r="AN1660">
        <f>IF($AE1660="","",IF(Sync!$W1660="",0,Sync!$W1660))</f>
        <v/>
      </c>
      <c r="AO1660">
        <f>IF($AE1660="","",IF(Sync!$X1660="",0,Sync!$X1660))</f>
        <v/>
      </c>
      <c r="AP1660">
        <f>IF($AE1660="","",Sync!$R1660)</f>
        <v/>
      </c>
      <c r="AQ1660">
        <f>IF($AE1660="","",Sync!$Y1660)</f>
        <v/>
      </c>
    </row>
    <row r="1661">
      <c r="A1661">
        <f>IF(OR(Wages!$B1664="",Wages!$E1664=""),"",Wages!$E1664)</f>
        <v/>
      </c>
      <c r="B1661">
        <f>IF($A1661="","",IF(Wages!$C1664="دستمزد گروهی",2,1))</f>
        <v/>
      </c>
      <c r="C1661">
        <f>IF($A1661="","",IF(ISNUMBER(Wages!$B1664),IF(AND(Wages!$B1664&gt;=10000101,Wages!$B1664&lt;=99991231),INT(Wages!$B1664/10000),""),IFERROR(VALUE(TRIM(LEFT(Wages!$B1664,FIND("/",Wages!$B1664)-1))),"")))</f>
        <v/>
      </c>
      <c r="D1661">
        <f>IF(OR($A1661="",$C1661=""),"",IF(ISNUMBER(Wages!$B1664),INT(MOD(Wages!$B1664,10000)/100),IFERROR(VALUE(TRIM(LEFT(MID(Wages!$B1664,FIND("/",Wages!$B1664)+1,20),FIND("/",MID(Wages!$B1664,FIND("/",Wages!$B1664)+1,20))-1))),"")))</f>
        <v/>
      </c>
      <c r="E1661">
        <f>IF(OR($A1661="",$C1661=""),"",IF(ISNUMBER(Wages!$B1664),MOD(Wages!$B1664,100),IFERROR(VALUE(TRIM(MID(MID(Wages!$B1664,FIND("/",Wages!$B1664)+1,20),FIND("/",MID(Wages!$B1664,FIND("/",Wages!$B1664)+1,20))+1,20))),"")))</f>
        <v/>
      </c>
      <c r="F1661">
        <f>IF($A1661="","",IF(OR($C1661="",$D1661="",$E1661="",$C1661&lt;1300,$C1661&gt;1500,$D1661&lt;1,$D1661&gt;12,$E1661&lt;1,$E1661&gt;31),"نامعتبر",RIGHT("0000"&amp;$C1661,4)&amp;"/"&amp;RIGHT("00"&amp;$D1661,2)&amp;"/"&amp;RIGHT("00"&amp;$E1661,2)))</f>
        <v/>
      </c>
      <c r="G1661">
        <f>IF(OR($A1661="",$F1661="",$F1661="نامعتبر"),"",LEFT($F1661,4)&amp;MID($F1661,6,2)&amp;RIGHT($F1661,2)&amp;"0000"&amp;"|"&amp;"1"&amp;RIGHT("00000"&amp;1656,5))</f>
        <v/>
      </c>
      <c r="H1661">
        <f>IF(OR($B1661&lt;&gt;1,$G1661=""),"",COUNTIFS(LdAParty,$A1661,LdAType,1,LdAKey,"&lt;"&amp;$G1661)+COUNTIFS(LdBMember,$A1661,LdBKey,"&lt;"&amp;$G1661)+COUNTIFS(LdCParty,$A1661,LdCKey,"&lt;"&amp;$G1661)+1)</f>
        <v/>
      </c>
      <c r="I1661">
        <f>IF($H1661="","",$A1661&amp;"|"&amp;RIGHT("000000"&amp;$H1661,6))</f>
        <v/>
      </c>
      <c r="J1661">
        <f>IF(OR($B1661&lt;&gt;2,$G1661=""),"",COUNTIFS(LdAParty,$A1661,LdAType,2,LdAKey,"&lt;"&amp;$G1661)+1)</f>
        <v/>
      </c>
      <c r="K1661">
        <f>IF($J1661="","",$A1661&amp;"|"&amp;RIGHT("000000"&amp;$J1661,6))</f>
        <v/>
      </c>
      <c r="L1661">
        <f>IF($A1661="","",IF(Wages!$G1664="",0,Wages!$G1664))</f>
        <v/>
      </c>
      <c r="M1661">
        <f>IF($A1661="","",Wages!$J1664)</f>
        <v/>
      </c>
      <c r="N1661">
        <f>IF($A1661="","",Wages!$D1664)</f>
        <v/>
      </c>
      <c r="P1661">
        <f>IF(OR(Shares!$B1664="",Shares!$C1664=""),"",Shares!$C1664)</f>
        <v/>
      </c>
      <c r="Q1661">
        <f>IF($P1661="","",Shares!$B1664)</f>
        <v/>
      </c>
      <c r="R1661">
        <f>IF($P1661="","",IFERROR(INDEX(WageParty,MATCH($Q1661,WageIds,0)),""))</f>
        <v/>
      </c>
      <c r="S1661">
        <f>IF($P1661="","",IFERROR(INDEX($F$6:$F$2005,MATCH($Q1661,WageIds,0)),""))</f>
        <v/>
      </c>
      <c r="T1661">
        <f>IF(OR($P1661="",$S1661="",$S1661="نامعتبر"),"",LEFT($S1661,4)&amp;MID($S1661,6,2)&amp;RIGHT($S1661,2)&amp;"0000"&amp;"|"&amp;"2"&amp;RIGHT("00000"&amp;1656,5))</f>
        <v/>
      </c>
      <c r="U1661">
        <f>IF($T1661="","",COUNTIFS(LdAParty,$P1661,LdAType,1,LdAKey,"&lt;"&amp;$T1661)+COUNTIFS(LdBMember,$P1661,LdBKey,"&lt;"&amp;$T1661)+COUNTIFS(LdCParty,$P1661,LdCKey,"&lt;"&amp;$T1661)+1)</f>
        <v/>
      </c>
      <c r="V1661">
        <f>IF($U1661="","",$P1661&amp;"|"&amp;RIGHT("000000"&amp;$U1661,6))</f>
        <v/>
      </c>
      <c r="W1661">
        <f>IF($T1661="","",COUNTIFS(LdBGroup,$R1661,LdBKey,"&lt;"&amp;$T1661)+1)</f>
        <v/>
      </c>
      <c r="X1661">
        <f>IF($W1661="","",$R1661&amp;"|"&amp;RIGHT("000000"&amp;$W1661,6))</f>
        <v/>
      </c>
      <c r="Y1661">
        <f>IF($P1661="","",IF(Shares!$E1664="",0,Shares!$E1664))</f>
        <v/>
      </c>
      <c r="Z1661">
        <f>IF($P1661="","",Shares!$H1664)</f>
        <v/>
      </c>
      <c r="AE1661">
        <f>IF(OR(Sync!$S1661="",Sync!$P1661=""),"",Sync!$S1661)</f>
        <v/>
      </c>
      <c r="AF1661">
        <f>IF($AE1661="","",IF(ISNUMBER(Sync!$P1661),IF(AND(Sync!$P1661&gt;=10000101,Sync!$P1661&lt;=99991231),INT(Sync!$P1661/10000),""),IFERROR(VALUE(TRIM(LEFT(Sync!$P1661,FIND("/",Sync!$P1661)-1))),"")))</f>
        <v/>
      </c>
      <c r="AG1661">
        <f>IF(OR($AE1661="",$AF1661=""),"",IF(ISNUMBER(Sync!$P1661),INT(MOD(Sync!$P1661,10000)/100),IFERROR(VALUE(TRIM(LEFT(MID(Sync!$P1661,FIND("/",Sync!$P1661)+1,20),FIND("/",MID(Sync!$P1661,FIND("/",Sync!$P1661)+1,20))-1))),"")))</f>
        <v/>
      </c>
      <c r="AH1661">
        <f>IF(OR($AE1661="",$AF1661=""),"",IF(ISNUMBER(Sync!$P1661),MOD(Sync!$P1661,100),IFERROR(VALUE(TRIM(MID(MID(Sync!$P1661,FIND("/",Sync!$P1661)+1,20),FIND("/",MID(Sync!$P1661,FIND("/",Sync!$P1661)+1,20))+1,20))),"")))</f>
        <v/>
      </c>
      <c r="AI1661">
        <f>IF($AE1661="","",IF(OR($AF1661="",$AG1661="",$AH1661="",$AF1661&lt;1300,$AF1661&gt;1500,$AG1661&lt;1,$AG1661&gt;12,$AH1661&lt;1,$AH1661&gt;31),"نامعتبر",RIGHT("0000"&amp;$AF1661,4)&amp;"/"&amp;RIGHT("00"&amp;$AG1661,2)&amp;"/"&amp;RIGHT("00"&amp;$AH1661,2)))</f>
        <v/>
      </c>
      <c r="AJ1661">
        <f>IF($AE1661="","",IF(Sync!$Q1661="","0000",IF(AND(ISNUMBER(Sync!$Q1661),Sync!$Q1661&gt;=0,Sync!$Q1661&lt;1),RIGHT("00"&amp;HOUR(Sync!$Q1661),2)&amp;RIGHT("00"&amp;MINUTE(Sync!$Q1661),2),IFERROR(RIGHT("00"&amp;VALUE(LEFT(Sync!$Q1661,FIND(":",Sync!$Q1661)-1)),2)&amp;RIGHT("00"&amp;VALUE(MID(Sync!$Q1661,FIND(":",Sync!$Q1661)+1,2)),2),"0000"))))</f>
        <v/>
      </c>
      <c r="AK1661">
        <f>IF(OR($AE1661="",$AI1661="",$AI1661="نامعتبر"),"",LEFT($AI1661,4)&amp;MID($AI1661,6,2)&amp;RIGHT($AI1661,2)&amp;$AJ1661&amp;"|"&amp;"3"&amp;RIGHT("00000"&amp;1656,5))</f>
        <v/>
      </c>
      <c r="AL1661">
        <f>IF($AK1661="","",COUNTIFS(LdAParty,$AE1661,LdAType,1,LdAKey,"&lt;"&amp;$AK1661)+COUNTIFS(LdBMember,$AE1661,LdBKey,"&lt;"&amp;$AK1661)+COUNTIFS(LdCParty,$AE1661,LdCKey,"&lt;"&amp;$AK1661)+1)</f>
        <v/>
      </c>
      <c r="AM1661">
        <f>IF($AL1661="","",$AE1661&amp;"|"&amp;RIGHT("000000"&amp;$AL1661,6))</f>
        <v/>
      </c>
      <c r="AN1661">
        <f>IF($AE1661="","",IF(Sync!$W1661="",0,Sync!$W1661))</f>
        <v/>
      </c>
      <c r="AO1661">
        <f>IF($AE1661="","",IF(Sync!$X1661="",0,Sync!$X1661))</f>
        <v/>
      </c>
      <c r="AP1661">
        <f>IF($AE1661="","",Sync!$R1661)</f>
        <v/>
      </c>
      <c r="AQ1661">
        <f>IF($AE1661="","",Sync!$Y1661)</f>
        <v/>
      </c>
    </row>
    <row r="1662">
      <c r="A1662">
        <f>IF(OR(Wages!$B1665="",Wages!$E1665=""),"",Wages!$E1665)</f>
        <v/>
      </c>
      <c r="B1662">
        <f>IF($A1662="","",IF(Wages!$C1665="دستمزد گروهی",2,1))</f>
        <v/>
      </c>
      <c r="C1662">
        <f>IF($A1662="","",IF(ISNUMBER(Wages!$B1665),IF(AND(Wages!$B1665&gt;=10000101,Wages!$B1665&lt;=99991231),INT(Wages!$B1665/10000),""),IFERROR(VALUE(TRIM(LEFT(Wages!$B1665,FIND("/",Wages!$B1665)-1))),"")))</f>
        <v/>
      </c>
      <c r="D1662">
        <f>IF(OR($A1662="",$C1662=""),"",IF(ISNUMBER(Wages!$B1665),INT(MOD(Wages!$B1665,10000)/100),IFERROR(VALUE(TRIM(LEFT(MID(Wages!$B1665,FIND("/",Wages!$B1665)+1,20),FIND("/",MID(Wages!$B1665,FIND("/",Wages!$B1665)+1,20))-1))),"")))</f>
        <v/>
      </c>
      <c r="E1662">
        <f>IF(OR($A1662="",$C1662=""),"",IF(ISNUMBER(Wages!$B1665),MOD(Wages!$B1665,100),IFERROR(VALUE(TRIM(MID(MID(Wages!$B1665,FIND("/",Wages!$B1665)+1,20),FIND("/",MID(Wages!$B1665,FIND("/",Wages!$B1665)+1,20))+1,20))),"")))</f>
        <v/>
      </c>
      <c r="F1662">
        <f>IF($A1662="","",IF(OR($C1662="",$D1662="",$E1662="",$C1662&lt;1300,$C1662&gt;1500,$D1662&lt;1,$D1662&gt;12,$E1662&lt;1,$E1662&gt;31),"نامعتبر",RIGHT("0000"&amp;$C1662,4)&amp;"/"&amp;RIGHT("00"&amp;$D1662,2)&amp;"/"&amp;RIGHT("00"&amp;$E1662,2)))</f>
        <v/>
      </c>
      <c r="G1662">
        <f>IF(OR($A1662="",$F1662="",$F1662="نامعتبر"),"",LEFT($F1662,4)&amp;MID($F1662,6,2)&amp;RIGHT($F1662,2)&amp;"0000"&amp;"|"&amp;"1"&amp;RIGHT("00000"&amp;1657,5))</f>
        <v/>
      </c>
      <c r="H1662">
        <f>IF(OR($B1662&lt;&gt;1,$G1662=""),"",COUNTIFS(LdAParty,$A1662,LdAType,1,LdAKey,"&lt;"&amp;$G1662)+COUNTIFS(LdBMember,$A1662,LdBKey,"&lt;"&amp;$G1662)+COUNTIFS(LdCParty,$A1662,LdCKey,"&lt;"&amp;$G1662)+1)</f>
        <v/>
      </c>
      <c r="I1662">
        <f>IF($H1662="","",$A1662&amp;"|"&amp;RIGHT("000000"&amp;$H1662,6))</f>
        <v/>
      </c>
      <c r="J1662">
        <f>IF(OR($B1662&lt;&gt;2,$G1662=""),"",COUNTIFS(LdAParty,$A1662,LdAType,2,LdAKey,"&lt;"&amp;$G1662)+1)</f>
        <v/>
      </c>
      <c r="K1662">
        <f>IF($J1662="","",$A1662&amp;"|"&amp;RIGHT("000000"&amp;$J1662,6))</f>
        <v/>
      </c>
      <c r="L1662">
        <f>IF($A1662="","",IF(Wages!$G1665="",0,Wages!$G1665))</f>
        <v/>
      </c>
      <c r="M1662">
        <f>IF($A1662="","",Wages!$J1665)</f>
        <v/>
      </c>
      <c r="N1662">
        <f>IF($A1662="","",Wages!$D1665)</f>
        <v/>
      </c>
      <c r="P1662">
        <f>IF(OR(Shares!$B1665="",Shares!$C1665=""),"",Shares!$C1665)</f>
        <v/>
      </c>
      <c r="Q1662">
        <f>IF($P1662="","",Shares!$B1665)</f>
        <v/>
      </c>
      <c r="R1662">
        <f>IF($P1662="","",IFERROR(INDEX(WageParty,MATCH($Q1662,WageIds,0)),""))</f>
        <v/>
      </c>
      <c r="S1662">
        <f>IF($P1662="","",IFERROR(INDEX($F$6:$F$2005,MATCH($Q1662,WageIds,0)),""))</f>
        <v/>
      </c>
      <c r="T1662">
        <f>IF(OR($P1662="",$S1662="",$S1662="نامعتبر"),"",LEFT($S1662,4)&amp;MID($S1662,6,2)&amp;RIGHT($S1662,2)&amp;"0000"&amp;"|"&amp;"2"&amp;RIGHT("00000"&amp;1657,5))</f>
        <v/>
      </c>
      <c r="U1662">
        <f>IF($T1662="","",COUNTIFS(LdAParty,$P1662,LdAType,1,LdAKey,"&lt;"&amp;$T1662)+COUNTIFS(LdBMember,$P1662,LdBKey,"&lt;"&amp;$T1662)+COUNTIFS(LdCParty,$P1662,LdCKey,"&lt;"&amp;$T1662)+1)</f>
        <v/>
      </c>
      <c r="V1662">
        <f>IF($U1662="","",$P1662&amp;"|"&amp;RIGHT("000000"&amp;$U1662,6))</f>
        <v/>
      </c>
      <c r="W1662">
        <f>IF($T1662="","",COUNTIFS(LdBGroup,$R1662,LdBKey,"&lt;"&amp;$T1662)+1)</f>
        <v/>
      </c>
      <c r="X1662">
        <f>IF($W1662="","",$R1662&amp;"|"&amp;RIGHT("000000"&amp;$W1662,6))</f>
        <v/>
      </c>
      <c r="Y1662">
        <f>IF($P1662="","",IF(Shares!$E1665="",0,Shares!$E1665))</f>
        <v/>
      </c>
      <c r="Z1662">
        <f>IF($P1662="","",Shares!$H1665)</f>
        <v/>
      </c>
      <c r="AE1662">
        <f>IF(OR(Sync!$S1662="",Sync!$P1662=""),"",Sync!$S1662)</f>
        <v/>
      </c>
      <c r="AF1662">
        <f>IF($AE1662="","",IF(ISNUMBER(Sync!$P1662),IF(AND(Sync!$P1662&gt;=10000101,Sync!$P1662&lt;=99991231),INT(Sync!$P1662/10000),""),IFERROR(VALUE(TRIM(LEFT(Sync!$P1662,FIND("/",Sync!$P1662)-1))),"")))</f>
        <v/>
      </c>
      <c r="AG1662">
        <f>IF(OR($AE1662="",$AF1662=""),"",IF(ISNUMBER(Sync!$P1662),INT(MOD(Sync!$P1662,10000)/100),IFERROR(VALUE(TRIM(LEFT(MID(Sync!$P1662,FIND("/",Sync!$P1662)+1,20),FIND("/",MID(Sync!$P1662,FIND("/",Sync!$P1662)+1,20))-1))),"")))</f>
        <v/>
      </c>
      <c r="AH1662">
        <f>IF(OR($AE1662="",$AF1662=""),"",IF(ISNUMBER(Sync!$P1662),MOD(Sync!$P1662,100),IFERROR(VALUE(TRIM(MID(MID(Sync!$P1662,FIND("/",Sync!$P1662)+1,20),FIND("/",MID(Sync!$P1662,FIND("/",Sync!$P1662)+1,20))+1,20))),"")))</f>
        <v/>
      </c>
      <c r="AI1662">
        <f>IF($AE1662="","",IF(OR($AF1662="",$AG1662="",$AH1662="",$AF1662&lt;1300,$AF1662&gt;1500,$AG1662&lt;1,$AG1662&gt;12,$AH1662&lt;1,$AH1662&gt;31),"نامعتبر",RIGHT("0000"&amp;$AF1662,4)&amp;"/"&amp;RIGHT("00"&amp;$AG1662,2)&amp;"/"&amp;RIGHT("00"&amp;$AH1662,2)))</f>
        <v/>
      </c>
      <c r="AJ1662">
        <f>IF($AE1662="","",IF(Sync!$Q1662="","0000",IF(AND(ISNUMBER(Sync!$Q1662),Sync!$Q1662&gt;=0,Sync!$Q1662&lt;1),RIGHT("00"&amp;HOUR(Sync!$Q1662),2)&amp;RIGHT("00"&amp;MINUTE(Sync!$Q1662),2),IFERROR(RIGHT("00"&amp;VALUE(LEFT(Sync!$Q1662,FIND(":",Sync!$Q1662)-1)),2)&amp;RIGHT("00"&amp;VALUE(MID(Sync!$Q1662,FIND(":",Sync!$Q1662)+1,2)),2),"0000"))))</f>
        <v/>
      </c>
      <c r="AK1662">
        <f>IF(OR($AE1662="",$AI1662="",$AI1662="نامعتبر"),"",LEFT($AI1662,4)&amp;MID($AI1662,6,2)&amp;RIGHT($AI1662,2)&amp;$AJ1662&amp;"|"&amp;"3"&amp;RIGHT("00000"&amp;1657,5))</f>
        <v/>
      </c>
      <c r="AL1662">
        <f>IF($AK1662="","",COUNTIFS(LdAParty,$AE1662,LdAType,1,LdAKey,"&lt;"&amp;$AK1662)+COUNTIFS(LdBMember,$AE1662,LdBKey,"&lt;"&amp;$AK1662)+COUNTIFS(LdCParty,$AE1662,LdCKey,"&lt;"&amp;$AK1662)+1)</f>
        <v/>
      </c>
      <c r="AM1662">
        <f>IF($AL1662="","",$AE1662&amp;"|"&amp;RIGHT("000000"&amp;$AL1662,6))</f>
        <v/>
      </c>
      <c r="AN1662">
        <f>IF($AE1662="","",IF(Sync!$W1662="",0,Sync!$W1662))</f>
        <v/>
      </c>
      <c r="AO1662">
        <f>IF($AE1662="","",IF(Sync!$X1662="",0,Sync!$X1662))</f>
        <v/>
      </c>
      <c r="AP1662">
        <f>IF($AE1662="","",Sync!$R1662)</f>
        <v/>
      </c>
      <c r="AQ1662">
        <f>IF($AE1662="","",Sync!$Y1662)</f>
        <v/>
      </c>
    </row>
    <row r="1663">
      <c r="A1663">
        <f>IF(OR(Wages!$B1666="",Wages!$E1666=""),"",Wages!$E1666)</f>
        <v/>
      </c>
      <c r="B1663">
        <f>IF($A1663="","",IF(Wages!$C1666="دستمزد گروهی",2,1))</f>
        <v/>
      </c>
      <c r="C1663">
        <f>IF($A1663="","",IF(ISNUMBER(Wages!$B1666),IF(AND(Wages!$B1666&gt;=10000101,Wages!$B1666&lt;=99991231),INT(Wages!$B1666/10000),""),IFERROR(VALUE(TRIM(LEFT(Wages!$B1666,FIND("/",Wages!$B1666)-1))),"")))</f>
        <v/>
      </c>
      <c r="D1663">
        <f>IF(OR($A1663="",$C1663=""),"",IF(ISNUMBER(Wages!$B1666),INT(MOD(Wages!$B1666,10000)/100),IFERROR(VALUE(TRIM(LEFT(MID(Wages!$B1666,FIND("/",Wages!$B1666)+1,20),FIND("/",MID(Wages!$B1666,FIND("/",Wages!$B1666)+1,20))-1))),"")))</f>
        <v/>
      </c>
      <c r="E1663">
        <f>IF(OR($A1663="",$C1663=""),"",IF(ISNUMBER(Wages!$B1666),MOD(Wages!$B1666,100),IFERROR(VALUE(TRIM(MID(MID(Wages!$B1666,FIND("/",Wages!$B1666)+1,20),FIND("/",MID(Wages!$B1666,FIND("/",Wages!$B1666)+1,20))+1,20))),"")))</f>
        <v/>
      </c>
      <c r="F1663">
        <f>IF($A1663="","",IF(OR($C1663="",$D1663="",$E1663="",$C1663&lt;1300,$C1663&gt;1500,$D1663&lt;1,$D1663&gt;12,$E1663&lt;1,$E1663&gt;31),"نامعتبر",RIGHT("0000"&amp;$C1663,4)&amp;"/"&amp;RIGHT("00"&amp;$D1663,2)&amp;"/"&amp;RIGHT("00"&amp;$E1663,2)))</f>
        <v/>
      </c>
      <c r="G1663">
        <f>IF(OR($A1663="",$F1663="",$F1663="نامعتبر"),"",LEFT($F1663,4)&amp;MID($F1663,6,2)&amp;RIGHT($F1663,2)&amp;"0000"&amp;"|"&amp;"1"&amp;RIGHT("00000"&amp;1658,5))</f>
        <v/>
      </c>
      <c r="H1663">
        <f>IF(OR($B1663&lt;&gt;1,$G1663=""),"",COUNTIFS(LdAParty,$A1663,LdAType,1,LdAKey,"&lt;"&amp;$G1663)+COUNTIFS(LdBMember,$A1663,LdBKey,"&lt;"&amp;$G1663)+COUNTIFS(LdCParty,$A1663,LdCKey,"&lt;"&amp;$G1663)+1)</f>
        <v/>
      </c>
      <c r="I1663">
        <f>IF($H1663="","",$A1663&amp;"|"&amp;RIGHT("000000"&amp;$H1663,6))</f>
        <v/>
      </c>
      <c r="J1663">
        <f>IF(OR($B1663&lt;&gt;2,$G1663=""),"",COUNTIFS(LdAParty,$A1663,LdAType,2,LdAKey,"&lt;"&amp;$G1663)+1)</f>
        <v/>
      </c>
      <c r="K1663">
        <f>IF($J1663="","",$A1663&amp;"|"&amp;RIGHT("000000"&amp;$J1663,6))</f>
        <v/>
      </c>
      <c r="L1663">
        <f>IF($A1663="","",IF(Wages!$G1666="",0,Wages!$G1666))</f>
        <v/>
      </c>
      <c r="M1663">
        <f>IF($A1663="","",Wages!$J1666)</f>
        <v/>
      </c>
      <c r="N1663">
        <f>IF($A1663="","",Wages!$D1666)</f>
        <v/>
      </c>
      <c r="P1663">
        <f>IF(OR(Shares!$B1666="",Shares!$C1666=""),"",Shares!$C1666)</f>
        <v/>
      </c>
      <c r="Q1663">
        <f>IF($P1663="","",Shares!$B1666)</f>
        <v/>
      </c>
      <c r="R1663">
        <f>IF($P1663="","",IFERROR(INDEX(WageParty,MATCH($Q1663,WageIds,0)),""))</f>
        <v/>
      </c>
      <c r="S1663">
        <f>IF($P1663="","",IFERROR(INDEX($F$6:$F$2005,MATCH($Q1663,WageIds,0)),""))</f>
        <v/>
      </c>
      <c r="T1663">
        <f>IF(OR($P1663="",$S1663="",$S1663="نامعتبر"),"",LEFT($S1663,4)&amp;MID($S1663,6,2)&amp;RIGHT($S1663,2)&amp;"0000"&amp;"|"&amp;"2"&amp;RIGHT("00000"&amp;1658,5))</f>
        <v/>
      </c>
      <c r="U1663">
        <f>IF($T1663="","",COUNTIFS(LdAParty,$P1663,LdAType,1,LdAKey,"&lt;"&amp;$T1663)+COUNTIFS(LdBMember,$P1663,LdBKey,"&lt;"&amp;$T1663)+COUNTIFS(LdCParty,$P1663,LdCKey,"&lt;"&amp;$T1663)+1)</f>
        <v/>
      </c>
      <c r="V1663">
        <f>IF($U1663="","",$P1663&amp;"|"&amp;RIGHT("000000"&amp;$U1663,6))</f>
        <v/>
      </c>
      <c r="W1663">
        <f>IF($T1663="","",COUNTIFS(LdBGroup,$R1663,LdBKey,"&lt;"&amp;$T1663)+1)</f>
        <v/>
      </c>
      <c r="X1663">
        <f>IF($W1663="","",$R1663&amp;"|"&amp;RIGHT("000000"&amp;$W1663,6))</f>
        <v/>
      </c>
      <c r="Y1663">
        <f>IF($P1663="","",IF(Shares!$E1666="",0,Shares!$E1666))</f>
        <v/>
      </c>
      <c r="Z1663">
        <f>IF($P1663="","",Shares!$H1666)</f>
        <v/>
      </c>
      <c r="AE1663">
        <f>IF(OR(Sync!$S1663="",Sync!$P1663=""),"",Sync!$S1663)</f>
        <v/>
      </c>
      <c r="AF1663">
        <f>IF($AE1663="","",IF(ISNUMBER(Sync!$P1663),IF(AND(Sync!$P1663&gt;=10000101,Sync!$P1663&lt;=99991231),INT(Sync!$P1663/10000),""),IFERROR(VALUE(TRIM(LEFT(Sync!$P1663,FIND("/",Sync!$P1663)-1))),"")))</f>
        <v/>
      </c>
      <c r="AG1663">
        <f>IF(OR($AE1663="",$AF1663=""),"",IF(ISNUMBER(Sync!$P1663),INT(MOD(Sync!$P1663,10000)/100),IFERROR(VALUE(TRIM(LEFT(MID(Sync!$P1663,FIND("/",Sync!$P1663)+1,20),FIND("/",MID(Sync!$P1663,FIND("/",Sync!$P1663)+1,20))-1))),"")))</f>
        <v/>
      </c>
      <c r="AH1663">
        <f>IF(OR($AE1663="",$AF1663=""),"",IF(ISNUMBER(Sync!$P1663),MOD(Sync!$P1663,100),IFERROR(VALUE(TRIM(MID(MID(Sync!$P1663,FIND("/",Sync!$P1663)+1,20),FIND("/",MID(Sync!$P1663,FIND("/",Sync!$P1663)+1,20))+1,20))),"")))</f>
        <v/>
      </c>
      <c r="AI1663">
        <f>IF($AE1663="","",IF(OR($AF1663="",$AG1663="",$AH1663="",$AF1663&lt;1300,$AF1663&gt;1500,$AG1663&lt;1,$AG1663&gt;12,$AH1663&lt;1,$AH1663&gt;31),"نامعتبر",RIGHT("0000"&amp;$AF1663,4)&amp;"/"&amp;RIGHT("00"&amp;$AG1663,2)&amp;"/"&amp;RIGHT("00"&amp;$AH1663,2)))</f>
        <v/>
      </c>
      <c r="AJ1663">
        <f>IF($AE1663="","",IF(Sync!$Q1663="","0000",IF(AND(ISNUMBER(Sync!$Q1663),Sync!$Q1663&gt;=0,Sync!$Q1663&lt;1),RIGHT("00"&amp;HOUR(Sync!$Q1663),2)&amp;RIGHT("00"&amp;MINUTE(Sync!$Q1663),2),IFERROR(RIGHT("00"&amp;VALUE(LEFT(Sync!$Q1663,FIND(":",Sync!$Q1663)-1)),2)&amp;RIGHT("00"&amp;VALUE(MID(Sync!$Q1663,FIND(":",Sync!$Q1663)+1,2)),2),"0000"))))</f>
        <v/>
      </c>
      <c r="AK1663">
        <f>IF(OR($AE1663="",$AI1663="",$AI1663="نامعتبر"),"",LEFT($AI1663,4)&amp;MID($AI1663,6,2)&amp;RIGHT($AI1663,2)&amp;$AJ1663&amp;"|"&amp;"3"&amp;RIGHT("00000"&amp;1658,5))</f>
        <v/>
      </c>
      <c r="AL1663">
        <f>IF($AK1663="","",COUNTIFS(LdAParty,$AE1663,LdAType,1,LdAKey,"&lt;"&amp;$AK1663)+COUNTIFS(LdBMember,$AE1663,LdBKey,"&lt;"&amp;$AK1663)+COUNTIFS(LdCParty,$AE1663,LdCKey,"&lt;"&amp;$AK1663)+1)</f>
        <v/>
      </c>
      <c r="AM1663">
        <f>IF($AL1663="","",$AE1663&amp;"|"&amp;RIGHT("000000"&amp;$AL1663,6))</f>
        <v/>
      </c>
      <c r="AN1663">
        <f>IF($AE1663="","",IF(Sync!$W1663="",0,Sync!$W1663))</f>
        <v/>
      </c>
      <c r="AO1663">
        <f>IF($AE1663="","",IF(Sync!$X1663="",0,Sync!$X1663))</f>
        <v/>
      </c>
      <c r="AP1663">
        <f>IF($AE1663="","",Sync!$R1663)</f>
        <v/>
      </c>
      <c r="AQ1663">
        <f>IF($AE1663="","",Sync!$Y1663)</f>
        <v/>
      </c>
    </row>
    <row r="1664">
      <c r="A1664">
        <f>IF(OR(Wages!$B1667="",Wages!$E1667=""),"",Wages!$E1667)</f>
        <v/>
      </c>
      <c r="B1664">
        <f>IF($A1664="","",IF(Wages!$C1667="دستمزد گروهی",2,1))</f>
        <v/>
      </c>
      <c r="C1664">
        <f>IF($A1664="","",IF(ISNUMBER(Wages!$B1667),IF(AND(Wages!$B1667&gt;=10000101,Wages!$B1667&lt;=99991231),INT(Wages!$B1667/10000),""),IFERROR(VALUE(TRIM(LEFT(Wages!$B1667,FIND("/",Wages!$B1667)-1))),"")))</f>
        <v/>
      </c>
      <c r="D1664">
        <f>IF(OR($A1664="",$C1664=""),"",IF(ISNUMBER(Wages!$B1667),INT(MOD(Wages!$B1667,10000)/100),IFERROR(VALUE(TRIM(LEFT(MID(Wages!$B1667,FIND("/",Wages!$B1667)+1,20),FIND("/",MID(Wages!$B1667,FIND("/",Wages!$B1667)+1,20))-1))),"")))</f>
        <v/>
      </c>
      <c r="E1664">
        <f>IF(OR($A1664="",$C1664=""),"",IF(ISNUMBER(Wages!$B1667),MOD(Wages!$B1667,100),IFERROR(VALUE(TRIM(MID(MID(Wages!$B1667,FIND("/",Wages!$B1667)+1,20),FIND("/",MID(Wages!$B1667,FIND("/",Wages!$B1667)+1,20))+1,20))),"")))</f>
        <v/>
      </c>
      <c r="F1664">
        <f>IF($A1664="","",IF(OR($C1664="",$D1664="",$E1664="",$C1664&lt;1300,$C1664&gt;1500,$D1664&lt;1,$D1664&gt;12,$E1664&lt;1,$E1664&gt;31),"نامعتبر",RIGHT("0000"&amp;$C1664,4)&amp;"/"&amp;RIGHT("00"&amp;$D1664,2)&amp;"/"&amp;RIGHT("00"&amp;$E1664,2)))</f>
        <v/>
      </c>
      <c r="G1664">
        <f>IF(OR($A1664="",$F1664="",$F1664="نامعتبر"),"",LEFT($F1664,4)&amp;MID($F1664,6,2)&amp;RIGHT($F1664,2)&amp;"0000"&amp;"|"&amp;"1"&amp;RIGHT("00000"&amp;1659,5))</f>
        <v/>
      </c>
      <c r="H1664">
        <f>IF(OR($B1664&lt;&gt;1,$G1664=""),"",COUNTIFS(LdAParty,$A1664,LdAType,1,LdAKey,"&lt;"&amp;$G1664)+COUNTIFS(LdBMember,$A1664,LdBKey,"&lt;"&amp;$G1664)+COUNTIFS(LdCParty,$A1664,LdCKey,"&lt;"&amp;$G1664)+1)</f>
        <v/>
      </c>
      <c r="I1664">
        <f>IF($H1664="","",$A1664&amp;"|"&amp;RIGHT("000000"&amp;$H1664,6))</f>
        <v/>
      </c>
      <c r="J1664">
        <f>IF(OR($B1664&lt;&gt;2,$G1664=""),"",COUNTIFS(LdAParty,$A1664,LdAType,2,LdAKey,"&lt;"&amp;$G1664)+1)</f>
        <v/>
      </c>
      <c r="K1664">
        <f>IF($J1664="","",$A1664&amp;"|"&amp;RIGHT("000000"&amp;$J1664,6))</f>
        <v/>
      </c>
      <c r="L1664">
        <f>IF($A1664="","",IF(Wages!$G1667="",0,Wages!$G1667))</f>
        <v/>
      </c>
      <c r="M1664">
        <f>IF($A1664="","",Wages!$J1667)</f>
        <v/>
      </c>
      <c r="N1664">
        <f>IF($A1664="","",Wages!$D1667)</f>
        <v/>
      </c>
      <c r="P1664">
        <f>IF(OR(Shares!$B1667="",Shares!$C1667=""),"",Shares!$C1667)</f>
        <v/>
      </c>
      <c r="Q1664">
        <f>IF($P1664="","",Shares!$B1667)</f>
        <v/>
      </c>
      <c r="R1664">
        <f>IF($P1664="","",IFERROR(INDEX(WageParty,MATCH($Q1664,WageIds,0)),""))</f>
        <v/>
      </c>
      <c r="S1664">
        <f>IF($P1664="","",IFERROR(INDEX($F$6:$F$2005,MATCH($Q1664,WageIds,0)),""))</f>
        <v/>
      </c>
      <c r="T1664">
        <f>IF(OR($P1664="",$S1664="",$S1664="نامعتبر"),"",LEFT($S1664,4)&amp;MID($S1664,6,2)&amp;RIGHT($S1664,2)&amp;"0000"&amp;"|"&amp;"2"&amp;RIGHT("00000"&amp;1659,5))</f>
        <v/>
      </c>
      <c r="U1664">
        <f>IF($T1664="","",COUNTIFS(LdAParty,$P1664,LdAType,1,LdAKey,"&lt;"&amp;$T1664)+COUNTIFS(LdBMember,$P1664,LdBKey,"&lt;"&amp;$T1664)+COUNTIFS(LdCParty,$P1664,LdCKey,"&lt;"&amp;$T1664)+1)</f>
        <v/>
      </c>
      <c r="V1664">
        <f>IF($U1664="","",$P1664&amp;"|"&amp;RIGHT("000000"&amp;$U1664,6))</f>
        <v/>
      </c>
      <c r="W1664">
        <f>IF($T1664="","",COUNTIFS(LdBGroup,$R1664,LdBKey,"&lt;"&amp;$T1664)+1)</f>
        <v/>
      </c>
      <c r="X1664">
        <f>IF($W1664="","",$R1664&amp;"|"&amp;RIGHT("000000"&amp;$W1664,6))</f>
        <v/>
      </c>
      <c r="Y1664">
        <f>IF($P1664="","",IF(Shares!$E1667="",0,Shares!$E1667))</f>
        <v/>
      </c>
      <c r="Z1664">
        <f>IF($P1664="","",Shares!$H1667)</f>
        <v/>
      </c>
      <c r="AE1664">
        <f>IF(OR(Sync!$S1664="",Sync!$P1664=""),"",Sync!$S1664)</f>
        <v/>
      </c>
      <c r="AF1664">
        <f>IF($AE1664="","",IF(ISNUMBER(Sync!$P1664),IF(AND(Sync!$P1664&gt;=10000101,Sync!$P1664&lt;=99991231),INT(Sync!$P1664/10000),""),IFERROR(VALUE(TRIM(LEFT(Sync!$P1664,FIND("/",Sync!$P1664)-1))),"")))</f>
        <v/>
      </c>
      <c r="AG1664">
        <f>IF(OR($AE1664="",$AF1664=""),"",IF(ISNUMBER(Sync!$P1664),INT(MOD(Sync!$P1664,10000)/100),IFERROR(VALUE(TRIM(LEFT(MID(Sync!$P1664,FIND("/",Sync!$P1664)+1,20),FIND("/",MID(Sync!$P1664,FIND("/",Sync!$P1664)+1,20))-1))),"")))</f>
        <v/>
      </c>
      <c r="AH1664">
        <f>IF(OR($AE1664="",$AF1664=""),"",IF(ISNUMBER(Sync!$P1664),MOD(Sync!$P1664,100),IFERROR(VALUE(TRIM(MID(MID(Sync!$P1664,FIND("/",Sync!$P1664)+1,20),FIND("/",MID(Sync!$P1664,FIND("/",Sync!$P1664)+1,20))+1,20))),"")))</f>
        <v/>
      </c>
      <c r="AI1664">
        <f>IF($AE1664="","",IF(OR($AF1664="",$AG1664="",$AH1664="",$AF1664&lt;1300,$AF1664&gt;1500,$AG1664&lt;1,$AG1664&gt;12,$AH1664&lt;1,$AH1664&gt;31),"نامعتبر",RIGHT("0000"&amp;$AF1664,4)&amp;"/"&amp;RIGHT("00"&amp;$AG1664,2)&amp;"/"&amp;RIGHT("00"&amp;$AH1664,2)))</f>
        <v/>
      </c>
      <c r="AJ1664">
        <f>IF($AE1664="","",IF(Sync!$Q1664="","0000",IF(AND(ISNUMBER(Sync!$Q1664),Sync!$Q1664&gt;=0,Sync!$Q1664&lt;1),RIGHT("00"&amp;HOUR(Sync!$Q1664),2)&amp;RIGHT("00"&amp;MINUTE(Sync!$Q1664),2),IFERROR(RIGHT("00"&amp;VALUE(LEFT(Sync!$Q1664,FIND(":",Sync!$Q1664)-1)),2)&amp;RIGHT("00"&amp;VALUE(MID(Sync!$Q1664,FIND(":",Sync!$Q1664)+1,2)),2),"0000"))))</f>
        <v/>
      </c>
      <c r="AK1664">
        <f>IF(OR($AE1664="",$AI1664="",$AI1664="نامعتبر"),"",LEFT($AI1664,4)&amp;MID($AI1664,6,2)&amp;RIGHT($AI1664,2)&amp;$AJ1664&amp;"|"&amp;"3"&amp;RIGHT("00000"&amp;1659,5))</f>
        <v/>
      </c>
      <c r="AL1664">
        <f>IF($AK1664="","",COUNTIFS(LdAParty,$AE1664,LdAType,1,LdAKey,"&lt;"&amp;$AK1664)+COUNTIFS(LdBMember,$AE1664,LdBKey,"&lt;"&amp;$AK1664)+COUNTIFS(LdCParty,$AE1664,LdCKey,"&lt;"&amp;$AK1664)+1)</f>
        <v/>
      </c>
      <c r="AM1664">
        <f>IF($AL1664="","",$AE1664&amp;"|"&amp;RIGHT("000000"&amp;$AL1664,6))</f>
        <v/>
      </c>
      <c r="AN1664">
        <f>IF($AE1664="","",IF(Sync!$W1664="",0,Sync!$W1664))</f>
        <v/>
      </c>
      <c r="AO1664">
        <f>IF($AE1664="","",IF(Sync!$X1664="",0,Sync!$X1664))</f>
        <v/>
      </c>
      <c r="AP1664">
        <f>IF($AE1664="","",Sync!$R1664)</f>
        <v/>
      </c>
      <c r="AQ1664">
        <f>IF($AE1664="","",Sync!$Y1664)</f>
        <v/>
      </c>
    </row>
    <row r="1665">
      <c r="A1665">
        <f>IF(OR(Wages!$B1668="",Wages!$E1668=""),"",Wages!$E1668)</f>
        <v/>
      </c>
      <c r="B1665">
        <f>IF($A1665="","",IF(Wages!$C1668="دستمزد گروهی",2,1))</f>
        <v/>
      </c>
      <c r="C1665">
        <f>IF($A1665="","",IF(ISNUMBER(Wages!$B1668),IF(AND(Wages!$B1668&gt;=10000101,Wages!$B1668&lt;=99991231),INT(Wages!$B1668/10000),""),IFERROR(VALUE(TRIM(LEFT(Wages!$B1668,FIND("/",Wages!$B1668)-1))),"")))</f>
        <v/>
      </c>
      <c r="D1665">
        <f>IF(OR($A1665="",$C1665=""),"",IF(ISNUMBER(Wages!$B1668),INT(MOD(Wages!$B1668,10000)/100),IFERROR(VALUE(TRIM(LEFT(MID(Wages!$B1668,FIND("/",Wages!$B1668)+1,20),FIND("/",MID(Wages!$B1668,FIND("/",Wages!$B1668)+1,20))-1))),"")))</f>
        <v/>
      </c>
      <c r="E1665">
        <f>IF(OR($A1665="",$C1665=""),"",IF(ISNUMBER(Wages!$B1668),MOD(Wages!$B1668,100),IFERROR(VALUE(TRIM(MID(MID(Wages!$B1668,FIND("/",Wages!$B1668)+1,20),FIND("/",MID(Wages!$B1668,FIND("/",Wages!$B1668)+1,20))+1,20))),"")))</f>
        <v/>
      </c>
      <c r="F1665">
        <f>IF($A1665="","",IF(OR($C1665="",$D1665="",$E1665="",$C1665&lt;1300,$C1665&gt;1500,$D1665&lt;1,$D1665&gt;12,$E1665&lt;1,$E1665&gt;31),"نامعتبر",RIGHT("0000"&amp;$C1665,4)&amp;"/"&amp;RIGHT("00"&amp;$D1665,2)&amp;"/"&amp;RIGHT("00"&amp;$E1665,2)))</f>
        <v/>
      </c>
      <c r="G1665">
        <f>IF(OR($A1665="",$F1665="",$F1665="نامعتبر"),"",LEFT($F1665,4)&amp;MID($F1665,6,2)&amp;RIGHT($F1665,2)&amp;"0000"&amp;"|"&amp;"1"&amp;RIGHT("00000"&amp;1660,5))</f>
        <v/>
      </c>
      <c r="H1665">
        <f>IF(OR($B1665&lt;&gt;1,$G1665=""),"",COUNTIFS(LdAParty,$A1665,LdAType,1,LdAKey,"&lt;"&amp;$G1665)+COUNTIFS(LdBMember,$A1665,LdBKey,"&lt;"&amp;$G1665)+COUNTIFS(LdCParty,$A1665,LdCKey,"&lt;"&amp;$G1665)+1)</f>
        <v/>
      </c>
      <c r="I1665">
        <f>IF($H1665="","",$A1665&amp;"|"&amp;RIGHT("000000"&amp;$H1665,6))</f>
        <v/>
      </c>
      <c r="J1665">
        <f>IF(OR($B1665&lt;&gt;2,$G1665=""),"",COUNTIFS(LdAParty,$A1665,LdAType,2,LdAKey,"&lt;"&amp;$G1665)+1)</f>
        <v/>
      </c>
      <c r="K1665">
        <f>IF($J1665="","",$A1665&amp;"|"&amp;RIGHT("000000"&amp;$J1665,6))</f>
        <v/>
      </c>
      <c r="L1665">
        <f>IF($A1665="","",IF(Wages!$G1668="",0,Wages!$G1668))</f>
        <v/>
      </c>
      <c r="M1665">
        <f>IF($A1665="","",Wages!$J1668)</f>
        <v/>
      </c>
      <c r="N1665">
        <f>IF($A1665="","",Wages!$D1668)</f>
        <v/>
      </c>
      <c r="P1665">
        <f>IF(OR(Shares!$B1668="",Shares!$C1668=""),"",Shares!$C1668)</f>
        <v/>
      </c>
      <c r="Q1665">
        <f>IF($P1665="","",Shares!$B1668)</f>
        <v/>
      </c>
      <c r="R1665">
        <f>IF($P1665="","",IFERROR(INDEX(WageParty,MATCH($Q1665,WageIds,0)),""))</f>
        <v/>
      </c>
      <c r="S1665">
        <f>IF($P1665="","",IFERROR(INDEX($F$6:$F$2005,MATCH($Q1665,WageIds,0)),""))</f>
        <v/>
      </c>
      <c r="T1665">
        <f>IF(OR($P1665="",$S1665="",$S1665="نامعتبر"),"",LEFT($S1665,4)&amp;MID($S1665,6,2)&amp;RIGHT($S1665,2)&amp;"0000"&amp;"|"&amp;"2"&amp;RIGHT("00000"&amp;1660,5))</f>
        <v/>
      </c>
      <c r="U1665">
        <f>IF($T1665="","",COUNTIFS(LdAParty,$P1665,LdAType,1,LdAKey,"&lt;"&amp;$T1665)+COUNTIFS(LdBMember,$P1665,LdBKey,"&lt;"&amp;$T1665)+COUNTIFS(LdCParty,$P1665,LdCKey,"&lt;"&amp;$T1665)+1)</f>
        <v/>
      </c>
      <c r="V1665">
        <f>IF($U1665="","",$P1665&amp;"|"&amp;RIGHT("000000"&amp;$U1665,6))</f>
        <v/>
      </c>
      <c r="W1665">
        <f>IF($T1665="","",COUNTIFS(LdBGroup,$R1665,LdBKey,"&lt;"&amp;$T1665)+1)</f>
        <v/>
      </c>
      <c r="X1665">
        <f>IF($W1665="","",$R1665&amp;"|"&amp;RIGHT("000000"&amp;$W1665,6))</f>
        <v/>
      </c>
      <c r="Y1665">
        <f>IF($P1665="","",IF(Shares!$E1668="",0,Shares!$E1668))</f>
        <v/>
      </c>
      <c r="Z1665">
        <f>IF($P1665="","",Shares!$H1668)</f>
        <v/>
      </c>
      <c r="AE1665">
        <f>IF(OR(Sync!$S1665="",Sync!$P1665=""),"",Sync!$S1665)</f>
        <v/>
      </c>
      <c r="AF1665">
        <f>IF($AE1665="","",IF(ISNUMBER(Sync!$P1665),IF(AND(Sync!$P1665&gt;=10000101,Sync!$P1665&lt;=99991231),INT(Sync!$P1665/10000),""),IFERROR(VALUE(TRIM(LEFT(Sync!$P1665,FIND("/",Sync!$P1665)-1))),"")))</f>
        <v/>
      </c>
      <c r="AG1665">
        <f>IF(OR($AE1665="",$AF1665=""),"",IF(ISNUMBER(Sync!$P1665),INT(MOD(Sync!$P1665,10000)/100),IFERROR(VALUE(TRIM(LEFT(MID(Sync!$P1665,FIND("/",Sync!$P1665)+1,20),FIND("/",MID(Sync!$P1665,FIND("/",Sync!$P1665)+1,20))-1))),"")))</f>
        <v/>
      </c>
      <c r="AH1665">
        <f>IF(OR($AE1665="",$AF1665=""),"",IF(ISNUMBER(Sync!$P1665),MOD(Sync!$P1665,100),IFERROR(VALUE(TRIM(MID(MID(Sync!$P1665,FIND("/",Sync!$P1665)+1,20),FIND("/",MID(Sync!$P1665,FIND("/",Sync!$P1665)+1,20))+1,20))),"")))</f>
        <v/>
      </c>
      <c r="AI1665">
        <f>IF($AE1665="","",IF(OR($AF1665="",$AG1665="",$AH1665="",$AF1665&lt;1300,$AF1665&gt;1500,$AG1665&lt;1,$AG1665&gt;12,$AH1665&lt;1,$AH1665&gt;31),"نامعتبر",RIGHT("0000"&amp;$AF1665,4)&amp;"/"&amp;RIGHT("00"&amp;$AG1665,2)&amp;"/"&amp;RIGHT("00"&amp;$AH1665,2)))</f>
        <v/>
      </c>
      <c r="AJ1665">
        <f>IF($AE1665="","",IF(Sync!$Q1665="","0000",IF(AND(ISNUMBER(Sync!$Q1665),Sync!$Q1665&gt;=0,Sync!$Q1665&lt;1),RIGHT("00"&amp;HOUR(Sync!$Q1665),2)&amp;RIGHT("00"&amp;MINUTE(Sync!$Q1665),2),IFERROR(RIGHT("00"&amp;VALUE(LEFT(Sync!$Q1665,FIND(":",Sync!$Q1665)-1)),2)&amp;RIGHT("00"&amp;VALUE(MID(Sync!$Q1665,FIND(":",Sync!$Q1665)+1,2)),2),"0000"))))</f>
        <v/>
      </c>
      <c r="AK1665">
        <f>IF(OR($AE1665="",$AI1665="",$AI1665="نامعتبر"),"",LEFT($AI1665,4)&amp;MID($AI1665,6,2)&amp;RIGHT($AI1665,2)&amp;$AJ1665&amp;"|"&amp;"3"&amp;RIGHT("00000"&amp;1660,5))</f>
        <v/>
      </c>
      <c r="AL1665">
        <f>IF($AK1665="","",COUNTIFS(LdAParty,$AE1665,LdAType,1,LdAKey,"&lt;"&amp;$AK1665)+COUNTIFS(LdBMember,$AE1665,LdBKey,"&lt;"&amp;$AK1665)+COUNTIFS(LdCParty,$AE1665,LdCKey,"&lt;"&amp;$AK1665)+1)</f>
        <v/>
      </c>
      <c r="AM1665">
        <f>IF($AL1665="","",$AE1665&amp;"|"&amp;RIGHT("000000"&amp;$AL1665,6))</f>
        <v/>
      </c>
      <c r="AN1665">
        <f>IF($AE1665="","",IF(Sync!$W1665="",0,Sync!$W1665))</f>
        <v/>
      </c>
      <c r="AO1665">
        <f>IF($AE1665="","",IF(Sync!$X1665="",0,Sync!$X1665))</f>
        <v/>
      </c>
      <c r="AP1665">
        <f>IF($AE1665="","",Sync!$R1665)</f>
        <v/>
      </c>
      <c r="AQ1665">
        <f>IF($AE1665="","",Sync!$Y1665)</f>
        <v/>
      </c>
    </row>
    <row r="1666">
      <c r="A1666">
        <f>IF(OR(Wages!$B1669="",Wages!$E1669=""),"",Wages!$E1669)</f>
        <v/>
      </c>
      <c r="B1666">
        <f>IF($A1666="","",IF(Wages!$C1669="دستمزد گروهی",2,1))</f>
        <v/>
      </c>
      <c r="C1666">
        <f>IF($A1666="","",IF(ISNUMBER(Wages!$B1669),IF(AND(Wages!$B1669&gt;=10000101,Wages!$B1669&lt;=99991231),INT(Wages!$B1669/10000),""),IFERROR(VALUE(TRIM(LEFT(Wages!$B1669,FIND("/",Wages!$B1669)-1))),"")))</f>
        <v/>
      </c>
      <c r="D1666">
        <f>IF(OR($A1666="",$C1666=""),"",IF(ISNUMBER(Wages!$B1669),INT(MOD(Wages!$B1669,10000)/100),IFERROR(VALUE(TRIM(LEFT(MID(Wages!$B1669,FIND("/",Wages!$B1669)+1,20),FIND("/",MID(Wages!$B1669,FIND("/",Wages!$B1669)+1,20))-1))),"")))</f>
        <v/>
      </c>
      <c r="E1666">
        <f>IF(OR($A1666="",$C1666=""),"",IF(ISNUMBER(Wages!$B1669),MOD(Wages!$B1669,100),IFERROR(VALUE(TRIM(MID(MID(Wages!$B1669,FIND("/",Wages!$B1669)+1,20),FIND("/",MID(Wages!$B1669,FIND("/",Wages!$B1669)+1,20))+1,20))),"")))</f>
        <v/>
      </c>
      <c r="F1666">
        <f>IF($A1666="","",IF(OR($C1666="",$D1666="",$E1666="",$C1666&lt;1300,$C1666&gt;1500,$D1666&lt;1,$D1666&gt;12,$E1666&lt;1,$E1666&gt;31),"نامعتبر",RIGHT("0000"&amp;$C1666,4)&amp;"/"&amp;RIGHT("00"&amp;$D1666,2)&amp;"/"&amp;RIGHT("00"&amp;$E1666,2)))</f>
        <v/>
      </c>
      <c r="G1666">
        <f>IF(OR($A1666="",$F1666="",$F1666="نامعتبر"),"",LEFT($F1666,4)&amp;MID($F1666,6,2)&amp;RIGHT($F1666,2)&amp;"0000"&amp;"|"&amp;"1"&amp;RIGHT("00000"&amp;1661,5))</f>
        <v/>
      </c>
      <c r="H1666">
        <f>IF(OR($B1666&lt;&gt;1,$G1666=""),"",COUNTIFS(LdAParty,$A1666,LdAType,1,LdAKey,"&lt;"&amp;$G1666)+COUNTIFS(LdBMember,$A1666,LdBKey,"&lt;"&amp;$G1666)+COUNTIFS(LdCParty,$A1666,LdCKey,"&lt;"&amp;$G1666)+1)</f>
        <v/>
      </c>
      <c r="I1666">
        <f>IF($H1666="","",$A1666&amp;"|"&amp;RIGHT("000000"&amp;$H1666,6))</f>
        <v/>
      </c>
      <c r="J1666">
        <f>IF(OR($B1666&lt;&gt;2,$G1666=""),"",COUNTIFS(LdAParty,$A1666,LdAType,2,LdAKey,"&lt;"&amp;$G1666)+1)</f>
        <v/>
      </c>
      <c r="K1666">
        <f>IF($J1666="","",$A1666&amp;"|"&amp;RIGHT("000000"&amp;$J1666,6))</f>
        <v/>
      </c>
      <c r="L1666">
        <f>IF($A1666="","",IF(Wages!$G1669="",0,Wages!$G1669))</f>
        <v/>
      </c>
      <c r="M1666">
        <f>IF($A1666="","",Wages!$J1669)</f>
        <v/>
      </c>
      <c r="N1666">
        <f>IF($A1666="","",Wages!$D1669)</f>
        <v/>
      </c>
      <c r="P1666">
        <f>IF(OR(Shares!$B1669="",Shares!$C1669=""),"",Shares!$C1669)</f>
        <v/>
      </c>
      <c r="Q1666">
        <f>IF($P1666="","",Shares!$B1669)</f>
        <v/>
      </c>
      <c r="R1666">
        <f>IF($P1666="","",IFERROR(INDEX(WageParty,MATCH($Q1666,WageIds,0)),""))</f>
        <v/>
      </c>
      <c r="S1666">
        <f>IF($P1666="","",IFERROR(INDEX($F$6:$F$2005,MATCH($Q1666,WageIds,0)),""))</f>
        <v/>
      </c>
      <c r="T1666">
        <f>IF(OR($P1666="",$S1666="",$S1666="نامعتبر"),"",LEFT($S1666,4)&amp;MID($S1666,6,2)&amp;RIGHT($S1666,2)&amp;"0000"&amp;"|"&amp;"2"&amp;RIGHT("00000"&amp;1661,5))</f>
        <v/>
      </c>
      <c r="U1666">
        <f>IF($T1666="","",COUNTIFS(LdAParty,$P1666,LdAType,1,LdAKey,"&lt;"&amp;$T1666)+COUNTIFS(LdBMember,$P1666,LdBKey,"&lt;"&amp;$T1666)+COUNTIFS(LdCParty,$P1666,LdCKey,"&lt;"&amp;$T1666)+1)</f>
        <v/>
      </c>
      <c r="V1666">
        <f>IF($U1666="","",$P1666&amp;"|"&amp;RIGHT("000000"&amp;$U1666,6))</f>
        <v/>
      </c>
      <c r="W1666">
        <f>IF($T1666="","",COUNTIFS(LdBGroup,$R1666,LdBKey,"&lt;"&amp;$T1666)+1)</f>
        <v/>
      </c>
      <c r="X1666">
        <f>IF($W1666="","",$R1666&amp;"|"&amp;RIGHT("000000"&amp;$W1666,6))</f>
        <v/>
      </c>
      <c r="Y1666">
        <f>IF($P1666="","",IF(Shares!$E1669="",0,Shares!$E1669))</f>
        <v/>
      </c>
      <c r="Z1666">
        <f>IF($P1666="","",Shares!$H1669)</f>
        <v/>
      </c>
      <c r="AE1666">
        <f>IF(OR(Sync!$S1666="",Sync!$P1666=""),"",Sync!$S1666)</f>
        <v/>
      </c>
      <c r="AF1666">
        <f>IF($AE1666="","",IF(ISNUMBER(Sync!$P1666),IF(AND(Sync!$P1666&gt;=10000101,Sync!$P1666&lt;=99991231),INT(Sync!$P1666/10000),""),IFERROR(VALUE(TRIM(LEFT(Sync!$P1666,FIND("/",Sync!$P1666)-1))),"")))</f>
        <v/>
      </c>
      <c r="AG1666">
        <f>IF(OR($AE1666="",$AF1666=""),"",IF(ISNUMBER(Sync!$P1666),INT(MOD(Sync!$P1666,10000)/100),IFERROR(VALUE(TRIM(LEFT(MID(Sync!$P1666,FIND("/",Sync!$P1666)+1,20),FIND("/",MID(Sync!$P1666,FIND("/",Sync!$P1666)+1,20))-1))),"")))</f>
        <v/>
      </c>
      <c r="AH1666">
        <f>IF(OR($AE1666="",$AF1666=""),"",IF(ISNUMBER(Sync!$P1666),MOD(Sync!$P1666,100),IFERROR(VALUE(TRIM(MID(MID(Sync!$P1666,FIND("/",Sync!$P1666)+1,20),FIND("/",MID(Sync!$P1666,FIND("/",Sync!$P1666)+1,20))+1,20))),"")))</f>
        <v/>
      </c>
      <c r="AI1666">
        <f>IF($AE1666="","",IF(OR($AF1666="",$AG1666="",$AH1666="",$AF1666&lt;1300,$AF1666&gt;1500,$AG1666&lt;1,$AG1666&gt;12,$AH1666&lt;1,$AH1666&gt;31),"نامعتبر",RIGHT("0000"&amp;$AF1666,4)&amp;"/"&amp;RIGHT("00"&amp;$AG1666,2)&amp;"/"&amp;RIGHT("00"&amp;$AH1666,2)))</f>
        <v/>
      </c>
      <c r="AJ1666">
        <f>IF($AE1666="","",IF(Sync!$Q1666="","0000",IF(AND(ISNUMBER(Sync!$Q1666),Sync!$Q1666&gt;=0,Sync!$Q1666&lt;1),RIGHT("00"&amp;HOUR(Sync!$Q1666),2)&amp;RIGHT("00"&amp;MINUTE(Sync!$Q1666),2),IFERROR(RIGHT("00"&amp;VALUE(LEFT(Sync!$Q1666,FIND(":",Sync!$Q1666)-1)),2)&amp;RIGHT("00"&amp;VALUE(MID(Sync!$Q1666,FIND(":",Sync!$Q1666)+1,2)),2),"0000"))))</f>
        <v/>
      </c>
      <c r="AK1666">
        <f>IF(OR($AE1666="",$AI1666="",$AI1666="نامعتبر"),"",LEFT($AI1666,4)&amp;MID($AI1666,6,2)&amp;RIGHT($AI1666,2)&amp;$AJ1666&amp;"|"&amp;"3"&amp;RIGHT("00000"&amp;1661,5))</f>
        <v/>
      </c>
      <c r="AL1666">
        <f>IF($AK1666="","",COUNTIFS(LdAParty,$AE1666,LdAType,1,LdAKey,"&lt;"&amp;$AK1666)+COUNTIFS(LdBMember,$AE1666,LdBKey,"&lt;"&amp;$AK1666)+COUNTIFS(LdCParty,$AE1666,LdCKey,"&lt;"&amp;$AK1666)+1)</f>
        <v/>
      </c>
      <c r="AM1666">
        <f>IF($AL1666="","",$AE1666&amp;"|"&amp;RIGHT("000000"&amp;$AL1666,6))</f>
        <v/>
      </c>
      <c r="AN1666">
        <f>IF($AE1666="","",IF(Sync!$W1666="",0,Sync!$W1666))</f>
        <v/>
      </c>
      <c r="AO1666">
        <f>IF($AE1666="","",IF(Sync!$X1666="",0,Sync!$X1666))</f>
        <v/>
      </c>
      <c r="AP1666">
        <f>IF($AE1666="","",Sync!$R1666)</f>
        <v/>
      </c>
      <c r="AQ1666">
        <f>IF($AE1666="","",Sync!$Y1666)</f>
        <v/>
      </c>
    </row>
    <row r="1667">
      <c r="A1667">
        <f>IF(OR(Wages!$B1670="",Wages!$E1670=""),"",Wages!$E1670)</f>
        <v/>
      </c>
      <c r="B1667">
        <f>IF($A1667="","",IF(Wages!$C1670="دستمزد گروهی",2,1))</f>
        <v/>
      </c>
      <c r="C1667">
        <f>IF($A1667="","",IF(ISNUMBER(Wages!$B1670),IF(AND(Wages!$B1670&gt;=10000101,Wages!$B1670&lt;=99991231),INT(Wages!$B1670/10000),""),IFERROR(VALUE(TRIM(LEFT(Wages!$B1670,FIND("/",Wages!$B1670)-1))),"")))</f>
        <v/>
      </c>
      <c r="D1667">
        <f>IF(OR($A1667="",$C1667=""),"",IF(ISNUMBER(Wages!$B1670),INT(MOD(Wages!$B1670,10000)/100),IFERROR(VALUE(TRIM(LEFT(MID(Wages!$B1670,FIND("/",Wages!$B1670)+1,20),FIND("/",MID(Wages!$B1670,FIND("/",Wages!$B1670)+1,20))-1))),"")))</f>
        <v/>
      </c>
      <c r="E1667">
        <f>IF(OR($A1667="",$C1667=""),"",IF(ISNUMBER(Wages!$B1670),MOD(Wages!$B1670,100),IFERROR(VALUE(TRIM(MID(MID(Wages!$B1670,FIND("/",Wages!$B1670)+1,20),FIND("/",MID(Wages!$B1670,FIND("/",Wages!$B1670)+1,20))+1,20))),"")))</f>
        <v/>
      </c>
      <c r="F1667">
        <f>IF($A1667="","",IF(OR($C1667="",$D1667="",$E1667="",$C1667&lt;1300,$C1667&gt;1500,$D1667&lt;1,$D1667&gt;12,$E1667&lt;1,$E1667&gt;31),"نامعتبر",RIGHT("0000"&amp;$C1667,4)&amp;"/"&amp;RIGHT("00"&amp;$D1667,2)&amp;"/"&amp;RIGHT("00"&amp;$E1667,2)))</f>
        <v/>
      </c>
      <c r="G1667">
        <f>IF(OR($A1667="",$F1667="",$F1667="نامعتبر"),"",LEFT($F1667,4)&amp;MID($F1667,6,2)&amp;RIGHT($F1667,2)&amp;"0000"&amp;"|"&amp;"1"&amp;RIGHT("00000"&amp;1662,5))</f>
        <v/>
      </c>
      <c r="H1667">
        <f>IF(OR($B1667&lt;&gt;1,$G1667=""),"",COUNTIFS(LdAParty,$A1667,LdAType,1,LdAKey,"&lt;"&amp;$G1667)+COUNTIFS(LdBMember,$A1667,LdBKey,"&lt;"&amp;$G1667)+COUNTIFS(LdCParty,$A1667,LdCKey,"&lt;"&amp;$G1667)+1)</f>
        <v/>
      </c>
      <c r="I1667">
        <f>IF($H1667="","",$A1667&amp;"|"&amp;RIGHT("000000"&amp;$H1667,6))</f>
        <v/>
      </c>
      <c r="J1667">
        <f>IF(OR($B1667&lt;&gt;2,$G1667=""),"",COUNTIFS(LdAParty,$A1667,LdAType,2,LdAKey,"&lt;"&amp;$G1667)+1)</f>
        <v/>
      </c>
      <c r="K1667">
        <f>IF($J1667="","",$A1667&amp;"|"&amp;RIGHT("000000"&amp;$J1667,6))</f>
        <v/>
      </c>
      <c r="L1667">
        <f>IF($A1667="","",IF(Wages!$G1670="",0,Wages!$G1670))</f>
        <v/>
      </c>
      <c r="M1667">
        <f>IF($A1667="","",Wages!$J1670)</f>
        <v/>
      </c>
      <c r="N1667">
        <f>IF($A1667="","",Wages!$D1670)</f>
        <v/>
      </c>
      <c r="P1667">
        <f>IF(OR(Shares!$B1670="",Shares!$C1670=""),"",Shares!$C1670)</f>
        <v/>
      </c>
      <c r="Q1667">
        <f>IF($P1667="","",Shares!$B1670)</f>
        <v/>
      </c>
      <c r="R1667">
        <f>IF($P1667="","",IFERROR(INDEX(WageParty,MATCH($Q1667,WageIds,0)),""))</f>
        <v/>
      </c>
      <c r="S1667">
        <f>IF($P1667="","",IFERROR(INDEX($F$6:$F$2005,MATCH($Q1667,WageIds,0)),""))</f>
        <v/>
      </c>
      <c r="T1667">
        <f>IF(OR($P1667="",$S1667="",$S1667="نامعتبر"),"",LEFT($S1667,4)&amp;MID($S1667,6,2)&amp;RIGHT($S1667,2)&amp;"0000"&amp;"|"&amp;"2"&amp;RIGHT("00000"&amp;1662,5))</f>
        <v/>
      </c>
      <c r="U1667">
        <f>IF($T1667="","",COUNTIFS(LdAParty,$P1667,LdAType,1,LdAKey,"&lt;"&amp;$T1667)+COUNTIFS(LdBMember,$P1667,LdBKey,"&lt;"&amp;$T1667)+COUNTIFS(LdCParty,$P1667,LdCKey,"&lt;"&amp;$T1667)+1)</f>
        <v/>
      </c>
      <c r="V1667">
        <f>IF($U1667="","",$P1667&amp;"|"&amp;RIGHT("000000"&amp;$U1667,6))</f>
        <v/>
      </c>
      <c r="W1667">
        <f>IF($T1667="","",COUNTIFS(LdBGroup,$R1667,LdBKey,"&lt;"&amp;$T1667)+1)</f>
        <v/>
      </c>
      <c r="X1667">
        <f>IF($W1667="","",$R1667&amp;"|"&amp;RIGHT("000000"&amp;$W1667,6))</f>
        <v/>
      </c>
      <c r="Y1667">
        <f>IF($P1667="","",IF(Shares!$E1670="",0,Shares!$E1670))</f>
        <v/>
      </c>
      <c r="Z1667">
        <f>IF($P1667="","",Shares!$H1670)</f>
        <v/>
      </c>
      <c r="AE1667">
        <f>IF(OR(Sync!$S1667="",Sync!$P1667=""),"",Sync!$S1667)</f>
        <v/>
      </c>
      <c r="AF1667">
        <f>IF($AE1667="","",IF(ISNUMBER(Sync!$P1667),IF(AND(Sync!$P1667&gt;=10000101,Sync!$P1667&lt;=99991231),INT(Sync!$P1667/10000),""),IFERROR(VALUE(TRIM(LEFT(Sync!$P1667,FIND("/",Sync!$P1667)-1))),"")))</f>
        <v/>
      </c>
      <c r="AG1667">
        <f>IF(OR($AE1667="",$AF1667=""),"",IF(ISNUMBER(Sync!$P1667),INT(MOD(Sync!$P1667,10000)/100),IFERROR(VALUE(TRIM(LEFT(MID(Sync!$P1667,FIND("/",Sync!$P1667)+1,20),FIND("/",MID(Sync!$P1667,FIND("/",Sync!$P1667)+1,20))-1))),"")))</f>
        <v/>
      </c>
      <c r="AH1667">
        <f>IF(OR($AE1667="",$AF1667=""),"",IF(ISNUMBER(Sync!$P1667),MOD(Sync!$P1667,100),IFERROR(VALUE(TRIM(MID(MID(Sync!$P1667,FIND("/",Sync!$P1667)+1,20),FIND("/",MID(Sync!$P1667,FIND("/",Sync!$P1667)+1,20))+1,20))),"")))</f>
        <v/>
      </c>
      <c r="AI1667">
        <f>IF($AE1667="","",IF(OR($AF1667="",$AG1667="",$AH1667="",$AF1667&lt;1300,$AF1667&gt;1500,$AG1667&lt;1,$AG1667&gt;12,$AH1667&lt;1,$AH1667&gt;31),"نامعتبر",RIGHT("0000"&amp;$AF1667,4)&amp;"/"&amp;RIGHT("00"&amp;$AG1667,2)&amp;"/"&amp;RIGHT("00"&amp;$AH1667,2)))</f>
        <v/>
      </c>
      <c r="AJ1667">
        <f>IF($AE1667="","",IF(Sync!$Q1667="","0000",IF(AND(ISNUMBER(Sync!$Q1667),Sync!$Q1667&gt;=0,Sync!$Q1667&lt;1),RIGHT("00"&amp;HOUR(Sync!$Q1667),2)&amp;RIGHT("00"&amp;MINUTE(Sync!$Q1667),2),IFERROR(RIGHT("00"&amp;VALUE(LEFT(Sync!$Q1667,FIND(":",Sync!$Q1667)-1)),2)&amp;RIGHT("00"&amp;VALUE(MID(Sync!$Q1667,FIND(":",Sync!$Q1667)+1,2)),2),"0000"))))</f>
        <v/>
      </c>
      <c r="AK1667">
        <f>IF(OR($AE1667="",$AI1667="",$AI1667="نامعتبر"),"",LEFT($AI1667,4)&amp;MID($AI1667,6,2)&amp;RIGHT($AI1667,2)&amp;$AJ1667&amp;"|"&amp;"3"&amp;RIGHT("00000"&amp;1662,5))</f>
        <v/>
      </c>
      <c r="AL1667">
        <f>IF($AK1667="","",COUNTIFS(LdAParty,$AE1667,LdAType,1,LdAKey,"&lt;"&amp;$AK1667)+COUNTIFS(LdBMember,$AE1667,LdBKey,"&lt;"&amp;$AK1667)+COUNTIFS(LdCParty,$AE1667,LdCKey,"&lt;"&amp;$AK1667)+1)</f>
        <v/>
      </c>
      <c r="AM1667">
        <f>IF($AL1667="","",$AE1667&amp;"|"&amp;RIGHT("000000"&amp;$AL1667,6))</f>
        <v/>
      </c>
      <c r="AN1667">
        <f>IF($AE1667="","",IF(Sync!$W1667="",0,Sync!$W1667))</f>
        <v/>
      </c>
      <c r="AO1667">
        <f>IF($AE1667="","",IF(Sync!$X1667="",0,Sync!$X1667))</f>
        <v/>
      </c>
      <c r="AP1667">
        <f>IF($AE1667="","",Sync!$R1667)</f>
        <v/>
      </c>
      <c r="AQ1667">
        <f>IF($AE1667="","",Sync!$Y1667)</f>
        <v/>
      </c>
    </row>
    <row r="1668">
      <c r="A1668">
        <f>IF(OR(Wages!$B1671="",Wages!$E1671=""),"",Wages!$E1671)</f>
        <v/>
      </c>
      <c r="B1668">
        <f>IF($A1668="","",IF(Wages!$C1671="دستمزد گروهی",2,1))</f>
        <v/>
      </c>
      <c r="C1668">
        <f>IF($A1668="","",IF(ISNUMBER(Wages!$B1671),IF(AND(Wages!$B1671&gt;=10000101,Wages!$B1671&lt;=99991231),INT(Wages!$B1671/10000),""),IFERROR(VALUE(TRIM(LEFT(Wages!$B1671,FIND("/",Wages!$B1671)-1))),"")))</f>
        <v/>
      </c>
      <c r="D1668">
        <f>IF(OR($A1668="",$C1668=""),"",IF(ISNUMBER(Wages!$B1671),INT(MOD(Wages!$B1671,10000)/100),IFERROR(VALUE(TRIM(LEFT(MID(Wages!$B1671,FIND("/",Wages!$B1671)+1,20),FIND("/",MID(Wages!$B1671,FIND("/",Wages!$B1671)+1,20))-1))),"")))</f>
        <v/>
      </c>
      <c r="E1668">
        <f>IF(OR($A1668="",$C1668=""),"",IF(ISNUMBER(Wages!$B1671),MOD(Wages!$B1671,100),IFERROR(VALUE(TRIM(MID(MID(Wages!$B1671,FIND("/",Wages!$B1671)+1,20),FIND("/",MID(Wages!$B1671,FIND("/",Wages!$B1671)+1,20))+1,20))),"")))</f>
        <v/>
      </c>
      <c r="F1668">
        <f>IF($A1668="","",IF(OR($C1668="",$D1668="",$E1668="",$C1668&lt;1300,$C1668&gt;1500,$D1668&lt;1,$D1668&gt;12,$E1668&lt;1,$E1668&gt;31),"نامعتبر",RIGHT("0000"&amp;$C1668,4)&amp;"/"&amp;RIGHT("00"&amp;$D1668,2)&amp;"/"&amp;RIGHT("00"&amp;$E1668,2)))</f>
        <v/>
      </c>
      <c r="G1668">
        <f>IF(OR($A1668="",$F1668="",$F1668="نامعتبر"),"",LEFT($F1668,4)&amp;MID($F1668,6,2)&amp;RIGHT($F1668,2)&amp;"0000"&amp;"|"&amp;"1"&amp;RIGHT("00000"&amp;1663,5))</f>
        <v/>
      </c>
      <c r="H1668">
        <f>IF(OR($B1668&lt;&gt;1,$G1668=""),"",COUNTIFS(LdAParty,$A1668,LdAType,1,LdAKey,"&lt;"&amp;$G1668)+COUNTIFS(LdBMember,$A1668,LdBKey,"&lt;"&amp;$G1668)+COUNTIFS(LdCParty,$A1668,LdCKey,"&lt;"&amp;$G1668)+1)</f>
        <v/>
      </c>
      <c r="I1668">
        <f>IF($H1668="","",$A1668&amp;"|"&amp;RIGHT("000000"&amp;$H1668,6))</f>
        <v/>
      </c>
      <c r="J1668">
        <f>IF(OR($B1668&lt;&gt;2,$G1668=""),"",COUNTIFS(LdAParty,$A1668,LdAType,2,LdAKey,"&lt;"&amp;$G1668)+1)</f>
        <v/>
      </c>
      <c r="K1668">
        <f>IF($J1668="","",$A1668&amp;"|"&amp;RIGHT("000000"&amp;$J1668,6))</f>
        <v/>
      </c>
      <c r="L1668">
        <f>IF($A1668="","",IF(Wages!$G1671="",0,Wages!$G1671))</f>
        <v/>
      </c>
      <c r="M1668">
        <f>IF($A1668="","",Wages!$J1671)</f>
        <v/>
      </c>
      <c r="N1668">
        <f>IF($A1668="","",Wages!$D1671)</f>
        <v/>
      </c>
      <c r="P1668">
        <f>IF(OR(Shares!$B1671="",Shares!$C1671=""),"",Shares!$C1671)</f>
        <v/>
      </c>
      <c r="Q1668">
        <f>IF($P1668="","",Shares!$B1671)</f>
        <v/>
      </c>
      <c r="R1668">
        <f>IF($P1668="","",IFERROR(INDEX(WageParty,MATCH($Q1668,WageIds,0)),""))</f>
        <v/>
      </c>
      <c r="S1668">
        <f>IF($P1668="","",IFERROR(INDEX($F$6:$F$2005,MATCH($Q1668,WageIds,0)),""))</f>
        <v/>
      </c>
      <c r="T1668">
        <f>IF(OR($P1668="",$S1668="",$S1668="نامعتبر"),"",LEFT($S1668,4)&amp;MID($S1668,6,2)&amp;RIGHT($S1668,2)&amp;"0000"&amp;"|"&amp;"2"&amp;RIGHT("00000"&amp;1663,5))</f>
        <v/>
      </c>
      <c r="U1668">
        <f>IF($T1668="","",COUNTIFS(LdAParty,$P1668,LdAType,1,LdAKey,"&lt;"&amp;$T1668)+COUNTIFS(LdBMember,$P1668,LdBKey,"&lt;"&amp;$T1668)+COUNTIFS(LdCParty,$P1668,LdCKey,"&lt;"&amp;$T1668)+1)</f>
        <v/>
      </c>
      <c r="V1668">
        <f>IF($U1668="","",$P1668&amp;"|"&amp;RIGHT("000000"&amp;$U1668,6))</f>
        <v/>
      </c>
      <c r="W1668">
        <f>IF($T1668="","",COUNTIFS(LdBGroup,$R1668,LdBKey,"&lt;"&amp;$T1668)+1)</f>
        <v/>
      </c>
      <c r="X1668">
        <f>IF($W1668="","",$R1668&amp;"|"&amp;RIGHT("000000"&amp;$W1668,6))</f>
        <v/>
      </c>
      <c r="Y1668">
        <f>IF($P1668="","",IF(Shares!$E1671="",0,Shares!$E1671))</f>
        <v/>
      </c>
      <c r="Z1668">
        <f>IF($P1668="","",Shares!$H1671)</f>
        <v/>
      </c>
      <c r="AE1668">
        <f>IF(OR(Sync!$S1668="",Sync!$P1668=""),"",Sync!$S1668)</f>
        <v/>
      </c>
      <c r="AF1668">
        <f>IF($AE1668="","",IF(ISNUMBER(Sync!$P1668),IF(AND(Sync!$P1668&gt;=10000101,Sync!$P1668&lt;=99991231),INT(Sync!$P1668/10000),""),IFERROR(VALUE(TRIM(LEFT(Sync!$P1668,FIND("/",Sync!$P1668)-1))),"")))</f>
        <v/>
      </c>
      <c r="AG1668">
        <f>IF(OR($AE1668="",$AF1668=""),"",IF(ISNUMBER(Sync!$P1668),INT(MOD(Sync!$P1668,10000)/100),IFERROR(VALUE(TRIM(LEFT(MID(Sync!$P1668,FIND("/",Sync!$P1668)+1,20),FIND("/",MID(Sync!$P1668,FIND("/",Sync!$P1668)+1,20))-1))),"")))</f>
        <v/>
      </c>
      <c r="AH1668">
        <f>IF(OR($AE1668="",$AF1668=""),"",IF(ISNUMBER(Sync!$P1668),MOD(Sync!$P1668,100),IFERROR(VALUE(TRIM(MID(MID(Sync!$P1668,FIND("/",Sync!$P1668)+1,20),FIND("/",MID(Sync!$P1668,FIND("/",Sync!$P1668)+1,20))+1,20))),"")))</f>
        <v/>
      </c>
      <c r="AI1668">
        <f>IF($AE1668="","",IF(OR($AF1668="",$AG1668="",$AH1668="",$AF1668&lt;1300,$AF1668&gt;1500,$AG1668&lt;1,$AG1668&gt;12,$AH1668&lt;1,$AH1668&gt;31),"نامعتبر",RIGHT("0000"&amp;$AF1668,4)&amp;"/"&amp;RIGHT("00"&amp;$AG1668,2)&amp;"/"&amp;RIGHT("00"&amp;$AH1668,2)))</f>
        <v/>
      </c>
      <c r="AJ1668">
        <f>IF($AE1668="","",IF(Sync!$Q1668="","0000",IF(AND(ISNUMBER(Sync!$Q1668),Sync!$Q1668&gt;=0,Sync!$Q1668&lt;1),RIGHT("00"&amp;HOUR(Sync!$Q1668),2)&amp;RIGHT("00"&amp;MINUTE(Sync!$Q1668),2),IFERROR(RIGHT("00"&amp;VALUE(LEFT(Sync!$Q1668,FIND(":",Sync!$Q1668)-1)),2)&amp;RIGHT("00"&amp;VALUE(MID(Sync!$Q1668,FIND(":",Sync!$Q1668)+1,2)),2),"0000"))))</f>
        <v/>
      </c>
      <c r="AK1668">
        <f>IF(OR($AE1668="",$AI1668="",$AI1668="نامعتبر"),"",LEFT($AI1668,4)&amp;MID($AI1668,6,2)&amp;RIGHT($AI1668,2)&amp;$AJ1668&amp;"|"&amp;"3"&amp;RIGHT("00000"&amp;1663,5))</f>
        <v/>
      </c>
      <c r="AL1668">
        <f>IF($AK1668="","",COUNTIFS(LdAParty,$AE1668,LdAType,1,LdAKey,"&lt;"&amp;$AK1668)+COUNTIFS(LdBMember,$AE1668,LdBKey,"&lt;"&amp;$AK1668)+COUNTIFS(LdCParty,$AE1668,LdCKey,"&lt;"&amp;$AK1668)+1)</f>
        <v/>
      </c>
      <c r="AM1668">
        <f>IF($AL1668="","",$AE1668&amp;"|"&amp;RIGHT("000000"&amp;$AL1668,6))</f>
        <v/>
      </c>
      <c r="AN1668">
        <f>IF($AE1668="","",IF(Sync!$W1668="",0,Sync!$W1668))</f>
        <v/>
      </c>
      <c r="AO1668">
        <f>IF($AE1668="","",IF(Sync!$X1668="",0,Sync!$X1668))</f>
        <v/>
      </c>
      <c r="AP1668">
        <f>IF($AE1668="","",Sync!$R1668)</f>
        <v/>
      </c>
      <c r="AQ1668">
        <f>IF($AE1668="","",Sync!$Y1668)</f>
        <v/>
      </c>
    </row>
    <row r="1669">
      <c r="A1669">
        <f>IF(OR(Wages!$B1672="",Wages!$E1672=""),"",Wages!$E1672)</f>
        <v/>
      </c>
      <c r="B1669">
        <f>IF($A1669="","",IF(Wages!$C1672="دستمزد گروهی",2,1))</f>
        <v/>
      </c>
      <c r="C1669">
        <f>IF($A1669="","",IF(ISNUMBER(Wages!$B1672),IF(AND(Wages!$B1672&gt;=10000101,Wages!$B1672&lt;=99991231),INT(Wages!$B1672/10000),""),IFERROR(VALUE(TRIM(LEFT(Wages!$B1672,FIND("/",Wages!$B1672)-1))),"")))</f>
        <v/>
      </c>
      <c r="D1669">
        <f>IF(OR($A1669="",$C1669=""),"",IF(ISNUMBER(Wages!$B1672),INT(MOD(Wages!$B1672,10000)/100),IFERROR(VALUE(TRIM(LEFT(MID(Wages!$B1672,FIND("/",Wages!$B1672)+1,20),FIND("/",MID(Wages!$B1672,FIND("/",Wages!$B1672)+1,20))-1))),"")))</f>
        <v/>
      </c>
      <c r="E1669">
        <f>IF(OR($A1669="",$C1669=""),"",IF(ISNUMBER(Wages!$B1672),MOD(Wages!$B1672,100),IFERROR(VALUE(TRIM(MID(MID(Wages!$B1672,FIND("/",Wages!$B1672)+1,20),FIND("/",MID(Wages!$B1672,FIND("/",Wages!$B1672)+1,20))+1,20))),"")))</f>
        <v/>
      </c>
      <c r="F1669">
        <f>IF($A1669="","",IF(OR($C1669="",$D1669="",$E1669="",$C1669&lt;1300,$C1669&gt;1500,$D1669&lt;1,$D1669&gt;12,$E1669&lt;1,$E1669&gt;31),"نامعتبر",RIGHT("0000"&amp;$C1669,4)&amp;"/"&amp;RIGHT("00"&amp;$D1669,2)&amp;"/"&amp;RIGHT("00"&amp;$E1669,2)))</f>
        <v/>
      </c>
      <c r="G1669">
        <f>IF(OR($A1669="",$F1669="",$F1669="نامعتبر"),"",LEFT($F1669,4)&amp;MID($F1669,6,2)&amp;RIGHT($F1669,2)&amp;"0000"&amp;"|"&amp;"1"&amp;RIGHT("00000"&amp;1664,5))</f>
        <v/>
      </c>
      <c r="H1669">
        <f>IF(OR($B1669&lt;&gt;1,$G1669=""),"",COUNTIFS(LdAParty,$A1669,LdAType,1,LdAKey,"&lt;"&amp;$G1669)+COUNTIFS(LdBMember,$A1669,LdBKey,"&lt;"&amp;$G1669)+COUNTIFS(LdCParty,$A1669,LdCKey,"&lt;"&amp;$G1669)+1)</f>
        <v/>
      </c>
      <c r="I1669">
        <f>IF($H1669="","",$A1669&amp;"|"&amp;RIGHT("000000"&amp;$H1669,6))</f>
        <v/>
      </c>
      <c r="J1669">
        <f>IF(OR($B1669&lt;&gt;2,$G1669=""),"",COUNTIFS(LdAParty,$A1669,LdAType,2,LdAKey,"&lt;"&amp;$G1669)+1)</f>
        <v/>
      </c>
      <c r="K1669">
        <f>IF($J1669="","",$A1669&amp;"|"&amp;RIGHT("000000"&amp;$J1669,6))</f>
        <v/>
      </c>
      <c r="L1669">
        <f>IF($A1669="","",IF(Wages!$G1672="",0,Wages!$G1672))</f>
        <v/>
      </c>
      <c r="M1669">
        <f>IF($A1669="","",Wages!$J1672)</f>
        <v/>
      </c>
      <c r="N1669">
        <f>IF($A1669="","",Wages!$D1672)</f>
        <v/>
      </c>
      <c r="P1669">
        <f>IF(OR(Shares!$B1672="",Shares!$C1672=""),"",Shares!$C1672)</f>
        <v/>
      </c>
      <c r="Q1669">
        <f>IF($P1669="","",Shares!$B1672)</f>
        <v/>
      </c>
      <c r="R1669">
        <f>IF($P1669="","",IFERROR(INDEX(WageParty,MATCH($Q1669,WageIds,0)),""))</f>
        <v/>
      </c>
      <c r="S1669">
        <f>IF($P1669="","",IFERROR(INDEX($F$6:$F$2005,MATCH($Q1669,WageIds,0)),""))</f>
        <v/>
      </c>
      <c r="T1669">
        <f>IF(OR($P1669="",$S1669="",$S1669="نامعتبر"),"",LEFT($S1669,4)&amp;MID($S1669,6,2)&amp;RIGHT($S1669,2)&amp;"0000"&amp;"|"&amp;"2"&amp;RIGHT("00000"&amp;1664,5))</f>
        <v/>
      </c>
      <c r="U1669">
        <f>IF($T1669="","",COUNTIFS(LdAParty,$P1669,LdAType,1,LdAKey,"&lt;"&amp;$T1669)+COUNTIFS(LdBMember,$P1669,LdBKey,"&lt;"&amp;$T1669)+COUNTIFS(LdCParty,$P1669,LdCKey,"&lt;"&amp;$T1669)+1)</f>
        <v/>
      </c>
      <c r="V1669">
        <f>IF($U1669="","",$P1669&amp;"|"&amp;RIGHT("000000"&amp;$U1669,6))</f>
        <v/>
      </c>
      <c r="W1669">
        <f>IF($T1669="","",COUNTIFS(LdBGroup,$R1669,LdBKey,"&lt;"&amp;$T1669)+1)</f>
        <v/>
      </c>
      <c r="X1669">
        <f>IF($W1669="","",$R1669&amp;"|"&amp;RIGHT("000000"&amp;$W1669,6))</f>
        <v/>
      </c>
      <c r="Y1669">
        <f>IF($P1669="","",IF(Shares!$E1672="",0,Shares!$E1672))</f>
        <v/>
      </c>
      <c r="Z1669">
        <f>IF($P1669="","",Shares!$H1672)</f>
        <v/>
      </c>
      <c r="AE1669">
        <f>IF(OR(Sync!$S1669="",Sync!$P1669=""),"",Sync!$S1669)</f>
        <v/>
      </c>
      <c r="AF1669">
        <f>IF($AE1669="","",IF(ISNUMBER(Sync!$P1669),IF(AND(Sync!$P1669&gt;=10000101,Sync!$P1669&lt;=99991231),INT(Sync!$P1669/10000),""),IFERROR(VALUE(TRIM(LEFT(Sync!$P1669,FIND("/",Sync!$P1669)-1))),"")))</f>
        <v/>
      </c>
      <c r="AG1669">
        <f>IF(OR($AE1669="",$AF1669=""),"",IF(ISNUMBER(Sync!$P1669),INT(MOD(Sync!$P1669,10000)/100),IFERROR(VALUE(TRIM(LEFT(MID(Sync!$P1669,FIND("/",Sync!$P1669)+1,20),FIND("/",MID(Sync!$P1669,FIND("/",Sync!$P1669)+1,20))-1))),"")))</f>
        <v/>
      </c>
      <c r="AH1669">
        <f>IF(OR($AE1669="",$AF1669=""),"",IF(ISNUMBER(Sync!$P1669),MOD(Sync!$P1669,100),IFERROR(VALUE(TRIM(MID(MID(Sync!$P1669,FIND("/",Sync!$P1669)+1,20),FIND("/",MID(Sync!$P1669,FIND("/",Sync!$P1669)+1,20))+1,20))),"")))</f>
        <v/>
      </c>
      <c r="AI1669">
        <f>IF($AE1669="","",IF(OR($AF1669="",$AG1669="",$AH1669="",$AF1669&lt;1300,$AF1669&gt;1500,$AG1669&lt;1,$AG1669&gt;12,$AH1669&lt;1,$AH1669&gt;31),"نامعتبر",RIGHT("0000"&amp;$AF1669,4)&amp;"/"&amp;RIGHT("00"&amp;$AG1669,2)&amp;"/"&amp;RIGHT("00"&amp;$AH1669,2)))</f>
        <v/>
      </c>
      <c r="AJ1669">
        <f>IF($AE1669="","",IF(Sync!$Q1669="","0000",IF(AND(ISNUMBER(Sync!$Q1669),Sync!$Q1669&gt;=0,Sync!$Q1669&lt;1),RIGHT("00"&amp;HOUR(Sync!$Q1669),2)&amp;RIGHT("00"&amp;MINUTE(Sync!$Q1669),2),IFERROR(RIGHT("00"&amp;VALUE(LEFT(Sync!$Q1669,FIND(":",Sync!$Q1669)-1)),2)&amp;RIGHT("00"&amp;VALUE(MID(Sync!$Q1669,FIND(":",Sync!$Q1669)+1,2)),2),"0000"))))</f>
        <v/>
      </c>
      <c r="AK1669">
        <f>IF(OR($AE1669="",$AI1669="",$AI1669="نامعتبر"),"",LEFT($AI1669,4)&amp;MID($AI1669,6,2)&amp;RIGHT($AI1669,2)&amp;$AJ1669&amp;"|"&amp;"3"&amp;RIGHT("00000"&amp;1664,5))</f>
        <v/>
      </c>
      <c r="AL1669">
        <f>IF($AK1669="","",COUNTIFS(LdAParty,$AE1669,LdAType,1,LdAKey,"&lt;"&amp;$AK1669)+COUNTIFS(LdBMember,$AE1669,LdBKey,"&lt;"&amp;$AK1669)+COUNTIFS(LdCParty,$AE1669,LdCKey,"&lt;"&amp;$AK1669)+1)</f>
        <v/>
      </c>
      <c r="AM1669">
        <f>IF($AL1669="","",$AE1669&amp;"|"&amp;RIGHT("000000"&amp;$AL1669,6))</f>
        <v/>
      </c>
      <c r="AN1669">
        <f>IF($AE1669="","",IF(Sync!$W1669="",0,Sync!$W1669))</f>
        <v/>
      </c>
      <c r="AO1669">
        <f>IF($AE1669="","",IF(Sync!$X1669="",0,Sync!$X1669))</f>
        <v/>
      </c>
      <c r="AP1669">
        <f>IF($AE1669="","",Sync!$R1669)</f>
        <v/>
      </c>
      <c r="AQ1669">
        <f>IF($AE1669="","",Sync!$Y1669)</f>
        <v/>
      </c>
    </row>
    <row r="1670">
      <c r="A1670">
        <f>IF(OR(Wages!$B1673="",Wages!$E1673=""),"",Wages!$E1673)</f>
        <v/>
      </c>
      <c r="B1670">
        <f>IF($A1670="","",IF(Wages!$C1673="دستمزد گروهی",2,1))</f>
        <v/>
      </c>
      <c r="C1670">
        <f>IF($A1670="","",IF(ISNUMBER(Wages!$B1673),IF(AND(Wages!$B1673&gt;=10000101,Wages!$B1673&lt;=99991231),INT(Wages!$B1673/10000),""),IFERROR(VALUE(TRIM(LEFT(Wages!$B1673,FIND("/",Wages!$B1673)-1))),"")))</f>
        <v/>
      </c>
      <c r="D1670">
        <f>IF(OR($A1670="",$C1670=""),"",IF(ISNUMBER(Wages!$B1673),INT(MOD(Wages!$B1673,10000)/100),IFERROR(VALUE(TRIM(LEFT(MID(Wages!$B1673,FIND("/",Wages!$B1673)+1,20),FIND("/",MID(Wages!$B1673,FIND("/",Wages!$B1673)+1,20))-1))),"")))</f>
        <v/>
      </c>
      <c r="E1670">
        <f>IF(OR($A1670="",$C1670=""),"",IF(ISNUMBER(Wages!$B1673),MOD(Wages!$B1673,100),IFERROR(VALUE(TRIM(MID(MID(Wages!$B1673,FIND("/",Wages!$B1673)+1,20),FIND("/",MID(Wages!$B1673,FIND("/",Wages!$B1673)+1,20))+1,20))),"")))</f>
        <v/>
      </c>
      <c r="F1670">
        <f>IF($A1670="","",IF(OR($C1670="",$D1670="",$E1670="",$C1670&lt;1300,$C1670&gt;1500,$D1670&lt;1,$D1670&gt;12,$E1670&lt;1,$E1670&gt;31),"نامعتبر",RIGHT("0000"&amp;$C1670,4)&amp;"/"&amp;RIGHT("00"&amp;$D1670,2)&amp;"/"&amp;RIGHT("00"&amp;$E1670,2)))</f>
        <v/>
      </c>
      <c r="G1670">
        <f>IF(OR($A1670="",$F1670="",$F1670="نامعتبر"),"",LEFT($F1670,4)&amp;MID($F1670,6,2)&amp;RIGHT($F1670,2)&amp;"0000"&amp;"|"&amp;"1"&amp;RIGHT("00000"&amp;1665,5))</f>
        <v/>
      </c>
      <c r="H1670">
        <f>IF(OR($B1670&lt;&gt;1,$G1670=""),"",COUNTIFS(LdAParty,$A1670,LdAType,1,LdAKey,"&lt;"&amp;$G1670)+COUNTIFS(LdBMember,$A1670,LdBKey,"&lt;"&amp;$G1670)+COUNTIFS(LdCParty,$A1670,LdCKey,"&lt;"&amp;$G1670)+1)</f>
        <v/>
      </c>
      <c r="I1670">
        <f>IF($H1670="","",$A1670&amp;"|"&amp;RIGHT("000000"&amp;$H1670,6))</f>
        <v/>
      </c>
      <c r="J1670">
        <f>IF(OR($B1670&lt;&gt;2,$G1670=""),"",COUNTIFS(LdAParty,$A1670,LdAType,2,LdAKey,"&lt;"&amp;$G1670)+1)</f>
        <v/>
      </c>
      <c r="K1670">
        <f>IF($J1670="","",$A1670&amp;"|"&amp;RIGHT("000000"&amp;$J1670,6))</f>
        <v/>
      </c>
      <c r="L1670">
        <f>IF($A1670="","",IF(Wages!$G1673="",0,Wages!$G1673))</f>
        <v/>
      </c>
      <c r="M1670">
        <f>IF($A1670="","",Wages!$J1673)</f>
        <v/>
      </c>
      <c r="N1670">
        <f>IF($A1670="","",Wages!$D1673)</f>
        <v/>
      </c>
      <c r="P1670">
        <f>IF(OR(Shares!$B1673="",Shares!$C1673=""),"",Shares!$C1673)</f>
        <v/>
      </c>
      <c r="Q1670">
        <f>IF($P1670="","",Shares!$B1673)</f>
        <v/>
      </c>
      <c r="R1670">
        <f>IF($P1670="","",IFERROR(INDEX(WageParty,MATCH($Q1670,WageIds,0)),""))</f>
        <v/>
      </c>
      <c r="S1670">
        <f>IF($P1670="","",IFERROR(INDEX($F$6:$F$2005,MATCH($Q1670,WageIds,0)),""))</f>
        <v/>
      </c>
      <c r="T1670">
        <f>IF(OR($P1670="",$S1670="",$S1670="نامعتبر"),"",LEFT($S1670,4)&amp;MID($S1670,6,2)&amp;RIGHT($S1670,2)&amp;"0000"&amp;"|"&amp;"2"&amp;RIGHT("00000"&amp;1665,5))</f>
        <v/>
      </c>
      <c r="U1670">
        <f>IF($T1670="","",COUNTIFS(LdAParty,$P1670,LdAType,1,LdAKey,"&lt;"&amp;$T1670)+COUNTIFS(LdBMember,$P1670,LdBKey,"&lt;"&amp;$T1670)+COUNTIFS(LdCParty,$P1670,LdCKey,"&lt;"&amp;$T1670)+1)</f>
        <v/>
      </c>
      <c r="V1670">
        <f>IF($U1670="","",$P1670&amp;"|"&amp;RIGHT("000000"&amp;$U1670,6))</f>
        <v/>
      </c>
      <c r="W1670">
        <f>IF($T1670="","",COUNTIFS(LdBGroup,$R1670,LdBKey,"&lt;"&amp;$T1670)+1)</f>
        <v/>
      </c>
      <c r="X1670">
        <f>IF($W1670="","",$R1670&amp;"|"&amp;RIGHT("000000"&amp;$W1670,6))</f>
        <v/>
      </c>
      <c r="Y1670">
        <f>IF($P1670="","",IF(Shares!$E1673="",0,Shares!$E1673))</f>
        <v/>
      </c>
      <c r="Z1670">
        <f>IF($P1670="","",Shares!$H1673)</f>
        <v/>
      </c>
      <c r="AE1670">
        <f>IF(OR(Sync!$S1670="",Sync!$P1670=""),"",Sync!$S1670)</f>
        <v/>
      </c>
      <c r="AF1670">
        <f>IF($AE1670="","",IF(ISNUMBER(Sync!$P1670),IF(AND(Sync!$P1670&gt;=10000101,Sync!$P1670&lt;=99991231),INT(Sync!$P1670/10000),""),IFERROR(VALUE(TRIM(LEFT(Sync!$P1670,FIND("/",Sync!$P1670)-1))),"")))</f>
        <v/>
      </c>
      <c r="AG1670">
        <f>IF(OR($AE1670="",$AF1670=""),"",IF(ISNUMBER(Sync!$P1670),INT(MOD(Sync!$P1670,10000)/100),IFERROR(VALUE(TRIM(LEFT(MID(Sync!$P1670,FIND("/",Sync!$P1670)+1,20),FIND("/",MID(Sync!$P1670,FIND("/",Sync!$P1670)+1,20))-1))),"")))</f>
        <v/>
      </c>
      <c r="AH1670">
        <f>IF(OR($AE1670="",$AF1670=""),"",IF(ISNUMBER(Sync!$P1670),MOD(Sync!$P1670,100),IFERROR(VALUE(TRIM(MID(MID(Sync!$P1670,FIND("/",Sync!$P1670)+1,20),FIND("/",MID(Sync!$P1670,FIND("/",Sync!$P1670)+1,20))+1,20))),"")))</f>
        <v/>
      </c>
      <c r="AI1670">
        <f>IF($AE1670="","",IF(OR($AF1670="",$AG1670="",$AH1670="",$AF1670&lt;1300,$AF1670&gt;1500,$AG1670&lt;1,$AG1670&gt;12,$AH1670&lt;1,$AH1670&gt;31),"نامعتبر",RIGHT("0000"&amp;$AF1670,4)&amp;"/"&amp;RIGHT("00"&amp;$AG1670,2)&amp;"/"&amp;RIGHT("00"&amp;$AH1670,2)))</f>
        <v/>
      </c>
      <c r="AJ1670">
        <f>IF($AE1670="","",IF(Sync!$Q1670="","0000",IF(AND(ISNUMBER(Sync!$Q1670),Sync!$Q1670&gt;=0,Sync!$Q1670&lt;1),RIGHT("00"&amp;HOUR(Sync!$Q1670),2)&amp;RIGHT("00"&amp;MINUTE(Sync!$Q1670),2),IFERROR(RIGHT("00"&amp;VALUE(LEFT(Sync!$Q1670,FIND(":",Sync!$Q1670)-1)),2)&amp;RIGHT("00"&amp;VALUE(MID(Sync!$Q1670,FIND(":",Sync!$Q1670)+1,2)),2),"0000"))))</f>
        <v/>
      </c>
      <c r="AK1670">
        <f>IF(OR($AE1670="",$AI1670="",$AI1670="نامعتبر"),"",LEFT($AI1670,4)&amp;MID($AI1670,6,2)&amp;RIGHT($AI1670,2)&amp;$AJ1670&amp;"|"&amp;"3"&amp;RIGHT("00000"&amp;1665,5))</f>
        <v/>
      </c>
      <c r="AL1670">
        <f>IF($AK1670="","",COUNTIFS(LdAParty,$AE1670,LdAType,1,LdAKey,"&lt;"&amp;$AK1670)+COUNTIFS(LdBMember,$AE1670,LdBKey,"&lt;"&amp;$AK1670)+COUNTIFS(LdCParty,$AE1670,LdCKey,"&lt;"&amp;$AK1670)+1)</f>
        <v/>
      </c>
      <c r="AM1670">
        <f>IF($AL1670="","",$AE1670&amp;"|"&amp;RIGHT("000000"&amp;$AL1670,6))</f>
        <v/>
      </c>
      <c r="AN1670">
        <f>IF($AE1670="","",IF(Sync!$W1670="",0,Sync!$W1670))</f>
        <v/>
      </c>
      <c r="AO1670">
        <f>IF($AE1670="","",IF(Sync!$X1670="",0,Sync!$X1670))</f>
        <v/>
      </c>
      <c r="AP1670">
        <f>IF($AE1670="","",Sync!$R1670)</f>
        <v/>
      </c>
      <c r="AQ1670">
        <f>IF($AE1670="","",Sync!$Y1670)</f>
        <v/>
      </c>
    </row>
    <row r="1671">
      <c r="A1671">
        <f>IF(OR(Wages!$B1674="",Wages!$E1674=""),"",Wages!$E1674)</f>
        <v/>
      </c>
      <c r="B1671">
        <f>IF($A1671="","",IF(Wages!$C1674="دستمزد گروهی",2,1))</f>
        <v/>
      </c>
      <c r="C1671">
        <f>IF($A1671="","",IF(ISNUMBER(Wages!$B1674),IF(AND(Wages!$B1674&gt;=10000101,Wages!$B1674&lt;=99991231),INT(Wages!$B1674/10000),""),IFERROR(VALUE(TRIM(LEFT(Wages!$B1674,FIND("/",Wages!$B1674)-1))),"")))</f>
        <v/>
      </c>
      <c r="D1671">
        <f>IF(OR($A1671="",$C1671=""),"",IF(ISNUMBER(Wages!$B1674),INT(MOD(Wages!$B1674,10000)/100),IFERROR(VALUE(TRIM(LEFT(MID(Wages!$B1674,FIND("/",Wages!$B1674)+1,20),FIND("/",MID(Wages!$B1674,FIND("/",Wages!$B1674)+1,20))-1))),"")))</f>
        <v/>
      </c>
      <c r="E1671">
        <f>IF(OR($A1671="",$C1671=""),"",IF(ISNUMBER(Wages!$B1674),MOD(Wages!$B1674,100),IFERROR(VALUE(TRIM(MID(MID(Wages!$B1674,FIND("/",Wages!$B1674)+1,20),FIND("/",MID(Wages!$B1674,FIND("/",Wages!$B1674)+1,20))+1,20))),"")))</f>
        <v/>
      </c>
      <c r="F1671">
        <f>IF($A1671="","",IF(OR($C1671="",$D1671="",$E1671="",$C1671&lt;1300,$C1671&gt;1500,$D1671&lt;1,$D1671&gt;12,$E1671&lt;1,$E1671&gt;31),"نامعتبر",RIGHT("0000"&amp;$C1671,4)&amp;"/"&amp;RIGHT("00"&amp;$D1671,2)&amp;"/"&amp;RIGHT("00"&amp;$E1671,2)))</f>
        <v/>
      </c>
      <c r="G1671">
        <f>IF(OR($A1671="",$F1671="",$F1671="نامعتبر"),"",LEFT($F1671,4)&amp;MID($F1671,6,2)&amp;RIGHT($F1671,2)&amp;"0000"&amp;"|"&amp;"1"&amp;RIGHT("00000"&amp;1666,5))</f>
        <v/>
      </c>
      <c r="H1671">
        <f>IF(OR($B1671&lt;&gt;1,$G1671=""),"",COUNTIFS(LdAParty,$A1671,LdAType,1,LdAKey,"&lt;"&amp;$G1671)+COUNTIFS(LdBMember,$A1671,LdBKey,"&lt;"&amp;$G1671)+COUNTIFS(LdCParty,$A1671,LdCKey,"&lt;"&amp;$G1671)+1)</f>
        <v/>
      </c>
      <c r="I1671">
        <f>IF($H1671="","",$A1671&amp;"|"&amp;RIGHT("000000"&amp;$H1671,6))</f>
        <v/>
      </c>
      <c r="J1671">
        <f>IF(OR($B1671&lt;&gt;2,$G1671=""),"",COUNTIFS(LdAParty,$A1671,LdAType,2,LdAKey,"&lt;"&amp;$G1671)+1)</f>
        <v/>
      </c>
      <c r="K1671">
        <f>IF($J1671="","",$A1671&amp;"|"&amp;RIGHT("000000"&amp;$J1671,6))</f>
        <v/>
      </c>
      <c r="L1671">
        <f>IF($A1671="","",IF(Wages!$G1674="",0,Wages!$G1674))</f>
        <v/>
      </c>
      <c r="M1671">
        <f>IF($A1671="","",Wages!$J1674)</f>
        <v/>
      </c>
      <c r="N1671">
        <f>IF($A1671="","",Wages!$D1674)</f>
        <v/>
      </c>
      <c r="P1671">
        <f>IF(OR(Shares!$B1674="",Shares!$C1674=""),"",Shares!$C1674)</f>
        <v/>
      </c>
      <c r="Q1671">
        <f>IF($P1671="","",Shares!$B1674)</f>
        <v/>
      </c>
      <c r="R1671">
        <f>IF($P1671="","",IFERROR(INDEX(WageParty,MATCH($Q1671,WageIds,0)),""))</f>
        <v/>
      </c>
      <c r="S1671">
        <f>IF($P1671="","",IFERROR(INDEX($F$6:$F$2005,MATCH($Q1671,WageIds,0)),""))</f>
        <v/>
      </c>
      <c r="T1671">
        <f>IF(OR($P1671="",$S1671="",$S1671="نامعتبر"),"",LEFT($S1671,4)&amp;MID($S1671,6,2)&amp;RIGHT($S1671,2)&amp;"0000"&amp;"|"&amp;"2"&amp;RIGHT("00000"&amp;1666,5))</f>
        <v/>
      </c>
      <c r="U1671">
        <f>IF($T1671="","",COUNTIFS(LdAParty,$P1671,LdAType,1,LdAKey,"&lt;"&amp;$T1671)+COUNTIFS(LdBMember,$P1671,LdBKey,"&lt;"&amp;$T1671)+COUNTIFS(LdCParty,$P1671,LdCKey,"&lt;"&amp;$T1671)+1)</f>
        <v/>
      </c>
      <c r="V1671">
        <f>IF($U1671="","",$P1671&amp;"|"&amp;RIGHT("000000"&amp;$U1671,6))</f>
        <v/>
      </c>
      <c r="W1671">
        <f>IF($T1671="","",COUNTIFS(LdBGroup,$R1671,LdBKey,"&lt;"&amp;$T1671)+1)</f>
        <v/>
      </c>
      <c r="X1671">
        <f>IF($W1671="","",$R1671&amp;"|"&amp;RIGHT("000000"&amp;$W1671,6))</f>
        <v/>
      </c>
      <c r="Y1671">
        <f>IF($P1671="","",IF(Shares!$E1674="",0,Shares!$E1674))</f>
        <v/>
      </c>
      <c r="Z1671">
        <f>IF($P1671="","",Shares!$H1674)</f>
        <v/>
      </c>
      <c r="AE1671">
        <f>IF(OR(Sync!$S1671="",Sync!$P1671=""),"",Sync!$S1671)</f>
        <v/>
      </c>
      <c r="AF1671">
        <f>IF($AE1671="","",IF(ISNUMBER(Sync!$P1671),IF(AND(Sync!$P1671&gt;=10000101,Sync!$P1671&lt;=99991231),INT(Sync!$P1671/10000),""),IFERROR(VALUE(TRIM(LEFT(Sync!$P1671,FIND("/",Sync!$P1671)-1))),"")))</f>
        <v/>
      </c>
      <c r="AG1671">
        <f>IF(OR($AE1671="",$AF1671=""),"",IF(ISNUMBER(Sync!$P1671),INT(MOD(Sync!$P1671,10000)/100),IFERROR(VALUE(TRIM(LEFT(MID(Sync!$P1671,FIND("/",Sync!$P1671)+1,20),FIND("/",MID(Sync!$P1671,FIND("/",Sync!$P1671)+1,20))-1))),"")))</f>
        <v/>
      </c>
      <c r="AH1671">
        <f>IF(OR($AE1671="",$AF1671=""),"",IF(ISNUMBER(Sync!$P1671),MOD(Sync!$P1671,100),IFERROR(VALUE(TRIM(MID(MID(Sync!$P1671,FIND("/",Sync!$P1671)+1,20),FIND("/",MID(Sync!$P1671,FIND("/",Sync!$P1671)+1,20))+1,20))),"")))</f>
        <v/>
      </c>
      <c r="AI1671">
        <f>IF($AE1671="","",IF(OR($AF1671="",$AG1671="",$AH1671="",$AF1671&lt;1300,$AF1671&gt;1500,$AG1671&lt;1,$AG1671&gt;12,$AH1671&lt;1,$AH1671&gt;31),"نامعتبر",RIGHT("0000"&amp;$AF1671,4)&amp;"/"&amp;RIGHT("00"&amp;$AG1671,2)&amp;"/"&amp;RIGHT("00"&amp;$AH1671,2)))</f>
        <v/>
      </c>
      <c r="AJ1671">
        <f>IF($AE1671="","",IF(Sync!$Q1671="","0000",IF(AND(ISNUMBER(Sync!$Q1671),Sync!$Q1671&gt;=0,Sync!$Q1671&lt;1),RIGHT("00"&amp;HOUR(Sync!$Q1671),2)&amp;RIGHT("00"&amp;MINUTE(Sync!$Q1671),2),IFERROR(RIGHT("00"&amp;VALUE(LEFT(Sync!$Q1671,FIND(":",Sync!$Q1671)-1)),2)&amp;RIGHT("00"&amp;VALUE(MID(Sync!$Q1671,FIND(":",Sync!$Q1671)+1,2)),2),"0000"))))</f>
        <v/>
      </c>
      <c r="AK1671">
        <f>IF(OR($AE1671="",$AI1671="",$AI1671="نامعتبر"),"",LEFT($AI1671,4)&amp;MID($AI1671,6,2)&amp;RIGHT($AI1671,2)&amp;$AJ1671&amp;"|"&amp;"3"&amp;RIGHT("00000"&amp;1666,5))</f>
        <v/>
      </c>
      <c r="AL1671">
        <f>IF($AK1671="","",COUNTIFS(LdAParty,$AE1671,LdAType,1,LdAKey,"&lt;"&amp;$AK1671)+COUNTIFS(LdBMember,$AE1671,LdBKey,"&lt;"&amp;$AK1671)+COUNTIFS(LdCParty,$AE1671,LdCKey,"&lt;"&amp;$AK1671)+1)</f>
        <v/>
      </c>
      <c r="AM1671">
        <f>IF($AL1671="","",$AE1671&amp;"|"&amp;RIGHT("000000"&amp;$AL1671,6))</f>
        <v/>
      </c>
      <c r="AN1671">
        <f>IF($AE1671="","",IF(Sync!$W1671="",0,Sync!$W1671))</f>
        <v/>
      </c>
      <c r="AO1671">
        <f>IF($AE1671="","",IF(Sync!$X1671="",0,Sync!$X1671))</f>
        <v/>
      </c>
      <c r="AP1671">
        <f>IF($AE1671="","",Sync!$R1671)</f>
        <v/>
      </c>
      <c r="AQ1671">
        <f>IF($AE1671="","",Sync!$Y1671)</f>
        <v/>
      </c>
    </row>
    <row r="1672">
      <c r="A1672">
        <f>IF(OR(Wages!$B1675="",Wages!$E1675=""),"",Wages!$E1675)</f>
        <v/>
      </c>
      <c r="B1672">
        <f>IF($A1672="","",IF(Wages!$C1675="دستمزد گروهی",2,1))</f>
        <v/>
      </c>
      <c r="C1672">
        <f>IF($A1672="","",IF(ISNUMBER(Wages!$B1675),IF(AND(Wages!$B1675&gt;=10000101,Wages!$B1675&lt;=99991231),INT(Wages!$B1675/10000),""),IFERROR(VALUE(TRIM(LEFT(Wages!$B1675,FIND("/",Wages!$B1675)-1))),"")))</f>
        <v/>
      </c>
      <c r="D1672">
        <f>IF(OR($A1672="",$C1672=""),"",IF(ISNUMBER(Wages!$B1675),INT(MOD(Wages!$B1675,10000)/100),IFERROR(VALUE(TRIM(LEFT(MID(Wages!$B1675,FIND("/",Wages!$B1675)+1,20),FIND("/",MID(Wages!$B1675,FIND("/",Wages!$B1675)+1,20))-1))),"")))</f>
        <v/>
      </c>
      <c r="E1672">
        <f>IF(OR($A1672="",$C1672=""),"",IF(ISNUMBER(Wages!$B1675),MOD(Wages!$B1675,100),IFERROR(VALUE(TRIM(MID(MID(Wages!$B1675,FIND("/",Wages!$B1675)+1,20),FIND("/",MID(Wages!$B1675,FIND("/",Wages!$B1675)+1,20))+1,20))),"")))</f>
        <v/>
      </c>
      <c r="F1672">
        <f>IF($A1672="","",IF(OR($C1672="",$D1672="",$E1672="",$C1672&lt;1300,$C1672&gt;1500,$D1672&lt;1,$D1672&gt;12,$E1672&lt;1,$E1672&gt;31),"نامعتبر",RIGHT("0000"&amp;$C1672,4)&amp;"/"&amp;RIGHT("00"&amp;$D1672,2)&amp;"/"&amp;RIGHT("00"&amp;$E1672,2)))</f>
        <v/>
      </c>
      <c r="G1672">
        <f>IF(OR($A1672="",$F1672="",$F1672="نامعتبر"),"",LEFT($F1672,4)&amp;MID($F1672,6,2)&amp;RIGHT($F1672,2)&amp;"0000"&amp;"|"&amp;"1"&amp;RIGHT("00000"&amp;1667,5))</f>
        <v/>
      </c>
      <c r="H1672">
        <f>IF(OR($B1672&lt;&gt;1,$G1672=""),"",COUNTIFS(LdAParty,$A1672,LdAType,1,LdAKey,"&lt;"&amp;$G1672)+COUNTIFS(LdBMember,$A1672,LdBKey,"&lt;"&amp;$G1672)+COUNTIFS(LdCParty,$A1672,LdCKey,"&lt;"&amp;$G1672)+1)</f>
        <v/>
      </c>
      <c r="I1672">
        <f>IF($H1672="","",$A1672&amp;"|"&amp;RIGHT("000000"&amp;$H1672,6))</f>
        <v/>
      </c>
      <c r="J1672">
        <f>IF(OR($B1672&lt;&gt;2,$G1672=""),"",COUNTIFS(LdAParty,$A1672,LdAType,2,LdAKey,"&lt;"&amp;$G1672)+1)</f>
        <v/>
      </c>
      <c r="K1672">
        <f>IF($J1672="","",$A1672&amp;"|"&amp;RIGHT("000000"&amp;$J1672,6))</f>
        <v/>
      </c>
      <c r="L1672">
        <f>IF($A1672="","",IF(Wages!$G1675="",0,Wages!$G1675))</f>
        <v/>
      </c>
      <c r="M1672">
        <f>IF($A1672="","",Wages!$J1675)</f>
        <v/>
      </c>
      <c r="N1672">
        <f>IF($A1672="","",Wages!$D1675)</f>
        <v/>
      </c>
      <c r="P1672">
        <f>IF(OR(Shares!$B1675="",Shares!$C1675=""),"",Shares!$C1675)</f>
        <v/>
      </c>
      <c r="Q1672">
        <f>IF($P1672="","",Shares!$B1675)</f>
        <v/>
      </c>
      <c r="R1672">
        <f>IF($P1672="","",IFERROR(INDEX(WageParty,MATCH($Q1672,WageIds,0)),""))</f>
        <v/>
      </c>
      <c r="S1672">
        <f>IF($P1672="","",IFERROR(INDEX($F$6:$F$2005,MATCH($Q1672,WageIds,0)),""))</f>
        <v/>
      </c>
      <c r="T1672">
        <f>IF(OR($P1672="",$S1672="",$S1672="نامعتبر"),"",LEFT($S1672,4)&amp;MID($S1672,6,2)&amp;RIGHT($S1672,2)&amp;"0000"&amp;"|"&amp;"2"&amp;RIGHT("00000"&amp;1667,5))</f>
        <v/>
      </c>
      <c r="U1672">
        <f>IF($T1672="","",COUNTIFS(LdAParty,$P1672,LdAType,1,LdAKey,"&lt;"&amp;$T1672)+COUNTIFS(LdBMember,$P1672,LdBKey,"&lt;"&amp;$T1672)+COUNTIFS(LdCParty,$P1672,LdCKey,"&lt;"&amp;$T1672)+1)</f>
        <v/>
      </c>
      <c r="V1672">
        <f>IF($U1672="","",$P1672&amp;"|"&amp;RIGHT("000000"&amp;$U1672,6))</f>
        <v/>
      </c>
      <c r="W1672">
        <f>IF($T1672="","",COUNTIFS(LdBGroup,$R1672,LdBKey,"&lt;"&amp;$T1672)+1)</f>
        <v/>
      </c>
      <c r="X1672">
        <f>IF($W1672="","",$R1672&amp;"|"&amp;RIGHT("000000"&amp;$W1672,6))</f>
        <v/>
      </c>
      <c r="Y1672">
        <f>IF($P1672="","",IF(Shares!$E1675="",0,Shares!$E1675))</f>
        <v/>
      </c>
      <c r="Z1672">
        <f>IF($P1672="","",Shares!$H1675)</f>
        <v/>
      </c>
      <c r="AE1672">
        <f>IF(OR(Sync!$S1672="",Sync!$P1672=""),"",Sync!$S1672)</f>
        <v/>
      </c>
      <c r="AF1672">
        <f>IF($AE1672="","",IF(ISNUMBER(Sync!$P1672),IF(AND(Sync!$P1672&gt;=10000101,Sync!$P1672&lt;=99991231),INT(Sync!$P1672/10000),""),IFERROR(VALUE(TRIM(LEFT(Sync!$P1672,FIND("/",Sync!$P1672)-1))),"")))</f>
        <v/>
      </c>
      <c r="AG1672">
        <f>IF(OR($AE1672="",$AF1672=""),"",IF(ISNUMBER(Sync!$P1672),INT(MOD(Sync!$P1672,10000)/100),IFERROR(VALUE(TRIM(LEFT(MID(Sync!$P1672,FIND("/",Sync!$P1672)+1,20),FIND("/",MID(Sync!$P1672,FIND("/",Sync!$P1672)+1,20))-1))),"")))</f>
        <v/>
      </c>
      <c r="AH1672">
        <f>IF(OR($AE1672="",$AF1672=""),"",IF(ISNUMBER(Sync!$P1672),MOD(Sync!$P1672,100),IFERROR(VALUE(TRIM(MID(MID(Sync!$P1672,FIND("/",Sync!$P1672)+1,20),FIND("/",MID(Sync!$P1672,FIND("/",Sync!$P1672)+1,20))+1,20))),"")))</f>
        <v/>
      </c>
      <c r="AI1672">
        <f>IF($AE1672="","",IF(OR($AF1672="",$AG1672="",$AH1672="",$AF1672&lt;1300,$AF1672&gt;1500,$AG1672&lt;1,$AG1672&gt;12,$AH1672&lt;1,$AH1672&gt;31),"نامعتبر",RIGHT("0000"&amp;$AF1672,4)&amp;"/"&amp;RIGHT("00"&amp;$AG1672,2)&amp;"/"&amp;RIGHT("00"&amp;$AH1672,2)))</f>
        <v/>
      </c>
      <c r="AJ1672">
        <f>IF($AE1672="","",IF(Sync!$Q1672="","0000",IF(AND(ISNUMBER(Sync!$Q1672),Sync!$Q1672&gt;=0,Sync!$Q1672&lt;1),RIGHT("00"&amp;HOUR(Sync!$Q1672),2)&amp;RIGHT("00"&amp;MINUTE(Sync!$Q1672),2),IFERROR(RIGHT("00"&amp;VALUE(LEFT(Sync!$Q1672,FIND(":",Sync!$Q1672)-1)),2)&amp;RIGHT("00"&amp;VALUE(MID(Sync!$Q1672,FIND(":",Sync!$Q1672)+1,2)),2),"0000"))))</f>
        <v/>
      </c>
      <c r="AK1672">
        <f>IF(OR($AE1672="",$AI1672="",$AI1672="نامعتبر"),"",LEFT($AI1672,4)&amp;MID($AI1672,6,2)&amp;RIGHT($AI1672,2)&amp;$AJ1672&amp;"|"&amp;"3"&amp;RIGHT("00000"&amp;1667,5))</f>
        <v/>
      </c>
      <c r="AL1672">
        <f>IF($AK1672="","",COUNTIFS(LdAParty,$AE1672,LdAType,1,LdAKey,"&lt;"&amp;$AK1672)+COUNTIFS(LdBMember,$AE1672,LdBKey,"&lt;"&amp;$AK1672)+COUNTIFS(LdCParty,$AE1672,LdCKey,"&lt;"&amp;$AK1672)+1)</f>
        <v/>
      </c>
      <c r="AM1672">
        <f>IF($AL1672="","",$AE1672&amp;"|"&amp;RIGHT("000000"&amp;$AL1672,6))</f>
        <v/>
      </c>
      <c r="AN1672">
        <f>IF($AE1672="","",IF(Sync!$W1672="",0,Sync!$W1672))</f>
        <v/>
      </c>
      <c r="AO1672">
        <f>IF($AE1672="","",IF(Sync!$X1672="",0,Sync!$X1672))</f>
        <v/>
      </c>
      <c r="AP1672">
        <f>IF($AE1672="","",Sync!$R1672)</f>
        <v/>
      </c>
      <c r="AQ1672">
        <f>IF($AE1672="","",Sync!$Y1672)</f>
        <v/>
      </c>
    </row>
    <row r="1673">
      <c r="A1673">
        <f>IF(OR(Wages!$B1676="",Wages!$E1676=""),"",Wages!$E1676)</f>
        <v/>
      </c>
      <c r="B1673">
        <f>IF($A1673="","",IF(Wages!$C1676="دستمزد گروهی",2,1))</f>
        <v/>
      </c>
      <c r="C1673">
        <f>IF($A1673="","",IF(ISNUMBER(Wages!$B1676),IF(AND(Wages!$B1676&gt;=10000101,Wages!$B1676&lt;=99991231),INT(Wages!$B1676/10000),""),IFERROR(VALUE(TRIM(LEFT(Wages!$B1676,FIND("/",Wages!$B1676)-1))),"")))</f>
        <v/>
      </c>
      <c r="D1673">
        <f>IF(OR($A1673="",$C1673=""),"",IF(ISNUMBER(Wages!$B1676),INT(MOD(Wages!$B1676,10000)/100),IFERROR(VALUE(TRIM(LEFT(MID(Wages!$B1676,FIND("/",Wages!$B1676)+1,20),FIND("/",MID(Wages!$B1676,FIND("/",Wages!$B1676)+1,20))-1))),"")))</f>
        <v/>
      </c>
      <c r="E1673">
        <f>IF(OR($A1673="",$C1673=""),"",IF(ISNUMBER(Wages!$B1676),MOD(Wages!$B1676,100),IFERROR(VALUE(TRIM(MID(MID(Wages!$B1676,FIND("/",Wages!$B1676)+1,20),FIND("/",MID(Wages!$B1676,FIND("/",Wages!$B1676)+1,20))+1,20))),"")))</f>
        <v/>
      </c>
      <c r="F1673">
        <f>IF($A1673="","",IF(OR($C1673="",$D1673="",$E1673="",$C1673&lt;1300,$C1673&gt;1500,$D1673&lt;1,$D1673&gt;12,$E1673&lt;1,$E1673&gt;31),"نامعتبر",RIGHT("0000"&amp;$C1673,4)&amp;"/"&amp;RIGHT("00"&amp;$D1673,2)&amp;"/"&amp;RIGHT("00"&amp;$E1673,2)))</f>
        <v/>
      </c>
      <c r="G1673">
        <f>IF(OR($A1673="",$F1673="",$F1673="نامعتبر"),"",LEFT($F1673,4)&amp;MID($F1673,6,2)&amp;RIGHT($F1673,2)&amp;"0000"&amp;"|"&amp;"1"&amp;RIGHT("00000"&amp;1668,5))</f>
        <v/>
      </c>
      <c r="H1673">
        <f>IF(OR($B1673&lt;&gt;1,$G1673=""),"",COUNTIFS(LdAParty,$A1673,LdAType,1,LdAKey,"&lt;"&amp;$G1673)+COUNTIFS(LdBMember,$A1673,LdBKey,"&lt;"&amp;$G1673)+COUNTIFS(LdCParty,$A1673,LdCKey,"&lt;"&amp;$G1673)+1)</f>
        <v/>
      </c>
      <c r="I1673">
        <f>IF($H1673="","",$A1673&amp;"|"&amp;RIGHT("000000"&amp;$H1673,6))</f>
        <v/>
      </c>
      <c r="J1673">
        <f>IF(OR($B1673&lt;&gt;2,$G1673=""),"",COUNTIFS(LdAParty,$A1673,LdAType,2,LdAKey,"&lt;"&amp;$G1673)+1)</f>
        <v/>
      </c>
      <c r="K1673">
        <f>IF($J1673="","",$A1673&amp;"|"&amp;RIGHT("000000"&amp;$J1673,6))</f>
        <v/>
      </c>
      <c r="L1673">
        <f>IF($A1673="","",IF(Wages!$G1676="",0,Wages!$G1676))</f>
        <v/>
      </c>
      <c r="M1673">
        <f>IF($A1673="","",Wages!$J1676)</f>
        <v/>
      </c>
      <c r="N1673">
        <f>IF($A1673="","",Wages!$D1676)</f>
        <v/>
      </c>
      <c r="P1673">
        <f>IF(OR(Shares!$B1676="",Shares!$C1676=""),"",Shares!$C1676)</f>
        <v/>
      </c>
      <c r="Q1673">
        <f>IF($P1673="","",Shares!$B1676)</f>
        <v/>
      </c>
      <c r="R1673">
        <f>IF($P1673="","",IFERROR(INDEX(WageParty,MATCH($Q1673,WageIds,0)),""))</f>
        <v/>
      </c>
      <c r="S1673">
        <f>IF($P1673="","",IFERROR(INDEX($F$6:$F$2005,MATCH($Q1673,WageIds,0)),""))</f>
        <v/>
      </c>
      <c r="T1673">
        <f>IF(OR($P1673="",$S1673="",$S1673="نامعتبر"),"",LEFT($S1673,4)&amp;MID($S1673,6,2)&amp;RIGHT($S1673,2)&amp;"0000"&amp;"|"&amp;"2"&amp;RIGHT("00000"&amp;1668,5))</f>
        <v/>
      </c>
      <c r="U1673">
        <f>IF($T1673="","",COUNTIFS(LdAParty,$P1673,LdAType,1,LdAKey,"&lt;"&amp;$T1673)+COUNTIFS(LdBMember,$P1673,LdBKey,"&lt;"&amp;$T1673)+COUNTIFS(LdCParty,$P1673,LdCKey,"&lt;"&amp;$T1673)+1)</f>
        <v/>
      </c>
      <c r="V1673">
        <f>IF($U1673="","",$P1673&amp;"|"&amp;RIGHT("000000"&amp;$U1673,6))</f>
        <v/>
      </c>
      <c r="W1673">
        <f>IF($T1673="","",COUNTIFS(LdBGroup,$R1673,LdBKey,"&lt;"&amp;$T1673)+1)</f>
        <v/>
      </c>
      <c r="X1673">
        <f>IF($W1673="","",$R1673&amp;"|"&amp;RIGHT("000000"&amp;$W1673,6))</f>
        <v/>
      </c>
      <c r="Y1673">
        <f>IF($P1673="","",IF(Shares!$E1676="",0,Shares!$E1676))</f>
        <v/>
      </c>
      <c r="Z1673">
        <f>IF($P1673="","",Shares!$H1676)</f>
        <v/>
      </c>
      <c r="AE1673">
        <f>IF(OR(Sync!$S1673="",Sync!$P1673=""),"",Sync!$S1673)</f>
        <v/>
      </c>
      <c r="AF1673">
        <f>IF($AE1673="","",IF(ISNUMBER(Sync!$P1673),IF(AND(Sync!$P1673&gt;=10000101,Sync!$P1673&lt;=99991231),INT(Sync!$P1673/10000),""),IFERROR(VALUE(TRIM(LEFT(Sync!$P1673,FIND("/",Sync!$P1673)-1))),"")))</f>
        <v/>
      </c>
      <c r="AG1673">
        <f>IF(OR($AE1673="",$AF1673=""),"",IF(ISNUMBER(Sync!$P1673),INT(MOD(Sync!$P1673,10000)/100),IFERROR(VALUE(TRIM(LEFT(MID(Sync!$P1673,FIND("/",Sync!$P1673)+1,20),FIND("/",MID(Sync!$P1673,FIND("/",Sync!$P1673)+1,20))-1))),"")))</f>
        <v/>
      </c>
      <c r="AH1673">
        <f>IF(OR($AE1673="",$AF1673=""),"",IF(ISNUMBER(Sync!$P1673),MOD(Sync!$P1673,100),IFERROR(VALUE(TRIM(MID(MID(Sync!$P1673,FIND("/",Sync!$P1673)+1,20),FIND("/",MID(Sync!$P1673,FIND("/",Sync!$P1673)+1,20))+1,20))),"")))</f>
        <v/>
      </c>
      <c r="AI1673">
        <f>IF($AE1673="","",IF(OR($AF1673="",$AG1673="",$AH1673="",$AF1673&lt;1300,$AF1673&gt;1500,$AG1673&lt;1,$AG1673&gt;12,$AH1673&lt;1,$AH1673&gt;31),"نامعتبر",RIGHT("0000"&amp;$AF1673,4)&amp;"/"&amp;RIGHT("00"&amp;$AG1673,2)&amp;"/"&amp;RIGHT("00"&amp;$AH1673,2)))</f>
        <v/>
      </c>
      <c r="AJ1673">
        <f>IF($AE1673="","",IF(Sync!$Q1673="","0000",IF(AND(ISNUMBER(Sync!$Q1673),Sync!$Q1673&gt;=0,Sync!$Q1673&lt;1),RIGHT("00"&amp;HOUR(Sync!$Q1673),2)&amp;RIGHT("00"&amp;MINUTE(Sync!$Q1673),2),IFERROR(RIGHT("00"&amp;VALUE(LEFT(Sync!$Q1673,FIND(":",Sync!$Q1673)-1)),2)&amp;RIGHT("00"&amp;VALUE(MID(Sync!$Q1673,FIND(":",Sync!$Q1673)+1,2)),2),"0000"))))</f>
        <v/>
      </c>
      <c r="AK1673">
        <f>IF(OR($AE1673="",$AI1673="",$AI1673="نامعتبر"),"",LEFT($AI1673,4)&amp;MID($AI1673,6,2)&amp;RIGHT($AI1673,2)&amp;$AJ1673&amp;"|"&amp;"3"&amp;RIGHT("00000"&amp;1668,5))</f>
        <v/>
      </c>
      <c r="AL1673">
        <f>IF($AK1673="","",COUNTIFS(LdAParty,$AE1673,LdAType,1,LdAKey,"&lt;"&amp;$AK1673)+COUNTIFS(LdBMember,$AE1673,LdBKey,"&lt;"&amp;$AK1673)+COUNTIFS(LdCParty,$AE1673,LdCKey,"&lt;"&amp;$AK1673)+1)</f>
        <v/>
      </c>
      <c r="AM1673">
        <f>IF($AL1673="","",$AE1673&amp;"|"&amp;RIGHT("000000"&amp;$AL1673,6))</f>
        <v/>
      </c>
      <c r="AN1673">
        <f>IF($AE1673="","",IF(Sync!$W1673="",0,Sync!$W1673))</f>
        <v/>
      </c>
      <c r="AO1673">
        <f>IF($AE1673="","",IF(Sync!$X1673="",0,Sync!$X1673))</f>
        <v/>
      </c>
      <c r="AP1673">
        <f>IF($AE1673="","",Sync!$R1673)</f>
        <v/>
      </c>
      <c r="AQ1673">
        <f>IF($AE1673="","",Sync!$Y1673)</f>
        <v/>
      </c>
    </row>
    <row r="1674">
      <c r="A1674">
        <f>IF(OR(Wages!$B1677="",Wages!$E1677=""),"",Wages!$E1677)</f>
        <v/>
      </c>
      <c r="B1674">
        <f>IF($A1674="","",IF(Wages!$C1677="دستمزد گروهی",2,1))</f>
        <v/>
      </c>
      <c r="C1674">
        <f>IF($A1674="","",IF(ISNUMBER(Wages!$B1677),IF(AND(Wages!$B1677&gt;=10000101,Wages!$B1677&lt;=99991231),INT(Wages!$B1677/10000),""),IFERROR(VALUE(TRIM(LEFT(Wages!$B1677,FIND("/",Wages!$B1677)-1))),"")))</f>
        <v/>
      </c>
      <c r="D1674">
        <f>IF(OR($A1674="",$C1674=""),"",IF(ISNUMBER(Wages!$B1677),INT(MOD(Wages!$B1677,10000)/100),IFERROR(VALUE(TRIM(LEFT(MID(Wages!$B1677,FIND("/",Wages!$B1677)+1,20),FIND("/",MID(Wages!$B1677,FIND("/",Wages!$B1677)+1,20))-1))),"")))</f>
        <v/>
      </c>
      <c r="E1674">
        <f>IF(OR($A1674="",$C1674=""),"",IF(ISNUMBER(Wages!$B1677),MOD(Wages!$B1677,100),IFERROR(VALUE(TRIM(MID(MID(Wages!$B1677,FIND("/",Wages!$B1677)+1,20),FIND("/",MID(Wages!$B1677,FIND("/",Wages!$B1677)+1,20))+1,20))),"")))</f>
        <v/>
      </c>
      <c r="F1674">
        <f>IF($A1674="","",IF(OR($C1674="",$D1674="",$E1674="",$C1674&lt;1300,$C1674&gt;1500,$D1674&lt;1,$D1674&gt;12,$E1674&lt;1,$E1674&gt;31),"نامعتبر",RIGHT("0000"&amp;$C1674,4)&amp;"/"&amp;RIGHT("00"&amp;$D1674,2)&amp;"/"&amp;RIGHT("00"&amp;$E1674,2)))</f>
        <v/>
      </c>
      <c r="G1674">
        <f>IF(OR($A1674="",$F1674="",$F1674="نامعتبر"),"",LEFT($F1674,4)&amp;MID($F1674,6,2)&amp;RIGHT($F1674,2)&amp;"0000"&amp;"|"&amp;"1"&amp;RIGHT("00000"&amp;1669,5))</f>
        <v/>
      </c>
      <c r="H1674">
        <f>IF(OR($B1674&lt;&gt;1,$G1674=""),"",COUNTIFS(LdAParty,$A1674,LdAType,1,LdAKey,"&lt;"&amp;$G1674)+COUNTIFS(LdBMember,$A1674,LdBKey,"&lt;"&amp;$G1674)+COUNTIFS(LdCParty,$A1674,LdCKey,"&lt;"&amp;$G1674)+1)</f>
        <v/>
      </c>
      <c r="I1674">
        <f>IF($H1674="","",$A1674&amp;"|"&amp;RIGHT("000000"&amp;$H1674,6))</f>
        <v/>
      </c>
      <c r="J1674">
        <f>IF(OR($B1674&lt;&gt;2,$G1674=""),"",COUNTIFS(LdAParty,$A1674,LdAType,2,LdAKey,"&lt;"&amp;$G1674)+1)</f>
        <v/>
      </c>
      <c r="K1674">
        <f>IF($J1674="","",$A1674&amp;"|"&amp;RIGHT("000000"&amp;$J1674,6))</f>
        <v/>
      </c>
      <c r="L1674">
        <f>IF($A1674="","",IF(Wages!$G1677="",0,Wages!$G1677))</f>
        <v/>
      </c>
      <c r="M1674">
        <f>IF($A1674="","",Wages!$J1677)</f>
        <v/>
      </c>
      <c r="N1674">
        <f>IF($A1674="","",Wages!$D1677)</f>
        <v/>
      </c>
      <c r="P1674">
        <f>IF(OR(Shares!$B1677="",Shares!$C1677=""),"",Shares!$C1677)</f>
        <v/>
      </c>
      <c r="Q1674">
        <f>IF($P1674="","",Shares!$B1677)</f>
        <v/>
      </c>
      <c r="R1674">
        <f>IF($P1674="","",IFERROR(INDEX(WageParty,MATCH($Q1674,WageIds,0)),""))</f>
        <v/>
      </c>
      <c r="S1674">
        <f>IF($P1674="","",IFERROR(INDEX($F$6:$F$2005,MATCH($Q1674,WageIds,0)),""))</f>
        <v/>
      </c>
      <c r="T1674">
        <f>IF(OR($P1674="",$S1674="",$S1674="نامعتبر"),"",LEFT($S1674,4)&amp;MID($S1674,6,2)&amp;RIGHT($S1674,2)&amp;"0000"&amp;"|"&amp;"2"&amp;RIGHT("00000"&amp;1669,5))</f>
        <v/>
      </c>
      <c r="U1674">
        <f>IF($T1674="","",COUNTIFS(LdAParty,$P1674,LdAType,1,LdAKey,"&lt;"&amp;$T1674)+COUNTIFS(LdBMember,$P1674,LdBKey,"&lt;"&amp;$T1674)+COUNTIFS(LdCParty,$P1674,LdCKey,"&lt;"&amp;$T1674)+1)</f>
        <v/>
      </c>
      <c r="V1674">
        <f>IF($U1674="","",$P1674&amp;"|"&amp;RIGHT("000000"&amp;$U1674,6))</f>
        <v/>
      </c>
      <c r="W1674">
        <f>IF($T1674="","",COUNTIFS(LdBGroup,$R1674,LdBKey,"&lt;"&amp;$T1674)+1)</f>
        <v/>
      </c>
      <c r="X1674">
        <f>IF($W1674="","",$R1674&amp;"|"&amp;RIGHT("000000"&amp;$W1674,6))</f>
        <v/>
      </c>
      <c r="Y1674">
        <f>IF($P1674="","",IF(Shares!$E1677="",0,Shares!$E1677))</f>
        <v/>
      </c>
      <c r="Z1674">
        <f>IF($P1674="","",Shares!$H1677)</f>
        <v/>
      </c>
      <c r="AE1674">
        <f>IF(OR(Sync!$S1674="",Sync!$P1674=""),"",Sync!$S1674)</f>
        <v/>
      </c>
      <c r="AF1674">
        <f>IF($AE1674="","",IF(ISNUMBER(Sync!$P1674),IF(AND(Sync!$P1674&gt;=10000101,Sync!$P1674&lt;=99991231),INT(Sync!$P1674/10000),""),IFERROR(VALUE(TRIM(LEFT(Sync!$P1674,FIND("/",Sync!$P1674)-1))),"")))</f>
        <v/>
      </c>
      <c r="AG1674">
        <f>IF(OR($AE1674="",$AF1674=""),"",IF(ISNUMBER(Sync!$P1674),INT(MOD(Sync!$P1674,10000)/100),IFERROR(VALUE(TRIM(LEFT(MID(Sync!$P1674,FIND("/",Sync!$P1674)+1,20),FIND("/",MID(Sync!$P1674,FIND("/",Sync!$P1674)+1,20))-1))),"")))</f>
        <v/>
      </c>
      <c r="AH1674">
        <f>IF(OR($AE1674="",$AF1674=""),"",IF(ISNUMBER(Sync!$P1674),MOD(Sync!$P1674,100),IFERROR(VALUE(TRIM(MID(MID(Sync!$P1674,FIND("/",Sync!$P1674)+1,20),FIND("/",MID(Sync!$P1674,FIND("/",Sync!$P1674)+1,20))+1,20))),"")))</f>
        <v/>
      </c>
      <c r="AI1674">
        <f>IF($AE1674="","",IF(OR($AF1674="",$AG1674="",$AH1674="",$AF1674&lt;1300,$AF1674&gt;1500,$AG1674&lt;1,$AG1674&gt;12,$AH1674&lt;1,$AH1674&gt;31),"نامعتبر",RIGHT("0000"&amp;$AF1674,4)&amp;"/"&amp;RIGHT("00"&amp;$AG1674,2)&amp;"/"&amp;RIGHT("00"&amp;$AH1674,2)))</f>
        <v/>
      </c>
      <c r="AJ1674">
        <f>IF($AE1674="","",IF(Sync!$Q1674="","0000",IF(AND(ISNUMBER(Sync!$Q1674),Sync!$Q1674&gt;=0,Sync!$Q1674&lt;1),RIGHT("00"&amp;HOUR(Sync!$Q1674),2)&amp;RIGHT("00"&amp;MINUTE(Sync!$Q1674),2),IFERROR(RIGHT("00"&amp;VALUE(LEFT(Sync!$Q1674,FIND(":",Sync!$Q1674)-1)),2)&amp;RIGHT("00"&amp;VALUE(MID(Sync!$Q1674,FIND(":",Sync!$Q1674)+1,2)),2),"0000"))))</f>
        <v/>
      </c>
      <c r="AK1674">
        <f>IF(OR($AE1674="",$AI1674="",$AI1674="نامعتبر"),"",LEFT($AI1674,4)&amp;MID($AI1674,6,2)&amp;RIGHT($AI1674,2)&amp;$AJ1674&amp;"|"&amp;"3"&amp;RIGHT("00000"&amp;1669,5))</f>
        <v/>
      </c>
      <c r="AL1674">
        <f>IF($AK1674="","",COUNTIFS(LdAParty,$AE1674,LdAType,1,LdAKey,"&lt;"&amp;$AK1674)+COUNTIFS(LdBMember,$AE1674,LdBKey,"&lt;"&amp;$AK1674)+COUNTIFS(LdCParty,$AE1674,LdCKey,"&lt;"&amp;$AK1674)+1)</f>
        <v/>
      </c>
      <c r="AM1674">
        <f>IF($AL1674="","",$AE1674&amp;"|"&amp;RIGHT("000000"&amp;$AL1674,6))</f>
        <v/>
      </c>
      <c r="AN1674">
        <f>IF($AE1674="","",IF(Sync!$W1674="",0,Sync!$W1674))</f>
        <v/>
      </c>
      <c r="AO1674">
        <f>IF($AE1674="","",IF(Sync!$X1674="",0,Sync!$X1674))</f>
        <v/>
      </c>
      <c r="AP1674">
        <f>IF($AE1674="","",Sync!$R1674)</f>
        <v/>
      </c>
      <c r="AQ1674">
        <f>IF($AE1674="","",Sync!$Y1674)</f>
        <v/>
      </c>
    </row>
    <row r="1675">
      <c r="A1675">
        <f>IF(OR(Wages!$B1678="",Wages!$E1678=""),"",Wages!$E1678)</f>
        <v/>
      </c>
      <c r="B1675">
        <f>IF($A1675="","",IF(Wages!$C1678="دستمزد گروهی",2,1))</f>
        <v/>
      </c>
      <c r="C1675">
        <f>IF($A1675="","",IF(ISNUMBER(Wages!$B1678),IF(AND(Wages!$B1678&gt;=10000101,Wages!$B1678&lt;=99991231),INT(Wages!$B1678/10000),""),IFERROR(VALUE(TRIM(LEFT(Wages!$B1678,FIND("/",Wages!$B1678)-1))),"")))</f>
        <v/>
      </c>
      <c r="D1675">
        <f>IF(OR($A1675="",$C1675=""),"",IF(ISNUMBER(Wages!$B1678),INT(MOD(Wages!$B1678,10000)/100),IFERROR(VALUE(TRIM(LEFT(MID(Wages!$B1678,FIND("/",Wages!$B1678)+1,20),FIND("/",MID(Wages!$B1678,FIND("/",Wages!$B1678)+1,20))-1))),"")))</f>
        <v/>
      </c>
      <c r="E1675">
        <f>IF(OR($A1675="",$C1675=""),"",IF(ISNUMBER(Wages!$B1678),MOD(Wages!$B1678,100),IFERROR(VALUE(TRIM(MID(MID(Wages!$B1678,FIND("/",Wages!$B1678)+1,20),FIND("/",MID(Wages!$B1678,FIND("/",Wages!$B1678)+1,20))+1,20))),"")))</f>
        <v/>
      </c>
      <c r="F1675">
        <f>IF($A1675="","",IF(OR($C1675="",$D1675="",$E1675="",$C1675&lt;1300,$C1675&gt;1500,$D1675&lt;1,$D1675&gt;12,$E1675&lt;1,$E1675&gt;31),"نامعتبر",RIGHT("0000"&amp;$C1675,4)&amp;"/"&amp;RIGHT("00"&amp;$D1675,2)&amp;"/"&amp;RIGHT("00"&amp;$E1675,2)))</f>
        <v/>
      </c>
      <c r="G1675">
        <f>IF(OR($A1675="",$F1675="",$F1675="نامعتبر"),"",LEFT($F1675,4)&amp;MID($F1675,6,2)&amp;RIGHT($F1675,2)&amp;"0000"&amp;"|"&amp;"1"&amp;RIGHT("00000"&amp;1670,5))</f>
        <v/>
      </c>
      <c r="H1675">
        <f>IF(OR($B1675&lt;&gt;1,$G1675=""),"",COUNTIFS(LdAParty,$A1675,LdAType,1,LdAKey,"&lt;"&amp;$G1675)+COUNTIFS(LdBMember,$A1675,LdBKey,"&lt;"&amp;$G1675)+COUNTIFS(LdCParty,$A1675,LdCKey,"&lt;"&amp;$G1675)+1)</f>
        <v/>
      </c>
      <c r="I1675">
        <f>IF($H1675="","",$A1675&amp;"|"&amp;RIGHT("000000"&amp;$H1675,6))</f>
        <v/>
      </c>
      <c r="J1675">
        <f>IF(OR($B1675&lt;&gt;2,$G1675=""),"",COUNTIFS(LdAParty,$A1675,LdAType,2,LdAKey,"&lt;"&amp;$G1675)+1)</f>
        <v/>
      </c>
      <c r="K1675">
        <f>IF($J1675="","",$A1675&amp;"|"&amp;RIGHT("000000"&amp;$J1675,6))</f>
        <v/>
      </c>
      <c r="L1675">
        <f>IF($A1675="","",IF(Wages!$G1678="",0,Wages!$G1678))</f>
        <v/>
      </c>
      <c r="M1675">
        <f>IF($A1675="","",Wages!$J1678)</f>
        <v/>
      </c>
      <c r="N1675">
        <f>IF($A1675="","",Wages!$D1678)</f>
        <v/>
      </c>
      <c r="P1675">
        <f>IF(OR(Shares!$B1678="",Shares!$C1678=""),"",Shares!$C1678)</f>
        <v/>
      </c>
      <c r="Q1675">
        <f>IF($P1675="","",Shares!$B1678)</f>
        <v/>
      </c>
      <c r="R1675">
        <f>IF($P1675="","",IFERROR(INDEX(WageParty,MATCH($Q1675,WageIds,0)),""))</f>
        <v/>
      </c>
      <c r="S1675">
        <f>IF($P1675="","",IFERROR(INDEX($F$6:$F$2005,MATCH($Q1675,WageIds,0)),""))</f>
        <v/>
      </c>
      <c r="T1675">
        <f>IF(OR($P1675="",$S1675="",$S1675="نامعتبر"),"",LEFT($S1675,4)&amp;MID($S1675,6,2)&amp;RIGHT($S1675,2)&amp;"0000"&amp;"|"&amp;"2"&amp;RIGHT("00000"&amp;1670,5))</f>
        <v/>
      </c>
      <c r="U1675">
        <f>IF($T1675="","",COUNTIFS(LdAParty,$P1675,LdAType,1,LdAKey,"&lt;"&amp;$T1675)+COUNTIFS(LdBMember,$P1675,LdBKey,"&lt;"&amp;$T1675)+COUNTIFS(LdCParty,$P1675,LdCKey,"&lt;"&amp;$T1675)+1)</f>
        <v/>
      </c>
      <c r="V1675">
        <f>IF($U1675="","",$P1675&amp;"|"&amp;RIGHT("000000"&amp;$U1675,6))</f>
        <v/>
      </c>
      <c r="W1675">
        <f>IF($T1675="","",COUNTIFS(LdBGroup,$R1675,LdBKey,"&lt;"&amp;$T1675)+1)</f>
        <v/>
      </c>
      <c r="X1675">
        <f>IF($W1675="","",$R1675&amp;"|"&amp;RIGHT("000000"&amp;$W1675,6))</f>
        <v/>
      </c>
      <c r="Y1675">
        <f>IF($P1675="","",IF(Shares!$E1678="",0,Shares!$E1678))</f>
        <v/>
      </c>
      <c r="Z1675">
        <f>IF($P1675="","",Shares!$H1678)</f>
        <v/>
      </c>
      <c r="AE1675">
        <f>IF(OR(Sync!$S1675="",Sync!$P1675=""),"",Sync!$S1675)</f>
        <v/>
      </c>
      <c r="AF1675">
        <f>IF($AE1675="","",IF(ISNUMBER(Sync!$P1675),IF(AND(Sync!$P1675&gt;=10000101,Sync!$P1675&lt;=99991231),INT(Sync!$P1675/10000),""),IFERROR(VALUE(TRIM(LEFT(Sync!$P1675,FIND("/",Sync!$P1675)-1))),"")))</f>
        <v/>
      </c>
      <c r="AG1675">
        <f>IF(OR($AE1675="",$AF1675=""),"",IF(ISNUMBER(Sync!$P1675),INT(MOD(Sync!$P1675,10000)/100),IFERROR(VALUE(TRIM(LEFT(MID(Sync!$P1675,FIND("/",Sync!$P1675)+1,20),FIND("/",MID(Sync!$P1675,FIND("/",Sync!$P1675)+1,20))-1))),"")))</f>
        <v/>
      </c>
      <c r="AH1675">
        <f>IF(OR($AE1675="",$AF1675=""),"",IF(ISNUMBER(Sync!$P1675),MOD(Sync!$P1675,100),IFERROR(VALUE(TRIM(MID(MID(Sync!$P1675,FIND("/",Sync!$P1675)+1,20),FIND("/",MID(Sync!$P1675,FIND("/",Sync!$P1675)+1,20))+1,20))),"")))</f>
        <v/>
      </c>
      <c r="AI1675">
        <f>IF($AE1675="","",IF(OR($AF1675="",$AG1675="",$AH1675="",$AF1675&lt;1300,$AF1675&gt;1500,$AG1675&lt;1,$AG1675&gt;12,$AH1675&lt;1,$AH1675&gt;31),"نامعتبر",RIGHT("0000"&amp;$AF1675,4)&amp;"/"&amp;RIGHT("00"&amp;$AG1675,2)&amp;"/"&amp;RIGHT("00"&amp;$AH1675,2)))</f>
        <v/>
      </c>
      <c r="AJ1675">
        <f>IF($AE1675="","",IF(Sync!$Q1675="","0000",IF(AND(ISNUMBER(Sync!$Q1675),Sync!$Q1675&gt;=0,Sync!$Q1675&lt;1),RIGHT("00"&amp;HOUR(Sync!$Q1675),2)&amp;RIGHT("00"&amp;MINUTE(Sync!$Q1675),2),IFERROR(RIGHT("00"&amp;VALUE(LEFT(Sync!$Q1675,FIND(":",Sync!$Q1675)-1)),2)&amp;RIGHT("00"&amp;VALUE(MID(Sync!$Q1675,FIND(":",Sync!$Q1675)+1,2)),2),"0000"))))</f>
        <v/>
      </c>
      <c r="AK1675">
        <f>IF(OR($AE1675="",$AI1675="",$AI1675="نامعتبر"),"",LEFT($AI1675,4)&amp;MID($AI1675,6,2)&amp;RIGHT($AI1675,2)&amp;$AJ1675&amp;"|"&amp;"3"&amp;RIGHT("00000"&amp;1670,5))</f>
        <v/>
      </c>
      <c r="AL1675">
        <f>IF($AK1675="","",COUNTIFS(LdAParty,$AE1675,LdAType,1,LdAKey,"&lt;"&amp;$AK1675)+COUNTIFS(LdBMember,$AE1675,LdBKey,"&lt;"&amp;$AK1675)+COUNTIFS(LdCParty,$AE1675,LdCKey,"&lt;"&amp;$AK1675)+1)</f>
        <v/>
      </c>
      <c r="AM1675">
        <f>IF($AL1675="","",$AE1675&amp;"|"&amp;RIGHT("000000"&amp;$AL1675,6))</f>
        <v/>
      </c>
      <c r="AN1675">
        <f>IF($AE1675="","",IF(Sync!$W1675="",0,Sync!$W1675))</f>
        <v/>
      </c>
      <c r="AO1675">
        <f>IF($AE1675="","",IF(Sync!$X1675="",0,Sync!$X1675))</f>
        <v/>
      </c>
      <c r="AP1675">
        <f>IF($AE1675="","",Sync!$R1675)</f>
        <v/>
      </c>
      <c r="AQ1675">
        <f>IF($AE1675="","",Sync!$Y1675)</f>
        <v/>
      </c>
    </row>
    <row r="1676">
      <c r="A1676">
        <f>IF(OR(Wages!$B1679="",Wages!$E1679=""),"",Wages!$E1679)</f>
        <v/>
      </c>
      <c r="B1676">
        <f>IF($A1676="","",IF(Wages!$C1679="دستمزد گروهی",2,1))</f>
        <v/>
      </c>
      <c r="C1676">
        <f>IF($A1676="","",IF(ISNUMBER(Wages!$B1679),IF(AND(Wages!$B1679&gt;=10000101,Wages!$B1679&lt;=99991231),INT(Wages!$B1679/10000),""),IFERROR(VALUE(TRIM(LEFT(Wages!$B1679,FIND("/",Wages!$B1679)-1))),"")))</f>
        <v/>
      </c>
      <c r="D1676">
        <f>IF(OR($A1676="",$C1676=""),"",IF(ISNUMBER(Wages!$B1679),INT(MOD(Wages!$B1679,10000)/100),IFERROR(VALUE(TRIM(LEFT(MID(Wages!$B1679,FIND("/",Wages!$B1679)+1,20),FIND("/",MID(Wages!$B1679,FIND("/",Wages!$B1679)+1,20))-1))),"")))</f>
        <v/>
      </c>
      <c r="E1676">
        <f>IF(OR($A1676="",$C1676=""),"",IF(ISNUMBER(Wages!$B1679),MOD(Wages!$B1679,100),IFERROR(VALUE(TRIM(MID(MID(Wages!$B1679,FIND("/",Wages!$B1679)+1,20),FIND("/",MID(Wages!$B1679,FIND("/",Wages!$B1679)+1,20))+1,20))),"")))</f>
        <v/>
      </c>
      <c r="F1676">
        <f>IF($A1676="","",IF(OR($C1676="",$D1676="",$E1676="",$C1676&lt;1300,$C1676&gt;1500,$D1676&lt;1,$D1676&gt;12,$E1676&lt;1,$E1676&gt;31),"نامعتبر",RIGHT("0000"&amp;$C1676,4)&amp;"/"&amp;RIGHT("00"&amp;$D1676,2)&amp;"/"&amp;RIGHT("00"&amp;$E1676,2)))</f>
        <v/>
      </c>
      <c r="G1676">
        <f>IF(OR($A1676="",$F1676="",$F1676="نامعتبر"),"",LEFT($F1676,4)&amp;MID($F1676,6,2)&amp;RIGHT($F1676,2)&amp;"0000"&amp;"|"&amp;"1"&amp;RIGHT("00000"&amp;1671,5))</f>
        <v/>
      </c>
      <c r="H1676">
        <f>IF(OR($B1676&lt;&gt;1,$G1676=""),"",COUNTIFS(LdAParty,$A1676,LdAType,1,LdAKey,"&lt;"&amp;$G1676)+COUNTIFS(LdBMember,$A1676,LdBKey,"&lt;"&amp;$G1676)+COUNTIFS(LdCParty,$A1676,LdCKey,"&lt;"&amp;$G1676)+1)</f>
        <v/>
      </c>
      <c r="I1676">
        <f>IF($H1676="","",$A1676&amp;"|"&amp;RIGHT("000000"&amp;$H1676,6))</f>
        <v/>
      </c>
      <c r="J1676">
        <f>IF(OR($B1676&lt;&gt;2,$G1676=""),"",COUNTIFS(LdAParty,$A1676,LdAType,2,LdAKey,"&lt;"&amp;$G1676)+1)</f>
        <v/>
      </c>
      <c r="K1676">
        <f>IF($J1676="","",$A1676&amp;"|"&amp;RIGHT("000000"&amp;$J1676,6))</f>
        <v/>
      </c>
      <c r="L1676">
        <f>IF($A1676="","",IF(Wages!$G1679="",0,Wages!$G1679))</f>
        <v/>
      </c>
      <c r="M1676">
        <f>IF($A1676="","",Wages!$J1679)</f>
        <v/>
      </c>
      <c r="N1676">
        <f>IF($A1676="","",Wages!$D1679)</f>
        <v/>
      </c>
      <c r="P1676">
        <f>IF(OR(Shares!$B1679="",Shares!$C1679=""),"",Shares!$C1679)</f>
        <v/>
      </c>
      <c r="Q1676">
        <f>IF($P1676="","",Shares!$B1679)</f>
        <v/>
      </c>
      <c r="R1676">
        <f>IF($P1676="","",IFERROR(INDEX(WageParty,MATCH($Q1676,WageIds,0)),""))</f>
        <v/>
      </c>
      <c r="S1676">
        <f>IF($P1676="","",IFERROR(INDEX($F$6:$F$2005,MATCH($Q1676,WageIds,0)),""))</f>
        <v/>
      </c>
      <c r="T1676">
        <f>IF(OR($P1676="",$S1676="",$S1676="نامعتبر"),"",LEFT($S1676,4)&amp;MID($S1676,6,2)&amp;RIGHT($S1676,2)&amp;"0000"&amp;"|"&amp;"2"&amp;RIGHT("00000"&amp;1671,5))</f>
        <v/>
      </c>
      <c r="U1676">
        <f>IF($T1676="","",COUNTIFS(LdAParty,$P1676,LdAType,1,LdAKey,"&lt;"&amp;$T1676)+COUNTIFS(LdBMember,$P1676,LdBKey,"&lt;"&amp;$T1676)+COUNTIFS(LdCParty,$P1676,LdCKey,"&lt;"&amp;$T1676)+1)</f>
        <v/>
      </c>
      <c r="V1676">
        <f>IF($U1676="","",$P1676&amp;"|"&amp;RIGHT("000000"&amp;$U1676,6))</f>
        <v/>
      </c>
      <c r="W1676">
        <f>IF($T1676="","",COUNTIFS(LdBGroup,$R1676,LdBKey,"&lt;"&amp;$T1676)+1)</f>
        <v/>
      </c>
      <c r="X1676">
        <f>IF($W1676="","",$R1676&amp;"|"&amp;RIGHT("000000"&amp;$W1676,6))</f>
        <v/>
      </c>
      <c r="Y1676">
        <f>IF($P1676="","",IF(Shares!$E1679="",0,Shares!$E1679))</f>
        <v/>
      </c>
      <c r="Z1676">
        <f>IF($P1676="","",Shares!$H1679)</f>
        <v/>
      </c>
      <c r="AE1676">
        <f>IF(OR(Sync!$S1676="",Sync!$P1676=""),"",Sync!$S1676)</f>
        <v/>
      </c>
      <c r="AF1676">
        <f>IF($AE1676="","",IF(ISNUMBER(Sync!$P1676),IF(AND(Sync!$P1676&gt;=10000101,Sync!$P1676&lt;=99991231),INT(Sync!$P1676/10000),""),IFERROR(VALUE(TRIM(LEFT(Sync!$P1676,FIND("/",Sync!$P1676)-1))),"")))</f>
        <v/>
      </c>
      <c r="AG1676">
        <f>IF(OR($AE1676="",$AF1676=""),"",IF(ISNUMBER(Sync!$P1676),INT(MOD(Sync!$P1676,10000)/100),IFERROR(VALUE(TRIM(LEFT(MID(Sync!$P1676,FIND("/",Sync!$P1676)+1,20),FIND("/",MID(Sync!$P1676,FIND("/",Sync!$P1676)+1,20))-1))),"")))</f>
        <v/>
      </c>
      <c r="AH1676">
        <f>IF(OR($AE1676="",$AF1676=""),"",IF(ISNUMBER(Sync!$P1676),MOD(Sync!$P1676,100),IFERROR(VALUE(TRIM(MID(MID(Sync!$P1676,FIND("/",Sync!$P1676)+1,20),FIND("/",MID(Sync!$P1676,FIND("/",Sync!$P1676)+1,20))+1,20))),"")))</f>
        <v/>
      </c>
      <c r="AI1676">
        <f>IF($AE1676="","",IF(OR($AF1676="",$AG1676="",$AH1676="",$AF1676&lt;1300,$AF1676&gt;1500,$AG1676&lt;1,$AG1676&gt;12,$AH1676&lt;1,$AH1676&gt;31),"نامعتبر",RIGHT("0000"&amp;$AF1676,4)&amp;"/"&amp;RIGHT("00"&amp;$AG1676,2)&amp;"/"&amp;RIGHT("00"&amp;$AH1676,2)))</f>
        <v/>
      </c>
      <c r="AJ1676">
        <f>IF($AE1676="","",IF(Sync!$Q1676="","0000",IF(AND(ISNUMBER(Sync!$Q1676),Sync!$Q1676&gt;=0,Sync!$Q1676&lt;1),RIGHT("00"&amp;HOUR(Sync!$Q1676),2)&amp;RIGHT("00"&amp;MINUTE(Sync!$Q1676),2),IFERROR(RIGHT("00"&amp;VALUE(LEFT(Sync!$Q1676,FIND(":",Sync!$Q1676)-1)),2)&amp;RIGHT("00"&amp;VALUE(MID(Sync!$Q1676,FIND(":",Sync!$Q1676)+1,2)),2),"0000"))))</f>
        <v/>
      </c>
      <c r="AK1676">
        <f>IF(OR($AE1676="",$AI1676="",$AI1676="نامعتبر"),"",LEFT($AI1676,4)&amp;MID($AI1676,6,2)&amp;RIGHT($AI1676,2)&amp;$AJ1676&amp;"|"&amp;"3"&amp;RIGHT("00000"&amp;1671,5))</f>
        <v/>
      </c>
      <c r="AL1676">
        <f>IF($AK1676="","",COUNTIFS(LdAParty,$AE1676,LdAType,1,LdAKey,"&lt;"&amp;$AK1676)+COUNTIFS(LdBMember,$AE1676,LdBKey,"&lt;"&amp;$AK1676)+COUNTIFS(LdCParty,$AE1676,LdCKey,"&lt;"&amp;$AK1676)+1)</f>
        <v/>
      </c>
      <c r="AM1676">
        <f>IF($AL1676="","",$AE1676&amp;"|"&amp;RIGHT("000000"&amp;$AL1676,6))</f>
        <v/>
      </c>
      <c r="AN1676">
        <f>IF($AE1676="","",IF(Sync!$W1676="",0,Sync!$W1676))</f>
        <v/>
      </c>
      <c r="AO1676">
        <f>IF($AE1676="","",IF(Sync!$X1676="",0,Sync!$X1676))</f>
        <v/>
      </c>
      <c r="AP1676">
        <f>IF($AE1676="","",Sync!$R1676)</f>
        <v/>
      </c>
      <c r="AQ1676">
        <f>IF($AE1676="","",Sync!$Y1676)</f>
        <v/>
      </c>
    </row>
    <row r="1677">
      <c r="A1677">
        <f>IF(OR(Wages!$B1680="",Wages!$E1680=""),"",Wages!$E1680)</f>
        <v/>
      </c>
      <c r="B1677">
        <f>IF($A1677="","",IF(Wages!$C1680="دستمزد گروهی",2,1))</f>
        <v/>
      </c>
      <c r="C1677">
        <f>IF($A1677="","",IF(ISNUMBER(Wages!$B1680),IF(AND(Wages!$B1680&gt;=10000101,Wages!$B1680&lt;=99991231),INT(Wages!$B1680/10000),""),IFERROR(VALUE(TRIM(LEFT(Wages!$B1680,FIND("/",Wages!$B1680)-1))),"")))</f>
        <v/>
      </c>
      <c r="D1677">
        <f>IF(OR($A1677="",$C1677=""),"",IF(ISNUMBER(Wages!$B1680),INT(MOD(Wages!$B1680,10000)/100),IFERROR(VALUE(TRIM(LEFT(MID(Wages!$B1680,FIND("/",Wages!$B1680)+1,20),FIND("/",MID(Wages!$B1680,FIND("/",Wages!$B1680)+1,20))-1))),"")))</f>
        <v/>
      </c>
      <c r="E1677">
        <f>IF(OR($A1677="",$C1677=""),"",IF(ISNUMBER(Wages!$B1680),MOD(Wages!$B1680,100),IFERROR(VALUE(TRIM(MID(MID(Wages!$B1680,FIND("/",Wages!$B1680)+1,20),FIND("/",MID(Wages!$B1680,FIND("/",Wages!$B1680)+1,20))+1,20))),"")))</f>
        <v/>
      </c>
      <c r="F1677">
        <f>IF($A1677="","",IF(OR($C1677="",$D1677="",$E1677="",$C1677&lt;1300,$C1677&gt;1500,$D1677&lt;1,$D1677&gt;12,$E1677&lt;1,$E1677&gt;31),"نامعتبر",RIGHT("0000"&amp;$C1677,4)&amp;"/"&amp;RIGHT("00"&amp;$D1677,2)&amp;"/"&amp;RIGHT("00"&amp;$E1677,2)))</f>
        <v/>
      </c>
      <c r="G1677">
        <f>IF(OR($A1677="",$F1677="",$F1677="نامعتبر"),"",LEFT($F1677,4)&amp;MID($F1677,6,2)&amp;RIGHT($F1677,2)&amp;"0000"&amp;"|"&amp;"1"&amp;RIGHT("00000"&amp;1672,5))</f>
        <v/>
      </c>
      <c r="H1677">
        <f>IF(OR($B1677&lt;&gt;1,$G1677=""),"",COUNTIFS(LdAParty,$A1677,LdAType,1,LdAKey,"&lt;"&amp;$G1677)+COUNTIFS(LdBMember,$A1677,LdBKey,"&lt;"&amp;$G1677)+COUNTIFS(LdCParty,$A1677,LdCKey,"&lt;"&amp;$G1677)+1)</f>
        <v/>
      </c>
      <c r="I1677">
        <f>IF($H1677="","",$A1677&amp;"|"&amp;RIGHT("000000"&amp;$H1677,6))</f>
        <v/>
      </c>
      <c r="J1677">
        <f>IF(OR($B1677&lt;&gt;2,$G1677=""),"",COUNTIFS(LdAParty,$A1677,LdAType,2,LdAKey,"&lt;"&amp;$G1677)+1)</f>
        <v/>
      </c>
      <c r="K1677">
        <f>IF($J1677="","",$A1677&amp;"|"&amp;RIGHT("000000"&amp;$J1677,6))</f>
        <v/>
      </c>
      <c r="L1677">
        <f>IF($A1677="","",IF(Wages!$G1680="",0,Wages!$G1680))</f>
        <v/>
      </c>
      <c r="M1677">
        <f>IF($A1677="","",Wages!$J1680)</f>
        <v/>
      </c>
      <c r="N1677">
        <f>IF($A1677="","",Wages!$D1680)</f>
        <v/>
      </c>
      <c r="P1677">
        <f>IF(OR(Shares!$B1680="",Shares!$C1680=""),"",Shares!$C1680)</f>
        <v/>
      </c>
      <c r="Q1677">
        <f>IF($P1677="","",Shares!$B1680)</f>
        <v/>
      </c>
      <c r="R1677">
        <f>IF($P1677="","",IFERROR(INDEX(WageParty,MATCH($Q1677,WageIds,0)),""))</f>
        <v/>
      </c>
      <c r="S1677">
        <f>IF($P1677="","",IFERROR(INDEX($F$6:$F$2005,MATCH($Q1677,WageIds,0)),""))</f>
        <v/>
      </c>
      <c r="T1677">
        <f>IF(OR($P1677="",$S1677="",$S1677="نامعتبر"),"",LEFT($S1677,4)&amp;MID($S1677,6,2)&amp;RIGHT($S1677,2)&amp;"0000"&amp;"|"&amp;"2"&amp;RIGHT("00000"&amp;1672,5))</f>
        <v/>
      </c>
      <c r="U1677">
        <f>IF($T1677="","",COUNTIFS(LdAParty,$P1677,LdAType,1,LdAKey,"&lt;"&amp;$T1677)+COUNTIFS(LdBMember,$P1677,LdBKey,"&lt;"&amp;$T1677)+COUNTIFS(LdCParty,$P1677,LdCKey,"&lt;"&amp;$T1677)+1)</f>
        <v/>
      </c>
      <c r="V1677">
        <f>IF($U1677="","",$P1677&amp;"|"&amp;RIGHT("000000"&amp;$U1677,6))</f>
        <v/>
      </c>
      <c r="W1677">
        <f>IF($T1677="","",COUNTIFS(LdBGroup,$R1677,LdBKey,"&lt;"&amp;$T1677)+1)</f>
        <v/>
      </c>
      <c r="X1677">
        <f>IF($W1677="","",$R1677&amp;"|"&amp;RIGHT("000000"&amp;$W1677,6))</f>
        <v/>
      </c>
      <c r="Y1677">
        <f>IF($P1677="","",IF(Shares!$E1680="",0,Shares!$E1680))</f>
        <v/>
      </c>
      <c r="Z1677">
        <f>IF($P1677="","",Shares!$H1680)</f>
        <v/>
      </c>
      <c r="AE1677">
        <f>IF(OR(Sync!$S1677="",Sync!$P1677=""),"",Sync!$S1677)</f>
        <v/>
      </c>
      <c r="AF1677">
        <f>IF($AE1677="","",IF(ISNUMBER(Sync!$P1677),IF(AND(Sync!$P1677&gt;=10000101,Sync!$P1677&lt;=99991231),INT(Sync!$P1677/10000),""),IFERROR(VALUE(TRIM(LEFT(Sync!$P1677,FIND("/",Sync!$P1677)-1))),"")))</f>
        <v/>
      </c>
      <c r="AG1677">
        <f>IF(OR($AE1677="",$AF1677=""),"",IF(ISNUMBER(Sync!$P1677),INT(MOD(Sync!$P1677,10000)/100),IFERROR(VALUE(TRIM(LEFT(MID(Sync!$P1677,FIND("/",Sync!$P1677)+1,20),FIND("/",MID(Sync!$P1677,FIND("/",Sync!$P1677)+1,20))-1))),"")))</f>
        <v/>
      </c>
      <c r="AH1677">
        <f>IF(OR($AE1677="",$AF1677=""),"",IF(ISNUMBER(Sync!$P1677),MOD(Sync!$P1677,100),IFERROR(VALUE(TRIM(MID(MID(Sync!$P1677,FIND("/",Sync!$P1677)+1,20),FIND("/",MID(Sync!$P1677,FIND("/",Sync!$P1677)+1,20))+1,20))),"")))</f>
        <v/>
      </c>
      <c r="AI1677">
        <f>IF($AE1677="","",IF(OR($AF1677="",$AG1677="",$AH1677="",$AF1677&lt;1300,$AF1677&gt;1500,$AG1677&lt;1,$AG1677&gt;12,$AH1677&lt;1,$AH1677&gt;31),"نامعتبر",RIGHT("0000"&amp;$AF1677,4)&amp;"/"&amp;RIGHT("00"&amp;$AG1677,2)&amp;"/"&amp;RIGHT("00"&amp;$AH1677,2)))</f>
        <v/>
      </c>
      <c r="AJ1677">
        <f>IF($AE1677="","",IF(Sync!$Q1677="","0000",IF(AND(ISNUMBER(Sync!$Q1677),Sync!$Q1677&gt;=0,Sync!$Q1677&lt;1),RIGHT("00"&amp;HOUR(Sync!$Q1677),2)&amp;RIGHT("00"&amp;MINUTE(Sync!$Q1677),2),IFERROR(RIGHT("00"&amp;VALUE(LEFT(Sync!$Q1677,FIND(":",Sync!$Q1677)-1)),2)&amp;RIGHT("00"&amp;VALUE(MID(Sync!$Q1677,FIND(":",Sync!$Q1677)+1,2)),2),"0000"))))</f>
        <v/>
      </c>
      <c r="AK1677">
        <f>IF(OR($AE1677="",$AI1677="",$AI1677="نامعتبر"),"",LEFT($AI1677,4)&amp;MID($AI1677,6,2)&amp;RIGHT($AI1677,2)&amp;$AJ1677&amp;"|"&amp;"3"&amp;RIGHT("00000"&amp;1672,5))</f>
        <v/>
      </c>
      <c r="AL1677">
        <f>IF($AK1677="","",COUNTIFS(LdAParty,$AE1677,LdAType,1,LdAKey,"&lt;"&amp;$AK1677)+COUNTIFS(LdBMember,$AE1677,LdBKey,"&lt;"&amp;$AK1677)+COUNTIFS(LdCParty,$AE1677,LdCKey,"&lt;"&amp;$AK1677)+1)</f>
        <v/>
      </c>
      <c r="AM1677">
        <f>IF($AL1677="","",$AE1677&amp;"|"&amp;RIGHT("000000"&amp;$AL1677,6))</f>
        <v/>
      </c>
      <c r="AN1677">
        <f>IF($AE1677="","",IF(Sync!$W1677="",0,Sync!$W1677))</f>
        <v/>
      </c>
      <c r="AO1677">
        <f>IF($AE1677="","",IF(Sync!$X1677="",0,Sync!$X1677))</f>
        <v/>
      </c>
      <c r="AP1677">
        <f>IF($AE1677="","",Sync!$R1677)</f>
        <v/>
      </c>
      <c r="AQ1677">
        <f>IF($AE1677="","",Sync!$Y1677)</f>
        <v/>
      </c>
    </row>
    <row r="1678">
      <c r="A1678">
        <f>IF(OR(Wages!$B1681="",Wages!$E1681=""),"",Wages!$E1681)</f>
        <v/>
      </c>
      <c r="B1678">
        <f>IF($A1678="","",IF(Wages!$C1681="دستمزد گروهی",2,1))</f>
        <v/>
      </c>
      <c r="C1678">
        <f>IF($A1678="","",IF(ISNUMBER(Wages!$B1681),IF(AND(Wages!$B1681&gt;=10000101,Wages!$B1681&lt;=99991231),INT(Wages!$B1681/10000),""),IFERROR(VALUE(TRIM(LEFT(Wages!$B1681,FIND("/",Wages!$B1681)-1))),"")))</f>
        <v/>
      </c>
      <c r="D1678">
        <f>IF(OR($A1678="",$C1678=""),"",IF(ISNUMBER(Wages!$B1681),INT(MOD(Wages!$B1681,10000)/100),IFERROR(VALUE(TRIM(LEFT(MID(Wages!$B1681,FIND("/",Wages!$B1681)+1,20),FIND("/",MID(Wages!$B1681,FIND("/",Wages!$B1681)+1,20))-1))),"")))</f>
        <v/>
      </c>
      <c r="E1678">
        <f>IF(OR($A1678="",$C1678=""),"",IF(ISNUMBER(Wages!$B1681),MOD(Wages!$B1681,100),IFERROR(VALUE(TRIM(MID(MID(Wages!$B1681,FIND("/",Wages!$B1681)+1,20),FIND("/",MID(Wages!$B1681,FIND("/",Wages!$B1681)+1,20))+1,20))),"")))</f>
        <v/>
      </c>
      <c r="F1678">
        <f>IF($A1678="","",IF(OR($C1678="",$D1678="",$E1678="",$C1678&lt;1300,$C1678&gt;1500,$D1678&lt;1,$D1678&gt;12,$E1678&lt;1,$E1678&gt;31),"نامعتبر",RIGHT("0000"&amp;$C1678,4)&amp;"/"&amp;RIGHT("00"&amp;$D1678,2)&amp;"/"&amp;RIGHT("00"&amp;$E1678,2)))</f>
        <v/>
      </c>
      <c r="G1678">
        <f>IF(OR($A1678="",$F1678="",$F1678="نامعتبر"),"",LEFT($F1678,4)&amp;MID($F1678,6,2)&amp;RIGHT($F1678,2)&amp;"0000"&amp;"|"&amp;"1"&amp;RIGHT("00000"&amp;1673,5))</f>
        <v/>
      </c>
      <c r="H1678">
        <f>IF(OR($B1678&lt;&gt;1,$G1678=""),"",COUNTIFS(LdAParty,$A1678,LdAType,1,LdAKey,"&lt;"&amp;$G1678)+COUNTIFS(LdBMember,$A1678,LdBKey,"&lt;"&amp;$G1678)+COUNTIFS(LdCParty,$A1678,LdCKey,"&lt;"&amp;$G1678)+1)</f>
        <v/>
      </c>
      <c r="I1678">
        <f>IF($H1678="","",$A1678&amp;"|"&amp;RIGHT("000000"&amp;$H1678,6))</f>
        <v/>
      </c>
      <c r="J1678">
        <f>IF(OR($B1678&lt;&gt;2,$G1678=""),"",COUNTIFS(LdAParty,$A1678,LdAType,2,LdAKey,"&lt;"&amp;$G1678)+1)</f>
        <v/>
      </c>
      <c r="K1678">
        <f>IF($J1678="","",$A1678&amp;"|"&amp;RIGHT("000000"&amp;$J1678,6))</f>
        <v/>
      </c>
      <c r="L1678">
        <f>IF($A1678="","",IF(Wages!$G1681="",0,Wages!$G1681))</f>
        <v/>
      </c>
      <c r="M1678">
        <f>IF($A1678="","",Wages!$J1681)</f>
        <v/>
      </c>
      <c r="N1678">
        <f>IF($A1678="","",Wages!$D1681)</f>
        <v/>
      </c>
      <c r="P1678">
        <f>IF(OR(Shares!$B1681="",Shares!$C1681=""),"",Shares!$C1681)</f>
        <v/>
      </c>
      <c r="Q1678">
        <f>IF($P1678="","",Shares!$B1681)</f>
        <v/>
      </c>
      <c r="R1678">
        <f>IF($P1678="","",IFERROR(INDEX(WageParty,MATCH($Q1678,WageIds,0)),""))</f>
        <v/>
      </c>
      <c r="S1678">
        <f>IF($P1678="","",IFERROR(INDEX($F$6:$F$2005,MATCH($Q1678,WageIds,0)),""))</f>
        <v/>
      </c>
      <c r="T1678">
        <f>IF(OR($P1678="",$S1678="",$S1678="نامعتبر"),"",LEFT($S1678,4)&amp;MID($S1678,6,2)&amp;RIGHT($S1678,2)&amp;"0000"&amp;"|"&amp;"2"&amp;RIGHT("00000"&amp;1673,5))</f>
        <v/>
      </c>
      <c r="U1678">
        <f>IF($T1678="","",COUNTIFS(LdAParty,$P1678,LdAType,1,LdAKey,"&lt;"&amp;$T1678)+COUNTIFS(LdBMember,$P1678,LdBKey,"&lt;"&amp;$T1678)+COUNTIFS(LdCParty,$P1678,LdCKey,"&lt;"&amp;$T1678)+1)</f>
        <v/>
      </c>
      <c r="V1678">
        <f>IF($U1678="","",$P1678&amp;"|"&amp;RIGHT("000000"&amp;$U1678,6))</f>
        <v/>
      </c>
      <c r="W1678">
        <f>IF($T1678="","",COUNTIFS(LdBGroup,$R1678,LdBKey,"&lt;"&amp;$T1678)+1)</f>
        <v/>
      </c>
      <c r="X1678">
        <f>IF($W1678="","",$R1678&amp;"|"&amp;RIGHT("000000"&amp;$W1678,6))</f>
        <v/>
      </c>
      <c r="Y1678">
        <f>IF($P1678="","",IF(Shares!$E1681="",0,Shares!$E1681))</f>
        <v/>
      </c>
      <c r="Z1678">
        <f>IF($P1678="","",Shares!$H1681)</f>
        <v/>
      </c>
      <c r="AE1678">
        <f>IF(OR(Sync!$S1678="",Sync!$P1678=""),"",Sync!$S1678)</f>
        <v/>
      </c>
      <c r="AF1678">
        <f>IF($AE1678="","",IF(ISNUMBER(Sync!$P1678),IF(AND(Sync!$P1678&gt;=10000101,Sync!$P1678&lt;=99991231),INT(Sync!$P1678/10000),""),IFERROR(VALUE(TRIM(LEFT(Sync!$P1678,FIND("/",Sync!$P1678)-1))),"")))</f>
        <v/>
      </c>
      <c r="AG1678">
        <f>IF(OR($AE1678="",$AF1678=""),"",IF(ISNUMBER(Sync!$P1678),INT(MOD(Sync!$P1678,10000)/100),IFERROR(VALUE(TRIM(LEFT(MID(Sync!$P1678,FIND("/",Sync!$P1678)+1,20),FIND("/",MID(Sync!$P1678,FIND("/",Sync!$P1678)+1,20))-1))),"")))</f>
        <v/>
      </c>
      <c r="AH1678">
        <f>IF(OR($AE1678="",$AF1678=""),"",IF(ISNUMBER(Sync!$P1678),MOD(Sync!$P1678,100),IFERROR(VALUE(TRIM(MID(MID(Sync!$P1678,FIND("/",Sync!$P1678)+1,20),FIND("/",MID(Sync!$P1678,FIND("/",Sync!$P1678)+1,20))+1,20))),"")))</f>
        <v/>
      </c>
      <c r="AI1678">
        <f>IF($AE1678="","",IF(OR($AF1678="",$AG1678="",$AH1678="",$AF1678&lt;1300,$AF1678&gt;1500,$AG1678&lt;1,$AG1678&gt;12,$AH1678&lt;1,$AH1678&gt;31),"نامعتبر",RIGHT("0000"&amp;$AF1678,4)&amp;"/"&amp;RIGHT("00"&amp;$AG1678,2)&amp;"/"&amp;RIGHT("00"&amp;$AH1678,2)))</f>
        <v/>
      </c>
      <c r="AJ1678">
        <f>IF($AE1678="","",IF(Sync!$Q1678="","0000",IF(AND(ISNUMBER(Sync!$Q1678),Sync!$Q1678&gt;=0,Sync!$Q1678&lt;1),RIGHT("00"&amp;HOUR(Sync!$Q1678),2)&amp;RIGHT("00"&amp;MINUTE(Sync!$Q1678),2),IFERROR(RIGHT("00"&amp;VALUE(LEFT(Sync!$Q1678,FIND(":",Sync!$Q1678)-1)),2)&amp;RIGHT("00"&amp;VALUE(MID(Sync!$Q1678,FIND(":",Sync!$Q1678)+1,2)),2),"0000"))))</f>
        <v/>
      </c>
      <c r="AK1678">
        <f>IF(OR($AE1678="",$AI1678="",$AI1678="نامعتبر"),"",LEFT($AI1678,4)&amp;MID($AI1678,6,2)&amp;RIGHT($AI1678,2)&amp;$AJ1678&amp;"|"&amp;"3"&amp;RIGHT("00000"&amp;1673,5))</f>
        <v/>
      </c>
      <c r="AL1678">
        <f>IF($AK1678="","",COUNTIFS(LdAParty,$AE1678,LdAType,1,LdAKey,"&lt;"&amp;$AK1678)+COUNTIFS(LdBMember,$AE1678,LdBKey,"&lt;"&amp;$AK1678)+COUNTIFS(LdCParty,$AE1678,LdCKey,"&lt;"&amp;$AK1678)+1)</f>
        <v/>
      </c>
      <c r="AM1678">
        <f>IF($AL1678="","",$AE1678&amp;"|"&amp;RIGHT("000000"&amp;$AL1678,6))</f>
        <v/>
      </c>
      <c r="AN1678">
        <f>IF($AE1678="","",IF(Sync!$W1678="",0,Sync!$W1678))</f>
        <v/>
      </c>
      <c r="AO1678">
        <f>IF($AE1678="","",IF(Sync!$X1678="",0,Sync!$X1678))</f>
        <v/>
      </c>
      <c r="AP1678">
        <f>IF($AE1678="","",Sync!$R1678)</f>
        <v/>
      </c>
      <c r="AQ1678">
        <f>IF($AE1678="","",Sync!$Y1678)</f>
        <v/>
      </c>
    </row>
    <row r="1679">
      <c r="A1679">
        <f>IF(OR(Wages!$B1682="",Wages!$E1682=""),"",Wages!$E1682)</f>
        <v/>
      </c>
      <c r="B1679">
        <f>IF($A1679="","",IF(Wages!$C1682="دستمزد گروهی",2,1))</f>
        <v/>
      </c>
      <c r="C1679">
        <f>IF($A1679="","",IF(ISNUMBER(Wages!$B1682),IF(AND(Wages!$B1682&gt;=10000101,Wages!$B1682&lt;=99991231),INT(Wages!$B1682/10000),""),IFERROR(VALUE(TRIM(LEFT(Wages!$B1682,FIND("/",Wages!$B1682)-1))),"")))</f>
        <v/>
      </c>
      <c r="D1679">
        <f>IF(OR($A1679="",$C1679=""),"",IF(ISNUMBER(Wages!$B1682),INT(MOD(Wages!$B1682,10000)/100),IFERROR(VALUE(TRIM(LEFT(MID(Wages!$B1682,FIND("/",Wages!$B1682)+1,20),FIND("/",MID(Wages!$B1682,FIND("/",Wages!$B1682)+1,20))-1))),"")))</f>
        <v/>
      </c>
      <c r="E1679">
        <f>IF(OR($A1679="",$C1679=""),"",IF(ISNUMBER(Wages!$B1682),MOD(Wages!$B1682,100),IFERROR(VALUE(TRIM(MID(MID(Wages!$B1682,FIND("/",Wages!$B1682)+1,20),FIND("/",MID(Wages!$B1682,FIND("/",Wages!$B1682)+1,20))+1,20))),"")))</f>
        <v/>
      </c>
      <c r="F1679">
        <f>IF($A1679="","",IF(OR($C1679="",$D1679="",$E1679="",$C1679&lt;1300,$C1679&gt;1500,$D1679&lt;1,$D1679&gt;12,$E1679&lt;1,$E1679&gt;31),"نامعتبر",RIGHT("0000"&amp;$C1679,4)&amp;"/"&amp;RIGHT("00"&amp;$D1679,2)&amp;"/"&amp;RIGHT("00"&amp;$E1679,2)))</f>
        <v/>
      </c>
      <c r="G1679">
        <f>IF(OR($A1679="",$F1679="",$F1679="نامعتبر"),"",LEFT($F1679,4)&amp;MID($F1679,6,2)&amp;RIGHT($F1679,2)&amp;"0000"&amp;"|"&amp;"1"&amp;RIGHT("00000"&amp;1674,5))</f>
        <v/>
      </c>
      <c r="H1679">
        <f>IF(OR($B1679&lt;&gt;1,$G1679=""),"",COUNTIFS(LdAParty,$A1679,LdAType,1,LdAKey,"&lt;"&amp;$G1679)+COUNTIFS(LdBMember,$A1679,LdBKey,"&lt;"&amp;$G1679)+COUNTIFS(LdCParty,$A1679,LdCKey,"&lt;"&amp;$G1679)+1)</f>
        <v/>
      </c>
      <c r="I1679">
        <f>IF($H1679="","",$A1679&amp;"|"&amp;RIGHT("000000"&amp;$H1679,6))</f>
        <v/>
      </c>
      <c r="J1679">
        <f>IF(OR($B1679&lt;&gt;2,$G1679=""),"",COUNTIFS(LdAParty,$A1679,LdAType,2,LdAKey,"&lt;"&amp;$G1679)+1)</f>
        <v/>
      </c>
      <c r="K1679">
        <f>IF($J1679="","",$A1679&amp;"|"&amp;RIGHT("000000"&amp;$J1679,6))</f>
        <v/>
      </c>
      <c r="L1679">
        <f>IF($A1679="","",IF(Wages!$G1682="",0,Wages!$G1682))</f>
        <v/>
      </c>
      <c r="M1679">
        <f>IF($A1679="","",Wages!$J1682)</f>
        <v/>
      </c>
      <c r="N1679">
        <f>IF($A1679="","",Wages!$D1682)</f>
        <v/>
      </c>
      <c r="P1679">
        <f>IF(OR(Shares!$B1682="",Shares!$C1682=""),"",Shares!$C1682)</f>
        <v/>
      </c>
      <c r="Q1679">
        <f>IF($P1679="","",Shares!$B1682)</f>
        <v/>
      </c>
      <c r="R1679">
        <f>IF($P1679="","",IFERROR(INDEX(WageParty,MATCH($Q1679,WageIds,0)),""))</f>
        <v/>
      </c>
      <c r="S1679">
        <f>IF($P1679="","",IFERROR(INDEX($F$6:$F$2005,MATCH($Q1679,WageIds,0)),""))</f>
        <v/>
      </c>
      <c r="T1679">
        <f>IF(OR($P1679="",$S1679="",$S1679="نامعتبر"),"",LEFT($S1679,4)&amp;MID($S1679,6,2)&amp;RIGHT($S1679,2)&amp;"0000"&amp;"|"&amp;"2"&amp;RIGHT("00000"&amp;1674,5))</f>
        <v/>
      </c>
      <c r="U1679">
        <f>IF($T1679="","",COUNTIFS(LdAParty,$P1679,LdAType,1,LdAKey,"&lt;"&amp;$T1679)+COUNTIFS(LdBMember,$P1679,LdBKey,"&lt;"&amp;$T1679)+COUNTIFS(LdCParty,$P1679,LdCKey,"&lt;"&amp;$T1679)+1)</f>
        <v/>
      </c>
      <c r="V1679">
        <f>IF($U1679="","",$P1679&amp;"|"&amp;RIGHT("000000"&amp;$U1679,6))</f>
        <v/>
      </c>
      <c r="W1679">
        <f>IF($T1679="","",COUNTIFS(LdBGroup,$R1679,LdBKey,"&lt;"&amp;$T1679)+1)</f>
        <v/>
      </c>
      <c r="X1679">
        <f>IF($W1679="","",$R1679&amp;"|"&amp;RIGHT("000000"&amp;$W1679,6))</f>
        <v/>
      </c>
      <c r="Y1679">
        <f>IF($P1679="","",IF(Shares!$E1682="",0,Shares!$E1682))</f>
        <v/>
      </c>
      <c r="Z1679">
        <f>IF($P1679="","",Shares!$H1682)</f>
        <v/>
      </c>
      <c r="AE1679">
        <f>IF(OR(Sync!$S1679="",Sync!$P1679=""),"",Sync!$S1679)</f>
        <v/>
      </c>
      <c r="AF1679">
        <f>IF($AE1679="","",IF(ISNUMBER(Sync!$P1679),IF(AND(Sync!$P1679&gt;=10000101,Sync!$P1679&lt;=99991231),INT(Sync!$P1679/10000),""),IFERROR(VALUE(TRIM(LEFT(Sync!$P1679,FIND("/",Sync!$P1679)-1))),"")))</f>
        <v/>
      </c>
      <c r="AG1679">
        <f>IF(OR($AE1679="",$AF1679=""),"",IF(ISNUMBER(Sync!$P1679),INT(MOD(Sync!$P1679,10000)/100),IFERROR(VALUE(TRIM(LEFT(MID(Sync!$P1679,FIND("/",Sync!$P1679)+1,20),FIND("/",MID(Sync!$P1679,FIND("/",Sync!$P1679)+1,20))-1))),"")))</f>
        <v/>
      </c>
      <c r="AH1679">
        <f>IF(OR($AE1679="",$AF1679=""),"",IF(ISNUMBER(Sync!$P1679),MOD(Sync!$P1679,100),IFERROR(VALUE(TRIM(MID(MID(Sync!$P1679,FIND("/",Sync!$P1679)+1,20),FIND("/",MID(Sync!$P1679,FIND("/",Sync!$P1679)+1,20))+1,20))),"")))</f>
        <v/>
      </c>
      <c r="AI1679">
        <f>IF($AE1679="","",IF(OR($AF1679="",$AG1679="",$AH1679="",$AF1679&lt;1300,$AF1679&gt;1500,$AG1679&lt;1,$AG1679&gt;12,$AH1679&lt;1,$AH1679&gt;31),"نامعتبر",RIGHT("0000"&amp;$AF1679,4)&amp;"/"&amp;RIGHT("00"&amp;$AG1679,2)&amp;"/"&amp;RIGHT("00"&amp;$AH1679,2)))</f>
        <v/>
      </c>
      <c r="AJ1679">
        <f>IF($AE1679="","",IF(Sync!$Q1679="","0000",IF(AND(ISNUMBER(Sync!$Q1679),Sync!$Q1679&gt;=0,Sync!$Q1679&lt;1),RIGHT("00"&amp;HOUR(Sync!$Q1679),2)&amp;RIGHT("00"&amp;MINUTE(Sync!$Q1679),2),IFERROR(RIGHT("00"&amp;VALUE(LEFT(Sync!$Q1679,FIND(":",Sync!$Q1679)-1)),2)&amp;RIGHT("00"&amp;VALUE(MID(Sync!$Q1679,FIND(":",Sync!$Q1679)+1,2)),2),"0000"))))</f>
        <v/>
      </c>
      <c r="AK1679">
        <f>IF(OR($AE1679="",$AI1679="",$AI1679="نامعتبر"),"",LEFT($AI1679,4)&amp;MID($AI1679,6,2)&amp;RIGHT($AI1679,2)&amp;$AJ1679&amp;"|"&amp;"3"&amp;RIGHT("00000"&amp;1674,5))</f>
        <v/>
      </c>
      <c r="AL1679">
        <f>IF($AK1679="","",COUNTIFS(LdAParty,$AE1679,LdAType,1,LdAKey,"&lt;"&amp;$AK1679)+COUNTIFS(LdBMember,$AE1679,LdBKey,"&lt;"&amp;$AK1679)+COUNTIFS(LdCParty,$AE1679,LdCKey,"&lt;"&amp;$AK1679)+1)</f>
        <v/>
      </c>
      <c r="AM1679">
        <f>IF($AL1679="","",$AE1679&amp;"|"&amp;RIGHT("000000"&amp;$AL1679,6))</f>
        <v/>
      </c>
      <c r="AN1679">
        <f>IF($AE1679="","",IF(Sync!$W1679="",0,Sync!$W1679))</f>
        <v/>
      </c>
      <c r="AO1679">
        <f>IF($AE1679="","",IF(Sync!$X1679="",0,Sync!$X1679))</f>
        <v/>
      </c>
      <c r="AP1679">
        <f>IF($AE1679="","",Sync!$R1679)</f>
        <v/>
      </c>
      <c r="AQ1679">
        <f>IF($AE1679="","",Sync!$Y1679)</f>
        <v/>
      </c>
    </row>
    <row r="1680">
      <c r="A1680">
        <f>IF(OR(Wages!$B1683="",Wages!$E1683=""),"",Wages!$E1683)</f>
        <v/>
      </c>
      <c r="B1680">
        <f>IF($A1680="","",IF(Wages!$C1683="دستمزد گروهی",2,1))</f>
        <v/>
      </c>
      <c r="C1680">
        <f>IF($A1680="","",IF(ISNUMBER(Wages!$B1683),IF(AND(Wages!$B1683&gt;=10000101,Wages!$B1683&lt;=99991231),INT(Wages!$B1683/10000),""),IFERROR(VALUE(TRIM(LEFT(Wages!$B1683,FIND("/",Wages!$B1683)-1))),"")))</f>
        <v/>
      </c>
      <c r="D1680">
        <f>IF(OR($A1680="",$C1680=""),"",IF(ISNUMBER(Wages!$B1683),INT(MOD(Wages!$B1683,10000)/100),IFERROR(VALUE(TRIM(LEFT(MID(Wages!$B1683,FIND("/",Wages!$B1683)+1,20),FIND("/",MID(Wages!$B1683,FIND("/",Wages!$B1683)+1,20))-1))),"")))</f>
        <v/>
      </c>
      <c r="E1680">
        <f>IF(OR($A1680="",$C1680=""),"",IF(ISNUMBER(Wages!$B1683),MOD(Wages!$B1683,100),IFERROR(VALUE(TRIM(MID(MID(Wages!$B1683,FIND("/",Wages!$B1683)+1,20),FIND("/",MID(Wages!$B1683,FIND("/",Wages!$B1683)+1,20))+1,20))),"")))</f>
        <v/>
      </c>
      <c r="F1680">
        <f>IF($A1680="","",IF(OR($C1680="",$D1680="",$E1680="",$C1680&lt;1300,$C1680&gt;1500,$D1680&lt;1,$D1680&gt;12,$E1680&lt;1,$E1680&gt;31),"نامعتبر",RIGHT("0000"&amp;$C1680,4)&amp;"/"&amp;RIGHT("00"&amp;$D1680,2)&amp;"/"&amp;RIGHT("00"&amp;$E1680,2)))</f>
        <v/>
      </c>
      <c r="G1680">
        <f>IF(OR($A1680="",$F1680="",$F1680="نامعتبر"),"",LEFT($F1680,4)&amp;MID($F1680,6,2)&amp;RIGHT($F1680,2)&amp;"0000"&amp;"|"&amp;"1"&amp;RIGHT("00000"&amp;1675,5))</f>
        <v/>
      </c>
      <c r="H1680">
        <f>IF(OR($B1680&lt;&gt;1,$G1680=""),"",COUNTIFS(LdAParty,$A1680,LdAType,1,LdAKey,"&lt;"&amp;$G1680)+COUNTIFS(LdBMember,$A1680,LdBKey,"&lt;"&amp;$G1680)+COUNTIFS(LdCParty,$A1680,LdCKey,"&lt;"&amp;$G1680)+1)</f>
        <v/>
      </c>
      <c r="I1680">
        <f>IF($H1680="","",$A1680&amp;"|"&amp;RIGHT("000000"&amp;$H1680,6))</f>
        <v/>
      </c>
      <c r="J1680">
        <f>IF(OR($B1680&lt;&gt;2,$G1680=""),"",COUNTIFS(LdAParty,$A1680,LdAType,2,LdAKey,"&lt;"&amp;$G1680)+1)</f>
        <v/>
      </c>
      <c r="K1680">
        <f>IF($J1680="","",$A1680&amp;"|"&amp;RIGHT("000000"&amp;$J1680,6))</f>
        <v/>
      </c>
      <c r="L1680">
        <f>IF($A1680="","",IF(Wages!$G1683="",0,Wages!$G1683))</f>
        <v/>
      </c>
      <c r="M1680">
        <f>IF($A1680="","",Wages!$J1683)</f>
        <v/>
      </c>
      <c r="N1680">
        <f>IF($A1680="","",Wages!$D1683)</f>
        <v/>
      </c>
      <c r="P1680">
        <f>IF(OR(Shares!$B1683="",Shares!$C1683=""),"",Shares!$C1683)</f>
        <v/>
      </c>
      <c r="Q1680">
        <f>IF($P1680="","",Shares!$B1683)</f>
        <v/>
      </c>
      <c r="R1680">
        <f>IF($P1680="","",IFERROR(INDEX(WageParty,MATCH($Q1680,WageIds,0)),""))</f>
        <v/>
      </c>
      <c r="S1680">
        <f>IF($P1680="","",IFERROR(INDEX($F$6:$F$2005,MATCH($Q1680,WageIds,0)),""))</f>
        <v/>
      </c>
      <c r="T1680">
        <f>IF(OR($P1680="",$S1680="",$S1680="نامعتبر"),"",LEFT($S1680,4)&amp;MID($S1680,6,2)&amp;RIGHT($S1680,2)&amp;"0000"&amp;"|"&amp;"2"&amp;RIGHT("00000"&amp;1675,5))</f>
        <v/>
      </c>
      <c r="U1680">
        <f>IF($T1680="","",COUNTIFS(LdAParty,$P1680,LdAType,1,LdAKey,"&lt;"&amp;$T1680)+COUNTIFS(LdBMember,$P1680,LdBKey,"&lt;"&amp;$T1680)+COUNTIFS(LdCParty,$P1680,LdCKey,"&lt;"&amp;$T1680)+1)</f>
        <v/>
      </c>
      <c r="V1680">
        <f>IF($U1680="","",$P1680&amp;"|"&amp;RIGHT("000000"&amp;$U1680,6))</f>
        <v/>
      </c>
      <c r="W1680">
        <f>IF($T1680="","",COUNTIFS(LdBGroup,$R1680,LdBKey,"&lt;"&amp;$T1680)+1)</f>
        <v/>
      </c>
      <c r="X1680">
        <f>IF($W1680="","",$R1680&amp;"|"&amp;RIGHT("000000"&amp;$W1680,6))</f>
        <v/>
      </c>
      <c r="Y1680">
        <f>IF($P1680="","",IF(Shares!$E1683="",0,Shares!$E1683))</f>
        <v/>
      </c>
      <c r="Z1680">
        <f>IF($P1680="","",Shares!$H1683)</f>
        <v/>
      </c>
      <c r="AE1680">
        <f>IF(OR(Sync!$S1680="",Sync!$P1680=""),"",Sync!$S1680)</f>
        <v/>
      </c>
      <c r="AF1680">
        <f>IF($AE1680="","",IF(ISNUMBER(Sync!$P1680),IF(AND(Sync!$P1680&gt;=10000101,Sync!$P1680&lt;=99991231),INT(Sync!$P1680/10000),""),IFERROR(VALUE(TRIM(LEFT(Sync!$P1680,FIND("/",Sync!$P1680)-1))),"")))</f>
        <v/>
      </c>
      <c r="AG1680">
        <f>IF(OR($AE1680="",$AF1680=""),"",IF(ISNUMBER(Sync!$P1680),INT(MOD(Sync!$P1680,10000)/100),IFERROR(VALUE(TRIM(LEFT(MID(Sync!$P1680,FIND("/",Sync!$P1680)+1,20),FIND("/",MID(Sync!$P1680,FIND("/",Sync!$P1680)+1,20))-1))),"")))</f>
        <v/>
      </c>
      <c r="AH1680">
        <f>IF(OR($AE1680="",$AF1680=""),"",IF(ISNUMBER(Sync!$P1680),MOD(Sync!$P1680,100),IFERROR(VALUE(TRIM(MID(MID(Sync!$P1680,FIND("/",Sync!$P1680)+1,20),FIND("/",MID(Sync!$P1680,FIND("/",Sync!$P1680)+1,20))+1,20))),"")))</f>
        <v/>
      </c>
      <c r="AI1680">
        <f>IF($AE1680="","",IF(OR($AF1680="",$AG1680="",$AH1680="",$AF1680&lt;1300,$AF1680&gt;1500,$AG1680&lt;1,$AG1680&gt;12,$AH1680&lt;1,$AH1680&gt;31),"نامعتبر",RIGHT("0000"&amp;$AF1680,4)&amp;"/"&amp;RIGHT("00"&amp;$AG1680,2)&amp;"/"&amp;RIGHT("00"&amp;$AH1680,2)))</f>
        <v/>
      </c>
      <c r="AJ1680">
        <f>IF($AE1680="","",IF(Sync!$Q1680="","0000",IF(AND(ISNUMBER(Sync!$Q1680),Sync!$Q1680&gt;=0,Sync!$Q1680&lt;1),RIGHT("00"&amp;HOUR(Sync!$Q1680),2)&amp;RIGHT("00"&amp;MINUTE(Sync!$Q1680),2),IFERROR(RIGHT("00"&amp;VALUE(LEFT(Sync!$Q1680,FIND(":",Sync!$Q1680)-1)),2)&amp;RIGHT("00"&amp;VALUE(MID(Sync!$Q1680,FIND(":",Sync!$Q1680)+1,2)),2),"0000"))))</f>
        <v/>
      </c>
      <c r="AK1680">
        <f>IF(OR($AE1680="",$AI1680="",$AI1680="نامعتبر"),"",LEFT($AI1680,4)&amp;MID($AI1680,6,2)&amp;RIGHT($AI1680,2)&amp;$AJ1680&amp;"|"&amp;"3"&amp;RIGHT("00000"&amp;1675,5))</f>
        <v/>
      </c>
      <c r="AL1680">
        <f>IF($AK1680="","",COUNTIFS(LdAParty,$AE1680,LdAType,1,LdAKey,"&lt;"&amp;$AK1680)+COUNTIFS(LdBMember,$AE1680,LdBKey,"&lt;"&amp;$AK1680)+COUNTIFS(LdCParty,$AE1680,LdCKey,"&lt;"&amp;$AK1680)+1)</f>
        <v/>
      </c>
      <c r="AM1680">
        <f>IF($AL1680="","",$AE1680&amp;"|"&amp;RIGHT("000000"&amp;$AL1680,6))</f>
        <v/>
      </c>
      <c r="AN1680">
        <f>IF($AE1680="","",IF(Sync!$W1680="",0,Sync!$W1680))</f>
        <v/>
      </c>
      <c r="AO1680">
        <f>IF($AE1680="","",IF(Sync!$X1680="",0,Sync!$X1680))</f>
        <v/>
      </c>
      <c r="AP1680">
        <f>IF($AE1680="","",Sync!$R1680)</f>
        <v/>
      </c>
      <c r="AQ1680">
        <f>IF($AE1680="","",Sync!$Y1680)</f>
        <v/>
      </c>
    </row>
    <row r="1681">
      <c r="A1681">
        <f>IF(OR(Wages!$B1684="",Wages!$E1684=""),"",Wages!$E1684)</f>
        <v/>
      </c>
      <c r="B1681">
        <f>IF($A1681="","",IF(Wages!$C1684="دستمزد گروهی",2,1))</f>
        <v/>
      </c>
      <c r="C1681">
        <f>IF($A1681="","",IF(ISNUMBER(Wages!$B1684),IF(AND(Wages!$B1684&gt;=10000101,Wages!$B1684&lt;=99991231),INT(Wages!$B1684/10000),""),IFERROR(VALUE(TRIM(LEFT(Wages!$B1684,FIND("/",Wages!$B1684)-1))),"")))</f>
        <v/>
      </c>
      <c r="D1681">
        <f>IF(OR($A1681="",$C1681=""),"",IF(ISNUMBER(Wages!$B1684),INT(MOD(Wages!$B1684,10000)/100),IFERROR(VALUE(TRIM(LEFT(MID(Wages!$B1684,FIND("/",Wages!$B1684)+1,20),FIND("/",MID(Wages!$B1684,FIND("/",Wages!$B1684)+1,20))-1))),"")))</f>
        <v/>
      </c>
      <c r="E1681">
        <f>IF(OR($A1681="",$C1681=""),"",IF(ISNUMBER(Wages!$B1684),MOD(Wages!$B1684,100),IFERROR(VALUE(TRIM(MID(MID(Wages!$B1684,FIND("/",Wages!$B1684)+1,20),FIND("/",MID(Wages!$B1684,FIND("/",Wages!$B1684)+1,20))+1,20))),"")))</f>
        <v/>
      </c>
      <c r="F1681">
        <f>IF($A1681="","",IF(OR($C1681="",$D1681="",$E1681="",$C1681&lt;1300,$C1681&gt;1500,$D1681&lt;1,$D1681&gt;12,$E1681&lt;1,$E1681&gt;31),"نامعتبر",RIGHT("0000"&amp;$C1681,4)&amp;"/"&amp;RIGHT("00"&amp;$D1681,2)&amp;"/"&amp;RIGHT("00"&amp;$E1681,2)))</f>
        <v/>
      </c>
      <c r="G1681">
        <f>IF(OR($A1681="",$F1681="",$F1681="نامعتبر"),"",LEFT($F1681,4)&amp;MID($F1681,6,2)&amp;RIGHT($F1681,2)&amp;"0000"&amp;"|"&amp;"1"&amp;RIGHT("00000"&amp;1676,5))</f>
        <v/>
      </c>
      <c r="H1681">
        <f>IF(OR($B1681&lt;&gt;1,$G1681=""),"",COUNTIFS(LdAParty,$A1681,LdAType,1,LdAKey,"&lt;"&amp;$G1681)+COUNTIFS(LdBMember,$A1681,LdBKey,"&lt;"&amp;$G1681)+COUNTIFS(LdCParty,$A1681,LdCKey,"&lt;"&amp;$G1681)+1)</f>
        <v/>
      </c>
      <c r="I1681">
        <f>IF($H1681="","",$A1681&amp;"|"&amp;RIGHT("000000"&amp;$H1681,6))</f>
        <v/>
      </c>
      <c r="J1681">
        <f>IF(OR($B1681&lt;&gt;2,$G1681=""),"",COUNTIFS(LdAParty,$A1681,LdAType,2,LdAKey,"&lt;"&amp;$G1681)+1)</f>
        <v/>
      </c>
      <c r="K1681">
        <f>IF($J1681="","",$A1681&amp;"|"&amp;RIGHT("000000"&amp;$J1681,6))</f>
        <v/>
      </c>
      <c r="L1681">
        <f>IF($A1681="","",IF(Wages!$G1684="",0,Wages!$G1684))</f>
        <v/>
      </c>
      <c r="M1681">
        <f>IF($A1681="","",Wages!$J1684)</f>
        <v/>
      </c>
      <c r="N1681">
        <f>IF($A1681="","",Wages!$D1684)</f>
        <v/>
      </c>
      <c r="P1681">
        <f>IF(OR(Shares!$B1684="",Shares!$C1684=""),"",Shares!$C1684)</f>
        <v/>
      </c>
      <c r="Q1681">
        <f>IF($P1681="","",Shares!$B1684)</f>
        <v/>
      </c>
      <c r="R1681">
        <f>IF($P1681="","",IFERROR(INDEX(WageParty,MATCH($Q1681,WageIds,0)),""))</f>
        <v/>
      </c>
      <c r="S1681">
        <f>IF($P1681="","",IFERROR(INDEX($F$6:$F$2005,MATCH($Q1681,WageIds,0)),""))</f>
        <v/>
      </c>
      <c r="T1681">
        <f>IF(OR($P1681="",$S1681="",$S1681="نامعتبر"),"",LEFT($S1681,4)&amp;MID($S1681,6,2)&amp;RIGHT($S1681,2)&amp;"0000"&amp;"|"&amp;"2"&amp;RIGHT("00000"&amp;1676,5))</f>
        <v/>
      </c>
      <c r="U1681">
        <f>IF($T1681="","",COUNTIFS(LdAParty,$P1681,LdAType,1,LdAKey,"&lt;"&amp;$T1681)+COUNTIFS(LdBMember,$P1681,LdBKey,"&lt;"&amp;$T1681)+COUNTIFS(LdCParty,$P1681,LdCKey,"&lt;"&amp;$T1681)+1)</f>
        <v/>
      </c>
      <c r="V1681">
        <f>IF($U1681="","",$P1681&amp;"|"&amp;RIGHT("000000"&amp;$U1681,6))</f>
        <v/>
      </c>
      <c r="W1681">
        <f>IF($T1681="","",COUNTIFS(LdBGroup,$R1681,LdBKey,"&lt;"&amp;$T1681)+1)</f>
        <v/>
      </c>
      <c r="X1681">
        <f>IF($W1681="","",$R1681&amp;"|"&amp;RIGHT("000000"&amp;$W1681,6))</f>
        <v/>
      </c>
      <c r="Y1681">
        <f>IF($P1681="","",IF(Shares!$E1684="",0,Shares!$E1684))</f>
        <v/>
      </c>
      <c r="Z1681">
        <f>IF($P1681="","",Shares!$H1684)</f>
        <v/>
      </c>
      <c r="AE1681">
        <f>IF(OR(Sync!$S1681="",Sync!$P1681=""),"",Sync!$S1681)</f>
        <v/>
      </c>
      <c r="AF1681">
        <f>IF($AE1681="","",IF(ISNUMBER(Sync!$P1681),IF(AND(Sync!$P1681&gt;=10000101,Sync!$P1681&lt;=99991231),INT(Sync!$P1681/10000),""),IFERROR(VALUE(TRIM(LEFT(Sync!$P1681,FIND("/",Sync!$P1681)-1))),"")))</f>
        <v/>
      </c>
      <c r="AG1681">
        <f>IF(OR($AE1681="",$AF1681=""),"",IF(ISNUMBER(Sync!$P1681),INT(MOD(Sync!$P1681,10000)/100),IFERROR(VALUE(TRIM(LEFT(MID(Sync!$P1681,FIND("/",Sync!$P1681)+1,20),FIND("/",MID(Sync!$P1681,FIND("/",Sync!$P1681)+1,20))-1))),"")))</f>
        <v/>
      </c>
      <c r="AH1681">
        <f>IF(OR($AE1681="",$AF1681=""),"",IF(ISNUMBER(Sync!$P1681),MOD(Sync!$P1681,100),IFERROR(VALUE(TRIM(MID(MID(Sync!$P1681,FIND("/",Sync!$P1681)+1,20),FIND("/",MID(Sync!$P1681,FIND("/",Sync!$P1681)+1,20))+1,20))),"")))</f>
        <v/>
      </c>
      <c r="AI1681">
        <f>IF($AE1681="","",IF(OR($AF1681="",$AG1681="",$AH1681="",$AF1681&lt;1300,$AF1681&gt;1500,$AG1681&lt;1,$AG1681&gt;12,$AH1681&lt;1,$AH1681&gt;31),"نامعتبر",RIGHT("0000"&amp;$AF1681,4)&amp;"/"&amp;RIGHT("00"&amp;$AG1681,2)&amp;"/"&amp;RIGHT("00"&amp;$AH1681,2)))</f>
        <v/>
      </c>
      <c r="AJ1681">
        <f>IF($AE1681="","",IF(Sync!$Q1681="","0000",IF(AND(ISNUMBER(Sync!$Q1681),Sync!$Q1681&gt;=0,Sync!$Q1681&lt;1),RIGHT("00"&amp;HOUR(Sync!$Q1681),2)&amp;RIGHT("00"&amp;MINUTE(Sync!$Q1681),2),IFERROR(RIGHT("00"&amp;VALUE(LEFT(Sync!$Q1681,FIND(":",Sync!$Q1681)-1)),2)&amp;RIGHT("00"&amp;VALUE(MID(Sync!$Q1681,FIND(":",Sync!$Q1681)+1,2)),2),"0000"))))</f>
        <v/>
      </c>
      <c r="AK1681">
        <f>IF(OR($AE1681="",$AI1681="",$AI1681="نامعتبر"),"",LEFT($AI1681,4)&amp;MID($AI1681,6,2)&amp;RIGHT($AI1681,2)&amp;$AJ1681&amp;"|"&amp;"3"&amp;RIGHT("00000"&amp;1676,5))</f>
        <v/>
      </c>
      <c r="AL1681">
        <f>IF($AK1681="","",COUNTIFS(LdAParty,$AE1681,LdAType,1,LdAKey,"&lt;"&amp;$AK1681)+COUNTIFS(LdBMember,$AE1681,LdBKey,"&lt;"&amp;$AK1681)+COUNTIFS(LdCParty,$AE1681,LdCKey,"&lt;"&amp;$AK1681)+1)</f>
        <v/>
      </c>
      <c r="AM1681">
        <f>IF($AL1681="","",$AE1681&amp;"|"&amp;RIGHT("000000"&amp;$AL1681,6))</f>
        <v/>
      </c>
      <c r="AN1681">
        <f>IF($AE1681="","",IF(Sync!$W1681="",0,Sync!$W1681))</f>
        <v/>
      </c>
      <c r="AO1681">
        <f>IF($AE1681="","",IF(Sync!$X1681="",0,Sync!$X1681))</f>
        <v/>
      </c>
      <c r="AP1681">
        <f>IF($AE1681="","",Sync!$R1681)</f>
        <v/>
      </c>
      <c r="AQ1681">
        <f>IF($AE1681="","",Sync!$Y1681)</f>
        <v/>
      </c>
    </row>
    <row r="1682">
      <c r="A1682">
        <f>IF(OR(Wages!$B1685="",Wages!$E1685=""),"",Wages!$E1685)</f>
        <v/>
      </c>
      <c r="B1682">
        <f>IF($A1682="","",IF(Wages!$C1685="دستمزد گروهی",2,1))</f>
        <v/>
      </c>
      <c r="C1682">
        <f>IF($A1682="","",IF(ISNUMBER(Wages!$B1685),IF(AND(Wages!$B1685&gt;=10000101,Wages!$B1685&lt;=99991231),INT(Wages!$B1685/10000),""),IFERROR(VALUE(TRIM(LEFT(Wages!$B1685,FIND("/",Wages!$B1685)-1))),"")))</f>
        <v/>
      </c>
      <c r="D1682">
        <f>IF(OR($A1682="",$C1682=""),"",IF(ISNUMBER(Wages!$B1685),INT(MOD(Wages!$B1685,10000)/100),IFERROR(VALUE(TRIM(LEFT(MID(Wages!$B1685,FIND("/",Wages!$B1685)+1,20),FIND("/",MID(Wages!$B1685,FIND("/",Wages!$B1685)+1,20))-1))),"")))</f>
        <v/>
      </c>
      <c r="E1682">
        <f>IF(OR($A1682="",$C1682=""),"",IF(ISNUMBER(Wages!$B1685),MOD(Wages!$B1685,100),IFERROR(VALUE(TRIM(MID(MID(Wages!$B1685,FIND("/",Wages!$B1685)+1,20),FIND("/",MID(Wages!$B1685,FIND("/",Wages!$B1685)+1,20))+1,20))),"")))</f>
        <v/>
      </c>
      <c r="F1682">
        <f>IF($A1682="","",IF(OR($C1682="",$D1682="",$E1682="",$C1682&lt;1300,$C1682&gt;1500,$D1682&lt;1,$D1682&gt;12,$E1682&lt;1,$E1682&gt;31),"نامعتبر",RIGHT("0000"&amp;$C1682,4)&amp;"/"&amp;RIGHT("00"&amp;$D1682,2)&amp;"/"&amp;RIGHT("00"&amp;$E1682,2)))</f>
        <v/>
      </c>
      <c r="G1682">
        <f>IF(OR($A1682="",$F1682="",$F1682="نامعتبر"),"",LEFT($F1682,4)&amp;MID($F1682,6,2)&amp;RIGHT($F1682,2)&amp;"0000"&amp;"|"&amp;"1"&amp;RIGHT("00000"&amp;1677,5))</f>
        <v/>
      </c>
      <c r="H1682">
        <f>IF(OR($B1682&lt;&gt;1,$G1682=""),"",COUNTIFS(LdAParty,$A1682,LdAType,1,LdAKey,"&lt;"&amp;$G1682)+COUNTIFS(LdBMember,$A1682,LdBKey,"&lt;"&amp;$G1682)+COUNTIFS(LdCParty,$A1682,LdCKey,"&lt;"&amp;$G1682)+1)</f>
        <v/>
      </c>
      <c r="I1682">
        <f>IF($H1682="","",$A1682&amp;"|"&amp;RIGHT("000000"&amp;$H1682,6))</f>
        <v/>
      </c>
      <c r="J1682">
        <f>IF(OR($B1682&lt;&gt;2,$G1682=""),"",COUNTIFS(LdAParty,$A1682,LdAType,2,LdAKey,"&lt;"&amp;$G1682)+1)</f>
        <v/>
      </c>
      <c r="K1682">
        <f>IF($J1682="","",$A1682&amp;"|"&amp;RIGHT("000000"&amp;$J1682,6))</f>
        <v/>
      </c>
      <c r="L1682">
        <f>IF($A1682="","",IF(Wages!$G1685="",0,Wages!$G1685))</f>
        <v/>
      </c>
      <c r="M1682">
        <f>IF($A1682="","",Wages!$J1685)</f>
        <v/>
      </c>
      <c r="N1682">
        <f>IF($A1682="","",Wages!$D1685)</f>
        <v/>
      </c>
      <c r="P1682">
        <f>IF(OR(Shares!$B1685="",Shares!$C1685=""),"",Shares!$C1685)</f>
        <v/>
      </c>
      <c r="Q1682">
        <f>IF($P1682="","",Shares!$B1685)</f>
        <v/>
      </c>
      <c r="R1682">
        <f>IF($P1682="","",IFERROR(INDEX(WageParty,MATCH($Q1682,WageIds,0)),""))</f>
        <v/>
      </c>
      <c r="S1682">
        <f>IF($P1682="","",IFERROR(INDEX($F$6:$F$2005,MATCH($Q1682,WageIds,0)),""))</f>
        <v/>
      </c>
      <c r="T1682">
        <f>IF(OR($P1682="",$S1682="",$S1682="نامعتبر"),"",LEFT($S1682,4)&amp;MID($S1682,6,2)&amp;RIGHT($S1682,2)&amp;"0000"&amp;"|"&amp;"2"&amp;RIGHT("00000"&amp;1677,5))</f>
        <v/>
      </c>
      <c r="U1682">
        <f>IF($T1682="","",COUNTIFS(LdAParty,$P1682,LdAType,1,LdAKey,"&lt;"&amp;$T1682)+COUNTIFS(LdBMember,$P1682,LdBKey,"&lt;"&amp;$T1682)+COUNTIFS(LdCParty,$P1682,LdCKey,"&lt;"&amp;$T1682)+1)</f>
        <v/>
      </c>
      <c r="V1682">
        <f>IF($U1682="","",$P1682&amp;"|"&amp;RIGHT("000000"&amp;$U1682,6))</f>
        <v/>
      </c>
      <c r="W1682">
        <f>IF($T1682="","",COUNTIFS(LdBGroup,$R1682,LdBKey,"&lt;"&amp;$T1682)+1)</f>
        <v/>
      </c>
      <c r="X1682">
        <f>IF($W1682="","",$R1682&amp;"|"&amp;RIGHT("000000"&amp;$W1682,6))</f>
        <v/>
      </c>
      <c r="Y1682">
        <f>IF($P1682="","",IF(Shares!$E1685="",0,Shares!$E1685))</f>
        <v/>
      </c>
      <c r="Z1682">
        <f>IF($P1682="","",Shares!$H1685)</f>
        <v/>
      </c>
      <c r="AE1682">
        <f>IF(OR(Sync!$S1682="",Sync!$P1682=""),"",Sync!$S1682)</f>
        <v/>
      </c>
      <c r="AF1682">
        <f>IF($AE1682="","",IF(ISNUMBER(Sync!$P1682),IF(AND(Sync!$P1682&gt;=10000101,Sync!$P1682&lt;=99991231),INT(Sync!$P1682/10000),""),IFERROR(VALUE(TRIM(LEFT(Sync!$P1682,FIND("/",Sync!$P1682)-1))),"")))</f>
        <v/>
      </c>
      <c r="AG1682">
        <f>IF(OR($AE1682="",$AF1682=""),"",IF(ISNUMBER(Sync!$P1682),INT(MOD(Sync!$P1682,10000)/100),IFERROR(VALUE(TRIM(LEFT(MID(Sync!$P1682,FIND("/",Sync!$P1682)+1,20),FIND("/",MID(Sync!$P1682,FIND("/",Sync!$P1682)+1,20))-1))),"")))</f>
        <v/>
      </c>
      <c r="AH1682">
        <f>IF(OR($AE1682="",$AF1682=""),"",IF(ISNUMBER(Sync!$P1682),MOD(Sync!$P1682,100),IFERROR(VALUE(TRIM(MID(MID(Sync!$P1682,FIND("/",Sync!$P1682)+1,20),FIND("/",MID(Sync!$P1682,FIND("/",Sync!$P1682)+1,20))+1,20))),"")))</f>
        <v/>
      </c>
      <c r="AI1682">
        <f>IF($AE1682="","",IF(OR($AF1682="",$AG1682="",$AH1682="",$AF1682&lt;1300,$AF1682&gt;1500,$AG1682&lt;1,$AG1682&gt;12,$AH1682&lt;1,$AH1682&gt;31),"نامعتبر",RIGHT("0000"&amp;$AF1682,4)&amp;"/"&amp;RIGHT("00"&amp;$AG1682,2)&amp;"/"&amp;RIGHT("00"&amp;$AH1682,2)))</f>
        <v/>
      </c>
      <c r="AJ1682">
        <f>IF($AE1682="","",IF(Sync!$Q1682="","0000",IF(AND(ISNUMBER(Sync!$Q1682),Sync!$Q1682&gt;=0,Sync!$Q1682&lt;1),RIGHT("00"&amp;HOUR(Sync!$Q1682),2)&amp;RIGHT("00"&amp;MINUTE(Sync!$Q1682),2),IFERROR(RIGHT("00"&amp;VALUE(LEFT(Sync!$Q1682,FIND(":",Sync!$Q1682)-1)),2)&amp;RIGHT("00"&amp;VALUE(MID(Sync!$Q1682,FIND(":",Sync!$Q1682)+1,2)),2),"0000"))))</f>
        <v/>
      </c>
      <c r="AK1682">
        <f>IF(OR($AE1682="",$AI1682="",$AI1682="نامعتبر"),"",LEFT($AI1682,4)&amp;MID($AI1682,6,2)&amp;RIGHT($AI1682,2)&amp;$AJ1682&amp;"|"&amp;"3"&amp;RIGHT("00000"&amp;1677,5))</f>
        <v/>
      </c>
      <c r="AL1682">
        <f>IF($AK1682="","",COUNTIFS(LdAParty,$AE1682,LdAType,1,LdAKey,"&lt;"&amp;$AK1682)+COUNTIFS(LdBMember,$AE1682,LdBKey,"&lt;"&amp;$AK1682)+COUNTIFS(LdCParty,$AE1682,LdCKey,"&lt;"&amp;$AK1682)+1)</f>
        <v/>
      </c>
      <c r="AM1682">
        <f>IF($AL1682="","",$AE1682&amp;"|"&amp;RIGHT("000000"&amp;$AL1682,6))</f>
        <v/>
      </c>
      <c r="AN1682">
        <f>IF($AE1682="","",IF(Sync!$W1682="",0,Sync!$W1682))</f>
        <v/>
      </c>
      <c r="AO1682">
        <f>IF($AE1682="","",IF(Sync!$X1682="",0,Sync!$X1682))</f>
        <v/>
      </c>
      <c r="AP1682">
        <f>IF($AE1682="","",Sync!$R1682)</f>
        <v/>
      </c>
      <c r="AQ1682">
        <f>IF($AE1682="","",Sync!$Y1682)</f>
        <v/>
      </c>
    </row>
    <row r="1683">
      <c r="A1683">
        <f>IF(OR(Wages!$B1686="",Wages!$E1686=""),"",Wages!$E1686)</f>
        <v/>
      </c>
      <c r="B1683">
        <f>IF($A1683="","",IF(Wages!$C1686="دستمزد گروهی",2,1))</f>
        <v/>
      </c>
      <c r="C1683">
        <f>IF($A1683="","",IF(ISNUMBER(Wages!$B1686),IF(AND(Wages!$B1686&gt;=10000101,Wages!$B1686&lt;=99991231),INT(Wages!$B1686/10000),""),IFERROR(VALUE(TRIM(LEFT(Wages!$B1686,FIND("/",Wages!$B1686)-1))),"")))</f>
        <v/>
      </c>
      <c r="D1683">
        <f>IF(OR($A1683="",$C1683=""),"",IF(ISNUMBER(Wages!$B1686),INT(MOD(Wages!$B1686,10000)/100),IFERROR(VALUE(TRIM(LEFT(MID(Wages!$B1686,FIND("/",Wages!$B1686)+1,20),FIND("/",MID(Wages!$B1686,FIND("/",Wages!$B1686)+1,20))-1))),"")))</f>
        <v/>
      </c>
      <c r="E1683">
        <f>IF(OR($A1683="",$C1683=""),"",IF(ISNUMBER(Wages!$B1686),MOD(Wages!$B1686,100),IFERROR(VALUE(TRIM(MID(MID(Wages!$B1686,FIND("/",Wages!$B1686)+1,20),FIND("/",MID(Wages!$B1686,FIND("/",Wages!$B1686)+1,20))+1,20))),"")))</f>
        <v/>
      </c>
      <c r="F1683">
        <f>IF($A1683="","",IF(OR($C1683="",$D1683="",$E1683="",$C1683&lt;1300,$C1683&gt;1500,$D1683&lt;1,$D1683&gt;12,$E1683&lt;1,$E1683&gt;31),"نامعتبر",RIGHT("0000"&amp;$C1683,4)&amp;"/"&amp;RIGHT("00"&amp;$D1683,2)&amp;"/"&amp;RIGHT("00"&amp;$E1683,2)))</f>
        <v/>
      </c>
      <c r="G1683">
        <f>IF(OR($A1683="",$F1683="",$F1683="نامعتبر"),"",LEFT($F1683,4)&amp;MID($F1683,6,2)&amp;RIGHT($F1683,2)&amp;"0000"&amp;"|"&amp;"1"&amp;RIGHT("00000"&amp;1678,5))</f>
        <v/>
      </c>
      <c r="H1683">
        <f>IF(OR($B1683&lt;&gt;1,$G1683=""),"",COUNTIFS(LdAParty,$A1683,LdAType,1,LdAKey,"&lt;"&amp;$G1683)+COUNTIFS(LdBMember,$A1683,LdBKey,"&lt;"&amp;$G1683)+COUNTIFS(LdCParty,$A1683,LdCKey,"&lt;"&amp;$G1683)+1)</f>
        <v/>
      </c>
      <c r="I1683">
        <f>IF($H1683="","",$A1683&amp;"|"&amp;RIGHT("000000"&amp;$H1683,6))</f>
        <v/>
      </c>
      <c r="J1683">
        <f>IF(OR($B1683&lt;&gt;2,$G1683=""),"",COUNTIFS(LdAParty,$A1683,LdAType,2,LdAKey,"&lt;"&amp;$G1683)+1)</f>
        <v/>
      </c>
      <c r="K1683">
        <f>IF($J1683="","",$A1683&amp;"|"&amp;RIGHT("000000"&amp;$J1683,6))</f>
        <v/>
      </c>
      <c r="L1683">
        <f>IF($A1683="","",IF(Wages!$G1686="",0,Wages!$G1686))</f>
        <v/>
      </c>
      <c r="M1683">
        <f>IF($A1683="","",Wages!$J1686)</f>
        <v/>
      </c>
      <c r="N1683">
        <f>IF($A1683="","",Wages!$D1686)</f>
        <v/>
      </c>
      <c r="P1683">
        <f>IF(OR(Shares!$B1686="",Shares!$C1686=""),"",Shares!$C1686)</f>
        <v/>
      </c>
      <c r="Q1683">
        <f>IF($P1683="","",Shares!$B1686)</f>
        <v/>
      </c>
      <c r="R1683">
        <f>IF($P1683="","",IFERROR(INDEX(WageParty,MATCH($Q1683,WageIds,0)),""))</f>
        <v/>
      </c>
      <c r="S1683">
        <f>IF($P1683="","",IFERROR(INDEX($F$6:$F$2005,MATCH($Q1683,WageIds,0)),""))</f>
        <v/>
      </c>
      <c r="T1683">
        <f>IF(OR($P1683="",$S1683="",$S1683="نامعتبر"),"",LEFT($S1683,4)&amp;MID($S1683,6,2)&amp;RIGHT($S1683,2)&amp;"0000"&amp;"|"&amp;"2"&amp;RIGHT("00000"&amp;1678,5))</f>
        <v/>
      </c>
      <c r="U1683">
        <f>IF($T1683="","",COUNTIFS(LdAParty,$P1683,LdAType,1,LdAKey,"&lt;"&amp;$T1683)+COUNTIFS(LdBMember,$P1683,LdBKey,"&lt;"&amp;$T1683)+COUNTIFS(LdCParty,$P1683,LdCKey,"&lt;"&amp;$T1683)+1)</f>
        <v/>
      </c>
      <c r="V1683">
        <f>IF($U1683="","",$P1683&amp;"|"&amp;RIGHT("000000"&amp;$U1683,6))</f>
        <v/>
      </c>
      <c r="W1683">
        <f>IF($T1683="","",COUNTIFS(LdBGroup,$R1683,LdBKey,"&lt;"&amp;$T1683)+1)</f>
        <v/>
      </c>
      <c r="X1683">
        <f>IF($W1683="","",$R1683&amp;"|"&amp;RIGHT("000000"&amp;$W1683,6))</f>
        <v/>
      </c>
      <c r="Y1683">
        <f>IF($P1683="","",IF(Shares!$E1686="",0,Shares!$E1686))</f>
        <v/>
      </c>
      <c r="Z1683">
        <f>IF($P1683="","",Shares!$H1686)</f>
        <v/>
      </c>
      <c r="AE1683">
        <f>IF(OR(Sync!$S1683="",Sync!$P1683=""),"",Sync!$S1683)</f>
        <v/>
      </c>
      <c r="AF1683">
        <f>IF($AE1683="","",IF(ISNUMBER(Sync!$P1683),IF(AND(Sync!$P1683&gt;=10000101,Sync!$P1683&lt;=99991231),INT(Sync!$P1683/10000),""),IFERROR(VALUE(TRIM(LEFT(Sync!$P1683,FIND("/",Sync!$P1683)-1))),"")))</f>
        <v/>
      </c>
      <c r="AG1683">
        <f>IF(OR($AE1683="",$AF1683=""),"",IF(ISNUMBER(Sync!$P1683),INT(MOD(Sync!$P1683,10000)/100),IFERROR(VALUE(TRIM(LEFT(MID(Sync!$P1683,FIND("/",Sync!$P1683)+1,20),FIND("/",MID(Sync!$P1683,FIND("/",Sync!$P1683)+1,20))-1))),"")))</f>
        <v/>
      </c>
      <c r="AH1683">
        <f>IF(OR($AE1683="",$AF1683=""),"",IF(ISNUMBER(Sync!$P1683),MOD(Sync!$P1683,100),IFERROR(VALUE(TRIM(MID(MID(Sync!$P1683,FIND("/",Sync!$P1683)+1,20),FIND("/",MID(Sync!$P1683,FIND("/",Sync!$P1683)+1,20))+1,20))),"")))</f>
        <v/>
      </c>
      <c r="AI1683">
        <f>IF($AE1683="","",IF(OR($AF1683="",$AG1683="",$AH1683="",$AF1683&lt;1300,$AF1683&gt;1500,$AG1683&lt;1,$AG1683&gt;12,$AH1683&lt;1,$AH1683&gt;31),"نامعتبر",RIGHT("0000"&amp;$AF1683,4)&amp;"/"&amp;RIGHT("00"&amp;$AG1683,2)&amp;"/"&amp;RIGHT("00"&amp;$AH1683,2)))</f>
        <v/>
      </c>
      <c r="AJ1683">
        <f>IF($AE1683="","",IF(Sync!$Q1683="","0000",IF(AND(ISNUMBER(Sync!$Q1683),Sync!$Q1683&gt;=0,Sync!$Q1683&lt;1),RIGHT("00"&amp;HOUR(Sync!$Q1683),2)&amp;RIGHT("00"&amp;MINUTE(Sync!$Q1683),2),IFERROR(RIGHT("00"&amp;VALUE(LEFT(Sync!$Q1683,FIND(":",Sync!$Q1683)-1)),2)&amp;RIGHT("00"&amp;VALUE(MID(Sync!$Q1683,FIND(":",Sync!$Q1683)+1,2)),2),"0000"))))</f>
        <v/>
      </c>
      <c r="AK1683">
        <f>IF(OR($AE1683="",$AI1683="",$AI1683="نامعتبر"),"",LEFT($AI1683,4)&amp;MID($AI1683,6,2)&amp;RIGHT($AI1683,2)&amp;$AJ1683&amp;"|"&amp;"3"&amp;RIGHT("00000"&amp;1678,5))</f>
        <v/>
      </c>
      <c r="AL1683">
        <f>IF($AK1683="","",COUNTIFS(LdAParty,$AE1683,LdAType,1,LdAKey,"&lt;"&amp;$AK1683)+COUNTIFS(LdBMember,$AE1683,LdBKey,"&lt;"&amp;$AK1683)+COUNTIFS(LdCParty,$AE1683,LdCKey,"&lt;"&amp;$AK1683)+1)</f>
        <v/>
      </c>
      <c r="AM1683">
        <f>IF($AL1683="","",$AE1683&amp;"|"&amp;RIGHT("000000"&amp;$AL1683,6))</f>
        <v/>
      </c>
      <c r="AN1683">
        <f>IF($AE1683="","",IF(Sync!$W1683="",0,Sync!$W1683))</f>
        <v/>
      </c>
      <c r="AO1683">
        <f>IF($AE1683="","",IF(Sync!$X1683="",0,Sync!$X1683))</f>
        <v/>
      </c>
      <c r="AP1683">
        <f>IF($AE1683="","",Sync!$R1683)</f>
        <v/>
      </c>
      <c r="AQ1683">
        <f>IF($AE1683="","",Sync!$Y1683)</f>
        <v/>
      </c>
    </row>
    <row r="1684">
      <c r="A1684">
        <f>IF(OR(Wages!$B1687="",Wages!$E1687=""),"",Wages!$E1687)</f>
        <v/>
      </c>
      <c r="B1684">
        <f>IF($A1684="","",IF(Wages!$C1687="دستمزد گروهی",2,1))</f>
        <v/>
      </c>
      <c r="C1684">
        <f>IF($A1684="","",IF(ISNUMBER(Wages!$B1687),IF(AND(Wages!$B1687&gt;=10000101,Wages!$B1687&lt;=99991231),INT(Wages!$B1687/10000),""),IFERROR(VALUE(TRIM(LEFT(Wages!$B1687,FIND("/",Wages!$B1687)-1))),"")))</f>
        <v/>
      </c>
      <c r="D1684">
        <f>IF(OR($A1684="",$C1684=""),"",IF(ISNUMBER(Wages!$B1687),INT(MOD(Wages!$B1687,10000)/100),IFERROR(VALUE(TRIM(LEFT(MID(Wages!$B1687,FIND("/",Wages!$B1687)+1,20),FIND("/",MID(Wages!$B1687,FIND("/",Wages!$B1687)+1,20))-1))),"")))</f>
        <v/>
      </c>
      <c r="E1684">
        <f>IF(OR($A1684="",$C1684=""),"",IF(ISNUMBER(Wages!$B1687),MOD(Wages!$B1687,100),IFERROR(VALUE(TRIM(MID(MID(Wages!$B1687,FIND("/",Wages!$B1687)+1,20),FIND("/",MID(Wages!$B1687,FIND("/",Wages!$B1687)+1,20))+1,20))),"")))</f>
        <v/>
      </c>
      <c r="F1684">
        <f>IF($A1684="","",IF(OR($C1684="",$D1684="",$E1684="",$C1684&lt;1300,$C1684&gt;1500,$D1684&lt;1,$D1684&gt;12,$E1684&lt;1,$E1684&gt;31),"نامعتبر",RIGHT("0000"&amp;$C1684,4)&amp;"/"&amp;RIGHT("00"&amp;$D1684,2)&amp;"/"&amp;RIGHT("00"&amp;$E1684,2)))</f>
        <v/>
      </c>
      <c r="G1684">
        <f>IF(OR($A1684="",$F1684="",$F1684="نامعتبر"),"",LEFT($F1684,4)&amp;MID($F1684,6,2)&amp;RIGHT($F1684,2)&amp;"0000"&amp;"|"&amp;"1"&amp;RIGHT("00000"&amp;1679,5))</f>
        <v/>
      </c>
      <c r="H1684">
        <f>IF(OR($B1684&lt;&gt;1,$G1684=""),"",COUNTIFS(LdAParty,$A1684,LdAType,1,LdAKey,"&lt;"&amp;$G1684)+COUNTIFS(LdBMember,$A1684,LdBKey,"&lt;"&amp;$G1684)+COUNTIFS(LdCParty,$A1684,LdCKey,"&lt;"&amp;$G1684)+1)</f>
        <v/>
      </c>
      <c r="I1684">
        <f>IF($H1684="","",$A1684&amp;"|"&amp;RIGHT("000000"&amp;$H1684,6))</f>
        <v/>
      </c>
      <c r="J1684">
        <f>IF(OR($B1684&lt;&gt;2,$G1684=""),"",COUNTIFS(LdAParty,$A1684,LdAType,2,LdAKey,"&lt;"&amp;$G1684)+1)</f>
        <v/>
      </c>
      <c r="K1684">
        <f>IF($J1684="","",$A1684&amp;"|"&amp;RIGHT("000000"&amp;$J1684,6))</f>
        <v/>
      </c>
      <c r="L1684">
        <f>IF($A1684="","",IF(Wages!$G1687="",0,Wages!$G1687))</f>
        <v/>
      </c>
      <c r="M1684">
        <f>IF($A1684="","",Wages!$J1687)</f>
        <v/>
      </c>
      <c r="N1684">
        <f>IF($A1684="","",Wages!$D1687)</f>
        <v/>
      </c>
      <c r="P1684">
        <f>IF(OR(Shares!$B1687="",Shares!$C1687=""),"",Shares!$C1687)</f>
        <v/>
      </c>
      <c r="Q1684">
        <f>IF($P1684="","",Shares!$B1687)</f>
        <v/>
      </c>
      <c r="R1684">
        <f>IF($P1684="","",IFERROR(INDEX(WageParty,MATCH($Q1684,WageIds,0)),""))</f>
        <v/>
      </c>
      <c r="S1684">
        <f>IF($P1684="","",IFERROR(INDEX($F$6:$F$2005,MATCH($Q1684,WageIds,0)),""))</f>
        <v/>
      </c>
      <c r="T1684">
        <f>IF(OR($P1684="",$S1684="",$S1684="نامعتبر"),"",LEFT($S1684,4)&amp;MID($S1684,6,2)&amp;RIGHT($S1684,2)&amp;"0000"&amp;"|"&amp;"2"&amp;RIGHT("00000"&amp;1679,5))</f>
        <v/>
      </c>
      <c r="U1684">
        <f>IF($T1684="","",COUNTIFS(LdAParty,$P1684,LdAType,1,LdAKey,"&lt;"&amp;$T1684)+COUNTIFS(LdBMember,$P1684,LdBKey,"&lt;"&amp;$T1684)+COUNTIFS(LdCParty,$P1684,LdCKey,"&lt;"&amp;$T1684)+1)</f>
        <v/>
      </c>
      <c r="V1684">
        <f>IF($U1684="","",$P1684&amp;"|"&amp;RIGHT("000000"&amp;$U1684,6))</f>
        <v/>
      </c>
      <c r="W1684">
        <f>IF($T1684="","",COUNTIFS(LdBGroup,$R1684,LdBKey,"&lt;"&amp;$T1684)+1)</f>
        <v/>
      </c>
      <c r="X1684">
        <f>IF($W1684="","",$R1684&amp;"|"&amp;RIGHT("000000"&amp;$W1684,6))</f>
        <v/>
      </c>
      <c r="Y1684">
        <f>IF($P1684="","",IF(Shares!$E1687="",0,Shares!$E1687))</f>
        <v/>
      </c>
      <c r="Z1684">
        <f>IF($P1684="","",Shares!$H1687)</f>
        <v/>
      </c>
      <c r="AE1684">
        <f>IF(OR(Sync!$S1684="",Sync!$P1684=""),"",Sync!$S1684)</f>
        <v/>
      </c>
      <c r="AF1684">
        <f>IF($AE1684="","",IF(ISNUMBER(Sync!$P1684),IF(AND(Sync!$P1684&gt;=10000101,Sync!$P1684&lt;=99991231),INT(Sync!$P1684/10000),""),IFERROR(VALUE(TRIM(LEFT(Sync!$P1684,FIND("/",Sync!$P1684)-1))),"")))</f>
        <v/>
      </c>
      <c r="AG1684">
        <f>IF(OR($AE1684="",$AF1684=""),"",IF(ISNUMBER(Sync!$P1684),INT(MOD(Sync!$P1684,10000)/100),IFERROR(VALUE(TRIM(LEFT(MID(Sync!$P1684,FIND("/",Sync!$P1684)+1,20),FIND("/",MID(Sync!$P1684,FIND("/",Sync!$P1684)+1,20))-1))),"")))</f>
        <v/>
      </c>
      <c r="AH1684">
        <f>IF(OR($AE1684="",$AF1684=""),"",IF(ISNUMBER(Sync!$P1684),MOD(Sync!$P1684,100),IFERROR(VALUE(TRIM(MID(MID(Sync!$P1684,FIND("/",Sync!$P1684)+1,20),FIND("/",MID(Sync!$P1684,FIND("/",Sync!$P1684)+1,20))+1,20))),"")))</f>
        <v/>
      </c>
      <c r="AI1684">
        <f>IF($AE1684="","",IF(OR($AF1684="",$AG1684="",$AH1684="",$AF1684&lt;1300,$AF1684&gt;1500,$AG1684&lt;1,$AG1684&gt;12,$AH1684&lt;1,$AH1684&gt;31),"نامعتبر",RIGHT("0000"&amp;$AF1684,4)&amp;"/"&amp;RIGHT("00"&amp;$AG1684,2)&amp;"/"&amp;RIGHT("00"&amp;$AH1684,2)))</f>
        <v/>
      </c>
      <c r="AJ1684">
        <f>IF($AE1684="","",IF(Sync!$Q1684="","0000",IF(AND(ISNUMBER(Sync!$Q1684),Sync!$Q1684&gt;=0,Sync!$Q1684&lt;1),RIGHT("00"&amp;HOUR(Sync!$Q1684),2)&amp;RIGHT("00"&amp;MINUTE(Sync!$Q1684),2),IFERROR(RIGHT("00"&amp;VALUE(LEFT(Sync!$Q1684,FIND(":",Sync!$Q1684)-1)),2)&amp;RIGHT("00"&amp;VALUE(MID(Sync!$Q1684,FIND(":",Sync!$Q1684)+1,2)),2),"0000"))))</f>
        <v/>
      </c>
      <c r="AK1684">
        <f>IF(OR($AE1684="",$AI1684="",$AI1684="نامعتبر"),"",LEFT($AI1684,4)&amp;MID($AI1684,6,2)&amp;RIGHT($AI1684,2)&amp;$AJ1684&amp;"|"&amp;"3"&amp;RIGHT("00000"&amp;1679,5))</f>
        <v/>
      </c>
      <c r="AL1684">
        <f>IF($AK1684="","",COUNTIFS(LdAParty,$AE1684,LdAType,1,LdAKey,"&lt;"&amp;$AK1684)+COUNTIFS(LdBMember,$AE1684,LdBKey,"&lt;"&amp;$AK1684)+COUNTIFS(LdCParty,$AE1684,LdCKey,"&lt;"&amp;$AK1684)+1)</f>
        <v/>
      </c>
      <c r="AM1684">
        <f>IF($AL1684="","",$AE1684&amp;"|"&amp;RIGHT("000000"&amp;$AL1684,6))</f>
        <v/>
      </c>
      <c r="AN1684">
        <f>IF($AE1684="","",IF(Sync!$W1684="",0,Sync!$W1684))</f>
        <v/>
      </c>
      <c r="AO1684">
        <f>IF($AE1684="","",IF(Sync!$X1684="",0,Sync!$X1684))</f>
        <v/>
      </c>
      <c r="AP1684">
        <f>IF($AE1684="","",Sync!$R1684)</f>
        <v/>
      </c>
      <c r="AQ1684">
        <f>IF($AE1684="","",Sync!$Y1684)</f>
        <v/>
      </c>
    </row>
    <row r="1685">
      <c r="A1685">
        <f>IF(OR(Wages!$B1688="",Wages!$E1688=""),"",Wages!$E1688)</f>
        <v/>
      </c>
      <c r="B1685">
        <f>IF($A1685="","",IF(Wages!$C1688="دستمزد گروهی",2,1))</f>
        <v/>
      </c>
      <c r="C1685">
        <f>IF($A1685="","",IF(ISNUMBER(Wages!$B1688),IF(AND(Wages!$B1688&gt;=10000101,Wages!$B1688&lt;=99991231),INT(Wages!$B1688/10000),""),IFERROR(VALUE(TRIM(LEFT(Wages!$B1688,FIND("/",Wages!$B1688)-1))),"")))</f>
        <v/>
      </c>
      <c r="D1685">
        <f>IF(OR($A1685="",$C1685=""),"",IF(ISNUMBER(Wages!$B1688),INT(MOD(Wages!$B1688,10000)/100),IFERROR(VALUE(TRIM(LEFT(MID(Wages!$B1688,FIND("/",Wages!$B1688)+1,20),FIND("/",MID(Wages!$B1688,FIND("/",Wages!$B1688)+1,20))-1))),"")))</f>
        <v/>
      </c>
      <c r="E1685">
        <f>IF(OR($A1685="",$C1685=""),"",IF(ISNUMBER(Wages!$B1688),MOD(Wages!$B1688,100),IFERROR(VALUE(TRIM(MID(MID(Wages!$B1688,FIND("/",Wages!$B1688)+1,20),FIND("/",MID(Wages!$B1688,FIND("/",Wages!$B1688)+1,20))+1,20))),"")))</f>
        <v/>
      </c>
      <c r="F1685">
        <f>IF($A1685="","",IF(OR($C1685="",$D1685="",$E1685="",$C1685&lt;1300,$C1685&gt;1500,$D1685&lt;1,$D1685&gt;12,$E1685&lt;1,$E1685&gt;31),"نامعتبر",RIGHT("0000"&amp;$C1685,4)&amp;"/"&amp;RIGHT("00"&amp;$D1685,2)&amp;"/"&amp;RIGHT("00"&amp;$E1685,2)))</f>
        <v/>
      </c>
      <c r="G1685">
        <f>IF(OR($A1685="",$F1685="",$F1685="نامعتبر"),"",LEFT($F1685,4)&amp;MID($F1685,6,2)&amp;RIGHT($F1685,2)&amp;"0000"&amp;"|"&amp;"1"&amp;RIGHT("00000"&amp;1680,5))</f>
        <v/>
      </c>
      <c r="H1685">
        <f>IF(OR($B1685&lt;&gt;1,$G1685=""),"",COUNTIFS(LdAParty,$A1685,LdAType,1,LdAKey,"&lt;"&amp;$G1685)+COUNTIFS(LdBMember,$A1685,LdBKey,"&lt;"&amp;$G1685)+COUNTIFS(LdCParty,$A1685,LdCKey,"&lt;"&amp;$G1685)+1)</f>
        <v/>
      </c>
      <c r="I1685">
        <f>IF($H1685="","",$A1685&amp;"|"&amp;RIGHT("000000"&amp;$H1685,6))</f>
        <v/>
      </c>
      <c r="J1685">
        <f>IF(OR($B1685&lt;&gt;2,$G1685=""),"",COUNTIFS(LdAParty,$A1685,LdAType,2,LdAKey,"&lt;"&amp;$G1685)+1)</f>
        <v/>
      </c>
      <c r="K1685">
        <f>IF($J1685="","",$A1685&amp;"|"&amp;RIGHT("000000"&amp;$J1685,6))</f>
        <v/>
      </c>
      <c r="L1685">
        <f>IF($A1685="","",IF(Wages!$G1688="",0,Wages!$G1688))</f>
        <v/>
      </c>
      <c r="M1685">
        <f>IF($A1685="","",Wages!$J1688)</f>
        <v/>
      </c>
      <c r="N1685">
        <f>IF($A1685="","",Wages!$D1688)</f>
        <v/>
      </c>
      <c r="P1685">
        <f>IF(OR(Shares!$B1688="",Shares!$C1688=""),"",Shares!$C1688)</f>
        <v/>
      </c>
      <c r="Q1685">
        <f>IF($P1685="","",Shares!$B1688)</f>
        <v/>
      </c>
      <c r="R1685">
        <f>IF($P1685="","",IFERROR(INDEX(WageParty,MATCH($Q1685,WageIds,0)),""))</f>
        <v/>
      </c>
      <c r="S1685">
        <f>IF($P1685="","",IFERROR(INDEX($F$6:$F$2005,MATCH($Q1685,WageIds,0)),""))</f>
        <v/>
      </c>
      <c r="T1685">
        <f>IF(OR($P1685="",$S1685="",$S1685="نامعتبر"),"",LEFT($S1685,4)&amp;MID($S1685,6,2)&amp;RIGHT($S1685,2)&amp;"0000"&amp;"|"&amp;"2"&amp;RIGHT("00000"&amp;1680,5))</f>
        <v/>
      </c>
      <c r="U1685">
        <f>IF($T1685="","",COUNTIFS(LdAParty,$P1685,LdAType,1,LdAKey,"&lt;"&amp;$T1685)+COUNTIFS(LdBMember,$P1685,LdBKey,"&lt;"&amp;$T1685)+COUNTIFS(LdCParty,$P1685,LdCKey,"&lt;"&amp;$T1685)+1)</f>
        <v/>
      </c>
      <c r="V1685">
        <f>IF($U1685="","",$P1685&amp;"|"&amp;RIGHT("000000"&amp;$U1685,6))</f>
        <v/>
      </c>
      <c r="W1685">
        <f>IF($T1685="","",COUNTIFS(LdBGroup,$R1685,LdBKey,"&lt;"&amp;$T1685)+1)</f>
        <v/>
      </c>
      <c r="X1685">
        <f>IF($W1685="","",$R1685&amp;"|"&amp;RIGHT("000000"&amp;$W1685,6))</f>
        <v/>
      </c>
      <c r="Y1685">
        <f>IF($P1685="","",IF(Shares!$E1688="",0,Shares!$E1688))</f>
        <v/>
      </c>
      <c r="Z1685">
        <f>IF($P1685="","",Shares!$H1688)</f>
        <v/>
      </c>
      <c r="AE1685">
        <f>IF(OR(Sync!$S1685="",Sync!$P1685=""),"",Sync!$S1685)</f>
        <v/>
      </c>
      <c r="AF1685">
        <f>IF($AE1685="","",IF(ISNUMBER(Sync!$P1685),IF(AND(Sync!$P1685&gt;=10000101,Sync!$P1685&lt;=99991231),INT(Sync!$P1685/10000),""),IFERROR(VALUE(TRIM(LEFT(Sync!$P1685,FIND("/",Sync!$P1685)-1))),"")))</f>
        <v/>
      </c>
      <c r="AG1685">
        <f>IF(OR($AE1685="",$AF1685=""),"",IF(ISNUMBER(Sync!$P1685),INT(MOD(Sync!$P1685,10000)/100),IFERROR(VALUE(TRIM(LEFT(MID(Sync!$P1685,FIND("/",Sync!$P1685)+1,20),FIND("/",MID(Sync!$P1685,FIND("/",Sync!$P1685)+1,20))-1))),"")))</f>
        <v/>
      </c>
      <c r="AH1685">
        <f>IF(OR($AE1685="",$AF1685=""),"",IF(ISNUMBER(Sync!$P1685),MOD(Sync!$P1685,100),IFERROR(VALUE(TRIM(MID(MID(Sync!$P1685,FIND("/",Sync!$P1685)+1,20),FIND("/",MID(Sync!$P1685,FIND("/",Sync!$P1685)+1,20))+1,20))),"")))</f>
        <v/>
      </c>
      <c r="AI1685">
        <f>IF($AE1685="","",IF(OR($AF1685="",$AG1685="",$AH1685="",$AF1685&lt;1300,$AF1685&gt;1500,$AG1685&lt;1,$AG1685&gt;12,$AH1685&lt;1,$AH1685&gt;31),"نامعتبر",RIGHT("0000"&amp;$AF1685,4)&amp;"/"&amp;RIGHT("00"&amp;$AG1685,2)&amp;"/"&amp;RIGHT("00"&amp;$AH1685,2)))</f>
        <v/>
      </c>
      <c r="AJ1685">
        <f>IF($AE1685="","",IF(Sync!$Q1685="","0000",IF(AND(ISNUMBER(Sync!$Q1685),Sync!$Q1685&gt;=0,Sync!$Q1685&lt;1),RIGHT("00"&amp;HOUR(Sync!$Q1685),2)&amp;RIGHT("00"&amp;MINUTE(Sync!$Q1685),2),IFERROR(RIGHT("00"&amp;VALUE(LEFT(Sync!$Q1685,FIND(":",Sync!$Q1685)-1)),2)&amp;RIGHT("00"&amp;VALUE(MID(Sync!$Q1685,FIND(":",Sync!$Q1685)+1,2)),2),"0000"))))</f>
        <v/>
      </c>
      <c r="AK1685">
        <f>IF(OR($AE1685="",$AI1685="",$AI1685="نامعتبر"),"",LEFT($AI1685,4)&amp;MID($AI1685,6,2)&amp;RIGHT($AI1685,2)&amp;$AJ1685&amp;"|"&amp;"3"&amp;RIGHT("00000"&amp;1680,5))</f>
        <v/>
      </c>
      <c r="AL1685">
        <f>IF($AK1685="","",COUNTIFS(LdAParty,$AE1685,LdAType,1,LdAKey,"&lt;"&amp;$AK1685)+COUNTIFS(LdBMember,$AE1685,LdBKey,"&lt;"&amp;$AK1685)+COUNTIFS(LdCParty,$AE1685,LdCKey,"&lt;"&amp;$AK1685)+1)</f>
        <v/>
      </c>
      <c r="AM1685">
        <f>IF($AL1685="","",$AE1685&amp;"|"&amp;RIGHT("000000"&amp;$AL1685,6))</f>
        <v/>
      </c>
      <c r="AN1685">
        <f>IF($AE1685="","",IF(Sync!$W1685="",0,Sync!$W1685))</f>
        <v/>
      </c>
      <c r="AO1685">
        <f>IF($AE1685="","",IF(Sync!$X1685="",0,Sync!$X1685))</f>
        <v/>
      </c>
      <c r="AP1685">
        <f>IF($AE1685="","",Sync!$R1685)</f>
        <v/>
      </c>
      <c r="AQ1685">
        <f>IF($AE1685="","",Sync!$Y1685)</f>
        <v/>
      </c>
    </row>
    <row r="1686">
      <c r="A1686">
        <f>IF(OR(Wages!$B1689="",Wages!$E1689=""),"",Wages!$E1689)</f>
        <v/>
      </c>
      <c r="B1686">
        <f>IF($A1686="","",IF(Wages!$C1689="دستمزد گروهی",2,1))</f>
        <v/>
      </c>
      <c r="C1686">
        <f>IF($A1686="","",IF(ISNUMBER(Wages!$B1689),IF(AND(Wages!$B1689&gt;=10000101,Wages!$B1689&lt;=99991231),INT(Wages!$B1689/10000),""),IFERROR(VALUE(TRIM(LEFT(Wages!$B1689,FIND("/",Wages!$B1689)-1))),"")))</f>
        <v/>
      </c>
      <c r="D1686">
        <f>IF(OR($A1686="",$C1686=""),"",IF(ISNUMBER(Wages!$B1689),INT(MOD(Wages!$B1689,10000)/100),IFERROR(VALUE(TRIM(LEFT(MID(Wages!$B1689,FIND("/",Wages!$B1689)+1,20),FIND("/",MID(Wages!$B1689,FIND("/",Wages!$B1689)+1,20))-1))),"")))</f>
        <v/>
      </c>
      <c r="E1686">
        <f>IF(OR($A1686="",$C1686=""),"",IF(ISNUMBER(Wages!$B1689),MOD(Wages!$B1689,100),IFERROR(VALUE(TRIM(MID(MID(Wages!$B1689,FIND("/",Wages!$B1689)+1,20),FIND("/",MID(Wages!$B1689,FIND("/",Wages!$B1689)+1,20))+1,20))),"")))</f>
        <v/>
      </c>
      <c r="F1686">
        <f>IF($A1686="","",IF(OR($C1686="",$D1686="",$E1686="",$C1686&lt;1300,$C1686&gt;1500,$D1686&lt;1,$D1686&gt;12,$E1686&lt;1,$E1686&gt;31),"نامعتبر",RIGHT("0000"&amp;$C1686,4)&amp;"/"&amp;RIGHT("00"&amp;$D1686,2)&amp;"/"&amp;RIGHT("00"&amp;$E1686,2)))</f>
        <v/>
      </c>
      <c r="G1686">
        <f>IF(OR($A1686="",$F1686="",$F1686="نامعتبر"),"",LEFT($F1686,4)&amp;MID($F1686,6,2)&amp;RIGHT($F1686,2)&amp;"0000"&amp;"|"&amp;"1"&amp;RIGHT("00000"&amp;1681,5))</f>
        <v/>
      </c>
      <c r="H1686">
        <f>IF(OR($B1686&lt;&gt;1,$G1686=""),"",COUNTIFS(LdAParty,$A1686,LdAType,1,LdAKey,"&lt;"&amp;$G1686)+COUNTIFS(LdBMember,$A1686,LdBKey,"&lt;"&amp;$G1686)+COUNTIFS(LdCParty,$A1686,LdCKey,"&lt;"&amp;$G1686)+1)</f>
        <v/>
      </c>
      <c r="I1686">
        <f>IF($H1686="","",$A1686&amp;"|"&amp;RIGHT("000000"&amp;$H1686,6))</f>
        <v/>
      </c>
      <c r="J1686">
        <f>IF(OR($B1686&lt;&gt;2,$G1686=""),"",COUNTIFS(LdAParty,$A1686,LdAType,2,LdAKey,"&lt;"&amp;$G1686)+1)</f>
        <v/>
      </c>
      <c r="K1686">
        <f>IF($J1686="","",$A1686&amp;"|"&amp;RIGHT("000000"&amp;$J1686,6))</f>
        <v/>
      </c>
      <c r="L1686">
        <f>IF($A1686="","",IF(Wages!$G1689="",0,Wages!$G1689))</f>
        <v/>
      </c>
      <c r="M1686">
        <f>IF($A1686="","",Wages!$J1689)</f>
        <v/>
      </c>
      <c r="N1686">
        <f>IF($A1686="","",Wages!$D1689)</f>
        <v/>
      </c>
      <c r="P1686">
        <f>IF(OR(Shares!$B1689="",Shares!$C1689=""),"",Shares!$C1689)</f>
        <v/>
      </c>
      <c r="Q1686">
        <f>IF($P1686="","",Shares!$B1689)</f>
        <v/>
      </c>
      <c r="R1686">
        <f>IF($P1686="","",IFERROR(INDEX(WageParty,MATCH($Q1686,WageIds,0)),""))</f>
        <v/>
      </c>
      <c r="S1686">
        <f>IF($P1686="","",IFERROR(INDEX($F$6:$F$2005,MATCH($Q1686,WageIds,0)),""))</f>
        <v/>
      </c>
      <c r="T1686">
        <f>IF(OR($P1686="",$S1686="",$S1686="نامعتبر"),"",LEFT($S1686,4)&amp;MID($S1686,6,2)&amp;RIGHT($S1686,2)&amp;"0000"&amp;"|"&amp;"2"&amp;RIGHT("00000"&amp;1681,5))</f>
        <v/>
      </c>
      <c r="U1686">
        <f>IF($T1686="","",COUNTIFS(LdAParty,$P1686,LdAType,1,LdAKey,"&lt;"&amp;$T1686)+COUNTIFS(LdBMember,$P1686,LdBKey,"&lt;"&amp;$T1686)+COUNTIFS(LdCParty,$P1686,LdCKey,"&lt;"&amp;$T1686)+1)</f>
        <v/>
      </c>
      <c r="V1686">
        <f>IF($U1686="","",$P1686&amp;"|"&amp;RIGHT("000000"&amp;$U1686,6))</f>
        <v/>
      </c>
      <c r="W1686">
        <f>IF($T1686="","",COUNTIFS(LdBGroup,$R1686,LdBKey,"&lt;"&amp;$T1686)+1)</f>
        <v/>
      </c>
      <c r="X1686">
        <f>IF($W1686="","",$R1686&amp;"|"&amp;RIGHT("000000"&amp;$W1686,6))</f>
        <v/>
      </c>
      <c r="Y1686">
        <f>IF($P1686="","",IF(Shares!$E1689="",0,Shares!$E1689))</f>
        <v/>
      </c>
      <c r="Z1686">
        <f>IF($P1686="","",Shares!$H1689)</f>
        <v/>
      </c>
      <c r="AE1686">
        <f>IF(OR(Sync!$S1686="",Sync!$P1686=""),"",Sync!$S1686)</f>
        <v/>
      </c>
      <c r="AF1686">
        <f>IF($AE1686="","",IF(ISNUMBER(Sync!$P1686),IF(AND(Sync!$P1686&gt;=10000101,Sync!$P1686&lt;=99991231),INT(Sync!$P1686/10000),""),IFERROR(VALUE(TRIM(LEFT(Sync!$P1686,FIND("/",Sync!$P1686)-1))),"")))</f>
        <v/>
      </c>
      <c r="AG1686">
        <f>IF(OR($AE1686="",$AF1686=""),"",IF(ISNUMBER(Sync!$P1686),INT(MOD(Sync!$P1686,10000)/100),IFERROR(VALUE(TRIM(LEFT(MID(Sync!$P1686,FIND("/",Sync!$P1686)+1,20),FIND("/",MID(Sync!$P1686,FIND("/",Sync!$P1686)+1,20))-1))),"")))</f>
        <v/>
      </c>
      <c r="AH1686">
        <f>IF(OR($AE1686="",$AF1686=""),"",IF(ISNUMBER(Sync!$P1686),MOD(Sync!$P1686,100),IFERROR(VALUE(TRIM(MID(MID(Sync!$P1686,FIND("/",Sync!$P1686)+1,20),FIND("/",MID(Sync!$P1686,FIND("/",Sync!$P1686)+1,20))+1,20))),"")))</f>
        <v/>
      </c>
      <c r="AI1686">
        <f>IF($AE1686="","",IF(OR($AF1686="",$AG1686="",$AH1686="",$AF1686&lt;1300,$AF1686&gt;1500,$AG1686&lt;1,$AG1686&gt;12,$AH1686&lt;1,$AH1686&gt;31),"نامعتبر",RIGHT("0000"&amp;$AF1686,4)&amp;"/"&amp;RIGHT("00"&amp;$AG1686,2)&amp;"/"&amp;RIGHT("00"&amp;$AH1686,2)))</f>
        <v/>
      </c>
      <c r="AJ1686">
        <f>IF($AE1686="","",IF(Sync!$Q1686="","0000",IF(AND(ISNUMBER(Sync!$Q1686),Sync!$Q1686&gt;=0,Sync!$Q1686&lt;1),RIGHT("00"&amp;HOUR(Sync!$Q1686),2)&amp;RIGHT("00"&amp;MINUTE(Sync!$Q1686),2),IFERROR(RIGHT("00"&amp;VALUE(LEFT(Sync!$Q1686,FIND(":",Sync!$Q1686)-1)),2)&amp;RIGHT("00"&amp;VALUE(MID(Sync!$Q1686,FIND(":",Sync!$Q1686)+1,2)),2),"0000"))))</f>
        <v/>
      </c>
      <c r="AK1686">
        <f>IF(OR($AE1686="",$AI1686="",$AI1686="نامعتبر"),"",LEFT($AI1686,4)&amp;MID($AI1686,6,2)&amp;RIGHT($AI1686,2)&amp;$AJ1686&amp;"|"&amp;"3"&amp;RIGHT("00000"&amp;1681,5))</f>
        <v/>
      </c>
      <c r="AL1686">
        <f>IF($AK1686="","",COUNTIFS(LdAParty,$AE1686,LdAType,1,LdAKey,"&lt;"&amp;$AK1686)+COUNTIFS(LdBMember,$AE1686,LdBKey,"&lt;"&amp;$AK1686)+COUNTIFS(LdCParty,$AE1686,LdCKey,"&lt;"&amp;$AK1686)+1)</f>
        <v/>
      </c>
      <c r="AM1686">
        <f>IF($AL1686="","",$AE1686&amp;"|"&amp;RIGHT("000000"&amp;$AL1686,6))</f>
        <v/>
      </c>
      <c r="AN1686">
        <f>IF($AE1686="","",IF(Sync!$W1686="",0,Sync!$W1686))</f>
        <v/>
      </c>
      <c r="AO1686">
        <f>IF($AE1686="","",IF(Sync!$X1686="",0,Sync!$X1686))</f>
        <v/>
      </c>
      <c r="AP1686">
        <f>IF($AE1686="","",Sync!$R1686)</f>
        <v/>
      </c>
      <c r="AQ1686">
        <f>IF($AE1686="","",Sync!$Y1686)</f>
        <v/>
      </c>
    </row>
    <row r="1687">
      <c r="A1687">
        <f>IF(OR(Wages!$B1690="",Wages!$E1690=""),"",Wages!$E1690)</f>
        <v/>
      </c>
      <c r="B1687">
        <f>IF($A1687="","",IF(Wages!$C1690="دستمزد گروهی",2,1))</f>
        <v/>
      </c>
      <c r="C1687">
        <f>IF($A1687="","",IF(ISNUMBER(Wages!$B1690),IF(AND(Wages!$B1690&gt;=10000101,Wages!$B1690&lt;=99991231),INT(Wages!$B1690/10000),""),IFERROR(VALUE(TRIM(LEFT(Wages!$B1690,FIND("/",Wages!$B1690)-1))),"")))</f>
        <v/>
      </c>
      <c r="D1687">
        <f>IF(OR($A1687="",$C1687=""),"",IF(ISNUMBER(Wages!$B1690),INT(MOD(Wages!$B1690,10000)/100),IFERROR(VALUE(TRIM(LEFT(MID(Wages!$B1690,FIND("/",Wages!$B1690)+1,20),FIND("/",MID(Wages!$B1690,FIND("/",Wages!$B1690)+1,20))-1))),"")))</f>
        <v/>
      </c>
      <c r="E1687">
        <f>IF(OR($A1687="",$C1687=""),"",IF(ISNUMBER(Wages!$B1690),MOD(Wages!$B1690,100),IFERROR(VALUE(TRIM(MID(MID(Wages!$B1690,FIND("/",Wages!$B1690)+1,20),FIND("/",MID(Wages!$B1690,FIND("/",Wages!$B1690)+1,20))+1,20))),"")))</f>
        <v/>
      </c>
      <c r="F1687">
        <f>IF($A1687="","",IF(OR($C1687="",$D1687="",$E1687="",$C1687&lt;1300,$C1687&gt;1500,$D1687&lt;1,$D1687&gt;12,$E1687&lt;1,$E1687&gt;31),"نامعتبر",RIGHT("0000"&amp;$C1687,4)&amp;"/"&amp;RIGHT("00"&amp;$D1687,2)&amp;"/"&amp;RIGHT("00"&amp;$E1687,2)))</f>
        <v/>
      </c>
      <c r="G1687">
        <f>IF(OR($A1687="",$F1687="",$F1687="نامعتبر"),"",LEFT($F1687,4)&amp;MID($F1687,6,2)&amp;RIGHT($F1687,2)&amp;"0000"&amp;"|"&amp;"1"&amp;RIGHT("00000"&amp;1682,5))</f>
        <v/>
      </c>
      <c r="H1687">
        <f>IF(OR($B1687&lt;&gt;1,$G1687=""),"",COUNTIFS(LdAParty,$A1687,LdAType,1,LdAKey,"&lt;"&amp;$G1687)+COUNTIFS(LdBMember,$A1687,LdBKey,"&lt;"&amp;$G1687)+COUNTIFS(LdCParty,$A1687,LdCKey,"&lt;"&amp;$G1687)+1)</f>
        <v/>
      </c>
      <c r="I1687">
        <f>IF($H1687="","",$A1687&amp;"|"&amp;RIGHT("000000"&amp;$H1687,6))</f>
        <v/>
      </c>
      <c r="J1687">
        <f>IF(OR($B1687&lt;&gt;2,$G1687=""),"",COUNTIFS(LdAParty,$A1687,LdAType,2,LdAKey,"&lt;"&amp;$G1687)+1)</f>
        <v/>
      </c>
      <c r="K1687">
        <f>IF($J1687="","",$A1687&amp;"|"&amp;RIGHT("000000"&amp;$J1687,6))</f>
        <v/>
      </c>
      <c r="L1687">
        <f>IF($A1687="","",IF(Wages!$G1690="",0,Wages!$G1690))</f>
        <v/>
      </c>
      <c r="M1687">
        <f>IF($A1687="","",Wages!$J1690)</f>
        <v/>
      </c>
      <c r="N1687">
        <f>IF($A1687="","",Wages!$D1690)</f>
        <v/>
      </c>
      <c r="P1687">
        <f>IF(OR(Shares!$B1690="",Shares!$C1690=""),"",Shares!$C1690)</f>
        <v/>
      </c>
      <c r="Q1687">
        <f>IF($P1687="","",Shares!$B1690)</f>
        <v/>
      </c>
      <c r="R1687">
        <f>IF($P1687="","",IFERROR(INDEX(WageParty,MATCH($Q1687,WageIds,0)),""))</f>
        <v/>
      </c>
      <c r="S1687">
        <f>IF($P1687="","",IFERROR(INDEX($F$6:$F$2005,MATCH($Q1687,WageIds,0)),""))</f>
        <v/>
      </c>
      <c r="T1687">
        <f>IF(OR($P1687="",$S1687="",$S1687="نامعتبر"),"",LEFT($S1687,4)&amp;MID($S1687,6,2)&amp;RIGHT($S1687,2)&amp;"0000"&amp;"|"&amp;"2"&amp;RIGHT("00000"&amp;1682,5))</f>
        <v/>
      </c>
      <c r="U1687">
        <f>IF($T1687="","",COUNTIFS(LdAParty,$P1687,LdAType,1,LdAKey,"&lt;"&amp;$T1687)+COUNTIFS(LdBMember,$P1687,LdBKey,"&lt;"&amp;$T1687)+COUNTIFS(LdCParty,$P1687,LdCKey,"&lt;"&amp;$T1687)+1)</f>
        <v/>
      </c>
      <c r="V1687">
        <f>IF($U1687="","",$P1687&amp;"|"&amp;RIGHT("000000"&amp;$U1687,6))</f>
        <v/>
      </c>
      <c r="W1687">
        <f>IF($T1687="","",COUNTIFS(LdBGroup,$R1687,LdBKey,"&lt;"&amp;$T1687)+1)</f>
        <v/>
      </c>
      <c r="X1687">
        <f>IF($W1687="","",$R1687&amp;"|"&amp;RIGHT("000000"&amp;$W1687,6))</f>
        <v/>
      </c>
      <c r="Y1687">
        <f>IF($P1687="","",IF(Shares!$E1690="",0,Shares!$E1690))</f>
        <v/>
      </c>
      <c r="Z1687">
        <f>IF($P1687="","",Shares!$H1690)</f>
        <v/>
      </c>
      <c r="AE1687">
        <f>IF(OR(Sync!$S1687="",Sync!$P1687=""),"",Sync!$S1687)</f>
        <v/>
      </c>
      <c r="AF1687">
        <f>IF($AE1687="","",IF(ISNUMBER(Sync!$P1687),IF(AND(Sync!$P1687&gt;=10000101,Sync!$P1687&lt;=99991231),INT(Sync!$P1687/10000),""),IFERROR(VALUE(TRIM(LEFT(Sync!$P1687,FIND("/",Sync!$P1687)-1))),"")))</f>
        <v/>
      </c>
      <c r="AG1687">
        <f>IF(OR($AE1687="",$AF1687=""),"",IF(ISNUMBER(Sync!$P1687),INT(MOD(Sync!$P1687,10000)/100),IFERROR(VALUE(TRIM(LEFT(MID(Sync!$P1687,FIND("/",Sync!$P1687)+1,20),FIND("/",MID(Sync!$P1687,FIND("/",Sync!$P1687)+1,20))-1))),"")))</f>
        <v/>
      </c>
      <c r="AH1687">
        <f>IF(OR($AE1687="",$AF1687=""),"",IF(ISNUMBER(Sync!$P1687),MOD(Sync!$P1687,100),IFERROR(VALUE(TRIM(MID(MID(Sync!$P1687,FIND("/",Sync!$P1687)+1,20),FIND("/",MID(Sync!$P1687,FIND("/",Sync!$P1687)+1,20))+1,20))),"")))</f>
        <v/>
      </c>
      <c r="AI1687">
        <f>IF($AE1687="","",IF(OR($AF1687="",$AG1687="",$AH1687="",$AF1687&lt;1300,$AF1687&gt;1500,$AG1687&lt;1,$AG1687&gt;12,$AH1687&lt;1,$AH1687&gt;31),"نامعتبر",RIGHT("0000"&amp;$AF1687,4)&amp;"/"&amp;RIGHT("00"&amp;$AG1687,2)&amp;"/"&amp;RIGHT("00"&amp;$AH1687,2)))</f>
        <v/>
      </c>
      <c r="AJ1687">
        <f>IF($AE1687="","",IF(Sync!$Q1687="","0000",IF(AND(ISNUMBER(Sync!$Q1687),Sync!$Q1687&gt;=0,Sync!$Q1687&lt;1),RIGHT("00"&amp;HOUR(Sync!$Q1687),2)&amp;RIGHT("00"&amp;MINUTE(Sync!$Q1687),2),IFERROR(RIGHT("00"&amp;VALUE(LEFT(Sync!$Q1687,FIND(":",Sync!$Q1687)-1)),2)&amp;RIGHT("00"&amp;VALUE(MID(Sync!$Q1687,FIND(":",Sync!$Q1687)+1,2)),2),"0000"))))</f>
        <v/>
      </c>
      <c r="AK1687">
        <f>IF(OR($AE1687="",$AI1687="",$AI1687="نامعتبر"),"",LEFT($AI1687,4)&amp;MID($AI1687,6,2)&amp;RIGHT($AI1687,2)&amp;$AJ1687&amp;"|"&amp;"3"&amp;RIGHT("00000"&amp;1682,5))</f>
        <v/>
      </c>
      <c r="AL1687">
        <f>IF($AK1687="","",COUNTIFS(LdAParty,$AE1687,LdAType,1,LdAKey,"&lt;"&amp;$AK1687)+COUNTIFS(LdBMember,$AE1687,LdBKey,"&lt;"&amp;$AK1687)+COUNTIFS(LdCParty,$AE1687,LdCKey,"&lt;"&amp;$AK1687)+1)</f>
        <v/>
      </c>
      <c r="AM1687">
        <f>IF($AL1687="","",$AE1687&amp;"|"&amp;RIGHT("000000"&amp;$AL1687,6))</f>
        <v/>
      </c>
      <c r="AN1687">
        <f>IF($AE1687="","",IF(Sync!$W1687="",0,Sync!$W1687))</f>
        <v/>
      </c>
      <c r="AO1687">
        <f>IF($AE1687="","",IF(Sync!$X1687="",0,Sync!$X1687))</f>
        <v/>
      </c>
      <c r="AP1687">
        <f>IF($AE1687="","",Sync!$R1687)</f>
        <v/>
      </c>
      <c r="AQ1687">
        <f>IF($AE1687="","",Sync!$Y1687)</f>
        <v/>
      </c>
    </row>
    <row r="1688">
      <c r="A1688">
        <f>IF(OR(Wages!$B1691="",Wages!$E1691=""),"",Wages!$E1691)</f>
        <v/>
      </c>
      <c r="B1688">
        <f>IF($A1688="","",IF(Wages!$C1691="دستمزد گروهی",2,1))</f>
        <v/>
      </c>
      <c r="C1688">
        <f>IF($A1688="","",IF(ISNUMBER(Wages!$B1691),IF(AND(Wages!$B1691&gt;=10000101,Wages!$B1691&lt;=99991231),INT(Wages!$B1691/10000),""),IFERROR(VALUE(TRIM(LEFT(Wages!$B1691,FIND("/",Wages!$B1691)-1))),"")))</f>
        <v/>
      </c>
      <c r="D1688">
        <f>IF(OR($A1688="",$C1688=""),"",IF(ISNUMBER(Wages!$B1691),INT(MOD(Wages!$B1691,10000)/100),IFERROR(VALUE(TRIM(LEFT(MID(Wages!$B1691,FIND("/",Wages!$B1691)+1,20),FIND("/",MID(Wages!$B1691,FIND("/",Wages!$B1691)+1,20))-1))),"")))</f>
        <v/>
      </c>
      <c r="E1688">
        <f>IF(OR($A1688="",$C1688=""),"",IF(ISNUMBER(Wages!$B1691),MOD(Wages!$B1691,100),IFERROR(VALUE(TRIM(MID(MID(Wages!$B1691,FIND("/",Wages!$B1691)+1,20),FIND("/",MID(Wages!$B1691,FIND("/",Wages!$B1691)+1,20))+1,20))),"")))</f>
        <v/>
      </c>
      <c r="F1688">
        <f>IF($A1688="","",IF(OR($C1688="",$D1688="",$E1688="",$C1688&lt;1300,$C1688&gt;1500,$D1688&lt;1,$D1688&gt;12,$E1688&lt;1,$E1688&gt;31),"نامعتبر",RIGHT("0000"&amp;$C1688,4)&amp;"/"&amp;RIGHT("00"&amp;$D1688,2)&amp;"/"&amp;RIGHT("00"&amp;$E1688,2)))</f>
        <v/>
      </c>
      <c r="G1688">
        <f>IF(OR($A1688="",$F1688="",$F1688="نامعتبر"),"",LEFT($F1688,4)&amp;MID($F1688,6,2)&amp;RIGHT($F1688,2)&amp;"0000"&amp;"|"&amp;"1"&amp;RIGHT("00000"&amp;1683,5))</f>
        <v/>
      </c>
      <c r="H1688">
        <f>IF(OR($B1688&lt;&gt;1,$G1688=""),"",COUNTIFS(LdAParty,$A1688,LdAType,1,LdAKey,"&lt;"&amp;$G1688)+COUNTIFS(LdBMember,$A1688,LdBKey,"&lt;"&amp;$G1688)+COUNTIFS(LdCParty,$A1688,LdCKey,"&lt;"&amp;$G1688)+1)</f>
        <v/>
      </c>
      <c r="I1688">
        <f>IF($H1688="","",$A1688&amp;"|"&amp;RIGHT("000000"&amp;$H1688,6))</f>
        <v/>
      </c>
      <c r="J1688">
        <f>IF(OR($B1688&lt;&gt;2,$G1688=""),"",COUNTIFS(LdAParty,$A1688,LdAType,2,LdAKey,"&lt;"&amp;$G1688)+1)</f>
        <v/>
      </c>
      <c r="K1688">
        <f>IF($J1688="","",$A1688&amp;"|"&amp;RIGHT("000000"&amp;$J1688,6))</f>
        <v/>
      </c>
      <c r="L1688">
        <f>IF($A1688="","",IF(Wages!$G1691="",0,Wages!$G1691))</f>
        <v/>
      </c>
      <c r="M1688">
        <f>IF($A1688="","",Wages!$J1691)</f>
        <v/>
      </c>
      <c r="N1688">
        <f>IF($A1688="","",Wages!$D1691)</f>
        <v/>
      </c>
      <c r="P1688">
        <f>IF(OR(Shares!$B1691="",Shares!$C1691=""),"",Shares!$C1691)</f>
        <v/>
      </c>
      <c r="Q1688">
        <f>IF($P1688="","",Shares!$B1691)</f>
        <v/>
      </c>
      <c r="R1688">
        <f>IF($P1688="","",IFERROR(INDEX(WageParty,MATCH($Q1688,WageIds,0)),""))</f>
        <v/>
      </c>
      <c r="S1688">
        <f>IF($P1688="","",IFERROR(INDEX($F$6:$F$2005,MATCH($Q1688,WageIds,0)),""))</f>
        <v/>
      </c>
      <c r="T1688">
        <f>IF(OR($P1688="",$S1688="",$S1688="نامعتبر"),"",LEFT($S1688,4)&amp;MID($S1688,6,2)&amp;RIGHT($S1688,2)&amp;"0000"&amp;"|"&amp;"2"&amp;RIGHT("00000"&amp;1683,5))</f>
        <v/>
      </c>
      <c r="U1688">
        <f>IF($T1688="","",COUNTIFS(LdAParty,$P1688,LdAType,1,LdAKey,"&lt;"&amp;$T1688)+COUNTIFS(LdBMember,$P1688,LdBKey,"&lt;"&amp;$T1688)+COUNTIFS(LdCParty,$P1688,LdCKey,"&lt;"&amp;$T1688)+1)</f>
        <v/>
      </c>
      <c r="V1688">
        <f>IF($U1688="","",$P1688&amp;"|"&amp;RIGHT("000000"&amp;$U1688,6))</f>
        <v/>
      </c>
      <c r="W1688">
        <f>IF($T1688="","",COUNTIFS(LdBGroup,$R1688,LdBKey,"&lt;"&amp;$T1688)+1)</f>
        <v/>
      </c>
      <c r="X1688">
        <f>IF($W1688="","",$R1688&amp;"|"&amp;RIGHT("000000"&amp;$W1688,6))</f>
        <v/>
      </c>
      <c r="Y1688">
        <f>IF($P1688="","",IF(Shares!$E1691="",0,Shares!$E1691))</f>
        <v/>
      </c>
      <c r="Z1688">
        <f>IF($P1688="","",Shares!$H1691)</f>
        <v/>
      </c>
      <c r="AE1688">
        <f>IF(OR(Sync!$S1688="",Sync!$P1688=""),"",Sync!$S1688)</f>
        <v/>
      </c>
      <c r="AF1688">
        <f>IF($AE1688="","",IF(ISNUMBER(Sync!$P1688),IF(AND(Sync!$P1688&gt;=10000101,Sync!$P1688&lt;=99991231),INT(Sync!$P1688/10000),""),IFERROR(VALUE(TRIM(LEFT(Sync!$P1688,FIND("/",Sync!$P1688)-1))),"")))</f>
        <v/>
      </c>
      <c r="AG1688">
        <f>IF(OR($AE1688="",$AF1688=""),"",IF(ISNUMBER(Sync!$P1688),INT(MOD(Sync!$P1688,10000)/100),IFERROR(VALUE(TRIM(LEFT(MID(Sync!$P1688,FIND("/",Sync!$P1688)+1,20),FIND("/",MID(Sync!$P1688,FIND("/",Sync!$P1688)+1,20))-1))),"")))</f>
        <v/>
      </c>
      <c r="AH1688">
        <f>IF(OR($AE1688="",$AF1688=""),"",IF(ISNUMBER(Sync!$P1688),MOD(Sync!$P1688,100),IFERROR(VALUE(TRIM(MID(MID(Sync!$P1688,FIND("/",Sync!$P1688)+1,20),FIND("/",MID(Sync!$P1688,FIND("/",Sync!$P1688)+1,20))+1,20))),"")))</f>
        <v/>
      </c>
      <c r="AI1688">
        <f>IF($AE1688="","",IF(OR($AF1688="",$AG1688="",$AH1688="",$AF1688&lt;1300,$AF1688&gt;1500,$AG1688&lt;1,$AG1688&gt;12,$AH1688&lt;1,$AH1688&gt;31),"نامعتبر",RIGHT("0000"&amp;$AF1688,4)&amp;"/"&amp;RIGHT("00"&amp;$AG1688,2)&amp;"/"&amp;RIGHT("00"&amp;$AH1688,2)))</f>
        <v/>
      </c>
      <c r="AJ1688">
        <f>IF($AE1688="","",IF(Sync!$Q1688="","0000",IF(AND(ISNUMBER(Sync!$Q1688),Sync!$Q1688&gt;=0,Sync!$Q1688&lt;1),RIGHT("00"&amp;HOUR(Sync!$Q1688),2)&amp;RIGHT("00"&amp;MINUTE(Sync!$Q1688),2),IFERROR(RIGHT("00"&amp;VALUE(LEFT(Sync!$Q1688,FIND(":",Sync!$Q1688)-1)),2)&amp;RIGHT("00"&amp;VALUE(MID(Sync!$Q1688,FIND(":",Sync!$Q1688)+1,2)),2),"0000"))))</f>
        <v/>
      </c>
      <c r="AK1688">
        <f>IF(OR($AE1688="",$AI1688="",$AI1688="نامعتبر"),"",LEFT($AI1688,4)&amp;MID($AI1688,6,2)&amp;RIGHT($AI1688,2)&amp;$AJ1688&amp;"|"&amp;"3"&amp;RIGHT("00000"&amp;1683,5))</f>
        <v/>
      </c>
      <c r="AL1688">
        <f>IF($AK1688="","",COUNTIFS(LdAParty,$AE1688,LdAType,1,LdAKey,"&lt;"&amp;$AK1688)+COUNTIFS(LdBMember,$AE1688,LdBKey,"&lt;"&amp;$AK1688)+COUNTIFS(LdCParty,$AE1688,LdCKey,"&lt;"&amp;$AK1688)+1)</f>
        <v/>
      </c>
      <c r="AM1688">
        <f>IF($AL1688="","",$AE1688&amp;"|"&amp;RIGHT("000000"&amp;$AL1688,6))</f>
        <v/>
      </c>
      <c r="AN1688">
        <f>IF($AE1688="","",IF(Sync!$W1688="",0,Sync!$W1688))</f>
        <v/>
      </c>
      <c r="AO1688">
        <f>IF($AE1688="","",IF(Sync!$X1688="",0,Sync!$X1688))</f>
        <v/>
      </c>
      <c r="AP1688">
        <f>IF($AE1688="","",Sync!$R1688)</f>
        <v/>
      </c>
      <c r="AQ1688">
        <f>IF($AE1688="","",Sync!$Y1688)</f>
        <v/>
      </c>
    </row>
    <row r="1689">
      <c r="A1689">
        <f>IF(OR(Wages!$B1692="",Wages!$E1692=""),"",Wages!$E1692)</f>
        <v/>
      </c>
      <c r="B1689">
        <f>IF($A1689="","",IF(Wages!$C1692="دستمزد گروهی",2,1))</f>
        <v/>
      </c>
      <c r="C1689">
        <f>IF($A1689="","",IF(ISNUMBER(Wages!$B1692),IF(AND(Wages!$B1692&gt;=10000101,Wages!$B1692&lt;=99991231),INT(Wages!$B1692/10000),""),IFERROR(VALUE(TRIM(LEFT(Wages!$B1692,FIND("/",Wages!$B1692)-1))),"")))</f>
        <v/>
      </c>
      <c r="D1689">
        <f>IF(OR($A1689="",$C1689=""),"",IF(ISNUMBER(Wages!$B1692),INT(MOD(Wages!$B1692,10000)/100),IFERROR(VALUE(TRIM(LEFT(MID(Wages!$B1692,FIND("/",Wages!$B1692)+1,20),FIND("/",MID(Wages!$B1692,FIND("/",Wages!$B1692)+1,20))-1))),"")))</f>
        <v/>
      </c>
      <c r="E1689">
        <f>IF(OR($A1689="",$C1689=""),"",IF(ISNUMBER(Wages!$B1692),MOD(Wages!$B1692,100),IFERROR(VALUE(TRIM(MID(MID(Wages!$B1692,FIND("/",Wages!$B1692)+1,20),FIND("/",MID(Wages!$B1692,FIND("/",Wages!$B1692)+1,20))+1,20))),"")))</f>
        <v/>
      </c>
      <c r="F1689">
        <f>IF($A1689="","",IF(OR($C1689="",$D1689="",$E1689="",$C1689&lt;1300,$C1689&gt;1500,$D1689&lt;1,$D1689&gt;12,$E1689&lt;1,$E1689&gt;31),"نامعتبر",RIGHT("0000"&amp;$C1689,4)&amp;"/"&amp;RIGHT("00"&amp;$D1689,2)&amp;"/"&amp;RIGHT("00"&amp;$E1689,2)))</f>
        <v/>
      </c>
      <c r="G1689">
        <f>IF(OR($A1689="",$F1689="",$F1689="نامعتبر"),"",LEFT($F1689,4)&amp;MID($F1689,6,2)&amp;RIGHT($F1689,2)&amp;"0000"&amp;"|"&amp;"1"&amp;RIGHT("00000"&amp;1684,5))</f>
        <v/>
      </c>
      <c r="H1689">
        <f>IF(OR($B1689&lt;&gt;1,$G1689=""),"",COUNTIFS(LdAParty,$A1689,LdAType,1,LdAKey,"&lt;"&amp;$G1689)+COUNTIFS(LdBMember,$A1689,LdBKey,"&lt;"&amp;$G1689)+COUNTIFS(LdCParty,$A1689,LdCKey,"&lt;"&amp;$G1689)+1)</f>
        <v/>
      </c>
      <c r="I1689">
        <f>IF($H1689="","",$A1689&amp;"|"&amp;RIGHT("000000"&amp;$H1689,6))</f>
        <v/>
      </c>
      <c r="J1689">
        <f>IF(OR($B1689&lt;&gt;2,$G1689=""),"",COUNTIFS(LdAParty,$A1689,LdAType,2,LdAKey,"&lt;"&amp;$G1689)+1)</f>
        <v/>
      </c>
      <c r="K1689">
        <f>IF($J1689="","",$A1689&amp;"|"&amp;RIGHT("000000"&amp;$J1689,6))</f>
        <v/>
      </c>
      <c r="L1689">
        <f>IF($A1689="","",IF(Wages!$G1692="",0,Wages!$G1692))</f>
        <v/>
      </c>
      <c r="M1689">
        <f>IF($A1689="","",Wages!$J1692)</f>
        <v/>
      </c>
      <c r="N1689">
        <f>IF($A1689="","",Wages!$D1692)</f>
        <v/>
      </c>
      <c r="P1689">
        <f>IF(OR(Shares!$B1692="",Shares!$C1692=""),"",Shares!$C1692)</f>
        <v/>
      </c>
      <c r="Q1689">
        <f>IF($P1689="","",Shares!$B1692)</f>
        <v/>
      </c>
      <c r="R1689">
        <f>IF($P1689="","",IFERROR(INDEX(WageParty,MATCH($Q1689,WageIds,0)),""))</f>
        <v/>
      </c>
      <c r="S1689">
        <f>IF($P1689="","",IFERROR(INDEX($F$6:$F$2005,MATCH($Q1689,WageIds,0)),""))</f>
        <v/>
      </c>
      <c r="T1689">
        <f>IF(OR($P1689="",$S1689="",$S1689="نامعتبر"),"",LEFT($S1689,4)&amp;MID($S1689,6,2)&amp;RIGHT($S1689,2)&amp;"0000"&amp;"|"&amp;"2"&amp;RIGHT("00000"&amp;1684,5))</f>
        <v/>
      </c>
      <c r="U1689">
        <f>IF($T1689="","",COUNTIFS(LdAParty,$P1689,LdAType,1,LdAKey,"&lt;"&amp;$T1689)+COUNTIFS(LdBMember,$P1689,LdBKey,"&lt;"&amp;$T1689)+COUNTIFS(LdCParty,$P1689,LdCKey,"&lt;"&amp;$T1689)+1)</f>
        <v/>
      </c>
      <c r="V1689">
        <f>IF($U1689="","",$P1689&amp;"|"&amp;RIGHT("000000"&amp;$U1689,6))</f>
        <v/>
      </c>
      <c r="W1689">
        <f>IF($T1689="","",COUNTIFS(LdBGroup,$R1689,LdBKey,"&lt;"&amp;$T1689)+1)</f>
        <v/>
      </c>
      <c r="X1689">
        <f>IF($W1689="","",$R1689&amp;"|"&amp;RIGHT("000000"&amp;$W1689,6))</f>
        <v/>
      </c>
      <c r="Y1689">
        <f>IF($P1689="","",IF(Shares!$E1692="",0,Shares!$E1692))</f>
        <v/>
      </c>
      <c r="Z1689">
        <f>IF($P1689="","",Shares!$H1692)</f>
        <v/>
      </c>
      <c r="AE1689">
        <f>IF(OR(Sync!$S1689="",Sync!$P1689=""),"",Sync!$S1689)</f>
        <v/>
      </c>
      <c r="AF1689">
        <f>IF($AE1689="","",IF(ISNUMBER(Sync!$P1689),IF(AND(Sync!$P1689&gt;=10000101,Sync!$P1689&lt;=99991231),INT(Sync!$P1689/10000),""),IFERROR(VALUE(TRIM(LEFT(Sync!$P1689,FIND("/",Sync!$P1689)-1))),"")))</f>
        <v/>
      </c>
      <c r="AG1689">
        <f>IF(OR($AE1689="",$AF1689=""),"",IF(ISNUMBER(Sync!$P1689),INT(MOD(Sync!$P1689,10000)/100),IFERROR(VALUE(TRIM(LEFT(MID(Sync!$P1689,FIND("/",Sync!$P1689)+1,20),FIND("/",MID(Sync!$P1689,FIND("/",Sync!$P1689)+1,20))-1))),"")))</f>
        <v/>
      </c>
      <c r="AH1689">
        <f>IF(OR($AE1689="",$AF1689=""),"",IF(ISNUMBER(Sync!$P1689),MOD(Sync!$P1689,100),IFERROR(VALUE(TRIM(MID(MID(Sync!$P1689,FIND("/",Sync!$P1689)+1,20),FIND("/",MID(Sync!$P1689,FIND("/",Sync!$P1689)+1,20))+1,20))),"")))</f>
        <v/>
      </c>
      <c r="AI1689">
        <f>IF($AE1689="","",IF(OR($AF1689="",$AG1689="",$AH1689="",$AF1689&lt;1300,$AF1689&gt;1500,$AG1689&lt;1,$AG1689&gt;12,$AH1689&lt;1,$AH1689&gt;31),"نامعتبر",RIGHT("0000"&amp;$AF1689,4)&amp;"/"&amp;RIGHT("00"&amp;$AG1689,2)&amp;"/"&amp;RIGHT("00"&amp;$AH1689,2)))</f>
        <v/>
      </c>
      <c r="AJ1689">
        <f>IF($AE1689="","",IF(Sync!$Q1689="","0000",IF(AND(ISNUMBER(Sync!$Q1689),Sync!$Q1689&gt;=0,Sync!$Q1689&lt;1),RIGHT("00"&amp;HOUR(Sync!$Q1689),2)&amp;RIGHT("00"&amp;MINUTE(Sync!$Q1689),2),IFERROR(RIGHT("00"&amp;VALUE(LEFT(Sync!$Q1689,FIND(":",Sync!$Q1689)-1)),2)&amp;RIGHT("00"&amp;VALUE(MID(Sync!$Q1689,FIND(":",Sync!$Q1689)+1,2)),2),"0000"))))</f>
        <v/>
      </c>
      <c r="AK1689">
        <f>IF(OR($AE1689="",$AI1689="",$AI1689="نامعتبر"),"",LEFT($AI1689,4)&amp;MID($AI1689,6,2)&amp;RIGHT($AI1689,2)&amp;$AJ1689&amp;"|"&amp;"3"&amp;RIGHT("00000"&amp;1684,5))</f>
        <v/>
      </c>
      <c r="AL1689">
        <f>IF($AK1689="","",COUNTIFS(LdAParty,$AE1689,LdAType,1,LdAKey,"&lt;"&amp;$AK1689)+COUNTIFS(LdBMember,$AE1689,LdBKey,"&lt;"&amp;$AK1689)+COUNTIFS(LdCParty,$AE1689,LdCKey,"&lt;"&amp;$AK1689)+1)</f>
        <v/>
      </c>
      <c r="AM1689">
        <f>IF($AL1689="","",$AE1689&amp;"|"&amp;RIGHT("000000"&amp;$AL1689,6))</f>
        <v/>
      </c>
      <c r="AN1689">
        <f>IF($AE1689="","",IF(Sync!$W1689="",0,Sync!$W1689))</f>
        <v/>
      </c>
      <c r="AO1689">
        <f>IF($AE1689="","",IF(Sync!$X1689="",0,Sync!$X1689))</f>
        <v/>
      </c>
      <c r="AP1689">
        <f>IF($AE1689="","",Sync!$R1689)</f>
        <v/>
      </c>
      <c r="AQ1689">
        <f>IF($AE1689="","",Sync!$Y1689)</f>
        <v/>
      </c>
    </row>
    <row r="1690">
      <c r="A1690">
        <f>IF(OR(Wages!$B1693="",Wages!$E1693=""),"",Wages!$E1693)</f>
        <v/>
      </c>
      <c r="B1690">
        <f>IF($A1690="","",IF(Wages!$C1693="دستمزد گروهی",2,1))</f>
        <v/>
      </c>
      <c r="C1690">
        <f>IF($A1690="","",IF(ISNUMBER(Wages!$B1693),IF(AND(Wages!$B1693&gt;=10000101,Wages!$B1693&lt;=99991231),INT(Wages!$B1693/10000),""),IFERROR(VALUE(TRIM(LEFT(Wages!$B1693,FIND("/",Wages!$B1693)-1))),"")))</f>
        <v/>
      </c>
      <c r="D1690">
        <f>IF(OR($A1690="",$C1690=""),"",IF(ISNUMBER(Wages!$B1693),INT(MOD(Wages!$B1693,10000)/100),IFERROR(VALUE(TRIM(LEFT(MID(Wages!$B1693,FIND("/",Wages!$B1693)+1,20),FIND("/",MID(Wages!$B1693,FIND("/",Wages!$B1693)+1,20))-1))),"")))</f>
        <v/>
      </c>
      <c r="E1690">
        <f>IF(OR($A1690="",$C1690=""),"",IF(ISNUMBER(Wages!$B1693),MOD(Wages!$B1693,100),IFERROR(VALUE(TRIM(MID(MID(Wages!$B1693,FIND("/",Wages!$B1693)+1,20),FIND("/",MID(Wages!$B1693,FIND("/",Wages!$B1693)+1,20))+1,20))),"")))</f>
        <v/>
      </c>
      <c r="F1690">
        <f>IF($A1690="","",IF(OR($C1690="",$D1690="",$E1690="",$C1690&lt;1300,$C1690&gt;1500,$D1690&lt;1,$D1690&gt;12,$E1690&lt;1,$E1690&gt;31),"نامعتبر",RIGHT("0000"&amp;$C1690,4)&amp;"/"&amp;RIGHT("00"&amp;$D1690,2)&amp;"/"&amp;RIGHT("00"&amp;$E1690,2)))</f>
        <v/>
      </c>
      <c r="G1690">
        <f>IF(OR($A1690="",$F1690="",$F1690="نامعتبر"),"",LEFT($F1690,4)&amp;MID($F1690,6,2)&amp;RIGHT($F1690,2)&amp;"0000"&amp;"|"&amp;"1"&amp;RIGHT("00000"&amp;1685,5))</f>
        <v/>
      </c>
      <c r="H1690">
        <f>IF(OR($B1690&lt;&gt;1,$G1690=""),"",COUNTIFS(LdAParty,$A1690,LdAType,1,LdAKey,"&lt;"&amp;$G1690)+COUNTIFS(LdBMember,$A1690,LdBKey,"&lt;"&amp;$G1690)+COUNTIFS(LdCParty,$A1690,LdCKey,"&lt;"&amp;$G1690)+1)</f>
        <v/>
      </c>
      <c r="I1690">
        <f>IF($H1690="","",$A1690&amp;"|"&amp;RIGHT("000000"&amp;$H1690,6))</f>
        <v/>
      </c>
      <c r="J1690">
        <f>IF(OR($B1690&lt;&gt;2,$G1690=""),"",COUNTIFS(LdAParty,$A1690,LdAType,2,LdAKey,"&lt;"&amp;$G1690)+1)</f>
        <v/>
      </c>
      <c r="K1690">
        <f>IF($J1690="","",$A1690&amp;"|"&amp;RIGHT("000000"&amp;$J1690,6))</f>
        <v/>
      </c>
      <c r="L1690">
        <f>IF($A1690="","",IF(Wages!$G1693="",0,Wages!$G1693))</f>
        <v/>
      </c>
      <c r="M1690">
        <f>IF($A1690="","",Wages!$J1693)</f>
        <v/>
      </c>
      <c r="N1690">
        <f>IF($A1690="","",Wages!$D1693)</f>
        <v/>
      </c>
      <c r="P1690">
        <f>IF(OR(Shares!$B1693="",Shares!$C1693=""),"",Shares!$C1693)</f>
        <v/>
      </c>
      <c r="Q1690">
        <f>IF($P1690="","",Shares!$B1693)</f>
        <v/>
      </c>
      <c r="R1690">
        <f>IF($P1690="","",IFERROR(INDEX(WageParty,MATCH($Q1690,WageIds,0)),""))</f>
        <v/>
      </c>
      <c r="S1690">
        <f>IF($P1690="","",IFERROR(INDEX($F$6:$F$2005,MATCH($Q1690,WageIds,0)),""))</f>
        <v/>
      </c>
      <c r="T1690">
        <f>IF(OR($P1690="",$S1690="",$S1690="نامعتبر"),"",LEFT($S1690,4)&amp;MID($S1690,6,2)&amp;RIGHT($S1690,2)&amp;"0000"&amp;"|"&amp;"2"&amp;RIGHT("00000"&amp;1685,5))</f>
        <v/>
      </c>
      <c r="U1690">
        <f>IF($T1690="","",COUNTIFS(LdAParty,$P1690,LdAType,1,LdAKey,"&lt;"&amp;$T1690)+COUNTIFS(LdBMember,$P1690,LdBKey,"&lt;"&amp;$T1690)+COUNTIFS(LdCParty,$P1690,LdCKey,"&lt;"&amp;$T1690)+1)</f>
        <v/>
      </c>
      <c r="V1690">
        <f>IF($U1690="","",$P1690&amp;"|"&amp;RIGHT("000000"&amp;$U1690,6))</f>
        <v/>
      </c>
      <c r="W1690">
        <f>IF($T1690="","",COUNTIFS(LdBGroup,$R1690,LdBKey,"&lt;"&amp;$T1690)+1)</f>
        <v/>
      </c>
      <c r="X1690">
        <f>IF($W1690="","",$R1690&amp;"|"&amp;RIGHT("000000"&amp;$W1690,6))</f>
        <v/>
      </c>
      <c r="Y1690">
        <f>IF($P1690="","",IF(Shares!$E1693="",0,Shares!$E1693))</f>
        <v/>
      </c>
      <c r="Z1690">
        <f>IF($P1690="","",Shares!$H1693)</f>
        <v/>
      </c>
      <c r="AE1690">
        <f>IF(OR(Sync!$S1690="",Sync!$P1690=""),"",Sync!$S1690)</f>
        <v/>
      </c>
      <c r="AF1690">
        <f>IF($AE1690="","",IF(ISNUMBER(Sync!$P1690),IF(AND(Sync!$P1690&gt;=10000101,Sync!$P1690&lt;=99991231),INT(Sync!$P1690/10000),""),IFERROR(VALUE(TRIM(LEFT(Sync!$P1690,FIND("/",Sync!$P1690)-1))),"")))</f>
        <v/>
      </c>
      <c r="AG1690">
        <f>IF(OR($AE1690="",$AF1690=""),"",IF(ISNUMBER(Sync!$P1690),INT(MOD(Sync!$P1690,10000)/100),IFERROR(VALUE(TRIM(LEFT(MID(Sync!$P1690,FIND("/",Sync!$P1690)+1,20),FIND("/",MID(Sync!$P1690,FIND("/",Sync!$P1690)+1,20))-1))),"")))</f>
        <v/>
      </c>
      <c r="AH1690">
        <f>IF(OR($AE1690="",$AF1690=""),"",IF(ISNUMBER(Sync!$P1690),MOD(Sync!$P1690,100),IFERROR(VALUE(TRIM(MID(MID(Sync!$P1690,FIND("/",Sync!$P1690)+1,20),FIND("/",MID(Sync!$P1690,FIND("/",Sync!$P1690)+1,20))+1,20))),"")))</f>
        <v/>
      </c>
      <c r="AI1690">
        <f>IF($AE1690="","",IF(OR($AF1690="",$AG1690="",$AH1690="",$AF1690&lt;1300,$AF1690&gt;1500,$AG1690&lt;1,$AG1690&gt;12,$AH1690&lt;1,$AH1690&gt;31),"نامعتبر",RIGHT("0000"&amp;$AF1690,4)&amp;"/"&amp;RIGHT("00"&amp;$AG1690,2)&amp;"/"&amp;RIGHT("00"&amp;$AH1690,2)))</f>
        <v/>
      </c>
      <c r="AJ1690">
        <f>IF($AE1690="","",IF(Sync!$Q1690="","0000",IF(AND(ISNUMBER(Sync!$Q1690),Sync!$Q1690&gt;=0,Sync!$Q1690&lt;1),RIGHT("00"&amp;HOUR(Sync!$Q1690),2)&amp;RIGHT("00"&amp;MINUTE(Sync!$Q1690),2),IFERROR(RIGHT("00"&amp;VALUE(LEFT(Sync!$Q1690,FIND(":",Sync!$Q1690)-1)),2)&amp;RIGHT("00"&amp;VALUE(MID(Sync!$Q1690,FIND(":",Sync!$Q1690)+1,2)),2),"0000"))))</f>
        <v/>
      </c>
      <c r="AK1690">
        <f>IF(OR($AE1690="",$AI1690="",$AI1690="نامعتبر"),"",LEFT($AI1690,4)&amp;MID($AI1690,6,2)&amp;RIGHT($AI1690,2)&amp;$AJ1690&amp;"|"&amp;"3"&amp;RIGHT("00000"&amp;1685,5))</f>
        <v/>
      </c>
      <c r="AL1690">
        <f>IF($AK1690="","",COUNTIFS(LdAParty,$AE1690,LdAType,1,LdAKey,"&lt;"&amp;$AK1690)+COUNTIFS(LdBMember,$AE1690,LdBKey,"&lt;"&amp;$AK1690)+COUNTIFS(LdCParty,$AE1690,LdCKey,"&lt;"&amp;$AK1690)+1)</f>
        <v/>
      </c>
      <c r="AM1690">
        <f>IF($AL1690="","",$AE1690&amp;"|"&amp;RIGHT("000000"&amp;$AL1690,6))</f>
        <v/>
      </c>
      <c r="AN1690">
        <f>IF($AE1690="","",IF(Sync!$W1690="",0,Sync!$W1690))</f>
        <v/>
      </c>
      <c r="AO1690">
        <f>IF($AE1690="","",IF(Sync!$X1690="",0,Sync!$X1690))</f>
        <v/>
      </c>
      <c r="AP1690">
        <f>IF($AE1690="","",Sync!$R1690)</f>
        <v/>
      </c>
      <c r="AQ1690">
        <f>IF($AE1690="","",Sync!$Y1690)</f>
        <v/>
      </c>
    </row>
    <row r="1691">
      <c r="A1691">
        <f>IF(OR(Wages!$B1694="",Wages!$E1694=""),"",Wages!$E1694)</f>
        <v/>
      </c>
      <c r="B1691">
        <f>IF($A1691="","",IF(Wages!$C1694="دستمزد گروهی",2,1))</f>
        <v/>
      </c>
      <c r="C1691">
        <f>IF($A1691="","",IF(ISNUMBER(Wages!$B1694),IF(AND(Wages!$B1694&gt;=10000101,Wages!$B1694&lt;=99991231),INT(Wages!$B1694/10000),""),IFERROR(VALUE(TRIM(LEFT(Wages!$B1694,FIND("/",Wages!$B1694)-1))),"")))</f>
        <v/>
      </c>
      <c r="D1691">
        <f>IF(OR($A1691="",$C1691=""),"",IF(ISNUMBER(Wages!$B1694),INT(MOD(Wages!$B1694,10000)/100),IFERROR(VALUE(TRIM(LEFT(MID(Wages!$B1694,FIND("/",Wages!$B1694)+1,20),FIND("/",MID(Wages!$B1694,FIND("/",Wages!$B1694)+1,20))-1))),"")))</f>
        <v/>
      </c>
      <c r="E1691">
        <f>IF(OR($A1691="",$C1691=""),"",IF(ISNUMBER(Wages!$B1694),MOD(Wages!$B1694,100),IFERROR(VALUE(TRIM(MID(MID(Wages!$B1694,FIND("/",Wages!$B1694)+1,20),FIND("/",MID(Wages!$B1694,FIND("/",Wages!$B1694)+1,20))+1,20))),"")))</f>
        <v/>
      </c>
      <c r="F1691">
        <f>IF($A1691="","",IF(OR($C1691="",$D1691="",$E1691="",$C1691&lt;1300,$C1691&gt;1500,$D1691&lt;1,$D1691&gt;12,$E1691&lt;1,$E1691&gt;31),"نامعتبر",RIGHT("0000"&amp;$C1691,4)&amp;"/"&amp;RIGHT("00"&amp;$D1691,2)&amp;"/"&amp;RIGHT("00"&amp;$E1691,2)))</f>
        <v/>
      </c>
      <c r="G1691">
        <f>IF(OR($A1691="",$F1691="",$F1691="نامعتبر"),"",LEFT($F1691,4)&amp;MID($F1691,6,2)&amp;RIGHT($F1691,2)&amp;"0000"&amp;"|"&amp;"1"&amp;RIGHT("00000"&amp;1686,5))</f>
        <v/>
      </c>
      <c r="H1691">
        <f>IF(OR($B1691&lt;&gt;1,$G1691=""),"",COUNTIFS(LdAParty,$A1691,LdAType,1,LdAKey,"&lt;"&amp;$G1691)+COUNTIFS(LdBMember,$A1691,LdBKey,"&lt;"&amp;$G1691)+COUNTIFS(LdCParty,$A1691,LdCKey,"&lt;"&amp;$G1691)+1)</f>
        <v/>
      </c>
      <c r="I1691">
        <f>IF($H1691="","",$A1691&amp;"|"&amp;RIGHT("000000"&amp;$H1691,6))</f>
        <v/>
      </c>
      <c r="J1691">
        <f>IF(OR($B1691&lt;&gt;2,$G1691=""),"",COUNTIFS(LdAParty,$A1691,LdAType,2,LdAKey,"&lt;"&amp;$G1691)+1)</f>
        <v/>
      </c>
      <c r="K1691">
        <f>IF($J1691="","",$A1691&amp;"|"&amp;RIGHT("000000"&amp;$J1691,6))</f>
        <v/>
      </c>
      <c r="L1691">
        <f>IF($A1691="","",IF(Wages!$G1694="",0,Wages!$G1694))</f>
        <v/>
      </c>
      <c r="M1691">
        <f>IF($A1691="","",Wages!$J1694)</f>
        <v/>
      </c>
      <c r="N1691">
        <f>IF($A1691="","",Wages!$D1694)</f>
        <v/>
      </c>
      <c r="P1691">
        <f>IF(OR(Shares!$B1694="",Shares!$C1694=""),"",Shares!$C1694)</f>
        <v/>
      </c>
      <c r="Q1691">
        <f>IF($P1691="","",Shares!$B1694)</f>
        <v/>
      </c>
      <c r="R1691">
        <f>IF($P1691="","",IFERROR(INDEX(WageParty,MATCH($Q1691,WageIds,0)),""))</f>
        <v/>
      </c>
      <c r="S1691">
        <f>IF($P1691="","",IFERROR(INDEX($F$6:$F$2005,MATCH($Q1691,WageIds,0)),""))</f>
        <v/>
      </c>
      <c r="T1691">
        <f>IF(OR($P1691="",$S1691="",$S1691="نامعتبر"),"",LEFT($S1691,4)&amp;MID($S1691,6,2)&amp;RIGHT($S1691,2)&amp;"0000"&amp;"|"&amp;"2"&amp;RIGHT("00000"&amp;1686,5))</f>
        <v/>
      </c>
      <c r="U1691">
        <f>IF($T1691="","",COUNTIFS(LdAParty,$P1691,LdAType,1,LdAKey,"&lt;"&amp;$T1691)+COUNTIFS(LdBMember,$P1691,LdBKey,"&lt;"&amp;$T1691)+COUNTIFS(LdCParty,$P1691,LdCKey,"&lt;"&amp;$T1691)+1)</f>
        <v/>
      </c>
      <c r="V1691">
        <f>IF($U1691="","",$P1691&amp;"|"&amp;RIGHT("000000"&amp;$U1691,6))</f>
        <v/>
      </c>
      <c r="W1691">
        <f>IF($T1691="","",COUNTIFS(LdBGroup,$R1691,LdBKey,"&lt;"&amp;$T1691)+1)</f>
        <v/>
      </c>
      <c r="X1691">
        <f>IF($W1691="","",$R1691&amp;"|"&amp;RIGHT("000000"&amp;$W1691,6))</f>
        <v/>
      </c>
      <c r="Y1691">
        <f>IF($P1691="","",IF(Shares!$E1694="",0,Shares!$E1694))</f>
        <v/>
      </c>
      <c r="Z1691">
        <f>IF($P1691="","",Shares!$H1694)</f>
        <v/>
      </c>
      <c r="AE1691">
        <f>IF(OR(Sync!$S1691="",Sync!$P1691=""),"",Sync!$S1691)</f>
        <v/>
      </c>
      <c r="AF1691">
        <f>IF($AE1691="","",IF(ISNUMBER(Sync!$P1691),IF(AND(Sync!$P1691&gt;=10000101,Sync!$P1691&lt;=99991231),INT(Sync!$P1691/10000),""),IFERROR(VALUE(TRIM(LEFT(Sync!$P1691,FIND("/",Sync!$P1691)-1))),"")))</f>
        <v/>
      </c>
      <c r="AG1691">
        <f>IF(OR($AE1691="",$AF1691=""),"",IF(ISNUMBER(Sync!$P1691),INT(MOD(Sync!$P1691,10000)/100),IFERROR(VALUE(TRIM(LEFT(MID(Sync!$P1691,FIND("/",Sync!$P1691)+1,20),FIND("/",MID(Sync!$P1691,FIND("/",Sync!$P1691)+1,20))-1))),"")))</f>
        <v/>
      </c>
      <c r="AH1691">
        <f>IF(OR($AE1691="",$AF1691=""),"",IF(ISNUMBER(Sync!$P1691),MOD(Sync!$P1691,100),IFERROR(VALUE(TRIM(MID(MID(Sync!$P1691,FIND("/",Sync!$P1691)+1,20),FIND("/",MID(Sync!$P1691,FIND("/",Sync!$P1691)+1,20))+1,20))),"")))</f>
        <v/>
      </c>
      <c r="AI1691">
        <f>IF($AE1691="","",IF(OR($AF1691="",$AG1691="",$AH1691="",$AF1691&lt;1300,$AF1691&gt;1500,$AG1691&lt;1,$AG1691&gt;12,$AH1691&lt;1,$AH1691&gt;31),"نامعتبر",RIGHT("0000"&amp;$AF1691,4)&amp;"/"&amp;RIGHT("00"&amp;$AG1691,2)&amp;"/"&amp;RIGHT("00"&amp;$AH1691,2)))</f>
        <v/>
      </c>
      <c r="AJ1691">
        <f>IF($AE1691="","",IF(Sync!$Q1691="","0000",IF(AND(ISNUMBER(Sync!$Q1691),Sync!$Q1691&gt;=0,Sync!$Q1691&lt;1),RIGHT("00"&amp;HOUR(Sync!$Q1691),2)&amp;RIGHT("00"&amp;MINUTE(Sync!$Q1691),2),IFERROR(RIGHT("00"&amp;VALUE(LEFT(Sync!$Q1691,FIND(":",Sync!$Q1691)-1)),2)&amp;RIGHT("00"&amp;VALUE(MID(Sync!$Q1691,FIND(":",Sync!$Q1691)+1,2)),2),"0000"))))</f>
        <v/>
      </c>
      <c r="AK1691">
        <f>IF(OR($AE1691="",$AI1691="",$AI1691="نامعتبر"),"",LEFT($AI1691,4)&amp;MID($AI1691,6,2)&amp;RIGHT($AI1691,2)&amp;$AJ1691&amp;"|"&amp;"3"&amp;RIGHT("00000"&amp;1686,5))</f>
        <v/>
      </c>
      <c r="AL1691">
        <f>IF($AK1691="","",COUNTIFS(LdAParty,$AE1691,LdAType,1,LdAKey,"&lt;"&amp;$AK1691)+COUNTIFS(LdBMember,$AE1691,LdBKey,"&lt;"&amp;$AK1691)+COUNTIFS(LdCParty,$AE1691,LdCKey,"&lt;"&amp;$AK1691)+1)</f>
        <v/>
      </c>
      <c r="AM1691">
        <f>IF($AL1691="","",$AE1691&amp;"|"&amp;RIGHT("000000"&amp;$AL1691,6))</f>
        <v/>
      </c>
      <c r="AN1691">
        <f>IF($AE1691="","",IF(Sync!$W1691="",0,Sync!$W1691))</f>
        <v/>
      </c>
      <c r="AO1691">
        <f>IF($AE1691="","",IF(Sync!$X1691="",0,Sync!$X1691))</f>
        <v/>
      </c>
      <c r="AP1691">
        <f>IF($AE1691="","",Sync!$R1691)</f>
        <v/>
      </c>
      <c r="AQ1691">
        <f>IF($AE1691="","",Sync!$Y1691)</f>
        <v/>
      </c>
    </row>
    <row r="1692">
      <c r="A1692">
        <f>IF(OR(Wages!$B1695="",Wages!$E1695=""),"",Wages!$E1695)</f>
        <v/>
      </c>
      <c r="B1692">
        <f>IF($A1692="","",IF(Wages!$C1695="دستمزد گروهی",2,1))</f>
        <v/>
      </c>
      <c r="C1692">
        <f>IF($A1692="","",IF(ISNUMBER(Wages!$B1695),IF(AND(Wages!$B1695&gt;=10000101,Wages!$B1695&lt;=99991231),INT(Wages!$B1695/10000),""),IFERROR(VALUE(TRIM(LEFT(Wages!$B1695,FIND("/",Wages!$B1695)-1))),"")))</f>
        <v/>
      </c>
      <c r="D1692">
        <f>IF(OR($A1692="",$C1692=""),"",IF(ISNUMBER(Wages!$B1695),INT(MOD(Wages!$B1695,10000)/100),IFERROR(VALUE(TRIM(LEFT(MID(Wages!$B1695,FIND("/",Wages!$B1695)+1,20),FIND("/",MID(Wages!$B1695,FIND("/",Wages!$B1695)+1,20))-1))),"")))</f>
        <v/>
      </c>
      <c r="E1692">
        <f>IF(OR($A1692="",$C1692=""),"",IF(ISNUMBER(Wages!$B1695),MOD(Wages!$B1695,100),IFERROR(VALUE(TRIM(MID(MID(Wages!$B1695,FIND("/",Wages!$B1695)+1,20),FIND("/",MID(Wages!$B1695,FIND("/",Wages!$B1695)+1,20))+1,20))),"")))</f>
        <v/>
      </c>
      <c r="F1692">
        <f>IF($A1692="","",IF(OR($C1692="",$D1692="",$E1692="",$C1692&lt;1300,$C1692&gt;1500,$D1692&lt;1,$D1692&gt;12,$E1692&lt;1,$E1692&gt;31),"نامعتبر",RIGHT("0000"&amp;$C1692,4)&amp;"/"&amp;RIGHT("00"&amp;$D1692,2)&amp;"/"&amp;RIGHT("00"&amp;$E1692,2)))</f>
        <v/>
      </c>
      <c r="G1692">
        <f>IF(OR($A1692="",$F1692="",$F1692="نامعتبر"),"",LEFT($F1692,4)&amp;MID($F1692,6,2)&amp;RIGHT($F1692,2)&amp;"0000"&amp;"|"&amp;"1"&amp;RIGHT("00000"&amp;1687,5))</f>
        <v/>
      </c>
      <c r="H1692">
        <f>IF(OR($B1692&lt;&gt;1,$G1692=""),"",COUNTIFS(LdAParty,$A1692,LdAType,1,LdAKey,"&lt;"&amp;$G1692)+COUNTIFS(LdBMember,$A1692,LdBKey,"&lt;"&amp;$G1692)+COUNTIFS(LdCParty,$A1692,LdCKey,"&lt;"&amp;$G1692)+1)</f>
        <v/>
      </c>
      <c r="I1692">
        <f>IF($H1692="","",$A1692&amp;"|"&amp;RIGHT("000000"&amp;$H1692,6))</f>
        <v/>
      </c>
      <c r="J1692">
        <f>IF(OR($B1692&lt;&gt;2,$G1692=""),"",COUNTIFS(LdAParty,$A1692,LdAType,2,LdAKey,"&lt;"&amp;$G1692)+1)</f>
        <v/>
      </c>
      <c r="K1692">
        <f>IF($J1692="","",$A1692&amp;"|"&amp;RIGHT("000000"&amp;$J1692,6))</f>
        <v/>
      </c>
      <c r="L1692">
        <f>IF($A1692="","",IF(Wages!$G1695="",0,Wages!$G1695))</f>
        <v/>
      </c>
      <c r="M1692">
        <f>IF($A1692="","",Wages!$J1695)</f>
        <v/>
      </c>
      <c r="N1692">
        <f>IF($A1692="","",Wages!$D1695)</f>
        <v/>
      </c>
      <c r="P1692">
        <f>IF(OR(Shares!$B1695="",Shares!$C1695=""),"",Shares!$C1695)</f>
        <v/>
      </c>
      <c r="Q1692">
        <f>IF($P1692="","",Shares!$B1695)</f>
        <v/>
      </c>
      <c r="R1692">
        <f>IF($P1692="","",IFERROR(INDEX(WageParty,MATCH($Q1692,WageIds,0)),""))</f>
        <v/>
      </c>
      <c r="S1692">
        <f>IF($P1692="","",IFERROR(INDEX($F$6:$F$2005,MATCH($Q1692,WageIds,0)),""))</f>
        <v/>
      </c>
      <c r="T1692">
        <f>IF(OR($P1692="",$S1692="",$S1692="نامعتبر"),"",LEFT($S1692,4)&amp;MID($S1692,6,2)&amp;RIGHT($S1692,2)&amp;"0000"&amp;"|"&amp;"2"&amp;RIGHT("00000"&amp;1687,5))</f>
        <v/>
      </c>
      <c r="U1692">
        <f>IF($T1692="","",COUNTIFS(LdAParty,$P1692,LdAType,1,LdAKey,"&lt;"&amp;$T1692)+COUNTIFS(LdBMember,$P1692,LdBKey,"&lt;"&amp;$T1692)+COUNTIFS(LdCParty,$P1692,LdCKey,"&lt;"&amp;$T1692)+1)</f>
        <v/>
      </c>
      <c r="V1692">
        <f>IF($U1692="","",$P1692&amp;"|"&amp;RIGHT("000000"&amp;$U1692,6))</f>
        <v/>
      </c>
      <c r="W1692">
        <f>IF($T1692="","",COUNTIFS(LdBGroup,$R1692,LdBKey,"&lt;"&amp;$T1692)+1)</f>
        <v/>
      </c>
      <c r="X1692">
        <f>IF($W1692="","",$R1692&amp;"|"&amp;RIGHT("000000"&amp;$W1692,6))</f>
        <v/>
      </c>
      <c r="Y1692">
        <f>IF($P1692="","",IF(Shares!$E1695="",0,Shares!$E1695))</f>
        <v/>
      </c>
      <c r="Z1692">
        <f>IF($P1692="","",Shares!$H1695)</f>
        <v/>
      </c>
      <c r="AE1692">
        <f>IF(OR(Sync!$S1692="",Sync!$P1692=""),"",Sync!$S1692)</f>
        <v/>
      </c>
      <c r="AF1692">
        <f>IF($AE1692="","",IF(ISNUMBER(Sync!$P1692),IF(AND(Sync!$P1692&gt;=10000101,Sync!$P1692&lt;=99991231),INT(Sync!$P1692/10000),""),IFERROR(VALUE(TRIM(LEFT(Sync!$P1692,FIND("/",Sync!$P1692)-1))),"")))</f>
        <v/>
      </c>
      <c r="AG1692">
        <f>IF(OR($AE1692="",$AF1692=""),"",IF(ISNUMBER(Sync!$P1692),INT(MOD(Sync!$P1692,10000)/100),IFERROR(VALUE(TRIM(LEFT(MID(Sync!$P1692,FIND("/",Sync!$P1692)+1,20),FIND("/",MID(Sync!$P1692,FIND("/",Sync!$P1692)+1,20))-1))),"")))</f>
        <v/>
      </c>
      <c r="AH1692">
        <f>IF(OR($AE1692="",$AF1692=""),"",IF(ISNUMBER(Sync!$P1692),MOD(Sync!$P1692,100),IFERROR(VALUE(TRIM(MID(MID(Sync!$P1692,FIND("/",Sync!$P1692)+1,20),FIND("/",MID(Sync!$P1692,FIND("/",Sync!$P1692)+1,20))+1,20))),"")))</f>
        <v/>
      </c>
      <c r="AI1692">
        <f>IF($AE1692="","",IF(OR($AF1692="",$AG1692="",$AH1692="",$AF1692&lt;1300,$AF1692&gt;1500,$AG1692&lt;1,$AG1692&gt;12,$AH1692&lt;1,$AH1692&gt;31),"نامعتبر",RIGHT("0000"&amp;$AF1692,4)&amp;"/"&amp;RIGHT("00"&amp;$AG1692,2)&amp;"/"&amp;RIGHT("00"&amp;$AH1692,2)))</f>
        <v/>
      </c>
      <c r="AJ1692">
        <f>IF($AE1692="","",IF(Sync!$Q1692="","0000",IF(AND(ISNUMBER(Sync!$Q1692),Sync!$Q1692&gt;=0,Sync!$Q1692&lt;1),RIGHT("00"&amp;HOUR(Sync!$Q1692),2)&amp;RIGHT("00"&amp;MINUTE(Sync!$Q1692),2),IFERROR(RIGHT("00"&amp;VALUE(LEFT(Sync!$Q1692,FIND(":",Sync!$Q1692)-1)),2)&amp;RIGHT("00"&amp;VALUE(MID(Sync!$Q1692,FIND(":",Sync!$Q1692)+1,2)),2),"0000"))))</f>
        <v/>
      </c>
      <c r="AK1692">
        <f>IF(OR($AE1692="",$AI1692="",$AI1692="نامعتبر"),"",LEFT($AI1692,4)&amp;MID($AI1692,6,2)&amp;RIGHT($AI1692,2)&amp;$AJ1692&amp;"|"&amp;"3"&amp;RIGHT("00000"&amp;1687,5))</f>
        <v/>
      </c>
      <c r="AL1692">
        <f>IF($AK1692="","",COUNTIFS(LdAParty,$AE1692,LdAType,1,LdAKey,"&lt;"&amp;$AK1692)+COUNTIFS(LdBMember,$AE1692,LdBKey,"&lt;"&amp;$AK1692)+COUNTIFS(LdCParty,$AE1692,LdCKey,"&lt;"&amp;$AK1692)+1)</f>
        <v/>
      </c>
      <c r="AM1692">
        <f>IF($AL1692="","",$AE1692&amp;"|"&amp;RIGHT("000000"&amp;$AL1692,6))</f>
        <v/>
      </c>
      <c r="AN1692">
        <f>IF($AE1692="","",IF(Sync!$W1692="",0,Sync!$W1692))</f>
        <v/>
      </c>
      <c r="AO1692">
        <f>IF($AE1692="","",IF(Sync!$X1692="",0,Sync!$X1692))</f>
        <v/>
      </c>
      <c r="AP1692">
        <f>IF($AE1692="","",Sync!$R1692)</f>
        <v/>
      </c>
      <c r="AQ1692">
        <f>IF($AE1692="","",Sync!$Y1692)</f>
        <v/>
      </c>
    </row>
    <row r="1693">
      <c r="A1693">
        <f>IF(OR(Wages!$B1696="",Wages!$E1696=""),"",Wages!$E1696)</f>
        <v/>
      </c>
      <c r="B1693">
        <f>IF($A1693="","",IF(Wages!$C1696="دستمزد گروهی",2,1))</f>
        <v/>
      </c>
      <c r="C1693">
        <f>IF($A1693="","",IF(ISNUMBER(Wages!$B1696),IF(AND(Wages!$B1696&gt;=10000101,Wages!$B1696&lt;=99991231),INT(Wages!$B1696/10000),""),IFERROR(VALUE(TRIM(LEFT(Wages!$B1696,FIND("/",Wages!$B1696)-1))),"")))</f>
        <v/>
      </c>
      <c r="D1693">
        <f>IF(OR($A1693="",$C1693=""),"",IF(ISNUMBER(Wages!$B1696),INT(MOD(Wages!$B1696,10000)/100),IFERROR(VALUE(TRIM(LEFT(MID(Wages!$B1696,FIND("/",Wages!$B1696)+1,20),FIND("/",MID(Wages!$B1696,FIND("/",Wages!$B1696)+1,20))-1))),"")))</f>
        <v/>
      </c>
      <c r="E1693">
        <f>IF(OR($A1693="",$C1693=""),"",IF(ISNUMBER(Wages!$B1696),MOD(Wages!$B1696,100),IFERROR(VALUE(TRIM(MID(MID(Wages!$B1696,FIND("/",Wages!$B1696)+1,20),FIND("/",MID(Wages!$B1696,FIND("/",Wages!$B1696)+1,20))+1,20))),"")))</f>
        <v/>
      </c>
      <c r="F1693">
        <f>IF($A1693="","",IF(OR($C1693="",$D1693="",$E1693="",$C1693&lt;1300,$C1693&gt;1500,$D1693&lt;1,$D1693&gt;12,$E1693&lt;1,$E1693&gt;31),"نامعتبر",RIGHT("0000"&amp;$C1693,4)&amp;"/"&amp;RIGHT("00"&amp;$D1693,2)&amp;"/"&amp;RIGHT("00"&amp;$E1693,2)))</f>
        <v/>
      </c>
      <c r="G1693">
        <f>IF(OR($A1693="",$F1693="",$F1693="نامعتبر"),"",LEFT($F1693,4)&amp;MID($F1693,6,2)&amp;RIGHT($F1693,2)&amp;"0000"&amp;"|"&amp;"1"&amp;RIGHT("00000"&amp;1688,5))</f>
        <v/>
      </c>
      <c r="H1693">
        <f>IF(OR($B1693&lt;&gt;1,$G1693=""),"",COUNTIFS(LdAParty,$A1693,LdAType,1,LdAKey,"&lt;"&amp;$G1693)+COUNTIFS(LdBMember,$A1693,LdBKey,"&lt;"&amp;$G1693)+COUNTIFS(LdCParty,$A1693,LdCKey,"&lt;"&amp;$G1693)+1)</f>
        <v/>
      </c>
      <c r="I1693">
        <f>IF($H1693="","",$A1693&amp;"|"&amp;RIGHT("000000"&amp;$H1693,6))</f>
        <v/>
      </c>
      <c r="J1693">
        <f>IF(OR($B1693&lt;&gt;2,$G1693=""),"",COUNTIFS(LdAParty,$A1693,LdAType,2,LdAKey,"&lt;"&amp;$G1693)+1)</f>
        <v/>
      </c>
      <c r="K1693">
        <f>IF($J1693="","",$A1693&amp;"|"&amp;RIGHT("000000"&amp;$J1693,6))</f>
        <v/>
      </c>
      <c r="L1693">
        <f>IF($A1693="","",IF(Wages!$G1696="",0,Wages!$G1696))</f>
        <v/>
      </c>
      <c r="M1693">
        <f>IF($A1693="","",Wages!$J1696)</f>
        <v/>
      </c>
      <c r="N1693">
        <f>IF($A1693="","",Wages!$D1696)</f>
        <v/>
      </c>
      <c r="P1693">
        <f>IF(OR(Shares!$B1696="",Shares!$C1696=""),"",Shares!$C1696)</f>
        <v/>
      </c>
      <c r="Q1693">
        <f>IF($P1693="","",Shares!$B1696)</f>
        <v/>
      </c>
      <c r="R1693">
        <f>IF($P1693="","",IFERROR(INDEX(WageParty,MATCH($Q1693,WageIds,0)),""))</f>
        <v/>
      </c>
      <c r="S1693">
        <f>IF($P1693="","",IFERROR(INDEX($F$6:$F$2005,MATCH($Q1693,WageIds,0)),""))</f>
        <v/>
      </c>
      <c r="T1693">
        <f>IF(OR($P1693="",$S1693="",$S1693="نامعتبر"),"",LEFT($S1693,4)&amp;MID($S1693,6,2)&amp;RIGHT($S1693,2)&amp;"0000"&amp;"|"&amp;"2"&amp;RIGHT("00000"&amp;1688,5))</f>
        <v/>
      </c>
      <c r="U1693">
        <f>IF($T1693="","",COUNTIFS(LdAParty,$P1693,LdAType,1,LdAKey,"&lt;"&amp;$T1693)+COUNTIFS(LdBMember,$P1693,LdBKey,"&lt;"&amp;$T1693)+COUNTIFS(LdCParty,$P1693,LdCKey,"&lt;"&amp;$T1693)+1)</f>
        <v/>
      </c>
      <c r="V1693">
        <f>IF($U1693="","",$P1693&amp;"|"&amp;RIGHT("000000"&amp;$U1693,6))</f>
        <v/>
      </c>
      <c r="W1693">
        <f>IF($T1693="","",COUNTIFS(LdBGroup,$R1693,LdBKey,"&lt;"&amp;$T1693)+1)</f>
        <v/>
      </c>
      <c r="X1693">
        <f>IF($W1693="","",$R1693&amp;"|"&amp;RIGHT("000000"&amp;$W1693,6))</f>
        <v/>
      </c>
      <c r="Y1693">
        <f>IF($P1693="","",IF(Shares!$E1696="",0,Shares!$E1696))</f>
        <v/>
      </c>
      <c r="Z1693">
        <f>IF($P1693="","",Shares!$H1696)</f>
        <v/>
      </c>
      <c r="AE1693">
        <f>IF(OR(Sync!$S1693="",Sync!$P1693=""),"",Sync!$S1693)</f>
        <v/>
      </c>
      <c r="AF1693">
        <f>IF($AE1693="","",IF(ISNUMBER(Sync!$P1693),IF(AND(Sync!$P1693&gt;=10000101,Sync!$P1693&lt;=99991231),INT(Sync!$P1693/10000),""),IFERROR(VALUE(TRIM(LEFT(Sync!$P1693,FIND("/",Sync!$P1693)-1))),"")))</f>
        <v/>
      </c>
      <c r="AG1693">
        <f>IF(OR($AE1693="",$AF1693=""),"",IF(ISNUMBER(Sync!$P1693),INT(MOD(Sync!$P1693,10000)/100),IFERROR(VALUE(TRIM(LEFT(MID(Sync!$P1693,FIND("/",Sync!$P1693)+1,20),FIND("/",MID(Sync!$P1693,FIND("/",Sync!$P1693)+1,20))-1))),"")))</f>
        <v/>
      </c>
      <c r="AH1693">
        <f>IF(OR($AE1693="",$AF1693=""),"",IF(ISNUMBER(Sync!$P1693),MOD(Sync!$P1693,100),IFERROR(VALUE(TRIM(MID(MID(Sync!$P1693,FIND("/",Sync!$P1693)+1,20),FIND("/",MID(Sync!$P1693,FIND("/",Sync!$P1693)+1,20))+1,20))),"")))</f>
        <v/>
      </c>
      <c r="AI1693">
        <f>IF($AE1693="","",IF(OR($AF1693="",$AG1693="",$AH1693="",$AF1693&lt;1300,$AF1693&gt;1500,$AG1693&lt;1,$AG1693&gt;12,$AH1693&lt;1,$AH1693&gt;31),"نامعتبر",RIGHT("0000"&amp;$AF1693,4)&amp;"/"&amp;RIGHT("00"&amp;$AG1693,2)&amp;"/"&amp;RIGHT("00"&amp;$AH1693,2)))</f>
        <v/>
      </c>
      <c r="AJ1693">
        <f>IF($AE1693="","",IF(Sync!$Q1693="","0000",IF(AND(ISNUMBER(Sync!$Q1693),Sync!$Q1693&gt;=0,Sync!$Q1693&lt;1),RIGHT("00"&amp;HOUR(Sync!$Q1693),2)&amp;RIGHT("00"&amp;MINUTE(Sync!$Q1693),2),IFERROR(RIGHT("00"&amp;VALUE(LEFT(Sync!$Q1693,FIND(":",Sync!$Q1693)-1)),2)&amp;RIGHT("00"&amp;VALUE(MID(Sync!$Q1693,FIND(":",Sync!$Q1693)+1,2)),2),"0000"))))</f>
        <v/>
      </c>
      <c r="AK1693">
        <f>IF(OR($AE1693="",$AI1693="",$AI1693="نامعتبر"),"",LEFT($AI1693,4)&amp;MID($AI1693,6,2)&amp;RIGHT($AI1693,2)&amp;$AJ1693&amp;"|"&amp;"3"&amp;RIGHT("00000"&amp;1688,5))</f>
        <v/>
      </c>
      <c r="AL1693">
        <f>IF($AK1693="","",COUNTIFS(LdAParty,$AE1693,LdAType,1,LdAKey,"&lt;"&amp;$AK1693)+COUNTIFS(LdBMember,$AE1693,LdBKey,"&lt;"&amp;$AK1693)+COUNTIFS(LdCParty,$AE1693,LdCKey,"&lt;"&amp;$AK1693)+1)</f>
        <v/>
      </c>
      <c r="AM1693">
        <f>IF($AL1693="","",$AE1693&amp;"|"&amp;RIGHT("000000"&amp;$AL1693,6))</f>
        <v/>
      </c>
      <c r="AN1693">
        <f>IF($AE1693="","",IF(Sync!$W1693="",0,Sync!$W1693))</f>
        <v/>
      </c>
      <c r="AO1693">
        <f>IF($AE1693="","",IF(Sync!$X1693="",0,Sync!$X1693))</f>
        <v/>
      </c>
      <c r="AP1693">
        <f>IF($AE1693="","",Sync!$R1693)</f>
        <v/>
      </c>
      <c r="AQ1693">
        <f>IF($AE1693="","",Sync!$Y1693)</f>
        <v/>
      </c>
    </row>
    <row r="1694">
      <c r="A1694">
        <f>IF(OR(Wages!$B1697="",Wages!$E1697=""),"",Wages!$E1697)</f>
        <v/>
      </c>
      <c r="B1694">
        <f>IF($A1694="","",IF(Wages!$C1697="دستمزد گروهی",2,1))</f>
        <v/>
      </c>
      <c r="C1694">
        <f>IF($A1694="","",IF(ISNUMBER(Wages!$B1697),IF(AND(Wages!$B1697&gt;=10000101,Wages!$B1697&lt;=99991231),INT(Wages!$B1697/10000),""),IFERROR(VALUE(TRIM(LEFT(Wages!$B1697,FIND("/",Wages!$B1697)-1))),"")))</f>
        <v/>
      </c>
      <c r="D1694">
        <f>IF(OR($A1694="",$C1694=""),"",IF(ISNUMBER(Wages!$B1697),INT(MOD(Wages!$B1697,10000)/100),IFERROR(VALUE(TRIM(LEFT(MID(Wages!$B1697,FIND("/",Wages!$B1697)+1,20),FIND("/",MID(Wages!$B1697,FIND("/",Wages!$B1697)+1,20))-1))),"")))</f>
        <v/>
      </c>
      <c r="E1694">
        <f>IF(OR($A1694="",$C1694=""),"",IF(ISNUMBER(Wages!$B1697),MOD(Wages!$B1697,100),IFERROR(VALUE(TRIM(MID(MID(Wages!$B1697,FIND("/",Wages!$B1697)+1,20),FIND("/",MID(Wages!$B1697,FIND("/",Wages!$B1697)+1,20))+1,20))),"")))</f>
        <v/>
      </c>
      <c r="F1694">
        <f>IF($A1694="","",IF(OR($C1694="",$D1694="",$E1694="",$C1694&lt;1300,$C1694&gt;1500,$D1694&lt;1,$D1694&gt;12,$E1694&lt;1,$E1694&gt;31),"نامعتبر",RIGHT("0000"&amp;$C1694,4)&amp;"/"&amp;RIGHT("00"&amp;$D1694,2)&amp;"/"&amp;RIGHT("00"&amp;$E1694,2)))</f>
        <v/>
      </c>
      <c r="G1694">
        <f>IF(OR($A1694="",$F1694="",$F1694="نامعتبر"),"",LEFT($F1694,4)&amp;MID($F1694,6,2)&amp;RIGHT($F1694,2)&amp;"0000"&amp;"|"&amp;"1"&amp;RIGHT("00000"&amp;1689,5))</f>
        <v/>
      </c>
      <c r="H1694">
        <f>IF(OR($B1694&lt;&gt;1,$G1694=""),"",COUNTIFS(LdAParty,$A1694,LdAType,1,LdAKey,"&lt;"&amp;$G1694)+COUNTIFS(LdBMember,$A1694,LdBKey,"&lt;"&amp;$G1694)+COUNTIFS(LdCParty,$A1694,LdCKey,"&lt;"&amp;$G1694)+1)</f>
        <v/>
      </c>
      <c r="I1694">
        <f>IF($H1694="","",$A1694&amp;"|"&amp;RIGHT("000000"&amp;$H1694,6))</f>
        <v/>
      </c>
      <c r="J1694">
        <f>IF(OR($B1694&lt;&gt;2,$G1694=""),"",COUNTIFS(LdAParty,$A1694,LdAType,2,LdAKey,"&lt;"&amp;$G1694)+1)</f>
        <v/>
      </c>
      <c r="K1694">
        <f>IF($J1694="","",$A1694&amp;"|"&amp;RIGHT("000000"&amp;$J1694,6))</f>
        <v/>
      </c>
      <c r="L1694">
        <f>IF($A1694="","",IF(Wages!$G1697="",0,Wages!$G1697))</f>
        <v/>
      </c>
      <c r="M1694">
        <f>IF($A1694="","",Wages!$J1697)</f>
        <v/>
      </c>
      <c r="N1694">
        <f>IF($A1694="","",Wages!$D1697)</f>
        <v/>
      </c>
      <c r="P1694">
        <f>IF(OR(Shares!$B1697="",Shares!$C1697=""),"",Shares!$C1697)</f>
        <v/>
      </c>
      <c r="Q1694">
        <f>IF($P1694="","",Shares!$B1697)</f>
        <v/>
      </c>
      <c r="R1694">
        <f>IF($P1694="","",IFERROR(INDEX(WageParty,MATCH($Q1694,WageIds,0)),""))</f>
        <v/>
      </c>
      <c r="S1694">
        <f>IF($P1694="","",IFERROR(INDEX($F$6:$F$2005,MATCH($Q1694,WageIds,0)),""))</f>
        <v/>
      </c>
      <c r="T1694">
        <f>IF(OR($P1694="",$S1694="",$S1694="نامعتبر"),"",LEFT($S1694,4)&amp;MID($S1694,6,2)&amp;RIGHT($S1694,2)&amp;"0000"&amp;"|"&amp;"2"&amp;RIGHT("00000"&amp;1689,5))</f>
        <v/>
      </c>
      <c r="U1694">
        <f>IF($T1694="","",COUNTIFS(LdAParty,$P1694,LdAType,1,LdAKey,"&lt;"&amp;$T1694)+COUNTIFS(LdBMember,$P1694,LdBKey,"&lt;"&amp;$T1694)+COUNTIFS(LdCParty,$P1694,LdCKey,"&lt;"&amp;$T1694)+1)</f>
        <v/>
      </c>
      <c r="V1694">
        <f>IF($U1694="","",$P1694&amp;"|"&amp;RIGHT("000000"&amp;$U1694,6))</f>
        <v/>
      </c>
      <c r="W1694">
        <f>IF($T1694="","",COUNTIFS(LdBGroup,$R1694,LdBKey,"&lt;"&amp;$T1694)+1)</f>
        <v/>
      </c>
      <c r="X1694">
        <f>IF($W1694="","",$R1694&amp;"|"&amp;RIGHT("000000"&amp;$W1694,6))</f>
        <v/>
      </c>
      <c r="Y1694">
        <f>IF($P1694="","",IF(Shares!$E1697="",0,Shares!$E1697))</f>
        <v/>
      </c>
      <c r="Z1694">
        <f>IF($P1694="","",Shares!$H1697)</f>
        <v/>
      </c>
      <c r="AE1694">
        <f>IF(OR(Sync!$S1694="",Sync!$P1694=""),"",Sync!$S1694)</f>
        <v/>
      </c>
      <c r="AF1694">
        <f>IF($AE1694="","",IF(ISNUMBER(Sync!$P1694),IF(AND(Sync!$P1694&gt;=10000101,Sync!$P1694&lt;=99991231),INT(Sync!$P1694/10000),""),IFERROR(VALUE(TRIM(LEFT(Sync!$P1694,FIND("/",Sync!$P1694)-1))),"")))</f>
        <v/>
      </c>
      <c r="AG1694">
        <f>IF(OR($AE1694="",$AF1694=""),"",IF(ISNUMBER(Sync!$P1694),INT(MOD(Sync!$P1694,10000)/100),IFERROR(VALUE(TRIM(LEFT(MID(Sync!$P1694,FIND("/",Sync!$P1694)+1,20),FIND("/",MID(Sync!$P1694,FIND("/",Sync!$P1694)+1,20))-1))),"")))</f>
        <v/>
      </c>
      <c r="AH1694">
        <f>IF(OR($AE1694="",$AF1694=""),"",IF(ISNUMBER(Sync!$P1694),MOD(Sync!$P1694,100),IFERROR(VALUE(TRIM(MID(MID(Sync!$P1694,FIND("/",Sync!$P1694)+1,20),FIND("/",MID(Sync!$P1694,FIND("/",Sync!$P1694)+1,20))+1,20))),"")))</f>
        <v/>
      </c>
      <c r="AI1694">
        <f>IF($AE1694="","",IF(OR($AF1694="",$AG1694="",$AH1694="",$AF1694&lt;1300,$AF1694&gt;1500,$AG1694&lt;1,$AG1694&gt;12,$AH1694&lt;1,$AH1694&gt;31),"نامعتبر",RIGHT("0000"&amp;$AF1694,4)&amp;"/"&amp;RIGHT("00"&amp;$AG1694,2)&amp;"/"&amp;RIGHT("00"&amp;$AH1694,2)))</f>
        <v/>
      </c>
      <c r="AJ1694">
        <f>IF($AE1694="","",IF(Sync!$Q1694="","0000",IF(AND(ISNUMBER(Sync!$Q1694),Sync!$Q1694&gt;=0,Sync!$Q1694&lt;1),RIGHT("00"&amp;HOUR(Sync!$Q1694),2)&amp;RIGHT("00"&amp;MINUTE(Sync!$Q1694),2),IFERROR(RIGHT("00"&amp;VALUE(LEFT(Sync!$Q1694,FIND(":",Sync!$Q1694)-1)),2)&amp;RIGHT("00"&amp;VALUE(MID(Sync!$Q1694,FIND(":",Sync!$Q1694)+1,2)),2),"0000"))))</f>
        <v/>
      </c>
      <c r="AK1694">
        <f>IF(OR($AE1694="",$AI1694="",$AI1694="نامعتبر"),"",LEFT($AI1694,4)&amp;MID($AI1694,6,2)&amp;RIGHT($AI1694,2)&amp;$AJ1694&amp;"|"&amp;"3"&amp;RIGHT("00000"&amp;1689,5))</f>
        <v/>
      </c>
      <c r="AL1694">
        <f>IF($AK1694="","",COUNTIFS(LdAParty,$AE1694,LdAType,1,LdAKey,"&lt;"&amp;$AK1694)+COUNTIFS(LdBMember,$AE1694,LdBKey,"&lt;"&amp;$AK1694)+COUNTIFS(LdCParty,$AE1694,LdCKey,"&lt;"&amp;$AK1694)+1)</f>
        <v/>
      </c>
      <c r="AM1694">
        <f>IF($AL1694="","",$AE1694&amp;"|"&amp;RIGHT("000000"&amp;$AL1694,6))</f>
        <v/>
      </c>
      <c r="AN1694">
        <f>IF($AE1694="","",IF(Sync!$W1694="",0,Sync!$W1694))</f>
        <v/>
      </c>
      <c r="AO1694">
        <f>IF($AE1694="","",IF(Sync!$X1694="",0,Sync!$X1694))</f>
        <v/>
      </c>
      <c r="AP1694">
        <f>IF($AE1694="","",Sync!$R1694)</f>
        <v/>
      </c>
      <c r="AQ1694">
        <f>IF($AE1694="","",Sync!$Y1694)</f>
        <v/>
      </c>
    </row>
    <row r="1695">
      <c r="A1695">
        <f>IF(OR(Wages!$B1698="",Wages!$E1698=""),"",Wages!$E1698)</f>
        <v/>
      </c>
      <c r="B1695">
        <f>IF($A1695="","",IF(Wages!$C1698="دستمزد گروهی",2,1))</f>
        <v/>
      </c>
      <c r="C1695">
        <f>IF($A1695="","",IF(ISNUMBER(Wages!$B1698),IF(AND(Wages!$B1698&gt;=10000101,Wages!$B1698&lt;=99991231),INT(Wages!$B1698/10000),""),IFERROR(VALUE(TRIM(LEFT(Wages!$B1698,FIND("/",Wages!$B1698)-1))),"")))</f>
        <v/>
      </c>
      <c r="D1695">
        <f>IF(OR($A1695="",$C1695=""),"",IF(ISNUMBER(Wages!$B1698),INT(MOD(Wages!$B1698,10000)/100),IFERROR(VALUE(TRIM(LEFT(MID(Wages!$B1698,FIND("/",Wages!$B1698)+1,20),FIND("/",MID(Wages!$B1698,FIND("/",Wages!$B1698)+1,20))-1))),"")))</f>
        <v/>
      </c>
      <c r="E1695">
        <f>IF(OR($A1695="",$C1695=""),"",IF(ISNUMBER(Wages!$B1698),MOD(Wages!$B1698,100),IFERROR(VALUE(TRIM(MID(MID(Wages!$B1698,FIND("/",Wages!$B1698)+1,20),FIND("/",MID(Wages!$B1698,FIND("/",Wages!$B1698)+1,20))+1,20))),"")))</f>
        <v/>
      </c>
      <c r="F1695">
        <f>IF($A1695="","",IF(OR($C1695="",$D1695="",$E1695="",$C1695&lt;1300,$C1695&gt;1500,$D1695&lt;1,$D1695&gt;12,$E1695&lt;1,$E1695&gt;31),"نامعتبر",RIGHT("0000"&amp;$C1695,4)&amp;"/"&amp;RIGHT("00"&amp;$D1695,2)&amp;"/"&amp;RIGHT("00"&amp;$E1695,2)))</f>
        <v/>
      </c>
      <c r="G1695">
        <f>IF(OR($A1695="",$F1695="",$F1695="نامعتبر"),"",LEFT($F1695,4)&amp;MID($F1695,6,2)&amp;RIGHT($F1695,2)&amp;"0000"&amp;"|"&amp;"1"&amp;RIGHT("00000"&amp;1690,5))</f>
        <v/>
      </c>
      <c r="H1695">
        <f>IF(OR($B1695&lt;&gt;1,$G1695=""),"",COUNTIFS(LdAParty,$A1695,LdAType,1,LdAKey,"&lt;"&amp;$G1695)+COUNTIFS(LdBMember,$A1695,LdBKey,"&lt;"&amp;$G1695)+COUNTIFS(LdCParty,$A1695,LdCKey,"&lt;"&amp;$G1695)+1)</f>
        <v/>
      </c>
      <c r="I1695">
        <f>IF($H1695="","",$A1695&amp;"|"&amp;RIGHT("000000"&amp;$H1695,6))</f>
        <v/>
      </c>
      <c r="J1695">
        <f>IF(OR($B1695&lt;&gt;2,$G1695=""),"",COUNTIFS(LdAParty,$A1695,LdAType,2,LdAKey,"&lt;"&amp;$G1695)+1)</f>
        <v/>
      </c>
      <c r="K1695">
        <f>IF($J1695="","",$A1695&amp;"|"&amp;RIGHT("000000"&amp;$J1695,6))</f>
        <v/>
      </c>
      <c r="L1695">
        <f>IF($A1695="","",IF(Wages!$G1698="",0,Wages!$G1698))</f>
        <v/>
      </c>
      <c r="M1695">
        <f>IF($A1695="","",Wages!$J1698)</f>
        <v/>
      </c>
      <c r="N1695">
        <f>IF($A1695="","",Wages!$D1698)</f>
        <v/>
      </c>
      <c r="P1695">
        <f>IF(OR(Shares!$B1698="",Shares!$C1698=""),"",Shares!$C1698)</f>
        <v/>
      </c>
      <c r="Q1695">
        <f>IF($P1695="","",Shares!$B1698)</f>
        <v/>
      </c>
      <c r="R1695">
        <f>IF($P1695="","",IFERROR(INDEX(WageParty,MATCH($Q1695,WageIds,0)),""))</f>
        <v/>
      </c>
      <c r="S1695">
        <f>IF($P1695="","",IFERROR(INDEX($F$6:$F$2005,MATCH($Q1695,WageIds,0)),""))</f>
        <v/>
      </c>
      <c r="T1695">
        <f>IF(OR($P1695="",$S1695="",$S1695="نامعتبر"),"",LEFT($S1695,4)&amp;MID($S1695,6,2)&amp;RIGHT($S1695,2)&amp;"0000"&amp;"|"&amp;"2"&amp;RIGHT("00000"&amp;1690,5))</f>
        <v/>
      </c>
      <c r="U1695">
        <f>IF($T1695="","",COUNTIFS(LdAParty,$P1695,LdAType,1,LdAKey,"&lt;"&amp;$T1695)+COUNTIFS(LdBMember,$P1695,LdBKey,"&lt;"&amp;$T1695)+COUNTIFS(LdCParty,$P1695,LdCKey,"&lt;"&amp;$T1695)+1)</f>
        <v/>
      </c>
      <c r="V1695">
        <f>IF($U1695="","",$P1695&amp;"|"&amp;RIGHT("000000"&amp;$U1695,6))</f>
        <v/>
      </c>
      <c r="W1695">
        <f>IF($T1695="","",COUNTIFS(LdBGroup,$R1695,LdBKey,"&lt;"&amp;$T1695)+1)</f>
        <v/>
      </c>
      <c r="X1695">
        <f>IF($W1695="","",$R1695&amp;"|"&amp;RIGHT("000000"&amp;$W1695,6))</f>
        <v/>
      </c>
      <c r="Y1695">
        <f>IF($P1695="","",IF(Shares!$E1698="",0,Shares!$E1698))</f>
        <v/>
      </c>
      <c r="Z1695">
        <f>IF($P1695="","",Shares!$H1698)</f>
        <v/>
      </c>
      <c r="AE1695">
        <f>IF(OR(Sync!$S1695="",Sync!$P1695=""),"",Sync!$S1695)</f>
        <v/>
      </c>
      <c r="AF1695">
        <f>IF($AE1695="","",IF(ISNUMBER(Sync!$P1695),IF(AND(Sync!$P1695&gt;=10000101,Sync!$P1695&lt;=99991231),INT(Sync!$P1695/10000),""),IFERROR(VALUE(TRIM(LEFT(Sync!$P1695,FIND("/",Sync!$P1695)-1))),"")))</f>
        <v/>
      </c>
      <c r="AG1695">
        <f>IF(OR($AE1695="",$AF1695=""),"",IF(ISNUMBER(Sync!$P1695),INT(MOD(Sync!$P1695,10000)/100),IFERROR(VALUE(TRIM(LEFT(MID(Sync!$P1695,FIND("/",Sync!$P1695)+1,20),FIND("/",MID(Sync!$P1695,FIND("/",Sync!$P1695)+1,20))-1))),"")))</f>
        <v/>
      </c>
      <c r="AH1695">
        <f>IF(OR($AE1695="",$AF1695=""),"",IF(ISNUMBER(Sync!$P1695),MOD(Sync!$P1695,100),IFERROR(VALUE(TRIM(MID(MID(Sync!$P1695,FIND("/",Sync!$P1695)+1,20),FIND("/",MID(Sync!$P1695,FIND("/",Sync!$P1695)+1,20))+1,20))),"")))</f>
        <v/>
      </c>
      <c r="AI1695">
        <f>IF($AE1695="","",IF(OR($AF1695="",$AG1695="",$AH1695="",$AF1695&lt;1300,$AF1695&gt;1500,$AG1695&lt;1,$AG1695&gt;12,$AH1695&lt;1,$AH1695&gt;31),"نامعتبر",RIGHT("0000"&amp;$AF1695,4)&amp;"/"&amp;RIGHT("00"&amp;$AG1695,2)&amp;"/"&amp;RIGHT("00"&amp;$AH1695,2)))</f>
        <v/>
      </c>
      <c r="AJ1695">
        <f>IF($AE1695="","",IF(Sync!$Q1695="","0000",IF(AND(ISNUMBER(Sync!$Q1695),Sync!$Q1695&gt;=0,Sync!$Q1695&lt;1),RIGHT("00"&amp;HOUR(Sync!$Q1695),2)&amp;RIGHT("00"&amp;MINUTE(Sync!$Q1695),2),IFERROR(RIGHT("00"&amp;VALUE(LEFT(Sync!$Q1695,FIND(":",Sync!$Q1695)-1)),2)&amp;RIGHT("00"&amp;VALUE(MID(Sync!$Q1695,FIND(":",Sync!$Q1695)+1,2)),2),"0000"))))</f>
        <v/>
      </c>
      <c r="AK1695">
        <f>IF(OR($AE1695="",$AI1695="",$AI1695="نامعتبر"),"",LEFT($AI1695,4)&amp;MID($AI1695,6,2)&amp;RIGHT($AI1695,2)&amp;$AJ1695&amp;"|"&amp;"3"&amp;RIGHT("00000"&amp;1690,5))</f>
        <v/>
      </c>
      <c r="AL1695">
        <f>IF($AK1695="","",COUNTIFS(LdAParty,$AE1695,LdAType,1,LdAKey,"&lt;"&amp;$AK1695)+COUNTIFS(LdBMember,$AE1695,LdBKey,"&lt;"&amp;$AK1695)+COUNTIFS(LdCParty,$AE1695,LdCKey,"&lt;"&amp;$AK1695)+1)</f>
        <v/>
      </c>
      <c r="AM1695">
        <f>IF($AL1695="","",$AE1695&amp;"|"&amp;RIGHT("000000"&amp;$AL1695,6))</f>
        <v/>
      </c>
      <c r="AN1695">
        <f>IF($AE1695="","",IF(Sync!$W1695="",0,Sync!$W1695))</f>
        <v/>
      </c>
      <c r="AO1695">
        <f>IF($AE1695="","",IF(Sync!$X1695="",0,Sync!$X1695))</f>
        <v/>
      </c>
      <c r="AP1695">
        <f>IF($AE1695="","",Sync!$R1695)</f>
        <v/>
      </c>
      <c r="AQ1695">
        <f>IF($AE1695="","",Sync!$Y1695)</f>
        <v/>
      </c>
    </row>
    <row r="1696">
      <c r="A1696">
        <f>IF(OR(Wages!$B1699="",Wages!$E1699=""),"",Wages!$E1699)</f>
        <v/>
      </c>
      <c r="B1696">
        <f>IF($A1696="","",IF(Wages!$C1699="دستمزد گروهی",2,1))</f>
        <v/>
      </c>
      <c r="C1696">
        <f>IF($A1696="","",IF(ISNUMBER(Wages!$B1699),IF(AND(Wages!$B1699&gt;=10000101,Wages!$B1699&lt;=99991231),INT(Wages!$B1699/10000),""),IFERROR(VALUE(TRIM(LEFT(Wages!$B1699,FIND("/",Wages!$B1699)-1))),"")))</f>
        <v/>
      </c>
      <c r="D1696">
        <f>IF(OR($A1696="",$C1696=""),"",IF(ISNUMBER(Wages!$B1699),INT(MOD(Wages!$B1699,10000)/100),IFERROR(VALUE(TRIM(LEFT(MID(Wages!$B1699,FIND("/",Wages!$B1699)+1,20),FIND("/",MID(Wages!$B1699,FIND("/",Wages!$B1699)+1,20))-1))),"")))</f>
        <v/>
      </c>
      <c r="E1696">
        <f>IF(OR($A1696="",$C1696=""),"",IF(ISNUMBER(Wages!$B1699),MOD(Wages!$B1699,100),IFERROR(VALUE(TRIM(MID(MID(Wages!$B1699,FIND("/",Wages!$B1699)+1,20),FIND("/",MID(Wages!$B1699,FIND("/",Wages!$B1699)+1,20))+1,20))),"")))</f>
        <v/>
      </c>
      <c r="F1696">
        <f>IF($A1696="","",IF(OR($C1696="",$D1696="",$E1696="",$C1696&lt;1300,$C1696&gt;1500,$D1696&lt;1,$D1696&gt;12,$E1696&lt;1,$E1696&gt;31),"نامعتبر",RIGHT("0000"&amp;$C1696,4)&amp;"/"&amp;RIGHT("00"&amp;$D1696,2)&amp;"/"&amp;RIGHT("00"&amp;$E1696,2)))</f>
        <v/>
      </c>
      <c r="G1696">
        <f>IF(OR($A1696="",$F1696="",$F1696="نامعتبر"),"",LEFT($F1696,4)&amp;MID($F1696,6,2)&amp;RIGHT($F1696,2)&amp;"0000"&amp;"|"&amp;"1"&amp;RIGHT("00000"&amp;1691,5))</f>
        <v/>
      </c>
      <c r="H1696">
        <f>IF(OR($B1696&lt;&gt;1,$G1696=""),"",COUNTIFS(LdAParty,$A1696,LdAType,1,LdAKey,"&lt;"&amp;$G1696)+COUNTIFS(LdBMember,$A1696,LdBKey,"&lt;"&amp;$G1696)+COUNTIFS(LdCParty,$A1696,LdCKey,"&lt;"&amp;$G1696)+1)</f>
        <v/>
      </c>
      <c r="I1696">
        <f>IF($H1696="","",$A1696&amp;"|"&amp;RIGHT("000000"&amp;$H1696,6))</f>
        <v/>
      </c>
      <c r="J1696">
        <f>IF(OR($B1696&lt;&gt;2,$G1696=""),"",COUNTIFS(LdAParty,$A1696,LdAType,2,LdAKey,"&lt;"&amp;$G1696)+1)</f>
        <v/>
      </c>
      <c r="K1696">
        <f>IF($J1696="","",$A1696&amp;"|"&amp;RIGHT("000000"&amp;$J1696,6))</f>
        <v/>
      </c>
      <c r="L1696">
        <f>IF($A1696="","",IF(Wages!$G1699="",0,Wages!$G1699))</f>
        <v/>
      </c>
      <c r="M1696">
        <f>IF($A1696="","",Wages!$J1699)</f>
        <v/>
      </c>
      <c r="N1696">
        <f>IF($A1696="","",Wages!$D1699)</f>
        <v/>
      </c>
      <c r="P1696">
        <f>IF(OR(Shares!$B1699="",Shares!$C1699=""),"",Shares!$C1699)</f>
        <v/>
      </c>
      <c r="Q1696">
        <f>IF($P1696="","",Shares!$B1699)</f>
        <v/>
      </c>
      <c r="R1696">
        <f>IF($P1696="","",IFERROR(INDEX(WageParty,MATCH($Q1696,WageIds,0)),""))</f>
        <v/>
      </c>
      <c r="S1696">
        <f>IF($P1696="","",IFERROR(INDEX($F$6:$F$2005,MATCH($Q1696,WageIds,0)),""))</f>
        <v/>
      </c>
      <c r="T1696">
        <f>IF(OR($P1696="",$S1696="",$S1696="نامعتبر"),"",LEFT($S1696,4)&amp;MID($S1696,6,2)&amp;RIGHT($S1696,2)&amp;"0000"&amp;"|"&amp;"2"&amp;RIGHT("00000"&amp;1691,5))</f>
        <v/>
      </c>
      <c r="U1696">
        <f>IF($T1696="","",COUNTIFS(LdAParty,$P1696,LdAType,1,LdAKey,"&lt;"&amp;$T1696)+COUNTIFS(LdBMember,$P1696,LdBKey,"&lt;"&amp;$T1696)+COUNTIFS(LdCParty,$P1696,LdCKey,"&lt;"&amp;$T1696)+1)</f>
        <v/>
      </c>
      <c r="V1696">
        <f>IF($U1696="","",$P1696&amp;"|"&amp;RIGHT("000000"&amp;$U1696,6))</f>
        <v/>
      </c>
      <c r="W1696">
        <f>IF($T1696="","",COUNTIFS(LdBGroup,$R1696,LdBKey,"&lt;"&amp;$T1696)+1)</f>
        <v/>
      </c>
      <c r="X1696">
        <f>IF($W1696="","",$R1696&amp;"|"&amp;RIGHT("000000"&amp;$W1696,6))</f>
        <v/>
      </c>
      <c r="Y1696">
        <f>IF($P1696="","",IF(Shares!$E1699="",0,Shares!$E1699))</f>
        <v/>
      </c>
      <c r="Z1696">
        <f>IF($P1696="","",Shares!$H1699)</f>
        <v/>
      </c>
      <c r="AE1696">
        <f>IF(OR(Sync!$S1696="",Sync!$P1696=""),"",Sync!$S1696)</f>
        <v/>
      </c>
      <c r="AF1696">
        <f>IF($AE1696="","",IF(ISNUMBER(Sync!$P1696),IF(AND(Sync!$P1696&gt;=10000101,Sync!$P1696&lt;=99991231),INT(Sync!$P1696/10000),""),IFERROR(VALUE(TRIM(LEFT(Sync!$P1696,FIND("/",Sync!$P1696)-1))),"")))</f>
        <v/>
      </c>
      <c r="AG1696">
        <f>IF(OR($AE1696="",$AF1696=""),"",IF(ISNUMBER(Sync!$P1696),INT(MOD(Sync!$P1696,10000)/100),IFERROR(VALUE(TRIM(LEFT(MID(Sync!$P1696,FIND("/",Sync!$P1696)+1,20),FIND("/",MID(Sync!$P1696,FIND("/",Sync!$P1696)+1,20))-1))),"")))</f>
        <v/>
      </c>
      <c r="AH1696">
        <f>IF(OR($AE1696="",$AF1696=""),"",IF(ISNUMBER(Sync!$P1696),MOD(Sync!$P1696,100),IFERROR(VALUE(TRIM(MID(MID(Sync!$P1696,FIND("/",Sync!$P1696)+1,20),FIND("/",MID(Sync!$P1696,FIND("/",Sync!$P1696)+1,20))+1,20))),"")))</f>
        <v/>
      </c>
      <c r="AI1696">
        <f>IF($AE1696="","",IF(OR($AF1696="",$AG1696="",$AH1696="",$AF1696&lt;1300,$AF1696&gt;1500,$AG1696&lt;1,$AG1696&gt;12,$AH1696&lt;1,$AH1696&gt;31),"نامعتبر",RIGHT("0000"&amp;$AF1696,4)&amp;"/"&amp;RIGHT("00"&amp;$AG1696,2)&amp;"/"&amp;RIGHT("00"&amp;$AH1696,2)))</f>
        <v/>
      </c>
      <c r="AJ1696">
        <f>IF($AE1696="","",IF(Sync!$Q1696="","0000",IF(AND(ISNUMBER(Sync!$Q1696),Sync!$Q1696&gt;=0,Sync!$Q1696&lt;1),RIGHT("00"&amp;HOUR(Sync!$Q1696),2)&amp;RIGHT("00"&amp;MINUTE(Sync!$Q1696),2),IFERROR(RIGHT("00"&amp;VALUE(LEFT(Sync!$Q1696,FIND(":",Sync!$Q1696)-1)),2)&amp;RIGHT("00"&amp;VALUE(MID(Sync!$Q1696,FIND(":",Sync!$Q1696)+1,2)),2),"0000"))))</f>
        <v/>
      </c>
      <c r="AK1696">
        <f>IF(OR($AE1696="",$AI1696="",$AI1696="نامعتبر"),"",LEFT($AI1696,4)&amp;MID($AI1696,6,2)&amp;RIGHT($AI1696,2)&amp;$AJ1696&amp;"|"&amp;"3"&amp;RIGHT("00000"&amp;1691,5))</f>
        <v/>
      </c>
      <c r="AL1696">
        <f>IF($AK1696="","",COUNTIFS(LdAParty,$AE1696,LdAType,1,LdAKey,"&lt;"&amp;$AK1696)+COUNTIFS(LdBMember,$AE1696,LdBKey,"&lt;"&amp;$AK1696)+COUNTIFS(LdCParty,$AE1696,LdCKey,"&lt;"&amp;$AK1696)+1)</f>
        <v/>
      </c>
      <c r="AM1696">
        <f>IF($AL1696="","",$AE1696&amp;"|"&amp;RIGHT("000000"&amp;$AL1696,6))</f>
        <v/>
      </c>
      <c r="AN1696">
        <f>IF($AE1696="","",IF(Sync!$W1696="",0,Sync!$W1696))</f>
        <v/>
      </c>
      <c r="AO1696">
        <f>IF($AE1696="","",IF(Sync!$X1696="",0,Sync!$X1696))</f>
        <v/>
      </c>
      <c r="AP1696">
        <f>IF($AE1696="","",Sync!$R1696)</f>
        <v/>
      </c>
      <c r="AQ1696">
        <f>IF($AE1696="","",Sync!$Y1696)</f>
        <v/>
      </c>
    </row>
    <row r="1697">
      <c r="A1697">
        <f>IF(OR(Wages!$B1700="",Wages!$E1700=""),"",Wages!$E1700)</f>
        <v/>
      </c>
      <c r="B1697">
        <f>IF($A1697="","",IF(Wages!$C1700="دستمزد گروهی",2,1))</f>
        <v/>
      </c>
      <c r="C1697">
        <f>IF($A1697="","",IF(ISNUMBER(Wages!$B1700),IF(AND(Wages!$B1700&gt;=10000101,Wages!$B1700&lt;=99991231),INT(Wages!$B1700/10000),""),IFERROR(VALUE(TRIM(LEFT(Wages!$B1700,FIND("/",Wages!$B1700)-1))),"")))</f>
        <v/>
      </c>
      <c r="D1697">
        <f>IF(OR($A1697="",$C1697=""),"",IF(ISNUMBER(Wages!$B1700),INT(MOD(Wages!$B1700,10000)/100),IFERROR(VALUE(TRIM(LEFT(MID(Wages!$B1700,FIND("/",Wages!$B1700)+1,20),FIND("/",MID(Wages!$B1700,FIND("/",Wages!$B1700)+1,20))-1))),"")))</f>
        <v/>
      </c>
      <c r="E1697">
        <f>IF(OR($A1697="",$C1697=""),"",IF(ISNUMBER(Wages!$B1700),MOD(Wages!$B1700,100),IFERROR(VALUE(TRIM(MID(MID(Wages!$B1700,FIND("/",Wages!$B1700)+1,20),FIND("/",MID(Wages!$B1700,FIND("/",Wages!$B1700)+1,20))+1,20))),"")))</f>
        <v/>
      </c>
      <c r="F1697">
        <f>IF($A1697="","",IF(OR($C1697="",$D1697="",$E1697="",$C1697&lt;1300,$C1697&gt;1500,$D1697&lt;1,$D1697&gt;12,$E1697&lt;1,$E1697&gt;31),"نامعتبر",RIGHT("0000"&amp;$C1697,4)&amp;"/"&amp;RIGHT("00"&amp;$D1697,2)&amp;"/"&amp;RIGHT("00"&amp;$E1697,2)))</f>
        <v/>
      </c>
      <c r="G1697">
        <f>IF(OR($A1697="",$F1697="",$F1697="نامعتبر"),"",LEFT($F1697,4)&amp;MID($F1697,6,2)&amp;RIGHT($F1697,2)&amp;"0000"&amp;"|"&amp;"1"&amp;RIGHT("00000"&amp;1692,5))</f>
        <v/>
      </c>
      <c r="H1697">
        <f>IF(OR($B1697&lt;&gt;1,$G1697=""),"",COUNTIFS(LdAParty,$A1697,LdAType,1,LdAKey,"&lt;"&amp;$G1697)+COUNTIFS(LdBMember,$A1697,LdBKey,"&lt;"&amp;$G1697)+COUNTIFS(LdCParty,$A1697,LdCKey,"&lt;"&amp;$G1697)+1)</f>
        <v/>
      </c>
      <c r="I1697">
        <f>IF($H1697="","",$A1697&amp;"|"&amp;RIGHT("000000"&amp;$H1697,6))</f>
        <v/>
      </c>
      <c r="J1697">
        <f>IF(OR($B1697&lt;&gt;2,$G1697=""),"",COUNTIFS(LdAParty,$A1697,LdAType,2,LdAKey,"&lt;"&amp;$G1697)+1)</f>
        <v/>
      </c>
      <c r="K1697">
        <f>IF($J1697="","",$A1697&amp;"|"&amp;RIGHT("000000"&amp;$J1697,6))</f>
        <v/>
      </c>
      <c r="L1697">
        <f>IF($A1697="","",IF(Wages!$G1700="",0,Wages!$G1700))</f>
        <v/>
      </c>
      <c r="M1697">
        <f>IF($A1697="","",Wages!$J1700)</f>
        <v/>
      </c>
      <c r="N1697">
        <f>IF($A1697="","",Wages!$D1700)</f>
        <v/>
      </c>
      <c r="P1697">
        <f>IF(OR(Shares!$B1700="",Shares!$C1700=""),"",Shares!$C1700)</f>
        <v/>
      </c>
      <c r="Q1697">
        <f>IF($P1697="","",Shares!$B1700)</f>
        <v/>
      </c>
      <c r="R1697">
        <f>IF($P1697="","",IFERROR(INDEX(WageParty,MATCH($Q1697,WageIds,0)),""))</f>
        <v/>
      </c>
      <c r="S1697">
        <f>IF($P1697="","",IFERROR(INDEX($F$6:$F$2005,MATCH($Q1697,WageIds,0)),""))</f>
        <v/>
      </c>
      <c r="T1697">
        <f>IF(OR($P1697="",$S1697="",$S1697="نامعتبر"),"",LEFT($S1697,4)&amp;MID($S1697,6,2)&amp;RIGHT($S1697,2)&amp;"0000"&amp;"|"&amp;"2"&amp;RIGHT("00000"&amp;1692,5))</f>
        <v/>
      </c>
      <c r="U1697">
        <f>IF($T1697="","",COUNTIFS(LdAParty,$P1697,LdAType,1,LdAKey,"&lt;"&amp;$T1697)+COUNTIFS(LdBMember,$P1697,LdBKey,"&lt;"&amp;$T1697)+COUNTIFS(LdCParty,$P1697,LdCKey,"&lt;"&amp;$T1697)+1)</f>
        <v/>
      </c>
      <c r="V1697">
        <f>IF($U1697="","",$P1697&amp;"|"&amp;RIGHT("000000"&amp;$U1697,6))</f>
        <v/>
      </c>
      <c r="W1697">
        <f>IF($T1697="","",COUNTIFS(LdBGroup,$R1697,LdBKey,"&lt;"&amp;$T1697)+1)</f>
        <v/>
      </c>
      <c r="X1697">
        <f>IF($W1697="","",$R1697&amp;"|"&amp;RIGHT("000000"&amp;$W1697,6))</f>
        <v/>
      </c>
      <c r="Y1697">
        <f>IF($P1697="","",IF(Shares!$E1700="",0,Shares!$E1700))</f>
        <v/>
      </c>
      <c r="Z1697">
        <f>IF($P1697="","",Shares!$H1700)</f>
        <v/>
      </c>
      <c r="AE1697">
        <f>IF(OR(Sync!$S1697="",Sync!$P1697=""),"",Sync!$S1697)</f>
        <v/>
      </c>
      <c r="AF1697">
        <f>IF($AE1697="","",IF(ISNUMBER(Sync!$P1697),IF(AND(Sync!$P1697&gt;=10000101,Sync!$P1697&lt;=99991231),INT(Sync!$P1697/10000),""),IFERROR(VALUE(TRIM(LEFT(Sync!$P1697,FIND("/",Sync!$P1697)-1))),"")))</f>
        <v/>
      </c>
      <c r="AG1697">
        <f>IF(OR($AE1697="",$AF1697=""),"",IF(ISNUMBER(Sync!$P1697),INT(MOD(Sync!$P1697,10000)/100),IFERROR(VALUE(TRIM(LEFT(MID(Sync!$P1697,FIND("/",Sync!$P1697)+1,20),FIND("/",MID(Sync!$P1697,FIND("/",Sync!$P1697)+1,20))-1))),"")))</f>
        <v/>
      </c>
      <c r="AH1697">
        <f>IF(OR($AE1697="",$AF1697=""),"",IF(ISNUMBER(Sync!$P1697),MOD(Sync!$P1697,100),IFERROR(VALUE(TRIM(MID(MID(Sync!$P1697,FIND("/",Sync!$P1697)+1,20),FIND("/",MID(Sync!$P1697,FIND("/",Sync!$P1697)+1,20))+1,20))),"")))</f>
        <v/>
      </c>
      <c r="AI1697">
        <f>IF($AE1697="","",IF(OR($AF1697="",$AG1697="",$AH1697="",$AF1697&lt;1300,$AF1697&gt;1500,$AG1697&lt;1,$AG1697&gt;12,$AH1697&lt;1,$AH1697&gt;31),"نامعتبر",RIGHT("0000"&amp;$AF1697,4)&amp;"/"&amp;RIGHT("00"&amp;$AG1697,2)&amp;"/"&amp;RIGHT("00"&amp;$AH1697,2)))</f>
        <v/>
      </c>
      <c r="AJ1697">
        <f>IF($AE1697="","",IF(Sync!$Q1697="","0000",IF(AND(ISNUMBER(Sync!$Q1697),Sync!$Q1697&gt;=0,Sync!$Q1697&lt;1),RIGHT("00"&amp;HOUR(Sync!$Q1697),2)&amp;RIGHT("00"&amp;MINUTE(Sync!$Q1697),2),IFERROR(RIGHT("00"&amp;VALUE(LEFT(Sync!$Q1697,FIND(":",Sync!$Q1697)-1)),2)&amp;RIGHT("00"&amp;VALUE(MID(Sync!$Q1697,FIND(":",Sync!$Q1697)+1,2)),2),"0000"))))</f>
        <v/>
      </c>
      <c r="AK1697">
        <f>IF(OR($AE1697="",$AI1697="",$AI1697="نامعتبر"),"",LEFT($AI1697,4)&amp;MID($AI1697,6,2)&amp;RIGHT($AI1697,2)&amp;$AJ1697&amp;"|"&amp;"3"&amp;RIGHT("00000"&amp;1692,5))</f>
        <v/>
      </c>
      <c r="AL1697">
        <f>IF($AK1697="","",COUNTIFS(LdAParty,$AE1697,LdAType,1,LdAKey,"&lt;"&amp;$AK1697)+COUNTIFS(LdBMember,$AE1697,LdBKey,"&lt;"&amp;$AK1697)+COUNTIFS(LdCParty,$AE1697,LdCKey,"&lt;"&amp;$AK1697)+1)</f>
        <v/>
      </c>
      <c r="AM1697">
        <f>IF($AL1697="","",$AE1697&amp;"|"&amp;RIGHT("000000"&amp;$AL1697,6))</f>
        <v/>
      </c>
      <c r="AN1697">
        <f>IF($AE1697="","",IF(Sync!$W1697="",0,Sync!$W1697))</f>
        <v/>
      </c>
      <c r="AO1697">
        <f>IF($AE1697="","",IF(Sync!$X1697="",0,Sync!$X1697))</f>
        <v/>
      </c>
      <c r="AP1697">
        <f>IF($AE1697="","",Sync!$R1697)</f>
        <v/>
      </c>
      <c r="AQ1697">
        <f>IF($AE1697="","",Sync!$Y1697)</f>
        <v/>
      </c>
    </row>
    <row r="1698">
      <c r="A1698">
        <f>IF(OR(Wages!$B1701="",Wages!$E1701=""),"",Wages!$E1701)</f>
        <v/>
      </c>
      <c r="B1698">
        <f>IF($A1698="","",IF(Wages!$C1701="دستمزد گروهی",2,1))</f>
        <v/>
      </c>
      <c r="C1698">
        <f>IF($A1698="","",IF(ISNUMBER(Wages!$B1701),IF(AND(Wages!$B1701&gt;=10000101,Wages!$B1701&lt;=99991231),INT(Wages!$B1701/10000),""),IFERROR(VALUE(TRIM(LEFT(Wages!$B1701,FIND("/",Wages!$B1701)-1))),"")))</f>
        <v/>
      </c>
      <c r="D1698">
        <f>IF(OR($A1698="",$C1698=""),"",IF(ISNUMBER(Wages!$B1701),INT(MOD(Wages!$B1701,10000)/100),IFERROR(VALUE(TRIM(LEFT(MID(Wages!$B1701,FIND("/",Wages!$B1701)+1,20),FIND("/",MID(Wages!$B1701,FIND("/",Wages!$B1701)+1,20))-1))),"")))</f>
        <v/>
      </c>
      <c r="E1698">
        <f>IF(OR($A1698="",$C1698=""),"",IF(ISNUMBER(Wages!$B1701),MOD(Wages!$B1701,100),IFERROR(VALUE(TRIM(MID(MID(Wages!$B1701,FIND("/",Wages!$B1701)+1,20),FIND("/",MID(Wages!$B1701,FIND("/",Wages!$B1701)+1,20))+1,20))),"")))</f>
        <v/>
      </c>
      <c r="F1698">
        <f>IF($A1698="","",IF(OR($C1698="",$D1698="",$E1698="",$C1698&lt;1300,$C1698&gt;1500,$D1698&lt;1,$D1698&gt;12,$E1698&lt;1,$E1698&gt;31),"نامعتبر",RIGHT("0000"&amp;$C1698,4)&amp;"/"&amp;RIGHT("00"&amp;$D1698,2)&amp;"/"&amp;RIGHT("00"&amp;$E1698,2)))</f>
        <v/>
      </c>
      <c r="G1698">
        <f>IF(OR($A1698="",$F1698="",$F1698="نامعتبر"),"",LEFT($F1698,4)&amp;MID($F1698,6,2)&amp;RIGHT($F1698,2)&amp;"0000"&amp;"|"&amp;"1"&amp;RIGHT("00000"&amp;1693,5))</f>
        <v/>
      </c>
      <c r="H1698">
        <f>IF(OR($B1698&lt;&gt;1,$G1698=""),"",COUNTIFS(LdAParty,$A1698,LdAType,1,LdAKey,"&lt;"&amp;$G1698)+COUNTIFS(LdBMember,$A1698,LdBKey,"&lt;"&amp;$G1698)+COUNTIFS(LdCParty,$A1698,LdCKey,"&lt;"&amp;$G1698)+1)</f>
        <v/>
      </c>
      <c r="I1698">
        <f>IF($H1698="","",$A1698&amp;"|"&amp;RIGHT("000000"&amp;$H1698,6))</f>
        <v/>
      </c>
      <c r="J1698">
        <f>IF(OR($B1698&lt;&gt;2,$G1698=""),"",COUNTIFS(LdAParty,$A1698,LdAType,2,LdAKey,"&lt;"&amp;$G1698)+1)</f>
        <v/>
      </c>
      <c r="K1698">
        <f>IF($J1698="","",$A1698&amp;"|"&amp;RIGHT("000000"&amp;$J1698,6))</f>
        <v/>
      </c>
      <c r="L1698">
        <f>IF($A1698="","",IF(Wages!$G1701="",0,Wages!$G1701))</f>
        <v/>
      </c>
      <c r="M1698">
        <f>IF($A1698="","",Wages!$J1701)</f>
        <v/>
      </c>
      <c r="N1698">
        <f>IF($A1698="","",Wages!$D1701)</f>
        <v/>
      </c>
      <c r="P1698">
        <f>IF(OR(Shares!$B1701="",Shares!$C1701=""),"",Shares!$C1701)</f>
        <v/>
      </c>
      <c r="Q1698">
        <f>IF($P1698="","",Shares!$B1701)</f>
        <v/>
      </c>
      <c r="R1698">
        <f>IF($P1698="","",IFERROR(INDEX(WageParty,MATCH($Q1698,WageIds,0)),""))</f>
        <v/>
      </c>
      <c r="S1698">
        <f>IF($P1698="","",IFERROR(INDEX($F$6:$F$2005,MATCH($Q1698,WageIds,0)),""))</f>
        <v/>
      </c>
      <c r="T1698">
        <f>IF(OR($P1698="",$S1698="",$S1698="نامعتبر"),"",LEFT($S1698,4)&amp;MID($S1698,6,2)&amp;RIGHT($S1698,2)&amp;"0000"&amp;"|"&amp;"2"&amp;RIGHT("00000"&amp;1693,5))</f>
        <v/>
      </c>
      <c r="U1698">
        <f>IF($T1698="","",COUNTIFS(LdAParty,$P1698,LdAType,1,LdAKey,"&lt;"&amp;$T1698)+COUNTIFS(LdBMember,$P1698,LdBKey,"&lt;"&amp;$T1698)+COUNTIFS(LdCParty,$P1698,LdCKey,"&lt;"&amp;$T1698)+1)</f>
        <v/>
      </c>
      <c r="V1698">
        <f>IF($U1698="","",$P1698&amp;"|"&amp;RIGHT("000000"&amp;$U1698,6))</f>
        <v/>
      </c>
      <c r="W1698">
        <f>IF($T1698="","",COUNTIFS(LdBGroup,$R1698,LdBKey,"&lt;"&amp;$T1698)+1)</f>
        <v/>
      </c>
      <c r="X1698">
        <f>IF($W1698="","",$R1698&amp;"|"&amp;RIGHT("000000"&amp;$W1698,6))</f>
        <v/>
      </c>
      <c r="Y1698">
        <f>IF($P1698="","",IF(Shares!$E1701="",0,Shares!$E1701))</f>
        <v/>
      </c>
      <c r="Z1698">
        <f>IF($P1698="","",Shares!$H1701)</f>
        <v/>
      </c>
      <c r="AE1698">
        <f>IF(OR(Sync!$S1698="",Sync!$P1698=""),"",Sync!$S1698)</f>
        <v/>
      </c>
      <c r="AF1698">
        <f>IF($AE1698="","",IF(ISNUMBER(Sync!$P1698),IF(AND(Sync!$P1698&gt;=10000101,Sync!$P1698&lt;=99991231),INT(Sync!$P1698/10000),""),IFERROR(VALUE(TRIM(LEFT(Sync!$P1698,FIND("/",Sync!$P1698)-1))),"")))</f>
        <v/>
      </c>
      <c r="AG1698">
        <f>IF(OR($AE1698="",$AF1698=""),"",IF(ISNUMBER(Sync!$P1698),INT(MOD(Sync!$P1698,10000)/100),IFERROR(VALUE(TRIM(LEFT(MID(Sync!$P1698,FIND("/",Sync!$P1698)+1,20),FIND("/",MID(Sync!$P1698,FIND("/",Sync!$P1698)+1,20))-1))),"")))</f>
        <v/>
      </c>
      <c r="AH1698">
        <f>IF(OR($AE1698="",$AF1698=""),"",IF(ISNUMBER(Sync!$P1698),MOD(Sync!$P1698,100),IFERROR(VALUE(TRIM(MID(MID(Sync!$P1698,FIND("/",Sync!$P1698)+1,20),FIND("/",MID(Sync!$P1698,FIND("/",Sync!$P1698)+1,20))+1,20))),"")))</f>
        <v/>
      </c>
      <c r="AI1698">
        <f>IF($AE1698="","",IF(OR($AF1698="",$AG1698="",$AH1698="",$AF1698&lt;1300,$AF1698&gt;1500,$AG1698&lt;1,$AG1698&gt;12,$AH1698&lt;1,$AH1698&gt;31),"نامعتبر",RIGHT("0000"&amp;$AF1698,4)&amp;"/"&amp;RIGHT("00"&amp;$AG1698,2)&amp;"/"&amp;RIGHT("00"&amp;$AH1698,2)))</f>
        <v/>
      </c>
      <c r="AJ1698">
        <f>IF($AE1698="","",IF(Sync!$Q1698="","0000",IF(AND(ISNUMBER(Sync!$Q1698),Sync!$Q1698&gt;=0,Sync!$Q1698&lt;1),RIGHT("00"&amp;HOUR(Sync!$Q1698),2)&amp;RIGHT("00"&amp;MINUTE(Sync!$Q1698),2),IFERROR(RIGHT("00"&amp;VALUE(LEFT(Sync!$Q1698,FIND(":",Sync!$Q1698)-1)),2)&amp;RIGHT("00"&amp;VALUE(MID(Sync!$Q1698,FIND(":",Sync!$Q1698)+1,2)),2),"0000"))))</f>
        <v/>
      </c>
      <c r="AK1698">
        <f>IF(OR($AE1698="",$AI1698="",$AI1698="نامعتبر"),"",LEFT($AI1698,4)&amp;MID($AI1698,6,2)&amp;RIGHT($AI1698,2)&amp;$AJ1698&amp;"|"&amp;"3"&amp;RIGHT("00000"&amp;1693,5))</f>
        <v/>
      </c>
      <c r="AL1698">
        <f>IF($AK1698="","",COUNTIFS(LdAParty,$AE1698,LdAType,1,LdAKey,"&lt;"&amp;$AK1698)+COUNTIFS(LdBMember,$AE1698,LdBKey,"&lt;"&amp;$AK1698)+COUNTIFS(LdCParty,$AE1698,LdCKey,"&lt;"&amp;$AK1698)+1)</f>
        <v/>
      </c>
      <c r="AM1698">
        <f>IF($AL1698="","",$AE1698&amp;"|"&amp;RIGHT("000000"&amp;$AL1698,6))</f>
        <v/>
      </c>
      <c r="AN1698">
        <f>IF($AE1698="","",IF(Sync!$W1698="",0,Sync!$W1698))</f>
        <v/>
      </c>
      <c r="AO1698">
        <f>IF($AE1698="","",IF(Sync!$X1698="",0,Sync!$X1698))</f>
        <v/>
      </c>
      <c r="AP1698">
        <f>IF($AE1698="","",Sync!$R1698)</f>
        <v/>
      </c>
      <c r="AQ1698">
        <f>IF($AE1698="","",Sync!$Y1698)</f>
        <v/>
      </c>
    </row>
    <row r="1699">
      <c r="A1699">
        <f>IF(OR(Wages!$B1702="",Wages!$E1702=""),"",Wages!$E1702)</f>
        <v/>
      </c>
      <c r="B1699">
        <f>IF($A1699="","",IF(Wages!$C1702="دستمزد گروهی",2,1))</f>
        <v/>
      </c>
      <c r="C1699">
        <f>IF($A1699="","",IF(ISNUMBER(Wages!$B1702),IF(AND(Wages!$B1702&gt;=10000101,Wages!$B1702&lt;=99991231),INT(Wages!$B1702/10000),""),IFERROR(VALUE(TRIM(LEFT(Wages!$B1702,FIND("/",Wages!$B1702)-1))),"")))</f>
        <v/>
      </c>
      <c r="D1699">
        <f>IF(OR($A1699="",$C1699=""),"",IF(ISNUMBER(Wages!$B1702),INT(MOD(Wages!$B1702,10000)/100),IFERROR(VALUE(TRIM(LEFT(MID(Wages!$B1702,FIND("/",Wages!$B1702)+1,20),FIND("/",MID(Wages!$B1702,FIND("/",Wages!$B1702)+1,20))-1))),"")))</f>
        <v/>
      </c>
      <c r="E1699">
        <f>IF(OR($A1699="",$C1699=""),"",IF(ISNUMBER(Wages!$B1702),MOD(Wages!$B1702,100),IFERROR(VALUE(TRIM(MID(MID(Wages!$B1702,FIND("/",Wages!$B1702)+1,20),FIND("/",MID(Wages!$B1702,FIND("/",Wages!$B1702)+1,20))+1,20))),"")))</f>
        <v/>
      </c>
      <c r="F1699">
        <f>IF($A1699="","",IF(OR($C1699="",$D1699="",$E1699="",$C1699&lt;1300,$C1699&gt;1500,$D1699&lt;1,$D1699&gt;12,$E1699&lt;1,$E1699&gt;31),"نامعتبر",RIGHT("0000"&amp;$C1699,4)&amp;"/"&amp;RIGHT("00"&amp;$D1699,2)&amp;"/"&amp;RIGHT("00"&amp;$E1699,2)))</f>
        <v/>
      </c>
      <c r="G1699">
        <f>IF(OR($A1699="",$F1699="",$F1699="نامعتبر"),"",LEFT($F1699,4)&amp;MID($F1699,6,2)&amp;RIGHT($F1699,2)&amp;"0000"&amp;"|"&amp;"1"&amp;RIGHT("00000"&amp;1694,5))</f>
        <v/>
      </c>
      <c r="H1699">
        <f>IF(OR($B1699&lt;&gt;1,$G1699=""),"",COUNTIFS(LdAParty,$A1699,LdAType,1,LdAKey,"&lt;"&amp;$G1699)+COUNTIFS(LdBMember,$A1699,LdBKey,"&lt;"&amp;$G1699)+COUNTIFS(LdCParty,$A1699,LdCKey,"&lt;"&amp;$G1699)+1)</f>
        <v/>
      </c>
      <c r="I1699">
        <f>IF($H1699="","",$A1699&amp;"|"&amp;RIGHT("000000"&amp;$H1699,6))</f>
        <v/>
      </c>
      <c r="J1699">
        <f>IF(OR($B1699&lt;&gt;2,$G1699=""),"",COUNTIFS(LdAParty,$A1699,LdAType,2,LdAKey,"&lt;"&amp;$G1699)+1)</f>
        <v/>
      </c>
      <c r="K1699">
        <f>IF($J1699="","",$A1699&amp;"|"&amp;RIGHT("000000"&amp;$J1699,6))</f>
        <v/>
      </c>
      <c r="L1699">
        <f>IF($A1699="","",IF(Wages!$G1702="",0,Wages!$G1702))</f>
        <v/>
      </c>
      <c r="M1699">
        <f>IF($A1699="","",Wages!$J1702)</f>
        <v/>
      </c>
      <c r="N1699">
        <f>IF($A1699="","",Wages!$D1702)</f>
        <v/>
      </c>
      <c r="P1699">
        <f>IF(OR(Shares!$B1702="",Shares!$C1702=""),"",Shares!$C1702)</f>
        <v/>
      </c>
      <c r="Q1699">
        <f>IF($P1699="","",Shares!$B1702)</f>
        <v/>
      </c>
      <c r="R1699">
        <f>IF($P1699="","",IFERROR(INDEX(WageParty,MATCH($Q1699,WageIds,0)),""))</f>
        <v/>
      </c>
      <c r="S1699">
        <f>IF($P1699="","",IFERROR(INDEX($F$6:$F$2005,MATCH($Q1699,WageIds,0)),""))</f>
        <v/>
      </c>
      <c r="T1699">
        <f>IF(OR($P1699="",$S1699="",$S1699="نامعتبر"),"",LEFT($S1699,4)&amp;MID($S1699,6,2)&amp;RIGHT($S1699,2)&amp;"0000"&amp;"|"&amp;"2"&amp;RIGHT("00000"&amp;1694,5))</f>
        <v/>
      </c>
      <c r="U1699">
        <f>IF($T1699="","",COUNTIFS(LdAParty,$P1699,LdAType,1,LdAKey,"&lt;"&amp;$T1699)+COUNTIFS(LdBMember,$P1699,LdBKey,"&lt;"&amp;$T1699)+COUNTIFS(LdCParty,$P1699,LdCKey,"&lt;"&amp;$T1699)+1)</f>
        <v/>
      </c>
      <c r="V1699">
        <f>IF($U1699="","",$P1699&amp;"|"&amp;RIGHT("000000"&amp;$U1699,6))</f>
        <v/>
      </c>
      <c r="W1699">
        <f>IF($T1699="","",COUNTIFS(LdBGroup,$R1699,LdBKey,"&lt;"&amp;$T1699)+1)</f>
        <v/>
      </c>
      <c r="X1699">
        <f>IF($W1699="","",$R1699&amp;"|"&amp;RIGHT("000000"&amp;$W1699,6))</f>
        <v/>
      </c>
      <c r="Y1699">
        <f>IF($P1699="","",IF(Shares!$E1702="",0,Shares!$E1702))</f>
        <v/>
      </c>
      <c r="Z1699">
        <f>IF($P1699="","",Shares!$H1702)</f>
        <v/>
      </c>
      <c r="AE1699">
        <f>IF(OR(Sync!$S1699="",Sync!$P1699=""),"",Sync!$S1699)</f>
        <v/>
      </c>
      <c r="AF1699">
        <f>IF($AE1699="","",IF(ISNUMBER(Sync!$P1699),IF(AND(Sync!$P1699&gt;=10000101,Sync!$P1699&lt;=99991231),INT(Sync!$P1699/10000),""),IFERROR(VALUE(TRIM(LEFT(Sync!$P1699,FIND("/",Sync!$P1699)-1))),"")))</f>
        <v/>
      </c>
      <c r="AG1699">
        <f>IF(OR($AE1699="",$AF1699=""),"",IF(ISNUMBER(Sync!$P1699),INT(MOD(Sync!$P1699,10000)/100),IFERROR(VALUE(TRIM(LEFT(MID(Sync!$P1699,FIND("/",Sync!$P1699)+1,20),FIND("/",MID(Sync!$P1699,FIND("/",Sync!$P1699)+1,20))-1))),"")))</f>
        <v/>
      </c>
      <c r="AH1699">
        <f>IF(OR($AE1699="",$AF1699=""),"",IF(ISNUMBER(Sync!$P1699),MOD(Sync!$P1699,100),IFERROR(VALUE(TRIM(MID(MID(Sync!$P1699,FIND("/",Sync!$P1699)+1,20),FIND("/",MID(Sync!$P1699,FIND("/",Sync!$P1699)+1,20))+1,20))),"")))</f>
        <v/>
      </c>
      <c r="AI1699">
        <f>IF($AE1699="","",IF(OR($AF1699="",$AG1699="",$AH1699="",$AF1699&lt;1300,$AF1699&gt;1500,$AG1699&lt;1,$AG1699&gt;12,$AH1699&lt;1,$AH1699&gt;31),"نامعتبر",RIGHT("0000"&amp;$AF1699,4)&amp;"/"&amp;RIGHT("00"&amp;$AG1699,2)&amp;"/"&amp;RIGHT("00"&amp;$AH1699,2)))</f>
        <v/>
      </c>
      <c r="AJ1699">
        <f>IF($AE1699="","",IF(Sync!$Q1699="","0000",IF(AND(ISNUMBER(Sync!$Q1699),Sync!$Q1699&gt;=0,Sync!$Q1699&lt;1),RIGHT("00"&amp;HOUR(Sync!$Q1699),2)&amp;RIGHT("00"&amp;MINUTE(Sync!$Q1699),2),IFERROR(RIGHT("00"&amp;VALUE(LEFT(Sync!$Q1699,FIND(":",Sync!$Q1699)-1)),2)&amp;RIGHT("00"&amp;VALUE(MID(Sync!$Q1699,FIND(":",Sync!$Q1699)+1,2)),2),"0000"))))</f>
        <v/>
      </c>
      <c r="AK1699">
        <f>IF(OR($AE1699="",$AI1699="",$AI1699="نامعتبر"),"",LEFT($AI1699,4)&amp;MID($AI1699,6,2)&amp;RIGHT($AI1699,2)&amp;$AJ1699&amp;"|"&amp;"3"&amp;RIGHT("00000"&amp;1694,5))</f>
        <v/>
      </c>
      <c r="AL1699">
        <f>IF($AK1699="","",COUNTIFS(LdAParty,$AE1699,LdAType,1,LdAKey,"&lt;"&amp;$AK1699)+COUNTIFS(LdBMember,$AE1699,LdBKey,"&lt;"&amp;$AK1699)+COUNTIFS(LdCParty,$AE1699,LdCKey,"&lt;"&amp;$AK1699)+1)</f>
        <v/>
      </c>
      <c r="AM1699">
        <f>IF($AL1699="","",$AE1699&amp;"|"&amp;RIGHT("000000"&amp;$AL1699,6))</f>
        <v/>
      </c>
      <c r="AN1699">
        <f>IF($AE1699="","",IF(Sync!$W1699="",0,Sync!$W1699))</f>
        <v/>
      </c>
      <c r="AO1699">
        <f>IF($AE1699="","",IF(Sync!$X1699="",0,Sync!$X1699))</f>
        <v/>
      </c>
      <c r="AP1699">
        <f>IF($AE1699="","",Sync!$R1699)</f>
        <v/>
      </c>
      <c r="AQ1699">
        <f>IF($AE1699="","",Sync!$Y1699)</f>
        <v/>
      </c>
    </row>
    <row r="1700">
      <c r="A1700">
        <f>IF(OR(Wages!$B1703="",Wages!$E1703=""),"",Wages!$E1703)</f>
        <v/>
      </c>
      <c r="B1700">
        <f>IF($A1700="","",IF(Wages!$C1703="دستمزد گروهی",2,1))</f>
        <v/>
      </c>
      <c r="C1700">
        <f>IF($A1700="","",IF(ISNUMBER(Wages!$B1703),IF(AND(Wages!$B1703&gt;=10000101,Wages!$B1703&lt;=99991231),INT(Wages!$B1703/10000),""),IFERROR(VALUE(TRIM(LEFT(Wages!$B1703,FIND("/",Wages!$B1703)-1))),"")))</f>
        <v/>
      </c>
      <c r="D1700">
        <f>IF(OR($A1700="",$C1700=""),"",IF(ISNUMBER(Wages!$B1703),INT(MOD(Wages!$B1703,10000)/100),IFERROR(VALUE(TRIM(LEFT(MID(Wages!$B1703,FIND("/",Wages!$B1703)+1,20),FIND("/",MID(Wages!$B1703,FIND("/",Wages!$B1703)+1,20))-1))),"")))</f>
        <v/>
      </c>
      <c r="E1700">
        <f>IF(OR($A1700="",$C1700=""),"",IF(ISNUMBER(Wages!$B1703),MOD(Wages!$B1703,100),IFERROR(VALUE(TRIM(MID(MID(Wages!$B1703,FIND("/",Wages!$B1703)+1,20),FIND("/",MID(Wages!$B1703,FIND("/",Wages!$B1703)+1,20))+1,20))),"")))</f>
        <v/>
      </c>
      <c r="F1700">
        <f>IF($A1700="","",IF(OR($C1700="",$D1700="",$E1700="",$C1700&lt;1300,$C1700&gt;1500,$D1700&lt;1,$D1700&gt;12,$E1700&lt;1,$E1700&gt;31),"نامعتبر",RIGHT("0000"&amp;$C1700,4)&amp;"/"&amp;RIGHT("00"&amp;$D1700,2)&amp;"/"&amp;RIGHT("00"&amp;$E1700,2)))</f>
        <v/>
      </c>
      <c r="G1700">
        <f>IF(OR($A1700="",$F1700="",$F1700="نامعتبر"),"",LEFT($F1700,4)&amp;MID($F1700,6,2)&amp;RIGHT($F1700,2)&amp;"0000"&amp;"|"&amp;"1"&amp;RIGHT("00000"&amp;1695,5))</f>
        <v/>
      </c>
      <c r="H1700">
        <f>IF(OR($B1700&lt;&gt;1,$G1700=""),"",COUNTIFS(LdAParty,$A1700,LdAType,1,LdAKey,"&lt;"&amp;$G1700)+COUNTIFS(LdBMember,$A1700,LdBKey,"&lt;"&amp;$G1700)+COUNTIFS(LdCParty,$A1700,LdCKey,"&lt;"&amp;$G1700)+1)</f>
        <v/>
      </c>
      <c r="I1700">
        <f>IF($H1700="","",$A1700&amp;"|"&amp;RIGHT("000000"&amp;$H1700,6))</f>
        <v/>
      </c>
      <c r="J1700">
        <f>IF(OR($B1700&lt;&gt;2,$G1700=""),"",COUNTIFS(LdAParty,$A1700,LdAType,2,LdAKey,"&lt;"&amp;$G1700)+1)</f>
        <v/>
      </c>
      <c r="K1700">
        <f>IF($J1700="","",$A1700&amp;"|"&amp;RIGHT("000000"&amp;$J1700,6))</f>
        <v/>
      </c>
      <c r="L1700">
        <f>IF($A1700="","",IF(Wages!$G1703="",0,Wages!$G1703))</f>
        <v/>
      </c>
      <c r="M1700">
        <f>IF($A1700="","",Wages!$J1703)</f>
        <v/>
      </c>
      <c r="N1700">
        <f>IF($A1700="","",Wages!$D1703)</f>
        <v/>
      </c>
      <c r="P1700">
        <f>IF(OR(Shares!$B1703="",Shares!$C1703=""),"",Shares!$C1703)</f>
        <v/>
      </c>
      <c r="Q1700">
        <f>IF($P1700="","",Shares!$B1703)</f>
        <v/>
      </c>
      <c r="R1700">
        <f>IF($P1700="","",IFERROR(INDEX(WageParty,MATCH($Q1700,WageIds,0)),""))</f>
        <v/>
      </c>
      <c r="S1700">
        <f>IF($P1700="","",IFERROR(INDEX($F$6:$F$2005,MATCH($Q1700,WageIds,0)),""))</f>
        <v/>
      </c>
      <c r="T1700">
        <f>IF(OR($P1700="",$S1700="",$S1700="نامعتبر"),"",LEFT($S1700,4)&amp;MID($S1700,6,2)&amp;RIGHT($S1700,2)&amp;"0000"&amp;"|"&amp;"2"&amp;RIGHT("00000"&amp;1695,5))</f>
        <v/>
      </c>
      <c r="U1700">
        <f>IF($T1700="","",COUNTIFS(LdAParty,$P1700,LdAType,1,LdAKey,"&lt;"&amp;$T1700)+COUNTIFS(LdBMember,$P1700,LdBKey,"&lt;"&amp;$T1700)+COUNTIFS(LdCParty,$P1700,LdCKey,"&lt;"&amp;$T1700)+1)</f>
        <v/>
      </c>
      <c r="V1700">
        <f>IF($U1700="","",$P1700&amp;"|"&amp;RIGHT("000000"&amp;$U1700,6))</f>
        <v/>
      </c>
      <c r="W1700">
        <f>IF($T1700="","",COUNTIFS(LdBGroup,$R1700,LdBKey,"&lt;"&amp;$T1700)+1)</f>
        <v/>
      </c>
      <c r="X1700">
        <f>IF($W1700="","",$R1700&amp;"|"&amp;RIGHT("000000"&amp;$W1700,6))</f>
        <v/>
      </c>
      <c r="Y1700">
        <f>IF($P1700="","",IF(Shares!$E1703="",0,Shares!$E1703))</f>
        <v/>
      </c>
      <c r="Z1700">
        <f>IF($P1700="","",Shares!$H1703)</f>
        <v/>
      </c>
      <c r="AE1700">
        <f>IF(OR(Sync!$S1700="",Sync!$P1700=""),"",Sync!$S1700)</f>
        <v/>
      </c>
      <c r="AF1700">
        <f>IF($AE1700="","",IF(ISNUMBER(Sync!$P1700),IF(AND(Sync!$P1700&gt;=10000101,Sync!$P1700&lt;=99991231),INT(Sync!$P1700/10000),""),IFERROR(VALUE(TRIM(LEFT(Sync!$P1700,FIND("/",Sync!$P1700)-1))),"")))</f>
        <v/>
      </c>
      <c r="AG1700">
        <f>IF(OR($AE1700="",$AF1700=""),"",IF(ISNUMBER(Sync!$P1700),INT(MOD(Sync!$P1700,10000)/100),IFERROR(VALUE(TRIM(LEFT(MID(Sync!$P1700,FIND("/",Sync!$P1700)+1,20),FIND("/",MID(Sync!$P1700,FIND("/",Sync!$P1700)+1,20))-1))),"")))</f>
        <v/>
      </c>
      <c r="AH1700">
        <f>IF(OR($AE1700="",$AF1700=""),"",IF(ISNUMBER(Sync!$P1700),MOD(Sync!$P1700,100),IFERROR(VALUE(TRIM(MID(MID(Sync!$P1700,FIND("/",Sync!$P1700)+1,20),FIND("/",MID(Sync!$P1700,FIND("/",Sync!$P1700)+1,20))+1,20))),"")))</f>
        <v/>
      </c>
      <c r="AI1700">
        <f>IF($AE1700="","",IF(OR($AF1700="",$AG1700="",$AH1700="",$AF1700&lt;1300,$AF1700&gt;1500,$AG1700&lt;1,$AG1700&gt;12,$AH1700&lt;1,$AH1700&gt;31),"نامعتبر",RIGHT("0000"&amp;$AF1700,4)&amp;"/"&amp;RIGHT("00"&amp;$AG1700,2)&amp;"/"&amp;RIGHT("00"&amp;$AH1700,2)))</f>
        <v/>
      </c>
      <c r="AJ1700">
        <f>IF($AE1700="","",IF(Sync!$Q1700="","0000",IF(AND(ISNUMBER(Sync!$Q1700),Sync!$Q1700&gt;=0,Sync!$Q1700&lt;1),RIGHT("00"&amp;HOUR(Sync!$Q1700),2)&amp;RIGHT("00"&amp;MINUTE(Sync!$Q1700),2),IFERROR(RIGHT("00"&amp;VALUE(LEFT(Sync!$Q1700,FIND(":",Sync!$Q1700)-1)),2)&amp;RIGHT("00"&amp;VALUE(MID(Sync!$Q1700,FIND(":",Sync!$Q1700)+1,2)),2),"0000"))))</f>
        <v/>
      </c>
      <c r="AK1700">
        <f>IF(OR($AE1700="",$AI1700="",$AI1700="نامعتبر"),"",LEFT($AI1700,4)&amp;MID($AI1700,6,2)&amp;RIGHT($AI1700,2)&amp;$AJ1700&amp;"|"&amp;"3"&amp;RIGHT("00000"&amp;1695,5))</f>
        <v/>
      </c>
      <c r="AL1700">
        <f>IF($AK1700="","",COUNTIFS(LdAParty,$AE1700,LdAType,1,LdAKey,"&lt;"&amp;$AK1700)+COUNTIFS(LdBMember,$AE1700,LdBKey,"&lt;"&amp;$AK1700)+COUNTIFS(LdCParty,$AE1700,LdCKey,"&lt;"&amp;$AK1700)+1)</f>
        <v/>
      </c>
      <c r="AM1700">
        <f>IF($AL1700="","",$AE1700&amp;"|"&amp;RIGHT("000000"&amp;$AL1700,6))</f>
        <v/>
      </c>
      <c r="AN1700">
        <f>IF($AE1700="","",IF(Sync!$W1700="",0,Sync!$W1700))</f>
        <v/>
      </c>
      <c r="AO1700">
        <f>IF($AE1700="","",IF(Sync!$X1700="",0,Sync!$X1700))</f>
        <v/>
      </c>
      <c r="AP1700">
        <f>IF($AE1700="","",Sync!$R1700)</f>
        <v/>
      </c>
      <c r="AQ1700">
        <f>IF($AE1700="","",Sync!$Y1700)</f>
        <v/>
      </c>
    </row>
    <row r="1701">
      <c r="A1701">
        <f>IF(OR(Wages!$B1704="",Wages!$E1704=""),"",Wages!$E1704)</f>
        <v/>
      </c>
      <c r="B1701">
        <f>IF($A1701="","",IF(Wages!$C1704="دستمزد گروهی",2,1))</f>
        <v/>
      </c>
      <c r="C1701">
        <f>IF($A1701="","",IF(ISNUMBER(Wages!$B1704),IF(AND(Wages!$B1704&gt;=10000101,Wages!$B1704&lt;=99991231),INT(Wages!$B1704/10000),""),IFERROR(VALUE(TRIM(LEFT(Wages!$B1704,FIND("/",Wages!$B1704)-1))),"")))</f>
        <v/>
      </c>
      <c r="D1701">
        <f>IF(OR($A1701="",$C1701=""),"",IF(ISNUMBER(Wages!$B1704),INT(MOD(Wages!$B1704,10000)/100),IFERROR(VALUE(TRIM(LEFT(MID(Wages!$B1704,FIND("/",Wages!$B1704)+1,20),FIND("/",MID(Wages!$B1704,FIND("/",Wages!$B1704)+1,20))-1))),"")))</f>
        <v/>
      </c>
      <c r="E1701">
        <f>IF(OR($A1701="",$C1701=""),"",IF(ISNUMBER(Wages!$B1704),MOD(Wages!$B1704,100),IFERROR(VALUE(TRIM(MID(MID(Wages!$B1704,FIND("/",Wages!$B1704)+1,20),FIND("/",MID(Wages!$B1704,FIND("/",Wages!$B1704)+1,20))+1,20))),"")))</f>
        <v/>
      </c>
      <c r="F1701">
        <f>IF($A1701="","",IF(OR($C1701="",$D1701="",$E1701="",$C1701&lt;1300,$C1701&gt;1500,$D1701&lt;1,$D1701&gt;12,$E1701&lt;1,$E1701&gt;31),"نامعتبر",RIGHT("0000"&amp;$C1701,4)&amp;"/"&amp;RIGHT("00"&amp;$D1701,2)&amp;"/"&amp;RIGHT("00"&amp;$E1701,2)))</f>
        <v/>
      </c>
      <c r="G1701">
        <f>IF(OR($A1701="",$F1701="",$F1701="نامعتبر"),"",LEFT($F1701,4)&amp;MID($F1701,6,2)&amp;RIGHT($F1701,2)&amp;"0000"&amp;"|"&amp;"1"&amp;RIGHT("00000"&amp;1696,5))</f>
        <v/>
      </c>
      <c r="H1701">
        <f>IF(OR($B1701&lt;&gt;1,$G1701=""),"",COUNTIFS(LdAParty,$A1701,LdAType,1,LdAKey,"&lt;"&amp;$G1701)+COUNTIFS(LdBMember,$A1701,LdBKey,"&lt;"&amp;$G1701)+COUNTIFS(LdCParty,$A1701,LdCKey,"&lt;"&amp;$G1701)+1)</f>
        <v/>
      </c>
      <c r="I1701">
        <f>IF($H1701="","",$A1701&amp;"|"&amp;RIGHT("000000"&amp;$H1701,6))</f>
        <v/>
      </c>
      <c r="J1701">
        <f>IF(OR($B1701&lt;&gt;2,$G1701=""),"",COUNTIFS(LdAParty,$A1701,LdAType,2,LdAKey,"&lt;"&amp;$G1701)+1)</f>
        <v/>
      </c>
      <c r="K1701">
        <f>IF($J1701="","",$A1701&amp;"|"&amp;RIGHT("000000"&amp;$J1701,6))</f>
        <v/>
      </c>
      <c r="L1701">
        <f>IF($A1701="","",IF(Wages!$G1704="",0,Wages!$G1704))</f>
        <v/>
      </c>
      <c r="M1701">
        <f>IF($A1701="","",Wages!$J1704)</f>
        <v/>
      </c>
      <c r="N1701">
        <f>IF($A1701="","",Wages!$D1704)</f>
        <v/>
      </c>
      <c r="P1701">
        <f>IF(OR(Shares!$B1704="",Shares!$C1704=""),"",Shares!$C1704)</f>
        <v/>
      </c>
      <c r="Q1701">
        <f>IF($P1701="","",Shares!$B1704)</f>
        <v/>
      </c>
      <c r="R1701">
        <f>IF($P1701="","",IFERROR(INDEX(WageParty,MATCH($Q1701,WageIds,0)),""))</f>
        <v/>
      </c>
      <c r="S1701">
        <f>IF($P1701="","",IFERROR(INDEX($F$6:$F$2005,MATCH($Q1701,WageIds,0)),""))</f>
        <v/>
      </c>
      <c r="T1701">
        <f>IF(OR($P1701="",$S1701="",$S1701="نامعتبر"),"",LEFT($S1701,4)&amp;MID($S1701,6,2)&amp;RIGHT($S1701,2)&amp;"0000"&amp;"|"&amp;"2"&amp;RIGHT("00000"&amp;1696,5))</f>
        <v/>
      </c>
      <c r="U1701">
        <f>IF($T1701="","",COUNTIFS(LdAParty,$P1701,LdAType,1,LdAKey,"&lt;"&amp;$T1701)+COUNTIFS(LdBMember,$P1701,LdBKey,"&lt;"&amp;$T1701)+COUNTIFS(LdCParty,$P1701,LdCKey,"&lt;"&amp;$T1701)+1)</f>
        <v/>
      </c>
      <c r="V1701">
        <f>IF($U1701="","",$P1701&amp;"|"&amp;RIGHT("000000"&amp;$U1701,6))</f>
        <v/>
      </c>
      <c r="W1701">
        <f>IF($T1701="","",COUNTIFS(LdBGroup,$R1701,LdBKey,"&lt;"&amp;$T1701)+1)</f>
        <v/>
      </c>
      <c r="X1701">
        <f>IF($W1701="","",$R1701&amp;"|"&amp;RIGHT("000000"&amp;$W1701,6))</f>
        <v/>
      </c>
      <c r="Y1701">
        <f>IF($P1701="","",IF(Shares!$E1704="",0,Shares!$E1704))</f>
        <v/>
      </c>
      <c r="Z1701">
        <f>IF($P1701="","",Shares!$H1704)</f>
        <v/>
      </c>
      <c r="AE1701">
        <f>IF(OR(Sync!$S1701="",Sync!$P1701=""),"",Sync!$S1701)</f>
        <v/>
      </c>
      <c r="AF1701">
        <f>IF($AE1701="","",IF(ISNUMBER(Sync!$P1701),IF(AND(Sync!$P1701&gt;=10000101,Sync!$P1701&lt;=99991231),INT(Sync!$P1701/10000),""),IFERROR(VALUE(TRIM(LEFT(Sync!$P1701,FIND("/",Sync!$P1701)-1))),"")))</f>
        <v/>
      </c>
      <c r="AG1701">
        <f>IF(OR($AE1701="",$AF1701=""),"",IF(ISNUMBER(Sync!$P1701),INT(MOD(Sync!$P1701,10000)/100),IFERROR(VALUE(TRIM(LEFT(MID(Sync!$P1701,FIND("/",Sync!$P1701)+1,20),FIND("/",MID(Sync!$P1701,FIND("/",Sync!$P1701)+1,20))-1))),"")))</f>
        <v/>
      </c>
      <c r="AH1701">
        <f>IF(OR($AE1701="",$AF1701=""),"",IF(ISNUMBER(Sync!$P1701),MOD(Sync!$P1701,100),IFERROR(VALUE(TRIM(MID(MID(Sync!$P1701,FIND("/",Sync!$P1701)+1,20),FIND("/",MID(Sync!$P1701,FIND("/",Sync!$P1701)+1,20))+1,20))),"")))</f>
        <v/>
      </c>
      <c r="AI1701">
        <f>IF($AE1701="","",IF(OR($AF1701="",$AG1701="",$AH1701="",$AF1701&lt;1300,$AF1701&gt;1500,$AG1701&lt;1,$AG1701&gt;12,$AH1701&lt;1,$AH1701&gt;31),"نامعتبر",RIGHT("0000"&amp;$AF1701,4)&amp;"/"&amp;RIGHT("00"&amp;$AG1701,2)&amp;"/"&amp;RIGHT("00"&amp;$AH1701,2)))</f>
        <v/>
      </c>
      <c r="AJ1701">
        <f>IF($AE1701="","",IF(Sync!$Q1701="","0000",IF(AND(ISNUMBER(Sync!$Q1701),Sync!$Q1701&gt;=0,Sync!$Q1701&lt;1),RIGHT("00"&amp;HOUR(Sync!$Q1701),2)&amp;RIGHT("00"&amp;MINUTE(Sync!$Q1701),2),IFERROR(RIGHT("00"&amp;VALUE(LEFT(Sync!$Q1701,FIND(":",Sync!$Q1701)-1)),2)&amp;RIGHT("00"&amp;VALUE(MID(Sync!$Q1701,FIND(":",Sync!$Q1701)+1,2)),2),"0000"))))</f>
        <v/>
      </c>
      <c r="AK1701">
        <f>IF(OR($AE1701="",$AI1701="",$AI1701="نامعتبر"),"",LEFT($AI1701,4)&amp;MID($AI1701,6,2)&amp;RIGHT($AI1701,2)&amp;$AJ1701&amp;"|"&amp;"3"&amp;RIGHT("00000"&amp;1696,5))</f>
        <v/>
      </c>
      <c r="AL1701">
        <f>IF($AK1701="","",COUNTIFS(LdAParty,$AE1701,LdAType,1,LdAKey,"&lt;"&amp;$AK1701)+COUNTIFS(LdBMember,$AE1701,LdBKey,"&lt;"&amp;$AK1701)+COUNTIFS(LdCParty,$AE1701,LdCKey,"&lt;"&amp;$AK1701)+1)</f>
        <v/>
      </c>
      <c r="AM1701">
        <f>IF($AL1701="","",$AE1701&amp;"|"&amp;RIGHT("000000"&amp;$AL1701,6))</f>
        <v/>
      </c>
      <c r="AN1701">
        <f>IF($AE1701="","",IF(Sync!$W1701="",0,Sync!$W1701))</f>
        <v/>
      </c>
      <c r="AO1701">
        <f>IF($AE1701="","",IF(Sync!$X1701="",0,Sync!$X1701))</f>
        <v/>
      </c>
      <c r="AP1701">
        <f>IF($AE1701="","",Sync!$R1701)</f>
        <v/>
      </c>
      <c r="AQ1701">
        <f>IF($AE1701="","",Sync!$Y1701)</f>
        <v/>
      </c>
    </row>
    <row r="1702">
      <c r="A1702">
        <f>IF(OR(Wages!$B1705="",Wages!$E1705=""),"",Wages!$E1705)</f>
        <v/>
      </c>
      <c r="B1702">
        <f>IF($A1702="","",IF(Wages!$C1705="دستمزد گروهی",2,1))</f>
        <v/>
      </c>
      <c r="C1702">
        <f>IF($A1702="","",IF(ISNUMBER(Wages!$B1705),IF(AND(Wages!$B1705&gt;=10000101,Wages!$B1705&lt;=99991231),INT(Wages!$B1705/10000),""),IFERROR(VALUE(TRIM(LEFT(Wages!$B1705,FIND("/",Wages!$B1705)-1))),"")))</f>
        <v/>
      </c>
      <c r="D1702">
        <f>IF(OR($A1702="",$C1702=""),"",IF(ISNUMBER(Wages!$B1705),INT(MOD(Wages!$B1705,10000)/100),IFERROR(VALUE(TRIM(LEFT(MID(Wages!$B1705,FIND("/",Wages!$B1705)+1,20),FIND("/",MID(Wages!$B1705,FIND("/",Wages!$B1705)+1,20))-1))),"")))</f>
        <v/>
      </c>
      <c r="E1702">
        <f>IF(OR($A1702="",$C1702=""),"",IF(ISNUMBER(Wages!$B1705),MOD(Wages!$B1705,100),IFERROR(VALUE(TRIM(MID(MID(Wages!$B1705,FIND("/",Wages!$B1705)+1,20),FIND("/",MID(Wages!$B1705,FIND("/",Wages!$B1705)+1,20))+1,20))),"")))</f>
        <v/>
      </c>
      <c r="F1702">
        <f>IF($A1702="","",IF(OR($C1702="",$D1702="",$E1702="",$C1702&lt;1300,$C1702&gt;1500,$D1702&lt;1,$D1702&gt;12,$E1702&lt;1,$E1702&gt;31),"نامعتبر",RIGHT("0000"&amp;$C1702,4)&amp;"/"&amp;RIGHT("00"&amp;$D1702,2)&amp;"/"&amp;RIGHT("00"&amp;$E1702,2)))</f>
        <v/>
      </c>
      <c r="G1702">
        <f>IF(OR($A1702="",$F1702="",$F1702="نامعتبر"),"",LEFT($F1702,4)&amp;MID($F1702,6,2)&amp;RIGHT($F1702,2)&amp;"0000"&amp;"|"&amp;"1"&amp;RIGHT("00000"&amp;1697,5))</f>
        <v/>
      </c>
      <c r="H1702">
        <f>IF(OR($B1702&lt;&gt;1,$G1702=""),"",COUNTIFS(LdAParty,$A1702,LdAType,1,LdAKey,"&lt;"&amp;$G1702)+COUNTIFS(LdBMember,$A1702,LdBKey,"&lt;"&amp;$G1702)+COUNTIFS(LdCParty,$A1702,LdCKey,"&lt;"&amp;$G1702)+1)</f>
        <v/>
      </c>
      <c r="I1702">
        <f>IF($H1702="","",$A1702&amp;"|"&amp;RIGHT("000000"&amp;$H1702,6))</f>
        <v/>
      </c>
      <c r="J1702">
        <f>IF(OR($B1702&lt;&gt;2,$G1702=""),"",COUNTIFS(LdAParty,$A1702,LdAType,2,LdAKey,"&lt;"&amp;$G1702)+1)</f>
        <v/>
      </c>
      <c r="K1702">
        <f>IF($J1702="","",$A1702&amp;"|"&amp;RIGHT("000000"&amp;$J1702,6))</f>
        <v/>
      </c>
      <c r="L1702">
        <f>IF($A1702="","",IF(Wages!$G1705="",0,Wages!$G1705))</f>
        <v/>
      </c>
      <c r="M1702">
        <f>IF($A1702="","",Wages!$J1705)</f>
        <v/>
      </c>
      <c r="N1702">
        <f>IF($A1702="","",Wages!$D1705)</f>
        <v/>
      </c>
      <c r="P1702">
        <f>IF(OR(Shares!$B1705="",Shares!$C1705=""),"",Shares!$C1705)</f>
        <v/>
      </c>
      <c r="Q1702">
        <f>IF($P1702="","",Shares!$B1705)</f>
        <v/>
      </c>
      <c r="R1702">
        <f>IF($P1702="","",IFERROR(INDEX(WageParty,MATCH($Q1702,WageIds,0)),""))</f>
        <v/>
      </c>
      <c r="S1702">
        <f>IF($P1702="","",IFERROR(INDEX($F$6:$F$2005,MATCH($Q1702,WageIds,0)),""))</f>
        <v/>
      </c>
      <c r="T1702">
        <f>IF(OR($P1702="",$S1702="",$S1702="نامعتبر"),"",LEFT($S1702,4)&amp;MID($S1702,6,2)&amp;RIGHT($S1702,2)&amp;"0000"&amp;"|"&amp;"2"&amp;RIGHT("00000"&amp;1697,5))</f>
        <v/>
      </c>
      <c r="U1702">
        <f>IF($T1702="","",COUNTIFS(LdAParty,$P1702,LdAType,1,LdAKey,"&lt;"&amp;$T1702)+COUNTIFS(LdBMember,$P1702,LdBKey,"&lt;"&amp;$T1702)+COUNTIFS(LdCParty,$P1702,LdCKey,"&lt;"&amp;$T1702)+1)</f>
        <v/>
      </c>
      <c r="V1702">
        <f>IF($U1702="","",$P1702&amp;"|"&amp;RIGHT("000000"&amp;$U1702,6))</f>
        <v/>
      </c>
      <c r="W1702">
        <f>IF($T1702="","",COUNTIFS(LdBGroup,$R1702,LdBKey,"&lt;"&amp;$T1702)+1)</f>
        <v/>
      </c>
      <c r="X1702">
        <f>IF($W1702="","",$R1702&amp;"|"&amp;RIGHT("000000"&amp;$W1702,6))</f>
        <v/>
      </c>
      <c r="Y1702">
        <f>IF($P1702="","",IF(Shares!$E1705="",0,Shares!$E1705))</f>
        <v/>
      </c>
      <c r="Z1702">
        <f>IF($P1702="","",Shares!$H1705)</f>
        <v/>
      </c>
      <c r="AE1702">
        <f>IF(OR(Sync!$S1702="",Sync!$P1702=""),"",Sync!$S1702)</f>
        <v/>
      </c>
      <c r="AF1702">
        <f>IF($AE1702="","",IF(ISNUMBER(Sync!$P1702),IF(AND(Sync!$P1702&gt;=10000101,Sync!$P1702&lt;=99991231),INT(Sync!$P1702/10000),""),IFERROR(VALUE(TRIM(LEFT(Sync!$P1702,FIND("/",Sync!$P1702)-1))),"")))</f>
        <v/>
      </c>
      <c r="AG1702">
        <f>IF(OR($AE1702="",$AF1702=""),"",IF(ISNUMBER(Sync!$P1702),INT(MOD(Sync!$P1702,10000)/100),IFERROR(VALUE(TRIM(LEFT(MID(Sync!$P1702,FIND("/",Sync!$P1702)+1,20),FIND("/",MID(Sync!$P1702,FIND("/",Sync!$P1702)+1,20))-1))),"")))</f>
        <v/>
      </c>
      <c r="AH1702">
        <f>IF(OR($AE1702="",$AF1702=""),"",IF(ISNUMBER(Sync!$P1702),MOD(Sync!$P1702,100),IFERROR(VALUE(TRIM(MID(MID(Sync!$P1702,FIND("/",Sync!$P1702)+1,20),FIND("/",MID(Sync!$P1702,FIND("/",Sync!$P1702)+1,20))+1,20))),"")))</f>
        <v/>
      </c>
      <c r="AI1702">
        <f>IF($AE1702="","",IF(OR($AF1702="",$AG1702="",$AH1702="",$AF1702&lt;1300,$AF1702&gt;1500,$AG1702&lt;1,$AG1702&gt;12,$AH1702&lt;1,$AH1702&gt;31),"نامعتبر",RIGHT("0000"&amp;$AF1702,4)&amp;"/"&amp;RIGHT("00"&amp;$AG1702,2)&amp;"/"&amp;RIGHT("00"&amp;$AH1702,2)))</f>
        <v/>
      </c>
      <c r="AJ1702">
        <f>IF($AE1702="","",IF(Sync!$Q1702="","0000",IF(AND(ISNUMBER(Sync!$Q1702),Sync!$Q1702&gt;=0,Sync!$Q1702&lt;1),RIGHT("00"&amp;HOUR(Sync!$Q1702),2)&amp;RIGHT("00"&amp;MINUTE(Sync!$Q1702),2),IFERROR(RIGHT("00"&amp;VALUE(LEFT(Sync!$Q1702,FIND(":",Sync!$Q1702)-1)),2)&amp;RIGHT("00"&amp;VALUE(MID(Sync!$Q1702,FIND(":",Sync!$Q1702)+1,2)),2),"0000"))))</f>
        <v/>
      </c>
      <c r="AK1702">
        <f>IF(OR($AE1702="",$AI1702="",$AI1702="نامعتبر"),"",LEFT($AI1702,4)&amp;MID($AI1702,6,2)&amp;RIGHT($AI1702,2)&amp;$AJ1702&amp;"|"&amp;"3"&amp;RIGHT("00000"&amp;1697,5))</f>
        <v/>
      </c>
      <c r="AL1702">
        <f>IF($AK1702="","",COUNTIFS(LdAParty,$AE1702,LdAType,1,LdAKey,"&lt;"&amp;$AK1702)+COUNTIFS(LdBMember,$AE1702,LdBKey,"&lt;"&amp;$AK1702)+COUNTIFS(LdCParty,$AE1702,LdCKey,"&lt;"&amp;$AK1702)+1)</f>
        <v/>
      </c>
      <c r="AM1702">
        <f>IF($AL1702="","",$AE1702&amp;"|"&amp;RIGHT("000000"&amp;$AL1702,6))</f>
        <v/>
      </c>
      <c r="AN1702">
        <f>IF($AE1702="","",IF(Sync!$W1702="",0,Sync!$W1702))</f>
        <v/>
      </c>
      <c r="AO1702">
        <f>IF($AE1702="","",IF(Sync!$X1702="",0,Sync!$X1702))</f>
        <v/>
      </c>
      <c r="AP1702">
        <f>IF($AE1702="","",Sync!$R1702)</f>
        <v/>
      </c>
      <c r="AQ1702">
        <f>IF($AE1702="","",Sync!$Y1702)</f>
        <v/>
      </c>
    </row>
    <row r="1703">
      <c r="A1703">
        <f>IF(OR(Wages!$B1706="",Wages!$E1706=""),"",Wages!$E1706)</f>
        <v/>
      </c>
      <c r="B1703">
        <f>IF($A1703="","",IF(Wages!$C1706="دستمزد گروهی",2,1))</f>
        <v/>
      </c>
      <c r="C1703">
        <f>IF($A1703="","",IF(ISNUMBER(Wages!$B1706),IF(AND(Wages!$B1706&gt;=10000101,Wages!$B1706&lt;=99991231),INT(Wages!$B1706/10000),""),IFERROR(VALUE(TRIM(LEFT(Wages!$B1706,FIND("/",Wages!$B1706)-1))),"")))</f>
        <v/>
      </c>
      <c r="D1703">
        <f>IF(OR($A1703="",$C1703=""),"",IF(ISNUMBER(Wages!$B1706),INT(MOD(Wages!$B1706,10000)/100),IFERROR(VALUE(TRIM(LEFT(MID(Wages!$B1706,FIND("/",Wages!$B1706)+1,20),FIND("/",MID(Wages!$B1706,FIND("/",Wages!$B1706)+1,20))-1))),"")))</f>
        <v/>
      </c>
      <c r="E1703">
        <f>IF(OR($A1703="",$C1703=""),"",IF(ISNUMBER(Wages!$B1706),MOD(Wages!$B1706,100),IFERROR(VALUE(TRIM(MID(MID(Wages!$B1706,FIND("/",Wages!$B1706)+1,20),FIND("/",MID(Wages!$B1706,FIND("/",Wages!$B1706)+1,20))+1,20))),"")))</f>
        <v/>
      </c>
      <c r="F1703">
        <f>IF($A1703="","",IF(OR($C1703="",$D1703="",$E1703="",$C1703&lt;1300,$C1703&gt;1500,$D1703&lt;1,$D1703&gt;12,$E1703&lt;1,$E1703&gt;31),"نامعتبر",RIGHT("0000"&amp;$C1703,4)&amp;"/"&amp;RIGHT("00"&amp;$D1703,2)&amp;"/"&amp;RIGHT("00"&amp;$E1703,2)))</f>
        <v/>
      </c>
      <c r="G1703">
        <f>IF(OR($A1703="",$F1703="",$F1703="نامعتبر"),"",LEFT($F1703,4)&amp;MID($F1703,6,2)&amp;RIGHT($F1703,2)&amp;"0000"&amp;"|"&amp;"1"&amp;RIGHT("00000"&amp;1698,5))</f>
        <v/>
      </c>
      <c r="H1703">
        <f>IF(OR($B1703&lt;&gt;1,$G1703=""),"",COUNTIFS(LdAParty,$A1703,LdAType,1,LdAKey,"&lt;"&amp;$G1703)+COUNTIFS(LdBMember,$A1703,LdBKey,"&lt;"&amp;$G1703)+COUNTIFS(LdCParty,$A1703,LdCKey,"&lt;"&amp;$G1703)+1)</f>
        <v/>
      </c>
      <c r="I1703">
        <f>IF($H1703="","",$A1703&amp;"|"&amp;RIGHT("000000"&amp;$H1703,6))</f>
        <v/>
      </c>
      <c r="J1703">
        <f>IF(OR($B1703&lt;&gt;2,$G1703=""),"",COUNTIFS(LdAParty,$A1703,LdAType,2,LdAKey,"&lt;"&amp;$G1703)+1)</f>
        <v/>
      </c>
      <c r="K1703">
        <f>IF($J1703="","",$A1703&amp;"|"&amp;RIGHT("000000"&amp;$J1703,6))</f>
        <v/>
      </c>
      <c r="L1703">
        <f>IF($A1703="","",IF(Wages!$G1706="",0,Wages!$G1706))</f>
        <v/>
      </c>
      <c r="M1703">
        <f>IF($A1703="","",Wages!$J1706)</f>
        <v/>
      </c>
      <c r="N1703">
        <f>IF($A1703="","",Wages!$D1706)</f>
        <v/>
      </c>
      <c r="P1703">
        <f>IF(OR(Shares!$B1706="",Shares!$C1706=""),"",Shares!$C1706)</f>
        <v/>
      </c>
      <c r="Q1703">
        <f>IF($P1703="","",Shares!$B1706)</f>
        <v/>
      </c>
      <c r="R1703">
        <f>IF($P1703="","",IFERROR(INDEX(WageParty,MATCH($Q1703,WageIds,0)),""))</f>
        <v/>
      </c>
      <c r="S1703">
        <f>IF($P1703="","",IFERROR(INDEX($F$6:$F$2005,MATCH($Q1703,WageIds,0)),""))</f>
        <v/>
      </c>
      <c r="T1703">
        <f>IF(OR($P1703="",$S1703="",$S1703="نامعتبر"),"",LEFT($S1703,4)&amp;MID($S1703,6,2)&amp;RIGHT($S1703,2)&amp;"0000"&amp;"|"&amp;"2"&amp;RIGHT("00000"&amp;1698,5))</f>
        <v/>
      </c>
      <c r="U1703">
        <f>IF($T1703="","",COUNTIFS(LdAParty,$P1703,LdAType,1,LdAKey,"&lt;"&amp;$T1703)+COUNTIFS(LdBMember,$P1703,LdBKey,"&lt;"&amp;$T1703)+COUNTIFS(LdCParty,$P1703,LdCKey,"&lt;"&amp;$T1703)+1)</f>
        <v/>
      </c>
      <c r="V1703">
        <f>IF($U1703="","",$P1703&amp;"|"&amp;RIGHT("000000"&amp;$U1703,6))</f>
        <v/>
      </c>
      <c r="W1703">
        <f>IF($T1703="","",COUNTIFS(LdBGroup,$R1703,LdBKey,"&lt;"&amp;$T1703)+1)</f>
        <v/>
      </c>
      <c r="X1703">
        <f>IF($W1703="","",$R1703&amp;"|"&amp;RIGHT("000000"&amp;$W1703,6))</f>
        <v/>
      </c>
      <c r="Y1703">
        <f>IF($P1703="","",IF(Shares!$E1706="",0,Shares!$E1706))</f>
        <v/>
      </c>
      <c r="Z1703">
        <f>IF($P1703="","",Shares!$H1706)</f>
        <v/>
      </c>
      <c r="AE1703">
        <f>IF(OR(Sync!$S1703="",Sync!$P1703=""),"",Sync!$S1703)</f>
        <v/>
      </c>
      <c r="AF1703">
        <f>IF($AE1703="","",IF(ISNUMBER(Sync!$P1703),IF(AND(Sync!$P1703&gt;=10000101,Sync!$P1703&lt;=99991231),INT(Sync!$P1703/10000),""),IFERROR(VALUE(TRIM(LEFT(Sync!$P1703,FIND("/",Sync!$P1703)-1))),"")))</f>
        <v/>
      </c>
      <c r="AG1703">
        <f>IF(OR($AE1703="",$AF1703=""),"",IF(ISNUMBER(Sync!$P1703),INT(MOD(Sync!$P1703,10000)/100),IFERROR(VALUE(TRIM(LEFT(MID(Sync!$P1703,FIND("/",Sync!$P1703)+1,20),FIND("/",MID(Sync!$P1703,FIND("/",Sync!$P1703)+1,20))-1))),"")))</f>
        <v/>
      </c>
      <c r="AH1703">
        <f>IF(OR($AE1703="",$AF1703=""),"",IF(ISNUMBER(Sync!$P1703),MOD(Sync!$P1703,100),IFERROR(VALUE(TRIM(MID(MID(Sync!$P1703,FIND("/",Sync!$P1703)+1,20),FIND("/",MID(Sync!$P1703,FIND("/",Sync!$P1703)+1,20))+1,20))),"")))</f>
        <v/>
      </c>
      <c r="AI1703">
        <f>IF($AE1703="","",IF(OR($AF1703="",$AG1703="",$AH1703="",$AF1703&lt;1300,$AF1703&gt;1500,$AG1703&lt;1,$AG1703&gt;12,$AH1703&lt;1,$AH1703&gt;31),"نامعتبر",RIGHT("0000"&amp;$AF1703,4)&amp;"/"&amp;RIGHT("00"&amp;$AG1703,2)&amp;"/"&amp;RIGHT("00"&amp;$AH1703,2)))</f>
        <v/>
      </c>
      <c r="AJ1703">
        <f>IF($AE1703="","",IF(Sync!$Q1703="","0000",IF(AND(ISNUMBER(Sync!$Q1703),Sync!$Q1703&gt;=0,Sync!$Q1703&lt;1),RIGHT("00"&amp;HOUR(Sync!$Q1703),2)&amp;RIGHT("00"&amp;MINUTE(Sync!$Q1703),2),IFERROR(RIGHT("00"&amp;VALUE(LEFT(Sync!$Q1703,FIND(":",Sync!$Q1703)-1)),2)&amp;RIGHT("00"&amp;VALUE(MID(Sync!$Q1703,FIND(":",Sync!$Q1703)+1,2)),2),"0000"))))</f>
        <v/>
      </c>
      <c r="AK1703">
        <f>IF(OR($AE1703="",$AI1703="",$AI1703="نامعتبر"),"",LEFT($AI1703,4)&amp;MID($AI1703,6,2)&amp;RIGHT($AI1703,2)&amp;$AJ1703&amp;"|"&amp;"3"&amp;RIGHT("00000"&amp;1698,5))</f>
        <v/>
      </c>
      <c r="AL1703">
        <f>IF($AK1703="","",COUNTIFS(LdAParty,$AE1703,LdAType,1,LdAKey,"&lt;"&amp;$AK1703)+COUNTIFS(LdBMember,$AE1703,LdBKey,"&lt;"&amp;$AK1703)+COUNTIFS(LdCParty,$AE1703,LdCKey,"&lt;"&amp;$AK1703)+1)</f>
        <v/>
      </c>
      <c r="AM1703">
        <f>IF($AL1703="","",$AE1703&amp;"|"&amp;RIGHT("000000"&amp;$AL1703,6))</f>
        <v/>
      </c>
      <c r="AN1703">
        <f>IF($AE1703="","",IF(Sync!$W1703="",0,Sync!$W1703))</f>
        <v/>
      </c>
      <c r="AO1703">
        <f>IF($AE1703="","",IF(Sync!$X1703="",0,Sync!$X1703))</f>
        <v/>
      </c>
      <c r="AP1703">
        <f>IF($AE1703="","",Sync!$R1703)</f>
        <v/>
      </c>
      <c r="AQ1703">
        <f>IF($AE1703="","",Sync!$Y1703)</f>
        <v/>
      </c>
    </row>
    <row r="1704">
      <c r="A1704">
        <f>IF(OR(Wages!$B1707="",Wages!$E1707=""),"",Wages!$E1707)</f>
        <v/>
      </c>
      <c r="B1704">
        <f>IF($A1704="","",IF(Wages!$C1707="دستمزد گروهی",2,1))</f>
        <v/>
      </c>
      <c r="C1704">
        <f>IF($A1704="","",IF(ISNUMBER(Wages!$B1707),IF(AND(Wages!$B1707&gt;=10000101,Wages!$B1707&lt;=99991231),INT(Wages!$B1707/10000),""),IFERROR(VALUE(TRIM(LEFT(Wages!$B1707,FIND("/",Wages!$B1707)-1))),"")))</f>
        <v/>
      </c>
      <c r="D1704">
        <f>IF(OR($A1704="",$C1704=""),"",IF(ISNUMBER(Wages!$B1707),INT(MOD(Wages!$B1707,10000)/100),IFERROR(VALUE(TRIM(LEFT(MID(Wages!$B1707,FIND("/",Wages!$B1707)+1,20),FIND("/",MID(Wages!$B1707,FIND("/",Wages!$B1707)+1,20))-1))),"")))</f>
        <v/>
      </c>
      <c r="E1704">
        <f>IF(OR($A1704="",$C1704=""),"",IF(ISNUMBER(Wages!$B1707),MOD(Wages!$B1707,100),IFERROR(VALUE(TRIM(MID(MID(Wages!$B1707,FIND("/",Wages!$B1707)+1,20),FIND("/",MID(Wages!$B1707,FIND("/",Wages!$B1707)+1,20))+1,20))),"")))</f>
        <v/>
      </c>
      <c r="F1704">
        <f>IF($A1704="","",IF(OR($C1704="",$D1704="",$E1704="",$C1704&lt;1300,$C1704&gt;1500,$D1704&lt;1,$D1704&gt;12,$E1704&lt;1,$E1704&gt;31),"نامعتبر",RIGHT("0000"&amp;$C1704,4)&amp;"/"&amp;RIGHT("00"&amp;$D1704,2)&amp;"/"&amp;RIGHT("00"&amp;$E1704,2)))</f>
        <v/>
      </c>
      <c r="G1704">
        <f>IF(OR($A1704="",$F1704="",$F1704="نامعتبر"),"",LEFT($F1704,4)&amp;MID($F1704,6,2)&amp;RIGHT($F1704,2)&amp;"0000"&amp;"|"&amp;"1"&amp;RIGHT("00000"&amp;1699,5))</f>
        <v/>
      </c>
      <c r="H1704">
        <f>IF(OR($B1704&lt;&gt;1,$G1704=""),"",COUNTIFS(LdAParty,$A1704,LdAType,1,LdAKey,"&lt;"&amp;$G1704)+COUNTIFS(LdBMember,$A1704,LdBKey,"&lt;"&amp;$G1704)+COUNTIFS(LdCParty,$A1704,LdCKey,"&lt;"&amp;$G1704)+1)</f>
        <v/>
      </c>
      <c r="I1704">
        <f>IF($H1704="","",$A1704&amp;"|"&amp;RIGHT("000000"&amp;$H1704,6))</f>
        <v/>
      </c>
      <c r="J1704">
        <f>IF(OR($B1704&lt;&gt;2,$G1704=""),"",COUNTIFS(LdAParty,$A1704,LdAType,2,LdAKey,"&lt;"&amp;$G1704)+1)</f>
        <v/>
      </c>
      <c r="K1704">
        <f>IF($J1704="","",$A1704&amp;"|"&amp;RIGHT("000000"&amp;$J1704,6))</f>
        <v/>
      </c>
      <c r="L1704">
        <f>IF($A1704="","",IF(Wages!$G1707="",0,Wages!$G1707))</f>
        <v/>
      </c>
      <c r="M1704">
        <f>IF($A1704="","",Wages!$J1707)</f>
        <v/>
      </c>
      <c r="N1704">
        <f>IF($A1704="","",Wages!$D1707)</f>
        <v/>
      </c>
      <c r="P1704">
        <f>IF(OR(Shares!$B1707="",Shares!$C1707=""),"",Shares!$C1707)</f>
        <v/>
      </c>
      <c r="Q1704">
        <f>IF($P1704="","",Shares!$B1707)</f>
        <v/>
      </c>
      <c r="R1704">
        <f>IF($P1704="","",IFERROR(INDEX(WageParty,MATCH($Q1704,WageIds,0)),""))</f>
        <v/>
      </c>
      <c r="S1704">
        <f>IF($P1704="","",IFERROR(INDEX($F$6:$F$2005,MATCH($Q1704,WageIds,0)),""))</f>
        <v/>
      </c>
      <c r="T1704">
        <f>IF(OR($P1704="",$S1704="",$S1704="نامعتبر"),"",LEFT($S1704,4)&amp;MID($S1704,6,2)&amp;RIGHT($S1704,2)&amp;"0000"&amp;"|"&amp;"2"&amp;RIGHT("00000"&amp;1699,5))</f>
        <v/>
      </c>
      <c r="U1704">
        <f>IF($T1704="","",COUNTIFS(LdAParty,$P1704,LdAType,1,LdAKey,"&lt;"&amp;$T1704)+COUNTIFS(LdBMember,$P1704,LdBKey,"&lt;"&amp;$T1704)+COUNTIFS(LdCParty,$P1704,LdCKey,"&lt;"&amp;$T1704)+1)</f>
        <v/>
      </c>
      <c r="V1704">
        <f>IF($U1704="","",$P1704&amp;"|"&amp;RIGHT("000000"&amp;$U1704,6))</f>
        <v/>
      </c>
      <c r="W1704">
        <f>IF($T1704="","",COUNTIFS(LdBGroup,$R1704,LdBKey,"&lt;"&amp;$T1704)+1)</f>
        <v/>
      </c>
      <c r="X1704">
        <f>IF($W1704="","",$R1704&amp;"|"&amp;RIGHT("000000"&amp;$W1704,6))</f>
        <v/>
      </c>
      <c r="Y1704">
        <f>IF($P1704="","",IF(Shares!$E1707="",0,Shares!$E1707))</f>
        <v/>
      </c>
      <c r="Z1704">
        <f>IF($P1704="","",Shares!$H1707)</f>
        <v/>
      </c>
      <c r="AE1704">
        <f>IF(OR(Sync!$S1704="",Sync!$P1704=""),"",Sync!$S1704)</f>
        <v/>
      </c>
      <c r="AF1704">
        <f>IF($AE1704="","",IF(ISNUMBER(Sync!$P1704),IF(AND(Sync!$P1704&gt;=10000101,Sync!$P1704&lt;=99991231),INT(Sync!$P1704/10000),""),IFERROR(VALUE(TRIM(LEFT(Sync!$P1704,FIND("/",Sync!$P1704)-1))),"")))</f>
        <v/>
      </c>
      <c r="AG1704">
        <f>IF(OR($AE1704="",$AF1704=""),"",IF(ISNUMBER(Sync!$P1704),INT(MOD(Sync!$P1704,10000)/100),IFERROR(VALUE(TRIM(LEFT(MID(Sync!$P1704,FIND("/",Sync!$P1704)+1,20),FIND("/",MID(Sync!$P1704,FIND("/",Sync!$P1704)+1,20))-1))),"")))</f>
        <v/>
      </c>
      <c r="AH1704">
        <f>IF(OR($AE1704="",$AF1704=""),"",IF(ISNUMBER(Sync!$P1704),MOD(Sync!$P1704,100),IFERROR(VALUE(TRIM(MID(MID(Sync!$P1704,FIND("/",Sync!$P1704)+1,20),FIND("/",MID(Sync!$P1704,FIND("/",Sync!$P1704)+1,20))+1,20))),"")))</f>
        <v/>
      </c>
      <c r="AI1704">
        <f>IF($AE1704="","",IF(OR($AF1704="",$AG1704="",$AH1704="",$AF1704&lt;1300,$AF1704&gt;1500,$AG1704&lt;1,$AG1704&gt;12,$AH1704&lt;1,$AH1704&gt;31),"نامعتبر",RIGHT("0000"&amp;$AF1704,4)&amp;"/"&amp;RIGHT("00"&amp;$AG1704,2)&amp;"/"&amp;RIGHT("00"&amp;$AH1704,2)))</f>
        <v/>
      </c>
      <c r="AJ1704">
        <f>IF($AE1704="","",IF(Sync!$Q1704="","0000",IF(AND(ISNUMBER(Sync!$Q1704),Sync!$Q1704&gt;=0,Sync!$Q1704&lt;1),RIGHT("00"&amp;HOUR(Sync!$Q1704),2)&amp;RIGHT("00"&amp;MINUTE(Sync!$Q1704),2),IFERROR(RIGHT("00"&amp;VALUE(LEFT(Sync!$Q1704,FIND(":",Sync!$Q1704)-1)),2)&amp;RIGHT("00"&amp;VALUE(MID(Sync!$Q1704,FIND(":",Sync!$Q1704)+1,2)),2),"0000"))))</f>
        <v/>
      </c>
      <c r="AK1704">
        <f>IF(OR($AE1704="",$AI1704="",$AI1704="نامعتبر"),"",LEFT($AI1704,4)&amp;MID($AI1704,6,2)&amp;RIGHT($AI1704,2)&amp;$AJ1704&amp;"|"&amp;"3"&amp;RIGHT("00000"&amp;1699,5))</f>
        <v/>
      </c>
      <c r="AL1704">
        <f>IF($AK1704="","",COUNTIFS(LdAParty,$AE1704,LdAType,1,LdAKey,"&lt;"&amp;$AK1704)+COUNTIFS(LdBMember,$AE1704,LdBKey,"&lt;"&amp;$AK1704)+COUNTIFS(LdCParty,$AE1704,LdCKey,"&lt;"&amp;$AK1704)+1)</f>
        <v/>
      </c>
      <c r="AM1704">
        <f>IF($AL1704="","",$AE1704&amp;"|"&amp;RIGHT("000000"&amp;$AL1704,6))</f>
        <v/>
      </c>
      <c r="AN1704">
        <f>IF($AE1704="","",IF(Sync!$W1704="",0,Sync!$W1704))</f>
        <v/>
      </c>
      <c r="AO1704">
        <f>IF($AE1704="","",IF(Sync!$X1704="",0,Sync!$X1704))</f>
        <v/>
      </c>
      <c r="AP1704">
        <f>IF($AE1704="","",Sync!$R1704)</f>
        <v/>
      </c>
      <c r="AQ1704">
        <f>IF($AE1704="","",Sync!$Y1704)</f>
        <v/>
      </c>
    </row>
    <row r="1705">
      <c r="A1705">
        <f>IF(OR(Wages!$B1708="",Wages!$E1708=""),"",Wages!$E1708)</f>
        <v/>
      </c>
      <c r="B1705">
        <f>IF($A1705="","",IF(Wages!$C1708="دستمزد گروهی",2,1))</f>
        <v/>
      </c>
      <c r="C1705">
        <f>IF($A1705="","",IF(ISNUMBER(Wages!$B1708),IF(AND(Wages!$B1708&gt;=10000101,Wages!$B1708&lt;=99991231),INT(Wages!$B1708/10000),""),IFERROR(VALUE(TRIM(LEFT(Wages!$B1708,FIND("/",Wages!$B1708)-1))),"")))</f>
        <v/>
      </c>
      <c r="D1705">
        <f>IF(OR($A1705="",$C1705=""),"",IF(ISNUMBER(Wages!$B1708),INT(MOD(Wages!$B1708,10000)/100),IFERROR(VALUE(TRIM(LEFT(MID(Wages!$B1708,FIND("/",Wages!$B1708)+1,20),FIND("/",MID(Wages!$B1708,FIND("/",Wages!$B1708)+1,20))-1))),"")))</f>
        <v/>
      </c>
      <c r="E1705">
        <f>IF(OR($A1705="",$C1705=""),"",IF(ISNUMBER(Wages!$B1708),MOD(Wages!$B1708,100),IFERROR(VALUE(TRIM(MID(MID(Wages!$B1708,FIND("/",Wages!$B1708)+1,20),FIND("/",MID(Wages!$B1708,FIND("/",Wages!$B1708)+1,20))+1,20))),"")))</f>
        <v/>
      </c>
      <c r="F1705">
        <f>IF($A1705="","",IF(OR($C1705="",$D1705="",$E1705="",$C1705&lt;1300,$C1705&gt;1500,$D1705&lt;1,$D1705&gt;12,$E1705&lt;1,$E1705&gt;31),"نامعتبر",RIGHT("0000"&amp;$C1705,4)&amp;"/"&amp;RIGHT("00"&amp;$D1705,2)&amp;"/"&amp;RIGHT("00"&amp;$E1705,2)))</f>
        <v/>
      </c>
      <c r="G1705">
        <f>IF(OR($A1705="",$F1705="",$F1705="نامعتبر"),"",LEFT($F1705,4)&amp;MID($F1705,6,2)&amp;RIGHT($F1705,2)&amp;"0000"&amp;"|"&amp;"1"&amp;RIGHT("00000"&amp;1700,5))</f>
        <v/>
      </c>
      <c r="H1705">
        <f>IF(OR($B1705&lt;&gt;1,$G1705=""),"",COUNTIFS(LdAParty,$A1705,LdAType,1,LdAKey,"&lt;"&amp;$G1705)+COUNTIFS(LdBMember,$A1705,LdBKey,"&lt;"&amp;$G1705)+COUNTIFS(LdCParty,$A1705,LdCKey,"&lt;"&amp;$G1705)+1)</f>
        <v/>
      </c>
      <c r="I1705">
        <f>IF($H1705="","",$A1705&amp;"|"&amp;RIGHT("000000"&amp;$H1705,6))</f>
        <v/>
      </c>
      <c r="J1705">
        <f>IF(OR($B1705&lt;&gt;2,$G1705=""),"",COUNTIFS(LdAParty,$A1705,LdAType,2,LdAKey,"&lt;"&amp;$G1705)+1)</f>
        <v/>
      </c>
      <c r="K1705">
        <f>IF($J1705="","",$A1705&amp;"|"&amp;RIGHT("000000"&amp;$J1705,6))</f>
        <v/>
      </c>
      <c r="L1705">
        <f>IF($A1705="","",IF(Wages!$G1708="",0,Wages!$G1708))</f>
        <v/>
      </c>
      <c r="M1705">
        <f>IF($A1705="","",Wages!$J1708)</f>
        <v/>
      </c>
      <c r="N1705">
        <f>IF($A1705="","",Wages!$D1708)</f>
        <v/>
      </c>
      <c r="P1705">
        <f>IF(OR(Shares!$B1708="",Shares!$C1708=""),"",Shares!$C1708)</f>
        <v/>
      </c>
      <c r="Q1705">
        <f>IF($P1705="","",Shares!$B1708)</f>
        <v/>
      </c>
      <c r="R1705">
        <f>IF($P1705="","",IFERROR(INDEX(WageParty,MATCH($Q1705,WageIds,0)),""))</f>
        <v/>
      </c>
      <c r="S1705">
        <f>IF($P1705="","",IFERROR(INDEX($F$6:$F$2005,MATCH($Q1705,WageIds,0)),""))</f>
        <v/>
      </c>
      <c r="T1705">
        <f>IF(OR($P1705="",$S1705="",$S1705="نامعتبر"),"",LEFT($S1705,4)&amp;MID($S1705,6,2)&amp;RIGHT($S1705,2)&amp;"0000"&amp;"|"&amp;"2"&amp;RIGHT("00000"&amp;1700,5))</f>
        <v/>
      </c>
      <c r="U1705">
        <f>IF($T1705="","",COUNTIFS(LdAParty,$P1705,LdAType,1,LdAKey,"&lt;"&amp;$T1705)+COUNTIFS(LdBMember,$P1705,LdBKey,"&lt;"&amp;$T1705)+COUNTIFS(LdCParty,$P1705,LdCKey,"&lt;"&amp;$T1705)+1)</f>
        <v/>
      </c>
      <c r="V1705">
        <f>IF($U1705="","",$P1705&amp;"|"&amp;RIGHT("000000"&amp;$U1705,6))</f>
        <v/>
      </c>
      <c r="W1705">
        <f>IF($T1705="","",COUNTIFS(LdBGroup,$R1705,LdBKey,"&lt;"&amp;$T1705)+1)</f>
        <v/>
      </c>
      <c r="X1705">
        <f>IF($W1705="","",$R1705&amp;"|"&amp;RIGHT("000000"&amp;$W1705,6))</f>
        <v/>
      </c>
      <c r="Y1705">
        <f>IF($P1705="","",IF(Shares!$E1708="",0,Shares!$E1708))</f>
        <v/>
      </c>
      <c r="Z1705">
        <f>IF($P1705="","",Shares!$H1708)</f>
        <v/>
      </c>
      <c r="AE1705">
        <f>IF(OR(Sync!$S1705="",Sync!$P1705=""),"",Sync!$S1705)</f>
        <v/>
      </c>
      <c r="AF1705">
        <f>IF($AE1705="","",IF(ISNUMBER(Sync!$P1705),IF(AND(Sync!$P1705&gt;=10000101,Sync!$P1705&lt;=99991231),INT(Sync!$P1705/10000),""),IFERROR(VALUE(TRIM(LEFT(Sync!$P1705,FIND("/",Sync!$P1705)-1))),"")))</f>
        <v/>
      </c>
      <c r="AG1705">
        <f>IF(OR($AE1705="",$AF1705=""),"",IF(ISNUMBER(Sync!$P1705),INT(MOD(Sync!$P1705,10000)/100),IFERROR(VALUE(TRIM(LEFT(MID(Sync!$P1705,FIND("/",Sync!$P1705)+1,20),FIND("/",MID(Sync!$P1705,FIND("/",Sync!$P1705)+1,20))-1))),"")))</f>
        <v/>
      </c>
      <c r="AH1705">
        <f>IF(OR($AE1705="",$AF1705=""),"",IF(ISNUMBER(Sync!$P1705),MOD(Sync!$P1705,100),IFERROR(VALUE(TRIM(MID(MID(Sync!$P1705,FIND("/",Sync!$P1705)+1,20),FIND("/",MID(Sync!$P1705,FIND("/",Sync!$P1705)+1,20))+1,20))),"")))</f>
        <v/>
      </c>
      <c r="AI1705">
        <f>IF($AE1705="","",IF(OR($AF1705="",$AG1705="",$AH1705="",$AF1705&lt;1300,$AF1705&gt;1500,$AG1705&lt;1,$AG1705&gt;12,$AH1705&lt;1,$AH1705&gt;31),"نامعتبر",RIGHT("0000"&amp;$AF1705,4)&amp;"/"&amp;RIGHT("00"&amp;$AG1705,2)&amp;"/"&amp;RIGHT("00"&amp;$AH1705,2)))</f>
        <v/>
      </c>
      <c r="AJ1705">
        <f>IF($AE1705="","",IF(Sync!$Q1705="","0000",IF(AND(ISNUMBER(Sync!$Q1705),Sync!$Q1705&gt;=0,Sync!$Q1705&lt;1),RIGHT("00"&amp;HOUR(Sync!$Q1705),2)&amp;RIGHT("00"&amp;MINUTE(Sync!$Q1705),2),IFERROR(RIGHT("00"&amp;VALUE(LEFT(Sync!$Q1705,FIND(":",Sync!$Q1705)-1)),2)&amp;RIGHT("00"&amp;VALUE(MID(Sync!$Q1705,FIND(":",Sync!$Q1705)+1,2)),2),"0000"))))</f>
        <v/>
      </c>
      <c r="AK1705">
        <f>IF(OR($AE1705="",$AI1705="",$AI1705="نامعتبر"),"",LEFT($AI1705,4)&amp;MID($AI1705,6,2)&amp;RIGHT($AI1705,2)&amp;$AJ1705&amp;"|"&amp;"3"&amp;RIGHT("00000"&amp;1700,5))</f>
        <v/>
      </c>
      <c r="AL1705">
        <f>IF($AK1705="","",COUNTIFS(LdAParty,$AE1705,LdAType,1,LdAKey,"&lt;"&amp;$AK1705)+COUNTIFS(LdBMember,$AE1705,LdBKey,"&lt;"&amp;$AK1705)+COUNTIFS(LdCParty,$AE1705,LdCKey,"&lt;"&amp;$AK1705)+1)</f>
        <v/>
      </c>
      <c r="AM1705">
        <f>IF($AL1705="","",$AE1705&amp;"|"&amp;RIGHT("000000"&amp;$AL1705,6))</f>
        <v/>
      </c>
      <c r="AN1705">
        <f>IF($AE1705="","",IF(Sync!$W1705="",0,Sync!$W1705))</f>
        <v/>
      </c>
      <c r="AO1705">
        <f>IF($AE1705="","",IF(Sync!$X1705="",0,Sync!$X1705))</f>
        <v/>
      </c>
      <c r="AP1705">
        <f>IF($AE1705="","",Sync!$R1705)</f>
        <v/>
      </c>
      <c r="AQ1705">
        <f>IF($AE1705="","",Sync!$Y1705)</f>
        <v/>
      </c>
    </row>
    <row r="1706">
      <c r="A1706">
        <f>IF(OR(Wages!$B1709="",Wages!$E1709=""),"",Wages!$E1709)</f>
        <v/>
      </c>
      <c r="B1706">
        <f>IF($A1706="","",IF(Wages!$C1709="دستمزد گروهی",2,1))</f>
        <v/>
      </c>
      <c r="C1706">
        <f>IF($A1706="","",IF(ISNUMBER(Wages!$B1709),IF(AND(Wages!$B1709&gt;=10000101,Wages!$B1709&lt;=99991231),INT(Wages!$B1709/10000),""),IFERROR(VALUE(TRIM(LEFT(Wages!$B1709,FIND("/",Wages!$B1709)-1))),"")))</f>
        <v/>
      </c>
      <c r="D1706">
        <f>IF(OR($A1706="",$C1706=""),"",IF(ISNUMBER(Wages!$B1709),INT(MOD(Wages!$B1709,10000)/100),IFERROR(VALUE(TRIM(LEFT(MID(Wages!$B1709,FIND("/",Wages!$B1709)+1,20),FIND("/",MID(Wages!$B1709,FIND("/",Wages!$B1709)+1,20))-1))),"")))</f>
        <v/>
      </c>
      <c r="E1706">
        <f>IF(OR($A1706="",$C1706=""),"",IF(ISNUMBER(Wages!$B1709),MOD(Wages!$B1709,100),IFERROR(VALUE(TRIM(MID(MID(Wages!$B1709,FIND("/",Wages!$B1709)+1,20),FIND("/",MID(Wages!$B1709,FIND("/",Wages!$B1709)+1,20))+1,20))),"")))</f>
        <v/>
      </c>
      <c r="F1706">
        <f>IF($A1706="","",IF(OR($C1706="",$D1706="",$E1706="",$C1706&lt;1300,$C1706&gt;1500,$D1706&lt;1,$D1706&gt;12,$E1706&lt;1,$E1706&gt;31),"نامعتبر",RIGHT("0000"&amp;$C1706,4)&amp;"/"&amp;RIGHT("00"&amp;$D1706,2)&amp;"/"&amp;RIGHT("00"&amp;$E1706,2)))</f>
        <v/>
      </c>
      <c r="G1706">
        <f>IF(OR($A1706="",$F1706="",$F1706="نامعتبر"),"",LEFT($F1706,4)&amp;MID($F1706,6,2)&amp;RIGHT($F1706,2)&amp;"0000"&amp;"|"&amp;"1"&amp;RIGHT("00000"&amp;1701,5))</f>
        <v/>
      </c>
      <c r="H1706">
        <f>IF(OR($B1706&lt;&gt;1,$G1706=""),"",COUNTIFS(LdAParty,$A1706,LdAType,1,LdAKey,"&lt;"&amp;$G1706)+COUNTIFS(LdBMember,$A1706,LdBKey,"&lt;"&amp;$G1706)+COUNTIFS(LdCParty,$A1706,LdCKey,"&lt;"&amp;$G1706)+1)</f>
        <v/>
      </c>
      <c r="I1706">
        <f>IF($H1706="","",$A1706&amp;"|"&amp;RIGHT("000000"&amp;$H1706,6))</f>
        <v/>
      </c>
      <c r="J1706">
        <f>IF(OR($B1706&lt;&gt;2,$G1706=""),"",COUNTIFS(LdAParty,$A1706,LdAType,2,LdAKey,"&lt;"&amp;$G1706)+1)</f>
        <v/>
      </c>
      <c r="K1706">
        <f>IF($J1706="","",$A1706&amp;"|"&amp;RIGHT("000000"&amp;$J1706,6))</f>
        <v/>
      </c>
      <c r="L1706">
        <f>IF($A1706="","",IF(Wages!$G1709="",0,Wages!$G1709))</f>
        <v/>
      </c>
      <c r="M1706">
        <f>IF($A1706="","",Wages!$J1709)</f>
        <v/>
      </c>
      <c r="N1706">
        <f>IF($A1706="","",Wages!$D1709)</f>
        <v/>
      </c>
      <c r="P1706">
        <f>IF(OR(Shares!$B1709="",Shares!$C1709=""),"",Shares!$C1709)</f>
        <v/>
      </c>
      <c r="Q1706">
        <f>IF($P1706="","",Shares!$B1709)</f>
        <v/>
      </c>
      <c r="R1706">
        <f>IF($P1706="","",IFERROR(INDEX(WageParty,MATCH($Q1706,WageIds,0)),""))</f>
        <v/>
      </c>
      <c r="S1706">
        <f>IF($P1706="","",IFERROR(INDEX($F$6:$F$2005,MATCH($Q1706,WageIds,0)),""))</f>
        <v/>
      </c>
      <c r="T1706">
        <f>IF(OR($P1706="",$S1706="",$S1706="نامعتبر"),"",LEFT($S1706,4)&amp;MID($S1706,6,2)&amp;RIGHT($S1706,2)&amp;"0000"&amp;"|"&amp;"2"&amp;RIGHT("00000"&amp;1701,5))</f>
        <v/>
      </c>
      <c r="U1706">
        <f>IF($T1706="","",COUNTIFS(LdAParty,$P1706,LdAType,1,LdAKey,"&lt;"&amp;$T1706)+COUNTIFS(LdBMember,$P1706,LdBKey,"&lt;"&amp;$T1706)+COUNTIFS(LdCParty,$P1706,LdCKey,"&lt;"&amp;$T1706)+1)</f>
        <v/>
      </c>
      <c r="V1706">
        <f>IF($U1706="","",$P1706&amp;"|"&amp;RIGHT("000000"&amp;$U1706,6))</f>
        <v/>
      </c>
      <c r="W1706">
        <f>IF($T1706="","",COUNTIFS(LdBGroup,$R1706,LdBKey,"&lt;"&amp;$T1706)+1)</f>
        <v/>
      </c>
      <c r="X1706">
        <f>IF($W1706="","",$R1706&amp;"|"&amp;RIGHT("000000"&amp;$W1706,6))</f>
        <v/>
      </c>
      <c r="Y1706">
        <f>IF($P1706="","",IF(Shares!$E1709="",0,Shares!$E1709))</f>
        <v/>
      </c>
      <c r="Z1706">
        <f>IF($P1706="","",Shares!$H1709)</f>
        <v/>
      </c>
      <c r="AE1706">
        <f>IF(OR(Sync!$S1706="",Sync!$P1706=""),"",Sync!$S1706)</f>
        <v/>
      </c>
      <c r="AF1706">
        <f>IF($AE1706="","",IF(ISNUMBER(Sync!$P1706),IF(AND(Sync!$P1706&gt;=10000101,Sync!$P1706&lt;=99991231),INT(Sync!$P1706/10000),""),IFERROR(VALUE(TRIM(LEFT(Sync!$P1706,FIND("/",Sync!$P1706)-1))),"")))</f>
        <v/>
      </c>
      <c r="AG1706">
        <f>IF(OR($AE1706="",$AF1706=""),"",IF(ISNUMBER(Sync!$P1706),INT(MOD(Sync!$P1706,10000)/100),IFERROR(VALUE(TRIM(LEFT(MID(Sync!$P1706,FIND("/",Sync!$P1706)+1,20),FIND("/",MID(Sync!$P1706,FIND("/",Sync!$P1706)+1,20))-1))),"")))</f>
        <v/>
      </c>
      <c r="AH1706">
        <f>IF(OR($AE1706="",$AF1706=""),"",IF(ISNUMBER(Sync!$P1706),MOD(Sync!$P1706,100),IFERROR(VALUE(TRIM(MID(MID(Sync!$P1706,FIND("/",Sync!$P1706)+1,20),FIND("/",MID(Sync!$P1706,FIND("/",Sync!$P1706)+1,20))+1,20))),"")))</f>
        <v/>
      </c>
      <c r="AI1706">
        <f>IF($AE1706="","",IF(OR($AF1706="",$AG1706="",$AH1706="",$AF1706&lt;1300,$AF1706&gt;1500,$AG1706&lt;1,$AG1706&gt;12,$AH1706&lt;1,$AH1706&gt;31),"نامعتبر",RIGHT("0000"&amp;$AF1706,4)&amp;"/"&amp;RIGHT("00"&amp;$AG1706,2)&amp;"/"&amp;RIGHT("00"&amp;$AH1706,2)))</f>
        <v/>
      </c>
      <c r="AJ1706">
        <f>IF($AE1706="","",IF(Sync!$Q1706="","0000",IF(AND(ISNUMBER(Sync!$Q1706),Sync!$Q1706&gt;=0,Sync!$Q1706&lt;1),RIGHT("00"&amp;HOUR(Sync!$Q1706),2)&amp;RIGHT("00"&amp;MINUTE(Sync!$Q1706),2),IFERROR(RIGHT("00"&amp;VALUE(LEFT(Sync!$Q1706,FIND(":",Sync!$Q1706)-1)),2)&amp;RIGHT("00"&amp;VALUE(MID(Sync!$Q1706,FIND(":",Sync!$Q1706)+1,2)),2),"0000"))))</f>
        <v/>
      </c>
      <c r="AK1706">
        <f>IF(OR($AE1706="",$AI1706="",$AI1706="نامعتبر"),"",LEFT($AI1706,4)&amp;MID($AI1706,6,2)&amp;RIGHT($AI1706,2)&amp;$AJ1706&amp;"|"&amp;"3"&amp;RIGHT("00000"&amp;1701,5))</f>
        <v/>
      </c>
      <c r="AL1706">
        <f>IF($AK1706="","",COUNTIFS(LdAParty,$AE1706,LdAType,1,LdAKey,"&lt;"&amp;$AK1706)+COUNTIFS(LdBMember,$AE1706,LdBKey,"&lt;"&amp;$AK1706)+COUNTIFS(LdCParty,$AE1706,LdCKey,"&lt;"&amp;$AK1706)+1)</f>
        <v/>
      </c>
      <c r="AM1706">
        <f>IF($AL1706="","",$AE1706&amp;"|"&amp;RIGHT("000000"&amp;$AL1706,6))</f>
        <v/>
      </c>
      <c r="AN1706">
        <f>IF($AE1706="","",IF(Sync!$W1706="",0,Sync!$W1706))</f>
        <v/>
      </c>
      <c r="AO1706">
        <f>IF($AE1706="","",IF(Sync!$X1706="",0,Sync!$X1706))</f>
        <v/>
      </c>
      <c r="AP1706">
        <f>IF($AE1706="","",Sync!$R1706)</f>
        <v/>
      </c>
      <c r="AQ1706">
        <f>IF($AE1706="","",Sync!$Y1706)</f>
        <v/>
      </c>
    </row>
    <row r="1707">
      <c r="A1707">
        <f>IF(OR(Wages!$B1710="",Wages!$E1710=""),"",Wages!$E1710)</f>
        <v/>
      </c>
      <c r="B1707">
        <f>IF($A1707="","",IF(Wages!$C1710="دستمزد گروهی",2,1))</f>
        <v/>
      </c>
      <c r="C1707">
        <f>IF($A1707="","",IF(ISNUMBER(Wages!$B1710),IF(AND(Wages!$B1710&gt;=10000101,Wages!$B1710&lt;=99991231),INT(Wages!$B1710/10000),""),IFERROR(VALUE(TRIM(LEFT(Wages!$B1710,FIND("/",Wages!$B1710)-1))),"")))</f>
        <v/>
      </c>
      <c r="D1707">
        <f>IF(OR($A1707="",$C1707=""),"",IF(ISNUMBER(Wages!$B1710),INT(MOD(Wages!$B1710,10000)/100),IFERROR(VALUE(TRIM(LEFT(MID(Wages!$B1710,FIND("/",Wages!$B1710)+1,20),FIND("/",MID(Wages!$B1710,FIND("/",Wages!$B1710)+1,20))-1))),"")))</f>
        <v/>
      </c>
      <c r="E1707">
        <f>IF(OR($A1707="",$C1707=""),"",IF(ISNUMBER(Wages!$B1710),MOD(Wages!$B1710,100),IFERROR(VALUE(TRIM(MID(MID(Wages!$B1710,FIND("/",Wages!$B1710)+1,20),FIND("/",MID(Wages!$B1710,FIND("/",Wages!$B1710)+1,20))+1,20))),"")))</f>
        <v/>
      </c>
      <c r="F1707">
        <f>IF($A1707="","",IF(OR($C1707="",$D1707="",$E1707="",$C1707&lt;1300,$C1707&gt;1500,$D1707&lt;1,$D1707&gt;12,$E1707&lt;1,$E1707&gt;31),"نامعتبر",RIGHT("0000"&amp;$C1707,4)&amp;"/"&amp;RIGHT("00"&amp;$D1707,2)&amp;"/"&amp;RIGHT("00"&amp;$E1707,2)))</f>
        <v/>
      </c>
      <c r="G1707">
        <f>IF(OR($A1707="",$F1707="",$F1707="نامعتبر"),"",LEFT($F1707,4)&amp;MID($F1707,6,2)&amp;RIGHT($F1707,2)&amp;"0000"&amp;"|"&amp;"1"&amp;RIGHT("00000"&amp;1702,5))</f>
        <v/>
      </c>
      <c r="H1707">
        <f>IF(OR($B1707&lt;&gt;1,$G1707=""),"",COUNTIFS(LdAParty,$A1707,LdAType,1,LdAKey,"&lt;"&amp;$G1707)+COUNTIFS(LdBMember,$A1707,LdBKey,"&lt;"&amp;$G1707)+COUNTIFS(LdCParty,$A1707,LdCKey,"&lt;"&amp;$G1707)+1)</f>
        <v/>
      </c>
      <c r="I1707">
        <f>IF($H1707="","",$A1707&amp;"|"&amp;RIGHT("000000"&amp;$H1707,6))</f>
        <v/>
      </c>
      <c r="J1707">
        <f>IF(OR($B1707&lt;&gt;2,$G1707=""),"",COUNTIFS(LdAParty,$A1707,LdAType,2,LdAKey,"&lt;"&amp;$G1707)+1)</f>
        <v/>
      </c>
      <c r="K1707">
        <f>IF($J1707="","",$A1707&amp;"|"&amp;RIGHT("000000"&amp;$J1707,6))</f>
        <v/>
      </c>
      <c r="L1707">
        <f>IF($A1707="","",IF(Wages!$G1710="",0,Wages!$G1710))</f>
        <v/>
      </c>
      <c r="M1707">
        <f>IF($A1707="","",Wages!$J1710)</f>
        <v/>
      </c>
      <c r="N1707">
        <f>IF($A1707="","",Wages!$D1710)</f>
        <v/>
      </c>
      <c r="P1707">
        <f>IF(OR(Shares!$B1710="",Shares!$C1710=""),"",Shares!$C1710)</f>
        <v/>
      </c>
      <c r="Q1707">
        <f>IF($P1707="","",Shares!$B1710)</f>
        <v/>
      </c>
      <c r="R1707">
        <f>IF($P1707="","",IFERROR(INDEX(WageParty,MATCH($Q1707,WageIds,0)),""))</f>
        <v/>
      </c>
      <c r="S1707">
        <f>IF($P1707="","",IFERROR(INDEX($F$6:$F$2005,MATCH($Q1707,WageIds,0)),""))</f>
        <v/>
      </c>
      <c r="T1707">
        <f>IF(OR($P1707="",$S1707="",$S1707="نامعتبر"),"",LEFT($S1707,4)&amp;MID($S1707,6,2)&amp;RIGHT($S1707,2)&amp;"0000"&amp;"|"&amp;"2"&amp;RIGHT("00000"&amp;1702,5))</f>
        <v/>
      </c>
      <c r="U1707">
        <f>IF($T1707="","",COUNTIFS(LdAParty,$P1707,LdAType,1,LdAKey,"&lt;"&amp;$T1707)+COUNTIFS(LdBMember,$P1707,LdBKey,"&lt;"&amp;$T1707)+COUNTIFS(LdCParty,$P1707,LdCKey,"&lt;"&amp;$T1707)+1)</f>
        <v/>
      </c>
      <c r="V1707">
        <f>IF($U1707="","",$P1707&amp;"|"&amp;RIGHT("000000"&amp;$U1707,6))</f>
        <v/>
      </c>
      <c r="W1707">
        <f>IF($T1707="","",COUNTIFS(LdBGroup,$R1707,LdBKey,"&lt;"&amp;$T1707)+1)</f>
        <v/>
      </c>
      <c r="X1707">
        <f>IF($W1707="","",$R1707&amp;"|"&amp;RIGHT("000000"&amp;$W1707,6))</f>
        <v/>
      </c>
      <c r="Y1707">
        <f>IF($P1707="","",IF(Shares!$E1710="",0,Shares!$E1710))</f>
        <v/>
      </c>
      <c r="Z1707">
        <f>IF($P1707="","",Shares!$H1710)</f>
        <v/>
      </c>
      <c r="AE1707">
        <f>IF(OR(Sync!$S1707="",Sync!$P1707=""),"",Sync!$S1707)</f>
        <v/>
      </c>
      <c r="AF1707">
        <f>IF($AE1707="","",IF(ISNUMBER(Sync!$P1707),IF(AND(Sync!$P1707&gt;=10000101,Sync!$P1707&lt;=99991231),INT(Sync!$P1707/10000),""),IFERROR(VALUE(TRIM(LEFT(Sync!$P1707,FIND("/",Sync!$P1707)-1))),"")))</f>
        <v/>
      </c>
      <c r="AG1707">
        <f>IF(OR($AE1707="",$AF1707=""),"",IF(ISNUMBER(Sync!$P1707),INT(MOD(Sync!$P1707,10000)/100),IFERROR(VALUE(TRIM(LEFT(MID(Sync!$P1707,FIND("/",Sync!$P1707)+1,20),FIND("/",MID(Sync!$P1707,FIND("/",Sync!$P1707)+1,20))-1))),"")))</f>
        <v/>
      </c>
      <c r="AH1707">
        <f>IF(OR($AE1707="",$AF1707=""),"",IF(ISNUMBER(Sync!$P1707),MOD(Sync!$P1707,100),IFERROR(VALUE(TRIM(MID(MID(Sync!$P1707,FIND("/",Sync!$P1707)+1,20),FIND("/",MID(Sync!$P1707,FIND("/",Sync!$P1707)+1,20))+1,20))),"")))</f>
        <v/>
      </c>
      <c r="AI1707">
        <f>IF($AE1707="","",IF(OR($AF1707="",$AG1707="",$AH1707="",$AF1707&lt;1300,$AF1707&gt;1500,$AG1707&lt;1,$AG1707&gt;12,$AH1707&lt;1,$AH1707&gt;31),"نامعتبر",RIGHT("0000"&amp;$AF1707,4)&amp;"/"&amp;RIGHT("00"&amp;$AG1707,2)&amp;"/"&amp;RIGHT("00"&amp;$AH1707,2)))</f>
        <v/>
      </c>
      <c r="AJ1707">
        <f>IF($AE1707="","",IF(Sync!$Q1707="","0000",IF(AND(ISNUMBER(Sync!$Q1707),Sync!$Q1707&gt;=0,Sync!$Q1707&lt;1),RIGHT("00"&amp;HOUR(Sync!$Q1707),2)&amp;RIGHT("00"&amp;MINUTE(Sync!$Q1707),2),IFERROR(RIGHT("00"&amp;VALUE(LEFT(Sync!$Q1707,FIND(":",Sync!$Q1707)-1)),2)&amp;RIGHT("00"&amp;VALUE(MID(Sync!$Q1707,FIND(":",Sync!$Q1707)+1,2)),2),"0000"))))</f>
        <v/>
      </c>
      <c r="AK1707">
        <f>IF(OR($AE1707="",$AI1707="",$AI1707="نامعتبر"),"",LEFT($AI1707,4)&amp;MID($AI1707,6,2)&amp;RIGHT($AI1707,2)&amp;$AJ1707&amp;"|"&amp;"3"&amp;RIGHT("00000"&amp;1702,5))</f>
        <v/>
      </c>
      <c r="AL1707">
        <f>IF($AK1707="","",COUNTIFS(LdAParty,$AE1707,LdAType,1,LdAKey,"&lt;"&amp;$AK1707)+COUNTIFS(LdBMember,$AE1707,LdBKey,"&lt;"&amp;$AK1707)+COUNTIFS(LdCParty,$AE1707,LdCKey,"&lt;"&amp;$AK1707)+1)</f>
        <v/>
      </c>
      <c r="AM1707">
        <f>IF($AL1707="","",$AE1707&amp;"|"&amp;RIGHT("000000"&amp;$AL1707,6))</f>
        <v/>
      </c>
      <c r="AN1707">
        <f>IF($AE1707="","",IF(Sync!$W1707="",0,Sync!$W1707))</f>
        <v/>
      </c>
      <c r="AO1707">
        <f>IF($AE1707="","",IF(Sync!$X1707="",0,Sync!$X1707))</f>
        <v/>
      </c>
      <c r="AP1707">
        <f>IF($AE1707="","",Sync!$R1707)</f>
        <v/>
      </c>
      <c r="AQ1707">
        <f>IF($AE1707="","",Sync!$Y1707)</f>
        <v/>
      </c>
    </row>
    <row r="1708">
      <c r="A1708">
        <f>IF(OR(Wages!$B1711="",Wages!$E1711=""),"",Wages!$E1711)</f>
        <v/>
      </c>
      <c r="B1708">
        <f>IF($A1708="","",IF(Wages!$C1711="دستمزد گروهی",2,1))</f>
        <v/>
      </c>
      <c r="C1708">
        <f>IF($A1708="","",IF(ISNUMBER(Wages!$B1711),IF(AND(Wages!$B1711&gt;=10000101,Wages!$B1711&lt;=99991231),INT(Wages!$B1711/10000),""),IFERROR(VALUE(TRIM(LEFT(Wages!$B1711,FIND("/",Wages!$B1711)-1))),"")))</f>
        <v/>
      </c>
      <c r="D1708">
        <f>IF(OR($A1708="",$C1708=""),"",IF(ISNUMBER(Wages!$B1711),INT(MOD(Wages!$B1711,10000)/100),IFERROR(VALUE(TRIM(LEFT(MID(Wages!$B1711,FIND("/",Wages!$B1711)+1,20),FIND("/",MID(Wages!$B1711,FIND("/",Wages!$B1711)+1,20))-1))),"")))</f>
        <v/>
      </c>
      <c r="E1708">
        <f>IF(OR($A1708="",$C1708=""),"",IF(ISNUMBER(Wages!$B1711),MOD(Wages!$B1711,100),IFERROR(VALUE(TRIM(MID(MID(Wages!$B1711,FIND("/",Wages!$B1711)+1,20),FIND("/",MID(Wages!$B1711,FIND("/",Wages!$B1711)+1,20))+1,20))),"")))</f>
        <v/>
      </c>
      <c r="F1708">
        <f>IF($A1708="","",IF(OR($C1708="",$D1708="",$E1708="",$C1708&lt;1300,$C1708&gt;1500,$D1708&lt;1,$D1708&gt;12,$E1708&lt;1,$E1708&gt;31),"نامعتبر",RIGHT("0000"&amp;$C1708,4)&amp;"/"&amp;RIGHT("00"&amp;$D1708,2)&amp;"/"&amp;RIGHT("00"&amp;$E1708,2)))</f>
        <v/>
      </c>
      <c r="G1708">
        <f>IF(OR($A1708="",$F1708="",$F1708="نامعتبر"),"",LEFT($F1708,4)&amp;MID($F1708,6,2)&amp;RIGHT($F1708,2)&amp;"0000"&amp;"|"&amp;"1"&amp;RIGHT("00000"&amp;1703,5))</f>
        <v/>
      </c>
      <c r="H1708">
        <f>IF(OR($B1708&lt;&gt;1,$G1708=""),"",COUNTIFS(LdAParty,$A1708,LdAType,1,LdAKey,"&lt;"&amp;$G1708)+COUNTIFS(LdBMember,$A1708,LdBKey,"&lt;"&amp;$G1708)+COUNTIFS(LdCParty,$A1708,LdCKey,"&lt;"&amp;$G1708)+1)</f>
        <v/>
      </c>
      <c r="I1708">
        <f>IF($H1708="","",$A1708&amp;"|"&amp;RIGHT("000000"&amp;$H1708,6))</f>
        <v/>
      </c>
      <c r="J1708">
        <f>IF(OR($B1708&lt;&gt;2,$G1708=""),"",COUNTIFS(LdAParty,$A1708,LdAType,2,LdAKey,"&lt;"&amp;$G1708)+1)</f>
        <v/>
      </c>
      <c r="K1708">
        <f>IF($J1708="","",$A1708&amp;"|"&amp;RIGHT("000000"&amp;$J1708,6))</f>
        <v/>
      </c>
      <c r="L1708">
        <f>IF($A1708="","",IF(Wages!$G1711="",0,Wages!$G1711))</f>
        <v/>
      </c>
      <c r="M1708">
        <f>IF($A1708="","",Wages!$J1711)</f>
        <v/>
      </c>
      <c r="N1708">
        <f>IF($A1708="","",Wages!$D1711)</f>
        <v/>
      </c>
      <c r="P1708">
        <f>IF(OR(Shares!$B1711="",Shares!$C1711=""),"",Shares!$C1711)</f>
        <v/>
      </c>
      <c r="Q1708">
        <f>IF($P1708="","",Shares!$B1711)</f>
        <v/>
      </c>
      <c r="R1708">
        <f>IF($P1708="","",IFERROR(INDEX(WageParty,MATCH($Q1708,WageIds,0)),""))</f>
        <v/>
      </c>
      <c r="S1708">
        <f>IF($P1708="","",IFERROR(INDEX($F$6:$F$2005,MATCH($Q1708,WageIds,0)),""))</f>
        <v/>
      </c>
      <c r="T1708">
        <f>IF(OR($P1708="",$S1708="",$S1708="نامعتبر"),"",LEFT($S1708,4)&amp;MID($S1708,6,2)&amp;RIGHT($S1708,2)&amp;"0000"&amp;"|"&amp;"2"&amp;RIGHT("00000"&amp;1703,5))</f>
        <v/>
      </c>
      <c r="U1708">
        <f>IF($T1708="","",COUNTIFS(LdAParty,$P1708,LdAType,1,LdAKey,"&lt;"&amp;$T1708)+COUNTIFS(LdBMember,$P1708,LdBKey,"&lt;"&amp;$T1708)+COUNTIFS(LdCParty,$P1708,LdCKey,"&lt;"&amp;$T1708)+1)</f>
        <v/>
      </c>
      <c r="V1708">
        <f>IF($U1708="","",$P1708&amp;"|"&amp;RIGHT("000000"&amp;$U1708,6))</f>
        <v/>
      </c>
      <c r="W1708">
        <f>IF($T1708="","",COUNTIFS(LdBGroup,$R1708,LdBKey,"&lt;"&amp;$T1708)+1)</f>
        <v/>
      </c>
      <c r="X1708">
        <f>IF($W1708="","",$R1708&amp;"|"&amp;RIGHT("000000"&amp;$W1708,6))</f>
        <v/>
      </c>
      <c r="Y1708">
        <f>IF($P1708="","",IF(Shares!$E1711="",0,Shares!$E1711))</f>
        <v/>
      </c>
      <c r="Z1708">
        <f>IF($P1708="","",Shares!$H1711)</f>
        <v/>
      </c>
      <c r="AE1708">
        <f>IF(OR(Sync!$S1708="",Sync!$P1708=""),"",Sync!$S1708)</f>
        <v/>
      </c>
      <c r="AF1708">
        <f>IF($AE1708="","",IF(ISNUMBER(Sync!$P1708),IF(AND(Sync!$P1708&gt;=10000101,Sync!$P1708&lt;=99991231),INT(Sync!$P1708/10000),""),IFERROR(VALUE(TRIM(LEFT(Sync!$P1708,FIND("/",Sync!$P1708)-1))),"")))</f>
        <v/>
      </c>
      <c r="AG1708">
        <f>IF(OR($AE1708="",$AF1708=""),"",IF(ISNUMBER(Sync!$P1708),INT(MOD(Sync!$P1708,10000)/100),IFERROR(VALUE(TRIM(LEFT(MID(Sync!$P1708,FIND("/",Sync!$P1708)+1,20),FIND("/",MID(Sync!$P1708,FIND("/",Sync!$P1708)+1,20))-1))),"")))</f>
        <v/>
      </c>
      <c r="AH1708">
        <f>IF(OR($AE1708="",$AF1708=""),"",IF(ISNUMBER(Sync!$P1708),MOD(Sync!$P1708,100),IFERROR(VALUE(TRIM(MID(MID(Sync!$P1708,FIND("/",Sync!$P1708)+1,20),FIND("/",MID(Sync!$P1708,FIND("/",Sync!$P1708)+1,20))+1,20))),"")))</f>
        <v/>
      </c>
      <c r="AI1708">
        <f>IF($AE1708="","",IF(OR($AF1708="",$AG1708="",$AH1708="",$AF1708&lt;1300,$AF1708&gt;1500,$AG1708&lt;1,$AG1708&gt;12,$AH1708&lt;1,$AH1708&gt;31),"نامعتبر",RIGHT("0000"&amp;$AF1708,4)&amp;"/"&amp;RIGHT("00"&amp;$AG1708,2)&amp;"/"&amp;RIGHT("00"&amp;$AH1708,2)))</f>
        <v/>
      </c>
      <c r="AJ1708">
        <f>IF($AE1708="","",IF(Sync!$Q1708="","0000",IF(AND(ISNUMBER(Sync!$Q1708),Sync!$Q1708&gt;=0,Sync!$Q1708&lt;1),RIGHT("00"&amp;HOUR(Sync!$Q1708),2)&amp;RIGHT("00"&amp;MINUTE(Sync!$Q1708),2),IFERROR(RIGHT("00"&amp;VALUE(LEFT(Sync!$Q1708,FIND(":",Sync!$Q1708)-1)),2)&amp;RIGHT("00"&amp;VALUE(MID(Sync!$Q1708,FIND(":",Sync!$Q1708)+1,2)),2),"0000"))))</f>
        <v/>
      </c>
      <c r="AK1708">
        <f>IF(OR($AE1708="",$AI1708="",$AI1708="نامعتبر"),"",LEFT($AI1708,4)&amp;MID($AI1708,6,2)&amp;RIGHT($AI1708,2)&amp;$AJ1708&amp;"|"&amp;"3"&amp;RIGHT("00000"&amp;1703,5))</f>
        <v/>
      </c>
      <c r="AL1708">
        <f>IF($AK1708="","",COUNTIFS(LdAParty,$AE1708,LdAType,1,LdAKey,"&lt;"&amp;$AK1708)+COUNTIFS(LdBMember,$AE1708,LdBKey,"&lt;"&amp;$AK1708)+COUNTIFS(LdCParty,$AE1708,LdCKey,"&lt;"&amp;$AK1708)+1)</f>
        <v/>
      </c>
      <c r="AM1708">
        <f>IF($AL1708="","",$AE1708&amp;"|"&amp;RIGHT("000000"&amp;$AL1708,6))</f>
        <v/>
      </c>
      <c r="AN1708">
        <f>IF($AE1708="","",IF(Sync!$W1708="",0,Sync!$W1708))</f>
        <v/>
      </c>
      <c r="AO1708">
        <f>IF($AE1708="","",IF(Sync!$X1708="",0,Sync!$X1708))</f>
        <v/>
      </c>
      <c r="AP1708">
        <f>IF($AE1708="","",Sync!$R1708)</f>
        <v/>
      </c>
      <c r="AQ1708">
        <f>IF($AE1708="","",Sync!$Y1708)</f>
        <v/>
      </c>
    </row>
    <row r="1709">
      <c r="A1709">
        <f>IF(OR(Wages!$B1712="",Wages!$E1712=""),"",Wages!$E1712)</f>
        <v/>
      </c>
      <c r="B1709">
        <f>IF($A1709="","",IF(Wages!$C1712="دستمزد گروهی",2,1))</f>
        <v/>
      </c>
      <c r="C1709">
        <f>IF($A1709="","",IF(ISNUMBER(Wages!$B1712),IF(AND(Wages!$B1712&gt;=10000101,Wages!$B1712&lt;=99991231),INT(Wages!$B1712/10000),""),IFERROR(VALUE(TRIM(LEFT(Wages!$B1712,FIND("/",Wages!$B1712)-1))),"")))</f>
        <v/>
      </c>
      <c r="D1709">
        <f>IF(OR($A1709="",$C1709=""),"",IF(ISNUMBER(Wages!$B1712),INT(MOD(Wages!$B1712,10000)/100),IFERROR(VALUE(TRIM(LEFT(MID(Wages!$B1712,FIND("/",Wages!$B1712)+1,20),FIND("/",MID(Wages!$B1712,FIND("/",Wages!$B1712)+1,20))-1))),"")))</f>
        <v/>
      </c>
      <c r="E1709">
        <f>IF(OR($A1709="",$C1709=""),"",IF(ISNUMBER(Wages!$B1712),MOD(Wages!$B1712,100),IFERROR(VALUE(TRIM(MID(MID(Wages!$B1712,FIND("/",Wages!$B1712)+1,20),FIND("/",MID(Wages!$B1712,FIND("/",Wages!$B1712)+1,20))+1,20))),"")))</f>
        <v/>
      </c>
      <c r="F1709">
        <f>IF($A1709="","",IF(OR($C1709="",$D1709="",$E1709="",$C1709&lt;1300,$C1709&gt;1500,$D1709&lt;1,$D1709&gt;12,$E1709&lt;1,$E1709&gt;31),"نامعتبر",RIGHT("0000"&amp;$C1709,4)&amp;"/"&amp;RIGHT("00"&amp;$D1709,2)&amp;"/"&amp;RIGHT("00"&amp;$E1709,2)))</f>
        <v/>
      </c>
      <c r="G1709">
        <f>IF(OR($A1709="",$F1709="",$F1709="نامعتبر"),"",LEFT($F1709,4)&amp;MID($F1709,6,2)&amp;RIGHT($F1709,2)&amp;"0000"&amp;"|"&amp;"1"&amp;RIGHT("00000"&amp;1704,5))</f>
        <v/>
      </c>
      <c r="H1709">
        <f>IF(OR($B1709&lt;&gt;1,$G1709=""),"",COUNTIFS(LdAParty,$A1709,LdAType,1,LdAKey,"&lt;"&amp;$G1709)+COUNTIFS(LdBMember,$A1709,LdBKey,"&lt;"&amp;$G1709)+COUNTIFS(LdCParty,$A1709,LdCKey,"&lt;"&amp;$G1709)+1)</f>
        <v/>
      </c>
      <c r="I1709">
        <f>IF($H1709="","",$A1709&amp;"|"&amp;RIGHT("000000"&amp;$H1709,6))</f>
        <v/>
      </c>
      <c r="J1709">
        <f>IF(OR($B1709&lt;&gt;2,$G1709=""),"",COUNTIFS(LdAParty,$A1709,LdAType,2,LdAKey,"&lt;"&amp;$G1709)+1)</f>
        <v/>
      </c>
      <c r="K1709">
        <f>IF($J1709="","",$A1709&amp;"|"&amp;RIGHT("000000"&amp;$J1709,6))</f>
        <v/>
      </c>
      <c r="L1709">
        <f>IF($A1709="","",IF(Wages!$G1712="",0,Wages!$G1712))</f>
        <v/>
      </c>
      <c r="M1709">
        <f>IF($A1709="","",Wages!$J1712)</f>
        <v/>
      </c>
      <c r="N1709">
        <f>IF($A1709="","",Wages!$D1712)</f>
        <v/>
      </c>
      <c r="P1709">
        <f>IF(OR(Shares!$B1712="",Shares!$C1712=""),"",Shares!$C1712)</f>
        <v/>
      </c>
      <c r="Q1709">
        <f>IF($P1709="","",Shares!$B1712)</f>
        <v/>
      </c>
      <c r="R1709">
        <f>IF($P1709="","",IFERROR(INDEX(WageParty,MATCH($Q1709,WageIds,0)),""))</f>
        <v/>
      </c>
      <c r="S1709">
        <f>IF($P1709="","",IFERROR(INDEX($F$6:$F$2005,MATCH($Q1709,WageIds,0)),""))</f>
        <v/>
      </c>
      <c r="T1709">
        <f>IF(OR($P1709="",$S1709="",$S1709="نامعتبر"),"",LEFT($S1709,4)&amp;MID($S1709,6,2)&amp;RIGHT($S1709,2)&amp;"0000"&amp;"|"&amp;"2"&amp;RIGHT("00000"&amp;1704,5))</f>
        <v/>
      </c>
      <c r="U1709">
        <f>IF($T1709="","",COUNTIFS(LdAParty,$P1709,LdAType,1,LdAKey,"&lt;"&amp;$T1709)+COUNTIFS(LdBMember,$P1709,LdBKey,"&lt;"&amp;$T1709)+COUNTIFS(LdCParty,$P1709,LdCKey,"&lt;"&amp;$T1709)+1)</f>
        <v/>
      </c>
      <c r="V1709">
        <f>IF($U1709="","",$P1709&amp;"|"&amp;RIGHT("000000"&amp;$U1709,6))</f>
        <v/>
      </c>
      <c r="W1709">
        <f>IF($T1709="","",COUNTIFS(LdBGroup,$R1709,LdBKey,"&lt;"&amp;$T1709)+1)</f>
        <v/>
      </c>
      <c r="X1709">
        <f>IF($W1709="","",$R1709&amp;"|"&amp;RIGHT("000000"&amp;$W1709,6))</f>
        <v/>
      </c>
      <c r="Y1709">
        <f>IF($P1709="","",IF(Shares!$E1712="",0,Shares!$E1712))</f>
        <v/>
      </c>
      <c r="Z1709">
        <f>IF($P1709="","",Shares!$H1712)</f>
        <v/>
      </c>
      <c r="AE1709">
        <f>IF(OR(Sync!$S1709="",Sync!$P1709=""),"",Sync!$S1709)</f>
        <v/>
      </c>
      <c r="AF1709">
        <f>IF($AE1709="","",IF(ISNUMBER(Sync!$P1709),IF(AND(Sync!$P1709&gt;=10000101,Sync!$P1709&lt;=99991231),INT(Sync!$P1709/10000),""),IFERROR(VALUE(TRIM(LEFT(Sync!$P1709,FIND("/",Sync!$P1709)-1))),"")))</f>
        <v/>
      </c>
      <c r="AG1709">
        <f>IF(OR($AE1709="",$AF1709=""),"",IF(ISNUMBER(Sync!$P1709),INT(MOD(Sync!$P1709,10000)/100),IFERROR(VALUE(TRIM(LEFT(MID(Sync!$P1709,FIND("/",Sync!$P1709)+1,20),FIND("/",MID(Sync!$P1709,FIND("/",Sync!$P1709)+1,20))-1))),"")))</f>
        <v/>
      </c>
      <c r="AH1709">
        <f>IF(OR($AE1709="",$AF1709=""),"",IF(ISNUMBER(Sync!$P1709),MOD(Sync!$P1709,100),IFERROR(VALUE(TRIM(MID(MID(Sync!$P1709,FIND("/",Sync!$P1709)+1,20),FIND("/",MID(Sync!$P1709,FIND("/",Sync!$P1709)+1,20))+1,20))),"")))</f>
        <v/>
      </c>
      <c r="AI1709">
        <f>IF($AE1709="","",IF(OR($AF1709="",$AG1709="",$AH1709="",$AF1709&lt;1300,$AF1709&gt;1500,$AG1709&lt;1,$AG1709&gt;12,$AH1709&lt;1,$AH1709&gt;31),"نامعتبر",RIGHT("0000"&amp;$AF1709,4)&amp;"/"&amp;RIGHT("00"&amp;$AG1709,2)&amp;"/"&amp;RIGHT("00"&amp;$AH1709,2)))</f>
        <v/>
      </c>
      <c r="AJ1709">
        <f>IF($AE1709="","",IF(Sync!$Q1709="","0000",IF(AND(ISNUMBER(Sync!$Q1709),Sync!$Q1709&gt;=0,Sync!$Q1709&lt;1),RIGHT("00"&amp;HOUR(Sync!$Q1709),2)&amp;RIGHT("00"&amp;MINUTE(Sync!$Q1709),2),IFERROR(RIGHT("00"&amp;VALUE(LEFT(Sync!$Q1709,FIND(":",Sync!$Q1709)-1)),2)&amp;RIGHT("00"&amp;VALUE(MID(Sync!$Q1709,FIND(":",Sync!$Q1709)+1,2)),2),"0000"))))</f>
        <v/>
      </c>
      <c r="AK1709">
        <f>IF(OR($AE1709="",$AI1709="",$AI1709="نامعتبر"),"",LEFT($AI1709,4)&amp;MID($AI1709,6,2)&amp;RIGHT($AI1709,2)&amp;$AJ1709&amp;"|"&amp;"3"&amp;RIGHT("00000"&amp;1704,5))</f>
        <v/>
      </c>
      <c r="AL1709">
        <f>IF($AK1709="","",COUNTIFS(LdAParty,$AE1709,LdAType,1,LdAKey,"&lt;"&amp;$AK1709)+COUNTIFS(LdBMember,$AE1709,LdBKey,"&lt;"&amp;$AK1709)+COUNTIFS(LdCParty,$AE1709,LdCKey,"&lt;"&amp;$AK1709)+1)</f>
        <v/>
      </c>
      <c r="AM1709">
        <f>IF($AL1709="","",$AE1709&amp;"|"&amp;RIGHT("000000"&amp;$AL1709,6))</f>
        <v/>
      </c>
      <c r="AN1709">
        <f>IF($AE1709="","",IF(Sync!$W1709="",0,Sync!$W1709))</f>
        <v/>
      </c>
      <c r="AO1709">
        <f>IF($AE1709="","",IF(Sync!$X1709="",0,Sync!$X1709))</f>
        <v/>
      </c>
      <c r="AP1709">
        <f>IF($AE1709="","",Sync!$R1709)</f>
        <v/>
      </c>
      <c r="AQ1709">
        <f>IF($AE1709="","",Sync!$Y1709)</f>
        <v/>
      </c>
    </row>
    <row r="1710">
      <c r="A1710">
        <f>IF(OR(Wages!$B1713="",Wages!$E1713=""),"",Wages!$E1713)</f>
        <v/>
      </c>
      <c r="B1710">
        <f>IF($A1710="","",IF(Wages!$C1713="دستمزد گروهی",2,1))</f>
        <v/>
      </c>
      <c r="C1710">
        <f>IF($A1710="","",IF(ISNUMBER(Wages!$B1713),IF(AND(Wages!$B1713&gt;=10000101,Wages!$B1713&lt;=99991231),INT(Wages!$B1713/10000),""),IFERROR(VALUE(TRIM(LEFT(Wages!$B1713,FIND("/",Wages!$B1713)-1))),"")))</f>
        <v/>
      </c>
      <c r="D1710">
        <f>IF(OR($A1710="",$C1710=""),"",IF(ISNUMBER(Wages!$B1713),INT(MOD(Wages!$B1713,10000)/100),IFERROR(VALUE(TRIM(LEFT(MID(Wages!$B1713,FIND("/",Wages!$B1713)+1,20),FIND("/",MID(Wages!$B1713,FIND("/",Wages!$B1713)+1,20))-1))),"")))</f>
        <v/>
      </c>
      <c r="E1710">
        <f>IF(OR($A1710="",$C1710=""),"",IF(ISNUMBER(Wages!$B1713),MOD(Wages!$B1713,100),IFERROR(VALUE(TRIM(MID(MID(Wages!$B1713,FIND("/",Wages!$B1713)+1,20),FIND("/",MID(Wages!$B1713,FIND("/",Wages!$B1713)+1,20))+1,20))),"")))</f>
        <v/>
      </c>
      <c r="F1710">
        <f>IF($A1710="","",IF(OR($C1710="",$D1710="",$E1710="",$C1710&lt;1300,$C1710&gt;1500,$D1710&lt;1,$D1710&gt;12,$E1710&lt;1,$E1710&gt;31),"نامعتبر",RIGHT("0000"&amp;$C1710,4)&amp;"/"&amp;RIGHT("00"&amp;$D1710,2)&amp;"/"&amp;RIGHT("00"&amp;$E1710,2)))</f>
        <v/>
      </c>
      <c r="G1710">
        <f>IF(OR($A1710="",$F1710="",$F1710="نامعتبر"),"",LEFT($F1710,4)&amp;MID($F1710,6,2)&amp;RIGHT($F1710,2)&amp;"0000"&amp;"|"&amp;"1"&amp;RIGHT("00000"&amp;1705,5))</f>
        <v/>
      </c>
      <c r="H1710">
        <f>IF(OR($B1710&lt;&gt;1,$G1710=""),"",COUNTIFS(LdAParty,$A1710,LdAType,1,LdAKey,"&lt;"&amp;$G1710)+COUNTIFS(LdBMember,$A1710,LdBKey,"&lt;"&amp;$G1710)+COUNTIFS(LdCParty,$A1710,LdCKey,"&lt;"&amp;$G1710)+1)</f>
        <v/>
      </c>
      <c r="I1710">
        <f>IF($H1710="","",$A1710&amp;"|"&amp;RIGHT("000000"&amp;$H1710,6))</f>
        <v/>
      </c>
      <c r="J1710">
        <f>IF(OR($B1710&lt;&gt;2,$G1710=""),"",COUNTIFS(LdAParty,$A1710,LdAType,2,LdAKey,"&lt;"&amp;$G1710)+1)</f>
        <v/>
      </c>
      <c r="K1710">
        <f>IF($J1710="","",$A1710&amp;"|"&amp;RIGHT("000000"&amp;$J1710,6))</f>
        <v/>
      </c>
      <c r="L1710">
        <f>IF($A1710="","",IF(Wages!$G1713="",0,Wages!$G1713))</f>
        <v/>
      </c>
      <c r="M1710">
        <f>IF($A1710="","",Wages!$J1713)</f>
        <v/>
      </c>
      <c r="N1710">
        <f>IF($A1710="","",Wages!$D1713)</f>
        <v/>
      </c>
      <c r="P1710">
        <f>IF(OR(Shares!$B1713="",Shares!$C1713=""),"",Shares!$C1713)</f>
        <v/>
      </c>
      <c r="Q1710">
        <f>IF($P1710="","",Shares!$B1713)</f>
        <v/>
      </c>
      <c r="R1710">
        <f>IF($P1710="","",IFERROR(INDEX(WageParty,MATCH($Q1710,WageIds,0)),""))</f>
        <v/>
      </c>
      <c r="S1710">
        <f>IF($P1710="","",IFERROR(INDEX($F$6:$F$2005,MATCH($Q1710,WageIds,0)),""))</f>
        <v/>
      </c>
      <c r="T1710">
        <f>IF(OR($P1710="",$S1710="",$S1710="نامعتبر"),"",LEFT($S1710,4)&amp;MID($S1710,6,2)&amp;RIGHT($S1710,2)&amp;"0000"&amp;"|"&amp;"2"&amp;RIGHT("00000"&amp;1705,5))</f>
        <v/>
      </c>
      <c r="U1710">
        <f>IF($T1710="","",COUNTIFS(LdAParty,$P1710,LdAType,1,LdAKey,"&lt;"&amp;$T1710)+COUNTIFS(LdBMember,$P1710,LdBKey,"&lt;"&amp;$T1710)+COUNTIFS(LdCParty,$P1710,LdCKey,"&lt;"&amp;$T1710)+1)</f>
        <v/>
      </c>
      <c r="V1710">
        <f>IF($U1710="","",$P1710&amp;"|"&amp;RIGHT("000000"&amp;$U1710,6))</f>
        <v/>
      </c>
      <c r="W1710">
        <f>IF($T1710="","",COUNTIFS(LdBGroup,$R1710,LdBKey,"&lt;"&amp;$T1710)+1)</f>
        <v/>
      </c>
      <c r="X1710">
        <f>IF($W1710="","",$R1710&amp;"|"&amp;RIGHT("000000"&amp;$W1710,6))</f>
        <v/>
      </c>
      <c r="Y1710">
        <f>IF($P1710="","",IF(Shares!$E1713="",0,Shares!$E1713))</f>
        <v/>
      </c>
      <c r="Z1710">
        <f>IF($P1710="","",Shares!$H1713)</f>
        <v/>
      </c>
      <c r="AE1710">
        <f>IF(OR(Sync!$S1710="",Sync!$P1710=""),"",Sync!$S1710)</f>
        <v/>
      </c>
      <c r="AF1710">
        <f>IF($AE1710="","",IF(ISNUMBER(Sync!$P1710),IF(AND(Sync!$P1710&gt;=10000101,Sync!$P1710&lt;=99991231),INT(Sync!$P1710/10000),""),IFERROR(VALUE(TRIM(LEFT(Sync!$P1710,FIND("/",Sync!$P1710)-1))),"")))</f>
        <v/>
      </c>
      <c r="AG1710">
        <f>IF(OR($AE1710="",$AF1710=""),"",IF(ISNUMBER(Sync!$P1710),INT(MOD(Sync!$P1710,10000)/100),IFERROR(VALUE(TRIM(LEFT(MID(Sync!$P1710,FIND("/",Sync!$P1710)+1,20),FIND("/",MID(Sync!$P1710,FIND("/",Sync!$P1710)+1,20))-1))),"")))</f>
        <v/>
      </c>
      <c r="AH1710">
        <f>IF(OR($AE1710="",$AF1710=""),"",IF(ISNUMBER(Sync!$P1710),MOD(Sync!$P1710,100),IFERROR(VALUE(TRIM(MID(MID(Sync!$P1710,FIND("/",Sync!$P1710)+1,20),FIND("/",MID(Sync!$P1710,FIND("/",Sync!$P1710)+1,20))+1,20))),"")))</f>
        <v/>
      </c>
      <c r="AI1710">
        <f>IF($AE1710="","",IF(OR($AF1710="",$AG1710="",$AH1710="",$AF1710&lt;1300,$AF1710&gt;1500,$AG1710&lt;1,$AG1710&gt;12,$AH1710&lt;1,$AH1710&gt;31),"نامعتبر",RIGHT("0000"&amp;$AF1710,4)&amp;"/"&amp;RIGHT("00"&amp;$AG1710,2)&amp;"/"&amp;RIGHT("00"&amp;$AH1710,2)))</f>
        <v/>
      </c>
      <c r="AJ1710">
        <f>IF($AE1710="","",IF(Sync!$Q1710="","0000",IF(AND(ISNUMBER(Sync!$Q1710),Sync!$Q1710&gt;=0,Sync!$Q1710&lt;1),RIGHT("00"&amp;HOUR(Sync!$Q1710),2)&amp;RIGHT("00"&amp;MINUTE(Sync!$Q1710),2),IFERROR(RIGHT("00"&amp;VALUE(LEFT(Sync!$Q1710,FIND(":",Sync!$Q1710)-1)),2)&amp;RIGHT("00"&amp;VALUE(MID(Sync!$Q1710,FIND(":",Sync!$Q1710)+1,2)),2),"0000"))))</f>
        <v/>
      </c>
      <c r="AK1710">
        <f>IF(OR($AE1710="",$AI1710="",$AI1710="نامعتبر"),"",LEFT($AI1710,4)&amp;MID($AI1710,6,2)&amp;RIGHT($AI1710,2)&amp;$AJ1710&amp;"|"&amp;"3"&amp;RIGHT("00000"&amp;1705,5))</f>
        <v/>
      </c>
      <c r="AL1710">
        <f>IF($AK1710="","",COUNTIFS(LdAParty,$AE1710,LdAType,1,LdAKey,"&lt;"&amp;$AK1710)+COUNTIFS(LdBMember,$AE1710,LdBKey,"&lt;"&amp;$AK1710)+COUNTIFS(LdCParty,$AE1710,LdCKey,"&lt;"&amp;$AK1710)+1)</f>
        <v/>
      </c>
      <c r="AM1710">
        <f>IF($AL1710="","",$AE1710&amp;"|"&amp;RIGHT("000000"&amp;$AL1710,6))</f>
        <v/>
      </c>
      <c r="AN1710">
        <f>IF($AE1710="","",IF(Sync!$W1710="",0,Sync!$W1710))</f>
        <v/>
      </c>
      <c r="AO1710">
        <f>IF($AE1710="","",IF(Sync!$X1710="",0,Sync!$X1710))</f>
        <v/>
      </c>
      <c r="AP1710">
        <f>IF($AE1710="","",Sync!$R1710)</f>
        <v/>
      </c>
      <c r="AQ1710">
        <f>IF($AE1710="","",Sync!$Y1710)</f>
        <v/>
      </c>
    </row>
    <row r="1711">
      <c r="A1711">
        <f>IF(OR(Wages!$B1714="",Wages!$E1714=""),"",Wages!$E1714)</f>
        <v/>
      </c>
      <c r="B1711">
        <f>IF($A1711="","",IF(Wages!$C1714="دستمزد گروهی",2,1))</f>
        <v/>
      </c>
      <c r="C1711">
        <f>IF($A1711="","",IF(ISNUMBER(Wages!$B1714),IF(AND(Wages!$B1714&gt;=10000101,Wages!$B1714&lt;=99991231),INT(Wages!$B1714/10000),""),IFERROR(VALUE(TRIM(LEFT(Wages!$B1714,FIND("/",Wages!$B1714)-1))),"")))</f>
        <v/>
      </c>
      <c r="D1711">
        <f>IF(OR($A1711="",$C1711=""),"",IF(ISNUMBER(Wages!$B1714),INT(MOD(Wages!$B1714,10000)/100),IFERROR(VALUE(TRIM(LEFT(MID(Wages!$B1714,FIND("/",Wages!$B1714)+1,20),FIND("/",MID(Wages!$B1714,FIND("/",Wages!$B1714)+1,20))-1))),"")))</f>
        <v/>
      </c>
      <c r="E1711">
        <f>IF(OR($A1711="",$C1711=""),"",IF(ISNUMBER(Wages!$B1714),MOD(Wages!$B1714,100),IFERROR(VALUE(TRIM(MID(MID(Wages!$B1714,FIND("/",Wages!$B1714)+1,20),FIND("/",MID(Wages!$B1714,FIND("/",Wages!$B1714)+1,20))+1,20))),"")))</f>
        <v/>
      </c>
      <c r="F1711">
        <f>IF($A1711="","",IF(OR($C1711="",$D1711="",$E1711="",$C1711&lt;1300,$C1711&gt;1500,$D1711&lt;1,$D1711&gt;12,$E1711&lt;1,$E1711&gt;31),"نامعتبر",RIGHT("0000"&amp;$C1711,4)&amp;"/"&amp;RIGHT("00"&amp;$D1711,2)&amp;"/"&amp;RIGHT("00"&amp;$E1711,2)))</f>
        <v/>
      </c>
      <c r="G1711">
        <f>IF(OR($A1711="",$F1711="",$F1711="نامعتبر"),"",LEFT($F1711,4)&amp;MID($F1711,6,2)&amp;RIGHT($F1711,2)&amp;"0000"&amp;"|"&amp;"1"&amp;RIGHT("00000"&amp;1706,5))</f>
        <v/>
      </c>
      <c r="H1711">
        <f>IF(OR($B1711&lt;&gt;1,$G1711=""),"",COUNTIFS(LdAParty,$A1711,LdAType,1,LdAKey,"&lt;"&amp;$G1711)+COUNTIFS(LdBMember,$A1711,LdBKey,"&lt;"&amp;$G1711)+COUNTIFS(LdCParty,$A1711,LdCKey,"&lt;"&amp;$G1711)+1)</f>
        <v/>
      </c>
      <c r="I1711">
        <f>IF($H1711="","",$A1711&amp;"|"&amp;RIGHT("000000"&amp;$H1711,6))</f>
        <v/>
      </c>
      <c r="J1711">
        <f>IF(OR($B1711&lt;&gt;2,$G1711=""),"",COUNTIFS(LdAParty,$A1711,LdAType,2,LdAKey,"&lt;"&amp;$G1711)+1)</f>
        <v/>
      </c>
      <c r="K1711">
        <f>IF($J1711="","",$A1711&amp;"|"&amp;RIGHT("000000"&amp;$J1711,6))</f>
        <v/>
      </c>
      <c r="L1711">
        <f>IF($A1711="","",IF(Wages!$G1714="",0,Wages!$G1714))</f>
        <v/>
      </c>
      <c r="M1711">
        <f>IF($A1711="","",Wages!$J1714)</f>
        <v/>
      </c>
      <c r="N1711">
        <f>IF($A1711="","",Wages!$D1714)</f>
        <v/>
      </c>
      <c r="P1711">
        <f>IF(OR(Shares!$B1714="",Shares!$C1714=""),"",Shares!$C1714)</f>
        <v/>
      </c>
      <c r="Q1711">
        <f>IF($P1711="","",Shares!$B1714)</f>
        <v/>
      </c>
      <c r="R1711">
        <f>IF($P1711="","",IFERROR(INDEX(WageParty,MATCH($Q1711,WageIds,0)),""))</f>
        <v/>
      </c>
      <c r="S1711">
        <f>IF($P1711="","",IFERROR(INDEX($F$6:$F$2005,MATCH($Q1711,WageIds,0)),""))</f>
        <v/>
      </c>
      <c r="T1711">
        <f>IF(OR($P1711="",$S1711="",$S1711="نامعتبر"),"",LEFT($S1711,4)&amp;MID($S1711,6,2)&amp;RIGHT($S1711,2)&amp;"0000"&amp;"|"&amp;"2"&amp;RIGHT("00000"&amp;1706,5))</f>
        <v/>
      </c>
      <c r="U1711">
        <f>IF($T1711="","",COUNTIFS(LdAParty,$P1711,LdAType,1,LdAKey,"&lt;"&amp;$T1711)+COUNTIFS(LdBMember,$P1711,LdBKey,"&lt;"&amp;$T1711)+COUNTIFS(LdCParty,$P1711,LdCKey,"&lt;"&amp;$T1711)+1)</f>
        <v/>
      </c>
      <c r="V1711">
        <f>IF($U1711="","",$P1711&amp;"|"&amp;RIGHT("000000"&amp;$U1711,6))</f>
        <v/>
      </c>
      <c r="W1711">
        <f>IF($T1711="","",COUNTIFS(LdBGroup,$R1711,LdBKey,"&lt;"&amp;$T1711)+1)</f>
        <v/>
      </c>
      <c r="X1711">
        <f>IF($W1711="","",$R1711&amp;"|"&amp;RIGHT("000000"&amp;$W1711,6))</f>
        <v/>
      </c>
      <c r="Y1711">
        <f>IF($P1711="","",IF(Shares!$E1714="",0,Shares!$E1714))</f>
        <v/>
      </c>
      <c r="Z1711">
        <f>IF($P1711="","",Shares!$H1714)</f>
        <v/>
      </c>
      <c r="AE1711">
        <f>IF(OR(Sync!$S1711="",Sync!$P1711=""),"",Sync!$S1711)</f>
        <v/>
      </c>
      <c r="AF1711">
        <f>IF($AE1711="","",IF(ISNUMBER(Sync!$P1711),IF(AND(Sync!$P1711&gt;=10000101,Sync!$P1711&lt;=99991231),INT(Sync!$P1711/10000),""),IFERROR(VALUE(TRIM(LEFT(Sync!$P1711,FIND("/",Sync!$P1711)-1))),"")))</f>
        <v/>
      </c>
      <c r="AG1711">
        <f>IF(OR($AE1711="",$AF1711=""),"",IF(ISNUMBER(Sync!$P1711),INT(MOD(Sync!$P1711,10000)/100),IFERROR(VALUE(TRIM(LEFT(MID(Sync!$P1711,FIND("/",Sync!$P1711)+1,20),FIND("/",MID(Sync!$P1711,FIND("/",Sync!$P1711)+1,20))-1))),"")))</f>
        <v/>
      </c>
      <c r="AH1711">
        <f>IF(OR($AE1711="",$AF1711=""),"",IF(ISNUMBER(Sync!$P1711),MOD(Sync!$P1711,100),IFERROR(VALUE(TRIM(MID(MID(Sync!$P1711,FIND("/",Sync!$P1711)+1,20),FIND("/",MID(Sync!$P1711,FIND("/",Sync!$P1711)+1,20))+1,20))),"")))</f>
        <v/>
      </c>
      <c r="AI1711">
        <f>IF($AE1711="","",IF(OR($AF1711="",$AG1711="",$AH1711="",$AF1711&lt;1300,$AF1711&gt;1500,$AG1711&lt;1,$AG1711&gt;12,$AH1711&lt;1,$AH1711&gt;31),"نامعتبر",RIGHT("0000"&amp;$AF1711,4)&amp;"/"&amp;RIGHT("00"&amp;$AG1711,2)&amp;"/"&amp;RIGHT("00"&amp;$AH1711,2)))</f>
        <v/>
      </c>
      <c r="AJ1711">
        <f>IF($AE1711="","",IF(Sync!$Q1711="","0000",IF(AND(ISNUMBER(Sync!$Q1711),Sync!$Q1711&gt;=0,Sync!$Q1711&lt;1),RIGHT("00"&amp;HOUR(Sync!$Q1711),2)&amp;RIGHT("00"&amp;MINUTE(Sync!$Q1711),2),IFERROR(RIGHT("00"&amp;VALUE(LEFT(Sync!$Q1711,FIND(":",Sync!$Q1711)-1)),2)&amp;RIGHT("00"&amp;VALUE(MID(Sync!$Q1711,FIND(":",Sync!$Q1711)+1,2)),2),"0000"))))</f>
        <v/>
      </c>
      <c r="AK1711">
        <f>IF(OR($AE1711="",$AI1711="",$AI1711="نامعتبر"),"",LEFT($AI1711,4)&amp;MID($AI1711,6,2)&amp;RIGHT($AI1711,2)&amp;$AJ1711&amp;"|"&amp;"3"&amp;RIGHT("00000"&amp;1706,5))</f>
        <v/>
      </c>
      <c r="AL1711">
        <f>IF($AK1711="","",COUNTIFS(LdAParty,$AE1711,LdAType,1,LdAKey,"&lt;"&amp;$AK1711)+COUNTIFS(LdBMember,$AE1711,LdBKey,"&lt;"&amp;$AK1711)+COUNTIFS(LdCParty,$AE1711,LdCKey,"&lt;"&amp;$AK1711)+1)</f>
        <v/>
      </c>
      <c r="AM1711">
        <f>IF($AL1711="","",$AE1711&amp;"|"&amp;RIGHT("000000"&amp;$AL1711,6))</f>
        <v/>
      </c>
      <c r="AN1711">
        <f>IF($AE1711="","",IF(Sync!$W1711="",0,Sync!$W1711))</f>
        <v/>
      </c>
      <c r="AO1711">
        <f>IF($AE1711="","",IF(Sync!$X1711="",0,Sync!$X1711))</f>
        <v/>
      </c>
      <c r="AP1711">
        <f>IF($AE1711="","",Sync!$R1711)</f>
        <v/>
      </c>
      <c r="AQ1711">
        <f>IF($AE1711="","",Sync!$Y1711)</f>
        <v/>
      </c>
    </row>
    <row r="1712">
      <c r="A1712">
        <f>IF(OR(Wages!$B1715="",Wages!$E1715=""),"",Wages!$E1715)</f>
        <v/>
      </c>
      <c r="B1712">
        <f>IF($A1712="","",IF(Wages!$C1715="دستمزد گروهی",2,1))</f>
        <v/>
      </c>
      <c r="C1712">
        <f>IF($A1712="","",IF(ISNUMBER(Wages!$B1715),IF(AND(Wages!$B1715&gt;=10000101,Wages!$B1715&lt;=99991231),INT(Wages!$B1715/10000),""),IFERROR(VALUE(TRIM(LEFT(Wages!$B1715,FIND("/",Wages!$B1715)-1))),"")))</f>
        <v/>
      </c>
      <c r="D1712">
        <f>IF(OR($A1712="",$C1712=""),"",IF(ISNUMBER(Wages!$B1715),INT(MOD(Wages!$B1715,10000)/100),IFERROR(VALUE(TRIM(LEFT(MID(Wages!$B1715,FIND("/",Wages!$B1715)+1,20),FIND("/",MID(Wages!$B1715,FIND("/",Wages!$B1715)+1,20))-1))),"")))</f>
        <v/>
      </c>
      <c r="E1712">
        <f>IF(OR($A1712="",$C1712=""),"",IF(ISNUMBER(Wages!$B1715),MOD(Wages!$B1715,100),IFERROR(VALUE(TRIM(MID(MID(Wages!$B1715,FIND("/",Wages!$B1715)+1,20),FIND("/",MID(Wages!$B1715,FIND("/",Wages!$B1715)+1,20))+1,20))),"")))</f>
        <v/>
      </c>
      <c r="F1712">
        <f>IF($A1712="","",IF(OR($C1712="",$D1712="",$E1712="",$C1712&lt;1300,$C1712&gt;1500,$D1712&lt;1,$D1712&gt;12,$E1712&lt;1,$E1712&gt;31),"نامعتبر",RIGHT("0000"&amp;$C1712,4)&amp;"/"&amp;RIGHT("00"&amp;$D1712,2)&amp;"/"&amp;RIGHT("00"&amp;$E1712,2)))</f>
        <v/>
      </c>
      <c r="G1712">
        <f>IF(OR($A1712="",$F1712="",$F1712="نامعتبر"),"",LEFT($F1712,4)&amp;MID($F1712,6,2)&amp;RIGHT($F1712,2)&amp;"0000"&amp;"|"&amp;"1"&amp;RIGHT("00000"&amp;1707,5))</f>
        <v/>
      </c>
      <c r="H1712">
        <f>IF(OR($B1712&lt;&gt;1,$G1712=""),"",COUNTIFS(LdAParty,$A1712,LdAType,1,LdAKey,"&lt;"&amp;$G1712)+COUNTIFS(LdBMember,$A1712,LdBKey,"&lt;"&amp;$G1712)+COUNTIFS(LdCParty,$A1712,LdCKey,"&lt;"&amp;$G1712)+1)</f>
        <v/>
      </c>
      <c r="I1712">
        <f>IF($H1712="","",$A1712&amp;"|"&amp;RIGHT("000000"&amp;$H1712,6))</f>
        <v/>
      </c>
      <c r="J1712">
        <f>IF(OR($B1712&lt;&gt;2,$G1712=""),"",COUNTIFS(LdAParty,$A1712,LdAType,2,LdAKey,"&lt;"&amp;$G1712)+1)</f>
        <v/>
      </c>
      <c r="K1712">
        <f>IF($J1712="","",$A1712&amp;"|"&amp;RIGHT("000000"&amp;$J1712,6))</f>
        <v/>
      </c>
      <c r="L1712">
        <f>IF($A1712="","",IF(Wages!$G1715="",0,Wages!$G1715))</f>
        <v/>
      </c>
      <c r="M1712">
        <f>IF($A1712="","",Wages!$J1715)</f>
        <v/>
      </c>
      <c r="N1712">
        <f>IF($A1712="","",Wages!$D1715)</f>
        <v/>
      </c>
      <c r="P1712">
        <f>IF(OR(Shares!$B1715="",Shares!$C1715=""),"",Shares!$C1715)</f>
        <v/>
      </c>
      <c r="Q1712">
        <f>IF($P1712="","",Shares!$B1715)</f>
        <v/>
      </c>
      <c r="R1712">
        <f>IF($P1712="","",IFERROR(INDEX(WageParty,MATCH($Q1712,WageIds,0)),""))</f>
        <v/>
      </c>
      <c r="S1712">
        <f>IF($P1712="","",IFERROR(INDEX($F$6:$F$2005,MATCH($Q1712,WageIds,0)),""))</f>
        <v/>
      </c>
      <c r="T1712">
        <f>IF(OR($P1712="",$S1712="",$S1712="نامعتبر"),"",LEFT($S1712,4)&amp;MID($S1712,6,2)&amp;RIGHT($S1712,2)&amp;"0000"&amp;"|"&amp;"2"&amp;RIGHT("00000"&amp;1707,5))</f>
        <v/>
      </c>
      <c r="U1712">
        <f>IF($T1712="","",COUNTIFS(LdAParty,$P1712,LdAType,1,LdAKey,"&lt;"&amp;$T1712)+COUNTIFS(LdBMember,$P1712,LdBKey,"&lt;"&amp;$T1712)+COUNTIFS(LdCParty,$P1712,LdCKey,"&lt;"&amp;$T1712)+1)</f>
        <v/>
      </c>
      <c r="V1712">
        <f>IF($U1712="","",$P1712&amp;"|"&amp;RIGHT("000000"&amp;$U1712,6))</f>
        <v/>
      </c>
      <c r="W1712">
        <f>IF($T1712="","",COUNTIFS(LdBGroup,$R1712,LdBKey,"&lt;"&amp;$T1712)+1)</f>
        <v/>
      </c>
      <c r="X1712">
        <f>IF($W1712="","",$R1712&amp;"|"&amp;RIGHT("000000"&amp;$W1712,6))</f>
        <v/>
      </c>
      <c r="Y1712">
        <f>IF($P1712="","",IF(Shares!$E1715="",0,Shares!$E1715))</f>
        <v/>
      </c>
      <c r="Z1712">
        <f>IF($P1712="","",Shares!$H1715)</f>
        <v/>
      </c>
      <c r="AE1712">
        <f>IF(OR(Sync!$S1712="",Sync!$P1712=""),"",Sync!$S1712)</f>
        <v/>
      </c>
      <c r="AF1712">
        <f>IF($AE1712="","",IF(ISNUMBER(Sync!$P1712),IF(AND(Sync!$P1712&gt;=10000101,Sync!$P1712&lt;=99991231),INT(Sync!$P1712/10000),""),IFERROR(VALUE(TRIM(LEFT(Sync!$P1712,FIND("/",Sync!$P1712)-1))),"")))</f>
        <v/>
      </c>
      <c r="AG1712">
        <f>IF(OR($AE1712="",$AF1712=""),"",IF(ISNUMBER(Sync!$P1712),INT(MOD(Sync!$P1712,10000)/100),IFERROR(VALUE(TRIM(LEFT(MID(Sync!$P1712,FIND("/",Sync!$P1712)+1,20),FIND("/",MID(Sync!$P1712,FIND("/",Sync!$P1712)+1,20))-1))),"")))</f>
        <v/>
      </c>
      <c r="AH1712">
        <f>IF(OR($AE1712="",$AF1712=""),"",IF(ISNUMBER(Sync!$P1712),MOD(Sync!$P1712,100),IFERROR(VALUE(TRIM(MID(MID(Sync!$P1712,FIND("/",Sync!$P1712)+1,20),FIND("/",MID(Sync!$P1712,FIND("/",Sync!$P1712)+1,20))+1,20))),"")))</f>
        <v/>
      </c>
      <c r="AI1712">
        <f>IF($AE1712="","",IF(OR($AF1712="",$AG1712="",$AH1712="",$AF1712&lt;1300,$AF1712&gt;1500,$AG1712&lt;1,$AG1712&gt;12,$AH1712&lt;1,$AH1712&gt;31),"نامعتبر",RIGHT("0000"&amp;$AF1712,4)&amp;"/"&amp;RIGHT("00"&amp;$AG1712,2)&amp;"/"&amp;RIGHT("00"&amp;$AH1712,2)))</f>
        <v/>
      </c>
      <c r="AJ1712">
        <f>IF($AE1712="","",IF(Sync!$Q1712="","0000",IF(AND(ISNUMBER(Sync!$Q1712),Sync!$Q1712&gt;=0,Sync!$Q1712&lt;1),RIGHT("00"&amp;HOUR(Sync!$Q1712),2)&amp;RIGHT("00"&amp;MINUTE(Sync!$Q1712),2),IFERROR(RIGHT("00"&amp;VALUE(LEFT(Sync!$Q1712,FIND(":",Sync!$Q1712)-1)),2)&amp;RIGHT("00"&amp;VALUE(MID(Sync!$Q1712,FIND(":",Sync!$Q1712)+1,2)),2),"0000"))))</f>
        <v/>
      </c>
      <c r="AK1712">
        <f>IF(OR($AE1712="",$AI1712="",$AI1712="نامعتبر"),"",LEFT($AI1712,4)&amp;MID($AI1712,6,2)&amp;RIGHT($AI1712,2)&amp;$AJ1712&amp;"|"&amp;"3"&amp;RIGHT("00000"&amp;1707,5))</f>
        <v/>
      </c>
      <c r="AL1712">
        <f>IF($AK1712="","",COUNTIFS(LdAParty,$AE1712,LdAType,1,LdAKey,"&lt;"&amp;$AK1712)+COUNTIFS(LdBMember,$AE1712,LdBKey,"&lt;"&amp;$AK1712)+COUNTIFS(LdCParty,$AE1712,LdCKey,"&lt;"&amp;$AK1712)+1)</f>
        <v/>
      </c>
      <c r="AM1712">
        <f>IF($AL1712="","",$AE1712&amp;"|"&amp;RIGHT("000000"&amp;$AL1712,6))</f>
        <v/>
      </c>
      <c r="AN1712">
        <f>IF($AE1712="","",IF(Sync!$W1712="",0,Sync!$W1712))</f>
        <v/>
      </c>
      <c r="AO1712">
        <f>IF($AE1712="","",IF(Sync!$X1712="",0,Sync!$X1712))</f>
        <v/>
      </c>
      <c r="AP1712">
        <f>IF($AE1712="","",Sync!$R1712)</f>
        <v/>
      </c>
      <c r="AQ1712">
        <f>IF($AE1712="","",Sync!$Y1712)</f>
        <v/>
      </c>
    </row>
    <row r="1713">
      <c r="A1713">
        <f>IF(OR(Wages!$B1716="",Wages!$E1716=""),"",Wages!$E1716)</f>
        <v/>
      </c>
      <c r="B1713">
        <f>IF($A1713="","",IF(Wages!$C1716="دستمزد گروهی",2,1))</f>
        <v/>
      </c>
      <c r="C1713">
        <f>IF($A1713="","",IF(ISNUMBER(Wages!$B1716),IF(AND(Wages!$B1716&gt;=10000101,Wages!$B1716&lt;=99991231),INT(Wages!$B1716/10000),""),IFERROR(VALUE(TRIM(LEFT(Wages!$B1716,FIND("/",Wages!$B1716)-1))),"")))</f>
        <v/>
      </c>
      <c r="D1713">
        <f>IF(OR($A1713="",$C1713=""),"",IF(ISNUMBER(Wages!$B1716),INT(MOD(Wages!$B1716,10000)/100),IFERROR(VALUE(TRIM(LEFT(MID(Wages!$B1716,FIND("/",Wages!$B1716)+1,20),FIND("/",MID(Wages!$B1716,FIND("/",Wages!$B1716)+1,20))-1))),"")))</f>
        <v/>
      </c>
      <c r="E1713">
        <f>IF(OR($A1713="",$C1713=""),"",IF(ISNUMBER(Wages!$B1716),MOD(Wages!$B1716,100),IFERROR(VALUE(TRIM(MID(MID(Wages!$B1716,FIND("/",Wages!$B1716)+1,20),FIND("/",MID(Wages!$B1716,FIND("/",Wages!$B1716)+1,20))+1,20))),"")))</f>
        <v/>
      </c>
      <c r="F1713">
        <f>IF($A1713="","",IF(OR($C1713="",$D1713="",$E1713="",$C1713&lt;1300,$C1713&gt;1500,$D1713&lt;1,$D1713&gt;12,$E1713&lt;1,$E1713&gt;31),"نامعتبر",RIGHT("0000"&amp;$C1713,4)&amp;"/"&amp;RIGHT("00"&amp;$D1713,2)&amp;"/"&amp;RIGHT("00"&amp;$E1713,2)))</f>
        <v/>
      </c>
      <c r="G1713">
        <f>IF(OR($A1713="",$F1713="",$F1713="نامعتبر"),"",LEFT($F1713,4)&amp;MID($F1713,6,2)&amp;RIGHT($F1713,2)&amp;"0000"&amp;"|"&amp;"1"&amp;RIGHT("00000"&amp;1708,5))</f>
        <v/>
      </c>
      <c r="H1713">
        <f>IF(OR($B1713&lt;&gt;1,$G1713=""),"",COUNTIFS(LdAParty,$A1713,LdAType,1,LdAKey,"&lt;"&amp;$G1713)+COUNTIFS(LdBMember,$A1713,LdBKey,"&lt;"&amp;$G1713)+COUNTIFS(LdCParty,$A1713,LdCKey,"&lt;"&amp;$G1713)+1)</f>
        <v/>
      </c>
      <c r="I1713">
        <f>IF($H1713="","",$A1713&amp;"|"&amp;RIGHT("000000"&amp;$H1713,6))</f>
        <v/>
      </c>
      <c r="J1713">
        <f>IF(OR($B1713&lt;&gt;2,$G1713=""),"",COUNTIFS(LdAParty,$A1713,LdAType,2,LdAKey,"&lt;"&amp;$G1713)+1)</f>
        <v/>
      </c>
      <c r="K1713">
        <f>IF($J1713="","",$A1713&amp;"|"&amp;RIGHT("000000"&amp;$J1713,6))</f>
        <v/>
      </c>
      <c r="L1713">
        <f>IF($A1713="","",IF(Wages!$G1716="",0,Wages!$G1716))</f>
        <v/>
      </c>
      <c r="M1713">
        <f>IF($A1713="","",Wages!$J1716)</f>
        <v/>
      </c>
      <c r="N1713">
        <f>IF($A1713="","",Wages!$D1716)</f>
        <v/>
      </c>
      <c r="P1713">
        <f>IF(OR(Shares!$B1716="",Shares!$C1716=""),"",Shares!$C1716)</f>
        <v/>
      </c>
      <c r="Q1713">
        <f>IF($P1713="","",Shares!$B1716)</f>
        <v/>
      </c>
      <c r="R1713">
        <f>IF($P1713="","",IFERROR(INDEX(WageParty,MATCH($Q1713,WageIds,0)),""))</f>
        <v/>
      </c>
      <c r="S1713">
        <f>IF($P1713="","",IFERROR(INDEX($F$6:$F$2005,MATCH($Q1713,WageIds,0)),""))</f>
        <v/>
      </c>
      <c r="T1713">
        <f>IF(OR($P1713="",$S1713="",$S1713="نامعتبر"),"",LEFT($S1713,4)&amp;MID($S1713,6,2)&amp;RIGHT($S1713,2)&amp;"0000"&amp;"|"&amp;"2"&amp;RIGHT("00000"&amp;1708,5))</f>
        <v/>
      </c>
      <c r="U1713">
        <f>IF($T1713="","",COUNTIFS(LdAParty,$P1713,LdAType,1,LdAKey,"&lt;"&amp;$T1713)+COUNTIFS(LdBMember,$P1713,LdBKey,"&lt;"&amp;$T1713)+COUNTIFS(LdCParty,$P1713,LdCKey,"&lt;"&amp;$T1713)+1)</f>
        <v/>
      </c>
      <c r="V1713">
        <f>IF($U1713="","",$P1713&amp;"|"&amp;RIGHT("000000"&amp;$U1713,6))</f>
        <v/>
      </c>
      <c r="W1713">
        <f>IF($T1713="","",COUNTIFS(LdBGroup,$R1713,LdBKey,"&lt;"&amp;$T1713)+1)</f>
        <v/>
      </c>
      <c r="X1713">
        <f>IF($W1713="","",$R1713&amp;"|"&amp;RIGHT("000000"&amp;$W1713,6))</f>
        <v/>
      </c>
      <c r="Y1713">
        <f>IF($P1713="","",IF(Shares!$E1716="",0,Shares!$E1716))</f>
        <v/>
      </c>
      <c r="Z1713">
        <f>IF($P1713="","",Shares!$H1716)</f>
        <v/>
      </c>
      <c r="AE1713">
        <f>IF(OR(Sync!$S1713="",Sync!$P1713=""),"",Sync!$S1713)</f>
        <v/>
      </c>
      <c r="AF1713">
        <f>IF($AE1713="","",IF(ISNUMBER(Sync!$P1713),IF(AND(Sync!$P1713&gt;=10000101,Sync!$P1713&lt;=99991231),INT(Sync!$P1713/10000),""),IFERROR(VALUE(TRIM(LEFT(Sync!$P1713,FIND("/",Sync!$P1713)-1))),"")))</f>
        <v/>
      </c>
      <c r="AG1713">
        <f>IF(OR($AE1713="",$AF1713=""),"",IF(ISNUMBER(Sync!$P1713),INT(MOD(Sync!$P1713,10000)/100),IFERROR(VALUE(TRIM(LEFT(MID(Sync!$P1713,FIND("/",Sync!$P1713)+1,20),FIND("/",MID(Sync!$P1713,FIND("/",Sync!$P1713)+1,20))-1))),"")))</f>
        <v/>
      </c>
      <c r="AH1713">
        <f>IF(OR($AE1713="",$AF1713=""),"",IF(ISNUMBER(Sync!$P1713),MOD(Sync!$P1713,100),IFERROR(VALUE(TRIM(MID(MID(Sync!$P1713,FIND("/",Sync!$P1713)+1,20),FIND("/",MID(Sync!$P1713,FIND("/",Sync!$P1713)+1,20))+1,20))),"")))</f>
        <v/>
      </c>
      <c r="AI1713">
        <f>IF($AE1713="","",IF(OR($AF1713="",$AG1713="",$AH1713="",$AF1713&lt;1300,$AF1713&gt;1500,$AG1713&lt;1,$AG1713&gt;12,$AH1713&lt;1,$AH1713&gt;31),"نامعتبر",RIGHT("0000"&amp;$AF1713,4)&amp;"/"&amp;RIGHT("00"&amp;$AG1713,2)&amp;"/"&amp;RIGHT("00"&amp;$AH1713,2)))</f>
        <v/>
      </c>
      <c r="AJ1713">
        <f>IF($AE1713="","",IF(Sync!$Q1713="","0000",IF(AND(ISNUMBER(Sync!$Q1713),Sync!$Q1713&gt;=0,Sync!$Q1713&lt;1),RIGHT("00"&amp;HOUR(Sync!$Q1713),2)&amp;RIGHT("00"&amp;MINUTE(Sync!$Q1713),2),IFERROR(RIGHT("00"&amp;VALUE(LEFT(Sync!$Q1713,FIND(":",Sync!$Q1713)-1)),2)&amp;RIGHT("00"&amp;VALUE(MID(Sync!$Q1713,FIND(":",Sync!$Q1713)+1,2)),2),"0000"))))</f>
        <v/>
      </c>
      <c r="AK1713">
        <f>IF(OR($AE1713="",$AI1713="",$AI1713="نامعتبر"),"",LEFT($AI1713,4)&amp;MID($AI1713,6,2)&amp;RIGHT($AI1713,2)&amp;$AJ1713&amp;"|"&amp;"3"&amp;RIGHT("00000"&amp;1708,5))</f>
        <v/>
      </c>
      <c r="AL1713">
        <f>IF($AK1713="","",COUNTIFS(LdAParty,$AE1713,LdAType,1,LdAKey,"&lt;"&amp;$AK1713)+COUNTIFS(LdBMember,$AE1713,LdBKey,"&lt;"&amp;$AK1713)+COUNTIFS(LdCParty,$AE1713,LdCKey,"&lt;"&amp;$AK1713)+1)</f>
        <v/>
      </c>
      <c r="AM1713">
        <f>IF($AL1713="","",$AE1713&amp;"|"&amp;RIGHT("000000"&amp;$AL1713,6))</f>
        <v/>
      </c>
      <c r="AN1713">
        <f>IF($AE1713="","",IF(Sync!$W1713="",0,Sync!$W1713))</f>
        <v/>
      </c>
      <c r="AO1713">
        <f>IF($AE1713="","",IF(Sync!$X1713="",0,Sync!$X1713))</f>
        <v/>
      </c>
      <c r="AP1713">
        <f>IF($AE1713="","",Sync!$R1713)</f>
        <v/>
      </c>
      <c r="AQ1713">
        <f>IF($AE1713="","",Sync!$Y1713)</f>
        <v/>
      </c>
    </row>
    <row r="1714">
      <c r="A1714">
        <f>IF(OR(Wages!$B1717="",Wages!$E1717=""),"",Wages!$E1717)</f>
        <v/>
      </c>
      <c r="B1714">
        <f>IF($A1714="","",IF(Wages!$C1717="دستمزد گروهی",2,1))</f>
        <v/>
      </c>
      <c r="C1714">
        <f>IF($A1714="","",IF(ISNUMBER(Wages!$B1717),IF(AND(Wages!$B1717&gt;=10000101,Wages!$B1717&lt;=99991231),INT(Wages!$B1717/10000),""),IFERROR(VALUE(TRIM(LEFT(Wages!$B1717,FIND("/",Wages!$B1717)-1))),"")))</f>
        <v/>
      </c>
      <c r="D1714">
        <f>IF(OR($A1714="",$C1714=""),"",IF(ISNUMBER(Wages!$B1717),INT(MOD(Wages!$B1717,10000)/100),IFERROR(VALUE(TRIM(LEFT(MID(Wages!$B1717,FIND("/",Wages!$B1717)+1,20),FIND("/",MID(Wages!$B1717,FIND("/",Wages!$B1717)+1,20))-1))),"")))</f>
        <v/>
      </c>
      <c r="E1714">
        <f>IF(OR($A1714="",$C1714=""),"",IF(ISNUMBER(Wages!$B1717),MOD(Wages!$B1717,100),IFERROR(VALUE(TRIM(MID(MID(Wages!$B1717,FIND("/",Wages!$B1717)+1,20),FIND("/",MID(Wages!$B1717,FIND("/",Wages!$B1717)+1,20))+1,20))),"")))</f>
        <v/>
      </c>
      <c r="F1714">
        <f>IF($A1714="","",IF(OR($C1714="",$D1714="",$E1714="",$C1714&lt;1300,$C1714&gt;1500,$D1714&lt;1,$D1714&gt;12,$E1714&lt;1,$E1714&gt;31),"نامعتبر",RIGHT("0000"&amp;$C1714,4)&amp;"/"&amp;RIGHT("00"&amp;$D1714,2)&amp;"/"&amp;RIGHT("00"&amp;$E1714,2)))</f>
        <v/>
      </c>
      <c r="G1714">
        <f>IF(OR($A1714="",$F1714="",$F1714="نامعتبر"),"",LEFT($F1714,4)&amp;MID($F1714,6,2)&amp;RIGHT($F1714,2)&amp;"0000"&amp;"|"&amp;"1"&amp;RIGHT("00000"&amp;1709,5))</f>
        <v/>
      </c>
      <c r="H1714">
        <f>IF(OR($B1714&lt;&gt;1,$G1714=""),"",COUNTIFS(LdAParty,$A1714,LdAType,1,LdAKey,"&lt;"&amp;$G1714)+COUNTIFS(LdBMember,$A1714,LdBKey,"&lt;"&amp;$G1714)+COUNTIFS(LdCParty,$A1714,LdCKey,"&lt;"&amp;$G1714)+1)</f>
        <v/>
      </c>
      <c r="I1714">
        <f>IF($H1714="","",$A1714&amp;"|"&amp;RIGHT("000000"&amp;$H1714,6))</f>
        <v/>
      </c>
      <c r="J1714">
        <f>IF(OR($B1714&lt;&gt;2,$G1714=""),"",COUNTIFS(LdAParty,$A1714,LdAType,2,LdAKey,"&lt;"&amp;$G1714)+1)</f>
        <v/>
      </c>
      <c r="K1714">
        <f>IF($J1714="","",$A1714&amp;"|"&amp;RIGHT("000000"&amp;$J1714,6))</f>
        <v/>
      </c>
      <c r="L1714">
        <f>IF($A1714="","",IF(Wages!$G1717="",0,Wages!$G1717))</f>
        <v/>
      </c>
      <c r="M1714">
        <f>IF($A1714="","",Wages!$J1717)</f>
        <v/>
      </c>
      <c r="N1714">
        <f>IF($A1714="","",Wages!$D1717)</f>
        <v/>
      </c>
      <c r="P1714">
        <f>IF(OR(Shares!$B1717="",Shares!$C1717=""),"",Shares!$C1717)</f>
        <v/>
      </c>
      <c r="Q1714">
        <f>IF($P1714="","",Shares!$B1717)</f>
        <v/>
      </c>
      <c r="R1714">
        <f>IF($P1714="","",IFERROR(INDEX(WageParty,MATCH($Q1714,WageIds,0)),""))</f>
        <v/>
      </c>
      <c r="S1714">
        <f>IF($P1714="","",IFERROR(INDEX($F$6:$F$2005,MATCH($Q1714,WageIds,0)),""))</f>
        <v/>
      </c>
      <c r="T1714">
        <f>IF(OR($P1714="",$S1714="",$S1714="نامعتبر"),"",LEFT($S1714,4)&amp;MID($S1714,6,2)&amp;RIGHT($S1714,2)&amp;"0000"&amp;"|"&amp;"2"&amp;RIGHT("00000"&amp;1709,5))</f>
        <v/>
      </c>
      <c r="U1714">
        <f>IF($T1714="","",COUNTIFS(LdAParty,$P1714,LdAType,1,LdAKey,"&lt;"&amp;$T1714)+COUNTIFS(LdBMember,$P1714,LdBKey,"&lt;"&amp;$T1714)+COUNTIFS(LdCParty,$P1714,LdCKey,"&lt;"&amp;$T1714)+1)</f>
        <v/>
      </c>
      <c r="V1714">
        <f>IF($U1714="","",$P1714&amp;"|"&amp;RIGHT("000000"&amp;$U1714,6))</f>
        <v/>
      </c>
      <c r="W1714">
        <f>IF($T1714="","",COUNTIFS(LdBGroup,$R1714,LdBKey,"&lt;"&amp;$T1714)+1)</f>
        <v/>
      </c>
      <c r="X1714">
        <f>IF($W1714="","",$R1714&amp;"|"&amp;RIGHT("000000"&amp;$W1714,6))</f>
        <v/>
      </c>
      <c r="Y1714">
        <f>IF($P1714="","",IF(Shares!$E1717="",0,Shares!$E1717))</f>
        <v/>
      </c>
      <c r="Z1714">
        <f>IF($P1714="","",Shares!$H1717)</f>
        <v/>
      </c>
      <c r="AE1714">
        <f>IF(OR(Sync!$S1714="",Sync!$P1714=""),"",Sync!$S1714)</f>
        <v/>
      </c>
      <c r="AF1714">
        <f>IF($AE1714="","",IF(ISNUMBER(Sync!$P1714),IF(AND(Sync!$P1714&gt;=10000101,Sync!$P1714&lt;=99991231),INT(Sync!$P1714/10000),""),IFERROR(VALUE(TRIM(LEFT(Sync!$P1714,FIND("/",Sync!$P1714)-1))),"")))</f>
        <v/>
      </c>
      <c r="AG1714">
        <f>IF(OR($AE1714="",$AF1714=""),"",IF(ISNUMBER(Sync!$P1714),INT(MOD(Sync!$P1714,10000)/100),IFERROR(VALUE(TRIM(LEFT(MID(Sync!$P1714,FIND("/",Sync!$P1714)+1,20),FIND("/",MID(Sync!$P1714,FIND("/",Sync!$P1714)+1,20))-1))),"")))</f>
        <v/>
      </c>
      <c r="AH1714">
        <f>IF(OR($AE1714="",$AF1714=""),"",IF(ISNUMBER(Sync!$P1714),MOD(Sync!$P1714,100),IFERROR(VALUE(TRIM(MID(MID(Sync!$P1714,FIND("/",Sync!$P1714)+1,20),FIND("/",MID(Sync!$P1714,FIND("/",Sync!$P1714)+1,20))+1,20))),"")))</f>
        <v/>
      </c>
      <c r="AI1714">
        <f>IF($AE1714="","",IF(OR($AF1714="",$AG1714="",$AH1714="",$AF1714&lt;1300,$AF1714&gt;1500,$AG1714&lt;1,$AG1714&gt;12,$AH1714&lt;1,$AH1714&gt;31),"نامعتبر",RIGHT("0000"&amp;$AF1714,4)&amp;"/"&amp;RIGHT("00"&amp;$AG1714,2)&amp;"/"&amp;RIGHT("00"&amp;$AH1714,2)))</f>
        <v/>
      </c>
      <c r="AJ1714">
        <f>IF($AE1714="","",IF(Sync!$Q1714="","0000",IF(AND(ISNUMBER(Sync!$Q1714),Sync!$Q1714&gt;=0,Sync!$Q1714&lt;1),RIGHT("00"&amp;HOUR(Sync!$Q1714),2)&amp;RIGHT("00"&amp;MINUTE(Sync!$Q1714),2),IFERROR(RIGHT("00"&amp;VALUE(LEFT(Sync!$Q1714,FIND(":",Sync!$Q1714)-1)),2)&amp;RIGHT("00"&amp;VALUE(MID(Sync!$Q1714,FIND(":",Sync!$Q1714)+1,2)),2),"0000"))))</f>
        <v/>
      </c>
      <c r="AK1714">
        <f>IF(OR($AE1714="",$AI1714="",$AI1714="نامعتبر"),"",LEFT($AI1714,4)&amp;MID($AI1714,6,2)&amp;RIGHT($AI1714,2)&amp;$AJ1714&amp;"|"&amp;"3"&amp;RIGHT("00000"&amp;1709,5))</f>
        <v/>
      </c>
      <c r="AL1714">
        <f>IF($AK1714="","",COUNTIFS(LdAParty,$AE1714,LdAType,1,LdAKey,"&lt;"&amp;$AK1714)+COUNTIFS(LdBMember,$AE1714,LdBKey,"&lt;"&amp;$AK1714)+COUNTIFS(LdCParty,$AE1714,LdCKey,"&lt;"&amp;$AK1714)+1)</f>
        <v/>
      </c>
      <c r="AM1714">
        <f>IF($AL1714="","",$AE1714&amp;"|"&amp;RIGHT("000000"&amp;$AL1714,6))</f>
        <v/>
      </c>
      <c r="AN1714">
        <f>IF($AE1714="","",IF(Sync!$W1714="",0,Sync!$W1714))</f>
        <v/>
      </c>
      <c r="AO1714">
        <f>IF($AE1714="","",IF(Sync!$X1714="",0,Sync!$X1714))</f>
        <v/>
      </c>
      <c r="AP1714">
        <f>IF($AE1714="","",Sync!$R1714)</f>
        <v/>
      </c>
      <c r="AQ1714">
        <f>IF($AE1714="","",Sync!$Y1714)</f>
        <v/>
      </c>
    </row>
    <row r="1715">
      <c r="A1715">
        <f>IF(OR(Wages!$B1718="",Wages!$E1718=""),"",Wages!$E1718)</f>
        <v/>
      </c>
      <c r="B1715">
        <f>IF($A1715="","",IF(Wages!$C1718="دستمزد گروهی",2,1))</f>
        <v/>
      </c>
      <c r="C1715">
        <f>IF($A1715="","",IF(ISNUMBER(Wages!$B1718),IF(AND(Wages!$B1718&gt;=10000101,Wages!$B1718&lt;=99991231),INT(Wages!$B1718/10000),""),IFERROR(VALUE(TRIM(LEFT(Wages!$B1718,FIND("/",Wages!$B1718)-1))),"")))</f>
        <v/>
      </c>
      <c r="D1715">
        <f>IF(OR($A1715="",$C1715=""),"",IF(ISNUMBER(Wages!$B1718),INT(MOD(Wages!$B1718,10000)/100),IFERROR(VALUE(TRIM(LEFT(MID(Wages!$B1718,FIND("/",Wages!$B1718)+1,20),FIND("/",MID(Wages!$B1718,FIND("/",Wages!$B1718)+1,20))-1))),"")))</f>
        <v/>
      </c>
      <c r="E1715">
        <f>IF(OR($A1715="",$C1715=""),"",IF(ISNUMBER(Wages!$B1718),MOD(Wages!$B1718,100),IFERROR(VALUE(TRIM(MID(MID(Wages!$B1718,FIND("/",Wages!$B1718)+1,20),FIND("/",MID(Wages!$B1718,FIND("/",Wages!$B1718)+1,20))+1,20))),"")))</f>
        <v/>
      </c>
      <c r="F1715">
        <f>IF($A1715="","",IF(OR($C1715="",$D1715="",$E1715="",$C1715&lt;1300,$C1715&gt;1500,$D1715&lt;1,$D1715&gt;12,$E1715&lt;1,$E1715&gt;31),"نامعتبر",RIGHT("0000"&amp;$C1715,4)&amp;"/"&amp;RIGHT("00"&amp;$D1715,2)&amp;"/"&amp;RIGHT("00"&amp;$E1715,2)))</f>
        <v/>
      </c>
      <c r="G1715">
        <f>IF(OR($A1715="",$F1715="",$F1715="نامعتبر"),"",LEFT($F1715,4)&amp;MID($F1715,6,2)&amp;RIGHT($F1715,2)&amp;"0000"&amp;"|"&amp;"1"&amp;RIGHT("00000"&amp;1710,5))</f>
        <v/>
      </c>
      <c r="H1715">
        <f>IF(OR($B1715&lt;&gt;1,$G1715=""),"",COUNTIFS(LdAParty,$A1715,LdAType,1,LdAKey,"&lt;"&amp;$G1715)+COUNTIFS(LdBMember,$A1715,LdBKey,"&lt;"&amp;$G1715)+COUNTIFS(LdCParty,$A1715,LdCKey,"&lt;"&amp;$G1715)+1)</f>
        <v/>
      </c>
      <c r="I1715">
        <f>IF($H1715="","",$A1715&amp;"|"&amp;RIGHT("000000"&amp;$H1715,6))</f>
        <v/>
      </c>
      <c r="J1715">
        <f>IF(OR($B1715&lt;&gt;2,$G1715=""),"",COUNTIFS(LdAParty,$A1715,LdAType,2,LdAKey,"&lt;"&amp;$G1715)+1)</f>
        <v/>
      </c>
      <c r="K1715">
        <f>IF($J1715="","",$A1715&amp;"|"&amp;RIGHT("000000"&amp;$J1715,6))</f>
        <v/>
      </c>
      <c r="L1715">
        <f>IF($A1715="","",IF(Wages!$G1718="",0,Wages!$G1718))</f>
        <v/>
      </c>
      <c r="M1715">
        <f>IF($A1715="","",Wages!$J1718)</f>
        <v/>
      </c>
      <c r="N1715">
        <f>IF($A1715="","",Wages!$D1718)</f>
        <v/>
      </c>
      <c r="P1715">
        <f>IF(OR(Shares!$B1718="",Shares!$C1718=""),"",Shares!$C1718)</f>
        <v/>
      </c>
      <c r="Q1715">
        <f>IF($P1715="","",Shares!$B1718)</f>
        <v/>
      </c>
      <c r="R1715">
        <f>IF($P1715="","",IFERROR(INDEX(WageParty,MATCH($Q1715,WageIds,0)),""))</f>
        <v/>
      </c>
      <c r="S1715">
        <f>IF($P1715="","",IFERROR(INDEX($F$6:$F$2005,MATCH($Q1715,WageIds,0)),""))</f>
        <v/>
      </c>
      <c r="T1715">
        <f>IF(OR($P1715="",$S1715="",$S1715="نامعتبر"),"",LEFT($S1715,4)&amp;MID($S1715,6,2)&amp;RIGHT($S1715,2)&amp;"0000"&amp;"|"&amp;"2"&amp;RIGHT("00000"&amp;1710,5))</f>
        <v/>
      </c>
      <c r="U1715">
        <f>IF($T1715="","",COUNTIFS(LdAParty,$P1715,LdAType,1,LdAKey,"&lt;"&amp;$T1715)+COUNTIFS(LdBMember,$P1715,LdBKey,"&lt;"&amp;$T1715)+COUNTIFS(LdCParty,$P1715,LdCKey,"&lt;"&amp;$T1715)+1)</f>
        <v/>
      </c>
      <c r="V1715">
        <f>IF($U1715="","",$P1715&amp;"|"&amp;RIGHT("000000"&amp;$U1715,6))</f>
        <v/>
      </c>
      <c r="W1715">
        <f>IF($T1715="","",COUNTIFS(LdBGroup,$R1715,LdBKey,"&lt;"&amp;$T1715)+1)</f>
        <v/>
      </c>
      <c r="X1715">
        <f>IF($W1715="","",$R1715&amp;"|"&amp;RIGHT("000000"&amp;$W1715,6))</f>
        <v/>
      </c>
      <c r="Y1715">
        <f>IF($P1715="","",IF(Shares!$E1718="",0,Shares!$E1718))</f>
        <v/>
      </c>
      <c r="Z1715">
        <f>IF($P1715="","",Shares!$H1718)</f>
        <v/>
      </c>
      <c r="AE1715">
        <f>IF(OR(Sync!$S1715="",Sync!$P1715=""),"",Sync!$S1715)</f>
        <v/>
      </c>
      <c r="AF1715">
        <f>IF($AE1715="","",IF(ISNUMBER(Sync!$P1715),IF(AND(Sync!$P1715&gt;=10000101,Sync!$P1715&lt;=99991231),INT(Sync!$P1715/10000),""),IFERROR(VALUE(TRIM(LEFT(Sync!$P1715,FIND("/",Sync!$P1715)-1))),"")))</f>
        <v/>
      </c>
      <c r="AG1715">
        <f>IF(OR($AE1715="",$AF1715=""),"",IF(ISNUMBER(Sync!$P1715),INT(MOD(Sync!$P1715,10000)/100),IFERROR(VALUE(TRIM(LEFT(MID(Sync!$P1715,FIND("/",Sync!$P1715)+1,20),FIND("/",MID(Sync!$P1715,FIND("/",Sync!$P1715)+1,20))-1))),"")))</f>
        <v/>
      </c>
      <c r="AH1715">
        <f>IF(OR($AE1715="",$AF1715=""),"",IF(ISNUMBER(Sync!$P1715),MOD(Sync!$P1715,100),IFERROR(VALUE(TRIM(MID(MID(Sync!$P1715,FIND("/",Sync!$P1715)+1,20),FIND("/",MID(Sync!$P1715,FIND("/",Sync!$P1715)+1,20))+1,20))),"")))</f>
        <v/>
      </c>
      <c r="AI1715">
        <f>IF($AE1715="","",IF(OR($AF1715="",$AG1715="",$AH1715="",$AF1715&lt;1300,$AF1715&gt;1500,$AG1715&lt;1,$AG1715&gt;12,$AH1715&lt;1,$AH1715&gt;31),"نامعتبر",RIGHT("0000"&amp;$AF1715,4)&amp;"/"&amp;RIGHT("00"&amp;$AG1715,2)&amp;"/"&amp;RIGHT("00"&amp;$AH1715,2)))</f>
        <v/>
      </c>
      <c r="AJ1715">
        <f>IF($AE1715="","",IF(Sync!$Q1715="","0000",IF(AND(ISNUMBER(Sync!$Q1715),Sync!$Q1715&gt;=0,Sync!$Q1715&lt;1),RIGHT("00"&amp;HOUR(Sync!$Q1715),2)&amp;RIGHT("00"&amp;MINUTE(Sync!$Q1715),2),IFERROR(RIGHT("00"&amp;VALUE(LEFT(Sync!$Q1715,FIND(":",Sync!$Q1715)-1)),2)&amp;RIGHT("00"&amp;VALUE(MID(Sync!$Q1715,FIND(":",Sync!$Q1715)+1,2)),2),"0000"))))</f>
        <v/>
      </c>
      <c r="AK1715">
        <f>IF(OR($AE1715="",$AI1715="",$AI1715="نامعتبر"),"",LEFT($AI1715,4)&amp;MID($AI1715,6,2)&amp;RIGHT($AI1715,2)&amp;$AJ1715&amp;"|"&amp;"3"&amp;RIGHT("00000"&amp;1710,5))</f>
        <v/>
      </c>
      <c r="AL1715">
        <f>IF($AK1715="","",COUNTIFS(LdAParty,$AE1715,LdAType,1,LdAKey,"&lt;"&amp;$AK1715)+COUNTIFS(LdBMember,$AE1715,LdBKey,"&lt;"&amp;$AK1715)+COUNTIFS(LdCParty,$AE1715,LdCKey,"&lt;"&amp;$AK1715)+1)</f>
        <v/>
      </c>
      <c r="AM1715">
        <f>IF($AL1715="","",$AE1715&amp;"|"&amp;RIGHT("000000"&amp;$AL1715,6))</f>
        <v/>
      </c>
      <c r="AN1715">
        <f>IF($AE1715="","",IF(Sync!$W1715="",0,Sync!$W1715))</f>
        <v/>
      </c>
      <c r="AO1715">
        <f>IF($AE1715="","",IF(Sync!$X1715="",0,Sync!$X1715))</f>
        <v/>
      </c>
      <c r="AP1715">
        <f>IF($AE1715="","",Sync!$R1715)</f>
        <v/>
      </c>
      <c r="AQ1715">
        <f>IF($AE1715="","",Sync!$Y1715)</f>
        <v/>
      </c>
    </row>
    <row r="1716">
      <c r="A1716">
        <f>IF(OR(Wages!$B1719="",Wages!$E1719=""),"",Wages!$E1719)</f>
        <v/>
      </c>
      <c r="B1716">
        <f>IF($A1716="","",IF(Wages!$C1719="دستمزد گروهی",2,1))</f>
        <v/>
      </c>
      <c r="C1716">
        <f>IF($A1716="","",IF(ISNUMBER(Wages!$B1719),IF(AND(Wages!$B1719&gt;=10000101,Wages!$B1719&lt;=99991231),INT(Wages!$B1719/10000),""),IFERROR(VALUE(TRIM(LEFT(Wages!$B1719,FIND("/",Wages!$B1719)-1))),"")))</f>
        <v/>
      </c>
      <c r="D1716">
        <f>IF(OR($A1716="",$C1716=""),"",IF(ISNUMBER(Wages!$B1719),INT(MOD(Wages!$B1719,10000)/100),IFERROR(VALUE(TRIM(LEFT(MID(Wages!$B1719,FIND("/",Wages!$B1719)+1,20),FIND("/",MID(Wages!$B1719,FIND("/",Wages!$B1719)+1,20))-1))),"")))</f>
        <v/>
      </c>
      <c r="E1716">
        <f>IF(OR($A1716="",$C1716=""),"",IF(ISNUMBER(Wages!$B1719),MOD(Wages!$B1719,100),IFERROR(VALUE(TRIM(MID(MID(Wages!$B1719,FIND("/",Wages!$B1719)+1,20),FIND("/",MID(Wages!$B1719,FIND("/",Wages!$B1719)+1,20))+1,20))),"")))</f>
        <v/>
      </c>
      <c r="F1716">
        <f>IF($A1716="","",IF(OR($C1716="",$D1716="",$E1716="",$C1716&lt;1300,$C1716&gt;1500,$D1716&lt;1,$D1716&gt;12,$E1716&lt;1,$E1716&gt;31),"نامعتبر",RIGHT("0000"&amp;$C1716,4)&amp;"/"&amp;RIGHT("00"&amp;$D1716,2)&amp;"/"&amp;RIGHT("00"&amp;$E1716,2)))</f>
        <v/>
      </c>
      <c r="G1716">
        <f>IF(OR($A1716="",$F1716="",$F1716="نامعتبر"),"",LEFT($F1716,4)&amp;MID($F1716,6,2)&amp;RIGHT($F1716,2)&amp;"0000"&amp;"|"&amp;"1"&amp;RIGHT("00000"&amp;1711,5))</f>
        <v/>
      </c>
      <c r="H1716">
        <f>IF(OR($B1716&lt;&gt;1,$G1716=""),"",COUNTIFS(LdAParty,$A1716,LdAType,1,LdAKey,"&lt;"&amp;$G1716)+COUNTIFS(LdBMember,$A1716,LdBKey,"&lt;"&amp;$G1716)+COUNTIFS(LdCParty,$A1716,LdCKey,"&lt;"&amp;$G1716)+1)</f>
        <v/>
      </c>
      <c r="I1716">
        <f>IF($H1716="","",$A1716&amp;"|"&amp;RIGHT("000000"&amp;$H1716,6))</f>
        <v/>
      </c>
      <c r="J1716">
        <f>IF(OR($B1716&lt;&gt;2,$G1716=""),"",COUNTIFS(LdAParty,$A1716,LdAType,2,LdAKey,"&lt;"&amp;$G1716)+1)</f>
        <v/>
      </c>
      <c r="K1716">
        <f>IF($J1716="","",$A1716&amp;"|"&amp;RIGHT("000000"&amp;$J1716,6))</f>
        <v/>
      </c>
      <c r="L1716">
        <f>IF($A1716="","",IF(Wages!$G1719="",0,Wages!$G1719))</f>
        <v/>
      </c>
      <c r="M1716">
        <f>IF($A1716="","",Wages!$J1719)</f>
        <v/>
      </c>
      <c r="N1716">
        <f>IF($A1716="","",Wages!$D1719)</f>
        <v/>
      </c>
      <c r="P1716">
        <f>IF(OR(Shares!$B1719="",Shares!$C1719=""),"",Shares!$C1719)</f>
        <v/>
      </c>
      <c r="Q1716">
        <f>IF($P1716="","",Shares!$B1719)</f>
        <v/>
      </c>
      <c r="R1716">
        <f>IF($P1716="","",IFERROR(INDEX(WageParty,MATCH($Q1716,WageIds,0)),""))</f>
        <v/>
      </c>
      <c r="S1716">
        <f>IF($P1716="","",IFERROR(INDEX($F$6:$F$2005,MATCH($Q1716,WageIds,0)),""))</f>
        <v/>
      </c>
      <c r="T1716">
        <f>IF(OR($P1716="",$S1716="",$S1716="نامعتبر"),"",LEFT($S1716,4)&amp;MID($S1716,6,2)&amp;RIGHT($S1716,2)&amp;"0000"&amp;"|"&amp;"2"&amp;RIGHT("00000"&amp;1711,5))</f>
        <v/>
      </c>
      <c r="U1716">
        <f>IF($T1716="","",COUNTIFS(LdAParty,$P1716,LdAType,1,LdAKey,"&lt;"&amp;$T1716)+COUNTIFS(LdBMember,$P1716,LdBKey,"&lt;"&amp;$T1716)+COUNTIFS(LdCParty,$P1716,LdCKey,"&lt;"&amp;$T1716)+1)</f>
        <v/>
      </c>
      <c r="V1716">
        <f>IF($U1716="","",$P1716&amp;"|"&amp;RIGHT("000000"&amp;$U1716,6))</f>
        <v/>
      </c>
      <c r="W1716">
        <f>IF($T1716="","",COUNTIFS(LdBGroup,$R1716,LdBKey,"&lt;"&amp;$T1716)+1)</f>
        <v/>
      </c>
      <c r="X1716">
        <f>IF($W1716="","",$R1716&amp;"|"&amp;RIGHT("000000"&amp;$W1716,6))</f>
        <v/>
      </c>
      <c r="Y1716">
        <f>IF($P1716="","",IF(Shares!$E1719="",0,Shares!$E1719))</f>
        <v/>
      </c>
      <c r="Z1716">
        <f>IF($P1716="","",Shares!$H1719)</f>
        <v/>
      </c>
      <c r="AE1716">
        <f>IF(OR(Sync!$S1716="",Sync!$P1716=""),"",Sync!$S1716)</f>
        <v/>
      </c>
      <c r="AF1716">
        <f>IF($AE1716="","",IF(ISNUMBER(Sync!$P1716),IF(AND(Sync!$P1716&gt;=10000101,Sync!$P1716&lt;=99991231),INT(Sync!$P1716/10000),""),IFERROR(VALUE(TRIM(LEFT(Sync!$P1716,FIND("/",Sync!$P1716)-1))),"")))</f>
        <v/>
      </c>
      <c r="AG1716">
        <f>IF(OR($AE1716="",$AF1716=""),"",IF(ISNUMBER(Sync!$P1716),INT(MOD(Sync!$P1716,10000)/100),IFERROR(VALUE(TRIM(LEFT(MID(Sync!$P1716,FIND("/",Sync!$P1716)+1,20),FIND("/",MID(Sync!$P1716,FIND("/",Sync!$P1716)+1,20))-1))),"")))</f>
        <v/>
      </c>
      <c r="AH1716">
        <f>IF(OR($AE1716="",$AF1716=""),"",IF(ISNUMBER(Sync!$P1716),MOD(Sync!$P1716,100),IFERROR(VALUE(TRIM(MID(MID(Sync!$P1716,FIND("/",Sync!$P1716)+1,20),FIND("/",MID(Sync!$P1716,FIND("/",Sync!$P1716)+1,20))+1,20))),"")))</f>
        <v/>
      </c>
      <c r="AI1716">
        <f>IF($AE1716="","",IF(OR($AF1716="",$AG1716="",$AH1716="",$AF1716&lt;1300,$AF1716&gt;1500,$AG1716&lt;1,$AG1716&gt;12,$AH1716&lt;1,$AH1716&gt;31),"نامعتبر",RIGHT("0000"&amp;$AF1716,4)&amp;"/"&amp;RIGHT("00"&amp;$AG1716,2)&amp;"/"&amp;RIGHT("00"&amp;$AH1716,2)))</f>
        <v/>
      </c>
      <c r="AJ1716">
        <f>IF($AE1716="","",IF(Sync!$Q1716="","0000",IF(AND(ISNUMBER(Sync!$Q1716),Sync!$Q1716&gt;=0,Sync!$Q1716&lt;1),RIGHT("00"&amp;HOUR(Sync!$Q1716),2)&amp;RIGHT("00"&amp;MINUTE(Sync!$Q1716),2),IFERROR(RIGHT("00"&amp;VALUE(LEFT(Sync!$Q1716,FIND(":",Sync!$Q1716)-1)),2)&amp;RIGHT("00"&amp;VALUE(MID(Sync!$Q1716,FIND(":",Sync!$Q1716)+1,2)),2),"0000"))))</f>
        <v/>
      </c>
      <c r="AK1716">
        <f>IF(OR($AE1716="",$AI1716="",$AI1716="نامعتبر"),"",LEFT($AI1716,4)&amp;MID($AI1716,6,2)&amp;RIGHT($AI1716,2)&amp;$AJ1716&amp;"|"&amp;"3"&amp;RIGHT("00000"&amp;1711,5))</f>
        <v/>
      </c>
      <c r="AL1716">
        <f>IF($AK1716="","",COUNTIFS(LdAParty,$AE1716,LdAType,1,LdAKey,"&lt;"&amp;$AK1716)+COUNTIFS(LdBMember,$AE1716,LdBKey,"&lt;"&amp;$AK1716)+COUNTIFS(LdCParty,$AE1716,LdCKey,"&lt;"&amp;$AK1716)+1)</f>
        <v/>
      </c>
      <c r="AM1716">
        <f>IF($AL1716="","",$AE1716&amp;"|"&amp;RIGHT("000000"&amp;$AL1716,6))</f>
        <v/>
      </c>
      <c r="AN1716">
        <f>IF($AE1716="","",IF(Sync!$W1716="",0,Sync!$W1716))</f>
        <v/>
      </c>
      <c r="AO1716">
        <f>IF($AE1716="","",IF(Sync!$X1716="",0,Sync!$X1716))</f>
        <v/>
      </c>
      <c r="AP1716">
        <f>IF($AE1716="","",Sync!$R1716)</f>
        <v/>
      </c>
      <c r="AQ1716">
        <f>IF($AE1716="","",Sync!$Y1716)</f>
        <v/>
      </c>
    </row>
    <row r="1717">
      <c r="A1717">
        <f>IF(OR(Wages!$B1720="",Wages!$E1720=""),"",Wages!$E1720)</f>
        <v/>
      </c>
      <c r="B1717">
        <f>IF($A1717="","",IF(Wages!$C1720="دستمزد گروهی",2,1))</f>
        <v/>
      </c>
      <c r="C1717">
        <f>IF($A1717="","",IF(ISNUMBER(Wages!$B1720),IF(AND(Wages!$B1720&gt;=10000101,Wages!$B1720&lt;=99991231),INT(Wages!$B1720/10000),""),IFERROR(VALUE(TRIM(LEFT(Wages!$B1720,FIND("/",Wages!$B1720)-1))),"")))</f>
        <v/>
      </c>
      <c r="D1717">
        <f>IF(OR($A1717="",$C1717=""),"",IF(ISNUMBER(Wages!$B1720),INT(MOD(Wages!$B1720,10000)/100),IFERROR(VALUE(TRIM(LEFT(MID(Wages!$B1720,FIND("/",Wages!$B1720)+1,20),FIND("/",MID(Wages!$B1720,FIND("/",Wages!$B1720)+1,20))-1))),"")))</f>
        <v/>
      </c>
      <c r="E1717">
        <f>IF(OR($A1717="",$C1717=""),"",IF(ISNUMBER(Wages!$B1720),MOD(Wages!$B1720,100),IFERROR(VALUE(TRIM(MID(MID(Wages!$B1720,FIND("/",Wages!$B1720)+1,20),FIND("/",MID(Wages!$B1720,FIND("/",Wages!$B1720)+1,20))+1,20))),"")))</f>
        <v/>
      </c>
      <c r="F1717">
        <f>IF($A1717="","",IF(OR($C1717="",$D1717="",$E1717="",$C1717&lt;1300,$C1717&gt;1500,$D1717&lt;1,$D1717&gt;12,$E1717&lt;1,$E1717&gt;31),"نامعتبر",RIGHT("0000"&amp;$C1717,4)&amp;"/"&amp;RIGHT("00"&amp;$D1717,2)&amp;"/"&amp;RIGHT("00"&amp;$E1717,2)))</f>
        <v/>
      </c>
      <c r="G1717">
        <f>IF(OR($A1717="",$F1717="",$F1717="نامعتبر"),"",LEFT($F1717,4)&amp;MID($F1717,6,2)&amp;RIGHT($F1717,2)&amp;"0000"&amp;"|"&amp;"1"&amp;RIGHT("00000"&amp;1712,5))</f>
        <v/>
      </c>
      <c r="H1717">
        <f>IF(OR($B1717&lt;&gt;1,$G1717=""),"",COUNTIFS(LdAParty,$A1717,LdAType,1,LdAKey,"&lt;"&amp;$G1717)+COUNTIFS(LdBMember,$A1717,LdBKey,"&lt;"&amp;$G1717)+COUNTIFS(LdCParty,$A1717,LdCKey,"&lt;"&amp;$G1717)+1)</f>
        <v/>
      </c>
      <c r="I1717">
        <f>IF($H1717="","",$A1717&amp;"|"&amp;RIGHT("000000"&amp;$H1717,6))</f>
        <v/>
      </c>
      <c r="J1717">
        <f>IF(OR($B1717&lt;&gt;2,$G1717=""),"",COUNTIFS(LdAParty,$A1717,LdAType,2,LdAKey,"&lt;"&amp;$G1717)+1)</f>
        <v/>
      </c>
      <c r="K1717">
        <f>IF($J1717="","",$A1717&amp;"|"&amp;RIGHT("000000"&amp;$J1717,6))</f>
        <v/>
      </c>
      <c r="L1717">
        <f>IF($A1717="","",IF(Wages!$G1720="",0,Wages!$G1720))</f>
        <v/>
      </c>
      <c r="M1717">
        <f>IF($A1717="","",Wages!$J1720)</f>
        <v/>
      </c>
      <c r="N1717">
        <f>IF($A1717="","",Wages!$D1720)</f>
        <v/>
      </c>
      <c r="P1717">
        <f>IF(OR(Shares!$B1720="",Shares!$C1720=""),"",Shares!$C1720)</f>
        <v/>
      </c>
      <c r="Q1717">
        <f>IF($P1717="","",Shares!$B1720)</f>
        <v/>
      </c>
      <c r="R1717">
        <f>IF($P1717="","",IFERROR(INDEX(WageParty,MATCH($Q1717,WageIds,0)),""))</f>
        <v/>
      </c>
      <c r="S1717">
        <f>IF($P1717="","",IFERROR(INDEX($F$6:$F$2005,MATCH($Q1717,WageIds,0)),""))</f>
        <v/>
      </c>
      <c r="T1717">
        <f>IF(OR($P1717="",$S1717="",$S1717="نامعتبر"),"",LEFT($S1717,4)&amp;MID($S1717,6,2)&amp;RIGHT($S1717,2)&amp;"0000"&amp;"|"&amp;"2"&amp;RIGHT("00000"&amp;1712,5))</f>
        <v/>
      </c>
      <c r="U1717">
        <f>IF($T1717="","",COUNTIFS(LdAParty,$P1717,LdAType,1,LdAKey,"&lt;"&amp;$T1717)+COUNTIFS(LdBMember,$P1717,LdBKey,"&lt;"&amp;$T1717)+COUNTIFS(LdCParty,$P1717,LdCKey,"&lt;"&amp;$T1717)+1)</f>
        <v/>
      </c>
      <c r="V1717">
        <f>IF($U1717="","",$P1717&amp;"|"&amp;RIGHT("000000"&amp;$U1717,6))</f>
        <v/>
      </c>
      <c r="W1717">
        <f>IF($T1717="","",COUNTIFS(LdBGroup,$R1717,LdBKey,"&lt;"&amp;$T1717)+1)</f>
        <v/>
      </c>
      <c r="X1717">
        <f>IF($W1717="","",$R1717&amp;"|"&amp;RIGHT("000000"&amp;$W1717,6))</f>
        <v/>
      </c>
      <c r="Y1717">
        <f>IF($P1717="","",IF(Shares!$E1720="",0,Shares!$E1720))</f>
        <v/>
      </c>
      <c r="Z1717">
        <f>IF($P1717="","",Shares!$H1720)</f>
        <v/>
      </c>
      <c r="AE1717">
        <f>IF(OR(Sync!$S1717="",Sync!$P1717=""),"",Sync!$S1717)</f>
        <v/>
      </c>
      <c r="AF1717">
        <f>IF($AE1717="","",IF(ISNUMBER(Sync!$P1717),IF(AND(Sync!$P1717&gt;=10000101,Sync!$P1717&lt;=99991231),INT(Sync!$P1717/10000),""),IFERROR(VALUE(TRIM(LEFT(Sync!$P1717,FIND("/",Sync!$P1717)-1))),"")))</f>
        <v/>
      </c>
      <c r="AG1717">
        <f>IF(OR($AE1717="",$AF1717=""),"",IF(ISNUMBER(Sync!$P1717),INT(MOD(Sync!$P1717,10000)/100),IFERROR(VALUE(TRIM(LEFT(MID(Sync!$P1717,FIND("/",Sync!$P1717)+1,20),FIND("/",MID(Sync!$P1717,FIND("/",Sync!$P1717)+1,20))-1))),"")))</f>
        <v/>
      </c>
      <c r="AH1717">
        <f>IF(OR($AE1717="",$AF1717=""),"",IF(ISNUMBER(Sync!$P1717),MOD(Sync!$P1717,100),IFERROR(VALUE(TRIM(MID(MID(Sync!$P1717,FIND("/",Sync!$P1717)+1,20),FIND("/",MID(Sync!$P1717,FIND("/",Sync!$P1717)+1,20))+1,20))),"")))</f>
        <v/>
      </c>
      <c r="AI1717">
        <f>IF($AE1717="","",IF(OR($AF1717="",$AG1717="",$AH1717="",$AF1717&lt;1300,$AF1717&gt;1500,$AG1717&lt;1,$AG1717&gt;12,$AH1717&lt;1,$AH1717&gt;31),"نامعتبر",RIGHT("0000"&amp;$AF1717,4)&amp;"/"&amp;RIGHT("00"&amp;$AG1717,2)&amp;"/"&amp;RIGHT("00"&amp;$AH1717,2)))</f>
        <v/>
      </c>
      <c r="AJ1717">
        <f>IF($AE1717="","",IF(Sync!$Q1717="","0000",IF(AND(ISNUMBER(Sync!$Q1717),Sync!$Q1717&gt;=0,Sync!$Q1717&lt;1),RIGHT("00"&amp;HOUR(Sync!$Q1717),2)&amp;RIGHT("00"&amp;MINUTE(Sync!$Q1717),2),IFERROR(RIGHT("00"&amp;VALUE(LEFT(Sync!$Q1717,FIND(":",Sync!$Q1717)-1)),2)&amp;RIGHT("00"&amp;VALUE(MID(Sync!$Q1717,FIND(":",Sync!$Q1717)+1,2)),2),"0000"))))</f>
        <v/>
      </c>
      <c r="AK1717">
        <f>IF(OR($AE1717="",$AI1717="",$AI1717="نامعتبر"),"",LEFT($AI1717,4)&amp;MID($AI1717,6,2)&amp;RIGHT($AI1717,2)&amp;$AJ1717&amp;"|"&amp;"3"&amp;RIGHT("00000"&amp;1712,5))</f>
        <v/>
      </c>
      <c r="AL1717">
        <f>IF($AK1717="","",COUNTIFS(LdAParty,$AE1717,LdAType,1,LdAKey,"&lt;"&amp;$AK1717)+COUNTIFS(LdBMember,$AE1717,LdBKey,"&lt;"&amp;$AK1717)+COUNTIFS(LdCParty,$AE1717,LdCKey,"&lt;"&amp;$AK1717)+1)</f>
        <v/>
      </c>
      <c r="AM1717">
        <f>IF($AL1717="","",$AE1717&amp;"|"&amp;RIGHT("000000"&amp;$AL1717,6))</f>
        <v/>
      </c>
      <c r="AN1717">
        <f>IF($AE1717="","",IF(Sync!$W1717="",0,Sync!$W1717))</f>
        <v/>
      </c>
      <c r="AO1717">
        <f>IF($AE1717="","",IF(Sync!$X1717="",0,Sync!$X1717))</f>
        <v/>
      </c>
      <c r="AP1717">
        <f>IF($AE1717="","",Sync!$R1717)</f>
        <v/>
      </c>
      <c r="AQ1717">
        <f>IF($AE1717="","",Sync!$Y1717)</f>
        <v/>
      </c>
    </row>
    <row r="1718">
      <c r="A1718">
        <f>IF(OR(Wages!$B1721="",Wages!$E1721=""),"",Wages!$E1721)</f>
        <v/>
      </c>
      <c r="B1718">
        <f>IF($A1718="","",IF(Wages!$C1721="دستمزد گروهی",2,1))</f>
        <v/>
      </c>
      <c r="C1718">
        <f>IF($A1718="","",IF(ISNUMBER(Wages!$B1721),IF(AND(Wages!$B1721&gt;=10000101,Wages!$B1721&lt;=99991231),INT(Wages!$B1721/10000),""),IFERROR(VALUE(TRIM(LEFT(Wages!$B1721,FIND("/",Wages!$B1721)-1))),"")))</f>
        <v/>
      </c>
      <c r="D1718">
        <f>IF(OR($A1718="",$C1718=""),"",IF(ISNUMBER(Wages!$B1721),INT(MOD(Wages!$B1721,10000)/100),IFERROR(VALUE(TRIM(LEFT(MID(Wages!$B1721,FIND("/",Wages!$B1721)+1,20),FIND("/",MID(Wages!$B1721,FIND("/",Wages!$B1721)+1,20))-1))),"")))</f>
        <v/>
      </c>
      <c r="E1718">
        <f>IF(OR($A1718="",$C1718=""),"",IF(ISNUMBER(Wages!$B1721),MOD(Wages!$B1721,100),IFERROR(VALUE(TRIM(MID(MID(Wages!$B1721,FIND("/",Wages!$B1721)+1,20),FIND("/",MID(Wages!$B1721,FIND("/",Wages!$B1721)+1,20))+1,20))),"")))</f>
        <v/>
      </c>
      <c r="F1718">
        <f>IF($A1718="","",IF(OR($C1718="",$D1718="",$E1718="",$C1718&lt;1300,$C1718&gt;1500,$D1718&lt;1,$D1718&gt;12,$E1718&lt;1,$E1718&gt;31),"نامعتبر",RIGHT("0000"&amp;$C1718,4)&amp;"/"&amp;RIGHT("00"&amp;$D1718,2)&amp;"/"&amp;RIGHT("00"&amp;$E1718,2)))</f>
        <v/>
      </c>
      <c r="G1718">
        <f>IF(OR($A1718="",$F1718="",$F1718="نامعتبر"),"",LEFT($F1718,4)&amp;MID($F1718,6,2)&amp;RIGHT($F1718,2)&amp;"0000"&amp;"|"&amp;"1"&amp;RIGHT("00000"&amp;1713,5))</f>
        <v/>
      </c>
      <c r="H1718">
        <f>IF(OR($B1718&lt;&gt;1,$G1718=""),"",COUNTIFS(LdAParty,$A1718,LdAType,1,LdAKey,"&lt;"&amp;$G1718)+COUNTIFS(LdBMember,$A1718,LdBKey,"&lt;"&amp;$G1718)+COUNTIFS(LdCParty,$A1718,LdCKey,"&lt;"&amp;$G1718)+1)</f>
        <v/>
      </c>
      <c r="I1718">
        <f>IF($H1718="","",$A1718&amp;"|"&amp;RIGHT("000000"&amp;$H1718,6))</f>
        <v/>
      </c>
      <c r="J1718">
        <f>IF(OR($B1718&lt;&gt;2,$G1718=""),"",COUNTIFS(LdAParty,$A1718,LdAType,2,LdAKey,"&lt;"&amp;$G1718)+1)</f>
        <v/>
      </c>
      <c r="K1718">
        <f>IF($J1718="","",$A1718&amp;"|"&amp;RIGHT("000000"&amp;$J1718,6))</f>
        <v/>
      </c>
      <c r="L1718">
        <f>IF($A1718="","",IF(Wages!$G1721="",0,Wages!$G1721))</f>
        <v/>
      </c>
      <c r="M1718">
        <f>IF($A1718="","",Wages!$J1721)</f>
        <v/>
      </c>
      <c r="N1718">
        <f>IF($A1718="","",Wages!$D1721)</f>
        <v/>
      </c>
      <c r="P1718">
        <f>IF(OR(Shares!$B1721="",Shares!$C1721=""),"",Shares!$C1721)</f>
        <v/>
      </c>
      <c r="Q1718">
        <f>IF($P1718="","",Shares!$B1721)</f>
        <v/>
      </c>
      <c r="R1718">
        <f>IF($P1718="","",IFERROR(INDEX(WageParty,MATCH($Q1718,WageIds,0)),""))</f>
        <v/>
      </c>
      <c r="S1718">
        <f>IF($P1718="","",IFERROR(INDEX($F$6:$F$2005,MATCH($Q1718,WageIds,0)),""))</f>
        <v/>
      </c>
      <c r="T1718">
        <f>IF(OR($P1718="",$S1718="",$S1718="نامعتبر"),"",LEFT($S1718,4)&amp;MID($S1718,6,2)&amp;RIGHT($S1718,2)&amp;"0000"&amp;"|"&amp;"2"&amp;RIGHT("00000"&amp;1713,5))</f>
        <v/>
      </c>
      <c r="U1718">
        <f>IF($T1718="","",COUNTIFS(LdAParty,$P1718,LdAType,1,LdAKey,"&lt;"&amp;$T1718)+COUNTIFS(LdBMember,$P1718,LdBKey,"&lt;"&amp;$T1718)+COUNTIFS(LdCParty,$P1718,LdCKey,"&lt;"&amp;$T1718)+1)</f>
        <v/>
      </c>
      <c r="V1718">
        <f>IF($U1718="","",$P1718&amp;"|"&amp;RIGHT("000000"&amp;$U1718,6))</f>
        <v/>
      </c>
      <c r="W1718">
        <f>IF($T1718="","",COUNTIFS(LdBGroup,$R1718,LdBKey,"&lt;"&amp;$T1718)+1)</f>
        <v/>
      </c>
      <c r="X1718">
        <f>IF($W1718="","",$R1718&amp;"|"&amp;RIGHT("000000"&amp;$W1718,6))</f>
        <v/>
      </c>
      <c r="Y1718">
        <f>IF($P1718="","",IF(Shares!$E1721="",0,Shares!$E1721))</f>
        <v/>
      </c>
      <c r="Z1718">
        <f>IF($P1718="","",Shares!$H1721)</f>
        <v/>
      </c>
      <c r="AE1718">
        <f>IF(OR(Sync!$S1718="",Sync!$P1718=""),"",Sync!$S1718)</f>
        <v/>
      </c>
      <c r="AF1718">
        <f>IF($AE1718="","",IF(ISNUMBER(Sync!$P1718),IF(AND(Sync!$P1718&gt;=10000101,Sync!$P1718&lt;=99991231),INT(Sync!$P1718/10000),""),IFERROR(VALUE(TRIM(LEFT(Sync!$P1718,FIND("/",Sync!$P1718)-1))),"")))</f>
        <v/>
      </c>
      <c r="AG1718">
        <f>IF(OR($AE1718="",$AF1718=""),"",IF(ISNUMBER(Sync!$P1718),INT(MOD(Sync!$P1718,10000)/100),IFERROR(VALUE(TRIM(LEFT(MID(Sync!$P1718,FIND("/",Sync!$P1718)+1,20),FIND("/",MID(Sync!$P1718,FIND("/",Sync!$P1718)+1,20))-1))),"")))</f>
        <v/>
      </c>
      <c r="AH1718">
        <f>IF(OR($AE1718="",$AF1718=""),"",IF(ISNUMBER(Sync!$P1718),MOD(Sync!$P1718,100),IFERROR(VALUE(TRIM(MID(MID(Sync!$P1718,FIND("/",Sync!$P1718)+1,20),FIND("/",MID(Sync!$P1718,FIND("/",Sync!$P1718)+1,20))+1,20))),"")))</f>
        <v/>
      </c>
      <c r="AI1718">
        <f>IF($AE1718="","",IF(OR($AF1718="",$AG1718="",$AH1718="",$AF1718&lt;1300,$AF1718&gt;1500,$AG1718&lt;1,$AG1718&gt;12,$AH1718&lt;1,$AH1718&gt;31),"نامعتبر",RIGHT("0000"&amp;$AF1718,4)&amp;"/"&amp;RIGHT("00"&amp;$AG1718,2)&amp;"/"&amp;RIGHT("00"&amp;$AH1718,2)))</f>
        <v/>
      </c>
      <c r="AJ1718">
        <f>IF($AE1718="","",IF(Sync!$Q1718="","0000",IF(AND(ISNUMBER(Sync!$Q1718),Sync!$Q1718&gt;=0,Sync!$Q1718&lt;1),RIGHT("00"&amp;HOUR(Sync!$Q1718),2)&amp;RIGHT("00"&amp;MINUTE(Sync!$Q1718),2),IFERROR(RIGHT("00"&amp;VALUE(LEFT(Sync!$Q1718,FIND(":",Sync!$Q1718)-1)),2)&amp;RIGHT("00"&amp;VALUE(MID(Sync!$Q1718,FIND(":",Sync!$Q1718)+1,2)),2),"0000"))))</f>
        <v/>
      </c>
      <c r="AK1718">
        <f>IF(OR($AE1718="",$AI1718="",$AI1718="نامعتبر"),"",LEFT($AI1718,4)&amp;MID($AI1718,6,2)&amp;RIGHT($AI1718,2)&amp;$AJ1718&amp;"|"&amp;"3"&amp;RIGHT("00000"&amp;1713,5))</f>
        <v/>
      </c>
      <c r="AL1718">
        <f>IF($AK1718="","",COUNTIFS(LdAParty,$AE1718,LdAType,1,LdAKey,"&lt;"&amp;$AK1718)+COUNTIFS(LdBMember,$AE1718,LdBKey,"&lt;"&amp;$AK1718)+COUNTIFS(LdCParty,$AE1718,LdCKey,"&lt;"&amp;$AK1718)+1)</f>
        <v/>
      </c>
      <c r="AM1718">
        <f>IF($AL1718="","",$AE1718&amp;"|"&amp;RIGHT("000000"&amp;$AL1718,6))</f>
        <v/>
      </c>
      <c r="AN1718">
        <f>IF($AE1718="","",IF(Sync!$W1718="",0,Sync!$W1718))</f>
        <v/>
      </c>
      <c r="AO1718">
        <f>IF($AE1718="","",IF(Sync!$X1718="",0,Sync!$X1718))</f>
        <v/>
      </c>
      <c r="AP1718">
        <f>IF($AE1718="","",Sync!$R1718)</f>
        <v/>
      </c>
      <c r="AQ1718">
        <f>IF($AE1718="","",Sync!$Y1718)</f>
        <v/>
      </c>
    </row>
    <row r="1719">
      <c r="A1719">
        <f>IF(OR(Wages!$B1722="",Wages!$E1722=""),"",Wages!$E1722)</f>
        <v/>
      </c>
      <c r="B1719">
        <f>IF($A1719="","",IF(Wages!$C1722="دستمزد گروهی",2,1))</f>
        <v/>
      </c>
      <c r="C1719">
        <f>IF($A1719="","",IF(ISNUMBER(Wages!$B1722),IF(AND(Wages!$B1722&gt;=10000101,Wages!$B1722&lt;=99991231),INT(Wages!$B1722/10000),""),IFERROR(VALUE(TRIM(LEFT(Wages!$B1722,FIND("/",Wages!$B1722)-1))),"")))</f>
        <v/>
      </c>
      <c r="D1719">
        <f>IF(OR($A1719="",$C1719=""),"",IF(ISNUMBER(Wages!$B1722),INT(MOD(Wages!$B1722,10000)/100),IFERROR(VALUE(TRIM(LEFT(MID(Wages!$B1722,FIND("/",Wages!$B1722)+1,20),FIND("/",MID(Wages!$B1722,FIND("/",Wages!$B1722)+1,20))-1))),"")))</f>
        <v/>
      </c>
      <c r="E1719">
        <f>IF(OR($A1719="",$C1719=""),"",IF(ISNUMBER(Wages!$B1722),MOD(Wages!$B1722,100),IFERROR(VALUE(TRIM(MID(MID(Wages!$B1722,FIND("/",Wages!$B1722)+1,20),FIND("/",MID(Wages!$B1722,FIND("/",Wages!$B1722)+1,20))+1,20))),"")))</f>
        <v/>
      </c>
      <c r="F1719">
        <f>IF($A1719="","",IF(OR($C1719="",$D1719="",$E1719="",$C1719&lt;1300,$C1719&gt;1500,$D1719&lt;1,$D1719&gt;12,$E1719&lt;1,$E1719&gt;31),"نامعتبر",RIGHT("0000"&amp;$C1719,4)&amp;"/"&amp;RIGHT("00"&amp;$D1719,2)&amp;"/"&amp;RIGHT("00"&amp;$E1719,2)))</f>
        <v/>
      </c>
      <c r="G1719">
        <f>IF(OR($A1719="",$F1719="",$F1719="نامعتبر"),"",LEFT($F1719,4)&amp;MID($F1719,6,2)&amp;RIGHT($F1719,2)&amp;"0000"&amp;"|"&amp;"1"&amp;RIGHT("00000"&amp;1714,5))</f>
        <v/>
      </c>
      <c r="H1719">
        <f>IF(OR($B1719&lt;&gt;1,$G1719=""),"",COUNTIFS(LdAParty,$A1719,LdAType,1,LdAKey,"&lt;"&amp;$G1719)+COUNTIFS(LdBMember,$A1719,LdBKey,"&lt;"&amp;$G1719)+COUNTIFS(LdCParty,$A1719,LdCKey,"&lt;"&amp;$G1719)+1)</f>
        <v/>
      </c>
      <c r="I1719">
        <f>IF($H1719="","",$A1719&amp;"|"&amp;RIGHT("000000"&amp;$H1719,6))</f>
        <v/>
      </c>
      <c r="J1719">
        <f>IF(OR($B1719&lt;&gt;2,$G1719=""),"",COUNTIFS(LdAParty,$A1719,LdAType,2,LdAKey,"&lt;"&amp;$G1719)+1)</f>
        <v/>
      </c>
      <c r="K1719">
        <f>IF($J1719="","",$A1719&amp;"|"&amp;RIGHT("000000"&amp;$J1719,6))</f>
        <v/>
      </c>
      <c r="L1719">
        <f>IF($A1719="","",IF(Wages!$G1722="",0,Wages!$G1722))</f>
        <v/>
      </c>
      <c r="M1719">
        <f>IF($A1719="","",Wages!$J1722)</f>
        <v/>
      </c>
      <c r="N1719">
        <f>IF($A1719="","",Wages!$D1722)</f>
        <v/>
      </c>
      <c r="P1719">
        <f>IF(OR(Shares!$B1722="",Shares!$C1722=""),"",Shares!$C1722)</f>
        <v/>
      </c>
      <c r="Q1719">
        <f>IF($P1719="","",Shares!$B1722)</f>
        <v/>
      </c>
      <c r="R1719">
        <f>IF($P1719="","",IFERROR(INDEX(WageParty,MATCH($Q1719,WageIds,0)),""))</f>
        <v/>
      </c>
      <c r="S1719">
        <f>IF($P1719="","",IFERROR(INDEX($F$6:$F$2005,MATCH($Q1719,WageIds,0)),""))</f>
        <v/>
      </c>
      <c r="T1719">
        <f>IF(OR($P1719="",$S1719="",$S1719="نامعتبر"),"",LEFT($S1719,4)&amp;MID($S1719,6,2)&amp;RIGHT($S1719,2)&amp;"0000"&amp;"|"&amp;"2"&amp;RIGHT("00000"&amp;1714,5))</f>
        <v/>
      </c>
      <c r="U1719">
        <f>IF($T1719="","",COUNTIFS(LdAParty,$P1719,LdAType,1,LdAKey,"&lt;"&amp;$T1719)+COUNTIFS(LdBMember,$P1719,LdBKey,"&lt;"&amp;$T1719)+COUNTIFS(LdCParty,$P1719,LdCKey,"&lt;"&amp;$T1719)+1)</f>
        <v/>
      </c>
      <c r="V1719">
        <f>IF($U1719="","",$P1719&amp;"|"&amp;RIGHT("000000"&amp;$U1719,6))</f>
        <v/>
      </c>
      <c r="W1719">
        <f>IF($T1719="","",COUNTIFS(LdBGroup,$R1719,LdBKey,"&lt;"&amp;$T1719)+1)</f>
        <v/>
      </c>
      <c r="X1719">
        <f>IF($W1719="","",$R1719&amp;"|"&amp;RIGHT("000000"&amp;$W1719,6))</f>
        <v/>
      </c>
      <c r="Y1719">
        <f>IF($P1719="","",IF(Shares!$E1722="",0,Shares!$E1722))</f>
        <v/>
      </c>
      <c r="Z1719">
        <f>IF($P1719="","",Shares!$H1722)</f>
        <v/>
      </c>
      <c r="AE1719">
        <f>IF(OR(Sync!$S1719="",Sync!$P1719=""),"",Sync!$S1719)</f>
        <v/>
      </c>
      <c r="AF1719">
        <f>IF($AE1719="","",IF(ISNUMBER(Sync!$P1719),IF(AND(Sync!$P1719&gt;=10000101,Sync!$P1719&lt;=99991231),INT(Sync!$P1719/10000),""),IFERROR(VALUE(TRIM(LEFT(Sync!$P1719,FIND("/",Sync!$P1719)-1))),"")))</f>
        <v/>
      </c>
      <c r="AG1719">
        <f>IF(OR($AE1719="",$AF1719=""),"",IF(ISNUMBER(Sync!$P1719),INT(MOD(Sync!$P1719,10000)/100),IFERROR(VALUE(TRIM(LEFT(MID(Sync!$P1719,FIND("/",Sync!$P1719)+1,20),FIND("/",MID(Sync!$P1719,FIND("/",Sync!$P1719)+1,20))-1))),"")))</f>
        <v/>
      </c>
      <c r="AH1719">
        <f>IF(OR($AE1719="",$AF1719=""),"",IF(ISNUMBER(Sync!$P1719),MOD(Sync!$P1719,100),IFERROR(VALUE(TRIM(MID(MID(Sync!$P1719,FIND("/",Sync!$P1719)+1,20),FIND("/",MID(Sync!$P1719,FIND("/",Sync!$P1719)+1,20))+1,20))),"")))</f>
        <v/>
      </c>
      <c r="AI1719">
        <f>IF($AE1719="","",IF(OR($AF1719="",$AG1719="",$AH1719="",$AF1719&lt;1300,$AF1719&gt;1500,$AG1719&lt;1,$AG1719&gt;12,$AH1719&lt;1,$AH1719&gt;31),"نامعتبر",RIGHT("0000"&amp;$AF1719,4)&amp;"/"&amp;RIGHT("00"&amp;$AG1719,2)&amp;"/"&amp;RIGHT("00"&amp;$AH1719,2)))</f>
        <v/>
      </c>
      <c r="AJ1719">
        <f>IF($AE1719="","",IF(Sync!$Q1719="","0000",IF(AND(ISNUMBER(Sync!$Q1719),Sync!$Q1719&gt;=0,Sync!$Q1719&lt;1),RIGHT("00"&amp;HOUR(Sync!$Q1719),2)&amp;RIGHT("00"&amp;MINUTE(Sync!$Q1719),2),IFERROR(RIGHT("00"&amp;VALUE(LEFT(Sync!$Q1719,FIND(":",Sync!$Q1719)-1)),2)&amp;RIGHT("00"&amp;VALUE(MID(Sync!$Q1719,FIND(":",Sync!$Q1719)+1,2)),2),"0000"))))</f>
        <v/>
      </c>
      <c r="AK1719">
        <f>IF(OR($AE1719="",$AI1719="",$AI1719="نامعتبر"),"",LEFT($AI1719,4)&amp;MID($AI1719,6,2)&amp;RIGHT($AI1719,2)&amp;$AJ1719&amp;"|"&amp;"3"&amp;RIGHT("00000"&amp;1714,5))</f>
        <v/>
      </c>
      <c r="AL1719">
        <f>IF($AK1719="","",COUNTIFS(LdAParty,$AE1719,LdAType,1,LdAKey,"&lt;"&amp;$AK1719)+COUNTIFS(LdBMember,$AE1719,LdBKey,"&lt;"&amp;$AK1719)+COUNTIFS(LdCParty,$AE1719,LdCKey,"&lt;"&amp;$AK1719)+1)</f>
        <v/>
      </c>
      <c r="AM1719">
        <f>IF($AL1719="","",$AE1719&amp;"|"&amp;RIGHT("000000"&amp;$AL1719,6))</f>
        <v/>
      </c>
      <c r="AN1719">
        <f>IF($AE1719="","",IF(Sync!$W1719="",0,Sync!$W1719))</f>
        <v/>
      </c>
      <c r="AO1719">
        <f>IF($AE1719="","",IF(Sync!$X1719="",0,Sync!$X1719))</f>
        <v/>
      </c>
      <c r="AP1719">
        <f>IF($AE1719="","",Sync!$R1719)</f>
        <v/>
      </c>
      <c r="AQ1719">
        <f>IF($AE1719="","",Sync!$Y1719)</f>
        <v/>
      </c>
    </row>
    <row r="1720">
      <c r="A1720">
        <f>IF(OR(Wages!$B1723="",Wages!$E1723=""),"",Wages!$E1723)</f>
        <v/>
      </c>
      <c r="B1720">
        <f>IF($A1720="","",IF(Wages!$C1723="دستمزد گروهی",2,1))</f>
        <v/>
      </c>
      <c r="C1720">
        <f>IF($A1720="","",IF(ISNUMBER(Wages!$B1723),IF(AND(Wages!$B1723&gt;=10000101,Wages!$B1723&lt;=99991231),INT(Wages!$B1723/10000),""),IFERROR(VALUE(TRIM(LEFT(Wages!$B1723,FIND("/",Wages!$B1723)-1))),"")))</f>
        <v/>
      </c>
      <c r="D1720">
        <f>IF(OR($A1720="",$C1720=""),"",IF(ISNUMBER(Wages!$B1723),INT(MOD(Wages!$B1723,10000)/100),IFERROR(VALUE(TRIM(LEFT(MID(Wages!$B1723,FIND("/",Wages!$B1723)+1,20),FIND("/",MID(Wages!$B1723,FIND("/",Wages!$B1723)+1,20))-1))),"")))</f>
        <v/>
      </c>
      <c r="E1720">
        <f>IF(OR($A1720="",$C1720=""),"",IF(ISNUMBER(Wages!$B1723),MOD(Wages!$B1723,100),IFERROR(VALUE(TRIM(MID(MID(Wages!$B1723,FIND("/",Wages!$B1723)+1,20),FIND("/",MID(Wages!$B1723,FIND("/",Wages!$B1723)+1,20))+1,20))),"")))</f>
        <v/>
      </c>
      <c r="F1720">
        <f>IF($A1720="","",IF(OR($C1720="",$D1720="",$E1720="",$C1720&lt;1300,$C1720&gt;1500,$D1720&lt;1,$D1720&gt;12,$E1720&lt;1,$E1720&gt;31),"نامعتبر",RIGHT("0000"&amp;$C1720,4)&amp;"/"&amp;RIGHT("00"&amp;$D1720,2)&amp;"/"&amp;RIGHT("00"&amp;$E1720,2)))</f>
        <v/>
      </c>
      <c r="G1720">
        <f>IF(OR($A1720="",$F1720="",$F1720="نامعتبر"),"",LEFT($F1720,4)&amp;MID($F1720,6,2)&amp;RIGHT($F1720,2)&amp;"0000"&amp;"|"&amp;"1"&amp;RIGHT("00000"&amp;1715,5))</f>
        <v/>
      </c>
      <c r="H1720">
        <f>IF(OR($B1720&lt;&gt;1,$G1720=""),"",COUNTIFS(LdAParty,$A1720,LdAType,1,LdAKey,"&lt;"&amp;$G1720)+COUNTIFS(LdBMember,$A1720,LdBKey,"&lt;"&amp;$G1720)+COUNTIFS(LdCParty,$A1720,LdCKey,"&lt;"&amp;$G1720)+1)</f>
        <v/>
      </c>
      <c r="I1720">
        <f>IF($H1720="","",$A1720&amp;"|"&amp;RIGHT("000000"&amp;$H1720,6))</f>
        <v/>
      </c>
      <c r="J1720">
        <f>IF(OR($B1720&lt;&gt;2,$G1720=""),"",COUNTIFS(LdAParty,$A1720,LdAType,2,LdAKey,"&lt;"&amp;$G1720)+1)</f>
        <v/>
      </c>
      <c r="K1720">
        <f>IF($J1720="","",$A1720&amp;"|"&amp;RIGHT("000000"&amp;$J1720,6))</f>
        <v/>
      </c>
      <c r="L1720">
        <f>IF($A1720="","",IF(Wages!$G1723="",0,Wages!$G1723))</f>
        <v/>
      </c>
      <c r="M1720">
        <f>IF($A1720="","",Wages!$J1723)</f>
        <v/>
      </c>
      <c r="N1720">
        <f>IF($A1720="","",Wages!$D1723)</f>
        <v/>
      </c>
      <c r="P1720">
        <f>IF(OR(Shares!$B1723="",Shares!$C1723=""),"",Shares!$C1723)</f>
        <v/>
      </c>
      <c r="Q1720">
        <f>IF($P1720="","",Shares!$B1723)</f>
        <v/>
      </c>
      <c r="R1720">
        <f>IF($P1720="","",IFERROR(INDEX(WageParty,MATCH($Q1720,WageIds,0)),""))</f>
        <v/>
      </c>
      <c r="S1720">
        <f>IF($P1720="","",IFERROR(INDEX($F$6:$F$2005,MATCH($Q1720,WageIds,0)),""))</f>
        <v/>
      </c>
      <c r="T1720">
        <f>IF(OR($P1720="",$S1720="",$S1720="نامعتبر"),"",LEFT($S1720,4)&amp;MID($S1720,6,2)&amp;RIGHT($S1720,2)&amp;"0000"&amp;"|"&amp;"2"&amp;RIGHT("00000"&amp;1715,5))</f>
        <v/>
      </c>
      <c r="U1720">
        <f>IF($T1720="","",COUNTIFS(LdAParty,$P1720,LdAType,1,LdAKey,"&lt;"&amp;$T1720)+COUNTIFS(LdBMember,$P1720,LdBKey,"&lt;"&amp;$T1720)+COUNTIFS(LdCParty,$P1720,LdCKey,"&lt;"&amp;$T1720)+1)</f>
        <v/>
      </c>
      <c r="V1720">
        <f>IF($U1720="","",$P1720&amp;"|"&amp;RIGHT("000000"&amp;$U1720,6))</f>
        <v/>
      </c>
      <c r="W1720">
        <f>IF($T1720="","",COUNTIFS(LdBGroup,$R1720,LdBKey,"&lt;"&amp;$T1720)+1)</f>
        <v/>
      </c>
      <c r="X1720">
        <f>IF($W1720="","",$R1720&amp;"|"&amp;RIGHT("000000"&amp;$W1720,6))</f>
        <v/>
      </c>
      <c r="Y1720">
        <f>IF($P1720="","",IF(Shares!$E1723="",0,Shares!$E1723))</f>
        <v/>
      </c>
      <c r="Z1720">
        <f>IF($P1720="","",Shares!$H1723)</f>
        <v/>
      </c>
      <c r="AE1720">
        <f>IF(OR(Sync!$S1720="",Sync!$P1720=""),"",Sync!$S1720)</f>
        <v/>
      </c>
      <c r="AF1720">
        <f>IF($AE1720="","",IF(ISNUMBER(Sync!$P1720),IF(AND(Sync!$P1720&gt;=10000101,Sync!$P1720&lt;=99991231),INT(Sync!$P1720/10000),""),IFERROR(VALUE(TRIM(LEFT(Sync!$P1720,FIND("/",Sync!$P1720)-1))),"")))</f>
        <v/>
      </c>
      <c r="AG1720">
        <f>IF(OR($AE1720="",$AF1720=""),"",IF(ISNUMBER(Sync!$P1720),INT(MOD(Sync!$P1720,10000)/100),IFERROR(VALUE(TRIM(LEFT(MID(Sync!$P1720,FIND("/",Sync!$P1720)+1,20),FIND("/",MID(Sync!$P1720,FIND("/",Sync!$P1720)+1,20))-1))),"")))</f>
        <v/>
      </c>
      <c r="AH1720">
        <f>IF(OR($AE1720="",$AF1720=""),"",IF(ISNUMBER(Sync!$P1720),MOD(Sync!$P1720,100),IFERROR(VALUE(TRIM(MID(MID(Sync!$P1720,FIND("/",Sync!$P1720)+1,20),FIND("/",MID(Sync!$P1720,FIND("/",Sync!$P1720)+1,20))+1,20))),"")))</f>
        <v/>
      </c>
      <c r="AI1720">
        <f>IF($AE1720="","",IF(OR($AF1720="",$AG1720="",$AH1720="",$AF1720&lt;1300,$AF1720&gt;1500,$AG1720&lt;1,$AG1720&gt;12,$AH1720&lt;1,$AH1720&gt;31),"نامعتبر",RIGHT("0000"&amp;$AF1720,4)&amp;"/"&amp;RIGHT("00"&amp;$AG1720,2)&amp;"/"&amp;RIGHT("00"&amp;$AH1720,2)))</f>
        <v/>
      </c>
      <c r="AJ1720">
        <f>IF($AE1720="","",IF(Sync!$Q1720="","0000",IF(AND(ISNUMBER(Sync!$Q1720),Sync!$Q1720&gt;=0,Sync!$Q1720&lt;1),RIGHT("00"&amp;HOUR(Sync!$Q1720),2)&amp;RIGHT("00"&amp;MINUTE(Sync!$Q1720),2),IFERROR(RIGHT("00"&amp;VALUE(LEFT(Sync!$Q1720,FIND(":",Sync!$Q1720)-1)),2)&amp;RIGHT("00"&amp;VALUE(MID(Sync!$Q1720,FIND(":",Sync!$Q1720)+1,2)),2),"0000"))))</f>
        <v/>
      </c>
      <c r="AK1720">
        <f>IF(OR($AE1720="",$AI1720="",$AI1720="نامعتبر"),"",LEFT($AI1720,4)&amp;MID($AI1720,6,2)&amp;RIGHT($AI1720,2)&amp;$AJ1720&amp;"|"&amp;"3"&amp;RIGHT("00000"&amp;1715,5))</f>
        <v/>
      </c>
      <c r="AL1720">
        <f>IF($AK1720="","",COUNTIFS(LdAParty,$AE1720,LdAType,1,LdAKey,"&lt;"&amp;$AK1720)+COUNTIFS(LdBMember,$AE1720,LdBKey,"&lt;"&amp;$AK1720)+COUNTIFS(LdCParty,$AE1720,LdCKey,"&lt;"&amp;$AK1720)+1)</f>
        <v/>
      </c>
      <c r="AM1720">
        <f>IF($AL1720="","",$AE1720&amp;"|"&amp;RIGHT("000000"&amp;$AL1720,6))</f>
        <v/>
      </c>
      <c r="AN1720">
        <f>IF($AE1720="","",IF(Sync!$W1720="",0,Sync!$W1720))</f>
        <v/>
      </c>
      <c r="AO1720">
        <f>IF($AE1720="","",IF(Sync!$X1720="",0,Sync!$X1720))</f>
        <v/>
      </c>
      <c r="AP1720">
        <f>IF($AE1720="","",Sync!$R1720)</f>
        <v/>
      </c>
      <c r="AQ1720">
        <f>IF($AE1720="","",Sync!$Y1720)</f>
        <v/>
      </c>
    </row>
    <row r="1721">
      <c r="A1721">
        <f>IF(OR(Wages!$B1724="",Wages!$E1724=""),"",Wages!$E1724)</f>
        <v/>
      </c>
      <c r="B1721">
        <f>IF($A1721="","",IF(Wages!$C1724="دستمزد گروهی",2,1))</f>
        <v/>
      </c>
      <c r="C1721">
        <f>IF($A1721="","",IF(ISNUMBER(Wages!$B1724),IF(AND(Wages!$B1724&gt;=10000101,Wages!$B1724&lt;=99991231),INT(Wages!$B1724/10000),""),IFERROR(VALUE(TRIM(LEFT(Wages!$B1724,FIND("/",Wages!$B1724)-1))),"")))</f>
        <v/>
      </c>
      <c r="D1721">
        <f>IF(OR($A1721="",$C1721=""),"",IF(ISNUMBER(Wages!$B1724),INT(MOD(Wages!$B1724,10000)/100),IFERROR(VALUE(TRIM(LEFT(MID(Wages!$B1724,FIND("/",Wages!$B1724)+1,20),FIND("/",MID(Wages!$B1724,FIND("/",Wages!$B1724)+1,20))-1))),"")))</f>
        <v/>
      </c>
      <c r="E1721">
        <f>IF(OR($A1721="",$C1721=""),"",IF(ISNUMBER(Wages!$B1724),MOD(Wages!$B1724,100),IFERROR(VALUE(TRIM(MID(MID(Wages!$B1724,FIND("/",Wages!$B1724)+1,20),FIND("/",MID(Wages!$B1724,FIND("/",Wages!$B1724)+1,20))+1,20))),"")))</f>
        <v/>
      </c>
      <c r="F1721">
        <f>IF($A1721="","",IF(OR($C1721="",$D1721="",$E1721="",$C1721&lt;1300,$C1721&gt;1500,$D1721&lt;1,$D1721&gt;12,$E1721&lt;1,$E1721&gt;31),"نامعتبر",RIGHT("0000"&amp;$C1721,4)&amp;"/"&amp;RIGHT("00"&amp;$D1721,2)&amp;"/"&amp;RIGHT("00"&amp;$E1721,2)))</f>
        <v/>
      </c>
      <c r="G1721">
        <f>IF(OR($A1721="",$F1721="",$F1721="نامعتبر"),"",LEFT($F1721,4)&amp;MID($F1721,6,2)&amp;RIGHT($F1721,2)&amp;"0000"&amp;"|"&amp;"1"&amp;RIGHT("00000"&amp;1716,5))</f>
        <v/>
      </c>
      <c r="H1721">
        <f>IF(OR($B1721&lt;&gt;1,$G1721=""),"",COUNTIFS(LdAParty,$A1721,LdAType,1,LdAKey,"&lt;"&amp;$G1721)+COUNTIFS(LdBMember,$A1721,LdBKey,"&lt;"&amp;$G1721)+COUNTIFS(LdCParty,$A1721,LdCKey,"&lt;"&amp;$G1721)+1)</f>
        <v/>
      </c>
      <c r="I1721">
        <f>IF($H1721="","",$A1721&amp;"|"&amp;RIGHT("000000"&amp;$H1721,6))</f>
        <v/>
      </c>
      <c r="J1721">
        <f>IF(OR($B1721&lt;&gt;2,$G1721=""),"",COUNTIFS(LdAParty,$A1721,LdAType,2,LdAKey,"&lt;"&amp;$G1721)+1)</f>
        <v/>
      </c>
      <c r="K1721">
        <f>IF($J1721="","",$A1721&amp;"|"&amp;RIGHT("000000"&amp;$J1721,6))</f>
        <v/>
      </c>
      <c r="L1721">
        <f>IF($A1721="","",IF(Wages!$G1724="",0,Wages!$G1724))</f>
        <v/>
      </c>
      <c r="M1721">
        <f>IF($A1721="","",Wages!$J1724)</f>
        <v/>
      </c>
      <c r="N1721">
        <f>IF($A1721="","",Wages!$D1724)</f>
        <v/>
      </c>
      <c r="P1721">
        <f>IF(OR(Shares!$B1724="",Shares!$C1724=""),"",Shares!$C1724)</f>
        <v/>
      </c>
      <c r="Q1721">
        <f>IF($P1721="","",Shares!$B1724)</f>
        <v/>
      </c>
      <c r="R1721">
        <f>IF($P1721="","",IFERROR(INDEX(WageParty,MATCH($Q1721,WageIds,0)),""))</f>
        <v/>
      </c>
      <c r="S1721">
        <f>IF($P1721="","",IFERROR(INDEX($F$6:$F$2005,MATCH($Q1721,WageIds,0)),""))</f>
        <v/>
      </c>
      <c r="T1721">
        <f>IF(OR($P1721="",$S1721="",$S1721="نامعتبر"),"",LEFT($S1721,4)&amp;MID($S1721,6,2)&amp;RIGHT($S1721,2)&amp;"0000"&amp;"|"&amp;"2"&amp;RIGHT("00000"&amp;1716,5))</f>
        <v/>
      </c>
      <c r="U1721">
        <f>IF($T1721="","",COUNTIFS(LdAParty,$P1721,LdAType,1,LdAKey,"&lt;"&amp;$T1721)+COUNTIFS(LdBMember,$P1721,LdBKey,"&lt;"&amp;$T1721)+COUNTIFS(LdCParty,$P1721,LdCKey,"&lt;"&amp;$T1721)+1)</f>
        <v/>
      </c>
      <c r="V1721">
        <f>IF($U1721="","",$P1721&amp;"|"&amp;RIGHT("000000"&amp;$U1721,6))</f>
        <v/>
      </c>
      <c r="W1721">
        <f>IF($T1721="","",COUNTIFS(LdBGroup,$R1721,LdBKey,"&lt;"&amp;$T1721)+1)</f>
        <v/>
      </c>
      <c r="X1721">
        <f>IF($W1721="","",$R1721&amp;"|"&amp;RIGHT("000000"&amp;$W1721,6))</f>
        <v/>
      </c>
      <c r="Y1721">
        <f>IF($P1721="","",IF(Shares!$E1724="",0,Shares!$E1724))</f>
        <v/>
      </c>
      <c r="Z1721">
        <f>IF($P1721="","",Shares!$H1724)</f>
        <v/>
      </c>
      <c r="AE1721">
        <f>IF(OR(Sync!$S1721="",Sync!$P1721=""),"",Sync!$S1721)</f>
        <v/>
      </c>
      <c r="AF1721">
        <f>IF($AE1721="","",IF(ISNUMBER(Sync!$P1721),IF(AND(Sync!$P1721&gt;=10000101,Sync!$P1721&lt;=99991231),INT(Sync!$P1721/10000),""),IFERROR(VALUE(TRIM(LEFT(Sync!$P1721,FIND("/",Sync!$P1721)-1))),"")))</f>
        <v/>
      </c>
      <c r="AG1721">
        <f>IF(OR($AE1721="",$AF1721=""),"",IF(ISNUMBER(Sync!$P1721),INT(MOD(Sync!$P1721,10000)/100),IFERROR(VALUE(TRIM(LEFT(MID(Sync!$P1721,FIND("/",Sync!$P1721)+1,20),FIND("/",MID(Sync!$P1721,FIND("/",Sync!$P1721)+1,20))-1))),"")))</f>
        <v/>
      </c>
      <c r="AH1721">
        <f>IF(OR($AE1721="",$AF1721=""),"",IF(ISNUMBER(Sync!$P1721),MOD(Sync!$P1721,100),IFERROR(VALUE(TRIM(MID(MID(Sync!$P1721,FIND("/",Sync!$P1721)+1,20),FIND("/",MID(Sync!$P1721,FIND("/",Sync!$P1721)+1,20))+1,20))),"")))</f>
        <v/>
      </c>
      <c r="AI1721">
        <f>IF($AE1721="","",IF(OR($AF1721="",$AG1721="",$AH1721="",$AF1721&lt;1300,$AF1721&gt;1500,$AG1721&lt;1,$AG1721&gt;12,$AH1721&lt;1,$AH1721&gt;31),"نامعتبر",RIGHT("0000"&amp;$AF1721,4)&amp;"/"&amp;RIGHT("00"&amp;$AG1721,2)&amp;"/"&amp;RIGHT("00"&amp;$AH1721,2)))</f>
        <v/>
      </c>
      <c r="AJ1721">
        <f>IF($AE1721="","",IF(Sync!$Q1721="","0000",IF(AND(ISNUMBER(Sync!$Q1721),Sync!$Q1721&gt;=0,Sync!$Q1721&lt;1),RIGHT("00"&amp;HOUR(Sync!$Q1721),2)&amp;RIGHT("00"&amp;MINUTE(Sync!$Q1721),2),IFERROR(RIGHT("00"&amp;VALUE(LEFT(Sync!$Q1721,FIND(":",Sync!$Q1721)-1)),2)&amp;RIGHT("00"&amp;VALUE(MID(Sync!$Q1721,FIND(":",Sync!$Q1721)+1,2)),2),"0000"))))</f>
        <v/>
      </c>
      <c r="AK1721">
        <f>IF(OR($AE1721="",$AI1721="",$AI1721="نامعتبر"),"",LEFT($AI1721,4)&amp;MID($AI1721,6,2)&amp;RIGHT($AI1721,2)&amp;$AJ1721&amp;"|"&amp;"3"&amp;RIGHT("00000"&amp;1716,5))</f>
        <v/>
      </c>
      <c r="AL1721">
        <f>IF($AK1721="","",COUNTIFS(LdAParty,$AE1721,LdAType,1,LdAKey,"&lt;"&amp;$AK1721)+COUNTIFS(LdBMember,$AE1721,LdBKey,"&lt;"&amp;$AK1721)+COUNTIFS(LdCParty,$AE1721,LdCKey,"&lt;"&amp;$AK1721)+1)</f>
        <v/>
      </c>
      <c r="AM1721">
        <f>IF($AL1721="","",$AE1721&amp;"|"&amp;RIGHT("000000"&amp;$AL1721,6))</f>
        <v/>
      </c>
      <c r="AN1721">
        <f>IF($AE1721="","",IF(Sync!$W1721="",0,Sync!$W1721))</f>
        <v/>
      </c>
      <c r="AO1721">
        <f>IF($AE1721="","",IF(Sync!$X1721="",0,Sync!$X1721))</f>
        <v/>
      </c>
      <c r="AP1721">
        <f>IF($AE1721="","",Sync!$R1721)</f>
        <v/>
      </c>
      <c r="AQ1721">
        <f>IF($AE1721="","",Sync!$Y1721)</f>
        <v/>
      </c>
    </row>
    <row r="1722">
      <c r="A1722">
        <f>IF(OR(Wages!$B1725="",Wages!$E1725=""),"",Wages!$E1725)</f>
        <v/>
      </c>
      <c r="B1722">
        <f>IF($A1722="","",IF(Wages!$C1725="دستمزد گروهی",2,1))</f>
        <v/>
      </c>
      <c r="C1722">
        <f>IF($A1722="","",IF(ISNUMBER(Wages!$B1725),IF(AND(Wages!$B1725&gt;=10000101,Wages!$B1725&lt;=99991231),INT(Wages!$B1725/10000),""),IFERROR(VALUE(TRIM(LEFT(Wages!$B1725,FIND("/",Wages!$B1725)-1))),"")))</f>
        <v/>
      </c>
      <c r="D1722">
        <f>IF(OR($A1722="",$C1722=""),"",IF(ISNUMBER(Wages!$B1725),INT(MOD(Wages!$B1725,10000)/100),IFERROR(VALUE(TRIM(LEFT(MID(Wages!$B1725,FIND("/",Wages!$B1725)+1,20),FIND("/",MID(Wages!$B1725,FIND("/",Wages!$B1725)+1,20))-1))),"")))</f>
        <v/>
      </c>
      <c r="E1722">
        <f>IF(OR($A1722="",$C1722=""),"",IF(ISNUMBER(Wages!$B1725),MOD(Wages!$B1725,100),IFERROR(VALUE(TRIM(MID(MID(Wages!$B1725,FIND("/",Wages!$B1725)+1,20),FIND("/",MID(Wages!$B1725,FIND("/",Wages!$B1725)+1,20))+1,20))),"")))</f>
        <v/>
      </c>
      <c r="F1722">
        <f>IF($A1722="","",IF(OR($C1722="",$D1722="",$E1722="",$C1722&lt;1300,$C1722&gt;1500,$D1722&lt;1,$D1722&gt;12,$E1722&lt;1,$E1722&gt;31),"نامعتبر",RIGHT("0000"&amp;$C1722,4)&amp;"/"&amp;RIGHT("00"&amp;$D1722,2)&amp;"/"&amp;RIGHT("00"&amp;$E1722,2)))</f>
        <v/>
      </c>
      <c r="G1722">
        <f>IF(OR($A1722="",$F1722="",$F1722="نامعتبر"),"",LEFT($F1722,4)&amp;MID($F1722,6,2)&amp;RIGHT($F1722,2)&amp;"0000"&amp;"|"&amp;"1"&amp;RIGHT("00000"&amp;1717,5))</f>
        <v/>
      </c>
      <c r="H1722">
        <f>IF(OR($B1722&lt;&gt;1,$G1722=""),"",COUNTIFS(LdAParty,$A1722,LdAType,1,LdAKey,"&lt;"&amp;$G1722)+COUNTIFS(LdBMember,$A1722,LdBKey,"&lt;"&amp;$G1722)+COUNTIFS(LdCParty,$A1722,LdCKey,"&lt;"&amp;$G1722)+1)</f>
        <v/>
      </c>
      <c r="I1722">
        <f>IF($H1722="","",$A1722&amp;"|"&amp;RIGHT("000000"&amp;$H1722,6))</f>
        <v/>
      </c>
      <c r="J1722">
        <f>IF(OR($B1722&lt;&gt;2,$G1722=""),"",COUNTIFS(LdAParty,$A1722,LdAType,2,LdAKey,"&lt;"&amp;$G1722)+1)</f>
        <v/>
      </c>
      <c r="K1722">
        <f>IF($J1722="","",$A1722&amp;"|"&amp;RIGHT("000000"&amp;$J1722,6))</f>
        <v/>
      </c>
      <c r="L1722">
        <f>IF($A1722="","",IF(Wages!$G1725="",0,Wages!$G1725))</f>
        <v/>
      </c>
      <c r="M1722">
        <f>IF($A1722="","",Wages!$J1725)</f>
        <v/>
      </c>
      <c r="N1722">
        <f>IF($A1722="","",Wages!$D1725)</f>
        <v/>
      </c>
      <c r="P1722">
        <f>IF(OR(Shares!$B1725="",Shares!$C1725=""),"",Shares!$C1725)</f>
        <v/>
      </c>
      <c r="Q1722">
        <f>IF($P1722="","",Shares!$B1725)</f>
        <v/>
      </c>
      <c r="R1722">
        <f>IF($P1722="","",IFERROR(INDEX(WageParty,MATCH($Q1722,WageIds,0)),""))</f>
        <v/>
      </c>
      <c r="S1722">
        <f>IF($P1722="","",IFERROR(INDEX($F$6:$F$2005,MATCH($Q1722,WageIds,0)),""))</f>
        <v/>
      </c>
      <c r="T1722">
        <f>IF(OR($P1722="",$S1722="",$S1722="نامعتبر"),"",LEFT($S1722,4)&amp;MID($S1722,6,2)&amp;RIGHT($S1722,2)&amp;"0000"&amp;"|"&amp;"2"&amp;RIGHT("00000"&amp;1717,5))</f>
        <v/>
      </c>
      <c r="U1722">
        <f>IF($T1722="","",COUNTIFS(LdAParty,$P1722,LdAType,1,LdAKey,"&lt;"&amp;$T1722)+COUNTIFS(LdBMember,$P1722,LdBKey,"&lt;"&amp;$T1722)+COUNTIFS(LdCParty,$P1722,LdCKey,"&lt;"&amp;$T1722)+1)</f>
        <v/>
      </c>
      <c r="V1722">
        <f>IF($U1722="","",$P1722&amp;"|"&amp;RIGHT("000000"&amp;$U1722,6))</f>
        <v/>
      </c>
      <c r="W1722">
        <f>IF($T1722="","",COUNTIFS(LdBGroup,$R1722,LdBKey,"&lt;"&amp;$T1722)+1)</f>
        <v/>
      </c>
      <c r="X1722">
        <f>IF($W1722="","",$R1722&amp;"|"&amp;RIGHT("000000"&amp;$W1722,6))</f>
        <v/>
      </c>
      <c r="Y1722">
        <f>IF($P1722="","",IF(Shares!$E1725="",0,Shares!$E1725))</f>
        <v/>
      </c>
      <c r="Z1722">
        <f>IF($P1722="","",Shares!$H1725)</f>
        <v/>
      </c>
      <c r="AE1722">
        <f>IF(OR(Sync!$S1722="",Sync!$P1722=""),"",Sync!$S1722)</f>
        <v/>
      </c>
      <c r="AF1722">
        <f>IF($AE1722="","",IF(ISNUMBER(Sync!$P1722),IF(AND(Sync!$P1722&gt;=10000101,Sync!$P1722&lt;=99991231),INT(Sync!$P1722/10000),""),IFERROR(VALUE(TRIM(LEFT(Sync!$P1722,FIND("/",Sync!$P1722)-1))),"")))</f>
        <v/>
      </c>
      <c r="AG1722">
        <f>IF(OR($AE1722="",$AF1722=""),"",IF(ISNUMBER(Sync!$P1722),INT(MOD(Sync!$P1722,10000)/100),IFERROR(VALUE(TRIM(LEFT(MID(Sync!$P1722,FIND("/",Sync!$P1722)+1,20),FIND("/",MID(Sync!$P1722,FIND("/",Sync!$P1722)+1,20))-1))),"")))</f>
        <v/>
      </c>
      <c r="AH1722">
        <f>IF(OR($AE1722="",$AF1722=""),"",IF(ISNUMBER(Sync!$P1722),MOD(Sync!$P1722,100),IFERROR(VALUE(TRIM(MID(MID(Sync!$P1722,FIND("/",Sync!$P1722)+1,20),FIND("/",MID(Sync!$P1722,FIND("/",Sync!$P1722)+1,20))+1,20))),"")))</f>
        <v/>
      </c>
      <c r="AI1722">
        <f>IF($AE1722="","",IF(OR($AF1722="",$AG1722="",$AH1722="",$AF1722&lt;1300,$AF1722&gt;1500,$AG1722&lt;1,$AG1722&gt;12,$AH1722&lt;1,$AH1722&gt;31),"نامعتبر",RIGHT("0000"&amp;$AF1722,4)&amp;"/"&amp;RIGHT("00"&amp;$AG1722,2)&amp;"/"&amp;RIGHT("00"&amp;$AH1722,2)))</f>
        <v/>
      </c>
      <c r="AJ1722">
        <f>IF($AE1722="","",IF(Sync!$Q1722="","0000",IF(AND(ISNUMBER(Sync!$Q1722),Sync!$Q1722&gt;=0,Sync!$Q1722&lt;1),RIGHT("00"&amp;HOUR(Sync!$Q1722),2)&amp;RIGHT("00"&amp;MINUTE(Sync!$Q1722),2),IFERROR(RIGHT("00"&amp;VALUE(LEFT(Sync!$Q1722,FIND(":",Sync!$Q1722)-1)),2)&amp;RIGHT("00"&amp;VALUE(MID(Sync!$Q1722,FIND(":",Sync!$Q1722)+1,2)),2),"0000"))))</f>
        <v/>
      </c>
      <c r="AK1722">
        <f>IF(OR($AE1722="",$AI1722="",$AI1722="نامعتبر"),"",LEFT($AI1722,4)&amp;MID($AI1722,6,2)&amp;RIGHT($AI1722,2)&amp;$AJ1722&amp;"|"&amp;"3"&amp;RIGHT("00000"&amp;1717,5))</f>
        <v/>
      </c>
      <c r="AL1722">
        <f>IF($AK1722="","",COUNTIFS(LdAParty,$AE1722,LdAType,1,LdAKey,"&lt;"&amp;$AK1722)+COUNTIFS(LdBMember,$AE1722,LdBKey,"&lt;"&amp;$AK1722)+COUNTIFS(LdCParty,$AE1722,LdCKey,"&lt;"&amp;$AK1722)+1)</f>
        <v/>
      </c>
      <c r="AM1722">
        <f>IF($AL1722="","",$AE1722&amp;"|"&amp;RIGHT("000000"&amp;$AL1722,6))</f>
        <v/>
      </c>
      <c r="AN1722">
        <f>IF($AE1722="","",IF(Sync!$W1722="",0,Sync!$W1722))</f>
        <v/>
      </c>
      <c r="AO1722">
        <f>IF($AE1722="","",IF(Sync!$X1722="",0,Sync!$X1722))</f>
        <v/>
      </c>
      <c r="AP1722">
        <f>IF($AE1722="","",Sync!$R1722)</f>
        <v/>
      </c>
      <c r="AQ1722">
        <f>IF($AE1722="","",Sync!$Y1722)</f>
        <v/>
      </c>
    </row>
    <row r="1723">
      <c r="A1723">
        <f>IF(OR(Wages!$B1726="",Wages!$E1726=""),"",Wages!$E1726)</f>
        <v/>
      </c>
      <c r="B1723">
        <f>IF($A1723="","",IF(Wages!$C1726="دستمزد گروهی",2,1))</f>
        <v/>
      </c>
      <c r="C1723">
        <f>IF($A1723="","",IF(ISNUMBER(Wages!$B1726),IF(AND(Wages!$B1726&gt;=10000101,Wages!$B1726&lt;=99991231),INT(Wages!$B1726/10000),""),IFERROR(VALUE(TRIM(LEFT(Wages!$B1726,FIND("/",Wages!$B1726)-1))),"")))</f>
        <v/>
      </c>
      <c r="D1723">
        <f>IF(OR($A1723="",$C1723=""),"",IF(ISNUMBER(Wages!$B1726),INT(MOD(Wages!$B1726,10000)/100),IFERROR(VALUE(TRIM(LEFT(MID(Wages!$B1726,FIND("/",Wages!$B1726)+1,20),FIND("/",MID(Wages!$B1726,FIND("/",Wages!$B1726)+1,20))-1))),"")))</f>
        <v/>
      </c>
      <c r="E1723">
        <f>IF(OR($A1723="",$C1723=""),"",IF(ISNUMBER(Wages!$B1726),MOD(Wages!$B1726,100),IFERROR(VALUE(TRIM(MID(MID(Wages!$B1726,FIND("/",Wages!$B1726)+1,20),FIND("/",MID(Wages!$B1726,FIND("/",Wages!$B1726)+1,20))+1,20))),"")))</f>
        <v/>
      </c>
      <c r="F1723">
        <f>IF($A1723="","",IF(OR($C1723="",$D1723="",$E1723="",$C1723&lt;1300,$C1723&gt;1500,$D1723&lt;1,$D1723&gt;12,$E1723&lt;1,$E1723&gt;31),"نامعتبر",RIGHT("0000"&amp;$C1723,4)&amp;"/"&amp;RIGHT("00"&amp;$D1723,2)&amp;"/"&amp;RIGHT("00"&amp;$E1723,2)))</f>
        <v/>
      </c>
      <c r="G1723">
        <f>IF(OR($A1723="",$F1723="",$F1723="نامعتبر"),"",LEFT($F1723,4)&amp;MID($F1723,6,2)&amp;RIGHT($F1723,2)&amp;"0000"&amp;"|"&amp;"1"&amp;RIGHT("00000"&amp;1718,5))</f>
        <v/>
      </c>
      <c r="H1723">
        <f>IF(OR($B1723&lt;&gt;1,$G1723=""),"",COUNTIFS(LdAParty,$A1723,LdAType,1,LdAKey,"&lt;"&amp;$G1723)+COUNTIFS(LdBMember,$A1723,LdBKey,"&lt;"&amp;$G1723)+COUNTIFS(LdCParty,$A1723,LdCKey,"&lt;"&amp;$G1723)+1)</f>
        <v/>
      </c>
      <c r="I1723">
        <f>IF($H1723="","",$A1723&amp;"|"&amp;RIGHT("000000"&amp;$H1723,6))</f>
        <v/>
      </c>
      <c r="J1723">
        <f>IF(OR($B1723&lt;&gt;2,$G1723=""),"",COUNTIFS(LdAParty,$A1723,LdAType,2,LdAKey,"&lt;"&amp;$G1723)+1)</f>
        <v/>
      </c>
      <c r="K1723">
        <f>IF($J1723="","",$A1723&amp;"|"&amp;RIGHT("000000"&amp;$J1723,6))</f>
        <v/>
      </c>
      <c r="L1723">
        <f>IF($A1723="","",IF(Wages!$G1726="",0,Wages!$G1726))</f>
        <v/>
      </c>
      <c r="M1723">
        <f>IF($A1723="","",Wages!$J1726)</f>
        <v/>
      </c>
      <c r="N1723">
        <f>IF($A1723="","",Wages!$D1726)</f>
        <v/>
      </c>
      <c r="P1723">
        <f>IF(OR(Shares!$B1726="",Shares!$C1726=""),"",Shares!$C1726)</f>
        <v/>
      </c>
      <c r="Q1723">
        <f>IF($P1723="","",Shares!$B1726)</f>
        <v/>
      </c>
      <c r="R1723">
        <f>IF($P1723="","",IFERROR(INDEX(WageParty,MATCH($Q1723,WageIds,0)),""))</f>
        <v/>
      </c>
      <c r="S1723">
        <f>IF($P1723="","",IFERROR(INDEX($F$6:$F$2005,MATCH($Q1723,WageIds,0)),""))</f>
        <v/>
      </c>
      <c r="T1723">
        <f>IF(OR($P1723="",$S1723="",$S1723="نامعتبر"),"",LEFT($S1723,4)&amp;MID($S1723,6,2)&amp;RIGHT($S1723,2)&amp;"0000"&amp;"|"&amp;"2"&amp;RIGHT("00000"&amp;1718,5))</f>
        <v/>
      </c>
      <c r="U1723">
        <f>IF($T1723="","",COUNTIFS(LdAParty,$P1723,LdAType,1,LdAKey,"&lt;"&amp;$T1723)+COUNTIFS(LdBMember,$P1723,LdBKey,"&lt;"&amp;$T1723)+COUNTIFS(LdCParty,$P1723,LdCKey,"&lt;"&amp;$T1723)+1)</f>
        <v/>
      </c>
      <c r="V1723">
        <f>IF($U1723="","",$P1723&amp;"|"&amp;RIGHT("000000"&amp;$U1723,6))</f>
        <v/>
      </c>
      <c r="W1723">
        <f>IF($T1723="","",COUNTIFS(LdBGroup,$R1723,LdBKey,"&lt;"&amp;$T1723)+1)</f>
        <v/>
      </c>
      <c r="X1723">
        <f>IF($W1723="","",$R1723&amp;"|"&amp;RIGHT("000000"&amp;$W1723,6))</f>
        <v/>
      </c>
      <c r="Y1723">
        <f>IF($P1723="","",IF(Shares!$E1726="",0,Shares!$E1726))</f>
        <v/>
      </c>
      <c r="Z1723">
        <f>IF($P1723="","",Shares!$H1726)</f>
        <v/>
      </c>
      <c r="AE1723">
        <f>IF(OR(Sync!$S1723="",Sync!$P1723=""),"",Sync!$S1723)</f>
        <v/>
      </c>
      <c r="AF1723">
        <f>IF($AE1723="","",IF(ISNUMBER(Sync!$P1723),IF(AND(Sync!$P1723&gt;=10000101,Sync!$P1723&lt;=99991231),INT(Sync!$P1723/10000),""),IFERROR(VALUE(TRIM(LEFT(Sync!$P1723,FIND("/",Sync!$P1723)-1))),"")))</f>
        <v/>
      </c>
      <c r="AG1723">
        <f>IF(OR($AE1723="",$AF1723=""),"",IF(ISNUMBER(Sync!$P1723),INT(MOD(Sync!$P1723,10000)/100),IFERROR(VALUE(TRIM(LEFT(MID(Sync!$P1723,FIND("/",Sync!$P1723)+1,20),FIND("/",MID(Sync!$P1723,FIND("/",Sync!$P1723)+1,20))-1))),"")))</f>
        <v/>
      </c>
      <c r="AH1723">
        <f>IF(OR($AE1723="",$AF1723=""),"",IF(ISNUMBER(Sync!$P1723),MOD(Sync!$P1723,100),IFERROR(VALUE(TRIM(MID(MID(Sync!$P1723,FIND("/",Sync!$P1723)+1,20),FIND("/",MID(Sync!$P1723,FIND("/",Sync!$P1723)+1,20))+1,20))),"")))</f>
        <v/>
      </c>
      <c r="AI1723">
        <f>IF($AE1723="","",IF(OR($AF1723="",$AG1723="",$AH1723="",$AF1723&lt;1300,$AF1723&gt;1500,$AG1723&lt;1,$AG1723&gt;12,$AH1723&lt;1,$AH1723&gt;31),"نامعتبر",RIGHT("0000"&amp;$AF1723,4)&amp;"/"&amp;RIGHT("00"&amp;$AG1723,2)&amp;"/"&amp;RIGHT("00"&amp;$AH1723,2)))</f>
        <v/>
      </c>
      <c r="AJ1723">
        <f>IF($AE1723="","",IF(Sync!$Q1723="","0000",IF(AND(ISNUMBER(Sync!$Q1723),Sync!$Q1723&gt;=0,Sync!$Q1723&lt;1),RIGHT("00"&amp;HOUR(Sync!$Q1723),2)&amp;RIGHT("00"&amp;MINUTE(Sync!$Q1723),2),IFERROR(RIGHT("00"&amp;VALUE(LEFT(Sync!$Q1723,FIND(":",Sync!$Q1723)-1)),2)&amp;RIGHT("00"&amp;VALUE(MID(Sync!$Q1723,FIND(":",Sync!$Q1723)+1,2)),2),"0000"))))</f>
        <v/>
      </c>
      <c r="AK1723">
        <f>IF(OR($AE1723="",$AI1723="",$AI1723="نامعتبر"),"",LEFT($AI1723,4)&amp;MID($AI1723,6,2)&amp;RIGHT($AI1723,2)&amp;$AJ1723&amp;"|"&amp;"3"&amp;RIGHT("00000"&amp;1718,5))</f>
        <v/>
      </c>
      <c r="AL1723">
        <f>IF($AK1723="","",COUNTIFS(LdAParty,$AE1723,LdAType,1,LdAKey,"&lt;"&amp;$AK1723)+COUNTIFS(LdBMember,$AE1723,LdBKey,"&lt;"&amp;$AK1723)+COUNTIFS(LdCParty,$AE1723,LdCKey,"&lt;"&amp;$AK1723)+1)</f>
        <v/>
      </c>
      <c r="AM1723">
        <f>IF($AL1723="","",$AE1723&amp;"|"&amp;RIGHT("000000"&amp;$AL1723,6))</f>
        <v/>
      </c>
      <c r="AN1723">
        <f>IF($AE1723="","",IF(Sync!$W1723="",0,Sync!$W1723))</f>
        <v/>
      </c>
      <c r="AO1723">
        <f>IF($AE1723="","",IF(Sync!$X1723="",0,Sync!$X1723))</f>
        <v/>
      </c>
      <c r="AP1723">
        <f>IF($AE1723="","",Sync!$R1723)</f>
        <v/>
      </c>
      <c r="AQ1723">
        <f>IF($AE1723="","",Sync!$Y1723)</f>
        <v/>
      </c>
    </row>
    <row r="1724">
      <c r="A1724">
        <f>IF(OR(Wages!$B1727="",Wages!$E1727=""),"",Wages!$E1727)</f>
        <v/>
      </c>
      <c r="B1724">
        <f>IF($A1724="","",IF(Wages!$C1727="دستمزد گروهی",2,1))</f>
        <v/>
      </c>
      <c r="C1724">
        <f>IF($A1724="","",IF(ISNUMBER(Wages!$B1727),IF(AND(Wages!$B1727&gt;=10000101,Wages!$B1727&lt;=99991231),INT(Wages!$B1727/10000),""),IFERROR(VALUE(TRIM(LEFT(Wages!$B1727,FIND("/",Wages!$B1727)-1))),"")))</f>
        <v/>
      </c>
      <c r="D1724">
        <f>IF(OR($A1724="",$C1724=""),"",IF(ISNUMBER(Wages!$B1727),INT(MOD(Wages!$B1727,10000)/100),IFERROR(VALUE(TRIM(LEFT(MID(Wages!$B1727,FIND("/",Wages!$B1727)+1,20),FIND("/",MID(Wages!$B1727,FIND("/",Wages!$B1727)+1,20))-1))),"")))</f>
        <v/>
      </c>
      <c r="E1724">
        <f>IF(OR($A1724="",$C1724=""),"",IF(ISNUMBER(Wages!$B1727),MOD(Wages!$B1727,100),IFERROR(VALUE(TRIM(MID(MID(Wages!$B1727,FIND("/",Wages!$B1727)+1,20),FIND("/",MID(Wages!$B1727,FIND("/",Wages!$B1727)+1,20))+1,20))),"")))</f>
        <v/>
      </c>
      <c r="F1724">
        <f>IF($A1724="","",IF(OR($C1724="",$D1724="",$E1724="",$C1724&lt;1300,$C1724&gt;1500,$D1724&lt;1,$D1724&gt;12,$E1724&lt;1,$E1724&gt;31),"نامعتبر",RIGHT("0000"&amp;$C1724,4)&amp;"/"&amp;RIGHT("00"&amp;$D1724,2)&amp;"/"&amp;RIGHT("00"&amp;$E1724,2)))</f>
        <v/>
      </c>
      <c r="G1724">
        <f>IF(OR($A1724="",$F1724="",$F1724="نامعتبر"),"",LEFT($F1724,4)&amp;MID($F1724,6,2)&amp;RIGHT($F1724,2)&amp;"0000"&amp;"|"&amp;"1"&amp;RIGHT("00000"&amp;1719,5))</f>
        <v/>
      </c>
      <c r="H1724">
        <f>IF(OR($B1724&lt;&gt;1,$G1724=""),"",COUNTIFS(LdAParty,$A1724,LdAType,1,LdAKey,"&lt;"&amp;$G1724)+COUNTIFS(LdBMember,$A1724,LdBKey,"&lt;"&amp;$G1724)+COUNTIFS(LdCParty,$A1724,LdCKey,"&lt;"&amp;$G1724)+1)</f>
        <v/>
      </c>
      <c r="I1724">
        <f>IF($H1724="","",$A1724&amp;"|"&amp;RIGHT("000000"&amp;$H1724,6))</f>
        <v/>
      </c>
      <c r="J1724">
        <f>IF(OR($B1724&lt;&gt;2,$G1724=""),"",COUNTIFS(LdAParty,$A1724,LdAType,2,LdAKey,"&lt;"&amp;$G1724)+1)</f>
        <v/>
      </c>
      <c r="K1724">
        <f>IF($J1724="","",$A1724&amp;"|"&amp;RIGHT("000000"&amp;$J1724,6))</f>
        <v/>
      </c>
      <c r="L1724">
        <f>IF($A1724="","",IF(Wages!$G1727="",0,Wages!$G1727))</f>
        <v/>
      </c>
      <c r="M1724">
        <f>IF($A1724="","",Wages!$J1727)</f>
        <v/>
      </c>
      <c r="N1724">
        <f>IF($A1724="","",Wages!$D1727)</f>
        <v/>
      </c>
      <c r="P1724">
        <f>IF(OR(Shares!$B1727="",Shares!$C1727=""),"",Shares!$C1727)</f>
        <v/>
      </c>
      <c r="Q1724">
        <f>IF($P1724="","",Shares!$B1727)</f>
        <v/>
      </c>
      <c r="R1724">
        <f>IF($P1724="","",IFERROR(INDEX(WageParty,MATCH($Q1724,WageIds,0)),""))</f>
        <v/>
      </c>
      <c r="S1724">
        <f>IF($P1724="","",IFERROR(INDEX($F$6:$F$2005,MATCH($Q1724,WageIds,0)),""))</f>
        <v/>
      </c>
      <c r="T1724">
        <f>IF(OR($P1724="",$S1724="",$S1724="نامعتبر"),"",LEFT($S1724,4)&amp;MID($S1724,6,2)&amp;RIGHT($S1724,2)&amp;"0000"&amp;"|"&amp;"2"&amp;RIGHT("00000"&amp;1719,5))</f>
        <v/>
      </c>
      <c r="U1724">
        <f>IF($T1724="","",COUNTIFS(LdAParty,$P1724,LdAType,1,LdAKey,"&lt;"&amp;$T1724)+COUNTIFS(LdBMember,$P1724,LdBKey,"&lt;"&amp;$T1724)+COUNTIFS(LdCParty,$P1724,LdCKey,"&lt;"&amp;$T1724)+1)</f>
        <v/>
      </c>
      <c r="V1724">
        <f>IF($U1724="","",$P1724&amp;"|"&amp;RIGHT("000000"&amp;$U1724,6))</f>
        <v/>
      </c>
      <c r="W1724">
        <f>IF($T1724="","",COUNTIFS(LdBGroup,$R1724,LdBKey,"&lt;"&amp;$T1724)+1)</f>
        <v/>
      </c>
      <c r="X1724">
        <f>IF($W1724="","",$R1724&amp;"|"&amp;RIGHT("000000"&amp;$W1724,6))</f>
        <v/>
      </c>
      <c r="Y1724">
        <f>IF($P1724="","",IF(Shares!$E1727="",0,Shares!$E1727))</f>
        <v/>
      </c>
      <c r="Z1724">
        <f>IF($P1724="","",Shares!$H1727)</f>
        <v/>
      </c>
      <c r="AE1724">
        <f>IF(OR(Sync!$S1724="",Sync!$P1724=""),"",Sync!$S1724)</f>
        <v/>
      </c>
      <c r="AF1724">
        <f>IF($AE1724="","",IF(ISNUMBER(Sync!$P1724),IF(AND(Sync!$P1724&gt;=10000101,Sync!$P1724&lt;=99991231),INT(Sync!$P1724/10000),""),IFERROR(VALUE(TRIM(LEFT(Sync!$P1724,FIND("/",Sync!$P1724)-1))),"")))</f>
        <v/>
      </c>
      <c r="AG1724">
        <f>IF(OR($AE1724="",$AF1724=""),"",IF(ISNUMBER(Sync!$P1724),INT(MOD(Sync!$P1724,10000)/100),IFERROR(VALUE(TRIM(LEFT(MID(Sync!$P1724,FIND("/",Sync!$P1724)+1,20),FIND("/",MID(Sync!$P1724,FIND("/",Sync!$P1724)+1,20))-1))),"")))</f>
        <v/>
      </c>
      <c r="AH1724">
        <f>IF(OR($AE1724="",$AF1724=""),"",IF(ISNUMBER(Sync!$P1724),MOD(Sync!$P1724,100),IFERROR(VALUE(TRIM(MID(MID(Sync!$P1724,FIND("/",Sync!$P1724)+1,20),FIND("/",MID(Sync!$P1724,FIND("/",Sync!$P1724)+1,20))+1,20))),"")))</f>
        <v/>
      </c>
      <c r="AI1724">
        <f>IF($AE1724="","",IF(OR($AF1724="",$AG1724="",$AH1724="",$AF1724&lt;1300,$AF1724&gt;1500,$AG1724&lt;1,$AG1724&gt;12,$AH1724&lt;1,$AH1724&gt;31),"نامعتبر",RIGHT("0000"&amp;$AF1724,4)&amp;"/"&amp;RIGHT("00"&amp;$AG1724,2)&amp;"/"&amp;RIGHT("00"&amp;$AH1724,2)))</f>
        <v/>
      </c>
      <c r="AJ1724">
        <f>IF($AE1724="","",IF(Sync!$Q1724="","0000",IF(AND(ISNUMBER(Sync!$Q1724),Sync!$Q1724&gt;=0,Sync!$Q1724&lt;1),RIGHT("00"&amp;HOUR(Sync!$Q1724),2)&amp;RIGHT("00"&amp;MINUTE(Sync!$Q1724),2),IFERROR(RIGHT("00"&amp;VALUE(LEFT(Sync!$Q1724,FIND(":",Sync!$Q1724)-1)),2)&amp;RIGHT("00"&amp;VALUE(MID(Sync!$Q1724,FIND(":",Sync!$Q1724)+1,2)),2),"0000"))))</f>
        <v/>
      </c>
      <c r="AK1724">
        <f>IF(OR($AE1724="",$AI1724="",$AI1724="نامعتبر"),"",LEFT($AI1724,4)&amp;MID($AI1724,6,2)&amp;RIGHT($AI1724,2)&amp;$AJ1724&amp;"|"&amp;"3"&amp;RIGHT("00000"&amp;1719,5))</f>
        <v/>
      </c>
      <c r="AL1724">
        <f>IF($AK1724="","",COUNTIFS(LdAParty,$AE1724,LdAType,1,LdAKey,"&lt;"&amp;$AK1724)+COUNTIFS(LdBMember,$AE1724,LdBKey,"&lt;"&amp;$AK1724)+COUNTIFS(LdCParty,$AE1724,LdCKey,"&lt;"&amp;$AK1724)+1)</f>
        <v/>
      </c>
      <c r="AM1724">
        <f>IF($AL1724="","",$AE1724&amp;"|"&amp;RIGHT("000000"&amp;$AL1724,6))</f>
        <v/>
      </c>
      <c r="AN1724">
        <f>IF($AE1724="","",IF(Sync!$W1724="",0,Sync!$W1724))</f>
        <v/>
      </c>
      <c r="AO1724">
        <f>IF($AE1724="","",IF(Sync!$X1724="",0,Sync!$X1724))</f>
        <v/>
      </c>
      <c r="AP1724">
        <f>IF($AE1724="","",Sync!$R1724)</f>
        <v/>
      </c>
      <c r="AQ1724">
        <f>IF($AE1724="","",Sync!$Y1724)</f>
        <v/>
      </c>
    </row>
    <row r="1725">
      <c r="A1725">
        <f>IF(OR(Wages!$B1728="",Wages!$E1728=""),"",Wages!$E1728)</f>
        <v/>
      </c>
      <c r="B1725">
        <f>IF($A1725="","",IF(Wages!$C1728="دستمزد گروهی",2,1))</f>
        <v/>
      </c>
      <c r="C1725">
        <f>IF($A1725="","",IF(ISNUMBER(Wages!$B1728),IF(AND(Wages!$B1728&gt;=10000101,Wages!$B1728&lt;=99991231),INT(Wages!$B1728/10000),""),IFERROR(VALUE(TRIM(LEFT(Wages!$B1728,FIND("/",Wages!$B1728)-1))),"")))</f>
        <v/>
      </c>
      <c r="D1725">
        <f>IF(OR($A1725="",$C1725=""),"",IF(ISNUMBER(Wages!$B1728),INT(MOD(Wages!$B1728,10000)/100),IFERROR(VALUE(TRIM(LEFT(MID(Wages!$B1728,FIND("/",Wages!$B1728)+1,20),FIND("/",MID(Wages!$B1728,FIND("/",Wages!$B1728)+1,20))-1))),"")))</f>
        <v/>
      </c>
      <c r="E1725">
        <f>IF(OR($A1725="",$C1725=""),"",IF(ISNUMBER(Wages!$B1728),MOD(Wages!$B1728,100),IFERROR(VALUE(TRIM(MID(MID(Wages!$B1728,FIND("/",Wages!$B1728)+1,20),FIND("/",MID(Wages!$B1728,FIND("/",Wages!$B1728)+1,20))+1,20))),"")))</f>
        <v/>
      </c>
      <c r="F1725">
        <f>IF($A1725="","",IF(OR($C1725="",$D1725="",$E1725="",$C1725&lt;1300,$C1725&gt;1500,$D1725&lt;1,$D1725&gt;12,$E1725&lt;1,$E1725&gt;31),"نامعتبر",RIGHT("0000"&amp;$C1725,4)&amp;"/"&amp;RIGHT("00"&amp;$D1725,2)&amp;"/"&amp;RIGHT("00"&amp;$E1725,2)))</f>
        <v/>
      </c>
      <c r="G1725">
        <f>IF(OR($A1725="",$F1725="",$F1725="نامعتبر"),"",LEFT($F1725,4)&amp;MID($F1725,6,2)&amp;RIGHT($F1725,2)&amp;"0000"&amp;"|"&amp;"1"&amp;RIGHT("00000"&amp;1720,5))</f>
        <v/>
      </c>
      <c r="H1725">
        <f>IF(OR($B1725&lt;&gt;1,$G1725=""),"",COUNTIFS(LdAParty,$A1725,LdAType,1,LdAKey,"&lt;"&amp;$G1725)+COUNTIFS(LdBMember,$A1725,LdBKey,"&lt;"&amp;$G1725)+COUNTIFS(LdCParty,$A1725,LdCKey,"&lt;"&amp;$G1725)+1)</f>
        <v/>
      </c>
      <c r="I1725">
        <f>IF($H1725="","",$A1725&amp;"|"&amp;RIGHT("000000"&amp;$H1725,6))</f>
        <v/>
      </c>
      <c r="J1725">
        <f>IF(OR($B1725&lt;&gt;2,$G1725=""),"",COUNTIFS(LdAParty,$A1725,LdAType,2,LdAKey,"&lt;"&amp;$G1725)+1)</f>
        <v/>
      </c>
      <c r="K1725">
        <f>IF($J1725="","",$A1725&amp;"|"&amp;RIGHT("000000"&amp;$J1725,6))</f>
        <v/>
      </c>
      <c r="L1725">
        <f>IF($A1725="","",IF(Wages!$G1728="",0,Wages!$G1728))</f>
        <v/>
      </c>
      <c r="M1725">
        <f>IF($A1725="","",Wages!$J1728)</f>
        <v/>
      </c>
      <c r="N1725">
        <f>IF($A1725="","",Wages!$D1728)</f>
        <v/>
      </c>
      <c r="P1725">
        <f>IF(OR(Shares!$B1728="",Shares!$C1728=""),"",Shares!$C1728)</f>
        <v/>
      </c>
      <c r="Q1725">
        <f>IF($P1725="","",Shares!$B1728)</f>
        <v/>
      </c>
      <c r="R1725">
        <f>IF($P1725="","",IFERROR(INDEX(WageParty,MATCH($Q1725,WageIds,0)),""))</f>
        <v/>
      </c>
      <c r="S1725">
        <f>IF($P1725="","",IFERROR(INDEX($F$6:$F$2005,MATCH($Q1725,WageIds,0)),""))</f>
        <v/>
      </c>
      <c r="T1725">
        <f>IF(OR($P1725="",$S1725="",$S1725="نامعتبر"),"",LEFT($S1725,4)&amp;MID($S1725,6,2)&amp;RIGHT($S1725,2)&amp;"0000"&amp;"|"&amp;"2"&amp;RIGHT("00000"&amp;1720,5))</f>
        <v/>
      </c>
      <c r="U1725">
        <f>IF($T1725="","",COUNTIFS(LdAParty,$P1725,LdAType,1,LdAKey,"&lt;"&amp;$T1725)+COUNTIFS(LdBMember,$P1725,LdBKey,"&lt;"&amp;$T1725)+COUNTIFS(LdCParty,$P1725,LdCKey,"&lt;"&amp;$T1725)+1)</f>
        <v/>
      </c>
      <c r="V1725">
        <f>IF($U1725="","",$P1725&amp;"|"&amp;RIGHT("000000"&amp;$U1725,6))</f>
        <v/>
      </c>
      <c r="W1725">
        <f>IF($T1725="","",COUNTIFS(LdBGroup,$R1725,LdBKey,"&lt;"&amp;$T1725)+1)</f>
        <v/>
      </c>
      <c r="X1725">
        <f>IF($W1725="","",$R1725&amp;"|"&amp;RIGHT("000000"&amp;$W1725,6))</f>
        <v/>
      </c>
      <c r="Y1725">
        <f>IF($P1725="","",IF(Shares!$E1728="",0,Shares!$E1728))</f>
        <v/>
      </c>
      <c r="Z1725">
        <f>IF($P1725="","",Shares!$H1728)</f>
        <v/>
      </c>
      <c r="AE1725">
        <f>IF(OR(Sync!$S1725="",Sync!$P1725=""),"",Sync!$S1725)</f>
        <v/>
      </c>
      <c r="AF1725">
        <f>IF($AE1725="","",IF(ISNUMBER(Sync!$P1725),IF(AND(Sync!$P1725&gt;=10000101,Sync!$P1725&lt;=99991231),INT(Sync!$P1725/10000),""),IFERROR(VALUE(TRIM(LEFT(Sync!$P1725,FIND("/",Sync!$P1725)-1))),"")))</f>
        <v/>
      </c>
      <c r="AG1725">
        <f>IF(OR($AE1725="",$AF1725=""),"",IF(ISNUMBER(Sync!$P1725),INT(MOD(Sync!$P1725,10000)/100),IFERROR(VALUE(TRIM(LEFT(MID(Sync!$P1725,FIND("/",Sync!$P1725)+1,20),FIND("/",MID(Sync!$P1725,FIND("/",Sync!$P1725)+1,20))-1))),"")))</f>
        <v/>
      </c>
      <c r="AH1725">
        <f>IF(OR($AE1725="",$AF1725=""),"",IF(ISNUMBER(Sync!$P1725),MOD(Sync!$P1725,100),IFERROR(VALUE(TRIM(MID(MID(Sync!$P1725,FIND("/",Sync!$P1725)+1,20),FIND("/",MID(Sync!$P1725,FIND("/",Sync!$P1725)+1,20))+1,20))),"")))</f>
        <v/>
      </c>
      <c r="AI1725">
        <f>IF($AE1725="","",IF(OR($AF1725="",$AG1725="",$AH1725="",$AF1725&lt;1300,$AF1725&gt;1500,$AG1725&lt;1,$AG1725&gt;12,$AH1725&lt;1,$AH1725&gt;31),"نامعتبر",RIGHT("0000"&amp;$AF1725,4)&amp;"/"&amp;RIGHT("00"&amp;$AG1725,2)&amp;"/"&amp;RIGHT("00"&amp;$AH1725,2)))</f>
        <v/>
      </c>
      <c r="AJ1725">
        <f>IF($AE1725="","",IF(Sync!$Q1725="","0000",IF(AND(ISNUMBER(Sync!$Q1725),Sync!$Q1725&gt;=0,Sync!$Q1725&lt;1),RIGHT("00"&amp;HOUR(Sync!$Q1725),2)&amp;RIGHT("00"&amp;MINUTE(Sync!$Q1725),2),IFERROR(RIGHT("00"&amp;VALUE(LEFT(Sync!$Q1725,FIND(":",Sync!$Q1725)-1)),2)&amp;RIGHT("00"&amp;VALUE(MID(Sync!$Q1725,FIND(":",Sync!$Q1725)+1,2)),2),"0000"))))</f>
        <v/>
      </c>
      <c r="AK1725">
        <f>IF(OR($AE1725="",$AI1725="",$AI1725="نامعتبر"),"",LEFT($AI1725,4)&amp;MID($AI1725,6,2)&amp;RIGHT($AI1725,2)&amp;$AJ1725&amp;"|"&amp;"3"&amp;RIGHT("00000"&amp;1720,5))</f>
        <v/>
      </c>
      <c r="AL1725">
        <f>IF($AK1725="","",COUNTIFS(LdAParty,$AE1725,LdAType,1,LdAKey,"&lt;"&amp;$AK1725)+COUNTIFS(LdBMember,$AE1725,LdBKey,"&lt;"&amp;$AK1725)+COUNTIFS(LdCParty,$AE1725,LdCKey,"&lt;"&amp;$AK1725)+1)</f>
        <v/>
      </c>
      <c r="AM1725">
        <f>IF($AL1725="","",$AE1725&amp;"|"&amp;RIGHT("000000"&amp;$AL1725,6))</f>
        <v/>
      </c>
      <c r="AN1725">
        <f>IF($AE1725="","",IF(Sync!$W1725="",0,Sync!$W1725))</f>
        <v/>
      </c>
      <c r="AO1725">
        <f>IF($AE1725="","",IF(Sync!$X1725="",0,Sync!$X1725))</f>
        <v/>
      </c>
      <c r="AP1725">
        <f>IF($AE1725="","",Sync!$R1725)</f>
        <v/>
      </c>
      <c r="AQ1725">
        <f>IF($AE1725="","",Sync!$Y1725)</f>
        <v/>
      </c>
    </row>
    <row r="1726">
      <c r="A1726">
        <f>IF(OR(Wages!$B1729="",Wages!$E1729=""),"",Wages!$E1729)</f>
        <v/>
      </c>
      <c r="B1726">
        <f>IF($A1726="","",IF(Wages!$C1729="دستمزد گروهی",2,1))</f>
        <v/>
      </c>
      <c r="C1726">
        <f>IF($A1726="","",IF(ISNUMBER(Wages!$B1729),IF(AND(Wages!$B1729&gt;=10000101,Wages!$B1729&lt;=99991231),INT(Wages!$B1729/10000),""),IFERROR(VALUE(TRIM(LEFT(Wages!$B1729,FIND("/",Wages!$B1729)-1))),"")))</f>
        <v/>
      </c>
      <c r="D1726">
        <f>IF(OR($A1726="",$C1726=""),"",IF(ISNUMBER(Wages!$B1729),INT(MOD(Wages!$B1729,10000)/100),IFERROR(VALUE(TRIM(LEFT(MID(Wages!$B1729,FIND("/",Wages!$B1729)+1,20),FIND("/",MID(Wages!$B1729,FIND("/",Wages!$B1729)+1,20))-1))),"")))</f>
        <v/>
      </c>
      <c r="E1726">
        <f>IF(OR($A1726="",$C1726=""),"",IF(ISNUMBER(Wages!$B1729),MOD(Wages!$B1729,100),IFERROR(VALUE(TRIM(MID(MID(Wages!$B1729,FIND("/",Wages!$B1729)+1,20),FIND("/",MID(Wages!$B1729,FIND("/",Wages!$B1729)+1,20))+1,20))),"")))</f>
        <v/>
      </c>
      <c r="F1726">
        <f>IF($A1726="","",IF(OR($C1726="",$D1726="",$E1726="",$C1726&lt;1300,$C1726&gt;1500,$D1726&lt;1,$D1726&gt;12,$E1726&lt;1,$E1726&gt;31),"نامعتبر",RIGHT("0000"&amp;$C1726,4)&amp;"/"&amp;RIGHT("00"&amp;$D1726,2)&amp;"/"&amp;RIGHT("00"&amp;$E1726,2)))</f>
        <v/>
      </c>
      <c r="G1726">
        <f>IF(OR($A1726="",$F1726="",$F1726="نامعتبر"),"",LEFT($F1726,4)&amp;MID($F1726,6,2)&amp;RIGHT($F1726,2)&amp;"0000"&amp;"|"&amp;"1"&amp;RIGHT("00000"&amp;1721,5))</f>
        <v/>
      </c>
      <c r="H1726">
        <f>IF(OR($B1726&lt;&gt;1,$G1726=""),"",COUNTIFS(LdAParty,$A1726,LdAType,1,LdAKey,"&lt;"&amp;$G1726)+COUNTIFS(LdBMember,$A1726,LdBKey,"&lt;"&amp;$G1726)+COUNTIFS(LdCParty,$A1726,LdCKey,"&lt;"&amp;$G1726)+1)</f>
        <v/>
      </c>
      <c r="I1726">
        <f>IF($H1726="","",$A1726&amp;"|"&amp;RIGHT("000000"&amp;$H1726,6))</f>
        <v/>
      </c>
      <c r="J1726">
        <f>IF(OR($B1726&lt;&gt;2,$G1726=""),"",COUNTIFS(LdAParty,$A1726,LdAType,2,LdAKey,"&lt;"&amp;$G1726)+1)</f>
        <v/>
      </c>
      <c r="K1726">
        <f>IF($J1726="","",$A1726&amp;"|"&amp;RIGHT("000000"&amp;$J1726,6))</f>
        <v/>
      </c>
      <c r="L1726">
        <f>IF($A1726="","",IF(Wages!$G1729="",0,Wages!$G1729))</f>
        <v/>
      </c>
      <c r="M1726">
        <f>IF($A1726="","",Wages!$J1729)</f>
        <v/>
      </c>
      <c r="N1726">
        <f>IF($A1726="","",Wages!$D1729)</f>
        <v/>
      </c>
      <c r="P1726">
        <f>IF(OR(Shares!$B1729="",Shares!$C1729=""),"",Shares!$C1729)</f>
        <v/>
      </c>
      <c r="Q1726">
        <f>IF($P1726="","",Shares!$B1729)</f>
        <v/>
      </c>
      <c r="R1726">
        <f>IF($P1726="","",IFERROR(INDEX(WageParty,MATCH($Q1726,WageIds,0)),""))</f>
        <v/>
      </c>
      <c r="S1726">
        <f>IF($P1726="","",IFERROR(INDEX($F$6:$F$2005,MATCH($Q1726,WageIds,0)),""))</f>
        <v/>
      </c>
      <c r="T1726">
        <f>IF(OR($P1726="",$S1726="",$S1726="نامعتبر"),"",LEFT($S1726,4)&amp;MID($S1726,6,2)&amp;RIGHT($S1726,2)&amp;"0000"&amp;"|"&amp;"2"&amp;RIGHT("00000"&amp;1721,5))</f>
        <v/>
      </c>
      <c r="U1726">
        <f>IF($T1726="","",COUNTIFS(LdAParty,$P1726,LdAType,1,LdAKey,"&lt;"&amp;$T1726)+COUNTIFS(LdBMember,$P1726,LdBKey,"&lt;"&amp;$T1726)+COUNTIFS(LdCParty,$P1726,LdCKey,"&lt;"&amp;$T1726)+1)</f>
        <v/>
      </c>
      <c r="V1726">
        <f>IF($U1726="","",$P1726&amp;"|"&amp;RIGHT("000000"&amp;$U1726,6))</f>
        <v/>
      </c>
      <c r="W1726">
        <f>IF($T1726="","",COUNTIFS(LdBGroup,$R1726,LdBKey,"&lt;"&amp;$T1726)+1)</f>
        <v/>
      </c>
      <c r="X1726">
        <f>IF($W1726="","",$R1726&amp;"|"&amp;RIGHT("000000"&amp;$W1726,6))</f>
        <v/>
      </c>
      <c r="Y1726">
        <f>IF($P1726="","",IF(Shares!$E1729="",0,Shares!$E1729))</f>
        <v/>
      </c>
      <c r="Z1726">
        <f>IF($P1726="","",Shares!$H1729)</f>
        <v/>
      </c>
      <c r="AE1726">
        <f>IF(OR(Sync!$S1726="",Sync!$P1726=""),"",Sync!$S1726)</f>
        <v/>
      </c>
      <c r="AF1726">
        <f>IF($AE1726="","",IF(ISNUMBER(Sync!$P1726),IF(AND(Sync!$P1726&gt;=10000101,Sync!$P1726&lt;=99991231),INT(Sync!$P1726/10000),""),IFERROR(VALUE(TRIM(LEFT(Sync!$P1726,FIND("/",Sync!$P1726)-1))),"")))</f>
        <v/>
      </c>
      <c r="AG1726">
        <f>IF(OR($AE1726="",$AF1726=""),"",IF(ISNUMBER(Sync!$P1726),INT(MOD(Sync!$P1726,10000)/100),IFERROR(VALUE(TRIM(LEFT(MID(Sync!$P1726,FIND("/",Sync!$P1726)+1,20),FIND("/",MID(Sync!$P1726,FIND("/",Sync!$P1726)+1,20))-1))),"")))</f>
        <v/>
      </c>
      <c r="AH1726">
        <f>IF(OR($AE1726="",$AF1726=""),"",IF(ISNUMBER(Sync!$P1726),MOD(Sync!$P1726,100),IFERROR(VALUE(TRIM(MID(MID(Sync!$P1726,FIND("/",Sync!$P1726)+1,20),FIND("/",MID(Sync!$P1726,FIND("/",Sync!$P1726)+1,20))+1,20))),"")))</f>
        <v/>
      </c>
      <c r="AI1726">
        <f>IF($AE1726="","",IF(OR($AF1726="",$AG1726="",$AH1726="",$AF1726&lt;1300,$AF1726&gt;1500,$AG1726&lt;1,$AG1726&gt;12,$AH1726&lt;1,$AH1726&gt;31),"نامعتبر",RIGHT("0000"&amp;$AF1726,4)&amp;"/"&amp;RIGHT("00"&amp;$AG1726,2)&amp;"/"&amp;RIGHT("00"&amp;$AH1726,2)))</f>
        <v/>
      </c>
      <c r="AJ1726">
        <f>IF($AE1726="","",IF(Sync!$Q1726="","0000",IF(AND(ISNUMBER(Sync!$Q1726),Sync!$Q1726&gt;=0,Sync!$Q1726&lt;1),RIGHT("00"&amp;HOUR(Sync!$Q1726),2)&amp;RIGHT("00"&amp;MINUTE(Sync!$Q1726),2),IFERROR(RIGHT("00"&amp;VALUE(LEFT(Sync!$Q1726,FIND(":",Sync!$Q1726)-1)),2)&amp;RIGHT("00"&amp;VALUE(MID(Sync!$Q1726,FIND(":",Sync!$Q1726)+1,2)),2),"0000"))))</f>
        <v/>
      </c>
      <c r="AK1726">
        <f>IF(OR($AE1726="",$AI1726="",$AI1726="نامعتبر"),"",LEFT($AI1726,4)&amp;MID($AI1726,6,2)&amp;RIGHT($AI1726,2)&amp;$AJ1726&amp;"|"&amp;"3"&amp;RIGHT("00000"&amp;1721,5))</f>
        <v/>
      </c>
      <c r="AL1726">
        <f>IF($AK1726="","",COUNTIFS(LdAParty,$AE1726,LdAType,1,LdAKey,"&lt;"&amp;$AK1726)+COUNTIFS(LdBMember,$AE1726,LdBKey,"&lt;"&amp;$AK1726)+COUNTIFS(LdCParty,$AE1726,LdCKey,"&lt;"&amp;$AK1726)+1)</f>
        <v/>
      </c>
      <c r="AM1726">
        <f>IF($AL1726="","",$AE1726&amp;"|"&amp;RIGHT("000000"&amp;$AL1726,6))</f>
        <v/>
      </c>
      <c r="AN1726">
        <f>IF($AE1726="","",IF(Sync!$W1726="",0,Sync!$W1726))</f>
        <v/>
      </c>
      <c r="AO1726">
        <f>IF($AE1726="","",IF(Sync!$X1726="",0,Sync!$X1726))</f>
        <v/>
      </c>
      <c r="AP1726">
        <f>IF($AE1726="","",Sync!$R1726)</f>
        <v/>
      </c>
      <c r="AQ1726">
        <f>IF($AE1726="","",Sync!$Y1726)</f>
        <v/>
      </c>
    </row>
    <row r="1727">
      <c r="A1727">
        <f>IF(OR(Wages!$B1730="",Wages!$E1730=""),"",Wages!$E1730)</f>
        <v/>
      </c>
      <c r="B1727">
        <f>IF($A1727="","",IF(Wages!$C1730="دستمزد گروهی",2,1))</f>
        <v/>
      </c>
      <c r="C1727">
        <f>IF($A1727="","",IF(ISNUMBER(Wages!$B1730),IF(AND(Wages!$B1730&gt;=10000101,Wages!$B1730&lt;=99991231),INT(Wages!$B1730/10000),""),IFERROR(VALUE(TRIM(LEFT(Wages!$B1730,FIND("/",Wages!$B1730)-1))),"")))</f>
        <v/>
      </c>
      <c r="D1727">
        <f>IF(OR($A1727="",$C1727=""),"",IF(ISNUMBER(Wages!$B1730),INT(MOD(Wages!$B1730,10000)/100),IFERROR(VALUE(TRIM(LEFT(MID(Wages!$B1730,FIND("/",Wages!$B1730)+1,20),FIND("/",MID(Wages!$B1730,FIND("/",Wages!$B1730)+1,20))-1))),"")))</f>
        <v/>
      </c>
      <c r="E1727">
        <f>IF(OR($A1727="",$C1727=""),"",IF(ISNUMBER(Wages!$B1730),MOD(Wages!$B1730,100),IFERROR(VALUE(TRIM(MID(MID(Wages!$B1730,FIND("/",Wages!$B1730)+1,20),FIND("/",MID(Wages!$B1730,FIND("/",Wages!$B1730)+1,20))+1,20))),"")))</f>
        <v/>
      </c>
      <c r="F1727">
        <f>IF($A1727="","",IF(OR($C1727="",$D1727="",$E1727="",$C1727&lt;1300,$C1727&gt;1500,$D1727&lt;1,$D1727&gt;12,$E1727&lt;1,$E1727&gt;31),"نامعتبر",RIGHT("0000"&amp;$C1727,4)&amp;"/"&amp;RIGHT("00"&amp;$D1727,2)&amp;"/"&amp;RIGHT("00"&amp;$E1727,2)))</f>
        <v/>
      </c>
      <c r="G1727">
        <f>IF(OR($A1727="",$F1727="",$F1727="نامعتبر"),"",LEFT($F1727,4)&amp;MID($F1727,6,2)&amp;RIGHT($F1727,2)&amp;"0000"&amp;"|"&amp;"1"&amp;RIGHT("00000"&amp;1722,5))</f>
        <v/>
      </c>
      <c r="H1727">
        <f>IF(OR($B1727&lt;&gt;1,$G1727=""),"",COUNTIFS(LdAParty,$A1727,LdAType,1,LdAKey,"&lt;"&amp;$G1727)+COUNTIFS(LdBMember,$A1727,LdBKey,"&lt;"&amp;$G1727)+COUNTIFS(LdCParty,$A1727,LdCKey,"&lt;"&amp;$G1727)+1)</f>
        <v/>
      </c>
      <c r="I1727">
        <f>IF($H1727="","",$A1727&amp;"|"&amp;RIGHT("000000"&amp;$H1727,6))</f>
        <v/>
      </c>
      <c r="J1727">
        <f>IF(OR($B1727&lt;&gt;2,$G1727=""),"",COUNTIFS(LdAParty,$A1727,LdAType,2,LdAKey,"&lt;"&amp;$G1727)+1)</f>
        <v/>
      </c>
      <c r="K1727">
        <f>IF($J1727="","",$A1727&amp;"|"&amp;RIGHT("000000"&amp;$J1727,6))</f>
        <v/>
      </c>
      <c r="L1727">
        <f>IF($A1727="","",IF(Wages!$G1730="",0,Wages!$G1730))</f>
        <v/>
      </c>
      <c r="M1727">
        <f>IF($A1727="","",Wages!$J1730)</f>
        <v/>
      </c>
      <c r="N1727">
        <f>IF($A1727="","",Wages!$D1730)</f>
        <v/>
      </c>
      <c r="P1727">
        <f>IF(OR(Shares!$B1730="",Shares!$C1730=""),"",Shares!$C1730)</f>
        <v/>
      </c>
      <c r="Q1727">
        <f>IF($P1727="","",Shares!$B1730)</f>
        <v/>
      </c>
      <c r="R1727">
        <f>IF($P1727="","",IFERROR(INDEX(WageParty,MATCH($Q1727,WageIds,0)),""))</f>
        <v/>
      </c>
      <c r="S1727">
        <f>IF($P1727="","",IFERROR(INDEX($F$6:$F$2005,MATCH($Q1727,WageIds,0)),""))</f>
        <v/>
      </c>
      <c r="T1727">
        <f>IF(OR($P1727="",$S1727="",$S1727="نامعتبر"),"",LEFT($S1727,4)&amp;MID($S1727,6,2)&amp;RIGHT($S1727,2)&amp;"0000"&amp;"|"&amp;"2"&amp;RIGHT("00000"&amp;1722,5))</f>
        <v/>
      </c>
      <c r="U1727">
        <f>IF($T1727="","",COUNTIFS(LdAParty,$P1727,LdAType,1,LdAKey,"&lt;"&amp;$T1727)+COUNTIFS(LdBMember,$P1727,LdBKey,"&lt;"&amp;$T1727)+COUNTIFS(LdCParty,$P1727,LdCKey,"&lt;"&amp;$T1727)+1)</f>
        <v/>
      </c>
      <c r="V1727">
        <f>IF($U1727="","",$P1727&amp;"|"&amp;RIGHT("000000"&amp;$U1727,6))</f>
        <v/>
      </c>
      <c r="W1727">
        <f>IF($T1727="","",COUNTIFS(LdBGroup,$R1727,LdBKey,"&lt;"&amp;$T1727)+1)</f>
        <v/>
      </c>
      <c r="X1727">
        <f>IF($W1727="","",$R1727&amp;"|"&amp;RIGHT("000000"&amp;$W1727,6))</f>
        <v/>
      </c>
      <c r="Y1727">
        <f>IF($P1727="","",IF(Shares!$E1730="",0,Shares!$E1730))</f>
        <v/>
      </c>
      <c r="Z1727">
        <f>IF($P1727="","",Shares!$H1730)</f>
        <v/>
      </c>
      <c r="AE1727">
        <f>IF(OR(Sync!$S1727="",Sync!$P1727=""),"",Sync!$S1727)</f>
        <v/>
      </c>
      <c r="AF1727">
        <f>IF($AE1727="","",IF(ISNUMBER(Sync!$P1727),IF(AND(Sync!$P1727&gt;=10000101,Sync!$P1727&lt;=99991231),INT(Sync!$P1727/10000),""),IFERROR(VALUE(TRIM(LEFT(Sync!$P1727,FIND("/",Sync!$P1727)-1))),"")))</f>
        <v/>
      </c>
      <c r="AG1727">
        <f>IF(OR($AE1727="",$AF1727=""),"",IF(ISNUMBER(Sync!$P1727),INT(MOD(Sync!$P1727,10000)/100),IFERROR(VALUE(TRIM(LEFT(MID(Sync!$P1727,FIND("/",Sync!$P1727)+1,20),FIND("/",MID(Sync!$P1727,FIND("/",Sync!$P1727)+1,20))-1))),"")))</f>
        <v/>
      </c>
      <c r="AH1727">
        <f>IF(OR($AE1727="",$AF1727=""),"",IF(ISNUMBER(Sync!$P1727),MOD(Sync!$P1727,100),IFERROR(VALUE(TRIM(MID(MID(Sync!$P1727,FIND("/",Sync!$P1727)+1,20),FIND("/",MID(Sync!$P1727,FIND("/",Sync!$P1727)+1,20))+1,20))),"")))</f>
        <v/>
      </c>
      <c r="AI1727">
        <f>IF($AE1727="","",IF(OR($AF1727="",$AG1727="",$AH1727="",$AF1727&lt;1300,$AF1727&gt;1500,$AG1727&lt;1,$AG1727&gt;12,$AH1727&lt;1,$AH1727&gt;31),"نامعتبر",RIGHT("0000"&amp;$AF1727,4)&amp;"/"&amp;RIGHT("00"&amp;$AG1727,2)&amp;"/"&amp;RIGHT("00"&amp;$AH1727,2)))</f>
        <v/>
      </c>
      <c r="AJ1727">
        <f>IF($AE1727="","",IF(Sync!$Q1727="","0000",IF(AND(ISNUMBER(Sync!$Q1727),Sync!$Q1727&gt;=0,Sync!$Q1727&lt;1),RIGHT("00"&amp;HOUR(Sync!$Q1727),2)&amp;RIGHT("00"&amp;MINUTE(Sync!$Q1727),2),IFERROR(RIGHT("00"&amp;VALUE(LEFT(Sync!$Q1727,FIND(":",Sync!$Q1727)-1)),2)&amp;RIGHT("00"&amp;VALUE(MID(Sync!$Q1727,FIND(":",Sync!$Q1727)+1,2)),2),"0000"))))</f>
        <v/>
      </c>
      <c r="AK1727">
        <f>IF(OR($AE1727="",$AI1727="",$AI1727="نامعتبر"),"",LEFT($AI1727,4)&amp;MID($AI1727,6,2)&amp;RIGHT($AI1727,2)&amp;$AJ1727&amp;"|"&amp;"3"&amp;RIGHT("00000"&amp;1722,5))</f>
        <v/>
      </c>
      <c r="AL1727">
        <f>IF($AK1727="","",COUNTIFS(LdAParty,$AE1727,LdAType,1,LdAKey,"&lt;"&amp;$AK1727)+COUNTIFS(LdBMember,$AE1727,LdBKey,"&lt;"&amp;$AK1727)+COUNTIFS(LdCParty,$AE1727,LdCKey,"&lt;"&amp;$AK1727)+1)</f>
        <v/>
      </c>
      <c r="AM1727">
        <f>IF($AL1727="","",$AE1727&amp;"|"&amp;RIGHT("000000"&amp;$AL1727,6))</f>
        <v/>
      </c>
      <c r="AN1727">
        <f>IF($AE1727="","",IF(Sync!$W1727="",0,Sync!$W1727))</f>
        <v/>
      </c>
      <c r="AO1727">
        <f>IF($AE1727="","",IF(Sync!$X1727="",0,Sync!$X1727))</f>
        <v/>
      </c>
      <c r="AP1727">
        <f>IF($AE1727="","",Sync!$R1727)</f>
        <v/>
      </c>
      <c r="AQ1727">
        <f>IF($AE1727="","",Sync!$Y1727)</f>
        <v/>
      </c>
    </row>
    <row r="1728">
      <c r="A1728">
        <f>IF(OR(Wages!$B1731="",Wages!$E1731=""),"",Wages!$E1731)</f>
        <v/>
      </c>
      <c r="B1728">
        <f>IF($A1728="","",IF(Wages!$C1731="دستمزد گروهی",2,1))</f>
        <v/>
      </c>
      <c r="C1728">
        <f>IF($A1728="","",IF(ISNUMBER(Wages!$B1731),IF(AND(Wages!$B1731&gt;=10000101,Wages!$B1731&lt;=99991231),INT(Wages!$B1731/10000),""),IFERROR(VALUE(TRIM(LEFT(Wages!$B1731,FIND("/",Wages!$B1731)-1))),"")))</f>
        <v/>
      </c>
      <c r="D1728">
        <f>IF(OR($A1728="",$C1728=""),"",IF(ISNUMBER(Wages!$B1731),INT(MOD(Wages!$B1731,10000)/100),IFERROR(VALUE(TRIM(LEFT(MID(Wages!$B1731,FIND("/",Wages!$B1731)+1,20),FIND("/",MID(Wages!$B1731,FIND("/",Wages!$B1731)+1,20))-1))),"")))</f>
        <v/>
      </c>
      <c r="E1728">
        <f>IF(OR($A1728="",$C1728=""),"",IF(ISNUMBER(Wages!$B1731),MOD(Wages!$B1731,100),IFERROR(VALUE(TRIM(MID(MID(Wages!$B1731,FIND("/",Wages!$B1731)+1,20),FIND("/",MID(Wages!$B1731,FIND("/",Wages!$B1731)+1,20))+1,20))),"")))</f>
        <v/>
      </c>
      <c r="F1728">
        <f>IF($A1728="","",IF(OR($C1728="",$D1728="",$E1728="",$C1728&lt;1300,$C1728&gt;1500,$D1728&lt;1,$D1728&gt;12,$E1728&lt;1,$E1728&gt;31),"نامعتبر",RIGHT("0000"&amp;$C1728,4)&amp;"/"&amp;RIGHT("00"&amp;$D1728,2)&amp;"/"&amp;RIGHT("00"&amp;$E1728,2)))</f>
        <v/>
      </c>
      <c r="G1728">
        <f>IF(OR($A1728="",$F1728="",$F1728="نامعتبر"),"",LEFT($F1728,4)&amp;MID($F1728,6,2)&amp;RIGHT($F1728,2)&amp;"0000"&amp;"|"&amp;"1"&amp;RIGHT("00000"&amp;1723,5))</f>
        <v/>
      </c>
      <c r="H1728">
        <f>IF(OR($B1728&lt;&gt;1,$G1728=""),"",COUNTIFS(LdAParty,$A1728,LdAType,1,LdAKey,"&lt;"&amp;$G1728)+COUNTIFS(LdBMember,$A1728,LdBKey,"&lt;"&amp;$G1728)+COUNTIFS(LdCParty,$A1728,LdCKey,"&lt;"&amp;$G1728)+1)</f>
        <v/>
      </c>
      <c r="I1728">
        <f>IF($H1728="","",$A1728&amp;"|"&amp;RIGHT("000000"&amp;$H1728,6))</f>
        <v/>
      </c>
      <c r="J1728">
        <f>IF(OR($B1728&lt;&gt;2,$G1728=""),"",COUNTIFS(LdAParty,$A1728,LdAType,2,LdAKey,"&lt;"&amp;$G1728)+1)</f>
        <v/>
      </c>
      <c r="K1728">
        <f>IF($J1728="","",$A1728&amp;"|"&amp;RIGHT("000000"&amp;$J1728,6))</f>
        <v/>
      </c>
      <c r="L1728">
        <f>IF($A1728="","",IF(Wages!$G1731="",0,Wages!$G1731))</f>
        <v/>
      </c>
      <c r="M1728">
        <f>IF($A1728="","",Wages!$J1731)</f>
        <v/>
      </c>
      <c r="N1728">
        <f>IF($A1728="","",Wages!$D1731)</f>
        <v/>
      </c>
      <c r="P1728">
        <f>IF(OR(Shares!$B1731="",Shares!$C1731=""),"",Shares!$C1731)</f>
        <v/>
      </c>
      <c r="Q1728">
        <f>IF($P1728="","",Shares!$B1731)</f>
        <v/>
      </c>
      <c r="R1728">
        <f>IF($P1728="","",IFERROR(INDEX(WageParty,MATCH($Q1728,WageIds,0)),""))</f>
        <v/>
      </c>
      <c r="S1728">
        <f>IF($P1728="","",IFERROR(INDEX($F$6:$F$2005,MATCH($Q1728,WageIds,0)),""))</f>
        <v/>
      </c>
      <c r="T1728">
        <f>IF(OR($P1728="",$S1728="",$S1728="نامعتبر"),"",LEFT($S1728,4)&amp;MID($S1728,6,2)&amp;RIGHT($S1728,2)&amp;"0000"&amp;"|"&amp;"2"&amp;RIGHT("00000"&amp;1723,5))</f>
        <v/>
      </c>
      <c r="U1728">
        <f>IF($T1728="","",COUNTIFS(LdAParty,$P1728,LdAType,1,LdAKey,"&lt;"&amp;$T1728)+COUNTIFS(LdBMember,$P1728,LdBKey,"&lt;"&amp;$T1728)+COUNTIFS(LdCParty,$P1728,LdCKey,"&lt;"&amp;$T1728)+1)</f>
        <v/>
      </c>
      <c r="V1728">
        <f>IF($U1728="","",$P1728&amp;"|"&amp;RIGHT("000000"&amp;$U1728,6))</f>
        <v/>
      </c>
      <c r="W1728">
        <f>IF($T1728="","",COUNTIFS(LdBGroup,$R1728,LdBKey,"&lt;"&amp;$T1728)+1)</f>
        <v/>
      </c>
      <c r="X1728">
        <f>IF($W1728="","",$R1728&amp;"|"&amp;RIGHT("000000"&amp;$W1728,6))</f>
        <v/>
      </c>
      <c r="Y1728">
        <f>IF($P1728="","",IF(Shares!$E1731="",0,Shares!$E1731))</f>
        <v/>
      </c>
      <c r="Z1728">
        <f>IF($P1728="","",Shares!$H1731)</f>
        <v/>
      </c>
      <c r="AE1728">
        <f>IF(OR(Sync!$S1728="",Sync!$P1728=""),"",Sync!$S1728)</f>
        <v/>
      </c>
      <c r="AF1728">
        <f>IF($AE1728="","",IF(ISNUMBER(Sync!$P1728),IF(AND(Sync!$P1728&gt;=10000101,Sync!$P1728&lt;=99991231),INT(Sync!$P1728/10000),""),IFERROR(VALUE(TRIM(LEFT(Sync!$P1728,FIND("/",Sync!$P1728)-1))),"")))</f>
        <v/>
      </c>
      <c r="AG1728">
        <f>IF(OR($AE1728="",$AF1728=""),"",IF(ISNUMBER(Sync!$P1728),INT(MOD(Sync!$P1728,10000)/100),IFERROR(VALUE(TRIM(LEFT(MID(Sync!$P1728,FIND("/",Sync!$P1728)+1,20),FIND("/",MID(Sync!$P1728,FIND("/",Sync!$P1728)+1,20))-1))),"")))</f>
        <v/>
      </c>
      <c r="AH1728">
        <f>IF(OR($AE1728="",$AF1728=""),"",IF(ISNUMBER(Sync!$P1728),MOD(Sync!$P1728,100),IFERROR(VALUE(TRIM(MID(MID(Sync!$P1728,FIND("/",Sync!$P1728)+1,20),FIND("/",MID(Sync!$P1728,FIND("/",Sync!$P1728)+1,20))+1,20))),"")))</f>
        <v/>
      </c>
      <c r="AI1728">
        <f>IF($AE1728="","",IF(OR($AF1728="",$AG1728="",$AH1728="",$AF1728&lt;1300,$AF1728&gt;1500,$AG1728&lt;1,$AG1728&gt;12,$AH1728&lt;1,$AH1728&gt;31),"نامعتبر",RIGHT("0000"&amp;$AF1728,4)&amp;"/"&amp;RIGHT("00"&amp;$AG1728,2)&amp;"/"&amp;RIGHT("00"&amp;$AH1728,2)))</f>
        <v/>
      </c>
      <c r="AJ1728">
        <f>IF($AE1728="","",IF(Sync!$Q1728="","0000",IF(AND(ISNUMBER(Sync!$Q1728),Sync!$Q1728&gt;=0,Sync!$Q1728&lt;1),RIGHT("00"&amp;HOUR(Sync!$Q1728),2)&amp;RIGHT("00"&amp;MINUTE(Sync!$Q1728),2),IFERROR(RIGHT("00"&amp;VALUE(LEFT(Sync!$Q1728,FIND(":",Sync!$Q1728)-1)),2)&amp;RIGHT("00"&amp;VALUE(MID(Sync!$Q1728,FIND(":",Sync!$Q1728)+1,2)),2),"0000"))))</f>
        <v/>
      </c>
      <c r="AK1728">
        <f>IF(OR($AE1728="",$AI1728="",$AI1728="نامعتبر"),"",LEFT($AI1728,4)&amp;MID($AI1728,6,2)&amp;RIGHT($AI1728,2)&amp;$AJ1728&amp;"|"&amp;"3"&amp;RIGHT("00000"&amp;1723,5))</f>
        <v/>
      </c>
      <c r="AL1728">
        <f>IF($AK1728="","",COUNTIFS(LdAParty,$AE1728,LdAType,1,LdAKey,"&lt;"&amp;$AK1728)+COUNTIFS(LdBMember,$AE1728,LdBKey,"&lt;"&amp;$AK1728)+COUNTIFS(LdCParty,$AE1728,LdCKey,"&lt;"&amp;$AK1728)+1)</f>
        <v/>
      </c>
      <c r="AM1728">
        <f>IF($AL1728="","",$AE1728&amp;"|"&amp;RIGHT("000000"&amp;$AL1728,6))</f>
        <v/>
      </c>
      <c r="AN1728">
        <f>IF($AE1728="","",IF(Sync!$W1728="",0,Sync!$W1728))</f>
        <v/>
      </c>
      <c r="AO1728">
        <f>IF($AE1728="","",IF(Sync!$X1728="",0,Sync!$X1728))</f>
        <v/>
      </c>
      <c r="AP1728">
        <f>IF($AE1728="","",Sync!$R1728)</f>
        <v/>
      </c>
      <c r="AQ1728">
        <f>IF($AE1728="","",Sync!$Y1728)</f>
        <v/>
      </c>
    </row>
    <row r="1729">
      <c r="A1729">
        <f>IF(OR(Wages!$B1732="",Wages!$E1732=""),"",Wages!$E1732)</f>
        <v/>
      </c>
      <c r="B1729">
        <f>IF($A1729="","",IF(Wages!$C1732="دستمزد گروهی",2,1))</f>
        <v/>
      </c>
      <c r="C1729">
        <f>IF($A1729="","",IF(ISNUMBER(Wages!$B1732),IF(AND(Wages!$B1732&gt;=10000101,Wages!$B1732&lt;=99991231),INT(Wages!$B1732/10000),""),IFERROR(VALUE(TRIM(LEFT(Wages!$B1732,FIND("/",Wages!$B1732)-1))),"")))</f>
        <v/>
      </c>
      <c r="D1729">
        <f>IF(OR($A1729="",$C1729=""),"",IF(ISNUMBER(Wages!$B1732),INT(MOD(Wages!$B1732,10000)/100),IFERROR(VALUE(TRIM(LEFT(MID(Wages!$B1732,FIND("/",Wages!$B1732)+1,20),FIND("/",MID(Wages!$B1732,FIND("/",Wages!$B1732)+1,20))-1))),"")))</f>
        <v/>
      </c>
      <c r="E1729">
        <f>IF(OR($A1729="",$C1729=""),"",IF(ISNUMBER(Wages!$B1732),MOD(Wages!$B1732,100),IFERROR(VALUE(TRIM(MID(MID(Wages!$B1732,FIND("/",Wages!$B1732)+1,20),FIND("/",MID(Wages!$B1732,FIND("/",Wages!$B1732)+1,20))+1,20))),"")))</f>
        <v/>
      </c>
      <c r="F1729">
        <f>IF($A1729="","",IF(OR($C1729="",$D1729="",$E1729="",$C1729&lt;1300,$C1729&gt;1500,$D1729&lt;1,$D1729&gt;12,$E1729&lt;1,$E1729&gt;31),"نامعتبر",RIGHT("0000"&amp;$C1729,4)&amp;"/"&amp;RIGHT("00"&amp;$D1729,2)&amp;"/"&amp;RIGHT("00"&amp;$E1729,2)))</f>
        <v/>
      </c>
      <c r="G1729">
        <f>IF(OR($A1729="",$F1729="",$F1729="نامعتبر"),"",LEFT($F1729,4)&amp;MID($F1729,6,2)&amp;RIGHT($F1729,2)&amp;"0000"&amp;"|"&amp;"1"&amp;RIGHT("00000"&amp;1724,5))</f>
        <v/>
      </c>
      <c r="H1729">
        <f>IF(OR($B1729&lt;&gt;1,$G1729=""),"",COUNTIFS(LdAParty,$A1729,LdAType,1,LdAKey,"&lt;"&amp;$G1729)+COUNTIFS(LdBMember,$A1729,LdBKey,"&lt;"&amp;$G1729)+COUNTIFS(LdCParty,$A1729,LdCKey,"&lt;"&amp;$G1729)+1)</f>
        <v/>
      </c>
      <c r="I1729">
        <f>IF($H1729="","",$A1729&amp;"|"&amp;RIGHT("000000"&amp;$H1729,6))</f>
        <v/>
      </c>
      <c r="J1729">
        <f>IF(OR($B1729&lt;&gt;2,$G1729=""),"",COUNTIFS(LdAParty,$A1729,LdAType,2,LdAKey,"&lt;"&amp;$G1729)+1)</f>
        <v/>
      </c>
      <c r="K1729">
        <f>IF($J1729="","",$A1729&amp;"|"&amp;RIGHT("000000"&amp;$J1729,6))</f>
        <v/>
      </c>
      <c r="L1729">
        <f>IF($A1729="","",IF(Wages!$G1732="",0,Wages!$G1732))</f>
        <v/>
      </c>
      <c r="M1729">
        <f>IF($A1729="","",Wages!$J1732)</f>
        <v/>
      </c>
      <c r="N1729">
        <f>IF($A1729="","",Wages!$D1732)</f>
        <v/>
      </c>
      <c r="P1729">
        <f>IF(OR(Shares!$B1732="",Shares!$C1732=""),"",Shares!$C1732)</f>
        <v/>
      </c>
      <c r="Q1729">
        <f>IF($P1729="","",Shares!$B1732)</f>
        <v/>
      </c>
      <c r="R1729">
        <f>IF($P1729="","",IFERROR(INDEX(WageParty,MATCH($Q1729,WageIds,0)),""))</f>
        <v/>
      </c>
      <c r="S1729">
        <f>IF($P1729="","",IFERROR(INDEX($F$6:$F$2005,MATCH($Q1729,WageIds,0)),""))</f>
        <v/>
      </c>
      <c r="T1729">
        <f>IF(OR($P1729="",$S1729="",$S1729="نامعتبر"),"",LEFT($S1729,4)&amp;MID($S1729,6,2)&amp;RIGHT($S1729,2)&amp;"0000"&amp;"|"&amp;"2"&amp;RIGHT("00000"&amp;1724,5))</f>
        <v/>
      </c>
      <c r="U1729">
        <f>IF($T1729="","",COUNTIFS(LdAParty,$P1729,LdAType,1,LdAKey,"&lt;"&amp;$T1729)+COUNTIFS(LdBMember,$P1729,LdBKey,"&lt;"&amp;$T1729)+COUNTIFS(LdCParty,$P1729,LdCKey,"&lt;"&amp;$T1729)+1)</f>
        <v/>
      </c>
      <c r="V1729">
        <f>IF($U1729="","",$P1729&amp;"|"&amp;RIGHT("000000"&amp;$U1729,6))</f>
        <v/>
      </c>
      <c r="W1729">
        <f>IF($T1729="","",COUNTIFS(LdBGroup,$R1729,LdBKey,"&lt;"&amp;$T1729)+1)</f>
        <v/>
      </c>
      <c r="X1729">
        <f>IF($W1729="","",$R1729&amp;"|"&amp;RIGHT("000000"&amp;$W1729,6))</f>
        <v/>
      </c>
      <c r="Y1729">
        <f>IF($P1729="","",IF(Shares!$E1732="",0,Shares!$E1732))</f>
        <v/>
      </c>
      <c r="Z1729">
        <f>IF($P1729="","",Shares!$H1732)</f>
        <v/>
      </c>
      <c r="AE1729">
        <f>IF(OR(Sync!$S1729="",Sync!$P1729=""),"",Sync!$S1729)</f>
        <v/>
      </c>
      <c r="AF1729">
        <f>IF($AE1729="","",IF(ISNUMBER(Sync!$P1729),IF(AND(Sync!$P1729&gt;=10000101,Sync!$P1729&lt;=99991231),INT(Sync!$P1729/10000),""),IFERROR(VALUE(TRIM(LEFT(Sync!$P1729,FIND("/",Sync!$P1729)-1))),"")))</f>
        <v/>
      </c>
      <c r="AG1729">
        <f>IF(OR($AE1729="",$AF1729=""),"",IF(ISNUMBER(Sync!$P1729),INT(MOD(Sync!$P1729,10000)/100),IFERROR(VALUE(TRIM(LEFT(MID(Sync!$P1729,FIND("/",Sync!$P1729)+1,20),FIND("/",MID(Sync!$P1729,FIND("/",Sync!$P1729)+1,20))-1))),"")))</f>
        <v/>
      </c>
      <c r="AH1729">
        <f>IF(OR($AE1729="",$AF1729=""),"",IF(ISNUMBER(Sync!$P1729),MOD(Sync!$P1729,100),IFERROR(VALUE(TRIM(MID(MID(Sync!$P1729,FIND("/",Sync!$P1729)+1,20),FIND("/",MID(Sync!$P1729,FIND("/",Sync!$P1729)+1,20))+1,20))),"")))</f>
        <v/>
      </c>
      <c r="AI1729">
        <f>IF($AE1729="","",IF(OR($AF1729="",$AG1729="",$AH1729="",$AF1729&lt;1300,$AF1729&gt;1500,$AG1729&lt;1,$AG1729&gt;12,$AH1729&lt;1,$AH1729&gt;31),"نامعتبر",RIGHT("0000"&amp;$AF1729,4)&amp;"/"&amp;RIGHT("00"&amp;$AG1729,2)&amp;"/"&amp;RIGHT("00"&amp;$AH1729,2)))</f>
        <v/>
      </c>
      <c r="AJ1729">
        <f>IF($AE1729="","",IF(Sync!$Q1729="","0000",IF(AND(ISNUMBER(Sync!$Q1729),Sync!$Q1729&gt;=0,Sync!$Q1729&lt;1),RIGHT("00"&amp;HOUR(Sync!$Q1729),2)&amp;RIGHT("00"&amp;MINUTE(Sync!$Q1729),2),IFERROR(RIGHT("00"&amp;VALUE(LEFT(Sync!$Q1729,FIND(":",Sync!$Q1729)-1)),2)&amp;RIGHT("00"&amp;VALUE(MID(Sync!$Q1729,FIND(":",Sync!$Q1729)+1,2)),2),"0000"))))</f>
        <v/>
      </c>
      <c r="AK1729">
        <f>IF(OR($AE1729="",$AI1729="",$AI1729="نامعتبر"),"",LEFT($AI1729,4)&amp;MID($AI1729,6,2)&amp;RIGHT($AI1729,2)&amp;$AJ1729&amp;"|"&amp;"3"&amp;RIGHT("00000"&amp;1724,5))</f>
        <v/>
      </c>
      <c r="AL1729">
        <f>IF($AK1729="","",COUNTIFS(LdAParty,$AE1729,LdAType,1,LdAKey,"&lt;"&amp;$AK1729)+COUNTIFS(LdBMember,$AE1729,LdBKey,"&lt;"&amp;$AK1729)+COUNTIFS(LdCParty,$AE1729,LdCKey,"&lt;"&amp;$AK1729)+1)</f>
        <v/>
      </c>
      <c r="AM1729">
        <f>IF($AL1729="","",$AE1729&amp;"|"&amp;RIGHT("000000"&amp;$AL1729,6))</f>
        <v/>
      </c>
      <c r="AN1729">
        <f>IF($AE1729="","",IF(Sync!$W1729="",0,Sync!$W1729))</f>
        <v/>
      </c>
      <c r="AO1729">
        <f>IF($AE1729="","",IF(Sync!$X1729="",0,Sync!$X1729))</f>
        <v/>
      </c>
      <c r="AP1729">
        <f>IF($AE1729="","",Sync!$R1729)</f>
        <v/>
      </c>
      <c r="AQ1729">
        <f>IF($AE1729="","",Sync!$Y1729)</f>
        <v/>
      </c>
    </row>
    <row r="1730">
      <c r="A1730">
        <f>IF(OR(Wages!$B1733="",Wages!$E1733=""),"",Wages!$E1733)</f>
        <v/>
      </c>
      <c r="B1730">
        <f>IF($A1730="","",IF(Wages!$C1733="دستمزد گروهی",2,1))</f>
        <v/>
      </c>
      <c r="C1730">
        <f>IF($A1730="","",IF(ISNUMBER(Wages!$B1733),IF(AND(Wages!$B1733&gt;=10000101,Wages!$B1733&lt;=99991231),INT(Wages!$B1733/10000),""),IFERROR(VALUE(TRIM(LEFT(Wages!$B1733,FIND("/",Wages!$B1733)-1))),"")))</f>
        <v/>
      </c>
      <c r="D1730">
        <f>IF(OR($A1730="",$C1730=""),"",IF(ISNUMBER(Wages!$B1733),INT(MOD(Wages!$B1733,10000)/100),IFERROR(VALUE(TRIM(LEFT(MID(Wages!$B1733,FIND("/",Wages!$B1733)+1,20),FIND("/",MID(Wages!$B1733,FIND("/",Wages!$B1733)+1,20))-1))),"")))</f>
        <v/>
      </c>
      <c r="E1730">
        <f>IF(OR($A1730="",$C1730=""),"",IF(ISNUMBER(Wages!$B1733),MOD(Wages!$B1733,100),IFERROR(VALUE(TRIM(MID(MID(Wages!$B1733,FIND("/",Wages!$B1733)+1,20),FIND("/",MID(Wages!$B1733,FIND("/",Wages!$B1733)+1,20))+1,20))),"")))</f>
        <v/>
      </c>
      <c r="F1730">
        <f>IF($A1730="","",IF(OR($C1730="",$D1730="",$E1730="",$C1730&lt;1300,$C1730&gt;1500,$D1730&lt;1,$D1730&gt;12,$E1730&lt;1,$E1730&gt;31),"نامعتبر",RIGHT("0000"&amp;$C1730,4)&amp;"/"&amp;RIGHT("00"&amp;$D1730,2)&amp;"/"&amp;RIGHT("00"&amp;$E1730,2)))</f>
        <v/>
      </c>
      <c r="G1730">
        <f>IF(OR($A1730="",$F1730="",$F1730="نامعتبر"),"",LEFT($F1730,4)&amp;MID($F1730,6,2)&amp;RIGHT($F1730,2)&amp;"0000"&amp;"|"&amp;"1"&amp;RIGHT("00000"&amp;1725,5))</f>
        <v/>
      </c>
      <c r="H1730">
        <f>IF(OR($B1730&lt;&gt;1,$G1730=""),"",COUNTIFS(LdAParty,$A1730,LdAType,1,LdAKey,"&lt;"&amp;$G1730)+COUNTIFS(LdBMember,$A1730,LdBKey,"&lt;"&amp;$G1730)+COUNTIFS(LdCParty,$A1730,LdCKey,"&lt;"&amp;$G1730)+1)</f>
        <v/>
      </c>
      <c r="I1730">
        <f>IF($H1730="","",$A1730&amp;"|"&amp;RIGHT("000000"&amp;$H1730,6))</f>
        <v/>
      </c>
      <c r="J1730">
        <f>IF(OR($B1730&lt;&gt;2,$G1730=""),"",COUNTIFS(LdAParty,$A1730,LdAType,2,LdAKey,"&lt;"&amp;$G1730)+1)</f>
        <v/>
      </c>
      <c r="K1730">
        <f>IF($J1730="","",$A1730&amp;"|"&amp;RIGHT("000000"&amp;$J1730,6))</f>
        <v/>
      </c>
      <c r="L1730">
        <f>IF($A1730="","",IF(Wages!$G1733="",0,Wages!$G1733))</f>
        <v/>
      </c>
      <c r="M1730">
        <f>IF($A1730="","",Wages!$J1733)</f>
        <v/>
      </c>
      <c r="N1730">
        <f>IF($A1730="","",Wages!$D1733)</f>
        <v/>
      </c>
      <c r="P1730">
        <f>IF(OR(Shares!$B1733="",Shares!$C1733=""),"",Shares!$C1733)</f>
        <v/>
      </c>
      <c r="Q1730">
        <f>IF($P1730="","",Shares!$B1733)</f>
        <v/>
      </c>
      <c r="R1730">
        <f>IF($P1730="","",IFERROR(INDEX(WageParty,MATCH($Q1730,WageIds,0)),""))</f>
        <v/>
      </c>
      <c r="S1730">
        <f>IF($P1730="","",IFERROR(INDEX($F$6:$F$2005,MATCH($Q1730,WageIds,0)),""))</f>
        <v/>
      </c>
      <c r="T1730">
        <f>IF(OR($P1730="",$S1730="",$S1730="نامعتبر"),"",LEFT($S1730,4)&amp;MID($S1730,6,2)&amp;RIGHT($S1730,2)&amp;"0000"&amp;"|"&amp;"2"&amp;RIGHT("00000"&amp;1725,5))</f>
        <v/>
      </c>
      <c r="U1730">
        <f>IF($T1730="","",COUNTIFS(LdAParty,$P1730,LdAType,1,LdAKey,"&lt;"&amp;$T1730)+COUNTIFS(LdBMember,$P1730,LdBKey,"&lt;"&amp;$T1730)+COUNTIFS(LdCParty,$P1730,LdCKey,"&lt;"&amp;$T1730)+1)</f>
        <v/>
      </c>
      <c r="V1730">
        <f>IF($U1730="","",$P1730&amp;"|"&amp;RIGHT("000000"&amp;$U1730,6))</f>
        <v/>
      </c>
      <c r="W1730">
        <f>IF($T1730="","",COUNTIFS(LdBGroup,$R1730,LdBKey,"&lt;"&amp;$T1730)+1)</f>
        <v/>
      </c>
      <c r="X1730">
        <f>IF($W1730="","",$R1730&amp;"|"&amp;RIGHT("000000"&amp;$W1730,6))</f>
        <v/>
      </c>
      <c r="Y1730">
        <f>IF($P1730="","",IF(Shares!$E1733="",0,Shares!$E1733))</f>
        <v/>
      </c>
      <c r="Z1730">
        <f>IF($P1730="","",Shares!$H1733)</f>
        <v/>
      </c>
      <c r="AE1730">
        <f>IF(OR(Sync!$S1730="",Sync!$P1730=""),"",Sync!$S1730)</f>
        <v/>
      </c>
      <c r="AF1730">
        <f>IF($AE1730="","",IF(ISNUMBER(Sync!$P1730),IF(AND(Sync!$P1730&gt;=10000101,Sync!$P1730&lt;=99991231),INT(Sync!$P1730/10000),""),IFERROR(VALUE(TRIM(LEFT(Sync!$P1730,FIND("/",Sync!$P1730)-1))),"")))</f>
        <v/>
      </c>
      <c r="AG1730">
        <f>IF(OR($AE1730="",$AF1730=""),"",IF(ISNUMBER(Sync!$P1730),INT(MOD(Sync!$P1730,10000)/100),IFERROR(VALUE(TRIM(LEFT(MID(Sync!$P1730,FIND("/",Sync!$P1730)+1,20),FIND("/",MID(Sync!$P1730,FIND("/",Sync!$P1730)+1,20))-1))),"")))</f>
        <v/>
      </c>
      <c r="AH1730">
        <f>IF(OR($AE1730="",$AF1730=""),"",IF(ISNUMBER(Sync!$P1730),MOD(Sync!$P1730,100),IFERROR(VALUE(TRIM(MID(MID(Sync!$P1730,FIND("/",Sync!$P1730)+1,20),FIND("/",MID(Sync!$P1730,FIND("/",Sync!$P1730)+1,20))+1,20))),"")))</f>
        <v/>
      </c>
      <c r="AI1730">
        <f>IF($AE1730="","",IF(OR($AF1730="",$AG1730="",$AH1730="",$AF1730&lt;1300,$AF1730&gt;1500,$AG1730&lt;1,$AG1730&gt;12,$AH1730&lt;1,$AH1730&gt;31),"نامعتبر",RIGHT("0000"&amp;$AF1730,4)&amp;"/"&amp;RIGHT("00"&amp;$AG1730,2)&amp;"/"&amp;RIGHT("00"&amp;$AH1730,2)))</f>
        <v/>
      </c>
      <c r="AJ1730">
        <f>IF($AE1730="","",IF(Sync!$Q1730="","0000",IF(AND(ISNUMBER(Sync!$Q1730),Sync!$Q1730&gt;=0,Sync!$Q1730&lt;1),RIGHT("00"&amp;HOUR(Sync!$Q1730),2)&amp;RIGHT("00"&amp;MINUTE(Sync!$Q1730),2),IFERROR(RIGHT("00"&amp;VALUE(LEFT(Sync!$Q1730,FIND(":",Sync!$Q1730)-1)),2)&amp;RIGHT("00"&amp;VALUE(MID(Sync!$Q1730,FIND(":",Sync!$Q1730)+1,2)),2),"0000"))))</f>
        <v/>
      </c>
      <c r="AK1730">
        <f>IF(OR($AE1730="",$AI1730="",$AI1730="نامعتبر"),"",LEFT($AI1730,4)&amp;MID($AI1730,6,2)&amp;RIGHT($AI1730,2)&amp;$AJ1730&amp;"|"&amp;"3"&amp;RIGHT("00000"&amp;1725,5))</f>
        <v/>
      </c>
      <c r="AL1730">
        <f>IF($AK1730="","",COUNTIFS(LdAParty,$AE1730,LdAType,1,LdAKey,"&lt;"&amp;$AK1730)+COUNTIFS(LdBMember,$AE1730,LdBKey,"&lt;"&amp;$AK1730)+COUNTIFS(LdCParty,$AE1730,LdCKey,"&lt;"&amp;$AK1730)+1)</f>
        <v/>
      </c>
      <c r="AM1730">
        <f>IF($AL1730="","",$AE1730&amp;"|"&amp;RIGHT("000000"&amp;$AL1730,6))</f>
        <v/>
      </c>
      <c r="AN1730">
        <f>IF($AE1730="","",IF(Sync!$W1730="",0,Sync!$W1730))</f>
        <v/>
      </c>
      <c r="AO1730">
        <f>IF($AE1730="","",IF(Sync!$X1730="",0,Sync!$X1730))</f>
        <v/>
      </c>
      <c r="AP1730">
        <f>IF($AE1730="","",Sync!$R1730)</f>
        <v/>
      </c>
      <c r="AQ1730">
        <f>IF($AE1730="","",Sync!$Y1730)</f>
        <v/>
      </c>
    </row>
    <row r="1731">
      <c r="A1731">
        <f>IF(OR(Wages!$B1734="",Wages!$E1734=""),"",Wages!$E1734)</f>
        <v/>
      </c>
      <c r="B1731">
        <f>IF($A1731="","",IF(Wages!$C1734="دستمزد گروهی",2,1))</f>
        <v/>
      </c>
      <c r="C1731">
        <f>IF($A1731="","",IF(ISNUMBER(Wages!$B1734),IF(AND(Wages!$B1734&gt;=10000101,Wages!$B1734&lt;=99991231),INT(Wages!$B1734/10000),""),IFERROR(VALUE(TRIM(LEFT(Wages!$B1734,FIND("/",Wages!$B1734)-1))),"")))</f>
        <v/>
      </c>
      <c r="D1731">
        <f>IF(OR($A1731="",$C1731=""),"",IF(ISNUMBER(Wages!$B1734),INT(MOD(Wages!$B1734,10000)/100),IFERROR(VALUE(TRIM(LEFT(MID(Wages!$B1734,FIND("/",Wages!$B1734)+1,20),FIND("/",MID(Wages!$B1734,FIND("/",Wages!$B1734)+1,20))-1))),"")))</f>
        <v/>
      </c>
      <c r="E1731">
        <f>IF(OR($A1731="",$C1731=""),"",IF(ISNUMBER(Wages!$B1734),MOD(Wages!$B1734,100),IFERROR(VALUE(TRIM(MID(MID(Wages!$B1734,FIND("/",Wages!$B1734)+1,20),FIND("/",MID(Wages!$B1734,FIND("/",Wages!$B1734)+1,20))+1,20))),"")))</f>
        <v/>
      </c>
      <c r="F1731">
        <f>IF($A1731="","",IF(OR($C1731="",$D1731="",$E1731="",$C1731&lt;1300,$C1731&gt;1500,$D1731&lt;1,$D1731&gt;12,$E1731&lt;1,$E1731&gt;31),"نامعتبر",RIGHT("0000"&amp;$C1731,4)&amp;"/"&amp;RIGHT("00"&amp;$D1731,2)&amp;"/"&amp;RIGHT("00"&amp;$E1731,2)))</f>
        <v/>
      </c>
      <c r="G1731">
        <f>IF(OR($A1731="",$F1731="",$F1731="نامعتبر"),"",LEFT($F1731,4)&amp;MID($F1731,6,2)&amp;RIGHT($F1731,2)&amp;"0000"&amp;"|"&amp;"1"&amp;RIGHT("00000"&amp;1726,5))</f>
        <v/>
      </c>
      <c r="H1731">
        <f>IF(OR($B1731&lt;&gt;1,$G1731=""),"",COUNTIFS(LdAParty,$A1731,LdAType,1,LdAKey,"&lt;"&amp;$G1731)+COUNTIFS(LdBMember,$A1731,LdBKey,"&lt;"&amp;$G1731)+COUNTIFS(LdCParty,$A1731,LdCKey,"&lt;"&amp;$G1731)+1)</f>
        <v/>
      </c>
      <c r="I1731">
        <f>IF($H1731="","",$A1731&amp;"|"&amp;RIGHT("000000"&amp;$H1731,6))</f>
        <v/>
      </c>
      <c r="J1731">
        <f>IF(OR($B1731&lt;&gt;2,$G1731=""),"",COUNTIFS(LdAParty,$A1731,LdAType,2,LdAKey,"&lt;"&amp;$G1731)+1)</f>
        <v/>
      </c>
      <c r="K1731">
        <f>IF($J1731="","",$A1731&amp;"|"&amp;RIGHT("000000"&amp;$J1731,6))</f>
        <v/>
      </c>
      <c r="L1731">
        <f>IF($A1731="","",IF(Wages!$G1734="",0,Wages!$G1734))</f>
        <v/>
      </c>
      <c r="M1731">
        <f>IF($A1731="","",Wages!$J1734)</f>
        <v/>
      </c>
      <c r="N1731">
        <f>IF($A1731="","",Wages!$D1734)</f>
        <v/>
      </c>
      <c r="P1731">
        <f>IF(OR(Shares!$B1734="",Shares!$C1734=""),"",Shares!$C1734)</f>
        <v/>
      </c>
      <c r="Q1731">
        <f>IF($P1731="","",Shares!$B1734)</f>
        <v/>
      </c>
      <c r="R1731">
        <f>IF($P1731="","",IFERROR(INDEX(WageParty,MATCH($Q1731,WageIds,0)),""))</f>
        <v/>
      </c>
      <c r="S1731">
        <f>IF($P1731="","",IFERROR(INDEX($F$6:$F$2005,MATCH($Q1731,WageIds,0)),""))</f>
        <v/>
      </c>
      <c r="T1731">
        <f>IF(OR($P1731="",$S1731="",$S1731="نامعتبر"),"",LEFT($S1731,4)&amp;MID($S1731,6,2)&amp;RIGHT($S1731,2)&amp;"0000"&amp;"|"&amp;"2"&amp;RIGHT("00000"&amp;1726,5))</f>
        <v/>
      </c>
      <c r="U1731">
        <f>IF($T1731="","",COUNTIFS(LdAParty,$P1731,LdAType,1,LdAKey,"&lt;"&amp;$T1731)+COUNTIFS(LdBMember,$P1731,LdBKey,"&lt;"&amp;$T1731)+COUNTIFS(LdCParty,$P1731,LdCKey,"&lt;"&amp;$T1731)+1)</f>
        <v/>
      </c>
      <c r="V1731">
        <f>IF($U1731="","",$P1731&amp;"|"&amp;RIGHT("000000"&amp;$U1731,6))</f>
        <v/>
      </c>
      <c r="W1731">
        <f>IF($T1731="","",COUNTIFS(LdBGroup,$R1731,LdBKey,"&lt;"&amp;$T1731)+1)</f>
        <v/>
      </c>
      <c r="X1731">
        <f>IF($W1731="","",$R1731&amp;"|"&amp;RIGHT("000000"&amp;$W1731,6))</f>
        <v/>
      </c>
      <c r="Y1731">
        <f>IF($P1731="","",IF(Shares!$E1734="",0,Shares!$E1734))</f>
        <v/>
      </c>
      <c r="Z1731">
        <f>IF($P1731="","",Shares!$H1734)</f>
        <v/>
      </c>
      <c r="AE1731">
        <f>IF(OR(Sync!$S1731="",Sync!$P1731=""),"",Sync!$S1731)</f>
        <v/>
      </c>
      <c r="AF1731">
        <f>IF($AE1731="","",IF(ISNUMBER(Sync!$P1731),IF(AND(Sync!$P1731&gt;=10000101,Sync!$P1731&lt;=99991231),INT(Sync!$P1731/10000),""),IFERROR(VALUE(TRIM(LEFT(Sync!$P1731,FIND("/",Sync!$P1731)-1))),"")))</f>
        <v/>
      </c>
      <c r="AG1731">
        <f>IF(OR($AE1731="",$AF1731=""),"",IF(ISNUMBER(Sync!$P1731),INT(MOD(Sync!$P1731,10000)/100),IFERROR(VALUE(TRIM(LEFT(MID(Sync!$P1731,FIND("/",Sync!$P1731)+1,20),FIND("/",MID(Sync!$P1731,FIND("/",Sync!$P1731)+1,20))-1))),"")))</f>
        <v/>
      </c>
      <c r="AH1731">
        <f>IF(OR($AE1731="",$AF1731=""),"",IF(ISNUMBER(Sync!$P1731),MOD(Sync!$P1731,100),IFERROR(VALUE(TRIM(MID(MID(Sync!$P1731,FIND("/",Sync!$P1731)+1,20),FIND("/",MID(Sync!$P1731,FIND("/",Sync!$P1731)+1,20))+1,20))),"")))</f>
        <v/>
      </c>
      <c r="AI1731">
        <f>IF($AE1731="","",IF(OR($AF1731="",$AG1731="",$AH1731="",$AF1731&lt;1300,$AF1731&gt;1500,$AG1731&lt;1,$AG1731&gt;12,$AH1731&lt;1,$AH1731&gt;31),"نامعتبر",RIGHT("0000"&amp;$AF1731,4)&amp;"/"&amp;RIGHT("00"&amp;$AG1731,2)&amp;"/"&amp;RIGHT("00"&amp;$AH1731,2)))</f>
        <v/>
      </c>
      <c r="AJ1731">
        <f>IF($AE1731="","",IF(Sync!$Q1731="","0000",IF(AND(ISNUMBER(Sync!$Q1731),Sync!$Q1731&gt;=0,Sync!$Q1731&lt;1),RIGHT("00"&amp;HOUR(Sync!$Q1731),2)&amp;RIGHT("00"&amp;MINUTE(Sync!$Q1731),2),IFERROR(RIGHT("00"&amp;VALUE(LEFT(Sync!$Q1731,FIND(":",Sync!$Q1731)-1)),2)&amp;RIGHT("00"&amp;VALUE(MID(Sync!$Q1731,FIND(":",Sync!$Q1731)+1,2)),2),"0000"))))</f>
        <v/>
      </c>
      <c r="AK1731">
        <f>IF(OR($AE1731="",$AI1731="",$AI1731="نامعتبر"),"",LEFT($AI1731,4)&amp;MID($AI1731,6,2)&amp;RIGHT($AI1731,2)&amp;$AJ1731&amp;"|"&amp;"3"&amp;RIGHT("00000"&amp;1726,5))</f>
        <v/>
      </c>
      <c r="AL1731">
        <f>IF($AK1731="","",COUNTIFS(LdAParty,$AE1731,LdAType,1,LdAKey,"&lt;"&amp;$AK1731)+COUNTIFS(LdBMember,$AE1731,LdBKey,"&lt;"&amp;$AK1731)+COUNTIFS(LdCParty,$AE1731,LdCKey,"&lt;"&amp;$AK1731)+1)</f>
        <v/>
      </c>
      <c r="AM1731">
        <f>IF($AL1731="","",$AE1731&amp;"|"&amp;RIGHT("000000"&amp;$AL1731,6))</f>
        <v/>
      </c>
      <c r="AN1731">
        <f>IF($AE1731="","",IF(Sync!$W1731="",0,Sync!$W1731))</f>
        <v/>
      </c>
      <c r="AO1731">
        <f>IF($AE1731="","",IF(Sync!$X1731="",0,Sync!$X1731))</f>
        <v/>
      </c>
      <c r="AP1731">
        <f>IF($AE1731="","",Sync!$R1731)</f>
        <v/>
      </c>
      <c r="AQ1731">
        <f>IF($AE1731="","",Sync!$Y1731)</f>
        <v/>
      </c>
    </row>
    <row r="1732">
      <c r="A1732">
        <f>IF(OR(Wages!$B1735="",Wages!$E1735=""),"",Wages!$E1735)</f>
        <v/>
      </c>
      <c r="B1732">
        <f>IF($A1732="","",IF(Wages!$C1735="دستمزد گروهی",2,1))</f>
        <v/>
      </c>
      <c r="C1732">
        <f>IF($A1732="","",IF(ISNUMBER(Wages!$B1735),IF(AND(Wages!$B1735&gt;=10000101,Wages!$B1735&lt;=99991231),INT(Wages!$B1735/10000),""),IFERROR(VALUE(TRIM(LEFT(Wages!$B1735,FIND("/",Wages!$B1735)-1))),"")))</f>
        <v/>
      </c>
      <c r="D1732">
        <f>IF(OR($A1732="",$C1732=""),"",IF(ISNUMBER(Wages!$B1735),INT(MOD(Wages!$B1735,10000)/100),IFERROR(VALUE(TRIM(LEFT(MID(Wages!$B1735,FIND("/",Wages!$B1735)+1,20),FIND("/",MID(Wages!$B1735,FIND("/",Wages!$B1735)+1,20))-1))),"")))</f>
        <v/>
      </c>
      <c r="E1732">
        <f>IF(OR($A1732="",$C1732=""),"",IF(ISNUMBER(Wages!$B1735),MOD(Wages!$B1735,100),IFERROR(VALUE(TRIM(MID(MID(Wages!$B1735,FIND("/",Wages!$B1735)+1,20),FIND("/",MID(Wages!$B1735,FIND("/",Wages!$B1735)+1,20))+1,20))),"")))</f>
        <v/>
      </c>
      <c r="F1732">
        <f>IF($A1732="","",IF(OR($C1732="",$D1732="",$E1732="",$C1732&lt;1300,$C1732&gt;1500,$D1732&lt;1,$D1732&gt;12,$E1732&lt;1,$E1732&gt;31),"نامعتبر",RIGHT("0000"&amp;$C1732,4)&amp;"/"&amp;RIGHT("00"&amp;$D1732,2)&amp;"/"&amp;RIGHT("00"&amp;$E1732,2)))</f>
        <v/>
      </c>
      <c r="G1732">
        <f>IF(OR($A1732="",$F1732="",$F1732="نامعتبر"),"",LEFT($F1732,4)&amp;MID($F1732,6,2)&amp;RIGHT($F1732,2)&amp;"0000"&amp;"|"&amp;"1"&amp;RIGHT("00000"&amp;1727,5))</f>
        <v/>
      </c>
      <c r="H1732">
        <f>IF(OR($B1732&lt;&gt;1,$G1732=""),"",COUNTIFS(LdAParty,$A1732,LdAType,1,LdAKey,"&lt;"&amp;$G1732)+COUNTIFS(LdBMember,$A1732,LdBKey,"&lt;"&amp;$G1732)+COUNTIFS(LdCParty,$A1732,LdCKey,"&lt;"&amp;$G1732)+1)</f>
        <v/>
      </c>
      <c r="I1732">
        <f>IF($H1732="","",$A1732&amp;"|"&amp;RIGHT("000000"&amp;$H1732,6))</f>
        <v/>
      </c>
      <c r="J1732">
        <f>IF(OR($B1732&lt;&gt;2,$G1732=""),"",COUNTIFS(LdAParty,$A1732,LdAType,2,LdAKey,"&lt;"&amp;$G1732)+1)</f>
        <v/>
      </c>
      <c r="K1732">
        <f>IF($J1732="","",$A1732&amp;"|"&amp;RIGHT("000000"&amp;$J1732,6))</f>
        <v/>
      </c>
      <c r="L1732">
        <f>IF($A1732="","",IF(Wages!$G1735="",0,Wages!$G1735))</f>
        <v/>
      </c>
      <c r="M1732">
        <f>IF($A1732="","",Wages!$J1735)</f>
        <v/>
      </c>
      <c r="N1732">
        <f>IF($A1732="","",Wages!$D1735)</f>
        <v/>
      </c>
      <c r="P1732">
        <f>IF(OR(Shares!$B1735="",Shares!$C1735=""),"",Shares!$C1735)</f>
        <v/>
      </c>
      <c r="Q1732">
        <f>IF($P1732="","",Shares!$B1735)</f>
        <v/>
      </c>
      <c r="R1732">
        <f>IF($P1732="","",IFERROR(INDEX(WageParty,MATCH($Q1732,WageIds,0)),""))</f>
        <v/>
      </c>
      <c r="S1732">
        <f>IF($P1732="","",IFERROR(INDEX($F$6:$F$2005,MATCH($Q1732,WageIds,0)),""))</f>
        <v/>
      </c>
      <c r="T1732">
        <f>IF(OR($P1732="",$S1732="",$S1732="نامعتبر"),"",LEFT($S1732,4)&amp;MID($S1732,6,2)&amp;RIGHT($S1732,2)&amp;"0000"&amp;"|"&amp;"2"&amp;RIGHT("00000"&amp;1727,5))</f>
        <v/>
      </c>
      <c r="U1732">
        <f>IF($T1732="","",COUNTIFS(LdAParty,$P1732,LdAType,1,LdAKey,"&lt;"&amp;$T1732)+COUNTIFS(LdBMember,$P1732,LdBKey,"&lt;"&amp;$T1732)+COUNTIFS(LdCParty,$P1732,LdCKey,"&lt;"&amp;$T1732)+1)</f>
        <v/>
      </c>
      <c r="V1732">
        <f>IF($U1732="","",$P1732&amp;"|"&amp;RIGHT("000000"&amp;$U1732,6))</f>
        <v/>
      </c>
      <c r="W1732">
        <f>IF($T1732="","",COUNTIFS(LdBGroup,$R1732,LdBKey,"&lt;"&amp;$T1732)+1)</f>
        <v/>
      </c>
      <c r="X1732">
        <f>IF($W1732="","",$R1732&amp;"|"&amp;RIGHT("000000"&amp;$W1732,6))</f>
        <v/>
      </c>
      <c r="Y1732">
        <f>IF($P1732="","",IF(Shares!$E1735="",0,Shares!$E1735))</f>
        <v/>
      </c>
      <c r="Z1732">
        <f>IF($P1732="","",Shares!$H1735)</f>
        <v/>
      </c>
      <c r="AE1732">
        <f>IF(OR(Sync!$S1732="",Sync!$P1732=""),"",Sync!$S1732)</f>
        <v/>
      </c>
      <c r="AF1732">
        <f>IF($AE1732="","",IF(ISNUMBER(Sync!$P1732),IF(AND(Sync!$P1732&gt;=10000101,Sync!$P1732&lt;=99991231),INT(Sync!$P1732/10000),""),IFERROR(VALUE(TRIM(LEFT(Sync!$P1732,FIND("/",Sync!$P1732)-1))),"")))</f>
        <v/>
      </c>
      <c r="AG1732">
        <f>IF(OR($AE1732="",$AF1732=""),"",IF(ISNUMBER(Sync!$P1732),INT(MOD(Sync!$P1732,10000)/100),IFERROR(VALUE(TRIM(LEFT(MID(Sync!$P1732,FIND("/",Sync!$P1732)+1,20),FIND("/",MID(Sync!$P1732,FIND("/",Sync!$P1732)+1,20))-1))),"")))</f>
        <v/>
      </c>
      <c r="AH1732">
        <f>IF(OR($AE1732="",$AF1732=""),"",IF(ISNUMBER(Sync!$P1732),MOD(Sync!$P1732,100),IFERROR(VALUE(TRIM(MID(MID(Sync!$P1732,FIND("/",Sync!$P1732)+1,20),FIND("/",MID(Sync!$P1732,FIND("/",Sync!$P1732)+1,20))+1,20))),"")))</f>
        <v/>
      </c>
      <c r="AI1732">
        <f>IF($AE1732="","",IF(OR($AF1732="",$AG1732="",$AH1732="",$AF1732&lt;1300,$AF1732&gt;1500,$AG1732&lt;1,$AG1732&gt;12,$AH1732&lt;1,$AH1732&gt;31),"نامعتبر",RIGHT("0000"&amp;$AF1732,4)&amp;"/"&amp;RIGHT("00"&amp;$AG1732,2)&amp;"/"&amp;RIGHT("00"&amp;$AH1732,2)))</f>
        <v/>
      </c>
      <c r="AJ1732">
        <f>IF($AE1732="","",IF(Sync!$Q1732="","0000",IF(AND(ISNUMBER(Sync!$Q1732),Sync!$Q1732&gt;=0,Sync!$Q1732&lt;1),RIGHT("00"&amp;HOUR(Sync!$Q1732),2)&amp;RIGHT("00"&amp;MINUTE(Sync!$Q1732),2),IFERROR(RIGHT("00"&amp;VALUE(LEFT(Sync!$Q1732,FIND(":",Sync!$Q1732)-1)),2)&amp;RIGHT("00"&amp;VALUE(MID(Sync!$Q1732,FIND(":",Sync!$Q1732)+1,2)),2),"0000"))))</f>
        <v/>
      </c>
      <c r="AK1732">
        <f>IF(OR($AE1732="",$AI1732="",$AI1732="نامعتبر"),"",LEFT($AI1732,4)&amp;MID($AI1732,6,2)&amp;RIGHT($AI1732,2)&amp;$AJ1732&amp;"|"&amp;"3"&amp;RIGHT("00000"&amp;1727,5))</f>
        <v/>
      </c>
      <c r="AL1732">
        <f>IF($AK1732="","",COUNTIFS(LdAParty,$AE1732,LdAType,1,LdAKey,"&lt;"&amp;$AK1732)+COUNTIFS(LdBMember,$AE1732,LdBKey,"&lt;"&amp;$AK1732)+COUNTIFS(LdCParty,$AE1732,LdCKey,"&lt;"&amp;$AK1732)+1)</f>
        <v/>
      </c>
      <c r="AM1732">
        <f>IF($AL1732="","",$AE1732&amp;"|"&amp;RIGHT("000000"&amp;$AL1732,6))</f>
        <v/>
      </c>
      <c r="AN1732">
        <f>IF($AE1732="","",IF(Sync!$W1732="",0,Sync!$W1732))</f>
        <v/>
      </c>
      <c r="AO1732">
        <f>IF($AE1732="","",IF(Sync!$X1732="",0,Sync!$X1732))</f>
        <v/>
      </c>
      <c r="AP1732">
        <f>IF($AE1732="","",Sync!$R1732)</f>
        <v/>
      </c>
      <c r="AQ1732">
        <f>IF($AE1732="","",Sync!$Y1732)</f>
        <v/>
      </c>
    </row>
    <row r="1733">
      <c r="A1733">
        <f>IF(OR(Wages!$B1736="",Wages!$E1736=""),"",Wages!$E1736)</f>
        <v/>
      </c>
      <c r="B1733">
        <f>IF($A1733="","",IF(Wages!$C1736="دستمزد گروهی",2,1))</f>
        <v/>
      </c>
      <c r="C1733">
        <f>IF($A1733="","",IF(ISNUMBER(Wages!$B1736),IF(AND(Wages!$B1736&gt;=10000101,Wages!$B1736&lt;=99991231),INT(Wages!$B1736/10000),""),IFERROR(VALUE(TRIM(LEFT(Wages!$B1736,FIND("/",Wages!$B1736)-1))),"")))</f>
        <v/>
      </c>
      <c r="D1733">
        <f>IF(OR($A1733="",$C1733=""),"",IF(ISNUMBER(Wages!$B1736),INT(MOD(Wages!$B1736,10000)/100),IFERROR(VALUE(TRIM(LEFT(MID(Wages!$B1736,FIND("/",Wages!$B1736)+1,20),FIND("/",MID(Wages!$B1736,FIND("/",Wages!$B1736)+1,20))-1))),"")))</f>
        <v/>
      </c>
      <c r="E1733">
        <f>IF(OR($A1733="",$C1733=""),"",IF(ISNUMBER(Wages!$B1736),MOD(Wages!$B1736,100),IFERROR(VALUE(TRIM(MID(MID(Wages!$B1736,FIND("/",Wages!$B1736)+1,20),FIND("/",MID(Wages!$B1736,FIND("/",Wages!$B1736)+1,20))+1,20))),"")))</f>
        <v/>
      </c>
      <c r="F1733">
        <f>IF($A1733="","",IF(OR($C1733="",$D1733="",$E1733="",$C1733&lt;1300,$C1733&gt;1500,$D1733&lt;1,$D1733&gt;12,$E1733&lt;1,$E1733&gt;31),"نامعتبر",RIGHT("0000"&amp;$C1733,4)&amp;"/"&amp;RIGHT("00"&amp;$D1733,2)&amp;"/"&amp;RIGHT("00"&amp;$E1733,2)))</f>
        <v/>
      </c>
      <c r="G1733">
        <f>IF(OR($A1733="",$F1733="",$F1733="نامعتبر"),"",LEFT($F1733,4)&amp;MID($F1733,6,2)&amp;RIGHT($F1733,2)&amp;"0000"&amp;"|"&amp;"1"&amp;RIGHT("00000"&amp;1728,5))</f>
        <v/>
      </c>
      <c r="H1733">
        <f>IF(OR($B1733&lt;&gt;1,$G1733=""),"",COUNTIFS(LdAParty,$A1733,LdAType,1,LdAKey,"&lt;"&amp;$G1733)+COUNTIFS(LdBMember,$A1733,LdBKey,"&lt;"&amp;$G1733)+COUNTIFS(LdCParty,$A1733,LdCKey,"&lt;"&amp;$G1733)+1)</f>
        <v/>
      </c>
      <c r="I1733">
        <f>IF($H1733="","",$A1733&amp;"|"&amp;RIGHT("000000"&amp;$H1733,6))</f>
        <v/>
      </c>
      <c r="J1733">
        <f>IF(OR($B1733&lt;&gt;2,$G1733=""),"",COUNTIFS(LdAParty,$A1733,LdAType,2,LdAKey,"&lt;"&amp;$G1733)+1)</f>
        <v/>
      </c>
      <c r="K1733">
        <f>IF($J1733="","",$A1733&amp;"|"&amp;RIGHT("000000"&amp;$J1733,6))</f>
        <v/>
      </c>
      <c r="L1733">
        <f>IF($A1733="","",IF(Wages!$G1736="",0,Wages!$G1736))</f>
        <v/>
      </c>
      <c r="M1733">
        <f>IF($A1733="","",Wages!$J1736)</f>
        <v/>
      </c>
      <c r="N1733">
        <f>IF($A1733="","",Wages!$D1736)</f>
        <v/>
      </c>
      <c r="P1733">
        <f>IF(OR(Shares!$B1736="",Shares!$C1736=""),"",Shares!$C1736)</f>
        <v/>
      </c>
      <c r="Q1733">
        <f>IF($P1733="","",Shares!$B1736)</f>
        <v/>
      </c>
      <c r="R1733">
        <f>IF($P1733="","",IFERROR(INDEX(WageParty,MATCH($Q1733,WageIds,0)),""))</f>
        <v/>
      </c>
      <c r="S1733">
        <f>IF($P1733="","",IFERROR(INDEX($F$6:$F$2005,MATCH($Q1733,WageIds,0)),""))</f>
        <v/>
      </c>
      <c r="T1733">
        <f>IF(OR($P1733="",$S1733="",$S1733="نامعتبر"),"",LEFT($S1733,4)&amp;MID($S1733,6,2)&amp;RIGHT($S1733,2)&amp;"0000"&amp;"|"&amp;"2"&amp;RIGHT("00000"&amp;1728,5))</f>
        <v/>
      </c>
      <c r="U1733">
        <f>IF($T1733="","",COUNTIFS(LdAParty,$P1733,LdAType,1,LdAKey,"&lt;"&amp;$T1733)+COUNTIFS(LdBMember,$P1733,LdBKey,"&lt;"&amp;$T1733)+COUNTIFS(LdCParty,$P1733,LdCKey,"&lt;"&amp;$T1733)+1)</f>
        <v/>
      </c>
      <c r="V1733">
        <f>IF($U1733="","",$P1733&amp;"|"&amp;RIGHT("000000"&amp;$U1733,6))</f>
        <v/>
      </c>
      <c r="W1733">
        <f>IF($T1733="","",COUNTIFS(LdBGroup,$R1733,LdBKey,"&lt;"&amp;$T1733)+1)</f>
        <v/>
      </c>
      <c r="X1733">
        <f>IF($W1733="","",$R1733&amp;"|"&amp;RIGHT("000000"&amp;$W1733,6))</f>
        <v/>
      </c>
      <c r="Y1733">
        <f>IF($P1733="","",IF(Shares!$E1736="",0,Shares!$E1736))</f>
        <v/>
      </c>
      <c r="Z1733">
        <f>IF($P1733="","",Shares!$H1736)</f>
        <v/>
      </c>
      <c r="AE1733">
        <f>IF(OR(Sync!$S1733="",Sync!$P1733=""),"",Sync!$S1733)</f>
        <v/>
      </c>
      <c r="AF1733">
        <f>IF($AE1733="","",IF(ISNUMBER(Sync!$P1733),IF(AND(Sync!$P1733&gt;=10000101,Sync!$P1733&lt;=99991231),INT(Sync!$P1733/10000),""),IFERROR(VALUE(TRIM(LEFT(Sync!$P1733,FIND("/",Sync!$P1733)-1))),"")))</f>
        <v/>
      </c>
      <c r="AG1733">
        <f>IF(OR($AE1733="",$AF1733=""),"",IF(ISNUMBER(Sync!$P1733),INT(MOD(Sync!$P1733,10000)/100),IFERROR(VALUE(TRIM(LEFT(MID(Sync!$P1733,FIND("/",Sync!$P1733)+1,20),FIND("/",MID(Sync!$P1733,FIND("/",Sync!$P1733)+1,20))-1))),"")))</f>
        <v/>
      </c>
      <c r="AH1733">
        <f>IF(OR($AE1733="",$AF1733=""),"",IF(ISNUMBER(Sync!$P1733),MOD(Sync!$P1733,100),IFERROR(VALUE(TRIM(MID(MID(Sync!$P1733,FIND("/",Sync!$P1733)+1,20),FIND("/",MID(Sync!$P1733,FIND("/",Sync!$P1733)+1,20))+1,20))),"")))</f>
        <v/>
      </c>
      <c r="AI1733">
        <f>IF($AE1733="","",IF(OR($AF1733="",$AG1733="",$AH1733="",$AF1733&lt;1300,$AF1733&gt;1500,$AG1733&lt;1,$AG1733&gt;12,$AH1733&lt;1,$AH1733&gt;31),"نامعتبر",RIGHT("0000"&amp;$AF1733,4)&amp;"/"&amp;RIGHT("00"&amp;$AG1733,2)&amp;"/"&amp;RIGHT("00"&amp;$AH1733,2)))</f>
        <v/>
      </c>
      <c r="AJ1733">
        <f>IF($AE1733="","",IF(Sync!$Q1733="","0000",IF(AND(ISNUMBER(Sync!$Q1733),Sync!$Q1733&gt;=0,Sync!$Q1733&lt;1),RIGHT("00"&amp;HOUR(Sync!$Q1733),2)&amp;RIGHT("00"&amp;MINUTE(Sync!$Q1733),2),IFERROR(RIGHT("00"&amp;VALUE(LEFT(Sync!$Q1733,FIND(":",Sync!$Q1733)-1)),2)&amp;RIGHT("00"&amp;VALUE(MID(Sync!$Q1733,FIND(":",Sync!$Q1733)+1,2)),2),"0000"))))</f>
        <v/>
      </c>
      <c r="AK1733">
        <f>IF(OR($AE1733="",$AI1733="",$AI1733="نامعتبر"),"",LEFT($AI1733,4)&amp;MID($AI1733,6,2)&amp;RIGHT($AI1733,2)&amp;$AJ1733&amp;"|"&amp;"3"&amp;RIGHT("00000"&amp;1728,5))</f>
        <v/>
      </c>
      <c r="AL1733">
        <f>IF($AK1733="","",COUNTIFS(LdAParty,$AE1733,LdAType,1,LdAKey,"&lt;"&amp;$AK1733)+COUNTIFS(LdBMember,$AE1733,LdBKey,"&lt;"&amp;$AK1733)+COUNTIFS(LdCParty,$AE1733,LdCKey,"&lt;"&amp;$AK1733)+1)</f>
        <v/>
      </c>
      <c r="AM1733">
        <f>IF($AL1733="","",$AE1733&amp;"|"&amp;RIGHT("000000"&amp;$AL1733,6))</f>
        <v/>
      </c>
      <c r="AN1733">
        <f>IF($AE1733="","",IF(Sync!$W1733="",0,Sync!$W1733))</f>
        <v/>
      </c>
      <c r="AO1733">
        <f>IF($AE1733="","",IF(Sync!$X1733="",0,Sync!$X1733))</f>
        <v/>
      </c>
      <c r="AP1733">
        <f>IF($AE1733="","",Sync!$R1733)</f>
        <v/>
      </c>
      <c r="AQ1733">
        <f>IF($AE1733="","",Sync!$Y1733)</f>
        <v/>
      </c>
    </row>
    <row r="1734">
      <c r="A1734">
        <f>IF(OR(Wages!$B1737="",Wages!$E1737=""),"",Wages!$E1737)</f>
        <v/>
      </c>
      <c r="B1734">
        <f>IF($A1734="","",IF(Wages!$C1737="دستمزد گروهی",2,1))</f>
        <v/>
      </c>
      <c r="C1734">
        <f>IF($A1734="","",IF(ISNUMBER(Wages!$B1737),IF(AND(Wages!$B1737&gt;=10000101,Wages!$B1737&lt;=99991231),INT(Wages!$B1737/10000),""),IFERROR(VALUE(TRIM(LEFT(Wages!$B1737,FIND("/",Wages!$B1737)-1))),"")))</f>
        <v/>
      </c>
      <c r="D1734">
        <f>IF(OR($A1734="",$C1734=""),"",IF(ISNUMBER(Wages!$B1737),INT(MOD(Wages!$B1737,10000)/100),IFERROR(VALUE(TRIM(LEFT(MID(Wages!$B1737,FIND("/",Wages!$B1737)+1,20),FIND("/",MID(Wages!$B1737,FIND("/",Wages!$B1737)+1,20))-1))),"")))</f>
        <v/>
      </c>
      <c r="E1734">
        <f>IF(OR($A1734="",$C1734=""),"",IF(ISNUMBER(Wages!$B1737),MOD(Wages!$B1737,100),IFERROR(VALUE(TRIM(MID(MID(Wages!$B1737,FIND("/",Wages!$B1737)+1,20),FIND("/",MID(Wages!$B1737,FIND("/",Wages!$B1737)+1,20))+1,20))),"")))</f>
        <v/>
      </c>
      <c r="F1734">
        <f>IF($A1734="","",IF(OR($C1734="",$D1734="",$E1734="",$C1734&lt;1300,$C1734&gt;1500,$D1734&lt;1,$D1734&gt;12,$E1734&lt;1,$E1734&gt;31),"نامعتبر",RIGHT("0000"&amp;$C1734,4)&amp;"/"&amp;RIGHT("00"&amp;$D1734,2)&amp;"/"&amp;RIGHT("00"&amp;$E1734,2)))</f>
        <v/>
      </c>
      <c r="G1734">
        <f>IF(OR($A1734="",$F1734="",$F1734="نامعتبر"),"",LEFT($F1734,4)&amp;MID($F1734,6,2)&amp;RIGHT($F1734,2)&amp;"0000"&amp;"|"&amp;"1"&amp;RIGHT("00000"&amp;1729,5))</f>
        <v/>
      </c>
      <c r="H1734">
        <f>IF(OR($B1734&lt;&gt;1,$G1734=""),"",COUNTIFS(LdAParty,$A1734,LdAType,1,LdAKey,"&lt;"&amp;$G1734)+COUNTIFS(LdBMember,$A1734,LdBKey,"&lt;"&amp;$G1734)+COUNTIFS(LdCParty,$A1734,LdCKey,"&lt;"&amp;$G1734)+1)</f>
        <v/>
      </c>
      <c r="I1734">
        <f>IF($H1734="","",$A1734&amp;"|"&amp;RIGHT("000000"&amp;$H1734,6))</f>
        <v/>
      </c>
      <c r="J1734">
        <f>IF(OR($B1734&lt;&gt;2,$G1734=""),"",COUNTIFS(LdAParty,$A1734,LdAType,2,LdAKey,"&lt;"&amp;$G1734)+1)</f>
        <v/>
      </c>
      <c r="K1734">
        <f>IF($J1734="","",$A1734&amp;"|"&amp;RIGHT("000000"&amp;$J1734,6))</f>
        <v/>
      </c>
      <c r="L1734">
        <f>IF($A1734="","",IF(Wages!$G1737="",0,Wages!$G1737))</f>
        <v/>
      </c>
      <c r="M1734">
        <f>IF($A1734="","",Wages!$J1737)</f>
        <v/>
      </c>
      <c r="N1734">
        <f>IF($A1734="","",Wages!$D1737)</f>
        <v/>
      </c>
      <c r="P1734">
        <f>IF(OR(Shares!$B1737="",Shares!$C1737=""),"",Shares!$C1737)</f>
        <v/>
      </c>
      <c r="Q1734">
        <f>IF($P1734="","",Shares!$B1737)</f>
        <v/>
      </c>
      <c r="R1734">
        <f>IF($P1734="","",IFERROR(INDEX(WageParty,MATCH($Q1734,WageIds,0)),""))</f>
        <v/>
      </c>
      <c r="S1734">
        <f>IF($P1734="","",IFERROR(INDEX($F$6:$F$2005,MATCH($Q1734,WageIds,0)),""))</f>
        <v/>
      </c>
      <c r="T1734">
        <f>IF(OR($P1734="",$S1734="",$S1734="نامعتبر"),"",LEFT($S1734,4)&amp;MID($S1734,6,2)&amp;RIGHT($S1734,2)&amp;"0000"&amp;"|"&amp;"2"&amp;RIGHT("00000"&amp;1729,5))</f>
        <v/>
      </c>
      <c r="U1734">
        <f>IF($T1734="","",COUNTIFS(LdAParty,$P1734,LdAType,1,LdAKey,"&lt;"&amp;$T1734)+COUNTIFS(LdBMember,$P1734,LdBKey,"&lt;"&amp;$T1734)+COUNTIFS(LdCParty,$P1734,LdCKey,"&lt;"&amp;$T1734)+1)</f>
        <v/>
      </c>
      <c r="V1734">
        <f>IF($U1734="","",$P1734&amp;"|"&amp;RIGHT("000000"&amp;$U1734,6))</f>
        <v/>
      </c>
      <c r="W1734">
        <f>IF($T1734="","",COUNTIFS(LdBGroup,$R1734,LdBKey,"&lt;"&amp;$T1734)+1)</f>
        <v/>
      </c>
      <c r="X1734">
        <f>IF($W1734="","",$R1734&amp;"|"&amp;RIGHT("000000"&amp;$W1734,6))</f>
        <v/>
      </c>
      <c r="Y1734">
        <f>IF($P1734="","",IF(Shares!$E1737="",0,Shares!$E1737))</f>
        <v/>
      </c>
      <c r="Z1734">
        <f>IF($P1734="","",Shares!$H1737)</f>
        <v/>
      </c>
      <c r="AE1734">
        <f>IF(OR(Sync!$S1734="",Sync!$P1734=""),"",Sync!$S1734)</f>
        <v/>
      </c>
      <c r="AF1734">
        <f>IF($AE1734="","",IF(ISNUMBER(Sync!$P1734),IF(AND(Sync!$P1734&gt;=10000101,Sync!$P1734&lt;=99991231),INT(Sync!$P1734/10000),""),IFERROR(VALUE(TRIM(LEFT(Sync!$P1734,FIND("/",Sync!$P1734)-1))),"")))</f>
        <v/>
      </c>
      <c r="AG1734">
        <f>IF(OR($AE1734="",$AF1734=""),"",IF(ISNUMBER(Sync!$P1734),INT(MOD(Sync!$P1734,10000)/100),IFERROR(VALUE(TRIM(LEFT(MID(Sync!$P1734,FIND("/",Sync!$P1734)+1,20),FIND("/",MID(Sync!$P1734,FIND("/",Sync!$P1734)+1,20))-1))),"")))</f>
        <v/>
      </c>
      <c r="AH1734">
        <f>IF(OR($AE1734="",$AF1734=""),"",IF(ISNUMBER(Sync!$P1734),MOD(Sync!$P1734,100),IFERROR(VALUE(TRIM(MID(MID(Sync!$P1734,FIND("/",Sync!$P1734)+1,20),FIND("/",MID(Sync!$P1734,FIND("/",Sync!$P1734)+1,20))+1,20))),"")))</f>
        <v/>
      </c>
      <c r="AI1734">
        <f>IF($AE1734="","",IF(OR($AF1734="",$AG1734="",$AH1734="",$AF1734&lt;1300,$AF1734&gt;1500,$AG1734&lt;1,$AG1734&gt;12,$AH1734&lt;1,$AH1734&gt;31),"نامعتبر",RIGHT("0000"&amp;$AF1734,4)&amp;"/"&amp;RIGHT("00"&amp;$AG1734,2)&amp;"/"&amp;RIGHT("00"&amp;$AH1734,2)))</f>
        <v/>
      </c>
      <c r="AJ1734">
        <f>IF($AE1734="","",IF(Sync!$Q1734="","0000",IF(AND(ISNUMBER(Sync!$Q1734),Sync!$Q1734&gt;=0,Sync!$Q1734&lt;1),RIGHT("00"&amp;HOUR(Sync!$Q1734),2)&amp;RIGHT("00"&amp;MINUTE(Sync!$Q1734),2),IFERROR(RIGHT("00"&amp;VALUE(LEFT(Sync!$Q1734,FIND(":",Sync!$Q1734)-1)),2)&amp;RIGHT("00"&amp;VALUE(MID(Sync!$Q1734,FIND(":",Sync!$Q1734)+1,2)),2),"0000"))))</f>
        <v/>
      </c>
      <c r="AK1734">
        <f>IF(OR($AE1734="",$AI1734="",$AI1734="نامعتبر"),"",LEFT($AI1734,4)&amp;MID($AI1734,6,2)&amp;RIGHT($AI1734,2)&amp;$AJ1734&amp;"|"&amp;"3"&amp;RIGHT("00000"&amp;1729,5))</f>
        <v/>
      </c>
      <c r="AL1734">
        <f>IF($AK1734="","",COUNTIFS(LdAParty,$AE1734,LdAType,1,LdAKey,"&lt;"&amp;$AK1734)+COUNTIFS(LdBMember,$AE1734,LdBKey,"&lt;"&amp;$AK1734)+COUNTIFS(LdCParty,$AE1734,LdCKey,"&lt;"&amp;$AK1734)+1)</f>
        <v/>
      </c>
      <c r="AM1734">
        <f>IF($AL1734="","",$AE1734&amp;"|"&amp;RIGHT("000000"&amp;$AL1734,6))</f>
        <v/>
      </c>
      <c r="AN1734">
        <f>IF($AE1734="","",IF(Sync!$W1734="",0,Sync!$W1734))</f>
        <v/>
      </c>
      <c r="AO1734">
        <f>IF($AE1734="","",IF(Sync!$X1734="",0,Sync!$X1734))</f>
        <v/>
      </c>
      <c r="AP1734">
        <f>IF($AE1734="","",Sync!$R1734)</f>
        <v/>
      </c>
      <c r="AQ1734">
        <f>IF($AE1734="","",Sync!$Y1734)</f>
        <v/>
      </c>
    </row>
    <row r="1735">
      <c r="A1735">
        <f>IF(OR(Wages!$B1738="",Wages!$E1738=""),"",Wages!$E1738)</f>
        <v/>
      </c>
      <c r="B1735">
        <f>IF($A1735="","",IF(Wages!$C1738="دستمزد گروهی",2,1))</f>
        <v/>
      </c>
      <c r="C1735">
        <f>IF($A1735="","",IF(ISNUMBER(Wages!$B1738),IF(AND(Wages!$B1738&gt;=10000101,Wages!$B1738&lt;=99991231),INT(Wages!$B1738/10000),""),IFERROR(VALUE(TRIM(LEFT(Wages!$B1738,FIND("/",Wages!$B1738)-1))),"")))</f>
        <v/>
      </c>
      <c r="D1735">
        <f>IF(OR($A1735="",$C1735=""),"",IF(ISNUMBER(Wages!$B1738),INT(MOD(Wages!$B1738,10000)/100),IFERROR(VALUE(TRIM(LEFT(MID(Wages!$B1738,FIND("/",Wages!$B1738)+1,20),FIND("/",MID(Wages!$B1738,FIND("/",Wages!$B1738)+1,20))-1))),"")))</f>
        <v/>
      </c>
      <c r="E1735">
        <f>IF(OR($A1735="",$C1735=""),"",IF(ISNUMBER(Wages!$B1738),MOD(Wages!$B1738,100),IFERROR(VALUE(TRIM(MID(MID(Wages!$B1738,FIND("/",Wages!$B1738)+1,20),FIND("/",MID(Wages!$B1738,FIND("/",Wages!$B1738)+1,20))+1,20))),"")))</f>
        <v/>
      </c>
      <c r="F1735">
        <f>IF($A1735="","",IF(OR($C1735="",$D1735="",$E1735="",$C1735&lt;1300,$C1735&gt;1500,$D1735&lt;1,$D1735&gt;12,$E1735&lt;1,$E1735&gt;31),"نامعتبر",RIGHT("0000"&amp;$C1735,4)&amp;"/"&amp;RIGHT("00"&amp;$D1735,2)&amp;"/"&amp;RIGHT("00"&amp;$E1735,2)))</f>
        <v/>
      </c>
      <c r="G1735">
        <f>IF(OR($A1735="",$F1735="",$F1735="نامعتبر"),"",LEFT($F1735,4)&amp;MID($F1735,6,2)&amp;RIGHT($F1735,2)&amp;"0000"&amp;"|"&amp;"1"&amp;RIGHT("00000"&amp;1730,5))</f>
        <v/>
      </c>
      <c r="H1735">
        <f>IF(OR($B1735&lt;&gt;1,$G1735=""),"",COUNTIFS(LdAParty,$A1735,LdAType,1,LdAKey,"&lt;"&amp;$G1735)+COUNTIFS(LdBMember,$A1735,LdBKey,"&lt;"&amp;$G1735)+COUNTIFS(LdCParty,$A1735,LdCKey,"&lt;"&amp;$G1735)+1)</f>
        <v/>
      </c>
      <c r="I1735">
        <f>IF($H1735="","",$A1735&amp;"|"&amp;RIGHT("000000"&amp;$H1735,6))</f>
        <v/>
      </c>
      <c r="J1735">
        <f>IF(OR($B1735&lt;&gt;2,$G1735=""),"",COUNTIFS(LdAParty,$A1735,LdAType,2,LdAKey,"&lt;"&amp;$G1735)+1)</f>
        <v/>
      </c>
      <c r="K1735">
        <f>IF($J1735="","",$A1735&amp;"|"&amp;RIGHT("000000"&amp;$J1735,6))</f>
        <v/>
      </c>
      <c r="L1735">
        <f>IF($A1735="","",IF(Wages!$G1738="",0,Wages!$G1738))</f>
        <v/>
      </c>
      <c r="M1735">
        <f>IF($A1735="","",Wages!$J1738)</f>
        <v/>
      </c>
      <c r="N1735">
        <f>IF($A1735="","",Wages!$D1738)</f>
        <v/>
      </c>
      <c r="P1735">
        <f>IF(OR(Shares!$B1738="",Shares!$C1738=""),"",Shares!$C1738)</f>
        <v/>
      </c>
      <c r="Q1735">
        <f>IF($P1735="","",Shares!$B1738)</f>
        <v/>
      </c>
      <c r="R1735">
        <f>IF($P1735="","",IFERROR(INDEX(WageParty,MATCH($Q1735,WageIds,0)),""))</f>
        <v/>
      </c>
      <c r="S1735">
        <f>IF($P1735="","",IFERROR(INDEX($F$6:$F$2005,MATCH($Q1735,WageIds,0)),""))</f>
        <v/>
      </c>
      <c r="T1735">
        <f>IF(OR($P1735="",$S1735="",$S1735="نامعتبر"),"",LEFT($S1735,4)&amp;MID($S1735,6,2)&amp;RIGHT($S1735,2)&amp;"0000"&amp;"|"&amp;"2"&amp;RIGHT("00000"&amp;1730,5))</f>
        <v/>
      </c>
      <c r="U1735">
        <f>IF($T1735="","",COUNTIFS(LdAParty,$P1735,LdAType,1,LdAKey,"&lt;"&amp;$T1735)+COUNTIFS(LdBMember,$P1735,LdBKey,"&lt;"&amp;$T1735)+COUNTIFS(LdCParty,$P1735,LdCKey,"&lt;"&amp;$T1735)+1)</f>
        <v/>
      </c>
      <c r="V1735">
        <f>IF($U1735="","",$P1735&amp;"|"&amp;RIGHT("000000"&amp;$U1735,6))</f>
        <v/>
      </c>
      <c r="W1735">
        <f>IF($T1735="","",COUNTIFS(LdBGroup,$R1735,LdBKey,"&lt;"&amp;$T1735)+1)</f>
        <v/>
      </c>
      <c r="X1735">
        <f>IF($W1735="","",$R1735&amp;"|"&amp;RIGHT("000000"&amp;$W1735,6))</f>
        <v/>
      </c>
      <c r="Y1735">
        <f>IF($P1735="","",IF(Shares!$E1738="",0,Shares!$E1738))</f>
        <v/>
      </c>
      <c r="Z1735">
        <f>IF($P1735="","",Shares!$H1738)</f>
        <v/>
      </c>
      <c r="AE1735">
        <f>IF(OR(Sync!$S1735="",Sync!$P1735=""),"",Sync!$S1735)</f>
        <v/>
      </c>
      <c r="AF1735">
        <f>IF($AE1735="","",IF(ISNUMBER(Sync!$P1735),IF(AND(Sync!$P1735&gt;=10000101,Sync!$P1735&lt;=99991231),INT(Sync!$P1735/10000),""),IFERROR(VALUE(TRIM(LEFT(Sync!$P1735,FIND("/",Sync!$P1735)-1))),"")))</f>
        <v/>
      </c>
      <c r="AG1735">
        <f>IF(OR($AE1735="",$AF1735=""),"",IF(ISNUMBER(Sync!$P1735),INT(MOD(Sync!$P1735,10000)/100),IFERROR(VALUE(TRIM(LEFT(MID(Sync!$P1735,FIND("/",Sync!$P1735)+1,20),FIND("/",MID(Sync!$P1735,FIND("/",Sync!$P1735)+1,20))-1))),"")))</f>
        <v/>
      </c>
      <c r="AH1735">
        <f>IF(OR($AE1735="",$AF1735=""),"",IF(ISNUMBER(Sync!$P1735),MOD(Sync!$P1735,100),IFERROR(VALUE(TRIM(MID(MID(Sync!$P1735,FIND("/",Sync!$P1735)+1,20),FIND("/",MID(Sync!$P1735,FIND("/",Sync!$P1735)+1,20))+1,20))),"")))</f>
        <v/>
      </c>
      <c r="AI1735">
        <f>IF($AE1735="","",IF(OR($AF1735="",$AG1735="",$AH1735="",$AF1735&lt;1300,$AF1735&gt;1500,$AG1735&lt;1,$AG1735&gt;12,$AH1735&lt;1,$AH1735&gt;31),"نامعتبر",RIGHT("0000"&amp;$AF1735,4)&amp;"/"&amp;RIGHT("00"&amp;$AG1735,2)&amp;"/"&amp;RIGHT("00"&amp;$AH1735,2)))</f>
        <v/>
      </c>
      <c r="AJ1735">
        <f>IF($AE1735="","",IF(Sync!$Q1735="","0000",IF(AND(ISNUMBER(Sync!$Q1735),Sync!$Q1735&gt;=0,Sync!$Q1735&lt;1),RIGHT("00"&amp;HOUR(Sync!$Q1735),2)&amp;RIGHT("00"&amp;MINUTE(Sync!$Q1735),2),IFERROR(RIGHT("00"&amp;VALUE(LEFT(Sync!$Q1735,FIND(":",Sync!$Q1735)-1)),2)&amp;RIGHT("00"&amp;VALUE(MID(Sync!$Q1735,FIND(":",Sync!$Q1735)+1,2)),2),"0000"))))</f>
        <v/>
      </c>
      <c r="AK1735">
        <f>IF(OR($AE1735="",$AI1735="",$AI1735="نامعتبر"),"",LEFT($AI1735,4)&amp;MID($AI1735,6,2)&amp;RIGHT($AI1735,2)&amp;$AJ1735&amp;"|"&amp;"3"&amp;RIGHT("00000"&amp;1730,5))</f>
        <v/>
      </c>
      <c r="AL1735">
        <f>IF($AK1735="","",COUNTIFS(LdAParty,$AE1735,LdAType,1,LdAKey,"&lt;"&amp;$AK1735)+COUNTIFS(LdBMember,$AE1735,LdBKey,"&lt;"&amp;$AK1735)+COUNTIFS(LdCParty,$AE1735,LdCKey,"&lt;"&amp;$AK1735)+1)</f>
        <v/>
      </c>
      <c r="AM1735">
        <f>IF($AL1735="","",$AE1735&amp;"|"&amp;RIGHT("000000"&amp;$AL1735,6))</f>
        <v/>
      </c>
      <c r="AN1735">
        <f>IF($AE1735="","",IF(Sync!$W1735="",0,Sync!$W1735))</f>
        <v/>
      </c>
      <c r="AO1735">
        <f>IF($AE1735="","",IF(Sync!$X1735="",0,Sync!$X1735))</f>
        <v/>
      </c>
      <c r="AP1735">
        <f>IF($AE1735="","",Sync!$R1735)</f>
        <v/>
      </c>
      <c r="AQ1735">
        <f>IF($AE1735="","",Sync!$Y1735)</f>
        <v/>
      </c>
    </row>
    <row r="1736">
      <c r="A1736">
        <f>IF(OR(Wages!$B1739="",Wages!$E1739=""),"",Wages!$E1739)</f>
        <v/>
      </c>
      <c r="B1736">
        <f>IF($A1736="","",IF(Wages!$C1739="دستمزد گروهی",2,1))</f>
        <v/>
      </c>
      <c r="C1736">
        <f>IF($A1736="","",IF(ISNUMBER(Wages!$B1739),IF(AND(Wages!$B1739&gt;=10000101,Wages!$B1739&lt;=99991231),INT(Wages!$B1739/10000),""),IFERROR(VALUE(TRIM(LEFT(Wages!$B1739,FIND("/",Wages!$B1739)-1))),"")))</f>
        <v/>
      </c>
      <c r="D1736">
        <f>IF(OR($A1736="",$C1736=""),"",IF(ISNUMBER(Wages!$B1739),INT(MOD(Wages!$B1739,10000)/100),IFERROR(VALUE(TRIM(LEFT(MID(Wages!$B1739,FIND("/",Wages!$B1739)+1,20),FIND("/",MID(Wages!$B1739,FIND("/",Wages!$B1739)+1,20))-1))),"")))</f>
        <v/>
      </c>
      <c r="E1736">
        <f>IF(OR($A1736="",$C1736=""),"",IF(ISNUMBER(Wages!$B1739),MOD(Wages!$B1739,100),IFERROR(VALUE(TRIM(MID(MID(Wages!$B1739,FIND("/",Wages!$B1739)+1,20),FIND("/",MID(Wages!$B1739,FIND("/",Wages!$B1739)+1,20))+1,20))),"")))</f>
        <v/>
      </c>
      <c r="F1736">
        <f>IF($A1736="","",IF(OR($C1736="",$D1736="",$E1736="",$C1736&lt;1300,$C1736&gt;1500,$D1736&lt;1,$D1736&gt;12,$E1736&lt;1,$E1736&gt;31),"نامعتبر",RIGHT("0000"&amp;$C1736,4)&amp;"/"&amp;RIGHT("00"&amp;$D1736,2)&amp;"/"&amp;RIGHT("00"&amp;$E1736,2)))</f>
        <v/>
      </c>
      <c r="G1736">
        <f>IF(OR($A1736="",$F1736="",$F1736="نامعتبر"),"",LEFT($F1736,4)&amp;MID($F1736,6,2)&amp;RIGHT($F1736,2)&amp;"0000"&amp;"|"&amp;"1"&amp;RIGHT("00000"&amp;1731,5))</f>
        <v/>
      </c>
      <c r="H1736">
        <f>IF(OR($B1736&lt;&gt;1,$G1736=""),"",COUNTIFS(LdAParty,$A1736,LdAType,1,LdAKey,"&lt;"&amp;$G1736)+COUNTIFS(LdBMember,$A1736,LdBKey,"&lt;"&amp;$G1736)+COUNTIFS(LdCParty,$A1736,LdCKey,"&lt;"&amp;$G1736)+1)</f>
        <v/>
      </c>
      <c r="I1736">
        <f>IF($H1736="","",$A1736&amp;"|"&amp;RIGHT("000000"&amp;$H1736,6))</f>
        <v/>
      </c>
      <c r="J1736">
        <f>IF(OR($B1736&lt;&gt;2,$G1736=""),"",COUNTIFS(LdAParty,$A1736,LdAType,2,LdAKey,"&lt;"&amp;$G1736)+1)</f>
        <v/>
      </c>
      <c r="K1736">
        <f>IF($J1736="","",$A1736&amp;"|"&amp;RIGHT("000000"&amp;$J1736,6))</f>
        <v/>
      </c>
      <c r="L1736">
        <f>IF($A1736="","",IF(Wages!$G1739="",0,Wages!$G1739))</f>
        <v/>
      </c>
      <c r="M1736">
        <f>IF($A1736="","",Wages!$J1739)</f>
        <v/>
      </c>
      <c r="N1736">
        <f>IF($A1736="","",Wages!$D1739)</f>
        <v/>
      </c>
      <c r="P1736">
        <f>IF(OR(Shares!$B1739="",Shares!$C1739=""),"",Shares!$C1739)</f>
        <v/>
      </c>
      <c r="Q1736">
        <f>IF($P1736="","",Shares!$B1739)</f>
        <v/>
      </c>
      <c r="R1736">
        <f>IF($P1736="","",IFERROR(INDEX(WageParty,MATCH($Q1736,WageIds,0)),""))</f>
        <v/>
      </c>
      <c r="S1736">
        <f>IF($P1736="","",IFERROR(INDEX($F$6:$F$2005,MATCH($Q1736,WageIds,0)),""))</f>
        <v/>
      </c>
      <c r="T1736">
        <f>IF(OR($P1736="",$S1736="",$S1736="نامعتبر"),"",LEFT($S1736,4)&amp;MID($S1736,6,2)&amp;RIGHT($S1736,2)&amp;"0000"&amp;"|"&amp;"2"&amp;RIGHT("00000"&amp;1731,5))</f>
        <v/>
      </c>
      <c r="U1736">
        <f>IF($T1736="","",COUNTIFS(LdAParty,$P1736,LdAType,1,LdAKey,"&lt;"&amp;$T1736)+COUNTIFS(LdBMember,$P1736,LdBKey,"&lt;"&amp;$T1736)+COUNTIFS(LdCParty,$P1736,LdCKey,"&lt;"&amp;$T1736)+1)</f>
        <v/>
      </c>
      <c r="V1736">
        <f>IF($U1736="","",$P1736&amp;"|"&amp;RIGHT("000000"&amp;$U1736,6))</f>
        <v/>
      </c>
      <c r="W1736">
        <f>IF($T1736="","",COUNTIFS(LdBGroup,$R1736,LdBKey,"&lt;"&amp;$T1736)+1)</f>
        <v/>
      </c>
      <c r="X1736">
        <f>IF($W1736="","",$R1736&amp;"|"&amp;RIGHT("000000"&amp;$W1736,6))</f>
        <v/>
      </c>
      <c r="Y1736">
        <f>IF($P1736="","",IF(Shares!$E1739="",0,Shares!$E1739))</f>
        <v/>
      </c>
      <c r="Z1736">
        <f>IF($P1736="","",Shares!$H1739)</f>
        <v/>
      </c>
      <c r="AE1736">
        <f>IF(OR(Sync!$S1736="",Sync!$P1736=""),"",Sync!$S1736)</f>
        <v/>
      </c>
      <c r="AF1736">
        <f>IF($AE1736="","",IF(ISNUMBER(Sync!$P1736),IF(AND(Sync!$P1736&gt;=10000101,Sync!$P1736&lt;=99991231),INT(Sync!$P1736/10000),""),IFERROR(VALUE(TRIM(LEFT(Sync!$P1736,FIND("/",Sync!$P1736)-1))),"")))</f>
        <v/>
      </c>
      <c r="AG1736">
        <f>IF(OR($AE1736="",$AF1736=""),"",IF(ISNUMBER(Sync!$P1736),INT(MOD(Sync!$P1736,10000)/100),IFERROR(VALUE(TRIM(LEFT(MID(Sync!$P1736,FIND("/",Sync!$P1736)+1,20),FIND("/",MID(Sync!$P1736,FIND("/",Sync!$P1736)+1,20))-1))),"")))</f>
        <v/>
      </c>
      <c r="AH1736">
        <f>IF(OR($AE1736="",$AF1736=""),"",IF(ISNUMBER(Sync!$P1736),MOD(Sync!$P1736,100),IFERROR(VALUE(TRIM(MID(MID(Sync!$P1736,FIND("/",Sync!$P1736)+1,20),FIND("/",MID(Sync!$P1736,FIND("/",Sync!$P1736)+1,20))+1,20))),"")))</f>
        <v/>
      </c>
      <c r="AI1736">
        <f>IF($AE1736="","",IF(OR($AF1736="",$AG1736="",$AH1736="",$AF1736&lt;1300,$AF1736&gt;1500,$AG1736&lt;1,$AG1736&gt;12,$AH1736&lt;1,$AH1736&gt;31),"نامعتبر",RIGHT("0000"&amp;$AF1736,4)&amp;"/"&amp;RIGHT("00"&amp;$AG1736,2)&amp;"/"&amp;RIGHT("00"&amp;$AH1736,2)))</f>
        <v/>
      </c>
      <c r="AJ1736">
        <f>IF($AE1736="","",IF(Sync!$Q1736="","0000",IF(AND(ISNUMBER(Sync!$Q1736),Sync!$Q1736&gt;=0,Sync!$Q1736&lt;1),RIGHT("00"&amp;HOUR(Sync!$Q1736),2)&amp;RIGHT("00"&amp;MINUTE(Sync!$Q1736),2),IFERROR(RIGHT("00"&amp;VALUE(LEFT(Sync!$Q1736,FIND(":",Sync!$Q1736)-1)),2)&amp;RIGHT("00"&amp;VALUE(MID(Sync!$Q1736,FIND(":",Sync!$Q1736)+1,2)),2),"0000"))))</f>
        <v/>
      </c>
      <c r="AK1736">
        <f>IF(OR($AE1736="",$AI1736="",$AI1736="نامعتبر"),"",LEFT($AI1736,4)&amp;MID($AI1736,6,2)&amp;RIGHT($AI1736,2)&amp;$AJ1736&amp;"|"&amp;"3"&amp;RIGHT("00000"&amp;1731,5))</f>
        <v/>
      </c>
      <c r="AL1736">
        <f>IF($AK1736="","",COUNTIFS(LdAParty,$AE1736,LdAType,1,LdAKey,"&lt;"&amp;$AK1736)+COUNTIFS(LdBMember,$AE1736,LdBKey,"&lt;"&amp;$AK1736)+COUNTIFS(LdCParty,$AE1736,LdCKey,"&lt;"&amp;$AK1736)+1)</f>
        <v/>
      </c>
      <c r="AM1736">
        <f>IF($AL1736="","",$AE1736&amp;"|"&amp;RIGHT("000000"&amp;$AL1736,6))</f>
        <v/>
      </c>
      <c r="AN1736">
        <f>IF($AE1736="","",IF(Sync!$W1736="",0,Sync!$W1736))</f>
        <v/>
      </c>
      <c r="AO1736">
        <f>IF($AE1736="","",IF(Sync!$X1736="",0,Sync!$X1736))</f>
        <v/>
      </c>
      <c r="AP1736">
        <f>IF($AE1736="","",Sync!$R1736)</f>
        <v/>
      </c>
      <c r="AQ1736">
        <f>IF($AE1736="","",Sync!$Y1736)</f>
        <v/>
      </c>
    </row>
    <row r="1737">
      <c r="A1737">
        <f>IF(OR(Wages!$B1740="",Wages!$E1740=""),"",Wages!$E1740)</f>
        <v/>
      </c>
      <c r="B1737">
        <f>IF($A1737="","",IF(Wages!$C1740="دستمزد گروهی",2,1))</f>
        <v/>
      </c>
      <c r="C1737">
        <f>IF($A1737="","",IF(ISNUMBER(Wages!$B1740),IF(AND(Wages!$B1740&gt;=10000101,Wages!$B1740&lt;=99991231),INT(Wages!$B1740/10000),""),IFERROR(VALUE(TRIM(LEFT(Wages!$B1740,FIND("/",Wages!$B1740)-1))),"")))</f>
        <v/>
      </c>
      <c r="D1737">
        <f>IF(OR($A1737="",$C1737=""),"",IF(ISNUMBER(Wages!$B1740),INT(MOD(Wages!$B1740,10000)/100),IFERROR(VALUE(TRIM(LEFT(MID(Wages!$B1740,FIND("/",Wages!$B1740)+1,20),FIND("/",MID(Wages!$B1740,FIND("/",Wages!$B1740)+1,20))-1))),"")))</f>
        <v/>
      </c>
      <c r="E1737">
        <f>IF(OR($A1737="",$C1737=""),"",IF(ISNUMBER(Wages!$B1740),MOD(Wages!$B1740,100),IFERROR(VALUE(TRIM(MID(MID(Wages!$B1740,FIND("/",Wages!$B1740)+1,20),FIND("/",MID(Wages!$B1740,FIND("/",Wages!$B1740)+1,20))+1,20))),"")))</f>
        <v/>
      </c>
      <c r="F1737">
        <f>IF($A1737="","",IF(OR($C1737="",$D1737="",$E1737="",$C1737&lt;1300,$C1737&gt;1500,$D1737&lt;1,$D1737&gt;12,$E1737&lt;1,$E1737&gt;31),"نامعتبر",RIGHT("0000"&amp;$C1737,4)&amp;"/"&amp;RIGHT("00"&amp;$D1737,2)&amp;"/"&amp;RIGHT("00"&amp;$E1737,2)))</f>
        <v/>
      </c>
      <c r="G1737">
        <f>IF(OR($A1737="",$F1737="",$F1737="نامعتبر"),"",LEFT($F1737,4)&amp;MID($F1737,6,2)&amp;RIGHT($F1737,2)&amp;"0000"&amp;"|"&amp;"1"&amp;RIGHT("00000"&amp;1732,5))</f>
        <v/>
      </c>
      <c r="H1737">
        <f>IF(OR($B1737&lt;&gt;1,$G1737=""),"",COUNTIFS(LdAParty,$A1737,LdAType,1,LdAKey,"&lt;"&amp;$G1737)+COUNTIFS(LdBMember,$A1737,LdBKey,"&lt;"&amp;$G1737)+COUNTIFS(LdCParty,$A1737,LdCKey,"&lt;"&amp;$G1737)+1)</f>
        <v/>
      </c>
      <c r="I1737">
        <f>IF($H1737="","",$A1737&amp;"|"&amp;RIGHT("000000"&amp;$H1737,6))</f>
        <v/>
      </c>
      <c r="J1737">
        <f>IF(OR($B1737&lt;&gt;2,$G1737=""),"",COUNTIFS(LdAParty,$A1737,LdAType,2,LdAKey,"&lt;"&amp;$G1737)+1)</f>
        <v/>
      </c>
      <c r="K1737">
        <f>IF($J1737="","",$A1737&amp;"|"&amp;RIGHT("000000"&amp;$J1737,6))</f>
        <v/>
      </c>
      <c r="L1737">
        <f>IF($A1737="","",IF(Wages!$G1740="",0,Wages!$G1740))</f>
        <v/>
      </c>
      <c r="M1737">
        <f>IF($A1737="","",Wages!$J1740)</f>
        <v/>
      </c>
      <c r="N1737">
        <f>IF($A1737="","",Wages!$D1740)</f>
        <v/>
      </c>
      <c r="P1737">
        <f>IF(OR(Shares!$B1740="",Shares!$C1740=""),"",Shares!$C1740)</f>
        <v/>
      </c>
      <c r="Q1737">
        <f>IF($P1737="","",Shares!$B1740)</f>
        <v/>
      </c>
      <c r="R1737">
        <f>IF($P1737="","",IFERROR(INDEX(WageParty,MATCH($Q1737,WageIds,0)),""))</f>
        <v/>
      </c>
      <c r="S1737">
        <f>IF($P1737="","",IFERROR(INDEX($F$6:$F$2005,MATCH($Q1737,WageIds,0)),""))</f>
        <v/>
      </c>
      <c r="T1737">
        <f>IF(OR($P1737="",$S1737="",$S1737="نامعتبر"),"",LEFT($S1737,4)&amp;MID($S1737,6,2)&amp;RIGHT($S1737,2)&amp;"0000"&amp;"|"&amp;"2"&amp;RIGHT("00000"&amp;1732,5))</f>
        <v/>
      </c>
      <c r="U1737">
        <f>IF($T1737="","",COUNTIFS(LdAParty,$P1737,LdAType,1,LdAKey,"&lt;"&amp;$T1737)+COUNTIFS(LdBMember,$P1737,LdBKey,"&lt;"&amp;$T1737)+COUNTIFS(LdCParty,$P1737,LdCKey,"&lt;"&amp;$T1737)+1)</f>
        <v/>
      </c>
      <c r="V1737">
        <f>IF($U1737="","",$P1737&amp;"|"&amp;RIGHT("000000"&amp;$U1737,6))</f>
        <v/>
      </c>
      <c r="W1737">
        <f>IF($T1737="","",COUNTIFS(LdBGroup,$R1737,LdBKey,"&lt;"&amp;$T1737)+1)</f>
        <v/>
      </c>
      <c r="X1737">
        <f>IF($W1737="","",$R1737&amp;"|"&amp;RIGHT("000000"&amp;$W1737,6))</f>
        <v/>
      </c>
      <c r="Y1737">
        <f>IF($P1737="","",IF(Shares!$E1740="",0,Shares!$E1740))</f>
        <v/>
      </c>
      <c r="Z1737">
        <f>IF($P1737="","",Shares!$H1740)</f>
        <v/>
      </c>
      <c r="AE1737">
        <f>IF(OR(Sync!$S1737="",Sync!$P1737=""),"",Sync!$S1737)</f>
        <v/>
      </c>
      <c r="AF1737">
        <f>IF($AE1737="","",IF(ISNUMBER(Sync!$P1737),IF(AND(Sync!$P1737&gt;=10000101,Sync!$P1737&lt;=99991231),INT(Sync!$P1737/10000),""),IFERROR(VALUE(TRIM(LEFT(Sync!$P1737,FIND("/",Sync!$P1737)-1))),"")))</f>
        <v/>
      </c>
      <c r="AG1737">
        <f>IF(OR($AE1737="",$AF1737=""),"",IF(ISNUMBER(Sync!$P1737),INT(MOD(Sync!$P1737,10000)/100),IFERROR(VALUE(TRIM(LEFT(MID(Sync!$P1737,FIND("/",Sync!$P1737)+1,20),FIND("/",MID(Sync!$P1737,FIND("/",Sync!$P1737)+1,20))-1))),"")))</f>
        <v/>
      </c>
      <c r="AH1737">
        <f>IF(OR($AE1737="",$AF1737=""),"",IF(ISNUMBER(Sync!$P1737),MOD(Sync!$P1737,100),IFERROR(VALUE(TRIM(MID(MID(Sync!$P1737,FIND("/",Sync!$P1737)+1,20),FIND("/",MID(Sync!$P1737,FIND("/",Sync!$P1737)+1,20))+1,20))),"")))</f>
        <v/>
      </c>
      <c r="AI1737">
        <f>IF($AE1737="","",IF(OR($AF1737="",$AG1737="",$AH1737="",$AF1737&lt;1300,$AF1737&gt;1500,$AG1737&lt;1,$AG1737&gt;12,$AH1737&lt;1,$AH1737&gt;31),"نامعتبر",RIGHT("0000"&amp;$AF1737,4)&amp;"/"&amp;RIGHT("00"&amp;$AG1737,2)&amp;"/"&amp;RIGHT("00"&amp;$AH1737,2)))</f>
        <v/>
      </c>
      <c r="AJ1737">
        <f>IF($AE1737="","",IF(Sync!$Q1737="","0000",IF(AND(ISNUMBER(Sync!$Q1737),Sync!$Q1737&gt;=0,Sync!$Q1737&lt;1),RIGHT("00"&amp;HOUR(Sync!$Q1737),2)&amp;RIGHT("00"&amp;MINUTE(Sync!$Q1737),2),IFERROR(RIGHT("00"&amp;VALUE(LEFT(Sync!$Q1737,FIND(":",Sync!$Q1737)-1)),2)&amp;RIGHT("00"&amp;VALUE(MID(Sync!$Q1737,FIND(":",Sync!$Q1737)+1,2)),2),"0000"))))</f>
        <v/>
      </c>
      <c r="AK1737">
        <f>IF(OR($AE1737="",$AI1737="",$AI1737="نامعتبر"),"",LEFT($AI1737,4)&amp;MID($AI1737,6,2)&amp;RIGHT($AI1737,2)&amp;$AJ1737&amp;"|"&amp;"3"&amp;RIGHT("00000"&amp;1732,5))</f>
        <v/>
      </c>
      <c r="AL1737">
        <f>IF($AK1737="","",COUNTIFS(LdAParty,$AE1737,LdAType,1,LdAKey,"&lt;"&amp;$AK1737)+COUNTIFS(LdBMember,$AE1737,LdBKey,"&lt;"&amp;$AK1737)+COUNTIFS(LdCParty,$AE1737,LdCKey,"&lt;"&amp;$AK1737)+1)</f>
        <v/>
      </c>
      <c r="AM1737">
        <f>IF($AL1737="","",$AE1737&amp;"|"&amp;RIGHT("000000"&amp;$AL1737,6))</f>
        <v/>
      </c>
      <c r="AN1737">
        <f>IF($AE1737="","",IF(Sync!$W1737="",0,Sync!$W1737))</f>
        <v/>
      </c>
      <c r="AO1737">
        <f>IF($AE1737="","",IF(Sync!$X1737="",0,Sync!$X1737))</f>
        <v/>
      </c>
      <c r="AP1737">
        <f>IF($AE1737="","",Sync!$R1737)</f>
        <v/>
      </c>
      <c r="AQ1737">
        <f>IF($AE1737="","",Sync!$Y1737)</f>
        <v/>
      </c>
    </row>
    <row r="1738">
      <c r="A1738">
        <f>IF(OR(Wages!$B1741="",Wages!$E1741=""),"",Wages!$E1741)</f>
        <v/>
      </c>
      <c r="B1738">
        <f>IF($A1738="","",IF(Wages!$C1741="دستمزد گروهی",2,1))</f>
        <v/>
      </c>
      <c r="C1738">
        <f>IF($A1738="","",IF(ISNUMBER(Wages!$B1741),IF(AND(Wages!$B1741&gt;=10000101,Wages!$B1741&lt;=99991231),INT(Wages!$B1741/10000),""),IFERROR(VALUE(TRIM(LEFT(Wages!$B1741,FIND("/",Wages!$B1741)-1))),"")))</f>
        <v/>
      </c>
      <c r="D1738">
        <f>IF(OR($A1738="",$C1738=""),"",IF(ISNUMBER(Wages!$B1741),INT(MOD(Wages!$B1741,10000)/100),IFERROR(VALUE(TRIM(LEFT(MID(Wages!$B1741,FIND("/",Wages!$B1741)+1,20),FIND("/",MID(Wages!$B1741,FIND("/",Wages!$B1741)+1,20))-1))),"")))</f>
        <v/>
      </c>
      <c r="E1738">
        <f>IF(OR($A1738="",$C1738=""),"",IF(ISNUMBER(Wages!$B1741),MOD(Wages!$B1741,100),IFERROR(VALUE(TRIM(MID(MID(Wages!$B1741,FIND("/",Wages!$B1741)+1,20),FIND("/",MID(Wages!$B1741,FIND("/",Wages!$B1741)+1,20))+1,20))),"")))</f>
        <v/>
      </c>
      <c r="F1738">
        <f>IF($A1738="","",IF(OR($C1738="",$D1738="",$E1738="",$C1738&lt;1300,$C1738&gt;1500,$D1738&lt;1,$D1738&gt;12,$E1738&lt;1,$E1738&gt;31),"نامعتبر",RIGHT("0000"&amp;$C1738,4)&amp;"/"&amp;RIGHT("00"&amp;$D1738,2)&amp;"/"&amp;RIGHT("00"&amp;$E1738,2)))</f>
        <v/>
      </c>
      <c r="G1738">
        <f>IF(OR($A1738="",$F1738="",$F1738="نامعتبر"),"",LEFT($F1738,4)&amp;MID($F1738,6,2)&amp;RIGHT($F1738,2)&amp;"0000"&amp;"|"&amp;"1"&amp;RIGHT("00000"&amp;1733,5))</f>
        <v/>
      </c>
      <c r="H1738">
        <f>IF(OR($B1738&lt;&gt;1,$G1738=""),"",COUNTIFS(LdAParty,$A1738,LdAType,1,LdAKey,"&lt;"&amp;$G1738)+COUNTIFS(LdBMember,$A1738,LdBKey,"&lt;"&amp;$G1738)+COUNTIFS(LdCParty,$A1738,LdCKey,"&lt;"&amp;$G1738)+1)</f>
        <v/>
      </c>
      <c r="I1738">
        <f>IF($H1738="","",$A1738&amp;"|"&amp;RIGHT("000000"&amp;$H1738,6))</f>
        <v/>
      </c>
      <c r="J1738">
        <f>IF(OR($B1738&lt;&gt;2,$G1738=""),"",COUNTIFS(LdAParty,$A1738,LdAType,2,LdAKey,"&lt;"&amp;$G1738)+1)</f>
        <v/>
      </c>
      <c r="K1738">
        <f>IF($J1738="","",$A1738&amp;"|"&amp;RIGHT("000000"&amp;$J1738,6))</f>
        <v/>
      </c>
      <c r="L1738">
        <f>IF($A1738="","",IF(Wages!$G1741="",0,Wages!$G1741))</f>
        <v/>
      </c>
      <c r="M1738">
        <f>IF($A1738="","",Wages!$J1741)</f>
        <v/>
      </c>
      <c r="N1738">
        <f>IF($A1738="","",Wages!$D1741)</f>
        <v/>
      </c>
      <c r="P1738">
        <f>IF(OR(Shares!$B1741="",Shares!$C1741=""),"",Shares!$C1741)</f>
        <v/>
      </c>
      <c r="Q1738">
        <f>IF($P1738="","",Shares!$B1741)</f>
        <v/>
      </c>
      <c r="R1738">
        <f>IF($P1738="","",IFERROR(INDEX(WageParty,MATCH($Q1738,WageIds,0)),""))</f>
        <v/>
      </c>
      <c r="S1738">
        <f>IF($P1738="","",IFERROR(INDEX($F$6:$F$2005,MATCH($Q1738,WageIds,0)),""))</f>
        <v/>
      </c>
      <c r="T1738">
        <f>IF(OR($P1738="",$S1738="",$S1738="نامعتبر"),"",LEFT($S1738,4)&amp;MID($S1738,6,2)&amp;RIGHT($S1738,2)&amp;"0000"&amp;"|"&amp;"2"&amp;RIGHT("00000"&amp;1733,5))</f>
        <v/>
      </c>
      <c r="U1738">
        <f>IF($T1738="","",COUNTIFS(LdAParty,$P1738,LdAType,1,LdAKey,"&lt;"&amp;$T1738)+COUNTIFS(LdBMember,$P1738,LdBKey,"&lt;"&amp;$T1738)+COUNTIFS(LdCParty,$P1738,LdCKey,"&lt;"&amp;$T1738)+1)</f>
        <v/>
      </c>
      <c r="V1738">
        <f>IF($U1738="","",$P1738&amp;"|"&amp;RIGHT("000000"&amp;$U1738,6))</f>
        <v/>
      </c>
      <c r="W1738">
        <f>IF($T1738="","",COUNTIFS(LdBGroup,$R1738,LdBKey,"&lt;"&amp;$T1738)+1)</f>
        <v/>
      </c>
      <c r="X1738">
        <f>IF($W1738="","",$R1738&amp;"|"&amp;RIGHT("000000"&amp;$W1738,6))</f>
        <v/>
      </c>
      <c r="Y1738">
        <f>IF($P1738="","",IF(Shares!$E1741="",0,Shares!$E1741))</f>
        <v/>
      </c>
      <c r="Z1738">
        <f>IF($P1738="","",Shares!$H1741)</f>
        <v/>
      </c>
      <c r="AE1738">
        <f>IF(OR(Sync!$S1738="",Sync!$P1738=""),"",Sync!$S1738)</f>
        <v/>
      </c>
      <c r="AF1738">
        <f>IF($AE1738="","",IF(ISNUMBER(Sync!$P1738),IF(AND(Sync!$P1738&gt;=10000101,Sync!$P1738&lt;=99991231),INT(Sync!$P1738/10000),""),IFERROR(VALUE(TRIM(LEFT(Sync!$P1738,FIND("/",Sync!$P1738)-1))),"")))</f>
        <v/>
      </c>
      <c r="AG1738">
        <f>IF(OR($AE1738="",$AF1738=""),"",IF(ISNUMBER(Sync!$P1738),INT(MOD(Sync!$P1738,10000)/100),IFERROR(VALUE(TRIM(LEFT(MID(Sync!$P1738,FIND("/",Sync!$P1738)+1,20),FIND("/",MID(Sync!$P1738,FIND("/",Sync!$P1738)+1,20))-1))),"")))</f>
        <v/>
      </c>
      <c r="AH1738">
        <f>IF(OR($AE1738="",$AF1738=""),"",IF(ISNUMBER(Sync!$P1738),MOD(Sync!$P1738,100),IFERROR(VALUE(TRIM(MID(MID(Sync!$P1738,FIND("/",Sync!$P1738)+1,20),FIND("/",MID(Sync!$P1738,FIND("/",Sync!$P1738)+1,20))+1,20))),"")))</f>
        <v/>
      </c>
      <c r="AI1738">
        <f>IF($AE1738="","",IF(OR($AF1738="",$AG1738="",$AH1738="",$AF1738&lt;1300,$AF1738&gt;1500,$AG1738&lt;1,$AG1738&gt;12,$AH1738&lt;1,$AH1738&gt;31),"نامعتبر",RIGHT("0000"&amp;$AF1738,4)&amp;"/"&amp;RIGHT("00"&amp;$AG1738,2)&amp;"/"&amp;RIGHT("00"&amp;$AH1738,2)))</f>
        <v/>
      </c>
      <c r="AJ1738">
        <f>IF($AE1738="","",IF(Sync!$Q1738="","0000",IF(AND(ISNUMBER(Sync!$Q1738),Sync!$Q1738&gt;=0,Sync!$Q1738&lt;1),RIGHT("00"&amp;HOUR(Sync!$Q1738),2)&amp;RIGHT("00"&amp;MINUTE(Sync!$Q1738),2),IFERROR(RIGHT("00"&amp;VALUE(LEFT(Sync!$Q1738,FIND(":",Sync!$Q1738)-1)),2)&amp;RIGHT("00"&amp;VALUE(MID(Sync!$Q1738,FIND(":",Sync!$Q1738)+1,2)),2),"0000"))))</f>
        <v/>
      </c>
      <c r="AK1738">
        <f>IF(OR($AE1738="",$AI1738="",$AI1738="نامعتبر"),"",LEFT($AI1738,4)&amp;MID($AI1738,6,2)&amp;RIGHT($AI1738,2)&amp;$AJ1738&amp;"|"&amp;"3"&amp;RIGHT("00000"&amp;1733,5))</f>
        <v/>
      </c>
      <c r="AL1738">
        <f>IF($AK1738="","",COUNTIFS(LdAParty,$AE1738,LdAType,1,LdAKey,"&lt;"&amp;$AK1738)+COUNTIFS(LdBMember,$AE1738,LdBKey,"&lt;"&amp;$AK1738)+COUNTIFS(LdCParty,$AE1738,LdCKey,"&lt;"&amp;$AK1738)+1)</f>
        <v/>
      </c>
      <c r="AM1738">
        <f>IF($AL1738="","",$AE1738&amp;"|"&amp;RIGHT("000000"&amp;$AL1738,6))</f>
        <v/>
      </c>
      <c r="AN1738">
        <f>IF($AE1738="","",IF(Sync!$W1738="",0,Sync!$W1738))</f>
        <v/>
      </c>
      <c r="AO1738">
        <f>IF($AE1738="","",IF(Sync!$X1738="",0,Sync!$X1738))</f>
        <v/>
      </c>
      <c r="AP1738">
        <f>IF($AE1738="","",Sync!$R1738)</f>
        <v/>
      </c>
      <c r="AQ1738">
        <f>IF($AE1738="","",Sync!$Y1738)</f>
        <v/>
      </c>
    </row>
    <row r="1739">
      <c r="A1739">
        <f>IF(OR(Wages!$B1742="",Wages!$E1742=""),"",Wages!$E1742)</f>
        <v/>
      </c>
      <c r="B1739">
        <f>IF($A1739="","",IF(Wages!$C1742="دستمزد گروهی",2,1))</f>
        <v/>
      </c>
      <c r="C1739">
        <f>IF($A1739="","",IF(ISNUMBER(Wages!$B1742),IF(AND(Wages!$B1742&gt;=10000101,Wages!$B1742&lt;=99991231),INT(Wages!$B1742/10000),""),IFERROR(VALUE(TRIM(LEFT(Wages!$B1742,FIND("/",Wages!$B1742)-1))),"")))</f>
        <v/>
      </c>
      <c r="D1739">
        <f>IF(OR($A1739="",$C1739=""),"",IF(ISNUMBER(Wages!$B1742),INT(MOD(Wages!$B1742,10000)/100),IFERROR(VALUE(TRIM(LEFT(MID(Wages!$B1742,FIND("/",Wages!$B1742)+1,20),FIND("/",MID(Wages!$B1742,FIND("/",Wages!$B1742)+1,20))-1))),"")))</f>
        <v/>
      </c>
      <c r="E1739">
        <f>IF(OR($A1739="",$C1739=""),"",IF(ISNUMBER(Wages!$B1742),MOD(Wages!$B1742,100),IFERROR(VALUE(TRIM(MID(MID(Wages!$B1742,FIND("/",Wages!$B1742)+1,20),FIND("/",MID(Wages!$B1742,FIND("/",Wages!$B1742)+1,20))+1,20))),"")))</f>
        <v/>
      </c>
      <c r="F1739">
        <f>IF($A1739="","",IF(OR($C1739="",$D1739="",$E1739="",$C1739&lt;1300,$C1739&gt;1500,$D1739&lt;1,$D1739&gt;12,$E1739&lt;1,$E1739&gt;31),"نامعتبر",RIGHT("0000"&amp;$C1739,4)&amp;"/"&amp;RIGHT("00"&amp;$D1739,2)&amp;"/"&amp;RIGHT("00"&amp;$E1739,2)))</f>
        <v/>
      </c>
      <c r="G1739">
        <f>IF(OR($A1739="",$F1739="",$F1739="نامعتبر"),"",LEFT($F1739,4)&amp;MID($F1739,6,2)&amp;RIGHT($F1739,2)&amp;"0000"&amp;"|"&amp;"1"&amp;RIGHT("00000"&amp;1734,5))</f>
        <v/>
      </c>
      <c r="H1739">
        <f>IF(OR($B1739&lt;&gt;1,$G1739=""),"",COUNTIFS(LdAParty,$A1739,LdAType,1,LdAKey,"&lt;"&amp;$G1739)+COUNTIFS(LdBMember,$A1739,LdBKey,"&lt;"&amp;$G1739)+COUNTIFS(LdCParty,$A1739,LdCKey,"&lt;"&amp;$G1739)+1)</f>
        <v/>
      </c>
      <c r="I1739">
        <f>IF($H1739="","",$A1739&amp;"|"&amp;RIGHT("000000"&amp;$H1739,6))</f>
        <v/>
      </c>
      <c r="J1739">
        <f>IF(OR($B1739&lt;&gt;2,$G1739=""),"",COUNTIFS(LdAParty,$A1739,LdAType,2,LdAKey,"&lt;"&amp;$G1739)+1)</f>
        <v/>
      </c>
      <c r="K1739">
        <f>IF($J1739="","",$A1739&amp;"|"&amp;RIGHT("000000"&amp;$J1739,6))</f>
        <v/>
      </c>
      <c r="L1739">
        <f>IF($A1739="","",IF(Wages!$G1742="",0,Wages!$G1742))</f>
        <v/>
      </c>
      <c r="M1739">
        <f>IF($A1739="","",Wages!$J1742)</f>
        <v/>
      </c>
      <c r="N1739">
        <f>IF($A1739="","",Wages!$D1742)</f>
        <v/>
      </c>
      <c r="P1739">
        <f>IF(OR(Shares!$B1742="",Shares!$C1742=""),"",Shares!$C1742)</f>
        <v/>
      </c>
      <c r="Q1739">
        <f>IF($P1739="","",Shares!$B1742)</f>
        <v/>
      </c>
      <c r="R1739">
        <f>IF($P1739="","",IFERROR(INDEX(WageParty,MATCH($Q1739,WageIds,0)),""))</f>
        <v/>
      </c>
      <c r="S1739">
        <f>IF($P1739="","",IFERROR(INDEX($F$6:$F$2005,MATCH($Q1739,WageIds,0)),""))</f>
        <v/>
      </c>
      <c r="T1739">
        <f>IF(OR($P1739="",$S1739="",$S1739="نامعتبر"),"",LEFT($S1739,4)&amp;MID($S1739,6,2)&amp;RIGHT($S1739,2)&amp;"0000"&amp;"|"&amp;"2"&amp;RIGHT("00000"&amp;1734,5))</f>
        <v/>
      </c>
      <c r="U1739">
        <f>IF($T1739="","",COUNTIFS(LdAParty,$P1739,LdAType,1,LdAKey,"&lt;"&amp;$T1739)+COUNTIFS(LdBMember,$P1739,LdBKey,"&lt;"&amp;$T1739)+COUNTIFS(LdCParty,$P1739,LdCKey,"&lt;"&amp;$T1739)+1)</f>
        <v/>
      </c>
      <c r="V1739">
        <f>IF($U1739="","",$P1739&amp;"|"&amp;RIGHT("000000"&amp;$U1739,6))</f>
        <v/>
      </c>
      <c r="W1739">
        <f>IF($T1739="","",COUNTIFS(LdBGroup,$R1739,LdBKey,"&lt;"&amp;$T1739)+1)</f>
        <v/>
      </c>
      <c r="X1739">
        <f>IF($W1739="","",$R1739&amp;"|"&amp;RIGHT("000000"&amp;$W1739,6))</f>
        <v/>
      </c>
      <c r="Y1739">
        <f>IF($P1739="","",IF(Shares!$E1742="",0,Shares!$E1742))</f>
        <v/>
      </c>
      <c r="Z1739">
        <f>IF($P1739="","",Shares!$H1742)</f>
        <v/>
      </c>
      <c r="AE1739">
        <f>IF(OR(Sync!$S1739="",Sync!$P1739=""),"",Sync!$S1739)</f>
        <v/>
      </c>
      <c r="AF1739">
        <f>IF($AE1739="","",IF(ISNUMBER(Sync!$P1739),IF(AND(Sync!$P1739&gt;=10000101,Sync!$P1739&lt;=99991231),INT(Sync!$P1739/10000),""),IFERROR(VALUE(TRIM(LEFT(Sync!$P1739,FIND("/",Sync!$P1739)-1))),"")))</f>
        <v/>
      </c>
      <c r="AG1739">
        <f>IF(OR($AE1739="",$AF1739=""),"",IF(ISNUMBER(Sync!$P1739),INT(MOD(Sync!$P1739,10000)/100),IFERROR(VALUE(TRIM(LEFT(MID(Sync!$P1739,FIND("/",Sync!$P1739)+1,20),FIND("/",MID(Sync!$P1739,FIND("/",Sync!$P1739)+1,20))-1))),"")))</f>
        <v/>
      </c>
      <c r="AH1739">
        <f>IF(OR($AE1739="",$AF1739=""),"",IF(ISNUMBER(Sync!$P1739),MOD(Sync!$P1739,100),IFERROR(VALUE(TRIM(MID(MID(Sync!$P1739,FIND("/",Sync!$P1739)+1,20),FIND("/",MID(Sync!$P1739,FIND("/",Sync!$P1739)+1,20))+1,20))),"")))</f>
        <v/>
      </c>
      <c r="AI1739">
        <f>IF($AE1739="","",IF(OR($AF1739="",$AG1739="",$AH1739="",$AF1739&lt;1300,$AF1739&gt;1500,$AG1739&lt;1,$AG1739&gt;12,$AH1739&lt;1,$AH1739&gt;31),"نامعتبر",RIGHT("0000"&amp;$AF1739,4)&amp;"/"&amp;RIGHT("00"&amp;$AG1739,2)&amp;"/"&amp;RIGHT("00"&amp;$AH1739,2)))</f>
        <v/>
      </c>
      <c r="AJ1739">
        <f>IF($AE1739="","",IF(Sync!$Q1739="","0000",IF(AND(ISNUMBER(Sync!$Q1739),Sync!$Q1739&gt;=0,Sync!$Q1739&lt;1),RIGHT("00"&amp;HOUR(Sync!$Q1739),2)&amp;RIGHT("00"&amp;MINUTE(Sync!$Q1739),2),IFERROR(RIGHT("00"&amp;VALUE(LEFT(Sync!$Q1739,FIND(":",Sync!$Q1739)-1)),2)&amp;RIGHT("00"&amp;VALUE(MID(Sync!$Q1739,FIND(":",Sync!$Q1739)+1,2)),2),"0000"))))</f>
        <v/>
      </c>
      <c r="AK1739">
        <f>IF(OR($AE1739="",$AI1739="",$AI1739="نامعتبر"),"",LEFT($AI1739,4)&amp;MID($AI1739,6,2)&amp;RIGHT($AI1739,2)&amp;$AJ1739&amp;"|"&amp;"3"&amp;RIGHT("00000"&amp;1734,5))</f>
        <v/>
      </c>
      <c r="AL1739">
        <f>IF($AK1739="","",COUNTIFS(LdAParty,$AE1739,LdAType,1,LdAKey,"&lt;"&amp;$AK1739)+COUNTIFS(LdBMember,$AE1739,LdBKey,"&lt;"&amp;$AK1739)+COUNTIFS(LdCParty,$AE1739,LdCKey,"&lt;"&amp;$AK1739)+1)</f>
        <v/>
      </c>
      <c r="AM1739">
        <f>IF($AL1739="","",$AE1739&amp;"|"&amp;RIGHT("000000"&amp;$AL1739,6))</f>
        <v/>
      </c>
      <c r="AN1739">
        <f>IF($AE1739="","",IF(Sync!$W1739="",0,Sync!$W1739))</f>
        <v/>
      </c>
      <c r="AO1739">
        <f>IF($AE1739="","",IF(Sync!$X1739="",0,Sync!$X1739))</f>
        <v/>
      </c>
      <c r="AP1739">
        <f>IF($AE1739="","",Sync!$R1739)</f>
        <v/>
      </c>
      <c r="AQ1739">
        <f>IF($AE1739="","",Sync!$Y1739)</f>
        <v/>
      </c>
    </row>
    <row r="1740">
      <c r="A1740">
        <f>IF(OR(Wages!$B1743="",Wages!$E1743=""),"",Wages!$E1743)</f>
        <v/>
      </c>
      <c r="B1740">
        <f>IF($A1740="","",IF(Wages!$C1743="دستمزد گروهی",2,1))</f>
        <v/>
      </c>
      <c r="C1740">
        <f>IF($A1740="","",IF(ISNUMBER(Wages!$B1743),IF(AND(Wages!$B1743&gt;=10000101,Wages!$B1743&lt;=99991231),INT(Wages!$B1743/10000),""),IFERROR(VALUE(TRIM(LEFT(Wages!$B1743,FIND("/",Wages!$B1743)-1))),"")))</f>
        <v/>
      </c>
      <c r="D1740">
        <f>IF(OR($A1740="",$C1740=""),"",IF(ISNUMBER(Wages!$B1743),INT(MOD(Wages!$B1743,10000)/100),IFERROR(VALUE(TRIM(LEFT(MID(Wages!$B1743,FIND("/",Wages!$B1743)+1,20),FIND("/",MID(Wages!$B1743,FIND("/",Wages!$B1743)+1,20))-1))),"")))</f>
        <v/>
      </c>
      <c r="E1740">
        <f>IF(OR($A1740="",$C1740=""),"",IF(ISNUMBER(Wages!$B1743),MOD(Wages!$B1743,100),IFERROR(VALUE(TRIM(MID(MID(Wages!$B1743,FIND("/",Wages!$B1743)+1,20),FIND("/",MID(Wages!$B1743,FIND("/",Wages!$B1743)+1,20))+1,20))),"")))</f>
        <v/>
      </c>
      <c r="F1740">
        <f>IF($A1740="","",IF(OR($C1740="",$D1740="",$E1740="",$C1740&lt;1300,$C1740&gt;1500,$D1740&lt;1,$D1740&gt;12,$E1740&lt;1,$E1740&gt;31),"نامعتبر",RIGHT("0000"&amp;$C1740,4)&amp;"/"&amp;RIGHT("00"&amp;$D1740,2)&amp;"/"&amp;RIGHT("00"&amp;$E1740,2)))</f>
        <v/>
      </c>
      <c r="G1740">
        <f>IF(OR($A1740="",$F1740="",$F1740="نامعتبر"),"",LEFT($F1740,4)&amp;MID($F1740,6,2)&amp;RIGHT($F1740,2)&amp;"0000"&amp;"|"&amp;"1"&amp;RIGHT("00000"&amp;1735,5))</f>
        <v/>
      </c>
      <c r="H1740">
        <f>IF(OR($B1740&lt;&gt;1,$G1740=""),"",COUNTIFS(LdAParty,$A1740,LdAType,1,LdAKey,"&lt;"&amp;$G1740)+COUNTIFS(LdBMember,$A1740,LdBKey,"&lt;"&amp;$G1740)+COUNTIFS(LdCParty,$A1740,LdCKey,"&lt;"&amp;$G1740)+1)</f>
        <v/>
      </c>
      <c r="I1740">
        <f>IF($H1740="","",$A1740&amp;"|"&amp;RIGHT("000000"&amp;$H1740,6))</f>
        <v/>
      </c>
      <c r="J1740">
        <f>IF(OR($B1740&lt;&gt;2,$G1740=""),"",COUNTIFS(LdAParty,$A1740,LdAType,2,LdAKey,"&lt;"&amp;$G1740)+1)</f>
        <v/>
      </c>
      <c r="K1740">
        <f>IF($J1740="","",$A1740&amp;"|"&amp;RIGHT("000000"&amp;$J1740,6))</f>
        <v/>
      </c>
      <c r="L1740">
        <f>IF($A1740="","",IF(Wages!$G1743="",0,Wages!$G1743))</f>
        <v/>
      </c>
      <c r="M1740">
        <f>IF($A1740="","",Wages!$J1743)</f>
        <v/>
      </c>
      <c r="N1740">
        <f>IF($A1740="","",Wages!$D1743)</f>
        <v/>
      </c>
      <c r="P1740">
        <f>IF(OR(Shares!$B1743="",Shares!$C1743=""),"",Shares!$C1743)</f>
        <v/>
      </c>
      <c r="Q1740">
        <f>IF($P1740="","",Shares!$B1743)</f>
        <v/>
      </c>
      <c r="R1740">
        <f>IF($P1740="","",IFERROR(INDEX(WageParty,MATCH($Q1740,WageIds,0)),""))</f>
        <v/>
      </c>
      <c r="S1740">
        <f>IF($P1740="","",IFERROR(INDEX($F$6:$F$2005,MATCH($Q1740,WageIds,0)),""))</f>
        <v/>
      </c>
      <c r="T1740">
        <f>IF(OR($P1740="",$S1740="",$S1740="نامعتبر"),"",LEFT($S1740,4)&amp;MID($S1740,6,2)&amp;RIGHT($S1740,2)&amp;"0000"&amp;"|"&amp;"2"&amp;RIGHT("00000"&amp;1735,5))</f>
        <v/>
      </c>
      <c r="U1740">
        <f>IF($T1740="","",COUNTIFS(LdAParty,$P1740,LdAType,1,LdAKey,"&lt;"&amp;$T1740)+COUNTIFS(LdBMember,$P1740,LdBKey,"&lt;"&amp;$T1740)+COUNTIFS(LdCParty,$P1740,LdCKey,"&lt;"&amp;$T1740)+1)</f>
        <v/>
      </c>
      <c r="V1740">
        <f>IF($U1740="","",$P1740&amp;"|"&amp;RIGHT("000000"&amp;$U1740,6))</f>
        <v/>
      </c>
      <c r="W1740">
        <f>IF($T1740="","",COUNTIFS(LdBGroup,$R1740,LdBKey,"&lt;"&amp;$T1740)+1)</f>
        <v/>
      </c>
      <c r="X1740">
        <f>IF($W1740="","",$R1740&amp;"|"&amp;RIGHT("000000"&amp;$W1740,6))</f>
        <v/>
      </c>
      <c r="Y1740">
        <f>IF($P1740="","",IF(Shares!$E1743="",0,Shares!$E1743))</f>
        <v/>
      </c>
      <c r="Z1740">
        <f>IF($P1740="","",Shares!$H1743)</f>
        <v/>
      </c>
      <c r="AE1740">
        <f>IF(OR(Sync!$S1740="",Sync!$P1740=""),"",Sync!$S1740)</f>
        <v/>
      </c>
      <c r="AF1740">
        <f>IF($AE1740="","",IF(ISNUMBER(Sync!$P1740),IF(AND(Sync!$P1740&gt;=10000101,Sync!$P1740&lt;=99991231),INT(Sync!$P1740/10000),""),IFERROR(VALUE(TRIM(LEFT(Sync!$P1740,FIND("/",Sync!$P1740)-1))),"")))</f>
        <v/>
      </c>
      <c r="AG1740">
        <f>IF(OR($AE1740="",$AF1740=""),"",IF(ISNUMBER(Sync!$P1740),INT(MOD(Sync!$P1740,10000)/100),IFERROR(VALUE(TRIM(LEFT(MID(Sync!$P1740,FIND("/",Sync!$P1740)+1,20),FIND("/",MID(Sync!$P1740,FIND("/",Sync!$P1740)+1,20))-1))),"")))</f>
        <v/>
      </c>
      <c r="AH1740">
        <f>IF(OR($AE1740="",$AF1740=""),"",IF(ISNUMBER(Sync!$P1740),MOD(Sync!$P1740,100),IFERROR(VALUE(TRIM(MID(MID(Sync!$P1740,FIND("/",Sync!$P1740)+1,20),FIND("/",MID(Sync!$P1740,FIND("/",Sync!$P1740)+1,20))+1,20))),"")))</f>
        <v/>
      </c>
      <c r="AI1740">
        <f>IF($AE1740="","",IF(OR($AF1740="",$AG1740="",$AH1740="",$AF1740&lt;1300,$AF1740&gt;1500,$AG1740&lt;1,$AG1740&gt;12,$AH1740&lt;1,$AH1740&gt;31),"نامعتبر",RIGHT("0000"&amp;$AF1740,4)&amp;"/"&amp;RIGHT("00"&amp;$AG1740,2)&amp;"/"&amp;RIGHT("00"&amp;$AH1740,2)))</f>
        <v/>
      </c>
      <c r="AJ1740">
        <f>IF($AE1740="","",IF(Sync!$Q1740="","0000",IF(AND(ISNUMBER(Sync!$Q1740),Sync!$Q1740&gt;=0,Sync!$Q1740&lt;1),RIGHT("00"&amp;HOUR(Sync!$Q1740),2)&amp;RIGHT("00"&amp;MINUTE(Sync!$Q1740),2),IFERROR(RIGHT("00"&amp;VALUE(LEFT(Sync!$Q1740,FIND(":",Sync!$Q1740)-1)),2)&amp;RIGHT("00"&amp;VALUE(MID(Sync!$Q1740,FIND(":",Sync!$Q1740)+1,2)),2),"0000"))))</f>
        <v/>
      </c>
      <c r="AK1740">
        <f>IF(OR($AE1740="",$AI1740="",$AI1740="نامعتبر"),"",LEFT($AI1740,4)&amp;MID($AI1740,6,2)&amp;RIGHT($AI1740,2)&amp;$AJ1740&amp;"|"&amp;"3"&amp;RIGHT("00000"&amp;1735,5))</f>
        <v/>
      </c>
      <c r="AL1740">
        <f>IF($AK1740="","",COUNTIFS(LdAParty,$AE1740,LdAType,1,LdAKey,"&lt;"&amp;$AK1740)+COUNTIFS(LdBMember,$AE1740,LdBKey,"&lt;"&amp;$AK1740)+COUNTIFS(LdCParty,$AE1740,LdCKey,"&lt;"&amp;$AK1740)+1)</f>
        <v/>
      </c>
      <c r="AM1740">
        <f>IF($AL1740="","",$AE1740&amp;"|"&amp;RIGHT("000000"&amp;$AL1740,6))</f>
        <v/>
      </c>
      <c r="AN1740">
        <f>IF($AE1740="","",IF(Sync!$W1740="",0,Sync!$W1740))</f>
        <v/>
      </c>
      <c r="AO1740">
        <f>IF($AE1740="","",IF(Sync!$X1740="",0,Sync!$X1740))</f>
        <v/>
      </c>
      <c r="AP1740">
        <f>IF($AE1740="","",Sync!$R1740)</f>
        <v/>
      </c>
      <c r="AQ1740">
        <f>IF($AE1740="","",Sync!$Y1740)</f>
        <v/>
      </c>
    </row>
    <row r="1741">
      <c r="A1741">
        <f>IF(OR(Wages!$B1744="",Wages!$E1744=""),"",Wages!$E1744)</f>
        <v/>
      </c>
      <c r="B1741">
        <f>IF($A1741="","",IF(Wages!$C1744="دستمزد گروهی",2,1))</f>
        <v/>
      </c>
      <c r="C1741">
        <f>IF($A1741="","",IF(ISNUMBER(Wages!$B1744),IF(AND(Wages!$B1744&gt;=10000101,Wages!$B1744&lt;=99991231),INT(Wages!$B1744/10000),""),IFERROR(VALUE(TRIM(LEFT(Wages!$B1744,FIND("/",Wages!$B1744)-1))),"")))</f>
        <v/>
      </c>
      <c r="D1741">
        <f>IF(OR($A1741="",$C1741=""),"",IF(ISNUMBER(Wages!$B1744),INT(MOD(Wages!$B1744,10000)/100),IFERROR(VALUE(TRIM(LEFT(MID(Wages!$B1744,FIND("/",Wages!$B1744)+1,20),FIND("/",MID(Wages!$B1744,FIND("/",Wages!$B1744)+1,20))-1))),"")))</f>
        <v/>
      </c>
      <c r="E1741">
        <f>IF(OR($A1741="",$C1741=""),"",IF(ISNUMBER(Wages!$B1744),MOD(Wages!$B1744,100),IFERROR(VALUE(TRIM(MID(MID(Wages!$B1744,FIND("/",Wages!$B1744)+1,20),FIND("/",MID(Wages!$B1744,FIND("/",Wages!$B1744)+1,20))+1,20))),"")))</f>
        <v/>
      </c>
      <c r="F1741">
        <f>IF($A1741="","",IF(OR($C1741="",$D1741="",$E1741="",$C1741&lt;1300,$C1741&gt;1500,$D1741&lt;1,$D1741&gt;12,$E1741&lt;1,$E1741&gt;31),"نامعتبر",RIGHT("0000"&amp;$C1741,4)&amp;"/"&amp;RIGHT("00"&amp;$D1741,2)&amp;"/"&amp;RIGHT("00"&amp;$E1741,2)))</f>
        <v/>
      </c>
      <c r="G1741">
        <f>IF(OR($A1741="",$F1741="",$F1741="نامعتبر"),"",LEFT($F1741,4)&amp;MID($F1741,6,2)&amp;RIGHT($F1741,2)&amp;"0000"&amp;"|"&amp;"1"&amp;RIGHT("00000"&amp;1736,5))</f>
        <v/>
      </c>
      <c r="H1741">
        <f>IF(OR($B1741&lt;&gt;1,$G1741=""),"",COUNTIFS(LdAParty,$A1741,LdAType,1,LdAKey,"&lt;"&amp;$G1741)+COUNTIFS(LdBMember,$A1741,LdBKey,"&lt;"&amp;$G1741)+COUNTIFS(LdCParty,$A1741,LdCKey,"&lt;"&amp;$G1741)+1)</f>
        <v/>
      </c>
      <c r="I1741">
        <f>IF($H1741="","",$A1741&amp;"|"&amp;RIGHT("000000"&amp;$H1741,6))</f>
        <v/>
      </c>
      <c r="J1741">
        <f>IF(OR($B1741&lt;&gt;2,$G1741=""),"",COUNTIFS(LdAParty,$A1741,LdAType,2,LdAKey,"&lt;"&amp;$G1741)+1)</f>
        <v/>
      </c>
      <c r="K1741">
        <f>IF($J1741="","",$A1741&amp;"|"&amp;RIGHT("000000"&amp;$J1741,6))</f>
        <v/>
      </c>
      <c r="L1741">
        <f>IF($A1741="","",IF(Wages!$G1744="",0,Wages!$G1744))</f>
        <v/>
      </c>
      <c r="M1741">
        <f>IF($A1741="","",Wages!$J1744)</f>
        <v/>
      </c>
      <c r="N1741">
        <f>IF($A1741="","",Wages!$D1744)</f>
        <v/>
      </c>
      <c r="P1741">
        <f>IF(OR(Shares!$B1744="",Shares!$C1744=""),"",Shares!$C1744)</f>
        <v/>
      </c>
      <c r="Q1741">
        <f>IF($P1741="","",Shares!$B1744)</f>
        <v/>
      </c>
      <c r="R1741">
        <f>IF($P1741="","",IFERROR(INDEX(WageParty,MATCH($Q1741,WageIds,0)),""))</f>
        <v/>
      </c>
      <c r="S1741">
        <f>IF($P1741="","",IFERROR(INDEX($F$6:$F$2005,MATCH($Q1741,WageIds,0)),""))</f>
        <v/>
      </c>
      <c r="T1741">
        <f>IF(OR($P1741="",$S1741="",$S1741="نامعتبر"),"",LEFT($S1741,4)&amp;MID($S1741,6,2)&amp;RIGHT($S1741,2)&amp;"0000"&amp;"|"&amp;"2"&amp;RIGHT("00000"&amp;1736,5))</f>
        <v/>
      </c>
      <c r="U1741">
        <f>IF($T1741="","",COUNTIFS(LdAParty,$P1741,LdAType,1,LdAKey,"&lt;"&amp;$T1741)+COUNTIFS(LdBMember,$P1741,LdBKey,"&lt;"&amp;$T1741)+COUNTIFS(LdCParty,$P1741,LdCKey,"&lt;"&amp;$T1741)+1)</f>
        <v/>
      </c>
      <c r="V1741">
        <f>IF($U1741="","",$P1741&amp;"|"&amp;RIGHT("000000"&amp;$U1741,6))</f>
        <v/>
      </c>
      <c r="W1741">
        <f>IF($T1741="","",COUNTIFS(LdBGroup,$R1741,LdBKey,"&lt;"&amp;$T1741)+1)</f>
        <v/>
      </c>
      <c r="X1741">
        <f>IF($W1741="","",$R1741&amp;"|"&amp;RIGHT("000000"&amp;$W1741,6))</f>
        <v/>
      </c>
      <c r="Y1741">
        <f>IF($P1741="","",IF(Shares!$E1744="",0,Shares!$E1744))</f>
        <v/>
      </c>
      <c r="Z1741">
        <f>IF($P1741="","",Shares!$H1744)</f>
        <v/>
      </c>
      <c r="AE1741">
        <f>IF(OR(Sync!$S1741="",Sync!$P1741=""),"",Sync!$S1741)</f>
        <v/>
      </c>
      <c r="AF1741">
        <f>IF($AE1741="","",IF(ISNUMBER(Sync!$P1741),IF(AND(Sync!$P1741&gt;=10000101,Sync!$P1741&lt;=99991231),INT(Sync!$P1741/10000),""),IFERROR(VALUE(TRIM(LEFT(Sync!$P1741,FIND("/",Sync!$P1741)-1))),"")))</f>
        <v/>
      </c>
      <c r="AG1741">
        <f>IF(OR($AE1741="",$AF1741=""),"",IF(ISNUMBER(Sync!$P1741),INT(MOD(Sync!$P1741,10000)/100),IFERROR(VALUE(TRIM(LEFT(MID(Sync!$P1741,FIND("/",Sync!$P1741)+1,20),FIND("/",MID(Sync!$P1741,FIND("/",Sync!$P1741)+1,20))-1))),"")))</f>
        <v/>
      </c>
      <c r="AH1741">
        <f>IF(OR($AE1741="",$AF1741=""),"",IF(ISNUMBER(Sync!$P1741),MOD(Sync!$P1741,100),IFERROR(VALUE(TRIM(MID(MID(Sync!$P1741,FIND("/",Sync!$P1741)+1,20),FIND("/",MID(Sync!$P1741,FIND("/",Sync!$P1741)+1,20))+1,20))),"")))</f>
        <v/>
      </c>
      <c r="AI1741">
        <f>IF($AE1741="","",IF(OR($AF1741="",$AG1741="",$AH1741="",$AF1741&lt;1300,$AF1741&gt;1500,$AG1741&lt;1,$AG1741&gt;12,$AH1741&lt;1,$AH1741&gt;31),"نامعتبر",RIGHT("0000"&amp;$AF1741,4)&amp;"/"&amp;RIGHT("00"&amp;$AG1741,2)&amp;"/"&amp;RIGHT("00"&amp;$AH1741,2)))</f>
        <v/>
      </c>
      <c r="AJ1741">
        <f>IF($AE1741="","",IF(Sync!$Q1741="","0000",IF(AND(ISNUMBER(Sync!$Q1741),Sync!$Q1741&gt;=0,Sync!$Q1741&lt;1),RIGHT("00"&amp;HOUR(Sync!$Q1741),2)&amp;RIGHT("00"&amp;MINUTE(Sync!$Q1741),2),IFERROR(RIGHT("00"&amp;VALUE(LEFT(Sync!$Q1741,FIND(":",Sync!$Q1741)-1)),2)&amp;RIGHT("00"&amp;VALUE(MID(Sync!$Q1741,FIND(":",Sync!$Q1741)+1,2)),2),"0000"))))</f>
        <v/>
      </c>
      <c r="AK1741">
        <f>IF(OR($AE1741="",$AI1741="",$AI1741="نامعتبر"),"",LEFT($AI1741,4)&amp;MID($AI1741,6,2)&amp;RIGHT($AI1741,2)&amp;$AJ1741&amp;"|"&amp;"3"&amp;RIGHT("00000"&amp;1736,5))</f>
        <v/>
      </c>
      <c r="AL1741">
        <f>IF($AK1741="","",COUNTIFS(LdAParty,$AE1741,LdAType,1,LdAKey,"&lt;"&amp;$AK1741)+COUNTIFS(LdBMember,$AE1741,LdBKey,"&lt;"&amp;$AK1741)+COUNTIFS(LdCParty,$AE1741,LdCKey,"&lt;"&amp;$AK1741)+1)</f>
        <v/>
      </c>
      <c r="AM1741">
        <f>IF($AL1741="","",$AE1741&amp;"|"&amp;RIGHT("000000"&amp;$AL1741,6))</f>
        <v/>
      </c>
      <c r="AN1741">
        <f>IF($AE1741="","",IF(Sync!$W1741="",0,Sync!$W1741))</f>
        <v/>
      </c>
      <c r="AO1741">
        <f>IF($AE1741="","",IF(Sync!$X1741="",0,Sync!$X1741))</f>
        <v/>
      </c>
      <c r="AP1741">
        <f>IF($AE1741="","",Sync!$R1741)</f>
        <v/>
      </c>
      <c r="AQ1741">
        <f>IF($AE1741="","",Sync!$Y1741)</f>
        <v/>
      </c>
    </row>
    <row r="1742">
      <c r="A1742">
        <f>IF(OR(Wages!$B1745="",Wages!$E1745=""),"",Wages!$E1745)</f>
        <v/>
      </c>
      <c r="B1742">
        <f>IF($A1742="","",IF(Wages!$C1745="دستمزد گروهی",2,1))</f>
        <v/>
      </c>
      <c r="C1742">
        <f>IF($A1742="","",IF(ISNUMBER(Wages!$B1745),IF(AND(Wages!$B1745&gt;=10000101,Wages!$B1745&lt;=99991231),INT(Wages!$B1745/10000),""),IFERROR(VALUE(TRIM(LEFT(Wages!$B1745,FIND("/",Wages!$B1745)-1))),"")))</f>
        <v/>
      </c>
      <c r="D1742">
        <f>IF(OR($A1742="",$C1742=""),"",IF(ISNUMBER(Wages!$B1745),INT(MOD(Wages!$B1745,10000)/100),IFERROR(VALUE(TRIM(LEFT(MID(Wages!$B1745,FIND("/",Wages!$B1745)+1,20),FIND("/",MID(Wages!$B1745,FIND("/",Wages!$B1745)+1,20))-1))),"")))</f>
        <v/>
      </c>
      <c r="E1742">
        <f>IF(OR($A1742="",$C1742=""),"",IF(ISNUMBER(Wages!$B1745),MOD(Wages!$B1745,100),IFERROR(VALUE(TRIM(MID(MID(Wages!$B1745,FIND("/",Wages!$B1745)+1,20),FIND("/",MID(Wages!$B1745,FIND("/",Wages!$B1745)+1,20))+1,20))),"")))</f>
        <v/>
      </c>
      <c r="F1742">
        <f>IF($A1742="","",IF(OR($C1742="",$D1742="",$E1742="",$C1742&lt;1300,$C1742&gt;1500,$D1742&lt;1,$D1742&gt;12,$E1742&lt;1,$E1742&gt;31),"نامعتبر",RIGHT("0000"&amp;$C1742,4)&amp;"/"&amp;RIGHT("00"&amp;$D1742,2)&amp;"/"&amp;RIGHT("00"&amp;$E1742,2)))</f>
        <v/>
      </c>
      <c r="G1742">
        <f>IF(OR($A1742="",$F1742="",$F1742="نامعتبر"),"",LEFT($F1742,4)&amp;MID($F1742,6,2)&amp;RIGHT($F1742,2)&amp;"0000"&amp;"|"&amp;"1"&amp;RIGHT("00000"&amp;1737,5))</f>
        <v/>
      </c>
      <c r="H1742">
        <f>IF(OR($B1742&lt;&gt;1,$G1742=""),"",COUNTIFS(LdAParty,$A1742,LdAType,1,LdAKey,"&lt;"&amp;$G1742)+COUNTIFS(LdBMember,$A1742,LdBKey,"&lt;"&amp;$G1742)+COUNTIFS(LdCParty,$A1742,LdCKey,"&lt;"&amp;$G1742)+1)</f>
        <v/>
      </c>
      <c r="I1742">
        <f>IF($H1742="","",$A1742&amp;"|"&amp;RIGHT("000000"&amp;$H1742,6))</f>
        <v/>
      </c>
      <c r="J1742">
        <f>IF(OR($B1742&lt;&gt;2,$G1742=""),"",COUNTIFS(LdAParty,$A1742,LdAType,2,LdAKey,"&lt;"&amp;$G1742)+1)</f>
        <v/>
      </c>
      <c r="K1742">
        <f>IF($J1742="","",$A1742&amp;"|"&amp;RIGHT("000000"&amp;$J1742,6))</f>
        <v/>
      </c>
      <c r="L1742">
        <f>IF($A1742="","",IF(Wages!$G1745="",0,Wages!$G1745))</f>
        <v/>
      </c>
      <c r="M1742">
        <f>IF($A1742="","",Wages!$J1745)</f>
        <v/>
      </c>
      <c r="N1742">
        <f>IF($A1742="","",Wages!$D1745)</f>
        <v/>
      </c>
      <c r="P1742">
        <f>IF(OR(Shares!$B1745="",Shares!$C1745=""),"",Shares!$C1745)</f>
        <v/>
      </c>
      <c r="Q1742">
        <f>IF($P1742="","",Shares!$B1745)</f>
        <v/>
      </c>
      <c r="R1742">
        <f>IF($P1742="","",IFERROR(INDEX(WageParty,MATCH($Q1742,WageIds,0)),""))</f>
        <v/>
      </c>
      <c r="S1742">
        <f>IF($P1742="","",IFERROR(INDEX($F$6:$F$2005,MATCH($Q1742,WageIds,0)),""))</f>
        <v/>
      </c>
      <c r="T1742">
        <f>IF(OR($P1742="",$S1742="",$S1742="نامعتبر"),"",LEFT($S1742,4)&amp;MID($S1742,6,2)&amp;RIGHT($S1742,2)&amp;"0000"&amp;"|"&amp;"2"&amp;RIGHT("00000"&amp;1737,5))</f>
        <v/>
      </c>
      <c r="U1742">
        <f>IF($T1742="","",COUNTIFS(LdAParty,$P1742,LdAType,1,LdAKey,"&lt;"&amp;$T1742)+COUNTIFS(LdBMember,$P1742,LdBKey,"&lt;"&amp;$T1742)+COUNTIFS(LdCParty,$P1742,LdCKey,"&lt;"&amp;$T1742)+1)</f>
        <v/>
      </c>
      <c r="V1742">
        <f>IF($U1742="","",$P1742&amp;"|"&amp;RIGHT("000000"&amp;$U1742,6))</f>
        <v/>
      </c>
      <c r="W1742">
        <f>IF($T1742="","",COUNTIFS(LdBGroup,$R1742,LdBKey,"&lt;"&amp;$T1742)+1)</f>
        <v/>
      </c>
      <c r="X1742">
        <f>IF($W1742="","",$R1742&amp;"|"&amp;RIGHT("000000"&amp;$W1742,6))</f>
        <v/>
      </c>
      <c r="Y1742">
        <f>IF($P1742="","",IF(Shares!$E1745="",0,Shares!$E1745))</f>
        <v/>
      </c>
      <c r="Z1742">
        <f>IF($P1742="","",Shares!$H1745)</f>
        <v/>
      </c>
      <c r="AE1742">
        <f>IF(OR(Sync!$S1742="",Sync!$P1742=""),"",Sync!$S1742)</f>
        <v/>
      </c>
      <c r="AF1742">
        <f>IF($AE1742="","",IF(ISNUMBER(Sync!$P1742),IF(AND(Sync!$P1742&gt;=10000101,Sync!$P1742&lt;=99991231),INT(Sync!$P1742/10000),""),IFERROR(VALUE(TRIM(LEFT(Sync!$P1742,FIND("/",Sync!$P1742)-1))),"")))</f>
        <v/>
      </c>
      <c r="AG1742">
        <f>IF(OR($AE1742="",$AF1742=""),"",IF(ISNUMBER(Sync!$P1742),INT(MOD(Sync!$P1742,10000)/100),IFERROR(VALUE(TRIM(LEFT(MID(Sync!$P1742,FIND("/",Sync!$P1742)+1,20),FIND("/",MID(Sync!$P1742,FIND("/",Sync!$P1742)+1,20))-1))),"")))</f>
        <v/>
      </c>
      <c r="AH1742">
        <f>IF(OR($AE1742="",$AF1742=""),"",IF(ISNUMBER(Sync!$P1742),MOD(Sync!$P1742,100),IFERROR(VALUE(TRIM(MID(MID(Sync!$P1742,FIND("/",Sync!$P1742)+1,20),FIND("/",MID(Sync!$P1742,FIND("/",Sync!$P1742)+1,20))+1,20))),"")))</f>
        <v/>
      </c>
      <c r="AI1742">
        <f>IF($AE1742="","",IF(OR($AF1742="",$AG1742="",$AH1742="",$AF1742&lt;1300,$AF1742&gt;1500,$AG1742&lt;1,$AG1742&gt;12,$AH1742&lt;1,$AH1742&gt;31),"نامعتبر",RIGHT("0000"&amp;$AF1742,4)&amp;"/"&amp;RIGHT("00"&amp;$AG1742,2)&amp;"/"&amp;RIGHT("00"&amp;$AH1742,2)))</f>
        <v/>
      </c>
      <c r="AJ1742">
        <f>IF($AE1742="","",IF(Sync!$Q1742="","0000",IF(AND(ISNUMBER(Sync!$Q1742),Sync!$Q1742&gt;=0,Sync!$Q1742&lt;1),RIGHT("00"&amp;HOUR(Sync!$Q1742),2)&amp;RIGHT("00"&amp;MINUTE(Sync!$Q1742),2),IFERROR(RIGHT("00"&amp;VALUE(LEFT(Sync!$Q1742,FIND(":",Sync!$Q1742)-1)),2)&amp;RIGHT("00"&amp;VALUE(MID(Sync!$Q1742,FIND(":",Sync!$Q1742)+1,2)),2),"0000"))))</f>
        <v/>
      </c>
      <c r="AK1742">
        <f>IF(OR($AE1742="",$AI1742="",$AI1742="نامعتبر"),"",LEFT($AI1742,4)&amp;MID($AI1742,6,2)&amp;RIGHT($AI1742,2)&amp;$AJ1742&amp;"|"&amp;"3"&amp;RIGHT("00000"&amp;1737,5))</f>
        <v/>
      </c>
      <c r="AL1742">
        <f>IF($AK1742="","",COUNTIFS(LdAParty,$AE1742,LdAType,1,LdAKey,"&lt;"&amp;$AK1742)+COUNTIFS(LdBMember,$AE1742,LdBKey,"&lt;"&amp;$AK1742)+COUNTIFS(LdCParty,$AE1742,LdCKey,"&lt;"&amp;$AK1742)+1)</f>
        <v/>
      </c>
      <c r="AM1742">
        <f>IF($AL1742="","",$AE1742&amp;"|"&amp;RIGHT("000000"&amp;$AL1742,6))</f>
        <v/>
      </c>
      <c r="AN1742">
        <f>IF($AE1742="","",IF(Sync!$W1742="",0,Sync!$W1742))</f>
        <v/>
      </c>
      <c r="AO1742">
        <f>IF($AE1742="","",IF(Sync!$X1742="",0,Sync!$X1742))</f>
        <v/>
      </c>
      <c r="AP1742">
        <f>IF($AE1742="","",Sync!$R1742)</f>
        <v/>
      </c>
      <c r="AQ1742">
        <f>IF($AE1742="","",Sync!$Y1742)</f>
        <v/>
      </c>
    </row>
    <row r="1743">
      <c r="A1743">
        <f>IF(OR(Wages!$B1746="",Wages!$E1746=""),"",Wages!$E1746)</f>
        <v/>
      </c>
      <c r="B1743">
        <f>IF($A1743="","",IF(Wages!$C1746="دستمزد گروهی",2,1))</f>
        <v/>
      </c>
      <c r="C1743">
        <f>IF($A1743="","",IF(ISNUMBER(Wages!$B1746),IF(AND(Wages!$B1746&gt;=10000101,Wages!$B1746&lt;=99991231),INT(Wages!$B1746/10000),""),IFERROR(VALUE(TRIM(LEFT(Wages!$B1746,FIND("/",Wages!$B1746)-1))),"")))</f>
        <v/>
      </c>
      <c r="D1743">
        <f>IF(OR($A1743="",$C1743=""),"",IF(ISNUMBER(Wages!$B1746),INT(MOD(Wages!$B1746,10000)/100),IFERROR(VALUE(TRIM(LEFT(MID(Wages!$B1746,FIND("/",Wages!$B1746)+1,20),FIND("/",MID(Wages!$B1746,FIND("/",Wages!$B1746)+1,20))-1))),"")))</f>
        <v/>
      </c>
      <c r="E1743">
        <f>IF(OR($A1743="",$C1743=""),"",IF(ISNUMBER(Wages!$B1746),MOD(Wages!$B1746,100),IFERROR(VALUE(TRIM(MID(MID(Wages!$B1746,FIND("/",Wages!$B1746)+1,20),FIND("/",MID(Wages!$B1746,FIND("/",Wages!$B1746)+1,20))+1,20))),"")))</f>
        <v/>
      </c>
      <c r="F1743">
        <f>IF($A1743="","",IF(OR($C1743="",$D1743="",$E1743="",$C1743&lt;1300,$C1743&gt;1500,$D1743&lt;1,$D1743&gt;12,$E1743&lt;1,$E1743&gt;31),"نامعتبر",RIGHT("0000"&amp;$C1743,4)&amp;"/"&amp;RIGHT("00"&amp;$D1743,2)&amp;"/"&amp;RIGHT("00"&amp;$E1743,2)))</f>
        <v/>
      </c>
      <c r="G1743">
        <f>IF(OR($A1743="",$F1743="",$F1743="نامعتبر"),"",LEFT($F1743,4)&amp;MID($F1743,6,2)&amp;RIGHT($F1743,2)&amp;"0000"&amp;"|"&amp;"1"&amp;RIGHT("00000"&amp;1738,5))</f>
        <v/>
      </c>
      <c r="H1743">
        <f>IF(OR($B1743&lt;&gt;1,$G1743=""),"",COUNTIFS(LdAParty,$A1743,LdAType,1,LdAKey,"&lt;"&amp;$G1743)+COUNTIFS(LdBMember,$A1743,LdBKey,"&lt;"&amp;$G1743)+COUNTIFS(LdCParty,$A1743,LdCKey,"&lt;"&amp;$G1743)+1)</f>
        <v/>
      </c>
      <c r="I1743">
        <f>IF($H1743="","",$A1743&amp;"|"&amp;RIGHT("000000"&amp;$H1743,6))</f>
        <v/>
      </c>
      <c r="J1743">
        <f>IF(OR($B1743&lt;&gt;2,$G1743=""),"",COUNTIFS(LdAParty,$A1743,LdAType,2,LdAKey,"&lt;"&amp;$G1743)+1)</f>
        <v/>
      </c>
      <c r="K1743">
        <f>IF($J1743="","",$A1743&amp;"|"&amp;RIGHT("000000"&amp;$J1743,6))</f>
        <v/>
      </c>
      <c r="L1743">
        <f>IF($A1743="","",IF(Wages!$G1746="",0,Wages!$G1746))</f>
        <v/>
      </c>
      <c r="M1743">
        <f>IF($A1743="","",Wages!$J1746)</f>
        <v/>
      </c>
      <c r="N1743">
        <f>IF($A1743="","",Wages!$D1746)</f>
        <v/>
      </c>
      <c r="P1743">
        <f>IF(OR(Shares!$B1746="",Shares!$C1746=""),"",Shares!$C1746)</f>
        <v/>
      </c>
      <c r="Q1743">
        <f>IF($P1743="","",Shares!$B1746)</f>
        <v/>
      </c>
      <c r="R1743">
        <f>IF($P1743="","",IFERROR(INDEX(WageParty,MATCH($Q1743,WageIds,0)),""))</f>
        <v/>
      </c>
      <c r="S1743">
        <f>IF($P1743="","",IFERROR(INDEX($F$6:$F$2005,MATCH($Q1743,WageIds,0)),""))</f>
        <v/>
      </c>
      <c r="T1743">
        <f>IF(OR($P1743="",$S1743="",$S1743="نامعتبر"),"",LEFT($S1743,4)&amp;MID($S1743,6,2)&amp;RIGHT($S1743,2)&amp;"0000"&amp;"|"&amp;"2"&amp;RIGHT("00000"&amp;1738,5))</f>
        <v/>
      </c>
      <c r="U1743">
        <f>IF($T1743="","",COUNTIFS(LdAParty,$P1743,LdAType,1,LdAKey,"&lt;"&amp;$T1743)+COUNTIFS(LdBMember,$P1743,LdBKey,"&lt;"&amp;$T1743)+COUNTIFS(LdCParty,$P1743,LdCKey,"&lt;"&amp;$T1743)+1)</f>
        <v/>
      </c>
      <c r="V1743">
        <f>IF($U1743="","",$P1743&amp;"|"&amp;RIGHT("000000"&amp;$U1743,6))</f>
        <v/>
      </c>
      <c r="W1743">
        <f>IF($T1743="","",COUNTIFS(LdBGroup,$R1743,LdBKey,"&lt;"&amp;$T1743)+1)</f>
        <v/>
      </c>
      <c r="X1743">
        <f>IF($W1743="","",$R1743&amp;"|"&amp;RIGHT("000000"&amp;$W1743,6))</f>
        <v/>
      </c>
      <c r="Y1743">
        <f>IF($P1743="","",IF(Shares!$E1746="",0,Shares!$E1746))</f>
        <v/>
      </c>
      <c r="Z1743">
        <f>IF($P1743="","",Shares!$H1746)</f>
        <v/>
      </c>
      <c r="AE1743">
        <f>IF(OR(Sync!$S1743="",Sync!$P1743=""),"",Sync!$S1743)</f>
        <v/>
      </c>
      <c r="AF1743">
        <f>IF($AE1743="","",IF(ISNUMBER(Sync!$P1743),IF(AND(Sync!$P1743&gt;=10000101,Sync!$P1743&lt;=99991231),INT(Sync!$P1743/10000),""),IFERROR(VALUE(TRIM(LEFT(Sync!$P1743,FIND("/",Sync!$P1743)-1))),"")))</f>
        <v/>
      </c>
      <c r="AG1743">
        <f>IF(OR($AE1743="",$AF1743=""),"",IF(ISNUMBER(Sync!$P1743),INT(MOD(Sync!$P1743,10000)/100),IFERROR(VALUE(TRIM(LEFT(MID(Sync!$P1743,FIND("/",Sync!$P1743)+1,20),FIND("/",MID(Sync!$P1743,FIND("/",Sync!$P1743)+1,20))-1))),"")))</f>
        <v/>
      </c>
      <c r="AH1743">
        <f>IF(OR($AE1743="",$AF1743=""),"",IF(ISNUMBER(Sync!$P1743),MOD(Sync!$P1743,100),IFERROR(VALUE(TRIM(MID(MID(Sync!$P1743,FIND("/",Sync!$P1743)+1,20),FIND("/",MID(Sync!$P1743,FIND("/",Sync!$P1743)+1,20))+1,20))),"")))</f>
        <v/>
      </c>
      <c r="AI1743">
        <f>IF($AE1743="","",IF(OR($AF1743="",$AG1743="",$AH1743="",$AF1743&lt;1300,$AF1743&gt;1500,$AG1743&lt;1,$AG1743&gt;12,$AH1743&lt;1,$AH1743&gt;31),"نامعتبر",RIGHT("0000"&amp;$AF1743,4)&amp;"/"&amp;RIGHT("00"&amp;$AG1743,2)&amp;"/"&amp;RIGHT("00"&amp;$AH1743,2)))</f>
        <v/>
      </c>
      <c r="AJ1743">
        <f>IF($AE1743="","",IF(Sync!$Q1743="","0000",IF(AND(ISNUMBER(Sync!$Q1743),Sync!$Q1743&gt;=0,Sync!$Q1743&lt;1),RIGHT("00"&amp;HOUR(Sync!$Q1743),2)&amp;RIGHT("00"&amp;MINUTE(Sync!$Q1743),2),IFERROR(RIGHT("00"&amp;VALUE(LEFT(Sync!$Q1743,FIND(":",Sync!$Q1743)-1)),2)&amp;RIGHT("00"&amp;VALUE(MID(Sync!$Q1743,FIND(":",Sync!$Q1743)+1,2)),2),"0000"))))</f>
        <v/>
      </c>
      <c r="AK1743">
        <f>IF(OR($AE1743="",$AI1743="",$AI1743="نامعتبر"),"",LEFT($AI1743,4)&amp;MID($AI1743,6,2)&amp;RIGHT($AI1743,2)&amp;$AJ1743&amp;"|"&amp;"3"&amp;RIGHT("00000"&amp;1738,5))</f>
        <v/>
      </c>
      <c r="AL1743">
        <f>IF($AK1743="","",COUNTIFS(LdAParty,$AE1743,LdAType,1,LdAKey,"&lt;"&amp;$AK1743)+COUNTIFS(LdBMember,$AE1743,LdBKey,"&lt;"&amp;$AK1743)+COUNTIFS(LdCParty,$AE1743,LdCKey,"&lt;"&amp;$AK1743)+1)</f>
        <v/>
      </c>
      <c r="AM1743">
        <f>IF($AL1743="","",$AE1743&amp;"|"&amp;RIGHT("000000"&amp;$AL1743,6))</f>
        <v/>
      </c>
      <c r="AN1743">
        <f>IF($AE1743="","",IF(Sync!$W1743="",0,Sync!$W1743))</f>
        <v/>
      </c>
      <c r="AO1743">
        <f>IF($AE1743="","",IF(Sync!$X1743="",0,Sync!$X1743))</f>
        <v/>
      </c>
      <c r="AP1743">
        <f>IF($AE1743="","",Sync!$R1743)</f>
        <v/>
      </c>
      <c r="AQ1743">
        <f>IF($AE1743="","",Sync!$Y1743)</f>
        <v/>
      </c>
    </row>
    <row r="1744">
      <c r="A1744">
        <f>IF(OR(Wages!$B1747="",Wages!$E1747=""),"",Wages!$E1747)</f>
        <v/>
      </c>
      <c r="B1744">
        <f>IF($A1744="","",IF(Wages!$C1747="دستمزد گروهی",2,1))</f>
        <v/>
      </c>
      <c r="C1744">
        <f>IF($A1744="","",IF(ISNUMBER(Wages!$B1747),IF(AND(Wages!$B1747&gt;=10000101,Wages!$B1747&lt;=99991231),INT(Wages!$B1747/10000),""),IFERROR(VALUE(TRIM(LEFT(Wages!$B1747,FIND("/",Wages!$B1747)-1))),"")))</f>
        <v/>
      </c>
      <c r="D1744">
        <f>IF(OR($A1744="",$C1744=""),"",IF(ISNUMBER(Wages!$B1747),INT(MOD(Wages!$B1747,10000)/100),IFERROR(VALUE(TRIM(LEFT(MID(Wages!$B1747,FIND("/",Wages!$B1747)+1,20),FIND("/",MID(Wages!$B1747,FIND("/",Wages!$B1747)+1,20))-1))),"")))</f>
        <v/>
      </c>
      <c r="E1744">
        <f>IF(OR($A1744="",$C1744=""),"",IF(ISNUMBER(Wages!$B1747),MOD(Wages!$B1747,100),IFERROR(VALUE(TRIM(MID(MID(Wages!$B1747,FIND("/",Wages!$B1747)+1,20),FIND("/",MID(Wages!$B1747,FIND("/",Wages!$B1747)+1,20))+1,20))),"")))</f>
        <v/>
      </c>
      <c r="F1744">
        <f>IF($A1744="","",IF(OR($C1744="",$D1744="",$E1744="",$C1744&lt;1300,$C1744&gt;1500,$D1744&lt;1,$D1744&gt;12,$E1744&lt;1,$E1744&gt;31),"نامعتبر",RIGHT("0000"&amp;$C1744,4)&amp;"/"&amp;RIGHT("00"&amp;$D1744,2)&amp;"/"&amp;RIGHT("00"&amp;$E1744,2)))</f>
        <v/>
      </c>
      <c r="G1744">
        <f>IF(OR($A1744="",$F1744="",$F1744="نامعتبر"),"",LEFT($F1744,4)&amp;MID($F1744,6,2)&amp;RIGHT($F1744,2)&amp;"0000"&amp;"|"&amp;"1"&amp;RIGHT("00000"&amp;1739,5))</f>
        <v/>
      </c>
      <c r="H1744">
        <f>IF(OR($B1744&lt;&gt;1,$G1744=""),"",COUNTIFS(LdAParty,$A1744,LdAType,1,LdAKey,"&lt;"&amp;$G1744)+COUNTIFS(LdBMember,$A1744,LdBKey,"&lt;"&amp;$G1744)+COUNTIFS(LdCParty,$A1744,LdCKey,"&lt;"&amp;$G1744)+1)</f>
        <v/>
      </c>
      <c r="I1744">
        <f>IF($H1744="","",$A1744&amp;"|"&amp;RIGHT("000000"&amp;$H1744,6))</f>
        <v/>
      </c>
      <c r="J1744">
        <f>IF(OR($B1744&lt;&gt;2,$G1744=""),"",COUNTIFS(LdAParty,$A1744,LdAType,2,LdAKey,"&lt;"&amp;$G1744)+1)</f>
        <v/>
      </c>
      <c r="K1744">
        <f>IF($J1744="","",$A1744&amp;"|"&amp;RIGHT("000000"&amp;$J1744,6))</f>
        <v/>
      </c>
      <c r="L1744">
        <f>IF($A1744="","",IF(Wages!$G1747="",0,Wages!$G1747))</f>
        <v/>
      </c>
      <c r="M1744">
        <f>IF($A1744="","",Wages!$J1747)</f>
        <v/>
      </c>
      <c r="N1744">
        <f>IF($A1744="","",Wages!$D1747)</f>
        <v/>
      </c>
      <c r="P1744">
        <f>IF(OR(Shares!$B1747="",Shares!$C1747=""),"",Shares!$C1747)</f>
        <v/>
      </c>
      <c r="Q1744">
        <f>IF($P1744="","",Shares!$B1747)</f>
        <v/>
      </c>
      <c r="R1744">
        <f>IF($P1744="","",IFERROR(INDEX(WageParty,MATCH($Q1744,WageIds,0)),""))</f>
        <v/>
      </c>
      <c r="S1744">
        <f>IF($P1744="","",IFERROR(INDEX($F$6:$F$2005,MATCH($Q1744,WageIds,0)),""))</f>
        <v/>
      </c>
      <c r="T1744">
        <f>IF(OR($P1744="",$S1744="",$S1744="نامعتبر"),"",LEFT($S1744,4)&amp;MID($S1744,6,2)&amp;RIGHT($S1744,2)&amp;"0000"&amp;"|"&amp;"2"&amp;RIGHT("00000"&amp;1739,5))</f>
        <v/>
      </c>
      <c r="U1744">
        <f>IF($T1744="","",COUNTIFS(LdAParty,$P1744,LdAType,1,LdAKey,"&lt;"&amp;$T1744)+COUNTIFS(LdBMember,$P1744,LdBKey,"&lt;"&amp;$T1744)+COUNTIFS(LdCParty,$P1744,LdCKey,"&lt;"&amp;$T1744)+1)</f>
        <v/>
      </c>
      <c r="V1744">
        <f>IF($U1744="","",$P1744&amp;"|"&amp;RIGHT("000000"&amp;$U1744,6))</f>
        <v/>
      </c>
      <c r="W1744">
        <f>IF($T1744="","",COUNTIFS(LdBGroup,$R1744,LdBKey,"&lt;"&amp;$T1744)+1)</f>
        <v/>
      </c>
      <c r="X1744">
        <f>IF($W1744="","",$R1744&amp;"|"&amp;RIGHT("000000"&amp;$W1744,6))</f>
        <v/>
      </c>
      <c r="Y1744">
        <f>IF($P1744="","",IF(Shares!$E1747="",0,Shares!$E1747))</f>
        <v/>
      </c>
      <c r="Z1744">
        <f>IF($P1744="","",Shares!$H1747)</f>
        <v/>
      </c>
      <c r="AE1744">
        <f>IF(OR(Sync!$S1744="",Sync!$P1744=""),"",Sync!$S1744)</f>
        <v/>
      </c>
      <c r="AF1744">
        <f>IF($AE1744="","",IF(ISNUMBER(Sync!$P1744),IF(AND(Sync!$P1744&gt;=10000101,Sync!$P1744&lt;=99991231),INT(Sync!$P1744/10000),""),IFERROR(VALUE(TRIM(LEFT(Sync!$P1744,FIND("/",Sync!$P1744)-1))),"")))</f>
        <v/>
      </c>
      <c r="AG1744">
        <f>IF(OR($AE1744="",$AF1744=""),"",IF(ISNUMBER(Sync!$P1744),INT(MOD(Sync!$P1744,10000)/100),IFERROR(VALUE(TRIM(LEFT(MID(Sync!$P1744,FIND("/",Sync!$P1744)+1,20),FIND("/",MID(Sync!$P1744,FIND("/",Sync!$P1744)+1,20))-1))),"")))</f>
        <v/>
      </c>
      <c r="AH1744">
        <f>IF(OR($AE1744="",$AF1744=""),"",IF(ISNUMBER(Sync!$P1744),MOD(Sync!$P1744,100),IFERROR(VALUE(TRIM(MID(MID(Sync!$P1744,FIND("/",Sync!$P1744)+1,20),FIND("/",MID(Sync!$P1744,FIND("/",Sync!$P1744)+1,20))+1,20))),"")))</f>
        <v/>
      </c>
      <c r="AI1744">
        <f>IF($AE1744="","",IF(OR($AF1744="",$AG1744="",$AH1744="",$AF1744&lt;1300,$AF1744&gt;1500,$AG1744&lt;1,$AG1744&gt;12,$AH1744&lt;1,$AH1744&gt;31),"نامعتبر",RIGHT("0000"&amp;$AF1744,4)&amp;"/"&amp;RIGHT("00"&amp;$AG1744,2)&amp;"/"&amp;RIGHT("00"&amp;$AH1744,2)))</f>
        <v/>
      </c>
      <c r="AJ1744">
        <f>IF($AE1744="","",IF(Sync!$Q1744="","0000",IF(AND(ISNUMBER(Sync!$Q1744),Sync!$Q1744&gt;=0,Sync!$Q1744&lt;1),RIGHT("00"&amp;HOUR(Sync!$Q1744),2)&amp;RIGHT("00"&amp;MINUTE(Sync!$Q1744),2),IFERROR(RIGHT("00"&amp;VALUE(LEFT(Sync!$Q1744,FIND(":",Sync!$Q1744)-1)),2)&amp;RIGHT("00"&amp;VALUE(MID(Sync!$Q1744,FIND(":",Sync!$Q1744)+1,2)),2),"0000"))))</f>
        <v/>
      </c>
      <c r="AK1744">
        <f>IF(OR($AE1744="",$AI1744="",$AI1744="نامعتبر"),"",LEFT($AI1744,4)&amp;MID($AI1744,6,2)&amp;RIGHT($AI1744,2)&amp;$AJ1744&amp;"|"&amp;"3"&amp;RIGHT("00000"&amp;1739,5))</f>
        <v/>
      </c>
      <c r="AL1744">
        <f>IF($AK1744="","",COUNTIFS(LdAParty,$AE1744,LdAType,1,LdAKey,"&lt;"&amp;$AK1744)+COUNTIFS(LdBMember,$AE1744,LdBKey,"&lt;"&amp;$AK1744)+COUNTIFS(LdCParty,$AE1744,LdCKey,"&lt;"&amp;$AK1744)+1)</f>
        <v/>
      </c>
      <c r="AM1744">
        <f>IF($AL1744="","",$AE1744&amp;"|"&amp;RIGHT("000000"&amp;$AL1744,6))</f>
        <v/>
      </c>
      <c r="AN1744">
        <f>IF($AE1744="","",IF(Sync!$W1744="",0,Sync!$W1744))</f>
        <v/>
      </c>
      <c r="AO1744">
        <f>IF($AE1744="","",IF(Sync!$X1744="",0,Sync!$X1744))</f>
        <v/>
      </c>
      <c r="AP1744">
        <f>IF($AE1744="","",Sync!$R1744)</f>
        <v/>
      </c>
      <c r="AQ1744">
        <f>IF($AE1744="","",Sync!$Y1744)</f>
        <v/>
      </c>
    </row>
    <row r="1745">
      <c r="A1745">
        <f>IF(OR(Wages!$B1748="",Wages!$E1748=""),"",Wages!$E1748)</f>
        <v/>
      </c>
      <c r="B1745">
        <f>IF($A1745="","",IF(Wages!$C1748="دستمزد گروهی",2,1))</f>
        <v/>
      </c>
      <c r="C1745">
        <f>IF($A1745="","",IF(ISNUMBER(Wages!$B1748),IF(AND(Wages!$B1748&gt;=10000101,Wages!$B1748&lt;=99991231),INT(Wages!$B1748/10000),""),IFERROR(VALUE(TRIM(LEFT(Wages!$B1748,FIND("/",Wages!$B1748)-1))),"")))</f>
        <v/>
      </c>
      <c r="D1745">
        <f>IF(OR($A1745="",$C1745=""),"",IF(ISNUMBER(Wages!$B1748),INT(MOD(Wages!$B1748,10000)/100),IFERROR(VALUE(TRIM(LEFT(MID(Wages!$B1748,FIND("/",Wages!$B1748)+1,20),FIND("/",MID(Wages!$B1748,FIND("/",Wages!$B1748)+1,20))-1))),"")))</f>
        <v/>
      </c>
      <c r="E1745">
        <f>IF(OR($A1745="",$C1745=""),"",IF(ISNUMBER(Wages!$B1748),MOD(Wages!$B1748,100),IFERROR(VALUE(TRIM(MID(MID(Wages!$B1748,FIND("/",Wages!$B1748)+1,20),FIND("/",MID(Wages!$B1748,FIND("/",Wages!$B1748)+1,20))+1,20))),"")))</f>
        <v/>
      </c>
      <c r="F1745">
        <f>IF($A1745="","",IF(OR($C1745="",$D1745="",$E1745="",$C1745&lt;1300,$C1745&gt;1500,$D1745&lt;1,$D1745&gt;12,$E1745&lt;1,$E1745&gt;31),"نامعتبر",RIGHT("0000"&amp;$C1745,4)&amp;"/"&amp;RIGHT("00"&amp;$D1745,2)&amp;"/"&amp;RIGHT("00"&amp;$E1745,2)))</f>
        <v/>
      </c>
      <c r="G1745">
        <f>IF(OR($A1745="",$F1745="",$F1745="نامعتبر"),"",LEFT($F1745,4)&amp;MID($F1745,6,2)&amp;RIGHT($F1745,2)&amp;"0000"&amp;"|"&amp;"1"&amp;RIGHT("00000"&amp;1740,5))</f>
        <v/>
      </c>
      <c r="H1745">
        <f>IF(OR($B1745&lt;&gt;1,$G1745=""),"",COUNTIFS(LdAParty,$A1745,LdAType,1,LdAKey,"&lt;"&amp;$G1745)+COUNTIFS(LdBMember,$A1745,LdBKey,"&lt;"&amp;$G1745)+COUNTIFS(LdCParty,$A1745,LdCKey,"&lt;"&amp;$G1745)+1)</f>
        <v/>
      </c>
      <c r="I1745">
        <f>IF($H1745="","",$A1745&amp;"|"&amp;RIGHT("000000"&amp;$H1745,6))</f>
        <v/>
      </c>
      <c r="J1745">
        <f>IF(OR($B1745&lt;&gt;2,$G1745=""),"",COUNTIFS(LdAParty,$A1745,LdAType,2,LdAKey,"&lt;"&amp;$G1745)+1)</f>
        <v/>
      </c>
      <c r="K1745">
        <f>IF($J1745="","",$A1745&amp;"|"&amp;RIGHT("000000"&amp;$J1745,6))</f>
        <v/>
      </c>
      <c r="L1745">
        <f>IF($A1745="","",IF(Wages!$G1748="",0,Wages!$G1748))</f>
        <v/>
      </c>
      <c r="M1745">
        <f>IF($A1745="","",Wages!$J1748)</f>
        <v/>
      </c>
      <c r="N1745">
        <f>IF($A1745="","",Wages!$D1748)</f>
        <v/>
      </c>
      <c r="P1745">
        <f>IF(OR(Shares!$B1748="",Shares!$C1748=""),"",Shares!$C1748)</f>
        <v/>
      </c>
      <c r="Q1745">
        <f>IF($P1745="","",Shares!$B1748)</f>
        <v/>
      </c>
      <c r="R1745">
        <f>IF($P1745="","",IFERROR(INDEX(WageParty,MATCH($Q1745,WageIds,0)),""))</f>
        <v/>
      </c>
      <c r="S1745">
        <f>IF($P1745="","",IFERROR(INDEX($F$6:$F$2005,MATCH($Q1745,WageIds,0)),""))</f>
        <v/>
      </c>
      <c r="T1745">
        <f>IF(OR($P1745="",$S1745="",$S1745="نامعتبر"),"",LEFT($S1745,4)&amp;MID($S1745,6,2)&amp;RIGHT($S1745,2)&amp;"0000"&amp;"|"&amp;"2"&amp;RIGHT("00000"&amp;1740,5))</f>
        <v/>
      </c>
      <c r="U1745">
        <f>IF($T1745="","",COUNTIFS(LdAParty,$P1745,LdAType,1,LdAKey,"&lt;"&amp;$T1745)+COUNTIFS(LdBMember,$P1745,LdBKey,"&lt;"&amp;$T1745)+COUNTIFS(LdCParty,$P1745,LdCKey,"&lt;"&amp;$T1745)+1)</f>
        <v/>
      </c>
      <c r="V1745">
        <f>IF($U1745="","",$P1745&amp;"|"&amp;RIGHT("000000"&amp;$U1745,6))</f>
        <v/>
      </c>
      <c r="W1745">
        <f>IF($T1745="","",COUNTIFS(LdBGroup,$R1745,LdBKey,"&lt;"&amp;$T1745)+1)</f>
        <v/>
      </c>
      <c r="X1745">
        <f>IF($W1745="","",$R1745&amp;"|"&amp;RIGHT("000000"&amp;$W1745,6))</f>
        <v/>
      </c>
      <c r="Y1745">
        <f>IF($P1745="","",IF(Shares!$E1748="",0,Shares!$E1748))</f>
        <v/>
      </c>
      <c r="Z1745">
        <f>IF($P1745="","",Shares!$H1748)</f>
        <v/>
      </c>
      <c r="AE1745">
        <f>IF(OR(Sync!$S1745="",Sync!$P1745=""),"",Sync!$S1745)</f>
        <v/>
      </c>
      <c r="AF1745">
        <f>IF($AE1745="","",IF(ISNUMBER(Sync!$P1745),IF(AND(Sync!$P1745&gt;=10000101,Sync!$P1745&lt;=99991231),INT(Sync!$P1745/10000),""),IFERROR(VALUE(TRIM(LEFT(Sync!$P1745,FIND("/",Sync!$P1745)-1))),"")))</f>
        <v/>
      </c>
      <c r="AG1745">
        <f>IF(OR($AE1745="",$AF1745=""),"",IF(ISNUMBER(Sync!$P1745),INT(MOD(Sync!$P1745,10000)/100),IFERROR(VALUE(TRIM(LEFT(MID(Sync!$P1745,FIND("/",Sync!$P1745)+1,20),FIND("/",MID(Sync!$P1745,FIND("/",Sync!$P1745)+1,20))-1))),"")))</f>
        <v/>
      </c>
      <c r="AH1745">
        <f>IF(OR($AE1745="",$AF1745=""),"",IF(ISNUMBER(Sync!$P1745),MOD(Sync!$P1745,100),IFERROR(VALUE(TRIM(MID(MID(Sync!$P1745,FIND("/",Sync!$P1745)+1,20),FIND("/",MID(Sync!$P1745,FIND("/",Sync!$P1745)+1,20))+1,20))),"")))</f>
        <v/>
      </c>
      <c r="AI1745">
        <f>IF($AE1745="","",IF(OR($AF1745="",$AG1745="",$AH1745="",$AF1745&lt;1300,$AF1745&gt;1500,$AG1745&lt;1,$AG1745&gt;12,$AH1745&lt;1,$AH1745&gt;31),"نامعتبر",RIGHT("0000"&amp;$AF1745,4)&amp;"/"&amp;RIGHT("00"&amp;$AG1745,2)&amp;"/"&amp;RIGHT("00"&amp;$AH1745,2)))</f>
        <v/>
      </c>
      <c r="AJ1745">
        <f>IF($AE1745="","",IF(Sync!$Q1745="","0000",IF(AND(ISNUMBER(Sync!$Q1745),Sync!$Q1745&gt;=0,Sync!$Q1745&lt;1),RIGHT("00"&amp;HOUR(Sync!$Q1745),2)&amp;RIGHT("00"&amp;MINUTE(Sync!$Q1745),2),IFERROR(RIGHT("00"&amp;VALUE(LEFT(Sync!$Q1745,FIND(":",Sync!$Q1745)-1)),2)&amp;RIGHT("00"&amp;VALUE(MID(Sync!$Q1745,FIND(":",Sync!$Q1745)+1,2)),2),"0000"))))</f>
        <v/>
      </c>
      <c r="AK1745">
        <f>IF(OR($AE1745="",$AI1745="",$AI1745="نامعتبر"),"",LEFT($AI1745,4)&amp;MID($AI1745,6,2)&amp;RIGHT($AI1745,2)&amp;$AJ1745&amp;"|"&amp;"3"&amp;RIGHT("00000"&amp;1740,5))</f>
        <v/>
      </c>
      <c r="AL1745">
        <f>IF($AK1745="","",COUNTIFS(LdAParty,$AE1745,LdAType,1,LdAKey,"&lt;"&amp;$AK1745)+COUNTIFS(LdBMember,$AE1745,LdBKey,"&lt;"&amp;$AK1745)+COUNTIFS(LdCParty,$AE1745,LdCKey,"&lt;"&amp;$AK1745)+1)</f>
        <v/>
      </c>
      <c r="AM1745">
        <f>IF($AL1745="","",$AE1745&amp;"|"&amp;RIGHT("000000"&amp;$AL1745,6))</f>
        <v/>
      </c>
      <c r="AN1745">
        <f>IF($AE1745="","",IF(Sync!$W1745="",0,Sync!$W1745))</f>
        <v/>
      </c>
      <c r="AO1745">
        <f>IF($AE1745="","",IF(Sync!$X1745="",0,Sync!$X1745))</f>
        <v/>
      </c>
      <c r="AP1745">
        <f>IF($AE1745="","",Sync!$R1745)</f>
        <v/>
      </c>
      <c r="AQ1745">
        <f>IF($AE1745="","",Sync!$Y1745)</f>
        <v/>
      </c>
    </row>
    <row r="1746">
      <c r="A1746">
        <f>IF(OR(Wages!$B1749="",Wages!$E1749=""),"",Wages!$E1749)</f>
        <v/>
      </c>
      <c r="B1746">
        <f>IF($A1746="","",IF(Wages!$C1749="دستمزد گروهی",2,1))</f>
        <v/>
      </c>
      <c r="C1746">
        <f>IF($A1746="","",IF(ISNUMBER(Wages!$B1749),IF(AND(Wages!$B1749&gt;=10000101,Wages!$B1749&lt;=99991231),INT(Wages!$B1749/10000),""),IFERROR(VALUE(TRIM(LEFT(Wages!$B1749,FIND("/",Wages!$B1749)-1))),"")))</f>
        <v/>
      </c>
      <c r="D1746">
        <f>IF(OR($A1746="",$C1746=""),"",IF(ISNUMBER(Wages!$B1749),INT(MOD(Wages!$B1749,10000)/100),IFERROR(VALUE(TRIM(LEFT(MID(Wages!$B1749,FIND("/",Wages!$B1749)+1,20),FIND("/",MID(Wages!$B1749,FIND("/",Wages!$B1749)+1,20))-1))),"")))</f>
        <v/>
      </c>
      <c r="E1746">
        <f>IF(OR($A1746="",$C1746=""),"",IF(ISNUMBER(Wages!$B1749),MOD(Wages!$B1749,100),IFERROR(VALUE(TRIM(MID(MID(Wages!$B1749,FIND("/",Wages!$B1749)+1,20),FIND("/",MID(Wages!$B1749,FIND("/",Wages!$B1749)+1,20))+1,20))),"")))</f>
        <v/>
      </c>
      <c r="F1746">
        <f>IF($A1746="","",IF(OR($C1746="",$D1746="",$E1746="",$C1746&lt;1300,$C1746&gt;1500,$D1746&lt;1,$D1746&gt;12,$E1746&lt;1,$E1746&gt;31),"نامعتبر",RIGHT("0000"&amp;$C1746,4)&amp;"/"&amp;RIGHT("00"&amp;$D1746,2)&amp;"/"&amp;RIGHT("00"&amp;$E1746,2)))</f>
        <v/>
      </c>
      <c r="G1746">
        <f>IF(OR($A1746="",$F1746="",$F1746="نامعتبر"),"",LEFT($F1746,4)&amp;MID($F1746,6,2)&amp;RIGHT($F1746,2)&amp;"0000"&amp;"|"&amp;"1"&amp;RIGHT("00000"&amp;1741,5))</f>
        <v/>
      </c>
      <c r="H1746">
        <f>IF(OR($B1746&lt;&gt;1,$G1746=""),"",COUNTIFS(LdAParty,$A1746,LdAType,1,LdAKey,"&lt;"&amp;$G1746)+COUNTIFS(LdBMember,$A1746,LdBKey,"&lt;"&amp;$G1746)+COUNTIFS(LdCParty,$A1746,LdCKey,"&lt;"&amp;$G1746)+1)</f>
        <v/>
      </c>
      <c r="I1746">
        <f>IF($H1746="","",$A1746&amp;"|"&amp;RIGHT("000000"&amp;$H1746,6))</f>
        <v/>
      </c>
      <c r="J1746">
        <f>IF(OR($B1746&lt;&gt;2,$G1746=""),"",COUNTIFS(LdAParty,$A1746,LdAType,2,LdAKey,"&lt;"&amp;$G1746)+1)</f>
        <v/>
      </c>
      <c r="K1746">
        <f>IF($J1746="","",$A1746&amp;"|"&amp;RIGHT("000000"&amp;$J1746,6))</f>
        <v/>
      </c>
      <c r="L1746">
        <f>IF($A1746="","",IF(Wages!$G1749="",0,Wages!$G1749))</f>
        <v/>
      </c>
      <c r="M1746">
        <f>IF($A1746="","",Wages!$J1749)</f>
        <v/>
      </c>
      <c r="N1746">
        <f>IF($A1746="","",Wages!$D1749)</f>
        <v/>
      </c>
      <c r="P1746">
        <f>IF(OR(Shares!$B1749="",Shares!$C1749=""),"",Shares!$C1749)</f>
        <v/>
      </c>
      <c r="Q1746">
        <f>IF($P1746="","",Shares!$B1749)</f>
        <v/>
      </c>
      <c r="R1746">
        <f>IF($P1746="","",IFERROR(INDEX(WageParty,MATCH($Q1746,WageIds,0)),""))</f>
        <v/>
      </c>
      <c r="S1746">
        <f>IF($P1746="","",IFERROR(INDEX($F$6:$F$2005,MATCH($Q1746,WageIds,0)),""))</f>
        <v/>
      </c>
      <c r="T1746">
        <f>IF(OR($P1746="",$S1746="",$S1746="نامعتبر"),"",LEFT($S1746,4)&amp;MID($S1746,6,2)&amp;RIGHT($S1746,2)&amp;"0000"&amp;"|"&amp;"2"&amp;RIGHT("00000"&amp;1741,5))</f>
        <v/>
      </c>
      <c r="U1746">
        <f>IF($T1746="","",COUNTIFS(LdAParty,$P1746,LdAType,1,LdAKey,"&lt;"&amp;$T1746)+COUNTIFS(LdBMember,$P1746,LdBKey,"&lt;"&amp;$T1746)+COUNTIFS(LdCParty,$P1746,LdCKey,"&lt;"&amp;$T1746)+1)</f>
        <v/>
      </c>
      <c r="V1746">
        <f>IF($U1746="","",$P1746&amp;"|"&amp;RIGHT("000000"&amp;$U1746,6))</f>
        <v/>
      </c>
      <c r="W1746">
        <f>IF($T1746="","",COUNTIFS(LdBGroup,$R1746,LdBKey,"&lt;"&amp;$T1746)+1)</f>
        <v/>
      </c>
      <c r="X1746">
        <f>IF($W1746="","",$R1746&amp;"|"&amp;RIGHT("000000"&amp;$W1746,6))</f>
        <v/>
      </c>
      <c r="Y1746">
        <f>IF($P1746="","",IF(Shares!$E1749="",0,Shares!$E1749))</f>
        <v/>
      </c>
      <c r="Z1746">
        <f>IF($P1746="","",Shares!$H1749)</f>
        <v/>
      </c>
      <c r="AE1746">
        <f>IF(OR(Sync!$S1746="",Sync!$P1746=""),"",Sync!$S1746)</f>
        <v/>
      </c>
      <c r="AF1746">
        <f>IF($AE1746="","",IF(ISNUMBER(Sync!$P1746),IF(AND(Sync!$P1746&gt;=10000101,Sync!$P1746&lt;=99991231),INT(Sync!$P1746/10000),""),IFERROR(VALUE(TRIM(LEFT(Sync!$P1746,FIND("/",Sync!$P1746)-1))),"")))</f>
        <v/>
      </c>
      <c r="AG1746">
        <f>IF(OR($AE1746="",$AF1746=""),"",IF(ISNUMBER(Sync!$P1746),INT(MOD(Sync!$P1746,10000)/100),IFERROR(VALUE(TRIM(LEFT(MID(Sync!$P1746,FIND("/",Sync!$P1746)+1,20),FIND("/",MID(Sync!$P1746,FIND("/",Sync!$P1746)+1,20))-1))),"")))</f>
        <v/>
      </c>
      <c r="AH1746">
        <f>IF(OR($AE1746="",$AF1746=""),"",IF(ISNUMBER(Sync!$P1746),MOD(Sync!$P1746,100),IFERROR(VALUE(TRIM(MID(MID(Sync!$P1746,FIND("/",Sync!$P1746)+1,20),FIND("/",MID(Sync!$P1746,FIND("/",Sync!$P1746)+1,20))+1,20))),"")))</f>
        <v/>
      </c>
      <c r="AI1746">
        <f>IF($AE1746="","",IF(OR($AF1746="",$AG1746="",$AH1746="",$AF1746&lt;1300,$AF1746&gt;1500,$AG1746&lt;1,$AG1746&gt;12,$AH1746&lt;1,$AH1746&gt;31),"نامعتبر",RIGHT("0000"&amp;$AF1746,4)&amp;"/"&amp;RIGHT("00"&amp;$AG1746,2)&amp;"/"&amp;RIGHT("00"&amp;$AH1746,2)))</f>
        <v/>
      </c>
      <c r="AJ1746">
        <f>IF($AE1746="","",IF(Sync!$Q1746="","0000",IF(AND(ISNUMBER(Sync!$Q1746),Sync!$Q1746&gt;=0,Sync!$Q1746&lt;1),RIGHT("00"&amp;HOUR(Sync!$Q1746),2)&amp;RIGHT("00"&amp;MINUTE(Sync!$Q1746),2),IFERROR(RIGHT("00"&amp;VALUE(LEFT(Sync!$Q1746,FIND(":",Sync!$Q1746)-1)),2)&amp;RIGHT("00"&amp;VALUE(MID(Sync!$Q1746,FIND(":",Sync!$Q1746)+1,2)),2),"0000"))))</f>
        <v/>
      </c>
      <c r="AK1746">
        <f>IF(OR($AE1746="",$AI1746="",$AI1746="نامعتبر"),"",LEFT($AI1746,4)&amp;MID($AI1746,6,2)&amp;RIGHT($AI1746,2)&amp;$AJ1746&amp;"|"&amp;"3"&amp;RIGHT("00000"&amp;1741,5))</f>
        <v/>
      </c>
      <c r="AL1746">
        <f>IF($AK1746="","",COUNTIFS(LdAParty,$AE1746,LdAType,1,LdAKey,"&lt;"&amp;$AK1746)+COUNTIFS(LdBMember,$AE1746,LdBKey,"&lt;"&amp;$AK1746)+COUNTIFS(LdCParty,$AE1746,LdCKey,"&lt;"&amp;$AK1746)+1)</f>
        <v/>
      </c>
      <c r="AM1746">
        <f>IF($AL1746="","",$AE1746&amp;"|"&amp;RIGHT("000000"&amp;$AL1746,6))</f>
        <v/>
      </c>
      <c r="AN1746">
        <f>IF($AE1746="","",IF(Sync!$W1746="",0,Sync!$W1746))</f>
        <v/>
      </c>
      <c r="AO1746">
        <f>IF($AE1746="","",IF(Sync!$X1746="",0,Sync!$X1746))</f>
        <v/>
      </c>
      <c r="AP1746">
        <f>IF($AE1746="","",Sync!$R1746)</f>
        <v/>
      </c>
      <c r="AQ1746">
        <f>IF($AE1746="","",Sync!$Y1746)</f>
        <v/>
      </c>
    </row>
    <row r="1747">
      <c r="A1747">
        <f>IF(OR(Wages!$B1750="",Wages!$E1750=""),"",Wages!$E1750)</f>
        <v/>
      </c>
      <c r="B1747">
        <f>IF($A1747="","",IF(Wages!$C1750="دستمزد گروهی",2,1))</f>
        <v/>
      </c>
      <c r="C1747">
        <f>IF($A1747="","",IF(ISNUMBER(Wages!$B1750),IF(AND(Wages!$B1750&gt;=10000101,Wages!$B1750&lt;=99991231),INT(Wages!$B1750/10000),""),IFERROR(VALUE(TRIM(LEFT(Wages!$B1750,FIND("/",Wages!$B1750)-1))),"")))</f>
        <v/>
      </c>
      <c r="D1747">
        <f>IF(OR($A1747="",$C1747=""),"",IF(ISNUMBER(Wages!$B1750),INT(MOD(Wages!$B1750,10000)/100),IFERROR(VALUE(TRIM(LEFT(MID(Wages!$B1750,FIND("/",Wages!$B1750)+1,20),FIND("/",MID(Wages!$B1750,FIND("/",Wages!$B1750)+1,20))-1))),"")))</f>
        <v/>
      </c>
      <c r="E1747">
        <f>IF(OR($A1747="",$C1747=""),"",IF(ISNUMBER(Wages!$B1750),MOD(Wages!$B1750,100),IFERROR(VALUE(TRIM(MID(MID(Wages!$B1750,FIND("/",Wages!$B1750)+1,20),FIND("/",MID(Wages!$B1750,FIND("/",Wages!$B1750)+1,20))+1,20))),"")))</f>
        <v/>
      </c>
      <c r="F1747">
        <f>IF($A1747="","",IF(OR($C1747="",$D1747="",$E1747="",$C1747&lt;1300,$C1747&gt;1500,$D1747&lt;1,$D1747&gt;12,$E1747&lt;1,$E1747&gt;31),"نامعتبر",RIGHT("0000"&amp;$C1747,4)&amp;"/"&amp;RIGHT("00"&amp;$D1747,2)&amp;"/"&amp;RIGHT("00"&amp;$E1747,2)))</f>
        <v/>
      </c>
      <c r="G1747">
        <f>IF(OR($A1747="",$F1747="",$F1747="نامعتبر"),"",LEFT($F1747,4)&amp;MID($F1747,6,2)&amp;RIGHT($F1747,2)&amp;"0000"&amp;"|"&amp;"1"&amp;RIGHT("00000"&amp;1742,5))</f>
        <v/>
      </c>
      <c r="H1747">
        <f>IF(OR($B1747&lt;&gt;1,$G1747=""),"",COUNTIFS(LdAParty,$A1747,LdAType,1,LdAKey,"&lt;"&amp;$G1747)+COUNTIFS(LdBMember,$A1747,LdBKey,"&lt;"&amp;$G1747)+COUNTIFS(LdCParty,$A1747,LdCKey,"&lt;"&amp;$G1747)+1)</f>
        <v/>
      </c>
      <c r="I1747">
        <f>IF($H1747="","",$A1747&amp;"|"&amp;RIGHT("000000"&amp;$H1747,6))</f>
        <v/>
      </c>
      <c r="J1747">
        <f>IF(OR($B1747&lt;&gt;2,$G1747=""),"",COUNTIFS(LdAParty,$A1747,LdAType,2,LdAKey,"&lt;"&amp;$G1747)+1)</f>
        <v/>
      </c>
      <c r="K1747">
        <f>IF($J1747="","",$A1747&amp;"|"&amp;RIGHT("000000"&amp;$J1747,6))</f>
        <v/>
      </c>
      <c r="L1747">
        <f>IF($A1747="","",IF(Wages!$G1750="",0,Wages!$G1750))</f>
        <v/>
      </c>
      <c r="M1747">
        <f>IF($A1747="","",Wages!$J1750)</f>
        <v/>
      </c>
      <c r="N1747">
        <f>IF($A1747="","",Wages!$D1750)</f>
        <v/>
      </c>
      <c r="P1747">
        <f>IF(OR(Shares!$B1750="",Shares!$C1750=""),"",Shares!$C1750)</f>
        <v/>
      </c>
      <c r="Q1747">
        <f>IF($P1747="","",Shares!$B1750)</f>
        <v/>
      </c>
      <c r="R1747">
        <f>IF($P1747="","",IFERROR(INDEX(WageParty,MATCH($Q1747,WageIds,0)),""))</f>
        <v/>
      </c>
      <c r="S1747">
        <f>IF($P1747="","",IFERROR(INDEX($F$6:$F$2005,MATCH($Q1747,WageIds,0)),""))</f>
        <v/>
      </c>
      <c r="T1747">
        <f>IF(OR($P1747="",$S1747="",$S1747="نامعتبر"),"",LEFT($S1747,4)&amp;MID($S1747,6,2)&amp;RIGHT($S1747,2)&amp;"0000"&amp;"|"&amp;"2"&amp;RIGHT("00000"&amp;1742,5))</f>
        <v/>
      </c>
      <c r="U1747">
        <f>IF($T1747="","",COUNTIFS(LdAParty,$P1747,LdAType,1,LdAKey,"&lt;"&amp;$T1747)+COUNTIFS(LdBMember,$P1747,LdBKey,"&lt;"&amp;$T1747)+COUNTIFS(LdCParty,$P1747,LdCKey,"&lt;"&amp;$T1747)+1)</f>
        <v/>
      </c>
      <c r="V1747">
        <f>IF($U1747="","",$P1747&amp;"|"&amp;RIGHT("000000"&amp;$U1747,6))</f>
        <v/>
      </c>
      <c r="W1747">
        <f>IF($T1747="","",COUNTIFS(LdBGroup,$R1747,LdBKey,"&lt;"&amp;$T1747)+1)</f>
        <v/>
      </c>
      <c r="X1747">
        <f>IF($W1747="","",$R1747&amp;"|"&amp;RIGHT("000000"&amp;$W1747,6))</f>
        <v/>
      </c>
      <c r="Y1747">
        <f>IF($P1747="","",IF(Shares!$E1750="",0,Shares!$E1750))</f>
        <v/>
      </c>
      <c r="Z1747">
        <f>IF($P1747="","",Shares!$H1750)</f>
        <v/>
      </c>
      <c r="AE1747">
        <f>IF(OR(Sync!$S1747="",Sync!$P1747=""),"",Sync!$S1747)</f>
        <v/>
      </c>
      <c r="AF1747">
        <f>IF($AE1747="","",IF(ISNUMBER(Sync!$P1747),IF(AND(Sync!$P1747&gt;=10000101,Sync!$P1747&lt;=99991231),INT(Sync!$P1747/10000),""),IFERROR(VALUE(TRIM(LEFT(Sync!$P1747,FIND("/",Sync!$P1747)-1))),"")))</f>
        <v/>
      </c>
      <c r="AG1747">
        <f>IF(OR($AE1747="",$AF1747=""),"",IF(ISNUMBER(Sync!$P1747),INT(MOD(Sync!$P1747,10000)/100),IFERROR(VALUE(TRIM(LEFT(MID(Sync!$P1747,FIND("/",Sync!$P1747)+1,20),FIND("/",MID(Sync!$P1747,FIND("/",Sync!$P1747)+1,20))-1))),"")))</f>
        <v/>
      </c>
      <c r="AH1747">
        <f>IF(OR($AE1747="",$AF1747=""),"",IF(ISNUMBER(Sync!$P1747),MOD(Sync!$P1747,100),IFERROR(VALUE(TRIM(MID(MID(Sync!$P1747,FIND("/",Sync!$P1747)+1,20),FIND("/",MID(Sync!$P1747,FIND("/",Sync!$P1747)+1,20))+1,20))),"")))</f>
        <v/>
      </c>
      <c r="AI1747">
        <f>IF($AE1747="","",IF(OR($AF1747="",$AG1747="",$AH1747="",$AF1747&lt;1300,$AF1747&gt;1500,$AG1747&lt;1,$AG1747&gt;12,$AH1747&lt;1,$AH1747&gt;31),"نامعتبر",RIGHT("0000"&amp;$AF1747,4)&amp;"/"&amp;RIGHT("00"&amp;$AG1747,2)&amp;"/"&amp;RIGHT("00"&amp;$AH1747,2)))</f>
        <v/>
      </c>
      <c r="AJ1747">
        <f>IF($AE1747="","",IF(Sync!$Q1747="","0000",IF(AND(ISNUMBER(Sync!$Q1747),Sync!$Q1747&gt;=0,Sync!$Q1747&lt;1),RIGHT("00"&amp;HOUR(Sync!$Q1747),2)&amp;RIGHT("00"&amp;MINUTE(Sync!$Q1747),2),IFERROR(RIGHT("00"&amp;VALUE(LEFT(Sync!$Q1747,FIND(":",Sync!$Q1747)-1)),2)&amp;RIGHT("00"&amp;VALUE(MID(Sync!$Q1747,FIND(":",Sync!$Q1747)+1,2)),2),"0000"))))</f>
        <v/>
      </c>
      <c r="AK1747">
        <f>IF(OR($AE1747="",$AI1747="",$AI1747="نامعتبر"),"",LEFT($AI1747,4)&amp;MID($AI1747,6,2)&amp;RIGHT($AI1747,2)&amp;$AJ1747&amp;"|"&amp;"3"&amp;RIGHT("00000"&amp;1742,5))</f>
        <v/>
      </c>
      <c r="AL1747">
        <f>IF($AK1747="","",COUNTIFS(LdAParty,$AE1747,LdAType,1,LdAKey,"&lt;"&amp;$AK1747)+COUNTIFS(LdBMember,$AE1747,LdBKey,"&lt;"&amp;$AK1747)+COUNTIFS(LdCParty,$AE1747,LdCKey,"&lt;"&amp;$AK1747)+1)</f>
        <v/>
      </c>
      <c r="AM1747">
        <f>IF($AL1747="","",$AE1747&amp;"|"&amp;RIGHT("000000"&amp;$AL1747,6))</f>
        <v/>
      </c>
      <c r="AN1747">
        <f>IF($AE1747="","",IF(Sync!$W1747="",0,Sync!$W1747))</f>
        <v/>
      </c>
      <c r="AO1747">
        <f>IF($AE1747="","",IF(Sync!$X1747="",0,Sync!$X1747))</f>
        <v/>
      </c>
      <c r="AP1747">
        <f>IF($AE1747="","",Sync!$R1747)</f>
        <v/>
      </c>
      <c r="AQ1747">
        <f>IF($AE1747="","",Sync!$Y1747)</f>
        <v/>
      </c>
    </row>
    <row r="1748">
      <c r="A1748">
        <f>IF(OR(Wages!$B1751="",Wages!$E1751=""),"",Wages!$E1751)</f>
        <v/>
      </c>
      <c r="B1748">
        <f>IF($A1748="","",IF(Wages!$C1751="دستمزد گروهی",2,1))</f>
        <v/>
      </c>
      <c r="C1748">
        <f>IF($A1748="","",IF(ISNUMBER(Wages!$B1751),IF(AND(Wages!$B1751&gt;=10000101,Wages!$B1751&lt;=99991231),INT(Wages!$B1751/10000),""),IFERROR(VALUE(TRIM(LEFT(Wages!$B1751,FIND("/",Wages!$B1751)-1))),"")))</f>
        <v/>
      </c>
      <c r="D1748">
        <f>IF(OR($A1748="",$C1748=""),"",IF(ISNUMBER(Wages!$B1751),INT(MOD(Wages!$B1751,10000)/100),IFERROR(VALUE(TRIM(LEFT(MID(Wages!$B1751,FIND("/",Wages!$B1751)+1,20),FIND("/",MID(Wages!$B1751,FIND("/",Wages!$B1751)+1,20))-1))),"")))</f>
        <v/>
      </c>
      <c r="E1748">
        <f>IF(OR($A1748="",$C1748=""),"",IF(ISNUMBER(Wages!$B1751),MOD(Wages!$B1751,100),IFERROR(VALUE(TRIM(MID(MID(Wages!$B1751,FIND("/",Wages!$B1751)+1,20),FIND("/",MID(Wages!$B1751,FIND("/",Wages!$B1751)+1,20))+1,20))),"")))</f>
        <v/>
      </c>
      <c r="F1748">
        <f>IF($A1748="","",IF(OR($C1748="",$D1748="",$E1748="",$C1748&lt;1300,$C1748&gt;1500,$D1748&lt;1,$D1748&gt;12,$E1748&lt;1,$E1748&gt;31),"نامعتبر",RIGHT("0000"&amp;$C1748,4)&amp;"/"&amp;RIGHT("00"&amp;$D1748,2)&amp;"/"&amp;RIGHT("00"&amp;$E1748,2)))</f>
        <v/>
      </c>
      <c r="G1748">
        <f>IF(OR($A1748="",$F1748="",$F1748="نامعتبر"),"",LEFT($F1748,4)&amp;MID($F1748,6,2)&amp;RIGHT($F1748,2)&amp;"0000"&amp;"|"&amp;"1"&amp;RIGHT("00000"&amp;1743,5))</f>
        <v/>
      </c>
      <c r="H1748">
        <f>IF(OR($B1748&lt;&gt;1,$G1748=""),"",COUNTIFS(LdAParty,$A1748,LdAType,1,LdAKey,"&lt;"&amp;$G1748)+COUNTIFS(LdBMember,$A1748,LdBKey,"&lt;"&amp;$G1748)+COUNTIFS(LdCParty,$A1748,LdCKey,"&lt;"&amp;$G1748)+1)</f>
        <v/>
      </c>
      <c r="I1748">
        <f>IF($H1748="","",$A1748&amp;"|"&amp;RIGHT("000000"&amp;$H1748,6))</f>
        <v/>
      </c>
      <c r="J1748">
        <f>IF(OR($B1748&lt;&gt;2,$G1748=""),"",COUNTIFS(LdAParty,$A1748,LdAType,2,LdAKey,"&lt;"&amp;$G1748)+1)</f>
        <v/>
      </c>
      <c r="K1748">
        <f>IF($J1748="","",$A1748&amp;"|"&amp;RIGHT("000000"&amp;$J1748,6))</f>
        <v/>
      </c>
      <c r="L1748">
        <f>IF($A1748="","",IF(Wages!$G1751="",0,Wages!$G1751))</f>
        <v/>
      </c>
      <c r="M1748">
        <f>IF($A1748="","",Wages!$J1751)</f>
        <v/>
      </c>
      <c r="N1748">
        <f>IF($A1748="","",Wages!$D1751)</f>
        <v/>
      </c>
      <c r="P1748">
        <f>IF(OR(Shares!$B1751="",Shares!$C1751=""),"",Shares!$C1751)</f>
        <v/>
      </c>
      <c r="Q1748">
        <f>IF($P1748="","",Shares!$B1751)</f>
        <v/>
      </c>
      <c r="R1748">
        <f>IF($P1748="","",IFERROR(INDEX(WageParty,MATCH($Q1748,WageIds,0)),""))</f>
        <v/>
      </c>
      <c r="S1748">
        <f>IF($P1748="","",IFERROR(INDEX($F$6:$F$2005,MATCH($Q1748,WageIds,0)),""))</f>
        <v/>
      </c>
      <c r="T1748">
        <f>IF(OR($P1748="",$S1748="",$S1748="نامعتبر"),"",LEFT($S1748,4)&amp;MID($S1748,6,2)&amp;RIGHT($S1748,2)&amp;"0000"&amp;"|"&amp;"2"&amp;RIGHT("00000"&amp;1743,5))</f>
        <v/>
      </c>
      <c r="U1748">
        <f>IF($T1748="","",COUNTIFS(LdAParty,$P1748,LdAType,1,LdAKey,"&lt;"&amp;$T1748)+COUNTIFS(LdBMember,$P1748,LdBKey,"&lt;"&amp;$T1748)+COUNTIFS(LdCParty,$P1748,LdCKey,"&lt;"&amp;$T1748)+1)</f>
        <v/>
      </c>
      <c r="V1748">
        <f>IF($U1748="","",$P1748&amp;"|"&amp;RIGHT("000000"&amp;$U1748,6))</f>
        <v/>
      </c>
      <c r="W1748">
        <f>IF($T1748="","",COUNTIFS(LdBGroup,$R1748,LdBKey,"&lt;"&amp;$T1748)+1)</f>
        <v/>
      </c>
      <c r="X1748">
        <f>IF($W1748="","",$R1748&amp;"|"&amp;RIGHT("000000"&amp;$W1748,6))</f>
        <v/>
      </c>
      <c r="Y1748">
        <f>IF($P1748="","",IF(Shares!$E1751="",0,Shares!$E1751))</f>
        <v/>
      </c>
      <c r="Z1748">
        <f>IF($P1748="","",Shares!$H1751)</f>
        <v/>
      </c>
      <c r="AE1748">
        <f>IF(OR(Sync!$S1748="",Sync!$P1748=""),"",Sync!$S1748)</f>
        <v/>
      </c>
      <c r="AF1748">
        <f>IF($AE1748="","",IF(ISNUMBER(Sync!$P1748),IF(AND(Sync!$P1748&gt;=10000101,Sync!$P1748&lt;=99991231),INT(Sync!$P1748/10000),""),IFERROR(VALUE(TRIM(LEFT(Sync!$P1748,FIND("/",Sync!$P1748)-1))),"")))</f>
        <v/>
      </c>
      <c r="AG1748">
        <f>IF(OR($AE1748="",$AF1748=""),"",IF(ISNUMBER(Sync!$P1748),INT(MOD(Sync!$P1748,10000)/100),IFERROR(VALUE(TRIM(LEFT(MID(Sync!$P1748,FIND("/",Sync!$P1748)+1,20),FIND("/",MID(Sync!$P1748,FIND("/",Sync!$P1748)+1,20))-1))),"")))</f>
        <v/>
      </c>
      <c r="AH1748">
        <f>IF(OR($AE1748="",$AF1748=""),"",IF(ISNUMBER(Sync!$P1748),MOD(Sync!$P1748,100),IFERROR(VALUE(TRIM(MID(MID(Sync!$P1748,FIND("/",Sync!$P1748)+1,20),FIND("/",MID(Sync!$P1748,FIND("/",Sync!$P1748)+1,20))+1,20))),"")))</f>
        <v/>
      </c>
      <c r="AI1748">
        <f>IF($AE1748="","",IF(OR($AF1748="",$AG1748="",$AH1748="",$AF1748&lt;1300,$AF1748&gt;1500,$AG1748&lt;1,$AG1748&gt;12,$AH1748&lt;1,$AH1748&gt;31),"نامعتبر",RIGHT("0000"&amp;$AF1748,4)&amp;"/"&amp;RIGHT("00"&amp;$AG1748,2)&amp;"/"&amp;RIGHT("00"&amp;$AH1748,2)))</f>
        <v/>
      </c>
      <c r="AJ1748">
        <f>IF($AE1748="","",IF(Sync!$Q1748="","0000",IF(AND(ISNUMBER(Sync!$Q1748),Sync!$Q1748&gt;=0,Sync!$Q1748&lt;1),RIGHT("00"&amp;HOUR(Sync!$Q1748),2)&amp;RIGHT("00"&amp;MINUTE(Sync!$Q1748),2),IFERROR(RIGHT("00"&amp;VALUE(LEFT(Sync!$Q1748,FIND(":",Sync!$Q1748)-1)),2)&amp;RIGHT("00"&amp;VALUE(MID(Sync!$Q1748,FIND(":",Sync!$Q1748)+1,2)),2),"0000"))))</f>
        <v/>
      </c>
      <c r="AK1748">
        <f>IF(OR($AE1748="",$AI1748="",$AI1748="نامعتبر"),"",LEFT($AI1748,4)&amp;MID($AI1748,6,2)&amp;RIGHT($AI1748,2)&amp;$AJ1748&amp;"|"&amp;"3"&amp;RIGHT("00000"&amp;1743,5))</f>
        <v/>
      </c>
      <c r="AL1748">
        <f>IF($AK1748="","",COUNTIFS(LdAParty,$AE1748,LdAType,1,LdAKey,"&lt;"&amp;$AK1748)+COUNTIFS(LdBMember,$AE1748,LdBKey,"&lt;"&amp;$AK1748)+COUNTIFS(LdCParty,$AE1748,LdCKey,"&lt;"&amp;$AK1748)+1)</f>
        <v/>
      </c>
      <c r="AM1748">
        <f>IF($AL1748="","",$AE1748&amp;"|"&amp;RIGHT("000000"&amp;$AL1748,6))</f>
        <v/>
      </c>
      <c r="AN1748">
        <f>IF($AE1748="","",IF(Sync!$W1748="",0,Sync!$W1748))</f>
        <v/>
      </c>
      <c r="AO1748">
        <f>IF($AE1748="","",IF(Sync!$X1748="",0,Sync!$X1748))</f>
        <v/>
      </c>
      <c r="AP1748">
        <f>IF($AE1748="","",Sync!$R1748)</f>
        <v/>
      </c>
      <c r="AQ1748">
        <f>IF($AE1748="","",Sync!$Y1748)</f>
        <v/>
      </c>
    </row>
    <row r="1749">
      <c r="A1749">
        <f>IF(OR(Wages!$B1752="",Wages!$E1752=""),"",Wages!$E1752)</f>
        <v/>
      </c>
      <c r="B1749">
        <f>IF($A1749="","",IF(Wages!$C1752="دستمزد گروهی",2,1))</f>
        <v/>
      </c>
      <c r="C1749">
        <f>IF($A1749="","",IF(ISNUMBER(Wages!$B1752),IF(AND(Wages!$B1752&gt;=10000101,Wages!$B1752&lt;=99991231),INT(Wages!$B1752/10000),""),IFERROR(VALUE(TRIM(LEFT(Wages!$B1752,FIND("/",Wages!$B1752)-1))),"")))</f>
        <v/>
      </c>
      <c r="D1749">
        <f>IF(OR($A1749="",$C1749=""),"",IF(ISNUMBER(Wages!$B1752),INT(MOD(Wages!$B1752,10000)/100),IFERROR(VALUE(TRIM(LEFT(MID(Wages!$B1752,FIND("/",Wages!$B1752)+1,20),FIND("/",MID(Wages!$B1752,FIND("/",Wages!$B1752)+1,20))-1))),"")))</f>
        <v/>
      </c>
      <c r="E1749">
        <f>IF(OR($A1749="",$C1749=""),"",IF(ISNUMBER(Wages!$B1752),MOD(Wages!$B1752,100),IFERROR(VALUE(TRIM(MID(MID(Wages!$B1752,FIND("/",Wages!$B1752)+1,20),FIND("/",MID(Wages!$B1752,FIND("/",Wages!$B1752)+1,20))+1,20))),"")))</f>
        <v/>
      </c>
      <c r="F1749">
        <f>IF($A1749="","",IF(OR($C1749="",$D1749="",$E1749="",$C1749&lt;1300,$C1749&gt;1500,$D1749&lt;1,$D1749&gt;12,$E1749&lt;1,$E1749&gt;31),"نامعتبر",RIGHT("0000"&amp;$C1749,4)&amp;"/"&amp;RIGHT("00"&amp;$D1749,2)&amp;"/"&amp;RIGHT("00"&amp;$E1749,2)))</f>
        <v/>
      </c>
      <c r="G1749">
        <f>IF(OR($A1749="",$F1749="",$F1749="نامعتبر"),"",LEFT($F1749,4)&amp;MID($F1749,6,2)&amp;RIGHT($F1749,2)&amp;"0000"&amp;"|"&amp;"1"&amp;RIGHT("00000"&amp;1744,5))</f>
        <v/>
      </c>
      <c r="H1749">
        <f>IF(OR($B1749&lt;&gt;1,$G1749=""),"",COUNTIFS(LdAParty,$A1749,LdAType,1,LdAKey,"&lt;"&amp;$G1749)+COUNTIFS(LdBMember,$A1749,LdBKey,"&lt;"&amp;$G1749)+COUNTIFS(LdCParty,$A1749,LdCKey,"&lt;"&amp;$G1749)+1)</f>
        <v/>
      </c>
      <c r="I1749">
        <f>IF($H1749="","",$A1749&amp;"|"&amp;RIGHT("000000"&amp;$H1749,6))</f>
        <v/>
      </c>
      <c r="J1749">
        <f>IF(OR($B1749&lt;&gt;2,$G1749=""),"",COUNTIFS(LdAParty,$A1749,LdAType,2,LdAKey,"&lt;"&amp;$G1749)+1)</f>
        <v/>
      </c>
      <c r="K1749">
        <f>IF($J1749="","",$A1749&amp;"|"&amp;RIGHT("000000"&amp;$J1749,6))</f>
        <v/>
      </c>
      <c r="L1749">
        <f>IF($A1749="","",IF(Wages!$G1752="",0,Wages!$G1752))</f>
        <v/>
      </c>
      <c r="M1749">
        <f>IF($A1749="","",Wages!$J1752)</f>
        <v/>
      </c>
      <c r="N1749">
        <f>IF($A1749="","",Wages!$D1752)</f>
        <v/>
      </c>
      <c r="P1749">
        <f>IF(OR(Shares!$B1752="",Shares!$C1752=""),"",Shares!$C1752)</f>
        <v/>
      </c>
      <c r="Q1749">
        <f>IF($P1749="","",Shares!$B1752)</f>
        <v/>
      </c>
      <c r="R1749">
        <f>IF($P1749="","",IFERROR(INDEX(WageParty,MATCH($Q1749,WageIds,0)),""))</f>
        <v/>
      </c>
      <c r="S1749">
        <f>IF($P1749="","",IFERROR(INDEX($F$6:$F$2005,MATCH($Q1749,WageIds,0)),""))</f>
        <v/>
      </c>
      <c r="T1749">
        <f>IF(OR($P1749="",$S1749="",$S1749="نامعتبر"),"",LEFT($S1749,4)&amp;MID($S1749,6,2)&amp;RIGHT($S1749,2)&amp;"0000"&amp;"|"&amp;"2"&amp;RIGHT("00000"&amp;1744,5))</f>
        <v/>
      </c>
      <c r="U1749">
        <f>IF($T1749="","",COUNTIFS(LdAParty,$P1749,LdAType,1,LdAKey,"&lt;"&amp;$T1749)+COUNTIFS(LdBMember,$P1749,LdBKey,"&lt;"&amp;$T1749)+COUNTIFS(LdCParty,$P1749,LdCKey,"&lt;"&amp;$T1749)+1)</f>
        <v/>
      </c>
      <c r="V1749">
        <f>IF($U1749="","",$P1749&amp;"|"&amp;RIGHT("000000"&amp;$U1749,6))</f>
        <v/>
      </c>
      <c r="W1749">
        <f>IF($T1749="","",COUNTIFS(LdBGroup,$R1749,LdBKey,"&lt;"&amp;$T1749)+1)</f>
        <v/>
      </c>
      <c r="X1749">
        <f>IF($W1749="","",$R1749&amp;"|"&amp;RIGHT("000000"&amp;$W1749,6))</f>
        <v/>
      </c>
      <c r="Y1749">
        <f>IF($P1749="","",IF(Shares!$E1752="",0,Shares!$E1752))</f>
        <v/>
      </c>
      <c r="Z1749">
        <f>IF($P1749="","",Shares!$H1752)</f>
        <v/>
      </c>
      <c r="AE1749">
        <f>IF(OR(Sync!$S1749="",Sync!$P1749=""),"",Sync!$S1749)</f>
        <v/>
      </c>
      <c r="AF1749">
        <f>IF($AE1749="","",IF(ISNUMBER(Sync!$P1749),IF(AND(Sync!$P1749&gt;=10000101,Sync!$P1749&lt;=99991231),INT(Sync!$P1749/10000),""),IFERROR(VALUE(TRIM(LEFT(Sync!$P1749,FIND("/",Sync!$P1749)-1))),"")))</f>
        <v/>
      </c>
      <c r="AG1749">
        <f>IF(OR($AE1749="",$AF1749=""),"",IF(ISNUMBER(Sync!$P1749),INT(MOD(Sync!$P1749,10000)/100),IFERROR(VALUE(TRIM(LEFT(MID(Sync!$P1749,FIND("/",Sync!$P1749)+1,20),FIND("/",MID(Sync!$P1749,FIND("/",Sync!$P1749)+1,20))-1))),"")))</f>
        <v/>
      </c>
      <c r="AH1749">
        <f>IF(OR($AE1749="",$AF1749=""),"",IF(ISNUMBER(Sync!$P1749),MOD(Sync!$P1749,100),IFERROR(VALUE(TRIM(MID(MID(Sync!$P1749,FIND("/",Sync!$P1749)+1,20),FIND("/",MID(Sync!$P1749,FIND("/",Sync!$P1749)+1,20))+1,20))),"")))</f>
        <v/>
      </c>
      <c r="AI1749">
        <f>IF($AE1749="","",IF(OR($AF1749="",$AG1749="",$AH1749="",$AF1749&lt;1300,$AF1749&gt;1500,$AG1749&lt;1,$AG1749&gt;12,$AH1749&lt;1,$AH1749&gt;31),"نامعتبر",RIGHT("0000"&amp;$AF1749,4)&amp;"/"&amp;RIGHT("00"&amp;$AG1749,2)&amp;"/"&amp;RIGHT("00"&amp;$AH1749,2)))</f>
        <v/>
      </c>
      <c r="AJ1749">
        <f>IF($AE1749="","",IF(Sync!$Q1749="","0000",IF(AND(ISNUMBER(Sync!$Q1749),Sync!$Q1749&gt;=0,Sync!$Q1749&lt;1),RIGHT("00"&amp;HOUR(Sync!$Q1749),2)&amp;RIGHT("00"&amp;MINUTE(Sync!$Q1749),2),IFERROR(RIGHT("00"&amp;VALUE(LEFT(Sync!$Q1749,FIND(":",Sync!$Q1749)-1)),2)&amp;RIGHT("00"&amp;VALUE(MID(Sync!$Q1749,FIND(":",Sync!$Q1749)+1,2)),2),"0000"))))</f>
        <v/>
      </c>
      <c r="AK1749">
        <f>IF(OR($AE1749="",$AI1749="",$AI1749="نامعتبر"),"",LEFT($AI1749,4)&amp;MID($AI1749,6,2)&amp;RIGHT($AI1749,2)&amp;$AJ1749&amp;"|"&amp;"3"&amp;RIGHT("00000"&amp;1744,5))</f>
        <v/>
      </c>
      <c r="AL1749">
        <f>IF($AK1749="","",COUNTIFS(LdAParty,$AE1749,LdAType,1,LdAKey,"&lt;"&amp;$AK1749)+COUNTIFS(LdBMember,$AE1749,LdBKey,"&lt;"&amp;$AK1749)+COUNTIFS(LdCParty,$AE1749,LdCKey,"&lt;"&amp;$AK1749)+1)</f>
        <v/>
      </c>
      <c r="AM1749">
        <f>IF($AL1749="","",$AE1749&amp;"|"&amp;RIGHT("000000"&amp;$AL1749,6))</f>
        <v/>
      </c>
      <c r="AN1749">
        <f>IF($AE1749="","",IF(Sync!$W1749="",0,Sync!$W1749))</f>
        <v/>
      </c>
      <c r="AO1749">
        <f>IF($AE1749="","",IF(Sync!$X1749="",0,Sync!$X1749))</f>
        <v/>
      </c>
      <c r="AP1749">
        <f>IF($AE1749="","",Sync!$R1749)</f>
        <v/>
      </c>
      <c r="AQ1749">
        <f>IF($AE1749="","",Sync!$Y1749)</f>
        <v/>
      </c>
    </row>
    <row r="1750">
      <c r="A1750">
        <f>IF(OR(Wages!$B1753="",Wages!$E1753=""),"",Wages!$E1753)</f>
        <v/>
      </c>
      <c r="B1750">
        <f>IF($A1750="","",IF(Wages!$C1753="دستمزد گروهی",2,1))</f>
        <v/>
      </c>
      <c r="C1750">
        <f>IF($A1750="","",IF(ISNUMBER(Wages!$B1753),IF(AND(Wages!$B1753&gt;=10000101,Wages!$B1753&lt;=99991231),INT(Wages!$B1753/10000),""),IFERROR(VALUE(TRIM(LEFT(Wages!$B1753,FIND("/",Wages!$B1753)-1))),"")))</f>
        <v/>
      </c>
      <c r="D1750">
        <f>IF(OR($A1750="",$C1750=""),"",IF(ISNUMBER(Wages!$B1753),INT(MOD(Wages!$B1753,10000)/100),IFERROR(VALUE(TRIM(LEFT(MID(Wages!$B1753,FIND("/",Wages!$B1753)+1,20),FIND("/",MID(Wages!$B1753,FIND("/",Wages!$B1753)+1,20))-1))),"")))</f>
        <v/>
      </c>
      <c r="E1750">
        <f>IF(OR($A1750="",$C1750=""),"",IF(ISNUMBER(Wages!$B1753),MOD(Wages!$B1753,100),IFERROR(VALUE(TRIM(MID(MID(Wages!$B1753,FIND("/",Wages!$B1753)+1,20),FIND("/",MID(Wages!$B1753,FIND("/",Wages!$B1753)+1,20))+1,20))),"")))</f>
        <v/>
      </c>
      <c r="F1750">
        <f>IF($A1750="","",IF(OR($C1750="",$D1750="",$E1750="",$C1750&lt;1300,$C1750&gt;1500,$D1750&lt;1,$D1750&gt;12,$E1750&lt;1,$E1750&gt;31),"نامعتبر",RIGHT("0000"&amp;$C1750,4)&amp;"/"&amp;RIGHT("00"&amp;$D1750,2)&amp;"/"&amp;RIGHT("00"&amp;$E1750,2)))</f>
        <v/>
      </c>
      <c r="G1750">
        <f>IF(OR($A1750="",$F1750="",$F1750="نامعتبر"),"",LEFT($F1750,4)&amp;MID($F1750,6,2)&amp;RIGHT($F1750,2)&amp;"0000"&amp;"|"&amp;"1"&amp;RIGHT("00000"&amp;1745,5))</f>
        <v/>
      </c>
      <c r="H1750">
        <f>IF(OR($B1750&lt;&gt;1,$G1750=""),"",COUNTIFS(LdAParty,$A1750,LdAType,1,LdAKey,"&lt;"&amp;$G1750)+COUNTIFS(LdBMember,$A1750,LdBKey,"&lt;"&amp;$G1750)+COUNTIFS(LdCParty,$A1750,LdCKey,"&lt;"&amp;$G1750)+1)</f>
        <v/>
      </c>
      <c r="I1750">
        <f>IF($H1750="","",$A1750&amp;"|"&amp;RIGHT("000000"&amp;$H1750,6))</f>
        <v/>
      </c>
      <c r="J1750">
        <f>IF(OR($B1750&lt;&gt;2,$G1750=""),"",COUNTIFS(LdAParty,$A1750,LdAType,2,LdAKey,"&lt;"&amp;$G1750)+1)</f>
        <v/>
      </c>
      <c r="K1750">
        <f>IF($J1750="","",$A1750&amp;"|"&amp;RIGHT("000000"&amp;$J1750,6))</f>
        <v/>
      </c>
      <c r="L1750">
        <f>IF($A1750="","",IF(Wages!$G1753="",0,Wages!$G1753))</f>
        <v/>
      </c>
      <c r="M1750">
        <f>IF($A1750="","",Wages!$J1753)</f>
        <v/>
      </c>
      <c r="N1750">
        <f>IF($A1750="","",Wages!$D1753)</f>
        <v/>
      </c>
      <c r="P1750">
        <f>IF(OR(Shares!$B1753="",Shares!$C1753=""),"",Shares!$C1753)</f>
        <v/>
      </c>
      <c r="Q1750">
        <f>IF($P1750="","",Shares!$B1753)</f>
        <v/>
      </c>
      <c r="R1750">
        <f>IF($P1750="","",IFERROR(INDEX(WageParty,MATCH($Q1750,WageIds,0)),""))</f>
        <v/>
      </c>
      <c r="S1750">
        <f>IF($P1750="","",IFERROR(INDEX($F$6:$F$2005,MATCH($Q1750,WageIds,0)),""))</f>
        <v/>
      </c>
      <c r="T1750">
        <f>IF(OR($P1750="",$S1750="",$S1750="نامعتبر"),"",LEFT($S1750,4)&amp;MID($S1750,6,2)&amp;RIGHT($S1750,2)&amp;"0000"&amp;"|"&amp;"2"&amp;RIGHT("00000"&amp;1745,5))</f>
        <v/>
      </c>
      <c r="U1750">
        <f>IF($T1750="","",COUNTIFS(LdAParty,$P1750,LdAType,1,LdAKey,"&lt;"&amp;$T1750)+COUNTIFS(LdBMember,$P1750,LdBKey,"&lt;"&amp;$T1750)+COUNTIFS(LdCParty,$P1750,LdCKey,"&lt;"&amp;$T1750)+1)</f>
        <v/>
      </c>
      <c r="V1750">
        <f>IF($U1750="","",$P1750&amp;"|"&amp;RIGHT("000000"&amp;$U1750,6))</f>
        <v/>
      </c>
      <c r="W1750">
        <f>IF($T1750="","",COUNTIFS(LdBGroup,$R1750,LdBKey,"&lt;"&amp;$T1750)+1)</f>
        <v/>
      </c>
      <c r="X1750">
        <f>IF($W1750="","",$R1750&amp;"|"&amp;RIGHT("000000"&amp;$W1750,6))</f>
        <v/>
      </c>
      <c r="Y1750">
        <f>IF($P1750="","",IF(Shares!$E1753="",0,Shares!$E1753))</f>
        <v/>
      </c>
      <c r="Z1750">
        <f>IF($P1750="","",Shares!$H1753)</f>
        <v/>
      </c>
      <c r="AE1750">
        <f>IF(OR(Sync!$S1750="",Sync!$P1750=""),"",Sync!$S1750)</f>
        <v/>
      </c>
      <c r="AF1750">
        <f>IF($AE1750="","",IF(ISNUMBER(Sync!$P1750),IF(AND(Sync!$P1750&gt;=10000101,Sync!$P1750&lt;=99991231),INT(Sync!$P1750/10000),""),IFERROR(VALUE(TRIM(LEFT(Sync!$P1750,FIND("/",Sync!$P1750)-1))),"")))</f>
        <v/>
      </c>
      <c r="AG1750">
        <f>IF(OR($AE1750="",$AF1750=""),"",IF(ISNUMBER(Sync!$P1750),INT(MOD(Sync!$P1750,10000)/100),IFERROR(VALUE(TRIM(LEFT(MID(Sync!$P1750,FIND("/",Sync!$P1750)+1,20),FIND("/",MID(Sync!$P1750,FIND("/",Sync!$P1750)+1,20))-1))),"")))</f>
        <v/>
      </c>
      <c r="AH1750">
        <f>IF(OR($AE1750="",$AF1750=""),"",IF(ISNUMBER(Sync!$P1750),MOD(Sync!$P1750,100),IFERROR(VALUE(TRIM(MID(MID(Sync!$P1750,FIND("/",Sync!$P1750)+1,20),FIND("/",MID(Sync!$P1750,FIND("/",Sync!$P1750)+1,20))+1,20))),"")))</f>
        <v/>
      </c>
      <c r="AI1750">
        <f>IF($AE1750="","",IF(OR($AF1750="",$AG1750="",$AH1750="",$AF1750&lt;1300,$AF1750&gt;1500,$AG1750&lt;1,$AG1750&gt;12,$AH1750&lt;1,$AH1750&gt;31),"نامعتبر",RIGHT("0000"&amp;$AF1750,4)&amp;"/"&amp;RIGHT("00"&amp;$AG1750,2)&amp;"/"&amp;RIGHT("00"&amp;$AH1750,2)))</f>
        <v/>
      </c>
      <c r="AJ1750">
        <f>IF($AE1750="","",IF(Sync!$Q1750="","0000",IF(AND(ISNUMBER(Sync!$Q1750),Sync!$Q1750&gt;=0,Sync!$Q1750&lt;1),RIGHT("00"&amp;HOUR(Sync!$Q1750),2)&amp;RIGHT("00"&amp;MINUTE(Sync!$Q1750),2),IFERROR(RIGHT("00"&amp;VALUE(LEFT(Sync!$Q1750,FIND(":",Sync!$Q1750)-1)),2)&amp;RIGHT("00"&amp;VALUE(MID(Sync!$Q1750,FIND(":",Sync!$Q1750)+1,2)),2),"0000"))))</f>
        <v/>
      </c>
      <c r="AK1750">
        <f>IF(OR($AE1750="",$AI1750="",$AI1750="نامعتبر"),"",LEFT($AI1750,4)&amp;MID($AI1750,6,2)&amp;RIGHT($AI1750,2)&amp;$AJ1750&amp;"|"&amp;"3"&amp;RIGHT("00000"&amp;1745,5))</f>
        <v/>
      </c>
      <c r="AL1750">
        <f>IF($AK1750="","",COUNTIFS(LdAParty,$AE1750,LdAType,1,LdAKey,"&lt;"&amp;$AK1750)+COUNTIFS(LdBMember,$AE1750,LdBKey,"&lt;"&amp;$AK1750)+COUNTIFS(LdCParty,$AE1750,LdCKey,"&lt;"&amp;$AK1750)+1)</f>
        <v/>
      </c>
      <c r="AM1750">
        <f>IF($AL1750="","",$AE1750&amp;"|"&amp;RIGHT("000000"&amp;$AL1750,6))</f>
        <v/>
      </c>
      <c r="AN1750">
        <f>IF($AE1750="","",IF(Sync!$W1750="",0,Sync!$W1750))</f>
        <v/>
      </c>
      <c r="AO1750">
        <f>IF($AE1750="","",IF(Sync!$X1750="",0,Sync!$X1750))</f>
        <v/>
      </c>
      <c r="AP1750">
        <f>IF($AE1750="","",Sync!$R1750)</f>
        <v/>
      </c>
      <c r="AQ1750">
        <f>IF($AE1750="","",Sync!$Y1750)</f>
        <v/>
      </c>
    </row>
    <row r="1751">
      <c r="A1751">
        <f>IF(OR(Wages!$B1754="",Wages!$E1754=""),"",Wages!$E1754)</f>
        <v/>
      </c>
      <c r="B1751">
        <f>IF($A1751="","",IF(Wages!$C1754="دستمزد گروهی",2,1))</f>
        <v/>
      </c>
      <c r="C1751">
        <f>IF($A1751="","",IF(ISNUMBER(Wages!$B1754),IF(AND(Wages!$B1754&gt;=10000101,Wages!$B1754&lt;=99991231),INT(Wages!$B1754/10000),""),IFERROR(VALUE(TRIM(LEFT(Wages!$B1754,FIND("/",Wages!$B1754)-1))),"")))</f>
        <v/>
      </c>
      <c r="D1751">
        <f>IF(OR($A1751="",$C1751=""),"",IF(ISNUMBER(Wages!$B1754),INT(MOD(Wages!$B1754,10000)/100),IFERROR(VALUE(TRIM(LEFT(MID(Wages!$B1754,FIND("/",Wages!$B1754)+1,20),FIND("/",MID(Wages!$B1754,FIND("/",Wages!$B1754)+1,20))-1))),"")))</f>
        <v/>
      </c>
      <c r="E1751">
        <f>IF(OR($A1751="",$C1751=""),"",IF(ISNUMBER(Wages!$B1754),MOD(Wages!$B1754,100),IFERROR(VALUE(TRIM(MID(MID(Wages!$B1754,FIND("/",Wages!$B1754)+1,20),FIND("/",MID(Wages!$B1754,FIND("/",Wages!$B1754)+1,20))+1,20))),"")))</f>
        <v/>
      </c>
      <c r="F1751">
        <f>IF($A1751="","",IF(OR($C1751="",$D1751="",$E1751="",$C1751&lt;1300,$C1751&gt;1500,$D1751&lt;1,$D1751&gt;12,$E1751&lt;1,$E1751&gt;31),"نامعتبر",RIGHT("0000"&amp;$C1751,4)&amp;"/"&amp;RIGHT("00"&amp;$D1751,2)&amp;"/"&amp;RIGHT("00"&amp;$E1751,2)))</f>
        <v/>
      </c>
      <c r="G1751">
        <f>IF(OR($A1751="",$F1751="",$F1751="نامعتبر"),"",LEFT($F1751,4)&amp;MID($F1751,6,2)&amp;RIGHT($F1751,2)&amp;"0000"&amp;"|"&amp;"1"&amp;RIGHT("00000"&amp;1746,5))</f>
        <v/>
      </c>
      <c r="H1751">
        <f>IF(OR($B1751&lt;&gt;1,$G1751=""),"",COUNTIFS(LdAParty,$A1751,LdAType,1,LdAKey,"&lt;"&amp;$G1751)+COUNTIFS(LdBMember,$A1751,LdBKey,"&lt;"&amp;$G1751)+COUNTIFS(LdCParty,$A1751,LdCKey,"&lt;"&amp;$G1751)+1)</f>
        <v/>
      </c>
      <c r="I1751">
        <f>IF($H1751="","",$A1751&amp;"|"&amp;RIGHT("000000"&amp;$H1751,6))</f>
        <v/>
      </c>
      <c r="J1751">
        <f>IF(OR($B1751&lt;&gt;2,$G1751=""),"",COUNTIFS(LdAParty,$A1751,LdAType,2,LdAKey,"&lt;"&amp;$G1751)+1)</f>
        <v/>
      </c>
      <c r="K1751">
        <f>IF($J1751="","",$A1751&amp;"|"&amp;RIGHT("000000"&amp;$J1751,6))</f>
        <v/>
      </c>
      <c r="L1751">
        <f>IF($A1751="","",IF(Wages!$G1754="",0,Wages!$G1754))</f>
        <v/>
      </c>
      <c r="M1751">
        <f>IF($A1751="","",Wages!$J1754)</f>
        <v/>
      </c>
      <c r="N1751">
        <f>IF($A1751="","",Wages!$D1754)</f>
        <v/>
      </c>
      <c r="P1751">
        <f>IF(OR(Shares!$B1754="",Shares!$C1754=""),"",Shares!$C1754)</f>
        <v/>
      </c>
      <c r="Q1751">
        <f>IF($P1751="","",Shares!$B1754)</f>
        <v/>
      </c>
      <c r="R1751">
        <f>IF($P1751="","",IFERROR(INDEX(WageParty,MATCH($Q1751,WageIds,0)),""))</f>
        <v/>
      </c>
      <c r="S1751">
        <f>IF($P1751="","",IFERROR(INDEX($F$6:$F$2005,MATCH($Q1751,WageIds,0)),""))</f>
        <v/>
      </c>
      <c r="T1751">
        <f>IF(OR($P1751="",$S1751="",$S1751="نامعتبر"),"",LEFT($S1751,4)&amp;MID($S1751,6,2)&amp;RIGHT($S1751,2)&amp;"0000"&amp;"|"&amp;"2"&amp;RIGHT("00000"&amp;1746,5))</f>
        <v/>
      </c>
      <c r="U1751">
        <f>IF($T1751="","",COUNTIFS(LdAParty,$P1751,LdAType,1,LdAKey,"&lt;"&amp;$T1751)+COUNTIFS(LdBMember,$P1751,LdBKey,"&lt;"&amp;$T1751)+COUNTIFS(LdCParty,$P1751,LdCKey,"&lt;"&amp;$T1751)+1)</f>
        <v/>
      </c>
      <c r="V1751">
        <f>IF($U1751="","",$P1751&amp;"|"&amp;RIGHT("000000"&amp;$U1751,6))</f>
        <v/>
      </c>
      <c r="W1751">
        <f>IF($T1751="","",COUNTIFS(LdBGroup,$R1751,LdBKey,"&lt;"&amp;$T1751)+1)</f>
        <v/>
      </c>
      <c r="X1751">
        <f>IF($W1751="","",$R1751&amp;"|"&amp;RIGHT("000000"&amp;$W1751,6))</f>
        <v/>
      </c>
      <c r="Y1751">
        <f>IF($P1751="","",IF(Shares!$E1754="",0,Shares!$E1754))</f>
        <v/>
      </c>
      <c r="Z1751">
        <f>IF($P1751="","",Shares!$H1754)</f>
        <v/>
      </c>
      <c r="AE1751">
        <f>IF(OR(Sync!$S1751="",Sync!$P1751=""),"",Sync!$S1751)</f>
        <v/>
      </c>
      <c r="AF1751">
        <f>IF($AE1751="","",IF(ISNUMBER(Sync!$P1751),IF(AND(Sync!$P1751&gt;=10000101,Sync!$P1751&lt;=99991231),INT(Sync!$P1751/10000),""),IFERROR(VALUE(TRIM(LEFT(Sync!$P1751,FIND("/",Sync!$P1751)-1))),"")))</f>
        <v/>
      </c>
      <c r="AG1751">
        <f>IF(OR($AE1751="",$AF1751=""),"",IF(ISNUMBER(Sync!$P1751),INT(MOD(Sync!$P1751,10000)/100),IFERROR(VALUE(TRIM(LEFT(MID(Sync!$P1751,FIND("/",Sync!$P1751)+1,20),FIND("/",MID(Sync!$P1751,FIND("/",Sync!$P1751)+1,20))-1))),"")))</f>
        <v/>
      </c>
      <c r="AH1751">
        <f>IF(OR($AE1751="",$AF1751=""),"",IF(ISNUMBER(Sync!$P1751),MOD(Sync!$P1751,100),IFERROR(VALUE(TRIM(MID(MID(Sync!$P1751,FIND("/",Sync!$P1751)+1,20),FIND("/",MID(Sync!$P1751,FIND("/",Sync!$P1751)+1,20))+1,20))),"")))</f>
        <v/>
      </c>
      <c r="AI1751">
        <f>IF($AE1751="","",IF(OR($AF1751="",$AG1751="",$AH1751="",$AF1751&lt;1300,$AF1751&gt;1500,$AG1751&lt;1,$AG1751&gt;12,$AH1751&lt;1,$AH1751&gt;31),"نامعتبر",RIGHT("0000"&amp;$AF1751,4)&amp;"/"&amp;RIGHT("00"&amp;$AG1751,2)&amp;"/"&amp;RIGHT("00"&amp;$AH1751,2)))</f>
        <v/>
      </c>
      <c r="AJ1751">
        <f>IF($AE1751="","",IF(Sync!$Q1751="","0000",IF(AND(ISNUMBER(Sync!$Q1751),Sync!$Q1751&gt;=0,Sync!$Q1751&lt;1),RIGHT("00"&amp;HOUR(Sync!$Q1751),2)&amp;RIGHT("00"&amp;MINUTE(Sync!$Q1751),2),IFERROR(RIGHT("00"&amp;VALUE(LEFT(Sync!$Q1751,FIND(":",Sync!$Q1751)-1)),2)&amp;RIGHT("00"&amp;VALUE(MID(Sync!$Q1751,FIND(":",Sync!$Q1751)+1,2)),2),"0000"))))</f>
        <v/>
      </c>
      <c r="AK1751">
        <f>IF(OR($AE1751="",$AI1751="",$AI1751="نامعتبر"),"",LEFT($AI1751,4)&amp;MID($AI1751,6,2)&amp;RIGHT($AI1751,2)&amp;$AJ1751&amp;"|"&amp;"3"&amp;RIGHT("00000"&amp;1746,5))</f>
        <v/>
      </c>
      <c r="AL1751">
        <f>IF($AK1751="","",COUNTIFS(LdAParty,$AE1751,LdAType,1,LdAKey,"&lt;"&amp;$AK1751)+COUNTIFS(LdBMember,$AE1751,LdBKey,"&lt;"&amp;$AK1751)+COUNTIFS(LdCParty,$AE1751,LdCKey,"&lt;"&amp;$AK1751)+1)</f>
        <v/>
      </c>
      <c r="AM1751">
        <f>IF($AL1751="","",$AE1751&amp;"|"&amp;RIGHT("000000"&amp;$AL1751,6))</f>
        <v/>
      </c>
      <c r="AN1751">
        <f>IF($AE1751="","",IF(Sync!$W1751="",0,Sync!$W1751))</f>
        <v/>
      </c>
      <c r="AO1751">
        <f>IF($AE1751="","",IF(Sync!$X1751="",0,Sync!$X1751))</f>
        <v/>
      </c>
      <c r="AP1751">
        <f>IF($AE1751="","",Sync!$R1751)</f>
        <v/>
      </c>
      <c r="AQ1751">
        <f>IF($AE1751="","",Sync!$Y1751)</f>
        <v/>
      </c>
    </row>
    <row r="1752">
      <c r="A1752">
        <f>IF(OR(Wages!$B1755="",Wages!$E1755=""),"",Wages!$E1755)</f>
        <v/>
      </c>
      <c r="B1752">
        <f>IF($A1752="","",IF(Wages!$C1755="دستمزد گروهی",2,1))</f>
        <v/>
      </c>
      <c r="C1752">
        <f>IF($A1752="","",IF(ISNUMBER(Wages!$B1755),IF(AND(Wages!$B1755&gt;=10000101,Wages!$B1755&lt;=99991231),INT(Wages!$B1755/10000),""),IFERROR(VALUE(TRIM(LEFT(Wages!$B1755,FIND("/",Wages!$B1755)-1))),"")))</f>
        <v/>
      </c>
      <c r="D1752">
        <f>IF(OR($A1752="",$C1752=""),"",IF(ISNUMBER(Wages!$B1755),INT(MOD(Wages!$B1755,10000)/100),IFERROR(VALUE(TRIM(LEFT(MID(Wages!$B1755,FIND("/",Wages!$B1755)+1,20),FIND("/",MID(Wages!$B1755,FIND("/",Wages!$B1755)+1,20))-1))),"")))</f>
        <v/>
      </c>
      <c r="E1752">
        <f>IF(OR($A1752="",$C1752=""),"",IF(ISNUMBER(Wages!$B1755),MOD(Wages!$B1755,100),IFERROR(VALUE(TRIM(MID(MID(Wages!$B1755,FIND("/",Wages!$B1755)+1,20),FIND("/",MID(Wages!$B1755,FIND("/",Wages!$B1755)+1,20))+1,20))),"")))</f>
        <v/>
      </c>
      <c r="F1752">
        <f>IF($A1752="","",IF(OR($C1752="",$D1752="",$E1752="",$C1752&lt;1300,$C1752&gt;1500,$D1752&lt;1,$D1752&gt;12,$E1752&lt;1,$E1752&gt;31),"نامعتبر",RIGHT("0000"&amp;$C1752,4)&amp;"/"&amp;RIGHT("00"&amp;$D1752,2)&amp;"/"&amp;RIGHT("00"&amp;$E1752,2)))</f>
        <v/>
      </c>
      <c r="G1752">
        <f>IF(OR($A1752="",$F1752="",$F1752="نامعتبر"),"",LEFT($F1752,4)&amp;MID($F1752,6,2)&amp;RIGHT($F1752,2)&amp;"0000"&amp;"|"&amp;"1"&amp;RIGHT("00000"&amp;1747,5))</f>
        <v/>
      </c>
      <c r="H1752">
        <f>IF(OR($B1752&lt;&gt;1,$G1752=""),"",COUNTIFS(LdAParty,$A1752,LdAType,1,LdAKey,"&lt;"&amp;$G1752)+COUNTIFS(LdBMember,$A1752,LdBKey,"&lt;"&amp;$G1752)+COUNTIFS(LdCParty,$A1752,LdCKey,"&lt;"&amp;$G1752)+1)</f>
        <v/>
      </c>
      <c r="I1752">
        <f>IF($H1752="","",$A1752&amp;"|"&amp;RIGHT("000000"&amp;$H1752,6))</f>
        <v/>
      </c>
      <c r="J1752">
        <f>IF(OR($B1752&lt;&gt;2,$G1752=""),"",COUNTIFS(LdAParty,$A1752,LdAType,2,LdAKey,"&lt;"&amp;$G1752)+1)</f>
        <v/>
      </c>
      <c r="K1752">
        <f>IF($J1752="","",$A1752&amp;"|"&amp;RIGHT("000000"&amp;$J1752,6))</f>
        <v/>
      </c>
      <c r="L1752">
        <f>IF($A1752="","",IF(Wages!$G1755="",0,Wages!$G1755))</f>
        <v/>
      </c>
      <c r="M1752">
        <f>IF($A1752="","",Wages!$J1755)</f>
        <v/>
      </c>
      <c r="N1752">
        <f>IF($A1752="","",Wages!$D1755)</f>
        <v/>
      </c>
      <c r="P1752">
        <f>IF(OR(Shares!$B1755="",Shares!$C1755=""),"",Shares!$C1755)</f>
        <v/>
      </c>
      <c r="Q1752">
        <f>IF($P1752="","",Shares!$B1755)</f>
        <v/>
      </c>
      <c r="R1752">
        <f>IF($P1752="","",IFERROR(INDEX(WageParty,MATCH($Q1752,WageIds,0)),""))</f>
        <v/>
      </c>
      <c r="S1752">
        <f>IF($P1752="","",IFERROR(INDEX($F$6:$F$2005,MATCH($Q1752,WageIds,0)),""))</f>
        <v/>
      </c>
      <c r="T1752">
        <f>IF(OR($P1752="",$S1752="",$S1752="نامعتبر"),"",LEFT($S1752,4)&amp;MID($S1752,6,2)&amp;RIGHT($S1752,2)&amp;"0000"&amp;"|"&amp;"2"&amp;RIGHT("00000"&amp;1747,5))</f>
        <v/>
      </c>
      <c r="U1752">
        <f>IF($T1752="","",COUNTIFS(LdAParty,$P1752,LdAType,1,LdAKey,"&lt;"&amp;$T1752)+COUNTIFS(LdBMember,$P1752,LdBKey,"&lt;"&amp;$T1752)+COUNTIFS(LdCParty,$P1752,LdCKey,"&lt;"&amp;$T1752)+1)</f>
        <v/>
      </c>
      <c r="V1752">
        <f>IF($U1752="","",$P1752&amp;"|"&amp;RIGHT("000000"&amp;$U1752,6))</f>
        <v/>
      </c>
      <c r="W1752">
        <f>IF($T1752="","",COUNTIFS(LdBGroup,$R1752,LdBKey,"&lt;"&amp;$T1752)+1)</f>
        <v/>
      </c>
      <c r="X1752">
        <f>IF($W1752="","",$R1752&amp;"|"&amp;RIGHT("000000"&amp;$W1752,6))</f>
        <v/>
      </c>
      <c r="Y1752">
        <f>IF($P1752="","",IF(Shares!$E1755="",0,Shares!$E1755))</f>
        <v/>
      </c>
      <c r="Z1752">
        <f>IF($P1752="","",Shares!$H1755)</f>
        <v/>
      </c>
      <c r="AE1752">
        <f>IF(OR(Sync!$S1752="",Sync!$P1752=""),"",Sync!$S1752)</f>
        <v/>
      </c>
      <c r="AF1752">
        <f>IF($AE1752="","",IF(ISNUMBER(Sync!$P1752),IF(AND(Sync!$P1752&gt;=10000101,Sync!$P1752&lt;=99991231),INT(Sync!$P1752/10000),""),IFERROR(VALUE(TRIM(LEFT(Sync!$P1752,FIND("/",Sync!$P1752)-1))),"")))</f>
        <v/>
      </c>
      <c r="AG1752">
        <f>IF(OR($AE1752="",$AF1752=""),"",IF(ISNUMBER(Sync!$P1752),INT(MOD(Sync!$P1752,10000)/100),IFERROR(VALUE(TRIM(LEFT(MID(Sync!$P1752,FIND("/",Sync!$P1752)+1,20),FIND("/",MID(Sync!$P1752,FIND("/",Sync!$P1752)+1,20))-1))),"")))</f>
        <v/>
      </c>
      <c r="AH1752">
        <f>IF(OR($AE1752="",$AF1752=""),"",IF(ISNUMBER(Sync!$P1752),MOD(Sync!$P1752,100),IFERROR(VALUE(TRIM(MID(MID(Sync!$P1752,FIND("/",Sync!$P1752)+1,20),FIND("/",MID(Sync!$P1752,FIND("/",Sync!$P1752)+1,20))+1,20))),"")))</f>
        <v/>
      </c>
      <c r="AI1752">
        <f>IF($AE1752="","",IF(OR($AF1752="",$AG1752="",$AH1752="",$AF1752&lt;1300,$AF1752&gt;1500,$AG1752&lt;1,$AG1752&gt;12,$AH1752&lt;1,$AH1752&gt;31),"نامعتبر",RIGHT("0000"&amp;$AF1752,4)&amp;"/"&amp;RIGHT("00"&amp;$AG1752,2)&amp;"/"&amp;RIGHT("00"&amp;$AH1752,2)))</f>
        <v/>
      </c>
      <c r="AJ1752">
        <f>IF($AE1752="","",IF(Sync!$Q1752="","0000",IF(AND(ISNUMBER(Sync!$Q1752),Sync!$Q1752&gt;=0,Sync!$Q1752&lt;1),RIGHT("00"&amp;HOUR(Sync!$Q1752),2)&amp;RIGHT("00"&amp;MINUTE(Sync!$Q1752),2),IFERROR(RIGHT("00"&amp;VALUE(LEFT(Sync!$Q1752,FIND(":",Sync!$Q1752)-1)),2)&amp;RIGHT("00"&amp;VALUE(MID(Sync!$Q1752,FIND(":",Sync!$Q1752)+1,2)),2),"0000"))))</f>
        <v/>
      </c>
      <c r="AK1752">
        <f>IF(OR($AE1752="",$AI1752="",$AI1752="نامعتبر"),"",LEFT($AI1752,4)&amp;MID($AI1752,6,2)&amp;RIGHT($AI1752,2)&amp;$AJ1752&amp;"|"&amp;"3"&amp;RIGHT("00000"&amp;1747,5))</f>
        <v/>
      </c>
      <c r="AL1752">
        <f>IF($AK1752="","",COUNTIFS(LdAParty,$AE1752,LdAType,1,LdAKey,"&lt;"&amp;$AK1752)+COUNTIFS(LdBMember,$AE1752,LdBKey,"&lt;"&amp;$AK1752)+COUNTIFS(LdCParty,$AE1752,LdCKey,"&lt;"&amp;$AK1752)+1)</f>
        <v/>
      </c>
      <c r="AM1752">
        <f>IF($AL1752="","",$AE1752&amp;"|"&amp;RIGHT("000000"&amp;$AL1752,6))</f>
        <v/>
      </c>
      <c r="AN1752">
        <f>IF($AE1752="","",IF(Sync!$W1752="",0,Sync!$W1752))</f>
        <v/>
      </c>
      <c r="AO1752">
        <f>IF($AE1752="","",IF(Sync!$X1752="",0,Sync!$X1752))</f>
        <v/>
      </c>
      <c r="AP1752">
        <f>IF($AE1752="","",Sync!$R1752)</f>
        <v/>
      </c>
      <c r="AQ1752">
        <f>IF($AE1752="","",Sync!$Y1752)</f>
        <v/>
      </c>
    </row>
    <row r="1753">
      <c r="A1753">
        <f>IF(OR(Wages!$B1756="",Wages!$E1756=""),"",Wages!$E1756)</f>
        <v/>
      </c>
      <c r="B1753">
        <f>IF($A1753="","",IF(Wages!$C1756="دستمزد گروهی",2,1))</f>
        <v/>
      </c>
      <c r="C1753">
        <f>IF($A1753="","",IF(ISNUMBER(Wages!$B1756),IF(AND(Wages!$B1756&gt;=10000101,Wages!$B1756&lt;=99991231),INT(Wages!$B1756/10000),""),IFERROR(VALUE(TRIM(LEFT(Wages!$B1756,FIND("/",Wages!$B1756)-1))),"")))</f>
        <v/>
      </c>
      <c r="D1753">
        <f>IF(OR($A1753="",$C1753=""),"",IF(ISNUMBER(Wages!$B1756),INT(MOD(Wages!$B1756,10000)/100),IFERROR(VALUE(TRIM(LEFT(MID(Wages!$B1756,FIND("/",Wages!$B1756)+1,20),FIND("/",MID(Wages!$B1756,FIND("/",Wages!$B1756)+1,20))-1))),"")))</f>
        <v/>
      </c>
      <c r="E1753">
        <f>IF(OR($A1753="",$C1753=""),"",IF(ISNUMBER(Wages!$B1756),MOD(Wages!$B1756,100),IFERROR(VALUE(TRIM(MID(MID(Wages!$B1756,FIND("/",Wages!$B1756)+1,20),FIND("/",MID(Wages!$B1756,FIND("/",Wages!$B1756)+1,20))+1,20))),"")))</f>
        <v/>
      </c>
      <c r="F1753">
        <f>IF($A1753="","",IF(OR($C1753="",$D1753="",$E1753="",$C1753&lt;1300,$C1753&gt;1500,$D1753&lt;1,$D1753&gt;12,$E1753&lt;1,$E1753&gt;31),"نامعتبر",RIGHT("0000"&amp;$C1753,4)&amp;"/"&amp;RIGHT("00"&amp;$D1753,2)&amp;"/"&amp;RIGHT("00"&amp;$E1753,2)))</f>
        <v/>
      </c>
      <c r="G1753">
        <f>IF(OR($A1753="",$F1753="",$F1753="نامعتبر"),"",LEFT($F1753,4)&amp;MID($F1753,6,2)&amp;RIGHT($F1753,2)&amp;"0000"&amp;"|"&amp;"1"&amp;RIGHT("00000"&amp;1748,5))</f>
        <v/>
      </c>
      <c r="H1753">
        <f>IF(OR($B1753&lt;&gt;1,$G1753=""),"",COUNTIFS(LdAParty,$A1753,LdAType,1,LdAKey,"&lt;"&amp;$G1753)+COUNTIFS(LdBMember,$A1753,LdBKey,"&lt;"&amp;$G1753)+COUNTIFS(LdCParty,$A1753,LdCKey,"&lt;"&amp;$G1753)+1)</f>
        <v/>
      </c>
      <c r="I1753">
        <f>IF($H1753="","",$A1753&amp;"|"&amp;RIGHT("000000"&amp;$H1753,6))</f>
        <v/>
      </c>
      <c r="J1753">
        <f>IF(OR($B1753&lt;&gt;2,$G1753=""),"",COUNTIFS(LdAParty,$A1753,LdAType,2,LdAKey,"&lt;"&amp;$G1753)+1)</f>
        <v/>
      </c>
      <c r="K1753">
        <f>IF($J1753="","",$A1753&amp;"|"&amp;RIGHT("000000"&amp;$J1753,6))</f>
        <v/>
      </c>
      <c r="L1753">
        <f>IF($A1753="","",IF(Wages!$G1756="",0,Wages!$G1756))</f>
        <v/>
      </c>
      <c r="M1753">
        <f>IF($A1753="","",Wages!$J1756)</f>
        <v/>
      </c>
      <c r="N1753">
        <f>IF($A1753="","",Wages!$D1756)</f>
        <v/>
      </c>
      <c r="P1753">
        <f>IF(OR(Shares!$B1756="",Shares!$C1756=""),"",Shares!$C1756)</f>
        <v/>
      </c>
      <c r="Q1753">
        <f>IF($P1753="","",Shares!$B1756)</f>
        <v/>
      </c>
      <c r="R1753">
        <f>IF($P1753="","",IFERROR(INDEX(WageParty,MATCH($Q1753,WageIds,0)),""))</f>
        <v/>
      </c>
      <c r="S1753">
        <f>IF($P1753="","",IFERROR(INDEX($F$6:$F$2005,MATCH($Q1753,WageIds,0)),""))</f>
        <v/>
      </c>
      <c r="T1753">
        <f>IF(OR($P1753="",$S1753="",$S1753="نامعتبر"),"",LEFT($S1753,4)&amp;MID($S1753,6,2)&amp;RIGHT($S1753,2)&amp;"0000"&amp;"|"&amp;"2"&amp;RIGHT("00000"&amp;1748,5))</f>
        <v/>
      </c>
      <c r="U1753">
        <f>IF($T1753="","",COUNTIFS(LdAParty,$P1753,LdAType,1,LdAKey,"&lt;"&amp;$T1753)+COUNTIFS(LdBMember,$P1753,LdBKey,"&lt;"&amp;$T1753)+COUNTIFS(LdCParty,$P1753,LdCKey,"&lt;"&amp;$T1753)+1)</f>
        <v/>
      </c>
      <c r="V1753">
        <f>IF($U1753="","",$P1753&amp;"|"&amp;RIGHT("000000"&amp;$U1753,6))</f>
        <v/>
      </c>
      <c r="W1753">
        <f>IF($T1753="","",COUNTIFS(LdBGroup,$R1753,LdBKey,"&lt;"&amp;$T1753)+1)</f>
        <v/>
      </c>
      <c r="X1753">
        <f>IF($W1753="","",$R1753&amp;"|"&amp;RIGHT("000000"&amp;$W1753,6))</f>
        <v/>
      </c>
      <c r="Y1753">
        <f>IF($P1753="","",IF(Shares!$E1756="",0,Shares!$E1756))</f>
        <v/>
      </c>
      <c r="Z1753">
        <f>IF($P1753="","",Shares!$H1756)</f>
        <v/>
      </c>
      <c r="AE1753">
        <f>IF(OR(Sync!$S1753="",Sync!$P1753=""),"",Sync!$S1753)</f>
        <v/>
      </c>
      <c r="AF1753">
        <f>IF($AE1753="","",IF(ISNUMBER(Sync!$P1753),IF(AND(Sync!$P1753&gt;=10000101,Sync!$P1753&lt;=99991231),INT(Sync!$P1753/10000),""),IFERROR(VALUE(TRIM(LEFT(Sync!$P1753,FIND("/",Sync!$P1753)-1))),"")))</f>
        <v/>
      </c>
      <c r="AG1753">
        <f>IF(OR($AE1753="",$AF1753=""),"",IF(ISNUMBER(Sync!$P1753),INT(MOD(Sync!$P1753,10000)/100),IFERROR(VALUE(TRIM(LEFT(MID(Sync!$P1753,FIND("/",Sync!$P1753)+1,20),FIND("/",MID(Sync!$P1753,FIND("/",Sync!$P1753)+1,20))-1))),"")))</f>
        <v/>
      </c>
      <c r="AH1753">
        <f>IF(OR($AE1753="",$AF1753=""),"",IF(ISNUMBER(Sync!$P1753),MOD(Sync!$P1753,100),IFERROR(VALUE(TRIM(MID(MID(Sync!$P1753,FIND("/",Sync!$P1753)+1,20),FIND("/",MID(Sync!$P1753,FIND("/",Sync!$P1753)+1,20))+1,20))),"")))</f>
        <v/>
      </c>
      <c r="AI1753">
        <f>IF($AE1753="","",IF(OR($AF1753="",$AG1753="",$AH1753="",$AF1753&lt;1300,$AF1753&gt;1500,$AG1753&lt;1,$AG1753&gt;12,$AH1753&lt;1,$AH1753&gt;31),"نامعتبر",RIGHT("0000"&amp;$AF1753,4)&amp;"/"&amp;RIGHT("00"&amp;$AG1753,2)&amp;"/"&amp;RIGHT("00"&amp;$AH1753,2)))</f>
        <v/>
      </c>
      <c r="AJ1753">
        <f>IF($AE1753="","",IF(Sync!$Q1753="","0000",IF(AND(ISNUMBER(Sync!$Q1753),Sync!$Q1753&gt;=0,Sync!$Q1753&lt;1),RIGHT("00"&amp;HOUR(Sync!$Q1753),2)&amp;RIGHT("00"&amp;MINUTE(Sync!$Q1753),2),IFERROR(RIGHT("00"&amp;VALUE(LEFT(Sync!$Q1753,FIND(":",Sync!$Q1753)-1)),2)&amp;RIGHT("00"&amp;VALUE(MID(Sync!$Q1753,FIND(":",Sync!$Q1753)+1,2)),2),"0000"))))</f>
        <v/>
      </c>
      <c r="AK1753">
        <f>IF(OR($AE1753="",$AI1753="",$AI1753="نامعتبر"),"",LEFT($AI1753,4)&amp;MID($AI1753,6,2)&amp;RIGHT($AI1753,2)&amp;$AJ1753&amp;"|"&amp;"3"&amp;RIGHT("00000"&amp;1748,5))</f>
        <v/>
      </c>
      <c r="AL1753">
        <f>IF($AK1753="","",COUNTIFS(LdAParty,$AE1753,LdAType,1,LdAKey,"&lt;"&amp;$AK1753)+COUNTIFS(LdBMember,$AE1753,LdBKey,"&lt;"&amp;$AK1753)+COUNTIFS(LdCParty,$AE1753,LdCKey,"&lt;"&amp;$AK1753)+1)</f>
        <v/>
      </c>
      <c r="AM1753">
        <f>IF($AL1753="","",$AE1753&amp;"|"&amp;RIGHT("000000"&amp;$AL1753,6))</f>
        <v/>
      </c>
      <c r="AN1753">
        <f>IF($AE1753="","",IF(Sync!$W1753="",0,Sync!$W1753))</f>
        <v/>
      </c>
      <c r="AO1753">
        <f>IF($AE1753="","",IF(Sync!$X1753="",0,Sync!$X1753))</f>
        <v/>
      </c>
      <c r="AP1753">
        <f>IF($AE1753="","",Sync!$R1753)</f>
        <v/>
      </c>
      <c r="AQ1753">
        <f>IF($AE1753="","",Sync!$Y1753)</f>
        <v/>
      </c>
    </row>
    <row r="1754">
      <c r="A1754">
        <f>IF(OR(Wages!$B1757="",Wages!$E1757=""),"",Wages!$E1757)</f>
        <v/>
      </c>
      <c r="B1754">
        <f>IF($A1754="","",IF(Wages!$C1757="دستمزد گروهی",2,1))</f>
        <v/>
      </c>
      <c r="C1754">
        <f>IF($A1754="","",IF(ISNUMBER(Wages!$B1757),IF(AND(Wages!$B1757&gt;=10000101,Wages!$B1757&lt;=99991231),INT(Wages!$B1757/10000),""),IFERROR(VALUE(TRIM(LEFT(Wages!$B1757,FIND("/",Wages!$B1757)-1))),"")))</f>
        <v/>
      </c>
      <c r="D1754">
        <f>IF(OR($A1754="",$C1754=""),"",IF(ISNUMBER(Wages!$B1757),INT(MOD(Wages!$B1757,10000)/100),IFERROR(VALUE(TRIM(LEFT(MID(Wages!$B1757,FIND("/",Wages!$B1757)+1,20),FIND("/",MID(Wages!$B1757,FIND("/",Wages!$B1757)+1,20))-1))),"")))</f>
        <v/>
      </c>
      <c r="E1754">
        <f>IF(OR($A1754="",$C1754=""),"",IF(ISNUMBER(Wages!$B1757),MOD(Wages!$B1757,100),IFERROR(VALUE(TRIM(MID(MID(Wages!$B1757,FIND("/",Wages!$B1757)+1,20),FIND("/",MID(Wages!$B1757,FIND("/",Wages!$B1757)+1,20))+1,20))),"")))</f>
        <v/>
      </c>
      <c r="F1754">
        <f>IF($A1754="","",IF(OR($C1754="",$D1754="",$E1754="",$C1754&lt;1300,$C1754&gt;1500,$D1754&lt;1,$D1754&gt;12,$E1754&lt;1,$E1754&gt;31),"نامعتبر",RIGHT("0000"&amp;$C1754,4)&amp;"/"&amp;RIGHT("00"&amp;$D1754,2)&amp;"/"&amp;RIGHT("00"&amp;$E1754,2)))</f>
        <v/>
      </c>
      <c r="G1754">
        <f>IF(OR($A1754="",$F1754="",$F1754="نامعتبر"),"",LEFT($F1754,4)&amp;MID($F1754,6,2)&amp;RIGHT($F1754,2)&amp;"0000"&amp;"|"&amp;"1"&amp;RIGHT("00000"&amp;1749,5))</f>
        <v/>
      </c>
      <c r="H1754">
        <f>IF(OR($B1754&lt;&gt;1,$G1754=""),"",COUNTIFS(LdAParty,$A1754,LdAType,1,LdAKey,"&lt;"&amp;$G1754)+COUNTIFS(LdBMember,$A1754,LdBKey,"&lt;"&amp;$G1754)+COUNTIFS(LdCParty,$A1754,LdCKey,"&lt;"&amp;$G1754)+1)</f>
        <v/>
      </c>
      <c r="I1754">
        <f>IF($H1754="","",$A1754&amp;"|"&amp;RIGHT("000000"&amp;$H1754,6))</f>
        <v/>
      </c>
      <c r="J1754">
        <f>IF(OR($B1754&lt;&gt;2,$G1754=""),"",COUNTIFS(LdAParty,$A1754,LdAType,2,LdAKey,"&lt;"&amp;$G1754)+1)</f>
        <v/>
      </c>
      <c r="K1754">
        <f>IF($J1754="","",$A1754&amp;"|"&amp;RIGHT("000000"&amp;$J1754,6))</f>
        <v/>
      </c>
      <c r="L1754">
        <f>IF($A1754="","",IF(Wages!$G1757="",0,Wages!$G1757))</f>
        <v/>
      </c>
      <c r="M1754">
        <f>IF($A1754="","",Wages!$J1757)</f>
        <v/>
      </c>
      <c r="N1754">
        <f>IF($A1754="","",Wages!$D1757)</f>
        <v/>
      </c>
      <c r="P1754">
        <f>IF(OR(Shares!$B1757="",Shares!$C1757=""),"",Shares!$C1757)</f>
        <v/>
      </c>
      <c r="Q1754">
        <f>IF($P1754="","",Shares!$B1757)</f>
        <v/>
      </c>
      <c r="R1754">
        <f>IF($P1754="","",IFERROR(INDEX(WageParty,MATCH($Q1754,WageIds,0)),""))</f>
        <v/>
      </c>
      <c r="S1754">
        <f>IF($P1754="","",IFERROR(INDEX($F$6:$F$2005,MATCH($Q1754,WageIds,0)),""))</f>
        <v/>
      </c>
      <c r="T1754">
        <f>IF(OR($P1754="",$S1754="",$S1754="نامعتبر"),"",LEFT($S1754,4)&amp;MID($S1754,6,2)&amp;RIGHT($S1754,2)&amp;"0000"&amp;"|"&amp;"2"&amp;RIGHT("00000"&amp;1749,5))</f>
        <v/>
      </c>
      <c r="U1754">
        <f>IF($T1754="","",COUNTIFS(LdAParty,$P1754,LdAType,1,LdAKey,"&lt;"&amp;$T1754)+COUNTIFS(LdBMember,$P1754,LdBKey,"&lt;"&amp;$T1754)+COUNTIFS(LdCParty,$P1754,LdCKey,"&lt;"&amp;$T1754)+1)</f>
        <v/>
      </c>
      <c r="V1754">
        <f>IF($U1754="","",$P1754&amp;"|"&amp;RIGHT("000000"&amp;$U1754,6))</f>
        <v/>
      </c>
      <c r="W1754">
        <f>IF($T1754="","",COUNTIFS(LdBGroup,$R1754,LdBKey,"&lt;"&amp;$T1754)+1)</f>
        <v/>
      </c>
      <c r="X1754">
        <f>IF($W1754="","",$R1754&amp;"|"&amp;RIGHT("000000"&amp;$W1754,6))</f>
        <v/>
      </c>
      <c r="Y1754">
        <f>IF($P1754="","",IF(Shares!$E1757="",0,Shares!$E1757))</f>
        <v/>
      </c>
      <c r="Z1754">
        <f>IF($P1754="","",Shares!$H1757)</f>
        <v/>
      </c>
      <c r="AE1754">
        <f>IF(OR(Sync!$S1754="",Sync!$P1754=""),"",Sync!$S1754)</f>
        <v/>
      </c>
      <c r="AF1754">
        <f>IF($AE1754="","",IF(ISNUMBER(Sync!$P1754),IF(AND(Sync!$P1754&gt;=10000101,Sync!$P1754&lt;=99991231),INT(Sync!$P1754/10000),""),IFERROR(VALUE(TRIM(LEFT(Sync!$P1754,FIND("/",Sync!$P1754)-1))),"")))</f>
        <v/>
      </c>
      <c r="AG1754">
        <f>IF(OR($AE1754="",$AF1754=""),"",IF(ISNUMBER(Sync!$P1754),INT(MOD(Sync!$P1754,10000)/100),IFERROR(VALUE(TRIM(LEFT(MID(Sync!$P1754,FIND("/",Sync!$P1754)+1,20),FIND("/",MID(Sync!$P1754,FIND("/",Sync!$P1754)+1,20))-1))),"")))</f>
        <v/>
      </c>
      <c r="AH1754">
        <f>IF(OR($AE1754="",$AF1754=""),"",IF(ISNUMBER(Sync!$P1754),MOD(Sync!$P1754,100),IFERROR(VALUE(TRIM(MID(MID(Sync!$P1754,FIND("/",Sync!$P1754)+1,20),FIND("/",MID(Sync!$P1754,FIND("/",Sync!$P1754)+1,20))+1,20))),"")))</f>
        <v/>
      </c>
      <c r="AI1754">
        <f>IF($AE1754="","",IF(OR($AF1754="",$AG1754="",$AH1754="",$AF1754&lt;1300,$AF1754&gt;1500,$AG1754&lt;1,$AG1754&gt;12,$AH1754&lt;1,$AH1754&gt;31),"نامعتبر",RIGHT("0000"&amp;$AF1754,4)&amp;"/"&amp;RIGHT("00"&amp;$AG1754,2)&amp;"/"&amp;RIGHT("00"&amp;$AH1754,2)))</f>
        <v/>
      </c>
      <c r="AJ1754">
        <f>IF($AE1754="","",IF(Sync!$Q1754="","0000",IF(AND(ISNUMBER(Sync!$Q1754),Sync!$Q1754&gt;=0,Sync!$Q1754&lt;1),RIGHT("00"&amp;HOUR(Sync!$Q1754),2)&amp;RIGHT("00"&amp;MINUTE(Sync!$Q1754),2),IFERROR(RIGHT("00"&amp;VALUE(LEFT(Sync!$Q1754,FIND(":",Sync!$Q1754)-1)),2)&amp;RIGHT("00"&amp;VALUE(MID(Sync!$Q1754,FIND(":",Sync!$Q1754)+1,2)),2),"0000"))))</f>
        <v/>
      </c>
      <c r="AK1754">
        <f>IF(OR($AE1754="",$AI1754="",$AI1754="نامعتبر"),"",LEFT($AI1754,4)&amp;MID($AI1754,6,2)&amp;RIGHT($AI1754,2)&amp;$AJ1754&amp;"|"&amp;"3"&amp;RIGHT("00000"&amp;1749,5))</f>
        <v/>
      </c>
      <c r="AL1754">
        <f>IF($AK1754="","",COUNTIFS(LdAParty,$AE1754,LdAType,1,LdAKey,"&lt;"&amp;$AK1754)+COUNTIFS(LdBMember,$AE1754,LdBKey,"&lt;"&amp;$AK1754)+COUNTIFS(LdCParty,$AE1754,LdCKey,"&lt;"&amp;$AK1754)+1)</f>
        <v/>
      </c>
      <c r="AM1754">
        <f>IF($AL1754="","",$AE1754&amp;"|"&amp;RIGHT("000000"&amp;$AL1754,6))</f>
        <v/>
      </c>
      <c r="AN1754">
        <f>IF($AE1754="","",IF(Sync!$W1754="",0,Sync!$W1754))</f>
        <v/>
      </c>
      <c r="AO1754">
        <f>IF($AE1754="","",IF(Sync!$X1754="",0,Sync!$X1754))</f>
        <v/>
      </c>
      <c r="AP1754">
        <f>IF($AE1754="","",Sync!$R1754)</f>
        <v/>
      </c>
      <c r="AQ1754">
        <f>IF($AE1754="","",Sync!$Y1754)</f>
        <v/>
      </c>
    </row>
    <row r="1755">
      <c r="A1755">
        <f>IF(OR(Wages!$B1758="",Wages!$E1758=""),"",Wages!$E1758)</f>
        <v/>
      </c>
      <c r="B1755">
        <f>IF($A1755="","",IF(Wages!$C1758="دستمزد گروهی",2,1))</f>
        <v/>
      </c>
      <c r="C1755">
        <f>IF($A1755="","",IF(ISNUMBER(Wages!$B1758),IF(AND(Wages!$B1758&gt;=10000101,Wages!$B1758&lt;=99991231),INT(Wages!$B1758/10000),""),IFERROR(VALUE(TRIM(LEFT(Wages!$B1758,FIND("/",Wages!$B1758)-1))),"")))</f>
        <v/>
      </c>
      <c r="D1755">
        <f>IF(OR($A1755="",$C1755=""),"",IF(ISNUMBER(Wages!$B1758),INT(MOD(Wages!$B1758,10000)/100),IFERROR(VALUE(TRIM(LEFT(MID(Wages!$B1758,FIND("/",Wages!$B1758)+1,20),FIND("/",MID(Wages!$B1758,FIND("/",Wages!$B1758)+1,20))-1))),"")))</f>
        <v/>
      </c>
      <c r="E1755">
        <f>IF(OR($A1755="",$C1755=""),"",IF(ISNUMBER(Wages!$B1758),MOD(Wages!$B1758,100),IFERROR(VALUE(TRIM(MID(MID(Wages!$B1758,FIND("/",Wages!$B1758)+1,20),FIND("/",MID(Wages!$B1758,FIND("/",Wages!$B1758)+1,20))+1,20))),"")))</f>
        <v/>
      </c>
      <c r="F1755">
        <f>IF($A1755="","",IF(OR($C1755="",$D1755="",$E1755="",$C1755&lt;1300,$C1755&gt;1500,$D1755&lt;1,$D1755&gt;12,$E1755&lt;1,$E1755&gt;31),"نامعتبر",RIGHT("0000"&amp;$C1755,4)&amp;"/"&amp;RIGHT("00"&amp;$D1755,2)&amp;"/"&amp;RIGHT("00"&amp;$E1755,2)))</f>
        <v/>
      </c>
      <c r="G1755">
        <f>IF(OR($A1755="",$F1755="",$F1755="نامعتبر"),"",LEFT($F1755,4)&amp;MID($F1755,6,2)&amp;RIGHT($F1755,2)&amp;"0000"&amp;"|"&amp;"1"&amp;RIGHT("00000"&amp;1750,5))</f>
        <v/>
      </c>
      <c r="H1755">
        <f>IF(OR($B1755&lt;&gt;1,$G1755=""),"",COUNTIFS(LdAParty,$A1755,LdAType,1,LdAKey,"&lt;"&amp;$G1755)+COUNTIFS(LdBMember,$A1755,LdBKey,"&lt;"&amp;$G1755)+COUNTIFS(LdCParty,$A1755,LdCKey,"&lt;"&amp;$G1755)+1)</f>
        <v/>
      </c>
      <c r="I1755">
        <f>IF($H1755="","",$A1755&amp;"|"&amp;RIGHT("000000"&amp;$H1755,6))</f>
        <v/>
      </c>
      <c r="J1755">
        <f>IF(OR($B1755&lt;&gt;2,$G1755=""),"",COUNTIFS(LdAParty,$A1755,LdAType,2,LdAKey,"&lt;"&amp;$G1755)+1)</f>
        <v/>
      </c>
      <c r="K1755">
        <f>IF($J1755="","",$A1755&amp;"|"&amp;RIGHT("000000"&amp;$J1755,6))</f>
        <v/>
      </c>
      <c r="L1755">
        <f>IF($A1755="","",IF(Wages!$G1758="",0,Wages!$G1758))</f>
        <v/>
      </c>
      <c r="M1755">
        <f>IF($A1755="","",Wages!$J1758)</f>
        <v/>
      </c>
      <c r="N1755">
        <f>IF($A1755="","",Wages!$D1758)</f>
        <v/>
      </c>
      <c r="P1755">
        <f>IF(OR(Shares!$B1758="",Shares!$C1758=""),"",Shares!$C1758)</f>
        <v/>
      </c>
      <c r="Q1755">
        <f>IF($P1755="","",Shares!$B1758)</f>
        <v/>
      </c>
      <c r="R1755">
        <f>IF($P1755="","",IFERROR(INDEX(WageParty,MATCH($Q1755,WageIds,0)),""))</f>
        <v/>
      </c>
      <c r="S1755">
        <f>IF($P1755="","",IFERROR(INDEX($F$6:$F$2005,MATCH($Q1755,WageIds,0)),""))</f>
        <v/>
      </c>
      <c r="T1755">
        <f>IF(OR($P1755="",$S1755="",$S1755="نامعتبر"),"",LEFT($S1755,4)&amp;MID($S1755,6,2)&amp;RIGHT($S1755,2)&amp;"0000"&amp;"|"&amp;"2"&amp;RIGHT("00000"&amp;1750,5))</f>
        <v/>
      </c>
      <c r="U1755">
        <f>IF($T1755="","",COUNTIFS(LdAParty,$P1755,LdAType,1,LdAKey,"&lt;"&amp;$T1755)+COUNTIFS(LdBMember,$P1755,LdBKey,"&lt;"&amp;$T1755)+COUNTIFS(LdCParty,$P1755,LdCKey,"&lt;"&amp;$T1755)+1)</f>
        <v/>
      </c>
      <c r="V1755">
        <f>IF($U1755="","",$P1755&amp;"|"&amp;RIGHT("000000"&amp;$U1755,6))</f>
        <v/>
      </c>
      <c r="W1755">
        <f>IF($T1755="","",COUNTIFS(LdBGroup,$R1755,LdBKey,"&lt;"&amp;$T1755)+1)</f>
        <v/>
      </c>
      <c r="X1755">
        <f>IF($W1755="","",$R1755&amp;"|"&amp;RIGHT("000000"&amp;$W1755,6))</f>
        <v/>
      </c>
      <c r="Y1755">
        <f>IF($P1755="","",IF(Shares!$E1758="",0,Shares!$E1758))</f>
        <v/>
      </c>
      <c r="Z1755">
        <f>IF($P1755="","",Shares!$H1758)</f>
        <v/>
      </c>
      <c r="AE1755">
        <f>IF(OR(Sync!$S1755="",Sync!$P1755=""),"",Sync!$S1755)</f>
        <v/>
      </c>
      <c r="AF1755">
        <f>IF($AE1755="","",IF(ISNUMBER(Sync!$P1755),IF(AND(Sync!$P1755&gt;=10000101,Sync!$P1755&lt;=99991231),INT(Sync!$P1755/10000),""),IFERROR(VALUE(TRIM(LEFT(Sync!$P1755,FIND("/",Sync!$P1755)-1))),"")))</f>
        <v/>
      </c>
      <c r="AG1755">
        <f>IF(OR($AE1755="",$AF1755=""),"",IF(ISNUMBER(Sync!$P1755),INT(MOD(Sync!$P1755,10000)/100),IFERROR(VALUE(TRIM(LEFT(MID(Sync!$P1755,FIND("/",Sync!$P1755)+1,20),FIND("/",MID(Sync!$P1755,FIND("/",Sync!$P1755)+1,20))-1))),"")))</f>
        <v/>
      </c>
      <c r="AH1755">
        <f>IF(OR($AE1755="",$AF1755=""),"",IF(ISNUMBER(Sync!$P1755),MOD(Sync!$P1755,100),IFERROR(VALUE(TRIM(MID(MID(Sync!$P1755,FIND("/",Sync!$P1755)+1,20),FIND("/",MID(Sync!$P1755,FIND("/",Sync!$P1755)+1,20))+1,20))),"")))</f>
        <v/>
      </c>
      <c r="AI1755">
        <f>IF($AE1755="","",IF(OR($AF1755="",$AG1755="",$AH1755="",$AF1755&lt;1300,$AF1755&gt;1500,$AG1755&lt;1,$AG1755&gt;12,$AH1755&lt;1,$AH1755&gt;31),"نامعتبر",RIGHT("0000"&amp;$AF1755,4)&amp;"/"&amp;RIGHT("00"&amp;$AG1755,2)&amp;"/"&amp;RIGHT("00"&amp;$AH1755,2)))</f>
        <v/>
      </c>
      <c r="AJ1755">
        <f>IF($AE1755="","",IF(Sync!$Q1755="","0000",IF(AND(ISNUMBER(Sync!$Q1755),Sync!$Q1755&gt;=0,Sync!$Q1755&lt;1),RIGHT("00"&amp;HOUR(Sync!$Q1755),2)&amp;RIGHT("00"&amp;MINUTE(Sync!$Q1755),2),IFERROR(RIGHT("00"&amp;VALUE(LEFT(Sync!$Q1755,FIND(":",Sync!$Q1755)-1)),2)&amp;RIGHT("00"&amp;VALUE(MID(Sync!$Q1755,FIND(":",Sync!$Q1755)+1,2)),2),"0000"))))</f>
        <v/>
      </c>
      <c r="AK1755">
        <f>IF(OR($AE1755="",$AI1755="",$AI1755="نامعتبر"),"",LEFT($AI1755,4)&amp;MID($AI1755,6,2)&amp;RIGHT($AI1755,2)&amp;$AJ1755&amp;"|"&amp;"3"&amp;RIGHT("00000"&amp;1750,5))</f>
        <v/>
      </c>
      <c r="AL1755">
        <f>IF($AK1755="","",COUNTIFS(LdAParty,$AE1755,LdAType,1,LdAKey,"&lt;"&amp;$AK1755)+COUNTIFS(LdBMember,$AE1755,LdBKey,"&lt;"&amp;$AK1755)+COUNTIFS(LdCParty,$AE1755,LdCKey,"&lt;"&amp;$AK1755)+1)</f>
        <v/>
      </c>
      <c r="AM1755">
        <f>IF($AL1755="","",$AE1755&amp;"|"&amp;RIGHT("000000"&amp;$AL1755,6))</f>
        <v/>
      </c>
      <c r="AN1755">
        <f>IF($AE1755="","",IF(Sync!$W1755="",0,Sync!$W1755))</f>
        <v/>
      </c>
      <c r="AO1755">
        <f>IF($AE1755="","",IF(Sync!$X1755="",0,Sync!$X1755))</f>
        <v/>
      </c>
      <c r="AP1755">
        <f>IF($AE1755="","",Sync!$R1755)</f>
        <v/>
      </c>
      <c r="AQ1755">
        <f>IF($AE1755="","",Sync!$Y1755)</f>
        <v/>
      </c>
    </row>
    <row r="1756">
      <c r="A1756">
        <f>IF(OR(Wages!$B1759="",Wages!$E1759=""),"",Wages!$E1759)</f>
        <v/>
      </c>
      <c r="B1756">
        <f>IF($A1756="","",IF(Wages!$C1759="دستمزد گروهی",2,1))</f>
        <v/>
      </c>
      <c r="C1756">
        <f>IF($A1756="","",IF(ISNUMBER(Wages!$B1759),IF(AND(Wages!$B1759&gt;=10000101,Wages!$B1759&lt;=99991231),INT(Wages!$B1759/10000),""),IFERROR(VALUE(TRIM(LEFT(Wages!$B1759,FIND("/",Wages!$B1759)-1))),"")))</f>
        <v/>
      </c>
      <c r="D1756">
        <f>IF(OR($A1756="",$C1756=""),"",IF(ISNUMBER(Wages!$B1759),INT(MOD(Wages!$B1759,10000)/100),IFERROR(VALUE(TRIM(LEFT(MID(Wages!$B1759,FIND("/",Wages!$B1759)+1,20),FIND("/",MID(Wages!$B1759,FIND("/",Wages!$B1759)+1,20))-1))),"")))</f>
        <v/>
      </c>
      <c r="E1756">
        <f>IF(OR($A1756="",$C1756=""),"",IF(ISNUMBER(Wages!$B1759),MOD(Wages!$B1759,100),IFERROR(VALUE(TRIM(MID(MID(Wages!$B1759,FIND("/",Wages!$B1759)+1,20),FIND("/",MID(Wages!$B1759,FIND("/",Wages!$B1759)+1,20))+1,20))),"")))</f>
        <v/>
      </c>
      <c r="F1756">
        <f>IF($A1756="","",IF(OR($C1756="",$D1756="",$E1756="",$C1756&lt;1300,$C1756&gt;1500,$D1756&lt;1,$D1756&gt;12,$E1756&lt;1,$E1756&gt;31),"نامعتبر",RIGHT("0000"&amp;$C1756,4)&amp;"/"&amp;RIGHT("00"&amp;$D1756,2)&amp;"/"&amp;RIGHT("00"&amp;$E1756,2)))</f>
        <v/>
      </c>
      <c r="G1756">
        <f>IF(OR($A1756="",$F1756="",$F1756="نامعتبر"),"",LEFT($F1756,4)&amp;MID($F1756,6,2)&amp;RIGHT($F1756,2)&amp;"0000"&amp;"|"&amp;"1"&amp;RIGHT("00000"&amp;1751,5))</f>
        <v/>
      </c>
      <c r="H1756">
        <f>IF(OR($B1756&lt;&gt;1,$G1756=""),"",COUNTIFS(LdAParty,$A1756,LdAType,1,LdAKey,"&lt;"&amp;$G1756)+COUNTIFS(LdBMember,$A1756,LdBKey,"&lt;"&amp;$G1756)+COUNTIFS(LdCParty,$A1756,LdCKey,"&lt;"&amp;$G1756)+1)</f>
        <v/>
      </c>
      <c r="I1756">
        <f>IF($H1756="","",$A1756&amp;"|"&amp;RIGHT("000000"&amp;$H1756,6))</f>
        <v/>
      </c>
      <c r="J1756">
        <f>IF(OR($B1756&lt;&gt;2,$G1756=""),"",COUNTIFS(LdAParty,$A1756,LdAType,2,LdAKey,"&lt;"&amp;$G1756)+1)</f>
        <v/>
      </c>
      <c r="K1756">
        <f>IF($J1756="","",$A1756&amp;"|"&amp;RIGHT("000000"&amp;$J1756,6))</f>
        <v/>
      </c>
      <c r="L1756">
        <f>IF($A1756="","",IF(Wages!$G1759="",0,Wages!$G1759))</f>
        <v/>
      </c>
      <c r="M1756">
        <f>IF($A1756="","",Wages!$J1759)</f>
        <v/>
      </c>
      <c r="N1756">
        <f>IF($A1756="","",Wages!$D1759)</f>
        <v/>
      </c>
      <c r="P1756">
        <f>IF(OR(Shares!$B1759="",Shares!$C1759=""),"",Shares!$C1759)</f>
        <v/>
      </c>
      <c r="Q1756">
        <f>IF($P1756="","",Shares!$B1759)</f>
        <v/>
      </c>
      <c r="R1756">
        <f>IF($P1756="","",IFERROR(INDEX(WageParty,MATCH($Q1756,WageIds,0)),""))</f>
        <v/>
      </c>
      <c r="S1756">
        <f>IF($P1756="","",IFERROR(INDEX($F$6:$F$2005,MATCH($Q1756,WageIds,0)),""))</f>
        <v/>
      </c>
      <c r="T1756">
        <f>IF(OR($P1756="",$S1756="",$S1756="نامعتبر"),"",LEFT($S1756,4)&amp;MID($S1756,6,2)&amp;RIGHT($S1756,2)&amp;"0000"&amp;"|"&amp;"2"&amp;RIGHT("00000"&amp;1751,5))</f>
        <v/>
      </c>
      <c r="U1756">
        <f>IF($T1756="","",COUNTIFS(LdAParty,$P1756,LdAType,1,LdAKey,"&lt;"&amp;$T1756)+COUNTIFS(LdBMember,$P1756,LdBKey,"&lt;"&amp;$T1756)+COUNTIFS(LdCParty,$P1756,LdCKey,"&lt;"&amp;$T1756)+1)</f>
        <v/>
      </c>
      <c r="V1756">
        <f>IF($U1756="","",$P1756&amp;"|"&amp;RIGHT("000000"&amp;$U1756,6))</f>
        <v/>
      </c>
      <c r="W1756">
        <f>IF($T1756="","",COUNTIFS(LdBGroup,$R1756,LdBKey,"&lt;"&amp;$T1756)+1)</f>
        <v/>
      </c>
      <c r="X1756">
        <f>IF($W1756="","",$R1756&amp;"|"&amp;RIGHT("000000"&amp;$W1756,6))</f>
        <v/>
      </c>
      <c r="Y1756">
        <f>IF($P1756="","",IF(Shares!$E1759="",0,Shares!$E1759))</f>
        <v/>
      </c>
      <c r="Z1756">
        <f>IF($P1756="","",Shares!$H1759)</f>
        <v/>
      </c>
      <c r="AE1756">
        <f>IF(OR(Sync!$S1756="",Sync!$P1756=""),"",Sync!$S1756)</f>
        <v/>
      </c>
      <c r="AF1756">
        <f>IF($AE1756="","",IF(ISNUMBER(Sync!$P1756),IF(AND(Sync!$P1756&gt;=10000101,Sync!$P1756&lt;=99991231),INT(Sync!$P1756/10000),""),IFERROR(VALUE(TRIM(LEFT(Sync!$P1756,FIND("/",Sync!$P1756)-1))),"")))</f>
        <v/>
      </c>
      <c r="AG1756">
        <f>IF(OR($AE1756="",$AF1756=""),"",IF(ISNUMBER(Sync!$P1756),INT(MOD(Sync!$P1756,10000)/100),IFERROR(VALUE(TRIM(LEFT(MID(Sync!$P1756,FIND("/",Sync!$P1756)+1,20),FIND("/",MID(Sync!$P1756,FIND("/",Sync!$P1756)+1,20))-1))),"")))</f>
        <v/>
      </c>
      <c r="AH1756">
        <f>IF(OR($AE1756="",$AF1756=""),"",IF(ISNUMBER(Sync!$P1756),MOD(Sync!$P1756,100),IFERROR(VALUE(TRIM(MID(MID(Sync!$P1756,FIND("/",Sync!$P1756)+1,20),FIND("/",MID(Sync!$P1756,FIND("/",Sync!$P1756)+1,20))+1,20))),"")))</f>
        <v/>
      </c>
      <c r="AI1756">
        <f>IF($AE1756="","",IF(OR($AF1756="",$AG1756="",$AH1756="",$AF1756&lt;1300,$AF1756&gt;1500,$AG1756&lt;1,$AG1756&gt;12,$AH1756&lt;1,$AH1756&gt;31),"نامعتبر",RIGHT("0000"&amp;$AF1756,4)&amp;"/"&amp;RIGHT("00"&amp;$AG1756,2)&amp;"/"&amp;RIGHT("00"&amp;$AH1756,2)))</f>
        <v/>
      </c>
      <c r="AJ1756">
        <f>IF($AE1756="","",IF(Sync!$Q1756="","0000",IF(AND(ISNUMBER(Sync!$Q1756),Sync!$Q1756&gt;=0,Sync!$Q1756&lt;1),RIGHT("00"&amp;HOUR(Sync!$Q1756),2)&amp;RIGHT("00"&amp;MINUTE(Sync!$Q1756),2),IFERROR(RIGHT("00"&amp;VALUE(LEFT(Sync!$Q1756,FIND(":",Sync!$Q1756)-1)),2)&amp;RIGHT("00"&amp;VALUE(MID(Sync!$Q1756,FIND(":",Sync!$Q1756)+1,2)),2),"0000"))))</f>
        <v/>
      </c>
      <c r="AK1756">
        <f>IF(OR($AE1756="",$AI1756="",$AI1756="نامعتبر"),"",LEFT($AI1756,4)&amp;MID($AI1756,6,2)&amp;RIGHT($AI1756,2)&amp;$AJ1756&amp;"|"&amp;"3"&amp;RIGHT("00000"&amp;1751,5))</f>
        <v/>
      </c>
      <c r="AL1756">
        <f>IF($AK1756="","",COUNTIFS(LdAParty,$AE1756,LdAType,1,LdAKey,"&lt;"&amp;$AK1756)+COUNTIFS(LdBMember,$AE1756,LdBKey,"&lt;"&amp;$AK1756)+COUNTIFS(LdCParty,$AE1756,LdCKey,"&lt;"&amp;$AK1756)+1)</f>
        <v/>
      </c>
      <c r="AM1756">
        <f>IF($AL1756="","",$AE1756&amp;"|"&amp;RIGHT("000000"&amp;$AL1756,6))</f>
        <v/>
      </c>
      <c r="AN1756">
        <f>IF($AE1756="","",IF(Sync!$W1756="",0,Sync!$W1756))</f>
        <v/>
      </c>
      <c r="AO1756">
        <f>IF($AE1756="","",IF(Sync!$X1756="",0,Sync!$X1756))</f>
        <v/>
      </c>
      <c r="AP1756">
        <f>IF($AE1756="","",Sync!$R1756)</f>
        <v/>
      </c>
      <c r="AQ1756">
        <f>IF($AE1756="","",Sync!$Y1756)</f>
        <v/>
      </c>
    </row>
    <row r="1757">
      <c r="A1757">
        <f>IF(OR(Wages!$B1760="",Wages!$E1760=""),"",Wages!$E1760)</f>
        <v/>
      </c>
      <c r="B1757">
        <f>IF($A1757="","",IF(Wages!$C1760="دستمزد گروهی",2,1))</f>
        <v/>
      </c>
      <c r="C1757">
        <f>IF($A1757="","",IF(ISNUMBER(Wages!$B1760),IF(AND(Wages!$B1760&gt;=10000101,Wages!$B1760&lt;=99991231),INT(Wages!$B1760/10000),""),IFERROR(VALUE(TRIM(LEFT(Wages!$B1760,FIND("/",Wages!$B1760)-1))),"")))</f>
        <v/>
      </c>
      <c r="D1757">
        <f>IF(OR($A1757="",$C1757=""),"",IF(ISNUMBER(Wages!$B1760),INT(MOD(Wages!$B1760,10000)/100),IFERROR(VALUE(TRIM(LEFT(MID(Wages!$B1760,FIND("/",Wages!$B1760)+1,20),FIND("/",MID(Wages!$B1760,FIND("/",Wages!$B1760)+1,20))-1))),"")))</f>
        <v/>
      </c>
      <c r="E1757">
        <f>IF(OR($A1757="",$C1757=""),"",IF(ISNUMBER(Wages!$B1760),MOD(Wages!$B1760,100),IFERROR(VALUE(TRIM(MID(MID(Wages!$B1760,FIND("/",Wages!$B1760)+1,20),FIND("/",MID(Wages!$B1760,FIND("/",Wages!$B1760)+1,20))+1,20))),"")))</f>
        <v/>
      </c>
      <c r="F1757">
        <f>IF($A1757="","",IF(OR($C1757="",$D1757="",$E1757="",$C1757&lt;1300,$C1757&gt;1500,$D1757&lt;1,$D1757&gt;12,$E1757&lt;1,$E1757&gt;31),"نامعتبر",RIGHT("0000"&amp;$C1757,4)&amp;"/"&amp;RIGHT("00"&amp;$D1757,2)&amp;"/"&amp;RIGHT("00"&amp;$E1757,2)))</f>
        <v/>
      </c>
      <c r="G1757">
        <f>IF(OR($A1757="",$F1757="",$F1757="نامعتبر"),"",LEFT($F1757,4)&amp;MID($F1757,6,2)&amp;RIGHT($F1757,2)&amp;"0000"&amp;"|"&amp;"1"&amp;RIGHT("00000"&amp;1752,5))</f>
        <v/>
      </c>
      <c r="H1757">
        <f>IF(OR($B1757&lt;&gt;1,$G1757=""),"",COUNTIFS(LdAParty,$A1757,LdAType,1,LdAKey,"&lt;"&amp;$G1757)+COUNTIFS(LdBMember,$A1757,LdBKey,"&lt;"&amp;$G1757)+COUNTIFS(LdCParty,$A1757,LdCKey,"&lt;"&amp;$G1757)+1)</f>
        <v/>
      </c>
      <c r="I1757">
        <f>IF($H1757="","",$A1757&amp;"|"&amp;RIGHT("000000"&amp;$H1757,6))</f>
        <v/>
      </c>
      <c r="J1757">
        <f>IF(OR($B1757&lt;&gt;2,$G1757=""),"",COUNTIFS(LdAParty,$A1757,LdAType,2,LdAKey,"&lt;"&amp;$G1757)+1)</f>
        <v/>
      </c>
      <c r="K1757">
        <f>IF($J1757="","",$A1757&amp;"|"&amp;RIGHT("000000"&amp;$J1757,6))</f>
        <v/>
      </c>
      <c r="L1757">
        <f>IF($A1757="","",IF(Wages!$G1760="",0,Wages!$G1760))</f>
        <v/>
      </c>
      <c r="M1757">
        <f>IF($A1757="","",Wages!$J1760)</f>
        <v/>
      </c>
      <c r="N1757">
        <f>IF($A1757="","",Wages!$D1760)</f>
        <v/>
      </c>
      <c r="P1757">
        <f>IF(OR(Shares!$B1760="",Shares!$C1760=""),"",Shares!$C1760)</f>
        <v/>
      </c>
      <c r="Q1757">
        <f>IF($P1757="","",Shares!$B1760)</f>
        <v/>
      </c>
      <c r="R1757">
        <f>IF($P1757="","",IFERROR(INDEX(WageParty,MATCH($Q1757,WageIds,0)),""))</f>
        <v/>
      </c>
      <c r="S1757">
        <f>IF($P1757="","",IFERROR(INDEX($F$6:$F$2005,MATCH($Q1757,WageIds,0)),""))</f>
        <v/>
      </c>
      <c r="T1757">
        <f>IF(OR($P1757="",$S1757="",$S1757="نامعتبر"),"",LEFT($S1757,4)&amp;MID($S1757,6,2)&amp;RIGHT($S1757,2)&amp;"0000"&amp;"|"&amp;"2"&amp;RIGHT("00000"&amp;1752,5))</f>
        <v/>
      </c>
      <c r="U1757">
        <f>IF($T1757="","",COUNTIFS(LdAParty,$P1757,LdAType,1,LdAKey,"&lt;"&amp;$T1757)+COUNTIFS(LdBMember,$P1757,LdBKey,"&lt;"&amp;$T1757)+COUNTIFS(LdCParty,$P1757,LdCKey,"&lt;"&amp;$T1757)+1)</f>
        <v/>
      </c>
      <c r="V1757">
        <f>IF($U1757="","",$P1757&amp;"|"&amp;RIGHT("000000"&amp;$U1757,6))</f>
        <v/>
      </c>
      <c r="W1757">
        <f>IF($T1757="","",COUNTIFS(LdBGroup,$R1757,LdBKey,"&lt;"&amp;$T1757)+1)</f>
        <v/>
      </c>
      <c r="X1757">
        <f>IF($W1757="","",$R1757&amp;"|"&amp;RIGHT("000000"&amp;$W1757,6))</f>
        <v/>
      </c>
      <c r="Y1757">
        <f>IF($P1757="","",IF(Shares!$E1760="",0,Shares!$E1760))</f>
        <v/>
      </c>
      <c r="Z1757">
        <f>IF($P1757="","",Shares!$H1760)</f>
        <v/>
      </c>
      <c r="AE1757">
        <f>IF(OR(Sync!$S1757="",Sync!$P1757=""),"",Sync!$S1757)</f>
        <v/>
      </c>
      <c r="AF1757">
        <f>IF($AE1757="","",IF(ISNUMBER(Sync!$P1757),IF(AND(Sync!$P1757&gt;=10000101,Sync!$P1757&lt;=99991231),INT(Sync!$P1757/10000),""),IFERROR(VALUE(TRIM(LEFT(Sync!$P1757,FIND("/",Sync!$P1757)-1))),"")))</f>
        <v/>
      </c>
      <c r="AG1757">
        <f>IF(OR($AE1757="",$AF1757=""),"",IF(ISNUMBER(Sync!$P1757),INT(MOD(Sync!$P1757,10000)/100),IFERROR(VALUE(TRIM(LEFT(MID(Sync!$P1757,FIND("/",Sync!$P1757)+1,20),FIND("/",MID(Sync!$P1757,FIND("/",Sync!$P1757)+1,20))-1))),"")))</f>
        <v/>
      </c>
      <c r="AH1757">
        <f>IF(OR($AE1757="",$AF1757=""),"",IF(ISNUMBER(Sync!$P1757),MOD(Sync!$P1757,100),IFERROR(VALUE(TRIM(MID(MID(Sync!$P1757,FIND("/",Sync!$P1757)+1,20),FIND("/",MID(Sync!$P1757,FIND("/",Sync!$P1757)+1,20))+1,20))),"")))</f>
        <v/>
      </c>
      <c r="AI1757">
        <f>IF($AE1757="","",IF(OR($AF1757="",$AG1757="",$AH1757="",$AF1757&lt;1300,$AF1757&gt;1500,$AG1757&lt;1,$AG1757&gt;12,$AH1757&lt;1,$AH1757&gt;31),"نامعتبر",RIGHT("0000"&amp;$AF1757,4)&amp;"/"&amp;RIGHT("00"&amp;$AG1757,2)&amp;"/"&amp;RIGHT("00"&amp;$AH1757,2)))</f>
        <v/>
      </c>
      <c r="AJ1757">
        <f>IF($AE1757="","",IF(Sync!$Q1757="","0000",IF(AND(ISNUMBER(Sync!$Q1757),Sync!$Q1757&gt;=0,Sync!$Q1757&lt;1),RIGHT("00"&amp;HOUR(Sync!$Q1757),2)&amp;RIGHT("00"&amp;MINUTE(Sync!$Q1757),2),IFERROR(RIGHT("00"&amp;VALUE(LEFT(Sync!$Q1757,FIND(":",Sync!$Q1757)-1)),2)&amp;RIGHT("00"&amp;VALUE(MID(Sync!$Q1757,FIND(":",Sync!$Q1757)+1,2)),2),"0000"))))</f>
        <v/>
      </c>
      <c r="AK1757">
        <f>IF(OR($AE1757="",$AI1757="",$AI1757="نامعتبر"),"",LEFT($AI1757,4)&amp;MID($AI1757,6,2)&amp;RIGHT($AI1757,2)&amp;$AJ1757&amp;"|"&amp;"3"&amp;RIGHT("00000"&amp;1752,5))</f>
        <v/>
      </c>
      <c r="AL1757">
        <f>IF($AK1757="","",COUNTIFS(LdAParty,$AE1757,LdAType,1,LdAKey,"&lt;"&amp;$AK1757)+COUNTIFS(LdBMember,$AE1757,LdBKey,"&lt;"&amp;$AK1757)+COUNTIFS(LdCParty,$AE1757,LdCKey,"&lt;"&amp;$AK1757)+1)</f>
        <v/>
      </c>
      <c r="AM1757">
        <f>IF($AL1757="","",$AE1757&amp;"|"&amp;RIGHT("000000"&amp;$AL1757,6))</f>
        <v/>
      </c>
      <c r="AN1757">
        <f>IF($AE1757="","",IF(Sync!$W1757="",0,Sync!$W1757))</f>
        <v/>
      </c>
      <c r="AO1757">
        <f>IF($AE1757="","",IF(Sync!$X1757="",0,Sync!$X1757))</f>
        <v/>
      </c>
      <c r="AP1757">
        <f>IF($AE1757="","",Sync!$R1757)</f>
        <v/>
      </c>
      <c r="AQ1757">
        <f>IF($AE1757="","",Sync!$Y1757)</f>
        <v/>
      </c>
    </row>
    <row r="1758">
      <c r="A1758">
        <f>IF(OR(Wages!$B1761="",Wages!$E1761=""),"",Wages!$E1761)</f>
        <v/>
      </c>
      <c r="B1758">
        <f>IF($A1758="","",IF(Wages!$C1761="دستمزد گروهی",2,1))</f>
        <v/>
      </c>
      <c r="C1758">
        <f>IF($A1758="","",IF(ISNUMBER(Wages!$B1761),IF(AND(Wages!$B1761&gt;=10000101,Wages!$B1761&lt;=99991231),INT(Wages!$B1761/10000),""),IFERROR(VALUE(TRIM(LEFT(Wages!$B1761,FIND("/",Wages!$B1761)-1))),"")))</f>
        <v/>
      </c>
      <c r="D1758">
        <f>IF(OR($A1758="",$C1758=""),"",IF(ISNUMBER(Wages!$B1761),INT(MOD(Wages!$B1761,10000)/100),IFERROR(VALUE(TRIM(LEFT(MID(Wages!$B1761,FIND("/",Wages!$B1761)+1,20),FIND("/",MID(Wages!$B1761,FIND("/",Wages!$B1761)+1,20))-1))),"")))</f>
        <v/>
      </c>
      <c r="E1758">
        <f>IF(OR($A1758="",$C1758=""),"",IF(ISNUMBER(Wages!$B1761),MOD(Wages!$B1761,100),IFERROR(VALUE(TRIM(MID(MID(Wages!$B1761,FIND("/",Wages!$B1761)+1,20),FIND("/",MID(Wages!$B1761,FIND("/",Wages!$B1761)+1,20))+1,20))),"")))</f>
        <v/>
      </c>
      <c r="F1758">
        <f>IF($A1758="","",IF(OR($C1758="",$D1758="",$E1758="",$C1758&lt;1300,$C1758&gt;1500,$D1758&lt;1,$D1758&gt;12,$E1758&lt;1,$E1758&gt;31),"نامعتبر",RIGHT("0000"&amp;$C1758,4)&amp;"/"&amp;RIGHT("00"&amp;$D1758,2)&amp;"/"&amp;RIGHT("00"&amp;$E1758,2)))</f>
        <v/>
      </c>
      <c r="G1758">
        <f>IF(OR($A1758="",$F1758="",$F1758="نامعتبر"),"",LEFT($F1758,4)&amp;MID($F1758,6,2)&amp;RIGHT($F1758,2)&amp;"0000"&amp;"|"&amp;"1"&amp;RIGHT("00000"&amp;1753,5))</f>
        <v/>
      </c>
      <c r="H1758">
        <f>IF(OR($B1758&lt;&gt;1,$G1758=""),"",COUNTIFS(LdAParty,$A1758,LdAType,1,LdAKey,"&lt;"&amp;$G1758)+COUNTIFS(LdBMember,$A1758,LdBKey,"&lt;"&amp;$G1758)+COUNTIFS(LdCParty,$A1758,LdCKey,"&lt;"&amp;$G1758)+1)</f>
        <v/>
      </c>
      <c r="I1758">
        <f>IF($H1758="","",$A1758&amp;"|"&amp;RIGHT("000000"&amp;$H1758,6))</f>
        <v/>
      </c>
      <c r="J1758">
        <f>IF(OR($B1758&lt;&gt;2,$G1758=""),"",COUNTIFS(LdAParty,$A1758,LdAType,2,LdAKey,"&lt;"&amp;$G1758)+1)</f>
        <v/>
      </c>
      <c r="K1758">
        <f>IF($J1758="","",$A1758&amp;"|"&amp;RIGHT("000000"&amp;$J1758,6))</f>
        <v/>
      </c>
      <c r="L1758">
        <f>IF($A1758="","",IF(Wages!$G1761="",0,Wages!$G1761))</f>
        <v/>
      </c>
      <c r="M1758">
        <f>IF($A1758="","",Wages!$J1761)</f>
        <v/>
      </c>
      <c r="N1758">
        <f>IF($A1758="","",Wages!$D1761)</f>
        <v/>
      </c>
      <c r="P1758">
        <f>IF(OR(Shares!$B1761="",Shares!$C1761=""),"",Shares!$C1761)</f>
        <v/>
      </c>
      <c r="Q1758">
        <f>IF($P1758="","",Shares!$B1761)</f>
        <v/>
      </c>
      <c r="R1758">
        <f>IF($P1758="","",IFERROR(INDEX(WageParty,MATCH($Q1758,WageIds,0)),""))</f>
        <v/>
      </c>
      <c r="S1758">
        <f>IF($P1758="","",IFERROR(INDEX($F$6:$F$2005,MATCH($Q1758,WageIds,0)),""))</f>
        <v/>
      </c>
      <c r="T1758">
        <f>IF(OR($P1758="",$S1758="",$S1758="نامعتبر"),"",LEFT($S1758,4)&amp;MID($S1758,6,2)&amp;RIGHT($S1758,2)&amp;"0000"&amp;"|"&amp;"2"&amp;RIGHT("00000"&amp;1753,5))</f>
        <v/>
      </c>
      <c r="U1758">
        <f>IF($T1758="","",COUNTIFS(LdAParty,$P1758,LdAType,1,LdAKey,"&lt;"&amp;$T1758)+COUNTIFS(LdBMember,$P1758,LdBKey,"&lt;"&amp;$T1758)+COUNTIFS(LdCParty,$P1758,LdCKey,"&lt;"&amp;$T1758)+1)</f>
        <v/>
      </c>
      <c r="V1758">
        <f>IF($U1758="","",$P1758&amp;"|"&amp;RIGHT("000000"&amp;$U1758,6))</f>
        <v/>
      </c>
      <c r="W1758">
        <f>IF($T1758="","",COUNTIFS(LdBGroup,$R1758,LdBKey,"&lt;"&amp;$T1758)+1)</f>
        <v/>
      </c>
      <c r="X1758">
        <f>IF($W1758="","",$R1758&amp;"|"&amp;RIGHT("000000"&amp;$W1758,6))</f>
        <v/>
      </c>
      <c r="Y1758">
        <f>IF($P1758="","",IF(Shares!$E1761="",0,Shares!$E1761))</f>
        <v/>
      </c>
      <c r="Z1758">
        <f>IF($P1758="","",Shares!$H1761)</f>
        <v/>
      </c>
      <c r="AE1758">
        <f>IF(OR(Sync!$S1758="",Sync!$P1758=""),"",Sync!$S1758)</f>
        <v/>
      </c>
      <c r="AF1758">
        <f>IF($AE1758="","",IF(ISNUMBER(Sync!$P1758),IF(AND(Sync!$P1758&gt;=10000101,Sync!$P1758&lt;=99991231),INT(Sync!$P1758/10000),""),IFERROR(VALUE(TRIM(LEFT(Sync!$P1758,FIND("/",Sync!$P1758)-1))),"")))</f>
        <v/>
      </c>
      <c r="AG1758">
        <f>IF(OR($AE1758="",$AF1758=""),"",IF(ISNUMBER(Sync!$P1758),INT(MOD(Sync!$P1758,10000)/100),IFERROR(VALUE(TRIM(LEFT(MID(Sync!$P1758,FIND("/",Sync!$P1758)+1,20),FIND("/",MID(Sync!$P1758,FIND("/",Sync!$P1758)+1,20))-1))),"")))</f>
        <v/>
      </c>
      <c r="AH1758">
        <f>IF(OR($AE1758="",$AF1758=""),"",IF(ISNUMBER(Sync!$P1758),MOD(Sync!$P1758,100),IFERROR(VALUE(TRIM(MID(MID(Sync!$P1758,FIND("/",Sync!$P1758)+1,20),FIND("/",MID(Sync!$P1758,FIND("/",Sync!$P1758)+1,20))+1,20))),"")))</f>
        <v/>
      </c>
      <c r="AI1758">
        <f>IF($AE1758="","",IF(OR($AF1758="",$AG1758="",$AH1758="",$AF1758&lt;1300,$AF1758&gt;1500,$AG1758&lt;1,$AG1758&gt;12,$AH1758&lt;1,$AH1758&gt;31),"نامعتبر",RIGHT("0000"&amp;$AF1758,4)&amp;"/"&amp;RIGHT("00"&amp;$AG1758,2)&amp;"/"&amp;RIGHT("00"&amp;$AH1758,2)))</f>
        <v/>
      </c>
      <c r="AJ1758">
        <f>IF($AE1758="","",IF(Sync!$Q1758="","0000",IF(AND(ISNUMBER(Sync!$Q1758),Sync!$Q1758&gt;=0,Sync!$Q1758&lt;1),RIGHT("00"&amp;HOUR(Sync!$Q1758),2)&amp;RIGHT("00"&amp;MINUTE(Sync!$Q1758),2),IFERROR(RIGHT("00"&amp;VALUE(LEFT(Sync!$Q1758,FIND(":",Sync!$Q1758)-1)),2)&amp;RIGHT("00"&amp;VALUE(MID(Sync!$Q1758,FIND(":",Sync!$Q1758)+1,2)),2),"0000"))))</f>
        <v/>
      </c>
      <c r="AK1758">
        <f>IF(OR($AE1758="",$AI1758="",$AI1758="نامعتبر"),"",LEFT($AI1758,4)&amp;MID($AI1758,6,2)&amp;RIGHT($AI1758,2)&amp;$AJ1758&amp;"|"&amp;"3"&amp;RIGHT("00000"&amp;1753,5))</f>
        <v/>
      </c>
      <c r="AL1758">
        <f>IF($AK1758="","",COUNTIFS(LdAParty,$AE1758,LdAType,1,LdAKey,"&lt;"&amp;$AK1758)+COUNTIFS(LdBMember,$AE1758,LdBKey,"&lt;"&amp;$AK1758)+COUNTIFS(LdCParty,$AE1758,LdCKey,"&lt;"&amp;$AK1758)+1)</f>
        <v/>
      </c>
      <c r="AM1758">
        <f>IF($AL1758="","",$AE1758&amp;"|"&amp;RIGHT("000000"&amp;$AL1758,6))</f>
        <v/>
      </c>
      <c r="AN1758">
        <f>IF($AE1758="","",IF(Sync!$W1758="",0,Sync!$W1758))</f>
        <v/>
      </c>
      <c r="AO1758">
        <f>IF($AE1758="","",IF(Sync!$X1758="",0,Sync!$X1758))</f>
        <v/>
      </c>
      <c r="AP1758">
        <f>IF($AE1758="","",Sync!$R1758)</f>
        <v/>
      </c>
      <c r="AQ1758">
        <f>IF($AE1758="","",Sync!$Y1758)</f>
        <v/>
      </c>
    </row>
    <row r="1759">
      <c r="A1759">
        <f>IF(OR(Wages!$B1762="",Wages!$E1762=""),"",Wages!$E1762)</f>
        <v/>
      </c>
      <c r="B1759">
        <f>IF($A1759="","",IF(Wages!$C1762="دستمزد گروهی",2,1))</f>
        <v/>
      </c>
      <c r="C1759">
        <f>IF($A1759="","",IF(ISNUMBER(Wages!$B1762),IF(AND(Wages!$B1762&gt;=10000101,Wages!$B1762&lt;=99991231),INT(Wages!$B1762/10000),""),IFERROR(VALUE(TRIM(LEFT(Wages!$B1762,FIND("/",Wages!$B1762)-1))),"")))</f>
        <v/>
      </c>
      <c r="D1759">
        <f>IF(OR($A1759="",$C1759=""),"",IF(ISNUMBER(Wages!$B1762),INT(MOD(Wages!$B1762,10000)/100),IFERROR(VALUE(TRIM(LEFT(MID(Wages!$B1762,FIND("/",Wages!$B1762)+1,20),FIND("/",MID(Wages!$B1762,FIND("/",Wages!$B1762)+1,20))-1))),"")))</f>
        <v/>
      </c>
      <c r="E1759">
        <f>IF(OR($A1759="",$C1759=""),"",IF(ISNUMBER(Wages!$B1762),MOD(Wages!$B1762,100),IFERROR(VALUE(TRIM(MID(MID(Wages!$B1762,FIND("/",Wages!$B1762)+1,20),FIND("/",MID(Wages!$B1762,FIND("/",Wages!$B1762)+1,20))+1,20))),"")))</f>
        <v/>
      </c>
      <c r="F1759">
        <f>IF($A1759="","",IF(OR($C1759="",$D1759="",$E1759="",$C1759&lt;1300,$C1759&gt;1500,$D1759&lt;1,$D1759&gt;12,$E1759&lt;1,$E1759&gt;31),"نامعتبر",RIGHT("0000"&amp;$C1759,4)&amp;"/"&amp;RIGHT("00"&amp;$D1759,2)&amp;"/"&amp;RIGHT("00"&amp;$E1759,2)))</f>
        <v/>
      </c>
      <c r="G1759">
        <f>IF(OR($A1759="",$F1759="",$F1759="نامعتبر"),"",LEFT($F1759,4)&amp;MID($F1759,6,2)&amp;RIGHT($F1759,2)&amp;"0000"&amp;"|"&amp;"1"&amp;RIGHT("00000"&amp;1754,5))</f>
        <v/>
      </c>
      <c r="H1759">
        <f>IF(OR($B1759&lt;&gt;1,$G1759=""),"",COUNTIFS(LdAParty,$A1759,LdAType,1,LdAKey,"&lt;"&amp;$G1759)+COUNTIFS(LdBMember,$A1759,LdBKey,"&lt;"&amp;$G1759)+COUNTIFS(LdCParty,$A1759,LdCKey,"&lt;"&amp;$G1759)+1)</f>
        <v/>
      </c>
      <c r="I1759">
        <f>IF($H1759="","",$A1759&amp;"|"&amp;RIGHT("000000"&amp;$H1759,6))</f>
        <v/>
      </c>
      <c r="J1759">
        <f>IF(OR($B1759&lt;&gt;2,$G1759=""),"",COUNTIFS(LdAParty,$A1759,LdAType,2,LdAKey,"&lt;"&amp;$G1759)+1)</f>
        <v/>
      </c>
      <c r="K1759">
        <f>IF($J1759="","",$A1759&amp;"|"&amp;RIGHT("000000"&amp;$J1759,6))</f>
        <v/>
      </c>
      <c r="L1759">
        <f>IF($A1759="","",IF(Wages!$G1762="",0,Wages!$G1762))</f>
        <v/>
      </c>
      <c r="M1759">
        <f>IF($A1759="","",Wages!$J1762)</f>
        <v/>
      </c>
      <c r="N1759">
        <f>IF($A1759="","",Wages!$D1762)</f>
        <v/>
      </c>
      <c r="P1759">
        <f>IF(OR(Shares!$B1762="",Shares!$C1762=""),"",Shares!$C1762)</f>
        <v/>
      </c>
      <c r="Q1759">
        <f>IF($P1759="","",Shares!$B1762)</f>
        <v/>
      </c>
      <c r="R1759">
        <f>IF($P1759="","",IFERROR(INDEX(WageParty,MATCH($Q1759,WageIds,0)),""))</f>
        <v/>
      </c>
      <c r="S1759">
        <f>IF($P1759="","",IFERROR(INDEX($F$6:$F$2005,MATCH($Q1759,WageIds,0)),""))</f>
        <v/>
      </c>
      <c r="T1759">
        <f>IF(OR($P1759="",$S1759="",$S1759="نامعتبر"),"",LEFT($S1759,4)&amp;MID($S1759,6,2)&amp;RIGHT($S1759,2)&amp;"0000"&amp;"|"&amp;"2"&amp;RIGHT("00000"&amp;1754,5))</f>
        <v/>
      </c>
      <c r="U1759">
        <f>IF($T1759="","",COUNTIFS(LdAParty,$P1759,LdAType,1,LdAKey,"&lt;"&amp;$T1759)+COUNTIFS(LdBMember,$P1759,LdBKey,"&lt;"&amp;$T1759)+COUNTIFS(LdCParty,$P1759,LdCKey,"&lt;"&amp;$T1759)+1)</f>
        <v/>
      </c>
      <c r="V1759">
        <f>IF($U1759="","",$P1759&amp;"|"&amp;RIGHT("000000"&amp;$U1759,6))</f>
        <v/>
      </c>
      <c r="W1759">
        <f>IF($T1759="","",COUNTIFS(LdBGroup,$R1759,LdBKey,"&lt;"&amp;$T1759)+1)</f>
        <v/>
      </c>
      <c r="X1759">
        <f>IF($W1759="","",$R1759&amp;"|"&amp;RIGHT("000000"&amp;$W1759,6))</f>
        <v/>
      </c>
      <c r="Y1759">
        <f>IF($P1759="","",IF(Shares!$E1762="",0,Shares!$E1762))</f>
        <v/>
      </c>
      <c r="Z1759">
        <f>IF($P1759="","",Shares!$H1762)</f>
        <v/>
      </c>
      <c r="AE1759">
        <f>IF(OR(Sync!$S1759="",Sync!$P1759=""),"",Sync!$S1759)</f>
        <v/>
      </c>
      <c r="AF1759">
        <f>IF($AE1759="","",IF(ISNUMBER(Sync!$P1759),IF(AND(Sync!$P1759&gt;=10000101,Sync!$P1759&lt;=99991231),INT(Sync!$P1759/10000),""),IFERROR(VALUE(TRIM(LEFT(Sync!$P1759,FIND("/",Sync!$P1759)-1))),"")))</f>
        <v/>
      </c>
      <c r="AG1759">
        <f>IF(OR($AE1759="",$AF1759=""),"",IF(ISNUMBER(Sync!$P1759),INT(MOD(Sync!$P1759,10000)/100),IFERROR(VALUE(TRIM(LEFT(MID(Sync!$P1759,FIND("/",Sync!$P1759)+1,20),FIND("/",MID(Sync!$P1759,FIND("/",Sync!$P1759)+1,20))-1))),"")))</f>
        <v/>
      </c>
      <c r="AH1759">
        <f>IF(OR($AE1759="",$AF1759=""),"",IF(ISNUMBER(Sync!$P1759),MOD(Sync!$P1759,100),IFERROR(VALUE(TRIM(MID(MID(Sync!$P1759,FIND("/",Sync!$P1759)+1,20),FIND("/",MID(Sync!$P1759,FIND("/",Sync!$P1759)+1,20))+1,20))),"")))</f>
        <v/>
      </c>
      <c r="AI1759">
        <f>IF($AE1759="","",IF(OR($AF1759="",$AG1759="",$AH1759="",$AF1759&lt;1300,$AF1759&gt;1500,$AG1759&lt;1,$AG1759&gt;12,$AH1759&lt;1,$AH1759&gt;31),"نامعتبر",RIGHT("0000"&amp;$AF1759,4)&amp;"/"&amp;RIGHT("00"&amp;$AG1759,2)&amp;"/"&amp;RIGHT("00"&amp;$AH1759,2)))</f>
        <v/>
      </c>
      <c r="AJ1759">
        <f>IF($AE1759="","",IF(Sync!$Q1759="","0000",IF(AND(ISNUMBER(Sync!$Q1759),Sync!$Q1759&gt;=0,Sync!$Q1759&lt;1),RIGHT("00"&amp;HOUR(Sync!$Q1759),2)&amp;RIGHT("00"&amp;MINUTE(Sync!$Q1759),2),IFERROR(RIGHT("00"&amp;VALUE(LEFT(Sync!$Q1759,FIND(":",Sync!$Q1759)-1)),2)&amp;RIGHT("00"&amp;VALUE(MID(Sync!$Q1759,FIND(":",Sync!$Q1759)+1,2)),2),"0000"))))</f>
        <v/>
      </c>
      <c r="AK1759">
        <f>IF(OR($AE1759="",$AI1759="",$AI1759="نامعتبر"),"",LEFT($AI1759,4)&amp;MID($AI1759,6,2)&amp;RIGHT($AI1759,2)&amp;$AJ1759&amp;"|"&amp;"3"&amp;RIGHT("00000"&amp;1754,5))</f>
        <v/>
      </c>
      <c r="AL1759">
        <f>IF($AK1759="","",COUNTIFS(LdAParty,$AE1759,LdAType,1,LdAKey,"&lt;"&amp;$AK1759)+COUNTIFS(LdBMember,$AE1759,LdBKey,"&lt;"&amp;$AK1759)+COUNTIFS(LdCParty,$AE1759,LdCKey,"&lt;"&amp;$AK1759)+1)</f>
        <v/>
      </c>
      <c r="AM1759">
        <f>IF($AL1759="","",$AE1759&amp;"|"&amp;RIGHT("000000"&amp;$AL1759,6))</f>
        <v/>
      </c>
      <c r="AN1759">
        <f>IF($AE1759="","",IF(Sync!$W1759="",0,Sync!$W1759))</f>
        <v/>
      </c>
      <c r="AO1759">
        <f>IF($AE1759="","",IF(Sync!$X1759="",0,Sync!$X1759))</f>
        <v/>
      </c>
      <c r="AP1759">
        <f>IF($AE1759="","",Sync!$R1759)</f>
        <v/>
      </c>
      <c r="AQ1759">
        <f>IF($AE1759="","",Sync!$Y1759)</f>
        <v/>
      </c>
    </row>
    <row r="1760">
      <c r="A1760">
        <f>IF(OR(Wages!$B1763="",Wages!$E1763=""),"",Wages!$E1763)</f>
        <v/>
      </c>
      <c r="B1760">
        <f>IF($A1760="","",IF(Wages!$C1763="دستمزد گروهی",2,1))</f>
        <v/>
      </c>
      <c r="C1760">
        <f>IF($A1760="","",IF(ISNUMBER(Wages!$B1763),IF(AND(Wages!$B1763&gt;=10000101,Wages!$B1763&lt;=99991231),INT(Wages!$B1763/10000),""),IFERROR(VALUE(TRIM(LEFT(Wages!$B1763,FIND("/",Wages!$B1763)-1))),"")))</f>
        <v/>
      </c>
      <c r="D1760">
        <f>IF(OR($A1760="",$C1760=""),"",IF(ISNUMBER(Wages!$B1763),INT(MOD(Wages!$B1763,10000)/100),IFERROR(VALUE(TRIM(LEFT(MID(Wages!$B1763,FIND("/",Wages!$B1763)+1,20),FIND("/",MID(Wages!$B1763,FIND("/",Wages!$B1763)+1,20))-1))),"")))</f>
        <v/>
      </c>
      <c r="E1760">
        <f>IF(OR($A1760="",$C1760=""),"",IF(ISNUMBER(Wages!$B1763),MOD(Wages!$B1763,100),IFERROR(VALUE(TRIM(MID(MID(Wages!$B1763,FIND("/",Wages!$B1763)+1,20),FIND("/",MID(Wages!$B1763,FIND("/",Wages!$B1763)+1,20))+1,20))),"")))</f>
        <v/>
      </c>
      <c r="F1760">
        <f>IF($A1760="","",IF(OR($C1760="",$D1760="",$E1760="",$C1760&lt;1300,$C1760&gt;1500,$D1760&lt;1,$D1760&gt;12,$E1760&lt;1,$E1760&gt;31),"نامعتبر",RIGHT("0000"&amp;$C1760,4)&amp;"/"&amp;RIGHT("00"&amp;$D1760,2)&amp;"/"&amp;RIGHT("00"&amp;$E1760,2)))</f>
        <v/>
      </c>
      <c r="G1760">
        <f>IF(OR($A1760="",$F1760="",$F1760="نامعتبر"),"",LEFT($F1760,4)&amp;MID($F1760,6,2)&amp;RIGHT($F1760,2)&amp;"0000"&amp;"|"&amp;"1"&amp;RIGHT("00000"&amp;1755,5))</f>
        <v/>
      </c>
      <c r="H1760">
        <f>IF(OR($B1760&lt;&gt;1,$G1760=""),"",COUNTIFS(LdAParty,$A1760,LdAType,1,LdAKey,"&lt;"&amp;$G1760)+COUNTIFS(LdBMember,$A1760,LdBKey,"&lt;"&amp;$G1760)+COUNTIFS(LdCParty,$A1760,LdCKey,"&lt;"&amp;$G1760)+1)</f>
        <v/>
      </c>
      <c r="I1760">
        <f>IF($H1760="","",$A1760&amp;"|"&amp;RIGHT("000000"&amp;$H1760,6))</f>
        <v/>
      </c>
      <c r="J1760">
        <f>IF(OR($B1760&lt;&gt;2,$G1760=""),"",COUNTIFS(LdAParty,$A1760,LdAType,2,LdAKey,"&lt;"&amp;$G1760)+1)</f>
        <v/>
      </c>
      <c r="K1760">
        <f>IF($J1760="","",$A1760&amp;"|"&amp;RIGHT("000000"&amp;$J1760,6))</f>
        <v/>
      </c>
      <c r="L1760">
        <f>IF($A1760="","",IF(Wages!$G1763="",0,Wages!$G1763))</f>
        <v/>
      </c>
      <c r="M1760">
        <f>IF($A1760="","",Wages!$J1763)</f>
        <v/>
      </c>
      <c r="N1760">
        <f>IF($A1760="","",Wages!$D1763)</f>
        <v/>
      </c>
      <c r="P1760">
        <f>IF(OR(Shares!$B1763="",Shares!$C1763=""),"",Shares!$C1763)</f>
        <v/>
      </c>
      <c r="Q1760">
        <f>IF($P1760="","",Shares!$B1763)</f>
        <v/>
      </c>
      <c r="R1760">
        <f>IF($P1760="","",IFERROR(INDEX(WageParty,MATCH($Q1760,WageIds,0)),""))</f>
        <v/>
      </c>
      <c r="S1760">
        <f>IF($P1760="","",IFERROR(INDEX($F$6:$F$2005,MATCH($Q1760,WageIds,0)),""))</f>
        <v/>
      </c>
      <c r="T1760">
        <f>IF(OR($P1760="",$S1760="",$S1760="نامعتبر"),"",LEFT($S1760,4)&amp;MID($S1760,6,2)&amp;RIGHT($S1760,2)&amp;"0000"&amp;"|"&amp;"2"&amp;RIGHT("00000"&amp;1755,5))</f>
        <v/>
      </c>
      <c r="U1760">
        <f>IF($T1760="","",COUNTIFS(LdAParty,$P1760,LdAType,1,LdAKey,"&lt;"&amp;$T1760)+COUNTIFS(LdBMember,$P1760,LdBKey,"&lt;"&amp;$T1760)+COUNTIFS(LdCParty,$P1760,LdCKey,"&lt;"&amp;$T1760)+1)</f>
        <v/>
      </c>
      <c r="V1760">
        <f>IF($U1760="","",$P1760&amp;"|"&amp;RIGHT("000000"&amp;$U1760,6))</f>
        <v/>
      </c>
      <c r="W1760">
        <f>IF($T1760="","",COUNTIFS(LdBGroup,$R1760,LdBKey,"&lt;"&amp;$T1760)+1)</f>
        <v/>
      </c>
      <c r="X1760">
        <f>IF($W1760="","",$R1760&amp;"|"&amp;RIGHT("000000"&amp;$W1760,6))</f>
        <v/>
      </c>
      <c r="Y1760">
        <f>IF($P1760="","",IF(Shares!$E1763="",0,Shares!$E1763))</f>
        <v/>
      </c>
      <c r="Z1760">
        <f>IF($P1760="","",Shares!$H1763)</f>
        <v/>
      </c>
      <c r="AE1760">
        <f>IF(OR(Sync!$S1760="",Sync!$P1760=""),"",Sync!$S1760)</f>
        <v/>
      </c>
      <c r="AF1760">
        <f>IF($AE1760="","",IF(ISNUMBER(Sync!$P1760),IF(AND(Sync!$P1760&gt;=10000101,Sync!$P1760&lt;=99991231),INT(Sync!$P1760/10000),""),IFERROR(VALUE(TRIM(LEFT(Sync!$P1760,FIND("/",Sync!$P1760)-1))),"")))</f>
        <v/>
      </c>
      <c r="AG1760">
        <f>IF(OR($AE1760="",$AF1760=""),"",IF(ISNUMBER(Sync!$P1760),INT(MOD(Sync!$P1760,10000)/100),IFERROR(VALUE(TRIM(LEFT(MID(Sync!$P1760,FIND("/",Sync!$P1760)+1,20),FIND("/",MID(Sync!$P1760,FIND("/",Sync!$P1760)+1,20))-1))),"")))</f>
        <v/>
      </c>
      <c r="AH1760">
        <f>IF(OR($AE1760="",$AF1760=""),"",IF(ISNUMBER(Sync!$P1760),MOD(Sync!$P1760,100),IFERROR(VALUE(TRIM(MID(MID(Sync!$P1760,FIND("/",Sync!$P1760)+1,20),FIND("/",MID(Sync!$P1760,FIND("/",Sync!$P1760)+1,20))+1,20))),"")))</f>
        <v/>
      </c>
      <c r="AI1760">
        <f>IF($AE1760="","",IF(OR($AF1760="",$AG1760="",$AH1760="",$AF1760&lt;1300,$AF1760&gt;1500,$AG1760&lt;1,$AG1760&gt;12,$AH1760&lt;1,$AH1760&gt;31),"نامعتبر",RIGHT("0000"&amp;$AF1760,4)&amp;"/"&amp;RIGHT("00"&amp;$AG1760,2)&amp;"/"&amp;RIGHT("00"&amp;$AH1760,2)))</f>
        <v/>
      </c>
      <c r="AJ1760">
        <f>IF($AE1760="","",IF(Sync!$Q1760="","0000",IF(AND(ISNUMBER(Sync!$Q1760),Sync!$Q1760&gt;=0,Sync!$Q1760&lt;1),RIGHT("00"&amp;HOUR(Sync!$Q1760),2)&amp;RIGHT("00"&amp;MINUTE(Sync!$Q1760),2),IFERROR(RIGHT("00"&amp;VALUE(LEFT(Sync!$Q1760,FIND(":",Sync!$Q1760)-1)),2)&amp;RIGHT("00"&amp;VALUE(MID(Sync!$Q1760,FIND(":",Sync!$Q1760)+1,2)),2),"0000"))))</f>
        <v/>
      </c>
      <c r="AK1760">
        <f>IF(OR($AE1760="",$AI1760="",$AI1760="نامعتبر"),"",LEFT($AI1760,4)&amp;MID($AI1760,6,2)&amp;RIGHT($AI1760,2)&amp;$AJ1760&amp;"|"&amp;"3"&amp;RIGHT("00000"&amp;1755,5))</f>
        <v/>
      </c>
      <c r="AL1760">
        <f>IF($AK1760="","",COUNTIFS(LdAParty,$AE1760,LdAType,1,LdAKey,"&lt;"&amp;$AK1760)+COUNTIFS(LdBMember,$AE1760,LdBKey,"&lt;"&amp;$AK1760)+COUNTIFS(LdCParty,$AE1760,LdCKey,"&lt;"&amp;$AK1760)+1)</f>
        <v/>
      </c>
      <c r="AM1760">
        <f>IF($AL1760="","",$AE1760&amp;"|"&amp;RIGHT("000000"&amp;$AL1760,6))</f>
        <v/>
      </c>
      <c r="AN1760">
        <f>IF($AE1760="","",IF(Sync!$W1760="",0,Sync!$W1760))</f>
        <v/>
      </c>
      <c r="AO1760">
        <f>IF($AE1760="","",IF(Sync!$X1760="",0,Sync!$X1760))</f>
        <v/>
      </c>
      <c r="AP1760">
        <f>IF($AE1760="","",Sync!$R1760)</f>
        <v/>
      </c>
      <c r="AQ1760">
        <f>IF($AE1760="","",Sync!$Y1760)</f>
        <v/>
      </c>
    </row>
    <row r="1761">
      <c r="A1761">
        <f>IF(OR(Wages!$B1764="",Wages!$E1764=""),"",Wages!$E1764)</f>
        <v/>
      </c>
      <c r="B1761">
        <f>IF($A1761="","",IF(Wages!$C1764="دستمزد گروهی",2,1))</f>
        <v/>
      </c>
      <c r="C1761">
        <f>IF($A1761="","",IF(ISNUMBER(Wages!$B1764),IF(AND(Wages!$B1764&gt;=10000101,Wages!$B1764&lt;=99991231),INT(Wages!$B1764/10000),""),IFERROR(VALUE(TRIM(LEFT(Wages!$B1764,FIND("/",Wages!$B1764)-1))),"")))</f>
        <v/>
      </c>
      <c r="D1761">
        <f>IF(OR($A1761="",$C1761=""),"",IF(ISNUMBER(Wages!$B1764),INT(MOD(Wages!$B1764,10000)/100),IFERROR(VALUE(TRIM(LEFT(MID(Wages!$B1764,FIND("/",Wages!$B1764)+1,20),FIND("/",MID(Wages!$B1764,FIND("/",Wages!$B1764)+1,20))-1))),"")))</f>
        <v/>
      </c>
      <c r="E1761">
        <f>IF(OR($A1761="",$C1761=""),"",IF(ISNUMBER(Wages!$B1764),MOD(Wages!$B1764,100),IFERROR(VALUE(TRIM(MID(MID(Wages!$B1764,FIND("/",Wages!$B1764)+1,20),FIND("/",MID(Wages!$B1764,FIND("/",Wages!$B1764)+1,20))+1,20))),"")))</f>
        <v/>
      </c>
      <c r="F1761">
        <f>IF($A1761="","",IF(OR($C1761="",$D1761="",$E1761="",$C1761&lt;1300,$C1761&gt;1500,$D1761&lt;1,$D1761&gt;12,$E1761&lt;1,$E1761&gt;31),"نامعتبر",RIGHT("0000"&amp;$C1761,4)&amp;"/"&amp;RIGHT("00"&amp;$D1761,2)&amp;"/"&amp;RIGHT("00"&amp;$E1761,2)))</f>
        <v/>
      </c>
      <c r="G1761">
        <f>IF(OR($A1761="",$F1761="",$F1761="نامعتبر"),"",LEFT($F1761,4)&amp;MID($F1761,6,2)&amp;RIGHT($F1761,2)&amp;"0000"&amp;"|"&amp;"1"&amp;RIGHT("00000"&amp;1756,5))</f>
        <v/>
      </c>
      <c r="H1761">
        <f>IF(OR($B1761&lt;&gt;1,$G1761=""),"",COUNTIFS(LdAParty,$A1761,LdAType,1,LdAKey,"&lt;"&amp;$G1761)+COUNTIFS(LdBMember,$A1761,LdBKey,"&lt;"&amp;$G1761)+COUNTIFS(LdCParty,$A1761,LdCKey,"&lt;"&amp;$G1761)+1)</f>
        <v/>
      </c>
      <c r="I1761">
        <f>IF($H1761="","",$A1761&amp;"|"&amp;RIGHT("000000"&amp;$H1761,6))</f>
        <v/>
      </c>
      <c r="J1761">
        <f>IF(OR($B1761&lt;&gt;2,$G1761=""),"",COUNTIFS(LdAParty,$A1761,LdAType,2,LdAKey,"&lt;"&amp;$G1761)+1)</f>
        <v/>
      </c>
      <c r="K1761">
        <f>IF($J1761="","",$A1761&amp;"|"&amp;RIGHT("000000"&amp;$J1761,6))</f>
        <v/>
      </c>
      <c r="L1761">
        <f>IF($A1761="","",IF(Wages!$G1764="",0,Wages!$G1764))</f>
        <v/>
      </c>
      <c r="M1761">
        <f>IF($A1761="","",Wages!$J1764)</f>
        <v/>
      </c>
      <c r="N1761">
        <f>IF($A1761="","",Wages!$D1764)</f>
        <v/>
      </c>
      <c r="P1761">
        <f>IF(OR(Shares!$B1764="",Shares!$C1764=""),"",Shares!$C1764)</f>
        <v/>
      </c>
      <c r="Q1761">
        <f>IF($P1761="","",Shares!$B1764)</f>
        <v/>
      </c>
      <c r="R1761">
        <f>IF($P1761="","",IFERROR(INDEX(WageParty,MATCH($Q1761,WageIds,0)),""))</f>
        <v/>
      </c>
      <c r="S1761">
        <f>IF($P1761="","",IFERROR(INDEX($F$6:$F$2005,MATCH($Q1761,WageIds,0)),""))</f>
        <v/>
      </c>
      <c r="T1761">
        <f>IF(OR($P1761="",$S1761="",$S1761="نامعتبر"),"",LEFT($S1761,4)&amp;MID($S1761,6,2)&amp;RIGHT($S1761,2)&amp;"0000"&amp;"|"&amp;"2"&amp;RIGHT("00000"&amp;1756,5))</f>
        <v/>
      </c>
      <c r="U1761">
        <f>IF($T1761="","",COUNTIFS(LdAParty,$P1761,LdAType,1,LdAKey,"&lt;"&amp;$T1761)+COUNTIFS(LdBMember,$P1761,LdBKey,"&lt;"&amp;$T1761)+COUNTIFS(LdCParty,$P1761,LdCKey,"&lt;"&amp;$T1761)+1)</f>
        <v/>
      </c>
      <c r="V1761">
        <f>IF($U1761="","",$P1761&amp;"|"&amp;RIGHT("000000"&amp;$U1761,6))</f>
        <v/>
      </c>
      <c r="W1761">
        <f>IF($T1761="","",COUNTIFS(LdBGroup,$R1761,LdBKey,"&lt;"&amp;$T1761)+1)</f>
        <v/>
      </c>
      <c r="X1761">
        <f>IF($W1761="","",$R1761&amp;"|"&amp;RIGHT("000000"&amp;$W1761,6))</f>
        <v/>
      </c>
      <c r="Y1761">
        <f>IF($P1761="","",IF(Shares!$E1764="",0,Shares!$E1764))</f>
        <v/>
      </c>
      <c r="Z1761">
        <f>IF($P1761="","",Shares!$H1764)</f>
        <v/>
      </c>
      <c r="AE1761">
        <f>IF(OR(Sync!$S1761="",Sync!$P1761=""),"",Sync!$S1761)</f>
        <v/>
      </c>
      <c r="AF1761">
        <f>IF($AE1761="","",IF(ISNUMBER(Sync!$P1761),IF(AND(Sync!$P1761&gt;=10000101,Sync!$P1761&lt;=99991231),INT(Sync!$P1761/10000),""),IFERROR(VALUE(TRIM(LEFT(Sync!$P1761,FIND("/",Sync!$P1761)-1))),"")))</f>
        <v/>
      </c>
      <c r="AG1761">
        <f>IF(OR($AE1761="",$AF1761=""),"",IF(ISNUMBER(Sync!$P1761),INT(MOD(Sync!$P1761,10000)/100),IFERROR(VALUE(TRIM(LEFT(MID(Sync!$P1761,FIND("/",Sync!$P1761)+1,20),FIND("/",MID(Sync!$P1761,FIND("/",Sync!$P1761)+1,20))-1))),"")))</f>
        <v/>
      </c>
      <c r="AH1761">
        <f>IF(OR($AE1761="",$AF1761=""),"",IF(ISNUMBER(Sync!$P1761),MOD(Sync!$P1761,100),IFERROR(VALUE(TRIM(MID(MID(Sync!$P1761,FIND("/",Sync!$P1761)+1,20),FIND("/",MID(Sync!$P1761,FIND("/",Sync!$P1761)+1,20))+1,20))),"")))</f>
        <v/>
      </c>
      <c r="AI1761">
        <f>IF($AE1761="","",IF(OR($AF1761="",$AG1761="",$AH1761="",$AF1761&lt;1300,$AF1761&gt;1500,$AG1761&lt;1,$AG1761&gt;12,$AH1761&lt;1,$AH1761&gt;31),"نامعتبر",RIGHT("0000"&amp;$AF1761,4)&amp;"/"&amp;RIGHT("00"&amp;$AG1761,2)&amp;"/"&amp;RIGHT("00"&amp;$AH1761,2)))</f>
        <v/>
      </c>
      <c r="AJ1761">
        <f>IF($AE1761="","",IF(Sync!$Q1761="","0000",IF(AND(ISNUMBER(Sync!$Q1761),Sync!$Q1761&gt;=0,Sync!$Q1761&lt;1),RIGHT("00"&amp;HOUR(Sync!$Q1761),2)&amp;RIGHT("00"&amp;MINUTE(Sync!$Q1761),2),IFERROR(RIGHT("00"&amp;VALUE(LEFT(Sync!$Q1761,FIND(":",Sync!$Q1761)-1)),2)&amp;RIGHT("00"&amp;VALUE(MID(Sync!$Q1761,FIND(":",Sync!$Q1761)+1,2)),2),"0000"))))</f>
        <v/>
      </c>
      <c r="AK1761">
        <f>IF(OR($AE1761="",$AI1761="",$AI1761="نامعتبر"),"",LEFT($AI1761,4)&amp;MID($AI1761,6,2)&amp;RIGHT($AI1761,2)&amp;$AJ1761&amp;"|"&amp;"3"&amp;RIGHT("00000"&amp;1756,5))</f>
        <v/>
      </c>
      <c r="AL1761">
        <f>IF($AK1761="","",COUNTIFS(LdAParty,$AE1761,LdAType,1,LdAKey,"&lt;"&amp;$AK1761)+COUNTIFS(LdBMember,$AE1761,LdBKey,"&lt;"&amp;$AK1761)+COUNTIFS(LdCParty,$AE1761,LdCKey,"&lt;"&amp;$AK1761)+1)</f>
        <v/>
      </c>
      <c r="AM1761">
        <f>IF($AL1761="","",$AE1761&amp;"|"&amp;RIGHT("000000"&amp;$AL1761,6))</f>
        <v/>
      </c>
      <c r="AN1761">
        <f>IF($AE1761="","",IF(Sync!$W1761="",0,Sync!$W1761))</f>
        <v/>
      </c>
      <c r="AO1761">
        <f>IF($AE1761="","",IF(Sync!$X1761="",0,Sync!$X1761))</f>
        <v/>
      </c>
      <c r="AP1761">
        <f>IF($AE1761="","",Sync!$R1761)</f>
        <v/>
      </c>
      <c r="AQ1761">
        <f>IF($AE1761="","",Sync!$Y1761)</f>
        <v/>
      </c>
    </row>
    <row r="1762">
      <c r="A1762">
        <f>IF(OR(Wages!$B1765="",Wages!$E1765=""),"",Wages!$E1765)</f>
        <v/>
      </c>
      <c r="B1762">
        <f>IF($A1762="","",IF(Wages!$C1765="دستمزد گروهی",2,1))</f>
        <v/>
      </c>
      <c r="C1762">
        <f>IF($A1762="","",IF(ISNUMBER(Wages!$B1765),IF(AND(Wages!$B1765&gt;=10000101,Wages!$B1765&lt;=99991231),INT(Wages!$B1765/10000),""),IFERROR(VALUE(TRIM(LEFT(Wages!$B1765,FIND("/",Wages!$B1765)-1))),"")))</f>
        <v/>
      </c>
      <c r="D1762">
        <f>IF(OR($A1762="",$C1762=""),"",IF(ISNUMBER(Wages!$B1765),INT(MOD(Wages!$B1765,10000)/100),IFERROR(VALUE(TRIM(LEFT(MID(Wages!$B1765,FIND("/",Wages!$B1765)+1,20),FIND("/",MID(Wages!$B1765,FIND("/",Wages!$B1765)+1,20))-1))),"")))</f>
        <v/>
      </c>
      <c r="E1762">
        <f>IF(OR($A1762="",$C1762=""),"",IF(ISNUMBER(Wages!$B1765),MOD(Wages!$B1765,100),IFERROR(VALUE(TRIM(MID(MID(Wages!$B1765,FIND("/",Wages!$B1765)+1,20),FIND("/",MID(Wages!$B1765,FIND("/",Wages!$B1765)+1,20))+1,20))),"")))</f>
        <v/>
      </c>
      <c r="F1762">
        <f>IF($A1762="","",IF(OR($C1762="",$D1762="",$E1762="",$C1762&lt;1300,$C1762&gt;1500,$D1762&lt;1,$D1762&gt;12,$E1762&lt;1,$E1762&gt;31),"نامعتبر",RIGHT("0000"&amp;$C1762,4)&amp;"/"&amp;RIGHT("00"&amp;$D1762,2)&amp;"/"&amp;RIGHT("00"&amp;$E1762,2)))</f>
        <v/>
      </c>
      <c r="G1762">
        <f>IF(OR($A1762="",$F1762="",$F1762="نامعتبر"),"",LEFT($F1762,4)&amp;MID($F1762,6,2)&amp;RIGHT($F1762,2)&amp;"0000"&amp;"|"&amp;"1"&amp;RIGHT("00000"&amp;1757,5))</f>
        <v/>
      </c>
      <c r="H1762">
        <f>IF(OR($B1762&lt;&gt;1,$G1762=""),"",COUNTIFS(LdAParty,$A1762,LdAType,1,LdAKey,"&lt;"&amp;$G1762)+COUNTIFS(LdBMember,$A1762,LdBKey,"&lt;"&amp;$G1762)+COUNTIFS(LdCParty,$A1762,LdCKey,"&lt;"&amp;$G1762)+1)</f>
        <v/>
      </c>
      <c r="I1762">
        <f>IF($H1762="","",$A1762&amp;"|"&amp;RIGHT("000000"&amp;$H1762,6))</f>
        <v/>
      </c>
      <c r="J1762">
        <f>IF(OR($B1762&lt;&gt;2,$G1762=""),"",COUNTIFS(LdAParty,$A1762,LdAType,2,LdAKey,"&lt;"&amp;$G1762)+1)</f>
        <v/>
      </c>
      <c r="K1762">
        <f>IF($J1762="","",$A1762&amp;"|"&amp;RIGHT("000000"&amp;$J1762,6))</f>
        <v/>
      </c>
      <c r="L1762">
        <f>IF($A1762="","",IF(Wages!$G1765="",0,Wages!$G1765))</f>
        <v/>
      </c>
      <c r="M1762">
        <f>IF($A1762="","",Wages!$J1765)</f>
        <v/>
      </c>
      <c r="N1762">
        <f>IF($A1762="","",Wages!$D1765)</f>
        <v/>
      </c>
      <c r="P1762">
        <f>IF(OR(Shares!$B1765="",Shares!$C1765=""),"",Shares!$C1765)</f>
        <v/>
      </c>
      <c r="Q1762">
        <f>IF($P1762="","",Shares!$B1765)</f>
        <v/>
      </c>
      <c r="R1762">
        <f>IF($P1762="","",IFERROR(INDEX(WageParty,MATCH($Q1762,WageIds,0)),""))</f>
        <v/>
      </c>
      <c r="S1762">
        <f>IF($P1762="","",IFERROR(INDEX($F$6:$F$2005,MATCH($Q1762,WageIds,0)),""))</f>
        <v/>
      </c>
      <c r="T1762">
        <f>IF(OR($P1762="",$S1762="",$S1762="نامعتبر"),"",LEFT($S1762,4)&amp;MID($S1762,6,2)&amp;RIGHT($S1762,2)&amp;"0000"&amp;"|"&amp;"2"&amp;RIGHT("00000"&amp;1757,5))</f>
        <v/>
      </c>
      <c r="U1762">
        <f>IF($T1762="","",COUNTIFS(LdAParty,$P1762,LdAType,1,LdAKey,"&lt;"&amp;$T1762)+COUNTIFS(LdBMember,$P1762,LdBKey,"&lt;"&amp;$T1762)+COUNTIFS(LdCParty,$P1762,LdCKey,"&lt;"&amp;$T1762)+1)</f>
        <v/>
      </c>
      <c r="V1762">
        <f>IF($U1762="","",$P1762&amp;"|"&amp;RIGHT("000000"&amp;$U1762,6))</f>
        <v/>
      </c>
      <c r="W1762">
        <f>IF($T1762="","",COUNTIFS(LdBGroup,$R1762,LdBKey,"&lt;"&amp;$T1762)+1)</f>
        <v/>
      </c>
      <c r="X1762">
        <f>IF($W1762="","",$R1762&amp;"|"&amp;RIGHT("000000"&amp;$W1762,6))</f>
        <v/>
      </c>
      <c r="Y1762">
        <f>IF($P1762="","",IF(Shares!$E1765="",0,Shares!$E1765))</f>
        <v/>
      </c>
      <c r="Z1762">
        <f>IF($P1762="","",Shares!$H1765)</f>
        <v/>
      </c>
      <c r="AE1762">
        <f>IF(OR(Sync!$S1762="",Sync!$P1762=""),"",Sync!$S1762)</f>
        <v/>
      </c>
      <c r="AF1762">
        <f>IF($AE1762="","",IF(ISNUMBER(Sync!$P1762),IF(AND(Sync!$P1762&gt;=10000101,Sync!$P1762&lt;=99991231),INT(Sync!$P1762/10000),""),IFERROR(VALUE(TRIM(LEFT(Sync!$P1762,FIND("/",Sync!$P1762)-1))),"")))</f>
        <v/>
      </c>
      <c r="AG1762">
        <f>IF(OR($AE1762="",$AF1762=""),"",IF(ISNUMBER(Sync!$P1762),INT(MOD(Sync!$P1762,10000)/100),IFERROR(VALUE(TRIM(LEFT(MID(Sync!$P1762,FIND("/",Sync!$P1762)+1,20),FIND("/",MID(Sync!$P1762,FIND("/",Sync!$P1762)+1,20))-1))),"")))</f>
        <v/>
      </c>
      <c r="AH1762">
        <f>IF(OR($AE1762="",$AF1762=""),"",IF(ISNUMBER(Sync!$P1762),MOD(Sync!$P1762,100),IFERROR(VALUE(TRIM(MID(MID(Sync!$P1762,FIND("/",Sync!$P1762)+1,20),FIND("/",MID(Sync!$P1762,FIND("/",Sync!$P1762)+1,20))+1,20))),"")))</f>
        <v/>
      </c>
      <c r="AI1762">
        <f>IF($AE1762="","",IF(OR($AF1762="",$AG1762="",$AH1762="",$AF1762&lt;1300,$AF1762&gt;1500,$AG1762&lt;1,$AG1762&gt;12,$AH1762&lt;1,$AH1762&gt;31),"نامعتبر",RIGHT("0000"&amp;$AF1762,4)&amp;"/"&amp;RIGHT("00"&amp;$AG1762,2)&amp;"/"&amp;RIGHT("00"&amp;$AH1762,2)))</f>
        <v/>
      </c>
      <c r="AJ1762">
        <f>IF($AE1762="","",IF(Sync!$Q1762="","0000",IF(AND(ISNUMBER(Sync!$Q1762),Sync!$Q1762&gt;=0,Sync!$Q1762&lt;1),RIGHT("00"&amp;HOUR(Sync!$Q1762),2)&amp;RIGHT("00"&amp;MINUTE(Sync!$Q1762),2),IFERROR(RIGHT("00"&amp;VALUE(LEFT(Sync!$Q1762,FIND(":",Sync!$Q1762)-1)),2)&amp;RIGHT("00"&amp;VALUE(MID(Sync!$Q1762,FIND(":",Sync!$Q1762)+1,2)),2),"0000"))))</f>
        <v/>
      </c>
      <c r="AK1762">
        <f>IF(OR($AE1762="",$AI1762="",$AI1762="نامعتبر"),"",LEFT($AI1762,4)&amp;MID($AI1762,6,2)&amp;RIGHT($AI1762,2)&amp;$AJ1762&amp;"|"&amp;"3"&amp;RIGHT("00000"&amp;1757,5))</f>
        <v/>
      </c>
      <c r="AL1762">
        <f>IF($AK1762="","",COUNTIFS(LdAParty,$AE1762,LdAType,1,LdAKey,"&lt;"&amp;$AK1762)+COUNTIFS(LdBMember,$AE1762,LdBKey,"&lt;"&amp;$AK1762)+COUNTIFS(LdCParty,$AE1762,LdCKey,"&lt;"&amp;$AK1762)+1)</f>
        <v/>
      </c>
      <c r="AM1762">
        <f>IF($AL1762="","",$AE1762&amp;"|"&amp;RIGHT("000000"&amp;$AL1762,6))</f>
        <v/>
      </c>
      <c r="AN1762">
        <f>IF($AE1762="","",IF(Sync!$W1762="",0,Sync!$W1762))</f>
        <v/>
      </c>
      <c r="AO1762">
        <f>IF($AE1762="","",IF(Sync!$X1762="",0,Sync!$X1762))</f>
        <v/>
      </c>
      <c r="AP1762">
        <f>IF($AE1762="","",Sync!$R1762)</f>
        <v/>
      </c>
      <c r="AQ1762">
        <f>IF($AE1762="","",Sync!$Y1762)</f>
        <v/>
      </c>
    </row>
    <row r="1763">
      <c r="A1763">
        <f>IF(OR(Wages!$B1766="",Wages!$E1766=""),"",Wages!$E1766)</f>
        <v/>
      </c>
      <c r="B1763">
        <f>IF($A1763="","",IF(Wages!$C1766="دستمزد گروهی",2,1))</f>
        <v/>
      </c>
      <c r="C1763">
        <f>IF($A1763="","",IF(ISNUMBER(Wages!$B1766),IF(AND(Wages!$B1766&gt;=10000101,Wages!$B1766&lt;=99991231),INT(Wages!$B1766/10000),""),IFERROR(VALUE(TRIM(LEFT(Wages!$B1766,FIND("/",Wages!$B1766)-1))),"")))</f>
        <v/>
      </c>
      <c r="D1763">
        <f>IF(OR($A1763="",$C1763=""),"",IF(ISNUMBER(Wages!$B1766),INT(MOD(Wages!$B1766,10000)/100),IFERROR(VALUE(TRIM(LEFT(MID(Wages!$B1766,FIND("/",Wages!$B1766)+1,20),FIND("/",MID(Wages!$B1766,FIND("/",Wages!$B1766)+1,20))-1))),"")))</f>
        <v/>
      </c>
      <c r="E1763">
        <f>IF(OR($A1763="",$C1763=""),"",IF(ISNUMBER(Wages!$B1766),MOD(Wages!$B1766,100),IFERROR(VALUE(TRIM(MID(MID(Wages!$B1766,FIND("/",Wages!$B1766)+1,20),FIND("/",MID(Wages!$B1766,FIND("/",Wages!$B1766)+1,20))+1,20))),"")))</f>
        <v/>
      </c>
      <c r="F1763">
        <f>IF($A1763="","",IF(OR($C1763="",$D1763="",$E1763="",$C1763&lt;1300,$C1763&gt;1500,$D1763&lt;1,$D1763&gt;12,$E1763&lt;1,$E1763&gt;31),"نامعتبر",RIGHT("0000"&amp;$C1763,4)&amp;"/"&amp;RIGHT("00"&amp;$D1763,2)&amp;"/"&amp;RIGHT("00"&amp;$E1763,2)))</f>
        <v/>
      </c>
      <c r="G1763">
        <f>IF(OR($A1763="",$F1763="",$F1763="نامعتبر"),"",LEFT($F1763,4)&amp;MID($F1763,6,2)&amp;RIGHT($F1763,2)&amp;"0000"&amp;"|"&amp;"1"&amp;RIGHT("00000"&amp;1758,5))</f>
        <v/>
      </c>
      <c r="H1763">
        <f>IF(OR($B1763&lt;&gt;1,$G1763=""),"",COUNTIFS(LdAParty,$A1763,LdAType,1,LdAKey,"&lt;"&amp;$G1763)+COUNTIFS(LdBMember,$A1763,LdBKey,"&lt;"&amp;$G1763)+COUNTIFS(LdCParty,$A1763,LdCKey,"&lt;"&amp;$G1763)+1)</f>
        <v/>
      </c>
      <c r="I1763">
        <f>IF($H1763="","",$A1763&amp;"|"&amp;RIGHT("000000"&amp;$H1763,6))</f>
        <v/>
      </c>
      <c r="J1763">
        <f>IF(OR($B1763&lt;&gt;2,$G1763=""),"",COUNTIFS(LdAParty,$A1763,LdAType,2,LdAKey,"&lt;"&amp;$G1763)+1)</f>
        <v/>
      </c>
      <c r="K1763">
        <f>IF($J1763="","",$A1763&amp;"|"&amp;RIGHT("000000"&amp;$J1763,6))</f>
        <v/>
      </c>
      <c r="L1763">
        <f>IF($A1763="","",IF(Wages!$G1766="",0,Wages!$G1766))</f>
        <v/>
      </c>
      <c r="M1763">
        <f>IF($A1763="","",Wages!$J1766)</f>
        <v/>
      </c>
      <c r="N1763">
        <f>IF($A1763="","",Wages!$D1766)</f>
        <v/>
      </c>
      <c r="P1763">
        <f>IF(OR(Shares!$B1766="",Shares!$C1766=""),"",Shares!$C1766)</f>
        <v/>
      </c>
      <c r="Q1763">
        <f>IF($P1763="","",Shares!$B1766)</f>
        <v/>
      </c>
      <c r="R1763">
        <f>IF($P1763="","",IFERROR(INDEX(WageParty,MATCH($Q1763,WageIds,0)),""))</f>
        <v/>
      </c>
      <c r="S1763">
        <f>IF($P1763="","",IFERROR(INDEX($F$6:$F$2005,MATCH($Q1763,WageIds,0)),""))</f>
        <v/>
      </c>
      <c r="T1763">
        <f>IF(OR($P1763="",$S1763="",$S1763="نامعتبر"),"",LEFT($S1763,4)&amp;MID($S1763,6,2)&amp;RIGHT($S1763,2)&amp;"0000"&amp;"|"&amp;"2"&amp;RIGHT("00000"&amp;1758,5))</f>
        <v/>
      </c>
      <c r="U1763">
        <f>IF($T1763="","",COUNTIFS(LdAParty,$P1763,LdAType,1,LdAKey,"&lt;"&amp;$T1763)+COUNTIFS(LdBMember,$P1763,LdBKey,"&lt;"&amp;$T1763)+COUNTIFS(LdCParty,$P1763,LdCKey,"&lt;"&amp;$T1763)+1)</f>
        <v/>
      </c>
      <c r="V1763">
        <f>IF($U1763="","",$P1763&amp;"|"&amp;RIGHT("000000"&amp;$U1763,6))</f>
        <v/>
      </c>
      <c r="W1763">
        <f>IF($T1763="","",COUNTIFS(LdBGroup,$R1763,LdBKey,"&lt;"&amp;$T1763)+1)</f>
        <v/>
      </c>
      <c r="X1763">
        <f>IF($W1763="","",$R1763&amp;"|"&amp;RIGHT("000000"&amp;$W1763,6))</f>
        <v/>
      </c>
      <c r="Y1763">
        <f>IF($P1763="","",IF(Shares!$E1766="",0,Shares!$E1766))</f>
        <v/>
      </c>
      <c r="Z1763">
        <f>IF($P1763="","",Shares!$H1766)</f>
        <v/>
      </c>
      <c r="AE1763">
        <f>IF(OR(Sync!$S1763="",Sync!$P1763=""),"",Sync!$S1763)</f>
        <v/>
      </c>
      <c r="AF1763">
        <f>IF($AE1763="","",IF(ISNUMBER(Sync!$P1763),IF(AND(Sync!$P1763&gt;=10000101,Sync!$P1763&lt;=99991231),INT(Sync!$P1763/10000),""),IFERROR(VALUE(TRIM(LEFT(Sync!$P1763,FIND("/",Sync!$P1763)-1))),"")))</f>
        <v/>
      </c>
      <c r="AG1763">
        <f>IF(OR($AE1763="",$AF1763=""),"",IF(ISNUMBER(Sync!$P1763),INT(MOD(Sync!$P1763,10000)/100),IFERROR(VALUE(TRIM(LEFT(MID(Sync!$P1763,FIND("/",Sync!$P1763)+1,20),FIND("/",MID(Sync!$P1763,FIND("/",Sync!$P1763)+1,20))-1))),"")))</f>
        <v/>
      </c>
      <c r="AH1763">
        <f>IF(OR($AE1763="",$AF1763=""),"",IF(ISNUMBER(Sync!$P1763),MOD(Sync!$P1763,100),IFERROR(VALUE(TRIM(MID(MID(Sync!$P1763,FIND("/",Sync!$P1763)+1,20),FIND("/",MID(Sync!$P1763,FIND("/",Sync!$P1763)+1,20))+1,20))),"")))</f>
        <v/>
      </c>
      <c r="AI1763">
        <f>IF($AE1763="","",IF(OR($AF1763="",$AG1763="",$AH1763="",$AF1763&lt;1300,$AF1763&gt;1500,$AG1763&lt;1,$AG1763&gt;12,$AH1763&lt;1,$AH1763&gt;31),"نامعتبر",RIGHT("0000"&amp;$AF1763,4)&amp;"/"&amp;RIGHT("00"&amp;$AG1763,2)&amp;"/"&amp;RIGHT("00"&amp;$AH1763,2)))</f>
        <v/>
      </c>
      <c r="AJ1763">
        <f>IF($AE1763="","",IF(Sync!$Q1763="","0000",IF(AND(ISNUMBER(Sync!$Q1763),Sync!$Q1763&gt;=0,Sync!$Q1763&lt;1),RIGHT("00"&amp;HOUR(Sync!$Q1763),2)&amp;RIGHT("00"&amp;MINUTE(Sync!$Q1763),2),IFERROR(RIGHT("00"&amp;VALUE(LEFT(Sync!$Q1763,FIND(":",Sync!$Q1763)-1)),2)&amp;RIGHT("00"&amp;VALUE(MID(Sync!$Q1763,FIND(":",Sync!$Q1763)+1,2)),2),"0000"))))</f>
        <v/>
      </c>
      <c r="AK1763">
        <f>IF(OR($AE1763="",$AI1763="",$AI1763="نامعتبر"),"",LEFT($AI1763,4)&amp;MID($AI1763,6,2)&amp;RIGHT($AI1763,2)&amp;$AJ1763&amp;"|"&amp;"3"&amp;RIGHT("00000"&amp;1758,5))</f>
        <v/>
      </c>
      <c r="AL1763">
        <f>IF($AK1763="","",COUNTIFS(LdAParty,$AE1763,LdAType,1,LdAKey,"&lt;"&amp;$AK1763)+COUNTIFS(LdBMember,$AE1763,LdBKey,"&lt;"&amp;$AK1763)+COUNTIFS(LdCParty,$AE1763,LdCKey,"&lt;"&amp;$AK1763)+1)</f>
        <v/>
      </c>
      <c r="AM1763">
        <f>IF($AL1763="","",$AE1763&amp;"|"&amp;RIGHT("000000"&amp;$AL1763,6))</f>
        <v/>
      </c>
      <c r="AN1763">
        <f>IF($AE1763="","",IF(Sync!$W1763="",0,Sync!$W1763))</f>
        <v/>
      </c>
      <c r="AO1763">
        <f>IF($AE1763="","",IF(Sync!$X1763="",0,Sync!$X1763))</f>
        <v/>
      </c>
      <c r="AP1763">
        <f>IF($AE1763="","",Sync!$R1763)</f>
        <v/>
      </c>
      <c r="AQ1763">
        <f>IF($AE1763="","",Sync!$Y1763)</f>
        <v/>
      </c>
    </row>
    <row r="1764">
      <c r="A1764">
        <f>IF(OR(Wages!$B1767="",Wages!$E1767=""),"",Wages!$E1767)</f>
        <v/>
      </c>
      <c r="B1764">
        <f>IF($A1764="","",IF(Wages!$C1767="دستمزد گروهی",2,1))</f>
        <v/>
      </c>
      <c r="C1764">
        <f>IF($A1764="","",IF(ISNUMBER(Wages!$B1767),IF(AND(Wages!$B1767&gt;=10000101,Wages!$B1767&lt;=99991231),INT(Wages!$B1767/10000),""),IFERROR(VALUE(TRIM(LEFT(Wages!$B1767,FIND("/",Wages!$B1767)-1))),"")))</f>
        <v/>
      </c>
      <c r="D1764">
        <f>IF(OR($A1764="",$C1764=""),"",IF(ISNUMBER(Wages!$B1767),INT(MOD(Wages!$B1767,10000)/100),IFERROR(VALUE(TRIM(LEFT(MID(Wages!$B1767,FIND("/",Wages!$B1767)+1,20),FIND("/",MID(Wages!$B1767,FIND("/",Wages!$B1767)+1,20))-1))),"")))</f>
        <v/>
      </c>
      <c r="E1764">
        <f>IF(OR($A1764="",$C1764=""),"",IF(ISNUMBER(Wages!$B1767),MOD(Wages!$B1767,100),IFERROR(VALUE(TRIM(MID(MID(Wages!$B1767,FIND("/",Wages!$B1767)+1,20),FIND("/",MID(Wages!$B1767,FIND("/",Wages!$B1767)+1,20))+1,20))),"")))</f>
        <v/>
      </c>
      <c r="F1764">
        <f>IF($A1764="","",IF(OR($C1764="",$D1764="",$E1764="",$C1764&lt;1300,$C1764&gt;1500,$D1764&lt;1,$D1764&gt;12,$E1764&lt;1,$E1764&gt;31),"نامعتبر",RIGHT("0000"&amp;$C1764,4)&amp;"/"&amp;RIGHT("00"&amp;$D1764,2)&amp;"/"&amp;RIGHT("00"&amp;$E1764,2)))</f>
        <v/>
      </c>
      <c r="G1764">
        <f>IF(OR($A1764="",$F1764="",$F1764="نامعتبر"),"",LEFT($F1764,4)&amp;MID($F1764,6,2)&amp;RIGHT($F1764,2)&amp;"0000"&amp;"|"&amp;"1"&amp;RIGHT("00000"&amp;1759,5))</f>
        <v/>
      </c>
      <c r="H1764">
        <f>IF(OR($B1764&lt;&gt;1,$G1764=""),"",COUNTIFS(LdAParty,$A1764,LdAType,1,LdAKey,"&lt;"&amp;$G1764)+COUNTIFS(LdBMember,$A1764,LdBKey,"&lt;"&amp;$G1764)+COUNTIFS(LdCParty,$A1764,LdCKey,"&lt;"&amp;$G1764)+1)</f>
        <v/>
      </c>
      <c r="I1764">
        <f>IF($H1764="","",$A1764&amp;"|"&amp;RIGHT("000000"&amp;$H1764,6))</f>
        <v/>
      </c>
      <c r="J1764">
        <f>IF(OR($B1764&lt;&gt;2,$G1764=""),"",COUNTIFS(LdAParty,$A1764,LdAType,2,LdAKey,"&lt;"&amp;$G1764)+1)</f>
        <v/>
      </c>
      <c r="K1764">
        <f>IF($J1764="","",$A1764&amp;"|"&amp;RIGHT("000000"&amp;$J1764,6))</f>
        <v/>
      </c>
      <c r="L1764">
        <f>IF($A1764="","",IF(Wages!$G1767="",0,Wages!$G1767))</f>
        <v/>
      </c>
      <c r="M1764">
        <f>IF($A1764="","",Wages!$J1767)</f>
        <v/>
      </c>
      <c r="N1764">
        <f>IF($A1764="","",Wages!$D1767)</f>
        <v/>
      </c>
      <c r="P1764">
        <f>IF(OR(Shares!$B1767="",Shares!$C1767=""),"",Shares!$C1767)</f>
        <v/>
      </c>
      <c r="Q1764">
        <f>IF($P1764="","",Shares!$B1767)</f>
        <v/>
      </c>
      <c r="R1764">
        <f>IF($P1764="","",IFERROR(INDEX(WageParty,MATCH($Q1764,WageIds,0)),""))</f>
        <v/>
      </c>
      <c r="S1764">
        <f>IF($P1764="","",IFERROR(INDEX($F$6:$F$2005,MATCH($Q1764,WageIds,0)),""))</f>
        <v/>
      </c>
      <c r="T1764">
        <f>IF(OR($P1764="",$S1764="",$S1764="نامعتبر"),"",LEFT($S1764,4)&amp;MID($S1764,6,2)&amp;RIGHT($S1764,2)&amp;"0000"&amp;"|"&amp;"2"&amp;RIGHT("00000"&amp;1759,5))</f>
        <v/>
      </c>
      <c r="U1764">
        <f>IF($T1764="","",COUNTIFS(LdAParty,$P1764,LdAType,1,LdAKey,"&lt;"&amp;$T1764)+COUNTIFS(LdBMember,$P1764,LdBKey,"&lt;"&amp;$T1764)+COUNTIFS(LdCParty,$P1764,LdCKey,"&lt;"&amp;$T1764)+1)</f>
        <v/>
      </c>
      <c r="V1764">
        <f>IF($U1764="","",$P1764&amp;"|"&amp;RIGHT("000000"&amp;$U1764,6))</f>
        <v/>
      </c>
      <c r="W1764">
        <f>IF($T1764="","",COUNTIFS(LdBGroup,$R1764,LdBKey,"&lt;"&amp;$T1764)+1)</f>
        <v/>
      </c>
      <c r="X1764">
        <f>IF($W1764="","",$R1764&amp;"|"&amp;RIGHT("000000"&amp;$W1764,6))</f>
        <v/>
      </c>
      <c r="Y1764">
        <f>IF($P1764="","",IF(Shares!$E1767="",0,Shares!$E1767))</f>
        <v/>
      </c>
      <c r="Z1764">
        <f>IF($P1764="","",Shares!$H1767)</f>
        <v/>
      </c>
      <c r="AE1764">
        <f>IF(OR(Sync!$S1764="",Sync!$P1764=""),"",Sync!$S1764)</f>
        <v/>
      </c>
      <c r="AF1764">
        <f>IF($AE1764="","",IF(ISNUMBER(Sync!$P1764),IF(AND(Sync!$P1764&gt;=10000101,Sync!$P1764&lt;=99991231),INT(Sync!$P1764/10000),""),IFERROR(VALUE(TRIM(LEFT(Sync!$P1764,FIND("/",Sync!$P1764)-1))),"")))</f>
        <v/>
      </c>
      <c r="AG1764">
        <f>IF(OR($AE1764="",$AF1764=""),"",IF(ISNUMBER(Sync!$P1764),INT(MOD(Sync!$P1764,10000)/100),IFERROR(VALUE(TRIM(LEFT(MID(Sync!$P1764,FIND("/",Sync!$P1764)+1,20),FIND("/",MID(Sync!$P1764,FIND("/",Sync!$P1764)+1,20))-1))),"")))</f>
        <v/>
      </c>
      <c r="AH1764">
        <f>IF(OR($AE1764="",$AF1764=""),"",IF(ISNUMBER(Sync!$P1764),MOD(Sync!$P1764,100),IFERROR(VALUE(TRIM(MID(MID(Sync!$P1764,FIND("/",Sync!$P1764)+1,20),FIND("/",MID(Sync!$P1764,FIND("/",Sync!$P1764)+1,20))+1,20))),"")))</f>
        <v/>
      </c>
      <c r="AI1764">
        <f>IF($AE1764="","",IF(OR($AF1764="",$AG1764="",$AH1764="",$AF1764&lt;1300,$AF1764&gt;1500,$AG1764&lt;1,$AG1764&gt;12,$AH1764&lt;1,$AH1764&gt;31),"نامعتبر",RIGHT("0000"&amp;$AF1764,4)&amp;"/"&amp;RIGHT("00"&amp;$AG1764,2)&amp;"/"&amp;RIGHT("00"&amp;$AH1764,2)))</f>
        <v/>
      </c>
      <c r="AJ1764">
        <f>IF($AE1764="","",IF(Sync!$Q1764="","0000",IF(AND(ISNUMBER(Sync!$Q1764),Sync!$Q1764&gt;=0,Sync!$Q1764&lt;1),RIGHT("00"&amp;HOUR(Sync!$Q1764),2)&amp;RIGHT("00"&amp;MINUTE(Sync!$Q1764),2),IFERROR(RIGHT("00"&amp;VALUE(LEFT(Sync!$Q1764,FIND(":",Sync!$Q1764)-1)),2)&amp;RIGHT("00"&amp;VALUE(MID(Sync!$Q1764,FIND(":",Sync!$Q1764)+1,2)),2),"0000"))))</f>
        <v/>
      </c>
      <c r="AK1764">
        <f>IF(OR($AE1764="",$AI1764="",$AI1764="نامعتبر"),"",LEFT($AI1764,4)&amp;MID($AI1764,6,2)&amp;RIGHT($AI1764,2)&amp;$AJ1764&amp;"|"&amp;"3"&amp;RIGHT("00000"&amp;1759,5))</f>
        <v/>
      </c>
      <c r="AL1764">
        <f>IF($AK1764="","",COUNTIFS(LdAParty,$AE1764,LdAType,1,LdAKey,"&lt;"&amp;$AK1764)+COUNTIFS(LdBMember,$AE1764,LdBKey,"&lt;"&amp;$AK1764)+COUNTIFS(LdCParty,$AE1764,LdCKey,"&lt;"&amp;$AK1764)+1)</f>
        <v/>
      </c>
      <c r="AM1764">
        <f>IF($AL1764="","",$AE1764&amp;"|"&amp;RIGHT("000000"&amp;$AL1764,6))</f>
        <v/>
      </c>
      <c r="AN1764">
        <f>IF($AE1764="","",IF(Sync!$W1764="",0,Sync!$W1764))</f>
        <v/>
      </c>
      <c r="AO1764">
        <f>IF($AE1764="","",IF(Sync!$X1764="",0,Sync!$X1764))</f>
        <v/>
      </c>
      <c r="AP1764">
        <f>IF($AE1764="","",Sync!$R1764)</f>
        <v/>
      </c>
      <c r="AQ1764">
        <f>IF($AE1764="","",Sync!$Y1764)</f>
        <v/>
      </c>
    </row>
    <row r="1765">
      <c r="A1765">
        <f>IF(OR(Wages!$B1768="",Wages!$E1768=""),"",Wages!$E1768)</f>
        <v/>
      </c>
      <c r="B1765">
        <f>IF($A1765="","",IF(Wages!$C1768="دستمزد گروهی",2,1))</f>
        <v/>
      </c>
      <c r="C1765">
        <f>IF($A1765="","",IF(ISNUMBER(Wages!$B1768),IF(AND(Wages!$B1768&gt;=10000101,Wages!$B1768&lt;=99991231),INT(Wages!$B1768/10000),""),IFERROR(VALUE(TRIM(LEFT(Wages!$B1768,FIND("/",Wages!$B1768)-1))),"")))</f>
        <v/>
      </c>
      <c r="D1765">
        <f>IF(OR($A1765="",$C1765=""),"",IF(ISNUMBER(Wages!$B1768),INT(MOD(Wages!$B1768,10000)/100),IFERROR(VALUE(TRIM(LEFT(MID(Wages!$B1768,FIND("/",Wages!$B1768)+1,20),FIND("/",MID(Wages!$B1768,FIND("/",Wages!$B1768)+1,20))-1))),"")))</f>
        <v/>
      </c>
      <c r="E1765">
        <f>IF(OR($A1765="",$C1765=""),"",IF(ISNUMBER(Wages!$B1768),MOD(Wages!$B1768,100),IFERROR(VALUE(TRIM(MID(MID(Wages!$B1768,FIND("/",Wages!$B1768)+1,20),FIND("/",MID(Wages!$B1768,FIND("/",Wages!$B1768)+1,20))+1,20))),"")))</f>
        <v/>
      </c>
      <c r="F1765">
        <f>IF($A1765="","",IF(OR($C1765="",$D1765="",$E1765="",$C1765&lt;1300,$C1765&gt;1500,$D1765&lt;1,$D1765&gt;12,$E1765&lt;1,$E1765&gt;31),"نامعتبر",RIGHT("0000"&amp;$C1765,4)&amp;"/"&amp;RIGHT("00"&amp;$D1765,2)&amp;"/"&amp;RIGHT("00"&amp;$E1765,2)))</f>
        <v/>
      </c>
      <c r="G1765">
        <f>IF(OR($A1765="",$F1765="",$F1765="نامعتبر"),"",LEFT($F1765,4)&amp;MID($F1765,6,2)&amp;RIGHT($F1765,2)&amp;"0000"&amp;"|"&amp;"1"&amp;RIGHT("00000"&amp;1760,5))</f>
        <v/>
      </c>
      <c r="H1765">
        <f>IF(OR($B1765&lt;&gt;1,$G1765=""),"",COUNTIFS(LdAParty,$A1765,LdAType,1,LdAKey,"&lt;"&amp;$G1765)+COUNTIFS(LdBMember,$A1765,LdBKey,"&lt;"&amp;$G1765)+COUNTIFS(LdCParty,$A1765,LdCKey,"&lt;"&amp;$G1765)+1)</f>
        <v/>
      </c>
      <c r="I1765">
        <f>IF($H1765="","",$A1765&amp;"|"&amp;RIGHT("000000"&amp;$H1765,6))</f>
        <v/>
      </c>
      <c r="J1765">
        <f>IF(OR($B1765&lt;&gt;2,$G1765=""),"",COUNTIFS(LdAParty,$A1765,LdAType,2,LdAKey,"&lt;"&amp;$G1765)+1)</f>
        <v/>
      </c>
      <c r="K1765">
        <f>IF($J1765="","",$A1765&amp;"|"&amp;RIGHT("000000"&amp;$J1765,6))</f>
        <v/>
      </c>
      <c r="L1765">
        <f>IF($A1765="","",IF(Wages!$G1768="",0,Wages!$G1768))</f>
        <v/>
      </c>
      <c r="M1765">
        <f>IF($A1765="","",Wages!$J1768)</f>
        <v/>
      </c>
      <c r="N1765">
        <f>IF($A1765="","",Wages!$D1768)</f>
        <v/>
      </c>
      <c r="P1765">
        <f>IF(OR(Shares!$B1768="",Shares!$C1768=""),"",Shares!$C1768)</f>
        <v/>
      </c>
      <c r="Q1765">
        <f>IF($P1765="","",Shares!$B1768)</f>
        <v/>
      </c>
      <c r="R1765">
        <f>IF($P1765="","",IFERROR(INDEX(WageParty,MATCH($Q1765,WageIds,0)),""))</f>
        <v/>
      </c>
      <c r="S1765">
        <f>IF($P1765="","",IFERROR(INDEX($F$6:$F$2005,MATCH($Q1765,WageIds,0)),""))</f>
        <v/>
      </c>
      <c r="T1765">
        <f>IF(OR($P1765="",$S1765="",$S1765="نامعتبر"),"",LEFT($S1765,4)&amp;MID($S1765,6,2)&amp;RIGHT($S1765,2)&amp;"0000"&amp;"|"&amp;"2"&amp;RIGHT("00000"&amp;1760,5))</f>
        <v/>
      </c>
      <c r="U1765">
        <f>IF($T1765="","",COUNTIFS(LdAParty,$P1765,LdAType,1,LdAKey,"&lt;"&amp;$T1765)+COUNTIFS(LdBMember,$P1765,LdBKey,"&lt;"&amp;$T1765)+COUNTIFS(LdCParty,$P1765,LdCKey,"&lt;"&amp;$T1765)+1)</f>
        <v/>
      </c>
      <c r="V1765">
        <f>IF($U1765="","",$P1765&amp;"|"&amp;RIGHT("000000"&amp;$U1765,6))</f>
        <v/>
      </c>
      <c r="W1765">
        <f>IF($T1765="","",COUNTIFS(LdBGroup,$R1765,LdBKey,"&lt;"&amp;$T1765)+1)</f>
        <v/>
      </c>
      <c r="X1765">
        <f>IF($W1765="","",$R1765&amp;"|"&amp;RIGHT("000000"&amp;$W1765,6))</f>
        <v/>
      </c>
      <c r="Y1765">
        <f>IF($P1765="","",IF(Shares!$E1768="",0,Shares!$E1768))</f>
        <v/>
      </c>
      <c r="Z1765">
        <f>IF($P1765="","",Shares!$H1768)</f>
        <v/>
      </c>
      <c r="AE1765">
        <f>IF(OR(Sync!$S1765="",Sync!$P1765=""),"",Sync!$S1765)</f>
        <v/>
      </c>
      <c r="AF1765">
        <f>IF($AE1765="","",IF(ISNUMBER(Sync!$P1765),IF(AND(Sync!$P1765&gt;=10000101,Sync!$P1765&lt;=99991231),INT(Sync!$P1765/10000),""),IFERROR(VALUE(TRIM(LEFT(Sync!$P1765,FIND("/",Sync!$P1765)-1))),"")))</f>
        <v/>
      </c>
      <c r="AG1765">
        <f>IF(OR($AE1765="",$AF1765=""),"",IF(ISNUMBER(Sync!$P1765),INT(MOD(Sync!$P1765,10000)/100),IFERROR(VALUE(TRIM(LEFT(MID(Sync!$P1765,FIND("/",Sync!$P1765)+1,20),FIND("/",MID(Sync!$P1765,FIND("/",Sync!$P1765)+1,20))-1))),"")))</f>
        <v/>
      </c>
      <c r="AH1765">
        <f>IF(OR($AE1765="",$AF1765=""),"",IF(ISNUMBER(Sync!$P1765),MOD(Sync!$P1765,100),IFERROR(VALUE(TRIM(MID(MID(Sync!$P1765,FIND("/",Sync!$P1765)+1,20),FIND("/",MID(Sync!$P1765,FIND("/",Sync!$P1765)+1,20))+1,20))),"")))</f>
        <v/>
      </c>
      <c r="AI1765">
        <f>IF($AE1765="","",IF(OR($AF1765="",$AG1765="",$AH1765="",$AF1765&lt;1300,$AF1765&gt;1500,$AG1765&lt;1,$AG1765&gt;12,$AH1765&lt;1,$AH1765&gt;31),"نامعتبر",RIGHT("0000"&amp;$AF1765,4)&amp;"/"&amp;RIGHT("00"&amp;$AG1765,2)&amp;"/"&amp;RIGHT("00"&amp;$AH1765,2)))</f>
        <v/>
      </c>
      <c r="AJ1765">
        <f>IF($AE1765="","",IF(Sync!$Q1765="","0000",IF(AND(ISNUMBER(Sync!$Q1765),Sync!$Q1765&gt;=0,Sync!$Q1765&lt;1),RIGHT("00"&amp;HOUR(Sync!$Q1765),2)&amp;RIGHT("00"&amp;MINUTE(Sync!$Q1765),2),IFERROR(RIGHT("00"&amp;VALUE(LEFT(Sync!$Q1765,FIND(":",Sync!$Q1765)-1)),2)&amp;RIGHT("00"&amp;VALUE(MID(Sync!$Q1765,FIND(":",Sync!$Q1765)+1,2)),2),"0000"))))</f>
        <v/>
      </c>
      <c r="AK1765">
        <f>IF(OR($AE1765="",$AI1765="",$AI1765="نامعتبر"),"",LEFT($AI1765,4)&amp;MID($AI1765,6,2)&amp;RIGHT($AI1765,2)&amp;$AJ1765&amp;"|"&amp;"3"&amp;RIGHT("00000"&amp;1760,5))</f>
        <v/>
      </c>
      <c r="AL1765">
        <f>IF($AK1765="","",COUNTIFS(LdAParty,$AE1765,LdAType,1,LdAKey,"&lt;"&amp;$AK1765)+COUNTIFS(LdBMember,$AE1765,LdBKey,"&lt;"&amp;$AK1765)+COUNTIFS(LdCParty,$AE1765,LdCKey,"&lt;"&amp;$AK1765)+1)</f>
        <v/>
      </c>
      <c r="AM1765">
        <f>IF($AL1765="","",$AE1765&amp;"|"&amp;RIGHT("000000"&amp;$AL1765,6))</f>
        <v/>
      </c>
      <c r="AN1765">
        <f>IF($AE1765="","",IF(Sync!$W1765="",0,Sync!$W1765))</f>
        <v/>
      </c>
      <c r="AO1765">
        <f>IF($AE1765="","",IF(Sync!$X1765="",0,Sync!$X1765))</f>
        <v/>
      </c>
      <c r="AP1765">
        <f>IF($AE1765="","",Sync!$R1765)</f>
        <v/>
      </c>
      <c r="AQ1765">
        <f>IF($AE1765="","",Sync!$Y1765)</f>
        <v/>
      </c>
    </row>
    <row r="1766">
      <c r="A1766">
        <f>IF(OR(Wages!$B1769="",Wages!$E1769=""),"",Wages!$E1769)</f>
        <v/>
      </c>
      <c r="B1766">
        <f>IF($A1766="","",IF(Wages!$C1769="دستمزد گروهی",2,1))</f>
        <v/>
      </c>
      <c r="C1766">
        <f>IF($A1766="","",IF(ISNUMBER(Wages!$B1769),IF(AND(Wages!$B1769&gt;=10000101,Wages!$B1769&lt;=99991231),INT(Wages!$B1769/10000),""),IFERROR(VALUE(TRIM(LEFT(Wages!$B1769,FIND("/",Wages!$B1769)-1))),"")))</f>
        <v/>
      </c>
      <c r="D1766">
        <f>IF(OR($A1766="",$C1766=""),"",IF(ISNUMBER(Wages!$B1769),INT(MOD(Wages!$B1769,10000)/100),IFERROR(VALUE(TRIM(LEFT(MID(Wages!$B1769,FIND("/",Wages!$B1769)+1,20),FIND("/",MID(Wages!$B1769,FIND("/",Wages!$B1769)+1,20))-1))),"")))</f>
        <v/>
      </c>
      <c r="E1766">
        <f>IF(OR($A1766="",$C1766=""),"",IF(ISNUMBER(Wages!$B1769),MOD(Wages!$B1769,100),IFERROR(VALUE(TRIM(MID(MID(Wages!$B1769,FIND("/",Wages!$B1769)+1,20),FIND("/",MID(Wages!$B1769,FIND("/",Wages!$B1769)+1,20))+1,20))),"")))</f>
        <v/>
      </c>
      <c r="F1766">
        <f>IF($A1766="","",IF(OR($C1766="",$D1766="",$E1766="",$C1766&lt;1300,$C1766&gt;1500,$D1766&lt;1,$D1766&gt;12,$E1766&lt;1,$E1766&gt;31),"نامعتبر",RIGHT("0000"&amp;$C1766,4)&amp;"/"&amp;RIGHT("00"&amp;$D1766,2)&amp;"/"&amp;RIGHT("00"&amp;$E1766,2)))</f>
        <v/>
      </c>
      <c r="G1766">
        <f>IF(OR($A1766="",$F1766="",$F1766="نامعتبر"),"",LEFT($F1766,4)&amp;MID($F1766,6,2)&amp;RIGHT($F1766,2)&amp;"0000"&amp;"|"&amp;"1"&amp;RIGHT("00000"&amp;1761,5))</f>
        <v/>
      </c>
      <c r="H1766">
        <f>IF(OR($B1766&lt;&gt;1,$G1766=""),"",COUNTIFS(LdAParty,$A1766,LdAType,1,LdAKey,"&lt;"&amp;$G1766)+COUNTIFS(LdBMember,$A1766,LdBKey,"&lt;"&amp;$G1766)+COUNTIFS(LdCParty,$A1766,LdCKey,"&lt;"&amp;$G1766)+1)</f>
        <v/>
      </c>
      <c r="I1766">
        <f>IF($H1766="","",$A1766&amp;"|"&amp;RIGHT("000000"&amp;$H1766,6))</f>
        <v/>
      </c>
      <c r="J1766">
        <f>IF(OR($B1766&lt;&gt;2,$G1766=""),"",COUNTIFS(LdAParty,$A1766,LdAType,2,LdAKey,"&lt;"&amp;$G1766)+1)</f>
        <v/>
      </c>
      <c r="K1766">
        <f>IF($J1766="","",$A1766&amp;"|"&amp;RIGHT("000000"&amp;$J1766,6))</f>
        <v/>
      </c>
      <c r="L1766">
        <f>IF($A1766="","",IF(Wages!$G1769="",0,Wages!$G1769))</f>
        <v/>
      </c>
      <c r="M1766">
        <f>IF($A1766="","",Wages!$J1769)</f>
        <v/>
      </c>
      <c r="N1766">
        <f>IF($A1766="","",Wages!$D1769)</f>
        <v/>
      </c>
      <c r="P1766">
        <f>IF(OR(Shares!$B1769="",Shares!$C1769=""),"",Shares!$C1769)</f>
        <v/>
      </c>
      <c r="Q1766">
        <f>IF($P1766="","",Shares!$B1769)</f>
        <v/>
      </c>
      <c r="R1766">
        <f>IF($P1766="","",IFERROR(INDEX(WageParty,MATCH($Q1766,WageIds,0)),""))</f>
        <v/>
      </c>
      <c r="S1766">
        <f>IF($P1766="","",IFERROR(INDEX($F$6:$F$2005,MATCH($Q1766,WageIds,0)),""))</f>
        <v/>
      </c>
      <c r="T1766">
        <f>IF(OR($P1766="",$S1766="",$S1766="نامعتبر"),"",LEFT($S1766,4)&amp;MID($S1766,6,2)&amp;RIGHT($S1766,2)&amp;"0000"&amp;"|"&amp;"2"&amp;RIGHT("00000"&amp;1761,5))</f>
        <v/>
      </c>
      <c r="U1766">
        <f>IF($T1766="","",COUNTIFS(LdAParty,$P1766,LdAType,1,LdAKey,"&lt;"&amp;$T1766)+COUNTIFS(LdBMember,$P1766,LdBKey,"&lt;"&amp;$T1766)+COUNTIFS(LdCParty,$P1766,LdCKey,"&lt;"&amp;$T1766)+1)</f>
        <v/>
      </c>
      <c r="V1766">
        <f>IF($U1766="","",$P1766&amp;"|"&amp;RIGHT("000000"&amp;$U1766,6))</f>
        <v/>
      </c>
      <c r="W1766">
        <f>IF($T1766="","",COUNTIFS(LdBGroup,$R1766,LdBKey,"&lt;"&amp;$T1766)+1)</f>
        <v/>
      </c>
      <c r="X1766">
        <f>IF($W1766="","",$R1766&amp;"|"&amp;RIGHT("000000"&amp;$W1766,6))</f>
        <v/>
      </c>
      <c r="Y1766">
        <f>IF($P1766="","",IF(Shares!$E1769="",0,Shares!$E1769))</f>
        <v/>
      </c>
      <c r="Z1766">
        <f>IF($P1766="","",Shares!$H1769)</f>
        <v/>
      </c>
      <c r="AE1766">
        <f>IF(OR(Sync!$S1766="",Sync!$P1766=""),"",Sync!$S1766)</f>
        <v/>
      </c>
      <c r="AF1766">
        <f>IF($AE1766="","",IF(ISNUMBER(Sync!$P1766),IF(AND(Sync!$P1766&gt;=10000101,Sync!$P1766&lt;=99991231),INT(Sync!$P1766/10000),""),IFERROR(VALUE(TRIM(LEFT(Sync!$P1766,FIND("/",Sync!$P1766)-1))),"")))</f>
        <v/>
      </c>
      <c r="AG1766">
        <f>IF(OR($AE1766="",$AF1766=""),"",IF(ISNUMBER(Sync!$P1766),INT(MOD(Sync!$P1766,10000)/100),IFERROR(VALUE(TRIM(LEFT(MID(Sync!$P1766,FIND("/",Sync!$P1766)+1,20),FIND("/",MID(Sync!$P1766,FIND("/",Sync!$P1766)+1,20))-1))),"")))</f>
        <v/>
      </c>
      <c r="AH1766">
        <f>IF(OR($AE1766="",$AF1766=""),"",IF(ISNUMBER(Sync!$P1766),MOD(Sync!$P1766,100),IFERROR(VALUE(TRIM(MID(MID(Sync!$P1766,FIND("/",Sync!$P1766)+1,20),FIND("/",MID(Sync!$P1766,FIND("/",Sync!$P1766)+1,20))+1,20))),"")))</f>
        <v/>
      </c>
      <c r="AI1766">
        <f>IF($AE1766="","",IF(OR($AF1766="",$AG1766="",$AH1766="",$AF1766&lt;1300,$AF1766&gt;1500,$AG1766&lt;1,$AG1766&gt;12,$AH1766&lt;1,$AH1766&gt;31),"نامعتبر",RIGHT("0000"&amp;$AF1766,4)&amp;"/"&amp;RIGHT("00"&amp;$AG1766,2)&amp;"/"&amp;RIGHT("00"&amp;$AH1766,2)))</f>
        <v/>
      </c>
      <c r="AJ1766">
        <f>IF($AE1766="","",IF(Sync!$Q1766="","0000",IF(AND(ISNUMBER(Sync!$Q1766),Sync!$Q1766&gt;=0,Sync!$Q1766&lt;1),RIGHT("00"&amp;HOUR(Sync!$Q1766),2)&amp;RIGHT("00"&amp;MINUTE(Sync!$Q1766),2),IFERROR(RIGHT("00"&amp;VALUE(LEFT(Sync!$Q1766,FIND(":",Sync!$Q1766)-1)),2)&amp;RIGHT("00"&amp;VALUE(MID(Sync!$Q1766,FIND(":",Sync!$Q1766)+1,2)),2),"0000"))))</f>
        <v/>
      </c>
      <c r="AK1766">
        <f>IF(OR($AE1766="",$AI1766="",$AI1766="نامعتبر"),"",LEFT($AI1766,4)&amp;MID($AI1766,6,2)&amp;RIGHT($AI1766,2)&amp;$AJ1766&amp;"|"&amp;"3"&amp;RIGHT("00000"&amp;1761,5))</f>
        <v/>
      </c>
      <c r="AL1766">
        <f>IF($AK1766="","",COUNTIFS(LdAParty,$AE1766,LdAType,1,LdAKey,"&lt;"&amp;$AK1766)+COUNTIFS(LdBMember,$AE1766,LdBKey,"&lt;"&amp;$AK1766)+COUNTIFS(LdCParty,$AE1766,LdCKey,"&lt;"&amp;$AK1766)+1)</f>
        <v/>
      </c>
      <c r="AM1766">
        <f>IF($AL1766="","",$AE1766&amp;"|"&amp;RIGHT("000000"&amp;$AL1766,6))</f>
        <v/>
      </c>
      <c r="AN1766">
        <f>IF($AE1766="","",IF(Sync!$W1766="",0,Sync!$W1766))</f>
        <v/>
      </c>
      <c r="AO1766">
        <f>IF($AE1766="","",IF(Sync!$X1766="",0,Sync!$X1766))</f>
        <v/>
      </c>
      <c r="AP1766">
        <f>IF($AE1766="","",Sync!$R1766)</f>
        <v/>
      </c>
      <c r="AQ1766">
        <f>IF($AE1766="","",Sync!$Y1766)</f>
        <v/>
      </c>
    </row>
    <row r="1767">
      <c r="A1767">
        <f>IF(OR(Wages!$B1770="",Wages!$E1770=""),"",Wages!$E1770)</f>
        <v/>
      </c>
      <c r="B1767">
        <f>IF($A1767="","",IF(Wages!$C1770="دستمزد گروهی",2,1))</f>
        <v/>
      </c>
      <c r="C1767">
        <f>IF($A1767="","",IF(ISNUMBER(Wages!$B1770),IF(AND(Wages!$B1770&gt;=10000101,Wages!$B1770&lt;=99991231),INT(Wages!$B1770/10000),""),IFERROR(VALUE(TRIM(LEFT(Wages!$B1770,FIND("/",Wages!$B1770)-1))),"")))</f>
        <v/>
      </c>
      <c r="D1767">
        <f>IF(OR($A1767="",$C1767=""),"",IF(ISNUMBER(Wages!$B1770),INT(MOD(Wages!$B1770,10000)/100),IFERROR(VALUE(TRIM(LEFT(MID(Wages!$B1770,FIND("/",Wages!$B1770)+1,20),FIND("/",MID(Wages!$B1770,FIND("/",Wages!$B1770)+1,20))-1))),"")))</f>
        <v/>
      </c>
      <c r="E1767">
        <f>IF(OR($A1767="",$C1767=""),"",IF(ISNUMBER(Wages!$B1770),MOD(Wages!$B1770,100),IFERROR(VALUE(TRIM(MID(MID(Wages!$B1770,FIND("/",Wages!$B1770)+1,20),FIND("/",MID(Wages!$B1770,FIND("/",Wages!$B1770)+1,20))+1,20))),"")))</f>
        <v/>
      </c>
      <c r="F1767">
        <f>IF($A1767="","",IF(OR($C1767="",$D1767="",$E1767="",$C1767&lt;1300,$C1767&gt;1500,$D1767&lt;1,$D1767&gt;12,$E1767&lt;1,$E1767&gt;31),"نامعتبر",RIGHT("0000"&amp;$C1767,4)&amp;"/"&amp;RIGHT("00"&amp;$D1767,2)&amp;"/"&amp;RIGHT("00"&amp;$E1767,2)))</f>
        <v/>
      </c>
      <c r="G1767">
        <f>IF(OR($A1767="",$F1767="",$F1767="نامعتبر"),"",LEFT($F1767,4)&amp;MID($F1767,6,2)&amp;RIGHT($F1767,2)&amp;"0000"&amp;"|"&amp;"1"&amp;RIGHT("00000"&amp;1762,5))</f>
        <v/>
      </c>
      <c r="H1767">
        <f>IF(OR($B1767&lt;&gt;1,$G1767=""),"",COUNTIFS(LdAParty,$A1767,LdAType,1,LdAKey,"&lt;"&amp;$G1767)+COUNTIFS(LdBMember,$A1767,LdBKey,"&lt;"&amp;$G1767)+COUNTIFS(LdCParty,$A1767,LdCKey,"&lt;"&amp;$G1767)+1)</f>
        <v/>
      </c>
      <c r="I1767">
        <f>IF($H1767="","",$A1767&amp;"|"&amp;RIGHT("000000"&amp;$H1767,6))</f>
        <v/>
      </c>
      <c r="J1767">
        <f>IF(OR($B1767&lt;&gt;2,$G1767=""),"",COUNTIFS(LdAParty,$A1767,LdAType,2,LdAKey,"&lt;"&amp;$G1767)+1)</f>
        <v/>
      </c>
      <c r="K1767">
        <f>IF($J1767="","",$A1767&amp;"|"&amp;RIGHT("000000"&amp;$J1767,6))</f>
        <v/>
      </c>
      <c r="L1767">
        <f>IF($A1767="","",IF(Wages!$G1770="",0,Wages!$G1770))</f>
        <v/>
      </c>
      <c r="M1767">
        <f>IF($A1767="","",Wages!$J1770)</f>
        <v/>
      </c>
      <c r="N1767">
        <f>IF($A1767="","",Wages!$D1770)</f>
        <v/>
      </c>
      <c r="P1767">
        <f>IF(OR(Shares!$B1770="",Shares!$C1770=""),"",Shares!$C1770)</f>
        <v/>
      </c>
      <c r="Q1767">
        <f>IF($P1767="","",Shares!$B1770)</f>
        <v/>
      </c>
      <c r="R1767">
        <f>IF($P1767="","",IFERROR(INDEX(WageParty,MATCH($Q1767,WageIds,0)),""))</f>
        <v/>
      </c>
      <c r="S1767">
        <f>IF($P1767="","",IFERROR(INDEX($F$6:$F$2005,MATCH($Q1767,WageIds,0)),""))</f>
        <v/>
      </c>
      <c r="T1767">
        <f>IF(OR($P1767="",$S1767="",$S1767="نامعتبر"),"",LEFT($S1767,4)&amp;MID($S1767,6,2)&amp;RIGHT($S1767,2)&amp;"0000"&amp;"|"&amp;"2"&amp;RIGHT("00000"&amp;1762,5))</f>
        <v/>
      </c>
      <c r="U1767">
        <f>IF($T1767="","",COUNTIFS(LdAParty,$P1767,LdAType,1,LdAKey,"&lt;"&amp;$T1767)+COUNTIFS(LdBMember,$P1767,LdBKey,"&lt;"&amp;$T1767)+COUNTIFS(LdCParty,$P1767,LdCKey,"&lt;"&amp;$T1767)+1)</f>
        <v/>
      </c>
      <c r="V1767">
        <f>IF($U1767="","",$P1767&amp;"|"&amp;RIGHT("000000"&amp;$U1767,6))</f>
        <v/>
      </c>
      <c r="W1767">
        <f>IF($T1767="","",COUNTIFS(LdBGroup,$R1767,LdBKey,"&lt;"&amp;$T1767)+1)</f>
        <v/>
      </c>
      <c r="X1767">
        <f>IF($W1767="","",$R1767&amp;"|"&amp;RIGHT("000000"&amp;$W1767,6))</f>
        <v/>
      </c>
      <c r="Y1767">
        <f>IF($P1767="","",IF(Shares!$E1770="",0,Shares!$E1770))</f>
        <v/>
      </c>
      <c r="Z1767">
        <f>IF($P1767="","",Shares!$H1770)</f>
        <v/>
      </c>
      <c r="AE1767">
        <f>IF(OR(Sync!$S1767="",Sync!$P1767=""),"",Sync!$S1767)</f>
        <v/>
      </c>
      <c r="AF1767">
        <f>IF($AE1767="","",IF(ISNUMBER(Sync!$P1767),IF(AND(Sync!$P1767&gt;=10000101,Sync!$P1767&lt;=99991231),INT(Sync!$P1767/10000),""),IFERROR(VALUE(TRIM(LEFT(Sync!$P1767,FIND("/",Sync!$P1767)-1))),"")))</f>
        <v/>
      </c>
      <c r="AG1767">
        <f>IF(OR($AE1767="",$AF1767=""),"",IF(ISNUMBER(Sync!$P1767),INT(MOD(Sync!$P1767,10000)/100),IFERROR(VALUE(TRIM(LEFT(MID(Sync!$P1767,FIND("/",Sync!$P1767)+1,20),FIND("/",MID(Sync!$P1767,FIND("/",Sync!$P1767)+1,20))-1))),"")))</f>
        <v/>
      </c>
      <c r="AH1767">
        <f>IF(OR($AE1767="",$AF1767=""),"",IF(ISNUMBER(Sync!$P1767),MOD(Sync!$P1767,100),IFERROR(VALUE(TRIM(MID(MID(Sync!$P1767,FIND("/",Sync!$P1767)+1,20),FIND("/",MID(Sync!$P1767,FIND("/",Sync!$P1767)+1,20))+1,20))),"")))</f>
        <v/>
      </c>
      <c r="AI1767">
        <f>IF($AE1767="","",IF(OR($AF1767="",$AG1767="",$AH1767="",$AF1767&lt;1300,$AF1767&gt;1500,$AG1767&lt;1,$AG1767&gt;12,$AH1767&lt;1,$AH1767&gt;31),"نامعتبر",RIGHT("0000"&amp;$AF1767,4)&amp;"/"&amp;RIGHT("00"&amp;$AG1767,2)&amp;"/"&amp;RIGHT("00"&amp;$AH1767,2)))</f>
        <v/>
      </c>
      <c r="AJ1767">
        <f>IF($AE1767="","",IF(Sync!$Q1767="","0000",IF(AND(ISNUMBER(Sync!$Q1767),Sync!$Q1767&gt;=0,Sync!$Q1767&lt;1),RIGHT("00"&amp;HOUR(Sync!$Q1767),2)&amp;RIGHT("00"&amp;MINUTE(Sync!$Q1767),2),IFERROR(RIGHT("00"&amp;VALUE(LEFT(Sync!$Q1767,FIND(":",Sync!$Q1767)-1)),2)&amp;RIGHT("00"&amp;VALUE(MID(Sync!$Q1767,FIND(":",Sync!$Q1767)+1,2)),2),"0000"))))</f>
        <v/>
      </c>
      <c r="AK1767">
        <f>IF(OR($AE1767="",$AI1767="",$AI1767="نامعتبر"),"",LEFT($AI1767,4)&amp;MID($AI1767,6,2)&amp;RIGHT($AI1767,2)&amp;$AJ1767&amp;"|"&amp;"3"&amp;RIGHT("00000"&amp;1762,5))</f>
        <v/>
      </c>
      <c r="AL1767">
        <f>IF($AK1767="","",COUNTIFS(LdAParty,$AE1767,LdAType,1,LdAKey,"&lt;"&amp;$AK1767)+COUNTIFS(LdBMember,$AE1767,LdBKey,"&lt;"&amp;$AK1767)+COUNTIFS(LdCParty,$AE1767,LdCKey,"&lt;"&amp;$AK1767)+1)</f>
        <v/>
      </c>
      <c r="AM1767">
        <f>IF($AL1767="","",$AE1767&amp;"|"&amp;RIGHT("000000"&amp;$AL1767,6))</f>
        <v/>
      </c>
      <c r="AN1767">
        <f>IF($AE1767="","",IF(Sync!$W1767="",0,Sync!$W1767))</f>
        <v/>
      </c>
      <c r="AO1767">
        <f>IF($AE1767="","",IF(Sync!$X1767="",0,Sync!$X1767))</f>
        <v/>
      </c>
      <c r="AP1767">
        <f>IF($AE1767="","",Sync!$R1767)</f>
        <v/>
      </c>
      <c r="AQ1767">
        <f>IF($AE1767="","",Sync!$Y1767)</f>
        <v/>
      </c>
    </row>
    <row r="1768">
      <c r="A1768">
        <f>IF(OR(Wages!$B1771="",Wages!$E1771=""),"",Wages!$E1771)</f>
        <v/>
      </c>
      <c r="B1768">
        <f>IF($A1768="","",IF(Wages!$C1771="دستمزد گروهی",2,1))</f>
        <v/>
      </c>
      <c r="C1768">
        <f>IF($A1768="","",IF(ISNUMBER(Wages!$B1771),IF(AND(Wages!$B1771&gt;=10000101,Wages!$B1771&lt;=99991231),INT(Wages!$B1771/10000),""),IFERROR(VALUE(TRIM(LEFT(Wages!$B1771,FIND("/",Wages!$B1771)-1))),"")))</f>
        <v/>
      </c>
      <c r="D1768">
        <f>IF(OR($A1768="",$C1768=""),"",IF(ISNUMBER(Wages!$B1771),INT(MOD(Wages!$B1771,10000)/100),IFERROR(VALUE(TRIM(LEFT(MID(Wages!$B1771,FIND("/",Wages!$B1771)+1,20),FIND("/",MID(Wages!$B1771,FIND("/",Wages!$B1771)+1,20))-1))),"")))</f>
        <v/>
      </c>
      <c r="E1768">
        <f>IF(OR($A1768="",$C1768=""),"",IF(ISNUMBER(Wages!$B1771),MOD(Wages!$B1771,100),IFERROR(VALUE(TRIM(MID(MID(Wages!$B1771,FIND("/",Wages!$B1771)+1,20),FIND("/",MID(Wages!$B1771,FIND("/",Wages!$B1771)+1,20))+1,20))),"")))</f>
        <v/>
      </c>
      <c r="F1768">
        <f>IF($A1768="","",IF(OR($C1768="",$D1768="",$E1768="",$C1768&lt;1300,$C1768&gt;1500,$D1768&lt;1,$D1768&gt;12,$E1768&lt;1,$E1768&gt;31),"نامعتبر",RIGHT("0000"&amp;$C1768,4)&amp;"/"&amp;RIGHT("00"&amp;$D1768,2)&amp;"/"&amp;RIGHT("00"&amp;$E1768,2)))</f>
        <v/>
      </c>
      <c r="G1768">
        <f>IF(OR($A1768="",$F1768="",$F1768="نامعتبر"),"",LEFT($F1768,4)&amp;MID($F1768,6,2)&amp;RIGHT($F1768,2)&amp;"0000"&amp;"|"&amp;"1"&amp;RIGHT("00000"&amp;1763,5))</f>
        <v/>
      </c>
      <c r="H1768">
        <f>IF(OR($B1768&lt;&gt;1,$G1768=""),"",COUNTIFS(LdAParty,$A1768,LdAType,1,LdAKey,"&lt;"&amp;$G1768)+COUNTIFS(LdBMember,$A1768,LdBKey,"&lt;"&amp;$G1768)+COUNTIFS(LdCParty,$A1768,LdCKey,"&lt;"&amp;$G1768)+1)</f>
        <v/>
      </c>
      <c r="I1768">
        <f>IF($H1768="","",$A1768&amp;"|"&amp;RIGHT("000000"&amp;$H1768,6))</f>
        <v/>
      </c>
      <c r="J1768">
        <f>IF(OR($B1768&lt;&gt;2,$G1768=""),"",COUNTIFS(LdAParty,$A1768,LdAType,2,LdAKey,"&lt;"&amp;$G1768)+1)</f>
        <v/>
      </c>
      <c r="K1768">
        <f>IF($J1768="","",$A1768&amp;"|"&amp;RIGHT("000000"&amp;$J1768,6))</f>
        <v/>
      </c>
      <c r="L1768">
        <f>IF($A1768="","",IF(Wages!$G1771="",0,Wages!$G1771))</f>
        <v/>
      </c>
      <c r="M1768">
        <f>IF($A1768="","",Wages!$J1771)</f>
        <v/>
      </c>
      <c r="N1768">
        <f>IF($A1768="","",Wages!$D1771)</f>
        <v/>
      </c>
      <c r="P1768">
        <f>IF(OR(Shares!$B1771="",Shares!$C1771=""),"",Shares!$C1771)</f>
        <v/>
      </c>
      <c r="Q1768">
        <f>IF($P1768="","",Shares!$B1771)</f>
        <v/>
      </c>
      <c r="R1768">
        <f>IF($P1768="","",IFERROR(INDEX(WageParty,MATCH($Q1768,WageIds,0)),""))</f>
        <v/>
      </c>
      <c r="S1768">
        <f>IF($P1768="","",IFERROR(INDEX($F$6:$F$2005,MATCH($Q1768,WageIds,0)),""))</f>
        <v/>
      </c>
      <c r="T1768">
        <f>IF(OR($P1768="",$S1768="",$S1768="نامعتبر"),"",LEFT($S1768,4)&amp;MID($S1768,6,2)&amp;RIGHT($S1768,2)&amp;"0000"&amp;"|"&amp;"2"&amp;RIGHT("00000"&amp;1763,5))</f>
        <v/>
      </c>
      <c r="U1768">
        <f>IF($T1768="","",COUNTIFS(LdAParty,$P1768,LdAType,1,LdAKey,"&lt;"&amp;$T1768)+COUNTIFS(LdBMember,$P1768,LdBKey,"&lt;"&amp;$T1768)+COUNTIFS(LdCParty,$P1768,LdCKey,"&lt;"&amp;$T1768)+1)</f>
        <v/>
      </c>
      <c r="V1768">
        <f>IF($U1768="","",$P1768&amp;"|"&amp;RIGHT("000000"&amp;$U1768,6))</f>
        <v/>
      </c>
      <c r="W1768">
        <f>IF($T1768="","",COUNTIFS(LdBGroup,$R1768,LdBKey,"&lt;"&amp;$T1768)+1)</f>
        <v/>
      </c>
      <c r="X1768">
        <f>IF($W1768="","",$R1768&amp;"|"&amp;RIGHT("000000"&amp;$W1768,6))</f>
        <v/>
      </c>
      <c r="Y1768">
        <f>IF($P1768="","",IF(Shares!$E1771="",0,Shares!$E1771))</f>
        <v/>
      </c>
      <c r="Z1768">
        <f>IF($P1768="","",Shares!$H1771)</f>
        <v/>
      </c>
      <c r="AE1768">
        <f>IF(OR(Sync!$S1768="",Sync!$P1768=""),"",Sync!$S1768)</f>
        <v/>
      </c>
      <c r="AF1768">
        <f>IF($AE1768="","",IF(ISNUMBER(Sync!$P1768),IF(AND(Sync!$P1768&gt;=10000101,Sync!$P1768&lt;=99991231),INT(Sync!$P1768/10000),""),IFERROR(VALUE(TRIM(LEFT(Sync!$P1768,FIND("/",Sync!$P1768)-1))),"")))</f>
        <v/>
      </c>
      <c r="AG1768">
        <f>IF(OR($AE1768="",$AF1768=""),"",IF(ISNUMBER(Sync!$P1768),INT(MOD(Sync!$P1768,10000)/100),IFERROR(VALUE(TRIM(LEFT(MID(Sync!$P1768,FIND("/",Sync!$P1768)+1,20),FIND("/",MID(Sync!$P1768,FIND("/",Sync!$P1768)+1,20))-1))),"")))</f>
        <v/>
      </c>
      <c r="AH1768">
        <f>IF(OR($AE1768="",$AF1768=""),"",IF(ISNUMBER(Sync!$P1768),MOD(Sync!$P1768,100),IFERROR(VALUE(TRIM(MID(MID(Sync!$P1768,FIND("/",Sync!$P1768)+1,20),FIND("/",MID(Sync!$P1768,FIND("/",Sync!$P1768)+1,20))+1,20))),"")))</f>
        <v/>
      </c>
      <c r="AI1768">
        <f>IF($AE1768="","",IF(OR($AF1768="",$AG1768="",$AH1768="",$AF1768&lt;1300,$AF1768&gt;1500,$AG1768&lt;1,$AG1768&gt;12,$AH1768&lt;1,$AH1768&gt;31),"نامعتبر",RIGHT("0000"&amp;$AF1768,4)&amp;"/"&amp;RIGHT("00"&amp;$AG1768,2)&amp;"/"&amp;RIGHT("00"&amp;$AH1768,2)))</f>
        <v/>
      </c>
      <c r="AJ1768">
        <f>IF($AE1768="","",IF(Sync!$Q1768="","0000",IF(AND(ISNUMBER(Sync!$Q1768),Sync!$Q1768&gt;=0,Sync!$Q1768&lt;1),RIGHT("00"&amp;HOUR(Sync!$Q1768),2)&amp;RIGHT("00"&amp;MINUTE(Sync!$Q1768),2),IFERROR(RIGHT("00"&amp;VALUE(LEFT(Sync!$Q1768,FIND(":",Sync!$Q1768)-1)),2)&amp;RIGHT("00"&amp;VALUE(MID(Sync!$Q1768,FIND(":",Sync!$Q1768)+1,2)),2),"0000"))))</f>
        <v/>
      </c>
      <c r="AK1768">
        <f>IF(OR($AE1768="",$AI1768="",$AI1768="نامعتبر"),"",LEFT($AI1768,4)&amp;MID($AI1768,6,2)&amp;RIGHT($AI1768,2)&amp;$AJ1768&amp;"|"&amp;"3"&amp;RIGHT("00000"&amp;1763,5))</f>
        <v/>
      </c>
      <c r="AL1768">
        <f>IF($AK1768="","",COUNTIFS(LdAParty,$AE1768,LdAType,1,LdAKey,"&lt;"&amp;$AK1768)+COUNTIFS(LdBMember,$AE1768,LdBKey,"&lt;"&amp;$AK1768)+COUNTIFS(LdCParty,$AE1768,LdCKey,"&lt;"&amp;$AK1768)+1)</f>
        <v/>
      </c>
      <c r="AM1768">
        <f>IF($AL1768="","",$AE1768&amp;"|"&amp;RIGHT("000000"&amp;$AL1768,6))</f>
        <v/>
      </c>
      <c r="AN1768">
        <f>IF($AE1768="","",IF(Sync!$W1768="",0,Sync!$W1768))</f>
        <v/>
      </c>
      <c r="AO1768">
        <f>IF($AE1768="","",IF(Sync!$X1768="",0,Sync!$X1768))</f>
        <v/>
      </c>
      <c r="AP1768">
        <f>IF($AE1768="","",Sync!$R1768)</f>
        <v/>
      </c>
      <c r="AQ1768">
        <f>IF($AE1768="","",Sync!$Y1768)</f>
        <v/>
      </c>
    </row>
    <row r="1769">
      <c r="A1769">
        <f>IF(OR(Wages!$B1772="",Wages!$E1772=""),"",Wages!$E1772)</f>
        <v/>
      </c>
      <c r="B1769">
        <f>IF($A1769="","",IF(Wages!$C1772="دستمزد گروهی",2,1))</f>
        <v/>
      </c>
      <c r="C1769">
        <f>IF($A1769="","",IF(ISNUMBER(Wages!$B1772),IF(AND(Wages!$B1772&gt;=10000101,Wages!$B1772&lt;=99991231),INT(Wages!$B1772/10000),""),IFERROR(VALUE(TRIM(LEFT(Wages!$B1772,FIND("/",Wages!$B1772)-1))),"")))</f>
        <v/>
      </c>
      <c r="D1769">
        <f>IF(OR($A1769="",$C1769=""),"",IF(ISNUMBER(Wages!$B1772),INT(MOD(Wages!$B1772,10000)/100),IFERROR(VALUE(TRIM(LEFT(MID(Wages!$B1772,FIND("/",Wages!$B1772)+1,20),FIND("/",MID(Wages!$B1772,FIND("/",Wages!$B1772)+1,20))-1))),"")))</f>
        <v/>
      </c>
      <c r="E1769">
        <f>IF(OR($A1769="",$C1769=""),"",IF(ISNUMBER(Wages!$B1772),MOD(Wages!$B1772,100),IFERROR(VALUE(TRIM(MID(MID(Wages!$B1772,FIND("/",Wages!$B1772)+1,20),FIND("/",MID(Wages!$B1772,FIND("/",Wages!$B1772)+1,20))+1,20))),"")))</f>
        <v/>
      </c>
      <c r="F1769">
        <f>IF($A1769="","",IF(OR($C1769="",$D1769="",$E1769="",$C1769&lt;1300,$C1769&gt;1500,$D1769&lt;1,$D1769&gt;12,$E1769&lt;1,$E1769&gt;31),"نامعتبر",RIGHT("0000"&amp;$C1769,4)&amp;"/"&amp;RIGHT("00"&amp;$D1769,2)&amp;"/"&amp;RIGHT("00"&amp;$E1769,2)))</f>
        <v/>
      </c>
      <c r="G1769">
        <f>IF(OR($A1769="",$F1769="",$F1769="نامعتبر"),"",LEFT($F1769,4)&amp;MID($F1769,6,2)&amp;RIGHT($F1769,2)&amp;"0000"&amp;"|"&amp;"1"&amp;RIGHT("00000"&amp;1764,5))</f>
        <v/>
      </c>
      <c r="H1769">
        <f>IF(OR($B1769&lt;&gt;1,$G1769=""),"",COUNTIFS(LdAParty,$A1769,LdAType,1,LdAKey,"&lt;"&amp;$G1769)+COUNTIFS(LdBMember,$A1769,LdBKey,"&lt;"&amp;$G1769)+COUNTIFS(LdCParty,$A1769,LdCKey,"&lt;"&amp;$G1769)+1)</f>
        <v/>
      </c>
      <c r="I1769">
        <f>IF($H1769="","",$A1769&amp;"|"&amp;RIGHT("000000"&amp;$H1769,6))</f>
        <v/>
      </c>
      <c r="J1769">
        <f>IF(OR($B1769&lt;&gt;2,$G1769=""),"",COUNTIFS(LdAParty,$A1769,LdAType,2,LdAKey,"&lt;"&amp;$G1769)+1)</f>
        <v/>
      </c>
      <c r="K1769">
        <f>IF($J1769="","",$A1769&amp;"|"&amp;RIGHT("000000"&amp;$J1769,6))</f>
        <v/>
      </c>
      <c r="L1769">
        <f>IF($A1769="","",IF(Wages!$G1772="",0,Wages!$G1772))</f>
        <v/>
      </c>
      <c r="M1769">
        <f>IF($A1769="","",Wages!$J1772)</f>
        <v/>
      </c>
      <c r="N1769">
        <f>IF($A1769="","",Wages!$D1772)</f>
        <v/>
      </c>
      <c r="P1769">
        <f>IF(OR(Shares!$B1772="",Shares!$C1772=""),"",Shares!$C1772)</f>
        <v/>
      </c>
      <c r="Q1769">
        <f>IF($P1769="","",Shares!$B1772)</f>
        <v/>
      </c>
      <c r="R1769">
        <f>IF($P1769="","",IFERROR(INDEX(WageParty,MATCH($Q1769,WageIds,0)),""))</f>
        <v/>
      </c>
      <c r="S1769">
        <f>IF($P1769="","",IFERROR(INDEX($F$6:$F$2005,MATCH($Q1769,WageIds,0)),""))</f>
        <v/>
      </c>
      <c r="T1769">
        <f>IF(OR($P1769="",$S1769="",$S1769="نامعتبر"),"",LEFT($S1769,4)&amp;MID($S1769,6,2)&amp;RIGHT($S1769,2)&amp;"0000"&amp;"|"&amp;"2"&amp;RIGHT("00000"&amp;1764,5))</f>
        <v/>
      </c>
      <c r="U1769">
        <f>IF($T1769="","",COUNTIFS(LdAParty,$P1769,LdAType,1,LdAKey,"&lt;"&amp;$T1769)+COUNTIFS(LdBMember,$P1769,LdBKey,"&lt;"&amp;$T1769)+COUNTIFS(LdCParty,$P1769,LdCKey,"&lt;"&amp;$T1769)+1)</f>
        <v/>
      </c>
      <c r="V1769">
        <f>IF($U1769="","",$P1769&amp;"|"&amp;RIGHT("000000"&amp;$U1769,6))</f>
        <v/>
      </c>
      <c r="W1769">
        <f>IF($T1769="","",COUNTIFS(LdBGroup,$R1769,LdBKey,"&lt;"&amp;$T1769)+1)</f>
        <v/>
      </c>
      <c r="X1769">
        <f>IF($W1769="","",$R1769&amp;"|"&amp;RIGHT("000000"&amp;$W1769,6))</f>
        <v/>
      </c>
      <c r="Y1769">
        <f>IF($P1769="","",IF(Shares!$E1772="",0,Shares!$E1772))</f>
        <v/>
      </c>
      <c r="Z1769">
        <f>IF($P1769="","",Shares!$H1772)</f>
        <v/>
      </c>
      <c r="AE1769">
        <f>IF(OR(Sync!$S1769="",Sync!$P1769=""),"",Sync!$S1769)</f>
        <v/>
      </c>
      <c r="AF1769">
        <f>IF($AE1769="","",IF(ISNUMBER(Sync!$P1769),IF(AND(Sync!$P1769&gt;=10000101,Sync!$P1769&lt;=99991231),INT(Sync!$P1769/10000),""),IFERROR(VALUE(TRIM(LEFT(Sync!$P1769,FIND("/",Sync!$P1769)-1))),"")))</f>
        <v/>
      </c>
      <c r="AG1769">
        <f>IF(OR($AE1769="",$AF1769=""),"",IF(ISNUMBER(Sync!$P1769),INT(MOD(Sync!$P1769,10000)/100),IFERROR(VALUE(TRIM(LEFT(MID(Sync!$P1769,FIND("/",Sync!$P1769)+1,20),FIND("/",MID(Sync!$P1769,FIND("/",Sync!$P1769)+1,20))-1))),"")))</f>
        <v/>
      </c>
      <c r="AH1769">
        <f>IF(OR($AE1769="",$AF1769=""),"",IF(ISNUMBER(Sync!$P1769),MOD(Sync!$P1769,100),IFERROR(VALUE(TRIM(MID(MID(Sync!$P1769,FIND("/",Sync!$P1769)+1,20),FIND("/",MID(Sync!$P1769,FIND("/",Sync!$P1769)+1,20))+1,20))),"")))</f>
        <v/>
      </c>
      <c r="AI1769">
        <f>IF($AE1769="","",IF(OR($AF1769="",$AG1769="",$AH1769="",$AF1769&lt;1300,$AF1769&gt;1500,$AG1769&lt;1,$AG1769&gt;12,$AH1769&lt;1,$AH1769&gt;31),"نامعتبر",RIGHT("0000"&amp;$AF1769,4)&amp;"/"&amp;RIGHT("00"&amp;$AG1769,2)&amp;"/"&amp;RIGHT("00"&amp;$AH1769,2)))</f>
        <v/>
      </c>
      <c r="AJ1769">
        <f>IF($AE1769="","",IF(Sync!$Q1769="","0000",IF(AND(ISNUMBER(Sync!$Q1769),Sync!$Q1769&gt;=0,Sync!$Q1769&lt;1),RIGHT("00"&amp;HOUR(Sync!$Q1769),2)&amp;RIGHT("00"&amp;MINUTE(Sync!$Q1769),2),IFERROR(RIGHT("00"&amp;VALUE(LEFT(Sync!$Q1769,FIND(":",Sync!$Q1769)-1)),2)&amp;RIGHT("00"&amp;VALUE(MID(Sync!$Q1769,FIND(":",Sync!$Q1769)+1,2)),2),"0000"))))</f>
        <v/>
      </c>
      <c r="AK1769">
        <f>IF(OR($AE1769="",$AI1769="",$AI1769="نامعتبر"),"",LEFT($AI1769,4)&amp;MID($AI1769,6,2)&amp;RIGHT($AI1769,2)&amp;$AJ1769&amp;"|"&amp;"3"&amp;RIGHT("00000"&amp;1764,5))</f>
        <v/>
      </c>
      <c r="AL1769">
        <f>IF($AK1769="","",COUNTIFS(LdAParty,$AE1769,LdAType,1,LdAKey,"&lt;"&amp;$AK1769)+COUNTIFS(LdBMember,$AE1769,LdBKey,"&lt;"&amp;$AK1769)+COUNTIFS(LdCParty,$AE1769,LdCKey,"&lt;"&amp;$AK1769)+1)</f>
        <v/>
      </c>
      <c r="AM1769">
        <f>IF($AL1769="","",$AE1769&amp;"|"&amp;RIGHT("000000"&amp;$AL1769,6))</f>
        <v/>
      </c>
      <c r="AN1769">
        <f>IF($AE1769="","",IF(Sync!$W1769="",0,Sync!$W1769))</f>
        <v/>
      </c>
      <c r="AO1769">
        <f>IF($AE1769="","",IF(Sync!$X1769="",0,Sync!$X1769))</f>
        <v/>
      </c>
      <c r="AP1769">
        <f>IF($AE1769="","",Sync!$R1769)</f>
        <v/>
      </c>
      <c r="AQ1769">
        <f>IF($AE1769="","",Sync!$Y1769)</f>
        <v/>
      </c>
    </row>
    <row r="1770">
      <c r="A1770">
        <f>IF(OR(Wages!$B1773="",Wages!$E1773=""),"",Wages!$E1773)</f>
        <v/>
      </c>
      <c r="B1770">
        <f>IF($A1770="","",IF(Wages!$C1773="دستمزد گروهی",2,1))</f>
        <v/>
      </c>
      <c r="C1770">
        <f>IF($A1770="","",IF(ISNUMBER(Wages!$B1773),IF(AND(Wages!$B1773&gt;=10000101,Wages!$B1773&lt;=99991231),INT(Wages!$B1773/10000),""),IFERROR(VALUE(TRIM(LEFT(Wages!$B1773,FIND("/",Wages!$B1773)-1))),"")))</f>
        <v/>
      </c>
      <c r="D1770">
        <f>IF(OR($A1770="",$C1770=""),"",IF(ISNUMBER(Wages!$B1773),INT(MOD(Wages!$B1773,10000)/100),IFERROR(VALUE(TRIM(LEFT(MID(Wages!$B1773,FIND("/",Wages!$B1773)+1,20),FIND("/",MID(Wages!$B1773,FIND("/",Wages!$B1773)+1,20))-1))),"")))</f>
        <v/>
      </c>
      <c r="E1770">
        <f>IF(OR($A1770="",$C1770=""),"",IF(ISNUMBER(Wages!$B1773),MOD(Wages!$B1773,100),IFERROR(VALUE(TRIM(MID(MID(Wages!$B1773,FIND("/",Wages!$B1773)+1,20),FIND("/",MID(Wages!$B1773,FIND("/",Wages!$B1773)+1,20))+1,20))),"")))</f>
        <v/>
      </c>
      <c r="F1770">
        <f>IF($A1770="","",IF(OR($C1770="",$D1770="",$E1770="",$C1770&lt;1300,$C1770&gt;1500,$D1770&lt;1,$D1770&gt;12,$E1770&lt;1,$E1770&gt;31),"نامعتبر",RIGHT("0000"&amp;$C1770,4)&amp;"/"&amp;RIGHT("00"&amp;$D1770,2)&amp;"/"&amp;RIGHT("00"&amp;$E1770,2)))</f>
        <v/>
      </c>
      <c r="G1770">
        <f>IF(OR($A1770="",$F1770="",$F1770="نامعتبر"),"",LEFT($F1770,4)&amp;MID($F1770,6,2)&amp;RIGHT($F1770,2)&amp;"0000"&amp;"|"&amp;"1"&amp;RIGHT("00000"&amp;1765,5))</f>
        <v/>
      </c>
      <c r="H1770">
        <f>IF(OR($B1770&lt;&gt;1,$G1770=""),"",COUNTIFS(LdAParty,$A1770,LdAType,1,LdAKey,"&lt;"&amp;$G1770)+COUNTIFS(LdBMember,$A1770,LdBKey,"&lt;"&amp;$G1770)+COUNTIFS(LdCParty,$A1770,LdCKey,"&lt;"&amp;$G1770)+1)</f>
        <v/>
      </c>
      <c r="I1770">
        <f>IF($H1770="","",$A1770&amp;"|"&amp;RIGHT("000000"&amp;$H1770,6))</f>
        <v/>
      </c>
      <c r="J1770">
        <f>IF(OR($B1770&lt;&gt;2,$G1770=""),"",COUNTIFS(LdAParty,$A1770,LdAType,2,LdAKey,"&lt;"&amp;$G1770)+1)</f>
        <v/>
      </c>
      <c r="K1770">
        <f>IF($J1770="","",$A1770&amp;"|"&amp;RIGHT("000000"&amp;$J1770,6))</f>
        <v/>
      </c>
      <c r="L1770">
        <f>IF($A1770="","",IF(Wages!$G1773="",0,Wages!$G1773))</f>
        <v/>
      </c>
      <c r="M1770">
        <f>IF($A1770="","",Wages!$J1773)</f>
        <v/>
      </c>
      <c r="N1770">
        <f>IF($A1770="","",Wages!$D1773)</f>
        <v/>
      </c>
      <c r="P1770">
        <f>IF(OR(Shares!$B1773="",Shares!$C1773=""),"",Shares!$C1773)</f>
        <v/>
      </c>
      <c r="Q1770">
        <f>IF($P1770="","",Shares!$B1773)</f>
        <v/>
      </c>
      <c r="R1770">
        <f>IF($P1770="","",IFERROR(INDEX(WageParty,MATCH($Q1770,WageIds,0)),""))</f>
        <v/>
      </c>
      <c r="S1770">
        <f>IF($P1770="","",IFERROR(INDEX($F$6:$F$2005,MATCH($Q1770,WageIds,0)),""))</f>
        <v/>
      </c>
      <c r="T1770">
        <f>IF(OR($P1770="",$S1770="",$S1770="نامعتبر"),"",LEFT($S1770,4)&amp;MID($S1770,6,2)&amp;RIGHT($S1770,2)&amp;"0000"&amp;"|"&amp;"2"&amp;RIGHT("00000"&amp;1765,5))</f>
        <v/>
      </c>
      <c r="U1770">
        <f>IF($T1770="","",COUNTIFS(LdAParty,$P1770,LdAType,1,LdAKey,"&lt;"&amp;$T1770)+COUNTIFS(LdBMember,$P1770,LdBKey,"&lt;"&amp;$T1770)+COUNTIFS(LdCParty,$P1770,LdCKey,"&lt;"&amp;$T1770)+1)</f>
        <v/>
      </c>
      <c r="V1770">
        <f>IF($U1770="","",$P1770&amp;"|"&amp;RIGHT("000000"&amp;$U1770,6))</f>
        <v/>
      </c>
      <c r="W1770">
        <f>IF($T1770="","",COUNTIFS(LdBGroup,$R1770,LdBKey,"&lt;"&amp;$T1770)+1)</f>
        <v/>
      </c>
      <c r="X1770">
        <f>IF($W1770="","",$R1770&amp;"|"&amp;RIGHT("000000"&amp;$W1770,6))</f>
        <v/>
      </c>
      <c r="Y1770">
        <f>IF($P1770="","",IF(Shares!$E1773="",0,Shares!$E1773))</f>
        <v/>
      </c>
      <c r="Z1770">
        <f>IF($P1770="","",Shares!$H1773)</f>
        <v/>
      </c>
      <c r="AE1770">
        <f>IF(OR(Sync!$S1770="",Sync!$P1770=""),"",Sync!$S1770)</f>
        <v/>
      </c>
      <c r="AF1770">
        <f>IF($AE1770="","",IF(ISNUMBER(Sync!$P1770),IF(AND(Sync!$P1770&gt;=10000101,Sync!$P1770&lt;=99991231),INT(Sync!$P1770/10000),""),IFERROR(VALUE(TRIM(LEFT(Sync!$P1770,FIND("/",Sync!$P1770)-1))),"")))</f>
        <v/>
      </c>
      <c r="AG1770">
        <f>IF(OR($AE1770="",$AF1770=""),"",IF(ISNUMBER(Sync!$P1770),INT(MOD(Sync!$P1770,10000)/100),IFERROR(VALUE(TRIM(LEFT(MID(Sync!$P1770,FIND("/",Sync!$P1770)+1,20),FIND("/",MID(Sync!$P1770,FIND("/",Sync!$P1770)+1,20))-1))),"")))</f>
        <v/>
      </c>
      <c r="AH1770">
        <f>IF(OR($AE1770="",$AF1770=""),"",IF(ISNUMBER(Sync!$P1770),MOD(Sync!$P1770,100),IFERROR(VALUE(TRIM(MID(MID(Sync!$P1770,FIND("/",Sync!$P1770)+1,20),FIND("/",MID(Sync!$P1770,FIND("/",Sync!$P1770)+1,20))+1,20))),"")))</f>
        <v/>
      </c>
      <c r="AI1770">
        <f>IF($AE1770="","",IF(OR($AF1770="",$AG1770="",$AH1770="",$AF1770&lt;1300,$AF1770&gt;1500,$AG1770&lt;1,$AG1770&gt;12,$AH1770&lt;1,$AH1770&gt;31),"نامعتبر",RIGHT("0000"&amp;$AF1770,4)&amp;"/"&amp;RIGHT("00"&amp;$AG1770,2)&amp;"/"&amp;RIGHT("00"&amp;$AH1770,2)))</f>
        <v/>
      </c>
      <c r="AJ1770">
        <f>IF($AE1770="","",IF(Sync!$Q1770="","0000",IF(AND(ISNUMBER(Sync!$Q1770),Sync!$Q1770&gt;=0,Sync!$Q1770&lt;1),RIGHT("00"&amp;HOUR(Sync!$Q1770),2)&amp;RIGHT("00"&amp;MINUTE(Sync!$Q1770),2),IFERROR(RIGHT("00"&amp;VALUE(LEFT(Sync!$Q1770,FIND(":",Sync!$Q1770)-1)),2)&amp;RIGHT("00"&amp;VALUE(MID(Sync!$Q1770,FIND(":",Sync!$Q1770)+1,2)),2),"0000"))))</f>
        <v/>
      </c>
      <c r="AK1770">
        <f>IF(OR($AE1770="",$AI1770="",$AI1770="نامعتبر"),"",LEFT($AI1770,4)&amp;MID($AI1770,6,2)&amp;RIGHT($AI1770,2)&amp;$AJ1770&amp;"|"&amp;"3"&amp;RIGHT("00000"&amp;1765,5))</f>
        <v/>
      </c>
      <c r="AL1770">
        <f>IF($AK1770="","",COUNTIFS(LdAParty,$AE1770,LdAType,1,LdAKey,"&lt;"&amp;$AK1770)+COUNTIFS(LdBMember,$AE1770,LdBKey,"&lt;"&amp;$AK1770)+COUNTIFS(LdCParty,$AE1770,LdCKey,"&lt;"&amp;$AK1770)+1)</f>
        <v/>
      </c>
      <c r="AM1770">
        <f>IF($AL1770="","",$AE1770&amp;"|"&amp;RIGHT("000000"&amp;$AL1770,6))</f>
        <v/>
      </c>
      <c r="AN1770">
        <f>IF($AE1770="","",IF(Sync!$W1770="",0,Sync!$W1770))</f>
        <v/>
      </c>
      <c r="AO1770">
        <f>IF($AE1770="","",IF(Sync!$X1770="",0,Sync!$X1770))</f>
        <v/>
      </c>
      <c r="AP1770">
        <f>IF($AE1770="","",Sync!$R1770)</f>
        <v/>
      </c>
      <c r="AQ1770">
        <f>IF($AE1770="","",Sync!$Y1770)</f>
        <v/>
      </c>
    </row>
    <row r="1771">
      <c r="A1771">
        <f>IF(OR(Wages!$B1774="",Wages!$E1774=""),"",Wages!$E1774)</f>
        <v/>
      </c>
      <c r="B1771">
        <f>IF($A1771="","",IF(Wages!$C1774="دستمزد گروهی",2,1))</f>
        <v/>
      </c>
      <c r="C1771">
        <f>IF($A1771="","",IF(ISNUMBER(Wages!$B1774),IF(AND(Wages!$B1774&gt;=10000101,Wages!$B1774&lt;=99991231),INT(Wages!$B1774/10000),""),IFERROR(VALUE(TRIM(LEFT(Wages!$B1774,FIND("/",Wages!$B1774)-1))),"")))</f>
        <v/>
      </c>
      <c r="D1771">
        <f>IF(OR($A1771="",$C1771=""),"",IF(ISNUMBER(Wages!$B1774),INT(MOD(Wages!$B1774,10000)/100),IFERROR(VALUE(TRIM(LEFT(MID(Wages!$B1774,FIND("/",Wages!$B1774)+1,20),FIND("/",MID(Wages!$B1774,FIND("/",Wages!$B1774)+1,20))-1))),"")))</f>
        <v/>
      </c>
      <c r="E1771">
        <f>IF(OR($A1771="",$C1771=""),"",IF(ISNUMBER(Wages!$B1774),MOD(Wages!$B1774,100),IFERROR(VALUE(TRIM(MID(MID(Wages!$B1774,FIND("/",Wages!$B1774)+1,20),FIND("/",MID(Wages!$B1774,FIND("/",Wages!$B1774)+1,20))+1,20))),"")))</f>
        <v/>
      </c>
      <c r="F1771">
        <f>IF($A1771="","",IF(OR($C1771="",$D1771="",$E1771="",$C1771&lt;1300,$C1771&gt;1500,$D1771&lt;1,$D1771&gt;12,$E1771&lt;1,$E1771&gt;31),"نامعتبر",RIGHT("0000"&amp;$C1771,4)&amp;"/"&amp;RIGHT("00"&amp;$D1771,2)&amp;"/"&amp;RIGHT("00"&amp;$E1771,2)))</f>
        <v/>
      </c>
      <c r="G1771">
        <f>IF(OR($A1771="",$F1771="",$F1771="نامعتبر"),"",LEFT($F1771,4)&amp;MID($F1771,6,2)&amp;RIGHT($F1771,2)&amp;"0000"&amp;"|"&amp;"1"&amp;RIGHT("00000"&amp;1766,5))</f>
        <v/>
      </c>
      <c r="H1771">
        <f>IF(OR($B1771&lt;&gt;1,$G1771=""),"",COUNTIFS(LdAParty,$A1771,LdAType,1,LdAKey,"&lt;"&amp;$G1771)+COUNTIFS(LdBMember,$A1771,LdBKey,"&lt;"&amp;$G1771)+COUNTIFS(LdCParty,$A1771,LdCKey,"&lt;"&amp;$G1771)+1)</f>
        <v/>
      </c>
      <c r="I1771">
        <f>IF($H1771="","",$A1771&amp;"|"&amp;RIGHT("000000"&amp;$H1771,6))</f>
        <v/>
      </c>
      <c r="J1771">
        <f>IF(OR($B1771&lt;&gt;2,$G1771=""),"",COUNTIFS(LdAParty,$A1771,LdAType,2,LdAKey,"&lt;"&amp;$G1771)+1)</f>
        <v/>
      </c>
      <c r="K1771">
        <f>IF($J1771="","",$A1771&amp;"|"&amp;RIGHT("000000"&amp;$J1771,6))</f>
        <v/>
      </c>
      <c r="L1771">
        <f>IF($A1771="","",IF(Wages!$G1774="",0,Wages!$G1774))</f>
        <v/>
      </c>
      <c r="M1771">
        <f>IF($A1771="","",Wages!$J1774)</f>
        <v/>
      </c>
      <c r="N1771">
        <f>IF($A1771="","",Wages!$D1774)</f>
        <v/>
      </c>
      <c r="P1771">
        <f>IF(OR(Shares!$B1774="",Shares!$C1774=""),"",Shares!$C1774)</f>
        <v/>
      </c>
      <c r="Q1771">
        <f>IF($P1771="","",Shares!$B1774)</f>
        <v/>
      </c>
      <c r="R1771">
        <f>IF($P1771="","",IFERROR(INDEX(WageParty,MATCH($Q1771,WageIds,0)),""))</f>
        <v/>
      </c>
      <c r="S1771">
        <f>IF($P1771="","",IFERROR(INDEX($F$6:$F$2005,MATCH($Q1771,WageIds,0)),""))</f>
        <v/>
      </c>
      <c r="T1771">
        <f>IF(OR($P1771="",$S1771="",$S1771="نامعتبر"),"",LEFT($S1771,4)&amp;MID($S1771,6,2)&amp;RIGHT($S1771,2)&amp;"0000"&amp;"|"&amp;"2"&amp;RIGHT("00000"&amp;1766,5))</f>
        <v/>
      </c>
      <c r="U1771">
        <f>IF($T1771="","",COUNTIFS(LdAParty,$P1771,LdAType,1,LdAKey,"&lt;"&amp;$T1771)+COUNTIFS(LdBMember,$P1771,LdBKey,"&lt;"&amp;$T1771)+COUNTIFS(LdCParty,$P1771,LdCKey,"&lt;"&amp;$T1771)+1)</f>
        <v/>
      </c>
      <c r="V1771">
        <f>IF($U1771="","",$P1771&amp;"|"&amp;RIGHT("000000"&amp;$U1771,6))</f>
        <v/>
      </c>
      <c r="W1771">
        <f>IF($T1771="","",COUNTIFS(LdBGroup,$R1771,LdBKey,"&lt;"&amp;$T1771)+1)</f>
        <v/>
      </c>
      <c r="X1771">
        <f>IF($W1771="","",$R1771&amp;"|"&amp;RIGHT("000000"&amp;$W1771,6))</f>
        <v/>
      </c>
      <c r="Y1771">
        <f>IF($P1771="","",IF(Shares!$E1774="",0,Shares!$E1774))</f>
        <v/>
      </c>
      <c r="Z1771">
        <f>IF($P1771="","",Shares!$H1774)</f>
        <v/>
      </c>
      <c r="AE1771">
        <f>IF(OR(Sync!$S1771="",Sync!$P1771=""),"",Sync!$S1771)</f>
        <v/>
      </c>
      <c r="AF1771">
        <f>IF($AE1771="","",IF(ISNUMBER(Sync!$P1771),IF(AND(Sync!$P1771&gt;=10000101,Sync!$P1771&lt;=99991231),INT(Sync!$P1771/10000),""),IFERROR(VALUE(TRIM(LEFT(Sync!$P1771,FIND("/",Sync!$P1771)-1))),"")))</f>
        <v/>
      </c>
      <c r="AG1771">
        <f>IF(OR($AE1771="",$AF1771=""),"",IF(ISNUMBER(Sync!$P1771),INT(MOD(Sync!$P1771,10000)/100),IFERROR(VALUE(TRIM(LEFT(MID(Sync!$P1771,FIND("/",Sync!$P1771)+1,20),FIND("/",MID(Sync!$P1771,FIND("/",Sync!$P1771)+1,20))-1))),"")))</f>
        <v/>
      </c>
      <c r="AH1771">
        <f>IF(OR($AE1771="",$AF1771=""),"",IF(ISNUMBER(Sync!$P1771),MOD(Sync!$P1771,100),IFERROR(VALUE(TRIM(MID(MID(Sync!$P1771,FIND("/",Sync!$P1771)+1,20),FIND("/",MID(Sync!$P1771,FIND("/",Sync!$P1771)+1,20))+1,20))),"")))</f>
        <v/>
      </c>
      <c r="AI1771">
        <f>IF($AE1771="","",IF(OR($AF1771="",$AG1771="",$AH1771="",$AF1771&lt;1300,$AF1771&gt;1500,$AG1771&lt;1,$AG1771&gt;12,$AH1771&lt;1,$AH1771&gt;31),"نامعتبر",RIGHT("0000"&amp;$AF1771,4)&amp;"/"&amp;RIGHT("00"&amp;$AG1771,2)&amp;"/"&amp;RIGHT("00"&amp;$AH1771,2)))</f>
        <v/>
      </c>
      <c r="AJ1771">
        <f>IF($AE1771="","",IF(Sync!$Q1771="","0000",IF(AND(ISNUMBER(Sync!$Q1771),Sync!$Q1771&gt;=0,Sync!$Q1771&lt;1),RIGHT("00"&amp;HOUR(Sync!$Q1771),2)&amp;RIGHT("00"&amp;MINUTE(Sync!$Q1771),2),IFERROR(RIGHT("00"&amp;VALUE(LEFT(Sync!$Q1771,FIND(":",Sync!$Q1771)-1)),2)&amp;RIGHT("00"&amp;VALUE(MID(Sync!$Q1771,FIND(":",Sync!$Q1771)+1,2)),2),"0000"))))</f>
        <v/>
      </c>
      <c r="AK1771">
        <f>IF(OR($AE1771="",$AI1771="",$AI1771="نامعتبر"),"",LEFT($AI1771,4)&amp;MID($AI1771,6,2)&amp;RIGHT($AI1771,2)&amp;$AJ1771&amp;"|"&amp;"3"&amp;RIGHT("00000"&amp;1766,5))</f>
        <v/>
      </c>
      <c r="AL1771">
        <f>IF($AK1771="","",COUNTIFS(LdAParty,$AE1771,LdAType,1,LdAKey,"&lt;"&amp;$AK1771)+COUNTIFS(LdBMember,$AE1771,LdBKey,"&lt;"&amp;$AK1771)+COUNTIFS(LdCParty,$AE1771,LdCKey,"&lt;"&amp;$AK1771)+1)</f>
        <v/>
      </c>
      <c r="AM1771">
        <f>IF($AL1771="","",$AE1771&amp;"|"&amp;RIGHT("000000"&amp;$AL1771,6))</f>
        <v/>
      </c>
      <c r="AN1771">
        <f>IF($AE1771="","",IF(Sync!$W1771="",0,Sync!$W1771))</f>
        <v/>
      </c>
      <c r="AO1771">
        <f>IF($AE1771="","",IF(Sync!$X1771="",0,Sync!$X1771))</f>
        <v/>
      </c>
      <c r="AP1771">
        <f>IF($AE1771="","",Sync!$R1771)</f>
        <v/>
      </c>
      <c r="AQ1771">
        <f>IF($AE1771="","",Sync!$Y1771)</f>
        <v/>
      </c>
    </row>
    <row r="1772">
      <c r="A1772">
        <f>IF(OR(Wages!$B1775="",Wages!$E1775=""),"",Wages!$E1775)</f>
        <v/>
      </c>
      <c r="B1772">
        <f>IF($A1772="","",IF(Wages!$C1775="دستمزد گروهی",2,1))</f>
        <v/>
      </c>
      <c r="C1772">
        <f>IF($A1772="","",IF(ISNUMBER(Wages!$B1775),IF(AND(Wages!$B1775&gt;=10000101,Wages!$B1775&lt;=99991231),INT(Wages!$B1775/10000),""),IFERROR(VALUE(TRIM(LEFT(Wages!$B1775,FIND("/",Wages!$B1775)-1))),"")))</f>
        <v/>
      </c>
      <c r="D1772">
        <f>IF(OR($A1772="",$C1772=""),"",IF(ISNUMBER(Wages!$B1775),INT(MOD(Wages!$B1775,10000)/100),IFERROR(VALUE(TRIM(LEFT(MID(Wages!$B1775,FIND("/",Wages!$B1775)+1,20),FIND("/",MID(Wages!$B1775,FIND("/",Wages!$B1775)+1,20))-1))),"")))</f>
        <v/>
      </c>
      <c r="E1772">
        <f>IF(OR($A1772="",$C1772=""),"",IF(ISNUMBER(Wages!$B1775),MOD(Wages!$B1775,100),IFERROR(VALUE(TRIM(MID(MID(Wages!$B1775,FIND("/",Wages!$B1775)+1,20),FIND("/",MID(Wages!$B1775,FIND("/",Wages!$B1775)+1,20))+1,20))),"")))</f>
        <v/>
      </c>
      <c r="F1772">
        <f>IF($A1772="","",IF(OR($C1772="",$D1772="",$E1772="",$C1772&lt;1300,$C1772&gt;1500,$D1772&lt;1,$D1772&gt;12,$E1772&lt;1,$E1772&gt;31),"نامعتبر",RIGHT("0000"&amp;$C1772,4)&amp;"/"&amp;RIGHT("00"&amp;$D1772,2)&amp;"/"&amp;RIGHT("00"&amp;$E1772,2)))</f>
        <v/>
      </c>
      <c r="G1772">
        <f>IF(OR($A1772="",$F1772="",$F1772="نامعتبر"),"",LEFT($F1772,4)&amp;MID($F1772,6,2)&amp;RIGHT($F1772,2)&amp;"0000"&amp;"|"&amp;"1"&amp;RIGHT("00000"&amp;1767,5))</f>
        <v/>
      </c>
      <c r="H1772">
        <f>IF(OR($B1772&lt;&gt;1,$G1772=""),"",COUNTIFS(LdAParty,$A1772,LdAType,1,LdAKey,"&lt;"&amp;$G1772)+COUNTIFS(LdBMember,$A1772,LdBKey,"&lt;"&amp;$G1772)+COUNTIFS(LdCParty,$A1772,LdCKey,"&lt;"&amp;$G1772)+1)</f>
        <v/>
      </c>
      <c r="I1772">
        <f>IF($H1772="","",$A1772&amp;"|"&amp;RIGHT("000000"&amp;$H1772,6))</f>
        <v/>
      </c>
      <c r="J1772">
        <f>IF(OR($B1772&lt;&gt;2,$G1772=""),"",COUNTIFS(LdAParty,$A1772,LdAType,2,LdAKey,"&lt;"&amp;$G1772)+1)</f>
        <v/>
      </c>
      <c r="K1772">
        <f>IF($J1772="","",$A1772&amp;"|"&amp;RIGHT("000000"&amp;$J1772,6))</f>
        <v/>
      </c>
      <c r="L1772">
        <f>IF($A1772="","",IF(Wages!$G1775="",0,Wages!$G1775))</f>
        <v/>
      </c>
      <c r="M1772">
        <f>IF($A1772="","",Wages!$J1775)</f>
        <v/>
      </c>
      <c r="N1772">
        <f>IF($A1772="","",Wages!$D1775)</f>
        <v/>
      </c>
      <c r="P1772">
        <f>IF(OR(Shares!$B1775="",Shares!$C1775=""),"",Shares!$C1775)</f>
        <v/>
      </c>
      <c r="Q1772">
        <f>IF($P1772="","",Shares!$B1775)</f>
        <v/>
      </c>
      <c r="R1772">
        <f>IF($P1772="","",IFERROR(INDEX(WageParty,MATCH($Q1772,WageIds,0)),""))</f>
        <v/>
      </c>
      <c r="S1772">
        <f>IF($P1772="","",IFERROR(INDEX($F$6:$F$2005,MATCH($Q1772,WageIds,0)),""))</f>
        <v/>
      </c>
      <c r="T1772">
        <f>IF(OR($P1772="",$S1772="",$S1772="نامعتبر"),"",LEFT($S1772,4)&amp;MID($S1772,6,2)&amp;RIGHT($S1772,2)&amp;"0000"&amp;"|"&amp;"2"&amp;RIGHT("00000"&amp;1767,5))</f>
        <v/>
      </c>
      <c r="U1772">
        <f>IF($T1772="","",COUNTIFS(LdAParty,$P1772,LdAType,1,LdAKey,"&lt;"&amp;$T1772)+COUNTIFS(LdBMember,$P1772,LdBKey,"&lt;"&amp;$T1772)+COUNTIFS(LdCParty,$P1772,LdCKey,"&lt;"&amp;$T1772)+1)</f>
        <v/>
      </c>
      <c r="V1772">
        <f>IF($U1772="","",$P1772&amp;"|"&amp;RIGHT("000000"&amp;$U1772,6))</f>
        <v/>
      </c>
      <c r="W1772">
        <f>IF($T1772="","",COUNTIFS(LdBGroup,$R1772,LdBKey,"&lt;"&amp;$T1772)+1)</f>
        <v/>
      </c>
      <c r="X1772">
        <f>IF($W1772="","",$R1772&amp;"|"&amp;RIGHT("000000"&amp;$W1772,6))</f>
        <v/>
      </c>
      <c r="Y1772">
        <f>IF($P1772="","",IF(Shares!$E1775="",0,Shares!$E1775))</f>
        <v/>
      </c>
      <c r="Z1772">
        <f>IF($P1772="","",Shares!$H1775)</f>
        <v/>
      </c>
      <c r="AE1772">
        <f>IF(OR(Sync!$S1772="",Sync!$P1772=""),"",Sync!$S1772)</f>
        <v/>
      </c>
      <c r="AF1772">
        <f>IF($AE1772="","",IF(ISNUMBER(Sync!$P1772),IF(AND(Sync!$P1772&gt;=10000101,Sync!$P1772&lt;=99991231),INT(Sync!$P1772/10000),""),IFERROR(VALUE(TRIM(LEFT(Sync!$P1772,FIND("/",Sync!$P1772)-1))),"")))</f>
        <v/>
      </c>
      <c r="AG1772">
        <f>IF(OR($AE1772="",$AF1772=""),"",IF(ISNUMBER(Sync!$P1772),INT(MOD(Sync!$P1772,10000)/100),IFERROR(VALUE(TRIM(LEFT(MID(Sync!$P1772,FIND("/",Sync!$P1772)+1,20),FIND("/",MID(Sync!$P1772,FIND("/",Sync!$P1772)+1,20))-1))),"")))</f>
        <v/>
      </c>
      <c r="AH1772">
        <f>IF(OR($AE1772="",$AF1772=""),"",IF(ISNUMBER(Sync!$P1772),MOD(Sync!$P1772,100),IFERROR(VALUE(TRIM(MID(MID(Sync!$P1772,FIND("/",Sync!$P1772)+1,20),FIND("/",MID(Sync!$P1772,FIND("/",Sync!$P1772)+1,20))+1,20))),"")))</f>
        <v/>
      </c>
      <c r="AI1772">
        <f>IF($AE1772="","",IF(OR($AF1772="",$AG1772="",$AH1772="",$AF1772&lt;1300,$AF1772&gt;1500,$AG1772&lt;1,$AG1772&gt;12,$AH1772&lt;1,$AH1772&gt;31),"نامعتبر",RIGHT("0000"&amp;$AF1772,4)&amp;"/"&amp;RIGHT("00"&amp;$AG1772,2)&amp;"/"&amp;RIGHT("00"&amp;$AH1772,2)))</f>
        <v/>
      </c>
      <c r="AJ1772">
        <f>IF($AE1772="","",IF(Sync!$Q1772="","0000",IF(AND(ISNUMBER(Sync!$Q1772),Sync!$Q1772&gt;=0,Sync!$Q1772&lt;1),RIGHT("00"&amp;HOUR(Sync!$Q1772),2)&amp;RIGHT("00"&amp;MINUTE(Sync!$Q1772),2),IFERROR(RIGHT("00"&amp;VALUE(LEFT(Sync!$Q1772,FIND(":",Sync!$Q1772)-1)),2)&amp;RIGHT("00"&amp;VALUE(MID(Sync!$Q1772,FIND(":",Sync!$Q1772)+1,2)),2),"0000"))))</f>
        <v/>
      </c>
      <c r="AK1772">
        <f>IF(OR($AE1772="",$AI1772="",$AI1772="نامعتبر"),"",LEFT($AI1772,4)&amp;MID($AI1772,6,2)&amp;RIGHT($AI1772,2)&amp;$AJ1772&amp;"|"&amp;"3"&amp;RIGHT("00000"&amp;1767,5))</f>
        <v/>
      </c>
      <c r="AL1772">
        <f>IF($AK1772="","",COUNTIFS(LdAParty,$AE1772,LdAType,1,LdAKey,"&lt;"&amp;$AK1772)+COUNTIFS(LdBMember,$AE1772,LdBKey,"&lt;"&amp;$AK1772)+COUNTIFS(LdCParty,$AE1772,LdCKey,"&lt;"&amp;$AK1772)+1)</f>
        <v/>
      </c>
      <c r="AM1772">
        <f>IF($AL1772="","",$AE1772&amp;"|"&amp;RIGHT("000000"&amp;$AL1772,6))</f>
        <v/>
      </c>
      <c r="AN1772">
        <f>IF($AE1772="","",IF(Sync!$W1772="",0,Sync!$W1772))</f>
        <v/>
      </c>
      <c r="AO1772">
        <f>IF($AE1772="","",IF(Sync!$X1772="",0,Sync!$X1772))</f>
        <v/>
      </c>
      <c r="AP1772">
        <f>IF($AE1772="","",Sync!$R1772)</f>
        <v/>
      </c>
      <c r="AQ1772">
        <f>IF($AE1772="","",Sync!$Y1772)</f>
        <v/>
      </c>
    </row>
    <row r="1773">
      <c r="A1773">
        <f>IF(OR(Wages!$B1776="",Wages!$E1776=""),"",Wages!$E1776)</f>
        <v/>
      </c>
      <c r="B1773">
        <f>IF($A1773="","",IF(Wages!$C1776="دستمزد گروهی",2,1))</f>
        <v/>
      </c>
      <c r="C1773">
        <f>IF($A1773="","",IF(ISNUMBER(Wages!$B1776),IF(AND(Wages!$B1776&gt;=10000101,Wages!$B1776&lt;=99991231),INT(Wages!$B1776/10000),""),IFERROR(VALUE(TRIM(LEFT(Wages!$B1776,FIND("/",Wages!$B1776)-1))),"")))</f>
        <v/>
      </c>
      <c r="D1773">
        <f>IF(OR($A1773="",$C1773=""),"",IF(ISNUMBER(Wages!$B1776),INT(MOD(Wages!$B1776,10000)/100),IFERROR(VALUE(TRIM(LEFT(MID(Wages!$B1776,FIND("/",Wages!$B1776)+1,20),FIND("/",MID(Wages!$B1776,FIND("/",Wages!$B1776)+1,20))-1))),"")))</f>
        <v/>
      </c>
      <c r="E1773">
        <f>IF(OR($A1773="",$C1773=""),"",IF(ISNUMBER(Wages!$B1776),MOD(Wages!$B1776,100),IFERROR(VALUE(TRIM(MID(MID(Wages!$B1776,FIND("/",Wages!$B1776)+1,20),FIND("/",MID(Wages!$B1776,FIND("/",Wages!$B1776)+1,20))+1,20))),"")))</f>
        <v/>
      </c>
      <c r="F1773">
        <f>IF($A1773="","",IF(OR($C1773="",$D1773="",$E1773="",$C1773&lt;1300,$C1773&gt;1500,$D1773&lt;1,$D1773&gt;12,$E1773&lt;1,$E1773&gt;31),"نامعتبر",RIGHT("0000"&amp;$C1773,4)&amp;"/"&amp;RIGHT("00"&amp;$D1773,2)&amp;"/"&amp;RIGHT("00"&amp;$E1773,2)))</f>
        <v/>
      </c>
      <c r="G1773">
        <f>IF(OR($A1773="",$F1773="",$F1773="نامعتبر"),"",LEFT($F1773,4)&amp;MID($F1773,6,2)&amp;RIGHT($F1773,2)&amp;"0000"&amp;"|"&amp;"1"&amp;RIGHT("00000"&amp;1768,5))</f>
        <v/>
      </c>
      <c r="H1773">
        <f>IF(OR($B1773&lt;&gt;1,$G1773=""),"",COUNTIFS(LdAParty,$A1773,LdAType,1,LdAKey,"&lt;"&amp;$G1773)+COUNTIFS(LdBMember,$A1773,LdBKey,"&lt;"&amp;$G1773)+COUNTIFS(LdCParty,$A1773,LdCKey,"&lt;"&amp;$G1773)+1)</f>
        <v/>
      </c>
      <c r="I1773">
        <f>IF($H1773="","",$A1773&amp;"|"&amp;RIGHT("000000"&amp;$H1773,6))</f>
        <v/>
      </c>
      <c r="J1773">
        <f>IF(OR($B1773&lt;&gt;2,$G1773=""),"",COUNTIFS(LdAParty,$A1773,LdAType,2,LdAKey,"&lt;"&amp;$G1773)+1)</f>
        <v/>
      </c>
      <c r="K1773">
        <f>IF($J1773="","",$A1773&amp;"|"&amp;RIGHT("000000"&amp;$J1773,6))</f>
        <v/>
      </c>
      <c r="L1773">
        <f>IF($A1773="","",IF(Wages!$G1776="",0,Wages!$G1776))</f>
        <v/>
      </c>
      <c r="M1773">
        <f>IF($A1773="","",Wages!$J1776)</f>
        <v/>
      </c>
      <c r="N1773">
        <f>IF($A1773="","",Wages!$D1776)</f>
        <v/>
      </c>
      <c r="P1773">
        <f>IF(OR(Shares!$B1776="",Shares!$C1776=""),"",Shares!$C1776)</f>
        <v/>
      </c>
      <c r="Q1773">
        <f>IF($P1773="","",Shares!$B1776)</f>
        <v/>
      </c>
      <c r="R1773">
        <f>IF($P1773="","",IFERROR(INDEX(WageParty,MATCH($Q1773,WageIds,0)),""))</f>
        <v/>
      </c>
      <c r="S1773">
        <f>IF($P1773="","",IFERROR(INDEX($F$6:$F$2005,MATCH($Q1773,WageIds,0)),""))</f>
        <v/>
      </c>
      <c r="T1773">
        <f>IF(OR($P1773="",$S1773="",$S1773="نامعتبر"),"",LEFT($S1773,4)&amp;MID($S1773,6,2)&amp;RIGHT($S1773,2)&amp;"0000"&amp;"|"&amp;"2"&amp;RIGHT("00000"&amp;1768,5))</f>
        <v/>
      </c>
      <c r="U1773">
        <f>IF($T1773="","",COUNTIFS(LdAParty,$P1773,LdAType,1,LdAKey,"&lt;"&amp;$T1773)+COUNTIFS(LdBMember,$P1773,LdBKey,"&lt;"&amp;$T1773)+COUNTIFS(LdCParty,$P1773,LdCKey,"&lt;"&amp;$T1773)+1)</f>
        <v/>
      </c>
      <c r="V1773">
        <f>IF($U1773="","",$P1773&amp;"|"&amp;RIGHT("000000"&amp;$U1773,6))</f>
        <v/>
      </c>
      <c r="W1773">
        <f>IF($T1773="","",COUNTIFS(LdBGroup,$R1773,LdBKey,"&lt;"&amp;$T1773)+1)</f>
        <v/>
      </c>
      <c r="X1773">
        <f>IF($W1773="","",$R1773&amp;"|"&amp;RIGHT("000000"&amp;$W1773,6))</f>
        <v/>
      </c>
      <c r="Y1773">
        <f>IF($P1773="","",IF(Shares!$E1776="",0,Shares!$E1776))</f>
        <v/>
      </c>
      <c r="Z1773">
        <f>IF($P1773="","",Shares!$H1776)</f>
        <v/>
      </c>
      <c r="AE1773">
        <f>IF(OR(Sync!$S1773="",Sync!$P1773=""),"",Sync!$S1773)</f>
        <v/>
      </c>
      <c r="AF1773">
        <f>IF($AE1773="","",IF(ISNUMBER(Sync!$P1773),IF(AND(Sync!$P1773&gt;=10000101,Sync!$P1773&lt;=99991231),INT(Sync!$P1773/10000),""),IFERROR(VALUE(TRIM(LEFT(Sync!$P1773,FIND("/",Sync!$P1773)-1))),"")))</f>
        <v/>
      </c>
      <c r="AG1773">
        <f>IF(OR($AE1773="",$AF1773=""),"",IF(ISNUMBER(Sync!$P1773),INT(MOD(Sync!$P1773,10000)/100),IFERROR(VALUE(TRIM(LEFT(MID(Sync!$P1773,FIND("/",Sync!$P1773)+1,20),FIND("/",MID(Sync!$P1773,FIND("/",Sync!$P1773)+1,20))-1))),"")))</f>
        <v/>
      </c>
      <c r="AH1773">
        <f>IF(OR($AE1773="",$AF1773=""),"",IF(ISNUMBER(Sync!$P1773),MOD(Sync!$P1773,100),IFERROR(VALUE(TRIM(MID(MID(Sync!$P1773,FIND("/",Sync!$P1773)+1,20),FIND("/",MID(Sync!$P1773,FIND("/",Sync!$P1773)+1,20))+1,20))),"")))</f>
        <v/>
      </c>
      <c r="AI1773">
        <f>IF($AE1773="","",IF(OR($AF1773="",$AG1773="",$AH1773="",$AF1773&lt;1300,$AF1773&gt;1500,$AG1773&lt;1,$AG1773&gt;12,$AH1773&lt;1,$AH1773&gt;31),"نامعتبر",RIGHT("0000"&amp;$AF1773,4)&amp;"/"&amp;RIGHT("00"&amp;$AG1773,2)&amp;"/"&amp;RIGHT("00"&amp;$AH1773,2)))</f>
        <v/>
      </c>
      <c r="AJ1773">
        <f>IF($AE1773="","",IF(Sync!$Q1773="","0000",IF(AND(ISNUMBER(Sync!$Q1773),Sync!$Q1773&gt;=0,Sync!$Q1773&lt;1),RIGHT("00"&amp;HOUR(Sync!$Q1773),2)&amp;RIGHT("00"&amp;MINUTE(Sync!$Q1773),2),IFERROR(RIGHT("00"&amp;VALUE(LEFT(Sync!$Q1773,FIND(":",Sync!$Q1773)-1)),2)&amp;RIGHT("00"&amp;VALUE(MID(Sync!$Q1773,FIND(":",Sync!$Q1773)+1,2)),2),"0000"))))</f>
        <v/>
      </c>
      <c r="AK1773">
        <f>IF(OR($AE1773="",$AI1773="",$AI1773="نامعتبر"),"",LEFT($AI1773,4)&amp;MID($AI1773,6,2)&amp;RIGHT($AI1773,2)&amp;$AJ1773&amp;"|"&amp;"3"&amp;RIGHT("00000"&amp;1768,5))</f>
        <v/>
      </c>
      <c r="AL1773">
        <f>IF($AK1773="","",COUNTIFS(LdAParty,$AE1773,LdAType,1,LdAKey,"&lt;"&amp;$AK1773)+COUNTIFS(LdBMember,$AE1773,LdBKey,"&lt;"&amp;$AK1773)+COUNTIFS(LdCParty,$AE1773,LdCKey,"&lt;"&amp;$AK1773)+1)</f>
        <v/>
      </c>
      <c r="AM1773">
        <f>IF($AL1773="","",$AE1773&amp;"|"&amp;RIGHT("000000"&amp;$AL1773,6))</f>
        <v/>
      </c>
      <c r="AN1773">
        <f>IF($AE1773="","",IF(Sync!$W1773="",0,Sync!$W1773))</f>
        <v/>
      </c>
      <c r="AO1773">
        <f>IF($AE1773="","",IF(Sync!$X1773="",0,Sync!$X1773))</f>
        <v/>
      </c>
      <c r="AP1773">
        <f>IF($AE1773="","",Sync!$R1773)</f>
        <v/>
      </c>
      <c r="AQ1773">
        <f>IF($AE1773="","",Sync!$Y1773)</f>
        <v/>
      </c>
    </row>
    <row r="1774">
      <c r="A1774">
        <f>IF(OR(Wages!$B1777="",Wages!$E1777=""),"",Wages!$E1777)</f>
        <v/>
      </c>
      <c r="B1774">
        <f>IF($A1774="","",IF(Wages!$C1777="دستمزد گروهی",2,1))</f>
        <v/>
      </c>
      <c r="C1774">
        <f>IF($A1774="","",IF(ISNUMBER(Wages!$B1777),IF(AND(Wages!$B1777&gt;=10000101,Wages!$B1777&lt;=99991231),INT(Wages!$B1777/10000),""),IFERROR(VALUE(TRIM(LEFT(Wages!$B1777,FIND("/",Wages!$B1777)-1))),"")))</f>
        <v/>
      </c>
      <c r="D1774">
        <f>IF(OR($A1774="",$C1774=""),"",IF(ISNUMBER(Wages!$B1777),INT(MOD(Wages!$B1777,10000)/100),IFERROR(VALUE(TRIM(LEFT(MID(Wages!$B1777,FIND("/",Wages!$B1777)+1,20),FIND("/",MID(Wages!$B1777,FIND("/",Wages!$B1777)+1,20))-1))),"")))</f>
        <v/>
      </c>
      <c r="E1774">
        <f>IF(OR($A1774="",$C1774=""),"",IF(ISNUMBER(Wages!$B1777),MOD(Wages!$B1777,100),IFERROR(VALUE(TRIM(MID(MID(Wages!$B1777,FIND("/",Wages!$B1777)+1,20),FIND("/",MID(Wages!$B1777,FIND("/",Wages!$B1777)+1,20))+1,20))),"")))</f>
        <v/>
      </c>
      <c r="F1774">
        <f>IF($A1774="","",IF(OR($C1774="",$D1774="",$E1774="",$C1774&lt;1300,$C1774&gt;1500,$D1774&lt;1,$D1774&gt;12,$E1774&lt;1,$E1774&gt;31),"نامعتبر",RIGHT("0000"&amp;$C1774,4)&amp;"/"&amp;RIGHT("00"&amp;$D1774,2)&amp;"/"&amp;RIGHT("00"&amp;$E1774,2)))</f>
        <v/>
      </c>
      <c r="G1774">
        <f>IF(OR($A1774="",$F1774="",$F1774="نامعتبر"),"",LEFT($F1774,4)&amp;MID($F1774,6,2)&amp;RIGHT($F1774,2)&amp;"0000"&amp;"|"&amp;"1"&amp;RIGHT("00000"&amp;1769,5))</f>
        <v/>
      </c>
      <c r="H1774">
        <f>IF(OR($B1774&lt;&gt;1,$G1774=""),"",COUNTIFS(LdAParty,$A1774,LdAType,1,LdAKey,"&lt;"&amp;$G1774)+COUNTIFS(LdBMember,$A1774,LdBKey,"&lt;"&amp;$G1774)+COUNTIFS(LdCParty,$A1774,LdCKey,"&lt;"&amp;$G1774)+1)</f>
        <v/>
      </c>
      <c r="I1774">
        <f>IF($H1774="","",$A1774&amp;"|"&amp;RIGHT("000000"&amp;$H1774,6))</f>
        <v/>
      </c>
      <c r="J1774">
        <f>IF(OR($B1774&lt;&gt;2,$G1774=""),"",COUNTIFS(LdAParty,$A1774,LdAType,2,LdAKey,"&lt;"&amp;$G1774)+1)</f>
        <v/>
      </c>
      <c r="K1774">
        <f>IF($J1774="","",$A1774&amp;"|"&amp;RIGHT("000000"&amp;$J1774,6))</f>
        <v/>
      </c>
      <c r="L1774">
        <f>IF($A1774="","",IF(Wages!$G1777="",0,Wages!$G1777))</f>
        <v/>
      </c>
      <c r="M1774">
        <f>IF($A1774="","",Wages!$J1777)</f>
        <v/>
      </c>
      <c r="N1774">
        <f>IF($A1774="","",Wages!$D1777)</f>
        <v/>
      </c>
      <c r="P1774">
        <f>IF(OR(Shares!$B1777="",Shares!$C1777=""),"",Shares!$C1777)</f>
        <v/>
      </c>
      <c r="Q1774">
        <f>IF($P1774="","",Shares!$B1777)</f>
        <v/>
      </c>
      <c r="R1774">
        <f>IF($P1774="","",IFERROR(INDEX(WageParty,MATCH($Q1774,WageIds,0)),""))</f>
        <v/>
      </c>
      <c r="S1774">
        <f>IF($P1774="","",IFERROR(INDEX($F$6:$F$2005,MATCH($Q1774,WageIds,0)),""))</f>
        <v/>
      </c>
      <c r="T1774">
        <f>IF(OR($P1774="",$S1774="",$S1774="نامعتبر"),"",LEFT($S1774,4)&amp;MID($S1774,6,2)&amp;RIGHT($S1774,2)&amp;"0000"&amp;"|"&amp;"2"&amp;RIGHT("00000"&amp;1769,5))</f>
        <v/>
      </c>
      <c r="U1774">
        <f>IF($T1774="","",COUNTIFS(LdAParty,$P1774,LdAType,1,LdAKey,"&lt;"&amp;$T1774)+COUNTIFS(LdBMember,$P1774,LdBKey,"&lt;"&amp;$T1774)+COUNTIFS(LdCParty,$P1774,LdCKey,"&lt;"&amp;$T1774)+1)</f>
        <v/>
      </c>
      <c r="V1774">
        <f>IF($U1774="","",$P1774&amp;"|"&amp;RIGHT("000000"&amp;$U1774,6))</f>
        <v/>
      </c>
      <c r="W1774">
        <f>IF($T1774="","",COUNTIFS(LdBGroup,$R1774,LdBKey,"&lt;"&amp;$T1774)+1)</f>
        <v/>
      </c>
      <c r="X1774">
        <f>IF($W1774="","",$R1774&amp;"|"&amp;RIGHT("000000"&amp;$W1774,6))</f>
        <v/>
      </c>
      <c r="Y1774">
        <f>IF($P1774="","",IF(Shares!$E1777="",0,Shares!$E1777))</f>
        <v/>
      </c>
      <c r="Z1774">
        <f>IF($P1774="","",Shares!$H1777)</f>
        <v/>
      </c>
      <c r="AE1774">
        <f>IF(OR(Sync!$S1774="",Sync!$P1774=""),"",Sync!$S1774)</f>
        <v/>
      </c>
      <c r="AF1774">
        <f>IF($AE1774="","",IF(ISNUMBER(Sync!$P1774),IF(AND(Sync!$P1774&gt;=10000101,Sync!$P1774&lt;=99991231),INT(Sync!$P1774/10000),""),IFERROR(VALUE(TRIM(LEFT(Sync!$P1774,FIND("/",Sync!$P1774)-1))),"")))</f>
        <v/>
      </c>
      <c r="AG1774">
        <f>IF(OR($AE1774="",$AF1774=""),"",IF(ISNUMBER(Sync!$P1774),INT(MOD(Sync!$P1774,10000)/100),IFERROR(VALUE(TRIM(LEFT(MID(Sync!$P1774,FIND("/",Sync!$P1774)+1,20),FIND("/",MID(Sync!$P1774,FIND("/",Sync!$P1774)+1,20))-1))),"")))</f>
        <v/>
      </c>
      <c r="AH1774">
        <f>IF(OR($AE1774="",$AF1774=""),"",IF(ISNUMBER(Sync!$P1774),MOD(Sync!$P1774,100),IFERROR(VALUE(TRIM(MID(MID(Sync!$P1774,FIND("/",Sync!$P1774)+1,20),FIND("/",MID(Sync!$P1774,FIND("/",Sync!$P1774)+1,20))+1,20))),"")))</f>
        <v/>
      </c>
      <c r="AI1774">
        <f>IF($AE1774="","",IF(OR($AF1774="",$AG1774="",$AH1774="",$AF1774&lt;1300,$AF1774&gt;1500,$AG1774&lt;1,$AG1774&gt;12,$AH1774&lt;1,$AH1774&gt;31),"نامعتبر",RIGHT("0000"&amp;$AF1774,4)&amp;"/"&amp;RIGHT("00"&amp;$AG1774,2)&amp;"/"&amp;RIGHT("00"&amp;$AH1774,2)))</f>
        <v/>
      </c>
      <c r="AJ1774">
        <f>IF($AE1774="","",IF(Sync!$Q1774="","0000",IF(AND(ISNUMBER(Sync!$Q1774),Sync!$Q1774&gt;=0,Sync!$Q1774&lt;1),RIGHT("00"&amp;HOUR(Sync!$Q1774),2)&amp;RIGHT("00"&amp;MINUTE(Sync!$Q1774),2),IFERROR(RIGHT("00"&amp;VALUE(LEFT(Sync!$Q1774,FIND(":",Sync!$Q1774)-1)),2)&amp;RIGHT("00"&amp;VALUE(MID(Sync!$Q1774,FIND(":",Sync!$Q1774)+1,2)),2),"0000"))))</f>
        <v/>
      </c>
      <c r="AK1774">
        <f>IF(OR($AE1774="",$AI1774="",$AI1774="نامعتبر"),"",LEFT($AI1774,4)&amp;MID($AI1774,6,2)&amp;RIGHT($AI1774,2)&amp;$AJ1774&amp;"|"&amp;"3"&amp;RIGHT("00000"&amp;1769,5))</f>
        <v/>
      </c>
      <c r="AL1774">
        <f>IF($AK1774="","",COUNTIFS(LdAParty,$AE1774,LdAType,1,LdAKey,"&lt;"&amp;$AK1774)+COUNTIFS(LdBMember,$AE1774,LdBKey,"&lt;"&amp;$AK1774)+COUNTIFS(LdCParty,$AE1774,LdCKey,"&lt;"&amp;$AK1774)+1)</f>
        <v/>
      </c>
      <c r="AM1774">
        <f>IF($AL1774="","",$AE1774&amp;"|"&amp;RIGHT("000000"&amp;$AL1774,6))</f>
        <v/>
      </c>
      <c r="AN1774">
        <f>IF($AE1774="","",IF(Sync!$W1774="",0,Sync!$W1774))</f>
        <v/>
      </c>
      <c r="AO1774">
        <f>IF($AE1774="","",IF(Sync!$X1774="",0,Sync!$X1774))</f>
        <v/>
      </c>
      <c r="AP1774">
        <f>IF($AE1774="","",Sync!$R1774)</f>
        <v/>
      </c>
      <c r="AQ1774">
        <f>IF($AE1774="","",Sync!$Y1774)</f>
        <v/>
      </c>
    </row>
    <row r="1775">
      <c r="A1775">
        <f>IF(OR(Wages!$B1778="",Wages!$E1778=""),"",Wages!$E1778)</f>
        <v/>
      </c>
      <c r="B1775">
        <f>IF($A1775="","",IF(Wages!$C1778="دستمزد گروهی",2,1))</f>
        <v/>
      </c>
      <c r="C1775">
        <f>IF($A1775="","",IF(ISNUMBER(Wages!$B1778),IF(AND(Wages!$B1778&gt;=10000101,Wages!$B1778&lt;=99991231),INT(Wages!$B1778/10000),""),IFERROR(VALUE(TRIM(LEFT(Wages!$B1778,FIND("/",Wages!$B1778)-1))),"")))</f>
        <v/>
      </c>
      <c r="D1775">
        <f>IF(OR($A1775="",$C1775=""),"",IF(ISNUMBER(Wages!$B1778),INT(MOD(Wages!$B1778,10000)/100),IFERROR(VALUE(TRIM(LEFT(MID(Wages!$B1778,FIND("/",Wages!$B1778)+1,20),FIND("/",MID(Wages!$B1778,FIND("/",Wages!$B1778)+1,20))-1))),"")))</f>
        <v/>
      </c>
      <c r="E1775">
        <f>IF(OR($A1775="",$C1775=""),"",IF(ISNUMBER(Wages!$B1778),MOD(Wages!$B1778,100),IFERROR(VALUE(TRIM(MID(MID(Wages!$B1778,FIND("/",Wages!$B1778)+1,20),FIND("/",MID(Wages!$B1778,FIND("/",Wages!$B1778)+1,20))+1,20))),"")))</f>
        <v/>
      </c>
      <c r="F1775">
        <f>IF($A1775="","",IF(OR($C1775="",$D1775="",$E1775="",$C1775&lt;1300,$C1775&gt;1500,$D1775&lt;1,$D1775&gt;12,$E1775&lt;1,$E1775&gt;31),"نامعتبر",RIGHT("0000"&amp;$C1775,4)&amp;"/"&amp;RIGHT("00"&amp;$D1775,2)&amp;"/"&amp;RIGHT("00"&amp;$E1775,2)))</f>
        <v/>
      </c>
      <c r="G1775">
        <f>IF(OR($A1775="",$F1775="",$F1775="نامعتبر"),"",LEFT($F1775,4)&amp;MID($F1775,6,2)&amp;RIGHT($F1775,2)&amp;"0000"&amp;"|"&amp;"1"&amp;RIGHT("00000"&amp;1770,5))</f>
        <v/>
      </c>
      <c r="H1775">
        <f>IF(OR($B1775&lt;&gt;1,$G1775=""),"",COUNTIFS(LdAParty,$A1775,LdAType,1,LdAKey,"&lt;"&amp;$G1775)+COUNTIFS(LdBMember,$A1775,LdBKey,"&lt;"&amp;$G1775)+COUNTIFS(LdCParty,$A1775,LdCKey,"&lt;"&amp;$G1775)+1)</f>
        <v/>
      </c>
      <c r="I1775">
        <f>IF($H1775="","",$A1775&amp;"|"&amp;RIGHT("000000"&amp;$H1775,6))</f>
        <v/>
      </c>
      <c r="J1775">
        <f>IF(OR($B1775&lt;&gt;2,$G1775=""),"",COUNTIFS(LdAParty,$A1775,LdAType,2,LdAKey,"&lt;"&amp;$G1775)+1)</f>
        <v/>
      </c>
      <c r="K1775">
        <f>IF($J1775="","",$A1775&amp;"|"&amp;RIGHT("000000"&amp;$J1775,6))</f>
        <v/>
      </c>
      <c r="L1775">
        <f>IF($A1775="","",IF(Wages!$G1778="",0,Wages!$G1778))</f>
        <v/>
      </c>
      <c r="M1775">
        <f>IF($A1775="","",Wages!$J1778)</f>
        <v/>
      </c>
      <c r="N1775">
        <f>IF($A1775="","",Wages!$D1778)</f>
        <v/>
      </c>
      <c r="P1775">
        <f>IF(OR(Shares!$B1778="",Shares!$C1778=""),"",Shares!$C1778)</f>
        <v/>
      </c>
      <c r="Q1775">
        <f>IF($P1775="","",Shares!$B1778)</f>
        <v/>
      </c>
      <c r="R1775">
        <f>IF($P1775="","",IFERROR(INDEX(WageParty,MATCH($Q1775,WageIds,0)),""))</f>
        <v/>
      </c>
      <c r="S1775">
        <f>IF($P1775="","",IFERROR(INDEX($F$6:$F$2005,MATCH($Q1775,WageIds,0)),""))</f>
        <v/>
      </c>
      <c r="T1775">
        <f>IF(OR($P1775="",$S1775="",$S1775="نامعتبر"),"",LEFT($S1775,4)&amp;MID($S1775,6,2)&amp;RIGHT($S1775,2)&amp;"0000"&amp;"|"&amp;"2"&amp;RIGHT("00000"&amp;1770,5))</f>
        <v/>
      </c>
      <c r="U1775">
        <f>IF($T1775="","",COUNTIFS(LdAParty,$P1775,LdAType,1,LdAKey,"&lt;"&amp;$T1775)+COUNTIFS(LdBMember,$P1775,LdBKey,"&lt;"&amp;$T1775)+COUNTIFS(LdCParty,$P1775,LdCKey,"&lt;"&amp;$T1775)+1)</f>
        <v/>
      </c>
      <c r="V1775">
        <f>IF($U1775="","",$P1775&amp;"|"&amp;RIGHT("000000"&amp;$U1775,6))</f>
        <v/>
      </c>
      <c r="W1775">
        <f>IF($T1775="","",COUNTIFS(LdBGroup,$R1775,LdBKey,"&lt;"&amp;$T1775)+1)</f>
        <v/>
      </c>
      <c r="X1775">
        <f>IF($W1775="","",$R1775&amp;"|"&amp;RIGHT("000000"&amp;$W1775,6))</f>
        <v/>
      </c>
      <c r="Y1775">
        <f>IF($P1775="","",IF(Shares!$E1778="",0,Shares!$E1778))</f>
        <v/>
      </c>
      <c r="Z1775">
        <f>IF($P1775="","",Shares!$H1778)</f>
        <v/>
      </c>
      <c r="AE1775">
        <f>IF(OR(Sync!$S1775="",Sync!$P1775=""),"",Sync!$S1775)</f>
        <v/>
      </c>
      <c r="AF1775">
        <f>IF($AE1775="","",IF(ISNUMBER(Sync!$P1775),IF(AND(Sync!$P1775&gt;=10000101,Sync!$P1775&lt;=99991231),INT(Sync!$P1775/10000),""),IFERROR(VALUE(TRIM(LEFT(Sync!$P1775,FIND("/",Sync!$P1775)-1))),"")))</f>
        <v/>
      </c>
      <c r="AG1775">
        <f>IF(OR($AE1775="",$AF1775=""),"",IF(ISNUMBER(Sync!$P1775),INT(MOD(Sync!$P1775,10000)/100),IFERROR(VALUE(TRIM(LEFT(MID(Sync!$P1775,FIND("/",Sync!$P1775)+1,20),FIND("/",MID(Sync!$P1775,FIND("/",Sync!$P1775)+1,20))-1))),"")))</f>
        <v/>
      </c>
      <c r="AH1775">
        <f>IF(OR($AE1775="",$AF1775=""),"",IF(ISNUMBER(Sync!$P1775),MOD(Sync!$P1775,100),IFERROR(VALUE(TRIM(MID(MID(Sync!$P1775,FIND("/",Sync!$P1775)+1,20),FIND("/",MID(Sync!$P1775,FIND("/",Sync!$P1775)+1,20))+1,20))),"")))</f>
        <v/>
      </c>
      <c r="AI1775">
        <f>IF($AE1775="","",IF(OR($AF1775="",$AG1775="",$AH1775="",$AF1775&lt;1300,$AF1775&gt;1500,$AG1775&lt;1,$AG1775&gt;12,$AH1775&lt;1,$AH1775&gt;31),"نامعتبر",RIGHT("0000"&amp;$AF1775,4)&amp;"/"&amp;RIGHT("00"&amp;$AG1775,2)&amp;"/"&amp;RIGHT("00"&amp;$AH1775,2)))</f>
        <v/>
      </c>
      <c r="AJ1775">
        <f>IF($AE1775="","",IF(Sync!$Q1775="","0000",IF(AND(ISNUMBER(Sync!$Q1775),Sync!$Q1775&gt;=0,Sync!$Q1775&lt;1),RIGHT("00"&amp;HOUR(Sync!$Q1775),2)&amp;RIGHT("00"&amp;MINUTE(Sync!$Q1775),2),IFERROR(RIGHT("00"&amp;VALUE(LEFT(Sync!$Q1775,FIND(":",Sync!$Q1775)-1)),2)&amp;RIGHT("00"&amp;VALUE(MID(Sync!$Q1775,FIND(":",Sync!$Q1775)+1,2)),2),"0000"))))</f>
        <v/>
      </c>
      <c r="AK1775">
        <f>IF(OR($AE1775="",$AI1775="",$AI1775="نامعتبر"),"",LEFT($AI1775,4)&amp;MID($AI1775,6,2)&amp;RIGHT($AI1775,2)&amp;$AJ1775&amp;"|"&amp;"3"&amp;RIGHT("00000"&amp;1770,5))</f>
        <v/>
      </c>
      <c r="AL1775">
        <f>IF($AK1775="","",COUNTIFS(LdAParty,$AE1775,LdAType,1,LdAKey,"&lt;"&amp;$AK1775)+COUNTIFS(LdBMember,$AE1775,LdBKey,"&lt;"&amp;$AK1775)+COUNTIFS(LdCParty,$AE1775,LdCKey,"&lt;"&amp;$AK1775)+1)</f>
        <v/>
      </c>
      <c r="AM1775">
        <f>IF($AL1775="","",$AE1775&amp;"|"&amp;RIGHT("000000"&amp;$AL1775,6))</f>
        <v/>
      </c>
      <c r="AN1775">
        <f>IF($AE1775="","",IF(Sync!$W1775="",0,Sync!$W1775))</f>
        <v/>
      </c>
      <c r="AO1775">
        <f>IF($AE1775="","",IF(Sync!$X1775="",0,Sync!$X1775))</f>
        <v/>
      </c>
      <c r="AP1775">
        <f>IF($AE1775="","",Sync!$R1775)</f>
        <v/>
      </c>
      <c r="AQ1775">
        <f>IF($AE1775="","",Sync!$Y1775)</f>
        <v/>
      </c>
    </row>
    <row r="1776">
      <c r="A1776">
        <f>IF(OR(Wages!$B1779="",Wages!$E1779=""),"",Wages!$E1779)</f>
        <v/>
      </c>
      <c r="B1776">
        <f>IF($A1776="","",IF(Wages!$C1779="دستمزد گروهی",2,1))</f>
        <v/>
      </c>
      <c r="C1776">
        <f>IF($A1776="","",IF(ISNUMBER(Wages!$B1779),IF(AND(Wages!$B1779&gt;=10000101,Wages!$B1779&lt;=99991231),INT(Wages!$B1779/10000),""),IFERROR(VALUE(TRIM(LEFT(Wages!$B1779,FIND("/",Wages!$B1779)-1))),"")))</f>
        <v/>
      </c>
      <c r="D1776">
        <f>IF(OR($A1776="",$C1776=""),"",IF(ISNUMBER(Wages!$B1779),INT(MOD(Wages!$B1779,10000)/100),IFERROR(VALUE(TRIM(LEFT(MID(Wages!$B1779,FIND("/",Wages!$B1779)+1,20),FIND("/",MID(Wages!$B1779,FIND("/",Wages!$B1779)+1,20))-1))),"")))</f>
        <v/>
      </c>
      <c r="E1776">
        <f>IF(OR($A1776="",$C1776=""),"",IF(ISNUMBER(Wages!$B1779),MOD(Wages!$B1779,100),IFERROR(VALUE(TRIM(MID(MID(Wages!$B1779,FIND("/",Wages!$B1779)+1,20),FIND("/",MID(Wages!$B1779,FIND("/",Wages!$B1779)+1,20))+1,20))),"")))</f>
        <v/>
      </c>
      <c r="F1776">
        <f>IF($A1776="","",IF(OR($C1776="",$D1776="",$E1776="",$C1776&lt;1300,$C1776&gt;1500,$D1776&lt;1,$D1776&gt;12,$E1776&lt;1,$E1776&gt;31),"نامعتبر",RIGHT("0000"&amp;$C1776,4)&amp;"/"&amp;RIGHT("00"&amp;$D1776,2)&amp;"/"&amp;RIGHT("00"&amp;$E1776,2)))</f>
        <v/>
      </c>
      <c r="G1776">
        <f>IF(OR($A1776="",$F1776="",$F1776="نامعتبر"),"",LEFT($F1776,4)&amp;MID($F1776,6,2)&amp;RIGHT($F1776,2)&amp;"0000"&amp;"|"&amp;"1"&amp;RIGHT("00000"&amp;1771,5))</f>
        <v/>
      </c>
      <c r="H1776">
        <f>IF(OR($B1776&lt;&gt;1,$G1776=""),"",COUNTIFS(LdAParty,$A1776,LdAType,1,LdAKey,"&lt;"&amp;$G1776)+COUNTIFS(LdBMember,$A1776,LdBKey,"&lt;"&amp;$G1776)+COUNTIFS(LdCParty,$A1776,LdCKey,"&lt;"&amp;$G1776)+1)</f>
        <v/>
      </c>
      <c r="I1776">
        <f>IF($H1776="","",$A1776&amp;"|"&amp;RIGHT("000000"&amp;$H1776,6))</f>
        <v/>
      </c>
      <c r="J1776">
        <f>IF(OR($B1776&lt;&gt;2,$G1776=""),"",COUNTIFS(LdAParty,$A1776,LdAType,2,LdAKey,"&lt;"&amp;$G1776)+1)</f>
        <v/>
      </c>
      <c r="K1776">
        <f>IF($J1776="","",$A1776&amp;"|"&amp;RIGHT("000000"&amp;$J1776,6))</f>
        <v/>
      </c>
      <c r="L1776">
        <f>IF($A1776="","",IF(Wages!$G1779="",0,Wages!$G1779))</f>
        <v/>
      </c>
      <c r="M1776">
        <f>IF($A1776="","",Wages!$J1779)</f>
        <v/>
      </c>
      <c r="N1776">
        <f>IF($A1776="","",Wages!$D1779)</f>
        <v/>
      </c>
      <c r="P1776">
        <f>IF(OR(Shares!$B1779="",Shares!$C1779=""),"",Shares!$C1779)</f>
        <v/>
      </c>
      <c r="Q1776">
        <f>IF($P1776="","",Shares!$B1779)</f>
        <v/>
      </c>
      <c r="R1776">
        <f>IF($P1776="","",IFERROR(INDEX(WageParty,MATCH($Q1776,WageIds,0)),""))</f>
        <v/>
      </c>
      <c r="S1776">
        <f>IF($P1776="","",IFERROR(INDEX($F$6:$F$2005,MATCH($Q1776,WageIds,0)),""))</f>
        <v/>
      </c>
      <c r="T1776">
        <f>IF(OR($P1776="",$S1776="",$S1776="نامعتبر"),"",LEFT($S1776,4)&amp;MID($S1776,6,2)&amp;RIGHT($S1776,2)&amp;"0000"&amp;"|"&amp;"2"&amp;RIGHT("00000"&amp;1771,5))</f>
        <v/>
      </c>
      <c r="U1776">
        <f>IF($T1776="","",COUNTIFS(LdAParty,$P1776,LdAType,1,LdAKey,"&lt;"&amp;$T1776)+COUNTIFS(LdBMember,$P1776,LdBKey,"&lt;"&amp;$T1776)+COUNTIFS(LdCParty,$P1776,LdCKey,"&lt;"&amp;$T1776)+1)</f>
        <v/>
      </c>
      <c r="V1776">
        <f>IF($U1776="","",$P1776&amp;"|"&amp;RIGHT("000000"&amp;$U1776,6))</f>
        <v/>
      </c>
      <c r="W1776">
        <f>IF($T1776="","",COUNTIFS(LdBGroup,$R1776,LdBKey,"&lt;"&amp;$T1776)+1)</f>
        <v/>
      </c>
      <c r="X1776">
        <f>IF($W1776="","",$R1776&amp;"|"&amp;RIGHT("000000"&amp;$W1776,6))</f>
        <v/>
      </c>
      <c r="Y1776">
        <f>IF($P1776="","",IF(Shares!$E1779="",0,Shares!$E1779))</f>
        <v/>
      </c>
      <c r="Z1776">
        <f>IF($P1776="","",Shares!$H1779)</f>
        <v/>
      </c>
      <c r="AE1776">
        <f>IF(OR(Sync!$S1776="",Sync!$P1776=""),"",Sync!$S1776)</f>
        <v/>
      </c>
      <c r="AF1776">
        <f>IF($AE1776="","",IF(ISNUMBER(Sync!$P1776),IF(AND(Sync!$P1776&gt;=10000101,Sync!$P1776&lt;=99991231),INT(Sync!$P1776/10000),""),IFERROR(VALUE(TRIM(LEFT(Sync!$P1776,FIND("/",Sync!$P1776)-1))),"")))</f>
        <v/>
      </c>
      <c r="AG1776">
        <f>IF(OR($AE1776="",$AF1776=""),"",IF(ISNUMBER(Sync!$P1776),INT(MOD(Sync!$P1776,10000)/100),IFERROR(VALUE(TRIM(LEFT(MID(Sync!$P1776,FIND("/",Sync!$P1776)+1,20),FIND("/",MID(Sync!$P1776,FIND("/",Sync!$P1776)+1,20))-1))),"")))</f>
        <v/>
      </c>
      <c r="AH1776">
        <f>IF(OR($AE1776="",$AF1776=""),"",IF(ISNUMBER(Sync!$P1776),MOD(Sync!$P1776,100),IFERROR(VALUE(TRIM(MID(MID(Sync!$P1776,FIND("/",Sync!$P1776)+1,20),FIND("/",MID(Sync!$P1776,FIND("/",Sync!$P1776)+1,20))+1,20))),"")))</f>
        <v/>
      </c>
      <c r="AI1776">
        <f>IF($AE1776="","",IF(OR($AF1776="",$AG1776="",$AH1776="",$AF1776&lt;1300,$AF1776&gt;1500,$AG1776&lt;1,$AG1776&gt;12,$AH1776&lt;1,$AH1776&gt;31),"نامعتبر",RIGHT("0000"&amp;$AF1776,4)&amp;"/"&amp;RIGHT("00"&amp;$AG1776,2)&amp;"/"&amp;RIGHT("00"&amp;$AH1776,2)))</f>
        <v/>
      </c>
      <c r="AJ1776">
        <f>IF($AE1776="","",IF(Sync!$Q1776="","0000",IF(AND(ISNUMBER(Sync!$Q1776),Sync!$Q1776&gt;=0,Sync!$Q1776&lt;1),RIGHT("00"&amp;HOUR(Sync!$Q1776),2)&amp;RIGHT("00"&amp;MINUTE(Sync!$Q1776),2),IFERROR(RIGHT("00"&amp;VALUE(LEFT(Sync!$Q1776,FIND(":",Sync!$Q1776)-1)),2)&amp;RIGHT("00"&amp;VALUE(MID(Sync!$Q1776,FIND(":",Sync!$Q1776)+1,2)),2),"0000"))))</f>
        <v/>
      </c>
      <c r="AK1776">
        <f>IF(OR($AE1776="",$AI1776="",$AI1776="نامعتبر"),"",LEFT($AI1776,4)&amp;MID($AI1776,6,2)&amp;RIGHT($AI1776,2)&amp;$AJ1776&amp;"|"&amp;"3"&amp;RIGHT("00000"&amp;1771,5))</f>
        <v/>
      </c>
      <c r="AL1776">
        <f>IF($AK1776="","",COUNTIFS(LdAParty,$AE1776,LdAType,1,LdAKey,"&lt;"&amp;$AK1776)+COUNTIFS(LdBMember,$AE1776,LdBKey,"&lt;"&amp;$AK1776)+COUNTIFS(LdCParty,$AE1776,LdCKey,"&lt;"&amp;$AK1776)+1)</f>
        <v/>
      </c>
      <c r="AM1776">
        <f>IF($AL1776="","",$AE1776&amp;"|"&amp;RIGHT("000000"&amp;$AL1776,6))</f>
        <v/>
      </c>
      <c r="AN1776">
        <f>IF($AE1776="","",IF(Sync!$W1776="",0,Sync!$W1776))</f>
        <v/>
      </c>
      <c r="AO1776">
        <f>IF($AE1776="","",IF(Sync!$X1776="",0,Sync!$X1776))</f>
        <v/>
      </c>
      <c r="AP1776">
        <f>IF($AE1776="","",Sync!$R1776)</f>
        <v/>
      </c>
      <c r="AQ1776">
        <f>IF($AE1776="","",Sync!$Y1776)</f>
        <v/>
      </c>
    </row>
    <row r="1777">
      <c r="A1777">
        <f>IF(OR(Wages!$B1780="",Wages!$E1780=""),"",Wages!$E1780)</f>
        <v/>
      </c>
      <c r="B1777">
        <f>IF($A1777="","",IF(Wages!$C1780="دستمزد گروهی",2,1))</f>
        <v/>
      </c>
      <c r="C1777">
        <f>IF($A1777="","",IF(ISNUMBER(Wages!$B1780),IF(AND(Wages!$B1780&gt;=10000101,Wages!$B1780&lt;=99991231),INT(Wages!$B1780/10000),""),IFERROR(VALUE(TRIM(LEFT(Wages!$B1780,FIND("/",Wages!$B1780)-1))),"")))</f>
        <v/>
      </c>
      <c r="D1777">
        <f>IF(OR($A1777="",$C1777=""),"",IF(ISNUMBER(Wages!$B1780),INT(MOD(Wages!$B1780,10000)/100),IFERROR(VALUE(TRIM(LEFT(MID(Wages!$B1780,FIND("/",Wages!$B1780)+1,20),FIND("/",MID(Wages!$B1780,FIND("/",Wages!$B1780)+1,20))-1))),"")))</f>
        <v/>
      </c>
      <c r="E1777">
        <f>IF(OR($A1777="",$C1777=""),"",IF(ISNUMBER(Wages!$B1780),MOD(Wages!$B1780,100),IFERROR(VALUE(TRIM(MID(MID(Wages!$B1780,FIND("/",Wages!$B1780)+1,20),FIND("/",MID(Wages!$B1780,FIND("/",Wages!$B1780)+1,20))+1,20))),"")))</f>
        <v/>
      </c>
      <c r="F1777">
        <f>IF($A1777="","",IF(OR($C1777="",$D1777="",$E1777="",$C1777&lt;1300,$C1777&gt;1500,$D1777&lt;1,$D1777&gt;12,$E1777&lt;1,$E1777&gt;31),"نامعتبر",RIGHT("0000"&amp;$C1777,4)&amp;"/"&amp;RIGHT("00"&amp;$D1777,2)&amp;"/"&amp;RIGHT("00"&amp;$E1777,2)))</f>
        <v/>
      </c>
      <c r="G1777">
        <f>IF(OR($A1777="",$F1777="",$F1777="نامعتبر"),"",LEFT($F1777,4)&amp;MID($F1777,6,2)&amp;RIGHT($F1777,2)&amp;"0000"&amp;"|"&amp;"1"&amp;RIGHT("00000"&amp;1772,5))</f>
        <v/>
      </c>
      <c r="H1777">
        <f>IF(OR($B1777&lt;&gt;1,$G1777=""),"",COUNTIFS(LdAParty,$A1777,LdAType,1,LdAKey,"&lt;"&amp;$G1777)+COUNTIFS(LdBMember,$A1777,LdBKey,"&lt;"&amp;$G1777)+COUNTIFS(LdCParty,$A1777,LdCKey,"&lt;"&amp;$G1777)+1)</f>
        <v/>
      </c>
      <c r="I1777">
        <f>IF($H1777="","",$A1777&amp;"|"&amp;RIGHT("000000"&amp;$H1777,6))</f>
        <v/>
      </c>
      <c r="J1777">
        <f>IF(OR($B1777&lt;&gt;2,$G1777=""),"",COUNTIFS(LdAParty,$A1777,LdAType,2,LdAKey,"&lt;"&amp;$G1777)+1)</f>
        <v/>
      </c>
      <c r="K1777">
        <f>IF($J1777="","",$A1777&amp;"|"&amp;RIGHT("000000"&amp;$J1777,6))</f>
        <v/>
      </c>
      <c r="L1777">
        <f>IF($A1777="","",IF(Wages!$G1780="",0,Wages!$G1780))</f>
        <v/>
      </c>
      <c r="M1777">
        <f>IF($A1777="","",Wages!$J1780)</f>
        <v/>
      </c>
      <c r="N1777">
        <f>IF($A1777="","",Wages!$D1780)</f>
        <v/>
      </c>
      <c r="P1777">
        <f>IF(OR(Shares!$B1780="",Shares!$C1780=""),"",Shares!$C1780)</f>
        <v/>
      </c>
      <c r="Q1777">
        <f>IF($P1777="","",Shares!$B1780)</f>
        <v/>
      </c>
      <c r="R1777">
        <f>IF($P1777="","",IFERROR(INDEX(WageParty,MATCH($Q1777,WageIds,0)),""))</f>
        <v/>
      </c>
      <c r="S1777">
        <f>IF($P1777="","",IFERROR(INDEX($F$6:$F$2005,MATCH($Q1777,WageIds,0)),""))</f>
        <v/>
      </c>
      <c r="T1777">
        <f>IF(OR($P1777="",$S1777="",$S1777="نامعتبر"),"",LEFT($S1777,4)&amp;MID($S1777,6,2)&amp;RIGHT($S1777,2)&amp;"0000"&amp;"|"&amp;"2"&amp;RIGHT("00000"&amp;1772,5))</f>
        <v/>
      </c>
      <c r="U1777">
        <f>IF($T1777="","",COUNTIFS(LdAParty,$P1777,LdAType,1,LdAKey,"&lt;"&amp;$T1777)+COUNTIFS(LdBMember,$P1777,LdBKey,"&lt;"&amp;$T1777)+COUNTIFS(LdCParty,$P1777,LdCKey,"&lt;"&amp;$T1777)+1)</f>
        <v/>
      </c>
      <c r="V1777">
        <f>IF($U1777="","",$P1777&amp;"|"&amp;RIGHT("000000"&amp;$U1777,6))</f>
        <v/>
      </c>
      <c r="W1777">
        <f>IF($T1777="","",COUNTIFS(LdBGroup,$R1777,LdBKey,"&lt;"&amp;$T1777)+1)</f>
        <v/>
      </c>
      <c r="X1777">
        <f>IF($W1777="","",$R1777&amp;"|"&amp;RIGHT("000000"&amp;$W1777,6))</f>
        <v/>
      </c>
      <c r="Y1777">
        <f>IF($P1777="","",IF(Shares!$E1780="",0,Shares!$E1780))</f>
        <v/>
      </c>
      <c r="Z1777">
        <f>IF($P1777="","",Shares!$H1780)</f>
        <v/>
      </c>
      <c r="AE1777">
        <f>IF(OR(Sync!$S1777="",Sync!$P1777=""),"",Sync!$S1777)</f>
        <v/>
      </c>
      <c r="AF1777">
        <f>IF($AE1777="","",IF(ISNUMBER(Sync!$P1777),IF(AND(Sync!$P1777&gt;=10000101,Sync!$P1777&lt;=99991231),INT(Sync!$P1777/10000),""),IFERROR(VALUE(TRIM(LEFT(Sync!$P1777,FIND("/",Sync!$P1777)-1))),"")))</f>
        <v/>
      </c>
      <c r="AG1777">
        <f>IF(OR($AE1777="",$AF1777=""),"",IF(ISNUMBER(Sync!$P1777),INT(MOD(Sync!$P1777,10000)/100),IFERROR(VALUE(TRIM(LEFT(MID(Sync!$P1777,FIND("/",Sync!$P1777)+1,20),FIND("/",MID(Sync!$P1777,FIND("/",Sync!$P1777)+1,20))-1))),"")))</f>
        <v/>
      </c>
      <c r="AH1777">
        <f>IF(OR($AE1777="",$AF1777=""),"",IF(ISNUMBER(Sync!$P1777),MOD(Sync!$P1777,100),IFERROR(VALUE(TRIM(MID(MID(Sync!$P1777,FIND("/",Sync!$P1777)+1,20),FIND("/",MID(Sync!$P1777,FIND("/",Sync!$P1777)+1,20))+1,20))),"")))</f>
        <v/>
      </c>
      <c r="AI1777">
        <f>IF($AE1777="","",IF(OR($AF1777="",$AG1777="",$AH1777="",$AF1777&lt;1300,$AF1777&gt;1500,$AG1777&lt;1,$AG1777&gt;12,$AH1777&lt;1,$AH1777&gt;31),"نامعتبر",RIGHT("0000"&amp;$AF1777,4)&amp;"/"&amp;RIGHT("00"&amp;$AG1777,2)&amp;"/"&amp;RIGHT("00"&amp;$AH1777,2)))</f>
        <v/>
      </c>
      <c r="AJ1777">
        <f>IF($AE1777="","",IF(Sync!$Q1777="","0000",IF(AND(ISNUMBER(Sync!$Q1777),Sync!$Q1777&gt;=0,Sync!$Q1777&lt;1),RIGHT("00"&amp;HOUR(Sync!$Q1777),2)&amp;RIGHT("00"&amp;MINUTE(Sync!$Q1777),2),IFERROR(RIGHT("00"&amp;VALUE(LEFT(Sync!$Q1777,FIND(":",Sync!$Q1777)-1)),2)&amp;RIGHT("00"&amp;VALUE(MID(Sync!$Q1777,FIND(":",Sync!$Q1777)+1,2)),2),"0000"))))</f>
        <v/>
      </c>
      <c r="AK1777">
        <f>IF(OR($AE1777="",$AI1777="",$AI1777="نامعتبر"),"",LEFT($AI1777,4)&amp;MID($AI1777,6,2)&amp;RIGHT($AI1777,2)&amp;$AJ1777&amp;"|"&amp;"3"&amp;RIGHT("00000"&amp;1772,5))</f>
        <v/>
      </c>
      <c r="AL1777">
        <f>IF($AK1777="","",COUNTIFS(LdAParty,$AE1777,LdAType,1,LdAKey,"&lt;"&amp;$AK1777)+COUNTIFS(LdBMember,$AE1777,LdBKey,"&lt;"&amp;$AK1777)+COUNTIFS(LdCParty,$AE1777,LdCKey,"&lt;"&amp;$AK1777)+1)</f>
        <v/>
      </c>
      <c r="AM1777">
        <f>IF($AL1777="","",$AE1777&amp;"|"&amp;RIGHT("000000"&amp;$AL1777,6))</f>
        <v/>
      </c>
      <c r="AN1777">
        <f>IF($AE1777="","",IF(Sync!$W1777="",0,Sync!$W1777))</f>
        <v/>
      </c>
      <c r="AO1777">
        <f>IF($AE1777="","",IF(Sync!$X1777="",0,Sync!$X1777))</f>
        <v/>
      </c>
      <c r="AP1777">
        <f>IF($AE1777="","",Sync!$R1777)</f>
        <v/>
      </c>
      <c r="AQ1777">
        <f>IF($AE1777="","",Sync!$Y1777)</f>
        <v/>
      </c>
    </row>
    <row r="1778">
      <c r="A1778">
        <f>IF(OR(Wages!$B1781="",Wages!$E1781=""),"",Wages!$E1781)</f>
        <v/>
      </c>
      <c r="B1778">
        <f>IF($A1778="","",IF(Wages!$C1781="دستمزد گروهی",2,1))</f>
        <v/>
      </c>
      <c r="C1778">
        <f>IF($A1778="","",IF(ISNUMBER(Wages!$B1781),IF(AND(Wages!$B1781&gt;=10000101,Wages!$B1781&lt;=99991231),INT(Wages!$B1781/10000),""),IFERROR(VALUE(TRIM(LEFT(Wages!$B1781,FIND("/",Wages!$B1781)-1))),"")))</f>
        <v/>
      </c>
      <c r="D1778">
        <f>IF(OR($A1778="",$C1778=""),"",IF(ISNUMBER(Wages!$B1781),INT(MOD(Wages!$B1781,10000)/100),IFERROR(VALUE(TRIM(LEFT(MID(Wages!$B1781,FIND("/",Wages!$B1781)+1,20),FIND("/",MID(Wages!$B1781,FIND("/",Wages!$B1781)+1,20))-1))),"")))</f>
        <v/>
      </c>
      <c r="E1778">
        <f>IF(OR($A1778="",$C1778=""),"",IF(ISNUMBER(Wages!$B1781),MOD(Wages!$B1781,100),IFERROR(VALUE(TRIM(MID(MID(Wages!$B1781,FIND("/",Wages!$B1781)+1,20),FIND("/",MID(Wages!$B1781,FIND("/",Wages!$B1781)+1,20))+1,20))),"")))</f>
        <v/>
      </c>
      <c r="F1778">
        <f>IF($A1778="","",IF(OR($C1778="",$D1778="",$E1778="",$C1778&lt;1300,$C1778&gt;1500,$D1778&lt;1,$D1778&gt;12,$E1778&lt;1,$E1778&gt;31),"نامعتبر",RIGHT("0000"&amp;$C1778,4)&amp;"/"&amp;RIGHT("00"&amp;$D1778,2)&amp;"/"&amp;RIGHT("00"&amp;$E1778,2)))</f>
        <v/>
      </c>
      <c r="G1778">
        <f>IF(OR($A1778="",$F1778="",$F1778="نامعتبر"),"",LEFT($F1778,4)&amp;MID($F1778,6,2)&amp;RIGHT($F1778,2)&amp;"0000"&amp;"|"&amp;"1"&amp;RIGHT("00000"&amp;1773,5))</f>
        <v/>
      </c>
      <c r="H1778">
        <f>IF(OR($B1778&lt;&gt;1,$G1778=""),"",COUNTIFS(LdAParty,$A1778,LdAType,1,LdAKey,"&lt;"&amp;$G1778)+COUNTIFS(LdBMember,$A1778,LdBKey,"&lt;"&amp;$G1778)+COUNTIFS(LdCParty,$A1778,LdCKey,"&lt;"&amp;$G1778)+1)</f>
        <v/>
      </c>
      <c r="I1778">
        <f>IF($H1778="","",$A1778&amp;"|"&amp;RIGHT("000000"&amp;$H1778,6))</f>
        <v/>
      </c>
      <c r="J1778">
        <f>IF(OR($B1778&lt;&gt;2,$G1778=""),"",COUNTIFS(LdAParty,$A1778,LdAType,2,LdAKey,"&lt;"&amp;$G1778)+1)</f>
        <v/>
      </c>
      <c r="K1778">
        <f>IF($J1778="","",$A1778&amp;"|"&amp;RIGHT("000000"&amp;$J1778,6))</f>
        <v/>
      </c>
      <c r="L1778">
        <f>IF($A1778="","",IF(Wages!$G1781="",0,Wages!$G1781))</f>
        <v/>
      </c>
      <c r="M1778">
        <f>IF($A1778="","",Wages!$J1781)</f>
        <v/>
      </c>
      <c r="N1778">
        <f>IF($A1778="","",Wages!$D1781)</f>
        <v/>
      </c>
      <c r="P1778">
        <f>IF(OR(Shares!$B1781="",Shares!$C1781=""),"",Shares!$C1781)</f>
        <v/>
      </c>
      <c r="Q1778">
        <f>IF($P1778="","",Shares!$B1781)</f>
        <v/>
      </c>
      <c r="R1778">
        <f>IF($P1778="","",IFERROR(INDEX(WageParty,MATCH($Q1778,WageIds,0)),""))</f>
        <v/>
      </c>
      <c r="S1778">
        <f>IF($P1778="","",IFERROR(INDEX($F$6:$F$2005,MATCH($Q1778,WageIds,0)),""))</f>
        <v/>
      </c>
      <c r="T1778">
        <f>IF(OR($P1778="",$S1778="",$S1778="نامعتبر"),"",LEFT($S1778,4)&amp;MID($S1778,6,2)&amp;RIGHT($S1778,2)&amp;"0000"&amp;"|"&amp;"2"&amp;RIGHT("00000"&amp;1773,5))</f>
        <v/>
      </c>
      <c r="U1778">
        <f>IF($T1778="","",COUNTIFS(LdAParty,$P1778,LdAType,1,LdAKey,"&lt;"&amp;$T1778)+COUNTIFS(LdBMember,$P1778,LdBKey,"&lt;"&amp;$T1778)+COUNTIFS(LdCParty,$P1778,LdCKey,"&lt;"&amp;$T1778)+1)</f>
        <v/>
      </c>
      <c r="V1778">
        <f>IF($U1778="","",$P1778&amp;"|"&amp;RIGHT("000000"&amp;$U1778,6))</f>
        <v/>
      </c>
      <c r="W1778">
        <f>IF($T1778="","",COUNTIFS(LdBGroup,$R1778,LdBKey,"&lt;"&amp;$T1778)+1)</f>
        <v/>
      </c>
      <c r="X1778">
        <f>IF($W1778="","",$R1778&amp;"|"&amp;RIGHT("000000"&amp;$W1778,6))</f>
        <v/>
      </c>
      <c r="Y1778">
        <f>IF($P1778="","",IF(Shares!$E1781="",0,Shares!$E1781))</f>
        <v/>
      </c>
      <c r="Z1778">
        <f>IF($P1778="","",Shares!$H1781)</f>
        <v/>
      </c>
      <c r="AE1778">
        <f>IF(OR(Sync!$S1778="",Sync!$P1778=""),"",Sync!$S1778)</f>
        <v/>
      </c>
      <c r="AF1778">
        <f>IF($AE1778="","",IF(ISNUMBER(Sync!$P1778),IF(AND(Sync!$P1778&gt;=10000101,Sync!$P1778&lt;=99991231),INT(Sync!$P1778/10000),""),IFERROR(VALUE(TRIM(LEFT(Sync!$P1778,FIND("/",Sync!$P1778)-1))),"")))</f>
        <v/>
      </c>
      <c r="AG1778">
        <f>IF(OR($AE1778="",$AF1778=""),"",IF(ISNUMBER(Sync!$P1778),INT(MOD(Sync!$P1778,10000)/100),IFERROR(VALUE(TRIM(LEFT(MID(Sync!$P1778,FIND("/",Sync!$P1778)+1,20),FIND("/",MID(Sync!$P1778,FIND("/",Sync!$P1778)+1,20))-1))),"")))</f>
        <v/>
      </c>
      <c r="AH1778">
        <f>IF(OR($AE1778="",$AF1778=""),"",IF(ISNUMBER(Sync!$P1778),MOD(Sync!$P1778,100),IFERROR(VALUE(TRIM(MID(MID(Sync!$P1778,FIND("/",Sync!$P1778)+1,20),FIND("/",MID(Sync!$P1778,FIND("/",Sync!$P1778)+1,20))+1,20))),"")))</f>
        <v/>
      </c>
      <c r="AI1778">
        <f>IF($AE1778="","",IF(OR($AF1778="",$AG1778="",$AH1778="",$AF1778&lt;1300,$AF1778&gt;1500,$AG1778&lt;1,$AG1778&gt;12,$AH1778&lt;1,$AH1778&gt;31),"نامعتبر",RIGHT("0000"&amp;$AF1778,4)&amp;"/"&amp;RIGHT("00"&amp;$AG1778,2)&amp;"/"&amp;RIGHT("00"&amp;$AH1778,2)))</f>
        <v/>
      </c>
      <c r="AJ1778">
        <f>IF($AE1778="","",IF(Sync!$Q1778="","0000",IF(AND(ISNUMBER(Sync!$Q1778),Sync!$Q1778&gt;=0,Sync!$Q1778&lt;1),RIGHT("00"&amp;HOUR(Sync!$Q1778),2)&amp;RIGHT("00"&amp;MINUTE(Sync!$Q1778),2),IFERROR(RIGHT("00"&amp;VALUE(LEFT(Sync!$Q1778,FIND(":",Sync!$Q1778)-1)),2)&amp;RIGHT("00"&amp;VALUE(MID(Sync!$Q1778,FIND(":",Sync!$Q1778)+1,2)),2),"0000"))))</f>
        <v/>
      </c>
      <c r="AK1778">
        <f>IF(OR($AE1778="",$AI1778="",$AI1778="نامعتبر"),"",LEFT($AI1778,4)&amp;MID($AI1778,6,2)&amp;RIGHT($AI1778,2)&amp;$AJ1778&amp;"|"&amp;"3"&amp;RIGHT("00000"&amp;1773,5))</f>
        <v/>
      </c>
      <c r="AL1778">
        <f>IF($AK1778="","",COUNTIFS(LdAParty,$AE1778,LdAType,1,LdAKey,"&lt;"&amp;$AK1778)+COUNTIFS(LdBMember,$AE1778,LdBKey,"&lt;"&amp;$AK1778)+COUNTIFS(LdCParty,$AE1778,LdCKey,"&lt;"&amp;$AK1778)+1)</f>
        <v/>
      </c>
      <c r="AM1778">
        <f>IF($AL1778="","",$AE1778&amp;"|"&amp;RIGHT("000000"&amp;$AL1778,6))</f>
        <v/>
      </c>
      <c r="AN1778">
        <f>IF($AE1778="","",IF(Sync!$W1778="",0,Sync!$W1778))</f>
        <v/>
      </c>
      <c r="AO1778">
        <f>IF($AE1778="","",IF(Sync!$X1778="",0,Sync!$X1778))</f>
        <v/>
      </c>
      <c r="AP1778">
        <f>IF($AE1778="","",Sync!$R1778)</f>
        <v/>
      </c>
      <c r="AQ1778">
        <f>IF($AE1778="","",Sync!$Y1778)</f>
        <v/>
      </c>
    </row>
    <row r="1779">
      <c r="A1779">
        <f>IF(OR(Wages!$B1782="",Wages!$E1782=""),"",Wages!$E1782)</f>
        <v/>
      </c>
      <c r="B1779">
        <f>IF($A1779="","",IF(Wages!$C1782="دستمزد گروهی",2,1))</f>
        <v/>
      </c>
      <c r="C1779">
        <f>IF($A1779="","",IF(ISNUMBER(Wages!$B1782),IF(AND(Wages!$B1782&gt;=10000101,Wages!$B1782&lt;=99991231),INT(Wages!$B1782/10000),""),IFERROR(VALUE(TRIM(LEFT(Wages!$B1782,FIND("/",Wages!$B1782)-1))),"")))</f>
        <v/>
      </c>
      <c r="D1779">
        <f>IF(OR($A1779="",$C1779=""),"",IF(ISNUMBER(Wages!$B1782),INT(MOD(Wages!$B1782,10000)/100),IFERROR(VALUE(TRIM(LEFT(MID(Wages!$B1782,FIND("/",Wages!$B1782)+1,20),FIND("/",MID(Wages!$B1782,FIND("/",Wages!$B1782)+1,20))-1))),"")))</f>
        <v/>
      </c>
      <c r="E1779">
        <f>IF(OR($A1779="",$C1779=""),"",IF(ISNUMBER(Wages!$B1782),MOD(Wages!$B1782,100),IFERROR(VALUE(TRIM(MID(MID(Wages!$B1782,FIND("/",Wages!$B1782)+1,20),FIND("/",MID(Wages!$B1782,FIND("/",Wages!$B1782)+1,20))+1,20))),"")))</f>
        <v/>
      </c>
      <c r="F1779">
        <f>IF($A1779="","",IF(OR($C1779="",$D1779="",$E1779="",$C1779&lt;1300,$C1779&gt;1500,$D1779&lt;1,$D1779&gt;12,$E1779&lt;1,$E1779&gt;31),"نامعتبر",RIGHT("0000"&amp;$C1779,4)&amp;"/"&amp;RIGHT("00"&amp;$D1779,2)&amp;"/"&amp;RIGHT("00"&amp;$E1779,2)))</f>
        <v/>
      </c>
      <c r="G1779">
        <f>IF(OR($A1779="",$F1779="",$F1779="نامعتبر"),"",LEFT($F1779,4)&amp;MID($F1779,6,2)&amp;RIGHT($F1779,2)&amp;"0000"&amp;"|"&amp;"1"&amp;RIGHT("00000"&amp;1774,5))</f>
        <v/>
      </c>
      <c r="H1779">
        <f>IF(OR($B1779&lt;&gt;1,$G1779=""),"",COUNTIFS(LdAParty,$A1779,LdAType,1,LdAKey,"&lt;"&amp;$G1779)+COUNTIFS(LdBMember,$A1779,LdBKey,"&lt;"&amp;$G1779)+COUNTIFS(LdCParty,$A1779,LdCKey,"&lt;"&amp;$G1779)+1)</f>
        <v/>
      </c>
      <c r="I1779">
        <f>IF($H1779="","",$A1779&amp;"|"&amp;RIGHT("000000"&amp;$H1779,6))</f>
        <v/>
      </c>
      <c r="J1779">
        <f>IF(OR($B1779&lt;&gt;2,$G1779=""),"",COUNTIFS(LdAParty,$A1779,LdAType,2,LdAKey,"&lt;"&amp;$G1779)+1)</f>
        <v/>
      </c>
      <c r="K1779">
        <f>IF($J1779="","",$A1779&amp;"|"&amp;RIGHT("000000"&amp;$J1779,6))</f>
        <v/>
      </c>
      <c r="L1779">
        <f>IF($A1779="","",IF(Wages!$G1782="",0,Wages!$G1782))</f>
        <v/>
      </c>
      <c r="M1779">
        <f>IF($A1779="","",Wages!$J1782)</f>
        <v/>
      </c>
      <c r="N1779">
        <f>IF($A1779="","",Wages!$D1782)</f>
        <v/>
      </c>
      <c r="P1779">
        <f>IF(OR(Shares!$B1782="",Shares!$C1782=""),"",Shares!$C1782)</f>
        <v/>
      </c>
      <c r="Q1779">
        <f>IF($P1779="","",Shares!$B1782)</f>
        <v/>
      </c>
      <c r="R1779">
        <f>IF($P1779="","",IFERROR(INDEX(WageParty,MATCH($Q1779,WageIds,0)),""))</f>
        <v/>
      </c>
      <c r="S1779">
        <f>IF($P1779="","",IFERROR(INDEX($F$6:$F$2005,MATCH($Q1779,WageIds,0)),""))</f>
        <v/>
      </c>
      <c r="T1779">
        <f>IF(OR($P1779="",$S1779="",$S1779="نامعتبر"),"",LEFT($S1779,4)&amp;MID($S1779,6,2)&amp;RIGHT($S1779,2)&amp;"0000"&amp;"|"&amp;"2"&amp;RIGHT("00000"&amp;1774,5))</f>
        <v/>
      </c>
      <c r="U1779">
        <f>IF($T1779="","",COUNTIFS(LdAParty,$P1779,LdAType,1,LdAKey,"&lt;"&amp;$T1779)+COUNTIFS(LdBMember,$P1779,LdBKey,"&lt;"&amp;$T1779)+COUNTIFS(LdCParty,$P1779,LdCKey,"&lt;"&amp;$T1779)+1)</f>
        <v/>
      </c>
      <c r="V1779">
        <f>IF($U1779="","",$P1779&amp;"|"&amp;RIGHT("000000"&amp;$U1779,6))</f>
        <v/>
      </c>
      <c r="W1779">
        <f>IF($T1779="","",COUNTIFS(LdBGroup,$R1779,LdBKey,"&lt;"&amp;$T1779)+1)</f>
        <v/>
      </c>
      <c r="X1779">
        <f>IF($W1779="","",$R1779&amp;"|"&amp;RIGHT("000000"&amp;$W1779,6))</f>
        <v/>
      </c>
      <c r="Y1779">
        <f>IF($P1779="","",IF(Shares!$E1782="",0,Shares!$E1782))</f>
        <v/>
      </c>
      <c r="Z1779">
        <f>IF($P1779="","",Shares!$H1782)</f>
        <v/>
      </c>
      <c r="AE1779">
        <f>IF(OR(Sync!$S1779="",Sync!$P1779=""),"",Sync!$S1779)</f>
        <v/>
      </c>
      <c r="AF1779">
        <f>IF($AE1779="","",IF(ISNUMBER(Sync!$P1779),IF(AND(Sync!$P1779&gt;=10000101,Sync!$P1779&lt;=99991231),INT(Sync!$P1779/10000),""),IFERROR(VALUE(TRIM(LEFT(Sync!$P1779,FIND("/",Sync!$P1779)-1))),"")))</f>
        <v/>
      </c>
      <c r="AG1779">
        <f>IF(OR($AE1779="",$AF1779=""),"",IF(ISNUMBER(Sync!$P1779),INT(MOD(Sync!$P1779,10000)/100),IFERROR(VALUE(TRIM(LEFT(MID(Sync!$P1779,FIND("/",Sync!$P1779)+1,20),FIND("/",MID(Sync!$P1779,FIND("/",Sync!$P1779)+1,20))-1))),"")))</f>
        <v/>
      </c>
      <c r="AH1779">
        <f>IF(OR($AE1779="",$AF1779=""),"",IF(ISNUMBER(Sync!$P1779),MOD(Sync!$P1779,100),IFERROR(VALUE(TRIM(MID(MID(Sync!$P1779,FIND("/",Sync!$P1779)+1,20),FIND("/",MID(Sync!$P1779,FIND("/",Sync!$P1779)+1,20))+1,20))),"")))</f>
        <v/>
      </c>
      <c r="AI1779">
        <f>IF($AE1779="","",IF(OR($AF1779="",$AG1779="",$AH1779="",$AF1779&lt;1300,$AF1779&gt;1500,$AG1779&lt;1,$AG1779&gt;12,$AH1779&lt;1,$AH1779&gt;31),"نامعتبر",RIGHT("0000"&amp;$AF1779,4)&amp;"/"&amp;RIGHT("00"&amp;$AG1779,2)&amp;"/"&amp;RIGHT("00"&amp;$AH1779,2)))</f>
        <v/>
      </c>
      <c r="AJ1779">
        <f>IF($AE1779="","",IF(Sync!$Q1779="","0000",IF(AND(ISNUMBER(Sync!$Q1779),Sync!$Q1779&gt;=0,Sync!$Q1779&lt;1),RIGHT("00"&amp;HOUR(Sync!$Q1779),2)&amp;RIGHT("00"&amp;MINUTE(Sync!$Q1779),2),IFERROR(RIGHT("00"&amp;VALUE(LEFT(Sync!$Q1779,FIND(":",Sync!$Q1779)-1)),2)&amp;RIGHT("00"&amp;VALUE(MID(Sync!$Q1779,FIND(":",Sync!$Q1779)+1,2)),2),"0000"))))</f>
        <v/>
      </c>
      <c r="AK1779">
        <f>IF(OR($AE1779="",$AI1779="",$AI1779="نامعتبر"),"",LEFT($AI1779,4)&amp;MID($AI1779,6,2)&amp;RIGHT($AI1779,2)&amp;$AJ1779&amp;"|"&amp;"3"&amp;RIGHT("00000"&amp;1774,5))</f>
        <v/>
      </c>
      <c r="AL1779">
        <f>IF($AK1779="","",COUNTIFS(LdAParty,$AE1779,LdAType,1,LdAKey,"&lt;"&amp;$AK1779)+COUNTIFS(LdBMember,$AE1779,LdBKey,"&lt;"&amp;$AK1779)+COUNTIFS(LdCParty,$AE1779,LdCKey,"&lt;"&amp;$AK1779)+1)</f>
        <v/>
      </c>
      <c r="AM1779">
        <f>IF($AL1779="","",$AE1779&amp;"|"&amp;RIGHT("000000"&amp;$AL1779,6))</f>
        <v/>
      </c>
      <c r="AN1779">
        <f>IF($AE1779="","",IF(Sync!$W1779="",0,Sync!$W1779))</f>
        <v/>
      </c>
      <c r="AO1779">
        <f>IF($AE1779="","",IF(Sync!$X1779="",0,Sync!$X1779))</f>
        <v/>
      </c>
      <c r="AP1779">
        <f>IF($AE1779="","",Sync!$R1779)</f>
        <v/>
      </c>
      <c r="AQ1779">
        <f>IF($AE1779="","",Sync!$Y1779)</f>
        <v/>
      </c>
    </row>
    <row r="1780">
      <c r="A1780">
        <f>IF(OR(Wages!$B1783="",Wages!$E1783=""),"",Wages!$E1783)</f>
        <v/>
      </c>
      <c r="B1780">
        <f>IF($A1780="","",IF(Wages!$C1783="دستمزد گروهی",2,1))</f>
        <v/>
      </c>
      <c r="C1780">
        <f>IF($A1780="","",IF(ISNUMBER(Wages!$B1783),IF(AND(Wages!$B1783&gt;=10000101,Wages!$B1783&lt;=99991231),INT(Wages!$B1783/10000),""),IFERROR(VALUE(TRIM(LEFT(Wages!$B1783,FIND("/",Wages!$B1783)-1))),"")))</f>
        <v/>
      </c>
      <c r="D1780">
        <f>IF(OR($A1780="",$C1780=""),"",IF(ISNUMBER(Wages!$B1783),INT(MOD(Wages!$B1783,10000)/100),IFERROR(VALUE(TRIM(LEFT(MID(Wages!$B1783,FIND("/",Wages!$B1783)+1,20),FIND("/",MID(Wages!$B1783,FIND("/",Wages!$B1783)+1,20))-1))),"")))</f>
        <v/>
      </c>
      <c r="E1780">
        <f>IF(OR($A1780="",$C1780=""),"",IF(ISNUMBER(Wages!$B1783),MOD(Wages!$B1783,100),IFERROR(VALUE(TRIM(MID(MID(Wages!$B1783,FIND("/",Wages!$B1783)+1,20),FIND("/",MID(Wages!$B1783,FIND("/",Wages!$B1783)+1,20))+1,20))),"")))</f>
        <v/>
      </c>
      <c r="F1780">
        <f>IF($A1780="","",IF(OR($C1780="",$D1780="",$E1780="",$C1780&lt;1300,$C1780&gt;1500,$D1780&lt;1,$D1780&gt;12,$E1780&lt;1,$E1780&gt;31),"نامعتبر",RIGHT("0000"&amp;$C1780,4)&amp;"/"&amp;RIGHT("00"&amp;$D1780,2)&amp;"/"&amp;RIGHT("00"&amp;$E1780,2)))</f>
        <v/>
      </c>
      <c r="G1780">
        <f>IF(OR($A1780="",$F1780="",$F1780="نامعتبر"),"",LEFT($F1780,4)&amp;MID($F1780,6,2)&amp;RIGHT($F1780,2)&amp;"0000"&amp;"|"&amp;"1"&amp;RIGHT("00000"&amp;1775,5))</f>
        <v/>
      </c>
      <c r="H1780">
        <f>IF(OR($B1780&lt;&gt;1,$G1780=""),"",COUNTIFS(LdAParty,$A1780,LdAType,1,LdAKey,"&lt;"&amp;$G1780)+COUNTIFS(LdBMember,$A1780,LdBKey,"&lt;"&amp;$G1780)+COUNTIFS(LdCParty,$A1780,LdCKey,"&lt;"&amp;$G1780)+1)</f>
        <v/>
      </c>
      <c r="I1780">
        <f>IF($H1780="","",$A1780&amp;"|"&amp;RIGHT("000000"&amp;$H1780,6))</f>
        <v/>
      </c>
      <c r="J1780">
        <f>IF(OR($B1780&lt;&gt;2,$G1780=""),"",COUNTIFS(LdAParty,$A1780,LdAType,2,LdAKey,"&lt;"&amp;$G1780)+1)</f>
        <v/>
      </c>
      <c r="K1780">
        <f>IF($J1780="","",$A1780&amp;"|"&amp;RIGHT("000000"&amp;$J1780,6))</f>
        <v/>
      </c>
      <c r="L1780">
        <f>IF($A1780="","",IF(Wages!$G1783="",0,Wages!$G1783))</f>
        <v/>
      </c>
      <c r="M1780">
        <f>IF($A1780="","",Wages!$J1783)</f>
        <v/>
      </c>
      <c r="N1780">
        <f>IF($A1780="","",Wages!$D1783)</f>
        <v/>
      </c>
      <c r="P1780">
        <f>IF(OR(Shares!$B1783="",Shares!$C1783=""),"",Shares!$C1783)</f>
        <v/>
      </c>
      <c r="Q1780">
        <f>IF($P1780="","",Shares!$B1783)</f>
        <v/>
      </c>
      <c r="R1780">
        <f>IF($P1780="","",IFERROR(INDEX(WageParty,MATCH($Q1780,WageIds,0)),""))</f>
        <v/>
      </c>
      <c r="S1780">
        <f>IF($P1780="","",IFERROR(INDEX($F$6:$F$2005,MATCH($Q1780,WageIds,0)),""))</f>
        <v/>
      </c>
      <c r="T1780">
        <f>IF(OR($P1780="",$S1780="",$S1780="نامعتبر"),"",LEFT($S1780,4)&amp;MID($S1780,6,2)&amp;RIGHT($S1780,2)&amp;"0000"&amp;"|"&amp;"2"&amp;RIGHT("00000"&amp;1775,5))</f>
        <v/>
      </c>
      <c r="U1780">
        <f>IF($T1780="","",COUNTIFS(LdAParty,$P1780,LdAType,1,LdAKey,"&lt;"&amp;$T1780)+COUNTIFS(LdBMember,$P1780,LdBKey,"&lt;"&amp;$T1780)+COUNTIFS(LdCParty,$P1780,LdCKey,"&lt;"&amp;$T1780)+1)</f>
        <v/>
      </c>
      <c r="V1780">
        <f>IF($U1780="","",$P1780&amp;"|"&amp;RIGHT("000000"&amp;$U1780,6))</f>
        <v/>
      </c>
      <c r="W1780">
        <f>IF($T1780="","",COUNTIFS(LdBGroup,$R1780,LdBKey,"&lt;"&amp;$T1780)+1)</f>
        <v/>
      </c>
      <c r="X1780">
        <f>IF($W1780="","",$R1780&amp;"|"&amp;RIGHT("000000"&amp;$W1780,6))</f>
        <v/>
      </c>
      <c r="Y1780">
        <f>IF($P1780="","",IF(Shares!$E1783="",0,Shares!$E1783))</f>
        <v/>
      </c>
      <c r="Z1780">
        <f>IF($P1780="","",Shares!$H1783)</f>
        <v/>
      </c>
      <c r="AE1780">
        <f>IF(OR(Sync!$S1780="",Sync!$P1780=""),"",Sync!$S1780)</f>
        <v/>
      </c>
      <c r="AF1780">
        <f>IF($AE1780="","",IF(ISNUMBER(Sync!$P1780),IF(AND(Sync!$P1780&gt;=10000101,Sync!$P1780&lt;=99991231),INT(Sync!$P1780/10000),""),IFERROR(VALUE(TRIM(LEFT(Sync!$P1780,FIND("/",Sync!$P1780)-1))),"")))</f>
        <v/>
      </c>
      <c r="AG1780">
        <f>IF(OR($AE1780="",$AF1780=""),"",IF(ISNUMBER(Sync!$P1780),INT(MOD(Sync!$P1780,10000)/100),IFERROR(VALUE(TRIM(LEFT(MID(Sync!$P1780,FIND("/",Sync!$P1780)+1,20),FIND("/",MID(Sync!$P1780,FIND("/",Sync!$P1780)+1,20))-1))),"")))</f>
        <v/>
      </c>
      <c r="AH1780">
        <f>IF(OR($AE1780="",$AF1780=""),"",IF(ISNUMBER(Sync!$P1780),MOD(Sync!$P1780,100),IFERROR(VALUE(TRIM(MID(MID(Sync!$P1780,FIND("/",Sync!$P1780)+1,20),FIND("/",MID(Sync!$P1780,FIND("/",Sync!$P1780)+1,20))+1,20))),"")))</f>
        <v/>
      </c>
      <c r="AI1780">
        <f>IF($AE1780="","",IF(OR($AF1780="",$AG1780="",$AH1780="",$AF1780&lt;1300,$AF1780&gt;1500,$AG1780&lt;1,$AG1780&gt;12,$AH1780&lt;1,$AH1780&gt;31),"نامعتبر",RIGHT("0000"&amp;$AF1780,4)&amp;"/"&amp;RIGHT("00"&amp;$AG1780,2)&amp;"/"&amp;RIGHT("00"&amp;$AH1780,2)))</f>
        <v/>
      </c>
      <c r="AJ1780">
        <f>IF($AE1780="","",IF(Sync!$Q1780="","0000",IF(AND(ISNUMBER(Sync!$Q1780),Sync!$Q1780&gt;=0,Sync!$Q1780&lt;1),RIGHT("00"&amp;HOUR(Sync!$Q1780),2)&amp;RIGHT("00"&amp;MINUTE(Sync!$Q1780),2),IFERROR(RIGHT("00"&amp;VALUE(LEFT(Sync!$Q1780,FIND(":",Sync!$Q1780)-1)),2)&amp;RIGHT("00"&amp;VALUE(MID(Sync!$Q1780,FIND(":",Sync!$Q1780)+1,2)),2),"0000"))))</f>
        <v/>
      </c>
      <c r="AK1780">
        <f>IF(OR($AE1780="",$AI1780="",$AI1780="نامعتبر"),"",LEFT($AI1780,4)&amp;MID($AI1780,6,2)&amp;RIGHT($AI1780,2)&amp;$AJ1780&amp;"|"&amp;"3"&amp;RIGHT("00000"&amp;1775,5))</f>
        <v/>
      </c>
      <c r="AL1780">
        <f>IF($AK1780="","",COUNTIFS(LdAParty,$AE1780,LdAType,1,LdAKey,"&lt;"&amp;$AK1780)+COUNTIFS(LdBMember,$AE1780,LdBKey,"&lt;"&amp;$AK1780)+COUNTIFS(LdCParty,$AE1780,LdCKey,"&lt;"&amp;$AK1780)+1)</f>
        <v/>
      </c>
      <c r="AM1780">
        <f>IF($AL1780="","",$AE1780&amp;"|"&amp;RIGHT("000000"&amp;$AL1780,6))</f>
        <v/>
      </c>
      <c r="AN1780">
        <f>IF($AE1780="","",IF(Sync!$W1780="",0,Sync!$W1780))</f>
        <v/>
      </c>
      <c r="AO1780">
        <f>IF($AE1780="","",IF(Sync!$X1780="",0,Sync!$X1780))</f>
        <v/>
      </c>
      <c r="AP1780">
        <f>IF($AE1780="","",Sync!$R1780)</f>
        <v/>
      </c>
      <c r="AQ1780">
        <f>IF($AE1780="","",Sync!$Y1780)</f>
        <v/>
      </c>
    </row>
    <row r="1781">
      <c r="A1781">
        <f>IF(OR(Wages!$B1784="",Wages!$E1784=""),"",Wages!$E1784)</f>
        <v/>
      </c>
      <c r="B1781">
        <f>IF($A1781="","",IF(Wages!$C1784="دستمزد گروهی",2,1))</f>
        <v/>
      </c>
      <c r="C1781">
        <f>IF($A1781="","",IF(ISNUMBER(Wages!$B1784),IF(AND(Wages!$B1784&gt;=10000101,Wages!$B1784&lt;=99991231),INT(Wages!$B1784/10000),""),IFERROR(VALUE(TRIM(LEFT(Wages!$B1784,FIND("/",Wages!$B1784)-1))),"")))</f>
        <v/>
      </c>
      <c r="D1781">
        <f>IF(OR($A1781="",$C1781=""),"",IF(ISNUMBER(Wages!$B1784),INT(MOD(Wages!$B1784,10000)/100),IFERROR(VALUE(TRIM(LEFT(MID(Wages!$B1784,FIND("/",Wages!$B1784)+1,20),FIND("/",MID(Wages!$B1784,FIND("/",Wages!$B1784)+1,20))-1))),"")))</f>
        <v/>
      </c>
      <c r="E1781">
        <f>IF(OR($A1781="",$C1781=""),"",IF(ISNUMBER(Wages!$B1784),MOD(Wages!$B1784,100),IFERROR(VALUE(TRIM(MID(MID(Wages!$B1784,FIND("/",Wages!$B1784)+1,20),FIND("/",MID(Wages!$B1784,FIND("/",Wages!$B1784)+1,20))+1,20))),"")))</f>
        <v/>
      </c>
      <c r="F1781">
        <f>IF($A1781="","",IF(OR($C1781="",$D1781="",$E1781="",$C1781&lt;1300,$C1781&gt;1500,$D1781&lt;1,$D1781&gt;12,$E1781&lt;1,$E1781&gt;31),"نامعتبر",RIGHT("0000"&amp;$C1781,4)&amp;"/"&amp;RIGHT("00"&amp;$D1781,2)&amp;"/"&amp;RIGHT("00"&amp;$E1781,2)))</f>
        <v/>
      </c>
      <c r="G1781">
        <f>IF(OR($A1781="",$F1781="",$F1781="نامعتبر"),"",LEFT($F1781,4)&amp;MID($F1781,6,2)&amp;RIGHT($F1781,2)&amp;"0000"&amp;"|"&amp;"1"&amp;RIGHT("00000"&amp;1776,5))</f>
        <v/>
      </c>
      <c r="H1781">
        <f>IF(OR($B1781&lt;&gt;1,$G1781=""),"",COUNTIFS(LdAParty,$A1781,LdAType,1,LdAKey,"&lt;"&amp;$G1781)+COUNTIFS(LdBMember,$A1781,LdBKey,"&lt;"&amp;$G1781)+COUNTIFS(LdCParty,$A1781,LdCKey,"&lt;"&amp;$G1781)+1)</f>
        <v/>
      </c>
      <c r="I1781">
        <f>IF($H1781="","",$A1781&amp;"|"&amp;RIGHT("000000"&amp;$H1781,6))</f>
        <v/>
      </c>
      <c r="J1781">
        <f>IF(OR($B1781&lt;&gt;2,$G1781=""),"",COUNTIFS(LdAParty,$A1781,LdAType,2,LdAKey,"&lt;"&amp;$G1781)+1)</f>
        <v/>
      </c>
      <c r="K1781">
        <f>IF($J1781="","",$A1781&amp;"|"&amp;RIGHT("000000"&amp;$J1781,6))</f>
        <v/>
      </c>
      <c r="L1781">
        <f>IF($A1781="","",IF(Wages!$G1784="",0,Wages!$G1784))</f>
        <v/>
      </c>
      <c r="M1781">
        <f>IF($A1781="","",Wages!$J1784)</f>
        <v/>
      </c>
      <c r="N1781">
        <f>IF($A1781="","",Wages!$D1784)</f>
        <v/>
      </c>
      <c r="P1781">
        <f>IF(OR(Shares!$B1784="",Shares!$C1784=""),"",Shares!$C1784)</f>
        <v/>
      </c>
      <c r="Q1781">
        <f>IF($P1781="","",Shares!$B1784)</f>
        <v/>
      </c>
      <c r="R1781">
        <f>IF($P1781="","",IFERROR(INDEX(WageParty,MATCH($Q1781,WageIds,0)),""))</f>
        <v/>
      </c>
      <c r="S1781">
        <f>IF($P1781="","",IFERROR(INDEX($F$6:$F$2005,MATCH($Q1781,WageIds,0)),""))</f>
        <v/>
      </c>
      <c r="T1781">
        <f>IF(OR($P1781="",$S1781="",$S1781="نامعتبر"),"",LEFT($S1781,4)&amp;MID($S1781,6,2)&amp;RIGHT($S1781,2)&amp;"0000"&amp;"|"&amp;"2"&amp;RIGHT("00000"&amp;1776,5))</f>
        <v/>
      </c>
      <c r="U1781">
        <f>IF($T1781="","",COUNTIFS(LdAParty,$P1781,LdAType,1,LdAKey,"&lt;"&amp;$T1781)+COUNTIFS(LdBMember,$P1781,LdBKey,"&lt;"&amp;$T1781)+COUNTIFS(LdCParty,$P1781,LdCKey,"&lt;"&amp;$T1781)+1)</f>
        <v/>
      </c>
      <c r="V1781">
        <f>IF($U1781="","",$P1781&amp;"|"&amp;RIGHT("000000"&amp;$U1781,6))</f>
        <v/>
      </c>
      <c r="W1781">
        <f>IF($T1781="","",COUNTIFS(LdBGroup,$R1781,LdBKey,"&lt;"&amp;$T1781)+1)</f>
        <v/>
      </c>
      <c r="X1781">
        <f>IF($W1781="","",$R1781&amp;"|"&amp;RIGHT("000000"&amp;$W1781,6))</f>
        <v/>
      </c>
      <c r="Y1781">
        <f>IF($P1781="","",IF(Shares!$E1784="",0,Shares!$E1784))</f>
        <v/>
      </c>
      <c r="Z1781">
        <f>IF($P1781="","",Shares!$H1784)</f>
        <v/>
      </c>
      <c r="AE1781">
        <f>IF(OR(Sync!$S1781="",Sync!$P1781=""),"",Sync!$S1781)</f>
        <v/>
      </c>
      <c r="AF1781">
        <f>IF($AE1781="","",IF(ISNUMBER(Sync!$P1781),IF(AND(Sync!$P1781&gt;=10000101,Sync!$P1781&lt;=99991231),INT(Sync!$P1781/10000),""),IFERROR(VALUE(TRIM(LEFT(Sync!$P1781,FIND("/",Sync!$P1781)-1))),"")))</f>
        <v/>
      </c>
      <c r="AG1781">
        <f>IF(OR($AE1781="",$AF1781=""),"",IF(ISNUMBER(Sync!$P1781),INT(MOD(Sync!$P1781,10000)/100),IFERROR(VALUE(TRIM(LEFT(MID(Sync!$P1781,FIND("/",Sync!$P1781)+1,20),FIND("/",MID(Sync!$P1781,FIND("/",Sync!$P1781)+1,20))-1))),"")))</f>
        <v/>
      </c>
      <c r="AH1781">
        <f>IF(OR($AE1781="",$AF1781=""),"",IF(ISNUMBER(Sync!$P1781),MOD(Sync!$P1781,100),IFERROR(VALUE(TRIM(MID(MID(Sync!$P1781,FIND("/",Sync!$P1781)+1,20),FIND("/",MID(Sync!$P1781,FIND("/",Sync!$P1781)+1,20))+1,20))),"")))</f>
        <v/>
      </c>
      <c r="AI1781">
        <f>IF($AE1781="","",IF(OR($AF1781="",$AG1781="",$AH1781="",$AF1781&lt;1300,$AF1781&gt;1500,$AG1781&lt;1,$AG1781&gt;12,$AH1781&lt;1,$AH1781&gt;31),"نامعتبر",RIGHT("0000"&amp;$AF1781,4)&amp;"/"&amp;RIGHT("00"&amp;$AG1781,2)&amp;"/"&amp;RIGHT("00"&amp;$AH1781,2)))</f>
        <v/>
      </c>
      <c r="AJ1781">
        <f>IF($AE1781="","",IF(Sync!$Q1781="","0000",IF(AND(ISNUMBER(Sync!$Q1781),Sync!$Q1781&gt;=0,Sync!$Q1781&lt;1),RIGHT("00"&amp;HOUR(Sync!$Q1781),2)&amp;RIGHT("00"&amp;MINUTE(Sync!$Q1781),2),IFERROR(RIGHT("00"&amp;VALUE(LEFT(Sync!$Q1781,FIND(":",Sync!$Q1781)-1)),2)&amp;RIGHT("00"&amp;VALUE(MID(Sync!$Q1781,FIND(":",Sync!$Q1781)+1,2)),2),"0000"))))</f>
        <v/>
      </c>
      <c r="AK1781">
        <f>IF(OR($AE1781="",$AI1781="",$AI1781="نامعتبر"),"",LEFT($AI1781,4)&amp;MID($AI1781,6,2)&amp;RIGHT($AI1781,2)&amp;$AJ1781&amp;"|"&amp;"3"&amp;RIGHT("00000"&amp;1776,5))</f>
        <v/>
      </c>
      <c r="AL1781">
        <f>IF($AK1781="","",COUNTIFS(LdAParty,$AE1781,LdAType,1,LdAKey,"&lt;"&amp;$AK1781)+COUNTIFS(LdBMember,$AE1781,LdBKey,"&lt;"&amp;$AK1781)+COUNTIFS(LdCParty,$AE1781,LdCKey,"&lt;"&amp;$AK1781)+1)</f>
        <v/>
      </c>
      <c r="AM1781">
        <f>IF($AL1781="","",$AE1781&amp;"|"&amp;RIGHT("000000"&amp;$AL1781,6))</f>
        <v/>
      </c>
      <c r="AN1781">
        <f>IF($AE1781="","",IF(Sync!$W1781="",0,Sync!$W1781))</f>
        <v/>
      </c>
      <c r="AO1781">
        <f>IF($AE1781="","",IF(Sync!$X1781="",0,Sync!$X1781))</f>
        <v/>
      </c>
      <c r="AP1781">
        <f>IF($AE1781="","",Sync!$R1781)</f>
        <v/>
      </c>
      <c r="AQ1781">
        <f>IF($AE1781="","",Sync!$Y1781)</f>
        <v/>
      </c>
    </row>
    <row r="1782">
      <c r="A1782">
        <f>IF(OR(Wages!$B1785="",Wages!$E1785=""),"",Wages!$E1785)</f>
        <v/>
      </c>
      <c r="B1782">
        <f>IF($A1782="","",IF(Wages!$C1785="دستمزد گروهی",2,1))</f>
        <v/>
      </c>
      <c r="C1782">
        <f>IF($A1782="","",IF(ISNUMBER(Wages!$B1785),IF(AND(Wages!$B1785&gt;=10000101,Wages!$B1785&lt;=99991231),INT(Wages!$B1785/10000),""),IFERROR(VALUE(TRIM(LEFT(Wages!$B1785,FIND("/",Wages!$B1785)-1))),"")))</f>
        <v/>
      </c>
      <c r="D1782">
        <f>IF(OR($A1782="",$C1782=""),"",IF(ISNUMBER(Wages!$B1785),INT(MOD(Wages!$B1785,10000)/100),IFERROR(VALUE(TRIM(LEFT(MID(Wages!$B1785,FIND("/",Wages!$B1785)+1,20),FIND("/",MID(Wages!$B1785,FIND("/",Wages!$B1785)+1,20))-1))),"")))</f>
        <v/>
      </c>
      <c r="E1782">
        <f>IF(OR($A1782="",$C1782=""),"",IF(ISNUMBER(Wages!$B1785),MOD(Wages!$B1785,100),IFERROR(VALUE(TRIM(MID(MID(Wages!$B1785,FIND("/",Wages!$B1785)+1,20),FIND("/",MID(Wages!$B1785,FIND("/",Wages!$B1785)+1,20))+1,20))),"")))</f>
        <v/>
      </c>
      <c r="F1782">
        <f>IF($A1782="","",IF(OR($C1782="",$D1782="",$E1782="",$C1782&lt;1300,$C1782&gt;1500,$D1782&lt;1,$D1782&gt;12,$E1782&lt;1,$E1782&gt;31),"نامعتبر",RIGHT("0000"&amp;$C1782,4)&amp;"/"&amp;RIGHT("00"&amp;$D1782,2)&amp;"/"&amp;RIGHT("00"&amp;$E1782,2)))</f>
        <v/>
      </c>
      <c r="G1782">
        <f>IF(OR($A1782="",$F1782="",$F1782="نامعتبر"),"",LEFT($F1782,4)&amp;MID($F1782,6,2)&amp;RIGHT($F1782,2)&amp;"0000"&amp;"|"&amp;"1"&amp;RIGHT("00000"&amp;1777,5))</f>
        <v/>
      </c>
      <c r="H1782">
        <f>IF(OR($B1782&lt;&gt;1,$G1782=""),"",COUNTIFS(LdAParty,$A1782,LdAType,1,LdAKey,"&lt;"&amp;$G1782)+COUNTIFS(LdBMember,$A1782,LdBKey,"&lt;"&amp;$G1782)+COUNTIFS(LdCParty,$A1782,LdCKey,"&lt;"&amp;$G1782)+1)</f>
        <v/>
      </c>
      <c r="I1782">
        <f>IF($H1782="","",$A1782&amp;"|"&amp;RIGHT("000000"&amp;$H1782,6))</f>
        <v/>
      </c>
      <c r="J1782">
        <f>IF(OR($B1782&lt;&gt;2,$G1782=""),"",COUNTIFS(LdAParty,$A1782,LdAType,2,LdAKey,"&lt;"&amp;$G1782)+1)</f>
        <v/>
      </c>
      <c r="K1782">
        <f>IF($J1782="","",$A1782&amp;"|"&amp;RIGHT("000000"&amp;$J1782,6))</f>
        <v/>
      </c>
      <c r="L1782">
        <f>IF($A1782="","",IF(Wages!$G1785="",0,Wages!$G1785))</f>
        <v/>
      </c>
      <c r="M1782">
        <f>IF($A1782="","",Wages!$J1785)</f>
        <v/>
      </c>
      <c r="N1782">
        <f>IF($A1782="","",Wages!$D1785)</f>
        <v/>
      </c>
      <c r="P1782">
        <f>IF(OR(Shares!$B1785="",Shares!$C1785=""),"",Shares!$C1785)</f>
        <v/>
      </c>
      <c r="Q1782">
        <f>IF($P1782="","",Shares!$B1785)</f>
        <v/>
      </c>
      <c r="R1782">
        <f>IF($P1782="","",IFERROR(INDEX(WageParty,MATCH($Q1782,WageIds,0)),""))</f>
        <v/>
      </c>
      <c r="S1782">
        <f>IF($P1782="","",IFERROR(INDEX($F$6:$F$2005,MATCH($Q1782,WageIds,0)),""))</f>
        <v/>
      </c>
      <c r="T1782">
        <f>IF(OR($P1782="",$S1782="",$S1782="نامعتبر"),"",LEFT($S1782,4)&amp;MID($S1782,6,2)&amp;RIGHT($S1782,2)&amp;"0000"&amp;"|"&amp;"2"&amp;RIGHT("00000"&amp;1777,5))</f>
        <v/>
      </c>
      <c r="U1782">
        <f>IF($T1782="","",COUNTIFS(LdAParty,$P1782,LdAType,1,LdAKey,"&lt;"&amp;$T1782)+COUNTIFS(LdBMember,$P1782,LdBKey,"&lt;"&amp;$T1782)+COUNTIFS(LdCParty,$P1782,LdCKey,"&lt;"&amp;$T1782)+1)</f>
        <v/>
      </c>
      <c r="V1782">
        <f>IF($U1782="","",$P1782&amp;"|"&amp;RIGHT("000000"&amp;$U1782,6))</f>
        <v/>
      </c>
      <c r="W1782">
        <f>IF($T1782="","",COUNTIFS(LdBGroup,$R1782,LdBKey,"&lt;"&amp;$T1782)+1)</f>
        <v/>
      </c>
      <c r="X1782">
        <f>IF($W1782="","",$R1782&amp;"|"&amp;RIGHT("000000"&amp;$W1782,6))</f>
        <v/>
      </c>
      <c r="Y1782">
        <f>IF($P1782="","",IF(Shares!$E1785="",0,Shares!$E1785))</f>
        <v/>
      </c>
      <c r="Z1782">
        <f>IF($P1782="","",Shares!$H1785)</f>
        <v/>
      </c>
      <c r="AE1782">
        <f>IF(OR(Sync!$S1782="",Sync!$P1782=""),"",Sync!$S1782)</f>
        <v/>
      </c>
      <c r="AF1782">
        <f>IF($AE1782="","",IF(ISNUMBER(Sync!$P1782),IF(AND(Sync!$P1782&gt;=10000101,Sync!$P1782&lt;=99991231),INT(Sync!$P1782/10000),""),IFERROR(VALUE(TRIM(LEFT(Sync!$P1782,FIND("/",Sync!$P1782)-1))),"")))</f>
        <v/>
      </c>
      <c r="AG1782">
        <f>IF(OR($AE1782="",$AF1782=""),"",IF(ISNUMBER(Sync!$P1782),INT(MOD(Sync!$P1782,10000)/100),IFERROR(VALUE(TRIM(LEFT(MID(Sync!$P1782,FIND("/",Sync!$P1782)+1,20),FIND("/",MID(Sync!$P1782,FIND("/",Sync!$P1782)+1,20))-1))),"")))</f>
        <v/>
      </c>
      <c r="AH1782">
        <f>IF(OR($AE1782="",$AF1782=""),"",IF(ISNUMBER(Sync!$P1782),MOD(Sync!$P1782,100),IFERROR(VALUE(TRIM(MID(MID(Sync!$P1782,FIND("/",Sync!$P1782)+1,20),FIND("/",MID(Sync!$P1782,FIND("/",Sync!$P1782)+1,20))+1,20))),"")))</f>
        <v/>
      </c>
      <c r="AI1782">
        <f>IF($AE1782="","",IF(OR($AF1782="",$AG1782="",$AH1782="",$AF1782&lt;1300,$AF1782&gt;1500,$AG1782&lt;1,$AG1782&gt;12,$AH1782&lt;1,$AH1782&gt;31),"نامعتبر",RIGHT("0000"&amp;$AF1782,4)&amp;"/"&amp;RIGHT("00"&amp;$AG1782,2)&amp;"/"&amp;RIGHT("00"&amp;$AH1782,2)))</f>
        <v/>
      </c>
      <c r="AJ1782">
        <f>IF($AE1782="","",IF(Sync!$Q1782="","0000",IF(AND(ISNUMBER(Sync!$Q1782),Sync!$Q1782&gt;=0,Sync!$Q1782&lt;1),RIGHT("00"&amp;HOUR(Sync!$Q1782),2)&amp;RIGHT("00"&amp;MINUTE(Sync!$Q1782),2),IFERROR(RIGHT("00"&amp;VALUE(LEFT(Sync!$Q1782,FIND(":",Sync!$Q1782)-1)),2)&amp;RIGHT("00"&amp;VALUE(MID(Sync!$Q1782,FIND(":",Sync!$Q1782)+1,2)),2),"0000"))))</f>
        <v/>
      </c>
      <c r="AK1782">
        <f>IF(OR($AE1782="",$AI1782="",$AI1782="نامعتبر"),"",LEFT($AI1782,4)&amp;MID($AI1782,6,2)&amp;RIGHT($AI1782,2)&amp;$AJ1782&amp;"|"&amp;"3"&amp;RIGHT("00000"&amp;1777,5))</f>
        <v/>
      </c>
      <c r="AL1782">
        <f>IF($AK1782="","",COUNTIFS(LdAParty,$AE1782,LdAType,1,LdAKey,"&lt;"&amp;$AK1782)+COUNTIFS(LdBMember,$AE1782,LdBKey,"&lt;"&amp;$AK1782)+COUNTIFS(LdCParty,$AE1782,LdCKey,"&lt;"&amp;$AK1782)+1)</f>
        <v/>
      </c>
      <c r="AM1782">
        <f>IF($AL1782="","",$AE1782&amp;"|"&amp;RIGHT("000000"&amp;$AL1782,6))</f>
        <v/>
      </c>
      <c r="AN1782">
        <f>IF($AE1782="","",IF(Sync!$W1782="",0,Sync!$W1782))</f>
        <v/>
      </c>
      <c r="AO1782">
        <f>IF($AE1782="","",IF(Sync!$X1782="",0,Sync!$X1782))</f>
        <v/>
      </c>
      <c r="AP1782">
        <f>IF($AE1782="","",Sync!$R1782)</f>
        <v/>
      </c>
      <c r="AQ1782">
        <f>IF($AE1782="","",Sync!$Y1782)</f>
        <v/>
      </c>
    </row>
    <row r="1783">
      <c r="A1783">
        <f>IF(OR(Wages!$B1786="",Wages!$E1786=""),"",Wages!$E1786)</f>
        <v/>
      </c>
      <c r="B1783">
        <f>IF($A1783="","",IF(Wages!$C1786="دستمزد گروهی",2,1))</f>
        <v/>
      </c>
      <c r="C1783">
        <f>IF($A1783="","",IF(ISNUMBER(Wages!$B1786),IF(AND(Wages!$B1786&gt;=10000101,Wages!$B1786&lt;=99991231),INT(Wages!$B1786/10000),""),IFERROR(VALUE(TRIM(LEFT(Wages!$B1786,FIND("/",Wages!$B1786)-1))),"")))</f>
        <v/>
      </c>
      <c r="D1783">
        <f>IF(OR($A1783="",$C1783=""),"",IF(ISNUMBER(Wages!$B1786),INT(MOD(Wages!$B1786,10000)/100),IFERROR(VALUE(TRIM(LEFT(MID(Wages!$B1786,FIND("/",Wages!$B1786)+1,20),FIND("/",MID(Wages!$B1786,FIND("/",Wages!$B1786)+1,20))-1))),"")))</f>
        <v/>
      </c>
      <c r="E1783">
        <f>IF(OR($A1783="",$C1783=""),"",IF(ISNUMBER(Wages!$B1786),MOD(Wages!$B1786,100),IFERROR(VALUE(TRIM(MID(MID(Wages!$B1786,FIND("/",Wages!$B1786)+1,20),FIND("/",MID(Wages!$B1786,FIND("/",Wages!$B1786)+1,20))+1,20))),"")))</f>
        <v/>
      </c>
      <c r="F1783">
        <f>IF($A1783="","",IF(OR($C1783="",$D1783="",$E1783="",$C1783&lt;1300,$C1783&gt;1500,$D1783&lt;1,$D1783&gt;12,$E1783&lt;1,$E1783&gt;31),"نامعتبر",RIGHT("0000"&amp;$C1783,4)&amp;"/"&amp;RIGHT("00"&amp;$D1783,2)&amp;"/"&amp;RIGHT("00"&amp;$E1783,2)))</f>
        <v/>
      </c>
      <c r="G1783">
        <f>IF(OR($A1783="",$F1783="",$F1783="نامعتبر"),"",LEFT($F1783,4)&amp;MID($F1783,6,2)&amp;RIGHT($F1783,2)&amp;"0000"&amp;"|"&amp;"1"&amp;RIGHT("00000"&amp;1778,5))</f>
        <v/>
      </c>
      <c r="H1783">
        <f>IF(OR($B1783&lt;&gt;1,$G1783=""),"",COUNTIFS(LdAParty,$A1783,LdAType,1,LdAKey,"&lt;"&amp;$G1783)+COUNTIFS(LdBMember,$A1783,LdBKey,"&lt;"&amp;$G1783)+COUNTIFS(LdCParty,$A1783,LdCKey,"&lt;"&amp;$G1783)+1)</f>
        <v/>
      </c>
      <c r="I1783">
        <f>IF($H1783="","",$A1783&amp;"|"&amp;RIGHT("000000"&amp;$H1783,6))</f>
        <v/>
      </c>
      <c r="J1783">
        <f>IF(OR($B1783&lt;&gt;2,$G1783=""),"",COUNTIFS(LdAParty,$A1783,LdAType,2,LdAKey,"&lt;"&amp;$G1783)+1)</f>
        <v/>
      </c>
      <c r="K1783">
        <f>IF($J1783="","",$A1783&amp;"|"&amp;RIGHT("000000"&amp;$J1783,6))</f>
        <v/>
      </c>
      <c r="L1783">
        <f>IF($A1783="","",IF(Wages!$G1786="",0,Wages!$G1786))</f>
        <v/>
      </c>
      <c r="M1783">
        <f>IF($A1783="","",Wages!$J1786)</f>
        <v/>
      </c>
      <c r="N1783">
        <f>IF($A1783="","",Wages!$D1786)</f>
        <v/>
      </c>
      <c r="P1783">
        <f>IF(OR(Shares!$B1786="",Shares!$C1786=""),"",Shares!$C1786)</f>
        <v/>
      </c>
      <c r="Q1783">
        <f>IF($P1783="","",Shares!$B1786)</f>
        <v/>
      </c>
      <c r="R1783">
        <f>IF($P1783="","",IFERROR(INDEX(WageParty,MATCH($Q1783,WageIds,0)),""))</f>
        <v/>
      </c>
      <c r="S1783">
        <f>IF($P1783="","",IFERROR(INDEX($F$6:$F$2005,MATCH($Q1783,WageIds,0)),""))</f>
        <v/>
      </c>
      <c r="T1783">
        <f>IF(OR($P1783="",$S1783="",$S1783="نامعتبر"),"",LEFT($S1783,4)&amp;MID($S1783,6,2)&amp;RIGHT($S1783,2)&amp;"0000"&amp;"|"&amp;"2"&amp;RIGHT("00000"&amp;1778,5))</f>
        <v/>
      </c>
      <c r="U1783">
        <f>IF($T1783="","",COUNTIFS(LdAParty,$P1783,LdAType,1,LdAKey,"&lt;"&amp;$T1783)+COUNTIFS(LdBMember,$P1783,LdBKey,"&lt;"&amp;$T1783)+COUNTIFS(LdCParty,$P1783,LdCKey,"&lt;"&amp;$T1783)+1)</f>
        <v/>
      </c>
      <c r="V1783">
        <f>IF($U1783="","",$P1783&amp;"|"&amp;RIGHT("000000"&amp;$U1783,6))</f>
        <v/>
      </c>
      <c r="W1783">
        <f>IF($T1783="","",COUNTIFS(LdBGroup,$R1783,LdBKey,"&lt;"&amp;$T1783)+1)</f>
        <v/>
      </c>
      <c r="X1783">
        <f>IF($W1783="","",$R1783&amp;"|"&amp;RIGHT("000000"&amp;$W1783,6))</f>
        <v/>
      </c>
      <c r="Y1783">
        <f>IF($P1783="","",IF(Shares!$E1786="",0,Shares!$E1786))</f>
        <v/>
      </c>
      <c r="Z1783">
        <f>IF($P1783="","",Shares!$H1786)</f>
        <v/>
      </c>
      <c r="AE1783">
        <f>IF(OR(Sync!$S1783="",Sync!$P1783=""),"",Sync!$S1783)</f>
        <v/>
      </c>
      <c r="AF1783">
        <f>IF($AE1783="","",IF(ISNUMBER(Sync!$P1783),IF(AND(Sync!$P1783&gt;=10000101,Sync!$P1783&lt;=99991231),INT(Sync!$P1783/10000),""),IFERROR(VALUE(TRIM(LEFT(Sync!$P1783,FIND("/",Sync!$P1783)-1))),"")))</f>
        <v/>
      </c>
      <c r="AG1783">
        <f>IF(OR($AE1783="",$AF1783=""),"",IF(ISNUMBER(Sync!$P1783),INT(MOD(Sync!$P1783,10000)/100),IFERROR(VALUE(TRIM(LEFT(MID(Sync!$P1783,FIND("/",Sync!$P1783)+1,20),FIND("/",MID(Sync!$P1783,FIND("/",Sync!$P1783)+1,20))-1))),"")))</f>
        <v/>
      </c>
      <c r="AH1783">
        <f>IF(OR($AE1783="",$AF1783=""),"",IF(ISNUMBER(Sync!$P1783),MOD(Sync!$P1783,100),IFERROR(VALUE(TRIM(MID(MID(Sync!$P1783,FIND("/",Sync!$P1783)+1,20),FIND("/",MID(Sync!$P1783,FIND("/",Sync!$P1783)+1,20))+1,20))),"")))</f>
        <v/>
      </c>
      <c r="AI1783">
        <f>IF($AE1783="","",IF(OR($AF1783="",$AG1783="",$AH1783="",$AF1783&lt;1300,$AF1783&gt;1500,$AG1783&lt;1,$AG1783&gt;12,$AH1783&lt;1,$AH1783&gt;31),"نامعتبر",RIGHT("0000"&amp;$AF1783,4)&amp;"/"&amp;RIGHT("00"&amp;$AG1783,2)&amp;"/"&amp;RIGHT("00"&amp;$AH1783,2)))</f>
        <v/>
      </c>
      <c r="AJ1783">
        <f>IF($AE1783="","",IF(Sync!$Q1783="","0000",IF(AND(ISNUMBER(Sync!$Q1783),Sync!$Q1783&gt;=0,Sync!$Q1783&lt;1),RIGHT("00"&amp;HOUR(Sync!$Q1783),2)&amp;RIGHT("00"&amp;MINUTE(Sync!$Q1783),2),IFERROR(RIGHT("00"&amp;VALUE(LEFT(Sync!$Q1783,FIND(":",Sync!$Q1783)-1)),2)&amp;RIGHT("00"&amp;VALUE(MID(Sync!$Q1783,FIND(":",Sync!$Q1783)+1,2)),2),"0000"))))</f>
        <v/>
      </c>
      <c r="AK1783">
        <f>IF(OR($AE1783="",$AI1783="",$AI1783="نامعتبر"),"",LEFT($AI1783,4)&amp;MID($AI1783,6,2)&amp;RIGHT($AI1783,2)&amp;$AJ1783&amp;"|"&amp;"3"&amp;RIGHT("00000"&amp;1778,5))</f>
        <v/>
      </c>
      <c r="AL1783">
        <f>IF($AK1783="","",COUNTIFS(LdAParty,$AE1783,LdAType,1,LdAKey,"&lt;"&amp;$AK1783)+COUNTIFS(LdBMember,$AE1783,LdBKey,"&lt;"&amp;$AK1783)+COUNTIFS(LdCParty,$AE1783,LdCKey,"&lt;"&amp;$AK1783)+1)</f>
        <v/>
      </c>
      <c r="AM1783">
        <f>IF($AL1783="","",$AE1783&amp;"|"&amp;RIGHT("000000"&amp;$AL1783,6))</f>
        <v/>
      </c>
      <c r="AN1783">
        <f>IF($AE1783="","",IF(Sync!$W1783="",0,Sync!$W1783))</f>
        <v/>
      </c>
      <c r="AO1783">
        <f>IF($AE1783="","",IF(Sync!$X1783="",0,Sync!$X1783))</f>
        <v/>
      </c>
      <c r="AP1783">
        <f>IF($AE1783="","",Sync!$R1783)</f>
        <v/>
      </c>
      <c r="AQ1783">
        <f>IF($AE1783="","",Sync!$Y1783)</f>
        <v/>
      </c>
    </row>
    <row r="1784">
      <c r="A1784">
        <f>IF(OR(Wages!$B1787="",Wages!$E1787=""),"",Wages!$E1787)</f>
        <v/>
      </c>
      <c r="B1784">
        <f>IF($A1784="","",IF(Wages!$C1787="دستمزد گروهی",2,1))</f>
        <v/>
      </c>
      <c r="C1784">
        <f>IF($A1784="","",IF(ISNUMBER(Wages!$B1787),IF(AND(Wages!$B1787&gt;=10000101,Wages!$B1787&lt;=99991231),INT(Wages!$B1787/10000),""),IFERROR(VALUE(TRIM(LEFT(Wages!$B1787,FIND("/",Wages!$B1787)-1))),"")))</f>
        <v/>
      </c>
      <c r="D1784">
        <f>IF(OR($A1784="",$C1784=""),"",IF(ISNUMBER(Wages!$B1787),INT(MOD(Wages!$B1787,10000)/100),IFERROR(VALUE(TRIM(LEFT(MID(Wages!$B1787,FIND("/",Wages!$B1787)+1,20),FIND("/",MID(Wages!$B1787,FIND("/",Wages!$B1787)+1,20))-1))),"")))</f>
        <v/>
      </c>
      <c r="E1784">
        <f>IF(OR($A1784="",$C1784=""),"",IF(ISNUMBER(Wages!$B1787),MOD(Wages!$B1787,100),IFERROR(VALUE(TRIM(MID(MID(Wages!$B1787,FIND("/",Wages!$B1787)+1,20),FIND("/",MID(Wages!$B1787,FIND("/",Wages!$B1787)+1,20))+1,20))),"")))</f>
        <v/>
      </c>
      <c r="F1784">
        <f>IF($A1784="","",IF(OR($C1784="",$D1784="",$E1784="",$C1784&lt;1300,$C1784&gt;1500,$D1784&lt;1,$D1784&gt;12,$E1784&lt;1,$E1784&gt;31),"نامعتبر",RIGHT("0000"&amp;$C1784,4)&amp;"/"&amp;RIGHT("00"&amp;$D1784,2)&amp;"/"&amp;RIGHT("00"&amp;$E1784,2)))</f>
        <v/>
      </c>
      <c r="G1784">
        <f>IF(OR($A1784="",$F1784="",$F1784="نامعتبر"),"",LEFT($F1784,4)&amp;MID($F1784,6,2)&amp;RIGHT($F1784,2)&amp;"0000"&amp;"|"&amp;"1"&amp;RIGHT("00000"&amp;1779,5))</f>
        <v/>
      </c>
      <c r="H1784">
        <f>IF(OR($B1784&lt;&gt;1,$G1784=""),"",COUNTIFS(LdAParty,$A1784,LdAType,1,LdAKey,"&lt;"&amp;$G1784)+COUNTIFS(LdBMember,$A1784,LdBKey,"&lt;"&amp;$G1784)+COUNTIFS(LdCParty,$A1784,LdCKey,"&lt;"&amp;$G1784)+1)</f>
        <v/>
      </c>
      <c r="I1784">
        <f>IF($H1784="","",$A1784&amp;"|"&amp;RIGHT("000000"&amp;$H1784,6))</f>
        <v/>
      </c>
      <c r="J1784">
        <f>IF(OR($B1784&lt;&gt;2,$G1784=""),"",COUNTIFS(LdAParty,$A1784,LdAType,2,LdAKey,"&lt;"&amp;$G1784)+1)</f>
        <v/>
      </c>
      <c r="K1784">
        <f>IF($J1784="","",$A1784&amp;"|"&amp;RIGHT("000000"&amp;$J1784,6))</f>
        <v/>
      </c>
      <c r="L1784">
        <f>IF($A1784="","",IF(Wages!$G1787="",0,Wages!$G1787))</f>
        <v/>
      </c>
      <c r="M1784">
        <f>IF($A1784="","",Wages!$J1787)</f>
        <v/>
      </c>
      <c r="N1784">
        <f>IF($A1784="","",Wages!$D1787)</f>
        <v/>
      </c>
      <c r="P1784">
        <f>IF(OR(Shares!$B1787="",Shares!$C1787=""),"",Shares!$C1787)</f>
        <v/>
      </c>
      <c r="Q1784">
        <f>IF($P1784="","",Shares!$B1787)</f>
        <v/>
      </c>
      <c r="R1784">
        <f>IF($P1784="","",IFERROR(INDEX(WageParty,MATCH($Q1784,WageIds,0)),""))</f>
        <v/>
      </c>
      <c r="S1784">
        <f>IF($P1784="","",IFERROR(INDEX($F$6:$F$2005,MATCH($Q1784,WageIds,0)),""))</f>
        <v/>
      </c>
      <c r="T1784">
        <f>IF(OR($P1784="",$S1784="",$S1784="نامعتبر"),"",LEFT($S1784,4)&amp;MID($S1784,6,2)&amp;RIGHT($S1784,2)&amp;"0000"&amp;"|"&amp;"2"&amp;RIGHT("00000"&amp;1779,5))</f>
        <v/>
      </c>
      <c r="U1784">
        <f>IF($T1784="","",COUNTIFS(LdAParty,$P1784,LdAType,1,LdAKey,"&lt;"&amp;$T1784)+COUNTIFS(LdBMember,$P1784,LdBKey,"&lt;"&amp;$T1784)+COUNTIFS(LdCParty,$P1784,LdCKey,"&lt;"&amp;$T1784)+1)</f>
        <v/>
      </c>
      <c r="V1784">
        <f>IF($U1784="","",$P1784&amp;"|"&amp;RIGHT("000000"&amp;$U1784,6))</f>
        <v/>
      </c>
      <c r="W1784">
        <f>IF($T1784="","",COUNTIFS(LdBGroup,$R1784,LdBKey,"&lt;"&amp;$T1784)+1)</f>
        <v/>
      </c>
      <c r="X1784">
        <f>IF($W1784="","",$R1784&amp;"|"&amp;RIGHT("000000"&amp;$W1784,6))</f>
        <v/>
      </c>
      <c r="Y1784">
        <f>IF($P1784="","",IF(Shares!$E1787="",0,Shares!$E1787))</f>
        <v/>
      </c>
      <c r="Z1784">
        <f>IF($P1784="","",Shares!$H1787)</f>
        <v/>
      </c>
      <c r="AE1784">
        <f>IF(OR(Sync!$S1784="",Sync!$P1784=""),"",Sync!$S1784)</f>
        <v/>
      </c>
      <c r="AF1784">
        <f>IF($AE1784="","",IF(ISNUMBER(Sync!$P1784),IF(AND(Sync!$P1784&gt;=10000101,Sync!$P1784&lt;=99991231),INT(Sync!$P1784/10000),""),IFERROR(VALUE(TRIM(LEFT(Sync!$P1784,FIND("/",Sync!$P1784)-1))),"")))</f>
        <v/>
      </c>
      <c r="AG1784">
        <f>IF(OR($AE1784="",$AF1784=""),"",IF(ISNUMBER(Sync!$P1784),INT(MOD(Sync!$P1784,10000)/100),IFERROR(VALUE(TRIM(LEFT(MID(Sync!$P1784,FIND("/",Sync!$P1784)+1,20),FIND("/",MID(Sync!$P1784,FIND("/",Sync!$P1784)+1,20))-1))),"")))</f>
        <v/>
      </c>
      <c r="AH1784">
        <f>IF(OR($AE1784="",$AF1784=""),"",IF(ISNUMBER(Sync!$P1784),MOD(Sync!$P1784,100),IFERROR(VALUE(TRIM(MID(MID(Sync!$P1784,FIND("/",Sync!$P1784)+1,20),FIND("/",MID(Sync!$P1784,FIND("/",Sync!$P1784)+1,20))+1,20))),"")))</f>
        <v/>
      </c>
      <c r="AI1784">
        <f>IF($AE1784="","",IF(OR($AF1784="",$AG1784="",$AH1784="",$AF1784&lt;1300,$AF1784&gt;1500,$AG1784&lt;1,$AG1784&gt;12,$AH1784&lt;1,$AH1784&gt;31),"نامعتبر",RIGHT("0000"&amp;$AF1784,4)&amp;"/"&amp;RIGHT("00"&amp;$AG1784,2)&amp;"/"&amp;RIGHT("00"&amp;$AH1784,2)))</f>
        <v/>
      </c>
      <c r="AJ1784">
        <f>IF($AE1784="","",IF(Sync!$Q1784="","0000",IF(AND(ISNUMBER(Sync!$Q1784),Sync!$Q1784&gt;=0,Sync!$Q1784&lt;1),RIGHT("00"&amp;HOUR(Sync!$Q1784),2)&amp;RIGHT("00"&amp;MINUTE(Sync!$Q1784),2),IFERROR(RIGHT("00"&amp;VALUE(LEFT(Sync!$Q1784,FIND(":",Sync!$Q1784)-1)),2)&amp;RIGHT("00"&amp;VALUE(MID(Sync!$Q1784,FIND(":",Sync!$Q1784)+1,2)),2),"0000"))))</f>
        <v/>
      </c>
      <c r="AK1784">
        <f>IF(OR($AE1784="",$AI1784="",$AI1784="نامعتبر"),"",LEFT($AI1784,4)&amp;MID($AI1784,6,2)&amp;RIGHT($AI1784,2)&amp;$AJ1784&amp;"|"&amp;"3"&amp;RIGHT("00000"&amp;1779,5))</f>
        <v/>
      </c>
      <c r="AL1784">
        <f>IF($AK1784="","",COUNTIFS(LdAParty,$AE1784,LdAType,1,LdAKey,"&lt;"&amp;$AK1784)+COUNTIFS(LdBMember,$AE1784,LdBKey,"&lt;"&amp;$AK1784)+COUNTIFS(LdCParty,$AE1784,LdCKey,"&lt;"&amp;$AK1784)+1)</f>
        <v/>
      </c>
      <c r="AM1784">
        <f>IF($AL1784="","",$AE1784&amp;"|"&amp;RIGHT("000000"&amp;$AL1784,6))</f>
        <v/>
      </c>
      <c r="AN1784">
        <f>IF($AE1784="","",IF(Sync!$W1784="",0,Sync!$W1784))</f>
        <v/>
      </c>
      <c r="AO1784">
        <f>IF($AE1784="","",IF(Sync!$X1784="",0,Sync!$X1784))</f>
        <v/>
      </c>
      <c r="AP1784">
        <f>IF($AE1784="","",Sync!$R1784)</f>
        <v/>
      </c>
      <c r="AQ1784">
        <f>IF($AE1784="","",Sync!$Y1784)</f>
        <v/>
      </c>
    </row>
    <row r="1785">
      <c r="A1785">
        <f>IF(OR(Wages!$B1788="",Wages!$E1788=""),"",Wages!$E1788)</f>
        <v/>
      </c>
      <c r="B1785">
        <f>IF($A1785="","",IF(Wages!$C1788="دستمزد گروهی",2,1))</f>
        <v/>
      </c>
      <c r="C1785">
        <f>IF($A1785="","",IF(ISNUMBER(Wages!$B1788),IF(AND(Wages!$B1788&gt;=10000101,Wages!$B1788&lt;=99991231),INT(Wages!$B1788/10000),""),IFERROR(VALUE(TRIM(LEFT(Wages!$B1788,FIND("/",Wages!$B1788)-1))),"")))</f>
        <v/>
      </c>
      <c r="D1785">
        <f>IF(OR($A1785="",$C1785=""),"",IF(ISNUMBER(Wages!$B1788),INT(MOD(Wages!$B1788,10000)/100),IFERROR(VALUE(TRIM(LEFT(MID(Wages!$B1788,FIND("/",Wages!$B1788)+1,20),FIND("/",MID(Wages!$B1788,FIND("/",Wages!$B1788)+1,20))-1))),"")))</f>
        <v/>
      </c>
      <c r="E1785">
        <f>IF(OR($A1785="",$C1785=""),"",IF(ISNUMBER(Wages!$B1788),MOD(Wages!$B1788,100),IFERROR(VALUE(TRIM(MID(MID(Wages!$B1788,FIND("/",Wages!$B1788)+1,20),FIND("/",MID(Wages!$B1788,FIND("/",Wages!$B1788)+1,20))+1,20))),"")))</f>
        <v/>
      </c>
      <c r="F1785">
        <f>IF($A1785="","",IF(OR($C1785="",$D1785="",$E1785="",$C1785&lt;1300,$C1785&gt;1500,$D1785&lt;1,$D1785&gt;12,$E1785&lt;1,$E1785&gt;31),"نامعتبر",RIGHT("0000"&amp;$C1785,4)&amp;"/"&amp;RIGHT("00"&amp;$D1785,2)&amp;"/"&amp;RIGHT("00"&amp;$E1785,2)))</f>
        <v/>
      </c>
      <c r="G1785">
        <f>IF(OR($A1785="",$F1785="",$F1785="نامعتبر"),"",LEFT($F1785,4)&amp;MID($F1785,6,2)&amp;RIGHT($F1785,2)&amp;"0000"&amp;"|"&amp;"1"&amp;RIGHT("00000"&amp;1780,5))</f>
        <v/>
      </c>
      <c r="H1785">
        <f>IF(OR($B1785&lt;&gt;1,$G1785=""),"",COUNTIFS(LdAParty,$A1785,LdAType,1,LdAKey,"&lt;"&amp;$G1785)+COUNTIFS(LdBMember,$A1785,LdBKey,"&lt;"&amp;$G1785)+COUNTIFS(LdCParty,$A1785,LdCKey,"&lt;"&amp;$G1785)+1)</f>
        <v/>
      </c>
      <c r="I1785">
        <f>IF($H1785="","",$A1785&amp;"|"&amp;RIGHT("000000"&amp;$H1785,6))</f>
        <v/>
      </c>
      <c r="J1785">
        <f>IF(OR($B1785&lt;&gt;2,$G1785=""),"",COUNTIFS(LdAParty,$A1785,LdAType,2,LdAKey,"&lt;"&amp;$G1785)+1)</f>
        <v/>
      </c>
      <c r="K1785">
        <f>IF($J1785="","",$A1785&amp;"|"&amp;RIGHT("000000"&amp;$J1785,6))</f>
        <v/>
      </c>
      <c r="L1785">
        <f>IF($A1785="","",IF(Wages!$G1788="",0,Wages!$G1788))</f>
        <v/>
      </c>
      <c r="M1785">
        <f>IF($A1785="","",Wages!$J1788)</f>
        <v/>
      </c>
      <c r="N1785">
        <f>IF($A1785="","",Wages!$D1788)</f>
        <v/>
      </c>
      <c r="P1785">
        <f>IF(OR(Shares!$B1788="",Shares!$C1788=""),"",Shares!$C1788)</f>
        <v/>
      </c>
      <c r="Q1785">
        <f>IF($P1785="","",Shares!$B1788)</f>
        <v/>
      </c>
      <c r="R1785">
        <f>IF($P1785="","",IFERROR(INDEX(WageParty,MATCH($Q1785,WageIds,0)),""))</f>
        <v/>
      </c>
      <c r="S1785">
        <f>IF($P1785="","",IFERROR(INDEX($F$6:$F$2005,MATCH($Q1785,WageIds,0)),""))</f>
        <v/>
      </c>
      <c r="T1785">
        <f>IF(OR($P1785="",$S1785="",$S1785="نامعتبر"),"",LEFT($S1785,4)&amp;MID($S1785,6,2)&amp;RIGHT($S1785,2)&amp;"0000"&amp;"|"&amp;"2"&amp;RIGHT("00000"&amp;1780,5))</f>
        <v/>
      </c>
      <c r="U1785">
        <f>IF($T1785="","",COUNTIFS(LdAParty,$P1785,LdAType,1,LdAKey,"&lt;"&amp;$T1785)+COUNTIFS(LdBMember,$P1785,LdBKey,"&lt;"&amp;$T1785)+COUNTIFS(LdCParty,$P1785,LdCKey,"&lt;"&amp;$T1785)+1)</f>
        <v/>
      </c>
      <c r="V1785">
        <f>IF($U1785="","",$P1785&amp;"|"&amp;RIGHT("000000"&amp;$U1785,6))</f>
        <v/>
      </c>
      <c r="W1785">
        <f>IF($T1785="","",COUNTIFS(LdBGroup,$R1785,LdBKey,"&lt;"&amp;$T1785)+1)</f>
        <v/>
      </c>
      <c r="X1785">
        <f>IF($W1785="","",$R1785&amp;"|"&amp;RIGHT("000000"&amp;$W1785,6))</f>
        <v/>
      </c>
      <c r="Y1785">
        <f>IF($P1785="","",IF(Shares!$E1788="",0,Shares!$E1788))</f>
        <v/>
      </c>
      <c r="Z1785">
        <f>IF($P1785="","",Shares!$H1788)</f>
        <v/>
      </c>
      <c r="AE1785">
        <f>IF(OR(Sync!$S1785="",Sync!$P1785=""),"",Sync!$S1785)</f>
        <v/>
      </c>
      <c r="AF1785">
        <f>IF($AE1785="","",IF(ISNUMBER(Sync!$P1785),IF(AND(Sync!$P1785&gt;=10000101,Sync!$P1785&lt;=99991231),INT(Sync!$P1785/10000),""),IFERROR(VALUE(TRIM(LEFT(Sync!$P1785,FIND("/",Sync!$P1785)-1))),"")))</f>
        <v/>
      </c>
      <c r="AG1785">
        <f>IF(OR($AE1785="",$AF1785=""),"",IF(ISNUMBER(Sync!$P1785),INT(MOD(Sync!$P1785,10000)/100),IFERROR(VALUE(TRIM(LEFT(MID(Sync!$P1785,FIND("/",Sync!$P1785)+1,20),FIND("/",MID(Sync!$P1785,FIND("/",Sync!$P1785)+1,20))-1))),"")))</f>
        <v/>
      </c>
      <c r="AH1785">
        <f>IF(OR($AE1785="",$AF1785=""),"",IF(ISNUMBER(Sync!$P1785),MOD(Sync!$P1785,100),IFERROR(VALUE(TRIM(MID(MID(Sync!$P1785,FIND("/",Sync!$P1785)+1,20),FIND("/",MID(Sync!$P1785,FIND("/",Sync!$P1785)+1,20))+1,20))),"")))</f>
        <v/>
      </c>
      <c r="AI1785">
        <f>IF($AE1785="","",IF(OR($AF1785="",$AG1785="",$AH1785="",$AF1785&lt;1300,$AF1785&gt;1500,$AG1785&lt;1,$AG1785&gt;12,$AH1785&lt;1,$AH1785&gt;31),"نامعتبر",RIGHT("0000"&amp;$AF1785,4)&amp;"/"&amp;RIGHT("00"&amp;$AG1785,2)&amp;"/"&amp;RIGHT("00"&amp;$AH1785,2)))</f>
        <v/>
      </c>
      <c r="AJ1785">
        <f>IF($AE1785="","",IF(Sync!$Q1785="","0000",IF(AND(ISNUMBER(Sync!$Q1785),Sync!$Q1785&gt;=0,Sync!$Q1785&lt;1),RIGHT("00"&amp;HOUR(Sync!$Q1785),2)&amp;RIGHT("00"&amp;MINUTE(Sync!$Q1785),2),IFERROR(RIGHT("00"&amp;VALUE(LEFT(Sync!$Q1785,FIND(":",Sync!$Q1785)-1)),2)&amp;RIGHT("00"&amp;VALUE(MID(Sync!$Q1785,FIND(":",Sync!$Q1785)+1,2)),2),"0000"))))</f>
        <v/>
      </c>
      <c r="AK1785">
        <f>IF(OR($AE1785="",$AI1785="",$AI1785="نامعتبر"),"",LEFT($AI1785,4)&amp;MID($AI1785,6,2)&amp;RIGHT($AI1785,2)&amp;$AJ1785&amp;"|"&amp;"3"&amp;RIGHT("00000"&amp;1780,5))</f>
        <v/>
      </c>
      <c r="AL1785">
        <f>IF($AK1785="","",COUNTIFS(LdAParty,$AE1785,LdAType,1,LdAKey,"&lt;"&amp;$AK1785)+COUNTIFS(LdBMember,$AE1785,LdBKey,"&lt;"&amp;$AK1785)+COUNTIFS(LdCParty,$AE1785,LdCKey,"&lt;"&amp;$AK1785)+1)</f>
        <v/>
      </c>
      <c r="AM1785">
        <f>IF($AL1785="","",$AE1785&amp;"|"&amp;RIGHT("000000"&amp;$AL1785,6))</f>
        <v/>
      </c>
      <c r="AN1785">
        <f>IF($AE1785="","",IF(Sync!$W1785="",0,Sync!$W1785))</f>
        <v/>
      </c>
      <c r="AO1785">
        <f>IF($AE1785="","",IF(Sync!$X1785="",0,Sync!$X1785))</f>
        <v/>
      </c>
      <c r="AP1785">
        <f>IF($AE1785="","",Sync!$R1785)</f>
        <v/>
      </c>
      <c r="AQ1785">
        <f>IF($AE1785="","",Sync!$Y1785)</f>
        <v/>
      </c>
    </row>
    <row r="1786">
      <c r="A1786">
        <f>IF(OR(Wages!$B1789="",Wages!$E1789=""),"",Wages!$E1789)</f>
        <v/>
      </c>
      <c r="B1786">
        <f>IF($A1786="","",IF(Wages!$C1789="دستمزد گروهی",2,1))</f>
        <v/>
      </c>
      <c r="C1786">
        <f>IF($A1786="","",IF(ISNUMBER(Wages!$B1789),IF(AND(Wages!$B1789&gt;=10000101,Wages!$B1789&lt;=99991231),INT(Wages!$B1789/10000),""),IFERROR(VALUE(TRIM(LEFT(Wages!$B1789,FIND("/",Wages!$B1789)-1))),"")))</f>
        <v/>
      </c>
      <c r="D1786">
        <f>IF(OR($A1786="",$C1786=""),"",IF(ISNUMBER(Wages!$B1789),INT(MOD(Wages!$B1789,10000)/100),IFERROR(VALUE(TRIM(LEFT(MID(Wages!$B1789,FIND("/",Wages!$B1789)+1,20),FIND("/",MID(Wages!$B1789,FIND("/",Wages!$B1789)+1,20))-1))),"")))</f>
        <v/>
      </c>
      <c r="E1786">
        <f>IF(OR($A1786="",$C1786=""),"",IF(ISNUMBER(Wages!$B1789),MOD(Wages!$B1789,100),IFERROR(VALUE(TRIM(MID(MID(Wages!$B1789,FIND("/",Wages!$B1789)+1,20),FIND("/",MID(Wages!$B1789,FIND("/",Wages!$B1789)+1,20))+1,20))),"")))</f>
        <v/>
      </c>
      <c r="F1786">
        <f>IF($A1786="","",IF(OR($C1786="",$D1786="",$E1786="",$C1786&lt;1300,$C1786&gt;1500,$D1786&lt;1,$D1786&gt;12,$E1786&lt;1,$E1786&gt;31),"نامعتبر",RIGHT("0000"&amp;$C1786,4)&amp;"/"&amp;RIGHT("00"&amp;$D1786,2)&amp;"/"&amp;RIGHT("00"&amp;$E1786,2)))</f>
        <v/>
      </c>
      <c r="G1786">
        <f>IF(OR($A1786="",$F1786="",$F1786="نامعتبر"),"",LEFT($F1786,4)&amp;MID($F1786,6,2)&amp;RIGHT($F1786,2)&amp;"0000"&amp;"|"&amp;"1"&amp;RIGHT("00000"&amp;1781,5))</f>
        <v/>
      </c>
      <c r="H1786">
        <f>IF(OR($B1786&lt;&gt;1,$G1786=""),"",COUNTIFS(LdAParty,$A1786,LdAType,1,LdAKey,"&lt;"&amp;$G1786)+COUNTIFS(LdBMember,$A1786,LdBKey,"&lt;"&amp;$G1786)+COUNTIFS(LdCParty,$A1786,LdCKey,"&lt;"&amp;$G1786)+1)</f>
        <v/>
      </c>
      <c r="I1786">
        <f>IF($H1786="","",$A1786&amp;"|"&amp;RIGHT("000000"&amp;$H1786,6))</f>
        <v/>
      </c>
      <c r="J1786">
        <f>IF(OR($B1786&lt;&gt;2,$G1786=""),"",COUNTIFS(LdAParty,$A1786,LdAType,2,LdAKey,"&lt;"&amp;$G1786)+1)</f>
        <v/>
      </c>
      <c r="K1786">
        <f>IF($J1786="","",$A1786&amp;"|"&amp;RIGHT("000000"&amp;$J1786,6))</f>
        <v/>
      </c>
      <c r="L1786">
        <f>IF($A1786="","",IF(Wages!$G1789="",0,Wages!$G1789))</f>
        <v/>
      </c>
      <c r="M1786">
        <f>IF($A1786="","",Wages!$J1789)</f>
        <v/>
      </c>
      <c r="N1786">
        <f>IF($A1786="","",Wages!$D1789)</f>
        <v/>
      </c>
      <c r="P1786">
        <f>IF(OR(Shares!$B1789="",Shares!$C1789=""),"",Shares!$C1789)</f>
        <v/>
      </c>
      <c r="Q1786">
        <f>IF($P1786="","",Shares!$B1789)</f>
        <v/>
      </c>
      <c r="R1786">
        <f>IF($P1786="","",IFERROR(INDEX(WageParty,MATCH($Q1786,WageIds,0)),""))</f>
        <v/>
      </c>
      <c r="S1786">
        <f>IF($P1786="","",IFERROR(INDEX($F$6:$F$2005,MATCH($Q1786,WageIds,0)),""))</f>
        <v/>
      </c>
      <c r="T1786">
        <f>IF(OR($P1786="",$S1786="",$S1786="نامعتبر"),"",LEFT($S1786,4)&amp;MID($S1786,6,2)&amp;RIGHT($S1786,2)&amp;"0000"&amp;"|"&amp;"2"&amp;RIGHT("00000"&amp;1781,5))</f>
        <v/>
      </c>
      <c r="U1786">
        <f>IF($T1786="","",COUNTIFS(LdAParty,$P1786,LdAType,1,LdAKey,"&lt;"&amp;$T1786)+COUNTIFS(LdBMember,$P1786,LdBKey,"&lt;"&amp;$T1786)+COUNTIFS(LdCParty,$P1786,LdCKey,"&lt;"&amp;$T1786)+1)</f>
        <v/>
      </c>
      <c r="V1786">
        <f>IF($U1786="","",$P1786&amp;"|"&amp;RIGHT("000000"&amp;$U1786,6))</f>
        <v/>
      </c>
      <c r="W1786">
        <f>IF($T1786="","",COUNTIFS(LdBGroup,$R1786,LdBKey,"&lt;"&amp;$T1786)+1)</f>
        <v/>
      </c>
      <c r="X1786">
        <f>IF($W1786="","",$R1786&amp;"|"&amp;RIGHT("000000"&amp;$W1786,6))</f>
        <v/>
      </c>
      <c r="Y1786">
        <f>IF($P1786="","",IF(Shares!$E1789="",0,Shares!$E1789))</f>
        <v/>
      </c>
      <c r="Z1786">
        <f>IF($P1786="","",Shares!$H1789)</f>
        <v/>
      </c>
      <c r="AE1786">
        <f>IF(OR(Sync!$S1786="",Sync!$P1786=""),"",Sync!$S1786)</f>
        <v/>
      </c>
      <c r="AF1786">
        <f>IF($AE1786="","",IF(ISNUMBER(Sync!$P1786),IF(AND(Sync!$P1786&gt;=10000101,Sync!$P1786&lt;=99991231),INT(Sync!$P1786/10000),""),IFERROR(VALUE(TRIM(LEFT(Sync!$P1786,FIND("/",Sync!$P1786)-1))),"")))</f>
        <v/>
      </c>
      <c r="AG1786">
        <f>IF(OR($AE1786="",$AF1786=""),"",IF(ISNUMBER(Sync!$P1786),INT(MOD(Sync!$P1786,10000)/100),IFERROR(VALUE(TRIM(LEFT(MID(Sync!$P1786,FIND("/",Sync!$P1786)+1,20),FIND("/",MID(Sync!$P1786,FIND("/",Sync!$P1786)+1,20))-1))),"")))</f>
        <v/>
      </c>
      <c r="AH1786">
        <f>IF(OR($AE1786="",$AF1786=""),"",IF(ISNUMBER(Sync!$P1786),MOD(Sync!$P1786,100),IFERROR(VALUE(TRIM(MID(MID(Sync!$P1786,FIND("/",Sync!$P1786)+1,20),FIND("/",MID(Sync!$P1786,FIND("/",Sync!$P1786)+1,20))+1,20))),"")))</f>
        <v/>
      </c>
      <c r="AI1786">
        <f>IF($AE1786="","",IF(OR($AF1786="",$AG1786="",$AH1786="",$AF1786&lt;1300,$AF1786&gt;1500,$AG1786&lt;1,$AG1786&gt;12,$AH1786&lt;1,$AH1786&gt;31),"نامعتبر",RIGHT("0000"&amp;$AF1786,4)&amp;"/"&amp;RIGHT("00"&amp;$AG1786,2)&amp;"/"&amp;RIGHT("00"&amp;$AH1786,2)))</f>
        <v/>
      </c>
      <c r="AJ1786">
        <f>IF($AE1786="","",IF(Sync!$Q1786="","0000",IF(AND(ISNUMBER(Sync!$Q1786),Sync!$Q1786&gt;=0,Sync!$Q1786&lt;1),RIGHT("00"&amp;HOUR(Sync!$Q1786),2)&amp;RIGHT("00"&amp;MINUTE(Sync!$Q1786),2),IFERROR(RIGHT("00"&amp;VALUE(LEFT(Sync!$Q1786,FIND(":",Sync!$Q1786)-1)),2)&amp;RIGHT("00"&amp;VALUE(MID(Sync!$Q1786,FIND(":",Sync!$Q1786)+1,2)),2),"0000"))))</f>
        <v/>
      </c>
      <c r="AK1786">
        <f>IF(OR($AE1786="",$AI1786="",$AI1786="نامعتبر"),"",LEFT($AI1786,4)&amp;MID($AI1786,6,2)&amp;RIGHT($AI1786,2)&amp;$AJ1786&amp;"|"&amp;"3"&amp;RIGHT("00000"&amp;1781,5))</f>
        <v/>
      </c>
      <c r="AL1786">
        <f>IF($AK1786="","",COUNTIFS(LdAParty,$AE1786,LdAType,1,LdAKey,"&lt;"&amp;$AK1786)+COUNTIFS(LdBMember,$AE1786,LdBKey,"&lt;"&amp;$AK1786)+COUNTIFS(LdCParty,$AE1786,LdCKey,"&lt;"&amp;$AK1786)+1)</f>
        <v/>
      </c>
      <c r="AM1786">
        <f>IF($AL1786="","",$AE1786&amp;"|"&amp;RIGHT("000000"&amp;$AL1786,6))</f>
        <v/>
      </c>
      <c r="AN1786">
        <f>IF($AE1786="","",IF(Sync!$W1786="",0,Sync!$W1786))</f>
        <v/>
      </c>
      <c r="AO1786">
        <f>IF($AE1786="","",IF(Sync!$X1786="",0,Sync!$X1786))</f>
        <v/>
      </c>
      <c r="AP1786">
        <f>IF($AE1786="","",Sync!$R1786)</f>
        <v/>
      </c>
      <c r="AQ1786">
        <f>IF($AE1786="","",Sync!$Y1786)</f>
        <v/>
      </c>
    </row>
    <row r="1787">
      <c r="A1787">
        <f>IF(OR(Wages!$B1790="",Wages!$E1790=""),"",Wages!$E1790)</f>
        <v/>
      </c>
      <c r="B1787">
        <f>IF($A1787="","",IF(Wages!$C1790="دستمزد گروهی",2,1))</f>
        <v/>
      </c>
      <c r="C1787">
        <f>IF($A1787="","",IF(ISNUMBER(Wages!$B1790),IF(AND(Wages!$B1790&gt;=10000101,Wages!$B1790&lt;=99991231),INT(Wages!$B1790/10000),""),IFERROR(VALUE(TRIM(LEFT(Wages!$B1790,FIND("/",Wages!$B1790)-1))),"")))</f>
        <v/>
      </c>
      <c r="D1787">
        <f>IF(OR($A1787="",$C1787=""),"",IF(ISNUMBER(Wages!$B1790),INT(MOD(Wages!$B1790,10000)/100),IFERROR(VALUE(TRIM(LEFT(MID(Wages!$B1790,FIND("/",Wages!$B1790)+1,20),FIND("/",MID(Wages!$B1790,FIND("/",Wages!$B1790)+1,20))-1))),"")))</f>
        <v/>
      </c>
      <c r="E1787">
        <f>IF(OR($A1787="",$C1787=""),"",IF(ISNUMBER(Wages!$B1790),MOD(Wages!$B1790,100),IFERROR(VALUE(TRIM(MID(MID(Wages!$B1790,FIND("/",Wages!$B1790)+1,20),FIND("/",MID(Wages!$B1790,FIND("/",Wages!$B1790)+1,20))+1,20))),"")))</f>
        <v/>
      </c>
      <c r="F1787">
        <f>IF($A1787="","",IF(OR($C1787="",$D1787="",$E1787="",$C1787&lt;1300,$C1787&gt;1500,$D1787&lt;1,$D1787&gt;12,$E1787&lt;1,$E1787&gt;31),"نامعتبر",RIGHT("0000"&amp;$C1787,4)&amp;"/"&amp;RIGHT("00"&amp;$D1787,2)&amp;"/"&amp;RIGHT("00"&amp;$E1787,2)))</f>
        <v/>
      </c>
      <c r="G1787">
        <f>IF(OR($A1787="",$F1787="",$F1787="نامعتبر"),"",LEFT($F1787,4)&amp;MID($F1787,6,2)&amp;RIGHT($F1787,2)&amp;"0000"&amp;"|"&amp;"1"&amp;RIGHT("00000"&amp;1782,5))</f>
        <v/>
      </c>
      <c r="H1787">
        <f>IF(OR($B1787&lt;&gt;1,$G1787=""),"",COUNTIFS(LdAParty,$A1787,LdAType,1,LdAKey,"&lt;"&amp;$G1787)+COUNTIFS(LdBMember,$A1787,LdBKey,"&lt;"&amp;$G1787)+COUNTIFS(LdCParty,$A1787,LdCKey,"&lt;"&amp;$G1787)+1)</f>
        <v/>
      </c>
      <c r="I1787">
        <f>IF($H1787="","",$A1787&amp;"|"&amp;RIGHT("000000"&amp;$H1787,6))</f>
        <v/>
      </c>
      <c r="J1787">
        <f>IF(OR($B1787&lt;&gt;2,$G1787=""),"",COUNTIFS(LdAParty,$A1787,LdAType,2,LdAKey,"&lt;"&amp;$G1787)+1)</f>
        <v/>
      </c>
      <c r="K1787">
        <f>IF($J1787="","",$A1787&amp;"|"&amp;RIGHT("000000"&amp;$J1787,6))</f>
        <v/>
      </c>
      <c r="L1787">
        <f>IF($A1787="","",IF(Wages!$G1790="",0,Wages!$G1790))</f>
        <v/>
      </c>
      <c r="M1787">
        <f>IF($A1787="","",Wages!$J1790)</f>
        <v/>
      </c>
      <c r="N1787">
        <f>IF($A1787="","",Wages!$D1790)</f>
        <v/>
      </c>
      <c r="P1787">
        <f>IF(OR(Shares!$B1790="",Shares!$C1790=""),"",Shares!$C1790)</f>
        <v/>
      </c>
      <c r="Q1787">
        <f>IF($P1787="","",Shares!$B1790)</f>
        <v/>
      </c>
      <c r="R1787">
        <f>IF($P1787="","",IFERROR(INDEX(WageParty,MATCH($Q1787,WageIds,0)),""))</f>
        <v/>
      </c>
      <c r="S1787">
        <f>IF($P1787="","",IFERROR(INDEX($F$6:$F$2005,MATCH($Q1787,WageIds,0)),""))</f>
        <v/>
      </c>
      <c r="T1787">
        <f>IF(OR($P1787="",$S1787="",$S1787="نامعتبر"),"",LEFT($S1787,4)&amp;MID($S1787,6,2)&amp;RIGHT($S1787,2)&amp;"0000"&amp;"|"&amp;"2"&amp;RIGHT("00000"&amp;1782,5))</f>
        <v/>
      </c>
      <c r="U1787">
        <f>IF($T1787="","",COUNTIFS(LdAParty,$P1787,LdAType,1,LdAKey,"&lt;"&amp;$T1787)+COUNTIFS(LdBMember,$P1787,LdBKey,"&lt;"&amp;$T1787)+COUNTIFS(LdCParty,$P1787,LdCKey,"&lt;"&amp;$T1787)+1)</f>
        <v/>
      </c>
      <c r="V1787">
        <f>IF($U1787="","",$P1787&amp;"|"&amp;RIGHT("000000"&amp;$U1787,6))</f>
        <v/>
      </c>
      <c r="W1787">
        <f>IF($T1787="","",COUNTIFS(LdBGroup,$R1787,LdBKey,"&lt;"&amp;$T1787)+1)</f>
        <v/>
      </c>
      <c r="X1787">
        <f>IF($W1787="","",$R1787&amp;"|"&amp;RIGHT("000000"&amp;$W1787,6))</f>
        <v/>
      </c>
      <c r="Y1787">
        <f>IF($P1787="","",IF(Shares!$E1790="",0,Shares!$E1790))</f>
        <v/>
      </c>
      <c r="Z1787">
        <f>IF($P1787="","",Shares!$H1790)</f>
        <v/>
      </c>
      <c r="AE1787">
        <f>IF(OR(Sync!$S1787="",Sync!$P1787=""),"",Sync!$S1787)</f>
        <v/>
      </c>
      <c r="AF1787">
        <f>IF($AE1787="","",IF(ISNUMBER(Sync!$P1787),IF(AND(Sync!$P1787&gt;=10000101,Sync!$P1787&lt;=99991231),INT(Sync!$P1787/10000),""),IFERROR(VALUE(TRIM(LEFT(Sync!$P1787,FIND("/",Sync!$P1787)-1))),"")))</f>
        <v/>
      </c>
      <c r="AG1787">
        <f>IF(OR($AE1787="",$AF1787=""),"",IF(ISNUMBER(Sync!$P1787),INT(MOD(Sync!$P1787,10000)/100),IFERROR(VALUE(TRIM(LEFT(MID(Sync!$P1787,FIND("/",Sync!$P1787)+1,20),FIND("/",MID(Sync!$P1787,FIND("/",Sync!$P1787)+1,20))-1))),"")))</f>
        <v/>
      </c>
      <c r="AH1787">
        <f>IF(OR($AE1787="",$AF1787=""),"",IF(ISNUMBER(Sync!$P1787),MOD(Sync!$P1787,100),IFERROR(VALUE(TRIM(MID(MID(Sync!$P1787,FIND("/",Sync!$P1787)+1,20),FIND("/",MID(Sync!$P1787,FIND("/",Sync!$P1787)+1,20))+1,20))),"")))</f>
        <v/>
      </c>
      <c r="AI1787">
        <f>IF($AE1787="","",IF(OR($AF1787="",$AG1787="",$AH1787="",$AF1787&lt;1300,$AF1787&gt;1500,$AG1787&lt;1,$AG1787&gt;12,$AH1787&lt;1,$AH1787&gt;31),"نامعتبر",RIGHT("0000"&amp;$AF1787,4)&amp;"/"&amp;RIGHT("00"&amp;$AG1787,2)&amp;"/"&amp;RIGHT("00"&amp;$AH1787,2)))</f>
        <v/>
      </c>
      <c r="AJ1787">
        <f>IF($AE1787="","",IF(Sync!$Q1787="","0000",IF(AND(ISNUMBER(Sync!$Q1787),Sync!$Q1787&gt;=0,Sync!$Q1787&lt;1),RIGHT("00"&amp;HOUR(Sync!$Q1787),2)&amp;RIGHT("00"&amp;MINUTE(Sync!$Q1787),2),IFERROR(RIGHT("00"&amp;VALUE(LEFT(Sync!$Q1787,FIND(":",Sync!$Q1787)-1)),2)&amp;RIGHT("00"&amp;VALUE(MID(Sync!$Q1787,FIND(":",Sync!$Q1787)+1,2)),2),"0000"))))</f>
        <v/>
      </c>
      <c r="AK1787">
        <f>IF(OR($AE1787="",$AI1787="",$AI1787="نامعتبر"),"",LEFT($AI1787,4)&amp;MID($AI1787,6,2)&amp;RIGHT($AI1787,2)&amp;$AJ1787&amp;"|"&amp;"3"&amp;RIGHT("00000"&amp;1782,5))</f>
        <v/>
      </c>
      <c r="AL1787">
        <f>IF($AK1787="","",COUNTIFS(LdAParty,$AE1787,LdAType,1,LdAKey,"&lt;"&amp;$AK1787)+COUNTIFS(LdBMember,$AE1787,LdBKey,"&lt;"&amp;$AK1787)+COUNTIFS(LdCParty,$AE1787,LdCKey,"&lt;"&amp;$AK1787)+1)</f>
        <v/>
      </c>
      <c r="AM1787">
        <f>IF($AL1787="","",$AE1787&amp;"|"&amp;RIGHT("000000"&amp;$AL1787,6))</f>
        <v/>
      </c>
      <c r="AN1787">
        <f>IF($AE1787="","",IF(Sync!$W1787="",0,Sync!$W1787))</f>
        <v/>
      </c>
      <c r="AO1787">
        <f>IF($AE1787="","",IF(Sync!$X1787="",0,Sync!$X1787))</f>
        <v/>
      </c>
      <c r="AP1787">
        <f>IF($AE1787="","",Sync!$R1787)</f>
        <v/>
      </c>
      <c r="AQ1787">
        <f>IF($AE1787="","",Sync!$Y1787)</f>
        <v/>
      </c>
    </row>
    <row r="1788">
      <c r="A1788">
        <f>IF(OR(Wages!$B1791="",Wages!$E1791=""),"",Wages!$E1791)</f>
        <v/>
      </c>
      <c r="B1788">
        <f>IF($A1788="","",IF(Wages!$C1791="دستمزد گروهی",2,1))</f>
        <v/>
      </c>
      <c r="C1788">
        <f>IF($A1788="","",IF(ISNUMBER(Wages!$B1791),IF(AND(Wages!$B1791&gt;=10000101,Wages!$B1791&lt;=99991231),INT(Wages!$B1791/10000),""),IFERROR(VALUE(TRIM(LEFT(Wages!$B1791,FIND("/",Wages!$B1791)-1))),"")))</f>
        <v/>
      </c>
      <c r="D1788">
        <f>IF(OR($A1788="",$C1788=""),"",IF(ISNUMBER(Wages!$B1791),INT(MOD(Wages!$B1791,10000)/100),IFERROR(VALUE(TRIM(LEFT(MID(Wages!$B1791,FIND("/",Wages!$B1791)+1,20),FIND("/",MID(Wages!$B1791,FIND("/",Wages!$B1791)+1,20))-1))),"")))</f>
        <v/>
      </c>
      <c r="E1788">
        <f>IF(OR($A1788="",$C1788=""),"",IF(ISNUMBER(Wages!$B1791),MOD(Wages!$B1791,100),IFERROR(VALUE(TRIM(MID(MID(Wages!$B1791,FIND("/",Wages!$B1791)+1,20),FIND("/",MID(Wages!$B1791,FIND("/",Wages!$B1791)+1,20))+1,20))),"")))</f>
        <v/>
      </c>
      <c r="F1788">
        <f>IF($A1788="","",IF(OR($C1788="",$D1788="",$E1788="",$C1788&lt;1300,$C1788&gt;1500,$D1788&lt;1,$D1788&gt;12,$E1788&lt;1,$E1788&gt;31),"نامعتبر",RIGHT("0000"&amp;$C1788,4)&amp;"/"&amp;RIGHT("00"&amp;$D1788,2)&amp;"/"&amp;RIGHT("00"&amp;$E1788,2)))</f>
        <v/>
      </c>
      <c r="G1788">
        <f>IF(OR($A1788="",$F1788="",$F1788="نامعتبر"),"",LEFT($F1788,4)&amp;MID($F1788,6,2)&amp;RIGHT($F1788,2)&amp;"0000"&amp;"|"&amp;"1"&amp;RIGHT("00000"&amp;1783,5))</f>
        <v/>
      </c>
      <c r="H1788">
        <f>IF(OR($B1788&lt;&gt;1,$G1788=""),"",COUNTIFS(LdAParty,$A1788,LdAType,1,LdAKey,"&lt;"&amp;$G1788)+COUNTIFS(LdBMember,$A1788,LdBKey,"&lt;"&amp;$G1788)+COUNTIFS(LdCParty,$A1788,LdCKey,"&lt;"&amp;$G1788)+1)</f>
        <v/>
      </c>
      <c r="I1788">
        <f>IF($H1788="","",$A1788&amp;"|"&amp;RIGHT("000000"&amp;$H1788,6))</f>
        <v/>
      </c>
      <c r="J1788">
        <f>IF(OR($B1788&lt;&gt;2,$G1788=""),"",COUNTIFS(LdAParty,$A1788,LdAType,2,LdAKey,"&lt;"&amp;$G1788)+1)</f>
        <v/>
      </c>
      <c r="K1788">
        <f>IF($J1788="","",$A1788&amp;"|"&amp;RIGHT("000000"&amp;$J1788,6))</f>
        <v/>
      </c>
      <c r="L1788">
        <f>IF($A1788="","",IF(Wages!$G1791="",0,Wages!$G1791))</f>
        <v/>
      </c>
      <c r="M1788">
        <f>IF($A1788="","",Wages!$J1791)</f>
        <v/>
      </c>
      <c r="N1788">
        <f>IF($A1788="","",Wages!$D1791)</f>
        <v/>
      </c>
      <c r="P1788">
        <f>IF(OR(Shares!$B1791="",Shares!$C1791=""),"",Shares!$C1791)</f>
        <v/>
      </c>
      <c r="Q1788">
        <f>IF($P1788="","",Shares!$B1791)</f>
        <v/>
      </c>
      <c r="R1788">
        <f>IF($P1788="","",IFERROR(INDEX(WageParty,MATCH($Q1788,WageIds,0)),""))</f>
        <v/>
      </c>
      <c r="S1788">
        <f>IF($P1788="","",IFERROR(INDEX($F$6:$F$2005,MATCH($Q1788,WageIds,0)),""))</f>
        <v/>
      </c>
      <c r="T1788">
        <f>IF(OR($P1788="",$S1788="",$S1788="نامعتبر"),"",LEFT($S1788,4)&amp;MID($S1788,6,2)&amp;RIGHT($S1788,2)&amp;"0000"&amp;"|"&amp;"2"&amp;RIGHT("00000"&amp;1783,5))</f>
        <v/>
      </c>
      <c r="U1788">
        <f>IF($T1788="","",COUNTIFS(LdAParty,$P1788,LdAType,1,LdAKey,"&lt;"&amp;$T1788)+COUNTIFS(LdBMember,$P1788,LdBKey,"&lt;"&amp;$T1788)+COUNTIFS(LdCParty,$P1788,LdCKey,"&lt;"&amp;$T1788)+1)</f>
        <v/>
      </c>
      <c r="V1788">
        <f>IF($U1788="","",$P1788&amp;"|"&amp;RIGHT("000000"&amp;$U1788,6))</f>
        <v/>
      </c>
      <c r="W1788">
        <f>IF($T1788="","",COUNTIFS(LdBGroup,$R1788,LdBKey,"&lt;"&amp;$T1788)+1)</f>
        <v/>
      </c>
      <c r="X1788">
        <f>IF($W1788="","",$R1788&amp;"|"&amp;RIGHT("000000"&amp;$W1788,6))</f>
        <v/>
      </c>
      <c r="Y1788">
        <f>IF($P1788="","",IF(Shares!$E1791="",0,Shares!$E1791))</f>
        <v/>
      </c>
      <c r="Z1788">
        <f>IF($P1788="","",Shares!$H1791)</f>
        <v/>
      </c>
      <c r="AE1788">
        <f>IF(OR(Sync!$S1788="",Sync!$P1788=""),"",Sync!$S1788)</f>
        <v/>
      </c>
      <c r="AF1788">
        <f>IF($AE1788="","",IF(ISNUMBER(Sync!$P1788),IF(AND(Sync!$P1788&gt;=10000101,Sync!$P1788&lt;=99991231),INT(Sync!$P1788/10000),""),IFERROR(VALUE(TRIM(LEFT(Sync!$P1788,FIND("/",Sync!$P1788)-1))),"")))</f>
        <v/>
      </c>
      <c r="AG1788">
        <f>IF(OR($AE1788="",$AF1788=""),"",IF(ISNUMBER(Sync!$P1788),INT(MOD(Sync!$P1788,10000)/100),IFERROR(VALUE(TRIM(LEFT(MID(Sync!$P1788,FIND("/",Sync!$P1788)+1,20),FIND("/",MID(Sync!$P1788,FIND("/",Sync!$P1788)+1,20))-1))),"")))</f>
        <v/>
      </c>
      <c r="AH1788">
        <f>IF(OR($AE1788="",$AF1788=""),"",IF(ISNUMBER(Sync!$P1788),MOD(Sync!$P1788,100),IFERROR(VALUE(TRIM(MID(MID(Sync!$P1788,FIND("/",Sync!$P1788)+1,20),FIND("/",MID(Sync!$P1788,FIND("/",Sync!$P1788)+1,20))+1,20))),"")))</f>
        <v/>
      </c>
      <c r="AI1788">
        <f>IF($AE1788="","",IF(OR($AF1788="",$AG1788="",$AH1788="",$AF1788&lt;1300,$AF1788&gt;1500,$AG1788&lt;1,$AG1788&gt;12,$AH1788&lt;1,$AH1788&gt;31),"نامعتبر",RIGHT("0000"&amp;$AF1788,4)&amp;"/"&amp;RIGHT("00"&amp;$AG1788,2)&amp;"/"&amp;RIGHT("00"&amp;$AH1788,2)))</f>
        <v/>
      </c>
      <c r="AJ1788">
        <f>IF($AE1788="","",IF(Sync!$Q1788="","0000",IF(AND(ISNUMBER(Sync!$Q1788),Sync!$Q1788&gt;=0,Sync!$Q1788&lt;1),RIGHT("00"&amp;HOUR(Sync!$Q1788),2)&amp;RIGHT("00"&amp;MINUTE(Sync!$Q1788),2),IFERROR(RIGHT("00"&amp;VALUE(LEFT(Sync!$Q1788,FIND(":",Sync!$Q1788)-1)),2)&amp;RIGHT("00"&amp;VALUE(MID(Sync!$Q1788,FIND(":",Sync!$Q1788)+1,2)),2),"0000"))))</f>
        <v/>
      </c>
      <c r="AK1788">
        <f>IF(OR($AE1788="",$AI1788="",$AI1788="نامعتبر"),"",LEFT($AI1788,4)&amp;MID($AI1788,6,2)&amp;RIGHT($AI1788,2)&amp;$AJ1788&amp;"|"&amp;"3"&amp;RIGHT("00000"&amp;1783,5))</f>
        <v/>
      </c>
      <c r="AL1788">
        <f>IF($AK1788="","",COUNTIFS(LdAParty,$AE1788,LdAType,1,LdAKey,"&lt;"&amp;$AK1788)+COUNTIFS(LdBMember,$AE1788,LdBKey,"&lt;"&amp;$AK1788)+COUNTIFS(LdCParty,$AE1788,LdCKey,"&lt;"&amp;$AK1788)+1)</f>
        <v/>
      </c>
      <c r="AM1788">
        <f>IF($AL1788="","",$AE1788&amp;"|"&amp;RIGHT("000000"&amp;$AL1788,6))</f>
        <v/>
      </c>
      <c r="AN1788">
        <f>IF($AE1788="","",IF(Sync!$W1788="",0,Sync!$W1788))</f>
        <v/>
      </c>
      <c r="AO1788">
        <f>IF($AE1788="","",IF(Sync!$X1788="",0,Sync!$X1788))</f>
        <v/>
      </c>
      <c r="AP1788">
        <f>IF($AE1788="","",Sync!$R1788)</f>
        <v/>
      </c>
      <c r="AQ1788">
        <f>IF($AE1788="","",Sync!$Y1788)</f>
        <v/>
      </c>
    </row>
    <row r="1789">
      <c r="A1789">
        <f>IF(OR(Wages!$B1792="",Wages!$E1792=""),"",Wages!$E1792)</f>
        <v/>
      </c>
      <c r="B1789">
        <f>IF($A1789="","",IF(Wages!$C1792="دستمزد گروهی",2,1))</f>
        <v/>
      </c>
      <c r="C1789">
        <f>IF($A1789="","",IF(ISNUMBER(Wages!$B1792),IF(AND(Wages!$B1792&gt;=10000101,Wages!$B1792&lt;=99991231),INT(Wages!$B1792/10000),""),IFERROR(VALUE(TRIM(LEFT(Wages!$B1792,FIND("/",Wages!$B1792)-1))),"")))</f>
        <v/>
      </c>
      <c r="D1789">
        <f>IF(OR($A1789="",$C1789=""),"",IF(ISNUMBER(Wages!$B1792),INT(MOD(Wages!$B1792,10000)/100),IFERROR(VALUE(TRIM(LEFT(MID(Wages!$B1792,FIND("/",Wages!$B1792)+1,20),FIND("/",MID(Wages!$B1792,FIND("/",Wages!$B1792)+1,20))-1))),"")))</f>
        <v/>
      </c>
      <c r="E1789">
        <f>IF(OR($A1789="",$C1789=""),"",IF(ISNUMBER(Wages!$B1792),MOD(Wages!$B1792,100),IFERROR(VALUE(TRIM(MID(MID(Wages!$B1792,FIND("/",Wages!$B1792)+1,20),FIND("/",MID(Wages!$B1792,FIND("/",Wages!$B1792)+1,20))+1,20))),"")))</f>
        <v/>
      </c>
      <c r="F1789">
        <f>IF($A1789="","",IF(OR($C1789="",$D1789="",$E1789="",$C1789&lt;1300,$C1789&gt;1500,$D1789&lt;1,$D1789&gt;12,$E1789&lt;1,$E1789&gt;31),"نامعتبر",RIGHT("0000"&amp;$C1789,4)&amp;"/"&amp;RIGHT("00"&amp;$D1789,2)&amp;"/"&amp;RIGHT("00"&amp;$E1789,2)))</f>
        <v/>
      </c>
      <c r="G1789">
        <f>IF(OR($A1789="",$F1789="",$F1789="نامعتبر"),"",LEFT($F1789,4)&amp;MID($F1789,6,2)&amp;RIGHT($F1789,2)&amp;"0000"&amp;"|"&amp;"1"&amp;RIGHT("00000"&amp;1784,5))</f>
        <v/>
      </c>
      <c r="H1789">
        <f>IF(OR($B1789&lt;&gt;1,$G1789=""),"",COUNTIFS(LdAParty,$A1789,LdAType,1,LdAKey,"&lt;"&amp;$G1789)+COUNTIFS(LdBMember,$A1789,LdBKey,"&lt;"&amp;$G1789)+COUNTIFS(LdCParty,$A1789,LdCKey,"&lt;"&amp;$G1789)+1)</f>
        <v/>
      </c>
      <c r="I1789">
        <f>IF($H1789="","",$A1789&amp;"|"&amp;RIGHT("000000"&amp;$H1789,6))</f>
        <v/>
      </c>
      <c r="J1789">
        <f>IF(OR($B1789&lt;&gt;2,$G1789=""),"",COUNTIFS(LdAParty,$A1789,LdAType,2,LdAKey,"&lt;"&amp;$G1789)+1)</f>
        <v/>
      </c>
      <c r="K1789">
        <f>IF($J1789="","",$A1789&amp;"|"&amp;RIGHT("000000"&amp;$J1789,6))</f>
        <v/>
      </c>
      <c r="L1789">
        <f>IF($A1789="","",IF(Wages!$G1792="",0,Wages!$G1792))</f>
        <v/>
      </c>
      <c r="M1789">
        <f>IF($A1789="","",Wages!$J1792)</f>
        <v/>
      </c>
      <c r="N1789">
        <f>IF($A1789="","",Wages!$D1792)</f>
        <v/>
      </c>
      <c r="P1789">
        <f>IF(OR(Shares!$B1792="",Shares!$C1792=""),"",Shares!$C1792)</f>
        <v/>
      </c>
      <c r="Q1789">
        <f>IF($P1789="","",Shares!$B1792)</f>
        <v/>
      </c>
      <c r="R1789">
        <f>IF($P1789="","",IFERROR(INDEX(WageParty,MATCH($Q1789,WageIds,0)),""))</f>
        <v/>
      </c>
      <c r="S1789">
        <f>IF($P1789="","",IFERROR(INDEX($F$6:$F$2005,MATCH($Q1789,WageIds,0)),""))</f>
        <v/>
      </c>
      <c r="T1789">
        <f>IF(OR($P1789="",$S1789="",$S1789="نامعتبر"),"",LEFT($S1789,4)&amp;MID($S1789,6,2)&amp;RIGHT($S1789,2)&amp;"0000"&amp;"|"&amp;"2"&amp;RIGHT("00000"&amp;1784,5))</f>
        <v/>
      </c>
      <c r="U1789">
        <f>IF($T1789="","",COUNTIFS(LdAParty,$P1789,LdAType,1,LdAKey,"&lt;"&amp;$T1789)+COUNTIFS(LdBMember,$P1789,LdBKey,"&lt;"&amp;$T1789)+COUNTIFS(LdCParty,$P1789,LdCKey,"&lt;"&amp;$T1789)+1)</f>
        <v/>
      </c>
      <c r="V1789">
        <f>IF($U1789="","",$P1789&amp;"|"&amp;RIGHT("000000"&amp;$U1789,6))</f>
        <v/>
      </c>
      <c r="W1789">
        <f>IF($T1789="","",COUNTIFS(LdBGroup,$R1789,LdBKey,"&lt;"&amp;$T1789)+1)</f>
        <v/>
      </c>
      <c r="X1789">
        <f>IF($W1789="","",$R1789&amp;"|"&amp;RIGHT("000000"&amp;$W1789,6))</f>
        <v/>
      </c>
      <c r="Y1789">
        <f>IF($P1789="","",IF(Shares!$E1792="",0,Shares!$E1792))</f>
        <v/>
      </c>
      <c r="Z1789">
        <f>IF($P1789="","",Shares!$H1792)</f>
        <v/>
      </c>
      <c r="AE1789">
        <f>IF(OR(Sync!$S1789="",Sync!$P1789=""),"",Sync!$S1789)</f>
        <v/>
      </c>
      <c r="AF1789">
        <f>IF($AE1789="","",IF(ISNUMBER(Sync!$P1789),IF(AND(Sync!$P1789&gt;=10000101,Sync!$P1789&lt;=99991231),INT(Sync!$P1789/10000),""),IFERROR(VALUE(TRIM(LEFT(Sync!$P1789,FIND("/",Sync!$P1789)-1))),"")))</f>
        <v/>
      </c>
      <c r="AG1789">
        <f>IF(OR($AE1789="",$AF1789=""),"",IF(ISNUMBER(Sync!$P1789),INT(MOD(Sync!$P1789,10000)/100),IFERROR(VALUE(TRIM(LEFT(MID(Sync!$P1789,FIND("/",Sync!$P1789)+1,20),FIND("/",MID(Sync!$P1789,FIND("/",Sync!$P1789)+1,20))-1))),"")))</f>
        <v/>
      </c>
      <c r="AH1789">
        <f>IF(OR($AE1789="",$AF1789=""),"",IF(ISNUMBER(Sync!$P1789),MOD(Sync!$P1789,100),IFERROR(VALUE(TRIM(MID(MID(Sync!$P1789,FIND("/",Sync!$P1789)+1,20),FIND("/",MID(Sync!$P1789,FIND("/",Sync!$P1789)+1,20))+1,20))),"")))</f>
        <v/>
      </c>
      <c r="AI1789">
        <f>IF($AE1789="","",IF(OR($AF1789="",$AG1789="",$AH1789="",$AF1789&lt;1300,$AF1789&gt;1500,$AG1789&lt;1,$AG1789&gt;12,$AH1789&lt;1,$AH1789&gt;31),"نامعتبر",RIGHT("0000"&amp;$AF1789,4)&amp;"/"&amp;RIGHT("00"&amp;$AG1789,2)&amp;"/"&amp;RIGHT("00"&amp;$AH1789,2)))</f>
        <v/>
      </c>
      <c r="AJ1789">
        <f>IF($AE1789="","",IF(Sync!$Q1789="","0000",IF(AND(ISNUMBER(Sync!$Q1789),Sync!$Q1789&gt;=0,Sync!$Q1789&lt;1),RIGHT("00"&amp;HOUR(Sync!$Q1789),2)&amp;RIGHT("00"&amp;MINUTE(Sync!$Q1789),2),IFERROR(RIGHT("00"&amp;VALUE(LEFT(Sync!$Q1789,FIND(":",Sync!$Q1789)-1)),2)&amp;RIGHT("00"&amp;VALUE(MID(Sync!$Q1789,FIND(":",Sync!$Q1789)+1,2)),2),"0000"))))</f>
        <v/>
      </c>
      <c r="AK1789">
        <f>IF(OR($AE1789="",$AI1789="",$AI1789="نامعتبر"),"",LEFT($AI1789,4)&amp;MID($AI1789,6,2)&amp;RIGHT($AI1789,2)&amp;$AJ1789&amp;"|"&amp;"3"&amp;RIGHT("00000"&amp;1784,5))</f>
        <v/>
      </c>
      <c r="AL1789">
        <f>IF($AK1789="","",COUNTIFS(LdAParty,$AE1789,LdAType,1,LdAKey,"&lt;"&amp;$AK1789)+COUNTIFS(LdBMember,$AE1789,LdBKey,"&lt;"&amp;$AK1789)+COUNTIFS(LdCParty,$AE1789,LdCKey,"&lt;"&amp;$AK1789)+1)</f>
        <v/>
      </c>
      <c r="AM1789">
        <f>IF($AL1789="","",$AE1789&amp;"|"&amp;RIGHT("000000"&amp;$AL1789,6))</f>
        <v/>
      </c>
      <c r="AN1789">
        <f>IF($AE1789="","",IF(Sync!$W1789="",0,Sync!$W1789))</f>
        <v/>
      </c>
      <c r="AO1789">
        <f>IF($AE1789="","",IF(Sync!$X1789="",0,Sync!$X1789))</f>
        <v/>
      </c>
      <c r="AP1789">
        <f>IF($AE1789="","",Sync!$R1789)</f>
        <v/>
      </c>
      <c r="AQ1789">
        <f>IF($AE1789="","",Sync!$Y1789)</f>
        <v/>
      </c>
    </row>
    <row r="1790">
      <c r="A1790">
        <f>IF(OR(Wages!$B1793="",Wages!$E1793=""),"",Wages!$E1793)</f>
        <v/>
      </c>
      <c r="B1790">
        <f>IF($A1790="","",IF(Wages!$C1793="دستمزد گروهی",2,1))</f>
        <v/>
      </c>
      <c r="C1790">
        <f>IF($A1790="","",IF(ISNUMBER(Wages!$B1793),IF(AND(Wages!$B1793&gt;=10000101,Wages!$B1793&lt;=99991231),INT(Wages!$B1793/10000),""),IFERROR(VALUE(TRIM(LEFT(Wages!$B1793,FIND("/",Wages!$B1793)-1))),"")))</f>
        <v/>
      </c>
      <c r="D1790">
        <f>IF(OR($A1790="",$C1790=""),"",IF(ISNUMBER(Wages!$B1793),INT(MOD(Wages!$B1793,10000)/100),IFERROR(VALUE(TRIM(LEFT(MID(Wages!$B1793,FIND("/",Wages!$B1793)+1,20),FIND("/",MID(Wages!$B1793,FIND("/",Wages!$B1793)+1,20))-1))),"")))</f>
        <v/>
      </c>
      <c r="E1790">
        <f>IF(OR($A1790="",$C1790=""),"",IF(ISNUMBER(Wages!$B1793),MOD(Wages!$B1793,100),IFERROR(VALUE(TRIM(MID(MID(Wages!$B1793,FIND("/",Wages!$B1793)+1,20),FIND("/",MID(Wages!$B1793,FIND("/",Wages!$B1793)+1,20))+1,20))),"")))</f>
        <v/>
      </c>
      <c r="F1790">
        <f>IF($A1790="","",IF(OR($C1790="",$D1790="",$E1790="",$C1790&lt;1300,$C1790&gt;1500,$D1790&lt;1,$D1790&gt;12,$E1790&lt;1,$E1790&gt;31),"نامعتبر",RIGHT("0000"&amp;$C1790,4)&amp;"/"&amp;RIGHT("00"&amp;$D1790,2)&amp;"/"&amp;RIGHT("00"&amp;$E1790,2)))</f>
        <v/>
      </c>
      <c r="G1790">
        <f>IF(OR($A1790="",$F1790="",$F1790="نامعتبر"),"",LEFT($F1790,4)&amp;MID($F1790,6,2)&amp;RIGHT($F1790,2)&amp;"0000"&amp;"|"&amp;"1"&amp;RIGHT("00000"&amp;1785,5))</f>
        <v/>
      </c>
      <c r="H1790">
        <f>IF(OR($B1790&lt;&gt;1,$G1790=""),"",COUNTIFS(LdAParty,$A1790,LdAType,1,LdAKey,"&lt;"&amp;$G1790)+COUNTIFS(LdBMember,$A1790,LdBKey,"&lt;"&amp;$G1790)+COUNTIFS(LdCParty,$A1790,LdCKey,"&lt;"&amp;$G1790)+1)</f>
        <v/>
      </c>
      <c r="I1790">
        <f>IF($H1790="","",$A1790&amp;"|"&amp;RIGHT("000000"&amp;$H1790,6))</f>
        <v/>
      </c>
      <c r="J1790">
        <f>IF(OR($B1790&lt;&gt;2,$G1790=""),"",COUNTIFS(LdAParty,$A1790,LdAType,2,LdAKey,"&lt;"&amp;$G1790)+1)</f>
        <v/>
      </c>
      <c r="K1790">
        <f>IF($J1790="","",$A1790&amp;"|"&amp;RIGHT("000000"&amp;$J1790,6))</f>
        <v/>
      </c>
      <c r="L1790">
        <f>IF($A1790="","",IF(Wages!$G1793="",0,Wages!$G1793))</f>
        <v/>
      </c>
      <c r="M1790">
        <f>IF($A1790="","",Wages!$J1793)</f>
        <v/>
      </c>
      <c r="N1790">
        <f>IF($A1790="","",Wages!$D1793)</f>
        <v/>
      </c>
      <c r="P1790">
        <f>IF(OR(Shares!$B1793="",Shares!$C1793=""),"",Shares!$C1793)</f>
        <v/>
      </c>
      <c r="Q1790">
        <f>IF($P1790="","",Shares!$B1793)</f>
        <v/>
      </c>
      <c r="R1790">
        <f>IF($P1790="","",IFERROR(INDEX(WageParty,MATCH($Q1790,WageIds,0)),""))</f>
        <v/>
      </c>
      <c r="S1790">
        <f>IF($P1790="","",IFERROR(INDEX($F$6:$F$2005,MATCH($Q1790,WageIds,0)),""))</f>
        <v/>
      </c>
      <c r="T1790">
        <f>IF(OR($P1790="",$S1790="",$S1790="نامعتبر"),"",LEFT($S1790,4)&amp;MID($S1790,6,2)&amp;RIGHT($S1790,2)&amp;"0000"&amp;"|"&amp;"2"&amp;RIGHT("00000"&amp;1785,5))</f>
        <v/>
      </c>
      <c r="U1790">
        <f>IF($T1790="","",COUNTIFS(LdAParty,$P1790,LdAType,1,LdAKey,"&lt;"&amp;$T1790)+COUNTIFS(LdBMember,$P1790,LdBKey,"&lt;"&amp;$T1790)+COUNTIFS(LdCParty,$P1790,LdCKey,"&lt;"&amp;$T1790)+1)</f>
        <v/>
      </c>
      <c r="V1790">
        <f>IF($U1790="","",$P1790&amp;"|"&amp;RIGHT("000000"&amp;$U1790,6))</f>
        <v/>
      </c>
      <c r="W1790">
        <f>IF($T1790="","",COUNTIFS(LdBGroup,$R1790,LdBKey,"&lt;"&amp;$T1790)+1)</f>
        <v/>
      </c>
      <c r="X1790">
        <f>IF($W1790="","",$R1790&amp;"|"&amp;RIGHT("000000"&amp;$W1790,6))</f>
        <v/>
      </c>
      <c r="Y1790">
        <f>IF($P1790="","",IF(Shares!$E1793="",0,Shares!$E1793))</f>
        <v/>
      </c>
      <c r="Z1790">
        <f>IF($P1790="","",Shares!$H1793)</f>
        <v/>
      </c>
      <c r="AE1790">
        <f>IF(OR(Sync!$S1790="",Sync!$P1790=""),"",Sync!$S1790)</f>
        <v/>
      </c>
      <c r="AF1790">
        <f>IF($AE1790="","",IF(ISNUMBER(Sync!$P1790),IF(AND(Sync!$P1790&gt;=10000101,Sync!$P1790&lt;=99991231),INT(Sync!$P1790/10000),""),IFERROR(VALUE(TRIM(LEFT(Sync!$P1790,FIND("/",Sync!$P1790)-1))),"")))</f>
        <v/>
      </c>
      <c r="AG1790">
        <f>IF(OR($AE1790="",$AF1790=""),"",IF(ISNUMBER(Sync!$P1790),INT(MOD(Sync!$P1790,10000)/100),IFERROR(VALUE(TRIM(LEFT(MID(Sync!$P1790,FIND("/",Sync!$P1790)+1,20),FIND("/",MID(Sync!$P1790,FIND("/",Sync!$P1790)+1,20))-1))),"")))</f>
        <v/>
      </c>
      <c r="AH1790">
        <f>IF(OR($AE1790="",$AF1790=""),"",IF(ISNUMBER(Sync!$P1790),MOD(Sync!$P1790,100),IFERROR(VALUE(TRIM(MID(MID(Sync!$P1790,FIND("/",Sync!$P1790)+1,20),FIND("/",MID(Sync!$P1790,FIND("/",Sync!$P1790)+1,20))+1,20))),"")))</f>
        <v/>
      </c>
      <c r="AI1790">
        <f>IF($AE1790="","",IF(OR($AF1790="",$AG1790="",$AH1790="",$AF1790&lt;1300,$AF1790&gt;1500,$AG1790&lt;1,$AG1790&gt;12,$AH1790&lt;1,$AH1790&gt;31),"نامعتبر",RIGHT("0000"&amp;$AF1790,4)&amp;"/"&amp;RIGHT("00"&amp;$AG1790,2)&amp;"/"&amp;RIGHT("00"&amp;$AH1790,2)))</f>
        <v/>
      </c>
      <c r="AJ1790">
        <f>IF($AE1790="","",IF(Sync!$Q1790="","0000",IF(AND(ISNUMBER(Sync!$Q1790),Sync!$Q1790&gt;=0,Sync!$Q1790&lt;1),RIGHT("00"&amp;HOUR(Sync!$Q1790),2)&amp;RIGHT("00"&amp;MINUTE(Sync!$Q1790),2),IFERROR(RIGHT("00"&amp;VALUE(LEFT(Sync!$Q1790,FIND(":",Sync!$Q1790)-1)),2)&amp;RIGHT("00"&amp;VALUE(MID(Sync!$Q1790,FIND(":",Sync!$Q1790)+1,2)),2),"0000"))))</f>
        <v/>
      </c>
      <c r="AK1790">
        <f>IF(OR($AE1790="",$AI1790="",$AI1790="نامعتبر"),"",LEFT($AI1790,4)&amp;MID($AI1790,6,2)&amp;RIGHT($AI1790,2)&amp;$AJ1790&amp;"|"&amp;"3"&amp;RIGHT("00000"&amp;1785,5))</f>
        <v/>
      </c>
      <c r="AL1790">
        <f>IF($AK1790="","",COUNTIFS(LdAParty,$AE1790,LdAType,1,LdAKey,"&lt;"&amp;$AK1790)+COUNTIFS(LdBMember,$AE1790,LdBKey,"&lt;"&amp;$AK1790)+COUNTIFS(LdCParty,$AE1790,LdCKey,"&lt;"&amp;$AK1790)+1)</f>
        <v/>
      </c>
      <c r="AM1790">
        <f>IF($AL1790="","",$AE1790&amp;"|"&amp;RIGHT("000000"&amp;$AL1790,6))</f>
        <v/>
      </c>
      <c r="AN1790">
        <f>IF($AE1790="","",IF(Sync!$W1790="",0,Sync!$W1790))</f>
        <v/>
      </c>
      <c r="AO1790">
        <f>IF($AE1790="","",IF(Sync!$X1790="",0,Sync!$X1790))</f>
        <v/>
      </c>
      <c r="AP1790">
        <f>IF($AE1790="","",Sync!$R1790)</f>
        <v/>
      </c>
      <c r="AQ1790">
        <f>IF($AE1790="","",Sync!$Y1790)</f>
        <v/>
      </c>
    </row>
    <row r="1791">
      <c r="A1791">
        <f>IF(OR(Wages!$B1794="",Wages!$E1794=""),"",Wages!$E1794)</f>
        <v/>
      </c>
      <c r="B1791">
        <f>IF($A1791="","",IF(Wages!$C1794="دستمزد گروهی",2,1))</f>
        <v/>
      </c>
      <c r="C1791">
        <f>IF($A1791="","",IF(ISNUMBER(Wages!$B1794),IF(AND(Wages!$B1794&gt;=10000101,Wages!$B1794&lt;=99991231),INT(Wages!$B1794/10000),""),IFERROR(VALUE(TRIM(LEFT(Wages!$B1794,FIND("/",Wages!$B1794)-1))),"")))</f>
        <v/>
      </c>
      <c r="D1791">
        <f>IF(OR($A1791="",$C1791=""),"",IF(ISNUMBER(Wages!$B1794),INT(MOD(Wages!$B1794,10000)/100),IFERROR(VALUE(TRIM(LEFT(MID(Wages!$B1794,FIND("/",Wages!$B1794)+1,20),FIND("/",MID(Wages!$B1794,FIND("/",Wages!$B1794)+1,20))-1))),"")))</f>
        <v/>
      </c>
      <c r="E1791">
        <f>IF(OR($A1791="",$C1791=""),"",IF(ISNUMBER(Wages!$B1794),MOD(Wages!$B1794,100),IFERROR(VALUE(TRIM(MID(MID(Wages!$B1794,FIND("/",Wages!$B1794)+1,20),FIND("/",MID(Wages!$B1794,FIND("/",Wages!$B1794)+1,20))+1,20))),"")))</f>
        <v/>
      </c>
      <c r="F1791">
        <f>IF($A1791="","",IF(OR($C1791="",$D1791="",$E1791="",$C1791&lt;1300,$C1791&gt;1500,$D1791&lt;1,$D1791&gt;12,$E1791&lt;1,$E1791&gt;31),"نامعتبر",RIGHT("0000"&amp;$C1791,4)&amp;"/"&amp;RIGHT("00"&amp;$D1791,2)&amp;"/"&amp;RIGHT("00"&amp;$E1791,2)))</f>
        <v/>
      </c>
      <c r="G1791">
        <f>IF(OR($A1791="",$F1791="",$F1791="نامعتبر"),"",LEFT($F1791,4)&amp;MID($F1791,6,2)&amp;RIGHT($F1791,2)&amp;"0000"&amp;"|"&amp;"1"&amp;RIGHT("00000"&amp;1786,5))</f>
        <v/>
      </c>
      <c r="H1791">
        <f>IF(OR($B1791&lt;&gt;1,$G1791=""),"",COUNTIFS(LdAParty,$A1791,LdAType,1,LdAKey,"&lt;"&amp;$G1791)+COUNTIFS(LdBMember,$A1791,LdBKey,"&lt;"&amp;$G1791)+COUNTIFS(LdCParty,$A1791,LdCKey,"&lt;"&amp;$G1791)+1)</f>
        <v/>
      </c>
      <c r="I1791">
        <f>IF($H1791="","",$A1791&amp;"|"&amp;RIGHT("000000"&amp;$H1791,6))</f>
        <v/>
      </c>
      <c r="J1791">
        <f>IF(OR($B1791&lt;&gt;2,$G1791=""),"",COUNTIFS(LdAParty,$A1791,LdAType,2,LdAKey,"&lt;"&amp;$G1791)+1)</f>
        <v/>
      </c>
      <c r="K1791">
        <f>IF($J1791="","",$A1791&amp;"|"&amp;RIGHT("000000"&amp;$J1791,6))</f>
        <v/>
      </c>
      <c r="L1791">
        <f>IF($A1791="","",IF(Wages!$G1794="",0,Wages!$G1794))</f>
        <v/>
      </c>
      <c r="M1791">
        <f>IF($A1791="","",Wages!$J1794)</f>
        <v/>
      </c>
      <c r="N1791">
        <f>IF($A1791="","",Wages!$D1794)</f>
        <v/>
      </c>
      <c r="P1791">
        <f>IF(OR(Shares!$B1794="",Shares!$C1794=""),"",Shares!$C1794)</f>
        <v/>
      </c>
      <c r="Q1791">
        <f>IF($P1791="","",Shares!$B1794)</f>
        <v/>
      </c>
      <c r="R1791">
        <f>IF($P1791="","",IFERROR(INDEX(WageParty,MATCH($Q1791,WageIds,0)),""))</f>
        <v/>
      </c>
      <c r="S1791">
        <f>IF($P1791="","",IFERROR(INDEX($F$6:$F$2005,MATCH($Q1791,WageIds,0)),""))</f>
        <v/>
      </c>
      <c r="T1791">
        <f>IF(OR($P1791="",$S1791="",$S1791="نامعتبر"),"",LEFT($S1791,4)&amp;MID($S1791,6,2)&amp;RIGHT($S1791,2)&amp;"0000"&amp;"|"&amp;"2"&amp;RIGHT("00000"&amp;1786,5))</f>
        <v/>
      </c>
      <c r="U1791">
        <f>IF($T1791="","",COUNTIFS(LdAParty,$P1791,LdAType,1,LdAKey,"&lt;"&amp;$T1791)+COUNTIFS(LdBMember,$P1791,LdBKey,"&lt;"&amp;$T1791)+COUNTIFS(LdCParty,$P1791,LdCKey,"&lt;"&amp;$T1791)+1)</f>
        <v/>
      </c>
      <c r="V1791">
        <f>IF($U1791="","",$P1791&amp;"|"&amp;RIGHT("000000"&amp;$U1791,6))</f>
        <v/>
      </c>
      <c r="W1791">
        <f>IF($T1791="","",COUNTIFS(LdBGroup,$R1791,LdBKey,"&lt;"&amp;$T1791)+1)</f>
        <v/>
      </c>
      <c r="X1791">
        <f>IF($W1791="","",$R1791&amp;"|"&amp;RIGHT("000000"&amp;$W1791,6))</f>
        <v/>
      </c>
      <c r="Y1791">
        <f>IF($P1791="","",IF(Shares!$E1794="",0,Shares!$E1794))</f>
        <v/>
      </c>
      <c r="Z1791">
        <f>IF($P1791="","",Shares!$H1794)</f>
        <v/>
      </c>
      <c r="AE1791">
        <f>IF(OR(Sync!$S1791="",Sync!$P1791=""),"",Sync!$S1791)</f>
        <v/>
      </c>
      <c r="AF1791">
        <f>IF($AE1791="","",IF(ISNUMBER(Sync!$P1791),IF(AND(Sync!$P1791&gt;=10000101,Sync!$P1791&lt;=99991231),INT(Sync!$P1791/10000),""),IFERROR(VALUE(TRIM(LEFT(Sync!$P1791,FIND("/",Sync!$P1791)-1))),"")))</f>
        <v/>
      </c>
      <c r="AG1791">
        <f>IF(OR($AE1791="",$AF1791=""),"",IF(ISNUMBER(Sync!$P1791),INT(MOD(Sync!$P1791,10000)/100),IFERROR(VALUE(TRIM(LEFT(MID(Sync!$P1791,FIND("/",Sync!$P1791)+1,20),FIND("/",MID(Sync!$P1791,FIND("/",Sync!$P1791)+1,20))-1))),"")))</f>
        <v/>
      </c>
      <c r="AH1791">
        <f>IF(OR($AE1791="",$AF1791=""),"",IF(ISNUMBER(Sync!$P1791),MOD(Sync!$P1791,100),IFERROR(VALUE(TRIM(MID(MID(Sync!$P1791,FIND("/",Sync!$P1791)+1,20),FIND("/",MID(Sync!$P1791,FIND("/",Sync!$P1791)+1,20))+1,20))),"")))</f>
        <v/>
      </c>
      <c r="AI1791">
        <f>IF($AE1791="","",IF(OR($AF1791="",$AG1791="",$AH1791="",$AF1791&lt;1300,$AF1791&gt;1500,$AG1791&lt;1,$AG1791&gt;12,$AH1791&lt;1,$AH1791&gt;31),"نامعتبر",RIGHT("0000"&amp;$AF1791,4)&amp;"/"&amp;RIGHT("00"&amp;$AG1791,2)&amp;"/"&amp;RIGHT("00"&amp;$AH1791,2)))</f>
        <v/>
      </c>
      <c r="AJ1791">
        <f>IF($AE1791="","",IF(Sync!$Q1791="","0000",IF(AND(ISNUMBER(Sync!$Q1791),Sync!$Q1791&gt;=0,Sync!$Q1791&lt;1),RIGHT("00"&amp;HOUR(Sync!$Q1791),2)&amp;RIGHT("00"&amp;MINUTE(Sync!$Q1791),2),IFERROR(RIGHT("00"&amp;VALUE(LEFT(Sync!$Q1791,FIND(":",Sync!$Q1791)-1)),2)&amp;RIGHT("00"&amp;VALUE(MID(Sync!$Q1791,FIND(":",Sync!$Q1791)+1,2)),2),"0000"))))</f>
        <v/>
      </c>
      <c r="AK1791">
        <f>IF(OR($AE1791="",$AI1791="",$AI1791="نامعتبر"),"",LEFT($AI1791,4)&amp;MID($AI1791,6,2)&amp;RIGHT($AI1791,2)&amp;$AJ1791&amp;"|"&amp;"3"&amp;RIGHT("00000"&amp;1786,5))</f>
        <v/>
      </c>
      <c r="AL1791">
        <f>IF($AK1791="","",COUNTIFS(LdAParty,$AE1791,LdAType,1,LdAKey,"&lt;"&amp;$AK1791)+COUNTIFS(LdBMember,$AE1791,LdBKey,"&lt;"&amp;$AK1791)+COUNTIFS(LdCParty,$AE1791,LdCKey,"&lt;"&amp;$AK1791)+1)</f>
        <v/>
      </c>
      <c r="AM1791">
        <f>IF($AL1791="","",$AE1791&amp;"|"&amp;RIGHT("000000"&amp;$AL1791,6))</f>
        <v/>
      </c>
      <c r="AN1791">
        <f>IF($AE1791="","",IF(Sync!$W1791="",0,Sync!$W1791))</f>
        <v/>
      </c>
      <c r="AO1791">
        <f>IF($AE1791="","",IF(Sync!$X1791="",0,Sync!$X1791))</f>
        <v/>
      </c>
      <c r="AP1791">
        <f>IF($AE1791="","",Sync!$R1791)</f>
        <v/>
      </c>
      <c r="AQ1791">
        <f>IF($AE1791="","",Sync!$Y1791)</f>
        <v/>
      </c>
    </row>
    <row r="1792">
      <c r="A1792">
        <f>IF(OR(Wages!$B1795="",Wages!$E1795=""),"",Wages!$E1795)</f>
        <v/>
      </c>
      <c r="B1792">
        <f>IF($A1792="","",IF(Wages!$C1795="دستمزد گروهی",2,1))</f>
        <v/>
      </c>
      <c r="C1792">
        <f>IF($A1792="","",IF(ISNUMBER(Wages!$B1795),IF(AND(Wages!$B1795&gt;=10000101,Wages!$B1795&lt;=99991231),INT(Wages!$B1795/10000),""),IFERROR(VALUE(TRIM(LEFT(Wages!$B1795,FIND("/",Wages!$B1795)-1))),"")))</f>
        <v/>
      </c>
      <c r="D1792">
        <f>IF(OR($A1792="",$C1792=""),"",IF(ISNUMBER(Wages!$B1795),INT(MOD(Wages!$B1795,10000)/100),IFERROR(VALUE(TRIM(LEFT(MID(Wages!$B1795,FIND("/",Wages!$B1795)+1,20),FIND("/",MID(Wages!$B1795,FIND("/",Wages!$B1795)+1,20))-1))),"")))</f>
        <v/>
      </c>
      <c r="E1792">
        <f>IF(OR($A1792="",$C1792=""),"",IF(ISNUMBER(Wages!$B1795),MOD(Wages!$B1795,100),IFERROR(VALUE(TRIM(MID(MID(Wages!$B1795,FIND("/",Wages!$B1795)+1,20),FIND("/",MID(Wages!$B1795,FIND("/",Wages!$B1795)+1,20))+1,20))),"")))</f>
        <v/>
      </c>
      <c r="F1792">
        <f>IF($A1792="","",IF(OR($C1792="",$D1792="",$E1792="",$C1792&lt;1300,$C1792&gt;1500,$D1792&lt;1,$D1792&gt;12,$E1792&lt;1,$E1792&gt;31),"نامعتبر",RIGHT("0000"&amp;$C1792,4)&amp;"/"&amp;RIGHT("00"&amp;$D1792,2)&amp;"/"&amp;RIGHT("00"&amp;$E1792,2)))</f>
        <v/>
      </c>
      <c r="G1792">
        <f>IF(OR($A1792="",$F1792="",$F1792="نامعتبر"),"",LEFT($F1792,4)&amp;MID($F1792,6,2)&amp;RIGHT($F1792,2)&amp;"0000"&amp;"|"&amp;"1"&amp;RIGHT("00000"&amp;1787,5))</f>
        <v/>
      </c>
      <c r="H1792">
        <f>IF(OR($B1792&lt;&gt;1,$G1792=""),"",COUNTIFS(LdAParty,$A1792,LdAType,1,LdAKey,"&lt;"&amp;$G1792)+COUNTIFS(LdBMember,$A1792,LdBKey,"&lt;"&amp;$G1792)+COUNTIFS(LdCParty,$A1792,LdCKey,"&lt;"&amp;$G1792)+1)</f>
        <v/>
      </c>
      <c r="I1792">
        <f>IF($H1792="","",$A1792&amp;"|"&amp;RIGHT("000000"&amp;$H1792,6))</f>
        <v/>
      </c>
      <c r="J1792">
        <f>IF(OR($B1792&lt;&gt;2,$G1792=""),"",COUNTIFS(LdAParty,$A1792,LdAType,2,LdAKey,"&lt;"&amp;$G1792)+1)</f>
        <v/>
      </c>
      <c r="K1792">
        <f>IF($J1792="","",$A1792&amp;"|"&amp;RIGHT("000000"&amp;$J1792,6))</f>
        <v/>
      </c>
      <c r="L1792">
        <f>IF($A1792="","",IF(Wages!$G1795="",0,Wages!$G1795))</f>
        <v/>
      </c>
      <c r="M1792">
        <f>IF($A1792="","",Wages!$J1795)</f>
        <v/>
      </c>
      <c r="N1792">
        <f>IF($A1792="","",Wages!$D1795)</f>
        <v/>
      </c>
      <c r="P1792">
        <f>IF(OR(Shares!$B1795="",Shares!$C1795=""),"",Shares!$C1795)</f>
        <v/>
      </c>
      <c r="Q1792">
        <f>IF($P1792="","",Shares!$B1795)</f>
        <v/>
      </c>
      <c r="R1792">
        <f>IF($P1792="","",IFERROR(INDEX(WageParty,MATCH($Q1792,WageIds,0)),""))</f>
        <v/>
      </c>
      <c r="S1792">
        <f>IF($P1792="","",IFERROR(INDEX($F$6:$F$2005,MATCH($Q1792,WageIds,0)),""))</f>
        <v/>
      </c>
      <c r="T1792">
        <f>IF(OR($P1792="",$S1792="",$S1792="نامعتبر"),"",LEFT($S1792,4)&amp;MID($S1792,6,2)&amp;RIGHT($S1792,2)&amp;"0000"&amp;"|"&amp;"2"&amp;RIGHT("00000"&amp;1787,5))</f>
        <v/>
      </c>
      <c r="U1792">
        <f>IF($T1792="","",COUNTIFS(LdAParty,$P1792,LdAType,1,LdAKey,"&lt;"&amp;$T1792)+COUNTIFS(LdBMember,$P1792,LdBKey,"&lt;"&amp;$T1792)+COUNTIFS(LdCParty,$P1792,LdCKey,"&lt;"&amp;$T1792)+1)</f>
        <v/>
      </c>
      <c r="V1792">
        <f>IF($U1792="","",$P1792&amp;"|"&amp;RIGHT("000000"&amp;$U1792,6))</f>
        <v/>
      </c>
      <c r="W1792">
        <f>IF($T1792="","",COUNTIFS(LdBGroup,$R1792,LdBKey,"&lt;"&amp;$T1792)+1)</f>
        <v/>
      </c>
      <c r="X1792">
        <f>IF($W1792="","",$R1792&amp;"|"&amp;RIGHT("000000"&amp;$W1792,6))</f>
        <v/>
      </c>
      <c r="Y1792">
        <f>IF($P1792="","",IF(Shares!$E1795="",0,Shares!$E1795))</f>
        <v/>
      </c>
      <c r="Z1792">
        <f>IF($P1792="","",Shares!$H1795)</f>
        <v/>
      </c>
      <c r="AE1792">
        <f>IF(OR(Sync!$S1792="",Sync!$P1792=""),"",Sync!$S1792)</f>
        <v/>
      </c>
      <c r="AF1792">
        <f>IF($AE1792="","",IF(ISNUMBER(Sync!$P1792),IF(AND(Sync!$P1792&gt;=10000101,Sync!$P1792&lt;=99991231),INT(Sync!$P1792/10000),""),IFERROR(VALUE(TRIM(LEFT(Sync!$P1792,FIND("/",Sync!$P1792)-1))),"")))</f>
        <v/>
      </c>
      <c r="AG1792">
        <f>IF(OR($AE1792="",$AF1792=""),"",IF(ISNUMBER(Sync!$P1792),INT(MOD(Sync!$P1792,10000)/100),IFERROR(VALUE(TRIM(LEFT(MID(Sync!$P1792,FIND("/",Sync!$P1792)+1,20),FIND("/",MID(Sync!$P1792,FIND("/",Sync!$P1792)+1,20))-1))),"")))</f>
        <v/>
      </c>
      <c r="AH1792">
        <f>IF(OR($AE1792="",$AF1792=""),"",IF(ISNUMBER(Sync!$P1792),MOD(Sync!$P1792,100),IFERROR(VALUE(TRIM(MID(MID(Sync!$P1792,FIND("/",Sync!$P1792)+1,20),FIND("/",MID(Sync!$P1792,FIND("/",Sync!$P1792)+1,20))+1,20))),"")))</f>
        <v/>
      </c>
      <c r="AI1792">
        <f>IF($AE1792="","",IF(OR($AF1792="",$AG1792="",$AH1792="",$AF1792&lt;1300,$AF1792&gt;1500,$AG1792&lt;1,$AG1792&gt;12,$AH1792&lt;1,$AH1792&gt;31),"نامعتبر",RIGHT("0000"&amp;$AF1792,4)&amp;"/"&amp;RIGHT("00"&amp;$AG1792,2)&amp;"/"&amp;RIGHT("00"&amp;$AH1792,2)))</f>
        <v/>
      </c>
      <c r="AJ1792">
        <f>IF($AE1792="","",IF(Sync!$Q1792="","0000",IF(AND(ISNUMBER(Sync!$Q1792),Sync!$Q1792&gt;=0,Sync!$Q1792&lt;1),RIGHT("00"&amp;HOUR(Sync!$Q1792),2)&amp;RIGHT("00"&amp;MINUTE(Sync!$Q1792),2),IFERROR(RIGHT("00"&amp;VALUE(LEFT(Sync!$Q1792,FIND(":",Sync!$Q1792)-1)),2)&amp;RIGHT("00"&amp;VALUE(MID(Sync!$Q1792,FIND(":",Sync!$Q1792)+1,2)),2),"0000"))))</f>
        <v/>
      </c>
      <c r="AK1792">
        <f>IF(OR($AE1792="",$AI1792="",$AI1792="نامعتبر"),"",LEFT($AI1792,4)&amp;MID($AI1792,6,2)&amp;RIGHT($AI1792,2)&amp;$AJ1792&amp;"|"&amp;"3"&amp;RIGHT("00000"&amp;1787,5))</f>
        <v/>
      </c>
      <c r="AL1792">
        <f>IF($AK1792="","",COUNTIFS(LdAParty,$AE1792,LdAType,1,LdAKey,"&lt;"&amp;$AK1792)+COUNTIFS(LdBMember,$AE1792,LdBKey,"&lt;"&amp;$AK1792)+COUNTIFS(LdCParty,$AE1792,LdCKey,"&lt;"&amp;$AK1792)+1)</f>
        <v/>
      </c>
      <c r="AM1792">
        <f>IF($AL1792="","",$AE1792&amp;"|"&amp;RIGHT("000000"&amp;$AL1792,6))</f>
        <v/>
      </c>
      <c r="AN1792">
        <f>IF($AE1792="","",IF(Sync!$W1792="",0,Sync!$W1792))</f>
        <v/>
      </c>
      <c r="AO1792">
        <f>IF($AE1792="","",IF(Sync!$X1792="",0,Sync!$X1792))</f>
        <v/>
      </c>
      <c r="AP1792">
        <f>IF($AE1792="","",Sync!$R1792)</f>
        <v/>
      </c>
      <c r="AQ1792">
        <f>IF($AE1792="","",Sync!$Y1792)</f>
        <v/>
      </c>
    </row>
    <row r="1793">
      <c r="A1793">
        <f>IF(OR(Wages!$B1796="",Wages!$E1796=""),"",Wages!$E1796)</f>
        <v/>
      </c>
      <c r="B1793">
        <f>IF($A1793="","",IF(Wages!$C1796="دستمزد گروهی",2,1))</f>
        <v/>
      </c>
      <c r="C1793">
        <f>IF($A1793="","",IF(ISNUMBER(Wages!$B1796),IF(AND(Wages!$B1796&gt;=10000101,Wages!$B1796&lt;=99991231),INT(Wages!$B1796/10000),""),IFERROR(VALUE(TRIM(LEFT(Wages!$B1796,FIND("/",Wages!$B1796)-1))),"")))</f>
        <v/>
      </c>
      <c r="D1793">
        <f>IF(OR($A1793="",$C1793=""),"",IF(ISNUMBER(Wages!$B1796),INT(MOD(Wages!$B1796,10000)/100),IFERROR(VALUE(TRIM(LEFT(MID(Wages!$B1796,FIND("/",Wages!$B1796)+1,20),FIND("/",MID(Wages!$B1796,FIND("/",Wages!$B1796)+1,20))-1))),"")))</f>
        <v/>
      </c>
      <c r="E1793">
        <f>IF(OR($A1793="",$C1793=""),"",IF(ISNUMBER(Wages!$B1796),MOD(Wages!$B1796,100),IFERROR(VALUE(TRIM(MID(MID(Wages!$B1796,FIND("/",Wages!$B1796)+1,20),FIND("/",MID(Wages!$B1796,FIND("/",Wages!$B1796)+1,20))+1,20))),"")))</f>
        <v/>
      </c>
      <c r="F1793">
        <f>IF($A1793="","",IF(OR($C1793="",$D1793="",$E1793="",$C1793&lt;1300,$C1793&gt;1500,$D1793&lt;1,$D1793&gt;12,$E1793&lt;1,$E1793&gt;31),"نامعتبر",RIGHT("0000"&amp;$C1793,4)&amp;"/"&amp;RIGHT("00"&amp;$D1793,2)&amp;"/"&amp;RIGHT("00"&amp;$E1793,2)))</f>
        <v/>
      </c>
      <c r="G1793">
        <f>IF(OR($A1793="",$F1793="",$F1793="نامعتبر"),"",LEFT($F1793,4)&amp;MID($F1793,6,2)&amp;RIGHT($F1793,2)&amp;"0000"&amp;"|"&amp;"1"&amp;RIGHT("00000"&amp;1788,5))</f>
        <v/>
      </c>
      <c r="H1793">
        <f>IF(OR($B1793&lt;&gt;1,$G1793=""),"",COUNTIFS(LdAParty,$A1793,LdAType,1,LdAKey,"&lt;"&amp;$G1793)+COUNTIFS(LdBMember,$A1793,LdBKey,"&lt;"&amp;$G1793)+COUNTIFS(LdCParty,$A1793,LdCKey,"&lt;"&amp;$G1793)+1)</f>
        <v/>
      </c>
      <c r="I1793">
        <f>IF($H1793="","",$A1793&amp;"|"&amp;RIGHT("000000"&amp;$H1793,6))</f>
        <v/>
      </c>
      <c r="J1793">
        <f>IF(OR($B1793&lt;&gt;2,$G1793=""),"",COUNTIFS(LdAParty,$A1793,LdAType,2,LdAKey,"&lt;"&amp;$G1793)+1)</f>
        <v/>
      </c>
      <c r="K1793">
        <f>IF($J1793="","",$A1793&amp;"|"&amp;RIGHT("000000"&amp;$J1793,6))</f>
        <v/>
      </c>
      <c r="L1793">
        <f>IF($A1793="","",IF(Wages!$G1796="",0,Wages!$G1796))</f>
        <v/>
      </c>
      <c r="M1793">
        <f>IF($A1793="","",Wages!$J1796)</f>
        <v/>
      </c>
      <c r="N1793">
        <f>IF($A1793="","",Wages!$D1796)</f>
        <v/>
      </c>
      <c r="P1793">
        <f>IF(OR(Shares!$B1796="",Shares!$C1796=""),"",Shares!$C1796)</f>
        <v/>
      </c>
      <c r="Q1793">
        <f>IF($P1793="","",Shares!$B1796)</f>
        <v/>
      </c>
      <c r="R1793">
        <f>IF($P1793="","",IFERROR(INDEX(WageParty,MATCH($Q1793,WageIds,0)),""))</f>
        <v/>
      </c>
      <c r="S1793">
        <f>IF($P1793="","",IFERROR(INDEX($F$6:$F$2005,MATCH($Q1793,WageIds,0)),""))</f>
        <v/>
      </c>
      <c r="T1793">
        <f>IF(OR($P1793="",$S1793="",$S1793="نامعتبر"),"",LEFT($S1793,4)&amp;MID($S1793,6,2)&amp;RIGHT($S1793,2)&amp;"0000"&amp;"|"&amp;"2"&amp;RIGHT("00000"&amp;1788,5))</f>
        <v/>
      </c>
      <c r="U1793">
        <f>IF($T1793="","",COUNTIFS(LdAParty,$P1793,LdAType,1,LdAKey,"&lt;"&amp;$T1793)+COUNTIFS(LdBMember,$P1793,LdBKey,"&lt;"&amp;$T1793)+COUNTIFS(LdCParty,$P1793,LdCKey,"&lt;"&amp;$T1793)+1)</f>
        <v/>
      </c>
      <c r="V1793">
        <f>IF($U1793="","",$P1793&amp;"|"&amp;RIGHT("000000"&amp;$U1793,6))</f>
        <v/>
      </c>
      <c r="W1793">
        <f>IF($T1793="","",COUNTIFS(LdBGroup,$R1793,LdBKey,"&lt;"&amp;$T1793)+1)</f>
        <v/>
      </c>
      <c r="X1793">
        <f>IF($W1793="","",$R1793&amp;"|"&amp;RIGHT("000000"&amp;$W1793,6))</f>
        <v/>
      </c>
      <c r="Y1793">
        <f>IF($P1793="","",IF(Shares!$E1796="",0,Shares!$E1796))</f>
        <v/>
      </c>
      <c r="Z1793">
        <f>IF($P1793="","",Shares!$H1796)</f>
        <v/>
      </c>
      <c r="AE1793">
        <f>IF(OR(Sync!$S1793="",Sync!$P1793=""),"",Sync!$S1793)</f>
        <v/>
      </c>
      <c r="AF1793">
        <f>IF($AE1793="","",IF(ISNUMBER(Sync!$P1793),IF(AND(Sync!$P1793&gt;=10000101,Sync!$P1793&lt;=99991231),INT(Sync!$P1793/10000),""),IFERROR(VALUE(TRIM(LEFT(Sync!$P1793,FIND("/",Sync!$P1793)-1))),"")))</f>
        <v/>
      </c>
      <c r="AG1793">
        <f>IF(OR($AE1793="",$AF1793=""),"",IF(ISNUMBER(Sync!$P1793),INT(MOD(Sync!$P1793,10000)/100),IFERROR(VALUE(TRIM(LEFT(MID(Sync!$P1793,FIND("/",Sync!$P1793)+1,20),FIND("/",MID(Sync!$P1793,FIND("/",Sync!$P1793)+1,20))-1))),"")))</f>
        <v/>
      </c>
      <c r="AH1793">
        <f>IF(OR($AE1793="",$AF1793=""),"",IF(ISNUMBER(Sync!$P1793),MOD(Sync!$P1793,100),IFERROR(VALUE(TRIM(MID(MID(Sync!$P1793,FIND("/",Sync!$P1793)+1,20),FIND("/",MID(Sync!$P1793,FIND("/",Sync!$P1793)+1,20))+1,20))),"")))</f>
        <v/>
      </c>
      <c r="AI1793">
        <f>IF($AE1793="","",IF(OR($AF1793="",$AG1793="",$AH1793="",$AF1793&lt;1300,$AF1793&gt;1500,$AG1793&lt;1,$AG1793&gt;12,$AH1793&lt;1,$AH1793&gt;31),"نامعتبر",RIGHT("0000"&amp;$AF1793,4)&amp;"/"&amp;RIGHT("00"&amp;$AG1793,2)&amp;"/"&amp;RIGHT("00"&amp;$AH1793,2)))</f>
        <v/>
      </c>
      <c r="AJ1793">
        <f>IF($AE1793="","",IF(Sync!$Q1793="","0000",IF(AND(ISNUMBER(Sync!$Q1793),Sync!$Q1793&gt;=0,Sync!$Q1793&lt;1),RIGHT("00"&amp;HOUR(Sync!$Q1793),2)&amp;RIGHT("00"&amp;MINUTE(Sync!$Q1793),2),IFERROR(RIGHT("00"&amp;VALUE(LEFT(Sync!$Q1793,FIND(":",Sync!$Q1793)-1)),2)&amp;RIGHT("00"&amp;VALUE(MID(Sync!$Q1793,FIND(":",Sync!$Q1793)+1,2)),2),"0000"))))</f>
        <v/>
      </c>
      <c r="AK1793">
        <f>IF(OR($AE1793="",$AI1793="",$AI1793="نامعتبر"),"",LEFT($AI1793,4)&amp;MID($AI1793,6,2)&amp;RIGHT($AI1793,2)&amp;$AJ1793&amp;"|"&amp;"3"&amp;RIGHT("00000"&amp;1788,5))</f>
        <v/>
      </c>
      <c r="AL1793">
        <f>IF($AK1793="","",COUNTIFS(LdAParty,$AE1793,LdAType,1,LdAKey,"&lt;"&amp;$AK1793)+COUNTIFS(LdBMember,$AE1793,LdBKey,"&lt;"&amp;$AK1793)+COUNTIFS(LdCParty,$AE1793,LdCKey,"&lt;"&amp;$AK1793)+1)</f>
        <v/>
      </c>
      <c r="AM1793">
        <f>IF($AL1793="","",$AE1793&amp;"|"&amp;RIGHT("000000"&amp;$AL1793,6))</f>
        <v/>
      </c>
      <c r="AN1793">
        <f>IF($AE1793="","",IF(Sync!$W1793="",0,Sync!$W1793))</f>
        <v/>
      </c>
      <c r="AO1793">
        <f>IF($AE1793="","",IF(Sync!$X1793="",0,Sync!$X1793))</f>
        <v/>
      </c>
      <c r="AP1793">
        <f>IF($AE1793="","",Sync!$R1793)</f>
        <v/>
      </c>
      <c r="AQ1793">
        <f>IF($AE1793="","",Sync!$Y1793)</f>
        <v/>
      </c>
    </row>
    <row r="1794">
      <c r="A1794">
        <f>IF(OR(Wages!$B1797="",Wages!$E1797=""),"",Wages!$E1797)</f>
        <v/>
      </c>
      <c r="B1794">
        <f>IF($A1794="","",IF(Wages!$C1797="دستمزد گروهی",2,1))</f>
        <v/>
      </c>
      <c r="C1794">
        <f>IF($A1794="","",IF(ISNUMBER(Wages!$B1797),IF(AND(Wages!$B1797&gt;=10000101,Wages!$B1797&lt;=99991231),INT(Wages!$B1797/10000),""),IFERROR(VALUE(TRIM(LEFT(Wages!$B1797,FIND("/",Wages!$B1797)-1))),"")))</f>
        <v/>
      </c>
      <c r="D1794">
        <f>IF(OR($A1794="",$C1794=""),"",IF(ISNUMBER(Wages!$B1797),INT(MOD(Wages!$B1797,10000)/100),IFERROR(VALUE(TRIM(LEFT(MID(Wages!$B1797,FIND("/",Wages!$B1797)+1,20),FIND("/",MID(Wages!$B1797,FIND("/",Wages!$B1797)+1,20))-1))),"")))</f>
        <v/>
      </c>
      <c r="E1794">
        <f>IF(OR($A1794="",$C1794=""),"",IF(ISNUMBER(Wages!$B1797),MOD(Wages!$B1797,100),IFERROR(VALUE(TRIM(MID(MID(Wages!$B1797,FIND("/",Wages!$B1797)+1,20),FIND("/",MID(Wages!$B1797,FIND("/",Wages!$B1797)+1,20))+1,20))),"")))</f>
        <v/>
      </c>
      <c r="F1794">
        <f>IF($A1794="","",IF(OR($C1794="",$D1794="",$E1794="",$C1794&lt;1300,$C1794&gt;1500,$D1794&lt;1,$D1794&gt;12,$E1794&lt;1,$E1794&gt;31),"نامعتبر",RIGHT("0000"&amp;$C1794,4)&amp;"/"&amp;RIGHT("00"&amp;$D1794,2)&amp;"/"&amp;RIGHT("00"&amp;$E1794,2)))</f>
        <v/>
      </c>
      <c r="G1794">
        <f>IF(OR($A1794="",$F1794="",$F1794="نامعتبر"),"",LEFT($F1794,4)&amp;MID($F1794,6,2)&amp;RIGHT($F1794,2)&amp;"0000"&amp;"|"&amp;"1"&amp;RIGHT("00000"&amp;1789,5))</f>
        <v/>
      </c>
      <c r="H1794">
        <f>IF(OR($B1794&lt;&gt;1,$G1794=""),"",COUNTIFS(LdAParty,$A1794,LdAType,1,LdAKey,"&lt;"&amp;$G1794)+COUNTIFS(LdBMember,$A1794,LdBKey,"&lt;"&amp;$G1794)+COUNTIFS(LdCParty,$A1794,LdCKey,"&lt;"&amp;$G1794)+1)</f>
        <v/>
      </c>
      <c r="I1794">
        <f>IF($H1794="","",$A1794&amp;"|"&amp;RIGHT("000000"&amp;$H1794,6))</f>
        <v/>
      </c>
      <c r="J1794">
        <f>IF(OR($B1794&lt;&gt;2,$G1794=""),"",COUNTIFS(LdAParty,$A1794,LdAType,2,LdAKey,"&lt;"&amp;$G1794)+1)</f>
        <v/>
      </c>
      <c r="K1794">
        <f>IF($J1794="","",$A1794&amp;"|"&amp;RIGHT("000000"&amp;$J1794,6))</f>
        <v/>
      </c>
      <c r="L1794">
        <f>IF($A1794="","",IF(Wages!$G1797="",0,Wages!$G1797))</f>
        <v/>
      </c>
      <c r="M1794">
        <f>IF($A1794="","",Wages!$J1797)</f>
        <v/>
      </c>
      <c r="N1794">
        <f>IF($A1794="","",Wages!$D1797)</f>
        <v/>
      </c>
      <c r="P1794">
        <f>IF(OR(Shares!$B1797="",Shares!$C1797=""),"",Shares!$C1797)</f>
        <v/>
      </c>
      <c r="Q1794">
        <f>IF($P1794="","",Shares!$B1797)</f>
        <v/>
      </c>
      <c r="R1794">
        <f>IF($P1794="","",IFERROR(INDEX(WageParty,MATCH($Q1794,WageIds,0)),""))</f>
        <v/>
      </c>
      <c r="S1794">
        <f>IF($P1794="","",IFERROR(INDEX($F$6:$F$2005,MATCH($Q1794,WageIds,0)),""))</f>
        <v/>
      </c>
      <c r="T1794">
        <f>IF(OR($P1794="",$S1794="",$S1794="نامعتبر"),"",LEFT($S1794,4)&amp;MID($S1794,6,2)&amp;RIGHT($S1794,2)&amp;"0000"&amp;"|"&amp;"2"&amp;RIGHT("00000"&amp;1789,5))</f>
        <v/>
      </c>
      <c r="U1794">
        <f>IF($T1794="","",COUNTIFS(LdAParty,$P1794,LdAType,1,LdAKey,"&lt;"&amp;$T1794)+COUNTIFS(LdBMember,$P1794,LdBKey,"&lt;"&amp;$T1794)+COUNTIFS(LdCParty,$P1794,LdCKey,"&lt;"&amp;$T1794)+1)</f>
        <v/>
      </c>
      <c r="V1794">
        <f>IF($U1794="","",$P1794&amp;"|"&amp;RIGHT("000000"&amp;$U1794,6))</f>
        <v/>
      </c>
      <c r="W1794">
        <f>IF($T1794="","",COUNTIFS(LdBGroup,$R1794,LdBKey,"&lt;"&amp;$T1794)+1)</f>
        <v/>
      </c>
      <c r="X1794">
        <f>IF($W1794="","",$R1794&amp;"|"&amp;RIGHT("000000"&amp;$W1794,6))</f>
        <v/>
      </c>
      <c r="Y1794">
        <f>IF($P1794="","",IF(Shares!$E1797="",0,Shares!$E1797))</f>
        <v/>
      </c>
      <c r="Z1794">
        <f>IF($P1794="","",Shares!$H1797)</f>
        <v/>
      </c>
      <c r="AE1794">
        <f>IF(OR(Sync!$S1794="",Sync!$P1794=""),"",Sync!$S1794)</f>
        <v/>
      </c>
      <c r="AF1794">
        <f>IF($AE1794="","",IF(ISNUMBER(Sync!$P1794),IF(AND(Sync!$P1794&gt;=10000101,Sync!$P1794&lt;=99991231),INT(Sync!$P1794/10000),""),IFERROR(VALUE(TRIM(LEFT(Sync!$P1794,FIND("/",Sync!$P1794)-1))),"")))</f>
        <v/>
      </c>
      <c r="AG1794">
        <f>IF(OR($AE1794="",$AF1794=""),"",IF(ISNUMBER(Sync!$P1794),INT(MOD(Sync!$P1794,10000)/100),IFERROR(VALUE(TRIM(LEFT(MID(Sync!$P1794,FIND("/",Sync!$P1794)+1,20),FIND("/",MID(Sync!$P1794,FIND("/",Sync!$P1794)+1,20))-1))),"")))</f>
        <v/>
      </c>
      <c r="AH1794">
        <f>IF(OR($AE1794="",$AF1794=""),"",IF(ISNUMBER(Sync!$P1794),MOD(Sync!$P1794,100),IFERROR(VALUE(TRIM(MID(MID(Sync!$P1794,FIND("/",Sync!$P1794)+1,20),FIND("/",MID(Sync!$P1794,FIND("/",Sync!$P1794)+1,20))+1,20))),"")))</f>
        <v/>
      </c>
      <c r="AI1794">
        <f>IF($AE1794="","",IF(OR($AF1794="",$AG1794="",$AH1794="",$AF1794&lt;1300,$AF1794&gt;1500,$AG1794&lt;1,$AG1794&gt;12,$AH1794&lt;1,$AH1794&gt;31),"نامعتبر",RIGHT("0000"&amp;$AF1794,4)&amp;"/"&amp;RIGHT("00"&amp;$AG1794,2)&amp;"/"&amp;RIGHT("00"&amp;$AH1794,2)))</f>
        <v/>
      </c>
      <c r="AJ1794">
        <f>IF($AE1794="","",IF(Sync!$Q1794="","0000",IF(AND(ISNUMBER(Sync!$Q1794),Sync!$Q1794&gt;=0,Sync!$Q1794&lt;1),RIGHT("00"&amp;HOUR(Sync!$Q1794),2)&amp;RIGHT("00"&amp;MINUTE(Sync!$Q1794),2),IFERROR(RIGHT("00"&amp;VALUE(LEFT(Sync!$Q1794,FIND(":",Sync!$Q1794)-1)),2)&amp;RIGHT("00"&amp;VALUE(MID(Sync!$Q1794,FIND(":",Sync!$Q1794)+1,2)),2),"0000"))))</f>
        <v/>
      </c>
      <c r="AK1794">
        <f>IF(OR($AE1794="",$AI1794="",$AI1794="نامعتبر"),"",LEFT($AI1794,4)&amp;MID($AI1794,6,2)&amp;RIGHT($AI1794,2)&amp;$AJ1794&amp;"|"&amp;"3"&amp;RIGHT("00000"&amp;1789,5))</f>
        <v/>
      </c>
      <c r="AL1794">
        <f>IF($AK1794="","",COUNTIFS(LdAParty,$AE1794,LdAType,1,LdAKey,"&lt;"&amp;$AK1794)+COUNTIFS(LdBMember,$AE1794,LdBKey,"&lt;"&amp;$AK1794)+COUNTIFS(LdCParty,$AE1794,LdCKey,"&lt;"&amp;$AK1794)+1)</f>
        <v/>
      </c>
      <c r="AM1794">
        <f>IF($AL1794="","",$AE1794&amp;"|"&amp;RIGHT("000000"&amp;$AL1794,6))</f>
        <v/>
      </c>
      <c r="AN1794">
        <f>IF($AE1794="","",IF(Sync!$W1794="",0,Sync!$W1794))</f>
        <v/>
      </c>
      <c r="AO1794">
        <f>IF($AE1794="","",IF(Sync!$X1794="",0,Sync!$X1794))</f>
        <v/>
      </c>
      <c r="AP1794">
        <f>IF($AE1794="","",Sync!$R1794)</f>
        <v/>
      </c>
      <c r="AQ1794">
        <f>IF($AE1794="","",Sync!$Y1794)</f>
        <v/>
      </c>
    </row>
    <row r="1795">
      <c r="A1795">
        <f>IF(OR(Wages!$B1798="",Wages!$E1798=""),"",Wages!$E1798)</f>
        <v/>
      </c>
      <c r="B1795">
        <f>IF($A1795="","",IF(Wages!$C1798="دستمزد گروهی",2,1))</f>
        <v/>
      </c>
      <c r="C1795">
        <f>IF($A1795="","",IF(ISNUMBER(Wages!$B1798),IF(AND(Wages!$B1798&gt;=10000101,Wages!$B1798&lt;=99991231),INT(Wages!$B1798/10000),""),IFERROR(VALUE(TRIM(LEFT(Wages!$B1798,FIND("/",Wages!$B1798)-1))),"")))</f>
        <v/>
      </c>
      <c r="D1795">
        <f>IF(OR($A1795="",$C1795=""),"",IF(ISNUMBER(Wages!$B1798),INT(MOD(Wages!$B1798,10000)/100),IFERROR(VALUE(TRIM(LEFT(MID(Wages!$B1798,FIND("/",Wages!$B1798)+1,20),FIND("/",MID(Wages!$B1798,FIND("/",Wages!$B1798)+1,20))-1))),"")))</f>
        <v/>
      </c>
      <c r="E1795">
        <f>IF(OR($A1795="",$C1795=""),"",IF(ISNUMBER(Wages!$B1798),MOD(Wages!$B1798,100),IFERROR(VALUE(TRIM(MID(MID(Wages!$B1798,FIND("/",Wages!$B1798)+1,20),FIND("/",MID(Wages!$B1798,FIND("/",Wages!$B1798)+1,20))+1,20))),"")))</f>
        <v/>
      </c>
      <c r="F1795">
        <f>IF($A1795="","",IF(OR($C1795="",$D1795="",$E1795="",$C1795&lt;1300,$C1795&gt;1500,$D1795&lt;1,$D1795&gt;12,$E1795&lt;1,$E1795&gt;31),"نامعتبر",RIGHT("0000"&amp;$C1795,4)&amp;"/"&amp;RIGHT("00"&amp;$D1795,2)&amp;"/"&amp;RIGHT("00"&amp;$E1795,2)))</f>
        <v/>
      </c>
      <c r="G1795">
        <f>IF(OR($A1795="",$F1795="",$F1795="نامعتبر"),"",LEFT($F1795,4)&amp;MID($F1795,6,2)&amp;RIGHT($F1795,2)&amp;"0000"&amp;"|"&amp;"1"&amp;RIGHT("00000"&amp;1790,5))</f>
        <v/>
      </c>
      <c r="H1795">
        <f>IF(OR($B1795&lt;&gt;1,$G1795=""),"",COUNTIFS(LdAParty,$A1795,LdAType,1,LdAKey,"&lt;"&amp;$G1795)+COUNTIFS(LdBMember,$A1795,LdBKey,"&lt;"&amp;$G1795)+COUNTIFS(LdCParty,$A1795,LdCKey,"&lt;"&amp;$G1795)+1)</f>
        <v/>
      </c>
      <c r="I1795">
        <f>IF($H1795="","",$A1795&amp;"|"&amp;RIGHT("000000"&amp;$H1795,6))</f>
        <v/>
      </c>
      <c r="J1795">
        <f>IF(OR($B1795&lt;&gt;2,$G1795=""),"",COUNTIFS(LdAParty,$A1795,LdAType,2,LdAKey,"&lt;"&amp;$G1795)+1)</f>
        <v/>
      </c>
      <c r="K1795">
        <f>IF($J1795="","",$A1795&amp;"|"&amp;RIGHT("000000"&amp;$J1795,6))</f>
        <v/>
      </c>
      <c r="L1795">
        <f>IF($A1795="","",IF(Wages!$G1798="",0,Wages!$G1798))</f>
        <v/>
      </c>
      <c r="M1795">
        <f>IF($A1795="","",Wages!$J1798)</f>
        <v/>
      </c>
      <c r="N1795">
        <f>IF($A1795="","",Wages!$D1798)</f>
        <v/>
      </c>
      <c r="P1795">
        <f>IF(OR(Shares!$B1798="",Shares!$C1798=""),"",Shares!$C1798)</f>
        <v/>
      </c>
      <c r="Q1795">
        <f>IF($P1795="","",Shares!$B1798)</f>
        <v/>
      </c>
      <c r="R1795">
        <f>IF($P1795="","",IFERROR(INDEX(WageParty,MATCH($Q1795,WageIds,0)),""))</f>
        <v/>
      </c>
      <c r="S1795">
        <f>IF($P1795="","",IFERROR(INDEX($F$6:$F$2005,MATCH($Q1795,WageIds,0)),""))</f>
        <v/>
      </c>
      <c r="T1795">
        <f>IF(OR($P1795="",$S1795="",$S1795="نامعتبر"),"",LEFT($S1795,4)&amp;MID($S1795,6,2)&amp;RIGHT($S1795,2)&amp;"0000"&amp;"|"&amp;"2"&amp;RIGHT("00000"&amp;1790,5))</f>
        <v/>
      </c>
      <c r="U1795">
        <f>IF($T1795="","",COUNTIFS(LdAParty,$P1795,LdAType,1,LdAKey,"&lt;"&amp;$T1795)+COUNTIFS(LdBMember,$P1795,LdBKey,"&lt;"&amp;$T1795)+COUNTIFS(LdCParty,$P1795,LdCKey,"&lt;"&amp;$T1795)+1)</f>
        <v/>
      </c>
      <c r="V1795">
        <f>IF($U1795="","",$P1795&amp;"|"&amp;RIGHT("000000"&amp;$U1795,6))</f>
        <v/>
      </c>
      <c r="W1795">
        <f>IF($T1795="","",COUNTIFS(LdBGroup,$R1795,LdBKey,"&lt;"&amp;$T1795)+1)</f>
        <v/>
      </c>
      <c r="X1795">
        <f>IF($W1795="","",$R1795&amp;"|"&amp;RIGHT("000000"&amp;$W1795,6))</f>
        <v/>
      </c>
      <c r="Y1795">
        <f>IF($P1795="","",IF(Shares!$E1798="",0,Shares!$E1798))</f>
        <v/>
      </c>
      <c r="Z1795">
        <f>IF($P1795="","",Shares!$H1798)</f>
        <v/>
      </c>
      <c r="AE1795">
        <f>IF(OR(Sync!$S1795="",Sync!$P1795=""),"",Sync!$S1795)</f>
        <v/>
      </c>
      <c r="AF1795">
        <f>IF($AE1795="","",IF(ISNUMBER(Sync!$P1795),IF(AND(Sync!$P1795&gt;=10000101,Sync!$P1795&lt;=99991231),INT(Sync!$P1795/10000),""),IFERROR(VALUE(TRIM(LEFT(Sync!$P1795,FIND("/",Sync!$P1795)-1))),"")))</f>
        <v/>
      </c>
      <c r="AG1795">
        <f>IF(OR($AE1795="",$AF1795=""),"",IF(ISNUMBER(Sync!$P1795),INT(MOD(Sync!$P1795,10000)/100),IFERROR(VALUE(TRIM(LEFT(MID(Sync!$P1795,FIND("/",Sync!$P1795)+1,20),FIND("/",MID(Sync!$P1795,FIND("/",Sync!$P1795)+1,20))-1))),"")))</f>
        <v/>
      </c>
      <c r="AH1795">
        <f>IF(OR($AE1795="",$AF1795=""),"",IF(ISNUMBER(Sync!$P1795),MOD(Sync!$P1795,100),IFERROR(VALUE(TRIM(MID(MID(Sync!$P1795,FIND("/",Sync!$P1795)+1,20),FIND("/",MID(Sync!$P1795,FIND("/",Sync!$P1795)+1,20))+1,20))),"")))</f>
        <v/>
      </c>
      <c r="AI1795">
        <f>IF($AE1795="","",IF(OR($AF1795="",$AG1795="",$AH1795="",$AF1795&lt;1300,$AF1795&gt;1500,$AG1795&lt;1,$AG1795&gt;12,$AH1795&lt;1,$AH1795&gt;31),"نامعتبر",RIGHT("0000"&amp;$AF1795,4)&amp;"/"&amp;RIGHT("00"&amp;$AG1795,2)&amp;"/"&amp;RIGHT("00"&amp;$AH1795,2)))</f>
        <v/>
      </c>
      <c r="AJ1795">
        <f>IF($AE1795="","",IF(Sync!$Q1795="","0000",IF(AND(ISNUMBER(Sync!$Q1795),Sync!$Q1795&gt;=0,Sync!$Q1795&lt;1),RIGHT("00"&amp;HOUR(Sync!$Q1795),2)&amp;RIGHT("00"&amp;MINUTE(Sync!$Q1795),2),IFERROR(RIGHT("00"&amp;VALUE(LEFT(Sync!$Q1795,FIND(":",Sync!$Q1795)-1)),2)&amp;RIGHT("00"&amp;VALUE(MID(Sync!$Q1795,FIND(":",Sync!$Q1795)+1,2)),2),"0000"))))</f>
        <v/>
      </c>
      <c r="AK1795">
        <f>IF(OR($AE1795="",$AI1795="",$AI1795="نامعتبر"),"",LEFT($AI1795,4)&amp;MID($AI1795,6,2)&amp;RIGHT($AI1795,2)&amp;$AJ1795&amp;"|"&amp;"3"&amp;RIGHT("00000"&amp;1790,5))</f>
        <v/>
      </c>
      <c r="AL1795">
        <f>IF($AK1795="","",COUNTIFS(LdAParty,$AE1795,LdAType,1,LdAKey,"&lt;"&amp;$AK1795)+COUNTIFS(LdBMember,$AE1795,LdBKey,"&lt;"&amp;$AK1795)+COUNTIFS(LdCParty,$AE1795,LdCKey,"&lt;"&amp;$AK1795)+1)</f>
        <v/>
      </c>
      <c r="AM1795">
        <f>IF($AL1795="","",$AE1795&amp;"|"&amp;RIGHT("000000"&amp;$AL1795,6))</f>
        <v/>
      </c>
      <c r="AN1795">
        <f>IF($AE1795="","",IF(Sync!$W1795="",0,Sync!$W1795))</f>
        <v/>
      </c>
      <c r="AO1795">
        <f>IF($AE1795="","",IF(Sync!$X1795="",0,Sync!$X1795))</f>
        <v/>
      </c>
      <c r="AP1795">
        <f>IF($AE1795="","",Sync!$R1795)</f>
        <v/>
      </c>
      <c r="AQ1795">
        <f>IF($AE1795="","",Sync!$Y1795)</f>
        <v/>
      </c>
    </row>
    <row r="1796">
      <c r="A1796">
        <f>IF(OR(Wages!$B1799="",Wages!$E1799=""),"",Wages!$E1799)</f>
        <v/>
      </c>
      <c r="B1796">
        <f>IF($A1796="","",IF(Wages!$C1799="دستمزد گروهی",2,1))</f>
        <v/>
      </c>
      <c r="C1796">
        <f>IF($A1796="","",IF(ISNUMBER(Wages!$B1799),IF(AND(Wages!$B1799&gt;=10000101,Wages!$B1799&lt;=99991231),INT(Wages!$B1799/10000),""),IFERROR(VALUE(TRIM(LEFT(Wages!$B1799,FIND("/",Wages!$B1799)-1))),"")))</f>
        <v/>
      </c>
      <c r="D1796">
        <f>IF(OR($A1796="",$C1796=""),"",IF(ISNUMBER(Wages!$B1799),INT(MOD(Wages!$B1799,10000)/100),IFERROR(VALUE(TRIM(LEFT(MID(Wages!$B1799,FIND("/",Wages!$B1799)+1,20),FIND("/",MID(Wages!$B1799,FIND("/",Wages!$B1799)+1,20))-1))),"")))</f>
        <v/>
      </c>
      <c r="E1796">
        <f>IF(OR($A1796="",$C1796=""),"",IF(ISNUMBER(Wages!$B1799),MOD(Wages!$B1799,100),IFERROR(VALUE(TRIM(MID(MID(Wages!$B1799,FIND("/",Wages!$B1799)+1,20),FIND("/",MID(Wages!$B1799,FIND("/",Wages!$B1799)+1,20))+1,20))),"")))</f>
        <v/>
      </c>
      <c r="F1796">
        <f>IF($A1796="","",IF(OR($C1796="",$D1796="",$E1796="",$C1796&lt;1300,$C1796&gt;1500,$D1796&lt;1,$D1796&gt;12,$E1796&lt;1,$E1796&gt;31),"نامعتبر",RIGHT("0000"&amp;$C1796,4)&amp;"/"&amp;RIGHT("00"&amp;$D1796,2)&amp;"/"&amp;RIGHT("00"&amp;$E1796,2)))</f>
        <v/>
      </c>
      <c r="G1796">
        <f>IF(OR($A1796="",$F1796="",$F1796="نامعتبر"),"",LEFT($F1796,4)&amp;MID($F1796,6,2)&amp;RIGHT($F1796,2)&amp;"0000"&amp;"|"&amp;"1"&amp;RIGHT("00000"&amp;1791,5))</f>
        <v/>
      </c>
      <c r="H1796">
        <f>IF(OR($B1796&lt;&gt;1,$G1796=""),"",COUNTIFS(LdAParty,$A1796,LdAType,1,LdAKey,"&lt;"&amp;$G1796)+COUNTIFS(LdBMember,$A1796,LdBKey,"&lt;"&amp;$G1796)+COUNTIFS(LdCParty,$A1796,LdCKey,"&lt;"&amp;$G1796)+1)</f>
        <v/>
      </c>
      <c r="I1796">
        <f>IF($H1796="","",$A1796&amp;"|"&amp;RIGHT("000000"&amp;$H1796,6))</f>
        <v/>
      </c>
      <c r="J1796">
        <f>IF(OR($B1796&lt;&gt;2,$G1796=""),"",COUNTIFS(LdAParty,$A1796,LdAType,2,LdAKey,"&lt;"&amp;$G1796)+1)</f>
        <v/>
      </c>
      <c r="K1796">
        <f>IF($J1796="","",$A1796&amp;"|"&amp;RIGHT("000000"&amp;$J1796,6))</f>
        <v/>
      </c>
      <c r="L1796">
        <f>IF($A1796="","",IF(Wages!$G1799="",0,Wages!$G1799))</f>
        <v/>
      </c>
      <c r="M1796">
        <f>IF($A1796="","",Wages!$J1799)</f>
        <v/>
      </c>
      <c r="N1796">
        <f>IF($A1796="","",Wages!$D1799)</f>
        <v/>
      </c>
      <c r="P1796">
        <f>IF(OR(Shares!$B1799="",Shares!$C1799=""),"",Shares!$C1799)</f>
        <v/>
      </c>
      <c r="Q1796">
        <f>IF($P1796="","",Shares!$B1799)</f>
        <v/>
      </c>
      <c r="R1796">
        <f>IF($P1796="","",IFERROR(INDEX(WageParty,MATCH($Q1796,WageIds,0)),""))</f>
        <v/>
      </c>
      <c r="S1796">
        <f>IF($P1796="","",IFERROR(INDEX($F$6:$F$2005,MATCH($Q1796,WageIds,0)),""))</f>
        <v/>
      </c>
      <c r="T1796">
        <f>IF(OR($P1796="",$S1796="",$S1796="نامعتبر"),"",LEFT($S1796,4)&amp;MID($S1796,6,2)&amp;RIGHT($S1796,2)&amp;"0000"&amp;"|"&amp;"2"&amp;RIGHT("00000"&amp;1791,5))</f>
        <v/>
      </c>
      <c r="U1796">
        <f>IF($T1796="","",COUNTIFS(LdAParty,$P1796,LdAType,1,LdAKey,"&lt;"&amp;$T1796)+COUNTIFS(LdBMember,$P1796,LdBKey,"&lt;"&amp;$T1796)+COUNTIFS(LdCParty,$P1796,LdCKey,"&lt;"&amp;$T1796)+1)</f>
        <v/>
      </c>
      <c r="V1796">
        <f>IF($U1796="","",$P1796&amp;"|"&amp;RIGHT("000000"&amp;$U1796,6))</f>
        <v/>
      </c>
      <c r="W1796">
        <f>IF($T1796="","",COUNTIFS(LdBGroup,$R1796,LdBKey,"&lt;"&amp;$T1796)+1)</f>
        <v/>
      </c>
      <c r="X1796">
        <f>IF($W1796="","",$R1796&amp;"|"&amp;RIGHT("000000"&amp;$W1796,6))</f>
        <v/>
      </c>
      <c r="Y1796">
        <f>IF($P1796="","",IF(Shares!$E1799="",0,Shares!$E1799))</f>
        <v/>
      </c>
      <c r="Z1796">
        <f>IF($P1796="","",Shares!$H1799)</f>
        <v/>
      </c>
      <c r="AE1796">
        <f>IF(OR(Sync!$S1796="",Sync!$P1796=""),"",Sync!$S1796)</f>
        <v/>
      </c>
      <c r="AF1796">
        <f>IF($AE1796="","",IF(ISNUMBER(Sync!$P1796),IF(AND(Sync!$P1796&gt;=10000101,Sync!$P1796&lt;=99991231),INT(Sync!$P1796/10000),""),IFERROR(VALUE(TRIM(LEFT(Sync!$P1796,FIND("/",Sync!$P1796)-1))),"")))</f>
        <v/>
      </c>
      <c r="AG1796">
        <f>IF(OR($AE1796="",$AF1796=""),"",IF(ISNUMBER(Sync!$P1796),INT(MOD(Sync!$P1796,10000)/100),IFERROR(VALUE(TRIM(LEFT(MID(Sync!$P1796,FIND("/",Sync!$P1796)+1,20),FIND("/",MID(Sync!$P1796,FIND("/",Sync!$P1796)+1,20))-1))),"")))</f>
        <v/>
      </c>
      <c r="AH1796">
        <f>IF(OR($AE1796="",$AF1796=""),"",IF(ISNUMBER(Sync!$P1796),MOD(Sync!$P1796,100),IFERROR(VALUE(TRIM(MID(MID(Sync!$P1796,FIND("/",Sync!$P1796)+1,20),FIND("/",MID(Sync!$P1796,FIND("/",Sync!$P1796)+1,20))+1,20))),"")))</f>
        <v/>
      </c>
      <c r="AI1796">
        <f>IF($AE1796="","",IF(OR($AF1796="",$AG1796="",$AH1796="",$AF1796&lt;1300,$AF1796&gt;1500,$AG1796&lt;1,$AG1796&gt;12,$AH1796&lt;1,$AH1796&gt;31),"نامعتبر",RIGHT("0000"&amp;$AF1796,4)&amp;"/"&amp;RIGHT("00"&amp;$AG1796,2)&amp;"/"&amp;RIGHT("00"&amp;$AH1796,2)))</f>
        <v/>
      </c>
      <c r="AJ1796">
        <f>IF($AE1796="","",IF(Sync!$Q1796="","0000",IF(AND(ISNUMBER(Sync!$Q1796),Sync!$Q1796&gt;=0,Sync!$Q1796&lt;1),RIGHT("00"&amp;HOUR(Sync!$Q1796),2)&amp;RIGHT("00"&amp;MINUTE(Sync!$Q1796),2),IFERROR(RIGHT("00"&amp;VALUE(LEFT(Sync!$Q1796,FIND(":",Sync!$Q1796)-1)),2)&amp;RIGHT("00"&amp;VALUE(MID(Sync!$Q1796,FIND(":",Sync!$Q1796)+1,2)),2),"0000"))))</f>
        <v/>
      </c>
      <c r="AK1796">
        <f>IF(OR($AE1796="",$AI1796="",$AI1796="نامعتبر"),"",LEFT($AI1796,4)&amp;MID($AI1796,6,2)&amp;RIGHT($AI1796,2)&amp;$AJ1796&amp;"|"&amp;"3"&amp;RIGHT("00000"&amp;1791,5))</f>
        <v/>
      </c>
      <c r="AL1796">
        <f>IF($AK1796="","",COUNTIFS(LdAParty,$AE1796,LdAType,1,LdAKey,"&lt;"&amp;$AK1796)+COUNTIFS(LdBMember,$AE1796,LdBKey,"&lt;"&amp;$AK1796)+COUNTIFS(LdCParty,$AE1796,LdCKey,"&lt;"&amp;$AK1796)+1)</f>
        <v/>
      </c>
      <c r="AM1796">
        <f>IF($AL1796="","",$AE1796&amp;"|"&amp;RIGHT("000000"&amp;$AL1796,6))</f>
        <v/>
      </c>
      <c r="AN1796">
        <f>IF($AE1796="","",IF(Sync!$W1796="",0,Sync!$W1796))</f>
        <v/>
      </c>
      <c r="AO1796">
        <f>IF($AE1796="","",IF(Sync!$X1796="",0,Sync!$X1796))</f>
        <v/>
      </c>
      <c r="AP1796">
        <f>IF($AE1796="","",Sync!$R1796)</f>
        <v/>
      </c>
      <c r="AQ1796">
        <f>IF($AE1796="","",Sync!$Y1796)</f>
        <v/>
      </c>
    </row>
    <row r="1797">
      <c r="A1797">
        <f>IF(OR(Wages!$B1800="",Wages!$E1800=""),"",Wages!$E1800)</f>
        <v/>
      </c>
      <c r="B1797">
        <f>IF($A1797="","",IF(Wages!$C1800="دستمزد گروهی",2,1))</f>
        <v/>
      </c>
      <c r="C1797">
        <f>IF($A1797="","",IF(ISNUMBER(Wages!$B1800),IF(AND(Wages!$B1800&gt;=10000101,Wages!$B1800&lt;=99991231),INT(Wages!$B1800/10000),""),IFERROR(VALUE(TRIM(LEFT(Wages!$B1800,FIND("/",Wages!$B1800)-1))),"")))</f>
        <v/>
      </c>
      <c r="D1797">
        <f>IF(OR($A1797="",$C1797=""),"",IF(ISNUMBER(Wages!$B1800),INT(MOD(Wages!$B1800,10000)/100),IFERROR(VALUE(TRIM(LEFT(MID(Wages!$B1800,FIND("/",Wages!$B1800)+1,20),FIND("/",MID(Wages!$B1800,FIND("/",Wages!$B1800)+1,20))-1))),"")))</f>
        <v/>
      </c>
      <c r="E1797">
        <f>IF(OR($A1797="",$C1797=""),"",IF(ISNUMBER(Wages!$B1800),MOD(Wages!$B1800,100),IFERROR(VALUE(TRIM(MID(MID(Wages!$B1800,FIND("/",Wages!$B1800)+1,20),FIND("/",MID(Wages!$B1800,FIND("/",Wages!$B1800)+1,20))+1,20))),"")))</f>
        <v/>
      </c>
      <c r="F1797">
        <f>IF($A1797="","",IF(OR($C1797="",$D1797="",$E1797="",$C1797&lt;1300,$C1797&gt;1500,$D1797&lt;1,$D1797&gt;12,$E1797&lt;1,$E1797&gt;31),"نامعتبر",RIGHT("0000"&amp;$C1797,4)&amp;"/"&amp;RIGHT("00"&amp;$D1797,2)&amp;"/"&amp;RIGHT("00"&amp;$E1797,2)))</f>
        <v/>
      </c>
      <c r="G1797">
        <f>IF(OR($A1797="",$F1797="",$F1797="نامعتبر"),"",LEFT($F1797,4)&amp;MID($F1797,6,2)&amp;RIGHT($F1797,2)&amp;"0000"&amp;"|"&amp;"1"&amp;RIGHT("00000"&amp;1792,5))</f>
        <v/>
      </c>
      <c r="H1797">
        <f>IF(OR($B1797&lt;&gt;1,$G1797=""),"",COUNTIFS(LdAParty,$A1797,LdAType,1,LdAKey,"&lt;"&amp;$G1797)+COUNTIFS(LdBMember,$A1797,LdBKey,"&lt;"&amp;$G1797)+COUNTIFS(LdCParty,$A1797,LdCKey,"&lt;"&amp;$G1797)+1)</f>
        <v/>
      </c>
      <c r="I1797">
        <f>IF($H1797="","",$A1797&amp;"|"&amp;RIGHT("000000"&amp;$H1797,6))</f>
        <v/>
      </c>
      <c r="J1797">
        <f>IF(OR($B1797&lt;&gt;2,$G1797=""),"",COUNTIFS(LdAParty,$A1797,LdAType,2,LdAKey,"&lt;"&amp;$G1797)+1)</f>
        <v/>
      </c>
      <c r="K1797">
        <f>IF($J1797="","",$A1797&amp;"|"&amp;RIGHT("000000"&amp;$J1797,6))</f>
        <v/>
      </c>
      <c r="L1797">
        <f>IF($A1797="","",IF(Wages!$G1800="",0,Wages!$G1800))</f>
        <v/>
      </c>
      <c r="M1797">
        <f>IF($A1797="","",Wages!$J1800)</f>
        <v/>
      </c>
      <c r="N1797">
        <f>IF($A1797="","",Wages!$D1800)</f>
        <v/>
      </c>
      <c r="P1797">
        <f>IF(OR(Shares!$B1800="",Shares!$C1800=""),"",Shares!$C1800)</f>
        <v/>
      </c>
      <c r="Q1797">
        <f>IF($P1797="","",Shares!$B1800)</f>
        <v/>
      </c>
      <c r="R1797">
        <f>IF($P1797="","",IFERROR(INDEX(WageParty,MATCH($Q1797,WageIds,0)),""))</f>
        <v/>
      </c>
      <c r="S1797">
        <f>IF($P1797="","",IFERROR(INDEX($F$6:$F$2005,MATCH($Q1797,WageIds,0)),""))</f>
        <v/>
      </c>
      <c r="T1797">
        <f>IF(OR($P1797="",$S1797="",$S1797="نامعتبر"),"",LEFT($S1797,4)&amp;MID($S1797,6,2)&amp;RIGHT($S1797,2)&amp;"0000"&amp;"|"&amp;"2"&amp;RIGHT("00000"&amp;1792,5))</f>
        <v/>
      </c>
      <c r="U1797">
        <f>IF($T1797="","",COUNTIFS(LdAParty,$P1797,LdAType,1,LdAKey,"&lt;"&amp;$T1797)+COUNTIFS(LdBMember,$P1797,LdBKey,"&lt;"&amp;$T1797)+COUNTIFS(LdCParty,$P1797,LdCKey,"&lt;"&amp;$T1797)+1)</f>
        <v/>
      </c>
      <c r="V1797">
        <f>IF($U1797="","",$P1797&amp;"|"&amp;RIGHT("000000"&amp;$U1797,6))</f>
        <v/>
      </c>
      <c r="W1797">
        <f>IF($T1797="","",COUNTIFS(LdBGroup,$R1797,LdBKey,"&lt;"&amp;$T1797)+1)</f>
        <v/>
      </c>
      <c r="X1797">
        <f>IF($W1797="","",$R1797&amp;"|"&amp;RIGHT("000000"&amp;$W1797,6))</f>
        <v/>
      </c>
      <c r="Y1797">
        <f>IF($P1797="","",IF(Shares!$E1800="",0,Shares!$E1800))</f>
        <v/>
      </c>
      <c r="Z1797">
        <f>IF($P1797="","",Shares!$H1800)</f>
        <v/>
      </c>
      <c r="AE1797">
        <f>IF(OR(Sync!$S1797="",Sync!$P1797=""),"",Sync!$S1797)</f>
        <v/>
      </c>
      <c r="AF1797">
        <f>IF($AE1797="","",IF(ISNUMBER(Sync!$P1797),IF(AND(Sync!$P1797&gt;=10000101,Sync!$P1797&lt;=99991231),INT(Sync!$P1797/10000),""),IFERROR(VALUE(TRIM(LEFT(Sync!$P1797,FIND("/",Sync!$P1797)-1))),"")))</f>
        <v/>
      </c>
      <c r="AG1797">
        <f>IF(OR($AE1797="",$AF1797=""),"",IF(ISNUMBER(Sync!$P1797),INT(MOD(Sync!$P1797,10000)/100),IFERROR(VALUE(TRIM(LEFT(MID(Sync!$P1797,FIND("/",Sync!$P1797)+1,20),FIND("/",MID(Sync!$P1797,FIND("/",Sync!$P1797)+1,20))-1))),"")))</f>
        <v/>
      </c>
      <c r="AH1797">
        <f>IF(OR($AE1797="",$AF1797=""),"",IF(ISNUMBER(Sync!$P1797),MOD(Sync!$P1797,100),IFERROR(VALUE(TRIM(MID(MID(Sync!$P1797,FIND("/",Sync!$P1797)+1,20),FIND("/",MID(Sync!$P1797,FIND("/",Sync!$P1797)+1,20))+1,20))),"")))</f>
        <v/>
      </c>
      <c r="AI1797">
        <f>IF($AE1797="","",IF(OR($AF1797="",$AG1797="",$AH1797="",$AF1797&lt;1300,$AF1797&gt;1500,$AG1797&lt;1,$AG1797&gt;12,$AH1797&lt;1,$AH1797&gt;31),"نامعتبر",RIGHT("0000"&amp;$AF1797,4)&amp;"/"&amp;RIGHT("00"&amp;$AG1797,2)&amp;"/"&amp;RIGHT("00"&amp;$AH1797,2)))</f>
        <v/>
      </c>
      <c r="AJ1797">
        <f>IF($AE1797="","",IF(Sync!$Q1797="","0000",IF(AND(ISNUMBER(Sync!$Q1797),Sync!$Q1797&gt;=0,Sync!$Q1797&lt;1),RIGHT("00"&amp;HOUR(Sync!$Q1797),2)&amp;RIGHT("00"&amp;MINUTE(Sync!$Q1797),2),IFERROR(RIGHT("00"&amp;VALUE(LEFT(Sync!$Q1797,FIND(":",Sync!$Q1797)-1)),2)&amp;RIGHT("00"&amp;VALUE(MID(Sync!$Q1797,FIND(":",Sync!$Q1797)+1,2)),2),"0000"))))</f>
        <v/>
      </c>
      <c r="AK1797">
        <f>IF(OR($AE1797="",$AI1797="",$AI1797="نامعتبر"),"",LEFT($AI1797,4)&amp;MID($AI1797,6,2)&amp;RIGHT($AI1797,2)&amp;$AJ1797&amp;"|"&amp;"3"&amp;RIGHT("00000"&amp;1792,5))</f>
        <v/>
      </c>
      <c r="AL1797">
        <f>IF($AK1797="","",COUNTIFS(LdAParty,$AE1797,LdAType,1,LdAKey,"&lt;"&amp;$AK1797)+COUNTIFS(LdBMember,$AE1797,LdBKey,"&lt;"&amp;$AK1797)+COUNTIFS(LdCParty,$AE1797,LdCKey,"&lt;"&amp;$AK1797)+1)</f>
        <v/>
      </c>
      <c r="AM1797">
        <f>IF($AL1797="","",$AE1797&amp;"|"&amp;RIGHT("000000"&amp;$AL1797,6))</f>
        <v/>
      </c>
      <c r="AN1797">
        <f>IF($AE1797="","",IF(Sync!$W1797="",0,Sync!$W1797))</f>
        <v/>
      </c>
      <c r="AO1797">
        <f>IF($AE1797="","",IF(Sync!$X1797="",0,Sync!$X1797))</f>
        <v/>
      </c>
      <c r="AP1797">
        <f>IF($AE1797="","",Sync!$R1797)</f>
        <v/>
      </c>
      <c r="AQ1797">
        <f>IF($AE1797="","",Sync!$Y1797)</f>
        <v/>
      </c>
    </row>
    <row r="1798">
      <c r="A1798">
        <f>IF(OR(Wages!$B1801="",Wages!$E1801=""),"",Wages!$E1801)</f>
        <v/>
      </c>
      <c r="B1798">
        <f>IF($A1798="","",IF(Wages!$C1801="دستمزد گروهی",2,1))</f>
        <v/>
      </c>
      <c r="C1798">
        <f>IF($A1798="","",IF(ISNUMBER(Wages!$B1801),IF(AND(Wages!$B1801&gt;=10000101,Wages!$B1801&lt;=99991231),INT(Wages!$B1801/10000),""),IFERROR(VALUE(TRIM(LEFT(Wages!$B1801,FIND("/",Wages!$B1801)-1))),"")))</f>
        <v/>
      </c>
      <c r="D1798">
        <f>IF(OR($A1798="",$C1798=""),"",IF(ISNUMBER(Wages!$B1801),INT(MOD(Wages!$B1801,10000)/100),IFERROR(VALUE(TRIM(LEFT(MID(Wages!$B1801,FIND("/",Wages!$B1801)+1,20),FIND("/",MID(Wages!$B1801,FIND("/",Wages!$B1801)+1,20))-1))),"")))</f>
        <v/>
      </c>
      <c r="E1798">
        <f>IF(OR($A1798="",$C1798=""),"",IF(ISNUMBER(Wages!$B1801),MOD(Wages!$B1801,100),IFERROR(VALUE(TRIM(MID(MID(Wages!$B1801,FIND("/",Wages!$B1801)+1,20),FIND("/",MID(Wages!$B1801,FIND("/",Wages!$B1801)+1,20))+1,20))),"")))</f>
        <v/>
      </c>
      <c r="F1798">
        <f>IF($A1798="","",IF(OR($C1798="",$D1798="",$E1798="",$C1798&lt;1300,$C1798&gt;1500,$D1798&lt;1,$D1798&gt;12,$E1798&lt;1,$E1798&gt;31),"نامعتبر",RIGHT("0000"&amp;$C1798,4)&amp;"/"&amp;RIGHT("00"&amp;$D1798,2)&amp;"/"&amp;RIGHT("00"&amp;$E1798,2)))</f>
        <v/>
      </c>
      <c r="G1798">
        <f>IF(OR($A1798="",$F1798="",$F1798="نامعتبر"),"",LEFT($F1798,4)&amp;MID($F1798,6,2)&amp;RIGHT($F1798,2)&amp;"0000"&amp;"|"&amp;"1"&amp;RIGHT("00000"&amp;1793,5))</f>
        <v/>
      </c>
      <c r="H1798">
        <f>IF(OR($B1798&lt;&gt;1,$G1798=""),"",COUNTIFS(LdAParty,$A1798,LdAType,1,LdAKey,"&lt;"&amp;$G1798)+COUNTIFS(LdBMember,$A1798,LdBKey,"&lt;"&amp;$G1798)+COUNTIFS(LdCParty,$A1798,LdCKey,"&lt;"&amp;$G1798)+1)</f>
        <v/>
      </c>
      <c r="I1798">
        <f>IF($H1798="","",$A1798&amp;"|"&amp;RIGHT("000000"&amp;$H1798,6))</f>
        <v/>
      </c>
      <c r="J1798">
        <f>IF(OR($B1798&lt;&gt;2,$G1798=""),"",COUNTIFS(LdAParty,$A1798,LdAType,2,LdAKey,"&lt;"&amp;$G1798)+1)</f>
        <v/>
      </c>
      <c r="K1798">
        <f>IF($J1798="","",$A1798&amp;"|"&amp;RIGHT("000000"&amp;$J1798,6))</f>
        <v/>
      </c>
      <c r="L1798">
        <f>IF($A1798="","",IF(Wages!$G1801="",0,Wages!$G1801))</f>
        <v/>
      </c>
      <c r="M1798">
        <f>IF($A1798="","",Wages!$J1801)</f>
        <v/>
      </c>
      <c r="N1798">
        <f>IF($A1798="","",Wages!$D1801)</f>
        <v/>
      </c>
      <c r="P1798">
        <f>IF(OR(Shares!$B1801="",Shares!$C1801=""),"",Shares!$C1801)</f>
        <v/>
      </c>
      <c r="Q1798">
        <f>IF($P1798="","",Shares!$B1801)</f>
        <v/>
      </c>
      <c r="R1798">
        <f>IF($P1798="","",IFERROR(INDEX(WageParty,MATCH($Q1798,WageIds,0)),""))</f>
        <v/>
      </c>
      <c r="S1798">
        <f>IF($P1798="","",IFERROR(INDEX($F$6:$F$2005,MATCH($Q1798,WageIds,0)),""))</f>
        <v/>
      </c>
      <c r="T1798">
        <f>IF(OR($P1798="",$S1798="",$S1798="نامعتبر"),"",LEFT($S1798,4)&amp;MID($S1798,6,2)&amp;RIGHT($S1798,2)&amp;"0000"&amp;"|"&amp;"2"&amp;RIGHT("00000"&amp;1793,5))</f>
        <v/>
      </c>
      <c r="U1798">
        <f>IF($T1798="","",COUNTIFS(LdAParty,$P1798,LdAType,1,LdAKey,"&lt;"&amp;$T1798)+COUNTIFS(LdBMember,$P1798,LdBKey,"&lt;"&amp;$T1798)+COUNTIFS(LdCParty,$P1798,LdCKey,"&lt;"&amp;$T1798)+1)</f>
        <v/>
      </c>
      <c r="V1798">
        <f>IF($U1798="","",$P1798&amp;"|"&amp;RIGHT("000000"&amp;$U1798,6))</f>
        <v/>
      </c>
      <c r="W1798">
        <f>IF($T1798="","",COUNTIFS(LdBGroup,$R1798,LdBKey,"&lt;"&amp;$T1798)+1)</f>
        <v/>
      </c>
      <c r="X1798">
        <f>IF($W1798="","",$R1798&amp;"|"&amp;RIGHT("000000"&amp;$W1798,6))</f>
        <v/>
      </c>
      <c r="Y1798">
        <f>IF($P1798="","",IF(Shares!$E1801="",0,Shares!$E1801))</f>
        <v/>
      </c>
      <c r="Z1798">
        <f>IF($P1798="","",Shares!$H1801)</f>
        <v/>
      </c>
      <c r="AE1798">
        <f>IF(OR(Sync!$S1798="",Sync!$P1798=""),"",Sync!$S1798)</f>
        <v/>
      </c>
      <c r="AF1798">
        <f>IF($AE1798="","",IF(ISNUMBER(Sync!$P1798),IF(AND(Sync!$P1798&gt;=10000101,Sync!$P1798&lt;=99991231),INT(Sync!$P1798/10000),""),IFERROR(VALUE(TRIM(LEFT(Sync!$P1798,FIND("/",Sync!$P1798)-1))),"")))</f>
        <v/>
      </c>
      <c r="AG1798">
        <f>IF(OR($AE1798="",$AF1798=""),"",IF(ISNUMBER(Sync!$P1798),INT(MOD(Sync!$P1798,10000)/100),IFERROR(VALUE(TRIM(LEFT(MID(Sync!$P1798,FIND("/",Sync!$P1798)+1,20),FIND("/",MID(Sync!$P1798,FIND("/",Sync!$P1798)+1,20))-1))),"")))</f>
        <v/>
      </c>
      <c r="AH1798">
        <f>IF(OR($AE1798="",$AF1798=""),"",IF(ISNUMBER(Sync!$P1798),MOD(Sync!$P1798,100),IFERROR(VALUE(TRIM(MID(MID(Sync!$P1798,FIND("/",Sync!$P1798)+1,20),FIND("/",MID(Sync!$P1798,FIND("/",Sync!$P1798)+1,20))+1,20))),"")))</f>
        <v/>
      </c>
      <c r="AI1798">
        <f>IF($AE1798="","",IF(OR($AF1798="",$AG1798="",$AH1798="",$AF1798&lt;1300,$AF1798&gt;1500,$AG1798&lt;1,$AG1798&gt;12,$AH1798&lt;1,$AH1798&gt;31),"نامعتبر",RIGHT("0000"&amp;$AF1798,4)&amp;"/"&amp;RIGHT("00"&amp;$AG1798,2)&amp;"/"&amp;RIGHT("00"&amp;$AH1798,2)))</f>
        <v/>
      </c>
      <c r="AJ1798">
        <f>IF($AE1798="","",IF(Sync!$Q1798="","0000",IF(AND(ISNUMBER(Sync!$Q1798),Sync!$Q1798&gt;=0,Sync!$Q1798&lt;1),RIGHT("00"&amp;HOUR(Sync!$Q1798),2)&amp;RIGHT("00"&amp;MINUTE(Sync!$Q1798),2),IFERROR(RIGHT("00"&amp;VALUE(LEFT(Sync!$Q1798,FIND(":",Sync!$Q1798)-1)),2)&amp;RIGHT("00"&amp;VALUE(MID(Sync!$Q1798,FIND(":",Sync!$Q1798)+1,2)),2),"0000"))))</f>
        <v/>
      </c>
      <c r="AK1798">
        <f>IF(OR($AE1798="",$AI1798="",$AI1798="نامعتبر"),"",LEFT($AI1798,4)&amp;MID($AI1798,6,2)&amp;RIGHT($AI1798,2)&amp;$AJ1798&amp;"|"&amp;"3"&amp;RIGHT("00000"&amp;1793,5))</f>
        <v/>
      </c>
      <c r="AL1798">
        <f>IF($AK1798="","",COUNTIFS(LdAParty,$AE1798,LdAType,1,LdAKey,"&lt;"&amp;$AK1798)+COUNTIFS(LdBMember,$AE1798,LdBKey,"&lt;"&amp;$AK1798)+COUNTIFS(LdCParty,$AE1798,LdCKey,"&lt;"&amp;$AK1798)+1)</f>
        <v/>
      </c>
      <c r="AM1798">
        <f>IF($AL1798="","",$AE1798&amp;"|"&amp;RIGHT("000000"&amp;$AL1798,6))</f>
        <v/>
      </c>
      <c r="AN1798">
        <f>IF($AE1798="","",IF(Sync!$W1798="",0,Sync!$W1798))</f>
        <v/>
      </c>
      <c r="AO1798">
        <f>IF($AE1798="","",IF(Sync!$X1798="",0,Sync!$X1798))</f>
        <v/>
      </c>
      <c r="AP1798">
        <f>IF($AE1798="","",Sync!$R1798)</f>
        <v/>
      </c>
      <c r="AQ1798">
        <f>IF($AE1798="","",Sync!$Y1798)</f>
        <v/>
      </c>
    </row>
    <row r="1799">
      <c r="A1799">
        <f>IF(OR(Wages!$B1802="",Wages!$E1802=""),"",Wages!$E1802)</f>
        <v/>
      </c>
      <c r="B1799">
        <f>IF($A1799="","",IF(Wages!$C1802="دستمزد گروهی",2,1))</f>
        <v/>
      </c>
      <c r="C1799">
        <f>IF($A1799="","",IF(ISNUMBER(Wages!$B1802),IF(AND(Wages!$B1802&gt;=10000101,Wages!$B1802&lt;=99991231),INT(Wages!$B1802/10000),""),IFERROR(VALUE(TRIM(LEFT(Wages!$B1802,FIND("/",Wages!$B1802)-1))),"")))</f>
        <v/>
      </c>
      <c r="D1799">
        <f>IF(OR($A1799="",$C1799=""),"",IF(ISNUMBER(Wages!$B1802),INT(MOD(Wages!$B1802,10000)/100),IFERROR(VALUE(TRIM(LEFT(MID(Wages!$B1802,FIND("/",Wages!$B1802)+1,20),FIND("/",MID(Wages!$B1802,FIND("/",Wages!$B1802)+1,20))-1))),"")))</f>
        <v/>
      </c>
      <c r="E1799">
        <f>IF(OR($A1799="",$C1799=""),"",IF(ISNUMBER(Wages!$B1802),MOD(Wages!$B1802,100),IFERROR(VALUE(TRIM(MID(MID(Wages!$B1802,FIND("/",Wages!$B1802)+1,20),FIND("/",MID(Wages!$B1802,FIND("/",Wages!$B1802)+1,20))+1,20))),"")))</f>
        <v/>
      </c>
      <c r="F1799">
        <f>IF($A1799="","",IF(OR($C1799="",$D1799="",$E1799="",$C1799&lt;1300,$C1799&gt;1500,$D1799&lt;1,$D1799&gt;12,$E1799&lt;1,$E1799&gt;31),"نامعتبر",RIGHT("0000"&amp;$C1799,4)&amp;"/"&amp;RIGHT("00"&amp;$D1799,2)&amp;"/"&amp;RIGHT("00"&amp;$E1799,2)))</f>
        <v/>
      </c>
      <c r="G1799">
        <f>IF(OR($A1799="",$F1799="",$F1799="نامعتبر"),"",LEFT($F1799,4)&amp;MID($F1799,6,2)&amp;RIGHT($F1799,2)&amp;"0000"&amp;"|"&amp;"1"&amp;RIGHT("00000"&amp;1794,5))</f>
        <v/>
      </c>
      <c r="H1799">
        <f>IF(OR($B1799&lt;&gt;1,$G1799=""),"",COUNTIFS(LdAParty,$A1799,LdAType,1,LdAKey,"&lt;"&amp;$G1799)+COUNTIFS(LdBMember,$A1799,LdBKey,"&lt;"&amp;$G1799)+COUNTIFS(LdCParty,$A1799,LdCKey,"&lt;"&amp;$G1799)+1)</f>
        <v/>
      </c>
      <c r="I1799">
        <f>IF($H1799="","",$A1799&amp;"|"&amp;RIGHT("000000"&amp;$H1799,6))</f>
        <v/>
      </c>
      <c r="J1799">
        <f>IF(OR($B1799&lt;&gt;2,$G1799=""),"",COUNTIFS(LdAParty,$A1799,LdAType,2,LdAKey,"&lt;"&amp;$G1799)+1)</f>
        <v/>
      </c>
      <c r="K1799">
        <f>IF($J1799="","",$A1799&amp;"|"&amp;RIGHT("000000"&amp;$J1799,6))</f>
        <v/>
      </c>
      <c r="L1799">
        <f>IF($A1799="","",IF(Wages!$G1802="",0,Wages!$G1802))</f>
        <v/>
      </c>
      <c r="M1799">
        <f>IF($A1799="","",Wages!$J1802)</f>
        <v/>
      </c>
      <c r="N1799">
        <f>IF($A1799="","",Wages!$D1802)</f>
        <v/>
      </c>
      <c r="P1799">
        <f>IF(OR(Shares!$B1802="",Shares!$C1802=""),"",Shares!$C1802)</f>
        <v/>
      </c>
      <c r="Q1799">
        <f>IF($P1799="","",Shares!$B1802)</f>
        <v/>
      </c>
      <c r="R1799">
        <f>IF($P1799="","",IFERROR(INDEX(WageParty,MATCH($Q1799,WageIds,0)),""))</f>
        <v/>
      </c>
      <c r="S1799">
        <f>IF($P1799="","",IFERROR(INDEX($F$6:$F$2005,MATCH($Q1799,WageIds,0)),""))</f>
        <v/>
      </c>
      <c r="T1799">
        <f>IF(OR($P1799="",$S1799="",$S1799="نامعتبر"),"",LEFT($S1799,4)&amp;MID($S1799,6,2)&amp;RIGHT($S1799,2)&amp;"0000"&amp;"|"&amp;"2"&amp;RIGHT("00000"&amp;1794,5))</f>
        <v/>
      </c>
      <c r="U1799">
        <f>IF($T1799="","",COUNTIFS(LdAParty,$P1799,LdAType,1,LdAKey,"&lt;"&amp;$T1799)+COUNTIFS(LdBMember,$P1799,LdBKey,"&lt;"&amp;$T1799)+COUNTIFS(LdCParty,$P1799,LdCKey,"&lt;"&amp;$T1799)+1)</f>
        <v/>
      </c>
      <c r="V1799">
        <f>IF($U1799="","",$P1799&amp;"|"&amp;RIGHT("000000"&amp;$U1799,6))</f>
        <v/>
      </c>
      <c r="W1799">
        <f>IF($T1799="","",COUNTIFS(LdBGroup,$R1799,LdBKey,"&lt;"&amp;$T1799)+1)</f>
        <v/>
      </c>
      <c r="X1799">
        <f>IF($W1799="","",$R1799&amp;"|"&amp;RIGHT("000000"&amp;$W1799,6))</f>
        <v/>
      </c>
      <c r="Y1799">
        <f>IF($P1799="","",IF(Shares!$E1802="",0,Shares!$E1802))</f>
        <v/>
      </c>
      <c r="Z1799">
        <f>IF($P1799="","",Shares!$H1802)</f>
        <v/>
      </c>
      <c r="AE1799">
        <f>IF(OR(Sync!$S1799="",Sync!$P1799=""),"",Sync!$S1799)</f>
        <v/>
      </c>
      <c r="AF1799">
        <f>IF($AE1799="","",IF(ISNUMBER(Sync!$P1799),IF(AND(Sync!$P1799&gt;=10000101,Sync!$P1799&lt;=99991231),INT(Sync!$P1799/10000),""),IFERROR(VALUE(TRIM(LEFT(Sync!$P1799,FIND("/",Sync!$P1799)-1))),"")))</f>
        <v/>
      </c>
      <c r="AG1799">
        <f>IF(OR($AE1799="",$AF1799=""),"",IF(ISNUMBER(Sync!$P1799),INT(MOD(Sync!$P1799,10000)/100),IFERROR(VALUE(TRIM(LEFT(MID(Sync!$P1799,FIND("/",Sync!$P1799)+1,20),FIND("/",MID(Sync!$P1799,FIND("/",Sync!$P1799)+1,20))-1))),"")))</f>
        <v/>
      </c>
      <c r="AH1799">
        <f>IF(OR($AE1799="",$AF1799=""),"",IF(ISNUMBER(Sync!$P1799),MOD(Sync!$P1799,100),IFERROR(VALUE(TRIM(MID(MID(Sync!$P1799,FIND("/",Sync!$P1799)+1,20),FIND("/",MID(Sync!$P1799,FIND("/",Sync!$P1799)+1,20))+1,20))),"")))</f>
        <v/>
      </c>
      <c r="AI1799">
        <f>IF($AE1799="","",IF(OR($AF1799="",$AG1799="",$AH1799="",$AF1799&lt;1300,$AF1799&gt;1500,$AG1799&lt;1,$AG1799&gt;12,$AH1799&lt;1,$AH1799&gt;31),"نامعتبر",RIGHT("0000"&amp;$AF1799,4)&amp;"/"&amp;RIGHT("00"&amp;$AG1799,2)&amp;"/"&amp;RIGHT("00"&amp;$AH1799,2)))</f>
        <v/>
      </c>
      <c r="AJ1799">
        <f>IF($AE1799="","",IF(Sync!$Q1799="","0000",IF(AND(ISNUMBER(Sync!$Q1799),Sync!$Q1799&gt;=0,Sync!$Q1799&lt;1),RIGHT("00"&amp;HOUR(Sync!$Q1799),2)&amp;RIGHT("00"&amp;MINUTE(Sync!$Q1799),2),IFERROR(RIGHT("00"&amp;VALUE(LEFT(Sync!$Q1799,FIND(":",Sync!$Q1799)-1)),2)&amp;RIGHT("00"&amp;VALUE(MID(Sync!$Q1799,FIND(":",Sync!$Q1799)+1,2)),2),"0000"))))</f>
        <v/>
      </c>
      <c r="AK1799">
        <f>IF(OR($AE1799="",$AI1799="",$AI1799="نامعتبر"),"",LEFT($AI1799,4)&amp;MID($AI1799,6,2)&amp;RIGHT($AI1799,2)&amp;$AJ1799&amp;"|"&amp;"3"&amp;RIGHT("00000"&amp;1794,5))</f>
        <v/>
      </c>
      <c r="AL1799">
        <f>IF($AK1799="","",COUNTIFS(LdAParty,$AE1799,LdAType,1,LdAKey,"&lt;"&amp;$AK1799)+COUNTIFS(LdBMember,$AE1799,LdBKey,"&lt;"&amp;$AK1799)+COUNTIFS(LdCParty,$AE1799,LdCKey,"&lt;"&amp;$AK1799)+1)</f>
        <v/>
      </c>
      <c r="AM1799">
        <f>IF($AL1799="","",$AE1799&amp;"|"&amp;RIGHT("000000"&amp;$AL1799,6))</f>
        <v/>
      </c>
      <c r="AN1799">
        <f>IF($AE1799="","",IF(Sync!$W1799="",0,Sync!$W1799))</f>
        <v/>
      </c>
      <c r="AO1799">
        <f>IF($AE1799="","",IF(Sync!$X1799="",0,Sync!$X1799))</f>
        <v/>
      </c>
      <c r="AP1799">
        <f>IF($AE1799="","",Sync!$R1799)</f>
        <v/>
      </c>
      <c r="AQ1799">
        <f>IF($AE1799="","",Sync!$Y1799)</f>
        <v/>
      </c>
    </row>
    <row r="1800">
      <c r="A1800">
        <f>IF(OR(Wages!$B1803="",Wages!$E1803=""),"",Wages!$E1803)</f>
        <v/>
      </c>
      <c r="B1800">
        <f>IF($A1800="","",IF(Wages!$C1803="دستمزد گروهی",2,1))</f>
        <v/>
      </c>
      <c r="C1800">
        <f>IF($A1800="","",IF(ISNUMBER(Wages!$B1803),IF(AND(Wages!$B1803&gt;=10000101,Wages!$B1803&lt;=99991231),INT(Wages!$B1803/10000),""),IFERROR(VALUE(TRIM(LEFT(Wages!$B1803,FIND("/",Wages!$B1803)-1))),"")))</f>
        <v/>
      </c>
      <c r="D1800">
        <f>IF(OR($A1800="",$C1800=""),"",IF(ISNUMBER(Wages!$B1803),INT(MOD(Wages!$B1803,10000)/100),IFERROR(VALUE(TRIM(LEFT(MID(Wages!$B1803,FIND("/",Wages!$B1803)+1,20),FIND("/",MID(Wages!$B1803,FIND("/",Wages!$B1803)+1,20))-1))),"")))</f>
        <v/>
      </c>
      <c r="E1800">
        <f>IF(OR($A1800="",$C1800=""),"",IF(ISNUMBER(Wages!$B1803),MOD(Wages!$B1803,100),IFERROR(VALUE(TRIM(MID(MID(Wages!$B1803,FIND("/",Wages!$B1803)+1,20),FIND("/",MID(Wages!$B1803,FIND("/",Wages!$B1803)+1,20))+1,20))),"")))</f>
        <v/>
      </c>
      <c r="F1800">
        <f>IF($A1800="","",IF(OR($C1800="",$D1800="",$E1800="",$C1800&lt;1300,$C1800&gt;1500,$D1800&lt;1,$D1800&gt;12,$E1800&lt;1,$E1800&gt;31),"نامعتبر",RIGHT("0000"&amp;$C1800,4)&amp;"/"&amp;RIGHT("00"&amp;$D1800,2)&amp;"/"&amp;RIGHT("00"&amp;$E1800,2)))</f>
        <v/>
      </c>
      <c r="G1800">
        <f>IF(OR($A1800="",$F1800="",$F1800="نامعتبر"),"",LEFT($F1800,4)&amp;MID($F1800,6,2)&amp;RIGHT($F1800,2)&amp;"0000"&amp;"|"&amp;"1"&amp;RIGHT("00000"&amp;1795,5))</f>
        <v/>
      </c>
      <c r="H1800">
        <f>IF(OR($B1800&lt;&gt;1,$G1800=""),"",COUNTIFS(LdAParty,$A1800,LdAType,1,LdAKey,"&lt;"&amp;$G1800)+COUNTIFS(LdBMember,$A1800,LdBKey,"&lt;"&amp;$G1800)+COUNTIFS(LdCParty,$A1800,LdCKey,"&lt;"&amp;$G1800)+1)</f>
        <v/>
      </c>
      <c r="I1800">
        <f>IF($H1800="","",$A1800&amp;"|"&amp;RIGHT("000000"&amp;$H1800,6))</f>
        <v/>
      </c>
      <c r="J1800">
        <f>IF(OR($B1800&lt;&gt;2,$G1800=""),"",COUNTIFS(LdAParty,$A1800,LdAType,2,LdAKey,"&lt;"&amp;$G1800)+1)</f>
        <v/>
      </c>
      <c r="K1800">
        <f>IF($J1800="","",$A1800&amp;"|"&amp;RIGHT("000000"&amp;$J1800,6))</f>
        <v/>
      </c>
      <c r="L1800">
        <f>IF($A1800="","",IF(Wages!$G1803="",0,Wages!$G1803))</f>
        <v/>
      </c>
      <c r="M1800">
        <f>IF($A1800="","",Wages!$J1803)</f>
        <v/>
      </c>
      <c r="N1800">
        <f>IF($A1800="","",Wages!$D1803)</f>
        <v/>
      </c>
      <c r="P1800">
        <f>IF(OR(Shares!$B1803="",Shares!$C1803=""),"",Shares!$C1803)</f>
        <v/>
      </c>
      <c r="Q1800">
        <f>IF($P1800="","",Shares!$B1803)</f>
        <v/>
      </c>
      <c r="R1800">
        <f>IF($P1800="","",IFERROR(INDEX(WageParty,MATCH($Q1800,WageIds,0)),""))</f>
        <v/>
      </c>
      <c r="S1800">
        <f>IF($P1800="","",IFERROR(INDEX($F$6:$F$2005,MATCH($Q1800,WageIds,0)),""))</f>
        <v/>
      </c>
      <c r="T1800">
        <f>IF(OR($P1800="",$S1800="",$S1800="نامعتبر"),"",LEFT($S1800,4)&amp;MID($S1800,6,2)&amp;RIGHT($S1800,2)&amp;"0000"&amp;"|"&amp;"2"&amp;RIGHT("00000"&amp;1795,5))</f>
        <v/>
      </c>
      <c r="U1800">
        <f>IF($T1800="","",COUNTIFS(LdAParty,$P1800,LdAType,1,LdAKey,"&lt;"&amp;$T1800)+COUNTIFS(LdBMember,$P1800,LdBKey,"&lt;"&amp;$T1800)+COUNTIFS(LdCParty,$P1800,LdCKey,"&lt;"&amp;$T1800)+1)</f>
        <v/>
      </c>
      <c r="V1800">
        <f>IF($U1800="","",$P1800&amp;"|"&amp;RIGHT("000000"&amp;$U1800,6))</f>
        <v/>
      </c>
      <c r="W1800">
        <f>IF($T1800="","",COUNTIFS(LdBGroup,$R1800,LdBKey,"&lt;"&amp;$T1800)+1)</f>
        <v/>
      </c>
      <c r="X1800">
        <f>IF($W1800="","",$R1800&amp;"|"&amp;RIGHT("000000"&amp;$W1800,6))</f>
        <v/>
      </c>
      <c r="Y1800">
        <f>IF($P1800="","",IF(Shares!$E1803="",0,Shares!$E1803))</f>
        <v/>
      </c>
      <c r="Z1800">
        <f>IF($P1800="","",Shares!$H1803)</f>
        <v/>
      </c>
      <c r="AE1800">
        <f>IF(OR(Sync!$S1800="",Sync!$P1800=""),"",Sync!$S1800)</f>
        <v/>
      </c>
      <c r="AF1800">
        <f>IF($AE1800="","",IF(ISNUMBER(Sync!$P1800),IF(AND(Sync!$P1800&gt;=10000101,Sync!$P1800&lt;=99991231),INT(Sync!$P1800/10000),""),IFERROR(VALUE(TRIM(LEFT(Sync!$P1800,FIND("/",Sync!$P1800)-1))),"")))</f>
        <v/>
      </c>
      <c r="AG1800">
        <f>IF(OR($AE1800="",$AF1800=""),"",IF(ISNUMBER(Sync!$P1800),INT(MOD(Sync!$P1800,10000)/100),IFERROR(VALUE(TRIM(LEFT(MID(Sync!$P1800,FIND("/",Sync!$P1800)+1,20),FIND("/",MID(Sync!$P1800,FIND("/",Sync!$P1800)+1,20))-1))),"")))</f>
        <v/>
      </c>
      <c r="AH1800">
        <f>IF(OR($AE1800="",$AF1800=""),"",IF(ISNUMBER(Sync!$P1800),MOD(Sync!$P1800,100),IFERROR(VALUE(TRIM(MID(MID(Sync!$P1800,FIND("/",Sync!$P1800)+1,20),FIND("/",MID(Sync!$P1800,FIND("/",Sync!$P1800)+1,20))+1,20))),"")))</f>
        <v/>
      </c>
      <c r="AI1800">
        <f>IF($AE1800="","",IF(OR($AF1800="",$AG1800="",$AH1800="",$AF1800&lt;1300,$AF1800&gt;1500,$AG1800&lt;1,$AG1800&gt;12,$AH1800&lt;1,$AH1800&gt;31),"نامعتبر",RIGHT("0000"&amp;$AF1800,4)&amp;"/"&amp;RIGHT("00"&amp;$AG1800,2)&amp;"/"&amp;RIGHT("00"&amp;$AH1800,2)))</f>
        <v/>
      </c>
      <c r="AJ1800">
        <f>IF($AE1800="","",IF(Sync!$Q1800="","0000",IF(AND(ISNUMBER(Sync!$Q1800),Sync!$Q1800&gt;=0,Sync!$Q1800&lt;1),RIGHT("00"&amp;HOUR(Sync!$Q1800),2)&amp;RIGHT("00"&amp;MINUTE(Sync!$Q1800),2),IFERROR(RIGHT("00"&amp;VALUE(LEFT(Sync!$Q1800,FIND(":",Sync!$Q1800)-1)),2)&amp;RIGHT("00"&amp;VALUE(MID(Sync!$Q1800,FIND(":",Sync!$Q1800)+1,2)),2),"0000"))))</f>
        <v/>
      </c>
      <c r="AK1800">
        <f>IF(OR($AE1800="",$AI1800="",$AI1800="نامعتبر"),"",LEFT($AI1800,4)&amp;MID($AI1800,6,2)&amp;RIGHT($AI1800,2)&amp;$AJ1800&amp;"|"&amp;"3"&amp;RIGHT("00000"&amp;1795,5))</f>
        <v/>
      </c>
      <c r="AL1800">
        <f>IF($AK1800="","",COUNTIFS(LdAParty,$AE1800,LdAType,1,LdAKey,"&lt;"&amp;$AK1800)+COUNTIFS(LdBMember,$AE1800,LdBKey,"&lt;"&amp;$AK1800)+COUNTIFS(LdCParty,$AE1800,LdCKey,"&lt;"&amp;$AK1800)+1)</f>
        <v/>
      </c>
      <c r="AM1800">
        <f>IF($AL1800="","",$AE1800&amp;"|"&amp;RIGHT("000000"&amp;$AL1800,6))</f>
        <v/>
      </c>
      <c r="AN1800">
        <f>IF($AE1800="","",IF(Sync!$W1800="",0,Sync!$W1800))</f>
        <v/>
      </c>
      <c r="AO1800">
        <f>IF($AE1800="","",IF(Sync!$X1800="",0,Sync!$X1800))</f>
        <v/>
      </c>
      <c r="AP1800">
        <f>IF($AE1800="","",Sync!$R1800)</f>
        <v/>
      </c>
      <c r="AQ1800">
        <f>IF($AE1800="","",Sync!$Y1800)</f>
        <v/>
      </c>
    </row>
    <row r="1801">
      <c r="A1801">
        <f>IF(OR(Wages!$B1804="",Wages!$E1804=""),"",Wages!$E1804)</f>
        <v/>
      </c>
      <c r="B1801">
        <f>IF($A1801="","",IF(Wages!$C1804="دستمزد گروهی",2,1))</f>
        <v/>
      </c>
      <c r="C1801">
        <f>IF($A1801="","",IF(ISNUMBER(Wages!$B1804),IF(AND(Wages!$B1804&gt;=10000101,Wages!$B1804&lt;=99991231),INT(Wages!$B1804/10000),""),IFERROR(VALUE(TRIM(LEFT(Wages!$B1804,FIND("/",Wages!$B1804)-1))),"")))</f>
        <v/>
      </c>
      <c r="D1801">
        <f>IF(OR($A1801="",$C1801=""),"",IF(ISNUMBER(Wages!$B1804),INT(MOD(Wages!$B1804,10000)/100),IFERROR(VALUE(TRIM(LEFT(MID(Wages!$B1804,FIND("/",Wages!$B1804)+1,20),FIND("/",MID(Wages!$B1804,FIND("/",Wages!$B1804)+1,20))-1))),"")))</f>
        <v/>
      </c>
      <c r="E1801">
        <f>IF(OR($A1801="",$C1801=""),"",IF(ISNUMBER(Wages!$B1804),MOD(Wages!$B1804,100),IFERROR(VALUE(TRIM(MID(MID(Wages!$B1804,FIND("/",Wages!$B1804)+1,20),FIND("/",MID(Wages!$B1804,FIND("/",Wages!$B1804)+1,20))+1,20))),"")))</f>
        <v/>
      </c>
      <c r="F1801">
        <f>IF($A1801="","",IF(OR($C1801="",$D1801="",$E1801="",$C1801&lt;1300,$C1801&gt;1500,$D1801&lt;1,$D1801&gt;12,$E1801&lt;1,$E1801&gt;31),"نامعتبر",RIGHT("0000"&amp;$C1801,4)&amp;"/"&amp;RIGHT("00"&amp;$D1801,2)&amp;"/"&amp;RIGHT("00"&amp;$E1801,2)))</f>
        <v/>
      </c>
      <c r="G1801">
        <f>IF(OR($A1801="",$F1801="",$F1801="نامعتبر"),"",LEFT($F1801,4)&amp;MID($F1801,6,2)&amp;RIGHT($F1801,2)&amp;"0000"&amp;"|"&amp;"1"&amp;RIGHT("00000"&amp;1796,5))</f>
        <v/>
      </c>
      <c r="H1801">
        <f>IF(OR($B1801&lt;&gt;1,$G1801=""),"",COUNTIFS(LdAParty,$A1801,LdAType,1,LdAKey,"&lt;"&amp;$G1801)+COUNTIFS(LdBMember,$A1801,LdBKey,"&lt;"&amp;$G1801)+COUNTIFS(LdCParty,$A1801,LdCKey,"&lt;"&amp;$G1801)+1)</f>
        <v/>
      </c>
      <c r="I1801">
        <f>IF($H1801="","",$A1801&amp;"|"&amp;RIGHT("000000"&amp;$H1801,6))</f>
        <v/>
      </c>
      <c r="J1801">
        <f>IF(OR($B1801&lt;&gt;2,$G1801=""),"",COUNTIFS(LdAParty,$A1801,LdAType,2,LdAKey,"&lt;"&amp;$G1801)+1)</f>
        <v/>
      </c>
      <c r="K1801">
        <f>IF($J1801="","",$A1801&amp;"|"&amp;RIGHT("000000"&amp;$J1801,6))</f>
        <v/>
      </c>
      <c r="L1801">
        <f>IF($A1801="","",IF(Wages!$G1804="",0,Wages!$G1804))</f>
        <v/>
      </c>
      <c r="M1801">
        <f>IF($A1801="","",Wages!$J1804)</f>
        <v/>
      </c>
      <c r="N1801">
        <f>IF($A1801="","",Wages!$D1804)</f>
        <v/>
      </c>
      <c r="P1801">
        <f>IF(OR(Shares!$B1804="",Shares!$C1804=""),"",Shares!$C1804)</f>
        <v/>
      </c>
      <c r="Q1801">
        <f>IF($P1801="","",Shares!$B1804)</f>
        <v/>
      </c>
      <c r="R1801">
        <f>IF($P1801="","",IFERROR(INDEX(WageParty,MATCH($Q1801,WageIds,0)),""))</f>
        <v/>
      </c>
      <c r="S1801">
        <f>IF($P1801="","",IFERROR(INDEX($F$6:$F$2005,MATCH($Q1801,WageIds,0)),""))</f>
        <v/>
      </c>
      <c r="T1801">
        <f>IF(OR($P1801="",$S1801="",$S1801="نامعتبر"),"",LEFT($S1801,4)&amp;MID($S1801,6,2)&amp;RIGHT($S1801,2)&amp;"0000"&amp;"|"&amp;"2"&amp;RIGHT("00000"&amp;1796,5))</f>
        <v/>
      </c>
      <c r="U1801">
        <f>IF($T1801="","",COUNTIFS(LdAParty,$P1801,LdAType,1,LdAKey,"&lt;"&amp;$T1801)+COUNTIFS(LdBMember,$P1801,LdBKey,"&lt;"&amp;$T1801)+COUNTIFS(LdCParty,$P1801,LdCKey,"&lt;"&amp;$T1801)+1)</f>
        <v/>
      </c>
      <c r="V1801">
        <f>IF($U1801="","",$P1801&amp;"|"&amp;RIGHT("000000"&amp;$U1801,6))</f>
        <v/>
      </c>
      <c r="W1801">
        <f>IF($T1801="","",COUNTIFS(LdBGroup,$R1801,LdBKey,"&lt;"&amp;$T1801)+1)</f>
        <v/>
      </c>
      <c r="X1801">
        <f>IF($W1801="","",$R1801&amp;"|"&amp;RIGHT("000000"&amp;$W1801,6))</f>
        <v/>
      </c>
      <c r="Y1801">
        <f>IF($P1801="","",IF(Shares!$E1804="",0,Shares!$E1804))</f>
        <v/>
      </c>
      <c r="Z1801">
        <f>IF($P1801="","",Shares!$H1804)</f>
        <v/>
      </c>
      <c r="AE1801">
        <f>IF(OR(Sync!$S1801="",Sync!$P1801=""),"",Sync!$S1801)</f>
        <v/>
      </c>
      <c r="AF1801">
        <f>IF($AE1801="","",IF(ISNUMBER(Sync!$P1801),IF(AND(Sync!$P1801&gt;=10000101,Sync!$P1801&lt;=99991231),INT(Sync!$P1801/10000),""),IFERROR(VALUE(TRIM(LEFT(Sync!$P1801,FIND("/",Sync!$P1801)-1))),"")))</f>
        <v/>
      </c>
      <c r="AG1801">
        <f>IF(OR($AE1801="",$AF1801=""),"",IF(ISNUMBER(Sync!$P1801),INT(MOD(Sync!$P1801,10000)/100),IFERROR(VALUE(TRIM(LEFT(MID(Sync!$P1801,FIND("/",Sync!$P1801)+1,20),FIND("/",MID(Sync!$P1801,FIND("/",Sync!$P1801)+1,20))-1))),"")))</f>
        <v/>
      </c>
      <c r="AH1801">
        <f>IF(OR($AE1801="",$AF1801=""),"",IF(ISNUMBER(Sync!$P1801),MOD(Sync!$P1801,100),IFERROR(VALUE(TRIM(MID(MID(Sync!$P1801,FIND("/",Sync!$P1801)+1,20),FIND("/",MID(Sync!$P1801,FIND("/",Sync!$P1801)+1,20))+1,20))),"")))</f>
        <v/>
      </c>
      <c r="AI1801">
        <f>IF($AE1801="","",IF(OR($AF1801="",$AG1801="",$AH1801="",$AF1801&lt;1300,$AF1801&gt;1500,$AG1801&lt;1,$AG1801&gt;12,$AH1801&lt;1,$AH1801&gt;31),"نامعتبر",RIGHT("0000"&amp;$AF1801,4)&amp;"/"&amp;RIGHT("00"&amp;$AG1801,2)&amp;"/"&amp;RIGHT("00"&amp;$AH1801,2)))</f>
        <v/>
      </c>
      <c r="AJ1801">
        <f>IF($AE1801="","",IF(Sync!$Q1801="","0000",IF(AND(ISNUMBER(Sync!$Q1801),Sync!$Q1801&gt;=0,Sync!$Q1801&lt;1),RIGHT("00"&amp;HOUR(Sync!$Q1801),2)&amp;RIGHT("00"&amp;MINUTE(Sync!$Q1801),2),IFERROR(RIGHT("00"&amp;VALUE(LEFT(Sync!$Q1801,FIND(":",Sync!$Q1801)-1)),2)&amp;RIGHT("00"&amp;VALUE(MID(Sync!$Q1801,FIND(":",Sync!$Q1801)+1,2)),2),"0000"))))</f>
        <v/>
      </c>
      <c r="AK1801">
        <f>IF(OR($AE1801="",$AI1801="",$AI1801="نامعتبر"),"",LEFT($AI1801,4)&amp;MID($AI1801,6,2)&amp;RIGHT($AI1801,2)&amp;$AJ1801&amp;"|"&amp;"3"&amp;RIGHT("00000"&amp;1796,5))</f>
        <v/>
      </c>
      <c r="AL1801">
        <f>IF($AK1801="","",COUNTIFS(LdAParty,$AE1801,LdAType,1,LdAKey,"&lt;"&amp;$AK1801)+COUNTIFS(LdBMember,$AE1801,LdBKey,"&lt;"&amp;$AK1801)+COUNTIFS(LdCParty,$AE1801,LdCKey,"&lt;"&amp;$AK1801)+1)</f>
        <v/>
      </c>
      <c r="AM1801">
        <f>IF($AL1801="","",$AE1801&amp;"|"&amp;RIGHT("000000"&amp;$AL1801,6))</f>
        <v/>
      </c>
      <c r="AN1801">
        <f>IF($AE1801="","",IF(Sync!$W1801="",0,Sync!$W1801))</f>
        <v/>
      </c>
      <c r="AO1801">
        <f>IF($AE1801="","",IF(Sync!$X1801="",0,Sync!$X1801))</f>
        <v/>
      </c>
      <c r="AP1801">
        <f>IF($AE1801="","",Sync!$R1801)</f>
        <v/>
      </c>
      <c r="AQ1801">
        <f>IF($AE1801="","",Sync!$Y1801)</f>
        <v/>
      </c>
    </row>
    <row r="1802">
      <c r="A1802">
        <f>IF(OR(Wages!$B1805="",Wages!$E1805=""),"",Wages!$E1805)</f>
        <v/>
      </c>
      <c r="B1802">
        <f>IF($A1802="","",IF(Wages!$C1805="دستمزد گروهی",2,1))</f>
        <v/>
      </c>
      <c r="C1802">
        <f>IF($A1802="","",IF(ISNUMBER(Wages!$B1805),IF(AND(Wages!$B1805&gt;=10000101,Wages!$B1805&lt;=99991231),INT(Wages!$B1805/10000),""),IFERROR(VALUE(TRIM(LEFT(Wages!$B1805,FIND("/",Wages!$B1805)-1))),"")))</f>
        <v/>
      </c>
      <c r="D1802">
        <f>IF(OR($A1802="",$C1802=""),"",IF(ISNUMBER(Wages!$B1805),INT(MOD(Wages!$B1805,10000)/100),IFERROR(VALUE(TRIM(LEFT(MID(Wages!$B1805,FIND("/",Wages!$B1805)+1,20),FIND("/",MID(Wages!$B1805,FIND("/",Wages!$B1805)+1,20))-1))),"")))</f>
        <v/>
      </c>
      <c r="E1802">
        <f>IF(OR($A1802="",$C1802=""),"",IF(ISNUMBER(Wages!$B1805),MOD(Wages!$B1805,100),IFERROR(VALUE(TRIM(MID(MID(Wages!$B1805,FIND("/",Wages!$B1805)+1,20),FIND("/",MID(Wages!$B1805,FIND("/",Wages!$B1805)+1,20))+1,20))),"")))</f>
        <v/>
      </c>
      <c r="F1802">
        <f>IF($A1802="","",IF(OR($C1802="",$D1802="",$E1802="",$C1802&lt;1300,$C1802&gt;1500,$D1802&lt;1,$D1802&gt;12,$E1802&lt;1,$E1802&gt;31),"نامعتبر",RIGHT("0000"&amp;$C1802,4)&amp;"/"&amp;RIGHT("00"&amp;$D1802,2)&amp;"/"&amp;RIGHT("00"&amp;$E1802,2)))</f>
        <v/>
      </c>
      <c r="G1802">
        <f>IF(OR($A1802="",$F1802="",$F1802="نامعتبر"),"",LEFT($F1802,4)&amp;MID($F1802,6,2)&amp;RIGHT($F1802,2)&amp;"0000"&amp;"|"&amp;"1"&amp;RIGHT("00000"&amp;1797,5))</f>
        <v/>
      </c>
      <c r="H1802">
        <f>IF(OR($B1802&lt;&gt;1,$G1802=""),"",COUNTIFS(LdAParty,$A1802,LdAType,1,LdAKey,"&lt;"&amp;$G1802)+COUNTIFS(LdBMember,$A1802,LdBKey,"&lt;"&amp;$G1802)+COUNTIFS(LdCParty,$A1802,LdCKey,"&lt;"&amp;$G1802)+1)</f>
        <v/>
      </c>
      <c r="I1802">
        <f>IF($H1802="","",$A1802&amp;"|"&amp;RIGHT("000000"&amp;$H1802,6))</f>
        <v/>
      </c>
      <c r="J1802">
        <f>IF(OR($B1802&lt;&gt;2,$G1802=""),"",COUNTIFS(LdAParty,$A1802,LdAType,2,LdAKey,"&lt;"&amp;$G1802)+1)</f>
        <v/>
      </c>
      <c r="K1802">
        <f>IF($J1802="","",$A1802&amp;"|"&amp;RIGHT("000000"&amp;$J1802,6))</f>
        <v/>
      </c>
      <c r="L1802">
        <f>IF($A1802="","",IF(Wages!$G1805="",0,Wages!$G1805))</f>
        <v/>
      </c>
      <c r="M1802">
        <f>IF($A1802="","",Wages!$J1805)</f>
        <v/>
      </c>
      <c r="N1802">
        <f>IF($A1802="","",Wages!$D1805)</f>
        <v/>
      </c>
      <c r="P1802">
        <f>IF(OR(Shares!$B1805="",Shares!$C1805=""),"",Shares!$C1805)</f>
        <v/>
      </c>
      <c r="Q1802">
        <f>IF($P1802="","",Shares!$B1805)</f>
        <v/>
      </c>
      <c r="R1802">
        <f>IF($P1802="","",IFERROR(INDEX(WageParty,MATCH($Q1802,WageIds,0)),""))</f>
        <v/>
      </c>
      <c r="S1802">
        <f>IF($P1802="","",IFERROR(INDEX($F$6:$F$2005,MATCH($Q1802,WageIds,0)),""))</f>
        <v/>
      </c>
      <c r="T1802">
        <f>IF(OR($P1802="",$S1802="",$S1802="نامعتبر"),"",LEFT($S1802,4)&amp;MID($S1802,6,2)&amp;RIGHT($S1802,2)&amp;"0000"&amp;"|"&amp;"2"&amp;RIGHT("00000"&amp;1797,5))</f>
        <v/>
      </c>
      <c r="U1802">
        <f>IF($T1802="","",COUNTIFS(LdAParty,$P1802,LdAType,1,LdAKey,"&lt;"&amp;$T1802)+COUNTIFS(LdBMember,$P1802,LdBKey,"&lt;"&amp;$T1802)+COUNTIFS(LdCParty,$P1802,LdCKey,"&lt;"&amp;$T1802)+1)</f>
        <v/>
      </c>
      <c r="V1802">
        <f>IF($U1802="","",$P1802&amp;"|"&amp;RIGHT("000000"&amp;$U1802,6))</f>
        <v/>
      </c>
      <c r="W1802">
        <f>IF($T1802="","",COUNTIFS(LdBGroup,$R1802,LdBKey,"&lt;"&amp;$T1802)+1)</f>
        <v/>
      </c>
      <c r="X1802">
        <f>IF($W1802="","",$R1802&amp;"|"&amp;RIGHT("000000"&amp;$W1802,6))</f>
        <v/>
      </c>
      <c r="Y1802">
        <f>IF($P1802="","",IF(Shares!$E1805="",0,Shares!$E1805))</f>
        <v/>
      </c>
      <c r="Z1802">
        <f>IF($P1802="","",Shares!$H1805)</f>
        <v/>
      </c>
      <c r="AE1802">
        <f>IF(OR(Sync!$S1802="",Sync!$P1802=""),"",Sync!$S1802)</f>
        <v/>
      </c>
      <c r="AF1802">
        <f>IF($AE1802="","",IF(ISNUMBER(Sync!$P1802),IF(AND(Sync!$P1802&gt;=10000101,Sync!$P1802&lt;=99991231),INT(Sync!$P1802/10000),""),IFERROR(VALUE(TRIM(LEFT(Sync!$P1802,FIND("/",Sync!$P1802)-1))),"")))</f>
        <v/>
      </c>
      <c r="AG1802">
        <f>IF(OR($AE1802="",$AF1802=""),"",IF(ISNUMBER(Sync!$P1802),INT(MOD(Sync!$P1802,10000)/100),IFERROR(VALUE(TRIM(LEFT(MID(Sync!$P1802,FIND("/",Sync!$P1802)+1,20),FIND("/",MID(Sync!$P1802,FIND("/",Sync!$P1802)+1,20))-1))),"")))</f>
        <v/>
      </c>
      <c r="AH1802">
        <f>IF(OR($AE1802="",$AF1802=""),"",IF(ISNUMBER(Sync!$P1802),MOD(Sync!$P1802,100),IFERROR(VALUE(TRIM(MID(MID(Sync!$P1802,FIND("/",Sync!$P1802)+1,20),FIND("/",MID(Sync!$P1802,FIND("/",Sync!$P1802)+1,20))+1,20))),"")))</f>
        <v/>
      </c>
      <c r="AI1802">
        <f>IF($AE1802="","",IF(OR($AF1802="",$AG1802="",$AH1802="",$AF1802&lt;1300,$AF1802&gt;1500,$AG1802&lt;1,$AG1802&gt;12,$AH1802&lt;1,$AH1802&gt;31),"نامعتبر",RIGHT("0000"&amp;$AF1802,4)&amp;"/"&amp;RIGHT("00"&amp;$AG1802,2)&amp;"/"&amp;RIGHT("00"&amp;$AH1802,2)))</f>
        <v/>
      </c>
      <c r="AJ1802">
        <f>IF($AE1802="","",IF(Sync!$Q1802="","0000",IF(AND(ISNUMBER(Sync!$Q1802),Sync!$Q1802&gt;=0,Sync!$Q1802&lt;1),RIGHT("00"&amp;HOUR(Sync!$Q1802),2)&amp;RIGHT("00"&amp;MINUTE(Sync!$Q1802),2),IFERROR(RIGHT("00"&amp;VALUE(LEFT(Sync!$Q1802,FIND(":",Sync!$Q1802)-1)),2)&amp;RIGHT("00"&amp;VALUE(MID(Sync!$Q1802,FIND(":",Sync!$Q1802)+1,2)),2),"0000"))))</f>
        <v/>
      </c>
      <c r="AK1802">
        <f>IF(OR($AE1802="",$AI1802="",$AI1802="نامعتبر"),"",LEFT($AI1802,4)&amp;MID($AI1802,6,2)&amp;RIGHT($AI1802,2)&amp;$AJ1802&amp;"|"&amp;"3"&amp;RIGHT("00000"&amp;1797,5))</f>
        <v/>
      </c>
      <c r="AL1802">
        <f>IF($AK1802="","",COUNTIFS(LdAParty,$AE1802,LdAType,1,LdAKey,"&lt;"&amp;$AK1802)+COUNTIFS(LdBMember,$AE1802,LdBKey,"&lt;"&amp;$AK1802)+COUNTIFS(LdCParty,$AE1802,LdCKey,"&lt;"&amp;$AK1802)+1)</f>
        <v/>
      </c>
      <c r="AM1802">
        <f>IF($AL1802="","",$AE1802&amp;"|"&amp;RIGHT("000000"&amp;$AL1802,6))</f>
        <v/>
      </c>
      <c r="AN1802">
        <f>IF($AE1802="","",IF(Sync!$W1802="",0,Sync!$W1802))</f>
        <v/>
      </c>
      <c r="AO1802">
        <f>IF($AE1802="","",IF(Sync!$X1802="",0,Sync!$X1802))</f>
        <v/>
      </c>
      <c r="AP1802">
        <f>IF($AE1802="","",Sync!$R1802)</f>
        <v/>
      </c>
      <c r="AQ1802">
        <f>IF($AE1802="","",Sync!$Y1802)</f>
        <v/>
      </c>
    </row>
    <row r="1803">
      <c r="A1803">
        <f>IF(OR(Wages!$B1806="",Wages!$E1806=""),"",Wages!$E1806)</f>
        <v/>
      </c>
      <c r="B1803">
        <f>IF($A1803="","",IF(Wages!$C1806="دستمزد گروهی",2,1))</f>
        <v/>
      </c>
      <c r="C1803">
        <f>IF($A1803="","",IF(ISNUMBER(Wages!$B1806),IF(AND(Wages!$B1806&gt;=10000101,Wages!$B1806&lt;=99991231),INT(Wages!$B1806/10000),""),IFERROR(VALUE(TRIM(LEFT(Wages!$B1806,FIND("/",Wages!$B1806)-1))),"")))</f>
        <v/>
      </c>
      <c r="D1803">
        <f>IF(OR($A1803="",$C1803=""),"",IF(ISNUMBER(Wages!$B1806),INT(MOD(Wages!$B1806,10000)/100),IFERROR(VALUE(TRIM(LEFT(MID(Wages!$B1806,FIND("/",Wages!$B1806)+1,20),FIND("/",MID(Wages!$B1806,FIND("/",Wages!$B1806)+1,20))-1))),"")))</f>
        <v/>
      </c>
      <c r="E1803">
        <f>IF(OR($A1803="",$C1803=""),"",IF(ISNUMBER(Wages!$B1806),MOD(Wages!$B1806,100),IFERROR(VALUE(TRIM(MID(MID(Wages!$B1806,FIND("/",Wages!$B1806)+1,20),FIND("/",MID(Wages!$B1806,FIND("/",Wages!$B1806)+1,20))+1,20))),"")))</f>
        <v/>
      </c>
      <c r="F1803">
        <f>IF($A1803="","",IF(OR($C1803="",$D1803="",$E1803="",$C1803&lt;1300,$C1803&gt;1500,$D1803&lt;1,$D1803&gt;12,$E1803&lt;1,$E1803&gt;31),"نامعتبر",RIGHT("0000"&amp;$C1803,4)&amp;"/"&amp;RIGHT("00"&amp;$D1803,2)&amp;"/"&amp;RIGHT("00"&amp;$E1803,2)))</f>
        <v/>
      </c>
      <c r="G1803">
        <f>IF(OR($A1803="",$F1803="",$F1803="نامعتبر"),"",LEFT($F1803,4)&amp;MID($F1803,6,2)&amp;RIGHT($F1803,2)&amp;"0000"&amp;"|"&amp;"1"&amp;RIGHT("00000"&amp;1798,5))</f>
        <v/>
      </c>
      <c r="H1803">
        <f>IF(OR($B1803&lt;&gt;1,$G1803=""),"",COUNTIFS(LdAParty,$A1803,LdAType,1,LdAKey,"&lt;"&amp;$G1803)+COUNTIFS(LdBMember,$A1803,LdBKey,"&lt;"&amp;$G1803)+COUNTIFS(LdCParty,$A1803,LdCKey,"&lt;"&amp;$G1803)+1)</f>
        <v/>
      </c>
      <c r="I1803">
        <f>IF($H1803="","",$A1803&amp;"|"&amp;RIGHT("000000"&amp;$H1803,6))</f>
        <v/>
      </c>
      <c r="J1803">
        <f>IF(OR($B1803&lt;&gt;2,$G1803=""),"",COUNTIFS(LdAParty,$A1803,LdAType,2,LdAKey,"&lt;"&amp;$G1803)+1)</f>
        <v/>
      </c>
      <c r="K1803">
        <f>IF($J1803="","",$A1803&amp;"|"&amp;RIGHT("000000"&amp;$J1803,6))</f>
        <v/>
      </c>
      <c r="L1803">
        <f>IF($A1803="","",IF(Wages!$G1806="",0,Wages!$G1806))</f>
        <v/>
      </c>
      <c r="M1803">
        <f>IF($A1803="","",Wages!$J1806)</f>
        <v/>
      </c>
      <c r="N1803">
        <f>IF($A1803="","",Wages!$D1806)</f>
        <v/>
      </c>
      <c r="P1803">
        <f>IF(OR(Shares!$B1806="",Shares!$C1806=""),"",Shares!$C1806)</f>
        <v/>
      </c>
      <c r="Q1803">
        <f>IF($P1803="","",Shares!$B1806)</f>
        <v/>
      </c>
      <c r="R1803">
        <f>IF($P1803="","",IFERROR(INDEX(WageParty,MATCH($Q1803,WageIds,0)),""))</f>
        <v/>
      </c>
      <c r="S1803">
        <f>IF($P1803="","",IFERROR(INDEX($F$6:$F$2005,MATCH($Q1803,WageIds,0)),""))</f>
        <v/>
      </c>
      <c r="T1803">
        <f>IF(OR($P1803="",$S1803="",$S1803="نامعتبر"),"",LEFT($S1803,4)&amp;MID($S1803,6,2)&amp;RIGHT($S1803,2)&amp;"0000"&amp;"|"&amp;"2"&amp;RIGHT("00000"&amp;1798,5))</f>
        <v/>
      </c>
      <c r="U1803">
        <f>IF($T1803="","",COUNTIFS(LdAParty,$P1803,LdAType,1,LdAKey,"&lt;"&amp;$T1803)+COUNTIFS(LdBMember,$P1803,LdBKey,"&lt;"&amp;$T1803)+COUNTIFS(LdCParty,$P1803,LdCKey,"&lt;"&amp;$T1803)+1)</f>
        <v/>
      </c>
      <c r="V1803">
        <f>IF($U1803="","",$P1803&amp;"|"&amp;RIGHT("000000"&amp;$U1803,6))</f>
        <v/>
      </c>
      <c r="W1803">
        <f>IF($T1803="","",COUNTIFS(LdBGroup,$R1803,LdBKey,"&lt;"&amp;$T1803)+1)</f>
        <v/>
      </c>
      <c r="X1803">
        <f>IF($W1803="","",$R1803&amp;"|"&amp;RIGHT("000000"&amp;$W1803,6))</f>
        <v/>
      </c>
      <c r="Y1803">
        <f>IF($P1803="","",IF(Shares!$E1806="",0,Shares!$E1806))</f>
        <v/>
      </c>
      <c r="Z1803">
        <f>IF($P1803="","",Shares!$H1806)</f>
        <v/>
      </c>
      <c r="AE1803">
        <f>IF(OR(Sync!$S1803="",Sync!$P1803=""),"",Sync!$S1803)</f>
        <v/>
      </c>
      <c r="AF1803">
        <f>IF($AE1803="","",IF(ISNUMBER(Sync!$P1803),IF(AND(Sync!$P1803&gt;=10000101,Sync!$P1803&lt;=99991231),INT(Sync!$P1803/10000),""),IFERROR(VALUE(TRIM(LEFT(Sync!$P1803,FIND("/",Sync!$P1803)-1))),"")))</f>
        <v/>
      </c>
      <c r="AG1803">
        <f>IF(OR($AE1803="",$AF1803=""),"",IF(ISNUMBER(Sync!$P1803),INT(MOD(Sync!$P1803,10000)/100),IFERROR(VALUE(TRIM(LEFT(MID(Sync!$P1803,FIND("/",Sync!$P1803)+1,20),FIND("/",MID(Sync!$P1803,FIND("/",Sync!$P1803)+1,20))-1))),"")))</f>
        <v/>
      </c>
      <c r="AH1803">
        <f>IF(OR($AE1803="",$AF1803=""),"",IF(ISNUMBER(Sync!$P1803),MOD(Sync!$P1803,100),IFERROR(VALUE(TRIM(MID(MID(Sync!$P1803,FIND("/",Sync!$P1803)+1,20),FIND("/",MID(Sync!$P1803,FIND("/",Sync!$P1803)+1,20))+1,20))),"")))</f>
        <v/>
      </c>
      <c r="AI1803">
        <f>IF($AE1803="","",IF(OR($AF1803="",$AG1803="",$AH1803="",$AF1803&lt;1300,$AF1803&gt;1500,$AG1803&lt;1,$AG1803&gt;12,$AH1803&lt;1,$AH1803&gt;31),"نامعتبر",RIGHT("0000"&amp;$AF1803,4)&amp;"/"&amp;RIGHT("00"&amp;$AG1803,2)&amp;"/"&amp;RIGHT("00"&amp;$AH1803,2)))</f>
        <v/>
      </c>
      <c r="AJ1803">
        <f>IF($AE1803="","",IF(Sync!$Q1803="","0000",IF(AND(ISNUMBER(Sync!$Q1803),Sync!$Q1803&gt;=0,Sync!$Q1803&lt;1),RIGHT("00"&amp;HOUR(Sync!$Q1803),2)&amp;RIGHT("00"&amp;MINUTE(Sync!$Q1803),2),IFERROR(RIGHT("00"&amp;VALUE(LEFT(Sync!$Q1803,FIND(":",Sync!$Q1803)-1)),2)&amp;RIGHT("00"&amp;VALUE(MID(Sync!$Q1803,FIND(":",Sync!$Q1803)+1,2)),2),"0000"))))</f>
        <v/>
      </c>
      <c r="AK1803">
        <f>IF(OR($AE1803="",$AI1803="",$AI1803="نامعتبر"),"",LEFT($AI1803,4)&amp;MID($AI1803,6,2)&amp;RIGHT($AI1803,2)&amp;$AJ1803&amp;"|"&amp;"3"&amp;RIGHT("00000"&amp;1798,5))</f>
        <v/>
      </c>
      <c r="AL1803">
        <f>IF($AK1803="","",COUNTIFS(LdAParty,$AE1803,LdAType,1,LdAKey,"&lt;"&amp;$AK1803)+COUNTIFS(LdBMember,$AE1803,LdBKey,"&lt;"&amp;$AK1803)+COUNTIFS(LdCParty,$AE1803,LdCKey,"&lt;"&amp;$AK1803)+1)</f>
        <v/>
      </c>
      <c r="AM1803">
        <f>IF($AL1803="","",$AE1803&amp;"|"&amp;RIGHT("000000"&amp;$AL1803,6))</f>
        <v/>
      </c>
      <c r="AN1803">
        <f>IF($AE1803="","",IF(Sync!$W1803="",0,Sync!$W1803))</f>
        <v/>
      </c>
      <c r="AO1803">
        <f>IF($AE1803="","",IF(Sync!$X1803="",0,Sync!$X1803))</f>
        <v/>
      </c>
      <c r="AP1803">
        <f>IF($AE1803="","",Sync!$R1803)</f>
        <v/>
      </c>
      <c r="AQ1803">
        <f>IF($AE1803="","",Sync!$Y1803)</f>
        <v/>
      </c>
    </row>
    <row r="1804">
      <c r="A1804">
        <f>IF(OR(Wages!$B1807="",Wages!$E1807=""),"",Wages!$E1807)</f>
        <v/>
      </c>
      <c r="B1804">
        <f>IF($A1804="","",IF(Wages!$C1807="دستمزد گروهی",2,1))</f>
        <v/>
      </c>
      <c r="C1804">
        <f>IF($A1804="","",IF(ISNUMBER(Wages!$B1807),IF(AND(Wages!$B1807&gt;=10000101,Wages!$B1807&lt;=99991231),INT(Wages!$B1807/10000),""),IFERROR(VALUE(TRIM(LEFT(Wages!$B1807,FIND("/",Wages!$B1807)-1))),"")))</f>
        <v/>
      </c>
      <c r="D1804">
        <f>IF(OR($A1804="",$C1804=""),"",IF(ISNUMBER(Wages!$B1807),INT(MOD(Wages!$B1807,10000)/100),IFERROR(VALUE(TRIM(LEFT(MID(Wages!$B1807,FIND("/",Wages!$B1807)+1,20),FIND("/",MID(Wages!$B1807,FIND("/",Wages!$B1807)+1,20))-1))),"")))</f>
        <v/>
      </c>
      <c r="E1804">
        <f>IF(OR($A1804="",$C1804=""),"",IF(ISNUMBER(Wages!$B1807),MOD(Wages!$B1807,100),IFERROR(VALUE(TRIM(MID(MID(Wages!$B1807,FIND("/",Wages!$B1807)+1,20),FIND("/",MID(Wages!$B1807,FIND("/",Wages!$B1807)+1,20))+1,20))),"")))</f>
        <v/>
      </c>
      <c r="F1804">
        <f>IF($A1804="","",IF(OR($C1804="",$D1804="",$E1804="",$C1804&lt;1300,$C1804&gt;1500,$D1804&lt;1,$D1804&gt;12,$E1804&lt;1,$E1804&gt;31),"نامعتبر",RIGHT("0000"&amp;$C1804,4)&amp;"/"&amp;RIGHT("00"&amp;$D1804,2)&amp;"/"&amp;RIGHT("00"&amp;$E1804,2)))</f>
        <v/>
      </c>
      <c r="G1804">
        <f>IF(OR($A1804="",$F1804="",$F1804="نامعتبر"),"",LEFT($F1804,4)&amp;MID($F1804,6,2)&amp;RIGHT($F1804,2)&amp;"0000"&amp;"|"&amp;"1"&amp;RIGHT("00000"&amp;1799,5))</f>
        <v/>
      </c>
      <c r="H1804">
        <f>IF(OR($B1804&lt;&gt;1,$G1804=""),"",COUNTIFS(LdAParty,$A1804,LdAType,1,LdAKey,"&lt;"&amp;$G1804)+COUNTIFS(LdBMember,$A1804,LdBKey,"&lt;"&amp;$G1804)+COUNTIFS(LdCParty,$A1804,LdCKey,"&lt;"&amp;$G1804)+1)</f>
        <v/>
      </c>
      <c r="I1804">
        <f>IF($H1804="","",$A1804&amp;"|"&amp;RIGHT("000000"&amp;$H1804,6))</f>
        <v/>
      </c>
      <c r="J1804">
        <f>IF(OR($B1804&lt;&gt;2,$G1804=""),"",COUNTIFS(LdAParty,$A1804,LdAType,2,LdAKey,"&lt;"&amp;$G1804)+1)</f>
        <v/>
      </c>
      <c r="K1804">
        <f>IF($J1804="","",$A1804&amp;"|"&amp;RIGHT("000000"&amp;$J1804,6))</f>
        <v/>
      </c>
      <c r="L1804">
        <f>IF($A1804="","",IF(Wages!$G1807="",0,Wages!$G1807))</f>
        <v/>
      </c>
      <c r="M1804">
        <f>IF($A1804="","",Wages!$J1807)</f>
        <v/>
      </c>
      <c r="N1804">
        <f>IF($A1804="","",Wages!$D1807)</f>
        <v/>
      </c>
      <c r="P1804">
        <f>IF(OR(Shares!$B1807="",Shares!$C1807=""),"",Shares!$C1807)</f>
        <v/>
      </c>
      <c r="Q1804">
        <f>IF($P1804="","",Shares!$B1807)</f>
        <v/>
      </c>
      <c r="R1804">
        <f>IF($P1804="","",IFERROR(INDEX(WageParty,MATCH($Q1804,WageIds,0)),""))</f>
        <v/>
      </c>
      <c r="S1804">
        <f>IF($P1804="","",IFERROR(INDEX($F$6:$F$2005,MATCH($Q1804,WageIds,0)),""))</f>
        <v/>
      </c>
      <c r="T1804">
        <f>IF(OR($P1804="",$S1804="",$S1804="نامعتبر"),"",LEFT($S1804,4)&amp;MID($S1804,6,2)&amp;RIGHT($S1804,2)&amp;"0000"&amp;"|"&amp;"2"&amp;RIGHT("00000"&amp;1799,5))</f>
        <v/>
      </c>
      <c r="U1804">
        <f>IF($T1804="","",COUNTIFS(LdAParty,$P1804,LdAType,1,LdAKey,"&lt;"&amp;$T1804)+COUNTIFS(LdBMember,$P1804,LdBKey,"&lt;"&amp;$T1804)+COUNTIFS(LdCParty,$P1804,LdCKey,"&lt;"&amp;$T1804)+1)</f>
        <v/>
      </c>
      <c r="V1804">
        <f>IF($U1804="","",$P1804&amp;"|"&amp;RIGHT("000000"&amp;$U1804,6))</f>
        <v/>
      </c>
      <c r="W1804">
        <f>IF($T1804="","",COUNTIFS(LdBGroup,$R1804,LdBKey,"&lt;"&amp;$T1804)+1)</f>
        <v/>
      </c>
      <c r="X1804">
        <f>IF($W1804="","",$R1804&amp;"|"&amp;RIGHT("000000"&amp;$W1804,6))</f>
        <v/>
      </c>
      <c r="Y1804">
        <f>IF($P1804="","",IF(Shares!$E1807="",0,Shares!$E1807))</f>
        <v/>
      </c>
      <c r="Z1804">
        <f>IF($P1804="","",Shares!$H1807)</f>
        <v/>
      </c>
      <c r="AE1804">
        <f>IF(OR(Sync!$S1804="",Sync!$P1804=""),"",Sync!$S1804)</f>
        <v/>
      </c>
      <c r="AF1804">
        <f>IF($AE1804="","",IF(ISNUMBER(Sync!$P1804),IF(AND(Sync!$P1804&gt;=10000101,Sync!$P1804&lt;=99991231),INT(Sync!$P1804/10000),""),IFERROR(VALUE(TRIM(LEFT(Sync!$P1804,FIND("/",Sync!$P1804)-1))),"")))</f>
        <v/>
      </c>
      <c r="AG1804">
        <f>IF(OR($AE1804="",$AF1804=""),"",IF(ISNUMBER(Sync!$P1804),INT(MOD(Sync!$P1804,10000)/100),IFERROR(VALUE(TRIM(LEFT(MID(Sync!$P1804,FIND("/",Sync!$P1804)+1,20),FIND("/",MID(Sync!$P1804,FIND("/",Sync!$P1804)+1,20))-1))),"")))</f>
        <v/>
      </c>
      <c r="AH1804">
        <f>IF(OR($AE1804="",$AF1804=""),"",IF(ISNUMBER(Sync!$P1804),MOD(Sync!$P1804,100),IFERROR(VALUE(TRIM(MID(MID(Sync!$P1804,FIND("/",Sync!$P1804)+1,20),FIND("/",MID(Sync!$P1804,FIND("/",Sync!$P1804)+1,20))+1,20))),"")))</f>
        <v/>
      </c>
      <c r="AI1804">
        <f>IF($AE1804="","",IF(OR($AF1804="",$AG1804="",$AH1804="",$AF1804&lt;1300,$AF1804&gt;1500,$AG1804&lt;1,$AG1804&gt;12,$AH1804&lt;1,$AH1804&gt;31),"نامعتبر",RIGHT("0000"&amp;$AF1804,4)&amp;"/"&amp;RIGHT("00"&amp;$AG1804,2)&amp;"/"&amp;RIGHT("00"&amp;$AH1804,2)))</f>
        <v/>
      </c>
      <c r="AJ1804">
        <f>IF($AE1804="","",IF(Sync!$Q1804="","0000",IF(AND(ISNUMBER(Sync!$Q1804),Sync!$Q1804&gt;=0,Sync!$Q1804&lt;1),RIGHT("00"&amp;HOUR(Sync!$Q1804),2)&amp;RIGHT("00"&amp;MINUTE(Sync!$Q1804),2),IFERROR(RIGHT("00"&amp;VALUE(LEFT(Sync!$Q1804,FIND(":",Sync!$Q1804)-1)),2)&amp;RIGHT("00"&amp;VALUE(MID(Sync!$Q1804,FIND(":",Sync!$Q1804)+1,2)),2),"0000"))))</f>
        <v/>
      </c>
      <c r="AK1804">
        <f>IF(OR($AE1804="",$AI1804="",$AI1804="نامعتبر"),"",LEFT($AI1804,4)&amp;MID($AI1804,6,2)&amp;RIGHT($AI1804,2)&amp;$AJ1804&amp;"|"&amp;"3"&amp;RIGHT("00000"&amp;1799,5))</f>
        <v/>
      </c>
      <c r="AL1804">
        <f>IF($AK1804="","",COUNTIFS(LdAParty,$AE1804,LdAType,1,LdAKey,"&lt;"&amp;$AK1804)+COUNTIFS(LdBMember,$AE1804,LdBKey,"&lt;"&amp;$AK1804)+COUNTIFS(LdCParty,$AE1804,LdCKey,"&lt;"&amp;$AK1804)+1)</f>
        <v/>
      </c>
      <c r="AM1804">
        <f>IF($AL1804="","",$AE1804&amp;"|"&amp;RIGHT("000000"&amp;$AL1804,6))</f>
        <v/>
      </c>
      <c r="AN1804">
        <f>IF($AE1804="","",IF(Sync!$W1804="",0,Sync!$W1804))</f>
        <v/>
      </c>
      <c r="AO1804">
        <f>IF($AE1804="","",IF(Sync!$X1804="",0,Sync!$X1804))</f>
        <v/>
      </c>
      <c r="AP1804">
        <f>IF($AE1804="","",Sync!$R1804)</f>
        <v/>
      </c>
      <c r="AQ1804">
        <f>IF($AE1804="","",Sync!$Y1804)</f>
        <v/>
      </c>
    </row>
    <row r="1805">
      <c r="A1805">
        <f>IF(OR(Wages!$B1808="",Wages!$E1808=""),"",Wages!$E1808)</f>
        <v/>
      </c>
      <c r="B1805">
        <f>IF($A1805="","",IF(Wages!$C1808="دستمزد گروهی",2,1))</f>
        <v/>
      </c>
      <c r="C1805">
        <f>IF($A1805="","",IF(ISNUMBER(Wages!$B1808),IF(AND(Wages!$B1808&gt;=10000101,Wages!$B1808&lt;=99991231),INT(Wages!$B1808/10000),""),IFERROR(VALUE(TRIM(LEFT(Wages!$B1808,FIND("/",Wages!$B1808)-1))),"")))</f>
        <v/>
      </c>
      <c r="D1805">
        <f>IF(OR($A1805="",$C1805=""),"",IF(ISNUMBER(Wages!$B1808),INT(MOD(Wages!$B1808,10000)/100),IFERROR(VALUE(TRIM(LEFT(MID(Wages!$B1808,FIND("/",Wages!$B1808)+1,20),FIND("/",MID(Wages!$B1808,FIND("/",Wages!$B1808)+1,20))-1))),"")))</f>
        <v/>
      </c>
      <c r="E1805">
        <f>IF(OR($A1805="",$C1805=""),"",IF(ISNUMBER(Wages!$B1808),MOD(Wages!$B1808,100),IFERROR(VALUE(TRIM(MID(MID(Wages!$B1808,FIND("/",Wages!$B1808)+1,20),FIND("/",MID(Wages!$B1808,FIND("/",Wages!$B1808)+1,20))+1,20))),"")))</f>
        <v/>
      </c>
      <c r="F1805">
        <f>IF($A1805="","",IF(OR($C1805="",$D1805="",$E1805="",$C1805&lt;1300,$C1805&gt;1500,$D1805&lt;1,$D1805&gt;12,$E1805&lt;1,$E1805&gt;31),"نامعتبر",RIGHT("0000"&amp;$C1805,4)&amp;"/"&amp;RIGHT("00"&amp;$D1805,2)&amp;"/"&amp;RIGHT("00"&amp;$E1805,2)))</f>
        <v/>
      </c>
      <c r="G1805">
        <f>IF(OR($A1805="",$F1805="",$F1805="نامعتبر"),"",LEFT($F1805,4)&amp;MID($F1805,6,2)&amp;RIGHT($F1805,2)&amp;"0000"&amp;"|"&amp;"1"&amp;RIGHT("00000"&amp;1800,5))</f>
        <v/>
      </c>
      <c r="H1805">
        <f>IF(OR($B1805&lt;&gt;1,$G1805=""),"",COUNTIFS(LdAParty,$A1805,LdAType,1,LdAKey,"&lt;"&amp;$G1805)+COUNTIFS(LdBMember,$A1805,LdBKey,"&lt;"&amp;$G1805)+COUNTIFS(LdCParty,$A1805,LdCKey,"&lt;"&amp;$G1805)+1)</f>
        <v/>
      </c>
      <c r="I1805">
        <f>IF($H1805="","",$A1805&amp;"|"&amp;RIGHT("000000"&amp;$H1805,6))</f>
        <v/>
      </c>
      <c r="J1805">
        <f>IF(OR($B1805&lt;&gt;2,$G1805=""),"",COUNTIFS(LdAParty,$A1805,LdAType,2,LdAKey,"&lt;"&amp;$G1805)+1)</f>
        <v/>
      </c>
      <c r="K1805">
        <f>IF($J1805="","",$A1805&amp;"|"&amp;RIGHT("000000"&amp;$J1805,6))</f>
        <v/>
      </c>
      <c r="L1805">
        <f>IF($A1805="","",IF(Wages!$G1808="",0,Wages!$G1808))</f>
        <v/>
      </c>
      <c r="M1805">
        <f>IF($A1805="","",Wages!$J1808)</f>
        <v/>
      </c>
      <c r="N1805">
        <f>IF($A1805="","",Wages!$D1808)</f>
        <v/>
      </c>
      <c r="P1805">
        <f>IF(OR(Shares!$B1808="",Shares!$C1808=""),"",Shares!$C1808)</f>
        <v/>
      </c>
      <c r="Q1805">
        <f>IF($P1805="","",Shares!$B1808)</f>
        <v/>
      </c>
      <c r="R1805">
        <f>IF($P1805="","",IFERROR(INDEX(WageParty,MATCH($Q1805,WageIds,0)),""))</f>
        <v/>
      </c>
      <c r="S1805">
        <f>IF($P1805="","",IFERROR(INDEX($F$6:$F$2005,MATCH($Q1805,WageIds,0)),""))</f>
        <v/>
      </c>
      <c r="T1805">
        <f>IF(OR($P1805="",$S1805="",$S1805="نامعتبر"),"",LEFT($S1805,4)&amp;MID($S1805,6,2)&amp;RIGHT($S1805,2)&amp;"0000"&amp;"|"&amp;"2"&amp;RIGHT("00000"&amp;1800,5))</f>
        <v/>
      </c>
      <c r="U1805">
        <f>IF($T1805="","",COUNTIFS(LdAParty,$P1805,LdAType,1,LdAKey,"&lt;"&amp;$T1805)+COUNTIFS(LdBMember,$P1805,LdBKey,"&lt;"&amp;$T1805)+COUNTIFS(LdCParty,$P1805,LdCKey,"&lt;"&amp;$T1805)+1)</f>
        <v/>
      </c>
      <c r="V1805">
        <f>IF($U1805="","",$P1805&amp;"|"&amp;RIGHT("000000"&amp;$U1805,6))</f>
        <v/>
      </c>
      <c r="W1805">
        <f>IF($T1805="","",COUNTIFS(LdBGroup,$R1805,LdBKey,"&lt;"&amp;$T1805)+1)</f>
        <v/>
      </c>
      <c r="X1805">
        <f>IF($W1805="","",$R1805&amp;"|"&amp;RIGHT("000000"&amp;$W1805,6))</f>
        <v/>
      </c>
      <c r="Y1805">
        <f>IF($P1805="","",IF(Shares!$E1808="",0,Shares!$E1808))</f>
        <v/>
      </c>
      <c r="Z1805">
        <f>IF($P1805="","",Shares!$H1808)</f>
        <v/>
      </c>
      <c r="AE1805">
        <f>IF(OR(Sync!$S1805="",Sync!$P1805=""),"",Sync!$S1805)</f>
        <v/>
      </c>
      <c r="AF1805">
        <f>IF($AE1805="","",IF(ISNUMBER(Sync!$P1805),IF(AND(Sync!$P1805&gt;=10000101,Sync!$P1805&lt;=99991231),INT(Sync!$P1805/10000),""),IFERROR(VALUE(TRIM(LEFT(Sync!$P1805,FIND("/",Sync!$P1805)-1))),"")))</f>
        <v/>
      </c>
      <c r="AG1805">
        <f>IF(OR($AE1805="",$AF1805=""),"",IF(ISNUMBER(Sync!$P1805),INT(MOD(Sync!$P1805,10000)/100),IFERROR(VALUE(TRIM(LEFT(MID(Sync!$P1805,FIND("/",Sync!$P1805)+1,20),FIND("/",MID(Sync!$P1805,FIND("/",Sync!$P1805)+1,20))-1))),"")))</f>
        <v/>
      </c>
      <c r="AH1805">
        <f>IF(OR($AE1805="",$AF1805=""),"",IF(ISNUMBER(Sync!$P1805),MOD(Sync!$P1805,100),IFERROR(VALUE(TRIM(MID(MID(Sync!$P1805,FIND("/",Sync!$P1805)+1,20),FIND("/",MID(Sync!$P1805,FIND("/",Sync!$P1805)+1,20))+1,20))),"")))</f>
        <v/>
      </c>
      <c r="AI1805">
        <f>IF($AE1805="","",IF(OR($AF1805="",$AG1805="",$AH1805="",$AF1805&lt;1300,$AF1805&gt;1500,$AG1805&lt;1,$AG1805&gt;12,$AH1805&lt;1,$AH1805&gt;31),"نامعتبر",RIGHT("0000"&amp;$AF1805,4)&amp;"/"&amp;RIGHT("00"&amp;$AG1805,2)&amp;"/"&amp;RIGHT("00"&amp;$AH1805,2)))</f>
        <v/>
      </c>
      <c r="AJ1805">
        <f>IF($AE1805="","",IF(Sync!$Q1805="","0000",IF(AND(ISNUMBER(Sync!$Q1805),Sync!$Q1805&gt;=0,Sync!$Q1805&lt;1),RIGHT("00"&amp;HOUR(Sync!$Q1805),2)&amp;RIGHT("00"&amp;MINUTE(Sync!$Q1805),2),IFERROR(RIGHT("00"&amp;VALUE(LEFT(Sync!$Q1805,FIND(":",Sync!$Q1805)-1)),2)&amp;RIGHT("00"&amp;VALUE(MID(Sync!$Q1805,FIND(":",Sync!$Q1805)+1,2)),2),"0000"))))</f>
        <v/>
      </c>
      <c r="AK1805">
        <f>IF(OR($AE1805="",$AI1805="",$AI1805="نامعتبر"),"",LEFT($AI1805,4)&amp;MID($AI1805,6,2)&amp;RIGHT($AI1805,2)&amp;$AJ1805&amp;"|"&amp;"3"&amp;RIGHT("00000"&amp;1800,5))</f>
        <v/>
      </c>
      <c r="AL1805">
        <f>IF($AK1805="","",COUNTIFS(LdAParty,$AE1805,LdAType,1,LdAKey,"&lt;"&amp;$AK1805)+COUNTIFS(LdBMember,$AE1805,LdBKey,"&lt;"&amp;$AK1805)+COUNTIFS(LdCParty,$AE1805,LdCKey,"&lt;"&amp;$AK1805)+1)</f>
        <v/>
      </c>
      <c r="AM1805">
        <f>IF($AL1805="","",$AE1805&amp;"|"&amp;RIGHT("000000"&amp;$AL1805,6))</f>
        <v/>
      </c>
      <c r="AN1805">
        <f>IF($AE1805="","",IF(Sync!$W1805="",0,Sync!$W1805))</f>
        <v/>
      </c>
      <c r="AO1805">
        <f>IF($AE1805="","",IF(Sync!$X1805="",0,Sync!$X1805))</f>
        <v/>
      </c>
      <c r="AP1805">
        <f>IF($AE1805="","",Sync!$R1805)</f>
        <v/>
      </c>
      <c r="AQ1805">
        <f>IF($AE1805="","",Sync!$Y1805)</f>
        <v/>
      </c>
    </row>
    <row r="1806">
      <c r="A1806">
        <f>IF(OR(Wages!$B1809="",Wages!$E1809=""),"",Wages!$E1809)</f>
        <v/>
      </c>
      <c r="B1806">
        <f>IF($A1806="","",IF(Wages!$C1809="دستمزد گروهی",2,1))</f>
        <v/>
      </c>
      <c r="C1806">
        <f>IF($A1806="","",IF(ISNUMBER(Wages!$B1809),IF(AND(Wages!$B1809&gt;=10000101,Wages!$B1809&lt;=99991231),INT(Wages!$B1809/10000),""),IFERROR(VALUE(TRIM(LEFT(Wages!$B1809,FIND("/",Wages!$B1809)-1))),"")))</f>
        <v/>
      </c>
      <c r="D1806">
        <f>IF(OR($A1806="",$C1806=""),"",IF(ISNUMBER(Wages!$B1809),INT(MOD(Wages!$B1809,10000)/100),IFERROR(VALUE(TRIM(LEFT(MID(Wages!$B1809,FIND("/",Wages!$B1809)+1,20),FIND("/",MID(Wages!$B1809,FIND("/",Wages!$B1809)+1,20))-1))),"")))</f>
        <v/>
      </c>
      <c r="E1806">
        <f>IF(OR($A1806="",$C1806=""),"",IF(ISNUMBER(Wages!$B1809),MOD(Wages!$B1809,100),IFERROR(VALUE(TRIM(MID(MID(Wages!$B1809,FIND("/",Wages!$B1809)+1,20),FIND("/",MID(Wages!$B1809,FIND("/",Wages!$B1809)+1,20))+1,20))),"")))</f>
        <v/>
      </c>
      <c r="F1806">
        <f>IF($A1806="","",IF(OR($C1806="",$D1806="",$E1806="",$C1806&lt;1300,$C1806&gt;1500,$D1806&lt;1,$D1806&gt;12,$E1806&lt;1,$E1806&gt;31),"نامعتبر",RIGHT("0000"&amp;$C1806,4)&amp;"/"&amp;RIGHT("00"&amp;$D1806,2)&amp;"/"&amp;RIGHT("00"&amp;$E1806,2)))</f>
        <v/>
      </c>
      <c r="G1806">
        <f>IF(OR($A1806="",$F1806="",$F1806="نامعتبر"),"",LEFT($F1806,4)&amp;MID($F1806,6,2)&amp;RIGHT($F1806,2)&amp;"0000"&amp;"|"&amp;"1"&amp;RIGHT("00000"&amp;1801,5))</f>
        <v/>
      </c>
      <c r="H1806">
        <f>IF(OR($B1806&lt;&gt;1,$G1806=""),"",COUNTIFS(LdAParty,$A1806,LdAType,1,LdAKey,"&lt;"&amp;$G1806)+COUNTIFS(LdBMember,$A1806,LdBKey,"&lt;"&amp;$G1806)+COUNTIFS(LdCParty,$A1806,LdCKey,"&lt;"&amp;$G1806)+1)</f>
        <v/>
      </c>
      <c r="I1806">
        <f>IF($H1806="","",$A1806&amp;"|"&amp;RIGHT("000000"&amp;$H1806,6))</f>
        <v/>
      </c>
      <c r="J1806">
        <f>IF(OR($B1806&lt;&gt;2,$G1806=""),"",COUNTIFS(LdAParty,$A1806,LdAType,2,LdAKey,"&lt;"&amp;$G1806)+1)</f>
        <v/>
      </c>
      <c r="K1806">
        <f>IF($J1806="","",$A1806&amp;"|"&amp;RIGHT("000000"&amp;$J1806,6))</f>
        <v/>
      </c>
      <c r="L1806">
        <f>IF($A1806="","",IF(Wages!$G1809="",0,Wages!$G1809))</f>
        <v/>
      </c>
      <c r="M1806">
        <f>IF($A1806="","",Wages!$J1809)</f>
        <v/>
      </c>
      <c r="N1806">
        <f>IF($A1806="","",Wages!$D1809)</f>
        <v/>
      </c>
      <c r="P1806">
        <f>IF(OR(Shares!$B1809="",Shares!$C1809=""),"",Shares!$C1809)</f>
        <v/>
      </c>
      <c r="Q1806">
        <f>IF($P1806="","",Shares!$B1809)</f>
        <v/>
      </c>
      <c r="R1806">
        <f>IF($P1806="","",IFERROR(INDEX(WageParty,MATCH($Q1806,WageIds,0)),""))</f>
        <v/>
      </c>
      <c r="S1806">
        <f>IF($P1806="","",IFERROR(INDEX($F$6:$F$2005,MATCH($Q1806,WageIds,0)),""))</f>
        <v/>
      </c>
      <c r="T1806">
        <f>IF(OR($P1806="",$S1806="",$S1806="نامعتبر"),"",LEFT($S1806,4)&amp;MID($S1806,6,2)&amp;RIGHT($S1806,2)&amp;"0000"&amp;"|"&amp;"2"&amp;RIGHT("00000"&amp;1801,5))</f>
        <v/>
      </c>
      <c r="U1806">
        <f>IF($T1806="","",COUNTIFS(LdAParty,$P1806,LdAType,1,LdAKey,"&lt;"&amp;$T1806)+COUNTIFS(LdBMember,$P1806,LdBKey,"&lt;"&amp;$T1806)+COUNTIFS(LdCParty,$P1806,LdCKey,"&lt;"&amp;$T1806)+1)</f>
        <v/>
      </c>
      <c r="V1806">
        <f>IF($U1806="","",$P1806&amp;"|"&amp;RIGHT("000000"&amp;$U1806,6))</f>
        <v/>
      </c>
      <c r="W1806">
        <f>IF($T1806="","",COUNTIFS(LdBGroup,$R1806,LdBKey,"&lt;"&amp;$T1806)+1)</f>
        <v/>
      </c>
      <c r="X1806">
        <f>IF($W1806="","",$R1806&amp;"|"&amp;RIGHT("000000"&amp;$W1806,6))</f>
        <v/>
      </c>
      <c r="Y1806">
        <f>IF($P1806="","",IF(Shares!$E1809="",0,Shares!$E1809))</f>
        <v/>
      </c>
      <c r="Z1806">
        <f>IF($P1806="","",Shares!$H1809)</f>
        <v/>
      </c>
      <c r="AE1806">
        <f>IF(OR(Sync!$S1806="",Sync!$P1806=""),"",Sync!$S1806)</f>
        <v/>
      </c>
      <c r="AF1806">
        <f>IF($AE1806="","",IF(ISNUMBER(Sync!$P1806),IF(AND(Sync!$P1806&gt;=10000101,Sync!$P1806&lt;=99991231),INT(Sync!$P1806/10000),""),IFERROR(VALUE(TRIM(LEFT(Sync!$P1806,FIND("/",Sync!$P1806)-1))),"")))</f>
        <v/>
      </c>
      <c r="AG1806">
        <f>IF(OR($AE1806="",$AF1806=""),"",IF(ISNUMBER(Sync!$P1806),INT(MOD(Sync!$P1806,10000)/100),IFERROR(VALUE(TRIM(LEFT(MID(Sync!$P1806,FIND("/",Sync!$P1806)+1,20),FIND("/",MID(Sync!$P1806,FIND("/",Sync!$P1806)+1,20))-1))),"")))</f>
        <v/>
      </c>
      <c r="AH1806">
        <f>IF(OR($AE1806="",$AF1806=""),"",IF(ISNUMBER(Sync!$P1806),MOD(Sync!$P1806,100),IFERROR(VALUE(TRIM(MID(MID(Sync!$P1806,FIND("/",Sync!$P1806)+1,20),FIND("/",MID(Sync!$P1806,FIND("/",Sync!$P1806)+1,20))+1,20))),"")))</f>
        <v/>
      </c>
      <c r="AI1806">
        <f>IF($AE1806="","",IF(OR($AF1806="",$AG1806="",$AH1806="",$AF1806&lt;1300,$AF1806&gt;1500,$AG1806&lt;1,$AG1806&gt;12,$AH1806&lt;1,$AH1806&gt;31),"نامعتبر",RIGHT("0000"&amp;$AF1806,4)&amp;"/"&amp;RIGHT("00"&amp;$AG1806,2)&amp;"/"&amp;RIGHT("00"&amp;$AH1806,2)))</f>
        <v/>
      </c>
      <c r="AJ1806">
        <f>IF($AE1806="","",IF(Sync!$Q1806="","0000",IF(AND(ISNUMBER(Sync!$Q1806),Sync!$Q1806&gt;=0,Sync!$Q1806&lt;1),RIGHT("00"&amp;HOUR(Sync!$Q1806),2)&amp;RIGHT("00"&amp;MINUTE(Sync!$Q1806),2),IFERROR(RIGHT("00"&amp;VALUE(LEFT(Sync!$Q1806,FIND(":",Sync!$Q1806)-1)),2)&amp;RIGHT("00"&amp;VALUE(MID(Sync!$Q1806,FIND(":",Sync!$Q1806)+1,2)),2),"0000"))))</f>
        <v/>
      </c>
      <c r="AK1806">
        <f>IF(OR($AE1806="",$AI1806="",$AI1806="نامعتبر"),"",LEFT($AI1806,4)&amp;MID($AI1806,6,2)&amp;RIGHT($AI1806,2)&amp;$AJ1806&amp;"|"&amp;"3"&amp;RIGHT("00000"&amp;1801,5))</f>
        <v/>
      </c>
      <c r="AL1806">
        <f>IF($AK1806="","",COUNTIFS(LdAParty,$AE1806,LdAType,1,LdAKey,"&lt;"&amp;$AK1806)+COUNTIFS(LdBMember,$AE1806,LdBKey,"&lt;"&amp;$AK1806)+COUNTIFS(LdCParty,$AE1806,LdCKey,"&lt;"&amp;$AK1806)+1)</f>
        <v/>
      </c>
      <c r="AM1806">
        <f>IF($AL1806="","",$AE1806&amp;"|"&amp;RIGHT("000000"&amp;$AL1806,6))</f>
        <v/>
      </c>
      <c r="AN1806">
        <f>IF($AE1806="","",IF(Sync!$W1806="",0,Sync!$W1806))</f>
        <v/>
      </c>
      <c r="AO1806">
        <f>IF($AE1806="","",IF(Sync!$X1806="",0,Sync!$X1806))</f>
        <v/>
      </c>
      <c r="AP1806">
        <f>IF($AE1806="","",Sync!$R1806)</f>
        <v/>
      </c>
      <c r="AQ1806">
        <f>IF($AE1806="","",Sync!$Y1806)</f>
        <v/>
      </c>
    </row>
    <row r="1807">
      <c r="A1807">
        <f>IF(OR(Wages!$B1810="",Wages!$E1810=""),"",Wages!$E1810)</f>
        <v/>
      </c>
      <c r="B1807">
        <f>IF($A1807="","",IF(Wages!$C1810="دستمزد گروهی",2,1))</f>
        <v/>
      </c>
      <c r="C1807">
        <f>IF($A1807="","",IF(ISNUMBER(Wages!$B1810),IF(AND(Wages!$B1810&gt;=10000101,Wages!$B1810&lt;=99991231),INT(Wages!$B1810/10000),""),IFERROR(VALUE(TRIM(LEFT(Wages!$B1810,FIND("/",Wages!$B1810)-1))),"")))</f>
        <v/>
      </c>
      <c r="D1807">
        <f>IF(OR($A1807="",$C1807=""),"",IF(ISNUMBER(Wages!$B1810),INT(MOD(Wages!$B1810,10000)/100),IFERROR(VALUE(TRIM(LEFT(MID(Wages!$B1810,FIND("/",Wages!$B1810)+1,20),FIND("/",MID(Wages!$B1810,FIND("/",Wages!$B1810)+1,20))-1))),"")))</f>
        <v/>
      </c>
      <c r="E1807">
        <f>IF(OR($A1807="",$C1807=""),"",IF(ISNUMBER(Wages!$B1810),MOD(Wages!$B1810,100),IFERROR(VALUE(TRIM(MID(MID(Wages!$B1810,FIND("/",Wages!$B1810)+1,20),FIND("/",MID(Wages!$B1810,FIND("/",Wages!$B1810)+1,20))+1,20))),"")))</f>
        <v/>
      </c>
      <c r="F1807">
        <f>IF($A1807="","",IF(OR($C1807="",$D1807="",$E1807="",$C1807&lt;1300,$C1807&gt;1500,$D1807&lt;1,$D1807&gt;12,$E1807&lt;1,$E1807&gt;31),"نامعتبر",RIGHT("0000"&amp;$C1807,4)&amp;"/"&amp;RIGHT("00"&amp;$D1807,2)&amp;"/"&amp;RIGHT("00"&amp;$E1807,2)))</f>
        <v/>
      </c>
      <c r="G1807">
        <f>IF(OR($A1807="",$F1807="",$F1807="نامعتبر"),"",LEFT($F1807,4)&amp;MID($F1807,6,2)&amp;RIGHT($F1807,2)&amp;"0000"&amp;"|"&amp;"1"&amp;RIGHT("00000"&amp;1802,5))</f>
        <v/>
      </c>
      <c r="H1807">
        <f>IF(OR($B1807&lt;&gt;1,$G1807=""),"",COUNTIFS(LdAParty,$A1807,LdAType,1,LdAKey,"&lt;"&amp;$G1807)+COUNTIFS(LdBMember,$A1807,LdBKey,"&lt;"&amp;$G1807)+COUNTIFS(LdCParty,$A1807,LdCKey,"&lt;"&amp;$G1807)+1)</f>
        <v/>
      </c>
      <c r="I1807">
        <f>IF($H1807="","",$A1807&amp;"|"&amp;RIGHT("000000"&amp;$H1807,6))</f>
        <v/>
      </c>
      <c r="J1807">
        <f>IF(OR($B1807&lt;&gt;2,$G1807=""),"",COUNTIFS(LdAParty,$A1807,LdAType,2,LdAKey,"&lt;"&amp;$G1807)+1)</f>
        <v/>
      </c>
      <c r="K1807">
        <f>IF($J1807="","",$A1807&amp;"|"&amp;RIGHT("000000"&amp;$J1807,6))</f>
        <v/>
      </c>
      <c r="L1807">
        <f>IF($A1807="","",IF(Wages!$G1810="",0,Wages!$G1810))</f>
        <v/>
      </c>
      <c r="M1807">
        <f>IF($A1807="","",Wages!$J1810)</f>
        <v/>
      </c>
      <c r="N1807">
        <f>IF($A1807="","",Wages!$D1810)</f>
        <v/>
      </c>
      <c r="P1807">
        <f>IF(OR(Shares!$B1810="",Shares!$C1810=""),"",Shares!$C1810)</f>
        <v/>
      </c>
      <c r="Q1807">
        <f>IF($P1807="","",Shares!$B1810)</f>
        <v/>
      </c>
      <c r="R1807">
        <f>IF($P1807="","",IFERROR(INDEX(WageParty,MATCH($Q1807,WageIds,0)),""))</f>
        <v/>
      </c>
      <c r="S1807">
        <f>IF($P1807="","",IFERROR(INDEX($F$6:$F$2005,MATCH($Q1807,WageIds,0)),""))</f>
        <v/>
      </c>
      <c r="T1807">
        <f>IF(OR($P1807="",$S1807="",$S1807="نامعتبر"),"",LEFT($S1807,4)&amp;MID($S1807,6,2)&amp;RIGHT($S1807,2)&amp;"0000"&amp;"|"&amp;"2"&amp;RIGHT("00000"&amp;1802,5))</f>
        <v/>
      </c>
      <c r="U1807">
        <f>IF($T1807="","",COUNTIFS(LdAParty,$P1807,LdAType,1,LdAKey,"&lt;"&amp;$T1807)+COUNTIFS(LdBMember,$P1807,LdBKey,"&lt;"&amp;$T1807)+COUNTIFS(LdCParty,$P1807,LdCKey,"&lt;"&amp;$T1807)+1)</f>
        <v/>
      </c>
      <c r="V1807">
        <f>IF($U1807="","",$P1807&amp;"|"&amp;RIGHT("000000"&amp;$U1807,6))</f>
        <v/>
      </c>
      <c r="W1807">
        <f>IF($T1807="","",COUNTIFS(LdBGroup,$R1807,LdBKey,"&lt;"&amp;$T1807)+1)</f>
        <v/>
      </c>
      <c r="X1807">
        <f>IF($W1807="","",$R1807&amp;"|"&amp;RIGHT("000000"&amp;$W1807,6))</f>
        <v/>
      </c>
      <c r="Y1807">
        <f>IF($P1807="","",IF(Shares!$E1810="",0,Shares!$E1810))</f>
        <v/>
      </c>
      <c r="Z1807">
        <f>IF($P1807="","",Shares!$H1810)</f>
        <v/>
      </c>
      <c r="AE1807">
        <f>IF(OR(Sync!$S1807="",Sync!$P1807=""),"",Sync!$S1807)</f>
        <v/>
      </c>
      <c r="AF1807">
        <f>IF($AE1807="","",IF(ISNUMBER(Sync!$P1807),IF(AND(Sync!$P1807&gt;=10000101,Sync!$P1807&lt;=99991231),INT(Sync!$P1807/10000),""),IFERROR(VALUE(TRIM(LEFT(Sync!$P1807,FIND("/",Sync!$P1807)-1))),"")))</f>
        <v/>
      </c>
      <c r="AG1807">
        <f>IF(OR($AE1807="",$AF1807=""),"",IF(ISNUMBER(Sync!$P1807),INT(MOD(Sync!$P1807,10000)/100),IFERROR(VALUE(TRIM(LEFT(MID(Sync!$P1807,FIND("/",Sync!$P1807)+1,20),FIND("/",MID(Sync!$P1807,FIND("/",Sync!$P1807)+1,20))-1))),"")))</f>
        <v/>
      </c>
      <c r="AH1807">
        <f>IF(OR($AE1807="",$AF1807=""),"",IF(ISNUMBER(Sync!$P1807),MOD(Sync!$P1807,100),IFERROR(VALUE(TRIM(MID(MID(Sync!$P1807,FIND("/",Sync!$P1807)+1,20),FIND("/",MID(Sync!$P1807,FIND("/",Sync!$P1807)+1,20))+1,20))),"")))</f>
        <v/>
      </c>
      <c r="AI1807">
        <f>IF($AE1807="","",IF(OR($AF1807="",$AG1807="",$AH1807="",$AF1807&lt;1300,$AF1807&gt;1500,$AG1807&lt;1,$AG1807&gt;12,$AH1807&lt;1,$AH1807&gt;31),"نامعتبر",RIGHT("0000"&amp;$AF1807,4)&amp;"/"&amp;RIGHT("00"&amp;$AG1807,2)&amp;"/"&amp;RIGHT("00"&amp;$AH1807,2)))</f>
        <v/>
      </c>
      <c r="AJ1807">
        <f>IF($AE1807="","",IF(Sync!$Q1807="","0000",IF(AND(ISNUMBER(Sync!$Q1807),Sync!$Q1807&gt;=0,Sync!$Q1807&lt;1),RIGHT("00"&amp;HOUR(Sync!$Q1807),2)&amp;RIGHT("00"&amp;MINUTE(Sync!$Q1807),2),IFERROR(RIGHT("00"&amp;VALUE(LEFT(Sync!$Q1807,FIND(":",Sync!$Q1807)-1)),2)&amp;RIGHT("00"&amp;VALUE(MID(Sync!$Q1807,FIND(":",Sync!$Q1807)+1,2)),2),"0000"))))</f>
        <v/>
      </c>
      <c r="AK1807">
        <f>IF(OR($AE1807="",$AI1807="",$AI1807="نامعتبر"),"",LEFT($AI1807,4)&amp;MID($AI1807,6,2)&amp;RIGHT($AI1807,2)&amp;$AJ1807&amp;"|"&amp;"3"&amp;RIGHT("00000"&amp;1802,5))</f>
        <v/>
      </c>
      <c r="AL1807">
        <f>IF($AK1807="","",COUNTIFS(LdAParty,$AE1807,LdAType,1,LdAKey,"&lt;"&amp;$AK1807)+COUNTIFS(LdBMember,$AE1807,LdBKey,"&lt;"&amp;$AK1807)+COUNTIFS(LdCParty,$AE1807,LdCKey,"&lt;"&amp;$AK1807)+1)</f>
        <v/>
      </c>
      <c r="AM1807">
        <f>IF($AL1807="","",$AE1807&amp;"|"&amp;RIGHT("000000"&amp;$AL1807,6))</f>
        <v/>
      </c>
      <c r="AN1807">
        <f>IF($AE1807="","",IF(Sync!$W1807="",0,Sync!$W1807))</f>
        <v/>
      </c>
      <c r="AO1807">
        <f>IF($AE1807="","",IF(Sync!$X1807="",0,Sync!$X1807))</f>
        <v/>
      </c>
      <c r="AP1807">
        <f>IF($AE1807="","",Sync!$R1807)</f>
        <v/>
      </c>
      <c r="AQ1807">
        <f>IF($AE1807="","",Sync!$Y1807)</f>
        <v/>
      </c>
    </row>
    <row r="1808">
      <c r="A1808">
        <f>IF(OR(Wages!$B1811="",Wages!$E1811=""),"",Wages!$E1811)</f>
        <v/>
      </c>
      <c r="B1808">
        <f>IF($A1808="","",IF(Wages!$C1811="دستمزد گروهی",2,1))</f>
        <v/>
      </c>
      <c r="C1808">
        <f>IF($A1808="","",IF(ISNUMBER(Wages!$B1811),IF(AND(Wages!$B1811&gt;=10000101,Wages!$B1811&lt;=99991231),INT(Wages!$B1811/10000),""),IFERROR(VALUE(TRIM(LEFT(Wages!$B1811,FIND("/",Wages!$B1811)-1))),"")))</f>
        <v/>
      </c>
      <c r="D1808">
        <f>IF(OR($A1808="",$C1808=""),"",IF(ISNUMBER(Wages!$B1811),INT(MOD(Wages!$B1811,10000)/100),IFERROR(VALUE(TRIM(LEFT(MID(Wages!$B1811,FIND("/",Wages!$B1811)+1,20),FIND("/",MID(Wages!$B1811,FIND("/",Wages!$B1811)+1,20))-1))),"")))</f>
        <v/>
      </c>
      <c r="E1808">
        <f>IF(OR($A1808="",$C1808=""),"",IF(ISNUMBER(Wages!$B1811),MOD(Wages!$B1811,100),IFERROR(VALUE(TRIM(MID(MID(Wages!$B1811,FIND("/",Wages!$B1811)+1,20),FIND("/",MID(Wages!$B1811,FIND("/",Wages!$B1811)+1,20))+1,20))),"")))</f>
        <v/>
      </c>
      <c r="F1808">
        <f>IF($A1808="","",IF(OR($C1808="",$D1808="",$E1808="",$C1808&lt;1300,$C1808&gt;1500,$D1808&lt;1,$D1808&gt;12,$E1808&lt;1,$E1808&gt;31),"نامعتبر",RIGHT("0000"&amp;$C1808,4)&amp;"/"&amp;RIGHT("00"&amp;$D1808,2)&amp;"/"&amp;RIGHT("00"&amp;$E1808,2)))</f>
        <v/>
      </c>
      <c r="G1808">
        <f>IF(OR($A1808="",$F1808="",$F1808="نامعتبر"),"",LEFT($F1808,4)&amp;MID($F1808,6,2)&amp;RIGHT($F1808,2)&amp;"0000"&amp;"|"&amp;"1"&amp;RIGHT("00000"&amp;1803,5))</f>
        <v/>
      </c>
      <c r="H1808">
        <f>IF(OR($B1808&lt;&gt;1,$G1808=""),"",COUNTIFS(LdAParty,$A1808,LdAType,1,LdAKey,"&lt;"&amp;$G1808)+COUNTIFS(LdBMember,$A1808,LdBKey,"&lt;"&amp;$G1808)+COUNTIFS(LdCParty,$A1808,LdCKey,"&lt;"&amp;$G1808)+1)</f>
        <v/>
      </c>
      <c r="I1808">
        <f>IF($H1808="","",$A1808&amp;"|"&amp;RIGHT("000000"&amp;$H1808,6))</f>
        <v/>
      </c>
      <c r="J1808">
        <f>IF(OR($B1808&lt;&gt;2,$G1808=""),"",COUNTIFS(LdAParty,$A1808,LdAType,2,LdAKey,"&lt;"&amp;$G1808)+1)</f>
        <v/>
      </c>
      <c r="K1808">
        <f>IF($J1808="","",$A1808&amp;"|"&amp;RIGHT("000000"&amp;$J1808,6))</f>
        <v/>
      </c>
      <c r="L1808">
        <f>IF($A1808="","",IF(Wages!$G1811="",0,Wages!$G1811))</f>
        <v/>
      </c>
      <c r="M1808">
        <f>IF($A1808="","",Wages!$J1811)</f>
        <v/>
      </c>
      <c r="N1808">
        <f>IF($A1808="","",Wages!$D1811)</f>
        <v/>
      </c>
      <c r="P1808">
        <f>IF(OR(Shares!$B1811="",Shares!$C1811=""),"",Shares!$C1811)</f>
        <v/>
      </c>
      <c r="Q1808">
        <f>IF($P1808="","",Shares!$B1811)</f>
        <v/>
      </c>
      <c r="R1808">
        <f>IF($P1808="","",IFERROR(INDEX(WageParty,MATCH($Q1808,WageIds,0)),""))</f>
        <v/>
      </c>
      <c r="S1808">
        <f>IF($P1808="","",IFERROR(INDEX($F$6:$F$2005,MATCH($Q1808,WageIds,0)),""))</f>
        <v/>
      </c>
      <c r="T1808">
        <f>IF(OR($P1808="",$S1808="",$S1808="نامعتبر"),"",LEFT($S1808,4)&amp;MID($S1808,6,2)&amp;RIGHT($S1808,2)&amp;"0000"&amp;"|"&amp;"2"&amp;RIGHT("00000"&amp;1803,5))</f>
        <v/>
      </c>
      <c r="U1808">
        <f>IF($T1808="","",COUNTIFS(LdAParty,$P1808,LdAType,1,LdAKey,"&lt;"&amp;$T1808)+COUNTIFS(LdBMember,$P1808,LdBKey,"&lt;"&amp;$T1808)+COUNTIFS(LdCParty,$P1808,LdCKey,"&lt;"&amp;$T1808)+1)</f>
        <v/>
      </c>
      <c r="V1808">
        <f>IF($U1808="","",$P1808&amp;"|"&amp;RIGHT("000000"&amp;$U1808,6))</f>
        <v/>
      </c>
      <c r="W1808">
        <f>IF($T1808="","",COUNTIFS(LdBGroup,$R1808,LdBKey,"&lt;"&amp;$T1808)+1)</f>
        <v/>
      </c>
      <c r="X1808">
        <f>IF($W1808="","",$R1808&amp;"|"&amp;RIGHT("000000"&amp;$W1808,6))</f>
        <v/>
      </c>
      <c r="Y1808">
        <f>IF($P1808="","",IF(Shares!$E1811="",0,Shares!$E1811))</f>
        <v/>
      </c>
      <c r="Z1808">
        <f>IF($P1808="","",Shares!$H1811)</f>
        <v/>
      </c>
      <c r="AE1808">
        <f>IF(OR(Sync!$S1808="",Sync!$P1808=""),"",Sync!$S1808)</f>
        <v/>
      </c>
      <c r="AF1808">
        <f>IF($AE1808="","",IF(ISNUMBER(Sync!$P1808),IF(AND(Sync!$P1808&gt;=10000101,Sync!$P1808&lt;=99991231),INT(Sync!$P1808/10000),""),IFERROR(VALUE(TRIM(LEFT(Sync!$P1808,FIND("/",Sync!$P1808)-1))),"")))</f>
        <v/>
      </c>
      <c r="AG1808">
        <f>IF(OR($AE1808="",$AF1808=""),"",IF(ISNUMBER(Sync!$P1808),INT(MOD(Sync!$P1808,10000)/100),IFERROR(VALUE(TRIM(LEFT(MID(Sync!$P1808,FIND("/",Sync!$P1808)+1,20),FIND("/",MID(Sync!$P1808,FIND("/",Sync!$P1808)+1,20))-1))),"")))</f>
        <v/>
      </c>
      <c r="AH1808">
        <f>IF(OR($AE1808="",$AF1808=""),"",IF(ISNUMBER(Sync!$P1808),MOD(Sync!$P1808,100),IFERROR(VALUE(TRIM(MID(MID(Sync!$P1808,FIND("/",Sync!$P1808)+1,20),FIND("/",MID(Sync!$P1808,FIND("/",Sync!$P1808)+1,20))+1,20))),"")))</f>
        <v/>
      </c>
      <c r="AI1808">
        <f>IF($AE1808="","",IF(OR($AF1808="",$AG1808="",$AH1808="",$AF1808&lt;1300,$AF1808&gt;1500,$AG1808&lt;1,$AG1808&gt;12,$AH1808&lt;1,$AH1808&gt;31),"نامعتبر",RIGHT("0000"&amp;$AF1808,4)&amp;"/"&amp;RIGHT("00"&amp;$AG1808,2)&amp;"/"&amp;RIGHT("00"&amp;$AH1808,2)))</f>
        <v/>
      </c>
      <c r="AJ1808">
        <f>IF($AE1808="","",IF(Sync!$Q1808="","0000",IF(AND(ISNUMBER(Sync!$Q1808),Sync!$Q1808&gt;=0,Sync!$Q1808&lt;1),RIGHT("00"&amp;HOUR(Sync!$Q1808),2)&amp;RIGHT("00"&amp;MINUTE(Sync!$Q1808),2),IFERROR(RIGHT("00"&amp;VALUE(LEFT(Sync!$Q1808,FIND(":",Sync!$Q1808)-1)),2)&amp;RIGHT("00"&amp;VALUE(MID(Sync!$Q1808,FIND(":",Sync!$Q1808)+1,2)),2),"0000"))))</f>
        <v/>
      </c>
      <c r="AK1808">
        <f>IF(OR($AE1808="",$AI1808="",$AI1808="نامعتبر"),"",LEFT($AI1808,4)&amp;MID($AI1808,6,2)&amp;RIGHT($AI1808,2)&amp;$AJ1808&amp;"|"&amp;"3"&amp;RIGHT("00000"&amp;1803,5))</f>
        <v/>
      </c>
      <c r="AL1808">
        <f>IF($AK1808="","",COUNTIFS(LdAParty,$AE1808,LdAType,1,LdAKey,"&lt;"&amp;$AK1808)+COUNTIFS(LdBMember,$AE1808,LdBKey,"&lt;"&amp;$AK1808)+COUNTIFS(LdCParty,$AE1808,LdCKey,"&lt;"&amp;$AK1808)+1)</f>
        <v/>
      </c>
      <c r="AM1808">
        <f>IF($AL1808="","",$AE1808&amp;"|"&amp;RIGHT("000000"&amp;$AL1808,6))</f>
        <v/>
      </c>
      <c r="AN1808">
        <f>IF($AE1808="","",IF(Sync!$W1808="",0,Sync!$W1808))</f>
        <v/>
      </c>
      <c r="AO1808">
        <f>IF($AE1808="","",IF(Sync!$X1808="",0,Sync!$X1808))</f>
        <v/>
      </c>
      <c r="AP1808">
        <f>IF($AE1808="","",Sync!$R1808)</f>
        <v/>
      </c>
      <c r="AQ1808">
        <f>IF($AE1808="","",Sync!$Y1808)</f>
        <v/>
      </c>
    </row>
    <row r="1809">
      <c r="A1809">
        <f>IF(OR(Wages!$B1812="",Wages!$E1812=""),"",Wages!$E1812)</f>
        <v/>
      </c>
      <c r="B1809">
        <f>IF($A1809="","",IF(Wages!$C1812="دستمزد گروهی",2,1))</f>
        <v/>
      </c>
      <c r="C1809">
        <f>IF($A1809="","",IF(ISNUMBER(Wages!$B1812),IF(AND(Wages!$B1812&gt;=10000101,Wages!$B1812&lt;=99991231),INT(Wages!$B1812/10000),""),IFERROR(VALUE(TRIM(LEFT(Wages!$B1812,FIND("/",Wages!$B1812)-1))),"")))</f>
        <v/>
      </c>
      <c r="D1809">
        <f>IF(OR($A1809="",$C1809=""),"",IF(ISNUMBER(Wages!$B1812),INT(MOD(Wages!$B1812,10000)/100),IFERROR(VALUE(TRIM(LEFT(MID(Wages!$B1812,FIND("/",Wages!$B1812)+1,20),FIND("/",MID(Wages!$B1812,FIND("/",Wages!$B1812)+1,20))-1))),"")))</f>
        <v/>
      </c>
      <c r="E1809">
        <f>IF(OR($A1809="",$C1809=""),"",IF(ISNUMBER(Wages!$B1812),MOD(Wages!$B1812,100),IFERROR(VALUE(TRIM(MID(MID(Wages!$B1812,FIND("/",Wages!$B1812)+1,20),FIND("/",MID(Wages!$B1812,FIND("/",Wages!$B1812)+1,20))+1,20))),"")))</f>
        <v/>
      </c>
      <c r="F1809">
        <f>IF($A1809="","",IF(OR($C1809="",$D1809="",$E1809="",$C1809&lt;1300,$C1809&gt;1500,$D1809&lt;1,$D1809&gt;12,$E1809&lt;1,$E1809&gt;31),"نامعتبر",RIGHT("0000"&amp;$C1809,4)&amp;"/"&amp;RIGHT("00"&amp;$D1809,2)&amp;"/"&amp;RIGHT("00"&amp;$E1809,2)))</f>
        <v/>
      </c>
      <c r="G1809">
        <f>IF(OR($A1809="",$F1809="",$F1809="نامعتبر"),"",LEFT($F1809,4)&amp;MID($F1809,6,2)&amp;RIGHT($F1809,2)&amp;"0000"&amp;"|"&amp;"1"&amp;RIGHT("00000"&amp;1804,5))</f>
        <v/>
      </c>
      <c r="H1809">
        <f>IF(OR($B1809&lt;&gt;1,$G1809=""),"",COUNTIFS(LdAParty,$A1809,LdAType,1,LdAKey,"&lt;"&amp;$G1809)+COUNTIFS(LdBMember,$A1809,LdBKey,"&lt;"&amp;$G1809)+COUNTIFS(LdCParty,$A1809,LdCKey,"&lt;"&amp;$G1809)+1)</f>
        <v/>
      </c>
      <c r="I1809">
        <f>IF($H1809="","",$A1809&amp;"|"&amp;RIGHT("000000"&amp;$H1809,6))</f>
        <v/>
      </c>
      <c r="J1809">
        <f>IF(OR($B1809&lt;&gt;2,$G1809=""),"",COUNTIFS(LdAParty,$A1809,LdAType,2,LdAKey,"&lt;"&amp;$G1809)+1)</f>
        <v/>
      </c>
      <c r="K1809">
        <f>IF($J1809="","",$A1809&amp;"|"&amp;RIGHT("000000"&amp;$J1809,6))</f>
        <v/>
      </c>
      <c r="L1809">
        <f>IF($A1809="","",IF(Wages!$G1812="",0,Wages!$G1812))</f>
        <v/>
      </c>
      <c r="M1809">
        <f>IF($A1809="","",Wages!$J1812)</f>
        <v/>
      </c>
      <c r="N1809">
        <f>IF($A1809="","",Wages!$D1812)</f>
        <v/>
      </c>
      <c r="P1809">
        <f>IF(OR(Shares!$B1812="",Shares!$C1812=""),"",Shares!$C1812)</f>
        <v/>
      </c>
      <c r="Q1809">
        <f>IF($P1809="","",Shares!$B1812)</f>
        <v/>
      </c>
      <c r="R1809">
        <f>IF($P1809="","",IFERROR(INDEX(WageParty,MATCH($Q1809,WageIds,0)),""))</f>
        <v/>
      </c>
      <c r="S1809">
        <f>IF($P1809="","",IFERROR(INDEX($F$6:$F$2005,MATCH($Q1809,WageIds,0)),""))</f>
        <v/>
      </c>
      <c r="T1809">
        <f>IF(OR($P1809="",$S1809="",$S1809="نامعتبر"),"",LEFT($S1809,4)&amp;MID($S1809,6,2)&amp;RIGHT($S1809,2)&amp;"0000"&amp;"|"&amp;"2"&amp;RIGHT("00000"&amp;1804,5))</f>
        <v/>
      </c>
      <c r="U1809">
        <f>IF($T1809="","",COUNTIFS(LdAParty,$P1809,LdAType,1,LdAKey,"&lt;"&amp;$T1809)+COUNTIFS(LdBMember,$P1809,LdBKey,"&lt;"&amp;$T1809)+COUNTIFS(LdCParty,$P1809,LdCKey,"&lt;"&amp;$T1809)+1)</f>
        <v/>
      </c>
      <c r="V1809">
        <f>IF($U1809="","",$P1809&amp;"|"&amp;RIGHT("000000"&amp;$U1809,6))</f>
        <v/>
      </c>
      <c r="W1809">
        <f>IF($T1809="","",COUNTIFS(LdBGroup,$R1809,LdBKey,"&lt;"&amp;$T1809)+1)</f>
        <v/>
      </c>
      <c r="X1809">
        <f>IF($W1809="","",$R1809&amp;"|"&amp;RIGHT("000000"&amp;$W1809,6))</f>
        <v/>
      </c>
      <c r="Y1809">
        <f>IF($P1809="","",IF(Shares!$E1812="",0,Shares!$E1812))</f>
        <v/>
      </c>
      <c r="Z1809">
        <f>IF($P1809="","",Shares!$H1812)</f>
        <v/>
      </c>
      <c r="AE1809">
        <f>IF(OR(Sync!$S1809="",Sync!$P1809=""),"",Sync!$S1809)</f>
        <v/>
      </c>
      <c r="AF1809">
        <f>IF($AE1809="","",IF(ISNUMBER(Sync!$P1809),IF(AND(Sync!$P1809&gt;=10000101,Sync!$P1809&lt;=99991231),INT(Sync!$P1809/10000),""),IFERROR(VALUE(TRIM(LEFT(Sync!$P1809,FIND("/",Sync!$P1809)-1))),"")))</f>
        <v/>
      </c>
      <c r="AG1809">
        <f>IF(OR($AE1809="",$AF1809=""),"",IF(ISNUMBER(Sync!$P1809),INT(MOD(Sync!$P1809,10000)/100),IFERROR(VALUE(TRIM(LEFT(MID(Sync!$P1809,FIND("/",Sync!$P1809)+1,20),FIND("/",MID(Sync!$P1809,FIND("/",Sync!$P1809)+1,20))-1))),"")))</f>
        <v/>
      </c>
      <c r="AH1809">
        <f>IF(OR($AE1809="",$AF1809=""),"",IF(ISNUMBER(Sync!$P1809),MOD(Sync!$P1809,100),IFERROR(VALUE(TRIM(MID(MID(Sync!$P1809,FIND("/",Sync!$P1809)+1,20),FIND("/",MID(Sync!$P1809,FIND("/",Sync!$P1809)+1,20))+1,20))),"")))</f>
        <v/>
      </c>
      <c r="AI1809">
        <f>IF($AE1809="","",IF(OR($AF1809="",$AG1809="",$AH1809="",$AF1809&lt;1300,$AF1809&gt;1500,$AG1809&lt;1,$AG1809&gt;12,$AH1809&lt;1,$AH1809&gt;31),"نامعتبر",RIGHT("0000"&amp;$AF1809,4)&amp;"/"&amp;RIGHT("00"&amp;$AG1809,2)&amp;"/"&amp;RIGHT("00"&amp;$AH1809,2)))</f>
        <v/>
      </c>
      <c r="AJ1809">
        <f>IF($AE1809="","",IF(Sync!$Q1809="","0000",IF(AND(ISNUMBER(Sync!$Q1809),Sync!$Q1809&gt;=0,Sync!$Q1809&lt;1),RIGHT("00"&amp;HOUR(Sync!$Q1809),2)&amp;RIGHT("00"&amp;MINUTE(Sync!$Q1809),2),IFERROR(RIGHT("00"&amp;VALUE(LEFT(Sync!$Q1809,FIND(":",Sync!$Q1809)-1)),2)&amp;RIGHT("00"&amp;VALUE(MID(Sync!$Q1809,FIND(":",Sync!$Q1809)+1,2)),2),"0000"))))</f>
        <v/>
      </c>
      <c r="AK1809">
        <f>IF(OR($AE1809="",$AI1809="",$AI1809="نامعتبر"),"",LEFT($AI1809,4)&amp;MID($AI1809,6,2)&amp;RIGHT($AI1809,2)&amp;$AJ1809&amp;"|"&amp;"3"&amp;RIGHT("00000"&amp;1804,5))</f>
        <v/>
      </c>
      <c r="AL1809">
        <f>IF($AK1809="","",COUNTIFS(LdAParty,$AE1809,LdAType,1,LdAKey,"&lt;"&amp;$AK1809)+COUNTIFS(LdBMember,$AE1809,LdBKey,"&lt;"&amp;$AK1809)+COUNTIFS(LdCParty,$AE1809,LdCKey,"&lt;"&amp;$AK1809)+1)</f>
        <v/>
      </c>
      <c r="AM1809">
        <f>IF($AL1809="","",$AE1809&amp;"|"&amp;RIGHT("000000"&amp;$AL1809,6))</f>
        <v/>
      </c>
      <c r="AN1809">
        <f>IF($AE1809="","",IF(Sync!$W1809="",0,Sync!$W1809))</f>
        <v/>
      </c>
      <c r="AO1809">
        <f>IF($AE1809="","",IF(Sync!$X1809="",0,Sync!$X1809))</f>
        <v/>
      </c>
      <c r="AP1809">
        <f>IF($AE1809="","",Sync!$R1809)</f>
        <v/>
      </c>
      <c r="AQ1809">
        <f>IF($AE1809="","",Sync!$Y1809)</f>
        <v/>
      </c>
    </row>
    <row r="1810">
      <c r="A1810">
        <f>IF(OR(Wages!$B1813="",Wages!$E1813=""),"",Wages!$E1813)</f>
        <v/>
      </c>
      <c r="B1810">
        <f>IF($A1810="","",IF(Wages!$C1813="دستمزد گروهی",2,1))</f>
        <v/>
      </c>
      <c r="C1810">
        <f>IF($A1810="","",IF(ISNUMBER(Wages!$B1813),IF(AND(Wages!$B1813&gt;=10000101,Wages!$B1813&lt;=99991231),INT(Wages!$B1813/10000),""),IFERROR(VALUE(TRIM(LEFT(Wages!$B1813,FIND("/",Wages!$B1813)-1))),"")))</f>
        <v/>
      </c>
      <c r="D1810">
        <f>IF(OR($A1810="",$C1810=""),"",IF(ISNUMBER(Wages!$B1813),INT(MOD(Wages!$B1813,10000)/100),IFERROR(VALUE(TRIM(LEFT(MID(Wages!$B1813,FIND("/",Wages!$B1813)+1,20),FIND("/",MID(Wages!$B1813,FIND("/",Wages!$B1813)+1,20))-1))),"")))</f>
        <v/>
      </c>
      <c r="E1810">
        <f>IF(OR($A1810="",$C1810=""),"",IF(ISNUMBER(Wages!$B1813),MOD(Wages!$B1813,100),IFERROR(VALUE(TRIM(MID(MID(Wages!$B1813,FIND("/",Wages!$B1813)+1,20),FIND("/",MID(Wages!$B1813,FIND("/",Wages!$B1813)+1,20))+1,20))),"")))</f>
        <v/>
      </c>
      <c r="F1810">
        <f>IF($A1810="","",IF(OR($C1810="",$D1810="",$E1810="",$C1810&lt;1300,$C1810&gt;1500,$D1810&lt;1,$D1810&gt;12,$E1810&lt;1,$E1810&gt;31),"نامعتبر",RIGHT("0000"&amp;$C1810,4)&amp;"/"&amp;RIGHT("00"&amp;$D1810,2)&amp;"/"&amp;RIGHT("00"&amp;$E1810,2)))</f>
        <v/>
      </c>
      <c r="G1810">
        <f>IF(OR($A1810="",$F1810="",$F1810="نامعتبر"),"",LEFT($F1810,4)&amp;MID($F1810,6,2)&amp;RIGHT($F1810,2)&amp;"0000"&amp;"|"&amp;"1"&amp;RIGHT("00000"&amp;1805,5))</f>
        <v/>
      </c>
      <c r="H1810">
        <f>IF(OR($B1810&lt;&gt;1,$G1810=""),"",COUNTIFS(LdAParty,$A1810,LdAType,1,LdAKey,"&lt;"&amp;$G1810)+COUNTIFS(LdBMember,$A1810,LdBKey,"&lt;"&amp;$G1810)+COUNTIFS(LdCParty,$A1810,LdCKey,"&lt;"&amp;$G1810)+1)</f>
        <v/>
      </c>
      <c r="I1810">
        <f>IF($H1810="","",$A1810&amp;"|"&amp;RIGHT("000000"&amp;$H1810,6))</f>
        <v/>
      </c>
      <c r="J1810">
        <f>IF(OR($B1810&lt;&gt;2,$G1810=""),"",COUNTIFS(LdAParty,$A1810,LdAType,2,LdAKey,"&lt;"&amp;$G1810)+1)</f>
        <v/>
      </c>
      <c r="K1810">
        <f>IF($J1810="","",$A1810&amp;"|"&amp;RIGHT("000000"&amp;$J1810,6))</f>
        <v/>
      </c>
      <c r="L1810">
        <f>IF($A1810="","",IF(Wages!$G1813="",0,Wages!$G1813))</f>
        <v/>
      </c>
      <c r="M1810">
        <f>IF($A1810="","",Wages!$J1813)</f>
        <v/>
      </c>
      <c r="N1810">
        <f>IF($A1810="","",Wages!$D1813)</f>
        <v/>
      </c>
      <c r="P1810">
        <f>IF(OR(Shares!$B1813="",Shares!$C1813=""),"",Shares!$C1813)</f>
        <v/>
      </c>
      <c r="Q1810">
        <f>IF($P1810="","",Shares!$B1813)</f>
        <v/>
      </c>
      <c r="R1810">
        <f>IF($P1810="","",IFERROR(INDEX(WageParty,MATCH($Q1810,WageIds,0)),""))</f>
        <v/>
      </c>
      <c r="S1810">
        <f>IF($P1810="","",IFERROR(INDEX($F$6:$F$2005,MATCH($Q1810,WageIds,0)),""))</f>
        <v/>
      </c>
      <c r="T1810">
        <f>IF(OR($P1810="",$S1810="",$S1810="نامعتبر"),"",LEFT($S1810,4)&amp;MID($S1810,6,2)&amp;RIGHT($S1810,2)&amp;"0000"&amp;"|"&amp;"2"&amp;RIGHT("00000"&amp;1805,5))</f>
        <v/>
      </c>
      <c r="U1810">
        <f>IF($T1810="","",COUNTIFS(LdAParty,$P1810,LdAType,1,LdAKey,"&lt;"&amp;$T1810)+COUNTIFS(LdBMember,$P1810,LdBKey,"&lt;"&amp;$T1810)+COUNTIFS(LdCParty,$P1810,LdCKey,"&lt;"&amp;$T1810)+1)</f>
        <v/>
      </c>
      <c r="V1810">
        <f>IF($U1810="","",$P1810&amp;"|"&amp;RIGHT("000000"&amp;$U1810,6))</f>
        <v/>
      </c>
      <c r="W1810">
        <f>IF($T1810="","",COUNTIFS(LdBGroup,$R1810,LdBKey,"&lt;"&amp;$T1810)+1)</f>
        <v/>
      </c>
      <c r="X1810">
        <f>IF($W1810="","",$R1810&amp;"|"&amp;RIGHT("000000"&amp;$W1810,6))</f>
        <v/>
      </c>
      <c r="Y1810">
        <f>IF($P1810="","",IF(Shares!$E1813="",0,Shares!$E1813))</f>
        <v/>
      </c>
      <c r="Z1810">
        <f>IF($P1810="","",Shares!$H1813)</f>
        <v/>
      </c>
      <c r="AE1810">
        <f>IF(OR(Sync!$S1810="",Sync!$P1810=""),"",Sync!$S1810)</f>
        <v/>
      </c>
      <c r="AF1810">
        <f>IF($AE1810="","",IF(ISNUMBER(Sync!$P1810),IF(AND(Sync!$P1810&gt;=10000101,Sync!$P1810&lt;=99991231),INT(Sync!$P1810/10000),""),IFERROR(VALUE(TRIM(LEFT(Sync!$P1810,FIND("/",Sync!$P1810)-1))),"")))</f>
        <v/>
      </c>
      <c r="AG1810">
        <f>IF(OR($AE1810="",$AF1810=""),"",IF(ISNUMBER(Sync!$P1810),INT(MOD(Sync!$P1810,10000)/100),IFERROR(VALUE(TRIM(LEFT(MID(Sync!$P1810,FIND("/",Sync!$P1810)+1,20),FIND("/",MID(Sync!$P1810,FIND("/",Sync!$P1810)+1,20))-1))),"")))</f>
        <v/>
      </c>
      <c r="AH1810">
        <f>IF(OR($AE1810="",$AF1810=""),"",IF(ISNUMBER(Sync!$P1810),MOD(Sync!$P1810,100),IFERROR(VALUE(TRIM(MID(MID(Sync!$P1810,FIND("/",Sync!$P1810)+1,20),FIND("/",MID(Sync!$P1810,FIND("/",Sync!$P1810)+1,20))+1,20))),"")))</f>
        <v/>
      </c>
      <c r="AI1810">
        <f>IF($AE1810="","",IF(OR($AF1810="",$AG1810="",$AH1810="",$AF1810&lt;1300,$AF1810&gt;1500,$AG1810&lt;1,$AG1810&gt;12,$AH1810&lt;1,$AH1810&gt;31),"نامعتبر",RIGHT("0000"&amp;$AF1810,4)&amp;"/"&amp;RIGHT("00"&amp;$AG1810,2)&amp;"/"&amp;RIGHT("00"&amp;$AH1810,2)))</f>
        <v/>
      </c>
      <c r="AJ1810">
        <f>IF($AE1810="","",IF(Sync!$Q1810="","0000",IF(AND(ISNUMBER(Sync!$Q1810),Sync!$Q1810&gt;=0,Sync!$Q1810&lt;1),RIGHT("00"&amp;HOUR(Sync!$Q1810),2)&amp;RIGHT("00"&amp;MINUTE(Sync!$Q1810),2),IFERROR(RIGHT("00"&amp;VALUE(LEFT(Sync!$Q1810,FIND(":",Sync!$Q1810)-1)),2)&amp;RIGHT("00"&amp;VALUE(MID(Sync!$Q1810,FIND(":",Sync!$Q1810)+1,2)),2),"0000"))))</f>
        <v/>
      </c>
      <c r="AK1810">
        <f>IF(OR($AE1810="",$AI1810="",$AI1810="نامعتبر"),"",LEFT($AI1810,4)&amp;MID($AI1810,6,2)&amp;RIGHT($AI1810,2)&amp;$AJ1810&amp;"|"&amp;"3"&amp;RIGHT("00000"&amp;1805,5))</f>
        <v/>
      </c>
      <c r="AL1810">
        <f>IF($AK1810="","",COUNTIFS(LdAParty,$AE1810,LdAType,1,LdAKey,"&lt;"&amp;$AK1810)+COUNTIFS(LdBMember,$AE1810,LdBKey,"&lt;"&amp;$AK1810)+COUNTIFS(LdCParty,$AE1810,LdCKey,"&lt;"&amp;$AK1810)+1)</f>
        <v/>
      </c>
      <c r="AM1810">
        <f>IF($AL1810="","",$AE1810&amp;"|"&amp;RIGHT("000000"&amp;$AL1810,6))</f>
        <v/>
      </c>
      <c r="AN1810">
        <f>IF($AE1810="","",IF(Sync!$W1810="",0,Sync!$W1810))</f>
        <v/>
      </c>
      <c r="AO1810">
        <f>IF($AE1810="","",IF(Sync!$X1810="",0,Sync!$X1810))</f>
        <v/>
      </c>
      <c r="AP1810">
        <f>IF($AE1810="","",Sync!$R1810)</f>
        <v/>
      </c>
      <c r="AQ1810">
        <f>IF($AE1810="","",Sync!$Y1810)</f>
        <v/>
      </c>
    </row>
    <row r="1811">
      <c r="A1811">
        <f>IF(OR(Wages!$B1814="",Wages!$E1814=""),"",Wages!$E1814)</f>
        <v/>
      </c>
      <c r="B1811">
        <f>IF($A1811="","",IF(Wages!$C1814="دستمزد گروهی",2,1))</f>
        <v/>
      </c>
      <c r="C1811">
        <f>IF($A1811="","",IF(ISNUMBER(Wages!$B1814),IF(AND(Wages!$B1814&gt;=10000101,Wages!$B1814&lt;=99991231),INT(Wages!$B1814/10000),""),IFERROR(VALUE(TRIM(LEFT(Wages!$B1814,FIND("/",Wages!$B1814)-1))),"")))</f>
        <v/>
      </c>
      <c r="D1811">
        <f>IF(OR($A1811="",$C1811=""),"",IF(ISNUMBER(Wages!$B1814),INT(MOD(Wages!$B1814,10000)/100),IFERROR(VALUE(TRIM(LEFT(MID(Wages!$B1814,FIND("/",Wages!$B1814)+1,20),FIND("/",MID(Wages!$B1814,FIND("/",Wages!$B1814)+1,20))-1))),"")))</f>
        <v/>
      </c>
      <c r="E1811">
        <f>IF(OR($A1811="",$C1811=""),"",IF(ISNUMBER(Wages!$B1814),MOD(Wages!$B1814,100),IFERROR(VALUE(TRIM(MID(MID(Wages!$B1814,FIND("/",Wages!$B1814)+1,20),FIND("/",MID(Wages!$B1814,FIND("/",Wages!$B1814)+1,20))+1,20))),"")))</f>
        <v/>
      </c>
      <c r="F1811">
        <f>IF($A1811="","",IF(OR($C1811="",$D1811="",$E1811="",$C1811&lt;1300,$C1811&gt;1500,$D1811&lt;1,$D1811&gt;12,$E1811&lt;1,$E1811&gt;31),"نامعتبر",RIGHT("0000"&amp;$C1811,4)&amp;"/"&amp;RIGHT("00"&amp;$D1811,2)&amp;"/"&amp;RIGHT("00"&amp;$E1811,2)))</f>
        <v/>
      </c>
      <c r="G1811">
        <f>IF(OR($A1811="",$F1811="",$F1811="نامعتبر"),"",LEFT($F1811,4)&amp;MID($F1811,6,2)&amp;RIGHT($F1811,2)&amp;"0000"&amp;"|"&amp;"1"&amp;RIGHT("00000"&amp;1806,5))</f>
        <v/>
      </c>
      <c r="H1811">
        <f>IF(OR($B1811&lt;&gt;1,$G1811=""),"",COUNTIFS(LdAParty,$A1811,LdAType,1,LdAKey,"&lt;"&amp;$G1811)+COUNTIFS(LdBMember,$A1811,LdBKey,"&lt;"&amp;$G1811)+COUNTIFS(LdCParty,$A1811,LdCKey,"&lt;"&amp;$G1811)+1)</f>
        <v/>
      </c>
      <c r="I1811">
        <f>IF($H1811="","",$A1811&amp;"|"&amp;RIGHT("000000"&amp;$H1811,6))</f>
        <v/>
      </c>
      <c r="J1811">
        <f>IF(OR($B1811&lt;&gt;2,$G1811=""),"",COUNTIFS(LdAParty,$A1811,LdAType,2,LdAKey,"&lt;"&amp;$G1811)+1)</f>
        <v/>
      </c>
      <c r="K1811">
        <f>IF($J1811="","",$A1811&amp;"|"&amp;RIGHT("000000"&amp;$J1811,6))</f>
        <v/>
      </c>
      <c r="L1811">
        <f>IF($A1811="","",IF(Wages!$G1814="",0,Wages!$G1814))</f>
        <v/>
      </c>
      <c r="M1811">
        <f>IF($A1811="","",Wages!$J1814)</f>
        <v/>
      </c>
      <c r="N1811">
        <f>IF($A1811="","",Wages!$D1814)</f>
        <v/>
      </c>
      <c r="P1811">
        <f>IF(OR(Shares!$B1814="",Shares!$C1814=""),"",Shares!$C1814)</f>
        <v/>
      </c>
      <c r="Q1811">
        <f>IF($P1811="","",Shares!$B1814)</f>
        <v/>
      </c>
      <c r="R1811">
        <f>IF($P1811="","",IFERROR(INDEX(WageParty,MATCH($Q1811,WageIds,0)),""))</f>
        <v/>
      </c>
      <c r="S1811">
        <f>IF($P1811="","",IFERROR(INDEX($F$6:$F$2005,MATCH($Q1811,WageIds,0)),""))</f>
        <v/>
      </c>
      <c r="T1811">
        <f>IF(OR($P1811="",$S1811="",$S1811="نامعتبر"),"",LEFT($S1811,4)&amp;MID($S1811,6,2)&amp;RIGHT($S1811,2)&amp;"0000"&amp;"|"&amp;"2"&amp;RIGHT("00000"&amp;1806,5))</f>
        <v/>
      </c>
      <c r="U1811">
        <f>IF($T1811="","",COUNTIFS(LdAParty,$P1811,LdAType,1,LdAKey,"&lt;"&amp;$T1811)+COUNTIFS(LdBMember,$P1811,LdBKey,"&lt;"&amp;$T1811)+COUNTIFS(LdCParty,$P1811,LdCKey,"&lt;"&amp;$T1811)+1)</f>
        <v/>
      </c>
      <c r="V1811">
        <f>IF($U1811="","",$P1811&amp;"|"&amp;RIGHT("000000"&amp;$U1811,6))</f>
        <v/>
      </c>
      <c r="W1811">
        <f>IF($T1811="","",COUNTIFS(LdBGroup,$R1811,LdBKey,"&lt;"&amp;$T1811)+1)</f>
        <v/>
      </c>
      <c r="X1811">
        <f>IF($W1811="","",$R1811&amp;"|"&amp;RIGHT("000000"&amp;$W1811,6))</f>
        <v/>
      </c>
      <c r="Y1811">
        <f>IF($P1811="","",IF(Shares!$E1814="",0,Shares!$E1814))</f>
        <v/>
      </c>
      <c r="Z1811">
        <f>IF($P1811="","",Shares!$H1814)</f>
        <v/>
      </c>
      <c r="AE1811">
        <f>IF(OR(Sync!$S1811="",Sync!$P1811=""),"",Sync!$S1811)</f>
        <v/>
      </c>
      <c r="AF1811">
        <f>IF($AE1811="","",IF(ISNUMBER(Sync!$P1811),IF(AND(Sync!$P1811&gt;=10000101,Sync!$P1811&lt;=99991231),INT(Sync!$P1811/10000),""),IFERROR(VALUE(TRIM(LEFT(Sync!$P1811,FIND("/",Sync!$P1811)-1))),"")))</f>
        <v/>
      </c>
      <c r="AG1811">
        <f>IF(OR($AE1811="",$AF1811=""),"",IF(ISNUMBER(Sync!$P1811),INT(MOD(Sync!$P1811,10000)/100),IFERROR(VALUE(TRIM(LEFT(MID(Sync!$P1811,FIND("/",Sync!$P1811)+1,20),FIND("/",MID(Sync!$P1811,FIND("/",Sync!$P1811)+1,20))-1))),"")))</f>
        <v/>
      </c>
      <c r="AH1811">
        <f>IF(OR($AE1811="",$AF1811=""),"",IF(ISNUMBER(Sync!$P1811),MOD(Sync!$P1811,100),IFERROR(VALUE(TRIM(MID(MID(Sync!$P1811,FIND("/",Sync!$P1811)+1,20),FIND("/",MID(Sync!$P1811,FIND("/",Sync!$P1811)+1,20))+1,20))),"")))</f>
        <v/>
      </c>
      <c r="AI1811">
        <f>IF($AE1811="","",IF(OR($AF1811="",$AG1811="",$AH1811="",$AF1811&lt;1300,$AF1811&gt;1500,$AG1811&lt;1,$AG1811&gt;12,$AH1811&lt;1,$AH1811&gt;31),"نامعتبر",RIGHT("0000"&amp;$AF1811,4)&amp;"/"&amp;RIGHT("00"&amp;$AG1811,2)&amp;"/"&amp;RIGHT("00"&amp;$AH1811,2)))</f>
        <v/>
      </c>
      <c r="AJ1811">
        <f>IF($AE1811="","",IF(Sync!$Q1811="","0000",IF(AND(ISNUMBER(Sync!$Q1811),Sync!$Q1811&gt;=0,Sync!$Q1811&lt;1),RIGHT("00"&amp;HOUR(Sync!$Q1811),2)&amp;RIGHT("00"&amp;MINUTE(Sync!$Q1811),2),IFERROR(RIGHT("00"&amp;VALUE(LEFT(Sync!$Q1811,FIND(":",Sync!$Q1811)-1)),2)&amp;RIGHT("00"&amp;VALUE(MID(Sync!$Q1811,FIND(":",Sync!$Q1811)+1,2)),2),"0000"))))</f>
        <v/>
      </c>
      <c r="AK1811">
        <f>IF(OR($AE1811="",$AI1811="",$AI1811="نامعتبر"),"",LEFT($AI1811,4)&amp;MID($AI1811,6,2)&amp;RIGHT($AI1811,2)&amp;$AJ1811&amp;"|"&amp;"3"&amp;RIGHT("00000"&amp;1806,5))</f>
        <v/>
      </c>
      <c r="AL1811">
        <f>IF($AK1811="","",COUNTIFS(LdAParty,$AE1811,LdAType,1,LdAKey,"&lt;"&amp;$AK1811)+COUNTIFS(LdBMember,$AE1811,LdBKey,"&lt;"&amp;$AK1811)+COUNTIFS(LdCParty,$AE1811,LdCKey,"&lt;"&amp;$AK1811)+1)</f>
        <v/>
      </c>
      <c r="AM1811">
        <f>IF($AL1811="","",$AE1811&amp;"|"&amp;RIGHT("000000"&amp;$AL1811,6))</f>
        <v/>
      </c>
      <c r="AN1811">
        <f>IF($AE1811="","",IF(Sync!$W1811="",0,Sync!$W1811))</f>
        <v/>
      </c>
      <c r="AO1811">
        <f>IF($AE1811="","",IF(Sync!$X1811="",0,Sync!$X1811))</f>
        <v/>
      </c>
      <c r="AP1811">
        <f>IF($AE1811="","",Sync!$R1811)</f>
        <v/>
      </c>
      <c r="AQ1811">
        <f>IF($AE1811="","",Sync!$Y1811)</f>
        <v/>
      </c>
    </row>
    <row r="1812">
      <c r="A1812">
        <f>IF(OR(Wages!$B1815="",Wages!$E1815=""),"",Wages!$E1815)</f>
        <v/>
      </c>
      <c r="B1812">
        <f>IF($A1812="","",IF(Wages!$C1815="دستمزد گروهی",2,1))</f>
        <v/>
      </c>
      <c r="C1812">
        <f>IF($A1812="","",IF(ISNUMBER(Wages!$B1815),IF(AND(Wages!$B1815&gt;=10000101,Wages!$B1815&lt;=99991231),INT(Wages!$B1815/10000),""),IFERROR(VALUE(TRIM(LEFT(Wages!$B1815,FIND("/",Wages!$B1815)-1))),"")))</f>
        <v/>
      </c>
      <c r="D1812">
        <f>IF(OR($A1812="",$C1812=""),"",IF(ISNUMBER(Wages!$B1815),INT(MOD(Wages!$B1815,10000)/100),IFERROR(VALUE(TRIM(LEFT(MID(Wages!$B1815,FIND("/",Wages!$B1815)+1,20),FIND("/",MID(Wages!$B1815,FIND("/",Wages!$B1815)+1,20))-1))),"")))</f>
        <v/>
      </c>
      <c r="E1812">
        <f>IF(OR($A1812="",$C1812=""),"",IF(ISNUMBER(Wages!$B1815),MOD(Wages!$B1815,100),IFERROR(VALUE(TRIM(MID(MID(Wages!$B1815,FIND("/",Wages!$B1815)+1,20),FIND("/",MID(Wages!$B1815,FIND("/",Wages!$B1815)+1,20))+1,20))),"")))</f>
        <v/>
      </c>
      <c r="F1812">
        <f>IF($A1812="","",IF(OR($C1812="",$D1812="",$E1812="",$C1812&lt;1300,$C1812&gt;1500,$D1812&lt;1,$D1812&gt;12,$E1812&lt;1,$E1812&gt;31),"نامعتبر",RIGHT("0000"&amp;$C1812,4)&amp;"/"&amp;RIGHT("00"&amp;$D1812,2)&amp;"/"&amp;RIGHT("00"&amp;$E1812,2)))</f>
        <v/>
      </c>
      <c r="G1812">
        <f>IF(OR($A1812="",$F1812="",$F1812="نامعتبر"),"",LEFT($F1812,4)&amp;MID($F1812,6,2)&amp;RIGHT($F1812,2)&amp;"0000"&amp;"|"&amp;"1"&amp;RIGHT("00000"&amp;1807,5))</f>
        <v/>
      </c>
      <c r="H1812">
        <f>IF(OR($B1812&lt;&gt;1,$G1812=""),"",COUNTIFS(LdAParty,$A1812,LdAType,1,LdAKey,"&lt;"&amp;$G1812)+COUNTIFS(LdBMember,$A1812,LdBKey,"&lt;"&amp;$G1812)+COUNTIFS(LdCParty,$A1812,LdCKey,"&lt;"&amp;$G1812)+1)</f>
        <v/>
      </c>
      <c r="I1812">
        <f>IF($H1812="","",$A1812&amp;"|"&amp;RIGHT("000000"&amp;$H1812,6))</f>
        <v/>
      </c>
      <c r="J1812">
        <f>IF(OR($B1812&lt;&gt;2,$G1812=""),"",COUNTIFS(LdAParty,$A1812,LdAType,2,LdAKey,"&lt;"&amp;$G1812)+1)</f>
        <v/>
      </c>
      <c r="K1812">
        <f>IF($J1812="","",$A1812&amp;"|"&amp;RIGHT("000000"&amp;$J1812,6))</f>
        <v/>
      </c>
      <c r="L1812">
        <f>IF($A1812="","",IF(Wages!$G1815="",0,Wages!$G1815))</f>
        <v/>
      </c>
      <c r="M1812">
        <f>IF($A1812="","",Wages!$J1815)</f>
        <v/>
      </c>
      <c r="N1812">
        <f>IF($A1812="","",Wages!$D1815)</f>
        <v/>
      </c>
      <c r="P1812">
        <f>IF(OR(Shares!$B1815="",Shares!$C1815=""),"",Shares!$C1815)</f>
        <v/>
      </c>
      <c r="Q1812">
        <f>IF($P1812="","",Shares!$B1815)</f>
        <v/>
      </c>
      <c r="R1812">
        <f>IF($P1812="","",IFERROR(INDEX(WageParty,MATCH($Q1812,WageIds,0)),""))</f>
        <v/>
      </c>
      <c r="S1812">
        <f>IF($P1812="","",IFERROR(INDEX($F$6:$F$2005,MATCH($Q1812,WageIds,0)),""))</f>
        <v/>
      </c>
      <c r="T1812">
        <f>IF(OR($P1812="",$S1812="",$S1812="نامعتبر"),"",LEFT($S1812,4)&amp;MID($S1812,6,2)&amp;RIGHT($S1812,2)&amp;"0000"&amp;"|"&amp;"2"&amp;RIGHT("00000"&amp;1807,5))</f>
        <v/>
      </c>
      <c r="U1812">
        <f>IF($T1812="","",COUNTIFS(LdAParty,$P1812,LdAType,1,LdAKey,"&lt;"&amp;$T1812)+COUNTIFS(LdBMember,$P1812,LdBKey,"&lt;"&amp;$T1812)+COUNTIFS(LdCParty,$P1812,LdCKey,"&lt;"&amp;$T1812)+1)</f>
        <v/>
      </c>
      <c r="V1812">
        <f>IF($U1812="","",$P1812&amp;"|"&amp;RIGHT("000000"&amp;$U1812,6))</f>
        <v/>
      </c>
      <c r="W1812">
        <f>IF($T1812="","",COUNTIFS(LdBGroup,$R1812,LdBKey,"&lt;"&amp;$T1812)+1)</f>
        <v/>
      </c>
      <c r="X1812">
        <f>IF($W1812="","",$R1812&amp;"|"&amp;RIGHT("000000"&amp;$W1812,6))</f>
        <v/>
      </c>
      <c r="Y1812">
        <f>IF($P1812="","",IF(Shares!$E1815="",0,Shares!$E1815))</f>
        <v/>
      </c>
      <c r="Z1812">
        <f>IF($P1812="","",Shares!$H1815)</f>
        <v/>
      </c>
      <c r="AE1812">
        <f>IF(OR(Sync!$S1812="",Sync!$P1812=""),"",Sync!$S1812)</f>
        <v/>
      </c>
      <c r="AF1812">
        <f>IF($AE1812="","",IF(ISNUMBER(Sync!$P1812),IF(AND(Sync!$P1812&gt;=10000101,Sync!$P1812&lt;=99991231),INT(Sync!$P1812/10000),""),IFERROR(VALUE(TRIM(LEFT(Sync!$P1812,FIND("/",Sync!$P1812)-1))),"")))</f>
        <v/>
      </c>
      <c r="AG1812">
        <f>IF(OR($AE1812="",$AF1812=""),"",IF(ISNUMBER(Sync!$P1812),INT(MOD(Sync!$P1812,10000)/100),IFERROR(VALUE(TRIM(LEFT(MID(Sync!$P1812,FIND("/",Sync!$P1812)+1,20),FIND("/",MID(Sync!$P1812,FIND("/",Sync!$P1812)+1,20))-1))),"")))</f>
        <v/>
      </c>
      <c r="AH1812">
        <f>IF(OR($AE1812="",$AF1812=""),"",IF(ISNUMBER(Sync!$P1812),MOD(Sync!$P1812,100),IFERROR(VALUE(TRIM(MID(MID(Sync!$P1812,FIND("/",Sync!$P1812)+1,20),FIND("/",MID(Sync!$P1812,FIND("/",Sync!$P1812)+1,20))+1,20))),"")))</f>
        <v/>
      </c>
      <c r="AI1812">
        <f>IF($AE1812="","",IF(OR($AF1812="",$AG1812="",$AH1812="",$AF1812&lt;1300,$AF1812&gt;1500,$AG1812&lt;1,$AG1812&gt;12,$AH1812&lt;1,$AH1812&gt;31),"نامعتبر",RIGHT("0000"&amp;$AF1812,4)&amp;"/"&amp;RIGHT("00"&amp;$AG1812,2)&amp;"/"&amp;RIGHT("00"&amp;$AH1812,2)))</f>
        <v/>
      </c>
      <c r="AJ1812">
        <f>IF($AE1812="","",IF(Sync!$Q1812="","0000",IF(AND(ISNUMBER(Sync!$Q1812),Sync!$Q1812&gt;=0,Sync!$Q1812&lt;1),RIGHT("00"&amp;HOUR(Sync!$Q1812),2)&amp;RIGHT("00"&amp;MINUTE(Sync!$Q1812),2),IFERROR(RIGHT("00"&amp;VALUE(LEFT(Sync!$Q1812,FIND(":",Sync!$Q1812)-1)),2)&amp;RIGHT("00"&amp;VALUE(MID(Sync!$Q1812,FIND(":",Sync!$Q1812)+1,2)),2),"0000"))))</f>
        <v/>
      </c>
      <c r="AK1812">
        <f>IF(OR($AE1812="",$AI1812="",$AI1812="نامعتبر"),"",LEFT($AI1812,4)&amp;MID($AI1812,6,2)&amp;RIGHT($AI1812,2)&amp;$AJ1812&amp;"|"&amp;"3"&amp;RIGHT("00000"&amp;1807,5))</f>
        <v/>
      </c>
      <c r="AL1812">
        <f>IF($AK1812="","",COUNTIFS(LdAParty,$AE1812,LdAType,1,LdAKey,"&lt;"&amp;$AK1812)+COUNTIFS(LdBMember,$AE1812,LdBKey,"&lt;"&amp;$AK1812)+COUNTIFS(LdCParty,$AE1812,LdCKey,"&lt;"&amp;$AK1812)+1)</f>
        <v/>
      </c>
      <c r="AM1812">
        <f>IF($AL1812="","",$AE1812&amp;"|"&amp;RIGHT("000000"&amp;$AL1812,6))</f>
        <v/>
      </c>
      <c r="AN1812">
        <f>IF($AE1812="","",IF(Sync!$W1812="",0,Sync!$W1812))</f>
        <v/>
      </c>
      <c r="AO1812">
        <f>IF($AE1812="","",IF(Sync!$X1812="",0,Sync!$X1812))</f>
        <v/>
      </c>
      <c r="AP1812">
        <f>IF($AE1812="","",Sync!$R1812)</f>
        <v/>
      </c>
      <c r="AQ1812">
        <f>IF($AE1812="","",Sync!$Y1812)</f>
        <v/>
      </c>
    </row>
    <row r="1813">
      <c r="A1813">
        <f>IF(OR(Wages!$B1816="",Wages!$E1816=""),"",Wages!$E1816)</f>
        <v/>
      </c>
      <c r="B1813">
        <f>IF($A1813="","",IF(Wages!$C1816="دستمزد گروهی",2,1))</f>
        <v/>
      </c>
      <c r="C1813">
        <f>IF($A1813="","",IF(ISNUMBER(Wages!$B1816),IF(AND(Wages!$B1816&gt;=10000101,Wages!$B1816&lt;=99991231),INT(Wages!$B1816/10000),""),IFERROR(VALUE(TRIM(LEFT(Wages!$B1816,FIND("/",Wages!$B1816)-1))),"")))</f>
        <v/>
      </c>
      <c r="D1813">
        <f>IF(OR($A1813="",$C1813=""),"",IF(ISNUMBER(Wages!$B1816),INT(MOD(Wages!$B1816,10000)/100),IFERROR(VALUE(TRIM(LEFT(MID(Wages!$B1816,FIND("/",Wages!$B1816)+1,20),FIND("/",MID(Wages!$B1816,FIND("/",Wages!$B1816)+1,20))-1))),"")))</f>
        <v/>
      </c>
      <c r="E1813">
        <f>IF(OR($A1813="",$C1813=""),"",IF(ISNUMBER(Wages!$B1816),MOD(Wages!$B1816,100),IFERROR(VALUE(TRIM(MID(MID(Wages!$B1816,FIND("/",Wages!$B1816)+1,20),FIND("/",MID(Wages!$B1816,FIND("/",Wages!$B1816)+1,20))+1,20))),"")))</f>
        <v/>
      </c>
      <c r="F1813">
        <f>IF($A1813="","",IF(OR($C1813="",$D1813="",$E1813="",$C1813&lt;1300,$C1813&gt;1500,$D1813&lt;1,$D1813&gt;12,$E1813&lt;1,$E1813&gt;31),"نامعتبر",RIGHT("0000"&amp;$C1813,4)&amp;"/"&amp;RIGHT("00"&amp;$D1813,2)&amp;"/"&amp;RIGHT("00"&amp;$E1813,2)))</f>
        <v/>
      </c>
      <c r="G1813">
        <f>IF(OR($A1813="",$F1813="",$F1813="نامعتبر"),"",LEFT($F1813,4)&amp;MID($F1813,6,2)&amp;RIGHT($F1813,2)&amp;"0000"&amp;"|"&amp;"1"&amp;RIGHT("00000"&amp;1808,5))</f>
        <v/>
      </c>
      <c r="H1813">
        <f>IF(OR($B1813&lt;&gt;1,$G1813=""),"",COUNTIFS(LdAParty,$A1813,LdAType,1,LdAKey,"&lt;"&amp;$G1813)+COUNTIFS(LdBMember,$A1813,LdBKey,"&lt;"&amp;$G1813)+COUNTIFS(LdCParty,$A1813,LdCKey,"&lt;"&amp;$G1813)+1)</f>
        <v/>
      </c>
      <c r="I1813">
        <f>IF($H1813="","",$A1813&amp;"|"&amp;RIGHT("000000"&amp;$H1813,6))</f>
        <v/>
      </c>
      <c r="J1813">
        <f>IF(OR($B1813&lt;&gt;2,$G1813=""),"",COUNTIFS(LdAParty,$A1813,LdAType,2,LdAKey,"&lt;"&amp;$G1813)+1)</f>
        <v/>
      </c>
      <c r="K1813">
        <f>IF($J1813="","",$A1813&amp;"|"&amp;RIGHT("000000"&amp;$J1813,6))</f>
        <v/>
      </c>
      <c r="L1813">
        <f>IF($A1813="","",IF(Wages!$G1816="",0,Wages!$G1816))</f>
        <v/>
      </c>
      <c r="M1813">
        <f>IF($A1813="","",Wages!$J1816)</f>
        <v/>
      </c>
      <c r="N1813">
        <f>IF($A1813="","",Wages!$D1816)</f>
        <v/>
      </c>
      <c r="P1813">
        <f>IF(OR(Shares!$B1816="",Shares!$C1816=""),"",Shares!$C1816)</f>
        <v/>
      </c>
      <c r="Q1813">
        <f>IF($P1813="","",Shares!$B1816)</f>
        <v/>
      </c>
      <c r="R1813">
        <f>IF($P1813="","",IFERROR(INDEX(WageParty,MATCH($Q1813,WageIds,0)),""))</f>
        <v/>
      </c>
      <c r="S1813">
        <f>IF($P1813="","",IFERROR(INDEX($F$6:$F$2005,MATCH($Q1813,WageIds,0)),""))</f>
        <v/>
      </c>
      <c r="T1813">
        <f>IF(OR($P1813="",$S1813="",$S1813="نامعتبر"),"",LEFT($S1813,4)&amp;MID($S1813,6,2)&amp;RIGHT($S1813,2)&amp;"0000"&amp;"|"&amp;"2"&amp;RIGHT("00000"&amp;1808,5))</f>
        <v/>
      </c>
      <c r="U1813">
        <f>IF($T1813="","",COUNTIFS(LdAParty,$P1813,LdAType,1,LdAKey,"&lt;"&amp;$T1813)+COUNTIFS(LdBMember,$P1813,LdBKey,"&lt;"&amp;$T1813)+COUNTIFS(LdCParty,$P1813,LdCKey,"&lt;"&amp;$T1813)+1)</f>
        <v/>
      </c>
      <c r="V1813">
        <f>IF($U1813="","",$P1813&amp;"|"&amp;RIGHT("000000"&amp;$U1813,6))</f>
        <v/>
      </c>
      <c r="W1813">
        <f>IF($T1813="","",COUNTIFS(LdBGroup,$R1813,LdBKey,"&lt;"&amp;$T1813)+1)</f>
        <v/>
      </c>
      <c r="X1813">
        <f>IF($W1813="","",$R1813&amp;"|"&amp;RIGHT("000000"&amp;$W1813,6))</f>
        <v/>
      </c>
      <c r="Y1813">
        <f>IF($P1813="","",IF(Shares!$E1816="",0,Shares!$E1816))</f>
        <v/>
      </c>
      <c r="Z1813">
        <f>IF($P1813="","",Shares!$H1816)</f>
        <v/>
      </c>
      <c r="AE1813">
        <f>IF(OR(Sync!$S1813="",Sync!$P1813=""),"",Sync!$S1813)</f>
        <v/>
      </c>
      <c r="AF1813">
        <f>IF($AE1813="","",IF(ISNUMBER(Sync!$P1813),IF(AND(Sync!$P1813&gt;=10000101,Sync!$P1813&lt;=99991231),INT(Sync!$P1813/10000),""),IFERROR(VALUE(TRIM(LEFT(Sync!$P1813,FIND("/",Sync!$P1813)-1))),"")))</f>
        <v/>
      </c>
      <c r="AG1813">
        <f>IF(OR($AE1813="",$AF1813=""),"",IF(ISNUMBER(Sync!$P1813),INT(MOD(Sync!$P1813,10000)/100),IFERROR(VALUE(TRIM(LEFT(MID(Sync!$P1813,FIND("/",Sync!$P1813)+1,20),FIND("/",MID(Sync!$P1813,FIND("/",Sync!$P1813)+1,20))-1))),"")))</f>
        <v/>
      </c>
      <c r="AH1813">
        <f>IF(OR($AE1813="",$AF1813=""),"",IF(ISNUMBER(Sync!$P1813),MOD(Sync!$P1813,100),IFERROR(VALUE(TRIM(MID(MID(Sync!$P1813,FIND("/",Sync!$P1813)+1,20),FIND("/",MID(Sync!$P1813,FIND("/",Sync!$P1813)+1,20))+1,20))),"")))</f>
        <v/>
      </c>
      <c r="AI1813">
        <f>IF($AE1813="","",IF(OR($AF1813="",$AG1813="",$AH1813="",$AF1813&lt;1300,$AF1813&gt;1500,$AG1813&lt;1,$AG1813&gt;12,$AH1813&lt;1,$AH1813&gt;31),"نامعتبر",RIGHT("0000"&amp;$AF1813,4)&amp;"/"&amp;RIGHT("00"&amp;$AG1813,2)&amp;"/"&amp;RIGHT("00"&amp;$AH1813,2)))</f>
        <v/>
      </c>
      <c r="AJ1813">
        <f>IF($AE1813="","",IF(Sync!$Q1813="","0000",IF(AND(ISNUMBER(Sync!$Q1813),Sync!$Q1813&gt;=0,Sync!$Q1813&lt;1),RIGHT("00"&amp;HOUR(Sync!$Q1813),2)&amp;RIGHT("00"&amp;MINUTE(Sync!$Q1813),2),IFERROR(RIGHT("00"&amp;VALUE(LEFT(Sync!$Q1813,FIND(":",Sync!$Q1813)-1)),2)&amp;RIGHT("00"&amp;VALUE(MID(Sync!$Q1813,FIND(":",Sync!$Q1813)+1,2)),2),"0000"))))</f>
        <v/>
      </c>
      <c r="AK1813">
        <f>IF(OR($AE1813="",$AI1813="",$AI1813="نامعتبر"),"",LEFT($AI1813,4)&amp;MID($AI1813,6,2)&amp;RIGHT($AI1813,2)&amp;$AJ1813&amp;"|"&amp;"3"&amp;RIGHT("00000"&amp;1808,5))</f>
        <v/>
      </c>
      <c r="AL1813">
        <f>IF($AK1813="","",COUNTIFS(LdAParty,$AE1813,LdAType,1,LdAKey,"&lt;"&amp;$AK1813)+COUNTIFS(LdBMember,$AE1813,LdBKey,"&lt;"&amp;$AK1813)+COUNTIFS(LdCParty,$AE1813,LdCKey,"&lt;"&amp;$AK1813)+1)</f>
        <v/>
      </c>
      <c r="AM1813">
        <f>IF($AL1813="","",$AE1813&amp;"|"&amp;RIGHT("000000"&amp;$AL1813,6))</f>
        <v/>
      </c>
      <c r="AN1813">
        <f>IF($AE1813="","",IF(Sync!$W1813="",0,Sync!$W1813))</f>
        <v/>
      </c>
      <c r="AO1813">
        <f>IF($AE1813="","",IF(Sync!$X1813="",0,Sync!$X1813))</f>
        <v/>
      </c>
      <c r="AP1813">
        <f>IF($AE1813="","",Sync!$R1813)</f>
        <v/>
      </c>
      <c r="AQ1813">
        <f>IF($AE1813="","",Sync!$Y1813)</f>
        <v/>
      </c>
    </row>
    <row r="1814">
      <c r="A1814">
        <f>IF(OR(Wages!$B1817="",Wages!$E1817=""),"",Wages!$E1817)</f>
        <v/>
      </c>
      <c r="B1814">
        <f>IF($A1814="","",IF(Wages!$C1817="دستمزد گروهی",2,1))</f>
        <v/>
      </c>
      <c r="C1814">
        <f>IF($A1814="","",IF(ISNUMBER(Wages!$B1817),IF(AND(Wages!$B1817&gt;=10000101,Wages!$B1817&lt;=99991231),INT(Wages!$B1817/10000),""),IFERROR(VALUE(TRIM(LEFT(Wages!$B1817,FIND("/",Wages!$B1817)-1))),"")))</f>
        <v/>
      </c>
      <c r="D1814">
        <f>IF(OR($A1814="",$C1814=""),"",IF(ISNUMBER(Wages!$B1817),INT(MOD(Wages!$B1817,10000)/100),IFERROR(VALUE(TRIM(LEFT(MID(Wages!$B1817,FIND("/",Wages!$B1817)+1,20),FIND("/",MID(Wages!$B1817,FIND("/",Wages!$B1817)+1,20))-1))),"")))</f>
        <v/>
      </c>
      <c r="E1814">
        <f>IF(OR($A1814="",$C1814=""),"",IF(ISNUMBER(Wages!$B1817),MOD(Wages!$B1817,100),IFERROR(VALUE(TRIM(MID(MID(Wages!$B1817,FIND("/",Wages!$B1817)+1,20),FIND("/",MID(Wages!$B1817,FIND("/",Wages!$B1817)+1,20))+1,20))),"")))</f>
        <v/>
      </c>
      <c r="F1814">
        <f>IF($A1814="","",IF(OR($C1814="",$D1814="",$E1814="",$C1814&lt;1300,$C1814&gt;1500,$D1814&lt;1,$D1814&gt;12,$E1814&lt;1,$E1814&gt;31),"نامعتبر",RIGHT("0000"&amp;$C1814,4)&amp;"/"&amp;RIGHT("00"&amp;$D1814,2)&amp;"/"&amp;RIGHT("00"&amp;$E1814,2)))</f>
        <v/>
      </c>
      <c r="G1814">
        <f>IF(OR($A1814="",$F1814="",$F1814="نامعتبر"),"",LEFT($F1814,4)&amp;MID($F1814,6,2)&amp;RIGHT($F1814,2)&amp;"0000"&amp;"|"&amp;"1"&amp;RIGHT("00000"&amp;1809,5))</f>
        <v/>
      </c>
      <c r="H1814">
        <f>IF(OR($B1814&lt;&gt;1,$G1814=""),"",COUNTIFS(LdAParty,$A1814,LdAType,1,LdAKey,"&lt;"&amp;$G1814)+COUNTIFS(LdBMember,$A1814,LdBKey,"&lt;"&amp;$G1814)+COUNTIFS(LdCParty,$A1814,LdCKey,"&lt;"&amp;$G1814)+1)</f>
        <v/>
      </c>
      <c r="I1814">
        <f>IF($H1814="","",$A1814&amp;"|"&amp;RIGHT("000000"&amp;$H1814,6))</f>
        <v/>
      </c>
      <c r="J1814">
        <f>IF(OR($B1814&lt;&gt;2,$G1814=""),"",COUNTIFS(LdAParty,$A1814,LdAType,2,LdAKey,"&lt;"&amp;$G1814)+1)</f>
        <v/>
      </c>
      <c r="K1814">
        <f>IF($J1814="","",$A1814&amp;"|"&amp;RIGHT("000000"&amp;$J1814,6))</f>
        <v/>
      </c>
      <c r="L1814">
        <f>IF($A1814="","",IF(Wages!$G1817="",0,Wages!$G1817))</f>
        <v/>
      </c>
      <c r="M1814">
        <f>IF($A1814="","",Wages!$J1817)</f>
        <v/>
      </c>
      <c r="N1814">
        <f>IF($A1814="","",Wages!$D1817)</f>
        <v/>
      </c>
      <c r="P1814">
        <f>IF(OR(Shares!$B1817="",Shares!$C1817=""),"",Shares!$C1817)</f>
        <v/>
      </c>
      <c r="Q1814">
        <f>IF($P1814="","",Shares!$B1817)</f>
        <v/>
      </c>
      <c r="R1814">
        <f>IF($P1814="","",IFERROR(INDEX(WageParty,MATCH($Q1814,WageIds,0)),""))</f>
        <v/>
      </c>
      <c r="S1814">
        <f>IF($P1814="","",IFERROR(INDEX($F$6:$F$2005,MATCH($Q1814,WageIds,0)),""))</f>
        <v/>
      </c>
      <c r="T1814">
        <f>IF(OR($P1814="",$S1814="",$S1814="نامعتبر"),"",LEFT($S1814,4)&amp;MID($S1814,6,2)&amp;RIGHT($S1814,2)&amp;"0000"&amp;"|"&amp;"2"&amp;RIGHT("00000"&amp;1809,5))</f>
        <v/>
      </c>
      <c r="U1814">
        <f>IF($T1814="","",COUNTIFS(LdAParty,$P1814,LdAType,1,LdAKey,"&lt;"&amp;$T1814)+COUNTIFS(LdBMember,$P1814,LdBKey,"&lt;"&amp;$T1814)+COUNTIFS(LdCParty,$P1814,LdCKey,"&lt;"&amp;$T1814)+1)</f>
        <v/>
      </c>
      <c r="V1814">
        <f>IF($U1814="","",$P1814&amp;"|"&amp;RIGHT("000000"&amp;$U1814,6))</f>
        <v/>
      </c>
      <c r="W1814">
        <f>IF($T1814="","",COUNTIFS(LdBGroup,$R1814,LdBKey,"&lt;"&amp;$T1814)+1)</f>
        <v/>
      </c>
      <c r="X1814">
        <f>IF($W1814="","",$R1814&amp;"|"&amp;RIGHT("000000"&amp;$W1814,6))</f>
        <v/>
      </c>
      <c r="Y1814">
        <f>IF($P1814="","",IF(Shares!$E1817="",0,Shares!$E1817))</f>
        <v/>
      </c>
      <c r="Z1814">
        <f>IF($P1814="","",Shares!$H1817)</f>
        <v/>
      </c>
      <c r="AE1814">
        <f>IF(OR(Sync!$S1814="",Sync!$P1814=""),"",Sync!$S1814)</f>
        <v/>
      </c>
      <c r="AF1814">
        <f>IF($AE1814="","",IF(ISNUMBER(Sync!$P1814),IF(AND(Sync!$P1814&gt;=10000101,Sync!$P1814&lt;=99991231),INT(Sync!$P1814/10000),""),IFERROR(VALUE(TRIM(LEFT(Sync!$P1814,FIND("/",Sync!$P1814)-1))),"")))</f>
        <v/>
      </c>
      <c r="AG1814">
        <f>IF(OR($AE1814="",$AF1814=""),"",IF(ISNUMBER(Sync!$P1814),INT(MOD(Sync!$P1814,10000)/100),IFERROR(VALUE(TRIM(LEFT(MID(Sync!$P1814,FIND("/",Sync!$P1814)+1,20),FIND("/",MID(Sync!$P1814,FIND("/",Sync!$P1814)+1,20))-1))),"")))</f>
        <v/>
      </c>
      <c r="AH1814">
        <f>IF(OR($AE1814="",$AF1814=""),"",IF(ISNUMBER(Sync!$P1814),MOD(Sync!$P1814,100),IFERROR(VALUE(TRIM(MID(MID(Sync!$P1814,FIND("/",Sync!$P1814)+1,20),FIND("/",MID(Sync!$P1814,FIND("/",Sync!$P1814)+1,20))+1,20))),"")))</f>
        <v/>
      </c>
      <c r="AI1814">
        <f>IF($AE1814="","",IF(OR($AF1814="",$AG1814="",$AH1814="",$AF1814&lt;1300,$AF1814&gt;1500,$AG1814&lt;1,$AG1814&gt;12,$AH1814&lt;1,$AH1814&gt;31),"نامعتبر",RIGHT("0000"&amp;$AF1814,4)&amp;"/"&amp;RIGHT("00"&amp;$AG1814,2)&amp;"/"&amp;RIGHT("00"&amp;$AH1814,2)))</f>
        <v/>
      </c>
      <c r="AJ1814">
        <f>IF($AE1814="","",IF(Sync!$Q1814="","0000",IF(AND(ISNUMBER(Sync!$Q1814),Sync!$Q1814&gt;=0,Sync!$Q1814&lt;1),RIGHT("00"&amp;HOUR(Sync!$Q1814),2)&amp;RIGHT("00"&amp;MINUTE(Sync!$Q1814),2),IFERROR(RIGHT("00"&amp;VALUE(LEFT(Sync!$Q1814,FIND(":",Sync!$Q1814)-1)),2)&amp;RIGHT("00"&amp;VALUE(MID(Sync!$Q1814,FIND(":",Sync!$Q1814)+1,2)),2),"0000"))))</f>
        <v/>
      </c>
      <c r="AK1814">
        <f>IF(OR($AE1814="",$AI1814="",$AI1814="نامعتبر"),"",LEFT($AI1814,4)&amp;MID($AI1814,6,2)&amp;RIGHT($AI1814,2)&amp;$AJ1814&amp;"|"&amp;"3"&amp;RIGHT("00000"&amp;1809,5))</f>
        <v/>
      </c>
      <c r="AL1814">
        <f>IF($AK1814="","",COUNTIFS(LdAParty,$AE1814,LdAType,1,LdAKey,"&lt;"&amp;$AK1814)+COUNTIFS(LdBMember,$AE1814,LdBKey,"&lt;"&amp;$AK1814)+COUNTIFS(LdCParty,$AE1814,LdCKey,"&lt;"&amp;$AK1814)+1)</f>
        <v/>
      </c>
      <c r="AM1814">
        <f>IF($AL1814="","",$AE1814&amp;"|"&amp;RIGHT("000000"&amp;$AL1814,6))</f>
        <v/>
      </c>
      <c r="AN1814">
        <f>IF($AE1814="","",IF(Sync!$W1814="",0,Sync!$W1814))</f>
        <v/>
      </c>
      <c r="AO1814">
        <f>IF($AE1814="","",IF(Sync!$X1814="",0,Sync!$X1814))</f>
        <v/>
      </c>
      <c r="AP1814">
        <f>IF($AE1814="","",Sync!$R1814)</f>
        <v/>
      </c>
      <c r="AQ1814">
        <f>IF($AE1814="","",Sync!$Y1814)</f>
        <v/>
      </c>
    </row>
    <row r="1815">
      <c r="A1815">
        <f>IF(OR(Wages!$B1818="",Wages!$E1818=""),"",Wages!$E1818)</f>
        <v/>
      </c>
      <c r="B1815">
        <f>IF($A1815="","",IF(Wages!$C1818="دستمزد گروهی",2,1))</f>
        <v/>
      </c>
      <c r="C1815">
        <f>IF($A1815="","",IF(ISNUMBER(Wages!$B1818),IF(AND(Wages!$B1818&gt;=10000101,Wages!$B1818&lt;=99991231),INT(Wages!$B1818/10000),""),IFERROR(VALUE(TRIM(LEFT(Wages!$B1818,FIND("/",Wages!$B1818)-1))),"")))</f>
        <v/>
      </c>
      <c r="D1815">
        <f>IF(OR($A1815="",$C1815=""),"",IF(ISNUMBER(Wages!$B1818),INT(MOD(Wages!$B1818,10000)/100),IFERROR(VALUE(TRIM(LEFT(MID(Wages!$B1818,FIND("/",Wages!$B1818)+1,20),FIND("/",MID(Wages!$B1818,FIND("/",Wages!$B1818)+1,20))-1))),"")))</f>
        <v/>
      </c>
      <c r="E1815">
        <f>IF(OR($A1815="",$C1815=""),"",IF(ISNUMBER(Wages!$B1818),MOD(Wages!$B1818,100),IFERROR(VALUE(TRIM(MID(MID(Wages!$B1818,FIND("/",Wages!$B1818)+1,20),FIND("/",MID(Wages!$B1818,FIND("/",Wages!$B1818)+1,20))+1,20))),"")))</f>
        <v/>
      </c>
      <c r="F1815">
        <f>IF($A1815="","",IF(OR($C1815="",$D1815="",$E1815="",$C1815&lt;1300,$C1815&gt;1500,$D1815&lt;1,$D1815&gt;12,$E1815&lt;1,$E1815&gt;31),"نامعتبر",RIGHT("0000"&amp;$C1815,4)&amp;"/"&amp;RIGHT("00"&amp;$D1815,2)&amp;"/"&amp;RIGHT("00"&amp;$E1815,2)))</f>
        <v/>
      </c>
      <c r="G1815">
        <f>IF(OR($A1815="",$F1815="",$F1815="نامعتبر"),"",LEFT($F1815,4)&amp;MID($F1815,6,2)&amp;RIGHT($F1815,2)&amp;"0000"&amp;"|"&amp;"1"&amp;RIGHT("00000"&amp;1810,5))</f>
        <v/>
      </c>
      <c r="H1815">
        <f>IF(OR($B1815&lt;&gt;1,$G1815=""),"",COUNTIFS(LdAParty,$A1815,LdAType,1,LdAKey,"&lt;"&amp;$G1815)+COUNTIFS(LdBMember,$A1815,LdBKey,"&lt;"&amp;$G1815)+COUNTIFS(LdCParty,$A1815,LdCKey,"&lt;"&amp;$G1815)+1)</f>
        <v/>
      </c>
      <c r="I1815">
        <f>IF($H1815="","",$A1815&amp;"|"&amp;RIGHT("000000"&amp;$H1815,6))</f>
        <v/>
      </c>
      <c r="J1815">
        <f>IF(OR($B1815&lt;&gt;2,$G1815=""),"",COUNTIFS(LdAParty,$A1815,LdAType,2,LdAKey,"&lt;"&amp;$G1815)+1)</f>
        <v/>
      </c>
      <c r="K1815">
        <f>IF($J1815="","",$A1815&amp;"|"&amp;RIGHT("000000"&amp;$J1815,6))</f>
        <v/>
      </c>
      <c r="L1815">
        <f>IF($A1815="","",IF(Wages!$G1818="",0,Wages!$G1818))</f>
        <v/>
      </c>
      <c r="M1815">
        <f>IF($A1815="","",Wages!$J1818)</f>
        <v/>
      </c>
      <c r="N1815">
        <f>IF($A1815="","",Wages!$D1818)</f>
        <v/>
      </c>
      <c r="P1815">
        <f>IF(OR(Shares!$B1818="",Shares!$C1818=""),"",Shares!$C1818)</f>
        <v/>
      </c>
      <c r="Q1815">
        <f>IF($P1815="","",Shares!$B1818)</f>
        <v/>
      </c>
      <c r="R1815">
        <f>IF($P1815="","",IFERROR(INDEX(WageParty,MATCH($Q1815,WageIds,0)),""))</f>
        <v/>
      </c>
      <c r="S1815">
        <f>IF($P1815="","",IFERROR(INDEX($F$6:$F$2005,MATCH($Q1815,WageIds,0)),""))</f>
        <v/>
      </c>
      <c r="T1815">
        <f>IF(OR($P1815="",$S1815="",$S1815="نامعتبر"),"",LEFT($S1815,4)&amp;MID($S1815,6,2)&amp;RIGHT($S1815,2)&amp;"0000"&amp;"|"&amp;"2"&amp;RIGHT("00000"&amp;1810,5))</f>
        <v/>
      </c>
      <c r="U1815">
        <f>IF($T1815="","",COUNTIFS(LdAParty,$P1815,LdAType,1,LdAKey,"&lt;"&amp;$T1815)+COUNTIFS(LdBMember,$P1815,LdBKey,"&lt;"&amp;$T1815)+COUNTIFS(LdCParty,$P1815,LdCKey,"&lt;"&amp;$T1815)+1)</f>
        <v/>
      </c>
      <c r="V1815">
        <f>IF($U1815="","",$P1815&amp;"|"&amp;RIGHT("000000"&amp;$U1815,6))</f>
        <v/>
      </c>
      <c r="W1815">
        <f>IF($T1815="","",COUNTIFS(LdBGroup,$R1815,LdBKey,"&lt;"&amp;$T1815)+1)</f>
        <v/>
      </c>
      <c r="X1815">
        <f>IF($W1815="","",$R1815&amp;"|"&amp;RIGHT("000000"&amp;$W1815,6))</f>
        <v/>
      </c>
      <c r="Y1815">
        <f>IF($P1815="","",IF(Shares!$E1818="",0,Shares!$E1818))</f>
        <v/>
      </c>
      <c r="Z1815">
        <f>IF($P1815="","",Shares!$H1818)</f>
        <v/>
      </c>
      <c r="AE1815">
        <f>IF(OR(Sync!$S1815="",Sync!$P1815=""),"",Sync!$S1815)</f>
        <v/>
      </c>
      <c r="AF1815">
        <f>IF($AE1815="","",IF(ISNUMBER(Sync!$P1815),IF(AND(Sync!$P1815&gt;=10000101,Sync!$P1815&lt;=99991231),INT(Sync!$P1815/10000),""),IFERROR(VALUE(TRIM(LEFT(Sync!$P1815,FIND("/",Sync!$P1815)-1))),"")))</f>
        <v/>
      </c>
      <c r="AG1815">
        <f>IF(OR($AE1815="",$AF1815=""),"",IF(ISNUMBER(Sync!$P1815),INT(MOD(Sync!$P1815,10000)/100),IFERROR(VALUE(TRIM(LEFT(MID(Sync!$P1815,FIND("/",Sync!$P1815)+1,20),FIND("/",MID(Sync!$P1815,FIND("/",Sync!$P1815)+1,20))-1))),"")))</f>
        <v/>
      </c>
      <c r="AH1815">
        <f>IF(OR($AE1815="",$AF1815=""),"",IF(ISNUMBER(Sync!$P1815),MOD(Sync!$P1815,100),IFERROR(VALUE(TRIM(MID(MID(Sync!$P1815,FIND("/",Sync!$P1815)+1,20),FIND("/",MID(Sync!$P1815,FIND("/",Sync!$P1815)+1,20))+1,20))),"")))</f>
        <v/>
      </c>
      <c r="AI1815">
        <f>IF($AE1815="","",IF(OR($AF1815="",$AG1815="",$AH1815="",$AF1815&lt;1300,$AF1815&gt;1500,$AG1815&lt;1,$AG1815&gt;12,$AH1815&lt;1,$AH1815&gt;31),"نامعتبر",RIGHT("0000"&amp;$AF1815,4)&amp;"/"&amp;RIGHT("00"&amp;$AG1815,2)&amp;"/"&amp;RIGHT("00"&amp;$AH1815,2)))</f>
        <v/>
      </c>
      <c r="AJ1815">
        <f>IF($AE1815="","",IF(Sync!$Q1815="","0000",IF(AND(ISNUMBER(Sync!$Q1815),Sync!$Q1815&gt;=0,Sync!$Q1815&lt;1),RIGHT("00"&amp;HOUR(Sync!$Q1815),2)&amp;RIGHT("00"&amp;MINUTE(Sync!$Q1815),2),IFERROR(RIGHT("00"&amp;VALUE(LEFT(Sync!$Q1815,FIND(":",Sync!$Q1815)-1)),2)&amp;RIGHT("00"&amp;VALUE(MID(Sync!$Q1815,FIND(":",Sync!$Q1815)+1,2)),2),"0000"))))</f>
        <v/>
      </c>
      <c r="AK1815">
        <f>IF(OR($AE1815="",$AI1815="",$AI1815="نامعتبر"),"",LEFT($AI1815,4)&amp;MID($AI1815,6,2)&amp;RIGHT($AI1815,2)&amp;$AJ1815&amp;"|"&amp;"3"&amp;RIGHT("00000"&amp;1810,5))</f>
        <v/>
      </c>
      <c r="AL1815">
        <f>IF($AK1815="","",COUNTIFS(LdAParty,$AE1815,LdAType,1,LdAKey,"&lt;"&amp;$AK1815)+COUNTIFS(LdBMember,$AE1815,LdBKey,"&lt;"&amp;$AK1815)+COUNTIFS(LdCParty,$AE1815,LdCKey,"&lt;"&amp;$AK1815)+1)</f>
        <v/>
      </c>
      <c r="AM1815">
        <f>IF($AL1815="","",$AE1815&amp;"|"&amp;RIGHT("000000"&amp;$AL1815,6))</f>
        <v/>
      </c>
      <c r="AN1815">
        <f>IF($AE1815="","",IF(Sync!$W1815="",0,Sync!$W1815))</f>
        <v/>
      </c>
      <c r="AO1815">
        <f>IF($AE1815="","",IF(Sync!$X1815="",0,Sync!$X1815))</f>
        <v/>
      </c>
      <c r="AP1815">
        <f>IF($AE1815="","",Sync!$R1815)</f>
        <v/>
      </c>
      <c r="AQ1815">
        <f>IF($AE1815="","",Sync!$Y1815)</f>
        <v/>
      </c>
    </row>
    <row r="1816">
      <c r="A1816">
        <f>IF(OR(Wages!$B1819="",Wages!$E1819=""),"",Wages!$E1819)</f>
        <v/>
      </c>
      <c r="B1816">
        <f>IF($A1816="","",IF(Wages!$C1819="دستمزد گروهی",2,1))</f>
        <v/>
      </c>
      <c r="C1816">
        <f>IF($A1816="","",IF(ISNUMBER(Wages!$B1819),IF(AND(Wages!$B1819&gt;=10000101,Wages!$B1819&lt;=99991231),INT(Wages!$B1819/10000),""),IFERROR(VALUE(TRIM(LEFT(Wages!$B1819,FIND("/",Wages!$B1819)-1))),"")))</f>
        <v/>
      </c>
      <c r="D1816">
        <f>IF(OR($A1816="",$C1816=""),"",IF(ISNUMBER(Wages!$B1819),INT(MOD(Wages!$B1819,10000)/100),IFERROR(VALUE(TRIM(LEFT(MID(Wages!$B1819,FIND("/",Wages!$B1819)+1,20),FIND("/",MID(Wages!$B1819,FIND("/",Wages!$B1819)+1,20))-1))),"")))</f>
        <v/>
      </c>
      <c r="E1816">
        <f>IF(OR($A1816="",$C1816=""),"",IF(ISNUMBER(Wages!$B1819),MOD(Wages!$B1819,100),IFERROR(VALUE(TRIM(MID(MID(Wages!$B1819,FIND("/",Wages!$B1819)+1,20),FIND("/",MID(Wages!$B1819,FIND("/",Wages!$B1819)+1,20))+1,20))),"")))</f>
        <v/>
      </c>
      <c r="F1816">
        <f>IF($A1816="","",IF(OR($C1816="",$D1816="",$E1816="",$C1816&lt;1300,$C1816&gt;1500,$D1816&lt;1,$D1816&gt;12,$E1816&lt;1,$E1816&gt;31),"نامعتبر",RIGHT("0000"&amp;$C1816,4)&amp;"/"&amp;RIGHT("00"&amp;$D1816,2)&amp;"/"&amp;RIGHT("00"&amp;$E1816,2)))</f>
        <v/>
      </c>
      <c r="G1816">
        <f>IF(OR($A1816="",$F1816="",$F1816="نامعتبر"),"",LEFT($F1816,4)&amp;MID($F1816,6,2)&amp;RIGHT($F1816,2)&amp;"0000"&amp;"|"&amp;"1"&amp;RIGHT("00000"&amp;1811,5))</f>
        <v/>
      </c>
      <c r="H1816">
        <f>IF(OR($B1816&lt;&gt;1,$G1816=""),"",COUNTIFS(LdAParty,$A1816,LdAType,1,LdAKey,"&lt;"&amp;$G1816)+COUNTIFS(LdBMember,$A1816,LdBKey,"&lt;"&amp;$G1816)+COUNTIFS(LdCParty,$A1816,LdCKey,"&lt;"&amp;$G1816)+1)</f>
        <v/>
      </c>
      <c r="I1816">
        <f>IF($H1816="","",$A1816&amp;"|"&amp;RIGHT("000000"&amp;$H1816,6))</f>
        <v/>
      </c>
      <c r="J1816">
        <f>IF(OR($B1816&lt;&gt;2,$G1816=""),"",COUNTIFS(LdAParty,$A1816,LdAType,2,LdAKey,"&lt;"&amp;$G1816)+1)</f>
        <v/>
      </c>
      <c r="K1816">
        <f>IF($J1816="","",$A1816&amp;"|"&amp;RIGHT("000000"&amp;$J1816,6))</f>
        <v/>
      </c>
      <c r="L1816">
        <f>IF($A1816="","",IF(Wages!$G1819="",0,Wages!$G1819))</f>
        <v/>
      </c>
      <c r="M1816">
        <f>IF($A1816="","",Wages!$J1819)</f>
        <v/>
      </c>
      <c r="N1816">
        <f>IF($A1816="","",Wages!$D1819)</f>
        <v/>
      </c>
      <c r="P1816">
        <f>IF(OR(Shares!$B1819="",Shares!$C1819=""),"",Shares!$C1819)</f>
        <v/>
      </c>
      <c r="Q1816">
        <f>IF($P1816="","",Shares!$B1819)</f>
        <v/>
      </c>
      <c r="R1816">
        <f>IF($P1816="","",IFERROR(INDEX(WageParty,MATCH($Q1816,WageIds,0)),""))</f>
        <v/>
      </c>
      <c r="S1816">
        <f>IF($P1816="","",IFERROR(INDEX($F$6:$F$2005,MATCH($Q1816,WageIds,0)),""))</f>
        <v/>
      </c>
      <c r="T1816">
        <f>IF(OR($P1816="",$S1816="",$S1816="نامعتبر"),"",LEFT($S1816,4)&amp;MID($S1816,6,2)&amp;RIGHT($S1816,2)&amp;"0000"&amp;"|"&amp;"2"&amp;RIGHT("00000"&amp;1811,5))</f>
        <v/>
      </c>
      <c r="U1816">
        <f>IF($T1816="","",COUNTIFS(LdAParty,$P1816,LdAType,1,LdAKey,"&lt;"&amp;$T1816)+COUNTIFS(LdBMember,$P1816,LdBKey,"&lt;"&amp;$T1816)+COUNTIFS(LdCParty,$P1816,LdCKey,"&lt;"&amp;$T1816)+1)</f>
        <v/>
      </c>
      <c r="V1816">
        <f>IF($U1816="","",$P1816&amp;"|"&amp;RIGHT("000000"&amp;$U1816,6))</f>
        <v/>
      </c>
      <c r="W1816">
        <f>IF($T1816="","",COUNTIFS(LdBGroup,$R1816,LdBKey,"&lt;"&amp;$T1816)+1)</f>
        <v/>
      </c>
      <c r="X1816">
        <f>IF($W1816="","",$R1816&amp;"|"&amp;RIGHT("000000"&amp;$W1816,6))</f>
        <v/>
      </c>
      <c r="Y1816">
        <f>IF($P1816="","",IF(Shares!$E1819="",0,Shares!$E1819))</f>
        <v/>
      </c>
      <c r="Z1816">
        <f>IF($P1816="","",Shares!$H1819)</f>
        <v/>
      </c>
      <c r="AE1816">
        <f>IF(OR(Sync!$S1816="",Sync!$P1816=""),"",Sync!$S1816)</f>
        <v/>
      </c>
      <c r="AF1816">
        <f>IF($AE1816="","",IF(ISNUMBER(Sync!$P1816),IF(AND(Sync!$P1816&gt;=10000101,Sync!$P1816&lt;=99991231),INT(Sync!$P1816/10000),""),IFERROR(VALUE(TRIM(LEFT(Sync!$P1816,FIND("/",Sync!$P1816)-1))),"")))</f>
        <v/>
      </c>
      <c r="AG1816">
        <f>IF(OR($AE1816="",$AF1816=""),"",IF(ISNUMBER(Sync!$P1816),INT(MOD(Sync!$P1816,10000)/100),IFERROR(VALUE(TRIM(LEFT(MID(Sync!$P1816,FIND("/",Sync!$P1816)+1,20),FIND("/",MID(Sync!$P1816,FIND("/",Sync!$P1816)+1,20))-1))),"")))</f>
        <v/>
      </c>
      <c r="AH1816">
        <f>IF(OR($AE1816="",$AF1816=""),"",IF(ISNUMBER(Sync!$P1816),MOD(Sync!$P1816,100),IFERROR(VALUE(TRIM(MID(MID(Sync!$P1816,FIND("/",Sync!$P1816)+1,20),FIND("/",MID(Sync!$P1816,FIND("/",Sync!$P1816)+1,20))+1,20))),"")))</f>
        <v/>
      </c>
      <c r="AI1816">
        <f>IF($AE1816="","",IF(OR($AF1816="",$AG1816="",$AH1816="",$AF1816&lt;1300,$AF1816&gt;1500,$AG1816&lt;1,$AG1816&gt;12,$AH1816&lt;1,$AH1816&gt;31),"نامعتبر",RIGHT("0000"&amp;$AF1816,4)&amp;"/"&amp;RIGHT("00"&amp;$AG1816,2)&amp;"/"&amp;RIGHT("00"&amp;$AH1816,2)))</f>
        <v/>
      </c>
      <c r="AJ1816">
        <f>IF($AE1816="","",IF(Sync!$Q1816="","0000",IF(AND(ISNUMBER(Sync!$Q1816),Sync!$Q1816&gt;=0,Sync!$Q1816&lt;1),RIGHT("00"&amp;HOUR(Sync!$Q1816),2)&amp;RIGHT("00"&amp;MINUTE(Sync!$Q1816),2),IFERROR(RIGHT("00"&amp;VALUE(LEFT(Sync!$Q1816,FIND(":",Sync!$Q1816)-1)),2)&amp;RIGHT("00"&amp;VALUE(MID(Sync!$Q1816,FIND(":",Sync!$Q1816)+1,2)),2),"0000"))))</f>
        <v/>
      </c>
      <c r="AK1816">
        <f>IF(OR($AE1816="",$AI1816="",$AI1816="نامعتبر"),"",LEFT($AI1816,4)&amp;MID($AI1816,6,2)&amp;RIGHT($AI1816,2)&amp;$AJ1816&amp;"|"&amp;"3"&amp;RIGHT("00000"&amp;1811,5))</f>
        <v/>
      </c>
      <c r="AL1816">
        <f>IF($AK1816="","",COUNTIFS(LdAParty,$AE1816,LdAType,1,LdAKey,"&lt;"&amp;$AK1816)+COUNTIFS(LdBMember,$AE1816,LdBKey,"&lt;"&amp;$AK1816)+COUNTIFS(LdCParty,$AE1816,LdCKey,"&lt;"&amp;$AK1816)+1)</f>
        <v/>
      </c>
      <c r="AM1816">
        <f>IF($AL1816="","",$AE1816&amp;"|"&amp;RIGHT("000000"&amp;$AL1816,6))</f>
        <v/>
      </c>
      <c r="AN1816">
        <f>IF($AE1816="","",IF(Sync!$W1816="",0,Sync!$W1816))</f>
        <v/>
      </c>
      <c r="AO1816">
        <f>IF($AE1816="","",IF(Sync!$X1816="",0,Sync!$X1816))</f>
        <v/>
      </c>
      <c r="AP1816">
        <f>IF($AE1816="","",Sync!$R1816)</f>
        <v/>
      </c>
      <c r="AQ1816">
        <f>IF($AE1816="","",Sync!$Y1816)</f>
        <v/>
      </c>
    </row>
    <row r="1817">
      <c r="A1817">
        <f>IF(OR(Wages!$B1820="",Wages!$E1820=""),"",Wages!$E1820)</f>
        <v/>
      </c>
      <c r="B1817">
        <f>IF($A1817="","",IF(Wages!$C1820="دستمزد گروهی",2,1))</f>
        <v/>
      </c>
      <c r="C1817">
        <f>IF($A1817="","",IF(ISNUMBER(Wages!$B1820),IF(AND(Wages!$B1820&gt;=10000101,Wages!$B1820&lt;=99991231),INT(Wages!$B1820/10000),""),IFERROR(VALUE(TRIM(LEFT(Wages!$B1820,FIND("/",Wages!$B1820)-1))),"")))</f>
        <v/>
      </c>
      <c r="D1817">
        <f>IF(OR($A1817="",$C1817=""),"",IF(ISNUMBER(Wages!$B1820),INT(MOD(Wages!$B1820,10000)/100),IFERROR(VALUE(TRIM(LEFT(MID(Wages!$B1820,FIND("/",Wages!$B1820)+1,20),FIND("/",MID(Wages!$B1820,FIND("/",Wages!$B1820)+1,20))-1))),"")))</f>
        <v/>
      </c>
      <c r="E1817">
        <f>IF(OR($A1817="",$C1817=""),"",IF(ISNUMBER(Wages!$B1820),MOD(Wages!$B1820,100),IFERROR(VALUE(TRIM(MID(MID(Wages!$B1820,FIND("/",Wages!$B1820)+1,20),FIND("/",MID(Wages!$B1820,FIND("/",Wages!$B1820)+1,20))+1,20))),"")))</f>
        <v/>
      </c>
      <c r="F1817">
        <f>IF($A1817="","",IF(OR($C1817="",$D1817="",$E1817="",$C1817&lt;1300,$C1817&gt;1500,$D1817&lt;1,$D1817&gt;12,$E1817&lt;1,$E1817&gt;31),"نامعتبر",RIGHT("0000"&amp;$C1817,4)&amp;"/"&amp;RIGHT("00"&amp;$D1817,2)&amp;"/"&amp;RIGHT("00"&amp;$E1817,2)))</f>
        <v/>
      </c>
      <c r="G1817">
        <f>IF(OR($A1817="",$F1817="",$F1817="نامعتبر"),"",LEFT($F1817,4)&amp;MID($F1817,6,2)&amp;RIGHT($F1817,2)&amp;"0000"&amp;"|"&amp;"1"&amp;RIGHT("00000"&amp;1812,5))</f>
        <v/>
      </c>
      <c r="H1817">
        <f>IF(OR($B1817&lt;&gt;1,$G1817=""),"",COUNTIFS(LdAParty,$A1817,LdAType,1,LdAKey,"&lt;"&amp;$G1817)+COUNTIFS(LdBMember,$A1817,LdBKey,"&lt;"&amp;$G1817)+COUNTIFS(LdCParty,$A1817,LdCKey,"&lt;"&amp;$G1817)+1)</f>
        <v/>
      </c>
      <c r="I1817">
        <f>IF($H1817="","",$A1817&amp;"|"&amp;RIGHT("000000"&amp;$H1817,6))</f>
        <v/>
      </c>
      <c r="J1817">
        <f>IF(OR($B1817&lt;&gt;2,$G1817=""),"",COUNTIFS(LdAParty,$A1817,LdAType,2,LdAKey,"&lt;"&amp;$G1817)+1)</f>
        <v/>
      </c>
      <c r="K1817">
        <f>IF($J1817="","",$A1817&amp;"|"&amp;RIGHT("000000"&amp;$J1817,6))</f>
        <v/>
      </c>
      <c r="L1817">
        <f>IF($A1817="","",IF(Wages!$G1820="",0,Wages!$G1820))</f>
        <v/>
      </c>
      <c r="M1817">
        <f>IF($A1817="","",Wages!$J1820)</f>
        <v/>
      </c>
      <c r="N1817">
        <f>IF($A1817="","",Wages!$D1820)</f>
        <v/>
      </c>
      <c r="P1817">
        <f>IF(OR(Shares!$B1820="",Shares!$C1820=""),"",Shares!$C1820)</f>
        <v/>
      </c>
      <c r="Q1817">
        <f>IF($P1817="","",Shares!$B1820)</f>
        <v/>
      </c>
      <c r="R1817">
        <f>IF($P1817="","",IFERROR(INDEX(WageParty,MATCH($Q1817,WageIds,0)),""))</f>
        <v/>
      </c>
      <c r="S1817">
        <f>IF($P1817="","",IFERROR(INDEX($F$6:$F$2005,MATCH($Q1817,WageIds,0)),""))</f>
        <v/>
      </c>
      <c r="T1817">
        <f>IF(OR($P1817="",$S1817="",$S1817="نامعتبر"),"",LEFT($S1817,4)&amp;MID($S1817,6,2)&amp;RIGHT($S1817,2)&amp;"0000"&amp;"|"&amp;"2"&amp;RIGHT("00000"&amp;1812,5))</f>
        <v/>
      </c>
      <c r="U1817">
        <f>IF($T1817="","",COUNTIFS(LdAParty,$P1817,LdAType,1,LdAKey,"&lt;"&amp;$T1817)+COUNTIFS(LdBMember,$P1817,LdBKey,"&lt;"&amp;$T1817)+COUNTIFS(LdCParty,$P1817,LdCKey,"&lt;"&amp;$T1817)+1)</f>
        <v/>
      </c>
      <c r="V1817">
        <f>IF($U1817="","",$P1817&amp;"|"&amp;RIGHT("000000"&amp;$U1817,6))</f>
        <v/>
      </c>
      <c r="W1817">
        <f>IF($T1817="","",COUNTIFS(LdBGroup,$R1817,LdBKey,"&lt;"&amp;$T1817)+1)</f>
        <v/>
      </c>
      <c r="X1817">
        <f>IF($W1817="","",$R1817&amp;"|"&amp;RIGHT("000000"&amp;$W1817,6))</f>
        <v/>
      </c>
      <c r="Y1817">
        <f>IF($P1817="","",IF(Shares!$E1820="",0,Shares!$E1820))</f>
        <v/>
      </c>
      <c r="Z1817">
        <f>IF($P1817="","",Shares!$H1820)</f>
        <v/>
      </c>
      <c r="AE1817">
        <f>IF(OR(Sync!$S1817="",Sync!$P1817=""),"",Sync!$S1817)</f>
        <v/>
      </c>
      <c r="AF1817">
        <f>IF($AE1817="","",IF(ISNUMBER(Sync!$P1817),IF(AND(Sync!$P1817&gt;=10000101,Sync!$P1817&lt;=99991231),INT(Sync!$P1817/10000),""),IFERROR(VALUE(TRIM(LEFT(Sync!$P1817,FIND("/",Sync!$P1817)-1))),"")))</f>
        <v/>
      </c>
      <c r="AG1817">
        <f>IF(OR($AE1817="",$AF1817=""),"",IF(ISNUMBER(Sync!$P1817),INT(MOD(Sync!$P1817,10000)/100),IFERROR(VALUE(TRIM(LEFT(MID(Sync!$P1817,FIND("/",Sync!$P1817)+1,20),FIND("/",MID(Sync!$P1817,FIND("/",Sync!$P1817)+1,20))-1))),"")))</f>
        <v/>
      </c>
      <c r="AH1817">
        <f>IF(OR($AE1817="",$AF1817=""),"",IF(ISNUMBER(Sync!$P1817),MOD(Sync!$P1817,100),IFERROR(VALUE(TRIM(MID(MID(Sync!$P1817,FIND("/",Sync!$P1817)+1,20),FIND("/",MID(Sync!$P1817,FIND("/",Sync!$P1817)+1,20))+1,20))),"")))</f>
        <v/>
      </c>
      <c r="AI1817">
        <f>IF($AE1817="","",IF(OR($AF1817="",$AG1817="",$AH1817="",$AF1817&lt;1300,$AF1817&gt;1500,$AG1817&lt;1,$AG1817&gt;12,$AH1817&lt;1,$AH1817&gt;31),"نامعتبر",RIGHT("0000"&amp;$AF1817,4)&amp;"/"&amp;RIGHT("00"&amp;$AG1817,2)&amp;"/"&amp;RIGHT("00"&amp;$AH1817,2)))</f>
        <v/>
      </c>
      <c r="AJ1817">
        <f>IF($AE1817="","",IF(Sync!$Q1817="","0000",IF(AND(ISNUMBER(Sync!$Q1817),Sync!$Q1817&gt;=0,Sync!$Q1817&lt;1),RIGHT("00"&amp;HOUR(Sync!$Q1817),2)&amp;RIGHT("00"&amp;MINUTE(Sync!$Q1817),2),IFERROR(RIGHT("00"&amp;VALUE(LEFT(Sync!$Q1817,FIND(":",Sync!$Q1817)-1)),2)&amp;RIGHT("00"&amp;VALUE(MID(Sync!$Q1817,FIND(":",Sync!$Q1817)+1,2)),2),"0000"))))</f>
        <v/>
      </c>
      <c r="AK1817">
        <f>IF(OR($AE1817="",$AI1817="",$AI1817="نامعتبر"),"",LEFT($AI1817,4)&amp;MID($AI1817,6,2)&amp;RIGHT($AI1817,2)&amp;$AJ1817&amp;"|"&amp;"3"&amp;RIGHT("00000"&amp;1812,5))</f>
        <v/>
      </c>
      <c r="AL1817">
        <f>IF($AK1817="","",COUNTIFS(LdAParty,$AE1817,LdAType,1,LdAKey,"&lt;"&amp;$AK1817)+COUNTIFS(LdBMember,$AE1817,LdBKey,"&lt;"&amp;$AK1817)+COUNTIFS(LdCParty,$AE1817,LdCKey,"&lt;"&amp;$AK1817)+1)</f>
        <v/>
      </c>
      <c r="AM1817">
        <f>IF($AL1817="","",$AE1817&amp;"|"&amp;RIGHT("000000"&amp;$AL1817,6))</f>
        <v/>
      </c>
      <c r="AN1817">
        <f>IF($AE1817="","",IF(Sync!$W1817="",0,Sync!$W1817))</f>
        <v/>
      </c>
      <c r="AO1817">
        <f>IF($AE1817="","",IF(Sync!$X1817="",0,Sync!$X1817))</f>
        <v/>
      </c>
      <c r="AP1817">
        <f>IF($AE1817="","",Sync!$R1817)</f>
        <v/>
      </c>
      <c r="AQ1817">
        <f>IF($AE1817="","",Sync!$Y1817)</f>
        <v/>
      </c>
    </row>
    <row r="1818">
      <c r="A1818">
        <f>IF(OR(Wages!$B1821="",Wages!$E1821=""),"",Wages!$E1821)</f>
        <v/>
      </c>
      <c r="B1818">
        <f>IF($A1818="","",IF(Wages!$C1821="دستمزد گروهی",2,1))</f>
        <v/>
      </c>
      <c r="C1818">
        <f>IF($A1818="","",IF(ISNUMBER(Wages!$B1821),IF(AND(Wages!$B1821&gt;=10000101,Wages!$B1821&lt;=99991231),INT(Wages!$B1821/10000),""),IFERROR(VALUE(TRIM(LEFT(Wages!$B1821,FIND("/",Wages!$B1821)-1))),"")))</f>
        <v/>
      </c>
      <c r="D1818">
        <f>IF(OR($A1818="",$C1818=""),"",IF(ISNUMBER(Wages!$B1821),INT(MOD(Wages!$B1821,10000)/100),IFERROR(VALUE(TRIM(LEFT(MID(Wages!$B1821,FIND("/",Wages!$B1821)+1,20),FIND("/",MID(Wages!$B1821,FIND("/",Wages!$B1821)+1,20))-1))),"")))</f>
        <v/>
      </c>
      <c r="E1818">
        <f>IF(OR($A1818="",$C1818=""),"",IF(ISNUMBER(Wages!$B1821),MOD(Wages!$B1821,100),IFERROR(VALUE(TRIM(MID(MID(Wages!$B1821,FIND("/",Wages!$B1821)+1,20),FIND("/",MID(Wages!$B1821,FIND("/",Wages!$B1821)+1,20))+1,20))),"")))</f>
        <v/>
      </c>
      <c r="F1818">
        <f>IF($A1818="","",IF(OR($C1818="",$D1818="",$E1818="",$C1818&lt;1300,$C1818&gt;1500,$D1818&lt;1,$D1818&gt;12,$E1818&lt;1,$E1818&gt;31),"نامعتبر",RIGHT("0000"&amp;$C1818,4)&amp;"/"&amp;RIGHT("00"&amp;$D1818,2)&amp;"/"&amp;RIGHT("00"&amp;$E1818,2)))</f>
        <v/>
      </c>
      <c r="G1818">
        <f>IF(OR($A1818="",$F1818="",$F1818="نامعتبر"),"",LEFT($F1818,4)&amp;MID($F1818,6,2)&amp;RIGHT($F1818,2)&amp;"0000"&amp;"|"&amp;"1"&amp;RIGHT("00000"&amp;1813,5))</f>
        <v/>
      </c>
      <c r="H1818">
        <f>IF(OR($B1818&lt;&gt;1,$G1818=""),"",COUNTIFS(LdAParty,$A1818,LdAType,1,LdAKey,"&lt;"&amp;$G1818)+COUNTIFS(LdBMember,$A1818,LdBKey,"&lt;"&amp;$G1818)+COUNTIFS(LdCParty,$A1818,LdCKey,"&lt;"&amp;$G1818)+1)</f>
        <v/>
      </c>
      <c r="I1818">
        <f>IF($H1818="","",$A1818&amp;"|"&amp;RIGHT("000000"&amp;$H1818,6))</f>
        <v/>
      </c>
      <c r="J1818">
        <f>IF(OR($B1818&lt;&gt;2,$G1818=""),"",COUNTIFS(LdAParty,$A1818,LdAType,2,LdAKey,"&lt;"&amp;$G1818)+1)</f>
        <v/>
      </c>
      <c r="K1818">
        <f>IF($J1818="","",$A1818&amp;"|"&amp;RIGHT("000000"&amp;$J1818,6))</f>
        <v/>
      </c>
      <c r="L1818">
        <f>IF($A1818="","",IF(Wages!$G1821="",0,Wages!$G1821))</f>
        <v/>
      </c>
      <c r="M1818">
        <f>IF($A1818="","",Wages!$J1821)</f>
        <v/>
      </c>
      <c r="N1818">
        <f>IF($A1818="","",Wages!$D1821)</f>
        <v/>
      </c>
      <c r="P1818">
        <f>IF(OR(Shares!$B1821="",Shares!$C1821=""),"",Shares!$C1821)</f>
        <v/>
      </c>
      <c r="Q1818">
        <f>IF($P1818="","",Shares!$B1821)</f>
        <v/>
      </c>
      <c r="R1818">
        <f>IF($P1818="","",IFERROR(INDEX(WageParty,MATCH($Q1818,WageIds,0)),""))</f>
        <v/>
      </c>
      <c r="S1818">
        <f>IF($P1818="","",IFERROR(INDEX($F$6:$F$2005,MATCH($Q1818,WageIds,0)),""))</f>
        <v/>
      </c>
      <c r="T1818">
        <f>IF(OR($P1818="",$S1818="",$S1818="نامعتبر"),"",LEFT($S1818,4)&amp;MID($S1818,6,2)&amp;RIGHT($S1818,2)&amp;"0000"&amp;"|"&amp;"2"&amp;RIGHT("00000"&amp;1813,5))</f>
        <v/>
      </c>
      <c r="U1818">
        <f>IF($T1818="","",COUNTIFS(LdAParty,$P1818,LdAType,1,LdAKey,"&lt;"&amp;$T1818)+COUNTIFS(LdBMember,$P1818,LdBKey,"&lt;"&amp;$T1818)+COUNTIFS(LdCParty,$P1818,LdCKey,"&lt;"&amp;$T1818)+1)</f>
        <v/>
      </c>
      <c r="V1818">
        <f>IF($U1818="","",$P1818&amp;"|"&amp;RIGHT("000000"&amp;$U1818,6))</f>
        <v/>
      </c>
      <c r="W1818">
        <f>IF($T1818="","",COUNTIFS(LdBGroup,$R1818,LdBKey,"&lt;"&amp;$T1818)+1)</f>
        <v/>
      </c>
      <c r="X1818">
        <f>IF($W1818="","",$R1818&amp;"|"&amp;RIGHT("000000"&amp;$W1818,6))</f>
        <v/>
      </c>
      <c r="Y1818">
        <f>IF($P1818="","",IF(Shares!$E1821="",0,Shares!$E1821))</f>
        <v/>
      </c>
      <c r="Z1818">
        <f>IF($P1818="","",Shares!$H1821)</f>
        <v/>
      </c>
      <c r="AE1818">
        <f>IF(OR(Sync!$S1818="",Sync!$P1818=""),"",Sync!$S1818)</f>
        <v/>
      </c>
      <c r="AF1818">
        <f>IF($AE1818="","",IF(ISNUMBER(Sync!$P1818),IF(AND(Sync!$P1818&gt;=10000101,Sync!$P1818&lt;=99991231),INT(Sync!$P1818/10000),""),IFERROR(VALUE(TRIM(LEFT(Sync!$P1818,FIND("/",Sync!$P1818)-1))),"")))</f>
        <v/>
      </c>
      <c r="AG1818">
        <f>IF(OR($AE1818="",$AF1818=""),"",IF(ISNUMBER(Sync!$P1818),INT(MOD(Sync!$P1818,10000)/100),IFERROR(VALUE(TRIM(LEFT(MID(Sync!$P1818,FIND("/",Sync!$P1818)+1,20),FIND("/",MID(Sync!$P1818,FIND("/",Sync!$P1818)+1,20))-1))),"")))</f>
        <v/>
      </c>
      <c r="AH1818">
        <f>IF(OR($AE1818="",$AF1818=""),"",IF(ISNUMBER(Sync!$P1818),MOD(Sync!$P1818,100),IFERROR(VALUE(TRIM(MID(MID(Sync!$P1818,FIND("/",Sync!$P1818)+1,20),FIND("/",MID(Sync!$P1818,FIND("/",Sync!$P1818)+1,20))+1,20))),"")))</f>
        <v/>
      </c>
      <c r="AI1818">
        <f>IF($AE1818="","",IF(OR($AF1818="",$AG1818="",$AH1818="",$AF1818&lt;1300,$AF1818&gt;1500,$AG1818&lt;1,$AG1818&gt;12,$AH1818&lt;1,$AH1818&gt;31),"نامعتبر",RIGHT("0000"&amp;$AF1818,4)&amp;"/"&amp;RIGHT("00"&amp;$AG1818,2)&amp;"/"&amp;RIGHT("00"&amp;$AH1818,2)))</f>
        <v/>
      </c>
      <c r="AJ1818">
        <f>IF($AE1818="","",IF(Sync!$Q1818="","0000",IF(AND(ISNUMBER(Sync!$Q1818),Sync!$Q1818&gt;=0,Sync!$Q1818&lt;1),RIGHT("00"&amp;HOUR(Sync!$Q1818),2)&amp;RIGHT("00"&amp;MINUTE(Sync!$Q1818),2),IFERROR(RIGHT("00"&amp;VALUE(LEFT(Sync!$Q1818,FIND(":",Sync!$Q1818)-1)),2)&amp;RIGHT("00"&amp;VALUE(MID(Sync!$Q1818,FIND(":",Sync!$Q1818)+1,2)),2),"0000"))))</f>
        <v/>
      </c>
      <c r="AK1818">
        <f>IF(OR($AE1818="",$AI1818="",$AI1818="نامعتبر"),"",LEFT($AI1818,4)&amp;MID($AI1818,6,2)&amp;RIGHT($AI1818,2)&amp;$AJ1818&amp;"|"&amp;"3"&amp;RIGHT("00000"&amp;1813,5))</f>
        <v/>
      </c>
      <c r="AL1818">
        <f>IF($AK1818="","",COUNTIFS(LdAParty,$AE1818,LdAType,1,LdAKey,"&lt;"&amp;$AK1818)+COUNTIFS(LdBMember,$AE1818,LdBKey,"&lt;"&amp;$AK1818)+COUNTIFS(LdCParty,$AE1818,LdCKey,"&lt;"&amp;$AK1818)+1)</f>
        <v/>
      </c>
      <c r="AM1818">
        <f>IF($AL1818="","",$AE1818&amp;"|"&amp;RIGHT("000000"&amp;$AL1818,6))</f>
        <v/>
      </c>
      <c r="AN1818">
        <f>IF($AE1818="","",IF(Sync!$W1818="",0,Sync!$W1818))</f>
        <v/>
      </c>
      <c r="AO1818">
        <f>IF($AE1818="","",IF(Sync!$X1818="",0,Sync!$X1818))</f>
        <v/>
      </c>
      <c r="AP1818">
        <f>IF($AE1818="","",Sync!$R1818)</f>
        <v/>
      </c>
      <c r="AQ1818">
        <f>IF($AE1818="","",Sync!$Y1818)</f>
        <v/>
      </c>
    </row>
    <row r="1819">
      <c r="A1819">
        <f>IF(OR(Wages!$B1822="",Wages!$E1822=""),"",Wages!$E1822)</f>
        <v/>
      </c>
      <c r="B1819">
        <f>IF($A1819="","",IF(Wages!$C1822="دستمزد گروهی",2,1))</f>
        <v/>
      </c>
      <c r="C1819">
        <f>IF($A1819="","",IF(ISNUMBER(Wages!$B1822),IF(AND(Wages!$B1822&gt;=10000101,Wages!$B1822&lt;=99991231),INT(Wages!$B1822/10000),""),IFERROR(VALUE(TRIM(LEFT(Wages!$B1822,FIND("/",Wages!$B1822)-1))),"")))</f>
        <v/>
      </c>
      <c r="D1819">
        <f>IF(OR($A1819="",$C1819=""),"",IF(ISNUMBER(Wages!$B1822),INT(MOD(Wages!$B1822,10000)/100),IFERROR(VALUE(TRIM(LEFT(MID(Wages!$B1822,FIND("/",Wages!$B1822)+1,20),FIND("/",MID(Wages!$B1822,FIND("/",Wages!$B1822)+1,20))-1))),"")))</f>
        <v/>
      </c>
      <c r="E1819">
        <f>IF(OR($A1819="",$C1819=""),"",IF(ISNUMBER(Wages!$B1822),MOD(Wages!$B1822,100),IFERROR(VALUE(TRIM(MID(MID(Wages!$B1822,FIND("/",Wages!$B1822)+1,20),FIND("/",MID(Wages!$B1822,FIND("/",Wages!$B1822)+1,20))+1,20))),"")))</f>
        <v/>
      </c>
      <c r="F1819">
        <f>IF($A1819="","",IF(OR($C1819="",$D1819="",$E1819="",$C1819&lt;1300,$C1819&gt;1500,$D1819&lt;1,$D1819&gt;12,$E1819&lt;1,$E1819&gt;31),"نامعتبر",RIGHT("0000"&amp;$C1819,4)&amp;"/"&amp;RIGHT("00"&amp;$D1819,2)&amp;"/"&amp;RIGHT("00"&amp;$E1819,2)))</f>
        <v/>
      </c>
      <c r="G1819">
        <f>IF(OR($A1819="",$F1819="",$F1819="نامعتبر"),"",LEFT($F1819,4)&amp;MID($F1819,6,2)&amp;RIGHT($F1819,2)&amp;"0000"&amp;"|"&amp;"1"&amp;RIGHT("00000"&amp;1814,5))</f>
        <v/>
      </c>
      <c r="H1819">
        <f>IF(OR($B1819&lt;&gt;1,$G1819=""),"",COUNTIFS(LdAParty,$A1819,LdAType,1,LdAKey,"&lt;"&amp;$G1819)+COUNTIFS(LdBMember,$A1819,LdBKey,"&lt;"&amp;$G1819)+COUNTIFS(LdCParty,$A1819,LdCKey,"&lt;"&amp;$G1819)+1)</f>
        <v/>
      </c>
      <c r="I1819">
        <f>IF($H1819="","",$A1819&amp;"|"&amp;RIGHT("000000"&amp;$H1819,6))</f>
        <v/>
      </c>
      <c r="J1819">
        <f>IF(OR($B1819&lt;&gt;2,$G1819=""),"",COUNTIFS(LdAParty,$A1819,LdAType,2,LdAKey,"&lt;"&amp;$G1819)+1)</f>
        <v/>
      </c>
      <c r="K1819">
        <f>IF($J1819="","",$A1819&amp;"|"&amp;RIGHT("000000"&amp;$J1819,6))</f>
        <v/>
      </c>
      <c r="L1819">
        <f>IF($A1819="","",IF(Wages!$G1822="",0,Wages!$G1822))</f>
        <v/>
      </c>
      <c r="M1819">
        <f>IF($A1819="","",Wages!$J1822)</f>
        <v/>
      </c>
      <c r="N1819">
        <f>IF($A1819="","",Wages!$D1822)</f>
        <v/>
      </c>
      <c r="P1819">
        <f>IF(OR(Shares!$B1822="",Shares!$C1822=""),"",Shares!$C1822)</f>
        <v/>
      </c>
      <c r="Q1819">
        <f>IF($P1819="","",Shares!$B1822)</f>
        <v/>
      </c>
      <c r="R1819">
        <f>IF($P1819="","",IFERROR(INDEX(WageParty,MATCH($Q1819,WageIds,0)),""))</f>
        <v/>
      </c>
      <c r="S1819">
        <f>IF($P1819="","",IFERROR(INDEX($F$6:$F$2005,MATCH($Q1819,WageIds,0)),""))</f>
        <v/>
      </c>
      <c r="T1819">
        <f>IF(OR($P1819="",$S1819="",$S1819="نامعتبر"),"",LEFT($S1819,4)&amp;MID($S1819,6,2)&amp;RIGHT($S1819,2)&amp;"0000"&amp;"|"&amp;"2"&amp;RIGHT("00000"&amp;1814,5))</f>
        <v/>
      </c>
      <c r="U1819">
        <f>IF($T1819="","",COUNTIFS(LdAParty,$P1819,LdAType,1,LdAKey,"&lt;"&amp;$T1819)+COUNTIFS(LdBMember,$P1819,LdBKey,"&lt;"&amp;$T1819)+COUNTIFS(LdCParty,$P1819,LdCKey,"&lt;"&amp;$T1819)+1)</f>
        <v/>
      </c>
      <c r="V1819">
        <f>IF($U1819="","",$P1819&amp;"|"&amp;RIGHT("000000"&amp;$U1819,6))</f>
        <v/>
      </c>
      <c r="W1819">
        <f>IF($T1819="","",COUNTIFS(LdBGroup,$R1819,LdBKey,"&lt;"&amp;$T1819)+1)</f>
        <v/>
      </c>
      <c r="X1819">
        <f>IF($W1819="","",$R1819&amp;"|"&amp;RIGHT("000000"&amp;$W1819,6))</f>
        <v/>
      </c>
      <c r="Y1819">
        <f>IF($P1819="","",IF(Shares!$E1822="",0,Shares!$E1822))</f>
        <v/>
      </c>
      <c r="Z1819">
        <f>IF($P1819="","",Shares!$H1822)</f>
        <v/>
      </c>
      <c r="AE1819">
        <f>IF(OR(Sync!$S1819="",Sync!$P1819=""),"",Sync!$S1819)</f>
        <v/>
      </c>
      <c r="AF1819">
        <f>IF($AE1819="","",IF(ISNUMBER(Sync!$P1819),IF(AND(Sync!$P1819&gt;=10000101,Sync!$P1819&lt;=99991231),INT(Sync!$P1819/10000),""),IFERROR(VALUE(TRIM(LEFT(Sync!$P1819,FIND("/",Sync!$P1819)-1))),"")))</f>
        <v/>
      </c>
      <c r="AG1819">
        <f>IF(OR($AE1819="",$AF1819=""),"",IF(ISNUMBER(Sync!$P1819),INT(MOD(Sync!$P1819,10000)/100),IFERROR(VALUE(TRIM(LEFT(MID(Sync!$P1819,FIND("/",Sync!$P1819)+1,20),FIND("/",MID(Sync!$P1819,FIND("/",Sync!$P1819)+1,20))-1))),"")))</f>
        <v/>
      </c>
      <c r="AH1819">
        <f>IF(OR($AE1819="",$AF1819=""),"",IF(ISNUMBER(Sync!$P1819),MOD(Sync!$P1819,100),IFERROR(VALUE(TRIM(MID(MID(Sync!$P1819,FIND("/",Sync!$P1819)+1,20),FIND("/",MID(Sync!$P1819,FIND("/",Sync!$P1819)+1,20))+1,20))),"")))</f>
        <v/>
      </c>
      <c r="AI1819">
        <f>IF($AE1819="","",IF(OR($AF1819="",$AG1819="",$AH1819="",$AF1819&lt;1300,$AF1819&gt;1500,$AG1819&lt;1,$AG1819&gt;12,$AH1819&lt;1,$AH1819&gt;31),"نامعتبر",RIGHT("0000"&amp;$AF1819,4)&amp;"/"&amp;RIGHT("00"&amp;$AG1819,2)&amp;"/"&amp;RIGHT("00"&amp;$AH1819,2)))</f>
        <v/>
      </c>
      <c r="AJ1819">
        <f>IF($AE1819="","",IF(Sync!$Q1819="","0000",IF(AND(ISNUMBER(Sync!$Q1819),Sync!$Q1819&gt;=0,Sync!$Q1819&lt;1),RIGHT("00"&amp;HOUR(Sync!$Q1819),2)&amp;RIGHT("00"&amp;MINUTE(Sync!$Q1819),2),IFERROR(RIGHT("00"&amp;VALUE(LEFT(Sync!$Q1819,FIND(":",Sync!$Q1819)-1)),2)&amp;RIGHT("00"&amp;VALUE(MID(Sync!$Q1819,FIND(":",Sync!$Q1819)+1,2)),2),"0000"))))</f>
        <v/>
      </c>
      <c r="AK1819">
        <f>IF(OR($AE1819="",$AI1819="",$AI1819="نامعتبر"),"",LEFT($AI1819,4)&amp;MID($AI1819,6,2)&amp;RIGHT($AI1819,2)&amp;$AJ1819&amp;"|"&amp;"3"&amp;RIGHT("00000"&amp;1814,5))</f>
        <v/>
      </c>
      <c r="AL1819">
        <f>IF($AK1819="","",COUNTIFS(LdAParty,$AE1819,LdAType,1,LdAKey,"&lt;"&amp;$AK1819)+COUNTIFS(LdBMember,$AE1819,LdBKey,"&lt;"&amp;$AK1819)+COUNTIFS(LdCParty,$AE1819,LdCKey,"&lt;"&amp;$AK1819)+1)</f>
        <v/>
      </c>
      <c r="AM1819">
        <f>IF($AL1819="","",$AE1819&amp;"|"&amp;RIGHT("000000"&amp;$AL1819,6))</f>
        <v/>
      </c>
      <c r="AN1819">
        <f>IF($AE1819="","",IF(Sync!$W1819="",0,Sync!$W1819))</f>
        <v/>
      </c>
      <c r="AO1819">
        <f>IF($AE1819="","",IF(Sync!$X1819="",0,Sync!$X1819))</f>
        <v/>
      </c>
      <c r="AP1819">
        <f>IF($AE1819="","",Sync!$R1819)</f>
        <v/>
      </c>
      <c r="AQ1819">
        <f>IF($AE1819="","",Sync!$Y1819)</f>
        <v/>
      </c>
    </row>
    <row r="1820">
      <c r="A1820">
        <f>IF(OR(Wages!$B1823="",Wages!$E1823=""),"",Wages!$E1823)</f>
        <v/>
      </c>
      <c r="B1820">
        <f>IF($A1820="","",IF(Wages!$C1823="دستمزد گروهی",2,1))</f>
        <v/>
      </c>
      <c r="C1820">
        <f>IF($A1820="","",IF(ISNUMBER(Wages!$B1823),IF(AND(Wages!$B1823&gt;=10000101,Wages!$B1823&lt;=99991231),INT(Wages!$B1823/10000),""),IFERROR(VALUE(TRIM(LEFT(Wages!$B1823,FIND("/",Wages!$B1823)-1))),"")))</f>
        <v/>
      </c>
      <c r="D1820">
        <f>IF(OR($A1820="",$C1820=""),"",IF(ISNUMBER(Wages!$B1823),INT(MOD(Wages!$B1823,10000)/100),IFERROR(VALUE(TRIM(LEFT(MID(Wages!$B1823,FIND("/",Wages!$B1823)+1,20),FIND("/",MID(Wages!$B1823,FIND("/",Wages!$B1823)+1,20))-1))),"")))</f>
        <v/>
      </c>
      <c r="E1820">
        <f>IF(OR($A1820="",$C1820=""),"",IF(ISNUMBER(Wages!$B1823),MOD(Wages!$B1823,100),IFERROR(VALUE(TRIM(MID(MID(Wages!$B1823,FIND("/",Wages!$B1823)+1,20),FIND("/",MID(Wages!$B1823,FIND("/",Wages!$B1823)+1,20))+1,20))),"")))</f>
        <v/>
      </c>
      <c r="F1820">
        <f>IF($A1820="","",IF(OR($C1820="",$D1820="",$E1820="",$C1820&lt;1300,$C1820&gt;1500,$D1820&lt;1,$D1820&gt;12,$E1820&lt;1,$E1820&gt;31),"نامعتبر",RIGHT("0000"&amp;$C1820,4)&amp;"/"&amp;RIGHT("00"&amp;$D1820,2)&amp;"/"&amp;RIGHT("00"&amp;$E1820,2)))</f>
        <v/>
      </c>
      <c r="G1820">
        <f>IF(OR($A1820="",$F1820="",$F1820="نامعتبر"),"",LEFT($F1820,4)&amp;MID($F1820,6,2)&amp;RIGHT($F1820,2)&amp;"0000"&amp;"|"&amp;"1"&amp;RIGHT("00000"&amp;1815,5))</f>
        <v/>
      </c>
      <c r="H1820">
        <f>IF(OR($B1820&lt;&gt;1,$G1820=""),"",COUNTIFS(LdAParty,$A1820,LdAType,1,LdAKey,"&lt;"&amp;$G1820)+COUNTIFS(LdBMember,$A1820,LdBKey,"&lt;"&amp;$G1820)+COUNTIFS(LdCParty,$A1820,LdCKey,"&lt;"&amp;$G1820)+1)</f>
        <v/>
      </c>
      <c r="I1820">
        <f>IF($H1820="","",$A1820&amp;"|"&amp;RIGHT("000000"&amp;$H1820,6))</f>
        <v/>
      </c>
      <c r="J1820">
        <f>IF(OR($B1820&lt;&gt;2,$G1820=""),"",COUNTIFS(LdAParty,$A1820,LdAType,2,LdAKey,"&lt;"&amp;$G1820)+1)</f>
        <v/>
      </c>
      <c r="K1820">
        <f>IF($J1820="","",$A1820&amp;"|"&amp;RIGHT("000000"&amp;$J1820,6))</f>
        <v/>
      </c>
      <c r="L1820">
        <f>IF($A1820="","",IF(Wages!$G1823="",0,Wages!$G1823))</f>
        <v/>
      </c>
      <c r="M1820">
        <f>IF($A1820="","",Wages!$J1823)</f>
        <v/>
      </c>
      <c r="N1820">
        <f>IF($A1820="","",Wages!$D1823)</f>
        <v/>
      </c>
      <c r="P1820">
        <f>IF(OR(Shares!$B1823="",Shares!$C1823=""),"",Shares!$C1823)</f>
        <v/>
      </c>
      <c r="Q1820">
        <f>IF($P1820="","",Shares!$B1823)</f>
        <v/>
      </c>
      <c r="R1820">
        <f>IF($P1820="","",IFERROR(INDEX(WageParty,MATCH($Q1820,WageIds,0)),""))</f>
        <v/>
      </c>
      <c r="S1820">
        <f>IF($P1820="","",IFERROR(INDEX($F$6:$F$2005,MATCH($Q1820,WageIds,0)),""))</f>
        <v/>
      </c>
      <c r="T1820">
        <f>IF(OR($P1820="",$S1820="",$S1820="نامعتبر"),"",LEFT($S1820,4)&amp;MID($S1820,6,2)&amp;RIGHT($S1820,2)&amp;"0000"&amp;"|"&amp;"2"&amp;RIGHT("00000"&amp;1815,5))</f>
        <v/>
      </c>
      <c r="U1820">
        <f>IF($T1820="","",COUNTIFS(LdAParty,$P1820,LdAType,1,LdAKey,"&lt;"&amp;$T1820)+COUNTIFS(LdBMember,$P1820,LdBKey,"&lt;"&amp;$T1820)+COUNTIFS(LdCParty,$P1820,LdCKey,"&lt;"&amp;$T1820)+1)</f>
        <v/>
      </c>
      <c r="V1820">
        <f>IF($U1820="","",$P1820&amp;"|"&amp;RIGHT("000000"&amp;$U1820,6))</f>
        <v/>
      </c>
      <c r="W1820">
        <f>IF($T1820="","",COUNTIFS(LdBGroup,$R1820,LdBKey,"&lt;"&amp;$T1820)+1)</f>
        <v/>
      </c>
      <c r="X1820">
        <f>IF($W1820="","",$R1820&amp;"|"&amp;RIGHT("000000"&amp;$W1820,6))</f>
        <v/>
      </c>
      <c r="Y1820">
        <f>IF($P1820="","",IF(Shares!$E1823="",0,Shares!$E1823))</f>
        <v/>
      </c>
      <c r="Z1820">
        <f>IF($P1820="","",Shares!$H1823)</f>
        <v/>
      </c>
      <c r="AE1820">
        <f>IF(OR(Sync!$S1820="",Sync!$P1820=""),"",Sync!$S1820)</f>
        <v/>
      </c>
      <c r="AF1820">
        <f>IF($AE1820="","",IF(ISNUMBER(Sync!$P1820),IF(AND(Sync!$P1820&gt;=10000101,Sync!$P1820&lt;=99991231),INT(Sync!$P1820/10000),""),IFERROR(VALUE(TRIM(LEFT(Sync!$P1820,FIND("/",Sync!$P1820)-1))),"")))</f>
        <v/>
      </c>
      <c r="AG1820">
        <f>IF(OR($AE1820="",$AF1820=""),"",IF(ISNUMBER(Sync!$P1820),INT(MOD(Sync!$P1820,10000)/100),IFERROR(VALUE(TRIM(LEFT(MID(Sync!$P1820,FIND("/",Sync!$P1820)+1,20),FIND("/",MID(Sync!$P1820,FIND("/",Sync!$P1820)+1,20))-1))),"")))</f>
        <v/>
      </c>
      <c r="AH1820">
        <f>IF(OR($AE1820="",$AF1820=""),"",IF(ISNUMBER(Sync!$P1820),MOD(Sync!$P1820,100),IFERROR(VALUE(TRIM(MID(MID(Sync!$P1820,FIND("/",Sync!$P1820)+1,20),FIND("/",MID(Sync!$P1820,FIND("/",Sync!$P1820)+1,20))+1,20))),"")))</f>
        <v/>
      </c>
      <c r="AI1820">
        <f>IF($AE1820="","",IF(OR($AF1820="",$AG1820="",$AH1820="",$AF1820&lt;1300,$AF1820&gt;1500,$AG1820&lt;1,$AG1820&gt;12,$AH1820&lt;1,$AH1820&gt;31),"نامعتبر",RIGHT("0000"&amp;$AF1820,4)&amp;"/"&amp;RIGHT("00"&amp;$AG1820,2)&amp;"/"&amp;RIGHT("00"&amp;$AH1820,2)))</f>
        <v/>
      </c>
      <c r="AJ1820">
        <f>IF($AE1820="","",IF(Sync!$Q1820="","0000",IF(AND(ISNUMBER(Sync!$Q1820),Sync!$Q1820&gt;=0,Sync!$Q1820&lt;1),RIGHT("00"&amp;HOUR(Sync!$Q1820),2)&amp;RIGHT("00"&amp;MINUTE(Sync!$Q1820),2),IFERROR(RIGHT("00"&amp;VALUE(LEFT(Sync!$Q1820,FIND(":",Sync!$Q1820)-1)),2)&amp;RIGHT("00"&amp;VALUE(MID(Sync!$Q1820,FIND(":",Sync!$Q1820)+1,2)),2),"0000"))))</f>
        <v/>
      </c>
      <c r="AK1820">
        <f>IF(OR($AE1820="",$AI1820="",$AI1820="نامعتبر"),"",LEFT($AI1820,4)&amp;MID($AI1820,6,2)&amp;RIGHT($AI1820,2)&amp;$AJ1820&amp;"|"&amp;"3"&amp;RIGHT("00000"&amp;1815,5))</f>
        <v/>
      </c>
      <c r="AL1820">
        <f>IF($AK1820="","",COUNTIFS(LdAParty,$AE1820,LdAType,1,LdAKey,"&lt;"&amp;$AK1820)+COUNTIFS(LdBMember,$AE1820,LdBKey,"&lt;"&amp;$AK1820)+COUNTIFS(LdCParty,$AE1820,LdCKey,"&lt;"&amp;$AK1820)+1)</f>
        <v/>
      </c>
      <c r="AM1820">
        <f>IF($AL1820="","",$AE1820&amp;"|"&amp;RIGHT("000000"&amp;$AL1820,6))</f>
        <v/>
      </c>
      <c r="AN1820">
        <f>IF($AE1820="","",IF(Sync!$W1820="",0,Sync!$W1820))</f>
        <v/>
      </c>
      <c r="AO1820">
        <f>IF($AE1820="","",IF(Sync!$X1820="",0,Sync!$X1820))</f>
        <v/>
      </c>
      <c r="AP1820">
        <f>IF($AE1820="","",Sync!$R1820)</f>
        <v/>
      </c>
      <c r="AQ1820">
        <f>IF($AE1820="","",Sync!$Y1820)</f>
        <v/>
      </c>
    </row>
    <row r="1821">
      <c r="A1821">
        <f>IF(OR(Wages!$B1824="",Wages!$E1824=""),"",Wages!$E1824)</f>
        <v/>
      </c>
      <c r="B1821">
        <f>IF($A1821="","",IF(Wages!$C1824="دستمزد گروهی",2,1))</f>
        <v/>
      </c>
      <c r="C1821">
        <f>IF($A1821="","",IF(ISNUMBER(Wages!$B1824),IF(AND(Wages!$B1824&gt;=10000101,Wages!$B1824&lt;=99991231),INT(Wages!$B1824/10000),""),IFERROR(VALUE(TRIM(LEFT(Wages!$B1824,FIND("/",Wages!$B1824)-1))),"")))</f>
        <v/>
      </c>
      <c r="D1821">
        <f>IF(OR($A1821="",$C1821=""),"",IF(ISNUMBER(Wages!$B1824),INT(MOD(Wages!$B1824,10000)/100),IFERROR(VALUE(TRIM(LEFT(MID(Wages!$B1824,FIND("/",Wages!$B1824)+1,20),FIND("/",MID(Wages!$B1824,FIND("/",Wages!$B1824)+1,20))-1))),"")))</f>
        <v/>
      </c>
      <c r="E1821">
        <f>IF(OR($A1821="",$C1821=""),"",IF(ISNUMBER(Wages!$B1824),MOD(Wages!$B1824,100),IFERROR(VALUE(TRIM(MID(MID(Wages!$B1824,FIND("/",Wages!$B1824)+1,20),FIND("/",MID(Wages!$B1824,FIND("/",Wages!$B1824)+1,20))+1,20))),"")))</f>
        <v/>
      </c>
      <c r="F1821">
        <f>IF($A1821="","",IF(OR($C1821="",$D1821="",$E1821="",$C1821&lt;1300,$C1821&gt;1500,$D1821&lt;1,$D1821&gt;12,$E1821&lt;1,$E1821&gt;31),"نامعتبر",RIGHT("0000"&amp;$C1821,4)&amp;"/"&amp;RIGHT("00"&amp;$D1821,2)&amp;"/"&amp;RIGHT("00"&amp;$E1821,2)))</f>
        <v/>
      </c>
      <c r="G1821">
        <f>IF(OR($A1821="",$F1821="",$F1821="نامعتبر"),"",LEFT($F1821,4)&amp;MID($F1821,6,2)&amp;RIGHT($F1821,2)&amp;"0000"&amp;"|"&amp;"1"&amp;RIGHT("00000"&amp;1816,5))</f>
        <v/>
      </c>
      <c r="H1821">
        <f>IF(OR($B1821&lt;&gt;1,$G1821=""),"",COUNTIFS(LdAParty,$A1821,LdAType,1,LdAKey,"&lt;"&amp;$G1821)+COUNTIFS(LdBMember,$A1821,LdBKey,"&lt;"&amp;$G1821)+COUNTIFS(LdCParty,$A1821,LdCKey,"&lt;"&amp;$G1821)+1)</f>
        <v/>
      </c>
      <c r="I1821">
        <f>IF($H1821="","",$A1821&amp;"|"&amp;RIGHT("000000"&amp;$H1821,6))</f>
        <v/>
      </c>
      <c r="J1821">
        <f>IF(OR($B1821&lt;&gt;2,$G1821=""),"",COUNTIFS(LdAParty,$A1821,LdAType,2,LdAKey,"&lt;"&amp;$G1821)+1)</f>
        <v/>
      </c>
      <c r="K1821">
        <f>IF($J1821="","",$A1821&amp;"|"&amp;RIGHT("000000"&amp;$J1821,6))</f>
        <v/>
      </c>
      <c r="L1821">
        <f>IF($A1821="","",IF(Wages!$G1824="",0,Wages!$G1824))</f>
        <v/>
      </c>
      <c r="M1821">
        <f>IF($A1821="","",Wages!$J1824)</f>
        <v/>
      </c>
      <c r="N1821">
        <f>IF($A1821="","",Wages!$D1824)</f>
        <v/>
      </c>
      <c r="P1821">
        <f>IF(OR(Shares!$B1824="",Shares!$C1824=""),"",Shares!$C1824)</f>
        <v/>
      </c>
      <c r="Q1821">
        <f>IF($P1821="","",Shares!$B1824)</f>
        <v/>
      </c>
      <c r="R1821">
        <f>IF($P1821="","",IFERROR(INDEX(WageParty,MATCH($Q1821,WageIds,0)),""))</f>
        <v/>
      </c>
      <c r="S1821">
        <f>IF($P1821="","",IFERROR(INDEX($F$6:$F$2005,MATCH($Q1821,WageIds,0)),""))</f>
        <v/>
      </c>
      <c r="T1821">
        <f>IF(OR($P1821="",$S1821="",$S1821="نامعتبر"),"",LEFT($S1821,4)&amp;MID($S1821,6,2)&amp;RIGHT($S1821,2)&amp;"0000"&amp;"|"&amp;"2"&amp;RIGHT("00000"&amp;1816,5))</f>
        <v/>
      </c>
      <c r="U1821">
        <f>IF($T1821="","",COUNTIFS(LdAParty,$P1821,LdAType,1,LdAKey,"&lt;"&amp;$T1821)+COUNTIFS(LdBMember,$P1821,LdBKey,"&lt;"&amp;$T1821)+COUNTIFS(LdCParty,$P1821,LdCKey,"&lt;"&amp;$T1821)+1)</f>
        <v/>
      </c>
      <c r="V1821">
        <f>IF($U1821="","",$P1821&amp;"|"&amp;RIGHT("000000"&amp;$U1821,6))</f>
        <v/>
      </c>
      <c r="W1821">
        <f>IF($T1821="","",COUNTIFS(LdBGroup,$R1821,LdBKey,"&lt;"&amp;$T1821)+1)</f>
        <v/>
      </c>
      <c r="X1821">
        <f>IF($W1821="","",$R1821&amp;"|"&amp;RIGHT("000000"&amp;$W1821,6))</f>
        <v/>
      </c>
      <c r="Y1821">
        <f>IF($P1821="","",IF(Shares!$E1824="",0,Shares!$E1824))</f>
        <v/>
      </c>
      <c r="Z1821">
        <f>IF($P1821="","",Shares!$H1824)</f>
        <v/>
      </c>
      <c r="AE1821">
        <f>IF(OR(Sync!$S1821="",Sync!$P1821=""),"",Sync!$S1821)</f>
        <v/>
      </c>
      <c r="AF1821">
        <f>IF($AE1821="","",IF(ISNUMBER(Sync!$P1821),IF(AND(Sync!$P1821&gt;=10000101,Sync!$P1821&lt;=99991231),INT(Sync!$P1821/10000),""),IFERROR(VALUE(TRIM(LEFT(Sync!$P1821,FIND("/",Sync!$P1821)-1))),"")))</f>
        <v/>
      </c>
      <c r="AG1821">
        <f>IF(OR($AE1821="",$AF1821=""),"",IF(ISNUMBER(Sync!$P1821),INT(MOD(Sync!$P1821,10000)/100),IFERROR(VALUE(TRIM(LEFT(MID(Sync!$P1821,FIND("/",Sync!$P1821)+1,20),FIND("/",MID(Sync!$P1821,FIND("/",Sync!$P1821)+1,20))-1))),"")))</f>
        <v/>
      </c>
      <c r="AH1821">
        <f>IF(OR($AE1821="",$AF1821=""),"",IF(ISNUMBER(Sync!$P1821),MOD(Sync!$P1821,100),IFERROR(VALUE(TRIM(MID(MID(Sync!$P1821,FIND("/",Sync!$P1821)+1,20),FIND("/",MID(Sync!$P1821,FIND("/",Sync!$P1821)+1,20))+1,20))),"")))</f>
        <v/>
      </c>
      <c r="AI1821">
        <f>IF($AE1821="","",IF(OR($AF1821="",$AG1821="",$AH1821="",$AF1821&lt;1300,$AF1821&gt;1500,$AG1821&lt;1,$AG1821&gt;12,$AH1821&lt;1,$AH1821&gt;31),"نامعتبر",RIGHT("0000"&amp;$AF1821,4)&amp;"/"&amp;RIGHT("00"&amp;$AG1821,2)&amp;"/"&amp;RIGHT("00"&amp;$AH1821,2)))</f>
        <v/>
      </c>
      <c r="AJ1821">
        <f>IF($AE1821="","",IF(Sync!$Q1821="","0000",IF(AND(ISNUMBER(Sync!$Q1821),Sync!$Q1821&gt;=0,Sync!$Q1821&lt;1),RIGHT("00"&amp;HOUR(Sync!$Q1821),2)&amp;RIGHT("00"&amp;MINUTE(Sync!$Q1821),2),IFERROR(RIGHT("00"&amp;VALUE(LEFT(Sync!$Q1821,FIND(":",Sync!$Q1821)-1)),2)&amp;RIGHT("00"&amp;VALUE(MID(Sync!$Q1821,FIND(":",Sync!$Q1821)+1,2)),2),"0000"))))</f>
        <v/>
      </c>
      <c r="AK1821">
        <f>IF(OR($AE1821="",$AI1821="",$AI1821="نامعتبر"),"",LEFT($AI1821,4)&amp;MID($AI1821,6,2)&amp;RIGHT($AI1821,2)&amp;$AJ1821&amp;"|"&amp;"3"&amp;RIGHT("00000"&amp;1816,5))</f>
        <v/>
      </c>
      <c r="AL1821">
        <f>IF($AK1821="","",COUNTIFS(LdAParty,$AE1821,LdAType,1,LdAKey,"&lt;"&amp;$AK1821)+COUNTIFS(LdBMember,$AE1821,LdBKey,"&lt;"&amp;$AK1821)+COUNTIFS(LdCParty,$AE1821,LdCKey,"&lt;"&amp;$AK1821)+1)</f>
        <v/>
      </c>
      <c r="AM1821">
        <f>IF($AL1821="","",$AE1821&amp;"|"&amp;RIGHT("000000"&amp;$AL1821,6))</f>
        <v/>
      </c>
      <c r="AN1821">
        <f>IF($AE1821="","",IF(Sync!$W1821="",0,Sync!$W1821))</f>
        <v/>
      </c>
      <c r="AO1821">
        <f>IF($AE1821="","",IF(Sync!$X1821="",0,Sync!$X1821))</f>
        <v/>
      </c>
      <c r="AP1821">
        <f>IF($AE1821="","",Sync!$R1821)</f>
        <v/>
      </c>
      <c r="AQ1821">
        <f>IF($AE1821="","",Sync!$Y1821)</f>
        <v/>
      </c>
    </row>
    <row r="1822">
      <c r="A1822">
        <f>IF(OR(Wages!$B1825="",Wages!$E1825=""),"",Wages!$E1825)</f>
        <v/>
      </c>
      <c r="B1822">
        <f>IF($A1822="","",IF(Wages!$C1825="دستمزد گروهی",2,1))</f>
        <v/>
      </c>
      <c r="C1822">
        <f>IF($A1822="","",IF(ISNUMBER(Wages!$B1825),IF(AND(Wages!$B1825&gt;=10000101,Wages!$B1825&lt;=99991231),INT(Wages!$B1825/10000),""),IFERROR(VALUE(TRIM(LEFT(Wages!$B1825,FIND("/",Wages!$B1825)-1))),"")))</f>
        <v/>
      </c>
      <c r="D1822">
        <f>IF(OR($A1822="",$C1822=""),"",IF(ISNUMBER(Wages!$B1825),INT(MOD(Wages!$B1825,10000)/100),IFERROR(VALUE(TRIM(LEFT(MID(Wages!$B1825,FIND("/",Wages!$B1825)+1,20),FIND("/",MID(Wages!$B1825,FIND("/",Wages!$B1825)+1,20))-1))),"")))</f>
        <v/>
      </c>
      <c r="E1822">
        <f>IF(OR($A1822="",$C1822=""),"",IF(ISNUMBER(Wages!$B1825),MOD(Wages!$B1825,100),IFERROR(VALUE(TRIM(MID(MID(Wages!$B1825,FIND("/",Wages!$B1825)+1,20),FIND("/",MID(Wages!$B1825,FIND("/",Wages!$B1825)+1,20))+1,20))),"")))</f>
        <v/>
      </c>
      <c r="F1822">
        <f>IF($A1822="","",IF(OR($C1822="",$D1822="",$E1822="",$C1822&lt;1300,$C1822&gt;1500,$D1822&lt;1,$D1822&gt;12,$E1822&lt;1,$E1822&gt;31),"نامعتبر",RIGHT("0000"&amp;$C1822,4)&amp;"/"&amp;RIGHT("00"&amp;$D1822,2)&amp;"/"&amp;RIGHT("00"&amp;$E1822,2)))</f>
        <v/>
      </c>
      <c r="G1822">
        <f>IF(OR($A1822="",$F1822="",$F1822="نامعتبر"),"",LEFT($F1822,4)&amp;MID($F1822,6,2)&amp;RIGHT($F1822,2)&amp;"0000"&amp;"|"&amp;"1"&amp;RIGHT("00000"&amp;1817,5))</f>
        <v/>
      </c>
      <c r="H1822">
        <f>IF(OR($B1822&lt;&gt;1,$G1822=""),"",COUNTIFS(LdAParty,$A1822,LdAType,1,LdAKey,"&lt;"&amp;$G1822)+COUNTIFS(LdBMember,$A1822,LdBKey,"&lt;"&amp;$G1822)+COUNTIFS(LdCParty,$A1822,LdCKey,"&lt;"&amp;$G1822)+1)</f>
        <v/>
      </c>
      <c r="I1822">
        <f>IF($H1822="","",$A1822&amp;"|"&amp;RIGHT("000000"&amp;$H1822,6))</f>
        <v/>
      </c>
      <c r="J1822">
        <f>IF(OR($B1822&lt;&gt;2,$G1822=""),"",COUNTIFS(LdAParty,$A1822,LdAType,2,LdAKey,"&lt;"&amp;$G1822)+1)</f>
        <v/>
      </c>
      <c r="K1822">
        <f>IF($J1822="","",$A1822&amp;"|"&amp;RIGHT("000000"&amp;$J1822,6))</f>
        <v/>
      </c>
      <c r="L1822">
        <f>IF($A1822="","",IF(Wages!$G1825="",0,Wages!$G1825))</f>
        <v/>
      </c>
      <c r="M1822">
        <f>IF($A1822="","",Wages!$J1825)</f>
        <v/>
      </c>
      <c r="N1822">
        <f>IF($A1822="","",Wages!$D1825)</f>
        <v/>
      </c>
      <c r="P1822">
        <f>IF(OR(Shares!$B1825="",Shares!$C1825=""),"",Shares!$C1825)</f>
        <v/>
      </c>
      <c r="Q1822">
        <f>IF($P1822="","",Shares!$B1825)</f>
        <v/>
      </c>
      <c r="R1822">
        <f>IF($P1822="","",IFERROR(INDEX(WageParty,MATCH($Q1822,WageIds,0)),""))</f>
        <v/>
      </c>
      <c r="S1822">
        <f>IF($P1822="","",IFERROR(INDEX($F$6:$F$2005,MATCH($Q1822,WageIds,0)),""))</f>
        <v/>
      </c>
      <c r="T1822">
        <f>IF(OR($P1822="",$S1822="",$S1822="نامعتبر"),"",LEFT($S1822,4)&amp;MID($S1822,6,2)&amp;RIGHT($S1822,2)&amp;"0000"&amp;"|"&amp;"2"&amp;RIGHT("00000"&amp;1817,5))</f>
        <v/>
      </c>
      <c r="U1822">
        <f>IF($T1822="","",COUNTIFS(LdAParty,$P1822,LdAType,1,LdAKey,"&lt;"&amp;$T1822)+COUNTIFS(LdBMember,$P1822,LdBKey,"&lt;"&amp;$T1822)+COUNTIFS(LdCParty,$P1822,LdCKey,"&lt;"&amp;$T1822)+1)</f>
        <v/>
      </c>
      <c r="V1822">
        <f>IF($U1822="","",$P1822&amp;"|"&amp;RIGHT("000000"&amp;$U1822,6))</f>
        <v/>
      </c>
      <c r="W1822">
        <f>IF($T1822="","",COUNTIFS(LdBGroup,$R1822,LdBKey,"&lt;"&amp;$T1822)+1)</f>
        <v/>
      </c>
      <c r="X1822">
        <f>IF($W1822="","",$R1822&amp;"|"&amp;RIGHT("000000"&amp;$W1822,6))</f>
        <v/>
      </c>
      <c r="Y1822">
        <f>IF($P1822="","",IF(Shares!$E1825="",0,Shares!$E1825))</f>
        <v/>
      </c>
      <c r="Z1822">
        <f>IF($P1822="","",Shares!$H1825)</f>
        <v/>
      </c>
      <c r="AE1822">
        <f>IF(OR(Sync!$S1822="",Sync!$P1822=""),"",Sync!$S1822)</f>
        <v/>
      </c>
      <c r="AF1822">
        <f>IF($AE1822="","",IF(ISNUMBER(Sync!$P1822),IF(AND(Sync!$P1822&gt;=10000101,Sync!$P1822&lt;=99991231),INT(Sync!$P1822/10000),""),IFERROR(VALUE(TRIM(LEFT(Sync!$P1822,FIND("/",Sync!$P1822)-1))),"")))</f>
        <v/>
      </c>
      <c r="AG1822">
        <f>IF(OR($AE1822="",$AF1822=""),"",IF(ISNUMBER(Sync!$P1822),INT(MOD(Sync!$P1822,10000)/100),IFERROR(VALUE(TRIM(LEFT(MID(Sync!$P1822,FIND("/",Sync!$P1822)+1,20),FIND("/",MID(Sync!$P1822,FIND("/",Sync!$P1822)+1,20))-1))),"")))</f>
        <v/>
      </c>
      <c r="AH1822">
        <f>IF(OR($AE1822="",$AF1822=""),"",IF(ISNUMBER(Sync!$P1822),MOD(Sync!$P1822,100),IFERROR(VALUE(TRIM(MID(MID(Sync!$P1822,FIND("/",Sync!$P1822)+1,20),FIND("/",MID(Sync!$P1822,FIND("/",Sync!$P1822)+1,20))+1,20))),"")))</f>
        <v/>
      </c>
      <c r="AI1822">
        <f>IF($AE1822="","",IF(OR($AF1822="",$AG1822="",$AH1822="",$AF1822&lt;1300,$AF1822&gt;1500,$AG1822&lt;1,$AG1822&gt;12,$AH1822&lt;1,$AH1822&gt;31),"نامعتبر",RIGHT("0000"&amp;$AF1822,4)&amp;"/"&amp;RIGHT("00"&amp;$AG1822,2)&amp;"/"&amp;RIGHT("00"&amp;$AH1822,2)))</f>
        <v/>
      </c>
      <c r="AJ1822">
        <f>IF($AE1822="","",IF(Sync!$Q1822="","0000",IF(AND(ISNUMBER(Sync!$Q1822),Sync!$Q1822&gt;=0,Sync!$Q1822&lt;1),RIGHT("00"&amp;HOUR(Sync!$Q1822),2)&amp;RIGHT("00"&amp;MINUTE(Sync!$Q1822),2),IFERROR(RIGHT("00"&amp;VALUE(LEFT(Sync!$Q1822,FIND(":",Sync!$Q1822)-1)),2)&amp;RIGHT("00"&amp;VALUE(MID(Sync!$Q1822,FIND(":",Sync!$Q1822)+1,2)),2),"0000"))))</f>
        <v/>
      </c>
      <c r="AK1822">
        <f>IF(OR($AE1822="",$AI1822="",$AI1822="نامعتبر"),"",LEFT($AI1822,4)&amp;MID($AI1822,6,2)&amp;RIGHT($AI1822,2)&amp;$AJ1822&amp;"|"&amp;"3"&amp;RIGHT("00000"&amp;1817,5))</f>
        <v/>
      </c>
      <c r="AL1822">
        <f>IF($AK1822="","",COUNTIFS(LdAParty,$AE1822,LdAType,1,LdAKey,"&lt;"&amp;$AK1822)+COUNTIFS(LdBMember,$AE1822,LdBKey,"&lt;"&amp;$AK1822)+COUNTIFS(LdCParty,$AE1822,LdCKey,"&lt;"&amp;$AK1822)+1)</f>
        <v/>
      </c>
      <c r="AM1822">
        <f>IF($AL1822="","",$AE1822&amp;"|"&amp;RIGHT("000000"&amp;$AL1822,6))</f>
        <v/>
      </c>
      <c r="AN1822">
        <f>IF($AE1822="","",IF(Sync!$W1822="",0,Sync!$W1822))</f>
        <v/>
      </c>
      <c r="AO1822">
        <f>IF($AE1822="","",IF(Sync!$X1822="",0,Sync!$X1822))</f>
        <v/>
      </c>
      <c r="AP1822">
        <f>IF($AE1822="","",Sync!$R1822)</f>
        <v/>
      </c>
      <c r="AQ1822">
        <f>IF($AE1822="","",Sync!$Y1822)</f>
        <v/>
      </c>
    </row>
    <row r="1823">
      <c r="A1823">
        <f>IF(OR(Wages!$B1826="",Wages!$E1826=""),"",Wages!$E1826)</f>
        <v/>
      </c>
      <c r="B1823">
        <f>IF($A1823="","",IF(Wages!$C1826="دستمزد گروهی",2,1))</f>
        <v/>
      </c>
      <c r="C1823">
        <f>IF($A1823="","",IF(ISNUMBER(Wages!$B1826),IF(AND(Wages!$B1826&gt;=10000101,Wages!$B1826&lt;=99991231),INT(Wages!$B1826/10000),""),IFERROR(VALUE(TRIM(LEFT(Wages!$B1826,FIND("/",Wages!$B1826)-1))),"")))</f>
        <v/>
      </c>
      <c r="D1823">
        <f>IF(OR($A1823="",$C1823=""),"",IF(ISNUMBER(Wages!$B1826),INT(MOD(Wages!$B1826,10000)/100),IFERROR(VALUE(TRIM(LEFT(MID(Wages!$B1826,FIND("/",Wages!$B1826)+1,20),FIND("/",MID(Wages!$B1826,FIND("/",Wages!$B1826)+1,20))-1))),"")))</f>
        <v/>
      </c>
      <c r="E1823">
        <f>IF(OR($A1823="",$C1823=""),"",IF(ISNUMBER(Wages!$B1826),MOD(Wages!$B1826,100),IFERROR(VALUE(TRIM(MID(MID(Wages!$B1826,FIND("/",Wages!$B1826)+1,20),FIND("/",MID(Wages!$B1826,FIND("/",Wages!$B1826)+1,20))+1,20))),"")))</f>
        <v/>
      </c>
      <c r="F1823">
        <f>IF($A1823="","",IF(OR($C1823="",$D1823="",$E1823="",$C1823&lt;1300,$C1823&gt;1500,$D1823&lt;1,$D1823&gt;12,$E1823&lt;1,$E1823&gt;31),"نامعتبر",RIGHT("0000"&amp;$C1823,4)&amp;"/"&amp;RIGHT("00"&amp;$D1823,2)&amp;"/"&amp;RIGHT("00"&amp;$E1823,2)))</f>
        <v/>
      </c>
      <c r="G1823">
        <f>IF(OR($A1823="",$F1823="",$F1823="نامعتبر"),"",LEFT($F1823,4)&amp;MID($F1823,6,2)&amp;RIGHT($F1823,2)&amp;"0000"&amp;"|"&amp;"1"&amp;RIGHT("00000"&amp;1818,5))</f>
        <v/>
      </c>
      <c r="H1823">
        <f>IF(OR($B1823&lt;&gt;1,$G1823=""),"",COUNTIFS(LdAParty,$A1823,LdAType,1,LdAKey,"&lt;"&amp;$G1823)+COUNTIFS(LdBMember,$A1823,LdBKey,"&lt;"&amp;$G1823)+COUNTIFS(LdCParty,$A1823,LdCKey,"&lt;"&amp;$G1823)+1)</f>
        <v/>
      </c>
      <c r="I1823">
        <f>IF($H1823="","",$A1823&amp;"|"&amp;RIGHT("000000"&amp;$H1823,6))</f>
        <v/>
      </c>
      <c r="J1823">
        <f>IF(OR($B1823&lt;&gt;2,$G1823=""),"",COUNTIFS(LdAParty,$A1823,LdAType,2,LdAKey,"&lt;"&amp;$G1823)+1)</f>
        <v/>
      </c>
      <c r="K1823">
        <f>IF($J1823="","",$A1823&amp;"|"&amp;RIGHT("000000"&amp;$J1823,6))</f>
        <v/>
      </c>
      <c r="L1823">
        <f>IF($A1823="","",IF(Wages!$G1826="",0,Wages!$G1826))</f>
        <v/>
      </c>
      <c r="M1823">
        <f>IF($A1823="","",Wages!$J1826)</f>
        <v/>
      </c>
      <c r="N1823">
        <f>IF($A1823="","",Wages!$D1826)</f>
        <v/>
      </c>
      <c r="P1823">
        <f>IF(OR(Shares!$B1826="",Shares!$C1826=""),"",Shares!$C1826)</f>
        <v/>
      </c>
      <c r="Q1823">
        <f>IF($P1823="","",Shares!$B1826)</f>
        <v/>
      </c>
      <c r="R1823">
        <f>IF($P1823="","",IFERROR(INDEX(WageParty,MATCH($Q1823,WageIds,0)),""))</f>
        <v/>
      </c>
      <c r="S1823">
        <f>IF($P1823="","",IFERROR(INDEX($F$6:$F$2005,MATCH($Q1823,WageIds,0)),""))</f>
        <v/>
      </c>
      <c r="T1823">
        <f>IF(OR($P1823="",$S1823="",$S1823="نامعتبر"),"",LEFT($S1823,4)&amp;MID($S1823,6,2)&amp;RIGHT($S1823,2)&amp;"0000"&amp;"|"&amp;"2"&amp;RIGHT("00000"&amp;1818,5))</f>
        <v/>
      </c>
      <c r="U1823">
        <f>IF($T1823="","",COUNTIFS(LdAParty,$P1823,LdAType,1,LdAKey,"&lt;"&amp;$T1823)+COUNTIFS(LdBMember,$P1823,LdBKey,"&lt;"&amp;$T1823)+COUNTIFS(LdCParty,$P1823,LdCKey,"&lt;"&amp;$T1823)+1)</f>
        <v/>
      </c>
      <c r="V1823">
        <f>IF($U1823="","",$P1823&amp;"|"&amp;RIGHT("000000"&amp;$U1823,6))</f>
        <v/>
      </c>
      <c r="W1823">
        <f>IF($T1823="","",COUNTIFS(LdBGroup,$R1823,LdBKey,"&lt;"&amp;$T1823)+1)</f>
        <v/>
      </c>
      <c r="X1823">
        <f>IF($W1823="","",$R1823&amp;"|"&amp;RIGHT("000000"&amp;$W1823,6))</f>
        <v/>
      </c>
      <c r="Y1823">
        <f>IF($P1823="","",IF(Shares!$E1826="",0,Shares!$E1826))</f>
        <v/>
      </c>
      <c r="Z1823">
        <f>IF($P1823="","",Shares!$H1826)</f>
        <v/>
      </c>
      <c r="AE1823">
        <f>IF(OR(Sync!$S1823="",Sync!$P1823=""),"",Sync!$S1823)</f>
        <v/>
      </c>
      <c r="AF1823">
        <f>IF($AE1823="","",IF(ISNUMBER(Sync!$P1823),IF(AND(Sync!$P1823&gt;=10000101,Sync!$P1823&lt;=99991231),INT(Sync!$P1823/10000),""),IFERROR(VALUE(TRIM(LEFT(Sync!$P1823,FIND("/",Sync!$P1823)-1))),"")))</f>
        <v/>
      </c>
      <c r="AG1823">
        <f>IF(OR($AE1823="",$AF1823=""),"",IF(ISNUMBER(Sync!$P1823),INT(MOD(Sync!$P1823,10000)/100),IFERROR(VALUE(TRIM(LEFT(MID(Sync!$P1823,FIND("/",Sync!$P1823)+1,20),FIND("/",MID(Sync!$P1823,FIND("/",Sync!$P1823)+1,20))-1))),"")))</f>
        <v/>
      </c>
      <c r="AH1823">
        <f>IF(OR($AE1823="",$AF1823=""),"",IF(ISNUMBER(Sync!$P1823),MOD(Sync!$P1823,100),IFERROR(VALUE(TRIM(MID(MID(Sync!$P1823,FIND("/",Sync!$P1823)+1,20),FIND("/",MID(Sync!$P1823,FIND("/",Sync!$P1823)+1,20))+1,20))),"")))</f>
        <v/>
      </c>
      <c r="AI1823">
        <f>IF($AE1823="","",IF(OR($AF1823="",$AG1823="",$AH1823="",$AF1823&lt;1300,$AF1823&gt;1500,$AG1823&lt;1,$AG1823&gt;12,$AH1823&lt;1,$AH1823&gt;31),"نامعتبر",RIGHT("0000"&amp;$AF1823,4)&amp;"/"&amp;RIGHT("00"&amp;$AG1823,2)&amp;"/"&amp;RIGHT("00"&amp;$AH1823,2)))</f>
        <v/>
      </c>
      <c r="AJ1823">
        <f>IF($AE1823="","",IF(Sync!$Q1823="","0000",IF(AND(ISNUMBER(Sync!$Q1823),Sync!$Q1823&gt;=0,Sync!$Q1823&lt;1),RIGHT("00"&amp;HOUR(Sync!$Q1823),2)&amp;RIGHT("00"&amp;MINUTE(Sync!$Q1823),2),IFERROR(RIGHT("00"&amp;VALUE(LEFT(Sync!$Q1823,FIND(":",Sync!$Q1823)-1)),2)&amp;RIGHT("00"&amp;VALUE(MID(Sync!$Q1823,FIND(":",Sync!$Q1823)+1,2)),2),"0000"))))</f>
        <v/>
      </c>
      <c r="AK1823">
        <f>IF(OR($AE1823="",$AI1823="",$AI1823="نامعتبر"),"",LEFT($AI1823,4)&amp;MID($AI1823,6,2)&amp;RIGHT($AI1823,2)&amp;$AJ1823&amp;"|"&amp;"3"&amp;RIGHT("00000"&amp;1818,5))</f>
        <v/>
      </c>
      <c r="AL1823">
        <f>IF($AK1823="","",COUNTIFS(LdAParty,$AE1823,LdAType,1,LdAKey,"&lt;"&amp;$AK1823)+COUNTIFS(LdBMember,$AE1823,LdBKey,"&lt;"&amp;$AK1823)+COUNTIFS(LdCParty,$AE1823,LdCKey,"&lt;"&amp;$AK1823)+1)</f>
        <v/>
      </c>
      <c r="AM1823">
        <f>IF($AL1823="","",$AE1823&amp;"|"&amp;RIGHT("000000"&amp;$AL1823,6))</f>
        <v/>
      </c>
      <c r="AN1823">
        <f>IF($AE1823="","",IF(Sync!$W1823="",0,Sync!$W1823))</f>
        <v/>
      </c>
      <c r="AO1823">
        <f>IF($AE1823="","",IF(Sync!$X1823="",0,Sync!$X1823))</f>
        <v/>
      </c>
      <c r="AP1823">
        <f>IF($AE1823="","",Sync!$R1823)</f>
        <v/>
      </c>
      <c r="AQ1823">
        <f>IF($AE1823="","",Sync!$Y1823)</f>
        <v/>
      </c>
    </row>
    <row r="1824">
      <c r="A1824">
        <f>IF(OR(Wages!$B1827="",Wages!$E1827=""),"",Wages!$E1827)</f>
        <v/>
      </c>
      <c r="B1824">
        <f>IF($A1824="","",IF(Wages!$C1827="دستمزد گروهی",2,1))</f>
        <v/>
      </c>
      <c r="C1824">
        <f>IF($A1824="","",IF(ISNUMBER(Wages!$B1827),IF(AND(Wages!$B1827&gt;=10000101,Wages!$B1827&lt;=99991231),INT(Wages!$B1827/10000),""),IFERROR(VALUE(TRIM(LEFT(Wages!$B1827,FIND("/",Wages!$B1827)-1))),"")))</f>
        <v/>
      </c>
      <c r="D1824">
        <f>IF(OR($A1824="",$C1824=""),"",IF(ISNUMBER(Wages!$B1827),INT(MOD(Wages!$B1827,10000)/100),IFERROR(VALUE(TRIM(LEFT(MID(Wages!$B1827,FIND("/",Wages!$B1827)+1,20),FIND("/",MID(Wages!$B1827,FIND("/",Wages!$B1827)+1,20))-1))),"")))</f>
        <v/>
      </c>
      <c r="E1824">
        <f>IF(OR($A1824="",$C1824=""),"",IF(ISNUMBER(Wages!$B1827),MOD(Wages!$B1827,100),IFERROR(VALUE(TRIM(MID(MID(Wages!$B1827,FIND("/",Wages!$B1827)+1,20),FIND("/",MID(Wages!$B1827,FIND("/",Wages!$B1827)+1,20))+1,20))),"")))</f>
        <v/>
      </c>
      <c r="F1824">
        <f>IF($A1824="","",IF(OR($C1824="",$D1824="",$E1824="",$C1824&lt;1300,$C1824&gt;1500,$D1824&lt;1,$D1824&gt;12,$E1824&lt;1,$E1824&gt;31),"نامعتبر",RIGHT("0000"&amp;$C1824,4)&amp;"/"&amp;RIGHT("00"&amp;$D1824,2)&amp;"/"&amp;RIGHT("00"&amp;$E1824,2)))</f>
        <v/>
      </c>
      <c r="G1824">
        <f>IF(OR($A1824="",$F1824="",$F1824="نامعتبر"),"",LEFT($F1824,4)&amp;MID($F1824,6,2)&amp;RIGHT($F1824,2)&amp;"0000"&amp;"|"&amp;"1"&amp;RIGHT("00000"&amp;1819,5))</f>
        <v/>
      </c>
      <c r="H1824">
        <f>IF(OR($B1824&lt;&gt;1,$G1824=""),"",COUNTIFS(LdAParty,$A1824,LdAType,1,LdAKey,"&lt;"&amp;$G1824)+COUNTIFS(LdBMember,$A1824,LdBKey,"&lt;"&amp;$G1824)+COUNTIFS(LdCParty,$A1824,LdCKey,"&lt;"&amp;$G1824)+1)</f>
        <v/>
      </c>
      <c r="I1824">
        <f>IF($H1824="","",$A1824&amp;"|"&amp;RIGHT("000000"&amp;$H1824,6))</f>
        <v/>
      </c>
      <c r="J1824">
        <f>IF(OR($B1824&lt;&gt;2,$G1824=""),"",COUNTIFS(LdAParty,$A1824,LdAType,2,LdAKey,"&lt;"&amp;$G1824)+1)</f>
        <v/>
      </c>
      <c r="K1824">
        <f>IF($J1824="","",$A1824&amp;"|"&amp;RIGHT("000000"&amp;$J1824,6))</f>
        <v/>
      </c>
      <c r="L1824">
        <f>IF($A1824="","",IF(Wages!$G1827="",0,Wages!$G1827))</f>
        <v/>
      </c>
      <c r="M1824">
        <f>IF($A1824="","",Wages!$J1827)</f>
        <v/>
      </c>
      <c r="N1824">
        <f>IF($A1824="","",Wages!$D1827)</f>
        <v/>
      </c>
      <c r="P1824">
        <f>IF(OR(Shares!$B1827="",Shares!$C1827=""),"",Shares!$C1827)</f>
        <v/>
      </c>
      <c r="Q1824">
        <f>IF($P1824="","",Shares!$B1827)</f>
        <v/>
      </c>
      <c r="R1824">
        <f>IF($P1824="","",IFERROR(INDEX(WageParty,MATCH($Q1824,WageIds,0)),""))</f>
        <v/>
      </c>
      <c r="S1824">
        <f>IF($P1824="","",IFERROR(INDEX($F$6:$F$2005,MATCH($Q1824,WageIds,0)),""))</f>
        <v/>
      </c>
      <c r="T1824">
        <f>IF(OR($P1824="",$S1824="",$S1824="نامعتبر"),"",LEFT($S1824,4)&amp;MID($S1824,6,2)&amp;RIGHT($S1824,2)&amp;"0000"&amp;"|"&amp;"2"&amp;RIGHT("00000"&amp;1819,5))</f>
        <v/>
      </c>
      <c r="U1824">
        <f>IF($T1824="","",COUNTIFS(LdAParty,$P1824,LdAType,1,LdAKey,"&lt;"&amp;$T1824)+COUNTIFS(LdBMember,$P1824,LdBKey,"&lt;"&amp;$T1824)+COUNTIFS(LdCParty,$P1824,LdCKey,"&lt;"&amp;$T1824)+1)</f>
        <v/>
      </c>
      <c r="V1824">
        <f>IF($U1824="","",$P1824&amp;"|"&amp;RIGHT("000000"&amp;$U1824,6))</f>
        <v/>
      </c>
      <c r="W1824">
        <f>IF($T1824="","",COUNTIFS(LdBGroup,$R1824,LdBKey,"&lt;"&amp;$T1824)+1)</f>
        <v/>
      </c>
      <c r="X1824">
        <f>IF($W1824="","",$R1824&amp;"|"&amp;RIGHT("000000"&amp;$W1824,6))</f>
        <v/>
      </c>
      <c r="Y1824">
        <f>IF($P1824="","",IF(Shares!$E1827="",0,Shares!$E1827))</f>
        <v/>
      </c>
      <c r="Z1824">
        <f>IF($P1824="","",Shares!$H1827)</f>
        <v/>
      </c>
      <c r="AE1824">
        <f>IF(OR(Sync!$S1824="",Sync!$P1824=""),"",Sync!$S1824)</f>
        <v/>
      </c>
      <c r="AF1824">
        <f>IF($AE1824="","",IF(ISNUMBER(Sync!$P1824),IF(AND(Sync!$P1824&gt;=10000101,Sync!$P1824&lt;=99991231),INT(Sync!$P1824/10000),""),IFERROR(VALUE(TRIM(LEFT(Sync!$P1824,FIND("/",Sync!$P1824)-1))),"")))</f>
        <v/>
      </c>
      <c r="AG1824">
        <f>IF(OR($AE1824="",$AF1824=""),"",IF(ISNUMBER(Sync!$P1824),INT(MOD(Sync!$P1824,10000)/100),IFERROR(VALUE(TRIM(LEFT(MID(Sync!$P1824,FIND("/",Sync!$P1824)+1,20),FIND("/",MID(Sync!$P1824,FIND("/",Sync!$P1824)+1,20))-1))),"")))</f>
        <v/>
      </c>
      <c r="AH1824">
        <f>IF(OR($AE1824="",$AF1824=""),"",IF(ISNUMBER(Sync!$P1824),MOD(Sync!$P1824,100),IFERROR(VALUE(TRIM(MID(MID(Sync!$P1824,FIND("/",Sync!$P1824)+1,20),FIND("/",MID(Sync!$P1824,FIND("/",Sync!$P1824)+1,20))+1,20))),"")))</f>
        <v/>
      </c>
      <c r="AI1824">
        <f>IF($AE1824="","",IF(OR($AF1824="",$AG1824="",$AH1824="",$AF1824&lt;1300,$AF1824&gt;1500,$AG1824&lt;1,$AG1824&gt;12,$AH1824&lt;1,$AH1824&gt;31),"نامعتبر",RIGHT("0000"&amp;$AF1824,4)&amp;"/"&amp;RIGHT("00"&amp;$AG1824,2)&amp;"/"&amp;RIGHT("00"&amp;$AH1824,2)))</f>
        <v/>
      </c>
      <c r="AJ1824">
        <f>IF($AE1824="","",IF(Sync!$Q1824="","0000",IF(AND(ISNUMBER(Sync!$Q1824),Sync!$Q1824&gt;=0,Sync!$Q1824&lt;1),RIGHT("00"&amp;HOUR(Sync!$Q1824),2)&amp;RIGHT("00"&amp;MINUTE(Sync!$Q1824),2),IFERROR(RIGHT("00"&amp;VALUE(LEFT(Sync!$Q1824,FIND(":",Sync!$Q1824)-1)),2)&amp;RIGHT("00"&amp;VALUE(MID(Sync!$Q1824,FIND(":",Sync!$Q1824)+1,2)),2),"0000"))))</f>
        <v/>
      </c>
      <c r="AK1824">
        <f>IF(OR($AE1824="",$AI1824="",$AI1824="نامعتبر"),"",LEFT($AI1824,4)&amp;MID($AI1824,6,2)&amp;RIGHT($AI1824,2)&amp;$AJ1824&amp;"|"&amp;"3"&amp;RIGHT("00000"&amp;1819,5))</f>
        <v/>
      </c>
      <c r="AL1824">
        <f>IF($AK1824="","",COUNTIFS(LdAParty,$AE1824,LdAType,1,LdAKey,"&lt;"&amp;$AK1824)+COUNTIFS(LdBMember,$AE1824,LdBKey,"&lt;"&amp;$AK1824)+COUNTIFS(LdCParty,$AE1824,LdCKey,"&lt;"&amp;$AK1824)+1)</f>
        <v/>
      </c>
      <c r="AM1824">
        <f>IF($AL1824="","",$AE1824&amp;"|"&amp;RIGHT("000000"&amp;$AL1824,6))</f>
        <v/>
      </c>
      <c r="AN1824">
        <f>IF($AE1824="","",IF(Sync!$W1824="",0,Sync!$W1824))</f>
        <v/>
      </c>
      <c r="AO1824">
        <f>IF($AE1824="","",IF(Sync!$X1824="",0,Sync!$X1824))</f>
        <v/>
      </c>
      <c r="AP1824">
        <f>IF($AE1824="","",Sync!$R1824)</f>
        <v/>
      </c>
      <c r="AQ1824">
        <f>IF($AE1824="","",Sync!$Y1824)</f>
        <v/>
      </c>
    </row>
    <row r="1825">
      <c r="A1825">
        <f>IF(OR(Wages!$B1828="",Wages!$E1828=""),"",Wages!$E1828)</f>
        <v/>
      </c>
      <c r="B1825">
        <f>IF($A1825="","",IF(Wages!$C1828="دستمزد گروهی",2,1))</f>
        <v/>
      </c>
      <c r="C1825">
        <f>IF($A1825="","",IF(ISNUMBER(Wages!$B1828),IF(AND(Wages!$B1828&gt;=10000101,Wages!$B1828&lt;=99991231),INT(Wages!$B1828/10000),""),IFERROR(VALUE(TRIM(LEFT(Wages!$B1828,FIND("/",Wages!$B1828)-1))),"")))</f>
        <v/>
      </c>
      <c r="D1825">
        <f>IF(OR($A1825="",$C1825=""),"",IF(ISNUMBER(Wages!$B1828),INT(MOD(Wages!$B1828,10000)/100),IFERROR(VALUE(TRIM(LEFT(MID(Wages!$B1828,FIND("/",Wages!$B1828)+1,20),FIND("/",MID(Wages!$B1828,FIND("/",Wages!$B1828)+1,20))-1))),"")))</f>
        <v/>
      </c>
      <c r="E1825">
        <f>IF(OR($A1825="",$C1825=""),"",IF(ISNUMBER(Wages!$B1828),MOD(Wages!$B1828,100),IFERROR(VALUE(TRIM(MID(MID(Wages!$B1828,FIND("/",Wages!$B1828)+1,20),FIND("/",MID(Wages!$B1828,FIND("/",Wages!$B1828)+1,20))+1,20))),"")))</f>
        <v/>
      </c>
      <c r="F1825">
        <f>IF($A1825="","",IF(OR($C1825="",$D1825="",$E1825="",$C1825&lt;1300,$C1825&gt;1500,$D1825&lt;1,$D1825&gt;12,$E1825&lt;1,$E1825&gt;31),"نامعتبر",RIGHT("0000"&amp;$C1825,4)&amp;"/"&amp;RIGHT("00"&amp;$D1825,2)&amp;"/"&amp;RIGHT("00"&amp;$E1825,2)))</f>
        <v/>
      </c>
      <c r="G1825">
        <f>IF(OR($A1825="",$F1825="",$F1825="نامعتبر"),"",LEFT($F1825,4)&amp;MID($F1825,6,2)&amp;RIGHT($F1825,2)&amp;"0000"&amp;"|"&amp;"1"&amp;RIGHT("00000"&amp;1820,5))</f>
        <v/>
      </c>
      <c r="H1825">
        <f>IF(OR($B1825&lt;&gt;1,$G1825=""),"",COUNTIFS(LdAParty,$A1825,LdAType,1,LdAKey,"&lt;"&amp;$G1825)+COUNTIFS(LdBMember,$A1825,LdBKey,"&lt;"&amp;$G1825)+COUNTIFS(LdCParty,$A1825,LdCKey,"&lt;"&amp;$G1825)+1)</f>
        <v/>
      </c>
      <c r="I1825">
        <f>IF($H1825="","",$A1825&amp;"|"&amp;RIGHT("000000"&amp;$H1825,6))</f>
        <v/>
      </c>
      <c r="J1825">
        <f>IF(OR($B1825&lt;&gt;2,$G1825=""),"",COUNTIFS(LdAParty,$A1825,LdAType,2,LdAKey,"&lt;"&amp;$G1825)+1)</f>
        <v/>
      </c>
      <c r="K1825">
        <f>IF($J1825="","",$A1825&amp;"|"&amp;RIGHT("000000"&amp;$J1825,6))</f>
        <v/>
      </c>
      <c r="L1825">
        <f>IF($A1825="","",IF(Wages!$G1828="",0,Wages!$G1828))</f>
        <v/>
      </c>
      <c r="M1825">
        <f>IF($A1825="","",Wages!$J1828)</f>
        <v/>
      </c>
      <c r="N1825">
        <f>IF($A1825="","",Wages!$D1828)</f>
        <v/>
      </c>
      <c r="P1825">
        <f>IF(OR(Shares!$B1828="",Shares!$C1828=""),"",Shares!$C1828)</f>
        <v/>
      </c>
      <c r="Q1825">
        <f>IF($P1825="","",Shares!$B1828)</f>
        <v/>
      </c>
      <c r="R1825">
        <f>IF($P1825="","",IFERROR(INDEX(WageParty,MATCH($Q1825,WageIds,0)),""))</f>
        <v/>
      </c>
      <c r="S1825">
        <f>IF($P1825="","",IFERROR(INDEX($F$6:$F$2005,MATCH($Q1825,WageIds,0)),""))</f>
        <v/>
      </c>
      <c r="T1825">
        <f>IF(OR($P1825="",$S1825="",$S1825="نامعتبر"),"",LEFT($S1825,4)&amp;MID($S1825,6,2)&amp;RIGHT($S1825,2)&amp;"0000"&amp;"|"&amp;"2"&amp;RIGHT("00000"&amp;1820,5))</f>
        <v/>
      </c>
      <c r="U1825">
        <f>IF($T1825="","",COUNTIFS(LdAParty,$P1825,LdAType,1,LdAKey,"&lt;"&amp;$T1825)+COUNTIFS(LdBMember,$P1825,LdBKey,"&lt;"&amp;$T1825)+COUNTIFS(LdCParty,$P1825,LdCKey,"&lt;"&amp;$T1825)+1)</f>
        <v/>
      </c>
      <c r="V1825">
        <f>IF($U1825="","",$P1825&amp;"|"&amp;RIGHT("000000"&amp;$U1825,6))</f>
        <v/>
      </c>
      <c r="W1825">
        <f>IF($T1825="","",COUNTIFS(LdBGroup,$R1825,LdBKey,"&lt;"&amp;$T1825)+1)</f>
        <v/>
      </c>
      <c r="X1825">
        <f>IF($W1825="","",$R1825&amp;"|"&amp;RIGHT("000000"&amp;$W1825,6))</f>
        <v/>
      </c>
      <c r="Y1825">
        <f>IF($P1825="","",IF(Shares!$E1828="",0,Shares!$E1828))</f>
        <v/>
      </c>
      <c r="Z1825">
        <f>IF($P1825="","",Shares!$H1828)</f>
        <v/>
      </c>
      <c r="AE1825">
        <f>IF(OR(Sync!$S1825="",Sync!$P1825=""),"",Sync!$S1825)</f>
        <v/>
      </c>
      <c r="AF1825">
        <f>IF($AE1825="","",IF(ISNUMBER(Sync!$P1825),IF(AND(Sync!$P1825&gt;=10000101,Sync!$P1825&lt;=99991231),INT(Sync!$P1825/10000),""),IFERROR(VALUE(TRIM(LEFT(Sync!$P1825,FIND("/",Sync!$P1825)-1))),"")))</f>
        <v/>
      </c>
      <c r="AG1825">
        <f>IF(OR($AE1825="",$AF1825=""),"",IF(ISNUMBER(Sync!$P1825),INT(MOD(Sync!$P1825,10000)/100),IFERROR(VALUE(TRIM(LEFT(MID(Sync!$P1825,FIND("/",Sync!$P1825)+1,20),FIND("/",MID(Sync!$P1825,FIND("/",Sync!$P1825)+1,20))-1))),"")))</f>
        <v/>
      </c>
      <c r="AH1825">
        <f>IF(OR($AE1825="",$AF1825=""),"",IF(ISNUMBER(Sync!$P1825),MOD(Sync!$P1825,100),IFERROR(VALUE(TRIM(MID(MID(Sync!$P1825,FIND("/",Sync!$P1825)+1,20),FIND("/",MID(Sync!$P1825,FIND("/",Sync!$P1825)+1,20))+1,20))),"")))</f>
        <v/>
      </c>
      <c r="AI1825">
        <f>IF($AE1825="","",IF(OR($AF1825="",$AG1825="",$AH1825="",$AF1825&lt;1300,$AF1825&gt;1500,$AG1825&lt;1,$AG1825&gt;12,$AH1825&lt;1,$AH1825&gt;31),"نامعتبر",RIGHT("0000"&amp;$AF1825,4)&amp;"/"&amp;RIGHT("00"&amp;$AG1825,2)&amp;"/"&amp;RIGHT("00"&amp;$AH1825,2)))</f>
        <v/>
      </c>
      <c r="AJ1825">
        <f>IF($AE1825="","",IF(Sync!$Q1825="","0000",IF(AND(ISNUMBER(Sync!$Q1825),Sync!$Q1825&gt;=0,Sync!$Q1825&lt;1),RIGHT("00"&amp;HOUR(Sync!$Q1825),2)&amp;RIGHT("00"&amp;MINUTE(Sync!$Q1825),2),IFERROR(RIGHT("00"&amp;VALUE(LEFT(Sync!$Q1825,FIND(":",Sync!$Q1825)-1)),2)&amp;RIGHT("00"&amp;VALUE(MID(Sync!$Q1825,FIND(":",Sync!$Q1825)+1,2)),2),"0000"))))</f>
        <v/>
      </c>
      <c r="AK1825">
        <f>IF(OR($AE1825="",$AI1825="",$AI1825="نامعتبر"),"",LEFT($AI1825,4)&amp;MID($AI1825,6,2)&amp;RIGHT($AI1825,2)&amp;$AJ1825&amp;"|"&amp;"3"&amp;RIGHT("00000"&amp;1820,5))</f>
        <v/>
      </c>
      <c r="AL1825">
        <f>IF($AK1825="","",COUNTIFS(LdAParty,$AE1825,LdAType,1,LdAKey,"&lt;"&amp;$AK1825)+COUNTIFS(LdBMember,$AE1825,LdBKey,"&lt;"&amp;$AK1825)+COUNTIFS(LdCParty,$AE1825,LdCKey,"&lt;"&amp;$AK1825)+1)</f>
        <v/>
      </c>
      <c r="AM1825">
        <f>IF($AL1825="","",$AE1825&amp;"|"&amp;RIGHT("000000"&amp;$AL1825,6))</f>
        <v/>
      </c>
      <c r="AN1825">
        <f>IF($AE1825="","",IF(Sync!$W1825="",0,Sync!$W1825))</f>
        <v/>
      </c>
      <c r="AO1825">
        <f>IF($AE1825="","",IF(Sync!$X1825="",0,Sync!$X1825))</f>
        <v/>
      </c>
      <c r="AP1825">
        <f>IF($AE1825="","",Sync!$R1825)</f>
        <v/>
      </c>
      <c r="AQ1825">
        <f>IF($AE1825="","",Sync!$Y1825)</f>
        <v/>
      </c>
    </row>
    <row r="1826">
      <c r="A1826">
        <f>IF(OR(Wages!$B1829="",Wages!$E1829=""),"",Wages!$E1829)</f>
        <v/>
      </c>
      <c r="B1826">
        <f>IF($A1826="","",IF(Wages!$C1829="دستمزد گروهی",2,1))</f>
        <v/>
      </c>
      <c r="C1826">
        <f>IF($A1826="","",IF(ISNUMBER(Wages!$B1829),IF(AND(Wages!$B1829&gt;=10000101,Wages!$B1829&lt;=99991231),INT(Wages!$B1829/10000),""),IFERROR(VALUE(TRIM(LEFT(Wages!$B1829,FIND("/",Wages!$B1829)-1))),"")))</f>
        <v/>
      </c>
      <c r="D1826">
        <f>IF(OR($A1826="",$C1826=""),"",IF(ISNUMBER(Wages!$B1829),INT(MOD(Wages!$B1829,10000)/100),IFERROR(VALUE(TRIM(LEFT(MID(Wages!$B1829,FIND("/",Wages!$B1829)+1,20),FIND("/",MID(Wages!$B1829,FIND("/",Wages!$B1829)+1,20))-1))),"")))</f>
        <v/>
      </c>
      <c r="E1826">
        <f>IF(OR($A1826="",$C1826=""),"",IF(ISNUMBER(Wages!$B1829),MOD(Wages!$B1829,100),IFERROR(VALUE(TRIM(MID(MID(Wages!$B1829,FIND("/",Wages!$B1829)+1,20),FIND("/",MID(Wages!$B1829,FIND("/",Wages!$B1829)+1,20))+1,20))),"")))</f>
        <v/>
      </c>
      <c r="F1826">
        <f>IF($A1826="","",IF(OR($C1826="",$D1826="",$E1826="",$C1826&lt;1300,$C1826&gt;1500,$D1826&lt;1,$D1826&gt;12,$E1826&lt;1,$E1826&gt;31),"نامعتبر",RIGHT("0000"&amp;$C1826,4)&amp;"/"&amp;RIGHT("00"&amp;$D1826,2)&amp;"/"&amp;RIGHT("00"&amp;$E1826,2)))</f>
        <v/>
      </c>
      <c r="G1826">
        <f>IF(OR($A1826="",$F1826="",$F1826="نامعتبر"),"",LEFT($F1826,4)&amp;MID($F1826,6,2)&amp;RIGHT($F1826,2)&amp;"0000"&amp;"|"&amp;"1"&amp;RIGHT("00000"&amp;1821,5))</f>
        <v/>
      </c>
      <c r="H1826">
        <f>IF(OR($B1826&lt;&gt;1,$G1826=""),"",COUNTIFS(LdAParty,$A1826,LdAType,1,LdAKey,"&lt;"&amp;$G1826)+COUNTIFS(LdBMember,$A1826,LdBKey,"&lt;"&amp;$G1826)+COUNTIFS(LdCParty,$A1826,LdCKey,"&lt;"&amp;$G1826)+1)</f>
        <v/>
      </c>
      <c r="I1826">
        <f>IF($H1826="","",$A1826&amp;"|"&amp;RIGHT("000000"&amp;$H1826,6))</f>
        <v/>
      </c>
      <c r="J1826">
        <f>IF(OR($B1826&lt;&gt;2,$G1826=""),"",COUNTIFS(LdAParty,$A1826,LdAType,2,LdAKey,"&lt;"&amp;$G1826)+1)</f>
        <v/>
      </c>
      <c r="K1826">
        <f>IF($J1826="","",$A1826&amp;"|"&amp;RIGHT("000000"&amp;$J1826,6))</f>
        <v/>
      </c>
      <c r="L1826">
        <f>IF($A1826="","",IF(Wages!$G1829="",0,Wages!$G1829))</f>
        <v/>
      </c>
      <c r="M1826">
        <f>IF($A1826="","",Wages!$J1829)</f>
        <v/>
      </c>
      <c r="N1826">
        <f>IF($A1826="","",Wages!$D1829)</f>
        <v/>
      </c>
      <c r="P1826">
        <f>IF(OR(Shares!$B1829="",Shares!$C1829=""),"",Shares!$C1829)</f>
        <v/>
      </c>
      <c r="Q1826">
        <f>IF($P1826="","",Shares!$B1829)</f>
        <v/>
      </c>
      <c r="R1826">
        <f>IF($P1826="","",IFERROR(INDEX(WageParty,MATCH($Q1826,WageIds,0)),""))</f>
        <v/>
      </c>
      <c r="S1826">
        <f>IF($P1826="","",IFERROR(INDEX($F$6:$F$2005,MATCH($Q1826,WageIds,0)),""))</f>
        <v/>
      </c>
      <c r="T1826">
        <f>IF(OR($P1826="",$S1826="",$S1826="نامعتبر"),"",LEFT($S1826,4)&amp;MID($S1826,6,2)&amp;RIGHT($S1826,2)&amp;"0000"&amp;"|"&amp;"2"&amp;RIGHT("00000"&amp;1821,5))</f>
        <v/>
      </c>
      <c r="U1826">
        <f>IF($T1826="","",COUNTIFS(LdAParty,$P1826,LdAType,1,LdAKey,"&lt;"&amp;$T1826)+COUNTIFS(LdBMember,$P1826,LdBKey,"&lt;"&amp;$T1826)+COUNTIFS(LdCParty,$P1826,LdCKey,"&lt;"&amp;$T1826)+1)</f>
        <v/>
      </c>
      <c r="V1826">
        <f>IF($U1826="","",$P1826&amp;"|"&amp;RIGHT("000000"&amp;$U1826,6))</f>
        <v/>
      </c>
      <c r="W1826">
        <f>IF($T1826="","",COUNTIFS(LdBGroup,$R1826,LdBKey,"&lt;"&amp;$T1826)+1)</f>
        <v/>
      </c>
      <c r="X1826">
        <f>IF($W1826="","",$R1826&amp;"|"&amp;RIGHT("000000"&amp;$W1826,6))</f>
        <v/>
      </c>
      <c r="Y1826">
        <f>IF($P1826="","",IF(Shares!$E1829="",0,Shares!$E1829))</f>
        <v/>
      </c>
      <c r="Z1826">
        <f>IF($P1826="","",Shares!$H1829)</f>
        <v/>
      </c>
      <c r="AE1826">
        <f>IF(OR(Sync!$S1826="",Sync!$P1826=""),"",Sync!$S1826)</f>
        <v/>
      </c>
      <c r="AF1826">
        <f>IF($AE1826="","",IF(ISNUMBER(Sync!$P1826),IF(AND(Sync!$P1826&gt;=10000101,Sync!$P1826&lt;=99991231),INT(Sync!$P1826/10000),""),IFERROR(VALUE(TRIM(LEFT(Sync!$P1826,FIND("/",Sync!$P1826)-1))),"")))</f>
        <v/>
      </c>
      <c r="AG1826">
        <f>IF(OR($AE1826="",$AF1826=""),"",IF(ISNUMBER(Sync!$P1826),INT(MOD(Sync!$P1826,10000)/100),IFERROR(VALUE(TRIM(LEFT(MID(Sync!$P1826,FIND("/",Sync!$P1826)+1,20),FIND("/",MID(Sync!$P1826,FIND("/",Sync!$P1826)+1,20))-1))),"")))</f>
        <v/>
      </c>
      <c r="AH1826">
        <f>IF(OR($AE1826="",$AF1826=""),"",IF(ISNUMBER(Sync!$P1826),MOD(Sync!$P1826,100),IFERROR(VALUE(TRIM(MID(MID(Sync!$P1826,FIND("/",Sync!$P1826)+1,20),FIND("/",MID(Sync!$P1826,FIND("/",Sync!$P1826)+1,20))+1,20))),"")))</f>
        <v/>
      </c>
      <c r="AI1826">
        <f>IF($AE1826="","",IF(OR($AF1826="",$AG1826="",$AH1826="",$AF1826&lt;1300,$AF1826&gt;1500,$AG1826&lt;1,$AG1826&gt;12,$AH1826&lt;1,$AH1826&gt;31),"نامعتبر",RIGHT("0000"&amp;$AF1826,4)&amp;"/"&amp;RIGHT("00"&amp;$AG1826,2)&amp;"/"&amp;RIGHT("00"&amp;$AH1826,2)))</f>
        <v/>
      </c>
      <c r="AJ1826">
        <f>IF($AE1826="","",IF(Sync!$Q1826="","0000",IF(AND(ISNUMBER(Sync!$Q1826),Sync!$Q1826&gt;=0,Sync!$Q1826&lt;1),RIGHT("00"&amp;HOUR(Sync!$Q1826),2)&amp;RIGHT("00"&amp;MINUTE(Sync!$Q1826),2),IFERROR(RIGHT("00"&amp;VALUE(LEFT(Sync!$Q1826,FIND(":",Sync!$Q1826)-1)),2)&amp;RIGHT("00"&amp;VALUE(MID(Sync!$Q1826,FIND(":",Sync!$Q1826)+1,2)),2),"0000"))))</f>
        <v/>
      </c>
      <c r="AK1826">
        <f>IF(OR($AE1826="",$AI1826="",$AI1826="نامعتبر"),"",LEFT($AI1826,4)&amp;MID($AI1826,6,2)&amp;RIGHT($AI1826,2)&amp;$AJ1826&amp;"|"&amp;"3"&amp;RIGHT("00000"&amp;1821,5))</f>
        <v/>
      </c>
      <c r="AL1826">
        <f>IF($AK1826="","",COUNTIFS(LdAParty,$AE1826,LdAType,1,LdAKey,"&lt;"&amp;$AK1826)+COUNTIFS(LdBMember,$AE1826,LdBKey,"&lt;"&amp;$AK1826)+COUNTIFS(LdCParty,$AE1826,LdCKey,"&lt;"&amp;$AK1826)+1)</f>
        <v/>
      </c>
      <c r="AM1826">
        <f>IF($AL1826="","",$AE1826&amp;"|"&amp;RIGHT("000000"&amp;$AL1826,6))</f>
        <v/>
      </c>
      <c r="AN1826">
        <f>IF($AE1826="","",IF(Sync!$W1826="",0,Sync!$W1826))</f>
        <v/>
      </c>
      <c r="AO1826">
        <f>IF($AE1826="","",IF(Sync!$X1826="",0,Sync!$X1826))</f>
        <v/>
      </c>
      <c r="AP1826">
        <f>IF($AE1826="","",Sync!$R1826)</f>
        <v/>
      </c>
      <c r="AQ1826">
        <f>IF($AE1826="","",Sync!$Y1826)</f>
        <v/>
      </c>
    </row>
    <row r="1827">
      <c r="A1827">
        <f>IF(OR(Wages!$B1830="",Wages!$E1830=""),"",Wages!$E1830)</f>
        <v/>
      </c>
      <c r="B1827">
        <f>IF($A1827="","",IF(Wages!$C1830="دستمزد گروهی",2,1))</f>
        <v/>
      </c>
      <c r="C1827">
        <f>IF($A1827="","",IF(ISNUMBER(Wages!$B1830),IF(AND(Wages!$B1830&gt;=10000101,Wages!$B1830&lt;=99991231),INT(Wages!$B1830/10000),""),IFERROR(VALUE(TRIM(LEFT(Wages!$B1830,FIND("/",Wages!$B1830)-1))),"")))</f>
        <v/>
      </c>
      <c r="D1827">
        <f>IF(OR($A1827="",$C1827=""),"",IF(ISNUMBER(Wages!$B1830),INT(MOD(Wages!$B1830,10000)/100),IFERROR(VALUE(TRIM(LEFT(MID(Wages!$B1830,FIND("/",Wages!$B1830)+1,20),FIND("/",MID(Wages!$B1830,FIND("/",Wages!$B1830)+1,20))-1))),"")))</f>
        <v/>
      </c>
      <c r="E1827">
        <f>IF(OR($A1827="",$C1827=""),"",IF(ISNUMBER(Wages!$B1830),MOD(Wages!$B1830,100),IFERROR(VALUE(TRIM(MID(MID(Wages!$B1830,FIND("/",Wages!$B1830)+1,20),FIND("/",MID(Wages!$B1830,FIND("/",Wages!$B1830)+1,20))+1,20))),"")))</f>
        <v/>
      </c>
      <c r="F1827">
        <f>IF($A1827="","",IF(OR($C1827="",$D1827="",$E1827="",$C1827&lt;1300,$C1827&gt;1500,$D1827&lt;1,$D1827&gt;12,$E1827&lt;1,$E1827&gt;31),"نامعتبر",RIGHT("0000"&amp;$C1827,4)&amp;"/"&amp;RIGHT("00"&amp;$D1827,2)&amp;"/"&amp;RIGHT("00"&amp;$E1827,2)))</f>
        <v/>
      </c>
      <c r="G1827">
        <f>IF(OR($A1827="",$F1827="",$F1827="نامعتبر"),"",LEFT($F1827,4)&amp;MID($F1827,6,2)&amp;RIGHT($F1827,2)&amp;"0000"&amp;"|"&amp;"1"&amp;RIGHT("00000"&amp;1822,5))</f>
        <v/>
      </c>
      <c r="H1827">
        <f>IF(OR($B1827&lt;&gt;1,$G1827=""),"",COUNTIFS(LdAParty,$A1827,LdAType,1,LdAKey,"&lt;"&amp;$G1827)+COUNTIFS(LdBMember,$A1827,LdBKey,"&lt;"&amp;$G1827)+COUNTIFS(LdCParty,$A1827,LdCKey,"&lt;"&amp;$G1827)+1)</f>
        <v/>
      </c>
      <c r="I1827">
        <f>IF($H1827="","",$A1827&amp;"|"&amp;RIGHT("000000"&amp;$H1827,6))</f>
        <v/>
      </c>
      <c r="J1827">
        <f>IF(OR($B1827&lt;&gt;2,$G1827=""),"",COUNTIFS(LdAParty,$A1827,LdAType,2,LdAKey,"&lt;"&amp;$G1827)+1)</f>
        <v/>
      </c>
      <c r="K1827">
        <f>IF($J1827="","",$A1827&amp;"|"&amp;RIGHT("000000"&amp;$J1827,6))</f>
        <v/>
      </c>
      <c r="L1827">
        <f>IF($A1827="","",IF(Wages!$G1830="",0,Wages!$G1830))</f>
        <v/>
      </c>
      <c r="M1827">
        <f>IF($A1827="","",Wages!$J1830)</f>
        <v/>
      </c>
      <c r="N1827">
        <f>IF($A1827="","",Wages!$D1830)</f>
        <v/>
      </c>
      <c r="P1827">
        <f>IF(OR(Shares!$B1830="",Shares!$C1830=""),"",Shares!$C1830)</f>
        <v/>
      </c>
      <c r="Q1827">
        <f>IF($P1827="","",Shares!$B1830)</f>
        <v/>
      </c>
      <c r="R1827">
        <f>IF($P1827="","",IFERROR(INDEX(WageParty,MATCH($Q1827,WageIds,0)),""))</f>
        <v/>
      </c>
      <c r="S1827">
        <f>IF($P1827="","",IFERROR(INDEX($F$6:$F$2005,MATCH($Q1827,WageIds,0)),""))</f>
        <v/>
      </c>
      <c r="T1827">
        <f>IF(OR($P1827="",$S1827="",$S1827="نامعتبر"),"",LEFT($S1827,4)&amp;MID($S1827,6,2)&amp;RIGHT($S1827,2)&amp;"0000"&amp;"|"&amp;"2"&amp;RIGHT("00000"&amp;1822,5))</f>
        <v/>
      </c>
      <c r="U1827">
        <f>IF($T1827="","",COUNTIFS(LdAParty,$P1827,LdAType,1,LdAKey,"&lt;"&amp;$T1827)+COUNTIFS(LdBMember,$P1827,LdBKey,"&lt;"&amp;$T1827)+COUNTIFS(LdCParty,$P1827,LdCKey,"&lt;"&amp;$T1827)+1)</f>
        <v/>
      </c>
      <c r="V1827">
        <f>IF($U1827="","",$P1827&amp;"|"&amp;RIGHT("000000"&amp;$U1827,6))</f>
        <v/>
      </c>
      <c r="W1827">
        <f>IF($T1827="","",COUNTIFS(LdBGroup,$R1827,LdBKey,"&lt;"&amp;$T1827)+1)</f>
        <v/>
      </c>
      <c r="X1827">
        <f>IF($W1827="","",$R1827&amp;"|"&amp;RIGHT("000000"&amp;$W1827,6))</f>
        <v/>
      </c>
      <c r="Y1827">
        <f>IF($P1827="","",IF(Shares!$E1830="",0,Shares!$E1830))</f>
        <v/>
      </c>
      <c r="Z1827">
        <f>IF($P1827="","",Shares!$H1830)</f>
        <v/>
      </c>
      <c r="AE1827">
        <f>IF(OR(Sync!$S1827="",Sync!$P1827=""),"",Sync!$S1827)</f>
        <v/>
      </c>
      <c r="AF1827">
        <f>IF($AE1827="","",IF(ISNUMBER(Sync!$P1827),IF(AND(Sync!$P1827&gt;=10000101,Sync!$P1827&lt;=99991231),INT(Sync!$P1827/10000),""),IFERROR(VALUE(TRIM(LEFT(Sync!$P1827,FIND("/",Sync!$P1827)-1))),"")))</f>
        <v/>
      </c>
      <c r="AG1827">
        <f>IF(OR($AE1827="",$AF1827=""),"",IF(ISNUMBER(Sync!$P1827),INT(MOD(Sync!$P1827,10000)/100),IFERROR(VALUE(TRIM(LEFT(MID(Sync!$P1827,FIND("/",Sync!$P1827)+1,20),FIND("/",MID(Sync!$P1827,FIND("/",Sync!$P1827)+1,20))-1))),"")))</f>
        <v/>
      </c>
      <c r="AH1827">
        <f>IF(OR($AE1827="",$AF1827=""),"",IF(ISNUMBER(Sync!$P1827),MOD(Sync!$P1827,100),IFERROR(VALUE(TRIM(MID(MID(Sync!$P1827,FIND("/",Sync!$P1827)+1,20),FIND("/",MID(Sync!$P1827,FIND("/",Sync!$P1827)+1,20))+1,20))),"")))</f>
        <v/>
      </c>
      <c r="AI1827">
        <f>IF($AE1827="","",IF(OR($AF1827="",$AG1827="",$AH1827="",$AF1827&lt;1300,$AF1827&gt;1500,$AG1827&lt;1,$AG1827&gt;12,$AH1827&lt;1,$AH1827&gt;31),"نامعتبر",RIGHT("0000"&amp;$AF1827,4)&amp;"/"&amp;RIGHT("00"&amp;$AG1827,2)&amp;"/"&amp;RIGHT("00"&amp;$AH1827,2)))</f>
        <v/>
      </c>
      <c r="AJ1827">
        <f>IF($AE1827="","",IF(Sync!$Q1827="","0000",IF(AND(ISNUMBER(Sync!$Q1827),Sync!$Q1827&gt;=0,Sync!$Q1827&lt;1),RIGHT("00"&amp;HOUR(Sync!$Q1827),2)&amp;RIGHT("00"&amp;MINUTE(Sync!$Q1827),2),IFERROR(RIGHT("00"&amp;VALUE(LEFT(Sync!$Q1827,FIND(":",Sync!$Q1827)-1)),2)&amp;RIGHT("00"&amp;VALUE(MID(Sync!$Q1827,FIND(":",Sync!$Q1827)+1,2)),2),"0000"))))</f>
        <v/>
      </c>
      <c r="AK1827">
        <f>IF(OR($AE1827="",$AI1827="",$AI1827="نامعتبر"),"",LEFT($AI1827,4)&amp;MID($AI1827,6,2)&amp;RIGHT($AI1827,2)&amp;$AJ1827&amp;"|"&amp;"3"&amp;RIGHT("00000"&amp;1822,5))</f>
        <v/>
      </c>
      <c r="AL1827">
        <f>IF($AK1827="","",COUNTIFS(LdAParty,$AE1827,LdAType,1,LdAKey,"&lt;"&amp;$AK1827)+COUNTIFS(LdBMember,$AE1827,LdBKey,"&lt;"&amp;$AK1827)+COUNTIFS(LdCParty,$AE1827,LdCKey,"&lt;"&amp;$AK1827)+1)</f>
        <v/>
      </c>
      <c r="AM1827">
        <f>IF($AL1827="","",$AE1827&amp;"|"&amp;RIGHT("000000"&amp;$AL1827,6))</f>
        <v/>
      </c>
      <c r="AN1827">
        <f>IF($AE1827="","",IF(Sync!$W1827="",0,Sync!$W1827))</f>
        <v/>
      </c>
      <c r="AO1827">
        <f>IF($AE1827="","",IF(Sync!$X1827="",0,Sync!$X1827))</f>
        <v/>
      </c>
      <c r="AP1827">
        <f>IF($AE1827="","",Sync!$R1827)</f>
        <v/>
      </c>
      <c r="AQ1827">
        <f>IF($AE1827="","",Sync!$Y1827)</f>
        <v/>
      </c>
    </row>
    <row r="1828">
      <c r="A1828">
        <f>IF(OR(Wages!$B1831="",Wages!$E1831=""),"",Wages!$E1831)</f>
        <v/>
      </c>
      <c r="B1828">
        <f>IF($A1828="","",IF(Wages!$C1831="دستمزد گروهی",2,1))</f>
        <v/>
      </c>
      <c r="C1828">
        <f>IF($A1828="","",IF(ISNUMBER(Wages!$B1831),IF(AND(Wages!$B1831&gt;=10000101,Wages!$B1831&lt;=99991231),INT(Wages!$B1831/10000),""),IFERROR(VALUE(TRIM(LEFT(Wages!$B1831,FIND("/",Wages!$B1831)-1))),"")))</f>
        <v/>
      </c>
      <c r="D1828">
        <f>IF(OR($A1828="",$C1828=""),"",IF(ISNUMBER(Wages!$B1831),INT(MOD(Wages!$B1831,10000)/100),IFERROR(VALUE(TRIM(LEFT(MID(Wages!$B1831,FIND("/",Wages!$B1831)+1,20),FIND("/",MID(Wages!$B1831,FIND("/",Wages!$B1831)+1,20))-1))),"")))</f>
        <v/>
      </c>
      <c r="E1828">
        <f>IF(OR($A1828="",$C1828=""),"",IF(ISNUMBER(Wages!$B1831),MOD(Wages!$B1831,100),IFERROR(VALUE(TRIM(MID(MID(Wages!$B1831,FIND("/",Wages!$B1831)+1,20),FIND("/",MID(Wages!$B1831,FIND("/",Wages!$B1831)+1,20))+1,20))),"")))</f>
        <v/>
      </c>
      <c r="F1828">
        <f>IF($A1828="","",IF(OR($C1828="",$D1828="",$E1828="",$C1828&lt;1300,$C1828&gt;1500,$D1828&lt;1,$D1828&gt;12,$E1828&lt;1,$E1828&gt;31),"نامعتبر",RIGHT("0000"&amp;$C1828,4)&amp;"/"&amp;RIGHT("00"&amp;$D1828,2)&amp;"/"&amp;RIGHT("00"&amp;$E1828,2)))</f>
        <v/>
      </c>
      <c r="G1828">
        <f>IF(OR($A1828="",$F1828="",$F1828="نامعتبر"),"",LEFT($F1828,4)&amp;MID($F1828,6,2)&amp;RIGHT($F1828,2)&amp;"0000"&amp;"|"&amp;"1"&amp;RIGHT("00000"&amp;1823,5))</f>
        <v/>
      </c>
      <c r="H1828">
        <f>IF(OR($B1828&lt;&gt;1,$G1828=""),"",COUNTIFS(LdAParty,$A1828,LdAType,1,LdAKey,"&lt;"&amp;$G1828)+COUNTIFS(LdBMember,$A1828,LdBKey,"&lt;"&amp;$G1828)+COUNTIFS(LdCParty,$A1828,LdCKey,"&lt;"&amp;$G1828)+1)</f>
        <v/>
      </c>
      <c r="I1828">
        <f>IF($H1828="","",$A1828&amp;"|"&amp;RIGHT("000000"&amp;$H1828,6))</f>
        <v/>
      </c>
      <c r="J1828">
        <f>IF(OR($B1828&lt;&gt;2,$G1828=""),"",COUNTIFS(LdAParty,$A1828,LdAType,2,LdAKey,"&lt;"&amp;$G1828)+1)</f>
        <v/>
      </c>
      <c r="K1828">
        <f>IF($J1828="","",$A1828&amp;"|"&amp;RIGHT("000000"&amp;$J1828,6))</f>
        <v/>
      </c>
      <c r="L1828">
        <f>IF($A1828="","",IF(Wages!$G1831="",0,Wages!$G1831))</f>
        <v/>
      </c>
      <c r="M1828">
        <f>IF($A1828="","",Wages!$J1831)</f>
        <v/>
      </c>
      <c r="N1828">
        <f>IF($A1828="","",Wages!$D1831)</f>
        <v/>
      </c>
      <c r="P1828">
        <f>IF(OR(Shares!$B1831="",Shares!$C1831=""),"",Shares!$C1831)</f>
        <v/>
      </c>
      <c r="Q1828">
        <f>IF($P1828="","",Shares!$B1831)</f>
        <v/>
      </c>
      <c r="R1828">
        <f>IF($P1828="","",IFERROR(INDEX(WageParty,MATCH($Q1828,WageIds,0)),""))</f>
        <v/>
      </c>
      <c r="S1828">
        <f>IF($P1828="","",IFERROR(INDEX($F$6:$F$2005,MATCH($Q1828,WageIds,0)),""))</f>
        <v/>
      </c>
      <c r="T1828">
        <f>IF(OR($P1828="",$S1828="",$S1828="نامعتبر"),"",LEFT($S1828,4)&amp;MID($S1828,6,2)&amp;RIGHT($S1828,2)&amp;"0000"&amp;"|"&amp;"2"&amp;RIGHT("00000"&amp;1823,5))</f>
        <v/>
      </c>
      <c r="U1828">
        <f>IF($T1828="","",COUNTIFS(LdAParty,$P1828,LdAType,1,LdAKey,"&lt;"&amp;$T1828)+COUNTIFS(LdBMember,$P1828,LdBKey,"&lt;"&amp;$T1828)+COUNTIFS(LdCParty,$P1828,LdCKey,"&lt;"&amp;$T1828)+1)</f>
        <v/>
      </c>
      <c r="V1828">
        <f>IF($U1828="","",$P1828&amp;"|"&amp;RIGHT("000000"&amp;$U1828,6))</f>
        <v/>
      </c>
      <c r="W1828">
        <f>IF($T1828="","",COUNTIFS(LdBGroup,$R1828,LdBKey,"&lt;"&amp;$T1828)+1)</f>
        <v/>
      </c>
      <c r="X1828">
        <f>IF($W1828="","",$R1828&amp;"|"&amp;RIGHT("000000"&amp;$W1828,6))</f>
        <v/>
      </c>
      <c r="Y1828">
        <f>IF($P1828="","",IF(Shares!$E1831="",0,Shares!$E1831))</f>
        <v/>
      </c>
      <c r="Z1828">
        <f>IF($P1828="","",Shares!$H1831)</f>
        <v/>
      </c>
      <c r="AE1828">
        <f>IF(OR(Sync!$S1828="",Sync!$P1828=""),"",Sync!$S1828)</f>
        <v/>
      </c>
      <c r="AF1828">
        <f>IF($AE1828="","",IF(ISNUMBER(Sync!$P1828),IF(AND(Sync!$P1828&gt;=10000101,Sync!$P1828&lt;=99991231),INT(Sync!$P1828/10000),""),IFERROR(VALUE(TRIM(LEFT(Sync!$P1828,FIND("/",Sync!$P1828)-1))),"")))</f>
        <v/>
      </c>
      <c r="AG1828">
        <f>IF(OR($AE1828="",$AF1828=""),"",IF(ISNUMBER(Sync!$P1828),INT(MOD(Sync!$P1828,10000)/100),IFERROR(VALUE(TRIM(LEFT(MID(Sync!$P1828,FIND("/",Sync!$P1828)+1,20),FIND("/",MID(Sync!$P1828,FIND("/",Sync!$P1828)+1,20))-1))),"")))</f>
        <v/>
      </c>
      <c r="AH1828">
        <f>IF(OR($AE1828="",$AF1828=""),"",IF(ISNUMBER(Sync!$P1828),MOD(Sync!$P1828,100),IFERROR(VALUE(TRIM(MID(MID(Sync!$P1828,FIND("/",Sync!$P1828)+1,20),FIND("/",MID(Sync!$P1828,FIND("/",Sync!$P1828)+1,20))+1,20))),"")))</f>
        <v/>
      </c>
      <c r="AI1828">
        <f>IF($AE1828="","",IF(OR($AF1828="",$AG1828="",$AH1828="",$AF1828&lt;1300,$AF1828&gt;1500,$AG1828&lt;1,$AG1828&gt;12,$AH1828&lt;1,$AH1828&gt;31),"نامعتبر",RIGHT("0000"&amp;$AF1828,4)&amp;"/"&amp;RIGHT("00"&amp;$AG1828,2)&amp;"/"&amp;RIGHT("00"&amp;$AH1828,2)))</f>
        <v/>
      </c>
      <c r="AJ1828">
        <f>IF($AE1828="","",IF(Sync!$Q1828="","0000",IF(AND(ISNUMBER(Sync!$Q1828),Sync!$Q1828&gt;=0,Sync!$Q1828&lt;1),RIGHT("00"&amp;HOUR(Sync!$Q1828),2)&amp;RIGHT("00"&amp;MINUTE(Sync!$Q1828),2),IFERROR(RIGHT("00"&amp;VALUE(LEFT(Sync!$Q1828,FIND(":",Sync!$Q1828)-1)),2)&amp;RIGHT("00"&amp;VALUE(MID(Sync!$Q1828,FIND(":",Sync!$Q1828)+1,2)),2),"0000"))))</f>
        <v/>
      </c>
      <c r="AK1828">
        <f>IF(OR($AE1828="",$AI1828="",$AI1828="نامعتبر"),"",LEFT($AI1828,4)&amp;MID($AI1828,6,2)&amp;RIGHT($AI1828,2)&amp;$AJ1828&amp;"|"&amp;"3"&amp;RIGHT("00000"&amp;1823,5))</f>
        <v/>
      </c>
      <c r="AL1828">
        <f>IF($AK1828="","",COUNTIFS(LdAParty,$AE1828,LdAType,1,LdAKey,"&lt;"&amp;$AK1828)+COUNTIFS(LdBMember,$AE1828,LdBKey,"&lt;"&amp;$AK1828)+COUNTIFS(LdCParty,$AE1828,LdCKey,"&lt;"&amp;$AK1828)+1)</f>
        <v/>
      </c>
      <c r="AM1828">
        <f>IF($AL1828="","",$AE1828&amp;"|"&amp;RIGHT("000000"&amp;$AL1828,6))</f>
        <v/>
      </c>
      <c r="AN1828">
        <f>IF($AE1828="","",IF(Sync!$W1828="",0,Sync!$W1828))</f>
        <v/>
      </c>
      <c r="AO1828">
        <f>IF($AE1828="","",IF(Sync!$X1828="",0,Sync!$X1828))</f>
        <v/>
      </c>
      <c r="AP1828">
        <f>IF($AE1828="","",Sync!$R1828)</f>
        <v/>
      </c>
      <c r="AQ1828">
        <f>IF($AE1828="","",Sync!$Y1828)</f>
        <v/>
      </c>
    </row>
    <row r="1829">
      <c r="A1829">
        <f>IF(OR(Wages!$B1832="",Wages!$E1832=""),"",Wages!$E1832)</f>
        <v/>
      </c>
      <c r="B1829">
        <f>IF($A1829="","",IF(Wages!$C1832="دستمزد گروهی",2,1))</f>
        <v/>
      </c>
      <c r="C1829">
        <f>IF($A1829="","",IF(ISNUMBER(Wages!$B1832),IF(AND(Wages!$B1832&gt;=10000101,Wages!$B1832&lt;=99991231),INT(Wages!$B1832/10000),""),IFERROR(VALUE(TRIM(LEFT(Wages!$B1832,FIND("/",Wages!$B1832)-1))),"")))</f>
        <v/>
      </c>
      <c r="D1829">
        <f>IF(OR($A1829="",$C1829=""),"",IF(ISNUMBER(Wages!$B1832),INT(MOD(Wages!$B1832,10000)/100),IFERROR(VALUE(TRIM(LEFT(MID(Wages!$B1832,FIND("/",Wages!$B1832)+1,20),FIND("/",MID(Wages!$B1832,FIND("/",Wages!$B1832)+1,20))-1))),"")))</f>
        <v/>
      </c>
      <c r="E1829">
        <f>IF(OR($A1829="",$C1829=""),"",IF(ISNUMBER(Wages!$B1832),MOD(Wages!$B1832,100),IFERROR(VALUE(TRIM(MID(MID(Wages!$B1832,FIND("/",Wages!$B1832)+1,20),FIND("/",MID(Wages!$B1832,FIND("/",Wages!$B1832)+1,20))+1,20))),"")))</f>
        <v/>
      </c>
      <c r="F1829">
        <f>IF($A1829="","",IF(OR($C1829="",$D1829="",$E1829="",$C1829&lt;1300,$C1829&gt;1500,$D1829&lt;1,$D1829&gt;12,$E1829&lt;1,$E1829&gt;31),"نامعتبر",RIGHT("0000"&amp;$C1829,4)&amp;"/"&amp;RIGHT("00"&amp;$D1829,2)&amp;"/"&amp;RIGHT("00"&amp;$E1829,2)))</f>
        <v/>
      </c>
      <c r="G1829">
        <f>IF(OR($A1829="",$F1829="",$F1829="نامعتبر"),"",LEFT($F1829,4)&amp;MID($F1829,6,2)&amp;RIGHT($F1829,2)&amp;"0000"&amp;"|"&amp;"1"&amp;RIGHT("00000"&amp;1824,5))</f>
        <v/>
      </c>
      <c r="H1829">
        <f>IF(OR($B1829&lt;&gt;1,$G1829=""),"",COUNTIFS(LdAParty,$A1829,LdAType,1,LdAKey,"&lt;"&amp;$G1829)+COUNTIFS(LdBMember,$A1829,LdBKey,"&lt;"&amp;$G1829)+COUNTIFS(LdCParty,$A1829,LdCKey,"&lt;"&amp;$G1829)+1)</f>
        <v/>
      </c>
      <c r="I1829">
        <f>IF($H1829="","",$A1829&amp;"|"&amp;RIGHT("000000"&amp;$H1829,6))</f>
        <v/>
      </c>
      <c r="J1829">
        <f>IF(OR($B1829&lt;&gt;2,$G1829=""),"",COUNTIFS(LdAParty,$A1829,LdAType,2,LdAKey,"&lt;"&amp;$G1829)+1)</f>
        <v/>
      </c>
      <c r="K1829">
        <f>IF($J1829="","",$A1829&amp;"|"&amp;RIGHT("000000"&amp;$J1829,6))</f>
        <v/>
      </c>
      <c r="L1829">
        <f>IF($A1829="","",IF(Wages!$G1832="",0,Wages!$G1832))</f>
        <v/>
      </c>
      <c r="M1829">
        <f>IF($A1829="","",Wages!$J1832)</f>
        <v/>
      </c>
      <c r="N1829">
        <f>IF($A1829="","",Wages!$D1832)</f>
        <v/>
      </c>
      <c r="P1829">
        <f>IF(OR(Shares!$B1832="",Shares!$C1832=""),"",Shares!$C1832)</f>
        <v/>
      </c>
      <c r="Q1829">
        <f>IF($P1829="","",Shares!$B1832)</f>
        <v/>
      </c>
      <c r="R1829">
        <f>IF($P1829="","",IFERROR(INDEX(WageParty,MATCH($Q1829,WageIds,0)),""))</f>
        <v/>
      </c>
      <c r="S1829">
        <f>IF($P1829="","",IFERROR(INDEX($F$6:$F$2005,MATCH($Q1829,WageIds,0)),""))</f>
        <v/>
      </c>
      <c r="T1829">
        <f>IF(OR($P1829="",$S1829="",$S1829="نامعتبر"),"",LEFT($S1829,4)&amp;MID($S1829,6,2)&amp;RIGHT($S1829,2)&amp;"0000"&amp;"|"&amp;"2"&amp;RIGHT("00000"&amp;1824,5))</f>
        <v/>
      </c>
      <c r="U1829">
        <f>IF($T1829="","",COUNTIFS(LdAParty,$P1829,LdAType,1,LdAKey,"&lt;"&amp;$T1829)+COUNTIFS(LdBMember,$P1829,LdBKey,"&lt;"&amp;$T1829)+COUNTIFS(LdCParty,$P1829,LdCKey,"&lt;"&amp;$T1829)+1)</f>
        <v/>
      </c>
      <c r="V1829">
        <f>IF($U1829="","",$P1829&amp;"|"&amp;RIGHT("000000"&amp;$U1829,6))</f>
        <v/>
      </c>
      <c r="W1829">
        <f>IF($T1829="","",COUNTIFS(LdBGroup,$R1829,LdBKey,"&lt;"&amp;$T1829)+1)</f>
        <v/>
      </c>
      <c r="X1829">
        <f>IF($W1829="","",$R1829&amp;"|"&amp;RIGHT("000000"&amp;$W1829,6))</f>
        <v/>
      </c>
      <c r="Y1829">
        <f>IF($P1829="","",IF(Shares!$E1832="",0,Shares!$E1832))</f>
        <v/>
      </c>
      <c r="Z1829">
        <f>IF($P1829="","",Shares!$H1832)</f>
        <v/>
      </c>
      <c r="AE1829">
        <f>IF(OR(Sync!$S1829="",Sync!$P1829=""),"",Sync!$S1829)</f>
        <v/>
      </c>
      <c r="AF1829">
        <f>IF($AE1829="","",IF(ISNUMBER(Sync!$P1829),IF(AND(Sync!$P1829&gt;=10000101,Sync!$P1829&lt;=99991231),INT(Sync!$P1829/10000),""),IFERROR(VALUE(TRIM(LEFT(Sync!$P1829,FIND("/",Sync!$P1829)-1))),"")))</f>
        <v/>
      </c>
      <c r="AG1829">
        <f>IF(OR($AE1829="",$AF1829=""),"",IF(ISNUMBER(Sync!$P1829),INT(MOD(Sync!$P1829,10000)/100),IFERROR(VALUE(TRIM(LEFT(MID(Sync!$P1829,FIND("/",Sync!$P1829)+1,20),FIND("/",MID(Sync!$P1829,FIND("/",Sync!$P1829)+1,20))-1))),"")))</f>
        <v/>
      </c>
      <c r="AH1829">
        <f>IF(OR($AE1829="",$AF1829=""),"",IF(ISNUMBER(Sync!$P1829),MOD(Sync!$P1829,100),IFERROR(VALUE(TRIM(MID(MID(Sync!$P1829,FIND("/",Sync!$P1829)+1,20),FIND("/",MID(Sync!$P1829,FIND("/",Sync!$P1829)+1,20))+1,20))),"")))</f>
        <v/>
      </c>
      <c r="AI1829">
        <f>IF($AE1829="","",IF(OR($AF1829="",$AG1829="",$AH1829="",$AF1829&lt;1300,$AF1829&gt;1500,$AG1829&lt;1,$AG1829&gt;12,$AH1829&lt;1,$AH1829&gt;31),"نامعتبر",RIGHT("0000"&amp;$AF1829,4)&amp;"/"&amp;RIGHT("00"&amp;$AG1829,2)&amp;"/"&amp;RIGHT("00"&amp;$AH1829,2)))</f>
        <v/>
      </c>
      <c r="AJ1829">
        <f>IF($AE1829="","",IF(Sync!$Q1829="","0000",IF(AND(ISNUMBER(Sync!$Q1829),Sync!$Q1829&gt;=0,Sync!$Q1829&lt;1),RIGHT("00"&amp;HOUR(Sync!$Q1829),2)&amp;RIGHT("00"&amp;MINUTE(Sync!$Q1829),2),IFERROR(RIGHT("00"&amp;VALUE(LEFT(Sync!$Q1829,FIND(":",Sync!$Q1829)-1)),2)&amp;RIGHT("00"&amp;VALUE(MID(Sync!$Q1829,FIND(":",Sync!$Q1829)+1,2)),2),"0000"))))</f>
        <v/>
      </c>
      <c r="AK1829">
        <f>IF(OR($AE1829="",$AI1829="",$AI1829="نامعتبر"),"",LEFT($AI1829,4)&amp;MID($AI1829,6,2)&amp;RIGHT($AI1829,2)&amp;$AJ1829&amp;"|"&amp;"3"&amp;RIGHT("00000"&amp;1824,5))</f>
        <v/>
      </c>
      <c r="AL1829">
        <f>IF($AK1829="","",COUNTIFS(LdAParty,$AE1829,LdAType,1,LdAKey,"&lt;"&amp;$AK1829)+COUNTIFS(LdBMember,$AE1829,LdBKey,"&lt;"&amp;$AK1829)+COUNTIFS(LdCParty,$AE1829,LdCKey,"&lt;"&amp;$AK1829)+1)</f>
        <v/>
      </c>
      <c r="AM1829">
        <f>IF($AL1829="","",$AE1829&amp;"|"&amp;RIGHT("000000"&amp;$AL1829,6))</f>
        <v/>
      </c>
      <c r="AN1829">
        <f>IF($AE1829="","",IF(Sync!$W1829="",0,Sync!$W1829))</f>
        <v/>
      </c>
      <c r="AO1829">
        <f>IF($AE1829="","",IF(Sync!$X1829="",0,Sync!$X1829))</f>
        <v/>
      </c>
      <c r="AP1829">
        <f>IF($AE1829="","",Sync!$R1829)</f>
        <v/>
      </c>
      <c r="AQ1829">
        <f>IF($AE1829="","",Sync!$Y1829)</f>
        <v/>
      </c>
    </row>
    <row r="1830">
      <c r="A1830">
        <f>IF(OR(Wages!$B1833="",Wages!$E1833=""),"",Wages!$E1833)</f>
        <v/>
      </c>
      <c r="B1830">
        <f>IF($A1830="","",IF(Wages!$C1833="دستمزد گروهی",2,1))</f>
        <v/>
      </c>
      <c r="C1830">
        <f>IF($A1830="","",IF(ISNUMBER(Wages!$B1833),IF(AND(Wages!$B1833&gt;=10000101,Wages!$B1833&lt;=99991231),INT(Wages!$B1833/10000),""),IFERROR(VALUE(TRIM(LEFT(Wages!$B1833,FIND("/",Wages!$B1833)-1))),"")))</f>
        <v/>
      </c>
      <c r="D1830">
        <f>IF(OR($A1830="",$C1830=""),"",IF(ISNUMBER(Wages!$B1833),INT(MOD(Wages!$B1833,10000)/100),IFERROR(VALUE(TRIM(LEFT(MID(Wages!$B1833,FIND("/",Wages!$B1833)+1,20),FIND("/",MID(Wages!$B1833,FIND("/",Wages!$B1833)+1,20))-1))),"")))</f>
        <v/>
      </c>
      <c r="E1830">
        <f>IF(OR($A1830="",$C1830=""),"",IF(ISNUMBER(Wages!$B1833),MOD(Wages!$B1833,100),IFERROR(VALUE(TRIM(MID(MID(Wages!$B1833,FIND("/",Wages!$B1833)+1,20),FIND("/",MID(Wages!$B1833,FIND("/",Wages!$B1833)+1,20))+1,20))),"")))</f>
        <v/>
      </c>
      <c r="F1830">
        <f>IF($A1830="","",IF(OR($C1830="",$D1830="",$E1830="",$C1830&lt;1300,$C1830&gt;1500,$D1830&lt;1,$D1830&gt;12,$E1830&lt;1,$E1830&gt;31),"نامعتبر",RIGHT("0000"&amp;$C1830,4)&amp;"/"&amp;RIGHT("00"&amp;$D1830,2)&amp;"/"&amp;RIGHT("00"&amp;$E1830,2)))</f>
        <v/>
      </c>
      <c r="G1830">
        <f>IF(OR($A1830="",$F1830="",$F1830="نامعتبر"),"",LEFT($F1830,4)&amp;MID($F1830,6,2)&amp;RIGHT($F1830,2)&amp;"0000"&amp;"|"&amp;"1"&amp;RIGHT("00000"&amp;1825,5))</f>
        <v/>
      </c>
      <c r="H1830">
        <f>IF(OR($B1830&lt;&gt;1,$G1830=""),"",COUNTIFS(LdAParty,$A1830,LdAType,1,LdAKey,"&lt;"&amp;$G1830)+COUNTIFS(LdBMember,$A1830,LdBKey,"&lt;"&amp;$G1830)+COUNTIFS(LdCParty,$A1830,LdCKey,"&lt;"&amp;$G1830)+1)</f>
        <v/>
      </c>
      <c r="I1830">
        <f>IF($H1830="","",$A1830&amp;"|"&amp;RIGHT("000000"&amp;$H1830,6))</f>
        <v/>
      </c>
      <c r="J1830">
        <f>IF(OR($B1830&lt;&gt;2,$G1830=""),"",COUNTIFS(LdAParty,$A1830,LdAType,2,LdAKey,"&lt;"&amp;$G1830)+1)</f>
        <v/>
      </c>
      <c r="K1830">
        <f>IF($J1830="","",$A1830&amp;"|"&amp;RIGHT("000000"&amp;$J1830,6))</f>
        <v/>
      </c>
      <c r="L1830">
        <f>IF($A1830="","",IF(Wages!$G1833="",0,Wages!$G1833))</f>
        <v/>
      </c>
      <c r="M1830">
        <f>IF($A1830="","",Wages!$J1833)</f>
        <v/>
      </c>
      <c r="N1830">
        <f>IF($A1830="","",Wages!$D1833)</f>
        <v/>
      </c>
      <c r="P1830">
        <f>IF(OR(Shares!$B1833="",Shares!$C1833=""),"",Shares!$C1833)</f>
        <v/>
      </c>
      <c r="Q1830">
        <f>IF($P1830="","",Shares!$B1833)</f>
        <v/>
      </c>
      <c r="R1830">
        <f>IF($P1830="","",IFERROR(INDEX(WageParty,MATCH($Q1830,WageIds,0)),""))</f>
        <v/>
      </c>
      <c r="S1830">
        <f>IF($P1830="","",IFERROR(INDEX($F$6:$F$2005,MATCH($Q1830,WageIds,0)),""))</f>
        <v/>
      </c>
      <c r="T1830">
        <f>IF(OR($P1830="",$S1830="",$S1830="نامعتبر"),"",LEFT($S1830,4)&amp;MID($S1830,6,2)&amp;RIGHT($S1830,2)&amp;"0000"&amp;"|"&amp;"2"&amp;RIGHT("00000"&amp;1825,5))</f>
        <v/>
      </c>
      <c r="U1830">
        <f>IF($T1830="","",COUNTIFS(LdAParty,$P1830,LdAType,1,LdAKey,"&lt;"&amp;$T1830)+COUNTIFS(LdBMember,$P1830,LdBKey,"&lt;"&amp;$T1830)+COUNTIFS(LdCParty,$P1830,LdCKey,"&lt;"&amp;$T1830)+1)</f>
        <v/>
      </c>
      <c r="V1830">
        <f>IF($U1830="","",$P1830&amp;"|"&amp;RIGHT("000000"&amp;$U1830,6))</f>
        <v/>
      </c>
      <c r="W1830">
        <f>IF($T1830="","",COUNTIFS(LdBGroup,$R1830,LdBKey,"&lt;"&amp;$T1830)+1)</f>
        <v/>
      </c>
      <c r="X1830">
        <f>IF($W1830="","",$R1830&amp;"|"&amp;RIGHT("000000"&amp;$W1830,6))</f>
        <v/>
      </c>
      <c r="Y1830">
        <f>IF($P1830="","",IF(Shares!$E1833="",0,Shares!$E1833))</f>
        <v/>
      </c>
      <c r="Z1830">
        <f>IF($P1830="","",Shares!$H1833)</f>
        <v/>
      </c>
      <c r="AE1830">
        <f>IF(OR(Sync!$S1830="",Sync!$P1830=""),"",Sync!$S1830)</f>
        <v/>
      </c>
      <c r="AF1830">
        <f>IF($AE1830="","",IF(ISNUMBER(Sync!$P1830),IF(AND(Sync!$P1830&gt;=10000101,Sync!$P1830&lt;=99991231),INT(Sync!$P1830/10000),""),IFERROR(VALUE(TRIM(LEFT(Sync!$P1830,FIND("/",Sync!$P1830)-1))),"")))</f>
        <v/>
      </c>
      <c r="AG1830">
        <f>IF(OR($AE1830="",$AF1830=""),"",IF(ISNUMBER(Sync!$P1830),INT(MOD(Sync!$P1830,10000)/100),IFERROR(VALUE(TRIM(LEFT(MID(Sync!$P1830,FIND("/",Sync!$P1830)+1,20),FIND("/",MID(Sync!$P1830,FIND("/",Sync!$P1830)+1,20))-1))),"")))</f>
        <v/>
      </c>
      <c r="AH1830">
        <f>IF(OR($AE1830="",$AF1830=""),"",IF(ISNUMBER(Sync!$P1830),MOD(Sync!$P1830,100),IFERROR(VALUE(TRIM(MID(MID(Sync!$P1830,FIND("/",Sync!$P1830)+1,20),FIND("/",MID(Sync!$P1830,FIND("/",Sync!$P1830)+1,20))+1,20))),"")))</f>
        <v/>
      </c>
      <c r="AI1830">
        <f>IF($AE1830="","",IF(OR($AF1830="",$AG1830="",$AH1830="",$AF1830&lt;1300,$AF1830&gt;1500,$AG1830&lt;1,$AG1830&gt;12,$AH1830&lt;1,$AH1830&gt;31),"نامعتبر",RIGHT("0000"&amp;$AF1830,4)&amp;"/"&amp;RIGHT("00"&amp;$AG1830,2)&amp;"/"&amp;RIGHT("00"&amp;$AH1830,2)))</f>
        <v/>
      </c>
      <c r="AJ1830">
        <f>IF($AE1830="","",IF(Sync!$Q1830="","0000",IF(AND(ISNUMBER(Sync!$Q1830),Sync!$Q1830&gt;=0,Sync!$Q1830&lt;1),RIGHT("00"&amp;HOUR(Sync!$Q1830),2)&amp;RIGHT("00"&amp;MINUTE(Sync!$Q1830),2),IFERROR(RIGHT("00"&amp;VALUE(LEFT(Sync!$Q1830,FIND(":",Sync!$Q1830)-1)),2)&amp;RIGHT("00"&amp;VALUE(MID(Sync!$Q1830,FIND(":",Sync!$Q1830)+1,2)),2),"0000"))))</f>
        <v/>
      </c>
      <c r="AK1830">
        <f>IF(OR($AE1830="",$AI1830="",$AI1830="نامعتبر"),"",LEFT($AI1830,4)&amp;MID($AI1830,6,2)&amp;RIGHT($AI1830,2)&amp;$AJ1830&amp;"|"&amp;"3"&amp;RIGHT("00000"&amp;1825,5))</f>
        <v/>
      </c>
      <c r="AL1830">
        <f>IF($AK1830="","",COUNTIFS(LdAParty,$AE1830,LdAType,1,LdAKey,"&lt;"&amp;$AK1830)+COUNTIFS(LdBMember,$AE1830,LdBKey,"&lt;"&amp;$AK1830)+COUNTIFS(LdCParty,$AE1830,LdCKey,"&lt;"&amp;$AK1830)+1)</f>
        <v/>
      </c>
      <c r="AM1830">
        <f>IF($AL1830="","",$AE1830&amp;"|"&amp;RIGHT("000000"&amp;$AL1830,6))</f>
        <v/>
      </c>
      <c r="AN1830">
        <f>IF($AE1830="","",IF(Sync!$W1830="",0,Sync!$W1830))</f>
        <v/>
      </c>
      <c r="AO1830">
        <f>IF($AE1830="","",IF(Sync!$X1830="",0,Sync!$X1830))</f>
        <v/>
      </c>
      <c r="AP1830">
        <f>IF($AE1830="","",Sync!$R1830)</f>
        <v/>
      </c>
      <c r="AQ1830">
        <f>IF($AE1830="","",Sync!$Y1830)</f>
        <v/>
      </c>
    </row>
    <row r="1831">
      <c r="A1831">
        <f>IF(OR(Wages!$B1834="",Wages!$E1834=""),"",Wages!$E1834)</f>
        <v/>
      </c>
      <c r="B1831">
        <f>IF($A1831="","",IF(Wages!$C1834="دستمزد گروهی",2,1))</f>
        <v/>
      </c>
      <c r="C1831">
        <f>IF($A1831="","",IF(ISNUMBER(Wages!$B1834),IF(AND(Wages!$B1834&gt;=10000101,Wages!$B1834&lt;=99991231),INT(Wages!$B1834/10000),""),IFERROR(VALUE(TRIM(LEFT(Wages!$B1834,FIND("/",Wages!$B1834)-1))),"")))</f>
        <v/>
      </c>
      <c r="D1831">
        <f>IF(OR($A1831="",$C1831=""),"",IF(ISNUMBER(Wages!$B1834),INT(MOD(Wages!$B1834,10000)/100),IFERROR(VALUE(TRIM(LEFT(MID(Wages!$B1834,FIND("/",Wages!$B1834)+1,20),FIND("/",MID(Wages!$B1834,FIND("/",Wages!$B1834)+1,20))-1))),"")))</f>
        <v/>
      </c>
      <c r="E1831">
        <f>IF(OR($A1831="",$C1831=""),"",IF(ISNUMBER(Wages!$B1834),MOD(Wages!$B1834,100),IFERROR(VALUE(TRIM(MID(MID(Wages!$B1834,FIND("/",Wages!$B1834)+1,20),FIND("/",MID(Wages!$B1834,FIND("/",Wages!$B1834)+1,20))+1,20))),"")))</f>
        <v/>
      </c>
      <c r="F1831">
        <f>IF($A1831="","",IF(OR($C1831="",$D1831="",$E1831="",$C1831&lt;1300,$C1831&gt;1500,$D1831&lt;1,$D1831&gt;12,$E1831&lt;1,$E1831&gt;31),"نامعتبر",RIGHT("0000"&amp;$C1831,4)&amp;"/"&amp;RIGHT("00"&amp;$D1831,2)&amp;"/"&amp;RIGHT("00"&amp;$E1831,2)))</f>
        <v/>
      </c>
      <c r="G1831">
        <f>IF(OR($A1831="",$F1831="",$F1831="نامعتبر"),"",LEFT($F1831,4)&amp;MID($F1831,6,2)&amp;RIGHT($F1831,2)&amp;"0000"&amp;"|"&amp;"1"&amp;RIGHT("00000"&amp;1826,5))</f>
        <v/>
      </c>
      <c r="H1831">
        <f>IF(OR($B1831&lt;&gt;1,$G1831=""),"",COUNTIFS(LdAParty,$A1831,LdAType,1,LdAKey,"&lt;"&amp;$G1831)+COUNTIFS(LdBMember,$A1831,LdBKey,"&lt;"&amp;$G1831)+COUNTIFS(LdCParty,$A1831,LdCKey,"&lt;"&amp;$G1831)+1)</f>
        <v/>
      </c>
      <c r="I1831">
        <f>IF($H1831="","",$A1831&amp;"|"&amp;RIGHT("000000"&amp;$H1831,6))</f>
        <v/>
      </c>
      <c r="J1831">
        <f>IF(OR($B1831&lt;&gt;2,$G1831=""),"",COUNTIFS(LdAParty,$A1831,LdAType,2,LdAKey,"&lt;"&amp;$G1831)+1)</f>
        <v/>
      </c>
      <c r="K1831">
        <f>IF($J1831="","",$A1831&amp;"|"&amp;RIGHT("000000"&amp;$J1831,6))</f>
        <v/>
      </c>
      <c r="L1831">
        <f>IF($A1831="","",IF(Wages!$G1834="",0,Wages!$G1834))</f>
        <v/>
      </c>
      <c r="M1831">
        <f>IF($A1831="","",Wages!$J1834)</f>
        <v/>
      </c>
      <c r="N1831">
        <f>IF($A1831="","",Wages!$D1834)</f>
        <v/>
      </c>
      <c r="P1831">
        <f>IF(OR(Shares!$B1834="",Shares!$C1834=""),"",Shares!$C1834)</f>
        <v/>
      </c>
      <c r="Q1831">
        <f>IF($P1831="","",Shares!$B1834)</f>
        <v/>
      </c>
      <c r="R1831">
        <f>IF($P1831="","",IFERROR(INDEX(WageParty,MATCH($Q1831,WageIds,0)),""))</f>
        <v/>
      </c>
      <c r="S1831">
        <f>IF($P1831="","",IFERROR(INDEX($F$6:$F$2005,MATCH($Q1831,WageIds,0)),""))</f>
        <v/>
      </c>
      <c r="T1831">
        <f>IF(OR($P1831="",$S1831="",$S1831="نامعتبر"),"",LEFT($S1831,4)&amp;MID($S1831,6,2)&amp;RIGHT($S1831,2)&amp;"0000"&amp;"|"&amp;"2"&amp;RIGHT("00000"&amp;1826,5))</f>
        <v/>
      </c>
      <c r="U1831">
        <f>IF($T1831="","",COUNTIFS(LdAParty,$P1831,LdAType,1,LdAKey,"&lt;"&amp;$T1831)+COUNTIFS(LdBMember,$P1831,LdBKey,"&lt;"&amp;$T1831)+COUNTIFS(LdCParty,$P1831,LdCKey,"&lt;"&amp;$T1831)+1)</f>
        <v/>
      </c>
      <c r="V1831">
        <f>IF($U1831="","",$P1831&amp;"|"&amp;RIGHT("000000"&amp;$U1831,6))</f>
        <v/>
      </c>
      <c r="W1831">
        <f>IF($T1831="","",COUNTIFS(LdBGroup,$R1831,LdBKey,"&lt;"&amp;$T1831)+1)</f>
        <v/>
      </c>
      <c r="X1831">
        <f>IF($W1831="","",$R1831&amp;"|"&amp;RIGHT("000000"&amp;$W1831,6))</f>
        <v/>
      </c>
      <c r="Y1831">
        <f>IF($P1831="","",IF(Shares!$E1834="",0,Shares!$E1834))</f>
        <v/>
      </c>
      <c r="Z1831">
        <f>IF($P1831="","",Shares!$H1834)</f>
        <v/>
      </c>
      <c r="AE1831">
        <f>IF(OR(Sync!$S1831="",Sync!$P1831=""),"",Sync!$S1831)</f>
        <v/>
      </c>
      <c r="AF1831">
        <f>IF($AE1831="","",IF(ISNUMBER(Sync!$P1831),IF(AND(Sync!$P1831&gt;=10000101,Sync!$P1831&lt;=99991231),INT(Sync!$P1831/10000),""),IFERROR(VALUE(TRIM(LEFT(Sync!$P1831,FIND("/",Sync!$P1831)-1))),"")))</f>
        <v/>
      </c>
      <c r="AG1831">
        <f>IF(OR($AE1831="",$AF1831=""),"",IF(ISNUMBER(Sync!$P1831),INT(MOD(Sync!$P1831,10000)/100),IFERROR(VALUE(TRIM(LEFT(MID(Sync!$P1831,FIND("/",Sync!$P1831)+1,20),FIND("/",MID(Sync!$P1831,FIND("/",Sync!$P1831)+1,20))-1))),"")))</f>
        <v/>
      </c>
      <c r="AH1831">
        <f>IF(OR($AE1831="",$AF1831=""),"",IF(ISNUMBER(Sync!$P1831),MOD(Sync!$P1831,100),IFERROR(VALUE(TRIM(MID(MID(Sync!$P1831,FIND("/",Sync!$P1831)+1,20),FIND("/",MID(Sync!$P1831,FIND("/",Sync!$P1831)+1,20))+1,20))),"")))</f>
        <v/>
      </c>
      <c r="AI1831">
        <f>IF($AE1831="","",IF(OR($AF1831="",$AG1831="",$AH1831="",$AF1831&lt;1300,$AF1831&gt;1500,$AG1831&lt;1,$AG1831&gt;12,$AH1831&lt;1,$AH1831&gt;31),"نامعتبر",RIGHT("0000"&amp;$AF1831,4)&amp;"/"&amp;RIGHT("00"&amp;$AG1831,2)&amp;"/"&amp;RIGHT("00"&amp;$AH1831,2)))</f>
        <v/>
      </c>
      <c r="AJ1831">
        <f>IF($AE1831="","",IF(Sync!$Q1831="","0000",IF(AND(ISNUMBER(Sync!$Q1831),Sync!$Q1831&gt;=0,Sync!$Q1831&lt;1),RIGHT("00"&amp;HOUR(Sync!$Q1831),2)&amp;RIGHT("00"&amp;MINUTE(Sync!$Q1831),2),IFERROR(RIGHT("00"&amp;VALUE(LEFT(Sync!$Q1831,FIND(":",Sync!$Q1831)-1)),2)&amp;RIGHT("00"&amp;VALUE(MID(Sync!$Q1831,FIND(":",Sync!$Q1831)+1,2)),2),"0000"))))</f>
        <v/>
      </c>
      <c r="AK1831">
        <f>IF(OR($AE1831="",$AI1831="",$AI1831="نامعتبر"),"",LEFT($AI1831,4)&amp;MID($AI1831,6,2)&amp;RIGHT($AI1831,2)&amp;$AJ1831&amp;"|"&amp;"3"&amp;RIGHT("00000"&amp;1826,5))</f>
        <v/>
      </c>
      <c r="AL1831">
        <f>IF($AK1831="","",COUNTIFS(LdAParty,$AE1831,LdAType,1,LdAKey,"&lt;"&amp;$AK1831)+COUNTIFS(LdBMember,$AE1831,LdBKey,"&lt;"&amp;$AK1831)+COUNTIFS(LdCParty,$AE1831,LdCKey,"&lt;"&amp;$AK1831)+1)</f>
        <v/>
      </c>
      <c r="AM1831">
        <f>IF($AL1831="","",$AE1831&amp;"|"&amp;RIGHT("000000"&amp;$AL1831,6))</f>
        <v/>
      </c>
      <c r="AN1831">
        <f>IF($AE1831="","",IF(Sync!$W1831="",0,Sync!$W1831))</f>
        <v/>
      </c>
      <c r="AO1831">
        <f>IF($AE1831="","",IF(Sync!$X1831="",0,Sync!$X1831))</f>
        <v/>
      </c>
      <c r="AP1831">
        <f>IF($AE1831="","",Sync!$R1831)</f>
        <v/>
      </c>
      <c r="AQ1831">
        <f>IF($AE1831="","",Sync!$Y1831)</f>
        <v/>
      </c>
    </row>
    <row r="1832">
      <c r="A1832">
        <f>IF(OR(Wages!$B1835="",Wages!$E1835=""),"",Wages!$E1835)</f>
        <v/>
      </c>
      <c r="B1832">
        <f>IF($A1832="","",IF(Wages!$C1835="دستمزد گروهی",2,1))</f>
        <v/>
      </c>
      <c r="C1832">
        <f>IF($A1832="","",IF(ISNUMBER(Wages!$B1835),IF(AND(Wages!$B1835&gt;=10000101,Wages!$B1835&lt;=99991231),INT(Wages!$B1835/10000),""),IFERROR(VALUE(TRIM(LEFT(Wages!$B1835,FIND("/",Wages!$B1835)-1))),"")))</f>
        <v/>
      </c>
      <c r="D1832">
        <f>IF(OR($A1832="",$C1832=""),"",IF(ISNUMBER(Wages!$B1835),INT(MOD(Wages!$B1835,10000)/100),IFERROR(VALUE(TRIM(LEFT(MID(Wages!$B1835,FIND("/",Wages!$B1835)+1,20),FIND("/",MID(Wages!$B1835,FIND("/",Wages!$B1835)+1,20))-1))),"")))</f>
        <v/>
      </c>
      <c r="E1832">
        <f>IF(OR($A1832="",$C1832=""),"",IF(ISNUMBER(Wages!$B1835),MOD(Wages!$B1835,100),IFERROR(VALUE(TRIM(MID(MID(Wages!$B1835,FIND("/",Wages!$B1835)+1,20),FIND("/",MID(Wages!$B1835,FIND("/",Wages!$B1835)+1,20))+1,20))),"")))</f>
        <v/>
      </c>
      <c r="F1832">
        <f>IF($A1832="","",IF(OR($C1832="",$D1832="",$E1832="",$C1832&lt;1300,$C1832&gt;1500,$D1832&lt;1,$D1832&gt;12,$E1832&lt;1,$E1832&gt;31),"نامعتبر",RIGHT("0000"&amp;$C1832,4)&amp;"/"&amp;RIGHT("00"&amp;$D1832,2)&amp;"/"&amp;RIGHT("00"&amp;$E1832,2)))</f>
        <v/>
      </c>
      <c r="G1832">
        <f>IF(OR($A1832="",$F1832="",$F1832="نامعتبر"),"",LEFT($F1832,4)&amp;MID($F1832,6,2)&amp;RIGHT($F1832,2)&amp;"0000"&amp;"|"&amp;"1"&amp;RIGHT("00000"&amp;1827,5))</f>
        <v/>
      </c>
      <c r="H1832">
        <f>IF(OR($B1832&lt;&gt;1,$G1832=""),"",COUNTIFS(LdAParty,$A1832,LdAType,1,LdAKey,"&lt;"&amp;$G1832)+COUNTIFS(LdBMember,$A1832,LdBKey,"&lt;"&amp;$G1832)+COUNTIFS(LdCParty,$A1832,LdCKey,"&lt;"&amp;$G1832)+1)</f>
        <v/>
      </c>
      <c r="I1832">
        <f>IF($H1832="","",$A1832&amp;"|"&amp;RIGHT("000000"&amp;$H1832,6))</f>
        <v/>
      </c>
      <c r="J1832">
        <f>IF(OR($B1832&lt;&gt;2,$G1832=""),"",COUNTIFS(LdAParty,$A1832,LdAType,2,LdAKey,"&lt;"&amp;$G1832)+1)</f>
        <v/>
      </c>
      <c r="K1832">
        <f>IF($J1832="","",$A1832&amp;"|"&amp;RIGHT("000000"&amp;$J1832,6))</f>
        <v/>
      </c>
      <c r="L1832">
        <f>IF($A1832="","",IF(Wages!$G1835="",0,Wages!$G1835))</f>
        <v/>
      </c>
      <c r="M1832">
        <f>IF($A1832="","",Wages!$J1835)</f>
        <v/>
      </c>
      <c r="N1832">
        <f>IF($A1832="","",Wages!$D1835)</f>
        <v/>
      </c>
      <c r="P1832">
        <f>IF(OR(Shares!$B1835="",Shares!$C1835=""),"",Shares!$C1835)</f>
        <v/>
      </c>
      <c r="Q1832">
        <f>IF($P1832="","",Shares!$B1835)</f>
        <v/>
      </c>
      <c r="R1832">
        <f>IF($P1832="","",IFERROR(INDEX(WageParty,MATCH($Q1832,WageIds,0)),""))</f>
        <v/>
      </c>
      <c r="S1832">
        <f>IF($P1832="","",IFERROR(INDEX($F$6:$F$2005,MATCH($Q1832,WageIds,0)),""))</f>
        <v/>
      </c>
      <c r="T1832">
        <f>IF(OR($P1832="",$S1832="",$S1832="نامعتبر"),"",LEFT($S1832,4)&amp;MID($S1832,6,2)&amp;RIGHT($S1832,2)&amp;"0000"&amp;"|"&amp;"2"&amp;RIGHT("00000"&amp;1827,5))</f>
        <v/>
      </c>
      <c r="U1832">
        <f>IF($T1832="","",COUNTIFS(LdAParty,$P1832,LdAType,1,LdAKey,"&lt;"&amp;$T1832)+COUNTIFS(LdBMember,$P1832,LdBKey,"&lt;"&amp;$T1832)+COUNTIFS(LdCParty,$P1832,LdCKey,"&lt;"&amp;$T1832)+1)</f>
        <v/>
      </c>
      <c r="V1832">
        <f>IF($U1832="","",$P1832&amp;"|"&amp;RIGHT("000000"&amp;$U1832,6))</f>
        <v/>
      </c>
      <c r="W1832">
        <f>IF($T1832="","",COUNTIFS(LdBGroup,$R1832,LdBKey,"&lt;"&amp;$T1832)+1)</f>
        <v/>
      </c>
      <c r="X1832">
        <f>IF($W1832="","",$R1832&amp;"|"&amp;RIGHT("000000"&amp;$W1832,6))</f>
        <v/>
      </c>
      <c r="Y1832">
        <f>IF($P1832="","",IF(Shares!$E1835="",0,Shares!$E1835))</f>
        <v/>
      </c>
      <c r="Z1832">
        <f>IF($P1832="","",Shares!$H1835)</f>
        <v/>
      </c>
      <c r="AE1832">
        <f>IF(OR(Sync!$S1832="",Sync!$P1832=""),"",Sync!$S1832)</f>
        <v/>
      </c>
      <c r="AF1832">
        <f>IF($AE1832="","",IF(ISNUMBER(Sync!$P1832),IF(AND(Sync!$P1832&gt;=10000101,Sync!$P1832&lt;=99991231),INT(Sync!$P1832/10000),""),IFERROR(VALUE(TRIM(LEFT(Sync!$P1832,FIND("/",Sync!$P1832)-1))),"")))</f>
        <v/>
      </c>
      <c r="AG1832">
        <f>IF(OR($AE1832="",$AF1832=""),"",IF(ISNUMBER(Sync!$P1832),INT(MOD(Sync!$P1832,10000)/100),IFERROR(VALUE(TRIM(LEFT(MID(Sync!$P1832,FIND("/",Sync!$P1832)+1,20),FIND("/",MID(Sync!$P1832,FIND("/",Sync!$P1832)+1,20))-1))),"")))</f>
        <v/>
      </c>
      <c r="AH1832">
        <f>IF(OR($AE1832="",$AF1832=""),"",IF(ISNUMBER(Sync!$P1832),MOD(Sync!$P1832,100),IFERROR(VALUE(TRIM(MID(MID(Sync!$P1832,FIND("/",Sync!$P1832)+1,20),FIND("/",MID(Sync!$P1832,FIND("/",Sync!$P1832)+1,20))+1,20))),"")))</f>
        <v/>
      </c>
      <c r="AI1832">
        <f>IF($AE1832="","",IF(OR($AF1832="",$AG1832="",$AH1832="",$AF1832&lt;1300,$AF1832&gt;1500,$AG1832&lt;1,$AG1832&gt;12,$AH1832&lt;1,$AH1832&gt;31),"نامعتبر",RIGHT("0000"&amp;$AF1832,4)&amp;"/"&amp;RIGHT("00"&amp;$AG1832,2)&amp;"/"&amp;RIGHT("00"&amp;$AH1832,2)))</f>
        <v/>
      </c>
      <c r="AJ1832">
        <f>IF($AE1832="","",IF(Sync!$Q1832="","0000",IF(AND(ISNUMBER(Sync!$Q1832),Sync!$Q1832&gt;=0,Sync!$Q1832&lt;1),RIGHT("00"&amp;HOUR(Sync!$Q1832),2)&amp;RIGHT("00"&amp;MINUTE(Sync!$Q1832),2),IFERROR(RIGHT("00"&amp;VALUE(LEFT(Sync!$Q1832,FIND(":",Sync!$Q1832)-1)),2)&amp;RIGHT("00"&amp;VALUE(MID(Sync!$Q1832,FIND(":",Sync!$Q1832)+1,2)),2),"0000"))))</f>
        <v/>
      </c>
      <c r="AK1832">
        <f>IF(OR($AE1832="",$AI1832="",$AI1832="نامعتبر"),"",LEFT($AI1832,4)&amp;MID($AI1832,6,2)&amp;RIGHT($AI1832,2)&amp;$AJ1832&amp;"|"&amp;"3"&amp;RIGHT("00000"&amp;1827,5))</f>
        <v/>
      </c>
      <c r="AL1832">
        <f>IF($AK1832="","",COUNTIFS(LdAParty,$AE1832,LdAType,1,LdAKey,"&lt;"&amp;$AK1832)+COUNTIFS(LdBMember,$AE1832,LdBKey,"&lt;"&amp;$AK1832)+COUNTIFS(LdCParty,$AE1832,LdCKey,"&lt;"&amp;$AK1832)+1)</f>
        <v/>
      </c>
      <c r="AM1832">
        <f>IF($AL1832="","",$AE1832&amp;"|"&amp;RIGHT("000000"&amp;$AL1832,6))</f>
        <v/>
      </c>
      <c r="AN1832">
        <f>IF($AE1832="","",IF(Sync!$W1832="",0,Sync!$W1832))</f>
        <v/>
      </c>
      <c r="AO1832">
        <f>IF($AE1832="","",IF(Sync!$X1832="",0,Sync!$X1832))</f>
        <v/>
      </c>
      <c r="AP1832">
        <f>IF($AE1832="","",Sync!$R1832)</f>
        <v/>
      </c>
      <c r="AQ1832">
        <f>IF($AE1832="","",Sync!$Y1832)</f>
        <v/>
      </c>
    </row>
    <row r="1833">
      <c r="A1833">
        <f>IF(OR(Wages!$B1836="",Wages!$E1836=""),"",Wages!$E1836)</f>
        <v/>
      </c>
      <c r="B1833">
        <f>IF($A1833="","",IF(Wages!$C1836="دستمزد گروهی",2,1))</f>
        <v/>
      </c>
      <c r="C1833">
        <f>IF($A1833="","",IF(ISNUMBER(Wages!$B1836),IF(AND(Wages!$B1836&gt;=10000101,Wages!$B1836&lt;=99991231),INT(Wages!$B1836/10000),""),IFERROR(VALUE(TRIM(LEFT(Wages!$B1836,FIND("/",Wages!$B1836)-1))),"")))</f>
        <v/>
      </c>
      <c r="D1833">
        <f>IF(OR($A1833="",$C1833=""),"",IF(ISNUMBER(Wages!$B1836),INT(MOD(Wages!$B1836,10000)/100),IFERROR(VALUE(TRIM(LEFT(MID(Wages!$B1836,FIND("/",Wages!$B1836)+1,20),FIND("/",MID(Wages!$B1836,FIND("/",Wages!$B1836)+1,20))-1))),"")))</f>
        <v/>
      </c>
      <c r="E1833">
        <f>IF(OR($A1833="",$C1833=""),"",IF(ISNUMBER(Wages!$B1836),MOD(Wages!$B1836,100),IFERROR(VALUE(TRIM(MID(MID(Wages!$B1836,FIND("/",Wages!$B1836)+1,20),FIND("/",MID(Wages!$B1836,FIND("/",Wages!$B1836)+1,20))+1,20))),"")))</f>
        <v/>
      </c>
      <c r="F1833">
        <f>IF($A1833="","",IF(OR($C1833="",$D1833="",$E1833="",$C1833&lt;1300,$C1833&gt;1500,$D1833&lt;1,$D1833&gt;12,$E1833&lt;1,$E1833&gt;31),"نامعتبر",RIGHT("0000"&amp;$C1833,4)&amp;"/"&amp;RIGHT("00"&amp;$D1833,2)&amp;"/"&amp;RIGHT("00"&amp;$E1833,2)))</f>
        <v/>
      </c>
      <c r="G1833">
        <f>IF(OR($A1833="",$F1833="",$F1833="نامعتبر"),"",LEFT($F1833,4)&amp;MID($F1833,6,2)&amp;RIGHT($F1833,2)&amp;"0000"&amp;"|"&amp;"1"&amp;RIGHT("00000"&amp;1828,5))</f>
        <v/>
      </c>
      <c r="H1833">
        <f>IF(OR($B1833&lt;&gt;1,$G1833=""),"",COUNTIFS(LdAParty,$A1833,LdAType,1,LdAKey,"&lt;"&amp;$G1833)+COUNTIFS(LdBMember,$A1833,LdBKey,"&lt;"&amp;$G1833)+COUNTIFS(LdCParty,$A1833,LdCKey,"&lt;"&amp;$G1833)+1)</f>
        <v/>
      </c>
      <c r="I1833">
        <f>IF($H1833="","",$A1833&amp;"|"&amp;RIGHT("000000"&amp;$H1833,6))</f>
        <v/>
      </c>
      <c r="J1833">
        <f>IF(OR($B1833&lt;&gt;2,$G1833=""),"",COUNTIFS(LdAParty,$A1833,LdAType,2,LdAKey,"&lt;"&amp;$G1833)+1)</f>
        <v/>
      </c>
      <c r="K1833">
        <f>IF($J1833="","",$A1833&amp;"|"&amp;RIGHT("000000"&amp;$J1833,6))</f>
        <v/>
      </c>
      <c r="L1833">
        <f>IF($A1833="","",IF(Wages!$G1836="",0,Wages!$G1836))</f>
        <v/>
      </c>
      <c r="M1833">
        <f>IF($A1833="","",Wages!$J1836)</f>
        <v/>
      </c>
      <c r="N1833">
        <f>IF($A1833="","",Wages!$D1836)</f>
        <v/>
      </c>
      <c r="P1833">
        <f>IF(OR(Shares!$B1836="",Shares!$C1836=""),"",Shares!$C1836)</f>
        <v/>
      </c>
      <c r="Q1833">
        <f>IF($P1833="","",Shares!$B1836)</f>
        <v/>
      </c>
      <c r="R1833">
        <f>IF($P1833="","",IFERROR(INDEX(WageParty,MATCH($Q1833,WageIds,0)),""))</f>
        <v/>
      </c>
      <c r="S1833">
        <f>IF($P1833="","",IFERROR(INDEX($F$6:$F$2005,MATCH($Q1833,WageIds,0)),""))</f>
        <v/>
      </c>
      <c r="T1833">
        <f>IF(OR($P1833="",$S1833="",$S1833="نامعتبر"),"",LEFT($S1833,4)&amp;MID($S1833,6,2)&amp;RIGHT($S1833,2)&amp;"0000"&amp;"|"&amp;"2"&amp;RIGHT("00000"&amp;1828,5))</f>
        <v/>
      </c>
      <c r="U1833">
        <f>IF($T1833="","",COUNTIFS(LdAParty,$P1833,LdAType,1,LdAKey,"&lt;"&amp;$T1833)+COUNTIFS(LdBMember,$P1833,LdBKey,"&lt;"&amp;$T1833)+COUNTIFS(LdCParty,$P1833,LdCKey,"&lt;"&amp;$T1833)+1)</f>
        <v/>
      </c>
      <c r="V1833">
        <f>IF($U1833="","",$P1833&amp;"|"&amp;RIGHT("000000"&amp;$U1833,6))</f>
        <v/>
      </c>
      <c r="W1833">
        <f>IF($T1833="","",COUNTIFS(LdBGroup,$R1833,LdBKey,"&lt;"&amp;$T1833)+1)</f>
        <v/>
      </c>
      <c r="X1833">
        <f>IF($W1833="","",$R1833&amp;"|"&amp;RIGHT("000000"&amp;$W1833,6))</f>
        <v/>
      </c>
      <c r="Y1833">
        <f>IF($P1833="","",IF(Shares!$E1836="",0,Shares!$E1836))</f>
        <v/>
      </c>
      <c r="Z1833">
        <f>IF($P1833="","",Shares!$H1836)</f>
        <v/>
      </c>
      <c r="AE1833">
        <f>IF(OR(Sync!$S1833="",Sync!$P1833=""),"",Sync!$S1833)</f>
        <v/>
      </c>
      <c r="AF1833">
        <f>IF($AE1833="","",IF(ISNUMBER(Sync!$P1833),IF(AND(Sync!$P1833&gt;=10000101,Sync!$P1833&lt;=99991231),INT(Sync!$P1833/10000),""),IFERROR(VALUE(TRIM(LEFT(Sync!$P1833,FIND("/",Sync!$P1833)-1))),"")))</f>
        <v/>
      </c>
      <c r="AG1833">
        <f>IF(OR($AE1833="",$AF1833=""),"",IF(ISNUMBER(Sync!$P1833),INT(MOD(Sync!$P1833,10000)/100),IFERROR(VALUE(TRIM(LEFT(MID(Sync!$P1833,FIND("/",Sync!$P1833)+1,20),FIND("/",MID(Sync!$P1833,FIND("/",Sync!$P1833)+1,20))-1))),"")))</f>
        <v/>
      </c>
      <c r="AH1833">
        <f>IF(OR($AE1833="",$AF1833=""),"",IF(ISNUMBER(Sync!$P1833),MOD(Sync!$P1833,100),IFERROR(VALUE(TRIM(MID(MID(Sync!$P1833,FIND("/",Sync!$P1833)+1,20),FIND("/",MID(Sync!$P1833,FIND("/",Sync!$P1833)+1,20))+1,20))),"")))</f>
        <v/>
      </c>
      <c r="AI1833">
        <f>IF($AE1833="","",IF(OR($AF1833="",$AG1833="",$AH1833="",$AF1833&lt;1300,$AF1833&gt;1500,$AG1833&lt;1,$AG1833&gt;12,$AH1833&lt;1,$AH1833&gt;31),"نامعتبر",RIGHT("0000"&amp;$AF1833,4)&amp;"/"&amp;RIGHT("00"&amp;$AG1833,2)&amp;"/"&amp;RIGHT("00"&amp;$AH1833,2)))</f>
        <v/>
      </c>
      <c r="AJ1833">
        <f>IF($AE1833="","",IF(Sync!$Q1833="","0000",IF(AND(ISNUMBER(Sync!$Q1833),Sync!$Q1833&gt;=0,Sync!$Q1833&lt;1),RIGHT("00"&amp;HOUR(Sync!$Q1833),2)&amp;RIGHT("00"&amp;MINUTE(Sync!$Q1833),2),IFERROR(RIGHT("00"&amp;VALUE(LEFT(Sync!$Q1833,FIND(":",Sync!$Q1833)-1)),2)&amp;RIGHT("00"&amp;VALUE(MID(Sync!$Q1833,FIND(":",Sync!$Q1833)+1,2)),2),"0000"))))</f>
        <v/>
      </c>
      <c r="AK1833">
        <f>IF(OR($AE1833="",$AI1833="",$AI1833="نامعتبر"),"",LEFT($AI1833,4)&amp;MID($AI1833,6,2)&amp;RIGHT($AI1833,2)&amp;$AJ1833&amp;"|"&amp;"3"&amp;RIGHT("00000"&amp;1828,5))</f>
        <v/>
      </c>
      <c r="AL1833">
        <f>IF($AK1833="","",COUNTIFS(LdAParty,$AE1833,LdAType,1,LdAKey,"&lt;"&amp;$AK1833)+COUNTIFS(LdBMember,$AE1833,LdBKey,"&lt;"&amp;$AK1833)+COUNTIFS(LdCParty,$AE1833,LdCKey,"&lt;"&amp;$AK1833)+1)</f>
        <v/>
      </c>
      <c r="AM1833">
        <f>IF($AL1833="","",$AE1833&amp;"|"&amp;RIGHT("000000"&amp;$AL1833,6))</f>
        <v/>
      </c>
      <c r="AN1833">
        <f>IF($AE1833="","",IF(Sync!$W1833="",0,Sync!$W1833))</f>
        <v/>
      </c>
      <c r="AO1833">
        <f>IF($AE1833="","",IF(Sync!$X1833="",0,Sync!$X1833))</f>
        <v/>
      </c>
      <c r="AP1833">
        <f>IF($AE1833="","",Sync!$R1833)</f>
        <v/>
      </c>
      <c r="AQ1833">
        <f>IF($AE1833="","",Sync!$Y1833)</f>
        <v/>
      </c>
    </row>
    <row r="1834">
      <c r="A1834">
        <f>IF(OR(Wages!$B1837="",Wages!$E1837=""),"",Wages!$E1837)</f>
        <v/>
      </c>
      <c r="B1834">
        <f>IF($A1834="","",IF(Wages!$C1837="دستمزد گروهی",2,1))</f>
        <v/>
      </c>
      <c r="C1834">
        <f>IF($A1834="","",IF(ISNUMBER(Wages!$B1837),IF(AND(Wages!$B1837&gt;=10000101,Wages!$B1837&lt;=99991231),INT(Wages!$B1837/10000),""),IFERROR(VALUE(TRIM(LEFT(Wages!$B1837,FIND("/",Wages!$B1837)-1))),"")))</f>
        <v/>
      </c>
      <c r="D1834">
        <f>IF(OR($A1834="",$C1834=""),"",IF(ISNUMBER(Wages!$B1837),INT(MOD(Wages!$B1837,10000)/100),IFERROR(VALUE(TRIM(LEFT(MID(Wages!$B1837,FIND("/",Wages!$B1837)+1,20),FIND("/",MID(Wages!$B1837,FIND("/",Wages!$B1837)+1,20))-1))),"")))</f>
        <v/>
      </c>
      <c r="E1834">
        <f>IF(OR($A1834="",$C1834=""),"",IF(ISNUMBER(Wages!$B1837),MOD(Wages!$B1837,100),IFERROR(VALUE(TRIM(MID(MID(Wages!$B1837,FIND("/",Wages!$B1837)+1,20),FIND("/",MID(Wages!$B1837,FIND("/",Wages!$B1837)+1,20))+1,20))),"")))</f>
        <v/>
      </c>
      <c r="F1834">
        <f>IF($A1834="","",IF(OR($C1834="",$D1834="",$E1834="",$C1834&lt;1300,$C1834&gt;1500,$D1834&lt;1,$D1834&gt;12,$E1834&lt;1,$E1834&gt;31),"نامعتبر",RIGHT("0000"&amp;$C1834,4)&amp;"/"&amp;RIGHT("00"&amp;$D1834,2)&amp;"/"&amp;RIGHT("00"&amp;$E1834,2)))</f>
        <v/>
      </c>
      <c r="G1834">
        <f>IF(OR($A1834="",$F1834="",$F1834="نامعتبر"),"",LEFT($F1834,4)&amp;MID($F1834,6,2)&amp;RIGHT($F1834,2)&amp;"0000"&amp;"|"&amp;"1"&amp;RIGHT("00000"&amp;1829,5))</f>
        <v/>
      </c>
      <c r="H1834">
        <f>IF(OR($B1834&lt;&gt;1,$G1834=""),"",COUNTIFS(LdAParty,$A1834,LdAType,1,LdAKey,"&lt;"&amp;$G1834)+COUNTIFS(LdBMember,$A1834,LdBKey,"&lt;"&amp;$G1834)+COUNTIFS(LdCParty,$A1834,LdCKey,"&lt;"&amp;$G1834)+1)</f>
        <v/>
      </c>
      <c r="I1834">
        <f>IF($H1834="","",$A1834&amp;"|"&amp;RIGHT("000000"&amp;$H1834,6))</f>
        <v/>
      </c>
      <c r="J1834">
        <f>IF(OR($B1834&lt;&gt;2,$G1834=""),"",COUNTIFS(LdAParty,$A1834,LdAType,2,LdAKey,"&lt;"&amp;$G1834)+1)</f>
        <v/>
      </c>
      <c r="K1834">
        <f>IF($J1834="","",$A1834&amp;"|"&amp;RIGHT("000000"&amp;$J1834,6))</f>
        <v/>
      </c>
      <c r="L1834">
        <f>IF($A1834="","",IF(Wages!$G1837="",0,Wages!$G1837))</f>
        <v/>
      </c>
      <c r="M1834">
        <f>IF($A1834="","",Wages!$J1837)</f>
        <v/>
      </c>
      <c r="N1834">
        <f>IF($A1834="","",Wages!$D1837)</f>
        <v/>
      </c>
      <c r="P1834">
        <f>IF(OR(Shares!$B1837="",Shares!$C1837=""),"",Shares!$C1837)</f>
        <v/>
      </c>
      <c r="Q1834">
        <f>IF($P1834="","",Shares!$B1837)</f>
        <v/>
      </c>
      <c r="R1834">
        <f>IF($P1834="","",IFERROR(INDEX(WageParty,MATCH($Q1834,WageIds,0)),""))</f>
        <v/>
      </c>
      <c r="S1834">
        <f>IF($P1834="","",IFERROR(INDEX($F$6:$F$2005,MATCH($Q1834,WageIds,0)),""))</f>
        <v/>
      </c>
      <c r="T1834">
        <f>IF(OR($P1834="",$S1834="",$S1834="نامعتبر"),"",LEFT($S1834,4)&amp;MID($S1834,6,2)&amp;RIGHT($S1834,2)&amp;"0000"&amp;"|"&amp;"2"&amp;RIGHT("00000"&amp;1829,5))</f>
        <v/>
      </c>
      <c r="U1834">
        <f>IF($T1834="","",COUNTIFS(LdAParty,$P1834,LdAType,1,LdAKey,"&lt;"&amp;$T1834)+COUNTIFS(LdBMember,$P1834,LdBKey,"&lt;"&amp;$T1834)+COUNTIFS(LdCParty,$P1834,LdCKey,"&lt;"&amp;$T1834)+1)</f>
        <v/>
      </c>
      <c r="V1834">
        <f>IF($U1834="","",$P1834&amp;"|"&amp;RIGHT("000000"&amp;$U1834,6))</f>
        <v/>
      </c>
      <c r="W1834">
        <f>IF($T1834="","",COUNTIFS(LdBGroup,$R1834,LdBKey,"&lt;"&amp;$T1834)+1)</f>
        <v/>
      </c>
      <c r="X1834">
        <f>IF($W1834="","",$R1834&amp;"|"&amp;RIGHT("000000"&amp;$W1834,6))</f>
        <v/>
      </c>
      <c r="Y1834">
        <f>IF($P1834="","",IF(Shares!$E1837="",0,Shares!$E1837))</f>
        <v/>
      </c>
      <c r="Z1834">
        <f>IF($P1834="","",Shares!$H1837)</f>
        <v/>
      </c>
      <c r="AE1834">
        <f>IF(OR(Sync!$S1834="",Sync!$P1834=""),"",Sync!$S1834)</f>
        <v/>
      </c>
      <c r="AF1834">
        <f>IF($AE1834="","",IF(ISNUMBER(Sync!$P1834),IF(AND(Sync!$P1834&gt;=10000101,Sync!$P1834&lt;=99991231),INT(Sync!$P1834/10000),""),IFERROR(VALUE(TRIM(LEFT(Sync!$P1834,FIND("/",Sync!$P1834)-1))),"")))</f>
        <v/>
      </c>
      <c r="AG1834">
        <f>IF(OR($AE1834="",$AF1834=""),"",IF(ISNUMBER(Sync!$P1834),INT(MOD(Sync!$P1834,10000)/100),IFERROR(VALUE(TRIM(LEFT(MID(Sync!$P1834,FIND("/",Sync!$P1834)+1,20),FIND("/",MID(Sync!$P1834,FIND("/",Sync!$P1834)+1,20))-1))),"")))</f>
        <v/>
      </c>
      <c r="AH1834">
        <f>IF(OR($AE1834="",$AF1834=""),"",IF(ISNUMBER(Sync!$P1834),MOD(Sync!$P1834,100),IFERROR(VALUE(TRIM(MID(MID(Sync!$P1834,FIND("/",Sync!$P1834)+1,20),FIND("/",MID(Sync!$P1834,FIND("/",Sync!$P1834)+1,20))+1,20))),"")))</f>
        <v/>
      </c>
      <c r="AI1834">
        <f>IF($AE1834="","",IF(OR($AF1834="",$AG1834="",$AH1834="",$AF1834&lt;1300,$AF1834&gt;1500,$AG1834&lt;1,$AG1834&gt;12,$AH1834&lt;1,$AH1834&gt;31),"نامعتبر",RIGHT("0000"&amp;$AF1834,4)&amp;"/"&amp;RIGHT("00"&amp;$AG1834,2)&amp;"/"&amp;RIGHT("00"&amp;$AH1834,2)))</f>
        <v/>
      </c>
      <c r="AJ1834">
        <f>IF($AE1834="","",IF(Sync!$Q1834="","0000",IF(AND(ISNUMBER(Sync!$Q1834),Sync!$Q1834&gt;=0,Sync!$Q1834&lt;1),RIGHT("00"&amp;HOUR(Sync!$Q1834),2)&amp;RIGHT("00"&amp;MINUTE(Sync!$Q1834),2),IFERROR(RIGHT("00"&amp;VALUE(LEFT(Sync!$Q1834,FIND(":",Sync!$Q1834)-1)),2)&amp;RIGHT("00"&amp;VALUE(MID(Sync!$Q1834,FIND(":",Sync!$Q1834)+1,2)),2),"0000"))))</f>
        <v/>
      </c>
      <c r="AK1834">
        <f>IF(OR($AE1834="",$AI1834="",$AI1834="نامعتبر"),"",LEFT($AI1834,4)&amp;MID($AI1834,6,2)&amp;RIGHT($AI1834,2)&amp;$AJ1834&amp;"|"&amp;"3"&amp;RIGHT("00000"&amp;1829,5))</f>
        <v/>
      </c>
      <c r="AL1834">
        <f>IF($AK1834="","",COUNTIFS(LdAParty,$AE1834,LdAType,1,LdAKey,"&lt;"&amp;$AK1834)+COUNTIFS(LdBMember,$AE1834,LdBKey,"&lt;"&amp;$AK1834)+COUNTIFS(LdCParty,$AE1834,LdCKey,"&lt;"&amp;$AK1834)+1)</f>
        <v/>
      </c>
      <c r="AM1834">
        <f>IF($AL1834="","",$AE1834&amp;"|"&amp;RIGHT("000000"&amp;$AL1834,6))</f>
        <v/>
      </c>
      <c r="AN1834">
        <f>IF($AE1834="","",IF(Sync!$W1834="",0,Sync!$W1834))</f>
        <v/>
      </c>
      <c r="AO1834">
        <f>IF($AE1834="","",IF(Sync!$X1834="",0,Sync!$X1834))</f>
        <v/>
      </c>
      <c r="AP1834">
        <f>IF($AE1834="","",Sync!$R1834)</f>
        <v/>
      </c>
      <c r="AQ1834">
        <f>IF($AE1834="","",Sync!$Y1834)</f>
        <v/>
      </c>
    </row>
    <row r="1835">
      <c r="A1835">
        <f>IF(OR(Wages!$B1838="",Wages!$E1838=""),"",Wages!$E1838)</f>
        <v/>
      </c>
      <c r="B1835">
        <f>IF($A1835="","",IF(Wages!$C1838="دستمزد گروهی",2,1))</f>
        <v/>
      </c>
      <c r="C1835">
        <f>IF($A1835="","",IF(ISNUMBER(Wages!$B1838),IF(AND(Wages!$B1838&gt;=10000101,Wages!$B1838&lt;=99991231),INT(Wages!$B1838/10000),""),IFERROR(VALUE(TRIM(LEFT(Wages!$B1838,FIND("/",Wages!$B1838)-1))),"")))</f>
        <v/>
      </c>
      <c r="D1835">
        <f>IF(OR($A1835="",$C1835=""),"",IF(ISNUMBER(Wages!$B1838),INT(MOD(Wages!$B1838,10000)/100),IFERROR(VALUE(TRIM(LEFT(MID(Wages!$B1838,FIND("/",Wages!$B1838)+1,20),FIND("/",MID(Wages!$B1838,FIND("/",Wages!$B1838)+1,20))-1))),"")))</f>
        <v/>
      </c>
      <c r="E1835">
        <f>IF(OR($A1835="",$C1835=""),"",IF(ISNUMBER(Wages!$B1838),MOD(Wages!$B1838,100),IFERROR(VALUE(TRIM(MID(MID(Wages!$B1838,FIND("/",Wages!$B1838)+1,20),FIND("/",MID(Wages!$B1838,FIND("/",Wages!$B1838)+1,20))+1,20))),"")))</f>
        <v/>
      </c>
      <c r="F1835">
        <f>IF($A1835="","",IF(OR($C1835="",$D1835="",$E1835="",$C1835&lt;1300,$C1835&gt;1500,$D1835&lt;1,$D1835&gt;12,$E1835&lt;1,$E1835&gt;31),"نامعتبر",RIGHT("0000"&amp;$C1835,4)&amp;"/"&amp;RIGHT("00"&amp;$D1835,2)&amp;"/"&amp;RIGHT("00"&amp;$E1835,2)))</f>
        <v/>
      </c>
      <c r="G1835">
        <f>IF(OR($A1835="",$F1835="",$F1835="نامعتبر"),"",LEFT($F1835,4)&amp;MID($F1835,6,2)&amp;RIGHT($F1835,2)&amp;"0000"&amp;"|"&amp;"1"&amp;RIGHT("00000"&amp;1830,5))</f>
        <v/>
      </c>
      <c r="H1835">
        <f>IF(OR($B1835&lt;&gt;1,$G1835=""),"",COUNTIFS(LdAParty,$A1835,LdAType,1,LdAKey,"&lt;"&amp;$G1835)+COUNTIFS(LdBMember,$A1835,LdBKey,"&lt;"&amp;$G1835)+COUNTIFS(LdCParty,$A1835,LdCKey,"&lt;"&amp;$G1835)+1)</f>
        <v/>
      </c>
      <c r="I1835">
        <f>IF($H1835="","",$A1835&amp;"|"&amp;RIGHT("000000"&amp;$H1835,6))</f>
        <v/>
      </c>
      <c r="J1835">
        <f>IF(OR($B1835&lt;&gt;2,$G1835=""),"",COUNTIFS(LdAParty,$A1835,LdAType,2,LdAKey,"&lt;"&amp;$G1835)+1)</f>
        <v/>
      </c>
      <c r="K1835">
        <f>IF($J1835="","",$A1835&amp;"|"&amp;RIGHT("000000"&amp;$J1835,6))</f>
        <v/>
      </c>
      <c r="L1835">
        <f>IF($A1835="","",IF(Wages!$G1838="",0,Wages!$G1838))</f>
        <v/>
      </c>
      <c r="M1835">
        <f>IF($A1835="","",Wages!$J1838)</f>
        <v/>
      </c>
      <c r="N1835">
        <f>IF($A1835="","",Wages!$D1838)</f>
        <v/>
      </c>
      <c r="P1835">
        <f>IF(OR(Shares!$B1838="",Shares!$C1838=""),"",Shares!$C1838)</f>
        <v/>
      </c>
      <c r="Q1835">
        <f>IF($P1835="","",Shares!$B1838)</f>
        <v/>
      </c>
      <c r="R1835">
        <f>IF($P1835="","",IFERROR(INDEX(WageParty,MATCH($Q1835,WageIds,0)),""))</f>
        <v/>
      </c>
      <c r="S1835">
        <f>IF($P1835="","",IFERROR(INDEX($F$6:$F$2005,MATCH($Q1835,WageIds,0)),""))</f>
        <v/>
      </c>
      <c r="T1835">
        <f>IF(OR($P1835="",$S1835="",$S1835="نامعتبر"),"",LEFT($S1835,4)&amp;MID($S1835,6,2)&amp;RIGHT($S1835,2)&amp;"0000"&amp;"|"&amp;"2"&amp;RIGHT("00000"&amp;1830,5))</f>
        <v/>
      </c>
      <c r="U1835">
        <f>IF($T1835="","",COUNTIFS(LdAParty,$P1835,LdAType,1,LdAKey,"&lt;"&amp;$T1835)+COUNTIFS(LdBMember,$P1835,LdBKey,"&lt;"&amp;$T1835)+COUNTIFS(LdCParty,$P1835,LdCKey,"&lt;"&amp;$T1835)+1)</f>
        <v/>
      </c>
      <c r="V1835">
        <f>IF($U1835="","",$P1835&amp;"|"&amp;RIGHT("000000"&amp;$U1835,6))</f>
        <v/>
      </c>
      <c r="W1835">
        <f>IF($T1835="","",COUNTIFS(LdBGroup,$R1835,LdBKey,"&lt;"&amp;$T1835)+1)</f>
        <v/>
      </c>
      <c r="X1835">
        <f>IF($W1835="","",$R1835&amp;"|"&amp;RIGHT("000000"&amp;$W1835,6))</f>
        <v/>
      </c>
      <c r="Y1835">
        <f>IF($P1835="","",IF(Shares!$E1838="",0,Shares!$E1838))</f>
        <v/>
      </c>
      <c r="Z1835">
        <f>IF($P1835="","",Shares!$H1838)</f>
        <v/>
      </c>
      <c r="AE1835">
        <f>IF(OR(Sync!$S1835="",Sync!$P1835=""),"",Sync!$S1835)</f>
        <v/>
      </c>
      <c r="AF1835">
        <f>IF($AE1835="","",IF(ISNUMBER(Sync!$P1835),IF(AND(Sync!$P1835&gt;=10000101,Sync!$P1835&lt;=99991231),INT(Sync!$P1835/10000),""),IFERROR(VALUE(TRIM(LEFT(Sync!$P1835,FIND("/",Sync!$P1835)-1))),"")))</f>
        <v/>
      </c>
      <c r="AG1835">
        <f>IF(OR($AE1835="",$AF1835=""),"",IF(ISNUMBER(Sync!$P1835),INT(MOD(Sync!$P1835,10000)/100),IFERROR(VALUE(TRIM(LEFT(MID(Sync!$P1835,FIND("/",Sync!$P1835)+1,20),FIND("/",MID(Sync!$P1835,FIND("/",Sync!$P1835)+1,20))-1))),"")))</f>
        <v/>
      </c>
      <c r="AH1835">
        <f>IF(OR($AE1835="",$AF1835=""),"",IF(ISNUMBER(Sync!$P1835),MOD(Sync!$P1835,100),IFERROR(VALUE(TRIM(MID(MID(Sync!$P1835,FIND("/",Sync!$P1835)+1,20),FIND("/",MID(Sync!$P1835,FIND("/",Sync!$P1835)+1,20))+1,20))),"")))</f>
        <v/>
      </c>
      <c r="AI1835">
        <f>IF($AE1835="","",IF(OR($AF1835="",$AG1835="",$AH1835="",$AF1835&lt;1300,$AF1835&gt;1500,$AG1835&lt;1,$AG1835&gt;12,$AH1835&lt;1,$AH1835&gt;31),"نامعتبر",RIGHT("0000"&amp;$AF1835,4)&amp;"/"&amp;RIGHT("00"&amp;$AG1835,2)&amp;"/"&amp;RIGHT("00"&amp;$AH1835,2)))</f>
        <v/>
      </c>
      <c r="AJ1835">
        <f>IF($AE1835="","",IF(Sync!$Q1835="","0000",IF(AND(ISNUMBER(Sync!$Q1835),Sync!$Q1835&gt;=0,Sync!$Q1835&lt;1),RIGHT("00"&amp;HOUR(Sync!$Q1835),2)&amp;RIGHT("00"&amp;MINUTE(Sync!$Q1835),2),IFERROR(RIGHT("00"&amp;VALUE(LEFT(Sync!$Q1835,FIND(":",Sync!$Q1835)-1)),2)&amp;RIGHT("00"&amp;VALUE(MID(Sync!$Q1835,FIND(":",Sync!$Q1835)+1,2)),2),"0000"))))</f>
        <v/>
      </c>
      <c r="AK1835">
        <f>IF(OR($AE1835="",$AI1835="",$AI1835="نامعتبر"),"",LEFT($AI1835,4)&amp;MID($AI1835,6,2)&amp;RIGHT($AI1835,2)&amp;$AJ1835&amp;"|"&amp;"3"&amp;RIGHT("00000"&amp;1830,5))</f>
        <v/>
      </c>
      <c r="AL1835">
        <f>IF($AK1835="","",COUNTIFS(LdAParty,$AE1835,LdAType,1,LdAKey,"&lt;"&amp;$AK1835)+COUNTIFS(LdBMember,$AE1835,LdBKey,"&lt;"&amp;$AK1835)+COUNTIFS(LdCParty,$AE1835,LdCKey,"&lt;"&amp;$AK1835)+1)</f>
        <v/>
      </c>
      <c r="AM1835">
        <f>IF($AL1835="","",$AE1835&amp;"|"&amp;RIGHT("000000"&amp;$AL1835,6))</f>
        <v/>
      </c>
      <c r="AN1835">
        <f>IF($AE1835="","",IF(Sync!$W1835="",0,Sync!$W1835))</f>
        <v/>
      </c>
      <c r="AO1835">
        <f>IF($AE1835="","",IF(Sync!$X1835="",0,Sync!$X1835))</f>
        <v/>
      </c>
      <c r="AP1835">
        <f>IF($AE1835="","",Sync!$R1835)</f>
        <v/>
      </c>
      <c r="AQ1835">
        <f>IF($AE1835="","",Sync!$Y1835)</f>
        <v/>
      </c>
    </row>
    <row r="1836">
      <c r="A1836">
        <f>IF(OR(Wages!$B1839="",Wages!$E1839=""),"",Wages!$E1839)</f>
        <v/>
      </c>
      <c r="B1836">
        <f>IF($A1836="","",IF(Wages!$C1839="دستمزد گروهی",2,1))</f>
        <v/>
      </c>
      <c r="C1836">
        <f>IF($A1836="","",IF(ISNUMBER(Wages!$B1839),IF(AND(Wages!$B1839&gt;=10000101,Wages!$B1839&lt;=99991231),INT(Wages!$B1839/10000),""),IFERROR(VALUE(TRIM(LEFT(Wages!$B1839,FIND("/",Wages!$B1839)-1))),"")))</f>
        <v/>
      </c>
      <c r="D1836">
        <f>IF(OR($A1836="",$C1836=""),"",IF(ISNUMBER(Wages!$B1839),INT(MOD(Wages!$B1839,10000)/100),IFERROR(VALUE(TRIM(LEFT(MID(Wages!$B1839,FIND("/",Wages!$B1839)+1,20),FIND("/",MID(Wages!$B1839,FIND("/",Wages!$B1839)+1,20))-1))),"")))</f>
        <v/>
      </c>
      <c r="E1836">
        <f>IF(OR($A1836="",$C1836=""),"",IF(ISNUMBER(Wages!$B1839),MOD(Wages!$B1839,100),IFERROR(VALUE(TRIM(MID(MID(Wages!$B1839,FIND("/",Wages!$B1839)+1,20),FIND("/",MID(Wages!$B1839,FIND("/",Wages!$B1839)+1,20))+1,20))),"")))</f>
        <v/>
      </c>
      <c r="F1836">
        <f>IF($A1836="","",IF(OR($C1836="",$D1836="",$E1836="",$C1836&lt;1300,$C1836&gt;1500,$D1836&lt;1,$D1836&gt;12,$E1836&lt;1,$E1836&gt;31),"نامعتبر",RIGHT("0000"&amp;$C1836,4)&amp;"/"&amp;RIGHT("00"&amp;$D1836,2)&amp;"/"&amp;RIGHT("00"&amp;$E1836,2)))</f>
        <v/>
      </c>
      <c r="G1836">
        <f>IF(OR($A1836="",$F1836="",$F1836="نامعتبر"),"",LEFT($F1836,4)&amp;MID($F1836,6,2)&amp;RIGHT($F1836,2)&amp;"0000"&amp;"|"&amp;"1"&amp;RIGHT("00000"&amp;1831,5))</f>
        <v/>
      </c>
      <c r="H1836">
        <f>IF(OR($B1836&lt;&gt;1,$G1836=""),"",COUNTIFS(LdAParty,$A1836,LdAType,1,LdAKey,"&lt;"&amp;$G1836)+COUNTIFS(LdBMember,$A1836,LdBKey,"&lt;"&amp;$G1836)+COUNTIFS(LdCParty,$A1836,LdCKey,"&lt;"&amp;$G1836)+1)</f>
        <v/>
      </c>
      <c r="I1836">
        <f>IF($H1836="","",$A1836&amp;"|"&amp;RIGHT("000000"&amp;$H1836,6))</f>
        <v/>
      </c>
      <c r="J1836">
        <f>IF(OR($B1836&lt;&gt;2,$G1836=""),"",COUNTIFS(LdAParty,$A1836,LdAType,2,LdAKey,"&lt;"&amp;$G1836)+1)</f>
        <v/>
      </c>
      <c r="K1836">
        <f>IF($J1836="","",$A1836&amp;"|"&amp;RIGHT("000000"&amp;$J1836,6))</f>
        <v/>
      </c>
      <c r="L1836">
        <f>IF($A1836="","",IF(Wages!$G1839="",0,Wages!$G1839))</f>
        <v/>
      </c>
      <c r="M1836">
        <f>IF($A1836="","",Wages!$J1839)</f>
        <v/>
      </c>
      <c r="N1836">
        <f>IF($A1836="","",Wages!$D1839)</f>
        <v/>
      </c>
      <c r="P1836">
        <f>IF(OR(Shares!$B1839="",Shares!$C1839=""),"",Shares!$C1839)</f>
        <v/>
      </c>
      <c r="Q1836">
        <f>IF($P1836="","",Shares!$B1839)</f>
        <v/>
      </c>
      <c r="R1836">
        <f>IF($P1836="","",IFERROR(INDEX(WageParty,MATCH($Q1836,WageIds,0)),""))</f>
        <v/>
      </c>
      <c r="S1836">
        <f>IF($P1836="","",IFERROR(INDEX($F$6:$F$2005,MATCH($Q1836,WageIds,0)),""))</f>
        <v/>
      </c>
      <c r="T1836">
        <f>IF(OR($P1836="",$S1836="",$S1836="نامعتبر"),"",LEFT($S1836,4)&amp;MID($S1836,6,2)&amp;RIGHT($S1836,2)&amp;"0000"&amp;"|"&amp;"2"&amp;RIGHT("00000"&amp;1831,5))</f>
        <v/>
      </c>
      <c r="U1836">
        <f>IF($T1836="","",COUNTIFS(LdAParty,$P1836,LdAType,1,LdAKey,"&lt;"&amp;$T1836)+COUNTIFS(LdBMember,$P1836,LdBKey,"&lt;"&amp;$T1836)+COUNTIFS(LdCParty,$P1836,LdCKey,"&lt;"&amp;$T1836)+1)</f>
        <v/>
      </c>
      <c r="V1836">
        <f>IF($U1836="","",$P1836&amp;"|"&amp;RIGHT("000000"&amp;$U1836,6))</f>
        <v/>
      </c>
      <c r="W1836">
        <f>IF($T1836="","",COUNTIFS(LdBGroup,$R1836,LdBKey,"&lt;"&amp;$T1836)+1)</f>
        <v/>
      </c>
      <c r="X1836">
        <f>IF($W1836="","",$R1836&amp;"|"&amp;RIGHT("000000"&amp;$W1836,6))</f>
        <v/>
      </c>
      <c r="Y1836">
        <f>IF($P1836="","",IF(Shares!$E1839="",0,Shares!$E1839))</f>
        <v/>
      </c>
      <c r="Z1836">
        <f>IF($P1836="","",Shares!$H1839)</f>
        <v/>
      </c>
      <c r="AE1836">
        <f>IF(OR(Sync!$S1836="",Sync!$P1836=""),"",Sync!$S1836)</f>
        <v/>
      </c>
      <c r="AF1836">
        <f>IF($AE1836="","",IF(ISNUMBER(Sync!$P1836),IF(AND(Sync!$P1836&gt;=10000101,Sync!$P1836&lt;=99991231),INT(Sync!$P1836/10000),""),IFERROR(VALUE(TRIM(LEFT(Sync!$P1836,FIND("/",Sync!$P1836)-1))),"")))</f>
        <v/>
      </c>
      <c r="AG1836">
        <f>IF(OR($AE1836="",$AF1836=""),"",IF(ISNUMBER(Sync!$P1836),INT(MOD(Sync!$P1836,10000)/100),IFERROR(VALUE(TRIM(LEFT(MID(Sync!$P1836,FIND("/",Sync!$P1836)+1,20),FIND("/",MID(Sync!$P1836,FIND("/",Sync!$P1836)+1,20))-1))),"")))</f>
        <v/>
      </c>
      <c r="AH1836">
        <f>IF(OR($AE1836="",$AF1836=""),"",IF(ISNUMBER(Sync!$P1836),MOD(Sync!$P1836,100),IFERROR(VALUE(TRIM(MID(MID(Sync!$P1836,FIND("/",Sync!$P1836)+1,20),FIND("/",MID(Sync!$P1836,FIND("/",Sync!$P1836)+1,20))+1,20))),"")))</f>
        <v/>
      </c>
      <c r="AI1836">
        <f>IF($AE1836="","",IF(OR($AF1836="",$AG1836="",$AH1836="",$AF1836&lt;1300,$AF1836&gt;1500,$AG1836&lt;1,$AG1836&gt;12,$AH1836&lt;1,$AH1836&gt;31),"نامعتبر",RIGHT("0000"&amp;$AF1836,4)&amp;"/"&amp;RIGHT("00"&amp;$AG1836,2)&amp;"/"&amp;RIGHT("00"&amp;$AH1836,2)))</f>
        <v/>
      </c>
      <c r="AJ1836">
        <f>IF($AE1836="","",IF(Sync!$Q1836="","0000",IF(AND(ISNUMBER(Sync!$Q1836),Sync!$Q1836&gt;=0,Sync!$Q1836&lt;1),RIGHT("00"&amp;HOUR(Sync!$Q1836),2)&amp;RIGHT("00"&amp;MINUTE(Sync!$Q1836),2),IFERROR(RIGHT("00"&amp;VALUE(LEFT(Sync!$Q1836,FIND(":",Sync!$Q1836)-1)),2)&amp;RIGHT("00"&amp;VALUE(MID(Sync!$Q1836,FIND(":",Sync!$Q1836)+1,2)),2),"0000"))))</f>
        <v/>
      </c>
      <c r="AK1836">
        <f>IF(OR($AE1836="",$AI1836="",$AI1836="نامعتبر"),"",LEFT($AI1836,4)&amp;MID($AI1836,6,2)&amp;RIGHT($AI1836,2)&amp;$AJ1836&amp;"|"&amp;"3"&amp;RIGHT("00000"&amp;1831,5))</f>
        <v/>
      </c>
      <c r="AL1836">
        <f>IF($AK1836="","",COUNTIFS(LdAParty,$AE1836,LdAType,1,LdAKey,"&lt;"&amp;$AK1836)+COUNTIFS(LdBMember,$AE1836,LdBKey,"&lt;"&amp;$AK1836)+COUNTIFS(LdCParty,$AE1836,LdCKey,"&lt;"&amp;$AK1836)+1)</f>
        <v/>
      </c>
      <c r="AM1836">
        <f>IF($AL1836="","",$AE1836&amp;"|"&amp;RIGHT("000000"&amp;$AL1836,6))</f>
        <v/>
      </c>
      <c r="AN1836">
        <f>IF($AE1836="","",IF(Sync!$W1836="",0,Sync!$W1836))</f>
        <v/>
      </c>
      <c r="AO1836">
        <f>IF($AE1836="","",IF(Sync!$X1836="",0,Sync!$X1836))</f>
        <v/>
      </c>
      <c r="AP1836">
        <f>IF($AE1836="","",Sync!$R1836)</f>
        <v/>
      </c>
      <c r="AQ1836">
        <f>IF($AE1836="","",Sync!$Y1836)</f>
        <v/>
      </c>
    </row>
    <row r="1837">
      <c r="A1837">
        <f>IF(OR(Wages!$B1840="",Wages!$E1840=""),"",Wages!$E1840)</f>
        <v/>
      </c>
      <c r="B1837">
        <f>IF($A1837="","",IF(Wages!$C1840="دستمزد گروهی",2,1))</f>
        <v/>
      </c>
      <c r="C1837">
        <f>IF($A1837="","",IF(ISNUMBER(Wages!$B1840),IF(AND(Wages!$B1840&gt;=10000101,Wages!$B1840&lt;=99991231),INT(Wages!$B1840/10000),""),IFERROR(VALUE(TRIM(LEFT(Wages!$B1840,FIND("/",Wages!$B1840)-1))),"")))</f>
        <v/>
      </c>
      <c r="D1837">
        <f>IF(OR($A1837="",$C1837=""),"",IF(ISNUMBER(Wages!$B1840),INT(MOD(Wages!$B1840,10000)/100),IFERROR(VALUE(TRIM(LEFT(MID(Wages!$B1840,FIND("/",Wages!$B1840)+1,20),FIND("/",MID(Wages!$B1840,FIND("/",Wages!$B1840)+1,20))-1))),"")))</f>
        <v/>
      </c>
      <c r="E1837">
        <f>IF(OR($A1837="",$C1837=""),"",IF(ISNUMBER(Wages!$B1840),MOD(Wages!$B1840,100),IFERROR(VALUE(TRIM(MID(MID(Wages!$B1840,FIND("/",Wages!$B1840)+1,20),FIND("/",MID(Wages!$B1840,FIND("/",Wages!$B1840)+1,20))+1,20))),"")))</f>
        <v/>
      </c>
      <c r="F1837">
        <f>IF($A1837="","",IF(OR($C1837="",$D1837="",$E1837="",$C1837&lt;1300,$C1837&gt;1500,$D1837&lt;1,$D1837&gt;12,$E1837&lt;1,$E1837&gt;31),"نامعتبر",RIGHT("0000"&amp;$C1837,4)&amp;"/"&amp;RIGHT("00"&amp;$D1837,2)&amp;"/"&amp;RIGHT("00"&amp;$E1837,2)))</f>
        <v/>
      </c>
      <c r="G1837">
        <f>IF(OR($A1837="",$F1837="",$F1837="نامعتبر"),"",LEFT($F1837,4)&amp;MID($F1837,6,2)&amp;RIGHT($F1837,2)&amp;"0000"&amp;"|"&amp;"1"&amp;RIGHT("00000"&amp;1832,5))</f>
        <v/>
      </c>
      <c r="H1837">
        <f>IF(OR($B1837&lt;&gt;1,$G1837=""),"",COUNTIFS(LdAParty,$A1837,LdAType,1,LdAKey,"&lt;"&amp;$G1837)+COUNTIFS(LdBMember,$A1837,LdBKey,"&lt;"&amp;$G1837)+COUNTIFS(LdCParty,$A1837,LdCKey,"&lt;"&amp;$G1837)+1)</f>
        <v/>
      </c>
      <c r="I1837">
        <f>IF($H1837="","",$A1837&amp;"|"&amp;RIGHT("000000"&amp;$H1837,6))</f>
        <v/>
      </c>
      <c r="J1837">
        <f>IF(OR($B1837&lt;&gt;2,$G1837=""),"",COUNTIFS(LdAParty,$A1837,LdAType,2,LdAKey,"&lt;"&amp;$G1837)+1)</f>
        <v/>
      </c>
      <c r="K1837">
        <f>IF($J1837="","",$A1837&amp;"|"&amp;RIGHT("000000"&amp;$J1837,6))</f>
        <v/>
      </c>
      <c r="L1837">
        <f>IF($A1837="","",IF(Wages!$G1840="",0,Wages!$G1840))</f>
        <v/>
      </c>
      <c r="M1837">
        <f>IF($A1837="","",Wages!$J1840)</f>
        <v/>
      </c>
      <c r="N1837">
        <f>IF($A1837="","",Wages!$D1840)</f>
        <v/>
      </c>
      <c r="P1837">
        <f>IF(OR(Shares!$B1840="",Shares!$C1840=""),"",Shares!$C1840)</f>
        <v/>
      </c>
      <c r="Q1837">
        <f>IF($P1837="","",Shares!$B1840)</f>
        <v/>
      </c>
      <c r="R1837">
        <f>IF($P1837="","",IFERROR(INDEX(WageParty,MATCH($Q1837,WageIds,0)),""))</f>
        <v/>
      </c>
      <c r="S1837">
        <f>IF($P1837="","",IFERROR(INDEX($F$6:$F$2005,MATCH($Q1837,WageIds,0)),""))</f>
        <v/>
      </c>
      <c r="T1837">
        <f>IF(OR($P1837="",$S1837="",$S1837="نامعتبر"),"",LEFT($S1837,4)&amp;MID($S1837,6,2)&amp;RIGHT($S1837,2)&amp;"0000"&amp;"|"&amp;"2"&amp;RIGHT("00000"&amp;1832,5))</f>
        <v/>
      </c>
      <c r="U1837">
        <f>IF($T1837="","",COUNTIFS(LdAParty,$P1837,LdAType,1,LdAKey,"&lt;"&amp;$T1837)+COUNTIFS(LdBMember,$P1837,LdBKey,"&lt;"&amp;$T1837)+COUNTIFS(LdCParty,$P1837,LdCKey,"&lt;"&amp;$T1837)+1)</f>
        <v/>
      </c>
      <c r="V1837">
        <f>IF($U1837="","",$P1837&amp;"|"&amp;RIGHT("000000"&amp;$U1837,6))</f>
        <v/>
      </c>
      <c r="W1837">
        <f>IF($T1837="","",COUNTIFS(LdBGroup,$R1837,LdBKey,"&lt;"&amp;$T1837)+1)</f>
        <v/>
      </c>
      <c r="X1837">
        <f>IF($W1837="","",$R1837&amp;"|"&amp;RIGHT("000000"&amp;$W1837,6))</f>
        <v/>
      </c>
      <c r="Y1837">
        <f>IF($P1837="","",IF(Shares!$E1840="",0,Shares!$E1840))</f>
        <v/>
      </c>
      <c r="Z1837">
        <f>IF($P1837="","",Shares!$H1840)</f>
        <v/>
      </c>
      <c r="AE1837">
        <f>IF(OR(Sync!$S1837="",Sync!$P1837=""),"",Sync!$S1837)</f>
        <v/>
      </c>
      <c r="AF1837">
        <f>IF($AE1837="","",IF(ISNUMBER(Sync!$P1837),IF(AND(Sync!$P1837&gt;=10000101,Sync!$P1837&lt;=99991231),INT(Sync!$P1837/10000),""),IFERROR(VALUE(TRIM(LEFT(Sync!$P1837,FIND("/",Sync!$P1837)-1))),"")))</f>
        <v/>
      </c>
      <c r="AG1837">
        <f>IF(OR($AE1837="",$AF1837=""),"",IF(ISNUMBER(Sync!$P1837),INT(MOD(Sync!$P1837,10000)/100),IFERROR(VALUE(TRIM(LEFT(MID(Sync!$P1837,FIND("/",Sync!$P1837)+1,20),FIND("/",MID(Sync!$P1837,FIND("/",Sync!$P1837)+1,20))-1))),"")))</f>
        <v/>
      </c>
      <c r="AH1837">
        <f>IF(OR($AE1837="",$AF1837=""),"",IF(ISNUMBER(Sync!$P1837),MOD(Sync!$P1837,100),IFERROR(VALUE(TRIM(MID(MID(Sync!$P1837,FIND("/",Sync!$P1837)+1,20),FIND("/",MID(Sync!$P1837,FIND("/",Sync!$P1837)+1,20))+1,20))),"")))</f>
        <v/>
      </c>
      <c r="AI1837">
        <f>IF($AE1837="","",IF(OR($AF1837="",$AG1837="",$AH1837="",$AF1837&lt;1300,$AF1837&gt;1500,$AG1837&lt;1,$AG1837&gt;12,$AH1837&lt;1,$AH1837&gt;31),"نامعتبر",RIGHT("0000"&amp;$AF1837,4)&amp;"/"&amp;RIGHT("00"&amp;$AG1837,2)&amp;"/"&amp;RIGHT("00"&amp;$AH1837,2)))</f>
        <v/>
      </c>
      <c r="AJ1837">
        <f>IF($AE1837="","",IF(Sync!$Q1837="","0000",IF(AND(ISNUMBER(Sync!$Q1837),Sync!$Q1837&gt;=0,Sync!$Q1837&lt;1),RIGHT("00"&amp;HOUR(Sync!$Q1837),2)&amp;RIGHT("00"&amp;MINUTE(Sync!$Q1837),2),IFERROR(RIGHT("00"&amp;VALUE(LEFT(Sync!$Q1837,FIND(":",Sync!$Q1837)-1)),2)&amp;RIGHT("00"&amp;VALUE(MID(Sync!$Q1837,FIND(":",Sync!$Q1837)+1,2)),2),"0000"))))</f>
        <v/>
      </c>
      <c r="AK1837">
        <f>IF(OR($AE1837="",$AI1837="",$AI1837="نامعتبر"),"",LEFT($AI1837,4)&amp;MID($AI1837,6,2)&amp;RIGHT($AI1837,2)&amp;$AJ1837&amp;"|"&amp;"3"&amp;RIGHT("00000"&amp;1832,5))</f>
        <v/>
      </c>
      <c r="AL1837">
        <f>IF($AK1837="","",COUNTIFS(LdAParty,$AE1837,LdAType,1,LdAKey,"&lt;"&amp;$AK1837)+COUNTIFS(LdBMember,$AE1837,LdBKey,"&lt;"&amp;$AK1837)+COUNTIFS(LdCParty,$AE1837,LdCKey,"&lt;"&amp;$AK1837)+1)</f>
        <v/>
      </c>
      <c r="AM1837">
        <f>IF($AL1837="","",$AE1837&amp;"|"&amp;RIGHT("000000"&amp;$AL1837,6))</f>
        <v/>
      </c>
      <c r="AN1837">
        <f>IF($AE1837="","",IF(Sync!$W1837="",0,Sync!$W1837))</f>
        <v/>
      </c>
      <c r="AO1837">
        <f>IF($AE1837="","",IF(Sync!$X1837="",0,Sync!$X1837))</f>
        <v/>
      </c>
      <c r="AP1837">
        <f>IF($AE1837="","",Sync!$R1837)</f>
        <v/>
      </c>
      <c r="AQ1837">
        <f>IF($AE1837="","",Sync!$Y1837)</f>
        <v/>
      </c>
    </row>
    <row r="1838">
      <c r="A1838">
        <f>IF(OR(Wages!$B1841="",Wages!$E1841=""),"",Wages!$E1841)</f>
        <v/>
      </c>
      <c r="B1838">
        <f>IF($A1838="","",IF(Wages!$C1841="دستمزد گروهی",2,1))</f>
        <v/>
      </c>
      <c r="C1838">
        <f>IF($A1838="","",IF(ISNUMBER(Wages!$B1841),IF(AND(Wages!$B1841&gt;=10000101,Wages!$B1841&lt;=99991231),INT(Wages!$B1841/10000),""),IFERROR(VALUE(TRIM(LEFT(Wages!$B1841,FIND("/",Wages!$B1841)-1))),"")))</f>
        <v/>
      </c>
      <c r="D1838">
        <f>IF(OR($A1838="",$C1838=""),"",IF(ISNUMBER(Wages!$B1841),INT(MOD(Wages!$B1841,10000)/100),IFERROR(VALUE(TRIM(LEFT(MID(Wages!$B1841,FIND("/",Wages!$B1841)+1,20),FIND("/",MID(Wages!$B1841,FIND("/",Wages!$B1841)+1,20))-1))),"")))</f>
        <v/>
      </c>
      <c r="E1838">
        <f>IF(OR($A1838="",$C1838=""),"",IF(ISNUMBER(Wages!$B1841),MOD(Wages!$B1841,100),IFERROR(VALUE(TRIM(MID(MID(Wages!$B1841,FIND("/",Wages!$B1841)+1,20),FIND("/",MID(Wages!$B1841,FIND("/",Wages!$B1841)+1,20))+1,20))),"")))</f>
        <v/>
      </c>
      <c r="F1838">
        <f>IF($A1838="","",IF(OR($C1838="",$D1838="",$E1838="",$C1838&lt;1300,$C1838&gt;1500,$D1838&lt;1,$D1838&gt;12,$E1838&lt;1,$E1838&gt;31),"نامعتبر",RIGHT("0000"&amp;$C1838,4)&amp;"/"&amp;RIGHT("00"&amp;$D1838,2)&amp;"/"&amp;RIGHT("00"&amp;$E1838,2)))</f>
        <v/>
      </c>
      <c r="G1838">
        <f>IF(OR($A1838="",$F1838="",$F1838="نامعتبر"),"",LEFT($F1838,4)&amp;MID($F1838,6,2)&amp;RIGHT($F1838,2)&amp;"0000"&amp;"|"&amp;"1"&amp;RIGHT("00000"&amp;1833,5))</f>
        <v/>
      </c>
      <c r="H1838">
        <f>IF(OR($B1838&lt;&gt;1,$G1838=""),"",COUNTIFS(LdAParty,$A1838,LdAType,1,LdAKey,"&lt;"&amp;$G1838)+COUNTIFS(LdBMember,$A1838,LdBKey,"&lt;"&amp;$G1838)+COUNTIFS(LdCParty,$A1838,LdCKey,"&lt;"&amp;$G1838)+1)</f>
        <v/>
      </c>
      <c r="I1838">
        <f>IF($H1838="","",$A1838&amp;"|"&amp;RIGHT("000000"&amp;$H1838,6))</f>
        <v/>
      </c>
      <c r="J1838">
        <f>IF(OR($B1838&lt;&gt;2,$G1838=""),"",COUNTIFS(LdAParty,$A1838,LdAType,2,LdAKey,"&lt;"&amp;$G1838)+1)</f>
        <v/>
      </c>
      <c r="K1838">
        <f>IF($J1838="","",$A1838&amp;"|"&amp;RIGHT("000000"&amp;$J1838,6))</f>
        <v/>
      </c>
      <c r="L1838">
        <f>IF($A1838="","",IF(Wages!$G1841="",0,Wages!$G1841))</f>
        <v/>
      </c>
      <c r="M1838">
        <f>IF($A1838="","",Wages!$J1841)</f>
        <v/>
      </c>
      <c r="N1838">
        <f>IF($A1838="","",Wages!$D1841)</f>
        <v/>
      </c>
      <c r="P1838">
        <f>IF(OR(Shares!$B1841="",Shares!$C1841=""),"",Shares!$C1841)</f>
        <v/>
      </c>
      <c r="Q1838">
        <f>IF($P1838="","",Shares!$B1841)</f>
        <v/>
      </c>
      <c r="R1838">
        <f>IF($P1838="","",IFERROR(INDEX(WageParty,MATCH($Q1838,WageIds,0)),""))</f>
        <v/>
      </c>
      <c r="S1838">
        <f>IF($P1838="","",IFERROR(INDEX($F$6:$F$2005,MATCH($Q1838,WageIds,0)),""))</f>
        <v/>
      </c>
      <c r="T1838">
        <f>IF(OR($P1838="",$S1838="",$S1838="نامعتبر"),"",LEFT($S1838,4)&amp;MID($S1838,6,2)&amp;RIGHT($S1838,2)&amp;"0000"&amp;"|"&amp;"2"&amp;RIGHT("00000"&amp;1833,5))</f>
        <v/>
      </c>
      <c r="U1838">
        <f>IF($T1838="","",COUNTIFS(LdAParty,$P1838,LdAType,1,LdAKey,"&lt;"&amp;$T1838)+COUNTIFS(LdBMember,$P1838,LdBKey,"&lt;"&amp;$T1838)+COUNTIFS(LdCParty,$P1838,LdCKey,"&lt;"&amp;$T1838)+1)</f>
        <v/>
      </c>
      <c r="V1838">
        <f>IF($U1838="","",$P1838&amp;"|"&amp;RIGHT("000000"&amp;$U1838,6))</f>
        <v/>
      </c>
      <c r="W1838">
        <f>IF($T1838="","",COUNTIFS(LdBGroup,$R1838,LdBKey,"&lt;"&amp;$T1838)+1)</f>
        <v/>
      </c>
      <c r="X1838">
        <f>IF($W1838="","",$R1838&amp;"|"&amp;RIGHT("000000"&amp;$W1838,6))</f>
        <v/>
      </c>
      <c r="Y1838">
        <f>IF($P1838="","",IF(Shares!$E1841="",0,Shares!$E1841))</f>
        <v/>
      </c>
      <c r="Z1838">
        <f>IF($P1838="","",Shares!$H1841)</f>
        <v/>
      </c>
      <c r="AE1838">
        <f>IF(OR(Sync!$S1838="",Sync!$P1838=""),"",Sync!$S1838)</f>
        <v/>
      </c>
      <c r="AF1838">
        <f>IF($AE1838="","",IF(ISNUMBER(Sync!$P1838),IF(AND(Sync!$P1838&gt;=10000101,Sync!$P1838&lt;=99991231),INT(Sync!$P1838/10000),""),IFERROR(VALUE(TRIM(LEFT(Sync!$P1838,FIND("/",Sync!$P1838)-1))),"")))</f>
        <v/>
      </c>
      <c r="AG1838">
        <f>IF(OR($AE1838="",$AF1838=""),"",IF(ISNUMBER(Sync!$P1838),INT(MOD(Sync!$P1838,10000)/100),IFERROR(VALUE(TRIM(LEFT(MID(Sync!$P1838,FIND("/",Sync!$P1838)+1,20),FIND("/",MID(Sync!$P1838,FIND("/",Sync!$P1838)+1,20))-1))),"")))</f>
        <v/>
      </c>
      <c r="AH1838">
        <f>IF(OR($AE1838="",$AF1838=""),"",IF(ISNUMBER(Sync!$P1838),MOD(Sync!$P1838,100),IFERROR(VALUE(TRIM(MID(MID(Sync!$P1838,FIND("/",Sync!$P1838)+1,20),FIND("/",MID(Sync!$P1838,FIND("/",Sync!$P1838)+1,20))+1,20))),"")))</f>
        <v/>
      </c>
      <c r="AI1838">
        <f>IF($AE1838="","",IF(OR($AF1838="",$AG1838="",$AH1838="",$AF1838&lt;1300,$AF1838&gt;1500,$AG1838&lt;1,$AG1838&gt;12,$AH1838&lt;1,$AH1838&gt;31),"نامعتبر",RIGHT("0000"&amp;$AF1838,4)&amp;"/"&amp;RIGHT("00"&amp;$AG1838,2)&amp;"/"&amp;RIGHT("00"&amp;$AH1838,2)))</f>
        <v/>
      </c>
      <c r="AJ1838">
        <f>IF($AE1838="","",IF(Sync!$Q1838="","0000",IF(AND(ISNUMBER(Sync!$Q1838),Sync!$Q1838&gt;=0,Sync!$Q1838&lt;1),RIGHT("00"&amp;HOUR(Sync!$Q1838),2)&amp;RIGHT("00"&amp;MINUTE(Sync!$Q1838),2),IFERROR(RIGHT("00"&amp;VALUE(LEFT(Sync!$Q1838,FIND(":",Sync!$Q1838)-1)),2)&amp;RIGHT("00"&amp;VALUE(MID(Sync!$Q1838,FIND(":",Sync!$Q1838)+1,2)),2),"0000"))))</f>
        <v/>
      </c>
      <c r="AK1838">
        <f>IF(OR($AE1838="",$AI1838="",$AI1838="نامعتبر"),"",LEFT($AI1838,4)&amp;MID($AI1838,6,2)&amp;RIGHT($AI1838,2)&amp;$AJ1838&amp;"|"&amp;"3"&amp;RIGHT("00000"&amp;1833,5))</f>
        <v/>
      </c>
      <c r="AL1838">
        <f>IF($AK1838="","",COUNTIFS(LdAParty,$AE1838,LdAType,1,LdAKey,"&lt;"&amp;$AK1838)+COUNTIFS(LdBMember,$AE1838,LdBKey,"&lt;"&amp;$AK1838)+COUNTIFS(LdCParty,$AE1838,LdCKey,"&lt;"&amp;$AK1838)+1)</f>
        <v/>
      </c>
      <c r="AM1838">
        <f>IF($AL1838="","",$AE1838&amp;"|"&amp;RIGHT("000000"&amp;$AL1838,6))</f>
        <v/>
      </c>
      <c r="AN1838">
        <f>IF($AE1838="","",IF(Sync!$W1838="",0,Sync!$W1838))</f>
        <v/>
      </c>
      <c r="AO1838">
        <f>IF($AE1838="","",IF(Sync!$X1838="",0,Sync!$X1838))</f>
        <v/>
      </c>
      <c r="AP1838">
        <f>IF($AE1838="","",Sync!$R1838)</f>
        <v/>
      </c>
      <c r="AQ1838">
        <f>IF($AE1838="","",Sync!$Y1838)</f>
        <v/>
      </c>
    </row>
    <row r="1839">
      <c r="A1839">
        <f>IF(OR(Wages!$B1842="",Wages!$E1842=""),"",Wages!$E1842)</f>
        <v/>
      </c>
      <c r="B1839">
        <f>IF($A1839="","",IF(Wages!$C1842="دستمزد گروهی",2,1))</f>
        <v/>
      </c>
      <c r="C1839">
        <f>IF($A1839="","",IF(ISNUMBER(Wages!$B1842),IF(AND(Wages!$B1842&gt;=10000101,Wages!$B1842&lt;=99991231),INT(Wages!$B1842/10000),""),IFERROR(VALUE(TRIM(LEFT(Wages!$B1842,FIND("/",Wages!$B1842)-1))),"")))</f>
        <v/>
      </c>
      <c r="D1839">
        <f>IF(OR($A1839="",$C1839=""),"",IF(ISNUMBER(Wages!$B1842),INT(MOD(Wages!$B1842,10000)/100),IFERROR(VALUE(TRIM(LEFT(MID(Wages!$B1842,FIND("/",Wages!$B1842)+1,20),FIND("/",MID(Wages!$B1842,FIND("/",Wages!$B1842)+1,20))-1))),"")))</f>
        <v/>
      </c>
      <c r="E1839">
        <f>IF(OR($A1839="",$C1839=""),"",IF(ISNUMBER(Wages!$B1842),MOD(Wages!$B1842,100),IFERROR(VALUE(TRIM(MID(MID(Wages!$B1842,FIND("/",Wages!$B1842)+1,20),FIND("/",MID(Wages!$B1842,FIND("/",Wages!$B1842)+1,20))+1,20))),"")))</f>
        <v/>
      </c>
      <c r="F1839">
        <f>IF($A1839="","",IF(OR($C1839="",$D1839="",$E1839="",$C1839&lt;1300,$C1839&gt;1500,$D1839&lt;1,$D1839&gt;12,$E1839&lt;1,$E1839&gt;31),"نامعتبر",RIGHT("0000"&amp;$C1839,4)&amp;"/"&amp;RIGHT("00"&amp;$D1839,2)&amp;"/"&amp;RIGHT("00"&amp;$E1839,2)))</f>
        <v/>
      </c>
      <c r="G1839">
        <f>IF(OR($A1839="",$F1839="",$F1839="نامعتبر"),"",LEFT($F1839,4)&amp;MID($F1839,6,2)&amp;RIGHT($F1839,2)&amp;"0000"&amp;"|"&amp;"1"&amp;RIGHT("00000"&amp;1834,5))</f>
        <v/>
      </c>
      <c r="H1839">
        <f>IF(OR($B1839&lt;&gt;1,$G1839=""),"",COUNTIFS(LdAParty,$A1839,LdAType,1,LdAKey,"&lt;"&amp;$G1839)+COUNTIFS(LdBMember,$A1839,LdBKey,"&lt;"&amp;$G1839)+COUNTIFS(LdCParty,$A1839,LdCKey,"&lt;"&amp;$G1839)+1)</f>
        <v/>
      </c>
      <c r="I1839">
        <f>IF($H1839="","",$A1839&amp;"|"&amp;RIGHT("000000"&amp;$H1839,6))</f>
        <v/>
      </c>
      <c r="J1839">
        <f>IF(OR($B1839&lt;&gt;2,$G1839=""),"",COUNTIFS(LdAParty,$A1839,LdAType,2,LdAKey,"&lt;"&amp;$G1839)+1)</f>
        <v/>
      </c>
      <c r="K1839">
        <f>IF($J1839="","",$A1839&amp;"|"&amp;RIGHT("000000"&amp;$J1839,6))</f>
        <v/>
      </c>
      <c r="L1839">
        <f>IF($A1839="","",IF(Wages!$G1842="",0,Wages!$G1842))</f>
        <v/>
      </c>
      <c r="M1839">
        <f>IF($A1839="","",Wages!$J1842)</f>
        <v/>
      </c>
      <c r="N1839">
        <f>IF($A1839="","",Wages!$D1842)</f>
        <v/>
      </c>
      <c r="P1839">
        <f>IF(OR(Shares!$B1842="",Shares!$C1842=""),"",Shares!$C1842)</f>
        <v/>
      </c>
      <c r="Q1839">
        <f>IF($P1839="","",Shares!$B1842)</f>
        <v/>
      </c>
      <c r="R1839">
        <f>IF($P1839="","",IFERROR(INDEX(WageParty,MATCH($Q1839,WageIds,0)),""))</f>
        <v/>
      </c>
      <c r="S1839">
        <f>IF($P1839="","",IFERROR(INDEX($F$6:$F$2005,MATCH($Q1839,WageIds,0)),""))</f>
        <v/>
      </c>
      <c r="T1839">
        <f>IF(OR($P1839="",$S1839="",$S1839="نامعتبر"),"",LEFT($S1839,4)&amp;MID($S1839,6,2)&amp;RIGHT($S1839,2)&amp;"0000"&amp;"|"&amp;"2"&amp;RIGHT("00000"&amp;1834,5))</f>
        <v/>
      </c>
      <c r="U1839">
        <f>IF($T1839="","",COUNTIFS(LdAParty,$P1839,LdAType,1,LdAKey,"&lt;"&amp;$T1839)+COUNTIFS(LdBMember,$P1839,LdBKey,"&lt;"&amp;$T1839)+COUNTIFS(LdCParty,$P1839,LdCKey,"&lt;"&amp;$T1839)+1)</f>
        <v/>
      </c>
      <c r="V1839">
        <f>IF($U1839="","",$P1839&amp;"|"&amp;RIGHT("000000"&amp;$U1839,6))</f>
        <v/>
      </c>
      <c r="W1839">
        <f>IF($T1839="","",COUNTIFS(LdBGroup,$R1839,LdBKey,"&lt;"&amp;$T1839)+1)</f>
        <v/>
      </c>
      <c r="X1839">
        <f>IF($W1839="","",$R1839&amp;"|"&amp;RIGHT("000000"&amp;$W1839,6))</f>
        <v/>
      </c>
      <c r="Y1839">
        <f>IF($P1839="","",IF(Shares!$E1842="",0,Shares!$E1842))</f>
        <v/>
      </c>
      <c r="Z1839">
        <f>IF($P1839="","",Shares!$H1842)</f>
        <v/>
      </c>
      <c r="AE1839">
        <f>IF(OR(Sync!$S1839="",Sync!$P1839=""),"",Sync!$S1839)</f>
        <v/>
      </c>
      <c r="AF1839">
        <f>IF($AE1839="","",IF(ISNUMBER(Sync!$P1839),IF(AND(Sync!$P1839&gt;=10000101,Sync!$P1839&lt;=99991231),INT(Sync!$P1839/10000),""),IFERROR(VALUE(TRIM(LEFT(Sync!$P1839,FIND("/",Sync!$P1839)-1))),"")))</f>
        <v/>
      </c>
      <c r="AG1839">
        <f>IF(OR($AE1839="",$AF1839=""),"",IF(ISNUMBER(Sync!$P1839),INT(MOD(Sync!$P1839,10000)/100),IFERROR(VALUE(TRIM(LEFT(MID(Sync!$P1839,FIND("/",Sync!$P1839)+1,20),FIND("/",MID(Sync!$P1839,FIND("/",Sync!$P1839)+1,20))-1))),"")))</f>
        <v/>
      </c>
      <c r="AH1839">
        <f>IF(OR($AE1839="",$AF1839=""),"",IF(ISNUMBER(Sync!$P1839),MOD(Sync!$P1839,100),IFERROR(VALUE(TRIM(MID(MID(Sync!$P1839,FIND("/",Sync!$P1839)+1,20),FIND("/",MID(Sync!$P1839,FIND("/",Sync!$P1839)+1,20))+1,20))),"")))</f>
        <v/>
      </c>
      <c r="AI1839">
        <f>IF($AE1839="","",IF(OR($AF1839="",$AG1839="",$AH1839="",$AF1839&lt;1300,$AF1839&gt;1500,$AG1839&lt;1,$AG1839&gt;12,$AH1839&lt;1,$AH1839&gt;31),"نامعتبر",RIGHT("0000"&amp;$AF1839,4)&amp;"/"&amp;RIGHT("00"&amp;$AG1839,2)&amp;"/"&amp;RIGHT("00"&amp;$AH1839,2)))</f>
        <v/>
      </c>
      <c r="AJ1839">
        <f>IF($AE1839="","",IF(Sync!$Q1839="","0000",IF(AND(ISNUMBER(Sync!$Q1839),Sync!$Q1839&gt;=0,Sync!$Q1839&lt;1),RIGHT("00"&amp;HOUR(Sync!$Q1839),2)&amp;RIGHT("00"&amp;MINUTE(Sync!$Q1839),2),IFERROR(RIGHT("00"&amp;VALUE(LEFT(Sync!$Q1839,FIND(":",Sync!$Q1839)-1)),2)&amp;RIGHT("00"&amp;VALUE(MID(Sync!$Q1839,FIND(":",Sync!$Q1839)+1,2)),2),"0000"))))</f>
        <v/>
      </c>
      <c r="AK1839">
        <f>IF(OR($AE1839="",$AI1839="",$AI1839="نامعتبر"),"",LEFT($AI1839,4)&amp;MID($AI1839,6,2)&amp;RIGHT($AI1839,2)&amp;$AJ1839&amp;"|"&amp;"3"&amp;RIGHT("00000"&amp;1834,5))</f>
        <v/>
      </c>
      <c r="AL1839">
        <f>IF($AK1839="","",COUNTIFS(LdAParty,$AE1839,LdAType,1,LdAKey,"&lt;"&amp;$AK1839)+COUNTIFS(LdBMember,$AE1839,LdBKey,"&lt;"&amp;$AK1839)+COUNTIFS(LdCParty,$AE1839,LdCKey,"&lt;"&amp;$AK1839)+1)</f>
        <v/>
      </c>
      <c r="AM1839">
        <f>IF($AL1839="","",$AE1839&amp;"|"&amp;RIGHT("000000"&amp;$AL1839,6))</f>
        <v/>
      </c>
      <c r="AN1839">
        <f>IF($AE1839="","",IF(Sync!$W1839="",0,Sync!$W1839))</f>
        <v/>
      </c>
      <c r="AO1839">
        <f>IF($AE1839="","",IF(Sync!$X1839="",0,Sync!$X1839))</f>
        <v/>
      </c>
      <c r="AP1839">
        <f>IF($AE1839="","",Sync!$R1839)</f>
        <v/>
      </c>
      <c r="AQ1839">
        <f>IF($AE1839="","",Sync!$Y1839)</f>
        <v/>
      </c>
    </row>
    <row r="1840">
      <c r="A1840">
        <f>IF(OR(Wages!$B1843="",Wages!$E1843=""),"",Wages!$E1843)</f>
        <v/>
      </c>
      <c r="B1840">
        <f>IF($A1840="","",IF(Wages!$C1843="دستمزد گروهی",2,1))</f>
        <v/>
      </c>
      <c r="C1840">
        <f>IF($A1840="","",IF(ISNUMBER(Wages!$B1843),IF(AND(Wages!$B1843&gt;=10000101,Wages!$B1843&lt;=99991231),INT(Wages!$B1843/10000),""),IFERROR(VALUE(TRIM(LEFT(Wages!$B1843,FIND("/",Wages!$B1843)-1))),"")))</f>
        <v/>
      </c>
      <c r="D1840">
        <f>IF(OR($A1840="",$C1840=""),"",IF(ISNUMBER(Wages!$B1843),INT(MOD(Wages!$B1843,10000)/100),IFERROR(VALUE(TRIM(LEFT(MID(Wages!$B1843,FIND("/",Wages!$B1843)+1,20),FIND("/",MID(Wages!$B1843,FIND("/",Wages!$B1843)+1,20))-1))),"")))</f>
        <v/>
      </c>
      <c r="E1840">
        <f>IF(OR($A1840="",$C1840=""),"",IF(ISNUMBER(Wages!$B1843),MOD(Wages!$B1843,100),IFERROR(VALUE(TRIM(MID(MID(Wages!$B1843,FIND("/",Wages!$B1843)+1,20),FIND("/",MID(Wages!$B1843,FIND("/",Wages!$B1843)+1,20))+1,20))),"")))</f>
        <v/>
      </c>
      <c r="F1840">
        <f>IF($A1840="","",IF(OR($C1840="",$D1840="",$E1840="",$C1840&lt;1300,$C1840&gt;1500,$D1840&lt;1,$D1840&gt;12,$E1840&lt;1,$E1840&gt;31),"نامعتبر",RIGHT("0000"&amp;$C1840,4)&amp;"/"&amp;RIGHT("00"&amp;$D1840,2)&amp;"/"&amp;RIGHT("00"&amp;$E1840,2)))</f>
        <v/>
      </c>
      <c r="G1840">
        <f>IF(OR($A1840="",$F1840="",$F1840="نامعتبر"),"",LEFT($F1840,4)&amp;MID($F1840,6,2)&amp;RIGHT($F1840,2)&amp;"0000"&amp;"|"&amp;"1"&amp;RIGHT("00000"&amp;1835,5))</f>
        <v/>
      </c>
      <c r="H1840">
        <f>IF(OR($B1840&lt;&gt;1,$G1840=""),"",COUNTIFS(LdAParty,$A1840,LdAType,1,LdAKey,"&lt;"&amp;$G1840)+COUNTIFS(LdBMember,$A1840,LdBKey,"&lt;"&amp;$G1840)+COUNTIFS(LdCParty,$A1840,LdCKey,"&lt;"&amp;$G1840)+1)</f>
        <v/>
      </c>
      <c r="I1840">
        <f>IF($H1840="","",$A1840&amp;"|"&amp;RIGHT("000000"&amp;$H1840,6))</f>
        <v/>
      </c>
      <c r="J1840">
        <f>IF(OR($B1840&lt;&gt;2,$G1840=""),"",COUNTIFS(LdAParty,$A1840,LdAType,2,LdAKey,"&lt;"&amp;$G1840)+1)</f>
        <v/>
      </c>
      <c r="K1840">
        <f>IF($J1840="","",$A1840&amp;"|"&amp;RIGHT("000000"&amp;$J1840,6))</f>
        <v/>
      </c>
      <c r="L1840">
        <f>IF($A1840="","",IF(Wages!$G1843="",0,Wages!$G1843))</f>
        <v/>
      </c>
      <c r="M1840">
        <f>IF($A1840="","",Wages!$J1843)</f>
        <v/>
      </c>
      <c r="N1840">
        <f>IF($A1840="","",Wages!$D1843)</f>
        <v/>
      </c>
      <c r="P1840">
        <f>IF(OR(Shares!$B1843="",Shares!$C1843=""),"",Shares!$C1843)</f>
        <v/>
      </c>
      <c r="Q1840">
        <f>IF($P1840="","",Shares!$B1843)</f>
        <v/>
      </c>
      <c r="R1840">
        <f>IF($P1840="","",IFERROR(INDEX(WageParty,MATCH($Q1840,WageIds,0)),""))</f>
        <v/>
      </c>
      <c r="S1840">
        <f>IF($P1840="","",IFERROR(INDEX($F$6:$F$2005,MATCH($Q1840,WageIds,0)),""))</f>
        <v/>
      </c>
      <c r="T1840">
        <f>IF(OR($P1840="",$S1840="",$S1840="نامعتبر"),"",LEFT($S1840,4)&amp;MID($S1840,6,2)&amp;RIGHT($S1840,2)&amp;"0000"&amp;"|"&amp;"2"&amp;RIGHT("00000"&amp;1835,5))</f>
        <v/>
      </c>
      <c r="U1840">
        <f>IF($T1840="","",COUNTIFS(LdAParty,$P1840,LdAType,1,LdAKey,"&lt;"&amp;$T1840)+COUNTIFS(LdBMember,$P1840,LdBKey,"&lt;"&amp;$T1840)+COUNTIFS(LdCParty,$P1840,LdCKey,"&lt;"&amp;$T1840)+1)</f>
        <v/>
      </c>
      <c r="V1840">
        <f>IF($U1840="","",$P1840&amp;"|"&amp;RIGHT("000000"&amp;$U1840,6))</f>
        <v/>
      </c>
      <c r="W1840">
        <f>IF($T1840="","",COUNTIFS(LdBGroup,$R1840,LdBKey,"&lt;"&amp;$T1840)+1)</f>
        <v/>
      </c>
      <c r="X1840">
        <f>IF($W1840="","",$R1840&amp;"|"&amp;RIGHT("000000"&amp;$W1840,6))</f>
        <v/>
      </c>
      <c r="Y1840">
        <f>IF($P1840="","",IF(Shares!$E1843="",0,Shares!$E1843))</f>
        <v/>
      </c>
      <c r="Z1840">
        <f>IF($P1840="","",Shares!$H1843)</f>
        <v/>
      </c>
      <c r="AE1840">
        <f>IF(OR(Sync!$S1840="",Sync!$P1840=""),"",Sync!$S1840)</f>
        <v/>
      </c>
      <c r="AF1840">
        <f>IF($AE1840="","",IF(ISNUMBER(Sync!$P1840),IF(AND(Sync!$P1840&gt;=10000101,Sync!$P1840&lt;=99991231),INT(Sync!$P1840/10000),""),IFERROR(VALUE(TRIM(LEFT(Sync!$P1840,FIND("/",Sync!$P1840)-1))),"")))</f>
        <v/>
      </c>
      <c r="AG1840">
        <f>IF(OR($AE1840="",$AF1840=""),"",IF(ISNUMBER(Sync!$P1840),INT(MOD(Sync!$P1840,10000)/100),IFERROR(VALUE(TRIM(LEFT(MID(Sync!$P1840,FIND("/",Sync!$P1840)+1,20),FIND("/",MID(Sync!$P1840,FIND("/",Sync!$P1840)+1,20))-1))),"")))</f>
        <v/>
      </c>
      <c r="AH1840">
        <f>IF(OR($AE1840="",$AF1840=""),"",IF(ISNUMBER(Sync!$P1840),MOD(Sync!$P1840,100),IFERROR(VALUE(TRIM(MID(MID(Sync!$P1840,FIND("/",Sync!$P1840)+1,20),FIND("/",MID(Sync!$P1840,FIND("/",Sync!$P1840)+1,20))+1,20))),"")))</f>
        <v/>
      </c>
      <c r="AI1840">
        <f>IF($AE1840="","",IF(OR($AF1840="",$AG1840="",$AH1840="",$AF1840&lt;1300,$AF1840&gt;1500,$AG1840&lt;1,$AG1840&gt;12,$AH1840&lt;1,$AH1840&gt;31),"نامعتبر",RIGHT("0000"&amp;$AF1840,4)&amp;"/"&amp;RIGHT("00"&amp;$AG1840,2)&amp;"/"&amp;RIGHT("00"&amp;$AH1840,2)))</f>
        <v/>
      </c>
      <c r="AJ1840">
        <f>IF($AE1840="","",IF(Sync!$Q1840="","0000",IF(AND(ISNUMBER(Sync!$Q1840),Sync!$Q1840&gt;=0,Sync!$Q1840&lt;1),RIGHT("00"&amp;HOUR(Sync!$Q1840),2)&amp;RIGHT("00"&amp;MINUTE(Sync!$Q1840),2),IFERROR(RIGHT("00"&amp;VALUE(LEFT(Sync!$Q1840,FIND(":",Sync!$Q1840)-1)),2)&amp;RIGHT("00"&amp;VALUE(MID(Sync!$Q1840,FIND(":",Sync!$Q1840)+1,2)),2),"0000"))))</f>
        <v/>
      </c>
      <c r="AK1840">
        <f>IF(OR($AE1840="",$AI1840="",$AI1840="نامعتبر"),"",LEFT($AI1840,4)&amp;MID($AI1840,6,2)&amp;RIGHT($AI1840,2)&amp;$AJ1840&amp;"|"&amp;"3"&amp;RIGHT("00000"&amp;1835,5))</f>
        <v/>
      </c>
      <c r="AL1840">
        <f>IF($AK1840="","",COUNTIFS(LdAParty,$AE1840,LdAType,1,LdAKey,"&lt;"&amp;$AK1840)+COUNTIFS(LdBMember,$AE1840,LdBKey,"&lt;"&amp;$AK1840)+COUNTIFS(LdCParty,$AE1840,LdCKey,"&lt;"&amp;$AK1840)+1)</f>
        <v/>
      </c>
      <c r="AM1840">
        <f>IF($AL1840="","",$AE1840&amp;"|"&amp;RIGHT("000000"&amp;$AL1840,6))</f>
        <v/>
      </c>
      <c r="AN1840">
        <f>IF($AE1840="","",IF(Sync!$W1840="",0,Sync!$W1840))</f>
        <v/>
      </c>
      <c r="AO1840">
        <f>IF($AE1840="","",IF(Sync!$X1840="",0,Sync!$X1840))</f>
        <v/>
      </c>
      <c r="AP1840">
        <f>IF($AE1840="","",Sync!$R1840)</f>
        <v/>
      </c>
      <c r="AQ1840">
        <f>IF($AE1840="","",Sync!$Y1840)</f>
        <v/>
      </c>
    </row>
    <row r="1841">
      <c r="A1841">
        <f>IF(OR(Wages!$B1844="",Wages!$E1844=""),"",Wages!$E1844)</f>
        <v/>
      </c>
      <c r="B1841">
        <f>IF($A1841="","",IF(Wages!$C1844="دستمزد گروهی",2,1))</f>
        <v/>
      </c>
      <c r="C1841">
        <f>IF($A1841="","",IF(ISNUMBER(Wages!$B1844),IF(AND(Wages!$B1844&gt;=10000101,Wages!$B1844&lt;=99991231),INT(Wages!$B1844/10000),""),IFERROR(VALUE(TRIM(LEFT(Wages!$B1844,FIND("/",Wages!$B1844)-1))),"")))</f>
        <v/>
      </c>
      <c r="D1841">
        <f>IF(OR($A1841="",$C1841=""),"",IF(ISNUMBER(Wages!$B1844),INT(MOD(Wages!$B1844,10000)/100),IFERROR(VALUE(TRIM(LEFT(MID(Wages!$B1844,FIND("/",Wages!$B1844)+1,20),FIND("/",MID(Wages!$B1844,FIND("/",Wages!$B1844)+1,20))-1))),"")))</f>
        <v/>
      </c>
      <c r="E1841">
        <f>IF(OR($A1841="",$C1841=""),"",IF(ISNUMBER(Wages!$B1844),MOD(Wages!$B1844,100),IFERROR(VALUE(TRIM(MID(MID(Wages!$B1844,FIND("/",Wages!$B1844)+1,20),FIND("/",MID(Wages!$B1844,FIND("/",Wages!$B1844)+1,20))+1,20))),"")))</f>
        <v/>
      </c>
      <c r="F1841">
        <f>IF($A1841="","",IF(OR($C1841="",$D1841="",$E1841="",$C1841&lt;1300,$C1841&gt;1500,$D1841&lt;1,$D1841&gt;12,$E1841&lt;1,$E1841&gt;31),"نامعتبر",RIGHT("0000"&amp;$C1841,4)&amp;"/"&amp;RIGHT("00"&amp;$D1841,2)&amp;"/"&amp;RIGHT("00"&amp;$E1841,2)))</f>
        <v/>
      </c>
      <c r="G1841">
        <f>IF(OR($A1841="",$F1841="",$F1841="نامعتبر"),"",LEFT($F1841,4)&amp;MID($F1841,6,2)&amp;RIGHT($F1841,2)&amp;"0000"&amp;"|"&amp;"1"&amp;RIGHT("00000"&amp;1836,5))</f>
        <v/>
      </c>
      <c r="H1841">
        <f>IF(OR($B1841&lt;&gt;1,$G1841=""),"",COUNTIFS(LdAParty,$A1841,LdAType,1,LdAKey,"&lt;"&amp;$G1841)+COUNTIFS(LdBMember,$A1841,LdBKey,"&lt;"&amp;$G1841)+COUNTIFS(LdCParty,$A1841,LdCKey,"&lt;"&amp;$G1841)+1)</f>
        <v/>
      </c>
      <c r="I1841">
        <f>IF($H1841="","",$A1841&amp;"|"&amp;RIGHT("000000"&amp;$H1841,6))</f>
        <v/>
      </c>
      <c r="J1841">
        <f>IF(OR($B1841&lt;&gt;2,$G1841=""),"",COUNTIFS(LdAParty,$A1841,LdAType,2,LdAKey,"&lt;"&amp;$G1841)+1)</f>
        <v/>
      </c>
      <c r="K1841">
        <f>IF($J1841="","",$A1841&amp;"|"&amp;RIGHT("000000"&amp;$J1841,6))</f>
        <v/>
      </c>
      <c r="L1841">
        <f>IF($A1841="","",IF(Wages!$G1844="",0,Wages!$G1844))</f>
        <v/>
      </c>
      <c r="M1841">
        <f>IF($A1841="","",Wages!$J1844)</f>
        <v/>
      </c>
      <c r="N1841">
        <f>IF($A1841="","",Wages!$D1844)</f>
        <v/>
      </c>
      <c r="P1841">
        <f>IF(OR(Shares!$B1844="",Shares!$C1844=""),"",Shares!$C1844)</f>
        <v/>
      </c>
      <c r="Q1841">
        <f>IF($P1841="","",Shares!$B1844)</f>
        <v/>
      </c>
      <c r="R1841">
        <f>IF($P1841="","",IFERROR(INDEX(WageParty,MATCH($Q1841,WageIds,0)),""))</f>
        <v/>
      </c>
      <c r="S1841">
        <f>IF($P1841="","",IFERROR(INDEX($F$6:$F$2005,MATCH($Q1841,WageIds,0)),""))</f>
        <v/>
      </c>
      <c r="T1841">
        <f>IF(OR($P1841="",$S1841="",$S1841="نامعتبر"),"",LEFT($S1841,4)&amp;MID($S1841,6,2)&amp;RIGHT($S1841,2)&amp;"0000"&amp;"|"&amp;"2"&amp;RIGHT("00000"&amp;1836,5))</f>
        <v/>
      </c>
      <c r="U1841">
        <f>IF($T1841="","",COUNTIFS(LdAParty,$P1841,LdAType,1,LdAKey,"&lt;"&amp;$T1841)+COUNTIFS(LdBMember,$P1841,LdBKey,"&lt;"&amp;$T1841)+COUNTIFS(LdCParty,$P1841,LdCKey,"&lt;"&amp;$T1841)+1)</f>
        <v/>
      </c>
      <c r="V1841">
        <f>IF($U1841="","",$P1841&amp;"|"&amp;RIGHT("000000"&amp;$U1841,6))</f>
        <v/>
      </c>
      <c r="W1841">
        <f>IF($T1841="","",COUNTIFS(LdBGroup,$R1841,LdBKey,"&lt;"&amp;$T1841)+1)</f>
        <v/>
      </c>
      <c r="X1841">
        <f>IF($W1841="","",$R1841&amp;"|"&amp;RIGHT("000000"&amp;$W1841,6))</f>
        <v/>
      </c>
      <c r="Y1841">
        <f>IF($P1841="","",IF(Shares!$E1844="",0,Shares!$E1844))</f>
        <v/>
      </c>
      <c r="Z1841">
        <f>IF($P1841="","",Shares!$H1844)</f>
        <v/>
      </c>
      <c r="AE1841">
        <f>IF(OR(Sync!$S1841="",Sync!$P1841=""),"",Sync!$S1841)</f>
        <v/>
      </c>
      <c r="AF1841">
        <f>IF($AE1841="","",IF(ISNUMBER(Sync!$P1841),IF(AND(Sync!$P1841&gt;=10000101,Sync!$P1841&lt;=99991231),INT(Sync!$P1841/10000),""),IFERROR(VALUE(TRIM(LEFT(Sync!$P1841,FIND("/",Sync!$P1841)-1))),"")))</f>
        <v/>
      </c>
      <c r="AG1841">
        <f>IF(OR($AE1841="",$AF1841=""),"",IF(ISNUMBER(Sync!$P1841),INT(MOD(Sync!$P1841,10000)/100),IFERROR(VALUE(TRIM(LEFT(MID(Sync!$P1841,FIND("/",Sync!$P1841)+1,20),FIND("/",MID(Sync!$P1841,FIND("/",Sync!$P1841)+1,20))-1))),"")))</f>
        <v/>
      </c>
      <c r="AH1841">
        <f>IF(OR($AE1841="",$AF1841=""),"",IF(ISNUMBER(Sync!$P1841),MOD(Sync!$P1841,100),IFERROR(VALUE(TRIM(MID(MID(Sync!$P1841,FIND("/",Sync!$P1841)+1,20),FIND("/",MID(Sync!$P1841,FIND("/",Sync!$P1841)+1,20))+1,20))),"")))</f>
        <v/>
      </c>
      <c r="AI1841">
        <f>IF($AE1841="","",IF(OR($AF1841="",$AG1841="",$AH1841="",$AF1841&lt;1300,$AF1841&gt;1500,$AG1841&lt;1,$AG1841&gt;12,$AH1841&lt;1,$AH1841&gt;31),"نامعتبر",RIGHT("0000"&amp;$AF1841,4)&amp;"/"&amp;RIGHT("00"&amp;$AG1841,2)&amp;"/"&amp;RIGHT("00"&amp;$AH1841,2)))</f>
        <v/>
      </c>
      <c r="AJ1841">
        <f>IF($AE1841="","",IF(Sync!$Q1841="","0000",IF(AND(ISNUMBER(Sync!$Q1841),Sync!$Q1841&gt;=0,Sync!$Q1841&lt;1),RIGHT("00"&amp;HOUR(Sync!$Q1841),2)&amp;RIGHT("00"&amp;MINUTE(Sync!$Q1841),2),IFERROR(RIGHT("00"&amp;VALUE(LEFT(Sync!$Q1841,FIND(":",Sync!$Q1841)-1)),2)&amp;RIGHT("00"&amp;VALUE(MID(Sync!$Q1841,FIND(":",Sync!$Q1841)+1,2)),2),"0000"))))</f>
        <v/>
      </c>
      <c r="AK1841">
        <f>IF(OR($AE1841="",$AI1841="",$AI1841="نامعتبر"),"",LEFT($AI1841,4)&amp;MID($AI1841,6,2)&amp;RIGHT($AI1841,2)&amp;$AJ1841&amp;"|"&amp;"3"&amp;RIGHT("00000"&amp;1836,5))</f>
        <v/>
      </c>
      <c r="AL1841">
        <f>IF($AK1841="","",COUNTIFS(LdAParty,$AE1841,LdAType,1,LdAKey,"&lt;"&amp;$AK1841)+COUNTIFS(LdBMember,$AE1841,LdBKey,"&lt;"&amp;$AK1841)+COUNTIFS(LdCParty,$AE1841,LdCKey,"&lt;"&amp;$AK1841)+1)</f>
        <v/>
      </c>
      <c r="AM1841">
        <f>IF($AL1841="","",$AE1841&amp;"|"&amp;RIGHT("000000"&amp;$AL1841,6))</f>
        <v/>
      </c>
      <c r="AN1841">
        <f>IF($AE1841="","",IF(Sync!$W1841="",0,Sync!$W1841))</f>
        <v/>
      </c>
      <c r="AO1841">
        <f>IF($AE1841="","",IF(Sync!$X1841="",0,Sync!$X1841))</f>
        <v/>
      </c>
      <c r="AP1841">
        <f>IF($AE1841="","",Sync!$R1841)</f>
        <v/>
      </c>
      <c r="AQ1841">
        <f>IF($AE1841="","",Sync!$Y1841)</f>
        <v/>
      </c>
    </row>
    <row r="1842">
      <c r="A1842">
        <f>IF(OR(Wages!$B1845="",Wages!$E1845=""),"",Wages!$E1845)</f>
        <v/>
      </c>
      <c r="B1842">
        <f>IF($A1842="","",IF(Wages!$C1845="دستمزد گروهی",2,1))</f>
        <v/>
      </c>
      <c r="C1842">
        <f>IF($A1842="","",IF(ISNUMBER(Wages!$B1845),IF(AND(Wages!$B1845&gt;=10000101,Wages!$B1845&lt;=99991231),INT(Wages!$B1845/10000),""),IFERROR(VALUE(TRIM(LEFT(Wages!$B1845,FIND("/",Wages!$B1845)-1))),"")))</f>
        <v/>
      </c>
      <c r="D1842">
        <f>IF(OR($A1842="",$C1842=""),"",IF(ISNUMBER(Wages!$B1845),INT(MOD(Wages!$B1845,10000)/100),IFERROR(VALUE(TRIM(LEFT(MID(Wages!$B1845,FIND("/",Wages!$B1845)+1,20),FIND("/",MID(Wages!$B1845,FIND("/",Wages!$B1845)+1,20))-1))),"")))</f>
        <v/>
      </c>
      <c r="E1842">
        <f>IF(OR($A1842="",$C1842=""),"",IF(ISNUMBER(Wages!$B1845),MOD(Wages!$B1845,100),IFERROR(VALUE(TRIM(MID(MID(Wages!$B1845,FIND("/",Wages!$B1845)+1,20),FIND("/",MID(Wages!$B1845,FIND("/",Wages!$B1845)+1,20))+1,20))),"")))</f>
        <v/>
      </c>
      <c r="F1842">
        <f>IF($A1842="","",IF(OR($C1842="",$D1842="",$E1842="",$C1842&lt;1300,$C1842&gt;1500,$D1842&lt;1,$D1842&gt;12,$E1842&lt;1,$E1842&gt;31),"نامعتبر",RIGHT("0000"&amp;$C1842,4)&amp;"/"&amp;RIGHT("00"&amp;$D1842,2)&amp;"/"&amp;RIGHT("00"&amp;$E1842,2)))</f>
        <v/>
      </c>
      <c r="G1842">
        <f>IF(OR($A1842="",$F1842="",$F1842="نامعتبر"),"",LEFT($F1842,4)&amp;MID($F1842,6,2)&amp;RIGHT($F1842,2)&amp;"0000"&amp;"|"&amp;"1"&amp;RIGHT("00000"&amp;1837,5))</f>
        <v/>
      </c>
      <c r="H1842">
        <f>IF(OR($B1842&lt;&gt;1,$G1842=""),"",COUNTIFS(LdAParty,$A1842,LdAType,1,LdAKey,"&lt;"&amp;$G1842)+COUNTIFS(LdBMember,$A1842,LdBKey,"&lt;"&amp;$G1842)+COUNTIFS(LdCParty,$A1842,LdCKey,"&lt;"&amp;$G1842)+1)</f>
        <v/>
      </c>
      <c r="I1842">
        <f>IF($H1842="","",$A1842&amp;"|"&amp;RIGHT("000000"&amp;$H1842,6))</f>
        <v/>
      </c>
      <c r="J1842">
        <f>IF(OR($B1842&lt;&gt;2,$G1842=""),"",COUNTIFS(LdAParty,$A1842,LdAType,2,LdAKey,"&lt;"&amp;$G1842)+1)</f>
        <v/>
      </c>
      <c r="K1842">
        <f>IF($J1842="","",$A1842&amp;"|"&amp;RIGHT("000000"&amp;$J1842,6))</f>
        <v/>
      </c>
      <c r="L1842">
        <f>IF($A1842="","",IF(Wages!$G1845="",0,Wages!$G1845))</f>
        <v/>
      </c>
      <c r="M1842">
        <f>IF($A1842="","",Wages!$J1845)</f>
        <v/>
      </c>
      <c r="N1842">
        <f>IF($A1842="","",Wages!$D1845)</f>
        <v/>
      </c>
      <c r="P1842">
        <f>IF(OR(Shares!$B1845="",Shares!$C1845=""),"",Shares!$C1845)</f>
        <v/>
      </c>
      <c r="Q1842">
        <f>IF($P1842="","",Shares!$B1845)</f>
        <v/>
      </c>
      <c r="R1842">
        <f>IF($P1842="","",IFERROR(INDEX(WageParty,MATCH($Q1842,WageIds,0)),""))</f>
        <v/>
      </c>
      <c r="S1842">
        <f>IF($P1842="","",IFERROR(INDEX($F$6:$F$2005,MATCH($Q1842,WageIds,0)),""))</f>
        <v/>
      </c>
      <c r="T1842">
        <f>IF(OR($P1842="",$S1842="",$S1842="نامعتبر"),"",LEFT($S1842,4)&amp;MID($S1842,6,2)&amp;RIGHT($S1842,2)&amp;"0000"&amp;"|"&amp;"2"&amp;RIGHT("00000"&amp;1837,5))</f>
        <v/>
      </c>
      <c r="U1842">
        <f>IF($T1842="","",COUNTIFS(LdAParty,$P1842,LdAType,1,LdAKey,"&lt;"&amp;$T1842)+COUNTIFS(LdBMember,$P1842,LdBKey,"&lt;"&amp;$T1842)+COUNTIFS(LdCParty,$P1842,LdCKey,"&lt;"&amp;$T1842)+1)</f>
        <v/>
      </c>
      <c r="V1842">
        <f>IF($U1842="","",$P1842&amp;"|"&amp;RIGHT("000000"&amp;$U1842,6))</f>
        <v/>
      </c>
      <c r="W1842">
        <f>IF($T1842="","",COUNTIFS(LdBGroup,$R1842,LdBKey,"&lt;"&amp;$T1842)+1)</f>
        <v/>
      </c>
      <c r="X1842">
        <f>IF($W1842="","",$R1842&amp;"|"&amp;RIGHT("000000"&amp;$W1842,6))</f>
        <v/>
      </c>
      <c r="Y1842">
        <f>IF($P1842="","",IF(Shares!$E1845="",0,Shares!$E1845))</f>
        <v/>
      </c>
      <c r="Z1842">
        <f>IF($P1842="","",Shares!$H1845)</f>
        <v/>
      </c>
      <c r="AE1842">
        <f>IF(OR(Sync!$S1842="",Sync!$P1842=""),"",Sync!$S1842)</f>
        <v/>
      </c>
      <c r="AF1842">
        <f>IF($AE1842="","",IF(ISNUMBER(Sync!$P1842),IF(AND(Sync!$P1842&gt;=10000101,Sync!$P1842&lt;=99991231),INT(Sync!$P1842/10000),""),IFERROR(VALUE(TRIM(LEFT(Sync!$P1842,FIND("/",Sync!$P1842)-1))),"")))</f>
        <v/>
      </c>
      <c r="AG1842">
        <f>IF(OR($AE1842="",$AF1842=""),"",IF(ISNUMBER(Sync!$P1842),INT(MOD(Sync!$P1842,10000)/100),IFERROR(VALUE(TRIM(LEFT(MID(Sync!$P1842,FIND("/",Sync!$P1842)+1,20),FIND("/",MID(Sync!$P1842,FIND("/",Sync!$P1842)+1,20))-1))),"")))</f>
        <v/>
      </c>
      <c r="AH1842">
        <f>IF(OR($AE1842="",$AF1842=""),"",IF(ISNUMBER(Sync!$P1842),MOD(Sync!$P1842,100),IFERROR(VALUE(TRIM(MID(MID(Sync!$P1842,FIND("/",Sync!$P1842)+1,20),FIND("/",MID(Sync!$P1842,FIND("/",Sync!$P1842)+1,20))+1,20))),"")))</f>
        <v/>
      </c>
      <c r="AI1842">
        <f>IF($AE1842="","",IF(OR($AF1842="",$AG1842="",$AH1842="",$AF1842&lt;1300,$AF1842&gt;1500,$AG1842&lt;1,$AG1842&gt;12,$AH1842&lt;1,$AH1842&gt;31),"نامعتبر",RIGHT("0000"&amp;$AF1842,4)&amp;"/"&amp;RIGHT("00"&amp;$AG1842,2)&amp;"/"&amp;RIGHT("00"&amp;$AH1842,2)))</f>
        <v/>
      </c>
      <c r="AJ1842">
        <f>IF($AE1842="","",IF(Sync!$Q1842="","0000",IF(AND(ISNUMBER(Sync!$Q1842),Sync!$Q1842&gt;=0,Sync!$Q1842&lt;1),RIGHT("00"&amp;HOUR(Sync!$Q1842),2)&amp;RIGHT("00"&amp;MINUTE(Sync!$Q1842),2),IFERROR(RIGHT("00"&amp;VALUE(LEFT(Sync!$Q1842,FIND(":",Sync!$Q1842)-1)),2)&amp;RIGHT("00"&amp;VALUE(MID(Sync!$Q1842,FIND(":",Sync!$Q1842)+1,2)),2),"0000"))))</f>
        <v/>
      </c>
      <c r="AK1842">
        <f>IF(OR($AE1842="",$AI1842="",$AI1842="نامعتبر"),"",LEFT($AI1842,4)&amp;MID($AI1842,6,2)&amp;RIGHT($AI1842,2)&amp;$AJ1842&amp;"|"&amp;"3"&amp;RIGHT("00000"&amp;1837,5))</f>
        <v/>
      </c>
      <c r="AL1842">
        <f>IF($AK1842="","",COUNTIFS(LdAParty,$AE1842,LdAType,1,LdAKey,"&lt;"&amp;$AK1842)+COUNTIFS(LdBMember,$AE1842,LdBKey,"&lt;"&amp;$AK1842)+COUNTIFS(LdCParty,$AE1842,LdCKey,"&lt;"&amp;$AK1842)+1)</f>
        <v/>
      </c>
      <c r="AM1842">
        <f>IF($AL1842="","",$AE1842&amp;"|"&amp;RIGHT("000000"&amp;$AL1842,6))</f>
        <v/>
      </c>
      <c r="AN1842">
        <f>IF($AE1842="","",IF(Sync!$W1842="",0,Sync!$W1842))</f>
        <v/>
      </c>
      <c r="AO1842">
        <f>IF($AE1842="","",IF(Sync!$X1842="",0,Sync!$X1842))</f>
        <v/>
      </c>
      <c r="AP1842">
        <f>IF($AE1842="","",Sync!$R1842)</f>
        <v/>
      </c>
      <c r="AQ1842">
        <f>IF($AE1842="","",Sync!$Y1842)</f>
        <v/>
      </c>
    </row>
    <row r="1843">
      <c r="A1843">
        <f>IF(OR(Wages!$B1846="",Wages!$E1846=""),"",Wages!$E1846)</f>
        <v/>
      </c>
      <c r="B1843">
        <f>IF($A1843="","",IF(Wages!$C1846="دستمزد گروهی",2,1))</f>
        <v/>
      </c>
      <c r="C1843">
        <f>IF($A1843="","",IF(ISNUMBER(Wages!$B1846),IF(AND(Wages!$B1846&gt;=10000101,Wages!$B1846&lt;=99991231),INT(Wages!$B1846/10000),""),IFERROR(VALUE(TRIM(LEFT(Wages!$B1846,FIND("/",Wages!$B1846)-1))),"")))</f>
        <v/>
      </c>
      <c r="D1843">
        <f>IF(OR($A1843="",$C1843=""),"",IF(ISNUMBER(Wages!$B1846),INT(MOD(Wages!$B1846,10000)/100),IFERROR(VALUE(TRIM(LEFT(MID(Wages!$B1846,FIND("/",Wages!$B1846)+1,20),FIND("/",MID(Wages!$B1846,FIND("/",Wages!$B1846)+1,20))-1))),"")))</f>
        <v/>
      </c>
      <c r="E1843">
        <f>IF(OR($A1843="",$C1843=""),"",IF(ISNUMBER(Wages!$B1846),MOD(Wages!$B1846,100),IFERROR(VALUE(TRIM(MID(MID(Wages!$B1846,FIND("/",Wages!$B1846)+1,20),FIND("/",MID(Wages!$B1846,FIND("/",Wages!$B1846)+1,20))+1,20))),"")))</f>
        <v/>
      </c>
      <c r="F1843">
        <f>IF($A1843="","",IF(OR($C1843="",$D1843="",$E1843="",$C1843&lt;1300,$C1843&gt;1500,$D1843&lt;1,$D1843&gt;12,$E1843&lt;1,$E1843&gt;31),"نامعتبر",RIGHT("0000"&amp;$C1843,4)&amp;"/"&amp;RIGHT("00"&amp;$D1843,2)&amp;"/"&amp;RIGHT("00"&amp;$E1843,2)))</f>
        <v/>
      </c>
      <c r="G1843">
        <f>IF(OR($A1843="",$F1843="",$F1843="نامعتبر"),"",LEFT($F1843,4)&amp;MID($F1843,6,2)&amp;RIGHT($F1843,2)&amp;"0000"&amp;"|"&amp;"1"&amp;RIGHT("00000"&amp;1838,5))</f>
        <v/>
      </c>
      <c r="H1843">
        <f>IF(OR($B1843&lt;&gt;1,$G1843=""),"",COUNTIFS(LdAParty,$A1843,LdAType,1,LdAKey,"&lt;"&amp;$G1843)+COUNTIFS(LdBMember,$A1843,LdBKey,"&lt;"&amp;$G1843)+COUNTIFS(LdCParty,$A1843,LdCKey,"&lt;"&amp;$G1843)+1)</f>
        <v/>
      </c>
      <c r="I1843">
        <f>IF($H1843="","",$A1843&amp;"|"&amp;RIGHT("000000"&amp;$H1843,6))</f>
        <v/>
      </c>
      <c r="J1843">
        <f>IF(OR($B1843&lt;&gt;2,$G1843=""),"",COUNTIFS(LdAParty,$A1843,LdAType,2,LdAKey,"&lt;"&amp;$G1843)+1)</f>
        <v/>
      </c>
      <c r="K1843">
        <f>IF($J1843="","",$A1843&amp;"|"&amp;RIGHT("000000"&amp;$J1843,6))</f>
        <v/>
      </c>
      <c r="L1843">
        <f>IF($A1843="","",IF(Wages!$G1846="",0,Wages!$G1846))</f>
        <v/>
      </c>
      <c r="M1843">
        <f>IF($A1843="","",Wages!$J1846)</f>
        <v/>
      </c>
      <c r="N1843">
        <f>IF($A1843="","",Wages!$D1846)</f>
        <v/>
      </c>
      <c r="P1843">
        <f>IF(OR(Shares!$B1846="",Shares!$C1846=""),"",Shares!$C1846)</f>
        <v/>
      </c>
      <c r="Q1843">
        <f>IF($P1843="","",Shares!$B1846)</f>
        <v/>
      </c>
      <c r="R1843">
        <f>IF($P1843="","",IFERROR(INDEX(WageParty,MATCH($Q1843,WageIds,0)),""))</f>
        <v/>
      </c>
      <c r="S1843">
        <f>IF($P1843="","",IFERROR(INDEX($F$6:$F$2005,MATCH($Q1843,WageIds,0)),""))</f>
        <v/>
      </c>
      <c r="T1843">
        <f>IF(OR($P1843="",$S1843="",$S1843="نامعتبر"),"",LEFT($S1843,4)&amp;MID($S1843,6,2)&amp;RIGHT($S1843,2)&amp;"0000"&amp;"|"&amp;"2"&amp;RIGHT("00000"&amp;1838,5))</f>
        <v/>
      </c>
      <c r="U1843">
        <f>IF($T1843="","",COUNTIFS(LdAParty,$P1843,LdAType,1,LdAKey,"&lt;"&amp;$T1843)+COUNTIFS(LdBMember,$P1843,LdBKey,"&lt;"&amp;$T1843)+COUNTIFS(LdCParty,$P1843,LdCKey,"&lt;"&amp;$T1843)+1)</f>
        <v/>
      </c>
      <c r="V1843">
        <f>IF($U1843="","",$P1843&amp;"|"&amp;RIGHT("000000"&amp;$U1843,6))</f>
        <v/>
      </c>
      <c r="W1843">
        <f>IF($T1843="","",COUNTIFS(LdBGroup,$R1843,LdBKey,"&lt;"&amp;$T1843)+1)</f>
        <v/>
      </c>
      <c r="X1843">
        <f>IF($W1843="","",$R1843&amp;"|"&amp;RIGHT("000000"&amp;$W1843,6))</f>
        <v/>
      </c>
      <c r="Y1843">
        <f>IF($P1843="","",IF(Shares!$E1846="",0,Shares!$E1846))</f>
        <v/>
      </c>
      <c r="Z1843">
        <f>IF($P1843="","",Shares!$H1846)</f>
        <v/>
      </c>
      <c r="AE1843">
        <f>IF(OR(Sync!$S1843="",Sync!$P1843=""),"",Sync!$S1843)</f>
        <v/>
      </c>
      <c r="AF1843">
        <f>IF($AE1843="","",IF(ISNUMBER(Sync!$P1843),IF(AND(Sync!$P1843&gt;=10000101,Sync!$P1843&lt;=99991231),INT(Sync!$P1843/10000),""),IFERROR(VALUE(TRIM(LEFT(Sync!$P1843,FIND("/",Sync!$P1843)-1))),"")))</f>
        <v/>
      </c>
      <c r="AG1843">
        <f>IF(OR($AE1843="",$AF1843=""),"",IF(ISNUMBER(Sync!$P1843),INT(MOD(Sync!$P1843,10000)/100),IFERROR(VALUE(TRIM(LEFT(MID(Sync!$P1843,FIND("/",Sync!$P1843)+1,20),FIND("/",MID(Sync!$P1843,FIND("/",Sync!$P1843)+1,20))-1))),"")))</f>
        <v/>
      </c>
      <c r="AH1843">
        <f>IF(OR($AE1843="",$AF1843=""),"",IF(ISNUMBER(Sync!$P1843),MOD(Sync!$P1843,100),IFERROR(VALUE(TRIM(MID(MID(Sync!$P1843,FIND("/",Sync!$P1843)+1,20),FIND("/",MID(Sync!$P1843,FIND("/",Sync!$P1843)+1,20))+1,20))),"")))</f>
        <v/>
      </c>
      <c r="AI1843">
        <f>IF($AE1843="","",IF(OR($AF1843="",$AG1843="",$AH1843="",$AF1843&lt;1300,$AF1843&gt;1500,$AG1843&lt;1,$AG1843&gt;12,$AH1843&lt;1,$AH1843&gt;31),"نامعتبر",RIGHT("0000"&amp;$AF1843,4)&amp;"/"&amp;RIGHT("00"&amp;$AG1843,2)&amp;"/"&amp;RIGHT("00"&amp;$AH1843,2)))</f>
        <v/>
      </c>
      <c r="AJ1843">
        <f>IF($AE1843="","",IF(Sync!$Q1843="","0000",IF(AND(ISNUMBER(Sync!$Q1843),Sync!$Q1843&gt;=0,Sync!$Q1843&lt;1),RIGHT("00"&amp;HOUR(Sync!$Q1843),2)&amp;RIGHT("00"&amp;MINUTE(Sync!$Q1843),2),IFERROR(RIGHT("00"&amp;VALUE(LEFT(Sync!$Q1843,FIND(":",Sync!$Q1843)-1)),2)&amp;RIGHT("00"&amp;VALUE(MID(Sync!$Q1843,FIND(":",Sync!$Q1843)+1,2)),2),"0000"))))</f>
        <v/>
      </c>
      <c r="AK1843">
        <f>IF(OR($AE1843="",$AI1843="",$AI1843="نامعتبر"),"",LEFT($AI1843,4)&amp;MID($AI1843,6,2)&amp;RIGHT($AI1843,2)&amp;$AJ1843&amp;"|"&amp;"3"&amp;RIGHT("00000"&amp;1838,5))</f>
        <v/>
      </c>
      <c r="AL1843">
        <f>IF($AK1843="","",COUNTIFS(LdAParty,$AE1843,LdAType,1,LdAKey,"&lt;"&amp;$AK1843)+COUNTIFS(LdBMember,$AE1843,LdBKey,"&lt;"&amp;$AK1843)+COUNTIFS(LdCParty,$AE1843,LdCKey,"&lt;"&amp;$AK1843)+1)</f>
        <v/>
      </c>
      <c r="AM1843">
        <f>IF($AL1843="","",$AE1843&amp;"|"&amp;RIGHT("000000"&amp;$AL1843,6))</f>
        <v/>
      </c>
      <c r="AN1843">
        <f>IF($AE1843="","",IF(Sync!$W1843="",0,Sync!$W1843))</f>
        <v/>
      </c>
      <c r="AO1843">
        <f>IF($AE1843="","",IF(Sync!$X1843="",0,Sync!$X1843))</f>
        <v/>
      </c>
      <c r="AP1843">
        <f>IF($AE1843="","",Sync!$R1843)</f>
        <v/>
      </c>
      <c r="AQ1843">
        <f>IF($AE1843="","",Sync!$Y1843)</f>
        <v/>
      </c>
    </row>
    <row r="1844">
      <c r="A1844">
        <f>IF(OR(Wages!$B1847="",Wages!$E1847=""),"",Wages!$E1847)</f>
        <v/>
      </c>
      <c r="B1844">
        <f>IF($A1844="","",IF(Wages!$C1847="دستمزد گروهی",2,1))</f>
        <v/>
      </c>
      <c r="C1844">
        <f>IF($A1844="","",IF(ISNUMBER(Wages!$B1847),IF(AND(Wages!$B1847&gt;=10000101,Wages!$B1847&lt;=99991231),INT(Wages!$B1847/10000),""),IFERROR(VALUE(TRIM(LEFT(Wages!$B1847,FIND("/",Wages!$B1847)-1))),"")))</f>
        <v/>
      </c>
      <c r="D1844">
        <f>IF(OR($A1844="",$C1844=""),"",IF(ISNUMBER(Wages!$B1847),INT(MOD(Wages!$B1847,10000)/100),IFERROR(VALUE(TRIM(LEFT(MID(Wages!$B1847,FIND("/",Wages!$B1847)+1,20),FIND("/",MID(Wages!$B1847,FIND("/",Wages!$B1847)+1,20))-1))),"")))</f>
        <v/>
      </c>
      <c r="E1844">
        <f>IF(OR($A1844="",$C1844=""),"",IF(ISNUMBER(Wages!$B1847),MOD(Wages!$B1847,100),IFERROR(VALUE(TRIM(MID(MID(Wages!$B1847,FIND("/",Wages!$B1847)+1,20),FIND("/",MID(Wages!$B1847,FIND("/",Wages!$B1847)+1,20))+1,20))),"")))</f>
        <v/>
      </c>
      <c r="F1844">
        <f>IF($A1844="","",IF(OR($C1844="",$D1844="",$E1844="",$C1844&lt;1300,$C1844&gt;1500,$D1844&lt;1,$D1844&gt;12,$E1844&lt;1,$E1844&gt;31),"نامعتبر",RIGHT("0000"&amp;$C1844,4)&amp;"/"&amp;RIGHT("00"&amp;$D1844,2)&amp;"/"&amp;RIGHT("00"&amp;$E1844,2)))</f>
        <v/>
      </c>
      <c r="G1844">
        <f>IF(OR($A1844="",$F1844="",$F1844="نامعتبر"),"",LEFT($F1844,4)&amp;MID($F1844,6,2)&amp;RIGHT($F1844,2)&amp;"0000"&amp;"|"&amp;"1"&amp;RIGHT("00000"&amp;1839,5))</f>
        <v/>
      </c>
      <c r="H1844">
        <f>IF(OR($B1844&lt;&gt;1,$G1844=""),"",COUNTIFS(LdAParty,$A1844,LdAType,1,LdAKey,"&lt;"&amp;$G1844)+COUNTIFS(LdBMember,$A1844,LdBKey,"&lt;"&amp;$G1844)+COUNTIFS(LdCParty,$A1844,LdCKey,"&lt;"&amp;$G1844)+1)</f>
        <v/>
      </c>
      <c r="I1844">
        <f>IF($H1844="","",$A1844&amp;"|"&amp;RIGHT("000000"&amp;$H1844,6))</f>
        <v/>
      </c>
      <c r="J1844">
        <f>IF(OR($B1844&lt;&gt;2,$G1844=""),"",COUNTIFS(LdAParty,$A1844,LdAType,2,LdAKey,"&lt;"&amp;$G1844)+1)</f>
        <v/>
      </c>
      <c r="K1844">
        <f>IF($J1844="","",$A1844&amp;"|"&amp;RIGHT("000000"&amp;$J1844,6))</f>
        <v/>
      </c>
      <c r="L1844">
        <f>IF($A1844="","",IF(Wages!$G1847="",0,Wages!$G1847))</f>
        <v/>
      </c>
      <c r="M1844">
        <f>IF($A1844="","",Wages!$J1847)</f>
        <v/>
      </c>
      <c r="N1844">
        <f>IF($A1844="","",Wages!$D1847)</f>
        <v/>
      </c>
      <c r="P1844">
        <f>IF(OR(Shares!$B1847="",Shares!$C1847=""),"",Shares!$C1847)</f>
        <v/>
      </c>
      <c r="Q1844">
        <f>IF($P1844="","",Shares!$B1847)</f>
        <v/>
      </c>
      <c r="R1844">
        <f>IF($P1844="","",IFERROR(INDEX(WageParty,MATCH($Q1844,WageIds,0)),""))</f>
        <v/>
      </c>
      <c r="S1844">
        <f>IF($P1844="","",IFERROR(INDEX($F$6:$F$2005,MATCH($Q1844,WageIds,0)),""))</f>
        <v/>
      </c>
      <c r="T1844">
        <f>IF(OR($P1844="",$S1844="",$S1844="نامعتبر"),"",LEFT($S1844,4)&amp;MID($S1844,6,2)&amp;RIGHT($S1844,2)&amp;"0000"&amp;"|"&amp;"2"&amp;RIGHT("00000"&amp;1839,5))</f>
        <v/>
      </c>
      <c r="U1844">
        <f>IF($T1844="","",COUNTIFS(LdAParty,$P1844,LdAType,1,LdAKey,"&lt;"&amp;$T1844)+COUNTIFS(LdBMember,$P1844,LdBKey,"&lt;"&amp;$T1844)+COUNTIFS(LdCParty,$P1844,LdCKey,"&lt;"&amp;$T1844)+1)</f>
        <v/>
      </c>
      <c r="V1844">
        <f>IF($U1844="","",$P1844&amp;"|"&amp;RIGHT("000000"&amp;$U1844,6))</f>
        <v/>
      </c>
      <c r="W1844">
        <f>IF($T1844="","",COUNTIFS(LdBGroup,$R1844,LdBKey,"&lt;"&amp;$T1844)+1)</f>
        <v/>
      </c>
      <c r="X1844">
        <f>IF($W1844="","",$R1844&amp;"|"&amp;RIGHT("000000"&amp;$W1844,6))</f>
        <v/>
      </c>
      <c r="Y1844">
        <f>IF($P1844="","",IF(Shares!$E1847="",0,Shares!$E1847))</f>
        <v/>
      </c>
      <c r="Z1844">
        <f>IF($P1844="","",Shares!$H1847)</f>
        <v/>
      </c>
      <c r="AE1844">
        <f>IF(OR(Sync!$S1844="",Sync!$P1844=""),"",Sync!$S1844)</f>
        <v/>
      </c>
      <c r="AF1844">
        <f>IF($AE1844="","",IF(ISNUMBER(Sync!$P1844),IF(AND(Sync!$P1844&gt;=10000101,Sync!$P1844&lt;=99991231),INT(Sync!$P1844/10000),""),IFERROR(VALUE(TRIM(LEFT(Sync!$P1844,FIND("/",Sync!$P1844)-1))),"")))</f>
        <v/>
      </c>
      <c r="AG1844">
        <f>IF(OR($AE1844="",$AF1844=""),"",IF(ISNUMBER(Sync!$P1844),INT(MOD(Sync!$P1844,10000)/100),IFERROR(VALUE(TRIM(LEFT(MID(Sync!$P1844,FIND("/",Sync!$P1844)+1,20),FIND("/",MID(Sync!$P1844,FIND("/",Sync!$P1844)+1,20))-1))),"")))</f>
        <v/>
      </c>
      <c r="AH1844">
        <f>IF(OR($AE1844="",$AF1844=""),"",IF(ISNUMBER(Sync!$P1844),MOD(Sync!$P1844,100),IFERROR(VALUE(TRIM(MID(MID(Sync!$P1844,FIND("/",Sync!$P1844)+1,20),FIND("/",MID(Sync!$P1844,FIND("/",Sync!$P1844)+1,20))+1,20))),"")))</f>
        <v/>
      </c>
      <c r="AI1844">
        <f>IF($AE1844="","",IF(OR($AF1844="",$AG1844="",$AH1844="",$AF1844&lt;1300,$AF1844&gt;1500,$AG1844&lt;1,$AG1844&gt;12,$AH1844&lt;1,$AH1844&gt;31),"نامعتبر",RIGHT("0000"&amp;$AF1844,4)&amp;"/"&amp;RIGHT("00"&amp;$AG1844,2)&amp;"/"&amp;RIGHT("00"&amp;$AH1844,2)))</f>
        <v/>
      </c>
      <c r="AJ1844">
        <f>IF($AE1844="","",IF(Sync!$Q1844="","0000",IF(AND(ISNUMBER(Sync!$Q1844),Sync!$Q1844&gt;=0,Sync!$Q1844&lt;1),RIGHT("00"&amp;HOUR(Sync!$Q1844),2)&amp;RIGHT("00"&amp;MINUTE(Sync!$Q1844),2),IFERROR(RIGHT("00"&amp;VALUE(LEFT(Sync!$Q1844,FIND(":",Sync!$Q1844)-1)),2)&amp;RIGHT("00"&amp;VALUE(MID(Sync!$Q1844,FIND(":",Sync!$Q1844)+1,2)),2),"0000"))))</f>
        <v/>
      </c>
      <c r="AK1844">
        <f>IF(OR($AE1844="",$AI1844="",$AI1844="نامعتبر"),"",LEFT($AI1844,4)&amp;MID($AI1844,6,2)&amp;RIGHT($AI1844,2)&amp;$AJ1844&amp;"|"&amp;"3"&amp;RIGHT("00000"&amp;1839,5))</f>
        <v/>
      </c>
      <c r="AL1844">
        <f>IF($AK1844="","",COUNTIFS(LdAParty,$AE1844,LdAType,1,LdAKey,"&lt;"&amp;$AK1844)+COUNTIFS(LdBMember,$AE1844,LdBKey,"&lt;"&amp;$AK1844)+COUNTIFS(LdCParty,$AE1844,LdCKey,"&lt;"&amp;$AK1844)+1)</f>
        <v/>
      </c>
      <c r="AM1844">
        <f>IF($AL1844="","",$AE1844&amp;"|"&amp;RIGHT("000000"&amp;$AL1844,6))</f>
        <v/>
      </c>
      <c r="AN1844">
        <f>IF($AE1844="","",IF(Sync!$W1844="",0,Sync!$W1844))</f>
        <v/>
      </c>
      <c r="AO1844">
        <f>IF($AE1844="","",IF(Sync!$X1844="",0,Sync!$X1844))</f>
        <v/>
      </c>
      <c r="AP1844">
        <f>IF($AE1844="","",Sync!$R1844)</f>
        <v/>
      </c>
      <c r="AQ1844">
        <f>IF($AE1844="","",Sync!$Y1844)</f>
        <v/>
      </c>
    </row>
    <row r="1845">
      <c r="A1845">
        <f>IF(OR(Wages!$B1848="",Wages!$E1848=""),"",Wages!$E1848)</f>
        <v/>
      </c>
      <c r="B1845">
        <f>IF($A1845="","",IF(Wages!$C1848="دستمزد گروهی",2,1))</f>
        <v/>
      </c>
      <c r="C1845">
        <f>IF($A1845="","",IF(ISNUMBER(Wages!$B1848),IF(AND(Wages!$B1848&gt;=10000101,Wages!$B1848&lt;=99991231),INT(Wages!$B1848/10000),""),IFERROR(VALUE(TRIM(LEFT(Wages!$B1848,FIND("/",Wages!$B1848)-1))),"")))</f>
        <v/>
      </c>
      <c r="D1845">
        <f>IF(OR($A1845="",$C1845=""),"",IF(ISNUMBER(Wages!$B1848),INT(MOD(Wages!$B1848,10000)/100),IFERROR(VALUE(TRIM(LEFT(MID(Wages!$B1848,FIND("/",Wages!$B1848)+1,20),FIND("/",MID(Wages!$B1848,FIND("/",Wages!$B1848)+1,20))-1))),"")))</f>
        <v/>
      </c>
      <c r="E1845">
        <f>IF(OR($A1845="",$C1845=""),"",IF(ISNUMBER(Wages!$B1848),MOD(Wages!$B1848,100),IFERROR(VALUE(TRIM(MID(MID(Wages!$B1848,FIND("/",Wages!$B1848)+1,20),FIND("/",MID(Wages!$B1848,FIND("/",Wages!$B1848)+1,20))+1,20))),"")))</f>
        <v/>
      </c>
      <c r="F1845">
        <f>IF($A1845="","",IF(OR($C1845="",$D1845="",$E1845="",$C1845&lt;1300,$C1845&gt;1500,$D1845&lt;1,$D1845&gt;12,$E1845&lt;1,$E1845&gt;31),"نامعتبر",RIGHT("0000"&amp;$C1845,4)&amp;"/"&amp;RIGHT("00"&amp;$D1845,2)&amp;"/"&amp;RIGHT("00"&amp;$E1845,2)))</f>
        <v/>
      </c>
      <c r="G1845">
        <f>IF(OR($A1845="",$F1845="",$F1845="نامعتبر"),"",LEFT($F1845,4)&amp;MID($F1845,6,2)&amp;RIGHT($F1845,2)&amp;"0000"&amp;"|"&amp;"1"&amp;RIGHT("00000"&amp;1840,5))</f>
        <v/>
      </c>
      <c r="H1845">
        <f>IF(OR($B1845&lt;&gt;1,$G1845=""),"",COUNTIFS(LdAParty,$A1845,LdAType,1,LdAKey,"&lt;"&amp;$G1845)+COUNTIFS(LdBMember,$A1845,LdBKey,"&lt;"&amp;$G1845)+COUNTIFS(LdCParty,$A1845,LdCKey,"&lt;"&amp;$G1845)+1)</f>
        <v/>
      </c>
      <c r="I1845">
        <f>IF($H1845="","",$A1845&amp;"|"&amp;RIGHT("000000"&amp;$H1845,6))</f>
        <v/>
      </c>
      <c r="J1845">
        <f>IF(OR($B1845&lt;&gt;2,$G1845=""),"",COUNTIFS(LdAParty,$A1845,LdAType,2,LdAKey,"&lt;"&amp;$G1845)+1)</f>
        <v/>
      </c>
      <c r="K1845">
        <f>IF($J1845="","",$A1845&amp;"|"&amp;RIGHT("000000"&amp;$J1845,6))</f>
        <v/>
      </c>
      <c r="L1845">
        <f>IF($A1845="","",IF(Wages!$G1848="",0,Wages!$G1848))</f>
        <v/>
      </c>
      <c r="M1845">
        <f>IF($A1845="","",Wages!$J1848)</f>
        <v/>
      </c>
      <c r="N1845">
        <f>IF($A1845="","",Wages!$D1848)</f>
        <v/>
      </c>
      <c r="P1845">
        <f>IF(OR(Shares!$B1848="",Shares!$C1848=""),"",Shares!$C1848)</f>
        <v/>
      </c>
      <c r="Q1845">
        <f>IF($P1845="","",Shares!$B1848)</f>
        <v/>
      </c>
      <c r="R1845">
        <f>IF($P1845="","",IFERROR(INDEX(WageParty,MATCH($Q1845,WageIds,0)),""))</f>
        <v/>
      </c>
      <c r="S1845">
        <f>IF($P1845="","",IFERROR(INDEX($F$6:$F$2005,MATCH($Q1845,WageIds,0)),""))</f>
        <v/>
      </c>
      <c r="T1845">
        <f>IF(OR($P1845="",$S1845="",$S1845="نامعتبر"),"",LEFT($S1845,4)&amp;MID($S1845,6,2)&amp;RIGHT($S1845,2)&amp;"0000"&amp;"|"&amp;"2"&amp;RIGHT("00000"&amp;1840,5))</f>
        <v/>
      </c>
      <c r="U1845">
        <f>IF($T1845="","",COUNTIFS(LdAParty,$P1845,LdAType,1,LdAKey,"&lt;"&amp;$T1845)+COUNTIFS(LdBMember,$P1845,LdBKey,"&lt;"&amp;$T1845)+COUNTIFS(LdCParty,$P1845,LdCKey,"&lt;"&amp;$T1845)+1)</f>
        <v/>
      </c>
      <c r="V1845">
        <f>IF($U1845="","",$P1845&amp;"|"&amp;RIGHT("000000"&amp;$U1845,6))</f>
        <v/>
      </c>
      <c r="W1845">
        <f>IF($T1845="","",COUNTIFS(LdBGroup,$R1845,LdBKey,"&lt;"&amp;$T1845)+1)</f>
        <v/>
      </c>
      <c r="X1845">
        <f>IF($W1845="","",$R1845&amp;"|"&amp;RIGHT("000000"&amp;$W1845,6))</f>
        <v/>
      </c>
      <c r="Y1845">
        <f>IF($P1845="","",IF(Shares!$E1848="",0,Shares!$E1848))</f>
        <v/>
      </c>
      <c r="Z1845">
        <f>IF($P1845="","",Shares!$H1848)</f>
        <v/>
      </c>
      <c r="AE1845">
        <f>IF(OR(Sync!$S1845="",Sync!$P1845=""),"",Sync!$S1845)</f>
        <v/>
      </c>
      <c r="AF1845">
        <f>IF($AE1845="","",IF(ISNUMBER(Sync!$P1845),IF(AND(Sync!$P1845&gt;=10000101,Sync!$P1845&lt;=99991231),INT(Sync!$P1845/10000),""),IFERROR(VALUE(TRIM(LEFT(Sync!$P1845,FIND("/",Sync!$P1845)-1))),"")))</f>
        <v/>
      </c>
      <c r="AG1845">
        <f>IF(OR($AE1845="",$AF1845=""),"",IF(ISNUMBER(Sync!$P1845),INT(MOD(Sync!$P1845,10000)/100),IFERROR(VALUE(TRIM(LEFT(MID(Sync!$P1845,FIND("/",Sync!$P1845)+1,20),FIND("/",MID(Sync!$P1845,FIND("/",Sync!$P1845)+1,20))-1))),"")))</f>
        <v/>
      </c>
      <c r="AH1845">
        <f>IF(OR($AE1845="",$AF1845=""),"",IF(ISNUMBER(Sync!$P1845),MOD(Sync!$P1845,100),IFERROR(VALUE(TRIM(MID(MID(Sync!$P1845,FIND("/",Sync!$P1845)+1,20),FIND("/",MID(Sync!$P1845,FIND("/",Sync!$P1845)+1,20))+1,20))),"")))</f>
        <v/>
      </c>
      <c r="AI1845">
        <f>IF($AE1845="","",IF(OR($AF1845="",$AG1845="",$AH1845="",$AF1845&lt;1300,$AF1845&gt;1500,$AG1845&lt;1,$AG1845&gt;12,$AH1845&lt;1,$AH1845&gt;31),"نامعتبر",RIGHT("0000"&amp;$AF1845,4)&amp;"/"&amp;RIGHT("00"&amp;$AG1845,2)&amp;"/"&amp;RIGHT("00"&amp;$AH1845,2)))</f>
        <v/>
      </c>
      <c r="AJ1845">
        <f>IF($AE1845="","",IF(Sync!$Q1845="","0000",IF(AND(ISNUMBER(Sync!$Q1845),Sync!$Q1845&gt;=0,Sync!$Q1845&lt;1),RIGHT("00"&amp;HOUR(Sync!$Q1845),2)&amp;RIGHT("00"&amp;MINUTE(Sync!$Q1845),2),IFERROR(RIGHT("00"&amp;VALUE(LEFT(Sync!$Q1845,FIND(":",Sync!$Q1845)-1)),2)&amp;RIGHT("00"&amp;VALUE(MID(Sync!$Q1845,FIND(":",Sync!$Q1845)+1,2)),2),"0000"))))</f>
        <v/>
      </c>
      <c r="AK1845">
        <f>IF(OR($AE1845="",$AI1845="",$AI1845="نامعتبر"),"",LEFT($AI1845,4)&amp;MID($AI1845,6,2)&amp;RIGHT($AI1845,2)&amp;$AJ1845&amp;"|"&amp;"3"&amp;RIGHT("00000"&amp;1840,5))</f>
        <v/>
      </c>
      <c r="AL1845">
        <f>IF($AK1845="","",COUNTIFS(LdAParty,$AE1845,LdAType,1,LdAKey,"&lt;"&amp;$AK1845)+COUNTIFS(LdBMember,$AE1845,LdBKey,"&lt;"&amp;$AK1845)+COUNTIFS(LdCParty,$AE1845,LdCKey,"&lt;"&amp;$AK1845)+1)</f>
        <v/>
      </c>
      <c r="AM1845">
        <f>IF($AL1845="","",$AE1845&amp;"|"&amp;RIGHT("000000"&amp;$AL1845,6))</f>
        <v/>
      </c>
      <c r="AN1845">
        <f>IF($AE1845="","",IF(Sync!$W1845="",0,Sync!$W1845))</f>
        <v/>
      </c>
      <c r="AO1845">
        <f>IF($AE1845="","",IF(Sync!$X1845="",0,Sync!$X1845))</f>
        <v/>
      </c>
      <c r="AP1845">
        <f>IF($AE1845="","",Sync!$R1845)</f>
        <v/>
      </c>
      <c r="AQ1845">
        <f>IF($AE1845="","",Sync!$Y1845)</f>
        <v/>
      </c>
    </row>
    <row r="1846">
      <c r="A1846">
        <f>IF(OR(Wages!$B1849="",Wages!$E1849=""),"",Wages!$E1849)</f>
        <v/>
      </c>
      <c r="B1846">
        <f>IF($A1846="","",IF(Wages!$C1849="دستمزد گروهی",2,1))</f>
        <v/>
      </c>
      <c r="C1846">
        <f>IF($A1846="","",IF(ISNUMBER(Wages!$B1849),IF(AND(Wages!$B1849&gt;=10000101,Wages!$B1849&lt;=99991231),INT(Wages!$B1849/10000),""),IFERROR(VALUE(TRIM(LEFT(Wages!$B1849,FIND("/",Wages!$B1849)-1))),"")))</f>
        <v/>
      </c>
      <c r="D1846">
        <f>IF(OR($A1846="",$C1846=""),"",IF(ISNUMBER(Wages!$B1849),INT(MOD(Wages!$B1849,10000)/100),IFERROR(VALUE(TRIM(LEFT(MID(Wages!$B1849,FIND("/",Wages!$B1849)+1,20),FIND("/",MID(Wages!$B1849,FIND("/",Wages!$B1849)+1,20))-1))),"")))</f>
        <v/>
      </c>
      <c r="E1846">
        <f>IF(OR($A1846="",$C1846=""),"",IF(ISNUMBER(Wages!$B1849),MOD(Wages!$B1849,100),IFERROR(VALUE(TRIM(MID(MID(Wages!$B1849,FIND("/",Wages!$B1849)+1,20),FIND("/",MID(Wages!$B1849,FIND("/",Wages!$B1849)+1,20))+1,20))),"")))</f>
        <v/>
      </c>
      <c r="F1846">
        <f>IF($A1846="","",IF(OR($C1846="",$D1846="",$E1846="",$C1846&lt;1300,$C1846&gt;1500,$D1846&lt;1,$D1846&gt;12,$E1846&lt;1,$E1846&gt;31),"نامعتبر",RIGHT("0000"&amp;$C1846,4)&amp;"/"&amp;RIGHT("00"&amp;$D1846,2)&amp;"/"&amp;RIGHT("00"&amp;$E1846,2)))</f>
        <v/>
      </c>
      <c r="G1846">
        <f>IF(OR($A1846="",$F1846="",$F1846="نامعتبر"),"",LEFT($F1846,4)&amp;MID($F1846,6,2)&amp;RIGHT($F1846,2)&amp;"0000"&amp;"|"&amp;"1"&amp;RIGHT("00000"&amp;1841,5))</f>
        <v/>
      </c>
      <c r="H1846">
        <f>IF(OR($B1846&lt;&gt;1,$G1846=""),"",COUNTIFS(LdAParty,$A1846,LdAType,1,LdAKey,"&lt;"&amp;$G1846)+COUNTIFS(LdBMember,$A1846,LdBKey,"&lt;"&amp;$G1846)+COUNTIFS(LdCParty,$A1846,LdCKey,"&lt;"&amp;$G1846)+1)</f>
        <v/>
      </c>
      <c r="I1846">
        <f>IF($H1846="","",$A1846&amp;"|"&amp;RIGHT("000000"&amp;$H1846,6))</f>
        <v/>
      </c>
      <c r="J1846">
        <f>IF(OR($B1846&lt;&gt;2,$G1846=""),"",COUNTIFS(LdAParty,$A1846,LdAType,2,LdAKey,"&lt;"&amp;$G1846)+1)</f>
        <v/>
      </c>
      <c r="K1846">
        <f>IF($J1846="","",$A1846&amp;"|"&amp;RIGHT("000000"&amp;$J1846,6))</f>
        <v/>
      </c>
      <c r="L1846">
        <f>IF($A1846="","",IF(Wages!$G1849="",0,Wages!$G1849))</f>
        <v/>
      </c>
      <c r="M1846">
        <f>IF($A1846="","",Wages!$J1849)</f>
        <v/>
      </c>
      <c r="N1846">
        <f>IF($A1846="","",Wages!$D1849)</f>
        <v/>
      </c>
      <c r="P1846">
        <f>IF(OR(Shares!$B1849="",Shares!$C1849=""),"",Shares!$C1849)</f>
        <v/>
      </c>
      <c r="Q1846">
        <f>IF($P1846="","",Shares!$B1849)</f>
        <v/>
      </c>
      <c r="R1846">
        <f>IF($P1846="","",IFERROR(INDEX(WageParty,MATCH($Q1846,WageIds,0)),""))</f>
        <v/>
      </c>
      <c r="S1846">
        <f>IF($P1846="","",IFERROR(INDEX($F$6:$F$2005,MATCH($Q1846,WageIds,0)),""))</f>
        <v/>
      </c>
      <c r="T1846">
        <f>IF(OR($P1846="",$S1846="",$S1846="نامعتبر"),"",LEFT($S1846,4)&amp;MID($S1846,6,2)&amp;RIGHT($S1846,2)&amp;"0000"&amp;"|"&amp;"2"&amp;RIGHT("00000"&amp;1841,5))</f>
        <v/>
      </c>
      <c r="U1846">
        <f>IF($T1846="","",COUNTIFS(LdAParty,$P1846,LdAType,1,LdAKey,"&lt;"&amp;$T1846)+COUNTIFS(LdBMember,$P1846,LdBKey,"&lt;"&amp;$T1846)+COUNTIFS(LdCParty,$P1846,LdCKey,"&lt;"&amp;$T1846)+1)</f>
        <v/>
      </c>
      <c r="V1846">
        <f>IF($U1846="","",$P1846&amp;"|"&amp;RIGHT("000000"&amp;$U1846,6))</f>
        <v/>
      </c>
      <c r="W1846">
        <f>IF($T1846="","",COUNTIFS(LdBGroup,$R1846,LdBKey,"&lt;"&amp;$T1846)+1)</f>
        <v/>
      </c>
      <c r="X1846">
        <f>IF($W1846="","",$R1846&amp;"|"&amp;RIGHT("000000"&amp;$W1846,6))</f>
        <v/>
      </c>
      <c r="Y1846">
        <f>IF($P1846="","",IF(Shares!$E1849="",0,Shares!$E1849))</f>
        <v/>
      </c>
      <c r="Z1846">
        <f>IF($P1846="","",Shares!$H1849)</f>
        <v/>
      </c>
      <c r="AE1846">
        <f>IF(OR(Sync!$S1846="",Sync!$P1846=""),"",Sync!$S1846)</f>
        <v/>
      </c>
      <c r="AF1846">
        <f>IF($AE1846="","",IF(ISNUMBER(Sync!$P1846),IF(AND(Sync!$P1846&gt;=10000101,Sync!$P1846&lt;=99991231),INT(Sync!$P1846/10000),""),IFERROR(VALUE(TRIM(LEFT(Sync!$P1846,FIND("/",Sync!$P1846)-1))),"")))</f>
        <v/>
      </c>
      <c r="AG1846">
        <f>IF(OR($AE1846="",$AF1846=""),"",IF(ISNUMBER(Sync!$P1846),INT(MOD(Sync!$P1846,10000)/100),IFERROR(VALUE(TRIM(LEFT(MID(Sync!$P1846,FIND("/",Sync!$P1846)+1,20),FIND("/",MID(Sync!$P1846,FIND("/",Sync!$P1846)+1,20))-1))),"")))</f>
        <v/>
      </c>
      <c r="AH1846">
        <f>IF(OR($AE1846="",$AF1846=""),"",IF(ISNUMBER(Sync!$P1846),MOD(Sync!$P1846,100),IFERROR(VALUE(TRIM(MID(MID(Sync!$P1846,FIND("/",Sync!$P1846)+1,20),FIND("/",MID(Sync!$P1846,FIND("/",Sync!$P1846)+1,20))+1,20))),"")))</f>
        <v/>
      </c>
      <c r="AI1846">
        <f>IF($AE1846="","",IF(OR($AF1846="",$AG1846="",$AH1846="",$AF1846&lt;1300,$AF1846&gt;1500,$AG1846&lt;1,$AG1846&gt;12,$AH1846&lt;1,$AH1846&gt;31),"نامعتبر",RIGHT("0000"&amp;$AF1846,4)&amp;"/"&amp;RIGHT("00"&amp;$AG1846,2)&amp;"/"&amp;RIGHT("00"&amp;$AH1846,2)))</f>
        <v/>
      </c>
      <c r="AJ1846">
        <f>IF($AE1846="","",IF(Sync!$Q1846="","0000",IF(AND(ISNUMBER(Sync!$Q1846),Sync!$Q1846&gt;=0,Sync!$Q1846&lt;1),RIGHT("00"&amp;HOUR(Sync!$Q1846),2)&amp;RIGHT("00"&amp;MINUTE(Sync!$Q1846),2),IFERROR(RIGHT("00"&amp;VALUE(LEFT(Sync!$Q1846,FIND(":",Sync!$Q1846)-1)),2)&amp;RIGHT("00"&amp;VALUE(MID(Sync!$Q1846,FIND(":",Sync!$Q1846)+1,2)),2),"0000"))))</f>
        <v/>
      </c>
      <c r="AK1846">
        <f>IF(OR($AE1846="",$AI1846="",$AI1846="نامعتبر"),"",LEFT($AI1846,4)&amp;MID($AI1846,6,2)&amp;RIGHT($AI1846,2)&amp;$AJ1846&amp;"|"&amp;"3"&amp;RIGHT("00000"&amp;1841,5))</f>
        <v/>
      </c>
      <c r="AL1846">
        <f>IF($AK1846="","",COUNTIFS(LdAParty,$AE1846,LdAType,1,LdAKey,"&lt;"&amp;$AK1846)+COUNTIFS(LdBMember,$AE1846,LdBKey,"&lt;"&amp;$AK1846)+COUNTIFS(LdCParty,$AE1846,LdCKey,"&lt;"&amp;$AK1846)+1)</f>
        <v/>
      </c>
      <c r="AM1846">
        <f>IF($AL1846="","",$AE1846&amp;"|"&amp;RIGHT("000000"&amp;$AL1846,6))</f>
        <v/>
      </c>
      <c r="AN1846">
        <f>IF($AE1846="","",IF(Sync!$W1846="",0,Sync!$W1846))</f>
        <v/>
      </c>
      <c r="AO1846">
        <f>IF($AE1846="","",IF(Sync!$X1846="",0,Sync!$X1846))</f>
        <v/>
      </c>
      <c r="AP1846">
        <f>IF($AE1846="","",Sync!$R1846)</f>
        <v/>
      </c>
      <c r="AQ1846">
        <f>IF($AE1846="","",Sync!$Y1846)</f>
        <v/>
      </c>
    </row>
    <row r="1847">
      <c r="A1847">
        <f>IF(OR(Wages!$B1850="",Wages!$E1850=""),"",Wages!$E1850)</f>
        <v/>
      </c>
      <c r="B1847">
        <f>IF($A1847="","",IF(Wages!$C1850="دستمزد گروهی",2,1))</f>
        <v/>
      </c>
      <c r="C1847">
        <f>IF($A1847="","",IF(ISNUMBER(Wages!$B1850),IF(AND(Wages!$B1850&gt;=10000101,Wages!$B1850&lt;=99991231),INT(Wages!$B1850/10000),""),IFERROR(VALUE(TRIM(LEFT(Wages!$B1850,FIND("/",Wages!$B1850)-1))),"")))</f>
        <v/>
      </c>
      <c r="D1847">
        <f>IF(OR($A1847="",$C1847=""),"",IF(ISNUMBER(Wages!$B1850),INT(MOD(Wages!$B1850,10000)/100),IFERROR(VALUE(TRIM(LEFT(MID(Wages!$B1850,FIND("/",Wages!$B1850)+1,20),FIND("/",MID(Wages!$B1850,FIND("/",Wages!$B1850)+1,20))-1))),"")))</f>
        <v/>
      </c>
      <c r="E1847">
        <f>IF(OR($A1847="",$C1847=""),"",IF(ISNUMBER(Wages!$B1850),MOD(Wages!$B1850,100),IFERROR(VALUE(TRIM(MID(MID(Wages!$B1850,FIND("/",Wages!$B1850)+1,20),FIND("/",MID(Wages!$B1850,FIND("/",Wages!$B1850)+1,20))+1,20))),"")))</f>
        <v/>
      </c>
      <c r="F1847">
        <f>IF($A1847="","",IF(OR($C1847="",$D1847="",$E1847="",$C1847&lt;1300,$C1847&gt;1500,$D1847&lt;1,$D1847&gt;12,$E1847&lt;1,$E1847&gt;31),"نامعتبر",RIGHT("0000"&amp;$C1847,4)&amp;"/"&amp;RIGHT("00"&amp;$D1847,2)&amp;"/"&amp;RIGHT("00"&amp;$E1847,2)))</f>
        <v/>
      </c>
      <c r="G1847">
        <f>IF(OR($A1847="",$F1847="",$F1847="نامعتبر"),"",LEFT($F1847,4)&amp;MID($F1847,6,2)&amp;RIGHT($F1847,2)&amp;"0000"&amp;"|"&amp;"1"&amp;RIGHT("00000"&amp;1842,5))</f>
        <v/>
      </c>
      <c r="H1847">
        <f>IF(OR($B1847&lt;&gt;1,$G1847=""),"",COUNTIFS(LdAParty,$A1847,LdAType,1,LdAKey,"&lt;"&amp;$G1847)+COUNTIFS(LdBMember,$A1847,LdBKey,"&lt;"&amp;$G1847)+COUNTIFS(LdCParty,$A1847,LdCKey,"&lt;"&amp;$G1847)+1)</f>
        <v/>
      </c>
      <c r="I1847">
        <f>IF($H1847="","",$A1847&amp;"|"&amp;RIGHT("000000"&amp;$H1847,6))</f>
        <v/>
      </c>
      <c r="J1847">
        <f>IF(OR($B1847&lt;&gt;2,$G1847=""),"",COUNTIFS(LdAParty,$A1847,LdAType,2,LdAKey,"&lt;"&amp;$G1847)+1)</f>
        <v/>
      </c>
      <c r="K1847">
        <f>IF($J1847="","",$A1847&amp;"|"&amp;RIGHT("000000"&amp;$J1847,6))</f>
        <v/>
      </c>
      <c r="L1847">
        <f>IF($A1847="","",IF(Wages!$G1850="",0,Wages!$G1850))</f>
        <v/>
      </c>
      <c r="M1847">
        <f>IF($A1847="","",Wages!$J1850)</f>
        <v/>
      </c>
      <c r="N1847">
        <f>IF($A1847="","",Wages!$D1850)</f>
        <v/>
      </c>
      <c r="P1847">
        <f>IF(OR(Shares!$B1850="",Shares!$C1850=""),"",Shares!$C1850)</f>
        <v/>
      </c>
      <c r="Q1847">
        <f>IF($P1847="","",Shares!$B1850)</f>
        <v/>
      </c>
      <c r="R1847">
        <f>IF($P1847="","",IFERROR(INDEX(WageParty,MATCH($Q1847,WageIds,0)),""))</f>
        <v/>
      </c>
      <c r="S1847">
        <f>IF($P1847="","",IFERROR(INDEX($F$6:$F$2005,MATCH($Q1847,WageIds,0)),""))</f>
        <v/>
      </c>
      <c r="T1847">
        <f>IF(OR($P1847="",$S1847="",$S1847="نامعتبر"),"",LEFT($S1847,4)&amp;MID($S1847,6,2)&amp;RIGHT($S1847,2)&amp;"0000"&amp;"|"&amp;"2"&amp;RIGHT("00000"&amp;1842,5))</f>
        <v/>
      </c>
      <c r="U1847">
        <f>IF($T1847="","",COUNTIFS(LdAParty,$P1847,LdAType,1,LdAKey,"&lt;"&amp;$T1847)+COUNTIFS(LdBMember,$P1847,LdBKey,"&lt;"&amp;$T1847)+COUNTIFS(LdCParty,$P1847,LdCKey,"&lt;"&amp;$T1847)+1)</f>
        <v/>
      </c>
      <c r="V1847">
        <f>IF($U1847="","",$P1847&amp;"|"&amp;RIGHT("000000"&amp;$U1847,6))</f>
        <v/>
      </c>
      <c r="W1847">
        <f>IF($T1847="","",COUNTIFS(LdBGroup,$R1847,LdBKey,"&lt;"&amp;$T1847)+1)</f>
        <v/>
      </c>
      <c r="X1847">
        <f>IF($W1847="","",$R1847&amp;"|"&amp;RIGHT("000000"&amp;$W1847,6))</f>
        <v/>
      </c>
      <c r="Y1847">
        <f>IF($P1847="","",IF(Shares!$E1850="",0,Shares!$E1850))</f>
        <v/>
      </c>
      <c r="Z1847">
        <f>IF($P1847="","",Shares!$H1850)</f>
        <v/>
      </c>
      <c r="AE1847">
        <f>IF(OR(Sync!$S1847="",Sync!$P1847=""),"",Sync!$S1847)</f>
        <v/>
      </c>
      <c r="AF1847">
        <f>IF($AE1847="","",IF(ISNUMBER(Sync!$P1847),IF(AND(Sync!$P1847&gt;=10000101,Sync!$P1847&lt;=99991231),INT(Sync!$P1847/10000),""),IFERROR(VALUE(TRIM(LEFT(Sync!$P1847,FIND("/",Sync!$P1847)-1))),"")))</f>
        <v/>
      </c>
      <c r="AG1847">
        <f>IF(OR($AE1847="",$AF1847=""),"",IF(ISNUMBER(Sync!$P1847),INT(MOD(Sync!$P1847,10000)/100),IFERROR(VALUE(TRIM(LEFT(MID(Sync!$P1847,FIND("/",Sync!$P1847)+1,20),FIND("/",MID(Sync!$P1847,FIND("/",Sync!$P1847)+1,20))-1))),"")))</f>
        <v/>
      </c>
      <c r="AH1847">
        <f>IF(OR($AE1847="",$AF1847=""),"",IF(ISNUMBER(Sync!$P1847),MOD(Sync!$P1847,100),IFERROR(VALUE(TRIM(MID(MID(Sync!$P1847,FIND("/",Sync!$P1847)+1,20),FIND("/",MID(Sync!$P1847,FIND("/",Sync!$P1847)+1,20))+1,20))),"")))</f>
        <v/>
      </c>
      <c r="AI1847">
        <f>IF($AE1847="","",IF(OR($AF1847="",$AG1847="",$AH1847="",$AF1847&lt;1300,$AF1847&gt;1500,$AG1847&lt;1,$AG1847&gt;12,$AH1847&lt;1,$AH1847&gt;31),"نامعتبر",RIGHT("0000"&amp;$AF1847,4)&amp;"/"&amp;RIGHT("00"&amp;$AG1847,2)&amp;"/"&amp;RIGHT("00"&amp;$AH1847,2)))</f>
        <v/>
      </c>
      <c r="AJ1847">
        <f>IF($AE1847="","",IF(Sync!$Q1847="","0000",IF(AND(ISNUMBER(Sync!$Q1847),Sync!$Q1847&gt;=0,Sync!$Q1847&lt;1),RIGHT("00"&amp;HOUR(Sync!$Q1847),2)&amp;RIGHT("00"&amp;MINUTE(Sync!$Q1847),2),IFERROR(RIGHT("00"&amp;VALUE(LEFT(Sync!$Q1847,FIND(":",Sync!$Q1847)-1)),2)&amp;RIGHT("00"&amp;VALUE(MID(Sync!$Q1847,FIND(":",Sync!$Q1847)+1,2)),2),"0000"))))</f>
        <v/>
      </c>
      <c r="AK1847">
        <f>IF(OR($AE1847="",$AI1847="",$AI1847="نامعتبر"),"",LEFT($AI1847,4)&amp;MID($AI1847,6,2)&amp;RIGHT($AI1847,2)&amp;$AJ1847&amp;"|"&amp;"3"&amp;RIGHT("00000"&amp;1842,5))</f>
        <v/>
      </c>
      <c r="AL1847">
        <f>IF($AK1847="","",COUNTIFS(LdAParty,$AE1847,LdAType,1,LdAKey,"&lt;"&amp;$AK1847)+COUNTIFS(LdBMember,$AE1847,LdBKey,"&lt;"&amp;$AK1847)+COUNTIFS(LdCParty,$AE1847,LdCKey,"&lt;"&amp;$AK1847)+1)</f>
        <v/>
      </c>
      <c r="AM1847">
        <f>IF($AL1847="","",$AE1847&amp;"|"&amp;RIGHT("000000"&amp;$AL1847,6))</f>
        <v/>
      </c>
      <c r="AN1847">
        <f>IF($AE1847="","",IF(Sync!$W1847="",0,Sync!$W1847))</f>
        <v/>
      </c>
      <c r="AO1847">
        <f>IF($AE1847="","",IF(Sync!$X1847="",0,Sync!$X1847))</f>
        <v/>
      </c>
      <c r="AP1847">
        <f>IF($AE1847="","",Sync!$R1847)</f>
        <v/>
      </c>
      <c r="AQ1847">
        <f>IF($AE1847="","",Sync!$Y1847)</f>
        <v/>
      </c>
    </row>
    <row r="1848">
      <c r="A1848">
        <f>IF(OR(Wages!$B1851="",Wages!$E1851=""),"",Wages!$E1851)</f>
        <v/>
      </c>
      <c r="B1848">
        <f>IF($A1848="","",IF(Wages!$C1851="دستمزد گروهی",2,1))</f>
        <v/>
      </c>
      <c r="C1848">
        <f>IF($A1848="","",IF(ISNUMBER(Wages!$B1851),IF(AND(Wages!$B1851&gt;=10000101,Wages!$B1851&lt;=99991231),INT(Wages!$B1851/10000),""),IFERROR(VALUE(TRIM(LEFT(Wages!$B1851,FIND("/",Wages!$B1851)-1))),"")))</f>
        <v/>
      </c>
      <c r="D1848">
        <f>IF(OR($A1848="",$C1848=""),"",IF(ISNUMBER(Wages!$B1851),INT(MOD(Wages!$B1851,10000)/100),IFERROR(VALUE(TRIM(LEFT(MID(Wages!$B1851,FIND("/",Wages!$B1851)+1,20),FIND("/",MID(Wages!$B1851,FIND("/",Wages!$B1851)+1,20))-1))),"")))</f>
        <v/>
      </c>
      <c r="E1848">
        <f>IF(OR($A1848="",$C1848=""),"",IF(ISNUMBER(Wages!$B1851),MOD(Wages!$B1851,100),IFERROR(VALUE(TRIM(MID(MID(Wages!$B1851,FIND("/",Wages!$B1851)+1,20),FIND("/",MID(Wages!$B1851,FIND("/",Wages!$B1851)+1,20))+1,20))),"")))</f>
        <v/>
      </c>
      <c r="F1848">
        <f>IF($A1848="","",IF(OR($C1848="",$D1848="",$E1848="",$C1848&lt;1300,$C1848&gt;1500,$D1848&lt;1,$D1848&gt;12,$E1848&lt;1,$E1848&gt;31),"نامعتبر",RIGHT("0000"&amp;$C1848,4)&amp;"/"&amp;RIGHT("00"&amp;$D1848,2)&amp;"/"&amp;RIGHT("00"&amp;$E1848,2)))</f>
        <v/>
      </c>
      <c r="G1848">
        <f>IF(OR($A1848="",$F1848="",$F1848="نامعتبر"),"",LEFT($F1848,4)&amp;MID($F1848,6,2)&amp;RIGHT($F1848,2)&amp;"0000"&amp;"|"&amp;"1"&amp;RIGHT("00000"&amp;1843,5))</f>
        <v/>
      </c>
      <c r="H1848">
        <f>IF(OR($B1848&lt;&gt;1,$G1848=""),"",COUNTIFS(LdAParty,$A1848,LdAType,1,LdAKey,"&lt;"&amp;$G1848)+COUNTIFS(LdBMember,$A1848,LdBKey,"&lt;"&amp;$G1848)+COUNTIFS(LdCParty,$A1848,LdCKey,"&lt;"&amp;$G1848)+1)</f>
        <v/>
      </c>
      <c r="I1848">
        <f>IF($H1848="","",$A1848&amp;"|"&amp;RIGHT("000000"&amp;$H1848,6))</f>
        <v/>
      </c>
      <c r="J1848">
        <f>IF(OR($B1848&lt;&gt;2,$G1848=""),"",COUNTIFS(LdAParty,$A1848,LdAType,2,LdAKey,"&lt;"&amp;$G1848)+1)</f>
        <v/>
      </c>
      <c r="K1848">
        <f>IF($J1848="","",$A1848&amp;"|"&amp;RIGHT("000000"&amp;$J1848,6))</f>
        <v/>
      </c>
      <c r="L1848">
        <f>IF($A1848="","",IF(Wages!$G1851="",0,Wages!$G1851))</f>
        <v/>
      </c>
      <c r="M1848">
        <f>IF($A1848="","",Wages!$J1851)</f>
        <v/>
      </c>
      <c r="N1848">
        <f>IF($A1848="","",Wages!$D1851)</f>
        <v/>
      </c>
      <c r="P1848">
        <f>IF(OR(Shares!$B1851="",Shares!$C1851=""),"",Shares!$C1851)</f>
        <v/>
      </c>
      <c r="Q1848">
        <f>IF($P1848="","",Shares!$B1851)</f>
        <v/>
      </c>
      <c r="R1848">
        <f>IF($P1848="","",IFERROR(INDEX(WageParty,MATCH($Q1848,WageIds,0)),""))</f>
        <v/>
      </c>
      <c r="S1848">
        <f>IF($P1848="","",IFERROR(INDEX($F$6:$F$2005,MATCH($Q1848,WageIds,0)),""))</f>
        <v/>
      </c>
      <c r="T1848">
        <f>IF(OR($P1848="",$S1848="",$S1848="نامعتبر"),"",LEFT($S1848,4)&amp;MID($S1848,6,2)&amp;RIGHT($S1848,2)&amp;"0000"&amp;"|"&amp;"2"&amp;RIGHT("00000"&amp;1843,5))</f>
        <v/>
      </c>
      <c r="U1848">
        <f>IF($T1848="","",COUNTIFS(LdAParty,$P1848,LdAType,1,LdAKey,"&lt;"&amp;$T1848)+COUNTIFS(LdBMember,$P1848,LdBKey,"&lt;"&amp;$T1848)+COUNTIFS(LdCParty,$P1848,LdCKey,"&lt;"&amp;$T1848)+1)</f>
        <v/>
      </c>
      <c r="V1848">
        <f>IF($U1848="","",$P1848&amp;"|"&amp;RIGHT("000000"&amp;$U1848,6))</f>
        <v/>
      </c>
      <c r="W1848">
        <f>IF($T1848="","",COUNTIFS(LdBGroup,$R1848,LdBKey,"&lt;"&amp;$T1848)+1)</f>
        <v/>
      </c>
      <c r="X1848">
        <f>IF($W1848="","",$R1848&amp;"|"&amp;RIGHT("000000"&amp;$W1848,6))</f>
        <v/>
      </c>
      <c r="Y1848">
        <f>IF($P1848="","",IF(Shares!$E1851="",0,Shares!$E1851))</f>
        <v/>
      </c>
      <c r="Z1848">
        <f>IF($P1848="","",Shares!$H1851)</f>
        <v/>
      </c>
      <c r="AE1848">
        <f>IF(OR(Sync!$S1848="",Sync!$P1848=""),"",Sync!$S1848)</f>
        <v/>
      </c>
      <c r="AF1848">
        <f>IF($AE1848="","",IF(ISNUMBER(Sync!$P1848),IF(AND(Sync!$P1848&gt;=10000101,Sync!$P1848&lt;=99991231),INT(Sync!$P1848/10000),""),IFERROR(VALUE(TRIM(LEFT(Sync!$P1848,FIND("/",Sync!$P1848)-1))),"")))</f>
        <v/>
      </c>
      <c r="AG1848">
        <f>IF(OR($AE1848="",$AF1848=""),"",IF(ISNUMBER(Sync!$P1848),INT(MOD(Sync!$P1848,10000)/100),IFERROR(VALUE(TRIM(LEFT(MID(Sync!$P1848,FIND("/",Sync!$P1848)+1,20),FIND("/",MID(Sync!$P1848,FIND("/",Sync!$P1848)+1,20))-1))),"")))</f>
        <v/>
      </c>
      <c r="AH1848">
        <f>IF(OR($AE1848="",$AF1848=""),"",IF(ISNUMBER(Sync!$P1848),MOD(Sync!$P1848,100),IFERROR(VALUE(TRIM(MID(MID(Sync!$P1848,FIND("/",Sync!$P1848)+1,20),FIND("/",MID(Sync!$P1848,FIND("/",Sync!$P1848)+1,20))+1,20))),"")))</f>
        <v/>
      </c>
      <c r="AI1848">
        <f>IF($AE1848="","",IF(OR($AF1848="",$AG1848="",$AH1848="",$AF1848&lt;1300,$AF1848&gt;1500,$AG1848&lt;1,$AG1848&gt;12,$AH1848&lt;1,$AH1848&gt;31),"نامعتبر",RIGHT("0000"&amp;$AF1848,4)&amp;"/"&amp;RIGHT("00"&amp;$AG1848,2)&amp;"/"&amp;RIGHT("00"&amp;$AH1848,2)))</f>
        <v/>
      </c>
      <c r="AJ1848">
        <f>IF($AE1848="","",IF(Sync!$Q1848="","0000",IF(AND(ISNUMBER(Sync!$Q1848),Sync!$Q1848&gt;=0,Sync!$Q1848&lt;1),RIGHT("00"&amp;HOUR(Sync!$Q1848),2)&amp;RIGHT("00"&amp;MINUTE(Sync!$Q1848),2),IFERROR(RIGHT("00"&amp;VALUE(LEFT(Sync!$Q1848,FIND(":",Sync!$Q1848)-1)),2)&amp;RIGHT("00"&amp;VALUE(MID(Sync!$Q1848,FIND(":",Sync!$Q1848)+1,2)),2),"0000"))))</f>
        <v/>
      </c>
      <c r="AK1848">
        <f>IF(OR($AE1848="",$AI1848="",$AI1848="نامعتبر"),"",LEFT($AI1848,4)&amp;MID($AI1848,6,2)&amp;RIGHT($AI1848,2)&amp;$AJ1848&amp;"|"&amp;"3"&amp;RIGHT("00000"&amp;1843,5))</f>
        <v/>
      </c>
      <c r="AL1848">
        <f>IF($AK1848="","",COUNTIFS(LdAParty,$AE1848,LdAType,1,LdAKey,"&lt;"&amp;$AK1848)+COUNTIFS(LdBMember,$AE1848,LdBKey,"&lt;"&amp;$AK1848)+COUNTIFS(LdCParty,$AE1848,LdCKey,"&lt;"&amp;$AK1848)+1)</f>
        <v/>
      </c>
      <c r="AM1848">
        <f>IF($AL1848="","",$AE1848&amp;"|"&amp;RIGHT("000000"&amp;$AL1848,6))</f>
        <v/>
      </c>
      <c r="AN1848">
        <f>IF($AE1848="","",IF(Sync!$W1848="",0,Sync!$W1848))</f>
        <v/>
      </c>
      <c r="AO1848">
        <f>IF($AE1848="","",IF(Sync!$X1848="",0,Sync!$X1848))</f>
        <v/>
      </c>
      <c r="AP1848">
        <f>IF($AE1848="","",Sync!$R1848)</f>
        <v/>
      </c>
      <c r="AQ1848">
        <f>IF($AE1848="","",Sync!$Y1848)</f>
        <v/>
      </c>
    </row>
    <row r="1849">
      <c r="A1849">
        <f>IF(OR(Wages!$B1852="",Wages!$E1852=""),"",Wages!$E1852)</f>
        <v/>
      </c>
      <c r="B1849">
        <f>IF($A1849="","",IF(Wages!$C1852="دستمزد گروهی",2,1))</f>
        <v/>
      </c>
      <c r="C1849">
        <f>IF($A1849="","",IF(ISNUMBER(Wages!$B1852),IF(AND(Wages!$B1852&gt;=10000101,Wages!$B1852&lt;=99991231),INT(Wages!$B1852/10000),""),IFERROR(VALUE(TRIM(LEFT(Wages!$B1852,FIND("/",Wages!$B1852)-1))),"")))</f>
        <v/>
      </c>
      <c r="D1849">
        <f>IF(OR($A1849="",$C1849=""),"",IF(ISNUMBER(Wages!$B1852),INT(MOD(Wages!$B1852,10000)/100),IFERROR(VALUE(TRIM(LEFT(MID(Wages!$B1852,FIND("/",Wages!$B1852)+1,20),FIND("/",MID(Wages!$B1852,FIND("/",Wages!$B1852)+1,20))-1))),"")))</f>
        <v/>
      </c>
      <c r="E1849">
        <f>IF(OR($A1849="",$C1849=""),"",IF(ISNUMBER(Wages!$B1852),MOD(Wages!$B1852,100),IFERROR(VALUE(TRIM(MID(MID(Wages!$B1852,FIND("/",Wages!$B1852)+1,20),FIND("/",MID(Wages!$B1852,FIND("/",Wages!$B1852)+1,20))+1,20))),"")))</f>
        <v/>
      </c>
      <c r="F1849">
        <f>IF($A1849="","",IF(OR($C1849="",$D1849="",$E1849="",$C1849&lt;1300,$C1849&gt;1500,$D1849&lt;1,$D1849&gt;12,$E1849&lt;1,$E1849&gt;31),"نامعتبر",RIGHT("0000"&amp;$C1849,4)&amp;"/"&amp;RIGHT("00"&amp;$D1849,2)&amp;"/"&amp;RIGHT("00"&amp;$E1849,2)))</f>
        <v/>
      </c>
      <c r="G1849">
        <f>IF(OR($A1849="",$F1849="",$F1849="نامعتبر"),"",LEFT($F1849,4)&amp;MID($F1849,6,2)&amp;RIGHT($F1849,2)&amp;"0000"&amp;"|"&amp;"1"&amp;RIGHT("00000"&amp;1844,5))</f>
        <v/>
      </c>
      <c r="H1849">
        <f>IF(OR($B1849&lt;&gt;1,$G1849=""),"",COUNTIFS(LdAParty,$A1849,LdAType,1,LdAKey,"&lt;"&amp;$G1849)+COUNTIFS(LdBMember,$A1849,LdBKey,"&lt;"&amp;$G1849)+COUNTIFS(LdCParty,$A1849,LdCKey,"&lt;"&amp;$G1849)+1)</f>
        <v/>
      </c>
      <c r="I1849">
        <f>IF($H1849="","",$A1849&amp;"|"&amp;RIGHT("000000"&amp;$H1849,6))</f>
        <v/>
      </c>
      <c r="J1849">
        <f>IF(OR($B1849&lt;&gt;2,$G1849=""),"",COUNTIFS(LdAParty,$A1849,LdAType,2,LdAKey,"&lt;"&amp;$G1849)+1)</f>
        <v/>
      </c>
      <c r="K1849">
        <f>IF($J1849="","",$A1849&amp;"|"&amp;RIGHT("000000"&amp;$J1849,6))</f>
        <v/>
      </c>
      <c r="L1849">
        <f>IF($A1849="","",IF(Wages!$G1852="",0,Wages!$G1852))</f>
        <v/>
      </c>
      <c r="M1849">
        <f>IF($A1849="","",Wages!$J1852)</f>
        <v/>
      </c>
      <c r="N1849">
        <f>IF($A1849="","",Wages!$D1852)</f>
        <v/>
      </c>
      <c r="P1849">
        <f>IF(OR(Shares!$B1852="",Shares!$C1852=""),"",Shares!$C1852)</f>
        <v/>
      </c>
      <c r="Q1849">
        <f>IF($P1849="","",Shares!$B1852)</f>
        <v/>
      </c>
      <c r="R1849">
        <f>IF($P1849="","",IFERROR(INDEX(WageParty,MATCH($Q1849,WageIds,0)),""))</f>
        <v/>
      </c>
      <c r="S1849">
        <f>IF($P1849="","",IFERROR(INDEX($F$6:$F$2005,MATCH($Q1849,WageIds,0)),""))</f>
        <v/>
      </c>
      <c r="T1849">
        <f>IF(OR($P1849="",$S1849="",$S1849="نامعتبر"),"",LEFT($S1849,4)&amp;MID($S1849,6,2)&amp;RIGHT($S1849,2)&amp;"0000"&amp;"|"&amp;"2"&amp;RIGHT("00000"&amp;1844,5))</f>
        <v/>
      </c>
      <c r="U1849">
        <f>IF($T1849="","",COUNTIFS(LdAParty,$P1849,LdAType,1,LdAKey,"&lt;"&amp;$T1849)+COUNTIFS(LdBMember,$P1849,LdBKey,"&lt;"&amp;$T1849)+COUNTIFS(LdCParty,$P1849,LdCKey,"&lt;"&amp;$T1849)+1)</f>
        <v/>
      </c>
      <c r="V1849">
        <f>IF($U1849="","",$P1849&amp;"|"&amp;RIGHT("000000"&amp;$U1849,6))</f>
        <v/>
      </c>
      <c r="W1849">
        <f>IF($T1849="","",COUNTIFS(LdBGroup,$R1849,LdBKey,"&lt;"&amp;$T1849)+1)</f>
        <v/>
      </c>
      <c r="X1849">
        <f>IF($W1849="","",$R1849&amp;"|"&amp;RIGHT("000000"&amp;$W1849,6))</f>
        <v/>
      </c>
      <c r="Y1849">
        <f>IF($P1849="","",IF(Shares!$E1852="",0,Shares!$E1852))</f>
        <v/>
      </c>
      <c r="Z1849">
        <f>IF($P1849="","",Shares!$H1852)</f>
        <v/>
      </c>
      <c r="AE1849">
        <f>IF(OR(Sync!$S1849="",Sync!$P1849=""),"",Sync!$S1849)</f>
        <v/>
      </c>
      <c r="AF1849">
        <f>IF($AE1849="","",IF(ISNUMBER(Sync!$P1849),IF(AND(Sync!$P1849&gt;=10000101,Sync!$P1849&lt;=99991231),INT(Sync!$P1849/10000),""),IFERROR(VALUE(TRIM(LEFT(Sync!$P1849,FIND("/",Sync!$P1849)-1))),"")))</f>
        <v/>
      </c>
      <c r="AG1849">
        <f>IF(OR($AE1849="",$AF1849=""),"",IF(ISNUMBER(Sync!$P1849),INT(MOD(Sync!$P1849,10000)/100),IFERROR(VALUE(TRIM(LEFT(MID(Sync!$P1849,FIND("/",Sync!$P1849)+1,20),FIND("/",MID(Sync!$P1849,FIND("/",Sync!$P1849)+1,20))-1))),"")))</f>
        <v/>
      </c>
      <c r="AH1849">
        <f>IF(OR($AE1849="",$AF1849=""),"",IF(ISNUMBER(Sync!$P1849),MOD(Sync!$P1849,100),IFERROR(VALUE(TRIM(MID(MID(Sync!$P1849,FIND("/",Sync!$P1849)+1,20),FIND("/",MID(Sync!$P1849,FIND("/",Sync!$P1849)+1,20))+1,20))),"")))</f>
        <v/>
      </c>
      <c r="AI1849">
        <f>IF($AE1849="","",IF(OR($AF1849="",$AG1849="",$AH1849="",$AF1849&lt;1300,$AF1849&gt;1500,$AG1849&lt;1,$AG1849&gt;12,$AH1849&lt;1,$AH1849&gt;31),"نامعتبر",RIGHT("0000"&amp;$AF1849,4)&amp;"/"&amp;RIGHT("00"&amp;$AG1849,2)&amp;"/"&amp;RIGHT("00"&amp;$AH1849,2)))</f>
        <v/>
      </c>
      <c r="AJ1849">
        <f>IF($AE1849="","",IF(Sync!$Q1849="","0000",IF(AND(ISNUMBER(Sync!$Q1849),Sync!$Q1849&gt;=0,Sync!$Q1849&lt;1),RIGHT("00"&amp;HOUR(Sync!$Q1849),2)&amp;RIGHT("00"&amp;MINUTE(Sync!$Q1849),2),IFERROR(RIGHT("00"&amp;VALUE(LEFT(Sync!$Q1849,FIND(":",Sync!$Q1849)-1)),2)&amp;RIGHT("00"&amp;VALUE(MID(Sync!$Q1849,FIND(":",Sync!$Q1849)+1,2)),2),"0000"))))</f>
        <v/>
      </c>
      <c r="AK1849">
        <f>IF(OR($AE1849="",$AI1849="",$AI1849="نامعتبر"),"",LEFT($AI1849,4)&amp;MID($AI1849,6,2)&amp;RIGHT($AI1849,2)&amp;$AJ1849&amp;"|"&amp;"3"&amp;RIGHT("00000"&amp;1844,5))</f>
        <v/>
      </c>
      <c r="AL1849">
        <f>IF($AK1849="","",COUNTIFS(LdAParty,$AE1849,LdAType,1,LdAKey,"&lt;"&amp;$AK1849)+COUNTIFS(LdBMember,$AE1849,LdBKey,"&lt;"&amp;$AK1849)+COUNTIFS(LdCParty,$AE1849,LdCKey,"&lt;"&amp;$AK1849)+1)</f>
        <v/>
      </c>
      <c r="AM1849">
        <f>IF($AL1849="","",$AE1849&amp;"|"&amp;RIGHT("000000"&amp;$AL1849,6))</f>
        <v/>
      </c>
      <c r="AN1849">
        <f>IF($AE1849="","",IF(Sync!$W1849="",0,Sync!$W1849))</f>
        <v/>
      </c>
      <c r="AO1849">
        <f>IF($AE1849="","",IF(Sync!$X1849="",0,Sync!$X1849))</f>
        <v/>
      </c>
      <c r="AP1849">
        <f>IF($AE1849="","",Sync!$R1849)</f>
        <v/>
      </c>
      <c r="AQ1849">
        <f>IF($AE1849="","",Sync!$Y1849)</f>
        <v/>
      </c>
    </row>
    <row r="1850">
      <c r="A1850">
        <f>IF(OR(Wages!$B1853="",Wages!$E1853=""),"",Wages!$E1853)</f>
        <v/>
      </c>
      <c r="B1850">
        <f>IF($A1850="","",IF(Wages!$C1853="دستمزد گروهی",2,1))</f>
        <v/>
      </c>
      <c r="C1850">
        <f>IF($A1850="","",IF(ISNUMBER(Wages!$B1853),IF(AND(Wages!$B1853&gt;=10000101,Wages!$B1853&lt;=99991231),INT(Wages!$B1853/10000),""),IFERROR(VALUE(TRIM(LEFT(Wages!$B1853,FIND("/",Wages!$B1853)-1))),"")))</f>
        <v/>
      </c>
      <c r="D1850">
        <f>IF(OR($A1850="",$C1850=""),"",IF(ISNUMBER(Wages!$B1853),INT(MOD(Wages!$B1853,10000)/100),IFERROR(VALUE(TRIM(LEFT(MID(Wages!$B1853,FIND("/",Wages!$B1853)+1,20),FIND("/",MID(Wages!$B1853,FIND("/",Wages!$B1853)+1,20))-1))),"")))</f>
        <v/>
      </c>
      <c r="E1850">
        <f>IF(OR($A1850="",$C1850=""),"",IF(ISNUMBER(Wages!$B1853),MOD(Wages!$B1853,100),IFERROR(VALUE(TRIM(MID(MID(Wages!$B1853,FIND("/",Wages!$B1853)+1,20),FIND("/",MID(Wages!$B1853,FIND("/",Wages!$B1853)+1,20))+1,20))),"")))</f>
        <v/>
      </c>
      <c r="F1850">
        <f>IF($A1850="","",IF(OR($C1850="",$D1850="",$E1850="",$C1850&lt;1300,$C1850&gt;1500,$D1850&lt;1,$D1850&gt;12,$E1850&lt;1,$E1850&gt;31),"نامعتبر",RIGHT("0000"&amp;$C1850,4)&amp;"/"&amp;RIGHT("00"&amp;$D1850,2)&amp;"/"&amp;RIGHT("00"&amp;$E1850,2)))</f>
        <v/>
      </c>
      <c r="G1850">
        <f>IF(OR($A1850="",$F1850="",$F1850="نامعتبر"),"",LEFT($F1850,4)&amp;MID($F1850,6,2)&amp;RIGHT($F1850,2)&amp;"0000"&amp;"|"&amp;"1"&amp;RIGHT("00000"&amp;1845,5))</f>
        <v/>
      </c>
      <c r="H1850">
        <f>IF(OR($B1850&lt;&gt;1,$G1850=""),"",COUNTIFS(LdAParty,$A1850,LdAType,1,LdAKey,"&lt;"&amp;$G1850)+COUNTIFS(LdBMember,$A1850,LdBKey,"&lt;"&amp;$G1850)+COUNTIFS(LdCParty,$A1850,LdCKey,"&lt;"&amp;$G1850)+1)</f>
        <v/>
      </c>
      <c r="I1850">
        <f>IF($H1850="","",$A1850&amp;"|"&amp;RIGHT("000000"&amp;$H1850,6))</f>
        <v/>
      </c>
      <c r="J1850">
        <f>IF(OR($B1850&lt;&gt;2,$G1850=""),"",COUNTIFS(LdAParty,$A1850,LdAType,2,LdAKey,"&lt;"&amp;$G1850)+1)</f>
        <v/>
      </c>
      <c r="K1850">
        <f>IF($J1850="","",$A1850&amp;"|"&amp;RIGHT("000000"&amp;$J1850,6))</f>
        <v/>
      </c>
      <c r="L1850">
        <f>IF($A1850="","",IF(Wages!$G1853="",0,Wages!$G1853))</f>
        <v/>
      </c>
      <c r="M1850">
        <f>IF($A1850="","",Wages!$J1853)</f>
        <v/>
      </c>
      <c r="N1850">
        <f>IF($A1850="","",Wages!$D1853)</f>
        <v/>
      </c>
      <c r="P1850">
        <f>IF(OR(Shares!$B1853="",Shares!$C1853=""),"",Shares!$C1853)</f>
        <v/>
      </c>
      <c r="Q1850">
        <f>IF($P1850="","",Shares!$B1853)</f>
        <v/>
      </c>
      <c r="R1850">
        <f>IF($P1850="","",IFERROR(INDEX(WageParty,MATCH($Q1850,WageIds,0)),""))</f>
        <v/>
      </c>
      <c r="S1850">
        <f>IF($P1850="","",IFERROR(INDEX($F$6:$F$2005,MATCH($Q1850,WageIds,0)),""))</f>
        <v/>
      </c>
      <c r="T1850">
        <f>IF(OR($P1850="",$S1850="",$S1850="نامعتبر"),"",LEFT($S1850,4)&amp;MID($S1850,6,2)&amp;RIGHT($S1850,2)&amp;"0000"&amp;"|"&amp;"2"&amp;RIGHT("00000"&amp;1845,5))</f>
        <v/>
      </c>
      <c r="U1850">
        <f>IF($T1850="","",COUNTIFS(LdAParty,$P1850,LdAType,1,LdAKey,"&lt;"&amp;$T1850)+COUNTIFS(LdBMember,$P1850,LdBKey,"&lt;"&amp;$T1850)+COUNTIFS(LdCParty,$P1850,LdCKey,"&lt;"&amp;$T1850)+1)</f>
        <v/>
      </c>
      <c r="V1850">
        <f>IF($U1850="","",$P1850&amp;"|"&amp;RIGHT("000000"&amp;$U1850,6))</f>
        <v/>
      </c>
      <c r="W1850">
        <f>IF($T1850="","",COUNTIFS(LdBGroup,$R1850,LdBKey,"&lt;"&amp;$T1850)+1)</f>
        <v/>
      </c>
      <c r="X1850">
        <f>IF($W1850="","",$R1850&amp;"|"&amp;RIGHT("000000"&amp;$W1850,6))</f>
        <v/>
      </c>
      <c r="Y1850">
        <f>IF($P1850="","",IF(Shares!$E1853="",0,Shares!$E1853))</f>
        <v/>
      </c>
      <c r="Z1850">
        <f>IF($P1850="","",Shares!$H1853)</f>
        <v/>
      </c>
      <c r="AE1850">
        <f>IF(OR(Sync!$S1850="",Sync!$P1850=""),"",Sync!$S1850)</f>
        <v/>
      </c>
      <c r="AF1850">
        <f>IF($AE1850="","",IF(ISNUMBER(Sync!$P1850),IF(AND(Sync!$P1850&gt;=10000101,Sync!$P1850&lt;=99991231),INT(Sync!$P1850/10000),""),IFERROR(VALUE(TRIM(LEFT(Sync!$P1850,FIND("/",Sync!$P1850)-1))),"")))</f>
        <v/>
      </c>
      <c r="AG1850">
        <f>IF(OR($AE1850="",$AF1850=""),"",IF(ISNUMBER(Sync!$P1850),INT(MOD(Sync!$P1850,10000)/100),IFERROR(VALUE(TRIM(LEFT(MID(Sync!$P1850,FIND("/",Sync!$P1850)+1,20),FIND("/",MID(Sync!$P1850,FIND("/",Sync!$P1850)+1,20))-1))),"")))</f>
        <v/>
      </c>
      <c r="AH1850">
        <f>IF(OR($AE1850="",$AF1850=""),"",IF(ISNUMBER(Sync!$P1850),MOD(Sync!$P1850,100),IFERROR(VALUE(TRIM(MID(MID(Sync!$P1850,FIND("/",Sync!$P1850)+1,20),FIND("/",MID(Sync!$P1850,FIND("/",Sync!$P1850)+1,20))+1,20))),"")))</f>
        <v/>
      </c>
      <c r="AI1850">
        <f>IF($AE1850="","",IF(OR($AF1850="",$AG1850="",$AH1850="",$AF1850&lt;1300,$AF1850&gt;1500,$AG1850&lt;1,$AG1850&gt;12,$AH1850&lt;1,$AH1850&gt;31),"نامعتبر",RIGHT("0000"&amp;$AF1850,4)&amp;"/"&amp;RIGHT("00"&amp;$AG1850,2)&amp;"/"&amp;RIGHT("00"&amp;$AH1850,2)))</f>
        <v/>
      </c>
      <c r="AJ1850">
        <f>IF($AE1850="","",IF(Sync!$Q1850="","0000",IF(AND(ISNUMBER(Sync!$Q1850),Sync!$Q1850&gt;=0,Sync!$Q1850&lt;1),RIGHT("00"&amp;HOUR(Sync!$Q1850),2)&amp;RIGHT("00"&amp;MINUTE(Sync!$Q1850),2),IFERROR(RIGHT("00"&amp;VALUE(LEFT(Sync!$Q1850,FIND(":",Sync!$Q1850)-1)),2)&amp;RIGHT("00"&amp;VALUE(MID(Sync!$Q1850,FIND(":",Sync!$Q1850)+1,2)),2),"0000"))))</f>
        <v/>
      </c>
      <c r="AK1850">
        <f>IF(OR($AE1850="",$AI1850="",$AI1850="نامعتبر"),"",LEFT($AI1850,4)&amp;MID($AI1850,6,2)&amp;RIGHT($AI1850,2)&amp;$AJ1850&amp;"|"&amp;"3"&amp;RIGHT("00000"&amp;1845,5))</f>
        <v/>
      </c>
      <c r="AL1850">
        <f>IF($AK1850="","",COUNTIFS(LdAParty,$AE1850,LdAType,1,LdAKey,"&lt;"&amp;$AK1850)+COUNTIFS(LdBMember,$AE1850,LdBKey,"&lt;"&amp;$AK1850)+COUNTIFS(LdCParty,$AE1850,LdCKey,"&lt;"&amp;$AK1850)+1)</f>
        <v/>
      </c>
      <c r="AM1850">
        <f>IF($AL1850="","",$AE1850&amp;"|"&amp;RIGHT("000000"&amp;$AL1850,6))</f>
        <v/>
      </c>
      <c r="AN1850">
        <f>IF($AE1850="","",IF(Sync!$W1850="",0,Sync!$W1850))</f>
        <v/>
      </c>
      <c r="AO1850">
        <f>IF($AE1850="","",IF(Sync!$X1850="",0,Sync!$X1850))</f>
        <v/>
      </c>
      <c r="AP1850">
        <f>IF($AE1850="","",Sync!$R1850)</f>
        <v/>
      </c>
      <c r="AQ1850">
        <f>IF($AE1850="","",Sync!$Y1850)</f>
        <v/>
      </c>
    </row>
    <row r="1851">
      <c r="A1851">
        <f>IF(OR(Wages!$B1854="",Wages!$E1854=""),"",Wages!$E1854)</f>
        <v/>
      </c>
      <c r="B1851">
        <f>IF($A1851="","",IF(Wages!$C1854="دستمزد گروهی",2,1))</f>
        <v/>
      </c>
      <c r="C1851">
        <f>IF($A1851="","",IF(ISNUMBER(Wages!$B1854),IF(AND(Wages!$B1854&gt;=10000101,Wages!$B1854&lt;=99991231),INT(Wages!$B1854/10000),""),IFERROR(VALUE(TRIM(LEFT(Wages!$B1854,FIND("/",Wages!$B1854)-1))),"")))</f>
        <v/>
      </c>
      <c r="D1851">
        <f>IF(OR($A1851="",$C1851=""),"",IF(ISNUMBER(Wages!$B1854),INT(MOD(Wages!$B1854,10000)/100),IFERROR(VALUE(TRIM(LEFT(MID(Wages!$B1854,FIND("/",Wages!$B1854)+1,20),FIND("/",MID(Wages!$B1854,FIND("/",Wages!$B1854)+1,20))-1))),"")))</f>
        <v/>
      </c>
      <c r="E1851">
        <f>IF(OR($A1851="",$C1851=""),"",IF(ISNUMBER(Wages!$B1854),MOD(Wages!$B1854,100),IFERROR(VALUE(TRIM(MID(MID(Wages!$B1854,FIND("/",Wages!$B1854)+1,20),FIND("/",MID(Wages!$B1854,FIND("/",Wages!$B1854)+1,20))+1,20))),"")))</f>
        <v/>
      </c>
      <c r="F1851">
        <f>IF($A1851="","",IF(OR($C1851="",$D1851="",$E1851="",$C1851&lt;1300,$C1851&gt;1500,$D1851&lt;1,$D1851&gt;12,$E1851&lt;1,$E1851&gt;31),"نامعتبر",RIGHT("0000"&amp;$C1851,4)&amp;"/"&amp;RIGHT("00"&amp;$D1851,2)&amp;"/"&amp;RIGHT("00"&amp;$E1851,2)))</f>
        <v/>
      </c>
      <c r="G1851">
        <f>IF(OR($A1851="",$F1851="",$F1851="نامعتبر"),"",LEFT($F1851,4)&amp;MID($F1851,6,2)&amp;RIGHT($F1851,2)&amp;"0000"&amp;"|"&amp;"1"&amp;RIGHT("00000"&amp;1846,5))</f>
        <v/>
      </c>
      <c r="H1851">
        <f>IF(OR($B1851&lt;&gt;1,$G1851=""),"",COUNTIFS(LdAParty,$A1851,LdAType,1,LdAKey,"&lt;"&amp;$G1851)+COUNTIFS(LdBMember,$A1851,LdBKey,"&lt;"&amp;$G1851)+COUNTIFS(LdCParty,$A1851,LdCKey,"&lt;"&amp;$G1851)+1)</f>
        <v/>
      </c>
      <c r="I1851">
        <f>IF($H1851="","",$A1851&amp;"|"&amp;RIGHT("000000"&amp;$H1851,6))</f>
        <v/>
      </c>
      <c r="J1851">
        <f>IF(OR($B1851&lt;&gt;2,$G1851=""),"",COUNTIFS(LdAParty,$A1851,LdAType,2,LdAKey,"&lt;"&amp;$G1851)+1)</f>
        <v/>
      </c>
      <c r="K1851">
        <f>IF($J1851="","",$A1851&amp;"|"&amp;RIGHT("000000"&amp;$J1851,6))</f>
        <v/>
      </c>
      <c r="L1851">
        <f>IF($A1851="","",IF(Wages!$G1854="",0,Wages!$G1854))</f>
        <v/>
      </c>
      <c r="M1851">
        <f>IF($A1851="","",Wages!$J1854)</f>
        <v/>
      </c>
      <c r="N1851">
        <f>IF($A1851="","",Wages!$D1854)</f>
        <v/>
      </c>
      <c r="P1851">
        <f>IF(OR(Shares!$B1854="",Shares!$C1854=""),"",Shares!$C1854)</f>
        <v/>
      </c>
      <c r="Q1851">
        <f>IF($P1851="","",Shares!$B1854)</f>
        <v/>
      </c>
      <c r="R1851">
        <f>IF($P1851="","",IFERROR(INDEX(WageParty,MATCH($Q1851,WageIds,0)),""))</f>
        <v/>
      </c>
      <c r="S1851">
        <f>IF($P1851="","",IFERROR(INDEX($F$6:$F$2005,MATCH($Q1851,WageIds,0)),""))</f>
        <v/>
      </c>
      <c r="T1851">
        <f>IF(OR($P1851="",$S1851="",$S1851="نامعتبر"),"",LEFT($S1851,4)&amp;MID($S1851,6,2)&amp;RIGHT($S1851,2)&amp;"0000"&amp;"|"&amp;"2"&amp;RIGHT("00000"&amp;1846,5))</f>
        <v/>
      </c>
      <c r="U1851">
        <f>IF($T1851="","",COUNTIFS(LdAParty,$P1851,LdAType,1,LdAKey,"&lt;"&amp;$T1851)+COUNTIFS(LdBMember,$P1851,LdBKey,"&lt;"&amp;$T1851)+COUNTIFS(LdCParty,$P1851,LdCKey,"&lt;"&amp;$T1851)+1)</f>
        <v/>
      </c>
      <c r="V1851">
        <f>IF($U1851="","",$P1851&amp;"|"&amp;RIGHT("000000"&amp;$U1851,6))</f>
        <v/>
      </c>
      <c r="W1851">
        <f>IF($T1851="","",COUNTIFS(LdBGroup,$R1851,LdBKey,"&lt;"&amp;$T1851)+1)</f>
        <v/>
      </c>
      <c r="X1851">
        <f>IF($W1851="","",$R1851&amp;"|"&amp;RIGHT("000000"&amp;$W1851,6))</f>
        <v/>
      </c>
      <c r="Y1851">
        <f>IF($P1851="","",IF(Shares!$E1854="",0,Shares!$E1854))</f>
        <v/>
      </c>
      <c r="Z1851">
        <f>IF($P1851="","",Shares!$H1854)</f>
        <v/>
      </c>
      <c r="AE1851">
        <f>IF(OR(Sync!$S1851="",Sync!$P1851=""),"",Sync!$S1851)</f>
        <v/>
      </c>
      <c r="AF1851">
        <f>IF($AE1851="","",IF(ISNUMBER(Sync!$P1851),IF(AND(Sync!$P1851&gt;=10000101,Sync!$P1851&lt;=99991231),INT(Sync!$P1851/10000),""),IFERROR(VALUE(TRIM(LEFT(Sync!$P1851,FIND("/",Sync!$P1851)-1))),"")))</f>
        <v/>
      </c>
      <c r="AG1851">
        <f>IF(OR($AE1851="",$AF1851=""),"",IF(ISNUMBER(Sync!$P1851),INT(MOD(Sync!$P1851,10000)/100),IFERROR(VALUE(TRIM(LEFT(MID(Sync!$P1851,FIND("/",Sync!$P1851)+1,20),FIND("/",MID(Sync!$P1851,FIND("/",Sync!$P1851)+1,20))-1))),"")))</f>
        <v/>
      </c>
      <c r="AH1851">
        <f>IF(OR($AE1851="",$AF1851=""),"",IF(ISNUMBER(Sync!$P1851),MOD(Sync!$P1851,100),IFERROR(VALUE(TRIM(MID(MID(Sync!$P1851,FIND("/",Sync!$P1851)+1,20),FIND("/",MID(Sync!$P1851,FIND("/",Sync!$P1851)+1,20))+1,20))),"")))</f>
        <v/>
      </c>
      <c r="AI1851">
        <f>IF($AE1851="","",IF(OR($AF1851="",$AG1851="",$AH1851="",$AF1851&lt;1300,$AF1851&gt;1500,$AG1851&lt;1,$AG1851&gt;12,$AH1851&lt;1,$AH1851&gt;31),"نامعتبر",RIGHT("0000"&amp;$AF1851,4)&amp;"/"&amp;RIGHT("00"&amp;$AG1851,2)&amp;"/"&amp;RIGHT("00"&amp;$AH1851,2)))</f>
        <v/>
      </c>
      <c r="AJ1851">
        <f>IF($AE1851="","",IF(Sync!$Q1851="","0000",IF(AND(ISNUMBER(Sync!$Q1851),Sync!$Q1851&gt;=0,Sync!$Q1851&lt;1),RIGHT("00"&amp;HOUR(Sync!$Q1851),2)&amp;RIGHT("00"&amp;MINUTE(Sync!$Q1851),2),IFERROR(RIGHT("00"&amp;VALUE(LEFT(Sync!$Q1851,FIND(":",Sync!$Q1851)-1)),2)&amp;RIGHT("00"&amp;VALUE(MID(Sync!$Q1851,FIND(":",Sync!$Q1851)+1,2)),2),"0000"))))</f>
        <v/>
      </c>
      <c r="AK1851">
        <f>IF(OR($AE1851="",$AI1851="",$AI1851="نامعتبر"),"",LEFT($AI1851,4)&amp;MID($AI1851,6,2)&amp;RIGHT($AI1851,2)&amp;$AJ1851&amp;"|"&amp;"3"&amp;RIGHT("00000"&amp;1846,5))</f>
        <v/>
      </c>
      <c r="AL1851">
        <f>IF($AK1851="","",COUNTIFS(LdAParty,$AE1851,LdAType,1,LdAKey,"&lt;"&amp;$AK1851)+COUNTIFS(LdBMember,$AE1851,LdBKey,"&lt;"&amp;$AK1851)+COUNTIFS(LdCParty,$AE1851,LdCKey,"&lt;"&amp;$AK1851)+1)</f>
        <v/>
      </c>
      <c r="AM1851">
        <f>IF($AL1851="","",$AE1851&amp;"|"&amp;RIGHT("000000"&amp;$AL1851,6))</f>
        <v/>
      </c>
      <c r="AN1851">
        <f>IF($AE1851="","",IF(Sync!$W1851="",0,Sync!$W1851))</f>
        <v/>
      </c>
      <c r="AO1851">
        <f>IF($AE1851="","",IF(Sync!$X1851="",0,Sync!$X1851))</f>
        <v/>
      </c>
      <c r="AP1851">
        <f>IF($AE1851="","",Sync!$R1851)</f>
        <v/>
      </c>
      <c r="AQ1851">
        <f>IF($AE1851="","",Sync!$Y1851)</f>
        <v/>
      </c>
    </row>
    <row r="1852">
      <c r="A1852">
        <f>IF(OR(Wages!$B1855="",Wages!$E1855=""),"",Wages!$E1855)</f>
        <v/>
      </c>
      <c r="B1852">
        <f>IF($A1852="","",IF(Wages!$C1855="دستمزد گروهی",2,1))</f>
        <v/>
      </c>
      <c r="C1852">
        <f>IF($A1852="","",IF(ISNUMBER(Wages!$B1855),IF(AND(Wages!$B1855&gt;=10000101,Wages!$B1855&lt;=99991231),INT(Wages!$B1855/10000),""),IFERROR(VALUE(TRIM(LEFT(Wages!$B1855,FIND("/",Wages!$B1855)-1))),"")))</f>
        <v/>
      </c>
      <c r="D1852">
        <f>IF(OR($A1852="",$C1852=""),"",IF(ISNUMBER(Wages!$B1855),INT(MOD(Wages!$B1855,10000)/100),IFERROR(VALUE(TRIM(LEFT(MID(Wages!$B1855,FIND("/",Wages!$B1855)+1,20),FIND("/",MID(Wages!$B1855,FIND("/",Wages!$B1855)+1,20))-1))),"")))</f>
        <v/>
      </c>
      <c r="E1852">
        <f>IF(OR($A1852="",$C1852=""),"",IF(ISNUMBER(Wages!$B1855),MOD(Wages!$B1855,100),IFERROR(VALUE(TRIM(MID(MID(Wages!$B1855,FIND("/",Wages!$B1855)+1,20),FIND("/",MID(Wages!$B1855,FIND("/",Wages!$B1855)+1,20))+1,20))),"")))</f>
        <v/>
      </c>
      <c r="F1852">
        <f>IF($A1852="","",IF(OR($C1852="",$D1852="",$E1852="",$C1852&lt;1300,$C1852&gt;1500,$D1852&lt;1,$D1852&gt;12,$E1852&lt;1,$E1852&gt;31),"نامعتبر",RIGHT("0000"&amp;$C1852,4)&amp;"/"&amp;RIGHT("00"&amp;$D1852,2)&amp;"/"&amp;RIGHT("00"&amp;$E1852,2)))</f>
        <v/>
      </c>
      <c r="G1852">
        <f>IF(OR($A1852="",$F1852="",$F1852="نامعتبر"),"",LEFT($F1852,4)&amp;MID($F1852,6,2)&amp;RIGHT($F1852,2)&amp;"0000"&amp;"|"&amp;"1"&amp;RIGHT("00000"&amp;1847,5))</f>
        <v/>
      </c>
      <c r="H1852">
        <f>IF(OR($B1852&lt;&gt;1,$G1852=""),"",COUNTIFS(LdAParty,$A1852,LdAType,1,LdAKey,"&lt;"&amp;$G1852)+COUNTIFS(LdBMember,$A1852,LdBKey,"&lt;"&amp;$G1852)+COUNTIFS(LdCParty,$A1852,LdCKey,"&lt;"&amp;$G1852)+1)</f>
        <v/>
      </c>
      <c r="I1852">
        <f>IF($H1852="","",$A1852&amp;"|"&amp;RIGHT("000000"&amp;$H1852,6))</f>
        <v/>
      </c>
      <c r="J1852">
        <f>IF(OR($B1852&lt;&gt;2,$G1852=""),"",COUNTIFS(LdAParty,$A1852,LdAType,2,LdAKey,"&lt;"&amp;$G1852)+1)</f>
        <v/>
      </c>
      <c r="K1852">
        <f>IF($J1852="","",$A1852&amp;"|"&amp;RIGHT("000000"&amp;$J1852,6))</f>
        <v/>
      </c>
      <c r="L1852">
        <f>IF($A1852="","",IF(Wages!$G1855="",0,Wages!$G1855))</f>
        <v/>
      </c>
      <c r="M1852">
        <f>IF($A1852="","",Wages!$J1855)</f>
        <v/>
      </c>
      <c r="N1852">
        <f>IF($A1852="","",Wages!$D1855)</f>
        <v/>
      </c>
      <c r="P1852">
        <f>IF(OR(Shares!$B1855="",Shares!$C1855=""),"",Shares!$C1855)</f>
        <v/>
      </c>
      <c r="Q1852">
        <f>IF($P1852="","",Shares!$B1855)</f>
        <v/>
      </c>
      <c r="R1852">
        <f>IF($P1852="","",IFERROR(INDEX(WageParty,MATCH($Q1852,WageIds,0)),""))</f>
        <v/>
      </c>
      <c r="S1852">
        <f>IF($P1852="","",IFERROR(INDEX($F$6:$F$2005,MATCH($Q1852,WageIds,0)),""))</f>
        <v/>
      </c>
      <c r="T1852">
        <f>IF(OR($P1852="",$S1852="",$S1852="نامعتبر"),"",LEFT($S1852,4)&amp;MID($S1852,6,2)&amp;RIGHT($S1852,2)&amp;"0000"&amp;"|"&amp;"2"&amp;RIGHT("00000"&amp;1847,5))</f>
        <v/>
      </c>
      <c r="U1852">
        <f>IF($T1852="","",COUNTIFS(LdAParty,$P1852,LdAType,1,LdAKey,"&lt;"&amp;$T1852)+COUNTIFS(LdBMember,$P1852,LdBKey,"&lt;"&amp;$T1852)+COUNTIFS(LdCParty,$P1852,LdCKey,"&lt;"&amp;$T1852)+1)</f>
        <v/>
      </c>
      <c r="V1852">
        <f>IF($U1852="","",$P1852&amp;"|"&amp;RIGHT("000000"&amp;$U1852,6))</f>
        <v/>
      </c>
      <c r="W1852">
        <f>IF($T1852="","",COUNTIFS(LdBGroup,$R1852,LdBKey,"&lt;"&amp;$T1852)+1)</f>
        <v/>
      </c>
      <c r="X1852">
        <f>IF($W1852="","",$R1852&amp;"|"&amp;RIGHT("000000"&amp;$W1852,6))</f>
        <v/>
      </c>
      <c r="Y1852">
        <f>IF($P1852="","",IF(Shares!$E1855="",0,Shares!$E1855))</f>
        <v/>
      </c>
      <c r="Z1852">
        <f>IF($P1852="","",Shares!$H1855)</f>
        <v/>
      </c>
      <c r="AE1852">
        <f>IF(OR(Sync!$S1852="",Sync!$P1852=""),"",Sync!$S1852)</f>
        <v/>
      </c>
      <c r="AF1852">
        <f>IF($AE1852="","",IF(ISNUMBER(Sync!$P1852),IF(AND(Sync!$P1852&gt;=10000101,Sync!$P1852&lt;=99991231),INT(Sync!$P1852/10000),""),IFERROR(VALUE(TRIM(LEFT(Sync!$P1852,FIND("/",Sync!$P1852)-1))),"")))</f>
        <v/>
      </c>
      <c r="AG1852">
        <f>IF(OR($AE1852="",$AF1852=""),"",IF(ISNUMBER(Sync!$P1852),INT(MOD(Sync!$P1852,10000)/100),IFERROR(VALUE(TRIM(LEFT(MID(Sync!$P1852,FIND("/",Sync!$P1852)+1,20),FIND("/",MID(Sync!$P1852,FIND("/",Sync!$P1852)+1,20))-1))),"")))</f>
        <v/>
      </c>
      <c r="AH1852">
        <f>IF(OR($AE1852="",$AF1852=""),"",IF(ISNUMBER(Sync!$P1852),MOD(Sync!$P1852,100),IFERROR(VALUE(TRIM(MID(MID(Sync!$P1852,FIND("/",Sync!$P1852)+1,20),FIND("/",MID(Sync!$P1852,FIND("/",Sync!$P1852)+1,20))+1,20))),"")))</f>
        <v/>
      </c>
      <c r="AI1852">
        <f>IF($AE1852="","",IF(OR($AF1852="",$AG1852="",$AH1852="",$AF1852&lt;1300,$AF1852&gt;1500,$AG1852&lt;1,$AG1852&gt;12,$AH1852&lt;1,$AH1852&gt;31),"نامعتبر",RIGHT("0000"&amp;$AF1852,4)&amp;"/"&amp;RIGHT("00"&amp;$AG1852,2)&amp;"/"&amp;RIGHT("00"&amp;$AH1852,2)))</f>
        <v/>
      </c>
      <c r="AJ1852">
        <f>IF($AE1852="","",IF(Sync!$Q1852="","0000",IF(AND(ISNUMBER(Sync!$Q1852),Sync!$Q1852&gt;=0,Sync!$Q1852&lt;1),RIGHT("00"&amp;HOUR(Sync!$Q1852),2)&amp;RIGHT("00"&amp;MINUTE(Sync!$Q1852),2),IFERROR(RIGHT("00"&amp;VALUE(LEFT(Sync!$Q1852,FIND(":",Sync!$Q1852)-1)),2)&amp;RIGHT("00"&amp;VALUE(MID(Sync!$Q1852,FIND(":",Sync!$Q1852)+1,2)),2),"0000"))))</f>
        <v/>
      </c>
      <c r="AK1852">
        <f>IF(OR($AE1852="",$AI1852="",$AI1852="نامعتبر"),"",LEFT($AI1852,4)&amp;MID($AI1852,6,2)&amp;RIGHT($AI1852,2)&amp;$AJ1852&amp;"|"&amp;"3"&amp;RIGHT("00000"&amp;1847,5))</f>
        <v/>
      </c>
      <c r="AL1852">
        <f>IF($AK1852="","",COUNTIFS(LdAParty,$AE1852,LdAType,1,LdAKey,"&lt;"&amp;$AK1852)+COUNTIFS(LdBMember,$AE1852,LdBKey,"&lt;"&amp;$AK1852)+COUNTIFS(LdCParty,$AE1852,LdCKey,"&lt;"&amp;$AK1852)+1)</f>
        <v/>
      </c>
      <c r="AM1852">
        <f>IF($AL1852="","",$AE1852&amp;"|"&amp;RIGHT("000000"&amp;$AL1852,6))</f>
        <v/>
      </c>
      <c r="AN1852">
        <f>IF($AE1852="","",IF(Sync!$W1852="",0,Sync!$W1852))</f>
        <v/>
      </c>
      <c r="AO1852">
        <f>IF($AE1852="","",IF(Sync!$X1852="",0,Sync!$X1852))</f>
        <v/>
      </c>
      <c r="AP1852">
        <f>IF($AE1852="","",Sync!$R1852)</f>
        <v/>
      </c>
      <c r="AQ1852">
        <f>IF($AE1852="","",Sync!$Y1852)</f>
        <v/>
      </c>
    </row>
    <row r="1853">
      <c r="A1853">
        <f>IF(OR(Wages!$B1856="",Wages!$E1856=""),"",Wages!$E1856)</f>
        <v/>
      </c>
      <c r="B1853">
        <f>IF($A1853="","",IF(Wages!$C1856="دستمزد گروهی",2,1))</f>
        <v/>
      </c>
      <c r="C1853">
        <f>IF($A1853="","",IF(ISNUMBER(Wages!$B1856),IF(AND(Wages!$B1856&gt;=10000101,Wages!$B1856&lt;=99991231),INT(Wages!$B1856/10000),""),IFERROR(VALUE(TRIM(LEFT(Wages!$B1856,FIND("/",Wages!$B1856)-1))),"")))</f>
        <v/>
      </c>
      <c r="D1853">
        <f>IF(OR($A1853="",$C1853=""),"",IF(ISNUMBER(Wages!$B1856),INT(MOD(Wages!$B1856,10000)/100),IFERROR(VALUE(TRIM(LEFT(MID(Wages!$B1856,FIND("/",Wages!$B1856)+1,20),FIND("/",MID(Wages!$B1856,FIND("/",Wages!$B1856)+1,20))-1))),"")))</f>
        <v/>
      </c>
      <c r="E1853">
        <f>IF(OR($A1853="",$C1853=""),"",IF(ISNUMBER(Wages!$B1856),MOD(Wages!$B1856,100),IFERROR(VALUE(TRIM(MID(MID(Wages!$B1856,FIND("/",Wages!$B1856)+1,20),FIND("/",MID(Wages!$B1856,FIND("/",Wages!$B1856)+1,20))+1,20))),"")))</f>
        <v/>
      </c>
      <c r="F1853">
        <f>IF($A1853="","",IF(OR($C1853="",$D1853="",$E1853="",$C1853&lt;1300,$C1853&gt;1500,$D1853&lt;1,$D1853&gt;12,$E1853&lt;1,$E1853&gt;31),"نامعتبر",RIGHT("0000"&amp;$C1853,4)&amp;"/"&amp;RIGHT("00"&amp;$D1853,2)&amp;"/"&amp;RIGHT("00"&amp;$E1853,2)))</f>
        <v/>
      </c>
      <c r="G1853">
        <f>IF(OR($A1853="",$F1853="",$F1853="نامعتبر"),"",LEFT($F1853,4)&amp;MID($F1853,6,2)&amp;RIGHT($F1853,2)&amp;"0000"&amp;"|"&amp;"1"&amp;RIGHT("00000"&amp;1848,5))</f>
        <v/>
      </c>
      <c r="H1853">
        <f>IF(OR($B1853&lt;&gt;1,$G1853=""),"",COUNTIFS(LdAParty,$A1853,LdAType,1,LdAKey,"&lt;"&amp;$G1853)+COUNTIFS(LdBMember,$A1853,LdBKey,"&lt;"&amp;$G1853)+COUNTIFS(LdCParty,$A1853,LdCKey,"&lt;"&amp;$G1853)+1)</f>
        <v/>
      </c>
      <c r="I1853">
        <f>IF($H1853="","",$A1853&amp;"|"&amp;RIGHT("000000"&amp;$H1853,6))</f>
        <v/>
      </c>
      <c r="J1853">
        <f>IF(OR($B1853&lt;&gt;2,$G1853=""),"",COUNTIFS(LdAParty,$A1853,LdAType,2,LdAKey,"&lt;"&amp;$G1853)+1)</f>
        <v/>
      </c>
      <c r="K1853">
        <f>IF($J1853="","",$A1853&amp;"|"&amp;RIGHT("000000"&amp;$J1853,6))</f>
        <v/>
      </c>
      <c r="L1853">
        <f>IF($A1853="","",IF(Wages!$G1856="",0,Wages!$G1856))</f>
        <v/>
      </c>
      <c r="M1853">
        <f>IF($A1853="","",Wages!$J1856)</f>
        <v/>
      </c>
      <c r="N1853">
        <f>IF($A1853="","",Wages!$D1856)</f>
        <v/>
      </c>
      <c r="P1853">
        <f>IF(OR(Shares!$B1856="",Shares!$C1856=""),"",Shares!$C1856)</f>
        <v/>
      </c>
      <c r="Q1853">
        <f>IF($P1853="","",Shares!$B1856)</f>
        <v/>
      </c>
      <c r="R1853">
        <f>IF($P1853="","",IFERROR(INDEX(WageParty,MATCH($Q1853,WageIds,0)),""))</f>
        <v/>
      </c>
      <c r="S1853">
        <f>IF($P1853="","",IFERROR(INDEX($F$6:$F$2005,MATCH($Q1853,WageIds,0)),""))</f>
        <v/>
      </c>
      <c r="T1853">
        <f>IF(OR($P1853="",$S1853="",$S1853="نامعتبر"),"",LEFT($S1853,4)&amp;MID($S1853,6,2)&amp;RIGHT($S1853,2)&amp;"0000"&amp;"|"&amp;"2"&amp;RIGHT("00000"&amp;1848,5))</f>
        <v/>
      </c>
      <c r="U1853">
        <f>IF($T1853="","",COUNTIFS(LdAParty,$P1853,LdAType,1,LdAKey,"&lt;"&amp;$T1853)+COUNTIFS(LdBMember,$P1853,LdBKey,"&lt;"&amp;$T1853)+COUNTIFS(LdCParty,$P1853,LdCKey,"&lt;"&amp;$T1853)+1)</f>
        <v/>
      </c>
      <c r="V1853">
        <f>IF($U1853="","",$P1853&amp;"|"&amp;RIGHT("000000"&amp;$U1853,6))</f>
        <v/>
      </c>
      <c r="W1853">
        <f>IF($T1853="","",COUNTIFS(LdBGroup,$R1853,LdBKey,"&lt;"&amp;$T1853)+1)</f>
        <v/>
      </c>
      <c r="X1853">
        <f>IF($W1853="","",$R1853&amp;"|"&amp;RIGHT("000000"&amp;$W1853,6))</f>
        <v/>
      </c>
      <c r="Y1853">
        <f>IF($P1853="","",IF(Shares!$E1856="",0,Shares!$E1856))</f>
        <v/>
      </c>
      <c r="Z1853">
        <f>IF($P1853="","",Shares!$H1856)</f>
        <v/>
      </c>
      <c r="AE1853">
        <f>IF(OR(Sync!$S1853="",Sync!$P1853=""),"",Sync!$S1853)</f>
        <v/>
      </c>
      <c r="AF1853">
        <f>IF($AE1853="","",IF(ISNUMBER(Sync!$P1853),IF(AND(Sync!$P1853&gt;=10000101,Sync!$P1853&lt;=99991231),INT(Sync!$P1853/10000),""),IFERROR(VALUE(TRIM(LEFT(Sync!$P1853,FIND("/",Sync!$P1853)-1))),"")))</f>
        <v/>
      </c>
      <c r="AG1853">
        <f>IF(OR($AE1853="",$AF1853=""),"",IF(ISNUMBER(Sync!$P1853),INT(MOD(Sync!$P1853,10000)/100),IFERROR(VALUE(TRIM(LEFT(MID(Sync!$P1853,FIND("/",Sync!$P1853)+1,20),FIND("/",MID(Sync!$P1853,FIND("/",Sync!$P1853)+1,20))-1))),"")))</f>
        <v/>
      </c>
      <c r="AH1853">
        <f>IF(OR($AE1853="",$AF1853=""),"",IF(ISNUMBER(Sync!$P1853),MOD(Sync!$P1853,100),IFERROR(VALUE(TRIM(MID(MID(Sync!$P1853,FIND("/",Sync!$P1853)+1,20),FIND("/",MID(Sync!$P1853,FIND("/",Sync!$P1853)+1,20))+1,20))),"")))</f>
        <v/>
      </c>
      <c r="AI1853">
        <f>IF($AE1853="","",IF(OR($AF1853="",$AG1853="",$AH1853="",$AF1853&lt;1300,$AF1853&gt;1500,$AG1853&lt;1,$AG1853&gt;12,$AH1853&lt;1,$AH1853&gt;31),"نامعتبر",RIGHT("0000"&amp;$AF1853,4)&amp;"/"&amp;RIGHT("00"&amp;$AG1853,2)&amp;"/"&amp;RIGHT("00"&amp;$AH1853,2)))</f>
        <v/>
      </c>
      <c r="AJ1853">
        <f>IF($AE1853="","",IF(Sync!$Q1853="","0000",IF(AND(ISNUMBER(Sync!$Q1853),Sync!$Q1853&gt;=0,Sync!$Q1853&lt;1),RIGHT("00"&amp;HOUR(Sync!$Q1853),2)&amp;RIGHT("00"&amp;MINUTE(Sync!$Q1853),2),IFERROR(RIGHT("00"&amp;VALUE(LEFT(Sync!$Q1853,FIND(":",Sync!$Q1853)-1)),2)&amp;RIGHT("00"&amp;VALUE(MID(Sync!$Q1853,FIND(":",Sync!$Q1853)+1,2)),2),"0000"))))</f>
        <v/>
      </c>
      <c r="AK1853">
        <f>IF(OR($AE1853="",$AI1853="",$AI1853="نامعتبر"),"",LEFT($AI1853,4)&amp;MID($AI1853,6,2)&amp;RIGHT($AI1853,2)&amp;$AJ1853&amp;"|"&amp;"3"&amp;RIGHT("00000"&amp;1848,5))</f>
        <v/>
      </c>
      <c r="AL1853">
        <f>IF($AK1853="","",COUNTIFS(LdAParty,$AE1853,LdAType,1,LdAKey,"&lt;"&amp;$AK1853)+COUNTIFS(LdBMember,$AE1853,LdBKey,"&lt;"&amp;$AK1853)+COUNTIFS(LdCParty,$AE1853,LdCKey,"&lt;"&amp;$AK1853)+1)</f>
        <v/>
      </c>
      <c r="AM1853">
        <f>IF($AL1853="","",$AE1853&amp;"|"&amp;RIGHT("000000"&amp;$AL1853,6))</f>
        <v/>
      </c>
      <c r="AN1853">
        <f>IF($AE1853="","",IF(Sync!$W1853="",0,Sync!$W1853))</f>
        <v/>
      </c>
      <c r="AO1853">
        <f>IF($AE1853="","",IF(Sync!$X1853="",0,Sync!$X1853))</f>
        <v/>
      </c>
      <c r="AP1853">
        <f>IF($AE1853="","",Sync!$R1853)</f>
        <v/>
      </c>
      <c r="AQ1853">
        <f>IF($AE1853="","",Sync!$Y1853)</f>
        <v/>
      </c>
    </row>
    <row r="1854">
      <c r="A1854">
        <f>IF(OR(Wages!$B1857="",Wages!$E1857=""),"",Wages!$E1857)</f>
        <v/>
      </c>
      <c r="B1854">
        <f>IF($A1854="","",IF(Wages!$C1857="دستمزد گروهی",2,1))</f>
        <v/>
      </c>
      <c r="C1854">
        <f>IF($A1854="","",IF(ISNUMBER(Wages!$B1857),IF(AND(Wages!$B1857&gt;=10000101,Wages!$B1857&lt;=99991231),INT(Wages!$B1857/10000),""),IFERROR(VALUE(TRIM(LEFT(Wages!$B1857,FIND("/",Wages!$B1857)-1))),"")))</f>
        <v/>
      </c>
      <c r="D1854">
        <f>IF(OR($A1854="",$C1854=""),"",IF(ISNUMBER(Wages!$B1857),INT(MOD(Wages!$B1857,10000)/100),IFERROR(VALUE(TRIM(LEFT(MID(Wages!$B1857,FIND("/",Wages!$B1857)+1,20),FIND("/",MID(Wages!$B1857,FIND("/",Wages!$B1857)+1,20))-1))),"")))</f>
        <v/>
      </c>
      <c r="E1854">
        <f>IF(OR($A1854="",$C1854=""),"",IF(ISNUMBER(Wages!$B1857),MOD(Wages!$B1857,100),IFERROR(VALUE(TRIM(MID(MID(Wages!$B1857,FIND("/",Wages!$B1857)+1,20),FIND("/",MID(Wages!$B1857,FIND("/",Wages!$B1857)+1,20))+1,20))),"")))</f>
        <v/>
      </c>
      <c r="F1854">
        <f>IF($A1854="","",IF(OR($C1854="",$D1854="",$E1854="",$C1854&lt;1300,$C1854&gt;1500,$D1854&lt;1,$D1854&gt;12,$E1854&lt;1,$E1854&gt;31),"نامعتبر",RIGHT("0000"&amp;$C1854,4)&amp;"/"&amp;RIGHT("00"&amp;$D1854,2)&amp;"/"&amp;RIGHT("00"&amp;$E1854,2)))</f>
        <v/>
      </c>
      <c r="G1854">
        <f>IF(OR($A1854="",$F1854="",$F1854="نامعتبر"),"",LEFT($F1854,4)&amp;MID($F1854,6,2)&amp;RIGHT($F1854,2)&amp;"0000"&amp;"|"&amp;"1"&amp;RIGHT("00000"&amp;1849,5))</f>
        <v/>
      </c>
      <c r="H1854">
        <f>IF(OR($B1854&lt;&gt;1,$G1854=""),"",COUNTIFS(LdAParty,$A1854,LdAType,1,LdAKey,"&lt;"&amp;$G1854)+COUNTIFS(LdBMember,$A1854,LdBKey,"&lt;"&amp;$G1854)+COUNTIFS(LdCParty,$A1854,LdCKey,"&lt;"&amp;$G1854)+1)</f>
        <v/>
      </c>
      <c r="I1854">
        <f>IF($H1854="","",$A1854&amp;"|"&amp;RIGHT("000000"&amp;$H1854,6))</f>
        <v/>
      </c>
      <c r="J1854">
        <f>IF(OR($B1854&lt;&gt;2,$G1854=""),"",COUNTIFS(LdAParty,$A1854,LdAType,2,LdAKey,"&lt;"&amp;$G1854)+1)</f>
        <v/>
      </c>
      <c r="K1854">
        <f>IF($J1854="","",$A1854&amp;"|"&amp;RIGHT("000000"&amp;$J1854,6))</f>
        <v/>
      </c>
      <c r="L1854">
        <f>IF($A1854="","",IF(Wages!$G1857="",0,Wages!$G1857))</f>
        <v/>
      </c>
      <c r="M1854">
        <f>IF($A1854="","",Wages!$J1857)</f>
        <v/>
      </c>
      <c r="N1854">
        <f>IF($A1854="","",Wages!$D1857)</f>
        <v/>
      </c>
      <c r="P1854">
        <f>IF(OR(Shares!$B1857="",Shares!$C1857=""),"",Shares!$C1857)</f>
        <v/>
      </c>
      <c r="Q1854">
        <f>IF($P1854="","",Shares!$B1857)</f>
        <v/>
      </c>
      <c r="R1854">
        <f>IF($P1854="","",IFERROR(INDEX(WageParty,MATCH($Q1854,WageIds,0)),""))</f>
        <v/>
      </c>
      <c r="S1854">
        <f>IF($P1854="","",IFERROR(INDEX($F$6:$F$2005,MATCH($Q1854,WageIds,0)),""))</f>
        <v/>
      </c>
      <c r="T1854">
        <f>IF(OR($P1854="",$S1854="",$S1854="نامعتبر"),"",LEFT($S1854,4)&amp;MID($S1854,6,2)&amp;RIGHT($S1854,2)&amp;"0000"&amp;"|"&amp;"2"&amp;RIGHT("00000"&amp;1849,5))</f>
        <v/>
      </c>
      <c r="U1854">
        <f>IF($T1854="","",COUNTIFS(LdAParty,$P1854,LdAType,1,LdAKey,"&lt;"&amp;$T1854)+COUNTIFS(LdBMember,$P1854,LdBKey,"&lt;"&amp;$T1854)+COUNTIFS(LdCParty,$P1854,LdCKey,"&lt;"&amp;$T1854)+1)</f>
        <v/>
      </c>
      <c r="V1854">
        <f>IF($U1854="","",$P1854&amp;"|"&amp;RIGHT("000000"&amp;$U1854,6))</f>
        <v/>
      </c>
      <c r="W1854">
        <f>IF($T1854="","",COUNTIFS(LdBGroup,$R1854,LdBKey,"&lt;"&amp;$T1854)+1)</f>
        <v/>
      </c>
      <c r="X1854">
        <f>IF($W1854="","",$R1854&amp;"|"&amp;RIGHT("000000"&amp;$W1854,6))</f>
        <v/>
      </c>
      <c r="Y1854">
        <f>IF($P1854="","",IF(Shares!$E1857="",0,Shares!$E1857))</f>
        <v/>
      </c>
      <c r="Z1854">
        <f>IF($P1854="","",Shares!$H1857)</f>
        <v/>
      </c>
      <c r="AE1854">
        <f>IF(OR(Sync!$S1854="",Sync!$P1854=""),"",Sync!$S1854)</f>
        <v/>
      </c>
      <c r="AF1854">
        <f>IF($AE1854="","",IF(ISNUMBER(Sync!$P1854),IF(AND(Sync!$P1854&gt;=10000101,Sync!$P1854&lt;=99991231),INT(Sync!$P1854/10000),""),IFERROR(VALUE(TRIM(LEFT(Sync!$P1854,FIND("/",Sync!$P1854)-1))),"")))</f>
        <v/>
      </c>
      <c r="AG1854">
        <f>IF(OR($AE1854="",$AF1854=""),"",IF(ISNUMBER(Sync!$P1854),INT(MOD(Sync!$P1854,10000)/100),IFERROR(VALUE(TRIM(LEFT(MID(Sync!$P1854,FIND("/",Sync!$P1854)+1,20),FIND("/",MID(Sync!$P1854,FIND("/",Sync!$P1854)+1,20))-1))),"")))</f>
        <v/>
      </c>
      <c r="AH1854">
        <f>IF(OR($AE1854="",$AF1854=""),"",IF(ISNUMBER(Sync!$P1854),MOD(Sync!$P1854,100),IFERROR(VALUE(TRIM(MID(MID(Sync!$P1854,FIND("/",Sync!$P1854)+1,20),FIND("/",MID(Sync!$P1854,FIND("/",Sync!$P1854)+1,20))+1,20))),"")))</f>
        <v/>
      </c>
      <c r="AI1854">
        <f>IF($AE1854="","",IF(OR($AF1854="",$AG1854="",$AH1854="",$AF1854&lt;1300,$AF1854&gt;1500,$AG1854&lt;1,$AG1854&gt;12,$AH1854&lt;1,$AH1854&gt;31),"نامعتبر",RIGHT("0000"&amp;$AF1854,4)&amp;"/"&amp;RIGHT("00"&amp;$AG1854,2)&amp;"/"&amp;RIGHT("00"&amp;$AH1854,2)))</f>
        <v/>
      </c>
      <c r="AJ1854">
        <f>IF($AE1854="","",IF(Sync!$Q1854="","0000",IF(AND(ISNUMBER(Sync!$Q1854),Sync!$Q1854&gt;=0,Sync!$Q1854&lt;1),RIGHT("00"&amp;HOUR(Sync!$Q1854),2)&amp;RIGHT("00"&amp;MINUTE(Sync!$Q1854),2),IFERROR(RIGHT("00"&amp;VALUE(LEFT(Sync!$Q1854,FIND(":",Sync!$Q1854)-1)),2)&amp;RIGHT("00"&amp;VALUE(MID(Sync!$Q1854,FIND(":",Sync!$Q1854)+1,2)),2),"0000"))))</f>
        <v/>
      </c>
      <c r="AK1854">
        <f>IF(OR($AE1854="",$AI1854="",$AI1854="نامعتبر"),"",LEFT($AI1854,4)&amp;MID($AI1854,6,2)&amp;RIGHT($AI1854,2)&amp;$AJ1854&amp;"|"&amp;"3"&amp;RIGHT("00000"&amp;1849,5))</f>
        <v/>
      </c>
      <c r="AL1854">
        <f>IF($AK1854="","",COUNTIFS(LdAParty,$AE1854,LdAType,1,LdAKey,"&lt;"&amp;$AK1854)+COUNTIFS(LdBMember,$AE1854,LdBKey,"&lt;"&amp;$AK1854)+COUNTIFS(LdCParty,$AE1854,LdCKey,"&lt;"&amp;$AK1854)+1)</f>
        <v/>
      </c>
      <c r="AM1854">
        <f>IF($AL1854="","",$AE1854&amp;"|"&amp;RIGHT("000000"&amp;$AL1854,6))</f>
        <v/>
      </c>
      <c r="AN1854">
        <f>IF($AE1854="","",IF(Sync!$W1854="",0,Sync!$W1854))</f>
        <v/>
      </c>
      <c r="AO1854">
        <f>IF($AE1854="","",IF(Sync!$X1854="",0,Sync!$X1854))</f>
        <v/>
      </c>
      <c r="AP1854">
        <f>IF($AE1854="","",Sync!$R1854)</f>
        <v/>
      </c>
      <c r="AQ1854">
        <f>IF($AE1854="","",Sync!$Y1854)</f>
        <v/>
      </c>
    </row>
    <row r="1855">
      <c r="A1855">
        <f>IF(OR(Wages!$B1858="",Wages!$E1858=""),"",Wages!$E1858)</f>
        <v/>
      </c>
      <c r="B1855">
        <f>IF($A1855="","",IF(Wages!$C1858="دستمزد گروهی",2,1))</f>
        <v/>
      </c>
      <c r="C1855">
        <f>IF($A1855="","",IF(ISNUMBER(Wages!$B1858),IF(AND(Wages!$B1858&gt;=10000101,Wages!$B1858&lt;=99991231),INT(Wages!$B1858/10000),""),IFERROR(VALUE(TRIM(LEFT(Wages!$B1858,FIND("/",Wages!$B1858)-1))),"")))</f>
        <v/>
      </c>
      <c r="D1855">
        <f>IF(OR($A1855="",$C1855=""),"",IF(ISNUMBER(Wages!$B1858),INT(MOD(Wages!$B1858,10000)/100),IFERROR(VALUE(TRIM(LEFT(MID(Wages!$B1858,FIND("/",Wages!$B1858)+1,20),FIND("/",MID(Wages!$B1858,FIND("/",Wages!$B1858)+1,20))-1))),"")))</f>
        <v/>
      </c>
      <c r="E1855">
        <f>IF(OR($A1855="",$C1855=""),"",IF(ISNUMBER(Wages!$B1858),MOD(Wages!$B1858,100),IFERROR(VALUE(TRIM(MID(MID(Wages!$B1858,FIND("/",Wages!$B1858)+1,20),FIND("/",MID(Wages!$B1858,FIND("/",Wages!$B1858)+1,20))+1,20))),"")))</f>
        <v/>
      </c>
      <c r="F1855">
        <f>IF($A1855="","",IF(OR($C1855="",$D1855="",$E1855="",$C1855&lt;1300,$C1855&gt;1500,$D1855&lt;1,$D1855&gt;12,$E1855&lt;1,$E1855&gt;31),"نامعتبر",RIGHT("0000"&amp;$C1855,4)&amp;"/"&amp;RIGHT("00"&amp;$D1855,2)&amp;"/"&amp;RIGHT("00"&amp;$E1855,2)))</f>
        <v/>
      </c>
      <c r="G1855">
        <f>IF(OR($A1855="",$F1855="",$F1855="نامعتبر"),"",LEFT($F1855,4)&amp;MID($F1855,6,2)&amp;RIGHT($F1855,2)&amp;"0000"&amp;"|"&amp;"1"&amp;RIGHT("00000"&amp;1850,5))</f>
        <v/>
      </c>
      <c r="H1855">
        <f>IF(OR($B1855&lt;&gt;1,$G1855=""),"",COUNTIFS(LdAParty,$A1855,LdAType,1,LdAKey,"&lt;"&amp;$G1855)+COUNTIFS(LdBMember,$A1855,LdBKey,"&lt;"&amp;$G1855)+COUNTIFS(LdCParty,$A1855,LdCKey,"&lt;"&amp;$G1855)+1)</f>
        <v/>
      </c>
      <c r="I1855">
        <f>IF($H1855="","",$A1855&amp;"|"&amp;RIGHT("000000"&amp;$H1855,6))</f>
        <v/>
      </c>
      <c r="J1855">
        <f>IF(OR($B1855&lt;&gt;2,$G1855=""),"",COUNTIFS(LdAParty,$A1855,LdAType,2,LdAKey,"&lt;"&amp;$G1855)+1)</f>
        <v/>
      </c>
      <c r="K1855">
        <f>IF($J1855="","",$A1855&amp;"|"&amp;RIGHT("000000"&amp;$J1855,6))</f>
        <v/>
      </c>
      <c r="L1855">
        <f>IF($A1855="","",IF(Wages!$G1858="",0,Wages!$G1858))</f>
        <v/>
      </c>
      <c r="M1855">
        <f>IF($A1855="","",Wages!$J1858)</f>
        <v/>
      </c>
      <c r="N1855">
        <f>IF($A1855="","",Wages!$D1858)</f>
        <v/>
      </c>
      <c r="P1855">
        <f>IF(OR(Shares!$B1858="",Shares!$C1858=""),"",Shares!$C1858)</f>
        <v/>
      </c>
      <c r="Q1855">
        <f>IF($P1855="","",Shares!$B1858)</f>
        <v/>
      </c>
      <c r="R1855">
        <f>IF($P1855="","",IFERROR(INDEX(WageParty,MATCH($Q1855,WageIds,0)),""))</f>
        <v/>
      </c>
      <c r="S1855">
        <f>IF($P1855="","",IFERROR(INDEX($F$6:$F$2005,MATCH($Q1855,WageIds,0)),""))</f>
        <v/>
      </c>
      <c r="T1855">
        <f>IF(OR($P1855="",$S1855="",$S1855="نامعتبر"),"",LEFT($S1855,4)&amp;MID($S1855,6,2)&amp;RIGHT($S1855,2)&amp;"0000"&amp;"|"&amp;"2"&amp;RIGHT("00000"&amp;1850,5))</f>
        <v/>
      </c>
      <c r="U1855">
        <f>IF($T1855="","",COUNTIFS(LdAParty,$P1855,LdAType,1,LdAKey,"&lt;"&amp;$T1855)+COUNTIFS(LdBMember,$P1855,LdBKey,"&lt;"&amp;$T1855)+COUNTIFS(LdCParty,$P1855,LdCKey,"&lt;"&amp;$T1855)+1)</f>
        <v/>
      </c>
      <c r="V1855">
        <f>IF($U1855="","",$P1855&amp;"|"&amp;RIGHT("000000"&amp;$U1855,6))</f>
        <v/>
      </c>
      <c r="W1855">
        <f>IF($T1855="","",COUNTIFS(LdBGroup,$R1855,LdBKey,"&lt;"&amp;$T1855)+1)</f>
        <v/>
      </c>
      <c r="X1855">
        <f>IF($W1855="","",$R1855&amp;"|"&amp;RIGHT("000000"&amp;$W1855,6))</f>
        <v/>
      </c>
      <c r="Y1855">
        <f>IF($P1855="","",IF(Shares!$E1858="",0,Shares!$E1858))</f>
        <v/>
      </c>
      <c r="Z1855">
        <f>IF($P1855="","",Shares!$H1858)</f>
        <v/>
      </c>
      <c r="AE1855">
        <f>IF(OR(Sync!$S1855="",Sync!$P1855=""),"",Sync!$S1855)</f>
        <v/>
      </c>
      <c r="AF1855">
        <f>IF($AE1855="","",IF(ISNUMBER(Sync!$P1855),IF(AND(Sync!$P1855&gt;=10000101,Sync!$P1855&lt;=99991231),INT(Sync!$P1855/10000),""),IFERROR(VALUE(TRIM(LEFT(Sync!$P1855,FIND("/",Sync!$P1855)-1))),"")))</f>
        <v/>
      </c>
      <c r="AG1855">
        <f>IF(OR($AE1855="",$AF1855=""),"",IF(ISNUMBER(Sync!$P1855),INT(MOD(Sync!$P1855,10000)/100),IFERROR(VALUE(TRIM(LEFT(MID(Sync!$P1855,FIND("/",Sync!$P1855)+1,20),FIND("/",MID(Sync!$P1855,FIND("/",Sync!$P1855)+1,20))-1))),"")))</f>
        <v/>
      </c>
      <c r="AH1855">
        <f>IF(OR($AE1855="",$AF1855=""),"",IF(ISNUMBER(Sync!$P1855),MOD(Sync!$P1855,100),IFERROR(VALUE(TRIM(MID(MID(Sync!$P1855,FIND("/",Sync!$P1855)+1,20),FIND("/",MID(Sync!$P1855,FIND("/",Sync!$P1855)+1,20))+1,20))),"")))</f>
        <v/>
      </c>
      <c r="AI1855">
        <f>IF($AE1855="","",IF(OR($AF1855="",$AG1855="",$AH1855="",$AF1855&lt;1300,$AF1855&gt;1500,$AG1855&lt;1,$AG1855&gt;12,$AH1855&lt;1,$AH1855&gt;31),"نامعتبر",RIGHT("0000"&amp;$AF1855,4)&amp;"/"&amp;RIGHT("00"&amp;$AG1855,2)&amp;"/"&amp;RIGHT("00"&amp;$AH1855,2)))</f>
        <v/>
      </c>
      <c r="AJ1855">
        <f>IF($AE1855="","",IF(Sync!$Q1855="","0000",IF(AND(ISNUMBER(Sync!$Q1855),Sync!$Q1855&gt;=0,Sync!$Q1855&lt;1),RIGHT("00"&amp;HOUR(Sync!$Q1855),2)&amp;RIGHT("00"&amp;MINUTE(Sync!$Q1855),2),IFERROR(RIGHT("00"&amp;VALUE(LEFT(Sync!$Q1855,FIND(":",Sync!$Q1855)-1)),2)&amp;RIGHT("00"&amp;VALUE(MID(Sync!$Q1855,FIND(":",Sync!$Q1855)+1,2)),2),"0000"))))</f>
        <v/>
      </c>
      <c r="AK1855">
        <f>IF(OR($AE1855="",$AI1855="",$AI1855="نامعتبر"),"",LEFT($AI1855,4)&amp;MID($AI1855,6,2)&amp;RIGHT($AI1855,2)&amp;$AJ1855&amp;"|"&amp;"3"&amp;RIGHT("00000"&amp;1850,5))</f>
        <v/>
      </c>
      <c r="AL1855">
        <f>IF($AK1855="","",COUNTIFS(LdAParty,$AE1855,LdAType,1,LdAKey,"&lt;"&amp;$AK1855)+COUNTIFS(LdBMember,$AE1855,LdBKey,"&lt;"&amp;$AK1855)+COUNTIFS(LdCParty,$AE1855,LdCKey,"&lt;"&amp;$AK1855)+1)</f>
        <v/>
      </c>
      <c r="AM1855">
        <f>IF($AL1855="","",$AE1855&amp;"|"&amp;RIGHT("000000"&amp;$AL1855,6))</f>
        <v/>
      </c>
      <c r="AN1855">
        <f>IF($AE1855="","",IF(Sync!$W1855="",0,Sync!$W1855))</f>
        <v/>
      </c>
      <c r="AO1855">
        <f>IF($AE1855="","",IF(Sync!$X1855="",0,Sync!$X1855))</f>
        <v/>
      </c>
      <c r="AP1855">
        <f>IF($AE1855="","",Sync!$R1855)</f>
        <v/>
      </c>
      <c r="AQ1855">
        <f>IF($AE1855="","",Sync!$Y1855)</f>
        <v/>
      </c>
    </row>
    <row r="1856">
      <c r="A1856">
        <f>IF(OR(Wages!$B1859="",Wages!$E1859=""),"",Wages!$E1859)</f>
        <v/>
      </c>
      <c r="B1856">
        <f>IF($A1856="","",IF(Wages!$C1859="دستمزد گروهی",2,1))</f>
        <v/>
      </c>
      <c r="C1856">
        <f>IF($A1856="","",IF(ISNUMBER(Wages!$B1859),IF(AND(Wages!$B1859&gt;=10000101,Wages!$B1859&lt;=99991231),INT(Wages!$B1859/10000),""),IFERROR(VALUE(TRIM(LEFT(Wages!$B1859,FIND("/",Wages!$B1859)-1))),"")))</f>
        <v/>
      </c>
      <c r="D1856">
        <f>IF(OR($A1856="",$C1856=""),"",IF(ISNUMBER(Wages!$B1859),INT(MOD(Wages!$B1859,10000)/100),IFERROR(VALUE(TRIM(LEFT(MID(Wages!$B1859,FIND("/",Wages!$B1859)+1,20),FIND("/",MID(Wages!$B1859,FIND("/",Wages!$B1859)+1,20))-1))),"")))</f>
        <v/>
      </c>
      <c r="E1856">
        <f>IF(OR($A1856="",$C1856=""),"",IF(ISNUMBER(Wages!$B1859),MOD(Wages!$B1859,100),IFERROR(VALUE(TRIM(MID(MID(Wages!$B1859,FIND("/",Wages!$B1859)+1,20),FIND("/",MID(Wages!$B1859,FIND("/",Wages!$B1859)+1,20))+1,20))),"")))</f>
        <v/>
      </c>
      <c r="F1856">
        <f>IF($A1856="","",IF(OR($C1856="",$D1856="",$E1856="",$C1856&lt;1300,$C1856&gt;1500,$D1856&lt;1,$D1856&gt;12,$E1856&lt;1,$E1856&gt;31),"نامعتبر",RIGHT("0000"&amp;$C1856,4)&amp;"/"&amp;RIGHT("00"&amp;$D1856,2)&amp;"/"&amp;RIGHT("00"&amp;$E1856,2)))</f>
        <v/>
      </c>
      <c r="G1856">
        <f>IF(OR($A1856="",$F1856="",$F1856="نامعتبر"),"",LEFT($F1856,4)&amp;MID($F1856,6,2)&amp;RIGHT($F1856,2)&amp;"0000"&amp;"|"&amp;"1"&amp;RIGHT("00000"&amp;1851,5))</f>
        <v/>
      </c>
      <c r="H1856">
        <f>IF(OR($B1856&lt;&gt;1,$G1856=""),"",COUNTIFS(LdAParty,$A1856,LdAType,1,LdAKey,"&lt;"&amp;$G1856)+COUNTIFS(LdBMember,$A1856,LdBKey,"&lt;"&amp;$G1856)+COUNTIFS(LdCParty,$A1856,LdCKey,"&lt;"&amp;$G1856)+1)</f>
        <v/>
      </c>
      <c r="I1856">
        <f>IF($H1856="","",$A1856&amp;"|"&amp;RIGHT("000000"&amp;$H1856,6))</f>
        <v/>
      </c>
      <c r="J1856">
        <f>IF(OR($B1856&lt;&gt;2,$G1856=""),"",COUNTIFS(LdAParty,$A1856,LdAType,2,LdAKey,"&lt;"&amp;$G1856)+1)</f>
        <v/>
      </c>
      <c r="K1856">
        <f>IF($J1856="","",$A1856&amp;"|"&amp;RIGHT("000000"&amp;$J1856,6))</f>
        <v/>
      </c>
      <c r="L1856">
        <f>IF($A1856="","",IF(Wages!$G1859="",0,Wages!$G1859))</f>
        <v/>
      </c>
      <c r="M1856">
        <f>IF($A1856="","",Wages!$J1859)</f>
        <v/>
      </c>
      <c r="N1856">
        <f>IF($A1856="","",Wages!$D1859)</f>
        <v/>
      </c>
      <c r="P1856">
        <f>IF(OR(Shares!$B1859="",Shares!$C1859=""),"",Shares!$C1859)</f>
        <v/>
      </c>
      <c r="Q1856">
        <f>IF($P1856="","",Shares!$B1859)</f>
        <v/>
      </c>
      <c r="R1856">
        <f>IF($P1856="","",IFERROR(INDEX(WageParty,MATCH($Q1856,WageIds,0)),""))</f>
        <v/>
      </c>
      <c r="S1856">
        <f>IF($P1856="","",IFERROR(INDEX($F$6:$F$2005,MATCH($Q1856,WageIds,0)),""))</f>
        <v/>
      </c>
      <c r="T1856">
        <f>IF(OR($P1856="",$S1856="",$S1856="نامعتبر"),"",LEFT($S1856,4)&amp;MID($S1856,6,2)&amp;RIGHT($S1856,2)&amp;"0000"&amp;"|"&amp;"2"&amp;RIGHT("00000"&amp;1851,5))</f>
        <v/>
      </c>
      <c r="U1856">
        <f>IF($T1856="","",COUNTIFS(LdAParty,$P1856,LdAType,1,LdAKey,"&lt;"&amp;$T1856)+COUNTIFS(LdBMember,$P1856,LdBKey,"&lt;"&amp;$T1856)+COUNTIFS(LdCParty,$P1856,LdCKey,"&lt;"&amp;$T1856)+1)</f>
        <v/>
      </c>
      <c r="V1856">
        <f>IF($U1856="","",$P1856&amp;"|"&amp;RIGHT("000000"&amp;$U1856,6))</f>
        <v/>
      </c>
      <c r="W1856">
        <f>IF($T1856="","",COUNTIFS(LdBGroup,$R1856,LdBKey,"&lt;"&amp;$T1856)+1)</f>
        <v/>
      </c>
      <c r="X1856">
        <f>IF($W1856="","",$R1856&amp;"|"&amp;RIGHT("000000"&amp;$W1856,6))</f>
        <v/>
      </c>
      <c r="Y1856">
        <f>IF($P1856="","",IF(Shares!$E1859="",0,Shares!$E1859))</f>
        <v/>
      </c>
      <c r="Z1856">
        <f>IF($P1856="","",Shares!$H1859)</f>
        <v/>
      </c>
      <c r="AE1856">
        <f>IF(OR(Sync!$S1856="",Sync!$P1856=""),"",Sync!$S1856)</f>
        <v/>
      </c>
      <c r="AF1856">
        <f>IF($AE1856="","",IF(ISNUMBER(Sync!$P1856),IF(AND(Sync!$P1856&gt;=10000101,Sync!$P1856&lt;=99991231),INT(Sync!$P1856/10000),""),IFERROR(VALUE(TRIM(LEFT(Sync!$P1856,FIND("/",Sync!$P1856)-1))),"")))</f>
        <v/>
      </c>
      <c r="AG1856">
        <f>IF(OR($AE1856="",$AF1856=""),"",IF(ISNUMBER(Sync!$P1856),INT(MOD(Sync!$P1856,10000)/100),IFERROR(VALUE(TRIM(LEFT(MID(Sync!$P1856,FIND("/",Sync!$P1856)+1,20),FIND("/",MID(Sync!$P1856,FIND("/",Sync!$P1856)+1,20))-1))),"")))</f>
        <v/>
      </c>
      <c r="AH1856">
        <f>IF(OR($AE1856="",$AF1856=""),"",IF(ISNUMBER(Sync!$P1856),MOD(Sync!$P1856,100),IFERROR(VALUE(TRIM(MID(MID(Sync!$P1856,FIND("/",Sync!$P1856)+1,20),FIND("/",MID(Sync!$P1856,FIND("/",Sync!$P1856)+1,20))+1,20))),"")))</f>
        <v/>
      </c>
      <c r="AI1856">
        <f>IF($AE1856="","",IF(OR($AF1856="",$AG1856="",$AH1856="",$AF1856&lt;1300,$AF1856&gt;1500,$AG1856&lt;1,$AG1856&gt;12,$AH1856&lt;1,$AH1856&gt;31),"نامعتبر",RIGHT("0000"&amp;$AF1856,4)&amp;"/"&amp;RIGHT("00"&amp;$AG1856,2)&amp;"/"&amp;RIGHT("00"&amp;$AH1856,2)))</f>
        <v/>
      </c>
      <c r="AJ1856">
        <f>IF($AE1856="","",IF(Sync!$Q1856="","0000",IF(AND(ISNUMBER(Sync!$Q1856),Sync!$Q1856&gt;=0,Sync!$Q1856&lt;1),RIGHT("00"&amp;HOUR(Sync!$Q1856),2)&amp;RIGHT("00"&amp;MINUTE(Sync!$Q1856),2),IFERROR(RIGHT("00"&amp;VALUE(LEFT(Sync!$Q1856,FIND(":",Sync!$Q1856)-1)),2)&amp;RIGHT("00"&amp;VALUE(MID(Sync!$Q1856,FIND(":",Sync!$Q1856)+1,2)),2),"0000"))))</f>
        <v/>
      </c>
      <c r="AK1856">
        <f>IF(OR($AE1856="",$AI1856="",$AI1856="نامعتبر"),"",LEFT($AI1856,4)&amp;MID($AI1856,6,2)&amp;RIGHT($AI1856,2)&amp;$AJ1856&amp;"|"&amp;"3"&amp;RIGHT("00000"&amp;1851,5))</f>
        <v/>
      </c>
      <c r="AL1856">
        <f>IF($AK1856="","",COUNTIFS(LdAParty,$AE1856,LdAType,1,LdAKey,"&lt;"&amp;$AK1856)+COUNTIFS(LdBMember,$AE1856,LdBKey,"&lt;"&amp;$AK1856)+COUNTIFS(LdCParty,$AE1856,LdCKey,"&lt;"&amp;$AK1856)+1)</f>
        <v/>
      </c>
      <c r="AM1856">
        <f>IF($AL1856="","",$AE1856&amp;"|"&amp;RIGHT("000000"&amp;$AL1856,6))</f>
        <v/>
      </c>
      <c r="AN1856">
        <f>IF($AE1856="","",IF(Sync!$W1856="",0,Sync!$W1856))</f>
        <v/>
      </c>
      <c r="AO1856">
        <f>IF($AE1856="","",IF(Sync!$X1856="",0,Sync!$X1856))</f>
        <v/>
      </c>
      <c r="AP1856">
        <f>IF($AE1856="","",Sync!$R1856)</f>
        <v/>
      </c>
      <c r="AQ1856">
        <f>IF($AE1856="","",Sync!$Y1856)</f>
        <v/>
      </c>
    </row>
    <row r="1857">
      <c r="A1857">
        <f>IF(OR(Wages!$B1860="",Wages!$E1860=""),"",Wages!$E1860)</f>
        <v/>
      </c>
      <c r="B1857">
        <f>IF($A1857="","",IF(Wages!$C1860="دستمزد گروهی",2,1))</f>
        <v/>
      </c>
      <c r="C1857">
        <f>IF($A1857="","",IF(ISNUMBER(Wages!$B1860),IF(AND(Wages!$B1860&gt;=10000101,Wages!$B1860&lt;=99991231),INT(Wages!$B1860/10000),""),IFERROR(VALUE(TRIM(LEFT(Wages!$B1860,FIND("/",Wages!$B1860)-1))),"")))</f>
        <v/>
      </c>
      <c r="D1857">
        <f>IF(OR($A1857="",$C1857=""),"",IF(ISNUMBER(Wages!$B1860),INT(MOD(Wages!$B1860,10000)/100),IFERROR(VALUE(TRIM(LEFT(MID(Wages!$B1860,FIND("/",Wages!$B1860)+1,20),FIND("/",MID(Wages!$B1860,FIND("/",Wages!$B1860)+1,20))-1))),"")))</f>
        <v/>
      </c>
      <c r="E1857">
        <f>IF(OR($A1857="",$C1857=""),"",IF(ISNUMBER(Wages!$B1860),MOD(Wages!$B1860,100),IFERROR(VALUE(TRIM(MID(MID(Wages!$B1860,FIND("/",Wages!$B1860)+1,20),FIND("/",MID(Wages!$B1860,FIND("/",Wages!$B1860)+1,20))+1,20))),"")))</f>
        <v/>
      </c>
      <c r="F1857">
        <f>IF($A1857="","",IF(OR($C1857="",$D1857="",$E1857="",$C1857&lt;1300,$C1857&gt;1500,$D1857&lt;1,$D1857&gt;12,$E1857&lt;1,$E1857&gt;31),"نامعتبر",RIGHT("0000"&amp;$C1857,4)&amp;"/"&amp;RIGHT("00"&amp;$D1857,2)&amp;"/"&amp;RIGHT("00"&amp;$E1857,2)))</f>
        <v/>
      </c>
      <c r="G1857">
        <f>IF(OR($A1857="",$F1857="",$F1857="نامعتبر"),"",LEFT($F1857,4)&amp;MID($F1857,6,2)&amp;RIGHT($F1857,2)&amp;"0000"&amp;"|"&amp;"1"&amp;RIGHT("00000"&amp;1852,5))</f>
        <v/>
      </c>
      <c r="H1857">
        <f>IF(OR($B1857&lt;&gt;1,$G1857=""),"",COUNTIFS(LdAParty,$A1857,LdAType,1,LdAKey,"&lt;"&amp;$G1857)+COUNTIFS(LdBMember,$A1857,LdBKey,"&lt;"&amp;$G1857)+COUNTIFS(LdCParty,$A1857,LdCKey,"&lt;"&amp;$G1857)+1)</f>
        <v/>
      </c>
      <c r="I1857">
        <f>IF($H1857="","",$A1857&amp;"|"&amp;RIGHT("000000"&amp;$H1857,6))</f>
        <v/>
      </c>
      <c r="J1857">
        <f>IF(OR($B1857&lt;&gt;2,$G1857=""),"",COUNTIFS(LdAParty,$A1857,LdAType,2,LdAKey,"&lt;"&amp;$G1857)+1)</f>
        <v/>
      </c>
      <c r="K1857">
        <f>IF($J1857="","",$A1857&amp;"|"&amp;RIGHT("000000"&amp;$J1857,6))</f>
        <v/>
      </c>
      <c r="L1857">
        <f>IF($A1857="","",IF(Wages!$G1860="",0,Wages!$G1860))</f>
        <v/>
      </c>
      <c r="M1857">
        <f>IF($A1857="","",Wages!$J1860)</f>
        <v/>
      </c>
      <c r="N1857">
        <f>IF($A1857="","",Wages!$D1860)</f>
        <v/>
      </c>
      <c r="P1857">
        <f>IF(OR(Shares!$B1860="",Shares!$C1860=""),"",Shares!$C1860)</f>
        <v/>
      </c>
      <c r="Q1857">
        <f>IF($P1857="","",Shares!$B1860)</f>
        <v/>
      </c>
      <c r="R1857">
        <f>IF($P1857="","",IFERROR(INDEX(WageParty,MATCH($Q1857,WageIds,0)),""))</f>
        <v/>
      </c>
      <c r="S1857">
        <f>IF($P1857="","",IFERROR(INDEX($F$6:$F$2005,MATCH($Q1857,WageIds,0)),""))</f>
        <v/>
      </c>
      <c r="T1857">
        <f>IF(OR($P1857="",$S1857="",$S1857="نامعتبر"),"",LEFT($S1857,4)&amp;MID($S1857,6,2)&amp;RIGHT($S1857,2)&amp;"0000"&amp;"|"&amp;"2"&amp;RIGHT("00000"&amp;1852,5))</f>
        <v/>
      </c>
      <c r="U1857">
        <f>IF($T1857="","",COUNTIFS(LdAParty,$P1857,LdAType,1,LdAKey,"&lt;"&amp;$T1857)+COUNTIFS(LdBMember,$P1857,LdBKey,"&lt;"&amp;$T1857)+COUNTIFS(LdCParty,$P1857,LdCKey,"&lt;"&amp;$T1857)+1)</f>
        <v/>
      </c>
      <c r="V1857">
        <f>IF($U1857="","",$P1857&amp;"|"&amp;RIGHT("000000"&amp;$U1857,6))</f>
        <v/>
      </c>
      <c r="W1857">
        <f>IF($T1857="","",COUNTIFS(LdBGroup,$R1857,LdBKey,"&lt;"&amp;$T1857)+1)</f>
        <v/>
      </c>
      <c r="X1857">
        <f>IF($W1857="","",$R1857&amp;"|"&amp;RIGHT("000000"&amp;$W1857,6))</f>
        <v/>
      </c>
      <c r="Y1857">
        <f>IF($P1857="","",IF(Shares!$E1860="",0,Shares!$E1860))</f>
        <v/>
      </c>
      <c r="Z1857">
        <f>IF($P1857="","",Shares!$H1860)</f>
        <v/>
      </c>
      <c r="AE1857">
        <f>IF(OR(Sync!$S1857="",Sync!$P1857=""),"",Sync!$S1857)</f>
        <v/>
      </c>
      <c r="AF1857">
        <f>IF($AE1857="","",IF(ISNUMBER(Sync!$P1857),IF(AND(Sync!$P1857&gt;=10000101,Sync!$P1857&lt;=99991231),INT(Sync!$P1857/10000),""),IFERROR(VALUE(TRIM(LEFT(Sync!$P1857,FIND("/",Sync!$P1857)-1))),"")))</f>
        <v/>
      </c>
      <c r="AG1857">
        <f>IF(OR($AE1857="",$AF1857=""),"",IF(ISNUMBER(Sync!$P1857),INT(MOD(Sync!$P1857,10000)/100),IFERROR(VALUE(TRIM(LEFT(MID(Sync!$P1857,FIND("/",Sync!$P1857)+1,20),FIND("/",MID(Sync!$P1857,FIND("/",Sync!$P1857)+1,20))-1))),"")))</f>
        <v/>
      </c>
      <c r="AH1857">
        <f>IF(OR($AE1857="",$AF1857=""),"",IF(ISNUMBER(Sync!$P1857),MOD(Sync!$P1857,100),IFERROR(VALUE(TRIM(MID(MID(Sync!$P1857,FIND("/",Sync!$P1857)+1,20),FIND("/",MID(Sync!$P1857,FIND("/",Sync!$P1857)+1,20))+1,20))),"")))</f>
        <v/>
      </c>
      <c r="AI1857">
        <f>IF($AE1857="","",IF(OR($AF1857="",$AG1857="",$AH1857="",$AF1857&lt;1300,$AF1857&gt;1500,$AG1857&lt;1,$AG1857&gt;12,$AH1857&lt;1,$AH1857&gt;31),"نامعتبر",RIGHT("0000"&amp;$AF1857,4)&amp;"/"&amp;RIGHT("00"&amp;$AG1857,2)&amp;"/"&amp;RIGHT("00"&amp;$AH1857,2)))</f>
        <v/>
      </c>
      <c r="AJ1857">
        <f>IF($AE1857="","",IF(Sync!$Q1857="","0000",IF(AND(ISNUMBER(Sync!$Q1857),Sync!$Q1857&gt;=0,Sync!$Q1857&lt;1),RIGHT("00"&amp;HOUR(Sync!$Q1857),2)&amp;RIGHT("00"&amp;MINUTE(Sync!$Q1857),2),IFERROR(RIGHT("00"&amp;VALUE(LEFT(Sync!$Q1857,FIND(":",Sync!$Q1857)-1)),2)&amp;RIGHT("00"&amp;VALUE(MID(Sync!$Q1857,FIND(":",Sync!$Q1857)+1,2)),2),"0000"))))</f>
        <v/>
      </c>
      <c r="AK1857">
        <f>IF(OR($AE1857="",$AI1857="",$AI1857="نامعتبر"),"",LEFT($AI1857,4)&amp;MID($AI1857,6,2)&amp;RIGHT($AI1857,2)&amp;$AJ1857&amp;"|"&amp;"3"&amp;RIGHT("00000"&amp;1852,5))</f>
        <v/>
      </c>
      <c r="AL1857">
        <f>IF($AK1857="","",COUNTIFS(LdAParty,$AE1857,LdAType,1,LdAKey,"&lt;"&amp;$AK1857)+COUNTIFS(LdBMember,$AE1857,LdBKey,"&lt;"&amp;$AK1857)+COUNTIFS(LdCParty,$AE1857,LdCKey,"&lt;"&amp;$AK1857)+1)</f>
        <v/>
      </c>
      <c r="AM1857">
        <f>IF($AL1857="","",$AE1857&amp;"|"&amp;RIGHT("000000"&amp;$AL1857,6))</f>
        <v/>
      </c>
      <c r="AN1857">
        <f>IF($AE1857="","",IF(Sync!$W1857="",0,Sync!$W1857))</f>
        <v/>
      </c>
      <c r="AO1857">
        <f>IF($AE1857="","",IF(Sync!$X1857="",0,Sync!$X1857))</f>
        <v/>
      </c>
      <c r="AP1857">
        <f>IF($AE1857="","",Sync!$R1857)</f>
        <v/>
      </c>
      <c r="AQ1857">
        <f>IF($AE1857="","",Sync!$Y1857)</f>
        <v/>
      </c>
    </row>
    <row r="1858">
      <c r="A1858">
        <f>IF(OR(Wages!$B1861="",Wages!$E1861=""),"",Wages!$E1861)</f>
        <v/>
      </c>
      <c r="B1858">
        <f>IF($A1858="","",IF(Wages!$C1861="دستمزد گروهی",2,1))</f>
        <v/>
      </c>
      <c r="C1858">
        <f>IF($A1858="","",IF(ISNUMBER(Wages!$B1861),IF(AND(Wages!$B1861&gt;=10000101,Wages!$B1861&lt;=99991231),INT(Wages!$B1861/10000),""),IFERROR(VALUE(TRIM(LEFT(Wages!$B1861,FIND("/",Wages!$B1861)-1))),"")))</f>
        <v/>
      </c>
      <c r="D1858">
        <f>IF(OR($A1858="",$C1858=""),"",IF(ISNUMBER(Wages!$B1861),INT(MOD(Wages!$B1861,10000)/100),IFERROR(VALUE(TRIM(LEFT(MID(Wages!$B1861,FIND("/",Wages!$B1861)+1,20),FIND("/",MID(Wages!$B1861,FIND("/",Wages!$B1861)+1,20))-1))),"")))</f>
        <v/>
      </c>
      <c r="E1858">
        <f>IF(OR($A1858="",$C1858=""),"",IF(ISNUMBER(Wages!$B1861),MOD(Wages!$B1861,100),IFERROR(VALUE(TRIM(MID(MID(Wages!$B1861,FIND("/",Wages!$B1861)+1,20),FIND("/",MID(Wages!$B1861,FIND("/",Wages!$B1861)+1,20))+1,20))),"")))</f>
        <v/>
      </c>
      <c r="F1858">
        <f>IF($A1858="","",IF(OR($C1858="",$D1858="",$E1858="",$C1858&lt;1300,$C1858&gt;1500,$D1858&lt;1,$D1858&gt;12,$E1858&lt;1,$E1858&gt;31),"نامعتبر",RIGHT("0000"&amp;$C1858,4)&amp;"/"&amp;RIGHT("00"&amp;$D1858,2)&amp;"/"&amp;RIGHT("00"&amp;$E1858,2)))</f>
        <v/>
      </c>
      <c r="G1858">
        <f>IF(OR($A1858="",$F1858="",$F1858="نامعتبر"),"",LEFT($F1858,4)&amp;MID($F1858,6,2)&amp;RIGHT($F1858,2)&amp;"0000"&amp;"|"&amp;"1"&amp;RIGHT("00000"&amp;1853,5))</f>
        <v/>
      </c>
      <c r="H1858">
        <f>IF(OR($B1858&lt;&gt;1,$G1858=""),"",COUNTIFS(LdAParty,$A1858,LdAType,1,LdAKey,"&lt;"&amp;$G1858)+COUNTIFS(LdBMember,$A1858,LdBKey,"&lt;"&amp;$G1858)+COUNTIFS(LdCParty,$A1858,LdCKey,"&lt;"&amp;$G1858)+1)</f>
        <v/>
      </c>
      <c r="I1858">
        <f>IF($H1858="","",$A1858&amp;"|"&amp;RIGHT("000000"&amp;$H1858,6))</f>
        <v/>
      </c>
      <c r="J1858">
        <f>IF(OR($B1858&lt;&gt;2,$G1858=""),"",COUNTIFS(LdAParty,$A1858,LdAType,2,LdAKey,"&lt;"&amp;$G1858)+1)</f>
        <v/>
      </c>
      <c r="K1858">
        <f>IF($J1858="","",$A1858&amp;"|"&amp;RIGHT("000000"&amp;$J1858,6))</f>
        <v/>
      </c>
      <c r="L1858">
        <f>IF($A1858="","",IF(Wages!$G1861="",0,Wages!$G1861))</f>
        <v/>
      </c>
      <c r="M1858">
        <f>IF($A1858="","",Wages!$J1861)</f>
        <v/>
      </c>
      <c r="N1858">
        <f>IF($A1858="","",Wages!$D1861)</f>
        <v/>
      </c>
      <c r="P1858">
        <f>IF(OR(Shares!$B1861="",Shares!$C1861=""),"",Shares!$C1861)</f>
        <v/>
      </c>
      <c r="Q1858">
        <f>IF($P1858="","",Shares!$B1861)</f>
        <v/>
      </c>
      <c r="R1858">
        <f>IF($P1858="","",IFERROR(INDEX(WageParty,MATCH($Q1858,WageIds,0)),""))</f>
        <v/>
      </c>
      <c r="S1858">
        <f>IF($P1858="","",IFERROR(INDEX($F$6:$F$2005,MATCH($Q1858,WageIds,0)),""))</f>
        <v/>
      </c>
      <c r="T1858">
        <f>IF(OR($P1858="",$S1858="",$S1858="نامعتبر"),"",LEFT($S1858,4)&amp;MID($S1858,6,2)&amp;RIGHT($S1858,2)&amp;"0000"&amp;"|"&amp;"2"&amp;RIGHT("00000"&amp;1853,5))</f>
        <v/>
      </c>
      <c r="U1858">
        <f>IF($T1858="","",COUNTIFS(LdAParty,$P1858,LdAType,1,LdAKey,"&lt;"&amp;$T1858)+COUNTIFS(LdBMember,$P1858,LdBKey,"&lt;"&amp;$T1858)+COUNTIFS(LdCParty,$P1858,LdCKey,"&lt;"&amp;$T1858)+1)</f>
        <v/>
      </c>
      <c r="V1858">
        <f>IF($U1858="","",$P1858&amp;"|"&amp;RIGHT("000000"&amp;$U1858,6))</f>
        <v/>
      </c>
      <c r="W1858">
        <f>IF($T1858="","",COUNTIFS(LdBGroup,$R1858,LdBKey,"&lt;"&amp;$T1858)+1)</f>
        <v/>
      </c>
      <c r="X1858">
        <f>IF($W1858="","",$R1858&amp;"|"&amp;RIGHT("000000"&amp;$W1858,6))</f>
        <v/>
      </c>
      <c r="Y1858">
        <f>IF($P1858="","",IF(Shares!$E1861="",0,Shares!$E1861))</f>
        <v/>
      </c>
      <c r="Z1858">
        <f>IF($P1858="","",Shares!$H1861)</f>
        <v/>
      </c>
      <c r="AE1858">
        <f>IF(OR(Sync!$S1858="",Sync!$P1858=""),"",Sync!$S1858)</f>
        <v/>
      </c>
      <c r="AF1858">
        <f>IF($AE1858="","",IF(ISNUMBER(Sync!$P1858),IF(AND(Sync!$P1858&gt;=10000101,Sync!$P1858&lt;=99991231),INT(Sync!$P1858/10000),""),IFERROR(VALUE(TRIM(LEFT(Sync!$P1858,FIND("/",Sync!$P1858)-1))),"")))</f>
        <v/>
      </c>
      <c r="AG1858">
        <f>IF(OR($AE1858="",$AF1858=""),"",IF(ISNUMBER(Sync!$P1858),INT(MOD(Sync!$P1858,10000)/100),IFERROR(VALUE(TRIM(LEFT(MID(Sync!$P1858,FIND("/",Sync!$P1858)+1,20),FIND("/",MID(Sync!$P1858,FIND("/",Sync!$P1858)+1,20))-1))),"")))</f>
        <v/>
      </c>
      <c r="AH1858">
        <f>IF(OR($AE1858="",$AF1858=""),"",IF(ISNUMBER(Sync!$P1858),MOD(Sync!$P1858,100),IFERROR(VALUE(TRIM(MID(MID(Sync!$P1858,FIND("/",Sync!$P1858)+1,20),FIND("/",MID(Sync!$P1858,FIND("/",Sync!$P1858)+1,20))+1,20))),"")))</f>
        <v/>
      </c>
      <c r="AI1858">
        <f>IF($AE1858="","",IF(OR($AF1858="",$AG1858="",$AH1858="",$AF1858&lt;1300,$AF1858&gt;1500,$AG1858&lt;1,$AG1858&gt;12,$AH1858&lt;1,$AH1858&gt;31),"نامعتبر",RIGHT("0000"&amp;$AF1858,4)&amp;"/"&amp;RIGHT("00"&amp;$AG1858,2)&amp;"/"&amp;RIGHT("00"&amp;$AH1858,2)))</f>
        <v/>
      </c>
      <c r="AJ1858">
        <f>IF($AE1858="","",IF(Sync!$Q1858="","0000",IF(AND(ISNUMBER(Sync!$Q1858),Sync!$Q1858&gt;=0,Sync!$Q1858&lt;1),RIGHT("00"&amp;HOUR(Sync!$Q1858),2)&amp;RIGHT("00"&amp;MINUTE(Sync!$Q1858),2),IFERROR(RIGHT("00"&amp;VALUE(LEFT(Sync!$Q1858,FIND(":",Sync!$Q1858)-1)),2)&amp;RIGHT("00"&amp;VALUE(MID(Sync!$Q1858,FIND(":",Sync!$Q1858)+1,2)),2),"0000"))))</f>
        <v/>
      </c>
      <c r="AK1858">
        <f>IF(OR($AE1858="",$AI1858="",$AI1858="نامعتبر"),"",LEFT($AI1858,4)&amp;MID($AI1858,6,2)&amp;RIGHT($AI1858,2)&amp;$AJ1858&amp;"|"&amp;"3"&amp;RIGHT("00000"&amp;1853,5))</f>
        <v/>
      </c>
      <c r="AL1858">
        <f>IF($AK1858="","",COUNTIFS(LdAParty,$AE1858,LdAType,1,LdAKey,"&lt;"&amp;$AK1858)+COUNTIFS(LdBMember,$AE1858,LdBKey,"&lt;"&amp;$AK1858)+COUNTIFS(LdCParty,$AE1858,LdCKey,"&lt;"&amp;$AK1858)+1)</f>
        <v/>
      </c>
      <c r="AM1858">
        <f>IF($AL1858="","",$AE1858&amp;"|"&amp;RIGHT("000000"&amp;$AL1858,6))</f>
        <v/>
      </c>
      <c r="AN1858">
        <f>IF($AE1858="","",IF(Sync!$W1858="",0,Sync!$W1858))</f>
        <v/>
      </c>
      <c r="AO1858">
        <f>IF($AE1858="","",IF(Sync!$X1858="",0,Sync!$X1858))</f>
        <v/>
      </c>
      <c r="AP1858">
        <f>IF($AE1858="","",Sync!$R1858)</f>
        <v/>
      </c>
      <c r="AQ1858">
        <f>IF($AE1858="","",Sync!$Y1858)</f>
        <v/>
      </c>
    </row>
    <row r="1859">
      <c r="A1859">
        <f>IF(OR(Wages!$B1862="",Wages!$E1862=""),"",Wages!$E1862)</f>
        <v/>
      </c>
      <c r="B1859">
        <f>IF($A1859="","",IF(Wages!$C1862="دستمزد گروهی",2,1))</f>
        <v/>
      </c>
      <c r="C1859">
        <f>IF($A1859="","",IF(ISNUMBER(Wages!$B1862),IF(AND(Wages!$B1862&gt;=10000101,Wages!$B1862&lt;=99991231),INT(Wages!$B1862/10000),""),IFERROR(VALUE(TRIM(LEFT(Wages!$B1862,FIND("/",Wages!$B1862)-1))),"")))</f>
        <v/>
      </c>
      <c r="D1859">
        <f>IF(OR($A1859="",$C1859=""),"",IF(ISNUMBER(Wages!$B1862),INT(MOD(Wages!$B1862,10000)/100),IFERROR(VALUE(TRIM(LEFT(MID(Wages!$B1862,FIND("/",Wages!$B1862)+1,20),FIND("/",MID(Wages!$B1862,FIND("/",Wages!$B1862)+1,20))-1))),"")))</f>
        <v/>
      </c>
      <c r="E1859">
        <f>IF(OR($A1859="",$C1859=""),"",IF(ISNUMBER(Wages!$B1862),MOD(Wages!$B1862,100),IFERROR(VALUE(TRIM(MID(MID(Wages!$B1862,FIND("/",Wages!$B1862)+1,20),FIND("/",MID(Wages!$B1862,FIND("/",Wages!$B1862)+1,20))+1,20))),"")))</f>
        <v/>
      </c>
      <c r="F1859">
        <f>IF($A1859="","",IF(OR($C1859="",$D1859="",$E1859="",$C1859&lt;1300,$C1859&gt;1500,$D1859&lt;1,$D1859&gt;12,$E1859&lt;1,$E1859&gt;31),"نامعتبر",RIGHT("0000"&amp;$C1859,4)&amp;"/"&amp;RIGHT("00"&amp;$D1859,2)&amp;"/"&amp;RIGHT("00"&amp;$E1859,2)))</f>
        <v/>
      </c>
      <c r="G1859">
        <f>IF(OR($A1859="",$F1859="",$F1859="نامعتبر"),"",LEFT($F1859,4)&amp;MID($F1859,6,2)&amp;RIGHT($F1859,2)&amp;"0000"&amp;"|"&amp;"1"&amp;RIGHT("00000"&amp;1854,5))</f>
        <v/>
      </c>
      <c r="H1859">
        <f>IF(OR($B1859&lt;&gt;1,$G1859=""),"",COUNTIFS(LdAParty,$A1859,LdAType,1,LdAKey,"&lt;"&amp;$G1859)+COUNTIFS(LdBMember,$A1859,LdBKey,"&lt;"&amp;$G1859)+COUNTIFS(LdCParty,$A1859,LdCKey,"&lt;"&amp;$G1859)+1)</f>
        <v/>
      </c>
      <c r="I1859">
        <f>IF($H1859="","",$A1859&amp;"|"&amp;RIGHT("000000"&amp;$H1859,6))</f>
        <v/>
      </c>
      <c r="J1859">
        <f>IF(OR($B1859&lt;&gt;2,$G1859=""),"",COUNTIFS(LdAParty,$A1859,LdAType,2,LdAKey,"&lt;"&amp;$G1859)+1)</f>
        <v/>
      </c>
      <c r="K1859">
        <f>IF($J1859="","",$A1859&amp;"|"&amp;RIGHT("000000"&amp;$J1859,6))</f>
        <v/>
      </c>
      <c r="L1859">
        <f>IF($A1859="","",IF(Wages!$G1862="",0,Wages!$G1862))</f>
        <v/>
      </c>
      <c r="M1859">
        <f>IF($A1859="","",Wages!$J1862)</f>
        <v/>
      </c>
      <c r="N1859">
        <f>IF($A1859="","",Wages!$D1862)</f>
        <v/>
      </c>
      <c r="P1859">
        <f>IF(OR(Shares!$B1862="",Shares!$C1862=""),"",Shares!$C1862)</f>
        <v/>
      </c>
      <c r="Q1859">
        <f>IF($P1859="","",Shares!$B1862)</f>
        <v/>
      </c>
      <c r="R1859">
        <f>IF($P1859="","",IFERROR(INDEX(WageParty,MATCH($Q1859,WageIds,0)),""))</f>
        <v/>
      </c>
      <c r="S1859">
        <f>IF($P1859="","",IFERROR(INDEX($F$6:$F$2005,MATCH($Q1859,WageIds,0)),""))</f>
        <v/>
      </c>
      <c r="T1859">
        <f>IF(OR($P1859="",$S1859="",$S1859="نامعتبر"),"",LEFT($S1859,4)&amp;MID($S1859,6,2)&amp;RIGHT($S1859,2)&amp;"0000"&amp;"|"&amp;"2"&amp;RIGHT("00000"&amp;1854,5))</f>
        <v/>
      </c>
      <c r="U1859">
        <f>IF($T1859="","",COUNTIFS(LdAParty,$P1859,LdAType,1,LdAKey,"&lt;"&amp;$T1859)+COUNTIFS(LdBMember,$P1859,LdBKey,"&lt;"&amp;$T1859)+COUNTIFS(LdCParty,$P1859,LdCKey,"&lt;"&amp;$T1859)+1)</f>
        <v/>
      </c>
      <c r="V1859">
        <f>IF($U1859="","",$P1859&amp;"|"&amp;RIGHT("000000"&amp;$U1859,6))</f>
        <v/>
      </c>
      <c r="W1859">
        <f>IF($T1859="","",COUNTIFS(LdBGroup,$R1859,LdBKey,"&lt;"&amp;$T1859)+1)</f>
        <v/>
      </c>
      <c r="X1859">
        <f>IF($W1859="","",$R1859&amp;"|"&amp;RIGHT("000000"&amp;$W1859,6))</f>
        <v/>
      </c>
      <c r="Y1859">
        <f>IF($P1859="","",IF(Shares!$E1862="",0,Shares!$E1862))</f>
        <v/>
      </c>
      <c r="Z1859">
        <f>IF($P1859="","",Shares!$H1862)</f>
        <v/>
      </c>
      <c r="AE1859">
        <f>IF(OR(Sync!$S1859="",Sync!$P1859=""),"",Sync!$S1859)</f>
        <v/>
      </c>
      <c r="AF1859">
        <f>IF($AE1859="","",IF(ISNUMBER(Sync!$P1859),IF(AND(Sync!$P1859&gt;=10000101,Sync!$P1859&lt;=99991231),INT(Sync!$P1859/10000),""),IFERROR(VALUE(TRIM(LEFT(Sync!$P1859,FIND("/",Sync!$P1859)-1))),"")))</f>
        <v/>
      </c>
      <c r="AG1859">
        <f>IF(OR($AE1859="",$AF1859=""),"",IF(ISNUMBER(Sync!$P1859),INT(MOD(Sync!$P1859,10000)/100),IFERROR(VALUE(TRIM(LEFT(MID(Sync!$P1859,FIND("/",Sync!$P1859)+1,20),FIND("/",MID(Sync!$P1859,FIND("/",Sync!$P1859)+1,20))-1))),"")))</f>
        <v/>
      </c>
      <c r="AH1859">
        <f>IF(OR($AE1859="",$AF1859=""),"",IF(ISNUMBER(Sync!$P1859),MOD(Sync!$P1859,100),IFERROR(VALUE(TRIM(MID(MID(Sync!$P1859,FIND("/",Sync!$P1859)+1,20),FIND("/",MID(Sync!$P1859,FIND("/",Sync!$P1859)+1,20))+1,20))),"")))</f>
        <v/>
      </c>
      <c r="AI1859">
        <f>IF($AE1859="","",IF(OR($AF1859="",$AG1859="",$AH1859="",$AF1859&lt;1300,$AF1859&gt;1500,$AG1859&lt;1,$AG1859&gt;12,$AH1859&lt;1,$AH1859&gt;31),"نامعتبر",RIGHT("0000"&amp;$AF1859,4)&amp;"/"&amp;RIGHT("00"&amp;$AG1859,2)&amp;"/"&amp;RIGHT("00"&amp;$AH1859,2)))</f>
        <v/>
      </c>
      <c r="AJ1859">
        <f>IF($AE1859="","",IF(Sync!$Q1859="","0000",IF(AND(ISNUMBER(Sync!$Q1859),Sync!$Q1859&gt;=0,Sync!$Q1859&lt;1),RIGHT("00"&amp;HOUR(Sync!$Q1859),2)&amp;RIGHT("00"&amp;MINUTE(Sync!$Q1859),2),IFERROR(RIGHT("00"&amp;VALUE(LEFT(Sync!$Q1859,FIND(":",Sync!$Q1859)-1)),2)&amp;RIGHT("00"&amp;VALUE(MID(Sync!$Q1859,FIND(":",Sync!$Q1859)+1,2)),2),"0000"))))</f>
        <v/>
      </c>
      <c r="AK1859">
        <f>IF(OR($AE1859="",$AI1859="",$AI1859="نامعتبر"),"",LEFT($AI1859,4)&amp;MID($AI1859,6,2)&amp;RIGHT($AI1859,2)&amp;$AJ1859&amp;"|"&amp;"3"&amp;RIGHT("00000"&amp;1854,5))</f>
        <v/>
      </c>
      <c r="AL1859">
        <f>IF($AK1859="","",COUNTIFS(LdAParty,$AE1859,LdAType,1,LdAKey,"&lt;"&amp;$AK1859)+COUNTIFS(LdBMember,$AE1859,LdBKey,"&lt;"&amp;$AK1859)+COUNTIFS(LdCParty,$AE1859,LdCKey,"&lt;"&amp;$AK1859)+1)</f>
        <v/>
      </c>
      <c r="AM1859">
        <f>IF($AL1859="","",$AE1859&amp;"|"&amp;RIGHT("000000"&amp;$AL1859,6))</f>
        <v/>
      </c>
      <c r="AN1859">
        <f>IF($AE1859="","",IF(Sync!$W1859="",0,Sync!$W1859))</f>
        <v/>
      </c>
      <c r="AO1859">
        <f>IF($AE1859="","",IF(Sync!$X1859="",0,Sync!$X1859))</f>
        <v/>
      </c>
      <c r="AP1859">
        <f>IF($AE1859="","",Sync!$R1859)</f>
        <v/>
      </c>
      <c r="AQ1859">
        <f>IF($AE1859="","",Sync!$Y1859)</f>
        <v/>
      </c>
    </row>
    <row r="1860">
      <c r="A1860">
        <f>IF(OR(Wages!$B1863="",Wages!$E1863=""),"",Wages!$E1863)</f>
        <v/>
      </c>
      <c r="B1860">
        <f>IF($A1860="","",IF(Wages!$C1863="دستمزد گروهی",2,1))</f>
        <v/>
      </c>
      <c r="C1860">
        <f>IF($A1860="","",IF(ISNUMBER(Wages!$B1863),IF(AND(Wages!$B1863&gt;=10000101,Wages!$B1863&lt;=99991231),INT(Wages!$B1863/10000),""),IFERROR(VALUE(TRIM(LEFT(Wages!$B1863,FIND("/",Wages!$B1863)-1))),"")))</f>
        <v/>
      </c>
      <c r="D1860">
        <f>IF(OR($A1860="",$C1860=""),"",IF(ISNUMBER(Wages!$B1863),INT(MOD(Wages!$B1863,10000)/100),IFERROR(VALUE(TRIM(LEFT(MID(Wages!$B1863,FIND("/",Wages!$B1863)+1,20),FIND("/",MID(Wages!$B1863,FIND("/",Wages!$B1863)+1,20))-1))),"")))</f>
        <v/>
      </c>
      <c r="E1860">
        <f>IF(OR($A1860="",$C1860=""),"",IF(ISNUMBER(Wages!$B1863),MOD(Wages!$B1863,100),IFERROR(VALUE(TRIM(MID(MID(Wages!$B1863,FIND("/",Wages!$B1863)+1,20),FIND("/",MID(Wages!$B1863,FIND("/",Wages!$B1863)+1,20))+1,20))),"")))</f>
        <v/>
      </c>
      <c r="F1860">
        <f>IF($A1860="","",IF(OR($C1860="",$D1860="",$E1860="",$C1860&lt;1300,$C1860&gt;1500,$D1860&lt;1,$D1860&gt;12,$E1860&lt;1,$E1860&gt;31),"نامعتبر",RIGHT("0000"&amp;$C1860,4)&amp;"/"&amp;RIGHT("00"&amp;$D1860,2)&amp;"/"&amp;RIGHT("00"&amp;$E1860,2)))</f>
        <v/>
      </c>
      <c r="G1860">
        <f>IF(OR($A1860="",$F1860="",$F1860="نامعتبر"),"",LEFT($F1860,4)&amp;MID($F1860,6,2)&amp;RIGHT($F1860,2)&amp;"0000"&amp;"|"&amp;"1"&amp;RIGHT("00000"&amp;1855,5))</f>
        <v/>
      </c>
      <c r="H1860">
        <f>IF(OR($B1860&lt;&gt;1,$G1860=""),"",COUNTIFS(LdAParty,$A1860,LdAType,1,LdAKey,"&lt;"&amp;$G1860)+COUNTIFS(LdBMember,$A1860,LdBKey,"&lt;"&amp;$G1860)+COUNTIFS(LdCParty,$A1860,LdCKey,"&lt;"&amp;$G1860)+1)</f>
        <v/>
      </c>
      <c r="I1860">
        <f>IF($H1860="","",$A1860&amp;"|"&amp;RIGHT("000000"&amp;$H1860,6))</f>
        <v/>
      </c>
      <c r="J1860">
        <f>IF(OR($B1860&lt;&gt;2,$G1860=""),"",COUNTIFS(LdAParty,$A1860,LdAType,2,LdAKey,"&lt;"&amp;$G1860)+1)</f>
        <v/>
      </c>
      <c r="K1860">
        <f>IF($J1860="","",$A1860&amp;"|"&amp;RIGHT("000000"&amp;$J1860,6))</f>
        <v/>
      </c>
      <c r="L1860">
        <f>IF($A1860="","",IF(Wages!$G1863="",0,Wages!$G1863))</f>
        <v/>
      </c>
      <c r="M1860">
        <f>IF($A1860="","",Wages!$J1863)</f>
        <v/>
      </c>
      <c r="N1860">
        <f>IF($A1860="","",Wages!$D1863)</f>
        <v/>
      </c>
      <c r="P1860">
        <f>IF(OR(Shares!$B1863="",Shares!$C1863=""),"",Shares!$C1863)</f>
        <v/>
      </c>
      <c r="Q1860">
        <f>IF($P1860="","",Shares!$B1863)</f>
        <v/>
      </c>
      <c r="R1860">
        <f>IF($P1860="","",IFERROR(INDEX(WageParty,MATCH($Q1860,WageIds,0)),""))</f>
        <v/>
      </c>
      <c r="S1860">
        <f>IF($P1860="","",IFERROR(INDEX($F$6:$F$2005,MATCH($Q1860,WageIds,0)),""))</f>
        <v/>
      </c>
      <c r="T1860">
        <f>IF(OR($P1860="",$S1860="",$S1860="نامعتبر"),"",LEFT($S1860,4)&amp;MID($S1860,6,2)&amp;RIGHT($S1860,2)&amp;"0000"&amp;"|"&amp;"2"&amp;RIGHT("00000"&amp;1855,5))</f>
        <v/>
      </c>
      <c r="U1860">
        <f>IF($T1860="","",COUNTIFS(LdAParty,$P1860,LdAType,1,LdAKey,"&lt;"&amp;$T1860)+COUNTIFS(LdBMember,$P1860,LdBKey,"&lt;"&amp;$T1860)+COUNTIFS(LdCParty,$P1860,LdCKey,"&lt;"&amp;$T1860)+1)</f>
        <v/>
      </c>
      <c r="V1860">
        <f>IF($U1860="","",$P1860&amp;"|"&amp;RIGHT("000000"&amp;$U1860,6))</f>
        <v/>
      </c>
      <c r="W1860">
        <f>IF($T1860="","",COUNTIFS(LdBGroup,$R1860,LdBKey,"&lt;"&amp;$T1860)+1)</f>
        <v/>
      </c>
      <c r="X1860">
        <f>IF($W1860="","",$R1860&amp;"|"&amp;RIGHT("000000"&amp;$W1860,6))</f>
        <v/>
      </c>
      <c r="Y1860">
        <f>IF($P1860="","",IF(Shares!$E1863="",0,Shares!$E1863))</f>
        <v/>
      </c>
      <c r="Z1860">
        <f>IF($P1860="","",Shares!$H1863)</f>
        <v/>
      </c>
      <c r="AE1860">
        <f>IF(OR(Sync!$S1860="",Sync!$P1860=""),"",Sync!$S1860)</f>
        <v/>
      </c>
      <c r="AF1860">
        <f>IF($AE1860="","",IF(ISNUMBER(Sync!$P1860),IF(AND(Sync!$P1860&gt;=10000101,Sync!$P1860&lt;=99991231),INT(Sync!$P1860/10000),""),IFERROR(VALUE(TRIM(LEFT(Sync!$P1860,FIND("/",Sync!$P1860)-1))),"")))</f>
        <v/>
      </c>
      <c r="AG1860">
        <f>IF(OR($AE1860="",$AF1860=""),"",IF(ISNUMBER(Sync!$P1860),INT(MOD(Sync!$P1860,10000)/100),IFERROR(VALUE(TRIM(LEFT(MID(Sync!$P1860,FIND("/",Sync!$P1860)+1,20),FIND("/",MID(Sync!$P1860,FIND("/",Sync!$P1860)+1,20))-1))),"")))</f>
        <v/>
      </c>
      <c r="AH1860">
        <f>IF(OR($AE1860="",$AF1860=""),"",IF(ISNUMBER(Sync!$P1860),MOD(Sync!$P1860,100),IFERROR(VALUE(TRIM(MID(MID(Sync!$P1860,FIND("/",Sync!$P1860)+1,20),FIND("/",MID(Sync!$P1860,FIND("/",Sync!$P1860)+1,20))+1,20))),"")))</f>
        <v/>
      </c>
      <c r="AI1860">
        <f>IF($AE1860="","",IF(OR($AF1860="",$AG1860="",$AH1860="",$AF1860&lt;1300,$AF1860&gt;1500,$AG1860&lt;1,$AG1860&gt;12,$AH1860&lt;1,$AH1860&gt;31),"نامعتبر",RIGHT("0000"&amp;$AF1860,4)&amp;"/"&amp;RIGHT("00"&amp;$AG1860,2)&amp;"/"&amp;RIGHT("00"&amp;$AH1860,2)))</f>
        <v/>
      </c>
      <c r="AJ1860">
        <f>IF($AE1860="","",IF(Sync!$Q1860="","0000",IF(AND(ISNUMBER(Sync!$Q1860),Sync!$Q1860&gt;=0,Sync!$Q1860&lt;1),RIGHT("00"&amp;HOUR(Sync!$Q1860),2)&amp;RIGHT("00"&amp;MINUTE(Sync!$Q1860),2),IFERROR(RIGHT("00"&amp;VALUE(LEFT(Sync!$Q1860,FIND(":",Sync!$Q1860)-1)),2)&amp;RIGHT("00"&amp;VALUE(MID(Sync!$Q1860,FIND(":",Sync!$Q1860)+1,2)),2),"0000"))))</f>
        <v/>
      </c>
      <c r="AK1860">
        <f>IF(OR($AE1860="",$AI1860="",$AI1860="نامعتبر"),"",LEFT($AI1860,4)&amp;MID($AI1860,6,2)&amp;RIGHT($AI1860,2)&amp;$AJ1860&amp;"|"&amp;"3"&amp;RIGHT("00000"&amp;1855,5))</f>
        <v/>
      </c>
      <c r="AL1860">
        <f>IF($AK1860="","",COUNTIFS(LdAParty,$AE1860,LdAType,1,LdAKey,"&lt;"&amp;$AK1860)+COUNTIFS(LdBMember,$AE1860,LdBKey,"&lt;"&amp;$AK1860)+COUNTIFS(LdCParty,$AE1860,LdCKey,"&lt;"&amp;$AK1860)+1)</f>
        <v/>
      </c>
      <c r="AM1860">
        <f>IF($AL1860="","",$AE1860&amp;"|"&amp;RIGHT("000000"&amp;$AL1860,6))</f>
        <v/>
      </c>
      <c r="AN1860">
        <f>IF($AE1860="","",IF(Sync!$W1860="",0,Sync!$W1860))</f>
        <v/>
      </c>
      <c r="AO1860">
        <f>IF($AE1860="","",IF(Sync!$X1860="",0,Sync!$X1860))</f>
        <v/>
      </c>
      <c r="AP1860">
        <f>IF($AE1860="","",Sync!$R1860)</f>
        <v/>
      </c>
      <c r="AQ1860">
        <f>IF($AE1860="","",Sync!$Y1860)</f>
        <v/>
      </c>
    </row>
    <row r="1861">
      <c r="A1861">
        <f>IF(OR(Wages!$B1864="",Wages!$E1864=""),"",Wages!$E1864)</f>
        <v/>
      </c>
      <c r="B1861">
        <f>IF($A1861="","",IF(Wages!$C1864="دستمزد گروهی",2,1))</f>
        <v/>
      </c>
      <c r="C1861">
        <f>IF($A1861="","",IF(ISNUMBER(Wages!$B1864),IF(AND(Wages!$B1864&gt;=10000101,Wages!$B1864&lt;=99991231),INT(Wages!$B1864/10000),""),IFERROR(VALUE(TRIM(LEFT(Wages!$B1864,FIND("/",Wages!$B1864)-1))),"")))</f>
        <v/>
      </c>
      <c r="D1861">
        <f>IF(OR($A1861="",$C1861=""),"",IF(ISNUMBER(Wages!$B1864),INT(MOD(Wages!$B1864,10000)/100),IFERROR(VALUE(TRIM(LEFT(MID(Wages!$B1864,FIND("/",Wages!$B1864)+1,20),FIND("/",MID(Wages!$B1864,FIND("/",Wages!$B1864)+1,20))-1))),"")))</f>
        <v/>
      </c>
      <c r="E1861">
        <f>IF(OR($A1861="",$C1861=""),"",IF(ISNUMBER(Wages!$B1864),MOD(Wages!$B1864,100),IFERROR(VALUE(TRIM(MID(MID(Wages!$B1864,FIND("/",Wages!$B1864)+1,20),FIND("/",MID(Wages!$B1864,FIND("/",Wages!$B1864)+1,20))+1,20))),"")))</f>
        <v/>
      </c>
      <c r="F1861">
        <f>IF($A1861="","",IF(OR($C1861="",$D1861="",$E1861="",$C1861&lt;1300,$C1861&gt;1500,$D1861&lt;1,$D1861&gt;12,$E1861&lt;1,$E1861&gt;31),"نامعتبر",RIGHT("0000"&amp;$C1861,4)&amp;"/"&amp;RIGHT("00"&amp;$D1861,2)&amp;"/"&amp;RIGHT("00"&amp;$E1861,2)))</f>
        <v/>
      </c>
      <c r="G1861">
        <f>IF(OR($A1861="",$F1861="",$F1861="نامعتبر"),"",LEFT($F1861,4)&amp;MID($F1861,6,2)&amp;RIGHT($F1861,2)&amp;"0000"&amp;"|"&amp;"1"&amp;RIGHT("00000"&amp;1856,5))</f>
        <v/>
      </c>
      <c r="H1861">
        <f>IF(OR($B1861&lt;&gt;1,$G1861=""),"",COUNTIFS(LdAParty,$A1861,LdAType,1,LdAKey,"&lt;"&amp;$G1861)+COUNTIFS(LdBMember,$A1861,LdBKey,"&lt;"&amp;$G1861)+COUNTIFS(LdCParty,$A1861,LdCKey,"&lt;"&amp;$G1861)+1)</f>
        <v/>
      </c>
      <c r="I1861">
        <f>IF($H1861="","",$A1861&amp;"|"&amp;RIGHT("000000"&amp;$H1861,6))</f>
        <v/>
      </c>
      <c r="J1861">
        <f>IF(OR($B1861&lt;&gt;2,$G1861=""),"",COUNTIFS(LdAParty,$A1861,LdAType,2,LdAKey,"&lt;"&amp;$G1861)+1)</f>
        <v/>
      </c>
      <c r="K1861">
        <f>IF($J1861="","",$A1861&amp;"|"&amp;RIGHT("000000"&amp;$J1861,6))</f>
        <v/>
      </c>
      <c r="L1861">
        <f>IF($A1861="","",IF(Wages!$G1864="",0,Wages!$G1864))</f>
        <v/>
      </c>
      <c r="M1861">
        <f>IF($A1861="","",Wages!$J1864)</f>
        <v/>
      </c>
      <c r="N1861">
        <f>IF($A1861="","",Wages!$D1864)</f>
        <v/>
      </c>
      <c r="P1861">
        <f>IF(OR(Shares!$B1864="",Shares!$C1864=""),"",Shares!$C1864)</f>
        <v/>
      </c>
      <c r="Q1861">
        <f>IF($P1861="","",Shares!$B1864)</f>
        <v/>
      </c>
      <c r="R1861">
        <f>IF($P1861="","",IFERROR(INDEX(WageParty,MATCH($Q1861,WageIds,0)),""))</f>
        <v/>
      </c>
      <c r="S1861">
        <f>IF($P1861="","",IFERROR(INDEX($F$6:$F$2005,MATCH($Q1861,WageIds,0)),""))</f>
        <v/>
      </c>
      <c r="T1861">
        <f>IF(OR($P1861="",$S1861="",$S1861="نامعتبر"),"",LEFT($S1861,4)&amp;MID($S1861,6,2)&amp;RIGHT($S1861,2)&amp;"0000"&amp;"|"&amp;"2"&amp;RIGHT("00000"&amp;1856,5))</f>
        <v/>
      </c>
      <c r="U1861">
        <f>IF($T1861="","",COUNTIFS(LdAParty,$P1861,LdAType,1,LdAKey,"&lt;"&amp;$T1861)+COUNTIFS(LdBMember,$P1861,LdBKey,"&lt;"&amp;$T1861)+COUNTIFS(LdCParty,$P1861,LdCKey,"&lt;"&amp;$T1861)+1)</f>
        <v/>
      </c>
      <c r="V1861">
        <f>IF($U1861="","",$P1861&amp;"|"&amp;RIGHT("000000"&amp;$U1861,6))</f>
        <v/>
      </c>
      <c r="W1861">
        <f>IF($T1861="","",COUNTIFS(LdBGroup,$R1861,LdBKey,"&lt;"&amp;$T1861)+1)</f>
        <v/>
      </c>
      <c r="X1861">
        <f>IF($W1861="","",$R1861&amp;"|"&amp;RIGHT("000000"&amp;$W1861,6))</f>
        <v/>
      </c>
      <c r="Y1861">
        <f>IF($P1861="","",IF(Shares!$E1864="",0,Shares!$E1864))</f>
        <v/>
      </c>
      <c r="Z1861">
        <f>IF($P1861="","",Shares!$H1864)</f>
        <v/>
      </c>
      <c r="AE1861">
        <f>IF(OR(Sync!$S1861="",Sync!$P1861=""),"",Sync!$S1861)</f>
        <v/>
      </c>
      <c r="AF1861">
        <f>IF($AE1861="","",IF(ISNUMBER(Sync!$P1861),IF(AND(Sync!$P1861&gt;=10000101,Sync!$P1861&lt;=99991231),INT(Sync!$P1861/10000),""),IFERROR(VALUE(TRIM(LEFT(Sync!$P1861,FIND("/",Sync!$P1861)-1))),"")))</f>
        <v/>
      </c>
      <c r="AG1861">
        <f>IF(OR($AE1861="",$AF1861=""),"",IF(ISNUMBER(Sync!$P1861),INT(MOD(Sync!$P1861,10000)/100),IFERROR(VALUE(TRIM(LEFT(MID(Sync!$P1861,FIND("/",Sync!$P1861)+1,20),FIND("/",MID(Sync!$P1861,FIND("/",Sync!$P1861)+1,20))-1))),"")))</f>
        <v/>
      </c>
      <c r="AH1861">
        <f>IF(OR($AE1861="",$AF1861=""),"",IF(ISNUMBER(Sync!$P1861),MOD(Sync!$P1861,100),IFERROR(VALUE(TRIM(MID(MID(Sync!$P1861,FIND("/",Sync!$P1861)+1,20),FIND("/",MID(Sync!$P1861,FIND("/",Sync!$P1861)+1,20))+1,20))),"")))</f>
        <v/>
      </c>
      <c r="AI1861">
        <f>IF($AE1861="","",IF(OR($AF1861="",$AG1861="",$AH1861="",$AF1861&lt;1300,$AF1861&gt;1500,$AG1861&lt;1,$AG1861&gt;12,$AH1861&lt;1,$AH1861&gt;31),"نامعتبر",RIGHT("0000"&amp;$AF1861,4)&amp;"/"&amp;RIGHT("00"&amp;$AG1861,2)&amp;"/"&amp;RIGHT("00"&amp;$AH1861,2)))</f>
        <v/>
      </c>
      <c r="AJ1861">
        <f>IF($AE1861="","",IF(Sync!$Q1861="","0000",IF(AND(ISNUMBER(Sync!$Q1861),Sync!$Q1861&gt;=0,Sync!$Q1861&lt;1),RIGHT("00"&amp;HOUR(Sync!$Q1861),2)&amp;RIGHT("00"&amp;MINUTE(Sync!$Q1861),2),IFERROR(RIGHT("00"&amp;VALUE(LEFT(Sync!$Q1861,FIND(":",Sync!$Q1861)-1)),2)&amp;RIGHT("00"&amp;VALUE(MID(Sync!$Q1861,FIND(":",Sync!$Q1861)+1,2)),2),"0000"))))</f>
        <v/>
      </c>
      <c r="AK1861">
        <f>IF(OR($AE1861="",$AI1861="",$AI1861="نامعتبر"),"",LEFT($AI1861,4)&amp;MID($AI1861,6,2)&amp;RIGHT($AI1861,2)&amp;$AJ1861&amp;"|"&amp;"3"&amp;RIGHT("00000"&amp;1856,5))</f>
        <v/>
      </c>
      <c r="AL1861">
        <f>IF($AK1861="","",COUNTIFS(LdAParty,$AE1861,LdAType,1,LdAKey,"&lt;"&amp;$AK1861)+COUNTIFS(LdBMember,$AE1861,LdBKey,"&lt;"&amp;$AK1861)+COUNTIFS(LdCParty,$AE1861,LdCKey,"&lt;"&amp;$AK1861)+1)</f>
        <v/>
      </c>
      <c r="AM1861">
        <f>IF($AL1861="","",$AE1861&amp;"|"&amp;RIGHT("000000"&amp;$AL1861,6))</f>
        <v/>
      </c>
      <c r="AN1861">
        <f>IF($AE1861="","",IF(Sync!$W1861="",0,Sync!$W1861))</f>
        <v/>
      </c>
      <c r="AO1861">
        <f>IF($AE1861="","",IF(Sync!$X1861="",0,Sync!$X1861))</f>
        <v/>
      </c>
      <c r="AP1861">
        <f>IF($AE1861="","",Sync!$R1861)</f>
        <v/>
      </c>
      <c r="AQ1861">
        <f>IF($AE1861="","",Sync!$Y1861)</f>
        <v/>
      </c>
    </row>
    <row r="1862">
      <c r="A1862">
        <f>IF(OR(Wages!$B1865="",Wages!$E1865=""),"",Wages!$E1865)</f>
        <v/>
      </c>
      <c r="B1862">
        <f>IF($A1862="","",IF(Wages!$C1865="دستمزد گروهی",2,1))</f>
        <v/>
      </c>
      <c r="C1862">
        <f>IF($A1862="","",IF(ISNUMBER(Wages!$B1865),IF(AND(Wages!$B1865&gt;=10000101,Wages!$B1865&lt;=99991231),INT(Wages!$B1865/10000),""),IFERROR(VALUE(TRIM(LEFT(Wages!$B1865,FIND("/",Wages!$B1865)-1))),"")))</f>
        <v/>
      </c>
      <c r="D1862">
        <f>IF(OR($A1862="",$C1862=""),"",IF(ISNUMBER(Wages!$B1865),INT(MOD(Wages!$B1865,10000)/100),IFERROR(VALUE(TRIM(LEFT(MID(Wages!$B1865,FIND("/",Wages!$B1865)+1,20),FIND("/",MID(Wages!$B1865,FIND("/",Wages!$B1865)+1,20))-1))),"")))</f>
        <v/>
      </c>
      <c r="E1862">
        <f>IF(OR($A1862="",$C1862=""),"",IF(ISNUMBER(Wages!$B1865),MOD(Wages!$B1865,100),IFERROR(VALUE(TRIM(MID(MID(Wages!$B1865,FIND("/",Wages!$B1865)+1,20),FIND("/",MID(Wages!$B1865,FIND("/",Wages!$B1865)+1,20))+1,20))),"")))</f>
        <v/>
      </c>
      <c r="F1862">
        <f>IF($A1862="","",IF(OR($C1862="",$D1862="",$E1862="",$C1862&lt;1300,$C1862&gt;1500,$D1862&lt;1,$D1862&gt;12,$E1862&lt;1,$E1862&gt;31),"نامعتبر",RIGHT("0000"&amp;$C1862,4)&amp;"/"&amp;RIGHT("00"&amp;$D1862,2)&amp;"/"&amp;RIGHT("00"&amp;$E1862,2)))</f>
        <v/>
      </c>
      <c r="G1862">
        <f>IF(OR($A1862="",$F1862="",$F1862="نامعتبر"),"",LEFT($F1862,4)&amp;MID($F1862,6,2)&amp;RIGHT($F1862,2)&amp;"0000"&amp;"|"&amp;"1"&amp;RIGHT("00000"&amp;1857,5))</f>
        <v/>
      </c>
      <c r="H1862">
        <f>IF(OR($B1862&lt;&gt;1,$G1862=""),"",COUNTIFS(LdAParty,$A1862,LdAType,1,LdAKey,"&lt;"&amp;$G1862)+COUNTIFS(LdBMember,$A1862,LdBKey,"&lt;"&amp;$G1862)+COUNTIFS(LdCParty,$A1862,LdCKey,"&lt;"&amp;$G1862)+1)</f>
        <v/>
      </c>
      <c r="I1862">
        <f>IF($H1862="","",$A1862&amp;"|"&amp;RIGHT("000000"&amp;$H1862,6))</f>
        <v/>
      </c>
      <c r="J1862">
        <f>IF(OR($B1862&lt;&gt;2,$G1862=""),"",COUNTIFS(LdAParty,$A1862,LdAType,2,LdAKey,"&lt;"&amp;$G1862)+1)</f>
        <v/>
      </c>
      <c r="K1862">
        <f>IF($J1862="","",$A1862&amp;"|"&amp;RIGHT("000000"&amp;$J1862,6))</f>
        <v/>
      </c>
      <c r="L1862">
        <f>IF($A1862="","",IF(Wages!$G1865="",0,Wages!$G1865))</f>
        <v/>
      </c>
      <c r="M1862">
        <f>IF($A1862="","",Wages!$J1865)</f>
        <v/>
      </c>
      <c r="N1862">
        <f>IF($A1862="","",Wages!$D1865)</f>
        <v/>
      </c>
      <c r="P1862">
        <f>IF(OR(Shares!$B1865="",Shares!$C1865=""),"",Shares!$C1865)</f>
        <v/>
      </c>
      <c r="Q1862">
        <f>IF($P1862="","",Shares!$B1865)</f>
        <v/>
      </c>
      <c r="R1862">
        <f>IF($P1862="","",IFERROR(INDEX(WageParty,MATCH($Q1862,WageIds,0)),""))</f>
        <v/>
      </c>
      <c r="S1862">
        <f>IF($P1862="","",IFERROR(INDEX($F$6:$F$2005,MATCH($Q1862,WageIds,0)),""))</f>
        <v/>
      </c>
      <c r="T1862">
        <f>IF(OR($P1862="",$S1862="",$S1862="نامعتبر"),"",LEFT($S1862,4)&amp;MID($S1862,6,2)&amp;RIGHT($S1862,2)&amp;"0000"&amp;"|"&amp;"2"&amp;RIGHT("00000"&amp;1857,5))</f>
        <v/>
      </c>
      <c r="U1862">
        <f>IF($T1862="","",COUNTIFS(LdAParty,$P1862,LdAType,1,LdAKey,"&lt;"&amp;$T1862)+COUNTIFS(LdBMember,$P1862,LdBKey,"&lt;"&amp;$T1862)+COUNTIFS(LdCParty,$P1862,LdCKey,"&lt;"&amp;$T1862)+1)</f>
        <v/>
      </c>
      <c r="V1862">
        <f>IF($U1862="","",$P1862&amp;"|"&amp;RIGHT("000000"&amp;$U1862,6))</f>
        <v/>
      </c>
      <c r="W1862">
        <f>IF($T1862="","",COUNTIFS(LdBGroup,$R1862,LdBKey,"&lt;"&amp;$T1862)+1)</f>
        <v/>
      </c>
      <c r="X1862">
        <f>IF($W1862="","",$R1862&amp;"|"&amp;RIGHT("000000"&amp;$W1862,6))</f>
        <v/>
      </c>
      <c r="Y1862">
        <f>IF($P1862="","",IF(Shares!$E1865="",0,Shares!$E1865))</f>
        <v/>
      </c>
      <c r="Z1862">
        <f>IF($P1862="","",Shares!$H1865)</f>
        <v/>
      </c>
      <c r="AE1862">
        <f>IF(OR(Sync!$S1862="",Sync!$P1862=""),"",Sync!$S1862)</f>
        <v/>
      </c>
      <c r="AF1862">
        <f>IF($AE1862="","",IF(ISNUMBER(Sync!$P1862),IF(AND(Sync!$P1862&gt;=10000101,Sync!$P1862&lt;=99991231),INT(Sync!$P1862/10000),""),IFERROR(VALUE(TRIM(LEFT(Sync!$P1862,FIND("/",Sync!$P1862)-1))),"")))</f>
        <v/>
      </c>
      <c r="AG1862">
        <f>IF(OR($AE1862="",$AF1862=""),"",IF(ISNUMBER(Sync!$P1862),INT(MOD(Sync!$P1862,10000)/100),IFERROR(VALUE(TRIM(LEFT(MID(Sync!$P1862,FIND("/",Sync!$P1862)+1,20),FIND("/",MID(Sync!$P1862,FIND("/",Sync!$P1862)+1,20))-1))),"")))</f>
        <v/>
      </c>
      <c r="AH1862">
        <f>IF(OR($AE1862="",$AF1862=""),"",IF(ISNUMBER(Sync!$P1862),MOD(Sync!$P1862,100),IFERROR(VALUE(TRIM(MID(MID(Sync!$P1862,FIND("/",Sync!$P1862)+1,20),FIND("/",MID(Sync!$P1862,FIND("/",Sync!$P1862)+1,20))+1,20))),"")))</f>
        <v/>
      </c>
      <c r="AI1862">
        <f>IF($AE1862="","",IF(OR($AF1862="",$AG1862="",$AH1862="",$AF1862&lt;1300,$AF1862&gt;1500,$AG1862&lt;1,$AG1862&gt;12,$AH1862&lt;1,$AH1862&gt;31),"نامعتبر",RIGHT("0000"&amp;$AF1862,4)&amp;"/"&amp;RIGHT("00"&amp;$AG1862,2)&amp;"/"&amp;RIGHT("00"&amp;$AH1862,2)))</f>
        <v/>
      </c>
      <c r="AJ1862">
        <f>IF($AE1862="","",IF(Sync!$Q1862="","0000",IF(AND(ISNUMBER(Sync!$Q1862),Sync!$Q1862&gt;=0,Sync!$Q1862&lt;1),RIGHT("00"&amp;HOUR(Sync!$Q1862),2)&amp;RIGHT("00"&amp;MINUTE(Sync!$Q1862),2),IFERROR(RIGHT("00"&amp;VALUE(LEFT(Sync!$Q1862,FIND(":",Sync!$Q1862)-1)),2)&amp;RIGHT("00"&amp;VALUE(MID(Sync!$Q1862,FIND(":",Sync!$Q1862)+1,2)),2),"0000"))))</f>
        <v/>
      </c>
      <c r="AK1862">
        <f>IF(OR($AE1862="",$AI1862="",$AI1862="نامعتبر"),"",LEFT($AI1862,4)&amp;MID($AI1862,6,2)&amp;RIGHT($AI1862,2)&amp;$AJ1862&amp;"|"&amp;"3"&amp;RIGHT("00000"&amp;1857,5))</f>
        <v/>
      </c>
      <c r="AL1862">
        <f>IF($AK1862="","",COUNTIFS(LdAParty,$AE1862,LdAType,1,LdAKey,"&lt;"&amp;$AK1862)+COUNTIFS(LdBMember,$AE1862,LdBKey,"&lt;"&amp;$AK1862)+COUNTIFS(LdCParty,$AE1862,LdCKey,"&lt;"&amp;$AK1862)+1)</f>
        <v/>
      </c>
      <c r="AM1862">
        <f>IF($AL1862="","",$AE1862&amp;"|"&amp;RIGHT("000000"&amp;$AL1862,6))</f>
        <v/>
      </c>
      <c r="AN1862">
        <f>IF($AE1862="","",IF(Sync!$W1862="",0,Sync!$W1862))</f>
        <v/>
      </c>
      <c r="AO1862">
        <f>IF($AE1862="","",IF(Sync!$X1862="",0,Sync!$X1862))</f>
        <v/>
      </c>
      <c r="AP1862">
        <f>IF($AE1862="","",Sync!$R1862)</f>
        <v/>
      </c>
      <c r="AQ1862">
        <f>IF($AE1862="","",Sync!$Y1862)</f>
        <v/>
      </c>
    </row>
    <row r="1863">
      <c r="A1863">
        <f>IF(OR(Wages!$B1866="",Wages!$E1866=""),"",Wages!$E1866)</f>
        <v/>
      </c>
      <c r="B1863">
        <f>IF($A1863="","",IF(Wages!$C1866="دستمزد گروهی",2,1))</f>
        <v/>
      </c>
      <c r="C1863">
        <f>IF($A1863="","",IF(ISNUMBER(Wages!$B1866),IF(AND(Wages!$B1866&gt;=10000101,Wages!$B1866&lt;=99991231),INT(Wages!$B1866/10000),""),IFERROR(VALUE(TRIM(LEFT(Wages!$B1866,FIND("/",Wages!$B1866)-1))),"")))</f>
        <v/>
      </c>
      <c r="D1863">
        <f>IF(OR($A1863="",$C1863=""),"",IF(ISNUMBER(Wages!$B1866),INT(MOD(Wages!$B1866,10000)/100),IFERROR(VALUE(TRIM(LEFT(MID(Wages!$B1866,FIND("/",Wages!$B1866)+1,20),FIND("/",MID(Wages!$B1866,FIND("/",Wages!$B1866)+1,20))-1))),"")))</f>
        <v/>
      </c>
      <c r="E1863">
        <f>IF(OR($A1863="",$C1863=""),"",IF(ISNUMBER(Wages!$B1866),MOD(Wages!$B1866,100),IFERROR(VALUE(TRIM(MID(MID(Wages!$B1866,FIND("/",Wages!$B1866)+1,20),FIND("/",MID(Wages!$B1866,FIND("/",Wages!$B1866)+1,20))+1,20))),"")))</f>
        <v/>
      </c>
      <c r="F1863">
        <f>IF($A1863="","",IF(OR($C1863="",$D1863="",$E1863="",$C1863&lt;1300,$C1863&gt;1500,$D1863&lt;1,$D1863&gt;12,$E1863&lt;1,$E1863&gt;31),"نامعتبر",RIGHT("0000"&amp;$C1863,4)&amp;"/"&amp;RIGHT("00"&amp;$D1863,2)&amp;"/"&amp;RIGHT("00"&amp;$E1863,2)))</f>
        <v/>
      </c>
      <c r="G1863">
        <f>IF(OR($A1863="",$F1863="",$F1863="نامعتبر"),"",LEFT($F1863,4)&amp;MID($F1863,6,2)&amp;RIGHT($F1863,2)&amp;"0000"&amp;"|"&amp;"1"&amp;RIGHT("00000"&amp;1858,5))</f>
        <v/>
      </c>
      <c r="H1863">
        <f>IF(OR($B1863&lt;&gt;1,$G1863=""),"",COUNTIFS(LdAParty,$A1863,LdAType,1,LdAKey,"&lt;"&amp;$G1863)+COUNTIFS(LdBMember,$A1863,LdBKey,"&lt;"&amp;$G1863)+COUNTIFS(LdCParty,$A1863,LdCKey,"&lt;"&amp;$G1863)+1)</f>
        <v/>
      </c>
      <c r="I1863">
        <f>IF($H1863="","",$A1863&amp;"|"&amp;RIGHT("000000"&amp;$H1863,6))</f>
        <v/>
      </c>
      <c r="J1863">
        <f>IF(OR($B1863&lt;&gt;2,$G1863=""),"",COUNTIFS(LdAParty,$A1863,LdAType,2,LdAKey,"&lt;"&amp;$G1863)+1)</f>
        <v/>
      </c>
      <c r="K1863">
        <f>IF($J1863="","",$A1863&amp;"|"&amp;RIGHT("000000"&amp;$J1863,6))</f>
        <v/>
      </c>
      <c r="L1863">
        <f>IF($A1863="","",IF(Wages!$G1866="",0,Wages!$G1866))</f>
        <v/>
      </c>
      <c r="M1863">
        <f>IF($A1863="","",Wages!$J1866)</f>
        <v/>
      </c>
      <c r="N1863">
        <f>IF($A1863="","",Wages!$D1866)</f>
        <v/>
      </c>
      <c r="P1863">
        <f>IF(OR(Shares!$B1866="",Shares!$C1866=""),"",Shares!$C1866)</f>
        <v/>
      </c>
      <c r="Q1863">
        <f>IF($P1863="","",Shares!$B1866)</f>
        <v/>
      </c>
      <c r="R1863">
        <f>IF($P1863="","",IFERROR(INDEX(WageParty,MATCH($Q1863,WageIds,0)),""))</f>
        <v/>
      </c>
      <c r="S1863">
        <f>IF($P1863="","",IFERROR(INDEX($F$6:$F$2005,MATCH($Q1863,WageIds,0)),""))</f>
        <v/>
      </c>
      <c r="T1863">
        <f>IF(OR($P1863="",$S1863="",$S1863="نامعتبر"),"",LEFT($S1863,4)&amp;MID($S1863,6,2)&amp;RIGHT($S1863,2)&amp;"0000"&amp;"|"&amp;"2"&amp;RIGHT("00000"&amp;1858,5))</f>
        <v/>
      </c>
      <c r="U1863">
        <f>IF($T1863="","",COUNTIFS(LdAParty,$P1863,LdAType,1,LdAKey,"&lt;"&amp;$T1863)+COUNTIFS(LdBMember,$P1863,LdBKey,"&lt;"&amp;$T1863)+COUNTIFS(LdCParty,$P1863,LdCKey,"&lt;"&amp;$T1863)+1)</f>
        <v/>
      </c>
      <c r="V1863">
        <f>IF($U1863="","",$P1863&amp;"|"&amp;RIGHT("000000"&amp;$U1863,6))</f>
        <v/>
      </c>
      <c r="W1863">
        <f>IF($T1863="","",COUNTIFS(LdBGroup,$R1863,LdBKey,"&lt;"&amp;$T1863)+1)</f>
        <v/>
      </c>
      <c r="X1863">
        <f>IF($W1863="","",$R1863&amp;"|"&amp;RIGHT("000000"&amp;$W1863,6))</f>
        <v/>
      </c>
      <c r="Y1863">
        <f>IF($P1863="","",IF(Shares!$E1866="",0,Shares!$E1866))</f>
        <v/>
      </c>
      <c r="Z1863">
        <f>IF($P1863="","",Shares!$H1866)</f>
        <v/>
      </c>
      <c r="AE1863">
        <f>IF(OR(Sync!$S1863="",Sync!$P1863=""),"",Sync!$S1863)</f>
        <v/>
      </c>
      <c r="AF1863">
        <f>IF($AE1863="","",IF(ISNUMBER(Sync!$P1863),IF(AND(Sync!$P1863&gt;=10000101,Sync!$P1863&lt;=99991231),INT(Sync!$P1863/10000),""),IFERROR(VALUE(TRIM(LEFT(Sync!$P1863,FIND("/",Sync!$P1863)-1))),"")))</f>
        <v/>
      </c>
      <c r="AG1863">
        <f>IF(OR($AE1863="",$AF1863=""),"",IF(ISNUMBER(Sync!$P1863),INT(MOD(Sync!$P1863,10000)/100),IFERROR(VALUE(TRIM(LEFT(MID(Sync!$P1863,FIND("/",Sync!$P1863)+1,20),FIND("/",MID(Sync!$P1863,FIND("/",Sync!$P1863)+1,20))-1))),"")))</f>
        <v/>
      </c>
      <c r="AH1863">
        <f>IF(OR($AE1863="",$AF1863=""),"",IF(ISNUMBER(Sync!$P1863),MOD(Sync!$P1863,100),IFERROR(VALUE(TRIM(MID(MID(Sync!$P1863,FIND("/",Sync!$P1863)+1,20),FIND("/",MID(Sync!$P1863,FIND("/",Sync!$P1863)+1,20))+1,20))),"")))</f>
        <v/>
      </c>
      <c r="AI1863">
        <f>IF($AE1863="","",IF(OR($AF1863="",$AG1863="",$AH1863="",$AF1863&lt;1300,$AF1863&gt;1500,$AG1863&lt;1,$AG1863&gt;12,$AH1863&lt;1,$AH1863&gt;31),"نامعتبر",RIGHT("0000"&amp;$AF1863,4)&amp;"/"&amp;RIGHT("00"&amp;$AG1863,2)&amp;"/"&amp;RIGHT("00"&amp;$AH1863,2)))</f>
        <v/>
      </c>
      <c r="AJ1863">
        <f>IF($AE1863="","",IF(Sync!$Q1863="","0000",IF(AND(ISNUMBER(Sync!$Q1863),Sync!$Q1863&gt;=0,Sync!$Q1863&lt;1),RIGHT("00"&amp;HOUR(Sync!$Q1863),2)&amp;RIGHT("00"&amp;MINUTE(Sync!$Q1863),2),IFERROR(RIGHT("00"&amp;VALUE(LEFT(Sync!$Q1863,FIND(":",Sync!$Q1863)-1)),2)&amp;RIGHT("00"&amp;VALUE(MID(Sync!$Q1863,FIND(":",Sync!$Q1863)+1,2)),2),"0000"))))</f>
        <v/>
      </c>
      <c r="AK1863">
        <f>IF(OR($AE1863="",$AI1863="",$AI1863="نامعتبر"),"",LEFT($AI1863,4)&amp;MID($AI1863,6,2)&amp;RIGHT($AI1863,2)&amp;$AJ1863&amp;"|"&amp;"3"&amp;RIGHT("00000"&amp;1858,5))</f>
        <v/>
      </c>
      <c r="AL1863">
        <f>IF($AK1863="","",COUNTIFS(LdAParty,$AE1863,LdAType,1,LdAKey,"&lt;"&amp;$AK1863)+COUNTIFS(LdBMember,$AE1863,LdBKey,"&lt;"&amp;$AK1863)+COUNTIFS(LdCParty,$AE1863,LdCKey,"&lt;"&amp;$AK1863)+1)</f>
        <v/>
      </c>
      <c r="AM1863">
        <f>IF($AL1863="","",$AE1863&amp;"|"&amp;RIGHT("000000"&amp;$AL1863,6))</f>
        <v/>
      </c>
      <c r="AN1863">
        <f>IF($AE1863="","",IF(Sync!$W1863="",0,Sync!$W1863))</f>
        <v/>
      </c>
      <c r="AO1863">
        <f>IF($AE1863="","",IF(Sync!$X1863="",0,Sync!$X1863))</f>
        <v/>
      </c>
      <c r="AP1863">
        <f>IF($AE1863="","",Sync!$R1863)</f>
        <v/>
      </c>
      <c r="AQ1863">
        <f>IF($AE1863="","",Sync!$Y1863)</f>
        <v/>
      </c>
    </row>
    <row r="1864">
      <c r="A1864">
        <f>IF(OR(Wages!$B1867="",Wages!$E1867=""),"",Wages!$E1867)</f>
        <v/>
      </c>
      <c r="B1864">
        <f>IF($A1864="","",IF(Wages!$C1867="دستمزد گروهی",2,1))</f>
        <v/>
      </c>
      <c r="C1864">
        <f>IF($A1864="","",IF(ISNUMBER(Wages!$B1867),IF(AND(Wages!$B1867&gt;=10000101,Wages!$B1867&lt;=99991231),INT(Wages!$B1867/10000),""),IFERROR(VALUE(TRIM(LEFT(Wages!$B1867,FIND("/",Wages!$B1867)-1))),"")))</f>
        <v/>
      </c>
      <c r="D1864">
        <f>IF(OR($A1864="",$C1864=""),"",IF(ISNUMBER(Wages!$B1867),INT(MOD(Wages!$B1867,10000)/100),IFERROR(VALUE(TRIM(LEFT(MID(Wages!$B1867,FIND("/",Wages!$B1867)+1,20),FIND("/",MID(Wages!$B1867,FIND("/",Wages!$B1867)+1,20))-1))),"")))</f>
        <v/>
      </c>
      <c r="E1864">
        <f>IF(OR($A1864="",$C1864=""),"",IF(ISNUMBER(Wages!$B1867),MOD(Wages!$B1867,100),IFERROR(VALUE(TRIM(MID(MID(Wages!$B1867,FIND("/",Wages!$B1867)+1,20),FIND("/",MID(Wages!$B1867,FIND("/",Wages!$B1867)+1,20))+1,20))),"")))</f>
        <v/>
      </c>
      <c r="F1864">
        <f>IF($A1864="","",IF(OR($C1864="",$D1864="",$E1864="",$C1864&lt;1300,$C1864&gt;1500,$D1864&lt;1,$D1864&gt;12,$E1864&lt;1,$E1864&gt;31),"نامعتبر",RIGHT("0000"&amp;$C1864,4)&amp;"/"&amp;RIGHT("00"&amp;$D1864,2)&amp;"/"&amp;RIGHT("00"&amp;$E1864,2)))</f>
        <v/>
      </c>
      <c r="G1864">
        <f>IF(OR($A1864="",$F1864="",$F1864="نامعتبر"),"",LEFT($F1864,4)&amp;MID($F1864,6,2)&amp;RIGHT($F1864,2)&amp;"0000"&amp;"|"&amp;"1"&amp;RIGHT("00000"&amp;1859,5))</f>
        <v/>
      </c>
      <c r="H1864">
        <f>IF(OR($B1864&lt;&gt;1,$G1864=""),"",COUNTIFS(LdAParty,$A1864,LdAType,1,LdAKey,"&lt;"&amp;$G1864)+COUNTIFS(LdBMember,$A1864,LdBKey,"&lt;"&amp;$G1864)+COUNTIFS(LdCParty,$A1864,LdCKey,"&lt;"&amp;$G1864)+1)</f>
        <v/>
      </c>
      <c r="I1864">
        <f>IF($H1864="","",$A1864&amp;"|"&amp;RIGHT("000000"&amp;$H1864,6))</f>
        <v/>
      </c>
      <c r="J1864">
        <f>IF(OR($B1864&lt;&gt;2,$G1864=""),"",COUNTIFS(LdAParty,$A1864,LdAType,2,LdAKey,"&lt;"&amp;$G1864)+1)</f>
        <v/>
      </c>
      <c r="K1864">
        <f>IF($J1864="","",$A1864&amp;"|"&amp;RIGHT("000000"&amp;$J1864,6))</f>
        <v/>
      </c>
      <c r="L1864">
        <f>IF($A1864="","",IF(Wages!$G1867="",0,Wages!$G1867))</f>
        <v/>
      </c>
      <c r="M1864">
        <f>IF($A1864="","",Wages!$J1867)</f>
        <v/>
      </c>
      <c r="N1864">
        <f>IF($A1864="","",Wages!$D1867)</f>
        <v/>
      </c>
      <c r="P1864">
        <f>IF(OR(Shares!$B1867="",Shares!$C1867=""),"",Shares!$C1867)</f>
        <v/>
      </c>
      <c r="Q1864">
        <f>IF($P1864="","",Shares!$B1867)</f>
        <v/>
      </c>
      <c r="R1864">
        <f>IF($P1864="","",IFERROR(INDEX(WageParty,MATCH($Q1864,WageIds,0)),""))</f>
        <v/>
      </c>
      <c r="S1864">
        <f>IF($P1864="","",IFERROR(INDEX($F$6:$F$2005,MATCH($Q1864,WageIds,0)),""))</f>
        <v/>
      </c>
      <c r="T1864">
        <f>IF(OR($P1864="",$S1864="",$S1864="نامعتبر"),"",LEFT($S1864,4)&amp;MID($S1864,6,2)&amp;RIGHT($S1864,2)&amp;"0000"&amp;"|"&amp;"2"&amp;RIGHT("00000"&amp;1859,5))</f>
        <v/>
      </c>
      <c r="U1864">
        <f>IF($T1864="","",COUNTIFS(LdAParty,$P1864,LdAType,1,LdAKey,"&lt;"&amp;$T1864)+COUNTIFS(LdBMember,$P1864,LdBKey,"&lt;"&amp;$T1864)+COUNTIFS(LdCParty,$P1864,LdCKey,"&lt;"&amp;$T1864)+1)</f>
        <v/>
      </c>
      <c r="V1864">
        <f>IF($U1864="","",$P1864&amp;"|"&amp;RIGHT("000000"&amp;$U1864,6))</f>
        <v/>
      </c>
      <c r="W1864">
        <f>IF($T1864="","",COUNTIFS(LdBGroup,$R1864,LdBKey,"&lt;"&amp;$T1864)+1)</f>
        <v/>
      </c>
      <c r="X1864">
        <f>IF($W1864="","",$R1864&amp;"|"&amp;RIGHT("000000"&amp;$W1864,6))</f>
        <v/>
      </c>
      <c r="Y1864">
        <f>IF($P1864="","",IF(Shares!$E1867="",0,Shares!$E1867))</f>
        <v/>
      </c>
      <c r="Z1864">
        <f>IF($P1864="","",Shares!$H1867)</f>
        <v/>
      </c>
      <c r="AE1864">
        <f>IF(OR(Sync!$S1864="",Sync!$P1864=""),"",Sync!$S1864)</f>
        <v/>
      </c>
      <c r="AF1864">
        <f>IF($AE1864="","",IF(ISNUMBER(Sync!$P1864),IF(AND(Sync!$P1864&gt;=10000101,Sync!$P1864&lt;=99991231),INT(Sync!$P1864/10000),""),IFERROR(VALUE(TRIM(LEFT(Sync!$P1864,FIND("/",Sync!$P1864)-1))),"")))</f>
        <v/>
      </c>
      <c r="AG1864">
        <f>IF(OR($AE1864="",$AF1864=""),"",IF(ISNUMBER(Sync!$P1864),INT(MOD(Sync!$P1864,10000)/100),IFERROR(VALUE(TRIM(LEFT(MID(Sync!$P1864,FIND("/",Sync!$P1864)+1,20),FIND("/",MID(Sync!$P1864,FIND("/",Sync!$P1864)+1,20))-1))),"")))</f>
        <v/>
      </c>
      <c r="AH1864">
        <f>IF(OR($AE1864="",$AF1864=""),"",IF(ISNUMBER(Sync!$P1864),MOD(Sync!$P1864,100),IFERROR(VALUE(TRIM(MID(MID(Sync!$P1864,FIND("/",Sync!$P1864)+1,20),FIND("/",MID(Sync!$P1864,FIND("/",Sync!$P1864)+1,20))+1,20))),"")))</f>
        <v/>
      </c>
      <c r="AI1864">
        <f>IF($AE1864="","",IF(OR($AF1864="",$AG1864="",$AH1864="",$AF1864&lt;1300,$AF1864&gt;1500,$AG1864&lt;1,$AG1864&gt;12,$AH1864&lt;1,$AH1864&gt;31),"نامعتبر",RIGHT("0000"&amp;$AF1864,4)&amp;"/"&amp;RIGHT("00"&amp;$AG1864,2)&amp;"/"&amp;RIGHT("00"&amp;$AH1864,2)))</f>
        <v/>
      </c>
      <c r="AJ1864">
        <f>IF($AE1864="","",IF(Sync!$Q1864="","0000",IF(AND(ISNUMBER(Sync!$Q1864),Sync!$Q1864&gt;=0,Sync!$Q1864&lt;1),RIGHT("00"&amp;HOUR(Sync!$Q1864),2)&amp;RIGHT("00"&amp;MINUTE(Sync!$Q1864),2),IFERROR(RIGHT("00"&amp;VALUE(LEFT(Sync!$Q1864,FIND(":",Sync!$Q1864)-1)),2)&amp;RIGHT("00"&amp;VALUE(MID(Sync!$Q1864,FIND(":",Sync!$Q1864)+1,2)),2),"0000"))))</f>
        <v/>
      </c>
      <c r="AK1864">
        <f>IF(OR($AE1864="",$AI1864="",$AI1864="نامعتبر"),"",LEFT($AI1864,4)&amp;MID($AI1864,6,2)&amp;RIGHT($AI1864,2)&amp;$AJ1864&amp;"|"&amp;"3"&amp;RIGHT("00000"&amp;1859,5))</f>
        <v/>
      </c>
      <c r="AL1864">
        <f>IF($AK1864="","",COUNTIFS(LdAParty,$AE1864,LdAType,1,LdAKey,"&lt;"&amp;$AK1864)+COUNTIFS(LdBMember,$AE1864,LdBKey,"&lt;"&amp;$AK1864)+COUNTIFS(LdCParty,$AE1864,LdCKey,"&lt;"&amp;$AK1864)+1)</f>
        <v/>
      </c>
      <c r="AM1864">
        <f>IF($AL1864="","",$AE1864&amp;"|"&amp;RIGHT("000000"&amp;$AL1864,6))</f>
        <v/>
      </c>
      <c r="AN1864">
        <f>IF($AE1864="","",IF(Sync!$W1864="",0,Sync!$W1864))</f>
        <v/>
      </c>
      <c r="AO1864">
        <f>IF($AE1864="","",IF(Sync!$X1864="",0,Sync!$X1864))</f>
        <v/>
      </c>
      <c r="AP1864">
        <f>IF($AE1864="","",Sync!$R1864)</f>
        <v/>
      </c>
      <c r="AQ1864">
        <f>IF($AE1864="","",Sync!$Y1864)</f>
        <v/>
      </c>
    </row>
    <row r="1865">
      <c r="A1865">
        <f>IF(OR(Wages!$B1868="",Wages!$E1868=""),"",Wages!$E1868)</f>
        <v/>
      </c>
      <c r="B1865">
        <f>IF($A1865="","",IF(Wages!$C1868="دستمزد گروهی",2,1))</f>
        <v/>
      </c>
      <c r="C1865">
        <f>IF($A1865="","",IF(ISNUMBER(Wages!$B1868),IF(AND(Wages!$B1868&gt;=10000101,Wages!$B1868&lt;=99991231),INT(Wages!$B1868/10000),""),IFERROR(VALUE(TRIM(LEFT(Wages!$B1868,FIND("/",Wages!$B1868)-1))),"")))</f>
        <v/>
      </c>
      <c r="D1865">
        <f>IF(OR($A1865="",$C1865=""),"",IF(ISNUMBER(Wages!$B1868),INT(MOD(Wages!$B1868,10000)/100),IFERROR(VALUE(TRIM(LEFT(MID(Wages!$B1868,FIND("/",Wages!$B1868)+1,20),FIND("/",MID(Wages!$B1868,FIND("/",Wages!$B1868)+1,20))-1))),"")))</f>
        <v/>
      </c>
      <c r="E1865">
        <f>IF(OR($A1865="",$C1865=""),"",IF(ISNUMBER(Wages!$B1868),MOD(Wages!$B1868,100),IFERROR(VALUE(TRIM(MID(MID(Wages!$B1868,FIND("/",Wages!$B1868)+1,20),FIND("/",MID(Wages!$B1868,FIND("/",Wages!$B1868)+1,20))+1,20))),"")))</f>
        <v/>
      </c>
      <c r="F1865">
        <f>IF($A1865="","",IF(OR($C1865="",$D1865="",$E1865="",$C1865&lt;1300,$C1865&gt;1500,$D1865&lt;1,$D1865&gt;12,$E1865&lt;1,$E1865&gt;31),"نامعتبر",RIGHT("0000"&amp;$C1865,4)&amp;"/"&amp;RIGHT("00"&amp;$D1865,2)&amp;"/"&amp;RIGHT("00"&amp;$E1865,2)))</f>
        <v/>
      </c>
      <c r="G1865">
        <f>IF(OR($A1865="",$F1865="",$F1865="نامعتبر"),"",LEFT($F1865,4)&amp;MID($F1865,6,2)&amp;RIGHT($F1865,2)&amp;"0000"&amp;"|"&amp;"1"&amp;RIGHT("00000"&amp;1860,5))</f>
        <v/>
      </c>
      <c r="H1865">
        <f>IF(OR($B1865&lt;&gt;1,$G1865=""),"",COUNTIFS(LdAParty,$A1865,LdAType,1,LdAKey,"&lt;"&amp;$G1865)+COUNTIFS(LdBMember,$A1865,LdBKey,"&lt;"&amp;$G1865)+COUNTIFS(LdCParty,$A1865,LdCKey,"&lt;"&amp;$G1865)+1)</f>
        <v/>
      </c>
      <c r="I1865">
        <f>IF($H1865="","",$A1865&amp;"|"&amp;RIGHT("000000"&amp;$H1865,6))</f>
        <v/>
      </c>
      <c r="J1865">
        <f>IF(OR($B1865&lt;&gt;2,$G1865=""),"",COUNTIFS(LdAParty,$A1865,LdAType,2,LdAKey,"&lt;"&amp;$G1865)+1)</f>
        <v/>
      </c>
      <c r="K1865">
        <f>IF($J1865="","",$A1865&amp;"|"&amp;RIGHT("000000"&amp;$J1865,6))</f>
        <v/>
      </c>
      <c r="L1865">
        <f>IF($A1865="","",IF(Wages!$G1868="",0,Wages!$G1868))</f>
        <v/>
      </c>
      <c r="M1865">
        <f>IF($A1865="","",Wages!$J1868)</f>
        <v/>
      </c>
      <c r="N1865">
        <f>IF($A1865="","",Wages!$D1868)</f>
        <v/>
      </c>
      <c r="P1865">
        <f>IF(OR(Shares!$B1868="",Shares!$C1868=""),"",Shares!$C1868)</f>
        <v/>
      </c>
      <c r="Q1865">
        <f>IF($P1865="","",Shares!$B1868)</f>
        <v/>
      </c>
      <c r="R1865">
        <f>IF($P1865="","",IFERROR(INDEX(WageParty,MATCH($Q1865,WageIds,0)),""))</f>
        <v/>
      </c>
      <c r="S1865">
        <f>IF($P1865="","",IFERROR(INDEX($F$6:$F$2005,MATCH($Q1865,WageIds,0)),""))</f>
        <v/>
      </c>
      <c r="T1865">
        <f>IF(OR($P1865="",$S1865="",$S1865="نامعتبر"),"",LEFT($S1865,4)&amp;MID($S1865,6,2)&amp;RIGHT($S1865,2)&amp;"0000"&amp;"|"&amp;"2"&amp;RIGHT("00000"&amp;1860,5))</f>
        <v/>
      </c>
      <c r="U1865">
        <f>IF($T1865="","",COUNTIFS(LdAParty,$P1865,LdAType,1,LdAKey,"&lt;"&amp;$T1865)+COUNTIFS(LdBMember,$P1865,LdBKey,"&lt;"&amp;$T1865)+COUNTIFS(LdCParty,$P1865,LdCKey,"&lt;"&amp;$T1865)+1)</f>
        <v/>
      </c>
      <c r="V1865">
        <f>IF($U1865="","",$P1865&amp;"|"&amp;RIGHT("000000"&amp;$U1865,6))</f>
        <v/>
      </c>
      <c r="W1865">
        <f>IF($T1865="","",COUNTIFS(LdBGroup,$R1865,LdBKey,"&lt;"&amp;$T1865)+1)</f>
        <v/>
      </c>
      <c r="X1865">
        <f>IF($W1865="","",$R1865&amp;"|"&amp;RIGHT("000000"&amp;$W1865,6))</f>
        <v/>
      </c>
      <c r="Y1865">
        <f>IF($P1865="","",IF(Shares!$E1868="",0,Shares!$E1868))</f>
        <v/>
      </c>
      <c r="Z1865">
        <f>IF($P1865="","",Shares!$H1868)</f>
        <v/>
      </c>
      <c r="AE1865">
        <f>IF(OR(Sync!$S1865="",Sync!$P1865=""),"",Sync!$S1865)</f>
        <v/>
      </c>
      <c r="AF1865">
        <f>IF($AE1865="","",IF(ISNUMBER(Sync!$P1865),IF(AND(Sync!$P1865&gt;=10000101,Sync!$P1865&lt;=99991231),INT(Sync!$P1865/10000),""),IFERROR(VALUE(TRIM(LEFT(Sync!$P1865,FIND("/",Sync!$P1865)-1))),"")))</f>
        <v/>
      </c>
      <c r="AG1865">
        <f>IF(OR($AE1865="",$AF1865=""),"",IF(ISNUMBER(Sync!$P1865),INT(MOD(Sync!$P1865,10000)/100),IFERROR(VALUE(TRIM(LEFT(MID(Sync!$P1865,FIND("/",Sync!$P1865)+1,20),FIND("/",MID(Sync!$P1865,FIND("/",Sync!$P1865)+1,20))-1))),"")))</f>
        <v/>
      </c>
      <c r="AH1865">
        <f>IF(OR($AE1865="",$AF1865=""),"",IF(ISNUMBER(Sync!$P1865),MOD(Sync!$P1865,100),IFERROR(VALUE(TRIM(MID(MID(Sync!$P1865,FIND("/",Sync!$P1865)+1,20),FIND("/",MID(Sync!$P1865,FIND("/",Sync!$P1865)+1,20))+1,20))),"")))</f>
        <v/>
      </c>
      <c r="AI1865">
        <f>IF($AE1865="","",IF(OR($AF1865="",$AG1865="",$AH1865="",$AF1865&lt;1300,$AF1865&gt;1500,$AG1865&lt;1,$AG1865&gt;12,$AH1865&lt;1,$AH1865&gt;31),"نامعتبر",RIGHT("0000"&amp;$AF1865,4)&amp;"/"&amp;RIGHT("00"&amp;$AG1865,2)&amp;"/"&amp;RIGHT("00"&amp;$AH1865,2)))</f>
        <v/>
      </c>
      <c r="AJ1865">
        <f>IF($AE1865="","",IF(Sync!$Q1865="","0000",IF(AND(ISNUMBER(Sync!$Q1865),Sync!$Q1865&gt;=0,Sync!$Q1865&lt;1),RIGHT("00"&amp;HOUR(Sync!$Q1865),2)&amp;RIGHT("00"&amp;MINUTE(Sync!$Q1865),2),IFERROR(RIGHT("00"&amp;VALUE(LEFT(Sync!$Q1865,FIND(":",Sync!$Q1865)-1)),2)&amp;RIGHT("00"&amp;VALUE(MID(Sync!$Q1865,FIND(":",Sync!$Q1865)+1,2)),2),"0000"))))</f>
        <v/>
      </c>
      <c r="AK1865">
        <f>IF(OR($AE1865="",$AI1865="",$AI1865="نامعتبر"),"",LEFT($AI1865,4)&amp;MID($AI1865,6,2)&amp;RIGHT($AI1865,2)&amp;$AJ1865&amp;"|"&amp;"3"&amp;RIGHT("00000"&amp;1860,5))</f>
        <v/>
      </c>
      <c r="AL1865">
        <f>IF($AK1865="","",COUNTIFS(LdAParty,$AE1865,LdAType,1,LdAKey,"&lt;"&amp;$AK1865)+COUNTIFS(LdBMember,$AE1865,LdBKey,"&lt;"&amp;$AK1865)+COUNTIFS(LdCParty,$AE1865,LdCKey,"&lt;"&amp;$AK1865)+1)</f>
        <v/>
      </c>
      <c r="AM1865">
        <f>IF($AL1865="","",$AE1865&amp;"|"&amp;RIGHT("000000"&amp;$AL1865,6))</f>
        <v/>
      </c>
      <c r="AN1865">
        <f>IF($AE1865="","",IF(Sync!$W1865="",0,Sync!$W1865))</f>
        <v/>
      </c>
      <c r="AO1865">
        <f>IF($AE1865="","",IF(Sync!$X1865="",0,Sync!$X1865))</f>
        <v/>
      </c>
      <c r="AP1865">
        <f>IF($AE1865="","",Sync!$R1865)</f>
        <v/>
      </c>
      <c r="AQ1865">
        <f>IF($AE1865="","",Sync!$Y1865)</f>
        <v/>
      </c>
    </row>
    <row r="1866">
      <c r="A1866">
        <f>IF(OR(Wages!$B1869="",Wages!$E1869=""),"",Wages!$E1869)</f>
        <v/>
      </c>
      <c r="B1866">
        <f>IF($A1866="","",IF(Wages!$C1869="دستمزد گروهی",2,1))</f>
        <v/>
      </c>
      <c r="C1866">
        <f>IF($A1866="","",IF(ISNUMBER(Wages!$B1869),IF(AND(Wages!$B1869&gt;=10000101,Wages!$B1869&lt;=99991231),INT(Wages!$B1869/10000),""),IFERROR(VALUE(TRIM(LEFT(Wages!$B1869,FIND("/",Wages!$B1869)-1))),"")))</f>
        <v/>
      </c>
      <c r="D1866">
        <f>IF(OR($A1866="",$C1866=""),"",IF(ISNUMBER(Wages!$B1869),INT(MOD(Wages!$B1869,10000)/100),IFERROR(VALUE(TRIM(LEFT(MID(Wages!$B1869,FIND("/",Wages!$B1869)+1,20),FIND("/",MID(Wages!$B1869,FIND("/",Wages!$B1869)+1,20))-1))),"")))</f>
        <v/>
      </c>
      <c r="E1866">
        <f>IF(OR($A1866="",$C1866=""),"",IF(ISNUMBER(Wages!$B1869),MOD(Wages!$B1869,100),IFERROR(VALUE(TRIM(MID(MID(Wages!$B1869,FIND("/",Wages!$B1869)+1,20),FIND("/",MID(Wages!$B1869,FIND("/",Wages!$B1869)+1,20))+1,20))),"")))</f>
        <v/>
      </c>
      <c r="F1866">
        <f>IF($A1866="","",IF(OR($C1866="",$D1866="",$E1866="",$C1866&lt;1300,$C1866&gt;1500,$D1866&lt;1,$D1866&gt;12,$E1866&lt;1,$E1866&gt;31),"نامعتبر",RIGHT("0000"&amp;$C1866,4)&amp;"/"&amp;RIGHT("00"&amp;$D1866,2)&amp;"/"&amp;RIGHT("00"&amp;$E1866,2)))</f>
        <v/>
      </c>
      <c r="G1866">
        <f>IF(OR($A1866="",$F1866="",$F1866="نامعتبر"),"",LEFT($F1866,4)&amp;MID($F1866,6,2)&amp;RIGHT($F1866,2)&amp;"0000"&amp;"|"&amp;"1"&amp;RIGHT("00000"&amp;1861,5))</f>
        <v/>
      </c>
      <c r="H1866">
        <f>IF(OR($B1866&lt;&gt;1,$G1866=""),"",COUNTIFS(LdAParty,$A1866,LdAType,1,LdAKey,"&lt;"&amp;$G1866)+COUNTIFS(LdBMember,$A1866,LdBKey,"&lt;"&amp;$G1866)+COUNTIFS(LdCParty,$A1866,LdCKey,"&lt;"&amp;$G1866)+1)</f>
        <v/>
      </c>
      <c r="I1866">
        <f>IF($H1866="","",$A1866&amp;"|"&amp;RIGHT("000000"&amp;$H1866,6))</f>
        <v/>
      </c>
      <c r="J1866">
        <f>IF(OR($B1866&lt;&gt;2,$G1866=""),"",COUNTIFS(LdAParty,$A1866,LdAType,2,LdAKey,"&lt;"&amp;$G1866)+1)</f>
        <v/>
      </c>
      <c r="K1866">
        <f>IF($J1866="","",$A1866&amp;"|"&amp;RIGHT("000000"&amp;$J1866,6))</f>
        <v/>
      </c>
      <c r="L1866">
        <f>IF($A1866="","",IF(Wages!$G1869="",0,Wages!$G1869))</f>
        <v/>
      </c>
      <c r="M1866">
        <f>IF($A1866="","",Wages!$J1869)</f>
        <v/>
      </c>
      <c r="N1866">
        <f>IF($A1866="","",Wages!$D1869)</f>
        <v/>
      </c>
      <c r="P1866">
        <f>IF(OR(Shares!$B1869="",Shares!$C1869=""),"",Shares!$C1869)</f>
        <v/>
      </c>
      <c r="Q1866">
        <f>IF($P1866="","",Shares!$B1869)</f>
        <v/>
      </c>
      <c r="R1866">
        <f>IF($P1866="","",IFERROR(INDEX(WageParty,MATCH($Q1866,WageIds,0)),""))</f>
        <v/>
      </c>
      <c r="S1866">
        <f>IF($P1866="","",IFERROR(INDEX($F$6:$F$2005,MATCH($Q1866,WageIds,0)),""))</f>
        <v/>
      </c>
      <c r="T1866">
        <f>IF(OR($P1866="",$S1866="",$S1866="نامعتبر"),"",LEFT($S1866,4)&amp;MID($S1866,6,2)&amp;RIGHT($S1866,2)&amp;"0000"&amp;"|"&amp;"2"&amp;RIGHT("00000"&amp;1861,5))</f>
        <v/>
      </c>
      <c r="U1866">
        <f>IF($T1866="","",COUNTIFS(LdAParty,$P1866,LdAType,1,LdAKey,"&lt;"&amp;$T1866)+COUNTIFS(LdBMember,$P1866,LdBKey,"&lt;"&amp;$T1866)+COUNTIFS(LdCParty,$P1866,LdCKey,"&lt;"&amp;$T1866)+1)</f>
        <v/>
      </c>
      <c r="V1866">
        <f>IF($U1866="","",$P1866&amp;"|"&amp;RIGHT("000000"&amp;$U1866,6))</f>
        <v/>
      </c>
      <c r="W1866">
        <f>IF($T1866="","",COUNTIFS(LdBGroup,$R1866,LdBKey,"&lt;"&amp;$T1866)+1)</f>
        <v/>
      </c>
      <c r="X1866">
        <f>IF($W1866="","",$R1866&amp;"|"&amp;RIGHT("000000"&amp;$W1866,6))</f>
        <v/>
      </c>
      <c r="Y1866">
        <f>IF($P1866="","",IF(Shares!$E1869="",0,Shares!$E1869))</f>
        <v/>
      </c>
      <c r="Z1866">
        <f>IF($P1866="","",Shares!$H1869)</f>
        <v/>
      </c>
      <c r="AE1866">
        <f>IF(OR(Sync!$S1866="",Sync!$P1866=""),"",Sync!$S1866)</f>
        <v/>
      </c>
      <c r="AF1866">
        <f>IF($AE1866="","",IF(ISNUMBER(Sync!$P1866),IF(AND(Sync!$P1866&gt;=10000101,Sync!$P1866&lt;=99991231),INT(Sync!$P1866/10000),""),IFERROR(VALUE(TRIM(LEFT(Sync!$P1866,FIND("/",Sync!$P1866)-1))),"")))</f>
        <v/>
      </c>
      <c r="AG1866">
        <f>IF(OR($AE1866="",$AF1866=""),"",IF(ISNUMBER(Sync!$P1866),INT(MOD(Sync!$P1866,10000)/100),IFERROR(VALUE(TRIM(LEFT(MID(Sync!$P1866,FIND("/",Sync!$P1866)+1,20),FIND("/",MID(Sync!$P1866,FIND("/",Sync!$P1866)+1,20))-1))),"")))</f>
        <v/>
      </c>
      <c r="AH1866">
        <f>IF(OR($AE1866="",$AF1866=""),"",IF(ISNUMBER(Sync!$P1866),MOD(Sync!$P1866,100),IFERROR(VALUE(TRIM(MID(MID(Sync!$P1866,FIND("/",Sync!$P1866)+1,20),FIND("/",MID(Sync!$P1866,FIND("/",Sync!$P1866)+1,20))+1,20))),"")))</f>
        <v/>
      </c>
      <c r="AI1866">
        <f>IF($AE1866="","",IF(OR($AF1866="",$AG1866="",$AH1866="",$AF1866&lt;1300,$AF1866&gt;1500,$AG1866&lt;1,$AG1866&gt;12,$AH1866&lt;1,$AH1866&gt;31),"نامعتبر",RIGHT("0000"&amp;$AF1866,4)&amp;"/"&amp;RIGHT("00"&amp;$AG1866,2)&amp;"/"&amp;RIGHT("00"&amp;$AH1866,2)))</f>
        <v/>
      </c>
      <c r="AJ1866">
        <f>IF($AE1866="","",IF(Sync!$Q1866="","0000",IF(AND(ISNUMBER(Sync!$Q1866),Sync!$Q1866&gt;=0,Sync!$Q1866&lt;1),RIGHT("00"&amp;HOUR(Sync!$Q1866),2)&amp;RIGHT("00"&amp;MINUTE(Sync!$Q1866),2),IFERROR(RIGHT("00"&amp;VALUE(LEFT(Sync!$Q1866,FIND(":",Sync!$Q1866)-1)),2)&amp;RIGHT("00"&amp;VALUE(MID(Sync!$Q1866,FIND(":",Sync!$Q1866)+1,2)),2),"0000"))))</f>
        <v/>
      </c>
      <c r="AK1866">
        <f>IF(OR($AE1866="",$AI1866="",$AI1866="نامعتبر"),"",LEFT($AI1866,4)&amp;MID($AI1866,6,2)&amp;RIGHT($AI1866,2)&amp;$AJ1866&amp;"|"&amp;"3"&amp;RIGHT("00000"&amp;1861,5))</f>
        <v/>
      </c>
      <c r="AL1866">
        <f>IF($AK1866="","",COUNTIFS(LdAParty,$AE1866,LdAType,1,LdAKey,"&lt;"&amp;$AK1866)+COUNTIFS(LdBMember,$AE1866,LdBKey,"&lt;"&amp;$AK1866)+COUNTIFS(LdCParty,$AE1866,LdCKey,"&lt;"&amp;$AK1866)+1)</f>
        <v/>
      </c>
      <c r="AM1866">
        <f>IF($AL1866="","",$AE1866&amp;"|"&amp;RIGHT("000000"&amp;$AL1866,6))</f>
        <v/>
      </c>
      <c r="AN1866">
        <f>IF($AE1866="","",IF(Sync!$W1866="",0,Sync!$W1866))</f>
        <v/>
      </c>
      <c r="AO1866">
        <f>IF($AE1866="","",IF(Sync!$X1866="",0,Sync!$X1866))</f>
        <v/>
      </c>
      <c r="AP1866">
        <f>IF($AE1866="","",Sync!$R1866)</f>
        <v/>
      </c>
      <c r="AQ1866">
        <f>IF($AE1866="","",Sync!$Y1866)</f>
        <v/>
      </c>
    </row>
    <row r="1867">
      <c r="A1867">
        <f>IF(OR(Wages!$B1870="",Wages!$E1870=""),"",Wages!$E1870)</f>
        <v/>
      </c>
      <c r="B1867">
        <f>IF($A1867="","",IF(Wages!$C1870="دستمزد گروهی",2,1))</f>
        <v/>
      </c>
      <c r="C1867">
        <f>IF($A1867="","",IF(ISNUMBER(Wages!$B1870),IF(AND(Wages!$B1870&gt;=10000101,Wages!$B1870&lt;=99991231),INT(Wages!$B1870/10000),""),IFERROR(VALUE(TRIM(LEFT(Wages!$B1870,FIND("/",Wages!$B1870)-1))),"")))</f>
        <v/>
      </c>
      <c r="D1867">
        <f>IF(OR($A1867="",$C1867=""),"",IF(ISNUMBER(Wages!$B1870),INT(MOD(Wages!$B1870,10000)/100),IFERROR(VALUE(TRIM(LEFT(MID(Wages!$B1870,FIND("/",Wages!$B1870)+1,20),FIND("/",MID(Wages!$B1870,FIND("/",Wages!$B1870)+1,20))-1))),"")))</f>
        <v/>
      </c>
      <c r="E1867">
        <f>IF(OR($A1867="",$C1867=""),"",IF(ISNUMBER(Wages!$B1870),MOD(Wages!$B1870,100),IFERROR(VALUE(TRIM(MID(MID(Wages!$B1870,FIND("/",Wages!$B1870)+1,20),FIND("/",MID(Wages!$B1870,FIND("/",Wages!$B1870)+1,20))+1,20))),"")))</f>
        <v/>
      </c>
      <c r="F1867">
        <f>IF($A1867="","",IF(OR($C1867="",$D1867="",$E1867="",$C1867&lt;1300,$C1867&gt;1500,$D1867&lt;1,$D1867&gt;12,$E1867&lt;1,$E1867&gt;31),"نامعتبر",RIGHT("0000"&amp;$C1867,4)&amp;"/"&amp;RIGHT("00"&amp;$D1867,2)&amp;"/"&amp;RIGHT("00"&amp;$E1867,2)))</f>
        <v/>
      </c>
      <c r="G1867">
        <f>IF(OR($A1867="",$F1867="",$F1867="نامعتبر"),"",LEFT($F1867,4)&amp;MID($F1867,6,2)&amp;RIGHT($F1867,2)&amp;"0000"&amp;"|"&amp;"1"&amp;RIGHT("00000"&amp;1862,5))</f>
        <v/>
      </c>
      <c r="H1867">
        <f>IF(OR($B1867&lt;&gt;1,$G1867=""),"",COUNTIFS(LdAParty,$A1867,LdAType,1,LdAKey,"&lt;"&amp;$G1867)+COUNTIFS(LdBMember,$A1867,LdBKey,"&lt;"&amp;$G1867)+COUNTIFS(LdCParty,$A1867,LdCKey,"&lt;"&amp;$G1867)+1)</f>
        <v/>
      </c>
      <c r="I1867">
        <f>IF($H1867="","",$A1867&amp;"|"&amp;RIGHT("000000"&amp;$H1867,6))</f>
        <v/>
      </c>
      <c r="J1867">
        <f>IF(OR($B1867&lt;&gt;2,$G1867=""),"",COUNTIFS(LdAParty,$A1867,LdAType,2,LdAKey,"&lt;"&amp;$G1867)+1)</f>
        <v/>
      </c>
      <c r="K1867">
        <f>IF($J1867="","",$A1867&amp;"|"&amp;RIGHT("000000"&amp;$J1867,6))</f>
        <v/>
      </c>
      <c r="L1867">
        <f>IF($A1867="","",IF(Wages!$G1870="",0,Wages!$G1870))</f>
        <v/>
      </c>
      <c r="M1867">
        <f>IF($A1867="","",Wages!$J1870)</f>
        <v/>
      </c>
      <c r="N1867">
        <f>IF($A1867="","",Wages!$D1870)</f>
        <v/>
      </c>
      <c r="P1867">
        <f>IF(OR(Shares!$B1870="",Shares!$C1870=""),"",Shares!$C1870)</f>
        <v/>
      </c>
      <c r="Q1867">
        <f>IF($P1867="","",Shares!$B1870)</f>
        <v/>
      </c>
      <c r="R1867">
        <f>IF($P1867="","",IFERROR(INDEX(WageParty,MATCH($Q1867,WageIds,0)),""))</f>
        <v/>
      </c>
      <c r="S1867">
        <f>IF($P1867="","",IFERROR(INDEX($F$6:$F$2005,MATCH($Q1867,WageIds,0)),""))</f>
        <v/>
      </c>
      <c r="T1867">
        <f>IF(OR($P1867="",$S1867="",$S1867="نامعتبر"),"",LEFT($S1867,4)&amp;MID($S1867,6,2)&amp;RIGHT($S1867,2)&amp;"0000"&amp;"|"&amp;"2"&amp;RIGHT("00000"&amp;1862,5))</f>
        <v/>
      </c>
      <c r="U1867">
        <f>IF($T1867="","",COUNTIFS(LdAParty,$P1867,LdAType,1,LdAKey,"&lt;"&amp;$T1867)+COUNTIFS(LdBMember,$P1867,LdBKey,"&lt;"&amp;$T1867)+COUNTIFS(LdCParty,$P1867,LdCKey,"&lt;"&amp;$T1867)+1)</f>
        <v/>
      </c>
      <c r="V1867">
        <f>IF($U1867="","",$P1867&amp;"|"&amp;RIGHT("000000"&amp;$U1867,6))</f>
        <v/>
      </c>
      <c r="W1867">
        <f>IF($T1867="","",COUNTIFS(LdBGroup,$R1867,LdBKey,"&lt;"&amp;$T1867)+1)</f>
        <v/>
      </c>
      <c r="X1867">
        <f>IF($W1867="","",$R1867&amp;"|"&amp;RIGHT("000000"&amp;$W1867,6))</f>
        <v/>
      </c>
      <c r="Y1867">
        <f>IF($P1867="","",IF(Shares!$E1870="",0,Shares!$E1870))</f>
        <v/>
      </c>
      <c r="Z1867">
        <f>IF($P1867="","",Shares!$H1870)</f>
        <v/>
      </c>
      <c r="AE1867">
        <f>IF(OR(Sync!$S1867="",Sync!$P1867=""),"",Sync!$S1867)</f>
        <v/>
      </c>
      <c r="AF1867">
        <f>IF($AE1867="","",IF(ISNUMBER(Sync!$P1867),IF(AND(Sync!$P1867&gt;=10000101,Sync!$P1867&lt;=99991231),INT(Sync!$P1867/10000),""),IFERROR(VALUE(TRIM(LEFT(Sync!$P1867,FIND("/",Sync!$P1867)-1))),"")))</f>
        <v/>
      </c>
      <c r="AG1867">
        <f>IF(OR($AE1867="",$AF1867=""),"",IF(ISNUMBER(Sync!$P1867),INT(MOD(Sync!$P1867,10000)/100),IFERROR(VALUE(TRIM(LEFT(MID(Sync!$P1867,FIND("/",Sync!$P1867)+1,20),FIND("/",MID(Sync!$P1867,FIND("/",Sync!$P1867)+1,20))-1))),"")))</f>
        <v/>
      </c>
      <c r="AH1867">
        <f>IF(OR($AE1867="",$AF1867=""),"",IF(ISNUMBER(Sync!$P1867),MOD(Sync!$P1867,100),IFERROR(VALUE(TRIM(MID(MID(Sync!$P1867,FIND("/",Sync!$P1867)+1,20),FIND("/",MID(Sync!$P1867,FIND("/",Sync!$P1867)+1,20))+1,20))),"")))</f>
        <v/>
      </c>
      <c r="AI1867">
        <f>IF($AE1867="","",IF(OR($AF1867="",$AG1867="",$AH1867="",$AF1867&lt;1300,$AF1867&gt;1500,$AG1867&lt;1,$AG1867&gt;12,$AH1867&lt;1,$AH1867&gt;31),"نامعتبر",RIGHT("0000"&amp;$AF1867,4)&amp;"/"&amp;RIGHT("00"&amp;$AG1867,2)&amp;"/"&amp;RIGHT("00"&amp;$AH1867,2)))</f>
        <v/>
      </c>
      <c r="AJ1867">
        <f>IF($AE1867="","",IF(Sync!$Q1867="","0000",IF(AND(ISNUMBER(Sync!$Q1867),Sync!$Q1867&gt;=0,Sync!$Q1867&lt;1),RIGHT("00"&amp;HOUR(Sync!$Q1867),2)&amp;RIGHT("00"&amp;MINUTE(Sync!$Q1867),2),IFERROR(RIGHT("00"&amp;VALUE(LEFT(Sync!$Q1867,FIND(":",Sync!$Q1867)-1)),2)&amp;RIGHT("00"&amp;VALUE(MID(Sync!$Q1867,FIND(":",Sync!$Q1867)+1,2)),2),"0000"))))</f>
        <v/>
      </c>
      <c r="AK1867">
        <f>IF(OR($AE1867="",$AI1867="",$AI1867="نامعتبر"),"",LEFT($AI1867,4)&amp;MID($AI1867,6,2)&amp;RIGHT($AI1867,2)&amp;$AJ1867&amp;"|"&amp;"3"&amp;RIGHT("00000"&amp;1862,5))</f>
        <v/>
      </c>
      <c r="AL1867">
        <f>IF($AK1867="","",COUNTIFS(LdAParty,$AE1867,LdAType,1,LdAKey,"&lt;"&amp;$AK1867)+COUNTIFS(LdBMember,$AE1867,LdBKey,"&lt;"&amp;$AK1867)+COUNTIFS(LdCParty,$AE1867,LdCKey,"&lt;"&amp;$AK1867)+1)</f>
        <v/>
      </c>
      <c r="AM1867">
        <f>IF($AL1867="","",$AE1867&amp;"|"&amp;RIGHT("000000"&amp;$AL1867,6))</f>
        <v/>
      </c>
      <c r="AN1867">
        <f>IF($AE1867="","",IF(Sync!$W1867="",0,Sync!$W1867))</f>
        <v/>
      </c>
      <c r="AO1867">
        <f>IF($AE1867="","",IF(Sync!$X1867="",0,Sync!$X1867))</f>
        <v/>
      </c>
      <c r="AP1867">
        <f>IF($AE1867="","",Sync!$R1867)</f>
        <v/>
      </c>
      <c r="AQ1867">
        <f>IF($AE1867="","",Sync!$Y1867)</f>
        <v/>
      </c>
    </row>
    <row r="1868">
      <c r="A1868">
        <f>IF(OR(Wages!$B1871="",Wages!$E1871=""),"",Wages!$E1871)</f>
        <v/>
      </c>
      <c r="B1868">
        <f>IF($A1868="","",IF(Wages!$C1871="دستمزد گروهی",2,1))</f>
        <v/>
      </c>
      <c r="C1868">
        <f>IF($A1868="","",IF(ISNUMBER(Wages!$B1871),IF(AND(Wages!$B1871&gt;=10000101,Wages!$B1871&lt;=99991231),INT(Wages!$B1871/10000),""),IFERROR(VALUE(TRIM(LEFT(Wages!$B1871,FIND("/",Wages!$B1871)-1))),"")))</f>
        <v/>
      </c>
      <c r="D1868">
        <f>IF(OR($A1868="",$C1868=""),"",IF(ISNUMBER(Wages!$B1871),INT(MOD(Wages!$B1871,10000)/100),IFERROR(VALUE(TRIM(LEFT(MID(Wages!$B1871,FIND("/",Wages!$B1871)+1,20),FIND("/",MID(Wages!$B1871,FIND("/",Wages!$B1871)+1,20))-1))),"")))</f>
        <v/>
      </c>
      <c r="E1868">
        <f>IF(OR($A1868="",$C1868=""),"",IF(ISNUMBER(Wages!$B1871),MOD(Wages!$B1871,100),IFERROR(VALUE(TRIM(MID(MID(Wages!$B1871,FIND("/",Wages!$B1871)+1,20),FIND("/",MID(Wages!$B1871,FIND("/",Wages!$B1871)+1,20))+1,20))),"")))</f>
        <v/>
      </c>
      <c r="F1868">
        <f>IF($A1868="","",IF(OR($C1868="",$D1868="",$E1868="",$C1868&lt;1300,$C1868&gt;1500,$D1868&lt;1,$D1868&gt;12,$E1868&lt;1,$E1868&gt;31),"نامعتبر",RIGHT("0000"&amp;$C1868,4)&amp;"/"&amp;RIGHT("00"&amp;$D1868,2)&amp;"/"&amp;RIGHT("00"&amp;$E1868,2)))</f>
        <v/>
      </c>
      <c r="G1868">
        <f>IF(OR($A1868="",$F1868="",$F1868="نامعتبر"),"",LEFT($F1868,4)&amp;MID($F1868,6,2)&amp;RIGHT($F1868,2)&amp;"0000"&amp;"|"&amp;"1"&amp;RIGHT("00000"&amp;1863,5))</f>
        <v/>
      </c>
      <c r="H1868">
        <f>IF(OR($B1868&lt;&gt;1,$G1868=""),"",COUNTIFS(LdAParty,$A1868,LdAType,1,LdAKey,"&lt;"&amp;$G1868)+COUNTIFS(LdBMember,$A1868,LdBKey,"&lt;"&amp;$G1868)+COUNTIFS(LdCParty,$A1868,LdCKey,"&lt;"&amp;$G1868)+1)</f>
        <v/>
      </c>
      <c r="I1868">
        <f>IF($H1868="","",$A1868&amp;"|"&amp;RIGHT("000000"&amp;$H1868,6))</f>
        <v/>
      </c>
      <c r="J1868">
        <f>IF(OR($B1868&lt;&gt;2,$G1868=""),"",COUNTIFS(LdAParty,$A1868,LdAType,2,LdAKey,"&lt;"&amp;$G1868)+1)</f>
        <v/>
      </c>
      <c r="K1868">
        <f>IF($J1868="","",$A1868&amp;"|"&amp;RIGHT("000000"&amp;$J1868,6))</f>
        <v/>
      </c>
      <c r="L1868">
        <f>IF($A1868="","",IF(Wages!$G1871="",0,Wages!$G1871))</f>
        <v/>
      </c>
      <c r="M1868">
        <f>IF($A1868="","",Wages!$J1871)</f>
        <v/>
      </c>
      <c r="N1868">
        <f>IF($A1868="","",Wages!$D1871)</f>
        <v/>
      </c>
      <c r="P1868">
        <f>IF(OR(Shares!$B1871="",Shares!$C1871=""),"",Shares!$C1871)</f>
        <v/>
      </c>
      <c r="Q1868">
        <f>IF($P1868="","",Shares!$B1871)</f>
        <v/>
      </c>
      <c r="R1868">
        <f>IF($P1868="","",IFERROR(INDEX(WageParty,MATCH($Q1868,WageIds,0)),""))</f>
        <v/>
      </c>
      <c r="S1868">
        <f>IF($P1868="","",IFERROR(INDEX($F$6:$F$2005,MATCH($Q1868,WageIds,0)),""))</f>
        <v/>
      </c>
      <c r="T1868">
        <f>IF(OR($P1868="",$S1868="",$S1868="نامعتبر"),"",LEFT($S1868,4)&amp;MID($S1868,6,2)&amp;RIGHT($S1868,2)&amp;"0000"&amp;"|"&amp;"2"&amp;RIGHT("00000"&amp;1863,5))</f>
        <v/>
      </c>
      <c r="U1868">
        <f>IF($T1868="","",COUNTIFS(LdAParty,$P1868,LdAType,1,LdAKey,"&lt;"&amp;$T1868)+COUNTIFS(LdBMember,$P1868,LdBKey,"&lt;"&amp;$T1868)+COUNTIFS(LdCParty,$P1868,LdCKey,"&lt;"&amp;$T1868)+1)</f>
        <v/>
      </c>
      <c r="V1868">
        <f>IF($U1868="","",$P1868&amp;"|"&amp;RIGHT("000000"&amp;$U1868,6))</f>
        <v/>
      </c>
      <c r="W1868">
        <f>IF($T1868="","",COUNTIFS(LdBGroup,$R1868,LdBKey,"&lt;"&amp;$T1868)+1)</f>
        <v/>
      </c>
      <c r="X1868">
        <f>IF($W1868="","",$R1868&amp;"|"&amp;RIGHT("000000"&amp;$W1868,6))</f>
        <v/>
      </c>
      <c r="Y1868">
        <f>IF($P1868="","",IF(Shares!$E1871="",0,Shares!$E1871))</f>
        <v/>
      </c>
      <c r="Z1868">
        <f>IF($P1868="","",Shares!$H1871)</f>
        <v/>
      </c>
      <c r="AE1868">
        <f>IF(OR(Sync!$S1868="",Sync!$P1868=""),"",Sync!$S1868)</f>
        <v/>
      </c>
      <c r="AF1868">
        <f>IF($AE1868="","",IF(ISNUMBER(Sync!$P1868),IF(AND(Sync!$P1868&gt;=10000101,Sync!$P1868&lt;=99991231),INT(Sync!$P1868/10000),""),IFERROR(VALUE(TRIM(LEFT(Sync!$P1868,FIND("/",Sync!$P1868)-1))),"")))</f>
        <v/>
      </c>
      <c r="AG1868">
        <f>IF(OR($AE1868="",$AF1868=""),"",IF(ISNUMBER(Sync!$P1868),INT(MOD(Sync!$P1868,10000)/100),IFERROR(VALUE(TRIM(LEFT(MID(Sync!$P1868,FIND("/",Sync!$P1868)+1,20),FIND("/",MID(Sync!$P1868,FIND("/",Sync!$P1868)+1,20))-1))),"")))</f>
        <v/>
      </c>
      <c r="AH1868">
        <f>IF(OR($AE1868="",$AF1868=""),"",IF(ISNUMBER(Sync!$P1868),MOD(Sync!$P1868,100),IFERROR(VALUE(TRIM(MID(MID(Sync!$P1868,FIND("/",Sync!$P1868)+1,20),FIND("/",MID(Sync!$P1868,FIND("/",Sync!$P1868)+1,20))+1,20))),"")))</f>
        <v/>
      </c>
      <c r="AI1868">
        <f>IF($AE1868="","",IF(OR($AF1868="",$AG1868="",$AH1868="",$AF1868&lt;1300,$AF1868&gt;1500,$AG1868&lt;1,$AG1868&gt;12,$AH1868&lt;1,$AH1868&gt;31),"نامعتبر",RIGHT("0000"&amp;$AF1868,4)&amp;"/"&amp;RIGHT("00"&amp;$AG1868,2)&amp;"/"&amp;RIGHT("00"&amp;$AH1868,2)))</f>
        <v/>
      </c>
      <c r="AJ1868">
        <f>IF($AE1868="","",IF(Sync!$Q1868="","0000",IF(AND(ISNUMBER(Sync!$Q1868),Sync!$Q1868&gt;=0,Sync!$Q1868&lt;1),RIGHT("00"&amp;HOUR(Sync!$Q1868),2)&amp;RIGHT("00"&amp;MINUTE(Sync!$Q1868),2),IFERROR(RIGHT("00"&amp;VALUE(LEFT(Sync!$Q1868,FIND(":",Sync!$Q1868)-1)),2)&amp;RIGHT("00"&amp;VALUE(MID(Sync!$Q1868,FIND(":",Sync!$Q1868)+1,2)),2),"0000"))))</f>
        <v/>
      </c>
      <c r="AK1868">
        <f>IF(OR($AE1868="",$AI1868="",$AI1868="نامعتبر"),"",LEFT($AI1868,4)&amp;MID($AI1868,6,2)&amp;RIGHT($AI1868,2)&amp;$AJ1868&amp;"|"&amp;"3"&amp;RIGHT("00000"&amp;1863,5))</f>
        <v/>
      </c>
      <c r="AL1868">
        <f>IF($AK1868="","",COUNTIFS(LdAParty,$AE1868,LdAType,1,LdAKey,"&lt;"&amp;$AK1868)+COUNTIFS(LdBMember,$AE1868,LdBKey,"&lt;"&amp;$AK1868)+COUNTIFS(LdCParty,$AE1868,LdCKey,"&lt;"&amp;$AK1868)+1)</f>
        <v/>
      </c>
      <c r="AM1868">
        <f>IF($AL1868="","",$AE1868&amp;"|"&amp;RIGHT("000000"&amp;$AL1868,6))</f>
        <v/>
      </c>
      <c r="AN1868">
        <f>IF($AE1868="","",IF(Sync!$W1868="",0,Sync!$W1868))</f>
        <v/>
      </c>
      <c r="AO1868">
        <f>IF($AE1868="","",IF(Sync!$X1868="",0,Sync!$X1868))</f>
        <v/>
      </c>
      <c r="AP1868">
        <f>IF($AE1868="","",Sync!$R1868)</f>
        <v/>
      </c>
      <c r="AQ1868">
        <f>IF($AE1868="","",Sync!$Y1868)</f>
        <v/>
      </c>
    </row>
    <row r="1869">
      <c r="A1869">
        <f>IF(OR(Wages!$B1872="",Wages!$E1872=""),"",Wages!$E1872)</f>
        <v/>
      </c>
      <c r="B1869">
        <f>IF($A1869="","",IF(Wages!$C1872="دستمزد گروهی",2,1))</f>
        <v/>
      </c>
      <c r="C1869">
        <f>IF($A1869="","",IF(ISNUMBER(Wages!$B1872),IF(AND(Wages!$B1872&gt;=10000101,Wages!$B1872&lt;=99991231),INT(Wages!$B1872/10000),""),IFERROR(VALUE(TRIM(LEFT(Wages!$B1872,FIND("/",Wages!$B1872)-1))),"")))</f>
        <v/>
      </c>
      <c r="D1869">
        <f>IF(OR($A1869="",$C1869=""),"",IF(ISNUMBER(Wages!$B1872),INT(MOD(Wages!$B1872,10000)/100),IFERROR(VALUE(TRIM(LEFT(MID(Wages!$B1872,FIND("/",Wages!$B1872)+1,20),FIND("/",MID(Wages!$B1872,FIND("/",Wages!$B1872)+1,20))-1))),"")))</f>
        <v/>
      </c>
      <c r="E1869">
        <f>IF(OR($A1869="",$C1869=""),"",IF(ISNUMBER(Wages!$B1872),MOD(Wages!$B1872,100),IFERROR(VALUE(TRIM(MID(MID(Wages!$B1872,FIND("/",Wages!$B1872)+1,20),FIND("/",MID(Wages!$B1872,FIND("/",Wages!$B1872)+1,20))+1,20))),"")))</f>
        <v/>
      </c>
      <c r="F1869">
        <f>IF($A1869="","",IF(OR($C1869="",$D1869="",$E1869="",$C1869&lt;1300,$C1869&gt;1500,$D1869&lt;1,$D1869&gt;12,$E1869&lt;1,$E1869&gt;31),"نامعتبر",RIGHT("0000"&amp;$C1869,4)&amp;"/"&amp;RIGHT("00"&amp;$D1869,2)&amp;"/"&amp;RIGHT("00"&amp;$E1869,2)))</f>
        <v/>
      </c>
      <c r="G1869">
        <f>IF(OR($A1869="",$F1869="",$F1869="نامعتبر"),"",LEFT($F1869,4)&amp;MID($F1869,6,2)&amp;RIGHT($F1869,2)&amp;"0000"&amp;"|"&amp;"1"&amp;RIGHT("00000"&amp;1864,5))</f>
        <v/>
      </c>
      <c r="H1869">
        <f>IF(OR($B1869&lt;&gt;1,$G1869=""),"",COUNTIFS(LdAParty,$A1869,LdAType,1,LdAKey,"&lt;"&amp;$G1869)+COUNTIFS(LdBMember,$A1869,LdBKey,"&lt;"&amp;$G1869)+COUNTIFS(LdCParty,$A1869,LdCKey,"&lt;"&amp;$G1869)+1)</f>
        <v/>
      </c>
      <c r="I1869">
        <f>IF($H1869="","",$A1869&amp;"|"&amp;RIGHT("000000"&amp;$H1869,6))</f>
        <v/>
      </c>
      <c r="J1869">
        <f>IF(OR($B1869&lt;&gt;2,$G1869=""),"",COUNTIFS(LdAParty,$A1869,LdAType,2,LdAKey,"&lt;"&amp;$G1869)+1)</f>
        <v/>
      </c>
      <c r="K1869">
        <f>IF($J1869="","",$A1869&amp;"|"&amp;RIGHT("000000"&amp;$J1869,6))</f>
        <v/>
      </c>
      <c r="L1869">
        <f>IF($A1869="","",IF(Wages!$G1872="",0,Wages!$G1872))</f>
        <v/>
      </c>
      <c r="M1869">
        <f>IF($A1869="","",Wages!$J1872)</f>
        <v/>
      </c>
      <c r="N1869">
        <f>IF($A1869="","",Wages!$D1872)</f>
        <v/>
      </c>
      <c r="P1869">
        <f>IF(OR(Shares!$B1872="",Shares!$C1872=""),"",Shares!$C1872)</f>
        <v/>
      </c>
      <c r="Q1869">
        <f>IF($P1869="","",Shares!$B1872)</f>
        <v/>
      </c>
      <c r="R1869">
        <f>IF($P1869="","",IFERROR(INDEX(WageParty,MATCH($Q1869,WageIds,0)),""))</f>
        <v/>
      </c>
      <c r="S1869">
        <f>IF($P1869="","",IFERROR(INDEX($F$6:$F$2005,MATCH($Q1869,WageIds,0)),""))</f>
        <v/>
      </c>
      <c r="T1869">
        <f>IF(OR($P1869="",$S1869="",$S1869="نامعتبر"),"",LEFT($S1869,4)&amp;MID($S1869,6,2)&amp;RIGHT($S1869,2)&amp;"0000"&amp;"|"&amp;"2"&amp;RIGHT("00000"&amp;1864,5))</f>
        <v/>
      </c>
      <c r="U1869">
        <f>IF($T1869="","",COUNTIFS(LdAParty,$P1869,LdAType,1,LdAKey,"&lt;"&amp;$T1869)+COUNTIFS(LdBMember,$P1869,LdBKey,"&lt;"&amp;$T1869)+COUNTIFS(LdCParty,$P1869,LdCKey,"&lt;"&amp;$T1869)+1)</f>
        <v/>
      </c>
      <c r="V1869">
        <f>IF($U1869="","",$P1869&amp;"|"&amp;RIGHT("000000"&amp;$U1869,6))</f>
        <v/>
      </c>
      <c r="W1869">
        <f>IF($T1869="","",COUNTIFS(LdBGroup,$R1869,LdBKey,"&lt;"&amp;$T1869)+1)</f>
        <v/>
      </c>
      <c r="X1869">
        <f>IF($W1869="","",$R1869&amp;"|"&amp;RIGHT("000000"&amp;$W1869,6))</f>
        <v/>
      </c>
      <c r="Y1869">
        <f>IF($P1869="","",IF(Shares!$E1872="",0,Shares!$E1872))</f>
        <v/>
      </c>
      <c r="Z1869">
        <f>IF($P1869="","",Shares!$H1872)</f>
        <v/>
      </c>
      <c r="AE1869">
        <f>IF(OR(Sync!$S1869="",Sync!$P1869=""),"",Sync!$S1869)</f>
        <v/>
      </c>
      <c r="AF1869">
        <f>IF($AE1869="","",IF(ISNUMBER(Sync!$P1869),IF(AND(Sync!$P1869&gt;=10000101,Sync!$P1869&lt;=99991231),INT(Sync!$P1869/10000),""),IFERROR(VALUE(TRIM(LEFT(Sync!$P1869,FIND("/",Sync!$P1869)-1))),"")))</f>
        <v/>
      </c>
      <c r="AG1869">
        <f>IF(OR($AE1869="",$AF1869=""),"",IF(ISNUMBER(Sync!$P1869),INT(MOD(Sync!$P1869,10000)/100),IFERROR(VALUE(TRIM(LEFT(MID(Sync!$P1869,FIND("/",Sync!$P1869)+1,20),FIND("/",MID(Sync!$P1869,FIND("/",Sync!$P1869)+1,20))-1))),"")))</f>
        <v/>
      </c>
      <c r="AH1869">
        <f>IF(OR($AE1869="",$AF1869=""),"",IF(ISNUMBER(Sync!$P1869),MOD(Sync!$P1869,100),IFERROR(VALUE(TRIM(MID(MID(Sync!$P1869,FIND("/",Sync!$P1869)+1,20),FIND("/",MID(Sync!$P1869,FIND("/",Sync!$P1869)+1,20))+1,20))),"")))</f>
        <v/>
      </c>
      <c r="AI1869">
        <f>IF($AE1869="","",IF(OR($AF1869="",$AG1869="",$AH1869="",$AF1869&lt;1300,$AF1869&gt;1500,$AG1869&lt;1,$AG1869&gt;12,$AH1869&lt;1,$AH1869&gt;31),"نامعتبر",RIGHT("0000"&amp;$AF1869,4)&amp;"/"&amp;RIGHT("00"&amp;$AG1869,2)&amp;"/"&amp;RIGHT("00"&amp;$AH1869,2)))</f>
        <v/>
      </c>
      <c r="AJ1869">
        <f>IF($AE1869="","",IF(Sync!$Q1869="","0000",IF(AND(ISNUMBER(Sync!$Q1869),Sync!$Q1869&gt;=0,Sync!$Q1869&lt;1),RIGHT("00"&amp;HOUR(Sync!$Q1869),2)&amp;RIGHT("00"&amp;MINUTE(Sync!$Q1869),2),IFERROR(RIGHT("00"&amp;VALUE(LEFT(Sync!$Q1869,FIND(":",Sync!$Q1869)-1)),2)&amp;RIGHT("00"&amp;VALUE(MID(Sync!$Q1869,FIND(":",Sync!$Q1869)+1,2)),2),"0000"))))</f>
        <v/>
      </c>
      <c r="AK1869">
        <f>IF(OR($AE1869="",$AI1869="",$AI1869="نامعتبر"),"",LEFT($AI1869,4)&amp;MID($AI1869,6,2)&amp;RIGHT($AI1869,2)&amp;$AJ1869&amp;"|"&amp;"3"&amp;RIGHT("00000"&amp;1864,5))</f>
        <v/>
      </c>
      <c r="AL1869">
        <f>IF($AK1869="","",COUNTIFS(LdAParty,$AE1869,LdAType,1,LdAKey,"&lt;"&amp;$AK1869)+COUNTIFS(LdBMember,$AE1869,LdBKey,"&lt;"&amp;$AK1869)+COUNTIFS(LdCParty,$AE1869,LdCKey,"&lt;"&amp;$AK1869)+1)</f>
        <v/>
      </c>
      <c r="AM1869">
        <f>IF($AL1869="","",$AE1869&amp;"|"&amp;RIGHT("000000"&amp;$AL1869,6))</f>
        <v/>
      </c>
      <c r="AN1869">
        <f>IF($AE1869="","",IF(Sync!$W1869="",0,Sync!$W1869))</f>
        <v/>
      </c>
      <c r="AO1869">
        <f>IF($AE1869="","",IF(Sync!$X1869="",0,Sync!$X1869))</f>
        <v/>
      </c>
      <c r="AP1869">
        <f>IF($AE1869="","",Sync!$R1869)</f>
        <v/>
      </c>
      <c r="AQ1869">
        <f>IF($AE1869="","",Sync!$Y1869)</f>
        <v/>
      </c>
    </row>
    <row r="1870">
      <c r="A1870">
        <f>IF(OR(Wages!$B1873="",Wages!$E1873=""),"",Wages!$E1873)</f>
        <v/>
      </c>
      <c r="B1870">
        <f>IF($A1870="","",IF(Wages!$C1873="دستمزد گروهی",2,1))</f>
        <v/>
      </c>
      <c r="C1870">
        <f>IF($A1870="","",IF(ISNUMBER(Wages!$B1873),IF(AND(Wages!$B1873&gt;=10000101,Wages!$B1873&lt;=99991231),INT(Wages!$B1873/10000),""),IFERROR(VALUE(TRIM(LEFT(Wages!$B1873,FIND("/",Wages!$B1873)-1))),"")))</f>
        <v/>
      </c>
      <c r="D1870">
        <f>IF(OR($A1870="",$C1870=""),"",IF(ISNUMBER(Wages!$B1873),INT(MOD(Wages!$B1873,10000)/100),IFERROR(VALUE(TRIM(LEFT(MID(Wages!$B1873,FIND("/",Wages!$B1873)+1,20),FIND("/",MID(Wages!$B1873,FIND("/",Wages!$B1873)+1,20))-1))),"")))</f>
        <v/>
      </c>
      <c r="E1870">
        <f>IF(OR($A1870="",$C1870=""),"",IF(ISNUMBER(Wages!$B1873),MOD(Wages!$B1873,100),IFERROR(VALUE(TRIM(MID(MID(Wages!$B1873,FIND("/",Wages!$B1873)+1,20),FIND("/",MID(Wages!$B1873,FIND("/",Wages!$B1873)+1,20))+1,20))),"")))</f>
        <v/>
      </c>
      <c r="F1870">
        <f>IF($A1870="","",IF(OR($C1870="",$D1870="",$E1870="",$C1870&lt;1300,$C1870&gt;1500,$D1870&lt;1,$D1870&gt;12,$E1870&lt;1,$E1870&gt;31),"نامعتبر",RIGHT("0000"&amp;$C1870,4)&amp;"/"&amp;RIGHT("00"&amp;$D1870,2)&amp;"/"&amp;RIGHT("00"&amp;$E1870,2)))</f>
        <v/>
      </c>
      <c r="G1870">
        <f>IF(OR($A1870="",$F1870="",$F1870="نامعتبر"),"",LEFT($F1870,4)&amp;MID($F1870,6,2)&amp;RIGHT($F1870,2)&amp;"0000"&amp;"|"&amp;"1"&amp;RIGHT("00000"&amp;1865,5))</f>
        <v/>
      </c>
      <c r="H1870">
        <f>IF(OR($B1870&lt;&gt;1,$G1870=""),"",COUNTIFS(LdAParty,$A1870,LdAType,1,LdAKey,"&lt;"&amp;$G1870)+COUNTIFS(LdBMember,$A1870,LdBKey,"&lt;"&amp;$G1870)+COUNTIFS(LdCParty,$A1870,LdCKey,"&lt;"&amp;$G1870)+1)</f>
        <v/>
      </c>
      <c r="I1870">
        <f>IF($H1870="","",$A1870&amp;"|"&amp;RIGHT("000000"&amp;$H1870,6))</f>
        <v/>
      </c>
      <c r="J1870">
        <f>IF(OR($B1870&lt;&gt;2,$G1870=""),"",COUNTIFS(LdAParty,$A1870,LdAType,2,LdAKey,"&lt;"&amp;$G1870)+1)</f>
        <v/>
      </c>
      <c r="K1870">
        <f>IF($J1870="","",$A1870&amp;"|"&amp;RIGHT("000000"&amp;$J1870,6))</f>
        <v/>
      </c>
      <c r="L1870">
        <f>IF($A1870="","",IF(Wages!$G1873="",0,Wages!$G1873))</f>
        <v/>
      </c>
      <c r="M1870">
        <f>IF($A1870="","",Wages!$J1873)</f>
        <v/>
      </c>
      <c r="N1870">
        <f>IF($A1870="","",Wages!$D1873)</f>
        <v/>
      </c>
      <c r="P1870">
        <f>IF(OR(Shares!$B1873="",Shares!$C1873=""),"",Shares!$C1873)</f>
        <v/>
      </c>
      <c r="Q1870">
        <f>IF($P1870="","",Shares!$B1873)</f>
        <v/>
      </c>
      <c r="R1870">
        <f>IF($P1870="","",IFERROR(INDEX(WageParty,MATCH($Q1870,WageIds,0)),""))</f>
        <v/>
      </c>
      <c r="S1870">
        <f>IF($P1870="","",IFERROR(INDEX($F$6:$F$2005,MATCH($Q1870,WageIds,0)),""))</f>
        <v/>
      </c>
      <c r="T1870">
        <f>IF(OR($P1870="",$S1870="",$S1870="نامعتبر"),"",LEFT($S1870,4)&amp;MID($S1870,6,2)&amp;RIGHT($S1870,2)&amp;"0000"&amp;"|"&amp;"2"&amp;RIGHT("00000"&amp;1865,5))</f>
        <v/>
      </c>
      <c r="U1870">
        <f>IF($T1870="","",COUNTIFS(LdAParty,$P1870,LdAType,1,LdAKey,"&lt;"&amp;$T1870)+COUNTIFS(LdBMember,$P1870,LdBKey,"&lt;"&amp;$T1870)+COUNTIFS(LdCParty,$P1870,LdCKey,"&lt;"&amp;$T1870)+1)</f>
        <v/>
      </c>
      <c r="V1870">
        <f>IF($U1870="","",$P1870&amp;"|"&amp;RIGHT("000000"&amp;$U1870,6))</f>
        <v/>
      </c>
      <c r="W1870">
        <f>IF($T1870="","",COUNTIFS(LdBGroup,$R1870,LdBKey,"&lt;"&amp;$T1870)+1)</f>
        <v/>
      </c>
      <c r="X1870">
        <f>IF($W1870="","",$R1870&amp;"|"&amp;RIGHT("000000"&amp;$W1870,6))</f>
        <v/>
      </c>
      <c r="Y1870">
        <f>IF($P1870="","",IF(Shares!$E1873="",0,Shares!$E1873))</f>
        <v/>
      </c>
      <c r="Z1870">
        <f>IF($P1870="","",Shares!$H1873)</f>
        <v/>
      </c>
      <c r="AE1870">
        <f>IF(OR(Sync!$S1870="",Sync!$P1870=""),"",Sync!$S1870)</f>
        <v/>
      </c>
      <c r="AF1870">
        <f>IF($AE1870="","",IF(ISNUMBER(Sync!$P1870),IF(AND(Sync!$P1870&gt;=10000101,Sync!$P1870&lt;=99991231),INT(Sync!$P1870/10000),""),IFERROR(VALUE(TRIM(LEFT(Sync!$P1870,FIND("/",Sync!$P1870)-1))),"")))</f>
        <v/>
      </c>
      <c r="AG1870">
        <f>IF(OR($AE1870="",$AF1870=""),"",IF(ISNUMBER(Sync!$P1870),INT(MOD(Sync!$P1870,10000)/100),IFERROR(VALUE(TRIM(LEFT(MID(Sync!$P1870,FIND("/",Sync!$P1870)+1,20),FIND("/",MID(Sync!$P1870,FIND("/",Sync!$P1870)+1,20))-1))),"")))</f>
        <v/>
      </c>
      <c r="AH1870">
        <f>IF(OR($AE1870="",$AF1870=""),"",IF(ISNUMBER(Sync!$P1870),MOD(Sync!$P1870,100),IFERROR(VALUE(TRIM(MID(MID(Sync!$P1870,FIND("/",Sync!$P1870)+1,20),FIND("/",MID(Sync!$P1870,FIND("/",Sync!$P1870)+1,20))+1,20))),"")))</f>
        <v/>
      </c>
      <c r="AI1870">
        <f>IF($AE1870="","",IF(OR($AF1870="",$AG1870="",$AH1870="",$AF1870&lt;1300,$AF1870&gt;1500,$AG1870&lt;1,$AG1870&gt;12,$AH1870&lt;1,$AH1870&gt;31),"نامعتبر",RIGHT("0000"&amp;$AF1870,4)&amp;"/"&amp;RIGHT("00"&amp;$AG1870,2)&amp;"/"&amp;RIGHT("00"&amp;$AH1870,2)))</f>
        <v/>
      </c>
      <c r="AJ1870">
        <f>IF($AE1870="","",IF(Sync!$Q1870="","0000",IF(AND(ISNUMBER(Sync!$Q1870),Sync!$Q1870&gt;=0,Sync!$Q1870&lt;1),RIGHT("00"&amp;HOUR(Sync!$Q1870),2)&amp;RIGHT("00"&amp;MINUTE(Sync!$Q1870),2),IFERROR(RIGHT("00"&amp;VALUE(LEFT(Sync!$Q1870,FIND(":",Sync!$Q1870)-1)),2)&amp;RIGHT("00"&amp;VALUE(MID(Sync!$Q1870,FIND(":",Sync!$Q1870)+1,2)),2),"0000"))))</f>
        <v/>
      </c>
      <c r="AK1870">
        <f>IF(OR($AE1870="",$AI1870="",$AI1870="نامعتبر"),"",LEFT($AI1870,4)&amp;MID($AI1870,6,2)&amp;RIGHT($AI1870,2)&amp;$AJ1870&amp;"|"&amp;"3"&amp;RIGHT("00000"&amp;1865,5))</f>
        <v/>
      </c>
      <c r="AL1870">
        <f>IF($AK1870="","",COUNTIFS(LdAParty,$AE1870,LdAType,1,LdAKey,"&lt;"&amp;$AK1870)+COUNTIFS(LdBMember,$AE1870,LdBKey,"&lt;"&amp;$AK1870)+COUNTIFS(LdCParty,$AE1870,LdCKey,"&lt;"&amp;$AK1870)+1)</f>
        <v/>
      </c>
      <c r="AM1870">
        <f>IF($AL1870="","",$AE1870&amp;"|"&amp;RIGHT("000000"&amp;$AL1870,6))</f>
        <v/>
      </c>
      <c r="AN1870">
        <f>IF($AE1870="","",IF(Sync!$W1870="",0,Sync!$W1870))</f>
        <v/>
      </c>
      <c r="AO1870">
        <f>IF($AE1870="","",IF(Sync!$X1870="",0,Sync!$X1870))</f>
        <v/>
      </c>
      <c r="AP1870">
        <f>IF($AE1870="","",Sync!$R1870)</f>
        <v/>
      </c>
      <c r="AQ1870">
        <f>IF($AE1870="","",Sync!$Y1870)</f>
        <v/>
      </c>
    </row>
    <row r="1871">
      <c r="A1871">
        <f>IF(OR(Wages!$B1874="",Wages!$E1874=""),"",Wages!$E1874)</f>
        <v/>
      </c>
      <c r="B1871">
        <f>IF($A1871="","",IF(Wages!$C1874="دستمزد گروهی",2,1))</f>
        <v/>
      </c>
      <c r="C1871">
        <f>IF($A1871="","",IF(ISNUMBER(Wages!$B1874),IF(AND(Wages!$B1874&gt;=10000101,Wages!$B1874&lt;=99991231),INT(Wages!$B1874/10000),""),IFERROR(VALUE(TRIM(LEFT(Wages!$B1874,FIND("/",Wages!$B1874)-1))),"")))</f>
        <v/>
      </c>
      <c r="D1871">
        <f>IF(OR($A1871="",$C1871=""),"",IF(ISNUMBER(Wages!$B1874),INT(MOD(Wages!$B1874,10000)/100),IFERROR(VALUE(TRIM(LEFT(MID(Wages!$B1874,FIND("/",Wages!$B1874)+1,20),FIND("/",MID(Wages!$B1874,FIND("/",Wages!$B1874)+1,20))-1))),"")))</f>
        <v/>
      </c>
      <c r="E1871">
        <f>IF(OR($A1871="",$C1871=""),"",IF(ISNUMBER(Wages!$B1874),MOD(Wages!$B1874,100),IFERROR(VALUE(TRIM(MID(MID(Wages!$B1874,FIND("/",Wages!$B1874)+1,20),FIND("/",MID(Wages!$B1874,FIND("/",Wages!$B1874)+1,20))+1,20))),"")))</f>
        <v/>
      </c>
      <c r="F1871">
        <f>IF($A1871="","",IF(OR($C1871="",$D1871="",$E1871="",$C1871&lt;1300,$C1871&gt;1500,$D1871&lt;1,$D1871&gt;12,$E1871&lt;1,$E1871&gt;31),"نامعتبر",RIGHT("0000"&amp;$C1871,4)&amp;"/"&amp;RIGHT("00"&amp;$D1871,2)&amp;"/"&amp;RIGHT("00"&amp;$E1871,2)))</f>
        <v/>
      </c>
      <c r="G1871">
        <f>IF(OR($A1871="",$F1871="",$F1871="نامعتبر"),"",LEFT($F1871,4)&amp;MID($F1871,6,2)&amp;RIGHT($F1871,2)&amp;"0000"&amp;"|"&amp;"1"&amp;RIGHT("00000"&amp;1866,5))</f>
        <v/>
      </c>
      <c r="H1871">
        <f>IF(OR($B1871&lt;&gt;1,$G1871=""),"",COUNTIFS(LdAParty,$A1871,LdAType,1,LdAKey,"&lt;"&amp;$G1871)+COUNTIFS(LdBMember,$A1871,LdBKey,"&lt;"&amp;$G1871)+COUNTIFS(LdCParty,$A1871,LdCKey,"&lt;"&amp;$G1871)+1)</f>
        <v/>
      </c>
      <c r="I1871">
        <f>IF($H1871="","",$A1871&amp;"|"&amp;RIGHT("000000"&amp;$H1871,6))</f>
        <v/>
      </c>
      <c r="J1871">
        <f>IF(OR($B1871&lt;&gt;2,$G1871=""),"",COUNTIFS(LdAParty,$A1871,LdAType,2,LdAKey,"&lt;"&amp;$G1871)+1)</f>
        <v/>
      </c>
      <c r="K1871">
        <f>IF($J1871="","",$A1871&amp;"|"&amp;RIGHT("000000"&amp;$J1871,6))</f>
        <v/>
      </c>
      <c r="L1871">
        <f>IF($A1871="","",IF(Wages!$G1874="",0,Wages!$G1874))</f>
        <v/>
      </c>
      <c r="M1871">
        <f>IF($A1871="","",Wages!$J1874)</f>
        <v/>
      </c>
      <c r="N1871">
        <f>IF($A1871="","",Wages!$D1874)</f>
        <v/>
      </c>
      <c r="P1871">
        <f>IF(OR(Shares!$B1874="",Shares!$C1874=""),"",Shares!$C1874)</f>
        <v/>
      </c>
      <c r="Q1871">
        <f>IF($P1871="","",Shares!$B1874)</f>
        <v/>
      </c>
      <c r="R1871">
        <f>IF($P1871="","",IFERROR(INDEX(WageParty,MATCH($Q1871,WageIds,0)),""))</f>
        <v/>
      </c>
      <c r="S1871">
        <f>IF($P1871="","",IFERROR(INDEX($F$6:$F$2005,MATCH($Q1871,WageIds,0)),""))</f>
        <v/>
      </c>
      <c r="T1871">
        <f>IF(OR($P1871="",$S1871="",$S1871="نامعتبر"),"",LEFT($S1871,4)&amp;MID($S1871,6,2)&amp;RIGHT($S1871,2)&amp;"0000"&amp;"|"&amp;"2"&amp;RIGHT("00000"&amp;1866,5))</f>
        <v/>
      </c>
      <c r="U1871">
        <f>IF($T1871="","",COUNTIFS(LdAParty,$P1871,LdAType,1,LdAKey,"&lt;"&amp;$T1871)+COUNTIFS(LdBMember,$P1871,LdBKey,"&lt;"&amp;$T1871)+COUNTIFS(LdCParty,$P1871,LdCKey,"&lt;"&amp;$T1871)+1)</f>
        <v/>
      </c>
      <c r="V1871">
        <f>IF($U1871="","",$P1871&amp;"|"&amp;RIGHT("000000"&amp;$U1871,6))</f>
        <v/>
      </c>
      <c r="W1871">
        <f>IF($T1871="","",COUNTIFS(LdBGroup,$R1871,LdBKey,"&lt;"&amp;$T1871)+1)</f>
        <v/>
      </c>
      <c r="X1871">
        <f>IF($W1871="","",$R1871&amp;"|"&amp;RIGHT("000000"&amp;$W1871,6))</f>
        <v/>
      </c>
      <c r="Y1871">
        <f>IF($P1871="","",IF(Shares!$E1874="",0,Shares!$E1874))</f>
        <v/>
      </c>
      <c r="Z1871">
        <f>IF($P1871="","",Shares!$H1874)</f>
        <v/>
      </c>
      <c r="AE1871">
        <f>IF(OR(Sync!$S1871="",Sync!$P1871=""),"",Sync!$S1871)</f>
        <v/>
      </c>
      <c r="AF1871">
        <f>IF($AE1871="","",IF(ISNUMBER(Sync!$P1871),IF(AND(Sync!$P1871&gt;=10000101,Sync!$P1871&lt;=99991231),INT(Sync!$P1871/10000),""),IFERROR(VALUE(TRIM(LEFT(Sync!$P1871,FIND("/",Sync!$P1871)-1))),"")))</f>
        <v/>
      </c>
      <c r="AG1871">
        <f>IF(OR($AE1871="",$AF1871=""),"",IF(ISNUMBER(Sync!$P1871),INT(MOD(Sync!$P1871,10000)/100),IFERROR(VALUE(TRIM(LEFT(MID(Sync!$P1871,FIND("/",Sync!$P1871)+1,20),FIND("/",MID(Sync!$P1871,FIND("/",Sync!$P1871)+1,20))-1))),"")))</f>
        <v/>
      </c>
      <c r="AH1871">
        <f>IF(OR($AE1871="",$AF1871=""),"",IF(ISNUMBER(Sync!$P1871),MOD(Sync!$P1871,100),IFERROR(VALUE(TRIM(MID(MID(Sync!$P1871,FIND("/",Sync!$P1871)+1,20),FIND("/",MID(Sync!$P1871,FIND("/",Sync!$P1871)+1,20))+1,20))),"")))</f>
        <v/>
      </c>
      <c r="AI1871">
        <f>IF($AE1871="","",IF(OR($AF1871="",$AG1871="",$AH1871="",$AF1871&lt;1300,$AF1871&gt;1500,$AG1871&lt;1,$AG1871&gt;12,$AH1871&lt;1,$AH1871&gt;31),"نامعتبر",RIGHT("0000"&amp;$AF1871,4)&amp;"/"&amp;RIGHT("00"&amp;$AG1871,2)&amp;"/"&amp;RIGHT("00"&amp;$AH1871,2)))</f>
        <v/>
      </c>
      <c r="AJ1871">
        <f>IF($AE1871="","",IF(Sync!$Q1871="","0000",IF(AND(ISNUMBER(Sync!$Q1871),Sync!$Q1871&gt;=0,Sync!$Q1871&lt;1),RIGHT("00"&amp;HOUR(Sync!$Q1871),2)&amp;RIGHT("00"&amp;MINUTE(Sync!$Q1871),2),IFERROR(RIGHT("00"&amp;VALUE(LEFT(Sync!$Q1871,FIND(":",Sync!$Q1871)-1)),2)&amp;RIGHT("00"&amp;VALUE(MID(Sync!$Q1871,FIND(":",Sync!$Q1871)+1,2)),2),"0000"))))</f>
        <v/>
      </c>
      <c r="AK1871">
        <f>IF(OR($AE1871="",$AI1871="",$AI1871="نامعتبر"),"",LEFT($AI1871,4)&amp;MID($AI1871,6,2)&amp;RIGHT($AI1871,2)&amp;$AJ1871&amp;"|"&amp;"3"&amp;RIGHT("00000"&amp;1866,5))</f>
        <v/>
      </c>
      <c r="AL1871">
        <f>IF($AK1871="","",COUNTIFS(LdAParty,$AE1871,LdAType,1,LdAKey,"&lt;"&amp;$AK1871)+COUNTIFS(LdBMember,$AE1871,LdBKey,"&lt;"&amp;$AK1871)+COUNTIFS(LdCParty,$AE1871,LdCKey,"&lt;"&amp;$AK1871)+1)</f>
        <v/>
      </c>
      <c r="AM1871">
        <f>IF($AL1871="","",$AE1871&amp;"|"&amp;RIGHT("000000"&amp;$AL1871,6))</f>
        <v/>
      </c>
      <c r="AN1871">
        <f>IF($AE1871="","",IF(Sync!$W1871="",0,Sync!$W1871))</f>
        <v/>
      </c>
      <c r="AO1871">
        <f>IF($AE1871="","",IF(Sync!$X1871="",0,Sync!$X1871))</f>
        <v/>
      </c>
      <c r="AP1871">
        <f>IF($AE1871="","",Sync!$R1871)</f>
        <v/>
      </c>
      <c r="AQ1871">
        <f>IF($AE1871="","",Sync!$Y1871)</f>
        <v/>
      </c>
    </row>
    <row r="1872">
      <c r="A1872">
        <f>IF(OR(Wages!$B1875="",Wages!$E1875=""),"",Wages!$E1875)</f>
        <v/>
      </c>
      <c r="B1872">
        <f>IF($A1872="","",IF(Wages!$C1875="دستمزد گروهی",2,1))</f>
        <v/>
      </c>
      <c r="C1872">
        <f>IF($A1872="","",IF(ISNUMBER(Wages!$B1875),IF(AND(Wages!$B1875&gt;=10000101,Wages!$B1875&lt;=99991231),INT(Wages!$B1875/10000),""),IFERROR(VALUE(TRIM(LEFT(Wages!$B1875,FIND("/",Wages!$B1875)-1))),"")))</f>
        <v/>
      </c>
      <c r="D1872">
        <f>IF(OR($A1872="",$C1872=""),"",IF(ISNUMBER(Wages!$B1875),INT(MOD(Wages!$B1875,10000)/100),IFERROR(VALUE(TRIM(LEFT(MID(Wages!$B1875,FIND("/",Wages!$B1875)+1,20),FIND("/",MID(Wages!$B1875,FIND("/",Wages!$B1875)+1,20))-1))),"")))</f>
        <v/>
      </c>
      <c r="E1872">
        <f>IF(OR($A1872="",$C1872=""),"",IF(ISNUMBER(Wages!$B1875),MOD(Wages!$B1875,100),IFERROR(VALUE(TRIM(MID(MID(Wages!$B1875,FIND("/",Wages!$B1875)+1,20),FIND("/",MID(Wages!$B1875,FIND("/",Wages!$B1875)+1,20))+1,20))),"")))</f>
        <v/>
      </c>
      <c r="F1872">
        <f>IF($A1872="","",IF(OR($C1872="",$D1872="",$E1872="",$C1872&lt;1300,$C1872&gt;1500,$D1872&lt;1,$D1872&gt;12,$E1872&lt;1,$E1872&gt;31),"نامعتبر",RIGHT("0000"&amp;$C1872,4)&amp;"/"&amp;RIGHT("00"&amp;$D1872,2)&amp;"/"&amp;RIGHT("00"&amp;$E1872,2)))</f>
        <v/>
      </c>
      <c r="G1872">
        <f>IF(OR($A1872="",$F1872="",$F1872="نامعتبر"),"",LEFT($F1872,4)&amp;MID($F1872,6,2)&amp;RIGHT($F1872,2)&amp;"0000"&amp;"|"&amp;"1"&amp;RIGHT("00000"&amp;1867,5))</f>
        <v/>
      </c>
      <c r="H1872">
        <f>IF(OR($B1872&lt;&gt;1,$G1872=""),"",COUNTIFS(LdAParty,$A1872,LdAType,1,LdAKey,"&lt;"&amp;$G1872)+COUNTIFS(LdBMember,$A1872,LdBKey,"&lt;"&amp;$G1872)+COUNTIFS(LdCParty,$A1872,LdCKey,"&lt;"&amp;$G1872)+1)</f>
        <v/>
      </c>
      <c r="I1872">
        <f>IF($H1872="","",$A1872&amp;"|"&amp;RIGHT("000000"&amp;$H1872,6))</f>
        <v/>
      </c>
      <c r="J1872">
        <f>IF(OR($B1872&lt;&gt;2,$G1872=""),"",COUNTIFS(LdAParty,$A1872,LdAType,2,LdAKey,"&lt;"&amp;$G1872)+1)</f>
        <v/>
      </c>
      <c r="K1872">
        <f>IF($J1872="","",$A1872&amp;"|"&amp;RIGHT("000000"&amp;$J1872,6))</f>
        <v/>
      </c>
      <c r="L1872">
        <f>IF($A1872="","",IF(Wages!$G1875="",0,Wages!$G1875))</f>
        <v/>
      </c>
      <c r="M1872">
        <f>IF($A1872="","",Wages!$J1875)</f>
        <v/>
      </c>
      <c r="N1872">
        <f>IF($A1872="","",Wages!$D1875)</f>
        <v/>
      </c>
      <c r="P1872">
        <f>IF(OR(Shares!$B1875="",Shares!$C1875=""),"",Shares!$C1875)</f>
        <v/>
      </c>
      <c r="Q1872">
        <f>IF($P1872="","",Shares!$B1875)</f>
        <v/>
      </c>
      <c r="R1872">
        <f>IF($P1872="","",IFERROR(INDEX(WageParty,MATCH($Q1872,WageIds,0)),""))</f>
        <v/>
      </c>
      <c r="S1872">
        <f>IF($P1872="","",IFERROR(INDEX($F$6:$F$2005,MATCH($Q1872,WageIds,0)),""))</f>
        <v/>
      </c>
      <c r="T1872">
        <f>IF(OR($P1872="",$S1872="",$S1872="نامعتبر"),"",LEFT($S1872,4)&amp;MID($S1872,6,2)&amp;RIGHT($S1872,2)&amp;"0000"&amp;"|"&amp;"2"&amp;RIGHT("00000"&amp;1867,5))</f>
        <v/>
      </c>
      <c r="U1872">
        <f>IF($T1872="","",COUNTIFS(LdAParty,$P1872,LdAType,1,LdAKey,"&lt;"&amp;$T1872)+COUNTIFS(LdBMember,$P1872,LdBKey,"&lt;"&amp;$T1872)+COUNTIFS(LdCParty,$P1872,LdCKey,"&lt;"&amp;$T1872)+1)</f>
        <v/>
      </c>
      <c r="V1872">
        <f>IF($U1872="","",$P1872&amp;"|"&amp;RIGHT("000000"&amp;$U1872,6))</f>
        <v/>
      </c>
      <c r="W1872">
        <f>IF($T1872="","",COUNTIFS(LdBGroup,$R1872,LdBKey,"&lt;"&amp;$T1872)+1)</f>
        <v/>
      </c>
      <c r="X1872">
        <f>IF($W1872="","",$R1872&amp;"|"&amp;RIGHT("000000"&amp;$W1872,6))</f>
        <v/>
      </c>
      <c r="Y1872">
        <f>IF($P1872="","",IF(Shares!$E1875="",0,Shares!$E1875))</f>
        <v/>
      </c>
      <c r="Z1872">
        <f>IF($P1872="","",Shares!$H1875)</f>
        <v/>
      </c>
      <c r="AE1872">
        <f>IF(OR(Sync!$S1872="",Sync!$P1872=""),"",Sync!$S1872)</f>
        <v/>
      </c>
      <c r="AF1872">
        <f>IF($AE1872="","",IF(ISNUMBER(Sync!$P1872),IF(AND(Sync!$P1872&gt;=10000101,Sync!$P1872&lt;=99991231),INT(Sync!$P1872/10000),""),IFERROR(VALUE(TRIM(LEFT(Sync!$P1872,FIND("/",Sync!$P1872)-1))),"")))</f>
        <v/>
      </c>
      <c r="AG1872">
        <f>IF(OR($AE1872="",$AF1872=""),"",IF(ISNUMBER(Sync!$P1872),INT(MOD(Sync!$P1872,10000)/100),IFERROR(VALUE(TRIM(LEFT(MID(Sync!$P1872,FIND("/",Sync!$P1872)+1,20),FIND("/",MID(Sync!$P1872,FIND("/",Sync!$P1872)+1,20))-1))),"")))</f>
        <v/>
      </c>
      <c r="AH1872">
        <f>IF(OR($AE1872="",$AF1872=""),"",IF(ISNUMBER(Sync!$P1872),MOD(Sync!$P1872,100),IFERROR(VALUE(TRIM(MID(MID(Sync!$P1872,FIND("/",Sync!$P1872)+1,20),FIND("/",MID(Sync!$P1872,FIND("/",Sync!$P1872)+1,20))+1,20))),"")))</f>
        <v/>
      </c>
      <c r="AI1872">
        <f>IF($AE1872="","",IF(OR($AF1872="",$AG1872="",$AH1872="",$AF1872&lt;1300,$AF1872&gt;1500,$AG1872&lt;1,$AG1872&gt;12,$AH1872&lt;1,$AH1872&gt;31),"نامعتبر",RIGHT("0000"&amp;$AF1872,4)&amp;"/"&amp;RIGHT("00"&amp;$AG1872,2)&amp;"/"&amp;RIGHT("00"&amp;$AH1872,2)))</f>
        <v/>
      </c>
      <c r="AJ1872">
        <f>IF($AE1872="","",IF(Sync!$Q1872="","0000",IF(AND(ISNUMBER(Sync!$Q1872),Sync!$Q1872&gt;=0,Sync!$Q1872&lt;1),RIGHT("00"&amp;HOUR(Sync!$Q1872),2)&amp;RIGHT("00"&amp;MINUTE(Sync!$Q1872),2),IFERROR(RIGHT("00"&amp;VALUE(LEFT(Sync!$Q1872,FIND(":",Sync!$Q1872)-1)),2)&amp;RIGHT("00"&amp;VALUE(MID(Sync!$Q1872,FIND(":",Sync!$Q1872)+1,2)),2),"0000"))))</f>
        <v/>
      </c>
      <c r="AK1872">
        <f>IF(OR($AE1872="",$AI1872="",$AI1872="نامعتبر"),"",LEFT($AI1872,4)&amp;MID($AI1872,6,2)&amp;RIGHT($AI1872,2)&amp;$AJ1872&amp;"|"&amp;"3"&amp;RIGHT("00000"&amp;1867,5))</f>
        <v/>
      </c>
      <c r="AL1872">
        <f>IF($AK1872="","",COUNTIFS(LdAParty,$AE1872,LdAType,1,LdAKey,"&lt;"&amp;$AK1872)+COUNTIFS(LdBMember,$AE1872,LdBKey,"&lt;"&amp;$AK1872)+COUNTIFS(LdCParty,$AE1872,LdCKey,"&lt;"&amp;$AK1872)+1)</f>
        <v/>
      </c>
      <c r="AM1872">
        <f>IF($AL1872="","",$AE1872&amp;"|"&amp;RIGHT("000000"&amp;$AL1872,6))</f>
        <v/>
      </c>
      <c r="AN1872">
        <f>IF($AE1872="","",IF(Sync!$W1872="",0,Sync!$W1872))</f>
        <v/>
      </c>
      <c r="AO1872">
        <f>IF($AE1872="","",IF(Sync!$X1872="",0,Sync!$X1872))</f>
        <v/>
      </c>
      <c r="AP1872">
        <f>IF($AE1872="","",Sync!$R1872)</f>
        <v/>
      </c>
      <c r="AQ1872">
        <f>IF($AE1872="","",Sync!$Y1872)</f>
        <v/>
      </c>
    </row>
    <row r="1873">
      <c r="A1873">
        <f>IF(OR(Wages!$B1876="",Wages!$E1876=""),"",Wages!$E1876)</f>
        <v/>
      </c>
      <c r="B1873">
        <f>IF($A1873="","",IF(Wages!$C1876="دستمزد گروهی",2,1))</f>
        <v/>
      </c>
      <c r="C1873">
        <f>IF($A1873="","",IF(ISNUMBER(Wages!$B1876),IF(AND(Wages!$B1876&gt;=10000101,Wages!$B1876&lt;=99991231),INT(Wages!$B1876/10000),""),IFERROR(VALUE(TRIM(LEFT(Wages!$B1876,FIND("/",Wages!$B1876)-1))),"")))</f>
        <v/>
      </c>
      <c r="D1873">
        <f>IF(OR($A1873="",$C1873=""),"",IF(ISNUMBER(Wages!$B1876),INT(MOD(Wages!$B1876,10000)/100),IFERROR(VALUE(TRIM(LEFT(MID(Wages!$B1876,FIND("/",Wages!$B1876)+1,20),FIND("/",MID(Wages!$B1876,FIND("/",Wages!$B1876)+1,20))-1))),"")))</f>
        <v/>
      </c>
      <c r="E1873">
        <f>IF(OR($A1873="",$C1873=""),"",IF(ISNUMBER(Wages!$B1876),MOD(Wages!$B1876,100),IFERROR(VALUE(TRIM(MID(MID(Wages!$B1876,FIND("/",Wages!$B1876)+1,20),FIND("/",MID(Wages!$B1876,FIND("/",Wages!$B1876)+1,20))+1,20))),"")))</f>
        <v/>
      </c>
      <c r="F1873">
        <f>IF($A1873="","",IF(OR($C1873="",$D1873="",$E1873="",$C1873&lt;1300,$C1873&gt;1500,$D1873&lt;1,$D1873&gt;12,$E1873&lt;1,$E1873&gt;31),"نامعتبر",RIGHT("0000"&amp;$C1873,4)&amp;"/"&amp;RIGHT("00"&amp;$D1873,2)&amp;"/"&amp;RIGHT("00"&amp;$E1873,2)))</f>
        <v/>
      </c>
      <c r="G1873">
        <f>IF(OR($A1873="",$F1873="",$F1873="نامعتبر"),"",LEFT($F1873,4)&amp;MID($F1873,6,2)&amp;RIGHT($F1873,2)&amp;"0000"&amp;"|"&amp;"1"&amp;RIGHT("00000"&amp;1868,5))</f>
        <v/>
      </c>
      <c r="H1873">
        <f>IF(OR($B1873&lt;&gt;1,$G1873=""),"",COUNTIFS(LdAParty,$A1873,LdAType,1,LdAKey,"&lt;"&amp;$G1873)+COUNTIFS(LdBMember,$A1873,LdBKey,"&lt;"&amp;$G1873)+COUNTIFS(LdCParty,$A1873,LdCKey,"&lt;"&amp;$G1873)+1)</f>
        <v/>
      </c>
      <c r="I1873">
        <f>IF($H1873="","",$A1873&amp;"|"&amp;RIGHT("000000"&amp;$H1873,6))</f>
        <v/>
      </c>
      <c r="J1873">
        <f>IF(OR($B1873&lt;&gt;2,$G1873=""),"",COUNTIFS(LdAParty,$A1873,LdAType,2,LdAKey,"&lt;"&amp;$G1873)+1)</f>
        <v/>
      </c>
      <c r="K1873">
        <f>IF($J1873="","",$A1873&amp;"|"&amp;RIGHT("000000"&amp;$J1873,6))</f>
        <v/>
      </c>
      <c r="L1873">
        <f>IF($A1873="","",IF(Wages!$G1876="",0,Wages!$G1876))</f>
        <v/>
      </c>
      <c r="M1873">
        <f>IF($A1873="","",Wages!$J1876)</f>
        <v/>
      </c>
      <c r="N1873">
        <f>IF($A1873="","",Wages!$D1876)</f>
        <v/>
      </c>
      <c r="P1873">
        <f>IF(OR(Shares!$B1876="",Shares!$C1876=""),"",Shares!$C1876)</f>
        <v/>
      </c>
      <c r="Q1873">
        <f>IF($P1873="","",Shares!$B1876)</f>
        <v/>
      </c>
      <c r="R1873">
        <f>IF($P1873="","",IFERROR(INDEX(WageParty,MATCH($Q1873,WageIds,0)),""))</f>
        <v/>
      </c>
      <c r="S1873">
        <f>IF($P1873="","",IFERROR(INDEX($F$6:$F$2005,MATCH($Q1873,WageIds,0)),""))</f>
        <v/>
      </c>
      <c r="T1873">
        <f>IF(OR($P1873="",$S1873="",$S1873="نامعتبر"),"",LEFT($S1873,4)&amp;MID($S1873,6,2)&amp;RIGHT($S1873,2)&amp;"0000"&amp;"|"&amp;"2"&amp;RIGHT("00000"&amp;1868,5))</f>
        <v/>
      </c>
      <c r="U1873">
        <f>IF($T1873="","",COUNTIFS(LdAParty,$P1873,LdAType,1,LdAKey,"&lt;"&amp;$T1873)+COUNTIFS(LdBMember,$P1873,LdBKey,"&lt;"&amp;$T1873)+COUNTIFS(LdCParty,$P1873,LdCKey,"&lt;"&amp;$T1873)+1)</f>
        <v/>
      </c>
      <c r="V1873">
        <f>IF($U1873="","",$P1873&amp;"|"&amp;RIGHT("000000"&amp;$U1873,6))</f>
        <v/>
      </c>
      <c r="W1873">
        <f>IF($T1873="","",COUNTIFS(LdBGroup,$R1873,LdBKey,"&lt;"&amp;$T1873)+1)</f>
        <v/>
      </c>
      <c r="X1873">
        <f>IF($W1873="","",$R1873&amp;"|"&amp;RIGHT("000000"&amp;$W1873,6))</f>
        <v/>
      </c>
      <c r="Y1873">
        <f>IF($P1873="","",IF(Shares!$E1876="",0,Shares!$E1876))</f>
        <v/>
      </c>
      <c r="Z1873">
        <f>IF($P1873="","",Shares!$H1876)</f>
        <v/>
      </c>
      <c r="AE1873">
        <f>IF(OR(Sync!$S1873="",Sync!$P1873=""),"",Sync!$S1873)</f>
        <v/>
      </c>
      <c r="AF1873">
        <f>IF($AE1873="","",IF(ISNUMBER(Sync!$P1873),IF(AND(Sync!$P1873&gt;=10000101,Sync!$P1873&lt;=99991231),INT(Sync!$P1873/10000),""),IFERROR(VALUE(TRIM(LEFT(Sync!$P1873,FIND("/",Sync!$P1873)-1))),"")))</f>
        <v/>
      </c>
      <c r="AG1873">
        <f>IF(OR($AE1873="",$AF1873=""),"",IF(ISNUMBER(Sync!$P1873),INT(MOD(Sync!$P1873,10000)/100),IFERROR(VALUE(TRIM(LEFT(MID(Sync!$P1873,FIND("/",Sync!$P1873)+1,20),FIND("/",MID(Sync!$P1873,FIND("/",Sync!$P1873)+1,20))-1))),"")))</f>
        <v/>
      </c>
      <c r="AH1873">
        <f>IF(OR($AE1873="",$AF1873=""),"",IF(ISNUMBER(Sync!$P1873),MOD(Sync!$P1873,100),IFERROR(VALUE(TRIM(MID(MID(Sync!$P1873,FIND("/",Sync!$P1873)+1,20),FIND("/",MID(Sync!$P1873,FIND("/",Sync!$P1873)+1,20))+1,20))),"")))</f>
        <v/>
      </c>
      <c r="AI1873">
        <f>IF($AE1873="","",IF(OR($AF1873="",$AG1873="",$AH1873="",$AF1873&lt;1300,$AF1873&gt;1500,$AG1873&lt;1,$AG1873&gt;12,$AH1873&lt;1,$AH1873&gt;31),"نامعتبر",RIGHT("0000"&amp;$AF1873,4)&amp;"/"&amp;RIGHT("00"&amp;$AG1873,2)&amp;"/"&amp;RIGHT("00"&amp;$AH1873,2)))</f>
        <v/>
      </c>
      <c r="AJ1873">
        <f>IF($AE1873="","",IF(Sync!$Q1873="","0000",IF(AND(ISNUMBER(Sync!$Q1873),Sync!$Q1873&gt;=0,Sync!$Q1873&lt;1),RIGHT("00"&amp;HOUR(Sync!$Q1873),2)&amp;RIGHT("00"&amp;MINUTE(Sync!$Q1873),2),IFERROR(RIGHT("00"&amp;VALUE(LEFT(Sync!$Q1873,FIND(":",Sync!$Q1873)-1)),2)&amp;RIGHT("00"&amp;VALUE(MID(Sync!$Q1873,FIND(":",Sync!$Q1873)+1,2)),2),"0000"))))</f>
        <v/>
      </c>
      <c r="AK1873">
        <f>IF(OR($AE1873="",$AI1873="",$AI1873="نامعتبر"),"",LEFT($AI1873,4)&amp;MID($AI1873,6,2)&amp;RIGHT($AI1873,2)&amp;$AJ1873&amp;"|"&amp;"3"&amp;RIGHT("00000"&amp;1868,5))</f>
        <v/>
      </c>
      <c r="AL1873">
        <f>IF($AK1873="","",COUNTIFS(LdAParty,$AE1873,LdAType,1,LdAKey,"&lt;"&amp;$AK1873)+COUNTIFS(LdBMember,$AE1873,LdBKey,"&lt;"&amp;$AK1873)+COUNTIFS(LdCParty,$AE1873,LdCKey,"&lt;"&amp;$AK1873)+1)</f>
        <v/>
      </c>
      <c r="AM1873">
        <f>IF($AL1873="","",$AE1873&amp;"|"&amp;RIGHT("000000"&amp;$AL1873,6))</f>
        <v/>
      </c>
      <c r="AN1873">
        <f>IF($AE1873="","",IF(Sync!$W1873="",0,Sync!$W1873))</f>
        <v/>
      </c>
      <c r="AO1873">
        <f>IF($AE1873="","",IF(Sync!$X1873="",0,Sync!$X1873))</f>
        <v/>
      </c>
      <c r="AP1873">
        <f>IF($AE1873="","",Sync!$R1873)</f>
        <v/>
      </c>
      <c r="AQ1873">
        <f>IF($AE1873="","",Sync!$Y1873)</f>
        <v/>
      </c>
    </row>
    <row r="1874">
      <c r="A1874">
        <f>IF(OR(Wages!$B1877="",Wages!$E1877=""),"",Wages!$E1877)</f>
        <v/>
      </c>
      <c r="B1874">
        <f>IF($A1874="","",IF(Wages!$C1877="دستمزد گروهی",2,1))</f>
        <v/>
      </c>
      <c r="C1874">
        <f>IF($A1874="","",IF(ISNUMBER(Wages!$B1877),IF(AND(Wages!$B1877&gt;=10000101,Wages!$B1877&lt;=99991231),INT(Wages!$B1877/10000),""),IFERROR(VALUE(TRIM(LEFT(Wages!$B1877,FIND("/",Wages!$B1877)-1))),"")))</f>
        <v/>
      </c>
      <c r="D1874">
        <f>IF(OR($A1874="",$C1874=""),"",IF(ISNUMBER(Wages!$B1877),INT(MOD(Wages!$B1877,10000)/100),IFERROR(VALUE(TRIM(LEFT(MID(Wages!$B1877,FIND("/",Wages!$B1877)+1,20),FIND("/",MID(Wages!$B1877,FIND("/",Wages!$B1877)+1,20))-1))),"")))</f>
        <v/>
      </c>
      <c r="E1874">
        <f>IF(OR($A1874="",$C1874=""),"",IF(ISNUMBER(Wages!$B1877),MOD(Wages!$B1877,100),IFERROR(VALUE(TRIM(MID(MID(Wages!$B1877,FIND("/",Wages!$B1877)+1,20),FIND("/",MID(Wages!$B1877,FIND("/",Wages!$B1877)+1,20))+1,20))),"")))</f>
        <v/>
      </c>
      <c r="F1874">
        <f>IF($A1874="","",IF(OR($C1874="",$D1874="",$E1874="",$C1874&lt;1300,$C1874&gt;1500,$D1874&lt;1,$D1874&gt;12,$E1874&lt;1,$E1874&gt;31),"نامعتبر",RIGHT("0000"&amp;$C1874,4)&amp;"/"&amp;RIGHT("00"&amp;$D1874,2)&amp;"/"&amp;RIGHT("00"&amp;$E1874,2)))</f>
        <v/>
      </c>
      <c r="G1874">
        <f>IF(OR($A1874="",$F1874="",$F1874="نامعتبر"),"",LEFT($F1874,4)&amp;MID($F1874,6,2)&amp;RIGHT($F1874,2)&amp;"0000"&amp;"|"&amp;"1"&amp;RIGHT("00000"&amp;1869,5))</f>
        <v/>
      </c>
      <c r="H1874">
        <f>IF(OR($B1874&lt;&gt;1,$G1874=""),"",COUNTIFS(LdAParty,$A1874,LdAType,1,LdAKey,"&lt;"&amp;$G1874)+COUNTIFS(LdBMember,$A1874,LdBKey,"&lt;"&amp;$G1874)+COUNTIFS(LdCParty,$A1874,LdCKey,"&lt;"&amp;$G1874)+1)</f>
        <v/>
      </c>
      <c r="I1874">
        <f>IF($H1874="","",$A1874&amp;"|"&amp;RIGHT("000000"&amp;$H1874,6))</f>
        <v/>
      </c>
      <c r="J1874">
        <f>IF(OR($B1874&lt;&gt;2,$G1874=""),"",COUNTIFS(LdAParty,$A1874,LdAType,2,LdAKey,"&lt;"&amp;$G1874)+1)</f>
        <v/>
      </c>
      <c r="K1874">
        <f>IF($J1874="","",$A1874&amp;"|"&amp;RIGHT("000000"&amp;$J1874,6))</f>
        <v/>
      </c>
      <c r="L1874">
        <f>IF($A1874="","",IF(Wages!$G1877="",0,Wages!$G1877))</f>
        <v/>
      </c>
      <c r="M1874">
        <f>IF($A1874="","",Wages!$J1877)</f>
        <v/>
      </c>
      <c r="N1874">
        <f>IF($A1874="","",Wages!$D1877)</f>
        <v/>
      </c>
      <c r="P1874">
        <f>IF(OR(Shares!$B1877="",Shares!$C1877=""),"",Shares!$C1877)</f>
        <v/>
      </c>
      <c r="Q1874">
        <f>IF($P1874="","",Shares!$B1877)</f>
        <v/>
      </c>
      <c r="R1874">
        <f>IF($P1874="","",IFERROR(INDEX(WageParty,MATCH($Q1874,WageIds,0)),""))</f>
        <v/>
      </c>
      <c r="S1874">
        <f>IF($P1874="","",IFERROR(INDEX($F$6:$F$2005,MATCH($Q1874,WageIds,0)),""))</f>
        <v/>
      </c>
      <c r="T1874">
        <f>IF(OR($P1874="",$S1874="",$S1874="نامعتبر"),"",LEFT($S1874,4)&amp;MID($S1874,6,2)&amp;RIGHT($S1874,2)&amp;"0000"&amp;"|"&amp;"2"&amp;RIGHT("00000"&amp;1869,5))</f>
        <v/>
      </c>
      <c r="U1874">
        <f>IF($T1874="","",COUNTIFS(LdAParty,$P1874,LdAType,1,LdAKey,"&lt;"&amp;$T1874)+COUNTIFS(LdBMember,$P1874,LdBKey,"&lt;"&amp;$T1874)+COUNTIFS(LdCParty,$P1874,LdCKey,"&lt;"&amp;$T1874)+1)</f>
        <v/>
      </c>
      <c r="V1874">
        <f>IF($U1874="","",$P1874&amp;"|"&amp;RIGHT("000000"&amp;$U1874,6))</f>
        <v/>
      </c>
      <c r="W1874">
        <f>IF($T1874="","",COUNTIFS(LdBGroup,$R1874,LdBKey,"&lt;"&amp;$T1874)+1)</f>
        <v/>
      </c>
      <c r="X1874">
        <f>IF($W1874="","",$R1874&amp;"|"&amp;RIGHT("000000"&amp;$W1874,6))</f>
        <v/>
      </c>
      <c r="Y1874">
        <f>IF($P1874="","",IF(Shares!$E1877="",0,Shares!$E1877))</f>
        <v/>
      </c>
      <c r="Z1874">
        <f>IF($P1874="","",Shares!$H1877)</f>
        <v/>
      </c>
      <c r="AE1874">
        <f>IF(OR(Sync!$S1874="",Sync!$P1874=""),"",Sync!$S1874)</f>
        <v/>
      </c>
      <c r="AF1874">
        <f>IF($AE1874="","",IF(ISNUMBER(Sync!$P1874),IF(AND(Sync!$P1874&gt;=10000101,Sync!$P1874&lt;=99991231),INT(Sync!$P1874/10000),""),IFERROR(VALUE(TRIM(LEFT(Sync!$P1874,FIND("/",Sync!$P1874)-1))),"")))</f>
        <v/>
      </c>
      <c r="AG1874">
        <f>IF(OR($AE1874="",$AF1874=""),"",IF(ISNUMBER(Sync!$P1874),INT(MOD(Sync!$P1874,10000)/100),IFERROR(VALUE(TRIM(LEFT(MID(Sync!$P1874,FIND("/",Sync!$P1874)+1,20),FIND("/",MID(Sync!$P1874,FIND("/",Sync!$P1874)+1,20))-1))),"")))</f>
        <v/>
      </c>
      <c r="AH1874">
        <f>IF(OR($AE1874="",$AF1874=""),"",IF(ISNUMBER(Sync!$P1874),MOD(Sync!$P1874,100),IFERROR(VALUE(TRIM(MID(MID(Sync!$P1874,FIND("/",Sync!$P1874)+1,20),FIND("/",MID(Sync!$P1874,FIND("/",Sync!$P1874)+1,20))+1,20))),"")))</f>
        <v/>
      </c>
      <c r="AI1874">
        <f>IF($AE1874="","",IF(OR($AF1874="",$AG1874="",$AH1874="",$AF1874&lt;1300,$AF1874&gt;1500,$AG1874&lt;1,$AG1874&gt;12,$AH1874&lt;1,$AH1874&gt;31),"نامعتبر",RIGHT("0000"&amp;$AF1874,4)&amp;"/"&amp;RIGHT("00"&amp;$AG1874,2)&amp;"/"&amp;RIGHT("00"&amp;$AH1874,2)))</f>
        <v/>
      </c>
      <c r="AJ1874">
        <f>IF($AE1874="","",IF(Sync!$Q1874="","0000",IF(AND(ISNUMBER(Sync!$Q1874),Sync!$Q1874&gt;=0,Sync!$Q1874&lt;1),RIGHT("00"&amp;HOUR(Sync!$Q1874),2)&amp;RIGHT("00"&amp;MINUTE(Sync!$Q1874),2),IFERROR(RIGHT("00"&amp;VALUE(LEFT(Sync!$Q1874,FIND(":",Sync!$Q1874)-1)),2)&amp;RIGHT("00"&amp;VALUE(MID(Sync!$Q1874,FIND(":",Sync!$Q1874)+1,2)),2),"0000"))))</f>
        <v/>
      </c>
      <c r="AK1874">
        <f>IF(OR($AE1874="",$AI1874="",$AI1874="نامعتبر"),"",LEFT($AI1874,4)&amp;MID($AI1874,6,2)&amp;RIGHT($AI1874,2)&amp;$AJ1874&amp;"|"&amp;"3"&amp;RIGHT("00000"&amp;1869,5))</f>
        <v/>
      </c>
      <c r="AL1874">
        <f>IF($AK1874="","",COUNTIFS(LdAParty,$AE1874,LdAType,1,LdAKey,"&lt;"&amp;$AK1874)+COUNTIFS(LdBMember,$AE1874,LdBKey,"&lt;"&amp;$AK1874)+COUNTIFS(LdCParty,$AE1874,LdCKey,"&lt;"&amp;$AK1874)+1)</f>
        <v/>
      </c>
      <c r="AM1874">
        <f>IF($AL1874="","",$AE1874&amp;"|"&amp;RIGHT("000000"&amp;$AL1874,6))</f>
        <v/>
      </c>
      <c r="AN1874">
        <f>IF($AE1874="","",IF(Sync!$W1874="",0,Sync!$W1874))</f>
        <v/>
      </c>
      <c r="AO1874">
        <f>IF($AE1874="","",IF(Sync!$X1874="",0,Sync!$X1874))</f>
        <v/>
      </c>
      <c r="AP1874">
        <f>IF($AE1874="","",Sync!$R1874)</f>
        <v/>
      </c>
      <c r="AQ1874">
        <f>IF($AE1874="","",Sync!$Y1874)</f>
        <v/>
      </c>
    </row>
    <row r="1875">
      <c r="A1875">
        <f>IF(OR(Wages!$B1878="",Wages!$E1878=""),"",Wages!$E1878)</f>
        <v/>
      </c>
      <c r="B1875">
        <f>IF($A1875="","",IF(Wages!$C1878="دستمزد گروهی",2,1))</f>
        <v/>
      </c>
      <c r="C1875">
        <f>IF($A1875="","",IF(ISNUMBER(Wages!$B1878),IF(AND(Wages!$B1878&gt;=10000101,Wages!$B1878&lt;=99991231),INT(Wages!$B1878/10000),""),IFERROR(VALUE(TRIM(LEFT(Wages!$B1878,FIND("/",Wages!$B1878)-1))),"")))</f>
        <v/>
      </c>
      <c r="D1875">
        <f>IF(OR($A1875="",$C1875=""),"",IF(ISNUMBER(Wages!$B1878),INT(MOD(Wages!$B1878,10000)/100),IFERROR(VALUE(TRIM(LEFT(MID(Wages!$B1878,FIND("/",Wages!$B1878)+1,20),FIND("/",MID(Wages!$B1878,FIND("/",Wages!$B1878)+1,20))-1))),"")))</f>
        <v/>
      </c>
      <c r="E1875">
        <f>IF(OR($A1875="",$C1875=""),"",IF(ISNUMBER(Wages!$B1878),MOD(Wages!$B1878,100),IFERROR(VALUE(TRIM(MID(MID(Wages!$B1878,FIND("/",Wages!$B1878)+1,20),FIND("/",MID(Wages!$B1878,FIND("/",Wages!$B1878)+1,20))+1,20))),"")))</f>
        <v/>
      </c>
      <c r="F1875">
        <f>IF($A1875="","",IF(OR($C1875="",$D1875="",$E1875="",$C1875&lt;1300,$C1875&gt;1500,$D1875&lt;1,$D1875&gt;12,$E1875&lt;1,$E1875&gt;31),"نامعتبر",RIGHT("0000"&amp;$C1875,4)&amp;"/"&amp;RIGHT("00"&amp;$D1875,2)&amp;"/"&amp;RIGHT("00"&amp;$E1875,2)))</f>
        <v/>
      </c>
      <c r="G1875">
        <f>IF(OR($A1875="",$F1875="",$F1875="نامعتبر"),"",LEFT($F1875,4)&amp;MID($F1875,6,2)&amp;RIGHT($F1875,2)&amp;"0000"&amp;"|"&amp;"1"&amp;RIGHT("00000"&amp;1870,5))</f>
        <v/>
      </c>
      <c r="H1875">
        <f>IF(OR($B1875&lt;&gt;1,$G1875=""),"",COUNTIFS(LdAParty,$A1875,LdAType,1,LdAKey,"&lt;"&amp;$G1875)+COUNTIFS(LdBMember,$A1875,LdBKey,"&lt;"&amp;$G1875)+COUNTIFS(LdCParty,$A1875,LdCKey,"&lt;"&amp;$G1875)+1)</f>
        <v/>
      </c>
      <c r="I1875">
        <f>IF($H1875="","",$A1875&amp;"|"&amp;RIGHT("000000"&amp;$H1875,6))</f>
        <v/>
      </c>
      <c r="J1875">
        <f>IF(OR($B1875&lt;&gt;2,$G1875=""),"",COUNTIFS(LdAParty,$A1875,LdAType,2,LdAKey,"&lt;"&amp;$G1875)+1)</f>
        <v/>
      </c>
      <c r="K1875">
        <f>IF($J1875="","",$A1875&amp;"|"&amp;RIGHT("000000"&amp;$J1875,6))</f>
        <v/>
      </c>
      <c r="L1875">
        <f>IF($A1875="","",IF(Wages!$G1878="",0,Wages!$G1878))</f>
        <v/>
      </c>
      <c r="M1875">
        <f>IF($A1875="","",Wages!$J1878)</f>
        <v/>
      </c>
      <c r="N1875">
        <f>IF($A1875="","",Wages!$D1878)</f>
        <v/>
      </c>
      <c r="P1875">
        <f>IF(OR(Shares!$B1878="",Shares!$C1878=""),"",Shares!$C1878)</f>
        <v/>
      </c>
      <c r="Q1875">
        <f>IF($P1875="","",Shares!$B1878)</f>
        <v/>
      </c>
      <c r="R1875">
        <f>IF($P1875="","",IFERROR(INDEX(WageParty,MATCH($Q1875,WageIds,0)),""))</f>
        <v/>
      </c>
      <c r="S1875">
        <f>IF($P1875="","",IFERROR(INDEX($F$6:$F$2005,MATCH($Q1875,WageIds,0)),""))</f>
        <v/>
      </c>
      <c r="T1875">
        <f>IF(OR($P1875="",$S1875="",$S1875="نامعتبر"),"",LEFT($S1875,4)&amp;MID($S1875,6,2)&amp;RIGHT($S1875,2)&amp;"0000"&amp;"|"&amp;"2"&amp;RIGHT("00000"&amp;1870,5))</f>
        <v/>
      </c>
      <c r="U1875">
        <f>IF($T1875="","",COUNTIFS(LdAParty,$P1875,LdAType,1,LdAKey,"&lt;"&amp;$T1875)+COUNTIFS(LdBMember,$P1875,LdBKey,"&lt;"&amp;$T1875)+COUNTIFS(LdCParty,$P1875,LdCKey,"&lt;"&amp;$T1875)+1)</f>
        <v/>
      </c>
      <c r="V1875">
        <f>IF($U1875="","",$P1875&amp;"|"&amp;RIGHT("000000"&amp;$U1875,6))</f>
        <v/>
      </c>
      <c r="W1875">
        <f>IF($T1875="","",COUNTIFS(LdBGroup,$R1875,LdBKey,"&lt;"&amp;$T1875)+1)</f>
        <v/>
      </c>
      <c r="X1875">
        <f>IF($W1875="","",$R1875&amp;"|"&amp;RIGHT("000000"&amp;$W1875,6))</f>
        <v/>
      </c>
      <c r="Y1875">
        <f>IF($P1875="","",IF(Shares!$E1878="",0,Shares!$E1878))</f>
        <v/>
      </c>
      <c r="Z1875">
        <f>IF($P1875="","",Shares!$H1878)</f>
        <v/>
      </c>
      <c r="AE1875">
        <f>IF(OR(Sync!$S1875="",Sync!$P1875=""),"",Sync!$S1875)</f>
        <v/>
      </c>
      <c r="AF1875">
        <f>IF($AE1875="","",IF(ISNUMBER(Sync!$P1875),IF(AND(Sync!$P1875&gt;=10000101,Sync!$P1875&lt;=99991231),INT(Sync!$P1875/10000),""),IFERROR(VALUE(TRIM(LEFT(Sync!$P1875,FIND("/",Sync!$P1875)-1))),"")))</f>
        <v/>
      </c>
      <c r="AG1875">
        <f>IF(OR($AE1875="",$AF1875=""),"",IF(ISNUMBER(Sync!$P1875),INT(MOD(Sync!$P1875,10000)/100),IFERROR(VALUE(TRIM(LEFT(MID(Sync!$P1875,FIND("/",Sync!$P1875)+1,20),FIND("/",MID(Sync!$P1875,FIND("/",Sync!$P1875)+1,20))-1))),"")))</f>
        <v/>
      </c>
      <c r="AH1875">
        <f>IF(OR($AE1875="",$AF1875=""),"",IF(ISNUMBER(Sync!$P1875),MOD(Sync!$P1875,100),IFERROR(VALUE(TRIM(MID(MID(Sync!$P1875,FIND("/",Sync!$P1875)+1,20),FIND("/",MID(Sync!$P1875,FIND("/",Sync!$P1875)+1,20))+1,20))),"")))</f>
        <v/>
      </c>
      <c r="AI1875">
        <f>IF($AE1875="","",IF(OR($AF1875="",$AG1875="",$AH1875="",$AF1875&lt;1300,$AF1875&gt;1500,$AG1875&lt;1,$AG1875&gt;12,$AH1875&lt;1,$AH1875&gt;31),"نامعتبر",RIGHT("0000"&amp;$AF1875,4)&amp;"/"&amp;RIGHT("00"&amp;$AG1875,2)&amp;"/"&amp;RIGHT("00"&amp;$AH1875,2)))</f>
        <v/>
      </c>
      <c r="AJ1875">
        <f>IF($AE1875="","",IF(Sync!$Q1875="","0000",IF(AND(ISNUMBER(Sync!$Q1875),Sync!$Q1875&gt;=0,Sync!$Q1875&lt;1),RIGHT("00"&amp;HOUR(Sync!$Q1875),2)&amp;RIGHT("00"&amp;MINUTE(Sync!$Q1875),2),IFERROR(RIGHT("00"&amp;VALUE(LEFT(Sync!$Q1875,FIND(":",Sync!$Q1875)-1)),2)&amp;RIGHT("00"&amp;VALUE(MID(Sync!$Q1875,FIND(":",Sync!$Q1875)+1,2)),2),"0000"))))</f>
        <v/>
      </c>
      <c r="AK1875">
        <f>IF(OR($AE1875="",$AI1875="",$AI1875="نامعتبر"),"",LEFT($AI1875,4)&amp;MID($AI1875,6,2)&amp;RIGHT($AI1875,2)&amp;$AJ1875&amp;"|"&amp;"3"&amp;RIGHT("00000"&amp;1870,5))</f>
        <v/>
      </c>
      <c r="AL1875">
        <f>IF($AK1875="","",COUNTIFS(LdAParty,$AE1875,LdAType,1,LdAKey,"&lt;"&amp;$AK1875)+COUNTIFS(LdBMember,$AE1875,LdBKey,"&lt;"&amp;$AK1875)+COUNTIFS(LdCParty,$AE1875,LdCKey,"&lt;"&amp;$AK1875)+1)</f>
        <v/>
      </c>
      <c r="AM1875">
        <f>IF($AL1875="","",$AE1875&amp;"|"&amp;RIGHT("000000"&amp;$AL1875,6))</f>
        <v/>
      </c>
      <c r="AN1875">
        <f>IF($AE1875="","",IF(Sync!$W1875="",0,Sync!$W1875))</f>
        <v/>
      </c>
      <c r="AO1875">
        <f>IF($AE1875="","",IF(Sync!$X1875="",0,Sync!$X1875))</f>
        <v/>
      </c>
      <c r="AP1875">
        <f>IF($AE1875="","",Sync!$R1875)</f>
        <v/>
      </c>
      <c r="AQ1875">
        <f>IF($AE1875="","",Sync!$Y1875)</f>
        <v/>
      </c>
    </row>
    <row r="1876">
      <c r="A1876">
        <f>IF(OR(Wages!$B1879="",Wages!$E1879=""),"",Wages!$E1879)</f>
        <v/>
      </c>
      <c r="B1876">
        <f>IF($A1876="","",IF(Wages!$C1879="دستمزد گروهی",2,1))</f>
        <v/>
      </c>
      <c r="C1876">
        <f>IF($A1876="","",IF(ISNUMBER(Wages!$B1879),IF(AND(Wages!$B1879&gt;=10000101,Wages!$B1879&lt;=99991231),INT(Wages!$B1879/10000),""),IFERROR(VALUE(TRIM(LEFT(Wages!$B1879,FIND("/",Wages!$B1879)-1))),"")))</f>
        <v/>
      </c>
      <c r="D1876">
        <f>IF(OR($A1876="",$C1876=""),"",IF(ISNUMBER(Wages!$B1879),INT(MOD(Wages!$B1879,10000)/100),IFERROR(VALUE(TRIM(LEFT(MID(Wages!$B1879,FIND("/",Wages!$B1879)+1,20),FIND("/",MID(Wages!$B1879,FIND("/",Wages!$B1879)+1,20))-1))),"")))</f>
        <v/>
      </c>
      <c r="E1876">
        <f>IF(OR($A1876="",$C1876=""),"",IF(ISNUMBER(Wages!$B1879),MOD(Wages!$B1879,100),IFERROR(VALUE(TRIM(MID(MID(Wages!$B1879,FIND("/",Wages!$B1879)+1,20),FIND("/",MID(Wages!$B1879,FIND("/",Wages!$B1879)+1,20))+1,20))),"")))</f>
        <v/>
      </c>
      <c r="F1876">
        <f>IF($A1876="","",IF(OR($C1876="",$D1876="",$E1876="",$C1876&lt;1300,$C1876&gt;1500,$D1876&lt;1,$D1876&gt;12,$E1876&lt;1,$E1876&gt;31),"نامعتبر",RIGHT("0000"&amp;$C1876,4)&amp;"/"&amp;RIGHT("00"&amp;$D1876,2)&amp;"/"&amp;RIGHT("00"&amp;$E1876,2)))</f>
        <v/>
      </c>
      <c r="G1876">
        <f>IF(OR($A1876="",$F1876="",$F1876="نامعتبر"),"",LEFT($F1876,4)&amp;MID($F1876,6,2)&amp;RIGHT($F1876,2)&amp;"0000"&amp;"|"&amp;"1"&amp;RIGHT("00000"&amp;1871,5))</f>
        <v/>
      </c>
      <c r="H1876">
        <f>IF(OR($B1876&lt;&gt;1,$G1876=""),"",COUNTIFS(LdAParty,$A1876,LdAType,1,LdAKey,"&lt;"&amp;$G1876)+COUNTIFS(LdBMember,$A1876,LdBKey,"&lt;"&amp;$G1876)+COUNTIFS(LdCParty,$A1876,LdCKey,"&lt;"&amp;$G1876)+1)</f>
        <v/>
      </c>
      <c r="I1876">
        <f>IF($H1876="","",$A1876&amp;"|"&amp;RIGHT("000000"&amp;$H1876,6))</f>
        <v/>
      </c>
      <c r="J1876">
        <f>IF(OR($B1876&lt;&gt;2,$G1876=""),"",COUNTIFS(LdAParty,$A1876,LdAType,2,LdAKey,"&lt;"&amp;$G1876)+1)</f>
        <v/>
      </c>
      <c r="K1876">
        <f>IF($J1876="","",$A1876&amp;"|"&amp;RIGHT("000000"&amp;$J1876,6))</f>
        <v/>
      </c>
      <c r="L1876">
        <f>IF($A1876="","",IF(Wages!$G1879="",0,Wages!$G1879))</f>
        <v/>
      </c>
      <c r="M1876">
        <f>IF($A1876="","",Wages!$J1879)</f>
        <v/>
      </c>
      <c r="N1876">
        <f>IF($A1876="","",Wages!$D1879)</f>
        <v/>
      </c>
      <c r="P1876">
        <f>IF(OR(Shares!$B1879="",Shares!$C1879=""),"",Shares!$C1879)</f>
        <v/>
      </c>
      <c r="Q1876">
        <f>IF($P1876="","",Shares!$B1879)</f>
        <v/>
      </c>
      <c r="R1876">
        <f>IF($P1876="","",IFERROR(INDEX(WageParty,MATCH($Q1876,WageIds,0)),""))</f>
        <v/>
      </c>
      <c r="S1876">
        <f>IF($P1876="","",IFERROR(INDEX($F$6:$F$2005,MATCH($Q1876,WageIds,0)),""))</f>
        <v/>
      </c>
      <c r="T1876">
        <f>IF(OR($P1876="",$S1876="",$S1876="نامعتبر"),"",LEFT($S1876,4)&amp;MID($S1876,6,2)&amp;RIGHT($S1876,2)&amp;"0000"&amp;"|"&amp;"2"&amp;RIGHT("00000"&amp;1871,5))</f>
        <v/>
      </c>
      <c r="U1876">
        <f>IF($T1876="","",COUNTIFS(LdAParty,$P1876,LdAType,1,LdAKey,"&lt;"&amp;$T1876)+COUNTIFS(LdBMember,$P1876,LdBKey,"&lt;"&amp;$T1876)+COUNTIFS(LdCParty,$P1876,LdCKey,"&lt;"&amp;$T1876)+1)</f>
        <v/>
      </c>
      <c r="V1876">
        <f>IF($U1876="","",$P1876&amp;"|"&amp;RIGHT("000000"&amp;$U1876,6))</f>
        <v/>
      </c>
      <c r="W1876">
        <f>IF($T1876="","",COUNTIFS(LdBGroup,$R1876,LdBKey,"&lt;"&amp;$T1876)+1)</f>
        <v/>
      </c>
      <c r="X1876">
        <f>IF($W1876="","",$R1876&amp;"|"&amp;RIGHT("000000"&amp;$W1876,6))</f>
        <v/>
      </c>
      <c r="Y1876">
        <f>IF($P1876="","",IF(Shares!$E1879="",0,Shares!$E1879))</f>
        <v/>
      </c>
      <c r="Z1876">
        <f>IF($P1876="","",Shares!$H1879)</f>
        <v/>
      </c>
      <c r="AE1876">
        <f>IF(OR(Sync!$S1876="",Sync!$P1876=""),"",Sync!$S1876)</f>
        <v/>
      </c>
      <c r="AF1876">
        <f>IF($AE1876="","",IF(ISNUMBER(Sync!$P1876),IF(AND(Sync!$P1876&gt;=10000101,Sync!$P1876&lt;=99991231),INT(Sync!$P1876/10000),""),IFERROR(VALUE(TRIM(LEFT(Sync!$P1876,FIND("/",Sync!$P1876)-1))),"")))</f>
        <v/>
      </c>
      <c r="AG1876">
        <f>IF(OR($AE1876="",$AF1876=""),"",IF(ISNUMBER(Sync!$P1876),INT(MOD(Sync!$P1876,10000)/100),IFERROR(VALUE(TRIM(LEFT(MID(Sync!$P1876,FIND("/",Sync!$P1876)+1,20),FIND("/",MID(Sync!$P1876,FIND("/",Sync!$P1876)+1,20))-1))),"")))</f>
        <v/>
      </c>
      <c r="AH1876">
        <f>IF(OR($AE1876="",$AF1876=""),"",IF(ISNUMBER(Sync!$P1876),MOD(Sync!$P1876,100),IFERROR(VALUE(TRIM(MID(MID(Sync!$P1876,FIND("/",Sync!$P1876)+1,20),FIND("/",MID(Sync!$P1876,FIND("/",Sync!$P1876)+1,20))+1,20))),"")))</f>
        <v/>
      </c>
      <c r="AI1876">
        <f>IF($AE1876="","",IF(OR($AF1876="",$AG1876="",$AH1876="",$AF1876&lt;1300,$AF1876&gt;1500,$AG1876&lt;1,$AG1876&gt;12,$AH1876&lt;1,$AH1876&gt;31),"نامعتبر",RIGHT("0000"&amp;$AF1876,4)&amp;"/"&amp;RIGHT("00"&amp;$AG1876,2)&amp;"/"&amp;RIGHT("00"&amp;$AH1876,2)))</f>
        <v/>
      </c>
      <c r="AJ1876">
        <f>IF($AE1876="","",IF(Sync!$Q1876="","0000",IF(AND(ISNUMBER(Sync!$Q1876),Sync!$Q1876&gt;=0,Sync!$Q1876&lt;1),RIGHT("00"&amp;HOUR(Sync!$Q1876),2)&amp;RIGHT("00"&amp;MINUTE(Sync!$Q1876),2),IFERROR(RIGHT("00"&amp;VALUE(LEFT(Sync!$Q1876,FIND(":",Sync!$Q1876)-1)),2)&amp;RIGHT("00"&amp;VALUE(MID(Sync!$Q1876,FIND(":",Sync!$Q1876)+1,2)),2),"0000"))))</f>
        <v/>
      </c>
      <c r="AK1876">
        <f>IF(OR($AE1876="",$AI1876="",$AI1876="نامعتبر"),"",LEFT($AI1876,4)&amp;MID($AI1876,6,2)&amp;RIGHT($AI1876,2)&amp;$AJ1876&amp;"|"&amp;"3"&amp;RIGHT("00000"&amp;1871,5))</f>
        <v/>
      </c>
      <c r="AL1876">
        <f>IF($AK1876="","",COUNTIFS(LdAParty,$AE1876,LdAType,1,LdAKey,"&lt;"&amp;$AK1876)+COUNTIFS(LdBMember,$AE1876,LdBKey,"&lt;"&amp;$AK1876)+COUNTIFS(LdCParty,$AE1876,LdCKey,"&lt;"&amp;$AK1876)+1)</f>
        <v/>
      </c>
      <c r="AM1876">
        <f>IF($AL1876="","",$AE1876&amp;"|"&amp;RIGHT("000000"&amp;$AL1876,6))</f>
        <v/>
      </c>
      <c r="AN1876">
        <f>IF($AE1876="","",IF(Sync!$W1876="",0,Sync!$W1876))</f>
        <v/>
      </c>
      <c r="AO1876">
        <f>IF($AE1876="","",IF(Sync!$X1876="",0,Sync!$X1876))</f>
        <v/>
      </c>
      <c r="AP1876">
        <f>IF($AE1876="","",Sync!$R1876)</f>
        <v/>
      </c>
      <c r="AQ1876">
        <f>IF($AE1876="","",Sync!$Y1876)</f>
        <v/>
      </c>
    </row>
    <row r="1877">
      <c r="A1877">
        <f>IF(OR(Wages!$B1880="",Wages!$E1880=""),"",Wages!$E1880)</f>
        <v/>
      </c>
      <c r="B1877">
        <f>IF($A1877="","",IF(Wages!$C1880="دستمزد گروهی",2,1))</f>
        <v/>
      </c>
      <c r="C1877">
        <f>IF($A1877="","",IF(ISNUMBER(Wages!$B1880),IF(AND(Wages!$B1880&gt;=10000101,Wages!$B1880&lt;=99991231),INT(Wages!$B1880/10000),""),IFERROR(VALUE(TRIM(LEFT(Wages!$B1880,FIND("/",Wages!$B1880)-1))),"")))</f>
        <v/>
      </c>
      <c r="D1877">
        <f>IF(OR($A1877="",$C1877=""),"",IF(ISNUMBER(Wages!$B1880),INT(MOD(Wages!$B1880,10000)/100),IFERROR(VALUE(TRIM(LEFT(MID(Wages!$B1880,FIND("/",Wages!$B1880)+1,20),FIND("/",MID(Wages!$B1880,FIND("/",Wages!$B1880)+1,20))-1))),"")))</f>
        <v/>
      </c>
      <c r="E1877">
        <f>IF(OR($A1877="",$C1877=""),"",IF(ISNUMBER(Wages!$B1880),MOD(Wages!$B1880,100),IFERROR(VALUE(TRIM(MID(MID(Wages!$B1880,FIND("/",Wages!$B1880)+1,20),FIND("/",MID(Wages!$B1880,FIND("/",Wages!$B1880)+1,20))+1,20))),"")))</f>
        <v/>
      </c>
      <c r="F1877">
        <f>IF($A1877="","",IF(OR($C1877="",$D1877="",$E1877="",$C1877&lt;1300,$C1877&gt;1500,$D1877&lt;1,$D1877&gt;12,$E1877&lt;1,$E1877&gt;31),"نامعتبر",RIGHT("0000"&amp;$C1877,4)&amp;"/"&amp;RIGHT("00"&amp;$D1877,2)&amp;"/"&amp;RIGHT("00"&amp;$E1877,2)))</f>
        <v/>
      </c>
      <c r="G1877">
        <f>IF(OR($A1877="",$F1877="",$F1877="نامعتبر"),"",LEFT($F1877,4)&amp;MID($F1877,6,2)&amp;RIGHT($F1877,2)&amp;"0000"&amp;"|"&amp;"1"&amp;RIGHT("00000"&amp;1872,5))</f>
        <v/>
      </c>
      <c r="H1877">
        <f>IF(OR($B1877&lt;&gt;1,$G1877=""),"",COUNTIFS(LdAParty,$A1877,LdAType,1,LdAKey,"&lt;"&amp;$G1877)+COUNTIFS(LdBMember,$A1877,LdBKey,"&lt;"&amp;$G1877)+COUNTIFS(LdCParty,$A1877,LdCKey,"&lt;"&amp;$G1877)+1)</f>
        <v/>
      </c>
      <c r="I1877">
        <f>IF($H1877="","",$A1877&amp;"|"&amp;RIGHT("000000"&amp;$H1877,6))</f>
        <v/>
      </c>
      <c r="J1877">
        <f>IF(OR($B1877&lt;&gt;2,$G1877=""),"",COUNTIFS(LdAParty,$A1877,LdAType,2,LdAKey,"&lt;"&amp;$G1877)+1)</f>
        <v/>
      </c>
      <c r="K1877">
        <f>IF($J1877="","",$A1877&amp;"|"&amp;RIGHT("000000"&amp;$J1877,6))</f>
        <v/>
      </c>
      <c r="L1877">
        <f>IF($A1877="","",IF(Wages!$G1880="",0,Wages!$G1880))</f>
        <v/>
      </c>
      <c r="M1877">
        <f>IF($A1877="","",Wages!$J1880)</f>
        <v/>
      </c>
      <c r="N1877">
        <f>IF($A1877="","",Wages!$D1880)</f>
        <v/>
      </c>
      <c r="P1877">
        <f>IF(OR(Shares!$B1880="",Shares!$C1880=""),"",Shares!$C1880)</f>
        <v/>
      </c>
      <c r="Q1877">
        <f>IF($P1877="","",Shares!$B1880)</f>
        <v/>
      </c>
      <c r="R1877">
        <f>IF($P1877="","",IFERROR(INDEX(WageParty,MATCH($Q1877,WageIds,0)),""))</f>
        <v/>
      </c>
      <c r="S1877">
        <f>IF($P1877="","",IFERROR(INDEX($F$6:$F$2005,MATCH($Q1877,WageIds,0)),""))</f>
        <v/>
      </c>
      <c r="T1877">
        <f>IF(OR($P1877="",$S1877="",$S1877="نامعتبر"),"",LEFT($S1877,4)&amp;MID($S1877,6,2)&amp;RIGHT($S1877,2)&amp;"0000"&amp;"|"&amp;"2"&amp;RIGHT("00000"&amp;1872,5))</f>
        <v/>
      </c>
      <c r="U1877">
        <f>IF($T1877="","",COUNTIFS(LdAParty,$P1877,LdAType,1,LdAKey,"&lt;"&amp;$T1877)+COUNTIFS(LdBMember,$P1877,LdBKey,"&lt;"&amp;$T1877)+COUNTIFS(LdCParty,$P1877,LdCKey,"&lt;"&amp;$T1877)+1)</f>
        <v/>
      </c>
      <c r="V1877">
        <f>IF($U1877="","",$P1877&amp;"|"&amp;RIGHT("000000"&amp;$U1877,6))</f>
        <v/>
      </c>
      <c r="W1877">
        <f>IF($T1877="","",COUNTIFS(LdBGroup,$R1877,LdBKey,"&lt;"&amp;$T1877)+1)</f>
        <v/>
      </c>
      <c r="X1877">
        <f>IF($W1877="","",$R1877&amp;"|"&amp;RIGHT("000000"&amp;$W1877,6))</f>
        <v/>
      </c>
      <c r="Y1877">
        <f>IF($P1877="","",IF(Shares!$E1880="",0,Shares!$E1880))</f>
        <v/>
      </c>
      <c r="Z1877">
        <f>IF($P1877="","",Shares!$H1880)</f>
        <v/>
      </c>
      <c r="AE1877">
        <f>IF(OR(Sync!$S1877="",Sync!$P1877=""),"",Sync!$S1877)</f>
        <v/>
      </c>
      <c r="AF1877">
        <f>IF($AE1877="","",IF(ISNUMBER(Sync!$P1877),IF(AND(Sync!$P1877&gt;=10000101,Sync!$P1877&lt;=99991231),INT(Sync!$P1877/10000),""),IFERROR(VALUE(TRIM(LEFT(Sync!$P1877,FIND("/",Sync!$P1877)-1))),"")))</f>
        <v/>
      </c>
      <c r="AG1877">
        <f>IF(OR($AE1877="",$AF1877=""),"",IF(ISNUMBER(Sync!$P1877),INT(MOD(Sync!$P1877,10000)/100),IFERROR(VALUE(TRIM(LEFT(MID(Sync!$P1877,FIND("/",Sync!$P1877)+1,20),FIND("/",MID(Sync!$P1877,FIND("/",Sync!$P1877)+1,20))-1))),"")))</f>
        <v/>
      </c>
      <c r="AH1877">
        <f>IF(OR($AE1877="",$AF1877=""),"",IF(ISNUMBER(Sync!$P1877),MOD(Sync!$P1877,100),IFERROR(VALUE(TRIM(MID(MID(Sync!$P1877,FIND("/",Sync!$P1877)+1,20),FIND("/",MID(Sync!$P1877,FIND("/",Sync!$P1877)+1,20))+1,20))),"")))</f>
        <v/>
      </c>
      <c r="AI1877">
        <f>IF($AE1877="","",IF(OR($AF1877="",$AG1877="",$AH1877="",$AF1877&lt;1300,$AF1877&gt;1500,$AG1877&lt;1,$AG1877&gt;12,$AH1877&lt;1,$AH1877&gt;31),"نامعتبر",RIGHT("0000"&amp;$AF1877,4)&amp;"/"&amp;RIGHT("00"&amp;$AG1877,2)&amp;"/"&amp;RIGHT("00"&amp;$AH1877,2)))</f>
        <v/>
      </c>
      <c r="AJ1877">
        <f>IF($AE1877="","",IF(Sync!$Q1877="","0000",IF(AND(ISNUMBER(Sync!$Q1877),Sync!$Q1877&gt;=0,Sync!$Q1877&lt;1),RIGHT("00"&amp;HOUR(Sync!$Q1877),2)&amp;RIGHT("00"&amp;MINUTE(Sync!$Q1877),2),IFERROR(RIGHT("00"&amp;VALUE(LEFT(Sync!$Q1877,FIND(":",Sync!$Q1877)-1)),2)&amp;RIGHT("00"&amp;VALUE(MID(Sync!$Q1877,FIND(":",Sync!$Q1877)+1,2)),2),"0000"))))</f>
        <v/>
      </c>
      <c r="AK1877">
        <f>IF(OR($AE1877="",$AI1877="",$AI1877="نامعتبر"),"",LEFT($AI1877,4)&amp;MID($AI1877,6,2)&amp;RIGHT($AI1877,2)&amp;$AJ1877&amp;"|"&amp;"3"&amp;RIGHT("00000"&amp;1872,5))</f>
        <v/>
      </c>
      <c r="AL1877">
        <f>IF($AK1877="","",COUNTIFS(LdAParty,$AE1877,LdAType,1,LdAKey,"&lt;"&amp;$AK1877)+COUNTIFS(LdBMember,$AE1877,LdBKey,"&lt;"&amp;$AK1877)+COUNTIFS(LdCParty,$AE1877,LdCKey,"&lt;"&amp;$AK1877)+1)</f>
        <v/>
      </c>
      <c r="AM1877">
        <f>IF($AL1877="","",$AE1877&amp;"|"&amp;RIGHT("000000"&amp;$AL1877,6))</f>
        <v/>
      </c>
      <c r="AN1877">
        <f>IF($AE1877="","",IF(Sync!$W1877="",0,Sync!$W1877))</f>
        <v/>
      </c>
      <c r="AO1877">
        <f>IF($AE1877="","",IF(Sync!$X1877="",0,Sync!$X1877))</f>
        <v/>
      </c>
      <c r="AP1877">
        <f>IF($AE1877="","",Sync!$R1877)</f>
        <v/>
      </c>
      <c r="AQ1877">
        <f>IF($AE1877="","",Sync!$Y1877)</f>
        <v/>
      </c>
    </row>
    <row r="1878">
      <c r="A1878">
        <f>IF(OR(Wages!$B1881="",Wages!$E1881=""),"",Wages!$E1881)</f>
        <v/>
      </c>
      <c r="B1878">
        <f>IF($A1878="","",IF(Wages!$C1881="دستمزد گروهی",2,1))</f>
        <v/>
      </c>
      <c r="C1878">
        <f>IF($A1878="","",IF(ISNUMBER(Wages!$B1881),IF(AND(Wages!$B1881&gt;=10000101,Wages!$B1881&lt;=99991231),INT(Wages!$B1881/10000),""),IFERROR(VALUE(TRIM(LEFT(Wages!$B1881,FIND("/",Wages!$B1881)-1))),"")))</f>
        <v/>
      </c>
      <c r="D1878">
        <f>IF(OR($A1878="",$C1878=""),"",IF(ISNUMBER(Wages!$B1881),INT(MOD(Wages!$B1881,10000)/100),IFERROR(VALUE(TRIM(LEFT(MID(Wages!$B1881,FIND("/",Wages!$B1881)+1,20),FIND("/",MID(Wages!$B1881,FIND("/",Wages!$B1881)+1,20))-1))),"")))</f>
        <v/>
      </c>
      <c r="E1878">
        <f>IF(OR($A1878="",$C1878=""),"",IF(ISNUMBER(Wages!$B1881),MOD(Wages!$B1881,100),IFERROR(VALUE(TRIM(MID(MID(Wages!$B1881,FIND("/",Wages!$B1881)+1,20),FIND("/",MID(Wages!$B1881,FIND("/",Wages!$B1881)+1,20))+1,20))),"")))</f>
        <v/>
      </c>
      <c r="F1878">
        <f>IF($A1878="","",IF(OR($C1878="",$D1878="",$E1878="",$C1878&lt;1300,$C1878&gt;1500,$D1878&lt;1,$D1878&gt;12,$E1878&lt;1,$E1878&gt;31),"نامعتبر",RIGHT("0000"&amp;$C1878,4)&amp;"/"&amp;RIGHT("00"&amp;$D1878,2)&amp;"/"&amp;RIGHT("00"&amp;$E1878,2)))</f>
        <v/>
      </c>
      <c r="G1878">
        <f>IF(OR($A1878="",$F1878="",$F1878="نامعتبر"),"",LEFT($F1878,4)&amp;MID($F1878,6,2)&amp;RIGHT($F1878,2)&amp;"0000"&amp;"|"&amp;"1"&amp;RIGHT("00000"&amp;1873,5))</f>
        <v/>
      </c>
      <c r="H1878">
        <f>IF(OR($B1878&lt;&gt;1,$G1878=""),"",COUNTIFS(LdAParty,$A1878,LdAType,1,LdAKey,"&lt;"&amp;$G1878)+COUNTIFS(LdBMember,$A1878,LdBKey,"&lt;"&amp;$G1878)+COUNTIFS(LdCParty,$A1878,LdCKey,"&lt;"&amp;$G1878)+1)</f>
        <v/>
      </c>
      <c r="I1878">
        <f>IF($H1878="","",$A1878&amp;"|"&amp;RIGHT("000000"&amp;$H1878,6))</f>
        <v/>
      </c>
      <c r="J1878">
        <f>IF(OR($B1878&lt;&gt;2,$G1878=""),"",COUNTIFS(LdAParty,$A1878,LdAType,2,LdAKey,"&lt;"&amp;$G1878)+1)</f>
        <v/>
      </c>
      <c r="K1878">
        <f>IF($J1878="","",$A1878&amp;"|"&amp;RIGHT("000000"&amp;$J1878,6))</f>
        <v/>
      </c>
      <c r="L1878">
        <f>IF($A1878="","",IF(Wages!$G1881="",0,Wages!$G1881))</f>
        <v/>
      </c>
      <c r="M1878">
        <f>IF($A1878="","",Wages!$J1881)</f>
        <v/>
      </c>
      <c r="N1878">
        <f>IF($A1878="","",Wages!$D1881)</f>
        <v/>
      </c>
      <c r="P1878">
        <f>IF(OR(Shares!$B1881="",Shares!$C1881=""),"",Shares!$C1881)</f>
        <v/>
      </c>
      <c r="Q1878">
        <f>IF($P1878="","",Shares!$B1881)</f>
        <v/>
      </c>
      <c r="R1878">
        <f>IF($P1878="","",IFERROR(INDEX(WageParty,MATCH($Q1878,WageIds,0)),""))</f>
        <v/>
      </c>
      <c r="S1878">
        <f>IF($P1878="","",IFERROR(INDEX($F$6:$F$2005,MATCH($Q1878,WageIds,0)),""))</f>
        <v/>
      </c>
      <c r="T1878">
        <f>IF(OR($P1878="",$S1878="",$S1878="نامعتبر"),"",LEFT($S1878,4)&amp;MID($S1878,6,2)&amp;RIGHT($S1878,2)&amp;"0000"&amp;"|"&amp;"2"&amp;RIGHT("00000"&amp;1873,5))</f>
        <v/>
      </c>
      <c r="U1878">
        <f>IF($T1878="","",COUNTIFS(LdAParty,$P1878,LdAType,1,LdAKey,"&lt;"&amp;$T1878)+COUNTIFS(LdBMember,$P1878,LdBKey,"&lt;"&amp;$T1878)+COUNTIFS(LdCParty,$P1878,LdCKey,"&lt;"&amp;$T1878)+1)</f>
        <v/>
      </c>
      <c r="V1878">
        <f>IF($U1878="","",$P1878&amp;"|"&amp;RIGHT("000000"&amp;$U1878,6))</f>
        <v/>
      </c>
      <c r="W1878">
        <f>IF($T1878="","",COUNTIFS(LdBGroup,$R1878,LdBKey,"&lt;"&amp;$T1878)+1)</f>
        <v/>
      </c>
      <c r="X1878">
        <f>IF($W1878="","",$R1878&amp;"|"&amp;RIGHT("000000"&amp;$W1878,6))</f>
        <v/>
      </c>
      <c r="Y1878">
        <f>IF($P1878="","",IF(Shares!$E1881="",0,Shares!$E1881))</f>
        <v/>
      </c>
      <c r="Z1878">
        <f>IF($P1878="","",Shares!$H1881)</f>
        <v/>
      </c>
      <c r="AE1878">
        <f>IF(OR(Sync!$S1878="",Sync!$P1878=""),"",Sync!$S1878)</f>
        <v/>
      </c>
      <c r="AF1878">
        <f>IF($AE1878="","",IF(ISNUMBER(Sync!$P1878),IF(AND(Sync!$P1878&gt;=10000101,Sync!$P1878&lt;=99991231),INT(Sync!$P1878/10000),""),IFERROR(VALUE(TRIM(LEFT(Sync!$P1878,FIND("/",Sync!$P1878)-1))),"")))</f>
        <v/>
      </c>
      <c r="AG1878">
        <f>IF(OR($AE1878="",$AF1878=""),"",IF(ISNUMBER(Sync!$P1878),INT(MOD(Sync!$P1878,10000)/100),IFERROR(VALUE(TRIM(LEFT(MID(Sync!$P1878,FIND("/",Sync!$P1878)+1,20),FIND("/",MID(Sync!$P1878,FIND("/",Sync!$P1878)+1,20))-1))),"")))</f>
        <v/>
      </c>
      <c r="AH1878">
        <f>IF(OR($AE1878="",$AF1878=""),"",IF(ISNUMBER(Sync!$P1878),MOD(Sync!$P1878,100),IFERROR(VALUE(TRIM(MID(MID(Sync!$P1878,FIND("/",Sync!$P1878)+1,20),FIND("/",MID(Sync!$P1878,FIND("/",Sync!$P1878)+1,20))+1,20))),"")))</f>
        <v/>
      </c>
      <c r="AI1878">
        <f>IF($AE1878="","",IF(OR($AF1878="",$AG1878="",$AH1878="",$AF1878&lt;1300,$AF1878&gt;1500,$AG1878&lt;1,$AG1878&gt;12,$AH1878&lt;1,$AH1878&gt;31),"نامعتبر",RIGHT("0000"&amp;$AF1878,4)&amp;"/"&amp;RIGHT("00"&amp;$AG1878,2)&amp;"/"&amp;RIGHT("00"&amp;$AH1878,2)))</f>
        <v/>
      </c>
      <c r="AJ1878">
        <f>IF($AE1878="","",IF(Sync!$Q1878="","0000",IF(AND(ISNUMBER(Sync!$Q1878),Sync!$Q1878&gt;=0,Sync!$Q1878&lt;1),RIGHT("00"&amp;HOUR(Sync!$Q1878),2)&amp;RIGHT("00"&amp;MINUTE(Sync!$Q1878),2),IFERROR(RIGHT("00"&amp;VALUE(LEFT(Sync!$Q1878,FIND(":",Sync!$Q1878)-1)),2)&amp;RIGHT("00"&amp;VALUE(MID(Sync!$Q1878,FIND(":",Sync!$Q1878)+1,2)),2),"0000"))))</f>
        <v/>
      </c>
      <c r="AK1878">
        <f>IF(OR($AE1878="",$AI1878="",$AI1878="نامعتبر"),"",LEFT($AI1878,4)&amp;MID($AI1878,6,2)&amp;RIGHT($AI1878,2)&amp;$AJ1878&amp;"|"&amp;"3"&amp;RIGHT("00000"&amp;1873,5))</f>
        <v/>
      </c>
      <c r="AL1878">
        <f>IF($AK1878="","",COUNTIFS(LdAParty,$AE1878,LdAType,1,LdAKey,"&lt;"&amp;$AK1878)+COUNTIFS(LdBMember,$AE1878,LdBKey,"&lt;"&amp;$AK1878)+COUNTIFS(LdCParty,$AE1878,LdCKey,"&lt;"&amp;$AK1878)+1)</f>
        <v/>
      </c>
      <c r="AM1878">
        <f>IF($AL1878="","",$AE1878&amp;"|"&amp;RIGHT("000000"&amp;$AL1878,6))</f>
        <v/>
      </c>
      <c r="AN1878">
        <f>IF($AE1878="","",IF(Sync!$W1878="",0,Sync!$W1878))</f>
        <v/>
      </c>
      <c r="AO1878">
        <f>IF($AE1878="","",IF(Sync!$X1878="",0,Sync!$X1878))</f>
        <v/>
      </c>
      <c r="AP1878">
        <f>IF($AE1878="","",Sync!$R1878)</f>
        <v/>
      </c>
      <c r="AQ1878">
        <f>IF($AE1878="","",Sync!$Y1878)</f>
        <v/>
      </c>
    </row>
    <row r="1879">
      <c r="A1879">
        <f>IF(OR(Wages!$B1882="",Wages!$E1882=""),"",Wages!$E1882)</f>
        <v/>
      </c>
      <c r="B1879">
        <f>IF($A1879="","",IF(Wages!$C1882="دستمزد گروهی",2,1))</f>
        <v/>
      </c>
      <c r="C1879">
        <f>IF($A1879="","",IF(ISNUMBER(Wages!$B1882),IF(AND(Wages!$B1882&gt;=10000101,Wages!$B1882&lt;=99991231),INT(Wages!$B1882/10000),""),IFERROR(VALUE(TRIM(LEFT(Wages!$B1882,FIND("/",Wages!$B1882)-1))),"")))</f>
        <v/>
      </c>
      <c r="D1879">
        <f>IF(OR($A1879="",$C1879=""),"",IF(ISNUMBER(Wages!$B1882),INT(MOD(Wages!$B1882,10000)/100),IFERROR(VALUE(TRIM(LEFT(MID(Wages!$B1882,FIND("/",Wages!$B1882)+1,20),FIND("/",MID(Wages!$B1882,FIND("/",Wages!$B1882)+1,20))-1))),"")))</f>
        <v/>
      </c>
      <c r="E1879">
        <f>IF(OR($A1879="",$C1879=""),"",IF(ISNUMBER(Wages!$B1882),MOD(Wages!$B1882,100),IFERROR(VALUE(TRIM(MID(MID(Wages!$B1882,FIND("/",Wages!$B1882)+1,20),FIND("/",MID(Wages!$B1882,FIND("/",Wages!$B1882)+1,20))+1,20))),"")))</f>
        <v/>
      </c>
      <c r="F1879">
        <f>IF($A1879="","",IF(OR($C1879="",$D1879="",$E1879="",$C1879&lt;1300,$C1879&gt;1500,$D1879&lt;1,$D1879&gt;12,$E1879&lt;1,$E1879&gt;31),"نامعتبر",RIGHT("0000"&amp;$C1879,4)&amp;"/"&amp;RIGHT("00"&amp;$D1879,2)&amp;"/"&amp;RIGHT("00"&amp;$E1879,2)))</f>
        <v/>
      </c>
      <c r="G1879">
        <f>IF(OR($A1879="",$F1879="",$F1879="نامعتبر"),"",LEFT($F1879,4)&amp;MID($F1879,6,2)&amp;RIGHT($F1879,2)&amp;"0000"&amp;"|"&amp;"1"&amp;RIGHT("00000"&amp;1874,5))</f>
        <v/>
      </c>
      <c r="H1879">
        <f>IF(OR($B1879&lt;&gt;1,$G1879=""),"",COUNTIFS(LdAParty,$A1879,LdAType,1,LdAKey,"&lt;"&amp;$G1879)+COUNTIFS(LdBMember,$A1879,LdBKey,"&lt;"&amp;$G1879)+COUNTIFS(LdCParty,$A1879,LdCKey,"&lt;"&amp;$G1879)+1)</f>
        <v/>
      </c>
      <c r="I1879">
        <f>IF($H1879="","",$A1879&amp;"|"&amp;RIGHT("000000"&amp;$H1879,6))</f>
        <v/>
      </c>
      <c r="J1879">
        <f>IF(OR($B1879&lt;&gt;2,$G1879=""),"",COUNTIFS(LdAParty,$A1879,LdAType,2,LdAKey,"&lt;"&amp;$G1879)+1)</f>
        <v/>
      </c>
      <c r="K1879">
        <f>IF($J1879="","",$A1879&amp;"|"&amp;RIGHT("000000"&amp;$J1879,6))</f>
        <v/>
      </c>
      <c r="L1879">
        <f>IF($A1879="","",IF(Wages!$G1882="",0,Wages!$G1882))</f>
        <v/>
      </c>
      <c r="M1879">
        <f>IF($A1879="","",Wages!$J1882)</f>
        <v/>
      </c>
      <c r="N1879">
        <f>IF($A1879="","",Wages!$D1882)</f>
        <v/>
      </c>
      <c r="P1879">
        <f>IF(OR(Shares!$B1882="",Shares!$C1882=""),"",Shares!$C1882)</f>
        <v/>
      </c>
      <c r="Q1879">
        <f>IF($P1879="","",Shares!$B1882)</f>
        <v/>
      </c>
      <c r="R1879">
        <f>IF($P1879="","",IFERROR(INDEX(WageParty,MATCH($Q1879,WageIds,0)),""))</f>
        <v/>
      </c>
      <c r="S1879">
        <f>IF($P1879="","",IFERROR(INDEX($F$6:$F$2005,MATCH($Q1879,WageIds,0)),""))</f>
        <v/>
      </c>
      <c r="T1879">
        <f>IF(OR($P1879="",$S1879="",$S1879="نامعتبر"),"",LEFT($S1879,4)&amp;MID($S1879,6,2)&amp;RIGHT($S1879,2)&amp;"0000"&amp;"|"&amp;"2"&amp;RIGHT("00000"&amp;1874,5))</f>
        <v/>
      </c>
      <c r="U1879">
        <f>IF($T1879="","",COUNTIFS(LdAParty,$P1879,LdAType,1,LdAKey,"&lt;"&amp;$T1879)+COUNTIFS(LdBMember,$P1879,LdBKey,"&lt;"&amp;$T1879)+COUNTIFS(LdCParty,$P1879,LdCKey,"&lt;"&amp;$T1879)+1)</f>
        <v/>
      </c>
      <c r="V1879">
        <f>IF($U1879="","",$P1879&amp;"|"&amp;RIGHT("000000"&amp;$U1879,6))</f>
        <v/>
      </c>
      <c r="W1879">
        <f>IF($T1879="","",COUNTIFS(LdBGroup,$R1879,LdBKey,"&lt;"&amp;$T1879)+1)</f>
        <v/>
      </c>
      <c r="X1879">
        <f>IF($W1879="","",$R1879&amp;"|"&amp;RIGHT("000000"&amp;$W1879,6))</f>
        <v/>
      </c>
      <c r="Y1879">
        <f>IF($P1879="","",IF(Shares!$E1882="",0,Shares!$E1882))</f>
        <v/>
      </c>
      <c r="Z1879">
        <f>IF($P1879="","",Shares!$H1882)</f>
        <v/>
      </c>
      <c r="AE1879">
        <f>IF(OR(Sync!$S1879="",Sync!$P1879=""),"",Sync!$S1879)</f>
        <v/>
      </c>
      <c r="AF1879">
        <f>IF($AE1879="","",IF(ISNUMBER(Sync!$P1879),IF(AND(Sync!$P1879&gt;=10000101,Sync!$P1879&lt;=99991231),INT(Sync!$P1879/10000),""),IFERROR(VALUE(TRIM(LEFT(Sync!$P1879,FIND("/",Sync!$P1879)-1))),"")))</f>
        <v/>
      </c>
      <c r="AG1879">
        <f>IF(OR($AE1879="",$AF1879=""),"",IF(ISNUMBER(Sync!$P1879),INT(MOD(Sync!$P1879,10000)/100),IFERROR(VALUE(TRIM(LEFT(MID(Sync!$P1879,FIND("/",Sync!$P1879)+1,20),FIND("/",MID(Sync!$P1879,FIND("/",Sync!$P1879)+1,20))-1))),"")))</f>
        <v/>
      </c>
      <c r="AH1879">
        <f>IF(OR($AE1879="",$AF1879=""),"",IF(ISNUMBER(Sync!$P1879),MOD(Sync!$P1879,100),IFERROR(VALUE(TRIM(MID(MID(Sync!$P1879,FIND("/",Sync!$P1879)+1,20),FIND("/",MID(Sync!$P1879,FIND("/",Sync!$P1879)+1,20))+1,20))),"")))</f>
        <v/>
      </c>
      <c r="AI1879">
        <f>IF($AE1879="","",IF(OR($AF1879="",$AG1879="",$AH1879="",$AF1879&lt;1300,$AF1879&gt;1500,$AG1879&lt;1,$AG1879&gt;12,$AH1879&lt;1,$AH1879&gt;31),"نامعتبر",RIGHT("0000"&amp;$AF1879,4)&amp;"/"&amp;RIGHT("00"&amp;$AG1879,2)&amp;"/"&amp;RIGHT("00"&amp;$AH1879,2)))</f>
        <v/>
      </c>
      <c r="AJ1879">
        <f>IF($AE1879="","",IF(Sync!$Q1879="","0000",IF(AND(ISNUMBER(Sync!$Q1879),Sync!$Q1879&gt;=0,Sync!$Q1879&lt;1),RIGHT("00"&amp;HOUR(Sync!$Q1879),2)&amp;RIGHT("00"&amp;MINUTE(Sync!$Q1879),2),IFERROR(RIGHT("00"&amp;VALUE(LEFT(Sync!$Q1879,FIND(":",Sync!$Q1879)-1)),2)&amp;RIGHT("00"&amp;VALUE(MID(Sync!$Q1879,FIND(":",Sync!$Q1879)+1,2)),2),"0000"))))</f>
        <v/>
      </c>
      <c r="AK1879">
        <f>IF(OR($AE1879="",$AI1879="",$AI1879="نامعتبر"),"",LEFT($AI1879,4)&amp;MID($AI1879,6,2)&amp;RIGHT($AI1879,2)&amp;$AJ1879&amp;"|"&amp;"3"&amp;RIGHT("00000"&amp;1874,5))</f>
        <v/>
      </c>
      <c r="AL1879">
        <f>IF($AK1879="","",COUNTIFS(LdAParty,$AE1879,LdAType,1,LdAKey,"&lt;"&amp;$AK1879)+COUNTIFS(LdBMember,$AE1879,LdBKey,"&lt;"&amp;$AK1879)+COUNTIFS(LdCParty,$AE1879,LdCKey,"&lt;"&amp;$AK1879)+1)</f>
        <v/>
      </c>
      <c r="AM1879">
        <f>IF($AL1879="","",$AE1879&amp;"|"&amp;RIGHT("000000"&amp;$AL1879,6))</f>
        <v/>
      </c>
      <c r="AN1879">
        <f>IF($AE1879="","",IF(Sync!$W1879="",0,Sync!$W1879))</f>
        <v/>
      </c>
      <c r="AO1879">
        <f>IF($AE1879="","",IF(Sync!$X1879="",0,Sync!$X1879))</f>
        <v/>
      </c>
      <c r="AP1879">
        <f>IF($AE1879="","",Sync!$R1879)</f>
        <v/>
      </c>
      <c r="AQ1879">
        <f>IF($AE1879="","",Sync!$Y1879)</f>
        <v/>
      </c>
    </row>
    <row r="1880">
      <c r="A1880">
        <f>IF(OR(Wages!$B1883="",Wages!$E1883=""),"",Wages!$E1883)</f>
        <v/>
      </c>
      <c r="B1880">
        <f>IF($A1880="","",IF(Wages!$C1883="دستمزد گروهی",2,1))</f>
        <v/>
      </c>
      <c r="C1880">
        <f>IF($A1880="","",IF(ISNUMBER(Wages!$B1883),IF(AND(Wages!$B1883&gt;=10000101,Wages!$B1883&lt;=99991231),INT(Wages!$B1883/10000),""),IFERROR(VALUE(TRIM(LEFT(Wages!$B1883,FIND("/",Wages!$B1883)-1))),"")))</f>
        <v/>
      </c>
      <c r="D1880">
        <f>IF(OR($A1880="",$C1880=""),"",IF(ISNUMBER(Wages!$B1883),INT(MOD(Wages!$B1883,10000)/100),IFERROR(VALUE(TRIM(LEFT(MID(Wages!$B1883,FIND("/",Wages!$B1883)+1,20),FIND("/",MID(Wages!$B1883,FIND("/",Wages!$B1883)+1,20))-1))),"")))</f>
        <v/>
      </c>
      <c r="E1880">
        <f>IF(OR($A1880="",$C1880=""),"",IF(ISNUMBER(Wages!$B1883),MOD(Wages!$B1883,100),IFERROR(VALUE(TRIM(MID(MID(Wages!$B1883,FIND("/",Wages!$B1883)+1,20),FIND("/",MID(Wages!$B1883,FIND("/",Wages!$B1883)+1,20))+1,20))),"")))</f>
        <v/>
      </c>
      <c r="F1880">
        <f>IF($A1880="","",IF(OR($C1880="",$D1880="",$E1880="",$C1880&lt;1300,$C1880&gt;1500,$D1880&lt;1,$D1880&gt;12,$E1880&lt;1,$E1880&gt;31),"نامعتبر",RIGHT("0000"&amp;$C1880,4)&amp;"/"&amp;RIGHT("00"&amp;$D1880,2)&amp;"/"&amp;RIGHT("00"&amp;$E1880,2)))</f>
        <v/>
      </c>
      <c r="G1880">
        <f>IF(OR($A1880="",$F1880="",$F1880="نامعتبر"),"",LEFT($F1880,4)&amp;MID($F1880,6,2)&amp;RIGHT($F1880,2)&amp;"0000"&amp;"|"&amp;"1"&amp;RIGHT("00000"&amp;1875,5))</f>
        <v/>
      </c>
      <c r="H1880">
        <f>IF(OR($B1880&lt;&gt;1,$G1880=""),"",COUNTIFS(LdAParty,$A1880,LdAType,1,LdAKey,"&lt;"&amp;$G1880)+COUNTIFS(LdBMember,$A1880,LdBKey,"&lt;"&amp;$G1880)+COUNTIFS(LdCParty,$A1880,LdCKey,"&lt;"&amp;$G1880)+1)</f>
        <v/>
      </c>
      <c r="I1880">
        <f>IF($H1880="","",$A1880&amp;"|"&amp;RIGHT("000000"&amp;$H1880,6))</f>
        <v/>
      </c>
      <c r="J1880">
        <f>IF(OR($B1880&lt;&gt;2,$G1880=""),"",COUNTIFS(LdAParty,$A1880,LdAType,2,LdAKey,"&lt;"&amp;$G1880)+1)</f>
        <v/>
      </c>
      <c r="K1880">
        <f>IF($J1880="","",$A1880&amp;"|"&amp;RIGHT("000000"&amp;$J1880,6))</f>
        <v/>
      </c>
      <c r="L1880">
        <f>IF($A1880="","",IF(Wages!$G1883="",0,Wages!$G1883))</f>
        <v/>
      </c>
      <c r="M1880">
        <f>IF($A1880="","",Wages!$J1883)</f>
        <v/>
      </c>
      <c r="N1880">
        <f>IF($A1880="","",Wages!$D1883)</f>
        <v/>
      </c>
      <c r="P1880">
        <f>IF(OR(Shares!$B1883="",Shares!$C1883=""),"",Shares!$C1883)</f>
        <v/>
      </c>
      <c r="Q1880">
        <f>IF($P1880="","",Shares!$B1883)</f>
        <v/>
      </c>
      <c r="R1880">
        <f>IF($P1880="","",IFERROR(INDEX(WageParty,MATCH($Q1880,WageIds,0)),""))</f>
        <v/>
      </c>
      <c r="S1880">
        <f>IF($P1880="","",IFERROR(INDEX($F$6:$F$2005,MATCH($Q1880,WageIds,0)),""))</f>
        <v/>
      </c>
      <c r="T1880">
        <f>IF(OR($P1880="",$S1880="",$S1880="نامعتبر"),"",LEFT($S1880,4)&amp;MID($S1880,6,2)&amp;RIGHT($S1880,2)&amp;"0000"&amp;"|"&amp;"2"&amp;RIGHT("00000"&amp;1875,5))</f>
        <v/>
      </c>
      <c r="U1880">
        <f>IF($T1880="","",COUNTIFS(LdAParty,$P1880,LdAType,1,LdAKey,"&lt;"&amp;$T1880)+COUNTIFS(LdBMember,$P1880,LdBKey,"&lt;"&amp;$T1880)+COUNTIFS(LdCParty,$P1880,LdCKey,"&lt;"&amp;$T1880)+1)</f>
        <v/>
      </c>
      <c r="V1880">
        <f>IF($U1880="","",$P1880&amp;"|"&amp;RIGHT("000000"&amp;$U1880,6))</f>
        <v/>
      </c>
      <c r="W1880">
        <f>IF($T1880="","",COUNTIFS(LdBGroup,$R1880,LdBKey,"&lt;"&amp;$T1880)+1)</f>
        <v/>
      </c>
      <c r="X1880">
        <f>IF($W1880="","",$R1880&amp;"|"&amp;RIGHT("000000"&amp;$W1880,6))</f>
        <v/>
      </c>
      <c r="Y1880">
        <f>IF($P1880="","",IF(Shares!$E1883="",0,Shares!$E1883))</f>
        <v/>
      </c>
      <c r="Z1880">
        <f>IF($P1880="","",Shares!$H1883)</f>
        <v/>
      </c>
      <c r="AE1880">
        <f>IF(OR(Sync!$S1880="",Sync!$P1880=""),"",Sync!$S1880)</f>
        <v/>
      </c>
      <c r="AF1880">
        <f>IF($AE1880="","",IF(ISNUMBER(Sync!$P1880),IF(AND(Sync!$P1880&gt;=10000101,Sync!$P1880&lt;=99991231),INT(Sync!$P1880/10000),""),IFERROR(VALUE(TRIM(LEFT(Sync!$P1880,FIND("/",Sync!$P1880)-1))),"")))</f>
        <v/>
      </c>
      <c r="AG1880">
        <f>IF(OR($AE1880="",$AF1880=""),"",IF(ISNUMBER(Sync!$P1880),INT(MOD(Sync!$P1880,10000)/100),IFERROR(VALUE(TRIM(LEFT(MID(Sync!$P1880,FIND("/",Sync!$P1880)+1,20),FIND("/",MID(Sync!$P1880,FIND("/",Sync!$P1880)+1,20))-1))),"")))</f>
        <v/>
      </c>
      <c r="AH1880">
        <f>IF(OR($AE1880="",$AF1880=""),"",IF(ISNUMBER(Sync!$P1880),MOD(Sync!$P1880,100),IFERROR(VALUE(TRIM(MID(MID(Sync!$P1880,FIND("/",Sync!$P1880)+1,20),FIND("/",MID(Sync!$P1880,FIND("/",Sync!$P1880)+1,20))+1,20))),"")))</f>
        <v/>
      </c>
      <c r="AI1880">
        <f>IF($AE1880="","",IF(OR($AF1880="",$AG1880="",$AH1880="",$AF1880&lt;1300,$AF1880&gt;1500,$AG1880&lt;1,$AG1880&gt;12,$AH1880&lt;1,$AH1880&gt;31),"نامعتبر",RIGHT("0000"&amp;$AF1880,4)&amp;"/"&amp;RIGHT("00"&amp;$AG1880,2)&amp;"/"&amp;RIGHT("00"&amp;$AH1880,2)))</f>
        <v/>
      </c>
      <c r="AJ1880">
        <f>IF($AE1880="","",IF(Sync!$Q1880="","0000",IF(AND(ISNUMBER(Sync!$Q1880),Sync!$Q1880&gt;=0,Sync!$Q1880&lt;1),RIGHT("00"&amp;HOUR(Sync!$Q1880),2)&amp;RIGHT("00"&amp;MINUTE(Sync!$Q1880),2),IFERROR(RIGHT("00"&amp;VALUE(LEFT(Sync!$Q1880,FIND(":",Sync!$Q1880)-1)),2)&amp;RIGHT("00"&amp;VALUE(MID(Sync!$Q1880,FIND(":",Sync!$Q1880)+1,2)),2),"0000"))))</f>
        <v/>
      </c>
      <c r="AK1880">
        <f>IF(OR($AE1880="",$AI1880="",$AI1880="نامعتبر"),"",LEFT($AI1880,4)&amp;MID($AI1880,6,2)&amp;RIGHT($AI1880,2)&amp;$AJ1880&amp;"|"&amp;"3"&amp;RIGHT("00000"&amp;1875,5))</f>
        <v/>
      </c>
      <c r="AL1880">
        <f>IF($AK1880="","",COUNTIFS(LdAParty,$AE1880,LdAType,1,LdAKey,"&lt;"&amp;$AK1880)+COUNTIFS(LdBMember,$AE1880,LdBKey,"&lt;"&amp;$AK1880)+COUNTIFS(LdCParty,$AE1880,LdCKey,"&lt;"&amp;$AK1880)+1)</f>
        <v/>
      </c>
      <c r="AM1880">
        <f>IF($AL1880="","",$AE1880&amp;"|"&amp;RIGHT("000000"&amp;$AL1880,6))</f>
        <v/>
      </c>
      <c r="AN1880">
        <f>IF($AE1880="","",IF(Sync!$W1880="",0,Sync!$W1880))</f>
        <v/>
      </c>
      <c r="AO1880">
        <f>IF($AE1880="","",IF(Sync!$X1880="",0,Sync!$X1880))</f>
        <v/>
      </c>
      <c r="AP1880">
        <f>IF($AE1880="","",Sync!$R1880)</f>
        <v/>
      </c>
      <c r="AQ1880">
        <f>IF($AE1880="","",Sync!$Y1880)</f>
        <v/>
      </c>
    </row>
    <row r="1881">
      <c r="A1881">
        <f>IF(OR(Wages!$B1884="",Wages!$E1884=""),"",Wages!$E1884)</f>
        <v/>
      </c>
      <c r="B1881">
        <f>IF($A1881="","",IF(Wages!$C1884="دستمزد گروهی",2,1))</f>
        <v/>
      </c>
      <c r="C1881">
        <f>IF($A1881="","",IF(ISNUMBER(Wages!$B1884),IF(AND(Wages!$B1884&gt;=10000101,Wages!$B1884&lt;=99991231),INT(Wages!$B1884/10000),""),IFERROR(VALUE(TRIM(LEFT(Wages!$B1884,FIND("/",Wages!$B1884)-1))),"")))</f>
        <v/>
      </c>
      <c r="D1881">
        <f>IF(OR($A1881="",$C1881=""),"",IF(ISNUMBER(Wages!$B1884),INT(MOD(Wages!$B1884,10000)/100),IFERROR(VALUE(TRIM(LEFT(MID(Wages!$B1884,FIND("/",Wages!$B1884)+1,20),FIND("/",MID(Wages!$B1884,FIND("/",Wages!$B1884)+1,20))-1))),"")))</f>
        <v/>
      </c>
      <c r="E1881">
        <f>IF(OR($A1881="",$C1881=""),"",IF(ISNUMBER(Wages!$B1884),MOD(Wages!$B1884,100),IFERROR(VALUE(TRIM(MID(MID(Wages!$B1884,FIND("/",Wages!$B1884)+1,20),FIND("/",MID(Wages!$B1884,FIND("/",Wages!$B1884)+1,20))+1,20))),"")))</f>
        <v/>
      </c>
      <c r="F1881">
        <f>IF($A1881="","",IF(OR($C1881="",$D1881="",$E1881="",$C1881&lt;1300,$C1881&gt;1500,$D1881&lt;1,$D1881&gt;12,$E1881&lt;1,$E1881&gt;31),"نامعتبر",RIGHT("0000"&amp;$C1881,4)&amp;"/"&amp;RIGHT("00"&amp;$D1881,2)&amp;"/"&amp;RIGHT("00"&amp;$E1881,2)))</f>
        <v/>
      </c>
      <c r="G1881">
        <f>IF(OR($A1881="",$F1881="",$F1881="نامعتبر"),"",LEFT($F1881,4)&amp;MID($F1881,6,2)&amp;RIGHT($F1881,2)&amp;"0000"&amp;"|"&amp;"1"&amp;RIGHT("00000"&amp;1876,5))</f>
        <v/>
      </c>
      <c r="H1881">
        <f>IF(OR($B1881&lt;&gt;1,$G1881=""),"",COUNTIFS(LdAParty,$A1881,LdAType,1,LdAKey,"&lt;"&amp;$G1881)+COUNTIFS(LdBMember,$A1881,LdBKey,"&lt;"&amp;$G1881)+COUNTIFS(LdCParty,$A1881,LdCKey,"&lt;"&amp;$G1881)+1)</f>
        <v/>
      </c>
      <c r="I1881">
        <f>IF($H1881="","",$A1881&amp;"|"&amp;RIGHT("000000"&amp;$H1881,6))</f>
        <v/>
      </c>
      <c r="J1881">
        <f>IF(OR($B1881&lt;&gt;2,$G1881=""),"",COUNTIFS(LdAParty,$A1881,LdAType,2,LdAKey,"&lt;"&amp;$G1881)+1)</f>
        <v/>
      </c>
      <c r="K1881">
        <f>IF($J1881="","",$A1881&amp;"|"&amp;RIGHT("000000"&amp;$J1881,6))</f>
        <v/>
      </c>
      <c r="L1881">
        <f>IF($A1881="","",IF(Wages!$G1884="",0,Wages!$G1884))</f>
        <v/>
      </c>
      <c r="M1881">
        <f>IF($A1881="","",Wages!$J1884)</f>
        <v/>
      </c>
      <c r="N1881">
        <f>IF($A1881="","",Wages!$D1884)</f>
        <v/>
      </c>
      <c r="P1881">
        <f>IF(OR(Shares!$B1884="",Shares!$C1884=""),"",Shares!$C1884)</f>
        <v/>
      </c>
      <c r="Q1881">
        <f>IF($P1881="","",Shares!$B1884)</f>
        <v/>
      </c>
      <c r="R1881">
        <f>IF($P1881="","",IFERROR(INDEX(WageParty,MATCH($Q1881,WageIds,0)),""))</f>
        <v/>
      </c>
      <c r="S1881">
        <f>IF($P1881="","",IFERROR(INDEX($F$6:$F$2005,MATCH($Q1881,WageIds,0)),""))</f>
        <v/>
      </c>
      <c r="T1881">
        <f>IF(OR($P1881="",$S1881="",$S1881="نامعتبر"),"",LEFT($S1881,4)&amp;MID($S1881,6,2)&amp;RIGHT($S1881,2)&amp;"0000"&amp;"|"&amp;"2"&amp;RIGHT("00000"&amp;1876,5))</f>
        <v/>
      </c>
      <c r="U1881">
        <f>IF($T1881="","",COUNTIFS(LdAParty,$P1881,LdAType,1,LdAKey,"&lt;"&amp;$T1881)+COUNTIFS(LdBMember,$P1881,LdBKey,"&lt;"&amp;$T1881)+COUNTIFS(LdCParty,$P1881,LdCKey,"&lt;"&amp;$T1881)+1)</f>
        <v/>
      </c>
      <c r="V1881">
        <f>IF($U1881="","",$P1881&amp;"|"&amp;RIGHT("000000"&amp;$U1881,6))</f>
        <v/>
      </c>
      <c r="W1881">
        <f>IF($T1881="","",COUNTIFS(LdBGroup,$R1881,LdBKey,"&lt;"&amp;$T1881)+1)</f>
        <v/>
      </c>
      <c r="X1881">
        <f>IF($W1881="","",$R1881&amp;"|"&amp;RIGHT("000000"&amp;$W1881,6))</f>
        <v/>
      </c>
      <c r="Y1881">
        <f>IF($P1881="","",IF(Shares!$E1884="",0,Shares!$E1884))</f>
        <v/>
      </c>
      <c r="Z1881">
        <f>IF($P1881="","",Shares!$H1884)</f>
        <v/>
      </c>
      <c r="AE1881">
        <f>IF(OR(Sync!$S1881="",Sync!$P1881=""),"",Sync!$S1881)</f>
        <v/>
      </c>
      <c r="AF1881">
        <f>IF($AE1881="","",IF(ISNUMBER(Sync!$P1881),IF(AND(Sync!$P1881&gt;=10000101,Sync!$P1881&lt;=99991231),INT(Sync!$P1881/10000),""),IFERROR(VALUE(TRIM(LEFT(Sync!$P1881,FIND("/",Sync!$P1881)-1))),"")))</f>
        <v/>
      </c>
      <c r="AG1881">
        <f>IF(OR($AE1881="",$AF1881=""),"",IF(ISNUMBER(Sync!$P1881),INT(MOD(Sync!$P1881,10000)/100),IFERROR(VALUE(TRIM(LEFT(MID(Sync!$P1881,FIND("/",Sync!$P1881)+1,20),FIND("/",MID(Sync!$P1881,FIND("/",Sync!$P1881)+1,20))-1))),"")))</f>
        <v/>
      </c>
      <c r="AH1881">
        <f>IF(OR($AE1881="",$AF1881=""),"",IF(ISNUMBER(Sync!$P1881),MOD(Sync!$P1881,100),IFERROR(VALUE(TRIM(MID(MID(Sync!$P1881,FIND("/",Sync!$P1881)+1,20),FIND("/",MID(Sync!$P1881,FIND("/",Sync!$P1881)+1,20))+1,20))),"")))</f>
        <v/>
      </c>
      <c r="AI1881">
        <f>IF($AE1881="","",IF(OR($AF1881="",$AG1881="",$AH1881="",$AF1881&lt;1300,$AF1881&gt;1500,$AG1881&lt;1,$AG1881&gt;12,$AH1881&lt;1,$AH1881&gt;31),"نامعتبر",RIGHT("0000"&amp;$AF1881,4)&amp;"/"&amp;RIGHT("00"&amp;$AG1881,2)&amp;"/"&amp;RIGHT("00"&amp;$AH1881,2)))</f>
        <v/>
      </c>
      <c r="AJ1881">
        <f>IF($AE1881="","",IF(Sync!$Q1881="","0000",IF(AND(ISNUMBER(Sync!$Q1881),Sync!$Q1881&gt;=0,Sync!$Q1881&lt;1),RIGHT("00"&amp;HOUR(Sync!$Q1881),2)&amp;RIGHT("00"&amp;MINUTE(Sync!$Q1881),2),IFERROR(RIGHT("00"&amp;VALUE(LEFT(Sync!$Q1881,FIND(":",Sync!$Q1881)-1)),2)&amp;RIGHT("00"&amp;VALUE(MID(Sync!$Q1881,FIND(":",Sync!$Q1881)+1,2)),2),"0000"))))</f>
        <v/>
      </c>
      <c r="AK1881">
        <f>IF(OR($AE1881="",$AI1881="",$AI1881="نامعتبر"),"",LEFT($AI1881,4)&amp;MID($AI1881,6,2)&amp;RIGHT($AI1881,2)&amp;$AJ1881&amp;"|"&amp;"3"&amp;RIGHT("00000"&amp;1876,5))</f>
        <v/>
      </c>
      <c r="AL1881">
        <f>IF($AK1881="","",COUNTIFS(LdAParty,$AE1881,LdAType,1,LdAKey,"&lt;"&amp;$AK1881)+COUNTIFS(LdBMember,$AE1881,LdBKey,"&lt;"&amp;$AK1881)+COUNTIFS(LdCParty,$AE1881,LdCKey,"&lt;"&amp;$AK1881)+1)</f>
        <v/>
      </c>
      <c r="AM1881">
        <f>IF($AL1881="","",$AE1881&amp;"|"&amp;RIGHT("000000"&amp;$AL1881,6))</f>
        <v/>
      </c>
      <c r="AN1881">
        <f>IF($AE1881="","",IF(Sync!$W1881="",0,Sync!$W1881))</f>
        <v/>
      </c>
      <c r="AO1881">
        <f>IF($AE1881="","",IF(Sync!$X1881="",0,Sync!$X1881))</f>
        <v/>
      </c>
      <c r="AP1881">
        <f>IF($AE1881="","",Sync!$R1881)</f>
        <v/>
      </c>
      <c r="AQ1881">
        <f>IF($AE1881="","",Sync!$Y1881)</f>
        <v/>
      </c>
    </row>
    <row r="1882">
      <c r="A1882">
        <f>IF(OR(Wages!$B1885="",Wages!$E1885=""),"",Wages!$E1885)</f>
        <v/>
      </c>
      <c r="B1882">
        <f>IF($A1882="","",IF(Wages!$C1885="دستمزد گروهی",2,1))</f>
        <v/>
      </c>
      <c r="C1882">
        <f>IF($A1882="","",IF(ISNUMBER(Wages!$B1885),IF(AND(Wages!$B1885&gt;=10000101,Wages!$B1885&lt;=99991231),INT(Wages!$B1885/10000),""),IFERROR(VALUE(TRIM(LEFT(Wages!$B1885,FIND("/",Wages!$B1885)-1))),"")))</f>
        <v/>
      </c>
      <c r="D1882">
        <f>IF(OR($A1882="",$C1882=""),"",IF(ISNUMBER(Wages!$B1885),INT(MOD(Wages!$B1885,10000)/100),IFERROR(VALUE(TRIM(LEFT(MID(Wages!$B1885,FIND("/",Wages!$B1885)+1,20),FIND("/",MID(Wages!$B1885,FIND("/",Wages!$B1885)+1,20))-1))),"")))</f>
        <v/>
      </c>
      <c r="E1882">
        <f>IF(OR($A1882="",$C1882=""),"",IF(ISNUMBER(Wages!$B1885),MOD(Wages!$B1885,100),IFERROR(VALUE(TRIM(MID(MID(Wages!$B1885,FIND("/",Wages!$B1885)+1,20),FIND("/",MID(Wages!$B1885,FIND("/",Wages!$B1885)+1,20))+1,20))),"")))</f>
        <v/>
      </c>
      <c r="F1882">
        <f>IF($A1882="","",IF(OR($C1882="",$D1882="",$E1882="",$C1882&lt;1300,$C1882&gt;1500,$D1882&lt;1,$D1882&gt;12,$E1882&lt;1,$E1882&gt;31),"نامعتبر",RIGHT("0000"&amp;$C1882,4)&amp;"/"&amp;RIGHT("00"&amp;$D1882,2)&amp;"/"&amp;RIGHT("00"&amp;$E1882,2)))</f>
        <v/>
      </c>
      <c r="G1882">
        <f>IF(OR($A1882="",$F1882="",$F1882="نامعتبر"),"",LEFT($F1882,4)&amp;MID($F1882,6,2)&amp;RIGHT($F1882,2)&amp;"0000"&amp;"|"&amp;"1"&amp;RIGHT("00000"&amp;1877,5))</f>
        <v/>
      </c>
      <c r="H1882">
        <f>IF(OR($B1882&lt;&gt;1,$G1882=""),"",COUNTIFS(LdAParty,$A1882,LdAType,1,LdAKey,"&lt;"&amp;$G1882)+COUNTIFS(LdBMember,$A1882,LdBKey,"&lt;"&amp;$G1882)+COUNTIFS(LdCParty,$A1882,LdCKey,"&lt;"&amp;$G1882)+1)</f>
        <v/>
      </c>
      <c r="I1882">
        <f>IF($H1882="","",$A1882&amp;"|"&amp;RIGHT("000000"&amp;$H1882,6))</f>
        <v/>
      </c>
      <c r="J1882">
        <f>IF(OR($B1882&lt;&gt;2,$G1882=""),"",COUNTIFS(LdAParty,$A1882,LdAType,2,LdAKey,"&lt;"&amp;$G1882)+1)</f>
        <v/>
      </c>
      <c r="K1882">
        <f>IF($J1882="","",$A1882&amp;"|"&amp;RIGHT("000000"&amp;$J1882,6))</f>
        <v/>
      </c>
      <c r="L1882">
        <f>IF($A1882="","",IF(Wages!$G1885="",0,Wages!$G1885))</f>
        <v/>
      </c>
      <c r="M1882">
        <f>IF($A1882="","",Wages!$J1885)</f>
        <v/>
      </c>
      <c r="N1882">
        <f>IF($A1882="","",Wages!$D1885)</f>
        <v/>
      </c>
      <c r="P1882">
        <f>IF(OR(Shares!$B1885="",Shares!$C1885=""),"",Shares!$C1885)</f>
        <v/>
      </c>
      <c r="Q1882">
        <f>IF($P1882="","",Shares!$B1885)</f>
        <v/>
      </c>
      <c r="R1882">
        <f>IF($P1882="","",IFERROR(INDEX(WageParty,MATCH($Q1882,WageIds,0)),""))</f>
        <v/>
      </c>
      <c r="S1882">
        <f>IF($P1882="","",IFERROR(INDEX($F$6:$F$2005,MATCH($Q1882,WageIds,0)),""))</f>
        <v/>
      </c>
      <c r="T1882">
        <f>IF(OR($P1882="",$S1882="",$S1882="نامعتبر"),"",LEFT($S1882,4)&amp;MID($S1882,6,2)&amp;RIGHT($S1882,2)&amp;"0000"&amp;"|"&amp;"2"&amp;RIGHT("00000"&amp;1877,5))</f>
        <v/>
      </c>
      <c r="U1882">
        <f>IF($T1882="","",COUNTIFS(LdAParty,$P1882,LdAType,1,LdAKey,"&lt;"&amp;$T1882)+COUNTIFS(LdBMember,$P1882,LdBKey,"&lt;"&amp;$T1882)+COUNTIFS(LdCParty,$P1882,LdCKey,"&lt;"&amp;$T1882)+1)</f>
        <v/>
      </c>
      <c r="V1882">
        <f>IF($U1882="","",$P1882&amp;"|"&amp;RIGHT("000000"&amp;$U1882,6))</f>
        <v/>
      </c>
      <c r="W1882">
        <f>IF($T1882="","",COUNTIFS(LdBGroup,$R1882,LdBKey,"&lt;"&amp;$T1882)+1)</f>
        <v/>
      </c>
      <c r="X1882">
        <f>IF($W1882="","",$R1882&amp;"|"&amp;RIGHT("000000"&amp;$W1882,6))</f>
        <v/>
      </c>
      <c r="Y1882">
        <f>IF($P1882="","",IF(Shares!$E1885="",0,Shares!$E1885))</f>
        <v/>
      </c>
      <c r="Z1882">
        <f>IF($P1882="","",Shares!$H1885)</f>
        <v/>
      </c>
      <c r="AE1882">
        <f>IF(OR(Sync!$S1882="",Sync!$P1882=""),"",Sync!$S1882)</f>
        <v/>
      </c>
      <c r="AF1882">
        <f>IF($AE1882="","",IF(ISNUMBER(Sync!$P1882),IF(AND(Sync!$P1882&gt;=10000101,Sync!$P1882&lt;=99991231),INT(Sync!$P1882/10000),""),IFERROR(VALUE(TRIM(LEFT(Sync!$P1882,FIND("/",Sync!$P1882)-1))),"")))</f>
        <v/>
      </c>
      <c r="AG1882">
        <f>IF(OR($AE1882="",$AF1882=""),"",IF(ISNUMBER(Sync!$P1882),INT(MOD(Sync!$P1882,10000)/100),IFERROR(VALUE(TRIM(LEFT(MID(Sync!$P1882,FIND("/",Sync!$P1882)+1,20),FIND("/",MID(Sync!$P1882,FIND("/",Sync!$P1882)+1,20))-1))),"")))</f>
        <v/>
      </c>
      <c r="AH1882">
        <f>IF(OR($AE1882="",$AF1882=""),"",IF(ISNUMBER(Sync!$P1882),MOD(Sync!$P1882,100),IFERROR(VALUE(TRIM(MID(MID(Sync!$P1882,FIND("/",Sync!$P1882)+1,20),FIND("/",MID(Sync!$P1882,FIND("/",Sync!$P1882)+1,20))+1,20))),"")))</f>
        <v/>
      </c>
      <c r="AI1882">
        <f>IF($AE1882="","",IF(OR($AF1882="",$AG1882="",$AH1882="",$AF1882&lt;1300,$AF1882&gt;1500,$AG1882&lt;1,$AG1882&gt;12,$AH1882&lt;1,$AH1882&gt;31),"نامعتبر",RIGHT("0000"&amp;$AF1882,4)&amp;"/"&amp;RIGHT("00"&amp;$AG1882,2)&amp;"/"&amp;RIGHT("00"&amp;$AH1882,2)))</f>
        <v/>
      </c>
      <c r="AJ1882">
        <f>IF($AE1882="","",IF(Sync!$Q1882="","0000",IF(AND(ISNUMBER(Sync!$Q1882),Sync!$Q1882&gt;=0,Sync!$Q1882&lt;1),RIGHT("00"&amp;HOUR(Sync!$Q1882),2)&amp;RIGHT("00"&amp;MINUTE(Sync!$Q1882),2),IFERROR(RIGHT("00"&amp;VALUE(LEFT(Sync!$Q1882,FIND(":",Sync!$Q1882)-1)),2)&amp;RIGHT("00"&amp;VALUE(MID(Sync!$Q1882,FIND(":",Sync!$Q1882)+1,2)),2),"0000"))))</f>
        <v/>
      </c>
      <c r="AK1882">
        <f>IF(OR($AE1882="",$AI1882="",$AI1882="نامعتبر"),"",LEFT($AI1882,4)&amp;MID($AI1882,6,2)&amp;RIGHT($AI1882,2)&amp;$AJ1882&amp;"|"&amp;"3"&amp;RIGHT("00000"&amp;1877,5))</f>
        <v/>
      </c>
      <c r="AL1882">
        <f>IF($AK1882="","",COUNTIFS(LdAParty,$AE1882,LdAType,1,LdAKey,"&lt;"&amp;$AK1882)+COUNTIFS(LdBMember,$AE1882,LdBKey,"&lt;"&amp;$AK1882)+COUNTIFS(LdCParty,$AE1882,LdCKey,"&lt;"&amp;$AK1882)+1)</f>
        <v/>
      </c>
      <c r="AM1882">
        <f>IF($AL1882="","",$AE1882&amp;"|"&amp;RIGHT("000000"&amp;$AL1882,6))</f>
        <v/>
      </c>
      <c r="AN1882">
        <f>IF($AE1882="","",IF(Sync!$W1882="",0,Sync!$W1882))</f>
        <v/>
      </c>
      <c r="AO1882">
        <f>IF($AE1882="","",IF(Sync!$X1882="",0,Sync!$X1882))</f>
        <v/>
      </c>
      <c r="AP1882">
        <f>IF($AE1882="","",Sync!$R1882)</f>
        <v/>
      </c>
      <c r="AQ1882">
        <f>IF($AE1882="","",Sync!$Y1882)</f>
        <v/>
      </c>
    </row>
    <row r="1883">
      <c r="A1883">
        <f>IF(OR(Wages!$B1886="",Wages!$E1886=""),"",Wages!$E1886)</f>
        <v/>
      </c>
      <c r="B1883">
        <f>IF($A1883="","",IF(Wages!$C1886="دستمزد گروهی",2,1))</f>
        <v/>
      </c>
      <c r="C1883">
        <f>IF($A1883="","",IF(ISNUMBER(Wages!$B1886),IF(AND(Wages!$B1886&gt;=10000101,Wages!$B1886&lt;=99991231),INT(Wages!$B1886/10000),""),IFERROR(VALUE(TRIM(LEFT(Wages!$B1886,FIND("/",Wages!$B1886)-1))),"")))</f>
        <v/>
      </c>
      <c r="D1883">
        <f>IF(OR($A1883="",$C1883=""),"",IF(ISNUMBER(Wages!$B1886),INT(MOD(Wages!$B1886,10000)/100),IFERROR(VALUE(TRIM(LEFT(MID(Wages!$B1886,FIND("/",Wages!$B1886)+1,20),FIND("/",MID(Wages!$B1886,FIND("/",Wages!$B1886)+1,20))-1))),"")))</f>
        <v/>
      </c>
      <c r="E1883">
        <f>IF(OR($A1883="",$C1883=""),"",IF(ISNUMBER(Wages!$B1886),MOD(Wages!$B1886,100),IFERROR(VALUE(TRIM(MID(MID(Wages!$B1886,FIND("/",Wages!$B1886)+1,20),FIND("/",MID(Wages!$B1886,FIND("/",Wages!$B1886)+1,20))+1,20))),"")))</f>
        <v/>
      </c>
      <c r="F1883">
        <f>IF($A1883="","",IF(OR($C1883="",$D1883="",$E1883="",$C1883&lt;1300,$C1883&gt;1500,$D1883&lt;1,$D1883&gt;12,$E1883&lt;1,$E1883&gt;31),"نامعتبر",RIGHT("0000"&amp;$C1883,4)&amp;"/"&amp;RIGHT("00"&amp;$D1883,2)&amp;"/"&amp;RIGHT("00"&amp;$E1883,2)))</f>
        <v/>
      </c>
      <c r="G1883">
        <f>IF(OR($A1883="",$F1883="",$F1883="نامعتبر"),"",LEFT($F1883,4)&amp;MID($F1883,6,2)&amp;RIGHT($F1883,2)&amp;"0000"&amp;"|"&amp;"1"&amp;RIGHT("00000"&amp;1878,5))</f>
        <v/>
      </c>
      <c r="H1883">
        <f>IF(OR($B1883&lt;&gt;1,$G1883=""),"",COUNTIFS(LdAParty,$A1883,LdAType,1,LdAKey,"&lt;"&amp;$G1883)+COUNTIFS(LdBMember,$A1883,LdBKey,"&lt;"&amp;$G1883)+COUNTIFS(LdCParty,$A1883,LdCKey,"&lt;"&amp;$G1883)+1)</f>
        <v/>
      </c>
      <c r="I1883">
        <f>IF($H1883="","",$A1883&amp;"|"&amp;RIGHT("000000"&amp;$H1883,6))</f>
        <v/>
      </c>
      <c r="J1883">
        <f>IF(OR($B1883&lt;&gt;2,$G1883=""),"",COUNTIFS(LdAParty,$A1883,LdAType,2,LdAKey,"&lt;"&amp;$G1883)+1)</f>
        <v/>
      </c>
      <c r="K1883">
        <f>IF($J1883="","",$A1883&amp;"|"&amp;RIGHT("000000"&amp;$J1883,6))</f>
        <v/>
      </c>
      <c r="L1883">
        <f>IF($A1883="","",IF(Wages!$G1886="",0,Wages!$G1886))</f>
        <v/>
      </c>
      <c r="M1883">
        <f>IF($A1883="","",Wages!$J1886)</f>
        <v/>
      </c>
      <c r="N1883">
        <f>IF($A1883="","",Wages!$D1886)</f>
        <v/>
      </c>
      <c r="P1883">
        <f>IF(OR(Shares!$B1886="",Shares!$C1886=""),"",Shares!$C1886)</f>
        <v/>
      </c>
      <c r="Q1883">
        <f>IF($P1883="","",Shares!$B1886)</f>
        <v/>
      </c>
      <c r="R1883">
        <f>IF($P1883="","",IFERROR(INDEX(WageParty,MATCH($Q1883,WageIds,0)),""))</f>
        <v/>
      </c>
      <c r="S1883">
        <f>IF($P1883="","",IFERROR(INDEX($F$6:$F$2005,MATCH($Q1883,WageIds,0)),""))</f>
        <v/>
      </c>
      <c r="T1883">
        <f>IF(OR($P1883="",$S1883="",$S1883="نامعتبر"),"",LEFT($S1883,4)&amp;MID($S1883,6,2)&amp;RIGHT($S1883,2)&amp;"0000"&amp;"|"&amp;"2"&amp;RIGHT("00000"&amp;1878,5))</f>
        <v/>
      </c>
      <c r="U1883">
        <f>IF($T1883="","",COUNTIFS(LdAParty,$P1883,LdAType,1,LdAKey,"&lt;"&amp;$T1883)+COUNTIFS(LdBMember,$P1883,LdBKey,"&lt;"&amp;$T1883)+COUNTIFS(LdCParty,$P1883,LdCKey,"&lt;"&amp;$T1883)+1)</f>
        <v/>
      </c>
      <c r="V1883">
        <f>IF($U1883="","",$P1883&amp;"|"&amp;RIGHT("000000"&amp;$U1883,6))</f>
        <v/>
      </c>
      <c r="W1883">
        <f>IF($T1883="","",COUNTIFS(LdBGroup,$R1883,LdBKey,"&lt;"&amp;$T1883)+1)</f>
        <v/>
      </c>
      <c r="X1883">
        <f>IF($W1883="","",$R1883&amp;"|"&amp;RIGHT("000000"&amp;$W1883,6))</f>
        <v/>
      </c>
      <c r="Y1883">
        <f>IF($P1883="","",IF(Shares!$E1886="",0,Shares!$E1886))</f>
        <v/>
      </c>
      <c r="Z1883">
        <f>IF($P1883="","",Shares!$H1886)</f>
        <v/>
      </c>
      <c r="AE1883">
        <f>IF(OR(Sync!$S1883="",Sync!$P1883=""),"",Sync!$S1883)</f>
        <v/>
      </c>
      <c r="AF1883">
        <f>IF($AE1883="","",IF(ISNUMBER(Sync!$P1883),IF(AND(Sync!$P1883&gt;=10000101,Sync!$P1883&lt;=99991231),INT(Sync!$P1883/10000),""),IFERROR(VALUE(TRIM(LEFT(Sync!$P1883,FIND("/",Sync!$P1883)-1))),"")))</f>
        <v/>
      </c>
      <c r="AG1883">
        <f>IF(OR($AE1883="",$AF1883=""),"",IF(ISNUMBER(Sync!$P1883),INT(MOD(Sync!$P1883,10000)/100),IFERROR(VALUE(TRIM(LEFT(MID(Sync!$P1883,FIND("/",Sync!$P1883)+1,20),FIND("/",MID(Sync!$P1883,FIND("/",Sync!$P1883)+1,20))-1))),"")))</f>
        <v/>
      </c>
      <c r="AH1883">
        <f>IF(OR($AE1883="",$AF1883=""),"",IF(ISNUMBER(Sync!$P1883),MOD(Sync!$P1883,100),IFERROR(VALUE(TRIM(MID(MID(Sync!$P1883,FIND("/",Sync!$P1883)+1,20),FIND("/",MID(Sync!$P1883,FIND("/",Sync!$P1883)+1,20))+1,20))),"")))</f>
        <v/>
      </c>
      <c r="AI1883">
        <f>IF($AE1883="","",IF(OR($AF1883="",$AG1883="",$AH1883="",$AF1883&lt;1300,$AF1883&gt;1500,$AG1883&lt;1,$AG1883&gt;12,$AH1883&lt;1,$AH1883&gt;31),"نامعتبر",RIGHT("0000"&amp;$AF1883,4)&amp;"/"&amp;RIGHT("00"&amp;$AG1883,2)&amp;"/"&amp;RIGHT("00"&amp;$AH1883,2)))</f>
        <v/>
      </c>
      <c r="AJ1883">
        <f>IF($AE1883="","",IF(Sync!$Q1883="","0000",IF(AND(ISNUMBER(Sync!$Q1883),Sync!$Q1883&gt;=0,Sync!$Q1883&lt;1),RIGHT("00"&amp;HOUR(Sync!$Q1883),2)&amp;RIGHT("00"&amp;MINUTE(Sync!$Q1883),2),IFERROR(RIGHT("00"&amp;VALUE(LEFT(Sync!$Q1883,FIND(":",Sync!$Q1883)-1)),2)&amp;RIGHT("00"&amp;VALUE(MID(Sync!$Q1883,FIND(":",Sync!$Q1883)+1,2)),2),"0000"))))</f>
        <v/>
      </c>
      <c r="AK1883">
        <f>IF(OR($AE1883="",$AI1883="",$AI1883="نامعتبر"),"",LEFT($AI1883,4)&amp;MID($AI1883,6,2)&amp;RIGHT($AI1883,2)&amp;$AJ1883&amp;"|"&amp;"3"&amp;RIGHT("00000"&amp;1878,5))</f>
        <v/>
      </c>
      <c r="AL1883">
        <f>IF($AK1883="","",COUNTIFS(LdAParty,$AE1883,LdAType,1,LdAKey,"&lt;"&amp;$AK1883)+COUNTIFS(LdBMember,$AE1883,LdBKey,"&lt;"&amp;$AK1883)+COUNTIFS(LdCParty,$AE1883,LdCKey,"&lt;"&amp;$AK1883)+1)</f>
        <v/>
      </c>
      <c r="AM1883">
        <f>IF($AL1883="","",$AE1883&amp;"|"&amp;RIGHT("000000"&amp;$AL1883,6))</f>
        <v/>
      </c>
      <c r="AN1883">
        <f>IF($AE1883="","",IF(Sync!$W1883="",0,Sync!$W1883))</f>
        <v/>
      </c>
      <c r="AO1883">
        <f>IF($AE1883="","",IF(Sync!$X1883="",0,Sync!$X1883))</f>
        <v/>
      </c>
      <c r="AP1883">
        <f>IF($AE1883="","",Sync!$R1883)</f>
        <v/>
      </c>
      <c r="AQ1883">
        <f>IF($AE1883="","",Sync!$Y1883)</f>
        <v/>
      </c>
    </row>
    <row r="1884">
      <c r="A1884">
        <f>IF(OR(Wages!$B1887="",Wages!$E1887=""),"",Wages!$E1887)</f>
        <v/>
      </c>
      <c r="B1884">
        <f>IF($A1884="","",IF(Wages!$C1887="دستمزد گروهی",2,1))</f>
        <v/>
      </c>
      <c r="C1884">
        <f>IF($A1884="","",IF(ISNUMBER(Wages!$B1887),IF(AND(Wages!$B1887&gt;=10000101,Wages!$B1887&lt;=99991231),INT(Wages!$B1887/10000),""),IFERROR(VALUE(TRIM(LEFT(Wages!$B1887,FIND("/",Wages!$B1887)-1))),"")))</f>
        <v/>
      </c>
      <c r="D1884">
        <f>IF(OR($A1884="",$C1884=""),"",IF(ISNUMBER(Wages!$B1887),INT(MOD(Wages!$B1887,10000)/100),IFERROR(VALUE(TRIM(LEFT(MID(Wages!$B1887,FIND("/",Wages!$B1887)+1,20),FIND("/",MID(Wages!$B1887,FIND("/",Wages!$B1887)+1,20))-1))),"")))</f>
        <v/>
      </c>
      <c r="E1884">
        <f>IF(OR($A1884="",$C1884=""),"",IF(ISNUMBER(Wages!$B1887),MOD(Wages!$B1887,100),IFERROR(VALUE(TRIM(MID(MID(Wages!$B1887,FIND("/",Wages!$B1887)+1,20),FIND("/",MID(Wages!$B1887,FIND("/",Wages!$B1887)+1,20))+1,20))),"")))</f>
        <v/>
      </c>
      <c r="F1884">
        <f>IF($A1884="","",IF(OR($C1884="",$D1884="",$E1884="",$C1884&lt;1300,$C1884&gt;1500,$D1884&lt;1,$D1884&gt;12,$E1884&lt;1,$E1884&gt;31),"نامعتبر",RIGHT("0000"&amp;$C1884,4)&amp;"/"&amp;RIGHT("00"&amp;$D1884,2)&amp;"/"&amp;RIGHT("00"&amp;$E1884,2)))</f>
        <v/>
      </c>
      <c r="G1884">
        <f>IF(OR($A1884="",$F1884="",$F1884="نامعتبر"),"",LEFT($F1884,4)&amp;MID($F1884,6,2)&amp;RIGHT($F1884,2)&amp;"0000"&amp;"|"&amp;"1"&amp;RIGHT("00000"&amp;1879,5))</f>
        <v/>
      </c>
      <c r="H1884">
        <f>IF(OR($B1884&lt;&gt;1,$G1884=""),"",COUNTIFS(LdAParty,$A1884,LdAType,1,LdAKey,"&lt;"&amp;$G1884)+COUNTIFS(LdBMember,$A1884,LdBKey,"&lt;"&amp;$G1884)+COUNTIFS(LdCParty,$A1884,LdCKey,"&lt;"&amp;$G1884)+1)</f>
        <v/>
      </c>
      <c r="I1884">
        <f>IF($H1884="","",$A1884&amp;"|"&amp;RIGHT("000000"&amp;$H1884,6))</f>
        <v/>
      </c>
      <c r="J1884">
        <f>IF(OR($B1884&lt;&gt;2,$G1884=""),"",COUNTIFS(LdAParty,$A1884,LdAType,2,LdAKey,"&lt;"&amp;$G1884)+1)</f>
        <v/>
      </c>
      <c r="K1884">
        <f>IF($J1884="","",$A1884&amp;"|"&amp;RIGHT("000000"&amp;$J1884,6))</f>
        <v/>
      </c>
      <c r="L1884">
        <f>IF($A1884="","",IF(Wages!$G1887="",0,Wages!$G1887))</f>
        <v/>
      </c>
      <c r="M1884">
        <f>IF($A1884="","",Wages!$J1887)</f>
        <v/>
      </c>
      <c r="N1884">
        <f>IF($A1884="","",Wages!$D1887)</f>
        <v/>
      </c>
      <c r="P1884">
        <f>IF(OR(Shares!$B1887="",Shares!$C1887=""),"",Shares!$C1887)</f>
        <v/>
      </c>
      <c r="Q1884">
        <f>IF($P1884="","",Shares!$B1887)</f>
        <v/>
      </c>
      <c r="R1884">
        <f>IF($P1884="","",IFERROR(INDEX(WageParty,MATCH($Q1884,WageIds,0)),""))</f>
        <v/>
      </c>
      <c r="S1884">
        <f>IF($P1884="","",IFERROR(INDEX($F$6:$F$2005,MATCH($Q1884,WageIds,0)),""))</f>
        <v/>
      </c>
      <c r="T1884">
        <f>IF(OR($P1884="",$S1884="",$S1884="نامعتبر"),"",LEFT($S1884,4)&amp;MID($S1884,6,2)&amp;RIGHT($S1884,2)&amp;"0000"&amp;"|"&amp;"2"&amp;RIGHT("00000"&amp;1879,5))</f>
        <v/>
      </c>
      <c r="U1884">
        <f>IF($T1884="","",COUNTIFS(LdAParty,$P1884,LdAType,1,LdAKey,"&lt;"&amp;$T1884)+COUNTIFS(LdBMember,$P1884,LdBKey,"&lt;"&amp;$T1884)+COUNTIFS(LdCParty,$P1884,LdCKey,"&lt;"&amp;$T1884)+1)</f>
        <v/>
      </c>
      <c r="V1884">
        <f>IF($U1884="","",$P1884&amp;"|"&amp;RIGHT("000000"&amp;$U1884,6))</f>
        <v/>
      </c>
      <c r="W1884">
        <f>IF($T1884="","",COUNTIFS(LdBGroup,$R1884,LdBKey,"&lt;"&amp;$T1884)+1)</f>
        <v/>
      </c>
      <c r="X1884">
        <f>IF($W1884="","",$R1884&amp;"|"&amp;RIGHT("000000"&amp;$W1884,6))</f>
        <v/>
      </c>
      <c r="Y1884">
        <f>IF($P1884="","",IF(Shares!$E1887="",0,Shares!$E1887))</f>
        <v/>
      </c>
      <c r="Z1884">
        <f>IF($P1884="","",Shares!$H1887)</f>
        <v/>
      </c>
      <c r="AE1884">
        <f>IF(OR(Sync!$S1884="",Sync!$P1884=""),"",Sync!$S1884)</f>
        <v/>
      </c>
      <c r="AF1884">
        <f>IF($AE1884="","",IF(ISNUMBER(Sync!$P1884),IF(AND(Sync!$P1884&gt;=10000101,Sync!$P1884&lt;=99991231),INT(Sync!$P1884/10000),""),IFERROR(VALUE(TRIM(LEFT(Sync!$P1884,FIND("/",Sync!$P1884)-1))),"")))</f>
        <v/>
      </c>
      <c r="AG1884">
        <f>IF(OR($AE1884="",$AF1884=""),"",IF(ISNUMBER(Sync!$P1884),INT(MOD(Sync!$P1884,10000)/100),IFERROR(VALUE(TRIM(LEFT(MID(Sync!$P1884,FIND("/",Sync!$P1884)+1,20),FIND("/",MID(Sync!$P1884,FIND("/",Sync!$P1884)+1,20))-1))),"")))</f>
        <v/>
      </c>
      <c r="AH1884">
        <f>IF(OR($AE1884="",$AF1884=""),"",IF(ISNUMBER(Sync!$P1884),MOD(Sync!$P1884,100),IFERROR(VALUE(TRIM(MID(MID(Sync!$P1884,FIND("/",Sync!$P1884)+1,20),FIND("/",MID(Sync!$P1884,FIND("/",Sync!$P1884)+1,20))+1,20))),"")))</f>
        <v/>
      </c>
      <c r="AI1884">
        <f>IF($AE1884="","",IF(OR($AF1884="",$AG1884="",$AH1884="",$AF1884&lt;1300,$AF1884&gt;1500,$AG1884&lt;1,$AG1884&gt;12,$AH1884&lt;1,$AH1884&gt;31),"نامعتبر",RIGHT("0000"&amp;$AF1884,4)&amp;"/"&amp;RIGHT("00"&amp;$AG1884,2)&amp;"/"&amp;RIGHT("00"&amp;$AH1884,2)))</f>
        <v/>
      </c>
      <c r="AJ1884">
        <f>IF($AE1884="","",IF(Sync!$Q1884="","0000",IF(AND(ISNUMBER(Sync!$Q1884),Sync!$Q1884&gt;=0,Sync!$Q1884&lt;1),RIGHT("00"&amp;HOUR(Sync!$Q1884),2)&amp;RIGHT("00"&amp;MINUTE(Sync!$Q1884),2),IFERROR(RIGHT("00"&amp;VALUE(LEFT(Sync!$Q1884,FIND(":",Sync!$Q1884)-1)),2)&amp;RIGHT("00"&amp;VALUE(MID(Sync!$Q1884,FIND(":",Sync!$Q1884)+1,2)),2),"0000"))))</f>
        <v/>
      </c>
      <c r="AK1884">
        <f>IF(OR($AE1884="",$AI1884="",$AI1884="نامعتبر"),"",LEFT($AI1884,4)&amp;MID($AI1884,6,2)&amp;RIGHT($AI1884,2)&amp;$AJ1884&amp;"|"&amp;"3"&amp;RIGHT("00000"&amp;1879,5))</f>
        <v/>
      </c>
      <c r="AL1884">
        <f>IF($AK1884="","",COUNTIFS(LdAParty,$AE1884,LdAType,1,LdAKey,"&lt;"&amp;$AK1884)+COUNTIFS(LdBMember,$AE1884,LdBKey,"&lt;"&amp;$AK1884)+COUNTIFS(LdCParty,$AE1884,LdCKey,"&lt;"&amp;$AK1884)+1)</f>
        <v/>
      </c>
      <c r="AM1884">
        <f>IF($AL1884="","",$AE1884&amp;"|"&amp;RIGHT("000000"&amp;$AL1884,6))</f>
        <v/>
      </c>
      <c r="AN1884">
        <f>IF($AE1884="","",IF(Sync!$W1884="",0,Sync!$W1884))</f>
        <v/>
      </c>
      <c r="AO1884">
        <f>IF($AE1884="","",IF(Sync!$X1884="",0,Sync!$X1884))</f>
        <v/>
      </c>
      <c r="AP1884">
        <f>IF($AE1884="","",Sync!$R1884)</f>
        <v/>
      </c>
      <c r="AQ1884">
        <f>IF($AE1884="","",Sync!$Y1884)</f>
        <v/>
      </c>
    </row>
    <row r="1885">
      <c r="A1885">
        <f>IF(OR(Wages!$B1888="",Wages!$E1888=""),"",Wages!$E1888)</f>
        <v/>
      </c>
      <c r="B1885">
        <f>IF($A1885="","",IF(Wages!$C1888="دستمزد گروهی",2,1))</f>
        <v/>
      </c>
      <c r="C1885">
        <f>IF($A1885="","",IF(ISNUMBER(Wages!$B1888),IF(AND(Wages!$B1888&gt;=10000101,Wages!$B1888&lt;=99991231),INT(Wages!$B1888/10000),""),IFERROR(VALUE(TRIM(LEFT(Wages!$B1888,FIND("/",Wages!$B1888)-1))),"")))</f>
        <v/>
      </c>
      <c r="D1885">
        <f>IF(OR($A1885="",$C1885=""),"",IF(ISNUMBER(Wages!$B1888),INT(MOD(Wages!$B1888,10000)/100),IFERROR(VALUE(TRIM(LEFT(MID(Wages!$B1888,FIND("/",Wages!$B1888)+1,20),FIND("/",MID(Wages!$B1888,FIND("/",Wages!$B1888)+1,20))-1))),"")))</f>
        <v/>
      </c>
      <c r="E1885">
        <f>IF(OR($A1885="",$C1885=""),"",IF(ISNUMBER(Wages!$B1888),MOD(Wages!$B1888,100),IFERROR(VALUE(TRIM(MID(MID(Wages!$B1888,FIND("/",Wages!$B1888)+1,20),FIND("/",MID(Wages!$B1888,FIND("/",Wages!$B1888)+1,20))+1,20))),"")))</f>
        <v/>
      </c>
      <c r="F1885">
        <f>IF($A1885="","",IF(OR($C1885="",$D1885="",$E1885="",$C1885&lt;1300,$C1885&gt;1500,$D1885&lt;1,$D1885&gt;12,$E1885&lt;1,$E1885&gt;31),"نامعتبر",RIGHT("0000"&amp;$C1885,4)&amp;"/"&amp;RIGHT("00"&amp;$D1885,2)&amp;"/"&amp;RIGHT("00"&amp;$E1885,2)))</f>
        <v/>
      </c>
      <c r="G1885">
        <f>IF(OR($A1885="",$F1885="",$F1885="نامعتبر"),"",LEFT($F1885,4)&amp;MID($F1885,6,2)&amp;RIGHT($F1885,2)&amp;"0000"&amp;"|"&amp;"1"&amp;RIGHT("00000"&amp;1880,5))</f>
        <v/>
      </c>
      <c r="H1885">
        <f>IF(OR($B1885&lt;&gt;1,$G1885=""),"",COUNTIFS(LdAParty,$A1885,LdAType,1,LdAKey,"&lt;"&amp;$G1885)+COUNTIFS(LdBMember,$A1885,LdBKey,"&lt;"&amp;$G1885)+COUNTIFS(LdCParty,$A1885,LdCKey,"&lt;"&amp;$G1885)+1)</f>
        <v/>
      </c>
      <c r="I1885">
        <f>IF($H1885="","",$A1885&amp;"|"&amp;RIGHT("000000"&amp;$H1885,6))</f>
        <v/>
      </c>
      <c r="J1885">
        <f>IF(OR($B1885&lt;&gt;2,$G1885=""),"",COUNTIFS(LdAParty,$A1885,LdAType,2,LdAKey,"&lt;"&amp;$G1885)+1)</f>
        <v/>
      </c>
      <c r="K1885">
        <f>IF($J1885="","",$A1885&amp;"|"&amp;RIGHT("000000"&amp;$J1885,6))</f>
        <v/>
      </c>
      <c r="L1885">
        <f>IF($A1885="","",IF(Wages!$G1888="",0,Wages!$G1888))</f>
        <v/>
      </c>
      <c r="M1885">
        <f>IF($A1885="","",Wages!$J1888)</f>
        <v/>
      </c>
      <c r="N1885">
        <f>IF($A1885="","",Wages!$D1888)</f>
        <v/>
      </c>
      <c r="P1885">
        <f>IF(OR(Shares!$B1888="",Shares!$C1888=""),"",Shares!$C1888)</f>
        <v/>
      </c>
      <c r="Q1885">
        <f>IF($P1885="","",Shares!$B1888)</f>
        <v/>
      </c>
      <c r="R1885">
        <f>IF($P1885="","",IFERROR(INDEX(WageParty,MATCH($Q1885,WageIds,0)),""))</f>
        <v/>
      </c>
      <c r="S1885">
        <f>IF($P1885="","",IFERROR(INDEX($F$6:$F$2005,MATCH($Q1885,WageIds,0)),""))</f>
        <v/>
      </c>
      <c r="T1885">
        <f>IF(OR($P1885="",$S1885="",$S1885="نامعتبر"),"",LEFT($S1885,4)&amp;MID($S1885,6,2)&amp;RIGHT($S1885,2)&amp;"0000"&amp;"|"&amp;"2"&amp;RIGHT("00000"&amp;1880,5))</f>
        <v/>
      </c>
      <c r="U1885">
        <f>IF($T1885="","",COUNTIFS(LdAParty,$P1885,LdAType,1,LdAKey,"&lt;"&amp;$T1885)+COUNTIFS(LdBMember,$P1885,LdBKey,"&lt;"&amp;$T1885)+COUNTIFS(LdCParty,$P1885,LdCKey,"&lt;"&amp;$T1885)+1)</f>
        <v/>
      </c>
      <c r="V1885">
        <f>IF($U1885="","",$P1885&amp;"|"&amp;RIGHT("000000"&amp;$U1885,6))</f>
        <v/>
      </c>
      <c r="W1885">
        <f>IF($T1885="","",COUNTIFS(LdBGroup,$R1885,LdBKey,"&lt;"&amp;$T1885)+1)</f>
        <v/>
      </c>
      <c r="X1885">
        <f>IF($W1885="","",$R1885&amp;"|"&amp;RIGHT("000000"&amp;$W1885,6))</f>
        <v/>
      </c>
      <c r="Y1885">
        <f>IF($P1885="","",IF(Shares!$E1888="",0,Shares!$E1888))</f>
        <v/>
      </c>
      <c r="Z1885">
        <f>IF($P1885="","",Shares!$H1888)</f>
        <v/>
      </c>
      <c r="AE1885">
        <f>IF(OR(Sync!$S1885="",Sync!$P1885=""),"",Sync!$S1885)</f>
        <v/>
      </c>
      <c r="AF1885">
        <f>IF($AE1885="","",IF(ISNUMBER(Sync!$P1885),IF(AND(Sync!$P1885&gt;=10000101,Sync!$P1885&lt;=99991231),INT(Sync!$P1885/10000),""),IFERROR(VALUE(TRIM(LEFT(Sync!$P1885,FIND("/",Sync!$P1885)-1))),"")))</f>
        <v/>
      </c>
      <c r="AG1885">
        <f>IF(OR($AE1885="",$AF1885=""),"",IF(ISNUMBER(Sync!$P1885),INT(MOD(Sync!$P1885,10000)/100),IFERROR(VALUE(TRIM(LEFT(MID(Sync!$P1885,FIND("/",Sync!$P1885)+1,20),FIND("/",MID(Sync!$P1885,FIND("/",Sync!$P1885)+1,20))-1))),"")))</f>
        <v/>
      </c>
      <c r="AH1885">
        <f>IF(OR($AE1885="",$AF1885=""),"",IF(ISNUMBER(Sync!$P1885),MOD(Sync!$P1885,100),IFERROR(VALUE(TRIM(MID(MID(Sync!$P1885,FIND("/",Sync!$P1885)+1,20),FIND("/",MID(Sync!$P1885,FIND("/",Sync!$P1885)+1,20))+1,20))),"")))</f>
        <v/>
      </c>
      <c r="AI1885">
        <f>IF($AE1885="","",IF(OR($AF1885="",$AG1885="",$AH1885="",$AF1885&lt;1300,$AF1885&gt;1500,$AG1885&lt;1,$AG1885&gt;12,$AH1885&lt;1,$AH1885&gt;31),"نامعتبر",RIGHT("0000"&amp;$AF1885,4)&amp;"/"&amp;RIGHT("00"&amp;$AG1885,2)&amp;"/"&amp;RIGHT("00"&amp;$AH1885,2)))</f>
        <v/>
      </c>
      <c r="AJ1885">
        <f>IF($AE1885="","",IF(Sync!$Q1885="","0000",IF(AND(ISNUMBER(Sync!$Q1885),Sync!$Q1885&gt;=0,Sync!$Q1885&lt;1),RIGHT("00"&amp;HOUR(Sync!$Q1885),2)&amp;RIGHT("00"&amp;MINUTE(Sync!$Q1885),2),IFERROR(RIGHT("00"&amp;VALUE(LEFT(Sync!$Q1885,FIND(":",Sync!$Q1885)-1)),2)&amp;RIGHT("00"&amp;VALUE(MID(Sync!$Q1885,FIND(":",Sync!$Q1885)+1,2)),2),"0000"))))</f>
        <v/>
      </c>
      <c r="AK1885">
        <f>IF(OR($AE1885="",$AI1885="",$AI1885="نامعتبر"),"",LEFT($AI1885,4)&amp;MID($AI1885,6,2)&amp;RIGHT($AI1885,2)&amp;$AJ1885&amp;"|"&amp;"3"&amp;RIGHT("00000"&amp;1880,5))</f>
        <v/>
      </c>
      <c r="AL1885">
        <f>IF($AK1885="","",COUNTIFS(LdAParty,$AE1885,LdAType,1,LdAKey,"&lt;"&amp;$AK1885)+COUNTIFS(LdBMember,$AE1885,LdBKey,"&lt;"&amp;$AK1885)+COUNTIFS(LdCParty,$AE1885,LdCKey,"&lt;"&amp;$AK1885)+1)</f>
        <v/>
      </c>
      <c r="AM1885">
        <f>IF($AL1885="","",$AE1885&amp;"|"&amp;RIGHT("000000"&amp;$AL1885,6))</f>
        <v/>
      </c>
      <c r="AN1885">
        <f>IF($AE1885="","",IF(Sync!$W1885="",0,Sync!$W1885))</f>
        <v/>
      </c>
      <c r="AO1885">
        <f>IF($AE1885="","",IF(Sync!$X1885="",0,Sync!$X1885))</f>
        <v/>
      </c>
      <c r="AP1885">
        <f>IF($AE1885="","",Sync!$R1885)</f>
        <v/>
      </c>
      <c r="AQ1885">
        <f>IF($AE1885="","",Sync!$Y1885)</f>
        <v/>
      </c>
    </row>
    <row r="1886">
      <c r="A1886">
        <f>IF(OR(Wages!$B1889="",Wages!$E1889=""),"",Wages!$E1889)</f>
        <v/>
      </c>
      <c r="B1886">
        <f>IF($A1886="","",IF(Wages!$C1889="دستمزد گروهی",2,1))</f>
        <v/>
      </c>
      <c r="C1886">
        <f>IF($A1886="","",IF(ISNUMBER(Wages!$B1889),IF(AND(Wages!$B1889&gt;=10000101,Wages!$B1889&lt;=99991231),INT(Wages!$B1889/10000),""),IFERROR(VALUE(TRIM(LEFT(Wages!$B1889,FIND("/",Wages!$B1889)-1))),"")))</f>
        <v/>
      </c>
      <c r="D1886">
        <f>IF(OR($A1886="",$C1886=""),"",IF(ISNUMBER(Wages!$B1889),INT(MOD(Wages!$B1889,10000)/100),IFERROR(VALUE(TRIM(LEFT(MID(Wages!$B1889,FIND("/",Wages!$B1889)+1,20),FIND("/",MID(Wages!$B1889,FIND("/",Wages!$B1889)+1,20))-1))),"")))</f>
        <v/>
      </c>
      <c r="E1886">
        <f>IF(OR($A1886="",$C1886=""),"",IF(ISNUMBER(Wages!$B1889),MOD(Wages!$B1889,100),IFERROR(VALUE(TRIM(MID(MID(Wages!$B1889,FIND("/",Wages!$B1889)+1,20),FIND("/",MID(Wages!$B1889,FIND("/",Wages!$B1889)+1,20))+1,20))),"")))</f>
        <v/>
      </c>
      <c r="F1886">
        <f>IF($A1886="","",IF(OR($C1886="",$D1886="",$E1886="",$C1886&lt;1300,$C1886&gt;1500,$D1886&lt;1,$D1886&gt;12,$E1886&lt;1,$E1886&gt;31),"نامعتبر",RIGHT("0000"&amp;$C1886,4)&amp;"/"&amp;RIGHT("00"&amp;$D1886,2)&amp;"/"&amp;RIGHT("00"&amp;$E1886,2)))</f>
        <v/>
      </c>
      <c r="G1886">
        <f>IF(OR($A1886="",$F1886="",$F1886="نامعتبر"),"",LEFT($F1886,4)&amp;MID($F1886,6,2)&amp;RIGHT($F1886,2)&amp;"0000"&amp;"|"&amp;"1"&amp;RIGHT("00000"&amp;1881,5))</f>
        <v/>
      </c>
      <c r="H1886">
        <f>IF(OR($B1886&lt;&gt;1,$G1886=""),"",COUNTIFS(LdAParty,$A1886,LdAType,1,LdAKey,"&lt;"&amp;$G1886)+COUNTIFS(LdBMember,$A1886,LdBKey,"&lt;"&amp;$G1886)+COUNTIFS(LdCParty,$A1886,LdCKey,"&lt;"&amp;$G1886)+1)</f>
        <v/>
      </c>
      <c r="I1886">
        <f>IF($H1886="","",$A1886&amp;"|"&amp;RIGHT("000000"&amp;$H1886,6))</f>
        <v/>
      </c>
      <c r="J1886">
        <f>IF(OR($B1886&lt;&gt;2,$G1886=""),"",COUNTIFS(LdAParty,$A1886,LdAType,2,LdAKey,"&lt;"&amp;$G1886)+1)</f>
        <v/>
      </c>
      <c r="K1886">
        <f>IF($J1886="","",$A1886&amp;"|"&amp;RIGHT("000000"&amp;$J1886,6))</f>
        <v/>
      </c>
      <c r="L1886">
        <f>IF($A1886="","",IF(Wages!$G1889="",0,Wages!$G1889))</f>
        <v/>
      </c>
      <c r="M1886">
        <f>IF($A1886="","",Wages!$J1889)</f>
        <v/>
      </c>
      <c r="N1886">
        <f>IF($A1886="","",Wages!$D1889)</f>
        <v/>
      </c>
      <c r="P1886">
        <f>IF(OR(Shares!$B1889="",Shares!$C1889=""),"",Shares!$C1889)</f>
        <v/>
      </c>
      <c r="Q1886">
        <f>IF($P1886="","",Shares!$B1889)</f>
        <v/>
      </c>
      <c r="R1886">
        <f>IF($P1886="","",IFERROR(INDEX(WageParty,MATCH($Q1886,WageIds,0)),""))</f>
        <v/>
      </c>
      <c r="S1886">
        <f>IF($P1886="","",IFERROR(INDEX($F$6:$F$2005,MATCH($Q1886,WageIds,0)),""))</f>
        <v/>
      </c>
      <c r="T1886">
        <f>IF(OR($P1886="",$S1886="",$S1886="نامعتبر"),"",LEFT($S1886,4)&amp;MID($S1886,6,2)&amp;RIGHT($S1886,2)&amp;"0000"&amp;"|"&amp;"2"&amp;RIGHT("00000"&amp;1881,5))</f>
        <v/>
      </c>
      <c r="U1886">
        <f>IF($T1886="","",COUNTIFS(LdAParty,$P1886,LdAType,1,LdAKey,"&lt;"&amp;$T1886)+COUNTIFS(LdBMember,$P1886,LdBKey,"&lt;"&amp;$T1886)+COUNTIFS(LdCParty,$P1886,LdCKey,"&lt;"&amp;$T1886)+1)</f>
        <v/>
      </c>
      <c r="V1886">
        <f>IF($U1886="","",$P1886&amp;"|"&amp;RIGHT("000000"&amp;$U1886,6))</f>
        <v/>
      </c>
      <c r="W1886">
        <f>IF($T1886="","",COUNTIFS(LdBGroup,$R1886,LdBKey,"&lt;"&amp;$T1886)+1)</f>
        <v/>
      </c>
      <c r="X1886">
        <f>IF($W1886="","",$R1886&amp;"|"&amp;RIGHT("000000"&amp;$W1886,6))</f>
        <v/>
      </c>
      <c r="Y1886">
        <f>IF($P1886="","",IF(Shares!$E1889="",0,Shares!$E1889))</f>
        <v/>
      </c>
      <c r="Z1886">
        <f>IF($P1886="","",Shares!$H1889)</f>
        <v/>
      </c>
      <c r="AE1886">
        <f>IF(OR(Sync!$S1886="",Sync!$P1886=""),"",Sync!$S1886)</f>
        <v/>
      </c>
      <c r="AF1886">
        <f>IF($AE1886="","",IF(ISNUMBER(Sync!$P1886),IF(AND(Sync!$P1886&gt;=10000101,Sync!$P1886&lt;=99991231),INT(Sync!$P1886/10000),""),IFERROR(VALUE(TRIM(LEFT(Sync!$P1886,FIND("/",Sync!$P1886)-1))),"")))</f>
        <v/>
      </c>
      <c r="AG1886">
        <f>IF(OR($AE1886="",$AF1886=""),"",IF(ISNUMBER(Sync!$P1886),INT(MOD(Sync!$P1886,10000)/100),IFERROR(VALUE(TRIM(LEFT(MID(Sync!$P1886,FIND("/",Sync!$P1886)+1,20),FIND("/",MID(Sync!$P1886,FIND("/",Sync!$P1886)+1,20))-1))),"")))</f>
        <v/>
      </c>
      <c r="AH1886">
        <f>IF(OR($AE1886="",$AF1886=""),"",IF(ISNUMBER(Sync!$P1886),MOD(Sync!$P1886,100),IFERROR(VALUE(TRIM(MID(MID(Sync!$P1886,FIND("/",Sync!$P1886)+1,20),FIND("/",MID(Sync!$P1886,FIND("/",Sync!$P1886)+1,20))+1,20))),"")))</f>
        <v/>
      </c>
      <c r="AI1886">
        <f>IF($AE1886="","",IF(OR($AF1886="",$AG1886="",$AH1886="",$AF1886&lt;1300,$AF1886&gt;1500,$AG1886&lt;1,$AG1886&gt;12,$AH1886&lt;1,$AH1886&gt;31),"نامعتبر",RIGHT("0000"&amp;$AF1886,4)&amp;"/"&amp;RIGHT("00"&amp;$AG1886,2)&amp;"/"&amp;RIGHT("00"&amp;$AH1886,2)))</f>
        <v/>
      </c>
      <c r="AJ1886">
        <f>IF($AE1886="","",IF(Sync!$Q1886="","0000",IF(AND(ISNUMBER(Sync!$Q1886),Sync!$Q1886&gt;=0,Sync!$Q1886&lt;1),RIGHT("00"&amp;HOUR(Sync!$Q1886),2)&amp;RIGHT("00"&amp;MINUTE(Sync!$Q1886),2),IFERROR(RIGHT("00"&amp;VALUE(LEFT(Sync!$Q1886,FIND(":",Sync!$Q1886)-1)),2)&amp;RIGHT("00"&amp;VALUE(MID(Sync!$Q1886,FIND(":",Sync!$Q1886)+1,2)),2),"0000"))))</f>
        <v/>
      </c>
      <c r="AK1886">
        <f>IF(OR($AE1886="",$AI1886="",$AI1886="نامعتبر"),"",LEFT($AI1886,4)&amp;MID($AI1886,6,2)&amp;RIGHT($AI1886,2)&amp;$AJ1886&amp;"|"&amp;"3"&amp;RIGHT("00000"&amp;1881,5))</f>
        <v/>
      </c>
      <c r="AL1886">
        <f>IF($AK1886="","",COUNTIFS(LdAParty,$AE1886,LdAType,1,LdAKey,"&lt;"&amp;$AK1886)+COUNTIFS(LdBMember,$AE1886,LdBKey,"&lt;"&amp;$AK1886)+COUNTIFS(LdCParty,$AE1886,LdCKey,"&lt;"&amp;$AK1886)+1)</f>
        <v/>
      </c>
      <c r="AM1886">
        <f>IF($AL1886="","",$AE1886&amp;"|"&amp;RIGHT("000000"&amp;$AL1886,6))</f>
        <v/>
      </c>
      <c r="AN1886">
        <f>IF($AE1886="","",IF(Sync!$W1886="",0,Sync!$W1886))</f>
        <v/>
      </c>
      <c r="AO1886">
        <f>IF($AE1886="","",IF(Sync!$X1886="",0,Sync!$X1886))</f>
        <v/>
      </c>
      <c r="AP1886">
        <f>IF($AE1886="","",Sync!$R1886)</f>
        <v/>
      </c>
      <c r="AQ1886">
        <f>IF($AE1886="","",Sync!$Y1886)</f>
        <v/>
      </c>
    </row>
    <row r="1887">
      <c r="A1887">
        <f>IF(OR(Wages!$B1890="",Wages!$E1890=""),"",Wages!$E1890)</f>
        <v/>
      </c>
      <c r="B1887">
        <f>IF($A1887="","",IF(Wages!$C1890="دستمزد گروهی",2,1))</f>
        <v/>
      </c>
      <c r="C1887">
        <f>IF($A1887="","",IF(ISNUMBER(Wages!$B1890),IF(AND(Wages!$B1890&gt;=10000101,Wages!$B1890&lt;=99991231),INT(Wages!$B1890/10000),""),IFERROR(VALUE(TRIM(LEFT(Wages!$B1890,FIND("/",Wages!$B1890)-1))),"")))</f>
        <v/>
      </c>
      <c r="D1887">
        <f>IF(OR($A1887="",$C1887=""),"",IF(ISNUMBER(Wages!$B1890),INT(MOD(Wages!$B1890,10000)/100),IFERROR(VALUE(TRIM(LEFT(MID(Wages!$B1890,FIND("/",Wages!$B1890)+1,20),FIND("/",MID(Wages!$B1890,FIND("/",Wages!$B1890)+1,20))-1))),"")))</f>
        <v/>
      </c>
      <c r="E1887">
        <f>IF(OR($A1887="",$C1887=""),"",IF(ISNUMBER(Wages!$B1890),MOD(Wages!$B1890,100),IFERROR(VALUE(TRIM(MID(MID(Wages!$B1890,FIND("/",Wages!$B1890)+1,20),FIND("/",MID(Wages!$B1890,FIND("/",Wages!$B1890)+1,20))+1,20))),"")))</f>
        <v/>
      </c>
      <c r="F1887">
        <f>IF($A1887="","",IF(OR($C1887="",$D1887="",$E1887="",$C1887&lt;1300,$C1887&gt;1500,$D1887&lt;1,$D1887&gt;12,$E1887&lt;1,$E1887&gt;31),"نامعتبر",RIGHT("0000"&amp;$C1887,4)&amp;"/"&amp;RIGHT("00"&amp;$D1887,2)&amp;"/"&amp;RIGHT("00"&amp;$E1887,2)))</f>
        <v/>
      </c>
      <c r="G1887">
        <f>IF(OR($A1887="",$F1887="",$F1887="نامعتبر"),"",LEFT($F1887,4)&amp;MID($F1887,6,2)&amp;RIGHT($F1887,2)&amp;"0000"&amp;"|"&amp;"1"&amp;RIGHT("00000"&amp;1882,5))</f>
        <v/>
      </c>
      <c r="H1887">
        <f>IF(OR($B1887&lt;&gt;1,$G1887=""),"",COUNTIFS(LdAParty,$A1887,LdAType,1,LdAKey,"&lt;"&amp;$G1887)+COUNTIFS(LdBMember,$A1887,LdBKey,"&lt;"&amp;$G1887)+COUNTIFS(LdCParty,$A1887,LdCKey,"&lt;"&amp;$G1887)+1)</f>
        <v/>
      </c>
      <c r="I1887">
        <f>IF($H1887="","",$A1887&amp;"|"&amp;RIGHT("000000"&amp;$H1887,6))</f>
        <v/>
      </c>
      <c r="J1887">
        <f>IF(OR($B1887&lt;&gt;2,$G1887=""),"",COUNTIFS(LdAParty,$A1887,LdAType,2,LdAKey,"&lt;"&amp;$G1887)+1)</f>
        <v/>
      </c>
      <c r="K1887">
        <f>IF($J1887="","",$A1887&amp;"|"&amp;RIGHT("000000"&amp;$J1887,6))</f>
        <v/>
      </c>
      <c r="L1887">
        <f>IF($A1887="","",IF(Wages!$G1890="",0,Wages!$G1890))</f>
        <v/>
      </c>
      <c r="M1887">
        <f>IF($A1887="","",Wages!$J1890)</f>
        <v/>
      </c>
      <c r="N1887">
        <f>IF($A1887="","",Wages!$D1890)</f>
        <v/>
      </c>
      <c r="P1887">
        <f>IF(OR(Shares!$B1890="",Shares!$C1890=""),"",Shares!$C1890)</f>
        <v/>
      </c>
      <c r="Q1887">
        <f>IF($P1887="","",Shares!$B1890)</f>
        <v/>
      </c>
      <c r="R1887">
        <f>IF($P1887="","",IFERROR(INDEX(WageParty,MATCH($Q1887,WageIds,0)),""))</f>
        <v/>
      </c>
      <c r="S1887">
        <f>IF($P1887="","",IFERROR(INDEX($F$6:$F$2005,MATCH($Q1887,WageIds,0)),""))</f>
        <v/>
      </c>
      <c r="T1887">
        <f>IF(OR($P1887="",$S1887="",$S1887="نامعتبر"),"",LEFT($S1887,4)&amp;MID($S1887,6,2)&amp;RIGHT($S1887,2)&amp;"0000"&amp;"|"&amp;"2"&amp;RIGHT("00000"&amp;1882,5))</f>
        <v/>
      </c>
      <c r="U1887">
        <f>IF($T1887="","",COUNTIFS(LdAParty,$P1887,LdAType,1,LdAKey,"&lt;"&amp;$T1887)+COUNTIFS(LdBMember,$P1887,LdBKey,"&lt;"&amp;$T1887)+COUNTIFS(LdCParty,$P1887,LdCKey,"&lt;"&amp;$T1887)+1)</f>
        <v/>
      </c>
      <c r="V1887">
        <f>IF($U1887="","",$P1887&amp;"|"&amp;RIGHT("000000"&amp;$U1887,6))</f>
        <v/>
      </c>
      <c r="W1887">
        <f>IF($T1887="","",COUNTIFS(LdBGroup,$R1887,LdBKey,"&lt;"&amp;$T1887)+1)</f>
        <v/>
      </c>
      <c r="X1887">
        <f>IF($W1887="","",$R1887&amp;"|"&amp;RIGHT("000000"&amp;$W1887,6))</f>
        <v/>
      </c>
      <c r="Y1887">
        <f>IF($P1887="","",IF(Shares!$E1890="",0,Shares!$E1890))</f>
        <v/>
      </c>
      <c r="Z1887">
        <f>IF($P1887="","",Shares!$H1890)</f>
        <v/>
      </c>
      <c r="AE1887">
        <f>IF(OR(Sync!$S1887="",Sync!$P1887=""),"",Sync!$S1887)</f>
        <v/>
      </c>
      <c r="AF1887">
        <f>IF($AE1887="","",IF(ISNUMBER(Sync!$P1887),IF(AND(Sync!$P1887&gt;=10000101,Sync!$P1887&lt;=99991231),INT(Sync!$P1887/10000),""),IFERROR(VALUE(TRIM(LEFT(Sync!$P1887,FIND("/",Sync!$P1887)-1))),"")))</f>
        <v/>
      </c>
      <c r="AG1887">
        <f>IF(OR($AE1887="",$AF1887=""),"",IF(ISNUMBER(Sync!$P1887),INT(MOD(Sync!$P1887,10000)/100),IFERROR(VALUE(TRIM(LEFT(MID(Sync!$P1887,FIND("/",Sync!$P1887)+1,20),FIND("/",MID(Sync!$P1887,FIND("/",Sync!$P1887)+1,20))-1))),"")))</f>
        <v/>
      </c>
      <c r="AH1887">
        <f>IF(OR($AE1887="",$AF1887=""),"",IF(ISNUMBER(Sync!$P1887),MOD(Sync!$P1887,100),IFERROR(VALUE(TRIM(MID(MID(Sync!$P1887,FIND("/",Sync!$P1887)+1,20),FIND("/",MID(Sync!$P1887,FIND("/",Sync!$P1887)+1,20))+1,20))),"")))</f>
        <v/>
      </c>
      <c r="AI1887">
        <f>IF($AE1887="","",IF(OR($AF1887="",$AG1887="",$AH1887="",$AF1887&lt;1300,$AF1887&gt;1500,$AG1887&lt;1,$AG1887&gt;12,$AH1887&lt;1,$AH1887&gt;31),"نامعتبر",RIGHT("0000"&amp;$AF1887,4)&amp;"/"&amp;RIGHT("00"&amp;$AG1887,2)&amp;"/"&amp;RIGHT("00"&amp;$AH1887,2)))</f>
        <v/>
      </c>
      <c r="AJ1887">
        <f>IF($AE1887="","",IF(Sync!$Q1887="","0000",IF(AND(ISNUMBER(Sync!$Q1887),Sync!$Q1887&gt;=0,Sync!$Q1887&lt;1),RIGHT("00"&amp;HOUR(Sync!$Q1887),2)&amp;RIGHT("00"&amp;MINUTE(Sync!$Q1887),2),IFERROR(RIGHT("00"&amp;VALUE(LEFT(Sync!$Q1887,FIND(":",Sync!$Q1887)-1)),2)&amp;RIGHT("00"&amp;VALUE(MID(Sync!$Q1887,FIND(":",Sync!$Q1887)+1,2)),2),"0000"))))</f>
        <v/>
      </c>
      <c r="AK1887">
        <f>IF(OR($AE1887="",$AI1887="",$AI1887="نامعتبر"),"",LEFT($AI1887,4)&amp;MID($AI1887,6,2)&amp;RIGHT($AI1887,2)&amp;$AJ1887&amp;"|"&amp;"3"&amp;RIGHT("00000"&amp;1882,5))</f>
        <v/>
      </c>
      <c r="AL1887">
        <f>IF($AK1887="","",COUNTIFS(LdAParty,$AE1887,LdAType,1,LdAKey,"&lt;"&amp;$AK1887)+COUNTIFS(LdBMember,$AE1887,LdBKey,"&lt;"&amp;$AK1887)+COUNTIFS(LdCParty,$AE1887,LdCKey,"&lt;"&amp;$AK1887)+1)</f>
        <v/>
      </c>
      <c r="AM1887">
        <f>IF($AL1887="","",$AE1887&amp;"|"&amp;RIGHT("000000"&amp;$AL1887,6))</f>
        <v/>
      </c>
      <c r="AN1887">
        <f>IF($AE1887="","",IF(Sync!$W1887="",0,Sync!$W1887))</f>
        <v/>
      </c>
      <c r="AO1887">
        <f>IF($AE1887="","",IF(Sync!$X1887="",0,Sync!$X1887))</f>
        <v/>
      </c>
      <c r="AP1887">
        <f>IF($AE1887="","",Sync!$R1887)</f>
        <v/>
      </c>
      <c r="AQ1887">
        <f>IF($AE1887="","",Sync!$Y1887)</f>
        <v/>
      </c>
    </row>
    <row r="1888">
      <c r="A1888">
        <f>IF(OR(Wages!$B1891="",Wages!$E1891=""),"",Wages!$E1891)</f>
        <v/>
      </c>
      <c r="B1888">
        <f>IF($A1888="","",IF(Wages!$C1891="دستمزد گروهی",2,1))</f>
        <v/>
      </c>
      <c r="C1888">
        <f>IF($A1888="","",IF(ISNUMBER(Wages!$B1891),IF(AND(Wages!$B1891&gt;=10000101,Wages!$B1891&lt;=99991231),INT(Wages!$B1891/10000),""),IFERROR(VALUE(TRIM(LEFT(Wages!$B1891,FIND("/",Wages!$B1891)-1))),"")))</f>
        <v/>
      </c>
      <c r="D1888">
        <f>IF(OR($A1888="",$C1888=""),"",IF(ISNUMBER(Wages!$B1891),INT(MOD(Wages!$B1891,10000)/100),IFERROR(VALUE(TRIM(LEFT(MID(Wages!$B1891,FIND("/",Wages!$B1891)+1,20),FIND("/",MID(Wages!$B1891,FIND("/",Wages!$B1891)+1,20))-1))),"")))</f>
        <v/>
      </c>
      <c r="E1888">
        <f>IF(OR($A1888="",$C1888=""),"",IF(ISNUMBER(Wages!$B1891),MOD(Wages!$B1891,100),IFERROR(VALUE(TRIM(MID(MID(Wages!$B1891,FIND("/",Wages!$B1891)+1,20),FIND("/",MID(Wages!$B1891,FIND("/",Wages!$B1891)+1,20))+1,20))),"")))</f>
        <v/>
      </c>
      <c r="F1888">
        <f>IF($A1888="","",IF(OR($C1888="",$D1888="",$E1888="",$C1888&lt;1300,$C1888&gt;1500,$D1888&lt;1,$D1888&gt;12,$E1888&lt;1,$E1888&gt;31),"نامعتبر",RIGHT("0000"&amp;$C1888,4)&amp;"/"&amp;RIGHT("00"&amp;$D1888,2)&amp;"/"&amp;RIGHT("00"&amp;$E1888,2)))</f>
        <v/>
      </c>
      <c r="G1888">
        <f>IF(OR($A1888="",$F1888="",$F1888="نامعتبر"),"",LEFT($F1888,4)&amp;MID($F1888,6,2)&amp;RIGHT($F1888,2)&amp;"0000"&amp;"|"&amp;"1"&amp;RIGHT("00000"&amp;1883,5))</f>
        <v/>
      </c>
      <c r="H1888">
        <f>IF(OR($B1888&lt;&gt;1,$G1888=""),"",COUNTIFS(LdAParty,$A1888,LdAType,1,LdAKey,"&lt;"&amp;$G1888)+COUNTIFS(LdBMember,$A1888,LdBKey,"&lt;"&amp;$G1888)+COUNTIFS(LdCParty,$A1888,LdCKey,"&lt;"&amp;$G1888)+1)</f>
        <v/>
      </c>
      <c r="I1888">
        <f>IF($H1888="","",$A1888&amp;"|"&amp;RIGHT("000000"&amp;$H1888,6))</f>
        <v/>
      </c>
      <c r="J1888">
        <f>IF(OR($B1888&lt;&gt;2,$G1888=""),"",COUNTIFS(LdAParty,$A1888,LdAType,2,LdAKey,"&lt;"&amp;$G1888)+1)</f>
        <v/>
      </c>
      <c r="K1888">
        <f>IF($J1888="","",$A1888&amp;"|"&amp;RIGHT("000000"&amp;$J1888,6))</f>
        <v/>
      </c>
      <c r="L1888">
        <f>IF($A1888="","",IF(Wages!$G1891="",0,Wages!$G1891))</f>
        <v/>
      </c>
      <c r="M1888">
        <f>IF($A1888="","",Wages!$J1891)</f>
        <v/>
      </c>
      <c r="N1888">
        <f>IF($A1888="","",Wages!$D1891)</f>
        <v/>
      </c>
      <c r="P1888">
        <f>IF(OR(Shares!$B1891="",Shares!$C1891=""),"",Shares!$C1891)</f>
        <v/>
      </c>
      <c r="Q1888">
        <f>IF($P1888="","",Shares!$B1891)</f>
        <v/>
      </c>
      <c r="R1888">
        <f>IF($P1888="","",IFERROR(INDEX(WageParty,MATCH($Q1888,WageIds,0)),""))</f>
        <v/>
      </c>
      <c r="S1888">
        <f>IF($P1888="","",IFERROR(INDEX($F$6:$F$2005,MATCH($Q1888,WageIds,0)),""))</f>
        <v/>
      </c>
      <c r="T1888">
        <f>IF(OR($P1888="",$S1888="",$S1888="نامعتبر"),"",LEFT($S1888,4)&amp;MID($S1888,6,2)&amp;RIGHT($S1888,2)&amp;"0000"&amp;"|"&amp;"2"&amp;RIGHT("00000"&amp;1883,5))</f>
        <v/>
      </c>
      <c r="U1888">
        <f>IF($T1888="","",COUNTIFS(LdAParty,$P1888,LdAType,1,LdAKey,"&lt;"&amp;$T1888)+COUNTIFS(LdBMember,$P1888,LdBKey,"&lt;"&amp;$T1888)+COUNTIFS(LdCParty,$P1888,LdCKey,"&lt;"&amp;$T1888)+1)</f>
        <v/>
      </c>
      <c r="V1888">
        <f>IF($U1888="","",$P1888&amp;"|"&amp;RIGHT("000000"&amp;$U1888,6))</f>
        <v/>
      </c>
      <c r="W1888">
        <f>IF($T1888="","",COUNTIFS(LdBGroup,$R1888,LdBKey,"&lt;"&amp;$T1888)+1)</f>
        <v/>
      </c>
      <c r="X1888">
        <f>IF($W1888="","",$R1888&amp;"|"&amp;RIGHT("000000"&amp;$W1888,6))</f>
        <v/>
      </c>
      <c r="Y1888">
        <f>IF($P1888="","",IF(Shares!$E1891="",0,Shares!$E1891))</f>
        <v/>
      </c>
      <c r="Z1888">
        <f>IF($P1888="","",Shares!$H1891)</f>
        <v/>
      </c>
      <c r="AE1888">
        <f>IF(OR(Sync!$S1888="",Sync!$P1888=""),"",Sync!$S1888)</f>
        <v/>
      </c>
      <c r="AF1888">
        <f>IF($AE1888="","",IF(ISNUMBER(Sync!$P1888),IF(AND(Sync!$P1888&gt;=10000101,Sync!$P1888&lt;=99991231),INT(Sync!$P1888/10000),""),IFERROR(VALUE(TRIM(LEFT(Sync!$P1888,FIND("/",Sync!$P1888)-1))),"")))</f>
        <v/>
      </c>
      <c r="AG1888">
        <f>IF(OR($AE1888="",$AF1888=""),"",IF(ISNUMBER(Sync!$P1888),INT(MOD(Sync!$P1888,10000)/100),IFERROR(VALUE(TRIM(LEFT(MID(Sync!$P1888,FIND("/",Sync!$P1888)+1,20),FIND("/",MID(Sync!$P1888,FIND("/",Sync!$P1888)+1,20))-1))),"")))</f>
        <v/>
      </c>
      <c r="AH1888">
        <f>IF(OR($AE1888="",$AF1888=""),"",IF(ISNUMBER(Sync!$P1888),MOD(Sync!$P1888,100),IFERROR(VALUE(TRIM(MID(MID(Sync!$P1888,FIND("/",Sync!$P1888)+1,20),FIND("/",MID(Sync!$P1888,FIND("/",Sync!$P1888)+1,20))+1,20))),"")))</f>
        <v/>
      </c>
      <c r="AI1888">
        <f>IF($AE1888="","",IF(OR($AF1888="",$AG1888="",$AH1888="",$AF1888&lt;1300,$AF1888&gt;1500,$AG1888&lt;1,$AG1888&gt;12,$AH1888&lt;1,$AH1888&gt;31),"نامعتبر",RIGHT("0000"&amp;$AF1888,4)&amp;"/"&amp;RIGHT("00"&amp;$AG1888,2)&amp;"/"&amp;RIGHT("00"&amp;$AH1888,2)))</f>
        <v/>
      </c>
      <c r="AJ1888">
        <f>IF($AE1888="","",IF(Sync!$Q1888="","0000",IF(AND(ISNUMBER(Sync!$Q1888),Sync!$Q1888&gt;=0,Sync!$Q1888&lt;1),RIGHT("00"&amp;HOUR(Sync!$Q1888),2)&amp;RIGHT("00"&amp;MINUTE(Sync!$Q1888),2),IFERROR(RIGHT("00"&amp;VALUE(LEFT(Sync!$Q1888,FIND(":",Sync!$Q1888)-1)),2)&amp;RIGHT("00"&amp;VALUE(MID(Sync!$Q1888,FIND(":",Sync!$Q1888)+1,2)),2),"0000"))))</f>
        <v/>
      </c>
      <c r="AK1888">
        <f>IF(OR($AE1888="",$AI1888="",$AI1888="نامعتبر"),"",LEFT($AI1888,4)&amp;MID($AI1888,6,2)&amp;RIGHT($AI1888,2)&amp;$AJ1888&amp;"|"&amp;"3"&amp;RIGHT("00000"&amp;1883,5))</f>
        <v/>
      </c>
      <c r="AL1888">
        <f>IF($AK1888="","",COUNTIFS(LdAParty,$AE1888,LdAType,1,LdAKey,"&lt;"&amp;$AK1888)+COUNTIFS(LdBMember,$AE1888,LdBKey,"&lt;"&amp;$AK1888)+COUNTIFS(LdCParty,$AE1888,LdCKey,"&lt;"&amp;$AK1888)+1)</f>
        <v/>
      </c>
      <c r="AM1888">
        <f>IF($AL1888="","",$AE1888&amp;"|"&amp;RIGHT("000000"&amp;$AL1888,6))</f>
        <v/>
      </c>
      <c r="AN1888">
        <f>IF($AE1888="","",IF(Sync!$W1888="",0,Sync!$W1888))</f>
        <v/>
      </c>
      <c r="AO1888">
        <f>IF($AE1888="","",IF(Sync!$X1888="",0,Sync!$X1888))</f>
        <v/>
      </c>
      <c r="AP1888">
        <f>IF($AE1888="","",Sync!$R1888)</f>
        <v/>
      </c>
      <c r="AQ1888">
        <f>IF($AE1888="","",Sync!$Y1888)</f>
        <v/>
      </c>
    </row>
    <row r="1889">
      <c r="A1889">
        <f>IF(OR(Wages!$B1892="",Wages!$E1892=""),"",Wages!$E1892)</f>
        <v/>
      </c>
      <c r="B1889">
        <f>IF($A1889="","",IF(Wages!$C1892="دستمزد گروهی",2,1))</f>
        <v/>
      </c>
      <c r="C1889">
        <f>IF($A1889="","",IF(ISNUMBER(Wages!$B1892),IF(AND(Wages!$B1892&gt;=10000101,Wages!$B1892&lt;=99991231),INT(Wages!$B1892/10000),""),IFERROR(VALUE(TRIM(LEFT(Wages!$B1892,FIND("/",Wages!$B1892)-1))),"")))</f>
        <v/>
      </c>
      <c r="D1889">
        <f>IF(OR($A1889="",$C1889=""),"",IF(ISNUMBER(Wages!$B1892),INT(MOD(Wages!$B1892,10000)/100),IFERROR(VALUE(TRIM(LEFT(MID(Wages!$B1892,FIND("/",Wages!$B1892)+1,20),FIND("/",MID(Wages!$B1892,FIND("/",Wages!$B1892)+1,20))-1))),"")))</f>
        <v/>
      </c>
      <c r="E1889">
        <f>IF(OR($A1889="",$C1889=""),"",IF(ISNUMBER(Wages!$B1892),MOD(Wages!$B1892,100),IFERROR(VALUE(TRIM(MID(MID(Wages!$B1892,FIND("/",Wages!$B1892)+1,20),FIND("/",MID(Wages!$B1892,FIND("/",Wages!$B1892)+1,20))+1,20))),"")))</f>
        <v/>
      </c>
      <c r="F1889">
        <f>IF($A1889="","",IF(OR($C1889="",$D1889="",$E1889="",$C1889&lt;1300,$C1889&gt;1500,$D1889&lt;1,$D1889&gt;12,$E1889&lt;1,$E1889&gt;31),"نامعتبر",RIGHT("0000"&amp;$C1889,4)&amp;"/"&amp;RIGHT("00"&amp;$D1889,2)&amp;"/"&amp;RIGHT("00"&amp;$E1889,2)))</f>
        <v/>
      </c>
      <c r="G1889">
        <f>IF(OR($A1889="",$F1889="",$F1889="نامعتبر"),"",LEFT($F1889,4)&amp;MID($F1889,6,2)&amp;RIGHT($F1889,2)&amp;"0000"&amp;"|"&amp;"1"&amp;RIGHT("00000"&amp;1884,5))</f>
        <v/>
      </c>
      <c r="H1889">
        <f>IF(OR($B1889&lt;&gt;1,$G1889=""),"",COUNTIFS(LdAParty,$A1889,LdAType,1,LdAKey,"&lt;"&amp;$G1889)+COUNTIFS(LdBMember,$A1889,LdBKey,"&lt;"&amp;$G1889)+COUNTIFS(LdCParty,$A1889,LdCKey,"&lt;"&amp;$G1889)+1)</f>
        <v/>
      </c>
      <c r="I1889">
        <f>IF($H1889="","",$A1889&amp;"|"&amp;RIGHT("000000"&amp;$H1889,6))</f>
        <v/>
      </c>
      <c r="J1889">
        <f>IF(OR($B1889&lt;&gt;2,$G1889=""),"",COUNTIFS(LdAParty,$A1889,LdAType,2,LdAKey,"&lt;"&amp;$G1889)+1)</f>
        <v/>
      </c>
      <c r="K1889">
        <f>IF($J1889="","",$A1889&amp;"|"&amp;RIGHT("000000"&amp;$J1889,6))</f>
        <v/>
      </c>
      <c r="L1889">
        <f>IF($A1889="","",IF(Wages!$G1892="",0,Wages!$G1892))</f>
        <v/>
      </c>
      <c r="M1889">
        <f>IF($A1889="","",Wages!$J1892)</f>
        <v/>
      </c>
      <c r="N1889">
        <f>IF($A1889="","",Wages!$D1892)</f>
        <v/>
      </c>
      <c r="P1889">
        <f>IF(OR(Shares!$B1892="",Shares!$C1892=""),"",Shares!$C1892)</f>
        <v/>
      </c>
      <c r="Q1889">
        <f>IF($P1889="","",Shares!$B1892)</f>
        <v/>
      </c>
      <c r="R1889">
        <f>IF($P1889="","",IFERROR(INDEX(WageParty,MATCH($Q1889,WageIds,0)),""))</f>
        <v/>
      </c>
      <c r="S1889">
        <f>IF($P1889="","",IFERROR(INDEX($F$6:$F$2005,MATCH($Q1889,WageIds,0)),""))</f>
        <v/>
      </c>
      <c r="T1889">
        <f>IF(OR($P1889="",$S1889="",$S1889="نامعتبر"),"",LEFT($S1889,4)&amp;MID($S1889,6,2)&amp;RIGHT($S1889,2)&amp;"0000"&amp;"|"&amp;"2"&amp;RIGHT("00000"&amp;1884,5))</f>
        <v/>
      </c>
      <c r="U1889">
        <f>IF($T1889="","",COUNTIFS(LdAParty,$P1889,LdAType,1,LdAKey,"&lt;"&amp;$T1889)+COUNTIFS(LdBMember,$P1889,LdBKey,"&lt;"&amp;$T1889)+COUNTIFS(LdCParty,$P1889,LdCKey,"&lt;"&amp;$T1889)+1)</f>
        <v/>
      </c>
      <c r="V1889">
        <f>IF($U1889="","",$P1889&amp;"|"&amp;RIGHT("000000"&amp;$U1889,6))</f>
        <v/>
      </c>
      <c r="W1889">
        <f>IF($T1889="","",COUNTIFS(LdBGroup,$R1889,LdBKey,"&lt;"&amp;$T1889)+1)</f>
        <v/>
      </c>
      <c r="X1889">
        <f>IF($W1889="","",$R1889&amp;"|"&amp;RIGHT("000000"&amp;$W1889,6))</f>
        <v/>
      </c>
      <c r="Y1889">
        <f>IF($P1889="","",IF(Shares!$E1892="",0,Shares!$E1892))</f>
        <v/>
      </c>
      <c r="Z1889">
        <f>IF($P1889="","",Shares!$H1892)</f>
        <v/>
      </c>
      <c r="AE1889">
        <f>IF(OR(Sync!$S1889="",Sync!$P1889=""),"",Sync!$S1889)</f>
        <v/>
      </c>
      <c r="AF1889">
        <f>IF($AE1889="","",IF(ISNUMBER(Sync!$P1889),IF(AND(Sync!$P1889&gt;=10000101,Sync!$P1889&lt;=99991231),INT(Sync!$P1889/10000),""),IFERROR(VALUE(TRIM(LEFT(Sync!$P1889,FIND("/",Sync!$P1889)-1))),"")))</f>
        <v/>
      </c>
      <c r="AG1889">
        <f>IF(OR($AE1889="",$AF1889=""),"",IF(ISNUMBER(Sync!$P1889),INT(MOD(Sync!$P1889,10000)/100),IFERROR(VALUE(TRIM(LEFT(MID(Sync!$P1889,FIND("/",Sync!$P1889)+1,20),FIND("/",MID(Sync!$P1889,FIND("/",Sync!$P1889)+1,20))-1))),"")))</f>
        <v/>
      </c>
      <c r="AH1889">
        <f>IF(OR($AE1889="",$AF1889=""),"",IF(ISNUMBER(Sync!$P1889),MOD(Sync!$P1889,100),IFERROR(VALUE(TRIM(MID(MID(Sync!$P1889,FIND("/",Sync!$P1889)+1,20),FIND("/",MID(Sync!$P1889,FIND("/",Sync!$P1889)+1,20))+1,20))),"")))</f>
        <v/>
      </c>
      <c r="AI1889">
        <f>IF($AE1889="","",IF(OR($AF1889="",$AG1889="",$AH1889="",$AF1889&lt;1300,$AF1889&gt;1500,$AG1889&lt;1,$AG1889&gt;12,$AH1889&lt;1,$AH1889&gt;31),"نامعتبر",RIGHT("0000"&amp;$AF1889,4)&amp;"/"&amp;RIGHT("00"&amp;$AG1889,2)&amp;"/"&amp;RIGHT("00"&amp;$AH1889,2)))</f>
        <v/>
      </c>
      <c r="AJ1889">
        <f>IF($AE1889="","",IF(Sync!$Q1889="","0000",IF(AND(ISNUMBER(Sync!$Q1889),Sync!$Q1889&gt;=0,Sync!$Q1889&lt;1),RIGHT("00"&amp;HOUR(Sync!$Q1889),2)&amp;RIGHT("00"&amp;MINUTE(Sync!$Q1889),2),IFERROR(RIGHT("00"&amp;VALUE(LEFT(Sync!$Q1889,FIND(":",Sync!$Q1889)-1)),2)&amp;RIGHT("00"&amp;VALUE(MID(Sync!$Q1889,FIND(":",Sync!$Q1889)+1,2)),2),"0000"))))</f>
        <v/>
      </c>
      <c r="AK1889">
        <f>IF(OR($AE1889="",$AI1889="",$AI1889="نامعتبر"),"",LEFT($AI1889,4)&amp;MID($AI1889,6,2)&amp;RIGHT($AI1889,2)&amp;$AJ1889&amp;"|"&amp;"3"&amp;RIGHT("00000"&amp;1884,5))</f>
        <v/>
      </c>
      <c r="AL1889">
        <f>IF($AK1889="","",COUNTIFS(LdAParty,$AE1889,LdAType,1,LdAKey,"&lt;"&amp;$AK1889)+COUNTIFS(LdBMember,$AE1889,LdBKey,"&lt;"&amp;$AK1889)+COUNTIFS(LdCParty,$AE1889,LdCKey,"&lt;"&amp;$AK1889)+1)</f>
        <v/>
      </c>
      <c r="AM1889">
        <f>IF($AL1889="","",$AE1889&amp;"|"&amp;RIGHT("000000"&amp;$AL1889,6))</f>
        <v/>
      </c>
      <c r="AN1889">
        <f>IF($AE1889="","",IF(Sync!$W1889="",0,Sync!$W1889))</f>
        <v/>
      </c>
      <c r="AO1889">
        <f>IF($AE1889="","",IF(Sync!$X1889="",0,Sync!$X1889))</f>
        <v/>
      </c>
      <c r="AP1889">
        <f>IF($AE1889="","",Sync!$R1889)</f>
        <v/>
      </c>
      <c r="AQ1889">
        <f>IF($AE1889="","",Sync!$Y1889)</f>
        <v/>
      </c>
    </row>
    <row r="1890">
      <c r="A1890">
        <f>IF(OR(Wages!$B1893="",Wages!$E1893=""),"",Wages!$E1893)</f>
        <v/>
      </c>
      <c r="B1890">
        <f>IF($A1890="","",IF(Wages!$C1893="دستمزد گروهی",2,1))</f>
        <v/>
      </c>
      <c r="C1890">
        <f>IF($A1890="","",IF(ISNUMBER(Wages!$B1893),IF(AND(Wages!$B1893&gt;=10000101,Wages!$B1893&lt;=99991231),INT(Wages!$B1893/10000),""),IFERROR(VALUE(TRIM(LEFT(Wages!$B1893,FIND("/",Wages!$B1893)-1))),"")))</f>
        <v/>
      </c>
      <c r="D1890">
        <f>IF(OR($A1890="",$C1890=""),"",IF(ISNUMBER(Wages!$B1893),INT(MOD(Wages!$B1893,10000)/100),IFERROR(VALUE(TRIM(LEFT(MID(Wages!$B1893,FIND("/",Wages!$B1893)+1,20),FIND("/",MID(Wages!$B1893,FIND("/",Wages!$B1893)+1,20))-1))),"")))</f>
        <v/>
      </c>
      <c r="E1890">
        <f>IF(OR($A1890="",$C1890=""),"",IF(ISNUMBER(Wages!$B1893),MOD(Wages!$B1893,100),IFERROR(VALUE(TRIM(MID(MID(Wages!$B1893,FIND("/",Wages!$B1893)+1,20),FIND("/",MID(Wages!$B1893,FIND("/",Wages!$B1893)+1,20))+1,20))),"")))</f>
        <v/>
      </c>
      <c r="F1890">
        <f>IF($A1890="","",IF(OR($C1890="",$D1890="",$E1890="",$C1890&lt;1300,$C1890&gt;1500,$D1890&lt;1,$D1890&gt;12,$E1890&lt;1,$E1890&gt;31),"نامعتبر",RIGHT("0000"&amp;$C1890,4)&amp;"/"&amp;RIGHT("00"&amp;$D1890,2)&amp;"/"&amp;RIGHT("00"&amp;$E1890,2)))</f>
        <v/>
      </c>
      <c r="G1890">
        <f>IF(OR($A1890="",$F1890="",$F1890="نامعتبر"),"",LEFT($F1890,4)&amp;MID($F1890,6,2)&amp;RIGHT($F1890,2)&amp;"0000"&amp;"|"&amp;"1"&amp;RIGHT("00000"&amp;1885,5))</f>
        <v/>
      </c>
      <c r="H1890">
        <f>IF(OR($B1890&lt;&gt;1,$G1890=""),"",COUNTIFS(LdAParty,$A1890,LdAType,1,LdAKey,"&lt;"&amp;$G1890)+COUNTIFS(LdBMember,$A1890,LdBKey,"&lt;"&amp;$G1890)+COUNTIFS(LdCParty,$A1890,LdCKey,"&lt;"&amp;$G1890)+1)</f>
        <v/>
      </c>
      <c r="I1890">
        <f>IF($H1890="","",$A1890&amp;"|"&amp;RIGHT("000000"&amp;$H1890,6))</f>
        <v/>
      </c>
      <c r="J1890">
        <f>IF(OR($B1890&lt;&gt;2,$G1890=""),"",COUNTIFS(LdAParty,$A1890,LdAType,2,LdAKey,"&lt;"&amp;$G1890)+1)</f>
        <v/>
      </c>
      <c r="K1890">
        <f>IF($J1890="","",$A1890&amp;"|"&amp;RIGHT("000000"&amp;$J1890,6))</f>
        <v/>
      </c>
      <c r="L1890">
        <f>IF($A1890="","",IF(Wages!$G1893="",0,Wages!$G1893))</f>
        <v/>
      </c>
      <c r="M1890">
        <f>IF($A1890="","",Wages!$J1893)</f>
        <v/>
      </c>
      <c r="N1890">
        <f>IF($A1890="","",Wages!$D1893)</f>
        <v/>
      </c>
      <c r="P1890">
        <f>IF(OR(Shares!$B1893="",Shares!$C1893=""),"",Shares!$C1893)</f>
        <v/>
      </c>
      <c r="Q1890">
        <f>IF($P1890="","",Shares!$B1893)</f>
        <v/>
      </c>
      <c r="R1890">
        <f>IF($P1890="","",IFERROR(INDEX(WageParty,MATCH($Q1890,WageIds,0)),""))</f>
        <v/>
      </c>
      <c r="S1890">
        <f>IF($P1890="","",IFERROR(INDEX($F$6:$F$2005,MATCH($Q1890,WageIds,0)),""))</f>
        <v/>
      </c>
      <c r="T1890">
        <f>IF(OR($P1890="",$S1890="",$S1890="نامعتبر"),"",LEFT($S1890,4)&amp;MID($S1890,6,2)&amp;RIGHT($S1890,2)&amp;"0000"&amp;"|"&amp;"2"&amp;RIGHT("00000"&amp;1885,5))</f>
        <v/>
      </c>
      <c r="U1890">
        <f>IF($T1890="","",COUNTIFS(LdAParty,$P1890,LdAType,1,LdAKey,"&lt;"&amp;$T1890)+COUNTIFS(LdBMember,$P1890,LdBKey,"&lt;"&amp;$T1890)+COUNTIFS(LdCParty,$P1890,LdCKey,"&lt;"&amp;$T1890)+1)</f>
        <v/>
      </c>
      <c r="V1890">
        <f>IF($U1890="","",$P1890&amp;"|"&amp;RIGHT("000000"&amp;$U1890,6))</f>
        <v/>
      </c>
      <c r="W1890">
        <f>IF($T1890="","",COUNTIFS(LdBGroup,$R1890,LdBKey,"&lt;"&amp;$T1890)+1)</f>
        <v/>
      </c>
      <c r="X1890">
        <f>IF($W1890="","",$R1890&amp;"|"&amp;RIGHT("000000"&amp;$W1890,6))</f>
        <v/>
      </c>
      <c r="Y1890">
        <f>IF($P1890="","",IF(Shares!$E1893="",0,Shares!$E1893))</f>
        <v/>
      </c>
      <c r="Z1890">
        <f>IF($P1890="","",Shares!$H1893)</f>
        <v/>
      </c>
      <c r="AE1890">
        <f>IF(OR(Sync!$S1890="",Sync!$P1890=""),"",Sync!$S1890)</f>
        <v/>
      </c>
      <c r="AF1890">
        <f>IF($AE1890="","",IF(ISNUMBER(Sync!$P1890),IF(AND(Sync!$P1890&gt;=10000101,Sync!$P1890&lt;=99991231),INT(Sync!$P1890/10000),""),IFERROR(VALUE(TRIM(LEFT(Sync!$P1890,FIND("/",Sync!$P1890)-1))),"")))</f>
        <v/>
      </c>
      <c r="AG1890">
        <f>IF(OR($AE1890="",$AF1890=""),"",IF(ISNUMBER(Sync!$P1890),INT(MOD(Sync!$P1890,10000)/100),IFERROR(VALUE(TRIM(LEFT(MID(Sync!$P1890,FIND("/",Sync!$P1890)+1,20),FIND("/",MID(Sync!$P1890,FIND("/",Sync!$P1890)+1,20))-1))),"")))</f>
        <v/>
      </c>
      <c r="AH1890">
        <f>IF(OR($AE1890="",$AF1890=""),"",IF(ISNUMBER(Sync!$P1890),MOD(Sync!$P1890,100),IFERROR(VALUE(TRIM(MID(MID(Sync!$P1890,FIND("/",Sync!$P1890)+1,20),FIND("/",MID(Sync!$P1890,FIND("/",Sync!$P1890)+1,20))+1,20))),"")))</f>
        <v/>
      </c>
      <c r="AI1890">
        <f>IF($AE1890="","",IF(OR($AF1890="",$AG1890="",$AH1890="",$AF1890&lt;1300,$AF1890&gt;1500,$AG1890&lt;1,$AG1890&gt;12,$AH1890&lt;1,$AH1890&gt;31),"نامعتبر",RIGHT("0000"&amp;$AF1890,4)&amp;"/"&amp;RIGHT("00"&amp;$AG1890,2)&amp;"/"&amp;RIGHT("00"&amp;$AH1890,2)))</f>
        <v/>
      </c>
      <c r="AJ1890">
        <f>IF($AE1890="","",IF(Sync!$Q1890="","0000",IF(AND(ISNUMBER(Sync!$Q1890),Sync!$Q1890&gt;=0,Sync!$Q1890&lt;1),RIGHT("00"&amp;HOUR(Sync!$Q1890),2)&amp;RIGHT("00"&amp;MINUTE(Sync!$Q1890),2),IFERROR(RIGHT("00"&amp;VALUE(LEFT(Sync!$Q1890,FIND(":",Sync!$Q1890)-1)),2)&amp;RIGHT("00"&amp;VALUE(MID(Sync!$Q1890,FIND(":",Sync!$Q1890)+1,2)),2),"0000"))))</f>
        <v/>
      </c>
      <c r="AK1890">
        <f>IF(OR($AE1890="",$AI1890="",$AI1890="نامعتبر"),"",LEFT($AI1890,4)&amp;MID($AI1890,6,2)&amp;RIGHT($AI1890,2)&amp;$AJ1890&amp;"|"&amp;"3"&amp;RIGHT("00000"&amp;1885,5))</f>
        <v/>
      </c>
      <c r="AL1890">
        <f>IF($AK1890="","",COUNTIFS(LdAParty,$AE1890,LdAType,1,LdAKey,"&lt;"&amp;$AK1890)+COUNTIFS(LdBMember,$AE1890,LdBKey,"&lt;"&amp;$AK1890)+COUNTIFS(LdCParty,$AE1890,LdCKey,"&lt;"&amp;$AK1890)+1)</f>
        <v/>
      </c>
      <c r="AM1890">
        <f>IF($AL1890="","",$AE1890&amp;"|"&amp;RIGHT("000000"&amp;$AL1890,6))</f>
        <v/>
      </c>
      <c r="AN1890">
        <f>IF($AE1890="","",IF(Sync!$W1890="",0,Sync!$W1890))</f>
        <v/>
      </c>
      <c r="AO1890">
        <f>IF($AE1890="","",IF(Sync!$X1890="",0,Sync!$X1890))</f>
        <v/>
      </c>
      <c r="AP1890">
        <f>IF($AE1890="","",Sync!$R1890)</f>
        <v/>
      </c>
      <c r="AQ1890">
        <f>IF($AE1890="","",Sync!$Y1890)</f>
        <v/>
      </c>
    </row>
    <row r="1891">
      <c r="A1891">
        <f>IF(OR(Wages!$B1894="",Wages!$E1894=""),"",Wages!$E1894)</f>
        <v/>
      </c>
      <c r="B1891">
        <f>IF($A1891="","",IF(Wages!$C1894="دستمزد گروهی",2,1))</f>
        <v/>
      </c>
      <c r="C1891">
        <f>IF($A1891="","",IF(ISNUMBER(Wages!$B1894),IF(AND(Wages!$B1894&gt;=10000101,Wages!$B1894&lt;=99991231),INT(Wages!$B1894/10000),""),IFERROR(VALUE(TRIM(LEFT(Wages!$B1894,FIND("/",Wages!$B1894)-1))),"")))</f>
        <v/>
      </c>
      <c r="D1891">
        <f>IF(OR($A1891="",$C1891=""),"",IF(ISNUMBER(Wages!$B1894),INT(MOD(Wages!$B1894,10000)/100),IFERROR(VALUE(TRIM(LEFT(MID(Wages!$B1894,FIND("/",Wages!$B1894)+1,20),FIND("/",MID(Wages!$B1894,FIND("/",Wages!$B1894)+1,20))-1))),"")))</f>
        <v/>
      </c>
      <c r="E1891">
        <f>IF(OR($A1891="",$C1891=""),"",IF(ISNUMBER(Wages!$B1894),MOD(Wages!$B1894,100),IFERROR(VALUE(TRIM(MID(MID(Wages!$B1894,FIND("/",Wages!$B1894)+1,20),FIND("/",MID(Wages!$B1894,FIND("/",Wages!$B1894)+1,20))+1,20))),"")))</f>
        <v/>
      </c>
      <c r="F1891">
        <f>IF($A1891="","",IF(OR($C1891="",$D1891="",$E1891="",$C1891&lt;1300,$C1891&gt;1500,$D1891&lt;1,$D1891&gt;12,$E1891&lt;1,$E1891&gt;31),"نامعتبر",RIGHT("0000"&amp;$C1891,4)&amp;"/"&amp;RIGHT("00"&amp;$D1891,2)&amp;"/"&amp;RIGHT("00"&amp;$E1891,2)))</f>
        <v/>
      </c>
      <c r="G1891">
        <f>IF(OR($A1891="",$F1891="",$F1891="نامعتبر"),"",LEFT($F1891,4)&amp;MID($F1891,6,2)&amp;RIGHT($F1891,2)&amp;"0000"&amp;"|"&amp;"1"&amp;RIGHT("00000"&amp;1886,5))</f>
        <v/>
      </c>
      <c r="H1891">
        <f>IF(OR($B1891&lt;&gt;1,$G1891=""),"",COUNTIFS(LdAParty,$A1891,LdAType,1,LdAKey,"&lt;"&amp;$G1891)+COUNTIFS(LdBMember,$A1891,LdBKey,"&lt;"&amp;$G1891)+COUNTIFS(LdCParty,$A1891,LdCKey,"&lt;"&amp;$G1891)+1)</f>
        <v/>
      </c>
      <c r="I1891">
        <f>IF($H1891="","",$A1891&amp;"|"&amp;RIGHT("000000"&amp;$H1891,6))</f>
        <v/>
      </c>
      <c r="J1891">
        <f>IF(OR($B1891&lt;&gt;2,$G1891=""),"",COUNTIFS(LdAParty,$A1891,LdAType,2,LdAKey,"&lt;"&amp;$G1891)+1)</f>
        <v/>
      </c>
      <c r="K1891">
        <f>IF($J1891="","",$A1891&amp;"|"&amp;RIGHT("000000"&amp;$J1891,6))</f>
        <v/>
      </c>
      <c r="L1891">
        <f>IF($A1891="","",IF(Wages!$G1894="",0,Wages!$G1894))</f>
        <v/>
      </c>
      <c r="M1891">
        <f>IF($A1891="","",Wages!$J1894)</f>
        <v/>
      </c>
      <c r="N1891">
        <f>IF($A1891="","",Wages!$D1894)</f>
        <v/>
      </c>
      <c r="P1891">
        <f>IF(OR(Shares!$B1894="",Shares!$C1894=""),"",Shares!$C1894)</f>
        <v/>
      </c>
      <c r="Q1891">
        <f>IF($P1891="","",Shares!$B1894)</f>
        <v/>
      </c>
      <c r="R1891">
        <f>IF($P1891="","",IFERROR(INDEX(WageParty,MATCH($Q1891,WageIds,0)),""))</f>
        <v/>
      </c>
      <c r="S1891">
        <f>IF($P1891="","",IFERROR(INDEX($F$6:$F$2005,MATCH($Q1891,WageIds,0)),""))</f>
        <v/>
      </c>
      <c r="T1891">
        <f>IF(OR($P1891="",$S1891="",$S1891="نامعتبر"),"",LEFT($S1891,4)&amp;MID($S1891,6,2)&amp;RIGHT($S1891,2)&amp;"0000"&amp;"|"&amp;"2"&amp;RIGHT("00000"&amp;1886,5))</f>
        <v/>
      </c>
      <c r="U1891">
        <f>IF($T1891="","",COUNTIFS(LdAParty,$P1891,LdAType,1,LdAKey,"&lt;"&amp;$T1891)+COUNTIFS(LdBMember,$P1891,LdBKey,"&lt;"&amp;$T1891)+COUNTIFS(LdCParty,$P1891,LdCKey,"&lt;"&amp;$T1891)+1)</f>
        <v/>
      </c>
      <c r="V1891">
        <f>IF($U1891="","",$P1891&amp;"|"&amp;RIGHT("000000"&amp;$U1891,6))</f>
        <v/>
      </c>
      <c r="W1891">
        <f>IF($T1891="","",COUNTIFS(LdBGroup,$R1891,LdBKey,"&lt;"&amp;$T1891)+1)</f>
        <v/>
      </c>
      <c r="X1891">
        <f>IF($W1891="","",$R1891&amp;"|"&amp;RIGHT("000000"&amp;$W1891,6))</f>
        <v/>
      </c>
      <c r="Y1891">
        <f>IF($P1891="","",IF(Shares!$E1894="",0,Shares!$E1894))</f>
        <v/>
      </c>
      <c r="Z1891">
        <f>IF($P1891="","",Shares!$H1894)</f>
        <v/>
      </c>
      <c r="AE1891">
        <f>IF(OR(Sync!$S1891="",Sync!$P1891=""),"",Sync!$S1891)</f>
        <v/>
      </c>
      <c r="AF1891">
        <f>IF($AE1891="","",IF(ISNUMBER(Sync!$P1891),IF(AND(Sync!$P1891&gt;=10000101,Sync!$P1891&lt;=99991231),INT(Sync!$P1891/10000),""),IFERROR(VALUE(TRIM(LEFT(Sync!$P1891,FIND("/",Sync!$P1891)-1))),"")))</f>
        <v/>
      </c>
      <c r="AG1891">
        <f>IF(OR($AE1891="",$AF1891=""),"",IF(ISNUMBER(Sync!$P1891),INT(MOD(Sync!$P1891,10000)/100),IFERROR(VALUE(TRIM(LEFT(MID(Sync!$P1891,FIND("/",Sync!$P1891)+1,20),FIND("/",MID(Sync!$P1891,FIND("/",Sync!$P1891)+1,20))-1))),"")))</f>
        <v/>
      </c>
      <c r="AH1891">
        <f>IF(OR($AE1891="",$AF1891=""),"",IF(ISNUMBER(Sync!$P1891),MOD(Sync!$P1891,100),IFERROR(VALUE(TRIM(MID(MID(Sync!$P1891,FIND("/",Sync!$P1891)+1,20),FIND("/",MID(Sync!$P1891,FIND("/",Sync!$P1891)+1,20))+1,20))),"")))</f>
        <v/>
      </c>
      <c r="AI1891">
        <f>IF($AE1891="","",IF(OR($AF1891="",$AG1891="",$AH1891="",$AF1891&lt;1300,$AF1891&gt;1500,$AG1891&lt;1,$AG1891&gt;12,$AH1891&lt;1,$AH1891&gt;31),"نامعتبر",RIGHT("0000"&amp;$AF1891,4)&amp;"/"&amp;RIGHT("00"&amp;$AG1891,2)&amp;"/"&amp;RIGHT("00"&amp;$AH1891,2)))</f>
        <v/>
      </c>
      <c r="AJ1891">
        <f>IF($AE1891="","",IF(Sync!$Q1891="","0000",IF(AND(ISNUMBER(Sync!$Q1891),Sync!$Q1891&gt;=0,Sync!$Q1891&lt;1),RIGHT("00"&amp;HOUR(Sync!$Q1891),2)&amp;RIGHT("00"&amp;MINUTE(Sync!$Q1891),2),IFERROR(RIGHT("00"&amp;VALUE(LEFT(Sync!$Q1891,FIND(":",Sync!$Q1891)-1)),2)&amp;RIGHT("00"&amp;VALUE(MID(Sync!$Q1891,FIND(":",Sync!$Q1891)+1,2)),2),"0000"))))</f>
        <v/>
      </c>
      <c r="AK1891">
        <f>IF(OR($AE1891="",$AI1891="",$AI1891="نامعتبر"),"",LEFT($AI1891,4)&amp;MID($AI1891,6,2)&amp;RIGHT($AI1891,2)&amp;$AJ1891&amp;"|"&amp;"3"&amp;RIGHT("00000"&amp;1886,5))</f>
        <v/>
      </c>
      <c r="AL1891">
        <f>IF($AK1891="","",COUNTIFS(LdAParty,$AE1891,LdAType,1,LdAKey,"&lt;"&amp;$AK1891)+COUNTIFS(LdBMember,$AE1891,LdBKey,"&lt;"&amp;$AK1891)+COUNTIFS(LdCParty,$AE1891,LdCKey,"&lt;"&amp;$AK1891)+1)</f>
        <v/>
      </c>
      <c r="AM1891">
        <f>IF($AL1891="","",$AE1891&amp;"|"&amp;RIGHT("000000"&amp;$AL1891,6))</f>
        <v/>
      </c>
      <c r="AN1891">
        <f>IF($AE1891="","",IF(Sync!$W1891="",0,Sync!$W1891))</f>
        <v/>
      </c>
      <c r="AO1891">
        <f>IF($AE1891="","",IF(Sync!$X1891="",0,Sync!$X1891))</f>
        <v/>
      </c>
      <c r="AP1891">
        <f>IF($AE1891="","",Sync!$R1891)</f>
        <v/>
      </c>
      <c r="AQ1891">
        <f>IF($AE1891="","",Sync!$Y1891)</f>
        <v/>
      </c>
    </row>
    <row r="1892">
      <c r="A1892">
        <f>IF(OR(Wages!$B1895="",Wages!$E1895=""),"",Wages!$E1895)</f>
        <v/>
      </c>
      <c r="B1892">
        <f>IF($A1892="","",IF(Wages!$C1895="دستمزد گروهی",2,1))</f>
        <v/>
      </c>
      <c r="C1892">
        <f>IF($A1892="","",IF(ISNUMBER(Wages!$B1895),IF(AND(Wages!$B1895&gt;=10000101,Wages!$B1895&lt;=99991231),INT(Wages!$B1895/10000),""),IFERROR(VALUE(TRIM(LEFT(Wages!$B1895,FIND("/",Wages!$B1895)-1))),"")))</f>
        <v/>
      </c>
      <c r="D1892">
        <f>IF(OR($A1892="",$C1892=""),"",IF(ISNUMBER(Wages!$B1895),INT(MOD(Wages!$B1895,10000)/100),IFERROR(VALUE(TRIM(LEFT(MID(Wages!$B1895,FIND("/",Wages!$B1895)+1,20),FIND("/",MID(Wages!$B1895,FIND("/",Wages!$B1895)+1,20))-1))),"")))</f>
        <v/>
      </c>
      <c r="E1892">
        <f>IF(OR($A1892="",$C1892=""),"",IF(ISNUMBER(Wages!$B1895),MOD(Wages!$B1895,100),IFERROR(VALUE(TRIM(MID(MID(Wages!$B1895,FIND("/",Wages!$B1895)+1,20),FIND("/",MID(Wages!$B1895,FIND("/",Wages!$B1895)+1,20))+1,20))),"")))</f>
        <v/>
      </c>
      <c r="F1892">
        <f>IF($A1892="","",IF(OR($C1892="",$D1892="",$E1892="",$C1892&lt;1300,$C1892&gt;1500,$D1892&lt;1,$D1892&gt;12,$E1892&lt;1,$E1892&gt;31),"نامعتبر",RIGHT("0000"&amp;$C1892,4)&amp;"/"&amp;RIGHT("00"&amp;$D1892,2)&amp;"/"&amp;RIGHT("00"&amp;$E1892,2)))</f>
        <v/>
      </c>
      <c r="G1892">
        <f>IF(OR($A1892="",$F1892="",$F1892="نامعتبر"),"",LEFT($F1892,4)&amp;MID($F1892,6,2)&amp;RIGHT($F1892,2)&amp;"0000"&amp;"|"&amp;"1"&amp;RIGHT("00000"&amp;1887,5))</f>
        <v/>
      </c>
      <c r="H1892">
        <f>IF(OR($B1892&lt;&gt;1,$G1892=""),"",COUNTIFS(LdAParty,$A1892,LdAType,1,LdAKey,"&lt;"&amp;$G1892)+COUNTIFS(LdBMember,$A1892,LdBKey,"&lt;"&amp;$G1892)+COUNTIFS(LdCParty,$A1892,LdCKey,"&lt;"&amp;$G1892)+1)</f>
        <v/>
      </c>
      <c r="I1892">
        <f>IF($H1892="","",$A1892&amp;"|"&amp;RIGHT("000000"&amp;$H1892,6))</f>
        <v/>
      </c>
      <c r="J1892">
        <f>IF(OR($B1892&lt;&gt;2,$G1892=""),"",COUNTIFS(LdAParty,$A1892,LdAType,2,LdAKey,"&lt;"&amp;$G1892)+1)</f>
        <v/>
      </c>
      <c r="K1892">
        <f>IF($J1892="","",$A1892&amp;"|"&amp;RIGHT("000000"&amp;$J1892,6))</f>
        <v/>
      </c>
      <c r="L1892">
        <f>IF($A1892="","",IF(Wages!$G1895="",0,Wages!$G1895))</f>
        <v/>
      </c>
      <c r="M1892">
        <f>IF($A1892="","",Wages!$J1895)</f>
        <v/>
      </c>
      <c r="N1892">
        <f>IF($A1892="","",Wages!$D1895)</f>
        <v/>
      </c>
      <c r="P1892">
        <f>IF(OR(Shares!$B1895="",Shares!$C1895=""),"",Shares!$C1895)</f>
        <v/>
      </c>
      <c r="Q1892">
        <f>IF($P1892="","",Shares!$B1895)</f>
        <v/>
      </c>
      <c r="R1892">
        <f>IF($P1892="","",IFERROR(INDEX(WageParty,MATCH($Q1892,WageIds,0)),""))</f>
        <v/>
      </c>
      <c r="S1892">
        <f>IF($P1892="","",IFERROR(INDEX($F$6:$F$2005,MATCH($Q1892,WageIds,0)),""))</f>
        <v/>
      </c>
      <c r="T1892">
        <f>IF(OR($P1892="",$S1892="",$S1892="نامعتبر"),"",LEFT($S1892,4)&amp;MID($S1892,6,2)&amp;RIGHT($S1892,2)&amp;"0000"&amp;"|"&amp;"2"&amp;RIGHT("00000"&amp;1887,5))</f>
        <v/>
      </c>
      <c r="U1892">
        <f>IF($T1892="","",COUNTIFS(LdAParty,$P1892,LdAType,1,LdAKey,"&lt;"&amp;$T1892)+COUNTIFS(LdBMember,$P1892,LdBKey,"&lt;"&amp;$T1892)+COUNTIFS(LdCParty,$P1892,LdCKey,"&lt;"&amp;$T1892)+1)</f>
        <v/>
      </c>
      <c r="V1892">
        <f>IF($U1892="","",$P1892&amp;"|"&amp;RIGHT("000000"&amp;$U1892,6))</f>
        <v/>
      </c>
      <c r="W1892">
        <f>IF($T1892="","",COUNTIFS(LdBGroup,$R1892,LdBKey,"&lt;"&amp;$T1892)+1)</f>
        <v/>
      </c>
      <c r="X1892">
        <f>IF($W1892="","",$R1892&amp;"|"&amp;RIGHT("000000"&amp;$W1892,6))</f>
        <v/>
      </c>
      <c r="Y1892">
        <f>IF($P1892="","",IF(Shares!$E1895="",0,Shares!$E1895))</f>
        <v/>
      </c>
      <c r="Z1892">
        <f>IF($P1892="","",Shares!$H1895)</f>
        <v/>
      </c>
      <c r="AE1892">
        <f>IF(OR(Sync!$S1892="",Sync!$P1892=""),"",Sync!$S1892)</f>
        <v/>
      </c>
      <c r="AF1892">
        <f>IF($AE1892="","",IF(ISNUMBER(Sync!$P1892),IF(AND(Sync!$P1892&gt;=10000101,Sync!$P1892&lt;=99991231),INT(Sync!$P1892/10000),""),IFERROR(VALUE(TRIM(LEFT(Sync!$P1892,FIND("/",Sync!$P1892)-1))),"")))</f>
        <v/>
      </c>
      <c r="AG1892">
        <f>IF(OR($AE1892="",$AF1892=""),"",IF(ISNUMBER(Sync!$P1892),INT(MOD(Sync!$P1892,10000)/100),IFERROR(VALUE(TRIM(LEFT(MID(Sync!$P1892,FIND("/",Sync!$P1892)+1,20),FIND("/",MID(Sync!$P1892,FIND("/",Sync!$P1892)+1,20))-1))),"")))</f>
        <v/>
      </c>
      <c r="AH1892">
        <f>IF(OR($AE1892="",$AF1892=""),"",IF(ISNUMBER(Sync!$P1892),MOD(Sync!$P1892,100),IFERROR(VALUE(TRIM(MID(MID(Sync!$P1892,FIND("/",Sync!$P1892)+1,20),FIND("/",MID(Sync!$P1892,FIND("/",Sync!$P1892)+1,20))+1,20))),"")))</f>
        <v/>
      </c>
      <c r="AI1892">
        <f>IF($AE1892="","",IF(OR($AF1892="",$AG1892="",$AH1892="",$AF1892&lt;1300,$AF1892&gt;1500,$AG1892&lt;1,$AG1892&gt;12,$AH1892&lt;1,$AH1892&gt;31),"نامعتبر",RIGHT("0000"&amp;$AF1892,4)&amp;"/"&amp;RIGHT("00"&amp;$AG1892,2)&amp;"/"&amp;RIGHT("00"&amp;$AH1892,2)))</f>
        <v/>
      </c>
      <c r="AJ1892">
        <f>IF($AE1892="","",IF(Sync!$Q1892="","0000",IF(AND(ISNUMBER(Sync!$Q1892),Sync!$Q1892&gt;=0,Sync!$Q1892&lt;1),RIGHT("00"&amp;HOUR(Sync!$Q1892),2)&amp;RIGHT("00"&amp;MINUTE(Sync!$Q1892),2),IFERROR(RIGHT("00"&amp;VALUE(LEFT(Sync!$Q1892,FIND(":",Sync!$Q1892)-1)),2)&amp;RIGHT("00"&amp;VALUE(MID(Sync!$Q1892,FIND(":",Sync!$Q1892)+1,2)),2),"0000"))))</f>
        <v/>
      </c>
      <c r="AK1892">
        <f>IF(OR($AE1892="",$AI1892="",$AI1892="نامعتبر"),"",LEFT($AI1892,4)&amp;MID($AI1892,6,2)&amp;RIGHT($AI1892,2)&amp;$AJ1892&amp;"|"&amp;"3"&amp;RIGHT("00000"&amp;1887,5))</f>
        <v/>
      </c>
      <c r="AL1892">
        <f>IF($AK1892="","",COUNTIFS(LdAParty,$AE1892,LdAType,1,LdAKey,"&lt;"&amp;$AK1892)+COUNTIFS(LdBMember,$AE1892,LdBKey,"&lt;"&amp;$AK1892)+COUNTIFS(LdCParty,$AE1892,LdCKey,"&lt;"&amp;$AK1892)+1)</f>
        <v/>
      </c>
      <c r="AM1892">
        <f>IF($AL1892="","",$AE1892&amp;"|"&amp;RIGHT("000000"&amp;$AL1892,6))</f>
        <v/>
      </c>
      <c r="AN1892">
        <f>IF($AE1892="","",IF(Sync!$W1892="",0,Sync!$W1892))</f>
        <v/>
      </c>
      <c r="AO1892">
        <f>IF($AE1892="","",IF(Sync!$X1892="",0,Sync!$X1892))</f>
        <v/>
      </c>
      <c r="AP1892">
        <f>IF($AE1892="","",Sync!$R1892)</f>
        <v/>
      </c>
      <c r="AQ1892">
        <f>IF($AE1892="","",Sync!$Y1892)</f>
        <v/>
      </c>
    </row>
    <row r="1893">
      <c r="A1893">
        <f>IF(OR(Wages!$B1896="",Wages!$E1896=""),"",Wages!$E1896)</f>
        <v/>
      </c>
      <c r="B1893">
        <f>IF($A1893="","",IF(Wages!$C1896="دستمزد گروهی",2,1))</f>
        <v/>
      </c>
      <c r="C1893">
        <f>IF($A1893="","",IF(ISNUMBER(Wages!$B1896),IF(AND(Wages!$B1896&gt;=10000101,Wages!$B1896&lt;=99991231),INT(Wages!$B1896/10000),""),IFERROR(VALUE(TRIM(LEFT(Wages!$B1896,FIND("/",Wages!$B1896)-1))),"")))</f>
        <v/>
      </c>
      <c r="D1893">
        <f>IF(OR($A1893="",$C1893=""),"",IF(ISNUMBER(Wages!$B1896),INT(MOD(Wages!$B1896,10000)/100),IFERROR(VALUE(TRIM(LEFT(MID(Wages!$B1896,FIND("/",Wages!$B1896)+1,20),FIND("/",MID(Wages!$B1896,FIND("/",Wages!$B1896)+1,20))-1))),"")))</f>
        <v/>
      </c>
      <c r="E1893">
        <f>IF(OR($A1893="",$C1893=""),"",IF(ISNUMBER(Wages!$B1896),MOD(Wages!$B1896,100),IFERROR(VALUE(TRIM(MID(MID(Wages!$B1896,FIND("/",Wages!$B1896)+1,20),FIND("/",MID(Wages!$B1896,FIND("/",Wages!$B1896)+1,20))+1,20))),"")))</f>
        <v/>
      </c>
      <c r="F1893">
        <f>IF($A1893="","",IF(OR($C1893="",$D1893="",$E1893="",$C1893&lt;1300,$C1893&gt;1500,$D1893&lt;1,$D1893&gt;12,$E1893&lt;1,$E1893&gt;31),"نامعتبر",RIGHT("0000"&amp;$C1893,4)&amp;"/"&amp;RIGHT("00"&amp;$D1893,2)&amp;"/"&amp;RIGHT("00"&amp;$E1893,2)))</f>
        <v/>
      </c>
      <c r="G1893">
        <f>IF(OR($A1893="",$F1893="",$F1893="نامعتبر"),"",LEFT($F1893,4)&amp;MID($F1893,6,2)&amp;RIGHT($F1893,2)&amp;"0000"&amp;"|"&amp;"1"&amp;RIGHT("00000"&amp;1888,5))</f>
        <v/>
      </c>
      <c r="H1893">
        <f>IF(OR($B1893&lt;&gt;1,$G1893=""),"",COUNTIFS(LdAParty,$A1893,LdAType,1,LdAKey,"&lt;"&amp;$G1893)+COUNTIFS(LdBMember,$A1893,LdBKey,"&lt;"&amp;$G1893)+COUNTIFS(LdCParty,$A1893,LdCKey,"&lt;"&amp;$G1893)+1)</f>
        <v/>
      </c>
      <c r="I1893">
        <f>IF($H1893="","",$A1893&amp;"|"&amp;RIGHT("000000"&amp;$H1893,6))</f>
        <v/>
      </c>
      <c r="J1893">
        <f>IF(OR($B1893&lt;&gt;2,$G1893=""),"",COUNTIFS(LdAParty,$A1893,LdAType,2,LdAKey,"&lt;"&amp;$G1893)+1)</f>
        <v/>
      </c>
      <c r="K1893">
        <f>IF($J1893="","",$A1893&amp;"|"&amp;RIGHT("000000"&amp;$J1893,6))</f>
        <v/>
      </c>
      <c r="L1893">
        <f>IF($A1893="","",IF(Wages!$G1896="",0,Wages!$G1896))</f>
        <v/>
      </c>
      <c r="M1893">
        <f>IF($A1893="","",Wages!$J1896)</f>
        <v/>
      </c>
      <c r="N1893">
        <f>IF($A1893="","",Wages!$D1896)</f>
        <v/>
      </c>
      <c r="P1893">
        <f>IF(OR(Shares!$B1896="",Shares!$C1896=""),"",Shares!$C1896)</f>
        <v/>
      </c>
      <c r="Q1893">
        <f>IF($P1893="","",Shares!$B1896)</f>
        <v/>
      </c>
      <c r="R1893">
        <f>IF($P1893="","",IFERROR(INDEX(WageParty,MATCH($Q1893,WageIds,0)),""))</f>
        <v/>
      </c>
      <c r="S1893">
        <f>IF($P1893="","",IFERROR(INDEX($F$6:$F$2005,MATCH($Q1893,WageIds,0)),""))</f>
        <v/>
      </c>
      <c r="T1893">
        <f>IF(OR($P1893="",$S1893="",$S1893="نامعتبر"),"",LEFT($S1893,4)&amp;MID($S1893,6,2)&amp;RIGHT($S1893,2)&amp;"0000"&amp;"|"&amp;"2"&amp;RIGHT("00000"&amp;1888,5))</f>
        <v/>
      </c>
      <c r="U1893">
        <f>IF($T1893="","",COUNTIFS(LdAParty,$P1893,LdAType,1,LdAKey,"&lt;"&amp;$T1893)+COUNTIFS(LdBMember,$P1893,LdBKey,"&lt;"&amp;$T1893)+COUNTIFS(LdCParty,$P1893,LdCKey,"&lt;"&amp;$T1893)+1)</f>
        <v/>
      </c>
      <c r="V1893">
        <f>IF($U1893="","",$P1893&amp;"|"&amp;RIGHT("000000"&amp;$U1893,6))</f>
        <v/>
      </c>
      <c r="W1893">
        <f>IF($T1893="","",COUNTIFS(LdBGroup,$R1893,LdBKey,"&lt;"&amp;$T1893)+1)</f>
        <v/>
      </c>
      <c r="X1893">
        <f>IF($W1893="","",$R1893&amp;"|"&amp;RIGHT("000000"&amp;$W1893,6))</f>
        <v/>
      </c>
      <c r="Y1893">
        <f>IF($P1893="","",IF(Shares!$E1896="",0,Shares!$E1896))</f>
        <v/>
      </c>
      <c r="Z1893">
        <f>IF($P1893="","",Shares!$H1896)</f>
        <v/>
      </c>
      <c r="AE1893">
        <f>IF(OR(Sync!$S1893="",Sync!$P1893=""),"",Sync!$S1893)</f>
        <v/>
      </c>
      <c r="AF1893">
        <f>IF($AE1893="","",IF(ISNUMBER(Sync!$P1893),IF(AND(Sync!$P1893&gt;=10000101,Sync!$P1893&lt;=99991231),INT(Sync!$P1893/10000),""),IFERROR(VALUE(TRIM(LEFT(Sync!$P1893,FIND("/",Sync!$P1893)-1))),"")))</f>
        <v/>
      </c>
      <c r="AG1893">
        <f>IF(OR($AE1893="",$AF1893=""),"",IF(ISNUMBER(Sync!$P1893),INT(MOD(Sync!$P1893,10000)/100),IFERROR(VALUE(TRIM(LEFT(MID(Sync!$P1893,FIND("/",Sync!$P1893)+1,20),FIND("/",MID(Sync!$P1893,FIND("/",Sync!$P1893)+1,20))-1))),"")))</f>
        <v/>
      </c>
      <c r="AH1893">
        <f>IF(OR($AE1893="",$AF1893=""),"",IF(ISNUMBER(Sync!$P1893),MOD(Sync!$P1893,100),IFERROR(VALUE(TRIM(MID(MID(Sync!$P1893,FIND("/",Sync!$P1893)+1,20),FIND("/",MID(Sync!$P1893,FIND("/",Sync!$P1893)+1,20))+1,20))),"")))</f>
        <v/>
      </c>
      <c r="AI1893">
        <f>IF($AE1893="","",IF(OR($AF1893="",$AG1893="",$AH1893="",$AF1893&lt;1300,$AF1893&gt;1500,$AG1893&lt;1,$AG1893&gt;12,$AH1893&lt;1,$AH1893&gt;31),"نامعتبر",RIGHT("0000"&amp;$AF1893,4)&amp;"/"&amp;RIGHT("00"&amp;$AG1893,2)&amp;"/"&amp;RIGHT("00"&amp;$AH1893,2)))</f>
        <v/>
      </c>
      <c r="AJ1893">
        <f>IF($AE1893="","",IF(Sync!$Q1893="","0000",IF(AND(ISNUMBER(Sync!$Q1893),Sync!$Q1893&gt;=0,Sync!$Q1893&lt;1),RIGHT("00"&amp;HOUR(Sync!$Q1893),2)&amp;RIGHT("00"&amp;MINUTE(Sync!$Q1893),2),IFERROR(RIGHT("00"&amp;VALUE(LEFT(Sync!$Q1893,FIND(":",Sync!$Q1893)-1)),2)&amp;RIGHT("00"&amp;VALUE(MID(Sync!$Q1893,FIND(":",Sync!$Q1893)+1,2)),2),"0000"))))</f>
        <v/>
      </c>
      <c r="AK1893">
        <f>IF(OR($AE1893="",$AI1893="",$AI1893="نامعتبر"),"",LEFT($AI1893,4)&amp;MID($AI1893,6,2)&amp;RIGHT($AI1893,2)&amp;$AJ1893&amp;"|"&amp;"3"&amp;RIGHT("00000"&amp;1888,5))</f>
        <v/>
      </c>
      <c r="AL1893">
        <f>IF($AK1893="","",COUNTIFS(LdAParty,$AE1893,LdAType,1,LdAKey,"&lt;"&amp;$AK1893)+COUNTIFS(LdBMember,$AE1893,LdBKey,"&lt;"&amp;$AK1893)+COUNTIFS(LdCParty,$AE1893,LdCKey,"&lt;"&amp;$AK1893)+1)</f>
        <v/>
      </c>
      <c r="AM1893">
        <f>IF($AL1893="","",$AE1893&amp;"|"&amp;RIGHT("000000"&amp;$AL1893,6))</f>
        <v/>
      </c>
      <c r="AN1893">
        <f>IF($AE1893="","",IF(Sync!$W1893="",0,Sync!$W1893))</f>
        <v/>
      </c>
      <c r="AO1893">
        <f>IF($AE1893="","",IF(Sync!$X1893="",0,Sync!$X1893))</f>
        <v/>
      </c>
      <c r="AP1893">
        <f>IF($AE1893="","",Sync!$R1893)</f>
        <v/>
      </c>
      <c r="AQ1893">
        <f>IF($AE1893="","",Sync!$Y1893)</f>
        <v/>
      </c>
    </row>
    <row r="1894">
      <c r="A1894">
        <f>IF(OR(Wages!$B1897="",Wages!$E1897=""),"",Wages!$E1897)</f>
        <v/>
      </c>
      <c r="B1894">
        <f>IF($A1894="","",IF(Wages!$C1897="دستمزد گروهی",2,1))</f>
        <v/>
      </c>
      <c r="C1894">
        <f>IF($A1894="","",IF(ISNUMBER(Wages!$B1897),IF(AND(Wages!$B1897&gt;=10000101,Wages!$B1897&lt;=99991231),INT(Wages!$B1897/10000),""),IFERROR(VALUE(TRIM(LEFT(Wages!$B1897,FIND("/",Wages!$B1897)-1))),"")))</f>
        <v/>
      </c>
      <c r="D1894">
        <f>IF(OR($A1894="",$C1894=""),"",IF(ISNUMBER(Wages!$B1897),INT(MOD(Wages!$B1897,10000)/100),IFERROR(VALUE(TRIM(LEFT(MID(Wages!$B1897,FIND("/",Wages!$B1897)+1,20),FIND("/",MID(Wages!$B1897,FIND("/",Wages!$B1897)+1,20))-1))),"")))</f>
        <v/>
      </c>
      <c r="E1894">
        <f>IF(OR($A1894="",$C1894=""),"",IF(ISNUMBER(Wages!$B1897),MOD(Wages!$B1897,100),IFERROR(VALUE(TRIM(MID(MID(Wages!$B1897,FIND("/",Wages!$B1897)+1,20),FIND("/",MID(Wages!$B1897,FIND("/",Wages!$B1897)+1,20))+1,20))),"")))</f>
        <v/>
      </c>
      <c r="F1894">
        <f>IF($A1894="","",IF(OR($C1894="",$D1894="",$E1894="",$C1894&lt;1300,$C1894&gt;1500,$D1894&lt;1,$D1894&gt;12,$E1894&lt;1,$E1894&gt;31),"نامعتبر",RIGHT("0000"&amp;$C1894,4)&amp;"/"&amp;RIGHT("00"&amp;$D1894,2)&amp;"/"&amp;RIGHT("00"&amp;$E1894,2)))</f>
        <v/>
      </c>
      <c r="G1894">
        <f>IF(OR($A1894="",$F1894="",$F1894="نامعتبر"),"",LEFT($F1894,4)&amp;MID($F1894,6,2)&amp;RIGHT($F1894,2)&amp;"0000"&amp;"|"&amp;"1"&amp;RIGHT("00000"&amp;1889,5))</f>
        <v/>
      </c>
      <c r="H1894">
        <f>IF(OR($B1894&lt;&gt;1,$G1894=""),"",COUNTIFS(LdAParty,$A1894,LdAType,1,LdAKey,"&lt;"&amp;$G1894)+COUNTIFS(LdBMember,$A1894,LdBKey,"&lt;"&amp;$G1894)+COUNTIFS(LdCParty,$A1894,LdCKey,"&lt;"&amp;$G1894)+1)</f>
        <v/>
      </c>
      <c r="I1894">
        <f>IF($H1894="","",$A1894&amp;"|"&amp;RIGHT("000000"&amp;$H1894,6))</f>
        <v/>
      </c>
      <c r="J1894">
        <f>IF(OR($B1894&lt;&gt;2,$G1894=""),"",COUNTIFS(LdAParty,$A1894,LdAType,2,LdAKey,"&lt;"&amp;$G1894)+1)</f>
        <v/>
      </c>
      <c r="K1894">
        <f>IF($J1894="","",$A1894&amp;"|"&amp;RIGHT("000000"&amp;$J1894,6))</f>
        <v/>
      </c>
      <c r="L1894">
        <f>IF($A1894="","",IF(Wages!$G1897="",0,Wages!$G1897))</f>
        <v/>
      </c>
      <c r="M1894">
        <f>IF($A1894="","",Wages!$J1897)</f>
        <v/>
      </c>
      <c r="N1894">
        <f>IF($A1894="","",Wages!$D1897)</f>
        <v/>
      </c>
      <c r="P1894">
        <f>IF(OR(Shares!$B1897="",Shares!$C1897=""),"",Shares!$C1897)</f>
        <v/>
      </c>
      <c r="Q1894">
        <f>IF($P1894="","",Shares!$B1897)</f>
        <v/>
      </c>
      <c r="R1894">
        <f>IF($P1894="","",IFERROR(INDEX(WageParty,MATCH($Q1894,WageIds,0)),""))</f>
        <v/>
      </c>
      <c r="S1894">
        <f>IF($P1894="","",IFERROR(INDEX($F$6:$F$2005,MATCH($Q1894,WageIds,0)),""))</f>
        <v/>
      </c>
      <c r="T1894">
        <f>IF(OR($P1894="",$S1894="",$S1894="نامعتبر"),"",LEFT($S1894,4)&amp;MID($S1894,6,2)&amp;RIGHT($S1894,2)&amp;"0000"&amp;"|"&amp;"2"&amp;RIGHT("00000"&amp;1889,5))</f>
        <v/>
      </c>
      <c r="U1894">
        <f>IF($T1894="","",COUNTIFS(LdAParty,$P1894,LdAType,1,LdAKey,"&lt;"&amp;$T1894)+COUNTIFS(LdBMember,$P1894,LdBKey,"&lt;"&amp;$T1894)+COUNTIFS(LdCParty,$P1894,LdCKey,"&lt;"&amp;$T1894)+1)</f>
        <v/>
      </c>
      <c r="V1894">
        <f>IF($U1894="","",$P1894&amp;"|"&amp;RIGHT("000000"&amp;$U1894,6))</f>
        <v/>
      </c>
      <c r="W1894">
        <f>IF($T1894="","",COUNTIFS(LdBGroup,$R1894,LdBKey,"&lt;"&amp;$T1894)+1)</f>
        <v/>
      </c>
      <c r="X1894">
        <f>IF($W1894="","",$R1894&amp;"|"&amp;RIGHT("000000"&amp;$W1894,6))</f>
        <v/>
      </c>
      <c r="Y1894">
        <f>IF($P1894="","",IF(Shares!$E1897="",0,Shares!$E1897))</f>
        <v/>
      </c>
      <c r="Z1894">
        <f>IF($P1894="","",Shares!$H1897)</f>
        <v/>
      </c>
      <c r="AE1894">
        <f>IF(OR(Sync!$S1894="",Sync!$P1894=""),"",Sync!$S1894)</f>
        <v/>
      </c>
      <c r="AF1894">
        <f>IF($AE1894="","",IF(ISNUMBER(Sync!$P1894),IF(AND(Sync!$P1894&gt;=10000101,Sync!$P1894&lt;=99991231),INT(Sync!$P1894/10000),""),IFERROR(VALUE(TRIM(LEFT(Sync!$P1894,FIND("/",Sync!$P1894)-1))),"")))</f>
        <v/>
      </c>
      <c r="AG1894">
        <f>IF(OR($AE1894="",$AF1894=""),"",IF(ISNUMBER(Sync!$P1894),INT(MOD(Sync!$P1894,10000)/100),IFERROR(VALUE(TRIM(LEFT(MID(Sync!$P1894,FIND("/",Sync!$P1894)+1,20),FIND("/",MID(Sync!$P1894,FIND("/",Sync!$P1894)+1,20))-1))),"")))</f>
        <v/>
      </c>
      <c r="AH1894">
        <f>IF(OR($AE1894="",$AF1894=""),"",IF(ISNUMBER(Sync!$P1894),MOD(Sync!$P1894,100),IFERROR(VALUE(TRIM(MID(MID(Sync!$P1894,FIND("/",Sync!$P1894)+1,20),FIND("/",MID(Sync!$P1894,FIND("/",Sync!$P1894)+1,20))+1,20))),"")))</f>
        <v/>
      </c>
      <c r="AI1894">
        <f>IF($AE1894="","",IF(OR($AF1894="",$AG1894="",$AH1894="",$AF1894&lt;1300,$AF1894&gt;1500,$AG1894&lt;1,$AG1894&gt;12,$AH1894&lt;1,$AH1894&gt;31),"نامعتبر",RIGHT("0000"&amp;$AF1894,4)&amp;"/"&amp;RIGHT("00"&amp;$AG1894,2)&amp;"/"&amp;RIGHT("00"&amp;$AH1894,2)))</f>
        <v/>
      </c>
      <c r="AJ1894">
        <f>IF($AE1894="","",IF(Sync!$Q1894="","0000",IF(AND(ISNUMBER(Sync!$Q1894),Sync!$Q1894&gt;=0,Sync!$Q1894&lt;1),RIGHT("00"&amp;HOUR(Sync!$Q1894),2)&amp;RIGHT("00"&amp;MINUTE(Sync!$Q1894),2),IFERROR(RIGHT("00"&amp;VALUE(LEFT(Sync!$Q1894,FIND(":",Sync!$Q1894)-1)),2)&amp;RIGHT("00"&amp;VALUE(MID(Sync!$Q1894,FIND(":",Sync!$Q1894)+1,2)),2),"0000"))))</f>
        <v/>
      </c>
      <c r="AK1894">
        <f>IF(OR($AE1894="",$AI1894="",$AI1894="نامعتبر"),"",LEFT($AI1894,4)&amp;MID($AI1894,6,2)&amp;RIGHT($AI1894,2)&amp;$AJ1894&amp;"|"&amp;"3"&amp;RIGHT("00000"&amp;1889,5))</f>
        <v/>
      </c>
      <c r="AL1894">
        <f>IF($AK1894="","",COUNTIFS(LdAParty,$AE1894,LdAType,1,LdAKey,"&lt;"&amp;$AK1894)+COUNTIFS(LdBMember,$AE1894,LdBKey,"&lt;"&amp;$AK1894)+COUNTIFS(LdCParty,$AE1894,LdCKey,"&lt;"&amp;$AK1894)+1)</f>
        <v/>
      </c>
      <c r="AM1894">
        <f>IF($AL1894="","",$AE1894&amp;"|"&amp;RIGHT("000000"&amp;$AL1894,6))</f>
        <v/>
      </c>
      <c r="AN1894">
        <f>IF($AE1894="","",IF(Sync!$W1894="",0,Sync!$W1894))</f>
        <v/>
      </c>
      <c r="AO1894">
        <f>IF($AE1894="","",IF(Sync!$X1894="",0,Sync!$X1894))</f>
        <v/>
      </c>
      <c r="AP1894">
        <f>IF($AE1894="","",Sync!$R1894)</f>
        <v/>
      </c>
      <c r="AQ1894">
        <f>IF($AE1894="","",Sync!$Y1894)</f>
        <v/>
      </c>
    </row>
    <row r="1895">
      <c r="A1895">
        <f>IF(OR(Wages!$B1898="",Wages!$E1898=""),"",Wages!$E1898)</f>
        <v/>
      </c>
      <c r="B1895">
        <f>IF($A1895="","",IF(Wages!$C1898="دستمزد گروهی",2,1))</f>
        <v/>
      </c>
      <c r="C1895">
        <f>IF($A1895="","",IF(ISNUMBER(Wages!$B1898),IF(AND(Wages!$B1898&gt;=10000101,Wages!$B1898&lt;=99991231),INT(Wages!$B1898/10000),""),IFERROR(VALUE(TRIM(LEFT(Wages!$B1898,FIND("/",Wages!$B1898)-1))),"")))</f>
        <v/>
      </c>
      <c r="D1895">
        <f>IF(OR($A1895="",$C1895=""),"",IF(ISNUMBER(Wages!$B1898),INT(MOD(Wages!$B1898,10000)/100),IFERROR(VALUE(TRIM(LEFT(MID(Wages!$B1898,FIND("/",Wages!$B1898)+1,20),FIND("/",MID(Wages!$B1898,FIND("/",Wages!$B1898)+1,20))-1))),"")))</f>
        <v/>
      </c>
      <c r="E1895">
        <f>IF(OR($A1895="",$C1895=""),"",IF(ISNUMBER(Wages!$B1898),MOD(Wages!$B1898,100),IFERROR(VALUE(TRIM(MID(MID(Wages!$B1898,FIND("/",Wages!$B1898)+1,20),FIND("/",MID(Wages!$B1898,FIND("/",Wages!$B1898)+1,20))+1,20))),"")))</f>
        <v/>
      </c>
      <c r="F1895">
        <f>IF($A1895="","",IF(OR($C1895="",$D1895="",$E1895="",$C1895&lt;1300,$C1895&gt;1500,$D1895&lt;1,$D1895&gt;12,$E1895&lt;1,$E1895&gt;31),"نامعتبر",RIGHT("0000"&amp;$C1895,4)&amp;"/"&amp;RIGHT("00"&amp;$D1895,2)&amp;"/"&amp;RIGHT("00"&amp;$E1895,2)))</f>
        <v/>
      </c>
      <c r="G1895">
        <f>IF(OR($A1895="",$F1895="",$F1895="نامعتبر"),"",LEFT($F1895,4)&amp;MID($F1895,6,2)&amp;RIGHT($F1895,2)&amp;"0000"&amp;"|"&amp;"1"&amp;RIGHT("00000"&amp;1890,5))</f>
        <v/>
      </c>
      <c r="H1895">
        <f>IF(OR($B1895&lt;&gt;1,$G1895=""),"",COUNTIFS(LdAParty,$A1895,LdAType,1,LdAKey,"&lt;"&amp;$G1895)+COUNTIFS(LdBMember,$A1895,LdBKey,"&lt;"&amp;$G1895)+COUNTIFS(LdCParty,$A1895,LdCKey,"&lt;"&amp;$G1895)+1)</f>
        <v/>
      </c>
      <c r="I1895">
        <f>IF($H1895="","",$A1895&amp;"|"&amp;RIGHT("000000"&amp;$H1895,6))</f>
        <v/>
      </c>
      <c r="J1895">
        <f>IF(OR($B1895&lt;&gt;2,$G1895=""),"",COUNTIFS(LdAParty,$A1895,LdAType,2,LdAKey,"&lt;"&amp;$G1895)+1)</f>
        <v/>
      </c>
      <c r="K1895">
        <f>IF($J1895="","",$A1895&amp;"|"&amp;RIGHT("000000"&amp;$J1895,6))</f>
        <v/>
      </c>
      <c r="L1895">
        <f>IF($A1895="","",IF(Wages!$G1898="",0,Wages!$G1898))</f>
        <v/>
      </c>
      <c r="M1895">
        <f>IF($A1895="","",Wages!$J1898)</f>
        <v/>
      </c>
      <c r="N1895">
        <f>IF($A1895="","",Wages!$D1898)</f>
        <v/>
      </c>
      <c r="P1895">
        <f>IF(OR(Shares!$B1898="",Shares!$C1898=""),"",Shares!$C1898)</f>
        <v/>
      </c>
      <c r="Q1895">
        <f>IF($P1895="","",Shares!$B1898)</f>
        <v/>
      </c>
      <c r="R1895">
        <f>IF($P1895="","",IFERROR(INDEX(WageParty,MATCH($Q1895,WageIds,0)),""))</f>
        <v/>
      </c>
      <c r="S1895">
        <f>IF($P1895="","",IFERROR(INDEX($F$6:$F$2005,MATCH($Q1895,WageIds,0)),""))</f>
        <v/>
      </c>
      <c r="T1895">
        <f>IF(OR($P1895="",$S1895="",$S1895="نامعتبر"),"",LEFT($S1895,4)&amp;MID($S1895,6,2)&amp;RIGHT($S1895,2)&amp;"0000"&amp;"|"&amp;"2"&amp;RIGHT("00000"&amp;1890,5))</f>
        <v/>
      </c>
      <c r="U1895">
        <f>IF($T1895="","",COUNTIFS(LdAParty,$P1895,LdAType,1,LdAKey,"&lt;"&amp;$T1895)+COUNTIFS(LdBMember,$P1895,LdBKey,"&lt;"&amp;$T1895)+COUNTIFS(LdCParty,$P1895,LdCKey,"&lt;"&amp;$T1895)+1)</f>
        <v/>
      </c>
      <c r="V1895">
        <f>IF($U1895="","",$P1895&amp;"|"&amp;RIGHT("000000"&amp;$U1895,6))</f>
        <v/>
      </c>
      <c r="W1895">
        <f>IF($T1895="","",COUNTIFS(LdBGroup,$R1895,LdBKey,"&lt;"&amp;$T1895)+1)</f>
        <v/>
      </c>
      <c r="X1895">
        <f>IF($W1895="","",$R1895&amp;"|"&amp;RIGHT("000000"&amp;$W1895,6))</f>
        <v/>
      </c>
      <c r="Y1895">
        <f>IF($P1895="","",IF(Shares!$E1898="",0,Shares!$E1898))</f>
        <v/>
      </c>
      <c r="Z1895">
        <f>IF($P1895="","",Shares!$H1898)</f>
        <v/>
      </c>
      <c r="AE1895">
        <f>IF(OR(Sync!$S1895="",Sync!$P1895=""),"",Sync!$S1895)</f>
        <v/>
      </c>
      <c r="AF1895">
        <f>IF($AE1895="","",IF(ISNUMBER(Sync!$P1895),IF(AND(Sync!$P1895&gt;=10000101,Sync!$P1895&lt;=99991231),INT(Sync!$P1895/10000),""),IFERROR(VALUE(TRIM(LEFT(Sync!$P1895,FIND("/",Sync!$P1895)-1))),"")))</f>
        <v/>
      </c>
      <c r="AG1895">
        <f>IF(OR($AE1895="",$AF1895=""),"",IF(ISNUMBER(Sync!$P1895),INT(MOD(Sync!$P1895,10000)/100),IFERROR(VALUE(TRIM(LEFT(MID(Sync!$P1895,FIND("/",Sync!$P1895)+1,20),FIND("/",MID(Sync!$P1895,FIND("/",Sync!$P1895)+1,20))-1))),"")))</f>
        <v/>
      </c>
      <c r="AH1895">
        <f>IF(OR($AE1895="",$AF1895=""),"",IF(ISNUMBER(Sync!$P1895),MOD(Sync!$P1895,100),IFERROR(VALUE(TRIM(MID(MID(Sync!$P1895,FIND("/",Sync!$P1895)+1,20),FIND("/",MID(Sync!$P1895,FIND("/",Sync!$P1895)+1,20))+1,20))),"")))</f>
        <v/>
      </c>
      <c r="AI1895">
        <f>IF($AE1895="","",IF(OR($AF1895="",$AG1895="",$AH1895="",$AF1895&lt;1300,$AF1895&gt;1500,$AG1895&lt;1,$AG1895&gt;12,$AH1895&lt;1,$AH1895&gt;31),"نامعتبر",RIGHT("0000"&amp;$AF1895,4)&amp;"/"&amp;RIGHT("00"&amp;$AG1895,2)&amp;"/"&amp;RIGHT("00"&amp;$AH1895,2)))</f>
        <v/>
      </c>
      <c r="AJ1895">
        <f>IF($AE1895="","",IF(Sync!$Q1895="","0000",IF(AND(ISNUMBER(Sync!$Q1895),Sync!$Q1895&gt;=0,Sync!$Q1895&lt;1),RIGHT("00"&amp;HOUR(Sync!$Q1895),2)&amp;RIGHT("00"&amp;MINUTE(Sync!$Q1895),2),IFERROR(RIGHT("00"&amp;VALUE(LEFT(Sync!$Q1895,FIND(":",Sync!$Q1895)-1)),2)&amp;RIGHT("00"&amp;VALUE(MID(Sync!$Q1895,FIND(":",Sync!$Q1895)+1,2)),2),"0000"))))</f>
        <v/>
      </c>
      <c r="AK1895">
        <f>IF(OR($AE1895="",$AI1895="",$AI1895="نامعتبر"),"",LEFT($AI1895,4)&amp;MID($AI1895,6,2)&amp;RIGHT($AI1895,2)&amp;$AJ1895&amp;"|"&amp;"3"&amp;RIGHT("00000"&amp;1890,5))</f>
        <v/>
      </c>
      <c r="AL1895">
        <f>IF($AK1895="","",COUNTIFS(LdAParty,$AE1895,LdAType,1,LdAKey,"&lt;"&amp;$AK1895)+COUNTIFS(LdBMember,$AE1895,LdBKey,"&lt;"&amp;$AK1895)+COUNTIFS(LdCParty,$AE1895,LdCKey,"&lt;"&amp;$AK1895)+1)</f>
        <v/>
      </c>
      <c r="AM1895">
        <f>IF($AL1895="","",$AE1895&amp;"|"&amp;RIGHT("000000"&amp;$AL1895,6))</f>
        <v/>
      </c>
      <c r="AN1895">
        <f>IF($AE1895="","",IF(Sync!$W1895="",0,Sync!$W1895))</f>
        <v/>
      </c>
      <c r="AO1895">
        <f>IF($AE1895="","",IF(Sync!$X1895="",0,Sync!$X1895))</f>
        <v/>
      </c>
      <c r="AP1895">
        <f>IF($AE1895="","",Sync!$R1895)</f>
        <v/>
      </c>
      <c r="AQ1895">
        <f>IF($AE1895="","",Sync!$Y1895)</f>
        <v/>
      </c>
    </row>
    <row r="1896">
      <c r="A1896">
        <f>IF(OR(Wages!$B1899="",Wages!$E1899=""),"",Wages!$E1899)</f>
        <v/>
      </c>
      <c r="B1896">
        <f>IF($A1896="","",IF(Wages!$C1899="دستمزد گروهی",2,1))</f>
        <v/>
      </c>
      <c r="C1896">
        <f>IF($A1896="","",IF(ISNUMBER(Wages!$B1899),IF(AND(Wages!$B1899&gt;=10000101,Wages!$B1899&lt;=99991231),INT(Wages!$B1899/10000),""),IFERROR(VALUE(TRIM(LEFT(Wages!$B1899,FIND("/",Wages!$B1899)-1))),"")))</f>
        <v/>
      </c>
      <c r="D1896">
        <f>IF(OR($A1896="",$C1896=""),"",IF(ISNUMBER(Wages!$B1899),INT(MOD(Wages!$B1899,10000)/100),IFERROR(VALUE(TRIM(LEFT(MID(Wages!$B1899,FIND("/",Wages!$B1899)+1,20),FIND("/",MID(Wages!$B1899,FIND("/",Wages!$B1899)+1,20))-1))),"")))</f>
        <v/>
      </c>
      <c r="E1896">
        <f>IF(OR($A1896="",$C1896=""),"",IF(ISNUMBER(Wages!$B1899),MOD(Wages!$B1899,100),IFERROR(VALUE(TRIM(MID(MID(Wages!$B1899,FIND("/",Wages!$B1899)+1,20),FIND("/",MID(Wages!$B1899,FIND("/",Wages!$B1899)+1,20))+1,20))),"")))</f>
        <v/>
      </c>
      <c r="F1896">
        <f>IF($A1896="","",IF(OR($C1896="",$D1896="",$E1896="",$C1896&lt;1300,$C1896&gt;1500,$D1896&lt;1,$D1896&gt;12,$E1896&lt;1,$E1896&gt;31),"نامعتبر",RIGHT("0000"&amp;$C1896,4)&amp;"/"&amp;RIGHT("00"&amp;$D1896,2)&amp;"/"&amp;RIGHT("00"&amp;$E1896,2)))</f>
        <v/>
      </c>
      <c r="G1896">
        <f>IF(OR($A1896="",$F1896="",$F1896="نامعتبر"),"",LEFT($F1896,4)&amp;MID($F1896,6,2)&amp;RIGHT($F1896,2)&amp;"0000"&amp;"|"&amp;"1"&amp;RIGHT("00000"&amp;1891,5))</f>
        <v/>
      </c>
      <c r="H1896">
        <f>IF(OR($B1896&lt;&gt;1,$G1896=""),"",COUNTIFS(LdAParty,$A1896,LdAType,1,LdAKey,"&lt;"&amp;$G1896)+COUNTIFS(LdBMember,$A1896,LdBKey,"&lt;"&amp;$G1896)+COUNTIFS(LdCParty,$A1896,LdCKey,"&lt;"&amp;$G1896)+1)</f>
        <v/>
      </c>
      <c r="I1896">
        <f>IF($H1896="","",$A1896&amp;"|"&amp;RIGHT("000000"&amp;$H1896,6))</f>
        <v/>
      </c>
      <c r="J1896">
        <f>IF(OR($B1896&lt;&gt;2,$G1896=""),"",COUNTIFS(LdAParty,$A1896,LdAType,2,LdAKey,"&lt;"&amp;$G1896)+1)</f>
        <v/>
      </c>
      <c r="K1896">
        <f>IF($J1896="","",$A1896&amp;"|"&amp;RIGHT("000000"&amp;$J1896,6))</f>
        <v/>
      </c>
      <c r="L1896">
        <f>IF($A1896="","",IF(Wages!$G1899="",0,Wages!$G1899))</f>
        <v/>
      </c>
      <c r="M1896">
        <f>IF($A1896="","",Wages!$J1899)</f>
        <v/>
      </c>
      <c r="N1896">
        <f>IF($A1896="","",Wages!$D1899)</f>
        <v/>
      </c>
      <c r="P1896">
        <f>IF(OR(Shares!$B1899="",Shares!$C1899=""),"",Shares!$C1899)</f>
        <v/>
      </c>
      <c r="Q1896">
        <f>IF($P1896="","",Shares!$B1899)</f>
        <v/>
      </c>
      <c r="R1896">
        <f>IF($P1896="","",IFERROR(INDEX(WageParty,MATCH($Q1896,WageIds,0)),""))</f>
        <v/>
      </c>
      <c r="S1896">
        <f>IF($P1896="","",IFERROR(INDEX($F$6:$F$2005,MATCH($Q1896,WageIds,0)),""))</f>
        <v/>
      </c>
      <c r="T1896">
        <f>IF(OR($P1896="",$S1896="",$S1896="نامعتبر"),"",LEFT($S1896,4)&amp;MID($S1896,6,2)&amp;RIGHT($S1896,2)&amp;"0000"&amp;"|"&amp;"2"&amp;RIGHT("00000"&amp;1891,5))</f>
        <v/>
      </c>
      <c r="U1896">
        <f>IF($T1896="","",COUNTIFS(LdAParty,$P1896,LdAType,1,LdAKey,"&lt;"&amp;$T1896)+COUNTIFS(LdBMember,$P1896,LdBKey,"&lt;"&amp;$T1896)+COUNTIFS(LdCParty,$P1896,LdCKey,"&lt;"&amp;$T1896)+1)</f>
        <v/>
      </c>
      <c r="V1896">
        <f>IF($U1896="","",$P1896&amp;"|"&amp;RIGHT("000000"&amp;$U1896,6))</f>
        <v/>
      </c>
      <c r="W1896">
        <f>IF($T1896="","",COUNTIFS(LdBGroup,$R1896,LdBKey,"&lt;"&amp;$T1896)+1)</f>
        <v/>
      </c>
      <c r="X1896">
        <f>IF($W1896="","",$R1896&amp;"|"&amp;RIGHT("000000"&amp;$W1896,6))</f>
        <v/>
      </c>
      <c r="Y1896">
        <f>IF($P1896="","",IF(Shares!$E1899="",0,Shares!$E1899))</f>
        <v/>
      </c>
      <c r="Z1896">
        <f>IF($P1896="","",Shares!$H1899)</f>
        <v/>
      </c>
      <c r="AE1896">
        <f>IF(OR(Sync!$S1896="",Sync!$P1896=""),"",Sync!$S1896)</f>
        <v/>
      </c>
      <c r="AF1896">
        <f>IF($AE1896="","",IF(ISNUMBER(Sync!$P1896),IF(AND(Sync!$P1896&gt;=10000101,Sync!$P1896&lt;=99991231),INT(Sync!$P1896/10000),""),IFERROR(VALUE(TRIM(LEFT(Sync!$P1896,FIND("/",Sync!$P1896)-1))),"")))</f>
        <v/>
      </c>
      <c r="AG1896">
        <f>IF(OR($AE1896="",$AF1896=""),"",IF(ISNUMBER(Sync!$P1896),INT(MOD(Sync!$P1896,10000)/100),IFERROR(VALUE(TRIM(LEFT(MID(Sync!$P1896,FIND("/",Sync!$P1896)+1,20),FIND("/",MID(Sync!$P1896,FIND("/",Sync!$P1896)+1,20))-1))),"")))</f>
        <v/>
      </c>
      <c r="AH1896">
        <f>IF(OR($AE1896="",$AF1896=""),"",IF(ISNUMBER(Sync!$P1896),MOD(Sync!$P1896,100),IFERROR(VALUE(TRIM(MID(MID(Sync!$P1896,FIND("/",Sync!$P1896)+1,20),FIND("/",MID(Sync!$P1896,FIND("/",Sync!$P1896)+1,20))+1,20))),"")))</f>
        <v/>
      </c>
      <c r="AI1896">
        <f>IF($AE1896="","",IF(OR($AF1896="",$AG1896="",$AH1896="",$AF1896&lt;1300,$AF1896&gt;1500,$AG1896&lt;1,$AG1896&gt;12,$AH1896&lt;1,$AH1896&gt;31),"نامعتبر",RIGHT("0000"&amp;$AF1896,4)&amp;"/"&amp;RIGHT("00"&amp;$AG1896,2)&amp;"/"&amp;RIGHT("00"&amp;$AH1896,2)))</f>
        <v/>
      </c>
      <c r="AJ1896">
        <f>IF($AE1896="","",IF(Sync!$Q1896="","0000",IF(AND(ISNUMBER(Sync!$Q1896),Sync!$Q1896&gt;=0,Sync!$Q1896&lt;1),RIGHT("00"&amp;HOUR(Sync!$Q1896),2)&amp;RIGHT("00"&amp;MINUTE(Sync!$Q1896),2),IFERROR(RIGHT("00"&amp;VALUE(LEFT(Sync!$Q1896,FIND(":",Sync!$Q1896)-1)),2)&amp;RIGHT("00"&amp;VALUE(MID(Sync!$Q1896,FIND(":",Sync!$Q1896)+1,2)),2),"0000"))))</f>
        <v/>
      </c>
      <c r="AK1896">
        <f>IF(OR($AE1896="",$AI1896="",$AI1896="نامعتبر"),"",LEFT($AI1896,4)&amp;MID($AI1896,6,2)&amp;RIGHT($AI1896,2)&amp;$AJ1896&amp;"|"&amp;"3"&amp;RIGHT("00000"&amp;1891,5))</f>
        <v/>
      </c>
      <c r="AL1896">
        <f>IF($AK1896="","",COUNTIFS(LdAParty,$AE1896,LdAType,1,LdAKey,"&lt;"&amp;$AK1896)+COUNTIFS(LdBMember,$AE1896,LdBKey,"&lt;"&amp;$AK1896)+COUNTIFS(LdCParty,$AE1896,LdCKey,"&lt;"&amp;$AK1896)+1)</f>
        <v/>
      </c>
      <c r="AM1896">
        <f>IF($AL1896="","",$AE1896&amp;"|"&amp;RIGHT("000000"&amp;$AL1896,6))</f>
        <v/>
      </c>
      <c r="AN1896">
        <f>IF($AE1896="","",IF(Sync!$W1896="",0,Sync!$W1896))</f>
        <v/>
      </c>
      <c r="AO1896">
        <f>IF($AE1896="","",IF(Sync!$X1896="",0,Sync!$X1896))</f>
        <v/>
      </c>
      <c r="AP1896">
        <f>IF($AE1896="","",Sync!$R1896)</f>
        <v/>
      </c>
      <c r="AQ1896">
        <f>IF($AE1896="","",Sync!$Y1896)</f>
        <v/>
      </c>
    </row>
    <row r="1897">
      <c r="A1897">
        <f>IF(OR(Wages!$B1900="",Wages!$E1900=""),"",Wages!$E1900)</f>
        <v/>
      </c>
      <c r="B1897">
        <f>IF($A1897="","",IF(Wages!$C1900="دستمزد گروهی",2,1))</f>
        <v/>
      </c>
      <c r="C1897">
        <f>IF($A1897="","",IF(ISNUMBER(Wages!$B1900),IF(AND(Wages!$B1900&gt;=10000101,Wages!$B1900&lt;=99991231),INT(Wages!$B1900/10000),""),IFERROR(VALUE(TRIM(LEFT(Wages!$B1900,FIND("/",Wages!$B1900)-1))),"")))</f>
        <v/>
      </c>
      <c r="D1897">
        <f>IF(OR($A1897="",$C1897=""),"",IF(ISNUMBER(Wages!$B1900),INT(MOD(Wages!$B1900,10000)/100),IFERROR(VALUE(TRIM(LEFT(MID(Wages!$B1900,FIND("/",Wages!$B1900)+1,20),FIND("/",MID(Wages!$B1900,FIND("/",Wages!$B1900)+1,20))-1))),"")))</f>
        <v/>
      </c>
      <c r="E1897">
        <f>IF(OR($A1897="",$C1897=""),"",IF(ISNUMBER(Wages!$B1900),MOD(Wages!$B1900,100),IFERROR(VALUE(TRIM(MID(MID(Wages!$B1900,FIND("/",Wages!$B1900)+1,20),FIND("/",MID(Wages!$B1900,FIND("/",Wages!$B1900)+1,20))+1,20))),"")))</f>
        <v/>
      </c>
      <c r="F1897">
        <f>IF($A1897="","",IF(OR($C1897="",$D1897="",$E1897="",$C1897&lt;1300,$C1897&gt;1500,$D1897&lt;1,$D1897&gt;12,$E1897&lt;1,$E1897&gt;31),"نامعتبر",RIGHT("0000"&amp;$C1897,4)&amp;"/"&amp;RIGHT("00"&amp;$D1897,2)&amp;"/"&amp;RIGHT("00"&amp;$E1897,2)))</f>
        <v/>
      </c>
      <c r="G1897">
        <f>IF(OR($A1897="",$F1897="",$F1897="نامعتبر"),"",LEFT($F1897,4)&amp;MID($F1897,6,2)&amp;RIGHT($F1897,2)&amp;"0000"&amp;"|"&amp;"1"&amp;RIGHT("00000"&amp;1892,5))</f>
        <v/>
      </c>
      <c r="H1897">
        <f>IF(OR($B1897&lt;&gt;1,$G1897=""),"",COUNTIFS(LdAParty,$A1897,LdAType,1,LdAKey,"&lt;"&amp;$G1897)+COUNTIFS(LdBMember,$A1897,LdBKey,"&lt;"&amp;$G1897)+COUNTIFS(LdCParty,$A1897,LdCKey,"&lt;"&amp;$G1897)+1)</f>
        <v/>
      </c>
      <c r="I1897">
        <f>IF($H1897="","",$A1897&amp;"|"&amp;RIGHT("000000"&amp;$H1897,6))</f>
        <v/>
      </c>
      <c r="J1897">
        <f>IF(OR($B1897&lt;&gt;2,$G1897=""),"",COUNTIFS(LdAParty,$A1897,LdAType,2,LdAKey,"&lt;"&amp;$G1897)+1)</f>
        <v/>
      </c>
      <c r="K1897">
        <f>IF($J1897="","",$A1897&amp;"|"&amp;RIGHT("000000"&amp;$J1897,6))</f>
        <v/>
      </c>
      <c r="L1897">
        <f>IF($A1897="","",IF(Wages!$G1900="",0,Wages!$G1900))</f>
        <v/>
      </c>
      <c r="M1897">
        <f>IF($A1897="","",Wages!$J1900)</f>
        <v/>
      </c>
      <c r="N1897">
        <f>IF($A1897="","",Wages!$D1900)</f>
        <v/>
      </c>
      <c r="P1897">
        <f>IF(OR(Shares!$B1900="",Shares!$C1900=""),"",Shares!$C1900)</f>
        <v/>
      </c>
      <c r="Q1897">
        <f>IF($P1897="","",Shares!$B1900)</f>
        <v/>
      </c>
      <c r="R1897">
        <f>IF($P1897="","",IFERROR(INDEX(WageParty,MATCH($Q1897,WageIds,0)),""))</f>
        <v/>
      </c>
      <c r="S1897">
        <f>IF($P1897="","",IFERROR(INDEX($F$6:$F$2005,MATCH($Q1897,WageIds,0)),""))</f>
        <v/>
      </c>
      <c r="T1897">
        <f>IF(OR($P1897="",$S1897="",$S1897="نامعتبر"),"",LEFT($S1897,4)&amp;MID($S1897,6,2)&amp;RIGHT($S1897,2)&amp;"0000"&amp;"|"&amp;"2"&amp;RIGHT("00000"&amp;1892,5))</f>
        <v/>
      </c>
      <c r="U1897">
        <f>IF($T1897="","",COUNTIFS(LdAParty,$P1897,LdAType,1,LdAKey,"&lt;"&amp;$T1897)+COUNTIFS(LdBMember,$P1897,LdBKey,"&lt;"&amp;$T1897)+COUNTIFS(LdCParty,$P1897,LdCKey,"&lt;"&amp;$T1897)+1)</f>
        <v/>
      </c>
      <c r="V1897">
        <f>IF($U1897="","",$P1897&amp;"|"&amp;RIGHT("000000"&amp;$U1897,6))</f>
        <v/>
      </c>
      <c r="W1897">
        <f>IF($T1897="","",COUNTIFS(LdBGroup,$R1897,LdBKey,"&lt;"&amp;$T1897)+1)</f>
        <v/>
      </c>
      <c r="X1897">
        <f>IF($W1897="","",$R1897&amp;"|"&amp;RIGHT("000000"&amp;$W1897,6))</f>
        <v/>
      </c>
      <c r="Y1897">
        <f>IF($P1897="","",IF(Shares!$E1900="",0,Shares!$E1900))</f>
        <v/>
      </c>
      <c r="Z1897">
        <f>IF($P1897="","",Shares!$H1900)</f>
        <v/>
      </c>
      <c r="AE1897">
        <f>IF(OR(Sync!$S1897="",Sync!$P1897=""),"",Sync!$S1897)</f>
        <v/>
      </c>
      <c r="AF1897">
        <f>IF($AE1897="","",IF(ISNUMBER(Sync!$P1897),IF(AND(Sync!$P1897&gt;=10000101,Sync!$P1897&lt;=99991231),INT(Sync!$P1897/10000),""),IFERROR(VALUE(TRIM(LEFT(Sync!$P1897,FIND("/",Sync!$P1897)-1))),"")))</f>
        <v/>
      </c>
      <c r="AG1897">
        <f>IF(OR($AE1897="",$AF1897=""),"",IF(ISNUMBER(Sync!$P1897),INT(MOD(Sync!$P1897,10000)/100),IFERROR(VALUE(TRIM(LEFT(MID(Sync!$P1897,FIND("/",Sync!$P1897)+1,20),FIND("/",MID(Sync!$P1897,FIND("/",Sync!$P1897)+1,20))-1))),"")))</f>
        <v/>
      </c>
      <c r="AH1897">
        <f>IF(OR($AE1897="",$AF1897=""),"",IF(ISNUMBER(Sync!$P1897),MOD(Sync!$P1897,100),IFERROR(VALUE(TRIM(MID(MID(Sync!$P1897,FIND("/",Sync!$P1897)+1,20),FIND("/",MID(Sync!$P1897,FIND("/",Sync!$P1897)+1,20))+1,20))),"")))</f>
        <v/>
      </c>
      <c r="AI1897">
        <f>IF($AE1897="","",IF(OR($AF1897="",$AG1897="",$AH1897="",$AF1897&lt;1300,$AF1897&gt;1500,$AG1897&lt;1,$AG1897&gt;12,$AH1897&lt;1,$AH1897&gt;31),"نامعتبر",RIGHT("0000"&amp;$AF1897,4)&amp;"/"&amp;RIGHT("00"&amp;$AG1897,2)&amp;"/"&amp;RIGHT("00"&amp;$AH1897,2)))</f>
        <v/>
      </c>
      <c r="AJ1897">
        <f>IF($AE1897="","",IF(Sync!$Q1897="","0000",IF(AND(ISNUMBER(Sync!$Q1897),Sync!$Q1897&gt;=0,Sync!$Q1897&lt;1),RIGHT("00"&amp;HOUR(Sync!$Q1897),2)&amp;RIGHT("00"&amp;MINUTE(Sync!$Q1897),2),IFERROR(RIGHT("00"&amp;VALUE(LEFT(Sync!$Q1897,FIND(":",Sync!$Q1897)-1)),2)&amp;RIGHT("00"&amp;VALUE(MID(Sync!$Q1897,FIND(":",Sync!$Q1897)+1,2)),2),"0000"))))</f>
        <v/>
      </c>
      <c r="AK1897">
        <f>IF(OR($AE1897="",$AI1897="",$AI1897="نامعتبر"),"",LEFT($AI1897,4)&amp;MID($AI1897,6,2)&amp;RIGHT($AI1897,2)&amp;$AJ1897&amp;"|"&amp;"3"&amp;RIGHT("00000"&amp;1892,5))</f>
        <v/>
      </c>
      <c r="AL1897">
        <f>IF($AK1897="","",COUNTIFS(LdAParty,$AE1897,LdAType,1,LdAKey,"&lt;"&amp;$AK1897)+COUNTIFS(LdBMember,$AE1897,LdBKey,"&lt;"&amp;$AK1897)+COUNTIFS(LdCParty,$AE1897,LdCKey,"&lt;"&amp;$AK1897)+1)</f>
        <v/>
      </c>
      <c r="AM1897">
        <f>IF($AL1897="","",$AE1897&amp;"|"&amp;RIGHT("000000"&amp;$AL1897,6))</f>
        <v/>
      </c>
      <c r="AN1897">
        <f>IF($AE1897="","",IF(Sync!$W1897="",0,Sync!$W1897))</f>
        <v/>
      </c>
      <c r="AO1897">
        <f>IF($AE1897="","",IF(Sync!$X1897="",0,Sync!$X1897))</f>
        <v/>
      </c>
      <c r="AP1897">
        <f>IF($AE1897="","",Sync!$R1897)</f>
        <v/>
      </c>
      <c r="AQ1897">
        <f>IF($AE1897="","",Sync!$Y1897)</f>
        <v/>
      </c>
    </row>
    <row r="1898">
      <c r="A1898">
        <f>IF(OR(Wages!$B1901="",Wages!$E1901=""),"",Wages!$E1901)</f>
        <v/>
      </c>
      <c r="B1898">
        <f>IF($A1898="","",IF(Wages!$C1901="دستمزد گروهی",2,1))</f>
        <v/>
      </c>
      <c r="C1898">
        <f>IF($A1898="","",IF(ISNUMBER(Wages!$B1901),IF(AND(Wages!$B1901&gt;=10000101,Wages!$B1901&lt;=99991231),INT(Wages!$B1901/10000),""),IFERROR(VALUE(TRIM(LEFT(Wages!$B1901,FIND("/",Wages!$B1901)-1))),"")))</f>
        <v/>
      </c>
      <c r="D1898">
        <f>IF(OR($A1898="",$C1898=""),"",IF(ISNUMBER(Wages!$B1901),INT(MOD(Wages!$B1901,10000)/100),IFERROR(VALUE(TRIM(LEFT(MID(Wages!$B1901,FIND("/",Wages!$B1901)+1,20),FIND("/",MID(Wages!$B1901,FIND("/",Wages!$B1901)+1,20))-1))),"")))</f>
        <v/>
      </c>
      <c r="E1898">
        <f>IF(OR($A1898="",$C1898=""),"",IF(ISNUMBER(Wages!$B1901),MOD(Wages!$B1901,100),IFERROR(VALUE(TRIM(MID(MID(Wages!$B1901,FIND("/",Wages!$B1901)+1,20),FIND("/",MID(Wages!$B1901,FIND("/",Wages!$B1901)+1,20))+1,20))),"")))</f>
        <v/>
      </c>
      <c r="F1898">
        <f>IF($A1898="","",IF(OR($C1898="",$D1898="",$E1898="",$C1898&lt;1300,$C1898&gt;1500,$D1898&lt;1,$D1898&gt;12,$E1898&lt;1,$E1898&gt;31),"نامعتبر",RIGHT("0000"&amp;$C1898,4)&amp;"/"&amp;RIGHT("00"&amp;$D1898,2)&amp;"/"&amp;RIGHT("00"&amp;$E1898,2)))</f>
        <v/>
      </c>
      <c r="G1898">
        <f>IF(OR($A1898="",$F1898="",$F1898="نامعتبر"),"",LEFT($F1898,4)&amp;MID($F1898,6,2)&amp;RIGHT($F1898,2)&amp;"0000"&amp;"|"&amp;"1"&amp;RIGHT("00000"&amp;1893,5))</f>
        <v/>
      </c>
      <c r="H1898">
        <f>IF(OR($B1898&lt;&gt;1,$G1898=""),"",COUNTIFS(LdAParty,$A1898,LdAType,1,LdAKey,"&lt;"&amp;$G1898)+COUNTIFS(LdBMember,$A1898,LdBKey,"&lt;"&amp;$G1898)+COUNTIFS(LdCParty,$A1898,LdCKey,"&lt;"&amp;$G1898)+1)</f>
        <v/>
      </c>
      <c r="I1898">
        <f>IF($H1898="","",$A1898&amp;"|"&amp;RIGHT("000000"&amp;$H1898,6))</f>
        <v/>
      </c>
      <c r="J1898">
        <f>IF(OR($B1898&lt;&gt;2,$G1898=""),"",COUNTIFS(LdAParty,$A1898,LdAType,2,LdAKey,"&lt;"&amp;$G1898)+1)</f>
        <v/>
      </c>
      <c r="K1898">
        <f>IF($J1898="","",$A1898&amp;"|"&amp;RIGHT("000000"&amp;$J1898,6))</f>
        <v/>
      </c>
      <c r="L1898">
        <f>IF($A1898="","",IF(Wages!$G1901="",0,Wages!$G1901))</f>
        <v/>
      </c>
      <c r="M1898">
        <f>IF($A1898="","",Wages!$J1901)</f>
        <v/>
      </c>
      <c r="N1898">
        <f>IF($A1898="","",Wages!$D1901)</f>
        <v/>
      </c>
      <c r="P1898">
        <f>IF(OR(Shares!$B1901="",Shares!$C1901=""),"",Shares!$C1901)</f>
        <v/>
      </c>
      <c r="Q1898">
        <f>IF($P1898="","",Shares!$B1901)</f>
        <v/>
      </c>
      <c r="R1898">
        <f>IF($P1898="","",IFERROR(INDEX(WageParty,MATCH($Q1898,WageIds,0)),""))</f>
        <v/>
      </c>
      <c r="S1898">
        <f>IF($P1898="","",IFERROR(INDEX($F$6:$F$2005,MATCH($Q1898,WageIds,0)),""))</f>
        <v/>
      </c>
      <c r="T1898">
        <f>IF(OR($P1898="",$S1898="",$S1898="نامعتبر"),"",LEFT($S1898,4)&amp;MID($S1898,6,2)&amp;RIGHT($S1898,2)&amp;"0000"&amp;"|"&amp;"2"&amp;RIGHT("00000"&amp;1893,5))</f>
        <v/>
      </c>
      <c r="U1898">
        <f>IF($T1898="","",COUNTIFS(LdAParty,$P1898,LdAType,1,LdAKey,"&lt;"&amp;$T1898)+COUNTIFS(LdBMember,$P1898,LdBKey,"&lt;"&amp;$T1898)+COUNTIFS(LdCParty,$P1898,LdCKey,"&lt;"&amp;$T1898)+1)</f>
        <v/>
      </c>
      <c r="V1898">
        <f>IF($U1898="","",$P1898&amp;"|"&amp;RIGHT("000000"&amp;$U1898,6))</f>
        <v/>
      </c>
      <c r="W1898">
        <f>IF($T1898="","",COUNTIFS(LdBGroup,$R1898,LdBKey,"&lt;"&amp;$T1898)+1)</f>
        <v/>
      </c>
      <c r="X1898">
        <f>IF($W1898="","",$R1898&amp;"|"&amp;RIGHT("000000"&amp;$W1898,6))</f>
        <v/>
      </c>
      <c r="Y1898">
        <f>IF($P1898="","",IF(Shares!$E1901="",0,Shares!$E1901))</f>
        <v/>
      </c>
      <c r="Z1898">
        <f>IF($P1898="","",Shares!$H1901)</f>
        <v/>
      </c>
      <c r="AE1898">
        <f>IF(OR(Sync!$S1898="",Sync!$P1898=""),"",Sync!$S1898)</f>
        <v/>
      </c>
      <c r="AF1898">
        <f>IF($AE1898="","",IF(ISNUMBER(Sync!$P1898),IF(AND(Sync!$P1898&gt;=10000101,Sync!$P1898&lt;=99991231),INT(Sync!$P1898/10000),""),IFERROR(VALUE(TRIM(LEFT(Sync!$P1898,FIND("/",Sync!$P1898)-1))),"")))</f>
        <v/>
      </c>
      <c r="AG1898">
        <f>IF(OR($AE1898="",$AF1898=""),"",IF(ISNUMBER(Sync!$P1898),INT(MOD(Sync!$P1898,10000)/100),IFERROR(VALUE(TRIM(LEFT(MID(Sync!$P1898,FIND("/",Sync!$P1898)+1,20),FIND("/",MID(Sync!$P1898,FIND("/",Sync!$P1898)+1,20))-1))),"")))</f>
        <v/>
      </c>
      <c r="AH1898">
        <f>IF(OR($AE1898="",$AF1898=""),"",IF(ISNUMBER(Sync!$P1898),MOD(Sync!$P1898,100),IFERROR(VALUE(TRIM(MID(MID(Sync!$P1898,FIND("/",Sync!$P1898)+1,20),FIND("/",MID(Sync!$P1898,FIND("/",Sync!$P1898)+1,20))+1,20))),"")))</f>
        <v/>
      </c>
      <c r="AI1898">
        <f>IF($AE1898="","",IF(OR($AF1898="",$AG1898="",$AH1898="",$AF1898&lt;1300,$AF1898&gt;1500,$AG1898&lt;1,$AG1898&gt;12,$AH1898&lt;1,$AH1898&gt;31),"نامعتبر",RIGHT("0000"&amp;$AF1898,4)&amp;"/"&amp;RIGHT("00"&amp;$AG1898,2)&amp;"/"&amp;RIGHT("00"&amp;$AH1898,2)))</f>
        <v/>
      </c>
      <c r="AJ1898">
        <f>IF($AE1898="","",IF(Sync!$Q1898="","0000",IF(AND(ISNUMBER(Sync!$Q1898),Sync!$Q1898&gt;=0,Sync!$Q1898&lt;1),RIGHT("00"&amp;HOUR(Sync!$Q1898),2)&amp;RIGHT("00"&amp;MINUTE(Sync!$Q1898),2),IFERROR(RIGHT("00"&amp;VALUE(LEFT(Sync!$Q1898,FIND(":",Sync!$Q1898)-1)),2)&amp;RIGHT("00"&amp;VALUE(MID(Sync!$Q1898,FIND(":",Sync!$Q1898)+1,2)),2),"0000"))))</f>
        <v/>
      </c>
      <c r="AK1898">
        <f>IF(OR($AE1898="",$AI1898="",$AI1898="نامعتبر"),"",LEFT($AI1898,4)&amp;MID($AI1898,6,2)&amp;RIGHT($AI1898,2)&amp;$AJ1898&amp;"|"&amp;"3"&amp;RIGHT("00000"&amp;1893,5))</f>
        <v/>
      </c>
      <c r="AL1898">
        <f>IF($AK1898="","",COUNTIFS(LdAParty,$AE1898,LdAType,1,LdAKey,"&lt;"&amp;$AK1898)+COUNTIFS(LdBMember,$AE1898,LdBKey,"&lt;"&amp;$AK1898)+COUNTIFS(LdCParty,$AE1898,LdCKey,"&lt;"&amp;$AK1898)+1)</f>
        <v/>
      </c>
      <c r="AM1898">
        <f>IF($AL1898="","",$AE1898&amp;"|"&amp;RIGHT("000000"&amp;$AL1898,6))</f>
        <v/>
      </c>
      <c r="AN1898">
        <f>IF($AE1898="","",IF(Sync!$W1898="",0,Sync!$W1898))</f>
        <v/>
      </c>
      <c r="AO1898">
        <f>IF($AE1898="","",IF(Sync!$X1898="",0,Sync!$X1898))</f>
        <v/>
      </c>
      <c r="AP1898">
        <f>IF($AE1898="","",Sync!$R1898)</f>
        <v/>
      </c>
      <c r="AQ1898">
        <f>IF($AE1898="","",Sync!$Y1898)</f>
        <v/>
      </c>
    </row>
    <row r="1899">
      <c r="A1899">
        <f>IF(OR(Wages!$B1902="",Wages!$E1902=""),"",Wages!$E1902)</f>
        <v/>
      </c>
      <c r="B1899">
        <f>IF($A1899="","",IF(Wages!$C1902="دستمزد گروهی",2,1))</f>
        <v/>
      </c>
      <c r="C1899">
        <f>IF($A1899="","",IF(ISNUMBER(Wages!$B1902),IF(AND(Wages!$B1902&gt;=10000101,Wages!$B1902&lt;=99991231),INT(Wages!$B1902/10000),""),IFERROR(VALUE(TRIM(LEFT(Wages!$B1902,FIND("/",Wages!$B1902)-1))),"")))</f>
        <v/>
      </c>
      <c r="D1899">
        <f>IF(OR($A1899="",$C1899=""),"",IF(ISNUMBER(Wages!$B1902),INT(MOD(Wages!$B1902,10000)/100),IFERROR(VALUE(TRIM(LEFT(MID(Wages!$B1902,FIND("/",Wages!$B1902)+1,20),FIND("/",MID(Wages!$B1902,FIND("/",Wages!$B1902)+1,20))-1))),"")))</f>
        <v/>
      </c>
      <c r="E1899">
        <f>IF(OR($A1899="",$C1899=""),"",IF(ISNUMBER(Wages!$B1902),MOD(Wages!$B1902,100),IFERROR(VALUE(TRIM(MID(MID(Wages!$B1902,FIND("/",Wages!$B1902)+1,20),FIND("/",MID(Wages!$B1902,FIND("/",Wages!$B1902)+1,20))+1,20))),"")))</f>
        <v/>
      </c>
      <c r="F1899">
        <f>IF($A1899="","",IF(OR($C1899="",$D1899="",$E1899="",$C1899&lt;1300,$C1899&gt;1500,$D1899&lt;1,$D1899&gt;12,$E1899&lt;1,$E1899&gt;31),"نامعتبر",RIGHT("0000"&amp;$C1899,4)&amp;"/"&amp;RIGHT("00"&amp;$D1899,2)&amp;"/"&amp;RIGHT("00"&amp;$E1899,2)))</f>
        <v/>
      </c>
      <c r="G1899">
        <f>IF(OR($A1899="",$F1899="",$F1899="نامعتبر"),"",LEFT($F1899,4)&amp;MID($F1899,6,2)&amp;RIGHT($F1899,2)&amp;"0000"&amp;"|"&amp;"1"&amp;RIGHT("00000"&amp;1894,5))</f>
        <v/>
      </c>
      <c r="H1899">
        <f>IF(OR($B1899&lt;&gt;1,$G1899=""),"",COUNTIFS(LdAParty,$A1899,LdAType,1,LdAKey,"&lt;"&amp;$G1899)+COUNTIFS(LdBMember,$A1899,LdBKey,"&lt;"&amp;$G1899)+COUNTIFS(LdCParty,$A1899,LdCKey,"&lt;"&amp;$G1899)+1)</f>
        <v/>
      </c>
      <c r="I1899">
        <f>IF($H1899="","",$A1899&amp;"|"&amp;RIGHT("000000"&amp;$H1899,6))</f>
        <v/>
      </c>
      <c r="J1899">
        <f>IF(OR($B1899&lt;&gt;2,$G1899=""),"",COUNTIFS(LdAParty,$A1899,LdAType,2,LdAKey,"&lt;"&amp;$G1899)+1)</f>
        <v/>
      </c>
      <c r="K1899">
        <f>IF($J1899="","",$A1899&amp;"|"&amp;RIGHT("000000"&amp;$J1899,6))</f>
        <v/>
      </c>
      <c r="L1899">
        <f>IF($A1899="","",IF(Wages!$G1902="",0,Wages!$G1902))</f>
        <v/>
      </c>
      <c r="M1899">
        <f>IF($A1899="","",Wages!$J1902)</f>
        <v/>
      </c>
      <c r="N1899">
        <f>IF($A1899="","",Wages!$D1902)</f>
        <v/>
      </c>
      <c r="P1899">
        <f>IF(OR(Shares!$B1902="",Shares!$C1902=""),"",Shares!$C1902)</f>
        <v/>
      </c>
      <c r="Q1899">
        <f>IF($P1899="","",Shares!$B1902)</f>
        <v/>
      </c>
      <c r="R1899">
        <f>IF($P1899="","",IFERROR(INDEX(WageParty,MATCH($Q1899,WageIds,0)),""))</f>
        <v/>
      </c>
      <c r="S1899">
        <f>IF($P1899="","",IFERROR(INDEX($F$6:$F$2005,MATCH($Q1899,WageIds,0)),""))</f>
        <v/>
      </c>
      <c r="T1899">
        <f>IF(OR($P1899="",$S1899="",$S1899="نامعتبر"),"",LEFT($S1899,4)&amp;MID($S1899,6,2)&amp;RIGHT($S1899,2)&amp;"0000"&amp;"|"&amp;"2"&amp;RIGHT("00000"&amp;1894,5))</f>
        <v/>
      </c>
      <c r="U1899">
        <f>IF($T1899="","",COUNTIFS(LdAParty,$P1899,LdAType,1,LdAKey,"&lt;"&amp;$T1899)+COUNTIFS(LdBMember,$P1899,LdBKey,"&lt;"&amp;$T1899)+COUNTIFS(LdCParty,$P1899,LdCKey,"&lt;"&amp;$T1899)+1)</f>
        <v/>
      </c>
      <c r="V1899">
        <f>IF($U1899="","",$P1899&amp;"|"&amp;RIGHT("000000"&amp;$U1899,6))</f>
        <v/>
      </c>
      <c r="W1899">
        <f>IF($T1899="","",COUNTIFS(LdBGroup,$R1899,LdBKey,"&lt;"&amp;$T1899)+1)</f>
        <v/>
      </c>
      <c r="X1899">
        <f>IF($W1899="","",$R1899&amp;"|"&amp;RIGHT("000000"&amp;$W1899,6))</f>
        <v/>
      </c>
      <c r="Y1899">
        <f>IF($P1899="","",IF(Shares!$E1902="",0,Shares!$E1902))</f>
        <v/>
      </c>
      <c r="Z1899">
        <f>IF($P1899="","",Shares!$H1902)</f>
        <v/>
      </c>
      <c r="AE1899">
        <f>IF(OR(Sync!$S1899="",Sync!$P1899=""),"",Sync!$S1899)</f>
        <v/>
      </c>
      <c r="AF1899">
        <f>IF($AE1899="","",IF(ISNUMBER(Sync!$P1899),IF(AND(Sync!$P1899&gt;=10000101,Sync!$P1899&lt;=99991231),INT(Sync!$P1899/10000),""),IFERROR(VALUE(TRIM(LEFT(Sync!$P1899,FIND("/",Sync!$P1899)-1))),"")))</f>
        <v/>
      </c>
      <c r="AG1899">
        <f>IF(OR($AE1899="",$AF1899=""),"",IF(ISNUMBER(Sync!$P1899),INT(MOD(Sync!$P1899,10000)/100),IFERROR(VALUE(TRIM(LEFT(MID(Sync!$P1899,FIND("/",Sync!$P1899)+1,20),FIND("/",MID(Sync!$P1899,FIND("/",Sync!$P1899)+1,20))-1))),"")))</f>
        <v/>
      </c>
      <c r="AH1899">
        <f>IF(OR($AE1899="",$AF1899=""),"",IF(ISNUMBER(Sync!$P1899),MOD(Sync!$P1899,100),IFERROR(VALUE(TRIM(MID(MID(Sync!$P1899,FIND("/",Sync!$P1899)+1,20),FIND("/",MID(Sync!$P1899,FIND("/",Sync!$P1899)+1,20))+1,20))),"")))</f>
        <v/>
      </c>
      <c r="AI1899">
        <f>IF($AE1899="","",IF(OR($AF1899="",$AG1899="",$AH1899="",$AF1899&lt;1300,$AF1899&gt;1500,$AG1899&lt;1,$AG1899&gt;12,$AH1899&lt;1,$AH1899&gt;31),"نامعتبر",RIGHT("0000"&amp;$AF1899,4)&amp;"/"&amp;RIGHT("00"&amp;$AG1899,2)&amp;"/"&amp;RIGHT("00"&amp;$AH1899,2)))</f>
        <v/>
      </c>
      <c r="AJ1899">
        <f>IF($AE1899="","",IF(Sync!$Q1899="","0000",IF(AND(ISNUMBER(Sync!$Q1899),Sync!$Q1899&gt;=0,Sync!$Q1899&lt;1),RIGHT("00"&amp;HOUR(Sync!$Q1899),2)&amp;RIGHT("00"&amp;MINUTE(Sync!$Q1899),2),IFERROR(RIGHT("00"&amp;VALUE(LEFT(Sync!$Q1899,FIND(":",Sync!$Q1899)-1)),2)&amp;RIGHT("00"&amp;VALUE(MID(Sync!$Q1899,FIND(":",Sync!$Q1899)+1,2)),2),"0000"))))</f>
        <v/>
      </c>
      <c r="AK1899">
        <f>IF(OR($AE1899="",$AI1899="",$AI1899="نامعتبر"),"",LEFT($AI1899,4)&amp;MID($AI1899,6,2)&amp;RIGHT($AI1899,2)&amp;$AJ1899&amp;"|"&amp;"3"&amp;RIGHT("00000"&amp;1894,5))</f>
        <v/>
      </c>
      <c r="AL1899">
        <f>IF($AK1899="","",COUNTIFS(LdAParty,$AE1899,LdAType,1,LdAKey,"&lt;"&amp;$AK1899)+COUNTIFS(LdBMember,$AE1899,LdBKey,"&lt;"&amp;$AK1899)+COUNTIFS(LdCParty,$AE1899,LdCKey,"&lt;"&amp;$AK1899)+1)</f>
        <v/>
      </c>
      <c r="AM1899">
        <f>IF($AL1899="","",$AE1899&amp;"|"&amp;RIGHT("000000"&amp;$AL1899,6))</f>
        <v/>
      </c>
      <c r="AN1899">
        <f>IF($AE1899="","",IF(Sync!$W1899="",0,Sync!$W1899))</f>
        <v/>
      </c>
      <c r="AO1899">
        <f>IF($AE1899="","",IF(Sync!$X1899="",0,Sync!$X1899))</f>
        <v/>
      </c>
      <c r="AP1899">
        <f>IF($AE1899="","",Sync!$R1899)</f>
        <v/>
      </c>
      <c r="AQ1899">
        <f>IF($AE1899="","",Sync!$Y1899)</f>
        <v/>
      </c>
    </row>
    <row r="1900">
      <c r="A1900">
        <f>IF(OR(Wages!$B1903="",Wages!$E1903=""),"",Wages!$E1903)</f>
        <v/>
      </c>
      <c r="B1900">
        <f>IF($A1900="","",IF(Wages!$C1903="دستمزد گروهی",2,1))</f>
        <v/>
      </c>
      <c r="C1900">
        <f>IF($A1900="","",IF(ISNUMBER(Wages!$B1903),IF(AND(Wages!$B1903&gt;=10000101,Wages!$B1903&lt;=99991231),INT(Wages!$B1903/10000),""),IFERROR(VALUE(TRIM(LEFT(Wages!$B1903,FIND("/",Wages!$B1903)-1))),"")))</f>
        <v/>
      </c>
      <c r="D1900">
        <f>IF(OR($A1900="",$C1900=""),"",IF(ISNUMBER(Wages!$B1903),INT(MOD(Wages!$B1903,10000)/100),IFERROR(VALUE(TRIM(LEFT(MID(Wages!$B1903,FIND("/",Wages!$B1903)+1,20),FIND("/",MID(Wages!$B1903,FIND("/",Wages!$B1903)+1,20))-1))),"")))</f>
        <v/>
      </c>
      <c r="E1900">
        <f>IF(OR($A1900="",$C1900=""),"",IF(ISNUMBER(Wages!$B1903),MOD(Wages!$B1903,100),IFERROR(VALUE(TRIM(MID(MID(Wages!$B1903,FIND("/",Wages!$B1903)+1,20),FIND("/",MID(Wages!$B1903,FIND("/",Wages!$B1903)+1,20))+1,20))),"")))</f>
        <v/>
      </c>
      <c r="F1900">
        <f>IF($A1900="","",IF(OR($C1900="",$D1900="",$E1900="",$C1900&lt;1300,$C1900&gt;1500,$D1900&lt;1,$D1900&gt;12,$E1900&lt;1,$E1900&gt;31),"نامعتبر",RIGHT("0000"&amp;$C1900,4)&amp;"/"&amp;RIGHT("00"&amp;$D1900,2)&amp;"/"&amp;RIGHT("00"&amp;$E1900,2)))</f>
        <v/>
      </c>
      <c r="G1900">
        <f>IF(OR($A1900="",$F1900="",$F1900="نامعتبر"),"",LEFT($F1900,4)&amp;MID($F1900,6,2)&amp;RIGHT($F1900,2)&amp;"0000"&amp;"|"&amp;"1"&amp;RIGHT("00000"&amp;1895,5))</f>
        <v/>
      </c>
      <c r="H1900">
        <f>IF(OR($B1900&lt;&gt;1,$G1900=""),"",COUNTIFS(LdAParty,$A1900,LdAType,1,LdAKey,"&lt;"&amp;$G1900)+COUNTIFS(LdBMember,$A1900,LdBKey,"&lt;"&amp;$G1900)+COUNTIFS(LdCParty,$A1900,LdCKey,"&lt;"&amp;$G1900)+1)</f>
        <v/>
      </c>
      <c r="I1900">
        <f>IF($H1900="","",$A1900&amp;"|"&amp;RIGHT("000000"&amp;$H1900,6))</f>
        <v/>
      </c>
      <c r="J1900">
        <f>IF(OR($B1900&lt;&gt;2,$G1900=""),"",COUNTIFS(LdAParty,$A1900,LdAType,2,LdAKey,"&lt;"&amp;$G1900)+1)</f>
        <v/>
      </c>
      <c r="K1900">
        <f>IF($J1900="","",$A1900&amp;"|"&amp;RIGHT("000000"&amp;$J1900,6))</f>
        <v/>
      </c>
      <c r="L1900">
        <f>IF($A1900="","",IF(Wages!$G1903="",0,Wages!$G1903))</f>
        <v/>
      </c>
      <c r="M1900">
        <f>IF($A1900="","",Wages!$J1903)</f>
        <v/>
      </c>
      <c r="N1900">
        <f>IF($A1900="","",Wages!$D1903)</f>
        <v/>
      </c>
      <c r="P1900">
        <f>IF(OR(Shares!$B1903="",Shares!$C1903=""),"",Shares!$C1903)</f>
        <v/>
      </c>
      <c r="Q1900">
        <f>IF($P1900="","",Shares!$B1903)</f>
        <v/>
      </c>
      <c r="R1900">
        <f>IF($P1900="","",IFERROR(INDEX(WageParty,MATCH($Q1900,WageIds,0)),""))</f>
        <v/>
      </c>
      <c r="S1900">
        <f>IF($P1900="","",IFERROR(INDEX($F$6:$F$2005,MATCH($Q1900,WageIds,0)),""))</f>
        <v/>
      </c>
      <c r="T1900">
        <f>IF(OR($P1900="",$S1900="",$S1900="نامعتبر"),"",LEFT($S1900,4)&amp;MID($S1900,6,2)&amp;RIGHT($S1900,2)&amp;"0000"&amp;"|"&amp;"2"&amp;RIGHT("00000"&amp;1895,5))</f>
        <v/>
      </c>
      <c r="U1900">
        <f>IF($T1900="","",COUNTIFS(LdAParty,$P1900,LdAType,1,LdAKey,"&lt;"&amp;$T1900)+COUNTIFS(LdBMember,$P1900,LdBKey,"&lt;"&amp;$T1900)+COUNTIFS(LdCParty,$P1900,LdCKey,"&lt;"&amp;$T1900)+1)</f>
        <v/>
      </c>
      <c r="V1900">
        <f>IF($U1900="","",$P1900&amp;"|"&amp;RIGHT("000000"&amp;$U1900,6))</f>
        <v/>
      </c>
      <c r="W1900">
        <f>IF($T1900="","",COUNTIFS(LdBGroup,$R1900,LdBKey,"&lt;"&amp;$T1900)+1)</f>
        <v/>
      </c>
      <c r="X1900">
        <f>IF($W1900="","",$R1900&amp;"|"&amp;RIGHT("000000"&amp;$W1900,6))</f>
        <v/>
      </c>
      <c r="Y1900">
        <f>IF($P1900="","",IF(Shares!$E1903="",0,Shares!$E1903))</f>
        <v/>
      </c>
      <c r="Z1900">
        <f>IF($P1900="","",Shares!$H1903)</f>
        <v/>
      </c>
      <c r="AE1900">
        <f>IF(OR(Sync!$S1900="",Sync!$P1900=""),"",Sync!$S1900)</f>
        <v/>
      </c>
      <c r="AF1900">
        <f>IF($AE1900="","",IF(ISNUMBER(Sync!$P1900),IF(AND(Sync!$P1900&gt;=10000101,Sync!$P1900&lt;=99991231),INT(Sync!$P1900/10000),""),IFERROR(VALUE(TRIM(LEFT(Sync!$P1900,FIND("/",Sync!$P1900)-1))),"")))</f>
        <v/>
      </c>
      <c r="AG1900">
        <f>IF(OR($AE1900="",$AF1900=""),"",IF(ISNUMBER(Sync!$P1900),INT(MOD(Sync!$P1900,10000)/100),IFERROR(VALUE(TRIM(LEFT(MID(Sync!$P1900,FIND("/",Sync!$P1900)+1,20),FIND("/",MID(Sync!$P1900,FIND("/",Sync!$P1900)+1,20))-1))),"")))</f>
        <v/>
      </c>
      <c r="AH1900">
        <f>IF(OR($AE1900="",$AF1900=""),"",IF(ISNUMBER(Sync!$P1900),MOD(Sync!$P1900,100),IFERROR(VALUE(TRIM(MID(MID(Sync!$P1900,FIND("/",Sync!$P1900)+1,20),FIND("/",MID(Sync!$P1900,FIND("/",Sync!$P1900)+1,20))+1,20))),"")))</f>
        <v/>
      </c>
      <c r="AI1900">
        <f>IF($AE1900="","",IF(OR($AF1900="",$AG1900="",$AH1900="",$AF1900&lt;1300,$AF1900&gt;1500,$AG1900&lt;1,$AG1900&gt;12,$AH1900&lt;1,$AH1900&gt;31),"نامعتبر",RIGHT("0000"&amp;$AF1900,4)&amp;"/"&amp;RIGHT("00"&amp;$AG1900,2)&amp;"/"&amp;RIGHT("00"&amp;$AH1900,2)))</f>
        <v/>
      </c>
      <c r="AJ1900">
        <f>IF($AE1900="","",IF(Sync!$Q1900="","0000",IF(AND(ISNUMBER(Sync!$Q1900),Sync!$Q1900&gt;=0,Sync!$Q1900&lt;1),RIGHT("00"&amp;HOUR(Sync!$Q1900),2)&amp;RIGHT("00"&amp;MINUTE(Sync!$Q1900),2),IFERROR(RIGHT("00"&amp;VALUE(LEFT(Sync!$Q1900,FIND(":",Sync!$Q1900)-1)),2)&amp;RIGHT("00"&amp;VALUE(MID(Sync!$Q1900,FIND(":",Sync!$Q1900)+1,2)),2),"0000"))))</f>
        <v/>
      </c>
      <c r="AK1900">
        <f>IF(OR($AE1900="",$AI1900="",$AI1900="نامعتبر"),"",LEFT($AI1900,4)&amp;MID($AI1900,6,2)&amp;RIGHT($AI1900,2)&amp;$AJ1900&amp;"|"&amp;"3"&amp;RIGHT("00000"&amp;1895,5))</f>
        <v/>
      </c>
      <c r="AL1900">
        <f>IF($AK1900="","",COUNTIFS(LdAParty,$AE1900,LdAType,1,LdAKey,"&lt;"&amp;$AK1900)+COUNTIFS(LdBMember,$AE1900,LdBKey,"&lt;"&amp;$AK1900)+COUNTIFS(LdCParty,$AE1900,LdCKey,"&lt;"&amp;$AK1900)+1)</f>
        <v/>
      </c>
      <c r="AM1900">
        <f>IF($AL1900="","",$AE1900&amp;"|"&amp;RIGHT("000000"&amp;$AL1900,6))</f>
        <v/>
      </c>
      <c r="AN1900">
        <f>IF($AE1900="","",IF(Sync!$W1900="",0,Sync!$W1900))</f>
        <v/>
      </c>
      <c r="AO1900">
        <f>IF($AE1900="","",IF(Sync!$X1900="",0,Sync!$X1900))</f>
        <v/>
      </c>
      <c r="AP1900">
        <f>IF($AE1900="","",Sync!$R1900)</f>
        <v/>
      </c>
      <c r="AQ1900">
        <f>IF($AE1900="","",Sync!$Y1900)</f>
        <v/>
      </c>
    </row>
    <row r="1901">
      <c r="A1901">
        <f>IF(OR(Wages!$B1904="",Wages!$E1904=""),"",Wages!$E1904)</f>
        <v/>
      </c>
      <c r="B1901">
        <f>IF($A1901="","",IF(Wages!$C1904="دستمزد گروهی",2,1))</f>
        <v/>
      </c>
      <c r="C1901">
        <f>IF($A1901="","",IF(ISNUMBER(Wages!$B1904),IF(AND(Wages!$B1904&gt;=10000101,Wages!$B1904&lt;=99991231),INT(Wages!$B1904/10000),""),IFERROR(VALUE(TRIM(LEFT(Wages!$B1904,FIND("/",Wages!$B1904)-1))),"")))</f>
        <v/>
      </c>
      <c r="D1901">
        <f>IF(OR($A1901="",$C1901=""),"",IF(ISNUMBER(Wages!$B1904),INT(MOD(Wages!$B1904,10000)/100),IFERROR(VALUE(TRIM(LEFT(MID(Wages!$B1904,FIND("/",Wages!$B1904)+1,20),FIND("/",MID(Wages!$B1904,FIND("/",Wages!$B1904)+1,20))-1))),"")))</f>
        <v/>
      </c>
      <c r="E1901">
        <f>IF(OR($A1901="",$C1901=""),"",IF(ISNUMBER(Wages!$B1904),MOD(Wages!$B1904,100),IFERROR(VALUE(TRIM(MID(MID(Wages!$B1904,FIND("/",Wages!$B1904)+1,20),FIND("/",MID(Wages!$B1904,FIND("/",Wages!$B1904)+1,20))+1,20))),"")))</f>
        <v/>
      </c>
      <c r="F1901">
        <f>IF($A1901="","",IF(OR($C1901="",$D1901="",$E1901="",$C1901&lt;1300,$C1901&gt;1500,$D1901&lt;1,$D1901&gt;12,$E1901&lt;1,$E1901&gt;31),"نامعتبر",RIGHT("0000"&amp;$C1901,4)&amp;"/"&amp;RIGHT("00"&amp;$D1901,2)&amp;"/"&amp;RIGHT("00"&amp;$E1901,2)))</f>
        <v/>
      </c>
      <c r="G1901">
        <f>IF(OR($A1901="",$F1901="",$F1901="نامعتبر"),"",LEFT($F1901,4)&amp;MID($F1901,6,2)&amp;RIGHT($F1901,2)&amp;"0000"&amp;"|"&amp;"1"&amp;RIGHT("00000"&amp;1896,5))</f>
        <v/>
      </c>
      <c r="H1901">
        <f>IF(OR($B1901&lt;&gt;1,$G1901=""),"",COUNTIFS(LdAParty,$A1901,LdAType,1,LdAKey,"&lt;"&amp;$G1901)+COUNTIFS(LdBMember,$A1901,LdBKey,"&lt;"&amp;$G1901)+COUNTIFS(LdCParty,$A1901,LdCKey,"&lt;"&amp;$G1901)+1)</f>
        <v/>
      </c>
      <c r="I1901">
        <f>IF($H1901="","",$A1901&amp;"|"&amp;RIGHT("000000"&amp;$H1901,6))</f>
        <v/>
      </c>
      <c r="J1901">
        <f>IF(OR($B1901&lt;&gt;2,$G1901=""),"",COUNTIFS(LdAParty,$A1901,LdAType,2,LdAKey,"&lt;"&amp;$G1901)+1)</f>
        <v/>
      </c>
      <c r="K1901">
        <f>IF($J1901="","",$A1901&amp;"|"&amp;RIGHT("000000"&amp;$J1901,6))</f>
        <v/>
      </c>
      <c r="L1901">
        <f>IF($A1901="","",IF(Wages!$G1904="",0,Wages!$G1904))</f>
        <v/>
      </c>
      <c r="M1901">
        <f>IF($A1901="","",Wages!$J1904)</f>
        <v/>
      </c>
      <c r="N1901">
        <f>IF($A1901="","",Wages!$D1904)</f>
        <v/>
      </c>
      <c r="P1901">
        <f>IF(OR(Shares!$B1904="",Shares!$C1904=""),"",Shares!$C1904)</f>
        <v/>
      </c>
      <c r="Q1901">
        <f>IF($P1901="","",Shares!$B1904)</f>
        <v/>
      </c>
      <c r="R1901">
        <f>IF($P1901="","",IFERROR(INDEX(WageParty,MATCH($Q1901,WageIds,0)),""))</f>
        <v/>
      </c>
      <c r="S1901">
        <f>IF($P1901="","",IFERROR(INDEX($F$6:$F$2005,MATCH($Q1901,WageIds,0)),""))</f>
        <v/>
      </c>
      <c r="T1901">
        <f>IF(OR($P1901="",$S1901="",$S1901="نامعتبر"),"",LEFT($S1901,4)&amp;MID($S1901,6,2)&amp;RIGHT($S1901,2)&amp;"0000"&amp;"|"&amp;"2"&amp;RIGHT("00000"&amp;1896,5))</f>
        <v/>
      </c>
      <c r="U1901">
        <f>IF($T1901="","",COUNTIFS(LdAParty,$P1901,LdAType,1,LdAKey,"&lt;"&amp;$T1901)+COUNTIFS(LdBMember,$P1901,LdBKey,"&lt;"&amp;$T1901)+COUNTIFS(LdCParty,$P1901,LdCKey,"&lt;"&amp;$T1901)+1)</f>
        <v/>
      </c>
      <c r="V1901">
        <f>IF($U1901="","",$P1901&amp;"|"&amp;RIGHT("000000"&amp;$U1901,6))</f>
        <v/>
      </c>
      <c r="W1901">
        <f>IF($T1901="","",COUNTIFS(LdBGroup,$R1901,LdBKey,"&lt;"&amp;$T1901)+1)</f>
        <v/>
      </c>
      <c r="X1901">
        <f>IF($W1901="","",$R1901&amp;"|"&amp;RIGHT("000000"&amp;$W1901,6))</f>
        <v/>
      </c>
      <c r="Y1901">
        <f>IF($P1901="","",IF(Shares!$E1904="",0,Shares!$E1904))</f>
        <v/>
      </c>
      <c r="Z1901">
        <f>IF($P1901="","",Shares!$H1904)</f>
        <v/>
      </c>
      <c r="AE1901">
        <f>IF(OR(Sync!$S1901="",Sync!$P1901=""),"",Sync!$S1901)</f>
        <v/>
      </c>
      <c r="AF1901">
        <f>IF($AE1901="","",IF(ISNUMBER(Sync!$P1901),IF(AND(Sync!$P1901&gt;=10000101,Sync!$P1901&lt;=99991231),INT(Sync!$P1901/10000),""),IFERROR(VALUE(TRIM(LEFT(Sync!$P1901,FIND("/",Sync!$P1901)-1))),"")))</f>
        <v/>
      </c>
      <c r="AG1901">
        <f>IF(OR($AE1901="",$AF1901=""),"",IF(ISNUMBER(Sync!$P1901),INT(MOD(Sync!$P1901,10000)/100),IFERROR(VALUE(TRIM(LEFT(MID(Sync!$P1901,FIND("/",Sync!$P1901)+1,20),FIND("/",MID(Sync!$P1901,FIND("/",Sync!$P1901)+1,20))-1))),"")))</f>
        <v/>
      </c>
      <c r="AH1901">
        <f>IF(OR($AE1901="",$AF1901=""),"",IF(ISNUMBER(Sync!$P1901),MOD(Sync!$P1901,100),IFERROR(VALUE(TRIM(MID(MID(Sync!$P1901,FIND("/",Sync!$P1901)+1,20),FIND("/",MID(Sync!$P1901,FIND("/",Sync!$P1901)+1,20))+1,20))),"")))</f>
        <v/>
      </c>
      <c r="AI1901">
        <f>IF($AE1901="","",IF(OR($AF1901="",$AG1901="",$AH1901="",$AF1901&lt;1300,$AF1901&gt;1500,$AG1901&lt;1,$AG1901&gt;12,$AH1901&lt;1,$AH1901&gt;31),"نامعتبر",RIGHT("0000"&amp;$AF1901,4)&amp;"/"&amp;RIGHT("00"&amp;$AG1901,2)&amp;"/"&amp;RIGHT("00"&amp;$AH1901,2)))</f>
        <v/>
      </c>
      <c r="AJ1901">
        <f>IF($AE1901="","",IF(Sync!$Q1901="","0000",IF(AND(ISNUMBER(Sync!$Q1901),Sync!$Q1901&gt;=0,Sync!$Q1901&lt;1),RIGHT("00"&amp;HOUR(Sync!$Q1901),2)&amp;RIGHT("00"&amp;MINUTE(Sync!$Q1901),2),IFERROR(RIGHT("00"&amp;VALUE(LEFT(Sync!$Q1901,FIND(":",Sync!$Q1901)-1)),2)&amp;RIGHT("00"&amp;VALUE(MID(Sync!$Q1901,FIND(":",Sync!$Q1901)+1,2)),2),"0000"))))</f>
        <v/>
      </c>
      <c r="AK1901">
        <f>IF(OR($AE1901="",$AI1901="",$AI1901="نامعتبر"),"",LEFT($AI1901,4)&amp;MID($AI1901,6,2)&amp;RIGHT($AI1901,2)&amp;$AJ1901&amp;"|"&amp;"3"&amp;RIGHT("00000"&amp;1896,5))</f>
        <v/>
      </c>
      <c r="AL1901">
        <f>IF($AK1901="","",COUNTIFS(LdAParty,$AE1901,LdAType,1,LdAKey,"&lt;"&amp;$AK1901)+COUNTIFS(LdBMember,$AE1901,LdBKey,"&lt;"&amp;$AK1901)+COUNTIFS(LdCParty,$AE1901,LdCKey,"&lt;"&amp;$AK1901)+1)</f>
        <v/>
      </c>
      <c r="AM1901">
        <f>IF($AL1901="","",$AE1901&amp;"|"&amp;RIGHT("000000"&amp;$AL1901,6))</f>
        <v/>
      </c>
      <c r="AN1901">
        <f>IF($AE1901="","",IF(Sync!$W1901="",0,Sync!$W1901))</f>
        <v/>
      </c>
      <c r="AO1901">
        <f>IF($AE1901="","",IF(Sync!$X1901="",0,Sync!$X1901))</f>
        <v/>
      </c>
      <c r="AP1901">
        <f>IF($AE1901="","",Sync!$R1901)</f>
        <v/>
      </c>
      <c r="AQ1901">
        <f>IF($AE1901="","",Sync!$Y1901)</f>
        <v/>
      </c>
    </row>
    <row r="1902">
      <c r="A1902">
        <f>IF(OR(Wages!$B1905="",Wages!$E1905=""),"",Wages!$E1905)</f>
        <v/>
      </c>
      <c r="B1902">
        <f>IF($A1902="","",IF(Wages!$C1905="دستمزد گروهی",2,1))</f>
        <v/>
      </c>
      <c r="C1902">
        <f>IF($A1902="","",IF(ISNUMBER(Wages!$B1905),IF(AND(Wages!$B1905&gt;=10000101,Wages!$B1905&lt;=99991231),INT(Wages!$B1905/10000),""),IFERROR(VALUE(TRIM(LEFT(Wages!$B1905,FIND("/",Wages!$B1905)-1))),"")))</f>
        <v/>
      </c>
      <c r="D1902">
        <f>IF(OR($A1902="",$C1902=""),"",IF(ISNUMBER(Wages!$B1905),INT(MOD(Wages!$B1905,10000)/100),IFERROR(VALUE(TRIM(LEFT(MID(Wages!$B1905,FIND("/",Wages!$B1905)+1,20),FIND("/",MID(Wages!$B1905,FIND("/",Wages!$B1905)+1,20))-1))),"")))</f>
        <v/>
      </c>
      <c r="E1902">
        <f>IF(OR($A1902="",$C1902=""),"",IF(ISNUMBER(Wages!$B1905),MOD(Wages!$B1905,100),IFERROR(VALUE(TRIM(MID(MID(Wages!$B1905,FIND("/",Wages!$B1905)+1,20),FIND("/",MID(Wages!$B1905,FIND("/",Wages!$B1905)+1,20))+1,20))),"")))</f>
        <v/>
      </c>
      <c r="F1902">
        <f>IF($A1902="","",IF(OR($C1902="",$D1902="",$E1902="",$C1902&lt;1300,$C1902&gt;1500,$D1902&lt;1,$D1902&gt;12,$E1902&lt;1,$E1902&gt;31),"نامعتبر",RIGHT("0000"&amp;$C1902,4)&amp;"/"&amp;RIGHT("00"&amp;$D1902,2)&amp;"/"&amp;RIGHT("00"&amp;$E1902,2)))</f>
        <v/>
      </c>
      <c r="G1902">
        <f>IF(OR($A1902="",$F1902="",$F1902="نامعتبر"),"",LEFT($F1902,4)&amp;MID($F1902,6,2)&amp;RIGHT($F1902,2)&amp;"0000"&amp;"|"&amp;"1"&amp;RIGHT("00000"&amp;1897,5))</f>
        <v/>
      </c>
      <c r="H1902">
        <f>IF(OR($B1902&lt;&gt;1,$G1902=""),"",COUNTIFS(LdAParty,$A1902,LdAType,1,LdAKey,"&lt;"&amp;$G1902)+COUNTIFS(LdBMember,$A1902,LdBKey,"&lt;"&amp;$G1902)+COUNTIFS(LdCParty,$A1902,LdCKey,"&lt;"&amp;$G1902)+1)</f>
        <v/>
      </c>
      <c r="I1902">
        <f>IF($H1902="","",$A1902&amp;"|"&amp;RIGHT("000000"&amp;$H1902,6))</f>
        <v/>
      </c>
      <c r="J1902">
        <f>IF(OR($B1902&lt;&gt;2,$G1902=""),"",COUNTIFS(LdAParty,$A1902,LdAType,2,LdAKey,"&lt;"&amp;$G1902)+1)</f>
        <v/>
      </c>
      <c r="K1902">
        <f>IF($J1902="","",$A1902&amp;"|"&amp;RIGHT("000000"&amp;$J1902,6))</f>
        <v/>
      </c>
      <c r="L1902">
        <f>IF($A1902="","",IF(Wages!$G1905="",0,Wages!$G1905))</f>
        <v/>
      </c>
      <c r="M1902">
        <f>IF($A1902="","",Wages!$J1905)</f>
        <v/>
      </c>
      <c r="N1902">
        <f>IF($A1902="","",Wages!$D1905)</f>
        <v/>
      </c>
      <c r="P1902">
        <f>IF(OR(Shares!$B1905="",Shares!$C1905=""),"",Shares!$C1905)</f>
        <v/>
      </c>
      <c r="Q1902">
        <f>IF($P1902="","",Shares!$B1905)</f>
        <v/>
      </c>
      <c r="R1902">
        <f>IF($P1902="","",IFERROR(INDEX(WageParty,MATCH($Q1902,WageIds,0)),""))</f>
        <v/>
      </c>
      <c r="S1902">
        <f>IF($P1902="","",IFERROR(INDEX($F$6:$F$2005,MATCH($Q1902,WageIds,0)),""))</f>
        <v/>
      </c>
      <c r="T1902">
        <f>IF(OR($P1902="",$S1902="",$S1902="نامعتبر"),"",LEFT($S1902,4)&amp;MID($S1902,6,2)&amp;RIGHT($S1902,2)&amp;"0000"&amp;"|"&amp;"2"&amp;RIGHT("00000"&amp;1897,5))</f>
        <v/>
      </c>
      <c r="U1902">
        <f>IF($T1902="","",COUNTIFS(LdAParty,$P1902,LdAType,1,LdAKey,"&lt;"&amp;$T1902)+COUNTIFS(LdBMember,$P1902,LdBKey,"&lt;"&amp;$T1902)+COUNTIFS(LdCParty,$P1902,LdCKey,"&lt;"&amp;$T1902)+1)</f>
        <v/>
      </c>
      <c r="V1902">
        <f>IF($U1902="","",$P1902&amp;"|"&amp;RIGHT("000000"&amp;$U1902,6))</f>
        <v/>
      </c>
      <c r="W1902">
        <f>IF($T1902="","",COUNTIFS(LdBGroup,$R1902,LdBKey,"&lt;"&amp;$T1902)+1)</f>
        <v/>
      </c>
      <c r="X1902">
        <f>IF($W1902="","",$R1902&amp;"|"&amp;RIGHT("000000"&amp;$W1902,6))</f>
        <v/>
      </c>
      <c r="Y1902">
        <f>IF($P1902="","",IF(Shares!$E1905="",0,Shares!$E1905))</f>
        <v/>
      </c>
      <c r="Z1902">
        <f>IF($P1902="","",Shares!$H1905)</f>
        <v/>
      </c>
      <c r="AE1902">
        <f>IF(OR(Sync!$S1902="",Sync!$P1902=""),"",Sync!$S1902)</f>
        <v/>
      </c>
      <c r="AF1902">
        <f>IF($AE1902="","",IF(ISNUMBER(Sync!$P1902),IF(AND(Sync!$P1902&gt;=10000101,Sync!$P1902&lt;=99991231),INT(Sync!$P1902/10000),""),IFERROR(VALUE(TRIM(LEFT(Sync!$P1902,FIND("/",Sync!$P1902)-1))),"")))</f>
        <v/>
      </c>
      <c r="AG1902">
        <f>IF(OR($AE1902="",$AF1902=""),"",IF(ISNUMBER(Sync!$P1902),INT(MOD(Sync!$P1902,10000)/100),IFERROR(VALUE(TRIM(LEFT(MID(Sync!$P1902,FIND("/",Sync!$P1902)+1,20),FIND("/",MID(Sync!$P1902,FIND("/",Sync!$P1902)+1,20))-1))),"")))</f>
        <v/>
      </c>
      <c r="AH1902">
        <f>IF(OR($AE1902="",$AF1902=""),"",IF(ISNUMBER(Sync!$P1902),MOD(Sync!$P1902,100),IFERROR(VALUE(TRIM(MID(MID(Sync!$P1902,FIND("/",Sync!$P1902)+1,20),FIND("/",MID(Sync!$P1902,FIND("/",Sync!$P1902)+1,20))+1,20))),"")))</f>
        <v/>
      </c>
      <c r="AI1902">
        <f>IF($AE1902="","",IF(OR($AF1902="",$AG1902="",$AH1902="",$AF1902&lt;1300,$AF1902&gt;1500,$AG1902&lt;1,$AG1902&gt;12,$AH1902&lt;1,$AH1902&gt;31),"نامعتبر",RIGHT("0000"&amp;$AF1902,4)&amp;"/"&amp;RIGHT("00"&amp;$AG1902,2)&amp;"/"&amp;RIGHT("00"&amp;$AH1902,2)))</f>
        <v/>
      </c>
      <c r="AJ1902">
        <f>IF($AE1902="","",IF(Sync!$Q1902="","0000",IF(AND(ISNUMBER(Sync!$Q1902),Sync!$Q1902&gt;=0,Sync!$Q1902&lt;1),RIGHT("00"&amp;HOUR(Sync!$Q1902),2)&amp;RIGHT("00"&amp;MINUTE(Sync!$Q1902),2),IFERROR(RIGHT("00"&amp;VALUE(LEFT(Sync!$Q1902,FIND(":",Sync!$Q1902)-1)),2)&amp;RIGHT("00"&amp;VALUE(MID(Sync!$Q1902,FIND(":",Sync!$Q1902)+1,2)),2),"0000"))))</f>
        <v/>
      </c>
      <c r="AK1902">
        <f>IF(OR($AE1902="",$AI1902="",$AI1902="نامعتبر"),"",LEFT($AI1902,4)&amp;MID($AI1902,6,2)&amp;RIGHT($AI1902,2)&amp;$AJ1902&amp;"|"&amp;"3"&amp;RIGHT("00000"&amp;1897,5))</f>
        <v/>
      </c>
      <c r="AL1902">
        <f>IF($AK1902="","",COUNTIFS(LdAParty,$AE1902,LdAType,1,LdAKey,"&lt;"&amp;$AK1902)+COUNTIFS(LdBMember,$AE1902,LdBKey,"&lt;"&amp;$AK1902)+COUNTIFS(LdCParty,$AE1902,LdCKey,"&lt;"&amp;$AK1902)+1)</f>
        <v/>
      </c>
      <c r="AM1902">
        <f>IF($AL1902="","",$AE1902&amp;"|"&amp;RIGHT("000000"&amp;$AL1902,6))</f>
        <v/>
      </c>
      <c r="AN1902">
        <f>IF($AE1902="","",IF(Sync!$W1902="",0,Sync!$W1902))</f>
        <v/>
      </c>
      <c r="AO1902">
        <f>IF($AE1902="","",IF(Sync!$X1902="",0,Sync!$X1902))</f>
        <v/>
      </c>
      <c r="AP1902">
        <f>IF($AE1902="","",Sync!$R1902)</f>
        <v/>
      </c>
      <c r="AQ1902">
        <f>IF($AE1902="","",Sync!$Y1902)</f>
        <v/>
      </c>
    </row>
    <row r="1903">
      <c r="A1903">
        <f>IF(OR(Wages!$B1906="",Wages!$E1906=""),"",Wages!$E1906)</f>
        <v/>
      </c>
      <c r="B1903">
        <f>IF($A1903="","",IF(Wages!$C1906="دستمزد گروهی",2,1))</f>
        <v/>
      </c>
      <c r="C1903">
        <f>IF($A1903="","",IF(ISNUMBER(Wages!$B1906),IF(AND(Wages!$B1906&gt;=10000101,Wages!$B1906&lt;=99991231),INT(Wages!$B1906/10000),""),IFERROR(VALUE(TRIM(LEFT(Wages!$B1906,FIND("/",Wages!$B1906)-1))),"")))</f>
        <v/>
      </c>
      <c r="D1903">
        <f>IF(OR($A1903="",$C1903=""),"",IF(ISNUMBER(Wages!$B1906),INT(MOD(Wages!$B1906,10000)/100),IFERROR(VALUE(TRIM(LEFT(MID(Wages!$B1906,FIND("/",Wages!$B1906)+1,20),FIND("/",MID(Wages!$B1906,FIND("/",Wages!$B1906)+1,20))-1))),"")))</f>
        <v/>
      </c>
      <c r="E1903">
        <f>IF(OR($A1903="",$C1903=""),"",IF(ISNUMBER(Wages!$B1906),MOD(Wages!$B1906,100),IFERROR(VALUE(TRIM(MID(MID(Wages!$B1906,FIND("/",Wages!$B1906)+1,20),FIND("/",MID(Wages!$B1906,FIND("/",Wages!$B1906)+1,20))+1,20))),"")))</f>
        <v/>
      </c>
      <c r="F1903">
        <f>IF($A1903="","",IF(OR($C1903="",$D1903="",$E1903="",$C1903&lt;1300,$C1903&gt;1500,$D1903&lt;1,$D1903&gt;12,$E1903&lt;1,$E1903&gt;31),"نامعتبر",RIGHT("0000"&amp;$C1903,4)&amp;"/"&amp;RIGHT("00"&amp;$D1903,2)&amp;"/"&amp;RIGHT("00"&amp;$E1903,2)))</f>
        <v/>
      </c>
      <c r="G1903">
        <f>IF(OR($A1903="",$F1903="",$F1903="نامعتبر"),"",LEFT($F1903,4)&amp;MID($F1903,6,2)&amp;RIGHT($F1903,2)&amp;"0000"&amp;"|"&amp;"1"&amp;RIGHT("00000"&amp;1898,5))</f>
        <v/>
      </c>
      <c r="H1903">
        <f>IF(OR($B1903&lt;&gt;1,$G1903=""),"",COUNTIFS(LdAParty,$A1903,LdAType,1,LdAKey,"&lt;"&amp;$G1903)+COUNTIFS(LdBMember,$A1903,LdBKey,"&lt;"&amp;$G1903)+COUNTIFS(LdCParty,$A1903,LdCKey,"&lt;"&amp;$G1903)+1)</f>
        <v/>
      </c>
      <c r="I1903">
        <f>IF($H1903="","",$A1903&amp;"|"&amp;RIGHT("000000"&amp;$H1903,6))</f>
        <v/>
      </c>
      <c r="J1903">
        <f>IF(OR($B1903&lt;&gt;2,$G1903=""),"",COUNTIFS(LdAParty,$A1903,LdAType,2,LdAKey,"&lt;"&amp;$G1903)+1)</f>
        <v/>
      </c>
      <c r="K1903">
        <f>IF($J1903="","",$A1903&amp;"|"&amp;RIGHT("000000"&amp;$J1903,6))</f>
        <v/>
      </c>
      <c r="L1903">
        <f>IF($A1903="","",IF(Wages!$G1906="",0,Wages!$G1906))</f>
        <v/>
      </c>
      <c r="M1903">
        <f>IF($A1903="","",Wages!$J1906)</f>
        <v/>
      </c>
      <c r="N1903">
        <f>IF($A1903="","",Wages!$D1906)</f>
        <v/>
      </c>
      <c r="P1903">
        <f>IF(OR(Shares!$B1906="",Shares!$C1906=""),"",Shares!$C1906)</f>
        <v/>
      </c>
      <c r="Q1903">
        <f>IF($P1903="","",Shares!$B1906)</f>
        <v/>
      </c>
      <c r="R1903">
        <f>IF($P1903="","",IFERROR(INDEX(WageParty,MATCH($Q1903,WageIds,0)),""))</f>
        <v/>
      </c>
      <c r="S1903">
        <f>IF($P1903="","",IFERROR(INDEX($F$6:$F$2005,MATCH($Q1903,WageIds,0)),""))</f>
        <v/>
      </c>
      <c r="T1903">
        <f>IF(OR($P1903="",$S1903="",$S1903="نامعتبر"),"",LEFT($S1903,4)&amp;MID($S1903,6,2)&amp;RIGHT($S1903,2)&amp;"0000"&amp;"|"&amp;"2"&amp;RIGHT("00000"&amp;1898,5))</f>
        <v/>
      </c>
      <c r="U1903">
        <f>IF($T1903="","",COUNTIFS(LdAParty,$P1903,LdAType,1,LdAKey,"&lt;"&amp;$T1903)+COUNTIFS(LdBMember,$P1903,LdBKey,"&lt;"&amp;$T1903)+COUNTIFS(LdCParty,$P1903,LdCKey,"&lt;"&amp;$T1903)+1)</f>
        <v/>
      </c>
      <c r="V1903">
        <f>IF($U1903="","",$P1903&amp;"|"&amp;RIGHT("000000"&amp;$U1903,6))</f>
        <v/>
      </c>
      <c r="W1903">
        <f>IF($T1903="","",COUNTIFS(LdBGroup,$R1903,LdBKey,"&lt;"&amp;$T1903)+1)</f>
        <v/>
      </c>
      <c r="X1903">
        <f>IF($W1903="","",$R1903&amp;"|"&amp;RIGHT("000000"&amp;$W1903,6))</f>
        <v/>
      </c>
      <c r="Y1903">
        <f>IF($P1903="","",IF(Shares!$E1906="",0,Shares!$E1906))</f>
        <v/>
      </c>
      <c r="Z1903">
        <f>IF($P1903="","",Shares!$H1906)</f>
        <v/>
      </c>
      <c r="AE1903">
        <f>IF(OR(Sync!$S1903="",Sync!$P1903=""),"",Sync!$S1903)</f>
        <v/>
      </c>
      <c r="AF1903">
        <f>IF($AE1903="","",IF(ISNUMBER(Sync!$P1903),IF(AND(Sync!$P1903&gt;=10000101,Sync!$P1903&lt;=99991231),INT(Sync!$P1903/10000),""),IFERROR(VALUE(TRIM(LEFT(Sync!$P1903,FIND("/",Sync!$P1903)-1))),"")))</f>
        <v/>
      </c>
      <c r="AG1903">
        <f>IF(OR($AE1903="",$AF1903=""),"",IF(ISNUMBER(Sync!$P1903),INT(MOD(Sync!$P1903,10000)/100),IFERROR(VALUE(TRIM(LEFT(MID(Sync!$P1903,FIND("/",Sync!$P1903)+1,20),FIND("/",MID(Sync!$P1903,FIND("/",Sync!$P1903)+1,20))-1))),"")))</f>
        <v/>
      </c>
      <c r="AH1903">
        <f>IF(OR($AE1903="",$AF1903=""),"",IF(ISNUMBER(Sync!$P1903),MOD(Sync!$P1903,100),IFERROR(VALUE(TRIM(MID(MID(Sync!$P1903,FIND("/",Sync!$P1903)+1,20),FIND("/",MID(Sync!$P1903,FIND("/",Sync!$P1903)+1,20))+1,20))),"")))</f>
        <v/>
      </c>
      <c r="AI1903">
        <f>IF($AE1903="","",IF(OR($AF1903="",$AG1903="",$AH1903="",$AF1903&lt;1300,$AF1903&gt;1500,$AG1903&lt;1,$AG1903&gt;12,$AH1903&lt;1,$AH1903&gt;31),"نامعتبر",RIGHT("0000"&amp;$AF1903,4)&amp;"/"&amp;RIGHT("00"&amp;$AG1903,2)&amp;"/"&amp;RIGHT("00"&amp;$AH1903,2)))</f>
        <v/>
      </c>
      <c r="AJ1903">
        <f>IF($AE1903="","",IF(Sync!$Q1903="","0000",IF(AND(ISNUMBER(Sync!$Q1903),Sync!$Q1903&gt;=0,Sync!$Q1903&lt;1),RIGHT("00"&amp;HOUR(Sync!$Q1903),2)&amp;RIGHT("00"&amp;MINUTE(Sync!$Q1903),2),IFERROR(RIGHT("00"&amp;VALUE(LEFT(Sync!$Q1903,FIND(":",Sync!$Q1903)-1)),2)&amp;RIGHT("00"&amp;VALUE(MID(Sync!$Q1903,FIND(":",Sync!$Q1903)+1,2)),2),"0000"))))</f>
        <v/>
      </c>
      <c r="AK1903">
        <f>IF(OR($AE1903="",$AI1903="",$AI1903="نامعتبر"),"",LEFT($AI1903,4)&amp;MID($AI1903,6,2)&amp;RIGHT($AI1903,2)&amp;$AJ1903&amp;"|"&amp;"3"&amp;RIGHT("00000"&amp;1898,5))</f>
        <v/>
      </c>
      <c r="AL1903">
        <f>IF($AK1903="","",COUNTIFS(LdAParty,$AE1903,LdAType,1,LdAKey,"&lt;"&amp;$AK1903)+COUNTIFS(LdBMember,$AE1903,LdBKey,"&lt;"&amp;$AK1903)+COUNTIFS(LdCParty,$AE1903,LdCKey,"&lt;"&amp;$AK1903)+1)</f>
        <v/>
      </c>
      <c r="AM1903">
        <f>IF($AL1903="","",$AE1903&amp;"|"&amp;RIGHT("000000"&amp;$AL1903,6))</f>
        <v/>
      </c>
      <c r="AN1903">
        <f>IF($AE1903="","",IF(Sync!$W1903="",0,Sync!$W1903))</f>
        <v/>
      </c>
      <c r="AO1903">
        <f>IF($AE1903="","",IF(Sync!$X1903="",0,Sync!$X1903))</f>
        <v/>
      </c>
      <c r="AP1903">
        <f>IF($AE1903="","",Sync!$R1903)</f>
        <v/>
      </c>
      <c r="AQ1903">
        <f>IF($AE1903="","",Sync!$Y1903)</f>
        <v/>
      </c>
    </row>
    <row r="1904">
      <c r="A1904">
        <f>IF(OR(Wages!$B1907="",Wages!$E1907=""),"",Wages!$E1907)</f>
        <v/>
      </c>
      <c r="B1904">
        <f>IF($A1904="","",IF(Wages!$C1907="دستمزد گروهی",2,1))</f>
        <v/>
      </c>
      <c r="C1904">
        <f>IF($A1904="","",IF(ISNUMBER(Wages!$B1907),IF(AND(Wages!$B1907&gt;=10000101,Wages!$B1907&lt;=99991231),INT(Wages!$B1907/10000),""),IFERROR(VALUE(TRIM(LEFT(Wages!$B1907,FIND("/",Wages!$B1907)-1))),"")))</f>
        <v/>
      </c>
      <c r="D1904">
        <f>IF(OR($A1904="",$C1904=""),"",IF(ISNUMBER(Wages!$B1907),INT(MOD(Wages!$B1907,10000)/100),IFERROR(VALUE(TRIM(LEFT(MID(Wages!$B1907,FIND("/",Wages!$B1907)+1,20),FIND("/",MID(Wages!$B1907,FIND("/",Wages!$B1907)+1,20))-1))),"")))</f>
        <v/>
      </c>
      <c r="E1904">
        <f>IF(OR($A1904="",$C1904=""),"",IF(ISNUMBER(Wages!$B1907),MOD(Wages!$B1907,100),IFERROR(VALUE(TRIM(MID(MID(Wages!$B1907,FIND("/",Wages!$B1907)+1,20),FIND("/",MID(Wages!$B1907,FIND("/",Wages!$B1907)+1,20))+1,20))),"")))</f>
        <v/>
      </c>
      <c r="F1904">
        <f>IF($A1904="","",IF(OR($C1904="",$D1904="",$E1904="",$C1904&lt;1300,$C1904&gt;1500,$D1904&lt;1,$D1904&gt;12,$E1904&lt;1,$E1904&gt;31),"نامعتبر",RIGHT("0000"&amp;$C1904,4)&amp;"/"&amp;RIGHT("00"&amp;$D1904,2)&amp;"/"&amp;RIGHT("00"&amp;$E1904,2)))</f>
        <v/>
      </c>
      <c r="G1904">
        <f>IF(OR($A1904="",$F1904="",$F1904="نامعتبر"),"",LEFT($F1904,4)&amp;MID($F1904,6,2)&amp;RIGHT($F1904,2)&amp;"0000"&amp;"|"&amp;"1"&amp;RIGHT("00000"&amp;1899,5))</f>
        <v/>
      </c>
      <c r="H1904">
        <f>IF(OR($B1904&lt;&gt;1,$G1904=""),"",COUNTIFS(LdAParty,$A1904,LdAType,1,LdAKey,"&lt;"&amp;$G1904)+COUNTIFS(LdBMember,$A1904,LdBKey,"&lt;"&amp;$G1904)+COUNTIFS(LdCParty,$A1904,LdCKey,"&lt;"&amp;$G1904)+1)</f>
        <v/>
      </c>
      <c r="I1904">
        <f>IF($H1904="","",$A1904&amp;"|"&amp;RIGHT("000000"&amp;$H1904,6))</f>
        <v/>
      </c>
      <c r="J1904">
        <f>IF(OR($B1904&lt;&gt;2,$G1904=""),"",COUNTIFS(LdAParty,$A1904,LdAType,2,LdAKey,"&lt;"&amp;$G1904)+1)</f>
        <v/>
      </c>
      <c r="K1904">
        <f>IF($J1904="","",$A1904&amp;"|"&amp;RIGHT("000000"&amp;$J1904,6))</f>
        <v/>
      </c>
      <c r="L1904">
        <f>IF($A1904="","",IF(Wages!$G1907="",0,Wages!$G1907))</f>
        <v/>
      </c>
      <c r="M1904">
        <f>IF($A1904="","",Wages!$J1907)</f>
        <v/>
      </c>
      <c r="N1904">
        <f>IF($A1904="","",Wages!$D1907)</f>
        <v/>
      </c>
      <c r="P1904">
        <f>IF(OR(Shares!$B1907="",Shares!$C1907=""),"",Shares!$C1907)</f>
        <v/>
      </c>
      <c r="Q1904">
        <f>IF($P1904="","",Shares!$B1907)</f>
        <v/>
      </c>
      <c r="R1904">
        <f>IF($P1904="","",IFERROR(INDEX(WageParty,MATCH($Q1904,WageIds,0)),""))</f>
        <v/>
      </c>
      <c r="S1904">
        <f>IF($P1904="","",IFERROR(INDEX($F$6:$F$2005,MATCH($Q1904,WageIds,0)),""))</f>
        <v/>
      </c>
      <c r="T1904">
        <f>IF(OR($P1904="",$S1904="",$S1904="نامعتبر"),"",LEFT($S1904,4)&amp;MID($S1904,6,2)&amp;RIGHT($S1904,2)&amp;"0000"&amp;"|"&amp;"2"&amp;RIGHT("00000"&amp;1899,5))</f>
        <v/>
      </c>
      <c r="U1904">
        <f>IF($T1904="","",COUNTIFS(LdAParty,$P1904,LdAType,1,LdAKey,"&lt;"&amp;$T1904)+COUNTIFS(LdBMember,$P1904,LdBKey,"&lt;"&amp;$T1904)+COUNTIFS(LdCParty,$P1904,LdCKey,"&lt;"&amp;$T1904)+1)</f>
        <v/>
      </c>
      <c r="V1904">
        <f>IF($U1904="","",$P1904&amp;"|"&amp;RIGHT("000000"&amp;$U1904,6))</f>
        <v/>
      </c>
      <c r="W1904">
        <f>IF($T1904="","",COUNTIFS(LdBGroup,$R1904,LdBKey,"&lt;"&amp;$T1904)+1)</f>
        <v/>
      </c>
      <c r="X1904">
        <f>IF($W1904="","",$R1904&amp;"|"&amp;RIGHT("000000"&amp;$W1904,6))</f>
        <v/>
      </c>
      <c r="Y1904">
        <f>IF($P1904="","",IF(Shares!$E1907="",0,Shares!$E1907))</f>
        <v/>
      </c>
      <c r="Z1904">
        <f>IF($P1904="","",Shares!$H1907)</f>
        <v/>
      </c>
      <c r="AE1904">
        <f>IF(OR(Sync!$S1904="",Sync!$P1904=""),"",Sync!$S1904)</f>
        <v/>
      </c>
      <c r="AF1904">
        <f>IF($AE1904="","",IF(ISNUMBER(Sync!$P1904),IF(AND(Sync!$P1904&gt;=10000101,Sync!$P1904&lt;=99991231),INT(Sync!$P1904/10000),""),IFERROR(VALUE(TRIM(LEFT(Sync!$P1904,FIND("/",Sync!$P1904)-1))),"")))</f>
        <v/>
      </c>
      <c r="AG1904">
        <f>IF(OR($AE1904="",$AF1904=""),"",IF(ISNUMBER(Sync!$P1904),INT(MOD(Sync!$P1904,10000)/100),IFERROR(VALUE(TRIM(LEFT(MID(Sync!$P1904,FIND("/",Sync!$P1904)+1,20),FIND("/",MID(Sync!$P1904,FIND("/",Sync!$P1904)+1,20))-1))),"")))</f>
        <v/>
      </c>
      <c r="AH1904">
        <f>IF(OR($AE1904="",$AF1904=""),"",IF(ISNUMBER(Sync!$P1904),MOD(Sync!$P1904,100),IFERROR(VALUE(TRIM(MID(MID(Sync!$P1904,FIND("/",Sync!$P1904)+1,20),FIND("/",MID(Sync!$P1904,FIND("/",Sync!$P1904)+1,20))+1,20))),"")))</f>
        <v/>
      </c>
      <c r="AI1904">
        <f>IF($AE1904="","",IF(OR($AF1904="",$AG1904="",$AH1904="",$AF1904&lt;1300,$AF1904&gt;1500,$AG1904&lt;1,$AG1904&gt;12,$AH1904&lt;1,$AH1904&gt;31),"نامعتبر",RIGHT("0000"&amp;$AF1904,4)&amp;"/"&amp;RIGHT("00"&amp;$AG1904,2)&amp;"/"&amp;RIGHT("00"&amp;$AH1904,2)))</f>
        <v/>
      </c>
      <c r="AJ1904">
        <f>IF($AE1904="","",IF(Sync!$Q1904="","0000",IF(AND(ISNUMBER(Sync!$Q1904),Sync!$Q1904&gt;=0,Sync!$Q1904&lt;1),RIGHT("00"&amp;HOUR(Sync!$Q1904),2)&amp;RIGHT("00"&amp;MINUTE(Sync!$Q1904),2),IFERROR(RIGHT("00"&amp;VALUE(LEFT(Sync!$Q1904,FIND(":",Sync!$Q1904)-1)),2)&amp;RIGHT("00"&amp;VALUE(MID(Sync!$Q1904,FIND(":",Sync!$Q1904)+1,2)),2),"0000"))))</f>
        <v/>
      </c>
      <c r="AK1904">
        <f>IF(OR($AE1904="",$AI1904="",$AI1904="نامعتبر"),"",LEFT($AI1904,4)&amp;MID($AI1904,6,2)&amp;RIGHT($AI1904,2)&amp;$AJ1904&amp;"|"&amp;"3"&amp;RIGHT("00000"&amp;1899,5))</f>
        <v/>
      </c>
      <c r="AL1904">
        <f>IF($AK1904="","",COUNTIFS(LdAParty,$AE1904,LdAType,1,LdAKey,"&lt;"&amp;$AK1904)+COUNTIFS(LdBMember,$AE1904,LdBKey,"&lt;"&amp;$AK1904)+COUNTIFS(LdCParty,$AE1904,LdCKey,"&lt;"&amp;$AK1904)+1)</f>
        <v/>
      </c>
      <c r="AM1904">
        <f>IF($AL1904="","",$AE1904&amp;"|"&amp;RIGHT("000000"&amp;$AL1904,6))</f>
        <v/>
      </c>
      <c r="AN1904">
        <f>IF($AE1904="","",IF(Sync!$W1904="",0,Sync!$W1904))</f>
        <v/>
      </c>
      <c r="AO1904">
        <f>IF($AE1904="","",IF(Sync!$X1904="",0,Sync!$X1904))</f>
        <v/>
      </c>
      <c r="AP1904">
        <f>IF($AE1904="","",Sync!$R1904)</f>
        <v/>
      </c>
      <c r="AQ1904">
        <f>IF($AE1904="","",Sync!$Y1904)</f>
        <v/>
      </c>
    </row>
    <row r="1905">
      <c r="A1905">
        <f>IF(OR(Wages!$B1908="",Wages!$E1908=""),"",Wages!$E1908)</f>
        <v/>
      </c>
      <c r="B1905">
        <f>IF($A1905="","",IF(Wages!$C1908="دستمزد گروهی",2,1))</f>
        <v/>
      </c>
      <c r="C1905">
        <f>IF($A1905="","",IF(ISNUMBER(Wages!$B1908),IF(AND(Wages!$B1908&gt;=10000101,Wages!$B1908&lt;=99991231),INT(Wages!$B1908/10000),""),IFERROR(VALUE(TRIM(LEFT(Wages!$B1908,FIND("/",Wages!$B1908)-1))),"")))</f>
        <v/>
      </c>
      <c r="D1905">
        <f>IF(OR($A1905="",$C1905=""),"",IF(ISNUMBER(Wages!$B1908),INT(MOD(Wages!$B1908,10000)/100),IFERROR(VALUE(TRIM(LEFT(MID(Wages!$B1908,FIND("/",Wages!$B1908)+1,20),FIND("/",MID(Wages!$B1908,FIND("/",Wages!$B1908)+1,20))-1))),"")))</f>
        <v/>
      </c>
      <c r="E1905">
        <f>IF(OR($A1905="",$C1905=""),"",IF(ISNUMBER(Wages!$B1908),MOD(Wages!$B1908,100),IFERROR(VALUE(TRIM(MID(MID(Wages!$B1908,FIND("/",Wages!$B1908)+1,20),FIND("/",MID(Wages!$B1908,FIND("/",Wages!$B1908)+1,20))+1,20))),"")))</f>
        <v/>
      </c>
      <c r="F1905">
        <f>IF($A1905="","",IF(OR($C1905="",$D1905="",$E1905="",$C1905&lt;1300,$C1905&gt;1500,$D1905&lt;1,$D1905&gt;12,$E1905&lt;1,$E1905&gt;31),"نامعتبر",RIGHT("0000"&amp;$C1905,4)&amp;"/"&amp;RIGHT("00"&amp;$D1905,2)&amp;"/"&amp;RIGHT("00"&amp;$E1905,2)))</f>
        <v/>
      </c>
      <c r="G1905">
        <f>IF(OR($A1905="",$F1905="",$F1905="نامعتبر"),"",LEFT($F1905,4)&amp;MID($F1905,6,2)&amp;RIGHT($F1905,2)&amp;"0000"&amp;"|"&amp;"1"&amp;RIGHT("00000"&amp;1900,5))</f>
        <v/>
      </c>
      <c r="H1905">
        <f>IF(OR($B1905&lt;&gt;1,$G1905=""),"",COUNTIFS(LdAParty,$A1905,LdAType,1,LdAKey,"&lt;"&amp;$G1905)+COUNTIFS(LdBMember,$A1905,LdBKey,"&lt;"&amp;$G1905)+COUNTIFS(LdCParty,$A1905,LdCKey,"&lt;"&amp;$G1905)+1)</f>
        <v/>
      </c>
      <c r="I1905">
        <f>IF($H1905="","",$A1905&amp;"|"&amp;RIGHT("000000"&amp;$H1905,6))</f>
        <v/>
      </c>
      <c r="J1905">
        <f>IF(OR($B1905&lt;&gt;2,$G1905=""),"",COUNTIFS(LdAParty,$A1905,LdAType,2,LdAKey,"&lt;"&amp;$G1905)+1)</f>
        <v/>
      </c>
      <c r="K1905">
        <f>IF($J1905="","",$A1905&amp;"|"&amp;RIGHT("000000"&amp;$J1905,6))</f>
        <v/>
      </c>
      <c r="L1905">
        <f>IF($A1905="","",IF(Wages!$G1908="",0,Wages!$G1908))</f>
        <v/>
      </c>
      <c r="M1905">
        <f>IF($A1905="","",Wages!$J1908)</f>
        <v/>
      </c>
      <c r="N1905">
        <f>IF($A1905="","",Wages!$D1908)</f>
        <v/>
      </c>
      <c r="P1905">
        <f>IF(OR(Shares!$B1908="",Shares!$C1908=""),"",Shares!$C1908)</f>
        <v/>
      </c>
      <c r="Q1905">
        <f>IF($P1905="","",Shares!$B1908)</f>
        <v/>
      </c>
      <c r="R1905">
        <f>IF($P1905="","",IFERROR(INDEX(WageParty,MATCH($Q1905,WageIds,0)),""))</f>
        <v/>
      </c>
      <c r="S1905">
        <f>IF($P1905="","",IFERROR(INDEX($F$6:$F$2005,MATCH($Q1905,WageIds,0)),""))</f>
        <v/>
      </c>
      <c r="T1905">
        <f>IF(OR($P1905="",$S1905="",$S1905="نامعتبر"),"",LEFT($S1905,4)&amp;MID($S1905,6,2)&amp;RIGHT($S1905,2)&amp;"0000"&amp;"|"&amp;"2"&amp;RIGHT("00000"&amp;1900,5))</f>
        <v/>
      </c>
      <c r="U1905">
        <f>IF($T1905="","",COUNTIFS(LdAParty,$P1905,LdAType,1,LdAKey,"&lt;"&amp;$T1905)+COUNTIFS(LdBMember,$P1905,LdBKey,"&lt;"&amp;$T1905)+COUNTIFS(LdCParty,$P1905,LdCKey,"&lt;"&amp;$T1905)+1)</f>
        <v/>
      </c>
      <c r="V1905">
        <f>IF($U1905="","",$P1905&amp;"|"&amp;RIGHT("000000"&amp;$U1905,6))</f>
        <v/>
      </c>
      <c r="W1905">
        <f>IF($T1905="","",COUNTIFS(LdBGroup,$R1905,LdBKey,"&lt;"&amp;$T1905)+1)</f>
        <v/>
      </c>
      <c r="X1905">
        <f>IF($W1905="","",$R1905&amp;"|"&amp;RIGHT("000000"&amp;$W1905,6))</f>
        <v/>
      </c>
      <c r="Y1905">
        <f>IF($P1905="","",IF(Shares!$E1908="",0,Shares!$E1908))</f>
        <v/>
      </c>
      <c r="Z1905">
        <f>IF($P1905="","",Shares!$H1908)</f>
        <v/>
      </c>
      <c r="AE1905">
        <f>IF(OR(Sync!$S1905="",Sync!$P1905=""),"",Sync!$S1905)</f>
        <v/>
      </c>
      <c r="AF1905">
        <f>IF($AE1905="","",IF(ISNUMBER(Sync!$P1905),IF(AND(Sync!$P1905&gt;=10000101,Sync!$P1905&lt;=99991231),INT(Sync!$P1905/10000),""),IFERROR(VALUE(TRIM(LEFT(Sync!$P1905,FIND("/",Sync!$P1905)-1))),"")))</f>
        <v/>
      </c>
      <c r="AG1905">
        <f>IF(OR($AE1905="",$AF1905=""),"",IF(ISNUMBER(Sync!$P1905),INT(MOD(Sync!$P1905,10000)/100),IFERROR(VALUE(TRIM(LEFT(MID(Sync!$P1905,FIND("/",Sync!$P1905)+1,20),FIND("/",MID(Sync!$P1905,FIND("/",Sync!$P1905)+1,20))-1))),"")))</f>
        <v/>
      </c>
      <c r="AH1905">
        <f>IF(OR($AE1905="",$AF1905=""),"",IF(ISNUMBER(Sync!$P1905),MOD(Sync!$P1905,100),IFERROR(VALUE(TRIM(MID(MID(Sync!$P1905,FIND("/",Sync!$P1905)+1,20),FIND("/",MID(Sync!$P1905,FIND("/",Sync!$P1905)+1,20))+1,20))),"")))</f>
        <v/>
      </c>
      <c r="AI1905">
        <f>IF($AE1905="","",IF(OR($AF1905="",$AG1905="",$AH1905="",$AF1905&lt;1300,$AF1905&gt;1500,$AG1905&lt;1,$AG1905&gt;12,$AH1905&lt;1,$AH1905&gt;31),"نامعتبر",RIGHT("0000"&amp;$AF1905,4)&amp;"/"&amp;RIGHT("00"&amp;$AG1905,2)&amp;"/"&amp;RIGHT("00"&amp;$AH1905,2)))</f>
        <v/>
      </c>
      <c r="AJ1905">
        <f>IF($AE1905="","",IF(Sync!$Q1905="","0000",IF(AND(ISNUMBER(Sync!$Q1905),Sync!$Q1905&gt;=0,Sync!$Q1905&lt;1),RIGHT("00"&amp;HOUR(Sync!$Q1905),2)&amp;RIGHT("00"&amp;MINUTE(Sync!$Q1905),2),IFERROR(RIGHT("00"&amp;VALUE(LEFT(Sync!$Q1905,FIND(":",Sync!$Q1905)-1)),2)&amp;RIGHT("00"&amp;VALUE(MID(Sync!$Q1905,FIND(":",Sync!$Q1905)+1,2)),2),"0000"))))</f>
        <v/>
      </c>
      <c r="AK1905">
        <f>IF(OR($AE1905="",$AI1905="",$AI1905="نامعتبر"),"",LEFT($AI1905,4)&amp;MID($AI1905,6,2)&amp;RIGHT($AI1905,2)&amp;$AJ1905&amp;"|"&amp;"3"&amp;RIGHT("00000"&amp;1900,5))</f>
        <v/>
      </c>
      <c r="AL1905">
        <f>IF($AK1905="","",COUNTIFS(LdAParty,$AE1905,LdAType,1,LdAKey,"&lt;"&amp;$AK1905)+COUNTIFS(LdBMember,$AE1905,LdBKey,"&lt;"&amp;$AK1905)+COUNTIFS(LdCParty,$AE1905,LdCKey,"&lt;"&amp;$AK1905)+1)</f>
        <v/>
      </c>
      <c r="AM1905">
        <f>IF($AL1905="","",$AE1905&amp;"|"&amp;RIGHT("000000"&amp;$AL1905,6))</f>
        <v/>
      </c>
      <c r="AN1905">
        <f>IF($AE1905="","",IF(Sync!$W1905="",0,Sync!$W1905))</f>
        <v/>
      </c>
      <c r="AO1905">
        <f>IF($AE1905="","",IF(Sync!$X1905="",0,Sync!$X1905))</f>
        <v/>
      </c>
      <c r="AP1905">
        <f>IF($AE1905="","",Sync!$R1905)</f>
        <v/>
      </c>
      <c r="AQ1905">
        <f>IF($AE1905="","",Sync!$Y1905)</f>
        <v/>
      </c>
    </row>
    <row r="1906">
      <c r="A1906">
        <f>IF(OR(Wages!$B1909="",Wages!$E1909=""),"",Wages!$E1909)</f>
        <v/>
      </c>
      <c r="B1906">
        <f>IF($A1906="","",IF(Wages!$C1909="دستمزد گروهی",2,1))</f>
        <v/>
      </c>
      <c r="C1906">
        <f>IF($A1906="","",IF(ISNUMBER(Wages!$B1909),IF(AND(Wages!$B1909&gt;=10000101,Wages!$B1909&lt;=99991231),INT(Wages!$B1909/10000),""),IFERROR(VALUE(TRIM(LEFT(Wages!$B1909,FIND("/",Wages!$B1909)-1))),"")))</f>
        <v/>
      </c>
      <c r="D1906">
        <f>IF(OR($A1906="",$C1906=""),"",IF(ISNUMBER(Wages!$B1909),INT(MOD(Wages!$B1909,10000)/100),IFERROR(VALUE(TRIM(LEFT(MID(Wages!$B1909,FIND("/",Wages!$B1909)+1,20),FIND("/",MID(Wages!$B1909,FIND("/",Wages!$B1909)+1,20))-1))),"")))</f>
        <v/>
      </c>
      <c r="E1906">
        <f>IF(OR($A1906="",$C1906=""),"",IF(ISNUMBER(Wages!$B1909),MOD(Wages!$B1909,100),IFERROR(VALUE(TRIM(MID(MID(Wages!$B1909,FIND("/",Wages!$B1909)+1,20),FIND("/",MID(Wages!$B1909,FIND("/",Wages!$B1909)+1,20))+1,20))),"")))</f>
        <v/>
      </c>
      <c r="F1906">
        <f>IF($A1906="","",IF(OR($C1906="",$D1906="",$E1906="",$C1906&lt;1300,$C1906&gt;1500,$D1906&lt;1,$D1906&gt;12,$E1906&lt;1,$E1906&gt;31),"نامعتبر",RIGHT("0000"&amp;$C1906,4)&amp;"/"&amp;RIGHT("00"&amp;$D1906,2)&amp;"/"&amp;RIGHT("00"&amp;$E1906,2)))</f>
        <v/>
      </c>
      <c r="G1906">
        <f>IF(OR($A1906="",$F1906="",$F1906="نامعتبر"),"",LEFT($F1906,4)&amp;MID($F1906,6,2)&amp;RIGHT($F1906,2)&amp;"0000"&amp;"|"&amp;"1"&amp;RIGHT("00000"&amp;1901,5))</f>
        <v/>
      </c>
      <c r="H1906">
        <f>IF(OR($B1906&lt;&gt;1,$G1906=""),"",COUNTIFS(LdAParty,$A1906,LdAType,1,LdAKey,"&lt;"&amp;$G1906)+COUNTIFS(LdBMember,$A1906,LdBKey,"&lt;"&amp;$G1906)+COUNTIFS(LdCParty,$A1906,LdCKey,"&lt;"&amp;$G1906)+1)</f>
        <v/>
      </c>
      <c r="I1906">
        <f>IF($H1906="","",$A1906&amp;"|"&amp;RIGHT("000000"&amp;$H1906,6))</f>
        <v/>
      </c>
      <c r="J1906">
        <f>IF(OR($B1906&lt;&gt;2,$G1906=""),"",COUNTIFS(LdAParty,$A1906,LdAType,2,LdAKey,"&lt;"&amp;$G1906)+1)</f>
        <v/>
      </c>
      <c r="K1906">
        <f>IF($J1906="","",$A1906&amp;"|"&amp;RIGHT("000000"&amp;$J1906,6))</f>
        <v/>
      </c>
      <c r="L1906">
        <f>IF($A1906="","",IF(Wages!$G1909="",0,Wages!$G1909))</f>
        <v/>
      </c>
      <c r="M1906">
        <f>IF($A1906="","",Wages!$J1909)</f>
        <v/>
      </c>
      <c r="N1906">
        <f>IF($A1906="","",Wages!$D1909)</f>
        <v/>
      </c>
      <c r="P1906">
        <f>IF(OR(Shares!$B1909="",Shares!$C1909=""),"",Shares!$C1909)</f>
        <v/>
      </c>
      <c r="Q1906">
        <f>IF($P1906="","",Shares!$B1909)</f>
        <v/>
      </c>
      <c r="R1906">
        <f>IF($P1906="","",IFERROR(INDEX(WageParty,MATCH($Q1906,WageIds,0)),""))</f>
        <v/>
      </c>
      <c r="S1906">
        <f>IF($P1906="","",IFERROR(INDEX($F$6:$F$2005,MATCH($Q1906,WageIds,0)),""))</f>
        <v/>
      </c>
      <c r="T1906">
        <f>IF(OR($P1906="",$S1906="",$S1906="نامعتبر"),"",LEFT($S1906,4)&amp;MID($S1906,6,2)&amp;RIGHT($S1906,2)&amp;"0000"&amp;"|"&amp;"2"&amp;RIGHT("00000"&amp;1901,5))</f>
        <v/>
      </c>
      <c r="U1906">
        <f>IF($T1906="","",COUNTIFS(LdAParty,$P1906,LdAType,1,LdAKey,"&lt;"&amp;$T1906)+COUNTIFS(LdBMember,$P1906,LdBKey,"&lt;"&amp;$T1906)+COUNTIFS(LdCParty,$P1906,LdCKey,"&lt;"&amp;$T1906)+1)</f>
        <v/>
      </c>
      <c r="V1906">
        <f>IF($U1906="","",$P1906&amp;"|"&amp;RIGHT("000000"&amp;$U1906,6))</f>
        <v/>
      </c>
      <c r="W1906">
        <f>IF($T1906="","",COUNTIFS(LdBGroup,$R1906,LdBKey,"&lt;"&amp;$T1906)+1)</f>
        <v/>
      </c>
      <c r="X1906">
        <f>IF($W1906="","",$R1906&amp;"|"&amp;RIGHT("000000"&amp;$W1906,6))</f>
        <v/>
      </c>
      <c r="Y1906">
        <f>IF($P1906="","",IF(Shares!$E1909="",0,Shares!$E1909))</f>
        <v/>
      </c>
      <c r="Z1906">
        <f>IF($P1906="","",Shares!$H1909)</f>
        <v/>
      </c>
      <c r="AE1906">
        <f>IF(OR(Sync!$S1906="",Sync!$P1906=""),"",Sync!$S1906)</f>
        <v/>
      </c>
      <c r="AF1906">
        <f>IF($AE1906="","",IF(ISNUMBER(Sync!$P1906),IF(AND(Sync!$P1906&gt;=10000101,Sync!$P1906&lt;=99991231),INT(Sync!$P1906/10000),""),IFERROR(VALUE(TRIM(LEFT(Sync!$P1906,FIND("/",Sync!$P1906)-1))),"")))</f>
        <v/>
      </c>
      <c r="AG1906">
        <f>IF(OR($AE1906="",$AF1906=""),"",IF(ISNUMBER(Sync!$P1906),INT(MOD(Sync!$P1906,10000)/100),IFERROR(VALUE(TRIM(LEFT(MID(Sync!$P1906,FIND("/",Sync!$P1906)+1,20),FIND("/",MID(Sync!$P1906,FIND("/",Sync!$P1906)+1,20))-1))),"")))</f>
        <v/>
      </c>
      <c r="AH1906">
        <f>IF(OR($AE1906="",$AF1906=""),"",IF(ISNUMBER(Sync!$P1906),MOD(Sync!$P1906,100),IFERROR(VALUE(TRIM(MID(MID(Sync!$P1906,FIND("/",Sync!$P1906)+1,20),FIND("/",MID(Sync!$P1906,FIND("/",Sync!$P1906)+1,20))+1,20))),"")))</f>
        <v/>
      </c>
      <c r="AI1906">
        <f>IF($AE1906="","",IF(OR($AF1906="",$AG1906="",$AH1906="",$AF1906&lt;1300,$AF1906&gt;1500,$AG1906&lt;1,$AG1906&gt;12,$AH1906&lt;1,$AH1906&gt;31),"نامعتبر",RIGHT("0000"&amp;$AF1906,4)&amp;"/"&amp;RIGHT("00"&amp;$AG1906,2)&amp;"/"&amp;RIGHT("00"&amp;$AH1906,2)))</f>
        <v/>
      </c>
      <c r="AJ1906">
        <f>IF($AE1906="","",IF(Sync!$Q1906="","0000",IF(AND(ISNUMBER(Sync!$Q1906),Sync!$Q1906&gt;=0,Sync!$Q1906&lt;1),RIGHT("00"&amp;HOUR(Sync!$Q1906),2)&amp;RIGHT("00"&amp;MINUTE(Sync!$Q1906),2),IFERROR(RIGHT("00"&amp;VALUE(LEFT(Sync!$Q1906,FIND(":",Sync!$Q1906)-1)),2)&amp;RIGHT("00"&amp;VALUE(MID(Sync!$Q1906,FIND(":",Sync!$Q1906)+1,2)),2),"0000"))))</f>
        <v/>
      </c>
      <c r="AK1906">
        <f>IF(OR($AE1906="",$AI1906="",$AI1906="نامعتبر"),"",LEFT($AI1906,4)&amp;MID($AI1906,6,2)&amp;RIGHT($AI1906,2)&amp;$AJ1906&amp;"|"&amp;"3"&amp;RIGHT("00000"&amp;1901,5))</f>
        <v/>
      </c>
      <c r="AL1906">
        <f>IF($AK1906="","",COUNTIFS(LdAParty,$AE1906,LdAType,1,LdAKey,"&lt;"&amp;$AK1906)+COUNTIFS(LdBMember,$AE1906,LdBKey,"&lt;"&amp;$AK1906)+COUNTIFS(LdCParty,$AE1906,LdCKey,"&lt;"&amp;$AK1906)+1)</f>
        <v/>
      </c>
      <c r="AM1906">
        <f>IF($AL1906="","",$AE1906&amp;"|"&amp;RIGHT("000000"&amp;$AL1906,6))</f>
        <v/>
      </c>
      <c r="AN1906">
        <f>IF($AE1906="","",IF(Sync!$W1906="",0,Sync!$W1906))</f>
        <v/>
      </c>
      <c r="AO1906">
        <f>IF($AE1906="","",IF(Sync!$X1906="",0,Sync!$X1906))</f>
        <v/>
      </c>
      <c r="AP1906">
        <f>IF($AE1906="","",Sync!$R1906)</f>
        <v/>
      </c>
      <c r="AQ1906">
        <f>IF($AE1906="","",Sync!$Y1906)</f>
        <v/>
      </c>
    </row>
    <row r="1907">
      <c r="A1907">
        <f>IF(OR(Wages!$B1910="",Wages!$E1910=""),"",Wages!$E1910)</f>
        <v/>
      </c>
      <c r="B1907">
        <f>IF($A1907="","",IF(Wages!$C1910="دستمزد گروهی",2,1))</f>
        <v/>
      </c>
      <c r="C1907">
        <f>IF($A1907="","",IF(ISNUMBER(Wages!$B1910),IF(AND(Wages!$B1910&gt;=10000101,Wages!$B1910&lt;=99991231),INT(Wages!$B1910/10000),""),IFERROR(VALUE(TRIM(LEFT(Wages!$B1910,FIND("/",Wages!$B1910)-1))),"")))</f>
        <v/>
      </c>
      <c r="D1907">
        <f>IF(OR($A1907="",$C1907=""),"",IF(ISNUMBER(Wages!$B1910),INT(MOD(Wages!$B1910,10000)/100),IFERROR(VALUE(TRIM(LEFT(MID(Wages!$B1910,FIND("/",Wages!$B1910)+1,20),FIND("/",MID(Wages!$B1910,FIND("/",Wages!$B1910)+1,20))-1))),"")))</f>
        <v/>
      </c>
      <c r="E1907">
        <f>IF(OR($A1907="",$C1907=""),"",IF(ISNUMBER(Wages!$B1910),MOD(Wages!$B1910,100),IFERROR(VALUE(TRIM(MID(MID(Wages!$B1910,FIND("/",Wages!$B1910)+1,20),FIND("/",MID(Wages!$B1910,FIND("/",Wages!$B1910)+1,20))+1,20))),"")))</f>
        <v/>
      </c>
      <c r="F1907">
        <f>IF($A1907="","",IF(OR($C1907="",$D1907="",$E1907="",$C1907&lt;1300,$C1907&gt;1500,$D1907&lt;1,$D1907&gt;12,$E1907&lt;1,$E1907&gt;31),"نامعتبر",RIGHT("0000"&amp;$C1907,4)&amp;"/"&amp;RIGHT("00"&amp;$D1907,2)&amp;"/"&amp;RIGHT("00"&amp;$E1907,2)))</f>
        <v/>
      </c>
      <c r="G1907">
        <f>IF(OR($A1907="",$F1907="",$F1907="نامعتبر"),"",LEFT($F1907,4)&amp;MID($F1907,6,2)&amp;RIGHT($F1907,2)&amp;"0000"&amp;"|"&amp;"1"&amp;RIGHT("00000"&amp;1902,5))</f>
        <v/>
      </c>
      <c r="H1907">
        <f>IF(OR($B1907&lt;&gt;1,$G1907=""),"",COUNTIFS(LdAParty,$A1907,LdAType,1,LdAKey,"&lt;"&amp;$G1907)+COUNTIFS(LdBMember,$A1907,LdBKey,"&lt;"&amp;$G1907)+COUNTIFS(LdCParty,$A1907,LdCKey,"&lt;"&amp;$G1907)+1)</f>
        <v/>
      </c>
      <c r="I1907">
        <f>IF($H1907="","",$A1907&amp;"|"&amp;RIGHT("000000"&amp;$H1907,6))</f>
        <v/>
      </c>
      <c r="J1907">
        <f>IF(OR($B1907&lt;&gt;2,$G1907=""),"",COUNTIFS(LdAParty,$A1907,LdAType,2,LdAKey,"&lt;"&amp;$G1907)+1)</f>
        <v/>
      </c>
      <c r="K1907">
        <f>IF($J1907="","",$A1907&amp;"|"&amp;RIGHT("000000"&amp;$J1907,6))</f>
        <v/>
      </c>
      <c r="L1907">
        <f>IF($A1907="","",IF(Wages!$G1910="",0,Wages!$G1910))</f>
        <v/>
      </c>
      <c r="M1907">
        <f>IF($A1907="","",Wages!$J1910)</f>
        <v/>
      </c>
      <c r="N1907">
        <f>IF($A1907="","",Wages!$D1910)</f>
        <v/>
      </c>
      <c r="P1907">
        <f>IF(OR(Shares!$B1910="",Shares!$C1910=""),"",Shares!$C1910)</f>
        <v/>
      </c>
      <c r="Q1907">
        <f>IF($P1907="","",Shares!$B1910)</f>
        <v/>
      </c>
      <c r="R1907">
        <f>IF($P1907="","",IFERROR(INDEX(WageParty,MATCH($Q1907,WageIds,0)),""))</f>
        <v/>
      </c>
      <c r="S1907">
        <f>IF($P1907="","",IFERROR(INDEX($F$6:$F$2005,MATCH($Q1907,WageIds,0)),""))</f>
        <v/>
      </c>
      <c r="T1907">
        <f>IF(OR($P1907="",$S1907="",$S1907="نامعتبر"),"",LEFT($S1907,4)&amp;MID($S1907,6,2)&amp;RIGHT($S1907,2)&amp;"0000"&amp;"|"&amp;"2"&amp;RIGHT("00000"&amp;1902,5))</f>
        <v/>
      </c>
      <c r="U1907">
        <f>IF($T1907="","",COUNTIFS(LdAParty,$P1907,LdAType,1,LdAKey,"&lt;"&amp;$T1907)+COUNTIFS(LdBMember,$P1907,LdBKey,"&lt;"&amp;$T1907)+COUNTIFS(LdCParty,$P1907,LdCKey,"&lt;"&amp;$T1907)+1)</f>
        <v/>
      </c>
      <c r="V1907">
        <f>IF($U1907="","",$P1907&amp;"|"&amp;RIGHT("000000"&amp;$U1907,6))</f>
        <v/>
      </c>
      <c r="W1907">
        <f>IF($T1907="","",COUNTIFS(LdBGroup,$R1907,LdBKey,"&lt;"&amp;$T1907)+1)</f>
        <v/>
      </c>
      <c r="X1907">
        <f>IF($W1907="","",$R1907&amp;"|"&amp;RIGHT("000000"&amp;$W1907,6))</f>
        <v/>
      </c>
      <c r="Y1907">
        <f>IF($P1907="","",IF(Shares!$E1910="",0,Shares!$E1910))</f>
        <v/>
      </c>
      <c r="Z1907">
        <f>IF($P1907="","",Shares!$H1910)</f>
        <v/>
      </c>
      <c r="AE1907">
        <f>IF(OR(Sync!$S1907="",Sync!$P1907=""),"",Sync!$S1907)</f>
        <v/>
      </c>
      <c r="AF1907">
        <f>IF($AE1907="","",IF(ISNUMBER(Sync!$P1907),IF(AND(Sync!$P1907&gt;=10000101,Sync!$P1907&lt;=99991231),INT(Sync!$P1907/10000),""),IFERROR(VALUE(TRIM(LEFT(Sync!$P1907,FIND("/",Sync!$P1907)-1))),"")))</f>
        <v/>
      </c>
      <c r="AG1907">
        <f>IF(OR($AE1907="",$AF1907=""),"",IF(ISNUMBER(Sync!$P1907),INT(MOD(Sync!$P1907,10000)/100),IFERROR(VALUE(TRIM(LEFT(MID(Sync!$P1907,FIND("/",Sync!$P1907)+1,20),FIND("/",MID(Sync!$P1907,FIND("/",Sync!$P1907)+1,20))-1))),"")))</f>
        <v/>
      </c>
      <c r="AH1907">
        <f>IF(OR($AE1907="",$AF1907=""),"",IF(ISNUMBER(Sync!$P1907),MOD(Sync!$P1907,100),IFERROR(VALUE(TRIM(MID(MID(Sync!$P1907,FIND("/",Sync!$P1907)+1,20),FIND("/",MID(Sync!$P1907,FIND("/",Sync!$P1907)+1,20))+1,20))),"")))</f>
        <v/>
      </c>
      <c r="AI1907">
        <f>IF($AE1907="","",IF(OR($AF1907="",$AG1907="",$AH1907="",$AF1907&lt;1300,$AF1907&gt;1500,$AG1907&lt;1,$AG1907&gt;12,$AH1907&lt;1,$AH1907&gt;31),"نامعتبر",RIGHT("0000"&amp;$AF1907,4)&amp;"/"&amp;RIGHT("00"&amp;$AG1907,2)&amp;"/"&amp;RIGHT("00"&amp;$AH1907,2)))</f>
        <v/>
      </c>
      <c r="AJ1907">
        <f>IF($AE1907="","",IF(Sync!$Q1907="","0000",IF(AND(ISNUMBER(Sync!$Q1907),Sync!$Q1907&gt;=0,Sync!$Q1907&lt;1),RIGHT("00"&amp;HOUR(Sync!$Q1907),2)&amp;RIGHT("00"&amp;MINUTE(Sync!$Q1907),2),IFERROR(RIGHT("00"&amp;VALUE(LEFT(Sync!$Q1907,FIND(":",Sync!$Q1907)-1)),2)&amp;RIGHT("00"&amp;VALUE(MID(Sync!$Q1907,FIND(":",Sync!$Q1907)+1,2)),2),"0000"))))</f>
        <v/>
      </c>
      <c r="AK1907">
        <f>IF(OR($AE1907="",$AI1907="",$AI1907="نامعتبر"),"",LEFT($AI1907,4)&amp;MID($AI1907,6,2)&amp;RIGHT($AI1907,2)&amp;$AJ1907&amp;"|"&amp;"3"&amp;RIGHT("00000"&amp;1902,5))</f>
        <v/>
      </c>
      <c r="AL1907">
        <f>IF($AK1907="","",COUNTIFS(LdAParty,$AE1907,LdAType,1,LdAKey,"&lt;"&amp;$AK1907)+COUNTIFS(LdBMember,$AE1907,LdBKey,"&lt;"&amp;$AK1907)+COUNTIFS(LdCParty,$AE1907,LdCKey,"&lt;"&amp;$AK1907)+1)</f>
        <v/>
      </c>
      <c r="AM1907">
        <f>IF($AL1907="","",$AE1907&amp;"|"&amp;RIGHT("000000"&amp;$AL1907,6))</f>
        <v/>
      </c>
      <c r="AN1907">
        <f>IF($AE1907="","",IF(Sync!$W1907="",0,Sync!$W1907))</f>
        <v/>
      </c>
      <c r="AO1907">
        <f>IF($AE1907="","",IF(Sync!$X1907="",0,Sync!$X1907))</f>
        <v/>
      </c>
      <c r="AP1907">
        <f>IF($AE1907="","",Sync!$R1907)</f>
        <v/>
      </c>
      <c r="AQ1907">
        <f>IF($AE1907="","",Sync!$Y1907)</f>
        <v/>
      </c>
    </row>
    <row r="1908">
      <c r="A1908">
        <f>IF(OR(Wages!$B1911="",Wages!$E1911=""),"",Wages!$E1911)</f>
        <v/>
      </c>
      <c r="B1908">
        <f>IF($A1908="","",IF(Wages!$C1911="دستمزد گروهی",2,1))</f>
        <v/>
      </c>
      <c r="C1908">
        <f>IF($A1908="","",IF(ISNUMBER(Wages!$B1911),IF(AND(Wages!$B1911&gt;=10000101,Wages!$B1911&lt;=99991231),INT(Wages!$B1911/10000),""),IFERROR(VALUE(TRIM(LEFT(Wages!$B1911,FIND("/",Wages!$B1911)-1))),"")))</f>
        <v/>
      </c>
      <c r="D1908">
        <f>IF(OR($A1908="",$C1908=""),"",IF(ISNUMBER(Wages!$B1911),INT(MOD(Wages!$B1911,10000)/100),IFERROR(VALUE(TRIM(LEFT(MID(Wages!$B1911,FIND("/",Wages!$B1911)+1,20),FIND("/",MID(Wages!$B1911,FIND("/",Wages!$B1911)+1,20))-1))),"")))</f>
        <v/>
      </c>
      <c r="E1908">
        <f>IF(OR($A1908="",$C1908=""),"",IF(ISNUMBER(Wages!$B1911),MOD(Wages!$B1911,100),IFERROR(VALUE(TRIM(MID(MID(Wages!$B1911,FIND("/",Wages!$B1911)+1,20),FIND("/",MID(Wages!$B1911,FIND("/",Wages!$B1911)+1,20))+1,20))),"")))</f>
        <v/>
      </c>
      <c r="F1908">
        <f>IF($A1908="","",IF(OR($C1908="",$D1908="",$E1908="",$C1908&lt;1300,$C1908&gt;1500,$D1908&lt;1,$D1908&gt;12,$E1908&lt;1,$E1908&gt;31),"نامعتبر",RIGHT("0000"&amp;$C1908,4)&amp;"/"&amp;RIGHT("00"&amp;$D1908,2)&amp;"/"&amp;RIGHT("00"&amp;$E1908,2)))</f>
        <v/>
      </c>
      <c r="G1908">
        <f>IF(OR($A1908="",$F1908="",$F1908="نامعتبر"),"",LEFT($F1908,4)&amp;MID($F1908,6,2)&amp;RIGHT($F1908,2)&amp;"0000"&amp;"|"&amp;"1"&amp;RIGHT("00000"&amp;1903,5))</f>
        <v/>
      </c>
      <c r="H1908">
        <f>IF(OR($B1908&lt;&gt;1,$G1908=""),"",COUNTIFS(LdAParty,$A1908,LdAType,1,LdAKey,"&lt;"&amp;$G1908)+COUNTIFS(LdBMember,$A1908,LdBKey,"&lt;"&amp;$G1908)+COUNTIFS(LdCParty,$A1908,LdCKey,"&lt;"&amp;$G1908)+1)</f>
        <v/>
      </c>
      <c r="I1908">
        <f>IF($H1908="","",$A1908&amp;"|"&amp;RIGHT("000000"&amp;$H1908,6))</f>
        <v/>
      </c>
      <c r="J1908">
        <f>IF(OR($B1908&lt;&gt;2,$G1908=""),"",COUNTIFS(LdAParty,$A1908,LdAType,2,LdAKey,"&lt;"&amp;$G1908)+1)</f>
        <v/>
      </c>
      <c r="K1908">
        <f>IF($J1908="","",$A1908&amp;"|"&amp;RIGHT("000000"&amp;$J1908,6))</f>
        <v/>
      </c>
      <c r="L1908">
        <f>IF($A1908="","",IF(Wages!$G1911="",0,Wages!$G1911))</f>
        <v/>
      </c>
      <c r="M1908">
        <f>IF($A1908="","",Wages!$J1911)</f>
        <v/>
      </c>
      <c r="N1908">
        <f>IF($A1908="","",Wages!$D1911)</f>
        <v/>
      </c>
      <c r="P1908">
        <f>IF(OR(Shares!$B1911="",Shares!$C1911=""),"",Shares!$C1911)</f>
        <v/>
      </c>
      <c r="Q1908">
        <f>IF($P1908="","",Shares!$B1911)</f>
        <v/>
      </c>
      <c r="R1908">
        <f>IF($P1908="","",IFERROR(INDEX(WageParty,MATCH($Q1908,WageIds,0)),""))</f>
        <v/>
      </c>
      <c r="S1908">
        <f>IF($P1908="","",IFERROR(INDEX($F$6:$F$2005,MATCH($Q1908,WageIds,0)),""))</f>
        <v/>
      </c>
      <c r="T1908">
        <f>IF(OR($P1908="",$S1908="",$S1908="نامعتبر"),"",LEFT($S1908,4)&amp;MID($S1908,6,2)&amp;RIGHT($S1908,2)&amp;"0000"&amp;"|"&amp;"2"&amp;RIGHT("00000"&amp;1903,5))</f>
        <v/>
      </c>
      <c r="U1908">
        <f>IF($T1908="","",COUNTIFS(LdAParty,$P1908,LdAType,1,LdAKey,"&lt;"&amp;$T1908)+COUNTIFS(LdBMember,$P1908,LdBKey,"&lt;"&amp;$T1908)+COUNTIFS(LdCParty,$P1908,LdCKey,"&lt;"&amp;$T1908)+1)</f>
        <v/>
      </c>
      <c r="V1908">
        <f>IF($U1908="","",$P1908&amp;"|"&amp;RIGHT("000000"&amp;$U1908,6))</f>
        <v/>
      </c>
      <c r="W1908">
        <f>IF($T1908="","",COUNTIFS(LdBGroup,$R1908,LdBKey,"&lt;"&amp;$T1908)+1)</f>
        <v/>
      </c>
      <c r="X1908">
        <f>IF($W1908="","",$R1908&amp;"|"&amp;RIGHT("000000"&amp;$W1908,6))</f>
        <v/>
      </c>
      <c r="Y1908">
        <f>IF($P1908="","",IF(Shares!$E1911="",0,Shares!$E1911))</f>
        <v/>
      </c>
      <c r="Z1908">
        <f>IF($P1908="","",Shares!$H1911)</f>
        <v/>
      </c>
      <c r="AE1908">
        <f>IF(OR(Sync!$S1908="",Sync!$P1908=""),"",Sync!$S1908)</f>
        <v/>
      </c>
      <c r="AF1908">
        <f>IF($AE1908="","",IF(ISNUMBER(Sync!$P1908),IF(AND(Sync!$P1908&gt;=10000101,Sync!$P1908&lt;=99991231),INT(Sync!$P1908/10000),""),IFERROR(VALUE(TRIM(LEFT(Sync!$P1908,FIND("/",Sync!$P1908)-1))),"")))</f>
        <v/>
      </c>
      <c r="AG1908">
        <f>IF(OR($AE1908="",$AF1908=""),"",IF(ISNUMBER(Sync!$P1908),INT(MOD(Sync!$P1908,10000)/100),IFERROR(VALUE(TRIM(LEFT(MID(Sync!$P1908,FIND("/",Sync!$P1908)+1,20),FIND("/",MID(Sync!$P1908,FIND("/",Sync!$P1908)+1,20))-1))),"")))</f>
        <v/>
      </c>
      <c r="AH1908">
        <f>IF(OR($AE1908="",$AF1908=""),"",IF(ISNUMBER(Sync!$P1908),MOD(Sync!$P1908,100),IFERROR(VALUE(TRIM(MID(MID(Sync!$P1908,FIND("/",Sync!$P1908)+1,20),FIND("/",MID(Sync!$P1908,FIND("/",Sync!$P1908)+1,20))+1,20))),"")))</f>
        <v/>
      </c>
      <c r="AI1908">
        <f>IF($AE1908="","",IF(OR($AF1908="",$AG1908="",$AH1908="",$AF1908&lt;1300,$AF1908&gt;1500,$AG1908&lt;1,$AG1908&gt;12,$AH1908&lt;1,$AH1908&gt;31),"نامعتبر",RIGHT("0000"&amp;$AF1908,4)&amp;"/"&amp;RIGHT("00"&amp;$AG1908,2)&amp;"/"&amp;RIGHT("00"&amp;$AH1908,2)))</f>
        <v/>
      </c>
      <c r="AJ1908">
        <f>IF($AE1908="","",IF(Sync!$Q1908="","0000",IF(AND(ISNUMBER(Sync!$Q1908),Sync!$Q1908&gt;=0,Sync!$Q1908&lt;1),RIGHT("00"&amp;HOUR(Sync!$Q1908),2)&amp;RIGHT("00"&amp;MINUTE(Sync!$Q1908),2),IFERROR(RIGHT("00"&amp;VALUE(LEFT(Sync!$Q1908,FIND(":",Sync!$Q1908)-1)),2)&amp;RIGHT("00"&amp;VALUE(MID(Sync!$Q1908,FIND(":",Sync!$Q1908)+1,2)),2),"0000"))))</f>
        <v/>
      </c>
      <c r="AK1908">
        <f>IF(OR($AE1908="",$AI1908="",$AI1908="نامعتبر"),"",LEFT($AI1908,4)&amp;MID($AI1908,6,2)&amp;RIGHT($AI1908,2)&amp;$AJ1908&amp;"|"&amp;"3"&amp;RIGHT("00000"&amp;1903,5))</f>
        <v/>
      </c>
      <c r="AL1908">
        <f>IF($AK1908="","",COUNTIFS(LdAParty,$AE1908,LdAType,1,LdAKey,"&lt;"&amp;$AK1908)+COUNTIFS(LdBMember,$AE1908,LdBKey,"&lt;"&amp;$AK1908)+COUNTIFS(LdCParty,$AE1908,LdCKey,"&lt;"&amp;$AK1908)+1)</f>
        <v/>
      </c>
      <c r="AM1908">
        <f>IF($AL1908="","",$AE1908&amp;"|"&amp;RIGHT("000000"&amp;$AL1908,6))</f>
        <v/>
      </c>
      <c r="AN1908">
        <f>IF($AE1908="","",IF(Sync!$W1908="",0,Sync!$W1908))</f>
        <v/>
      </c>
      <c r="AO1908">
        <f>IF($AE1908="","",IF(Sync!$X1908="",0,Sync!$X1908))</f>
        <v/>
      </c>
      <c r="AP1908">
        <f>IF($AE1908="","",Sync!$R1908)</f>
        <v/>
      </c>
      <c r="AQ1908">
        <f>IF($AE1908="","",Sync!$Y1908)</f>
        <v/>
      </c>
    </row>
    <row r="1909">
      <c r="A1909">
        <f>IF(OR(Wages!$B1912="",Wages!$E1912=""),"",Wages!$E1912)</f>
        <v/>
      </c>
      <c r="B1909">
        <f>IF($A1909="","",IF(Wages!$C1912="دستمزد گروهی",2,1))</f>
        <v/>
      </c>
      <c r="C1909">
        <f>IF($A1909="","",IF(ISNUMBER(Wages!$B1912),IF(AND(Wages!$B1912&gt;=10000101,Wages!$B1912&lt;=99991231),INT(Wages!$B1912/10000),""),IFERROR(VALUE(TRIM(LEFT(Wages!$B1912,FIND("/",Wages!$B1912)-1))),"")))</f>
        <v/>
      </c>
      <c r="D1909">
        <f>IF(OR($A1909="",$C1909=""),"",IF(ISNUMBER(Wages!$B1912),INT(MOD(Wages!$B1912,10000)/100),IFERROR(VALUE(TRIM(LEFT(MID(Wages!$B1912,FIND("/",Wages!$B1912)+1,20),FIND("/",MID(Wages!$B1912,FIND("/",Wages!$B1912)+1,20))-1))),"")))</f>
        <v/>
      </c>
      <c r="E1909">
        <f>IF(OR($A1909="",$C1909=""),"",IF(ISNUMBER(Wages!$B1912),MOD(Wages!$B1912,100),IFERROR(VALUE(TRIM(MID(MID(Wages!$B1912,FIND("/",Wages!$B1912)+1,20),FIND("/",MID(Wages!$B1912,FIND("/",Wages!$B1912)+1,20))+1,20))),"")))</f>
        <v/>
      </c>
      <c r="F1909">
        <f>IF($A1909="","",IF(OR($C1909="",$D1909="",$E1909="",$C1909&lt;1300,$C1909&gt;1500,$D1909&lt;1,$D1909&gt;12,$E1909&lt;1,$E1909&gt;31),"نامعتبر",RIGHT("0000"&amp;$C1909,4)&amp;"/"&amp;RIGHT("00"&amp;$D1909,2)&amp;"/"&amp;RIGHT("00"&amp;$E1909,2)))</f>
        <v/>
      </c>
      <c r="G1909">
        <f>IF(OR($A1909="",$F1909="",$F1909="نامعتبر"),"",LEFT($F1909,4)&amp;MID($F1909,6,2)&amp;RIGHT($F1909,2)&amp;"0000"&amp;"|"&amp;"1"&amp;RIGHT("00000"&amp;1904,5))</f>
        <v/>
      </c>
      <c r="H1909">
        <f>IF(OR($B1909&lt;&gt;1,$G1909=""),"",COUNTIFS(LdAParty,$A1909,LdAType,1,LdAKey,"&lt;"&amp;$G1909)+COUNTIFS(LdBMember,$A1909,LdBKey,"&lt;"&amp;$G1909)+COUNTIFS(LdCParty,$A1909,LdCKey,"&lt;"&amp;$G1909)+1)</f>
        <v/>
      </c>
      <c r="I1909">
        <f>IF($H1909="","",$A1909&amp;"|"&amp;RIGHT("000000"&amp;$H1909,6))</f>
        <v/>
      </c>
      <c r="J1909">
        <f>IF(OR($B1909&lt;&gt;2,$G1909=""),"",COUNTIFS(LdAParty,$A1909,LdAType,2,LdAKey,"&lt;"&amp;$G1909)+1)</f>
        <v/>
      </c>
      <c r="K1909">
        <f>IF($J1909="","",$A1909&amp;"|"&amp;RIGHT("000000"&amp;$J1909,6))</f>
        <v/>
      </c>
      <c r="L1909">
        <f>IF($A1909="","",IF(Wages!$G1912="",0,Wages!$G1912))</f>
        <v/>
      </c>
      <c r="M1909">
        <f>IF($A1909="","",Wages!$J1912)</f>
        <v/>
      </c>
      <c r="N1909">
        <f>IF($A1909="","",Wages!$D1912)</f>
        <v/>
      </c>
      <c r="P1909">
        <f>IF(OR(Shares!$B1912="",Shares!$C1912=""),"",Shares!$C1912)</f>
        <v/>
      </c>
      <c r="Q1909">
        <f>IF($P1909="","",Shares!$B1912)</f>
        <v/>
      </c>
      <c r="R1909">
        <f>IF($P1909="","",IFERROR(INDEX(WageParty,MATCH($Q1909,WageIds,0)),""))</f>
        <v/>
      </c>
      <c r="S1909">
        <f>IF($P1909="","",IFERROR(INDEX($F$6:$F$2005,MATCH($Q1909,WageIds,0)),""))</f>
        <v/>
      </c>
      <c r="T1909">
        <f>IF(OR($P1909="",$S1909="",$S1909="نامعتبر"),"",LEFT($S1909,4)&amp;MID($S1909,6,2)&amp;RIGHT($S1909,2)&amp;"0000"&amp;"|"&amp;"2"&amp;RIGHT("00000"&amp;1904,5))</f>
        <v/>
      </c>
      <c r="U1909">
        <f>IF($T1909="","",COUNTIFS(LdAParty,$P1909,LdAType,1,LdAKey,"&lt;"&amp;$T1909)+COUNTIFS(LdBMember,$P1909,LdBKey,"&lt;"&amp;$T1909)+COUNTIFS(LdCParty,$P1909,LdCKey,"&lt;"&amp;$T1909)+1)</f>
        <v/>
      </c>
      <c r="V1909">
        <f>IF($U1909="","",$P1909&amp;"|"&amp;RIGHT("000000"&amp;$U1909,6))</f>
        <v/>
      </c>
      <c r="W1909">
        <f>IF($T1909="","",COUNTIFS(LdBGroup,$R1909,LdBKey,"&lt;"&amp;$T1909)+1)</f>
        <v/>
      </c>
      <c r="X1909">
        <f>IF($W1909="","",$R1909&amp;"|"&amp;RIGHT("000000"&amp;$W1909,6))</f>
        <v/>
      </c>
      <c r="Y1909">
        <f>IF($P1909="","",IF(Shares!$E1912="",0,Shares!$E1912))</f>
        <v/>
      </c>
      <c r="Z1909">
        <f>IF($P1909="","",Shares!$H1912)</f>
        <v/>
      </c>
      <c r="AE1909">
        <f>IF(OR(Sync!$S1909="",Sync!$P1909=""),"",Sync!$S1909)</f>
        <v/>
      </c>
      <c r="AF1909">
        <f>IF($AE1909="","",IF(ISNUMBER(Sync!$P1909),IF(AND(Sync!$P1909&gt;=10000101,Sync!$P1909&lt;=99991231),INT(Sync!$P1909/10000),""),IFERROR(VALUE(TRIM(LEFT(Sync!$P1909,FIND("/",Sync!$P1909)-1))),"")))</f>
        <v/>
      </c>
      <c r="AG1909">
        <f>IF(OR($AE1909="",$AF1909=""),"",IF(ISNUMBER(Sync!$P1909),INT(MOD(Sync!$P1909,10000)/100),IFERROR(VALUE(TRIM(LEFT(MID(Sync!$P1909,FIND("/",Sync!$P1909)+1,20),FIND("/",MID(Sync!$P1909,FIND("/",Sync!$P1909)+1,20))-1))),"")))</f>
        <v/>
      </c>
      <c r="AH1909">
        <f>IF(OR($AE1909="",$AF1909=""),"",IF(ISNUMBER(Sync!$P1909),MOD(Sync!$P1909,100),IFERROR(VALUE(TRIM(MID(MID(Sync!$P1909,FIND("/",Sync!$P1909)+1,20),FIND("/",MID(Sync!$P1909,FIND("/",Sync!$P1909)+1,20))+1,20))),"")))</f>
        <v/>
      </c>
      <c r="AI1909">
        <f>IF($AE1909="","",IF(OR($AF1909="",$AG1909="",$AH1909="",$AF1909&lt;1300,$AF1909&gt;1500,$AG1909&lt;1,$AG1909&gt;12,$AH1909&lt;1,$AH1909&gt;31),"نامعتبر",RIGHT("0000"&amp;$AF1909,4)&amp;"/"&amp;RIGHT("00"&amp;$AG1909,2)&amp;"/"&amp;RIGHT("00"&amp;$AH1909,2)))</f>
        <v/>
      </c>
      <c r="AJ1909">
        <f>IF($AE1909="","",IF(Sync!$Q1909="","0000",IF(AND(ISNUMBER(Sync!$Q1909),Sync!$Q1909&gt;=0,Sync!$Q1909&lt;1),RIGHT("00"&amp;HOUR(Sync!$Q1909),2)&amp;RIGHT("00"&amp;MINUTE(Sync!$Q1909),2),IFERROR(RIGHT("00"&amp;VALUE(LEFT(Sync!$Q1909,FIND(":",Sync!$Q1909)-1)),2)&amp;RIGHT("00"&amp;VALUE(MID(Sync!$Q1909,FIND(":",Sync!$Q1909)+1,2)),2),"0000"))))</f>
        <v/>
      </c>
      <c r="AK1909">
        <f>IF(OR($AE1909="",$AI1909="",$AI1909="نامعتبر"),"",LEFT($AI1909,4)&amp;MID($AI1909,6,2)&amp;RIGHT($AI1909,2)&amp;$AJ1909&amp;"|"&amp;"3"&amp;RIGHT("00000"&amp;1904,5))</f>
        <v/>
      </c>
      <c r="AL1909">
        <f>IF($AK1909="","",COUNTIFS(LdAParty,$AE1909,LdAType,1,LdAKey,"&lt;"&amp;$AK1909)+COUNTIFS(LdBMember,$AE1909,LdBKey,"&lt;"&amp;$AK1909)+COUNTIFS(LdCParty,$AE1909,LdCKey,"&lt;"&amp;$AK1909)+1)</f>
        <v/>
      </c>
      <c r="AM1909">
        <f>IF($AL1909="","",$AE1909&amp;"|"&amp;RIGHT("000000"&amp;$AL1909,6))</f>
        <v/>
      </c>
      <c r="AN1909">
        <f>IF($AE1909="","",IF(Sync!$W1909="",0,Sync!$W1909))</f>
        <v/>
      </c>
      <c r="AO1909">
        <f>IF($AE1909="","",IF(Sync!$X1909="",0,Sync!$X1909))</f>
        <v/>
      </c>
      <c r="AP1909">
        <f>IF($AE1909="","",Sync!$R1909)</f>
        <v/>
      </c>
      <c r="AQ1909">
        <f>IF($AE1909="","",Sync!$Y1909)</f>
        <v/>
      </c>
    </row>
    <row r="1910">
      <c r="A1910">
        <f>IF(OR(Wages!$B1913="",Wages!$E1913=""),"",Wages!$E1913)</f>
        <v/>
      </c>
      <c r="B1910">
        <f>IF($A1910="","",IF(Wages!$C1913="دستمزد گروهی",2,1))</f>
        <v/>
      </c>
      <c r="C1910">
        <f>IF($A1910="","",IF(ISNUMBER(Wages!$B1913),IF(AND(Wages!$B1913&gt;=10000101,Wages!$B1913&lt;=99991231),INT(Wages!$B1913/10000),""),IFERROR(VALUE(TRIM(LEFT(Wages!$B1913,FIND("/",Wages!$B1913)-1))),"")))</f>
        <v/>
      </c>
      <c r="D1910">
        <f>IF(OR($A1910="",$C1910=""),"",IF(ISNUMBER(Wages!$B1913),INT(MOD(Wages!$B1913,10000)/100),IFERROR(VALUE(TRIM(LEFT(MID(Wages!$B1913,FIND("/",Wages!$B1913)+1,20),FIND("/",MID(Wages!$B1913,FIND("/",Wages!$B1913)+1,20))-1))),"")))</f>
        <v/>
      </c>
      <c r="E1910">
        <f>IF(OR($A1910="",$C1910=""),"",IF(ISNUMBER(Wages!$B1913),MOD(Wages!$B1913,100),IFERROR(VALUE(TRIM(MID(MID(Wages!$B1913,FIND("/",Wages!$B1913)+1,20),FIND("/",MID(Wages!$B1913,FIND("/",Wages!$B1913)+1,20))+1,20))),"")))</f>
        <v/>
      </c>
      <c r="F1910">
        <f>IF($A1910="","",IF(OR($C1910="",$D1910="",$E1910="",$C1910&lt;1300,$C1910&gt;1500,$D1910&lt;1,$D1910&gt;12,$E1910&lt;1,$E1910&gt;31),"نامعتبر",RIGHT("0000"&amp;$C1910,4)&amp;"/"&amp;RIGHT("00"&amp;$D1910,2)&amp;"/"&amp;RIGHT("00"&amp;$E1910,2)))</f>
        <v/>
      </c>
      <c r="G1910">
        <f>IF(OR($A1910="",$F1910="",$F1910="نامعتبر"),"",LEFT($F1910,4)&amp;MID($F1910,6,2)&amp;RIGHT($F1910,2)&amp;"0000"&amp;"|"&amp;"1"&amp;RIGHT("00000"&amp;1905,5))</f>
        <v/>
      </c>
      <c r="H1910">
        <f>IF(OR($B1910&lt;&gt;1,$G1910=""),"",COUNTIFS(LdAParty,$A1910,LdAType,1,LdAKey,"&lt;"&amp;$G1910)+COUNTIFS(LdBMember,$A1910,LdBKey,"&lt;"&amp;$G1910)+COUNTIFS(LdCParty,$A1910,LdCKey,"&lt;"&amp;$G1910)+1)</f>
        <v/>
      </c>
      <c r="I1910">
        <f>IF($H1910="","",$A1910&amp;"|"&amp;RIGHT("000000"&amp;$H1910,6))</f>
        <v/>
      </c>
      <c r="J1910">
        <f>IF(OR($B1910&lt;&gt;2,$G1910=""),"",COUNTIFS(LdAParty,$A1910,LdAType,2,LdAKey,"&lt;"&amp;$G1910)+1)</f>
        <v/>
      </c>
      <c r="K1910">
        <f>IF($J1910="","",$A1910&amp;"|"&amp;RIGHT("000000"&amp;$J1910,6))</f>
        <v/>
      </c>
      <c r="L1910">
        <f>IF($A1910="","",IF(Wages!$G1913="",0,Wages!$G1913))</f>
        <v/>
      </c>
      <c r="M1910">
        <f>IF($A1910="","",Wages!$J1913)</f>
        <v/>
      </c>
      <c r="N1910">
        <f>IF($A1910="","",Wages!$D1913)</f>
        <v/>
      </c>
      <c r="P1910">
        <f>IF(OR(Shares!$B1913="",Shares!$C1913=""),"",Shares!$C1913)</f>
        <v/>
      </c>
      <c r="Q1910">
        <f>IF($P1910="","",Shares!$B1913)</f>
        <v/>
      </c>
      <c r="R1910">
        <f>IF($P1910="","",IFERROR(INDEX(WageParty,MATCH($Q1910,WageIds,0)),""))</f>
        <v/>
      </c>
      <c r="S1910">
        <f>IF($P1910="","",IFERROR(INDEX($F$6:$F$2005,MATCH($Q1910,WageIds,0)),""))</f>
        <v/>
      </c>
      <c r="T1910">
        <f>IF(OR($P1910="",$S1910="",$S1910="نامعتبر"),"",LEFT($S1910,4)&amp;MID($S1910,6,2)&amp;RIGHT($S1910,2)&amp;"0000"&amp;"|"&amp;"2"&amp;RIGHT("00000"&amp;1905,5))</f>
        <v/>
      </c>
      <c r="U1910">
        <f>IF($T1910="","",COUNTIFS(LdAParty,$P1910,LdAType,1,LdAKey,"&lt;"&amp;$T1910)+COUNTIFS(LdBMember,$P1910,LdBKey,"&lt;"&amp;$T1910)+COUNTIFS(LdCParty,$P1910,LdCKey,"&lt;"&amp;$T1910)+1)</f>
        <v/>
      </c>
      <c r="V1910">
        <f>IF($U1910="","",$P1910&amp;"|"&amp;RIGHT("000000"&amp;$U1910,6))</f>
        <v/>
      </c>
      <c r="W1910">
        <f>IF($T1910="","",COUNTIFS(LdBGroup,$R1910,LdBKey,"&lt;"&amp;$T1910)+1)</f>
        <v/>
      </c>
      <c r="X1910">
        <f>IF($W1910="","",$R1910&amp;"|"&amp;RIGHT("000000"&amp;$W1910,6))</f>
        <v/>
      </c>
      <c r="Y1910">
        <f>IF($P1910="","",IF(Shares!$E1913="",0,Shares!$E1913))</f>
        <v/>
      </c>
      <c r="Z1910">
        <f>IF($P1910="","",Shares!$H1913)</f>
        <v/>
      </c>
      <c r="AE1910">
        <f>IF(OR(Sync!$S1910="",Sync!$P1910=""),"",Sync!$S1910)</f>
        <v/>
      </c>
      <c r="AF1910">
        <f>IF($AE1910="","",IF(ISNUMBER(Sync!$P1910),IF(AND(Sync!$P1910&gt;=10000101,Sync!$P1910&lt;=99991231),INT(Sync!$P1910/10000),""),IFERROR(VALUE(TRIM(LEFT(Sync!$P1910,FIND("/",Sync!$P1910)-1))),"")))</f>
        <v/>
      </c>
      <c r="AG1910">
        <f>IF(OR($AE1910="",$AF1910=""),"",IF(ISNUMBER(Sync!$P1910),INT(MOD(Sync!$P1910,10000)/100),IFERROR(VALUE(TRIM(LEFT(MID(Sync!$P1910,FIND("/",Sync!$P1910)+1,20),FIND("/",MID(Sync!$P1910,FIND("/",Sync!$P1910)+1,20))-1))),"")))</f>
        <v/>
      </c>
      <c r="AH1910">
        <f>IF(OR($AE1910="",$AF1910=""),"",IF(ISNUMBER(Sync!$P1910),MOD(Sync!$P1910,100),IFERROR(VALUE(TRIM(MID(MID(Sync!$P1910,FIND("/",Sync!$P1910)+1,20),FIND("/",MID(Sync!$P1910,FIND("/",Sync!$P1910)+1,20))+1,20))),"")))</f>
        <v/>
      </c>
      <c r="AI1910">
        <f>IF($AE1910="","",IF(OR($AF1910="",$AG1910="",$AH1910="",$AF1910&lt;1300,$AF1910&gt;1500,$AG1910&lt;1,$AG1910&gt;12,$AH1910&lt;1,$AH1910&gt;31),"نامعتبر",RIGHT("0000"&amp;$AF1910,4)&amp;"/"&amp;RIGHT("00"&amp;$AG1910,2)&amp;"/"&amp;RIGHT("00"&amp;$AH1910,2)))</f>
        <v/>
      </c>
      <c r="AJ1910">
        <f>IF($AE1910="","",IF(Sync!$Q1910="","0000",IF(AND(ISNUMBER(Sync!$Q1910),Sync!$Q1910&gt;=0,Sync!$Q1910&lt;1),RIGHT("00"&amp;HOUR(Sync!$Q1910),2)&amp;RIGHT("00"&amp;MINUTE(Sync!$Q1910),2),IFERROR(RIGHT("00"&amp;VALUE(LEFT(Sync!$Q1910,FIND(":",Sync!$Q1910)-1)),2)&amp;RIGHT("00"&amp;VALUE(MID(Sync!$Q1910,FIND(":",Sync!$Q1910)+1,2)),2),"0000"))))</f>
        <v/>
      </c>
      <c r="AK1910">
        <f>IF(OR($AE1910="",$AI1910="",$AI1910="نامعتبر"),"",LEFT($AI1910,4)&amp;MID($AI1910,6,2)&amp;RIGHT($AI1910,2)&amp;$AJ1910&amp;"|"&amp;"3"&amp;RIGHT("00000"&amp;1905,5))</f>
        <v/>
      </c>
      <c r="AL1910">
        <f>IF($AK1910="","",COUNTIFS(LdAParty,$AE1910,LdAType,1,LdAKey,"&lt;"&amp;$AK1910)+COUNTIFS(LdBMember,$AE1910,LdBKey,"&lt;"&amp;$AK1910)+COUNTIFS(LdCParty,$AE1910,LdCKey,"&lt;"&amp;$AK1910)+1)</f>
        <v/>
      </c>
      <c r="AM1910">
        <f>IF($AL1910="","",$AE1910&amp;"|"&amp;RIGHT("000000"&amp;$AL1910,6))</f>
        <v/>
      </c>
      <c r="AN1910">
        <f>IF($AE1910="","",IF(Sync!$W1910="",0,Sync!$W1910))</f>
        <v/>
      </c>
      <c r="AO1910">
        <f>IF($AE1910="","",IF(Sync!$X1910="",0,Sync!$X1910))</f>
        <v/>
      </c>
      <c r="AP1910">
        <f>IF($AE1910="","",Sync!$R1910)</f>
        <v/>
      </c>
      <c r="AQ1910">
        <f>IF($AE1910="","",Sync!$Y1910)</f>
        <v/>
      </c>
    </row>
    <row r="1911">
      <c r="A1911">
        <f>IF(OR(Wages!$B1914="",Wages!$E1914=""),"",Wages!$E1914)</f>
        <v/>
      </c>
      <c r="B1911">
        <f>IF($A1911="","",IF(Wages!$C1914="دستمزد گروهی",2,1))</f>
        <v/>
      </c>
      <c r="C1911">
        <f>IF($A1911="","",IF(ISNUMBER(Wages!$B1914),IF(AND(Wages!$B1914&gt;=10000101,Wages!$B1914&lt;=99991231),INT(Wages!$B1914/10000),""),IFERROR(VALUE(TRIM(LEFT(Wages!$B1914,FIND("/",Wages!$B1914)-1))),"")))</f>
        <v/>
      </c>
      <c r="D1911">
        <f>IF(OR($A1911="",$C1911=""),"",IF(ISNUMBER(Wages!$B1914),INT(MOD(Wages!$B1914,10000)/100),IFERROR(VALUE(TRIM(LEFT(MID(Wages!$B1914,FIND("/",Wages!$B1914)+1,20),FIND("/",MID(Wages!$B1914,FIND("/",Wages!$B1914)+1,20))-1))),"")))</f>
        <v/>
      </c>
      <c r="E1911">
        <f>IF(OR($A1911="",$C1911=""),"",IF(ISNUMBER(Wages!$B1914),MOD(Wages!$B1914,100),IFERROR(VALUE(TRIM(MID(MID(Wages!$B1914,FIND("/",Wages!$B1914)+1,20),FIND("/",MID(Wages!$B1914,FIND("/",Wages!$B1914)+1,20))+1,20))),"")))</f>
        <v/>
      </c>
      <c r="F1911">
        <f>IF($A1911="","",IF(OR($C1911="",$D1911="",$E1911="",$C1911&lt;1300,$C1911&gt;1500,$D1911&lt;1,$D1911&gt;12,$E1911&lt;1,$E1911&gt;31),"نامعتبر",RIGHT("0000"&amp;$C1911,4)&amp;"/"&amp;RIGHT("00"&amp;$D1911,2)&amp;"/"&amp;RIGHT("00"&amp;$E1911,2)))</f>
        <v/>
      </c>
      <c r="G1911">
        <f>IF(OR($A1911="",$F1911="",$F1911="نامعتبر"),"",LEFT($F1911,4)&amp;MID($F1911,6,2)&amp;RIGHT($F1911,2)&amp;"0000"&amp;"|"&amp;"1"&amp;RIGHT("00000"&amp;1906,5))</f>
        <v/>
      </c>
      <c r="H1911">
        <f>IF(OR($B1911&lt;&gt;1,$G1911=""),"",COUNTIFS(LdAParty,$A1911,LdAType,1,LdAKey,"&lt;"&amp;$G1911)+COUNTIFS(LdBMember,$A1911,LdBKey,"&lt;"&amp;$G1911)+COUNTIFS(LdCParty,$A1911,LdCKey,"&lt;"&amp;$G1911)+1)</f>
        <v/>
      </c>
      <c r="I1911">
        <f>IF($H1911="","",$A1911&amp;"|"&amp;RIGHT("000000"&amp;$H1911,6))</f>
        <v/>
      </c>
      <c r="J1911">
        <f>IF(OR($B1911&lt;&gt;2,$G1911=""),"",COUNTIFS(LdAParty,$A1911,LdAType,2,LdAKey,"&lt;"&amp;$G1911)+1)</f>
        <v/>
      </c>
      <c r="K1911">
        <f>IF($J1911="","",$A1911&amp;"|"&amp;RIGHT("000000"&amp;$J1911,6))</f>
        <v/>
      </c>
      <c r="L1911">
        <f>IF($A1911="","",IF(Wages!$G1914="",0,Wages!$G1914))</f>
        <v/>
      </c>
      <c r="M1911">
        <f>IF($A1911="","",Wages!$J1914)</f>
        <v/>
      </c>
      <c r="N1911">
        <f>IF($A1911="","",Wages!$D1914)</f>
        <v/>
      </c>
      <c r="P1911">
        <f>IF(OR(Shares!$B1914="",Shares!$C1914=""),"",Shares!$C1914)</f>
        <v/>
      </c>
      <c r="Q1911">
        <f>IF($P1911="","",Shares!$B1914)</f>
        <v/>
      </c>
      <c r="R1911">
        <f>IF($P1911="","",IFERROR(INDEX(WageParty,MATCH($Q1911,WageIds,0)),""))</f>
        <v/>
      </c>
      <c r="S1911">
        <f>IF($P1911="","",IFERROR(INDEX($F$6:$F$2005,MATCH($Q1911,WageIds,0)),""))</f>
        <v/>
      </c>
      <c r="T1911">
        <f>IF(OR($P1911="",$S1911="",$S1911="نامعتبر"),"",LEFT($S1911,4)&amp;MID($S1911,6,2)&amp;RIGHT($S1911,2)&amp;"0000"&amp;"|"&amp;"2"&amp;RIGHT("00000"&amp;1906,5))</f>
        <v/>
      </c>
      <c r="U1911">
        <f>IF($T1911="","",COUNTIFS(LdAParty,$P1911,LdAType,1,LdAKey,"&lt;"&amp;$T1911)+COUNTIFS(LdBMember,$P1911,LdBKey,"&lt;"&amp;$T1911)+COUNTIFS(LdCParty,$P1911,LdCKey,"&lt;"&amp;$T1911)+1)</f>
        <v/>
      </c>
      <c r="V1911">
        <f>IF($U1911="","",$P1911&amp;"|"&amp;RIGHT("000000"&amp;$U1911,6))</f>
        <v/>
      </c>
      <c r="W1911">
        <f>IF($T1911="","",COUNTIFS(LdBGroup,$R1911,LdBKey,"&lt;"&amp;$T1911)+1)</f>
        <v/>
      </c>
      <c r="X1911">
        <f>IF($W1911="","",$R1911&amp;"|"&amp;RIGHT("000000"&amp;$W1911,6))</f>
        <v/>
      </c>
      <c r="Y1911">
        <f>IF($P1911="","",IF(Shares!$E1914="",0,Shares!$E1914))</f>
        <v/>
      </c>
      <c r="Z1911">
        <f>IF($P1911="","",Shares!$H1914)</f>
        <v/>
      </c>
      <c r="AE1911">
        <f>IF(OR(Sync!$S1911="",Sync!$P1911=""),"",Sync!$S1911)</f>
        <v/>
      </c>
      <c r="AF1911">
        <f>IF($AE1911="","",IF(ISNUMBER(Sync!$P1911),IF(AND(Sync!$P1911&gt;=10000101,Sync!$P1911&lt;=99991231),INT(Sync!$P1911/10000),""),IFERROR(VALUE(TRIM(LEFT(Sync!$P1911,FIND("/",Sync!$P1911)-1))),"")))</f>
        <v/>
      </c>
      <c r="AG1911">
        <f>IF(OR($AE1911="",$AF1911=""),"",IF(ISNUMBER(Sync!$P1911),INT(MOD(Sync!$P1911,10000)/100),IFERROR(VALUE(TRIM(LEFT(MID(Sync!$P1911,FIND("/",Sync!$P1911)+1,20),FIND("/",MID(Sync!$P1911,FIND("/",Sync!$P1911)+1,20))-1))),"")))</f>
        <v/>
      </c>
      <c r="AH1911">
        <f>IF(OR($AE1911="",$AF1911=""),"",IF(ISNUMBER(Sync!$P1911),MOD(Sync!$P1911,100),IFERROR(VALUE(TRIM(MID(MID(Sync!$P1911,FIND("/",Sync!$P1911)+1,20),FIND("/",MID(Sync!$P1911,FIND("/",Sync!$P1911)+1,20))+1,20))),"")))</f>
        <v/>
      </c>
      <c r="AI1911">
        <f>IF($AE1911="","",IF(OR($AF1911="",$AG1911="",$AH1911="",$AF1911&lt;1300,$AF1911&gt;1500,$AG1911&lt;1,$AG1911&gt;12,$AH1911&lt;1,$AH1911&gt;31),"نامعتبر",RIGHT("0000"&amp;$AF1911,4)&amp;"/"&amp;RIGHT("00"&amp;$AG1911,2)&amp;"/"&amp;RIGHT("00"&amp;$AH1911,2)))</f>
        <v/>
      </c>
      <c r="AJ1911">
        <f>IF($AE1911="","",IF(Sync!$Q1911="","0000",IF(AND(ISNUMBER(Sync!$Q1911),Sync!$Q1911&gt;=0,Sync!$Q1911&lt;1),RIGHT("00"&amp;HOUR(Sync!$Q1911),2)&amp;RIGHT("00"&amp;MINUTE(Sync!$Q1911),2),IFERROR(RIGHT("00"&amp;VALUE(LEFT(Sync!$Q1911,FIND(":",Sync!$Q1911)-1)),2)&amp;RIGHT("00"&amp;VALUE(MID(Sync!$Q1911,FIND(":",Sync!$Q1911)+1,2)),2),"0000"))))</f>
        <v/>
      </c>
      <c r="AK1911">
        <f>IF(OR($AE1911="",$AI1911="",$AI1911="نامعتبر"),"",LEFT($AI1911,4)&amp;MID($AI1911,6,2)&amp;RIGHT($AI1911,2)&amp;$AJ1911&amp;"|"&amp;"3"&amp;RIGHT("00000"&amp;1906,5))</f>
        <v/>
      </c>
      <c r="AL1911">
        <f>IF($AK1911="","",COUNTIFS(LdAParty,$AE1911,LdAType,1,LdAKey,"&lt;"&amp;$AK1911)+COUNTIFS(LdBMember,$AE1911,LdBKey,"&lt;"&amp;$AK1911)+COUNTIFS(LdCParty,$AE1911,LdCKey,"&lt;"&amp;$AK1911)+1)</f>
        <v/>
      </c>
      <c r="AM1911">
        <f>IF($AL1911="","",$AE1911&amp;"|"&amp;RIGHT("000000"&amp;$AL1911,6))</f>
        <v/>
      </c>
      <c r="AN1911">
        <f>IF($AE1911="","",IF(Sync!$W1911="",0,Sync!$W1911))</f>
        <v/>
      </c>
      <c r="AO1911">
        <f>IF($AE1911="","",IF(Sync!$X1911="",0,Sync!$X1911))</f>
        <v/>
      </c>
      <c r="AP1911">
        <f>IF($AE1911="","",Sync!$R1911)</f>
        <v/>
      </c>
      <c r="AQ1911">
        <f>IF($AE1911="","",Sync!$Y1911)</f>
        <v/>
      </c>
    </row>
    <row r="1912">
      <c r="A1912">
        <f>IF(OR(Wages!$B1915="",Wages!$E1915=""),"",Wages!$E1915)</f>
        <v/>
      </c>
      <c r="B1912">
        <f>IF($A1912="","",IF(Wages!$C1915="دستمزد گروهی",2,1))</f>
        <v/>
      </c>
      <c r="C1912">
        <f>IF($A1912="","",IF(ISNUMBER(Wages!$B1915),IF(AND(Wages!$B1915&gt;=10000101,Wages!$B1915&lt;=99991231),INT(Wages!$B1915/10000),""),IFERROR(VALUE(TRIM(LEFT(Wages!$B1915,FIND("/",Wages!$B1915)-1))),"")))</f>
        <v/>
      </c>
      <c r="D1912">
        <f>IF(OR($A1912="",$C1912=""),"",IF(ISNUMBER(Wages!$B1915),INT(MOD(Wages!$B1915,10000)/100),IFERROR(VALUE(TRIM(LEFT(MID(Wages!$B1915,FIND("/",Wages!$B1915)+1,20),FIND("/",MID(Wages!$B1915,FIND("/",Wages!$B1915)+1,20))-1))),"")))</f>
        <v/>
      </c>
      <c r="E1912">
        <f>IF(OR($A1912="",$C1912=""),"",IF(ISNUMBER(Wages!$B1915),MOD(Wages!$B1915,100),IFERROR(VALUE(TRIM(MID(MID(Wages!$B1915,FIND("/",Wages!$B1915)+1,20),FIND("/",MID(Wages!$B1915,FIND("/",Wages!$B1915)+1,20))+1,20))),"")))</f>
        <v/>
      </c>
      <c r="F1912">
        <f>IF($A1912="","",IF(OR($C1912="",$D1912="",$E1912="",$C1912&lt;1300,$C1912&gt;1500,$D1912&lt;1,$D1912&gt;12,$E1912&lt;1,$E1912&gt;31),"نامعتبر",RIGHT("0000"&amp;$C1912,4)&amp;"/"&amp;RIGHT("00"&amp;$D1912,2)&amp;"/"&amp;RIGHT("00"&amp;$E1912,2)))</f>
        <v/>
      </c>
      <c r="G1912">
        <f>IF(OR($A1912="",$F1912="",$F1912="نامعتبر"),"",LEFT($F1912,4)&amp;MID($F1912,6,2)&amp;RIGHT($F1912,2)&amp;"0000"&amp;"|"&amp;"1"&amp;RIGHT("00000"&amp;1907,5))</f>
        <v/>
      </c>
      <c r="H1912">
        <f>IF(OR($B1912&lt;&gt;1,$G1912=""),"",COUNTIFS(LdAParty,$A1912,LdAType,1,LdAKey,"&lt;"&amp;$G1912)+COUNTIFS(LdBMember,$A1912,LdBKey,"&lt;"&amp;$G1912)+COUNTIFS(LdCParty,$A1912,LdCKey,"&lt;"&amp;$G1912)+1)</f>
        <v/>
      </c>
      <c r="I1912">
        <f>IF($H1912="","",$A1912&amp;"|"&amp;RIGHT("000000"&amp;$H1912,6))</f>
        <v/>
      </c>
      <c r="J1912">
        <f>IF(OR($B1912&lt;&gt;2,$G1912=""),"",COUNTIFS(LdAParty,$A1912,LdAType,2,LdAKey,"&lt;"&amp;$G1912)+1)</f>
        <v/>
      </c>
      <c r="K1912">
        <f>IF($J1912="","",$A1912&amp;"|"&amp;RIGHT("000000"&amp;$J1912,6))</f>
        <v/>
      </c>
      <c r="L1912">
        <f>IF($A1912="","",IF(Wages!$G1915="",0,Wages!$G1915))</f>
        <v/>
      </c>
      <c r="M1912">
        <f>IF($A1912="","",Wages!$J1915)</f>
        <v/>
      </c>
      <c r="N1912">
        <f>IF($A1912="","",Wages!$D1915)</f>
        <v/>
      </c>
      <c r="P1912">
        <f>IF(OR(Shares!$B1915="",Shares!$C1915=""),"",Shares!$C1915)</f>
        <v/>
      </c>
      <c r="Q1912">
        <f>IF($P1912="","",Shares!$B1915)</f>
        <v/>
      </c>
      <c r="R1912">
        <f>IF($P1912="","",IFERROR(INDEX(WageParty,MATCH($Q1912,WageIds,0)),""))</f>
        <v/>
      </c>
      <c r="S1912">
        <f>IF($P1912="","",IFERROR(INDEX($F$6:$F$2005,MATCH($Q1912,WageIds,0)),""))</f>
        <v/>
      </c>
      <c r="T1912">
        <f>IF(OR($P1912="",$S1912="",$S1912="نامعتبر"),"",LEFT($S1912,4)&amp;MID($S1912,6,2)&amp;RIGHT($S1912,2)&amp;"0000"&amp;"|"&amp;"2"&amp;RIGHT("00000"&amp;1907,5))</f>
        <v/>
      </c>
      <c r="U1912">
        <f>IF($T1912="","",COUNTIFS(LdAParty,$P1912,LdAType,1,LdAKey,"&lt;"&amp;$T1912)+COUNTIFS(LdBMember,$P1912,LdBKey,"&lt;"&amp;$T1912)+COUNTIFS(LdCParty,$P1912,LdCKey,"&lt;"&amp;$T1912)+1)</f>
        <v/>
      </c>
      <c r="V1912">
        <f>IF($U1912="","",$P1912&amp;"|"&amp;RIGHT("000000"&amp;$U1912,6))</f>
        <v/>
      </c>
      <c r="W1912">
        <f>IF($T1912="","",COUNTIFS(LdBGroup,$R1912,LdBKey,"&lt;"&amp;$T1912)+1)</f>
        <v/>
      </c>
      <c r="X1912">
        <f>IF($W1912="","",$R1912&amp;"|"&amp;RIGHT("000000"&amp;$W1912,6))</f>
        <v/>
      </c>
      <c r="Y1912">
        <f>IF($P1912="","",IF(Shares!$E1915="",0,Shares!$E1915))</f>
        <v/>
      </c>
      <c r="Z1912">
        <f>IF($P1912="","",Shares!$H1915)</f>
        <v/>
      </c>
      <c r="AE1912">
        <f>IF(OR(Sync!$S1912="",Sync!$P1912=""),"",Sync!$S1912)</f>
        <v/>
      </c>
      <c r="AF1912">
        <f>IF($AE1912="","",IF(ISNUMBER(Sync!$P1912),IF(AND(Sync!$P1912&gt;=10000101,Sync!$P1912&lt;=99991231),INT(Sync!$P1912/10000),""),IFERROR(VALUE(TRIM(LEFT(Sync!$P1912,FIND("/",Sync!$P1912)-1))),"")))</f>
        <v/>
      </c>
      <c r="AG1912">
        <f>IF(OR($AE1912="",$AF1912=""),"",IF(ISNUMBER(Sync!$P1912),INT(MOD(Sync!$P1912,10000)/100),IFERROR(VALUE(TRIM(LEFT(MID(Sync!$P1912,FIND("/",Sync!$P1912)+1,20),FIND("/",MID(Sync!$P1912,FIND("/",Sync!$P1912)+1,20))-1))),"")))</f>
        <v/>
      </c>
      <c r="AH1912">
        <f>IF(OR($AE1912="",$AF1912=""),"",IF(ISNUMBER(Sync!$P1912),MOD(Sync!$P1912,100),IFERROR(VALUE(TRIM(MID(MID(Sync!$P1912,FIND("/",Sync!$P1912)+1,20),FIND("/",MID(Sync!$P1912,FIND("/",Sync!$P1912)+1,20))+1,20))),"")))</f>
        <v/>
      </c>
      <c r="AI1912">
        <f>IF($AE1912="","",IF(OR($AF1912="",$AG1912="",$AH1912="",$AF1912&lt;1300,$AF1912&gt;1500,$AG1912&lt;1,$AG1912&gt;12,$AH1912&lt;1,$AH1912&gt;31),"نامعتبر",RIGHT("0000"&amp;$AF1912,4)&amp;"/"&amp;RIGHT("00"&amp;$AG1912,2)&amp;"/"&amp;RIGHT("00"&amp;$AH1912,2)))</f>
        <v/>
      </c>
      <c r="AJ1912">
        <f>IF($AE1912="","",IF(Sync!$Q1912="","0000",IF(AND(ISNUMBER(Sync!$Q1912),Sync!$Q1912&gt;=0,Sync!$Q1912&lt;1),RIGHT("00"&amp;HOUR(Sync!$Q1912),2)&amp;RIGHT("00"&amp;MINUTE(Sync!$Q1912),2),IFERROR(RIGHT("00"&amp;VALUE(LEFT(Sync!$Q1912,FIND(":",Sync!$Q1912)-1)),2)&amp;RIGHT("00"&amp;VALUE(MID(Sync!$Q1912,FIND(":",Sync!$Q1912)+1,2)),2),"0000"))))</f>
        <v/>
      </c>
      <c r="AK1912">
        <f>IF(OR($AE1912="",$AI1912="",$AI1912="نامعتبر"),"",LEFT($AI1912,4)&amp;MID($AI1912,6,2)&amp;RIGHT($AI1912,2)&amp;$AJ1912&amp;"|"&amp;"3"&amp;RIGHT("00000"&amp;1907,5))</f>
        <v/>
      </c>
      <c r="AL1912">
        <f>IF($AK1912="","",COUNTIFS(LdAParty,$AE1912,LdAType,1,LdAKey,"&lt;"&amp;$AK1912)+COUNTIFS(LdBMember,$AE1912,LdBKey,"&lt;"&amp;$AK1912)+COUNTIFS(LdCParty,$AE1912,LdCKey,"&lt;"&amp;$AK1912)+1)</f>
        <v/>
      </c>
      <c r="AM1912">
        <f>IF($AL1912="","",$AE1912&amp;"|"&amp;RIGHT("000000"&amp;$AL1912,6))</f>
        <v/>
      </c>
      <c r="AN1912">
        <f>IF($AE1912="","",IF(Sync!$W1912="",0,Sync!$W1912))</f>
        <v/>
      </c>
      <c r="AO1912">
        <f>IF($AE1912="","",IF(Sync!$X1912="",0,Sync!$X1912))</f>
        <v/>
      </c>
      <c r="AP1912">
        <f>IF($AE1912="","",Sync!$R1912)</f>
        <v/>
      </c>
      <c r="AQ1912">
        <f>IF($AE1912="","",Sync!$Y1912)</f>
        <v/>
      </c>
    </row>
    <row r="1913">
      <c r="A1913">
        <f>IF(OR(Wages!$B1916="",Wages!$E1916=""),"",Wages!$E1916)</f>
        <v/>
      </c>
      <c r="B1913">
        <f>IF($A1913="","",IF(Wages!$C1916="دستمزد گروهی",2,1))</f>
        <v/>
      </c>
      <c r="C1913">
        <f>IF($A1913="","",IF(ISNUMBER(Wages!$B1916),IF(AND(Wages!$B1916&gt;=10000101,Wages!$B1916&lt;=99991231),INT(Wages!$B1916/10000),""),IFERROR(VALUE(TRIM(LEFT(Wages!$B1916,FIND("/",Wages!$B1916)-1))),"")))</f>
        <v/>
      </c>
      <c r="D1913">
        <f>IF(OR($A1913="",$C1913=""),"",IF(ISNUMBER(Wages!$B1916),INT(MOD(Wages!$B1916,10000)/100),IFERROR(VALUE(TRIM(LEFT(MID(Wages!$B1916,FIND("/",Wages!$B1916)+1,20),FIND("/",MID(Wages!$B1916,FIND("/",Wages!$B1916)+1,20))-1))),"")))</f>
        <v/>
      </c>
      <c r="E1913">
        <f>IF(OR($A1913="",$C1913=""),"",IF(ISNUMBER(Wages!$B1916),MOD(Wages!$B1916,100),IFERROR(VALUE(TRIM(MID(MID(Wages!$B1916,FIND("/",Wages!$B1916)+1,20),FIND("/",MID(Wages!$B1916,FIND("/",Wages!$B1916)+1,20))+1,20))),"")))</f>
        <v/>
      </c>
      <c r="F1913">
        <f>IF($A1913="","",IF(OR($C1913="",$D1913="",$E1913="",$C1913&lt;1300,$C1913&gt;1500,$D1913&lt;1,$D1913&gt;12,$E1913&lt;1,$E1913&gt;31),"نامعتبر",RIGHT("0000"&amp;$C1913,4)&amp;"/"&amp;RIGHT("00"&amp;$D1913,2)&amp;"/"&amp;RIGHT("00"&amp;$E1913,2)))</f>
        <v/>
      </c>
      <c r="G1913">
        <f>IF(OR($A1913="",$F1913="",$F1913="نامعتبر"),"",LEFT($F1913,4)&amp;MID($F1913,6,2)&amp;RIGHT($F1913,2)&amp;"0000"&amp;"|"&amp;"1"&amp;RIGHT("00000"&amp;1908,5))</f>
        <v/>
      </c>
      <c r="H1913">
        <f>IF(OR($B1913&lt;&gt;1,$G1913=""),"",COUNTIFS(LdAParty,$A1913,LdAType,1,LdAKey,"&lt;"&amp;$G1913)+COUNTIFS(LdBMember,$A1913,LdBKey,"&lt;"&amp;$G1913)+COUNTIFS(LdCParty,$A1913,LdCKey,"&lt;"&amp;$G1913)+1)</f>
        <v/>
      </c>
      <c r="I1913">
        <f>IF($H1913="","",$A1913&amp;"|"&amp;RIGHT("000000"&amp;$H1913,6))</f>
        <v/>
      </c>
      <c r="J1913">
        <f>IF(OR($B1913&lt;&gt;2,$G1913=""),"",COUNTIFS(LdAParty,$A1913,LdAType,2,LdAKey,"&lt;"&amp;$G1913)+1)</f>
        <v/>
      </c>
      <c r="K1913">
        <f>IF($J1913="","",$A1913&amp;"|"&amp;RIGHT("000000"&amp;$J1913,6))</f>
        <v/>
      </c>
      <c r="L1913">
        <f>IF($A1913="","",IF(Wages!$G1916="",0,Wages!$G1916))</f>
        <v/>
      </c>
      <c r="M1913">
        <f>IF($A1913="","",Wages!$J1916)</f>
        <v/>
      </c>
      <c r="N1913">
        <f>IF($A1913="","",Wages!$D1916)</f>
        <v/>
      </c>
      <c r="P1913">
        <f>IF(OR(Shares!$B1916="",Shares!$C1916=""),"",Shares!$C1916)</f>
        <v/>
      </c>
      <c r="Q1913">
        <f>IF($P1913="","",Shares!$B1916)</f>
        <v/>
      </c>
      <c r="R1913">
        <f>IF($P1913="","",IFERROR(INDEX(WageParty,MATCH($Q1913,WageIds,0)),""))</f>
        <v/>
      </c>
      <c r="S1913">
        <f>IF($P1913="","",IFERROR(INDEX($F$6:$F$2005,MATCH($Q1913,WageIds,0)),""))</f>
        <v/>
      </c>
      <c r="T1913">
        <f>IF(OR($P1913="",$S1913="",$S1913="نامعتبر"),"",LEFT($S1913,4)&amp;MID($S1913,6,2)&amp;RIGHT($S1913,2)&amp;"0000"&amp;"|"&amp;"2"&amp;RIGHT("00000"&amp;1908,5))</f>
        <v/>
      </c>
      <c r="U1913">
        <f>IF($T1913="","",COUNTIFS(LdAParty,$P1913,LdAType,1,LdAKey,"&lt;"&amp;$T1913)+COUNTIFS(LdBMember,$P1913,LdBKey,"&lt;"&amp;$T1913)+COUNTIFS(LdCParty,$P1913,LdCKey,"&lt;"&amp;$T1913)+1)</f>
        <v/>
      </c>
      <c r="V1913">
        <f>IF($U1913="","",$P1913&amp;"|"&amp;RIGHT("000000"&amp;$U1913,6))</f>
        <v/>
      </c>
      <c r="W1913">
        <f>IF($T1913="","",COUNTIFS(LdBGroup,$R1913,LdBKey,"&lt;"&amp;$T1913)+1)</f>
        <v/>
      </c>
      <c r="X1913">
        <f>IF($W1913="","",$R1913&amp;"|"&amp;RIGHT("000000"&amp;$W1913,6))</f>
        <v/>
      </c>
      <c r="Y1913">
        <f>IF($P1913="","",IF(Shares!$E1916="",0,Shares!$E1916))</f>
        <v/>
      </c>
      <c r="Z1913">
        <f>IF($P1913="","",Shares!$H1916)</f>
        <v/>
      </c>
      <c r="AE1913">
        <f>IF(OR(Sync!$S1913="",Sync!$P1913=""),"",Sync!$S1913)</f>
        <v/>
      </c>
      <c r="AF1913">
        <f>IF($AE1913="","",IF(ISNUMBER(Sync!$P1913),IF(AND(Sync!$P1913&gt;=10000101,Sync!$P1913&lt;=99991231),INT(Sync!$P1913/10000),""),IFERROR(VALUE(TRIM(LEFT(Sync!$P1913,FIND("/",Sync!$P1913)-1))),"")))</f>
        <v/>
      </c>
      <c r="AG1913">
        <f>IF(OR($AE1913="",$AF1913=""),"",IF(ISNUMBER(Sync!$P1913),INT(MOD(Sync!$P1913,10000)/100),IFERROR(VALUE(TRIM(LEFT(MID(Sync!$P1913,FIND("/",Sync!$P1913)+1,20),FIND("/",MID(Sync!$P1913,FIND("/",Sync!$P1913)+1,20))-1))),"")))</f>
        <v/>
      </c>
      <c r="AH1913">
        <f>IF(OR($AE1913="",$AF1913=""),"",IF(ISNUMBER(Sync!$P1913),MOD(Sync!$P1913,100),IFERROR(VALUE(TRIM(MID(MID(Sync!$P1913,FIND("/",Sync!$P1913)+1,20),FIND("/",MID(Sync!$P1913,FIND("/",Sync!$P1913)+1,20))+1,20))),"")))</f>
        <v/>
      </c>
      <c r="AI1913">
        <f>IF($AE1913="","",IF(OR($AF1913="",$AG1913="",$AH1913="",$AF1913&lt;1300,$AF1913&gt;1500,$AG1913&lt;1,$AG1913&gt;12,$AH1913&lt;1,$AH1913&gt;31),"نامعتبر",RIGHT("0000"&amp;$AF1913,4)&amp;"/"&amp;RIGHT("00"&amp;$AG1913,2)&amp;"/"&amp;RIGHT("00"&amp;$AH1913,2)))</f>
        <v/>
      </c>
      <c r="AJ1913">
        <f>IF($AE1913="","",IF(Sync!$Q1913="","0000",IF(AND(ISNUMBER(Sync!$Q1913),Sync!$Q1913&gt;=0,Sync!$Q1913&lt;1),RIGHT("00"&amp;HOUR(Sync!$Q1913),2)&amp;RIGHT("00"&amp;MINUTE(Sync!$Q1913),2),IFERROR(RIGHT("00"&amp;VALUE(LEFT(Sync!$Q1913,FIND(":",Sync!$Q1913)-1)),2)&amp;RIGHT("00"&amp;VALUE(MID(Sync!$Q1913,FIND(":",Sync!$Q1913)+1,2)),2),"0000"))))</f>
        <v/>
      </c>
      <c r="AK1913">
        <f>IF(OR($AE1913="",$AI1913="",$AI1913="نامعتبر"),"",LEFT($AI1913,4)&amp;MID($AI1913,6,2)&amp;RIGHT($AI1913,2)&amp;$AJ1913&amp;"|"&amp;"3"&amp;RIGHT("00000"&amp;1908,5))</f>
        <v/>
      </c>
      <c r="AL1913">
        <f>IF($AK1913="","",COUNTIFS(LdAParty,$AE1913,LdAType,1,LdAKey,"&lt;"&amp;$AK1913)+COUNTIFS(LdBMember,$AE1913,LdBKey,"&lt;"&amp;$AK1913)+COUNTIFS(LdCParty,$AE1913,LdCKey,"&lt;"&amp;$AK1913)+1)</f>
        <v/>
      </c>
      <c r="AM1913">
        <f>IF($AL1913="","",$AE1913&amp;"|"&amp;RIGHT("000000"&amp;$AL1913,6))</f>
        <v/>
      </c>
      <c r="AN1913">
        <f>IF($AE1913="","",IF(Sync!$W1913="",0,Sync!$W1913))</f>
        <v/>
      </c>
      <c r="AO1913">
        <f>IF($AE1913="","",IF(Sync!$X1913="",0,Sync!$X1913))</f>
        <v/>
      </c>
      <c r="AP1913">
        <f>IF($AE1913="","",Sync!$R1913)</f>
        <v/>
      </c>
      <c r="AQ1913">
        <f>IF($AE1913="","",Sync!$Y1913)</f>
        <v/>
      </c>
    </row>
    <row r="1914">
      <c r="A1914">
        <f>IF(OR(Wages!$B1917="",Wages!$E1917=""),"",Wages!$E1917)</f>
        <v/>
      </c>
      <c r="B1914">
        <f>IF($A1914="","",IF(Wages!$C1917="دستمزد گروهی",2,1))</f>
        <v/>
      </c>
      <c r="C1914">
        <f>IF($A1914="","",IF(ISNUMBER(Wages!$B1917),IF(AND(Wages!$B1917&gt;=10000101,Wages!$B1917&lt;=99991231),INT(Wages!$B1917/10000),""),IFERROR(VALUE(TRIM(LEFT(Wages!$B1917,FIND("/",Wages!$B1917)-1))),"")))</f>
        <v/>
      </c>
      <c r="D1914">
        <f>IF(OR($A1914="",$C1914=""),"",IF(ISNUMBER(Wages!$B1917),INT(MOD(Wages!$B1917,10000)/100),IFERROR(VALUE(TRIM(LEFT(MID(Wages!$B1917,FIND("/",Wages!$B1917)+1,20),FIND("/",MID(Wages!$B1917,FIND("/",Wages!$B1917)+1,20))-1))),"")))</f>
        <v/>
      </c>
      <c r="E1914">
        <f>IF(OR($A1914="",$C1914=""),"",IF(ISNUMBER(Wages!$B1917),MOD(Wages!$B1917,100),IFERROR(VALUE(TRIM(MID(MID(Wages!$B1917,FIND("/",Wages!$B1917)+1,20),FIND("/",MID(Wages!$B1917,FIND("/",Wages!$B1917)+1,20))+1,20))),"")))</f>
        <v/>
      </c>
      <c r="F1914">
        <f>IF($A1914="","",IF(OR($C1914="",$D1914="",$E1914="",$C1914&lt;1300,$C1914&gt;1500,$D1914&lt;1,$D1914&gt;12,$E1914&lt;1,$E1914&gt;31),"نامعتبر",RIGHT("0000"&amp;$C1914,4)&amp;"/"&amp;RIGHT("00"&amp;$D1914,2)&amp;"/"&amp;RIGHT("00"&amp;$E1914,2)))</f>
        <v/>
      </c>
      <c r="G1914">
        <f>IF(OR($A1914="",$F1914="",$F1914="نامعتبر"),"",LEFT($F1914,4)&amp;MID($F1914,6,2)&amp;RIGHT($F1914,2)&amp;"0000"&amp;"|"&amp;"1"&amp;RIGHT("00000"&amp;1909,5))</f>
        <v/>
      </c>
      <c r="H1914">
        <f>IF(OR($B1914&lt;&gt;1,$G1914=""),"",COUNTIFS(LdAParty,$A1914,LdAType,1,LdAKey,"&lt;"&amp;$G1914)+COUNTIFS(LdBMember,$A1914,LdBKey,"&lt;"&amp;$G1914)+COUNTIFS(LdCParty,$A1914,LdCKey,"&lt;"&amp;$G1914)+1)</f>
        <v/>
      </c>
      <c r="I1914">
        <f>IF($H1914="","",$A1914&amp;"|"&amp;RIGHT("000000"&amp;$H1914,6))</f>
        <v/>
      </c>
      <c r="J1914">
        <f>IF(OR($B1914&lt;&gt;2,$G1914=""),"",COUNTIFS(LdAParty,$A1914,LdAType,2,LdAKey,"&lt;"&amp;$G1914)+1)</f>
        <v/>
      </c>
      <c r="K1914">
        <f>IF($J1914="","",$A1914&amp;"|"&amp;RIGHT("000000"&amp;$J1914,6))</f>
        <v/>
      </c>
      <c r="L1914">
        <f>IF($A1914="","",IF(Wages!$G1917="",0,Wages!$G1917))</f>
        <v/>
      </c>
      <c r="M1914">
        <f>IF($A1914="","",Wages!$J1917)</f>
        <v/>
      </c>
      <c r="N1914">
        <f>IF($A1914="","",Wages!$D1917)</f>
        <v/>
      </c>
      <c r="P1914">
        <f>IF(OR(Shares!$B1917="",Shares!$C1917=""),"",Shares!$C1917)</f>
        <v/>
      </c>
      <c r="Q1914">
        <f>IF($P1914="","",Shares!$B1917)</f>
        <v/>
      </c>
      <c r="R1914">
        <f>IF($P1914="","",IFERROR(INDEX(WageParty,MATCH($Q1914,WageIds,0)),""))</f>
        <v/>
      </c>
      <c r="S1914">
        <f>IF($P1914="","",IFERROR(INDEX($F$6:$F$2005,MATCH($Q1914,WageIds,0)),""))</f>
        <v/>
      </c>
      <c r="T1914">
        <f>IF(OR($P1914="",$S1914="",$S1914="نامعتبر"),"",LEFT($S1914,4)&amp;MID($S1914,6,2)&amp;RIGHT($S1914,2)&amp;"0000"&amp;"|"&amp;"2"&amp;RIGHT("00000"&amp;1909,5))</f>
        <v/>
      </c>
      <c r="U1914">
        <f>IF($T1914="","",COUNTIFS(LdAParty,$P1914,LdAType,1,LdAKey,"&lt;"&amp;$T1914)+COUNTIFS(LdBMember,$P1914,LdBKey,"&lt;"&amp;$T1914)+COUNTIFS(LdCParty,$P1914,LdCKey,"&lt;"&amp;$T1914)+1)</f>
        <v/>
      </c>
      <c r="V1914">
        <f>IF($U1914="","",$P1914&amp;"|"&amp;RIGHT("000000"&amp;$U1914,6))</f>
        <v/>
      </c>
      <c r="W1914">
        <f>IF($T1914="","",COUNTIFS(LdBGroup,$R1914,LdBKey,"&lt;"&amp;$T1914)+1)</f>
        <v/>
      </c>
      <c r="X1914">
        <f>IF($W1914="","",$R1914&amp;"|"&amp;RIGHT("000000"&amp;$W1914,6))</f>
        <v/>
      </c>
      <c r="Y1914">
        <f>IF($P1914="","",IF(Shares!$E1917="",0,Shares!$E1917))</f>
        <v/>
      </c>
      <c r="Z1914">
        <f>IF($P1914="","",Shares!$H1917)</f>
        <v/>
      </c>
      <c r="AE1914">
        <f>IF(OR(Sync!$S1914="",Sync!$P1914=""),"",Sync!$S1914)</f>
        <v/>
      </c>
      <c r="AF1914">
        <f>IF($AE1914="","",IF(ISNUMBER(Sync!$P1914),IF(AND(Sync!$P1914&gt;=10000101,Sync!$P1914&lt;=99991231),INT(Sync!$P1914/10000),""),IFERROR(VALUE(TRIM(LEFT(Sync!$P1914,FIND("/",Sync!$P1914)-1))),"")))</f>
        <v/>
      </c>
      <c r="AG1914">
        <f>IF(OR($AE1914="",$AF1914=""),"",IF(ISNUMBER(Sync!$P1914),INT(MOD(Sync!$P1914,10000)/100),IFERROR(VALUE(TRIM(LEFT(MID(Sync!$P1914,FIND("/",Sync!$P1914)+1,20),FIND("/",MID(Sync!$P1914,FIND("/",Sync!$P1914)+1,20))-1))),"")))</f>
        <v/>
      </c>
      <c r="AH1914">
        <f>IF(OR($AE1914="",$AF1914=""),"",IF(ISNUMBER(Sync!$P1914),MOD(Sync!$P1914,100),IFERROR(VALUE(TRIM(MID(MID(Sync!$P1914,FIND("/",Sync!$P1914)+1,20),FIND("/",MID(Sync!$P1914,FIND("/",Sync!$P1914)+1,20))+1,20))),"")))</f>
        <v/>
      </c>
      <c r="AI1914">
        <f>IF($AE1914="","",IF(OR($AF1914="",$AG1914="",$AH1914="",$AF1914&lt;1300,$AF1914&gt;1500,$AG1914&lt;1,$AG1914&gt;12,$AH1914&lt;1,$AH1914&gt;31),"نامعتبر",RIGHT("0000"&amp;$AF1914,4)&amp;"/"&amp;RIGHT("00"&amp;$AG1914,2)&amp;"/"&amp;RIGHT("00"&amp;$AH1914,2)))</f>
        <v/>
      </c>
      <c r="AJ1914">
        <f>IF($AE1914="","",IF(Sync!$Q1914="","0000",IF(AND(ISNUMBER(Sync!$Q1914),Sync!$Q1914&gt;=0,Sync!$Q1914&lt;1),RIGHT("00"&amp;HOUR(Sync!$Q1914),2)&amp;RIGHT("00"&amp;MINUTE(Sync!$Q1914),2),IFERROR(RIGHT("00"&amp;VALUE(LEFT(Sync!$Q1914,FIND(":",Sync!$Q1914)-1)),2)&amp;RIGHT("00"&amp;VALUE(MID(Sync!$Q1914,FIND(":",Sync!$Q1914)+1,2)),2),"0000"))))</f>
        <v/>
      </c>
      <c r="AK1914">
        <f>IF(OR($AE1914="",$AI1914="",$AI1914="نامعتبر"),"",LEFT($AI1914,4)&amp;MID($AI1914,6,2)&amp;RIGHT($AI1914,2)&amp;$AJ1914&amp;"|"&amp;"3"&amp;RIGHT("00000"&amp;1909,5))</f>
        <v/>
      </c>
      <c r="AL1914">
        <f>IF($AK1914="","",COUNTIFS(LdAParty,$AE1914,LdAType,1,LdAKey,"&lt;"&amp;$AK1914)+COUNTIFS(LdBMember,$AE1914,LdBKey,"&lt;"&amp;$AK1914)+COUNTIFS(LdCParty,$AE1914,LdCKey,"&lt;"&amp;$AK1914)+1)</f>
        <v/>
      </c>
      <c r="AM1914">
        <f>IF($AL1914="","",$AE1914&amp;"|"&amp;RIGHT("000000"&amp;$AL1914,6))</f>
        <v/>
      </c>
      <c r="AN1914">
        <f>IF($AE1914="","",IF(Sync!$W1914="",0,Sync!$W1914))</f>
        <v/>
      </c>
      <c r="AO1914">
        <f>IF($AE1914="","",IF(Sync!$X1914="",0,Sync!$X1914))</f>
        <v/>
      </c>
      <c r="AP1914">
        <f>IF($AE1914="","",Sync!$R1914)</f>
        <v/>
      </c>
      <c r="AQ1914">
        <f>IF($AE1914="","",Sync!$Y1914)</f>
        <v/>
      </c>
    </row>
    <row r="1915">
      <c r="A1915">
        <f>IF(OR(Wages!$B1918="",Wages!$E1918=""),"",Wages!$E1918)</f>
        <v/>
      </c>
      <c r="B1915">
        <f>IF($A1915="","",IF(Wages!$C1918="دستمزد گروهی",2,1))</f>
        <v/>
      </c>
      <c r="C1915">
        <f>IF($A1915="","",IF(ISNUMBER(Wages!$B1918),IF(AND(Wages!$B1918&gt;=10000101,Wages!$B1918&lt;=99991231),INT(Wages!$B1918/10000),""),IFERROR(VALUE(TRIM(LEFT(Wages!$B1918,FIND("/",Wages!$B1918)-1))),"")))</f>
        <v/>
      </c>
      <c r="D1915">
        <f>IF(OR($A1915="",$C1915=""),"",IF(ISNUMBER(Wages!$B1918),INT(MOD(Wages!$B1918,10000)/100),IFERROR(VALUE(TRIM(LEFT(MID(Wages!$B1918,FIND("/",Wages!$B1918)+1,20),FIND("/",MID(Wages!$B1918,FIND("/",Wages!$B1918)+1,20))-1))),"")))</f>
        <v/>
      </c>
      <c r="E1915">
        <f>IF(OR($A1915="",$C1915=""),"",IF(ISNUMBER(Wages!$B1918),MOD(Wages!$B1918,100),IFERROR(VALUE(TRIM(MID(MID(Wages!$B1918,FIND("/",Wages!$B1918)+1,20),FIND("/",MID(Wages!$B1918,FIND("/",Wages!$B1918)+1,20))+1,20))),"")))</f>
        <v/>
      </c>
      <c r="F1915">
        <f>IF($A1915="","",IF(OR($C1915="",$D1915="",$E1915="",$C1915&lt;1300,$C1915&gt;1500,$D1915&lt;1,$D1915&gt;12,$E1915&lt;1,$E1915&gt;31),"نامعتبر",RIGHT("0000"&amp;$C1915,4)&amp;"/"&amp;RIGHT("00"&amp;$D1915,2)&amp;"/"&amp;RIGHT("00"&amp;$E1915,2)))</f>
        <v/>
      </c>
      <c r="G1915">
        <f>IF(OR($A1915="",$F1915="",$F1915="نامعتبر"),"",LEFT($F1915,4)&amp;MID($F1915,6,2)&amp;RIGHT($F1915,2)&amp;"0000"&amp;"|"&amp;"1"&amp;RIGHT("00000"&amp;1910,5))</f>
        <v/>
      </c>
      <c r="H1915">
        <f>IF(OR($B1915&lt;&gt;1,$G1915=""),"",COUNTIFS(LdAParty,$A1915,LdAType,1,LdAKey,"&lt;"&amp;$G1915)+COUNTIFS(LdBMember,$A1915,LdBKey,"&lt;"&amp;$G1915)+COUNTIFS(LdCParty,$A1915,LdCKey,"&lt;"&amp;$G1915)+1)</f>
        <v/>
      </c>
      <c r="I1915">
        <f>IF($H1915="","",$A1915&amp;"|"&amp;RIGHT("000000"&amp;$H1915,6))</f>
        <v/>
      </c>
      <c r="J1915">
        <f>IF(OR($B1915&lt;&gt;2,$G1915=""),"",COUNTIFS(LdAParty,$A1915,LdAType,2,LdAKey,"&lt;"&amp;$G1915)+1)</f>
        <v/>
      </c>
      <c r="K1915">
        <f>IF($J1915="","",$A1915&amp;"|"&amp;RIGHT("000000"&amp;$J1915,6))</f>
        <v/>
      </c>
      <c r="L1915">
        <f>IF($A1915="","",IF(Wages!$G1918="",0,Wages!$G1918))</f>
        <v/>
      </c>
      <c r="M1915">
        <f>IF($A1915="","",Wages!$J1918)</f>
        <v/>
      </c>
      <c r="N1915">
        <f>IF($A1915="","",Wages!$D1918)</f>
        <v/>
      </c>
      <c r="P1915">
        <f>IF(OR(Shares!$B1918="",Shares!$C1918=""),"",Shares!$C1918)</f>
        <v/>
      </c>
      <c r="Q1915">
        <f>IF($P1915="","",Shares!$B1918)</f>
        <v/>
      </c>
      <c r="R1915">
        <f>IF($P1915="","",IFERROR(INDEX(WageParty,MATCH($Q1915,WageIds,0)),""))</f>
        <v/>
      </c>
      <c r="S1915">
        <f>IF($P1915="","",IFERROR(INDEX($F$6:$F$2005,MATCH($Q1915,WageIds,0)),""))</f>
        <v/>
      </c>
      <c r="T1915">
        <f>IF(OR($P1915="",$S1915="",$S1915="نامعتبر"),"",LEFT($S1915,4)&amp;MID($S1915,6,2)&amp;RIGHT($S1915,2)&amp;"0000"&amp;"|"&amp;"2"&amp;RIGHT("00000"&amp;1910,5))</f>
        <v/>
      </c>
      <c r="U1915">
        <f>IF($T1915="","",COUNTIFS(LdAParty,$P1915,LdAType,1,LdAKey,"&lt;"&amp;$T1915)+COUNTIFS(LdBMember,$P1915,LdBKey,"&lt;"&amp;$T1915)+COUNTIFS(LdCParty,$P1915,LdCKey,"&lt;"&amp;$T1915)+1)</f>
        <v/>
      </c>
      <c r="V1915">
        <f>IF($U1915="","",$P1915&amp;"|"&amp;RIGHT("000000"&amp;$U1915,6))</f>
        <v/>
      </c>
      <c r="W1915">
        <f>IF($T1915="","",COUNTIFS(LdBGroup,$R1915,LdBKey,"&lt;"&amp;$T1915)+1)</f>
        <v/>
      </c>
      <c r="X1915">
        <f>IF($W1915="","",$R1915&amp;"|"&amp;RIGHT("000000"&amp;$W1915,6))</f>
        <v/>
      </c>
      <c r="Y1915">
        <f>IF($P1915="","",IF(Shares!$E1918="",0,Shares!$E1918))</f>
        <v/>
      </c>
      <c r="Z1915">
        <f>IF($P1915="","",Shares!$H1918)</f>
        <v/>
      </c>
      <c r="AE1915">
        <f>IF(OR(Sync!$S1915="",Sync!$P1915=""),"",Sync!$S1915)</f>
        <v/>
      </c>
      <c r="AF1915">
        <f>IF($AE1915="","",IF(ISNUMBER(Sync!$P1915),IF(AND(Sync!$P1915&gt;=10000101,Sync!$P1915&lt;=99991231),INT(Sync!$P1915/10000),""),IFERROR(VALUE(TRIM(LEFT(Sync!$P1915,FIND("/",Sync!$P1915)-1))),"")))</f>
        <v/>
      </c>
      <c r="AG1915">
        <f>IF(OR($AE1915="",$AF1915=""),"",IF(ISNUMBER(Sync!$P1915),INT(MOD(Sync!$P1915,10000)/100),IFERROR(VALUE(TRIM(LEFT(MID(Sync!$P1915,FIND("/",Sync!$P1915)+1,20),FIND("/",MID(Sync!$P1915,FIND("/",Sync!$P1915)+1,20))-1))),"")))</f>
        <v/>
      </c>
      <c r="AH1915">
        <f>IF(OR($AE1915="",$AF1915=""),"",IF(ISNUMBER(Sync!$P1915),MOD(Sync!$P1915,100),IFERROR(VALUE(TRIM(MID(MID(Sync!$P1915,FIND("/",Sync!$P1915)+1,20),FIND("/",MID(Sync!$P1915,FIND("/",Sync!$P1915)+1,20))+1,20))),"")))</f>
        <v/>
      </c>
      <c r="AI1915">
        <f>IF($AE1915="","",IF(OR($AF1915="",$AG1915="",$AH1915="",$AF1915&lt;1300,$AF1915&gt;1500,$AG1915&lt;1,$AG1915&gt;12,$AH1915&lt;1,$AH1915&gt;31),"نامعتبر",RIGHT("0000"&amp;$AF1915,4)&amp;"/"&amp;RIGHT("00"&amp;$AG1915,2)&amp;"/"&amp;RIGHT("00"&amp;$AH1915,2)))</f>
        <v/>
      </c>
      <c r="AJ1915">
        <f>IF($AE1915="","",IF(Sync!$Q1915="","0000",IF(AND(ISNUMBER(Sync!$Q1915),Sync!$Q1915&gt;=0,Sync!$Q1915&lt;1),RIGHT("00"&amp;HOUR(Sync!$Q1915),2)&amp;RIGHT("00"&amp;MINUTE(Sync!$Q1915),2),IFERROR(RIGHT("00"&amp;VALUE(LEFT(Sync!$Q1915,FIND(":",Sync!$Q1915)-1)),2)&amp;RIGHT("00"&amp;VALUE(MID(Sync!$Q1915,FIND(":",Sync!$Q1915)+1,2)),2),"0000"))))</f>
        <v/>
      </c>
      <c r="AK1915">
        <f>IF(OR($AE1915="",$AI1915="",$AI1915="نامعتبر"),"",LEFT($AI1915,4)&amp;MID($AI1915,6,2)&amp;RIGHT($AI1915,2)&amp;$AJ1915&amp;"|"&amp;"3"&amp;RIGHT("00000"&amp;1910,5))</f>
        <v/>
      </c>
      <c r="AL1915">
        <f>IF($AK1915="","",COUNTIFS(LdAParty,$AE1915,LdAType,1,LdAKey,"&lt;"&amp;$AK1915)+COUNTIFS(LdBMember,$AE1915,LdBKey,"&lt;"&amp;$AK1915)+COUNTIFS(LdCParty,$AE1915,LdCKey,"&lt;"&amp;$AK1915)+1)</f>
        <v/>
      </c>
      <c r="AM1915">
        <f>IF($AL1915="","",$AE1915&amp;"|"&amp;RIGHT("000000"&amp;$AL1915,6))</f>
        <v/>
      </c>
      <c r="AN1915">
        <f>IF($AE1915="","",IF(Sync!$W1915="",0,Sync!$W1915))</f>
        <v/>
      </c>
      <c r="AO1915">
        <f>IF($AE1915="","",IF(Sync!$X1915="",0,Sync!$X1915))</f>
        <v/>
      </c>
      <c r="AP1915">
        <f>IF($AE1915="","",Sync!$R1915)</f>
        <v/>
      </c>
      <c r="AQ1915">
        <f>IF($AE1915="","",Sync!$Y1915)</f>
        <v/>
      </c>
    </row>
    <row r="1916">
      <c r="A1916">
        <f>IF(OR(Wages!$B1919="",Wages!$E1919=""),"",Wages!$E1919)</f>
        <v/>
      </c>
      <c r="B1916">
        <f>IF($A1916="","",IF(Wages!$C1919="دستمزد گروهی",2,1))</f>
        <v/>
      </c>
      <c r="C1916">
        <f>IF($A1916="","",IF(ISNUMBER(Wages!$B1919),IF(AND(Wages!$B1919&gt;=10000101,Wages!$B1919&lt;=99991231),INT(Wages!$B1919/10000),""),IFERROR(VALUE(TRIM(LEFT(Wages!$B1919,FIND("/",Wages!$B1919)-1))),"")))</f>
        <v/>
      </c>
      <c r="D1916">
        <f>IF(OR($A1916="",$C1916=""),"",IF(ISNUMBER(Wages!$B1919),INT(MOD(Wages!$B1919,10000)/100),IFERROR(VALUE(TRIM(LEFT(MID(Wages!$B1919,FIND("/",Wages!$B1919)+1,20),FIND("/",MID(Wages!$B1919,FIND("/",Wages!$B1919)+1,20))-1))),"")))</f>
        <v/>
      </c>
      <c r="E1916">
        <f>IF(OR($A1916="",$C1916=""),"",IF(ISNUMBER(Wages!$B1919),MOD(Wages!$B1919,100),IFERROR(VALUE(TRIM(MID(MID(Wages!$B1919,FIND("/",Wages!$B1919)+1,20),FIND("/",MID(Wages!$B1919,FIND("/",Wages!$B1919)+1,20))+1,20))),"")))</f>
        <v/>
      </c>
      <c r="F1916">
        <f>IF($A1916="","",IF(OR($C1916="",$D1916="",$E1916="",$C1916&lt;1300,$C1916&gt;1500,$D1916&lt;1,$D1916&gt;12,$E1916&lt;1,$E1916&gt;31),"نامعتبر",RIGHT("0000"&amp;$C1916,4)&amp;"/"&amp;RIGHT("00"&amp;$D1916,2)&amp;"/"&amp;RIGHT("00"&amp;$E1916,2)))</f>
        <v/>
      </c>
      <c r="G1916">
        <f>IF(OR($A1916="",$F1916="",$F1916="نامعتبر"),"",LEFT($F1916,4)&amp;MID($F1916,6,2)&amp;RIGHT($F1916,2)&amp;"0000"&amp;"|"&amp;"1"&amp;RIGHT("00000"&amp;1911,5))</f>
        <v/>
      </c>
      <c r="H1916">
        <f>IF(OR($B1916&lt;&gt;1,$G1916=""),"",COUNTIFS(LdAParty,$A1916,LdAType,1,LdAKey,"&lt;"&amp;$G1916)+COUNTIFS(LdBMember,$A1916,LdBKey,"&lt;"&amp;$G1916)+COUNTIFS(LdCParty,$A1916,LdCKey,"&lt;"&amp;$G1916)+1)</f>
        <v/>
      </c>
      <c r="I1916">
        <f>IF($H1916="","",$A1916&amp;"|"&amp;RIGHT("000000"&amp;$H1916,6))</f>
        <v/>
      </c>
      <c r="J1916">
        <f>IF(OR($B1916&lt;&gt;2,$G1916=""),"",COUNTIFS(LdAParty,$A1916,LdAType,2,LdAKey,"&lt;"&amp;$G1916)+1)</f>
        <v/>
      </c>
      <c r="K1916">
        <f>IF($J1916="","",$A1916&amp;"|"&amp;RIGHT("000000"&amp;$J1916,6))</f>
        <v/>
      </c>
      <c r="L1916">
        <f>IF($A1916="","",IF(Wages!$G1919="",0,Wages!$G1919))</f>
        <v/>
      </c>
      <c r="M1916">
        <f>IF($A1916="","",Wages!$J1919)</f>
        <v/>
      </c>
      <c r="N1916">
        <f>IF($A1916="","",Wages!$D1919)</f>
        <v/>
      </c>
      <c r="P1916">
        <f>IF(OR(Shares!$B1919="",Shares!$C1919=""),"",Shares!$C1919)</f>
        <v/>
      </c>
      <c r="Q1916">
        <f>IF($P1916="","",Shares!$B1919)</f>
        <v/>
      </c>
      <c r="R1916">
        <f>IF($P1916="","",IFERROR(INDEX(WageParty,MATCH($Q1916,WageIds,0)),""))</f>
        <v/>
      </c>
      <c r="S1916">
        <f>IF($P1916="","",IFERROR(INDEX($F$6:$F$2005,MATCH($Q1916,WageIds,0)),""))</f>
        <v/>
      </c>
      <c r="T1916">
        <f>IF(OR($P1916="",$S1916="",$S1916="نامعتبر"),"",LEFT($S1916,4)&amp;MID($S1916,6,2)&amp;RIGHT($S1916,2)&amp;"0000"&amp;"|"&amp;"2"&amp;RIGHT("00000"&amp;1911,5))</f>
        <v/>
      </c>
      <c r="U1916">
        <f>IF($T1916="","",COUNTIFS(LdAParty,$P1916,LdAType,1,LdAKey,"&lt;"&amp;$T1916)+COUNTIFS(LdBMember,$P1916,LdBKey,"&lt;"&amp;$T1916)+COUNTIFS(LdCParty,$P1916,LdCKey,"&lt;"&amp;$T1916)+1)</f>
        <v/>
      </c>
      <c r="V1916">
        <f>IF($U1916="","",$P1916&amp;"|"&amp;RIGHT("000000"&amp;$U1916,6))</f>
        <v/>
      </c>
      <c r="W1916">
        <f>IF($T1916="","",COUNTIFS(LdBGroup,$R1916,LdBKey,"&lt;"&amp;$T1916)+1)</f>
        <v/>
      </c>
      <c r="X1916">
        <f>IF($W1916="","",$R1916&amp;"|"&amp;RIGHT("000000"&amp;$W1916,6))</f>
        <v/>
      </c>
      <c r="Y1916">
        <f>IF($P1916="","",IF(Shares!$E1919="",0,Shares!$E1919))</f>
        <v/>
      </c>
      <c r="Z1916">
        <f>IF($P1916="","",Shares!$H1919)</f>
        <v/>
      </c>
      <c r="AE1916">
        <f>IF(OR(Sync!$S1916="",Sync!$P1916=""),"",Sync!$S1916)</f>
        <v/>
      </c>
      <c r="AF1916">
        <f>IF($AE1916="","",IF(ISNUMBER(Sync!$P1916),IF(AND(Sync!$P1916&gt;=10000101,Sync!$P1916&lt;=99991231),INT(Sync!$P1916/10000),""),IFERROR(VALUE(TRIM(LEFT(Sync!$P1916,FIND("/",Sync!$P1916)-1))),"")))</f>
        <v/>
      </c>
      <c r="AG1916">
        <f>IF(OR($AE1916="",$AF1916=""),"",IF(ISNUMBER(Sync!$P1916),INT(MOD(Sync!$P1916,10000)/100),IFERROR(VALUE(TRIM(LEFT(MID(Sync!$P1916,FIND("/",Sync!$P1916)+1,20),FIND("/",MID(Sync!$P1916,FIND("/",Sync!$P1916)+1,20))-1))),"")))</f>
        <v/>
      </c>
      <c r="AH1916">
        <f>IF(OR($AE1916="",$AF1916=""),"",IF(ISNUMBER(Sync!$P1916),MOD(Sync!$P1916,100),IFERROR(VALUE(TRIM(MID(MID(Sync!$P1916,FIND("/",Sync!$P1916)+1,20),FIND("/",MID(Sync!$P1916,FIND("/",Sync!$P1916)+1,20))+1,20))),"")))</f>
        <v/>
      </c>
      <c r="AI1916">
        <f>IF($AE1916="","",IF(OR($AF1916="",$AG1916="",$AH1916="",$AF1916&lt;1300,$AF1916&gt;1500,$AG1916&lt;1,$AG1916&gt;12,$AH1916&lt;1,$AH1916&gt;31),"نامعتبر",RIGHT("0000"&amp;$AF1916,4)&amp;"/"&amp;RIGHT("00"&amp;$AG1916,2)&amp;"/"&amp;RIGHT("00"&amp;$AH1916,2)))</f>
        <v/>
      </c>
      <c r="AJ1916">
        <f>IF($AE1916="","",IF(Sync!$Q1916="","0000",IF(AND(ISNUMBER(Sync!$Q1916),Sync!$Q1916&gt;=0,Sync!$Q1916&lt;1),RIGHT("00"&amp;HOUR(Sync!$Q1916),2)&amp;RIGHT("00"&amp;MINUTE(Sync!$Q1916),2),IFERROR(RIGHT("00"&amp;VALUE(LEFT(Sync!$Q1916,FIND(":",Sync!$Q1916)-1)),2)&amp;RIGHT("00"&amp;VALUE(MID(Sync!$Q1916,FIND(":",Sync!$Q1916)+1,2)),2),"0000"))))</f>
        <v/>
      </c>
      <c r="AK1916">
        <f>IF(OR($AE1916="",$AI1916="",$AI1916="نامعتبر"),"",LEFT($AI1916,4)&amp;MID($AI1916,6,2)&amp;RIGHT($AI1916,2)&amp;$AJ1916&amp;"|"&amp;"3"&amp;RIGHT("00000"&amp;1911,5))</f>
        <v/>
      </c>
      <c r="AL1916">
        <f>IF($AK1916="","",COUNTIFS(LdAParty,$AE1916,LdAType,1,LdAKey,"&lt;"&amp;$AK1916)+COUNTIFS(LdBMember,$AE1916,LdBKey,"&lt;"&amp;$AK1916)+COUNTIFS(LdCParty,$AE1916,LdCKey,"&lt;"&amp;$AK1916)+1)</f>
        <v/>
      </c>
      <c r="AM1916">
        <f>IF($AL1916="","",$AE1916&amp;"|"&amp;RIGHT("000000"&amp;$AL1916,6))</f>
        <v/>
      </c>
      <c r="AN1916">
        <f>IF($AE1916="","",IF(Sync!$W1916="",0,Sync!$W1916))</f>
        <v/>
      </c>
      <c r="AO1916">
        <f>IF($AE1916="","",IF(Sync!$X1916="",0,Sync!$X1916))</f>
        <v/>
      </c>
      <c r="AP1916">
        <f>IF($AE1916="","",Sync!$R1916)</f>
        <v/>
      </c>
      <c r="AQ1916">
        <f>IF($AE1916="","",Sync!$Y1916)</f>
        <v/>
      </c>
    </row>
    <row r="1917">
      <c r="A1917">
        <f>IF(OR(Wages!$B1920="",Wages!$E1920=""),"",Wages!$E1920)</f>
        <v/>
      </c>
      <c r="B1917">
        <f>IF($A1917="","",IF(Wages!$C1920="دستمزد گروهی",2,1))</f>
        <v/>
      </c>
      <c r="C1917">
        <f>IF($A1917="","",IF(ISNUMBER(Wages!$B1920),IF(AND(Wages!$B1920&gt;=10000101,Wages!$B1920&lt;=99991231),INT(Wages!$B1920/10000),""),IFERROR(VALUE(TRIM(LEFT(Wages!$B1920,FIND("/",Wages!$B1920)-1))),"")))</f>
        <v/>
      </c>
      <c r="D1917">
        <f>IF(OR($A1917="",$C1917=""),"",IF(ISNUMBER(Wages!$B1920),INT(MOD(Wages!$B1920,10000)/100),IFERROR(VALUE(TRIM(LEFT(MID(Wages!$B1920,FIND("/",Wages!$B1920)+1,20),FIND("/",MID(Wages!$B1920,FIND("/",Wages!$B1920)+1,20))-1))),"")))</f>
        <v/>
      </c>
      <c r="E1917">
        <f>IF(OR($A1917="",$C1917=""),"",IF(ISNUMBER(Wages!$B1920),MOD(Wages!$B1920,100),IFERROR(VALUE(TRIM(MID(MID(Wages!$B1920,FIND("/",Wages!$B1920)+1,20),FIND("/",MID(Wages!$B1920,FIND("/",Wages!$B1920)+1,20))+1,20))),"")))</f>
        <v/>
      </c>
      <c r="F1917">
        <f>IF($A1917="","",IF(OR($C1917="",$D1917="",$E1917="",$C1917&lt;1300,$C1917&gt;1500,$D1917&lt;1,$D1917&gt;12,$E1917&lt;1,$E1917&gt;31),"نامعتبر",RIGHT("0000"&amp;$C1917,4)&amp;"/"&amp;RIGHT("00"&amp;$D1917,2)&amp;"/"&amp;RIGHT("00"&amp;$E1917,2)))</f>
        <v/>
      </c>
      <c r="G1917">
        <f>IF(OR($A1917="",$F1917="",$F1917="نامعتبر"),"",LEFT($F1917,4)&amp;MID($F1917,6,2)&amp;RIGHT($F1917,2)&amp;"0000"&amp;"|"&amp;"1"&amp;RIGHT("00000"&amp;1912,5))</f>
        <v/>
      </c>
      <c r="H1917">
        <f>IF(OR($B1917&lt;&gt;1,$G1917=""),"",COUNTIFS(LdAParty,$A1917,LdAType,1,LdAKey,"&lt;"&amp;$G1917)+COUNTIFS(LdBMember,$A1917,LdBKey,"&lt;"&amp;$G1917)+COUNTIFS(LdCParty,$A1917,LdCKey,"&lt;"&amp;$G1917)+1)</f>
        <v/>
      </c>
      <c r="I1917">
        <f>IF($H1917="","",$A1917&amp;"|"&amp;RIGHT("000000"&amp;$H1917,6))</f>
        <v/>
      </c>
      <c r="J1917">
        <f>IF(OR($B1917&lt;&gt;2,$G1917=""),"",COUNTIFS(LdAParty,$A1917,LdAType,2,LdAKey,"&lt;"&amp;$G1917)+1)</f>
        <v/>
      </c>
      <c r="K1917">
        <f>IF($J1917="","",$A1917&amp;"|"&amp;RIGHT("000000"&amp;$J1917,6))</f>
        <v/>
      </c>
      <c r="L1917">
        <f>IF($A1917="","",IF(Wages!$G1920="",0,Wages!$G1920))</f>
        <v/>
      </c>
      <c r="M1917">
        <f>IF($A1917="","",Wages!$J1920)</f>
        <v/>
      </c>
      <c r="N1917">
        <f>IF($A1917="","",Wages!$D1920)</f>
        <v/>
      </c>
      <c r="P1917">
        <f>IF(OR(Shares!$B1920="",Shares!$C1920=""),"",Shares!$C1920)</f>
        <v/>
      </c>
      <c r="Q1917">
        <f>IF($P1917="","",Shares!$B1920)</f>
        <v/>
      </c>
      <c r="R1917">
        <f>IF($P1917="","",IFERROR(INDEX(WageParty,MATCH($Q1917,WageIds,0)),""))</f>
        <v/>
      </c>
      <c r="S1917">
        <f>IF($P1917="","",IFERROR(INDEX($F$6:$F$2005,MATCH($Q1917,WageIds,0)),""))</f>
        <v/>
      </c>
      <c r="T1917">
        <f>IF(OR($P1917="",$S1917="",$S1917="نامعتبر"),"",LEFT($S1917,4)&amp;MID($S1917,6,2)&amp;RIGHT($S1917,2)&amp;"0000"&amp;"|"&amp;"2"&amp;RIGHT("00000"&amp;1912,5))</f>
        <v/>
      </c>
      <c r="U1917">
        <f>IF($T1917="","",COUNTIFS(LdAParty,$P1917,LdAType,1,LdAKey,"&lt;"&amp;$T1917)+COUNTIFS(LdBMember,$P1917,LdBKey,"&lt;"&amp;$T1917)+COUNTIFS(LdCParty,$P1917,LdCKey,"&lt;"&amp;$T1917)+1)</f>
        <v/>
      </c>
      <c r="V1917">
        <f>IF($U1917="","",$P1917&amp;"|"&amp;RIGHT("000000"&amp;$U1917,6))</f>
        <v/>
      </c>
      <c r="W1917">
        <f>IF($T1917="","",COUNTIFS(LdBGroup,$R1917,LdBKey,"&lt;"&amp;$T1917)+1)</f>
        <v/>
      </c>
      <c r="X1917">
        <f>IF($W1917="","",$R1917&amp;"|"&amp;RIGHT("000000"&amp;$W1917,6))</f>
        <v/>
      </c>
      <c r="Y1917">
        <f>IF($P1917="","",IF(Shares!$E1920="",0,Shares!$E1920))</f>
        <v/>
      </c>
      <c r="Z1917">
        <f>IF($P1917="","",Shares!$H1920)</f>
        <v/>
      </c>
      <c r="AE1917">
        <f>IF(OR(Sync!$S1917="",Sync!$P1917=""),"",Sync!$S1917)</f>
        <v/>
      </c>
      <c r="AF1917">
        <f>IF($AE1917="","",IF(ISNUMBER(Sync!$P1917),IF(AND(Sync!$P1917&gt;=10000101,Sync!$P1917&lt;=99991231),INT(Sync!$P1917/10000),""),IFERROR(VALUE(TRIM(LEFT(Sync!$P1917,FIND("/",Sync!$P1917)-1))),"")))</f>
        <v/>
      </c>
      <c r="AG1917">
        <f>IF(OR($AE1917="",$AF1917=""),"",IF(ISNUMBER(Sync!$P1917),INT(MOD(Sync!$P1917,10000)/100),IFERROR(VALUE(TRIM(LEFT(MID(Sync!$P1917,FIND("/",Sync!$P1917)+1,20),FIND("/",MID(Sync!$P1917,FIND("/",Sync!$P1917)+1,20))-1))),"")))</f>
        <v/>
      </c>
      <c r="AH1917">
        <f>IF(OR($AE1917="",$AF1917=""),"",IF(ISNUMBER(Sync!$P1917),MOD(Sync!$P1917,100),IFERROR(VALUE(TRIM(MID(MID(Sync!$P1917,FIND("/",Sync!$P1917)+1,20),FIND("/",MID(Sync!$P1917,FIND("/",Sync!$P1917)+1,20))+1,20))),"")))</f>
        <v/>
      </c>
      <c r="AI1917">
        <f>IF($AE1917="","",IF(OR($AF1917="",$AG1917="",$AH1917="",$AF1917&lt;1300,$AF1917&gt;1500,$AG1917&lt;1,$AG1917&gt;12,$AH1917&lt;1,$AH1917&gt;31),"نامعتبر",RIGHT("0000"&amp;$AF1917,4)&amp;"/"&amp;RIGHT("00"&amp;$AG1917,2)&amp;"/"&amp;RIGHT("00"&amp;$AH1917,2)))</f>
        <v/>
      </c>
      <c r="AJ1917">
        <f>IF($AE1917="","",IF(Sync!$Q1917="","0000",IF(AND(ISNUMBER(Sync!$Q1917),Sync!$Q1917&gt;=0,Sync!$Q1917&lt;1),RIGHT("00"&amp;HOUR(Sync!$Q1917),2)&amp;RIGHT("00"&amp;MINUTE(Sync!$Q1917),2),IFERROR(RIGHT("00"&amp;VALUE(LEFT(Sync!$Q1917,FIND(":",Sync!$Q1917)-1)),2)&amp;RIGHT("00"&amp;VALUE(MID(Sync!$Q1917,FIND(":",Sync!$Q1917)+1,2)),2),"0000"))))</f>
        <v/>
      </c>
      <c r="AK1917">
        <f>IF(OR($AE1917="",$AI1917="",$AI1917="نامعتبر"),"",LEFT($AI1917,4)&amp;MID($AI1917,6,2)&amp;RIGHT($AI1917,2)&amp;$AJ1917&amp;"|"&amp;"3"&amp;RIGHT("00000"&amp;1912,5))</f>
        <v/>
      </c>
      <c r="AL1917">
        <f>IF($AK1917="","",COUNTIFS(LdAParty,$AE1917,LdAType,1,LdAKey,"&lt;"&amp;$AK1917)+COUNTIFS(LdBMember,$AE1917,LdBKey,"&lt;"&amp;$AK1917)+COUNTIFS(LdCParty,$AE1917,LdCKey,"&lt;"&amp;$AK1917)+1)</f>
        <v/>
      </c>
      <c r="AM1917">
        <f>IF($AL1917="","",$AE1917&amp;"|"&amp;RIGHT("000000"&amp;$AL1917,6))</f>
        <v/>
      </c>
      <c r="AN1917">
        <f>IF($AE1917="","",IF(Sync!$W1917="",0,Sync!$W1917))</f>
        <v/>
      </c>
      <c r="AO1917">
        <f>IF($AE1917="","",IF(Sync!$X1917="",0,Sync!$X1917))</f>
        <v/>
      </c>
      <c r="AP1917">
        <f>IF($AE1917="","",Sync!$R1917)</f>
        <v/>
      </c>
      <c r="AQ1917">
        <f>IF($AE1917="","",Sync!$Y1917)</f>
        <v/>
      </c>
    </row>
    <row r="1918">
      <c r="A1918">
        <f>IF(OR(Wages!$B1921="",Wages!$E1921=""),"",Wages!$E1921)</f>
        <v/>
      </c>
      <c r="B1918">
        <f>IF($A1918="","",IF(Wages!$C1921="دستمزد گروهی",2,1))</f>
        <v/>
      </c>
      <c r="C1918">
        <f>IF($A1918="","",IF(ISNUMBER(Wages!$B1921),IF(AND(Wages!$B1921&gt;=10000101,Wages!$B1921&lt;=99991231),INT(Wages!$B1921/10000),""),IFERROR(VALUE(TRIM(LEFT(Wages!$B1921,FIND("/",Wages!$B1921)-1))),"")))</f>
        <v/>
      </c>
      <c r="D1918">
        <f>IF(OR($A1918="",$C1918=""),"",IF(ISNUMBER(Wages!$B1921),INT(MOD(Wages!$B1921,10000)/100),IFERROR(VALUE(TRIM(LEFT(MID(Wages!$B1921,FIND("/",Wages!$B1921)+1,20),FIND("/",MID(Wages!$B1921,FIND("/",Wages!$B1921)+1,20))-1))),"")))</f>
        <v/>
      </c>
      <c r="E1918">
        <f>IF(OR($A1918="",$C1918=""),"",IF(ISNUMBER(Wages!$B1921),MOD(Wages!$B1921,100),IFERROR(VALUE(TRIM(MID(MID(Wages!$B1921,FIND("/",Wages!$B1921)+1,20),FIND("/",MID(Wages!$B1921,FIND("/",Wages!$B1921)+1,20))+1,20))),"")))</f>
        <v/>
      </c>
      <c r="F1918">
        <f>IF($A1918="","",IF(OR($C1918="",$D1918="",$E1918="",$C1918&lt;1300,$C1918&gt;1500,$D1918&lt;1,$D1918&gt;12,$E1918&lt;1,$E1918&gt;31),"نامعتبر",RIGHT("0000"&amp;$C1918,4)&amp;"/"&amp;RIGHT("00"&amp;$D1918,2)&amp;"/"&amp;RIGHT("00"&amp;$E1918,2)))</f>
        <v/>
      </c>
      <c r="G1918">
        <f>IF(OR($A1918="",$F1918="",$F1918="نامعتبر"),"",LEFT($F1918,4)&amp;MID($F1918,6,2)&amp;RIGHT($F1918,2)&amp;"0000"&amp;"|"&amp;"1"&amp;RIGHT("00000"&amp;1913,5))</f>
        <v/>
      </c>
      <c r="H1918">
        <f>IF(OR($B1918&lt;&gt;1,$G1918=""),"",COUNTIFS(LdAParty,$A1918,LdAType,1,LdAKey,"&lt;"&amp;$G1918)+COUNTIFS(LdBMember,$A1918,LdBKey,"&lt;"&amp;$G1918)+COUNTIFS(LdCParty,$A1918,LdCKey,"&lt;"&amp;$G1918)+1)</f>
        <v/>
      </c>
      <c r="I1918">
        <f>IF($H1918="","",$A1918&amp;"|"&amp;RIGHT("000000"&amp;$H1918,6))</f>
        <v/>
      </c>
      <c r="J1918">
        <f>IF(OR($B1918&lt;&gt;2,$G1918=""),"",COUNTIFS(LdAParty,$A1918,LdAType,2,LdAKey,"&lt;"&amp;$G1918)+1)</f>
        <v/>
      </c>
      <c r="K1918">
        <f>IF($J1918="","",$A1918&amp;"|"&amp;RIGHT("000000"&amp;$J1918,6))</f>
        <v/>
      </c>
      <c r="L1918">
        <f>IF($A1918="","",IF(Wages!$G1921="",0,Wages!$G1921))</f>
        <v/>
      </c>
      <c r="M1918">
        <f>IF($A1918="","",Wages!$J1921)</f>
        <v/>
      </c>
      <c r="N1918">
        <f>IF($A1918="","",Wages!$D1921)</f>
        <v/>
      </c>
      <c r="P1918">
        <f>IF(OR(Shares!$B1921="",Shares!$C1921=""),"",Shares!$C1921)</f>
        <v/>
      </c>
      <c r="Q1918">
        <f>IF($P1918="","",Shares!$B1921)</f>
        <v/>
      </c>
      <c r="R1918">
        <f>IF($P1918="","",IFERROR(INDEX(WageParty,MATCH($Q1918,WageIds,0)),""))</f>
        <v/>
      </c>
      <c r="S1918">
        <f>IF($P1918="","",IFERROR(INDEX($F$6:$F$2005,MATCH($Q1918,WageIds,0)),""))</f>
        <v/>
      </c>
      <c r="T1918">
        <f>IF(OR($P1918="",$S1918="",$S1918="نامعتبر"),"",LEFT($S1918,4)&amp;MID($S1918,6,2)&amp;RIGHT($S1918,2)&amp;"0000"&amp;"|"&amp;"2"&amp;RIGHT("00000"&amp;1913,5))</f>
        <v/>
      </c>
      <c r="U1918">
        <f>IF($T1918="","",COUNTIFS(LdAParty,$P1918,LdAType,1,LdAKey,"&lt;"&amp;$T1918)+COUNTIFS(LdBMember,$P1918,LdBKey,"&lt;"&amp;$T1918)+COUNTIFS(LdCParty,$P1918,LdCKey,"&lt;"&amp;$T1918)+1)</f>
        <v/>
      </c>
      <c r="V1918">
        <f>IF($U1918="","",$P1918&amp;"|"&amp;RIGHT("000000"&amp;$U1918,6))</f>
        <v/>
      </c>
      <c r="W1918">
        <f>IF($T1918="","",COUNTIFS(LdBGroup,$R1918,LdBKey,"&lt;"&amp;$T1918)+1)</f>
        <v/>
      </c>
      <c r="X1918">
        <f>IF($W1918="","",$R1918&amp;"|"&amp;RIGHT("000000"&amp;$W1918,6))</f>
        <v/>
      </c>
      <c r="Y1918">
        <f>IF($P1918="","",IF(Shares!$E1921="",0,Shares!$E1921))</f>
        <v/>
      </c>
      <c r="Z1918">
        <f>IF($P1918="","",Shares!$H1921)</f>
        <v/>
      </c>
      <c r="AE1918">
        <f>IF(OR(Sync!$S1918="",Sync!$P1918=""),"",Sync!$S1918)</f>
        <v/>
      </c>
      <c r="AF1918">
        <f>IF($AE1918="","",IF(ISNUMBER(Sync!$P1918),IF(AND(Sync!$P1918&gt;=10000101,Sync!$P1918&lt;=99991231),INT(Sync!$P1918/10000),""),IFERROR(VALUE(TRIM(LEFT(Sync!$P1918,FIND("/",Sync!$P1918)-1))),"")))</f>
        <v/>
      </c>
      <c r="AG1918">
        <f>IF(OR($AE1918="",$AF1918=""),"",IF(ISNUMBER(Sync!$P1918),INT(MOD(Sync!$P1918,10000)/100),IFERROR(VALUE(TRIM(LEFT(MID(Sync!$P1918,FIND("/",Sync!$P1918)+1,20),FIND("/",MID(Sync!$P1918,FIND("/",Sync!$P1918)+1,20))-1))),"")))</f>
        <v/>
      </c>
      <c r="AH1918">
        <f>IF(OR($AE1918="",$AF1918=""),"",IF(ISNUMBER(Sync!$P1918),MOD(Sync!$P1918,100),IFERROR(VALUE(TRIM(MID(MID(Sync!$P1918,FIND("/",Sync!$P1918)+1,20),FIND("/",MID(Sync!$P1918,FIND("/",Sync!$P1918)+1,20))+1,20))),"")))</f>
        <v/>
      </c>
      <c r="AI1918">
        <f>IF($AE1918="","",IF(OR($AF1918="",$AG1918="",$AH1918="",$AF1918&lt;1300,$AF1918&gt;1500,$AG1918&lt;1,$AG1918&gt;12,$AH1918&lt;1,$AH1918&gt;31),"نامعتبر",RIGHT("0000"&amp;$AF1918,4)&amp;"/"&amp;RIGHT("00"&amp;$AG1918,2)&amp;"/"&amp;RIGHT("00"&amp;$AH1918,2)))</f>
        <v/>
      </c>
      <c r="AJ1918">
        <f>IF($AE1918="","",IF(Sync!$Q1918="","0000",IF(AND(ISNUMBER(Sync!$Q1918),Sync!$Q1918&gt;=0,Sync!$Q1918&lt;1),RIGHT("00"&amp;HOUR(Sync!$Q1918),2)&amp;RIGHT("00"&amp;MINUTE(Sync!$Q1918),2),IFERROR(RIGHT("00"&amp;VALUE(LEFT(Sync!$Q1918,FIND(":",Sync!$Q1918)-1)),2)&amp;RIGHT("00"&amp;VALUE(MID(Sync!$Q1918,FIND(":",Sync!$Q1918)+1,2)),2),"0000"))))</f>
        <v/>
      </c>
      <c r="AK1918">
        <f>IF(OR($AE1918="",$AI1918="",$AI1918="نامعتبر"),"",LEFT($AI1918,4)&amp;MID($AI1918,6,2)&amp;RIGHT($AI1918,2)&amp;$AJ1918&amp;"|"&amp;"3"&amp;RIGHT("00000"&amp;1913,5))</f>
        <v/>
      </c>
      <c r="AL1918">
        <f>IF($AK1918="","",COUNTIFS(LdAParty,$AE1918,LdAType,1,LdAKey,"&lt;"&amp;$AK1918)+COUNTIFS(LdBMember,$AE1918,LdBKey,"&lt;"&amp;$AK1918)+COUNTIFS(LdCParty,$AE1918,LdCKey,"&lt;"&amp;$AK1918)+1)</f>
        <v/>
      </c>
      <c r="AM1918">
        <f>IF($AL1918="","",$AE1918&amp;"|"&amp;RIGHT("000000"&amp;$AL1918,6))</f>
        <v/>
      </c>
      <c r="AN1918">
        <f>IF($AE1918="","",IF(Sync!$W1918="",0,Sync!$W1918))</f>
        <v/>
      </c>
      <c r="AO1918">
        <f>IF($AE1918="","",IF(Sync!$X1918="",0,Sync!$X1918))</f>
        <v/>
      </c>
      <c r="AP1918">
        <f>IF($AE1918="","",Sync!$R1918)</f>
        <v/>
      </c>
      <c r="AQ1918">
        <f>IF($AE1918="","",Sync!$Y1918)</f>
        <v/>
      </c>
    </row>
    <row r="1919">
      <c r="A1919">
        <f>IF(OR(Wages!$B1922="",Wages!$E1922=""),"",Wages!$E1922)</f>
        <v/>
      </c>
      <c r="B1919">
        <f>IF($A1919="","",IF(Wages!$C1922="دستمزد گروهی",2,1))</f>
        <v/>
      </c>
      <c r="C1919">
        <f>IF($A1919="","",IF(ISNUMBER(Wages!$B1922),IF(AND(Wages!$B1922&gt;=10000101,Wages!$B1922&lt;=99991231),INT(Wages!$B1922/10000),""),IFERROR(VALUE(TRIM(LEFT(Wages!$B1922,FIND("/",Wages!$B1922)-1))),"")))</f>
        <v/>
      </c>
      <c r="D1919">
        <f>IF(OR($A1919="",$C1919=""),"",IF(ISNUMBER(Wages!$B1922),INT(MOD(Wages!$B1922,10000)/100),IFERROR(VALUE(TRIM(LEFT(MID(Wages!$B1922,FIND("/",Wages!$B1922)+1,20),FIND("/",MID(Wages!$B1922,FIND("/",Wages!$B1922)+1,20))-1))),"")))</f>
        <v/>
      </c>
      <c r="E1919">
        <f>IF(OR($A1919="",$C1919=""),"",IF(ISNUMBER(Wages!$B1922),MOD(Wages!$B1922,100),IFERROR(VALUE(TRIM(MID(MID(Wages!$B1922,FIND("/",Wages!$B1922)+1,20),FIND("/",MID(Wages!$B1922,FIND("/",Wages!$B1922)+1,20))+1,20))),"")))</f>
        <v/>
      </c>
      <c r="F1919">
        <f>IF($A1919="","",IF(OR($C1919="",$D1919="",$E1919="",$C1919&lt;1300,$C1919&gt;1500,$D1919&lt;1,$D1919&gt;12,$E1919&lt;1,$E1919&gt;31),"نامعتبر",RIGHT("0000"&amp;$C1919,4)&amp;"/"&amp;RIGHT("00"&amp;$D1919,2)&amp;"/"&amp;RIGHT("00"&amp;$E1919,2)))</f>
        <v/>
      </c>
      <c r="G1919">
        <f>IF(OR($A1919="",$F1919="",$F1919="نامعتبر"),"",LEFT($F1919,4)&amp;MID($F1919,6,2)&amp;RIGHT($F1919,2)&amp;"0000"&amp;"|"&amp;"1"&amp;RIGHT("00000"&amp;1914,5))</f>
        <v/>
      </c>
      <c r="H1919">
        <f>IF(OR($B1919&lt;&gt;1,$G1919=""),"",COUNTIFS(LdAParty,$A1919,LdAType,1,LdAKey,"&lt;"&amp;$G1919)+COUNTIFS(LdBMember,$A1919,LdBKey,"&lt;"&amp;$G1919)+COUNTIFS(LdCParty,$A1919,LdCKey,"&lt;"&amp;$G1919)+1)</f>
        <v/>
      </c>
      <c r="I1919">
        <f>IF($H1919="","",$A1919&amp;"|"&amp;RIGHT("000000"&amp;$H1919,6))</f>
        <v/>
      </c>
      <c r="J1919">
        <f>IF(OR($B1919&lt;&gt;2,$G1919=""),"",COUNTIFS(LdAParty,$A1919,LdAType,2,LdAKey,"&lt;"&amp;$G1919)+1)</f>
        <v/>
      </c>
      <c r="K1919">
        <f>IF($J1919="","",$A1919&amp;"|"&amp;RIGHT("000000"&amp;$J1919,6))</f>
        <v/>
      </c>
      <c r="L1919">
        <f>IF($A1919="","",IF(Wages!$G1922="",0,Wages!$G1922))</f>
        <v/>
      </c>
      <c r="M1919">
        <f>IF($A1919="","",Wages!$J1922)</f>
        <v/>
      </c>
      <c r="N1919">
        <f>IF($A1919="","",Wages!$D1922)</f>
        <v/>
      </c>
      <c r="P1919">
        <f>IF(OR(Shares!$B1922="",Shares!$C1922=""),"",Shares!$C1922)</f>
        <v/>
      </c>
      <c r="Q1919">
        <f>IF($P1919="","",Shares!$B1922)</f>
        <v/>
      </c>
      <c r="R1919">
        <f>IF($P1919="","",IFERROR(INDEX(WageParty,MATCH($Q1919,WageIds,0)),""))</f>
        <v/>
      </c>
      <c r="S1919">
        <f>IF($P1919="","",IFERROR(INDEX($F$6:$F$2005,MATCH($Q1919,WageIds,0)),""))</f>
        <v/>
      </c>
      <c r="T1919">
        <f>IF(OR($P1919="",$S1919="",$S1919="نامعتبر"),"",LEFT($S1919,4)&amp;MID($S1919,6,2)&amp;RIGHT($S1919,2)&amp;"0000"&amp;"|"&amp;"2"&amp;RIGHT("00000"&amp;1914,5))</f>
        <v/>
      </c>
      <c r="U1919">
        <f>IF($T1919="","",COUNTIFS(LdAParty,$P1919,LdAType,1,LdAKey,"&lt;"&amp;$T1919)+COUNTIFS(LdBMember,$P1919,LdBKey,"&lt;"&amp;$T1919)+COUNTIFS(LdCParty,$P1919,LdCKey,"&lt;"&amp;$T1919)+1)</f>
        <v/>
      </c>
      <c r="V1919">
        <f>IF($U1919="","",$P1919&amp;"|"&amp;RIGHT("000000"&amp;$U1919,6))</f>
        <v/>
      </c>
      <c r="W1919">
        <f>IF($T1919="","",COUNTIFS(LdBGroup,$R1919,LdBKey,"&lt;"&amp;$T1919)+1)</f>
        <v/>
      </c>
      <c r="X1919">
        <f>IF($W1919="","",$R1919&amp;"|"&amp;RIGHT("000000"&amp;$W1919,6))</f>
        <v/>
      </c>
      <c r="Y1919">
        <f>IF($P1919="","",IF(Shares!$E1922="",0,Shares!$E1922))</f>
        <v/>
      </c>
      <c r="Z1919">
        <f>IF($P1919="","",Shares!$H1922)</f>
        <v/>
      </c>
      <c r="AE1919">
        <f>IF(OR(Sync!$S1919="",Sync!$P1919=""),"",Sync!$S1919)</f>
        <v/>
      </c>
      <c r="AF1919">
        <f>IF($AE1919="","",IF(ISNUMBER(Sync!$P1919),IF(AND(Sync!$P1919&gt;=10000101,Sync!$P1919&lt;=99991231),INT(Sync!$P1919/10000),""),IFERROR(VALUE(TRIM(LEFT(Sync!$P1919,FIND("/",Sync!$P1919)-1))),"")))</f>
        <v/>
      </c>
      <c r="AG1919">
        <f>IF(OR($AE1919="",$AF1919=""),"",IF(ISNUMBER(Sync!$P1919),INT(MOD(Sync!$P1919,10000)/100),IFERROR(VALUE(TRIM(LEFT(MID(Sync!$P1919,FIND("/",Sync!$P1919)+1,20),FIND("/",MID(Sync!$P1919,FIND("/",Sync!$P1919)+1,20))-1))),"")))</f>
        <v/>
      </c>
      <c r="AH1919">
        <f>IF(OR($AE1919="",$AF1919=""),"",IF(ISNUMBER(Sync!$P1919),MOD(Sync!$P1919,100),IFERROR(VALUE(TRIM(MID(MID(Sync!$P1919,FIND("/",Sync!$P1919)+1,20),FIND("/",MID(Sync!$P1919,FIND("/",Sync!$P1919)+1,20))+1,20))),"")))</f>
        <v/>
      </c>
      <c r="AI1919">
        <f>IF($AE1919="","",IF(OR($AF1919="",$AG1919="",$AH1919="",$AF1919&lt;1300,$AF1919&gt;1500,$AG1919&lt;1,$AG1919&gt;12,$AH1919&lt;1,$AH1919&gt;31),"نامعتبر",RIGHT("0000"&amp;$AF1919,4)&amp;"/"&amp;RIGHT("00"&amp;$AG1919,2)&amp;"/"&amp;RIGHT("00"&amp;$AH1919,2)))</f>
        <v/>
      </c>
      <c r="AJ1919">
        <f>IF($AE1919="","",IF(Sync!$Q1919="","0000",IF(AND(ISNUMBER(Sync!$Q1919),Sync!$Q1919&gt;=0,Sync!$Q1919&lt;1),RIGHT("00"&amp;HOUR(Sync!$Q1919),2)&amp;RIGHT("00"&amp;MINUTE(Sync!$Q1919),2),IFERROR(RIGHT("00"&amp;VALUE(LEFT(Sync!$Q1919,FIND(":",Sync!$Q1919)-1)),2)&amp;RIGHT("00"&amp;VALUE(MID(Sync!$Q1919,FIND(":",Sync!$Q1919)+1,2)),2),"0000"))))</f>
        <v/>
      </c>
      <c r="AK1919">
        <f>IF(OR($AE1919="",$AI1919="",$AI1919="نامعتبر"),"",LEFT($AI1919,4)&amp;MID($AI1919,6,2)&amp;RIGHT($AI1919,2)&amp;$AJ1919&amp;"|"&amp;"3"&amp;RIGHT("00000"&amp;1914,5))</f>
        <v/>
      </c>
      <c r="AL1919">
        <f>IF($AK1919="","",COUNTIFS(LdAParty,$AE1919,LdAType,1,LdAKey,"&lt;"&amp;$AK1919)+COUNTIFS(LdBMember,$AE1919,LdBKey,"&lt;"&amp;$AK1919)+COUNTIFS(LdCParty,$AE1919,LdCKey,"&lt;"&amp;$AK1919)+1)</f>
        <v/>
      </c>
      <c r="AM1919">
        <f>IF($AL1919="","",$AE1919&amp;"|"&amp;RIGHT("000000"&amp;$AL1919,6))</f>
        <v/>
      </c>
      <c r="AN1919">
        <f>IF($AE1919="","",IF(Sync!$W1919="",0,Sync!$W1919))</f>
        <v/>
      </c>
      <c r="AO1919">
        <f>IF($AE1919="","",IF(Sync!$X1919="",0,Sync!$X1919))</f>
        <v/>
      </c>
      <c r="AP1919">
        <f>IF($AE1919="","",Sync!$R1919)</f>
        <v/>
      </c>
      <c r="AQ1919">
        <f>IF($AE1919="","",Sync!$Y1919)</f>
        <v/>
      </c>
    </row>
    <row r="1920">
      <c r="A1920">
        <f>IF(OR(Wages!$B1923="",Wages!$E1923=""),"",Wages!$E1923)</f>
        <v/>
      </c>
      <c r="B1920">
        <f>IF($A1920="","",IF(Wages!$C1923="دستمزد گروهی",2,1))</f>
        <v/>
      </c>
      <c r="C1920">
        <f>IF($A1920="","",IF(ISNUMBER(Wages!$B1923),IF(AND(Wages!$B1923&gt;=10000101,Wages!$B1923&lt;=99991231),INT(Wages!$B1923/10000),""),IFERROR(VALUE(TRIM(LEFT(Wages!$B1923,FIND("/",Wages!$B1923)-1))),"")))</f>
        <v/>
      </c>
      <c r="D1920">
        <f>IF(OR($A1920="",$C1920=""),"",IF(ISNUMBER(Wages!$B1923),INT(MOD(Wages!$B1923,10000)/100),IFERROR(VALUE(TRIM(LEFT(MID(Wages!$B1923,FIND("/",Wages!$B1923)+1,20),FIND("/",MID(Wages!$B1923,FIND("/",Wages!$B1923)+1,20))-1))),"")))</f>
        <v/>
      </c>
      <c r="E1920">
        <f>IF(OR($A1920="",$C1920=""),"",IF(ISNUMBER(Wages!$B1923),MOD(Wages!$B1923,100),IFERROR(VALUE(TRIM(MID(MID(Wages!$B1923,FIND("/",Wages!$B1923)+1,20),FIND("/",MID(Wages!$B1923,FIND("/",Wages!$B1923)+1,20))+1,20))),"")))</f>
        <v/>
      </c>
      <c r="F1920">
        <f>IF($A1920="","",IF(OR($C1920="",$D1920="",$E1920="",$C1920&lt;1300,$C1920&gt;1500,$D1920&lt;1,$D1920&gt;12,$E1920&lt;1,$E1920&gt;31),"نامعتبر",RIGHT("0000"&amp;$C1920,4)&amp;"/"&amp;RIGHT("00"&amp;$D1920,2)&amp;"/"&amp;RIGHT("00"&amp;$E1920,2)))</f>
        <v/>
      </c>
      <c r="G1920">
        <f>IF(OR($A1920="",$F1920="",$F1920="نامعتبر"),"",LEFT($F1920,4)&amp;MID($F1920,6,2)&amp;RIGHT($F1920,2)&amp;"0000"&amp;"|"&amp;"1"&amp;RIGHT("00000"&amp;1915,5))</f>
        <v/>
      </c>
      <c r="H1920">
        <f>IF(OR($B1920&lt;&gt;1,$G1920=""),"",COUNTIFS(LdAParty,$A1920,LdAType,1,LdAKey,"&lt;"&amp;$G1920)+COUNTIFS(LdBMember,$A1920,LdBKey,"&lt;"&amp;$G1920)+COUNTIFS(LdCParty,$A1920,LdCKey,"&lt;"&amp;$G1920)+1)</f>
        <v/>
      </c>
      <c r="I1920">
        <f>IF($H1920="","",$A1920&amp;"|"&amp;RIGHT("000000"&amp;$H1920,6))</f>
        <v/>
      </c>
      <c r="J1920">
        <f>IF(OR($B1920&lt;&gt;2,$G1920=""),"",COUNTIFS(LdAParty,$A1920,LdAType,2,LdAKey,"&lt;"&amp;$G1920)+1)</f>
        <v/>
      </c>
      <c r="K1920">
        <f>IF($J1920="","",$A1920&amp;"|"&amp;RIGHT("000000"&amp;$J1920,6))</f>
        <v/>
      </c>
      <c r="L1920">
        <f>IF($A1920="","",IF(Wages!$G1923="",0,Wages!$G1923))</f>
        <v/>
      </c>
      <c r="M1920">
        <f>IF($A1920="","",Wages!$J1923)</f>
        <v/>
      </c>
      <c r="N1920">
        <f>IF($A1920="","",Wages!$D1923)</f>
        <v/>
      </c>
      <c r="P1920">
        <f>IF(OR(Shares!$B1923="",Shares!$C1923=""),"",Shares!$C1923)</f>
        <v/>
      </c>
      <c r="Q1920">
        <f>IF($P1920="","",Shares!$B1923)</f>
        <v/>
      </c>
      <c r="R1920">
        <f>IF($P1920="","",IFERROR(INDEX(WageParty,MATCH($Q1920,WageIds,0)),""))</f>
        <v/>
      </c>
      <c r="S1920">
        <f>IF($P1920="","",IFERROR(INDEX($F$6:$F$2005,MATCH($Q1920,WageIds,0)),""))</f>
        <v/>
      </c>
      <c r="T1920">
        <f>IF(OR($P1920="",$S1920="",$S1920="نامعتبر"),"",LEFT($S1920,4)&amp;MID($S1920,6,2)&amp;RIGHT($S1920,2)&amp;"0000"&amp;"|"&amp;"2"&amp;RIGHT("00000"&amp;1915,5))</f>
        <v/>
      </c>
      <c r="U1920">
        <f>IF($T1920="","",COUNTIFS(LdAParty,$P1920,LdAType,1,LdAKey,"&lt;"&amp;$T1920)+COUNTIFS(LdBMember,$P1920,LdBKey,"&lt;"&amp;$T1920)+COUNTIFS(LdCParty,$P1920,LdCKey,"&lt;"&amp;$T1920)+1)</f>
        <v/>
      </c>
      <c r="V1920">
        <f>IF($U1920="","",$P1920&amp;"|"&amp;RIGHT("000000"&amp;$U1920,6))</f>
        <v/>
      </c>
      <c r="W1920">
        <f>IF($T1920="","",COUNTIFS(LdBGroup,$R1920,LdBKey,"&lt;"&amp;$T1920)+1)</f>
        <v/>
      </c>
      <c r="X1920">
        <f>IF($W1920="","",$R1920&amp;"|"&amp;RIGHT("000000"&amp;$W1920,6))</f>
        <v/>
      </c>
      <c r="Y1920">
        <f>IF($P1920="","",IF(Shares!$E1923="",0,Shares!$E1923))</f>
        <v/>
      </c>
      <c r="Z1920">
        <f>IF($P1920="","",Shares!$H1923)</f>
        <v/>
      </c>
      <c r="AE1920">
        <f>IF(OR(Sync!$S1920="",Sync!$P1920=""),"",Sync!$S1920)</f>
        <v/>
      </c>
      <c r="AF1920">
        <f>IF($AE1920="","",IF(ISNUMBER(Sync!$P1920),IF(AND(Sync!$P1920&gt;=10000101,Sync!$P1920&lt;=99991231),INT(Sync!$P1920/10000),""),IFERROR(VALUE(TRIM(LEFT(Sync!$P1920,FIND("/",Sync!$P1920)-1))),"")))</f>
        <v/>
      </c>
      <c r="AG1920">
        <f>IF(OR($AE1920="",$AF1920=""),"",IF(ISNUMBER(Sync!$P1920),INT(MOD(Sync!$P1920,10000)/100),IFERROR(VALUE(TRIM(LEFT(MID(Sync!$P1920,FIND("/",Sync!$P1920)+1,20),FIND("/",MID(Sync!$P1920,FIND("/",Sync!$P1920)+1,20))-1))),"")))</f>
        <v/>
      </c>
      <c r="AH1920">
        <f>IF(OR($AE1920="",$AF1920=""),"",IF(ISNUMBER(Sync!$P1920),MOD(Sync!$P1920,100),IFERROR(VALUE(TRIM(MID(MID(Sync!$P1920,FIND("/",Sync!$P1920)+1,20),FIND("/",MID(Sync!$P1920,FIND("/",Sync!$P1920)+1,20))+1,20))),"")))</f>
        <v/>
      </c>
      <c r="AI1920">
        <f>IF($AE1920="","",IF(OR($AF1920="",$AG1920="",$AH1920="",$AF1920&lt;1300,$AF1920&gt;1500,$AG1920&lt;1,$AG1920&gt;12,$AH1920&lt;1,$AH1920&gt;31),"نامعتبر",RIGHT("0000"&amp;$AF1920,4)&amp;"/"&amp;RIGHT("00"&amp;$AG1920,2)&amp;"/"&amp;RIGHT("00"&amp;$AH1920,2)))</f>
        <v/>
      </c>
      <c r="AJ1920">
        <f>IF($AE1920="","",IF(Sync!$Q1920="","0000",IF(AND(ISNUMBER(Sync!$Q1920),Sync!$Q1920&gt;=0,Sync!$Q1920&lt;1),RIGHT("00"&amp;HOUR(Sync!$Q1920),2)&amp;RIGHT("00"&amp;MINUTE(Sync!$Q1920),2),IFERROR(RIGHT("00"&amp;VALUE(LEFT(Sync!$Q1920,FIND(":",Sync!$Q1920)-1)),2)&amp;RIGHT("00"&amp;VALUE(MID(Sync!$Q1920,FIND(":",Sync!$Q1920)+1,2)),2),"0000"))))</f>
        <v/>
      </c>
      <c r="AK1920">
        <f>IF(OR($AE1920="",$AI1920="",$AI1920="نامعتبر"),"",LEFT($AI1920,4)&amp;MID($AI1920,6,2)&amp;RIGHT($AI1920,2)&amp;$AJ1920&amp;"|"&amp;"3"&amp;RIGHT("00000"&amp;1915,5))</f>
        <v/>
      </c>
      <c r="AL1920">
        <f>IF($AK1920="","",COUNTIFS(LdAParty,$AE1920,LdAType,1,LdAKey,"&lt;"&amp;$AK1920)+COUNTIFS(LdBMember,$AE1920,LdBKey,"&lt;"&amp;$AK1920)+COUNTIFS(LdCParty,$AE1920,LdCKey,"&lt;"&amp;$AK1920)+1)</f>
        <v/>
      </c>
      <c r="AM1920">
        <f>IF($AL1920="","",$AE1920&amp;"|"&amp;RIGHT("000000"&amp;$AL1920,6))</f>
        <v/>
      </c>
      <c r="AN1920">
        <f>IF($AE1920="","",IF(Sync!$W1920="",0,Sync!$W1920))</f>
        <v/>
      </c>
      <c r="AO1920">
        <f>IF($AE1920="","",IF(Sync!$X1920="",0,Sync!$X1920))</f>
        <v/>
      </c>
      <c r="AP1920">
        <f>IF($AE1920="","",Sync!$R1920)</f>
        <v/>
      </c>
      <c r="AQ1920">
        <f>IF($AE1920="","",Sync!$Y1920)</f>
        <v/>
      </c>
    </row>
    <row r="1921">
      <c r="A1921">
        <f>IF(OR(Wages!$B1924="",Wages!$E1924=""),"",Wages!$E1924)</f>
        <v/>
      </c>
      <c r="B1921">
        <f>IF($A1921="","",IF(Wages!$C1924="دستمزد گروهی",2,1))</f>
        <v/>
      </c>
      <c r="C1921">
        <f>IF($A1921="","",IF(ISNUMBER(Wages!$B1924),IF(AND(Wages!$B1924&gt;=10000101,Wages!$B1924&lt;=99991231),INT(Wages!$B1924/10000),""),IFERROR(VALUE(TRIM(LEFT(Wages!$B1924,FIND("/",Wages!$B1924)-1))),"")))</f>
        <v/>
      </c>
      <c r="D1921">
        <f>IF(OR($A1921="",$C1921=""),"",IF(ISNUMBER(Wages!$B1924),INT(MOD(Wages!$B1924,10000)/100),IFERROR(VALUE(TRIM(LEFT(MID(Wages!$B1924,FIND("/",Wages!$B1924)+1,20),FIND("/",MID(Wages!$B1924,FIND("/",Wages!$B1924)+1,20))-1))),"")))</f>
        <v/>
      </c>
      <c r="E1921">
        <f>IF(OR($A1921="",$C1921=""),"",IF(ISNUMBER(Wages!$B1924),MOD(Wages!$B1924,100),IFERROR(VALUE(TRIM(MID(MID(Wages!$B1924,FIND("/",Wages!$B1924)+1,20),FIND("/",MID(Wages!$B1924,FIND("/",Wages!$B1924)+1,20))+1,20))),"")))</f>
        <v/>
      </c>
      <c r="F1921">
        <f>IF($A1921="","",IF(OR($C1921="",$D1921="",$E1921="",$C1921&lt;1300,$C1921&gt;1500,$D1921&lt;1,$D1921&gt;12,$E1921&lt;1,$E1921&gt;31),"نامعتبر",RIGHT("0000"&amp;$C1921,4)&amp;"/"&amp;RIGHT("00"&amp;$D1921,2)&amp;"/"&amp;RIGHT("00"&amp;$E1921,2)))</f>
        <v/>
      </c>
      <c r="G1921">
        <f>IF(OR($A1921="",$F1921="",$F1921="نامعتبر"),"",LEFT($F1921,4)&amp;MID($F1921,6,2)&amp;RIGHT($F1921,2)&amp;"0000"&amp;"|"&amp;"1"&amp;RIGHT("00000"&amp;1916,5))</f>
        <v/>
      </c>
      <c r="H1921">
        <f>IF(OR($B1921&lt;&gt;1,$G1921=""),"",COUNTIFS(LdAParty,$A1921,LdAType,1,LdAKey,"&lt;"&amp;$G1921)+COUNTIFS(LdBMember,$A1921,LdBKey,"&lt;"&amp;$G1921)+COUNTIFS(LdCParty,$A1921,LdCKey,"&lt;"&amp;$G1921)+1)</f>
        <v/>
      </c>
      <c r="I1921">
        <f>IF($H1921="","",$A1921&amp;"|"&amp;RIGHT("000000"&amp;$H1921,6))</f>
        <v/>
      </c>
      <c r="J1921">
        <f>IF(OR($B1921&lt;&gt;2,$G1921=""),"",COUNTIFS(LdAParty,$A1921,LdAType,2,LdAKey,"&lt;"&amp;$G1921)+1)</f>
        <v/>
      </c>
      <c r="K1921">
        <f>IF($J1921="","",$A1921&amp;"|"&amp;RIGHT("000000"&amp;$J1921,6))</f>
        <v/>
      </c>
      <c r="L1921">
        <f>IF($A1921="","",IF(Wages!$G1924="",0,Wages!$G1924))</f>
        <v/>
      </c>
      <c r="M1921">
        <f>IF($A1921="","",Wages!$J1924)</f>
        <v/>
      </c>
      <c r="N1921">
        <f>IF($A1921="","",Wages!$D1924)</f>
        <v/>
      </c>
      <c r="P1921">
        <f>IF(OR(Shares!$B1924="",Shares!$C1924=""),"",Shares!$C1924)</f>
        <v/>
      </c>
      <c r="Q1921">
        <f>IF($P1921="","",Shares!$B1924)</f>
        <v/>
      </c>
      <c r="R1921">
        <f>IF($P1921="","",IFERROR(INDEX(WageParty,MATCH($Q1921,WageIds,0)),""))</f>
        <v/>
      </c>
      <c r="S1921">
        <f>IF($P1921="","",IFERROR(INDEX($F$6:$F$2005,MATCH($Q1921,WageIds,0)),""))</f>
        <v/>
      </c>
      <c r="T1921">
        <f>IF(OR($P1921="",$S1921="",$S1921="نامعتبر"),"",LEFT($S1921,4)&amp;MID($S1921,6,2)&amp;RIGHT($S1921,2)&amp;"0000"&amp;"|"&amp;"2"&amp;RIGHT("00000"&amp;1916,5))</f>
        <v/>
      </c>
      <c r="U1921">
        <f>IF($T1921="","",COUNTIFS(LdAParty,$P1921,LdAType,1,LdAKey,"&lt;"&amp;$T1921)+COUNTIFS(LdBMember,$P1921,LdBKey,"&lt;"&amp;$T1921)+COUNTIFS(LdCParty,$P1921,LdCKey,"&lt;"&amp;$T1921)+1)</f>
        <v/>
      </c>
      <c r="V1921">
        <f>IF($U1921="","",$P1921&amp;"|"&amp;RIGHT("000000"&amp;$U1921,6))</f>
        <v/>
      </c>
      <c r="W1921">
        <f>IF($T1921="","",COUNTIFS(LdBGroup,$R1921,LdBKey,"&lt;"&amp;$T1921)+1)</f>
        <v/>
      </c>
      <c r="X1921">
        <f>IF($W1921="","",$R1921&amp;"|"&amp;RIGHT("000000"&amp;$W1921,6))</f>
        <v/>
      </c>
      <c r="Y1921">
        <f>IF($P1921="","",IF(Shares!$E1924="",0,Shares!$E1924))</f>
        <v/>
      </c>
      <c r="Z1921">
        <f>IF($P1921="","",Shares!$H1924)</f>
        <v/>
      </c>
      <c r="AE1921">
        <f>IF(OR(Sync!$S1921="",Sync!$P1921=""),"",Sync!$S1921)</f>
        <v/>
      </c>
      <c r="AF1921">
        <f>IF($AE1921="","",IF(ISNUMBER(Sync!$P1921),IF(AND(Sync!$P1921&gt;=10000101,Sync!$P1921&lt;=99991231),INT(Sync!$P1921/10000),""),IFERROR(VALUE(TRIM(LEFT(Sync!$P1921,FIND("/",Sync!$P1921)-1))),"")))</f>
        <v/>
      </c>
      <c r="AG1921">
        <f>IF(OR($AE1921="",$AF1921=""),"",IF(ISNUMBER(Sync!$P1921),INT(MOD(Sync!$P1921,10000)/100),IFERROR(VALUE(TRIM(LEFT(MID(Sync!$P1921,FIND("/",Sync!$P1921)+1,20),FIND("/",MID(Sync!$P1921,FIND("/",Sync!$P1921)+1,20))-1))),"")))</f>
        <v/>
      </c>
      <c r="AH1921">
        <f>IF(OR($AE1921="",$AF1921=""),"",IF(ISNUMBER(Sync!$P1921),MOD(Sync!$P1921,100),IFERROR(VALUE(TRIM(MID(MID(Sync!$P1921,FIND("/",Sync!$P1921)+1,20),FIND("/",MID(Sync!$P1921,FIND("/",Sync!$P1921)+1,20))+1,20))),"")))</f>
        <v/>
      </c>
      <c r="AI1921">
        <f>IF($AE1921="","",IF(OR($AF1921="",$AG1921="",$AH1921="",$AF1921&lt;1300,$AF1921&gt;1500,$AG1921&lt;1,$AG1921&gt;12,$AH1921&lt;1,$AH1921&gt;31),"نامعتبر",RIGHT("0000"&amp;$AF1921,4)&amp;"/"&amp;RIGHT("00"&amp;$AG1921,2)&amp;"/"&amp;RIGHT("00"&amp;$AH1921,2)))</f>
        <v/>
      </c>
      <c r="AJ1921">
        <f>IF($AE1921="","",IF(Sync!$Q1921="","0000",IF(AND(ISNUMBER(Sync!$Q1921),Sync!$Q1921&gt;=0,Sync!$Q1921&lt;1),RIGHT("00"&amp;HOUR(Sync!$Q1921),2)&amp;RIGHT("00"&amp;MINUTE(Sync!$Q1921),2),IFERROR(RIGHT("00"&amp;VALUE(LEFT(Sync!$Q1921,FIND(":",Sync!$Q1921)-1)),2)&amp;RIGHT("00"&amp;VALUE(MID(Sync!$Q1921,FIND(":",Sync!$Q1921)+1,2)),2),"0000"))))</f>
        <v/>
      </c>
      <c r="AK1921">
        <f>IF(OR($AE1921="",$AI1921="",$AI1921="نامعتبر"),"",LEFT($AI1921,4)&amp;MID($AI1921,6,2)&amp;RIGHT($AI1921,2)&amp;$AJ1921&amp;"|"&amp;"3"&amp;RIGHT("00000"&amp;1916,5))</f>
        <v/>
      </c>
      <c r="AL1921">
        <f>IF($AK1921="","",COUNTIFS(LdAParty,$AE1921,LdAType,1,LdAKey,"&lt;"&amp;$AK1921)+COUNTIFS(LdBMember,$AE1921,LdBKey,"&lt;"&amp;$AK1921)+COUNTIFS(LdCParty,$AE1921,LdCKey,"&lt;"&amp;$AK1921)+1)</f>
        <v/>
      </c>
      <c r="AM1921">
        <f>IF($AL1921="","",$AE1921&amp;"|"&amp;RIGHT("000000"&amp;$AL1921,6))</f>
        <v/>
      </c>
      <c r="AN1921">
        <f>IF($AE1921="","",IF(Sync!$W1921="",0,Sync!$W1921))</f>
        <v/>
      </c>
      <c r="AO1921">
        <f>IF($AE1921="","",IF(Sync!$X1921="",0,Sync!$X1921))</f>
        <v/>
      </c>
      <c r="AP1921">
        <f>IF($AE1921="","",Sync!$R1921)</f>
        <v/>
      </c>
      <c r="AQ1921">
        <f>IF($AE1921="","",Sync!$Y1921)</f>
        <v/>
      </c>
    </row>
    <row r="1922">
      <c r="A1922">
        <f>IF(OR(Wages!$B1925="",Wages!$E1925=""),"",Wages!$E1925)</f>
        <v/>
      </c>
      <c r="B1922">
        <f>IF($A1922="","",IF(Wages!$C1925="دستمزد گروهی",2,1))</f>
        <v/>
      </c>
      <c r="C1922">
        <f>IF($A1922="","",IF(ISNUMBER(Wages!$B1925),IF(AND(Wages!$B1925&gt;=10000101,Wages!$B1925&lt;=99991231),INT(Wages!$B1925/10000),""),IFERROR(VALUE(TRIM(LEFT(Wages!$B1925,FIND("/",Wages!$B1925)-1))),"")))</f>
        <v/>
      </c>
      <c r="D1922">
        <f>IF(OR($A1922="",$C1922=""),"",IF(ISNUMBER(Wages!$B1925),INT(MOD(Wages!$B1925,10000)/100),IFERROR(VALUE(TRIM(LEFT(MID(Wages!$B1925,FIND("/",Wages!$B1925)+1,20),FIND("/",MID(Wages!$B1925,FIND("/",Wages!$B1925)+1,20))-1))),"")))</f>
        <v/>
      </c>
      <c r="E1922">
        <f>IF(OR($A1922="",$C1922=""),"",IF(ISNUMBER(Wages!$B1925),MOD(Wages!$B1925,100),IFERROR(VALUE(TRIM(MID(MID(Wages!$B1925,FIND("/",Wages!$B1925)+1,20),FIND("/",MID(Wages!$B1925,FIND("/",Wages!$B1925)+1,20))+1,20))),"")))</f>
        <v/>
      </c>
      <c r="F1922">
        <f>IF($A1922="","",IF(OR($C1922="",$D1922="",$E1922="",$C1922&lt;1300,$C1922&gt;1500,$D1922&lt;1,$D1922&gt;12,$E1922&lt;1,$E1922&gt;31),"نامعتبر",RIGHT("0000"&amp;$C1922,4)&amp;"/"&amp;RIGHT("00"&amp;$D1922,2)&amp;"/"&amp;RIGHT("00"&amp;$E1922,2)))</f>
        <v/>
      </c>
      <c r="G1922">
        <f>IF(OR($A1922="",$F1922="",$F1922="نامعتبر"),"",LEFT($F1922,4)&amp;MID($F1922,6,2)&amp;RIGHT($F1922,2)&amp;"0000"&amp;"|"&amp;"1"&amp;RIGHT("00000"&amp;1917,5))</f>
        <v/>
      </c>
      <c r="H1922">
        <f>IF(OR($B1922&lt;&gt;1,$G1922=""),"",COUNTIFS(LdAParty,$A1922,LdAType,1,LdAKey,"&lt;"&amp;$G1922)+COUNTIFS(LdBMember,$A1922,LdBKey,"&lt;"&amp;$G1922)+COUNTIFS(LdCParty,$A1922,LdCKey,"&lt;"&amp;$G1922)+1)</f>
        <v/>
      </c>
      <c r="I1922">
        <f>IF($H1922="","",$A1922&amp;"|"&amp;RIGHT("000000"&amp;$H1922,6))</f>
        <v/>
      </c>
      <c r="J1922">
        <f>IF(OR($B1922&lt;&gt;2,$G1922=""),"",COUNTIFS(LdAParty,$A1922,LdAType,2,LdAKey,"&lt;"&amp;$G1922)+1)</f>
        <v/>
      </c>
      <c r="K1922">
        <f>IF($J1922="","",$A1922&amp;"|"&amp;RIGHT("000000"&amp;$J1922,6))</f>
        <v/>
      </c>
      <c r="L1922">
        <f>IF($A1922="","",IF(Wages!$G1925="",0,Wages!$G1925))</f>
        <v/>
      </c>
      <c r="M1922">
        <f>IF($A1922="","",Wages!$J1925)</f>
        <v/>
      </c>
      <c r="N1922">
        <f>IF($A1922="","",Wages!$D1925)</f>
        <v/>
      </c>
      <c r="P1922">
        <f>IF(OR(Shares!$B1925="",Shares!$C1925=""),"",Shares!$C1925)</f>
        <v/>
      </c>
      <c r="Q1922">
        <f>IF($P1922="","",Shares!$B1925)</f>
        <v/>
      </c>
      <c r="R1922">
        <f>IF($P1922="","",IFERROR(INDEX(WageParty,MATCH($Q1922,WageIds,0)),""))</f>
        <v/>
      </c>
      <c r="S1922">
        <f>IF($P1922="","",IFERROR(INDEX($F$6:$F$2005,MATCH($Q1922,WageIds,0)),""))</f>
        <v/>
      </c>
      <c r="T1922">
        <f>IF(OR($P1922="",$S1922="",$S1922="نامعتبر"),"",LEFT($S1922,4)&amp;MID($S1922,6,2)&amp;RIGHT($S1922,2)&amp;"0000"&amp;"|"&amp;"2"&amp;RIGHT("00000"&amp;1917,5))</f>
        <v/>
      </c>
      <c r="U1922">
        <f>IF($T1922="","",COUNTIFS(LdAParty,$P1922,LdAType,1,LdAKey,"&lt;"&amp;$T1922)+COUNTIFS(LdBMember,$P1922,LdBKey,"&lt;"&amp;$T1922)+COUNTIFS(LdCParty,$P1922,LdCKey,"&lt;"&amp;$T1922)+1)</f>
        <v/>
      </c>
      <c r="V1922">
        <f>IF($U1922="","",$P1922&amp;"|"&amp;RIGHT("000000"&amp;$U1922,6))</f>
        <v/>
      </c>
      <c r="W1922">
        <f>IF($T1922="","",COUNTIFS(LdBGroup,$R1922,LdBKey,"&lt;"&amp;$T1922)+1)</f>
        <v/>
      </c>
      <c r="X1922">
        <f>IF($W1922="","",$R1922&amp;"|"&amp;RIGHT("000000"&amp;$W1922,6))</f>
        <v/>
      </c>
      <c r="Y1922">
        <f>IF($P1922="","",IF(Shares!$E1925="",0,Shares!$E1925))</f>
        <v/>
      </c>
      <c r="Z1922">
        <f>IF($P1922="","",Shares!$H1925)</f>
        <v/>
      </c>
      <c r="AE1922">
        <f>IF(OR(Sync!$S1922="",Sync!$P1922=""),"",Sync!$S1922)</f>
        <v/>
      </c>
      <c r="AF1922">
        <f>IF($AE1922="","",IF(ISNUMBER(Sync!$P1922),IF(AND(Sync!$P1922&gt;=10000101,Sync!$P1922&lt;=99991231),INT(Sync!$P1922/10000),""),IFERROR(VALUE(TRIM(LEFT(Sync!$P1922,FIND("/",Sync!$P1922)-1))),"")))</f>
        <v/>
      </c>
      <c r="AG1922">
        <f>IF(OR($AE1922="",$AF1922=""),"",IF(ISNUMBER(Sync!$P1922),INT(MOD(Sync!$P1922,10000)/100),IFERROR(VALUE(TRIM(LEFT(MID(Sync!$P1922,FIND("/",Sync!$P1922)+1,20),FIND("/",MID(Sync!$P1922,FIND("/",Sync!$P1922)+1,20))-1))),"")))</f>
        <v/>
      </c>
      <c r="AH1922">
        <f>IF(OR($AE1922="",$AF1922=""),"",IF(ISNUMBER(Sync!$P1922),MOD(Sync!$P1922,100),IFERROR(VALUE(TRIM(MID(MID(Sync!$P1922,FIND("/",Sync!$P1922)+1,20),FIND("/",MID(Sync!$P1922,FIND("/",Sync!$P1922)+1,20))+1,20))),"")))</f>
        <v/>
      </c>
      <c r="AI1922">
        <f>IF($AE1922="","",IF(OR($AF1922="",$AG1922="",$AH1922="",$AF1922&lt;1300,$AF1922&gt;1500,$AG1922&lt;1,$AG1922&gt;12,$AH1922&lt;1,$AH1922&gt;31),"نامعتبر",RIGHT("0000"&amp;$AF1922,4)&amp;"/"&amp;RIGHT("00"&amp;$AG1922,2)&amp;"/"&amp;RIGHT("00"&amp;$AH1922,2)))</f>
        <v/>
      </c>
      <c r="AJ1922">
        <f>IF($AE1922="","",IF(Sync!$Q1922="","0000",IF(AND(ISNUMBER(Sync!$Q1922),Sync!$Q1922&gt;=0,Sync!$Q1922&lt;1),RIGHT("00"&amp;HOUR(Sync!$Q1922),2)&amp;RIGHT("00"&amp;MINUTE(Sync!$Q1922),2),IFERROR(RIGHT("00"&amp;VALUE(LEFT(Sync!$Q1922,FIND(":",Sync!$Q1922)-1)),2)&amp;RIGHT("00"&amp;VALUE(MID(Sync!$Q1922,FIND(":",Sync!$Q1922)+1,2)),2),"0000"))))</f>
        <v/>
      </c>
      <c r="AK1922">
        <f>IF(OR($AE1922="",$AI1922="",$AI1922="نامعتبر"),"",LEFT($AI1922,4)&amp;MID($AI1922,6,2)&amp;RIGHT($AI1922,2)&amp;$AJ1922&amp;"|"&amp;"3"&amp;RIGHT("00000"&amp;1917,5))</f>
        <v/>
      </c>
      <c r="AL1922">
        <f>IF($AK1922="","",COUNTIFS(LdAParty,$AE1922,LdAType,1,LdAKey,"&lt;"&amp;$AK1922)+COUNTIFS(LdBMember,$AE1922,LdBKey,"&lt;"&amp;$AK1922)+COUNTIFS(LdCParty,$AE1922,LdCKey,"&lt;"&amp;$AK1922)+1)</f>
        <v/>
      </c>
      <c r="AM1922">
        <f>IF($AL1922="","",$AE1922&amp;"|"&amp;RIGHT("000000"&amp;$AL1922,6))</f>
        <v/>
      </c>
      <c r="AN1922">
        <f>IF($AE1922="","",IF(Sync!$W1922="",0,Sync!$W1922))</f>
        <v/>
      </c>
      <c r="AO1922">
        <f>IF($AE1922="","",IF(Sync!$X1922="",0,Sync!$X1922))</f>
        <v/>
      </c>
      <c r="AP1922">
        <f>IF($AE1922="","",Sync!$R1922)</f>
        <v/>
      </c>
      <c r="AQ1922">
        <f>IF($AE1922="","",Sync!$Y1922)</f>
        <v/>
      </c>
    </row>
    <row r="1923">
      <c r="A1923">
        <f>IF(OR(Wages!$B1926="",Wages!$E1926=""),"",Wages!$E1926)</f>
        <v/>
      </c>
      <c r="B1923">
        <f>IF($A1923="","",IF(Wages!$C1926="دستمزد گروهی",2,1))</f>
        <v/>
      </c>
      <c r="C1923">
        <f>IF($A1923="","",IF(ISNUMBER(Wages!$B1926),IF(AND(Wages!$B1926&gt;=10000101,Wages!$B1926&lt;=99991231),INT(Wages!$B1926/10000),""),IFERROR(VALUE(TRIM(LEFT(Wages!$B1926,FIND("/",Wages!$B1926)-1))),"")))</f>
        <v/>
      </c>
      <c r="D1923">
        <f>IF(OR($A1923="",$C1923=""),"",IF(ISNUMBER(Wages!$B1926),INT(MOD(Wages!$B1926,10000)/100),IFERROR(VALUE(TRIM(LEFT(MID(Wages!$B1926,FIND("/",Wages!$B1926)+1,20),FIND("/",MID(Wages!$B1926,FIND("/",Wages!$B1926)+1,20))-1))),"")))</f>
        <v/>
      </c>
      <c r="E1923">
        <f>IF(OR($A1923="",$C1923=""),"",IF(ISNUMBER(Wages!$B1926),MOD(Wages!$B1926,100),IFERROR(VALUE(TRIM(MID(MID(Wages!$B1926,FIND("/",Wages!$B1926)+1,20),FIND("/",MID(Wages!$B1926,FIND("/",Wages!$B1926)+1,20))+1,20))),"")))</f>
        <v/>
      </c>
      <c r="F1923">
        <f>IF($A1923="","",IF(OR($C1923="",$D1923="",$E1923="",$C1923&lt;1300,$C1923&gt;1500,$D1923&lt;1,$D1923&gt;12,$E1923&lt;1,$E1923&gt;31),"نامعتبر",RIGHT("0000"&amp;$C1923,4)&amp;"/"&amp;RIGHT("00"&amp;$D1923,2)&amp;"/"&amp;RIGHT("00"&amp;$E1923,2)))</f>
        <v/>
      </c>
      <c r="G1923">
        <f>IF(OR($A1923="",$F1923="",$F1923="نامعتبر"),"",LEFT($F1923,4)&amp;MID($F1923,6,2)&amp;RIGHT($F1923,2)&amp;"0000"&amp;"|"&amp;"1"&amp;RIGHT("00000"&amp;1918,5))</f>
        <v/>
      </c>
      <c r="H1923">
        <f>IF(OR($B1923&lt;&gt;1,$G1923=""),"",COUNTIFS(LdAParty,$A1923,LdAType,1,LdAKey,"&lt;"&amp;$G1923)+COUNTIFS(LdBMember,$A1923,LdBKey,"&lt;"&amp;$G1923)+COUNTIFS(LdCParty,$A1923,LdCKey,"&lt;"&amp;$G1923)+1)</f>
        <v/>
      </c>
      <c r="I1923">
        <f>IF($H1923="","",$A1923&amp;"|"&amp;RIGHT("000000"&amp;$H1923,6))</f>
        <v/>
      </c>
      <c r="J1923">
        <f>IF(OR($B1923&lt;&gt;2,$G1923=""),"",COUNTIFS(LdAParty,$A1923,LdAType,2,LdAKey,"&lt;"&amp;$G1923)+1)</f>
        <v/>
      </c>
      <c r="K1923">
        <f>IF($J1923="","",$A1923&amp;"|"&amp;RIGHT("000000"&amp;$J1923,6))</f>
        <v/>
      </c>
      <c r="L1923">
        <f>IF($A1923="","",IF(Wages!$G1926="",0,Wages!$G1926))</f>
        <v/>
      </c>
      <c r="M1923">
        <f>IF($A1923="","",Wages!$J1926)</f>
        <v/>
      </c>
      <c r="N1923">
        <f>IF($A1923="","",Wages!$D1926)</f>
        <v/>
      </c>
      <c r="P1923">
        <f>IF(OR(Shares!$B1926="",Shares!$C1926=""),"",Shares!$C1926)</f>
        <v/>
      </c>
      <c r="Q1923">
        <f>IF($P1923="","",Shares!$B1926)</f>
        <v/>
      </c>
      <c r="R1923">
        <f>IF($P1923="","",IFERROR(INDEX(WageParty,MATCH($Q1923,WageIds,0)),""))</f>
        <v/>
      </c>
      <c r="S1923">
        <f>IF($P1923="","",IFERROR(INDEX($F$6:$F$2005,MATCH($Q1923,WageIds,0)),""))</f>
        <v/>
      </c>
      <c r="T1923">
        <f>IF(OR($P1923="",$S1923="",$S1923="نامعتبر"),"",LEFT($S1923,4)&amp;MID($S1923,6,2)&amp;RIGHT($S1923,2)&amp;"0000"&amp;"|"&amp;"2"&amp;RIGHT("00000"&amp;1918,5))</f>
        <v/>
      </c>
      <c r="U1923">
        <f>IF($T1923="","",COUNTIFS(LdAParty,$P1923,LdAType,1,LdAKey,"&lt;"&amp;$T1923)+COUNTIFS(LdBMember,$P1923,LdBKey,"&lt;"&amp;$T1923)+COUNTIFS(LdCParty,$P1923,LdCKey,"&lt;"&amp;$T1923)+1)</f>
        <v/>
      </c>
      <c r="V1923">
        <f>IF($U1923="","",$P1923&amp;"|"&amp;RIGHT("000000"&amp;$U1923,6))</f>
        <v/>
      </c>
      <c r="W1923">
        <f>IF($T1923="","",COUNTIFS(LdBGroup,$R1923,LdBKey,"&lt;"&amp;$T1923)+1)</f>
        <v/>
      </c>
      <c r="X1923">
        <f>IF($W1923="","",$R1923&amp;"|"&amp;RIGHT("000000"&amp;$W1923,6))</f>
        <v/>
      </c>
      <c r="Y1923">
        <f>IF($P1923="","",IF(Shares!$E1926="",0,Shares!$E1926))</f>
        <v/>
      </c>
      <c r="Z1923">
        <f>IF($P1923="","",Shares!$H1926)</f>
        <v/>
      </c>
      <c r="AE1923">
        <f>IF(OR(Sync!$S1923="",Sync!$P1923=""),"",Sync!$S1923)</f>
        <v/>
      </c>
      <c r="AF1923">
        <f>IF($AE1923="","",IF(ISNUMBER(Sync!$P1923),IF(AND(Sync!$P1923&gt;=10000101,Sync!$P1923&lt;=99991231),INT(Sync!$P1923/10000),""),IFERROR(VALUE(TRIM(LEFT(Sync!$P1923,FIND("/",Sync!$P1923)-1))),"")))</f>
        <v/>
      </c>
      <c r="AG1923">
        <f>IF(OR($AE1923="",$AF1923=""),"",IF(ISNUMBER(Sync!$P1923),INT(MOD(Sync!$P1923,10000)/100),IFERROR(VALUE(TRIM(LEFT(MID(Sync!$P1923,FIND("/",Sync!$P1923)+1,20),FIND("/",MID(Sync!$P1923,FIND("/",Sync!$P1923)+1,20))-1))),"")))</f>
        <v/>
      </c>
      <c r="AH1923">
        <f>IF(OR($AE1923="",$AF1923=""),"",IF(ISNUMBER(Sync!$P1923),MOD(Sync!$P1923,100),IFERROR(VALUE(TRIM(MID(MID(Sync!$P1923,FIND("/",Sync!$P1923)+1,20),FIND("/",MID(Sync!$P1923,FIND("/",Sync!$P1923)+1,20))+1,20))),"")))</f>
        <v/>
      </c>
      <c r="AI1923">
        <f>IF($AE1923="","",IF(OR($AF1923="",$AG1923="",$AH1923="",$AF1923&lt;1300,$AF1923&gt;1500,$AG1923&lt;1,$AG1923&gt;12,$AH1923&lt;1,$AH1923&gt;31),"نامعتبر",RIGHT("0000"&amp;$AF1923,4)&amp;"/"&amp;RIGHT("00"&amp;$AG1923,2)&amp;"/"&amp;RIGHT("00"&amp;$AH1923,2)))</f>
        <v/>
      </c>
      <c r="AJ1923">
        <f>IF($AE1923="","",IF(Sync!$Q1923="","0000",IF(AND(ISNUMBER(Sync!$Q1923),Sync!$Q1923&gt;=0,Sync!$Q1923&lt;1),RIGHT("00"&amp;HOUR(Sync!$Q1923),2)&amp;RIGHT("00"&amp;MINUTE(Sync!$Q1923),2),IFERROR(RIGHT("00"&amp;VALUE(LEFT(Sync!$Q1923,FIND(":",Sync!$Q1923)-1)),2)&amp;RIGHT("00"&amp;VALUE(MID(Sync!$Q1923,FIND(":",Sync!$Q1923)+1,2)),2),"0000"))))</f>
        <v/>
      </c>
      <c r="AK1923">
        <f>IF(OR($AE1923="",$AI1923="",$AI1923="نامعتبر"),"",LEFT($AI1923,4)&amp;MID($AI1923,6,2)&amp;RIGHT($AI1923,2)&amp;$AJ1923&amp;"|"&amp;"3"&amp;RIGHT("00000"&amp;1918,5))</f>
        <v/>
      </c>
      <c r="AL1923">
        <f>IF($AK1923="","",COUNTIFS(LdAParty,$AE1923,LdAType,1,LdAKey,"&lt;"&amp;$AK1923)+COUNTIFS(LdBMember,$AE1923,LdBKey,"&lt;"&amp;$AK1923)+COUNTIFS(LdCParty,$AE1923,LdCKey,"&lt;"&amp;$AK1923)+1)</f>
        <v/>
      </c>
      <c r="AM1923">
        <f>IF($AL1923="","",$AE1923&amp;"|"&amp;RIGHT("000000"&amp;$AL1923,6))</f>
        <v/>
      </c>
      <c r="AN1923">
        <f>IF($AE1923="","",IF(Sync!$W1923="",0,Sync!$W1923))</f>
        <v/>
      </c>
      <c r="AO1923">
        <f>IF($AE1923="","",IF(Sync!$X1923="",0,Sync!$X1923))</f>
        <v/>
      </c>
      <c r="AP1923">
        <f>IF($AE1923="","",Sync!$R1923)</f>
        <v/>
      </c>
      <c r="AQ1923">
        <f>IF($AE1923="","",Sync!$Y1923)</f>
        <v/>
      </c>
    </row>
    <row r="1924">
      <c r="A1924">
        <f>IF(OR(Wages!$B1927="",Wages!$E1927=""),"",Wages!$E1927)</f>
        <v/>
      </c>
      <c r="B1924">
        <f>IF($A1924="","",IF(Wages!$C1927="دستمزد گروهی",2,1))</f>
        <v/>
      </c>
      <c r="C1924">
        <f>IF($A1924="","",IF(ISNUMBER(Wages!$B1927),IF(AND(Wages!$B1927&gt;=10000101,Wages!$B1927&lt;=99991231),INT(Wages!$B1927/10000),""),IFERROR(VALUE(TRIM(LEFT(Wages!$B1927,FIND("/",Wages!$B1927)-1))),"")))</f>
        <v/>
      </c>
      <c r="D1924">
        <f>IF(OR($A1924="",$C1924=""),"",IF(ISNUMBER(Wages!$B1927),INT(MOD(Wages!$B1927,10000)/100),IFERROR(VALUE(TRIM(LEFT(MID(Wages!$B1927,FIND("/",Wages!$B1927)+1,20),FIND("/",MID(Wages!$B1927,FIND("/",Wages!$B1927)+1,20))-1))),"")))</f>
        <v/>
      </c>
      <c r="E1924">
        <f>IF(OR($A1924="",$C1924=""),"",IF(ISNUMBER(Wages!$B1927),MOD(Wages!$B1927,100),IFERROR(VALUE(TRIM(MID(MID(Wages!$B1927,FIND("/",Wages!$B1927)+1,20),FIND("/",MID(Wages!$B1927,FIND("/",Wages!$B1927)+1,20))+1,20))),"")))</f>
        <v/>
      </c>
      <c r="F1924">
        <f>IF($A1924="","",IF(OR($C1924="",$D1924="",$E1924="",$C1924&lt;1300,$C1924&gt;1500,$D1924&lt;1,$D1924&gt;12,$E1924&lt;1,$E1924&gt;31),"نامعتبر",RIGHT("0000"&amp;$C1924,4)&amp;"/"&amp;RIGHT("00"&amp;$D1924,2)&amp;"/"&amp;RIGHT("00"&amp;$E1924,2)))</f>
        <v/>
      </c>
      <c r="G1924">
        <f>IF(OR($A1924="",$F1924="",$F1924="نامعتبر"),"",LEFT($F1924,4)&amp;MID($F1924,6,2)&amp;RIGHT($F1924,2)&amp;"0000"&amp;"|"&amp;"1"&amp;RIGHT("00000"&amp;1919,5))</f>
        <v/>
      </c>
      <c r="H1924">
        <f>IF(OR($B1924&lt;&gt;1,$G1924=""),"",COUNTIFS(LdAParty,$A1924,LdAType,1,LdAKey,"&lt;"&amp;$G1924)+COUNTIFS(LdBMember,$A1924,LdBKey,"&lt;"&amp;$G1924)+COUNTIFS(LdCParty,$A1924,LdCKey,"&lt;"&amp;$G1924)+1)</f>
        <v/>
      </c>
      <c r="I1924">
        <f>IF($H1924="","",$A1924&amp;"|"&amp;RIGHT("000000"&amp;$H1924,6))</f>
        <v/>
      </c>
      <c r="J1924">
        <f>IF(OR($B1924&lt;&gt;2,$G1924=""),"",COUNTIFS(LdAParty,$A1924,LdAType,2,LdAKey,"&lt;"&amp;$G1924)+1)</f>
        <v/>
      </c>
      <c r="K1924">
        <f>IF($J1924="","",$A1924&amp;"|"&amp;RIGHT("000000"&amp;$J1924,6))</f>
        <v/>
      </c>
      <c r="L1924">
        <f>IF($A1924="","",IF(Wages!$G1927="",0,Wages!$G1927))</f>
        <v/>
      </c>
      <c r="M1924">
        <f>IF($A1924="","",Wages!$J1927)</f>
        <v/>
      </c>
      <c r="N1924">
        <f>IF($A1924="","",Wages!$D1927)</f>
        <v/>
      </c>
      <c r="P1924">
        <f>IF(OR(Shares!$B1927="",Shares!$C1927=""),"",Shares!$C1927)</f>
        <v/>
      </c>
      <c r="Q1924">
        <f>IF($P1924="","",Shares!$B1927)</f>
        <v/>
      </c>
      <c r="R1924">
        <f>IF($P1924="","",IFERROR(INDEX(WageParty,MATCH($Q1924,WageIds,0)),""))</f>
        <v/>
      </c>
      <c r="S1924">
        <f>IF($P1924="","",IFERROR(INDEX($F$6:$F$2005,MATCH($Q1924,WageIds,0)),""))</f>
        <v/>
      </c>
      <c r="T1924">
        <f>IF(OR($P1924="",$S1924="",$S1924="نامعتبر"),"",LEFT($S1924,4)&amp;MID($S1924,6,2)&amp;RIGHT($S1924,2)&amp;"0000"&amp;"|"&amp;"2"&amp;RIGHT("00000"&amp;1919,5))</f>
        <v/>
      </c>
      <c r="U1924">
        <f>IF($T1924="","",COUNTIFS(LdAParty,$P1924,LdAType,1,LdAKey,"&lt;"&amp;$T1924)+COUNTIFS(LdBMember,$P1924,LdBKey,"&lt;"&amp;$T1924)+COUNTIFS(LdCParty,$P1924,LdCKey,"&lt;"&amp;$T1924)+1)</f>
        <v/>
      </c>
      <c r="V1924">
        <f>IF($U1924="","",$P1924&amp;"|"&amp;RIGHT("000000"&amp;$U1924,6))</f>
        <v/>
      </c>
      <c r="W1924">
        <f>IF($T1924="","",COUNTIFS(LdBGroup,$R1924,LdBKey,"&lt;"&amp;$T1924)+1)</f>
        <v/>
      </c>
      <c r="X1924">
        <f>IF($W1924="","",$R1924&amp;"|"&amp;RIGHT("000000"&amp;$W1924,6))</f>
        <v/>
      </c>
      <c r="Y1924">
        <f>IF($P1924="","",IF(Shares!$E1927="",0,Shares!$E1927))</f>
        <v/>
      </c>
      <c r="Z1924">
        <f>IF($P1924="","",Shares!$H1927)</f>
        <v/>
      </c>
      <c r="AE1924">
        <f>IF(OR(Sync!$S1924="",Sync!$P1924=""),"",Sync!$S1924)</f>
        <v/>
      </c>
      <c r="AF1924">
        <f>IF($AE1924="","",IF(ISNUMBER(Sync!$P1924),IF(AND(Sync!$P1924&gt;=10000101,Sync!$P1924&lt;=99991231),INT(Sync!$P1924/10000),""),IFERROR(VALUE(TRIM(LEFT(Sync!$P1924,FIND("/",Sync!$P1924)-1))),"")))</f>
        <v/>
      </c>
      <c r="AG1924">
        <f>IF(OR($AE1924="",$AF1924=""),"",IF(ISNUMBER(Sync!$P1924),INT(MOD(Sync!$P1924,10000)/100),IFERROR(VALUE(TRIM(LEFT(MID(Sync!$P1924,FIND("/",Sync!$P1924)+1,20),FIND("/",MID(Sync!$P1924,FIND("/",Sync!$P1924)+1,20))-1))),"")))</f>
        <v/>
      </c>
      <c r="AH1924">
        <f>IF(OR($AE1924="",$AF1924=""),"",IF(ISNUMBER(Sync!$P1924),MOD(Sync!$P1924,100),IFERROR(VALUE(TRIM(MID(MID(Sync!$P1924,FIND("/",Sync!$P1924)+1,20),FIND("/",MID(Sync!$P1924,FIND("/",Sync!$P1924)+1,20))+1,20))),"")))</f>
        <v/>
      </c>
      <c r="AI1924">
        <f>IF($AE1924="","",IF(OR($AF1924="",$AG1924="",$AH1924="",$AF1924&lt;1300,$AF1924&gt;1500,$AG1924&lt;1,$AG1924&gt;12,$AH1924&lt;1,$AH1924&gt;31),"نامعتبر",RIGHT("0000"&amp;$AF1924,4)&amp;"/"&amp;RIGHT("00"&amp;$AG1924,2)&amp;"/"&amp;RIGHT("00"&amp;$AH1924,2)))</f>
        <v/>
      </c>
      <c r="AJ1924">
        <f>IF($AE1924="","",IF(Sync!$Q1924="","0000",IF(AND(ISNUMBER(Sync!$Q1924),Sync!$Q1924&gt;=0,Sync!$Q1924&lt;1),RIGHT("00"&amp;HOUR(Sync!$Q1924),2)&amp;RIGHT("00"&amp;MINUTE(Sync!$Q1924),2),IFERROR(RIGHT("00"&amp;VALUE(LEFT(Sync!$Q1924,FIND(":",Sync!$Q1924)-1)),2)&amp;RIGHT("00"&amp;VALUE(MID(Sync!$Q1924,FIND(":",Sync!$Q1924)+1,2)),2),"0000"))))</f>
        <v/>
      </c>
      <c r="AK1924">
        <f>IF(OR($AE1924="",$AI1924="",$AI1924="نامعتبر"),"",LEFT($AI1924,4)&amp;MID($AI1924,6,2)&amp;RIGHT($AI1924,2)&amp;$AJ1924&amp;"|"&amp;"3"&amp;RIGHT("00000"&amp;1919,5))</f>
        <v/>
      </c>
      <c r="AL1924">
        <f>IF($AK1924="","",COUNTIFS(LdAParty,$AE1924,LdAType,1,LdAKey,"&lt;"&amp;$AK1924)+COUNTIFS(LdBMember,$AE1924,LdBKey,"&lt;"&amp;$AK1924)+COUNTIFS(LdCParty,$AE1924,LdCKey,"&lt;"&amp;$AK1924)+1)</f>
        <v/>
      </c>
      <c r="AM1924">
        <f>IF($AL1924="","",$AE1924&amp;"|"&amp;RIGHT("000000"&amp;$AL1924,6))</f>
        <v/>
      </c>
      <c r="AN1924">
        <f>IF($AE1924="","",IF(Sync!$W1924="",0,Sync!$W1924))</f>
        <v/>
      </c>
      <c r="AO1924">
        <f>IF($AE1924="","",IF(Sync!$X1924="",0,Sync!$X1924))</f>
        <v/>
      </c>
      <c r="AP1924">
        <f>IF($AE1924="","",Sync!$R1924)</f>
        <v/>
      </c>
      <c r="AQ1924">
        <f>IF($AE1924="","",Sync!$Y1924)</f>
        <v/>
      </c>
    </row>
    <row r="1925">
      <c r="A1925">
        <f>IF(OR(Wages!$B1928="",Wages!$E1928=""),"",Wages!$E1928)</f>
        <v/>
      </c>
      <c r="B1925">
        <f>IF($A1925="","",IF(Wages!$C1928="دستمزد گروهی",2,1))</f>
        <v/>
      </c>
      <c r="C1925">
        <f>IF($A1925="","",IF(ISNUMBER(Wages!$B1928),IF(AND(Wages!$B1928&gt;=10000101,Wages!$B1928&lt;=99991231),INT(Wages!$B1928/10000),""),IFERROR(VALUE(TRIM(LEFT(Wages!$B1928,FIND("/",Wages!$B1928)-1))),"")))</f>
        <v/>
      </c>
      <c r="D1925">
        <f>IF(OR($A1925="",$C1925=""),"",IF(ISNUMBER(Wages!$B1928),INT(MOD(Wages!$B1928,10000)/100),IFERROR(VALUE(TRIM(LEFT(MID(Wages!$B1928,FIND("/",Wages!$B1928)+1,20),FIND("/",MID(Wages!$B1928,FIND("/",Wages!$B1928)+1,20))-1))),"")))</f>
        <v/>
      </c>
      <c r="E1925">
        <f>IF(OR($A1925="",$C1925=""),"",IF(ISNUMBER(Wages!$B1928),MOD(Wages!$B1928,100),IFERROR(VALUE(TRIM(MID(MID(Wages!$B1928,FIND("/",Wages!$B1928)+1,20),FIND("/",MID(Wages!$B1928,FIND("/",Wages!$B1928)+1,20))+1,20))),"")))</f>
        <v/>
      </c>
      <c r="F1925">
        <f>IF($A1925="","",IF(OR($C1925="",$D1925="",$E1925="",$C1925&lt;1300,$C1925&gt;1500,$D1925&lt;1,$D1925&gt;12,$E1925&lt;1,$E1925&gt;31),"نامعتبر",RIGHT("0000"&amp;$C1925,4)&amp;"/"&amp;RIGHT("00"&amp;$D1925,2)&amp;"/"&amp;RIGHT("00"&amp;$E1925,2)))</f>
        <v/>
      </c>
      <c r="G1925">
        <f>IF(OR($A1925="",$F1925="",$F1925="نامعتبر"),"",LEFT($F1925,4)&amp;MID($F1925,6,2)&amp;RIGHT($F1925,2)&amp;"0000"&amp;"|"&amp;"1"&amp;RIGHT("00000"&amp;1920,5))</f>
        <v/>
      </c>
      <c r="H1925">
        <f>IF(OR($B1925&lt;&gt;1,$G1925=""),"",COUNTIFS(LdAParty,$A1925,LdAType,1,LdAKey,"&lt;"&amp;$G1925)+COUNTIFS(LdBMember,$A1925,LdBKey,"&lt;"&amp;$G1925)+COUNTIFS(LdCParty,$A1925,LdCKey,"&lt;"&amp;$G1925)+1)</f>
        <v/>
      </c>
      <c r="I1925">
        <f>IF($H1925="","",$A1925&amp;"|"&amp;RIGHT("000000"&amp;$H1925,6))</f>
        <v/>
      </c>
      <c r="J1925">
        <f>IF(OR($B1925&lt;&gt;2,$G1925=""),"",COUNTIFS(LdAParty,$A1925,LdAType,2,LdAKey,"&lt;"&amp;$G1925)+1)</f>
        <v/>
      </c>
      <c r="K1925">
        <f>IF($J1925="","",$A1925&amp;"|"&amp;RIGHT("000000"&amp;$J1925,6))</f>
        <v/>
      </c>
      <c r="L1925">
        <f>IF($A1925="","",IF(Wages!$G1928="",0,Wages!$G1928))</f>
        <v/>
      </c>
      <c r="M1925">
        <f>IF($A1925="","",Wages!$J1928)</f>
        <v/>
      </c>
      <c r="N1925">
        <f>IF($A1925="","",Wages!$D1928)</f>
        <v/>
      </c>
      <c r="P1925">
        <f>IF(OR(Shares!$B1928="",Shares!$C1928=""),"",Shares!$C1928)</f>
        <v/>
      </c>
      <c r="Q1925">
        <f>IF($P1925="","",Shares!$B1928)</f>
        <v/>
      </c>
      <c r="R1925">
        <f>IF($P1925="","",IFERROR(INDEX(WageParty,MATCH($Q1925,WageIds,0)),""))</f>
        <v/>
      </c>
      <c r="S1925">
        <f>IF($P1925="","",IFERROR(INDEX($F$6:$F$2005,MATCH($Q1925,WageIds,0)),""))</f>
        <v/>
      </c>
      <c r="T1925">
        <f>IF(OR($P1925="",$S1925="",$S1925="نامعتبر"),"",LEFT($S1925,4)&amp;MID($S1925,6,2)&amp;RIGHT($S1925,2)&amp;"0000"&amp;"|"&amp;"2"&amp;RIGHT("00000"&amp;1920,5))</f>
        <v/>
      </c>
      <c r="U1925">
        <f>IF($T1925="","",COUNTIFS(LdAParty,$P1925,LdAType,1,LdAKey,"&lt;"&amp;$T1925)+COUNTIFS(LdBMember,$P1925,LdBKey,"&lt;"&amp;$T1925)+COUNTIFS(LdCParty,$P1925,LdCKey,"&lt;"&amp;$T1925)+1)</f>
        <v/>
      </c>
      <c r="V1925">
        <f>IF($U1925="","",$P1925&amp;"|"&amp;RIGHT("000000"&amp;$U1925,6))</f>
        <v/>
      </c>
      <c r="W1925">
        <f>IF($T1925="","",COUNTIFS(LdBGroup,$R1925,LdBKey,"&lt;"&amp;$T1925)+1)</f>
        <v/>
      </c>
      <c r="X1925">
        <f>IF($W1925="","",$R1925&amp;"|"&amp;RIGHT("000000"&amp;$W1925,6))</f>
        <v/>
      </c>
      <c r="Y1925">
        <f>IF($P1925="","",IF(Shares!$E1928="",0,Shares!$E1928))</f>
        <v/>
      </c>
      <c r="Z1925">
        <f>IF($P1925="","",Shares!$H1928)</f>
        <v/>
      </c>
      <c r="AE1925">
        <f>IF(OR(Sync!$S1925="",Sync!$P1925=""),"",Sync!$S1925)</f>
        <v/>
      </c>
      <c r="AF1925">
        <f>IF($AE1925="","",IF(ISNUMBER(Sync!$P1925),IF(AND(Sync!$P1925&gt;=10000101,Sync!$P1925&lt;=99991231),INT(Sync!$P1925/10000),""),IFERROR(VALUE(TRIM(LEFT(Sync!$P1925,FIND("/",Sync!$P1925)-1))),"")))</f>
        <v/>
      </c>
      <c r="AG1925">
        <f>IF(OR($AE1925="",$AF1925=""),"",IF(ISNUMBER(Sync!$P1925),INT(MOD(Sync!$P1925,10000)/100),IFERROR(VALUE(TRIM(LEFT(MID(Sync!$P1925,FIND("/",Sync!$P1925)+1,20),FIND("/",MID(Sync!$P1925,FIND("/",Sync!$P1925)+1,20))-1))),"")))</f>
        <v/>
      </c>
      <c r="AH1925">
        <f>IF(OR($AE1925="",$AF1925=""),"",IF(ISNUMBER(Sync!$P1925),MOD(Sync!$P1925,100),IFERROR(VALUE(TRIM(MID(MID(Sync!$P1925,FIND("/",Sync!$P1925)+1,20),FIND("/",MID(Sync!$P1925,FIND("/",Sync!$P1925)+1,20))+1,20))),"")))</f>
        <v/>
      </c>
      <c r="AI1925">
        <f>IF($AE1925="","",IF(OR($AF1925="",$AG1925="",$AH1925="",$AF1925&lt;1300,$AF1925&gt;1500,$AG1925&lt;1,$AG1925&gt;12,$AH1925&lt;1,$AH1925&gt;31),"نامعتبر",RIGHT("0000"&amp;$AF1925,4)&amp;"/"&amp;RIGHT("00"&amp;$AG1925,2)&amp;"/"&amp;RIGHT("00"&amp;$AH1925,2)))</f>
        <v/>
      </c>
      <c r="AJ1925">
        <f>IF($AE1925="","",IF(Sync!$Q1925="","0000",IF(AND(ISNUMBER(Sync!$Q1925),Sync!$Q1925&gt;=0,Sync!$Q1925&lt;1),RIGHT("00"&amp;HOUR(Sync!$Q1925),2)&amp;RIGHT("00"&amp;MINUTE(Sync!$Q1925),2),IFERROR(RIGHT("00"&amp;VALUE(LEFT(Sync!$Q1925,FIND(":",Sync!$Q1925)-1)),2)&amp;RIGHT("00"&amp;VALUE(MID(Sync!$Q1925,FIND(":",Sync!$Q1925)+1,2)),2),"0000"))))</f>
        <v/>
      </c>
      <c r="AK1925">
        <f>IF(OR($AE1925="",$AI1925="",$AI1925="نامعتبر"),"",LEFT($AI1925,4)&amp;MID($AI1925,6,2)&amp;RIGHT($AI1925,2)&amp;$AJ1925&amp;"|"&amp;"3"&amp;RIGHT("00000"&amp;1920,5))</f>
        <v/>
      </c>
      <c r="AL1925">
        <f>IF($AK1925="","",COUNTIFS(LdAParty,$AE1925,LdAType,1,LdAKey,"&lt;"&amp;$AK1925)+COUNTIFS(LdBMember,$AE1925,LdBKey,"&lt;"&amp;$AK1925)+COUNTIFS(LdCParty,$AE1925,LdCKey,"&lt;"&amp;$AK1925)+1)</f>
        <v/>
      </c>
      <c r="AM1925">
        <f>IF($AL1925="","",$AE1925&amp;"|"&amp;RIGHT("000000"&amp;$AL1925,6))</f>
        <v/>
      </c>
      <c r="AN1925">
        <f>IF($AE1925="","",IF(Sync!$W1925="",0,Sync!$W1925))</f>
        <v/>
      </c>
      <c r="AO1925">
        <f>IF($AE1925="","",IF(Sync!$X1925="",0,Sync!$X1925))</f>
        <v/>
      </c>
      <c r="AP1925">
        <f>IF($AE1925="","",Sync!$R1925)</f>
        <v/>
      </c>
      <c r="AQ1925">
        <f>IF($AE1925="","",Sync!$Y1925)</f>
        <v/>
      </c>
    </row>
    <row r="1926">
      <c r="A1926">
        <f>IF(OR(Wages!$B1929="",Wages!$E1929=""),"",Wages!$E1929)</f>
        <v/>
      </c>
      <c r="B1926">
        <f>IF($A1926="","",IF(Wages!$C1929="دستمزد گروهی",2,1))</f>
        <v/>
      </c>
      <c r="C1926">
        <f>IF($A1926="","",IF(ISNUMBER(Wages!$B1929),IF(AND(Wages!$B1929&gt;=10000101,Wages!$B1929&lt;=99991231),INT(Wages!$B1929/10000),""),IFERROR(VALUE(TRIM(LEFT(Wages!$B1929,FIND("/",Wages!$B1929)-1))),"")))</f>
        <v/>
      </c>
      <c r="D1926">
        <f>IF(OR($A1926="",$C1926=""),"",IF(ISNUMBER(Wages!$B1929),INT(MOD(Wages!$B1929,10000)/100),IFERROR(VALUE(TRIM(LEFT(MID(Wages!$B1929,FIND("/",Wages!$B1929)+1,20),FIND("/",MID(Wages!$B1929,FIND("/",Wages!$B1929)+1,20))-1))),"")))</f>
        <v/>
      </c>
      <c r="E1926">
        <f>IF(OR($A1926="",$C1926=""),"",IF(ISNUMBER(Wages!$B1929),MOD(Wages!$B1929,100),IFERROR(VALUE(TRIM(MID(MID(Wages!$B1929,FIND("/",Wages!$B1929)+1,20),FIND("/",MID(Wages!$B1929,FIND("/",Wages!$B1929)+1,20))+1,20))),"")))</f>
        <v/>
      </c>
      <c r="F1926">
        <f>IF($A1926="","",IF(OR($C1926="",$D1926="",$E1926="",$C1926&lt;1300,$C1926&gt;1500,$D1926&lt;1,$D1926&gt;12,$E1926&lt;1,$E1926&gt;31),"نامعتبر",RIGHT("0000"&amp;$C1926,4)&amp;"/"&amp;RIGHT("00"&amp;$D1926,2)&amp;"/"&amp;RIGHT("00"&amp;$E1926,2)))</f>
        <v/>
      </c>
      <c r="G1926">
        <f>IF(OR($A1926="",$F1926="",$F1926="نامعتبر"),"",LEFT($F1926,4)&amp;MID($F1926,6,2)&amp;RIGHT($F1926,2)&amp;"0000"&amp;"|"&amp;"1"&amp;RIGHT("00000"&amp;1921,5))</f>
        <v/>
      </c>
      <c r="H1926">
        <f>IF(OR($B1926&lt;&gt;1,$G1926=""),"",COUNTIFS(LdAParty,$A1926,LdAType,1,LdAKey,"&lt;"&amp;$G1926)+COUNTIFS(LdBMember,$A1926,LdBKey,"&lt;"&amp;$G1926)+COUNTIFS(LdCParty,$A1926,LdCKey,"&lt;"&amp;$G1926)+1)</f>
        <v/>
      </c>
      <c r="I1926">
        <f>IF($H1926="","",$A1926&amp;"|"&amp;RIGHT("000000"&amp;$H1926,6))</f>
        <v/>
      </c>
      <c r="J1926">
        <f>IF(OR($B1926&lt;&gt;2,$G1926=""),"",COUNTIFS(LdAParty,$A1926,LdAType,2,LdAKey,"&lt;"&amp;$G1926)+1)</f>
        <v/>
      </c>
      <c r="K1926">
        <f>IF($J1926="","",$A1926&amp;"|"&amp;RIGHT("000000"&amp;$J1926,6))</f>
        <v/>
      </c>
      <c r="L1926">
        <f>IF($A1926="","",IF(Wages!$G1929="",0,Wages!$G1929))</f>
        <v/>
      </c>
      <c r="M1926">
        <f>IF($A1926="","",Wages!$J1929)</f>
        <v/>
      </c>
      <c r="N1926">
        <f>IF($A1926="","",Wages!$D1929)</f>
        <v/>
      </c>
      <c r="P1926">
        <f>IF(OR(Shares!$B1929="",Shares!$C1929=""),"",Shares!$C1929)</f>
        <v/>
      </c>
      <c r="Q1926">
        <f>IF($P1926="","",Shares!$B1929)</f>
        <v/>
      </c>
      <c r="R1926">
        <f>IF($P1926="","",IFERROR(INDEX(WageParty,MATCH($Q1926,WageIds,0)),""))</f>
        <v/>
      </c>
      <c r="S1926">
        <f>IF($P1926="","",IFERROR(INDEX($F$6:$F$2005,MATCH($Q1926,WageIds,0)),""))</f>
        <v/>
      </c>
      <c r="T1926">
        <f>IF(OR($P1926="",$S1926="",$S1926="نامعتبر"),"",LEFT($S1926,4)&amp;MID($S1926,6,2)&amp;RIGHT($S1926,2)&amp;"0000"&amp;"|"&amp;"2"&amp;RIGHT("00000"&amp;1921,5))</f>
        <v/>
      </c>
      <c r="U1926">
        <f>IF($T1926="","",COUNTIFS(LdAParty,$P1926,LdAType,1,LdAKey,"&lt;"&amp;$T1926)+COUNTIFS(LdBMember,$P1926,LdBKey,"&lt;"&amp;$T1926)+COUNTIFS(LdCParty,$P1926,LdCKey,"&lt;"&amp;$T1926)+1)</f>
        <v/>
      </c>
      <c r="V1926">
        <f>IF($U1926="","",$P1926&amp;"|"&amp;RIGHT("000000"&amp;$U1926,6))</f>
        <v/>
      </c>
      <c r="W1926">
        <f>IF($T1926="","",COUNTIFS(LdBGroup,$R1926,LdBKey,"&lt;"&amp;$T1926)+1)</f>
        <v/>
      </c>
      <c r="X1926">
        <f>IF($W1926="","",$R1926&amp;"|"&amp;RIGHT("000000"&amp;$W1926,6))</f>
        <v/>
      </c>
      <c r="Y1926">
        <f>IF($P1926="","",IF(Shares!$E1929="",0,Shares!$E1929))</f>
        <v/>
      </c>
      <c r="Z1926">
        <f>IF($P1926="","",Shares!$H1929)</f>
        <v/>
      </c>
      <c r="AE1926">
        <f>IF(OR(Sync!$S1926="",Sync!$P1926=""),"",Sync!$S1926)</f>
        <v/>
      </c>
      <c r="AF1926">
        <f>IF($AE1926="","",IF(ISNUMBER(Sync!$P1926),IF(AND(Sync!$P1926&gt;=10000101,Sync!$P1926&lt;=99991231),INT(Sync!$P1926/10000),""),IFERROR(VALUE(TRIM(LEFT(Sync!$P1926,FIND("/",Sync!$P1926)-1))),"")))</f>
        <v/>
      </c>
      <c r="AG1926">
        <f>IF(OR($AE1926="",$AF1926=""),"",IF(ISNUMBER(Sync!$P1926),INT(MOD(Sync!$P1926,10000)/100),IFERROR(VALUE(TRIM(LEFT(MID(Sync!$P1926,FIND("/",Sync!$P1926)+1,20),FIND("/",MID(Sync!$P1926,FIND("/",Sync!$P1926)+1,20))-1))),"")))</f>
        <v/>
      </c>
      <c r="AH1926">
        <f>IF(OR($AE1926="",$AF1926=""),"",IF(ISNUMBER(Sync!$P1926),MOD(Sync!$P1926,100),IFERROR(VALUE(TRIM(MID(MID(Sync!$P1926,FIND("/",Sync!$P1926)+1,20),FIND("/",MID(Sync!$P1926,FIND("/",Sync!$P1926)+1,20))+1,20))),"")))</f>
        <v/>
      </c>
      <c r="AI1926">
        <f>IF($AE1926="","",IF(OR($AF1926="",$AG1926="",$AH1926="",$AF1926&lt;1300,$AF1926&gt;1500,$AG1926&lt;1,$AG1926&gt;12,$AH1926&lt;1,$AH1926&gt;31),"نامعتبر",RIGHT("0000"&amp;$AF1926,4)&amp;"/"&amp;RIGHT("00"&amp;$AG1926,2)&amp;"/"&amp;RIGHT("00"&amp;$AH1926,2)))</f>
        <v/>
      </c>
      <c r="AJ1926">
        <f>IF($AE1926="","",IF(Sync!$Q1926="","0000",IF(AND(ISNUMBER(Sync!$Q1926),Sync!$Q1926&gt;=0,Sync!$Q1926&lt;1),RIGHT("00"&amp;HOUR(Sync!$Q1926),2)&amp;RIGHT("00"&amp;MINUTE(Sync!$Q1926),2),IFERROR(RIGHT("00"&amp;VALUE(LEFT(Sync!$Q1926,FIND(":",Sync!$Q1926)-1)),2)&amp;RIGHT("00"&amp;VALUE(MID(Sync!$Q1926,FIND(":",Sync!$Q1926)+1,2)),2),"0000"))))</f>
        <v/>
      </c>
      <c r="AK1926">
        <f>IF(OR($AE1926="",$AI1926="",$AI1926="نامعتبر"),"",LEFT($AI1926,4)&amp;MID($AI1926,6,2)&amp;RIGHT($AI1926,2)&amp;$AJ1926&amp;"|"&amp;"3"&amp;RIGHT("00000"&amp;1921,5))</f>
        <v/>
      </c>
      <c r="AL1926">
        <f>IF($AK1926="","",COUNTIFS(LdAParty,$AE1926,LdAType,1,LdAKey,"&lt;"&amp;$AK1926)+COUNTIFS(LdBMember,$AE1926,LdBKey,"&lt;"&amp;$AK1926)+COUNTIFS(LdCParty,$AE1926,LdCKey,"&lt;"&amp;$AK1926)+1)</f>
        <v/>
      </c>
      <c r="AM1926">
        <f>IF($AL1926="","",$AE1926&amp;"|"&amp;RIGHT("000000"&amp;$AL1926,6))</f>
        <v/>
      </c>
      <c r="AN1926">
        <f>IF($AE1926="","",IF(Sync!$W1926="",0,Sync!$W1926))</f>
        <v/>
      </c>
      <c r="AO1926">
        <f>IF($AE1926="","",IF(Sync!$X1926="",0,Sync!$X1926))</f>
        <v/>
      </c>
      <c r="AP1926">
        <f>IF($AE1926="","",Sync!$R1926)</f>
        <v/>
      </c>
      <c r="AQ1926">
        <f>IF($AE1926="","",Sync!$Y1926)</f>
        <v/>
      </c>
    </row>
    <row r="1927">
      <c r="A1927">
        <f>IF(OR(Wages!$B1930="",Wages!$E1930=""),"",Wages!$E1930)</f>
        <v/>
      </c>
      <c r="B1927">
        <f>IF($A1927="","",IF(Wages!$C1930="دستمزد گروهی",2,1))</f>
        <v/>
      </c>
      <c r="C1927">
        <f>IF($A1927="","",IF(ISNUMBER(Wages!$B1930),IF(AND(Wages!$B1930&gt;=10000101,Wages!$B1930&lt;=99991231),INT(Wages!$B1930/10000),""),IFERROR(VALUE(TRIM(LEFT(Wages!$B1930,FIND("/",Wages!$B1930)-1))),"")))</f>
        <v/>
      </c>
      <c r="D1927">
        <f>IF(OR($A1927="",$C1927=""),"",IF(ISNUMBER(Wages!$B1930),INT(MOD(Wages!$B1930,10000)/100),IFERROR(VALUE(TRIM(LEFT(MID(Wages!$B1930,FIND("/",Wages!$B1930)+1,20),FIND("/",MID(Wages!$B1930,FIND("/",Wages!$B1930)+1,20))-1))),"")))</f>
        <v/>
      </c>
      <c r="E1927">
        <f>IF(OR($A1927="",$C1927=""),"",IF(ISNUMBER(Wages!$B1930),MOD(Wages!$B1930,100),IFERROR(VALUE(TRIM(MID(MID(Wages!$B1930,FIND("/",Wages!$B1930)+1,20),FIND("/",MID(Wages!$B1930,FIND("/",Wages!$B1930)+1,20))+1,20))),"")))</f>
        <v/>
      </c>
      <c r="F1927">
        <f>IF($A1927="","",IF(OR($C1927="",$D1927="",$E1927="",$C1927&lt;1300,$C1927&gt;1500,$D1927&lt;1,$D1927&gt;12,$E1927&lt;1,$E1927&gt;31),"نامعتبر",RIGHT("0000"&amp;$C1927,4)&amp;"/"&amp;RIGHT("00"&amp;$D1927,2)&amp;"/"&amp;RIGHT("00"&amp;$E1927,2)))</f>
        <v/>
      </c>
      <c r="G1927">
        <f>IF(OR($A1927="",$F1927="",$F1927="نامعتبر"),"",LEFT($F1927,4)&amp;MID($F1927,6,2)&amp;RIGHT($F1927,2)&amp;"0000"&amp;"|"&amp;"1"&amp;RIGHT("00000"&amp;1922,5))</f>
        <v/>
      </c>
      <c r="H1927">
        <f>IF(OR($B1927&lt;&gt;1,$G1927=""),"",COUNTIFS(LdAParty,$A1927,LdAType,1,LdAKey,"&lt;"&amp;$G1927)+COUNTIFS(LdBMember,$A1927,LdBKey,"&lt;"&amp;$G1927)+COUNTIFS(LdCParty,$A1927,LdCKey,"&lt;"&amp;$G1927)+1)</f>
        <v/>
      </c>
      <c r="I1927">
        <f>IF($H1927="","",$A1927&amp;"|"&amp;RIGHT("000000"&amp;$H1927,6))</f>
        <v/>
      </c>
      <c r="J1927">
        <f>IF(OR($B1927&lt;&gt;2,$G1927=""),"",COUNTIFS(LdAParty,$A1927,LdAType,2,LdAKey,"&lt;"&amp;$G1927)+1)</f>
        <v/>
      </c>
      <c r="K1927">
        <f>IF($J1927="","",$A1927&amp;"|"&amp;RIGHT("000000"&amp;$J1927,6))</f>
        <v/>
      </c>
      <c r="L1927">
        <f>IF($A1927="","",IF(Wages!$G1930="",0,Wages!$G1930))</f>
        <v/>
      </c>
      <c r="M1927">
        <f>IF($A1927="","",Wages!$J1930)</f>
        <v/>
      </c>
      <c r="N1927">
        <f>IF($A1927="","",Wages!$D1930)</f>
        <v/>
      </c>
      <c r="P1927">
        <f>IF(OR(Shares!$B1930="",Shares!$C1930=""),"",Shares!$C1930)</f>
        <v/>
      </c>
      <c r="Q1927">
        <f>IF($P1927="","",Shares!$B1930)</f>
        <v/>
      </c>
      <c r="R1927">
        <f>IF($P1927="","",IFERROR(INDEX(WageParty,MATCH($Q1927,WageIds,0)),""))</f>
        <v/>
      </c>
      <c r="S1927">
        <f>IF($P1927="","",IFERROR(INDEX($F$6:$F$2005,MATCH($Q1927,WageIds,0)),""))</f>
        <v/>
      </c>
      <c r="T1927">
        <f>IF(OR($P1927="",$S1927="",$S1927="نامعتبر"),"",LEFT($S1927,4)&amp;MID($S1927,6,2)&amp;RIGHT($S1927,2)&amp;"0000"&amp;"|"&amp;"2"&amp;RIGHT("00000"&amp;1922,5))</f>
        <v/>
      </c>
      <c r="U1927">
        <f>IF($T1927="","",COUNTIFS(LdAParty,$P1927,LdAType,1,LdAKey,"&lt;"&amp;$T1927)+COUNTIFS(LdBMember,$P1927,LdBKey,"&lt;"&amp;$T1927)+COUNTIFS(LdCParty,$P1927,LdCKey,"&lt;"&amp;$T1927)+1)</f>
        <v/>
      </c>
      <c r="V1927">
        <f>IF($U1927="","",$P1927&amp;"|"&amp;RIGHT("000000"&amp;$U1927,6))</f>
        <v/>
      </c>
      <c r="W1927">
        <f>IF($T1927="","",COUNTIFS(LdBGroup,$R1927,LdBKey,"&lt;"&amp;$T1927)+1)</f>
        <v/>
      </c>
      <c r="X1927">
        <f>IF($W1927="","",$R1927&amp;"|"&amp;RIGHT("000000"&amp;$W1927,6))</f>
        <v/>
      </c>
      <c r="Y1927">
        <f>IF($P1927="","",IF(Shares!$E1930="",0,Shares!$E1930))</f>
        <v/>
      </c>
      <c r="Z1927">
        <f>IF($P1927="","",Shares!$H1930)</f>
        <v/>
      </c>
      <c r="AE1927">
        <f>IF(OR(Sync!$S1927="",Sync!$P1927=""),"",Sync!$S1927)</f>
        <v/>
      </c>
      <c r="AF1927">
        <f>IF($AE1927="","",IF(ISNUMBER(Sync!$P1927),IF(AND(Sync!$P1927&gt;=10000101,Sync!$P1927&lt;=99991231),INT(Sync!$P1927/10000),""),IFERROR(VALUE(TRIM(LEFT(Sync!$P1927,FIND("/",Sync!$P1927)-1))),"")))</f>
        <v/>
      </c>
      <c r="AG1927">
        <f>IF(OR($AE1927="",$AF1927=""),"",IF(ISNUMBER(Sync!$P1927),INT(MOD(Sync!$P1927,10000)/100),IFERROR(VALUE(TRIM(LEFT(MID(Sync!$P1927,FIND("/",Sync!$P1927)+1,20),FIND("/",MID(Sync!$P1927,FIND("/",Sync!$P1927)+1,20))-1))),"")))</f>
        <v/>
      </c>
      <c r="AH1927">
        <f>IF(OR($AE1927="",$AF1927=""),"",IF(ISNUMBER(Sync!$P1927),MOD(Sync!$P1927,100),IFERROR(VALUE(TRIM(MID(MID(Sync!$P1927,FIND("/",Sync!$P1927)+1,20),FIND("/",MID(Sync!$P1927,FIND("/",Sync!$P1927)+1,20))+1,20))),"")))</f>
        <v/>
      </c>
      <c r="AI1927">
        <f>IF($AE1927="","",IF(OR($AF1927="",$AG1927="",$AH1927="",$AF1927&lt;1300,$AF1927&gt;1500,$AG1927&lt;1,$AG1927&gt;12,$AH1927&lt;1,$AH1927&gt;31),"نامعتبر",RIGHT("0000"&amp;$AF1927,4)&amp;"/"&amp;RIGHT("00"&amp;$AG1927,2)&amp;"/"&amp;RIGHT("00"&amp;$AH1927,2)))</f>
        <v/>
      </c>
      <c r="AJ1927">
        <f>IF($AE1927="","",IF(Sync!$Q1927="","0000",IF(AND(ISNUMBER(Sync!$Q1927),Sync!$Q1927&gt;=0,Sync!$Q1927&lt;1),RIGHT("00"&amp;HOUR(Sync!$Q1927),2)&amp;RIGHT("00"&amp;MINUTE(Sync!$Q1927),2),IFERROR(RIGHT("00"&amp;VALUE(LEFT(Sync!$Q1927,FIND(":",Sync!$Q1927)-1)),2)&amp;RIGHT("00"&amp;VALUE(MID(Sync!$Q1927,FIND(":",Sync!$Q1927)+1,2)),2),"0000"))))</f>
        <v/>
      </c>
      <c r="AK1927">
        <f>IF(OR($AE1927="",$AI1927="",$AI1927="نامعتبر"),"",LEFT($AI1927,4)&amp;MID($AI1927,6,2)&amp;RIGHT($AI1927,2)&amp;$AJ1927&amp;"|"&amp;"3"&amp;RIGHT("00000"&amp;1922,5))</f>
        <v/>
      </c>
      <c r="AL1927">
        <f>IF($AK1927="","",COUNTIFS(LdAParty,$AE1927,LdAType,1,LdAKey,"&lt;"&amp;$AK1927)+COUNTIFS(LdBMember,$AE1927,LdBKey,"&lt;"&amp;$AK1927)+COUNTIFS(LdCParty,$AE1927,LdCKey,"&lt;"&amp;$AK1927)+1)</f>
        <v/>
      </c>
      <c r="AM1927">
        <f>IF($AL1927="","",$AE1927&amp;"|"&amp;RIGHT("000000"&amp;$AL1927,6))</f>
        <v/>
      </c>
      <c r="AN1927">
        <f>IF($AE1927="","",IF(Sync!$W1927="",0,Sync!$W1927))</f>
        <v/>
      </c>
      <c r="AO1927">
        <f>IF($AE1927="","",IF(Sync!$X1927="",0,Sync!$X1927))</f>
        <v/>
      </c>
      <c r="AP1927">
        <f>IF($AE1927="","",Sync!$R1927)</f>
        <v/>
      </c>
      <c r="AQ1927">
        <f>IF($AE1927="","",Sync!$Y1927)</f>
        <v/>
      </c>
    </row>
    <row r="1928">
      <c r="A1928">
        <f>IF(OR(Wages!$B1931="",Wages!$E1931=""),"",Wages!$E1931)</f>
        <v/>
      </c>
      <c r="B1928">
        <f>IF($A1928="","",IF(Wages!$C1931="دستمزد گروهی",2,1))</f>
        <v/>
      </c>
      <c r="C1928">
        <f>IF($A1928="","",IF(ISNUMBER(Wages!$B1931),IF(AND(Wages!$B1931&gt;=10000101,Wages!$B1931&lt;=99991231),INT(Wages!$B1931/10000),""),IFERROR(VALUE(TRIM(LEFT(Wages!$B1931,FIND("/",Wages!$B1931)-1))),"")))</f>
        <v/>
      </c>
      <c r="D1928">
        <f>IF(OR($A1928="",$C1928=""),"",IF(ISNUMBER(Wages!$B1931),INT(MOD(Wages!$B1931,10000)/100),IFERROR(VALUE(TRIM(LEFT(MID(Wages!$B1931,FIND("/",Wages!$B1931)+1,20),FIND("/",MID(Wages!$B1931,FIND("/",Wages!$B1931)+1,20))-1))),"")))</f>
        <v/>
      </c>
      <c r="E1928">
        <f>IF(OR($A1928="",$C1928=""),"",IF(ISNUMBER(Wages!$B1931),MOD(Wages!$B1931,100),IFERROR(VALUE(TRIM(MID(MID(Wages!$B1931,FIND("/",Wages!$B1931)+1,20),FIND("/",MID(Wages!$B1931,FIND("/",Wages!$B1931)+1,20))+1,20))),"")))</f>
        <v/>
      </c>
      <c r="F1928">
        <f>IF($A1928="","",IF(OR($C1928="",$D1928="",$E1928="",$C1928&lt;1300,$C1928&gt;1500,$D1928&lt;1,$D1928&gt;12,$E1928&lt;1,$E1928&gt;31),"نامعتبر",RIGHT("0000"&amp;$C1928,4)&amp;"/"&amp;RIGHT("00"&amp;$D1928,2)&amp;"/"&amp;RIGHT("00"&amp;$E1928,2)))</f>
        <v/>
      </c>
      <c r="G1928">
        <f>IF(OR($A1928="",$F1928="",$F1928="نامعتبر"),"",LEFT($F1928,4)&amp;MID($F1928,6,2)&amp;RIGHT($F1928,2)&amp;"0000"&amp;"|"&amp;"1"&amp;RIGHT("00000"&amp;1923,5))</f>
        <v/>
      </c>
      <c r="H1928">
        <f>IF(OR($B1928&lt;&gt;1,$G1928=""),"",COUNTIFS(LdAParty,$A1928,LdAType,1,LdAKey,"&lt;"&amp;$G1928)+COUNTIFS(LdBMember,$A1928,LdBKey,"&lt;"&amp;$G1928)+COUNTIFS(LdCParty,$A1928,LdCKey,"&lt;"&amp;$G1928)+1)</f>
        <v/>
      </c>
      <c r="I1928">
        <f>IF($H1928="","",$A1928&amp;"|"&amp;RIGHT("000000"&amp;$H1928,6))</f>
        <v/>
      </c>
      <c r="J1928">
        <f>IF(OR($B1928&lt;&gt;2,$G1928=""),"",COUNTIFS(LdAParty,$A1928,LdAType,2,LdAKey,"&lt;"&amp;$G1928)+1)</f>
        <v/>
      </c>
      <c r="K1928">
        <f>IF($J1928="","",$A1928&amp;"|"&amp;RIGHT("000000"&amp;$J1928,6))</f>
        <v/>
      </c>
      <c r="L1928">
        <f>IF($A1928="","",IF(Wages!$G1931="",0,Wages!$G1931))</f>
        <v/>
      </c>
      <c r="M1928">
        <f>IF($A1928="","",Wages!$J1931)</f>
        <v/>
      </c>
      <c r="N1928">
        <f>IF($A1928="","",Wages!$D1931)</f>
        <v/>
      </c>
      <c r="P1928">
        <f>IF(OR(Shares!$B1931="",Shares!$C1931=""),"",Shares!$C1931)</f>
        <v/>
      </c>
      <c r="Q1928">
        <f>IF($P1928="","",Shares!$B1931)</f>
        <v/>
      </c>
      <c r="R1928">
        <f>IF($P1928="","",IFERROR(INDEX(WageParty,MATCH($Q1928,WageIds,0)),""))</f>
        <v/>
      </c>
      <c r="S1928">
        <f>IF($P1928="","",IFERROR(INDEX($F$6:$F$2005,MATCH($Q1928,WageIds,0)),""))</f>
        <v/>
      </c>
      <c r="T1928">
        <f>IF(OR($P1928="",$S1928="",$S1928="نامعتبر"),"",LEFT($S1928,4)&amp;MID($S1928,6,2)&amp;RIGHT($S1928,2)&amp;"0000"&amp;"|"&amp;"2"&amp;RIGHT("00000"&amp;1923,5))</f>
        <v/>
      </c>
      <c r="U1928">
        <f>IF($T1928="","",COUNTIFS(LdAParty,$P1928,LdAType,1,LdAKey,"&lt;"&amp;$T1928)+COUNTIFS(LdBMember,$P1928,LdBKey,"&lt;"&amp;$T1928)+COUNTIFS(LdCParty,$P1928,LdCKey,"&lt;"&amp;$T1928)+1)</f>
        <v/>
      </c>
      <c r="V1928">
        <f>IF($U1928="","",$P1928&amp;"|"&amp;RIGHT("000000"&amp;$U1928,6))</f>
        <v/>
      </c>
      <c r="W1928">
        <f>IF($T1928="","",COUNTIFS(LdBGroup,$R1928,LdBKey,"&lt;"&amp;$T1928)+1)</f>
        <v/>
      </c>
      <c r="X1928">
        <f>IF($W1928="","",$R1928&amp;"|"&amp;RIGHT("000000"&amp;$W1928,6))</f>
        <v/>
      </c>
      <c r="Y1928">
        <f>IF($P1928="","",IF(Shares!$E1931="",0,Shares!$E1931))</f>
        <v/>
      </c>
      <c r="Z1928">
        <f>IF($P1928="","",Shares!$H1931)</f>
        <v/>
      </c>
      <c r="AE1928">
        <f>IF(OR(Sync!$S1928="",Sync!$P1928=""),"",Sync!$S1928)</f>
        <v/>
      </c>
      <c r="AF1928">
        <f>IF($AE1928="","",IF(ISNUMBER(Sync!$P1928),IF(AND(Sync!$P1928&gt;=10000101,Sync!$P1928&lt;=99991231),INT(Sync!$P1928/10000),""),IFERROR(VALUE(TRIM(LEFT(Sync!$P1928,FIND("/",Sync!$P1928)-1))),"")))</f>
        <v/>
      </c>
      <c r="AG1928">
        <f>IF(OR($AE1928="",$AF1928=""),"",IF(ISNUMBER(Sync!$P1928),INT(MOD(Sync!$P1928,10000)/100),IFERROR(VALUE(TRIM(LEFT(MID(Sync!$P1928,FIND("/",Sync!$P1928)+1,20),FIND("/",MID(Sync!$P1928,FIND("/",Sync!$P1928)+1,20))-1))),"")))</f>
        <v/>
      </c>
      <c r="AH1928">
        <f>IF(OR($AE1928="",$AF1928=""),"",IF(ISNUMBER(Sync!$P1928),MOD(Sync!$P1928,100),IFERROR(VALUE(TRIM(MID(MID(Sync!$P1928,FIND("/",Sync!$P1928)+1,20),FIND("/",MID(Sync!$P1928,FIND("/",Sync!$P1928)+1,20))+1,20))),"")))</f>
        <v/>
      </c>
      <c r="AI1928">
        <f>IF($AE1928="","",IF(OR($AF1928="",$AG1928="",$AH1928="",$AF1928&lt;1300,$AF1928&gt;1500,$AG1928&lt;1,$AG1928&gt;12,$AH1928&lt;1,$AH1928&gt;31),"نامعتبر",RIGHT("0000"&amp;$AF1928,4)&amp;"/"&amp;RIGHT("00"&amp;$AG1928,2)&amp;"/"&amp;RIGHT("00"&amp;$AH1928,2)))</f>
        <v/>
      </c>
      <c r="AJ1928">
        <f>IF($AE1928="","",IF(Sync!$Q1928="","0000",IF(AND(ISNUMBER(Sync!$Q1928),Sync!$Q1928&gt;=0,Sync!$Q1928&lt;1),RIGHT("00"&amp;HOUR(Sync!$Q1928),2)&amp;RIGHT("00"&amp;MINUTE(Sync!$Q1928),2),IFERROR(RIGHT("00"&amp;VALUE(LEFT(Sync!$Q1928,FIND(":",Sync!$Q1928)-1)),2)&amp;RIGHT("00"&amp;VALUE(MID(Sync!$Q1928,FIND(":",Sync!$Q1928)+1,2)),2),"0000"))))</f>
        <v/>
      </c>
      <c r="AK1928">
        <f>IF(OR($AE1928="",$AI1928="",$AI1928="نامعتبر"),"",LEFT($AI1928,4)&amp;MID($AI1928,6,2)&amp;RIGHT($AI1928,2)&amp;$AJ1928&amp;"|"&amp;"3"&amp;RIGHT("00000"&amp;1923,5))</f>
        <v/>
      </c>
      <c r="AL1928">
        <f>IF($AK1928="","",COUNTIFS(LdAParty,$AE1928,LdAType,1,LdAKey,"&lt;"&amp;$AK1928)+COUNTIFS(LdBMember,$AE1928,LdBKey,"&lt;"&amp;$AK1928)+COUNTIFS(LdCParty,$AE1928,LdCKey,"&lt;"&amp;$AK1928)+1)</f>
        <v/>
      </c>
      <c r="AM1928">
        <f>IF($AL1928="","",$AE1928&amp;"|"&amp;RIGHT("000000"&amp;$AL1928,6))</f>
        <v/>
      </c>
      <c r="AN1928">
        <f>IF($AE1928="","",IF(Sync!$W1928="",0,Sync!$W1928))</f>
        <v/>
      </c>
      <c r="AO1928">
        <f>IF($AE1928="","",IF(Sync!$X1928="",0,Sync!$X1928))</f>
        <v/>
      </c>
      <c r="AP1928">
        <f>IF($AE1928="","",Sync!$R1928)</f>
        <v/>
      </c>
      <c r="AQ1928">
        <f>IF($AE1928="","",Sync!$Y1928)</f>
        <v/>
      </c>
    </row>
    <row r="1929">
      <c r="A1929">
        <f>IF(OR(Wages!$B1932="",Wages!$E1932=""),"",Wages!$E1932)</f>
        <v/>
      </c>
      <c r="B1929">
        <f>IF($A1929="","",IF(Wages!$C1932="دستمزد گروهی",2,1))</f>
        <v/>
      </c>
      <c r="C1929">
        <f>IF($A1929="","",IF(ISNUMBER(Wages!$B1932),IF(AND(Wages!$B1932&gt;=10000101,Wages!$B1932&lt;=99991231),INT(Wages!$B1932/10000),""),IFERROR(VALUE(TRIM(LEFT(Wages!$B1932,FIND("/",Wages!$B1932)-1))),"")))</f>
        <v/>
      </c>
      <c r="D1929">
        <f>IF(OR($A1929="",$C1929=""),"",IF(ISNUMBER(Wages!$B1932),INT(MOD(Wages!$B1932,10000)/100),IFERROR(VALUE(TRIM(LEFT(MID(Wages!$B1932,FIND("/",Wages!$B1932)+1,20),FIND("/",MID(Wages!$B1932,FIND("/",Wages!$B1932)+1,20))-1))),"")))</f>
        <v/>
      </c>
      <c r="E1929">
        <f>IF(OR($A1929="",$C1929=""),"",IF(ISNUMBER(Wages!$B1932),MOD(Wages!$B1932,100),IFERROR(VALUE(TRIM(MID(MID(Wages!$B1932,FIND("/",Wages!$B1932)+1,20),FIND("/",MID(Wages!$B1932,FIND("/",Wages!$B1932)+1,20))+1,20))),"")))</f>
        <v/>
      </c>
      <c r="F1929">
        <f>IF($A1929="","",IF(OR($C1929="",$D1929="",$E1929="",$C1929&lt;1300,$C1929&gt;1500,$D1929&lt;1,$D1929&gt;12,$E1929&lt;1,$E1929&gt;31),"نامعتبر",RIGHT("0000"&amp;$C1929,4)&amp;"/"&amp;RIGHT("00"&amp;$D1929,2)&amp;"/"&amp;RIGHT("00"&amp;$E1929,2)))</f>
        <v/>
      </c>
      <c r="G1929">
        <f>IF(OR($A1929="",$F1929="",$F1929="نامعتبر"),"",LEFT($F1929,4)&amp;MID($F1929,6,2)&amp;RIGHT($F1929,2)&amp;"0000"&amp;"|"&amp;"1"&amp;RIGHT("00000"&amp;1924,5))</f>
        <v/>
      </c>
      <c r="H1929">
        <f>IF(OR($B1929&lt;&gt;1,$G1929=""),"",COUNTIFS(LdAParty,$A1929,LdAType,1,LdAKey,"&lt;"&amp;$G1929)+COUNTIFS(LdBMember,$A1929,LdBKey,"&lt;"&amp;$G1929)+COUNTIFS(LdCParty,$A1929,LdCKey,"&lt;"&amp;$G1929)+1)</f>
        <v/>
      </c>
      <c r="I1929">
        <f>IF($H1929="","",$A1929&amp;"|"&amp;RIGHT("000000"&amp;$H1929,6))</f>
        <v/>
      </c>
      <c r="J1929">
        <f>IF(OR($B1929&lt;&gt;2,$G1929=""),"",COUNTIFS(LdAParty,$A1929,LdAType,2,LdAKey,"&lt;"&amp;$G1929)+1)</f>
        <v/>
      </c>
      <c r="K1929">
        <f>IF($J1929="","",$A1929&amp;"|"&amp;RIGHT("000000"&amp;$J1929,6))</f>
        <v/>
      </c>
      <c r="L1929">
        <f>IF($A1929="","",IF(Wages!$G1932="",0,Wages!$G1932))</f>
        <v/>
      </c>
      <c r="M1929">
        <f>IF($A1929="","",Wages!$J1932)</f>
        <v/>
      </c>
      <c r="N1929">
        <f>IF($A1929="","",Wages!$D1932)</f>
        <v/>
      </c>
      <c r="P1929">
        <f>IF(OR(Shares!$B1932="",Shares!$C1932=""),"",Shares!$C1932)</f>
        <v/>
      </c>
      <c r="Q1929">
        <f>IF($P1929="","",Shares!$B1932)</f>
        <v/>
      </c>
      <c r="R1929">
        <f>IF($P1929="","",IFERROR(INDEX(WageParty,MATCH($Q1929,WageIds,0)),""))</f>
        <v/>
      </c>
      <c r="S1929">
        <f>IF($P1929="","",IFERROR(INDEX($F$6:$F$2005,MATCH($Q1929,WageIds,0)),""))</f>
        <v/>
      </c>
      <c r="T1929">
        <f>IF(OR($P1929="",$S1929="",$S1929="نامعتبر"),"",LEFT($S1929,4)&amp;MID($S1929,6,2)&amp;RIGHT($S1929,2)&amp;"0000"&amp;"|"&amp;"2"&amp;RIGHT("00000"&amp;1924,5))</f>
        <v/>
      </c>
      <c r="U1929">
        <f>IF($T1929="","",COUNTIFS(LdAParty,$P1929,LdAType,1,LdAKey,"&lt;"&amp;$T1929)+COUNTIFS(LdBMember,$P1929,LdBKey,"&lt;"&amp;$T1929)+COUNTIFS(LdCParty,$P1929,LdCKey,"&lt;"&amp;$T1929)+1)</f>
        <v/>
      </c>
      <c r="V1929">
        <f>IF($U1929="","",$P1929&amp;"|"&amp;RIGHT("000000"&amp;$U1929,6))</f>
        <v/>
      </c>
      <c r="W1929">
        <f>IF($T1929="","",COUNTIFS(LdBGroup,$R1929,LdBKey,"&lt;"&amp;$T1929)+1)</f>
        <v/>
      </c>
      <c r="X1929">
        <f>IF($W1929="","",$R1929&amp;"|"&amp;RIGHT("000000"&amp;$W1929,6))</f>
        <v/>
      </c>
      <c r="Y1929">
        <f>IF($P1929="","",IF(Shares!$E1932="",0,Shares!$E1932))</f>
        <v/>
      </c>
      <c r="Z1929">
        <f>IF($P1929="","",Shares!$H1932)</f>
        <v/>
      </c>
      <c r="AE1929">
        <f>IF(OR(Sync!$S1929="",Sync!$P1929=""),"",Sync!$S1929)</f>
        <v/>
      </c>
      <c r="AF1929">
        <f>IF($AE1929="","",IF(ISNUMBER(Sync!$P1929),IF(AND(Sync!$P1929&gt;=10000101,Sync!$P1929&lt;=99991231),INT(Sync!$P1929/10000),""),IFERROR(VALUE(TRIM(LEFT(Sync!$P1929,FIND("/",Sync!$P1929)-1))),"")))</f>
        <v/>
      </c>
      <c r="AG1929">
        <f>IF(OR($AE1929="",$AF1929=""),"",IF(ISNUMBER(Sync!$P1929),INT(MOD(Sync!$P1929,10000)/100),IFERROR(VALUE(TRIM(LEFT(MID(Sync!$P1929,FIND("/",Sync!$P1929)+1,20),FIND("/",MID(Sync!$P1929,FIND("/",Sync!$P1929)+1,20))-1))),"")))</f>
        <v/>
      </c>
      <c r="AH1929">
        <f>IF(OR($AE1929="",$AF1929=""),"",IF(ISNUMBER(Sync!$P1929),MOD(Sync!$P1929,100),IFERROR(VALUE(TRIM(MID(MID(Sync!$P1929,FIND("/",Sync!$P1929)+1,20),FIND("/",MID(Sync!$P1929,FIND("/",Sync!$P1929)+1,20))+1,20))),"")))</f>
        <v/>
      </c>
      <c r="AI1929">
        <f>IF($AE1929="","",IF(OR($AF1929="",$AG1929="",$AH1929="",$AF1929&lt;1300,$AF1929&gt;1500,$AG1929&lt;1,$AG1929&gt;12,$AH1929&lt;1,$AH1929&gt;31),"نامعتبر",RIGHT("0000"&amp;$AF1929,4)&amp;"/"&amp;RIGHT("00"&amp;$AG1929,2)&amp;"/"&amp;RIGHT("00"&amp;$AH1929,2)))</f>
        <v/>
      </c>
      <c r="AJ1929">
        <f>IF($AE1929="","",IF(Sync!$Q1929="","0000",IF(AND(ISNUMBER(Sync!$Q1929),Sync!$Q1929&gt;=0,Sync!$Q1929&lt;1),RIGHT("00"&amp;HOUR(Sync!$Q1929),2)&amp;RIGHT("00"&amp;MINUTE(Sync!$Q1929),2),IFERROR(RIGHT("00"&amp;VALUE(LEFT(Sync!$Q1929,FIND(":",Sync!$Q1929)-1)),2)&amp;RIGHT("00"&amp;VALUE(MID(Sync!$Q1929,FIND(":",Sync!$Q1929)+1,2)),2),"0000"))))</f>
        <v/>
      </c>
      <c r="AK1929">
        <f>IF(OR($AE1929="",$AI1929="",$AI1929="نامعتبر"),"",LEFT($AI1929,4)&amp;MID($AI1929,6,2)&amp;RIGHT($AI1929,2)&amp;$AJ1929&amp;"|"&amp;"3"&amp;RIGHT("00000"&amp;1924,5))</f>
        <v/>
      </c>
      <c r="AL1929">
        <f>IF($AK1929="","",COUNTIFS(LdAParty,$AE1929,LdAType,1,LdAKey,"&lt;"&amp;$AK1929)+COUNTIFS(LdBMember,$AE1929,LdBKey,"&lt;"&amp;$AK1929)+COUNTIFS(LdCParty,$AE1929,LdCKey,"&lt;"&amp;$AK1929)+1)</f>
        <v/>
      </c>
      <c r="AM1929">
        <f>IF($AL1929="","",$AE1929&amp;"|"&amp;RIGHT("000000"&amp;$AL1929,6))</f>
        <v/>
      </c>
      <c r="AN1929">
        <f>IF($AE1929="","",IF(Sync!$W1929="",0,Sync!$W1929))</f>
        <v/>
      </c>
      <c r="AO1929">
        <f>IF($AE1929="","",IF(Sync!$X1929="",0,Sync!$X1929))</f>
        <v/>
      </c>
      <c r="AP1929">
        <f>IF($AE1929="","",Sync!$R1929)</f>
        <v/>
      </c>
      <c r="AQ1929">
        <f>IF($AE1929="","",Sync!$Y1929)</f>
        <v/>
      </c>
    </row>
    <row r="1930">
      <c r="A1930">
        <f>IF(OR(Wages!$B1933="",Wages!$E1933=""),"",Wages!$E1933)</f>
        <v/>
      </c>
      <c r="B1930">
        <f>IF($A1930="","",IF(Wages!$C1933="دستمزد گروهی",2,1))</f>
        <v/>
      </c>
      <c r="C1930">
        <f>IF($A1930="","",IF(ISNUMBER(Wages!$B1933),IF(AND(Wages!$B1933&gt;=10000101,Wages!$B1933&lt;=99991231),INT(Wages!$B1933/10000),""),IFERROR(VALUE(TRIM(LEFT(Wages!$B1933,FIND("/",Wages!$B1933)-1))),"")))</f>
        <v/>
      </c>
      <c r="D1930">
        <f>IF(OR($A1930="",$C1930=""),"",IF(ISNUMBER(Wages!$B1933),INT(MOD(Wages!$B1933,10000)/100),IFERROR(VALUE(TRIM(LEFT(MID(Wages!$B1933,FIND("/",Wages!$B1933)+1,20),FIND("/",MID(Wages!$B1933,FIND("/",Wages!$B1933)+1,20))-1))),"")))</f>
        <v/>
      </c>
      <c r="E1930">
        <f>IF(OR($A1930="",$C1930=""),"",IF(ISNUMBER(Wages!$B1933),MOD(Wages!$B1933,100),IFERROR(VALUE(TRIM(MID(MID(Wages!$B1933,FIND("/",Wages!$B1933)+1,20),FIND("/",MID(Wages!$B1933,FIND("/",Wages!$B1933)+1,20))+1,20))),"")))</f>
        <v/>
      </c>
      <c r="F1930">
        <f>IF($A1930="","",IF(OR($C1930="",$D1930="",$E1930="",$C1930&lt;1300,$C1930&gt;1500,$D1930&lt;1,$D1930&gt;12,$E1930&lt;1,$E1930&gt;31),"نامعتبر",RIGHT("0000"&amp;$C1930,4)&amp;"/"&amp;RIGHT("00"&amp;$D1930,2)&amp;"/"&amp;RIGHT("00"&amp;$E1930,2)))</f>
        <v/>
      </c>
      <c r="G1930">
        <f>IF(OR($A1930="",$F1930="",$F1930="نامعتبر"),"",LEFT($F1930,4)&amp;MID($F1930,6,2)&amp;RIGHT($F1930,2)&amp;"0000"&amp;"|"&amp;"1"&amp;RIGHT("00000"&amp;1925,5))</f>
        <v/>
      </c>
      <c r="H1930">
        <f>IF(OR($B1930&lt;&gt;1,$G1930=""),"",COUNTIFS(LdAParty,$A1930,LdAType,1,LdAKey,"&lt;"&amp;$G1930)+COUNTIFS(LdBMember,$A1930,LdBKey,"&lt;"&amp;$G1930)+COUNTIFS(LdCParty,$A1930,LdCKey,"&lt;"&amp;$G1930)+1)</f>
        <v/>
      </c>
      <c r="I1930">
        <f>IF($H1930="","",$A1930&amp;"|"&amp;RIGHT("000000"&amp;$H1930,6))</f>
        <v/>
      </c>
      <c r="J1930">
        <f>IF(OR($B1930&lt;&gt;2,$G1930=""),"",COUNTIFS(LdAParty,$A1930,LdAType,2,LdAKey,"&lt;"&amp;$G1930)+1)</f>
        <v/>
      </c>
      <c r="K1930">
        <f>IF($J1930="","",$A1930&amp;"|"&amp;RIGHT("000000"&amp;$J1930,6))</f>
        <v/>
      </c>
      <c r="L1930">
        <f>IF($A1930="","",IF(Wages!$G1933="",0,Wages!$G1933))</f>
        <v/>
      </c>
      <c r="M1930">
        <f>IF($A1930="","",Wages!$J1933)</f>
        <v/>
      </c>
      <c r="N1930">
        <f>IF($A1930="","",Wages!$D1933)</f>
        <v/>
      </c>
      <c r="P1930">
        <f>IF(OR(Shares!$B1933="",Shares!$C1933=""),"",Shares!$C1933)</f>
        <v/>
      </c>
      <c r="Q1930">
        <f>IF($P1930="","",Shares!$B1933)</f>
        <v/>
      </c>
      <c r="R1930">
        <f>IF($P1930="","",IFERROR(INDEX(WageParty,MATCH($Q1930,WageIds,0)),""))</f>
        <v/>
      </c>
      <c r="S1930">
        <f>IF($P1930="","",IFERROR(INDEX($F$6:$F$2005,MATCH($Q1930,WageIds,0)),""))</f>
        <v/>
      </c>
      <c r="T1930">
        <f>IF(OR($P1930="",$S1930="",$S1930="نامعتبر"),"",LEFT($S1930,4)&amp;MID($S1930,6,2)&amp;RIGHT($S1930,2)&amp;"0000"&amp;"|"&amp;"2"&amp;RIGHT("00000"&amp;1925,5))</f>
        <v/>
      </c>
      <c r="U1930">
        <f>IF($T1930="","",COUNTIFS(LdAParty,$P1930,LdAType,1,LdAKey,"&lt;"&amp;$T1930)+COUNTIFS(LdBMember,$P1930,LdBKey,"&lt;"&amp;$T1930)+COUNTIFS(LdCParty,$P1930,LdCKey,"&lt;"&amp;$T1930)+1)</f>
        <v/>
      </c>
      <c r="V1930">
        <f>IF($U1930="","",$P1930&amp;"|"&amp;RIGHT("000000"&amp;$U1930,6))</f>
        <v/>
      </c>
      <c r="W1930">
        <f>IF($T1930="","",COUNTIFS(LdBGroup,$R1930,LdBKey,"&lt;"&amp;$T1930)+1)</f>
        <v/>
      </c>
      <c r="X1930">
        <f>IF($W1930="","",$R1930&amp;"|"&amp;RIGHT("000000"&amp;$W1930,6))</f>
        <v/>
      </c>
      <c r="Y1930">
        <f>IF($P1930="","",IF(Shares!$E1933="",0,Shares!$E1933))</f>
        <v/>
      </c>
      <c r="Z1930">
        <f>IF($P1930="","",Shares!$H1933)</f>
        <v/>
      </c>
      <c r="AE1930">
        <f>IF(OR(Sync!$S1930="",Sync!$P1930=""),"",Sync!$S1930)</f>
        <v/>
      </c>
      <c r="AF1930">
        <f>IF($AE1930="","",IF(ISNUMBER(Sync!$P1930),IF(AND(Sync!$P1930&gt;=10000101,Sync!$P1930&lt;=99991231),INT(Sync!$P1930/10000),""),IFERROR(VALUE(TRIM(LEFT(Sync!$P1930,FIND("/",Sync!$P1930)-1))),"")))</f>
        <v/>
      </c>
      <c r="AG1930">
        <f>IF(OR($AE1930="",$AF1930=""),"",IF(ISNUMBER(Sync!$P1930),INT(MOD(Sync!$P1930,10000)/100),IFERROR(VALUE(TRIM(LEFT(MID(Sync!$P1930,FIND("/",Sync!$P1930)+1,20),FIND("/",MID(Sync!$P1930,FIND("/",Sync!$P1930)+1,20))-1))),"")))</f>
        <v/>
      </c>
      <c r="AH1930">
        <f>IF(OR($AE1930="",$AF1930=""),"",IF(ISNUMBER(Sync!$P1930),MOD(Sync!$P1930,100),IFERROR(VALUE(TRIM(MID(MID(Sync!$P1930,FIND("/",Sync!$P1930)+1,20),FIND("/",MID(Sync!$P1930,FIND("/",Sync!$P1930)+1,20))+1,20))),"")))</f>
        <v/>
      </c>
      <c r="AI1930">
        <f>IF($AE1930="","",IF(OR($AF1930="",$AG1930="",$AH1930="",$AF1930&lt;1300,$AF1930&gt;1500,$AG1930&lt;1,$AG1930&gt;12,$AH1930&lt;1,$AH1930&gt;31),"نامعتبر",RIGHT("0000"&amp;$AF1930,4)&amp;"/"&amp;RIGHT("00"&amp;$AG1930,2)&amp;"/"&amp;RIGHT("00"&amp;$AH1930,2)))</f>
        <v/>
      </c>
      <c r="AJ1930">
        <f>IF($AE1930="","",IF(Sync!$Q1930="","0000",IF(AND(ISNUMBER(Sync!$Q1930),Sync!$Q1930&gt;=0,Sync!$Q1930&lt;1),RIGHT("00"&amp;HOUR(Sync!$Q1930),2)&amp;RIGHT("00"&amp;MINUTE(Sync!$Q1930),2),IFERROR(RIGHT("00"&amp;VALUE(LEFT(Sync!$Q1930,FIND(":",Sync!$Q1930)-1)),2)&amp;RIGHT("00"&amp;VALUE(MID(Sync!$Q1930,FIND(":",Sync!$Q1930)+1,2)),2),"0000"))))</f>
        <v/>
      </c>
      <c r="AK1930">
        <f>IF(OR($AE1930="",$AI1930="",$AI1930="نامعتبر"),"",LEFT($AI1930,4)&amp;MID($AI1930,6,2)&amp;RIGHT($AI1930,2)&amp;$AJ1930&amp;"|"&amp;"3"&amp;RIGHT("00000"&amp;1925,5))</f>
        <v/>
      </c>
      <c r="AL1930">
        <f>IF($AK1930="","",COUNTIFS(LdAParty,$AE1930,LdAType,1,LdAKey,"&lt;"&amp;$AK1930)+COUNTIFS(LdBMember,$AE1930,LdBKey,"&lt;"&amp;$AK1930)+COUNTIFS(LdCParty,$AE1930,LdCKey,"&lt;"&amp;$AK1930)+1)</f>
        <v/>
      </c>
      <c r="AM1930">
        <f>IF($AL1930="","",$AE1930&amp;"|"&amp;RIGHT("000000"&amp;$AL1930,6))</f>
        <v/>
      </c>
      <c r="AN1930">
        <f>IF($AE1930="","",IF(Sync!$W1930="",0,Sync!$W1930))</f>
        <v/>
      </c>
      <c r="AO1930">
        <f>IF($AE1930="","",IF(Sync!$X1930="",0,Sync!$X1930))</f>
        <v/>
      </c>
      <c r="AP1930">
        <f>IF($AE1930="","",Sync!$R1930)</f>
        <v/>
      </c>
      <c r="AQ1930">
        <f>IF($AE1930="","",Sync!$Y1930)</f>
        <v/>
      </c>
    </row>
    <row r="1931">
      <c r="A1931">
        <f>IF(OR(Wages!$B1934="",Wages!$E1934=""),"",Wages!$E1934)</f>
        <v/>
      </c>
      <c r="B1931">
        <f>IF($A1931="","",IF(Wages!$C1934="دستمزد گروهی",2,1))</f>
        <v/>
      </c>
      <c r="C1931">
        <f>IF($A1931="","",IF(ISNUMBER(Wages!$B1934),IF(AND(Wages!$B1934&gt;=10000101,Wages!$B1934&lt;=99991231),INT(Wages!$B1934/10000),""),IFERROR(VALUE(TRIM(LEFT(Wages!$B1934,FIND("/",Wages!$B1934)-1))),"")))</f>
        <v/>
      </c>
      <c r="D1931">
        <f>IF(OR($A1931="",$C1931=""),"",IF(ISNUMBER(Wages!$B1934),INT(MOD(Wages!$B1934,10000)/100),IFERROR(VALUE(TRIM(LEFT(MID(Wages!$B1934,FIND("/",Wages!$B1934)+1,20),FIND("/",MID(Wages!$B1934,FIND("/",Wages!$B1934)+1,20))-1))),"")))</f>
        <v/>
      </c>
      <c r="E1931">
        <f>IF(OR($A1931="",$C1931=""),"",IF(ISNUMBER(Wages!$B1934),MOD(Wages!$B1934,100),IFERROR(VALUE(TRIM(MID(MID(Wages!$B1934,FIND("/",Wages!$B1934)+1,20),FIND("/",MID(Wages!$B1934,FIND("/",Wages!$B1934)+1,20))+1,20))),"")))</f>
        <v/>
      </c>
      <c r="F1931">
        <f>IF($A1931="","",IF(OR($C1931="",$D1931="",$E1931="",$C1931&lt;1300,$C1931&gt;1500,$D1931&lt;1,$D1931&gt;12,$E1931&lt;1,$E1931&gt;31),"نامعتبر",RIGHT("0000"&amp;$C1931,4)&amp;"/"&amp;RIGHT("00"&amp;$D1931,2)&amp;"/"&amp;RIGHT("00"&amp;$E1931,2)))</f>
        <v/>
      </c>
      <c r="G1931">
        <f>IF(OR($A1931="",$F1931="",$F1931="نامعتبر"),"",LEFT($F1931,4)&amp;MID($F1931,6,2)&amp;RIGHT($F1931,2)&amp;"0000"&amp;"|"&amp;"1"&amp;RIGHT("00000"&amp;1926,5))</f>
        <v/>
      </c>
      <c r="H1931">
        <f>IF(OR($B1931&lt;&gt;1,$G1931=""),"",COUNTIFS(LdAParty,$A1931,LdAType,1,LdAKey,"&lt;"&amp;$G1931)+COUNTIFS(LdBMember,$A1931,LdBKey,"&lt;"&amp;$G1931)+COUNTIFS(LdCParty,$A1931,LdCKey,"&lt;"&amp;$G1931)+1)</f>
        <v/>
      </c>
      <c r="I1931">
        <f>IF($H1931="","",$A1931&amp;"|"&amp;RIGHT("000000"&amp;$H1931,6))</f>
        <v/>
      </c>
      <c r="J1931">
        <f>IF(OR($B1931&lt;&gt;2,$G1931=""),"",COUNTIFS(LdAParty,$A1931,LdAType,2,LdAKey,"&lt;"&amp;$G1931)+1)</f>
        <v/>
      </c>
      <c r="K1931">
        <f>IF($J1931="","",$A1931&amp;"|"&amp;RIGHT("000000"&amp;$J1931,6))</f>
        <v/>
      </c>
      <c r="L1931">
        <f>IF($A1931="","",IF(Wages!$G1934="",0,Wages!$G1934))</f>
        <v/>
      </c>
      <c r="M1931">
        <f>IF($A1931="","",Wages!$J1934)</f>
        <v/>
      </c>
      <c r="N1931">
        <f>IF($A1931="","",Wages!$D1934)</f>
        <v/>
      </c>
      <c r="P1931">
        <f>IF(OR(Shares!$B1934="",Shares!$C1934=""),"",Shares!$C1934)</f>
        <v/>
      </c>
      <c r="Q1931">
        <f>IF($P1931="","",Shares!$B1934)</f>
        <v/>
      </c>
      <c r="R1931">
        <f>IF($P1931="","",IFERROR(INDEX(WageParty,MATCH($Q1931,WageIds,0)),""))</f>
        <v/>
      </c>
      <c r="S1931">
        <f>IF($P1931="","",IFERROR(INDEX($F$6:$F$2005,MATCH($Q1931,WageIds,0)),""))</f>
        <v/>
      </c>
      <c r="T1931">
        <f>IF(OR($P1931="",$S1931="",$S1931="نامعتبر"),"",LEFT($S1931,4)&amp;MID($S1931,6,2)&amp;RIGHT($S1931,2)&amp;"0000"&amp;"|"&amp;"2"&amp;RIGHT("00000"&amp;1926,5))</f>
        <v/>
      </c>
      <c r="U1931">
        <f>IF($T1931="","",COUNTIFS(LdAParty,$P1931,LdAType,1,LdAKey,"&lt;"&amp;$T1931)+COUNTIFS(LdBMember,$P1931,LdBKey,"&lt;"&amp;$T1931)+COUNTIFS(LdCParty,$P1931,LdCKey,"&lt;"&amp;$T1931)+1)</f>
        <v/>
      </c>
      <c r="V1931">
        <f>IF($U1931="","",$P1931&amp;"|"&amp;RIGHT("000000"&amp;$U1931,6))</f>
        <v/>
      </c>
      <c r="W1931">
        <f>IF($T1931="","",COUNTIFS(LdBGroup,$R1931,LdBKey,"&lt;"&amp;$T1931)+1)</f>
        <v/>
      </c>
      <c r="X1931">
        <f>IF($W1931="","",$R1931&amp;"|"&amp;RIGHT("000000"&amp;$W1931,6))</f>
        <v/>
      </c>
      <c r="Y1931">
        <f>IF($P1931="","",IF(Shares!$E1934="",0,Shares!$E1934))</f>
        <v/>
      </c>
      <c r="Z1931">
        <f>IF($P1931="","",Shares!$H1934)</f>
        <v/>
      </c>
      <c r="AE1931">
        <f>IF(OR(Sync!$S1931="",Sync!$P1931=""),"",Sync!$S1931)</f>
        <v/>
      </c>
      <c r="AF1931">
        <f>IF($AE1931="","",IF(ISNUMBER(Sync!$P1931),IF(AND(Sync!$P1931&gt;=10000101,Sync!$P1931&lt;=99991231),INT(Sync!$P1931/10000),""),IFERROR(VALUE(TRIM(LEFT(Sync!$P1931,FIND("/",Sync!$P1931)-1))),"")))</f>
        <v/>
      </c>
      <c r="AG1931">
        <f>IF(OR($AE1931="",$AF1931=""),"",IF(ISNUMBER(Sync!$P1931),INT(MOD(Sync!$P1931,10000)/100),IFERROR(VALUE(TRIM(LEFT(MID(Sync!$P1931,FIND("/",Sync!$P1931)+1,20),FIND("/",MID(Sync!$P1931,FIND("/",Sync!$P1931)+1,20))-1))),"")))</f>
        <v/>
      </c>
      <c r="AH1931">
        <f>IF(OR($AE1931="",$AF1931=""),"",IF(ISNUMBER(Sync!$P1931),MOD(Sync!$P1931,100),IFERROR(VALUE(TRIM(MID(MID(Sync!$P1931,FIND("/",Sync!$P1931)+1,20),FIND("/",MID(Sync!$P1931,FIND("/",Sync!$P1931)+1,20))+1,20))),"")))</f>
        <v/>
      </c>
      <c r="AI1931">
        <f>IF($AE1931="","",IF(OR($AF1931="",$AG1931="",$AH1931="",$AF1931&lt;1300,$AF1931&gt;1500,$AG1931&lt;1,$AG1931&gt;12,$AH1931&lt;1,$AH1931&gt;31),"نامعتبر",RIGHT("0000"&amp;$AF1931,4)&amp;"/"&amp;RIGHT("00"&amp;$AG1931,2)&amp;"/"&amp;RIGHT("00"&amp;$AH1931,2)))</f>
        <v/>
      </c>
      <c r="AJ1931">
        <f>IF($AE1931="","",IF(Sync!$Q1931="","0000",IF(AND(ISNUMBER(Sync!$Q1931),Sync!$Q1931&gt;=0,Sync!$Q1931&lt;1),RIGHT("00"&amp;HOUR(Sync!$Q1931),2)&amp;RIGHT("00"&amp;MINUTE(Sync!$Q1931),2),IFERROR(RIGHT("00"&amp;VALUE(LEFT(Sync!$Q1931,FIND(":",Sync!$Q1931)-1)),2)&amp;RIGHT("00"&amp;VALUE(MID(Sync!$Q1931,FIND(":",Sync!$Q1931)+1,2)),2),"0000"))))</f>
        <v/>
      </c>
      <c r="AK1931">
        <f>IF(OR($AE1931="",$AI1931="",$AI1931="نامعتبر"),"",LEFT($AI1931,4)&amp;MID($AI1931,6,2)&amp;RIGHT($AI1931,2)&amp;$AJ1931&amp;"|"&amp;"3"&amp;RIGHT("00000"&amp;1926,5))</f>
        <v/>
      </c>
      <c r="AL1931">
        <f>IF($AK1931="","",COUNTIFS(LdAParty,$AE1931,LdAType,1,LdAKey,"&lt;"&amp;$AK1931)+COUNTIFS(LdBMember,$AE1931,LdBKey,"&lt;"&amp;$AK1931)+COUNTIFS(LdCParty,$AE1931,LdCKey,"&lt;"&amp;$AK1931)+1)</f>
        <v/>
      </c>
      <c r="AM1931">
        <f>IF($AL1931="","",$AE1931&amp;"|"&amp;RIGHT("000000"&amp;$AL1931,6))</f>
        <v/>
      </c>
      <c r="AN1931">
        <f>IF($AE1931="","",IF(Sync!$W1931="",0,Sync!$W1931))</f>
        <v/>
      </c>
      <c r="AO1931">
        <f>IF($AE1931="","",IF(Sync!$X1931="",0,Sync!$X1931))</f>
        <v/>
      </c>
      <c r="AP1931">
        <f>IF($AE1931="","",Sync!$R1931)</f>
        <v/>
      </c>
      <c r="AQ1931">
        <f>IF($AE1931="","",Sync!$Y1931)</f>
        <v/>
      </c>
    </row>
    <row r="1932">
      <c r="A1932">
        <f>IF(OR(Wages!$B1935="",Wages!$E1935=""),"",Wages!$E1935)</f>
        <v/>
      </c>
      <c r="B1932">
        <f>IF($A1932="","",IF(Wages!$C1935="دستمزد گروهی",2,1))</f>
        <v/>
      </c>
      <c r="C1932">
        <f>IF($A1932="","",IF(ISNUMBER(Wages!$B1935),IF(AND(Wages!$B1935&gt;=10000101,Wages!$B1935&lt;=99991231),INT(Wages!$B1935/10000),""),IFERROR(VALUE(TRIM(LEFT(Wages!$B1935,FIND("/",Wages!$B1935)-1))),"")))</f>
        <v/>
      </c>
      <c r="D1932">
        <f>IF(OR($A1932="",$C1932=""),"",IF(ISNUMBER(Wages!$B1935),INT(MOD(Wages!$B1935,10000)/100),IFERROR(VALUE(TRIM(LEFT(MID(Wages!$B1935,FIND("/",Wages!$B1935)+1,20),FIND("/",MID(Wages!$B1935,FIND("/",Wages!$B1935)+1,20))-1))),"")))</f>
        <v/>
      </c>
      <c r="E1932">
        <f>IF(OR($A1932="",$C1932=""),"",IF(ISNUMBER(Wages!$B1935),MOD(Wages!$B1935,100),IFERROR(VALUE(TRIM(MID(MID(Wages!$B1935,FIND("/",Wages!$B1935)+1,20),FIND("/",MID(Wages!$B1935,FIND("/",Wages!$B1935)+1,20))+1,20))),"")))</f>
        <v/>
      </c>
      <c r="F1932">
        <f>IF($A1932="","",IF(OR($C1932="",$D1932="",$E1932="",$C1932&lt;1300,$C1932&gt;1500,$D1932&lt;1,$D1932&gt;12,$E1932&lt;1,$E1932&gt;31),"نامعتبر",RIGHT("0000"&amp;$C1932,4)&amp;"/"&amp;RIGHT("00"&amp;$D1932,2)&amp;"/"&amp;RIGHT("00"&amp;$E1932,2)))</f>
        <v/>
      </c>
      <c r="G1932">
        <f>IF(OR($A1932="",$F1932="",$F1932="نامعتبر"),"",LEFT($F1932,4)&amp;MID($F1932,6,2)&amp;RIGHT($F1932,2)&amp;"0000"&amp;"|"&amp;"1"&amp;RIGHT("00000"&amp;1927,5))</f>
        <v/>
      </c>
      <c r="H1932">
        <f>IF(OR($B1932&lt;&gt;1,$G1932=""),"",COUNTIFS(LdAParty,$A1932,LdAType,1,LdAKey,"&lt;"&amp;$G1932)+COUNTIFS(LdBMember,$A1932,LdBKey,"&lt;"&amp;$G1932)+COUNTIFS(LdCParty,$A1932,LdCKey,"&lt;"&amp;$G1932)+1)</f>
        <v/>
      </c>
      <c r="I1932">
        <f>IF($H1932="","",$A1932&amp;"|"&amp;RIGHT("000000"&amp;$H1932,6))</f>
        <v/>
      </c>
      <c r="J1932">
        <f>IF(OR($B1932&lt;&gt;2,$G1932=""),"",COUNTIFS(LdAParty,$A1932,LdAType,2,LdAKey,"&lt;"&amp;$G1932)+1)</f>
        <v/>
      </c>
      <c r="K1932">
        <f>IF($J1932="","",$A1932&amp;"|"&amp;RIGHT("000000"&amp;$J1932,6))</f>
        <v/>
      </c>
      <c r="L1932">
        <f>IF($A1932="","",IF(Wages!$G1935="",0,Wages!$G1935))</f>
        <v/>
      </c>
      <c r="M1932">
        <f>IF($A1932="","",Wages!$J1935)</f>
        <v/>
      </c>
      <c r="N1932">
        <f>IF($A1932="","",Wages!$D1935)</f>
        <v/>
      </c>
      <c r="P1932">
        <f>IF(OR(Shares!$B1935="",Shares!$C1935=""),"",Shares!$C1935)</f>
        <v/>
      </c>
      <c r="Q1932">
        <f>IF($P1932="","",Shares!$B1935)</f>
        <v/>
      </c>
      <c r="R1932">
        <f>IF($P1932="","",IFERROR(INDEX(WageParty,MATCH($Q1932,WageIds,0)),""))</f>
        <v/>
      </c>
      <c r="S1932">
        <f>IF($P1932="","",IFERROR(INDEX($F$6:$F$2005,MATCH($Q1932,WageIds,0)),""))</f>
        <v/>
      </c>
      <c r="T1932">
        <f>IF(OR($P1932="",$S1932="",$S1932="نامعتبر"),"",LEFT($S1932,4)&amp;MID($S1932,6,2)&amp;RIGHT($S1932,2)&amp;"0000"&amp;"|"&amp;"2"&amp;RIGHT("00000"&amp;1927,5))</f>
        <v/>
      </c>
      <c r="U1932">
        <f>IF($T1932="","",COUNTIFS(LdAParty,$P1932,LdAType,1,LdAKey,"&lt;"&amp;$T1932)+COUNTIFS(LdBMember,$P1932,LdBKey,"&lt;"&amp;$T1932)+COUNTIFS(LdCParty,$P1932,LdCKey,"&lt;"&amp;$T1932)+1)</f>
        <v/>
      </c>
      <c r="V1932">
        <f>IF($U1932="","",$P1932&amp;"|"&amp;RIGHT("000000"&amp;$U1932,6))</f>
        <v/>
      </c>
      <c r="W1932">
        <f>IF($T1932="","",COUNTIFS(LdBGroup,$R1932,LdBKey,"&lt;"&amp;$T1932)+1)</f>
        <v/>
      </c>
      <c r="X1932">
        <f>IF($W1932="","",$R1932&amp;"|"&amp;RIGHT("000000"&amp;$W1932,6))</f>
        <v/>
      </c>
      <c r="Y1932">
        <f>IF($P1932="","",IF(Shares!$E1935="",0,Shares!$E1935))</f>
        <v/>
      </c>
      <c r="Z1932">
        <f>IF($P1932="","",Shares!$H1935)</f>
        <v/>
      </c>
      <c r="AE1932">
        <f>IF(OR(Sync!$S1932="",Sync!$P1932=""),"",Sync!$S1932)</f>
        <v/>
      </c>
      <c r="AF1932">
        <f>IF($AE1932="","",IF(ISNUMBER(Sync!$P1932),IF(AND(Sync!$P1932&gt;=10000101,Sync!$P1932&lt;=99991231),INT(Sync!$P1932/10000),""),IFERROR(VALUE(TRIM(LEFT(Sync!$P1932,FIND("/",Sync!$P1932)-1))),"")))</f>
        <v/>
      </c>
      <c r="AG1932">
        <f>IF(OR($AE1932="",$AF1932=""),"",IF(ISNUMBER(Sync!$P1932),INT(MOD(Sync!$P1932,10000)/100),IFERROR(VALUE(TRIM(LEFT(MID(Sync!$P1932,FIND("/",Sync!$P1932)+1,20),FIND("/",MID(Sync!$P1932,FIND("/",Sync!$P1932)+1,20))-1))),"")))</f>
        <v/>
      </c>
      <c r="AH1932">
        <f>IF(OR($AE1932="",$AF1932=""),"",IF(ISNUMBER(Sync!$P1932),MOD(Sync!$P1932,100),IFERROR(VALUE(TRIM(MID(MID(Sync!$P1932,FIND("/",Sync!$P1932)+1,20),FIND("/",MID(Sync!$P1932,FIND("/",Sync!$P1932)+1,20))+1,20))),"")))</f>
        <v/>
      </c>
      <c r="AI1932">
        <f>IF($AE1932="","",IF(OR($AF1932="",$AG1932="",$AH1932="",$AF1932&lt;1300,$AF1932&gt;1500,$AG1932&lt;1,$AG1932&gt;12,$AH1932&lt;1,$AH1932&gt;31),"نامعتبر",RIGHT("0000"&amp;$AF1932,4)&amp;"/"&amp;RIGHT("00"&amp;$AG1932,2)&amp;"/"&amp;RIGHT("00"&amp;$AH1932,2)))</f>
        <v/>
      </c>
      <c r="AJ1932">
        <f>IF($AE1932="","",IF(Sync!$Q1932="","0000",IF(AND(ISNUMBER(Sync!$Q1932),Sync!$Q1932&gt;=0,Sync!$Q1932&lt;1),RIGHT("00"&amp;HOUR(Sync!$Q1932),2)&amp;RIGHT("00"&amp;MINUTE(Sync!$Q1932),2),IFERROR(RIGHT("00"&amp;VALUE(LEFT(Sync!$Q1932,FIND(":",Sync!$Q1932)-1)),2)&amp;RIGHT("00"&amp;VALUE(MID(Sync!$Q1932,FIND(":",Sync!$Q1932)+1,2)),2),"0000"))))</f>
        <v/>
      </c>
      <c r="AK1932">
        <f>IF(OR($AE1932="",$AI1932="",$AI1932="نامعتبر"),"",LEFT($AI1932,4)&amp;MID($AI1932,6,2)&amp;RIGHT($AI1932,2)&amp;$AJ1932&amp;"|"&amp;"3"&amp;RIGHT("00000"&amp;1927,5))</f>
        <v/>
      </c>
      <c r="AL1932">
        <f>IF($AK1932="","",COUNTIFS(LdAParty,$AE1932,LdAType,1,LdAKey,"&lt;"&amp;$AK1932)+COUNTIFS(LdBMember,$AE1932,LdBKey,"&lt;"&amp;$AK1932)+COUNTIFS(LdCParty,$AE1932,LdCKey,"&lt;"&amp;$AK1932)+1)</f>
        <v/>
      </c>
      <c r="AM1932">
        <f>IF($AL1932="","",$AE1932&amp;"|"&amp;RIGHT("000000"&amp;$AL1932,6))</f>
        <v/>
      </c>
      <c r="AN1932">
        <f>IF($AE1932="","",IF(Sync!$W1932="",0,Sync!$W1932))</f>
        <v/>
      </c>
      <c r="AO1932">
        <f>IF($AE1932="","",IF(Sync!$X1932="",0,Sync!$X1932))</f>
        <v/>
      </c>
      <c r="AP1932">
        <f>IF($AE1932="","",Sync!$R1932)</f>
        <v/>
      </c>
      <c r="AQ1932">
        <f>IF($AE1932="","",Sync!$Y1932)</f>
        <v/>
      </c>
    </row>
    <row r="1933">
      <c r="A1933">
        <f>IF(OR(Wages!$B1936="",Wages!$E1936=""),"",Wages!$E1936)</f>
        <v/>
      </c>
      <c r="B1933">
        <f>IF($A1933="","",IF(Wages!$C1936="دستمزد گروهی",2,1))</f>
        <v/>
      </c>
      <c r="C1933">
        <f>IF($A1933="","",IF(ISNUMBER(Wages!$B1936),IF(AND(Wages!$B1936&gt;=10000101,Wages!$B1936&lt;=99991231),INT(Wages!$B1936/10000),""),IFERROR(VALUE(TRIM(LEFT(Wages!$B1936,FIND("/",Wages!$B1936)-1))),"")))</f>
        <v/>
      </c>
      <c r="D1933">
        <f>IF(OR($A1933="",$C1933=""),"",IF(ISNUMBER(Wages!$B1936),INT(MOD(Wages!$B1936,10000)/100),IFERROR(VALUE(TRIM(LEFT(MID(Wages!$B1936,FIND("/",Wages!$B1936)+1,20),FIND("/",MID(Wages!$B1936,FIND("/",Wages!$B1936)+1,20))-1))),"")))</f>
        <v/>
      </c>
      <c r="E1933">
        <f>IF(OR($A1933="",$C1933=""),"",IF(ISNUMBER(Wages!$B1936),MOD(Wages!$B1936,100),IFERROR(VALUE(TRIM(MID(MID(Wages!$B1936,FIND("/",Wages!$B1936)+1,20),FIND("/",MID(Wages!$B1936,FIND("/",Wages!$B1936)+1,20))+1,20))),"")))</f>
        <v/>
      </c>
      <c r="F1933">
        <f>IF($A1933="","",IF(OR($C1933="",$D1933="",$E1933="",$C1933&lt;1300,$C1933&gt;1500,$D1933&lt;1,$D1933&gt;12,$E1933&lt;1,$E1933&gt;31),"نامعتبر",RIGHT("0000"&amp;$C1933,4)&amp;"/"&amp;RIGHT("00"&amp;$D1933,2)&amp;"/"&amp;RIGHT("00"&amp;$E1933,2)))</f>
        <v/>
      </c>
      <c r="G1933">
        <f>IF(OR($A1933="",$F1933="",$F1933="نامعتبر"),"",LEFT($F1933,4)&amp;MID($F1933,6,2)&amp;RIGHT($F1933,2)&amp;"0000"&amp;"|"&amp;"1"&amp;RIGHT("00000"&amp;1928,5))</f>
        <v/>
      </c>
      <c r="H1933">
        <f>IF(OR($B1933&lt;&gt;1,$G1933=""),"",COUNTIFS(LdAParty,$A1933,LdAType,1,LdAKey,"&lt;"&amp;$G1933)+COUNTIFS(LdBMember,$A1933,LdBKey,"&lt;"&amp;$G1933)+COUNTIFS(LdCParty,$A1933,LdCKey,"&lt;"&amp;$G1933)+1)</f>
        <v/>
      </c>
      <c r="I1933">
        <f>IF($H1933="","",$A1933&amp;"|"&amp;RIGHT("000000"&amp;$H1933,6))</f>
        <v/>
      </c>
      <c r="J1933">
        <f>IF(OR($B1933&lt;&gt;2,$G1933=""),"",COUNTIFS(LdAParty,$A1933,LdAType,2,LdAKey,"&lt;"&amp;$G1933)+1)</f>
        <v/>
      </c>
      <c r="K1933">
        <f>IF($J1933="","",$A1933&amp;"|"&amp;RIGHT("000000"&amp;$J1933,6))</f>
        <v/>
      </c>
      <c r="L1933">
        <f>IF($A1933="","",IF(Wages!$G1936="",0,Wages!$G1936))</f>
        <v/>
      </c>
      <c r="M1933">
        <f>IF($A1933="","",Wages!$J1936)</f>
        <v/>
      </c>
      <c r="N1933">
        <f>IF($A1933="","",Wages!$D1936)</f>
        <v/>
      </c>
      <c r="P1933">
        <f>IF(OR(Shares!$B1936="",Shares!$C1936=""),"",Shares!$C1936)</f>
        <v/>
      </c>
      <c r="Q1933">
        <f>IF($P1933="","",Shares!$B1936)</f>
        <v/>
      </c>
      <c r="R1933">
        <f>IF($P1933="","",IFERROR(INDEX(WageParty,MATCH($Q1933,WageIds,0)),""))</f>
        <v/>
      </c>
      <c r="S1933">
        <f>IF($P1933="","",IFERROR(INDEX($F$6:$F$2005,MATCH($Q1933,WageIds,0)),""))</f>
        <v/>
      </c>
      <c r="T1933">
        <f>IF(OR($P1933="",$S1933="",$S1933="نامعتبر"),"",LEFT($S1933,4)&amp;MID($S1933,6,2)&amp;RIGHT($S1933,2)&amp;"0000"&amp;"|"&amp;"2"&amp;RIGHT("00000"&amp;1928,5))</f>
        <v/>
      </c>
      <c r="U1933">
        <f>IF($T1933="","",COUNTIFS(LdAParty,$P1933,LdAType,1,LdAKey,"&lt;"&amp;$T1933)+COUNTIFS(LdBMember,$P1933,LdBKey,"&lt;"&amp;$T1933)+COUNTIFS(LdCParty,$P1933,LdCKey,"&lt;"&amp;$T1933)+1)</f>
        <v/>
      </c>
      <c r="V1933">
        <f>IF($U1933="","",$P1933&amp;"|"&amp;RIGHT("000000"&amp;$U1933,6))</f>
        <v/>
      </c>
      <c r="W1933">
        <f>IF($T1933="","",COUNTIFS(LdBGroup,$R1933,LdBKey,"&lt;"&amp;$T1933)+1)</f>
        <v/>
      </c>
      <c r="X1933">
        <f>IF($W1933="","",$R1933&amp;"|"&amp;RIGHT("000000"&amp;$W1933,6))</f>
        <v/>
      </c>
      <c r="Y1933">
        <f>IF($P1933="","",IF(Shares!$E1936="",0,Shares!$E1936))</f>
        <v/>
      </c>
      <c r="Z1933">
        <f>IF($P1933="","",Shares!$H1936)</f>
        <v/>
      </c>
      <c r="AE1933">
        <f>IF(OR(Sync!$S1933="",Sync!$P1933=""),"",Sync!$S1933)</f>
        <v/>
      </c>
      <c r="AF1933">
        <f>IF($AE1933="","",IF(ISNUMBER(Sync!$P1933),IF(AND(Sync!$P1933&gt;=10000101,Sync!$P1933&lt;=99991231),INT(Sync!$P1933/10000),""),IFERROR(VALUE(TRIM(LEFT(Sync!$P1933,FIND("/",Sync!$P1933)-1))),"")))</f>
        <v/>
      </c>
      <c r="AG1933">
        <f>IF(OR($AE1933="",$AF1933=""),"",IF(ISNUMBER(Sync!$P1933),INT(MOD(Sync!$P1933,10000)/100),IFERROR(VALUE(TRIM(LEFT(MID(Sync!$P1933,FIND("/",Sync!$P1933)+1,20),FIND("/",MID(Sync!$P1933,FIND("/",Sync!$P1933)+1,20))-1))),"")))</f>
        <v/>
      </c>
      <c r="AH1933">
        <f>IF(OR($AE1933="",$AF1933=""),"",IF(ISNUMBER(Sync!$P1933),MOD(Sync!$P1933,100),IFERROR(VALUE(TRIM(MID(MID(Sync!$P1933,FIND("/",Sync!$P1933)+1,20),FIND("/",MID(Sync!$P1933,FIND("/",Sync!$P1933)+1,20))+1,20))),"")))</f>
        <v/>
      </c>
      <c r="AI1933">
        <f>IF($AE1933="","",IF(OR($AF1933="",$AG1933="",$AH1933="",$AF1933&lt;1300,$AF1933&gt;1500,$AG1933&lt;1,$AG1933&gt;12,$AH1933&lt;1,$AH1933&gt;31),"نامعتبر",RIGHT("0000"&amp;$AF1933,4)&amp;"/"&amp;RIGHT("00"&amp;$AG1933,2)&amp;"/"&amp;RIGHT("00"&amp;$AH1933,2)))</f>
        <v/>
      </c>
      <c r="AJ1933">
        <f>IF($AE1933="","",IF(Sync!$Q1933="","0000",IF(AND(ISNUMBER(Sync!$Q1933),Sync!$Q1933&gt;=0,Sync!$Q1933&lt;1),RIGHT("00"&amp;HOUR(Sync!$Q1933),2)&amp;RIGHT("00"&amp;MINUTE(Sync!$Q1933),2),IFERROR(RIGHT("00"&amp;VALUE(LEFT(Sync!$Q1933,FIND(":",Sync!$Q1933)-1)),2)&amp;RIGHT("00"&amp;VALUE(MID(Sync!$Q1933,FIND(":",Sync!$Q1933)+1,2)),2),"0000"))))</f>
        <v/>
      </c>
      <c r="AK1933">
        <f>IF(OR($AE1933="",$AI1933="",$AI1933="نامعتبر"),"",LEFT($AI1933,4)&amp;MID($AI1933,6,2)&amp;RIGHT($AI1933,2)&amp;$AJ1933&amp;"|"&amp;"3"&amp;RIGHT("00000"&amp;1928,5))</f>
        <v/>
      </c>
      <c r="AL1933">
        <f>IF($AK1933="","",COUNTIFS(LdAParty,$AE1933,LdAType,1,LdAKey,"&lt;"&amp;$AK1933)+COUNTIFS(LdBMember,$AE1933,LdBKey,"&lt;"&amp;$AK1933)+COUNTIFS(LdCParty,$AE1933,LdCKey,"&lt;"&amp;$AK1933)+1)</f>
        <v/>
      </c>
      <c r="AM1933">
        <f>IF($AL1933="","",$AE1933&amp;"|"&amp;RIGHT("000000"&amp;$AL1933,6))</f>
        <v/>
      </c>
      <c r="AN1933">
        <f>IF($AE1933="","",IF(Sync!$W1933="",0,Sync!$W1933))</f>
        <v/>
      </c>
      <c r="AO1933">
        <f>IF($AE1933="","",IF(Sync!$X1933="",0,Sync!$X1933))</f>
        <v/>
      </c>
      <c r="AP1933">
        <f>IF($AE1933="","",Sync!$R1933)</f>
        <v/>
      </c>
      <c r="AQ1933">
        <f>IF($AE1933="","",Sync!$Y1933)</f>
        <v/>
      </c>
    </row>
    <row r="1934">
      <c r="A1934">
        <f>IF(OR(Wages!$B1937="",Wages!$E1937=""),"",Wages!$E1937)</f>
        <v/>
      </c>
      <c r="B1934">
        <f>IF($A1934="","",IF(Wages!$C1937="دستمزد گروهی",2,1))</f>
        <v/>
      </c>
      <c r="C1934">
        <f>IF($A1934="","",IF(ISNUMBER(Wages!$B1937),IF(AND(Wages!$B1937&gt;=10000101,Wages!$B1937&lt;=99991231),INT(Wages!$B1937/10000),""),IFERROR(VALUE(TRIM(LEFT(Wages!$B1937,FIND("/",Wages!$B1937)-1))),"")))</f>
        <v/>
      </c>
      <c r="D1934">
        <f>IF(OR($A1934="",$C1934=""),"",IF(ISNUMBER(Wages!$B1937),INT(MOD(Wages!$B1937,10000)/100),IFERROR(VALUE(TRIM(LEFT(MID(Wages!$B1937,FIND("/",Wages!$B1937)+1,20),FIND("/",MID(Wages!$B1937,FIND("/",Wages!$B1937)+1,20))-1))),"")))</f>
        <v/>
      </c>
      <c r="E1934">
        <f>IF(OR($A1934="",$C1934=""),"",IF(ISNUMBER(Wages!$B1937),MOD(Wages!$B1937,100),IFERROR(VALUE(TRIM(MID(MID(Wages!$B1937,FIND("/",Wages!$B1937)+1,20),FIND("/",MID(Wages!$B1937,FIND("/",Wages!$B1937)+1,20))+1,20))),"")))</f>
        <v/>
      </c>
      <c r="F1934">
        <f>IF($A1934="","",IF(OR($C1934="",$D1934="",$E1934="",$C1934&lt;1300,$C1934&gt;1500,$D1934&lt;1,$D1934&gt;12,$E1934&lt;1,$E1934&gt;31),"نامعتبر",RIGHT("0000"&amp;$C1934,4)&amp;"/"&amp;RIGHT("00"&amp;$D1934,2)&amp;"/"&amp;RIGHT("00"&amp;$E1934,2)))</f>
        <v/>
      </c>
      <c r="G1934">
        <f>IF(OR($A1934="",$F1934="",$F1934="نامعتبر"),"",LEFT($F1934,4)&amp;MID($F1934,6,2)&amp;RIGHT($F1934,2)&amp;"0000"&amp;"|"&amp;"1"&amp;RIGHT("00000"&amp;1929,5))</f>
        <v/>
      </c>
      <c r="H1934">
        <f>IF(OR($B1934&lt;&gt;1,$G1934=""),"",COUNTIFS(LdAParty,$A1934,LdAType,1,LdAKey,"&lt;"&amp;$G1934)+COUNTIFS(LdBMember,$A1934,LdBKey,"&lt;"&amp;$G1934)+COUNTIFS(LdCParty,$A1934,LdCKey,"&lt;"&amp;$G1934)+1)</f>
        <v/>
      </c>
      <c r="I1934">
        <f>IF($H1934="","",$A1934&amp;"|"&amp;RIGHT("000000"&amp;$H1934,6))</f>
        <v/>
      </c>
      <c r="J1934">
        <f>IF(OR($B1934&lt;&gt;2,$G1934=""),"",COUNTIFS(LdAParty,$A1934,LdAType,2,LdAKey,"&lt;"&amp;$G1934)+1)</f>
        <v/>
      </c>
      <c r="K1934">
        <f>IF($J1934="","",$A1934&amp;"|"&amp;RIGHT("000000"&amp;$J1934,6))</f>
        <v/>
      </c>
      <c r="L1934">
        <f>IF($A1934="","",IF(Wages!$G1937="",0,Wages!$G1937))</f>
        <v/>
      </c>
      <c r="M1934">
        <f>IF($A1934="","",Wages!$J1937)</f>
        <v/>
      </c>
      <c r="N1934">
        <f>IF($A1934="","",Wages!$D1937)</f>
        <v/>
      </c>
      <c r="P1934">
        <f>IF(OR(Shares!$B1937="",Shares!$C1937=""),"",Shares!$C1937)</f>
        <v/>
      </c>
      <c r="Q1934">
        <f>IF($P1934="","",Shares!$B1937)</f>
        <v/>
      </c>
      <c r="R1934">
        <f>IF($P1934="","",IFERROR(INDEX(WageParty,MATCH($Q1934,WageIds,0)),""))</f>
        <v/>
      </c>
      <c r="S1934">
        <f>IF($P1934="","",IFERROR(INDEX($F$6:$F$2005,MATCH($Q1934,WageIds,0)),""))</f>
        <v/>
      </c>
      <c r="T1934">
        <f>IF(OR($P1934="",$S1934="",$S1934="نامعتبر"),"",LEFT($S1934,4)&amp;MID($S1934,6,2)&amp;RIGHT($S1934,2)&amp;"0000"&amp;"|"&amp;"2"&amp;RIGHT("00000"&amp;1929,5))</f>
        <v/>
      </c>
      <c r="U1934">
        <f>IF($T1934="","",COUNTIFS(LdAParty,$P1934,LdAType,1,LdAKey,"&lt;"&amp;$T1934)+COUNTIFS(LdBMember,$P1934,LdBKey,"&lt;"&amp;$T1934)+COUNTIFS(LdCParty,$P1934,LdCKey,"&lt;"&amp;$T1934)+1)</f>
        <v/>
      </c>
      <c r="V1934">
        <f>IF($U1934="","",$P1934&amp;"|"&amp;RIGHT("000000"&amp;$U1934,6))</f>
        <v/>
      </c>
      <c r="W1934">
        <f>IF($T1934="","",COUNTIFS(LdBGroup,$R1934,LdBKey,"&lt;"&amp;$T1934)+1)</f>
        <v/>
      </c>
      <c r="X1934">
        <f>IF($W1934="","",$R1934&amp;"|"&amp;RIGHT("000000"&amp;$W1934,6))</f>
        <v/>
      </c>
      <c r="Y1934">
        <f>IF($P1934="","",IF(Shares!$E1937="",0,Shares!$E1937))</f>
        <v/>
      </c>
      <c r="Z1934">
        <f>IF($P1934="","",Shares!$H1937)</f>
        <v/>
      </c>
      <c r="AE1934">
        <f>IF(OR(Sync!$S1934="",Sync!$P1934=""),"",Sync!$S1934)</f>
        <v/>
      </c>
      <c r="AF1934">
        <f>IF($AE1934="","",IF(ISNUMBER(Sync!$P1934),IF(AND(Sync!$P1934&gt;=10000101,Sync!$P1934&lt;=99991231),INT(Sync!$P1934/10000),""),IFERROR(VALUE(TRIM(LEFT(Sync!$P1934,FIND("/",Sync!$P1934)-1))),"")))</f>
        <v/>
      </c>
      <c r="AG1934">
        <f>IF(OR($AE1934="",$AF1934=""),"",IF(ISNUMBER(Sync!$P1934),INT(MOD(Sync!$P1934,10000)/100),IFERROR(VALUE(TRIM(LEFT(MID(Sync!$P1934,FIND("/",Sync!$P1934)+1,20),FIND("/",MID(Sync!$P1934,FIND("/",Sync!$P1934)+1,20))-1))),"")))</f>
        <v/>
      </c>
      <c r="AH1934">
        <f>IF(OR($AE1934="",$AF1934=""),"",IF(ISNUMBER(Sync!$P1934),MOD(Sync!$P1934,100),IFERROR(VALUE(TRIM(MID(MID(Sync!$P1934,FIND("/",Sync!$P1934)+1,20),FIND("/",MID(Sync!$P1934,FIND("/",Sync!$P1934)+1,20))+1,20))),"")))</f>
        <v/>
      </c>
      <c r="AI1934">
        <f>IF($AE1934="","",IF(OR($AF1934="",$AG1934="",$AH1934="",$AF1934&lt;1300,$AF1934&gt;1500,$AG1934&lt;1,$AG1934&gt;12,$AH1934&lt;1,$AH1934&gt;31),"نامعتبر",RIGHT("0000"&amp;$AF1934,4)&amp;"/"&amp;RIGHT("00"&amp;$AG1934,2)&amp;"/"&amp;RIGHT("00"&amp;$AH1934,2)))</f>
        <v/>
      </c>
      <c r="AJ1934">
        <f>IF($AE1934="","",IF(Sync!$Q1934="","0000",IF(AND(ISNUMBER(Sync!$Q1934),Sync!$Q1934&gt;=0,Sync!$Q1934&lt;1),RIGHT("00"&amp;HOUR(Sync!$Q1934),2)&amp;RIGHT("00"&amp;MINUTE(Sync!$Q1934),2),IFERROR(RIGHT("00"&amp;VALUE(LEFT(Sync!$Q1934,FIND(":",Sync!$Q1934)-1)),2)&amp;RIGHT("00"&amp;VALUE(MID(Sync!$Q1934,FIND(":",Sync!$Q1934)+1,2)),2),"0000"))))</f>
        <v/>
      </c>
      <c r="AK1934">
        <f>IF(OR($AE1934="",$AI1934="",$AI1934="نامعتبر"),"",LEFT($AI1934,4)&amp;MID($AI1934,6,2)&amp;RIGHT($AI1934,2)&amp;$AJ1934&amp;"|"&amp;"3"&amp;RIGHT("00000"&amp;1929,5))</f>
        <v/>
      </c>
      <c r="AL1934">
        <f>IF($AK1934="","",COUNTIFS(LdAParty,$AE1934,LdAType,1,LdAKey,"&lt;"&amp;$AK1934)+COUNTIFS(LdBMember,$AE1934,LdBKey,"&lt;"&amp;$AK1934)+COUNTIFS(LdCParty,$AE1934,LdCKey,"&lt;"&amp;$AK1934)+1)</f>
        <v/>
      </c>
      <c r="AM1934">
        <f>IF($AL1934="","",$AE1934&amp;"|"&amp;RIGHT("000000"&amp;$AL1934,6))</f>
        <v/>
      </c>
      <c r="AN1934">
        <f>IF($AE1934="","",IF(Sync!$W1934="",0,Sync!$W1934))</f>
        <v/>
      </c>
      <c r="AO1934">
        <f>IF($AE1934="","",IF(Sync!$X1934="",0,Sync!$X1934))</f>
        <v/>
      </c>
      <c r="AP1934">
        <f>IF($AE1934="","",Sync!$R1934)</f>
        <v/>
      </c>
      <c r="AQ1934">
        <f>IF($AE1934="","",Sync!$Y1934)</f>
        <v/>
      </c>
    </row>
    <row r="1935">
      <c r="A1935">
        <f>IF(OR(Wages!$B1938="",Wages!$E1938=""),"",Wages!$E1938)</f>
        <v/>
      </c>
      <c r="B1935">
        <f>IF($A1935="","",IF(Wages!$C1938="دستمزد گروهی",2,1))</f>
        <v/>
      </c>
      <c r="C1935">
        <f>IF($A1935="","",IF(ISNUMBER(Wages!$B1938),IF(AND(Wages!$B1938&gt;=10000101,Wages!$B1938&lt;=99991231),INT(Wages!$B1938/10000),""),IFERROR(VALUE(TRIM(LEFT(Wages!$B1938,FIND("/",Wages!$B1938)-1))),"")))</f>
        <v/>
      </c>
      <c r="D1935">
        <f>IF(OR($A1935="",$C1935=""),"",IF(ISNUMBER(Wages!$B1938),INT(MOD(Wages!$B1938,10000)/100),IFERROR(VALUE(TRIM(LEFT(MID(Wages!$B1938,FIND("/",Wages!$B1938)+1,20),FIND("/",MID(Wages!$B1938,FIND("/",Wages!$B1938)+1,20))-1))),"")))</f>
        <v/>
      </c>
      <c r="E1935">
        <f>IF(OR($A1935="",$C1935=""),"",IF(ISNUMBER(Wages!$B1938),MOD(Wages!$B1938,100),IFERROR(VALUE(TRIM(MID(MID(Wages!$B1938,FIND("/",Wages!$B1938)+1,20),FIND("/",MID(Wages!$B1938,FIND("/",Wages!$B1938)+1,20))+1,20))),"")))</f>
        <v/>
      </c>
      <c r="F1935">
        <f>IF($A1935="","",IF(OR($C1935="",$D1935="",$E1935="",$C1935&lt;1300,$C1935&gt;1500,$D1935&lt;1,$D1935&gt;12,$E1935&lt;1,$E1935&gt;31),"نامعتبر",RIGHT("0000"&amp;$C1935,4)&amp;"/"&amp;RIGHT("00"&amp;$D1935,2)&amp;"/"&amp;RIGHT("00"&amp;$E1935,2)))</f>
        <v/>
      </c>
      <c r="G1935">
        <f>IF(OR($A1935="",$F1935="",$F1935="نامعتبر"),"",LEFT($F1935,4)&amp;MID($F1935,6,2)&amp;RIGHT($F1935,2)&amp;"0000"&amp;"|"&amp;"1"&amp;RIGHT("00000"&amp;1930,5))</f>
        <v/>
      </c>
      <c r="H1935">
        <f>IF(OR($B1935&lt;&gt;1,$G1935=""),"",COUNTIFS(LdAParty,$A1935,LdAType,1,LdAKey,"&lt;"&amp;$G1935)+COUNTIFS(LdBMember,$A1935,LdBKey,"&lt;"&amp;$G1935)+COUNTIFS(LdCParty,$A1935,LdCKey,"&lt;"&amp;$G1935)+1)</f>
        <v/>
      </c>
      <c r="I1935">
        <f>IF($H1935="","",$A1935&amp;"|"&amp;RIGHT("000000"&amp;$H1935,6))</f>
        <v/>
      </c>
      <c r="J1935">
        <f>IF(OR($B1935&lt;&gt;2,$G1935=""),"",COUNTIFS(LdAParty,$A1935,LdAType,2,LdAKey,"&lt;"&amp;$G1935)+1)</f>
        <v/>
      </c>
      <c r="K1935">
        <f>IF($J1935="","",$A1935&amp;"|"&amp;RIGHT("000000"&amp;$J1935,6))</f>
        <v/>
      </c>
      <c r="L1935">
        <f>IF($A1935="","",IF(Wages!$G1938="",0,Wages!$G1938))</f>
        <v/>
      </c>
      <c r="M1935">
        <f>IF($A1935="","",Wages!$J1938)</f>
        <v/>
      </c>
      <c r="N1935">
        <f>IF($A1935="","",Wages!$D1938)</f>
        <v/>
      </c>
      <c r="P1935">
        <f>IF(OR(Shares!$B1938="",Shares!$C1938=""),"",Shares!$C1938)</f>
        <v/>
      </c>
      <c r="Q1935">
        <f>IF($P1935="","",Shares!$B1938)</f>
        <v/>
      </c>
      <c r="R1935">
        <f>IF($P1935="","",IFERROR(INDEX(WageParty,MATCH($Q1935,WageIds,0)),""))</f>
        <v/>
      </c>
      <c r="S1935">
        <f>IF($P1935="","",IFERROR(INDEX($F$6:$F$2005,MATCH($Q1935,WageIds,0)),""))</f>
        <v/>
      </c>
      <c r="T1935">
        <f>IF(OR($P1935="",$S1935="",$S1935="نامعتبر"),"",LEFT($S1935,4)&amp;MID($S1935,6,2)&amp;RIGHT($S1935,2)&amp;"0000"&amp;"|"&amp;"2"&amp;RIGHT("00000"&amp;1930,5))</f>
        <v/>
      </c>
      <c r="U1935">
        <f>IF($T1935="","",COUNTIFS(LdAParty,$P1935,LdAType,1,LdAKey,"&lt;"&amp;$T1935)+COUNTIFS(LdBMember,$P1935,LdBKey,"&lt;"&amp;$T1935)+COUNTIFS(LdCParty,$P1935,LdCKey,"&lt;"&amp;$T1935)+1)</f>
        <v/>
      </c>
      <c r="V1935">
        <f>IF($U1935="","",$P1935&amp;"|"&amp;RIGHT("000000"&amp;$U1935,6))</f>
        <v/>
      </c>
      <c r="W1935">
        <f>IF($T1935="","",COUNTIFS(LdBGroup,$R1935,LdBKey,"&lt;"&amp;$T1935)+1)</f>
        <v/>
      </c>
      <c r="X1935">
        <f>IF($W1935="","",$R1935&amp;"|"&amp;RIGHT("000000"&amp;$W1935,6))</f>
        <v/>
      </c>
      <c r="Y1935">
        <f>IF($P1935="","",IF(Shares!$E1938="",0,Shares!$E1938))</f>
        <v/>
      </c>
      <c r="Z1935">
        <f>IF($P1935="","",Shares!$H1938)</f>
        <v/>
      </c>
      <c r="AE1935">
        <f>IF(OR(Sync!$S1935="",Sync!$P1935=""),"",Sync!$S1935)</f>
        <v/>
      </c>
      <c r="AF1935">
        <f>IF($AE1935="","",IF(ISNUMBER(Sync!$P1935),IF(AND(Sync!$P1935&gt;=10000101,Sync!$P1935&lt;=99991231),INT(Sync!$P1935/10000),""),IFERROR(VALUE(TRIM(LEFT(Sync!$P1935,FIND("/",Sync!$P1935)-1))),"")))</f>
        <v/>
      </c>
      <c r="AG1935">
        <f>IF(OR($AE1935="",$AF1935=""),"",IF(ISNUMBER(Sync!$P1935),INT(MOD(Sync!$P1935,10000)/100),IFERROR(VALUE(TRIM(LEFT(MID(Sync!$P1935,FIND("/",Sync!$P1935)+1,20),FIND("/",MID(Sync!$P1935,FIND("/",Sync!$P1935)+1,20))-1))),"")))</f>
        <v/>
      </c>
      <c r="AH1935">
        <f>IF(OR($AE1935="",$AF1935=""),"",IF(ISNUMBER(Sync!$P1935),MOD(Sync!$P1935,100),IFERROR(VALUE(TRIM(MID(MID(Sync!$P1935,FIND("/",Sync!$P1935)+1,20),FIND("/",MID(Sync!$P1935,FIND("/",Sync!$P1935)+1,20))+1,20))),"")))</f>
        <v/>
      </c>
      <c r="AI1935">
        <f>IF($AE1935="","",IF(OR($AF1935="",$AG1935="",$AH1935="",$AF1935&lt;1300,$AF1935&gt;1500,$AG1935&lt;1,$AG1935&gt;12,$AH1935&lt;1,$AH1935&gt;31),"نامعتبر",RIGHT("0000"&amp;$AF1935,4)&amp;"/"&amp;RIGHT("00"&amp;$AG1935,2)&amp;"/"&amp;RIGHT("00"&amp;$AH1935,2)))</f>
        <v/>
      </c>
      <c r="AJ1935">
        <f>IF($AE1935="","",IF(Sync!$Q1935="","0000",IF(AND(ISNUMBER(Sync!$Q1935),Sync!$Q1935&gt;=0,Sync!$Q1935&lt;1),RIGHT("00"&amp;HOUR(Sync!$Q1935),2)&amp;RIGHT("00"&amp;MINUTE(Sync!$Q1935),2),IFERROR(RIGHT("00"&amp;VALUE(LEFT(Sync!$Q1935,FIND(":",Sync!$Q1935)-1)),2)&amp;RIGHT("00"&amp;VALUE(MID(Sync!$Q1935,FIND(":",Sync!$Q1935)+1,2)),2),"0000"))))</f>
        <v/>
      </c>
      <c r="AK1935">
        <f>IF(OR($AE1935="",$AI1935="",$AI1935="نامعتبر"),"",LEFT($AI1935,4)&amp;MID($AI1935,6,2)&amp;RIGHT($AI1935,2)&amp;$AJ1935&amp;"|"&amp;"3"&amp;RIGHT("00000"&amp;1930,5))</f>
        <v/>
      </c>
      <c r="AL1935">
        <f>IF($AK1935="","",COUNTIFS(LdAParty,$AE1935,LdAType,1,LdAKey,"&lt;"&amp;$AK1935)+COUNTIFS(LdBMember,$AE1935,LdBKey,"&lt;"&amp;$AK1935)+COUNTIFS(LdCParty,$AE1935,LdCKey,"&lt;"&amp;$AK1935)+1)</f>
        <v/>
      </c>
      <c r="AM1935">
        <f>IF($AL1935="","",$AE1935&amp;"|"&amp;RIGHT("000000"&amp;$AL1935,6))</f>
        <v/>
      </c>
      <c r="AN1935">
        <f>IF($AE1935="","",IF(Sync!$W1935="",0,Sync!$W1935))</f>
        <v/>
      </c>
      <c r="AO1935">
        <f>IF($AE1935="","",IF(Sync!$X1935="",0,Sync!$X1935))</f>
        <v/>
      </c>
      <c r="AP1935">
        <f>IF($AE1935="","",Sync!$R1935)</f>
        <v/>
      </c>
      <c r="AQ1935">
        <f>IF($AE1935="","",Sync!$Y1935)</f>
        <v/>
      </c>
    </row>
    <row r="1936">
      <c r="A1936">
        <f>IF(OR(Wages!$B1939="",Wages!$E1939=""),"",Wages!$E1939)</f>
        <v/>
      </c>
      <c r="B1936">
        <f>IF($A1936="","",IF(Wages!$C1939="دستمزد گروهی",2,1))</f>
        <v/>
      </c>
      <c r="C1936">
        <f>IF($A1936="","",IF(ISNUMBER(Wages!$B1939),IF(AND(Wages!$B1939&gt;=10000101,Wages!$B1939&lt;=99991231),INT(Wages!$B1939/10000),""),IFERROR(VALUE(TRIM(LEFT(Wages!$B1939,FIND("/",Wages!$B1939)-1))),"")))</f>
        <v/>
      </c>
      <c r="D1936">
        <f>IF(OR($A1936="",$C1936=""),"",IF(ISNUMBER(Wages!$B1939),INT(MOD(Wages!$B1939,10000)/100),IFERROR(VALUE(TRIM(LEFT(MID(Wages!$B1939,FIND("/",Wages!$B1939)+1,20),FIND("/",MID(Wages!$B1939,FIND("/",Wages!$B1939)+1,20))-1))),"")))</f>
        <v/>
      </c>
      <c r="E1936">
        <f>IF(OR($A1936="",$C1936=""),"",IF(ISNUMBER(Wages!$B1939),MOD(Wages!$B1939,100),IFERROR(VALUE(TRIM(MID(MID(Wages!$B1939,FIND("/",Wages!$B1939)+1,20),FIND("/",MID(Wages!$B1939,FIND("/",Wages!$B1939)+1,20))+1,20))),"")))</f>
        <v/>
      </c>
      <c r="F1936">
        <f>IF($A1936="","",IF(OR($C1936="",$D1936="",$E1936="",$C1936&lt;1300,$C1936&gt;1500,$D1936&lt;1,$D1936&gt;12,$E1936&lt;1,$E1936&gt;31),"نامعتبر",RIGHT("0000"&amp;$C1936,4)&amp;"/"&amp;RIGHT("00"&amp;$D1936,2)&amp;"/"&amp;RIGHT("00"&amp;$E1936,2)))</f>
        <v/>
      </c>
      <c r="G1936">
        <f>IF(OR($A1936="",$F1936="",$F1936="نامعتبر"),"",LEFT($F1936,4)&amp;MID($F1936,6,2)&amp;RIGHT($F1936,2)&amp;"0000"&amp;"|"&amp;"1"&amp;RIGHT("00000"&amp;1931,5))</f>
        <v/>
      </c>
      <c r="H1936">
        <f>IF(OR($B1936&lt;&gt;1,$G1936=""),"",COUNTIFS(LdAParty,$A1936,LdAType,1,LdAKey,"&lt;"&amp;$G1936)+COUNTIFS(LdBMember,$A1936,LdBKey,"&lt;"&amp;$G1936)+COUNTIFS(LdCParty,$A1936,LdCKey,"&lt;"&amp;$G1936)+1)</f>
        <v/>
      </c>
      <c r="I1936">
        <f>IF($H1936="","",$A1936&amp;"|"&amp;RIGHT("000000"&amp;$H1936,6))</f>
        <v/>
      </c>
      <c r="J1936">
        <f>IF(OR($B1936&lt;&gt;2,$G1936=""),"",COUNTIFS(LdAParty,$A1936,LdAType,2,LdAKey,"&lt;"&amp;$G1936)+1)</f>
        <v/>
      </c>
      <c r="K1936">
        <f>IF($J1936="","",$A1936&amp;"|"&amp;RIGHT("000000"&amp;$J1936,6))</f>
        <v/>
      </c>
      <c r="L1936">
        <f>IF($A1936="","",IF(Wages!$G1939="",0,Wages!$G1939))</f>
        <v/>
      </c>
      <c r="M1936">
        <f>IF($A1936="","",Wages!$J1939)</f>
        <v/>
      </c>
      <c r="N1936">
        <f>IF($A1936="","",Wages!$D1939)</f>
        <v/>
      </c>
      <c r="P1936">
        <f>IF(OR(Shares!$B1939="",Shares!$C1939=""),"",Shares!$C1939)</f>
        <v/>
      </c>
      <c r="Q1936">
        <f>IF($P1936="","",Shares!$B1939)</f>
        <v/>
      </c>
      <c r="R1936">
        <f>IF($P1936="","",IFERROR(INDEX(WageParty,MATCH($Q1936,WageIds,0)),""))</f>
        <v/>
      </c>
      <c r="S1936">
        <f>IF($P1936="","",IFERROR(INDEX($F$6:$F$2005,MATCH($Q1936,WageIds,0)),""))</f>
        <v/>
      </c>
      <c r="T1936">
        <f>IF(OR($P1936="",$S1936="",$S1936="نامعتبر"),"",LEFT($S1936,4)&amp;MID($S1936,6,2)&amp;RIGHT($S1936,2)&amp;"0000"&amp;"|"&amp;"2"&amp;RIGHT("00000"&amp;1931,5))</f>
        <v/>
      </c>
      <c r="U1936">
        <f>IF($T1936="","",COUNTIFS(LdAParty,$P1936,LdAType,1,LdAKey,"&lt;"&amp;$T1936)+COUNTIFS(LdBMember,$P1936,LdBKey,"&lt;"&amp;$T1936)+COUNTIFS(LdCParty,$P1936,LdCKey,"&lt;"&amp;$T1936)+1)</f>
        <v/>
      </c>
      <c r="V1936">
        <f>IF($U1936="","",$P1936&amp;"|"&amp;RIGHT("000000"&amp;$U1936,6))</f>
        <v/>
      </c>
      <c r="W1936">
        <f>IF($T1936="","",COUNTIFS(LdBGroup,$R1936,LdBKey,"&lt;"&amp;$T1936)+1)</f>
        <v/>
      </c>
      <c r="X1936">
        <f>IF($W1936="","",$R1936&amp;"|"&amp;RIGHT("000000"&amp;$W1936,6))</f>
        <v/>
      </c>
      <c r="Y1936">
        <f>IF($P1936="","",IF(Shares!$E1939="",0,Shares!$E1939))</f>
        <v/>
      </c>
      <c r="Z1936">
        <f>IF($P1936="","",Shares!$H1939)</f>
        <v/>
      </c>
      <c r="AE1936">
        <f>IF(OR(Sync!$S1936="",Sync!$P1936=""),"",Sync!$S1936)</f>
        <v/>
      </c>
      <c r="AF1936">
        <f>IF($AE1936="","",IF(ISNUMBER(Sync!$P1936),IF(AND(Sync!$P1936&gt;=10000101,Sync!$P1936&lt;=99991231),INT(Sync!$P1936/10000),""),IFERROR(VALUE(TRIM(LEFT(Sync!$P1936,FIND("/",Sync!$P1936)-1))),"")))</f>
        <v/>
      </c>
      <c r="AG1936">
        <f>IF(OR($AE1936="",$AF1936=""),"",IF(ISNUMBER(Sync!$P1936),INT(MOD(Sync!$P1936,10000)/100),IFERROR(VALUE(TRIM(LEFT(MID(Sync!$P1936,FIND("/",Sync!$P1936)+1,20),FIND("/",MID(Sync!$P1936,FIND("/",Sync!$P1936)+1,20))-1))),"")))</f>
        <v/>
      </c>
      <c r="AH1936">
        <f>IF(OR($AE1936="",$AF1936=""),"",IF(ISNUMBER(Sync!$P1936),MOD(Sync!$P1936,100),IFERROR(VALUE(TRIM(MID(MID(Sync!$P1936,FIND("/",Sync!$P1936)+1,20),FIND("/",MID(Sync!$P1936,FIND("/",Sync!$P1936)+1,20))+1,20))),"")))</f>
        <v/>
      </c>
      <c r="AI1936">
        <f>IF($AE1936="","",IF(OR($AF1936="",$AG1936="",$AH1936="",$AF1936&lt;1300,$AF1936&gt;1500,$AG1936&lt;1,$AG1936&gt;12,$AH1936&lt;1,$AH1936&gt;31),"نامعتبر",RIGHT("0000"&amp;$AF1936,4)&amp;"/"&amp;RIGHT("00"&amp;$AG1936,2)&amp;"/"&amp;RIGHT("00"&amp;$AH1936,2)))</f>
        <v/>
      </c>
      <c r="AJ1936">
        <f>IF($AE1936="","",IF(Sync!$Q1936="","0000",IF(AND(ISNUMBER(Sync!$Q1936),Sync!$Q1936&gt;=0,Sync!$Q1936&lt;1),RIGHT("00"&amp;HOUR(Sync!$Q1936),2)&amp;RIGHT("00"&amp;MINUTE(Sync!$Q1936),2),IFERROR(RIGHT("00"&amp;VALUE(LEFT(Sync!$Q1936,FIND(":",Sync!$Q1936)-1)),2)&amp;RIGHT("00"&amp;VALUE(MID(Sync!$Q1936,FIND(":",Sync!$Q1936)+1,2)),2),"0000"))))</f>
        <v/>
      </c>
      <c r="AK1936">
        <f>IF(OR($AE1936="",$AI1936="",$AI1936="نامعتبر"),"",LEFT($AI1936,4)&amp;MID($AI1936,6,2)&amp;RIGHT($AI1936,2)&amp;$AJ1936&amp;"|"&amp;"3"&amp;RIGHT("00000"&amp;1931,5))</f>
        <v/>
      </c>
      <c r="AL1936">
        <f>IF($AK1936="","",COUNTIFS(LdAParty,$AE1936,LdAType,1,LdAKey,"&lt;"&amp;$AK1936)+COUNTIFS(LdBMember,$AE1936,LdBKey,"&lt;"&amp;$AK1936)+COUNTIFS(LdCParty,$AE1936,LdCKey,"&lt;"&amp;$AK1936)+1)</f>
        <v/>
      </c>
      <c r="AM1936">
        <f>IF($AL1936="","",$AE1936&amp;"|"&amp;RIGHT("000000"&amp;$AL1936,6))</f>
        <v/>
      </c>
      <c r="AN1936">
        <f>IF($AE1936="","",IF(Sync!$W1936="",0,Sync!$W1936))</f>
        <v/>
      </c>
      <c r="AO1936">
        <f>IF($AE1936="","",IF(Sync!$X1936="",0,Sync!$X1936))</f>
        <v/>
      </c>
      <c r="AP1936">
        <f>IF($AE1936="","",Sync!$R1936)</f>
        <v/>
      </c>
      <c r="AQ1936">
        <f>IF($AE1936="","",Sync!$Y1936)</f>
        <v/>
      </c>
    </row>
    <row r="1937">
      <c r="A1937">
        <f>IF(OR(Wages!$B1940="",Wages!$E1940=""),"",Wages!$E1940)</f>
        <v/>
      </c>
      <c r="B1937">
        <f>IF($A1937="","",IF(Wages!$C1940="دستمزد گروهی",2,1))</f>
        <v/>
      </c>
      <c r="C1937">
        <f>IF($A1937="","",IF(ISNUMBER(Wages!$B1940),IF(AND(Wages!$B1940&gt;=10000101,Wages!$B1940&lt;=99991231),INT(Wages!$B1940/10000),""),IFERROR(VALUE(TRIM(LEFT(Wages!$B1940,FIND("/",Wages!$B1940)-1))),"")))</f>
        <v/>
      </c>
      <c r="D1937">
        <f>IF(OR($A1937="",$C1937=""),"",IF(ISNUMBER(Wages!$B1940),INT(MOD(Wages!$B1940,10000)/100),IFERROR(VALUE(TRIM(LEFT(MID(Wages!$B1940,FIND("/",Wages!$B1940)+1,20),FIND("/",MID(Wages!$B1940,FIND("/",Wages!$B1940)+1,20))-1))),"")))</f>
        <v/>
      </c>
      <c r="E1937">
        <f>IF(OR($A1937="",$C1937=""),"",IF(ISNUMBER(Wages!$B1940),MOD(Wages!$B1940,100),IFERROR(VALUE(TRIM(MID(MID(Wages!$B1940,FIND("/",Wages!$B1940)+1,20),FIND("/",MID(Wages!$B1940,FIND("/",Wages!$B1940)+1,20))+1,20))),"")))</f>
        <v/>
      </c>
      <c r="F1937">
        <f>IF($A1937="","",IF(OR($C1937="",$D1937="",$E1937="",$C1937&lt;1300,$C1937&gt;1500,$D1937&lt;1,$D1937&gt;12,$E1937&lt;1,$E1937&gt;31),"نامعتبر",RIGHT("0000"&amp;$C1937,4)&amp;"/"&amp;RIGHT("00"&amp;$D1937,2)&amp;"/"&amp;RIGHT("00"&amp;$E1937,2)))</f>
        <v/>
      </c>
      <c r="G1937">
        <f>IF(OR($A1937="",$F1937="",$F1937="نامعتبر"),"",LEFT($F1937,4)&amp;MID($F1937,6,2)&amp;RIGHT($F1937,2)&amp;"0000"&amp;"|"&amp;"1"&amp;RIGHT("00000"&amp;1932,5))</f>
        <v/>
      </c>
      <c r="H1937">
        <f>IF(OR($B1937&lt;&gt;1,$G1937=""),"",COUNTIFS(LdAParty,$A1937,LdAType,1,LdAKey,"&lt;"&amp;$G1937)+COUNTIFS(LdBMember,$A1937,LdBKey,"&lt;"&amp;$G1937)+COUNTIFS(LdCParty,$A1937,LdCKey,"&lt;"&amp;$G1937)+1)</f>
        <v/>
      </c>
      <c r="I1937">
        <f>IF($H1937="","",$A1937&amp;"|"&amp;RIGHT("000000"&amp;$H1937,6))</f>
        <v/>
      </c>
      <c r="J1937">
        <f>IF(OR($B1937&lt;&gt;2,$G1937=""),"",COUNTIFS(LdAParty,$A1937,LdAType,2,LdAKey,"&lt;"&amp;$G1937)+1)</f>
        <v/>
      </c>
      <c r="K1937">
        <f>IF($J1937="","",$A1937&amp;"|"&amp;RIGHT("000000"&amp;$J1937,6))</f>
        <v/>
      </c>
      <c r="L1937">
        <f>IF($A1937="","",IF(Wages!$G1940="",0,Wages!$G1940))</f>
        <v/>
      </c>
      <c r="M1937">
        <f>IF($A1937="","",Wages!$J1940)</f>
        <v/>
      </c>
      <c r="N1937">
        <f>IF($A1937="","",Wages!$D1940)</f>
        <v/>
      </c>
      <c r="P1937">
        <f>IF(OR(Shares!$B1940="",Shares!$C1940=""),"",Shares!$C1940)</f>
        <v/>
      </c>
      <c r="Q1937">
        <f>IF($P1937="","",Shares!$B1940)</f>
        <v/>
      </c>
      <c r="R1937">
        <f>IF($P1937="","",IFERROR(INDEX(WageParty,MATCH($Q1937,WageIds,0)),""))</f>
        <v/>
      </c>
      <c r="S1937">
        <f>IF($P1937="","",IFERROR(INDEX($F$6:$F$2005,MATCH($Q1937,WageIds,0)),""))</f>
        <v/>
      </c>
      <c r="T1937">
        <f>IF(OR($P1937="",$S1937="",$S1937="نامعتبر"),"",LEFT($S1937,4)&amp;MID($S1937,6,2)&amp;RIGHT($S1937,2)&amp;"0000"&amp;"|"&amp;"2"&amp;RIGHT("00000"&amp;1932,5))</f>
        <v/>
      </c>
      <c r="U1937">
        <f>IF($T1937="","",COUNTIFS(LdAParty,$P1937,LdAType,1,LdAKey,"&lt;"&amp;$T1937)+COUNTIFS(LdBMember,$P1937,LdBKey,"&lt;"&amp;$T1937)+COUNTIFS(LdCParty,$P1937,LdCKey,"&lt;"&amp;$T1937)+1)</f>
        <v/>
      </c>
      <c r="V1937">
        <f>IF($U1937="","",$P1937&amp;"|"&amp;RIGHT("000000"&amp;$U1937,6))</f>
        <v/>
      </c>
      <c r="W1937">
        <f>IF($T1937="","",COUNTIFS(LdBGroup,$R1937,LdBKey,"&lt;"&amp;$T1937)+1)</f>
        <v/>
      </c>
      <c r="X1937">
        <f>IF($W1937="","",$R1937&amp;"|"&amp;RIGHT("000000"&amp;$W1937,6))</f>
        <v/>
      </c>
      <c r="Y1937">
        <f>IF($P1937="","",IF(Shares!$E1940="",0,Shares!$E1940))</f>
        <v/>
      </c>
      <c r="Z1937">
        <f>IF($P1937="","",Shares!$H1940)</f>
        <v/>
      </c>
      <c r="AE1937">
        <f>IF(OR(Sync!$S1937="",Sync!$P1937=""),"",Sync!$S1937)</f>
        <v/>
      </c>
      <c r="AF1937">
        <f>IF($AE1937="","",IF(ISNUMBER(Sync!$P1937),IF(AND(Sync!$P1937&gt;=10000101,Sync!$P1937&lt;=99991231),INT(Sync!$P1937/10000),""),IFERROR(VALUE(TRIM(LEFT(Sync!$P1937,FIND("/",Sync!$P1937)-1))),"")))</f>
        <v/>
      </c>
      <c r="AG1937">
        <f>IF(OR($AE1937="",$AF1937=""),"",IF(ISNUMBER(Sync!$P1937),INT(MOD(Sync!$P1937,10000)/100),IFERROR(VALUE(TRIM(LEFT(MID(Sync!$P1937,FIND("/",Sync!$P1937)+1,20),FIND("/",MID(Sync!$P1937,FIND("/",Sync!$P1937)+1,20))-1))),"")))</f>
        <v/>
      </c>
      <c r="AH1937">
        <f>IF(OR($AE1937="",$AF1937=""),"",IF(ISNUMBER(Sync!$P1937),MOD(Sync!$P1937,100),IFERROR(VALUE(TRIM(MID(MID(Sync!$P1937,FIND("/",Sync!$P1937)+1,20),FIND("/",MID(Sync!$P1937,FIND("/",Sync!$P1937)+1,20))+1,20))),"")))</f>
        <v/>
      </c>
      <c r="AI1937">
        <f>IF($AE1937="","",IF(OR($AF1937="",$AG1937="",$AH1937="",$AF1937&lt;1300,$AF1937&gt;1500,$AG1937&lt;1,$AG1937&gt;12,$AH1937&lt;1,$AH1937&gt;31),"نامعتبر",RIGHT("0000"&amp;$AF1937,4)&amp;"/"&amp;RIGHT("00"&amp;$AG1937,2)&amp;"/"&amp;RIGHT("00"&amp;$AH1937,2)))</f>
        <v/>
      </c>
      <c r="AJ1937">
        <f>IF($AE1937="","",IF(Sync!$Q1937="","0000",IF(AND(ISNUMBER(Sync!$Q1937),Sync!$Q1937&gt;=0,Sync!$Q1937&lt;1),RIGHT("00"&amp;HOUR(Sync!$Q1937),2)&amp;RIGHT("00"&amp;MINUTE(Sync!$Q1937),2),IFERROR(RIGHT("00"&amp;VALUE(LEFT(Sync!$Q1937,FIND(":",Sync!$Q1937)-1)),2)&amp;RIGHT("00"&amp;VALUE(MID(Sync!$Q1937,FIND(":",Sync!$Q1937)+1,2)),2),"0000"))))</f>
        <v/>
      </c>
      <c r="AK1937">
        <f>IF(OR($AE1937="",$AI1937="",$AI1937="نامعتبر"),"",LEFT($AI1937,4)&amp;MID($AI1937,6,2)&amp;RIGHT($AI1937,2)&amp;$AJ1937&amp;"|"&amp;"3"&amp;RIGHT("00000"&amp;1932,5))</f>
        <v/>
      </c>
      <c r="AL1937">
        <f>IF($AK1937="","",COUNTIFS(LdAParty,$AE1937,LdAType,1,LdAKey,"&lt;"&amp;$AK1937)+COUNTIFS(LdBMember,$AE1937,LdBKey,"&lt;"&amp;$AK1937)+COUNTIFS(LdCParty,$AE1937,LdCKey,"&lt;"&amp;$AK1937)+1)</f>
        <v/>
      </c>
      <c r="AM1937">
        <f>IF($AL1937="","",$AE1937&amp;"|"&amp;RIGHT("000000"&amp;$AL1937,6))</f>
        <v/>
      </c>
      <c r="AN1937">
        <f>IF($AE1937="","",IF(Sync!$W1937="",0,Sync!$W1937))</f>
        <v/>
      </c>
      <c r="AO1937">
        <f>IF($AE1937="","",IF(Sync!$X1937="",0,Sync!$X1937))</f>
        <v/>
      </c>
      <c r="AP1937">
        <f>IF($AE1937="","",Sync!$R1937)</f>
        <v/>
      </c>
      <c r="AQ1937">
        <f>IF($AE1937="","",Sync!$Y1937)</f>
        <v/>
      </c>
    </row>
    <row r="1938">
      <c r="A1938">
        <f>IF(OR(Wages!$B1941="",Wages!$E1941=""),"",Wages!$E1941)</f>
        <v/>
      </c>
      <c r="B1938">
        <f>IF($A1938="","",IF(Wages!$C1941="دستمزد گروهی",2,1))</f>
        <v/>
      </c>
      <c r="C1938">
        <f>IF($A1938="","",IF(ISNUMBER(Wages!$B1941),IF(AND(Wages!$B1941&gt;=10000101,Wages!$B1941&lt;=99991231),INT(Wages!$B1941/10000),""),IFERROR(VALUE(TRIM(LEFT(Wages!$B1941,FIND("/",Wages!$B1941)-1))),"")))</f>
        <v/>
      </c>
      <c r="D1938">
        <f>IF(OR($A1938="",$C1938=""),"",IF(ISNUMBER(Wages!$B1941),INT(MOD(Wages!$B1941,10000)/100),IFERROR(VALUE(TRIM(LEFT(MID(Wages!$B1941,FIND("/",Wages!$B1941)+1,20),FIND("/",MID(Wages!$B1941,FIND("/",Wages!$B1941)+1,20))-1))),"")))</f>
        <v/>
      </c>
      <c r="E1938">
        <f>IF(OR($A1938="",$C1938=""),"",IF(ISNUMBER(Wages!$B1941),MOD(Wages!$B1941,100),IFERROR(VALUE(TRIM(MID(MID(Wages!$B1941,FIND("/",Wages!$B1941)+1,20),FIND("/",MID(Wages!$B1941,FIND("/",Wages!$B1941)+1,20))+1,20))),"")))</f>
        <v/>
      </c>
      <c r="F1938">
        <f>IF($A1938="","",IF(OR($C1938="",$D1938="",$E1938="",$C1938&lt;1300,$C1938&gt;1500,$D1938&lt;1,$D1938&gt;12,$E1938&lt;1,$E1938&gt;31),"نامعتبر",RIGHT("0000"&amp;$C1938,4)&amp;"/"&amp;RIGHT("00"&amp;$D1938,2)&amp;"/"&amp;RIGHT("00"&amp;$E1938,2)))</f>
        <v/>
      </c>
      <c r="G1938">
        <f>IF(OR($A1938="",$F1938="",$F1938="نامعتبر"),"",LEFT($F1938,4)&amp;MID($F1938,6,2)&amp;RIGHT($F1938,2)&amp;"0000"&amp;"|"&amp;"1"&amp;RIGHT("00000"&amp;1933,5))</f>
        <v/>
      </c>
      <c r="H1938">
        <f>IF(OR($B1938&lt;&gt;1,$G1938=""),"",COUNTIFS(LdAParty,$A1938,LdAType,1,LdAKey,"&lt;"&amp;$G1938)+COUNTIFS(LdBMember,$A1938,LdBKey,"&lt;"&amp;$G1938)+COUNTIFS(LdCParty,$A1938,LdCKey,"&lt;"&amp;$G1938)+1)</f>
        <v/>
      </c>
      <c r="I1938">
        <f>IF($H1938="","",$A1938&amp;"|"&amp;RIGHT("000000"&amp;$H1938,6))</f>
        <v/>
      </c>
      <c r="J1938">
        <f>IF(OR($B1938&lt;&gt;2,$G1938=""),"",COUNTIFS(LdAParty,$A1938,LdAType,2,LdAKey,"&lt;"&amp;$G1938)+1)</f>
        <v/>
      </c>
      <c r="K1938">
        <f>IF($J1938="","",$A1938&amp;"|"&amp;RIGHT("000000"&amp;$J1938,6))</f>
        <v/>
      </c>
      <c r="L1938">
        <f>IF($A1938="","",IF(Wages!$G1941="",0,Wages!$G1941))</f>
        <v/>
      </c>
      <c r="M1938">
        <f>IF($A1938="","",Wages!$J1941)</f>
        <v/>
      </c>
      <c r="N1938">
        <f>IF($A1938="","",Wages!$D1941)</f>
        <v/>
      </c>
      <c r="P1938">
        <f>IF(OR(Shares!$B1941="",Shares!$C1941=""),"",Shares!$C1941)</f>
        <v/>
      </c>
      <c r="Q1938">
        <f>IF($P1938="","",Shares!$B1941)</f>
        <v/>
      </c>
      <c r="R1938">
        <f>IF($P1938="","",IFERROR(INDEX(WageParty,MATCH($Q1938,WageIds,0)),""))</f>
        <v/>
      </c>
      <c r="S1938">
        <f>IF($P1938="","",IFERROR(INDEX($F$6:$F$2005,MATCH($Q1938,WageIds,0)),""))</f>
        <v/>
      </c>
      <c r="T1938">
        <f>IF(OR($P1938="",$S1938="",$S1938="نامعتبر"),"",LEFT($S1938,4)&amp;MID($S1938,6,2)&amp;RIGHT($S1938,2)&amp;"0000"&amp;"|"&amp;"2"&amp;RIGHT("00000"&amp;1933,5))</f>
        <v/>
      </c>
      <c r="U1938">
        <f>IF($T1938="","",COUNTIFS(LdAParty,$P1938,LdAType,1,LdAKey,"&lt;"&amp;$T1938)+COUNTIFS(LdBMember,$P1938,LdBKey,"&lt;"&amp;$T1938)+COUNTIFS(LdCParty,$P1938,LdCKey,"&lt;"&amp;$T1938)+1)</f>
        <v/>
      </c>
      <c r="V1938">
        <f>IF($U1938="","",$P1938&amp;"|"&amp;RIGHT("000000"&amp;$U1938,6))</f>
        <v/>
      </c>
      <c r="W1938">
        <f>IF($T1938="","",COUNTIFS(LdBGroup,$R1938,LdBKey,"&lt;"&amp;$T1938)+1)</f>
        <v/>
      </c>
      <c r="X1938">
        <f>IF($W1938="","",$R1938&amp;"|"&amp;RIGHT("000000"&amp;$W1938,6))</f>
        <v/>
      </c>
      <c r="Y1938">
        <f>IF($P1938="","",IF(Shares!$E1941="",0,Shares!$E1941))</f>
        <v/>
      </c>
      <c r="Z1938">
        <f>IF($P1938="","",Shares!$H1941)</f>
        <v/>
      </c>
      <c r="AE1938">
        <f>IF(OR(Sync!$S1938="",Sync!$P1938=""),"",Sync!$S1938)</f>
        <v/>
      </c>
      <c r="AF1938">
        <f>IF($AE1938="","",IF(ISNUMBER(Sync!$P1938),IF(AND(Sync!$P1938&gt;=10000101,Sync!$P1938&lt;=99991231),INT(Sync!$P1938/10000),""),IFERROR(VALUE(TRIM(LEFT(Sync!$P1938,FIND("/",Sync!$P1938)-1))),"")))</f>
        <v/>
      </c>
      <c r="AG1938">
        <f>IF(OR($AE1938="",$AF1938=""),"",IF(ISNUMBER(Sync!$P1938),INT(MOD(Sync!$P1938,10000)/100),IFERROR(VALUE(TRIM(LEFT(MID(Sync!$P1938,FIND("/",Sync!$P1938)+1,20),FIND("/",MID(Sync!$P1938,FIND("/",Sync!$P1938)+1,20))-1))),"")))</f>
        <v/>
      </c>
      <c r="AH1938">
        <f>IF(OR($AE1938="",$AF1938=""),"",IF(ISNUMBER(Sync!$P1938),MOD(Sync!$P1938,100),IFERROR(VALUE(TRIM(MID(MID(Sync!$P1938,FIND("/",Sync!$P1938)+1,20),FIND("/",MID(Sync!$P1938,FIND("/",Sync!$P1938)+1,20))+1,20))),"")))</f>
        <v/>
      </c>
      <c r="AI1938">
        <f>IF($AE1938="","",IF(OR($AF1938="",$AG1938="",$AH1938="",$AF1938&lt;1300,$AF1938&gt;1500,$AG1938&lt;1,$AG1938&gt;12,$AH1938&lt;1,$AH1938&gt;31),"نامعتبر",RIGHT("0000"&amp;$AF1938,4)&amp;"/"&amp;RIGHT("00"&amp;$AG1938,2)&amp;"/"&amp;RIGHT("00"&amp;$AH1938,2)))</f>
        <v/>
      </c>
      <c r="AJ1938">
        <f>IF($AE1938="","",IF(Sync!$Q1938="","0000",IF(AND(ISNUMBER(Sync!$Q1938),Sync!$Q1938&gt;=0,Sync!$Q1938&lt;1),RIGHT("00"&amp;HOUR(Sync!$Q1938),2)&amp;RIGHT("00"&amp;MINUTE(Sync!$Q1938),2),IFERROR(RIGHT("00"&amp;VALUE(LEFT(Sync!$Q1938,FIND(":",Sync!$Q1938)-1)),2)&amp;RIGHT("00"&amp;VALUE(MID(Sync!$Q1938,FIND(":",Sync!$Q1938)+1,2)),2),"0000"))))</f>
        <v/>
      </c>
      <c r="AK1938">
        <f>IF(OR($AE1938="",$AI1938="",$AI1938="نامعتبر"),"",LEFT($AI1938,4)&amp;MID($AI1938,6,2)&amp;RIGHT($AI1938,2)&amp;$AJ1938&amp;"|"&amp;"3"&amp;RIGHT("00000"&amp;1933,5))</f>
        <v/>
      </c>
      <c r="AL1938">
        <f>IF($AK1938="","",COUNTIFS(LdAParty,$AE1938,LdAType,1,LdAKey,"&lt;"&amp;$AK1938)+COUNTIFS(LdBMember,$AE1938,LdBKey,"&lt;"&amp;$AK1938)+COUNTIFS(LdCParty,$AE1938,LdCKey,"&lt;"&amp;$AK1938)+1)</f>
        <v/>
      </c>
      <c r="AM1938">
        <f>IF($AL1938="","",$AE1938&amp;"|"&amp;RIGHT("000000"&amp;$AL1938,6))</f>
        <v/>
      </c>
      <c r="AN1938">
        <f>IF($AE1938="","",IF(Sync!$W1938="",0,Sync!$W1938))</f>
        <v/>
      </c>
      <c r="AO1938">
        <f>IF($AE1938="","",IF(Sync!$X1938="",0,Sync!$X1938))</f>
        <v/>
      </c>
      <c r="AP1938">
        <f>IF($AE1938="","",Sync!$R1938)</f>
        <v/>
      </c>
      <c r="AQ1938">
        <f>IF($AE1938="","",Sync!$Y1938)</f>
        <v/>
      </c>
    </row>
    <row r="1939">
      <c r="A1939">
        <f>IF(OR(Wages!$B1942="",Wages!$E1942=""),"",Wages!$E1942)</f>
        <v/>
      </c>
      <c r="B1939">
        <f>IF($A1939="","",IF(Wages!$C1942="دستمزد گروهی",2,1))</f>
        <v/>
      </c>
      <c r="C1939">
        <f>IF($A1939="","",IF(ISNUMBER(Wages!$B1942),IF(AND(Wages!$B1942&gt;=10000101,Wages!$B1942&lt;=99991231),INT(Wages!$B1942/10000),""),IFERROR(VALUE(TRIM(LEFT(Wages!$B1942,FIND("/",Wages!$B1942)-1))),"")))</f>
        <v/>
      </c>
      <c r="D1939">
        <f>IF(OR($A1939="",$C1939=""),"",IF(ISNUMBER(Wages!$B1942),INT(MOD(Wages!$B1942,10000)/100),IFERROR(VALUE(TRIM(LEFT(MID(Wages!$B1942,FIND("/",Wages!$B1942)+1,20),FIND("/",MID(Wages!$B1942,FIND("/",Wages!$B1942)+1,20))-1))),"")))</f>
        <v/>
      </c>
      <c r="E1939">
        <f>IF(OR($A1939="",$C1939=""),"",IF(ISNUMBER(Wages!$B1942),MOD(Wages!$B1942,100),IFERROR(VALUE(TRIM(MID(MID(Wages!$B1942,FIND("/",Wages!$B1942)+1,20),FIND("/",MID(Wages!$B1942,FIND("/",Wages!$B1942)+1,20))+1,20))),"")))</f>
        <v/>
      </c>
      <c r="F1939">
        <f>IF($A1939="","",IF(OR($C1939="",$D1939="",$E1939="",$C1939&lt;1300,$C1939&gt;1500,$D1939&lt;1,$D1939&gt;12,$E1939&lt;1,$E1939&gt;31),"نامعتبر",RIGHT("0000"&amp;$C1939,4)&amp;"/"&amp;RIGHT("00"&amp;$D1939,2)&amp;"/"&amp;RIGHT("00"&amp;$E1939,2)))</f>
        <v/>
      </c>
      <c r="G1939">
        <f>IF(OR($A1939="",$F1939="",$F1939="نامعتبر"),"",LEFT($F1939,4)&amp;MID($F1939,6,2)&amp;RIGHT($F1939,2)&amp;"0000"&amp;"|"&amp;"1"&amp;RIGHT("00000"&amp;1934,5))</f>
        <v/>
      </c>
      <c r="H1939">
        <f>IF(OR($B1939&lt;&gt;1,$G1939=""),"",COUNTIFS(LdAParty,$A1939,LdAType,1,LdAKey,"&lt;"&amp;$G1939)+COUNTIFS(LdBMember,$A1939,LdBKey,"&lt;"&amp;$G1939)+COUNTIFS(LdCParty,$A1939,LdCKey,"&lt;"&amp;$G1939)+1)</f>
        <v/>
      </c>
      <c r="I1939">
        <f>IF($H1939="","",$A1939&amp;"|"&amp;RIGHT("000000"&amp;$H1939,6))</f>
        <v/>
      </c>
      <c r="J1939">
        <f>IF(OR($B1939&lt;&gt;2,$G1939=""),"",COUNTIFS(LdAParty,$A1939,LdAType,2,LdAKey,"&lt;"&amp;$G1939)+1)</f>
        <v/>
      </c>
      <c r="K1939">
        <f>IF($J1939="","",$A1939&amp;"|"&amp;RIGHT("000000"&amp;$J1939,6))</f>
        <v/>
      </c>
      <c r="L1939">
        <f>IF($A1939="","",IF(Wages!$G1942="",0,Wages!$G1942))</f>
        <v/>
      </c>
      <c r="M1939">
        <f>IF($A1939="","",Wages!$J1942)</f>
        <v/>
      </c>
      <c r="N1939">
        <f>IF($A1939="","",Wages!$D1942)</f>
        <v/>
      </c>
      <c r="P1939">
        <f>IF(OR(Shares!$B1942="",Shares!$C1942=""),"",Shares!$C1942)</f>
        <v/>
      </c>
      <c r="Q1939">
        <f>IF($P1939="","",Shares!$B1942)</f>
        <v/>
      </c>
      <c r="R1939">
        <f>IF($P1939="","",IFERROR(INDEX(WageParty,MATCH($Q1939,WageIds,0)),""))</f>
        <v/>
      </c>
      <c r="S1939">
        <f>IF($P1939="","",IFERROR(INDEX($F$6:$F$2005,MATCH($Q1939,WageIds,0)),""))</f>
        <v/>
      </c>
      <c r="T1939">
        <f>IF(OR($P1939="",$S1939="",$S1939="نامعتبر"),"",LEFT($S1939,4)&amp;MID($S1939,6,2)&amp;RIGHT($S1939,2)&amp;"0000"&amp;"|"&amp;"2"&amp;RIGHT("00000"&amp;1934,5))</f>
        <v/>
      </c>
      <c r="U1939">
        <f>IF($T1939="","",COUNTIFS(LdAParty,$P1939,LdAType,1,LdAKey,"&lt;"&amp;$T1939)+COUNTIFS(LdBMember,$P1939,LdBKey,"&lt;"&amp;$T1939)+COUNTIFS(LdCParty,$P1939,LdCKey,"&lt;"&amp;$T1939)+1)</f>
        <v/>
      </c>
      <c r="V1939">
        <f>IF($U1939="","",$P1939&amp;"|"&amp;RIGHT("000000"&amp;$U1939,6))</f>
        <v/>
      </c>
      <c r="W1939">
        <f>IF($T1939="","",COUNTIFS(LdBGroup,$R1939,LdBKey,"&lt;"&amp;$T1939)+1)</f>
        <v/>
      </c>
      <c r="X1939">
        <f>IF($W1939="","",$R1939&amp;"|"&amp;RIGHT("000000"&amp;$W1939,6))</f>
        <v/>
      </c>
      <c r="Y1939">
        <f>IF($P1939="","",IF(Shares!$E1942="",0,Shares!$E1942))</f>
        <v/>
      </c>
      <c r="Z1939">
        <f>IF($P1939="","",Shares!$H1942)</f>
        <v/>
      </c>
      <c r="AE1939">
        <f>IF(OR(Sync!$S1939="",Sync!$P1939=""),"",Sync!$S1939)</f>
        <v/>
      </c>
      <c r="AF1939">
        <f>IF($AE1939="","",IF(ISNUMBER(Sync!$P1939),IF(AND(Sync!$P1939&gt;=10000101,Sync!$P1939&lt;=99991231),INT(Sync!$P1939/10000),""),IFERROR(VALUE(TRIM(LEFT(Sync!$P1939,FIND("/",Sync!$P1939)-1))),"")))</f>
        <v/>
      </c>
      <c r="AG1939">
        <f>IF(OR($AE1939="",$AF1939=""),"",IF(ISNUMBER(Sync!$P1939),INT(MOD(Sync!$P1939,10000)/100),IFERROR(VALUE(TRIM(LEFT(MID(Sync!$P1939,FIND("/",Sync!$P1939)+1,20),FIND("/",MID(Sync!$P1939,FIND("/",Sync!$P1939)+1,20))-1))),"")))</f>
        <v/>
      </c>
      <c r="AH1939">
        <f>IF(OR($AE1939="",$AF1939=""),"",IF(ISNUMBER(Sync!$P1939),MOD(Sync!$P1939,100),IFERROR(VALUE(TRIM(MID(MID(Sync!$P1939,FIND("/",Sync!$P1939)+1,20),FIND("/",MID(Sync!$P1939,FIND("/",Sync!$P1939)+1,20))+1,20))),"")))</f>
        <v/>
      </c>
      <c r="AI1939">
        <f>IF($AE1939="","",IF(OR($AF1939="",$AG1939="",$AH1939="",$AF1939&lt;1300,$AF1939&gt;1500,$AG1939&lt;1,$AG1939&gt;12,$AH1939&lt;1,$AH1939&gt;31),"نامعتبر",RIGHT("0000"&amp;$AF1939,4)&amp;"/"&amp;RIGHT("00"&amp;$AG1939,2)&amp;"/"&amp;RIGHT("00"&amp;$AH1939,2)))</f>
        <v/>
      </c>
      <c r="AJ1939">
        <f>IF($AE1939="","",IF(Sync!$Q1939="","0000",IF(AND(ISNUMBER(Sync!$Q1939),Sync!$Q1939&gt;=0,Sync!$Q1939&lt;1),RIGHT("00"&amp;HOUR(Sync!$Q1939),2)&amp;RIGHT("00"&amp;MINUTE(Sync!$Q1939),2),IFERROR(RIGHT("00"&amp;VALUE(LEFT(Sync!$Q1939,FIND(":",Sync!$Q1939)-1)),2)&amp;RIGHT("00"&amp;VALUE(MID(Sync!$Q1939,FIND(":",Sync!$Q1939)+1,2)),2),"0000"))))</f>
        <v/>
      </c>
      <c r="AK1939">
        <f>IF(OR($AE1939="",$AI1939="",$AI1939="نامعتبر"),"",LEFT($AI1939,4)&amp;MID($AI1939,6,2)&amp;RIGHT($AI1939,2)&amp;$AJ1939&amp;"|"&amp;"3"&amp;RIGHT("00000"&amp;1934,5))</f>
        <v/>
      </c>
      <c r="AL1939">
        <f>IF($AK1939="","",COUNTIFS(LdAParty,$AE1939,LdAType,1,LdAKey,"&lt;"&amp;$AK1939)+COUNTIFS(LdBMember,$AE1939,LdBKey,"&lt;"&amp;$AK1939)+COUNTIFS(LdCParty,$AE1939,LdCKey,"&lt;"&amp;$AK1939)+1)</f>
        <v/>
      </c>
      <c r="AM1939">
        <f>IF($AL1939="","",$AE1939&amp;"|"&amp;RIGHT("000000"&amp;$AL1939,6))</f>
        <v/>
      </c>
      <c r="AN1939">
        <f>IF($AE1939="","",IF(Sync!$W1939="",0,Sync!$W1939))</f>
        <v/>
      </c>
      <c r="AO1939">
        <f>IF($AE1939="","",IF(Sync!$X1939="",0,Sync!$X1939))</f>
        <v/>
      </c>
      <c r="AP1939">
        <f>IF($AE1939="","",Sync!$R1939)</f>
        <v/>
      </c>
      <c r="AQ1939">
        <f>IF($AE1939="","",Sync!$Y1939)</f>
        <v/>
      </c>
    </row>
    <row r="1940">
      <c r="A1940">
        <f>IF(OR(Wages!$B1943="",Wages!$E1943=""),"",Wages!$E1943)</f>
        <v/>
      </c>
      <c r="B1940">
        <f>IF($A1940="","",IF(Wages!$C1943="دستمزد گروهی",2,1))</f>
        <v/>
      </c>
      <c r="C1940">
        <f>IF($A1940="","",IF(ISNUMBER(Wages!$B1943),IF(AND(Wages!$B1943&gt;=10000101,Wages!$B1943&lt;=99991231),INT(Wages!$B1943/10000),""),IFERROR(VALUE(TRIM(LEFT(Wages!$B1943,FIND("/",Wages!$B1943)-1))),"")))</f>
        <v/>
      </c>
      <c r="D1940">
        <f>IF(OR($A1940="",$C1940=""),"",IF(ISNUMBER(Wages!$B1943),INT(MOD(Wages!$B1943,10000)/100),IFERROR(VALUE(TRIM(LEFT(MID(Wages!$B1943,FIND("/",Wages!$B1943)+1,20),FIND("/",MID(Wages!$B1943,FIND("/",Wages!$B1943)+1,20))-1))),"")))</f>
        <v/>
      </c>
      <c r="E1940">
        <f>IF(OR($A1940="",$C1940=""),"",IF(ISNUMBER(Wages!$B1943),MOD(Wages!$B1943,100),IFERROR(VALUE(TRIM(MID(MID(Wages!$B1943,FIND("/",Wages!$B1943)+1,20),FIND("/",MID(Wages!$B1943,FIND("/",Wages!$B1943)+1,20))+1,20))),"")))</f>
        <v/>
      </c>
      <c r="F1940">
        <f>IF($A1940="","",IF(OR($C1940="",$D1940="",$E1940="",$C1940&lt;1300,$C1940&gt;1500,$D1940&lt;1,$D1940&gt;12,$E1940&lt;1,$E1940&gt;31),"نامعتبر",RIGHT("0000"&amp;$C1940,4)&amp;"/"&amp;RIGHT("00"&amp;$D1940,2)&amp;"/"&amp;RIGHT("00"&amp;$E1940,2)))</f>
        <v/>
      </c>
      <c r="G1940">
        <f>IF(OR($A1940="",$F1940="",$F1940="نامعتبر"),"",LEFT($F1940,4)&amp;MID($F1940,6,2)&amp;RIGHT($F1940,2)&amp;"0000"&amp;"|"&amp;"1"&amp;RIGHT("00000"&amp;1935,5))</f>
        <v/>
      </c>
      <c r="H1940">
        <f>IF(OR($B1940&lt;&gt;1,$G1940=""),"",COUNTIFS(LdAParty,$A1940,LdAType,1,LdAKey,"&lt;"&amp;$G1940)+COUNTIFS(LdBMember,$A1940,LdBKey,"&lt;"&amp;$G1940)+COUNTIFS(LdCParty,$A1940,LdCKey,"&lt;"&amp;$G1940)+1)</f>
        <v/>
      </c>
      <c r="I1940">
        <f>IF($H1940="","",$A1940&amp;"|"&amp;RIGHT("000000"&amp;$H1940,6))</f>
        <v/>
      </c>
      <c r="J1940">
        <f>IF(OR($B1940&lt;&gt;2,$G1940=""),"",COUNTIFS(LdAParty,$A1940,LdAType,2,LdAKey,"&lt;"&amp;$G1940)+1)</f>
        <v/>
      </c>
      <c r="K1940">
        <f>IF($J1940="","",$A1940&amp;"|"&amp;RIGHT("000000"&amp;$J1940,6))</f>
        <v/>
      </c>
      <c r="L1940">
        <f>IF($A1940="","",IF(Wages!$G1943="",0,Wages!$G1943))</f>
        <v/>
      </c>
      <c r="M1940">
        <f>IF($A1940="","",Wages!$J1943)</f>
        <v/>
      </c>
      <c r="N1940">
        <f>IF($A1940="","",Wages!$D1943)</f>
        <v/>
      </c>
      <c r="P1940">
        <f>IF(OR(Shares!$B1943="",Shares!$C1943=""),"",Shares!$C1943)</f>
        <v/>
      </c>
      <c r="Q1940">
        <f>IF($P1940="","",Shares!$B1943)</f>
        <v/>
      </c>
      <c r="R1940">
        <f>IF($P1940="","",IFERROR(INDEX(WageParty,MATCH($Q1940,WageIds,0)),""))</f>
        <v/>
      </c>
      <c r="S1940">
        <f>IF($P1940="","",IFERROR(INDEX($F$6:$F$2005,MATCH($Q1940,WageIds,0)),""))</f>
        <v/>
      </c>
      <c r="T1940">
        <f>IF(OR($P1940="",$S1940="",$S1940="نامعتبر"),"",LEFT($S1940,4)&amp;MID($S1940,6,2)&amp;RIGHT($S1940,2)&amp;"0000"&amp;"|"&amp;"2"&amp;RIGHT("00000"&amp;1935,5))</f>
        <v/>
      </c>
      <c r="U1940">
        <f>IF($T1940="","",COUNTIFS(LdAParty,$P1940,LdAType,1,LdAKey,"&lt;"&amp;$T1940)+COUNTIFS(LdBMember,$P1940,LdBKey,"&lt;"&amp;$T1940)+COUNTIFS(LdCParty,$P1940,LdCKey,"&lt;"&amp;$T1940)+1)</f>
        <v/>
      </c>
      <c r="V1940">
        <f>IF($U1940="","",$P1940&amp;"|"&amp;RIGHT("000000"&amp;$U1940,6))</f>
        <v/>
      </c>
      <c r="W1940">
        <f>IF($T1940="","",COUNTIFS(LdBGroup,$R1940,LdBKey,"&lt;"&amp;$T1940)+1)</f>
        <v/>
      </c>
      <c r="X1940">
        <f>IF($W1940="","",$R1940&amp;"|"&amp;RIGHT("000000"&amp;$W1940,6))</f>
        <v/>
      </c>
      <c r="Y1940">
        <f>IF($P1940="","",IF(Shares!$E1943="",0,Shares!$E1943))</f>
        <v/>
      </c>
      <c r="Z1940">
        <f>IF($P1940="","",Shares!$H1943)</f>
        <v/>
      </c>
      <c r="AE1940">
        <f>IF(OR(Sync!$S1940="",Sync!$P1940=""),"",Sync!$S1940)</f>
        <v/>
      </c>
      <c r="AF1940">
        <f>IF($AE1940="","",IF(ISNUMBER(Sync!$P1940),IF(AND(Sync!$P1940&gt;=10000101,Sync!$P1940&lt;=99991231),INT(Sync!$P1940/10000),""),IFERROR(VALUE(TRIM(LEFT(Sync!$P1940,FIND("/",Sync!$P1940)-1))),"")))</f>
        <v/>
      </c>
      <c r="AG1940">
        <f>IF(OR($AE1940="",$AF1940=""),"",IF(ISNUMBER(Sync!$P1940),INT(MOD(Sync!$P1940,10000)/100),IFERROR(VALUE(TRIM(LEFT(MID(Sync!$P1940,FIND("/",Sync!$P1940)+1,20),FIND("/",MID(Sync!$P1940,FIND("/",Sync!$P1940)+1,20))-1))),"")))</f>
        <v/>
      </c>
      <c r="AH1940">
        <f>IF(OR($AE1940="",$AF1940=""),"",IF(ISNUMBER(Sync!$P1940),MOD(Sync!$P1940,100),IFERROR(VALUE(TRIM(MID(MID(Sync!$P1940,FIND("/",Sync!$P1940)+1,20),FIND("/",MID(Sync!$P1940,FIND("/",Sync!$P1940)+1,20))+1,20))),"")))</f>
        <v/>
      </c>
      <c r="AI1940">
        <f>IF($AE1940="","",IF(OR($AF1940="",$AG1940="",$AH1940="",$AF1940&lt;1300,$AF1940&gt;1500,$AG1940&lt;1,$AG1940&gt;12,$AH1940&lt;1,$AH1940&gt;31),"نامعتبر",RIGHT("0000"&amp;$AF1940,4)&amp;"/"&amp;RIGHT("00"&amp;$AG1940,2)&amp;"/"&amp;RIGHT("00"&amp;$AH1940,2)))</f>
        <v/>
      </c>
      <c r="AJ1940">
        <f>IF($AE1940="","",IF(Sync!$Q1940="","0000",IF(AND(ISNUMBER(Sync!$Q1940),Sync!$Q1940&gt;=0,Sync!$Q1940&lt;1),RIGHT("00"&amp;HOUR(Sync!$Q1940),2)&amp;RIGHT("00"&amp;MINUTE(Sync!$Q1940),2),IFERROR(RIGHT("00"&amp;VALUE(LEFT(Sync!$Q1940,FIND(":",Sync!$Q1940)-1)),2)&amp;RIGHT("00"&amp;VALUE(MID(Sync!$Q1940,FIND(":",Sync!$Q1940)+1,2)),2),"0000"))))</f>
        <v/>
      </c>
      <c r="AK1940">
        <f>IF(OR($AE1940="",$AI1940="",$AI1940="نامعتبر"),"",LEFT($AI1940,4)&amp;MID($AI1940,6,2)&amp;RIGHT($AI1940,2)&amp;$AJ1940&amp;"|"&amp;"3"&amp;RIGHT("00000"&amp;1935,5))</f>
        <v/>
      </c>
      <c r="AL1940">
        <f>IF($AK1940="","",COUNTIFS(LdAParty,$AE1940,LdAType,1,LdAKey,"&lt;"&amp;$AK1940)+COUNTIFS(LdBMember,$AE1940,LdBKey,"&lt;"&amp;$AK1940)+COUNTIFS(LdCParty,$AE1940,LdCKey,"&lt;"&amp;$AK1940)+1)</f>
        <v/>
      </c>
      <c r="AM1940">
        <f>IF($AL1940="","",$AE1940&amp;"|"&amp;RIGHT("000000"&amp;$AL1940,6))</f>
        <v/>
      </c>
      <c r="AN1940">
        <f>IF($AE1940="","",IF(Sync!$W1940="",0,Sync!$W1940))</f>
        <v/>
      </c>
      <c r="AO1940">
        <f>IF($AE1940="","",IF(Sync!$X1940="",0,Sync!$X1940))</f>
        <v/>
      </c>
      <c r="AP1940">
        <f>IF($AE1940="","",Sync!$R1940)</f>
        <v/>
      </c>
      <c r="AQ1940">
        <f>IF($AE1940="","",Sync!$Y1940)</f>
        <v/>
      </c>
    </row>
    <row r="1941">
      <c r="A1941">
        <f>IF(OR(Wages!$B1944="",Wages!$E1944=""),"",Wages!$E1944)</f>
        <v/>
      </c>
      <c r="B1941">
        <f>IF($A1941="","",IF(Wages!$C1944="دستمزد گروهی",2,1))</f>
        <v/>
      </c>
      <c r="C1941">
        <f>IF($A1941="","",IF(ISNUMBER(Wages!$B1944),IF(AND(Wages!$B1944&gt;=10000101,Wages!$B1944&lt;=99991231),INT(Wages!$B1944/10000),""),IFERROR(VALUE(TRIM(LEFT(Wages!$B1944,FIND("/",Wages!$B1944)-1))),"")))</f>
        <v/>
      </c>
      <c r="D1941">
        <f>IF(OR($A1941="",$C1941=""),"",IF(ISNUMBER(Wages!$B1944),INT(MOD(Wages!$B1944,10000)/100),IFERROR(VALUE(TRIM(LEFT(MID(Wages!$B1944,FIND("/",Wages!$B1944)+1,20),FIND("/",MID(Wages!$B1944,FIND("/",Wages!$B1944)+1,20))-1))),"")))</f>
        <v/>
      </c>
      <c r="E1941">
        <f>IF(OR($A1941="",$C1941=""),"",IF(ISNUMBER(Wages!$B1944),MOD(Wages!$B1944,100),IFERROR(VALUE(TRIM(MID(MID(Wages!$B1944,FIND("/",Wages!$B1944)+1,20),FIND("/",MID(Wages!$B1944,FIND("/",Wages!$B1944)+1,20))+1,20))),"")))</f>
        <v/>
      </c>
      <c r="F1941">
        <f>IF($A1941="","",IF(OR($C1941="",$D1941="",$E1941="",$C1941&lt;1300,$C1941&gt;1500,$D1941&lt;1,$D1941&gt;12,$E1941&lt;1,$E1941&gt;31),"نامعتبر",RIGHT("0000"&amp;$C1941,4)&amp;"/"&amp;RIGHT("00"&amp;$D1941,2)&amp;"/"&amp;RIGHT("00"&amp;$E1941,2)))</f>
        <v/>
      </c>
      <c r="G1941">
        <f>IF(OR($A1941="",$F1941="",$F1941="نامعتبر"),"",LEFT($F1941,4)&amp;MID($F1941,6,2)&amp;RIGHT($F1941,2)&amp;"0000"&amp;"|"&amp;"1"&amp;RIGHT("00000"&amp;1936,5))</f>
        <v/>
      </c>
      <c r="H1941">
        <f>IF(OR($B1941&lt;&gt;1,$G1941=""),"",COUNTIFS(LdAParty,$A1941,LdAType,1,LdAKey,"&lt;"&amp;$G1941)+COUNTIFS(LdBMember,$A1941,LdBKey,"&lt;"&amp;$G1941)+COUNTIFS(LdCParty,$A1941,LdCKey,"&lt;"&amp;$G1941)+1)</f>
        <v/>
      </c>
      <c r="I1941">
        <f>IF($H1941="","",$A1941&amp;"|"&amp;RIGHT("000000"&amp;$H1941,6))</f>
        <v/>
      </c>
      <c r="J1941">
        <f>IF(OR($B1941&lt;&gt;2,$G1941=""),"",COUNTIFS(LdAParty,$A1941,LdAType,2,LdAKey,"&lt;"&amp;$G1941)+1)</f>
        <v/>
      </c>
      <c r="K1941">
        <f>IF($J1941="","",$A1941&amp;"|"&amp;RIGHT("000000"&amp;$J1941,6))</f>
        <v/>
      </c>
      <c r="L1941">
        <f>IF($A1941="","",IF(Wages!$G1944="",0,Wages!$G1944))</f>
        <v/>
      </c>
      <c r="M1941">
        <f>IF($A1941="","",Wages!$J1944)</f>
        <v/>
      </c>
      <c r="N1941">
        <f>IF($A1941="","",Wages!$D1944)</f>
        <v/>
      </c>
      <c r="P1941">
        <f>IF(OR(Shares!$B1944="",Shares!$C1944=""),"",Shares!$C1944)</f>
        <v/>
      </c>
      <c r="Q1941">
        <f>IF($P1941="","",Shares!$B1944)</f>
        <v/>
      </c>
      <c r="R1941">
        <f>IF($P1941="","",IFERROR(INDEX(WageParty,MATCH($Q1941,WageIds,0)),""))</f>
        <v/>
      </c>
      <c r="S1941">
        <f>IF($P1941="","",IFERROR(INDEX($F$6:$F$2005,MATCH($Q1941,WageIds,0)),""))</f>
        <v/>
      </c>
      <c r="T1941">
        <f>IF(OR($P1941="",$S1941="",$S1941="نامعتبر"),"",LEFT($S1941,4)&amp;MID($S1941,6,2)&amp;RIGHT($S1941,2)&amp;"0000"&amp;"|"&amp;"2"&amp;RIGHT("00000"&amp;1936,5))</f>
        <v/>
      </c>
      <c r="U1941">
        <f>IF($T1941="","",COUNTIFS(LdAParty,$P1941,LdAType,1,LdAKey,"&lt;"&amp;$T1941)+COUNTIFS(LdBMember,$P1941,LdBKey,"&lt;"&amp;$T1941)+COUNTIFS(LdCParty,$P1941,LdCKey,"&lt;"&amp;$T1941)+1)</f>
        <v/>
      </c>
      <c r="V1941">
        <f>IF($U1941="","",$P1941&amp;"|"&amp;RIGHT("000000"&amp;$U1941,6))</f>
        <v/>
      </c>
      <c r="W1941">
        <f>IF($T1941="","",COUNTIFS(LdBGroup,$R1941,LdBKey,"&lt;"&amp;$T1941)+1)</f>
        <v/>
      </c>
      <c r="X1941">
        <f>IF($W1941="","",$R1941&amp;"|"&amp;RIGHT("000000"&amp;$W1941,6))</f>
        <v/>
      </c>
      <c r="Y1941">
        <f>IF($P1941="","",IF(Shares!$E1944="",0,Shares!$E1944))</f>
        <v/>
      </c>
      <c r="Z1941">
        <f>IF($P1941="","",Shares!$H1944)</f>
        <v/>
      </c>
      <c r="AE1941">
        <f>IF(OR(Sync!$S1941="",Sync!$P1941=""),"",Sync!$S1941)</f>
        <v/>
      </c>
      <c r="AF1941">
        <f>IF($AE1941="","",IF(ISNUMBER(Sync!$P1941),IF(AND(Sync!$P1941&gt;=10000101,Sync!$P1941&lt;=99991231),INT(Sync!$P1941/10000),""),IFERROR(VALUE(TRIM(LEFT(Sync!$P1941,FIND("/",Sync!$P1941)-1))),"")))</f>
        <v/>
      </c>
      <c r="AG1941">
        <f>IF(OR($AE1941="",$AF1941=""),"",IF(ISNUMBER(Sync!$P1941),INT(MOD(Sync!$P1941,10000)/100),IFERROR(VALUE(TRIM(LEFT(MID(Sync!$P1941,FIND("/",Sync!$P1941)+1,20),FIND("/",MID(Sync!$P1941,FIND("/",Sync!$P1941)+1,20))-1))),"")))</f>
        <v/>
      </c>
      <c r="AH1941">
        <f>IF(OR($AE1941="",$AF1941=""),"",IF(ISNUMBER(Sync!$P1941),MOD(Sync!$P1941,100),IFERROR(VALUE(TRIM(MID(MID(Sync!$P1941,FIND("/",Sync!$P1941)+1,20),FIND("/",MID(Sync!$P1941,FIND("/",Sync!$P1941)+1,20))+1,20))),"")))</f>
        <v/>
      </c>
      <c r="AI1941">
        <f>IF($AE1941="","",IF(OR($AF1941="",$AG1941="",$AH1941="",$AF1941&lt;1300,$AF1941&gt;1500,$AG1941&lt;1,$AG1941&gt;12,$AH1941&lt;1,$AH1941&gt;31),"نامعتبر",RIGHT("0000"&amp;$AF1941,4)&amp;"/"&amp;RIGHT("00"&amp;$AG1941,2)&amp;"/"&amp;RIGHT("00"&amp;$AH1941,2)))</f>
        <v/>
      </c>
      <c r="AJ1941">
        <f>IF($AE1941="","",IF(Sync!$Q1941="","0000",IF(AND(ISNUMBER(Sync!$Q1941),Sync!$Q1941&gt;=0,Sync!$Q1941&lt;1),RIGHT("00"&amp;HOUR(Sync!$Q1941),2)&amp;RIGHT("00"&amp;MINUTE(Sync!$Q1941),2),IFERROR(RIGHT("00"&amp;VALUE(LEFT(Sync!$Q1941,FIND(":",Sync!$Q1941)-1)),2)&amp;RIGHT("00"&amp;VALUE(MID(Sync!$Q1941,FIND(":",Sync!$Q1941)+1,2)),2),"0000"))))</f>
        <v/>
      </c>
      <c r="AK1941">
        <f>IF(OR($AE1941="",$AI1941="",$AI1941="نامعتبر"),"",LEFT($AI1941,4)&amp;MID($AI1941,6,2)&amp;RIGHT($AI1941,2)&amp;$AJ1941&amp;"|"&amp;"3"&amp;RIGHT("00000"&amp;1936,5))</f>
        <v/>
      </c>
      <c r="AL1941">
        <f>IF($AK1941="","",COUNTIFS(LdAParty,$AE1941,LdAType,1,LdAKey,"&lt;"&amp;$AK1941)+COUNTIFS(LdBMember,$AE1941,LdBKey,"&lt;"&amp;$AK1941)+COUNTIFS(LdCParty,$AE1941,LdCKey,"&lt;"&amp;$AK1941)+1)</f>
        <v/>
      </c>
      <c r="AM1941">
        <f>IF($AL1941="","",$AE1941&amp;"|"&amp;RIGHT("000000"&amp;$AL1941,6))</f>
        <v/>
      </c>
      <c r="AN1941">
        <f>IF($AE1941="","",IF(Sync!$W1941="",0,Sync!$W1941))</f>
        <v/>
      </c>
      <c r="AO1941">
        <f>IF($AE1941="","",IF(Sync!$X1941="",0,Sync!$X1941))</f>
        <v/>
      </c>
      <c r="AP1941">
        <f>IF($AE1941="","",Sync!$R1941)</f>
        <v/>
      </c>
      <c r="AQ1941">
        <f>IF($AE1941="","",Sync!$Y1941)</f>
        <v/>
      </c>
    </row>
    <row r="1942">
      <c r="A1942">
        <f>IF(OR(Wages!$B1945="",Wages!$E1945=""),"",Wages!$E1945)</f>
        <v/>
      </c>
      <c r="B1942">
        <f>IF($A1942="","",IF(Wages!$C1945="دستمزد گروهی",2,1))</f>
        <v/>
      </c>
      <c r="C1942">
        <f>IF($A1942="","",IF(ISNUMBER(Wages!$B1945),IF(AND(Wages!$B1945&gt;=10000101,Wages!$B1945&lt;=99991231),INT(Wages!$B1945/10000),""),IFERROR(VALUE(TRIM(LEFT(Wages!$B1945,FIND("/",Wages!$B1945)-1))),"")))</f>
        <v/>
      </c>
      <c r="D1942">
        <f>IF(OR($A1942="",$C1942=""),"",IF(ISNUMBER(Wages!$B1945),INT(MOD(Wages!$B1945,10000)/100),IFERROR(VALUE(TRIM(LEFT(MID(Wages!$B1945,FIND("/",Wages!$B1945)+1,20),FIND("/",MID(Wages!$B1945,FIND("/",Wages!$B1945)+1,20))-1))),"")))</f>
        <v/>
      </c>
      <c r="E1942">
        <f>IF(OR($A1942="",$C1942=""),"",IF(ISNUMBER(Wages!$B1945),MOD(Wages!$B1945,100),IFERROR(VALUE(TRIM(MID(MID(Wages!$B1945,FIND("/",Wages!$B1945)+1,20),FIND("/",MID(Wages!$B1945,FIND("/",Wages!$B1945)+1,20))+1,20))),"")))</f>
        <v/>
      </c>
      <c r="F1942">
        <f>IF($A1942="","",IF(OR($C1942="",$D1942="",$E1942="",$C1942&lt;1300,$C1942&gt;1500,$D1942&lt;1,$D1942&gt;12,$E1942&lt;1,$E1942&gt;31),"نامعتبر",RIGHT("0000"&amp;$C1942,4)&amp;"/"&amp;RIGHT("00"&amp;$D1942,2)&amp;"/"&amp;RIGHT("00"&amp;$E1942,2)))</f>
        <v/>
      </c>
      <c r="G1942">
        <f>IF(OR($A1942="",$F1942="",$F1942="نامعتبر"),"",LEFT($F1942,4)&amp;MID($F1942,6,2)&amp;RIGHT($F1942,2)&amp;"0000"&amp;"|"&amp;"1"&amp;RIGHT("00000"&amp;1937,5))</f>
        <v/>
      </c>
      <c r="H1942">
        <f>IF(OR($B1942&lt;&gt;1,$G1942=""),"",COUNTIFS(LdAParty,$A1942,LdAType,1,LdAKey,"&lt;"&amp;$G1942)+COUNTIFS(LdBMember,$A1942,LdBKey,"&lt;"&amp;$G1942)+COUNTIFS(LdCParty,$A1942,LdCKey,"&lt;"&amp;$G1942)+1)</f>
        <v/>
      </c>
      <c r="I1942">
        <f>IF($H1942="","",$A1942&amp;"|"&amp;RIGHT("000000"&amp;$H1942,6))</f>
        <v/>
      </c>
      <c r="J1942">
        <f>IF(OR($B1942&lt;&gt;2,$G1942=""),"",COUNTIFS(LdAParty,$A1942,LdAType,2,LdAKey,"&lt;"&amp;$G1942)+1)</f>
        <v/>
      </c>
      <c r="K1942">
        <f>IF($J1942="","",$A1942&amp;"|"&amp;RIGHT("000000"&amp;$J1942,6))</f>
        <v/>
      </c>
      <c r="L1942">
        <f>IF($A1942="","",IF(Wages!$G1945="",0,Wages!$G1945))</f>
        <v/>
      </c>
      <c r="M1942">
        <f>IF($A1942="","",Wages!$J1945)</f>
        <v/>
      </c>
      <c r="N1942">
        <f>IF($A1942="","",Wages!$D1945)</f>
        <v/>
      </c>
      <c r="P1942">
        <f>IF(OR(Shares!$B1945="",Shares!$C1945=""),"",Shares!$C1945)</f>
        <v/>
      </c>
      <c r="Q1942">
        <f>IF($P1942="","",Shares!$B1945)</f>
        <v/>
      </c>
      <c r="R1942">
        <f>IF($P1942="","",IFERROR(INDEX(WageParty,MATCH($Q1942,WageIds,0)),""))</f>
        <v/>
      </c>
      <c r="S1942">
        <f>IF($P1942="","",IFERROR(INDEX($F$6:$F$2005,MATCH($Q1942,WageIds,0)),""))</f>
        <v/>
      </c>
      <c r="T1942">
        <f>IF(OR($P1942="",$S1942="",$S1942="نامعتبر"),"",LEFT($S1942,4)&amp;MID($S1942,6,2)&amp;RIGHT($S1942,2)&amp;"0000"&amp;"|"&amp;"2"&amp;RIGHT("00000"&amp;1937,5))</f>
        <v/>
      </c>
      <c r="U1942">
        <f>IF($T1942="","",COUNTIFS(LdAParty,$P1942,LdAType,1,LdAKey,"&lt;"&amp;$T1942)+COUNTIFS(LdBMember,$P1942,LdBKey,"&lt;"&amp;$T1942)+COUNTIFS(LdCParty,$P1942,LdCKey,"&lt;"&amp;$T1942)+1)</f>
        <v/>
      </c>
      <c r="V1942">
        <f>IF($U1942="","",$P1942&amp;"|"&amp;RIGHT("000000"&amp;$U1942,6))</f>
        <v/>
      </c>
      <c r="W1942">
        <f>IF($T1942="","",COUNTIFS(LdBGroup,$R1942,LdBKey,"&lt;"&amp;$T1942)+1)</f>
        <v/>
      </c>
      <c r="X1942">
        <f>IF($W1942="","",$R1942&amp;"|"&amp;RIGHT("000000"&amp;$W1942,6))</f>
        <v/>
      </c>
      <c r="Y1942">
        <f>IF($P1942="","",IF(Shares!$E1945="",0,Shares!$E1945))</f>
        <v/>
      </c>
      <c r="Z1942">
        <f>IF($P1942="","",Shares!$H1945)</f>
        <v/>
      </c>
      <c r="AE1942">
        <f>IF(OR(Sync!$S1942="",Sync!$P1942=""),"",Sync!$S1942)</f>
        <v/>
      </c>
      <c r="AF1942">
        <f>IF($AE1942="","",IF(ISNUMBER(Sync!$P1942),IF(AND(Sync!$P1942&gt;=10000101,Sync!$P1942&lt;=99991231),INT(Sync!$P1942/10000),""),IFERROR(VALUE(TRIM(LEFT(Sync!$P1942,FIND("/",Sync!$P1942)-1))),"")))</f>
        <v/>
      </c>
      <c r="AG1942">
        <f>IF(OR($AE1942="",$AF1942=""),"",IF(ISNUMBER(Sync!$P1942),INT(MOD(Sync!$P1942,10000)/100),IFERROR(VALUE(TRIM(LEFT(MID(Sync!$P1942,FIND("/",Sync!$P1942)+1,20),FIND("/",MID(Sync!$P1942,FIND("/",Sync!$P1942)+1,20))-1))),"")))</f>
        <v/>
      </c>
      <c r="AH1942">
        <f>IF(OR($AE1942="",$AF1942=""),"",IF(ISNUMBER(Sync!$P1942),MOD(Sync!$P1942,100),IFERROR(VALUE(TRIM(MID(MID(Sync!$P1942,FIND("/",Sync!$P1942)+1,20),FIND("/",MID(Sync!$P1942,FIND("/",Sync!$P1942)+1,20))+1,20))),"")))</f>
        <v/>
      </c>
      <c r="AI1942">
        <f>IF($AE1942="","",IF(OR($AF1942="",$AG1942="",$AH1942="",$AF1942&lt;1300,$AF1942&gt;1500,$AG1942&lt;1,$AG1942&gt;12,$AH1942&lt;1,$AH1942&gt;31),"نامعتبر",RIGHT("0000"&amp;$AF1942,4)&amp;"/"&amp;RIGHT("00"&amp;$AG1942,2)&amp;"/"&amp;RIGHT("00"&amp;$AH1942,2)))</f>
        <v/>
      </c>
      <c r="AJ1942">
        <f>IF($AE1942="","",IF(Sync!$Q1942="","0000",IF(AND(ISNUMBER(Sync!$Q1942),Sync!$Q1942&gt;=0,Sync!$Q1942&lt;1),RIGHT("00"&amp;HOUR(Sync!$Q1942),2)&amp;RIGHT("00"&amp;MINUTE(Sync!$Q1942),2),IFERROR(RIGHT("00"&amp;VALUE(LEFT(Sync!$Q1942,FIND(":",Sync!$Q1942)-1)),2)&amp;RIGHT("00"&amp;VALUE(MID(Sync!$Q1942,FIND(":",Sync!$Q1942)+1,2)),2),"0000"))))</f>
        <v/>
      </c>
      <c r="AK1942">
        <f>IF(OR($AE1942="",$AI1942="",$AI1942="نامعتبر"),"",LEFT($AI1942,4)&amp;MID($AI1942,6,2)&amp;RIGHT($AI1942,2)&amp;$AJ1942&amp;"|"&amp;"3"&amp;RIGHT("00000"&amp;1937,5))</f>
        <v/>
      </c>
      <c r="AL1942">
        <f>IF($AK1942="","",COUNTIFS(LdAParty,$AE1942,LdAType,1,LdAKey,"&lt;"&amp;$AK1942)+COUNTIFS(LdBMember,$AE1942,LdBKey,"&lt;"&amp;$AK1942)+COUNTIFS(LdCParty,$AE1942,LdCKey,"&lt;"&amp;$AK1942)+1)</f>
        <v/>
      </c>
      <c r="AM1942">
        <f>IF($AL1942="","",$AE1942&amp;"|"&amp;RIGHT("000000"&amp;$AL1942,6))</f>
        <v/>
      </c>
      <c r="AN1942">
        <f>IF($AE1942="","",IF(Sync!$W1942="",0,Sync!$W1942))</f>
        <v/>
      </c>
      <c r="AO1942">
        <f>IF($AE1942="","",IF(Sync!$X1942="",0,Sync!$X1942))</f>
        <v/>
      </c>
      <c r="AP1942">
        <f>IF($AE1942="","",Sync!$R1942)</f>
        <v/>
      </c>
      <c r="AQ1942">
        <f>IF($AE1942="","",Sync!$Y1942)</f>
        <v/>
      </c>
    </row>
    <row r="1943">
      <c r="A1943">
        <f>IF(OR(Wages!$B1946="",Wages!$E1946=""),"",Wages!$E1946)</f>
        <v/>
      </c>
      <c r="B1943">
        <f>IF($A1943="","",IF(Wages!$C1946="دستمزد گروهی",2,1))</f>
        <v/>
      </c>
      <c r="C1943">
        <f>IF($A1943="","",IF(ISNUMBER(Wages!$B1946),IF(AND(Wages!$B1946&gt;=10000101,Wages!$B1946&lt;=99991231),INT(Wages!$B1946/10000),""),IFERROR(VALUE(TRIM(LEFT(Wages!$B1946,FIND("/",Wages!$B1946)-1))),"")))</f>
        <v/>
      </c>
      <c r="D1943">
        <f>IF(OR($A1943="",$C1943=""),"",IF(ISNUMBER(Wages!$B1946),INT(MOD(Wages!$B1946,10000)/100),IFERROR(VALUE(TRIM(LEFT(MID(Wages!$B1946,FIND("/",Wages!$B1946)+1,20),FIND("/",MID(Wages!$B1946,FIND("/",Wages!$B1946)+1,20))-1))),"")))</f>
        <v/>
      </c>
      <c r="E1943">
        <f>IF(OR($A1943="",$C1943=""),"",IF(ISNUMBER(Wages!$B1946),MOD(Wages!$B1946,100),IFERROR(VALUE(TRIM(MID(MID(Wages!$B1946,FIND("/",Wages!$B1946)+1,20),FIND("/",MID(Wages!$B1946,FIND("/",Wages!$B1946)+1,20))+1,20))),"")))</f>
        <v/>
      </c>
      <c r="F1943">
        <f>IF($A1943="","",IF(OR($C1943="",$D1943="",$E1943="",$C1943&lt;1300,$C1943&gt;1500,$D1943&lt;1,$D1943&gt;12,$E1943&lt;1,$E1943&gt;31),"نامعتبر",RIGHT("0000"&amp;$C1943,4)&amp;"/"&amp;RIGHT("00"&amp;$D1943,2)&amp;"/"&amp;RIGHT("00"&amp;$E1943,2)))</f>
        <v/>
      </c>
      <c r="G1943">
        <f>IF(OR($A1943="",$F1943="",$F1943="نامعتبر"),"",LEFT($F1943,4)&amp;MID($F1943,6,2)&amp;RIGHT($F1943,2)&amp;"0000"&amp;"|"&amp;"1"&amp;RIGHT("00000"&amp;1938,5))</f>
        <v/>
      </c>
      <c r="H1943">
        <f>IF(OR($B1943&lt;&gt;1,$G1943=""),"",COUNTIFS(LdAParty,$A1943,LdAType,1,LdAKey,"&lt;"&amp;$G1943)+COUNTIFS(LdBMember,$A1943,LdBKey,"&lt;"&amp;$G1943)+COUNTIFS(LdCParty,$A1943,LdCKey,"&lt;"&amp;$G1943)+1)</f>
        <v/>
      </c>
      <c r="I1943">
        <f>IF($H1943="","",$A1943&amp;"|"&amp;RIGHT("000000"&amp;$H1943,6))</f>
        <v/>
      </c>
      <c r="J1943">
        <f>IF(OR($B1943&lt;&gt;2,$G1943=""),"",COUNTIFS(LdAParty,$A1943,LdAType,2,LdAKey,"&lt;"&amp;$G1943)+1)</f>
        <v/>
      </c>
      <c r="K1943">
        <f>IF($J1943="","",$A1943&amp;"|"&amp;RIGHT("000000"&amp;$J1943,6))</f>
        <v/>
      </c>
      <c r="L1943">
        <f>IF($A1943="","",IF(Wages!$G1946="",0,Wages!$G1946))</f>
        <v/>
      </c>
      <c r="M1943">
        <f>IF($A1943="","",Wages!$J1946)</f>
        <v/>
      </c>
      <c r="N1943">
        <f>IF($A1943="","",Wages!$D1946)</f>
        <v/>
      </c>
      <c r="P1943">
        <f>IF(OR(Shares!$B1946="",Shares!$C1946=""),"",Shares!$C1946)</f>
        <v/>
      </c>
      <c r="Q1943">
        <f>IF($P1943="","",Shares!$B1946)</f>
        <v/>
      </c>
      <c r="R1943">
        <f>IF($P1943="","",IFERROR(INDEX(WageParty,MATCH($Q1943,WageIds,0)),""))</f>
        <v/>
      </c>
      <c r="S1943">
        <f>IF($P1943="","",IFERROR(INDEX($F$6:$F$2005,MATCH($Q1943,WageIds,0)),""))</f>
        <v/>
      </c>
      <c r="T1943">
        <f>IF(OR($P1943="",$S1943="",$S1943="نامعتبر"),"",LEFT($S1943,4)&amp;MID($S1943,6,2)&amp;RIGHT($S1943,2)&amp;"0000"&amp;"|"&amp;"2"&amp;RIGHT("00000"&amp;1938,5))</f>
        <v/>
      </c>
      <c r="U1943">
        <f>IF($T1943="","",COUNTIFS(LdAParty,$P1943,LdAType,1,LdAKey,"&lt;"&amp;$T1943)+COUNTIFS(LdBMember,$P1943,LdBKey,"&lt;"&amp;$T1943)+COUNTIFS(LdCParty,$P1943,LdCKey,"&lt;"&amp;$T1943)+1)</f>
        <v/>
      </c>
      <c r="V1943">
        <f>IF($U1943="","",$P1943&amp;"|"&amp;RIGHT("000000"&amp;$U1943,6))</f>
        <v/>
      </c>
      <c r="W1943">
        <f>IF($T1943="","",COUNTIFS(LdBGroup,$R1943,LdBKey,"&lt;"&amp;$T1943)+1)</f>
        <v/>
      </c>
      <c r="X1943">
        <f>IF($W1943="","",$R1943&amp;"|"&amp;RIGHT("000000"&amp;$W1943,6))</f>
        <v/>
      </c>
      <c r="Y1943">
        <f>IF($P1943="","",IF(Shares!$E1946="",0,Shares!$E1946))</f>
        <v/>
      </c>
      <c r="Z1943">
        <f>IF($P1943="","",Shares!$H1946)</f>
        <v/>
      </c>
      <c r="AE1943">
        <f>IF(OR(Sync!$S1943="",Sync!$P1943=""),"",Sync!$S1943)</f>
        <v/>
      </c>
      <c r="AF1943">
        <f>IF($AE1943="","",IF(ISNUMBER(Sync!$P1943),IF(AND(Sync!$P1943&gt;=10000101,Sync!$P1943&lt;=99991231),INT(Sync!$P1943/10000),""),IFERROR(VALUE(TRIM(LEFT(Sync!$P1943,FIND("/",Sync!$P1943)-1))),"")))</f>
        <v/>
      </c>
      <c r="AG1943">
        <f>IF(OR($AE1943="",$AF1943=""),"",IF(ISNUMBER(Sync!$P1943),INT(MOD(Sync!$P1943,10000)/100),IFERROR(VALUE(TRIM(LEFT(MID(Sync!$P1943,FIND("/",Sync!$P1943)+1,20),FIND("/",MID(Sync!$P1943,FIND("/",Sync!$P1943)+1,20))-1))),"")))</f>
        <v/>
      </c>
      <c r="AH1943">
        <f>IF(OR($AE1943="",$AF1943=""),"",IF(ISNUMBER(Sync!$P1943),MOD(Sync!$P1943,100),IFERROR(VALUE(TRIM(MID(MID(Sync!$P1943,FIND("/",Sync!$P1943)+1,20),FIND("/",MID(Sync!$P1943,FIND("/",Sync!$P1943)+1,20))+1,20))),"")))</f>
        <v/>
      </c>
      <c r="AI1943">
        <f>IF($AE1943="","",IF(OR($AF1943="",$AG1943="",$AH1943="",$AF1943&lt;1300,$AF1943&gt;1500,$AG1943&lt;1,$AG1943&gt;12,$AH1943&lt;1,$AH1943&gt;31),"نامعتبر",RIGHT("0000"&amp;$AF1943,4)&amp;"/"&amp;RIGHT("00"&amp;$AG1943,2)&amp;"/"&amp;RIGHT("00"&amp;$AH1943,2)))</f>
        <v/>
      </c>
      <c r="AJ1943">
        <f>IF($AE1943="","",IF(Sync!$Q1943="","0000",IF(AND(ISNUMBER(Sync!$Q1943),Sync!$Q1943&gt;=0,Sync!$Q1943&lt;1),RIGHT("00"&amp;HOUR(Sync!$Q1943),2)&amp;RIGHT("00"&amp;MINUTE(Sync!$Q1943),2),IFERROR(RIGHT("00"&amp;VALUE(LEFT(Sync!$Q1943,FIND(":",Sync!$Q1943)-1)),2)&amp;RIGHT("00"&amp;VALUE(MID(Sync!$Q1943,FIND(":",Sync!$Q1943)+1,2)),2),"0000"))))</f>
        <v/>
      </c>
      <c r="AK1943">
        <f>IF(OR($AE1943="",$AI1943="",$AI1943="نامعتبر"),"",LEFT($AI1943,4)&amp;MID($AI1943,6,2)&amp;RIGHT($AI1943,2)&amp;$AJ1943&amp;"|"&amp;"3"&amp;RIGHT("00000"&amp;1938,5))</f>
        <v/>
      </c>
      <c r="AL1943">
        <f>IF($AK1943="","",COUNTIFS(LdAParty,$AE1943,LdAType,1,LdAKey,"&lt;"&amp;$AK1943)+COUNTIFS(LdBMember,$AE1943,LdBKey,"&lt;"&amp;$AK1943)+COUNTIFS(LdCParty,$AE1943,LdCKey,"&lt;"&amp;$AK1943)+1)</f>
        <v/>
      </c>
      <c r="AM1943">
        <f>IF($AL1943="","",$AE1943&amp;"|"&amp;RIGHT("000000"&amp;$AL1943,6))</f>
        <v/>
      </c>
      <c r="AN1943">
        <f>IF($AE1943="","",IF(Sync!$W1943="",0,Sync!$W1943))</f>
        <v/>
      </c>
      <c r="AO1943">
        <f>IF($AE1943="","",IF(Sync!$X1943="",0,Sync!$X1943))</f>
        <v/>
      </c>
      <c r="AP1943">
        <f>IF($AE1943="","",Sync!$R1943)</f>
        <v/>
      </c>
      <c r="AQ1943">
        <f>IF($AE1943="","",Sync!$Y1943)</f>
        <v/>
      </c>
    </row>
    <row r="1944">
      <c r="A1944">
        <f>IF(OR(Wages!$B1947="",Wages!$E1947=""),"",Wages!$E1947)</f>
        <v/>
      </c>
      <c r="B1944">
        <f>IF($A1944="","",IF(Wages!$C1947="دستمزد گروهی",2,1))</f>
        <v/>
      </c>
      <c r="C1944">
        <f>IF($A1944="","",IF(ISNUMBER(Wages!$B1947),IF(AND(Wages!$B1947&gt;=10000101,Wages!$B1947&lt;=99991231),INT(Wages!$B1947/10000),""),IFERROR(VALUE(TRIM(LEFT(Wages!$B1947,FIND("/",Wages!$B1947)-1))),"")))</f>
        <v/>
      </c>
      <c r="D1944">
        <f>IF(OR($A1944="",$C1944=""),"",IF(ISNUMBER(Wages!$B1947),INT(MOD(Wages!$B1947,10000)/100),IFERROR(VALUE(TRIM(LEFT(MID(Wages!$B1947,FIND("/",Wages!$B1947)+1,20),FIND("/",MID(Wages!$B1947,FIND("/",Wages!$B1947)+1,20))-1))),"")))</f>
        <v/>
      </c>
      <c r="E1944">
        <f>IF(OR($A1944="",$C1944=""),"",IF(ISNUMBER(Wages!$B1947),MOD(Wages!$B1947,100),IFERROR(VALUE(TRIM(MID(MID(Wages!$B1947,FIND("/",Wages!$B1947)+1,20),FIND("/",MID(Wages!$B1947,FIND("/",Wages!$B1947)+1,20))+1,20))),"")))</f>
        <v/>
      </c>
      <c r="F1944">
        <f>IF($A1944="","",IF(OR($C1944="",$D1944="",$E1944="",$C1944&lt;1300,$C1944&gt;1500,$D1944&lt;1,$D1944&gt;12,$E1944&lt;1,$E1944&gt;31),"نامعتبر",RIGHT("0000"&amp;$C1944,4)&amp;"/"&amp;RIGHT("00"&amp;$D1944,2)&amp;"/"&amp;RIGHT("00"&amp;$E1944,2)))</f>
        <v/>
      </c>
      <c r="G1944">
        <f>IF(OR($A1944="",$F1944="",$F1944="نامعتبر"),"",LEFT($F1944,4)&amp;MID($F1944,6,2)&amp;RIGHT($F1944,2)&amp;"0000"&amp;"|"&amp;"1"&amp;RIGHT("00000"&amp;1939,5))</f>
        <v/>
      </c>
      <c r="H1944">
        <f>IF(OR($B1944&lt;&gt;1,$G1944=""),"",COUNTIFS(LdAParty,$A1944,LdAType,1,LdAKey,"&lt;"&amp;$G1944)+COUNTIFS(LdBMember,$A1944,LdBKey,"&lt;"&amp;$G1944)+COUNTIFS(LdCParty,$A1944,LdCKey,"&lt;"&amp;$G1944)+1)</f>
        <v/>
      </c>
      <c r="I1944">
        <f>IF($H1944="","",$A1944&amp;"|"&amp;RIGHT("000000"&amp;$H1944,6))</f>
        <v/>
      </c>
      <c r="J1944">
        <f>IF(OR($B1944&lt;&gt;2,$G1944=""),"",COUNTIFS(LdAParty,$A1944,LdAType,2,LdAKey,"&lt;"&amp;$G1944)+1)</f>
        <v/>
      </c>
      <c r="K1944">
        <f>IF($J1944="","",$A1944&amp;"|"&amp;RIGHT("000000"&amp;$J1944,6))</f>
        <v/>
      </c>
      <c r="L1944">
        <f>IF($A1944="","",IF(Wages!$G1947="",0,Wages!$G1947))</f>
        <v/>
      </c>
      <c r="M1944">
        <f>IF($A1944="","",Wages!$J1947)</f>
        <v/>
      </c>
      <c r="N1944">
        <f>IF($A1944="","",Wages!$D1947)</f>
        <v/>
      </c>
      <c r="P1944">
        <f>IF(OR(Shares!$B1947="",Shares!$C1947=""),"",Shares!$C1947)</f>
        <v/>
      </c>
      <c r="Q1944">
        <f>IF($P1944="","",Shares!$B1947)</f>
        <v/>
      </c>
      <c r="R1944">
        <f>IF($P1944="","",IFERROR(INDEX(WageParty,MATCH($Q1944,WageIds,0)),""))</f>
        <v/>
      </c>
      <c r="S1944">
        <f>IF($P1944="","",IFERROR(INDEX($F$6:$F$2005,MATCH($Q1944,WageIds,0)),""))</f>
        <v/>
      </c>
      <c r="T1944">
        <f>IF(OR($P1944="",$S1944="",$S1944="نامعتبر"),"",LEFT($S1944,4)&amp;MID($S1944,6,2)&amp;RIGHT($S1944,2)&amp;"0000"&amp;"|"&amp;"2"&amp;RIGHT("00000"&amp;1939,5))</f>
        <v/>
      </c>
      <c r="U1944">
        <f>IF($T1944="","",COUNTIFS(LdAParty,$P1944,LdAType,1,LdAKey,"&lt;"&amp;$T1944)+COUNTIFS(LdBMember,$P1944,LdBKey,"&lt;"&amp;$T1944)+COUNTIFS(LdCParty,$P1944,LdCKey,"&lt;"&amp;$T1944)+1)</f>
        <v/>
      </c>
      <c r="V1944">
        <f>IF($U1944="","",$P1944&amp;"|"&amp;RIGHT("000000"&amp;$U1944,6))</f>
        <v/>
      </c>
      <c r="W1944">
        <f>IF($T1944="","",COUNTIFS(LdBGroup,$R1944,LdBKey,"&lt;"&amp;$T1944)+1)</f>
        <v/>
      </c>
      <c r="X1944">
        <f>IF($W1944="","",$R1944&amp;"|"&amp;RIGHT("000000"&amp;$W1944,6))</f>
        <v/>
      </c>
      <c r="Y1944">
        <f>IF($P1944="","",IF(Shares!$E1947="",0,Shares!$E1947))</f>
        <v/>
      </c>
      <c r="Z1944">
        <f>IF($P1944="","",Shares!$H1947)</f>
        <v/>
      </c>
      <c r="AE1944">
        <f>IF(OR(Sync!$S1944="",Sync!$P1944=""),"",Sync!$S1944)</f>
        <v/>
      </c>
      <c r="AF1944">
        <f>IF($AE1944="","",IF(ISNUMBER(Sync!$P1944),IF(AND(Sync!$P1944&gt;=10000101,Sync!$P1944&lt;=99991231),INT(Sync!$P1944/10000),""),IFERROR(VALUE(TRIM(LEFT(Sync!$P1944,FIND("/",Sync!$P1944)-1))),"")))</f>
        <v/>
      </c>
      <c r="AG1944">
        <f>IF(OR($AE1944="",$AF1944=""),"",IF(ISNUMBER(Sync!$P1944),INT(MOD(Sync!$P1944,10000)/100),IFERROR(VALUE(TRIM(LEFT(MID(Sync!$P1944,FIND("/",Sync!$P1944)+1,20),FIND("/",MID(Sync!$P1944,FIND("/",Sync!$P1944)+1,20))-1))),"")))</f>
        <v/>
      </c>
      <c r="AH1944">
        <f>IF(OR($AE1944="",$AF1944=""),"",IF(ISNUMBER(Sync!$P1944),MOD(Sync!$P1944,100),IFERROR(VALUE(TRIM(MID(MID(Sync!$P1944,FIND("/",Sync!$P1944)+1,20),FIND("/",MID(Sync!$P1944,FIND("/",Sync!$P1944)+1,20))+1,20))),"")))</f>
        <v/>
      </c>
      <c r="AI1944">
        <f>IF($AE1944="","",IF(OR($AF1944="",$AG1944="",$AH1944="",$AF1944&lt;1300,$AF1944&gt;1500,$AG1944&lt;1,$AG1944&gt;12,$AH1944&lt;1,$AH1944&gt;31),"نامعتبر",RIGHT("0000"&amp;$AF1944,4)&amp;"/"&amp;RIGHT("00"&amp;$AG1944,2)&amp;"/"&amp;RIGHT("00"&amp;$AH1944,2)))</f>
        <v/>
      </c>
      <c r="AJ1944">
        <f>IF($AE1944="","",IF(Sync!$Q1944="","0000",IF(AND(ISNUMBER(Sync!$Q1944),Sync!$Q1944&gt;=0,Sync!$Q1944&lt;1),RIGHT("00"&amp;HOUR(Sync!$Q1944),2)&amp;RIGHT("00"&amp;MINUTE(Sync!$Q1944),2),IFERROR(RIGHT("00"&amp;VALUE(LEFT(Sync!$Q1944,FIND(":",Sync!$Q1944)-1)),2)&amp;RIGHT("00"&amp;VALUE(MID(Sync!$Q1944,FIND(":",Sync!$Q1944)+1,2)),2),"0000"))))</f>
        <v/>
      </c>
      <c r="AK1944">
        <f>IF(OR($AE1944="",$AI1944="",$AI1944="نامعتبر"),"",LEFT($AI1944,4)&amp;MID($AI1944,6,2)&amp;RIGHT($AI1944,2)&amp;$AJ1944&amp;"|"&amp;"3"&amp;RIGHT("00000"&amp;1939,5))</f>
        <v/>
      </c>
      <c r="AL1944">
        <f>IF($AK1944="","",COUNTIFS(LdAParty,$AE1944,LdAType,1,LdAKey,"&lt;"&amp;$AK1944)+COUNTIFS(LdBMember,$AE1944,LdBKey,"&lt;"&amp;$AK1944)+COUNTIFS(LdCParty,$AE1944,LdCKey,"&lt;"&amp;$AK1944)+1)</f>
        <v/>
      </c>
      <c r="AM1944">
        <f>IF($AL1944="","",$AE1944&amp;"|"&amp;RIGHT("000000"&amp;$AL1944,6))</f>
        <v/>
      </c>
      <c r="AN1944">
        <f>IF($AE1944="","",IF(Sync!$W1944="",0,Sync!$W1944))</f>
        <v/>
      </c>
      <c r="AO1944">
        <f>IF($AE1944="","",IF(Sync!$X1944="",0,Sync!$X1944))</f>
        <v/>
      </c>
      <c r="AP1944">
        <f>IF($AE1944="","",Sync!$R1944)</f>
        <v/>
      </c>
      <c r="AQ1944">
        <f>IF($AE1944="","",Sync!$Y1944)</f>
        <v/>
      </c>
    </row>
    <row r="1945">
      <c r="A1945">
        <f>IF(OR(Wages!$B1948="",Wages!$E1948=""),"",Wages!$E1948)</f>
        <v/>
      </c>
      <c r="B1945">
        <f>IF($A1945="","",IF(Wages!$C1948="دستمزد گروهی",2,1))</f>
        <v/>
      </c>
      <c r="C1945">
        <f>IF($A1945="","",IF(ISNUMBER(Wages!$B1948),IF(AND(Wages!$B1948&gt;=10000101,Wages!$B1948&lt;=99991231),INT(Wages!$B1948/10000),""),IFERROR(VALUE(TRIM(LEFT(Wages!$B1948,FIND("/",Wages!$B1948)-1))),"")))</f>
        <v/>
      </c>
      <c r="D1945">
        <f>IF(OR($A1945="",$C1945=""),"",IF(ISNUMBER(Wages!$B1948),INT(MOD(Wages!$B1948,10000)/100),IFERROR(VALUE(TRIM(LEFT(MID(Wages!$B1948,FIND("/",Wages!$B1948)+1,20),FIND("/",MID(Wages!$B1948,FIND("/",Wages!$B1948)+1,20))-1))),"")))</f>
        <v/>
      </c>
      <c r="E1945">
        <f>IF(OR($A1945="",$C1945=""),"",IF(ISNUMBER(Wages!$B1948),MOD(Wages!$B1948,100),IFERROR(VALUE(TRIM(MID(MID(Wages!$B1948,FIND("/",Wages!$B1948)+1,20),FIND("/",MID(Wages!$B1948,FIND("/",Wages!$B1948)+1,20))+1,20))),"")))</f>
        <v/>
      </c>
      <c r="F1945">
        <f>IF($A1945="","",IF(OR($C1945="",$D1945="",$E1945="",$C1945&lt;1300,$C1945&gt;1500,$D1945&lt;1,$D1945&gt;12,$E1945&lt;1,$E1945&gt;31),"نامعتبر",RIGHT("0000"&amp;$C1945,4)&amp;"/"&amp;RIGHT("00"&amp;$D1945,2)&amp;"/"&amp;RIGHT("00"&amp;$E1945,2)))</f>
        <v/>
      </c>
      <c r="G1945">
        <f>IF(OR($A1945="",$F1945="",$F1945="نامعتبر"),"",LEFT($F1945,4)&amp;MID($F1945,6,2)&amp;RIGHT($F1945,2)&amp;"0000"&amp;"|"&amp;"1"&amp;RIGHT("00000"&amp;1940,5))</f>
        <v/>
      </c>
      <c r="H1945">
        <f>IF(OR($B1945&lt;&gt;1,$G1945=""),"",COUNTIFS(LdAParty,$A1945,LdAType,1,LdAKey,"&lt;"&amp;$G1945)+COUNTIFS(LdBMember,$A1945,LdBKey,"&lt;"&amp;$G1945)+COUNTIFS(LdCParty,$A1945,LdCKey,"&lt;"&amp;$G1945)+1)</f>
        <v/>
      </c>
      <c r="I1945">
        <f>IF($H1945="","",$A1945&amp;"|"&amp;RIGHT("000000"&amp;$H1945,6))</f>
        <v/>
      </c>
      <c r="J1945">
        <f>IF(OR($B1945&lt;&gt;2,$G1945=""),"",COUNTIFS(LdAParty,$A1945,LdAType,2,LdAKey,"&lt;"&amp;$G1945)+1)</f>
        <v/>
      </c>
      <c r="K1945">
        <f>IF($J1945="","",$A1945&amp;"|"&amp;RIGHT("000000"&amp;$J1945,6))</f>
        <v/>
      </c>
      <c r="L1945">
        <f>IF($A1945="","",IF(Wages!$G1948="",0,Wages!$G1948))</f>
        <v/>
      </c>
      <c r="M1945">
        <f>IF($A1945="","",Wages!$J1948)</f>
        <v/>
      </c>
      <c r="N1945">
        <f>IF($A1945="","",Wages!$D1948)</f>
        <v/>
      </c>
      <c r="P1945">
        <f>IF(OR(Shares!$B1948="",Shares!$C1948=""),"",Shares!$C1948)</f>
        <v/>
      </c>
      <c r="Q1945">
        <f>IF($P1945="","",Shares!$B1948)</f>
        <v/>
      </c>
      <c r="R1945">
        <f>IF($P1945="","",IFERROR(INDEX(WageParty,MATCH($Q1945,WageIds,0)),""))</f>
        <v/>
      </c>
      <c r="S1945">
        <f>IF($P1945="","",IFERROR(INDEX($F$6:$F$2005,MATCH($Q1945,WageIds,0)),""))</f>
        <v/>
      </c>
      <c r="T1945">
        <f>IF(OR($P1945="",$S1945="",$S1945="نامعتبر"),"",LEFT($S1945,4)&amp;MID($S1945,6,2)&amp;RIGHT($S1945,2)&amp;"0000"&amp;"|"&amp;"2"&amp;RIGHT("00000"&amp;1940,5))</f>
        <v/>
      </c>
      <c r="U1945">
        <f>IF($T1945="","",COUNTIFS(LdAParty,$P1945,LdAType,1,LdAKey,"&lt;"&amp;$T1945)+COUNTIFS(LdBMember,$P1945,LdBKey,"&lt;"&amp;$T1945)+COUNTIFS(LdCParty,$P1945,LdCKey,"&lt;"&amp;$T1945)+1)</f>
        <v/>
      </c>
      <c r="V1945">
        <f>IF($U1945="","",$P1945&amp;"|"&amp;RIGHT("000000"&amp;$U1945,6))</f>
        <v/>
      </c>
      <c r="W1945">
        <f>IF($T1945="","",COUNTIFS(LdBGroup,$R1945,LdBKey,"&lt;"&amp;$T1945)+1)</f>
        <v/>
      </c>
      <c r="X1945">
        <f>IF($W1945="","",$R1945&amp;"|"&amp;RIGHT("000000"&amp;$W1945,6))</f>
        <v/>
      </c>
      <c r="Y1945">
        <f>IF($P1945="","",IF(Shares!$E1948="",0,Shares!$E1948))</f>
        <v/>
      </c>
      <c r="Z1945">
        <f>IF($P1945="","",Shares!$H1948)</f>
        <v/>
      </c>
      <c r="AE1945">
        <f>IF(OR(Sync!$S1945="",Sync!$P1945=""),"",Sync!$S1945)</f>
        <v/>
      </c>
      <c r="AF1945">
        <f>IF($AE1945="","",IF(ISNUMBER(Sync!$P1945),IF(AND(Sync!$P1945&gt;=10000101,Sync!$P1945&lt;=99991231),INT(Sync!$P1945/10000),""),IFERROR(VALUE(TRIM(LEFT(Sync!$P1945,FIND("/",Sync!$P1945)-1))),"")))</f>
        <v/>
      </c>
      <c r="AG1945">
        <f>IF(OR($AE1945="",$AF1945=""),"",IF(ISNUMBER(Sync!$P1945),INT(MOD(Sync!$P1945,10000)/100),IFERROR(VALUE(TRIM(LEFT(MID(Sync!$P1945,FIND("/",Sync!$P1945)+1,20),FIND("/",MID(Sync!$P1945,FIND("/",Sync!$P1945)+1,20))-1))),"")))</f>
        <v/>
      </c>
      <c r="AH1945">
        <f>IF(OR($AE1945="",$AF1945=""),"",IF(ISNUMBER(Sync!$P1945),MOD(Sync!$P1945,100),IFERROR(VALUE(TRIM(MID(MID(Sync!$P1945,FIND("/",Sync!$P1945)+1,20),FIND("/",MID(Sync!$P1945,FIND("/",Sync!$P1945)+1,20))+1,20))),"")))</f>
        <v/>
      </c>
      <c r="AI1945">
        <f>IF($AE1945="","",IF(OR($AF1945="",$AG1945="",$AH1945="",$AF1945&lt;1300,$AF1945&gt;1500,$AG1945&lt;1,$AG1945&gt;12,$AH1945&lt;1,$AH1945&gt;31),"نامعتبر",RIGHT("0000"&amp;$AF1945,4)&amp;"/"&amp;RIGHT("00"&amp;$AG1945,2)&amp;"/"&amp;RIGHT("00"&amp;$AH1945,2)))</f>
        <v/>
      </c>
      <c r="AJ1945">
        <f>IF($AE1945="","",IF(Sync!$Q1945="","0000",IF(AND(ISNUMBER(Sync!$Q1945),Sync!$Q1945&gt;=0,Sync!$Q1945&lt;1),RIGHT("00"&amp;HOUR(Sync!$Q1945),2)&amp;RIGHT("00"&amp;MINUTE(Sync!$Q1945),2),IFERROR(RIGHT("00"&amp;VALUE(LEFT(Sync!$Q1945,FIND(":",Sync!$Q1945)-1)),2)&amp;RIGHT("00"&amp;VALUE(MID(Sync!$Q1945,FIND(":",Sync!$Q1945)+1,2)),2),"0000"))))</f>
        <v/>
      </c>
      <c r="AK1945">
        <f>IF(OR($AE1945="",$AI1945="",$AI1945="نامعتبر"),"",LEFT($AI1945,4)&amp;MID($AI1945,6,2)&amp;RIGHT($AI1945,2)&amp;$AJ1945&amp;"|"&amp;"3"&amp;RIGHT("00000"&amp;1940,5))</f>
        <v/>
      </c>
      <c r="AL1945">
        <f>IF($AK1945="","",COUNTIFS(LdAParty,$AE1945,LdAType,1,LdAKey,"&lt;"&amp;$AK1945)+COUNTIFS(LdBMember,$AE1945,LdBKey,"&lt;"&amp;$AK1945)+COUNTIFS(LdCParty,$AE1945,LdCKey,"&lt;"&amp;$AK1945)+1)</f>
        <v/>
      </c>
      <c r="AM1945">
        <f>IF($AL1945="","",$AE1945&amp;"|"&amp;RIGHT("000000"&amp;$AL1945,6))</f>
        <v/>
      </c>
      <c r="AN1945">
        <f>IF($AE1945="","",IF(Sync!$W1945="",0,Sync!$W1945))</f>
        <v/>
      </c>
      <c r="AO1945">
        <f>IF($AE1945="","",IF(Sync!$X1945="",0,Sync!$X1945))</f>
        <v/>
      </c>
      <c r="AP1945">
        <f>IF($AE1945="","",Sync!$R1945)</f>
        <v/>
      </c>
      <c r="AQ1945">
        <f>IF($AE1945="","",Sync!$Y1945)</f>
        <v/>
      </c>
    </row>
    <row r="1946">
      <c r="A1946">
        <f>IF(OR(Wages!$B1949="",Wages!$E1949=""),"",Wages!$E1949)</f>
        <v/>
      </c>
      <c r="B1946">
        <f>IF($A1946="","",IF(Wages!$C1949="دستمزد گروهی",2,1))</f>
        <v/>
      </c>
      <c r="C1946">
        <f>IF($A1946="","",IF(ISNUMBER(Wages!$B1949),IF(AND(Wages!$B1949&gt;=10000101,Wages!$B1949&lt;=99991231),INT(Wages!$B1949/10000),""),IFERROR(VALUE(TRIM(LEFT(Wages!$B1949,FIND("/",Wages!$B1949)-1))),"")))</f>
        <v/>
      </c>
      <c r="D1946">
        <f>IF(OR($A1946="",$C1946=""),"",IF(ISNUMBER(Wages!$B1949),INT(MOD(Wages!$B1949,10000)/100),IFERROR(VALUE(TRIM(LEFT(MID(Wages!$B1949,FIND("/",Wages!$B1949)+1,20),FIND("/",MID(Wages!$B1949,FIND("/",Wages!$B1949)+1,20))-1))),"")))</f>
        <v/>
      </c>
      <c r="E1946">
        <f>IF(OR($A1946="",$C1946=""),"",IF(ISNUMBER(Wages!$B1949),MOD(Wages!$B1949,100),IFERROR(VALUE(TRIM(MID(MID(Wages!$B1949,FIND("/",Wages!$B1949)+1,20),FIND("/",MID(Wages!$B1949,FIND("/",Wages!$B1949)+1,20))+1,20))),"")))</f>
        <v/>
      </c>
      <c r="F1946">
        <f>IF($A1946="","",IF(OR($C1946="",$D1946="",$E1946="",$C1946&lt;1300,$C1946&gt;1500,$D1946&lt;1,$D1946&gt;12,$E1946&lt;1,$E1946&gt;31),"نامعتبر",RIGHT("0000"&amp;$C1946,4)&amp;"/"&amp;RIGHT("00"&amp;$D1946,2)&amp;"/"&amp;RIGHT("00"&amp;$E1946,2)))</f>
        <v/>
      </c>
      <c r="G1946">
        <f>IF(OR($A1946="",$F1946="",$F1946="نامعتبر"),"",LEFT($F1946,4)&amp;MID($F1946,6,2)&amp;RIGHT($F1946,2)&amp;"0000"&amp;"|"&amp;"1"&amp;RIGHT("00000"&amp;1941,5))</f>
        <v/>
      </c>
      <c r="H1946">
        <f>IF(OR($B1946&lt;&gt;1,$G1946=""),"",COUNTIFS(LdAParty,$A1946,LdAType,1,LdAKey,"&lt;"&amp;$G1946)+COUNTIFS(LdBMember,$A1946,LdBKey,"&lt;"&amp;$G1946)+COUNTIFS(LdCParty,$A1946,LdCKey,"&lt;"&amp;$G1946)+1)</f>
        <v/>
      </c>
      <c r="I1946">
        <f>IF($H1946="","",$A1946&amp;"|"&amp;RIGHT("000000"&amp;$H1946,6))</f>
        <v/>
      </c>
      <c r="J1946">
        <f>IF(OR($B1946&lt;&gt;2,$G1946=""),"",COUNTIFS(LdAParty,$A1946,LdAType,2,LdAKey,"&lt;"&amp;$G1946)+1)</f>
        <v/>
      </c>
      <c r="K1946">
        <f>IF($J1946="","",$A1946&amp;"|"&amp;RIGHT("000000"&amp;$J1946,6))</f>
        <v/>
      </c>
      <c r="L1946">
        <f>IF($A1946="","",IF(Wages!$G1949="",0,Wages!$G1949))</f>
        <v/>
      </c>
      <c r="M1946">
        <f>IF($A1946="","",Wages!$J1949)</f>
        <v/>
      </c>
      <c r="N1946">
        <f>IF($A1946="","",Wages!$D1949)</f>
        <v/>
      </c>
      <c r="P1946">
        <f>IF(OR(Shares!$B1949="",Shares!$C1949=""),"",Shares!$C1949)</f>
        <v/>
      </c>
      <c r="Q1946">
        <f>IF($P1946="","",Shares!$B1949)</f>
        <v/>
      </c>
      <c r="R1946">
        <f>IF($P1946="","",IFERROR(INDEX(WageParty,MATCH($Q1946,WageIds,0)),""))</f>
        <v/>
      </c>
      <c r="S1946">
        <f>IF($P1946="","",IFERROR(INDEX($F$6:$F$2005,MATCH($Q1946,WageIds,0)),""))</f>
        <v/>
      </c>
      <c r="T1946">
        <f>IF(OR($P1946="",$S1946="",$S1946="نامعتبر"),"",LEFT($S1946,4)&amp;MID($S1946,6,2)&amp;RIGHT($S1946,2)&amp;"0000"&amp;"|"&amp;"2"&amp;RIGHT("00000"&amp;1941,5))</f>
        <v/>
      </c>
      <c r="U1946">
        <f>IF($T1946="","",COUNTIFS(LdAParty,$P1946,LdAType,1,LdAKey,"&lt;"&amp;$T1946)+COUNTIFS(LdBMember,$P1946,LdBKey,"&lt;"&amp;$T1946)+COUNTIFS(LdCParty,$P1946,LdCKey,"&lt;"&amp;$T1946)+1)</f>
        <v/>
      </c>
      <c r="V1946">
        <f>IF($U1946="","",$P1946&amp;"|"&amp;RIGHT("000000"&amp;$U1946,6))</f>
        <v/>
      </c>
      <c r="W1946">
        <f>IF($T1946="","",COUNTIFS(LdBGroup,$R1946,LdBKey,"&lt;"&amp;$T1946)+1)</f>
        <v/>
      </c>
      <c r="X1946">
        <f>IF($W1946="","",$R1946&amp;"|"&amp;RIGHT("000000"&amp;$W1946,6))</f>
        <v/>
      </c>
      <c r="Y1946">
        <f>IF($P1946="","",IF(Shares!$E1949="",0,Shares!$E1949))</f>
        <v/>
      </c>
      <c r="Z1946">
        <f>IF($P1946="","",Shares!$H1949)</f>
        <v/>
      </c>
      <c r="AE1946">
        <f>IF(OR(Sync!$S1946="",Sync!$P1946=""),"",Sync!$S1946)</f>
        <v/>
      </c>
      <c r="AF1946">
        <f>IF($AE1946="","",IF(ISNUMBER(Sync!$P1946),IF(AND(Sync!$P1946&gt;=10000101,Sync!$P1946&lt;=99991231),INT(Sync!$P1946/10000),""),IFERROR(VALUE(TRIM(LEFT(Sync!$P1946,FIND("/",Sync!$P1946)-1))),"")))</f>
        <v/>
      </c>
      <c r="AG1946">
        <f>IF(OR($AE1946="",$AF1946=""),"",IF(ISNUMBER(Sync!$P1946),INT(MOD(Sync!$P1946,10000)/100),IFERROR(VALUE(TRIM(LEFT(MID(Sync!$P1946,FIND("/",Sync!$P1946)+1,20),FIND("/",MID(Sync!$P1946,FIND("/",Sync!$P1946)+1,20))-1))),"")))</f>
        <v/>
      </c>
      <c r="AH1946">
        <f>IF(OR($AE1946="",$AF1946=""),"",IF(ISNUMBER(Sync!$P1946),MOD(Sync!$P1946,100),IFERROR(VALUE(TRIM(MID(MID(Sync!$P1946,FIND("/",Sync!$P1946)+1,20),FIND("/",MID(Sync!$P1946,FIND("/",Sync!$P1946)+1,20))+1,20))),"")))</f>
        <v/>
      </c>
      <c r="AI1946">
        <f>IF($AE1946="","",IF(OR($AF1946="",$AG1946="",$AH1946="",$AF1946&lt;1300,$AF1946&gt;1500,$AG1946&lt;1,$AG1946&gt;12,$AH1946&lt;1,$AH1946&gt;31),"نامعتبر",RIGHT("0000"&amp;$AF1946,4)&amp;"/"&amp;RIGHT("00"&amp;$AG1946,2)&amp;"/"&amp;RIGHT("00"&amp;$AH1946,2)))</f>
        <v/>
      </c>
      <c r="AJ1946">
        <f>IF($AE1946="","",IF(Sync!$Q1946="","0000",IF(AND(ISNUMBER(Sync!$Q1946),Sync!$Q1946&gt;=0,Sync!$Q1946&lt;1),RIGHT("00"&amp;HOUR(Sync!$Q1946),2)&amp;RIGHT("00"&amp;MINUTE(Sync!$Q1946),2),IFERROR(RIGHT("00"&amp;VALUE(LEFT(Sync!$Q1946,FIND(":",Sync!$Q1946)-1)),2)&amp;RIGHT("00"&amp;VALUE(MID(Sync!$Q1946,FIND(":",Sync!$Q1946)+1,2)),2),"0000"))))</f>
        <v/>
      </c>
      <c r="AK1946">
        <f>IF(OR($AE1946="",$AI1946="",$AI1946="نامعتبر"),"",LEFT($AI1946,4)&amp;MID($AI1946,6,2)&amp;RIGHT($AI1946,2)&amp;$AJ1946&amp;"|"&amp;"3"&amp;RIGHT("00000"&amp;1941,5))</f>
        <v/>
      </c>
      <c r="AL1946">
        <f>IF($AK1946="","",COUNTIFS(LdAParty,$AE1946,LdAType,1,LdAKey,"&lt;"&amp;$AK1946)+COUNTIFS(LdBMember,$AE1946,LdBKey,"&lt;"&amp;$AK1946)+COUNTIFS(LdCParty,$AE1946,LdCKey,"&lt;"&amp;$AK1946)+1)</f>
        <v/>
      </c>
      <c r="AM1946">
        <f>IF($AL1946="","",$AE1946&amp;"|"&amp;RIGHT("000000"&amp;$AL1946,6))</f>
        <v/>
      </c>
      <c r="AN1946">
        <f>IF($AE1946="","",IF(Sync!$W1946="",0,Sync!$W1946))</f>
        <v/>
      </c>
      <c r="AO1946">
        <f>IF($AE1946="","",IF(Sync!$X1946="",0,Sync!$X1946))</f>
        <v/>
      </c>
      <c r="AP1946">
        <f>IF($AE1946="","",Sync!$R1946)</f>
        <v/>
      </c>
      <c r="AQ1946">
        <f>IF($AE1946="","",Sync!$Y1946)</f>
        <v/>
      </c>
    </row>
    <row r="1947">
      <c r="A1947">
        <f>IF(OR(Wages!$B1950="",Wages!$E1950=""),"",Wages!$E1950)</f>
        <v/>
      </c>
      <c r="B1947">
        <f>IF($A1947="","",IF(Wages!$C1950="دستمزد گروهی",2,1))</f>
        <v/>
      </c>
      <c r="C1947">
        <f>IF($A1947="","",IF(ISNUMBER(Wages!$B1950),IF(AND(Wages!$B1950&gt;=10000101,Wages!$B1950&lt;=99991231),INT(Wages!$B1950/10000),""),IFERROR(VALUE(TRIM(LEFT(Wages!$B1950,FIND("/",Wages!$B1950)-1))),"")))</f>
        <v/>
      </c>
      <c r="D1947">
        <f>IF(OR($A1947="",$C1947=""),"",IF(ISNUMBER(Wages!$B1950),INT(MOD(Wages!$B1950,10000)/100),IFERROR(VALUE(TRIM(LEFT(MID(Wages!$B1950,FIND("/",Wages!$B1950)+1,20),FIND("/",MID(Wages!$B1950,FIND("/",Wages!$B1950)+1,20))-1))),"")))</f>
        <v/>
      </c>
      <c r="E1947">
        <f>IF(OR($A1947="",$C1947=""),"",IF(ISNUMBER(Wages!$B1950),MOD(Wages!$B1950,100),IFERROR(VALUE(TRIM(MID(MID(Wages!$B1950,FIND("/",Wages!$B1950)+1,20),FIND("/",MID(Wages!$B1950,FIND("/",Wages!$B1950)+1,20))+1,20))),"")))</f>
        <v/>
      </c>
      <c r="F1947">
        <f>IF($A1947="","",IF(OR($C1947="",$D1947="",$E1947="",$C1947&lt;1300,$C1947&gt;1500,$D1947&lt;1,$D1947&gt;12,$E1947&lt;1,$E1947&gt;31),"نامعتبر",RIGHT("0000"&amp;$C1947,4)&amp;"/"&amp;RIGHT("00"&amp;$D1947,2)&amp;"/"&amp;RIGHT("00"&amp;$E1947,2)))</f>
        <v/>
      </c>
      <c r="G1947">
        <f>IF(OR($A1947="",$F1947="",$F1947="نامعتبر"),"",LEFT($F1947,4)&amp;MID($F1947,6,2)&amp;RIGHT($F1947,2)&amp;"0000"&amp;"|"&amp;"1"&amp;RIGHT("00000"&amp;1942,5))</f>
        <v/>
      </c>
      <c r="H1947">
        <f>IF(OR($B1947&lt;&gt;1,$G1947=""),"",COUNTIFS(LdAParty,$A1947,LdAType,1,LdAKey,"&lt;"&amp;$G1947)+COUNTIFS(LdBMember,$A1947,LdBKey,"&lt;"&amp;$G1947)+COUNTIFS(LdCParty,$A1947,LdCKey,"&lt;"&amp;$G1947)+1)</f>
        <v/>
      </c>
      <c r="I1947">
        <f>IF($H1947="","",$A1947&amp;"|"&amp;RIGHT("000000"&amp;$H1947,6))</f>
        <v/>
      </c>
      <c r="J1947">
        <f>IF(OR($B1947&lt;&gt;2,$G1947=""),"",COUNTIFS(LdAParty,$A1947,LdAType,2,LdAKey,"&lt;"&amp;$G1947)+1)</f>
        <v/>
      </c>
      <c r="K1947">
        <f>IF($J1947="","",$A1947&amp;"|"&amp;RIGHT("000000"&amp;$J1947,6))</f>
        <v/>
      </c>
      <c r="L1947">
        <f>IF($A1947="","",IF(Wages!$G1950="",0,Wages!$G1950))</f>
        <v/>
      </c>
      <c r="M1947">
        <f>IF($A1947="","",Wages!$J1950)</f>
        <v/>
      </c>
      <c r="N1947">
        <f>IF($A1947="","",Wages!$D1950)</f>
        <v/>
      </c>
      <c r="P1947">
        <f>IF(OR(Shares!$B1950="",Shares!$C1950=""),"",Shares!$C1950)</f>
        <v/>
      </c>
      <c r="Q1947">
        <f>IF($P1947="","",Shares!$B1950)</f>
        <v/>
      </c>
      <c r="R1947">
        <f>IF($P1947="","",IFERROR(INDEX(WageParty,MATCH($Q1947,WageIds,0)),""))</f>
        <v/>
      </c>
      <c r="S1947">
        <f>IF($P1947="","",IFERROR(INDEX($F$6:$F$2005,MATCH($Q1947,WageIds,0)),""))</f>
        <v/>
      </c>
      <c r="T1947">
        <f>IF(OR($P1947="",$S1947="",$S1947="نامعتبر"),"",LEFT($S1947,4)&amp;MID($S1947,6,2)&amp;RIGHT($S1947,2)&amp;"0000"&amp;"|"&amp;"2"&amp;RIGHT("00000"&amp;1942,5))</f>
        <v/>
      </c>
      <c r="U1947">
        <f>IF($T1947="","",COUNTIFS(LdAParty,$P1947,LdAType,1,LdAKey,"&lt;"&amp;$T1947)+COUNTIFS(LdBMember,$P1947,LdBKey,"&lt;"&amp;$T1947)+COUNTIFS(LdCParty,$P1947,LdCKey,"&lt;"&amp;$T1947)+1)</f>
        <v/>
      </c>
      <c r="V1947">
        <f>IF($U1947="","",$P1947&amp;"|"&amp;RIGHT("000000"&amp;$U1947,6))</f>
        <v/>
      </c>
      <c r="W1947">
        <f>IF($T1947="","",COUNTIFS(LdBGroup,$R1947,LdBKey,"&lt;"&amp;$T1947)+1)</f>
        <v/>
      </c>
      <c r="X1947">
        <f>IF($W1947="","",$R1947&amp;"|"&amp;RIGHT("000000"&amp;$W1947,6))</f>
        <v/>
      </c>
      <c r="Y1947">
        <f>IF($P1947="","",IF(Shares!$E1950="",0,Shares!$E1950))</f>
        <v/>
      </c>
      <c r="Z1947">
        <f>IF($P1947="","",Shares!$H1950)</f>
        <v/>
      </c>
      <c r="AE1947">
        <f>IF(OR(Sync!$S1947="",Sync!$P1947=""),"",Sync!$S1947)</f>
        <v/>
      </c>
      <c r="AF1947">
        <f>IF($AE1947="","",IF(ISNUMBER(Sync!$P1947),IF(AND(Sync!$P1947&gt;=10000101,Sync!$P1947&lt;=99991231),INT(Sync!$P1947/10000),""),IFERROR(VALUE(TRIM(LEFT(Sync!$P1947,FIND("/",Sync!$P1947)-1))),"")))</f>
        <v/>
      </c>
      <c r="AG1947">
        <f>IF(OR($AE1947="",$AF1947=""),"",IF(ISNUMBER(Sync!$P1947),INT(MOD(Sync!$P1947,10000)/100),IFERROR(VALUE(TRIM(LEFT(MID(Sync!$P1947,FIND("/",Sync!$P1947)+1,20),FIND("/",MID(Sync!$P1947,FIND("/",Sync!$P1947)+1,20))-1))),"")))</f>
        <v/>
      </c>
      <c r="AH1947">
        <f>IF(OR($AE1947="",$AF1947=""),"",IF(ISNUMBER(Sync!$P1947),MOD(Sync!$P1947,100),IFERROR(VALUE(TRIM(MID(MID(Sync!$P1947,FIND("/",Sync!$P1947)+1,20),FIND("/",MID(Sync!$P1947,FIND("/",Sync!$P1947)+1,20))+1,20))),"")))</f>
        <v/>
      </c>
      <c r="AI1947">
        <f>IF($AE1947="","",IF(OR($AF1947="",$AG1947="",$AH1947="",$AF1947&lt;1300,$AF1947&gt;1500,$AG1947&lt;1,$AG1947&gt;12,$AH1947&lt;1,$AH1947&gt;31),"نامعتبر",RIGHT("0000"&amp;$AF1947,4)&amp;"/"&amp;RIGHT("00"&amp;$AG1947,2)&amp;"/"&amp;RIGHT("00"&amp;$AH1947,2)))</f>
        <v/>
      </c>
      <c r="AJ1947">
        <f>IF($AE1947="","",IF(Sync!$Q1947="","0000",IF(AND(ISNUMBER(Sync!$Q1947),Sync!$Q1947&gt;=0,Sync!$Q1947&lt;1),RIGHT("00"&amp;HOUR(Sync!$Q1947),2)&amp;RIGHT("00"&amp;MINUTE(Sync!$Q1947),2),IFERROR(RIGHT("00"&amp;VALUE(LEFT(Sync!$Q1947,FIND(":",Sync!$Q1947)-1)),2)&amp;RIGHT("00"&amp;VALUE(MID(Sync!$Q1947,FIND(":",Sync!$Q1947)+1,2)),2),"0000"))))</f>
        <v/>
      </c>
      <c r="AK1947">
        <f>IF(OR($AE1947="",$AI1947="",$AI1947="نامعتبر"),"",LEFT($AI1947,4)&amp;MID($AI1947,6,2)&amp;RIGHT($AI1947,2)&amp;$AJ1947&amp;"|"&amp;"3"&amp;RIGHT("00000"&amp;1942,5))</f>
        <v/>
      </c>
      <c r="AL1947">
        <f>IF($AK1947="","",COUNTIFS(LdAParty,$AE1947,LdAType,1,LdAKey,"&lt;"&amp;$AK1947)+COUNTIFS(LdBMember,$AE1947,LdBKey,"&lt;"&amp;$AK1947)+COUNTIFS(LdCParty,$AE1947,LdCKey,"&lt;"&amp;$AK1947)+1)</f>
        <v/>
      </c>
      <c r="AM1947">
        <f>IF($AL1947="","",$AE1947&amp;"|"&amp;RIGHT("000000"&amp;$AL1947,6))</f>
        <v/>
      </c>
      <c r="AN1947">
        <f>IF($AE1947="","",IF(Sync!$W1947="",0,Sync!$W1947))</f>
        <v/>
      </c>
      <c r="AO1947">
        <f>IF($AE1947="","",IF(Sync!$X1947="",0,Sync!$X1947))</f>
        <v/>
      </c>
      <c r="AP1947">
        <f>IF($AE1947="","",Sync!$R1947)</f>
        <v/>
      </c>
      <c r="AQ1947">
        <f>IF($AE1947="","",Sync!$Y1947)</f>
        <v/>
      </c>
    </row>
    <row r="1948">
      <c r="A1948">
        <f>IF(OR(Wages!$B1951="",Wages!$E1951=""),"",Wages!$E1951)</f>
        <v/>
      </c>
      <c r="B1948">
        <f>IF($A1948="","",IF(Wages!$C1951="دستمزد گروهی",2,1))</f>
        <v/>
      </c>
      <c r="C1948">
        <f>IF($A1948="","",IF(ISNUMBER(Wages!$B1951),IF(AND(Wages!$B1951&gt;=10000101,Wages!$B1951&lt;=99991231),INT(Wages!$B1951/10000),""),IFERROR(VALUE(TRIM(LEFT(Wages!$B1951,FIND("/",Wages!$B1951)-1))),"")))</f>
        <v/>
      </c>
      <c r="D1948">
        <f>IF(OR($A1948="",$C1948=""),"",IF(ISNUMBER(Wages!$B1951),INT(MOD(Wages!$B1951,10000)/100),IFERROR(VALUE(TRIM(LEFT(MID(Wages!$B1951,FIND("/",Wages!$B1951)+1,20),FIND("/",MID(Wages!$B1951,FIND("/",Wages!$B1951)+1,20))-1))),"")))</f>
        <v/>
      </c>
      <c r="E1948">
        <f>IF(OR($A1948="",$C1948=""),"",IF(ISNUMBER(Wages!$B1951),MOD(Wages!$B1951,100),IFERROR(VALUE(TRIM(MID(MID(Wages!$B1951,FIND("/",Wages!$B1951)+1,20),FIND("/",MID(Wages!$B1951,FIND("/",Wages!$B1951)+1,20))+1,20))),"")))</f>
        <v/>
      </c>
      <c r="F1948">
        <f>IF($A1948="","",IF(OR($C1948="",$D1948="",$E1948="",$C1948&lt;1300,$C1948&gt;1500,$D1948&lt;1,$D1948&gt;12,$E1948&lt;1,$E1948&gt;31),"نامعتبر",RIGHT("0000"&amp;$C1948,4)&amp;"/"&amp;RIGHT("00"&amp;$D1948,2)&amp;"/"&amp;RIGHT("00"&amp;$E1948,2)))</f>
        <v/>
      </c>
      <c r="G1948">
        <f>IF(OR($A1948="",$F1948="",$F1948="نامعتبر"),"",LEFT($F1948,4)&amp;MID($F1948,6,2)&amp;RIGHT($F1948,2)&amp;"0000"&amp;"|"&amp;"1"&amp;RIGHT("00000"&amp;1943,5))</f>
        <v/>
      </c>
      <c r="H1948">
        <f>IF(OR($B1948&lt;&gt;1,$G1948=""),"",COUNTIFS(LdAParty,$A1948,LdAType,1,LdAKey,"&lt;"&amp;$G1948)+COUNTIFS(LdBMember,$A1948,LdBKey,"&lt;"&amp;$G1948)+COUNTIFS(LdCParty,$A1948,LdCKey,"&lt;"&amp;$G1948)+1)</f>
        <v/>
      </c>
      <c r="I1948">
        <f>IF($H1948="","",$A1948&amp;"|"&amp;RIGHT("000000"&amp;$H1948,6))</f>
        <v/>
      </c>
      <c r="J1948">
        <f>IF(OR($B1948&lt;&gt;2,$G1948=""),"",COUNTIFS(LdAParty,$A1948,LdAType,2,LdAKey,"&lt;"&amp;$G1948)+1)</f>
        <v/>
      </c>
      <c r="K1948">
        <f>IF($J1948="","",$A1948&amp;"|"&amp;RIGHT("000000"&amp;$J1948,6))</f>
        <v/>
      </c>
      <c r="L1948">
        <f>IF($A1948="","",IF(Wages!$G1951="",0,Wages!$G1951))</f>
        <v/>
      </c>
      <c r="M1948">
        <f>IF($A1948="","",Wages!$J1951)</f>
        <v/>
      </c>
      <c r="N1948">
        <f>IF($A1948="","",Wages!$D1951)</f>
        <v/>
      </c>
      <c r="P1948">
        <f>IF(OR(Shares!$B1951="",Shares!$C1951=""),"",Shares!$C1951)</f>
        <v/>
      </c>
      <c r="Q1948">
        <f>IF($P1948="","",Shares!$B1951)</f>
        <v/>
      </c>
      <c r="R1948">
        <f>IF($P1948="","",IFERROR(INDEX(WageParty,MATCH($Q1948,WageIds,0)),""))</f>
        <v/>
      </c>
      <c r="S1948">
        <f>IF($P1948="","",IFERROR(INDEX($F$6:$F$2005,MATCH($Q1948,WageIds,0)),""))</f>
        <v/>
      </c>
      <c r="T1948">
        <f>IF(OR($P1948="",$S1948="",$S1948="نامعتبر"),"",LEFT($S1948,4)&amp;MID($S1948,6,2)&amp;RIGHT($S1948,2)&amp;"0000"&amp;"|"&amp;"2"&amp;RIGHT("00000"&amp;1943,5))</f>
        <v/>
      </c>
      <c r="U1948">
        <f>IF($T1948="","",COUNTIFS(LdAParty,$P1948,LdAType,1,LdAKey,"&lt;"&amp;$T1948)+COUNTIFS(LdBMember,$P1948,LdBKey,"&lt;"&amp;$T1948)+COUNTIFS(LdCParty,$P1948,LdCKey,"&lt;"&amp;$T1948)+1)</f>
        <v/>
      </c>
      <c r="V1948">
        <f>IF($U1948="","",$P1948&amp;"|"&amp;RIGHT("000000"&amp;$U1948,6))</f>
        <v/>
      </c>
      <c r="W1948">
        <f>IF($T1948="","",COUNTIFS(LdBGroup,$R1948,LdBKey,"&lt;"&amp;$T1948)+1)</f>
        <v/>
      </c>
      <c r="X1948">
        <f>IF($W1948="","",$R1948&amp;"|"&amp;RIGHT("000000"&amp;$W1948,6))</f>
        <v/>
      </c>
      <c r="Y1948">
        <f>IF($P1948="","",IF(Shares!$E1951="",0,Shares!$E1951))</f>
        <v/>
      </c>
      <c r="Z1948">
        <f>IF($P1948="","",Shares!$H1951)</f>
        <v/>
      </c>
      <c r="AE1948">
        <f>IF(OR(Sync!$S1948="",Sync!$P1948=""),"",Sync!$S1948)</f>
        <v/>
      </c>
      <c r="AF1948">
        <f>IF($AE1948="","",IF(ISNUMBER(Sync!$P1948),IF(AND(Sync!$P1948&gt;=10000101,Sync!$P1948&lt;=99991231),INT(Sync!$P1948/10000),""),IFERROR(VALUE(TRIM(LEFT(Sync!$P1948,FIND("/",Sync!$P1948)-1))),"")))</f>
        <v/>
      </c>
      <c r="AG1948">
        <f>IF(OR($AE1948="",$AF1948=""),"",IF(ISNUMBER(Sync!$P1948),INT(MOD(Sync!$P1948,10000)/100),IFERROR(VALUE(TRIM(LEFT(MID(Sync!$P1948,FIND("/",Sync!$P1948)+1,20),FIND("/",MID(Sync!$P1948,FIND("/",Sync!$P1948)+1,20))-1))),"")))</f>
        <v/>
      </c>
      <c r="AH1948">
        <f>IF(OR($AE1948="",$AF1948=""),"",IF(ISNUMBER(Sync!$P1948),MOD(Sync!$P1948,100),IFERROR(VALUE(TRIM(MID(MID(Sync!$P1948,FIND("/",Sync!$P1948)+1,20),FIND("/",MID(Sync!$P1948,FIND("/",Sync!$P1948)+1,20))+1,20))),"")))</f>
        <v/>
      </c>
      <c r="AI1948">
        <f>IF($AE1948="","",IF(OR($AF1948="",$AG1948="",$AH1948="",$AF1948&lt;1300,$AF1948&gt;1500,$AG1948&lt;1,$AG1948&gt;12,$AH1948&lt;1,$AH1948&gt;31),"نامعتبر",RIGHT("0000"&amp;$AF1948,4)&amp;"/"&amp;RIGHT("00"&amp;$AG1948,2)&amp;"/"&amp;RIGHT("00"&amp;$AH1948,2)))</f>
        <v/>
      </c>
      <c r="AJ1948">
        <f>IF($AE1948="","",IF(Sync!$Q1948="","0000",IF(AND(ISNUMBER(Sync!$Q1948),Sync!$Q1948&gt;=0,Sync!$Q1948&lt;1),RIGHT("00"&amp;HOUR(Sync!$Q1948),2)&amp;RIGHT("00"&amp;MINUTE(Sync!$Q1948),2),IFERROR(RIGHT("00"&amp;VALUE(LEFT(Sync!$Q1948,FIND(":",Sync!$Q1948)-1)),2)&amp;RIGHT("00"&amp;VALUE(MID(Sync!$Q1948,FIND(":",Sync!$Q1948)+1,2)),2),"0000"))))</f>
        <v/>
      </c>
      <c r="AK1948">
        <f>IF(OR($AE1948="",$AI1948="",$AI1948="نامعتبر"),"",LEFT($AI1948,4)&amp;MID($AI1948,6,2)&amp;RIGHT($AI1948,2)&amp;$AJ1948&amp;"|"&amp;"3"&amp;RIGHT("00000"&amp;1943,5))</f>
        <v/>
      </c>
      <c r="AL1948">
        <f>IF($AK1948="","",COUNTIFS(LdAParty,$AE1948,LdAType,1,LdAKey,"&lt;"&amp;$AK1948)+COUNTIFS(LdBMember,$AE1948,LdBKey,"&lt;"&amp;$AK1948)+COUNTIFS(LdCParty,$AE1948,LdCKey,"&lt;"&amp;$AK1948)+1)</f>
        <v/>
      </c>
      <c r="AM1948">
        <f>IF($AL1948="","",$AE1948&amp;"|"&amp;RIGHT("000000"&amp;$AL1948,6))</f>
        <v/>
      </c>
      <c r="AN1948">
        <f>IF($AE1948="","",IF(Sync!$W1948="",0,Sync!$W1948))</f>
        <v/>
      </c>
      <c r="AO1948">
        <f>IF($AE1948="","",IF(Sync!$X1948="",0,Sync!$X1948))</f>
        <v/>
      </c>
      <c r="AP1948">
        <f>IF($AE1948="","",Sync!$R1948)</f>
        <v/>
      </c>
      <c r="AQ1948">
        <f>IF($AE1948="","",Sync!$Y1948)</f>
        <v/>
      </c>
    </row>
    <row r="1949">
      <c r="A1949">
        <f>IF(OR(Wages!$B1952="",Wages!$E1952=""),"",Wages!$E1952)</f>
        <v/>
      </c>
      <c r="B1949">
        <f>IF($A1949="","",IF(Wages!$C1952="دستمزد گروهی",2,1))</f>
        <v/>
      </c>
      <c r="C1949">
        <f>IF($A1949="","",IF(ISNUMBER(Wages!$B1952),IF(AND(Wages!$B1952&gt;=10000101,Wages!$B1952&lt;=99991231),INT(Wages!$B1952/10000),""),IFERROR(VALUE(TRIM(LEFT(Wages!$B1952,FIND("/",Wages!$B1952)-1))),"")))</f>
        <v/>
      </c>
      <c r="D1949">
        <f>IF(OR($A1949="",$C1949=""),"",IF(ISNUMBER(Wages!$B1952),INT(MOD(Wages!$B1952,10000)/100),IFERROR(VALUE(TRIM(LEFT(MID(Wages!$B1952,FIND("/",Wages!$B1952)+1,20),FIND("/",MID(Wages!$B1952,FIND("/",Wages!$B1952)+1,20))-1))),"")))</f>
        <v/>
      </c>
      <c r="E1949">
        <f>IF(OR($A1949="",$C1949=""),"",IF(ISNUMBER(Wages!$B1952),MOD(Wages!$B1952,100),IFERROR(VALUE(TRIM(MID(MID(Wages!$B1952,FIND("/",Wages!$B1952)+1,20),FIND("/",MID(Wages!$B1952,FIND("/",Wages!$B1952)+1,20))+1,20))),"")))</f>
        <v/>
      </c>
      <c r="F1949">
        <f>IF($A1949="","",IF(OR($C1949="",$D1949="",$E1949="",$C1949&lt;1300,$C1949&gt;1500,$D1949&lt;1,$D1949&gt;12,$E1949&lt;1,$E1949&gt;31),"نامعتبر",RIGHT("0000"&amp;$C1949,4)&amp;"/"&amp;RIGHT("00"&amp;$D1949,2)&amp;"/"&amp;RIGHT("00"&amp;$E1949,2)))</f>
        <v/>
      </c>
      <c r="G1949">
        <f>IF(OR($A1949="",$F1949="",$F1949="نامعتبر"),"",LEFT($F1949,4)&amp;MID($F1949,6,2)&amp;RIGHT($F1949,2)&amp;"0000"&amp;"|"&amp;"1"&amp;RIGHT("00000"&amp;1944,5))</f>
        <v/>
      </c>
      <c r="H1949">
        <f>IF(OR($B1949&lt;&gt;1,$G1949=""),"",COUNTIFS(LdAParty,$A1949,LdAType,1,LdAKey,"&lt;"&amp;$G1949)+COUNTIFS(LdBMember,$A1949,LdBKey,"&lt;"&amp;$G1949)+COUNTIFS(LdCParty,$A1949,LdCKey,"&lt;"&amp;$G1949)+1)</f>
        <v/>
      </c>
      <c r="I1949">
        <f>IF($H1949="","",$A1949&amp;"|"&amp;RIGHT("000000"&amp;$H1949,6))</f>
        <v/>
      </c>
      <c r="J1949">
        <f>IF(OR($B1949&lt;&gt;2,$G1949=""),"",COUNTIFS(LdAParty,$A1949,LdAType,2,LdAKey,"&lt;"&amp;$G1949)+1)</f>
        <v/>
      </c>
      <c r="K1949">
        <f>IF($J1949="","",$A1949&amp;"|"&amp;RIGHT("000000"&amp;$J1949,6))</f>
        <v/>
      </c>
      <c r="L1949">
        <f>IF($A1949="","",IF(Wages!$G1952="",0,Wages!$G1952))</f>
        <v/>
      </c>
      <c r="M1949">
        <f>IF($A1949="","",Wages!$J1952)</f>
        <v/>
      </c>
      <c r="N1949">
        <f>IF($A1949="","",Wages!$D1952)</f>
        <v/>
      </c>
      <c r="P1949">
        <f>IF(OR(Shares!$B1952="",Shares!$C1952=""),"",Shares!$C1952)</f>
        <v/>
      </c>
      <c r="Q1949">
        <f>IF($P1949="","",Shares!$B1952)</f>
        <v/>
      </c>
      <c r="R1949">
        <f>IF($P1949="","",IFERROR(INDEX(WageParty,MATCH($Q1949,WageIds,0)),""))</f>
        <v/>
      </c>
      <c r="S1949">
        <f>IF($P1949="","",IFERROR(INDEX($F$6:$F$2005,MATCH($Q1949,WageIds,0)),""))</f>
        <v/>
      </c>
      <c r="T1949">
        <f>IF(OR($P1949="",$S1949="",$S1949="نامعتبر"),"",LEFT($S1949,4)&amp;MID($S1949,6,2)&amp;RIGHT($S1949,2)&amp;"0000"&amp;"|"&amp;"2"&amp;RIGHT("00000"&amp;1944,5))</f>
        <v/>
      </c>
      <c r="U1949">
        <f>IF($T1949="","",COUNTIFS(LdAParty,$P1949,LdAType,1,LdAKey,"&lt;"&amp;$T1949)+COUNTIFS(LdBMember,$P1949,LdBKey,"&lt;"&amp;$T1949)+COUNTIFS(LdCParty,$P1949,LdCKey,"&lt;"&amp;$T1949)+1)</f>
        <v/>
      </c>
      <c r="V1949">
        <f>IF($U1949="","",$P1949&amp;"|"&amp;RIGHT("000000"&amp;$U1949,6))</f>
        <v/>
      </c>
      <c r="W1949">
        <f>IF($T1949="","",COUNTIFS(LdBGroup,$R1949,LdBKey,"&lt;"&amp;$T1949)+1)</f>
        <v/>
      </c>
      <c r="X1949">
        <f>IF($W1949="","",$R1949&amp;"|"&amp;RIGHT("000000"&amp;$W1949,6))</f>
        <v/>
      </c>
      <c r="Y1949">
        <f>IF($P1949="","",IF(Shares!$E1952="",0,Shares!$E1952))</f>
        <v/>
      </c>
      <c r="Z1949">
        <f>IF($P1949="","",Shares!$H1952)</f>
        <v/>
      </c>
      <c r="AE1949">
        <f>IF(OR(Sync!$S1949="",Sync!$P1949=""),"",Sync!$S1949)</f>
        <v/>
      </c>
      <c r="AF1949">
        <f>IF($AE1949="","",IF(ISNUMBER(Sync!$P1949),IF(AND(Sync!$P1949&gt;=10000101,Sync!$P1949&lt;=99991231),INT(Sync!$P1949/10000),""),IFERROR(VALUE(TRIM(LEFT(Sync!$P1949,FIND("/",Sync!$P1949)-1))),"")))</f>
        <v/>
      </c>
      <c r="AG1949">
        <f>IF(OR($AE1949="",$AF1949=""),"",IF(ISNUMBER(Sync!$P1949),INT(MOD(Sync!$P1949,10000)/100),IFERROR(VALUE(TRIM(LEFT(MID(Sync!$P1949,FIND("/",Sync!$P1949)+1,20),FIND("/",MID(Sync!$P1949,FIND("/",Sync!$P1949)+1,20))-1))),"")))</f>
        <v/>
      </c>
      <c r="AH1949">
        <f>IF(OR($AE1949="",$AF1949=""),"",IF(ISNUMBER(Sync!$P1949),MOD(Sync!$P1949,100),IFERROR(VALUE(TRIM(MID(MID(Sync!$P1949,FIND("/",Sync!$P1949)+1,20),FIND("/",MID(Sync!$P1949,FIND("/",Sync!$P1949)+1,20))+1,20))),"")))</f>
        <v/>
      </c>
      <c r="AI1949">
        <f>IF($AE1949="","",IF(OR($AF1949="",$AG1949="",$AH1949="",$AF1949&lt;1300,$AF1949&gt;1500,$AG1949&lt;1,$AG1949&gt;12,$AH1949&lt;1,$AH1949&gt;31),"نامعتبر",RIGHT("0000"&amp;$AF1949,4)&amp;"/"&amp;RIGHT("00"&amp;$AG1949,2)&amp;"/"&amp;RIGHT("00"&amp;$AH1949,2)))</f>
        <v/>
      </c>
      <c r="AJ1949">
        <f>IF($AE1949="","",IF(Sync!$Q1949="","0000",IF(AND(ISNUMBER(Sync!$Q1949),Sync!$Q1949&gt;=0,Sync!$Q1949&lt;1),RIGHT("00"&amp;HOUR(Sync!$Q1949),2)&amp;RIGHT("00"&amp;MINUTE(Sync!$Q1949),2),IFERROR(RIGHT("00"&amp;VALUE(LEFT(Sync!$Q1949,FIND(":",Sync!$Q1949)-1)),2)&amp;RIGHT("00"&amp;VALUE(MID(Sync!$Q1949,FIND(":",Sync!$Q1949)+1,2)),2),"0000"))))</f>
        <v/>
      </c>
      <c r="AK1949">
        <f>IF(OR($AE1949="",$AI1949="",$AI1949="نامعتبر"),"",LEFT($AI1949,4)&amp;MID($AI1949,6,2)&amp;RIGHT($AI1949,2)&amp;$AJ1949&amp;"|"&amp;"3"&amp;RIGHT("00000"&amp;1944,5))</f>
        <v/>
      </c>
      <c r="AL1949">
        <f>IF($AK1949="","",COUNTIFS(LdAParty,$AE1949,LdAType,1,LdAKey,"&lt;"&amp;$AK1949)+COUNTIFS(LdBMember,$AE1949,LdBKey,"&lt;"&amp;$AK1949)+COUNTIFS(LdCParty,$AE1949,LdCKey,"&lt;"&amp;$AK1949)+1)</f>
        <v/>
      </c>
      <c r="AM1949">
        <f>IF($AL1949="","",$AE1949&amp;"|"&amp;RIGHT("000000"&amp;$AL1949,6))</f>
        <v/>
      </c>
      <c r="AN1949">
        <f>IF($AE1949="","",IF(Sync!$W1949="",0,Sync!$W1949))</f>
        <v/>
      </c>
      <c r="AO1949">
        <f>IF($AE1949="","",IF(Sync!$X1949="",0,Sync!$X1949))</f>
        <v/>
      </c>
      <c r="AP1949">
        <f>IF($AE1949="","",Sync!$R1949)</f>
        <v/>
      </c>
      <c r="AQ1949">
        <f>IF($AE1949="","",Sync!$Y1949)</f>
        <v/>
      </c>
    </row>
    <row r="1950">
      <c r="A1950">
        <f>IF(OR(Wages!$B1953="",Wages!$E1953=""),"",Wages!$E1953)</f>
        <v/>
      </c>
      <c r="B1950">
        <f>IF($A1950="","",IF(Wages!$C1953="دستمزد گروهی",2,1))</f>
        <v/>
      </c>
      <c r="C1950">
        <f>IF($A1950="","",IF(ISNUMBER(Wages!$B1953),IF(AND(Wages!$B1953&gt;=10000101,Wages!$B1953&lt;=99991231),INT(Wages!$B1953/10000),""),IFERROR(VALUE(TRIM(LEFT(Wages!$B1953,FIND("/",Wages!$B1953)-1))),"")))</f>
        <v/>
      </c>
      <c r="D1950">
        <f>IF(OR($A1950="",$C1950=""),"",IF(ISNUMBER(Wages!$B1953),INT(MOD(Wages!$B1953,10000)/100),IFERROR(VALUE(TRIM(LEFT(MID(Wages!$B1953,FIND("/",Wages!$B1953)+1,20),FIND("/",MID(Wages!$B1953,FIND("/",Wages!$B1953)+1,20))-1))),"")))</f>
        <v/>
      </c>
      <c r="E1950">
        <f>IF(OR($A1950="",$C1950=""),"",IF(ISNUMBER(Wages!$B1953),MOD(Wages!$B1953,100),IFERROR(VALUE(TRIM(MID(MID(Wages!$B1953,FIND("/",Wages!$B1953)+1,20),FIND("/",MID(Wages!$B1953,FIND("/",Wages!$B1953)+1,20))+1,20))),"")))</f>
        <v/>
      </c>
      <c r="F1950">
        <f>IF($A1950="","",IF(OR($C1950="",$D1950="",$E1950="",$C1950&lt;1300,$C1950&gt;1500,$D1950&lt;1,$D1950&gt;12,$E1950&lt;1,$E1950&gt;31),"نامعتبر",RIGHT("0000"&amp;$C1950,4)&amp;"/"&amp;RIGHT("00"&amp;$D1950,2)&amp;"/"&amp;RIGHT("00"&amp;$E1950,2)))</f>
        <v/>
      </c>
      <c r="G1950">
        <f>IF(OR($A1950="",$F1950="",$F1950="نامعتبر"),"",LEFT($F1950,4)&amp;MID($F1950,6,2)&amp;RIGHT($F1950,2)&amp;"0000"&amp;"|"&amp;"1"&amp;RIGHT("00000"&amp;1945,5))</f>
        <v/>
      </c>
      <c r="H1950">
        <f>IF(OR($B1950&lt;&gt;1,$G1950=""),"",COUNTIFS(LdAParty,$A1950,LdAType,1,LdAKey,"&lt;"&amp;$G1950)+COUNTIFS(LdBMember,$A1950,LdBKey,"&lt;"&amp;$G1950)+COUNTIFS(LdCParty,$A1950,LdCKey,"&lt;"&amp;$G1950)+1)</f>
        <v/>
      </c>
      <c r="I1950">
        <f>IF($H1950="","",$A1950&amp;"|"&amp;RIGHT("000000"&amp;$H1950,6))</f>
        <v/>
      </c>
      <c r="J1950">
        <f>IF(OR($B1950&lt;&gt;2,$G1950=""),"",COUNTIFS(LdAParty,$A1950,LdAType,2,LdAKey,"&lt;"&amp;$G1950)+1)</f>
        <v/>
      </c>
      <c r="K1950">
        <f>IF($J1950="","",$A1950&amp;"|"&amp;RIGHT("000000"&amp;$J1950,6))</f>
        <v/>
      </c>
      <c r="L1950">
        <f>IF($A1950="","",IF(Wages!$G1953="",0,Wages!$G1953))</f>
        <v/>
      </c>
      <c r="M1950">
        <f>IF($A1950="","",Wages!$J1953)</f>
        <v/>
      </c>
      <c r="N1950">
        <f>IF($A1950="","",Wages!$D1953)</f>
        <v/>
      </c>
      <c r="P1950">
        <f>IF(OR(Shares!$B1953="",Shares!$C1953=""),"",Shares!$C1953)</f>
        <v/>
      </c>
      <c r="Q1950">
        <f>IF($P1950="","",Shares!$B1953)</f>
        <v/>
      </c>
      <c r="R1950">
        <f>IF($P1950="","",IFERROR(INDEX(WageParty,MATCH($Q1950,WageIds,0)),""))</f>
        <v/>
      </c>
      <c r="S1950">
        <f>IF($P1950="","",IFERROR(INDEX($F$6:$F$2005,MATCH($Q1950,WageIds,0)),""))</f>
        <v/>
      </c>
      <c r="T1950">
        <f>IF(OR($P1950="",$S1950="",$S1950="نامعتبر"),"",LEFT($S1950,4)&amp;MID($S1950,6,2)&amp;RIGHT($S1950,2)&amp;"0000"&amp;"|"&amp;"2"&amp;RIGHT("00000"&amp;1945,5))</f>
        <v/>
      </c>
      <c r="U1950">
        <f>IF($T1950="","",COUNTIFS(LdAParty,$P1950,LdAType,1,LdAKey,"&lt;"&amp;$T1950)+COUNTIFS(LdBMember,$P1950,LdBKey,"&lt;"&amp;$T1950)+COUNTIFS(LdCParty,$P1950,LdCKey,"&lt;"&amp;$T1950)+1)</f>
        <v/>
      </c>
      <c r="V1950">
        <f>IF($U1950="","",$P1950&amp;"|"&amp;RIGHT("000000"&amp;$U1950,6))</f>
        <v/>
      </c>
      <c r="W1950">
        <f>IF($T1950="","",COUNTIFS(LdBGroup,$R1950,LdBKey,"&lt;"&amp;$T1950)+1)</f>
        <v/>
      </c>
      <c r="X1950">
        <f>IF($W1950="","",$R1950&amp;"|"&amp;RIGHT("000000"&amp;$W1950,6))</f>
        <v/>
      </c>
      <c r="Y1950">
        <f>IF($P1950="","",IF(Shares!$E1953="",0,Shares!$E1953))</f>
        <v/>
      </c>
      <c r="Z1950">
        <f>IF($P1950="","",Shares!$H1953)</f>
        <v/>
      </c>
      <c r="AE1950">
        <f>IF(OR(Sync!$S1950="",Sync!$P1950=""),"",Sync!$S1950)</f>
        <v/>
      </c>
      <c r="AF1950">
        <f>IF($AE1950="","",IF(ISNUMBER(Sync!$P1950),IF(AND(Sync!$P1950&gt;=10000101,Sync!$P1950&lt;=99991231),INT(Sync!$P1950/10000),""),IFERROR(VALUE(TRIM(LEFT(Sync!$P1950,FIND("/",Sync!$P1950)-1))),"")))</f>
        <v/>
      </c>
      <c r="AG1950">
        <f>IF(OR($AE1950="",$AF1950=""),"",IF(ISNUMBER(Sync!$P1950),INT(MOD(Sync!$P1950,10000)/100),IFERROR(VALUE(TRIM(LEFT(MID(Sync!$P1950,FIND("/",Sync!$P1950)+1,20),FIND("/",MID(Sync!$P1950,FIND("/",Sync!$P1950)+1,20))-1))),"")))</f>
        <v/>
      </c>
      <c r="AH1950">
        <f>IF(OR($AE1950="",$AF1950=""),"",IF(ISNUMBER(Sync!$P1950),MOD(Sync!$P1950,100),IFERROR(VALUE(TRIM(MID(MID(Sync!$P1950,FIND("/",Sync!$P1950)+1,20),FIND("/",MID(Sync!$P1950,FIND("/",Sync!$P1950)+1,20))+1,20))),"")))</f>
        <v/>
      </c>
      <c r="AI1950">
        <f>IF($AE1950="","",IF(OR($AF1950="",$AG1950="",$AH1950="",$AF1950&lt;1300,$AF1950&gt;1500,$AG1950&lt;1,$AG1950&gt;12,$AH1950&lt;1,$AH1950&gt;31),"نامعتبر",RIGHT("0000"&amp;$AF1950,4)&amp;"/"&amp;RIGHT("00"&amp;$AG1950,2)&amp;"/"&amp;RIGHT("00"&amp;$AH1950,2)))</f>
        <v/>
      </c>
      <c r="AJ1950">
        <f>IF($AE1950="","",IF(Sync!$Q1950="","0000",IF(AND(ISNUMBER(Sync!$Q1950),Sync!$Q1950&gt;=0,Sync!$Q1950&lt;1),RIGHT("00"&amp;HOUR(Sync!$Q1950),2)&amp;RIGHT("00"&amp;MINUTE(Sync!$Q1950),2),IFERROR(RIGHT("00"&amp;VALUE(LEFT(Sync!$Q1950,FIND(":",Sync!$Q1950)-1)),2)&amp;RIGHT("00"&amp;VALUE(MID(Sync!$Q1950,FIND(":",Sync!$Q1950)+1,2)),2),"0000"))))</f>
        <v/>
      </c>
      <c r="AK1950">
        <f>IF(OR($AE1950="",$AI1950="",$AI1950="نامعتبر"),"",LEFT($AI1950,4)&amp;MID($AI1950,6,2)&amp;RIGHT($AI1950,2)&amp;$AJ1950&amp;"|"&amp;"3"&amp;RIGHT("00000"&amp;1945,5))</f>
        <v/>
      </c>
      <c r="AL1950">
        <f>IF($AK1950="","",COUNTIFS(LdAParty,$AE1950,LdAType,1,LdAKey,"&lt;"&amp;$AK1950)+COUNTIFS(LdBMember,$AE1950,LdBKey,"&lt;"&amp;$AK1950)+COUNTIFS(LdCParty,$AE1950,LdCKey,"&lt;"&amp;$AK1950)+1)</f>
        <v/>
      </c>
      <c r="AM1950">
        <f>IF($AL1950="","",$AE1950&amp;"|"&amp;RIGHT("000000"&amp;$AL1950,6))</f>
        <v/>
      </c>
      <c r="AN1950">
        <f>IF($AE1950="","",IF(Sync!$W1950="",0,Sync!$W1950))</f>
        <v/>
      </c>
      <c r="AO1950">
        <f>IF($AE1950="","",IF(Sync!$X1950="",0,Sync!$X1950))</f>
        <v/>
      </c>
      <c r="AP1950">
        <f>IF($AE1950="","",Sync!$R1950)</f>
        <v/>
      </c>
      <c r="AQ1950">
        <f>IF($AE1950="","",Sync!$Y1950)</f>
        <v/>
      </c>
    </row>
    <row r="1951">
      <c r="A1951">
        <f>IF(OR(Wages!$B1954="",Wages!$E1954=""),"",Wages!$E1954)</f>
        <v/>
      </c>
      <c r="B1951">
        <f>IF($A1951="","",IF(Wages!$C1954="دستمزد گروهی",2,1))</f>
        <v/>
      </c>
      <c r="C1951">
        <f>IF($A1951="","",IF(ISNUMBER(Wages!$B1954),IF(AND(Wages!$B1954&gt;=10000101,Wages!$B1954&lt;=99991231),INT(Wages!$B1954/10000),""),IFERROR(VALUE(TRIM(LEFT(Wages!$B1954,FIND("/",Wages!$B1954)-1))),"")))</f>
        <v/>
      </c>
      <c r="D1951">
        <f>IF(OR($A1951="",$C1951=""),"",IF(ISNUMBER(Wages!$B1954),INT(MOD(Wages!$B1954,10000)/100),IFERROR(VALUE(TRIM(LEFT(MID(Wages!$B1954,FIND("/",Wages!$B1954)+1,20),FIND("/",MID(Wages!$B1954,FIND("/",Wages!$B1954)+1,20))-1))),"")))</f>
        <v/>
      </c>
      <c r="E1951">
        <f>IF(OR($A1951="",$C1951=""),"",IF(ISNUMBER(Wages!$B1954),MOD(Wages!$B1954,100),IFERROR(VALUE(TRIM(MID(MID(Wages!$B1954,FIND("/",Wages!$B1954)+1,20),FIND("/",MID(Wages!$B1954,FIND("/",Wages!$B1954)+1,20))+1,20))),"")))</f>
        <v/>
      </c>
      <c r="F1951">
        <f>IF($A1951="","",IF(OR($C1951="",$D1951="",$E1951="",$C1951&lt;1300,$C1951&gt;1500,$D1951&lt;1,$D1951&gt;12,$E1951&lt;1,$E1951&gt;31),"نامعتبر",RIGHT("0000"&amp;$C1951,4)&amp;"/"&amp;RIGHT("00"&amp;$D1951,2)&amp;"/"&amp;RIGHT("00"&amp;$E1951,2)))</f>
        <v/>
      </c>
      <c r="G1951">
        <f>IF(OR($A1951="",$F1951="",$F1951="نامعتبر"),"",LEFT($F1951,4)&amp;MID($F1951,6,2)&amp;RIGHT($F1951,2)&amp;"0000"&amp;"|"&amp;"1"&amp;RIGHT("00000"&amp;1946,5))</f>
        <v/>
      </c>
      <c r="H1951">
        <f>IF(OR($B1951&lt;&gt;1,$G1951=""),"",COUNTIFS(LdAParty,$A1951,LdAType,1,LdAKey,"&lt;"&amp;$G1951)+COUNTIFS(LdBMember,$A1951,LdBKey,"&lt;"&amp;$G1951)+COUNTIFS(LdCParty,$A1951,LdCKey,"&lt;"&amp;$G1951)+1)</f>
        <v/>
      </c>
      <c r="I1951">
        <f>IF($H1951="","",$A1951&amp;"|"&amp;RIGHT("000000"&amp;$H1951,6))</f>
        <v/>
      </c>
      <c r="J1951">
        <f>IF(OR($B1951&lt;&gt;2,$G1951=""),"",COUNTIFS(LdAParty,$A1951,LdAType,2,LdAKey,"&lt;"&amp;$G1951)+1)</f>
        <v/>
      </c>
      <c r="K1951">
        <f>IF($J1951="","",$A1951&amp;"|"&amp;RIGHT("000000"&amp;$J1951,6))</f>
        <v/>
      </c>
      <c r="L1951">
        <f>IF($A1951="","",IF(Wages!$G1954="",0,Wages!$G1954))</f>
        <v/>
      </c>
      <c r="M1951">
        <f>IF($A1951="","",Wages!$J1954)</f>
        <v/>
      </c>
      <c r="N1951">
        <f>IF($A1951="","",Wages!$D1954)</f>
        <v/>
      </c>
      <c r="P1951">
        <f>IF(OR(Shares!$B1954="",Shares!$C1954=""),"",Shares!$C1954)</f>
        <v/>
      </c>
      <c r="Q1951">
        <f>IF($P1951="","",Shares!$B1954)</f>
        <v/>
      </c>
      <c r="R1951">
        <f>IF($P1951="","",IFERROR(INDEX(WageParty,MATCH($Q1951,WageIds,0)),""))</f>
        <v/>
      </c>
      <c r="S1951">
        <f>IF($P1951="","",IFERROR(INDEX($F$6:$F$2005,MATCH($Q1951,WageIds,0)),""))</f>
        <v/>
      </c>
      <c r="T1951">
        <f>IF(OR($P1951="",$S1951="",$S1951="نامعتبر"),"",LEFT($S1951,4)&amp;MID($S1951,6,2)&amp;RIGHT($S1951,2)&amp;"0000"&amp;"|"&amp;"2"&amp;RIGHT("00000"&amp;1946,5))</f>
        <v/>
      </c>
      <c r="U1951">
        <f>IF($T1951="","",COUNTIFS(LdAParty,$P1951,LdAType,1,LdAKey,"&lt;"&amp;$T1951)+COUNTIFS(LdBMember,$P1951,LdBKey,"&lt;"&amp;$T1951)+COUNTIFS(LdCParty,$P1951,LdCKey,"&lt;"&amp;$T1951)+1)</f>
        <v/>
      </c>
      <c r="V1951">
        <f>IF($U1951="","",$P1951&amp;"|"&amp;RIGHT("000000"&amp;$U1951,6))</f>
        <v/>
      </c>
      <c r="W1951">
        <f>IF($T1951="","",COUNTIFS(LdBGroup,$R1951,LdBKey,"&lt;"&amp;$T1951)+1)</f>
        <v/>
      </c>
      <c r="X1951">
        <f>IF($W1951="","",$R1951&amp;"|"&amp;RIGHT("000000"&amp;$W1951,6))</f>
        <v/>
      </c>
      <c r="Y1951">
        <f>IF($P1951="","",IF(Shares!$E1954="",0,Shares!$E1954))</f>
        <v/>
      </c>
      <c r="Z1951">
        <f>IF($P1951="","",Shares!$H1954)</f>
        <v/>
      </c>
      <c r="AE1951">
        <f>IF(OR(Sync!$S1951="",Sync!$P1951=""),"",Sync!$S1951)</f>
        <v/>
      </c>
      <c r="AF1951">
        <f>IF($AE1951="","",IF(ISNUMBER(Sync!$P1951),IF(AND(Sync!$P1951&gt;=10000101,Sync!$P1951&lt;=99991231),INT(Sync!$P1951/10000),""),IFERROR(VALUE(TRIM(LEFT(Sync!$P1951,FIND("/",Sync!$P1951)-1))),"")))</f>
        <v/>
      </c>
      <c r="AG1951">
        <f>IF(OR($AE1951="",$AF1951=""),"",IF(ISNUMBER(Sync!$P1951),INT(MOD(Sync!$P1951,10000)/100),IFERROR(VALUE(TRIM(LEFT(MID(Sync!$P1951,FIND("/",Sync!$P1951)+1,20),FIND("/",MID(Sync!$P1951,FIND("/",Sync!$P1951)+1,20))-1))),"")))</f>
        <v/>
      </c>
      <c r="AH1951">
        <f>IF(OR($AE1951="",$AF1951=""),"",IF(ISNUMBER(Sync!$P1951),MOD(Sync!$P1951,100),IFERROR(VALUE(TRIM(MID(MID(Sync!$P1951,FIND("/",Sync!$P1951)+1,20),FIND("/",MID(Sync!$P1951,FIND("/",Sync!$P1951)+1,20))+1,20))),"")))</f>
        <v/>
      </c>
      <c r="AI1951">
        <f>IF($AE1951="","",IF(OR($AF1951="",$AG1951="",$AH1951="",$AF1951&lt;1300,$AF1951&gt;1500,$AG1951&lt;1,$AG1951&gt;12,$AH1951&lt;1,$AH1951&gt;31),"نامعتبر",RIGHT("0000"&amp;$AF1951,4)&amp;"/"&amp;RIGHT("00"&amp;$AG1951,2)&amp;"/"&amp;RIGHT("00"&amp;$AH1951,2)))</f>
        <v/>
      </c>
      <c r="AJ1951">
        <f>IF($AE1951="","",IF(Sync!$Q1951="","0000",IF(AND(ISNUMBER(Sync!$Q1951),Sync!$Q1951&gt;=0,Sync!$Q1951&lt;1),RIGHT("00"&amp;HOUR(Sync!$Q1951),2)&amp;RIGHT("00"&amp;MINUTE(Sync!$Q1951),2),IFERROR(RIGHT("00"&amp;VALUE(LEFT(Sync!$Q1951,FIND(":",Sync!$Q1951)-1)),2)&amp;RIGHT("00"&amp;VALUE(MID(Sync!$Q1951,FIND(":",Sync!$Q1951)+1,2)),2),"0000"))))</f>
        <v/>
      </c>
      <c r="AK1951">
        <f>IF(OR($AE1951="",$AI1951="",$AI1951="نامعتبر"),"",LEFT($AI1951,4)&amp;MID($AI1951,6,2)&amp;RIGHT($AI1951,2)&amp;$AJ1951&amp;"|"&amp;"3"&amp;RIGHT("00000"&amp;1946,5))</f>
        <v/>
      </c>
      <c r="AL1951">
        <f>IF($AK1951="","",COUNTIFS(LdAParty,$AE1951,LdAType,1,LdAKey,"&lt;"&amp;$AK1951)+COUNTIFS(LdBMember,$AE1951,LdBKey,"&lt;"&amp;$AK1951)+COUNTIFS(LdCParty,$AE1951,LdCKey,"&lt;"&amp;$AK1951)+1)</f>
        <v/>
      </c>
      <c r="AM1951">
        <f>IF($AL1951="","",$AE1951&amp;"|"&amp;RIGHT("000000"&amp;$AL1951,6))</f>
        <v/>
      </c>
      <c r="AN1951">
        <f>IF($AE1951="","",IF(Sync!$W1951="",0,Sync!$W1951))</f>
        <v/>
      </c>
      <c r="AO1951">
        <f>IF($AE1951="","",IF(Sync!$X1951="",0,Sync!$X1951))</f>
        <v/>
      </c>
      <c r="AP1951">
        <f>IF($AE1951="","",Sync!$R1951)</f>
        <v/>
      </c>
      <c r="AQ1951">
        <f>IF($AE1951="","",Sync!$Y1951)</f>
        <v/>
      </c>
    </row>
    <row r="1952">
      <c r="A1952">
        <f>IF(OR(Wages!$B1955="",Wages!$E1955=""),"",Wages!$E1955)</f>
        <v/>
      </c>
      <c r="B1952">
        <f>IF($A1952="","",IF(Wages!$C1955="دستمزد گروهی",2,1))</f>
        <v/>
      </c>
      <c r="C1952">
        <f>IF($A1952="","",IF(ISNUMBER(Wages!$B1955),IF(AND(Wages!$B1955&gt;=10000101,Wages!$B1955&lt;=99991231),INT(Wages!$B1955/10000),""),IFERROR(VALUE(TRIM(LEFT(Wages!$B1955,FIND("/",Wages!$B1955)-1))),"")))</f>
        <v/>
      </c>
      <c r="D1952">
        <f>IF(OR($A1952="",$C1952=""),"",IF(ISNUMBER(Wages!$B1955),INT(MOD(Wages!$B1955,10000)/100),IFERROR(VALUE(TRIM(LEFT(MID(Wages!$B1955,FIND("/",Wages!$B1955)+1,20),FIND("/",MID(Wages!$B1955,FIND("/",Wages!$B1955)+1,20))-1))),"")))</f>
        <v/>
      </c>
      <c r="E1952">
        <f>IF(OR($A1952="",$C1952=""),"",IF(ISNUMBER(Wages!$B1955),MOD(Wages!$B1955,100),IFERROR(VALUE(TRIM(MID(MID(Wages!$B1955,FIND("/",Wages!$B1955)+1,20),FIND("/",MID(Wages!$B1955,FIND("/",Wages!$B1955)+1,20))+1,20))),"")))</f>
        <v/>
      </c>
      <c r="F1952">
        <f>IF($A1952="","",IF(OR($C1952="",$D1952="",$E1952="",$C1952&lt;1300,$C1952&gt;1500,$D1952&lt;1,$D1952&gt;12,$E1952&lt;1,$E1952&gt;31),"نامعتبر",RIGHT("0000"&amp;$C1952,4)&amp;"/"&amp;RIGHT("00"&amp;$D1952,2)&amp;"/"&amp;RIGHT("00"&amp;$E1952,2)))</f>
        <v/>
      </c>
      <c r="G1952">
        <f>IF(OR($A1952="",$F1952="",$F1952="نامعتبر"),"",LEFT($F1952,4)&amp;MID($F1952,6,2)&amp;RIGHT($F1952,2)&amp;"0000"&amp;"|"&amp;"1"&amp;RIGHT("00000"&amp;1947,5))</f>
        <v/>
      </c>
      <c r="H1952">
        <f>IF(OR($B1952&lt;&gt;1,$G1952=""),"",COUNTIFS(LdAParty,$A1952,LdAType,1,LdAKey,"&lt;"&amp;$G1952)+COUNTIFS(LdBMember,$A1952,LdBKey,"&lt;"&amp;$G1952)+COUNTIFS(LdCParty,$A1952,LdCKey,"&lt;"&amp;$G1952)+1)</f>
        <v/>
      </c>
      <c r="I1952">
        <f>IF($H1952="","",$A1952&amp;"|"&amp;RIGHT("000000"&amp;$H1952,6))</f>
        <v/>
      </c>
      <c r="J1952">
        <f>IF(OR($B1952&lt;&gt;2,$G1952=""),"",COUNTIFS(LdAParty,$A1952,LdAType,2,LdAKey,"&lt;"&amp;$G1952)+1)</f>
        <v/>
      </c>
      <c r="K1952">
        <f>IF($J1952="","",$A1952&amp;"|"&amp;RIGHT("000000"&amp;$J1952,6))</f>
        <v/>
      </c>
      <c r="L1952">
        <f>IF($A1952="","",IF(Wages!$G1955="",0,Wages!$G1955))</f>
        <v/>
      </c>
      <c r="M1952">
        <f>IF($A1952="","",Wages!$J1955)</f>
        <v/>
      </c>
      <c r="N1952">
        <f>IF($A1952="","",Wages!$D1955)</f>
        <v/>
      </c>
      <c r="P1952">
        <f>IF(OR(Shares!$B1955="",Shares!$C1955=""),"",Shares!$C1955)</f>
        <v/>
      </c>
      <c r="Q1952">
        <f>IF($P1952="","",Shares!$B1955)</f>
        <v/>
      </c>
      <c r="R1952">
        <f>IF($P1952="","",IFERROR(INDEX(WageParty,MATCH($Q1952,WageIds,0)),""))</f>
        <v/>
      </c>
      <c r="S1952">
        <f>IF($P1952="","",IFERROR(INDEX($F$6:$F$2005,MATCH($Q1952,WageIds,0)),""))</f>
        <v/>
      </c>
      <c r="T1952">
        <f>IF(OR($P1952="",$S1952="",$S1952="نامعتبر"),"",LEFT($S1952,4)&amp;MID($S1952,6,2)&amp;RIGHT($S1952,2)&amp;"0000"&amp;"|"&amp;"2"&amp;RIGHT("00000"&amp;1947,5))</f>
        <v/>
      </c>
      <c r="U1952">
        <f>IF($T1952="","",COUNTIFS(LdAParty,$P1952,LdAType,1,LdAKey,"&lt;"&amp;$T1952)+COUNTIFS(LdBMember,$P1952,LdBKey,"&lt;"&amp;$T1952)+COUNTIFS(LdCParty,$P1952,LdCKey,"&lt;"&amp;$T1952)+1)</f>
        <v/>
      </c>
      <c r="V1952">
        <f>IF($U1952="","",$P1952&amp;"|"&amp;RIGHT("000000"&amp;$U1952,6))</f>
        <v/>
      </c>
      <c r="W1952">
        <f>IF($T1952="","",COUNTIFS(LdBGroup,$R1952,LdBKey,"&lt;"&amp;$T1952)+1)</f>
        <v/>
      </c>
      <c r="X1952">
        <f>IF($W1952="","",$R1952&amp;"|"&amp;RIGHT("000000"&amp;$W1952,6))</f>
        <v/>
      </c>
      <c r="Y1952">
        <f>IF($P1952="","",IF(Shares!$E1955="",0,Shares!$E1955))</f>
        <v/>
      </c>
      <c r="Z1952">
        <f>IF($P1952="","",Shares!$H1955)</f>
        <v/>
      </c>
      <c r="AE1952">
        <f>IF(OR(Sync!$S1952="",Sync!$P1952=""),"",Sync!$S1952)</f>
        <v/>
      </c>
      <c r="AF1952">
        <f>IF($AE1952="","",IF(ISNUMBER(Sync!$P1952),IF(AND(Sync!$P1952&gt;=10000101,Sync!$P1952&lt;=99991231),INT(Sync!$P1952/10000),""),IFERROR(VALUE(TRIM(LEFT(Sync!$P1952,FIND("/",Sync!$P1952)-1))),"")))</f>
        <v/>
      </c>
      <c r="AG1952">
        <f>IF(OR($AE1952="",$AF1952=""),"",IF(ISNUMBER(Sync!$P1952),INT(MOD(Sync!$P1952,10000)/100),IFERROR(VALUE(TRIM(LEFT(MID(Sync!$P1952,FIND("/",Sync!$P1952)+1,20),FIND("/",MID(Sync!$P1952,FIND("/",Sync!$P1952)+1,20))-1))),"")))</f>
        <v/>
      </c>
      <c r="AH1952">
        <f>IF(OR($AE1952="",$AF1952=""),"",IF(ISNUMBER(Sync!$P1952),MOD(Sync!$P1952,100),IFERROR(VALUE(TRIM(MID(MID(Sync!$P1952,FIND("/",Sync!$P1952)+1,20),FIND("/",MID(Sync!$P1952,FIND("/",Sync!$P1952)+1,20))+1,20))),"")))</f>
        <v/>
      </c>
      <c r="AI1952">
        <f>IF($AE1952="","",IF(OR($AF1952="",$AG1952="",$AH1952="",$AF1952&lt;1300,$AF1952&gt;1500,$AG1952&lt;1,$AG1952&gt;12,$AH1952&lt;1,$AH1952&gt;31),"نامعتبر",RIGHT("0000"&amp;$AF1952,4)&amp;"/"&amp;RIGHT("00"&amp;$AG1952,2)&amp;"/"&amp;RIGHT("00"&amp;$AH1952,2)))</f>
        <v/>
      </c>
      <c r="AJ1952">
        <f>IF($AE1952="","",IF(Sync!$Q1952="","0000",IF(AND(ISNUMBER(Sync!$Q1952),Sync!$Q1952&gt;=0,Sync!$Q1952&lt;1),RIGHT("00"&amp;HOUR(Sync!$Q1952),2)&amp;RIGHT("00"&amp;MINUTE(Sync!$Q1952),2),IFERROR(RIGHT("00"&amp;VALUE(LEFT(Sync!$Q1952,FIND(":",Sync!$Q1952)-1)),2)&amp;RIGHT("00"&amp;VALUE(MID(Sync!$Q1952,FIND(":",Sync!$Q1952)+1,2)),2),"0000"))))</f>
        <v/>
      </c>
      <c r="AK1952">
        <f>IF(OR($AE1952="",$AI1952="",$AI1952="نامعتبر"),"",LEFT($AI1952,4)&amp;MID($AI1952,6,2)&amp;RIGHT($AI1952,2)&amp;$AJ1952&amp;"|"&amp;"3"&amp;RIGHT("00000"&amp;1947,5))</f>
        <v/>
      </c>
      <c r="AL1952">
        <f>IF($AK1952="","",COUNTIFS(LdAParty,$AE1952,LdAType,1,LdAKey,"&lt;"&amp;$AK1952)+COUNTIFS(LdBMember,$AE1952,LdBKey,"&lt;"&amp;$AK1952)+COUNTIFS(LdCParty,$AE1952,LdCKey,"&lt;"&amp;$AK1952)+1)</f>
        <v/>
      </c>
      <c r="AM1952">
        <f>IF($AL1952="","",$AE1952&amp;"|"&amp;RIGHT("000000"&amp;$AL1952,6))</f>
        <v/>
      </c>
      <c r="AN1952">
        <f>IF($AE1952="","",IF(Sync!$W1952="",0,Sync!$W1952))</f>
        <v/>
      </c>
      <c r="AO1952">
        <f>IF($AE1952="","",IF(Sync!$X1952="",0,Sync!$X1952))</f>
        <v/>
      </c>
      <c r="AP1952">
        <f>IF($AE1952="","",Sync!$R1952)</f>
        <v/>
      </c>
      <c r="AQ1952">
        <f>IF($AE1952="","",Sync!$Y1952)</f>
        <v/>
      </c>
    </row>
    <row r="1953">
      <c r="A1953">
        <f>IF(OR(Wages!$B1956="",Wages!$E1956=""),"",Wages!$E1956)</f>
        <v/>
      </c>
      <c r="B1953">
        <f>IF($A1953="","",IF(Wages!$C1956="دستمزد گروهی",2,1))</f>
        <v/>
      </c>
      <c r="C1953">
        <f>IF($A1953="","",IF(ISNUMBER(Wages!$B1956),IF(AND(Wages!$B1956&gt;=10000101,Wages!$B1956&lt;=99991231),INT(Wages!$B1956/10000),""),IFERROR(VALUE(TRIM(LEFT(Wages!$B1956,FIND("/",Wages!$B1956)-1))),"")))</f>
        <v/>
      </c>
      <c r="D1953">
        <f>IF(OR($A1953="",$C1953=""),"",IF(ISNUMBER(Wages!$B1956),INT(MOD(Wages!$B1956,10000)/100),IFERROR(VALUE(TRIM(LEFT(MID(Wages!$B1956,FIND("/",Wages!$B1956)+1,20),FIND("/",MID(Wages!$B1956,FIND("/",Wages!$B1956)+1,20))-1))),"")))</f>
        <v/>
      </c>
      <c r="E1953">
        <f>IF(OR($A1953="",$C1953=""),"",IF(ISNUMBER(Wages!$B1956),MOD(Wages!$B1956,100),IFERROR(VALUE(TRIM(MID(MID(Wages!$B1956,FIND("/",Wages!$B1956)+1,20),FIND("/",MID(Wages!$B1956,FIND("/",Wages!$B1956)+1,20))+1,20))),"")))</f>
        <v/>
      </c>
      <c r="F1953">
        <f>IF($A1953="","",IF(OR($C1953="",$D1953="",$E1953="",$C1953&lt;1300,$C1953&gt;1500,$D1953&lt;1,$D1953&gt;12,$E1953&lt;1,$E1953&gt;31),"نامعتبر",RIGHT("0000"&amp;$C1953,4)&amp;"/"&amp;RIGHT("00"&amp;$D1953,2)&amp;"/"&amp;RIGHT("00"&amp;$E1953,2)))</f>
        <v/>
      </c>
      <c r="G1953">
        <f>IF(OR($A1953="",$F1953="",$F1953="نامعتبر"),"",LEFT($F1953,4)&amp;MID($F1953,6,2)&amp;RIGHT($F1953,2)&amp;"0000"&amp;"|"&amp;"1"&amp;RIGHT("00000"&amp;1948,5))</f>
        <v/>
      </c>
      <c r="H1953">
        <f>IF(OR($B1953&lt;&gt;1,$G1953=""),"",COUNTIFS(LdAParty,$A1953,LdAType,1,LdAKey,"&lt;"&amp;$G1953)+COUNTIFS(LdBMember,$A1953,LdBKey,"&lt;"&amp;$G1953)+COUNTIFS(LdCParty,$A1953,LdCKey,"&lt;"&amp;$G1953)+1)</f>
        <v/>
      </c>
      <c r="I1953">
        <f>IF($H1953="","",$A1953&amp;"|"&amp;RIGHT("000000"&amp;$H1953,6))</f>
        <v/>
      </c>
      <c r="J1953">
        <f>IF(OR($B1953&lt;&gt;2,$G1953=""),"",COUNTIFS(LdAParty,$A1953,LdAType,2,LdAKey,"&lt;"&amp;$G1953)+1)</f>
        <v/>
      </c>
      <c r="K1953">
        <f>IF($J1953="","",$A1953&amp;"|"&amp;RIGHT("000000"&amp;$J1953,6))</f>
        <v/>
      </c>
      <c r="L1953">
        <f>IF($A1953="","",IF(Wages!$G1956="",0,Wages!$G1956))</f>
        <v/>
      </c>
      <c r="M1953">
        <f>IF($A1953="","",Wages!$J1956)</f>
        <v/>
      </c>
      <c r="N1953">
        <f>IF($A1953="","",Wages!$D1956)</f>
        <v/>
      </c>
      <c r="P1953">
        <f>IF(OR(Shares!$B1956="",Shares!$C1956=""),"",Shares!$C1956)</f>
        <v/>
      </c>
      <c r="Q1953">
        <f>IF($P1953="","",Shares!$B1956)</f>
        <v/>
      </c>
      <c r="R1953">
        <f>IF($P1953="","",IFERROR(INDEX(WageParty,MATCH($Q1953,WageIds,0)),""))</f>
        <v/>
      </c>
      <c r="S1953">
        <f>IF($P1953="","",IFERROR(INDEX($F$6:$F$2005,MATCH($Q1953,WageIds,0)),""))</f>
        <v/>
      </c>
      <c r="T1953">
        <f>IF(OR($P1953="",$S1953="",$S1953="نامعتبر"),"",LEFT($S1953,4)&amp;MID($S1953,6,2)&amp;RIGHT($S1953,2)&amp;"0000"&amp;"|"&amp;"2"&amp;RIGHT("00000"&amp;1948,5))</f>
        <v/>
      </c>
      <c r="U1953">
        <f>IF($T1953="","",COUNTIFS(LdAParty,$P1953,LdAType,1,LdAKey,"&lt;"&amp;$T1953)+COUNTIFS(LdBMember,$P1953,LdBKey,"&lt;"&amp;$T1953)+COUNTIFS(LdCParty,$P1953,LdCKey,"&lt;"&amp;$T1953)+1)</f>
        <v/>
      </c>
      <c r="V1953">
        <f>IF($U1953="","",$P1953&amp;"|"&amp;RIGHT("000000"&amp;$U1953,6))</f>
        <v/>
      </c>
      <c r="W1953">
        <f>IF($T1953="","",COUNTIFS(LdBGroup,$R1953,LdBKey,"&lt;"&amp;$T1953)+1)</f>
        <v/>
      </c>
      <c r="X1953">
        <f>IF($W1953="","",$R1953&amp;"|"&amp;RIGHT("000000"&amp;$W1953,6))</f>
        <v/>
      </c>
      <c r="Y1953">
        <f>IF($P1953="","",IF(Shares!$E1956="",0,Shares!$E1956))</f>
        <v/>
      </c>
      <c r="Z1953">
        <f>IF($P1953="","",Shares!$H1956)</f>
        <v/>
      </c>
      <c r="AE1953">
        <f>IF(OR(Sync!$S1953="",Sync!$P1953=""),"",Sync!$S1953)</f>
        <v/>
      </c>
      <c r="AF1953">
        <f>IF($AE1953="","",IF(ISNUMBER(Sync!$P1953),IF(AND(Sync!$P1953&gt;=10000101,Sync!$P1953&lt;=99991231),INT(Sync!$P1953/10000),""),IFERROR(VALUE(TRIM(LEFT(Sync!$P1953,FIND("/",Sync!$P1953)-1))),"")))</f>
        <v/>
      </c>
      <c r="AG1953">
        <f>IF(OR($AE1953="",$AF1953=""),"",IF(ISNUMBER(Sync!$P1953),INT(MOD(Sync!$P1953,10000)/100),IFERROR(VALUE(TRIM(LEFT(MID(Sync!$P1953,FIND("/",Sync!$P1953)+1,20),FIND("/",MID(Sync!$P1953,FIND("/",Sync!$P1953)+1,20))-1))),"")))</f>
        <v/>
      </c>
      <c r="AH1953">
        <f>IF(OR($AE1953="",$AF1953=""),"",IF(ISNUMBER(Sync!$P1953),MOD(Sync!$P1953,100),IFERROR(VALUE(TRIM(MID(MID(Sync!$P1953,FIND("/",Sync!$P1953)+1,20),FIND("/",MID(Sync!$P1953,FIND("/",Sync!$P1953)+1,20))+1,20))),"")))</f>
        <v/>
      </c>
      <c r="AI1953">
        <f>IF($AE1953="","",IF(OR($AF1953="",$AG1953="",$AH1953="",$AF1953&lt;1300,$AF1953&gt;1500,$AG1953&lt;1,$AG1953&gt;12,$AH1953&lt;1,$AH1953&gt;31),"نامعتبر",RIGHT("0000"&amp;$AF1953,4)&amp;"/"&amp;RIGHT("00"&amp;$AG1953,2)&amp;"/"&amp;RIGHT("00"&amp;$AH1953,2)))</f>
        <v/>
      </c>
      <c r="AJ1953">
        <f>IF($AE1953="","",IF(Sync!$Q1953="","0000",IF(AND(ISNUMBER(Sync!$Q1953),Sync!$Q1953&gt;=0,Sync!$Q1953&lt;1),RIGHT("00"&amp;HOUR(Sync!$Q1953),2)&amp;RIGHT("00"&amp;MINUTE(Sync!$Q1953),2),IFERROR(RIGHT("00"&amp;VALUE(LEFT(Sync!$Q1953,FIND(":",Sync!$Q1953)-1)),2)&amp;RIGHT("00"&amp;VALUE(MID(Sync!$Q1953,FIND(":",Sync!$Q1953)+1,2)),2),"0000"))))</f>
        <v/>
      </c>
      <c r="AK1953">
        <f>IF(OR($AE1953="",$AI1953="",$AI1953="نامعتبر"),"",LEFT($AI1953,4)&amp;MID($AI1953,6,2)&amp;RIGHT($AI1953,2)&amp;$AJ1953&amp;"|"&amp;"3"&amp;RIGHT("00000"&amp;1948,5))</f>
        <v/>
      </c>
      <c r="AL1953">
        <f>IF($AK1953="","",COUNTIFS(LdAParty,$AE1953,LdAType,1,LdAKey,"&lt;"&amp;$AK1953)+COUNTIFS(LdBMember,$AE1953,LdBKey,"&lt;"&amp;$AK1953)+COUNTIFS(LdCParty,$AE1953,LdCKey,"&lt;"&amp;$AK1953)+1)</f>
        <v/>
      </c>
      <c r="AM1953">
        <f>IF($AL1953="","",$AE1953&amp;"|"&amp;RIGHT("000000"&amp;$AL1953,6))</f>
        <v/>
      </c>
      <c r="AN1953">
        <f>IF($AE1953="","",IF(Sync!$W1953="",0,Sync!$W1953))</f>
        <v/>
      </c>
      <c r="AO1953">
        <f>IF($AE1953="","",IF(Sync!$X1953="",0,Sync!$X1953))</f>
        <v/>
      </c>
      <c r="AP1953">
        <f>IF($AE1953="","",Sync!$R1953)</f>
        <v/>
      </c>
      <c r="AQ1953">
        <f>IF($AE1953="","",Sync!$Y1953)</f>
        <v/>
      </c>
    </row>
    <row r="1954">
      <c r="A1954">
        <f>IF(OR(Wages!$B1957="",Wages!$E1957=""),"",Wages!$E1957)</f>
        <v/>
      </c>
      <c r="B1954">
        <f>IF($A1954="","",IF(Wages!$C1957="دستمزد گروهی",2,1))</f>
        <v/>
      </c>
      <c r="C1954">
        <f>IF($A1954="","",IF(ISNUMBER(Wages!$B1957),IF(AND(Wages!$B1957&gt;=10000101,Wages!$B1957&lt;=99991231),INT(Wages!$B1957/10000),""),IFERROR(VALUE(TRIM(LEFT(Wages!$B1957,FIND("/",Wages!$B1957)-1))),"")))</f>
        <v/>
      </c>
      <c r="D1954">
        <f>IF(OR($A1954="",$C1954=""),"",IF(ISNUMBER(Wages!$B1957),INT(MOD(Wages!$B1957,10000)/100),IFERROR(VALUE(TRIM(LEFT(MID(Wages!$B1957,FIND("/",Wages!$B1957)+1,20),FIND("/",MID(Wages!$B1957,FIND("/",Wages!$B1957)+1,20))-1))),"")))</f>
        <v/>
      </c>
      <c r="E1954">
        <f>IF(OR($A1954="",$C1954=""),"",IF(ISNUMBER(Wages!$B1957),MOD(Wages!$B1957,100),IFERROR(VALUE(TRIM(MID(MID(Wages!$B1957,FIND("/",Wages!$B1957)+1,20),FIND("/",MID(Wages!$B1957,FIND("/",Wages!$B1957)+1,20))+1,20))),"")))</f>
        <v/>
      </c>
      <c r="F1954">
        <f>IF($A1954="","",IF(OR($C1954="",$D1954="",$E1954="",$C1954&lt;1300,$C1954&gt;1500,$D1954&lt;1,$D1954&gt;12,$E1954&lt;1,$E1954&gt;31),"نامعتبر",RIGHT("0000"&amp;$C1954,4)&amp;"/"&amp;RIGHT("00"&amp;$D1954,2)&amp;"/"&amp;RIGHT("00"&amp;$E1954,2)))</f>
        <v/>
      </c>
      <c r="G1954">
        <f>IF(OR($A1954="",$F1954="",$F1954="نامعتبر"),"",LEFT($F1954,4)&amp;MID($F1954,6,2)&amp;RIGHT($F1954,2)&amp;"0000"&amp;"|"&amp;"1"&amp;RIGHT("00000"&amp;1949,5))</f>
        <v/>
      </c>
      <c r="H1954">
        <f>IF(OR($B1954&lt;&gt;1,$G1954=""),"",COUNTIFS(LdAParty,$A1954,LdAType,1,LdAKey,"&lt;"&amp;$G1954)+COUNTIFS(LdBMember,$A1954,LdBKey,"&lt;"&amp;$G1954)+COUNTIFS(LdCParty,$A1954,LdCKey,"&lt;"&amp;$G1954)+1)</f>
        <v/>
      </c>
      <c r="I1954">
        <f>IF($H1954="","",$A1954&amp;"|"&amp;RIGHT("000000"&amp;$H1954,6))</f>
        <v/>
      </c>
      <c r="J1954">
        <f>IF(OR($B1954&lt;&gt;2,$G1954=""),"",COUNTIFS(LdAParty,$A1954,LdAType,2,LdAKey,"&lt;"&amp;$G1954)+1)</f>
        <v/>
      </c>
      <c r="K1954">
        <f>IF($J1954="","",$A1954&amp;"|"&amp;RIGHT("000000"&amp;$J1954,6))</f>
        <v/>
      </c>
      <c r="L1954">
        <f>IF($A1954="","",IF(Wages!$G1957="",0,Wages!$G1957))</f>
        <v/>
      </c>
      <c r="M1954">
        <f>IF($A1954="","",Wages!$J1957)</f>
        <v/>
      </c>
      <c r="N1954">
        <f>IF($A1954="","",Wages!$D1957)</f>
        <v/>
      </c>
      <c r="P1954">
        <f>IF(OR(Shares!$B1957="",Shares!$C1957=""),"",Shares!$C1957)</f>
        <v/>
      </c>
      <c r="Q1954">
        <f>IF($P1954="","",Shares!$B1957)</f>
        <v/>
      </c>
      <c r="R1954">
        <f>IF($P1954="","",IFERROR(INDEX(WageParty,MATCH($Q1954,WageIds,0)),""))</f>
        <v/>
      </c>
      <c r="S1954">
        <f>IF($P1954="","",IFERROR(INDEX($F$6:$F$2005,MATCH($Q1954,WageIds,0)),""))</f>
        <v/>
      </c>
      <c r="T1954">
        <f>IF(OR($P1954="",$S1954="",$S1954="نامعتبر"),"",LEFT($S1954,4)&amp;MID($S1954,6,2)&amp;RIGHT($S1954,2)&amp;"0000"&amp;"|"&amp;"2"&amp;RIGHT("00000"&amp;1949,5))</f>
        <v/>
      </c>
      <c r="U1954">
        <f>IF($T1954="","",COUNTIFS(LdAParty,$P1954,LdAType,1,LdAKey,"&lt;"&amp;$T1954)+COUNTIFS(LdBMember,$P1954,LdBKey,"&lt;"&amp;$T1954)+COUNTIFS(LdCParty,$P1954,LdCKey,"&lt;"&amp;$T1954)+1)</f>
        <v/>
      </c>
      <c r="V1954">
        <f>IF($U1954="","",$P1954&amp;"|"&amp;RIGHT("000000"&amp;$U1954,6))</f>
        <v/>
      </c>
      <c r="W1954">
        <f>IF($T1954="","",COUNTIFS(LdBGroup,$R1954,LdBKey,"&lt;"&amp;$T1954)+1)</f>
        <v/>
      </c>
      <c r="X1954">
        <f>IF($W1954="","",$R1954&amp;"|"&amp;RIGHT("000000"&amp;$W1954,6))</f>
        <v/>
      </c>
      <c r="Y1954">
        <f>IF($P1954="","",IF(Shares!$E1957="",0,Shares!$E1957))</f>
        <v/>
      </c>
      <c r="Z1954">
        <f>IF($P1954="","",Shares!$H1957)</f>
        <v/>
      </c>
      <c r="AE1954">
        <f>IF(OR(Sync!$S1954="",Sync!$P1954=""),"",Sync!$S1954)</f>
        <v/>
      </c>
      <c r="AF1954">
        <f>IF($AE1954="","",IF(ISNUMBER(Sync!$P1954),IF(AND(Sync!$P1954&gt;=10000101,Sync!$P1954&lt;=99991231),INT(Sync!$P1954/10000),""),IFERROR(VALUE(TRIM(LEFT(Sync!$P1954,FIND("/",Sync!$P1954)-1))),"")))</f>
        <v/>
      </c>
      <c r="AG1954">
        <f>IF(OR($AE1954="",$AF1954=""),"",IF(ISNUMBER(Sync!$P1954),INT(MOD(Sync!$P1954,10000)/100),IFERROR(VALUE(TRIM(LEFT(MID(Sync!$P1954,FIND("/",Sync!$P1954)+1,20),FIND("/",MID(Sync!$P1954,FIND("/",Sync!$P1954)+1,20))-1))),"")))</f>
        <v/>
      </c>
      <c r="AH1954">
        <f>IF(OR($AE1954="",$AF1954=""),"",IF(ISNUMBER(Sync!$P1954),MOD(Sync!$P1954,100),IFERROR(VALUE(TRIM(MID(MID(Sync!$P1954,FIND("/",Sync!$P1954)+1,20),FIND("/",MID(Sync!$P1954,FIND("/",Sync!$P1954)+1,20))+1,20))),"")))</f>
        <v/>
      </c>
      <c r="AI1954">
        <f>IF($AE1954="","",IF(OR($AF1954="",$AG1954="",$AH1954="",$AF1954&lt;1300,$AF1954&gt;1500,$AG1954&lt;1,$AG1954&gt;12,$AH1954&lt;1,$AH1954&gt;31),"نامعتبر",RIGHT("0000"&amp;$AF1954,4)&amp;"/"&amp;RIGHT("00"&amp;$AG1954,2)&amp;"/"&amp;RIGHT("00"&amp;$AH1954,2)))</f>
        <v/>
      </c>
      <c r="AJ1954">
        <f>IF($AE1954="","",IF(Sync!$Q1954="","0000",IF(AND(ISNUMBER(Sync!$Q1954),Sync!$Q1954&gt;=0,Sync!$Q1954&lt;1),RIGHT("00"&amp;HOUR(Sync!$Q1954),2)&amp;RIGHT("00"&amp;MINUTE(Sync!$Q1954),2),IFERROR(RIGHT("00"&amp;VALUE(LEFT(Sync!$Q1954,FIND(":",Sync!$Q1954)-1)),2)&amp;RIGHT("00"&amp;VALUE(MID(Sync!$Q1954,FIND(":",Sync!$Q1954)+1,2)),2),"0000"))))</f>
        <v/>
      </c>
      <c r="AK1954">
        <f>IF(OR($AE1954="",$AI1954="",$AI1954="نامعتبر"),"",LEFT($AI1954,4)&amp;MID($AI1954,6,2)&amp;RIGHT($AI1954,2)&amp;$AJ1954&amp;"|"&amp;"3"&amp;RIGHT("00000"&amp;1949,5))</f>
        <v/>
      </c>
      <c r="AL1954">
        <f>IF($AK1954="","",COUNTIFS(LdAParty,$AE1954,LdAType,1,LdAKey,"&lt;"&amp;$AK1954)+COUNTIFS(LdBMember,$AE1954,LdBKey,"&lt;"&amp;$AK1954)+COUNTIFS(LdCParty,$AE1954,LdCKey,"&lt;"&amp;$AK1954)+1)</f>
        <v/>
      </c>
      <c r="AM1954">
        <f>IF($AL1954="","",$AE1954&amp;"|"&amp;RIGHT("000000"&amp;$AL1954,6))</f>
        <v/>
      </c>
      <c r="AN1954">
        <f>IF($AE1954="","",IF(Sync!$W1954="",0,Sync!$W1954))</f>
        <v/>
      </c>
      <c r="AO1954">
        <f>IF($AE1954="","",IF(Sync!$X1954="",0,Sync!$X1954))</f>
        <v/>
      </c>
      <c r="AP1954">
        <f>IF($AE1954="","",Sync!$R1954)</f>
        <v/>
      </c>
      <c r="AQ1954">
        <f>IF($AE1954="","",Sync!$Y1954)</f>
        <v/>
      </c>
    </row>
    <row r="1955">
      <c r="A1955">
        <f>IF(OR(Wages!$B1958="",Wages!$E1958=""),"",Wages!$E1958)</f>
        <v/>
      </c>
      <c r="B1955">
        <f>IF($A1955="","",IF(Wages!$C1958="دستمزد گروهی",2,1))</f>
        <v/>
      </c>
      <c r="C1955">
        <f>IF($A1955="","",IF(ISNUMBER(Wages!$B1958),IF(AND(Wages!$B1958&gt;=10000101,Wages!$B1958&lt;=99991231),INT(Wages!$B1958/10000),""),IFERROR(VALUE(TRIM(LEFT(Wages!$B1958,FIND("/",Wages!$B1958)-1))),"")))</f>
        <v/>
      </c>
      <c r="D1955">
        <f>IF(OR($A1955="",$C1955=""),"",IF(ISNUMBER(Wages!$B1958),INT(MOD(Wages!$B1958,10000)/100),IFERROR(VALUE(TRIM(LEFT(MID(Wages!$B1958,FIND("/",Wages!$B1958)+1,20),FIND("/",MID(Wages!$B1958,FIND("/",Wages!$B1958)+1,20))-1))),"")))</f>
        <v/>
      </c>
      <c r="E1955">
        <f>IF(OR($A1955="",$C1955=""),"",IF(ISNUMBER(Wages!$B1958),MOD(Wages!$B1958,100),IFERROR(VALUE(TRIM(MID(MID(Wages!$B1958,FIND("/",Wages!$B1958)+1,20),FIND("/",MID(Wages!$B1958,FIND("/",Wages!$B1958)+1,20))+1,20))),"")))</f>
        <v/>
      </c>
      <c r="F1955">
        <f>IF($A1955="","",IF(OR($C1955="",$D1955="",$E1955="",$C1955&lt;1300,$C1955&gt;1500,$D1955&lt;1,$D1955&gt;12,$E1955&lt;1,$E1955&gt;31),"نامعتبر",RIGHT("0000"&amp;$C1955,4)&amp;"/"&amp;RIGHT("00"&amp;$D1955,2)&amp;"/"&amp;RIGHT("00"&amp;$E1955,2)))</f>
        <v/>
      </c>
      <c r="G1955">
        <f>IF(OR($A1955="",$F1955="",$F1955="نامعتبر"),"",LEFT($F1955,4)&amp;MID($F1955,6,2)&amp;RIGHT($F1955,2)&amp;"0000"&amp;"|"&amp;"1"&amp;RIGHT("00000"&amp;1950,5))</f>
        <v/>
      </c>
      <c r="H1955">
        <f>IF(OR($B1955&lt;&gt;1,$G1955=""),"",COUNTIFS(LdAParty,$A1955,LdAType,1,LdAKey,"&lt;"&amp;$G1955)+COUNTIFS(LdBMember,$A1955,LdBKey,"&lt;"&amp;$G1955)+COUNTIFS(LdCParty,$A1955,LdCKey,"&lt;"&amp;$G1955)+1)</f>
        <v/>
      </c>
      <c r="I1955">
        <f>IF($H1955="","",$A1955&amp;"|"&amp;RIGHT("000000"&amp;$H1955,6))</f>
        <v/>
      </c>
      <c r="J1955">
        <f>IF(OR($B1955&lt;&gt;2,$G1955=""),"",COUNTIFS(LdAParty,$A1955,LdAType,2,LdAKey,"&lt;"&amp;$G1955)+1)</f>
        <v/>
      </c>
      <c r="K1955">
        <f>IF($J1955="","",$A1955&amp;"|"&amp;RIGHT("000000"&amp;$J1955,6))</f>
        <v/>
      </c>
      <c r="L1955">
        <f>IF($A1955="","",IF(Wages!$G1958="",0,Wages!$G1958))</f>
        <v/>
      </c>
      <c r="M1955">
        <f>IF($A1955="","",Wages!$J1958)</f>
        <v/>
      </c>
      <c r="N1955">
        <f>IF($A1955="","",Wages!$D1958)</f>
        <v/>
      </c>
      <c r="P1955">
        <f>IF(OR(Shares!$B1958="",Shares!$C1958=""),"",Shares!$C1958)</f>
        <v/>
      </c>
      <c r="Q1955">
        <f>IF($P1955="","",Shares!$B1958)</f>
        <v/>
      </c>
      <c r="R1955">
        <f>IF($P1955="","",IFERROR(INDEX(WageParty,MATCH($Q1955,WageIds,0)),""))</f>
        <v/>
      </c>
      <c r="S1955">
        <f>IF($P1955="","",IFERROR(INDEX($F$6:$F$2005,MATCH($Q1955,WageIds,0)),""))</f>
        <v/>
      </c>
      <c r="T1955">
        <f>IF(OR($P1955="",$S1955="",$S1955="نامعتبر"),"",LEFT($S1955,4)&amp;MID($S1955,6,2)&amp;RIGHT($S1955,2)&amp;"0000"&amp;"|"&amp;"2"&amp;RIGHT("00000"&amp;1950,5))</f>
        <v/>
      </c>
      <c r="U1955">
        <f>IF($T1955="","",COUNTIFS(LdAParty,$P1955,LdAType,1,LdAKey,"&lt;"&amp;$T1955)+COUNTIFS(LdBMember,$P1955,LdBKey,"&lt;"&amp;$T1955)+COUNTIFS(LdCParty,$P1955,LdCKey,"&lt;"&amp;$T1955)+1)</f>
        <v/>
      </c>
      <c r="V1955">
        <f>IF($U1955="","",$P1955&amp;"|"&amp;RIGHT("000000"&amp;$U1955,6))</f>
        <v/>
      </c>
      <c r="W1955">
        <f>IF($T1955="","",COUNTIFS(LdBGroup,$R1955,LdBKey,"&lt;"&amp;$T1955)+1)</f>
        <v/>
      </c>
      <c r="X1955">
        <f>IF($W1955="","",$R1955&amp;"|"&amp;RIGHT("000000"&amp;$W1955,6))</f>
        <v/>
      </c>
      <c r="Y1955">
        <f>IF($P1955="","",IF(Shares!$E1958="",0,Shares!$E1958))</f>
        <v/>
      </c>
      <c r="Z1955">
        <f>IF($P1955="","",Shares!$H1958)</f>
        <v/>
      </c>
      <c r="AE1955">
        <f>IF(OR(Sync!$S1955="",Sync!$P1955=""),"",Sync!$S1955)</f>
        <v/>
      </c>
      <c r="AF1955">
        <f>IF($AE1955="","",IF(ISNUMBER(Sync!$P1955),IF(AND(Sync!$P1955&gt;=10000101,Sync!$P1955&lt;=99991231),INT(Sync!$P1955/10000),""),IFERROR(VALUE(TRIM(LEFT(Sync!$P1955,FIND("/",Sync!$P1955)-1))),"")))</f>
        <v/>
      </c>
      <c r="AG1955">
        <f>IF(OR($AE1955="",$AF1955=""),"",IF(ISNUMBER(Sync!$P1955),INT(MOD(Sync!$P1955,10000)/100),IFERROR(VALUE(TRIM(LEFT(MID(Sync!$P1955,FIND("/",Sync!$P1955)+1,20),FIND("/",MID(Sync!$P1955,FIND("/",Sync!$P1955)+1,20))-1))),"")))</f>
        <v/>
      </c>
      <c r="AH1955">
        <f>IF(OR($AE1955="",$AF1955=""),"",IF(ISNUMBER(Sync!$P1955),MOD(Sync!$P1955,100),IFERROR(VALUE(TRIM(MID(MID(Sync!$P1955,FIND("/",Sync!$P1955)+1,20),FIND("/",MID(Sync!$P1955,FIND("/",Sync!$P1955)+1,20))+1,20))),"")))</f>
        <v/>
      </c>
      <c r="AI1955">
        <f>IF($AE1955="","",IF(OR($AF1955="",$AG1955="",$AH1955="",$AF1955&lt;1300,$AF1955&gt;1500,$AG1955&lt;1,$AG1955&gt;12,$AH1955&lt;1,$AH1955&gt;31),"نامعتبر",RIGHT("0000"&amp;$AF1955,4)&amp;"/"&amp;RIGHT("00"&amp;$AG1955,2)&amp;"/"&amp;RIGHT("00"&amp;$AH1955,2)))</f>
        <v/>
      </c>
      <c r="AJ1955">
        <f>IF($AE1955="","",IF(Sync!$Q1955="","0000",IF(AND(ISNUMBER(Sync!$Q1955),Sync!$Q1955&gt;=0,Sync!$Q1955&lt;1),RIGHT("00"&amp;HOUR(Sync!$Q1955),2)&amp;RIGHT("00"&amp;MINUTE(Sync!$Q1955),2),IFERROR(RIGHT("00"&amp;VALUE(LEFT(Sync!$Q1955,FIND(":",Sync!$Q1955)-1)),2)&amp;RIGHT("00"&amp;VALUE(MID(Sync!$Q1955,FIND(":",Sync!$Q1955)+1,2)),2),"0000"))))</f>
        <v/>
      </c>
      <c r="AK1955">
        <f>IF(OR($AE1955="",$AI1955="",$AI1955="نامعتبر"),"",LEFT($AI1955,4)&amp;MID($AI1955,6,2)&amp;RIGHT($AI1955,2)&amp;$AJ1955&amp;"|"&amp;"3"&amp;RIGHT("00000"&amp;1950,5))</f>
        <v/>
      </c>
      <c r="AL1955">
        <f>IF($AK1955="","",COUNTIFS(LdAParty,$AE1955,LdAType,1,LdAKey,"&lt;"&amp;$AK1955)+COUNTIFS(LdBMember,$AE1955,LdBKey,"&lt;"&amp;$AK1955)+COUNTIFS(LdCParty,$AE1955,LdCKey,"&lt;"&amp;$AK1955)+1)</f>
        <v/>
      </c>
      <c r="AM1955">
        <f>IF($AL1955="","",$AE1955&amp;"|"&amp;RIGHT("000000"&amp;$AL1955,6))</f>
        <v/>
      </c>
      <c r="AN1955">
        <f>IF($AE1955="","",IF(Sync!$W1955="",0,Sync!$W1955))</f>
        <v/>
      </c>
      <c r="AO1955">
        <f>IF($AE1955="","",IF(Sync!$X1955="",0,Sync!$X1955))</f>
        <v/>
      </c>
      <c r="AP1955">
        <f>IF($AE1955="","",Sync!$R1955)</f>
        <v/>
      </c>
      <c r="AQ1955">
        <f>IF($AE1955="","",Sync!$Y1955)</f>
        <v/>
      </c>
    </row>
    <row r="1956">
      <c r="A1956">
        <f>IF(OR(Wages!$B1959="",Wages!$E1959=""),"",Wages!$E1959)</f>
        <v/>
      </c>
      <c r="B1956">
        <f>IF($A1956="","",IF(Wages!$C1959="دستمزد گروهی",2,1))</f>
        <v/>
      </c>
      <c r="C1956">
        <f>IF($A1956="","",IF(ISNUMBER(Wages!$B1959),IF(AND(Wages!$B1959&gt;=10000101,Wages!$B1959&lt;=99991231),INT(Wages!$B1959/10000),""),IFERROR(VALUE(TRIM(LEFT(Wages!$B1959,FIND("/",Wages!$B1959)-1))),"")))</f>
        <v/>
      </c>
      <c r="D1956">
        <f>IF(OR($A1956="",$C1956=""),"",IF(ISNUMBER(Wages!$B1959),INT(MOD(Wages!$B1959,10000)/100),IFERROR(VALUE(TRIM(LEFT(MID(Wages!$B1959,FIND("/",Wages!$B1959)+1,20),FIND("/",MID(Wages!$B1959,FIND("/",Wages!$B1959)+1,20))-1))),"")))</f>
        <v/>
      </c>
      <c r="E1956">
        <f>IF(OR($A1956="",$C1956=""),"",IF(ISNUMBER(Wages!$B1959),MOD(Wages!$B1959,100),IFERROR(VALUE(TRIM(MID(MID(Wages!$B1959,FIND("/",Wages!$B1959)+1,20),FIND("/",MID(Wages!$B1959,FIND("/",Wages!$B1959)+1,20))+1,20))),"")))</f>
        <v/>
      </c>
      <c r="F1956">
        <f>IF($A1956="","",IF(OR($C1956="",$D1956="",$E1956="",$C1956&lt;1300,$C1956&gt;1500,$D1956&lt;1,$D1956&gt;12,$E1956&lt;1,$E1956&gt;31),"نامعتبر",RIGHT("0000"&amp;$C1956,4)&amp;"/"&amp;RIGHT("00"&amp;$D1956,2)&amp;"/"&amp;RIGHT("00"&amp;$E1956,2)))</f>
        <v/>
      </c>
      <c r="G1956">
        <f>IF(OR($A1956="",$F1956="",$F1956="نامعتبر"),"",LEFT($F1956,4)&amp;MID($F1956,6,2)&amp;RIGHT($F1956,2)&amp;"0000"&amp;"|"&amp;"1"&amp;RIGHT("00000"&amp;1951,5))</f>
        <v/>
      </c>
      <c r="H1956">
        <f>IF(OR($B1956&lt;&gt;1,$G1956=""),"",COUNTIFS(LdAParty,$A1956,LdAType,1,LdAKey,"&lt;"&amp;$G1956)+COUNTIFS(LdBMember,$A1956,LdBKey,"&lt;"&amp;$G1956)+COUNTIFS(LdCParty,$A1956,LdCKey,"&lt;"&amp;$G1956)+1)</f>
        <v/>
      </c>
      <c r="I1956">
        <f>IF($H1956="","",$A1956&amp;"|"&amp;RIGHT("000000"&amp;$H1956,6))</f>
        <v/>
      </c>
      <c r="J1956">
        <f>IF(OR($B1956&lt;&gt;2,$G1956=""),"",COUNTIFS(LdAParty,$A1956,LdAType,2,LdAKey,"&lt;"&amp;$G1956)+1)</f>
        <v/>
      </c>
      <c r="K1956">
        <f>IF($J1956="","",$A1956&amp;"|"&amp;RIGHT("000000"&amp;$J1956,6))</f>
        <v/>
      </c>
      <c r="L1956">
        <f>IF($A1956="","",IF(Wages!$G1959="",0,Wages!$G1959))</f>
        <v/>
      </c>
      <c r="M1956">
        <f>IF($A1956="","",Wages!$J1959)</f>
        <v/>
      </c>
      <c r="N1956">
        <f>IF($A1956="","",Wages!$D1959)</f>
        <v/>
      </c>
      <c r="P1956">
        <f>IF(OR(Shares!$B1959="",Shares!$C1959=""),"",Shares!$C1959)</f>
        <v/>
      </c>
      <c r="Q1956">
        <f>IF($P1956="","",Shares!$B1959)</f>
        <v/>
      </c>
      <c r="R1956">
        <f>IF($P1956="","",IFERROR(INDEX(WageParty,MATCH($Q1956,WageIds,0)),""))</f>
        <v/>
      </c>
      <c r="S1956">
        <f>IF($P1956="","",IFERROR(INDEX($F$6:$F$2005,MATCH($Q1956,WageIds,0)),""))</f>
        <v/>
      </c>
      <c r="T1956">
        <f>IF(OR($P1956="",$S1956="",$S1956="نامعتبر"),"",LEFT($S1956,4)&amp;MID($S1956,6,2)&amp;RIGHT($S1956,2)&amp;"0000"&amp;"|"&amp;"2"&amp;RIGHT("00000"&amp;1951,5))</f>
        <v/>
      </c>
      <c r="U1956">
        <f>IF($T1956="","",COUNTIFS(LdAParty,$P1956,LdAType,1,LdAKey,"&lt;"&amp;$T1956)+COUNTIFS(LdBMember,$P1956,LdBKey,"&lt;"&amp;$T1956)+COUNTIFS(LdCParty,$P1956,LdCKey,"&lt;"&amp;$T1956)+1)</f>
        <v/>
      </c>
      <c r="V1956">
        <f>IF($U1956="","",$P1956&amp;"|"&amp;RIGHT("000000"&amp;$U1956,6))</f>
        <v/>
      </c>
      <c r="W1956">
        <f>IF($T1956="","",COUNTIFS(LdBGroup,$R1956,LdBKey,"&lt;"&amp;$T1956)+1)</f>
        <v/>
      </c>
      <c r="X1956">
        <f>IF($W1956="","",$R1956&amp;"|"&amp;RIGHT("000000"&amp;$W1956,6))</f>
        <v/>
      </c>
      <c r="Y1956">
        <f>IF($P1956="","",IF(Shares!$E1959="",0,Shares!$E1959))</f>
        <v/>
      </c>
      <c r="Z1956">
        <f>IF($P1956="","",Shares!$H1959)</f>
        <v/>
      </c>
      <c r="AE1956">
        <f>IF(OR(Sync!$S1956="",Sync!$P1956=""),"",Sync!$S1956)</f>
        <v/>
      </c>
      <c r="AF1956">
        <f>IF($AE1956="","",IF(ISNUMBER(Sync!$P1956),IF(AND(Sync!$P1956&gt;=10000101,Sync!$P1956&lt;=99991231),INT(Sync!$P1956/10000),""),IFERROR(VALUE(TRIM(LEFT(Sync!$P1956,FIND("/",Sync!$P1956)-1))),"")))</f>
        <v/>
      </c>
      <c r="AG1956">
        <f>IF(OR($AE1956="",$AF1956=""),"",IF(ISNUMBER(Sync!$P1956),INT(MOD(Sync!$P1956,10000)/100),IFERROR(VALUE(TRIM(LEFT(MID(Sync!$P1956,FIND("/",Sync!$P1956)+1,20),FIND("/",MID(Sync!$P1956,FIND("/",Sync!$P1956)+1,20))-1))),"")))</f>
        <v/>
      </c>
      <c r="AH1956">
        <f>IF(OR($AE1956="",$AF1956=""),"",IF(ISNUMBER(Sync!$P1956),MOD(Sync!$P1956,100),IFERROR(VALUE(TRIM(MID(MID(Sync!$P1956,FIND("/",Sync!$P1956)+1,20),FIND("/",MID(Sync!$P1956,FIND("/",Sync!$P1956)+1,20))+1,20))),"")))</f>
        <v/>
      </c>
      <c r="AI1956">
        <f>IF($AE1956="","",IF(OR($AF1956="",$AG1956="",$AH1956="",$AF1956&lt;1300,$AF1956&gt;1500,$AG1956&lt;1,$AG1956&gt;12,$AH1956&lt;1,$AH1956&gt;31),"نامعتبر",RIGHT("0000"&amp;$AF1956,4)&amp;"/"&amp;RIGHT("00"&amp;$AG1956,2)&amp;"/"&amp;RIGHT("00"&amp;$AH1956,2)))</f>
        <v/>
      </c>
      <c r="AJ1956">
        <f>IF($AE1956="","",IF(Sync!$Q1956="","0000",IF(AND(ISNUMBER(Sync!$Q1956),Sync!$Q1956&gt;=0,Sync!$Q1956&lt;1),RIGHT("00"&amp;HOUR(Sync!$Q1956),2)&amp;RIGHT("00"&amp;MINUTE(Sync!$Q1956),2),IFERROR(RIGHT("00"&amp;VALUE(LEFT(Sync!$Q1956,FIND(":",Sync!$Q1956)-1)),2)&amp;RIGHT("00"&amp;VALUE(MID(Sync!$Q1956,FIND(":",Sync!$Q1956)+1,2)),2),"0000"))))</f>
        <v/>
      </c>
      <c r="AK1956">
        <f>IF(OR($AE1956="",$AI1956="",$AI1956="نامعتبر"),"",LEFT($AI1956,4)&amp;MID($AI1956,6,2)&amp;RIGHT($AI1956,2)&amp;$AJ1956&amp;"|"&amp;"3"&amp;RIGHT("00000"&amp;1951,5))</f>
        <v/>
      </c>
      <c r="AL1956">
        <f>IF($AK1956="","",COUNTIFS(LdAParty,$AE1956,LdAType,1,LdAKey,"&lt;"&amp;$AK1956)+COUNTIFS(LdBMember,$AE1956,LdBKey,"&lt;"&amp;$AK1956)+COUNTIFS(LdCParty,$AE1956,LdCKey,"&lt;"&amp;$AK1956)+1)</f>
        <v/>
      </c>
      <c r="AM1956">
        <f>IF($AL1956="","",$AE1956&amp;"|"&amp;RIGHT("000000"&amp;$AL1956,6))</f>
        <v/>
      </c>
      <c r="AN1956">
        <f>IF($AE1956="","",IF(Sync!$W1956="",0,Sync!$W1956))</f>
        <v/>
      </c>
      <c r="AO1956">
        <f>IF($AE1956="","",IF(Sync!$X1956="",0,Sync!$X1956))</f>
        <v/>
      </c>
      <c r="AP1956">
        <f>IF($AE1956="","",Sync!$R1956)</f>
        <v/>
      </c>
      <c r="AQ1956">
        <f>IF($AE1956="","",Sync!$Y1956)</f>
        <v/>
      </c>
    </row>
    <row r="1957">
      <c r="A1957">
        <f>IF(OR(Wages!$B1960="",Wages!$E1960=""),"",Wages!$E1960)</f>
        <v/>
      </c>
      <c r="B1957">
        <f>IF($A1957="","",IF(Wages!$C1960="دستمزد گروهی",2,1))</f>
        <v/>
      </c>
      <c r="C1957">
        <f>IF($A1957="","",IF(ISNUMBER(Wages!$B1960),IF(AND(Wages!$B1960&gt;=10000101,Wages!$B1960&lt;=99991231),INT(Wages!$B1960/10000),""),IFERROR(VALUE(TRIM(LEFT(Wages!$B1960,FIND("/",Wages!$B1960)-1))),"")))</f>
        <v/>
      </c>
      <c r="D1957">
        <f>IF(OR($A1957="",$C1957=""),"",IF(ISNUMBER(Wages!$B1960),INT(MOD(Wages!$B1960,10000)/100),IFERROR(VALUE(TRIM(LEFT(MID(Wages!$B1960,FIND("/",Wages!$B1960)+1,20),FIND("/",MID(Wages!$B1960,FIND("/",Wages!$B1960)+1,20))-1))),"")))</f>
        <v/>
      </c>
      <c r="E1957">
        <f>IF(OR($A1957="",$C1957=""),"",IF(ISNUMBER(Wages!$B1960),MOD(Wages!$B1960,100),IFERROR(VALUE(TRIM(MID(MID(Wages!$B1960,FIND("/",Wages!$B1960)+1,20),FIND("/",MID(Wages!$B1960,FIND("/",Wages!$B1960)+1,20))+1,20))),"")))</f>
        <v/>
      </c>
      <c r="F1957">
        <f>IF($A1957="","",IF(OR($C1957="",$D1957="",$E1957="",$C1957&lt;1300,$C1957&gt;1500,$D1957&lt;1,$D1957&gt;12,$E1957&lt;1,$E1957&gt;31),"نامعتبر",RIGHT("0000"&amp;$C1957,4)&amp;"/"&amp;RIGHT("00"&amp;$D1957,2)&amp;"/"&amp;RIGHT("00"&amp;$E1957,2)))</f>
        <v/>
      </c>
      <c r="G1957">
        <f>IF(OR($A1957="",$F1957="",$F1957="نامعتبر"),"",LEFT($F1957,4)&amp;MID($F1957,6,2)&amp;RIGHT($F1957,2)&amp;"0000"&amp;"|"&amp;"1"&amp;RIGHT("00000"&amp;1952,5))</f>
        <v/>
      </c>
      <c r="H1957">
        <f>IF(OR($B1957&lt;&gt;1,$G1957=""),"",COUNTIFS(LdAParty,$A1957,LdAType,1,LdAKey,"&lt;"&amp;$G1957)+COUNTIFS(LdBMember,$A1957,LdBKey,"&lt;"&amp;$G1957)+COUNTIFS(LdCParty,$A1957,LdCKey,"&lt;"&amp;$G1957)+1)</f>
        <v/>
      </c>
      <c r="I1957">
        <f>IF($H1957="","",$A1957&amp;"|"&amp;RIGHT("000000"&amp;$H1957,6))</f>
        <v/>
      </c>
      <c r="J1957">
        <f>IF(OR($B1957&lt;&gt;2,$G1957=""),"",COUNTIFS(LdAParty,$A1957,LdAType,2,LdAKey,"&lt;"&amp;$G1957)+1)</f>
        <v/>
      </c>
      <c r="K1957">
        <f>IF($J1957="","",$A1957&amp;"|"&amp;RIGHT("000000"&amp;$J1957,6))</f>
        <v/>
      </c>
      <c r="L1957">
        <f>IF($A1957="","",IF(Wages!$G1960="",0,Wages!$G1960))</f>
        <v/>
      </c>
      <c r="M1957">
        <f>IF($A1957="","",Wages!$J1960)</f>
        <v/>
      </c>
      <c r="N1957">
        <f>IF($A1957="","",Wages!$D1960)</f>
        <v/>
      </c>
      <c r="P1957">
        <f>IF(OR(Shares!$B1960="",Shares!$C1960=""),"",Shares!$C1960)</f>
        <v/>
      </c>
      <c r="Q1957">
        <f>IF($P1957="","",Shares!$B1960)</f>
        <v/>
      </c>
      <c r="R1957">
        <f>IF($P1957="","",IFERROR(INDEX(WageParty,MATCH($Q1957,WageIds,0)),""))</f>
        <v/>
      </c>
      <c r="S1957">
        <f>IF($P1957="","",IFERROR(INDEX($F$6:$F$2005,MATCH($Q1957,WageIds,0)),""))</f>
        <v/>
      </c>
      <c r="T1957">
        <f>IF(OR($P1957="",$S1957="",$S1957="نامعتبر"),"",LEFT($S1957,4)&amp;MID($S1957,6,2)&amp;RIGHT($S1957,2)&amp;"0000"&amp;"|"&amp;"2"&amp;RIGHT("00000"&amp;1952,5))</f>
        <v/>
      </c>
      <c r="U1957">
        <f>IF($T1957="","",COUNTIFS(LdAParty,$P1957,LdAType,1,LdAKey,"&lt;"&amp;$T1957)+COUNTIFS(LdBMember,$P1957,LdBKey,"&lt;"&amp;$T1957)+COUNTIFS(LdCParty,$P1957,LdCKey,"&lt;"&amp;$T1957)+1)</f>
        <v/>
      </c>
      <c r="V1957">
        <f>IF($U1957="","",$P1957&amp;"|"&amp;RIGHT("000000"&amp;$U1957,6))</f>
        <v/>
      </c>
      <c r="W1957">
        <f>IF($T1957="","",COUNTIFS(LdBGroup,$R1957,LdBKey,"&lt;"&amp;$T1957)+1)</f>
        <v/>
      </c>
      <c r="X1957">
        <f>IF($W1957="","",$R1957&amp;"|"&amp;RIGHT("000000"&amp;$W1957,6))</f>
        <v/>
      </c>
      <c r="Y1957">
        <f>IF($P1957="","",IF(Shares!$E1960="",0,Shares!$E1960))</f>
        <v/>
      </c>
      <c r="Z1957">
        <f>IF($P1957="","",Shares!$H1960)</f>
        <v/>
      </c>
      <c r="AE1957">
        <f>IF(OR(Sync!$S1957="",Sync!$P1957=""),"",Sync!$S1957)</f>
        <v/>
      </c>
      <c r="AF1957">
        <f>IF($AE1957="","",IF(ISNUMBER(Sync!$P1957),IF(AND(Sync!$P1957&gt;=10000101,Sync!$P1957&lt;=99991231),INT(Sync!$P1957/10000),""),IFERROR(VALUE(TRIM(LEFT(Sync!$P1957,FIND("/",Sync!$P1957)-1))),"")))</f>
        <v/>
      </c>
      <c r="AG1957">
        <f>IF(OR($AE1957="",$AF1957=""),"",IF(ISNUMBER(Sync!$P1957),INT(MOD(Sync!$P1957,10000)/100),IFERROR(VALUE(TRIM(LEFT(MID(Sync!$P1957,FIND("/",Sync!$P1957)+1,20),FIND("/",MID(Sync!$P1957,FIND("/",Sync!$P1957)+1,20))-1))),"")))</f>
        <v/>
      </c>
      <c r="AH1957">
        <f>IF(OR($AE1957="",$AF1957=""),"",IF(ISNUMBER(Sync!$P1957),MOD(Sync!$P1957,100),IFERROR(VALUE(TRIM(MID(MID(Sync!$P1957,FIND("/",Sync!$P1957)+1,20),FIND("/",MID(Sync!$P1957,FIND("/",Sync!$P1957)+1,20))+1,20))),"")))</f>
        <v/>
      </c>
      <c r="AI1957">
        <f>IF($AE1957="","",IF(OR($AF1957="",$AG1957="",$AH1957="",$AF1957&lt;1300,$AF1957&gt;1500,$AG1957&lt;1,$AG1957&gt;12,$AH1957&lt;1,$AH1957&gt;31),"نامعتبر",RIGHT("0000"&amp;$AF1957,4)&amp;"/"&amp;RIGHT("00"&amp;$AG1957,2)&amp;"/"&amp;RIGHT("00"&amp;$AH1957,2)))</f>
        <v/>
      </c>
      <c r="AJ1957">
        <f>IF($AE1957="","",IF(Sync!$Q1957="","0000",IF(AND(ISNUMBER(Sync!$Q1957),Sync!$Q1957&gt;=0,Sync!$Q1957&lt;1),RIGHT("00"&amp;HOUR(Sync!$Q1957),2)&amp;RIGHT("00"&amp;MINUTE(Sync!$Q1957),2),IFERROR(RIGHT("00"&amp;VALUE(LEFT(Sync!$Q1957,FIND(":",Sync!$Q1957)-1)),2)&amp;RIGHT("00"&amp;VALUE(MID(Sync!$Q1957,FIND(":",Sync!$Q1957)+1,2)),2),"0000"))))</f>
        <v/>
      </c>
      <c r="AK1957">
        <f>IF(OR($AE1957="",$AI1957="",$AI1957="نامعتبر"),"",LEFT($AI1957,4)&amp;MID($AI1957,6,2)&amp;RIGHT($AI1957,2)&amp;$AJ1957&amp;"|"&amp;"3"&amp;RIGHT("00000"&amp;1952,5))</f>
        <v/>
      </c>
      <c r="AL1957">
        <f>IF($AK1957="","",COUNTIFS(LdAParty,$AE1957,LdAType,1,LdAKey,"&lt;"&amp;$AK1957)+COUNTIFS(LdBMember,$AE1957,LdBKey,"&lt;"&amp;$AK1957)+COUNTIFS(LdCParty,$AE1957,LdCKey,"&lt;"&amp;$AK1957)+1)</f>
        <v/>
      </c>
      <c r="AM1957">
        <f>IF($AL1957="","",$AE1957&amp;"|"&amp;RIGHT("000000"&amp;$AL1957,6))</f>
        <v/>
      </c>
      <c r="AN1957">
        <f>IF($AE1957="","",IF(Sync!$W1957="",0,Sync!$W1957))</f>
        <v/>
      </c>
      <c r="AO1957">
        <f>IF($AE1957="","",IF(Sync!$X1957="",0,Sync!$X1957))</f>
        <v/>
      </c>
      <c r="AP1957">
        <f>IF($AE1957="","",Sync!$R1957)</f>
        <v/>
      </c>
      <c r="AQ1957">
        <f>IF($AE1957="","",Sync!$Y1957)</f>
        <v/>
      </c>
    </row>
    <row r="1958">
      <c r="A1958">
        <f>IF(OR(Wages!$B1961="",Wages!$E1961=""),"",Wages!$E1961)</f>
        <v/>
      </c>
      <c r="B1958">
        <f>IF($A1958="","",IF(Wages!$C1961="دستمزد گروهی",2,1))</f>
        <v/>
      </c>
      <c r="C1958">
        <f>IF($A1958="","",IF(ISNUMBER(Wages!$B1961),IF(AND(Wages!$B1961&gt;=10000101,Wages!$B1961&lt;=99991231),INT(Wages!$B1961/10000),""),IFERROR(VALUE(TRIM(LEFT(Wages!$B1961,FIND("/",Wages!$B1961)-1))),"")))</f>
        <v/>
      </c>
      <c r="D1958">
        <f>IF(OR($A1958="",$C1958=""),"",IF(ISNUMBER(Wages!$B1961),INT(MOD(Wages!$B1961,10000)/100),IFERROR(VALUE(TRIM(LEFT(MID(Wages!$B1961,FIND("/",Wages!$B1961)+1,20),FIND("/",MID(Wages!$B1961,FIND("/",Wages!$B1961)+1,20))-1))),"")))</f>
        <v/>
      </c>
      <c r="E1958">
        <f>IF(OR($A1958="",$C1958=""),"",IF(ISNUMBER(Wages!$B1961),MOD(Wages!$B1961,100),IFERROR(VALUE(TRIM(MID(MID(Wages!$B1961,FIND("/",Wages!$B1961)+1,20),FIND("/",MID(Wages!$B1961,FIND("/",Wages!$B1961)+1,20))+1,20))),"")))</f>
        <v/>
      </c>
      <c r="F1958">
        <f>IF($A1958="","",IF(OR($C1958="",$D1958="",$E1958="",$C1958&lt;1300,$C1958&gt;1500,$D1958&lt;1,$D1958&gt;12,$E1958&lt;1,$E1958&gt;31),"نامعتبر",RIGHT("0000"&amp;$C1958,4)&amp;"/"&amp;RIGHT("00"&amp;$D1958,2)&amp;"/"&amp;RIGHT("00"&amp;$E1958,2)))</f>
        <v/>
      </c>
      <c r="G1958">
        <f>IF(OR($A1958="",$F1958="",$F1958="نامعتبر"),"",LEFT($F1958,4)&amp;MID($F1958,6,2)&amp;RIGHT($F1958,2)&amp;"0000"&amp;"|"&amp;"1"&amp;RIGHT("00000"&amp;1953,5))</f>
        <v/>
      </c>
      <c r="H1958">
        <f>IF(OR($B1958&lt;&gt;1,$G1958=""),"",COUNTIFS(LdAParty,$A1958,LdAType,1,LdAKey,"&lt;"&amp;$G1958)+COUNTIFS(LdBMember,$A1958,LdBKey,"&lt;"&amp;$G1958)+COUNTIFS(LdCParty,$A1958,LdCKey,"&lt;"&amp;$G1958)+1)</f>
        <v/>
      </c>
      <c r="I1958">
        <f>IF($H1958="","",$A1958&amp;"|"&amp;RIGHT("000000"&amp;$H1958,6))</f>
        <v/>
      </c>
      <c r="J1958">
        <f>IF(OR($B1958&lt;&gt;2,$G1958=""),"",COUNTIFS(LdAParty,$A1958,LdAType,2,LdAKey,"&lt;"&amp;$G1958)+1)</f>
        <v/>
      </c>
      <c r="K1958">
        <f>IF($J1958="","",$A1958&amp;"|"&amp;RIGHT("000000"&amp;$J1958,6))</f>
        <v/>
      </c>
      <c r="L1958">
        <f>IF($A1958="","",IF(Wages!$G1961="",0,Wages!$G1961))</f>
        <v/>
      </c>
      <c r="M1958">
        <f>IF($A1958="","",Wages!$J1961)</f>
        <v/>
      </c>
      <c r="N1958">
        <f>IF($A1958="","",Wages!$D1961)</f>
        <v/>
      </c>
      <c r="P1958">
        <f>IF(OR(Shares!$B1961="",Shares!$C1961=""),"",Shares!$C1961)</f>
        <v/>
      </c>
      <c r="Q1958">
        <f>IF($P1958="","",Shares!$B1961)</f>
        <v/>
      </c>
      <c r="R1958">
        <f>IF($P1958="","",IFERROR(INDEX(WageParty,MATCH($Q1958,WageIds,0)),""))</f>
        <v/>
      </c>
      <c r="S1958">
        <f>IF($P1958="","",IFERROR(INDEX($F$6:$F$2005,MATCH($Q1958,WageIds,0)),""))</f>
        <v/>
      </c>
      <c r="T1958">
        <f>IF(OR($P1958="",$S1958="",$S1958="نامعتبر"),"",LEFT($S1958,4)&amp;MID($S1958,6,2)&amp;RIGHT($S1958,2)&amp;"0000"&amp;"|"&amp;"2"&amp;RIGHT("00000"&amp;1953,5))</f>
        <v/>
      </c>
      <c r="U1958">
        <f>IF($T1958="","",COUNTIFS(LdAParty,$P1958,LdAType,1,LdAKey,"&lt;"&amp;$T1958)+COUNTIFS(LdBMember,$P1958,LdBKey,"&lt;"&amp;$T1958)+COUNTIFS(LdCParty,$P1958,LdCKey,"&lt;"&amp;$T1958)+1)</f>
        <v/>
      </c>
      <c r="V1958">
        <f>IF($U1958="","",$P1958&amp;"|"&amp;RIGHT("000000"&amp;$U1958,6))</f>
        <v/>
      </c>
      <c r="W1958">
        <f>IF($T1958="","",COUNTIFS(LdBGroup,$R1958,LdBKey,"&lt;"&amp;$T1958)+1)</f>
        <v/>
      </c>
      <c r="X1958">
        <f>IF($W1958="","",$R1958&amp;"|"&amp;RIGHT("000000"&amp;$W1958,6))</f>
        <v/>
      </c>
      <c r="Y1958">
        <f>IF($P1958="","",IF(Shares!$E1961="",0,Shares!$E1961))</f>
        <v/>
      </c>
      <c r="Z1958">
        <f>IF($P1958="","",Shares!$H1961)</f>
        <v/>
      </c>
      <c r="AE1958">
        <f>IF(OR(Sync!$S1958="",Sync!$P1958=""),"",Sync!$S1958)</f>
        <v/>
      </c>
      <c r="AF1958">
        <f>IF($AE1958="","",IF(ISNUMBER(Sync!$P1958),IF(AND(Sync!$P1958&gt;=10000101,Sync!$P1958&lt;=99991231),INT(Sync!$P1958/10000),""),IFERROR(VALUE(TRIM(LEFT(Sync!$P1958,FIND("/",Sync!$P1958)-1))),"")))</f>
        <v/>
      </c>
      <c r="AG1958">
        <f>IF(OR($AE1958="",$AF1958=""),"",IF(ISNUMBER(Sync!$P1958),INT(MOD(Sync!$P1958,10000)/100),IFERROR(VALUE(TRIM(LEFT(MID(Sync!$P1958,FIND("/",Sync!$P1958)+1,20),FIND("/",MID(Sync!$P1958,FIND("/",Sync!$P1958)+1,20))-1))),"")))</f>
        <v/>
      </c>
      <c r="AH1958">
        <f>IF(OR($AE1958="",$AF1958=""),"",IF(ISNUMBER(Sync!$P1958),MOD(Sync!$P1958,100),IFERROR(VALUE(TRIM(MID(MID(Sync!$P1958,FIND("/",Sync!$P1958)+1,20),FIND("/",MID(Sync!$P1958,FIND("/",Sync!$P1958)+1,20))+1,20))),"")))</f>
        <v/>
      </c>
      <c r="AI1958">
        <f>IF($AE1958="","",IF(OR($AF1958="",$AG1958="",$AH1958="",$AF1958&lt;1300,$AF1958&gt;1500,$AG1958&lt;1,$AG1958&gt;12,$AH1958&lt;1,$AH1958&gt;31),"نامعتبر",RIGHT("0000"&amp;$AF1958,4)&amp;"/"&amp;RIGHT("00"&amp;$AG1958,2)&amp;"/"&amp;RIGHT("00"&amp;$AH1958,2)))</f>
        <v/>
      </c>
      <c r="AJ1958">
        <f>IF($AE1958="","",IF(Sync!$Q1958="","0000",IF(AND(ISNUMBER(Sync!$Q1958),Sync!$Q1958&gt;=0,Sync!$Q1958&lt;1),RIGHT("00"&amp;HOUR(Sync!$Q1958),2)&amp;RIGHT("00"&amp;MINUTE(Sync!$Q1958),2),IFERROR(RIGHT("00"&amp;VALUE(LEFT(Sync!$Q1958,FIND(":",Sync!$Q1958)-1)),2)&amp;RIGHT("00"&amp;VALUE(MID(Sync!$Q1958,FIND(":",Sync!$Q1958)+1,2)),2),"0000"))))</f>
        <v/>
      </c>
      <c r="AK1958">
        <f>IF(OR($AE1958="",$AI1958="",$AI1958="نامعتبر"),"",LEFT($AI1958,4)&amp;MID($AI1958,6,2)&amp;RIGHT($AI1958,2)&amp;$AJ1958&amp;"|"&amp;"3"&amp;RIGHT("00000"&amp;1953,5))</f>
        <v/>
      </c>
      <c r="AL1958">
        <f>IF($AK1958="","",COUNTIFS(LdAParty,$AE1958,LdAType,1,LdAKey,"&lt;"&amp;$AK1958)+COUNTIFS(LdBMember,$AE1958,LdBKey,"&lt;"&amp;$AK1958)+COUNTIFS(LdCParty,$AE1958,LdCKey,"&lt;"&amp;$AK1958)+1)</f>
        <v/>
      </c>
      <c r="AM1958">
        <f>IF($AL1958="","",$AE1958&amp;"|"&amp;RIGHT("000000"&amp;$AL1958,6))</f>
        <v/>
      </c>
      <c r="AN1958">
        <f>IF($AE1958="","",IF(Sync!$W1958="",0,Sync!$W1958))</f>
        <v/>
      </c>
      <c r="AO1958">
        <f>IF($AE1958="","",IF(Sync!$X1958="",0,Sync!$X1958))</f>
        <v/>
      </c>
      <c r="AP1958">
        <f>IF($AE1958="","",Sync!$R1958)</f>
        <v/>
      </c>
      <c r="AQ1958">
        <f>IF($AE1958="","",Sync!$Y1958)</f>
        <v/>
      </c>
    </row>
    <row r="1959">
      <c r="A1959">
        <f>IF(OR(Wages!$B1962="",Wages!$E1962=""),"",Wages!$E1962)</f>
        <v/>
      </c>
      <c r="B1959">
        <f>IF($A1959="","",IF(Wages!$C1962="دستمزد گروهی",2,1))</f>
        <v/>
      </c>
      <c r="C1959">
        <f>IF($A1959="","",IF(ISNUMBER(Wages!$B1962),IF(AND(Wages!$B1962&gt;=10000101,Wages!$B1962&lt;=99991231),INT(Wages!$B1962/10000),""),IFERROR(VALUE(TRIM(LEFT(Wages!$B1962,FIND("/",Wages!$B1962)-1))),"")))</f>
        <v/>
      </c>
      <c r="D1959">
        <f>IF(OR($A1959="",$C1959=""),"",IF(ISNUMBER(Wages!$B1962),INT(MOD(Wages!$B1962,10000)/100),IFERROR(VALUE(TRIM(LEFT(MID(Wages!$B1962,FIND("/",Wages!$B1962)+1,20),FIND("/",MID(Wages!$B1962,FIND("/",Wages!$B1962)+1,20))-1))),"")))</f>
        <v/>
      </c>
      <c r="E1959">
        <f>IF(OR($A1959="",$C1959=""),"",IF(ISNUMBER(Wages!$B1962),MOD(Wages!$B1962,100),IFERROR(VALUE(TRIM(MID(MID(Wages!$B1962,FIND("/",Wages!$B1962)+1,20),FIND("/",MID(Wages!$B1962,FIND("/",Wages!$B1962)+1,20))+1,20))),"")))</f>
        <v/>
      </c>
      <c r="F1959">
        <f>IF($A1959="","",IF(OR($C1959="",$D1959="",$E1959="",$C1959&lt;1300,$C1959&gt;1500,$D1959&lt;1,$D1959&gt;12,$E1959&lt;1,$E1959&gt;31),"نامعتبر",RIGHT("0000"&amp;$C1959,4)&amp;"/"&amp;RIGHT("00"&amp;$D1959,2)&amp;"/"&amp;RIGHT("00"&amp;$E1959,2)))</f>
        <v/>
      </c>
      <c r="G1959">
        <f>IF(OR($A1959="",$F1959="",$F1959="نامعتبر"),"",LEFT($F1959,4)&amp;MID($F1959,6,2)&amp;RIGHT($F1959,2)&amp;"0000"&amp;"|"&amp;"1"&amp;RIGHT("00000"&amp;1954,5))</f>
        <v/>
      </c>
      <c r="H1959">
        <f>IF(OR($B1959&lt;&gt;1,$G1959=""),"",COUNTIFS(LdAParty,$A1959,LdAType,1,LdAKey,"&lt;"&amp;$G1959)+COUNTIFS(LdBMember,$A1959,LdBKey,"&lt;"&amp;$G1959)+COUNTIFS(LdCParty,$A1959,LdCKey,"&lt;"&amp;$G1959)+1)</f>
        <v/>
      </c>
      <c r="I1959">
        <f>IF($H1959="","",$A1959&amp;"|"&amp;RIGHT("000000"&amp;$H1959,6))</f>
        <v/>
      </c>
      <c r="J1959">
        <f>IF(OR($B1959&lt;&gt;2,$G1959=""),"",COUNTIFS(LdAParty,$A1959,LdAType,2,LdAKey,"&lt;"&amp;$G1959)+1)</f>
        <v/>
      </c>
      <c r="K1959">
        <f>IF($J1959="","",$A1959&amp;"|"&amp;RIGHT("000000"&amp;$J1959,6))</f>
        <v/>
      </c>
      <c r="L1959">
        <f>IF($A1959="","",IF(Wages!$G1962="",0,Wages!$G1962))</f>
        <v/>
      </c>
      <c r="M1959">
        <f>IF($A1959="","",Wages!$J1962)</f>
        <v/>
      </c>
      <c r="N1959">
        <f>IF($A1959="","",Wages!$D1962)</f>
        <v/>
      </c>
      <c r="P1959">
        <f>IF(OR(Shares!$B1962="",Shares!$C1962=""),"",Shares!$C1962)</f>
        <v/>
      </c>
      <c r="Q1959">
        <f>IF($P1959="","",Shares!$B1962)</f>
        <v/>
      </c>
      <c r="R1959">
        <f>IF($P1959="","",IFERROR(INDEX(WageParty,MATCH($Q1959,WageIds,0)),""))</f>
        <v/>
      </c>
      <c r="S1959">
        <f>IF($P1959="","",IFERROR(INDEX($F$6:$F$2005,MATCH($Q1959,WageIds,0)),""))</f>
        <v/>
      </c>
      <c r="T1959">
        <f>IF(OR($P1959="",$S1959="",$S1959="نامعتبر"),"",LEFT($S1959,4)&amp;MID($S1959,6,2)&amp;RIGHT($S1959,2)&amp;"0000"&amp;"|"&amp;"2"&amp;RIGHT("00000"&amp;1954,5))</f>
        <v/>
      </c>
      <c r="U1959">
        <f>IF($T1959="","",COUNTIFS(LdAParty,$P1959,LdAType,1,LdAKey,"&lt;"&amp;$T1959)+COUNTIFS(LdBMember,$P1959,LdBKey,"&lt;"&amp;$T1959)+COUNTIFS(LdCParty,$P1959,LdCKey,"&lt;"&amp;$T1959)+1)</f>
        <v/>
      </c>
      <c r="V1959">
        <f>IF($U1959="","",$P1959&amp;"|"&amp;RIGHT("000000"&amp;$U1959,6))</f>
        <v/>
      </c>
      <c r="W1959">
        <f>IF($T1959="","",COUNTIFS(LdBGroup,$R1959,LdBKey,"&lt;"&amp;$T1959)+1)</f>
        <v/>
      </c>
      <c r="X1959">
        <f>IF($W1959="","",$R1959&amp;"|"&amp;RIGHT("000000"&amp;$W1959,6))</f>
        <v/>
      </c>
      <c r="Y1959">
        <f>IF($P1959="","",IF(Shares!$E1962="",0,Shares!$E1962))</f>
        <v/>
      </c>
      <c r="Z1959">
        <f>IF($P1959="","",Shares!$H1962)</f>
        <v/>
      </c>
      <c r="AE1959">
        <f>IF(OR(Sync!$S1959="",Sync!$P1959=""),"",Sync!$S1959)</f>
        <v/>
      </c>
      <c r="AF1959">
        <f>IF($AE1959="","",IF(ISNUMBER(Sync!$P1959),IF(AND(Sync!$P1959&gt;=10000101,Sync!$P1959&lt;=99991231),INT(Sync!$P1959/10000),""),IFERROR(VALUE(TRIM(LEFT(Sync!$P1959,FIND("/",Sync!$P1959)-1))),"")))</f>
        <v/>
      </c>
      <c r="AG1959">
        <f>IF(OR($AE1959="",$AF1959=""),"",IF(ISNUMBER(Sync!$P1959),INT(MOD(Sync!$P1959,10000)/100),IFERROR(VALUE(TRIM(LEFT(MID(Sync!$P1959,FIND("/",Sync!$P1959)+1,20),FIND("/",MID(Sync!$P1959,FIND("/",Sync!$P1959)+1,20))-1))),"")))</f>
        <v/>
      </c>
      <c r="AH1959">
        <f>IF(OR($AE1959="",$AF1959=""),"",IF(ISNUMBER(Sync!$P1959),MOD(Sync!$P1959,100),IFERROR(VALUE(TRIM(MID(MID(Sync!$P1959,FIND("/",Sync!$P1959)+1,20),FIND("/",MID(Sync!$P1959,FIND("/",Sync!$P1959)+1,20))+1,20))),"")))</f>
        <v/>
      </c>
      <c r="AI1959">
        <f>IF($AE1959="","",IF(OR($AF1959="",$AG1959="",$AH1959="",$AF1959&lt;1300,$AF1959&gt;1500,$AG1959&lt;1,$AG1959&gt;12,$AH1959&lt;1,$AH1959&gt;31),"نامعتبر",RIGHT("0000"&amp;$AF1959,4)&amp;"/"&amp;RIGHT("00"&amp;$AG1959,2)&amp;"/"&amp;RIGHT("00"&amp;$AH1959,2)))</f>
        <v/>
      </c>
      <c r="AJ1959">
        <f>IF($AE1959="","",IF(Sync!$Q1959="","0000",IF(AND(ISNUMBER(Sync!$Q1959),Sync!$Q1959&gt;=0,Sync!$Q1959&lt;1),RIGHT("00"&amp;HOUR(Sync!$Q1959),2)&amp;RIGHT("00"&amp;MINUTE(Sync!$Q1959),2),IFERROR(RIGHT("00"&amp;VALUE(LEFT(Sync!$Q1959,FIND(":",Sync!$Q1959)-1)),2)&amp;RIGHT("00"&amp;VALUE(MID(Sync!$Q1959,FIND(":",Sync!$Q1959)+1,2)),2),"0000"))))</f>
        <v/>
      </c>
      <c r="AK1959">
        <f>IF(OR($AE1959="",$AI1959="",$AI1959="نامعتبر"),"",LEFT($AI1959,4)&amp;MID($AI1959,6,2)&amp;RIGHT($AI1959,2)&amp;$AJ1959&amp;"|"&amp;"3"&amp;RIGHT("00000"&amp;1954,5))</f>
        <v/>
      </c>
      <c r="AL1959">
        <f>IF($AK1959="","",COUNTIFS(LdAParty,$AE1959,LdAType,1,LdAKey,"&lt;"&amp;$AK1959)+COUNTIFS(LdBMember,$AE1959,LdBKey,"&lt;"&amp;$AK1959)+COUNTIFS(LdCParty,$AE1959,LdCKey,"&lt;"&amp;$AK1959)+1)</f>
        <v/>
      </c>
      <c r="AM1959">
        <f>IF($AL1959="","",$AE1959&amp;"|"&amp;RIGHT("000000"&amp;$AL1959,6))</f>
        <v/>
      </c>
      <c r="AN1959">
        <f>IF($AE1959="","",IF(Sync!$W1959="",0,Sync!$W1959))</f>
        <v/>
      </c>
      <c r="AO1959">
        <f>IF($AE1959="","",IF(Sync!$X1959="",0,Sync!$X1959))</f>
        <v/>
      </c>
      <c r="AP1959">
        <f>IF($AE1959="","",Sync!$R1959)</f>
        <v/>
      </c>
      <c r="AQ1959">
        <f>IF($AE1959="","",Sync!$Y1959)</f>
        <v/>
      </c>
    </row>
    <row r="1960">
      <c r="A1960">
        <f>IF(OR(Wages!$B1963="",Wages!$E1963=""),"",Wages!$E1963)</f>
        <v/>
      </c>
      <c r="B1960">
        <f>IF($A1960="","",IF(Wages!$C1963="دستمزد گروهی",2,1))</f>
        <v/>
      </c>
      <c r="C1960">
        <f>IF($A1960="","",IF(ISNUMBER(Wages!$B1963),IF(AND(Wages!$B1963&gt;=10000101,Wages!$B1963&lt;=99991231),INT(Wages!$B1963/10000),""),IFERROR(VALUE(TRIM(LEFT(Wages!$B1963,FIND("/",Wages!$B1963)-1))),"")))</f>
        <v/>
      </c>
      <c r="D1960">
        <f>IF(OR($A1960="",$C1960=""),"",IF(ISNUMBER(Wages!$B1963),INT(MOD(Wages!$B1963,10000)/100),IFERROR(VALUE(TRIM(LEFT(MID(Wages!$B1963,FIND("/",Wages!$B1963)+1,20),FIND("/",MID(Wages!$B1963,FIND("/",Wages!$B1963)+1,20))-1))),"")))</f>
        <v/>
      </c>
      <c r="E1960">
        <f>IF(OR($A1960="",$C1960=""),"",IF(ISNUMBER(Wages!$B1963),MOD(Wages!$B1963,100),IFERROR(VALUE(TRIM(MID(MID(Wages!$B1963,FIND("/",Wages!$B1963)+1,20),FIND("/",MID(Wages!$B1963,FIND("/",Wages!$B1963)+1,20))+1,20))),"")))</f>
        <v/>
      </c>
      <c r="F1960">
        <f>IF($A1960="","",IF(OR($C1960="",$D1960="",$E1960="",$C1960&lt;1300,$C1960&gt;1500,$D1960&lt;1,$D1960&gt;12,$E1960&lt;1,$E1960&gt;31),"نامعتبر",RIGHT("0000"&amp;$C1960,4)&amp;"/"&amp;RIGHT("00"&amp;$D1960,2)&amp;"/"&amp;RIGHT("00"&amp;$E1960,2)))</f>
        <v/>
      </c>
      <c r="G1960">
        <f>IF(OR($A1960="",$F1960="",$F1960="نامعتبر"),"",LEFT($F1960,4)&amp;MID($F1960,6,2)&amp;RIGHT($F1960,2)&amp;"0000"&amp;"|"&amp;"1"&amp;RIGHT("00000"&amp;1955,5))</f>
        <v/>
      </c>
      <c r="H1960">
        <f>IF(OR($B1960&lt;&gt;1,$G1960=""),"",COUNTIFS(LdAParty,$A1960,LdAType,1,LdAKey,"&lt;"&amp;$G1960)+COUNTIFS(LdBMember,$A1960,LdBKey,"&lt;"&amp;$G1960)+COUNTIFS(LdCParty,$A1960,LdCKey,"&lt;"&amp;$G1960)+1)</f>
        <v/>
      </c>
      <c r="I1960">
        <f>IF($H1960="","",$A1960&amp;"|"&amp;RIGHT("000000"&amp;$H1960,6))</f>
        <v/>
      </c>
      <c r="J1960">
        <f>IF(OR($B1960&lt;&gt;2,$G1960=""),"",COUNTIFS(LdAParty,$A1960,LdAType,2,LdAKey,"&lt;"&amp;$G1960)+1)</f>
        <v/>
      </c>
      <c r="K1960">
        <f>IF($J1960="","",$A1960&amp;"|"&amp;RIGHT("000000"&amp;$J1960,6))</f>
        <v/>
      </c>
      <c r="L1960">
        <f>IF($A1960="","",IF(Wages!$G1963="",0,Wages!$G1963))</f>
        <v/>
      </c>
      <c r="M1960">
        <f>IF($A1960="","",Wages!$J1963)</f>
        <v/>
      </c>
      <c r="N1960">
        <f>IF($A1960="","",Wages!$D1963)</f>
        <v/>
      </c>
      <c r="P1960">
        <f>IF(OR(Shares!$B1963="",Shares!$C1963=""),"",Shares!$C1963)</f>
        <v/>
      </c>
      <c r="Q1960">
        <f>IF($P1960="","",Shares!$B1963)</f>
        <v/>
      </c>
      <c r="R1960">
        <f>IF($P1960="","",IFERROR(INDEX(WageParty,MATCH($Q1960,WageIds,0)),""))</f>
        <v/>
      </c>
      <c r="S1960">
        <f>IF($P1960="","",IFERROR(INDEX($F$6:$F$2005,MATCH($Q1960,WageIds,0)),""))</f>
        <v/>
      </c>
      <c r="T1960">
        <f>IF(OR($P1960="",$S1960="",$S1960="نامعتبر"),"",LEFT($S1960,4)&amp;MID($S1960,6,2)&amp;RIGHT($S1960,2)&amp;"0000"&amp;"|"&amp;"2"&amp;RIGHT("00000"&amp;1955,5))</f>
        <v/>
      </c>
      <c r="U1960">
        <f>IF($T1960="","",COUNTIFS(LdAParty,$P1960,LdAType,1,LdAKey,"&lt;"&amp;$T1960)+COUNTIFS(LdBMember,$P1960,LdBKey,"&lt;"&amp;$T1960)+COUNTIFS(LdCParty,$P1960,LdCKey,"&lt;"&amp;$T1960)+1)</f>
        <v/>
      </c>
      <c r="V1960">
        <f>IF($U1960="","",$P1960&amp;"|"&amp;RIGHT("000000"&amp;$U1960,6))</f>
        <v/>
      </c>
      <c r="W1960">
        <f>IF($T1960="","",COUNTIFS(LdBGroup,$R1960,LdBKey,"&lt;"&amp;$T1960)+1)</f>
        <v/>
      </c>
      <c r="X1960">
        <f>IF($W1960="","",$R1960&amp;"|"&amp;RIGHT("000000"&amp;$W1960,6))</f>
        <v/>
      </c>
      <c r="Y1960">
        <f>IF($P1960="","",IF(Shares!$E1963="",0,Shares!$E1963))</f>
        <v/>
      </c>
      <c r="Z1960">
        <f>IF($P1960="","",Shares!$H1963)</f>
        <v/>
      </c>
      <c r="AE1960">
        <f>IF(OR(Sync!$S1960="",Sync!$P1960=""),"",Sync!$S1960)</f>
        <v/>
      </c>
      <c r="AF1960">
        <f>IF($AE1960="","",IF(ISNUMBER(Sync!$P1960),IF(AND(Sync!$P1960&gt;=10000101,Sync!$P1960&lt;=99991231),INT(Sync!$P1960/10000),""),IFERROR(VALUE(TRIM(LEFT(Sync!$P1960,FIND("/",Sync!$P1960)-1))),"")))</f>
        <v/>
      </c>
      <c r="AG1960">
        <f>IF(OR($AE1960="",$AF1960=""),"",IF(ISNUMBER(Sync!$P1960),INT(MOD(Sync!$P1960,10000)/100),IFERROR(VALUE(TRIM(LEFT(MID(Sync!$P1960,FIND("/",Sync!$P1960)+1,20),FIND("/",MID(Sync!$P1960,FIND("/",Sync!$P1960)+1,20))-1))),"")))</f>
        <v/>
      </c>
      <c r="AH1960">
        <f>IF(OR($AE1960="",$AF1960=""),"",IF(ISNUMBER(Sync!$P1960),MOD(Sync!$P1960,100),IFERROR(VALUE(TRIM(MID(MID(Sync!$P1960,FIND("/",Sync!$P1960)+1,20),FIND("/",MID(Sync!$P1960,FIND("/",Sync!$P1960)+1,20))+1,20))),"")))</f>
        <v/>
      </c>
      <c r="AI1960">
        <f>IF($AE1960="","",IF(OR($AF1960="",$AG1960="",$AH1960="",$AF1960&lt;1300,$AF1960&gt;1500,$AG1960&lt;1,$AG1960&gt;12,$AH1960&lt;1,$AH1960&gt;31),"نامعتبر",RIGHT("0000"&amp;$AF1960,4)&amp;"/"&amp;RIGHT("00"&amp;$AG1960,2)&amp;"/"&amp;RIGHT("00"&amp;$AH1960,2)))</f>
        <v/>
      </c>
      <c r="AJ1960">
        <f>IF($AE1960="","",IF(Sync!$Q1960="","0000",IF(AND(ISNUMBER(Sync!$Q1960),Sync!$Q1960&gt;=0,Sync!$Q1960&lt;1),RIGHT("00"&amp;HOUR(Sync!$Q1960),2)&amp;RIGHT("00"&amp;MINUTE(Sync!$Q1960),2),IFERROR(RIGHT("00"&amp;VALUE(LEFT(Sync!$Q1960,FIND(":",Sync!$Q1960)-1)),2)&amp;RIGHT("00"&amp;VALUE(MID(Sync!$Q1960,FIND(":",Sync!$Q1960)+1,2)),2),"0000"))))</f>
        <v/>
      </c>
      <c r="AK1960">
        <f>IF(OR($AE1960="",$AI1960="",$AI1960="نامعتبر"),"",LEFT($AI1960,4)&amp;MID($AI1960,6,2)&amp;RIGHT($AI1960,2)&amp;$AJ1960&amp;"|"&amp;"3"&amp;RIGHT("00000"&amp;1955,5))</f>
        <v/>
      </c>
      <c r="AL1960">
        <f>IF($AK1960="","",COUNTIFS(LdAParty,$AE1960,LdAType,1,LdAKey,"&lt;"&amp;$AK1960)+COUNTIFS(LdBMember,$AE1960,LdBKey,"&lt;"&amp;$AK1960)+COUNTIFS(LdCParty,$AE1960,LdCKey,"&lt;"&amp;$AK1960)+1)</f>
        <v/>
      </c>
      <c r="AM1960">
        <f>IF($AL1960="","",$AE1960&amp;"|"&amp;RIGHT("000000"&amp;$AL1960,6))</f>
        <v/>
      </c>
      <c r="AN1960">
        <f>IF($AE1960="","",IF(Sync!$W1960="",0,Sync!$W1960))</f>
        <v/>
      </c>
      <c r="AO1960">
        <f>IF($AE1960="","",IF(Sync!$X1960="",0,Sync!$X1960))</f>
        <v/>
      </c>
      <c r="AP1960">
        <f>IF($AE1960="","",Sync!$R1960)</f>
        <v/>
      </c>
      <c r="AQ1960">
        <f>IF($AE1960="","",Sync!$Y1960)</f>
        <v/>
      </c>
    </row>
    <row r="1961">
      <c r="A1961">
        <f>IF(OR(Wages!$B1964="",Wages!$E1964=""),"",Wages!$E1964)</f>
        <v/>
      </c>
      <c r="B1961">
        <f>IF($A1961="","",IF(Wages!$C1964="دستمزد گروهی",2,1))</f>
        <v/>
      </c>
      <c r="C1961">
        <f>IF($A1961="","",IF(ISNUMBER(Wages!$B1964),IF(AND(Wages!$B1964&gt;=10000101,Wages!$B1964&lt;=99991231),INT(Wages!$B1964/10000),""),IFERROR(VALUE(TRIM(LEFT(Wages!$B1964,FIND("/",Wages!$B1964)-1))),"")))</f>
        <v/>
      </c>
      <c r="D1961">
        <f>IF(OR($A1961="",$C1961=""),"",IF(ISNUMBER(Wages!$B1964),INT(MOD(Wages!$B1964,10000)/100),IFERROR(VALUE(TRIM(LEFT(MID(Wages!$B1964,FIND("/",Wages!$B1964)+1,20),FIND("/",MID(Wages!$B1964,FIND("/",Wages!$B1964)+1,20))-1))),"")))</f>
        <v/>
      </c>
      <c r="E1961">
        <f>IF(OR($A1961="",$C1961=""),"",IF(ISNUMBER(Wages!$B1964),MOD(Wages!$B1964,100),IFERROR(VALUE(TRIM(MID(MID(Wages!$B1964,FIND("/",Wages!$B1964)+1,20),FIND("/",MID(Wages!$B1964,FIND("/",Wages!$B1964)+1,20))+1,20))),"")))</f>
        <v/>
      </c>
      <c r="F1961">
        <f>IF($A1961="","",IF(OR($C1961="",$D1961="",$E1961="",$C1961&lt;1300,$C1961&gt;1500,$D1961&lt;1,$D1961&gt;12,$E1961&lt;1,$E1961&gt;31),"نامعتبر",RIGHT("0000"&amp;$C1961,4)&amp;"/"&amp;RIGHT("00"&amp;$D1961,2)&amp;"/"&amp;RIGHT("00"&amp;$E1961,2)))</f>
        <v/>
      </c>
      <c r="G1961">
        <f>IF(OR($A1961="",$F1961="",$F1961="نامعتبر"),"",LEFT($F1961,4)&amp;MID($F1961,6,2)&amp;RIGHT($F1961,2)&amp;"0000"&amp;"|"&amp;"1"&amp;RIGHT("00000"&amp;1956,5))</f>
        <v/>
      </c>
      <c r="H1961">
        <f>IF(OR($B1961&lt;&gt;1,$G1961=""),"",COUNTIFS(LdAParty,$A1961,LdAType,1,LdAKey,"&lt;"&amp;$G1961)+COUNTIFS(LdBMember,$A1961,LdBKey,"&lt;"&amp;$G1961)+COUNTIFS(LdCParty,$A1961,LdCKey,"&lt;"&amp;$G1961)+1)</f>
        <v/>
      </c>
      <c r="I1961">
        <f>IF($H1961="","",$A1961&amp;"|"&amp;RIGHT("000000"&amp;$H1961,6))</f>
        <v/>
      </c>
      <c r="J1961">
        <f>IF(OR($B1961&lt;&gt;2,$G1961=""),"",COUNTIFS(LdAParty,$A1961,LdAType,2,LdAKey,"&lt;"&amp;$G1961)+1)</f>
        <v/>
      </c>
      <c r="K1961">
        <f>IF($J1961="","",$A1961&amp;"|"&amp;RIGHT("000000"&amp;$J1961,6))</f>
        <v/>
      </c>
      <c r="L1961">
        <f>IF($A1961="","",IF(Wages!$G1964="",0,Wages!$G1964))</f>
        <v/>
      </c>
      <c r="M1961">
        <f>IF($A1961="","",Wages!$J1964)</f>
        <v/>
      </c>
      <c r="N1961">
        <f>IF($A1961="","",Wages!$D1964)</f>
        <v/>
      </c>
      <c r="P1961">
        <f>IF(OR(Shares!$B1964="",Shares!$C1964=""),"",Shares!$C1964)</f>
        <v/>
      </c>
      <c r="Q1961">
        <f>IF($P1961="","",Shares!$B1964)</f>
        <v/>
      </c>
      <c r="R1961">
        <f>IF($P1961="","",IFERROR(INDEX(WageParty,MATCH($Q1961,WageIds,0)),""))</f>
        <v/>
      </c>
      <c r="S1961">
        <f>IF($P1961="","",IFERROR(INDEX($F$6:$F$2005,MATCH($Q1961,WageIds,0)),""))</f>
        <v/>
      </c>
      <c r="T1961">
        <f>IF(OR($P1961="",$S1961="",$S1961="نامعتبر"),"",LEFT($S1961,4)&amp;MID($S1961,6,2)&amp;RIGHT($S1961,2)&amp;"0000"&amp;"|"&amp;"2"&amp;RIGHT("00000"&amp;1956,5))</f>
        <v/>
      </c>
      <c r="U1961">
        <f>IF($T1961="","",COUNTIFS(LdAParty,$P1961,LdAType,1,LdAKey,"&lt;"&amp;$T1961)+COUNTIFS(LdBMember,$P1961,LdBKey,"&lt;"&amp;$T1961)+COUNTIFS(LdCParty,$P1961,LdCKey,"&lt;"&amp;$T1961)+1)</f>
        <v/>
      </c>
      <c r="V1961">
        <f>IF($U1961="","",$P1961&amp;"|"&amp;RIGHT("000000"&amp;$U1961,6))</f>
        <v/>
      </c>
      <c r="W1961">
        <f>IF($T1961="","",COUNTIFS(LdBGroup,$R1961,LdBKey,"&lt;"&amp;$T1961)+1)</f>
        <v/>
      </c>
      <c r="X1961">
        <f>IF($W1961="","",$R1961&amp;"|"&amp;RIGHT("000000"&amp;$W1961,6))</f>
        <v/>
      </c>
      <c r="Y1961">
        <f>IF($P1961="","",IF(Shares!$E1964="",0,Shares!$E1964))</f>
        <v/>
      </c>
      <c r="Z1961">
        <f>IF($P1961="","",Shares!$H1964)</f>
        <v/>
      </c>
      <c r="AE1961">
        <f>IF(OR(Sync!$S1961="",Sync!$P1961=""),"",Sync!$S1961)</f>
        <v/>
      </c>
      <c r="AF1961">
        <f>IF($AE1961="","",IF(ISNUMBER(Sync!$P1961),IF(AND(Sync!$P1961&gt;=10000101,Sync!$P1961&lt;=99991231),INT(Sync!$P1961/10000),""),IFERROR(VALUE(TRIM(LEFT(Sync!$P1961,FIND("/",Sync!$P1961)-1))),"")))</f>
        <v/>
      </c>
      <c r="AG1961">
        <f>IF(OR($AE1961="",$AF1961=""),"",IF(ISNUMBER(Sync!$P1961),INT(MOD(Sync!$P1961,10000)/100),IFERROR(VALUE(TRIM(LEFT(MID(Sync!$P1961,FIND("/",Sync!$P1961)+1,20),FIND("/",MID(Sync!$P1961,FIND("/",Sync!$P1961)+1,20))-1))),"")))</f>
        <v/>
      </c>
      <c r="AH1961">
        <f>IF(OR($AE1961="",$AF1961=""),"",IF(ISNUMBER(Sync!$P1961),MOD(Sync!$P1961,100),IFERROR(VALUE(TRIM(MID(MID(Sync!$P1961,FIND("/",Sync!$P1961)+1,20),FIND("/",MID(Sync!$P1961,FIND("/",Sync!$P1961)+1,20))+1,20))),"")))</f>
        <v/>
      </c>
      <c r="AI1961">
        <f>IF($AE1961="","",IF(OR($AF1961="",$AG1961="",$AH1961="",$AF1961&lt;1300,$AF1961&gt;1500,$AG1961&lt;1,$AG1961&gt;12,$AH1961&lt;1,$AH1961&gt;31),"نامعتبر",RIGHT("0000"&amp;$AF1961,4)&amp;"/"&amp;RIGHT("00"&amp;$AG1961,2)&amp;"/"&amp;RIGHT("00"&amp;$AH1961,2)))</f>
        <v/>
      </c>
      <c r="AJ1961">
        <f>IF($AE1961="","",IF(Sync!$Q1961="","0000",IF(AND(ISNUMBER(Sync!$Q1961),Sync!$Q1961&gt;=0,Sync!$Q1961&lt;1),RIGHT("00"&amp;HOUR(Sync!$Q1961),2)&amp;RIGHT("00"&amp;MINUTE(Sync!$Q1961),2),IFERROR(RIGHT("00"&amp;VALUE(LEFT(Sync!$Q1961,FIND(":",Sync!$Q1961)-1)),2)&amp;RIGHT("00"&amp;VALUE(MID(Sync!$Q1961,FIND(":",Sync!$Q1961)+1,2)),2),"0000"))))</f>
        <v/>
      </c>
      <c r="AK1961">
        <f>IF(OR($AE1961="",$AI1961="",$AI1961="نامعتبر"),"",LEFT($AI1961,4)&amp;MID($AI1961,6,2)&amp;RIGHT($AI1961,2)&amp;$AJ1961&amp;"|"&amp;"3"&amp;RIGHT("00000"&amp;1956,5))</f>
        <v/>
      </c>
      <c r="AL1961">
        <f>IF($AK1961="","",COUNTIFS(LdAParty,$AE1961,LdAType,1,LdAKey,"&lt;"&amp;$AK1961)+COUNTIFS(LdBMember,$AE1961,LdBKey,"&lt;"&amp;$AK1961)+COUNTIFS(LdCParty,$AE1961,LdCKey,"&lt;"&amp;$AK1961)+1)</f>
        <v/>
      </c>
      <c r="AM1961">
        <f>IF($AL1961="","",$AE1961&amp;"|"&amp;RIGHT("000000"&amp;$AL1961,6))</f>
        <v/>
      </c>
      <c r="AN1961">
        <f>IF($AE1961="","",IF(Sync!$W1961="",0,Sync!$W1961))</f>
        <v/>
      </c>
      <c r="AO1961">
        <f>IF($AE1961="","",IF(Sync!$X1961="",0,Sync!$X1961))</f>
        <v/>
      </c>
      <c r="AP1961">
        <f>IF($AE1961="","",Sync!$R1961)</f>
        <v/>
      </c>
      <c r="AQ1961">
        <f>IF($AE1961="","",Sync!$Y1961)</f>
        <v/>
      </c>
    </row>
    <row r="1962">
      <c r="A1962">
        <f>IF(OR(Wages!$B1965="",Wages!$E1965=""),"",Wages!$E1965)</f>
        <v/>
      </c>
      <c r="B1962">
        <f>IF($A1962="","",IF(Wages!$C1965="دستمزد گروهی",2,1))</f>
        <v/>
      </c>
      <c r="C1962">
        <f>IF($A1962="","",IF(ISNUMBER(Wages!$B1965),IF(AND(Wages!$B1965&gt;=10000101,Wages!$B1965&lt;=99991231),INT(Wages!$B1965/10000),""),IFERROR(VALUE(TRIM(LEFT(Wages!$B1965,FIND("/",Wages!$B1965)-1))),"")))</f>
        <v/>
      </c>
      <c r="D1962">
        <f>IF(OR($A1962="",$C1962=""),"",IF(ISNUMBER(Wages!$B1965),INT(MOD(Wages!$B1965,10000)/100),IFERROR(VALUE(TRIM(LEFT(MID(Wages!$B1965,FIND("/",Wages!$B1965)+1,20),FIND("/",MID(Wages!$B1965,FIND("/",Wages!$B1965)+1,20))-1))),"")))</f>
        <v/>
      </c>
      <c r="E1962">
        <f>IF(OR($A1962="",$C1962=""),"",IF(ISNUMBER(Wages!$B1965),MOD(Wages!$B1965,100),IFERROR(VALUE(TRIM(MID(MID(Wages!$B1965,FIND("/",Wages!$B1965)+1,20),FIND("/",MID(Wages!$B1965,FIND("/",Wages!$B1965)+1,20))+1,20))),"")))</f>
        <v/>
      </c>
      <c r="F1962">
        <f>IF($A1962="","",IF(OR($C1962="",$D1962="",$E1962="",$C1962&lt;1300,$C1962&gt;1500,$D1962&lt;1,$D1962&gt;12,$E1962&lt;1,$E1962&gt;31),"نامعتبر",RIGHT("0000"&amp;$C1962,4)&amp;"/"&amp;RIGHT("00"&amp;$D1962,2)&amp;"/"&amp;RIGHT("00"&amp;$E1962,2)))</f>
        <v/>
      </c>
      <c r="G1962">
        <f>IF(OR($A1962="",$F1962="",$F1962="نامعتبر"),"",LEFT($F1962,4)&amp;MID($F1962,6,2)&amp;RIGHT($F1962,2)&amp;"0000"&amp;"|"&amp;"1"&amp;RIGHT("00000"&amp;1957,5))</f>
        <v/>
      </c>
      <c r="H1962">
        <f>IF(OR($B1962&lt;&gt;1,$G1962=""),"",COUNTIFS(LdAParty,$A1962,LdAType,1,LdAKey,"&lt;"&amp;$G1962)+COUNTIFS(LdBMember,$A1962,LdBKey,"&lt;"&amp;$G1962)+COUNTIFS(LdCParty,$A1962,LdCKey,"&lt;"&amp;$G1962)+1)</f>
        <v/>
      </c>
      <c r="I1962">
        <f>IF($H1962="","",$A1962&amp;"|"&amp;RIGHT("000000"&amp;$H1962,6))</f>
        <v/>
      </c>
      <c r="J1962">
        <f>IF(OR($B1962&lt;&gt;2,$G1962=""),"",COUNTIFS(LdAParty,$A1962,LdAType,2,LdAKey,"&lt;"&amp;$G1962)+1)</f>
        <v/>
      </c>
      <c r="K1962">
        <f>IF($J1962="","",$A1962&amp;"|"&amp;RIGHT("000000"&amp;$J1962,6))</f>
        <v/>
      </c>
      <c r="L1962">
        <f>IF($A1962="","",IF(Wages!$G1965="",0,Wages!$G1965))</f>
        <v/>
      </c>
      <c r="M1962">
        <f>IF($A1962="","",Wages!$J1965)</f>
        <v/>
      </c>
      <c r="N1962">
        <f>IF($A1962="","",Wages!$D1965)</f>
        <v/>
      </c>
      <c r="P1962">
        <f>IF(OR(Shares!$B1965="",Shares!$C1965=""),"",Shares!$C1965)</f>
        <v/>
      </c>
      <c r="Q1962">
        <f>IF($P1962="","",Shares!$B1965)</f>
        <v/>
      </c>
      <c r="R1962">
        <f>IF($P1962="","",IFERROR(INDEX(WageParty,MATCH($Q1962,WageIds,0)),""))</f>
        <v/>
      </c>
      <c r="S1962">
        <f>IF($P1962="","",IFERROR(INDEX($F$6:$F$2005,MATCH($Q1962,WageIds,0)),""))</f>
        <v/>
      </c>
      <c r="T1962">
        <f>IF(OR($P1962="",$S1962="",$S1962="نامعتبر"),"",LEFT($S1962,4)&amp;MID($S1962,6,2)&amp;RIGHT($S1962,2)&amp;"0000"&amp;"|"&amp;"2"&amp;RIGHT("00000"&amp;1957,5))</f>
        <v/>
      </c>
      <c r="U1962">
        <f>IF($T1962="","",COUNTIFS(LdAParty,$P1962,LdAType,1,LdAKey,"&lt;"&amp;$T1962)+COUNTIFS(LdBMember,$P1962,LdBKey,"&lt;"&amp;$T1962)+COUNTIFS(LdCParty,$P1962,LdCKey,"&lt;"&amp;$T1962)+1)</f>
        <v/>
      </c>
      <c r="V1962">
        <f>IF($U1962="","",$P1962&amp;"|"&amp;RIGHT("000000"&amp;$U1962,6))</f>
        <v/>
      </c>
      <c r="W1962">
        <f>IF($T1962="","",COUNTIFS(LdBGroup,$R1962,LdBKey,"&lt;"&amp;$T1962)+1)</f>
        <v/>
      </c>
      <c r="X1962">
        <f>IF($W1962="","",$R1962&amp;"|"&amp;RIGHT("000000"&amp;$W1962,6))</f>
        <v/>
      </c>
      <c r="Y1962">
        <f>IF($P1962="","",IF(Shares!$E1965="",0,Shares!$E1965))</f>
        <v/>
      </c>
      <c r="Z1962">
        <f>IF($P1962="","",Shares!$H1965)</f>
        <v/>
      </c>
      <c r="AE1962">
        <f>IF(OR(Sync!$S1962="",Sync!$P1962=""),"",Sync!$S1962)</f>
        <v/>
      </c>
      <c r="AF1962">
        <f>IF($AE1962="","",IF(ISNUMBER(Sync!$P1962),IF(AND(Sync!$P1962&gt;=10000101,Sync!$P1962&lt;=99991231),INT(Sync!$P1962/10000),""),IFERROR(VALUE(TRIM(LEFT(Sync!$P1962,FIND("/",Sync!$P1962)-1))),"")))</f>
        <v/>
      </c>
      <c r="AG1962">
        <f>IF(OR($AE1962="",$AF1962=""),"",IF(ISNUMBER(Sync!$P1962),INT(MOD(Sync!$P1962,10000)/100),IFERROR(VALUE(TRIM(LEFT(MID(Sync!$P1962,FIND("/",Sync!$P1962)+1,20),FIND("/",MID(Sync!$P1962,FIND("/",Sync!$P1962)+1,20))-1))),"")))</f>
        <v/>
      </c>
      <c r="AH1962">
        <f>IF(OR($AE1962="",$AF1962=""),"",IF(ISNUMBER(Sync!$P1962),MOD(Sync!$P1962,100),IFERROR(VALUE(TRIM(MID(MID(Sync!$P1962,FIND("/",Sync!$P1962)+1,20),FIND("/",MID(Sync!$P1962,FIND("/",Sync!$P1962)+1,20))+1,20))),"")))</f>
        <v/>
      </c>
      <c r="AI1962">
        <f>IF($AE1962="","",IF(OR($AF1962="",$AG1962="",$AH1962="",$AF1962&lt;1300,$AF1962&gt;1500,$AG1962&lt;1,$AG1962&gt;12,$AH1962&lt;1,$AH1962&gt;31),"نامعتبر",RIGHT("0000"&amp;$AF1962,4)&amp;"/"&amp;RIGHT("00"&amp;$AG1962,2)&amp;"/"&amp;RIGHT("00"&amp;$AH1962,2)))</f>
        <v/>
      </c>
      <c r="AJ1962">
        <f>IF($AE1962="","",IF(Sync!$Q1962="","0000",IF(AND(ISNUMBER(Sync!$Q1962),Sync!$Q1962&gt;=0,Sync!$Q1962&lt;1),RIGHT("00"&amp;HOUR(Sync!$Q1962),2)&amp;RIGHT("00"&amp;MINUTE(Sync!$Q1962),2),IFERROR(RIGHT("00"&amp;VALUE(LEFT(Sync!$Q1962,FIND(":",Sync!$Q1962)-1)),2)&amp;RIGHT("00"&amp;VALUE(MID(Sync!$Q1962,FIND(":",Sync!$Q1962)+1,2)),2),"0000"))))</f>
        <v/>
      </c>
      <c r="AK1962">
        <f>IF(OR($AE1962="",$AI1962="",$AI1962="نامعتبر"),"",LEFT($AI1962,4)&amp;MID($AI1962,6,2)&amp;RIGHT($AI1962,2)&amp;$AJ1962&amp;"|"&amp;"3"&amp;RIGHT("00000"&amp;1957,5))</f>
        <v/>
      </c>
      <c r="AL1962">
        <f>IF($AK1962="","",COUNTIFS(LdAParty,$AE1962,LdAType,1,LdAKey,"&lt;"&amp;$AK1962)+COUNTIFS(LdBMember,$AE1962,LdBKey,"&lt;"&amp;$AK1962)+COUNTIFS(LdCParty,$AE1962,LdCKey,"&lt;"&amp;$AK1962)+1)</f>
        <v/>
      </c>
      <c r="AM1962">
        <f>IF($AL1962="","",$AE1962&amp;"|"&amp;RIGHT("000000"&amp;$AL1962,6))</f>
        <v/>
      </c>
      <c r="AN1962">
        <f>IF($AE1962="","",IF(Sync!$W1962="",0,Sync!$W1962))</f>
        <v/>
      </c>
      <c r="AO1962">
        <f>IF($AE1962="","",IF(Sync!$X1962="",0,Sync!$X1962))</f>
        <v/>
      </c>
      <c r="AP1962">
        <f>IF($AE1962="","",Sync!$R1962)</f>
        <v/>
      </c>
      <c r="AQ1962">
        <f>IF($AE1962="","",Sync!$Y1962)</f>
        <v/>
      </c>
    </row>
    <row r="1963">
      <c r="A1963">
        <f>IF(OR(Wages!$B1966="",Wages!$E1966=""),"",Wages!$E1966)</f>
        <v/>
      </c>
      <c r="B1963">
        <f>IF($A1963="","",IF(Wages!$C1966="دستمزد گروهی",2,1))</f>
        <v/>
      </c>
      <c r="C1963">
        <f>IF($A1963="","",IF(ISNUMBER(Wages!$B1966),IF(AND(Wages!$B1966&gt;=10000101,Wages!$B1966&lt;=99991231),INT(Wages!$B1966/10000),""),IFERROR(VALUE(TRIM(LEFT(Wages!$B1966,FIND("/",Wages!$B1966)-1))),"")))</f>
        <v/>
      </c>
      <c r="D1963">
        <f>IF(OR($A1963="",$C1963=""),"",IF(ISNUMBER(Wages!$B1966),INT(MOD(Wages!$B1966,10000)/100),IFERROR(VALUE(TRIM(LEFT(MID(Wages!$B1966,FIND("/",Wages!$B1966)+1,20),FIND("/",MID(Wages!$B1966,FIND("/",Wages!$B1966)+1,20))-1))),"")))</f>
        <v/>
      </c>
      <c r="E1963">
        <f>IF(OR($A1963="",$C1963=""),"",IF(ISNUMBER(Wages!$B1966),MOD(Wages!$B1966,100),IFERROR(VALUE(TRIM(MID(MID(Wages!$B1966,FIND("/",Wages!$B1966)+1,20),FIND("/",MID(Wages!$B1966,FIND("/",Wages!$B1966)+1,20))+1,20))),"")))</f>
        <v/>
      </c>
      <c r="F1963">
        <f>IF($A1963="","",IF(OR($C1963="",$D1963="",$E1963="",$C1963&lt;1300,$C1963&gt;1500,$D1963&lt;1,$D1963&gt;12,$E1963&lt;1,$E1963&gt;31),"نامعتبر",RIGHT("0000"&amp;$C1963,4)&amp;"/"&amp;RIGHT("00"&amp;$D1963,2)&amp;"/"&amp;RIGHT("00"&amp;$E1963,2)))</f>
        <v/>
      </c>
      <c r="G1963">
        <f>IF(OR($A1963="",$F1963="",$F1963="نامعتبر"),"",LEFT($F1963,4)&amp;MID($F1963,6,2)&amp;RIGHT($F1963,2)&amp;"0000"&amp;"|"&amp;"1"&amp;RIGHT("00000"&amp;1958,5))</f>
        <v/>
      </c>
      <c r="H1963">
        <f>IF(OR($B1963&lt;&gt;1,$G1963=""),"",COUNTIFS(LdAParty,$A1963,LdAType,1,LdAKey,"&lt;"&amp;$G1963)+COUNTIFS(LdBMember,$A1963,LdBKey,"&lt;"&amp;$G1963)+COUNTIFS(LdCParty,$A1963,LdCKey,"&lt;"&amp;$G1963)+1)</f>
        <v/>
      </c>
      <c r="I1963">
        <f>IF($H1963="","",$A1963&amp;"|"&amp;RIGHT("000000"&amp;$H1963,6))</f>
        <v/>
      </c>
      <c r="J1963">
        <f>IF(OR($B1963&lt;&gt;2,$G1963=""),"",COUNTIFS(LdAParty,$A1963,LdAType,2,LdAKey,"&lt;"&amp;$G1963)+1)</f>
        <v/>
      </c>
      <c r="K1963">
        <f>IF($J1963="","",$A1963&amp;"|"&amp;RIGHT("000000"&amp;$J1963,6))</f>
        <v/>
      </c>
      <c r="L1963">
        <f>IF($A1963="","",IF(Wages!$G1966="",0,Wages!$G1966))</f>
        <v/>
      </c>
      <c r="M1963">
        <f>IF($A1963="","",Wages!$J1966)</f>
        <v/>
      </c>
      <c r="N1963">
        <f>IF($A1963="","",Wages!$D1966)</f>
        <v/>
      </c>
      <c r="P1963">
        <f>IF(OR(Shares!$B1966="",Shares!$C1966=""),"",Shares!$C1966)</f>
        <v/>
      </c>
      <c r="Q1963">
        <f>IF($P1963="","",Shares!$B1966)</f>
        <v/>
      </c>
      <c r="R1963">
        <f>IF($P1963="","",IFERROR(INDEX(WageParty,MATCH($Q1963,WageIds,0)),""))</f>
        <v/>
      </c>
      <c r="S1963">
        <f>IF($P1963="","",IFERROR(INDEX($F$6:$F$2005,MATCH($Q1963,WageIds,0)),""))</f>
        <v/>
      </c>
      <c r="T1963">
        <f>IF(OR($P1963="",$S1963="",$S1963="نامعتبر"),"",LEFT($S1963,4)&amp;MID($S1963,6,2)&amp;RIGHT($S1963,2)&amp;"0000"&amp;"|"&amp;"2"&amp;RIGHT("00000"&amp;1958,5))</f>
        <v/>
      </c>
      <c r="U1963">
        <f>IF($T1963="","",COUNTIFS(LdAParty,$P1963,LdAType,1,LdAKey,"&lt;"&amp;$T1963)+COUNTIFS(LdBMember,$P1963,LdBKey,"&lt;"&amp;$T1963)+COUNTIFS(LdCParty,$P1963,LdCKey,"&lt;"&amp;$T1963)+1)</f>
        <v/>
      </c>
      <c r="V1963">
        <f>IF($U1963="","",$P1963&amp;"|"&amp;RIGHT("000000"&amp;$U1963,6))</f>
        <v/>
      </c>
      <c r="W1963">
        <f>IF($T1963="","",COUNTIFS(LdBGroup,$R1963,LdBKey,"&lt;"&amp;$T1963)+1)</f>
        <v/>
      </c>
      <c r="X1963">
        <f>IF($W1963="","",$R1963&amp;"|"&amp;RIGHT("000000"&amp;$W1963,6))</f>
        <v/>
      </c>
      <c r="Y1963">
        <f>IF($P1963="","",IF(Shares!$E1966="",0,Shares!$E1966))</f>
        <v/>
      </c>
      <c r="Z1963">
        <f>IF($P1963="","",Shares!$H1966)</f>
        <v/>
      </c>
      <c r="AE1963">
        <f>IF(OR(Sync!$S1963="",Sync!$P1963=""),"",Sync!$S1963)</f>
        <v/>
      </c>
      <c r="AF1963">
        <f>IF($AE1963="","",IF(ISNUMBER(Sync!$P1963),IF(AND(Sync!$P1963&gt;=10000101,Sync!$P1963&lt;=99991231),INT(Sync!$P1963/10000),""),IFERROR(VALUE(TRIM(LEFT(Sync!$P1963,FIND("/",Sync!$P1963)-1))),"")))</f>
        <v/>
      </c>
      <c r="AG1963">
        <f>IF(OR($AE1963="",$AF1963=""),"",IF(ISNUMBER(Sync!$P1963),INT(MOD(Sync!$P1963,10000)/100),IFERROR(VALUE(TRIM(LEFT(MID(Sync!$P1963,FIND("/",Sync!$P1963)+1,20),FIND("/",MID(Sync!$P1963,FIND("/",Sync!$P1963)+1,20))-1))),"")))</f>
        <v/>
      </c>
      <c r="AH1963">
        <f>IF(OR($AE1963="",$AF1963=""),"",IF(ISNUMBER(Sync!$P1963),MOD(Sync!$P1963,100),IFERROR(VALUE(TRIM(MID(MID(Sync!$P1963,FIND("/",Sync!$P1963)+1,20),FIND("/",MID(Sync!$P1963,FIND("/",Sync!$P1963)+1,20))+1,20))),"")))</f>
        <v/>
      </c>
      <c r="AI1963">
        <f>IF($AE1963="","",IF(OR($AF1963="",$AG1963="",$AH1963="",$AF1963&lt;1300,$AF1963&gt;1500,$AG1963&lt;1,$AG1963&gt;12,$AH1963&lt;1,$AH1963&gt;31),"نامعتبر",RIGHT("0000"&amp;$AF1963,4)&amp;"/"&amp;RIGHT("00"&amp;$AG1963,2)&amp;"/"&amp;RIGHT("00"&amp;$AH1963,2)))</f>
        <v/>
      </c>
      <c r="AJ1963">
        <f>IF($AE1963="","",IF(Sync!$Q1963="","0000",IF(AND(ISNUMBER(Sync!$Q1963),Sync!$Q1963&gt;=0,Sync!$Q1963&lt;1),RIGHT("00"&amp;HOUR(Sync!$Q1963),2)&amp;RIGHT("00"&amp;MINUTE(Sync!$Q1963),2),IFERROR(RIGHT("00"&amp;VALUE(LEFT(Sync!$Q1963,FIND(":",Sync!$Q1963)-1)),2)&amp;RIGHT("00"&amp;VALUE(MID(Sync!$Q1963,FIND(":",Sync!$Q1963)+1,2)),2),"0000"))))</f>
        <v/>
      </c>
      <c r="AK1963">
        <f>IF(OR($AE1963="",$AI1963="",$AI1963="نامعتبر"),"",LEFT($AI1963,4)&amp;MID($AI1963,6,2)&amp;RIGHT($AI1963,2)&amp;$AJ1963&amp;"|"&amp;"3"&amp;RIGHT("00000"&amp;1958,5))</f>
        <v/>
      </c>
      <c r="AL1963">
        <f>IF($AK1963="","",COUNTIFS(LdAParty,$AE1963,LdAType,1,LdAKey,"&lt;"&amp;$AK1963)+COUNTIFS(LdBMember,$AE1963,LdBKey,"&lt;"&amp;$AK1963)+COUNTIFS(LdCParty,$AE1963,LdCKey,"&lt;"&amp;$AK1963)+1)</f>
        <v/>
      </c>
      <c r="AM1963">
        <f>IF($AL1963="","",$AE1963&amp;"|"&amp;RIGHT("000000"&amp;$AL1963,6))</f>
        <v/>
      </c>
      <c r="AN1963">
        <f>IF($AE1963="","",IF(Sync!$W1963="",0,Sync!$W1963))</f>
        <v/>
      </c>
      <c r="AO1963">
        <f>IF($AE1963="","",IF(Sync!$X1963="",0,Sync!$X1963))</f>
        <v/>
      </c>
      <c r="AP1963">
        <f>IF($AE1963="","",Sync!$R1963)</f>
        <v/>
      </c>
      <c r="AQ1963">
        <f>IF($AE1963="","",Sync!$Y1963)</f>
        <v/>
      </c>
    </row>
    <row r="1964">
      <c r="A1964">
        <f>IF(OR(Wages!$B1967="",Wages!$E1967=""),"",Wages!$E1967)</f>
        <v/>
      </c>
      <c r="B1964">
        <f>IF($A1964="","",IF(Wages!$C1967="دستمزد گروهی",2,1))</f>
        <v/>
      </c>
      <c r="C1964">
        <f>IF($A1964="","",IF(ISNUMBER(Wages!$B1967),IF(AND(Wages!$B1967&gt;=10000101,Wages!$B1967&lt;=99991231),INT(Wages!$B1967/10000),""),IFERROR(VALUE(TRIM(LEFT(Wages!$B1967,FIND("/",Wages!$B1967)-1))),"")))</f>
        <v/>
      </c>
      <c r="D1964">
        <f>IF(OR($A1964="",$C1964=""),"",IF(ISNUMBER(Wages!$B1967),INT(MOD(Wages!$B1967,10000)/100),IFERROR(VALUE(TRIM(LEFT(MID(Wages!$B1967,FIND("/",Wages!$B1967)+1,20),FIND("/",MID(Wages!$B1967,FIND("/",Wages!$B1967)+1,20))-1))),"")))</f>
        <v/>
      </c>
      <c r="E1964">
        <f>IF(OR($A1964="",$C1964=""),"",IF(ISNUMBER(Wages!$B1967),MOD(Wages!$B1967,100),IFERROR(VALUE(TRIM(MID(MID(Wages!$B1967,FIND("/",Wages!$B1967)+1,20),FIND("/",MID(Wages!$B1967,FIND("/",Wages!$B1967)+1,20))+1,20))),"")))</f>
        <v/>
      </c>
      <c r="F1964">
        <f>IF($A1964="","",IF(OR($C1964="",$D1964="",$E1964="",$C1964&lt;1300,$C1964&gt;1500,$D1964&lt;1,$D1964&gt;12,$E1964&lt;1,$E1964&gt;31),"نامعتبر",RIGHT("0000"&amp;$C1964,4)&amp;"/"&amp;RIGHT("00"&amp;$D1964,2)&amp;"/"&amp;RIGHT("00"&amp;$E1964,2)))</f>
        <v/>
      </c>
      <c r="G1964">
        <f>IF(OR($A1964="",$F1964="",$F1964="نامعتبر"),"",LEFT($F1964,4)&amp;MID($F1964,6,2)&amp;RIGHT($F1964,2)&amp;"0000"&amp;"|"&amp;"1"&amp;RIGHT("00000"&amp;1959,5))</f>
        <v/>
      </c>
      <c r="H1964">
        <f>IF(OR($B1964&lt;&gt;1,$G1964=""),"",COUNTIFS(LdAParty,$A1964,LdAType,1,LdAKey,"&lt;"&amp;$G1964)+COUNTIFS(LdBMember,$A1964,LdBKey,"&lt;"&amp;$G1964)+COUNTIFS(LdCParty,$A1964,LdCKey,"&lt;"&amp;$G1964)+1)</f>
        <v/>
      </c>
      <c r="I1964">
        <f>IF($H1964="","",$A1964&amp;"|"&amp;RIGHT("000000"&amp;$H1964,6))</f>
        <v/>
      </c>
      <c r="J1964">
        <f>IF(OR($B1964&lt;&gt;2,$G1964=""),"",COUNTIFS(LdAParty,$A1964,LdAType,2,LdAKey,"&lt;"&amp;$G1964)+1)</f>
        <v/>
      </c>
      <c r="K1964">
        <f>IF($J1964="","",$A1964&amp;"|"&amp;RIGHT("000000"&amp;$J1964,6))</f>
        <v/>
      </c>
      <c r="L1964">
        <f>IF($A1964="","",IF(Wages!$G1967="",0,Wages!$G1967))</f>
        <v/>
      </c>
      <c r="M1964">
        <f>IF($A1964="","",Wages!$J1967)</f>
        <v/>
      </c>
      <c r="N1964">
        <f>IF($A1964="","",Wages!$D1967)</f>
        <v/>
      </c>
      <c r="P1964">
        <f>IF(OR(Shares!$B1967="",Shares!$C1967=""),"",Shares!$C1967)</f>
        <v/>
      </c>
      <c r="Q1964">
        <f>IF($P1964="","",Shares!$B1967)</f>
        <v/>
      </c>
      <c r="R1964">
        <f>IF($P1964="","",IFERROR(INDEX(WageParty,MATCH($Q1964,WageIds,0)),""))</f>
        <v/>
      </c>
      <c r="S1964">
        <f>IF($P1964="","",IFERROR(INDEX($F$6:$F$2005,MATCH($Q1964,WageIds,0)),""))</f>
        <v/>
      </c>
      <c r="T1964">
        <f>IF(OR($P1964="",$S1964="",$S1964="نامعتبر"),"",LEFT($S1964,4)&amp;MID($S1964,6,2)&amp;RIGHT($S1964,2)&amp;"0000"&amp;"|"&amp;"2"&amp;RIGHT("00000"&amp;1959,5))</f>
        <v/>
      </c>
      <c r="U1964">
        <f>IF($T1964="","",COUNTIFS(LdAParty,$P1964,LdAType,1,LdAKey,"&lt;"&amp;$T1964)+COUNTIFS(LdBMember,$P1964,LdBKey,"&lt;"&amp;$T1964)+COUNTIFS(LdCParty,$P1964,LdCKey,"&lt;"&amp;$T1964)+1)</f>
        <v/>
      </c>
      <c r="V1964">
        <f>IF($U1964="","",$P1964&amp;"|"&amp;RIGHT("000000"&amp;$U1964,6))</f>
        <v/>
      </c>
      <c r="W1964">
        <f>IF($T1964="","",COUNTIFS(LdBGroup,$R1964,LdBKey,"&lt;"&amp;$T1964)+1)</f>
        <v/>
      </c>
      <c r="X1964">
        <f>IF($W1964="","",$R1964&amp;"|"&amp;RIGHT("000000"&amp;$W1964,6))</f>
        <v/>
      </c>
      <c r="Y1964">
        <f>IF($P1964="","",IF(Shares!$E1967="",0,Shares!$E1967))</f>
        <v/>
      </c>
      <c r="Z1964">
        <f>IF($P1964="","",Shares!$H1967)</f>
        <v/>
      </c>
      <c r="AE1964">
        <f>IF(OR(Sync!$S1964="",Sync!$P1964=""),"",Sync!$S1964)</f>
        <v/>
      </c>
      <c r="AF1964">
        <f>IF($AE1964="","",IF(ISNUMBER(Sync!$P1964),IF(AND(Sync!$P1964&gt;=10000101,Sync!$P1964&lt;=99991231),INT(Sync!$P1964/10000),""),IFERROR(VALUE(TRIM(LEFT(Sync!$P1964,FIND("/",Sync!$P1964)-1))),"")))</f>
        <v/>
      </c>
      <c r="AG1964">
        <f>IF(OR($AE1964="",$AF1964=""),"",IF(ISNUMBER(Sync!$P1964),INT(MOD(Sync!$P1964,10000)/100),IFERROR(VALUE(TRIM(LEFT(MID(Sync!$P1964,FIND("/",Sync!$P1964)+1,20),FIND("/",MID(Sync!$P1964,FIND("/",Sync!$P1964)+1,20))-1))),"")))</f>
        <v/>
      </c>
      <c r="AH1964">
        <f>IF(OR($AE1964="",$AF1964=""),"",IF(ISNUMBER(Sync!$P1964),MOD(Sync!$P1964,100),IFERROR(VALUE(TRIM(MID(MID(Sync!$P1964,FIND("/",Sync!$P1964)+1,20),FIND("/",MID(Sync!$P1964,FIND("/",Sync!$P1964)+1,20))+1,20))),"")))</f>
        <v/>
      </c>
      <c r="AI1964">
        <f>IF($AE1964="","",IF(OR($AF1964="",$AG1964="",$AH1964="",$AF1964&lt;1300,$AF1964&gt;1500,$AG1964&lt;1,$AG1964&gt;12,$AH1964&lt;1,$AH1964&gt;31),"نامعتبر",RIGHT("0000"&amp;$AF1964,4)&amp;"/"&amp;RIGHT("00"&amp;$AG1964,2)&amp;"/"&amp;RIGHT("00"&amp;$AH1964,2)))</f>
        <v/>
      </c>
      <c r="AJ1964">
        <f>IF($AE1964="","",IF(Sync!$Q1964="","0000",IF(AND(ISNUMBER(Sync!$Q1964),Sync!$Q1964&gt;=0,Sync!$Q1964&lt;1),RIGHT("00"&amp;HOUR(Sync!$Q1964),2)&amp;RIGHT("00"&amp;MINUTE(Sync!$Q1964),2),IFERROR(RIGHT("00"&amp;VALUE(LEFT(Sync!$Q1964,FIND(":",Sync!$Q1964)-1)),2)&amp;RIGHT("00"&amp;VALUE(MID(Sync!$Q1964,FIND(":",Sync!$Q1964)+1,2)),2),"0000"))))</f>
        <v/>
      </c>
      <c r="AK1964">
        <f>IF(OR($AE1964="",$AI1964="",$AI1964="نامعتبر"),"",LEFT($AI1964,4)&amp;MID($AI1964,6,2)&amp;RIGHT($AI1964,2)&amp;$AJ1964&amp;"|"&amp;"3"&amp;RIGHT("00000"&amp;1959,5))</f>
        <v/>
      </c>
      <c r="AL1964">
        <f>IF($AK1964="","",COUNTIFS(LdAParty,$AE1964,LdAType,1,LdAKey,"&lt;"&amp;$AK1964)+COUNTIFS(LdBMember,$AE1964,LdBKey,"&lt;"&amp;$AK1964)+COUNTIFS(LdCParty,$AE1964,LdCKey,"&lt;"&amp;$AK1964)+1)</f>
        <v/>
      </c>
      <c r="AM1964">
        <f>IF($AL1964="","",$AE1964&amp;"|"&amp;RIGHT("000000"&amp;$AL1964,6))</f>
        <v/>
      </c>
      <c r="AN1964">
        <f>IF($AE1964="","",IF(Sync!$W1964="",0,Sync!$W1964))</f>
        <v/>
      </c>
      <c r="AO1964">
        <f>IF($AE1964="","",IF(Sync!$X1964="",0,Sync!$X1964))</f>
        <v/>
      </c>
      <c r="AP1964">
        <f>IF($AE1964="","",Sync!$R1964)</f>
        <v/>
      </c>
      <c r="AQ1964">
        <f>IF($AE1964="","",Sync!$Y1964)</f>
        <v/>
      </c>
    </row>
    <row r="1965">
      <c r="A1965">
        <f>IF(OR(Wages!$B1968="",Wages!$E1968=""),"",Wages!$E1968)</f>
        <v/>
      </c>
      <c r="B1965">
        <f>IF($A1965="","",IF(Wages!$C1968="دستمزد گروهی",2,1))</f>
        <v/>
      </c>
      <c r="C1965">
        <f>IF($A1965="","",IF(ISNUMBER(Wages!$B1968),IF(AND(Wages!$B1968&gt;=10000101,Wages!$B1968&lt;=99991231),INT(Wages!$B1968/10000),""),IFERROR(VALUE(TRIM(LEFT(Wages!$B1968,FIND("/",Wages!$B1968)-1))),"")))</f>
        <v/>
      </c>
      <c r="D1965">
        <f>IF(OR($A1965="",$C1965=""),"",IF(ISNUMBER(Wages!$B1968),INT(MOD(Wages!$B1968,10000)/100),IFERROR(VALUE(TRIM(LEFT(MID(Wages!$B1968,FIND("/",Wages!$B1968)+1,20),FIND("/",MID(Wages!$B1968,FIND("/",Wages!$B1968)+1,20))-1))),"")))</f>
        <v/>
      </c>
      <c r="E1965">
        <f>IF(OR($A1965="",$C1965=""),"",IF(ISNUMBER(Wages!$B1968),MOD(Wages!$B1968,100),IFERROR(VALUE(TRIM(MID(MID(Wages!$B1968,FIND("/",Wages!$B1968)+1,20),FIND("/",MID(Wages!$B1968,FIND("/",Wages!$B1968)+1,20))+1,20))),"")))</f>
        <v/>
      </c>
      <c r="F1965">
        <f>IF($A1965="","",IF(OR($C1965="",$D1965="",$E1965="",$C1965&lt;1300,$C1965&gt;1500,$D1965&lt;1,$D1965&gt;12,$E1965&lt;1,$E1965&gt;31),"نامعتبر",RIGHT("0000"&amp;$C1965,4)&amp;"/"&amp;RIGHT("00"&amp;$D1965,2)&amp;"/"&amp;RIGHT("00"&amp;$E1965,2)))</f>
        <v/>
      </c>
      <c r="G1965">
        <f>IF(OR($A1965="",$F1965="",$F1965="نامعتبر"),"",LEFT($F1965,4)&amp;MID($F1965,6,2)&amp;RIGHT($F1965,2)&amp;"0000"&amp;"|"&amp;"1"&amp;RIGHT("00000"&amp;1960,5))</f>
        <v/>
      </c>
      <c r="H1965">
        <f>IF(OR($B1965&lt;&gt;1,$G1965=""),"",COUNTIFS(LdAParty,$A1965,LdAType,1,LdAKey,"&lt;"&amp;$G1965)+COUNTIFS(LdBMember,$A1965,LdBKey,"&lt;"&amp;$G1965)+COUNTIFS(LdCParty,$A1965,LdCKey,"&lt;"&amp;$G1965)+1)</f>
        <v/>
      </c>
      <c r="I1965">
        <f>IF($H1965="","",$A1965&amp;"|"&amp;RIGHT("000000"&amp;$H1965,6))</f>
        <v/>
      </c>
      <c r="J1965">
        <f>IF(OR($B1965&lt;&gt;2,$G1965=""),"",COUNTIFS(LdAParty,$A1965,LdAType,2,LdAKey,"&lt;"&amp;$G1965)+1)</f>
        <v/>
      </c>
      <c r="K1965">
        <f>IF($J1965="","",$A1965&amp;"|"&amp;RIGHT("000000"&amp;$J1965,6))</f>
        <v/>
      </c>
      <c r="L1965">
        <f>IF($A1965="","",IF(Wages!$G1968="",0,Wages!$G1968))</f>
        <v/>
      </c>
      <c r="M1965">
        <f>IF($A1965="","",Wages!$J1968)</f>
        <v/>
      </c>
      <c r="N1965">
        <f>IF($A1965="","",Wages!$D1968)</f>
        <v/>
      </c>
      <c r="P1965">
        <f>IF(OR(Shares!$B1968="",Shares!$C1968=""),"",Shares!$C1968)</f>
        <v/>
      </c>
      <c r="Q1965">
        <f>IF($P1965="","",Shares!$B1968)</f>
        <v/>
      </c>
      <c r="R1965">
        <f>IF($P1965="","",IFERROR(INDEX(WageParty,MATCH($Q1965,WageIds,0)),""))</f>
        <v/>
      </c>
      <c r="S1965">
        <f>IF($P1965="","",IFERROR(INDEX($F$6:$F$2005,MATCH($Q1965,WageIds,0)),""))</f>
        <v/>
      </c>
      <c r="T1965">
        <f>IF(OR($P1965="",$S1965="",$S1965="نامعتبر"),"",LEFT($S1965,4)&amp;MID($S1965,6,2)&amp;RIGHT($S1965,2)&amp;"0000"&amp;"|"&amp;"2"&amp;RIGHT("00000"&amp;1960,5))</f>
        <v/>
      </c>
      <c r="U1965">
        <f>IF($T1965="","",COUNTIFS(LdAParty,$P1965,LdAType,1,LdAKey,"&lt;"&amp;$T1965)+COUNTIFS(LdBMember,$P1965,LdBKey,"&lt;"&amp;$T1965)+COUNTIFS(LdCParty,$P1965,LdCKey,"&lt;"&amp;$T1965)+1)</f>
        <v/>
      </c>
      <c r="V1965">
        <f>IF($U1965="","",$P1965&amp;"|"&amp;RIGHT("000000"&amp;$U1965,6))</f>
        <v/>
      </c>
      <c r="W1965">
        <f>IF($T1965="","",COUNTIFS(LdBGroup,$R1965,LdBKey,"&lt;"&amp;$T1965)+1)</f>
        <v/>
      </c>
      <c r="X1965">
        <f>IF($W1965="","",$R1965&amp;"|"&amp;RIGHT("000000"&amp;$W1965,6))</f>
        <v/>
      </c>
      <c r="Y1965">
        <f>IF($P1965="","",IF(Shares!$E1968="",0,Shares!$E1968))</f>
        <v/>
      </c>
      <c r="Z1965">
        <f>IF($P1965="","",Shares!$H1968)</f>
        <v/>
      </c>
      <c r="AE1965">
        <f>IF(OR(Sync!$S1965="",Sync!$P1965=""),"",Sync!$S1965)</f>
        <v/>
      </c>
      <c r="AF1965">
        <f>IF($AE1965="","",IF(ISNUMBER(Sync!$P1965),IF(AND(Sync!$P1965&gt;=10000101,Sync!$P1965&lt;=99991231),INT(Sync!$P1965/10000),""),IFERROR(VALUE(TRIM(LEFT(Sync!$P1965,FIND("/",Sync!$P1965)-1))),"")))</f>
        <v/>
      </c>
      <c r="AG1965">
        <f>IF(OR($AE1965="",$AF1965=""),"",IF(ISNUMBER(Sync!$P1965),INT(MOD(Sync!$P1965,10000)/100),IFERROR(VALUE(TRIM(LEFT(MID(Sync!$P1965,FIND("/",Sync!$P1965)+1,20),FIND("/",MID(Sync!$P1965,FIND("/",Sync!$P1965)+1,20))-1))),"")))</f>
        <v/>
      </c>
      <c r="AH1965">
        <f>IF(OR($AE1965="",$AF1965=""),"",IF(ISNUMBER(Sync!$P1965),MOD(Sync!$P1965,100),IFERROR(VALUE(TRIM(MID(MID(Sync!$P1965,FIND("/",Sync!$P1965)+1,20),FIND("/",MID(Sync!$P1965,FIND("/",Sync!$P1965)+1,20))+1,20))),"")))</f>
        <v/>
      </c>
      <c r="AI1965">
        <f>IF($AE1965="","",IF(OR($AF1965="",$AG1965="",$AH1965="",$AF1965&lt;1300,$AF1965&gt;1500,$AG1965&lt;1,$AG1965&gt;12,$AH1965&lt;1,$AH1965&gt;31),"نامعتبر",RIGHT("0000"&amp;$AF1965,4)&amp;"/"&amp;RIGHT("00"&amp;$AG1965,2)&amp;"/"&amp;RIGHT("00"&amp;$AH1965,2)))</f>
        <v/>
      </c>
      <c r="AJ1965">
        <f>IF($AE1965="","",IF(Sync!$Q1965="","0000",IF(AND(ISNUMBER(Sync!$Q1965),Sync!$Q1965&gt;=0,Sync!$Q1965&lt;1),RIGHT("00"&amp;HOUR(Sync!$Q1965),2)&amp;RIGHT("00"&amp;MINUTE(Sync!$Q1965),2),IFERROR(RIGHT("00"&amp;VALUE(LEFT(Sync!$Q1965,FIND(":",Sync!$Q1965)-1)),2)&amp;RIGHT("00"&amp;VALUE(MID(Sync!$Q1965,FIND(":",Sync!$Q1965)+1,2)),2),"0000"))))</f>
        <v/>
      </c>
      <c r="AK1965">
        <f>IF(OR($AE1965="",$AI1965="",$AI1965="نامعتبر"),"",LEFT($AI1965,4)&amp;MID($AI1965,6,2)&amp;RIGHT($AI1965,2)&amp;$AJ1965&amp;"|"&amp;"3"&amp;RIGHT("00000"&amp;1960,5))</f>
        <v/>
      </c>
      <c r="AL1965">
        <f>IF($AK1965="","",COUNTIFS(LdAParty,$AE1965,LdAType,1,LdAKey,"&lt;"&amp;$AK1965)+COUNTIFS(LdBMember,$AE1965,LdBKey,"&lt;"&amp;$AK1965)+COUNTIFS(LdCParty,$AE1965,LdCKey,"&lt;"&amp;$AK1965)+1)</f>
        <v/>
      </c>
      <c r="AM1965">
        <f>IF($AL1965="","",$AE1965&amp;"|"&amp;RIGHT("000000"&amp;$AL1965,6))</f>
        <v/>
      </c>
      <c r="AN1965">
        <f>IF($AE1965="","",IF(Sync!$W1965="",0,Sync!$W1965))</f>
        <v/>
      </c>
      <c r="AO1965">
        <f>IF($AE1965="","",IF(Sync!$X1965="",0,Sync!$X1965))</f>
        <v/>
      </c>
      <c r="AP1965">
        <f>IF($AE1965="","",Sync!$R1965)</f>
        <v/>
      </c>
      <c r="AQ1965">
        <f>IF($AE1965="","",Sync!$Y1965)</f>
        <v/>
      </c>
    </row>
    <row r="1966">
      <c r="A1966">
        <f>IF(OR(Wages!$B1969="",Wages!$E1969=""),"",Wages!$E1969)</f>
        <v/>
      </c>
      <c r="B1966">
        <f>IF($A1966="","",IF(Wages!$C1969="دستمزد گروهی",2,1))</f>
        <v/>
      </c>
      <c r="C1966">
        <f>IF($A1966="","",IF(ISNUMBER(Wages!$B1969),IF(AND(Wages!$B1969&gt;=10000101,Wages!$B1969&lt;=99991231),INT(Wages!$B1969/10000),""),IFERROR(VALUE(TRIM(LEFT(Wages!$B1969,FIND("/",Wages!$B1969)-1))),"")))</f>
        <v/>
      </c>
      <c r="D1966">
        <f>IF(OR($A1966="",$C1966=""),"",IF(ISNUMBER(Wages!$B1969),INT(MOD(Wages!$B1969,10000)/100),IFERROR(VALUE(TRIM(LEFT(MID(Wages!$B1969,FIND("/",Wages!$B1969)+1,20),FIND("/",MID(Wages!$B1969,FIND("/",Wages!$B1969)+1,20))-1))),"")))</f>
        <v/>
      </c>
      <c r="E1966">
        <f>IF(OR($A1966="",$C1966=""),"",IF(ISNUMBER(Wages!$B1969),MOD(Wages!$B1969,100),IFERROR(VALUE(TRIM(MID(MID(Wages!$B1969,FIND("/",Wages!$B1969)+1,20),FIND("/",MID(Wages!$B1969,FIND("/",Wages!$B1969)+1,20))+1,20))),"")))</f>
        <v/>
      </c>
      <c r="F1966">
        <f>IF($A1966="","",IF(OR($C1966="",$D1966="",$E1966="",$C1966&lt;1300,$C1966&gt;1500,$D1966&lt;1,$D1966&gt;12,$E1966&lt;1,$E1966&gt;31),"نامعتبر",RIGHT("0000"&amp;$C1966,4)&amp;"/"&amp;RIGHT("00"&amp;$D1966,2)&amp;"/"&amp;RIGHT("00"&amp;$E1966,2)))</f>
        <v/>
      </c>
      <c r="G1966">
        <f>IF(OR($A1966="",$F1966="",$F1966="نامعتبر"),"",LEFT($F1966,4)&amp;MID($F1966,6,2)&amp;RIGHT($F1966,2)&amp;"0000"&amp;"|"&amp;"1"&amp;RIGHT("00000"&amp;1961,5))</f>
        <v/>
      </c>
      <c r="H1966">
        <f>IF(OR($B1966&lt;&gt;1,$G1966=""),"",COUNTIFS(LdAParty,$A1966,LdAType,1,LdAKey,"&lt;"&amp;$G1966)+COUNTIFS(LdBMember,$A1966,LdBKey,"&lt;"&amp;$G1966)+COUNTIFS(LdCParty,$A1966,LdCKey,"&lt;"&amp;$G1966)+1)</f>
        <v/>
      </c>
      <c r="I1966">
        <f>IF($H1966="","",$A1966&amp;"|"&amp;RIGHT("000000"&amp;$H1966,6))</f>
        <v/>
      </c>
      <c r="J1966">
        <f>IF(OR($B1966&lt;&gt;2,$G1966=""),"",COUNTIFS(LdAParty,$A1966,LdAType,2,LdAKey,"&lt;"&amp;$G1966)+1)</f>
        <v/>
      </c>
      <c r="K1966">
        <f>IF($J1966="","",$A1966&amp;"|"&amp;RIGHT("000000"&amp;$J1966,6))</f>
        <v/>
      </c>
      <c r="L1966">
        <f>IF($A1966="","",IF(Wages!$G1969="",0,Wages!$G1969))</f>
        <v/>
      </c>
      <c r="M1966">
        <f>IF($A1966="","",Wages!$J1969)</f>
        <v/>
      </c>
      <c r="N1966">
        <f>IF($A1966="","",Wages!$D1969)</f>
        <v/>
      </c>
      <c r="P1966">
        <f>IF(OR(Shares!$B1969="",Shares!$C1969=""),"",Shares!$C1969)</f>
        <v/>
      </c>
      <c r="Q1966">
        <f>IF($P1966="","",Shares!$B1969)</f>
        <v/>
      </c>
      <c r="R1966">
        <f>IF($P1966="","",IFERROR(INDEX(WageParty,MATCH($Q1966,WageIds,0)),""))</f>
        <v/>
      </c>
      <c r="S1966">
        <f>IF($P1966="","",IFERROR(INDEX($F$6:$F$2005,MATCH($Q1966,WageIds,0)),""))</f>
        <v/>
      </c>
      <c r="T1966">
        <f>IF(OR($P1966="",$S1966="",$S1966="نامعتبر"),"",LEFT($S1966,4)&amp;MID($S1966,6,2)&amp;RIGHT($S1966,2)&amp;"0000"&amp;"|"&amp;"2"&amp;RIGHT("00000"&amp;1961,5))</f>
        <v/>
      </c>
      <c r="U1966">
        <f>IF($T1966="","",COUNTIFS(LdAParty,$P1966,LdAType,1,LdAKey,"&lt;"&amp;$T1966)+COUNTIFS(LdBMember,$P1966,LdBKey,"&lt;"&amp;$T1966)+COUNTIFS(LdCParty,$P1966,LdCKey,"&lt;"&amp;$T1966)+1)</f>
        <v/>
      </c>
      <c r="V1966">
        <f>IF($U1966="","",$P1966&amp;"|"&amp;RIGHT("000000"&amp;$U1966,6))</f>
        <v/>
      </c>
      <c r="W1966">
        <f>IF($T1966="","",COUNTIFS(LdBGroup,$R1966,LdBKey,"&lt;"&amp;$T1966)+1)</f>
        <v/>
      </c>
      <c r="X1966">
        <f>IF($W1966="","",$R1966&amp;"|"&amp;RIGHT("000000"&amp;$W1966,6))</f>
        <v/>
      </c>
      <c r="Y1966">
        <f>IF($P1966="","",IF(Shares!$E1969="",0,Shares!$E1969))</f>
        <v/>
      </c>
      <c r="Z1966">
        <f>IF($P1966="","",Shares!$H1969)</f>
        <v/>
      </c>
      <c r="AE1966">
        <f>IF(OR(Sync!$S1966="",Sync!$P1966=""),"",Sync!$S1966)</f>
        <v/>
      </c>
      <c r="AF1966">
        <f>IF($AE1966="","",IF(ISNUMBER(Sync!$P1966),IF(AND(Sync!$P1966&gt;=10000101,Sync!$P1966&lt;=99991231),INT(Sync!$P1966/10000),""),IFERROR(VALUE(TRIM(LEFT(Sync!$P1966,FIND("/",Sync!$P1966)-1))),"")))</f>
        <v/>
      </c>
      <c r="AG1966">
        <f>IF(OR($AE1966="",$AF1966=""),"",IF(ISNUMBER(Sync!$P1966),INT(MOD(Sync!$P1966,10000)/100),IFERROR(VALUE(TRIM(LEFT(MID(Sync!$P1966,FIND("/",Sync!$P1966)+1,20),FIND("/",MID(Sync!$P1966,FIND("/",Sync!$P1966)+1,20))-1))),"")))</f>
        <v/>
      </c>
      <c r="AH1966">
        <f>IF(OR($AE1966="",$AF1966=""),"",IF(ISNUMBER(Sync!$P1966),MOD(Sync!$P1966,100),IFERROR(VALUE(TRIM(MID(MID(Sync!$P1966,FIND("/",Sync!$P1966)+1,20),FIND("/",MID(Sync!$P1966,FIND("/",Sync!$P1966)+1,20))+1,20))),"")))</f>
        <v/>
      </c>
      <c r="AI1966">
        <f>IF($AE1966="","",IF(OR($AF1966="",$AG1966="",$AH1966="",$AF1966&lt;1300,$AF1966&gt;1500,$AG1966&lt;1,$AG1966&gt;12,$AH1966&lt;1,$AH1966&gt;31),"نامعتبر",RIGHT("0000"&amp;$AF1966,4)&amp;"/"&amp;RIGHT("00"&amp;$AG1966,2)&amp;"/"&amp;RIGHT("00"&amp;$AH1966,2)))</f>
        <v/>
      </c>
      <c r="AJ1966">
        <f>IF($AE1966="","",IF(Sync!$Q1966="","0000",IF(AND(ISNUMBER(Sync!$Q1966),Sync!$Q1966&gt;=0,Sync!$Q1966&lt;1),RIGHT("00"&amp;HOUR(Sync!$Q1966),2)&amp;RIGHT("00"&amp;MINUTE(Sync!$Q1966),2),IFERROR(RIGHT("00"&amp;VALUE(LEFT(Sync!$Q1966,FIND(":",Sync!$Q1966)-1)),2)&amp;RIGHT("00"&amp;VALUE(MID(Sync!$Q1966,FIND(":",Sync!$Q1966)+1,2)),2),"0000"))))</f>
        <v/>
      </c>
      <c r="AK1966">
        <f>IF(OR($AE1966="",$AI1966="",$AI1966="نامعتبر"),"",LEFT($AI1966,4)&amp;MID($AI1966,6,2)&amp;RIGHT($AI1966,2)&amp;$AJ1966&amp;"|"&amp;"3"&amp;RIGHT("00000"&amp;1961,5))</f>
        <v/>
      </c>
      <c r="AL1966">
        <f>IF($AK1966="","",COUNTIFS(LdAParty,$AE1966,LdAType,1,LdAKey,"&lt;"&amp;$AK1966)+COUNTIFS(LdBMember,$AE1966,LdBKey,"&lt;"&amp;$AK1966)+COUNTIFS(LdCParty,$AE1966,LdCKey,"&lt;"&amp;$AK1966)+1)</f>
        <v/>
      </c>
      <c r="AM1966">
        <f>IF($AL1966="","",$AE1966&amp;"|"&amp;RIGHT("000000"&amp;$AL1966,6))</f>
        <v/>
      </c>
      <c r="AN1966">
        <f>IF($AE1966="","",IF(Sync!$W1966="",0,Sync!$W1966))</f>
        <v/>
      </c>
      <c r="AO1966">
        <f>IF($AE1966="","",IF(Sync!$X1966="",0,Sync!$X1966))</f>
        <v/>
      </c>
      <c r="AP1966">
        <f>IF($AE1966="","",Sync!$R1966)</f>
        <v/>
      </c>
      <c r="AQ1966">
        <f>IF($AE1966="","",Sync!$Y1966)</f>
        <v/>
      </c>
    </row>
    <row r="1967">
      <c r="A1967">
        <f>IF(OR(Wages!$B1970="",Wages!$E1970=""),"",Wages!$E1970)</f>
        <v/>
      </c>
      <c r="B1967">
        <f>IF($A1967="","",IF(Wages!$C1970="دستمزد گروهی",2,1))</f>
        <v/>
      </c>
      <c r="C1967">
        <f>IF($A1967="","",IF(ISNUMBER(Wages!$B1970),IF(AND(Wages!$B1970&gt;=10000101,Wages!$B1970&lt;=99991231),INT(Wages!$B1970/10000),""),IFERROR(VALUE(TRIM(LEFT(Wages!$B1970,FIND("/",Wages!$B1970)-1))),"")))</f>
        <v/>
      </c>
      <c r="D1967">
        <f>IF(OR($A1967="",$C1967=""),"",IF(ISNUMBER(Wages!$B1970),INT(MOD(Wages!$B1970,10000)/100),IFERROR(VALUE(TRIM(LEFT(MID(Wages!$B1970,FIND("/",Wages!$B1970)+1,20),FIND("/",MID(Wages!$B1970,FIND("/",Wages!$B1970)+1,20))-1))),"")))</f>
        <v/>
      </c>
      <c r="E1967">
        <f>IF(OR($A1967="",$C1967=""),"",IF(ISNUMBER(Wages!$B1970),MOD(Wages!$B1970,100),IFERROR(VALUE(TRIM(MID(MID(Wages!$B1970,FIND("/",Wages!$B1970)+1,20),FIND("/",MID(Wages!$B1970,FIND("/",Wages!$B1970)+1,20))+1,20))),"")))</f>
        <v/>
      </c>
      <c r="F1967">
        <f>IF($A1967="","",IF(OR($C1967="",$D1967="",$E1967="",$C1967&lt;1300,$C1967&gt;1500,$D1967&lt;1,$D1967&gt;12,$E1967&lt;1,$E1967&gt;31),"نامعتبر",RIGHT("0000"&amp;$C1967,4)&amp;"/"&amp;RIGHT("00"&amp;$D1967,2)&amp;"/"&amp;RIGHT("00"&amp;$E1967,2)))</f>
        <v/>
      </c>
      <c r="G1967">
        <f>IF(OR($A1967="",$F1967="",$F1967="نامعتبر"),"",LEFT($F1967,4)&amp;MID($F1967,6,2)&amp;RIGHT($F1967,2)&amp;"0000"&amp;"|"&amp;"1"&amp;RIGHT("00000"&amp;1962,5))</f>
        <v/>
      </c>
      <c r="H1967">
        <f>IF(OR($B1967&lt;&gt;1,$G1967=""),"",COUNTIFS(LdAParty,$A1967,LdAType,1,LdAKey,"&lt;"&amp;$G1967)+COUNTIFS(LdBMember,$A1967,LdBKey,"&lt;"&amp;$G1967)+COUNTIFS(LdCParty,$A1967,LdCKey,"&lt;"&amp;$G1967)+1)</f>
        <v/>
      </c>
      <c r="I1967">
        <f>IF($H1967="","",$A1967&amp;"|"&amp;RIGHT("000000"&amp;$H1967,6))</f>
        <v/>
      </c>
      <c r="J1967">
        <f>IF(OR($B1967&lt;&gt;2,$G1967=""),"",COUNTIFS(LdAParty,$A1967,LdAType,2,LdAKey,"&lt;"&amp;$G1967)+1)</f>
        <v/>
      </c>
      <c r="K1967">
        <f>IF($J1967="","",$A1967&amp;"|"&amp;RIGHT("000000"&amp;$J1967,6))</f>
        <v/>
      </c>
      <c r="L1967">
        <f>IF($A1967="","",IF(Wages!$G1970="",0,Wages!$G1970))</f>
        <v/>
      </c>
      <c r="M1967">
        <f>IF($A1967="","",Wages!$J1970)</f>
        <v/>
      </c>
      <c r="N1967">
        <f>IF($A1967="","",Wages!$D1970)</f>
        <v/>
      </c>
      <c r="P1967">
        <f>IF(OR(Shares!$B1970="",Shares!$C1970=""),"",Shares!$C1970)</f>
        <v/>
      </c>
      <c r="Q1967">
        <f>IF($P1967="","",Shares!$B1970)</f>
        <v/>
      </c>
      <c r="R1967">
        <f>IF($P1967="","",IFERROR(INDEX(WageParty,MATCH($Q1967,WageIds,0)),""))</f>
        <v/>
      </c>
      <c r="S1967">
        <f>IF($P1967="","",IFERROR(INDEX($F$6:$F$2005,MATCH($Q1967,WageIds,0)),""))</f>
        <v/>
      </c>
      <c r="T1967">
        <f>IF(OR($P1967="",$S1967="",$S1967="نامعتبر"),"",LEFT($S1967,4)&amp;MID($S1967,6,2)&amp;RIGHT($S1967,2)&amp;"0000"&amp;"|"&amp;"2"&amp;RIGHT("00000"&amp;1962,5))</f>
        <v/>
      </c>
      <c r="U1967">
        <f>IF($T1967="","",COUNTIFS(LdAParty,$P1967,LdAType,1,LdAKey,"&lt;"&amp;$T1967)+COUNTIFS(LdBMember,$P1967,LdBKey,"&lt;"&amp;$T1967)+COUNTIFS(LdCParty,$P1967,LdCKey,"&lt;"&amp;$T1967)+1)</f>
        <v/>
      </c>
      <c r="V1967">
        <f>IF($U1967="","",$P1967&amp;"|"&amp;RIGHT("000000"&amp;$U1967,6))</f>
        <v/>
      </c>
      <c r="W1967">
        <f>IF($T1967="","",COUNTIFS(LdBGroup,$R1967,LdBKey,"&lt;"&amp;$T1967)+1)</f>
        <v/>
      </c>
      <c r="X1967">
        <f>IF($W1967="","",$R1967&amp;"|"&amp;RIGHT("000000"&amp;$W1967,6))</f>
        <v/>
      </c>
      <c r="Y1967">
        <f>IF($P1967="","",IF(Shares!$E1970="",0,Shares!$E1970))</f>
        <v/>
      </c>
      <c r="Z1967">
        <f>IF($P1967="","",Shares!$H1970)</f>
        <v/>
      </c>
      <c r="AE1967">
        <f>IF(OR(Sync!$S1967="",Sync!$P1967=""),"",Sync!$S1967)</f>
        <v/>
      </c>
      <c r="AF1967">
        <f>IF($AE1967="","",IF(ISNUMBER(Sync!$P1967),IF(AND(Sync!$P1967&gt;=10000101,Sync!$P1967&lt;=99991231),INT(Sync!$P1967/10000),""),IFERROR(VALUE(TRIM(LEFT(Sync!$P1967,FIND("/",Sync!$P1967)-1))),"")))</f>
        <v/>
      </c>
      <c r="AG1967">
        <f>IF(OR($AE1967="",$AF1967=""),"",IF(ISNUMBER(Sync!$P1967),INT(MOD(Sync!$P1967,10000)/100),IFERROR(VALUE(TRIM(LEFT(MID(Sync!$P1967,FIND("/",Sync!$P1967)+1,20),FIND("/",MID(Sync!$P1967,FIND("/",Sync!$P1967)+1,20))-1))),"")))</f>
        <v/>
      </c>
      <c r="AH1967">
        <f>IF(OR($AE1967="",$AF1967=""),"",IF(ISNUMBER(Sync!$P1967),MOD(Sync!$P1967,100),IFERROR(VALUE(TRIM(MID(MID(Sync!$P1967,FIND("/",Sync!$P1967)+1,20),FIND("/",MID(Sync!$P1967,FIND("/",Sync!$P1967)+1,20))+1,20))),"")))</f>
        <v/>
      </c>
      <c r="AI1967">
        <f>IF($AE1967="","",IF(OR($AF1967="",$AG1967="",$AH1967="",$AF1967&lt;1300,$AF1967&gt;1500,$AG1967&lt;1,$AG1967&gt;12,$AH1967&lt;1,$AH1967&gt;31),"نامعتبر",RIGHT("0000"&amp;$AF1967,4)&amp;"/"&amp;RIGHT("00"&amp;$AG1967,2)&amp;"/"&amp;RIGHT("00"&amp;$AH1967,2)))</f>
        <v/>
      </c>
      <c r="AJ1967">
        <f>IF($AE1967="","",IF(Sync!$Q1967="","0000",IF(AND(ISNUMBER(Sync!$Q1967),Sync!$Q1967&gt;=0,Sync!$Q1967&lt;1),RIGHT("00"&amp;HOUR(Sync!$Q1967),2)&amp;RIGHT("00"&amp;MINUTE(Sync!$Q1967),2),IFERROR(RIGHT("00"&amp;VALUE(LEFT(Sync!$Q1967,FIND(":",Sync!$Q1967)-1)),2)&amp;RIGHT("00"&amp;VALUE(MID(Sync!$Q1967,FIND(":",Sync!$Q1967)+1,2)),2),"0000"))))</f>
        <v/>
      </c>
      <c r="AK1967">
        <f>IF(OR($AE1967="",$AI1967="",$AI1967="نامعتبر"),"",LEFT($AI1967,4)&amp;MID($AI1967,6,2)&amp;RIGHT($AI1967,2)&amp;$AJ1967&amp;"|"&amp;"3"&amp;RIGHT("00000"&amp;1962,5))</f>
        <v/>
      </c>
      <c r="AL1967">
        <f>IF($AK1967="","",COUNTIFS(LdAParty,$AE1967,LdAType,1,LdAKey,"&lt;"&amp;$AK1967)+COUNTIFS(LdBMember,$AE1967,LdBKey,"&lt;"&amp;$AK1967)+COUNTIFS(LdCParty,$AE1967,LdCKey,"&lt;"&amp;$AK1967)+1)</f>
        <v/>
      </c>
      <c r="AM1967">
        <f>IF($AL1967="","",$AE1967&amp;"|"&amp;RIGHT("000000"&amp;$AL1967,6))</f>
        <v/>
      </c>
      <c r="AN1967">
        <f>IF($AE1967="","",IF(Sync!$W1967="",0,Sync!$W1967))</f>
        <v/>
      </c>
      <c r="AO1967">
        <f>IF($AE1967="","",IF(Sync!$X1967="",0,Sync!$X1967))</f>
        <v/>
      </c>
      <c r="AP1967">
        <f>IF($AE1967="","",Sync!$R1967)</f>
        <v/>
      </c>
      <c r="AQ1967">
        <f>IF($AE1967="","",Sync!$Y1967)</f>
        <v/>
      </c>
    </row>
    <row r="1968">
      <c r="A1968">
        <f>IF(OR(Wages!$B1971="",Wages!$E1971=""),"",Wages!$E1971)</f>
        <v/>
      </c>
      <c r="B1968">
        <f>IF($A1968="","",IF(Wages!$C1971="دستمزد گروهی",2,1))</f>
        <v/>
      </c>
      <c r="C1968">
        <f>IF($A1968="","",IF(ISNUMBER(Wages!$B1971),IF(AND(Wages!$B1971&gt;=10000101,Wages!$B1971&lt;=99991231),INT(Wages!$B1971/10000),""),IFERROR(VALUE(TRIM(LEFT(Wages!$B1971,FIND("/",Wages!$B1971)-1))),"")))</f>
        <v/>
      </c>
      <c r="D1968">
        <f>IF(OR($A1968="",$C1968=""),"",IF(ISNUMBER(Wages!$B1971),INT(MOD(Wages!$B1971,10000)/100),IFERROR(VALUE(TRIM(LEFT(MID(Wages!$B1971,FIND("/",Wages!$B1971)+1,20),FIND("/",MID(Wages!$B1971,FIND("/",Wages!$B1971)+1,20))-1))),"")))</f>
        <v/>
      </c>
      <c r="E1968">
        <f>IF(OR($A1968="",$C1968=""),"",IF(ISNUMBER(Wages!$B1971),MOD(Wages!$B1971,100),IFERROR(VALUE(TRIM(MID(MID(Wages!$B1971,FIND("/",Wages!$B1971)+1,20),FIND("/",MID(Wages!$B1971,FIND("/",Wages!$B1971)+1,20))+1,20))),"")))</f>
        <v/>
      </c>
      <c r="F1968">
        <f>IF($A1968="","",IF(OR($C1968="",$D1968="",$E1968="",$C1968&lt;1300,$C1968&gt;1500,$D1968&lt;1,$D1968&gt;12,$E1968&lt;1,$E1968&gt;31),"نامعتبر",RIGHT("0000"&amp;$C1968,4)&amp;"/"&amp;RIGHT("00"&amp;$D1968,2)&amp;"/"&amp;RIGHT("00"&amp;$E1968,2)))</f>
        <v/>
      </c>
      <c r="G1968">
        <f>IF(OR($A1968="",$F1968="",$F1968="نامعتبر"),"",LEFT($F1968,4)&amp;MID($F1968,6,2)&amp;RIGHT($F1968,2)&amp;"0000"&amp;"|"&amp;"1"&amp;RIGHT("00000"&amp;1963,5))</f>
        <v/>
      </c>
      <c r="H1968">
        <f>IF(OR($B1968&lt;&gt;1,$G1968=""),"",COUNTIFS(LdAParty,$A1968,LdAType,1,LdAKey,"&lt;"&amp;$G1968)+COUNTIFS(LdBMember,$A1968,LdBKey,"&lt;"&amp;$G1968)+COUNTIFS(LdCParty,$A1968,LdCKey,"&lt;"&amp;$G1968)+1)</f>
        <v/>
      </c>
      <c r="I1968">
        <f>IF($H1968="","",$A1968&amp;"|"&amp;RIGHT("000000"&amp;$H1968,6))</f>
        <v/>
      </c>
      <c r="J1968">
        <f>IF(OR($B1968&lt;&gt;2,$G1968=""),"",COUNTIFS(LdAParty,$A1968,LdAType,2,LdAKey,"&lt;"&amp;$G1968)+1)</f>
        <v/>
      </c>
      <c r="K1968">
        <f>IF($J1968="","",$A1968&amp;"|"&amp;RIGHT("000000"&amp;$J1968,6))</f>
        <v/>
      </c>
      <c r="L1968">
        <f>IF($A1968="","",IF(Wages!$G1971="",0,Wages!$G1971))</f>
        <v/>
      </c>
      <c r="M1968">
        <f>IF($A1968="","",Wages!$J1971)</f>
        <v/>
      </c>
      <c r="N1968">
        <f>IF($A1968="","",Wages!$D1971)</f>
        <v/>
      </c>
      <c r="P1968">
        <f>IF(OR(Shares!$B1971="",Shares!$C1971=""),"",Shares!$C1971)</f>
        <v/>
      </c>
      <c r="Q1968">
        <f>IF($P1968="","",Shares!$B1971)</f>
        <v/>
      </c>
      <c r="R1968">
        <f>IF($P1968="","",IFERROR(INDEX(WageParty,MATCH($Q1968,WageIds,0)),""))</f>
        <v/>
      </c>
      <c r="S1968">
        <f>IF($P1968="","",IFERROR(INDEX($F$6:$F$2005,MATCH($Q1968,WageIds,0)),""))</f>
        <v/>
      </c>
      <c r="T1968">
        <f>IF(OR($P1968="",$S1968="",$S1968="نامعتبر"),"",LEFT($S1968,4)&amp;MID($S1968,6,2)&amp;RIGHT($S1968,2)&amp;"0000"&amp;"|"&amp;"2"&amp;RIGHT("00000"&amp;1963,5))</f>
        <v/>
      </c>
      <c r="U1968">
        <f>IF($T1968="","",COUNTIFS(LdAParty,$P1968,LdAType,1,LdAKey,"&lt;"&amp;$T1968)+COUNTIFS(LdBMember,$P1968,LdBKey,"&lt;"&amp;$T1968)+COUNTIFS(LdCParty,$P1968,LdCKey,"&lt;"&amp;$T1968)+1)</f>
        <v/>
      </c>
      <c r="V1968">
        <f>IF($U1968="","",$P1968&amp;"|"&amp;RIGHT("000000"&amp;$U1968,6))</f>
        <v/>
      </c>
      <c r="W1968">
        <f>IF($T1968="","",COUNTIFS(LdBGroup,$R1968,LdBKey,"&lt;"&amp;$T1968)+1)</f>
        <v/>
      </c>
      <c r="X1968">
        <f>IF($W1968="","",$R1968&amp;"|"&amp;RIGHT("000000"&amp;$W1968,6))</f>
        <v/>
      </c>
      <c r="Y1968">
        <f>IF($P1968="","",IF(Shares!$E1971="",0,Shares!$E1971))</f>
        <v/>
      </c>
      <c r="Z1968">
        <f>IF($P1968="","",Shares!$H1971)</f>
        <v/>
      </c>
      <c r="AE1968">
        <f>IF(OR(Sync!$S1968="",Sync!$P1968=""),"",Sync!$S1968)</f>
        <v/>
      </c>
      <c r="AF1968">
        <f>IF($AE1968="","",IF(ISNUMBER(Sync!$P1968),IF(AND(Sync!$P1968&gt;=10000101,Sync!$P1968&lt;=99991231),INT(Sync!$P1968/10000),""),IFERROR(VALUE(TRIM(LEFT(Sync!$P1968,FIND("/",Sync!$P1968)-1))),"")))</f>
        <v/>
      </c>
      <c r="AG1968">
        <f>IF(OR($AE1968="",$AF1968=""),"",IF(ISNUMBER(Sync!$P1968),INT(MOD(Sync!$P1968,10000)/100),IFERROR(VALUE(TRIM(LEFT(MID(Sync!$P1968,FIND("/",Sync!$P1968)+1,20),FIND("/",MID(Sync!$P1968,FIND("/",Sync!$P1968)+1,20))-1))),"")))</f>
        <v/>
      </c>
      <c r="AH1968">
        <f>IF(OR($AE1968="",$AF1968=""),"",IF(ISNUMBER(Sync!$P1968),MOD(Sync!$P1968,100),IFERROR(VALUE(TRIM(MID(MID(Sync!$P1968,FIND("/",Sync!$P1968)+1,20),FIND("/",MID(Sync!$P1968,FIND("/",Sync!$P1968)+1,20))+1,20))),"")))</f>
        <v/>
      </c>
      <c r="AI1968">
        <f>IF($AE1968="","",IF(OR($AF1968="",$AG1968="",$AH1968="",$AF1968&lt;1300,$AF1968&gt;1500,$AG1968&lt;1,$AG1968&gt;12,$AH1968&lt;1,$AH1968&gt;31),"نامعتبر",RIGHT("0000"&amp;$AF1968,4)&amp;"/"&amp;RIGHT("00"&amp;$AG1968,2)&amp;"/"&amp;RIGHT("00"&amp;$AH1968,2)))</f>
        <v/>
      </c>
      <c r="AJ1968">
        <f>IF($AE1968="","",IF(Sync!$Q1968="","0000",IF(AND(ISNUMBER(Sync!$Q1968),Sync!$Q1968&gt;=0,Sync!$Q1968&lt;1),RIGHT("00"&amp;HOUR(Sync!$Q1968),2)&amp;RIGHT("00"&amp;MINUTE(Sync!$Q1968),2),IFERROR(RIGHT("00"&amp;VALUE(LEFT(Sync!$Q1968,FIND(":",Sync!$Q1968)-1)),2)&amp;RIGHT("00"&amp;VALUE(MID(Sync!$Q1968,FIND(":",Sync!$Q1968)+1,2)),2),"0000"))))</f>
        <v/>
      </c>
      <c r="AK1968">
        <f>IF(OR($AE1968="",$AI1968="",$AI1968="نامعتبر"),"",LEFT($AI1968,4)&amp;MID($AI1968,6,2)&amp;RIGHT($AI1968,2)&amp;$AJ1968&amp;"|"&amp;"3"&amp;RIGHT("00000"&amp;1963,5))</f>
        <v/>
      </c>
      <c r="AL1968">
        <f>IF($AK1968="","",COUNTIFS(LdAParty,$AE1968,LdAType,1,LdAKey,"&lt;"&amp;$AK1968)+COUNTIFS(LdBMember,$AE1968,LdBKey,"&lt;"&amp;$AK1968)+COUNTIFS(LdCParty,$AE1968,LdCKey,"&lt;"&amp;$AK1968)+1)</f>
        <v/>
      </c>
      <c r="AM1968">
        <f>IF($AL1968="","",$AE1968&amp;"|"&amp;RIGHT("000000"&amp;$AL1968,6))</f>
        <v/>
      </c>
      <c r="AN1968">
        <f>IF($AE1968="","",IF(Sync!$W1968="",0,Sync!$W1968))</f>
        <v/>
      </c>
      <c r="AO1968">
        <f>IF($AE1968="","",IF(Sync!$X1968="",0,Sync!$X1968))</f>
        <v/>
      </c>
      <c r="AP1968">
        <f>IF($AE1968="","",Sync!$R1968)</f>
        <v/>
      </c>
      <c r="AQ1968">
        <f>IF($AE1968="","",Sync!$Y1968)</f>
        <v/>
      </c>
    </row>
    <row r="1969">
      <c r="A1969">
        <f>IF(OR(Wages!$B1972="",Wages!$E1972=""),"",Wages!$E1972)</f>
        <v/>
      </c>
      <c r="B1969">
        <f>IF($A1969="","",IF(Wages!$C1972="دستمزد گروهی",2,1))</f>
        <v/>
      </c>
      <c r="C1969">
        <f>IF($A1969="","",IF(ISNUMBER(Wages!$B1972),IF(AND(Wages!$B1972&gt;=10000101,Wages!$B1972&lt;=99991231),INT(Wages!$B1972/10000),""),IFERROR(VALUE(TRIM(LEFT(Wages!$B1972,FIND("/",Wages!$B1972)-1))),"")))</f>
        <v/>
      </c>
      <c r="D1969">
        <f>IF(OR($A1969="",$C1969=""),"",IF(ISNUMBER(Wages!$B1972),INT(MOD(Wages!$B1972,10000)/100),IFERROR(VALUE(TRIM(LEFT(MID(Wages!$B1972,FIND("/",Wages!$B1972)+1,20),FIND("/",MID(Wages!$B1972,FIND("/",Wages!$B1972)+1,20))-1))),"")))</f>
        <v/>
      </c>
      <c r="E1969">
        <f>IF(OR($A1969="",$C1969=""),"",IF(ISNUMBER(Wages!$B1972),MOD(Wages!$B1972,100),IFERROR(VALUE(TRIM(MID(MID(Wages!$B1972,FIND("/",Wages!$B1972)+1,20),FIND("/",MID(Wages!$B1972,FIND("/",Wages!$B1972)+1,20))+1,20))),"")))</f>
        <v/>
      </c>
      <c r="F1969">
        <f>IF($A1969="","",IF(OR($C1969="",$D1969="",$E1969="",$C1969&lt;1300,$C1969&gt;1500,$D1969&lt;1,$D1969&gt;12,$E1969&lt;1,$E1969&gt;31),"نامعتبر",RIGHT("0000"&amp;$C1969,4)&amp;"/"&amp;RIGHT("00"&amp;$D1969,2)&amp;"/"&amp;RIGHT("00"&amp;$E1969,2)))</f>
        <v/>
      </c>
      <c r="G1969">
        <f>IF(OR($A1969="",$F1969="",$F1969="نامعتبر"),"",LEFT($F1969,4)&amp;MID($F1969,6,2)&amp;RIGHT($F1969,2)&amp;"0000"&amp;"|"&amp;"1"&amp;RIGHT("00000"&amp;1964,5))</f>
        <v/>
      </c>
      <c r="H1969">
        <f>IF(OR($B1969&lt;&gt;1,$G1969=""),"",COUNTIFS(LdAParty,$A1969,LdAType,1,LdAKey,"&lt;"&amp;$G1969)+COUNTIFS(LdBMember,$A1969,LdBKey,"&lt;"&amp;$G1969)+COUNTIFS(LdCParty,$A1969,LdCKey,"&lt;"&amp;$G1969)+1)</f>
        <v/>
      </c>
      <c r="I1969">
        <f>IF($H1969="","",$A1969&amp;"|"&amp;RIGHT("000000"&amp;$H1969,6))</f>
        <v/>
      </c>
      <c r="J1969">
        <f>IF(OR($B1969&lt;&gt;2,$G1969=""),"",COUNTIFS(LdAParty,$A1969,LdAType,2,LdAKey,"&lt;"&amp;$G1969)+1)</f>
        <v/>
      </c>
      <c r="K1969">
        <f>IF($J1969="","",$A1969&amp;"|"&amp;RIGHT("000000"&amp;$J1969,6))</f>
        <v/>
      </c>
      <c r="L1969">
        <f>IF($A1969="","",IF(Wages!$G1972="",0,Wages!$G1972))</f>
        <v/>
      </c>
      <c r="M1969">
        <f>IF($A1969="","",Wages!$J1972)</f>
        <v/>
      </c>
      <c r="N1969">
        <f>IF($A1969="","",Wages!$D1972)</f>
        <v/>
      </c>
      <c r="P1969">
        <f>IF(OR(Shares!$B1972="",Shares!$C1972=""),"",Shares!$C1972)</f>
        <v/>
      </c>
      <c r="Q1969">
        <f>IF($P1969="","",Shares!$B1972)</f>
        <v/>
      </c>
      <c r="R1969">
        <f>IF($P1969="","",IFERROR(INDEX(WageParty,MATCH($Q1969,WageIds,0)),""))</f>
        <v/>
      </c>
      <c r="S1969">
        <f>IF($P1969="","",IFERROR(INDEX($F$6:$F$2005,MATCH($Q1969,WageIds,0)),""))</f>
        <v/>
      </c>
      <c r="T1969">
        <f>IF(OR($P1969="",$S1969="",$S1969="نامعتبر"),"",LEFT($S1969,4)&amp;MID($S1969,6,2)&amp;RIGHT($S1969,2)&amp;"0000"&amp;"|"&amp;"2"&amp;RIGHT("00000"&amp;1964,5))</f>
        <v/>
      </c>
      <c r="U1969">
        <f>IF($T1969="","",COUNTIFS(LdAParty,$P1969,LdAType,1,LdAKey,"&lt;"&amp;$T1969)+COUNTIFS(LdBMember,$P1969,LdBKey,"&lt;"&amp;$T1969)+COUNTIFS(LdCParty,$P1969,LdCKey,"&lt;"&amp;$T1969)+1)</f>
        <v/>
      </c>
      <c r="V1969">
        <f>IF($U1969="","",$P1969&amp;"|"&amp;RIGHT("000000"&amp;$U1969,6))</f>
        <v/>
      </c>
      <c r="W1969">
        <f>IF($T1969="","",COUNTIFS(LdBGroup,$R1969,LdBKey,"&lt;"&amp;$T1969)+1)</f>
        <v/>
      </c>
      <c r="X1969">
        <f>IF($W1969="","",$R1969&amp;"|"&amp;RIGHT("000000"&amp;$W1969,6))</f>
        <v/>
      </c>
      <c r="Y1969">
        <f>IF($P1969="","",IF(Shares!$E1972="",0,Shares!$E1972))</f>
        <v/>
      </c>
      <c r="Z1969">
        <f>IF($P1969="","",Shares!$H1972)</f>
        <v/>
      </c>
      <c r="AE1969">
        <f>IF(OR(Sync!$S1969="",Sync!$P1969=""),"",Sync!$S1969)</f>
        <v/>
      </c>
      <c r="AF1969">
        <f>IF($AE1969="","",IF(ISNUMBER(Sync!$P1969),IF(AND(Sync!$P1969&gt;=10000101,Sync!$P1969&lt;=99991231),INT(Sync!$P1969/10000),""),IFERROR(VALUE(TRIM(LEFT(Sync!$P1969,FIND("/",Sync!$P1969)-1))),"")))</f>
        <v/>
      </c>
      <c r="AG1969">
        <f>IF(OR($AE1969="",$AF1969=""),"",IF(ISNUMBER(Sync!$P1969),INT(MOD(Sync!$P1969,10000)/100),IFERROR(VALUE(TRIM(LEFT(MID(Sync!$P1969,FIND("/",Sync!$P1969)+1,20),FIND("/",MID(Sync!$P1969,FIND("/",Sync!$P1969)+1,20))-1))),"")))</f>
        <v/>
      </c>
      <c r="AH1969">
        <f>IF(OR($AE1969="",$AF1969=""),"",IF(ISNUMBER(Sync!$P1969),MOD(Sync!$P1969,100),IFERROR(VALUE(TRIM(MID(MID(Sync!$P1969,FIND("/",Sync!$P1969)+1,20),FIND("/",MID(Sync!$P1969,FIND("/",Sync!$P1969)+1,20))+1,20))),"")))</f>
        <v/>
      </c>
      <c r="AI1969">
        <f>IF($AE1969="","",IF(OR($AF1969="",$AG1969="",$AH1969="",$AF1969&lt;1300,$AF1969&gt;1500,$AG1969&lt;1,$AG1969&gt;12,$AH1969&lt;1,$AH1969&gt;31),"نامعتبر",RIGHT("0000"&amp;$AF1969,4)&amp;"/"&amp;RIGHT("00"&amp;$AG1969,2)&amp;"/"&amp;RIGHT("00"&amp;$AH1969,2)))</f>
        <v/>
      </c>
      <c r="AJ1969">
        <f>IF($AE1969="","",IF(Sync!$Q1969="","0000",IF(AND(ISNUMBER(Sync!$Q1969),Sync!$Q1969&gt;=0,Sync!$Q1969&lt;1),RIGHT("00"&amp;HOUR(Sync!$Q1969),2)&amp;RIGHT("00"&amp;MINUTE(Sync!$Q1969),2),IFERROR(RIGHT("00"&amp;VALUE(LEFT(Sync!$Q1969,FIND(":",Sync!$Q1969)-1)),2)&amp;RIGHT("00"&amp;VALUE(MID(Sync!$Q1969,FIND(":",Sync!$Q1969)+1,2)),2),"0000"))))</f>
        <v/>
      </c>
      <c r="AK1969">
        <f>IF(OR($AE1969="",$AI1969="",$AI1969="نامعتبر"),"",LEFT($AI1969,4)&amp;MID($AI1969,6,2)&amp;RIGHT($AI1969,2)&amp;$AJ1969&amp;"|"&amp;"3"&amp;RIGHT("00000"&amp;1964,5))</f>
        <v/>
      </c>
      <c r="AL1969">
        <f>IF($AK1969="","",COUNTIFS(LdAParty,$AE1969,LdAType,1,LdAKey,"&lt;"&amp;$AK1969)+COUNTIFS(LdBMember,$AE1969,LdBKey,"&lt;"&amp;$AK1969)+COUNTIFS(LdCParty,$AE1969,LdCKey,"&lt;"&amp;$AK1969)+1)</f>
        <v/>
      </c>
      <c r="AM1969">
        <f>IF($AL1969="","",$AE1969&amp;"|"&amp;RIGHT("000000"&amp;$AL1969,6))</f>
        <v/>
      </c>
      <c r="AN1969">
        <f>IF($AE1969="","",IF(Sync!$W1969="",0,Sync!$W1969))</f>
        <v/>
      </c>
      <c r="AO1969">
        <f>IF($AE1969="","",IF(Sync!$X1969="",0,Sync!$X1969))</f>
        <v/>
      </c>
      <c r="AP1969">
        <f>IF($AE1969="","",Sync!$R1969)</f>
        <v/>
      </c>
      <c r="AQ1969">
        <f>IF($AE1969="","",Sync!$Y1969)</f>
        <v/>
      </c>
    </row>
    <row r="1970">
      <c r="A1970">
        <f>IF(OR(Wages!$B1973="",Wages!$E1973=""),"",Wages!$E1973)</f>
        <v/>
      </c>
      <c r="B1970">
        <f>IF($A1970="","",IF(Wages!$C1973="دستمزد گروهی",2,1))</f>
        <v/>
      </c>
      <c r="C1970">
        <f>IF($A1970="","",IF(ISNUMBER(Wages!$B1973),IF(AND(Wages!$B1973&gt;=10000101,Wages!$B1973&lt;=99991231),INT(Wages!$B1973/10000),""),IFERROR(VALUE(TRIM(LEFT(Wages!$B1973,FIND("/",Wages!$B1973)-1))),"")))</f>
        <v/>
      </c>
      <c r="D1970">
        <f>IF(OR($A1970="",$C1970=""),"",IF(ISNUMBER(Wages!$B1973),INT(MOD(Wages!$B1973,10000)/100),IFERROR(VALUE(TRIM(LEFT(MID(Wages!$B1973,FIND("/",Wages!$B1973)+1,20),FIND("/",MID(Wages!$B1973,FIND("/",Wages!$B1973)+1,20))-1))),"")))</f>
        <v/>
      </c>
      <c r="E1970">
        <f>IF(OR($A1970="",$C1970=""),"",IF(ISNUMBER(Wages!$B1973),MOD(Wages!$B1973,100),IFERROR(VALUE(TRIM(MID(MID(Wages!$B1973,FIND("/",Wages!$B1973)+1,20),FIND("/",MID(Wages!$B1973,FIND("/",Wages!$B1973)+1,20))+1,20))),"")))</f>
        <v/>
      </c>
      <c r="F1970">
        <f>IF($A1970="","",IF(OR($C1970="",$D1970="",$E1970="",$C1970&lt;1300,$C1970&gt;1500,$D1970&lt;1,$D1970&gt;12,$E1970&lt;1,$E1970&gt;31),"نامعتبر",RIGHT("0000"&amp;$C1970,4)&amp;"/"&amp;RIGHT("00"&amp;$D1970,2)&amp;"/"&amp;RIGHT("00"&amp;$E1970,2)))</f>
        <v/>
      </c>
      <c r="G1970">
        <f>IF(OR($A1970="",$F1970="",$F1970="نامعتبر"),"",LEFT($F1970,4)&amp;MID($F1970,6,2)&amp;RIGHT($F1970,2)&amp;"0000"&amp;"|"&amp;"1"&amp;RIGHT("00000"&amp;1965,5))</f>
        <v/>
      </c>
      <c r="H1970">
        <f>IF(OR($B1970&lt;&gt;1,$G1970=""),"",COUNTIFS(LdAParty,$A1970,LdAType,1,LdAKey,"&lt;"&amp;$G1970)+COUNTIFS(LdBMember,$A1970,LdBKey,"&lt;"&amp;$G1970)+COUNTIFS(LdCParty,$A1970,LdCKey,"&lt;"&amp;$G1970)+1)</f>
        <v/>
      </c>
      <c r="I1970">
        <f>IF($H1970="","",$A1970&amp;"|"&amp;RIGHT("000000"&amp;$H1970,6))</f>
        <v/>
      </c>
      <c r="J1970">
        <f>IF(OR($B1970&lt;&gt;2,$G1970=""),"",COUNTIFS(LdAParty,$A1970,LdAType,2,LdAKey,"&lt;"&amp;$G1970)+1)</f>
        <v/>
      </c>
      <c r="K1970">
        <f>IF($J1970="","",$A1970&amp;"|"&amp;RIGHT("000000"&amp;$J1970,6))</f>
        <v/>
      </c>
      <c r="L1970">
        <f>IF($A1970="","",IF(Wages!$G1973="",0,Wages!$G1973))</f>
        <v/>
      </c>
      <c r="M1970">
        <f>IF($A1970="","",Wages!$J1973)</f>
        <v/>
      </c>
      <c r="N1970">
        <f>IF($A1970="","",Wages!$D1973)</f>
        <v/>
      </c>
      <c r="P1970">
        <f>IF(OR(Shares!$B1973="",Shares!$C1973=""),"",Shares!$C1973)</f>
        <v/>
      </c>
      <c r="Q1970">
        <f>IF($P1970="","",Shares!$B1973)</f>
        <v/>
      </c>
      <c r="R1970">
        <f>IF($P1970="","",IFERROR(INDEX(WageParty,MATCH($Q1970,WageIds,0)),""))</f>
        <v/>
      </c>
      <c r="S1970">
        <f>IF($P1970="","",IFERROR(INDEX($F$6:$F$2005,MATCH($Q1970,WageIds,0)),""))</f>
        <v/>
      </c>
      <c r="T1970">
        <f>IF(OR($P1970="",$S1970="",$S1970="نامعتبر"),"",LEFT($S1970,4)&amp;MID($S1970,6,2)&amp;RIGHT($S1970,2)&amp;"0000"&amp;"|"&amp;"2"&amp;RIGHT("00000"&amp;1965,5))</f>
        <v/>
      </c>
      <c r="U1970">
        <f>IF($T1970="","",COUNTIFS(LdAParty,$P1970,LdAType,1,LdAKey,"&lt;"&amp;$T1970)+COUNTIFS(LdBMember,$P1970,LdBKey,"&lt;"&amp;$T1970)+COUNTIFS(LdCParty,$P1970,LdCKey,"&lt;"&amp;$T1970)+1)</f>
        <v/>
      </c>
      <c r="V1970">
        <f>IF($U1970="","",$P1970&amp;"|"&amp;RIGHT("000000"&amp;$U1970,6))</f>
        <v/>
      </c>
      <c r="W1970">
        <f>IF($T1970="","",COUNTIFS(LdBGroup,$R1970,LdBKey,"&lt;"&amp;$T1970)+1)</f>
        <v/>
      </c>
      <c r="X1970">
        <f>IF($W1970="","",$R1970&amp;"|"&amp;RIGHT("000000"&amp;$W1970,6))</f>
        <v/>
      </c>
      <c r="Y1970">
        <f>IF($P1970="","",IF(Shares!$E1973="",0,Shares!$E1973))</f>
        <v/>
      </c>
      <c r="Z1970">
        <f>IF($P1970="","",Shares!$H1973)</f>
        <v/>
      </c>
      <c r="AE1970">
        <f>IF(OR(Sync!$S1970="",Sync!$P1970=""),"",Sync!$S1970)</f>
        <v/>
      </c>
      <c r="AF1970">
        <f>IF($AE1970="","",IF(ISNUMBER(Sync!$P1970),IF(AND(Sync!$P1970&gt;=10000101,Sync!$P1970&lt;=99991231),INT(Sync!$P1970/10000),""),IFERROR(VALUE(TRIM(LEFT(Sync!$P1970,FIND("/",Sync!$P1970)-1))),"")))</f>
        <v/>
      </c>
      <c r="AG1970">
        <f>IF(OR($AE1970="",$AF1970=""),"",IF(ISNUMBER(Sync!$P1970),INT(MOD(Sync!$P1970,10000)/100),IFERROR(VALUE(TRIM(LEFT(MID(Sync!$P1970,FIND("/",Sync!$P1970)+1,20),FIND("/",MID(Sync!$P1970,FIND("/",Sync!$P1970)+1,20))-1))),"")))</f>
        <v/>
      </c>
      <c r="AH1970">
        <f>IF(OR($AE1970="",$AF1970=""),"",IF(ISNUMBER(Sync!$P1970),MOD(Sync!$P1970,100),IFERROR(VALUE(TRIM(MID(MID(Sync!$P1970,FIND("/",Sync!$P1970)+1,20),FIND("/",MID(Sync!$P1970,FIND("/",Sync!$P1970)+1,20))+1,20))),"")))</f>
        <v/>
      </c>
      <c r="AI1970">
        <f>IF($AE1970="","",IF(OR($AF1970="",$AG1970="",$AH1970="",$AF1970&lt;1300,$AF1970&gt;1500,$AG1970&lt;1,$AG1970&gt;12,$AH1970&lt;1,$AH1970&gt;31),"نامعتبر",RIGHT("0000"&amp;$AF1970,4)&amp;"/"&amp;RIGHT("00"&amp;$AG1970,2)&amp;"/"&amp;RIGHT("00"&amp;$AH1970,2)))</f>
        <v/>
      </c>
      <c r="AJ1970">
        <f>IF($AE1970="","",IF(Sync!$Q1970="","0000",IF(AND(ISNUMBER(Sync!$Q1970),Sync!$Q1970&gt;=0,Sync!$Q1970&lt;1),RIGHT("00"&amp;HOUR(Sync!$Q1970),2)&amp;RIGHT("00"&amp;MINUTE(Sync!$Q1970),2),IFERROR(RIGHT("00"&amp;VALUE(LEFT(Sync!$Q1970,FIND(":",Sync!$Q1970)-1)),2)&amp;RIGHT("00"&amp;VALUE(MID(Sync!$Q1970,FIND(":",Sync!$Q1970)+1,2)),2),"0000"))))</f>
        <v/>
      </c>
      <c r="AK1970">
        <f>IF(OR($AE1970="",$AI1970="",$AI1970="نامعتبر"),"",LEFT($AI1970,4)&amp;MID($AI1970,6,2)&amp;RIGHT($AI1970,2)&amp;$AJ1970&amp;"|"&amp;"3"&amp;RIGHT("00000"&amp;1965,5))</f>
        <v/>
      </c>
      <c r="AL1970">
        <f>IF($AK1970="","",COUNTIFS(LdAParty,$AE1970,LdAType,1,LdAKey,"&lt;"&amp;$AK1970)+COUNTIFS(LdBMember,$AE1970,LdBKey,"&lt;"&amp;$AK1970)+COUNTIFS(LdCParty,$AE1970,LdCKey,"&lt;"&amp;$AK1970)+1)</f>
        <v/>
      </c>
      <c r="AM1970">
        <f>IF($AL1970="","",$AE1970&amp;"|"&amp;RIGHT("000000"&amp;$AL1970,6))</f>
        <v/>
      </c>
      <c r="AN1970">
        <f>IF($AE1970="","",IF(Sync!$W1970="",0,Sync!$W1970))</f>
        <v/>
      </c>
      <c r="AO1970">
        <f>IF($AE1970="","",IF(Sync!$X1970="",0,Sync!$X1970))</f>
        <v/>
      </c>
      <c r="AP1970">
        <f>IF($AE1970="","",Sync!$R1970)</f>
        <v/>
      </c>
      <c r="AQ1970">
        <f>IF($AE1970="","",Sync!$Y1970)</f>
        <v/>
      </c>
    </row>
    <row r="1971">
      <c r="A1971">
        <f>IF(OR(Wages!$B1974="",Wages!$E1974=""),"",Wages!$E1974)</f>
        <v/>
      </c>
      <c r="B1971">
        <f>IF($A1971="","",IF(Wages!$C1974="دستمزد گروهی",2,1))</f>
        <v/>
      </c>
      <c r="C1971">
        <f>IF($A1971="","",IF(ISNUMBER(Wages!$B1974),IF(AND(Wages!$B1974&gt;=10000101,Wages!$B1974&lt;=99991231),INT(Wages!$B1974/10000),""),IFERROR(VALUE(TRIM(LEFT(Wages!$B1974,FIND("/",Wages!$B1974)-1))),"")))</f>
        <v/>
      </c>
      <c r="D1971">
        <f>IF(OR($A1971="",$C1971=""),"",IF(ISNUMBER(Wages!$B1974),INT(MOD(Wages!$B1974,10000)/100),IFERROR(VALUE(TRIM(LEFT(MID(Wages!$B1974,FIND("/",Wages!$B1974)+1,20),FIND("/",MID(Wages!$B1974,FIND("/",Wages!$B1974)+1,20))-1))),"")))</f>
        <v/>
      </c>
      <c r="E1971">
        <f>IF(OR($A1971="",$C1971=""),"",IF(ISNUMBER(Wages!$B1974),MOD(Wages!$B1974,100),IFERROR(VALUE(TRIM(MID(MID(Wages!$B1974,FIND("/",Wages!$B1974)+1,20),FIND("/",MID(Wages!$B1974,FIND("/",Wages!$B1974)+1,20))+1,20))),"")))</f>
        <v/>
      </c>
      <c r="F1971">
        <f>IF($A1971="","",IF(OR($C1971="",$D1971="",$E1971="",$C1971&lt;1300,$C1971&gt;1500,$D1971&lt;1,$D1971&gt;12,$E1971&lt;1,$E1971&gt;31),"نامعتبر",RIGHT("0000"&amp;$C1971,4)&amp;"/"&amp;RIGHT("00"&amp;$D1971,2)&amp;"/"&amp;RIGHT("00"&amp;$E1971,2)))</f>
        <v/>
      </c>
      <c r="G1971">
        <f>IF(OR($A1971="",$F1971="",$F1971="نامعتبر"),"",LEFT($F1971,4)&amp;MID($F1971,6,2)&amp;RIGHT($F1971,2)&amp;"0000"&amp;"|"&amp;"1"&amp;RIGHT("00000"&amp;1966,5))</f>
        <v/>
      </c>
      <c r="H1971">
        <f>IF(OR($B1971&lt;&gt;1,$G1971=""),"",COUNTIFS(LdAParty,$A1971,LdAType,1,LdAKey,"&lt;"&amp;$G1971)+COUNTIFS(LdBMember,$A1971,LdBKey,"&lt;"&amp;$G1971)+COUNTIFS(LdCParty,$A1971,LdCKey,"&lt;"&amp;$G1971)+1)</f>
        <v/>
      </c>
      <c r="I1971">
        <f>IF($H1971="","",$A1971&amp;"|"&amp;RIGHT("000000"&amp;$H1971,6))</f>
        <v/>
      </c>
      <c r="J1971">
        <f>IF(OR($B1971&lt;&gt;2,$G1971=""),"",COUNTIFS(LdAParty,$A1971,LdAType,2,LdAKey,"&lt;"&amp;$G1971)+1)</f>
        <v/>
      </c>
      <c r="K1971">
        <f>IF($J1971="","",$A1971&amp;"|"&amp;RIGHT("000000"&amp;$J1971,6))</f>
        <v/>
      </c>
      <c r="L1971">
        <f>IF($A1971="","",IF(Wages!$G1974="",0,Wages!$G1974))</f>
        <v/>
      </c>
      <c r="M1971">
        <f>IF($A1971="","",Wages!$J1974)</f>
        <v/>
      </c>
      <c r="N1971">
        <f>IF($A1971="","",Wages!$D1974)</f>
        <v/>
      </c>
      <c r="P1971">
        <f>IF(OR(Shares!$B1974="",Shares!$C1974=""),"",Shares!$C1974)</f>
        <v/>
      </c>
      <c r="Q1971">
        <f>IF($P1971="","",Shares!$B1974)</f>
        <v/>
      </c>
      <c r="R1971">
        <f>IF($P1971="","",IFERROR(INDEX(WageParty,MATCH($Q1971,WageIds,0)),""))</f>
        <v/>
      </c>
      <c r="S1971">
        <f>IF($P1971="","",IFERROR(INDEX($F$6:$F$2005,MATCH($Q1971,WageIds,0)),""))</f>
        <v/>
      </c>
      <c r="T1971">
        <f>IF(OR($P1971="",$S1971="",$S1971="نامعتبر"),"",LEFT($S1971,4)&amp;MID($S1971,6,2)&amp;RIGHT($S1971,2)&amp;"0000"&amp;"|"&amp;"2"&amp;RIGHT("00000"&amp;1966,5))</f>
        <v/>
      </c>
      <c r="U1971">
        <f>IF($T1971="","",COUNTIFS(LdAParty,$P1971,LdAType,1,LdAKey,"&lt;"&amp;$T1971)+COUNTIFS(LdBMember,$P1971,LdBKey,"&lt;"&amp;$T1971)+COUNTIFS(LdCParty,$P1971,LdCKey,"&lt;"&amp;$T1971)+1)</f>
        <v/>
      </c>
      <c r="V1971">
        <f>IF($U1971="","",$P1971&amp;"|"&amp;RIGHT("000000"&amp;$U1971,6))</f>
        <v/>
      </c>
      <c r="W1971">
        <f>IF($T1971="","",COUNTIFS(LdBGroup,$R1971,LdBKey,"&lt;"&amp;$T1971)+1)</f>
        <v/>
      </c>
      <c r="X1971">
        <f>IF($W1971="","",$R1971&amp;"|"&amp;RIGHT("000000"&amp;$W1971,6))</f>
        <v/>
      </c>
      <c r="Y1971">
        <f>IF($P1971="","",IF(Shares!$E1974="",0,Shares!$E1974))</f>
        <v/>
      </c>
      <c r="Z1971">
        <f>IF($P1971="","",Shares!$H1974)</f>
        <v/>
      </c>
      <c r="AE1971">
        <f>IF(OR(Sync!$S1971="",Sync!$P1971=""),"",Sync!$S1971)</f>
        <v/>
      </c>
      <c r="AF1971">
        <f>IF($AE1971="","",IF(ISNUMBER(Sync!$P1971),IF(AND(Sync!$P1971&gt;=10000101,Sync!$P1971&lt;=99991231),INT(Sync!$P1971/10000),""),IFERROR(VALUE(TRIM(LEFT(Sync!$P1971,FIND("/",Sync!$P1971)-1))),"")))</f>
        <v/>
      </c>
      <c r="AG1971">
        <f>IF(OR($AE1971="",$AF1971=""),"",IF(ISNUMBER(Sync!$P1971),INT(MOD(Sync!$P1971,10000)/100),IFERROR(VALUE(TRIM(LEFT(MID(Sync!$P1971,FIND("/",Sync!$P1971)+1,20),FIND("/",MID(Sync!$P1971,FIND("/",Sync!$P1971)+1,20))-1))),"")))</f>
        <v/>
      </c>
      <c r="AH1971">
        <f>IF(OR($AE1971="",$AF1971=""),"",IF(ISNUMBER(Sync!$P1971),MOD(Sync!$P1971,100),IFERROR(VALUE(TRIM(MID(MID(Sync!$P1971,FIND("/",Sync!$P1971)+1,20),FIND("/",MID(Sync!$P1971,FIND("/",Sync!$P1971)+1,20))+1,20))),"")))</f>
        <v/>
      </c>
      <c r="AI1971">
        <f>IF($AE1971="","",IF(OR($AF1971="",$AG1971="",$AH1971="",$AF1971&lt;1300,$AF1971&gt;1500,$AG1971&lt;1,$AG1971&gt;12,$AH1971&lt;1,$AH1971&gt;31),"نامعتبر",RIGHT("0000"&amp;$AF1971,4)&amp;"/"&amp;RIGHT("00"&amp;$AG1971,2)&amp;"/"&amp;RIGHT("00"&amp;$AH1971,2)))</f>
        <v/>
      </c>
      <c r="AJ1971">
        <f>IF($AE1971="","",IF(Sync!$Q1971="","0000",IF(AND(ISNUMBER(Sync!$Q1971),Sync!$Q1971&gt;=0,Sync!$Q1971&lt;1),RIGHT("00"&amp;HOUR(Sync!$Q1971),2)&amp;RIGHT("00"&amp;MINUTE(Sync!$Q1971),2),IFERROR(RIGHT("00"&amp;VALUE(LEFT(Sync!$Q1971,FIND(":",Sync!$Q1971)-1)),2)&amp;RIGHT("00"&amp;VALUE(MID(Sync!$Q1971,FIND(":",Sync!$Q1971)+1,2)),2),"0000"))))</f>
        <v/>
      </c>
      <c r="AK1971">
        <f>IF(OR($AE1971="",$AI1971="",$AI1971="نامعتبر"),"",LEFT($AI1971,4)&amp;MID($AI1971,6,2)&amp;RIGHT($AI1971,2)&amp;$AJ1971&amp;"|"&amp;"3"&amp;RIGHT("00000"&amp;1966,5))</f>
        <v/>
      </c>
      <c r="AL1971">
        <f>IF($AK1971="","",COUNTIFS(LdAParty,$AE1971,LdAType,1,LdAKey,"&lt;"&amp;$AK1971)+COUNTIFS(LdBMember,$AE1971,LdBKey,"&lt;"&amp;$AK1971)+COUNTIFS(LdCParty,$AE1971,LdCKey,"&lt;"&amp;$AK1971)+1)</f>
        <v/>
      </c>
      <c r="AM1971">
        <f>IF($AL1971="","",$AE1971&amp;"|"&amp;RIGHT("000000"&amp;$AL1971,6))</f>
        <v/>
      </c>
      <c r="AN1971">
        <f>IF($AE1971="","",IF(Sync!$W1971="",0,Sync!$W1971))</f>
        <v/>
      </c>
      <c r="AO1971">
        <f>IF($AE1971="","",IF(Sync!$X1971="",0,Sync!$X1971))</f>
        <v/>
      </c>
      <c r="AP1971">
        <f>IF($AE1971="","",Sync!$R1971)</f>
        <v/>
      </c>
      <c r="AQ1971">
        <f>IF($AE1971="","",Sync!$Y1971)</f>
        <v/>
      </c>
    </row>
    <row r="1972">
      <c r="A1972">
        <f>IF(OR(Wages!$B1975="",Wages!$E1975=""),"",Wages!$E1975)</f>
        <v/>
      </c>
      <c r="B1972">
        <f>IF($A1972="","",IF(Wages!$C1975="دستمزد گروهی",2,1))</f>
        <v/>
      </c>
      <c r="C1972">
        <f>IF($A1972="","",IF(ISNUMBER(Wages!$B1975),IF(AND(Wages!$B1975&gt;=10000101,Wages!$B1975&lt;=99991231),INT(Wages!$B1975/10000),""),IFERROR(VALUE(TRIM(LEFT(Wages!$B1975,FIND("/",Wages!$B1975)-1))),"")))</f>
        <v/>
      </c>
      <c r="D1972">
        <f>IF(OR($A1972="",$C1972=""),"",IF(ISNUMBER(Wages!$B1975),INT(MOD(Wages!$B1975,10000)/100),IFERROR(VALUE(TRIM(LEFT(MID(Wages!$B1975,FIND("/",Wages!$B1975)+1,20),FIND("/",MID(Wages!$B1975,FIND("/",Wages!$B1975)+1,20))-1))),"")))</f>
        <v/>
      </c>
      <c r="E1972">
        <f>IF(OR($A1972="",$C1972=""),"",IF(ISNUMBER(Wages!$B1975),MOD(Wages!$B1975,100),IFERROR(VALUE(TRIM(MID(MID(Wages!$B1975,FIND("/",Wages!$B1975)+1,20),FIND("/",MID(Wages!$B1975,FIND("/",Wages!$B1975)+1,20))+1,20))),"")))</f>
        <v/>
      </c>
      <c r="F1972">
        <f>IF($A1972="","",IF(OR($C1972="",$D1972="",$E1972="",$C1972&lt;1300,$C1972&gt;1500,$D1972&lt;1,$D1972&gt;12,$E1972&lt;1,$E1972&gt;31),"نامعتبر",RIGHT("0000"&amp;$C1972,4)&amp;"/"&amp;RIGHT("00"&amp;$D1972,2)&amp;"/"&amp;RIGHT("00"&amp;$E1972,2)))</f>
        <v/>
      </c>
      <c r="G1972">
        <f>IF(OR($A1972="",$F1972="",$F1972="نامعتبر"),"",LEFT($F1972,4)&amp;MID($F1972,6,2)&amp;RIGHT($F1972,2)&amp;"0000"&amp;"|"&amp;"1"&amp;RIGHT("00000"&amp;1967,5))</f>
        <v/>
      </c>
      <c r="H1972">
        <f>IF(OR($B1972&lt;&gt;1,$G1972=""),"",COUNTIFS(LdAParty,$A1972,LdAType,1,LdAKey,"&lt;"&amp;$G1972)+COUNTIFS(LdBMember,$A1972,LdBKey,"&lt;"&amp;$G1972)+COUNTIFS(LdCParty,$A1972,LdCKey,"&lt;"&amp;$G1972)+1)</f>
        <v/>
      </c>
      <c r="I1972">
        <f>IF($H1972="","",$A1972&amp;"|"&amp;RIGHT("000000"&amp;$H1972,6))</f>
        <v/>
      </c>
      <c r="J1972">
        <f>IF(OR($B1972&lt;&gt;2,$G1972=""),"",COUNTIFS(LdAParty,$A1972,LdAType,2,LdAKey,"&lt;"&amp;$G1972)+1)</f>
        <v/>
      </c>
      <c r="K1972">
        <f>IF($J1972="","",$A1972&amp;"|"&amp;RIGHT("000000"&amp;$J1972,6))</f>
        <v/>
      </c>
      <c r="L1972">
        <f>IF($A1972="","",IF(Wages!$G1975="",0,Wages!$G1975))</f>
        <v/>
      </c>
      <c r="M1972">
        <f>IF($A1972="","",Wages!$J1975)</f>
        <v/>
      </c>
      <c r="N1972">
        <f>IF($A1972="","",Wages!$D1975)</f>
        <v/>
      </c>
      <c r="P1972">
        <f>IF(OR(Shares!$B1975="",Shares!$C1975=""),"",Shares!$C1975)</f>
        <v/>
      </c>
      <c r="Q1972">
        <f>IF($P1972="","",Shares!$B1975)</f>
        <v/>
      </c>
      <c r="R1972">
        <f>IF($P1972="","",IFERROR(INDEX(WageParty,MATCH($Q1972,WageIds,0)),""))</f>
        <v/>
      </c>
      <c r="S1972">
        <f>IF($P1972="","",IFERROR(INDEX($F$6:$F$2005,MATCH($Q1972,WageIds,0)),""))</f>
        <v/>
      </c>
      <c r="T1972">
        <f>IF(OR($P1972="",$S1972="",$S1972="نامعتبر"),"",LEFT($S1972,4)&amp;MID($S1972,6,2)&amp;RIGHT($S1972,2)&amp;"0000"&amp;"|"&amp;"2"&amp;RIGHT("00000"&amp;1967,5))</f>
        <v/>
      </c>
      <c r="U1972">
        <f>IF($T1972="","",COUNTIFS(LdAParty,$P1972,LdAType,1,LdAKey,"&lt;"&amp;$T1972)+COUNTIFS(LdBMember,$P1972,LdBKey,"&lt;"&amp;$T1972)+COUNTIFS(LdCParty,$P1972,LdCKey,"&lt;"&amp;$T1972)+1)</f>
        <v/>
      </c>
      <c r="V1972">
        <f>IF($U1972="","",$P1972&amp;"|"&amp;RIGHT("000000"&amp;$U1972,6))</f>
        <v/>
      </c>
      <c r="W1972">
        <f>IF($T1972="","",COUNTIFS(LdBGroup,$R1972,LdBKey,"&lt;"&amp;$T1972)+1)</f>
        <v/>
      </c>
      <c r="X1972">
        <f>IF($W1972="","",$R1972&amp;"|"&amp;RIGHT("000000"&amp;$W1972,6))</f>
        <v/>
      </c>
      <c r="Y1972">
        <f>IF($P1972="","",IF(Shares!$E1975="",0,Shares!$E1975))</f>
        <v/>
      </c>
      <c r="Z1972">
        <f>IF($P1972="","",Shares!$H1975)</f>
        <v/>
      </c>
      <c r="AE1972">
        <f>IF(OR(Sync!$S1972="",Sync!$P1972=""),"",Sync!$S1972)</f>
        <v/>
      </c>
      <c r="AF1972">
        <f>IF($AE1972="","",IF(ISNUMBER(Sync!$P1972),IF(AND(Sync!$P1972&gt;=10000101,Sync!$P1972&lt;=99991231),INT(Sync!$P1972/10000),""),IFERROR(VALUE(TRIM(LEFT(Sync!$P1972,FIND("/",Sync!$P1972)-1))),"")))</f>
        <v/>
      </c>
      <c r="AG1972">
        <f>IF(OR($AE1972="",$AF1972=""),"",IF(ISNUMBER(Sync!$P1972),INT(MOD(Sync!$P1972,10000)/100),IFERROR(VALUE(TRIM(LEFT(MID(Sync!$P1972,FIND("/",Sync!$P1972)+1,20),FIND("/",MID(Sync!$P1972,FIND("/",Sync!$P1972)+1,20))-1))),"")))</f>
        <v/>
      </c>
      <c r="AH1972">
        <f>IF(OR($AE1972="",$AF1972=""),"",IF(ISNUMBER(Sync!$P1972),MOD(Sync!$P1972,100),IFERROR(VALUE(TRIM(MID(MID(Sync!$P1972,FIND("/",Sync!$P1972)+1,20),FIND("/",MID(Sync!$P1972,FIND("/",Sync!$P1972)+1,20))+1,20))),"")))</f>
        <v/>
      </c>
      <c r="AI1972">
        <f>IF($AE1972="","",IF(OR($AF1972="",$AG1972="",$AH1972="",$AF1972&lt;1300,$AF1972&gt;1500,$AG1972&lt;1,$AG1972&gt;12,$AH1972&lt;1,$AH1972&gt;31),"نامعتبر",RIGHT("0000"&amp;$AF1972,4)&amp;"/"&amp;RIGHT("00"&amp;$AG1972,2)&amp;"/"&amp;RIGHT("00"&amp;$AH1972,2)))</f>
        <v/>
      </c>
      <c r="AJ1972">
        <f>IF($AE1972="","",IF(Sync!$Q1972="","0000",IF(AND(ISNUMBER(Sync!$Q1972),Sync!$Q1972&gt;=0,Sync!$Q1972&lt;1),RIGHT("00"&amp;HOUR(Sync!$Q1972),2)&amp;RIGHT("00"&amp;MINUTE(Sync!$Q1972),2),IFERROR(RIGHT("00"&amp;VALUE(LEFT(Sync!$Q1972,FIND(":",Sync!$Q1972)-1)),2)&amp;RIGHT("00"&amp;VALUE(MID(Sync!$Q1972,FIND(":",Sync!$Q1972)+1,2)),2),"0000"))))</f>
        <v/>
      </c>
      <c r="AK1972">
        <f>IF(OR($AE1972="",$AI1972="",$AI1972="نامعتبر"),"",LEFT($AI1972,4)&amp;MID($AI1972,6,2)&amp;RIGHT($AI1972,2)&amp;$AJ1972&amp;"|"&amp;"3"&amp;RIGHT("00000"&amp;1967,5))</f>
        <v/>
      </c>
      <c r="AL1972">
        <f>IF($AK1972="","",COUNTIFS(LdAParty,$AE1972,LdAType,1,LdAKey,"&lt;"&amp;$AK1972)+COUNTIFS(LdBMember,$AE1972,LdBKey,"&lt;"&amp;$AK1972)+COUNTIFS(LdCParty,$AE1972,LdCKey,"&lt;"&amp;$AK1972)+1)</f>
        <v/>
      </c>
      <c r="AM1972">
        <f>IF($AL1972="","",$AE1972&amp;"|"&amp;RIGHT("000000"&amp;$AL1972,6))</f>
        <v/>
      </c>
      <c r="AN1972">
        <f>IF($AE1972="","",IF(Sync!$W1972="",0,Sync!$W1972))</f>
        <v/>
      </c>
      <c r="AO1972">
        <f>IF($AE1972="","",IF(Sync!$X1972="",0,Sync!$X1972))</f>
        <v/>
      </c>
      <c r="AP1972">
        <f>IF($AE1972="","",Sync!$R1972)</f>
        <v/>
      </c>
      <c r="AQ1972">
        <f>IF($AE1972="","",Sync!$Y1972)</f>
        <v/>
      </c>
    </row>
    <row r="1973">
      <c r="A1973">
        <f>IF(OR(Wages!$B1976="",Wages!$E1976=""),"",Wages!$E1976)</f>
        <v/>
      </c>
      <c r="B1973">
        <f>IF($A1973="","",IF(Wages!$C1976="دستمزد گروهی",2,1))</f>
        <v/>
      </c>
      <c r="C1973">
        <f>IF($A1973="","",IF(ISNUMBER(Wages!$B1976),IF(AND(Wages!$B1976&gt;=10000101,Wages!$B1976&lt;=99991231),INT(Wages!$B1976/10000),""),IFERROR(VALUE(TRIM(LEFT(Wages!$B1976,FIND("/",Wages!$B1976)-1))),"")))</f>
        <v/>
      </c>
      <c r="D1973">
        <f>IF(OR($A1973="",$C1973=""),"",IF(ISNUMBER(Wages!$B1976),INT(MOD(Wages!$B1976,10000)/100),IFERROR(VALUE(TRIM(LEFT(MID(Wages!$B1976,FIND("/",Wages!$B1976)+1,20),FIND("/",MID(Wages!$B1976,FIND("/",Wages!$B1976)+1,20))-1))),"")))</f>
        <v/>
      </c>
      <c r="E1973">
        <f>IF(OR($A1973="",$C1973=""),"",IF(ISNUMBER(Wages!$B1976),MOD(Wages!$B1976,100),IFERROR(VALUE(TRIM(MID(MID(Wages!$B1976,FIND("/",Wages!$B1976)+1,20),FIND("/",MID(Wages!$B1976,FIND("/",Wages!$B1976)+1,20))+1,20))),"")))</f>
        <v/>
      </c>
      <c r="F1973">
        <f>IF($A1973="","",IF(OR($C1973="",$D1973="",$E1973="",$C1973&lt;1300,$C1973&gt;1500,$D1973&lt;1,$D1973&gt;12,$E1973&lt;1,$E1973&gt;31),"نامعتبر",RIGHT("0000"&amp;$C1973,4)&amp;"/"&amp;RIGHT("00"&amp;$D1973,2)&amp;"/"&amp;RIGHT("00"&amp;$E1973,2)))</f>
        <v/>
      </c>
      <c r="G1973">
        <f>IF(OR($A1973="",$F1973="",$F1973="نامعتبر"),"",LEFT($F1973,4)&amp;MID($F1973,6,2)&amp;RIGHT($F1973,2)&amp;"0000"&amp;"|"&amp;"1"&amp;RIGHT("00000"&amp;1968,5))</f>
        <v/>
      </c>
      <c r="H1973">
        <f>IF(OR($B1973&lt;&gt;1,$G1973=""),"",COUNTIFS(LdAParty,$A1973,LdAType,1,LdAKey,"&lt;"&amp;$G1973)+COUNTIFS(LdBMember,$A1973,LdBKey,"&lt;"&amp;$G1973)+COUNTIFS(LdCParty,$A1973,LdCKey,"&lt;"&amp;$G1973)+1)</f>
        <v/>
      </c>
      <c r="I1973">
        <f>IF($H1973="","",$A1973&amp;"|"&amp;RIGHT("000000"&amp;$H1973,6))</f>
        <v/>
      </c>
      <c r="J1973">
        <f>IF(OR($B1973&lt;&gt;2,$G1973=""),"",COUNTIFS(LdAParty,$A1973,LdAType,2,LdAKey,"&lt;"&amp;$G1973)+1)</f>
        <v/>
      </c>
      <c r="K1973">
        <f>IF($J1973="","",$A1973&amp;"|"&amp;RIGHT("000000"&amp;$J1973,6))</f>
        <v/>
      </c>
      <c r="L1973">
        <f>IF($A1973="","",IF(Wages!$G1976="",0,Wages!$G1976))</f>
        <v/>
      </c>
      <c r="M1973">
        <f>IF($A1973="","",Wages!$J1976)</f>
        <v/>
      </c>
      <c r="N1973">
        <f>IF($A1973="","",Wages!$D1976)</f>
        <v/>
      </c>
      <c r="P1973">
        <f>IF(OR(Shares!$B1976="",Shares!$C1976=""),"",Shares!$C1976)</f>
        <v/>
      </c>
      <c r="Q1973">
        <f>IF($P1973="","",Shares!$B1976)</f>
        <v/>
      </c>
      <c r="R1973">
        <f>IF($P1973="","",IFERROR(INDEX(WageParty,MATCH($Q1973,WageIds,0)),""))</f>
        <v/>
      </c>
      <c r="S1973">
        <f>IF($P1973="","",IFERROR(INDEX($F$6:$F$2005,MATCH($Q1973,WageIds,0)),""))</f>
        <v/>
      </c>
      <c r="T1973">
        <f>IF(OR($P1973="",$S1973="",$S1973="نامعتبر"),"",LEFT($S1973,4)&amp;MID($S1973,6,2)&amp;RIGHT($S1973,2)&amp;"0000"&amp;"|"&amp;"2"&amp;RIGHT("00000"&amp;1968,5))</f>
        <v/>
      </c>
      <c r="U1973">
        <f>IF($T1973="","",COUNTIFS(LdAParty,$P1973,LdAType,1,LdAKey,"&lt;"&amp;$T1973)+COUNTIFS(LdBMember,$P1973,LdBKey,"&lt;"&amp;$T1973)+COUNTIFS(LdCParty,$P1973,LdCKey,"&lt;"&amp;$T1973)+1)</f>
        <v/>
      </c>
      <c r="V1973">
        <f>IF($U1973="","",$P1973&amp;"|"&amp;RIGHT("000000"&amp;$U1973,6))</f>
        <v/>
      </c>
      <c r="W1973">
        <f>IF($T1973="","",COUNTIFS(LdBGroup,$R1973,LdBKey,"&lt;"&amp;$T1973)+1)</f>
        <v/>
      </c>
      <c r="X1973">
        <f>IF($W1973="","",$R1973&amp;"|"&amp;RIGHT("000000"&amp;$W1973,6))</f>
        <v/>
      </c>
      <c r="Y1973">
        <f>IF($P1973="","",IF(Shares!$E1976="",0,Shares!$E1976))</f>
        <v/>
      </c>
      <c r="Z1973">
        <f>IF($P1973="","",Shares!$H1976)</f>
        <v/>
      </c>
      <c r="AE1973">
        <f>IF(OR(Sync!$S1973="",Sync!$P1973=""),"",Sync!$S1973)</f>
        <v/>
      </c>
      <c r="AF1973">
        <f>IF($AE1973="","",IF(ISNUMBER(Sync!$P1973),IF(AND(Sync!$P1973&gt;=10000101,Sync!$P1973&lt;=99991231),INT(Sync!$P1973/10000),""),IFERROR(VALUE(TRIM(LEFT(Sync!$P1973,FIND("/",Sync!$P1973)-1))),"")))</f>
        <v/>
      </c>
      <c r="AG1973">
        <f>IF(OR($AE1973="",$AF1973=""),"",IF(ISNUMBER(Sync!$P1973),INT(MOD(Sync!$P1973,10000)/100),IFERROR(VALUE(TRIM(LEFT(MID(Sync!$P1973,FIND("/",Sync!$P1973)+1,20),FIND("/",MID(Sync!$P1973,FIND("/",Sync!$P1973)+1,20))-1))),"")))</f>
        <v/>
      </c>
      <c r="AH1973">
        <f>IF(OR($AE1973="",$AF1973=""),"",IF(ISNUMBER(Sync!$P1973),MOD(Sync!$P1973,100),IFERROR(VALUE(TRIM(MID(MID(Sync!$P1973,FIND("/",Sync!$P1973)+1,20),FIND("/",MID(Sync!$P1973,FIND("/",Sync!$P1973)+1,20))+1,20))),"")))</f>
        <v/>
      </c>
      <c r="AI1973">
        <f>IF($AE1973="","",IF(OR($AF1973="",$AG1973="",$AH1973="",$AF1973&lt;1300,$AF1973&gt;1500,$AG1973&lt;1,$AG1973&gt;12,$AH1973&lt;1,$AH1973&gt;31),"نامعتبر",RIGHT("0000"&amp;$AF1973,4)&amp;"/"&amp;RIGHT("00"&amp;$AG1973,2)&amp;"/"&amp;RIGHT("00"&amp;$AH1973,2)))</f>
        <v/>
      </c>
      <c r="AJ1973">
        <f>IF($AE1973="","",IF(Sync!$Q1973="","0000",IF(AND(ISNUMBER(Sync!$Q1973),Sync!$Q1973&gt;=0,Sync!$Q1973&lt;1),RIGHT("00"&amp;HOUR(Sync!$Q1973),2)&amp;RIGHT("00"&amp;MINUTE(Sync!$Q1973),2),IFERROR(RIGHT("00"&amp;VALUE(LEFT(Sync!$Q1973,FIND(":",Sync!$Q1973)-1)),2)&amp;RIGHT("00"&amp;VALUE(MID(Sync!$Q1973,FIND(":",Sync!$Q1973)+1,2)),2),"0000"))))</f>
        <v/>
      </c>
      <c r="AK1973">
        <f>IF(OR($AE1973="",$AI1973="",$AI1973="نامعتبر"),"",LEFT($AI1973,4)&amp;MID($AI1973,6,2)&amp;RIGHT($AI1973,2)&amp;$AJ1973&amp;"|"&amp;"3"&amp;RIGHT("00000"&amp;1968,5))</f>
        <v/>
      </c>
      <c r="AL1973">
        <f>IF($AK1973="","",COUNTIFS(LdAParty,$AE1973,LdAType,1,LdAKey,"&lt;"&amp;$AK1973)+COUNTIFS(LdBMember,$AE1973,LdBKey,"&lt;"&amp;$AK1973)+COUNTIFS(LdCParty,$AE1973,LdCKey,"&lt;"&amp;$AK1973)+1)</f>
        <v/>
      </c>
      <c r="AM1973">
        <f>IF($AL1973="","",$AE1973&amp;"|"&amp;RIGHT("000000"&amp;$AL1973,6))</f>
        <v/>
      </c>
      <c r="AN1973">
        <f>IF($AE1973="","",IF(Sync!$W1973="",0,Sync!$W1973))</f>
        <v/>
      </c>
      <c r="AO1973">
        <f>IF($AE1973="","",IF(Sync!$X1973="",0,Sync!$X1973))</f>
        <v/>
      </c>
      <c r="AP1973">
        <f>IF($AE1973="","",Sync!$R1973)</f>
        <v/>
      </c>
      <c r="AQ1973">
        <f>IF($AE1973="","",Sync!$Y1973)</f>
        <v/>
      </c>
    </row>
    <row r="1974">
      <c r="A1974">
        <f>IF(OR(Wages!$B1977="",Wages!$E1977=""),"",Wages!$E1977)</f>
        <v/>
      </c>
      <c r="B1974">
        <f>IF($A1974="","",IF(Wages!$C1977="دستمزد گروهی",2,1))</f>
        <v/>
      </c>
      <c r="C1974">
        <f>IF($A1974="","",IF(ISNUMBER(Wages!$B1977),IF(AND(Wages!$B1977&gt;=10000101,Wages!$B1977&lt;=99991231),INT(Wages!$B1977/10000),""),IFERROR(VALUE(TRIM(LEFT(Wages!$B1977,FIND("/",Wages!$B1977)-1))),"")))</f>
        <v/>
      </c>
      <c r="D1974">
        <f>IF(OR($A1974="",$C1974=""),"",IF(ISNUMBER(Wages!$B1977),INT(MOD(Wages!$B1977,10000)/100),IFERROR(VALUE(TRIM(LEFT(MID(Wages!$B1977,FIND("/",Wages!$B1977)+1,20),FIND("/",MID(Wages!$B1977,FIND("/",Wages!$B1977)+1,20))-1))),"")))</f>
        <v/>
      </c>
      <c r="E1974">
        <f>IF(OR($A1974="",$C1974=""),"",IF(ISNUMBER(Wages!$B1977),MOD(Wages!$B1977,100),IFERROR(VALUE(TRIM(MID(MID(Wages!$B1977,FIND("/",Wages!$B1977)+1,20),FIND("/",MID(Wages!$B1977,FIND("/",Wages!$B1977)+1,20))+1,20))),"")))</f>
        <v/>
      </c>
      <c r="F1974">
        <f>IF($A1974="","",IF(OR($C1974="",$D1974="",$E1974="",$C1974&lt;1300,$C1974&gt;1500,$D1974&lt;1,$D1974&gt;12,$E1974&lt;1,$E1974&gt;31),"نامعتبر",RIGHT("0000"&amp;$C1974,4)&amp;"/"&amp;RIGHT("00"&amp;$D1974,2)&amp;"/"&amp;RIGHT("00"&amp;$E1974,2)))</f>
        <v/>
      </c>
      <c r="G1974">
        <f>IF(OR($A1974="",$F1974="",$F1974="نامعتبر"),"",LEFT($F1974,4)&amp;MID($F1974,6,2)&amp;RIGHT($F1974,2)&amp;"0000"&amp;"|"&amp;"1"&amp;RIGHT("00000"&amp;1969,5))</f>
        <v/>
      </c>
      <c r="H1974">
        <f>IF(OR($B1974&lt;&gt;1,$G1974=""),"",COUNTIFS(LdAParty,$A1974,LdAType,1,LdAKey,"&lt;"&amp;$G1974)+COUNTIFS(LdBMember,$A1974,LdBKey,"&lt;"&amp;$G1974)+COUNTIFS(LdCParty,$A1974,LdCKey,"&lt;"&amp;$G1974)+1)</f>
        <v/>
      </c>
      <c r="I1974">
        <f>IF($H1974="","",$A1974&amp;"|"&amp;RIGHT("000000"&amp;$H1974,6))</f>
        <v/>
      </c>
      <c r="J1974">
        <f>IF(OR($B1974&lt;&gt;2,$G1974=""),"",COUNTIFS(LdAParty,$A1974,LdAType,2,LdAKey,"&lt;"&amp;$G1974)+1)</f>
        <v/>
      </c>
      <c r="K1974">
        <f>IF($J1974="","",$A1974&amp;"|"&amp;RIGHT("000000"&amp;$J1974,6))</f>
        <v/>
      </c>
      <c r="L1974">
        <f>IF($A1974="","",IF(Wages!$G1977="",0,Wages!$G1977))</f>
        <v/>
      </c>
      <c r="M1974">
        <f>IF($A1974="","",Wages!$J1977)</f>
        <v/>
      </c>
      <c r="N1974">
        <f>IF($A1974="","",Wages!$D1977)</f>
        <v/>
      </c>
      <c r="P1974">
        <f>IF(OR(Shares!$B1977="",Shares!$C1977=""),"",Shares!$C1977)</f>
        <v/>
      </c>
      <c r="Q1974">
        <f>IF($P1974="","",Shares!$B1977)</f>
        <v/>
      </c>
      <c r="R1974">
        <f>IF($P1974="","",IFERROR(INDEX(WageParty,MATCH($Q1974,WageIds,0)),""))</f>
        <v/>
      </c>
      <c r="S1974">
        <f>IF($P1974="","",IFERROR(INDEX($F$6:$F$2005,MATCH($Q1974,WageIds,0)),""))</f>
        <v/>
      </c>
      <c r="T1974">
        <f>IF(OR($P1974="",$S1974="",$S1974="نامعتبر"),"",LEFT($S1974,4)&amp;MID($S1974,6,2)&amp;RIGHT($S1974,2)&amp;"0000"&amp;"|"&amp;"2"&amp;RIGHT("00000"&amp;1969,5))</f>
        <v/>
      </c>
      <c r="U1974">
        <f>IF($T1974="","",COUNTIFS(LdAParty,$P1974,LdAType,1,LdAKey,"&lt;"&amp;$T1974)+COUNTIFS(LdBMember,$P1974,LdBKey,"&lt;"&amp;$T1974)+COUNTIFS(LdCParty,$P1974,LdCKey,"&lt;"&amp;$T1974)+1)</f>
        <v/>
      </c>
      <c r="V1974">
        <f>IF($U1974="","",$P1974&amp;"|"&amp;RIGHT("000000"&amp;$U1974,6))</f>
        <v/>
      </c>
      <c r="W1974">
        <f>IF($T1974="","",COUNTIFS(LdBGroup,$R1974,LdBKey,"&lt;"&amp;$T1974)+1)</f>
        <v/>
      </c>
      <c r="X1974">
        <f>IF($W1974="","",$R1974&amp;"|"&amp;RIGHT("000000"&amp;$W1974,6))</f>
        <v/>
      </c>
      <c r="Y1974">
        <f>IF($P1974="","",IF(Shares!$E1977="",0,Shares!$E1977))</f>
        <v/>
      </c>
      <c r="Z1974">
        <f>IF($P1974="","",Shares!$H1977)</f>
        <v/>
      </c>
      <c r="AE1974">
        <f>IF(OR(Sync!$S1974="",Sync!$P1974=""),"",Sync!$S1974)</f>
        <v/>
      </c>
      <c r="AF1974">
        <f>IF($AE1974="","",IF(ISNUMBER(Sync!$P1974),IF(AND(Sync!$P1974&gt;=10000101,Sync!$P1974&lt;=99991231),INT(Sync!$P1974/10000),""),IFERROR(VALUE(TRIM(LEFT(Sync!$P1974,FIND("/",Sync!$P1974)-1))),"")))</f>
        <v/>
      </c>
      <c r="AG1974">
        <f>IF(OR($AE1974="",$AF1974=""),"",IF(ISNUMBER(Sync!$P1974),INT(MOD(Sync!$P1974,10000)/100),IFERROR(VALUE(TRIM(LEFT(MID(Sync!$P1974,FIND("/",Sync!$P1974)+1,20),FIND("/",MID(Sync!$P1974,FIND("/",Sync!$P1974)+1,20))-1))),"")))</f>
        <v/>
      </c>
      <c r="AH1974">
        <f>IF(OR($AE1974="",$AF1974=""),"",IF(ISNUMBER(Sync!$P1974),MOD(Sync!$P1974,100),IFERROR(VALUE(TRIM(MID(MID(Sync!$P1974,FIND("/",Sync!$P1974)+1,20),FIND("/",MID(Sync!$P1974,FIND("/",Sync!$P1974)+1,20))+1,20))),"")))</f>
        <v/>
      </c>
      <c r="AI1974">
        <f>IF($AE1974="","",IF(OR($AF1974="",$AG1974="",$AH1974="",$AF1974&lt;1300,$AF1974&gt;1500,$AG1974&lt;1,$AG1974&gt;12,$AH1974&lt;1,$AH1974&gt;31),"نامعتبر",RIGHT("0000"&amp;$AF1974,4)&amp;"/"&amp;RIGHT("00"&amp;$AG1974,2)&amp;"/"&amp;RIGHT("00"&amp;$AH1974,2)))</f>
        <v/>
      </c>
      <c r="AJ1974">
        <f>IF($AE1974="","",IF(Sync!$Q1974="","0000",IF(AND(ISNUMBER(Sync!$Q1974),Sync!$Q1974&gt;=0,Sync!$Q1974&lt;1),RIGHT("00"&amp;HOUR(Sync!$Q1974),2)&amp;RIGHT("00"&amp;MINUTE(Sync!$Q1974),2),IFERROR(RIGHT("00"&amp;VALUE(LEFT(Sync!$Q1974,FIND(":",Sync!$Q1974)-1)),2)&amp;RIGHT("00"&amp;VALUE(MID(Sync!$Q1974,FIND(":",Sync!$Q1974)+1,2)),2),"0000"))))</f>
        <v/>
      </c>
      <c r="AK1974">
        <f>IF(OR($AE1974="",$AI1974="",$AI1974="نامعتبر"),"",LEFT($AI1974,4)&amp;MID($AI1974,6,2)&amp;RIGHT($AI1974,2)&amp;$AJ1974&amp;"|"&amp;"3"&amp;RIGHT("00000"&amp;1969,5))</f>
        <v/>
      </c>
      <c r="AL1974">
        <f>IF($AK1974="","",COUNTIFS(LdAParty,$AE1974,LdAType,1,LdAKey,"&lt;"&amp;$AK1974)+COUNTIFS(LdBMember,$AE1974,LdBKey,"&lt;"&amp;$AK1974)+COUNTIFS(LdCParty,$AE1974,LdCKey,"&lt;"&amp;$AK1974)+1)</f>
        <v/>
      </c>
      <c r="AM1974">
        <f>IF($AL1974="","",$AE1974&amp;"|"&amp;RIGHT("000000"&amp;$AL1974,6))</f>
        <v/>
      </c>
      <c r="AN1974">
        <f>IF($AE1974="","",IF(Sync!$W1974="",0,Sync!$W1974))</f>
        <v/>
      </c>
      <c r="AO1974">
        <f>IF($AE1974="","",IF(Sync!$X1974="",0,Sync!$X1974))</f>
        <v/>
      </c>
      <c r="AP1974">
        <f>IF($AE1974="","",Sync!$R1974)</f>
        <v/>
      </c>
      <c r="AQ1974">
        <f>IF($AE1974="","",Sync!$Y1974)</f>
        <v/>
      </c>
    </row>
    <row r="1975">
      <c r="A1975">
        <f>IF(OR(Wages!$B1978="",Wages!$E1978=""),"",Wages!$E1978)</f>
        <v/>
      </c>
      <c r="B1975">
        <f>IF($A1975="","",IF(Wages!$C1978="دستمزد گروهی",2,1))</f>
        <v/>
      </c>
      <c r="C1975">
        <f>IF($A1975="","",IF(ISNUMBER(Wages!$B1978),IF(AND(Wages!$B1978&gt;=10000101,Wages!$B1978&lt;=99991231),INT(Wages!$B1978/10000),""),IFERROR(VALUE(TRIM(LEFT(Wages!$B1978,FIND("/",Wages!$B1978)-1))),"")))</f>
        <v/>
      </c>
      <c r="D1975">
        <f>IF(OR($A1975="",$C1975=""),"",IF(ISNUMBER(Wages!$B1978),INT(MOD(Wages!$B1978,10000)/100),IFERROR(VALUE(TRIM(LEFT(MID(Wages!$B1978,FIND("/",Wages!$B1978)+1,20),FIND("/",MID(Wages!$B1978,FIND("/",Wages!$B1978)+1,20))-1))),"")))</f>
        <v/>
      </c>
      <c r="E1975">
        <f>IF(OR($A1975="",$C1975=""),"",IF(ISNUMBER(Wages!$B1978),MOD(Wages!$B1978,100),IFERROR(VALUE(TRIM(MID(MID(Wages!$B1978,FIND("/",Wages!$B1978)+1,20),FIND("/",MID(Wages!$B1978,FIND("/",Wages!$B1978)+1,20))+1,20))),"")))</f>
        <v/>
      </c>
      <c r="F1975">
        <f>IF($A1975="","",IF(OR($C1975="",$D1975="",$E1975="",$C1975&lt;1300,$C1975&gt;1500,$D1975&lt;1,$D1975&gt;12,$E1975&lt;1,$E1975&gt;31),"نامعتبر",RIGHT("0000"&amp;$C1975,4)&amp;"/"&amp;RIGHT("00"&amp;$D1975,2)&amp;"/"&amp;RIGHT("00"&amp;$E1975,2)))</f>
        <v/>
      </c>
      <c r="G1975">
        <f>IF(OR($A1975="",$F1975="",$F1975="نامعتبر"),"",LEFT($F1975,4)&amp;MID($F1975,6,2)&amp;RIGHT($F1975,2)&amp;"0000"&amp;"|"&amp;"1"&amp;RIGHT("00000"&amp;1970,5))</f>
        <v/>
      </c>
      <c r="H1975">
        <f>IF(OR($B1975&lt;&gt;1,$G1975=""),"",COUNTIFS(LdAParty,$A1975,LdAType,1,LdAKey,"&lt;"&amp;$G1975)+COUNTIFS(LdBMember,$A1975,LdBKey,"&lt;"&amp;$G1975)+COUNTIFS(LdCParty,$A1975,LdCKey,"&lt;"&amp;$G1975)+1)</f>
        <v/>
      </c>
      <c r="I1975">
        <f>IF($H1975="","",$A1975&amp;"|"&amp;RIGHT("000000"&amp;$H1975,6))</f>
        <v/>
      </c>
      <c r="J1975">
        <f>IF(OR($B1975&lt;&gt;2,$G1975=""),"",COUNTIFS(LdAParty,$A1975,LdAType,2,LdAKey,"&lt;"&amp;$G1975)+1)</f>
        <v/>
      </c>
      <c r="K1975">
        <f>IF($J1975="","",$A1975&amp;"|"&amp;RIGHT("000000"&amp;$J1975,6))</f>
        <v/>
      </c>
      <c r="L1975">
        <f>IF($A1975="","",IF(Wages!$G1978="",0,Wages!$G1978))</f>
        <v/>
      </c>
      <c r="M1975">
        <f>IF($A1975="","",Wages!$J1978)</f>
        <v/>
      </c>
      <c r="N1975">
        <f>IF($A1975="","",Wages!$D1978)</f>
        <v/>
      </c>
      <c r="P1975">
        <f>IF(OR(Shares!$B1978="",Shares!$C1978=""),"",Shares!$C1978)</f>
        <v/>
      </c>
      <c r="Q1975">
        <f>IF($P1975="","",Shares!$B1978)</f>
        <v/>
      </c>
      <c r="R1975">
        <f>IF($P1975="","",IFERROR(INDEX(WageParty,MATCH($Q1975,WageIds,0)),""))</f>
        <v/>
      </c>
      <c r="S1975">
        <f>IF($P1975="","",IFERROR(INDEX($F$6:$F$2005,MATCH($Q1975,WageIds,0)),""))</f>
        <v/>
      </c>
      <c r="T1975">
        <f>IF(OR($P1975="",$S1975="",$S1975="نامعتبر"),"",LEFT($S1975,4)&amp;MID($S1975,6,2)&amp;RIGHT($S1975,2)&amp;"0000"&amp;"|"&amp;"2"&amp;RIGHT("00000"&amp;1970,5))</f>
        <v/>
      </c>
      <c r="U1975">
        <f>IF($T1975="","",COUNTIFS(LdAParty,$P1975,LdAType,1,LdAKey,"&lt;"&amp;$T1975)+COUNTIFS(LdBMember,$P1975,LdBKey,"&lt;"&amp;$T1975)+COUNTIFS(LdCParty,$P1975,LdCKey,"&lt;"&amp;$T1975)+1)</f>
        <v/>
      </c>
      <c r="V1975">
        <f>IF($U1975="","",$P1975&amp;"|"&amp;RIGHT("000000"&amp;$U1975,6))</f>
        <v/>
      </c>
      <c r="W1975">
        <f>IF($T1975="","",COUNTIFS(LdBGroup,$R1975,LdBKey,"&lt;"&amp;$T1975)+1)</f>
        <v/>
      </c>
      <c r="X1975">
        <f>IF($W1975="","",$R1975&amp;"|"&amp;RIGHT("000000"&amp;$W1975,6))</f>
        <v/>
      </c>
      <c r="Y1975">
        <f>IF($P1975="","",IF(Shares!$E1978="",0,Shares!$E1978))</f>
        <v/>
      </c>
      <c r="Z1975">
        <f>IF($P1975="","",Shares!$H1978)</f>
        <v/>
      </c>
      <c r="AE1975">
        <f>IF(OR(Sync!$S1975="",Sync!$P1975=""),"",Sync!$S1975)</f>
        <v/>
      </c>
      <c r="AF1975">
        <f>IF($AE1975="","",IF(ISNUMBER(Sync!$P1975),IF(AND(Sync!$P1975&gt;=10000101,Sync!$P1975&lt;=99991231),INT(Sync!$P1975/10000),""),IFERROR(VALUE(TRIM(LEFT(Sync!$P1975,FIND("/",Sync!$P1975)-1))),"")))</f>
        <v/>
      </c>
      <c r="AG1975">
        <f>IF(OR($AE1975="",$AF1975=""),"",IF(ISNUMBER(Sync!$P1975),INT(MOD(Sync!$P1975,10000)/100),IFERROR(VALUE(TRIM(LEFT(MID(Sync!$P1975,FIND("/",Sync!$P1975)+1,20),FIND("/",MID(Sync!$P1975,FIND("/",Sync!$P1975)+1,20))-1))),"")))</f>
        <v/>
      </c>
      <c r="AH1975">
        <f>IF(OR($AE1975="",$AF1975=""),"",IF(ISNUMBER(Sync!$P1975),MOD(Sync!$P1975,100),IFERROR(VALUE(TRIM(MID(MID(Sync!$P1975,FIND("/",Sync!$P1975)+1,20),FIND("/",MID(Sync!$P1975,FIND("/",Sync!$P1975)+1,20))+1,20))),"")))</f>
        <v/>
      </c>
      <c r="AI1975">
        <f>IF($AE1975="","",IF(OR($AF1975="",$AG1975="",$AH1975="",$AF1975&lt;1300,$AF1975&gt;1500,$AG1975&lt;1,$AG1975&gt;12,$AH1975&lt;1,$AH1975&gt;31),"نامعتبر",RIGHT("0000"&amp;$AF1975,4)&amp;"/"&amp;RIGHT("00"&amp;$AG1975,2)&amp;"/"&amp;RIGHT("00"&amp;$AH1975,2)))</f>
        <v/>
      </c>
      <c r="AJ1975">
        <f>IF($AE1975="","",IF(Sync!$Q1975="","0000",IF(AND(ISNUMBER(Sync!$Q1975),Sync!$Q1975&gt;=0,Sync!$Q1975&lt;1),RIGHT("00"&amp;HOUR(Sync!$Q1975),2)&amp;RIGHT("00"&amp;MINUTE(Sync!$Q1975),2),IFERROR(RIGHT("00"&amp;VALUE(LEFT(Sync!$Q1975,FIND(":",Sync!$Q1975)-1)),2)&amp;RIGHT("00"&amp;VALUE(MID(Sync!$Q1975,FIND(":",Sync!$Q1975)+1,2)),2),"0000"))))</f>
        <v/>
      </c>
      <c r="AK1975">
        <f>IF(OR($AE1975="",$AI1975="",$AI1975="نامعتبر"),"",LEFT($AI1975,4)&amp;MID($AI1975,6,2)&amp;RIGHT($AI1975,2)&amp;$AJ1975&amp;"|"&amp;"3"&amp;RIGHT("00000"&amp;1970,5))</f>
        <v/>
      </c>
      <c r="AL1975">
        <f>IF($AK1975="","",COUNTIFS(LdAParty,$AE1975,LdAType,1,LdAKey,"&lt;"&amp;$AK1975)+COUNTIFS(LdBMember,$AE1975,LdBKey,"&lt;"&amp;$AK1975)+COUNTIFS(LdCParty,$AE1975,LdCKey,"&lt;"&amp;$AK1975)+1)</f>
        <v/>
      </c>
      <c r="AM1975">
        <f>IF($AL1975="","",$AE1975&amp;"|"&amp;RIGHT("000000"&amp;$AL1975,6))</f>
        <v/>
      </c>
      <c r="AN1975">
        <f>IF($AE1975="","",IF(Sync!$W1975="",0,Sync!$W1975))</f>
        <v/>
      </c>
      <c r="AO1975">
        <f>IF($AE1975="","",IF(Sync!$X1975="",0,Sync!$X1975))</f>
        <v/>
      </c>
      <c r="AP1975">
        <f>IF($AE1975="","",Sync!$R1975)</f>
        <v/>
      </c>
      <c r="AQ1975">
        <f>IF($AE1975="","",Sync!$Y1975)</f>
        <v/>
      </c>
    </row>
    <row r="1976">
      <c r="A1976">
        <f>IF(OR(Wages!$B1979="",Wages!$E1979=""),"",Wages!$E1979)</f>
        <v/>
      </c>
      <c r="B1976">
        <f>IF($A1976="","",IF(Wages!$C1979="دستمزد گروهی",2,1))</f>
        <v/>
      </c>
      <c r="C1976">
        <f>IF($A1976="","",IF(ISNUMBER(Wages!$B1979),IF(AND(Wages!$B1979&gt;=10000101,Wages!$B1979&lt;=99991231),INT(Wages!$B1979/10000),""),IFERROR(VALUE(TRIM(LEFT(Wages!$B1979,FIND("/",Wages!$B1979)-1))),"")))</f>
        <v/>
      </c>
      <c r="D1976">
        <f>IF(OR($A1976="",$C1976=""),"",IF(ISNUMBER(Wages!$B1979),INT(MOD(Wages!$B1979,10000)/100),IFERROR(VALUE(TRIM(LEFT(MID(Wages!$B1979,FIND("/",Wages!$B1979)+1,20),FIND("/",MID(Wages!$B1979,FIND("/",Wages!$B1979)+1,20))-1))),"")))</f>
        <v/>
      </c>
      <c r="E1976">
        <f>IF(OR($A1976="",$C1976=""),"",IF(ISNUMBER(Wages!$B1979),MOD(Wages!$B1979,100),IFERROR(VALUE(TRIM(MID(MID(Wages!$B1979,FIND("/",Wages!$B1979)+1,20),FIND("/",MID(Wages!$B1979,FIND("/",Wages!$B1979)+1,20))+1,20))),"")))</f>
        <v/>
      </c>
      <c r="F1976">
        <f>IF($A1976="","",IF(OR($C1976="",$D1976="",$E1976="",$C1976&lt;1300,$C1976&gt;1500,$D1976&lt;1,$D1976&gt;12,$E1976&lt;1,$E1976&gt;31),"نامعتبر",RIGHT("0000"&amp;$C1976,4)&amp;"/"&amp;RIGHT("00"&amp;$D1976,2)&amp;"/"&amp;RIGHT("00"&amp;$E1976,2)))</f>
        <v/>
      </c>
      <c r="G1976">
        <f>IF(OR($A1976="",$F1976="",$F1976="نامعتبر"),"",LEFT($F1976,4)&amp;MID($F1976,6,2)&amp;RIGHT($F1976,2)&amp;"0000"&amp;"|"&amp;"1"&amp;RIGHT("00000"&amp;1971,5))</f>
        <v/>
      </c>
      <c r="H1976">
        <f>IF(OR($B1976&lt;&gt;1,$G1976=""),"",COUNTIFS(LdAParty,$A1976,LdAType,1,LdAKey,"&lt;"&amp;$G1976)+COUNTIFS(LdBMember,$A1976,LdBKey,"&lt;"&amp;$G1976)+COUNTIFS(LdCParty,$A1976,LdCKey,"&lt;"&amp;$G1976)+1)</f>
        <v/>
      </c>
      <c r="I1976">
        <f>IF($H1976="","",$A1976&amp;"|"&amp;RIGHT("000000"&amp;$H1976,6))</f>
        <v/>
      </c>
      <c r="J1976">
        <f>IF(OR($B1976&lt;&gt;2,$G1976=""),"",COUNTIFS(LdAParty,$A1976,LdAType,2,LdAKey,"&lt;"&amp;$G1976)+1)</f>
        <v/>
      </c>
      <c r="K1976">
        <f>IF($J1976="","",$A1976&amp;"|"&amp;RIGHT("000000"&amp;$J1976,6))</f>
        <v/>
      </c>
      <c r="L1976">
        <f>IF($A1976="","",IF(Wages!$G1979="",0,Wages!$G1979))</f>
        <v/>
      </c>
      <c r="M1976">
        <f>IF($A1976="","",Wages!$J1979)</f>
        <v/>
      </c>
      <c r="N1976">
        <f>IF($A1976="","",Wages!$D1979)</f>
        <v/>
      </c>
      <c r="P1976">
        <f>IF(OR(Shares!$B1979="",Shares!$C1979=""),"",Shares!$C1979)</f>
        <v/>
      </c>
      <c r="Q1976">
        <f>IF($P1976="","",Shares!$B1979)</f>
        <v/>
      </c>
      <c r="R1976">
        <f>IF($P1976="","",IFERROR(INDEX(WageParty,MATCH($Q1976,WageIds,0)),""))</f>
        <v/>
      </c>
      <c r="S1976">
        <f>IF($P1976="","",IFERROR(INDEX($F$6:$F$2005,MATCH($Q1976,WageIds,0)),""))</f>
        <v/>
      </c>
      <c r="T1976">
        <f>IF(OR($P1976="",$S1976="",$S1976="نامعتبر"),"",LEFT($S1976,4)&amp;MID($S1976,6,2)&amp;RIGHT($S1976,2)&amp;"0000"&amp;"|"&amp;"2"&amp;RIGHT("00000"&amp;1971,5))</f>
        <v/>
      </c>
      <c r="U1976">
        <f>IF($T1976="","",COUNTIFS(LdAParty,$P1976,LdAType,1,LdAKey,"&lt;"&amp;$T1976)+COUNTIFS(LdBMember,$P1976,LdBKey,"&lt;"&amp;$T1976)+COUNTIFS(LdCParty,$P1976,LdCKey,"&lt;"&amp;$T1976)+1)</f>
        <v/>
      </c>
      <c r="V1976">
        <f>IF($U1976="","",$P1976&amp;"|"&amp;RIGHT("000000"&amp;$U1976,6))</f>
        <v/>
      </c>
      <c r="W1976">
        <f>IF($T1976="","",COUNTIFS(LdBGroup,$R1976,LdBKey,"&lt;"&amp;$T1976)+1)</f>
        <v/>
      </c>
      <c r="X1976">
        <f>IF($W1976="","",$R1976&amp;"|"&amp;RIGHT("000000"&amp;$W1976,6))</f>
        <v/>
      </c>
      <c r="Y1976">
        <f>IF($P1976="","",IF(Shares!$E1979="",0,Shares!$E1979))</f>
        <v/>
      </c>
      <c r="Z1976">
        <f>IF($P1976="","",Shares!$H1979)</f>
        <v/>
      </c>
      <c r="AE1976">
        <f>IF(OR(Sync!$S1976="",Sync!$P1976=""),"",Sync!$S1976)</f>
        <v/>
      </c>
      <c r="AF1976">
        <f>IF($AE1976="","",IF(ISNUMBER(Sync!$P1976),IF(AND(Sync!$P1976&gt;=10000101,Sync!$P1976&lt;=99991231),INT(Sync!$P1976/10000),""),IFERROR(VALUE(TRIM(LEFT(Sync!$P1976,FIND("/",Sync!$P1976)-1))),"")))</f>
        <v/>
      </c>
      <c r="AG1976">
        <f>IF(OR($AE1976="",$AF1976=""),"",IF(ISNUMBER(Sync!$P1976),INT(MOD(Sync!$P1976,10000)/100),IFERROR(VALUE(TRIM(LEFT(MID(Sync!$P1976,FIND("/",Sync!$P1976)+1,20),FIND("/",MID(Sync!$P1976,FIND("/",Sync!$P1976)+1,20))-1))),"")))</f>
        <v/>
      </c>
      <c r="AH1976">
        <f>IF(OR($AE1976="",$AF1976=""),"",IF(ISNUMBER(Sync!$P1976),MOD(Sync!$P1976,100),IFERROR(VALUE(TRIM(MID(MID(Sync!$P1976,FIND("/",Sync!$P1976)+1,20),FIND("/",MID(Sync!$P1976,FIND("/",Sync!$P1976)+1,20))+1,20))),"")))</f>
        <v/>
      </c>
      <c r="AI1976">
        <f>IF($AE1976="","",IF(OR($AF1976="",$AG1976="",$AH1976="",$AF1976&lt;1300,$AF1976&gt;1500,$AG1976&lt;1,$AG1976&gt;12,$AH1976&lt;1,$AH1976&gt;31),"نامعتبر",RIGHT("0000"&amp;$AF1976,4)&amp;"/"&amp;RIGHT("00"&amp;$AG1976,2)&amp;"/"&amp;RIGHT("00"&amp;$AH1976,2)))</f>
        <v/>
      </c>
      <c r="AJ1976">
        <f>IF($AE1976="","",IF(Sync!$Q1976="","0000",IF(AND(ISNUMBER(Sync!$Q1976),Sync!$Q1976&gt;=0,Sync!$Q1976&lt;1),RIGHT("00"&amp;HOUR(Sync!$Q1976),2)&amp;RIGHT("00"&amp;MINUTE(Sync!$Q1976),2),IFERROR(RIGHT("00"&amp;VALUE(LEFT(Sync!$Q1976,FIND(":",Sync!$Q1976)-1)),2)&amp;RIGHT("00"&amp;VALUE(MID(Sync!$Q1976,FIND(":",Sync!$Q1976)+1,2)),2),"0000"))))</f>
        <v/>
      </c>
      <c r="AK1976">
        <f>IF(OR($AE1976="",$AI1976="",$AI1976="نامعتبر"),"",LEFT($AI1976,4)&amp;MID($AI1976,6,2)&amp;RIGHT($AI1976,2)&amp;$AJ1976&amp;"|"&amp;"3"&amp;RIGHT("00000"&amp;1971,5))</f>
        <v/>
      </c>
      <c r="AL1976">
        <f>IF($AK1976="","",COUNTIFS(LdAParty,$AE1976,LdAType,1,LdAKey,"&lt;"&amp;$AK1976)+COUNTIFS(LdBMember,$AE1976,LdBKey,"&lt;"&amp;$AK1976)+COUNTIFS(LdCParty,$AE1976,LdCKey,"&lt;"&amp;$AK1976)+1)</f>
        <v/>
      </c>
      <c r="AM1976">
        <f>IF($AL1976="","",$AE1976&amp;"|"&amp;RIGHT("000000"&amp;$AL1976,6))</f>
        <v/>
      </c>
      <c r="AN1976">
        <f>IF($AE1976="","",IF(Sync!$W1976="",0,Sync!$W1976))</f>
        <v/>
      </c>
      <c r="AO1976">
        <f>IF($AE1976="","",IF(Sync!$X1976="",0,Sync!$X1976))</f>
        <v/>
      </c>
      <c r="AP1976">
        <f>IF($AE1976="","",Sync!$R1976)</f>
        <v/>
      </c>
      <c r="AQ1976">
        <f>IF($AE1976="","",Sync!$Y1976)</f>
        <v/>
      </c>
    </row>
    <row r="1977">
      <c r="A1977">
        <f>IF(OR(Wages!$B1980="",Wages!$E1980=""),"",Wages!$E1980)</f>
        <v/>
      </c>
      <c r="B1977">
        <f>IF($A1977="","",IF(Wages!$C1980="دستمزد گروهی",2,1))</f>
        <v/>
      </c>
      <c r="C1977">
        <f>IF($A1977="","",IF(ISNUMBER(Wages!$B1980),IF(AND(Wages!$B1980&gt;=10000101,Wages!$B1980&lt;=99991231),INT(Wages!$B1980/10000),""),IFERROR(VALUE(TRIM(LEFT(Wages!$B1980,FIND("/",Wages!$B1980)-1))),"")))</f>
        <v/>
      </c>
      <c r="D1977">
        <f>IF(OR($A1977="",$C1977=""),"",IF(ISNUMBER(Wages!$B1980),INT(MOD(Wages!$B1980,10000)/100),IFERROR(VALUE(TRIM(LEFT(MID(Wages!$B1980,FIND("/",Wages!$B1980)+1,20),FIND("/",MID(Wages!$B1980,FIND("/",Wages!$B1980)+1,20))-1))),"")))</f>
        <v/>
      </c>
      <c r="E1977">
        <f>IF(OR($A1977="",$C1977=""),"",IF(ISNUMBER(Wages!$B1980),MOD(Wages!$B1980,100),IFERROR(VALUE(TRIM(MID(MID(Wages!$B1980,FIND("/",Wages!$B1980)+1,20),FIND("/",MID(Wages!$B1980,FIND("/",Wages!$B1980)+1,20))+1,20))),"")))</f>
        <v/>
      </c>
      <c r="F1977">
        <f>IF($A1977="","",IF(OR($C1977="",$D1977="",$E1977="",$C1977&lt;1300,$C1977&gt;1500,$D1977&lt;1,$D1977&gt;12,$E1977&lt;1,$E1977&gt;31),"نامعتبر",RIGHT("0000"&amp;$C1977,4)&amp;"/"&amp;RIGHT("00"&amp;$D1977,2)&amp;"/"&amp;RIGHT("00"&amp;$E1977,2)))</f>
        <v/>
      </c>
      <c r="G1977">
        <f>IF(OR($A1977="",$F1977="",$F1977="نامعتبر"),"",LEFT($F1977,4)&amp;MID($F1977,6,2)&amp;RIGHT($F1977,2)&amp;"0000"&amp;"|"&amp;"1"&amp;RIGHT("00000"&amp;1972,5))</f>
        <v/>
      </c>
      <c r="H1977">
        <f>IF(OR($B1977&lt;&gt;1,$G1977=""),"",COUNTIFS(LdAParty,$A1977,LdAType,1,LdAKey,"&lt;"&amp;$G1977)+COUNTIFS(LdBMember,$A1977,LdBKey,"&lt;"&amp;$G1977)+COUNTIFS(LdCParty,$A1977,LdCKey,"&lt;"&amp;$G1977)+1)</f>
        <v/>
      </c>
      <c r="I1977">
        <f>IF($H1977="","",$A1977&amp;"|"&amp;RIGHT("000000"&amp;$H1977,6))</f>
        <v/>
      </c>
      <c r="J1977">
        <f>IF(OR($B1977&lt;&gt;2,$G1977=""),"",COUNTIFS(LdAParty,$A1977,LdAType,2,LdAKey,"&lt;"&amp;$G1977)+1)</f>
        <v/>
      </c>
      <c r="K1977">
        <f>IF($J1977="","",$A1977&amp;"|"&amp;RIGHT("000000"&amp;$J1977,6))</f>
        <v/>
      </c>
      <c r="L1977">
        <f>IF($A1977="","",IF(Wages!$G1980="",0,Wages!$G1980))</f>
        <v/>
      </c>
      <c r="M1977">
        <f>IF($A1977="","",Wages!$J1980)</f>
        <v/>
      </c>
      <c r="N1977">
        <f>IF($A1977="","",Wages!$D1980)</f>
        <v/>
      </c>
      <c r="P1977">
        <f>IF(OR(Shares!$B1980="",Shares!$C1980=""),"",Shares!$C1980)</f>
        <v/>
      </c>
      <c r="Q1977">
        <f>IF($P1977="","",Shares!$B1980)</f>
        <v/>
      </c>
      <c r="R1977">
        <f>IF($P1977="","",IFERROR(INDEX(WageParty,MATCH($Q1977,WageIds,0)),""))</f>
        <v/>
      </c>
      <c r="S1977">
        <f>IF($P1977="","",IFERROR(INDEX($F$6:$F$2005,MATCH($Q1977,WageIds,0)),""))</f>
        <v/>
      </c>
      <c r="T1977">
        <f>IF(OR($P1977="",$S1977="",$S1977="نامعتبر"),"",LEFT($S1977,4)&amp;MID($S1977,6,2)&amp;RIGHT($S1977,2)&amp;"0000"&amp;"|"&amp;"2"&amp;RIGHT("00000"&amp;1972,5))</f>
        <v/>
      </c>
      <c r="U1977">
        <f>IF($T1977="","",COUNTIFS(LdAParty,$P1977,LdAType,1,LdAKey,"&lt;"&amp;$T1977)+COUNTIFS(LdBMember,$P1977,LdBKey,"&lt;"&amp;$T1977)+COUNTIFS(LdCParty,$P1977,LdCKey,"&lt;"&amp;$T1977)+1)</f>
        <v/>
      </c>
      <c r="V1977">
        <f>IF($U1977="","",$P1977&amp;"|"&amp;RIGHT("000000"&amp;$U1977,6))</f>
        <v/>
      </c>
      <c r="W1977">
        <f>IF($T1977="","",COUNTIFS(LdBGroup,$R1977,LdBKey,"&lt;"&amp;$T1977)+1)</f>
        <v/>
      </c>
      <c r="X1977">
        <f>IF($W1977="","",$R1977&amp;"|"&amp;RIGHT("000000"&amp;$W1977,6))</f>
        <v/>
      </c>
      <c r="Y1977">
        <f>IF($P1977="","",IF(Shares!$E1980="",0,Shares!$E1980))</f>
        <v/>
      </c>
      <c r="Z1977">
        <f>IF($P1977="","",Shares!$H1980)</f>
        <v/>
      </c>
      <c r="AE1977">
        <f>IF(OR(Sync!$S1977="",Sync!$P1977=""),"",Sync!$S1977)</f>
        <v/>
      </c>
      <c r="AF1977">
        <f>IF($AE1977="","",IF(ISNUMBER(Sync!$P1977),IF(AND(Sync!$P1977&gt;=10000101,Sync!$P1977&lt;=99991231),INT(Sync!$P1977/10000),""),IFERROR(VALUE(TRIM(LEFT(Sync!$P1977,FIND("/",Sync!$P1977)-1))),"")))</f>
        <v/>
      </c>
      <c r="AG1977">
        <f>IF(OR($AE1977="",$AF1977=""),"",IF(ISNUMBER(Sync!$P1977),INT(MOD(Sync!$P1977,10000)/100),IFERROR(VALUE(TRIM(LEFT(MID(Sync!$P1977,FIND("/",Sync!$P1977)+1,20),FIND("/",MID(Sync!$P1977,FIND("/",Sync!$P1977)+1,20))-1))),"")))</f>
        <v/>
      </c>
      <c r="AH1977">
        <f>IF(OR($AE1977="",$AF1977=""),"",IF(ISNUMBER(Sync!$P1977),MOD(Sync!$P1977,100),IFERROR(VALUE(TRIM(MID(MID(Sync!$P1977,FIND("/",Sync!$P1977)+1,20),FIND("/",MID(Sync!$P1977,FIND("/",Sync!$P1977)+1,20))+1,20))),"")))</f>
        <v/>
      </c>
      <c r="AI1977">
        <f>IF($AE1977="","",IF(OR($AF1977="",$AG1977="",$AH1977="",$AF1977&lt;1300,$AF1977&gt;1500,$AG1977&lt;1,$AG1977&gt;12,$AH1977&lt;1,$AH1977&gt;31),"نامعتبر",RIGHT("0000"&amp;$AF1977,4)&amp;"/"&amp;RIGHT("00"&amp;$AG1977,2)&amp;"/"&amp;RIGHT("00"&amp;$AH1977,2)))</f>
        <v/>
      </c>
      <c r="AJ1977">
        <f>IF($AE1977="","",IF(Sync!$Q1977="","0000",IF(AND(ISNUMBER(Sync!$Q1977),Sync!$Q1977&gt;=0,Sync!$Q1977&lt;1),RIGHT("00"&amp;HOUR(Sync!$Q1977),2)&amp;RIGHT("00"&amp;MINUTE(Sync!$Q1977),2),IFERROR(RIGHT("00"&amp;VALUE(LEFT(Sync!$Q1977,FIND(":",Sync!$Q1977)-1)),2)&amp;RIGHT("00"&amp;VALUE(MID(Sync!$Q1977,FIND(":",Sync!$Q1977)+1,2)),2),"0000"))))</f>
        <v/>
      </c>
      <c r="AK1977">
        <f>IF(OR($AE1977="",$AI1977="",$AI1977="نامعتبر"),"",LEFT($AI1977,4)&amp;MID($AI1977,6,2)&amp;RIGHT($AI1977,2)&amp;$AJ1977&amp;"|"&amp;"3"&amp;RIGHT("00000"&amp;1972,5))</f>
        <v/>
      </c>
      <c r="AL1977">
        <f>IF($AK1977="","",COUNTIFS(LdAParty,$AE1977,LdAType,1,LdAKey,"&lt;"&amp;$AK1977)+COUNTIFS(LdBMember,$AE1977,LdBKey,"&lt;"&amp;$AK1977)+COUNTIFS(LdCParty,$AE1977,LdCKey,"&lt;"&amp;$AK1977)+1)</f>
        <v/>
      </c>
      <c r="AM1977">
        <f>IF($AL1977="","",$AE1977&amp;"|"&amp;RIGHT("000000"&amp;$AL1977,6))</f>
        <v/>
      </c>
      <c r="AN1977">
        <f>IF($AE1977="","",IF(Sync!$W1977="",0,Sync!$W1977))</f>
        <v/>
      </c>
      <c r="AO1977">
        <f>IF($AE1977="","",IF(Sync!$X1977="",0,Sync!$X1977))</f>
        <v/>
      </c>
      <c r="AP1977">
        <f>IF($AE1977="","",Sync!$R1977)</f>
        <v/>
      </c>
      <c r="AQ1977">
        <f>IF($AE1977="","",Sync!$Y1977)</f>
        <v/>
      </c>
    </row>
    <row r="1978">
      <c r="A1978">
        <f>IF(OR(Wages!$B1981="",Wages!$E1981=""),"",Wages!$E1981)</f>
        <v/>
      </c>
      <c r="B1978">
        <f>IF($A1978="","",IF(Wages!$C1981="دستمزد گروهی",2,1))</f>
        <v/>
      </c>
      <c r="C1978">
        <f>IF($A1978="","",IF(ISNUMBER(Wages!$B1981),IF(AND(Wages!$B1981&gt;=10000101,Wages!$B1981&lt;=99991231),INT(Wages!$B1981/10000),""),IFERROR(VALUE(TRIM(LEFT(Wages!$B1981,FIND("/",Wages!$B1981)-1))),"")))</f>
        <v/>
      </c>
      <c r="D1978">
        <f>IF(OR($A1978="",$C1978=""),"",IF(ISNUMBER(Wages!$B1981),INT(MOD(Wages!$B1981,10000)/100),IFERROR(VALUE(TRIM(LEFT(MID(Wages!$B1981,FIND("/",Wages!$B1981)+1,20),FIND("/",MID(Wages!$B1981,FIND("/",Wages!$B1981)+1,20))-1))),"")))</f>
        <v/>
      </c>
      <c r="E1978">
        <f>IF(OR($A1978="",$C1978=""),"",IF(ISNUMBER(Wages!$B1981),MOD(Wages!$B1981,100),IFERROR(VALUE(TRIM(MID(MID(Wages!$B1981,FIND("/",Wages!$B1981)+1,20),FIND("/",MID(Wages!$B1981,FIND("/",Wages!$B1981)+1,20))+1,20))),"")))</f>
        <v/>
      </c>
      <c r="F1978">
        <f>IF($A1978="","",IF(OR($C1978="",$D1978="",$E1978="",$C1978&lt;1300,$C1978&gt;1500,$D1978&lt;1,$D1978&gt;12,$E1978&lt;1,$E1978&gt;31),"نامعتبر",RIGHT("0000"&amp;$C1978,4)&amp;"/"&amp;RIGHT("00"&amp;$D1978,2)&amp;"/"&amp;RIGHT("00"&amp;$E1978,2)))</f>
        <v/>
      </c>
      <c r="G1978">
        <f>IF(OR($A1978="",$F1978="",$F1978="نامعتبر"),"",LEFT($F1978,4)&amp;MID($F1978,6,2)&amp;RIGHT($F1978,2)&amp;"0000"&amp;"|"&amp;"1"&amp;RIGHT("00000"&amp;1973,5))</f>
        <v/>
      </c>
      <c r="H1978">
        <f>IF(OR($B1978&lt;&gt;1,$G1978=""),"",COUNTIFS(LdAParty,$A1978,LdAType,1,LdAKey,"&lt;"&amp;$G1978)+COUNTIFS(LdBMember,$A1978,LdBKey,"&lt;"&amp;$G1978)+COUNTIFS(LdCParty,$A1978,LdCKey,"&lt;"&amp;$G1978)+1)</f>
        <v/>
      </c>
      <c r="I1978">
        <f>IF($H1978="","",$A1978&amp;"|"&amp;RIGHT("000000"&amp;$H1978,6))</f>
        <v/>
      </c>
      <c r="J1978">
        <f>IF(OR($B1978&lt;&gt;2,$G1978=""),"",COUNTIFS(LdAParty,$A1978,LdAType,2,LdAKey,"&lt;"&amp;$G1978)+1)</f>
        <v/>
      </c>
      <c r="K1978">
        <f>IF($J1978="","",$A1978&amp;"|"&amp;RIGHT("000000"&amp;$J1978,6))</f>
        <v/>
      </c>
      <c r="L1978">
        <f>IF($A1978="","",IF(Wages!$G1981="",0,Wages!$G1981))</f>
        <v/>
      </c>
      <c r="M1978">
        <f>IF($A1978="","",Wages!$J1981)</f>
        <v/>
      </c>
      <c r="N1978">
        <f>IF($A1978="","",Wages!$D1981)</f>
        <v/>
      </c>
      <c r="P1978">
        <f>IF(OR(Shares!$B1981="",Shares!$C1981=""),"",Shares!$C1981)</f>
        <v/>
      </c>
      <c r="Q1978">
        <f>IF($P1978="","",Shares!$B1981)</f>
        <v/>
      </c>
      <c r="R1978">
        <f>IF($P1978="","",IFERROR(INDEX(WageParty,MATCH($Q1978,WageIds,0)),""))</f>
        <v/>
      </c>
      <c r="S1978">
        <f>IF($P1978="","",IFERROR(INDEX($F$6:$F$2005,MATCH($Q1978,WageIds,0)),""))</f>
        <v/>
      </c>
      <c r="T1978">
        <f>IF(OR($P1978="",$S1978="",$S1978="نامعتبر"),"",LEFT($S1978,4)&amp;MID($S1978,6,2)&amp;RIGHT($S1978,2)&amp;"0000"&amp;"|"&amp;"2"&amp;RIGHT("00000"&amp;1973,5))</f>
        <v/>
      </c>
      <c r="U1978">
        <f>IF($T1978="","",COUNTIFS(LdAParty,$P1978,LdAType,1,LdAKey,"&lt;"&amp;$T1978)+COUNTIFS(LdBMember,$P1978,LdBKey,"&lt;"&amp;$T1978)+COUNTIFS(LdCParty,$P1978,LdCKey,"&lt;"&amp;$T1978)+1)</f>
        <v/>
      </c>
      <c r="V1978">
        <f>IF($U1978="","",$P1978&amp;"|"&amp;RIGHT("000000"&amp;$U1978,6))</f>
        <v/>
      </c>
      <c r="W1978">
        <f>IF($T1978="","",COUNTIFS(LdBGroup,$R1978,LdBKey,"&lt;"&amp;$T1978)+1)</f>
        <v/>
      </c>
      <c r="X1978">
        <f>IF($W1978="","",$R1978&amp;"|"&amp;RIGHT("000000"&amp;$W1978,6))</f>
        <v/>
      </c>
      <c r="Y1978">
        <f>IF($P1978="","",IF(Shares!$E1981="",0,Shares!$E1981))</f>
        <v/>
      </c>
      <c r="Z1978">
        <f>IF($P1978="","",Shares!$H1981)</f>
        <v/>
      </c>
      <c r="AE1978">
        <f>IF(OR(Sync!$S1978="",Sync!$P1978=""),"",Sync!$S1978)</f>
        <v/>
      </c>
      <c r="AF1978">
        <f>IF($AE1978="","",IF(ISNUMBER(Sync!$P1978),IF(AND(Sync!$P1978&gt;=10000101,Sync!$P1978&lt;=99991231),INT(Sync!$P1978/10000),""),IFERROR(VALUE(TRIM(LEFT(Sync!$P1978,FIND("/",Sync!$P1978)-1))),"")))</f>
        <v/>
      </c>
      <c r="AG1978">
        <f>IF(OR($AE1978="",$AF1978=""),"",IF(ISNUMBER(Sync!$P1978),INT(MOD(Sync!$P1978,10000)/100),IFERROR(VALUE(TRIM(LEFT(MID(Sync!$P1978,FIND("/",Sync!$P1978)+1,20),FIND("/",MID(Sync!$P1978,FIND("/",Sync!$P1978)+1,20))-1))),"")))</f>
        <v/>
      </c>
      <c r="AH1978">
        <f>IF(OR($AE1978="",$AF1978=""),"",IF(ISNUMBER(Sync!$P1978),MOD(Sync!$P1978,100),IFERROR(VALUE(TRIM(MID(MID(Sync!$P1978,FIND("/",Sync!$P1978)+1,20),FIND("/",MID(Sync!$P1978,FIND("/",Sync!$P1978)+1,20))+1,20))),"")))</f>
        <v/>
      </c>
      <c r="AI1978">
        <f>IF($AE1978="","",IF(OR($AF1978="",$AG1978="",$AH1978="",$AF1978&lt;1300,$AF1978&gt;1500,$AG1978&lt;1,$AG1978&gt;12,$AH1978&lt;1,$AH1978&gt;31),"نامعتبر",RIGHT("0000"&amp;$AF1978,4)&amp;"/"&amp;RIGHT("00"&amp;$AG1978,2)&amp;"/"&amp;RIGHT("00"&amp;$AH1978,2)))</f>
        <v/>
      </c>
      <c r="AJ1978">
        <f>IF($AE1978="","",IF(Sync!$Q1978="","0000",IF(AND(ISNUMBER(Sync!$Q1978),Sync!$Q1978&gt;=0,Sync!$Q1978&lt;1),RIGHT("00"&amp;HOUR(Sync!$Q1978),2)&amp;RIGHT("00"&amp;MINUTE(Sync!$Q1978),2),IFERROR(RIGHT("00"&amp;VALUE(LEFT(Sync!$Q1978,FIND(":",Sync!$Q1978)-1)),2)&amp;RIGHT("00"&amp;VALUE(MID(Sync!$Q1978,FIND(":",Sync!$Q1978)+1,2)),2),"0000"))))</f>
        <v/>
      </c>
      <c r="AK1978">
        <f>IF(OR($AE1978="",$AI1978="",$AI1978="نامعتبر"),"",LEFT($AI1978,4)&amp;MID($AI1978,6,2)&amp;RIGHT($AI1978,2)&amp;$AJ1978&amp;"|"&amp;"3"&amp;RIGHT("00000"&amp;1973,5))</f>
        <v/>
      </c>
      <c r="AL1978">
        <f>IF($AK1978="","",COUNTIFS(LdAParty,$AE1978,LdAType,1,LdAKey,"&lt;"&amp;$AK1978)+COUNTIFS(LdBMember,$AE1978,LdBKey,"&lt;"&amp;$AK1978)+COUNTIFS(LdCParty,$AE1978,LdCKey,"&lt;"&amp;$AK1978)+1)</f>
        <v/>
      </c>
      <c r="AM1978">
        <f>IF($AL1978="","",$AE1978&amp;"|"&amp;RIGHT("000000"&amp;$AL1978,6))</f>
        <v/>
      </c>
      <c r="AN1978">
        <f>IF($AE1978="","",IF(Sync!$W1978="",0,Sync!$W1978))</f>
        <v/>
      </c>
      <c r="AO1978">
        <f>IF($AE1978="","",IF(Sync!$X1978="",0,Sync!$X1978))</f>
        <v/>
      </c>
      <c r="AP1978">
        <f>IF($AE1978="","",Sync!$R1978)</f>
        <v/>
      </c>
      <c r="AQ1978">
        <f>IF($AE1978="","",Sync!$Y1978)</f>
        <v/>
      </c>
    </row>
    <row r="1979">
      <c r="A1979">
        <f>IF(OR(Wages!$B1982="",Wages!$E1982=""),"",Wages!$E1982)</f>
        <v/>
      </c>
      <c r="B1979">
        <f>IF($A1979="","",IF(Wages!$C1982="دستمزد گروهی",2,1))</f>
        <v/>
      </c>
      <c r="C1979">
        <f>IF($A1979="","",IF(ISNUMBER(Wages!$B1982),IF(AND(Wages!$B1982&gt;=10000101,Wages!$B1982&lt;=99991231),INT(Wages!$B1982/10000),""),IFERROR(VALUE(TRIM(LEFT(Wages!$B1982,FIND("/",Wages!$B1982)-1))),"")))</f>
        <v/>
      </c>
      <c r="D1979">
        <f>IF(OR($A1979="",$C1979=""),"",IF(ISNUMBER(Wages!$B1982),INT(MOD(Wages!$B1982,10000)/100),IFERROR(VALUE(TRIM(LEFT(MID(Wages!$B1982,FIND("/",Wages!$B1982)+1,20),FIND("/",MID(Wages!$B1982,FIND("/",Wages!$B1982)+1,20))-1))),"")))</f>
        <v/>
      </c>
      <c r="E1979">
        <f>IF(OR($A1979="",$C1979=""),"",IF(ISNUMBER(Wages!$B1982),MOD(Wages!$B1982,100),IFERROR(VALUE(TRIM(MID(MID(Wages!$B1982,FIND("/",Wages!$B1982)+1,20),FIND("/",MID(Wages!$B1982,FIND("/",Wages!$B1982)+1,20))+1,20))),"")))</f>
        <v/>
      </c>
      <c r="F1979">
        <f>IF($A1979="","",IF(OR($C1979="",$D1979="",$E1979="",$C1979&lt;1300,$C1979&gt;1500,$D1979&lt;1,$D1979&gt;12,$E1979&lt;1,$E1979&gt;31),"نامعتبر",RIGHT("0000"&amp;$C1979,4)&amp;"/"&amp;RIGHT("00"&amp;$D1979,2)&amp;"/"&amp;RIGHT("00"&amp;$E1979,2)))</f>
        <v/>
      </c>
      <c r="G1979">
        <f>IF(OR($A1979="",$F1979="",$F1979="نامعتبر"),"",LEFT($F1979,4)&amp;MID($F1979,6,2)&amp;RIGHT($F1979,2)&amp;"0000"&amp;"|"&amp;"1"&amp;RIGHT("00000"&amp;1974,5))</f>
        <v/>
      </c>
      <c r="H1979">
        <f>IF(OR($B1979&lt;&gt;1,$G1979=""),"",COUNTIFS(LdAParty,$A1979,LdAType,1,LdAKey,"&lt;"&amp;$G1979)+COUNTIFS(LdBMember,$A1979,LdBKey,"&lt;"&amp;$G1979)+COUNTIFS(LdCParty,$A1979,LdCKey,"&lt;"&amp;$G1979)+1)</f>
        <v/>
      </c>
      <c r="I1979">
        <f>IF($H1979="","",$A1979&amp;"|"&amp;RIGHT("000000"&amp;$H1979,6))</f>
        <v/>
      </c>
      <c r="J1979">
        <f>IF(OR($B1979&lt;&gt;2,$G1979=""),"",COUNTIFS(LdAParty,$A1979,LdAType,2,LdAKey,"&lt;"&amp;$G1979)+1)</f>
        <v/>
      </c>
      <c r="K1979">
        <f>IF($J1979="","",$A1979&amp;"|"&amp;RIGHT("000000"&amp;$J1979,6))</f>
        <v/>
      </c>
      <c r="L1979">
        <f>IF($A1979="","",IF(Wages!$G1982="",0,Wages!$G1982))</f>
        <v/>
      </c>
      <c r="M1979">
        <f>IF($A1979="","",Wages!$J1982)</f>
        <v/>
      </c>
      <c r="N1979">
        <f>IF($A1979="","",Wages!$D1982)</f>
        <v/>
      </c>
      <c r="P1979">
        <f>IF(OR(Shares!$B1982="",Shares!$C1982=""),"",Shares!$C1982)</f>
        <v/>
      </c>
      <c r="Q1979">
        <f>IF($P1979="","",Shares!$B1982)</f>
        <v/>
      </c>
      <c r="R1979">
        <f>IF($P1979="","",IFERROR(INDEX(WageParty,MATCH($Q1979,WageIds,0)),""))</f>
        <v/>
      </c>
      <c r="S1979">
        <f>IF($P1979="","",IFERROR(INDEX($F$6:$F$2005,MATCH($Q1979,WageIds,0)),""))</f>
        <v/>
      </c>
      <c r="T1979">
        <f>IF(OR($P1979="",$S1979="",$S1979="نامعتبر"),"",LEFT($S1979,4)&amp;MID($S1979,6,2)&amp;RIGHT($S1979,2)&amp;"0000"&amp;"|"&amp;"2"&amp;RIGHT("00000"&amp;1974,5))</f>
        <v/>
      </c>
      <c r="U1979">
        <f>IF($T1979="","",COUNTIFS(LdAParty,$P1979,LdAType,1,LdAKey,"&lt;"&amp;$T1979)+COUNTIFS(LdBMember,$P1979,LdBKey,"&lt;"&amp;$T1979)+COUNTIFS(LdCParty,$P1979,LdCKey,"&lt;"&amp;$T1979)+1)</f>
        <v/>
      </c>
      <c r="V1979">
        <f>IF($U1979="","",$P1979&amp;"|"&amp;RIGHT("000000"&amp;$U1979,6))</f>
        <v/>
      </c>
      <c r="W1979">
        <f>IF($T1979="","",COUNTIFS(LdBGroup,$R1979,LdBKey,"&lt;"&amp;$T1979)+1)</f>
        <v/>
      </c>
      <c r="X1979">
        <f>IF($W1979="","",$R1979&amp;"|"&amp;RIGHT("000000"&amp;$W1979,6))</f>
        <v/>
      </c>
      <c r="Y1979">
        <f>IF($P1979="","",IF(Shares!$E1982="",0,Shares!$E1982))</f>
        <v/>
      </c>
      <c r="Z1979">
        <f>IF($P1979="","",Shares!$H1982)</f>
        <v/>
      </c>
      <c r="AE1979">
        <f>IF(OR(Sync!$S1979="",Sync!$P1979=""),"",Sync!$S1979)</f>
        <v/>
      </c>
      <c r="AF1979">
        <f>IF($AE1979="","",IF(ISNUMBER(Sync!$P1979),IF(AND(Sync!$P1979&gt;=10000101,Sync!$P1979&lt;=99991231),INT(Sync!$P1979/10000),""),IFERROR(VALUE(TRIM(LEFT(Sync!$P1979,FIND("/",Sync!$P1979)-1))),"")))</f>
        <v/>
      </c>
      <c r="AG1979">
        <f>IF(OR($AE1979="",$AF1979=""),"",IF(ISNUMBER(Sync!$P1979),INT(MOD(Sync!$P1979,10000)/100),IFERROR(VALUE(TRIM(LEFT(MID(Sync!$P1979,FIND("/",Sync!$P1979)+1,20),FIND("/",MID(Sync!$P1979,FIND("/",Sync!$P1979)+1,20))-1))),"")))</f>
        <v/>
      </c>
      <c r="AH1979">
        <f>IF(OR($AE1979="",$AF1979=""),"",IF(ISNUMBER(Sync!$P1979),MOD(Sync!$P1979,100),IFERROR(VALUE(TRIM(MID(MID(Sync!$P1979,FIND("/",Sync!$P1979)+1,20),FIND("/",MID(Sync!$P1979,FIND("/",Sync!$P1979)+1,20))+1,20))),"")))</f>
        <v/>
      </c>
      <c r="AI1979">
        <f>IF($AE1979="","",IF(OR($AF1979="",$AG1979="",$AH1979="",$AF1979&lt;1300,$AF1979&gt;1500,$AG1979&lt;1,$AG1979&gt;12,$AH1979&lt;1,$AH1979&gt;31),"نامعتبر",RIGHT("0000"&amp;$AF1979,4)&amp;"/"&amp;RIGHT("00"&amp;$AG1979,2)&amp;"/"&amp;RIGHT("00"&amp;$AH1979,2)))</f>
        <v/>
      </c>
      <c r="AJ1979">
        <f>IF($AE1979="","",IF(Sync!$Q1979="","0000",IF(AND(ISNUMBER(Sync!$Q1979),Sync!$Q1979&gt;=0,Sync!$Q1979&lt;1),RIGHT("00"&amp;HOUR(Sync!$Q1979),2)&amp;RIGHT("00"&amp;MINUTE(Sync!$Q1979),2),IFERROR(RIGHT("00"&amp;VALUE(LEFT(Sync!$Q1979,FIND(":",Sync!$Q1979)-1)),2)&amp;RIGHT("00"&amp;VALUE(MID(Sync!$Q1979,FIND(":",Sync!$Q1979)+1,2)),2),"0000"))))</f>
        <v/>
      </c>
      <c r="AK1979">
        <f>IF(OR($AE1979="",$AI1979="",$AI1979="نامعتبر"),"",LEFT($AI1979,4)&amp;MID($AI1979,6,2)&amp;RIGHT($AI1979,2)&amp;$AJ1979&amp;"|"&amp;"3"&amp;RIGHT("00000"&amp;1974,5))</f>
        <v/>
      </c>
      <c r="AL1979">
        <f>IF($AK1979="","",COUNTIFS(LdAParty,$AE1979,LdAType,1,LdAKey,"&lt;"&amp;$AK1979)+COUNTIFS(LdBMember,$AE1979,LdBKey,"&lt;"&amp;$AK1979)+COUNTIFS(LdCParty,$AE1979,LdCKey,"&lt;"&amp;$AK1979)+1)</f>
        <v/>
      </c>
      <c r="AM1979">
        <f>IF($AL1979="","",$AE1979&amp;"|"&amp;RIGHT("000000"&amp;$AL1979,6))</f>
        <v/>
      </c>
      <c r="AN1979">
        <f>IF($AE1979="","",IF(Sync!$W1979="",0,Sync!$W1979))</f>
        <v/>
      </c>
      <c r="AO1979">
        <f>IF($AE1979="","",IF(Sync!$X1979="",0,Sync!$X1979))</f>
        <v/>
      </c>
      <c r="AP1979">
        <f>IF($AE1979="","",Sync!$R1979)</f>
        <v/>
      </c>
      <c r="AQ1979">
        <f>IF($AE1979="","",Sync!$Y1979)</f>
        <v/>
      </c>
    </row>
    <row r="1980">
      <c r="A1980">
        <f>IF(OR(Wages!$B1983="",Wages!$E1983=""),"",Wages!$E1983)</f>
        <v/>
      </c>
      <c r="B1980">
        <f>IF($A1980="","",IF(Wages!$C1983="دستمزد گروهی",2,1))</f>
        <v/>
      </c>
      <c r="C1980">
        <f>IF($A1980="","",IF(ISNUMBER(Wages!$B1983),IF(AND(Wages!$B1983&gt;=10000101,Wages!$B1983&lt;=99991231),INT(Wages!$B1983/10000),""),IFERROR(VALUE(TRIM(LEFT(Wages!$B1983,FIND("/",Wages!$B1983)-1))),"")))</f>
        <v/>
      </c>
      <c r="D1980">
        <f>IF(OR($A1980="",$C1980=""),"",IF(ISNUMBER(Wages!$B1983),INT(MOD(Wages!$B1983,10000)/100),IFERROR(VALUE(TRIM(LEFT(MID(Wages!$B1983,FIND("/",Wages!$B1983)+1,20),FIND("/",MID(Wages!$B1983,FIND("/",Wages!$B1983)+1,20))-1))),"")))</f>
        <v/>
      </c>
      <c r="E1980">
        <f>IF(OR($A1980="",$C1980=""),"",IF(ISNUMBER(Wages!$B1983),MOD(Wages!$B1983,100),IFERROR(VALUE(TRIM(MID(MID(Wages!$B1983,FIND("/",Wages!$B1983)+1,20),FIND("/",MID(Wages!$B1983,FIND("/",Wages!$B1983)+1,20))+1,20))),"")))</f>
        <v/>
      </c>
      <c r="F1980">
        <f>IF($A1980="","",IF(OR($C1980="",$D1980="",$E1980="",$C1980&lt;1300,$C1980&gt;1500,$D1980&lt;1,$D1980&gt;12,$E1980&lt;1,$E1980&gt;31),"نامعتبر",RIGHT("0000"&amp;$C1980,4)&amp;"/"&amp;RIGHT("00"&amp;$D1980,2)&amp;"/"&amp;RIGHT("00"&amp;$E1980,2)))</f>
        <v/>
      </c>
      <c r="G1980">
        <f>IF(OR($A1980="",$F1980="",$F1980="نامعتبر"),"",LEFT($F1980,4)&amp;MID($F1980,6,2)&amp;RIGHT($F1980,2)&amp;"0000"&amp;"|"&amp;"1"&amp;RIGHT("00000"&amp;1975,5))</f>
        <v/>
      </c>
      <c r="H1980">
        <f>IF(OR($B1980&lt;&gt;1,$G1980=""),"",COUNTIFS(LdAParty,$A1980,LdAType,1,LdAKey,"&lt;"&amp;$G1980)+COUNTIFS(LdBMember,$A1980,LdBKey,"&lt;"&amp;$G1980)+COUNTIFS(LdCParty,$A1980,LdCKey,"&lt;"&amp;$G1980)+1)</f>
        <v/>
      </c>
      <c r="I1980">
        <f>IF($H1980="","",$A1980&amp;"|"&amp;RIGHT("000000"&amp;$H1980,6))</f>
        <v/>
      </c>
      <c r="J1980">
        <f>IF(OR($B1980&lt;&gt;2,$G1980=""),"",COUNTIFS(LdAParty,$A1980,LdAType,2,LdAKey,"&lt;"&amp;$G1980)+1)</f>
        <v/>
      </c>
      <c r="K1980">
        <f>IF($J1980="","",$A1980&amp;"|"&amp;RIGHT("000000"&amp;$J1980,6))</f>
        <v/>
      </c>
      <c r="L1980">
        <f>IF($A1980="","",IF(Wages!$G1983="",0,Wages!$G1983))</f>
        <v/>
      </c>
      <c r="M1980">
        <f>IF($A1980="","",Wages!$J1983)</f>
        <v/>
      </c>
      <c r="N1980">
        <f>IF($A1980="","",Wages!$D1983)</f>
        <v/>
      </c>
      <c r="P1980">
        <f>IF(OR(Shares!$B1983="",Shares!$C1983=""),"",Shares!$C1983)</f>
        <v/>
      </c>
      <c r="Q1980">
        <f>IF($P1980="","",Shares!$B1983)</f>
        <v/>
      </c>
      <c r="R1980">
        <f>IF($P1980="","",IFERROR(INDEX(WageParty,MATCH($Q1980,WageIds,0)),""))</f>
        <v/>
      </c>
      <c r="S1980">
        <f>IF($P1980="","",IFERROR(INDEX($F$6:$F$2005,MATCH($Q1980,WageIds,0)),""))</f>
        <v/>
      </c>
      <c r="T1980">
        <f>IF(OR($P1980="",$S1980="",$S1980="نامعتبر"),"",LEFT($S1980,4)&amp;MID($S1980,6,2)&amp;RIGHT($S1980,2)&amp;"0000"&amp;"|"&amp;"2"&amp;RIGHT("00000"&amp;1975,5))</f>
        <v/>
      </c>
      <c r="U1980">
        <f>IF($T1980="","",COUNTIFS(LdAParty,$P1980,LdAType,1,LdAKey,"&lt;"&amp;$T1980)+COUNTIFS(LdBMember,$P1980,LdBKey,"&lt;"&amp;$T1980)+COUNTIFS(LdCParty,$P1980,LdCKey,"&lt;"&amp;$T1980)+1)</f>
        <v/>
      </c>
      <c r="V1980">
        <f>IF($U1980="","",$P1980&amp;"|"&amp;RIGHT("000000"&amp;$U1980,6))</f>
        <v/>
      </c>
      <c r="W1980">
        <f>IF($T1980="","",COUNTIFS(LdBGroup,$R1980,LdBKey,"&lt;"&amp;$T1980)+1)</f>
        <v/>
      </c>
      <c r="X1980">
        <f>IF($W1980="","",$R1980&amp;"|"&amp;RIGHT("000000"&amp;$W1980,6))</f>
        <v/>
      </c>
      <c r="Y1980">
        <f>IF($P1980="","",IF(Shares!$E1983="",0,Shares!$E1983))</f>
        <v/>
      </c>
      <c r="Z1980">
        <f>IF($P1980="","",Shares!$H1983)</f>
        <v/>
      </c>
      <c r="AE1980">
        <f>IF(OR(Sync!$S1980="",Sync!$P1980=""),"",Sync!$S1980)</f>
        <v/>
      </c>
      <c r="AF1980">
        <f>IF($AE1980="","",IF(ISNUMBER(Sync!$P1980),IF(AND(Sync!$P1980&gt;=10000101,Sync!$P1980&lt;=99991231),INT(Sync!$P1980/10000),""),IFERROR(VALUE(TRIM(LEFT(Sync!$P1980,FIND("/",Sync!$P1980)-1))),"")))</f>
        <v/>
      </c>
      <c r="AG1980">
        <f>IF(OR($AE1980="",$AF1980=""),"",IF(ISNUMBER(Sync!$P1980),INT(MOD(Sync!$P1980,10000)/100),IFERROR(VALUE(TRIM(LEFT(MID(Sync!$P1980,FIND("/",Sync!$P1980)+1,20),FIND("/",MID(Sync!$P1980,FIND("/",Sync!$P1980)+1,20))-1))),"")))</f>
        <v/>
      </c>
      <c r="AH1980">
        <f>IF(OR($AE1980="",$AF1980=""),"",IF(ISNUMBER(Sync!$P1980),MOD(Sync!$P1980,100),IFERROR(VALUE(TRIM(MID(MID(Sync!$P1980,FIND("/",Sync!$P1980)+1,20),FIND("/",MID(Sync!$P1980,FIND("/",Sync!$P1980)+1,20))+1,20))),"")))</f>
        <v/>
      </c>
      <c r="AI1980">
        <f>IF($AE1980="","",IF(OR($AF1980="",$AG1980="",$AH1980="",$AF1980&lt;1300,$AF1980&gt;1500,$AG1980&lt;1,$AG1980&gt;12,$AH1980&lt;1,$AH1980&gt;31),"نامعتبر",RIGHT("0000"&amp;$AF1980,4)&amp;"/"&amp;RIGHT("00"&amp;$AG1980,2)&amp;"/"&amp;RIGHT("00"&amp;$AH1980,2)))</f>
        <v/>
      </c>
      <c r="AJ1980">
        <f>IF($AE1980="","",IF(Sync!$Q1980="","0000",IF(AND(ISNUMBER(Sync!$Q1980),Sync!$Q1980&gt;=0,Sync!$Q1980&lt;1),RIGHT("00"&amp;HOUR(Sync!$Q1980),2)&amp;RIGHT("00"&amp;MINUTE(Sync!$Q1980),2),IFERROR(RIGHT("00"&amp;VALUE(LEFT(Sync!$Q1980,FIND(":",Sync!$Q1980)-1)),2)&amp;RIGHT("00"&amp;VALUE(MID(Sync!$Q1980,FIND(":",Sync!$Q1980)+1,2)),2),"0000"))))</f>
        <v/>
      </c>
      <c r="AK1980">
        <f>IF(OR($AE1980="",$AI1980="",$AI1980="نامعتبر"),"",LEFT($AI1980,4)&amp;MID($AI1980,6,2)&amp;RIGHT($AI1980,2)&amp;$AJ1980&amp;"|"&amp;"3"&amp;RIGHT("00000"&amp;1975,5))</f>
        <v/>
      </c>
      <c r="AL1980">
        <f>IF($AK1980="","",COUNTIFS(LdAParty,$AE1980,LdAType,1,LdAKey,"&lt;"&amp;$AK1980)+COUNTIFS(LdBMember,$AE1980,LdBKey,"&lt;"&amp;$AK1980)+COUNTIFS(LdCParty,$AE1980,LdCKey,"&lt;"&amp;$AK1980)+1)</f>
        <v/>
      </c>
      <c r="AM1980">
        <f>IF($AL1980="","",$AE1980&amp;"|"&amp;RIGHT("000000"&amp;$AL1980,6))</f>
        <v/>
      </c>
      <c r="AN1980">
        <f>IF($AE1980="","",IF(Sync!$W1980="",0,Sync!$W1980))</f>
        <v/>
      </c>
      <c r="AO1980">
        <f>IF($AE1980="","",IF(Sync!$X1980="",0,Sync!$X1980))</f>
        <v/>
      </c>
      <c r="AP1980">
        <f>IF($AE1980="","",Sync!$R1980)</f>
        <v/>
      </c>
      <c r="AQ1980">
        <f>IF($AE1980="","",Sync!$Y1980)</f>
        <v/>
      </c>
    </row>
    <row r="1981">
      <c r="A1981">
        <f>IF(OR(Wages!$B1984="",Wages!$E1984=""),"",Wages!$E1984)</f>
        <v/>
      </c>
      <c r="B1981">
        <f>IF($A1981="","",IF(Wages!$C1984="دستمزد گروهی",2,1))</f>
        <v/>
      </c>
      <c r="C1981">
        <f>IF($A1981="","",IF(ISNUMBER(Wages!$B1984),IF(AND(Wages!$B1984&gt;=10000101,Wages!$B1984&lt;=99991231),INT(Wages!$B1984/10000),""),IFERROR(VALUE(TRIM(LEFT(Wages!$B1984,FIND("/",Wages!$B1984)-1))),"")))</f>
        <v/>
      </c>
      <c r="D1981">
        <f>IF(OR($A1981="",$C1981=""),"",IF(ISNUMBER(Wages!$B1984),INT(MOD(Wages!$B1984,10000)/100),IFERROR(VALUE(TRIM(LEFT(MID(Wages!$B1984,FIND("/",Wages!$B1984)+1,20),FIND("/",MID(Wages!$B1984,FIND("/",Wages!$B1984)+1,20))-1))),"")))</f>
        <v/>
      </c>
      <c r="E1981">
        <f>IF(OR($A1981="",$C1981=""),"",IF(ISNUMBER(Wages!$B1984),MOD(Wages!$B1984,100),IFERROR(VALUE(TRIM(MID(MID(Wages!$B1984,FIND("/",Wages!$B1984)+1,20),FIND("/",MID(Wages!$B1984,FIND("/",Wages!$B1984)+1,20))+1,20))),"")))</f>
        <v/>
      </c>
      <c r="F1981">
        <f>IF($A1981="","",IF(OR($C1981="",$D1981="",$E1981="",$C1981&lt;1300,$C1981&gt;1500,$D1981&lt;1,$D1981&gt;12,$E1981&lt;1,$E1981&gt;31),"نامعتبر",RIGHT("0000"&amp;$C1981,4)&amp;"/"&amp;RIGHT("00"&amp;$D1981,2)&amp;"/"&amp;RIGHT("00"&amp;$E1981,2)))</f>
        <v/>
      </c>
      <c r="G1981">
        <f>IF(OR($A1981="",$F1981="",$F1981="نامعتبر"),"",LEFT($F1981,4)&amp;MID($F1981,6,2)&amp;RIGHT($F1981,2)&amp;"0000"&amp;"|"&amp;"1"&amp;RIGHT("00000"&amp;1976,5))</f>
        <v/>
      </c>
      <c r="H1981">
        <f>IF(OR($B1981&lt;&gt;1,$G1981=""),"",COUNTIFS(LdAParty,$A1981,LdAType,1,LdAKey,"&lt;"&amp;$G1981)+COUNTIFS(LdBMember,$A1981,LdBKey,"&lt;"&amp;$G1981)+COUNTIFS(LdCParty,$A1981,LdCKey,"&lt;"&amp;$G1981)+1)</f>
        <v/>
      </c>
      <c r="I1981">
        <f>IF($H1981="","",$A1981&amp;"|"&amp;RIGHT("000000"&amp;$H1981,6))</f>
        <v/>
      </c>
      <c r="J1981">
        <f>IF(OR($B1981&lt;&gt;2,$G1981=""),"",COUNTIFS(LdAParty,$A1981,LdAType,2,LdAKey,"&lt;"&amp;$G1981)+1)</f>
        <v/>
      </c>
      <c r="K1981">
        <f>IF($J1981="","",$A1981&amp;"|"&amp;RIGHT("000000"&amp;$J1981,6))</f>
        <v/>
      </c>
      <c r="L1981">
        <f>IF($A1981="","",IF(Wages!$G1984="",0,Wages!$G1984))</f>
        <v/>
      </c>
      <c r="M1981">
        <f>IF($A1981="","",Wages!$J1984)</f>
        <v/>
      </c>
      <c r="N1981">
        <f>IF($A1981="","",Wages!$D1984)</f>
        <v/>
      </c>
      <c r="P1981">
        <f>IF(OR(Shares!$B1984="",Shares!$C1984=""),"",Shares!$C1984)</f>
        <v/>
      </c>
      <c r="Q1981">
        <f>IF($P1981="","",Shares!$B1984)</f>
        <v/>
      </c>
      <c r="R1981">
        <f>IF($P1981="","",IFERROR(INDEX(WageParty,MATCH($Q1981,WageIds,0)),""))</f>
        <v/>
      </c>
      <c r="S1981">
        <f>IF($P1981="","",IFERROR(INDEX($F$6:$F$2005,MATCH($Q1981,WageIds,0)),""))</f>
        <v/>
      </c>
      <c r="T1981">
        <f>IF(OR($P1981="",$S1981="",$S1981="نامعتبر"),"",LEFT($S1981,4)&amp;MID($S1981,6,2)&amp;RIGHT($S1981,2)&amp;"0000"&amp;"|"&amp;"2"&amp;RIGHT("00000"&amp;1976,5))</f>
        <v/>
      </c>
      <c r="U1981">
        <f>IF($T1981="","",COUNTIFS(LdAParty,$P1981,LdAType,1,LdAKey,"&lt;"&amp;$T1981)+COUNTIFS(LdBMember,$P1981,LdBKey,"&lt;"&amp;$T1981)+COUNTIFS(LdCParty,$P1981,LdCKey,"&lt;"&amp;$T1981)+1)</f>
        <v/>
      </c>
      <c r="V1981">
        <f>IF($U1981="","",$P1981&amp;"|"&amp;RIGHT("000000"&amp;$U1981,6))</f>
        <v/>
      </c>
      <c r="W1981">
        <f>IF($T1981="","",COUNTIFS(LdBGroup,$R1981,LdBKey,"&lt;"&amp;$T1981)+1)</f>
        <v/>
      </c>
      <c r="X1981">
        <f>IF($W1981="","",$R1981&amp;"|"&amp;RIGHT("000000"&amp;$W1981,6))</f>
        <v/>
      </c>
      <c r="Y1981">
        <f>IF($P1981="","",IF(Shares!$E1984="",0,Shares!$E1984))</f>
        <v/>
      </c>
      <c r="Z1981">
        <f>IF($P1981="","",Shares!$H1984)</f>
        <v/>
      </c>
      <c r="AE1981">
        <f>IF(OR(Sync!$S1981="",Sync!$P1981=""),"",Sync!$S1981)</f>
        <v/>
      </c>
      <c r="AF1981">
        <f>IF($AE1981="","",IF(ISNUMBER(Sync!$P1981),IF(AND(Sync!$P1981&gt;=10000101,Sync!$P1981&lt;=99991231),INT(Sync!$P1981/10000),""),IFERROR(VALUE(TRIM(LEFT(Sync!$P1981,FIND("/",Sync!$P1981)-1))),"")))</f>
        <v/>
      </c>
      <c r="AG1981">
        <f>IF(OR($AE1981="",$AF1981=""),"",IF(ISNUMBER(Sync!$P1981),INT(MOD(Sync!$P1981,10000)/100),IFERROR(VALUE(TRIM(LEFT(MID(Sync!$P1981,FIND("/",Sync!$P1981)+1,20),FIND("/",MID(Sync!$P1981,FIND("/",Sync!$P1981)+1,20))-1))),"")))</f>
        <v/>
      </c>
      <c r="AH1981">
        <f>IF(OR($AE1981="",$AF1981=""),"",IF(ISNUMBER(Sync!$P1981),MOD(Sync!$P1981,100),IFERROR(VALUE(TRIM(MID(MID(Sync!$P1981,FIND("/",Sync!$P1981)+1,20),FIND("/",MID(Sync!$P1981,FIND("/",Sync!$P1981)+1,20))+1,20))),"")))</f>
        <v/>
      </c>
      <c r="AI1981">
        <f>IF($AE1981="","",IF(OR($AF1981="",$AG1981="",$AH1981="",$AF1981&lt;1300,$AF1981&gt;1500,$AG1981&lt;1,$AG1981&gt;12,$AH1981&lt;1,$AH1981&gt;31),"نامعتبر",RIGHT("0000"&amp;$AF1981,4)&amp;"/"&amp;RIGHT("00"&amp;$AG1981,2)&amp;"/"&amp;RIGHT("00"&amp;$AH1981,2)))</f>
        <v/>
      </c>
      <c r="AJ1981">
        <f>IF($AE1981="","",IF(Sync!$Q1981="","0000",IF(AND(ISNUMBER(Sync!$Q1981),Sync!$Q1981&gt;=0,Sync!$Q1981&lt;1),RIGHT("00"&amp;HOUR(Sync!$Q1981),2)&amp;RIGHT("00"&amp;MINUTE(Sync!$Q1981),2),IFERROR(RIGHT("00"&amp;VALUE(LEFT(Sync!$Q1981,FIND(":",Sync!$Q1981)-1)),2)&amp;RIGHT("00"&amp;VALUE(MID(Sync!$Q1981,FIND(":",Sync!$Q1981)+1,2)),2),"0000"))))</f>
        <v/>
      </c>
      <c r="AK1981">
        <f>IF(OR($AE1981="",$AI1981="",$AI1981="نامعتبر"),"",LEFT($AI1981,4)&amp;MID($AI1981,6,2)&amp;RIGHT($AI1981,2)&amp;$AJ1981&amp;"|"&amp;"3"&amp;RIGHT("00000"&amp;1976,5))</f>
        <v/>
      </c>
      <c r="AL1981">
        <f>IF($AK1981="","",COUNTIFS(LdAParty,$AE1981,LdAType,1,LdAKey,"&lt;"&amp;$AK1981)+COUNTIFS(LdBMember,$AE1981,LdBKey,"&lt;"&amp;$AK1981)+COUNTIFS(LdCParty,$AE1981,LdCKey,"&lt;"&amp;$AK1981)+1)</f>
        <v/>
      </c>
      <c r="AM1981">
        <f>IF($AL1981="","",$AE1981&amp;"|"&amp;RIGHT("000000"&amp;$AL1981,6))</f>
        <v/>
      </c>
      <c r="AN1981">
        <f>IF($AE1981="","",IF(Sync!$W1981="",0,Sync!$W1981))</f>
        <v/>
      </c>
      <c r="AO1981">
        <f>IF($AE1981="","",IF(Sync!$X1981="",0,Sync!$X1981))</f>
        <v/>
      </c>
      <c r="AP1981">
        <f>IF($AE1981="","",Sync!$R1981)</f>
        <v/>
      </c>
      <c r="AQ1981">
        <f>IF($AE1981="","",Sync!$Y1981)</f>
        <v/>
      </c>
    </row>
    <row r="1982">
      <c r="A1982">
        <f>IF(OR(Wages!$B1985="",Wages!$E1985=""),"",Wages!$E1985)</f>
        <v/>
      </c>
      <c r="B1982">
        <f>IF($A1982="","",IF(Wages!$C1985="دستمزد گروهی",2,1))</f>
        <v/>
      </c>
      <c r="C1982">
        <f>IF($A1982="","",IF(ISNUMBER(Wages!$B1985),IF(AND(Wages!$B1985&gt;=10000101,Wages!$B1985&lt;=99991231),INT(Wages!$B1985/10000),""),IFERROR(VALUE(TRIM(LEFT(Wages!$B1985,FIND("/",Wages!$B1985)-1))),"")))</f>
        <v/>
      </c>
      <c r="D1982">
        <f>IF(OR($A1982="",$C1982=""),"",IF(ISNUMBER(Wages!$B1985),INT(MOD(Wages!$B1985,10000)/100),IFERROR(VALUE(TRIM(LEFT(MID(Wages!$B1985,FIND("/",Wages!$B1985)+1,20),FIND("/",MID(Wages!$B1985,FIND("/",Wages!$B1985)+1,20))-1))),"")))</f>
        <v/>
      </c>
      <c r="E1982">
        <f>IF(OR($A1982="",$C1982=""),"",IF(ISNUMBER(Wages!$B1985),MOD(Wages!$B1985,100),IFERROR(VALUE(TRIM(MID(MID(Wages!$B1985,FIND("/",Wages!$B1985)+1,20),FIND("/",MID(Wages!$B1985,FIND("/",Wages!$B1985)+1,20))+1,20))),"")))</f>
        <v/>
      </c>
      <c r="F1982">
        <f>IF($A1982="","",IF(OR($C1982="",$D1982="",$E1982="",$C1982&lt;1300,$C1982&gt;1500,$D1982&lt;1,$D1982&gt;12,$E1982&lt;1,$E1982&gt;31),"نامعتبر",RIGHT("0000"&amp;$C1982,4)&amp;"/"&amp;RIGHT("00"&amp;$D1982,2)&amp;"/"&amp;RIGHT("00"&amp;$E1982,2)))</f>
        <v/>
      </c>
      <c r="G1982">
        <f>IF(OR($A1982="",$F1982="",$F1982="نامعتبر"),"",LEFT($F1982,4)&amp;MID($F1982,6,2)&amp;RIGHT($F1982,2)&amp;"0000"&amp;"|"&amp;"1"&amp;RIGHT("00000"&amp;1977,5))</f>
        <v/>
      </c>
      <c r="H1982">
        <f>IF(OR($B1982&lt;&gt;1,$G1982=""),"",COUNTIFS(LdAParty,$A1982,LdAType,1,LdAKey,"&lt;"&amp;$G1982)+COUNTIFS(LdBMember,$A1982,LdBKey,"&lt;"&amp;$G1982)+COUNTIFS(LdCParty,$A1982,LdCKey,"&lt;"&amp;$G1982)+1)</f>
        <v/>
      </c>
      <c r="I1982">
        <f>IF($H1982="","",$A1982&amp;"|"&amp;RIGHT("000000"&amp;$H1982,6))</f>
        <v/>
      </c>
      <c r="J1982">
        <f>IF(OR($B1982&lt;&gt;2,$G1982=""),"",COUNTIFS(LdAParty,$A1982,LdAType,2,LdAKey,"&lt;"&amp;$G1982)+1)</f>
        <v/>
      </c>
      <c r="K1982">
        <f>IF($J1982="","",$A1982&amp;"|"&amp;RIGHT("000000"&amp;$J1982,6))</f>
        <v/>
      </c>
      <c r="L1982">
        <f>IF($A1982="","",IF(Wages!$G1985="",0,Wages!$G1985))</f>
        <v/>
      </c>
      <c r="M1982">
        <f>IF($A1982="","",Wages!$J1985)</f>
        <v/>
      </c>
      <c r="N1982">
        <f>IF($A1982="","",Wages!$D1985)</f>
        <v/>
      </c>
      <c r="P1982">
        <f>IF(OR(Shares!$B1985="",Shares!$C1985=""),"",Shares!$C1985)</f>
        <v/>
      </c>
      <c r="Q1982">
        <f>IF($P1982="","",Shares!$B1985)</f>
        <v/>
      </c>
      <c r="R1982">
        <f>IF($P1982="","",IFERROR(INDEX(WageParty,MATCH($Q1982,WageIds,0)),""))</f>
        <v/>
      </c>
      <c r="S1982">
        <f>IF($P1982="","",IFERROR(INDEX($F$6:$F$2005,MATCH($Q1982,WageIds,0)),""))</f>
        <v/>
      </c>
      <c r="T1982">
        <f>IF(OR($P1982="",$S1982="",$S1982="نامعتبر"),"",LEFT($S1982,4)&amp;MID($S1982,6,2)&amp;RIGHT($S1982,2)&amp;"0000"&amp;"|"&amp;"2"&amp;RIGHT("00000"&amp;1977,5))</f>
        <v/>
      </c>
      <c r="U1982">
        <f>IF($T1982="","",COUNTIFS(LdAParty,$P1982,LdAType,1,LdAKey,"&lt;"&amp;$T1982)+COUNTIFS(LdBMember,$P1982,LdBKey,"&lt;"&amp;$T1982)+COUNTIFS(LdCParty,$P1982,LdCKey,"&lt;"&amp;$T1982)+1)</f>
        <v/>
      </c>
      <c r="V1982">
        <f>IF($U1982="","",$P1982&amp;"|"&amp;RIGHT("000000"&amp;$U1982,6))</f>
        <v/>
      </c>
      <c r="W1982">
        <f>IF($T1982="","",COUNTIFS(LdBGroup,$R1982,LdBKey,"&lt;"&amp;$T1982)+1)</f>
        <v/>
      </c>
      <c r="X1982">
        <f>IF($W1982="","",$R1982&amp;"|"&amp;RIGHT("000000"&amp;$W1982,6))</f>
        <v/>
      </c>
      <c r="Y1982">
        <f>IF($P1982="","",IF(Shares!$E1985="",0,Shares!$E1985))</f>
        <v/>
      </c>
      <c r="Z1982">
        <f>IF($P1982="","",Shares!$H1985)</f>
        <v/>
      </c>
      <c r="AE1982">
        <f>IF(OR(Sync!$S1982="",Sync!$P1982=""),"",Sync!$S1982)</f>
        <v/>
      </c>
      <c r="AF1982">
        <f>IF($AE1982="","",IF(ISNUMBER(Sync!$P1982),IF(AND(Sync!$P1982&gt;=10000101,Sync!$P1982&lt;=99991231),INT(Sync!$P1982/10000),""),IFERROR(VALUE(TRIM(LEFT(Sync!$P1982,FIND("/",Sync!$P1982)-1))),"")))</f>
        <v/>
      </c>
      <c r="AG1982">
        <f>IF(OR($AE1982="",$AF1982=""),"",IF(ISNUMBER(Sync!$P1982),INT(MOD(Sync!$P1982,10000)/100),IFERROR(VALUE(TRIM(LEFT(MID(Sync!$P1982,FIND("/",Sync!$P1982)+1,20),FIND("/",MID(Sync!$P1982,FIND("/",Sync!$P1982)+1,20))-1))),"")))</f>
        <v/>
      </c>
      <c r="AH1982">
        <f>IF(OR($AE1982="",$AF1982=""),"",IF(ISNUMBER(Sync!$P1982),MOD(Sync!$P1982,100),IFERROR(VALUE(TRIM(MID(MID(Sync!$P1982,FIND("/",Sync!$P1982)+1,20),FIND("/",MID(Sync!$P1982,FIND("/",Sync!$P1982)+1,20))+1,20))),"")))</f>
        <v/>
      </c>
      <c r="AI1982">
        <f>IF($AE1982="","",IF(OR($AF1982="",$AG1982="",$AH1982="",$AF1982&lt;1300,$AF1982&gt;1500,$AG1982&lt;1,$AG1982&gt;12,$AH1982&lt;1,$AH1982&gt;31),"نامعتبر",RIGHT("0000"&amp;$AF1982,4)&amp;"/"&amp;RIGHT("00"&amp;$AG1982,2)&amp;"/"&amp;RIGHT("00"&amp;$AH1982,2)))</f>
        <v/>
      </c>
      <c r="AJ1982">
        <f>IF($AE1982="","",IF(Sync!$Q1982="","0000",IF(AND(ISNUMBER(Sync!$Q1982),Sync!$Q1982&gt;=0,Sync!$Q1982&lt;1),RIGHT("00"&amp;HOUR(Sync!$Q1982),2)&amp;RIGHT("00"&amp;MINUTE(Sync!$Q1982),2),IFERROR(RIGHT("00"&amp;VALUE(LEFT(Sync!$Q1982,FIND(":",Sync!$Q1982)-1)),2)&amp;RIGHT("00"&amp;VALUE(MID(Sync!$Q1982,FIND(":",Sync!$Q1982)+1,2)),2),"0000"))))</f>
        <v/>
      </c>
      <c r="AK1982">
        <f>IF(OR($AE1982="",$AI1982="",$AI1982="نامعتبر"),"",LEFT($AI1982,4)&amp;MID($AI1982,6,2)&amp;RIGHT($AI1982,2)&amp;$AJ1982&amp;"|"&amp;"3"&amp;RIGHT("00000"&amp;1977,5))</f>
        <v/>
      </c>
      <c r="AL1982">
        <f>IF($AK1982="","",COUNTIFS(LdAParty,$AE1982,LdAType,1,LdAKey,"&lt;"&amp;$AK1982)+COUNTIFS(LdBMember,$AE1982,LdBKey,"&lt;"&amp;$AK1982)+COUNTIFS(LdCParty,$AE1982,LdCKey,"&lt;"&amp;$AK1982)+1)</f>
        <v/>
      </c>
      <c r="AM1982">
        <f>IF($AL1982="","",$AE1982&amp;"|"&amp;RIGHT("000000"&amp;$AL1982,6))</f>
        <v/>
      </c>
      <c r="AN1982">
        <f>IF($AE1982="","",IF(Sync!$W1982="",0,Sync!$W1982))</f>
        <v/>
      </c>
      <c r="AO1982">
        <f>IF($AE1982="","",IF(Sync!$X1982="",0,Sync!$X1982))</f>
        <v/>
      </c>
      <c r="AP1982">
        <f>IF($AE1982="","",Sync!$R1982)</f>
        <v/>
      </c>
      <c r="AQ1982">
        <f>IF($AE1982="","",Sync!$Y1982)</f>
        <v/>
      </c>
    </row>
    <row r="1983">
      <c r="A1983">
        <f>IF(OR(Wages!$B1986="",Wages!$E1986=""),"",Wages!$E1986)</f>
        <v/>
      </c>
      <c r="B1983">
        <f>IF($A1983="","",IF(Wages!$C1986="دستمزد گروهی",2,1))</f>
        <v/>
      </c>
      <c r="C1983">
        <f>IF($A1983="","",IF(ISNUMBER(Wages!$B1986),IF(AND(Wages!$B1986&gt;=10000101,Wages!$B1986&lt;=99991231),INT(Wages!$B1986/10000),""),IFERROR(VALUE(TRIM(LEFT(Wages!$B1986,FIND("/",Wages!$B1986)-1))),"")))</f>
        <v/>
      </c>
      <c r="D1983">
        <f>IF(OR($A1983="",$C1983=""),"",IF(ISNUMBER(Wages!$B1986),INT(MOD(Wages!$B1986,10000)/100),IFERROR(VALUE(TRIM(LEFT(MID(Wages!$B1986,FIND("/",Wages!$B1986)+1,20),FIND("/",MID(Wages!$B1986,FIND("/",Wages!$B1986)+1,20))-1))),"")))</f>
        <v/>
      </c>
      <c r="E1983">
        <f>IF(OR($A1983="",$C1983=""),"",IF(ISNUMBER(Wages!$B1986),MOD(Wages!$B1986,100),IFERROR(VALUE(TRIM(MID(MID(Wages!$B1986,FIND("/",Wages!$B1986)+1,20),FIND("/",MID(Wages!$B1986,FIND("/",Wages!$B1986)+1,20))+1,20))),"")))</f>
        <v/>
      </c>
      <c r="F1983">
        <f>IF($A1983="","",IF(OR($C1983="",$D1983="",$E1983="",$C1983&lt;1300,$C1983&gt;1500,$D1983&lt;1,$D1983&gt;12,$E1983&lt;1,$E1983&gt;31),"نامعتبر",RIGHT("0000"&amp;$C1983,4)&amp;"/"&amp;RIGHT("00"&amp;$D1983,2)&amp;"/"&amp;RIGHT("00"&amp;$E1983,2)))</f>
        <v/>
      </c>
      <c r="G1983">
        <f>IF(OR($A1983="",$F1983="",$F1983="نامعتبر"),"",LEFT($F1983,4)&amp;MID($F1983,6,2)&amp;RIGHT($F1983,2)&amp;"0000"&amp;"|"&amp;"1"&amp;RIGHT("00000"&amp;1978,5))</f>
        <v/>
      </c>
      <c r="H1983">
        <f>IF(OR($B1983&lt;&gt;1,$G1983=""),"",COUNTIFS(LdAParty,$A1983,LdAType,1,LdAKey,"&lt;"&amp;$G1983)+COUNTIFS(LdBMember,$A1983,LdBKey,"&lt;"&amp;$G1983)+COUNTIFS(LdCParty,$A1983,LdCKey,"&lt;"&amp;$G1983)+1)</f>
        <v/>
      </c>
      <c r="I1983">
        <f>IF($H1983="","",$A1983&amp;"|"&amp;RIGHT("000000"&amp;$H1983,6))</f>
        <v/>
      </c>
      <c r="J1983">
        <f>IF(OR($B1983&lt;&gt;2,$G1983=""),"",COUNTIFS(LdAParty,$A1983,LdAType,2,LdAKey,"&lt;"&amp;$G1983)+1)</f>
        <v/>
      </c>
      <c r="K1983">
        <f>IF($J1983="","",$A1983&amp;"|"&amp;RIGHT("000000"&amp;$J1983,6))</f>
        <v/>
      </c>
      <c r="L1983">
        <f>IF($A1983="","",IF(Wages!$G1986="",0,Wages!$G1986))</f>
        <v/>
      </c>
      <c r="M1983">
        <f>IF($A1983="","",Wages!$J1986)</f>
        <v/>
      </c>
      <c r="N1983">
        <f>IF($A1983="","",Wages!$D1986)</f>
        <v/>
      </c>
      <c r="P1983">
        <f>IF(OR(Shares!$B1986="",Shares!$C1986=""),"",Shares!$C1986)</f>
        <v/>
      </c>
      <c r="Q1983">
        <f>IF($P1983="","",Shares!$B1986)</f>
        <v/>
      </c>
      <c r="R1983">
        <f>IF($P1983="","",IFERROR(INDEX(WageParty,MATCH($Q1983,WageIds,0)),""))</f>
        <v/>
      </c>
      <c r="S1983">
        <f>IF($P1983="","",IFERROR(INDEX($F$6:$F$2005,MATCH($Q1983,WageIds,0)),""))</f>
        <v/>
      </c>
      <c r="T1983">
        <f>IF(OR($P1983="",$S1983="",$S1983="نامعتبر"),"",LEFT($S1983,4)&amp;MID($S1983,6,2)&amp;RIGHT($S1983,2)&amp;"0000"&amp;"|"&amp;"2"&amp;RIGHT("00000"&amp;1978,5))</f>
        <v/>
      </c>
      <c r="U1983">
        <f>IF($T1983="","",COUNTIFS(LdAParty,$P1983,LdAType,1,LdAKey,"&lt;"&amp;$T1983)+COUNTIFS(LdBMember,$P1983,LdBKey,"&lt;"&amp;$T1983)+COUNTIFS(LdCParty,$P1983,LdCKey,"&lt;"&amp;$T1983)+1)</f>
        <v/>
      </c>
      <c r="V1983">
        <f>IF($U1983="","",$P1983&amp;"|"&amp;RIGHT("000000"&amp;$U1983,6))</f>
        <v/>
      </c>
      <c r="W1983">
        <f>IF($T1983="","",COUNTIFS(LdBGroup,$R1983,LdBKey,"&lt;"&amp;$T1983)+1)</f>
        <v/>
      </c>
      <c r="X1983">
        <f>IF($W1983="","",$R1983&amp;"|"&amp;RIGHT("000000"&amp;$W1983,6))</f>
        <v/>
      </c>
      <c r="Y1983">
        <f>IF($P1983="","",IF(Shares!$E1986="",0,Shares!$E1986))</f>
        <v/>
      </c>
      <c r="Z1983">
        <f>IF($P1983="","",Shares!$H1986)</f>
        <v/>
      </c>
      <c r="AE1983">
        <f>IF(OR(Sync!$S1983="",Sync!$P1983=""),"",Sync!$S1983)</f>
        <v/>
      </c>
      <c r="AF1983">
        <f>IF($AE1983="","",IF(ISNUMBER(Sync!$P1983),IF(AND(Sync!$P1983&gt;=10000101,Sync!$P1983&lt;=99991231),INT(Sync!$P1983/10000),""),IFERROR(VALUE(TRIM(LEFT(Sync!$P1983,FIND("/",Sync!$P1983)-1))),"")))</f>
        <v/>
      </c>
      <c r="AG1983">
        <f>IF(OR($AE1983="",$AF1983=""),"",IF(ISNUMBER(Sync!$P1983),INT(MOD(Sync!$P1983,10000)/100),IFERROR(VALUE(TRIM(LEFT(MID(Sync!$P1983,FIND("/",Sync!$P1983)+1,20),FIND("/",MID(Sync!$P1983,FIND("/",Sync!$P1983)+1,20))-1))),"")))</f>
        <v/>
      </c>
      <c r="AH1983">
        <f>IF(OR($AE1983="",$AF1983=""),"",IF(ISNUMBER(Sync!$P1983),MOD(Sync!$P1983,100),IFERROR(VALUE(TRIM(MID(MID(Sync!$P1983,FIND("/",Sync!$P1983)+1,20),FIND("/",MID(Sync!$P1983,FIND("/",Sync!$P1983)+1,20))+1,20))),"")))</f>
        <v/>
      </c>
      <c r="AI1983">
        <f>IF($AE1983="","",IF(OR($AF1983="",$AG1983="",$AH1983="",$AF1983&lt;1300,$AF1983&gt;1500,$AG1983&lt;1,$AG1983&gt;12,$AH1983&lt;1,$AH1983&gt;31),"نامعتبر",RIGHT("0000"&amp;$AF1983,4)&amp;"/"&amp;RIGHT("00"&amp;$AG1983,2)&amp;"/"&amp;RIGHT("00"&amp;$AH1983,2)))</f>
        <v/>
      </c>
      <c r="AJ1983">
        <f>IF($AE1983="","",IF(Sync!$Q1983="","0000",IF(AND(ISNUMBER(Sync!$Q1983),Sync!$Q1983&gt;=0,Sync!$Q1983&lt;1),RIGHT("00"&amp;HOUR(Sync!$Q1983),2)&amp;RIGHT("00"&amp;MINUTE(Sync!$Q1983),2),IFERROR(RIGHT("00"&amp;VALUE(LEFT(Sync!$Q1983,FIND(":",Sync!$Q1983)-1)),2)&amp;RIGHT("00"&amp;VALUE(MID(Sync!$Q1983,FIND(":",Sync!$Q1983)+1,2)),2),"0000"))))</f>
        <v/>
      </c>
      <c r="AK1983">
        <f>IF(OR($AE1983="",$AI1983="",$AI1983="نامعتبر"),"",LEFT($AI1983,4)&amp;MID($AI1983,6,2)&amp;RIGHT($AI1983,2)&amp;$AJ1983&amp;"|"&amp;"3"&amp;RIGHT("00000"&amp;1978,5))</f>
        <v/>
      </c>
      <c r="AL1983">
        <f>IF($AK1983="","",COUNTIFS(LdAParty,$AE1983,LdAType,1,LdAKey,"&lt;"&amp;$AK1983)+COUNTIFS(LdBMember,$AE1983,LdBKey,"&lt;"&amp;$AK1983)+COUNTIFS(LdCParty,$AE1983,LdCKey,"&lt;"&amp;$AK1983)+1)</f>
        <v/>
      </c>
      <c r="AM1983">
        <f>IF($AL1983="","",$AE1983&amp;"|"&amp;RIGHT("000000"&amp;$AL1983,6))</f>
        <v/>
      </c>
      <c r="AN1983">
        <f>IF($AE1983="","",IF(Sync!$W1983="",0,Sync!$W1983))</f>
        <v/>
      </c>
      <c r="AO1983">
        <f>IF($AE1983="","",IF(Sync!$X1983="",0,Sync!$X1983))</f>
        <v/>
      </c>
      <c r="AP1983">
        <f>IF($AE1983="","",Sync!$R1983)</f>
        <v/>
      </c>
      <c r="AQ1983">
        <f>IF($AE1983="","",Sync!$Y1983)</f>
        <v/>
      </c>
    </row>
    <row r="1984">
      <c r="A1984">
        <f>IF(OR(Wages!$B1987="",Wages!$E1987=""),"",Wages!$E1987)</f>
        <v/>
      </c>
      <c r="B1984">
        <f>IF($A1984="","",IF(Wages!$C1987="دستمزد گروهی",2,1))</f>
        <v/>
      </c>
      <c r="C1984">
        <f>IF($A1984="","",IF(ISNUMBER(Wages!$B1987),IF(AND(Wages!$B1987&gt;=10000101,Wages!$B1987&lt;=99991231),INT(Wages!$B1987/10000),""),IFERROR(VALUE(TRIM(LEFT(Wages!$B1987,FIND("/",Wages!$B1987)-1))),"")))</f>
        <v/>
      </c>
      <c r="D1984">
        <f>IF(OR($A1984="",$C1984=""),"",IF(ISNUMBER(Wages!$B1987),INT(MOD(Wages!$B1987,10000)/100),IFERROR(VALUE(TRIM(LEFT(MID(Wages!$B1987,FIND("/",Wages!$B1987)+1,20),FIND("/",MID(Wages!$B1987,FIND("/",Wages!$B1987)+1,20))-1))),"")))</f>
        <v/>
      </c>
      <c r="E1984">
        <f>IF(OR($A1984="",$C1984=""),"",IF(ISNUMBER(Wages!$B1987),MOD(Wages!$B1987,100),IFERROR(VALUE(TRIM(MID(MID(Wages!$B1987,FIND("/",Wages!$B1987)+1,20),FIND("/",MID(Wages!$B1987,FIND("/",Wages!$B1987)+1,20))+1,20))),"")))</f>
        <v/>
      </c>
      <c r="F1984">
        <f>IF($A1984="","",IF(OR($C1984="",$D1984="",$E1984="",$C1984&lt;1300,$C1984&gt;1500,$D1984&lt;1,$D1984&gt;12,$E1984&lt;1,$E1984&gt;31),"نامعتبر",RIGHT("0000"&amp;$C1984,4)&amp;"/"&amp;RIGHT("00"&amp;$D1984,2)&amp;"/"&amp;RIGHT("00"&amp;$E1984,2)))</f>
        <v/>
      </c>
      <c r="G1984">
        <f>IF(OR($A1984="",$F1984="",$F1984="نامعتبر"),"",LEFT($F1984,4)&amp;MID($F1984,6,2)&amp;RIGHT($F1984,2)&amp;"0000"&amp;"|"&amp;"1"&amp;RIGHT("00000"&amp;1979,5))</f>
        <v/>
      </c>
      <c r="H1984">
        <f>IF(OR($B1984&lt;&gt;1,$G1984=""),"",COUNTIFS(LdAParty,$A1984,LdAType,1,LdAKey,"&lt;"&amp;$G1984)+COUNTIFS(LdBMember,$A1984,LdBKey,"&lt;"&amp;$G1984)+COUNTIFS(LdCParty,$A1984,LdCKey,"&lt;"&amp;$G1984)+1)</f>
        <v/>
      </c>
      <c r="I1984">
        <f>IF($H1984="","",$A1984&amp;"|"&amp;RIGHT("000000"&amp;$H1984,6))</f>
        <v/>
      </c>
      <c r="J1984">
        <f>IF(OR($B1984&lt;&gt;2,$G1984=""),"",COUNTIFS(LdAParty,$A1984,LdAType,2,LdAKey,"&lt;"&amp;$G1984)+1)</f>
        <v/>
      </c>
      <c r="K1984">
        <f>IF($J1984="","",$A1984&amp;"|"&amp;RIGHT("000000"&amp;$J1984,6))</f>
        <v/>
      </c>
      <c r="L1984">
        <f>IF($A1984="","",IF(Wages!$G1987="",0,Wages!$G1987))</f>
        <v/>
      </c>
      <c r="M1984">
        <f>IF($A1984="","",Wages!$J1987)</f>
        <v/>
      </c>
      <c r="N1984">
        <f>IF($A1984="","",Wages!$D1987)</f>
        <v/>
      </c>
      <c r="P1984">
        <f>IF(OR(Shares!$B1987="",Shares!$C1987=""),"",Shares!$C1987)</f>
        <v/>
      </c>
      <c r="Q1984">
        <f>IF($P1984="","",Shares!$B1987)</f>
        <v/>
      </c>
      <c r="R1984">
        <f>IF($P1984="","",IFERROR(INDEX(WageParty,MATCH($Q1984,WageIds,0)),""))</f>
        <v/>
      </c>
      <c r="S1984">
        <f>IF($P1984="","",IFERROR(INDEX($F$6:$F$2005,MATCH($Q1984,WageIds,0)),""))</f>
        <v/>
      </c>
      <c r="T1984">
        <f>IF(OR($P1984="",$S1984="",$S1984="نامعتبر"),"",LEFT($S1984,4)&amp;MID($S1984,6,2)&amp;RIGHT($S1984,2)&amp;"0000"&amp;"|"&amp;"2"&amp;RIGHT("00000"&amp;1979,5))</f>
        <v/>
      </c>
      <c r="U1984">
        <f>IF($T1984="","",COUNTIFS(LdAParty,$P1984,LdAType,1,LdAKey,"&lt;"&amp;$T1984)+COUNTIFS(LdBMember,$P1984,LdBKey,"&lt;"&amp;$T1984)+COUNTIFS(LdCParty,$P1984,LdCKey,"&lt;"&amp;$T1984)+1)</f>
        <v/>
      </c>
      <c r="V1984">
        <f>IF($U1984="","",$P1984&amp;"|"&amp;RIGHT("000000"&amp;$U1984,6))</f>
        <v/>
      </c>
      <c r="W1984">
        <f>IF($T1984="","",COUNTIFS(LdBGroup,$R1984,LdBKey,"&lt;"&amp;$T1984)+1)</f>
        <v/>
      </c>
      <c r="X1984">
        <f>IF($W1984="","",$R1984&amp;"|"&amp;RIGHT("000000"&amp;$W1984,6))</f>
        <v/>
      </c>
      <c r="Y1984">
        <f>IF($P1984="","",IF(Shares!$E1987="",0,Shares!$E1987))</f>
        <v/>
      </c>
      <c r="Z1984">
        <f>IF($P1984="","",Shares!$H1987)</f>
        <v/>
      </c>
      <c r="AE1984">
        <f>IF(OR(Sync!$S1984="",Sync!$P1984=""),"",Sync!$S1984)</f>
        <v/>
      </c>
      <c r="AF1984">
        <f>IF($AE1984="","",IF(ISNUMBER(Sync!$P1984),IF(AND(Sync!$P1984&gt;=10000101,Sync!$P1984&lt;=99991231),INT(Sync!$P1984/10000),""),IFERROR(VALUE(TRIM(LEFT(Sync!$P1984,FIND("/",Sync!$P1984)-1))),"")))</f>
        <v/>
      </c>
      <c r="AG1984">
        <f>IF(OR($AE1984="",$AF1984=""),"",IF(ISNUMBER(Sync!$P1984),INT(MOD(Sync!$P1984,10000)/100),IFERROR(VALUE(TRIM(LEFT(MID(Sync!$P1984,FIND("/",Sync!$P1984)+1,20),FIND("/",MID(Sync!$P1984,FIND("/",Sync!$P1984)+1,20))-1))),"")))</f>
        <v/>
      </c>
      <c r="AH1984">
        <f>IF(OR($AE1984="",$AF1984=""),"",IF(ISNUMBER(Sync!$P1984),MOD(Sync!$P1984,100),IFERROR(VALUE(TRIM(MID(MID(Sync!$P1984,FIND("/",Sync!$P1984)+1,20),FIND("/",MID(Sync!$P1984,FIND("/",Sync!$P1984)+1,20))+1,20))),"")))</f>
        <v/>
      </c>
      <c r="AI1984">
        <f>IF($AE1984="","",IF(OR($AF1984="",$AG1984="",$AH1984="",$AF1984&lt;1300,$AF1984&gt;1500,$AG1984&lt;1,$AG1984&gt;12,$AH1984&lt;1,$AH1984&gt;31),"نامعتبر",RIGHT("0000"&amp;$AF1984,4)&amp;"/"&amp;RIGHT("00"&amp;$AG1984,2)&amp;"/"&amp;RIGHT("00"&amp;$AH1984,2)))</f>
        <v/>
      </c>
      <c r="AJ1984">
        <f>IF($AE1984="","",IF(Sync!$Q1984="","0000",IF(AND(ISNUMBER(Sync!$Q1984),Sync!$Q1984&gt;=0,Sync!$Q1984&lt;1),RIGHT("00"&amp;HOUR(Sync!$Q1984),2)&amp;RIGHT("00"&amp;MINUTE(Sync!$Q1984),2),IFERROR(RIGHT("00"&amp;VALUE(LEFT(Sync!$Q1984,FIND(":",Sync!$Q1984)-1)),2)&amp;RIGHT("00"&amp;VALUE(MID(Sync!$Q1984,FIND(":",Sync!$Q1984)+1,2)),2),"0000"))))</f>
        <v/>
      </c>
      <c r="AK1984">
        <f>IF(OR($AE1984="",$AI1984="",$AI1984="نامعتبر"),"",LEFT($AI1984,4)&amp;MID($AI1984,6,2)&amp;RIGHT($AI1984,2)&amp;$AJ1984&amp;"|"&amp;"3"&amp;RIGHT("00000"&amp;1979,5))</f>
        <v/>
      </c>
      <c r="AL1984">
        <f>IF($AK1984="","",COUNTIFS(LdAParty,$AE1984,LdAType,1,LdAKey,"&lt;"&amp;$AK1984)+COUNTIFS(LdBMember,$AE1984,LdBKey,"&lt;"&amp;$AK1984)+COUNTIFS(LdCParty,$AE1984,LdCKey,"&lt;"&amp;$AK1984)+1)</f>
        <v/>
      </c>
      <c r="AM1984">
        <f>IF($AL1984="","",$AE1984&amp;"|"&amp;RIGHT("000000"&amp;$AL1984,6))</f>
        <v/>
      </c>
      <c r="AN1984">
        <f>IF($AE1984="","",IF(Sync!$W1984="",0,Sync!$W1984))</f>
        <v/>
      </c>
      <c r="AO1984">
        <f>IF($AE1984="","",IF(Sync!$X1984="",0,Sync!$X1984))</f>
        <v/>
      </c>
      <c r="AP1984">
        <f>IF($AE1984="","",Sync!$R1984)</f>
        <v/>
      </c>
      <c r="AQ1984">
        <f>IF($AE1984="","",Sync!$Y1984)</f>
        <v/>
      </c>
    </row>
    <row r="1985">
      <c r="A1985">
        <f>IF(OR(Wages!$B1988="",Wages!$E1988=""),"",Wages!$E1988)</f>
        <v/>
      </c>
      <c r="B1985">
        <f>IF($A1985="","",IF(Wages!$C1988="دستمزد گروهی",2,1))</f>
        <v/>
      </c>
      <c r="C1985">
        <f>IF($A1985="","",IF(ISNUMBER(Wages!$B1988),IF(AND(Wages!$B1988&gt;=10000101,Wages!$B1988&lt;=99991231),INT(Wages!$B1988/10000),""),IFERROR(VALUE(TRIM(LEFT(Wages!$B1988,FIND("/",Wages!$B1988)-1))),"")))</f>
        <v/>
      </c>
      <c r="D1985">
        <f>IF(OR($A1985="",$C1985=""),"",IF(ISNUMBER(Wages!$B1988),INT(MOD(Wages!$B1988,10000)/100),IFERROR(VALUE(TRIM(LEFT(MID(Wages!$B1988,FIND("/",Wages!$B1988)+1,20),FIND("/",MID(Wages!$B1988,FIND("/",Wages!$B1988)+1,20))-1))),"")))</f>
        <v/>
      </c>
      <c r="E1985">
        <f>IF(OR($A1985="",$C1985=""),"",IF(ISNUMBER(Wages!$B1988),MOD(Wages!$B1988,100),IFERROR(VALUE(TRIM(MID(MID(Wages!$B1988,FIND("/",Wages!$B1988)+1,20),FIND("/",MID(Wages!$B1988,FIND("/",Wages!$B1988)+1,20))+1,20))),"")))</f>
        <v/>
      </c>
      <c r="F1985">
        <f>IF($A1985="","",IF(OR($C1985="",$D1985="",$E1985="",$C1985&lt;1300,$C1985&gt;1500,$D1985&lt;1,$D1985&gt;12,$E1985&lt;1,$E1985&gt;31),"نامعتبر",RIGHT("0000"&amp;$C1985,4)&amp;"/"&amp;RIGHT("00"&amp;$D1985,2)&amp;"/"&amp;RIGHT("00"&amp;$E1985,2)))</f>
        <v/>
      </c>
      <c r="G1985">
        <f>IF(OR($A1985="",$F1985="",$F1985="نامعتبر"),"",LEFT($F1985,4)&amp;MID($F1985,6,2)&amp;RIGHT($F1985,2)&amp;"0000"&amp;"|"&amp;"1"&amp;RIGHT("00000"&amp;1980,5))</f>
        <v/>
      </c>
      <c r="H1985">
        <f>IF(OR($B1985&lt;&gt;1,$G1985=""),"",COUNTIFS(LdAParty,$A1985,LdAType,1,LdAKey,"&lt;"&amp;$G1985)+COUNTIFS(LdBMember,$A1985,LdBKey,"&lt;"&amp;$G1985)+COUNTIFS(LdCParty,$A1985,LdCKey,"&lt;"&amp;$G1985)+1)</f>
        <v/>
      </c>
      <c r="I1985">
        <f>IF($H1985="","",$A1985&amp;"|"&amp;RIGHT("000000"&amp;$H1985,6))</f>
        <v/>
      </c>
      <c r="J1985">
        <f>IF(OR($B1985&lt;&gt;2,$G1985=""),"",COUNTIFS(LdAParty,$A1985,LdAType,2,LdAKey,"&lt;"&amp;$G1985)+1)</f>
        <v/>
      </c>
      <c r="K1985">
        <f>IF($J1985="","",$A1985&amp;"|"&amp;RIGHT("000000"&amp;$J1985,6))</f>
        <v/>
      </c>
      <c r="L1985">
        <f>IF($A1985="","",IF(Wages!$G1988="",0,Wages!$G1988))</f>
        <v/>
      </c>
      <c r="M1985">
        <f>IF($A1985="","",Wages!$J1988)</f>
        <v/>
      </c>
      <c r="N1985">
        <f>IF($A1985="","",Wages!$D1988)</f>
        <v/>
      </c>
      <c r="P1985">
        <f>IF(OR(Shares!$B1988="",Shares!$C1988=""),"",Shares!$C1988)</f>
        <v/>
      </c>
      <c r="Q1985">
        <f>IF($P1985="","",Shares!$B1988)</f>
        <v/>
      </c>
      <c r="R1985">
        <f>IF($P1985="","",IFERROR(INDEX(WageParty,MATCH($Q1985,WageIds,0)),""))</f>
        <v/>
      </c>
      <c r="S1985">
        <f>IF($P1985="","",IFERROR(INDEX($F$6:$F$2005,MATCH($Q1985,WageIds,0)),""))</f>
        <v/>
      </c>
      <c r="T1985">
        <f>IF(OR($P1985="",$S1985="",$S1985="نامعتبر"),"",LEFT($S1985,4)&amp;MID($S1985,6,2)&amp;RIGHT($S1985,2)&amp;"0000"&amp;"|"&amp;"2"&amp;RIGHT("00000"&amp;1980,5))</f>
        <v/>
      </c>
      <c r="U1985">
        <f>IF($T1985="","",COUNTIFS(LdAParty,$P1985,LdAType,1,LdAKey,"&lt;"&amp;$T1985)+COUNTIFS(LdBMember,$P1985,LdBKey,"&lt;"&amp;$T1985)+COUNTIFS(LdCParty,$P1985,LdCKey,"&lt;"&amp;$T1985)+1)</f>
        <v/>
      </c>
      <c r="V1985">
        <f>IF($U1985="","",$P1985&amp;"|"&amp;RIGHT("000000"&amp;$U1985,6))</f>
        <v/>
      </c>
      <c r="W1985">
        <f>IF($T1985="","",COUNTIFS(LdBGroup,$R1985,LdBKey,"&lt;"&amp;$T1985)+1)</f>
        <v/>
      </c>
      <c r="X1985">
        <f>IF($W1985="","",$R1985&amp;"|"&amp;RIGHT("000000"&amp;$W1985,6))</f>
        <v/>
      </c>
      <c r="Y1985">
        <f>IF($P1985="","",IF(Shares!$E1988="",0,Shares!$E1988))</f>
        <v/>
      </c>
      <c r="Z1985">
        <f>IF($P1985="","",Shares!$H1988)</f>
        <v/>
      </c>
      <c r="AE1985">
        <f>IF(OR(Sync!$S1985="",Sync!$P1985=""),"",Sync!$S1985)</f>
        <v/>
      </c>
      <c r="AF1985">
        <f>IF($AE1985="","",IF(ISNUMBER(Sync!$P1985),IF(AND(Sync!$P1985&gt;=10000101,Sync!$P1985&lt;=99991231),INT(Sync!$P1985/10000),""),IFERROR(VALUE(TRIM(LEFT(Sync!$P1985,FIND("/",Sync!$P1985)-1))),"")))</f>
        <v/>
      </c>
      <c r="AG1985">
        <f>IF(OR($AE1985="",$AF1985=""),"",IF(ISNUMBER(Sync!$P1985),INT(MOD(Sync!$P1985,10000)/100),IFERROR(VALUE(TRIM(LEFT(MID(Sync!$P1985,FIND("/",Sync!$P1985)+1,20),FIND("/",MID(Sync!$P1985,FIND("/",Sync!$P1985)+1,20))-1))),"")))</f>
        <v/>
      </c>
      <c r="AH1985">
        <f>IF(OR($AE1985="",$AF1985=""),"",IF(ISNUMBER(Sync!$P1985),MOD(Sync!$P1985,100),IFERROR(VALUE(TRIM(MID(MID(Sync!$P1985,FIND("/",Sync!$P1985)+1,20),FIND("/",MID(Sync!$P1985,FIND("/",Sync!$P1985)+1,20))+1,20))),"")))</f>
        <v/>
      </c>
      <c r="AI1985">
        <f>IF($AE1985="","",IF(OR($AF1985="",$AG1985="",$AH1985="",$AF1985&lt;1300,$AF1985&gt;1500,$AG1985&lt;1,$AG1985&gt;12,$AH1985&lt;1,$AH1985&gt;31),"نامعتبر",RIGHT("0000"&amp;$AF1985,4)&amp;"/"&amp;RIGHT("00"&amp;$AG1985,2)&amp;"/"&amp;RIGHT("00"&amp;$AH1985,2)))</f>
        <v/>
      </c>
      <c r="AJ1985">
        <f>IF($AE1985="","",IF(Sync!$Q1985="","0000",IF(AND(ISNUMBER(Sync!$Q1985),Sync!$Q1985&gt;=0,Sync!$Q1985&lt;1),RIGHT("00"&amp;HOUR(Sync!$Q1985),2)&amp;RIGHT("00"&amp;MINUTE(Sync!$Q1985),2),IFERROR(RIGHT("00"&amp;VALUE(LEFT(Sync!$Q1985,FIND(":",Sync!$Q1985)-1)),2)&amp;RIGHT("00"&amp;VALUE(MID(Sync!$Q1985,FIND(":",Sync!$Q1985)+1,2)),2),"0000"))))</f>
        <v/>
      </c>
      <c r="AK1985">
        <f>IF(OR($AE1985="",$AI1985="",$AI1985="نامعتبر"),"",LEFT($AI1985,4)&amp;MID($AI1985,6,2)&amp;RIGHT($AI1985,2)&amp;$AJ1985&amp;"|"&amp;"3"&amp;RIGHT("00000"&amp;1980,5))</f>
        <v/>
      </c>
      <c r="AL1985">
        <f>IF($AK1985="","",COUNTIFS(LdAParty,$AE1985,LdAType,1,LdAKey,"&lt;"&amp;$AK1985)+COUNTIFS(LdBMember,$AE1985,LdBKey,"&lt;"&amp;$AK1985)+COUNTIFS(LdCParty,$AE1985,LdCKey,"&lt;"&amp;$AK1985)+1)</f>
        <v/>
      </c>
      <c r="AM1985">
        <f>IF($AL1985="","",$AE1985&amp;"|"&amp;RIGHT("000000"&amp;$AL1985,6))</f>
        <v/>
      </c>
      <c r="AN1985">
        <f>IF($AE1985="","",IF(Sync!$W1985="",0,Sync!$W1985))</f>
        <v/>
      </c>
      <c r="AO1985">
        <f>IF($AE1985="","",IF(Sync!$X1985="",0,Sync!$X1985))</f>
        <v/>
      </c>
      <c r="AP1985">
        <f>IF($AE1985="","",Sync!$R1985)</f>
        <v/>
      </c>
      <c r="AQ1985">
        <f>IF($AE1985="","",Sync!$Y1985)</f>
        <v/>
      </c>
    </row>
    <row r="1986">
      <c r="A1986">
        <f>IF(OR(Wages!$B1989="",Wages!$E1989=""),"",Wages!$E1989)</f>
        <v/>
      </c>
      <c r="B1986">
        <f>IF($A1986="","",IF(Wages!$C1989="دستمزد گروهی",2,1))</f>
        <v/>
      </c>
      <c r="C1986">
        <f>IF($A1986="","",IF(ISNUMBER(Wages!$B1989),IF(AND(Wages!$B1989&gt;=10000101,Wages!$B1989&lt;=99991231),INT(Wages!$B1989/10000),""),IFERROR(VALUE(TRIM(LEFT(Wages!$B1989,FIND("/",Wages!$B1989)-1))),"")))</f>
        <v/>
      </c>
      <c r="D1986">
        <f>IF(OR($A1986="",$C1986=""),"",IF(ISNUMBER(Wages!$B1989),INT(MOD(Wages!$B1989,10000)/100),IFERROR(VALUE(TRIM(LEFT(MID(Wages!$B1989,FIND("/",Wages!$B1989)+1,20),FIND("/",MID(Wages!$B1989,FIND("/",Wages!$B1989)+1,20))-1))),"")))</f>
        <v/>
      </c>
      <c r="E1986">
        <f>IF(OR($A1986="",$C1986=""),"",IF(ISNUMBER(Wages!$B1989),MOD(Wages!$B1989,100),IFERROR(VALUE(TRIM(MID(MID(Wages!$B1989,FIND("/",Wages!$B1989)+1,20),FIND("/",MID(Wages!$B1989,FIND("/",Wages!$B1989)+1,20))+1,20))),"")))</f>
        <v/>
      </c>
      <c r="F1986">
        <f>IF($A1986="","",IF(OR($C1986="",$D1986="",$E1986="",$C1986&lt;1300,$C1986&gt;1500,$D1986&lt;1,$D1986&gt;12,$E1986&lt;1,$E1986&gt;31),"نامعتبر",RIGHT("0000"&amp;$C1986,4)&amp;"/"&amp;RIGHT("00"&amp;$D1986,2)&amp;"/"&amp;RIGHT("00"&amp;$E1986,2)))</f>
        <v/>
      </c>
      <c r="G1986">
        <f>IF(OR($A1986="",$F1986="",$F1986="نامعتبر"),"",LEFT($F1986,4)&amp;MID($F1986,6,2)&amp;RIGHT($F1986,2)&amp;"0000"&amp;"|"&amp;"1"&amp;RIGHT("00000"&amp;1981,5))</f>
        <v/>
      </c>
      <c r="H1986">
        <f>IF(OR($B1986&lt;&gt;1,$G1986=""),"",COUNTIFS(LdAParty,$A1986,LdAType,1,LdAKey,"&lt;"&amp;$G1986)+COUNTIFS(LdBMember,$A1986,LdBKey,"&lt;"&amp;$G1986)+COUNTIFS(LdCParty,$A1986,LdCKey,"&lt;"&amp;$G1986)+1)</f>
        <v/>
      </c>
      <c r="I1986">
        <f>IF($H1986="","",$A1986&amp;"|"&amp;RIGHT("000000"&amp;$H1986,6))</f>
        <v/>
      </c>
      <c r="J1986">
        <f>IF(OR($B1986&lt;&gt;2,$G1986=""),"",COUNTIFS(LdAParty,$A1986,LdAType,2,LdAKey,"&lt;"&amp;$G1986)+1)</f>
        <v/>
      </c>
      <c r="K1986">
        <f>IF($J1986="","",$A1986&amp;"|"&amp;RIGHT("000000"&amp;$J1986,6))</f>
        <v/>
      </c>
      <c r="L1986">
        <f>IF($A1986="","",IF(Wages!$G1989="",0,Wages!$G1989))</f>
        <v/>
      </c>
      <c r="M1986">
        <f>IF($A1986="","",Wages!$J1989)</f>
        <v/>
      </c>
      <c r="N1986">
        <f>IF($A1986="","",Wages!$D1989)</f>
        <v/>
      </c>
      <c r="P1986">
        <f>IF(OR(Shares!$B1989="",Shares!$C1989=""),"",Shares!$C1989)</f>
        <v/>
      </c>
      <c r="Q1986">
        <f>IF($P1986="","",Shares!$B1989)</f>
        <v/>
      </c>
      <c r="R1986">
        <f>IF($P1986="","",IFERROR(INDEX(WageParty,MATCH($Q1986,WageIds,0)),""))</f>
        <v/>
      </c>
      <c r="S1986">
        <f>IF($P1986="","",IFERROR(INDEX($F$6:$F$2005,MATCH($Q1986,WageIds,0)),""))</f>
        <v/>
      </c>
      <c r="T1986">
        <f>IF(OR($P1986="",$S1986="",$S1986="نامعتبر"),"",LEFT($S1986,4)&amp;MID($S1986,6,2)&amp;RIGHT($S1986,2)&amp;"0000"&amp;"|"&amp;"2"&amp;RIGHT("00000"&amp;1981,5))</f>
        <v/>
      </c>
      <c r="U1986">
        <f>IF($T1986="","",COUNTIFS(LdAParty,$P1986,LdAType,1,LdAKey,"&lt;"&amp;$T1986)+COUNTIFS(LdBMember,$P1986,LdBKey,"&lt;"&amp;$T1986)+COUNTIFS(LdCParty,$P1986,LdCKey,"&lt;"&amp;$T1986)+1)</f>
        <v/>
      </c>
      <c r="V1986">
        <f>IF($U1986="","",$P1986&amp;"|"&amp;RIGHT("000000"&amp;$U1986,6))</f>
        <v/>
      </c>
      <c r="W1986">
        <f>IF($T1986="","",COUNTIFS(LdBGroup,$R1986,LdBKey,"&lt;"&amp;$T1986)+1)</f>
        <v/>
      </c>
      <c r="X1986">
        <f>IF($W1986="","",$R1986&amp;"|"&amp;RIGHT("000000"&amp;$W1986,6))</f>
        <v/>
      </c>
      <c r="Y1986">
        <f>IF($P1986="","",IF(Shares!$E1989="",0,Shares!$E1989))</f>
        <v/>
      </c>
      <c r="Z1986">
        <f>IF($P1986="","",Shares!$H1989)</f>
        <v/>
      </c>
      <c r="AE1986">
        <f>IF(OR(Sync!$S1986="",Sync!$P1986=""),"",Sync!$S1986)</f>
        <v/>
      </c>
      <c r="AF1986">
        <f>IF($AE1986="","",IF(ISNUMBER(Sync!$P1986),IF(AND(Sync!$P1986&gt;=10000101,Sync!$P1986&lt;=99991231),INT(Sync!$P1986/10000),""),IFERROR(VALUE(TRIM(LEFT(Sync!$P1986,FIND("/",Sync!$P1986)-1))),"")))</f>
        <v/>
      </c>
      <c r="AG1986">
        <f>IF(OR($AE1986="",$AF1986=""),"",IF(ISNUMBER(Sync!$P1986),INT(MOD(Sync!$P1986,10000)/100),IFERROR(VALUE(TRIM(LEFT(MID(Sync!$P1986,FIND("/",Sync!$P1986)+1,20),FIND("/",MID(Sync!$P1986,FIND("/",Sync!$P1986)+1,20))-1))),"")))</f>
        <v/>
      </c>
      <c r="AH1986">
        <f>IF(OR($AE1986="",$AF1986=""),"",IF(ISNUMBER(Sync!$P1986),MOD(Sync!$P1986,100),IFERROR(VALUE(TRIM(MID(MID(Sync!$P1986,FIND("/",Sync!$P1986)+1,20),FIND("/",MID(Sync!$P1986,FIND("/",Sync!$P1986)+1,20))+1,20))),"")))</f>
        <v/>
      </c>
      <c r="AI1986">
        <f>IF($AE1986="","",IF(OR($AF1986="",$AG1986="",$AH1986="",$AF1986&lt;1300,$AF1986&gt;1500,$AG1986&lt;1,$AG1986&gt;12,$AH1986&lt;1,$AH1986&gt;31),"نامعتبر",RIGHT("0000"&amp;$AF1986,4)&amp;"/"&amp;RIGHT("00"&amp;$AG1986,2)&amp;"/"&amp;RIGHT("00"&amp;$AH1986,2)))</f>
        <v/>
      </c>
      <c r="AJ1986">
        <f>IF($AE1986="","",IF(Sync!$Q1986="","0000",IF(AND(ISNUMBER(Sync!$Q1986),Sync!$Q1986&gt;=0,Sync!$Q1986&lt;1),RIGHT("00"&amp;HOUR(Sync!$Q1986),2)&amp;RIGHT("00"&amp;MINUTE(Sync!$Q1986),2),IFERROR(RIGHT("00"&amp;VALUE(LEFT(Sync!$Q1986,FIND(":",Sync!$Q1986)-1)),2)&amp;RIGHT("00"&amp;VALUE(MID(Sync!$Q1986,FIND(":",Sync!$Q1986)+1,2)),2),"0000"))))</f>
        <v/>
      </c>
      <c r="AK1986">
        <f>IF(OR($AE1986="",$AI1986="",$AI1986="نامعتبر"),"",LEFT($AI1986,4)&amp;MID($AI1986,6,2)&amp;RIGHT($AI1986,2)&amp;$AJ1986&amp;"|"&amp;"3"&amp;RIGHT("00000"&amp;1981,5))</f>
        <v/>
      </c>
      <c r="AL1986">
        <f>IF($AK1986="","",COUNTIFS(LdAParty,$AE1986,LdAType,1,LdAKey,"&lt;"&amp;$AK1986)+COUNTIFS(LdBMember,$AE1986,LdBKey,"&lt;"&amp;$AK1986)+COUNTIFS(LdCParty,$AE1986,LdCKey,"&lt;"&amp;$AK1986)+1)</f>
        <v/>
      </c>
      <c r="AM1986">
        <f>IF($AL1986="","",$AE1986&amp;"|"&amp;RIGHT("000000"&amp;$AL1986,6))</f>
        <v/>
      </c>
      <c r="AN1986">
        <f>IF($AE1986="","",IF(Sync!$W1986="",0,Sync!$W1986))</f>
        <v/>
      </c>
      <c r="AO1986">
        <f>IF($AE1986="","",IF(Sync!$X1986="",0,Sync!$X1986))</f>
        <v/>
      </c>
      <c r="AP1986">
        <f>IF($AE1986="","",Sync!$R1986)</f>
        <v/>
      </c>
      <c r="AQ1986">
        <f>IF($AE1986="","",Sync!$Y1986)</f>
        <v/>
      </c>
    </row>
    <row r="1987">
      <c r="A1987">
        <f>IF(OR(Wages!$B1990="",Wages!$E1990=""),"",Wages!$E1990)</f>
        <v/>
      </c>
      <c r="B1987">
        <f>IF($A1987="","",IF(Wages!$C1990="دستمزد گروهی",2,1))</f>
        <v/>
      </c>
      <c r="C1987">
        <f>IF($A1987="","",IF(ISNUMBER(Wages!$B1990),IF(AND(Wages!$B1990&gt;=10000101,Wages!$B1990&lt;=99991231),INT(Wages!$B1990/10000),""),IFERROR(VALUE(TRIM(LEFT(Wages!$B1990,FIND("/",Wages!$B1990)-1))),"")))</f>
        <v/>
      </c>
      <c r="D1987">
        <f>IF(OR($A1987="",$C1987=""),"",IF(ISNUMBER(Wages!$B1990),INT(MOD(Wages!$B1990,10000)/100),IFERROR(VALUE(TRIM(LEFT(MID(Wages!$B1990,FIND("/",Wages!$B1990)+1,20),FIND("/",MID(Wages!$B1990,FIND("/",Wages!$B1990)+1,20))-1))),"")))</f>
        <v/>
      </c>
      <c r="E1987">
        <f>IF(OR($A1987="",$C1987=""),"",IF(ISNUMBER(Wages!$B1990),MOD(Wages!$B1990,100),IFERROR(VALUE(TRIM(MID(MID(Wages!$B1990,FIND("/",Wages!$B1990)+1,20),FIND("/",MID(Wages!$B1990,FIND("/",Wages!$B1990)+1,20))+1,20))),"")))</f>
        <v/>
      </c>
      <c r="F1987">
        <f>IF($A1987="","",IF(OR($C1987="",$D1987="",$E1987="",$C1987&lt;1300,$C1987&gt;1500,$D1987&lt;1,$D1987&gt;12,$E1987&lt;1,$E1987&gt;31),"نامعتبر",RIGHT("0000"&amp;$C1987,4)&amp;"/"&amp;RIGHT("00"&amp;$D1987,2)&amp;"/"&amp;RIGHT("00"&amp;$E1987,2)))</f>
        <v/>
      </c>
      <c r="G1987">
        <f>IF(OR($A1987="",$F1987="",$F1987="نامعتبر"),"",LEFT($F1987,4)&amp;MID($F1987,6,2)&amp;RIGHT($F1987,2)&amp;"0000"&amp;"|"&amp;"1"&amp;RIGHT("00000"&amp;1982,5))</f>
        <v/>
      </c>
      <c r="H1987">
        <f>IF(OR($B1987&lt;&gt;1,$G1987=""),"",COUNTIFS(LdAParty,$A1987,LdAType,1,LdAKey,"&lt;"&amp;$G1987)+COUNTIFS(LdBMember,$A1987,LdBKey,"&lt;"&amp;$G1987)+COUNTIFS(LdCParty,$A1987,LdCKey,"&lt;"&amp;$G1987)+1)</f>
        <v/>
      </c>
      <c r="I1987">
        <f>IF($H1987="","",$A1987&amp;"|"&amp;RIGHT("000000"&amp;$H1987,6))</f>
        <v/>
      </c>
      <c r="J1987">
        <f>IF(OR($B1987&lt;&gt;2,$G1987=""),"",COUNTIFS(LdAParty,$A1987,LdAType,2,LdAKey,"&lt;"&amp;$G1987)+1)</f>
        <v/>
      </c>
      <c r="K1987">
        <f>IF($J1987="","",$A1987&amp;"|"&amp;RIGHT("000000"&amp;$J1987,6))</f>
        <v/>
      </c>
      <c r="L1987">
        <f>IF($A1987="","",IF(Wages!$G1990="",0,Wages!$G1990))</f>
        <v/>
      </c>
      <c r="M1987">
        <f>IF($A1987="","",Wages!$J1990)</f>
        <v/>
      </c>
      <c r="N1987">
        <f>IF($A1987="","",Wages!$D1990)</f>
        <v/>
      </c>
      <c r="P1987">
        <f>IF(OR(Shares!$B1990="",Shares!$C1990=""),"",Shares!$C1990)</f>
        <v/>
      </c>
      <c r="Q1987">
        <f>IF($P1987="","",Shares!$B1990)</f>
        <v/>
      </c>
      <c r="R1987">
        <f>IF($P1987="","",IFERROR(INDEX(WageParty,MATCH($Q1987,WageIds,0)),""))</f>
        <v/>
      </c>
      <c r="S1987">
        <f>IF($P1987="","",IFERROR(INDEX($F$6:$F$2005,MATCH($Q1987,WageIds,0)),""))</f>
        <v/>
      </c>
      <c r="T1987">
        <f>IF(OR($P1987="",$S1987="",$S1987="نامعتبر"),"",LEFT($S1987,4)&amp;MID($S1987,6,2)&amp;RIGHT($S1987,2)&amp;"0000"&amp;"|"&amp;"2"&amp;RIGHT("00000"&amp;1982,5))</f>
        <v/>
      </c>
      <c r="U1987">
        <f>IF($T1987="","",COUNTIFS(LdAParty,$P1987,LdAType,1,LdAKey,"&lt;"&amp;$T1987)+COUNTIFS(LdBMember,$P1987,LdBKey,"&lt;"&amp;$T1987)+COUNTIFS(LdCParty,$P1987,LdCKey,"&lt;"&amp;$T1987)+1)</f>
        <v/>
      </c>
      <c r="V1987">
        <f>IF($U1987="","",$P1987&amp;"|"&amp;RIGHT("000000"&amp;$U1987,6))</f>
        <v/>
      </c>
      <c r="W1987">
        <f>IF($T1987="","",COUNTIFS(LdBGroup,$R1987,LdBKey,"&lt;"&amp;$T1987)+1)</f>
        <v/>
      </c>
      <c r="X1987">
        <f>IF($W1987="","",$R1987&amp;"|"&amp;RIGHT("000000"&amp;$W1987,6))</f>
        <v/>
      </c>
      <c r="Y1987">
        <f>IF($P1987="","",IF(Shares!$E1990="",0,Shares!$E1990))</f>
        <v/>
      </c>
      <c r="Z1987">
        <f>IF($P1987="","",Shares!$H1990)</f>
        <v/>
      </c>
      <c r="AE1987">
        <f>IF(OR(Sync!$S1987="",Sync!$P1987=""),"",Sync!$S1987)</f>
        <v/>
      </c>
      <c r="AF1987">
        <f>IF($AE1987="","",IF(ISNUMBER(Sync!$P1987),IF(AND(Sync!$P1987&gt;=10000101,Sync!$P1987&lt;=99991231),INT(Sync!$P1987/10000),""),IFERROR(VALUE(TRIM(LEFT(Sync!$P1987,FIND("/",Sync!$P1987)-1))),"")))</f>
        <v/>
      </c>
      <c r="AG1987">
        <f>IF(OR($AE1987="",$AF1987=""),"",IF(ISNUMBER(Sync!$P1987),INT(MOD(Sync!$P1987,10000)/100),IFERROR(VALUE(TRIM(LEFT(MID(Sync!$P1987,FIND("/",Sync!$P1987)+1,20),FIND("/",MID(Sync!$P1987,FIND("/",Sync!$P1987)+1,20))-1))),"")))</f>
        <v/>
      </c>
      <c r="AH1987">
        <f>IF(OR($AE1987="",$AF1987=""),"",IF(ISNUMBER(Sync!$P1987),MOD(Sync!$P1987,100),IFERROR(VALUE(TRIM(MID(MID(Sync!$P1987,FIND("/",Sync!$P1987)+1,20),FIND("/",MID(Sync!$P1987,FIND("/",Sync!$P1987)+1,20))+1,20))),"")))</f>
        <v/>
      </c>
      <c r="AI1987">
        <f>IF($AE1987="","",IF(OR($AF1987="",$AG1987="",$AH1987="",$AF1987&lt;1300,$AF1987&gt;1500,$AG1987&lt;1,$AG1987&gt;12,$AH1987&lt;1,$AH1987&gt;31),"نامعتبر",RIGHT("0000"&amp;$AF1987,4)&amp;"/"&amp;RIGHT("00"&amp;$AG1987,2)&amp;"/"&amp;RIGHT("00"&amp;$AH1987,2)))</f>
        <v/>
      </c>
      <c r="AJ1987">
        <f>IF($AE1987="","",IF(Sync!$Q1987="","0000",IF(AND(ISNUMBER(Sync!$Q1987),Sync!$Q1987&gt;=0,Sync!$Q1987&lt;1),RIGHT("00"&amp;HOUR(Sync!$Q1987),2)&amp;RIGHT("00"&amp;MINUTE(Sync!$Q1987),2),IFERROR(RIGHT("00"&amp;VALUE(LEFT(Sync!$Q1987,FIND(":",Sync!$Q1987)-1)),2)&amp;RIGHT("00"&amp;VALUE(MID(Sync!$Q1987,FIND(":",Sync!$Q1987)+1,2)),2),"0000"))))</f>
        <v/>
      </c>
      <c r="AK1987">
        <f>IF(OR($AE1987="",$AI1987="",$AI1987="نامعتبر"),"",LEFT($AI1987,4)&amp;MID($AI1987,6,2)&amp;RIGHT($AI1987,2)&amp;$AJ1987&amp;"|"&amp;"3"&amp;RIGHT("00000"&amp;1982,5))</f>
        <v/>
      </c>
      <c r="AL1987">
        <f>IF($AK1987="","",COUNTIFS(LdAParty,$AE1987,LdAType,1,LdAKey,"&lt;"&amp;$AK1987)+COUNTIFS(LdBMember,$AE1987,LdBKey,"&lt;"&amp;$AK1987)+COUNTIFS(LdCParty,$AE1987,LdCKey,"&lt;"&amp;$AK1987)+1)</f>
        <v/>
      </c>
      <c r="AM1987">
        <f>IF($AL1987="","",$AE1987&amp;"|"&amp;RIGHT("000000"&amp;$AL1987,6))</f>
        <v/>
      </c>
      <c r="AN1987">
        <f>IF($AE1987="","",IF(Sync!$W1987="",0,Sync!$W1987))</f>
        <v/>
      </c>
      <c r="AO1987">
        <f>IF($AE1987="","",IF(Sync!$X1987="",0,Sync!$X1987))</f>
        <v/>
      </c>
      <c r="AP1987">
        <f>IF($AE1987="","",Sync!$R1987)</f>
        <v/>
      </c>
      <c r="AQ1987">
        <f>IF($AE1987="","",Sync!$Y1987)</f>
        <v/>
      </c>
    </row>
    <row r="1988">
      <c r="A1988">
        <f>IF(OR(Wages!$B1991="",Wages!$E1991=""),"",Wages!$E1991)</f>
        <v/>
      </c>
      <c r="B1988">
        <f>IF($A1988="","",IF(Wages!$C1991="دستمزد گروهی",2,1))</f>
        <v/>
      </c>
      <c r="C1988">
        <f>IF($A1988="","",IF(ISNUMBER(Wages!$B1991),IF(AND(Wages!$B1991&gt;=10000101,Wages!$B1991&lt;=99991231),INT(Wages!$B1991/10000),""),IFERROR(VALUE(TRIM(LEFT(Wages!$B1991,FIND("/",Wages!$B1991)-1))),"")))</f>
        <v/>
      </c>
      <c r="D1988">
        <f>IF(OR($A1988="",$C1988=""),"",IF(ISNUMBER(Wages!$B1991),INT(MOD(Wages!$B1991,10000)/100),IFERROR(VALUE(TRIM(LEFT(MID(Wages!$B1991,FIND("/",Wages!$B1991)+1,20),FIND("/",MID(Wages!$B1991,FIND("/",Wages!$B1991)+1,20))-1))),"")))</f>
        <v/>
      </c>
      <c r="E1988">
        <f>IF(OR($A1988="",$C1988=""),"",IF(ISNUMBER(Wages!$B1991),MOD(Wages!$B1991,100),IFERROR(VALUE(TRIM(MID(MID(Wages!$B1991,FIND("/",Wages!$B1991)+1,20),FIND("/",MID(Wages!$B1991,FIND("/",Wages!$B1991)+1,20))+1,20))),"")))</f>
        <v/>
      </c>
      <c r="F1988">
        <f>IF($A1988="","",IF(OR($C1988="",$D1988="",$E1988="",$C1988&lt;1300,$C1988&gt;1500,$D1988&lt;1,$D1988&gt;12,$E1988&lt;1,$E1988&gt;31),"نامعتبر",RIGHT("0000"&amp;$C1988,4)&amp;"/"&amp;RIGHT("00"&amp;$D1988,2)&amp;"/"&amp;RIGHT("00"&amp;$E1988,2)))</f>
        <v/>
      </c>
      <c r="G1988">
        <f>IF(OR($A1988="",$F1988="",$F1988="نامعتبر"),"",LEFT($F1988,4)&amp;MID($F1988,6,2)&amp;RIGHT($F1988,2)&amp;"0000"&amp;"|"&amp;"1"&amp;RIGHT("00000"&amp;1983,5))</f>
        <v/>
      </c>
      <c r="H1988">
        <f>IF(OR($B1988&lt;&gt;1,$G1988=""),"",COUNTIFS(LdAParty,$A1988,LdAType,1,LdAKey,"&lt;"&amp;$G1988)+COUNTIFS(LdBMember,$A1988,LdBKey,"&lt;"&amp;$G1988)+COUNTIFS(LdCParty,$A1988,LdCKey,"&lt;"&amp;$G1988)+1)</f>
        <v/>
      </c>
      <c r="I1988">
        <f>IF($H1988="","",$A1988&amp;"|"&amp;RIGHT("000000"&amp;$H1988,6))</f>
        <v/>
      </c>
      <c r="J1988">
        <f>IF(OR($B1988&lt;&gt;2,$G1988=""),"",COUNTIFS(LdAParty,$A1988,LdAType,2,LdAKey,"&lt;"&amp;$G1988)+1)</f>
        <v/>
      </c>
      <c r="K1988">
        <f>IF($J1988="","",$A1988&amp;"|"&amp;RIGHT("000000"&amp;$J1988,6))</f>
        <v/>
      </c>
      <c r="L1988">
        <f>IF($A1988="","",IF(Wages!$G1991="",0,Wages!$G1991))</f>
        <v/>
      </c>
      <c r="M1988">
        <f>IF($A1988="","",Wages!$J1991)</f>
        <v/>
      </c>
      <c r="N1988">
        <f>IF($A1988="","",Wages!$D1991)</f>
        <v/>
      </c>
      <c r="P1988">
        <f>IF(OR(Shares!$B1991="",Shares!$C1991=""),"",Shares!$C1991)</f>
        <v/>
      </c>
      <c r="Q1988">
        <f>IF($P1988="","",Shares!$B1991)</f>
        <v/>
      </c>
      <c r="R1988">
        <f>IF($P1988="","",IFERROR(INDEX(WageParty,MATCH($Q1988,WageIds,0)),""))</f>
        <v/>
      </c>
      <c r="S1988">
        <f>IF($P1988="","",IFERROR(INDEX($F$6:$F$2005,MATCH($Q1988,WageIds,0)),""))</f>
        <v/>
      </c>
      <c r="T1988">
        <f>IF(OR($P1988="",$S1988="",$S1988="نامعتبر"),"",LEFT($S1988,4)&amp;MID($S1988,6,2)&amp;RIGHT($S1988,2)&amp;"0000"&amp;"|"&amp;"2"&amp;RIGHT("00000"&amp;1983,5))</f>
        <v/>
      </c>
      <c r="U1988">
        <f>IF($T1988="","",COUNTIFS(LdAParty,$P1988,LdAType,1,LdAKey,"&lt;"&amp;$T1988)+COUNTIFS(LdBMember,$P1988,LdBKey,"&lt;"&amp;$T1988)+COUNTIFS(LdCParty,$P1988,LdCKey,"&lt;"&amp;$T1988)+1)</f>
        <v/>
      </c>
      <c r="V1988">
        <f>IF($U1988="","",$P1988&amp;"|"&amp;RIGHT("000000"&amp;$U1988,6))</f>
        <v/>
      </c>
      <c r="W1988">
        <f>IF($T1988="","",COUNTIFS(LdBGroup,$R1988,LdBKey,"&lt;"&amp;$T1988)+1)</f>
        <v/>
      </c>
      <c r="X1988">
        <f>IF($W1988="","",$R1988&amp;"|"&amp;RIGHT("000000"&amp;$W1988,6))</f>
        <v/>
      </c>
      <c r="Y1988">
        <f>IF($P1988="","",IF(Shares!$E1991="",0,Shares!$E1991))</f>
        <v/>
      </c>
      <c r="Z1988">
        <f>IF($P1988="","",Shares!$H1991)</f>
        <v/>
      </c>
      <c r="AE1988">
        <f>IF(OR(Sync!$S1988="",Sync!$P1988=""),"",Sync!$S1988)</f>
        <v/>
      </c>
      <c r="AF1988">
        <f>IF($AE1988="","",IF(ISNUMBER(Sync!$P1988),IF(AND(Sync!$P1988&gt;=10000101,Sync!$P1988&lt;=99991231),INT(Sync!$P1988/10000),""),IFERROR(VALUE(TRIM(LEFT(Sync!$P1988,FIND("/",Sync!$P1988)-1))),"")))</f>
        <v/>
      </c>
      <c r="AG1988">
        <f>IF(OR($AE1988="",$AF1988=""),"",IF(ISNUMBER(Sync!$P1988),INT(MOD(Sync!$P1988,10000)/100),IFERROR(VALUE(TRIM(LEFT(MID(Sync!$P1988,FIND("/",Sync!$P1988)+1,20),FIND("/",MID(Sync!$P1988,FIND("/",Sync!$P1988)+1,20))-1))),"")))</f>
        <v/>
      </c>
      <c r="AH1988">
        <f>IF(OR($AE1988="",$AF1988=""),"",IF(ISNUMBER(Sync!$P1988),MOD(Sync!$P1988,100),IFERROR(VALUE(TRIM(MID(MID(Sync!$P1988,FIND("/",Sync!$P1988)+1,20),FIND("/",MID(Sync!$P1988,FIND("/",Sync!$P1988)+1,20))+1,20))),"")))</f>
        <v/>
      </c>
      <c r="AI1988">
        <f>IF($AE1988="","",IF(OR($AF1988="",$AG1988="",$AH1988="",$AF1988&lt;1300,$AF1988&gt;1500,$AG1988&lt;1,$AG1988&gt;12,$AH1988&lt;1,$AH1988&gt;31),"نامعتبر",RIGHT("0000"&amp;$AF1988,4)&amp;"/"&amp;RIGHT("00"&amp;$AG1988,2)&amp;"/"&amp;RIGHT("00"&amp;$AH1988,2)))</f>
        <v/>
      </c>
      <c r="AJ1988">
        <f>IF($AE1988="","",IF(Sync!$Q1988="","0000",IF(AND(ISNUMBER(Sync!$Q1988),Sync!$Q1988&gt;=0,Sync!$Q1988&lt;1),RIGHT("00"&amp;HOUR(Sync!$Q1988),2)&amp;RIGHT("00"&amp;MINUTE(Sync!$Q1988),2),IFERROR(RIGHT("00"&amp;VALUE(LEFT(Sync!$Q1988,FIND(":",Sync!$Q1988)-1)),2)&amp;RIGHT("00"&amp;VALUE(MID(Sync!$Q1988,FIND(":",Sync!$Q1988)+1,2)),2),"0000"))))</f>
        <v/>
      </c>
      <c r="AK1988">
        <f>IF(OR($AE1988="",$AI1988="",$AI1988="نامعتبر"),"",LEFT($AI1988,4)&amp;MID($AI1988,6,2)&amp;RIGHT($AI1988,2)&amp;$AJ1988&amp;"|"&amp;"3"&amp;RIGHT("00000"&amp;1983,5))</f>
        <v/>
      </c>
      <c r="AL1988">
        <f>IF($AK1988="","",COUNTIFS(LdAParty,$AE1988,LdAType,1,LdAKey,"&lt;"&amp;$AK1988)+COUNTIFS(LdBMember,$AE1988,LdBKey,"&lt;"&amp;$AK1988)+COUNTIFS(LdCParty,$AE1988,LdCKey,"&lt;"&amp;$AK1988)+1)</f>
        <v/>
      </c>
      <c r="AM1988">
        <f>IF($AL1988="","",$AE1988&amp;"|"&amp;RIGHT("000000"&amp;$AL1988,6))</f>
        <v/>
      </c>
      <c r="AN1988">
        <f>IF($AE1988="","",IF(Sync!$W1988="",0,Sync!$W1988))</f>
        <v/>
      </c>
      <c r="AO1988">
        <f>IF($AE1988="","",IF(Sync!$X1988="",0,Sync!$X1988))</f>
        <v/>
      </c>
      <c r="AP1988">
        <f>IF($AE1988="","",Sync!$R1988)</f>
        <v/>
      </c>
      <c r="AQ1988">
        <f>IF($AE1988="","",Sync!$Y1988)</f>
        <v/>
      </c>
    </row>
    <row r="1989">
      <c r="A1989">
        <f>IF(OR(Wages!$B1992="",Wages!$E1992=""),"",Wages!$E1992)</f>
        <v/>
      </c>
      <c r="B1989">
        <f>IF($A1989="","",IF(Wages!$C1992="دستمزد گروهی",2,1))</f>
        <v/>
      </c>
      <c r="C1989">
        <f>IF($A1989="","",IF(ISNUMBER(Wages!$B1992),IF(AND(Wages!$B1992&gt;=10000101,Wages!$B1992&lt;=99991231),INT(Wages!$B1992/10000),""),IFERROR(VALUE(TRIM(LEFT(Wages!$B1992,FIND("/",Wages!$B1992)-1))),"")))</f>
        <v/>
      </c>
      <c r="D1989">
        <f>IF(OR($A1989="",$C1989=""),"",IF(ISNUMBER(Wages!$B1992),INT(MOD(Wages!$B1992,10000)/100),IFERROR(VALUE(TRIM(LEFT(MID(Wages!$B1992,FIND("/",Wages!$B1992)+1,20),FIND("/",MID(Wages!$B1992,FIND("/",Wages!$B1992)+1,20))-1))),"")))</f>
        <v/>
      </c>
      <c r="E1989">
        <f>IF(OR($A1989="",$C1989=""),"",IF(ISNUMBER(Wages!$B1992),MOD(Wages!$B1992,100),IFERROR(VALUE(TRIM(MID(MID(Wages!$B1992,FIND("/",Wages!$B1992)+1,20),FIND("/",MID(Wages!$B1992,FIND("/",Wages!$B1992)+1,20))+1,20))),"")))</f>
        <v/>
      </c>
      <c r="F1989">
        <f>IF($A1989="","",IF(OR($C1989="",$D1989="",$E1989="",$C1989&lt;1300,$C1989&gt;1500,$D1989&lt;1,$D1989&gt;12,$E1989&lt;1,$E1989&gt;31),"نامعتبر",RIGHT("0000"&amp;$C1989,4)&amp;"/"&amp;RIGHT("00"&amp;$D1989,2)&amp;"/"&amp;RIGHT("00"&amp;$E1989,2)))</f>
        <v/>
      </c>
      <c r="G1989">
        <f>IF(OR($A1989="",$F1989="",$F1989="نامعتبر"),"",LEFT($F1989,4)&amp;MID($F1989,6,2)&amp;RIGHT($F1989,2)&amp;"0000"&amp;"|"&amp;"1"&amp;RIGHT("00000"&amp;1984,5))</f>
        <v/>
      </c>
      <c r="H1989">
        <f>IF(OR($B1989&lt;&gt;1,$G1989=""),"",COUNTIFS(LdAParty,$A1989,LdAType,1,LdAKey,"&lt;"&amp;$G1989)+COUNTIFS(LdBMember,$A1989,LdBKey,"&lt;"&amp;$G1989)+COUNTIFS(LdCParty,$A1989,LdCKey,"&lt;"&amp;$G1989)+1)</f>
        <v/>
      </c>
      <c r="I1989">
        <f>IF($H1989="","",$A1989&amp;"|"&amp;RIGHT("000000"&amp;$H1989,6))</f>
        <v/>
      </c>
      <c r="J1989">
        <f>IF(OR($B1989&lt;&gt;2,$G1989=""),"",COUNTIFS(LdAParty,$A1989,LdAType,2,LdAKey,"&lt;"&amp;$G1989)+1)</f>
        <v/>
      </c>
      <c r="K1989">
        <f>IF($J1989="","",$A1989&amp;"|"&amp;RIGHT("000000"&amp;$J1989,6))</f>
        <v/>
      </c>
      <c r="L1989">
        <f>IF($A1989="","",IF(Wages!$G1992="",0,Wages!$G1992))</f>
        <v/>
      </c>
      <c r="M1989">
        <f>IF($A1989="","",Wages!$J1992)</f>
        <v/>
      </c>
      <c r="N1989">
        <f>IF($A1989="","",Wages!$D1992)</f>
        <v/>
      </c>
      <c r="P1989">
        <f>IF(OR(Shares!$B1992="",Shares!$C1992=""),"",Shares!$C1992)</f>
        <v/>
      </c>
      <c r="Q1989">
        <f>IF($P1989="","",Shares!$B1992)</f>
        <v/>
      </c>
      <c r="R1989">
        <f>IF($P1989="","",IFERROR(INDEX(WageParty,MATCH($Q1989,WageIds,0)),""))</f>
        <v/>
      </c>
      <c r="S1989">
        <f>IF($P1989="","",IFERROR(INDEX($F$6:$F$2005,MATCH($Q1989,WageIds,0)),""))</f>
        <v/>
      </c>
      <c r="T1989">
        <f>IF(OR($P1989="",$S1989="",$S1989="نامعتبر"),"",LEFT($S1989,4)&amp;MID($S1989,6,2)&amp;RIGHT($S1989,2)&amp;"0000"&amp;"|"&amp;"2"&amp;RIGHT("00000"&amp;1984,5))</f>
        <v/>
      </c>
      <c r="U1989">
        <f>IF($T1989="","",COUNTIFS(LdAParty,$P1989,LdAType,1,LdAKey,"&lt;"&amp;$T1989)+COUNTIFS(LdBMember,$P1989,LdBKey,"&lt;"&amp;$T1989)+COUNTIFS(LdCParty,$P1989,LdCKey,"&lt;"&amp;$T1989)+1)</f>
        <v/>
      </c>
      <c r="V1989">
        <f>IF($U1989="","",$P1989&amp;"|"&amp;RIGHT("000000"&amp;$U1989,6))</f>
        <v/>
      </c>
      <c r="W1989">
        <f>IF($T1989="","",COUNTIFS(LdBGroup,$R1989,LdBKey,"&lt;"&amp;$T1989)+1)</f>
        <v/>
      </c>
      <c r="X1989">
        <f>IF($W1989="","",$R1989&amp;"|"&amp;RIGHT("000000"&amp;$W1989,6))</f>
        <v/>
      </c>
      <c r="Y1989">
        <f>IF($P1989="","",IF(Shares!$E1992="",0,Shares!$E1992))</f>
        <v/>
      </c>
      <c r="Z1989">
        <f>IF($P1989="","",Shares!$H1992)</f>
        <v/>
      </c>
      <c r="AE1989">
        <f>IF(OR(Sync!$S1989="",Sync!$P1989=""),"",Sync!$S1989)</f>
        <v/>
      </c>
      <c r="AF1989">
        <f>IF($AE1989="","",IF(ISNUMBER(Sync!$P1989),IF(AND(Sync!$P1989&gt;=10000101,Sync!$P1989&lt;=99991231),INT(Sync!$P1989/10000),""),IFERROR(VALUE(TRIM(LEFT(Sync!$P1989,FIND("/",Sync!$P1989)-1))),"")))</f>
        <v/>
      </c>
      <c r="AG1989">
        <f>IF(OR($AE1989="",$AF1989=""),"",IF(ISNUMBER(Sync!$P1989),INT(MOD(Sync!$P1989,10000)/100),IFERROR(VALUE(TRIM(LEFT(MID(Sync!$P1989,FIND("/",Sync!$P1989)+1,20),FIND("/",MID(Sync!$P1989,FIND("/",Sync!$P1989)+1,20))-1))),"")))</f>
        <v/>
      </c>
      <c r="AH1989">
        <f>IF(OR($AE1989="",$AF1989=""),"",IF(ISNUMBER(Sync!$P1989),MOD(Sync!$P1989,100),IFERROR(VALUE(TRIM(MID(MID(Sync!$P1989,FIND("/",Sync!$P1989)+1,20),FIND("/",MID(Sync!$P1989,FIND("/",Sync!$P1989)+1,20))+1,20))),"")))</f>
        <v/>
      </c>
      <c r="AI1989">
        <f>IF($AE1989="","",IF(OR($AF1989="",$AG1989="",$AH1989="",$AF1989&lt;1300,$AF1989&gt;1500,$AG1989&lt;1,$AG1989&gt;12,$AH1989&lt;1,$AH1989&gt;31),"نامعتبر",RIGHT("0000"&amp;$AF1989,4)&amp;"/"&amp;RIGHT("00"&amp;$AG1989,2)&amp;"/"&amp;RIGHT("00"&amp;$AH1989,2)))</f>
        <v/>
      </c>
      <c r="AJ1989">
        <f>IF($AE1989="","",IF(Sync!$Q1989="","0000",IF(AND(ISNUMBER(Sync!$Q1989),Sync!$Q1989&gt;=0,Sync!$Q1989&lt;1),RIGHT("00"&amp;HOUR(Sync!$Q1989),2)&amp;RIGHT("00"&amp;MINUTE(Sync!$Q1989),2),IFERROR(RIGHT("00"&amp;VALUE(LEFT(Sync!$Q1989,FIND(":",Sync!$Q1989)-1)),2)&amp;RIGHT("00"&amp;VALUE(MID(Sync!$Q1989,FIND(":",Sync!$Q1989)+1,2)),2),"0000"))))</f>
        <v/>
      </c>
      <c r="AK1989">
        <f>IF(OR($AE1989="",$AI1989="",$AI1989="نامعتبر"),"",LEFT($AI1989,4)&amp;MID($AI1989,6,2)&amp;RIGHT($AI1989,2)&amp;$AJ1989&amp;"|"&amp;"3"&amp;RIGHT("00000"&amp;1984,5))</f>
        <v/>
      </c>
      <c r="AL1989">
        <f>IF($AK1989="","",COUNTIFS(LdAParty,$AE1989,LdAType,1,LdAKey,"&lt;"&amp;$AK1989)+COUNTIFS(LdBMember,$AE1989,LdBKey,"&lt;"&amp;$AK1989)+COUNTIFS(LdCParty,$AE1989,LdCKey,"&lt;"&amp;$AK1989)+1)</f>
        <v/>
      </c>
      <c r="AM1989">
        <f>IF($AL1989="","",$AE1989&amp;"|"&amp;RIGHT("000000"&amp;$AL1989,6))</f>
        <v/>
      </c>
      <c r="AN1989">
        <f>IF($AE1989="","",IF(Sync!$W1989="",0,Sync!$W1989))</f>
        <v/>
      </c>
      <c r="AO1989">
        <f>IF($AE1989="","",IF(Sync!$X1989="",0,Sync!$X1989))</f>
        <v/>
      </c>
      <c r="AP1989">
        <f>IF($AE1989="","",Sync!$R1989)</f>
        <v/>
      </c>
      <c r="AQ1989">
        <f>IF($AE1989="","",Sync!$Y1989)</f>
        <v/>
      </c>
    </row>
    <row r="1990">
      <c r="A1990">
        <f>IF(OR(Wages!$B1993="",Wages!$E1993=""),"",Wages!$E1993)</f>
        <v/>
      </c>
      <c r="B1990">
        <f>IF($A1990="","",IF(Wages!$C1993="دستمزد گروهی",2,1))</f>
        <v/>
      </c>
      <c r="C1990">
        <f>IF($A1990="","",IF(ISNUMBER(Wages!$B1993),IF(AND(Wages!$B1993&gt;=10000101,Wages!$B1993&lt;=99991231),INT(Wages!$B1993/10000),""),IFERROR(VALUE(TRIM(LEFT(Wages!$B1993,FIND("/",Wages!$B1993)-1))),"")))</f>
        <v/>
      </c>
      <c r="D1990">
        <f>IF(OR($A1990="",$C1990=""),"",IF(ISNUMBER(Wages!$B1993),INT(MOD(Wages!$B1993,10000)/100),IFERROR(VALUE(TRIM(LEFT(MID(Wages!$B1993,FIND("/",Wages!$B1993)+1,20),FIND("/",MID(Wages!$B1993,FIND("/",Wages!$B1993)+1,20))-1))),"")))</f>
        <v/>
      </c>
      <c r="E1990">
        <f>IF(OR($A1990="",$C1990=""),"",IF(ISNUMBER(Wages!$B1993),MOD(Wages!$B1993,100),IFERROR(VALUE(TRIM(MID(MID(Wages!$B1993,FIND("/",Wages!$B1993)+1,20),FIND("/",MID(Wages!$B1993,FIND("/",Wages!$B1993)+1,20))+1,20))),"")))</f>
        <v/>
      </c>
      <c r="F1990">
        <f>IF($A1990="","",IF(OR($C1990="",$D1990="",$E1990="",$C1990&lt;1300,$C1990&gt;1500,$D1990&lt;1,$D1990&gt;12,$E1990&lt;1,$E1990&gt;31),"نامعتبر",RIGHT("0000"&amp;$C1990,4)&amp;"/"&amp;RIGHT("00"&amp;$D1990,2)&amp;"/"&amp;RIGHT("00"&amp;$E1990,2)))</f>
        <v/>
      </c>
      <c r="G1990">
        <f>IF(OR($A1990="",$F1990="",$F1990="نامعتبر"),"",LEFT($F1990,4)&amp;MID($F1990,6,2)&amp;RIGHT($F1990,2)&amp;"0000"&amp;"|"&amp;"1"&amp;RIGHT("00000"&amp;1985,5))</f>
        <v/>
      </c>
      <c r="H1990">
        <f>IF(OR($B1990&lt;&gt;1,$G1990=""),"",COUNTIFS(LdAParty,$A1990,LdAType,1,LdAKey,"&lt;"&amp;$G1990)+COUNTIFS(LdBMember,$A1990,LdBKey,"&lt;"&amp;$G1990)+COUNTIFS(LdCParty,$A1990,LdCKey,"&lt;"&amp;$G1990)+1)</f>
        <v/>
      </c>
      <c r="I1990">
        <f>IF($H1990="","",$A1990&amp;"|"&amp;RIGHT("000000"&amp;$H1990,6))</f>
        <v/>
      </c>
      <c r="J1990">
        <f>IF(OR($B1990&lt;&gt;2,$G1990=""),"",COUNTIFS(LdAParty,$A1990,LdAType,2,LdAKey,"&lt;"&amp;$G1990)+1)</f>
        <v/>
      </c>
      <c r="K1990">
        <f>IF($J1990="","",$A1990&amp;"|"&amp;RIGHT("000000"&amp;$J1990,6))</f>
        <v/>
      </c>
      <c r="L1990">
        <f>IF($A1990="","",IF(Wages!$G1993="",0,Wages!$G1993))</f>
        <v/>
      </c>
      <c r="M1990">
        <f>IF($A1990="","",Wages!$J1993)</f>
        <v/>
      </c>
      <c r="N1990">
        <f>IF($A1990="","",Wages!$D1993)</f>
        <v/>
      </c>
      <c r="P1990">
        <f>IF(OR(Shares!$B1993="",Shares!$C1993=""),"",Shares!$C1993)</f>
        <v/>
      </c>
      <c r="Q1990">
        <f>IF($P1990="","",Shares!$B1993)</f>
        <v/>
      </c>
      <c r="R1990">
        <f>IF($P1990="","",IFERROR(INDEX(WageParty,MATCH($Q1990,WageIds,0)),""))</f>
        <v/>
      </c>
      <c r="S1990">
        <f>IF($P1990="","",IFERROR(INDEX($F$6:$F$2005,MATCH($Q1990,WageIds,0)),""))</f>
        <v/>
      </c>
      <c r="T1990">
        <f>IF(OR($P1990="",$S1990="",$S1990="نامعتبر"),"",LEFT($S1990,4)&amp;MID($S1990,6,2)&amp;RIGHT($S1990,2)&amp;"0000"&amp;"|"&amp;"2"&amp;RIGHT("00000"&amp;1985,5))</f>
        <v/>
      </c>
      <c r="U1990">
        <f>IF($T1990="","",COUNTIFS(LdAParty,$P1990,LdAType,1,LdAKey,"&lt;"&amp;$T1990)+COUNTIFS(LdBMember,$P1990,LdBKey,"&lt;"&amp;$T1990)+COUNTIFS(LdCParty,$P1990,LdCKey,"&lt;"&amp;$T1990)+1)</f>
        <v/>
      </c>
      <c r="V1990">
        <f>IF($U1990="","",$P1990&amp;"|"&amp;RIGHT("000000"&amp;$U1990,6))</f>
        <v/>
      </c>
      <c r="W1990">
        <f>IF($T1990="","",COUNTIFS(LdBGroup,$R1990,LdBKey,"&lt;"&amp;$T1990)+1)</f>
        <v/>
      </c>
      <c r="X1990">
        <f>IF($W1990="","",$R1990&amp;"|"&amp;RIGHT("000000"&amp;$W1990,6))</f>
        <v/>
      </c>
      <c r="Y1990">
        <f>IF($P1990="","",IF(Shares!$E1993="",0,Shares!$E1993))</f>
        <v/>
      </c>
      <c r="Z1990">
        <f>IF($P1990="","",Shares!$H1993)</f>
        <v/>
      </c>
      <c r="AE1990">
        <f>IF(OR(Sync!$S1990="",Sync!$P1990=""),"",Sync!$S1990)</f>
        <v/>
      </c>
      <c r="AF1990">
        <f>IF($AE1990="","",IF(ISNUMBER(Sync!$P1990),IF(AND(Sync!$P1990&gt;=10000101,Sync!$P1990&lt;=99991231),INT(Sync!$P1990/10000),""),IFERROR(VALUE(TRIM(LEFT(Sync!$P1990,FIND("/",Sync!$P1990)-1))),"")))</f>
        <v/>
      </c>
      <c r="AG1990">
        <f>IF(OR($AE1990="",$AF1990=""),"",IF(ISNUMBER(Sync!$P1990),INT(MOD(Sync!$P1990,10000)/100),IFERROR(VALUE(TRIM(LEFT(MID(Sync!$P1990,FIND("/",Sync!$P1990)+1,20),FIND("/",MID(Sync!$P1990,FIND("/",Sync!$P1990)+1,20))-1))),"")))</f>
        <v/>
      </c>
      <c r="AH1990">
        <f>IF(OR($AE1990="",$AF1990=""),"",IF(ISNUMBER(Sync!$P1990),MOD(Sync!$P1990,100),IFERROR(VALUE(TRIM(MID(MID(Sync!$P1990,FIND("/",Sync!$P1990)+1,20),FIND("/",MID(Sync!$P1990,FIND("/",Sync!$P1990)+1,20))+1,20))),"")))</f>
        <v/>
      </c>
      <c r="AI1990">
        <f>IF($AE1990="","",IF(OR($AF1990="",$AG1990="",$AH1990="",$AF1990&lt;1300,$AF1990&gt;1500,$AG1990&lt;1,$AG1990&gt;12,$AH1990&lt;1,$AH1990&gt;31),"نامعتبر",RIGHT("0000"&amp;$AF1990,4)&amp;"/"&amp;RIGHT("00"&amp;$AG1990,2)&amp;"/"&amp;RIGHT("00"&amp;$AH1990,2)))</f>
        <v/>
      </c>
      <c r="AJ1990">
        <f>IF($AE1990="","",IF(Sync!$Q1990="","0000",IF(AND(ISNUMBER(Sync!$Q1990),Sync!$Q1990&gt;=0,Sync!$Q1990&lt;1),RIGHT("00"&amp;HOUR(Sync!$Q1990),2)&amp;RIGHT("00"&amp;MINUTE(Sync!$Q1990),2),IFERROR(RIGHT("00"&amp;VALUE(LEFT(Sync!$Q1990,FIND(":",Sync!$Q1990)-1)),2)&amp;RIGHT("00"&amp;VALUE(MID(Sync!$Q1990,FIND(":",Sync!$Q1990)+1,2)),2),"0000"))))</f>
        <v/>
      </c>
      <c r="AK1990">
        <f>IF(OR($AE1990="",$AI1990="",$AI1990="نامعتبر"),"",LEFT($AI1990,4)&amp;MID($AI1990,6,2)&amp;RIGHT($AI1990,2)&amp;$AJ1990&amp;"|"&amp;"3"&amp;RIGHT("00000"&amp;1985,5))</f>
        <v/>
      </c>
      <c r="AL1990">
        <f>IF($AK1990="","",COUNTIFS(LdAParty,$AE1990,LdAType,1,LdAKey,"&lt;"&amp;$AK1990)+COUNTIFS(LdBMember,$AE1990,LdBKey,"&lt;"&amp;$AK1990)+COUNTIFS(LdCParty,$AE1990,LdCKey,"&lt;"&amp;$AK1990)+1)</f>
        <v/>
      </c>
      <c r="AM1990">
        <f>IF($AL1990="","",$AE1990&amp;"|"&amp;RIGHT("000000"&amp;$AL1990,6))</f>
        <v/>
      </c>
      <c r="AN1990">
        <f>IF($AE1990="","",IF(Sync!$W1990="",0,Sync!$W1990))</f>
        <v/>
      </c>
      <c r="AO1990">
        <f>IF($AE1990="","",IF(Sync!$X1990="",0,Sync!$X1990))</f>
        <v/>
      </c>
      <c r="AP1990">
        <f>IF($AE1990="","",Sync!$R1990)</f>
        <v/>
      </c>
      <c r="AQ1990">
        <f>IF($AE1990="","",Sync!$Y1990)</f>
        <v/>
      </c>
    </row>
    <row r="1991">
      <c r="A1991">
        <f>IF(OR(Wages!$B1994="",Wages!$E1994=""),"",Wages!$E1994)</f>
        <v/>
      </c>
      <c r="B1991">
        <f>IF($A1991="","",IF(Wages!$C1994="دستمزد گروهی",2,1))</f>
        <v/>
      </c>
      <c r="C1991">
        <f>IF($A1991="","",IF(ISNUMBER(Wages!$B1994),IF(AND(Wages!$B1994&gt;=10000101,Wages!$B1994&lt;=99991231),INT(Wages!$B1994/10000),""),IFERROR(VALUE(TRIM(LEFT(Wages!$B1994,FIND("/",Wages!$B1994)-1))),"")))</f>
        <v/>
      </c>
      <c r="D1991">
        <f>IF(OR($A1991="",$C1991=""),"",IF(ISNUMBER(Wages!$B1994),INT(MOD(Wages!$B1994,10000)/100),IFERROR(VALUE(TRIM(LEFT(MID(Wages!$B1994,FIND("/",Wages!$B1994)+1,20),FIND("/",MID(Wages!$B1994,FIND("/",Wages!$B1994)+1,20))-1))),"")))</f>
        <v/>
      </c>
      <c r="E1991">
        <f>IF(OR($A1991="",$C1991=""),"",IF(ISNUMBER(Wages!$B1994),MOD(Wages!$B1994,100),IFERROR(VALUE(TRIM(MID(MID(Wages!$B1994,FIND("/",Wages!$B1994)+1,20),FIND("/",MID(Wages!$B1994,FIND("/",Wages!$B1994)+1,20))+1,20))),"")))</f>
        <v/>
      </c>
      <c r="F1991">
        <f>IF($A1991="","",IF(OR($C1991="",$D1991="",$E1991="",$C1991&lt;1300,$C1991&gt;1500,$D1991&lt;1,$D1991&gt;12,$E1991&lt;1,$E1991&gt;31),"نامعتبر",RIGHT("0000"&amp;$C1991,4)&amp;"/"&amp;RIGHT("00"&amp;$D1991,2)&amp;"/"&amp;RIGHT("00"&amp;$E1991,2)))</f>
        <v/>
      </c>
      <c r="G1991">
        <f>IF(OR($A1991="",$F1991="",$F1991="نامعتبر"),"",LEFT($F1991,4)&amp;MID($F1991,6,2)&amp;RIGHT($F1991,2)&amp;"0000"&amp;"|"&amp;"1"&amp;RIGHT("00000"&amp;1986,5))</f>
        <v/>
      </c>
      <c r="H1991">
        <f>IF(OR($B1991&lt;&gt;1,$G1991=""),"",COUNTIFS(LdAParty,$A1991,LdAType,1,LdAKey,"&lt;"&amp;$G1991)+COUNTIFS(LdBMember,$A1991,LdBKey,"&lt;"&amp;$G1991)+COUNTIFS(LdCParty,$A1991,LdCKey,"&lt;"&amp;$G1991)+1)</f>
        <v/>
      </c>
      <c r="I1991">
        <f>IF($H1991="","",$A1991&amp;"|"&amp;RIGHT("000000"&amp;$H1991,6))</f>
        <v/>
      </c>
      <c r="J1991">
        <f>IF(OR($B1991&lt;&gt;2,$G1991=""),"",COUNTIFS(LdAParty,$A1991,LdAType,2,LdAKey,"&lt;"&amp;$G1991)+1)</f>
        <v/>
      </c>
      <c r="K1991">
        <f>IF($J1991="","",$A1991&amp;"|"&amp;RIGHT("000000"&amp;$J1991,6))</f>
        <v/>
      </c>
      <c r="L1991">
        <f>IF($A1991="","",IF(Wages!$G1994="",0,Wages!$G1994))</f>
        <v/>
      </c>
      <c r="M1991">
        <f>IF($A1991="","",Wages!$J1994)</f>
        <v/>
      </c>
      <c r="N1991">
        <f>IF($A1991="","",Wages!$D1994)</f>
        <v/>
      </c>
      <c r="P1991">
        <f>IF(OR(Shares!$B1994="",Shares!$C1994=""),"",Shares!$C1994)</f>
        <v/>
      </c>
      <c r="Q1991">
        <f>IF($P1991="","",Shares!$B1994)</f>
        <v/>
      </c>
      <c r="R1991">
        <f>IF($P1991="","",IFERROR(INDEX(WageParty,MATCH($Q1991,WageIds,0)),""))</f>
        <v/>
      </c>
      <c r="S1991">
        <f>IF($P1991="","",IFERROR(INDEX($F$6:$F$2005,MATCH($Q1991,WageIds,0)),""))</f>
        <v/>
      </c>
      <c r="T1991">
        <f>IF(OR($P1991="",$S1991="",$S1991="نامعتبر"),"",LEFT($S1991,4)&amp;MID($S1991,6,2)&amp;RIGHT($S1991,2)&amp;"0000"&amp;"|"&amp;"2"&amp;RIGHT("00000"&amp;1986,5))</f>
        <v/>
      </c>
      <c r="U1991">
        <f>IF($T1991="","",COUNTIFS(LdAParty,$P1991,LdAType,1,LdAKey,"&lt;"&amp;$T1991)+COUNTIFS(LdBMember,$P1991,LdBKey,"&lt;"&amp;$T1991)+COUNTIFS(LdCParty,$P1991,LdCKey,"&lt;"&amp;$T1991)+1)</f>
        <v/>
      </c>
      <c r="V1991">
        <f>IF($U1991="","",$P1991&amp;"|"&amp;RIGHT("000000"&amp;$U1991,6))</f>
        <v/>
      </c>
      <c r="W1991">
        <f>IF($T1991="","",COUNTIFS(LdBGroup,$R1991,LdBKey,"&lt;"&amp;$T1991)+1)</f>
        <v/>
      </c>
      <c r="X1991">
        <f>IF($W1991="","",$R1991&amp;"|"&amp;RIGHT("000000"&amp;$W1991,6))</f>
        <v/>
      </c>
      <c r="Y1991">
        <f>IF($P1991="","",IF(Shares!$E1994="",0,Shares!$E1994))</f>
        <v/>
      </c>
      <c r="Z1991">
        <f>IF($P1991="","",Shares!$H1994)</f>
        <v/>
      </c>
      <c r="AE1991">
        <f>IF(OR(Sync!$S1991="",Sync!$P1991=""),"",Sync!$S1991)</f>
        <v/>
      </c>
      <c r="AF1991">
        <f>IF($AE1991="","",IF(ISNUMBER(Sync!$P1991),IF(AND(Sync!$P1991&gt;=10000101,Sync!$P1991&lt;=99991231),INT(Sync!$P1991/10000),""),IFERROR(VALUE(TRIM(LEFT(Sync!$P1991,FIND("/",Sync!$P1991)-1))),"")))</f>
        <v/>
      </c>
      <c r="AG1991">
        <f>IF(OR($AE1991="",$AF1991=""),"",IF(ISNUMBER(Sync!$P1991),INT(MOD(Sync!$P1991,10000)/100),IFERROR(VALUE(TRIM(LEFT(MID(Sync!$P1991,FIND("/",Sync!$P1991)+1,20),FIND("/",MID(Sync!$P1991,FIND("/",Sync!$P1991)+1,20))-1))),"")))</f>
        <v/>
      </c>
      <c r="AH1991">
        <f>IF(OR($AE1991="",$AF1991=""),"",IF(ISNUMBER(Sync!$P1991),MOD(Sync!$P1991,100),IFERROR(VALUE(TRIM(MID(MID(Sync!$P1991,FIND("/",Sync!$P1991)+1,20),FIND("/",MID(Sync!$P1991,FIND("/",Sync!$P1991)+1,20))+1,20))),"")))</f>
        <v/>
      </c>
      <c r="AI1991">
        <f>IF($AE1991="","",IF(OR($AF1991="",$AG1991="",$AH1991="",$AF1991&lt;1300,$AF1991&gt;1500,$AG1991&lt;1,$AG1991&gt;12,$AH1991&lt;1,$AH1991&gt;31),"نامعتبر",RIGHT("0000"&amp;$AF1991,4)&amp;"/"&amp;RIGHT("00"&amp;$AG1991,2)&amp;"/"&amp;RIGHT("00"&amp;$AH1991,2)))</f>
        <v/>
      </c>
      <c r="AJ1991">
        <f>IF($AE1991="","",IF(Sync!$Q1991="","0000",IF(AND(ISNUMBER(Sync!$Q1991),Sync!$Q1991&gt;=0,Sync!$Q1991&lt;1),RIGHT("00"&amp;HOUR(Sync!$Q1991),2)&amp;RIGHT("00"&amp;MINUTE(Sync!$Q1991),2),IFERROR(RIGHT("00"&amp;VALUE(LEFT(Sync!$Q1991,FIND(":",Sync!$Q1991)-1)),2)&amp;RIGHT("00"&amp;VALUE(MID(Sync!$Q1991,FIND(":",Sync!$Q1991)+1,2)),2),"0000"))))</f>
        <v/>
      </c>
      <c r="AK1991">
        <f>IF(OR($AE1991="",$AI1991="",$AI1991="نامعتبر"),"",LEFT($AI1991,4)&amp;MID($AI1991,6,2)&amp;RIGHT($AI1991,2)&amp;$AJ1991&amp;"|"&amp;"3"&amp;RIGHT("00000"&amp;1986,5))</f>
        <v/>
      </c>
      <c r="AL1991">
        <f>IF($AK1991="","",COUNTIFS(LdAParty,$AE1991,LdAType,1,LdAKey,"&lt;"&amp;$AK1991)+COUNTIFS(LdBMember,$AE1991,LdBKey,"&lt;"&amp;$AK1991)+COUNTIFS(LdCParty,$AE1991,LdCKey,"&lt;"&amp;$AK1991)+1)</f>
        <v/>
      </c>
      <c r="AM1991">
        <f>IF($AL1991="","",$AE1991&amp;"|"&amp;RIGHT("000000"&amp;$AL1991,6))</f>
        <v/>
      </c>
      <c r="AN1991">
        <f>IF($AE1991="","",IF(Sync!$W1991="",0,Sync!$W1991))</f>
        <v/>
      </c>
      <c r="AO1991">
        <f>IF($AE1991="","",IF(Sync!$X1991="",0,Sync!$X1991))</f>
        <v/>
      </c>
      <c r="AP1991">
        <f>IF($AE1991="","",Sync!$R1991)</f>
        <v/>
      </c>
      <c r="AQ1991">
        <f>IF($AE1991="","",Sync!$Y1991)</f>
        <v/>
      </c>
    </row>
    <row r="1992">
      <c r="A1992">
        <f>IF(OR(Wages!$B1995="",Wages!$E1995=""),"",Wages!$E1995)</f>
        <v/>
      </c>
      <c r="B1992">
        <f>IF($A1992="","",IF(Wages!$C1995="دستمزد گروهی",2,1))</f>
        <v/>
      </c>
      <c r="C1992">
        <f>IF($A1992="","",IF(ISNUMBER(Wages!$B1995),IF(AND(Wages!$B1995&gt;=10000101,Wages!$B1995&lt;=99991231),INT(Wages!$B1995/10000),""),IFERROR(VALUE(TRIM(LEFT(Wages!$B1995,FIND("/",Wages!$B1995)-1))),"")))</f>
        <v/>
      </c>
      <c r="D1992">
        <f>IF(OR($A1992="",$C1992=""),"",IF(ISNUMBER(Wages!$B1995),INT(MOD(Wages!$B1995,10000)/100),IFERROR(VALUE(TRIM(LEFT(MID(Wages!$B1995,FIND("/",Wages!$B1995)+1,20),FIND("/",MID(Wages!$B1995,FIND("/",Wages!$B1995)+1,20))-1))),"")))</f>
        <v/>
      </c>
      <c r="E1992">
        <f>IF(OR($A1992="",$C1992=""),"",IF(ISNUMBER(Wages!$B1995),MOD(Wages!$B1995,100),IFERROR(VALUE(TRIM(MID(MID(Wages!$B1995,FIND("/",Wages!$B1995)+1,20),FIND("/",MID(Wages!$B1995,FIND("/",Wages!$B1995)+1,20))+1,20))),"")))</f>
        <v/>
      </c>
      <c r="F1992">
        <f>IF($A1992="","",IF(OR($C1992="",$D1992="",$E1992="",$C1992&lt;1300,$C1992&gt;1500,$D1992&lt;1,$D1992&gt;12,$E1992&lt;1,$E1992&gt;31),"نامعتبر",RIGHT("0000"&amp;$C1992,4)&amp;"/"&amp;RIGHT("00"&amp;$D1992,2)&amp;"/"&amp;RIGHT("00"&amp;$E1992,2)))</f>
        <v/>
      </c>
      <c r="G1992">
        <f>IF(OR($A1992="",$F1992="",$F1992="نامعتبر"),"",LEFT($F1992,4)&amp;MID($F1992,6,2)&amp;RIGHT($F1992,2)&amp;"0000"&amp;"|"&amp;"1"&amp;RIGHT("00000"&amp;1987,5))</f>
        <v/>
      </c>
      <c r="H1992">
        <f>IF(OR($B1992&lt;&gt;1,$G1992=""),"",COUNTIFS(LdAParty,$A1992,LdAType,1,LdAKey,"&lt;"&amp;$G1992)+COUNTIFS(LdBMember,$A1992,LdBKey,"&lt;"&amp;$G1992)+COUNTIFS(LdCParty,$A1992,LdCKey,"&lt;"&amp;$G1992)+1)</f>
        <v/>
      </c>
      <c r="I1992">
        <f>IF($H1992="","",$A1992&amp;"|"&amp;RIGHT("000000"&amp;$H1992,6))</f>
        <v/>
      </c>
      <c r="J1992">
        <f>IF(OR($B1992&lt;&gt;2,$G1992=""),"",COUNTIFS(LdAParty,$A1992,LdAType,2,LdAKey,"&lt;"&amp;$G1992)+1)</f>
        <v/>
      </c>
      <c r="K1992">
        <f>IF($J1992="","",$A1992&amp;"|"&amp;RIGHT("000000"&amp;$J1992,6))</f>
        <v/>
      </c>
      <c r="L1992">
        <f>IF($A1992="","",IF(Wages!$G1995="",0,Wages!$G1995))</f>
        <v/>
      </c>
      <c r="M1992">
        <f>IF($A1992="","",Wages!$J1995)</f>
        <v/>
      </c>
      <c r="N1992">
        <f>IF($A1992="","",Wages!$D1995)</f>
        <v/>
      </c>
      <c r="P1992">
        <f>IF(OR(Shares!$B1995="",Shares!$C1995=""),"",Shares!$C1995)</f>
        <v/>
      </c>
      <c r="Q1992">
        <f>IF($P1992="","",Shares!$B1995)</f>
        <v/>
      </c>
      <c r="R1992">
        <f>IF($P1992="","",IFERROR(INDEX(WageParty,MATCH($Q1992,WageIds,0)),""))</f>
        <v/>
      </c>
      <c r="S1992">
        <f>IF($P1992="","",IFERROR(INDEX($F$6:$F$2005,MATCH($Q1992,WageIds,0)),""))</f>
        <v/>
      </c>
      <c r="T1992">
        <f>IF(OR($P1992="",$S1992="",$S1992="نامعتبر"),"",LEFT($S1992,4)&amp;MID($S1992,6,2)&amp;RIGHT($S1992,2)&amp;"0000"&amp;"|"&amp;"2"&amp;RIGHT("00000"&amp;1987,5))</f>
        <v/>
      </c>
      <c r="U1992">
        <f>IF($T1992="","",COUNTIFS(LdAParty,$P1992,LdAType,1,LdAKey,"&lt;"&amp;$T1992)+COUNTIFS(LdBMember,$P1992,LdBKey,"&lt;"&amp;$T1992)+COUNTIFS(LdCParty,$P1992,LdCKey,"&lt;"&amp;$T1992)+1)</f>
        <v/>
      </c>
      <c r="V1992">
        <f>IF($U1992="","",$P1992&amp;"|"&amp;RIGHT("000000"&amp;$U1992,6))</f>
        <v/>
      </c>
      <c r="W1992">
        <f>IF($T1992="","",COUNTIFS(LdBGroup,$R1992,LdBKey,"&lt;"&amp;$T1992)+1)</f>
        <v/>
      </c>
      <c r="X1992">
        <f>IF($W1992="","",$R1992&amp;"|"&amp;RIGHT("000000"&amp;$W1992,6))</f>
        <v/>
      </c>
      <c r="Y1992">
        <f>IF($P1992="","",IF(Shares!$E1995="",0,Shares!$E1995))</f>
        <v/>
      </c>
      <c r="Z1992">
        <f>IF($P1992="","",Shares!$H1995)</f>
        <v/>
      </c>
      <c r="AE1992">
        <f>IF(OR(Sync!$S1992="",Sync!$P1992=""),"",Sync!$S1992)</f>
        <v/>
      </c>
      <c r="AF1992">
        <f>IF($AE1992="","",IF(ISNUMBER(Sync!$P1992),IF(AND(Sync!$P1992&gt;=10000101,Sync!$P1992&lt;=99991231),INT(Sync!$P1992/10000),""),IFERROR(VALUE(TRIM(LEFT(Sync!$P1992,FIND("/",Sync!$P1992)-1))),"")))</f>
        <v/>
      </c>
      <c r="AG1992">
        <f>IF(OR($AE1992="",$AF1992=""),"",IF(ISNUMBER(Sync!$P1992),INT(MOD(Sync!$P1992,10000)/100),IFERROR(VALUE(TRIM(LEFT(MID(Sync!$P1992,FIND("/",Sync!$P1992)+1,20),FIND("/",MID(Sync!$P1992,FIND("/",Sync!$P1992)+1,20))-1))),"")))</f>
        <v/>
      </c>
      <c r="AH1992">
        <f>IF(OR($AE1992="",$AF1992=""),"",IF(ISNUMBER(Sync!$P1992),MOD(Sync!$P1992,100),IFERROR(VALUE(TRIM(MID(MID(Sync!$P1992,FIND("/",Sync!$P1992)+1,20),FIND("/",MID(Sync!$P1992,FIND("/",Sync!$P1992)+1,20))+1,20))),"")))</f>
        <v/>
      </c>
      <c r="AI1992">
        <f>IF($AE1992="","",IF(OR($AF1992="",$AG1992="",$AH1992="",$AF1992&lt;1300,$AF1992&gt;1500,$AG1992&lt;1,$AG1992&gt;12,$AH1992&lt;1,$AH1992&gt;31),"نامعتبر",RIGHT("0000"&amp;$AF1992,4)&amp;"/"&amp;RIGHT("00"&amp;$AG1992,2)&amp;"/"&amp;RIGHT("00"&amp;$AH1992,2)))</f>
        <v/>
      </c>
      <c r="AJ1992">
        <f>IF($AE1992="","",IF(Sync!$Q1992="","0000",IF(AND(ISNUMBER(Sync!$Q1992),Sync!$Q1992&gt;=0,Sync!$Q1992&lt;1),RIGHT("00"&amp;HOUR(Sync!$Q1992),2)&amp;RIGHT("00"&amp;MINUTE(Sync!$Q1992),2),IFERROR(RIGHT("00"&amp;VALUE(LEFT(Sync!$Q1992,FIND(":",Sync!$Q1992)-1)),2)&amp;RIGHT("00"&amp;VALUE(MID(Sync!$Q1992,FIND(":",Sync!$Q1992)+1,2)),2),"0000"))))</f>
        <v/>
      </c>
      <c r="AK1992">
        <f>IF(OR($AE1992="",$AI1992="",$AI1992="نامعتبر"),"",LEFT($AI1992,4)&amp;MID($AI1992,6,2)&amp;RIGHT($AI1992,2)&amp;$AJ1992&amp;"|"&amp;"3"&amp;RIGHT("00000"&amp;1987,5))</f>
        <v/>
      </c>
      <c r="AL1992">
        <f>IF($AK1992="","",COUNTIFS(LdAParty,$AE1992,LdAType,1,LdAKey,"&lt;"&amp;$AK1992)+COUNTIFS(LdBMember,$AE1992,LdBKey,"&lt;"&amp;$AK1992)+COUNTIFS(LdCParty,$AE1992,LdCKey,"&lt;"&amp;$AK1992)+1)</f>
        <v/>
      </c>
      <c r="AM1992">
        <f>IF($AL1992="","",$AE1992&amp;"|"&amp;RIGHT("000000"&amp;$AL1992,6))</f>
        <v/>
      </c>
      <c r="AN1992">
        <f>IF($AE1992="","",IF(Sync!$W1992="",0,Sync!$W1992))</f>
        <v/>
      </c>
      <c r="AO1992">
        <f>IF($AE1992="","",IF(Sync!$X1992="",0,Sync!$X1992))</f>
        <v/>
      </c>
      <c r="AP1992">
        <f>IF($AE1992="","",Sync!$R1992)</f>
        <v/>
      </c>
      <c r="AQ1992">
        <f>IF($AE1992="","",Sync!$Y1992)</f>
        <v/>
      </c>
    </row>
    <row r="1993">
      <c r="A1993">
        <f>IF(OR(Wages!$B1996="",Wages!$E1996=""),"",Wages!$E1996)</f>
        <v/>
      </c>
      <c r="B1993">
        <f>IF($A1993="","",IF(Wages!$C1996="دستمزد گروهی",2,1))</f>
        <v/>
      </c>
      <c r="C1993">
        <f>IF($A1993="","",IF(ISNUMBER(Wages!$B1996),IF(AND(Wages!$B1996&gt;=10000101,Wages!$B1996&lt;=99991231),INT(Wages!$B1996/10000),""),IFERROR(VALUE(TRIM(LEFT(Wages!$B1996,FIND("/",Wages!$B1996)-1))),"")))</f>
        <v/>
      </c>
      <c r="D1993">
        <f>IF(OR($A1993="",$C1993=""),"",IF(ISNUMBER(Wages!$B1996),INT(MOD(Wages!$B1996,10000)/100),IFERROR(VALUE(TRIM(LEFT(MID(Wages!$B1996,FIND("/",Wages!$B1996)+1,20),FIND("/",MID(Wages!$B1996,FIND("/",Wages!$B1996)+1,20))-1))),"")))</f>
        <v/>
      </c>
      <c r="E1993">
        <f>IF(OR($A1993="",$C1993=""),"",IF(ISNUMBER(Wages!$B1996),MOD(Wages!$B1996,100),IFERROR(VALUE(TRIM(MID(MID(Wages!$B1996,FIND("/",Wages!$B1996)+1,20),FIND("/",MID(Wages!$B1996,FIND("/",Wages!$B1996)+1,20))+1,20))),"")))</f>
        <v/>
      </c>
      <c r="F1993">
        <f>IF($A1993="","",IF(OR($C1993="",$D1993="",$E1993="",$C1993&lt;1300,$C1993&gt;1500,$D1993&lt;1,$D1993&gt;12,$E1993&lt;1,$E1993&gt;31),"نامعتبر",RIGHT("0000"&amp;$C1993,4)&amp;"/"&amp;RIGHT("00"&amp;$D1993,2)&amp;"/"&amp;RIGHT("00"&amp;$E1993,2)))</f>
        <v/>
      </c>
      <c r="G1993">
        <f>IF(OR($A1993="",$F1993="",$F1993="نامعتبر"),"",LEFT($F1993,4)&amp;MID($F1993,6,2)&amp;RIGHT($F1993,2)&amp;"0000"&amp;"|"&amp;"1"&amp;RIGHT("00000"&amp;1988,5))</f>
        <v/>
      </c>
      <c r="H1993">
        <f>IF(OR($B1993&lt;&gt;1,$G1993=""),"",COUNTIFS(LdAParty,$A1993,LdAType,1,LdAKey,"&lt;"&amp;$G1993)+COUNTIFS(LdBMember,$A1993,LdBKey,"&lt;"&amp;$G1993)+COUNTIFS(LdCParty,$A1993,LdCKey,"&lt;"&amp;$G1993)+1)</f>
        <v/>
      </c>
      <c r="I1993">
        <f>IF($H1993="","",$A1993&amp;"|"&amp;RIGHT("000000"&amp;$H1993,6))</f>
        <v/>
      </c>
      <c r="J1993">
        <f>IF(OR($B1993&lt;&gt;2,$G1993=""),"",COUNTIFS(LdAParty,$A1993,LdAType,2,LdAKey,"&lt;"&amp;$G1993)+1)</f>
        <v/>
      </c>
      <c r="K1993">
        <f>IF($J1993="","",$A1993&amp;"|"&amp;RIGHT("000000"&amp;$J1993,6))</f>
        <v/>
      </c>
      <c r="L1993">
        <f>IF($A1993="","",IF(Wages!$G1996="",0,Wages!$G1996))</f>
        <v/>
      </c>
      <c r="M1993">
        <f>IF($A1993="","",Wages!$J1996)</f>
        <v/>
      </c>
      <c r="N1993">
        <f>IF($A1993="","",Wages!$D1996)</f>
        <v/>
      </c>
      <c r="P1993">
        <f>IF(OR(Shares!$B1996="",Shares!$C1996=""),"",Shares!$C1996)</f>
        <v/>
      </c>
      <c r="Q1993">
        <f>IF($P1993="","",Shares!$B1996)</f>
        <v/>
      </c>
      <c r="R1993">
        <f>IF($P1993="","",IFERROR(INDEX(WageParty,MATCH($Q1993,WageIds,0)),""))</f>
        <v/>
      </c>
      <c r="S1993">
        <f>IF($P1993="","",IFERROR(INDEX($F$6:$F$2005,MATCH($Q1993,WageIds,0)),""))</f>
        <v/>
      </c>
      <c r="T1993">
        <f>IF(OR($P1993="",$S1993="",$S1993="نامعتبر"),"",LEFT($S1993,4)&amp;MID($S1993,6,2)&amp;RIGHT($S1993,2)&amp;"0000"&amp;"|"&amp;"2"&amp;RIGHT("00000"&amp;1988,5))</f>
        <v/>
      </c>
      <c r="U1993">
        <f>IF($T1993="","",COUNTIFS(LdAParty,$P1993,LdAType,1,LdAKey,"&lt;"&amp;$T1993)+COUNTIFS(LdBMember,$P1993,LdBKey,"&lt;"&amp;$T1993)+COUNTIFS(LdCParty,$P1993,LdCKey,"&lt;"&amp;$T1993)+1)</f>
        <v/>
      </c>
      <c r="V1993">
        <f>IF($U1993="","",$P1993&amp;"|"&amp;RIGHT("000000"&amp;$U1993,6))</f>
        <v/>
      </c>
      <c r="W1993">
        <f>IF($T1993="","",COUNTIFS(LdBGroup,$R1993,LdBKey,"&lt;"&amp;$T1993)+1)</f>
        <v/>
      </c>
      <c r="X1993">
        <f>IF($W1993="","",$R1993&amp;"|"&amp;RIGHT("000000"&amp;$W1993,6))</f>
        <v/>
      </c>
      <c r="Y1993">
        <f>IF($P1993="","",IF(Shares!$E1996="",0,Shares!$E1996))</f>
        <v/>
      </c>
      <c r="Z1993">
        <f>IF($P1993="","",Shares!$H1996)</f>
        <v/>
      </c>
      <c r="AE1993">
        <f>IF(OR(Sync!$S1993="",Sync!$P1993=""),"",Sync!$S1993)</f>
        <v/>
      </c>
      <c r="AF1993">
        <f>IF($AE1993="","",IF(ISNUMBER(Sync!$P1993),IF(AND(Sync!$P1993&gt;=10000101,Sync!$P1993&lt;=99991231),INT(Sync!$P1993/10000),""),IFERROR(VALUE(TRIM(LEFT(Sync!$P1993,FIND("/",Sync!$P1993)-1))),"")))</f>
        <v/>
      </c>
      <c r="AG1993">
        <f>IF(OR($AE1993="",$AF1993=""),"",IF(ISNUMBER(Sync!$P1993),INT(MOD(Sync!$P1993,10000)/100),IFERROR(VALUE(TRIM(LEFT(MID(Sync!$P1993,FIND("/",Sync!$P1993)+1,20),FIND("/",MID(Sync!$P1993,FIND("/",Sync!$P1993)+1,20))-1))),"")))</f>
        <v/>
      </c>
      <c r="AH1993">
        <f>IF(OR($AE1993="",$AF1993=""),"",IF(ISNUMBER(Sync!$P1993),MOD(Sync!$P1993,100),IFERROR(VALUE(TRIM(MID(MID(Sync!$P1993,FIND("/",Sync!$P1993)+1,20),FIND("/",MID(Sync!$P1993,FIND("/",Sync!$P1993)+1,20))+1,20))),"")))</f>
        <v/>
      </c>
      <c r="AI1993">
        <f>IF($AE1993="","",IF(OR($AF1993="",$AG1993="",$AH1993="",$AF1993&lt;1300,$AF1993&gt;1500,$AG1993&lt;1,$AG1993&gt;12,$AH1993&lt;1,$AH1993&gt;31),"نامعتبر",RIGHT("0000"&amp;$AF1993,4)&amp;"/"&amp;RIGHT("00"&amp;$AG1993,2)&amp;"/"&amp;RIGHT("00"&amp;$AH1993,2)))</f>
        <v/>
      </c>
      <c r="AJ1993">
        <f>IF($AE1993="","",IF(Sync!$Q1993="","0000",IF(AND(ISNUMBER(Sync!$Q1993),Sync!$Q1993&gt;=0,Sync!$Q1993&lt;1),RIGHT("00"&amp;HOUR(Sync!$Q1993),2)&amp;RIGHT("00"&amp;MINUTE(Sync!$Q1993),2),IFERROR(RIGHT("00"&amp;VALUE(LEFT(Sync!$Q1993,FIND(":",Sync!$Q1993)-1)),2)&amp;RIGHT("00"&amp;VALUE(MID(Sync!$Q1993,FIND(":",Sync!$Q1993)+1,2)),2),"0000"))))</f>
        <v/>
      </c>
      <c r="AK1993">
        <f>IF(OR($AE1993="",$AI1993="",$AI1993="نامعتبر"),"",LEFT($AI1993,4)&amp;MID($AI1993,6,2)&amp;RIGHT($AI1993,2)&amp;$AJ1993&amp;"|"&amp;"3"&amp;RIGHT("00000"&amp;1988,5))</f>
        <v/>
      </c>
      <c r="AL1993">
        <f>IF($AK1993="","",COUNTIFS(LdAParty,$AE1993,LdAType,1,LdAKey,"&lt;"&amp;$AK1993)+COUNTIFS(LdBMember,$AE1993,LdBKey,"&lt;"&amp;$AK1993)+COUNTIFS(LdCParty,$AE1993,LdCKey,"&lt;"&amp;$AK1993)+1)</f>
        <v/>
      </c>
      <c r="AM1993">
        <f>IF($AL1993="","",$AE1993&amp;"|"&amp;RIGHT("000000"&amp;$AL1993,6))</f>
        <v/>
      </c>
      <c r="AN1993">
        <f>IF($AE1993="","",IF(Sync!$W1993="",0,Sync!$W1993))</f>
        <v/>
      </c>
      <c r="AO1993">
        <f>IF($AE1993="","",IF(Sync!$X1993="",0,Sync!$X1993))</f>
        <v/>
      </c>
      <c r="AP1993">
        <f>IF($AE1993="","",Sync!$R1993)</f>
        <v/>
      </c>
      <c r="AQ1993">
        <f>IF($AE1993="","",Sync!$Y1993)</f>
        <v/>
      </c>
    </row>
    <row r="1994">
      <c r="A1994">
        <f>IF(OR(Wages!$B1997="",Wages!$E1997=""),"",Wages!$E1997)</f>
        <v/>
      </c>
      <c r="B1994">
        <f>IF($A1994="","",IF(Wages!$C1997="دستمزد گروهی",2,1))</f>
        <v/>
      </c>
      <c r="C1994">
        <f>IF($A1994="","",IF(ISNUMBER(Wages!$B1997),IF(AND(Wages!$B1997&gt;=10000101,Wages!$B1997&lt;=99991231),INT(Wages!$B1997/10000),""),IFERROR(VALUE(TRIM(LEFT(Wages!$B1997,FIND("/",Wages!$B1997)-1))),"")))</f>
        <v/>
      </c>
      <c r="D1994">
        <f>IF(OR($A1994="",$C1994=""),"",IF(ISNUMBER(Wages!$B1997),INT(MOD(Wages!$B1997,10000)/100),IFERROR(VALUE(TRIM(LEFT(MID(Wages!$B1997,FIND("/",Wages!$B1997)+1,20),FIND("/",MID(Wages!$B1997,FIND("/",Wages!$B1997)+1,20))-1))),"")))</f>
        <v/>
      </c>
      <c r="E1994">
        <f>IF(OR($A1994="",$C1994=""),"",IF(ISNUMBER(Wages!$B1997),MOD(Wages!$B1997,100),IFERROR(VALUE(TRIM(MID(MID(Wages!$B1997,FIND("/",Wages!$B1997)+1,20),FIND("/",MID(Wages!$B1997,FIND("/",Wages!$B1997)+1,20))+1,20))),"")))</f>
        <v/>
      </c>
      <c r="F1994">
        <f>IF($A1994="","",IF(OR($C1994="",$D1994="",$E1994="",$C1994&lt;1300,$C1994&gt;1500,$D1994&lt;1,$D1994&gt;12,$E1994&lt;1,$E1994&gt;31),"نامعتبر",RIGHT("0000"&amp;$C1994,4)&amp;"/"&amp;RIGHT("00"&amp;$D1994,2)&amp;"/"&amp;RIGHT("00"&amp;$E1994,2)))</f>
        <v/>
      </c>
      <c r="G1994">
        <f>IF(OR($A1994="",$F1994="",$F1994="نامعتبر"),"",LEFT($F1994,4)&amp;MID($F1994,6,2)&amp;RIGHT($F1994,2)&amp;"0000"&amp;"|"&amp;"1"&amp;RIGHT("00000"&amp;1989,5))</f>
        <v/>
      </c>
      <c r="H1994">
        <f>IF(OR($B1994&lt;&gt;1,$G1994=""),"",COUNTIFS(LdAParty,$A1994,LdAType,1,LdAKey,"&lt;"&amp;$G1994)+COUNTIFS(LdBMember,$A1994,LdBKey,"&lt;"&amp;$G1994)+COUNTIFS(LdCParty,$A1994,LdCKey,"&lt;"&amp;$G1994)+1)</f>
        <v/>
      </c>
      <c r="I1994">
        <f>IF($H1994="","",$A1994&amp;"|"&amp;RIGHT("000000"&amp;$H1994,6))</f>
        <v/>
      </c>
      <c r="J1994">
        <f>IF(OR($B1994&lt;&gt;2,$G1994=""),"",COUNTIFS(LdAParty,$A1994,LdAType,2,LdAKey,"&lt;"&amp;$G1994)+1)</f>
        <v/>
      </c>
      <c r="K1994">
        <f>IF($J1994="","",$A1994&amp;"|"&amp;RIGHT("000000"&amp;$J1994,6))</f>
        <v/>
      </c>
      <c r="L1994">
        <f>IF($A1994="","",IF(Wages!$G1997="",0,Wages!$G1997))</f>
        <v/>
      </c>
      <c r="M1994">
        <f>IF($A1994="","",Wages!$J1997)</f>
        <v/>
      </c>
      <c r="N1994">
        <f>IF($A1994="","",Wages!$D1997)</f>
        <v/>
      </c>
      <c r="P1994">
        <f>IF(OR(Shares!$B1997="",Shares!$C1997=""),"",Shares!$C1997)</f>
        <v/>
      </c>
      <c r="Q1994">
        <f>IF($P1994="","",Shares!$B1997)</f>
        <v/>
      </c>
      <c r="R1994">
        <f>IF($P1994="","",IFERROR(INDEX(WageParty,MATCH($Q1994,WageIds,0)),""))</f>
        <v/>
      </c>
      <c r="S1994">
        <f>IF($P1994="","",IFERROR(INDEX($F$6:$F$2005,MATCH($Q1994,WageIds,0)),""))</f>
        <v/>
      </c>
      <c r="T1994">
        <f>IF(OR($P1994="",$S1994="",$S1994="نامعتبر"),"",LEFT($S1994,4)&amp;MID($S1994,6,2)&amp;RIGHT($S1994,2)&amp;"0000"&amp;"|"&amp;"2"&amp;RIGHT("00000"&amp;1989,5))</f>
        <v/>
      </c>
      <c r="U1994">
        <f>IF($T1994="","",COUNTIFS(LdAParty,$P1994,LdAType,1,LdAKey,"&lt;"&amp;$T1994)+COUNTIFS(LdBMember,$P1994,LdBKey,"&lt;"&amp;$T1994)+COUNTIFS(LdCParty,$P1994,LdCKey,"&lt;"&amp;$T1994)+1)</f>
        <v/>
      </c>
      <c r="V1994">
        <f>IF($U1994="","",$P1994&amp;"|"&amp;RIGHT("000000"&amp;$U1994,6))</f>
        <v/>
      </c>
      <c r="W1994">
        <f>IF($T1994="","",COUNTIFS(LdBGroup,$R1994,LdBKey,"&lt;"&amp;$T1994)+1)</f>
        <v/>
      </c>
      <c r="X1994">
        <f>IF($W1994="","",$R1994&amp;"|"&amp;RIGHT("000000"&amp;$W1994,6))</f>
        <v/>
      </c>
      <c r="Y1994">
        <f>IF($P1994="","",IF(Shares!$E1997="",0,Shares!$E1997))</f>
        <v/>
      </c>
      <c r="Z1994">
        <f>IF($P1994="","",Shares!$H1997)</f>
        <v/>
      </c>
      <c r="AE1994">
        <f>IF(OR(Sync!$S1994="",Sync!$P1994=""),"",Sync!$S1994)</f>
        <v/>
      </c>
      <c r="AF1994">
        <f>IF($AE1994="","",IF(ISNUMBER(Sync!$P1994),IF(AND(Sync!$P1994&gt;=10000101,Sync!$P1994&lt;=99991231),INT(Sync!$P1994/10000),""),IFERROR(VALUE(TRIM(LEFT(Sync!$P1994,FIND("/",Sync!$P1994)-1))),"")))</f>
        <v/>
      </c>
      <c r="AG1994">
        <f>IF(OR($AE1994="",$AF1994=""),"",IF(ISNUMBER(Sync!$P1994),INT(MOD(Sync!$P1994,10000)/100),IFERROR(VALUE(TRIM(LEFT(MID(Sync!$P1994,FIND("/",Sync!$P1994)+1,20),FIND("/",MID(Sync!$P1994,FIND("/",Sync!$P1994)+1,20))-1))),"")))</f>
        <v/>
      </c>
      <c r="AH1994">
        <f>IF(OR($AE1994="",$AF1994=""),"",IF(ISNUMBER(Sync!$P1994),MOD(Sync!$P1994,100),IFERROR(VALUE(TRIM(MID(MID(Sync!$P1994,FIND("/",Sync!$P1994)+1,20),FIND("/",MID(Sync!$P1994,FIND("/",Sync!$P1994)+1,20))+1,20))),"")))</f>
        <v/>
      </c>
      <c r="AI1994">
        <f>IF($AE1994="","",IF(OR($AF1994="",$AG1994="",$AH1994="",$AF1994&lt;1300,$AF1994&gt;1500,$AG1994&lt;1,$AG1994&gt;12,$AH1994&lt;1,$AH1994&gt;31),"نامعتبر",RIGHT("0000"&amp;$AF1994,4)&amp;"/"&amp;RIGHT("00"&amp;$AG1994,2)&amp;"/"&amp;RIGHT("00"&amp;$AH1994,2)))</f>
        <v/>
      </c>
      <c r="AJ1994">
        <f>IF($AE1994="","",IF(Sync!$Q1994="","0000",IF(AND(ISNUMBER(Sync!$Q1994),Sync!$Q1994&gt;=0,Sync!$Q1994&lt;1),RIGHT("00"&amp;HOUR(Sync!$Q1994),2)&amp;RIGHT("00"&amp;MINUTE(Sync!$Q1994),2),IFERROR(RIGHT("00"&amp;VALUE(LEFT(Sync!$Q1994,FIND(":",Sync!$Q1994)-1)),2)&amp;RIGHT("00"&amp;VALUE(MID(Sync!$Q1994,FIND(":",Sync!$Q1994)+1,2)),2),"0000"))))</f>
        <v/>
      </c>
      <c r="AK1994">
        <f>IF(OR($AE1994="",$AI1994="",$AI1994="نامعتبر"),"",LEFT($AI1994,4)&amp;MID($AI1994,6,2)&amp;RIGHT($AI1994,2)&amp;$AJ1994&amp;"|"&amp;"3"&amp;RIGHT("00000"&amp;1989,5))</f>
        <v/>
      </c>
      <c r="AL1994">
        <f>IF($AK1994="","",COUNTIFS(LdAParty,$AE1994,LdAType,1,LdAKey,"&lt;"&amp;$AK1994)+COUNTIFS(LdBMember,$AE1994,LdBKey,"&lt;"&amp;$AK1994)+COUNTIFS(LdCParty,$AE1994,LdCKey,"&lt;"&amp;$AK1994)+1)</f>
        <v/>
      </c>
      <c r="AM1994">
        <f>IF($AL1994="","",$AE1994&amp;"|"&amp;RIGHT("000000"&amp;$AL1994,6))</f>
        <v/>
      </c>
      <c r="AN1994">
        <f>IF($AE1994="","",IF(Sync!$W1994="",0,Sync!$W1994))</f>
        <v/>
      </c>
      <c r="AO1994">
        <f>IF($AE1994="","",IF(Sync!$X1994="",0,Sync!$X1994))</f>
        <v/>
      </c>
      <c r="AP1994">
        <f>IF($AE1994="","",Sync!$R1994)</f>
        <v/>
      </c>
      <c r="AQ1994">
        <f>IF($AE1994="","",Sync!$Y1994)</f>
        <v/>
      </c>
    </row>
    <row r="1995">
      <c r="A1995">
        <f>IF(OR(Wages!$B1998="",Wages!$E1998=""),"",Wages!$E1998)</f>
        <v/>
      </c>
      <c r="B1995">
        <f>IF($A1995="","",IF(Wages!$C1998="دستمزد گروهی",2,1))</f>
        <v/>
      </c>
      <c r="C1995">
        <f>IF($A1995="","",IF(ISNUMBER(Wages!$B1998),IF(AND(Wages!$B1998&gt;=10000101,Wages!$B1998&lt;=99991231),INT(Wages!$B1998/10000),""),IFERROR(VALUE(TRIM(LEFT(Wages!$B1998,FIND("/",Wages!$B1998)-1))),"")))</f>
        <v/>
      </c>
      <c r="D1995">
        <f>IF(OR($A1995="",$C1995=""),"",IF(ISNUMBER(Wages!$B1998),INT(MOD(Wages!$B1998,10000)/100),IFERROR(VALUE(TRIM(LEFT(MID(Wages!$B1998,FIND("/",Wages!$B1998)+1,20),FIND("/",MID(Wages!$B1998,FIND("/",Wages!$B1998)+1,20))-1))),"")))</f>
        <v/>
      </c>
      <c r="E1995">
        <f>IF(OR($A1995="",$C1995=""),"",IF(ISNUMBER(Wages!$B1998),MOD(Wages!$B1998,100),IFERROR(VALUE(TRIM(MID(MID(Wages!$B1998,FIND("/",Wages!$B1998)+1,20),FIND("/",MID(Wages!$B1998,FIND("/",Wages!$B1998)+1,20))+1,20))),"")))</f>
        <v/>
      </c>
      <c r="F1995">
        <f>IF($A1995="","",IF(OR($C1995="",$D1995="",$E1995="",$C1995&lt;1300,$C1995&gt;1500,$D1995&lt;1,$D1995&gt;12,$E1995&lt;1,$E1995&gt;31),"نامعتبر",RIGHT("0000"&amp;$C1995,4)&amp;"/"&amp;RIGHT("00"&amp;$D1995,2)&amp;"/"&amp;RIGHT("00"&amp;$E1995,2)))</f>
        <v/>
      </c>
      <c r="G1995">
        <f>IF(OR($A1995="",$F1995="",$F1995="نامعتبر"),"",LEFT($F1995,4)&amp;MID($F1995,6,2)&amp;RIGHT($F1995,2)&amp;"0000"&amp;"|"&amp;"1"&amp;RIGHT("00000"&amp;1990,5))</f>
        <v/>
      </c>
      <c r="H1995">
        <f>IF(OR($B1995&lt;&gt;1,$G1995=""),"",COUNTIFS(LdAParty,$A1995,LdAType,1,LdAKey,"&lt;"&amp;$G1995)+COUNTIFS(LdBMember,$A1995,LdBKey,"&lt;"&amp;$G1995)+COUNTIFS(LdCParty,$A1995,LdCKey,"&lt;"&amp;$G1995)+1)</f>
        <v/>
      </c>
      <c r="I1995">
        <f>IF($H1995="","",$A1995&amp;"|"&amp;RIGHT("000000"&amp;$H1995,6))</f>
        <v/>
      </c>
      <c r="J1995">
        <f>IF(OR($B1995&lt;&gt;2,$G1995=""),"",COUNTIFS(LdAParty,$A1995,LdAType,2,LdAKey,"&lt;"&amp;$G1995)+1)</f>
        <v/>
      </c>
      <c r="K1995">
        <f>IF($J1995="","",$A1995&amp;"|"&amp;RIGHT("000000"&amp;$J1995,6))</f>
        <v/>
      </c>
      <c r="L1995">
        <f>IF($A1995="","",IF(Wages!$G1998="",0,Wages!$G1998))</f>
        <v/>
      </c>
      <c r="M1995">
        <f>IF($A1995="","",Wages!$J1998)</f>
        <v/>
      </c>
      <c r="N1995">
        <f>IF($A1995="","",Wages!$D1998)</f>
        <v/>
      </c>
      <c r="P1995">
        <f>IF(OR(Shares!$B1998="",Shares!$C1998=""),"",Shares!$C1998)</f>
        <v/>
      </c>
      <c r="Q1995">
        <f>IF($P1995="","",Shares!$B1998)</f>
        <v/>
      </c>
      <c r="R1995">
        <f>IF($P1995="","",IFERROR(INDEX(WageParty,MATCH($Q1995,WageIds,0)),""))</f>
        <v/>
      </c>
      <c r="S1995">
        <f>IF($P1995="","",IFERROR(INDEX($F$6:$F$2005,MATCH($Q1995,WageIds,0)),""))</f>
        <v/>
      </c>
      <c r="T1995">
        <f>IF(OR($P1995="",$S1995="",$S1995="نامعتبر"),"",LEFT($S1995,4)&amp;MID($S1995,6,2)&amp;RIGHT($S1995,2)&amp;"0000"&amp;"|"&amp;"2"&amp;RIGHT("00000"&amp;1990,5))</f>
        <v/>
      </c>
      <c r="U1995">
        <f>IF($T1995="","",COUNTIFS(LdAParty,$P1995,LdAType,1,LdAKey,"&lt;"&amp;$T1995)+COUNTIFS(LdBMember,$P1995,LdBKey,"&lt;"&amp;$T1995)+COUNTIFS(LdCParty,$P1995,LdCKey,"&lt;"&amp;$T1995)+1)</f>
        <v/>
      </c>
      <c r="V1995">
        <f>IF($U1995="","",$P1995&amp;"|"&amp;RIGHT("000000"&amp;$U1995,6))</f>
        <v/>
      </c>
      <c r="W1995">
        <f>IF($T1995="","",COUNTIFS(LdBGroup,$R1995,LdBKey,"&lt;"&amp;$T1995)+1)</f>
        <v/>
      </c>
      <c r="X1995">
        <f>IF($W1995="","",$R1995&amp;"|"&amp;RIGHT("000000"&amp;$W1995,6))</f>
        <v/>
      </c>
      <c r="Y1995">
        <f>IF($P1995="","",IF(Shares!$E1998="",0,Shares!$E1998))</f>
        <v/>
      </c>
      <c r="Z1995">
        <f>IF($P1995="","",Shares!$H1998)</f>
        <v/>
      </c>
      <c r="AE1995">
        <f>IF(OR(Sync!$S1995="",Sync!$P1995=""),"",Sync!$S1995)</f>
        <v/>
      </c>
      <c r="AF1995">
        <f>IF($AE1995="","",IF(ISNUMBER(Sync!$P1995),IF(AND(Sync!$P1995&gt;=10000101,Sync!$P1995&lt;=99991231),INT(Sync!$P1995/10000),""),IFERROR(VALUE(TRIM(LEFT(Sync!$P1995,FIND("/",Sync!$P1995)-1))),"")))</f>
        <v/>
      </c>
      <c r="AG1995">
        <f>IF(OR($AE1995="",$AF1995=""),"",IF(ISNUMBER(Sync!$P1995),INT(MOD(Sync!$P1995,10000)/100),IFERROR(VALUE(TRIM(LEFT(MID(Sync!$P1995,FIND("/",Sync!$P1995)+1,20),FIND("/",MID(Sync!$P1995,FIND("/",Sync!$P1995)+1,20))-1))),"")))</f>
        <v/>
      </c>
      <c r="AH1995">
        <f>IF(OR($AE1995="",$AF1995=""),"",IF(ISNUMBER(Sync!$P1995),MOD(Sync!$P1995,100),IFERROR(VALUE(TRIM(MID(MID(Sync!$P1995,FIND("/",Sync!$P1995)+1,20),FIND("/",MID(Sync!$P1995,FIND("/",Sync!$P1995)+1,20))+1,20))),"")))</f>
        <v/>
      </c>
      <c r="AI1995">
        <f>IF($AE1995="","",IF(OR($AF1995="",$AG1995="",$AH1995="",$AF1995&lt;1300,$AF1995&gt;1500,$AG1995&lt;1,$AG1995&gt;12,$AH1995&lt;1,$AH1995&gt;31),"نامعتبر",RIGHT("0000"&amp;$AF1995,4)&amp;"/"&amp;RIGHT("00"&amp;$AG1995,2)&amp;"/"&amp;RIGHT("00"&amp;$AH1995,2)))</f>
        <v/>
      </c>
      <c r="AJ1995">
        <f>IF($AE1995="","",IF(Sync!$Q1995="","0000",IF(AND(ISNUMBER(Sync!$Q1995),Sync!$Q1995&gt;=0,Sync!$Q1995&lt;1),RIGHT("00"&amp;HOUR(Sync!$Q1995),2)&amp;RIGHT("00"&amp;MINUTE(Sync!$Q1995),2),IFERROR(RIGHT("00"&amp;VALUE(LEFT(Sync!$Q1995,FIND(":",Sync!$Q1995)-1)),2)&amp;RIGHT("00"&amp;VALUE(MID(Sync!$Q1995,FIND(":",Sync!$Q1995)+1,2)),2),"0000"))))</f>
        <v/>
      </c>
      <c r="AK1995">
        <f>IF(OR($AE1995="",$AI1995="",$AI1995="نامعتبر"),"",LEFT($AI1995,4)&amp;MID($AI1995,6,2)&amp;RIGHT($AI1995,2)&amp;$AJ1995&amp;"|"&amp;"3"&amp;RIGHT("00000"&amp;1990,5))</f>
        <v/>
      </c>
      <c r="AL1995">
        <f>IF($AK1995="","",COUNTIFS(LdAParty,$AE1995,LdAType,1,LdAKey,"&lt;"&amp;$AK1995)+COUNTIFS(LdBMember,$AE1995,LdBKey,"&lt;"&amp;$AK1995)+COUNTIFS(LdCParty,$AE1995,LdCKey,"&lt;"&amp;$AK1995)+1)</f>
        <v/>
      </c>
      <c r="AM1995">
        <f>IF($AL1995="","",$AE1995&amp;"|"&amp;RIGHT("000000"&amp;$AL1995,6))</f>
        <v/>
      </c>
      <c r="AN1995">
        <f>IF($AE1995="","",IF(Sync!$W1995="",0,Sync!$W1995))</f>
        <v/>
      </c>
      <c r="AO1995">
        <f>IF($AE1995="","",IF(Sync!$X1995="",0,Sync!$X1995))</f>
        <v/>
      </c>
      <c r="AP1995">
        <f>IF($AE1995="","",Sync!$R1995)</f>
        <v/>
      </c>
      <c r="AQ1995">
        <f>IF($AE1995="","",Sync!$Y1995)</f>
        <v/>
      </c>
    </row>
    <row r="1996">
      <c r="A1996">
        <f>IF(OR(Wages!$B1999="",Wages!$E1999=""),"",Wages!$E1999)</f>
        <v/>
      </c>
      <c r="B1996">
        <f>IF($A1996="","",IF(Wages!$C1999="دستمزد گروهی",2,1))</f>
        <v/>
      </c>
      <c r="C1996">
        <f>IF($A1996="","",IF(ISNUMBER(Wages!$B1999),IF(AND(Wages!$B1999&gt;=10000101,Wages!$B1999&lt;=99991231),INT(Wages!$B1999/10000),""),IFERROR(VALUE(TRIM(LEFT(Wages!$B1999,FIND("/",Wages!$B1999)-1))),"")))</f>
        <v/>
      </c>
      <c r="D1996">
        <f>IF(OR($A1996="",$C1996=""),"",IF(ISNUMBER(Wages!$B1999),INT(MOD(Wages!$B1999,10000)/100),IFERROR(VALUE(TRIM(LEFT(MID(Wages!$B1999,FIND("/",Wages!$B1999)+1,20),FIND("/",MID(Wages!$B1999,FIND("/",Wages!$B1999)+1,20))-1))),"")))</f>
        <v/>
      </c>
      <c r="E1996">
        <f>IF(OR($A1996="",$C1996=""),"",IF(ISNUMBER(Wages!$B1999),MOD(Wages!$B1999,100),IFERROR(VALUE(TRIM(MID(MID(Wages!$B1999,FIND("/",Wages!$B1999)+1,20),FIND("/",MID(Wages!$B1999,FIND("/",Wages!$B1999)+1,20))+1,20))),"")))</f>
        <v/>
      </c>
      <c r="F1996">
        <f>IF($A1996="","",IF(OR($C1996="",$D1996="",$E1996="",$C1996&lt;1300,$C1996&gt;1500,$D1996&lt;1,$D1996&gt;12,$E1996&lt;1,$E1996&gt;31),"نامعتبر",RIGHT("0000"&amp;$C1996,4)&amp;"/"&amp;RIGHT("00"&amp;$D1996,2)&amp;"/"&amp;RIGHT("00"&amp;$E1996,2)))</f>
        <v/>
      </c>
      <c r="G1996">
        <f>IF(OR($A1996="",$F1996="",$F1996="نامعتبر"),"",LEFT($F1996,4)&amp;MID($F1996,6,2)&amp;RIGHT($F1996,2)&amp;"0000"&amp;"|"&amp;"1"&amp;RIGHT("00000"&amp;1991,5))</f>
        <v/>
      </c>
      <c r="H1996">
        <f>IF(OR($B1996&lt;&gt;1,$G1996=""),"",COUNTIFS(LdAParty,$A1996,LdAType,1,LdAKey,"&lt;"&amp;$G1996)+COUNTIFS(LdBMember,$A1996,LdBKey,"&lt;"&amp;$G1996)+COUNTIFS(LdCParty,$A1996,LdCKey,"&lt;"&amp;$G1996)+1)</f>
        <v/>
      </c>
      <c r="I1996">
        <f>IF($H1996="","",$A1996&amp;"|"&amp;RIGHT("000000"&amp;$H1996,6))</f>
        <v/>
      </c>
      <c r="J1996">
        <f>IF(OR($B1996&lt;&gt;2,$G1996=""),"",COUNTIFS(LdAParty,$A1996,LdAType,2,LdAKey,"&lt;"&amp;$G1996)+1)</f>
        <v/>
      </c>
      <c r="K1996">
        <f>IF($J1996="","",$A1996&amp;"|"&amp;RIGHT("000000"&amp;$J1996,6))</f>
        <v/>
      </c>
      <c r="L1996">
        <f>IF($A1996="","",IF(Wages!$G1999="",0,Wages!$G1999))</f>
        <v/>
      </c>
      <c r="M1996">
        <f>IF($A1996="","",Wages!$J1999)</f>
        <v/>
      </c>
      <c r="N1996">
        <f>IF($A1996="","",Wages!$D1999)</f>
        <v/>
      </c>
      <c r="P1996">
        <f>IF(OR(Shares!$B1999="",Shares!$C1999=""),"",Shares!$C1999)</f>
        <v/>
      </c>
      <c r="Q1996">
        <f>IF($P1996="","",Shares!$B1999)</f>
        <v/>
      </c>
      <c r="R1996">
        <f>IF($P1996="","",IFERROR(INDEX(WageParty,MATCH($Q1996,WageIds,0)),""))</f>
        <v/>
      </c>
      <c r="S1996">
        <f>IF($P1996="","",IFERROR(INDEX($F$6:$F$2005,MATCH($Q1996,WageIds,0)),""))</f>
        <v/>
      </c>
      <c r="T1996">
        <f>IF(OR($P1996="",$S1996="",$S1996="نامعتبر"),"",LEFT($S1996,4)&amp;MID($S1996,6,2)&amp;RIGHT($S1996,2)&amp;"0000"&amp;"|"&amp;"2"&amp;RIGHT("00000"&amp;1991,5))</f>
        <v/>
      </c>
      <c r="U1996">
        <f>IF($T1996="","",COUNTIFS(LdAParty,$P1996,LdAType,1,LdAKey,"&lt;"&amp;$T1996)+COUNTIFS(LdBMember,$P1996,LdBKey,"&lt;"&amp;$T1996)+COUNTIFS(LdCParty,$P1996,LdCKey,"&lt;"&amp;$T1996)+1)</f>
        <v/>
      </c>
      <c r="V1996">
        <f>IF($U1996="","",$P1996&amp;"|"&amp;RIGHT("000000"&amp;$U1996,6))</f>
        <v/>
      </c>
      <c r="W1996">
        <f>IF($T1996="","",COUNTIFS(LdBGroup,$R1996,LdBKey,"&lt;"&amp;$T1996)+1)</f>
        <v/>
      </c>
      <c r="X1996">
        <f>IF($W1996="","",$R1996&amp;"|"&amp;RIGHT("000000"&amp;$W1996,6))</f>
        <v/>
      </c>
      <c r="Y1996">
        <f>IF($P1996="","",IF(Shares!$E1999="",0,Shares!$E1999))</f>
        <v/>
      </c>
      <c r="Z1996">
        <f>IF($P1996="","",Shares!$H1999)</f>
        <v/>
      </c>
      <c r="AE1996">
        <f>IF(OR(Sync!$S1996="",Sync!$P1996=""),"",Sync!$S1996)</f>
        <v/>
      </c>
      <c r="AF1996">
        <f>IF($AE1996="","",IF(ISNUMBER(Sync!$P1996),IF(AND(Sync!$P1996&gt;=10000101,Sync!$P1996&lt;=99991231),INT(Sync!$P1996/10000),""),IFERROR(VALUE(TRIM(LEFT(Sync!$P1996,FIND("/",Sync!$P1996)-1))),"")))</f>
        <v/>
      </c>
      <c r="AG1996">
        <f>IF(OR($AE1996="",$AF1996=""),"",IF(ISNUMBER(Sync!$P1996),INT(MOD(Sync!$P1996,10000)/100),IFERROR(VALUE(TRIM(LEFT(MID(Sync!$P1996,FIND("/",Sync!$P1996)+1,20),FIND("/",MID(Sync!$P1996,FIND("/",Sync!$P1996)+1,20))-1))),"")))</f>
        <v/>
      </c>
      <c r="AH1996">
        <f>IF(OR($AE1996="",$AF1996=""),"",IF(ISNUMBER(Sync!$P1996),MOD(Sync!$P1996,100),IFERROR(VALUE(TRIM(MID(MID(Sync!$P1996,FIND("/",Sync!$P1996)+1,20),FIND("/",MID(Sync!$P1996,FIND("/",Sync!$P1996)+1,20))+1,20))),"")))</f>
        <v/>
      </c>
      <c r="AI1996">
        <f>IF($AE1996="","",IF(OR($AF1996="",$AG1996="",$AH1996="",$AF1996&lt;1300,$AF1996&gt;1500,$AG1996&lt;1,$AG1996&gt;12,$AH1996&lt;1,$AH1996&gt;31),"نامعتبر",RIGHT("0000"&amp;$AF1996,4)&amp;"/"&amp;RIGHT("00"&amp;$AG1996,2)&amp;"/"&amp;RIGHT("00"&amp;$AH1996,2)))</f>
        <v/>
      </c>
      <c r="AJ1996">
        <f>IF($AE1996="","",IF(Sync!$Q1996="","0000",IF(AND(ISNUMBER(Sync!$Q1996),Sync!$Q1996&gt;=0,Sync!$Q1996&lt;1),RIGHT("00"&amp;HOUR(Sync!$Q1996),2)&amp;RIGHT("00"&amp;MINUTE(Sync!$Q1996),2),IFERROR(RIGHT("00"&amp;VALUE(LEFT(Sync!$Q1996,FIND(":",Sync!$Q1996)-1)),2)&amp;RIGHT("00"&amp;VALUE(MID(Sync!$Q1996,FIND(":",Sync!$Q1996)+1,2)),2),"0000"))))</f>
        <v/>
      </c>
      <c r="AK1996">
        <f>IF(OR($AE1996="",$AI1996="",$AI1996="نامعتبر"),"",LEFT($AI1996,4)&amp;MID($AI1996,6,2)&amp;RIGHT($AI1996,2)&amp;$AJ1996&amp;"|"&amp;"3"&amp;RIGHT("00000"&amp;1991,5))</f>
        <v/>
      </c>
      <c r="AL1996">
        <f>IF($AK1996="","",COUNTIFS(LdAParty,$AE1996,LdAType,1,LdAKey,"&lt;"&amp;$AK1996)+COUNTIFS(LdBMember,$AE1996,LdBKey,"&lt;"&amp;$AK1996)+COUNTIFS(LdCParty,$AE1996,LdCKey,"&lt;"&amp;$AK1996)+1)</f>
        <v/>
      </c>
      <c r="AM1996">
        <f>IF($AL1996="","",$AE1996&amp;"|"&amp;RIGHT("000000"&amp;$AL1996,6))</f>
        <v/>
      </c>
      <c r="AN1996">
        <f>IF($AE1996="","",IF(Sync!$W1996="",0,Sync!$W1996))</f>
        <v/>
      </c>
      <c r="AO1996">
        <f>IF($AE1996="","",IF(Sync!$X1996="",0,Sync!$X1996))</f>
        <v/>
      </c>
      <c r="AP1996">
        <f>IF($AE1996="","",Sync!$R1996)</f>
        <v/>
      </c>
      <c r="AQ1996">
        <f>IF($AE1996="","",Sync!$Y1996)</f>
        <v/>
      </c>
    </row>
    <row r="1997">
      <c r="A1997">
        <f>IF(OR(Wages!$B2000="",Wages!$E2000=""),"",Wages!$E2000)</f>
        <v/>
      </c>
      <c r="B1997">
        <f>IF($A1997="","",IF(Wages!$C2000="دستمزد گروهی",2,1))</f>
        <v/>
      </c>
      <c r="C1997">
        <f>IF($A1997="","",IF(ISNUMBER(Wages!$B2000),IF(AND(Wages!$B2000&gt;=10000101,Wages!$B2000&lt;=99991231),INT(Wages!$B2000/10000),""),IFERROR(VALUE(TRIM(LEFT(Wages!$B2000,FIND("/",Wages!$B2000)-1))),"")))</f>
        <v/>
      </c>
      <c r="D1997">
        <f>IF(OR($A1997="",$C1997=""),"",IF(ISNUMBER(Wages!$B2000),INT(MOD(Wages!$B2000,10000)/100),IFERROR(VALUE(TRIM(LEFT(MID(Wages!$B2000,FIND("/",Wages!$B2000)+1,20),FIND("/",MID(Wages!$B2000,FIND("/",Wages!$B2000)+1,20))-1))),"")))</f>
        <v/>
      </c>
      <c r="E1997">
        <f>IF(OR($A1997="",$C1997=""),"",IF(ISNUMBER(Wages!$B2000),MOD(Wages!$B2000,100),IFERROR(VALUE(TRIM(MID(MID(Wages!$B2000,FIND("/",Wages!$B2000)+1,20),FIND("/",MID(Wages!$B2000,FIND("/",Wages!$B2000)+1,20))+1,20))),"")))</f>
        <v/>
      </c>
      <c r="F1997">
        <f>IF($A1997="","",IF(OR($C1997="",$D1997="",$E1997="",$C1997&lt;1300,$C1997&gt;1500,$D1997&lt;1,$D1997&gt;12,$E1997&lt;1,$E1997&gt;31),"نامعتبر",RIGHT("0000"&amp;$C1997,4)&amp;"/"&amp;RIGHT("00"&amp;$D1997,2)&amp;"/"&amp;RIGHT("00"&amp;$E1997,2)))</f>
        <v/>
      </c>
      <c r="G1997">
        <f>IF(OR($A1997="",$F1997="",$F1997="نامعتبر"),"",LEFT($F1997,4)&amp;MID($F1997,6,2)&amp;RIGHT($F1997,2)&amp;"0000"&amp;"|"&amp;"1"&amp;RIGHT("00000"&amp;1992,5))</f>
        <v/>
      </c>
      <c r="H1997">
        <f>IF(OR($B1997&lt;&gt;1,$G1997=""),"",COUNTIFS(LdAParty,$A1997,LdAType,1,LdAKey,"&lt;"&amp;$G1997)+COUNTIFS(LdBMember,$A1997,LdBKey,"&lt;"&amp;$G1997)+COUNTIFS(LdCParty,$A1997,LdCKey,"&lt;"&amp;$G1997)+1)</f>
        <v/>
      </c>
      <c r="I1997">
        <f>IF($H1997="","",$A1997&amp;"|"&amp;RIGHT("000000"&amp;$H1997,6))</f>
        <v/>
      </c>
      <c r="J1997">
        <f>IF(OR($B1997&lt;&gt;2,$G1997=""),"",COUNTIFS(LdAParty,$A1997,LdAType,2,LdAKey,"&lt;"&amp;$G1997)+1)</f>
        <v/>
      </c>
      <c r="K1997">
        <f>IF($J1997="","",$A1997&amp;"|"&amp;RIGHT("000000"&amp;$J1997,6))</f>
        <v/>
      </c>
      <c r="L1997">
        <f>IF($A1997="","",IF(Wages!$G2000="",0,Wages!$G2000))</f>
        <v/>
      </c>
      <c r="M1997">
        <f>IF($A1997="","",Wages!$J2000)</f>
        <v/>
      </c>
      <c r="N1997">
        <f>IF($A1997="","",Wages!$D2000)</f>
        <v/>
      </c>
      <c r="P1997">
        <f>IF(OR(Shares!$B2000="",Shares!$C2000=""),"",Shares!$C2000)</f>
        <v/>
      </c>
      <c r="Q1997">
        <f>IF($P1997="","",Shares!$B2000)</f>
        <v/>
      </c>
      <c r="R1997">
        <f>IF($P1997="","",IFERROR(INDEX(WageParty,MATCH($Q1997,WageIds,0)),""))</f>
        <v/>
      </c>
      <c r="S1997">
        <f>IF($P1997="","",IFERROR(INDEX($F$6:$F$2005,MATCH($Q1997,WageIds,0)),""))</f>
        <v/>
      </c>
      <c r="T1997">
        <f>IF(OR($P1997="",$S1997="",$S1997="نامعتبر"),"",LEFT($S1997,4)&amp;MID($S1997,6,2)&amp;RIGHT($S1997,2)&amp;"0000"&amp;"|"&amp;"2"&amp;RIGHT("00000"&amp;1992,5))</f>
        <v/>
      </c>
      <c r="U1997">
        <f>IF($T1997="","",COUNTIFS(LdAParty,$P1997,LdAType,1,LdAKey,"&lt;"&amp;$T1997)+COUNTIFS(LdBMember,$P1997,LdBKey,"&lt;"&amp;$T1997)+COUNTIFS(LdCParty,$P1997,LdCKey,"&lt;"&amp;$T1997)+1)</f>
        <v/>
      </c>
      <c r="V1997">
        <f>IF($U1997="","",$P1997&amp;"|"&amp;RIGHT("000000"&amp;$U1997,6))</f>
        <v/>
      </c>
      <c r="W1997">
        <f>IF($T1997="","",COUNTIFS(LdBGroup,$R1997,LdBKey,"&lt;"&amp;$T1997)+1)</f>
        <v/>
      </c>
      <c r="X1997">
        <f>IF($W1997="","",$R1997&amp;"|"&amp;RIGHT("000000"&amp;$W1997,6))</f>
        <v/>
      </c>
      <c r="Y1997">
        <f>IF($P1997="","",IF(Shares!$E2000="",0,Shares!$E2000))</f>
        <v/>
      </c>
      <c r="Z1997">
        <f>IF($P1997="","",Shares!$H2000)</f>
        <v/>
      </c>
      <c r="AE1997">
        <f>IF(OR(Sync!$S1997="",Sync!$P1997=""),"",Sync!$S1997)</f>
        <v/>
      </c>
      <c r="AF1997">
        <f>IF($AE1997="","",IF(ISNUMBER(Sync!$P1997),IF(AND(Sync!$P1997&gt;=10000101,Sync!$P1997&lt;=99991231),INT(Sync!$P1997/10000),""),IFERROR(VALUE(TRIM(LEFT(Sync!$P1997,FIND("/",Sync!$P1997)-1))),"")))</f>
        <v/>
      </c>
      <c r="AG1997">
        <f>IF(OR($AE1997="",$AF1997=""),"",IF(ISNUMBER(Sync!$P1997),INT(MOD(Sync!$P1997,10000)/100),IFERROR(VALUE(TRIM(LEFT(MID(Sync!$P1997,FIND("/",Sync!$P1997)+1,20),FIND("/",MID(Sync!$P1997,FIND("/",Sync!$P1997)+1,20))-1))),"")))</f>
        <v/>
      </c>
      <c r="AH1997">
        <f>IF(OR($AE1997="",$AF1997=""),"",IF(ISNUMBER(Sync!$P1997),MOD(Sync!$P1997,100),IFERROR(VALUE(TRIM(MID(MID(Sync!$P1997,FIND("/",Sync!$P1997)+1,20),FIND("/",MID(Sync!$P1997,FIND("/",Sync!$P1997)+1,20))+1,20))),"")))</f>
        <v/>
      </c>
      <c r="AI1997">
        <f>IF($AE1997="","",IF(OR($AF1997="",$AG1997="",$AH1997="",$AF1997&lt;1300,$AF1997&gt;1500,$AG1997&lt;1,$AG1997&gt;12,$AH1997&lt;1,$AH1997&gt;31),"نامعتبر",RIGHT("0000"&amp;$AF1997,4)&amp;"/"&amp;RIGHT("00"&amp;$AG1997,2)&amp;"/"&amp;RIGHT("00"&amp;$AH1997,2)))</f>
        <v/>
      </c>
      <c r="AJ1997">
        <f>IF($AE1997="","",IF(Sync!$Q1997="","0000",IF(AND(ISNUMBER(Sync!$Q1997),Sync!$Q1997&gt;=0,Sync!$Q1997&lt;1),RIGHT("00"&amp;HOUR(Sync!$Q1997),2)&amp;RIGHT("00"&amp;MINUTE(Sync!$Q1997),2),IFERROR(RIGHT("00"&amp;VALUE(LEFT(Sync!$Q1997,FIND(":",Sync!$Q1997)-1)),2)&amp;RIGHT("00"&amp;VALUE(MID(Sync!$Q1997,FIND(":",Sync!$Q1997)+1,2)),2),"0000"))))</f>
        <v/>
      </c>
      <c r="AK1997">
        <f>IF(OR($AE1997="",$AI1997="",$AI1997="نامعتبر"),"",LEFT($AI1997,4)&amp;MID($AI1997,6,2)&amp;RIGHT($AI1997,2)&amp;$AJ1997&amp;"|"&amp;"3"&amp;RIGHT("00000"&amp;1992,5))</f>
        <v/>
      </c>
      <c r="AL1997">
        <f>IF($AK1997="","",COUNTIFS(LdAParty,$AE1997,LdAType,1,LdAKey,"&lt;"&amp;$AK1997)+COUNTIFS(LdBMember,$AE1997,LdBKey,"&lt;"&amp;$AK1997)+COUNTIFS(LdCParty,$AE1997,LdCKey,"&lt;"&amp;$AK1997)+1)</f>
        <v/>
      </c>
      <c r="AM1997">
        <f>IF($AL1997="","",$AE1997&amp;"|"&amp;RIGHT("000000"&amp;$AL1997,6))</f>
        <v/>
      </c>
      <c r="AN1997">
        <f>IF($AE1997="","",IF(Sync!$W1997="",0,Sync!$W1997))</f>
        <v/>
      </c>
      <c r="AO1997">
        <f>IF($AE1997="","",IF(Sync!$X1997="",0,Sync!$X1997))</f>
        <v/>
      </c>
      <c r="AP1997">
        <f>IF($AE1997="","",Sync!$R1997)</f>
        <v/>
      </c>
      <c r="AQ1997">
        <f>IF($AE1997="","",Sync!$Y1997)</f>
        <v/>
      </c>
    </row>
    <row r="1998">
      <c r="A1998">
        <f>IF(OR(Wages!$B2001="",Wages!$E2001=""),"",Wages!$E2001)</f>
        <v/>
      </c>
      <c r="B1998">
        <f>IF($A1998="","",IF(Wages!$C2001="دستمزد گروهی",2,1))</f>
        <v/>
      </c>
      <c r="C1998">
        <f>IF($A1998="","",IF(ISNUMBER(Wages!$B2001),IF(AND(Wages!$B2001&gt;=10000101,Wages!$B2001&lt;=99991231),INT(Wages!$B2001/10000),""),IFERROR(VALUE(TRIM(LEFT(Wages!$B2001,FIND("/",Wages!$B2001)-1))),"")))</f>
        <v/>
      </c>
      <c r="D1998">
        <f>IF(OR($A1998="",$C1998=""),"",IF(ISNUMBER(Wages!$B2001),INT(MOD(Wages!$B2001,10000)/100),IFERROR(VALUE(TRIM(LEFT(MID(Wages!$B2001,FIND("/",Wages!$B2001)+1,20),FIND("/",MID(Wages!$B2001,FIND("/",Wages!$B2001)+1,20))-1))),"")))</f>
        <v/>
      </c>
      <c r="E1998">
        <f>IF(OR($A1998="",$C1998=""),"",IF(ISNUMBER(Wages!$B2001),MOD(Wages!$B2001,100),IFERROR(VALUE(TRIM(MID(MID(Wages!$B2001,FIND("/",Wages!$B2001)+1,20),FIND("/",MID(Wages!$B2001,FIND("/",Wages!$B2001)+1,20))+1,20))),"")))</f>
        <v/>
      </c>
      <c r="F1998">
        <f>IF($A1998="","",IF(OR($C1998="",$D1998="",$E1998="",$C1998&lt;1300,$C1998&gt;1500,$D1998&lt;1,$D1998&gt;12,$E1998&lt;1,$E1998&gt;31),"نامعتبر",RIGHT("0000"&amp;$C1998,4)&amp;"/"&amp;RIGHT("00"&amp;$D1998,2)&amp;"/"&amp;RIGHT("00"&amp;$E1998,2)))</f>
        <v/>
      </c>
      <c r="G1998">
        <f>IF(OR($A1998="",$F1998="",$F1998="نامعتبر"),"",LEFT($F1998,4)&amp;MID($F1998,6,2)&amp;RIGHT($F1998,2)&amp;"0000"&amp;"|"&amp;"1"&amp;RIGHT("00000"&amp;1993,5))</f>
        <v/>
      </c>
      <c r="H1998">
        <f>IF(OR($B1998&lt;&gt;1,$G1998=""),"",COUNTIFS(LdAParty,$A1998,LdAType,1,LdAKey,"&lt;"&amp;$G1998)+COUNTIFS(LdBMember,$A1998,LdBKey,"&lt;"&amp;$G1998)+COUNTIFS(LdCParty,$A1998,LdCKey,"&lt;"&amp;$G1998)+1)</f>
        <v/>
      </c>
      <c r="I1998">
        <f>IF($H1998="","",$A1998&amp;"|"&amp;RIGHT("000000"&amp;$H1998,6))</f>
        <v/>
      </c>
      <c r="J1998">
        <f>IF(OR($B1998&lt;&gt;2,$G1998=""),"",COUNTIFS(LdAParty,$A1998,LdAType,2,LdAKey,"&lt;"&amp;$G1998)+1)</f>
        <v/>
      </c>
      <c r="K1998">
        <f>IF($J1998="","",$A1998&amp;"|"&amp;RIGHT("000000"&amp;$J1998,6))</f>
        <v/>
      </c>
      <c r="L1998">
        <f>IF($A1998="","",IF(Wages!$G2001="",0,Wages!$G2001))</f>
        <v/>
      </c>
      <c r="M1998">
        <f>IF($A1998="","",Wages!$J2001)</f>
        <v/>
      </c>
      <c r="N1998">
        <f>IF($A1998="","",Wages!$D2001)</f>
        <v/>
      </c>
      <c r="P1998">
        <f>IF(OR(Shares!$B2001="",Shares!$C2001=""),"",Shares!$C2001)</f>
        <v/>
      </c>
      <c r="Q1998">
        <f>IF($P1998="","",Shares!$B2001)</f>
        <v/>
      </c>
      <c r="R1998">
        <f>IF($P1998="","",IFERROR(INDEX(WageParty,MATCH($Q1998,WageIds,0)),""))</f>
        <v/>
      </c>
      <c r="S1998">
        <f>IF($P1998="","",IFERROR(INDEX($F$6:$F$2005,MATCH($Q1998,WageIds,0)),""))</f>
        <v/>
      </c>
      <c r="T1998">
        <f>IF(OR($P1998="",$S1998="",$S1998="نامعتبر"),"",LEFT($S1998,4)&amp;MID($S1998,6,2)&amp;RIGHT($S1998,2)&amp;"0000"&amp;"|"&amp;"2"&amp;RIGHT("00000"&amp;1993,5))</f>
        <v/>
      </c>
      <c r="U1998">
        <f>IF($T1998="","",COUNTIFS(LdAParty,$P1998,LdAType,1,LdAKey,"&lt;"&amp;$T1998)+COUNTIFS(LdBMember,$P1998,LdBKey,"&lt;"&amp;$T1998)+COUNTIFS(LdCParty,$P1998,LdCKey,"&lt;"&amp;$T1998)+1)</f>
        <v/>
      </c>
      <c r="V1998">
        <f>IF($U1998="","",$P1998&amp;"|"&amp;RIGHT("000000"&amp;$U1998,6))</f>
        <v/>
      </c>
      <c r="W1998">
        <f>IF($T1998="","",COUNTIFS(LdBGroup,$R1998,LdBKey,"&lt;"&amp;$T1998)+1)</f>
        <v/>
      </c>
      <c r="X1998">
        <f>IF($W1998="","",$R1998&amp;"|"&amp;RIGHT("000000"&amp;$W1998,6))</f>
        <v/>
      </c>
      <c r="Y1998">
        <f>IF($P1998="","",IF(Shares!$E2001="",0,Shares!$E2001))</f>
        <v/>
      </c>
      <c r="Z1998">
        <f>IF($P1998="","",Shares!$H2001)</f>
        <v/>
      </c>
      <c r="AE1998">
        <f>IF(OR(Sync!$S1998="",Sync!$P1998=""),"",Sync!$S1998)</f>
        <v/>
      </c>
      <c r="AF1998">
        <f>IF($AE1998="","",IF(ISNUMBER(Sync!$P1998),IF(AND(Sync!$P1998&gt;=10000101,Sync!$P1998&lt;=99991231),INT(Sync!$P1998/10000),""),IFERROR(VALUE(TRIM(LEFT(Sync!$P1998,FIND("/",Sync!$P1998)-1))),"")))</f>
        <v/>
      </c>
      <c r="AG1998">
        <f>IF(OR($AE1998="",$AF1998=""),"",IF(ISNUMBER(Sync!$P1998),INT(MOD(Sync!$P1998,10000)/100),IFERROR(VALUE(TRIM(LEFT(MID(Sync!$P1998,FIND("/",Sync!$P1998)+1,20),FIND("/",MID(Sync!$P1998,FIND("/",Sync!$P1998)+1,20))-1))),"")))</f>
        <v/>
      </c>
      <c r="AH1998">
        <f>IF(OR($AE1998="",$AF1998=""),"",IF(ISNUMBER(Sync!$P1998),MOD(Sync!$P1998,100),IFERROR(VALUE(TRIM(MID(MID(Sync!$P1998,FIND("/",Sync!$P1998)+1,20),FIND("/",MID(Sync!$P1998,FIND("/",Sync!$P1998)+1,20))+1,20))),"")))</f>
        <v/>
      </c>
      <c r="AI1998">
        <f>IF($AE1998="","",IF(OR($AF1998="",$AG1998="",$AH1998="",$AF1998&lt;1300,$AF1998&gt;1500,$AG1998&lt;1,$AG1998&gt;12,$AH1998&lt;1,$AH1998&gt;31),"نامعتبر",RIGHT("0000"&amp;$AF1998,4)&amp;"/"&amp;RIGHT("00"&amp;$AG1998,2)&amp;"/"&amp;RIGHT("00"&amp;$AH1998,2)))</f>
        <v/>
      </c>
      <c r="AJ1998">
        <f>IF($AE1998="","",IF(Sync!$Q1998="","0000",IF(AND(ISNUMBER(Sync!$Q1998),Sync!$Q1998&gt;=0,Sync!$Q1998&lt;1),RIGHT("00"&amp;HOUR(Sync!$Q1998),2)&amp;RIGHT("00"&amp;MINUTE(Sync!$Q1998),2),IFERROR(RIGHT("00"&amp;VALUE(LEFT(Sync!$Q1998,FIND(":",Sync!$Q1998)-1)),2)&amp;RIGHT("00"&amp;VALUE(MID(Sync!$Q1998,FIND(":",Sync!$Q1998)+1,2)),2),"0000"))))</f>
        <v/>
      </c>
      <c r="AK1998">
        <f>IF(OR($AE1998="",$AI1998="",$AI1998="نامعتبر"),"",LEFT($AI1998,4)&amp;MID($AI1998,6,2)&amp;RIGHT($AI1998,2)&amp;$AJ1998&amp;"|"&amp;"3"&amp;RIGHT("00000"&amp;1993,5))</f>
        <v/>
      </c>
      <c r="AL1998">
        <f>IF($AK1998="","",COUNTIFS(LdAParty,$AE1998,LdAType,1,LdAKey,"&lt;"&amp;$AK1998)+COUNTIFS(LdBMember,$AE1998,LdBKey,"&lt;"&amp;$AK1998)+COUNTIFS(LdCParty,$AE1998,LdCKey,"&lt;"&amp;$AK1998)+1)</f>
        <v/>
      </c>
      <c r="AM1998">
        <f>IF($AL1998="","",$AE1998&amp;"|"&amp;RIGHT("000000"&amp;$AL1998,6))</f>
        <v/>
      </c>
      <c r="AN1998">
        <f>IF($AE1998="","",IF(Sync!$W1998="",0,Sync!$W1998))</f>
        <v/>
      </c>
      <c r="AO1998">
        <f>IF($AE1998="","",IF(Sync!$X1998="",0,Sync!$X1998))</f>
        <v/>
      </c>
      <c r="AP1998">
        <f>IF($AE1998="","",Sync!$R1998)</f>
        <v/>
      </c>
      <c r="AQ1998">
        <f>IF($AE1998="","",Sync!$Y1998)</f>
        <v/>
      </c>
    </row>
    <row r="1999">
      <c r="A1999">
        <f>IF(OR(Wages!$B2002="",Wages!$E2002=""),"",Wages!$E2002)</f>
        <v/>
      </c>
      <c r="B1999">
        <f>IF($A1999="","",IF(Wages!$C2002="دستمزد گروهی",2,1))</f>
        <v/>
      </c>
      <c r="C1999">
        <f>IF($A1999="","",IF(ISNUMBER(Wages!$B2002),IF(AND(Wages!$B2002&gt;=10000101,Wages!$B2002&lt;=99991231),INT(Wages!$B2002/10000),""),IFERROR(VALUE(TRIM(LEFT(Wages!$B2002,FIND("/",Wages!$B2002)-1))),"")))</f>
        <v/>
      </c>
      <c r="D1999">
        <f>IF(OR($A1999="",$C1999=""),"",IF(ISNUMBER(Wages!$B2002),INT(MOD(Wages!$B2002,10000)/100),IFERROR(VALUE(TRIM(LEFT(MID(Wages!$B2002,FIND("/",Wages!$B2002)+1,20),FIND("/",MID(Wages!$B2002,FIND("/",Wages!$B2002)+1,20))-1))),"")))</f>
        <v/>
      </c>
      <c r="E1999">
        <f>IF(OR($A1999="",$C1999=""),"",IF(ISNUMBER(Wages!$B2002),MOD(Wages!$B2002,100),IFERROR(VALUE(TRIM(MID(MID(Wages!$B2002,FIND("/",Wages!$B2002)+1,20),FIND("/",MID(Wages!$B2002,FIND("/",Wages!$B2002)+1,20))+1,20))),"")))</f>
        <v/>
      </c>
      <c r="F1999">
        <f>IF($A1999="","",IF(OR($C1999="",$D1999="",$E1999="",$C1999&lt;1300,$C1999&gt;1500,$D1999&lt;1,$D1999&gt;12,$E1999&lt;1,$E1999&gt;31),"نامعتبر",RIGHT("0000"&amp;$C1999,4)&amp;"/"&amp;RIGHT("00"&amp;$D1999,2)&amp;"/"&amp;RIGHT("00"&amp;$E1999,2)))</f>
        <v/>
      </c>
      <c r="G1999">
        <f>IF(OR($A1999="",$F1999="",$F1999="نامعتبر"),"",LEFT($F1999,4)&amp;MID($F1999,6,2)&amp;RIGHT($F1999,2)&amp;"0000"&amp;"|"&amp;"1"&amp;RIGHT("00000"&amp;1994,5))</f>
        <v/>
      </c>
      <c r="H1999">
        <f>IF(OR($B1999&lt;&gt;1,$G1999=""),"",COUNTIFS(LdAParty,$A1999,LdAType,1,LdAKey,"&lt;"&amp;$G1999)+COUNTIFS(LdBMember,$A1999,LdBKey,"&lt;"&amp;$G1999)+COUNTIFS(LdCParty,$A1999,LdCKey,"&lt;"&amp;$G1999)+1)</f>
        <v/>
      </c>
      <c r="I1999">
        <f>IF($H1999="","",$A1999&amp;"|"&amp;RIGHT("000000"&amp;$H1999,6))</f>
        <v/>
      </c>
      <c r="J1999">
        <f>IF(OR($B1999&lt;&gt;2,$G1999=""),"",COUNTIFS(LdAParty,$A1999,LdAType,2,LdAKey,"&lt;"&amp;$G1999)+1)</f>
        <v/>
      </c>
      <c r="K1999">
        <f>IF($J1999="","",$A1999&amp;"|"&amp;RIGHT("000000"&amp;$J1999,6))</f>
        <v/>
      </c>
      <c r="L1999">
        <f>IF($A1999="","",IF(Wages!$G2002="",0,Wages!$G2002))</f>
        <v/>
      </c>
      <c r="M1999">
        <f>IF($A1999="","",Wages!$J2002)</f>
        <v/>
      </c>
      <c r="N1999">
        <f>IF($A1999="","",Wages!$D2002)</f>
        <v/>
      </c>
      <c r="P1999">
        <f>IF(OR(Shares!$B2002="",Shares!$C2002=""),"",Shares!$C2002)</f>
        <v/>
      </c>
      <c r="Q1999">
        <f>IF($P1999="","",Shares!$B2002)</f>
        <v/>
      </c>
      <c r="R1999">
        <f>IF($P1999="","",IFERROR(INDEX(WageParty,MATCH($Q1999,WageIds,0)),""))</f>
        <v/>
      </c>
      <c r="S1999">
        <f>IF($P1999="","",IFERROR(INDEX($F$6:$F$2005,MATCH($Q1999,WageIds,0)),""))</f>
        <v/>
      </c>
      <c r="T1999">
        <f>IF(OR($P1999="",$S1999="",$S1999="نامعتبر"),"",LEFT($S1999,4)&amp;MID($S1999,6,2)&amp;RIGHT($S1999,2)&amp;"0000"&amp;"|"&amp;"2"&amp;RIGHT("00000"&amp;1994,5))</f>
        <v/>
      </c>
      <c r="U1999">
        <f>IF($T1999="","",COUNTIFS(LdAParty,$P1999,LdAType,1,LdAKey,"&lt;"&amp;$T1999)+COUNTIFS(LdBMember,$P1999,LdBKey,"&lt;"&amp;$T1999)+COUNTIFS(LdCParty,$P1999,LdCKey,"&lt;"&amp;$T1999)+1)</f>
        <v/>
      </c>
      <c r="V1999">
        <f>IF($U1999="","",$P1999&amp;"|"&amp;RIGHT("000000"&amp;$U1999,6))</f>
        <v/>
      </c>
      <c r="W1999">
        <f>IF($T1999="","",COUNTIFS(LdBGroup,$R1999,LdBKey,"&lt;"&amp;$T1999)+1)</f>
        <v/>
      </c>
      <c r="X1999">
        <f>IF($W1999="","",$R1999&amp;"|"&amp;RIGHT("000000"&amp;$W1999,6))</f>
        <v/>
      </c>
      <c r="Y1999">
        <f>IF($P1999="","",IF(Shares!$E2002="",0,Shares!$E2002))</f>
        <v/>
      </c>
      <c r="Z1999">
        <f>IF($P1999="","",Shares!$H2002)</f>
        <v/>
      </c>
      <c r="AE1999">
        <f>IF(OR(Sync!$S1999="",Sync!$P1999=""),"",Sync!$S1999)</f>
        <v/>
      </c>
      <c r="AF1999">
        <f>IF($AE1999="","",IF(ISNUMBER(Sync!$P1999),IF(AND(Sync!$P1999&gt;=10000101,Sync!$P1999&lt;=99991231),INT(Sync!$P1999/10000),""),IFERROR(VALUE(TRIM(LEFT(Sync!$P1999,FIND("/",Sync!$P1999)-1))),"")))</f>
        <v/>
      </c>
      <c r="AG1999">
        <f>IF(OR($AE1999="",$AF1999=""),"",IF(ISNUMBER(Sync!$P1999),INT(MOD(Sync!$P1999,10000)/100),IFERROR(VALUE(TRIM(LEFT(MID(Sync!$P1999,FIND("/",Sync!$P1999)+1,20),FIND("/",MID(Sync!$P1999,FIND("/",Sync!$P1999)+1,20))-1))),"")))</f>
        <v/>
      </c>
      <c r="AH1999">
        <f>IF(OR($AE1999="",$AF1999=""),"",IF(ISNUMBER(Sync!$P1999),MOD(Sync!$P1999,100),IFERROR(VALUE(TRIM(MID(MID(Sync!$P1999,FIND("/",Sync!$P1999)+1,20),FIND("/",MID(Sync!$P1999,FIND("/",Sync!$P1999)+1,20))+1,20))),"")))</f>
        <v/>
      </c>
      <c r="AI1999">
        <f>IF($AE1999="","",IF(OR($AF1999="",$AG1999="",$AH1999="",$AF1999&lt;1300,$AF1999&gt;1500,$AG1999&lt;1,$AG1999&gt;12,$AH1999&lt;1,$AH1999&gt;31),"نامعتبر",RIGHT("0000"&amp;$AF1999,4)&amp;"/"&amp;RIGHT("00"&amp;$AG1999,2)&amp;"/"&amp;RIGHT("00"&amp;$AH1999,2)))</f>
        <v/>
      </c>
      <c r="AJ1999">
        <f>IF($AE1999="","",IF(Sync!$Q1999="","0000",IF(AND(ISNUMBER(Sync!$Q1999),Sync!$Q1999&gt;=0,Sync!$Q1999&lt;1),RIGHT("00"&amp;HOUR(Sync!$Q1999),2)&amp;RIGHT("00"&amp;MINUTE(Sync!$Q1999),2),IFERROR(RIGHT("00"&amp;VALUE(LEFT(Sync!$Q1999,FIND(":",Sync!$Q1999)-1)),2)&amp;RIGHT("00"&amp;VALUE(MID(Sync!$Q1999,FIND(":",Sync!$Q1999)+1,2)),2),"0000"))))</f>
        <v/>
      </c>
      <c r="AK1999">
        <f>IF(OR($AE1999="",$AI1999="",$AI1999="نامعتبر"),"",LEFT($AI1999,4)&amp;MID($AI1999,6,2)&amp;RIGHT($AI1999,2)&amp;$AJ1999&amp;"|"&amp;"3"&amp;RIGHT("00000"&amp;1994,5))</f>
        <v/>
      </c>
      <c r="AL1999">
        <f>IF($AK1999="","",COUNTIFS(LdAParty,$AE1999,LdAType,1,LdAKey,"&lt;"&amp;$AK1999)+COUNTIFS(LdBMember,$AE1999,LdBKey,"&lt;"&amp;$AK1999)+COUNTIFS(LdCParty,$AE1999,LdCKey,"&lt;"&amp;$AK1999)+1)</f>
        <v/>
      </c>
      <c r="AM1999">
        <f>IF($AL1999="","",$AE1999&amp;"|"&amp;RIGHT("000000"&amp;$AL1999,6))</f>
        <v/>
      </c>
      <c r="AN1999">
        <f>IF($AE1999="","",IF(Sync!$W1999="",0,Sync!$W1999))</f>
        <v/>
      </c>
      <c r="AO1999">
        <f>IF($AE1999="","",IF(Sync!$X1999="",0,Sync!$X1999))</f>
        <v/>
      </c>
      <c r="AP1999">
        <f>IF($AE1999="","",Sync!$R1999)</f>
        <v/>
      </c>
      <c r="AQ1999">
        <f>IF($AE1999="","",Sync!$Y1999)</f>
        <v/>
      </c>
    </row>
    <row r="2000">
      <c r="A2000">
        <f>IF(OR(Wages!$B2003="",Wages!$E2003=""),"",Wages!$E2003)</f>
        <v/>
      </c>
      <c r="B2000">
        <f>IF($A2000="","",IF(Wages!$C2003="دستمزد گروهی",2,1))</f>
        <v/>
      </c>
      <c r="C2000">
        <f>IF($A2000="","",IF(ISNUMBER(Wages!$B2003),IF(AND(Wages!$B2003&gt;=10000101,Wages!$B2003&lt;=99991231),INT(Wages!$B2003/10000),""),IFERROR(VALUE(TRIM(LEFT(Wages!$B2003,FIND("/",Wages!$B2003)-1))),"")))</f>
        <v/>
      </c>
      <c r="D2000">
        <f>IF(OR($A2000="",$C2000=""),"",IF(ISNUMBER(Wages!$B2003),INT(MOD(Wages!$B2003,10000)/100),IFERROR(VALUE(TRIM(LEFT(MID(Wages!$B2003,FIND("/",Wages!$B2003)+1,20),FIND("/",MID(Wages!$B2003,FIND("/",Wages!$B2003)+1,20))-1))),"")))</f>
        <v/>
      </c>
      <c r="E2000">
        <f>IF(OR($A2000="",$C2000=""),"",IF(ISNUMBER(Wages!$B2003),MOD(Wages!$B2003,100),IFERROR(VALUE(TRIM(MID(MID(Wages!$B2003,FIND("/",Wages!$B2003)+1,20),FIND("/",MID(Wages!$B2003,FIND("/",Wages!$B2003)+1,20))+1,20))),"")))</f>
        <v/>
      </c>
      <c r="F2000">
        <f>IF($A2000="","",IF(OR($C2000="",$D2000="",$E2000="",$C2000&lt;1300,$C2000&gt;1500,$D2000&lt;1,$D2000&gt;12,$E2000&lt;1,$E2000&gt;31),"نامعتبر",RIGHT("0000"&amp;$C2000,4)&amp;"/"&amp;RIGHT("00"&amp;$D2000,2)&amp;"/"&amp;RIGHT("00"&amp;$E2000,2)))</f>
        <v/>
      </c>
      <c r="G2000">
        <f>IF(OR($A2000="",$F2000="",$F2000="نامعتبر"),"",LEFT($F2000,4)&amp;MID($F2000,6,2)&amp;RIGHT($F2000,2)&amp;"0000"&amp;"|"&amp;"1"&amp;RIGHT("00000"&amp;1995,5))</f>
        <v/>
      </c>
      <c r="H2000">
        <f>IF(OR($B2000&lt;&gt;1,$G2000=""),"",COUNTIFS(LdAParty,$A2000,LdAType,1,LdAKey,"&lt;"&amp;$G2000)+COUNTIFS(LdBMember,$A2000,LdBKey,"&lt;"&amp;$G2000)+COUNTIFS(LdCParty,$A2000,LdCKey,"&lt;"&amp;$G2000)+1)</f>
        <v/>
      </c>
      <c r="I2000">
        <f>IF($H2000="","",$A2000&amp;"|"&amp;RIGHT("000000"&amp;$H2000,6))</f>
        <v/>
      </c>
      <c r="J2000">
        <f>IF(OR($B2000&lt;&gt;2,$G2000=""),"",COUNTIFS(LdAParty,$A2000,LdAType,2,LdAKey,"&lt;"&amp;$G2000)+1)</f>
        <v/>
      </c>
      <c r="K2000">
        <f>IF($J2000="","",$A2000&amp;"|"&amp;RIGHT("000000"&amp;$J2000,6))</f>
        <v/>
      </c>
      <c r="L2000">
        <f>IF($A2000="","",IF(Wages!$G2003="",0,Wages!$G2003))</f>
        <v/>
      </c>
      <c r="M2000">
        <f>IF($A2000="","",Wages!$J2003)</f>
        <v/>
      </c>
      <c r="N2000">
        <f>IF($A2000="","",Wages!$D2003)</f>
        <v/>
      </c>
      <c r="P2000">
        <f>IF(OR(Shares!$B2003="",Shares!$C2003=""),"",Shares!$C2003)</f>
        <v/>
      </c>
      <c r="Q2000">
        <f>IF($P2000="","",Shares!$B2003)</f>
        <v/>
      </c>
      <c r="R2000">
        <f>IF($P2000="","",IFERROR(INDEX(WageParty,MATCH($Q2000,WageIds,0)),""))</f>
        <v/>
      </c>
      <c r="S2000">
        <f>IF($P2000="","",IFERROR(INDEX($F$6:$F$2005,MATCH($Q2000,WageIds,0)),""))</f>
        <v/>
      </c>
      <c r="T2000">
        <f>IF(OR($P2000="",$S2000="",$S2000="نامعتبر"),"",LEFT($S2000,4)&amp;MID($S2000,6,2)&amp;RIGHT($S2000,2)&amp;"0000"&amp;"|"&amp;"2"&amp;RIGHT("00000"&amp;1995,5))</f>
        <v/>
      </c>
      <c r="U2000">
        <f>IF($T2000="","",COUNTIFS(LdAParty,$P2000,LdAType,1,LdAKey,"&lt;"&amp;$T2000)+COUNTIFS(LdBMember,$P2000,LdBKey,"&lt;"&amp;$T2000)+COUNTIFS(LdCParty,$P2000,LdCKey,"&lt;"&amp;$T2000)+1)</f>
        <v/>
      </c>
      <c r="V2000">
        <f>IF($U2000="","",$P2000&amp;"|"&amp;RIGHT("000000"&amp;$U2000,6))</f>
        <v/>
      </c>
      <c r="W2000">
        <f>IF($T2000="","",COUNTIFS(LdBGroup,$R2000,LdBKey,"&lt;"&amp;$T2000)+1)</f>
        <v/>
      </c>
      <c r="X2000">
        <f>IF($W2000="","",$R2000&amp;"|"&amp;RIGHT("000000"&amp;$W2000,6))</f>
        <v/>
      </c>
      <c r="Y2000">
        <f>IF($P2000="","",IF(Shares!$E2003="",0,Shares!$E2003))</f>
        <v/>
      </c>
      <c r="Z2000">
        <f>IF($P2000="","",Shares!$H2003)</f>
        <v/>
      </c>
      <c r="AE2000">
        <f>IF(OR(Sync!$S2000="",Sync!$P2000=""),"",Sync!$S2000)</f>
        <v/>
      </c>
      <c r="AF2000">
        <f>IF($AE2000="","",IF(ISNUMBER(Sync!$P2000),IF(AND(Sync!$P2000&gt;=10000101,Sync!$P2000&lt;=99991231),INT(Sync!$P2000/10000),""),IFERROR(VALUE(TRIM(LEFT(Sync!$P2000,FIND("/",Sync!$P2000)-1))),"")))</f>
        <v/>
      </c>
      <c r="AG2000">
        <f>IF(OR($AE2000="",$AF2000=""),"",IF(ISNUMBER(Sync!$P2000),INT(MOD(Sync!$P2000,10000)/100),IFERROR(VALUE(TRIM(LEFT(MID(Sync!$P2000,FIND("/",Sync!$P2000)+1,20),FIND("/",MID(Sync!$P2000,FIND("/",Sync!$P2000)+1,20))-1))),"")))</f>
        <v/>
      </c>
      <c r="AH2000">
        <f>IF(OR($AE2000="",$AF2000=""),"",IF(ISNUMBER(Sync!$P2000),MOD(Sync!$P2000,100),IFERROR(VALUE(TRIM(MID(MID(Sync!$P2000,FIND("/",Sync!$P2000)+1,20),FIND("/",MID(Sync!$P2000,FIND("/",Sync!$P2000)+1,20))+1,20))),"")))</f>
        <v/>
      </c>
      <c r="AI2000">
        <f>IF($AE2000="","",IF(OR($AF2000="",$AG2000="",$AH2000="",$AF2000&lt;1300,$AF2000&gt;1500,$AG2000&lt;1,$AG2000&gt;12,$AH2000&lt;1,$AH2000&gt;31),"نامعتبر",RIGHT("0000"&amp;$AF2000,4)&amp;"/"&amp;RIGHT("00"&amp;$AG2000,2)&amp;"/"&amp;RIGHT("00"&amp;$AH2000,2)))</f>
        <v/>
      </c>
      <c r="AJ2000">
        <f>IF($AE2000="","",IF(Sync!$Q2000="","0000",IF(AND(ISNUMBER(Sync!$Q2000),Sync!$Q2000&gt;=0,Sync!$Q2000&lt;1),RIGHT("00"&amp;HOUR(Sync!$Q2000),2)&amp;RIGHT("00"&amp;MINUTE(Sync!$Q2000),2),IFERROR(RIGHT("00"&amp;VALUE(LEFT(Sync!$Q2000,FIND(":",Sync!$Q2000)-1)),2)&amp;RIGHT("00"&amp;VALUE(MID(Sync!$Q2000,FIND(":",Sync!$Q2000)+1,2)),2),"0000"))))</f>
        <v/>
      </c>
      <c r="AK2000">
        <f>IF(OR($AE2000="",$AI2000="",$AI2000="نامعتبر"),"",LEFT($AI2000,4)&amp;MID($AI2000,6,2)&amp;RIGHT($AI2000,2)&amp;$AJ2000&amp;"|"&amp;"3"&amp;RIGHT("00000"&amp;1995,5))</f>
        <v/>
      </c>
      <c r="AL2000">
        <f>IF($AK2000="","",COUNTIFS(LdAParty,$AE2000,LdAType,1,LdAKey,"&lt;"&amp;$AK2000)+COUNTIFS(LdBMember,$AE2000,LdBKey,"&lt;"&amp;$AK2000)+COUNTIFS(LdCParty,$AE2000,LdCKey,"&lt;"&amp;$AK2000)+1)</f>
        <v/>
      </c>
      <c r="AM2000">
        <f>IF($AL2000="","",$AE2000&amp;"|"&amp;RIGHT("000000"&amp;$AL2000,6))</f>
        <v/>
      </c>
      <c r="AN2000">
        <f>IF($AE2000="","",IF(Sync!$W2000="",0,Sync!$W2000))</f>
        <v/>
      </c>
      <c r="AO2000">
        <f>IF($AE2000="","",IF(Sync!$X2000="",0,Sync!$X2000))</f>
        <v/>
      </c>
      <c r="AP2000">
        <f>IF($AE2000="","",Sync!$R2000)</f>
        <v/>
      </c>
      <c r="AQ2000">
        <f>IF($AE2000="","",Sync!$Y2000)</f>
        <v/>
      </c>
    </row>
    <row r="2001">
      <c r="A2001">
        <f>IF(OR(Wages!$B2004="",Wages!$E2004=""),"",Wages!$E2004)</f>
        <v/>
      </c>
      <c r="B2001">
        <f>IF($A2001="","",IF(Wages!$C2004="دستمزد گروهی",2,1))</f>
        <v/>
      </c>
      <c r="C2001">
        <f>IF($A2001="","",IF(ISNUMBER(Wages!$B2004),IF(AND(Wages!$B2004&gt;=10000101,Wages!$B2004&lt;=99991231),INT(Wages!$B2004/10000),""),IFERROR(VALUE(TRIM(LEFT(Wages!$B2004,FIND("/",Wages!$B2004)-1))),"")))</f>
        <v/>
      </c>
      <c r="D2001">
        <f>IF(OR($A2001="",$C2001=""),"",IF(ISNUMBER(Wages!$B2004),INT(MOD(Wages!$B2004,10000)/100),IFERROR(VALUE(TRIM(LEFT(MID(Wages!$B2004,FIND("/",Wages!$B2004)+1,20),FIND("/",MID(Wages!$B2004,FIND("/",Wages!$B2004)+1,20))-1))),"")))</f>
        <v/>
      </c>
      <c r="E2001">
        <f>IF(OR($A2001="",$C2001=""),"",IF(ISNUMBER(Wages!$B2004),MOD(Wages!$B2004,100),IFERROR(VALUE(TRIM(MID(MID(Wages!$B2004,FIND("/",Wages!$B2004)+1,20),FIND("/",MID(Wages!$B2004,FIND("/",Wages!$B2004)+1,20))+1,20))),"")))</f>
        <v/>
      </c>
      <c r="F2001">
        <f>IF($A2001="","",IF(OR($C2001="",$D2001="",$E2001="",$C2001&lt;1300,$C2001&gt;1500,$D2001&lt;1,$D2001&gt;12,$E2001&lt;1,$E2001&gt;31),"نامعتبر",RIGHT("0000"&amp;$C2001,4)&amp;"/"&amp;RIGHT("00"&amp;$D2001,2)&amp;"/"&amp;RIGHT("00"&amp;$E2001,2)))</f>
        <v/>
      </c>
      <c r="G2001">
        <f>IF(OR($A2001="",$F2001="",$F2001="نامعتبر"),"",LEFT($F2001,4)&amp;MID($F2001,6,2)&amp;RIGHT($F2001,2)&amp;"0000"&amp;"|"&amp;"1"&amp;RIGHT("00000"&amp;1996,5))</f>
        <v/>
      </c>
      <c r="H2001">
        <f>IF(OR($B2001&lt;&gt;1,$G2001=""),"",COUNTIFS(LdAParty,$A2001,LdAType,1,LdAKey,"&lt;"&amp;$G2001)+COUNTIFS(LdBMember,$A2001,LdBKey,"&lt;"&amp;$G2001)+COUNTIFS(LdCParty,$A2001,LdCKey,"&lt;"&amp;$G2001)+1)</f>
        <v/>
      </c>
      <c r="I2001">
        <f>IF($H2001="","",$A2001&amp;"|"&amp;RIGHT("000000"&amp;$H2001,6))</f>
        <v/>
      </c>
      <c r="J2001">
        <f>IF(OR($B2001&lt;&gt;2,$G2001=""),"",COUNTIFS(LdAParty,$A2001,LdAType,2,LdAKey,"&lt;"&amp;$G2001)+1)</f>
        <v/>
      </c>
      <c r="K2001">
        <f>IF($J2001="","",$A2001&amp;"|"&amp;RIGHT("000000"&amp;$J2001,6))</f>
        <v/>
      </c>
      <c r="L2001">
        <f>IF($A2001="","",IF(Wages!$G2004="",0,Wages!$G2004))</f>
        <v/>
      </c>
      <c r="M2001">
        <f>IF($A2001="","",Wages!$J2004)</f>
        <v/>
      </c>
      <c r="N2001">
        <f>IF($A2001="","",Wages!$D2004)</f>
        <v/>
      </c>
      <c r="P2001">
        <f>IF(OR(Shares!$B2004="",Shares!$C2004=""),"",Shares!$C2004)</f>
        <v/>
      </c>
      <c r="Q2001">
        <f>IF($P2001="","",Shares!$B2004)</f>
        <v/>
      </c>
      <c r="R2001">
        <f>IF($P2001="","",IFERROR(INDEX(WageParty,MATCH($Q2001,WageIds,0)),""))</f>
        <v/>
      </c>
      <c r="S2001">
        <f>IF($P2001="","",IFERROR(INDEX($F$6:$F$2005,MATCH($Q2001,WageIds,0)),""))</f>
        <v/>
      </c>
      <c r="T2001">
        <f>IF(OR($P2001="",$S2001="",$S2001="نامعتبر"),"",LEFT($S2001,4)&amp;MID($S2001,6,2)&amp;RIGHT($S2001,2)&amp;"0000"&amp;"|"&amp;"2"&amp;RIGHT("00000"&amp;1996,5))</f>
        <v/>
      </c>
      <c r="U2001">
        <f>IF($T2001="","",COUNTIFS(LdAParty,$P2001,LdAType,1,LdAKey,"&lt;"&amp;$T2001)+COUNTIFS(LdBMember,$P2001,LdBKey,"&lt;"&amp;$T2001)+COUNTIFS(LdCParty,$P2001,LdCKey,"&lt;"&amp;$T2001)+1)</f>
        <v/>
      </c>
      <c r="V2001">
        <f>IF($U2001="","",$P2001&amp;"|"&amp;RIGHT("000000"&amp;$U2001,6))</f>
        <v/>
      </c>
      <c r="W2001">
        <f>IF($T2001="","",COUNTIFS(LdBGroup,$R2001,LdBKey,"&lt;"&amp;$T2001)+1)</f>
        <v/>
      </c>
      <c r="X2001">
        <f>IF($W2001="","",$R2001&amp;"|"&amp;RIGHT("000000"&amp;$W2001,6))</f>
        <v/>
      </c>
      <c r="Y2001">
        <f>IF($P2001="","",IF(Shares!$E2004="",0,Shares!$E2004))</f>
        <v/>
      </c>
      <c r="Z2001">
        <f>IF($P2001="","",Shares!$H2004)</f>
        <v/>
      </c>
      <c r="AE2001">
        <f>IF(OR(Sync!$S2001="",Sync!$P2001=""),"",Sync!$S2001)</f>
        <v/>
      </c>
      <c r="AF2001">
        <f>IF($AE2001="","",IF(ISNUMBER(Sync!$P2001),IF(AND(Sync!$P2001&gt;=10000101,Sync!$P2001&lt;=99991231),INT(Sync!$P2001/10000),""),IFERROR(VALUE(TRIM(LEFT(Sync!$P2001,FIND("/",Sync!$P2001)-1))),"")))</f>
        <v/>
      </c>
      <c r="AG2001">
        <f>IF(OR($AE2001="",$AF2001=""),"",IF(ISNUMBER(Sync!$P2001),INT(MOD(Sync!$P2001,10000)/100),IFERROR(VALUE(TRIM(LEFT(MID(Sync!$P2001,FIND("/",Sync!$P2001)+1,20),FIND("/",MID(Sync!$P2001,FIND("/",Sync!$P2001)+1,20))-1))),"")))</f>
        <v/>
      </c>
      <c r="AH2001">
        <f>IF(OR($AE2001="",$AF2001=""),"",IF(ISNUMBER(Sync!$P2001),MOD(Sync!$P2001,100),IFERROR(VALUE(TRIM(MID(MID(Sync!$P2001,FIND("/",Sync!$P2001)+1,20),FIND("/",MID(Sync!$P2001,FIND("/",Sync!$P2001)+1,20))+1,20))),"")))</f>
        <v/>
      </c>
      <c r="AI2001">
        <f>IF($AE2001="","",IF(OR($AF2001="",$AG2001="",$AH2001="",$AF2001&lt;1300,$AF2001&gt;1500,$AG2001&lt;1,$AG2001&gt;12,$AH2001&lt;1,$AH2001&gt;31),"نامعتبر",RIGHT("0000"&amp;$AF2001,4)&amp;"/"&amp;RIGHT("00"&amp;$AG2001,2)&amp;"/"&amp;RIGHT("00"&amp;$AH2001,2)))</f>
        <v/>
      </c>
      <c r="AJ2001">
        <f>IF($AE2001="","",IF(Sync!$Q2001="","0000",IF(AND(ISNUMBER(Sync!$Q2001),Sync!$Q2001&gt;=0,Sync!$Q2001&lt;1),RIGHT("00"&amp;HOUR(Sync!$Q2001),2)&amp;RIGHT("00"&amp;MINUTE(Sync!$Q2001),2),IFERROR(RIGHT("00"&amp;VALUE(LEFT(Sync!$Q2001,FIND(":",Sync!$Q2001)-1)),2)&amp;RIGHT("00"&amp;VALUE(MID(Sync!$Q2001,FIND(":",Sync!$Q2001)+1,2)),2),"0000"))))</f>
        <v/>
      </c>
      <c r="AK2001">
        <f>IF(OR($AE2001="",$AI2001="",$AI2001="نامعتبر"),"",LEFT($AI2001,4)&amp;MID($AI2001,6,2)&amp;RIGHT($AI2001,2)&amp;$AJ2001&amp;"|"&amp;"3"&amp;RIGHT("00000"&amp;1996,5))</f>
        <v/>
      </c>
      <c r="AL2001">
        <f>IF($AK2001="","",COUNTIFS(LdAParty,$AE2001,LdAType,1,LdAKey,"&lt;"&amp;$AK2001)+COUNTIFS(LdBMember,$AE2001,LdBKey,"&lt;"&amp;$AK2001)+COUNTIFS(LdCParty,$AE2001,LdCKey,"&lt;"&amp;$AK2001)+1)</f>
        <v/>
      </c>
      <c r="AM2001">
        <f>IF($AL2001="","",$AE2001&amp;"|"&amp;RIGHT("000000"&amp;$AL2001,6))</f>
        <v/>
      </c>
      <c r="AN2001">
        <f>IF($AE2001="","",IF(Sync!$W2001="",0,Sync!$W2001))</f>
        <v/>
      </c>
      <c r="AO2001">
        <f>IF($AE2001="","",IF(Sync!$X2001="",0,Sync!$X2001))</f>
        <v/>
      </c>
      <c r="AP2001">
        <f>IF($AE2001="","",Sync!$R2001)</f>
        <v/>
      </c>
      <c r="AQ2001">
        <f>IF($AE2001="","",Sync!$Y2001)</f>
        <v/>
      </c>
    </row>
    <row r="2002">
      <c r="A2002">
        <f>IF(OR(Wages!$B2005="",Wages!$E2005=""),"",Wages!$E2005)</f>
        <v/>
      </c>
      <c r="B2002">
        <f>IF($A2002="","",IF(Wages!$C2005="دستمزد گروهی",2,1))</f>
        <v/>
      </c>
      <c r="C2002">
        <f>IF($A2002="","",IF(ISNUMBER(Wages!$B2005),IF(AND(Wages!$B2005&gt;=10000101,Wages!$B2005&lt;=99991231),INT(Wages!$B2005/10000),""),IFERROR(VALUE(TRIM(LEFT(Wages!$B2005,FIND("/",Wages!$B2005)-1))),"")))</f>
        <v/>
      </c>
      <c r="D2002">
        <f>IF(OR($A2002="",$C2002=""),"",IF(ISNUMBER(Wages!$B2005),INT(MOD(Wages!$B2005,10000)/100),IFERROR(VALUE(TRIM(LEFT(MID(Wages!$B2005,FIND("/",Wages!$B2005)+1,20),FIND("/",MID(Wages!$B2005,FIND("/",Wages!$B2005)+1,20))-1))),"")))</f>
        <v/>
      </c>
      <c r="E2002">
        <f>IF(OR($A2002="",$C2002=""),"",IF(ISNUMBER(Wages!$B2005),MOD(Wages!$B2005,100),IFERROR(VALUE(TRIM(MID(MID(Wages!$B2005,FIND("/",Wages!$B2005)+1,20),FIND("/",MID(Wages!$B2005,FIND("/",Wages!$B2005)+1,20))+1,20))),"")))</f>
        <v/>
      </c>
      <c r="F2002">
        <f>IF($A2002="","",IF(OR($C2002="",$D2002="",$E2002="",$C2002&lt;1300,$C2002&gt;1500,$D2002&lt;1,$D2002&gt;12,$E2002&lt;1,$E2002&gt;31),"نامعتبر",RIGHT("0000"&amp;$C2002,4)&amp;"/"&amp;RIGHT("00"&amp;$D2002,2)&amp;"/"&amp;RIGHT("00"&amp;$E2002,2)))</f>
        <v/>
      </c>
      <c r="G2002">
        <f>IF(OR($A2002="",$F2002="",$F2002="نامعتبر"),"",LEFT($F2002,4)&amp;MID($F2002,6,2)&amp;RIGHT($F2002,2)&amp;"0000"&amp;"|"&amp;"1"&amp;RIGHT("00000"&amp;1997,5))</f>
        <v/>
      </c>
      <c r="H2002">
        <f>IF(OR($B2002&lt;&gt;1,$G2002=""),"",COUNTIFS(LdAParty,$A2002,LdAType,1,LdAKey,"&lt;"&amp;$G2002)+COUNTIFS(LdBMember,$A2002,LdBKey,"&lt;"&amp;$G2002)+COUNTIFS(LdCParty,$A2002,LdCKey,"&lt;"&amp;$G2002)+1)</f>
        <v/>
      </c>
      <c r="I2002">
        <f>IF($H2002="","",$A2002&amp;"|"&amp;RIGHT("000000"&amp;$H2002,6))</f>
        <v/>
      </c>
      <c r="J2002">
        <f>IF(OR($B2002&lt;&gt;2,$G2002=""),"",COUNTIFS(LdAParty,$A2002,LdAType,2,LdAKey,"&lt;"&amp;$G2002)+1)</f>
        <v/>
      </c>
      <c r="K2002">
        <f>IF($J2002="","",$A2002&amp;"|"&amp;RIGHT("000000"&amp;$J2002,6))</f>
        <v/>
      </c>
      <c r="L2002">
        <f>IF($A2002="","",IF(Wages!$G2005="",0,Wages!$G2005))</f>
        <v/>
      </c>
      <c r="M2002">
        <f>IF($A2002="","",Wages!$J2005)</f>
        <v/>
      </c>
      <c r="N2002">
        <f>IF($A2002="","",Wages!$D2005)</f>
        <v/>
      </c>
      <c r="P2002">
        <f>IF(OR(Shares!$B2005="",Shares!$C2005=""),"",Shares!$C2005)</f>
        <v/>
      </c>
      <c r="Q2002">
        <f>IF($P2002="","",Shares!$B2005)</f>
        <v/>
      </c>
      <c r="R2002">
        <f>IF($P2002="","",IFERROR(INDEX(WageParty,MATCH($Q2002,WageIds,0)),""))</f>
        <v/>
      </c>
      <c r="S2002">
        <f>IF($P2002="","",IFERROR(INDEX($F$6:$F$2005,MATCH($Q2002,WageIds,0)),""))</f>
        <v/>
      </c>
      <c r="T2002">
        <f>IF(OR($P2002="",$S2002="",$S2002="نامعتبر"),"",LEFT($S2002,4)&amp;MID($S2002,6,2)&amp;RIGHT($S2002,2)&amp;"0000"&amp;"|"&amp;"2"&amp;RIGHT("00000"&amp;1997,5))</f>
        <v/>
      </c>
      <c r="U2002">
        <f>IF($T2002="","",COUNTIFS(LdAParty,$P2002,LdAType,1,LdAKey,"&lt;"&amp;$T2002)+COUNTIFS(LdBMember,$P2002,LdBKey,"&lt;"&amp;$T2002)+COUNTIFS(LdCParty,$P2002,LdCKey,"&lt;"&amp;$T2002)+1)</f>
        <v/>
      </c>
      <c r="V2002">
        <f>IF($U2002="","",$P2002&amp;"|"&amp;RIGHT("000000"&amp;$U2002,6))</f>
        <v/>
      </c>
      <c r="W2002">
        <f>IF($T2002="","",COUNTIFS(LdBGroup,$R2002,LdBKey,"&lt;"&amp;$T2002)+1)</f>
        <v/>
      </c>
      <c r="X2002">
        <f>IF($W2002="","",$R2002&amp;"|"&amp;RIGHT("000000"&amp;$W2002,6))</f>
        <v/>
      </c>
      <c r="Y2002">
        <f>IF($P2002="","",IF(Shares!$E2005="",0,Shares!$E2005))</f>
        <v/>
      </c>
      <c r="Z2002">
        <f>IF($P2002="","",Shares!$H2005)</f>
        <v/>
      </c>
      <c r="AE2002">
        <f>IF(OR(Sync!$S2002="",Sync!$P2002=""),"",Sync!$S2002)</f>
        <v/>
      </c>
      <c r="AF2002">
        <f>IF($AE2002="","",IF(ISNUMBER(Sync!$P2002),IF(AND(Sync!$P2002&gt;=10000101,Sync!$P2002&lt;=99991231),INT(Sync!$P2002/10000),""),IFERROR(VALUE(TRIM(LEFT(Sync!$P2002,FIND("/",Sync!$P2002)-1))),"")))</f>
        <v/>
      </c>
      <c r="AG2002">
        <f>IF(OR($AE2002="",$AF2002=""),"",IF(ISNUMBER(Sync!$P2002),INT(MOD(Sync!$P2002,10000)/100),IFERROR(VALUE(TRIM(LEFT(MID(Sync!$P2002,FIND("/",Sync!$P2002)+1,20),FIND("/",MID(Sync!$P2002,FIND("/",Sync!$P2002)+1,20))-1))),"")))</f>
        <v/>
      </c>
      <c r="AH2002">
        <f>IF(OR($AE2002="",$AF2002=""),"",IF(ISNUMBER(Sync!$P2002),MOD(Sync!$P2002,100),IFERROR(VALUE(TRIM(MID(MID(Sync!$P2002,FIND("/",Sync!$P2002)+1,20),FIND("/",MID(Sync!$P2002,FIND("/",Sync!$P2002)+1,20))+1,20))),"")))</f>
        <v/>
      </c>
      <c r="AI2002">
        <f>IF($AE2002="","",IF(OR($AF2002="",$AG2002="",$AH2002="",$AF2002&lt;1300,$AF2002&gt;1500,$AG2002&lt;1,$AG2002&gt;12,$AH2002&lt;1,$AH2002&gt;31),"نامعتبر",RIGHT("0000"&amp;$AF2002,4)&amp;"/"&amp;RIGHT("00"&amp;$AG2002,2)&amp;"/"&amp;RIGHT("00"&amp;$AH2002,2)))</f>
        <v/>
      </c>
      <c r="AJ2002">
        <f>IF($AE2002="","",IF(Sync!$Q2002="","0000",IF(AND(ISNUMBER(Sync!$Q2002),Sync!$Q2002&gt;=0,Sync!$Q2002&lt;1),RIGHT("00"&amp;HOUR(Sync!$Q2002),2)&amp;RIGHT("00"&amp;MINUTE(Sync!$Q2002),2),IFERROR(RIGHT("00"&amp;VALUE(LEFT(Sync!$Q2002,FIND(":",Sync!$Q2002)-1)),2)&amp;RIGHT("00"&amp;VALUE(MID(Sync!$Q2002,FIND(":",Sync!$Q2002)+1,2)),2),"0000"))))</f>
        <v/>
      </c>
      <c r="AK2002">
        <f>IF(OR($AE2002="",$AI2002="",$AI2002="نامعتبر"),"",LEFT($AI2002,4)&amp;MID($AI2002,6,2)&amp;RIGHT($AI2002,2)&amp;$AJ2002&amp;"|"&amp;"3"&amp;RIGHT("00000"&amp;1997,5))</f>
        <v/>
      </c>
      <c r="AL2002">
        <f>IF($AK2002="","",COUNTIFS(LdAParty,$AE2002,LdAType,1,LdAKey,"&lt;"&amp;$AK2002)+COUNTIFS(LdBMember,$AE2002,LdBKey,"&lt;"&amp;$AK2002)+COUNTIFS(LdCParty,$AE2002,LdCKey,"&lt;"&amp;$AK2002)+1)</f>
        <v/>
      </c>
      <c r="AM2002">
        <f>IF($AL2002="","",$AE2002&amp;"|"&amp;RIGHT("000000"&amp;$AL2002,6))</f>
        <v/>
      </c>
      <c r="AN2002">
        <f>IF($AE2002="","",IF(Sync!$W2002="",0,Sync!$W2002))</f>
        <v/>
      </c>
      <c r="AO2002">
        <f>IF($AE2002="","",IF(Sync!$X2002="",0,Sync!$X2002))</f>
        <v/>
      </c>
      <c r="AP2002">
        <f>IF($AE2002="","",Sync!$R2002)</f>
        <v/>
      </c>
      <c r="AQ2002">
        <f>IF($AE2002="","",Sync!$Y2002)</f>
        <v/>
      </c>
    </row>
    <row r="2003">
      <c r="A2003">
        <f>IF(OR(Wages!$B2006="",Wages!$E2006=""),"",Wages!$E2006)</f>
        <v/>
      </c>
      <c r="B2003">
        <f>IF($A2003="","",IF(Wages!$C2006="دستمزد گروهی",2,1))</f>
        <v/>
      </c>
      <c r="C2003">
        <f>IF($A2003="","",IF(ISNUMBER(Wages!$B2006),IF(AND(Wages!$B2006&gt;=10000101,Wages!$B2006&lt;=99991231),INT(Wages!$B2006/10000),""),IFERROR(VALUE(TRIM(LEFT(Wages!$B2006,FIND("/",Wages!$B2006)-1))),"")))</f>
        <v/>
      </c>
      <c r="D2003">
        <f>IF(OR($A2003="",$C2003=""),"",IF(ISNUMBER(Wages!$B2006),INT(MOD(Wages!$B2006,10000)/100),IFERROR(VALUE(TRIM(LEFT(MID(Wages!$B2006,FIND("/",Wages!$B2006)+1,20),FIND("/",MID(Wages!$B2006,FIND("/",Wages!$B2006)+1,20))-1))),"")))</f>
        <v/>
      </c>
      <c r="E2003">
        <f>IF(OR($A2003="",$C2003=""),"",IF(ISNUMBER(Wages!$B2006),MOD(Wages!$B2006,100),IFERROR(VALUE(TRIM(MID(MID(Wages!$B2006,FIND("/",Wages!$B2006)+1,20),FIND("/",MID(Wages!$B2006,FIND("/",Wages!$B2006)+1,20))+1,20))),"")))</f>
        <v/>
      </c>
      <c r="F2003">
        <f>IF($A2003="","",IF(OR($C2003="",$D2003="",$E2003="",$C2003&lt;1300,$C2003&gt;1500,$D2003&lt;1,$D2003&gt;12,$E2003&lt;1,$E2003&gt;31),"نامعتبر",RIGHT("0000"&amp;$C2003,4)&amp;"/"&amp;RIGHT("00"&amp;$D2003,2)&amp;"/"&amp;RIGHT("00"&amp;$E2003,2)))</f>
        <v/>
      </c>
      <c r="G2003">
        <f>IF(OR($A2003="",$F2003="",$F2003="نامعتبر"),"",LEFT($F2003,4)&amp;MID($F2003,6,2)&amp;RIGHT($F2003,2)&amp;"0000"&amp;"|"&amp;"1"&amp;RIGHT("00000"&amp;1998,5))</f>
        <v/>
      </c>
      <c r="H2003">
        <f>IF(OR($B2003&lt;&gt;1,$G2003=""),"",COUNTIFS(LdAParty,$A2003,LdAType,1,LdAKey,"&lt;"&amp;$G2003)+COUNTIFS(LdBMember,$A2003,LdBKey,"&lt;"&amp;$G2003)+COUNTIFS(LdCParty,$A2003,LdCKey,"&lt;"&amp;$G2003)+1)</f>
        <v/>
      </c>
      <c r="I2003">
        <f>IF($H2003="","",$A2003&amp;"|"&amp;RIGHT("000000"&amp;$H2003,6))</f>
        <v/>
      </c>
      <c r="J2003">
        <f>IF(OR($B2003&lt;&gt;2,$G2003=""),"",COUNTIFS(LdAParty,$A2003,LdAType,2,LdAKey,"&lt;"&amp;$G2003)+1)</f>
        <v/>
      </c>
      <c r="K2003">
        <f>IF($J2003="","",$A2003&amp;"|"&amp;RIGHT("000000"&amp;$J2003,6))</f>
        <v/>
      </c>
      <c r="L2003">
        <f>IF($A2003="","",IF(Wages!$G2006="",0,Wages!$G2006))</f>
        <v/>
      </c>
      <c r="M2003">
        <f>IF($A2003="","",Wages!$J2006)</f>
        <v/>
      </c>
      <c r="N2003">
        <f>IF($A2003="","",Wages!$D2006)</f>
        <v/>
      </c>
      <c r="P2003">
        <f>IF(OR(Shares!$B2006="",Shares!$C2006=""),"",Shares!$C2006)</f>
        <v/>
      </c>
      <c r="Q2003">
        <f>IF($P2003="","",Shares!$B2006)</f>
        <v/>
      </c>
      <c r="R2003">
        <f>IF($P2003="","",IFERROR(INDEX(WageParty,MATCH($Q2003,WageIds,0)),""))</f>
        <v/>
      </c>
      <c r="S2003">
        <f>IF($P2003="","",IFERROR(INDEX($F$6:$F$2005,MATCH($Q2003,WageIds,0)),""))</f>
        <v/>
      </c>
      <c r="T2003">
        <f>IF(OR($P2003="",$S2003="",$S2003="نامعتبر"),"",LEFT($S2003,4)&amp;MID($S2003,6,2)&amp;RIGHT($S2003,2)&amp;"0000"&amp;"|"&amp;"2"&amp;RIGHT("00000"&amp;1998,5))</f>
        <v/>
      </c>
      <c r="U2003">
        <f>IF($T2003="","",COUNTIFS(LdAParty,$P2003,LdAType,1,LdAKey,"&lt;"&amp;$T2003)+COUNTIFS(LdBMember,$P2003,LdBKey,"&lt;"&amp;$T2003)+COUNTIFS(LdCParty,$P2003,LdCKey,"&lt;"&amp;$T2003)+1)</f>
        <v/>
      </c>
      <c r="V2003">
        <f>IF($U2003="","",$P2003&amp;"|"&amp;RIGHT("000000"&amp;$U2003,6))</f>
        <v/>
      </c>
      <c r="W2003">
        <f>IF($T2003="","",COUNTIFS(LdBGroup,$R2003,LdBKey,"&lt;"&amp;$T2003)+1)</f>
        <v/>
      </c>
      <c r="X2003">
        <f>IF($W2003="","",$R2003&amp;"|"&amp;RIGHT("000000"&amp;$W2003,6))</f>
        <v/>
      </c>
      <c r="Y2003">
        <f>IF($P2003="","",IF(Shares!$E2006="",0,Shares!$E2006))</f>
        <v/>
      </c>
      <c r="Z2003">
        <f>IF($P2003="","",Shares!$H2006)</f>
        <v/>
      </c>
      <c r="AE2003">
        <f>IF(OR(Sync!$S2003="",Sync!$P2003=""),"",Sync!$S2003)</f>
        <v/>
      </c>
      <c r="AF2003">
        <f>IF($AE2003="","",IF(ISNUMBER(Sync!$P2003),IF(AND(Sync!$P2003&gt;=10000101,Sync!$P2003&lt;=99991231),INT(Sync!$P2003/10000),""),IFERROR(VALUE(TRIM(LEFT(Sync!$P2003,FIND("/",Sync!$P2003)-1))),"")))</f>
        <v/>
      </c>
      <c r="AG2003">
        <f>IF(OR($AE2003="",$AF2003=""),"",IF(ISNUMBER(Sync!$P2003),INT(MOD(Sync!$P2003,10000)/100),IFERROR(VALUE(TRIM(LEFT(MID(Sync!$P2003,FIND("/",Sync!$P2003)+1,20),FIND("/",MID(Sync!$P2003,FIND("/",Sync!$P2003)+1,20))-1))),"")))</f>
        <v/>
      </c>
      <c r="AH2003">
        <f>IF(OR($AE2003="",$AF2003=""),"",IF(ISNUMBER(Sync!$P2003),MOD(Sync!$P2003,100),IFERROR(VALUE(TRIM(MID(MID(Sync!$P2003,FIND("/",Sync!$P2003)+1,20),FIND("/",MID(Sync!$P2003,FIND("/",Sync!$P2003)+1,20))+1,20))),"")))</f>
        <v/>
      </c>
      <c r="AI2003">
        <f>IF($AE2003="","",IF(OR($AF2003="",$AG2003="",$AH2003="",$AF2003&lt;1300,$AF2003&gt;1500,$AG2003&lt;1,$AG2003&gt;12,$AH2003&lt;1,$AH2003&gt;31),"نامعتبر",RIGHT("0000"&amp;$AF2003,4)&amp;"/"&amp;RIGHT("00"&amp;$AG2003,2)&amp;"/"&amp;RIGHT("00"&amp;$AH2003,2)))</f>
        <v/>
      </c>
      <c r="AJ2003">
        <f>IF($AE2003="","",IF(Sync!$Q2003="","0000",IF(AND(ISNUMBER(Sync!$Q2003),Sync!$Q2003&gt;=0,Sync!$Q2003&lt;1),RIGHT("00"&amp;HOUR(Sync!$Q2003),2)&amp;RIGHT("00"&amp;MINUTE(Sync!$Q2003),2),IFERROR(RIGHT("00"&amp;VALUE(LEFT(Sync!$Q2003,FIND(":",Sync!$Q2003)-1)),2)&amp;RIGHT("00"&amp;VALUE(MID(Sync!$Q2003,FIND(":",Sync!$Q2003)+1,2)),2),"0000"))))</f>
        <v/>
      </c>
      <c r="AK2003">
        <f>IF(OR($AE2003="",$AI2003="",$AI2003="نامعتبر"),"",LEFT($AI2003,4)&amp;MID($AI2003,6,2)&amp;RIGHT($AI2003,2)&amp;$AJ2003&amp;"|"&amp;"3"&amp;RIGHT("00000"&amp;1998,5))</f>
        <v/>
      </c>
      <c r="AL2003">
        <f>IF($AK2003="","",COUNTIFS(LdAParty,$AE2003,LdAType,1,LdAKey,"&lt;"&amp;$AK2003)+COUNTIFS(LdBMember,$AE2003,LdBKey,"&lt;"&amp;$AK2003)+COUNTIFS(LdCParty,$AE2003,LdCKey,"&lt;"&amp;$AK2003)+1)</f>
        <v/>
      </c>
      <c r="AM2003">
        <f>IF($AL2003="","",$AE2003&amp;"|"&amp;RIGHT("000000"&amp;$AL2003,6))</f>
        <v/>
      </c>
      <c r="AN2003">
        <f>IF($AE2003="","",IF(Sync!$W2003="",0,Sync!$W2003))</f>
        <v/>
      </c>
      <c r="AO2003">
        <f>IF($AE2003="","",IF(Sync!$X2003="",0,Sync!$X2003))</f>
        <v/>
      </c>
      <c r="AP2003">
        <f>IF($AE2003="","",Sync!$R2003)</f>
        <v/>
      </c>
      <c r="AQ2003">
        <f>IF($AE2003="","",Sync!$Y2003)</f>
        <v/>
      </c>
    </row>
    <row r="2004">
      <c r="A2004">
        <f>IF(OR(Wages!$B2007="",Wages!$E2007=""),"",Wages!$E2007)</f>
        <v/>
      </c>
      <c r="B2004">
        <f>IF($A2004="","",IF(Wages!$C2007="دستمزد گروهی",2,1))</f>
        <v/>
      </c>
      <c r="C2004">
        <f>IF($A2004="","",IF(ISNUMBER(Wages!$B2007),IF(AND(Wages!$B2007&gt;=10000101,Wages!$B2007&lt;=99991231),INT(Wages!$B2007/10000),""),IFERROR(VALUE(TRIM(LEFT(Wages!$B2007,FIND("/",Wages!$B2007)-1))),"")))</f>
        <v/>
      </c>
      <c r="D2004">
        <f>IF(OR($A2004="",$C2004=""),"",IF(ISNUMBER(Wages!$B2007),INT(MOD(Wages!$B2007,10000)/100),IFERROR(VALUE(TRIM(LEFT(MID(Wages!$B2007,FIND("/",Wages!$B2007)+1,20),FIND("/",MID(Wages!$B2007,FIND("/",Wages!$B2007)+1,20))-1))),"")))</f>
        <v/>
      </c>
      <c r="E2004">
        <f>IF(OR($A2004="",$C2004=""),"",IF(ISNUMBER(Wages!$B2007),MOD(Wages!$B2007,100),IFERROR(VALUE(TRIM(MID(MID(Wages!$B2007,FIND("/",Wages!$B2007)+1,20),FIND("/",MID(Wages!$B2007,FIND("/",Wages!$B2007)+1,20))+1,20))),"")))</f>
        <v/>
      </c>
      <c r="F2004">
        <f>IF($A2004="","",IF(OR($C2004="",$D2004="",$E2004="",$C2004&lt;1300,$C2004&gt;1500,$D2004&lt;1,$D2004&gt;12,$E2004&lt;1,$E2004&gt;31),"نامعتبر",RIGHT("0000"&amp;$C2004,4)&amp;"/"&amp;RIGHT("00"&amp;$D2004,2)&amp;"/"&amp;RIGHT("00"&amp;$E2004,2)))</f>
        <v/>
      </c>
      <c r="G2004">
        <f>IF(OR($A2004="",$F2004="",$F2004="نامعتبر"),"",LEFT($F2004,4)&amp;MID($F2004,6,2)&amp;RIGHT($F2004,2)&amp;"0000"&amp;"|"&amp;"1"&amp;RIGHT("00000"&amp;1999,5))</f>
        <v/>
      </c>
      <c r="H2004">
        <f>IF(OR($B2004&lt;&gt;1,$G2004=""),"",COUNTIFS(LdAParty,$A2004,LdAType,1,LdAKey,"&lt;"&amp;$G2004)+COUNTIFS(LdBMember,$A2004,LdBKey,"&lt;"&amp;$G2004)+COUNTIFS(LdCParty,$A2004,LdCKey,"&lt;"&amp;$G2004)+1)</f>
        <v/>
      </c>
      <c r="I2004">
        <f>IF($H2004="","",$A2004&amp;"|"&amp;RIGHT("000000"&amp;$H2004,6))</f>
        <v/>
      </c>
      <c r="J2004">
        <f>IF(OR($B2004&lt;&gt;2,$G2004=""),"",COUNTIFS(LdAParty,$A2004,LdAType,2,LdAKey,"&lt;"&amp;$G2004)+1)</f>
        <v/>
      </c>
      <c r="K2004">
        <f>IF($J2004="","",$A2004&amp;"|"&amp;RIGHT("000000"&amp;$J2004,6))</f>
        <v/>
      </c>
      <c r="L2004">
        <f>IF($A2004="","",IF(Wages!$G2007="",0,Wages!$G2007))</f>
        <v/>
      </c>
      <c r="M2004">
        <f>IF($A2004="","",Wages!$J2007)</f>
        <v/>
      </c>
      <c r="N2004">
        <f>IF($A2004="","",Wages!$D2007)</f>
        <v/>
      </c>
      <c r="P2004">
        <f>IF(OR(Shares!$B2007="",Shares!$C2007=""),"",Shares!$C2007)</f>
        <v/>
      </c>
      <c r="Q2004">
        <f>IF($P2004="","",Shares!$B2007)</f>
        <v/>
      </c>
      <c r="R2004">
        <f>IF($P2004="","",IFERROR(INDEX(WageParty,MATCH($Q2004,WageIds,0)),""))</f>
        <v/>
      </c>
      <c r="S2004">
        <f>IF($P2004="","",IFERROR(INDEX($F$6:$F$2005,MATCH($Q2004,WageIds,0)),""))</f>
        <v/>
      </c>
      <c r="T2004">
        <f>IF(OR($P2004="",$S2004="",$S2004="نامعتبر"),"",LEFT($S2004,4)&amp;MID($S2004,6,2)&amp;RIGHT($S2004,2)&amp;"0000"&amp;"|"&amp;"2"&amp;RIGHT("00000"&amp;1999,5))</f>
        <v/>
      </c>
      <c r="U2004">
        <f>IF($T2004="","",COUNTIFS(LdAParty,$P2004,LdAType,1,LdAKey,"&lt;"&amp;$T2004)+COUNTIFS(LdBMember,$P2004,LdBKey,"&lt;"&amp;$T2004)+COUNTIFS(LdCParty,$P2004,LdCKey,"&lt;"&amp;$T2004)+1)</f>
        <v/>
      </c>
      <c r="V2004">
        <f>IF($U2004="","",$P2004&amp;"|"&amp;RIGHT("000000"&amp;$U2004,6))</f>
        <v/>
      </c>
      <c r="W2004">
        <f>IF($T2004="","",COUNTIFS(LdBGroup,$R2004,LdBKey,"&lt;"&amp;$T2004)+1)</f>
        <v/>
      </c>
      <c r="X2004">
        <f>IF($W2004="","",$R2004&amp;"|"&amp;RIGHT("000000"&amp;$W2004,6))</f>
        <v/>
      </c>
      <c r="Y2004">
        <f>IF($P2004="","",IF(Shares!$E2007="",0,Shares!$E2007))</f>
        <v/>
      </c>
      <c r="Z2004">
        <f>IF($P2004="","",Shares!$H2007)</f>
        <v/>
      </c>
      <c r="AE2004">
        <f>IF(OR(Sync!$S2004="",Sync!$P2004=""),"",Sync!$S2004)</f>
        <v/>
      </c>
      <c r="AF2004">
        <f>IF($AE2004="","",IF(ISNUMBER(Sync!$P2004),IF(AND(Sync!$P2004&gt;=10000101,Sync!$P2004&lt;=99991231),INT(Sync!$P2004/10000),""),IFERROR(VALUE(TRIM(LEFT(Sync!$P2004,FIND("/",Sync!$P2004)-1))),"")))</f>
        <v/>
      </c>
      <c r="AG2004">
        <f>IF(OR($AE2004="",$AF2004=""),"",IF(ISNUMBER(Sync!$P2004),INT(MOD(Sync!$P2004,10000)/100),IFERROR(VALUE(TRIM(LEFT(MID(Sync!$P2004,FIND("/",Sync!$P2004)+1,20),FIND("/",MID(Sync!$P2004,FIND("/",Sync!$P2004)+1,20))-1))),"")))</f>
        <v/>
      </c>
      <c r="AH2004">
        <f>IF(OR($AE2004="",$AF2004=""),"",IF(ISNUMBER(Sync!$P2004),MOD(Sync!$P2004,100),IFERROR(VALUE(TRIM(MID(MID(Sync!$P2004,FIND("/",Sync!$P2004)+1,20),FIND("/",MID(Sync!$P2004,FIND("/",Sync!$P2004)+1,20))+1,20))),"")))</f>
        <v/>
      </c>
      <c r="AI2004">
        <f>IF($AE2004="","",IF(OR($AF2004="",$AG2004="",$AH2004="",$AF2004&lt;1300,$AF2004&gt;1500,$AG2004&lt;1,$AG2004&gt;12,$AH2004&lt;1,$AH2004&gt;31),"نامعتبر",RIGHT("0000"&amp;$AF2004,4)&amp;"/"&amp;RIGHT("00"&amp;$AG2004,2)&amp;"/"&amp;RIGHT("00"&amp;$AH2004,2)))</f>
        <v/>
      </c>
      <c r="AJ2004">
        <f>IF($AE2004="","",IF(Sync!$Q2004="","0000",IF(AND(ISNUMBER(Sync!$Q2004),Sync!$Q2004&gt;=0,Sync!$Q2004&lt;1),RIGHT("00"&amp;HOUR(Sync!$Q2004),2)&amp;RIGHT("00"&amp;MINUTE(Sync!$Q2004),2),IFERROR(RIGHT("00"&amp;VALUE(LEFT(Sync!$Q2004,FIND(":",Sync!$Q2004)-1)),2)&amp;RIGHT("00"&amp;VALUE(MID(Sync!$Q2004,FIND(":",Sync!$Q2004)+1,2)),2),"0000"))))</f>
        <v/>
      </c>
      <c r="AK2004">
        <f>IF(OR($AE2004="",$AI2004="",$AI2004="نامعتبر"),"",LEFT($AI2004,4)&amp;MID($AI2004,6,2)&amp;RIGHT($AI2004,2)&amp;$AJ2004&amp;"|"&amp;"3"&amp;RIGHT("00000"&amp;1999,5))</f>
        <v/>
      </c>
      <c r="AL2004">
        <f>IF($AK2004="","",COUNTIFS(LdAParty,$AE2004,LdAType,1,LdAKey,"&lt;"&amp;$AK2004)+COUNTIFS(LdBMember,$AE2004,LdBKey,"&lt;"&amp;$AK2004)+COUNTIFS(LdCParty,$AE2004,LdCKey,"&lt;"&amp;$AK2004)+1)</f>
        <v/>
      </c>
      <c r="AM2004">
        <f>IF($AL2004="","",$AE2004&amp;"|"&amp;RIGHT("000000"&amp;$AL2004,6))</f>
        <v/>
      </c>
      <c r="AN2004">
        <f>IF($AE2004="","",IF(Sync!$W2004="",0,Sync!$W2004))</f>
        <v/>
      </c>
      <c r="AO2004">
        <f>IF($AE2004="","",IF(Sync!$X2004="",0,Sync!$X2004))</f>
        <v/>
      </c>
      <c r="AP2004">
        <f>IF($AE2004="","",Sync!$R2004)</f>
        <v/>
      </c>
      <c r="AQ2004">
        <f>IF($AE2004="","",Sync!$Y2004)</f>
        <v/>
      </c>
    </row>
    <row r="2005">
      <c r="A2005">
        <f>IF(OR(Wages!$B2008="",Wages!$E2008=""),"",Wages!$E2008)</f>
        <v/>
      </c>
      <c r="B2005">
        <f>IF($A2005="","",IF(Wages!$C2008="دستمزد گروهی",2,1))</f>
        <v/>
      </c>
      <c r="C2005">
        <f>IF($A2005="","",IF(ISNUMBER(Wages!$B2008),IF(AND(Wages!$B2008&gt;=10000101,Wages!$B2008&lt;=99991231),INT(Wages!$B2008/10000),""),IFERROR(VALUE(TRIM(LEFT(Wages!$B2008,FIND("/",Wages!$B2008)-1))),"")))</f>
        <v/>
      </c>
      <c r="D2005">
        <f>IF(OR($A2005="",$C2005=""),"",IF(ISNUMBER(Wages!$B2008),INT(MOD(Wages!$B2008,10000)/100),IFERROR(VALUE(TRIM(LEFT(MID(Wages!$B2008,FIND("/",Wages!$B2008)+1,20),FIND("/",MID(Wages!$B2008,FIND("/",Wages!$B2008)+1,20))-1))),"")))</f>
        <v/>
      </c>
      <c r="E2005">
        <f>IF(OR($A2005="",$C2005=""),"",IF(ISNUMBER(Wages!$B2008),MOD(Wages!$B2008,100),IFERROR(VALUE(TRIM(MID(MID(Wages!$B2008,FIND("/",Wages!$B2008)+1,20),FIND("/",MID(Wages!$B2008,FIND("/",Wages!$B2008)+1,20))+1,20))),"")))</f>
        <v/>
      </c>
      <c r="F2005">
        <f>IF($A2005="","",IF(OR($C2005="",$D2005="",$E2005="",$C2005&lt;1300,$C2005&gt;1500,$D2005&lt;1,$D2005&gt;12,$E2005&lt;1,$E2005&gt;31),"نامعتبر",RIGHT("0000"&amp;$C2005,4)&amp;"/"&amp;RIGHT("00"&amp;$D2005,2)&amp;"/"&amp;RIGHT("00"&amp;$E2005,2)))</f>
        <v/>
      </c>
      <c r="G2005">
        <f>IF(OR($A2005="",$F2005="",$F2005="نامعتبر"),"",LEFT($F2005,4)&amp;MID($F2005,6,2)&amp;RIGHT($F2005,2)&amp;"0000"&amp;"|"&amp;"1"&amp;RIGHT("00000"&amp;2000,5))</f>
        <v/>
      </c>
      <c r="H2005">
        <f>IF(OR($B2005&lt;&gt;1,$G2005=""),"",COUNTIFS(LdAParty,$A2005,LdAType,1,LdAKey,"&lt;"&amp;$G2005)+COUNTIFS(LdBMember,$A2005,LdBKey,"&lt;"&amp;$G2005)+COUNTIFS(LdCParty,$A2005,LdCKey,"&lt;"&amp;$G2005)+1)</f>
        <v/>
      </c>
      <c r="I2005">
        <f>IF($H2005="","",$A2005&amp;"|"&amp;RIGHT("000000"&amp;$H2005,6))</f>
        <v/>
      </c>
      <c r="J2005">
        <f>IF(OR($B2005&lt;&gt;2,$G2005=""),"",COUNTIFS(LdAParty,$A2005,LdAType,2,LdAKey,"&lt;"&amp;$G2005)+1)</f>
        <v/>
      </c>
      <c r="K2005">
        <f>IF($J2005="","",$A2005&amp;"|"&amp;RIGHT("000000"&amp;$J2005,6))</f>
        <v/>
      </c>
      <c r="L2005">
        <f>IF($A2005="","",IF(Wages!$G2008="",0,Wages!$G2008))</f>
        <v/>
      </c>
      <c r="M2005">
        <f>IF($A2005="","",Wages!$J2008)</f>
        <v/>
      </c>
      <c r="N2005">
        <f>IF($A2005="","",Wages!$D2008)</f>
        <v/>
      </c>
      <c r="P2005">
        <f>IF(OR(Shares!$B2008="",Shares!$C2008=""),"",Shares!$C2008)</f>
        <v/>
      </c>
      <c r="Q2005">
        <f>IF($P2005="","",Shares!$B2008)</f>
        <v/>
      </c>
      <c r="R2005">
        <f>IF($P2005="","",IFERROR(INDEX(WageParty,MATCH($Q2005,WageIds,0)),""))</f>
        <v/>
      </c>
      <c r="S2005">
        <f>IF($P2005="","",IFERROR(INDEX($F$6:$F$2005,MATCH($Q2005,WageIds,0)),""))</f>
        <v/>
      </c>
      <c r="T2005">
        <f>IF(OR($P2005="",$S2005="",$S2005="نامعتبر"),"",LEFT($S2005,4)&amp;MID($S2005,6,2)&amp;RIGHT($S2005,2)&amp;"0000"&amp;"|"&amp;"2"&amp;RIGHT("00000"&amp;2000,5))</f>
        <v/>
      </c>
      <c r="U2005">
        <f>IF($T2005="","",COUNTIFS(LdAParty,$P2005,LdAType,1,LdAKey,"&lt;"&amp;$T2005)+COUNTIFS(LdBMember,$P2005,LdBKey,"&lt;"&amp;$T2005)+COUNTIFS(LdCParty,$P2005,LdCKey,"&lt;"&amp;$T2005)+1)</f>
        <v/>
      </c>
      <c r="V2005">
        <f>IF($U2005="","",$P2005&amp;"|"&amp;RIGHT("000000"&amp;$U2005,6))</f>
        <v/>
      </c>
      <c r="W2005">
        <f>IF($T2005="","",COUNTIFS(LdBGroup,$R2005,LdBKey,"&lt;"&amp;$T2005)+1)</f>
        <v/>
      </c>
      <c r="X2005">
        <f>IF($W2005="","",$R2005&amp;"|"&amp;RIGHT("000000"&amp;$W2005,6))</f>
        <v/>
      </c>
      <c r="Y2005">
        <f>IF($P2005="","",IF(Shares!$E2008="",0,Shares!$E2008))</f>
        <v/>
      </c>
      <c r="Z2005">
        <f>IF($P2005="","",Shares!$H2008)</f>
        <v/>
      </c>
      <c r="AE2005">
        <f>IF(OR(Sync!$S2005="",Sync!$P2005=""),"",Sync!$S2005)</f>
        <v/>
      </c>
      <c r="AF2005">
        <f>IF($AE2005="","",IF(ISNUMBER(Sync!$P2005),IF(AND(Sync!$P2005&gt;=10000101,Sync!$P2005&lt;=99991231),INT(Sync!$P2005/10000),""),IFERROR(VALUE(TRIM(LEFT(Sync!$P2005,FIND("/",Sync!$P2005)-1))),"")))</f>
        <v/>
      </c>
      <c r="AG2005">
        <f>IF(OR($AE2005="",$AF2005=""),"",IF(ISNUMBER(Sync!$P2005),INT(MOD(Sync!$P2005,10000)/100),IFERROR(VALUE(TRIM(LEFT(MID(Sync!$P2005,FIND("/",Sync!$P2005)+1,20),FIND("/",MID(Sync!$P2005,FIND("/",Sync!$P2005)+1,20))-1))),"")))</f>
        <v/>
      </c>
      <c r="AH2005">
        <f>IF(OR($AE2005="",$AF2005=""),"",IF(ISNUMBER(Sync!$P2005),MOD(Sync!$P2005,100),IFERROR(VALUE(TRIM(MID(MID(Sync!$P2005,FIND("/",Sync!$P2005)+1,20),FIND("/",MID(Sync!$P2005,FIND("/",Sync!$P2005)+1,20))+1,20))),"")))</f>
        <v/>
      </c>
      <c r="AI2005">
        <f>IF($AE2005="","",IF(OR($AF2005="",$AG2005="",$AH2005="",$AF2005&lt;1300,$AF2005&gt;1500,$AG2005&lt;1,$AG2005&gt;12,$AH2005&lt;1,$AH2005&gt;31),"نامعتبر",RIGHT("0000"&amp;$AF2005,4)&amp;"/"&amp;RIGHT("00"&amp;$AG2005,2)&amp;"/"&amp;RIGHT("00"&amp;$AH2005,2)))</f>
        <v/>
      </c>
      <c r="AJ2005">
        <f>IF($AE2005="","",IF(Sync!$Q2005="","0000",IF(AND(ISNUMBER(Sync!$Q2005),Sync!$Q2005&gt;=0,Sync!$Q2005&lt;1),RIGHT("00"&amp;HOUR(Sync!$Q2005),2)&amp;RIGHT("00"&amp;MINUTE(Sync!$Q2005),2),IFERROR(RIGHT("00"&amp;VALUE(LEFT(Sync!$Q2005,FIND(":",Sync!$Q2005)-1)),2)&amp;RIGHT("00"&amp;VALUE(MID(Sync!$Q2005,FIND(":",Sync!$Q2005)+1,2)),2),"0000"))))</f>
        <v/>
      </c>
      <c r="AK2005">
        <f>IF(OR($AE2005="",$AI2005="",$AI2005="نامعتبر"),"",LEFT($AI2005,4)&amp;MID($AI2005,6,2)&amp;RIGHT($AI2005,2)&amp;$AJ2005&amp;"|"&amp;"3"&amp;RIGHT("00000"&amp;2000,5))</f>
        <v/>
      </c>
      <c r="AL2005">
        <f>IF($AK2005="","",COUNTIFS(LdAParty,$AE2005,LdAType,1,LdAKey,"&lt;"&amp;$AK2005)+COUNTIFS(LdBMember,$AE2005,LdBKey,"&lt;"&amp;$AK2005)+COUNTIFS(LdCParty,$AE2005,LdCKey,"&lt;"&amp;$AK2005)+1)</f>
        <v/>
      </c>
      <c r="AM2005">
        <f>IF($AL2005="","",$AE2005&amp;"|"&amp;RIGHT("000000"&amp;$AL2005,6))</f>
        <v/>
      </c>
      <c r="AN2005">
        <f>IF($AE2005="","",IF(Sync!$W2005="",0,Sync!$W2005))</f>
        <v/>
      </c>
      <c r="AO2005">
        <f>IF($AE2005="","",IF(Sync!$X2005="",0,Sync!$X2005))</f>
        <v/>
      </c>
      <c r="AP2005">
        <f>IF($AE2005="","",Sync!$R2005)</f>
        <v/>
      </c>
      <c r="AQ2005">
        <f>IF($AE2005="","",Sync!$Y2005)</f>
        <v/>
      </c>
    </row>
  </sheetData>
  <mergeCells count="3">
    <mergeCell ref="A1:AQ1"/>
    <mergeCell ref="A3:AQ3"/>
    <mergeCell ref="A2:A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6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7" t="inlineStr">
        <is>
          <t>راهنمای فایل کارکنان (Employees.xlsx) — دفتر دستمزد</t>
        </is>
      </c>
      <c r="B3" s="47" t="n"/>
      <c r="C3" s="47" t="n"/>
      <c r="D3" s="47" t="n"/>
      <c r="E3" s="47" t="n"/>
      <c r="F3" s="47" t="n"/>
      <c r="G3" s="47" t="n"/>
      <c r="H3" s="47" t="n"/>
    </row>
    <row r="5" ht="19" customHeight="1">
      <c r="A5" s="48" t="inlineStr">
        <is>
          <t>۱) این فایل چیست؟</t>
        </is>
      </c>
      <c r="B5" s="48" t="n"/>
      <c r="C5" s="48" t="n"/>
      <c r="D5" s="48" t="n"/>
      <c r="E5" s="48" t="n"/>
      <c r="F5" s="48" t="n"/>
      <c r="G5" s="48" t="n"/>
      <c r="H5" s="48" t="n"/>
    </row>
    <row r="6" ht="17" customHeight="1">
      <c r="A6" s="49" t="inlineStr">
        <is>
          <t>• دفتر دستمزد کارکنان: ثبت حقوق/مساعده فردی و دستمزد گروهی + ریز سهم هر عضو + مانده هر نفر.</t>
        </is>
      </c>
      <c r="B6" s="49" t="n"/>
      <c r="C6" s="49" t="n"/>
      <c r="D6" s="49" t="n"/>
      <c r="E6" s="49" t="n"/>
      <c r="F6" s="49" t="n"/>
      <c r="G6" s="49" t="n"/>
      <c r="H6" s="49" t="n"/>
    </row>
    <row r="7" ht="17" customHeight="1">
      <c r="A7" s="50" t="inlineStr">
        <is>
          <t>• منبع پرداخت‌های واقعی: فایل واریز/برداشت (Transactions.xlsx) — برداشت با کد کارمند (E…).</t>
        </is>
      </c>
      <c r="B7" s="50" t="n"/>
      <c r="C7" s="50" t="n"/>
      <c r="D7" s="50" t="n"/>
      <c r="E7" s="50" t="n"/>
      <c r="F7" s="50" t="n"/>
      <c r="G7" s="50" t="n"/>
      <c r="H7" s="50" t="n"/>
    </row>
    <row r="8" ht="17" customHeight="1">
      <c r="A8" s="49" t="inlineStr">
        <is>
          <t>• تعریف‌ها: فایل مادر (INFO) — گروه‌های کاری در شیت WorkGroups (WG…)، مشخصات تکمیلی کارکنان در شیت Staff، نام‌ها در شیت Accounts.</t>
        </is>
      </c>
      <c r="B8" s="49" t="n"/>
      <c r="C8" s="49" t="n"/>
      <c r="D8" s="49" t="n"/>
      <c r="E8" s="49" t="n"/>
      <c r="F8" s="49" t="n"/>
      <c r="G8" s="49" t="n"/>
      <c r="H8" s="49" t="n"/>
    </row>
    <row r="10" ht="19" customHeight="1">
      <c r="A10" s="48" t="inlineStr">
        <is>
          <t>۲) شیت Wages — ثبت رویداد دستمزد</t>
        </is>
      </c>
      <c r="B10" s="48" t="n"/>
      <c r="C10" s="48" t="n"/>
      <c r="D10" s="48" t="n"/>
      <c r="E10" s="48" t="n"/>
      <c r="F10" s="48" t="n"/>
      <c r="G10" s="48" t="n"/>
      <c r="H10" s="48" t="n"/>
    </row>
    <row r="11" ht="17" customHeight="1">
      <c r="A11" s="49" t="inlineStr">
        <is>
          <t>• «نوع» را انتخاب کنید: دستمزد فردی ← در «کد طرف» کد کارمند (E…) | دستمزد گروهی ← کد گروه کاری (WG…).</t>
        </is>
      </c>
      <c r="B11" s="49" t="n"/>
      <c r="C11" s="49" t="n"/>
      <c r="D11" s="49" t="n"/>
      <c r="E11" s="49" t="n"/>
      <c r="F11" s="49" t="n"/>
      <c r="G11" s="49" t="n"/>
      <c r="H11" s="49" t="n"/>
    </row>
    <row r="12" ht="17" customHeight="1">
      <c r="A12" s="50" t="inlineStr">
        <is>
          <t>• «شناسه» برای هر رویداد یکتا باشد (مثل W-201) — ریز ردیف‌های گروهی با همین شناسه در شیت Shares وصل می‌شوند.</t>
        </is>
      </c>
      <c r="B12" s="50" t="n"/>
      <c r="C12" s="50" t="n"/>
      <c r="D12" s="50" t="n"/>
      <c r="E12" s="50" t="n"/>
      <c r="F12" s="50" t="n"/>
      <c r="G12" s="50" t="n"/>
      <c r="H12" s="50" t="n"/>
    </row>
    <row r="13" ht="17" customHeight="1">
      <c r="A13" s="49" t="inlineStr">
        <is>
          <t>• برای ردیف گروهی، ستون «جمع ریز» و «وضعیت» چک می‌کنند جمع سهم‌ها = مبلغ کل باشد (√ / ▲ مغایرت).</t>
        </is>
      </c>
      <c r="B13" s="49" t="n"/>
      <c r="C13" s="49" t="n"/>
      <c r="D13" s="49" t="n"/>
      <c r="E13" s="49" t="n"/>
      <c r="F13" s="49" t="n"/>
      <c r="G13" s="49" t="n"/>
      <c r="H13" s="49" t="n"/>
    </row>
    <row r="15" ht="19" customHeight="1">
      <c r="A15" s="48" t="inlineStr">
        <is>
          <t>۳) شیت Shares — ریز دستمزد گروهی</t>
        </is>
      </c>
      <c r="B15" s="48" t="n"/>
      <c r="C15" s="48" t="n"/>
      <c r="D15" s="48" t="n"/>
      <c r="E15" s="48" t="n"/>
      <c r="F15" s="48" t="n"/>
      <c r="G15" s="48" t="n"/>
      <c r="H15" s="48" t="n"/>
    </row>
    <row r="16" ht="17" customHeight="1">
      <c r="A16" s="49" t="inlineStr">
        <is>
          <t>• به‌ازای هر عضوِ هر رویداد گروهی یک ردیف: شناسه رویداد + کد عضو (E…) + مبلغ سهم — تاریخ و گروه خودکار می‌آیند.</t>
        </is>
      </c>
      <c r="B16" s="49" t="n"/>
      <c r="C16" s="49" t="n"/>
      <c r="D16" s="49" t="n"/>
      <c r="E16" s="49" t="n"/>
      <c r="F16" s="49" t="n"/>
      <c r="G16" s="49" t="n"/>
      <c r="H16" s="49" t="n"/>
    </row>
    <row r="17" ht="17" customHeight="1">
      <c r="A17" s="50" t="inlineStr">
        <is>
          <t>• تقسیم دستی است: سهم هر نفر را خودتان بنویسید (مساوی، ضریبی یا هرطور که بین خودتان توافق شده).</t>
        </is>
      </c>
      <c r="B17" s="50" t="n"/>
      <c r="C17" s="50" t="n"/>
      <c r="D17" s="50" t="n"/>
      <c r="E17" s="50" t="n"/>
      <c r="F17" s="50" t="n"/>
      <c r="G17" s="50" t="n"/>
      <c r="H17" s="50" t="n"/>
    </row>
    <row r="19" ht="19" customHeight="1">
      <c r="A19" s="48" t="inlineStr">
        <is>
          <t>۴) شیت‌های گزارشی (کدمحور — آماده چاپ)</t>
        </is>
      </c>
      <c r="B19" s="48" t="n"/>
      <c r="C19" s="48" t="n"/>
      <c r="D19" s="48" t="n"/>
      <c r="E19" s="48" t="n"/>
      <c r="F19" s="48" t="n"/>
      <c r="G19" s="48" t="n"/>
      <c r="H19" s="48" t="n"/>
    </row>
    <row r="20" ht="17" customHeight="1">
      <c r="A20" s="49" t="inlineStr">
        <is>
          <t>• Report: کد کارمند را وارد کنید — صورت کامل: دستمزد فردی + سهم از گروه‌ها + پرداخت‌های بانکی، مانده و وضعیت.</t>
        </is>
      </c>
      <c r="B20" s="49" t="n"/>
      <c r="C20" s="49" t="n"/>
      <c r="D20" s="49" t="n"/>
      <c r="E20" s="49" t="n"/>
      <c r="F20" s="49" t="n"/>
      <c r="G20" s="49" t="n"/>
      <c r="H20" s="49" t="n"/>
    </row>
    <row r="21" ht="17" customHeight="1">
      <c r="A21" s="50" t="inlineStr">
        <is>
          <t>• GroupReport: کد گروه (WG…) را وارد کنید — رویدادهای گروه با کنترل تطابق + ریز سهم تک‌تک اعضا به ترتیب تاریخ.</t>
        </is>
      </c>
      <c r="B21" s="50" t="n"/>
      <c r="C21" s="50" t="n"/>
      <c r="D21" s="50" t="n"/>
      <c r="E21" s="50" t="n"/>
      <c r="F21" s="50" t="n"/>
      <c r="G21" s="50" t="n"/>
      <c r="H21" s="50" t="n"/>
    </row>
    <row r="22" ht="17" customHeight="1">
      <c r="A22" s="49" t="inlineStr">
        <is>
          <t>• Summary: همه کارکنان با جمع تعلق/پرداخت/مانده. برای شخص یا گروه دیگر، شیت را کپی و کد را عوض کنید.</t>
        </is>
      </c>
      <c r="B22" s="49" t="n"/>
      <c r="C22" s="49" t="n"/>
      <c r="D22" s="49" t="n"/>
      <c r="E22" s="49" t="n"/>
      <c r="F22" s="49" t="n"/>
      <c r="G22" s="49" t="n"/>
      <c r="H22" s="49" t="n"/>
    </row>
    <row r="24" ht="19" customHeight="1">
      <c r="A24" s="48" t="inlineStr">
        <is>
          <t>۵) اتصال‌ها</t>
        </is>
      </c>
      <c r="B24" s="48" t="n"/>
      <c r="C24" s="48" t="n"/>
      <c r="D24" s="48" t="n"/>
      <c r="E24" s="48" t="n"/>
      <c r="F24" s="48" t="n"/>
      <c r="G24" s="48" t="n"/>
      <c r="H24" s="48" t="n"/>
    </row>
    <row r="25" ht="17" customHeight="1">
      <c r="A25" s="49" t="inlineStr">
        <is>
          <t>• این فایل، Transactions.xlsx و INFO.xlsx همیشه در یک پوشه باشند.</t>
        </is>
      </c>
      <c r="B25" s="49" t="n"/>
      <c r="C25" s="49" t="n"/>
      <c r="D25" s="49" t="n"/>
      <c r="E25" s="49" t="n"/>
      <c r="F25" s="49" t="n"/>
      <c r="G25" s="49" t="n"/>
      <c r="H25" s="49" t="n"/>
    </row>
    <row r="26" ht="17" customHeight="1">
      <c r="A26" s="50" t="inlineStr">
        <is>
          <t>• پس از تغییر منابع: Data ← Edit Links ← Update Values.</t>
        </is>
      </c>
      <c r="B26" s="50" t="n"/>
      <c r="C26" s="50" t="n"/>
      <c r="D26" s="50" t="n"/>
      <c r="E26" s="50" t="n"/>
      <c r="F26" s="50" t="n"/>
      <c r="G26" s="50" t="n"/>
      <c r="H26" s="50" t="n"/>
    </row>
  </sheetData>
  <mergeCells count="21">
    <mergeCell ref="A15:H15"/>
    <mergeCell ref="A24:H24"/>
    <mergeCell ref="A11:H11"/>
    <mergeCell ref="A1:H1"/>
    <mergeCell ref="A6:H6"/>
    <mergeCell ref="A7:H7"/>
    <mergeCell ref="A25:H25"/>
    <mergeCell ref="A16:H16"/>
    <mergeCell ref="A12:H12"/>
    <mergeCell ref="A3:H3"/>
    <mergeCell ref="A21:H21"/>
    <mergeCell ref="A26:H26"/>
    <mergeCell ref="A2:H2"/>
    <mergeCell ref="A5:H5"/>
    <mergeCell ref="A8:H8"/>
    <mergeCell ref="A22:H22"/>
    <mergeCell ref="A17:H17"/>
    <mergeCell ref="A20:H20"/>
    <mergeCell ref="A10:H10"/>
    <mergeCell ref="A13:H13"/>
    <mergeCell ref="A19:H19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کارکنان&amp;R&amp;"Tahoma"&amp;8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Employees — دفتر دستمزد کارکنان</dc:title>
  <dcterms:created xsi:type="dcterms:W3CDTF">2026-10-05T19:49:27Z</dcterms:created>
  <dcterms:modified xsi:type="dcterms:W3CDTF">2026-10-05T19:49:33Z</dcterms:modified>
</cp:coreProperties>
</file>